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Override PartName="/xl/tables/table2.xml" ContentType="application/vnd.openxmlformats-officedocument.spreadsheetml.table+xml"/>
  <Override PartName="/xl/worksheets/sheet11.xml" ContentType="application/vnd.openxmlformats-officedocument.spreadsheetml.worksheet+xml"/>
  <Override PartName="/xl/tables/table3.xml" ContentType="application/vnd.openxmlformats-officedocument.spreadsheetml.table+xml"/>
  <Override PartName="/xl/worksheets/sheet12.xml" ContentType="application/vnd.openxmlformats-officedocument.spreadsheetml.worksheet+xml"/>
  <Override PartName="/xl/tables/table4.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5.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Dashboard" sheetId="2" state="visible" r:id="rId2"/>
    <sheet xmlns:r="http://schemas.openxmlformats.org/officeDocument/2006/relationships" name="RDFO" sheetId="3" state="visible" r:id="rId3"/>
    <sheet xmlns:r="http://schemas.openxmlformats.org/officeDocument/2006/relationships" name="Projecten" sheetId="4" state="visible" r:id="rId4"/>
    <sheet xmlns:r="http://schemas.openxmlformats.org/officeDocument/2006/relationships" name="Projectdetail" sheetId="5" state="visible" r:id="rId5"/>
    <sheet xmlns:r="http://schemas.openxmlformats.org/officeDocument/2006/relationships" name="Woningen" sheetId="6" state="visible" r:id="rId6"/>
    <sheet xmlns:r="http://schemas.openxmlformats.org/officeDocument/2006/relationships" name="Controle" sheetId="7" state="visible" r:id="rId7"/>
    <sheet xmlns:r="http://schemas.openxmlformats.org/officeDocument/2006/relationships" name="Parameters" sheetId="8" state="visible" r:id="rId8"/>
    <sheet xmlns:r="http://schemas.openxmlformats.org/officeDocument/2006/relationships" name="Invoer_Aanvullend" sheetId="9" state="visible" r:id="rId9"/>
    <sheet xmlns:r="http://schemas.openxmlformats.org/officeDocument/2006/relationships" name="Invoer_Toelichting" sheetId="10" state="visible" r:id="rId10"/>
    <sheet xmlns:r="http://schemas.openxmlformats.org/officeDocument/2006/relationships" name="Invoer_Koperstype" sheetId="11" state="visible" r:id="rId11"/>
    <sheet xmlns:r="http://schemas.openxmlformats.org/officeDocument/2006/relationships" name="Mapping" sheetId="12" state="visible" r:id="rId12"/>
    <sheet xmlns:r="http://schemas.openxmlformats.org/officeDocument/2006/relationships" name="Vastlegging" sheetId="13" state="visible" r:id="rId13"/>
    <sheet xmlns:r="http://schemas.openxmlformats.org/officeDocument/2006/relationships" name="Vastleggen" sheetId="14" state="visible" r:id="rId14"/>
    <sheet xmlns:r="http://schemas.openxmlformats.org/officeDocument/2006/relationships" name="Importlog" sheetId="15" state="visible" r:id="rId15"/>
    <sheet xmlns:r="http://schemas.openxmlformats.org/officeDocument/2006/relationships" name="VERW_Project" sheetId="16" state="visible" r:id="rId16"/>
    <sheet xmlns:r="http://schemas.openxmlformats.org/officeDocument/2006/relationships" name="CALC_Versies" sheetId="17" state="visible" r:id="rId17"/>
    <sheet xmlns:r="http://schemas.openxmlformats.org/officeDocument/2006/relationships" name="STG_ZPMW03" sheetId="18" state="visible" r:id="rId18"/>
    <sheet xmlns:r="http://schemas.openxmlformats.org/officeDocument/2006/relationships" name="STG_Woningetalage" sheetId="19" state="visible" r:id="rId19"/>
    <sheet xmlns:r="http://schemas.openxmlformats.org/officeDocument/2006/relationships" name="SRC_ZPMW03" sheetId="20" state="visible" r:id="rId20"/>
    <sheet xmlns:r="http://schemas.openxmlformats.org/officeDocument/2006/relationships" name="SRC_Woningetalage" sheetId="21" state="visible" r:id="rId21"/>
    <sheet xmlns:r="http://schemas.openxmlformats.org/officeDocument/2006/relationships" name="Veldwoordenboek" sheetId="22" state="visible" r:id="rId22"/>
    <sheet xmlns:r="http://schemas.openxmlformats.org/officeDocument/2006/relationships" name="Rapportagemapping" sheetId="23" state="visible" r:id="rId23"/>
    <sheet xmlns:r="http://schemas.openxmlformats.org/officeDocument/2006/relationships" name="Productievragen" sheetId="24" state="visible" r:id="rId24"/>
    <sheet xmlns:r="http://schemas.openxmlformats.org/officeDocument/2006/relationships" name="Handleiding" sheetId="25" state="visible" r:id="rId25"/>
    <sheet xmlns:r="http://schemas.openxmlformats.org/officeDocument/2006/relationships" name="Testresultaten" sheetId="26" state="visible" r:id="rId26"/>
  </sheets>
  <definedNames>
    <definedName name="P_Regio">Parameters!$C$5</definedName>
    <definedName name="P_RJ">Parameters!$C$6</definedName>
    <definedName name="P_Peildatum">Parameters!$C$7</definedName>
    <definedName name="P_PeilMaand">Parameters!$C$8</definedName>
    <definedName name="P_PeilTxt">Parameters!$C$9</definedName>
    <definedName name="P_UploadVJ">Parameters!$C$10</definedName>
    <definedName name="P_UploadVersie">Parameters!$C$11</definedName>
    <definedName name="P_VJ">Parameters!$C$12</definedName>
    <definedName name="P_Eenheid">Parameters!$C$13</definedName>
    <definedName name="P_Factor">Parameters!$C$14</definedName>
    <definedName name="P_Demo">Parameters!$C$15</definedName>
    <definedName name="P_ImportID">Parameters!$C$16</definedName>
    <definedName name="P_BronZ">Parameters!$C$17</definedName>
    <definedName name="P_BronE">Parameters!$C$18</definedName>
    <definedName name="P_Importdatum">Parameters!$C$19</definedName>
    <definedName name="P_RegelsZ">Parameters!$C$20</definedName>
    <definedName name="P_RegelsE">Parameters!$C$21</definedName>
    <definedName name="P_StatusVastleg">Parameters!$C$22</definedName>
    <definedName name="P_ToelCorrectie">Parameters!$C$23</definedName>
    <definedName name="P_Tol">Parameters!$C$24</definedName>
    <definedName name="V_List">Parameters!$B$28:$B$32</definedName>
    <definedName name="V_Maand">Parameters!$D$28:$D$32</definedName>
    <definedName name="L_TypeList">Parameters!$C$34:$E$34</definedName>
    <definedName name="L_EenheidList">Parameters!$C$35:$E$35</definedName>
    <definedName name="L_JaNee">Parameters!$C$36:$D$36</definedName>
    <definedName name="L_StatusList">Parameters!$C$37:$D$37</definedName>
    <definedName name="L_AanvStatus">Parameters!$C$38:$F$38</definedName>
    <definedName name="L_Rubrieken">Parameters!$C$39:$I$39</definedName>
    <definedName name="L_Soort">Parameters!$C$40:$D$40</definedName>
    <definedName name="L_Niveau">Parameters!$C$41:$D$41</definedName>
    <definedName name="L_Doeljaar">Vastlegging!$I$6:$I$5005</definedName>
    <definedName name="L_Projecten">Parameters!$C$44:$C$144</definedName>
    <definedName name="L_ProjectenDet">Parameters!$C$45:$C$144</definedName>
    <definedName name="YM_Intern">Veldwoordenboek!$B$6:$B$14</definedName>
    <definedName name="YM_Header">Veldwoordenboek!$C$6:$C$14</definedName>
    <definedName name="Map_WBS">Mapping!$A$5:$A$104</definedName>
    <definedName name="Map_Projdef">Mapping!$B$5:$B$104</definedName>
    <definedName name="Map_Naam">Mapping!$C$5:$C$104</definedName>
    <definedName name="Map_Aantal">Mapping!$D$5:$D$104</definedName>
    <definedName name="Map_Aandeel">Mapping!$E$5:$E$104</definedName>
    <definedName name="Map_Type">Mapping!$F$5:$F$104</definedName>
    <definedName name="Map_Meetellen">Mapping!$G$5:$G$104</definedName>
    <definedName name="Map_Segment">Mapping!$H$5:$H$104</definedName>
    <definedName name="L_ImportID">Vastlegging!$A$6:$A$5005</definedName>
    <definedName name="L_Bronbestand">Vastlegging!$B$6:$B$5005</definedName>
    <definedName name="L_Importdatum">Vastlegging!$C$6:$C$5005</definedName>
    <definedName name="L_Status">Vastlegging!$D$6:$D$5005</definedName>
    <definedName name="L_Versiejaar">Vastlegging!$E$6:$E$5005</definedName>
    <definedName name="L_Versie">Vastlegging!$F$6:$F$5005</definedName>
    <definedName name="L_Revisie">Vastlegging!$G$6:$G$5005</definedName>
    <definedName name="L_Peildatum">Vastlegging!$H$6:$H$5005</definedName>
    <definedName name="L_WBS">Vastlegging!$J$6:$J$5005</definedName>
    <definedName name="L_Projectdefinitie">Vastlegging!$K$6:$K$5005</definedName>
    <definedName name="L_Projectnaam">Vastlegging!$L$6:$L$5005</definedName>
    <definedName name="L_Type">Vastlegging!$M$6:$M$5005</definedName>
    <definedName name="L_IFRS">Vastlegging!$N$6:$N$5005</definedName>
    <definedName name="L_Kengetal">Vastlegging!$O$6:$O$5005</definedName>
    <definedName name="L_Waarde">Vastlegging!$P$6:$P$5005</definedName>
    <definedName name="L_Eenheid">Vastlegging!$Q$6:$Q$5005</definedName>
    <definedName name="L_Toelichting">Vastlegging!$R$6:$R$5005</definedName>
    <definedName name="L_Sleutel">Vastlegging!$S$6:$S$5005</definedName>
    <definedName name="L_MaxRev">Vastlegging!$T$6:$T$5005</definedName>
    <definedName name="L_Actief">Vastlegging!$U$6:$U$5005</definedName>
    <definedName name="L_Dubbel">Vastlegging!$V$6:$V$5005</definedName>
    <definedName name="A_Doel">Invoer_Aanvullend!$A$6:$A$505</definedName>
    <definedName name="A_VJ">Invoer_Aanvullend!$B$6:$B$505</definedName>
    <definedName name="A_Versie">Invoer_Aanvullend!$C$6:$C$505</definedName>
    <definedName name="A_Niveau">Invoer_Aanvullend!$D$6:$D$505</definedName>
    <definedName name="A_WBS">Invoer_Aanvullend!$E$6:$E$505</definedName>
    <definedName name="A_Rubriek">Invoer_Aanvullend!$F$6:$F$505</definedName>
    <definedName name="A_Soort">Invoer_Aanvullend!$G$6:$G$505</definedName>
    <definedName name="A_Waarde">Invoer_Aanvullend!$H$6:$H$505</definedName>
    <definedName name="A_Eenheid">Invoer_Aanvullend!$I$6:$I$505</definedName>
    <definedName name="A_Status">Invoer_Aanvullend!$J$6:$J$505</definedName>
    <definedName name="A_Toel">Invoer_Aanvullend!$K$6:$K$505</definedName>
    <definedName name="A_TeltVast">Invoer_Aanvullend!$M$6:$M$505</definedName>
    <definedName name="A_TeltConcept">Invoer_Aanvullend!$N$6:$N$505</definedName>
    <definedName name="A_Conflict">Invoer_Aanvullend!$O$6:$O$505</definedName>
    <definedName name="T_Key">Invoer_Toelichting!$I$6:$I$505</definedName>
    <definedName name="T_Txt">Invoer_Toelichting!$F$6:$F$505</definedName>
    <definedName name="KT_WBS">Invoer_Koperstype!$A$6:$A$505</definedName>
    <definedName name="KT_Doel">Invoer_Koperstype!$B$6:$B$505</definedName>
    <definedName name="KT_Periode">Invoer_Koperstype!$C$6:$C$505</definedName>
    <definedName name="KT_Type">Invoer_Koperstype!$D$6:$D$505</definedName>
    <definedName name="KT_Aantal">Invoer_Koperstype!$E$6:$E$505</definedName>
    <definedName name="KT_Status">Invoer_Koperstype!$F$6:$F$505</definedName>
    <definedName name="KT_Telt">Invoer_Koperstype!$H$6:$H$505</definedName>
    <definedName name="KT_TypeMap">Invoer_Koperstype!$I$6:$I$505</definedName>
    <definedName name="V_WBS">VERW_Project!$A$6:$A$105</definedName>
    <definedName name="V_Projdef">VERW_Project!$B$6:$B$105</definedName>
    <definedName name="V_Naam">VERW_Project!$C$6:$C$105</definedName>
    <definedName name="V_Type">VERW_Project!$D$6:$D$105</definedName>
    <definedName name="V_Segment">VERW_Project!$E$6:$E$105</definedName>
    <definedName name="V_Aandeel">VERW_Project!$F$6:$F$105</definedName>
    <definedName name="V_Meetellen">VERW_Project!$G$6:$G$105</definedName>
    <definedName name="V_MapAantal">VERW_Project!$H$6:$H$105</definedName>
    <definedName name="V_IFRS">VERW_Project!$I$6:$I$105</definedName>
    <definedName name="V_nZ">VERW_Project!$J$6:$J$105</definedName>
    <definedName name="V_nE">VERW_Project!$K$6:$K$105</definedName>
    <definedName name="V_OmzYTD">VERW_Project!$L$6:$L$105</definedName>
    <definedName name="V_BorYTD">VERW_Project!$M$6:$M$105</definedName>
    <definedName name="V_OmzRest">VERW_Project!$N$6:$N$105</definedName>
    <definedName name="V_BorRest">VERW_Project!$O$6:$O$105</definedName>
    <definedName name="V_OmzFY">VERW_Project!$P$6:$P$105</definedName>
    <definedName name="V_BorFY">VERW_Project!$Q$6:$Q$105</definedName>
    <definedName name="V_OmzFY1">VERW_Project!$R$6:$R$105</definedName>
    <definedName name="V_BorFY1">VERW_Project!$S$6:$S$105</definedName>
    <definedName name="V_OmzQ4">VERW_Project!$T$6:$T$105</definedName>
    <definedName name="V_BorQ4">VERW_Project!$U$6:$U$105</definedName>
    <definedName name="V_OmzRJ1_Q1">VERW_Project!$V$6:$V$105</definedName>
    <definedName name="V_OmzRJ1_Q2">VERW_Project!$W$6:$W$105</definedName>
    <definedName name="V_OmzRJ1_Q3">VERW_Project!$X$6:$X$105</definedName>
    <definedName name="V_OmzRJ1_Q4">VERW_Project!$Y$6:$Y$105</definedName>
    <definedName name="V_BorRJ1_Q1">VERW_Project!$Z$6:$Z$105</definedName>
    <definedName name="V_BorRJ1_Q2">VERW_Project!$AA$6:$AA$105</definedName>
    <definedName name="V_BorRJ1_Q3">VERW_Project!$AB$6:$AB$105</definedName>
    <definedName name="V_BorRJ1_Q4">VERW_Project!$AC$6:$AC$105</definedName>
    <definedName name="V_OmzRJ2">VERW_Project!$AD$6:$AD$105</definedName>
    <definedName name="V_OmzRJ3">VERW_Project!$AE$6:$AE$105</definedName>
    <definedName name="V_OmzRJ4">VERW_Project!$AF$6:$AF$105</definedName>
    <definedName name="V_OmzRJ5">VERW_Project!$AG$6:$AG$105</definedName>
    <definedName name="V_OmzRJ6">VERW_Project!$AH$6:$AH$105</definedName>
    <definedName name="V_OmzRJ7">VERW_Project!$AI$6:$AI$105</definedName>
    <definedName name="V_OmzRJ8">VERW_Project!$AJ$6:$AJ$105</definedName>
    <definedName name="V_OmzONV">VERW_Project!$AK$6:$AK$105</definedName>
    <definedName name="V_BorRJ2">VERW_Project!$AL$6:$AL$105</definedName>
    <definedName name="V_BorRJ3">VERW_Project!$AM$6:$AM$105</definedName>
    <definedName name="V_BorRJ4">VERW_Project!$AN$6:$AN$105</definedName>
    <definedName name="V_BorRJ5">VERW_Project!$AO$6:$AO$105</definedName>
    <definedName name="V_BorRJ6">VERW_Project!$AP$6:$AP$105</definedName>
    <definedName name="V_BorRJ7">VERW_Project!$AQ$6:$AQ$105</definedName>
    <definedName name="V_BorRJ8">VERW_Project!$AR$6:$AR$105</definedName>
    <definedName name="V_BorONV">VERW_Project!$AS$6:$AS$105</definedName>
    <definedName name="V_W_Aantal">VERW_Project!$AT$6:$AT$105</definedName>
    <definedName name="V_W_VJ_B">VERW_Project!$AU$6:$AU$105</definedName>
    <definedName name="V_W_VJ_P">VERW_Project!$AV$6:$AV$105</definedName>
    <definedName name="V_W_VJ_T">VERW_Project!$AW$6:$AW$105</definedName>
    <definedName name="V_W_HJ_B">VERW_Project!$AX$6:$AX$105</definedName>
    <definedName name="V_W_HJ_P">VERW_Project!$AY$6:$AY$105</definedName>
    <definedName name="V_W_HJ_T">VERW_Project!$AZ$6:$AZ$105</definedName>
    <definedName name="V_W_Cum_B">VERW_Project!$BA$6:$BA$105</definedName>
    <definedName name="V_W_Cum_P">VERW_Project!$BB$6:$BB$105</definedName>
    <definedName name="V_W_Cum_T">VERW_Project!$BC$6:$BC$105</definedName>
    <definedName name="V_W_Etalage">VERW_Project!$BD$6:$BD$105</definedName>
    <definedName name="V_W_M01">VERW_Project!$BE$6:$BE$105</definedName>
    <definedName name="V_W_M02">VERW_Project!$BF$6:$BF$105</definedName>
    <definedName name="V_W_M03">VERW_Project!$BG$6:$BG$105</definedName>
    <definedName name="V_W_M04">VERW_Project!$BH$6:$BH$105</definedName>
    <definedName name="V_W_M05">VERW_Project!$BI$6:$BI$105</definedName>
    <definedName name="V_W_M06">VERW_Project!$BJ$6:$BJ$105</definedName>
    <definedName name="V_W_M07">VERW_Project!$BK$6:$BK$105</definedName>
    <definedName name="V_W_M08">VERW_Project!$BL$6:$BL$105</definedName>
    <definedName name="V_W_M09">VERW_Project!$BM$6:$BM$105</definedName>
    <definedName name="V_W_M10">VERW_Project!$BN$6:$BN$105</definedName>
    <definedName name="V_W_M11">VERW_Project!$BO$6:$BO$105</definedName>
    <definedName name="V_W_M12">VERW_Project!$BP$6:$BP$105</definedName>
    <definedName name="V_W_HQ1">VERW_Project!$BQ$6:$BQ$105</definedName>
    <definedName name="V_W_HQ2">VERW_Project!$BR$6:$BR$105</definedName>
    <definedName name="V_W_HQ3">VERW_Project!$BS$6:$BS$105</definedName>
    <definedName name="V_W_HQ4">VERW_Project!$BT$6:$BT$105</definedName>
    <definedName name="V_W_ActYTD">VERW_Project!$BU$6:$BU$105</definedName>
    <definedName name="V_W_PrognoseRest">VERW_Project!$BV$6:$BV$105</definedName>
    <definedName name="V_W_HuidigJaar">VERW_Project!$BW$6:$BW$105</definedName>
    <definedName name="V_W_VolgendJaar">VERW_Project!$BX$6:$BX$105</definedName>
    <definedName name="V_W_VQ1">VERW_Project!$BY$6:$BY$105</definedName>
    <definedName name="V_W_VQ2">VERW_Project!$BZ$6:$BZ$105</definedName>
    <definedName name="V_W_VQ3">VERW_Project!$CA$6:$CA$105</definedName>
    <definedName name="V_W_VQ4">VERW_Project!$CB$6:$CB$105</definedName>
    <definedName name="V_W_Y_RJ2">VERW_Project!$CC$6:$CC$105</definedName>
    <definedName name="V_I_Kans">VERW_Project!$CD$6:$CD$105</definedName>
    <definedName name="V_I_StatusWBS">VERW_Project!$CE$6:$CE$105</definedName>
    <definedName name="V_I_StartBouw">VERW_Project!$CF$6:$CF$105</definedName>
    <definedName name="V_I_Oplevering">VERW_Project!$CG$6:$CG$105</definedName>
    <definedName name="V_I_Risico">VERW_Project!$CH$6:$CH$105</definedName>
    <definedName name="V_I_POC">VERW_Project!$CI$6:$CI$105</definedName>
    <definedName name="V_I_Orderintake">VERW_Project!$CJ$6:$CJ$105</definedName>
    <definedName name="V_I_Marktsegment">VERW_Project!$CK$6:$CK$105</definedName>
    <definedName name="V_I_Bedrijfsnaam">VERW_Project!$CL$6:$CL$105</definedName>
    <definedName name="V_I_ProfitCenterNaam">VERW_Project!$CM$6:$CM$105</definedName>
    <definedName name="V_I_StartVerk">VERW_Project!$CN$6:$CN$105</definedName>
    <definedName name="V_I_EindOpl">VERW_Project!$CO$6:$CO$105</definedName>
    <definedName name="V_W_Bruto">VERW_Project!$CP$6:$CP$105</definedName>
    <definedName name="V_Verlies">VERW_Project!$CQ$6:$CQ$105</definedName>
    <definedName name="V_VerliesNr">VERW_Project!$CR$6:$CR$105</definedName>
    <definedName name="V_VervallenNr">VERW_Project!$CS$6:$CS$105</definedName>
    <definedName name="V_BorPct">VERW_Project!$CT$6:$CT$105</definedName>
    <definedName name="Sel_WBS">CALC_Versies!$B$16</definedName>
    <definedName name="Sel_TypeCrit">CALC_Versies!$B$17</definedName>
    <definedName name="Sel_Prev">CALC_Versies!$B$18</definedName>
    <definedName name="Sel_Bron">CALC_Versies!$B$19</definedName>
    <definedName name="Sel_Label">CALC_Versies!$B$20</definedName>
    <definedName name="Sel_FiltLabel">CALC_Versies!$B$21</definedName>
    <definedName name="C_Verschil">Vastleggen!$U$8:$U$1407</definedName>
    <definedName name="C_Kengetal">Vastleggen!$O$8:$O$1407</definedName>
    <definedName name="C_Doeljaar">Vastleggen!$I$8:$I$1407</definedName>
    <definedName name="C_Vastgelegd">Vastleggen!$T$8:$T$1407</definedName>
    <definedName name="Sel_Doeljaar">Dashboard!$B$5</definedName>
    <definedName name="Sel_Versie">Dashboard!$E$5</definedName>
    <definedName name="Sel_Type">Dashboard!$H$5</definedName>
    <definedName name="Sel_Project">Dashboard!$K$5</definedName>
    <definedName name="Det_Project">Projectdetail!$C$4</definedName>
    <definedName name="Det_Idx">Projectdetail!$H$4</definedName>
    <definedName name="Det_WBS">Projectdetail!$I$4</definedName>
    <definedName name="_xlnm.Print_Area" localSheetId="0">'Start'!$A$1:$F$49</definedName>
    <definedName name="_xlnm.Print_Area" localSheetId="1">'Dashboard'!$A$1:$S$47</definedName>
    <definedName name="_xlnm.Print_Area" localSheetId="2">'RDFO'!$A$1:$N$40</definedName>
    <definedName name="_xlnm._FilterDatabase" localSheetId="3" hidden="1">'Projecten'!$A$9:$S$109</definedName>
    <definedName name="_xlnm.Print_Area" localSheetId="3">'Projecten'!$A$1:$S$40</definedName>
    <definedName name="_xlnm.Print_Area" localSheetId="4">'Projectdetail'!$A$1:$S$59</definedName>
    <definedName name="_xlnm.Print_Area" localSheetId="5">'Woningen'!$A$1:$R$86</definedName>
    <definedName name="_xlnm.Print_Area" localSheetId="6">'Controle'!$A$1:$H$89</definedName>
    <definedName name="_xlnm._FilterDatabase" localSheetId="12" hidden="1">'Vastlegging'!$A$5:$V$865</definedName>
  </definedNames>
  <calcPr calcId="124519" fullCalcOnLoad="1"/>
</workbook>
</file>

<file path=xl/styles.xml><?xml version="1.0" encoding="utf-8"?>
<styleSheet xmlns="http://schemas.openxmlformats.org/spreadsheetml/2006/main">
  <numFmts count="15">
    <numFmt numFmtId="164" formatCode="yyyy-mm-dd h:mm:ss"/>
    <numFmt numFmtId="165" formatCode="dd-mm-yyyy"/>
    <numFmt numFmtId="166" formatCode="#,##0;[Red](#,##0);&quot;-&quot;"/>
    <numFmt numFmtId="167" formatCode="#,##0.00;[Red](#,##0.00);&quot;-&quot;"/>
    <numFmt numFmtId="168" formatCode="#,##0.00;[Red]-#,##0.00;0"/>
    <numFmt numFmtId="169" formatCode="#,##0;[Red]-#,##0;&quot;–&quot;"/>
    <numFmt numFmtId="170" formatCode="#,##0.0"/>
    <numFmt numFmtId="171" formatCode="0.0%;[Red]-0.0%;&quot;–&quot;"/>
    <numFmt numFmtId="172" formatCode="+0.0%;[Red]-0.0%;&quot;–&quot;"/>
    <numFmt numFmtId="173" formatCode="#,##0.0&quot; mln&quot;;[Red]-#,##0.0&quot; mln&quot;;&quot;–&quot;"/>
    <numFmt numFmtId="174" formatCode="#,##0&quot; st.&quot;;[Red]-#,##0&quot; st.&quot;;&quot;–&quot;"/>
    <numFmt numFmtId="175" formatCode="#,##0.0;[Red]-#,##0.0;&quot;–&quot;"/>
    <numFmt numFmtId="176" formatCode="#,##0.00;[Red]-#,##0.00;&quot;–&quot;"/>
    <numFmt numFmtId="177" formatCode="0.0"/>
    <numFmt numFmtId="178" formatCode="#,##0.##;[Red]-#,##0.##;0"/>
  </numFmts>
  <fonts count="29">
    <font>
      <name val="Calibri"/>
      <family val="2"/>
      <color theme="1"/>
      <sz val="11"/>
      <scheme val="minor"/>
    </font>
    <font>
      <name val="Arial"/>
      <b val="1"/>
      <color rgb="00FFFFFF"/>
      <sz val="14"/>
    </font>
    <font>
      <name val="Arial"/>
      <i val="1"/>
      <color rgb="006B7385"/>
      <sz val="9"/>
    </font>
    <font>
      <name val="Arial"/>
      <b val="1"/>
      <color rgb="00FFFFFF"/>
      <sz val="9"/>
    </font>
    <font>
      <name val="Arial"/>
      <color rgb="00000000"/>
      <sz val="9"/>
    </font>
    <font>
      <name val="Arial"/>
      <color rgb="001F4E9A"/>
      <sz val="9"/>
    </font>
    <font>
      <name val="Arial"/>
      <color rgb="006B7385"/>
      <sz val="8"/>
    </font>
    <font>
      <name val="Arial"/>
      <b val="1"/>
      <color rgb="0014284B"/>
      <sz val="11"/>
    </font>
    <font>
      <name val="Arial"/>
      <b val="1"/>
      <color rgb="00000000"/>
      <sz val="9"/>
    </font>
    <font>
      <name val="Arial"/>
      <color rgb="006B7385"/>
      <sz val="9"/>
    </font>
    <font>
      <name val="Arial"/>
      <b val="1"/>
      <sz val="9"/>
    </font>
    <font>
      <name val="Arial"/>
      <b val="1"/>
      <color rgb="0014284B"/>
      <sz val="9"/>
    </font>
    <font>
      <name val="Arial"/>
      <b val="1"/>
      <color rgb="0014284B"/>
      <sz val="10"/>
    </font>
    <font>
      <name val="Arial"/>
      <color rgb="00000000"/>
      <sz val="8"/>
    </font>
    <font>
      <name val="Arial"/>
      <b val="1"/>
      <color rgb="00FFFFFF"/>
      <sz val="8"/>
    </font>
    <font>
      <name val="Arial"/>
      <b val="1"/>
      <color rgb="00000000"/>
      <sz val="8"/>
    </font>
    <font>
      <name val="Arial"/>
      <b val="1"/>
      <color rgb="00C0392B"/>
      <sz val="9"/>
    </font>
    <font>
      <name val="Arial"/>
      <color rgb="006B7385"/>
      <sz val="7"/>
    </font>
    <font>
      <name val="Arial"/>
      <color rgb="00FFFFFF"/>
      <sz val="7"/>
    </font>
    <font>
      <name val="Arial"/>
      <i val="1"/>
      <color rgb="003B5B33"/>
      <sz val="9"/>
    </font>
    <font>
      <name val="Arial"/>
      <b val="1"/>
      <i val="1"/>
      <color rgb="003B5B33"/>
      <sz val="9"/>
    </font>
    <font>
      <name val="Arial"/>
      <i val="1"/>
      <color rgb="006B7385"/>
      <sz val="8"/>
    </font>
    <font>
      <name val="Arial"/>
      <b val="1"/>
      <color rgb="0014284B"/>
      <sz val="8"/>
    </font>
    <font>
      <name val="Arial"/>
      <b val="1"/>
      <color rgb="001F4E9A"/>
      <sz val="10"/>
    </font>
    <font>
      <name val="Arial"/>
      <b val="1"/>
      <color rgb="0014284B"/>
      <sz val="17"/>
    </font>
    <font>
      <name val="Arial"/>
      <b val="1"/>
      <color rgb="0014284B"/>
      <sz val="14"/>
    </font>
    <font>
      <name val="Arial"/>
      <i val="1"/>
      <color rgb="002E7D32"/>
      <sz val="8"/>
    </font>
    <font>
      <name val="Arial"/>
      <color rgb="001F4E9A"/>
      <sz val="9"/>
      <u val="single"/>
    </font>
    <font>
      <name val="Arial"/>
      <b val="1"/>
      <color rgb="002E7D32"/>
      <sz val="9"/>
    </font>
  </fonts>
  <fills count="11">
    <fill>
      <patternFill/>
    </fill>
    <fill>
      <patternFill patternType="gray125"/>
    </fill>
    <fill>
      <patternFill patternType="solid">
        <fgColor rgb="0014284B"/>
        <bgColor rgb="0014284B"/>
      </patternFill>
    </fill>
    <fill>
      <patternFill patternType="solid">
        <fgColor rgb="00FFF4CC"/>
        <bgColor rgb="00FFF4CC"/>
      </patternFill>
    </fill>
    <fill>
      <patternFill patternType="solid">
        <fgColor rgb="00D9DEE8"/>
        <bgColor rgb="00D9DEE8"/>
      </patternFill>
    </fill>
    <fill>
      <patternFill patternType="solid">
        <fgColor rgb="006B7385"/>
        <bgColor rgb="006B7385"/>
      </patternFill>
    </fill>
    <fill>
      <patternFill patternType="solid">
        <fgColor rgb="00FFFFFF"/>
        <bgColor rgb="00FFFFFF"/>
      </patternFill>
    </fill>
    <fill>
      <patternFill patternType="solid">
        <fgColor rgb="002E4A7D"/>
        <bgColor rgb="002E4A7D"/>
      </patternFill>
    </fill>
    <fill>
      <patternFill patternType="solid">
        <fgColor rgb="00EEF3EA"/>
        <bgColor rgb="00EEF3EA"/>
      </patternFill>
    </fill>
    <fill>
      <patternFill patternType="solid">
        <fgColor rgb="00F3F5F9"/>
        <bgColor rgb="00F3F5F9"/>
      </patternFill>
    </fill>
    <fill>
      <patternFill patternType="solid">
        <fgColor rgb="00FCE4D6"/>
        <bgColor rgb="00FCE4D6"/>
      </patternFill>
    </fill>
  </fills>
  <borders count="12">
    <border>
      <left/>
      <right/>
      <top/>
      <bottom/>
      <diagonal/>
    </border>
    <border>
      <bottom style="thick">
        <color rgb="00F5B800"/>
      </bottom>
    </border>
    <border>
      <left style="thin">
        <color rgb="00D9DEE8"/>
      </left>
      <right style="thin">
        <color rgb="00D9DEE8"/>
      </right>
      <top style="thin">
        <color rgb="00D9DEE8"/>
      </top>
      <bottom style="thin">
        <color rgb="00D9DEE8"/>
      </bottom>
    </border>
    <border>
      <bottom style="medium">
        <color rgb="0014284B"/>
      </bottom>
    </border>
    <border>
      <bottom style="thin">
        <color rgb="00D9DEE8"/>
      </bottom>
    </border>
    <border>
      <top style="medium">
        <color rgb="0014284B"/>
      </top>
      <bottom style="thin">
        <color rgb="00D9DEE8"/>
      </bottom>
    </border>
    <border>
      <top style="medium">
        <color rgb="0014284B"/>
      </top>
      <bottom style="medium">
        <color rgb="0014284B"/>
      </bottom>
    </border>
    <border>
      <left/>
      <right/>
      <top style="thin">
        <color rgb="00D9DEE8"/>
      </top>
      <bottom/>
      <diagonal/>
    </border>
    <border>
      <left/>
      <right style="thin">
        <color rgb="00D9DEE8"/>
      </right>
      <top style="thin">
        <color rgb="00D9DEE8"/>
      </top>
      <bottom/>
      <diagonal/>
    </border>
    <border>
      <left/>
      <right/>
      <top style="thin">
        <color rgb="00D9DEE8"/>
      </top>
      <bottom style="thin">
        <color rgb="00D9DEE8"/>
      </bottom>
      <diagonal/>
    </border>
    <border>
      <left/>
      <right style="thin">
        <color rgb="00D9DEE8"/>
      </right>
      <top style="thin">
        <color rgb="00D9DEE8"/>
      </top>
      <bottom style="thin">
        <color rgb="00D9DEE8"/>
      </bottom>
      <diagonal/>
    </border>
    <border>
      <top style="thick">
        <color rgb="00F5B800"/>
      </top>
    </border>
  </borders>
  <cellStyleXfs count="1">
    <xf numFmtId="0" fontId="0" fillId="0" borderId="0"/>
  </cellStyleXfs>
  <cellXfs count="133">
    <xf numFmtId="0" fontId="0" fillId="0" borderId="0" pivotButton="0" quotePrefix="0" xfId="0"/>
    <xf numFmtId="0" fontId="0" fillId="2" borderId="1" pivotButton="0" quotePrefix="0" xfId="0"/>
    <xf numFmtId="0" fontId="1" fillId="2" borderId="1" applyAlignment="1" pivotButton="0" quotePrefix="0" xfId="0">
      <alignment vertical="center"/>
    </xf>
    <xf numFmtId="0" fontId="2" fillId="0" borderId="0" pivotButton="0" quotePrefix="0" xfId="0"/>
    <xf numFmtId="0" fontId="7" fillId="0" borderId="0" pivotButton="0" quotePrefix="0" xfId="0"/>
    <xf numFmtId="0" fontId="9" fillId="0" borderId="0" pivotButton="0" quotePrefix="0" xfId="0"/>
    <xf numFmtId="0" fontId="12" fillId="0" borderId="0" pivotButton="0" quotePrefix="0" xfId="0"/>
    <xf numFmtId="0" fontId="12" fillId="0" borderId="3" pivotButton="0" quotePrefix="0" xfId="0"/>
    <xf numFmtId="0" fontId="0" fillId="0" borderId="3" pivotButton="0" quotePrefix="0" xfId="0"/>
    <xf numFmtId="0" fontId="13" fillId="3" borderId="0" pivotButton="0" quotePrefix="0" xfId="0"/>
    <xf numFmtId="0" fontId="27" fillId="0" borderId="0" pivotButton="0" quotePrefix="0" xfId="0"/>
    <xf numFmtId="0" fontId="13" fillId="8" borderId="0" pivotButton="0" quotePrefix="0" xfId="0"/>
    <xf numFmtId="0" fontId="13" fillId="10" borderId="0" pivotButton="0" quotePrefix="0" xfId="0"/>
    <xf numFmtId="0" fontId="13" fillId="9" borderId="0" pivotButton="0" quotePrefix="0" xfId="0"/>
    <xf numFmtId="0" fontId="13" fillId="4" borderId="0" pivotButton="0" quotePrefix="0" xfId="0"/>
    <xf numFmtId="0" fontId="6" fillId="0" borderId="0" pivotButton="0" quotePrefix="0" xfId="0"/>
    <xf numFmtId="0" fontId="7" fillId="0" borderId="3" pivotButton="0" quotePrefix="0" xfId="0"/>
    <xf numFmtId="0" fontId="8" fillId="0" borderId="0" pivotButton="0" quotePrefix="0" xfId="0"/>
    <xf numFmtId="0" fontId="9" fillId="0" borderId="0" applyAlignment="1" pivotButton="0" quotePrefix="0" xfId="0">
      <alignment vertical="top" wrapText="1"/>
    </xf>
    <xf numFmtId="0" fontId="22" fillId="0" borderId="0" pivotButton="0" quotePrefix="0" xfId="0"/>
    <xf numFmtId="0" fontId="23" fillId="3" borderId="2" pivotButton="0" quotePrefix="0" xfId="0"/>
    <xf numFmtId="0" fontId="0" fillId="0" borderId="10" pivotButton="0" quotePrefix="0" xfId="0"/>
    <xf numFmtId="0" fontId="0" fillId="0" borderId="9" pivotButton="0" quotePrefix="0" xfId="0"/>
    <xf numFmtId="0" fontId="22" fillId="9" borderId="11" pivotButton="0" quotePrefix="0" xfId="0"/>
    <xf numFmtId="0" fontId="0" fillId="9" borderId="11" pivotButton="0" quotePrefix="0" xfId="0"/>
    <xf numFmtId="173" fontId="24" fillId="9" borderId="0" applyAlignment="1" pivotButton="0" quotePrefix="0" xfId="0">
      <alignment horizontal="left" vertical="center"/>
    </xf>
    <xf numFmtId="174" fontId="24" fillId="9" borderId="0" applyAlignment="1" pivotButton="0" quotePrefix="0" xfId="0">
      <alignment horizontal="left" vertical="center"/>
    </xf>
    <xf numFmtId="0" fontId="6" fillId="9" borderId="0" pivotButton="0" quotePrefix="0" xfId="0"/>
    <xf numFmtId="0" fontId="0" fillId="9" borderId="0" pivotButton="0" quotePrefix="0" xfId="0"/>
    <xf numFmtId="9" fontId="6" fillId="9" borderId="0" pivotButton="0" quotePrefix="0" xfId="0"/>
    <xf numFmtId="0" fontId="21" fillId="0" borderId="0" pivotButton="0" quotePrefix="0" xfId="0"/>
    <xf numFmtId="0" fontId="11" fillId="0"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center" vertical="center" wrapText="1"/>
    </xf>
    <xf numFmtId="0" fontId="4" fillId="0" borderId="0" pivotButton="0" quotePrefix="0" xfId="0"/>
    <xf numFmtId="175" fontId="0" fillId="0" borderId="0" pivotButton="0" quotePrefix="0" xfId="0"/>
    <xf numFmtId="171" fontId="0" fillId="0" borderId="0" pivotButton="0" quotePrefix="0" xfId="0"/>
    <xf numFmtId="176" fontId="0" fillId="0" borderId="0" pivotButton="0" quotePrefix="0" xfId="0"/>
    <xf numFmtId="0" fontId="18" fillId="0" borderId="0" pivotButton="0" quotePrefix="0" xfId="0"/>
    <xf numFmtId="0" fontId="3" fillId="6" borderId="0" applyAlignment="1" pivotButton="0" quotePrefix="0" xfId="0">
      <alignment horizontal="center" vertical="center" wrapText="1"/>
    </xf>
    <xf numFmtId="0" fontId="3" fillId="7" borderId="0" applyAlignment="1" pivotButton="0" quotePrefix="0" xfId="0">
      <alignment horizontal="center" vertical="center" wrapText="1"/>
    </xf>
    <xf numFmtId="169" fontId="4" fillId="0" borderId="4" applyAlignment="1" pivotButton="0" quotePrefix="0" xfId="0">
      <alignment horizontal="right"/>
    </xf>
    <xf numFmtId="169" fontId="19" fillId="8" borderId="4" applyAlignment="1" pivotButton="0" quotePrefix="0" xfId="0">
      <alignment horizontal="right"/>
    </xf>
    <xf numFmtId="169" fontId="17" fillId="0" borderId="4" applyAlignment="1" pivotButton="0" quotePrefix="0" xfId="0">
      <alignment horizontal="right"/>
    </xf>
    <xf numFmtId="0" fontId="8" fillId="0" borderId="5" pivotButton="0" quotePrefix="0" xfId="0"/>
    <xf numFmtId="169" fontId="8" fillId="0" borderId="5" applyAlignment="1" pivotButton="0" quotePrefix="0" xfId="0">
      <alignment horizontal="right"/>
    </xf>
    <xf numFmtId="169" fontId="20" fillId="8" borderId="5" applyAlignment="1" pivotButton="0" quotePrefix="0" xfId="0">
      <alignment horizontal="right"/>
    </xf>
    <xf numFmtId="169" fontId="17" fillId="0" borderId="5" applyAlignment="1" pivotButton="0" quotePrefix="0" xfId="0">
      <alignment horizontal="right"/>
    </xf>
    <xf numFmtId="171" fontId="8" fillId="0" borderId="4" applyAlignment="1" pivotButton="0" quotePrefix="0" xfId="0">
      <alignment horizontal="right"/>
    </xf>
    <xf numFmtId="171" fontId="20" fillId="8" borderId="4" applyAlignment="1" pivotButton="0" quotePrefix="0" xfId="0">
      <alignment horizontal="right"/>
    </xf>
    <xf numFmtId="172" fontId="8" fillId="0" borderId="4" applyAlignment="1" pivotButton="0" quotePrefix="0" xfId="0">
      <alignment horizontal="right"/>
    </xf>
    <xf numFmtId="171" fontId="17" fillId="0" borderId="4" applyAlignment="1" pivotButton="0" quotePrefix="0" xfId="0">
      <alignment horizontal="right"/>
    </xf>
    <xf numFmtId="0" fontId="11" fillId="0" borderId="4" pivotButton="0" quotePrefix="0" xfId="0"/>
    <xf numFmtId="169" fontId="8" fillId="0" borderId="4" applyAlignment="1" pivotButton="0" quotePrefix="0" xfId="0">
      <alignment horizontal="right"/>
    </xf>
    <xf numFmtId="169" fontId="20" fillId="8" borderId="4" applyAlignment="1" pivotButton="0" quotePrefix="0" xfId="0">
      <alignment horizontal="right"/>
    </xf>
    <xf numFmtId="0" fontId="6" fillId="0" borderId="0" applyAlignment="1" pivotButton="0" quotePrefix="0" xfId="0">
      <alignment indent="1"/>
    </xf>
    <xf numFmtId="169" fontId="6" fillId="0" borderId="4" applyAlignment="1" pivotButton="0" quotePrefix="0" xfId="0">
      <alignment horizontal="right"/>
    </xf>
    <xf numFmtId="0" fontId="11" fillId="9" borderId="6" pivotButton="0" quotePrefix="0" xfId="0"/>
    <xf numFmtId="169" fontId="11" fillId="9" borderId="6" applyAlignment="1" pivotButton="0" quotePrefix="0" xfId="0">
      <alignment horizontal="right"/>
    </xf>
    <xf numFmtId="171" fontId="11" fillId="9" borderId="6" pivotButton="0" quotePrefix="0" xfId="0"/>
    <xf numFmtId="0" fontId="16" fillId="9" borderId="6" pivotButton="0" quotePrefix="0" xfId="0"/>
    <xf numFmtId="0" fontId="4" fillId="0" borderId="4" pivotButton="0" quotePrefix="0" xfId="0"/>
    <xf numFmtId="169" fontId="19" fillId="0" borderId="4" applyAlignment="1" pivotButton="0" quotePrefix="0" xfId="0">
      <alignment horizontal="right"/>
    </xf>
    <xf numFmtId="171" fontId="4" fillId="0" borderId="4" applyAlignment="1" pivotButton="0" quotePrefix="0" xfId="0">
      <alignment horizontal="right"/>
    </xf>
    <xf numFmtId="0" fontId="16" fillId="0" borderId="4" pivotButton="0" quotePrefix="0" xfId="0"/>
    <xf numFmtId="0" fontId="6" fillId="0" borderId="4" pivotButton="0" quotePrefix="0" xfId="0"/>
    <xf numFmtId="0" fontId="11" fillId="0" borderId="4" applyAlignment="1" pivotButton="0" quotePrefix="0" xfId="0">
      <alignment horizontal="left"/>
    </xf>
    <xf numFmtId="1" fontId="11" fillId="0" borderId="4" applyAlignment="1" pivotButton="0" quotePrefix="0" xfId="0">
      <alignment horizontal="left"/>
    </xf>
    <xf numFmtId="177" fontId="11" fillId="0" borderId="4" applyAlignment="1" pivotButton="0" quotePrefix="0" xfId="0">
      <alignment horizontal="left"/>
    </xf>
    <xf numFmtId="165" fontId="11" fillId="0" borderId="4" applyAlignment="1" pivotButton="0" quotePrefix="0" xfId="0">
      <alignment horizontal="left"/>
    </xf>
    <xf numFmtId="169" fontId="0" fillId="0" borderId="4" applyAlignment="1" pivotButton="0" quotePrefix="0" xfId="0">
      <alignment horizontal="right"/>
    </xf>
    <xf numFmtId="171" fontId="0" fillId="0" borderId="4" applyAlignment="1" pivotButton="0" quotePrefix="0" xfId="0">
      <alignment horizontal="right"/>
    </xf>
    <xf numFmtId="0" fontId="0" fillId="0" borderId="4" pivotButton="0" quotePrefix="0" xfId="0"/>
    <xf numFmtId="0" fontId="8" fillId="0" borderId="4" pivotButton="0" quotePrefix="0" xfId="0"/>
    <xf numFmtId="169" fontId="19" fillId="8" borderId="0" applyAlignment="1" pivotButton="0" quotePrefix="0" xfId="0">
      <alignment horizontal="right"/>
    </xf>
    <xf numFmtId="169" fontId="0" fillId="0" borderId="0" applyAlignment="1" pivotButton="0" quotePrefix="0" xfId="0">
      <alignment horizontal="right"/>
    </xf>
    <xf numFmtId="169" fontId="8" fillId="0" borderId="0" pivotButton="0" quotePrefix="0" xfId="0"/>
    <xf numFmtId="169" fontId="0" fillId="0" borderId="0" pivotButton="0" quotePrefix="0" xfId="0"/>
    <xf numFmtId="169" fontId="11" fillId="0" borderId="0" pivotButton="0" quotePrefix="0" xfId="0"/>
    <xf numFmtId="0" fontId="11" fillId="0" borderId="3" pivotButton="0" quotePrefix="0" xfId="0"/>
    <xf numFmtId="0" fontId="13" fillId="0" borderId="4" pivotButton="0" quotePrefix="0" xfId="0"/>
    <xf numFmtId="169" fontId="13" fillId="0" borderId="4" applyAlignment="1" pivotButton="0" quotePrefix="0" xfId="0">
      <alignment horizontal="right"/>
    </xf>
    <xf numFmtId="169" fontId="21" fillId="0" borderId="4" applyAlignment="1" pivotButton="0" quotePrefix="0" xfId="0">
      <alignment horizontal="right"/>
    </xf>
    <xf numFmtId="9" fontId="13" fillId="0" borderId="4" applyAlignment="1" pivotButton="0" quotePrefix="0" xfId="0">
      <alignment horizontal="right"/>
    </xf>
    <xf numFmtId="0" fontId="25" fillId="0" borderId="0" applyAlignment="1" pivotButton="0" quotePrefix="0" xfId="0">
      <alignment horizontal="left"/>
    </xf>
    <xf numFmtId="0" fontId="4" fillId="0" borderId="4" applyAlignment="1" pivotButton="0" quotePrefix="0" xfId="0">
      <alignment vertical="top"/>
    </xf>
    <xf numFmtId="0" fontId="9" fillId="0" borderId="4" applyAlignment="1" pivotButton="0" quotePrefix="0" xfId="0">
      <alignment vertical="top"/>
    </xf>
    <xf numFmtId="0" fontId="4" fillId="0" borderId="4" applyAlignment="1" pivotButton="0" quotePrefix="0" xfId="0">
      <alignment vertical="top" wrapText="1"/>
    </xf>
    <xf numFmtId="178" fontId="4" fillId="0" borderId="4" applyAlignment="1" pivotButton="0" quotePrefix="0" xfId="0">
      <alignment horizontal="right" vertical="top"/>
    </xf>
    <xf numFmtId="0" fontId="4" fillId="0" borderId="4" applyAlignment="1" pivotButton="0" quotePrefix="0" xfId="0">
      <alignment horizontal="right" vertical="top"/>
    </xf>
    <xf numFmtId="0" fontId="8" fillId="0" borderId="4" applyAlignment="1" pivotButton="0" quotePrefix="0" xfId="0">
      <alignment vertical="top"/>
    </xf>
    <xf numFmtId="0" fontId="9" fillId="0" borderId="4" applyAlignment="1" pivotButton="0" quotePrefix="0" xfId="0">
      <alignment vertical="top" wrapText="1"/>
    </xf>
    <xf numFmtId="0" fontId="13" fillId="0" borderId="0" pivotButton="0" quotePrefix="0" xfId="0"/>
    <xf numFmtId="169" fontId="6" fillId="0" borderId="0" pivotButton="0" quotePrefix="0" xfId="0"/>
    <xf numFmtId="0" fontId="26" fillId="0" borderId="0" pivotButton="0" quotePrefix="0" xfId="0"/>
    <xf numFmtId="0" fontId="5" fillId="3" borderId="2" applyAlignment="1" pivotButton="0" quotePrefix="0" xfId="0">
      <alignment horizontal="right" vertical="center"/>
    </xf>
    <xf numFmtId="1" fontId="5" fillId="3" borderId="2" applyAlignment="1" pivotButton="0" quotePrefix="0" xfId="0">
      <alignment horizontal="right" vertical="center"/>
    </xf>
    <xf numFmtId="165" fontId="5" fillId="3" borderId="2" applyAlignment="1" pivotButton="0" quotePrefix="0" xfId="0">
      <alignment horizontal="right" vertical="center"/>
    </xf>
    <xf numFmtId="1" fontId="6" fillId="0" borderId="0" applyAlignment="1" pivotButton="0" quotePrefix="0" xfId="0">
      <alignment horizontal="right" vertical="center"/>
    </xf>
    <xf numFmtId="0" fontId="6" fillId="0" borderId="0" applyAlignment="1" pivotButton="0" quotePrefix="0" xfId="0">
      <alignment horizontal="right" vertical="center"/>
    </xf>
    <xf numFmtId="3" fontId="6" fillId="0" borderId="0" applyAlignment="1" pivotButton="0" quotePrefix="0" xfId="0">
      <alignment horizontal="right" vertical="center"/>
    </xf>
    <xf numFmtId="2" fontId="5" fillId="3" borderId="2" applyAlignment="1" pivotButton="0" quotePrefix="0" xfId="0">
      <alignment horizontal="right" vertical="center"/>
    </xf>
    <xf numFmtId="0" fontId="4" fillId="0" borderId="0" applyAlignment="1" pivotButton="0" quotePrefix="0" xfId="0">
      <alignment horizontal="right" vertical="center"/>
    </xf>
    <xf numFmtId="0" fontId="4" fillId="0" borderId="0" applyAlignment="1" pivotButton="0" quotePrefix="0" xfId="0">
      <alignment horizontal="left" vertical="center"/>
    </xf>
    <xf numFmtId="0" fontId="3" fillId="5" borderId="0" applyAlignment="1" pivotButton="0" quotePrefix="0" xfId="0">
      <alignment horizontal="center" vertical="center" wrapText="1"/>
    </xf>
    <xf numFmtId="0" fontId="5" fillId="3" borderId="2" pivotButton="0" quotePrefix="0" xfId="0"/>
    <xf numFmtId="169" fontId="5" fillId="3" borderId="2" pivotButton="0" quotePrefix="0" xfId="0"/>
    <xf numFmtId="165" fontId="5" fillId="3" borderId="2" pivotButton="0" quotePrefix="0" xfId="0"/>
    <xf numFmtId="165" fontId="13" fillId="0" borderId="0" pivotButton="0" quotePrefix="0" xfId="0"/>
    <xf numFmtId="168" fontId="13" fillId="0" borderId="0" pivotButton="0" quotePrefix="0" xfId="0"/>
    <xf numFmtId="0" fontId="16" fillId="0" borderId="0" pivotButton="0" quotePrefix="0" xfId="0"/>
    <xf numFmtId="168" fontId="6" fillId="0" borderId="0" pivotButton="0" quotePrefix="0" xfId="0"/>
    <xf numFmtId="0" fontId="17" fillId="0" borderId="0" pivotButton="0" quotePrefix="0" xfId="0"/>
    <xf numFmtId="165" fontId="4" fillId="0" borderId="0" pivotButton="0" quotePrefix="0" xfId="0"/>
    <xf numFmtId="0" fontId="0" fillId="0" borderId="0" applyAlignment="1" pivotButton="0" quotePrefix="0" xfId="0">
      <alignment vertical="top" wrapText="1"/>
    </xf>
    <xf numFmtId="0" fontId="14" fillId="2" borderId="0" applyAlignment="1" pivotButton="0" quotePrefix="0" xfId="0">
      <alignment horizontal="center" vertical="center" wrapText="1"/>
    </xf>
    <xf numFmtId="1" fontId="13" fillId="0" borderId="0" pivotButton="0" quotePrefix="0" xfId="0"/>
    <xf numFmtId="169" fontId="13" fillId="0" borderId="0" pivotButton="0" quotePrefix="0" xfId="0"/>
    <xf numFmtId="170" fontId="13" fillId="0" borderId="0" pivotButton="0" quotePrefix="0" xfId="0"/>
    <xf numFmtId="171" fontId="13" fillId="0" borderId="0" pivotButton="0" quotePrefix="0" xfId="0"/>
    <xf numFmtId="0" fontId="15" fillId="3" borderId="4" pivotButton="0" quotePrefix="0" xfId="0"/>
    <xf numFmtId="169" fontId="15" fillId="3" borderId="4" pivotButton="0" quotePrefix="0" xfId="0"/>
    <xf numFmtId="0" fontId="8" fillId="4" borderId="0" pivotButton="0" quotePrefix="0" xfId="0"/>
    <xf numFmtId="0" fontId="8" fillId="3" borderId="0" pivotButton="0" quotePrefix="0" xfId="0"/>
    <xf numFmtId="168" fontId="0" fillId="0" borderId="0" pivotButton="0" quotePrefix="0" xfId="0"/>
    <xf numFmtId="0" fontId="10" fillId="4" borderId="0" pivotButton="0" quotePrefix="0" xfId="0"/>
    <xf numFmtId="166" fontId="0" fillId="0" borderId="0" pivotButton="0" quotePrefix="0" xfId="0"/>
    <xf numFmtId="167" fontId="0" fillId="0" borderId="0" pivotButton="0" quotePrefix="0" xfId="0"/>
    <xf numFmtId="165" fontId="0" fillId="0" borderId="0" pivotButton="0" quotePrefix="0" xfId="0"/>
    <xf numFmtId="0" fontId="5" fillId="3" borderId="2" applyAlignment="1" pivotButton="0" quotePrefix="0" xfId="0">
      <alignment horizontal="left" vertical="center"/>
    </xf>
    <xf numFmtId="0" fontId="4" fillId="0" borderId="0" applyAlignment="1" pivotButton="0" quotePrefix="0" xfId="0">
      <alignment vertical="top" wrapText="1"/>
    </xf>
    <xf numFmtId="0" fontId="16" fillId="0" borderId="0" applyAlignment="1" pivotButton="0" quotePrefix="0" xfId="0">
      <alignment vertical="top" wrapText="1"/>
    </xf>
    <xf numFmtId="0" fontId="28" fillId="0" borderId="4" applyAlignment="1" pivotButton="0" quotePrefix="0" xfId="0">
      <alignment vertical="top" wrapText="1"/>
    </xf>
  </cellXfs>
  <cellStyles count="1">
    <cellStyle name="Normal" xfId="0" builtinId="0" hidden="0"/>
  </cellStyles>
  <dxfs count="11">
    <dxf>
      <font>
        <b val="1"/>
        <color rgb="00C0392B"/>
      </font>
    </dxf>
    <dxf>
      <fill>
        <patternFill patternType="solid">
          <fgColor rgb="00FCE4D6"/>
          <bgColor rgb="00FCE4D6"/>
        </patternFill>
      </fill>
    </dxf>
    <dxf>
      <fill>
        <patternFill patternType="solid">
          <fgColor rgb="00FFF4CC"/>
          <bgColor rgb="00FFF4CC"/>
        </patternFill>
      </fill>
    </dxf>
    <dxf>
      <font>
        <b val="1"/>
        <color rgb="0014284B"/>
      </font>
      <fill>
        <patternFill patternType="solid">
          <fgColor rgb="00F5B800"/>
          <bgColor rgb="00F5B800"/>
        </patternFill>
      </fill>
    </dxf>
    <dxf>
      <fill>
        <patternFill patternType="solid">
          <fgColor rgb="00EEF3EA"/>
          <bgColor rgb="00EEF3EA"/>
        </patternFill>
      </fill>
    </dxf>
    <dxf>
      <font>
        <b val="1"/>
        <color rgb="00C0392B"/>
        <sz val="14"/>
      </font>
    </dxf>
    <dxf>
      <font>
        <b val="1"/>
        <color rgb="00C0392B"/>
      </font>
      <fill>
        <patternFill patternType="solid">
          <fgColor rgb="00F8D7DA"/>
          <bgColor rgb="00F8D7DA"/>
        </patternFill>
      </fill>
    </dxf>
    <dxf>
      <font>
        <b val="1"/>
        <color rgb="009C5700"/>
      </font>
      <fill>
        <patternFill patternType="solid">
          <fgColor rgb="00FCE4D6"/>
          <bgColor rgb="00FCE4D6"/>
        </patternFill>
      </fill>
    </dxf>
    <dxf>
      <font>
        <b val="1"/>
        <color rgb="002E7D32"/>
      </font>
    </dxf>
    <dxf>
      <font>
        <b val="1"/>
        <color rgb="006B7385"/>
      </font>
    </dxf>
    <dxf>
      <font>
        <b val="1"/>
        <color rgb="00C0392B"/>
      </font>
      <fill>
        <patternFill patternType="solid">
          <fgColor rgb="00FCE4D6"/>
          <b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harts/chart1.xml><?xml version="1.0" encoding="utf-8"?>
<chartSpace xmlns="http://schemas.openxmlformats.org/drawingml/2006/chart">
  <style val="2"/>
  <chart>
    <plotArea>
      <barChart>
        <barDir val="col"/>
        <grouping val="clustered"/>
        <ser>
          <idx val="0"/>
          <order val="0"/>
          <tx>
            <strRef>
              <f>'Dashboard'!D50</f>
            </strRef>
          </tx>
          <spPr>
            <a:solidFill xmlns:a="http://schemas.openxmlformats.org/drawingml/2006/main">
              <a:srgbClr val="14284B"/>
            </a:solidFill>
            <a:ln xmlns:a="http://schemas.openxmlformats.org/drawingml/2006/main">
              <a:noFill/>
              <a:prstDash val="solid"/>
            </a:ln>
          </spPr>
          <cat>
            <numRef>
              <f>'Dashboard'!$C$51:$C$56</f>
            </numRef>
          </cat>
          <val>
            <numRef>
              <f>'Dashboard'!$D$51:$D$56</f>
            </numRef>
          </val>
        </ser>
        <ser>
          <idx val="1"/>
          <order val="1"/>
          <tx>
            <strRef>
              <f>'Dashboard'!E50</f>
            </strRef>
          </tx>
          <spPr>
            <a:solidFill xmlns:a="http://schemas.openxmlformats.org/drawingml/2006/main">
              <a:srgbClr val="F5B800"/>
            </a:solidFill>
            <a:ln xmlns:a="http://schemas.openxmlformats.org/drawingml/2006/main">
              <a:noFill/>
              <a:prstDash val="solid"/>
            </a:ln>
          </spPr>
          <cat>
            <numRef>
              <f>'Dashboard'!$C$51:$C$56</f>
            </numRef>
          </cat>
          <val>
            <numRef>
              <f>'Dashboard'!$E$51:$E$56</f>
            </numRef>
          </val>
        </ser>
        <dLbls>
          <numFmt formatCode="#,##0.0;-#,##0.0;"/>
          <showLegendKey val="0"/>
          <showVal val="1"/>
          <showCatName val="0"/>
          <showSerName val="0"/>
          <showPercent val="0"/>
        </dLbls>
        <gapWidth val="6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a:solidFill>
                <a:srgbClr val="E3E7EE"/>
              </a:solidFill>
              <a:prstDash val="solid"/>
            </a:ln>
          </spPr>
        </majorGridlines>
        <numFmt formatCode="#,##0.0" sourceLinked="0"/>
        <majorTickMark val="none"/>
        <minorTickMark val="none"/>
        <spPr>
          <a:ln xmlns:a="http://schemas.openxmlformats.org/drawingml/2006/main">
            <a:noFill/>
            <a:prstDash val="solid"/>
          </a:ln>
        </spPr>
        <crossAx val="10"/>
      </valAx>
    </plotArea>
    <legend>
      <legendPos val="b"/>
    </legend>
    <plotVisOnly val="1"/>
    <dispBlanksAs val="gap"/>
  </chart>
</chartSpace>
</file>

<file path=xl/charts/chart2.xml><?xml version="1.0" encoding="utf-8"?>
<chartSpace xmlns="http://schemas.openxmlformats.org/drawingml/2006/chart">
  <style val="2"/>
  <chart>
    <plotArea>
      <barChart>
        <barDir val="bar"/>
        <grouping val="stacked"/>
        <ser>
          <idx val="0"/>
          <order val="0"/>
          <tx>
            <strRef>
              <f>'Dashboard'!J50</f>
            </strRef>
          </tx>
          <spPr>
            <a:solidFill xmlns:a="http://schemas.openxmlformats.org/drawingml/2006/main">
              <a:srgbClr val="14284B"/>
            </a:solidFill>
            <a:ln xmlns:a="http://schemas.openxmlformats.org/drawingml/2006/main">
              <a:noFill/>
              <a:prstDash val="solid"/>
            </a:ln>
          </spPr>
          <cat>
            <numRef>
              <f>'Dashboard'!$I$51:$I$60</f>
            </numRef>
          </cat>
          <val>
            <numRef>
              <f>'Dashboard'!$J$51:$J$60</f>
            </numRef>
          </val>
        </ser>
        <ser>
          <idx val="1"/>
          <order val="1"/>
          <tx>
            <strRef>
              <f>'Dashboard'!K50</f>
            </strRef>
          </tx>
          <spPr>
            <a:solidFill xmlns:a="http://schemas.openxmlformats.org/drawingml/2006/main">
              <a:srgbClr val="F5B800"/>
            </a:solidFill>
            <a:ln xmlns:a="http://schemas.openxmlformats.org/drawingml/2006/main">
              <a:noFill/>
              <a:prstDash val="solid"/>
            </a:ln>
          </spPr>
          <cat>
            <numRef>
              <f>'Dashboard'!$I$51:$I$60</f>
            </numRef>
          </cat>
          <val>
            <numRef>
              <f>'Dashboard'!$K$51:$K$60</f>
            </numRef>
          </val>
        </ser>
        <gapWidth val="60"/>
        <overlap val="10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a:solidFill>
                <a:srgbClr val="E3E7EE"/>
              </a:solidFill>
              <a:prstDash val="solid"/>
            </a:ln>
          </spPr>
        </majorGridlines>
        <numFmt formatCode="#,##0.0" sourceLinked="0"/>
        <majorTickMark val="none"/>
        <minorTickMark val="none"/>
        <spPr>
          <a:ln xmlns:a="http://schemas.openxmlformats.org/drawingml/2006/main">
            <a:noFill/>
            <a:prstDash val="solid"/>
          </a:ln>
        </spPr>
        <crossAx val="10"/>
      </valAx>
    </plotArea>
    <legend>
      <legendPos val="b"/>
    </legend>
    <plotVisOnly val="1"/>
    <dispBlanksAs val="gap"/>
  </chart>
</chartSpace>
</file>

<file path=xl/charts/chart3.xml><?xml version="1.0" encoding="utf-8"?>
<chartSpace xmlns="http://schemas.openxmlformats.org/drawingml/2006/chart">
  <style val="2"/>
  <chart>
    <plotArea>
      <barChart>
        <barDir val="bar"/>
        <grouping val="clustered"/>
        <ser>
          <idx val="0"/>
          <order val="0"/>
          <tx>
            <strRef>
              <f>'Dashboard'!P50</f>
            </strRef>
          </tx>
          <spPr>
            <a:solidFill xmlns:a="http://schemas.openxmlformats.org/drawingml/2006/main">
              <a:srgbClr val="2E4A7D"/>
            </a:solidFill>
            <a:ln xmlns:a="http://schemas.openxmlformats.org/drawingml/2006/main">
              <a:noFill/>
              <a:prstDash val="solid"/>
            </a:ln>
          </spPr>
          <invertIfNegative val="0"/>
          <cat>
            <numRef>
              <f>'Dashboard'!$O$51:$O$58</f>
            </numRef>
          </cat>
          <val>
            <numRef>
              <f>'Dashboard'!$P$51:$P$58</f>
            </numRef>
          </val>
        </ser>
        <dLbls>
          <numFmt formatCode="#,##0.00;-#,##0.00;"/>
          <showLegendKey val="0"/>
          <showVal val="1"/>
          <showCatName val="0"/>
          <showSerName val="0"/>
          <showPercent val="0"/>
        </dLbls>
        <gapWidth val="6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a:solidFill>
                <a:srgbClr val="E3E7EE"/>
              </a:solidFill>
              <a:prstDash val="solid"/>
            </a:ln>
          </spPr>
        </majorGridlines>
        <numFmt formatCode="#,##0.00" sourceLinked="0"/>
        <majorTickMark val="none"/>
        <minorTickMark val="none"/>
        <spPr>
          <a:ln xmlns:a="http://schemas.openxmlformats.org/drawingml/2006/main">
            <a:noFill/>
            <a:prstDash val="solid"/>
          </a:ln>
        </spPr>
        <crossAx val="10"/>
      </valAx>
    </plotArea>
    <plotVisOnly val="1"/>
    <dispBlanksAs val="gap"/>
  </chart>
</chartSpace>
</file>

<file path=xl/charts/chart4.xml><?xml version="1.0" encoding="utf-8"?>
<chartSpace xmlns="http://schemas.openxmlformats.org/drawingml/2006/chart">
  <style val="2"/>
  <chart>
    <plotArea>
      <barChart>
        <barDir val="col"/>
        <grouping val="clustered"/>
        <ser>
          <idx val="0"/>
          <order val="0"/>
          <tx>
            <strRef>
              <f>'Dashboard'!C63</f>
            </strRef>
          </tx>
          <spPr>
            <a:solidFill xmlns:a="http://schemas.openxmlformats.org/drawingml/2006/main">
              <a:srgbClr val="14284B"/>
            </a:solidFill>
            <a:ln xmlns:a="http://schemas.openxmlformats.org/drawingml/2006/main">
              <a:noFill/>
              <a:prstDash val="solid"/>
            </a:ln>
          </spPr>
          <cat>
            <numRef>
              <f>'Dashboard'!$B$64:$B$73</f>
            </numRef>
          </cat>
          <val>
            <numRef>
              <f>'Dashboard'!$C$64:$C$73</f>
            </numRef>
          </val>
        </ser>
        <ser>
          <idx val="1"/>
          <order val="1"/>
          <tx>
            <strRef>
              <f>'Dashboard'!D63</f>
            </strRef>
          </tx>
          <spPr>
            <a:solidFill xmlns:a="http://schemas.openxmlformats.org/drawingml/2006/main">
              <a:srgbClr val="F5B800"/>
            </a:solidFill>
            <a:ln xmlns:a="http://schemas.openxmlformats.org/drawingml/2006/main">
              <a:noFill/>
              <a:prstDash val="solid"/>
            </a:ln>
          </spPr>
          <cat>
            <numRef>
              <f>'Dashboard'!$B$64:$B$73</f>
            </numRef>
          </cat>
          <val>
            <numRef>
              <f>'Dashboard'!$D$64:$D$73</f>
            </numRef>
          </val>
        </ser>
        <gapWidth val="6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a:solidFill>
                <a:srgbClr val="E3E7EE"/>
              </a:solidFill>
              <a:prstDash val="solid"/>
            </a:ln>
          </spPr>
        </majorGridlines>
        <numFmt formatCode="#,##0.0" sourceLinked="0"/>
        <majorTickMark val="none"/>
        <minorTickMark val="none"/>
        <spPr>
          <a:ln xmlns:a="http://schemas.openxmlformats.org/drawingml/2006/main">
            <a:noFill/>
            <a:prstDash val="solid"/>
          </a:ln>
        </spPr>
        <crossAx val="10"/>
      </valAx>
    </plotArea>
    <legend>
      <legendPos val="b"/>
    </legend>
    <plotVisOnly val="1"/>
    <dispBlanksAs val="gap"/>
  </chart>
</chartSpace>
</file>

<file path=xl/charts/chart5.xml><?xml version="1.0" encoding="utf-8"?>
<chartSpace xmlns="http://schemas.openxmlformats.org/drawingml/2006/chart">
  <style val="2"/>
  <chart>
    <plotArea>
      <barChart>
        <barDir val="col"/>
        <grouping val="clustered"/>
        <ser>
          <idx val="0"/>
          <order val="0"/>
          <tx>
            <strRef>
              <f>'Projectdetail'!Q16</f>
            </strRef>
          </tx>
          <spPr>
            <a:solidFill xmlns:a="http://schemas.openxmlformats.org/drawingml/2006/main">
              <a:srgbClr val="14284B"/>
            </a:solidFill>
            <a:ln xmlns:a="http://schemas.openxmlformats.org/drawingml/2006/main">
              <a:noFill/>
              <a:prstDash val="solid"/>
            </a:ln>
          </spPr>
          <cat>
            <numRef>
              <f>'Projectdetail'!$P$17:$P$22</f>
            </numRef>
          </cat>
          <val>
            <numRef>
              <f>'Projectdetail'!$Q$17:$Q$22</f>
            </numRef>
          </val>
        </ser>
        <ser>
          <idx val="1"/>
          <order val="1"/>
          <tx>
            <strRef>
              <f>'Projectdetail'!R16</f>
            </strRef>
          </tx>
          <spPr>
            <a:solidFill xmlns:a="http://schemas.openxmlformats.org/drawingml/2006/main">
              <a:srgbClr val="F5B800"/>
            </a:solidFill>
            <a:ln xmlns:a="http://schemas.openxmlformats.org/drawingml/2006/main">
              <a:noFill/>
              <a:prstDash val="solid"/>
            </a:ln>
          </spPr>
          <cat>
            <numRef>
              <f>'Projectdetail'!$P$17:$P$22</f>
            </numRef>
          </cat>
          <val>
            <numRef>
              <f>'Projectdetail'!$R$17:$R$22</f>
            </numRef>
          </val>
        </ser>
        <gapWidth val="6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a:solidFill>
                <a:srgbClr val="E3E7EE"/>
              </a:solidFill>
              <a:prstDash val="solid"/>
            </a:ln>
          </spPr>
        </majorGridlines>
        <numFmt formatCode="#,##0" sourceLinked="0"/>
        <majorTickMark val="none"/>
        <minorTickMark val="none"/>
        <spPr>
          <a:ln xmlns:a="http://schemas.openxmlformats.org/drawingml/2006/main">
            <a:noFill/>
            <a:prstDash val="solid"/>
          </a:ln>
        </spPr>
        <crossAx val="10"/>
      </valAx>
    </plotArea>
    <legend>
      <legendPos val="b"/>
    </legend>
    <plotVisOnly val="1"/>
    <dispBlanksAs val="gap"/>
  </chart>
</chartSpace>
</file>

<file path=xl/charts/chart6.xml><?xml version="1.0" encoding="utf-8"?>
<chartSpace xmlns="http://schemas.openxmlformats.org/drawingml/2006/chart">
  <style val="2"/>
  <chart>
    <plotArea>
      <barChart>
        <barDir val="col"/>
        <grouping val="stacked"/>
        <ser>
          <idx val="0"/>
          <order val="0"/>
          <tx>
            <strRef>
              <f>'Projectdetail'!U42</f>
            </strRef>
          </tx>
          <spPr>
            <a:solidFill xmlns:a="http://schemas.openxmlformats.org/drawingml/2006/main">
              <a:srgbClr val="14284B"/>
            </a:solidFill>
            <a:ln xmlns:a="http://schemas.openxmlformats.org/drawingml/2006/main">
              <a:noFill/>
              <a:prstDash val="solid"/>
            </a:ln>
          </spPr>
          <cat>
            <numRef>
              <f>'Projectdetail'!$T$43:$T$59</f>
            </numRef>
          </cat>
          <val>
            <numRef>
              <f>'Projectdetail'!$U$43:$U$59</f>
            </numRef>
          </val>
        </ser>
        <ser>
          <idx val="1"/>
          <order val="1"/>
          <tx>
            <strRef>
              <f>'Projectdetail'!V42</f>
            </strRef>
          </tx>
          <spPr>
            <a:solidFill xmlns:a="http://schemas.openxmlformats.org/drawingml/2006/main">
              <a:srgbClr val="F5B800"/>
            </a:solidFill>
            <a:ln xmlns:a="http://schemas.openxmlformats.org/drawingml/2006/main">
              <a:noFill/>
              <a:prstDash val="solid"/>
            </a:ln>
          </spPr>
          <cat>
            <numRef>
              <f>'Projectdetail'!$T$43:$T$59</f>
            </numRef>
          </cat>
          <val>
            <numRef>
              <f>'Projectdetail'!$V$43:$V$59</f>
            </numRef>
          </val>
        </ser>
        <gapWidth val="60"/>
        <overlap val="10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a:solidFill>
                <a:srgbClr val="E3E7EE"/>
              </a:solidFill>
              <a:prstDash val="solid"/>
            </a:ln>
          </spPr>
        </majorGridlines>
        <numFmt formatCode="#,##0" sourceLinked="0"/>
        <majorTickMark val="none"/>
        <minorTickMark val="none"/>
        <spPr>
          <a:ln xmlns:a="http://schemas.openxmlformats.org/drawingml/2006/main">
            <a:noFill/>
            <a:prstDash val="solid"/>
          </a:ln>
        </spPr>
        <crossAx val="10"/>
      </valAx>
    </plotArea>
    <legend>
      <legendPos val="b"/>
    </legend>
    <plotVisOnly val="1"/>
    <dispBlanksAs val="gap"/>
  </chart>
</chartSpace>
</file>

<file path=xl/charts/chart7.xml><?xml version="1.0" encoding="utf-8"?>
<chartSpace xmlns="http://schemas.openxmlformats.org/drawingml/2006/chart">
  <style val="2"/>
  <chart>
    <plotArea>
      <barChart>
        <barDir val="col"/>
        <grouping val="stacked"/>
        <ser>
          <idx val="0"/>
          <order val="0"/>
          <tx>
            <strRef>
              <f>'Woningen'!C24</f>
            </strRef>
          </tx>
          <spPr>
            <a:solidFill xmlns:a="http://schemas.openxmlformats.org/drawingml/2006/main">
              <a:srgbClr val="14284B"/>
            </a:solidFill>
            <a:ln xmlns:a="http://schemas.openxmlformats.org/drawingml/2006/main">
              <a:noFill/>
              <a:prstDash val="solid"/>
            </a:ln>
          </spPr>
          <cat>
            <numRef>
              <f>'Woningen'!$B$25:$B$32</f>
            </numRef>
          </cat>
          <val>
            <numRef>
              <f>'Woningen'!$C$25:$C$32</f>
            </numRef>
          </val>
        </ser>
        <ser>
          <idx val="1"/>
          <order val="1"/>
          <tx>
            <strRef>
              <f>'Woningen'!D24</f>
            </strRef>
          </tx>
          <spPr>
            <a:solidFill xmlns:a="http://schemas.openxmlformats.org/drawingml/2006/main">
              <a:srgbClr val="F5B800"/>
            </a:solidFill>
            <a:ln xmlns:a="http://schemas.openxmlformats.org/drawingml/2006/main">
              <a:noFill/>
              <a:prstDash val="solid"/>
            </a:ln>
          </spPr>
          <cat>
            <numRef>
              <f>'Woningen'!$B$25:$B$32</f>
            </numRef>
          </cat>
          <val>
            <numRef>
              <f>'Woningen'!$D$25:$D$32</f>
            </numRef>
          </val>
        </ser>
        <gapWidth val="60"/>
        <overlap val="10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a:solidFill>
                <a:srgbClr val="E3E7EE"/>
              </a:solidFill>
              <a:prstDash val="solid"/>
            </a:ln>
          </spPr>
        </majorGridlines>
        <numFmt formatCode="#,##0" sourceLinked="0"/>
        <majorTickMark val="none"/>
        <minorTickMark val="none"/>
        <spPr>
          <a:ln xmlns:a="http://schemas.openxmlformats.org/drawingml/2006/main">
            <a:noFill/>
            <a:prstDash val="solid"/>
          </a:ln>
        </spPr>
        <crossAx val="10"/>
      </valAx>
    </plotArea>
    <legend>
      <legendPos val="b"/>
    </legend>
    <plotVisOnly val="1"/>
    <dispBlanksAs val="gap"/>
  </chart>
</chartSpace>
</file>

<file path=xl/charts/chart8.xml><?xml version="1.0" encoding="utf-8"?>
<chartSpace xmlns="http://schemas.openxmlformats.org/drawingml/2006/chart">
  <style val="2"/>
  <chart>
    <plotArea>
      <barChart>
        <barDir val="col"/>
        <grouping val="clustered"/>
        <ser>
          <idx val="0"/>
          <order val="0"/>
          <tx>
            <strRef>
              <f>'Woningen'!Q35</f>
            </strRef>
          </tx>
          <spPr>
            <a:solidFill xmlns:a="http://schemas.openxmlformats.org/drawingml/2006/main">
              <a:srgbClr val="14284B"/>
            </a:solidFill>
            <a:ln xmlns:a="http://schemas.openxmlformats.org/drawingml/2006/main">
              <a:noFill/>
              <a:prstDash val="solid"/>
            </a:ln>
          </spPr>
          <cat>
            <numRef>
              <f>'Woningen'!$C$36:$C$41</f>
            </numRef>
          </cat>
          <val>
            <numRef>
              <f>'Woningen'!$Q$36:$Q$41</f>
            </numRef>
          </val>
        </ser>
        <dLbls>
          <numFmt formatCode="#,##0;-#,##0;"/>
          <showLegendKey val="0"/>
          <showVal val="1"/>
          <showCatName val="0"/>
          <showSerName val="0"/>
          <showPercent val="0"/>
        </dLbls>
        <gapWidth val="6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a:solidFill>
                <a:srgbClr val="E3E7EE"/>
              </a:solidFill>
              <a:prstDash val="solid"/>
            </a:ln>
          </spPr>
        </majorGridlines>
        <numFmt formatCode="#,##0" sourceLinked="0"/>
        <majorTickMark val="none"/>
        <minorTickMark val="none"/>
        <spPr>
          <a:ln xmlns:a="http://schemas.openxmlformats.org/drawingml/2006/main">
            <a:noFill/>
            <a:prstDash val="solid"/>
          </a:ln>
        </spPr>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_rels/drawing3.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s>
</file>

<file path=xl/drawings/drawing1.xml><?xml version="1.0" encoding="utf-8"?>
<wsDr xmlns="http://schemas.openxmlformats.org/drawingml/2006/spreadsheetDrawing">
  <oneCellAnchor>
    <from>
      <col>1</col>
      <colOff>0</colOff>
      <row>12</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12</row>
      <rowOff>0</rowOff>
    </from>
    <ext cx="61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30</row>
      <rowOff>0</rowOff>
    </from>
    <ext cx="612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10</col>
      <colOff>0</colOff>
      <row>30</row>
      <rowOff>0</rowOff>
    </from>
    <ext cx="612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10</col>
      <colOff>0</colOff>
      <row>16</row>
      <rowOff>0</rowOff>
    </from>
    <ext cx="50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42</row>
      <rowOff>0</rowOff>
    </from>
    <ext cx="720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7</col>
      <colOff>0</colOff>
      <row>11</row>
      <rowOff>0</rowOff>
    </from>
    <ext cx="612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35</row>
      <rowOff>0</rowOff>
    </from>
    <ext cx="612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T_Aanvullend" displayName="T_Aanvullend" ref="A5:O11" headerRowCount="1">
  <autoFilter ref="A5:O11"/>
  <tableColumns count="15">
    <tableColumn id="1" name="Doeljaar"/>
    <tableColumn id="2" name="Versiejaar"/>
    <tableColumn id="3" name="Versie"/>
    <tableColumn id="4" name="Niveau"/>
    <tableColumn id="5" name="WBS-element"/>
    <tableColumn id="6" name="Rubriek"/>
    <tableColumn id="7" name="Soort"/>
    <tableColumn id="8" name="Waarde"/>
    <tableColumn id="9" name="Eenheid"/>
    <tableColumn id="10" name="Status"/>
    <tableColumn id="11" name="Toelichting"/>
    <tableColumn id="12" name="Bron / eigenaar"/>
    <tableColumn id="13" name="Telt vastgesteld"/>
    <tableColumn id="14" name="Telt concept"/>
    <tableColumn id="15" name="Conflict regio/project"/>
  </tableColumns>
  <tableStyleInfo name="TableStyleLight1" showRowStripes="1"/>
</table>
</file>

<file path=xl/tables/table2.xml><?xml version="1.0" encoding="utf-8"?>
<table xmlns="http://schemas.openxmlformats.org/spreadsheetml/2006/main" id="2" name="T_Toelichting" displayName="T_Toelichting" ref="A5:I6" headerRowCount="1">
  <autoFilter ref="A5:I6"/>
  <tableColumns count="9">
    <tableColumn id="1" name="Doeljaar"/>
    <tableColumn id="2" name="Versiejaar"/>
    <tableColumn id="3" name="Versie"/>
    <tableColumn id="4" name="WBS-element"/>
    <tableColumn id="5" name="Kengetal"/>
    <tableColumn id="6" name="Toelichting"/>
    <tableColumn id="7" name="Auteur"/>
    <tableColumn id="8" name="Datum"/>
    <tableColumn id="9" name="Sleutel"/>
  </tableColumns>
  <tableStyleInfo name="TableStyleLight1" showRowStripes="1"/>
</table>
</file>

<file path=xl/tables/table3.xml><?xml version="1.0" encoding="utf-8"?>
<table xmlns="http://schemas.openxmlformats.org/spreadsheetml/2006/main" id="3" name="T_Koperstype" displayName="T_Koperstype" ref="A5:I6" headerRowCount="1">
  <autoFilter ref="A5:I6"/>
  <tableColumns count="9">
    <tableColumn id="1" name="WBS-element"/>
    <tableColumn id="2" name="Doeljaar"/>
    <tableColumn id="3" name="Periode"/>
    <tableColumn id="4" name="Koperstype"/>
    <tableColumn id="5" name="Aantal"/>
    <tableColumn id="6" name="Status"/>
    <tableColumn id="7" name="Toelichting"/>
    <tableColumn id="8" name="Telt"/>
    <tableColumn id="9" name="Type (mapping)"/>
  </tableColumns>
  <tableStyleInfo name="TableStyleLight1" showRowStripes="1"/>
</table>
</file>

<file path=xl/tables/table4.xml><?xml version="1.0" encoding="utf-8"?>
<table xmlns="http://schemas.openxmlformats.org/spreadsheetml/2006/main" id="4" name="T_Projectmapping" displayName="T_Projectmapping" ref="A4:H24" headerRowCount="1">
  <autoFilter ref="A4:H24"/>
  <tableColumns count="8">
    <tableColumn id="1" name="WBS-element"/>
    <tableColumn id="2" name="Projectdefinitie"/>
    <tableColumn id="3" name="Projectnaam"/>
    <tableColumn id="4" name="Aantal woningen op aandeelbasis"/>
    <tableColumn id="5" name="Aandeel procent"/>
    <tableColumn id="6" name="Type"/>
    <tableColumn id="7" name="Woningen meetellen"/>
    <tableColumn id="8" name="Segment demo"/>
  </tableColumns>
  <tableStyleInfo name="TableStyleLight1" showRowStripes="1"/>
</table>
</file>

<file path=xl/tables/table5.xml><?xml version="1.0" encoding="utf-8"?>
<table xmlns="http://schemas.openxmlformats.org/spreadsheetml/2006/main" id="5" name="T_Importlog" displayName="T_Importlog" ref="A5:K11" headerRowCount="1">
  <autoFilter ref="A5:K11"/>
  <tableColumns count="11">
    <tableColumn id="1" name="Import-ID"/>
    <tableColumn id="2" name="Bron"/>
    <tableColumn id="3" name="Bestandsnaam"/>
    <tableColumn id="4" name="Importdatum"/>
    <tableColumn id="5" name="Peildatum"/>
    <tableColumn id="6" name="Versiejaar"/>
    <tableColumn id="7" name="Versie"/>
    <tableColumn id="8" name="Regels in bronbestand"/>
    <tableColumn id="9" name="Regels vastgelegd (live)"/>
    <tableColumn id="10" name="Status"/>
    <tableColumn id="11" name="Toelichting"/>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role'!A1" TargetMode="External" Id="rId1"/><Relationship Type="http://schemas.openxmlformats.org/officeDocument/2006/relationships/hyperlink" Target="#'Dashboard'!A1" TargetMode="External" Id="rId2"/><Relationship Type="http://schemas.openxmlformats.org/officeDocument/2006/relationships/hyperlink" Target="#'RDFO'!A1" TargetMode="External" Id="rId3"/><Relationship Type="http://schemas.openxmlformats.org/officeDocument/2006/relationships/hyperlink" Target="#'Projecten'!A1" TargetMode="External" Id="rId4"/><Relationship Type="http://schemas.openxmlformats.org/officeDocument/2006/relationships/hyperlink" Target="#'Projectdetail'!A1" TargetMode="External" Id="rId5"/><Relationship Type="http://schemas.openxmlformats.org/officeDocument/2006/relationships/hyperlink" Target="#'Woningen'!A1" TargetMode="External" Id="rId6"/><Relationship Type="http://schemas.openxmlformats.org/officeDocument/2006/relationships/hyperlink" Target="#'Controle'!A1" TargetMode="External" Id="rId7"/><Relationship Type="http://schemas.openxmlformats.org/officeDocument/2006/relationships/hyperlink" Target="#'Parameters'!A1" TargetMode="External" Id="rId8"/><Relationship Type="http://schemas.openxmlformats.org/officeDocument/2006/relationships/hyperlink" Target="#'Invoer_Aanvullend'!A1" TargetMode="External" Id="rId9"/><Relationship Type="http://schemas.openxmlformats.org/officeDocument/2006/relationships/hyperlink" Target="#'Invoer_Toelichting'!A1" TargetMode="External" Id="rId10"/><Relationship Type="http://schemas.openxmlformats.org/officeDocument/2006/relationships/hyperlink" Target="#'Invoer_Koperstype'!A1" TargetMode="External" Id="rId11"/><Relationship Type="http://schemas.openxmlformats.org/officeDocument/2006/relationships/hyperlink" Target="#'Mapping'!A1" TargetMode="External" Id="rId12"/><Relationship Type="http://schemas.openxmlformats.org/officeDocument/2006/relationships/hyperlink" Target="#'Vastlegging'!A1" TargetMode="External" Id="rId13"/><Relationship Type="http://schemas.openxmlformats.org/officeDocument/2006/relationships/hyperlink" Target="#'Vastleggen'!A1" TargetMode="External" Id="rId14"/><Relationship Type="http://schemas.openxmlformats.org/officeDocument/2006/relationships/hyperlink" Target="#'Importlog'!A1" TargetMode="External" Id="rId15"/><Relationship Type="http://schemas.openxmlformats.org/officeDocument/2006/relationships/hyperlink" Target="#'SRC_ZPMW03'!A1" TargetMode="External" Id="rId16"/><Relationship Type="http://schemas.openxmlformats.org/officeDocument/2006/relationships/hyperlink" Target="#'SRC_Woningetalage'!A1" TargetMode="External" Id="rId17"/><Relationship Type="http://schemas.openxmlformats.org/officeDocument/2006/relationships/hyperlink" Target="#'STG_ZPMW03'!A1" TargetMode="External" Id="rId18"/><Relationship Type="http://schemas.openxmlformats.org/officeDocument/2006/relationships/hyperlink" Target="#'STG_Woningetalage'!A1" TargetMode="External" Id="rId19"/><Relationship Type="http://schemas.openxmlformats.org/officeDocument/2006/relationships/hyperlink" Target="#'VERW_Project'!A1" TargetMode="External" Id="rId20"/><Relationship Type="http://schemas.openxmlformats.org/officeDocument/2006/relationships/hyperlink" Target="#'CALC_Versies'!A1" TargetMode="External" Id="rId21"/><Relationship Type="http://schemas.openxmlformats.org/officeDocument/2006/relationships/hyperlink" Target="#'Handleiding'!A1" TargetMode="External" Id="rId22"/><Relationship Type="http://schemas.openxmlformats.org/officeDocument/2006/relationships/hyperlink" Target="#'Rapportagemapping'!A1" TargetMode="External" Id="rId23"/><Relationship Type="http://schemas.openxmlformats.org/officeDocument/2006/relationships/hyperlink" Target="#'Productievragen'!A1" TargetMode="External" Id="rId24"/><Relationship Type="http://schemas.openxmlformats.org/officeDocument/2006/relationships/hyperlink" Target="#'Veldwoordenboek'!A1" TargetMode="External" Id="rId25"/><Relationship Type="http://schemas.openxmlformats.org/officeDocument/2006/relationships/hyperlink" Target="#'Testresultaten'!A1" TargetMode="External" Id="rId26"/></Relationships>
</file>

<file path=xl/worksheets/_rels/sheet2.xml.rels><Relationships xmlns="http://schemas.openxmlformats.org/package/2006/relationships"><Relationship Type="http://schemas.openxmlformats.org/officeDocument/2006/relationships/hyperlink" Target="#'Controle'!A1" TargetMode="External" Id="rId1"/><Relationship Type="http://schemas.openxmlformats.org/officeDocument/2006/relationships/drawing" Target="/xl/drawings/drawing1.xml" Id="rId2"/></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table" Target="/xl/tables/table1.xml" Id="rId1"/></Relationships>
</file>

<file path=xl/worksheets/_rels/sheet10.xml.rels><Relationships xmlns="http://schemas.openxmlformats.org/package/2006/relationships"><Relationship Type="http://schemas.openxmlformats.org/officeDocument/2006/relationships/table" Target="/xl/tables/table2.xml" Id="rId1"/></Relationships>
</file>

<file path=xl/worksheets/_rels/sheet11.xml.rels><Relationships xmlns="http://schemas.openxmlformats.org/package/2006/relationships"><Relationship Type="http://schemas.openxmlformats.org/officeDocument/2006/relationships/table" Target="/xl/tables/table3.xml" Id="rId1"/></Relationships>
</file>

<file path=xl/worksheets/_rels/sheet12.xml.rels><Relationships xmlns="http://schemas.openxmlformats.org/package/2006/relationships"><Relationship Type="http://schemas.openxmlformats.org/officeDocument/2006/relationships/table" Target="/xl/tables/table4.xml" Id="rId1"/></Relationships>
</file>

<file path=xl/worksheets/_rels/sheet1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tabColor rgb="0014284B"/>
    <outlinePr summaryBelow="1" summaryRight="1"/>
    <pageSetUpPr fitToPage="1"/>
  </sheetPr>
  <dimension ref="A1:H48"/>
  <sheetViews>
    <sheetView showGridLines="0" zoomScale="100" workbookViewId="0">
      <selection activeCell="A1" sqref="A1"/>
    </sheetView>
  </sheetViews>
  <sheetFormatPr baseColWidth="8" defaultRowHeight="15"/>
  <cols>
    <col width="2" customWidth="1" min="1" max="1"/>
    <col width="24" customWidth="1" min="2" max="2"/>
    <col width="70" customWidth="1" min="3" max="3"/>
    <col width="4" customWidth="1" min="4" max="4"/>
    <col width="26" customWidth="1" min="5" max="5"/>
    <col width="22" customWidth="1" min="6" max="6"/>
  </cols>
  <sheetData>
    <row r="1" ht="28" customHeight="1">
      <c r="A1" s="1" t="n"/>
      <c r="B1" s="2" t="inlineStr">
        <is>
          <t>RDFO-prototype — fictieve demodata</t>
        </is>
      </c>
      <c r="C1" s="1" t="n"/>
      <c r="D1" s="1" t="n"/>
      <c r="E1" s="1" t="n"/>
      <c r="F1" s="1" t="n"/>
      <c r="G1" s="1" t="n"/>
      <c r="H1" s="1" t="n"/>
    </row>
    <row r="2">
      <c r="B2" s="3" t="inlineStr">
        <is>
          <t>Werkend prototype op uitsluitend fictieve data. Demo-aannames zijn geen vastgestelde SAP-definities.</t>
        </is>
      </c>
    </row>
    <row r="4">
      <c r="B4" s="4" t="inlineStr">
        <is>
          <t>Status</t>
        </is>
      </c>
      <c r="C4" s="4" t="str">
        <f>IF(Controle!$D$4&gt;0,"✖ "&amp;Controle!$D$4&amp;" FOUT(en) — zie Controle",IF(Controle!$D$5&gt;0,"▲ geen fouten, "&amp;Controle!$D$5&amp;" waarschuwing(en)","✔ geen fouten of waarschuwingen"))</f>
        <v>✔ geen fouten of waarschuwingen</v>
      </c>
    </row>
    <row r="5">
      <c r="C5" s="5" t="str">
        <f>"Upload: "&amp;P_UploadVersie&amp;" "&amp;P_UploadVJ&amp;" · peildatum "&amp;P_PeilTxt&amp;" · Import-ID "&amp;P_ImportID&amp;" · rapportage: doeljaar "&amp;Sel_Doeljaar&amp;", "&amp;Sel_Label</f>
        <v>Upload: Q3 2026 · peildatum 30-09-2026 · Import-ID IMP-2026-Q3-01 · rapportage: doeljaar 2026, Q3 2026 (vastgesteld)</v>
      </c>
    </row>
    <row r="7">
      <c r="E7" s="6" t="inlineStr">
        <is>
          <t>Legenda</t>
        </is>
      </c>
    </row>
    <row r="8">
      <c r="B8" s="7" t="inlineStr">
        <is>
          <t>Rapportage</t>
        </is>
      </c>
      <c r="C8" s="8" t="n"/>
      <c r="E8" s="9" t="inlineStr">
        <is>
          <t>Invoercel (blauw cijfer, lichtgeel)</t>
        </is>
      </c>
    </row>
    <row r="9">
      <c r="B9" s="10" t="inlineStr">
        <is>
          <t>Dashboard</t>
        </is>
      </c>
      <c r="C9" s="5" t="inlineStr">
        <is>
          <t>Regiodashboard: filters (doeljaar, versie, type, project), KPI-tegels, prognoseverloop, mutaties, doorkijk.</t>
        </is>
      </c>
      <c r="E9" s="9" t="inlineStr">
        <is>
          <t>Geselecteerde versie (geel vlak)</t>
        </is>
      </c>
    </row>
    <row r="10">
      <c r="B10" s="10" t="inlineStr">
        <is>
          <t>RDFO</t>
        </is>
      </c>
      <c r="C10" s="5" t="inlineStr">
        <is>
          <t>Volledige RDFO-opbouw: Budget, Q1–Q4 vastgelegd, upload-concept, realisatie YTD, to go, delta’s.</t>
        </is>
      </c>
      <c r="E10" s="11" t="inlineStr">
        <is>
          <t>Realisatie / actual (groen, cursief)</t>
        </is>
      </c>
    </row>
    <row r="11">
      <c r="B11" s="10" t="inlineStr">
        <is>
          <t>Projecten</t>
        </is>
      </c>
      <c r="C11" s="5" t="inlineStr">
        <is>
          <t>Per project: versies, realisatie, to go, BOR, marge, verschillen + toelichting.</t>
        </is>
      </c>
      <c r="E11" s="12" t="inlineStr">
        <is>
          <t>Subtotaal onvolledig (bevat n.b.)</t>
        </is>
      </c>
    </row>
    <row r="12">
      <c r="B12" s="10" t="inlineStr">
        <is>
          <t>Projectdetail</t>
        </is>
      </c>
      <c r="C12" s="5" t="inlineStr">
        <is>
          <t>Eén project: kerngegevens, versieverloop, planning omzet/BOR, woningverkopen.</t>
        </is>
      </c>
      <c r="E12" s="13" t="inlineStr">
        <is>
          <t>KPI-tegel / totaal</t>
        </is>
      </c>
    </row>
    <row r="13">
      <c r="B13" s="10" t="inlineStr">
        <is>
          <t>Woningen</t>
        </is>
      </c>
      <c r="C13" s="5" t="inlineStr">
        <is>
          <t>Verkopen per maand/kwartaal, jaarverwachting per versie, koperstype, segment, projectmatrix.</t>
        </is>
      </c>
      <c r="E13" s="14" t="inlineStr">
        <is>
          <t>Bronkop</t>
        </is>
      </c>
    </row>
    <row r="14">
      <c r="B14" s="10" t="inlineStr">
        <is>
          <t>Controle</t>
        </is>
      </c>
      <c r="C14" s="5" t="inlineStr">
        <is>
          <t>Alle controles met status en uitzonderingslijsten.</t>
        </is>
      </c>
    </row>
    <row r="15">
      <c r="E15" s="15" t="inlineStr">
        <is>
          <t>n.b. = niet beschikbaar · n.v.t. = niet van toepassing</t>
        </is>
      </c>
    </row>
    <row r="16">
      <c r="B16" s="7" t="inlineStr">
        <is>
          <t>Invoer</t>
        </is>
      </c>
      <c r="C16" s="8" t="n"/>
      <c r="E16" s="15" t="inlineStr">
        <is>
          <t>Bedragen bron: EUR, volle precisie</t>
        </is>
      </c>
    </row>
    <row r="17">
      <c r="B17" s="10" t="inlineStr">
        <is>
          <t>Parameters</t>
        </is>
      </c>
      <c r="C17" s="5" t="inlineStr">
        <is>
          <t>Rapportagejaar, peildatum, uploadversie, eenheid, Import-ID, status bij vastleggen.</t>
        </is>
      </c>
      <c r="E17" s="15" t="inlineStr">
        <is>
          <t>Omzet/winst positief, verlies negatief</t>
        </is>
      </c>
    </row>
    <row r="18">
      <c r="B18" s="10" t="inlineStr">
        <is>
          <t>Invoer_Aanvullend</t>
        </is>
      </c>
      <c r="C18" s="5" t="inlineStr">
        <is>
          <t>Posten die niet uit de bronnen komen (taakstelling, eliminaties, AK-dekking, fees …).</t>
        </is>
      </c>
    </row>
    <row r="19">
      <c r="B19" s="10" t="inlineStr">
        <is>
          <t>Invoer_Toelichting</t>
        </is>
      </c>
      <c r="C19" s="5" t="inlineStr">
        <is>
          <t>Toelichtingen op verschillen per project en versie.</t>
        </is>
      </c>
    </row>
    <row r="20">
      <c r="B20" s="10" t="inlineStr">
        <is>
          <t>Invoer_Koperstype</t>
        </is>
      </c>
      <c r="C20" s="5" t="inlineStr">
        <is>
          <t>Optionele koperstype-verdeling voor toekomstige verkopen.</t>
        </is>
      </c>
    </row>
    <row r="21">
      <c r="B21" s="10" t="inlineStr">
        <is>
          <t>Mapping</t>
        </is>
      </c>
      <c r="C21" s="5" t="inlineStr">
        <is>
          <t>Projectmapping WBS → projectdefinitie, type, segment, woningen meetellen.</t>
        </is>
      </c>
    </row>
    <row r="23">
      <c r="B23" s="7" t="inlineStr">
        <is>
          <t>Versiebeheer</t>
        </is>
      </c>
      <c r="C23" s="8" t="n"/>
    </row>
    <row r="24">
      <c r="B24" s="10" t="inlineStr">
        <is>
          <t>Vastlegging</t>
        </is>
      </c>
      <c r="C24" s="5" t="inlineStr">
        <is>
          <t>Onveranderlijk versiegrootboek (alleen toevoegen).</t>
        </is>
      </c>
    </row>
    <row r="25">
      <c r="B25" s="10" t="inlineStr">
        <is>
          <t>Vastleggen</t>
        </is>
      </c>
      <c r="C25" s="5" t="inlineStr">
        <is>
          <t>Concept van de huidige upload in grootboekformaat — HANDMATIG kopiëren/plakken als waarden.</t>
        </is>
      </c>
    </row>
    <row r="26">
      <c r="B26" s="10" t="inlineStr">
        <is>
          <t>Importlog</t>
        </is>
      </c>
      <c r="C26" s="5" t="inlineStr">
        <is>
          <t>Audittrail per import/vastlegging.</t>
        </is>
      </c>
    </row>
    <row r="28">
      <c r="B28" s="7" t="inlineStr">
        <is>
          <t>Bron en verwerking (niet wijzigen)</t>
        </is>
      </c>
      <c r="C28" s="8" t="n"/>
    </row>
    <row r="29">
      <c r="B29" s="10" t="inlineStr">
        <is>
          <t>SRC_ZPMW03</t>
        </is>
      </c>
      <c r="C29" s="5" t="inlineStr">
        <is>
          <t>Ongewijzigde export ZPMW03 — hier plakken.</t>
        </is>
      </c>
    </row>
    <row r="30">
      <c r="B30" s="10" t="inlineStr">
        <is>
          <t>SRC_Woningetalage</t>
        </is>
      </c>
      <c r="C30" s="5" t="inlineStr">
        <is>
          <t>Ongewijzigde export Woningetalage — hier plakken.</t>
        </is>
      </c>
    </row>
    <row r="31">
      <c r="B31" s="10" t="inlineStr">
        <is>
          <t>STG_ZPMW03</t>
        </is>
      </c>
      <c r="C31" s="5" t="inlineStr">
        <is>
          <t>Staging: velden gezocht op kolomnaam, tekenomzetting, regelcontroles.</t>
        </is>
      </c>
    </row>
    <row r="32">
      <c r="B32" s="10" t="inlineStr">
        <is>
          <t>STG_Woningetalage</t>
        </is>
      </c>
      <c r="C32" s="5" t="inlineStr">
        <is>
          <t>Staging: dubbele headers op positie, jaarheaders via mapping, regelcontroles.</t>
        </is>
      </c>
    </row>
    <row r="33">
      <c r="B33" s="10" t="inlineStr">
        <is>
          <t>VERW_Project</t>
        </is>
      </c>
      <c r="C33" s="5" t="inlineStr">
        <is>
          <t>Eén regel per gemapt WBS; elke bron eerst per WBS geaggregeerd.</t>
        </is>
      </c>
    </row>
    <row r="34">
      <c r="B34" s="10" t="inlineStr">
        <is>
          <t>CALC_Versies</t>
        </is>
      </c>
      <c r="C34" s="5" t="inlineStr">
        <is>
          <t>Totalen per versie (regio en gefilterd), geselecteerde en vorige versie.</t>
        </is>
      </c>
    </row>
    <row r="36">
      <c r="B36" s="7" t="inlineStr">
        <is>
          <t>Documentatie</t>
        </is>
      </c>
      <c r="C36" s="8" t="n"/>
    </row>
    <row r="37">
      <c r="B37" s="10" t="inlineStr">
        <is>
          <t>Handleiding</t>
        </is>
      </c>
      <c r="C37" s="5" t="inlineStr">
        <is>
          <t>Bronvervanging, verversen, kwartaalvastlegging, correcties.</t>
        </is>
      </c>
    </row>
    <row r="38">
      <c r="B38" s="10" t="inlineStr">
        <is>
          <t>Rapportagemapping</t>
        </is>
      </c>
      <c r="C38" s="5" t="inlineStr">
        <is>
          <t>Elke rapportageregel → bron / berekening / aanvullende invoer + open definities.</t>
        </is>
      </c>
    </row>
    <row r="39">
      <c r="B39" s="10" t="inlineStr">
        <is>
          <t>Productievragen</t>
        </is>
      </c>
      <c r="C39" s="5" t="inlineStr">
        <is>
          <t>Openstaande vragen vóór productie.</t>
        </is>
      </c>
    </row>
    <row r="40">
      <c r="B40" s="10" t="inlineStr">
        <is>
          <t>Veldwoordenboek</t>
        </is>
      </c>
      <c r="C40" s="5" t="inlineStr">
        <is>
          <t>Interne veldnamen, aliassen, dubbele headers, jaarheader-mapping.</t>
        </is>
      </c>
    </row>
    <row r="41">
      <c r="B41" s="10" t="inlineStr">
        <is>
          <t>Testresultaten</t>
        </is>
      </c>
      <c r="C41" s="5" t="inlineStr">
        <is>
          <t>Uitgevoerde scenario-tests (nieuwe upload, dubbele import, correctie, weging, verlies).</t>
        </is>
      </c>
    </row>
    <row r="43">
      <c r="B43" s="16" t="inlineStr">
        <is>
          <t>Ontwerpkeuze</t>
        </is>
      </c>
      <c r="C43" s="8" t="n"/>
      <c r="D43" s="8" t="n"/>
      <c r="E43" s="8" t="n"/>
      <c r="F43" s="8" t="n"/>
    </row>
    <row r="44" ht="30" customHeight="1">
      <c r="B44" s="17" t="inlineStr">
        <is>
          <t>Keuze</t>
        </is>
      </c>
      <c r="C44" s="18" t="inlineStr">
        <is>
          <t>Excel met gestructureerde lagen en formule-staging op kolomnaam; géén Power Query, géén macro's.</t>
        </is>
      </c>
    </row>
    <row r="45" ht="90" customHeight="1">
      <c r="B45" s="17" t="inlineStr">
        <is>
          <t>Waarom geen Power Query (nu)</t>
        </is>
      </c>
      <c r="C45" s="18" t="inlineStr">
        <is>
          <t>De bronnen worden per ronde handmatig vervangen en zijn klein (tientallen tot honderden regels). Een plak-tabblad met staging op kolomnaam geeft hetzelfde voordeel als Power Query (kolomvolgorde mag wijzigen, aliassen, dubbele headers op positie) maar werkt in elke Excelversie, rekent direct mee, is cel-voor-cel controleerbaar en kon in dit prototype automatisch getest worden. Power Query-queries kunnen in deze bouwomgeving niet worden uitgevoerd of getest; een ongeteste query opleveren past niet bij 'beloof niets dat niet werkt'.</t>
        </is>
      </c>
    </row>
    <row r="46" ht="45" customHeight="1">
      <c r="B46" s="17" t="inlineStr">
        <is>
          <t>Wanneer wél Power Query</t>
        </is>
      </c>
      <c r="C46" s="18" t="inlineStr">
        <is>
          <t>Als bronnen uit een vaste map/SharePoint komen of groter worden dan ~500 regels. De staginglaag (STG_*) is dan 1-op-1 te vervangen door een query die dezelfde interne veldnamen (Veldwoordenboek) oplevert; rapportage en versiebeheer blijven ongewijzigd.</t>
        </is>
      </c>
    </row>
    <row r="47" ht="30" customHeight="1">
      <c r="B47" s="17" t="inlineStr">
        <is>
          <t>Waarom geen macro's</t>
        </is>
      </c>
      <c r="C47" s="18" t="inlineStr">
        <is>
          <t>Vastleggen is bewust een handmatige plak-als-waarden-stap met automatische revisie, dubbel-detectie en controles. Er is dus geen upload- of snapshotknop; dat wordt nergens gesuggereerd.</t>
        </is>
      </c>
    </row>
    <row r="48" ht="60" customHeight="1">
      <c r="B48" s="17" t="inlineStr">
        <is>
          <t>Waarom een grootboek (long format)</t>
        </is>
      </c>
      <c r="C48" s="18" t="inlineStr">
        <is>
          <t>Elke vastgelegde waarde is één regel: Import-ID, bronbestand, importdatum, status, versiejaar, versie, revisie, peildatum, doeljaar, WBS, historische projectnaam/type/IFRS, kengetal, waarde, eenheid, toelichting. Nieuwe kengetallen of versies vragen geen nieuwe kolommen of bladen; rapportage leest alleen actieve vastgestelde regels.</t>
        </is>
      </c>
    </row>
  </sheetData>
  <hyperlinks>
    <hyperlink xmlns:r="http://schemas.openxmlformats.org/officeDocument/2006/relationships" ref="C4" r:id="rId1"/>
    <hyperlink xmlns:r="http://schemas.openxmlformats.org/officeDocument/2006/relationships" ref="B9" r:id="rId2"/>
    <hyperlink xmlns:r="http://schemas.openxmlformats.org/officeDocument/2006/relationships" ref="B10" r:id="rId3"/>
    <hyperlink xmlns:r="http://schemas.openxmlformats.org/officeDocument/2006/relationships" ref="B11" r:id="rId4"/>
    <hyperlink xmlns:r="http://schemas.openxmlformats.org/officeDocument/2006/relationships" ref="B12" r:id="rId5"/>
    <hyperlink xmlns:r="http://schemas.openxmlformats.org/officeDocument/2006/relationships" ref="B13" r:id="rId6"/>
    <hyperlink xmlns:r="http://schemas.openxmlformats.org/officeDocument/2006/relationships" ref="B14" r:id="rId7"/>
    <hyperlink xmlns:r="http://schemas.openxmlformats.org/officeDocument/2006/relationships" ref="B17" r:id="rId8"/>
    <hyperlink xmlns:r="http://schemas.openxmlformats.org/officeDocument/2006/relationships" ref="B18" r:id="rId9"/>
    <hyperlink xmlns:r="http://schemas.openxmlformats.org/officeDocument/2006/relationships" ref="B19" r:id="rId10"/>
    <hyperlink xmlns:r="http://schemas.openxmlformats.org/officeDocument/2006/relationships" ref="B20" r:id="rId11"/>
    <hyperlink xmlns:r="http://schemas.openxmlformats.org/officeDocument/2006/relationships" ref="B21" r:id="rId12"/>
    <hyperlink xmlns:r="http://schemas.openxmlformats.org/officeDocument/2006/relationships" ref="B24" r:id="rId13"/>
    <hyperlink xmlns:r="http://schemas.openxmlformats.org/officeDocument/2006/relationships" ref="B25" r:id="rId14"/>
    <hyperlink xmlns:r="http://schemas.openxmlformats.org/officeDocument/2006/relationships" ref="B26" r:id="rId15"/>
    <hyperlink xmlns:r="http://schemas.openxmlformats.org/officeDocument/2006/relationships" ref="B29" r:id="rId16"/>
    <hyperlink xmlns:r="http://schemas.openxmlformats.org/officeDocument/2006/relationships" ref="B30" r:id="rId17"/>
    <hyperlink xmlns:r="http://schemas.openxmlformats.org/officeDocument/2006/relationships" ref="B31" r:id="rId18"/>
    <hyperlink xmlns:r="http://schemas.openxmlformats.org/officeDocument/2006/relationships" ref="B32" r:id="rId19"/>
    <hyperlink xmlns:r="http://schemas.openxmlformats.org/officeDocument/2006/relationships" ref="B33" r:id="rId20"/>
    <hyperlink xmlns:r="http://schemas.openxmlformats.org/officeDocument/2006/relationships" ref="B34" r:id="rId21"/>
    <hyperlink xmlns:r="http://schemas.openxmlformats.org/officeDocument/2006/relationships" ref="B37" r:id="rId22"/>
    <hyperlink xmlns:r="http://schemas.openxmlformats.org/officeDocument/2006/relationships" ref="B38" r:id="rId23"/>
    <hyperlink xmlns:r="http://schemas.openxmlformats.org/officeDocument/2006/relationships" ref="B39" r:id="rId24"/>
    <hyperlink xmlns:r="http://schemas.openxmlformats.org/officeDocument/2006/relationships" ref="B40" r:id="rId25"/>
    <hyperlink xmlns:r="http://schemas.openxmlformats.org/officeDocument/2006/relationships" ref="B41" r:id="rId26"/>
  </hyperlinks>
  <printOptions horizontalCentered="1"/>
  <pageMargins left="0.4" right="0.4" top="0.5" bottom="0.5" header="0.5" footer="0.5"/>
  <pageSetup orientation="landscape" paperSize="9" fitToHeight="0" fitToWidth="1"/>
</worksheet>
</file>

<file path=xl/worksheets/sheet2.xml><?xml version="1.0" encoding="utf-8"?>
<worksheet xmlns="http://schemas.openxmlformats.org/spreadsheetml/2006/main">
  <sheetPr>
    <tabColor rgb="00F5B800"/>
    <outlinePr summaryBelow="1" summaryRight="1"/>
    <pageSetUpPr fitToPage="1"/>
  </sheetPr>
  <dimension ref="A1:S73"/>
  <sheetViews>
    <sheetView showGridLines="0" zoomScale="90" workbookViewId="0">
      <selection activeCell="A1" sqref="A1"/>
    </sheetView>
  </sheetViews>
  <sheetFormatPr baseColWidth="8" defaultRowHeight="15"/>
  <cols>
    <col width="2" customWidth="1" min="1" max="1"/>
    <col width="9.5" customWidth="1" min="2" max="2"/>
    <col width="14" customWidth="1" min="3" max="3"/>
    <col width="9.5" customWidth="1" min="4" max="4"/>
    <col width="9.5" customWidth="1" min="5" max="5"/>
    <col width="9.5" customWidth="1" min="6" max="6"/>
    <col width="9.5" customWidth="1" min="7" max="7"/>
    <col width="9.5" customWidth="1" min="8" max="8"/>
    <col width="22" customWidth="1" min="9" max="9"/>
    <col width="9.5" customWidth="1" min="10" max="10"/>
    <col width="9.5" customWidth="1" min="11" max="11"/>
    <col width="9.5" customWidth="1" min="12" max="12"/>
    <col width="9.5" customWidth="1" min="13" max="13"/>
    <col width="9.5" customWidth="1" min="14" max="14"/>
    <col width="22" customWidth="1" min="15" max="15"/>
    <col width="9.5" customWidth="1" min="16" max="16"/>
    <col width="9.5" customWidth="1" min="17" max="17"/>
    <col width="9.5" customWidth="1" min="18" max="18"/>
    <col width="9.5" customWidth="1" min="19" max="19"/>
  </cols>
  <sheetData>
    <row r="1" ht="28" customHeight="1">
      <c r="A1" s="1" t="n"/>
      <c r="B1" s="2" t="str">
        <f>"Regiodashboard "&amp;P_Regio&amp;" — doeljaar "&amp;Sel_Doeljaar&amp;" · versie "&amp;Sel_Label</f>
        <v>Regiodashboard Demo Regio — doeljaar 2026 · versie Q3 2026 (vastgesteld)</v>
      </c>
      <c r="C1" s="1" t="n"/>
      <c r="D1" s="1" t="n"/>
      <c r="E1" s="1" t="n"/>
      <c r="F1" s="1" t="n"/>
      <c r="G1" s="1" t="n"/>
      <c r="H1" s="1" t="n"/>
      <c r="I1" s="1" t="n"/>
      <c r="J1" s="1" t="n"/>
      <c r="K1" s="1" t="n"/>
      <c r="L1" s="1" t="n"/>
      <c r="M1" s="1" t="n"/>
      <c r="N1" s="1" t="n"/>
      <c r="O1" s="1" t="n"/>
      <c r="P1" s="1" t="n"/>
      <c r="Q1" s="1" t="n"/>
      <c r="R1" s="1" t="n"/>
      <c r="S1" s="1" t="n"/>
    </row>
    <row r="2">
      <c r="B2" s="3" t="str">
        <f>"Bedragen in EUR mln (bron: EUR, volledige precisie) · upload peildatum "&amp;P_PeilTxt&amp;" · filter: "&amp;Sel_FiltLabel</f>
        <v>Bedragen in EUR mln (bron: EUR, volledige precisie) · upload peildatum 30-09-2026 · filter: geen filter</v>
      </c>
    </row>
    <row r="4">
      <c r="B4" s="19" t="inlineStr">
        <is>
          <t>Doeljaar</t>
        </is>
      </c>
      <c r="E4" s="19" t="inlineStr">
        <is>
          <t>Versie</t>
        </is>
      </c>
      <c r="H4" s="19" t="inlineStr">
        <is>
          <t>Opstal / deelneming</t>
        </is>
      </c>
      <c r="K4" s="19" t="inlineStr">
        <is>
          <t>Project</t>
        </is>
      </c>
      <c r="P4" s="19" t="inlineStr">
        <is>
          <t>Controlestatus</t>
        </is>
      </c>
    </row>
    <row r="5">
      <c r="B5" s="20" t="n">
        <v>2026</v>
      </c>
      <c r="C5" s="21" t="n"/>
      <c r="E5" s="20" t="inlineStr">
        <is>
          <t>Q3</t>
        </is>
      </c>
      <c r="F5" s="21" t="n"/>
      <c r="H5" s="20" t="inlineStr">
        <is>
          <t>Alle</t>
        </is>
      </c>
      <c r="I5" s="21" t="n"/>
      <c r="K5" s="20" t="inlineStr">
        <is>
          <t>Alle</t>
        </is>
      </c>
      <c r="L5" s="22" t="n"/>
      <c r="M5" s="22" t="n"/>
      <c r="N5" s="21" t="n"/>
      <c r="P5" s="6" t="str">
        <f>IF(Controle!$D$4&gt;0,"✖ "&amp;Controle!$D$4&amp;" fout(en)",IF(Controle!$D$5&gt;0,"▲ "&amp;Controle!$D$5&amp;" waarschuwing(en)","✔ geen fouten"))</f>
        <v>✔ geen fouten</v>
      </c>
    </row>
    <row r="7">
      <c r="B7" s="23" t="str">
        <f>"Omzet FY "&amp;Sel_Doeljaar&amp;" · "&amp;Sel_Versie</f>
        <v>Omzet FY 2026 · Q3</v>
      </c>
      <c r="C7" s="24" t="n"/>
      <c r="E7" s="23" t="str">
        <f>"BOR FY "&amp;Sel_Doeljaar&amp;" · "&amp;Sel_Versie</f>
        <v>BOR FY 2026 · Q3</v>
      </c>
      <c r="F7" s="24" t="n"/>
      <c r="H7" s="23" t="inlineStr">
        <is>
          <t>Realisatie YTD (zelfde peildatum)</t>
        </is>
      </c>
      <c r="I7" s="24" t="n"/>
      <c r="K7" s="23" t="inlineStr">
        <is>
          <t>Omzet to go (FY − realisatie)</t>
        </is>
      </c>
      <c r="L7" s="24" t="n"/>
      <c r="N7" s="23" t="str">
        <f>"Woningverkopen "&amp;Sel_Doeljaar&amp;" · "&amp;Sel_Versie</f>
        <v>Woningverkopen 2026 · Q3</v>
      </c>
      <c r="O7" s="24" t="n"/>
      <c r="Q7" s="23" t="inlineStr">
        <is>
          <t>Etalage (upload, onverkocht)</t>
        </is>
      </c>
      <c r="R7" s="24" t="n"/>
    </row>
    <row r="8" ht="28" customHeight="1">
      <c r="B8" s="25">
        <f>IF(ISNUMBER(CALC_Versies!$S$11),CALC_Versies!$S$11/1000000,"n.b.")</f>
        <v>114.0968</v>
      </c>
      <c r="E8" s="25">
        <f>IF(ISNUMBER(CALC_Versies!$T$11),CALC_Versies!$T$11/1000000,"n.b.")</f>
        <v>10.477198</v>
      </c>
      <c r="H8" s="25">
        <f>IF(ISNUMBER(CALC_Versies!$U$11),CALC_Versies!$U$11/1000000,CALC_Versies!$U$11)</f>
        <v>74.16292</v>
      </c>
      <c r="K8" s="25">
        <f>IF(CALC_Versies!$U$11="n.v.t.",IF(ISNUMBER(CALC_Versies!$S$11),CALC_Versies!$S$11/1000000,"n.b."),IF(AND(ISNUMBER(CALC_Versies!$S$11),ISNUMBER(CALC_Versies!$U$11)),(CALC_Versies!$S$11-CALC_Versies!$U$11)/1000000,"n.b."))</f>
        <v>39.93388</v>
      </c>
      <c r="N8" s="26">
        <f>CALC_Versies!$W$11</f>
        <v>360</v>
      </c>
      <c r="Q8" s="26">
        <f>SUMIFS(V_W_Etalage,V_Meetellen,"Ja",V_Type,Sel_TypeCrit,V_WBS,Sel_WBS)</f>
        <v>902</v>
      </c>
    </row>
    <row r="9">
      <c r="B9" s="27" t="str">
        <f>"Δ budget: "&amp;IF(AND(ISNUMBER(CALC_Versies!$S$11),ISNUMBER(CALC_Versies!$S$5)),FIXED((CALC_Versies!$S$11-CALC_Versies!$S$5)/1000000,1)&amp;" mln","n.b.")</f>
        <v>Δ budget: -4.4 mln</v>
      </c>
      <c r="C9" s="28" t="n"/>
      <c r="E9" s="27" t="str">
        <f>"BOR %: "&amp;IF(AND(ISNUMBER(CALC_Versies!$T$11),ISNUMBER(CALC_Versies!$S$11)),IF(CALC_Versies!$S$11&lt;&gt;0,FIXED(CALC_Versies!$T$11/CALC_Versies!$S$11*100,1)&amp;"%","n.b."),"n.b.")</f>
        <v>BOR %: 9.2%</v>
      </c>
      <c r="F9" s="28" t="n"/>
      <c r="H9" s="27" t="str">
        <f>IF(AND(ISNUMBER(CALC_Versies!$U$11),ISNUMBER(CALC_Versies!$S$11)),IF(CALC_Versies!$S$11&lt;&gt;0,FIXED(CALC_Versies!$U$11/CALC_Versies!$S$11*100,0)&amp;"% van FY-prognose","n.b."),"voortgang n.b.")</f>
        <v>65% van FY-prognose</v>
      </c>
      <c r="I9" s="28" t="n"/>
      <c r="K9" s="27" t="str">
        <f>"BOR to go: "&amp;IF(CALC_Versies!$V$11="n.v.t.",IF(ISNUMBER(CALC_Versies!$T$11),FIXED(CALC_Versies!$T$11/1000000,1),"n.b."),IF(AND(ISNUMBER(CALC_Versies!$T$11),ISNUMBER(CALC_Versies!$V$11)),FIXED((CALC_Versies!$T$11-CALC_Versies!$V$11)/1000000,1),"n.b."))&amp;" mln"</f>
        <v>BOR to go: 3.7 mln</v>
      </c>
      <c r="L9" s="28" t="n"/>
      <c r="N9" s="27" t="str">
        <f>"actual YTD: "&amp;CALC_Versies!$X$11</f>
        <v>actual YTD: 193</v>
      </c>
      <c r="O9" s="28" t="n"/>
      <c r="Q9" s="27" t="str">
        <f>"verkocht: "&amp;IF(SUMIFS(V_W_Aantal,V_Meetellen,"Ja",V_Type,Sel_TypeCrit,V_WBS,Sel_WBS)=0,"n.b.",FIXED(SUMIFS(V_W_Cum_T,V_Meetellen,"Ja",V_Type,Sel_TypeCrit,V_WBS,Sel_WBS)/SUMIFS(V_W_Aantal,V_Meetellen,"Ja",V_Type,Sel_TypeCrit,V_WBS,Sel_WBS)*100,0)&amp;"%")</f>
        <v>verkocht: 22%</v>
      </c>
      <c r="R9" s="28" t="n"/>
    </row>
    <row r="10">
      <c r="B10" s="27" t="str">
        <f>"Δ "&amp;IF(Sel_Prev="","vorige",Sel_Prev)&amp;": "&amp;IF(AND(ISNUMBER(CALC_Versies!$S$11),ISNUMBER(CALC_Versies!$S$12)),FIXED((CALC_Versies!$S$11-CALC_Versies!$S$12)/1000000,1)&amp;" mln","n.b.")</f>
        <v>Δ Q2: 1.3 mln</v>
      </c>
      <c r="C10" s="28" t="n"/>
      <c r="E10" s="27" t="str">
        <f>"Δ budget: "&amp;IF(AND(ISNUMBER(CALC_Versies!$T$11),ISNUMBER(CALC_Versies!$T$5)),FIXED((CALC_Versies!$T$11-CALC_Versies!$T$5)/1000000,1)&amp;" mln","n.b.")</f>
        <v>Δ budget: -0.3 mln</v>
      </c>
      <c r="F10" s="28" t="n"/>
      <c r="H10" s="29">
        <f>IF(AND(ISNUMBER(CALC_Versies!$U$11),ISNUMBER(CALC_Versies!$S$11)),IF(CALC_Versies!$S$11&lt;&gt;0,CALC_Versies!$U$11/CALC_Versies!$S$11,0),0)</f>
        <v>0.65</v>
      </c>
      <c r="I10" s="28" t="n"/>
      <c r="K10" s="27" t="str">
        <f>"nooit oude prognose − nieuwe actual"</f>
        <v>nooit oude prognose − nieuwe actual</v>
      </c>
      <c r="L10" s="28" t="n"/>
      <c r="N10" s="27" t="str">
        <f>"budget: "&amp;CALC_Versies!$W$5</f>
        <v>budget: 372</v>
      </c>
      <c r="O10" s="28" t="n"/>
      <c r="Q10" s="27" t="str">
        <f>"verliesprojecten (upload): "&amp;SUMIFS(V_Verlies,V_Type,Sel_TypeCrit,V_WBS,Sel_WBS)</f>
        <v>verliesprojecten (upload): 2</v>
      </c>
      <c r="R10" s="28" t="n"/>
    </row>
    <row r="12">
      <c r="B12" s="6" t="str">
        <f>"Jaarprognoseverloop "&amp;Sel_Doeljaar&amp;": FY-omzet en BOR per vastgelegde versie (EUR mln)"</f>
        <v>Jaarprognoseverloop 2026: FY-omzet en BOR per vastgelegde versie (EUR mln)</v>
      </c>
      <c r="K12" s="6" t="str">
        <f>"Realisatie vs resterende prognose — top 10 projecten, "&amp;Sel_Label&amp;" (EUR mln)"</f>
        <v>Realisatie vs resterende prognose — top 10 projecten, Q3 2026 (vastgesteld) (EUR mln)</v>
      </c>
    </row>
    <row r="30">
      <c r="B30" s="6" t="str">
        <f>"Grootste projectmutaties "&amp;Sel_Versie&amp;" vs "&amp;IF(Sel_Prev="","–",Sel_Prev)&amp;" (Δ FY-omzet, EUR mln)"</f>
        <v>Grootste projectmutaties Q3 vs Q2 (Δ FY-omzet, EUR mln)</v>
      </c>
      <c r="K30" s="6" t="str">
        <f>"Meerjarendoorkijk upload "&amp;P_PeilTxt&amp;" (EUR mln)"</f>
        <v>Meerjarendoorkijk upload 30-09-2026 (EUR mln)</v>
      </c>
    </row>
    <row r="47">
      <c r="B47" s="30" t="inlineStr">
        <is>
          <t>Kolommen met '(n.b.)' in het label hebben geen vastgelegde versie: de staaf ontbreekt bewust (niet nul). Realisatie (donkerblauw) en resterende prognose (geel) zijn gescheiden.</t>
        </is>
      </c>
    </row>
    <row r="48">
      <c r="B48" s="16" t="inlineStr">
        <is>
          <t>Grafiekdata (gekoppeld aan CALC_Versies / Projecten / VERW_Project — niet overschrijven)</t>
        </is>
      </c>
      <c r="C48" s="8" t="n"/>
      <c r="D48" s="8" t="n"/>
      <c r="E48" s="8" t="n"/>
      <c r="F48" s="8" t="n"/>
      <c r="G48" s="8" t="n"/>
      <c r="H48" s="8" t="n"/>
      <c r="I48" s="8" t="n"/>
      <c r="J48" s="8" t="n"/>
      <c r="K48" s="8" t="n"/>
      <c r="L48" s="8" t="n"/>
      <c r="M48" s="8" t="n"/>
      <c r="N48" s="8" t="n"/>
      <c r="O48" s="8" t="n"/>
      <c r="P48" s="8" t="n"/>
      <c r="Q48" s="8" t="n"/>
      <c r="R48" s="8" t="n"/>
    </row>
    <row r="49">
      <c r="B49" s="31" t="inlineStr">
        <is>
          <t>A. Jaarprognoseverloop (EUR mln)</t>
        </is>
      </c>
      <c r="H49" s="31" t="inlineStr">
        <is>
          <t>B. Top 10 projecten: realisatie vs to go (EUR mln, geselecteerde versie)</t>
        </is>
      </c>
      <c r="N49" s="31" t="inlineStr">
        <is>
          <t>C. Grootste mutaties vs vorige versie (EUR mln)</t>
        </is>
      </c>
    </row>
    <row r="50" ht="18" customHeight="1">
      <c r="B50" s="32" t="inlineStr">
        <is>
          <t>Versie</t>
        </is>
      </c>
      <c r="C50" s="33" t="inlineStr">
        <is>
          <t>Label</t>
        </is>
      </c>
      <c r="D50" s="33" t="inlineStr">
        <is>
          <t>Omzet FY</t>
        </is>
      </c>
      <c r="E50" s="33" t="inlineStr">
        <is>
          <t>BOR FY</t>
        </is>
      </c>
      <c r="F50" s="33" t="inlineStr">
        <is>
          <t>BOR %</t>
        </is>
      </c>
      <c r="H50" s="32" t="inlineStr">
        <is>
          <t>#</t>
        </is>
      </c>
      <c r="I50" s="33" t="inlineStr">
        <is>
          <t>Project</t>
        </is>
      </c>
      <c r="J50" s="33" t="inlineStr">
        <is>
          <t>Realisatie YTD</t>
        </is>
      </c>
      <c r="K50" s="33" t="inlineStr">
        <is>
          <t>To go</t>
        </is>
      </c>
      <c r="L50" s="33" t="inlineStr">
        <is>
          <t>FY</t>
        </is>
      </c>
      <c r="N50" s="32" t="inlineStr">
        <is>
          <t>#</t>
        </is>
      </c>
      <c r="O50" s="33" t="inlineStr">
        <is>
          <t>Project</t>
        </is>
      </c>
      <c r="P50" s="33" t="inlineStr">
        <is>
          <t>Δ omzet FY</t>
        </is>
      </c>
    </row>
    <row r="51">
      <c r="B51" s="34" t="inlineStr">
        <is>
          <t>Budget</t>
        </is>
      </c>
      <c r="C51" t="str">
        <f>B51&amp;IF(ISNUMBER(CALC_Versies!$S$5),""," (n.b.)")</f>
        <v>Budget</v>
      </c>
      <c r="D51" s="35">
        <f>IF(ISNUMBER(CALC_Versies!$S$5),CALC_Versies!$S$5/1000000,0)</f>
        <v>118.52544</v>
      </c>
      <c r="E51" s="35">
        <f>IF(ISNUMBER(CALC_Versies!$T$5),CALC_Versies!$T$5/1000000,0)</f>
        <v>10.769875</v>
      </c>
      <c r="F51" s="36">
        <f>IF(AND(ISNUMBER(CALC_Versies!$S$5),ISNUMBER(CALC_Versies!$T$5)),IF(CALC_Versies!$S$5&lt;&gt;0,CALC_Versies!$T$5/CALC_Versies!$S$5,"n.b."),"n.b.")</f>
        <v>0.090865513766496</v>
      </c>
      <c r="H51" s="34" t="n">
        <v>1</v>
      </c>
      <c r="I51" t="str">
        <f>IF($Q51=0,"",INDEX(Projecten!$B$10:$B$109,$Q51))</f>
        <v>Duinwaard, Duinrand</v>
      </c>
      <c r="J51" s="35">
        <f>IF($Q51=0,0,IF(ISNUMBER(INDEX(Projecten!$L$10:$L$109,$Q51)),INDEX(Projecten!$L$10:$L$109,$Q51)*P_Factor/1000000,0))</f>
        <v>10.8108</v>
      </c>
      <c r="K51" s="35">
        <f>IF($Q51=0,0,IF(ISNUMBER(INDEX(Projecten!$M$10:$M$109,$Q51)),INDEX(Projecten!$M$10:$M$109,$Q51)*P_Factor/1000000,0))</f>
        <v>5.8212</v>
      </c>
      <c r="L51" s="35">
        <f>IF($Q51=0,0,INDEX(Projecten!$K$10:$K$109,$Q51)*P_Factor/1000000)</f>
        <v>16.632</v>
      </c>
      <c r="N51" s="34" t="n">
        <v>1</v>
      </c>
      <c r="O51" t="str">
        <f>IF($R51=0,"",INDEX(Projecten!$B$10:$B$109,$R51))</f>
        <v>Duinwaard, Duinrand</v>
      </c>
      <c r="P51" s="37">
        <f>IF($R51=0,0,INDEX(Projecten!$Q$10:$Q$109,$R51)*P_Factor/1000000)</f>
        <v>0.498959999999999</v>
      </c>
      <c r="Q51" s="15">
        <f>IFERROR(MATCH(LARGE(Projecten!$U$10:$U$109,1),Projecten!$U$10:$U$109,0),0)</f>
        <v>9</v>
      </c>
      <c r="R51" s="15">
        <f>IFERROR(MATCH(LARGE(Projecten!$V$10:$V$109,1),Projecten!$V$10:$V$109,0),0)</f>
        <v>9</v>
      </c>
    </row>
    <row r="52">
      <c r="B52" s="34" t="inlineStr">
        <is>
          <t>Q1</t>
        </is>
      </c>
      <c r="C52" t="str">
        <f>B52&amp;IF(ISNUMBER(CALC_Versies!$S$6),""," (n.b.)")</f>
        <v>Q1</v>
      </c>
      <c r="D52" s="35">
        <f>IF(ISNUMBER(CALC_Versies!$S$6),CALC_Versies!$S$6/1000000,0)</f>
        <v>116.753984</v>
      </c>
      <c r="E52" s="35">
        <f>IF(ISNUMBER(CALC_Versies!$T$6),CALC_Versies!$T$6/1000000,0)</f>
        <v>10.6528042</v>
      </c>
      <c r="F52" s="36">
        <f>IF(AND(ISNUMBER(CALC_Versies!$S$6),ISNUMBER(CALC_Versies!$T$6)),IF(CALC_Versies!$S$6&lt;&gt;0,CALC_Versies!$T$6/CALC_Versies!$S$6,"n.b."),"n.b.")</f>
        <v>0.0912414620472394</v>
      </c>
      <c r="H52" s="34" t="n">
        <v>2</v>
      </c>
      <c r="I52" t="str">
        <f>IF($Q52=0,"",INDEX(Projecten!$B$10:$B$109,$Q52))</f>
        <v>Meerhovenstad, Hofstaete</v>
      </c>
      <c r="J52" s="35">
        <f>IF($Q52=0,0,IF(ISNUMBER(INDEX(Projecten!$L$10:$L$109,$Q52)),INDEX(Projecten!$L$10:$L$109,$Q52)*P_Factor/1000000,0))</f>
        <v>9.4848</v>
      </c>
      <c r="K52" s="35">
        <f>IF($Q52=0,0,IF(ISNUMBER(INDEX(Projecten!$M$10:$M$109,$Q52)),INDEX(Projecten!$M$10:$M$109,$Q52)*P_Factor/1000000,0))</f>
        <v>5.1072</v>
      </c>
      <c r="L52" s="35">
        <f>IF($Q52=0,0,INDEX(Projecten!$K$10:$K$109,$Q52)*P_Factor/1000000)</f>
        <v>14.592</v>
      </c>
      <c r="N52" s="34" t="n">
        <v>2</v>
      </c>
      <c r="O52" t="str">
        <f>IF($R52=0,"",INDEX(Projecten!$B$10:$B$109,$R52))</f>
        <v>Meerhovenstad, Hofstaete</v>
      </c>
      <c r="P52" s="37">
        <f>IF($R52=0,0,INDEX(Projecten!$Q$10:$Q$109,$R52)*P_Factor/1000000)</f>
        <v>0.43776</v>
      </c>
      <c r="Q52" s="15">
        <f>IFERROR(MATCH(LARGE(Projecten!$U$10:$U$109,2),Projecten!$U$10:$U$109,0),0)</f>
        <v>11</v>
      </c>
      <c r="R52" s="15">
        <f>IFERROR(MATCH(LARGE(Projecten!$V$10:$V$109,2),Projecten!$V$10:$V$109,0),0)</f>
        <v>11</v>
      </c>
    </row>
    <row r="53">
      <c r="B53" s="34" t="inlineStr">
        <is>
          <t>Q2</t>
        </is>
      </c>
      <c r="C53" t="str">
        <f>B53&amp;IF(ISNUMBER(CALC_Versies!$S$7),""," (n.b.)")</f>
        <v>Q2</v>
      </c>
      <c r="D53" s="35">
        <f>IF(ISNUMBER(CALC_Versies!$S$7),CALC_Versies!$S$7/1000000,0)</f>
        <v>112.768208</v>
      </c>
      <c r="E53" s="35">
        <f>IF(ISNUMBER(CALC_Versies!$T$7),CALC_Versies!$T$7/1000000,0)</f>
        <v>10.3893949</v>
      </c>
      <c r="F53" s="36">
        <f>IF(AND(ISNUMBER(CALC_Versies!$S$7),ISNUMBER(CALC_Versies!$T$7)),IF(CALC_Versies!$S$7&lt;&gt;0,CALC_Versies!$T$7/CALC_Versies!$S$7,"n.b."),"n.b.")</f>
        <v>0.0921305311511202</v>
      </c>
      <c r="H53" s="34" t="n">
        <v>3</v>
      </c>
      <c r="I53" t="str">
        <f>IF($Q53=0,"",INDEX(Projecten!$B$10:$B$109,$Q53))</f>
        <v>Veldendam, Spoorpark</v>
      </c>
      <c r="J53" s="35">
        <f>IF($Q53=0,0,IF(ISNUMBER(INDEX(Projecten!$L$10:$L$109,$Q53)),INDEX(Projecten!$L$10:$L$109,$Q53)*P_Factor/1000000,0))</f>
        <v>7.644</v>
      </c>
      <c r="K53" s="35">
        <f>IF($Q53=0,0,IF(ISNUMBER(INDEX(Projecten!$M$10:$M$109,$Q53)),INDEX(Projecten!$M$10:$M$109,$Q53)*P_Factor/1000000,0))</f>
        <v>4.116</v>
      </c>
      <c r="L53" s="35">
        <f>IF($Q53=0,0,INDEX(Projecten!$K$10:$K$109,$Q53)*P_Factor/1000000)</f>
        <v>11.76</v>
      </c>
      <c r="N53" s="34" t="n">
        <v>3</v>
      </c>
      <c r="O53" t="str">
        <f>IF($R53=0,"",INDEX(Projecten!$B$10:$B$109,$R53))</f>
        <v>Veldendam, Spoorpark</v>
      </c>
      <c r="P53" s="37">
        <f>IF($R53=0,0,INDEX(Projecten!$Q$10:$Q$109,$R53)*P_Factor/1000000)</f>
        <v>0.352799999999999</v>
      </c>
      <c r="Q53" s="15">
        <f>IFERROR(MATCH(LARGE(Projecten!$U$10:$U$109,3),Projecten!$U$10:$U$109,0),0)</f>
        <v>17</v>
      </c>
      <c r="R53" s="15">
        <f>IFERROR(MATCH(LARGE(Projecten!$V$10:$V$109,3),Projecten!$V$10:$V$109,0),0)</f>
        <v>17</v>
      </c>
    </row>
    <row r="54">
      <c r="B54" s="34" t="inlineStr">
        <is>
          <t>Q3</t>
        </is>
      </c>
      <c r="C54" t="str">
        <f>B54&amp;IF(ISNUMBER(CALC_Versies!$S$8),""," (n.b.)")</f>
        <v>Q3</v>
      </c>
      <c r="D54" s="35">
        <f>IF(ISNUMBER(CALC_Versies!$S$8),CALC_Versies!$S$8/1000000,0)</f>
        <v>114.0968</v>
      </c>
      <c r="E54" s="35">
        <f>IF(ISNUMBER(CALC_Versies!$T$8),CALC_Versies!$T$8/1000000,0)</f>
        <v>10.477198</v>
      </c>
      <c r="F54" s="36">
        <f>IF(AND(ISNUMBER(CALC_Versies!$S$8),ISNUMBER(CALC_Versies!$T$8)),IF(CALC_Versies!$S$8&lt;&gt;0,CALC_Versies!$T$8/CALC_Versies!$S$8,"n.b."),"n.b.")</f>
        <v>0.0918272729822396</v>
      </c>
      <c r="H54" s="34" t="n">
        <v>4</v>
      </c>
      <c r="I54" t="str">
        <f>IF($Q54=0,"",INDEX(Projecten!$B$10:$B$109,$Q54))</f>
        <v>Rietdam, Rietoevers</v>
      </c>
      <c r="J54" s="35">
        <f>IF($Q54=0,0,IF(ISNUMBER(INDEX(Projecten!$L$10:$L$109,$Q54)),INDEX(Projecten!$L$10:$L$109,$Q54)*P_Factor/1000000,0))</f>
        <v>5.70024</v>
      </c>
      <c r="K54" s="35">
        <f>IF($Q54=0,0,IF(ISNUMBER(INDEX(Projecten!$M$10:$M$109,$Q54)),INDEX(Projecten!$M$10:$M$109,$Q54)*P_Factor/1000000,0))</f>
        <v>3.06936</v>
      </c>
      <c r="L54" s="35">
        <f>IF($Q54=0,0,INDEX(Projecten!$K$10:$K$109,$Q54)*P_Factor/1000000)</f>
        <v>8.7696</v>
      </c>
      <c r="N54" s="34" t="n">
        <v>4</v>
      </c>
      <c r="O54" t="str">
        <f>IF($R54=0,"",INDEX(Projecten!$B$10:$B$109,$R54))</f>
        <v>Rietdam, Rietoevers</v>
      </c>
      <c r="P54" s="37">
        <f>IF($R54=0,0,INDEX(Projecten!$Q$10:$Q$109,$R54)*P_Factor/1000000)</f>
        <v>-0.263088</v>
      </c>
      <c r="Q54" s="15">
        <f>IFERROR(MATCH(LARGE(Projecten!$U$10:$U$109,4),Projecten!$U$10:$U$109,0),0)</f>
        <v>14</v>
      </c>
      <c r="R54" s="15">
        <f>IFERROR(MATCH(LARGE(Projecten!$V$10:$V$109,4),Projecten!$V$10:$V$109,0),0)</f>
        <v>14</v>
      </c>
    </row>
    <row r="55">
      <c r="B55" s="34" t="inlineStr">
        <is>
          <t>Q4</t>
        </is>
      </c>
      <c r="C55" t="str">
        <f>B55&amp;IF(ISNUMBER(CALC_Versies!$S$9),""," (n.b.)")</f>
        <v>Q4 (n.b.)</v>
      </c>
      <c r="D55" s="35">
        <f>IF(ISNUMBER(CALC_Versies!$S$9),CALC_Versies!$S$9/1000000,0)</f>
        <v>0</v>
      </c>
      <c r="E55" s="35">
        <f>IF(ISNUMBER(CALC_Versies!$T$9),CALC_Versies!$T$9/1000000,0)</f>
        <v>0</v>
      </c>
      <c r="F55" s="36" t="str">
        <f>IF(AND(ISNUMBER(CALC_Versies!$S$9),ISNUMBER(CALC_Versies!$T$9)),IF(CALC_Versies!$S$9&lt;&gt;0,CALC_Versies!$T$9/CALC_Versies!$S$9,"n.b."),"n.b.")</f>
        <v>n.b.</v>
      </c>
      <c r="H55" s="34" t="n">
        <v>5</v>
      </c>
      <c r="I55" t="str">
        <f>IF($Q55=0,"",INDEX(Projecten!$B$10:$B$109,$Q55))</f>
        <v>Zilverdam, Kadezicht</v>
      </c>
      <c r="J55" s="35">
        <f>IF($Q55=0,0,IF(ISNUMBER(INDEX(Projecten!$L$10:$L$109,$Q55)),INDEX(Projecten!$L$10:$L$109,$Q55)*P_Factor/1000000,0))</f>
        <v>4.368</v>
      </c>
      <c r="K55" s="35">
        <f>IF($Q55=0,0,IF(ISNUMBER(INDEX(Projecten!$M$10:$M$109,$Q55)),INDEX(Projecten!$M$10:$M$109,$Q55)*P_Factor/1000000,0))</f>
        <v>2.352</v>
      </c>
      <c r="L55" s="35">
        <f>IF($Q55=0,0,INDEX(Projecten!$K$10:$K$109,$Q55)*P_Factor/1000000)</f>
        <v>6.72</v>
      </c>
      <c r="N55" s="34" t="n">
        <v>5</v>
      </c>
      <c r="O55" t="str">
        <f>IF($R55=0,"",INDEX(Projecten!$B$10:$B$109,$R55))</f>
        <v>Zilverdam, Kadezicht</v>
      </c>
      <c r="P55" s="37">
        <f>IF($R55=0,0,INDEX(Projecten!$Q$10:$Q$109,$R55)*P_Factor/1000000)</f>
        <v>0.2016</v>
      </c>
      <c r="Q55" s="15">
        <f>IFERROR(MATCH(LARGE(Projecten!$U$10:$U$109,5),Projecten!$U$10:$U$109,0),0)</f>
        <v>5</v>
      </c>
      <c r="R55" s="15">
        <f>IFERROR(MATCH(LARGE(Projecten!$V$10:$V$109,5),Projecten!$V$10:$V$109,0),0)</f>
        <v>5</v>
      </c>
    </row>
    <row r="56">
      <c r="B56" s="34" t="inlineStr">
        <is>
          <t>Upload</t>
        </is>
      </c>
      <c r="C56" t="str">
        <f>"Upload "&amp;P_PeilTxt&amp;IF(ISNUMBER(CALC_Versies!$S$10),""," (n.b.)")</f>
        <v>Upload 30-09-2026</v>
      </c>
      <c r="D56" s="35">
        <f>IF(ISNUMBER(CALC_Versies!$S$10),CALC_Versies!$S$10/1000000,0)</f>
        <v>114.0968</v>
      </c>
      <c r="E56" s="35">
        <f>IF(ISNUMBER(CALC_Versies!$T$10),CALC_Versies!$T$10/1000000,0)</f>
        <v>10.477198</v>
      </c>
      <c r="F56" s="36">
        <f>IF(AND(ISNUMBER(CALC_Versies!$S$10),ISNUMBER(CALC_Versies!$T$10)),IF(CALC_Versies!$S$10&lt;&gt;0,CALC_Versies!$T$10/CALC_Versies!$S$10,"n.b."),"n.b.")</f>
        <v>0.0918272729822396</v>
      </c>
      <c r="H56" s="34" t="n">
        <v>6</v>
      </c>
      <c r="I56" t="str">
        <f>IF($Q56=0,"",INDEX(Projecten!$B$10:$B$109,$Q56))</f>
        <v>Boswaard, De Eiken</v>
      </c>
      <c r="J56" s="35">
        <f>IF($Q56=0,0,IF(ISNUMBER(INDEX(Projecten!$L$10:$L$109,$Q56)),INDEX(Projecten!$L$10:$L$109,$Q56)*P_Factor/1000000,0))</f>
        <v>4.26816</v>
      </c>
      <c r="K56" s="35">
        <f>IF($Q56=0,0,IF(ISNUMBER(INDEX(Projecten!$M$10:$M$109,$Q56)),INDEX(Projecten!$M$10:$M$109,$Q56)*P_Factor/1000000,0))</f>
        <v>2.29824</v>
      </c>
      <c r="L56" s="35">
        <f>IF($Q56=0,0,INDEX(Projecten!$K$10:$K$109,$Q56)*P_Factor/1000000)</f>
        <v>6.5664</v>
      </c>
      <c r="N56" s="34" t="n">
        <v>6</v>
      </c>
      <c r="O56" t="str">
        <f>IF($R56=0,"",INDEX(Projecten!$B$10:$B$109,$R56))</f>
        <v>Boswaard, De Eiken</v>
      </c>
      <c r="P56" s="37">
        <f>IF($R56=0,0,INDEX(Projecten!$Q$10:$Q$109,$R56)*P_Factor/1000000)</f>
        <v>-0.196992</v>
      </c>
      <c r="Q56" s="15">
        <f>IFERROR(MATCH(LARGE(Projecten!$U$10:$U$109,6),Projecten!$U$10:$U$109,0),0)</f>
        <v>6</v>
      </c>
      <c r="R56" s="15">
        <f>IFERROR(MATCH(LARGE(Projecten!$V$10:$V$109,6),Projecten!$V$10:$V$109,0),0)</f>
        <v>6</v>
      </c>
    </row>
    <row r="57">
      <c r="H57" s="34" t="n">
        <v>7</v>
      </c>
      <c r="I57" t="str">
        <f>IF($Q57=0,"",INDEX(Projecten!$B$10:$B$109,$Q57))</f>
        <v>Zilverdam, Havenlicht</v>
      </c>
      <c r="J57" s="35">
        <f>IF($Q57=0,0,IF(ISNUMBER(INDEX(Projecten!$L$10:$L$109,$Q57)),INDEX(Projecten!$L$10:$L$109,$Q57)*P_Factor/1000000,0))</f>
        <v>4.0131</v>
      </c>
      <c r="K57" s="35">
        <f>IF($Q57=0,0,IF(ISNUMBER(INDEX(Projecten!$M$10:$M$109,$Q57)),INDEX(Projecten!$M$10:$M$109,$Q57)*P_Factor/1000000,0))</f>
        <v>2.1609</v>
      </c>
      <c r="L57" s="35">
        <f>IF($Q57=0,0,INDEX(Projecten!$K$10:$K$109,$Q57)*P_Factor/1000000)</f>
        <v>6.174</v>
      </c>
      <c r="N57" s="34" t="n">
        <v>7</v>
      </c>
      <c r="O57" t="str">
        <f>IF($R57=0,"",INDEX(Projecten!$B$10:$B$109,$R57))</f>
        <v>Zilverdam, Havenlicht</v>
      </c>
      <c r="P57" s="37">
        <f>IF($R57=0,0,INDEX(Projecten!$Q$10:$Q$109,$R57)*P_Factor/1000000)</f>
        <v>0.18522</v>
      </c>
      <c r="Q57" s="15">
        <f>IFERROR(MATCH(LARGE(Projecten!$U$10:$U$109,7),Projecten!$U$10:$U$109,0),0)</f>
        <v>19</v>
      </c>
      <c r="R57" s="15">
        <f>IFERROR(MATCH(LARGE(Projecten!$V$10:$V$109,7),Projecten!$V$10:$V$109,0),0)</f>
        <v>19</v>
      </c>
    </row>
    <row r="58">
      <c r="H58" s="34" t="n">
        <v>8</v>
      </c>
      <c r="I58" t="str">
        <f>IF($Q58=0,"",INDEX(Projecten!$B$10:$B$109,$Q58))</f>
        <v>Rietdam, Havenkwartier</v>
      </c>
      <c r="J58" s="35">
        <f>IF($Q58=0,0,IF(ISNUMBER(INDEX(Projecten!$L$10:$L$109,$Q58)),INDEX(Projecten!$L$10:$L$109,$Q58)*P_Factor/1000000,0))</f>
        <v>3.952</v>
      </c>
      <c r="K58" s="35">
        <f>IF($Q58=0,0,IF(ISNUMBER(INDEX(Projecten!$M$10:$M$109,$Q58)),INDEX(Projecten!$M$10:$M$109,$Q58)*P_Factor/1000000,0))</f>
        <v>2.128</v>
      </c>
      <c r="L58" s="35">
        <f>IF($Q58=0,0,INDEX(Projecten!$K$10:$K$109,$Q58)*P_Factor/1000000)</f>
        <v>6.08</v>
      </c>
      <c r="N58" s="34" t="n">
        <v>8</v>
      </c>
      <c r="O58" t="str">
        <f>IF($R58=0,"",INDEX(Projecten!$B$10:$B$109,$R58))</f>
        <v>Rietdam, Havenkwartier</v>
      </c>
      <c r="P58" s="37">
        <f>IF($R58=0,0,INDEX(Projecten!$Q$10:$Q$109,$R58)*P_Factor/1000000)</f>
        <v>0.1824</v>
      </c>
      <c r="Q58" s="15">
        <f>IFERROR(MATCH(LARGE(Projecten!$U$10:$U$109,8),Projecten!$U$10:$U$109,0),0)</f>
        <v>7</v>
      </c>
      <c r="R58" s="15">
        <f>IFERROR(MATCH(LARGE(Projecten!$V$10:$V$109,8),Projecten!$V$10:$V$109,0),0)</f>
        <v>7</v>
      </c>
    </row>
    <row r="59">
      <c r="H59" s="34" t="n">
        <v>9</v>
      </c>
      <c r="I59" t="str">
        <f>IF($Q59=0,"",INDEX(Projecten!$B$10:$B$109,$Q59))</f>
        <v>Lindehaven, Parkzoom fase 1</v>
      </c>
      <c r="J59" s="35">
        <f>IF($Q59=0,0,IF(ISNUMBER(INDEX(Projecten!$L$10:$L$109,$Q59)),INDEX(Projecten!$L$10:$L$109,$Q59)*P_Factor/1000000,0))</f>
        <v>3.63584</v>
      </c>
      <c r="K59" s="35">
        <f>IF($Q59=0,0,IF(ISNUMBER(INDEX(Projecten!$M$10:$M$109,$Q59)),INDEX(Projecten!$M$10:$M$109,$Q59)*P_Factor/1000000,0))</f>
        <v>1.95776</v>
      </c>
      <c r="L59" s="35">
        <f>IF($Q59=0,0,INDEX(Projecten!$K$10:$K$109,$Q59)*P_Factor/1000000)</f>
        <v>5.5936</v>
      </c>
      <c r="Q59" s="15">
        <f>IFERROR(MATCH(LARGE(Projecten!$U$10:$U$109,9),Projecten!$U$10:$U$109,0),0)</f>
        <v>1</v>
      </c>
    </row>
    <row r="60">
      <c r="H60" s="34" t="n">
        <v>10</v>
      </c>
      <c r="I60" t="str">
        <f>IF($Q60=0,"",INDEX(Projecten!$B$10:$B$109,$Q60))</f>
        <v>Duinwaard, De Lantaarn</v>
      </c>
      <c r="J60" s="35">
        <f>IF($Q60=0,0,IF(ISNUMBER(INDEX(Projecten!$L$10:$L$109,$Q60)),INDEX(Projecten!$L$10:$L$109,$Q60)*P_Factor/1000000,0))</f>
        <v>3.1616</v>
      </c>
      <c r="K60" s="35">
        <f>IF($Q60=0,0,IF(ISNUMBER(INDEX(Projecten!$M$10:$M$109,$Q60)),INDEX(Projecten!$M$10:$M$109,$Q60)*P_Factor/1000000,0))</f>
        <v>1.7024</v>
      </c>
      <c r="L60" s="35">
        <f>IF($Q60=0,0,INDEX(Projecten!$K$10:$K$109,$Q60)*P_Factor/1000000)</f>
        <v>4.864</v>
      </c>
      <c r="N60" s="30" t="str">
        <f>IF(Sel_Prev="","Budget heeft geen vorige versie: geen mutaties.",IF(COUNT(Projecten!$V$10:$V$109)=0,"Geen mutaties beschikbaar (vorige versie n.b.).",""))</f>
        <v/>
      </c>
      <c r="Q60" s="15">
        <f>IFERROR(MATCH(LARGE(Projecten!$U$10:$U$109,10),Projecten!$U$10:$U$109,0),0)</f>
        <v>16</v>
      </c>
    </row>
    <row r="62">
      <c r="B62" s="31" t="inlineStr">
        <is>
          <t>D. Meerjarendoorkijk huidige upload (EUR mln, niet vastgelegd)</t>
        </is>
      </c>
    </row>
    <row r="63" ht="18" customHeight="1">
      <c r="B63" s="32" t="inlineStr">
        <is>
          <t>Jaar</t>
        </is>
      </c>
      <c r="C63" s="33" t="inlineStr">
        <is>
          <t>Omzet</t>
        </is>
      </c>
      <c r="D63" s="33" t="inlineStr">
        <is>
          <t>BOR</t>
        </is>
      </c>
    </row>
    <row r="64">
      <c r="B64" t="str">
        <f>P_RJ&amp;" FY"</f>
        <v>2026 FY</v>
      </c>
      <c r="C64" s="35">
        <f>SUMIFS(V_OmzFY,V_Type,Sel_TypeCrit,V_WBS,Sel_WBS)/1000000</f>
        <v>114.0968</v>
      </c>
      <c r="D64" s="35">
        <f>SUMIFS(V_BorFY,V_Type,Sel_TypeCrit,V_WBS,Sel_WBS)/1000000</f>
        <v>10.477198</v>
      </c>
    </row>
    <row r="65">
      <c r="B65" t="str">
        <f>(P_RJ+1)&amp;""</f>
        <v>2027</v>
      </c>
      <c r="C65" s="35">
        <f>SUMIFS(V_OmzFY1,V_Type,Sel_TypeCrit,V_WBS,Sel_WBS)/1000000</f>
        <v>218.82848</v>
      </c>
      <c r="D65" s="35">
        <f>SUMIFS(V_BorFY1,V_Type,Sel_TypeCrit,V_WBS,Sel_WBS)/1000000</f>
        <v>18.3011413</v>
      </c>
    </row>
    <row r="66">
      <c r="B66" t="str">
        <f>(P_RJ+2)&amp;""</f>
        <v>2028</v>
      </c>
      <c r="C66" s="35">
        <f>SUMIFS(V_OmzRJ2,V_Type,Sel_TypeCrit,V_WBS,Sel_WBS)/1000000</f>
        <v>117.83072</v>
      </c>
      <c r="D66" s="35">
        <f>SUMIFS(V_BorRJ2,V_Type,Sel_TypeCrit,V_WBS,Sel_WBS)/1000000</f>
        <v>9.8544607</v>
      </c>
    </row>
    <row r="67">
      <c r="B67" t="str">
        <f>(P_RJ+3)&amp;""</f>
        <v>2029</v>
      </c>
      <c r="C67" s="35">
        <f>SUMIFS(V_OmzRJ3,V_Type,Sel_TypeCrit,V_WBS,Sel_WBS)/1000000</f>
        <v>0</v>
      </c>
      <c r="D67" s="35">
        <f>SUMIFS(V_BorRJ3,V_Type,Sel_TypeCrit,V_WBS,Sel_WBS)/1000000</f>
        <v>0</v>
      </c>
    </row>
    <row r="68">
      <c r="B68" t="str">
        <f>(P_RJ+4)&amp;""</f>
        <v>2030</v>
      </c>
      <c r="C68" s="35">
        <f>SUMIFS(V_OmzRJ4,V_Type,Sel_TypeCrit,V_WBS,Sel_WBS)/1000000</f>
        <v>0</v>
      </c>
      <c r="D68" s="35">
        <f>SUMIFS(V_BorRJ4,V_Type,Sel_TypeCrit,V_WBS,Sel_WBS)/1000000</f>
        <v>0</v>
      </c>
    </row>
    <row r="69">
      <c r="B69" t="str">
        <f>(P_RJ+5)&amp;""</f>
        <v>2031</v>
      </c>
      <c r="C69" s="35">
        <f>SUMIFS(V_OmzRJ5,V_Type,Sel_TypeCrit,V_WBS,Sel_WBS)/1000000</f>
        <v>0</v>
      </c>
      <c r="D69" s="35">
        <f>SUMIFS(V_BorRJ5,V_Type,Sel_TypeCrit,V_WBS,Sel_WBS)/1000000</f>
        <v>0</v>
      </c>
    </row>
    <row r="70">
      <c r="B70" t="str">
        <f>(P_RJ+6)&amp;""</f>
        <v>2032</v>
      </c>
      <c r="C70" s="35">
        <f>SUMIFS(V_OmzRJ6,V_Type,Sel_TypeCrit,V_WBS,Sel_WBS)/1000000</f>
        <v>0</v>
      </c>
      <c r="D70" s="35">
        <f>SUMIFS(V_BorRJ6,V_Type,Sel_TypeCrit,V_WBS,Sel_WBS)/1000000</f>
        <v>0</v>
      </c>
    </row>
    <row r="71">
      <c r="B71" t="str">
        <f>(P_RJ+7)&amp;""</f>
        <v>2033</v>
      </c>
      <c r="C71" s="35">
        <f>SUMIFS(V_OmzRJ7,V_Type,Sel_TypeCrit,V_WBS,Sel_WBS)/1000000</f>
        <v>0</v>
      </c>
      <c r="D71" s="35">
        <f>SUMIFS(V_BorRJ7,V_Type,Sel_TypeCrit,V_WBS,Sel_WBS)/1000000</f>
        <v>0</v>
      </c>
    </row>
    <row r="72">
      <c r="B72" t="str">
        <f>(P_RJ+8)&amp;""</f>
        <v>2034</v>
      </c>
      <c r="C72" s="35">
        <f>SUMIFS(V_OmzRJ8,V_Type,Sel_TypeCrit,V_WBS,Sel_WBS)/1000000</f>
        <v>0</v>
      </c>
      <c r="D72" s="35">
        <f>SUMIFS(V_BorRJ8,V_Type,Sel_TypeCrit,V_WBS,Sel_WBS)/1000000</f>
        <v>0</v>
      </c>
    </row>
    <row r="73">
      <c r="B73" t="inlineStr">
        <is>
          <t>Onverdeeld</t>
        </is>
      </c>
      <c r="C73" s="35">
        <f>SUMIFS(V_OmzONV,V_Type,Sel_TypeCrit,V_WBS,Sel_WBS)/1000000</f>
        <v>0</v>
      </c>
      <c r="D73" s="35">
        <f>SUMIFS(V_BorONV,V_Type,Sel_TypeCrit,V_WBS,Sel_WBS)/1000000</f>
        <v>0</v>
      </c>
    </row>
  </sheetData>
  <mergeCells count="10">
    <mergeCell ref="N8:O8"/>
    <mergeCell ref="K8:L8"/>
    <mergeCell ref="B5:C5"/>
    <mergeCell ref="E5:F5"/>
    <mergeCell ref="H5:I5"/>
    <mergeCell ref="H8:I8"/>
    <mergeCell ref="B8:C8"/>
    <mergeCell ref="E8:F8"/>
    <mergeCell ref="K5:N5"/>
    <mergeCell ref="Q8:R8"/>
  </mergeCells>
  <conditionalFormatting sqref="P5">
    <cfRule type="expression" priority="1" dxfId="0">
      <formula>Controle!$D$4&gt;0</formula>
    </cfRule>
  </conditionalFormatting>
  <conditionalFormatting sqref="H10">
    <cfRule type="dataBar" priority="2">
      <dataBar showValue="1">
        <cfvo type="num" val="0"/>
        <cfvo type="num" val="1"/>
        <color rgb="00F5B800"/>
      </dataBar>
    </cfRule>
  </conditionalFormatting>
  <dataValidations count="4">
    <dataValidation sqref="B5" showDropDown="0" showInputMessage="0" showErrorMessage="1" allowBlank="1" error="Kies een waarde uit de lijst." type="list">
      <formula1>L_Doeljaar</formula1>
    </dataValidation>
    <dataValidation sqref="E5" showDropDown="0" showInputMessage="0" showErrorMessage="1" allowBlank="1" error="Kies een waarde uit de lijst." type="list">
      <formula1>V_List</formula1>
    </dataValidation>
    <dataValidation sqref="H5" showDropDown="0" showInputMessage="0" showErrorMessage="1" allowBlank="1" error="Kies een waarde uit de lijst." type="list">
      <formula1>L_TypeList</formula1>
    </dataValidation>
    <dataValidation sqref="K5" showDropDown="0" showInputMessage="0" showErrorMessage="1" allowBlank="1" error="Kies een waarde uit de lijst." type="list">
      <formula1>L_Projecten</formula1>
    </dataValidation>
  </dataValidations>
  <hyperlinks>
    <hyperlink xmlns:r="http://schemas.openxmlformats.org/officeDocument/2006/relationships" ref="P5" r:id="rId1"/>
  </hyperlinks>
  <printOptions horizontalCentered="1"/>
  <pageMargins left="0.4" right="0.4" top="0.5" bottom="0.5" header="0.5" footer="0.5"/>
  <pageSetup orientation="landscape" paperSize="9" fitToHeight="0" fitToWidth="1"/>
  <drawing xmlns:r="http://schemas.openxmlformats.org/officeDocument/2006/relationships" r:id="rId2"/>
</worksheet>
</file>

<file path=xl/worksheets/sheet3.xml><?xml version="1.0" encoding="utf-8"?>
<worksheet xmlns="http://schemas.openxmlformats.org/spreadsheetml/2006/main">
  <sheetPr>
    <tabColor rgb="00F5B800"/>
    <outlinePr summaryBelow="1" summaryRight="1"/>
    <pageSetUpPr fitToPage="1"/>
  </sheetPr>
  <dimension ref="A1:P39"/>
  <sheetViews>
    <sheetView showGridLines="0" zoomScale="100" workbookViewId="0">
      <pane xSplit="2" ySplit="6" topLeftCell="C7" activePane="bottomRight" state="frozen"/>
      <selection pane="topRight"/>
      <selection pane="bottomLeft"/>
      <selection pane="bottomRight" activeCell="A1" sqref="A1"/>
    </sheetView>
  </sheetViews>
  <sheetFormatPr baseColWidth="8" defaultRowHeight="15"/>
  <cols>
    <col width="2" customWidth="1" min="1" max="1"/>
    <col width="36" customWidth="1" min="2" max="2"/>
    <col width="11" customWidth="1" min="3" max="3"/>
    <col width="11" customWidth="1" min="4" max="4"/>
    <col width="11" customWidth="1" min="5" max="5"/>
    <col width="11" customWidth="1" min="6" max="6"/>
    <col width="11" customWidth="1" min="7" max="7"/>
    <col width="11" customWidth="1" min="8" max="8"/>
    <col width="1.5" customWidth="1" min="9" max="9"/>
    <col width="12" customWidth="1" min="10" max="10"/>
    <col width="12" customWidth="1" min="11" max="11"/>
    <col width="11" customWidth="1" min="12" max="12"/>
    <col width="11" customWidth="1" min="13" max="13"/>
    <col width="11" customWidth="1" min="14" max="14"/>
    <col hidden="1" width="9" customWidth="1" min="15" max="15"/>
    <col width="70" customWidth="1" min="16" max="16"/>
  </cols>
  <sheetData>
    <row r="1" ht="28" customHeight="1">
      <c r="A1" s="1" t="n"/>
      <c r="B1" s="2" t="str">
        <f>"RDFO "&amp;P_Regio&amp;" — doeljaar "&amp;Sel_Doeljaar&amp;"  ·  bedragen in "&amp;P_Eenheid</f>
        <v>RDFO Demo Regio — doeljaar 2026  ·  bedragen in EUR x 1.000</v>
      </c>
      <c r="C1" s="1" t="n"/>
      <c r="D1" s="1" t="n"/>
      <c r="E1" s="1" t="n"/>
      <c r="F1" s="1" t="n"/>
      <c r="G1" s="1" t="n"/>
      <c r="H1" s="1" t="n"/>
      <c r="I1" s="1" t="n"/>
      <c r="J1" s="1" t="n"/>
      <c r="K1" s="1" t="n"/>
      <c r="L1" s="1" t="n"/>
      <c r="M1" s="1" t="n"/>
      <c r="N1" s="1" t="n"/>
      <c r="O1" s="1" t="n"/>
      <c r="P1" s="1" t="n"/>
    </row>
    <row r="2">
      <c r="B2" s="3" t="str">
        <f>"Versiejaar "&amp;P_VJ&amp;"  ·  geselecteerde versie: "&amp;Sel_Label&amp;"  ·  vergeleken met "&amp;IF(Sel_Prev="","–",Sel_Prev)&amp;"  ·  upload peildatum "&amp;P_PeilTxt&amp;"  ·  selectie wijzigen op Dashboard"</f>
        <v>Versiejaar 2026  ·  geselecteerde versie: Q3 2026 (vastgesteld)  ·  vergeleken met Q2  ·  upload peildatum 30-09-2026  ·  selectie wijzigen op Dashboard</v>
      </c>
    </row>
    <row r="5" hidden="1">
      <c r="C5" s="38" t="inlineStr">
        <is>
          <t>Budget</t>
        </is>
      </c>
      <c r="D5" s="38" t="inlineStr">
        <is>
          <t>Q1</t>
        </is>
      </c>
      <c r="E5" s="38" t="inlineStr">
        <is>
          <t>Q2</t>
        </is>
      </c>
      <c r="F5" s="38" t="inlineStr">
        <is>
          <t>Q3</t>
        </is>
      </c>
      <c r="G5" s="38" t="inlineStr">
        <is>
          <t>Q4</t>
        </is>
      </c>
      <c r="H5" s="38" t="inlineStr">
        <is>
          <t>Upload</t>
        </is>
      </c>
      <c r="J5" s="38" t="inlineStr">
        <is>
          <t>Sel</t>
        </is>
      </c>
      <c r="O5" s="38" t="inlineStr">
        <is>
          <t>Vorige</t>
        </is>
      </c>
    </row>
    <row r="6" ht="36" customHeight="1">
      <c r="B6" s="32" t="inlineStr">
        <is>
          <t>Rubriek</t>
        </is>
      </c>
      <c r="C6" s="33" t="str">
        <f>"Budget"&amp;CHAR(10)&amp;"FY "&amp;Sel_Doeljaar</f>
        <v>Budget
FY 2026</v>
      </c>
      <c r="D6" s="33" t="str">
        <f>"Q1 "&amp;P_VJ&amp;CHAR(10)&amp;"FY-prognose"&amp;IF(CALC_Versies!$F$6&gt;0," ●","")</f>
        <v>Q1 2026
FY-prognose</v>
      </c>
      <c r="E6" s="33" t="str">
        <f>"Q2 "&amp;P_VJ&amp;CHAR(10)&amp;"FY-prognose"&amp;IF(CALC_Versies!$F$7&gt;0," ●","")</f>
        <v>Q2 2026
FY-prognose</v>
      </c>
      <c r="F6" s="33" t="str">
        <f>"Q3 "&amp;P_VJ&amp;CHAR(10)&amp;"FY-prognose"&amp;IF(CALC_Versies!$F$8&gt;0," ●","")</f>
        <v>Q3 2026
FY-prognose</v>
      </c>
      <c r="G6" s="33" t="str">
        <f>"Q4 "&amp;P_VJ&amp;CHAR(10)&amp;"FY-prognose"&amp;IF(CALC_Versies!$F$9&gt;0," ●","")</f>
        <v>Q4 2026
FY-prognose</v>
      </c>
      <c r="H6" s="33" t="str">
        <f>"Upload "&amp;P_PeilTxt&amp;CHAR(10)&amp;"concept"</f>
        <v>Upload 30-09-2026
concept</v>
      </c>
      <c r="I6" s="39" t="inlineStr"/>
      <c r="J6" s="33" t="str">
        <f>"Geselecteerd"&amp;CHAR(10)&amp;Sel_Versie&amp;" FY"</f>
        <v>Geselecteerd
Q3 FY</v>
      </c>
      <c r="K6" s="40" t="str">
        <f>"Realisatie YTD"&amp;CHAR(10)&amp;"zelfde peildatum"</f>
        <v>Realisatie YTD
zelfde peildatum</v>
      </c>
      <c r="L6" s="33" t="str">
        <f>"To go"&amp;CHAR(10)&amp;"(FY − YTD)"</f>
        <v>To go
(FY − YTD)</v>
      </c>
      <c r="M6" s="33" t="str">
        <f>"Δ geselect."&amp;CHAR(10)&amp;"vs Budget"</f>
        <v>Δ geselect.
vs Budget</v>
      </c>
      <c r="N6" s="33" t="str">
        <f>"Δ geselect."&amp;CHAR(10)&amp;"vs "&amp;IF(Sel_Prev="","vorige",Sel_Prev)</f>
        <v>Δ geselect.
vs Q2</v>
      </c>
      <c r="O6" s="33" t="inlineStr">
        <is>
          <t>Vorige versie (hulp)</t>
        </is>
      </c>
      <c r="P6" s="33" t="inlineStr">
        <is>
          <t>Definitie / bron</t>
        </is>
      </c>
    </row>
    <row r="7">
      <c r="B7" s="34" t="inlineStr">
        <is>
          <t>Omzet opstal</t>
        </is>
      </c>
      <c r="C7" s="41">
        <f>IF(ISNUMBER(CALC_Versies!$G$5),CALC_Versies!$G$5/P_Factor,CALC_Versies!$G$5)</f>
        <v>113431.26</v>
      </c>
      <c r="D7" s="41">
        <f>IF(ISNUMBER(CALC_Versies!$G$6),CALC_Versies!$G$6/P_Factor,CALC_Versies!$G$6)</f>
        <v>111433.396</v>
      </c>
      <c r="E7" s="41">
        <f>IF(ISNUMBER(CALC_Versies!$G$7),CALC_Versies!$G$7/P_Factor,CALC_Versies!$G$7)</f>
        <v>106938.202</v>
      </c>
      <c r="F7" s="41">
        <f>IF(ISNUMBER(CALC_Versies!$G$8),CALC_Versies!$G$8/P_Factor,CALC_Versies!$G$8)</f>
        <v>108436.6</v>
      </c>
      <c r="G7" s="41" t="str">
        <f>IF(ISNUMBER(CALC_Versies!$G$9),CALC_Versies!$G$9/P_Factor,CALC_Versies!$G$9)</f>
        <v>n.b.</v>
      </c>
      <c r="H7" s="41">
        <f>IF(ISNUMBER(CALC_Versies!$G$10),CALC_Versies!$G$10/P_Factor,CALC_Versies!$G$10)</f>
        <v>108436.6</v>
      </c>
      <c r="J7" s="41">
        <f>IF(ISNUMBER(CALC_Versies!$G$11),CALC_Versies!$G$11/P_Factor,CALC_Versies!$G$11)</f>
        <v>108436.6</v>
      </c>
      <c r="K7" s="42">
        <f>IF(ISNUMBER(CALC_Versies!$K$11),CALC_Versies!$K$11/P_Factor,CALC_Versies!$K$11)</f>
        <v>70483.79</v>
      </c>
      <c r="L7" s="41">
        <f>IF(K7="n.v.t.",J7,IF(AND(ISNUMBER(J7),ISNUMBER(K7)),J7-K7,"n.b."))</f>
        <v>37952.81</v>
      </c>
      <c r="M7" s="41">
        <f>IF(AND(ISNUMBER(J7),ISNUMBER(C7)),J7-C7,"n.b.")</f>
        <v>-4994.65999999999</v>
      </c>
      <c r="N7" s="41">
        <f>IF(AND(ISNUMBER(J7),ISNUMBER(O7)),J7-O7,"n.b.")</f>
        <v>1498.398</v>
      </c>
      <c r="O7" s="43">
        <f>IF(ISNUMBER(CALC_Versies!$G$12),CALC_Versies!$G$12/P_Factor,CALC_Versies!$G$12)</f>
        <v>106938.202</v>
      </c>
      <c r="P7" s="15" t="inlineStr">
        <is>
          <t>ZPMW03, Type=Opstal (Mapping). FY RJ = −Bedrijfsopbrengsten LJ − OP.BOB RJ; RJ+1 = −OP.BOB RJ+1</t>
        </is>
      </c>
    </row>
    <row r="8">
      <c r="B8" s="34" t="inlineStr">
        <is>
          <t>Omzet deelnemingen</t>
        </is>
      </c>
      <c r="C8" s="41">
        <f>IF(ISNUMBER(CALC_Versies!$H$5),CALC_Versies!$H$5/P_Factor,CALC_Versies!$H$5)</f>
        <v>5094.18</v>
      </c>
      <c r="D8" s="41">
        <f>IF(ISNUMBER(CALC_Versies!$H$6),CALC_Versies!$H$6/P_Factor,CALC_Versies!$H$6)</f>
        <v>5320.588</v>
      </c>
      <c r="E8" s="41">
        <f>IF(ISNUMBER(CALC_Versies!$H$7),CALC_Versies!$H$7/P_Factor,CALC_Versies!$H$7)</f>
        <v>5830.006</v>
      </c>
      <c r="F8" s="41">
        <f>IF(ISNUMBER(CALC_Versies!$H$8),CALC_Versies!$H$8/P_Factor,CALC_Versies!$H$8)</f>
        <v>5660.2</v>
      </c>
      <c r="G8" s="41" t="str">
        <f>IF(ISNUMBER(CALC_Versies!$H$9),CALC_Versies!$H$9/P_Factor,CALC_Versies!$H$9)</f>
        <v>n.b.</v>
      </c>
      <c r="H8" s="41">
        <f>IF(ISNUMBER(CALC_Versies!$H$10),CALC_Versies!$H$10/P_Factor,CALC_Versies!$H$10)</f>
        <v>5660.2</v>
      </c>
      <c r="J8" s="41">
        <f>IF(ISNUMBER(CALC_Versies!$H$11),CALC_Versies!$H$11/P_Factor,CALC_Versies!$H$11)</f>
        <v>5660.2</v>
      </c>
      <c r="K8" s="42">
        <f>IF(ISNUMBER(CALC_Versies!$L$11),CALC_Versies!$L$11/P_Factor,CALC_Versies!$L$11)</f>
        <v>3679.13</v>
      </c>
      <c r="L8" s="41">
        <f>IF(K8="n.v.t.",J8,IF(AND(ISNUMBER(J8),ISNUMBER(K8)),J8-K8,"n.b."))</f>
        <v>1981.07</v>
      </c>
      <c r="M8" s="41">
        <f>IF(AND(ISNUMBER(J8),ISNUMBER(C8)),J8-C8,"n.b.")</f>
        <v>566.02</v>
      </c>
      <c r="N8" s="41">
        <f>IF(AND(ISNUMBER(J8),ISNUMBER(O8)),J8-O8,"n.b.")</f>
        <v>-169.806000000001</v>
      </c>
      <c r="O8" s="43">
        <f>IF(ISNUMBER(CALC_Versies!$H$12),CALC_Versies!$H$12/P_Factor,CALC_Versies!$H$12)</f>
        <v>5830.006</v>
      </c>
      <c r="P8" s="15" t="inlineStr">
        <is>
          <t>ZPMW03, Type=Deelneming (Mapping). Al op aandeelbasis; geen aandeel toegepast</t>
        </is>
      </c>
    </row>
    <row r="9">
      <c r="B9" s="34" t="inlineStr">
        <is>
          <t>Taakstelling omzet</t>
        </is>
      </c>
      <c r="C9" s="41" t="str">
        <f>IF(ISNUMBER(CALC_Versies!$Y$5),CALC_Versies!$Y$5/P_Factor,CALC_Versies!$Y$5)</f>
        <v>n.b.</v>
      </c>
      <c r="D9" s="41" t="str">
        <f>IF(ISNUMBER(CALC_Versies!$Y$6),CALC_Versies!$Y$6/P_Factor,CALC_Versies!$Y$6)</f>
        <v>n.b.</v>
      </c>
      <c r="E9" s="41" t="str">
        <f>IF(ISNUMBER(CALC_Versies!$Y$7),CALC_Versies!$Y$7/P_Factor,CALC_Versies!$Y$7)</f>
        <v>n.b.</v>
      </c>
      <c r="F9" s="41" t="str">
        <f>IF(ISNUMBER(CALC_Versies!$Y$8),CALC_Versies!$Y$8/P_Factor,CALC_Versies!$Y$8)</f>
        <v>n.b.</v>
      </c>
      <c r="G9" s="41" t="str">
        <f>IF(ISNUMBER(CALC_Versies!$Y$9),CALC_Versies!$Y$9/P_Factor,CALC_Versies!$Y$9)</f>
        <v>n.b.</v>
      </c>
      <c r="H9" s="41" t="str">
        <f>IF(ISNUMBER(CALC_Versies!$Y$10),CALC_Versies!$Y$10/P_Factor,CALC_Versies!$Y$10)</f>
        <v>n.b.</v>
      </c>
      <c r="J9" s="41" t="str">
        <f>IF(ISNUMBER(CALC_Versies!$Y$11),CALC_Versies!$Y$11/P_Factor,CALC_Versies!$Y$11)</f>
        <v>n.b.</v>
      </c>
      <c r="K9" s="42" t="str">
        <f>IF(ISNUMBER(CALC_Versies!$AF$11),CALC_Versies!$AF$11/P_Factor,CALC_Versies!$AF$11)</f>
        <v>n.b.</v>
      </c>
      <c r="L9" s="41" t="str">
        <f>""</f>
        <v/>
      </c>
      <c r="M9" s="41" t="str">
        <f>IF(AND(ISNUMBER(J9),ISNUMBER(C9)),J9-C9,"n.b.")</f>
        <v>n.b.</v>
      </c>
      <c r="N9" s="41" t="str">
        <f>IF(AND(ISNUMBER(J9),ISNUMBER(O9)),J9-O9,"n.b.")</f>
        <v>n.b.</v>
      </c>
      <c r="O9" s="43" t="str">
        <f>IF(ISNUMBER(CALC_Versies!$Y$12),CALC_Versies!$Y$12/P_Factor,CALC_Versies!$Y$12)</f>
        <v>n.b.</v>
      </c>
      <c r="P9" s="15" t="inlineStr">
        <is>
          <t>Invoer_Aanvullend (rubriek Taakstelling omzet)</t>
        </is>
      </c>
    </row>
    <row r="10">
      <c r="B10" s="34" t="inlineStr">
        <is>
          <t>Interne eliminaties</t>
        </is>
      </c>
      <c r="C10" s="41" t="str">
        <f>IF(ISNUMBER(CALC_Versies!$Z$5),CALC_Versies!$Z$5/P_Factor,CALC_Versies!$Z$5)</f>
        <v>n.b.</v>
      </c>
      <c r="D10" s="41" t="str">
        <f>IF(ISNUMBER(CALC_Versies!$Z$6),CALC_Versies!$Z$6/P_Factor,CALC_Versies!$Z$6)</f>
        <v>n.b.</v>
      </c>
      <c r="E10" s="41" t="str">
        <f>IF(ISNUMBER(CALC_Versies!$Z$7),CALC_Versies!$Z$7/P_Factor,CALC_Versies!$Z$7)</f>
        <v>n.b.</v>
      </c>
      <c r="F10" s="41" t="str">
        <f>IF(ISNUMBER(CALC_Versies!$Z$8),CALC_Versies!$Z$8/P_Factor,CALC_Versies!$Z$8)</f>
        <v>n.b.</v>
      </c>
      <c r="G10" s="41" t="str">
        <f>IF(ISNUMBER(CALC_Versies!$Z$9),CALC_Versies!$Z$9/P_Factor,CALC_Versies!$Z$9)</f>
        <v>n.b.</v>
      </c>
      <c r="H10" s="41" t="str">
        <f>IF(ISNUMBER(CALC_Versies!$Z$10),CALC_Versies!$Z$10/P_Factor,CALC_Versies!$Z$10)</f>
        <v>n.b.</v>
      </c>
      <c r="J10" s="41" t="str">
        <f>IF(ISNUMBER(CALC_Versies!$Z$11),CALC_Versies!$Z$11/P_Factor,CALC_Versies!$Z$11)</f>
        <v>n.b.</v>
      </c>
      <c r="K10" s="42" t="str">
        <f>IF(ISNUMBER(CALC_Versies!$AG$11),CALC_Versies!$AG$11/P_Factor,CALC_Versies!$AG$11)</f>
        <v>n.b.</v>
      </c>
      <c r="L10" s="41" t="str">
        <f>""</f>
        <v/>
      </c>
      <c r="M10" s="41" t="str">
        <f>IF(AND(ISNUMBER(J10),ISNUMBER(C10)),J10-C10,"n.b.")</f>
        <v>n.b.</v>
      </c>
      <c r="N10" s="41" t="str">
        <f>IF(AND(ISNUMBER(J10),ISNUMBER(O10)),J10-O10,"n.b.")</f>
        <v>n.b.</v>
      </c>
      <c r="O10" s="43" t="str">
        <f>IF(ISNUMBER(CALC_Versies!$Z$12),CALC_Versies!$Z$12/P_Factor,CALC_Versies!$Z$12)</f>
        <v>n.b.</v>
      </c>
      <c r="P10" s="15" t="inlineStr">
        <is>
          <t>Invoer_Aanvullend</t>
        </is>
      </c>
    </row>
    <row r="11">
      <c r="B11" s="44" t="inlineStr">
        <is>
          <t>Omzet old</t>
        </is>
      </c>
      <c r="C11" s="45">
        <f>IF(ISNUMBER(C7),SUM(C7,C8,C9,C10),C7)</f>
        <v>118525.44</v>
      </c>
      <c r="D11" s="45">
        <f>IF(ISNUMBER(D7),SUM(D7,D8,D9,D10),D7)</f>
        <v>116753.984</v>
      </c>
      <c r="E11" s="45">
        <f>IF(ISNUMBER(E7),SUM(E7,E8,E9,E10),E7)</f>
        <v>112768.208</v>
      </c>
      <c r="F11" s="45">
        <f>IF(ISNUMBER(F7),SUM(F7,F8,F9,F10),F7)</f>
        <v>114096.8</v>
      </c>
      <c r="G11" s="45" t="str">
        <f>IF(ISNUMBER(G7),SUM(G7,G8,G9,G10),G7)</f>
        <v>n.b.</v>
      </c>
      <c r="H11" s="45">
        <f>IF(ISNUMBER(H7),SUM(H7,H8,H9,H10),H7)</f>
        <v>114096.8</v>
      </c>
      <c r="J11" s="45">
        <f>IF(ISNUMBER(J7),SUM(J7,J8,J9,J10),J7)</f>
        <v>114096.8</v>
      </c>
      <c r="K11" s="46">
        <f>IF(ISNUMBER(K7),SUM(K7,K8,K9,K10),K7)</f>
        <v>74162.92</v>
      </c>
      <c r="L11" s="45">
        <f>IF(K11="n.v.t.",J11,IF(AND(ISNUMBER(J11),ISNUMBER(K11)),J11-K11,"n.b."))</f>
        <v>39933.88</v>
      </c>
      <c r="M11" s="45">
        <f>IF(AND(ISNUMBER(J11),ISNUMBER(C11)),J11-C11,"n.b.")</f>
        <v>-4428.64</v>
      </c>
      <c r="N11" s="45">
        <f>IF(AND(ISNUMBER(J11),ISNUMBER(O11)),J11-O11,"n.b.")</f>
        <v>1328.592</v>
      </c>
      <c r="O11" s="47">
        <f>IF(ISNUMBER(O7),SUM(O7,O8,O9,O10),O7)</f>
        <v>112768.208</v>
      </c>
      <c r="P11" s="15" t="inlineStr">
        <is>
          <t>Subtotaal: opstal + deelnemingen + taakstelling + interne eliminaties</t>
        </is>
      </c>
    </row>
    <row r="12">
      <c r="B12" s="34" t="inlineStr">
        <is>
          <t>IFRS-eliminaties</t>
        </is>
      </c>
      <c r="C12" s="41" t="str">
        <f>IF(ISNUMBER(CALC_Versies!$AA$5),CALC_Versies!$AA$5/P_Factor,CALC_Versies!$AA$5)</f>
        <v>n.b.</v>
      </c>
      <c r="D12" s="41" t="str">
        <f>IF(ISNUMBER(CALC_Versies!$AA$6),CALC_Versies!$AA$6/P_Factor,CALC_Versies!$AA$6)</f>
        <v>n.b.</v>
      </c>
      <c r="E12" s="41" t="str">
        <f>IF(ISNUMBER(CALC_Versies!$AA$7),CALC_Versies!$AA$7/P_Factor,CALC_Versies!$AA$7)</f>
        <v>n.b.</v>
      </c>
      <c r="F12" s="41" t="str">
        <f>IF(ISNUMBER(CALC_Versies!$AA$8),CALC_Versies!$AA$8/P_Factor,CALC_Versies!$AA$8)</f>
        <v>n.b.</v>
      </c>
      <c r="G12" s="41" t="str">
        <f>IF(ISNUMBER(CALC_Versies!$AA$9),CALC_Versies!$AA$9/P_Factor,CALC_Versies!$AA$9)</f>
        <v>n.b.</v>
      </c>
      <c r="H12" s="41" t="str">
        <f>IF(ISNUMBER(CALC_Versies!$AA$10),CALC_Versies!$AA$10/P_Factor,CALC_Versies!$AA$10)</f>
        <v>n.b.</v>
      </c>
      <c r="J12" s="41" t="str">
        <f>IF(ISNUMBER(CALC_Versies!$AA$11),CALC_Versies!$AA$11/P_Factor,CALC_Versies!$AA$11)</f>
        <v>n.b.</v>
      </c>
      <c r="K12" s="42" t="str">
        <f>IF(ISNUMBER(CALC_Versies!$AH$11),CALC_Versies!$AH$11/P_Factor,CALC_Versies!$AH$11)</f>
        <v>n.b.</v>
      </c>
      <c r="L12" s="41" t="str">
        <f>""</f>
        <v/>
      </c>
      <c r="M12" s="41" t="str">
        <f>IF(AND(ISNUMBER(J12),ISNUMBER(C12)),J12-C12,"n.b.")</f>
        <v>n.b.</v>
      </c>
      <c r="N12" s="41" t="str">
        <f>IF(AND(ISNUMBER(J12),ISNUMBER(O12)),J12-O12,"n.b.")</f>
        <v>n.b.</v>
      </c>
      <c r="O12" s="43" t="str">
        <f>IF(ISNUMBER(CALC_Versies!$AA$12),CALC_Versies!$AA$12/P_Factor,CALC_Versies!$AA$12)</f>
        <v>n.b.</v>
      </c>
      <c r="P12" s="15" t="inlineStr">
        <is>
          <t>Invoer_Aanvullend. IFRS J/N wordt NIET automatisch geëlimineerd (zie memo)</t>
        </is>
      </c>
    </row>
    <row r="13">
      <c r="B13" s="44" t="inlineStr">
        <is>
          <t>Omzet IFRS</t>
        </is>
      </c>
      <c r="C13" s="45">
        <f>IF(ISNUMBER(C11),SUM(C11,C12),C11)</f>
        <v>118525.44</v>
      </c>
      <c r="D13" s="45">
        <f>IF(ISNUMBER(D11),SUM(D11,D12),D11)</f>
        <v>116753.984</v>
      </c>
      <c r="E13" s="45">
        <f>IF(ISNUMBER(E11),SUM(E11,E12),E11)</f>
        <v>112768.208</v>
      </c>
      <c r="F13" s="45">
        <f>IF(ISNUMBER(F11),SUM(F11,F12),F11)</f>
        <v>114096.8</v>
      </c>
      <c r="G13" s="45" t="str">
        <f>IF(ISNUMBER(G11),SUM(G11,G12),G11)</f>
        <v>n.b.</v>
      </c>
      <c r="H13" s="45">
        <f>IF(ISNUMBER(H11),SUM(H11,H12),H11)</f>
        <v>114096.8</v>
      </c>
      <c r="J13" s="45">
        <f>IF(ISNUMBER(J11),SUM(J11,J12),J11)</f>
        <v>114096.8</v>
      </c>
      <c r="K13" s="46">
        <f>IF(ISNUMBER(K11),SUM(K11,K12),K11)</f>
        <v>74162.92</v>
      </c>
      <c r="L13" s="45">
        <f>IF(K13="n.v.t.",J13,IF(AND(ISNUMBER(J13),ISNUMBER(K13)),J13-K13,"n.b."))</f>
        <v>39933.88</v>
      </c>
      <c r="M13" s="45">
        <f>IF(AND(ISNUMBER(J13),ISNUMBER(C13)),J13-C13,"n.b.")</f>
        <v>-4428.64</v>
      </c>
      <c r="N13" s="45">
        <f>IF(AND(ISNUMBER(J13),ISNUMBER(O13)),J13-O13,"n.b.")</f>
        <v>1328.592</v>
      </c>
      <c r="O13" s="47">
        <f>IF(ISNUMBER(O11),SUM(O11,O12),O11)</f>
        <v>112768.208</v>
      </c>
      <c r="P13" s="15" t="inlineStr">
        <is>
          <t>Omzet old + IFRS-eliminaties</t>
        </is>
      </c>
    </row>
    <row r="15">
      <c r="B15" s="34" t="inlineStr">
        <is>
          <t>Projectresultaat (BOR) opstal</t>
        </is>
      </c>
      <c r="C15" s="41">
        <f>IF(ISNUMBER(CALC_Versies!$I$5),CALC_Versies!$I$5/P_Factor,CALC_Versies!$I$5)</f>
        <v>10424.1562</v>
      </c>
      <c r="D15" s="41">
        <f>IF(ISNUMBER(CALC_Versies!$I$6),CALC_Versies!$I$6/P_Factor,CALC_Versies!$I$6)</f>
        <v>10291.72012</v>
      </c>
      <c r="E15" s="41">
        <f>IF(ISNUMBER(CALC_Versies!$I$7),CALC_Versies!$I$7/P_Factor,CALC_Versies!$I$7)</f>
        <v>9993.73894</v>
      </c>
      <c r="F15" s="41">
        <f>IF(ISNUMBER(CALC_Versies!$I$8),CALC_Versies!$I$8/P_Factor,CALC_Versies!$I$8)</f>
        <v>10093.066</v>
      </c>
      <c r="G15" s="41" t="str">
        <f>IF(ISNUMBER(CALC_Versies!$I$9),CALC_Versies!$I$9/P_Factor,CALC_Versies!$I$9)</f>
        <v>n.b.</v>
      </c>
      <c r="H15" s="41">
        <f>IF(ISNUMBER(CALC_Versies!$I$10),CALC_Versies!$I$10/P_Factor,CALC_Versies!$I$10)</f>
        <v>10093.066</v>
      </c>
      <c r="J15" s="41">
        <f>IF(ISNUMBER(CALC_Versies!$I$11),CALC_Versies!$I$11/P_Factor,CALC_Versies!$I$11)</f>
        <v>10093.066</v>
      </c>
      <c r="K15" s="42">
        <f>IF(ISNUMBER(CALC_Versies!$M$11),CALC_Versies!$M$11/P_Factor,CALC_Versies!$M$11)</f>
        <v>6560.4929</v>
      </c>
      <c r="L15" s="41">
        <f>IF(K15="n.v.t.",J15,IF(AND(ISNUMBER(J15),ISNUMBER(K15)),J15-K15,"n.b."))</f>
        <v>3532.5731</v>
      </c>
      <c r="M15" s="41">
        <f>IF(AND(ISNUMBER(J15),ISNUMBER(C15)),J15-C15,"n.b.")</f>
        <v>-331.090199999999</v>
      </c>
      <c r="N15" s="41">
        <f>IF(AND(ISNUMBER(J15),ISNUMBER(O15)),J15-O15,"n.b.")</f>
        <v>99.3270600000014</v>
      </c>
      <c r="O15" s="43">
        <f>IF(ISNUMBER(CALC_Versies!$I$12),CALC_Versies!$I$12/P_Factor,CALC_Versies!$I$12)</f>
        <v>9993.73894</v>
      </c>
      <c r="P15" s="15" t="inlineStr">
        <is>
          <t>ZPMW03: FY RJ = −Bruto (omzet) result. LJ − OP.BOR RJ. Verlies blijft negatief (geen ABS)</t>
        </is>
      </c>
    </row>
    <row r="16">
      <c r="B16" s="34" t="inlineStr">
        <is>
          <t>Projectresultaat (BOR) deelnemingen</t>
        </is>
      </c>
      <c r="C16" s="41">
        <f>IF(ISNUMBER(CALC_Versies!$J$5),CALC_Versies!$J$5/P_Factor,CALC_Versies!$J$5)</f>
        <v>345.7188</v>
      </c>
      <c r="D16" s="41">
        <f>IF(ISNUMBER(CALC_Versies!$J$6),CALC_Versies!$J$6/P_Factor,CALC_Versies!$J$6)</f>
        <v>361.08408</v>
      </c>
      <c r="E16" s="41">
        <f>IF(ISNUMBER(CALC_Versies!$J$7),CALC_Versies!$J$7/P_Factor,CALC_Versies!$J$7)</f>
        <v>395.65596</v>
      </c>
      <c r="F16" s="41">
        <f>IF(ISNUMBER(CALC_Versies!$J$8),CALC_Versies!$J$8/P_Factor,CALC_Versies!$J$8)</f>
        <v>384.132</v>
      </c>
      <c r="G16" s="41" t="str">
        <f>IF(ISNUMBER(CALC_Versies!$J$9),CALC_Versies!$J$9/P_Factor,CALC_Versies!$J$9)</f>
        <v>n.b.</v>
      </c>
      <c r="H16" s="41">
        <f>IF(ISNUMBER(CALC_Versies!$J$10),CALC_Versies!$J$10/P_Factor,CALC_Versies!$J$10)</f>
        <v>384.132</v>
      </c>
      <c r="J16" s="41">
        <f>IF(ISNUMBER(CALC_Versies!$J$11),CALC_Versies!$J$11/P_Factor,CALC_Versies!$J$11)</f>
        <v>384.132</v>
      </c>
      <c r="K16" s="42">
        <f>IF(ISNUMBER(CALC_Versies!$N$11),CALC_Versies!$N$11/P_Factor,CALC_Versies!$N$11)</f>
        <v>249.6858</v>
      </c>
      <c r="L16" s="41">
        <f>IF(K16="n.v.t.",J16,IF(AND(ISNUMBER(J16),ISNUMBER(K16)),J16-K16,"n.b."))</f>
        <v>134.4462</v>
      </c>
      <c r="M16" s="41">
        <f>IF(AND(ISNUMBER(J16),ISNUMBER(C16)),J16-C16,"n.b.")</f>
        <v>38.4132</v>
      </c>
      <c r="N16" s="41">
        <f>IF(AND(ISNUMBER(J16),ISNUMBER(O16)),J16-O16,"n.b.")</f>
        <v>-11.5239599999999</v>
      </c>
      <c r="O16" s="43">
        <f>IF(ISNUMBER(CALC_Versies!$J$12),CALC_Versies!$J$12/P_Factor,CALC_Versies!$J$12)</f>
        <v>395.65596</v>
      </c>
      <c r="P16" s="15" t="inlineStr">
        <is>
          <t>Idem, Type=Deelneming</t>
        </is>
      </c>
    </row>
    <row r="17">
      <c r="B17" s="44" t="inlineStr">
        <is>
          <t>Projectresultaten / BOR</t>
        </is>
      </c>
      <c r="C17" s="45">
        <f>IF(ISNUMBER(C15),SUM(C15,C16),C15)</f>
        <v>10769.875</v>
      </c>
      <c r="D17" s="45">
        <f>IF(ISNUMBER(D15),SUM(D15,D16),D15)</f>
        <v>10652.8042</v>
      </c>
      <c r="E17" s="45">
        <f>IF(ISNUMBER(E15),SUM(E15,E16),E15)</f>
        <v>10389.3949</v>
      </c>
      <c r="F17" s="45">
        <f>IF(ISNUMBER(F15),SUM(F15,F16),F15)</f>
        <v>10477.198</v>
      </c>
      <c r="G17" s="45" t="str">
        <f>IF(ISNUMBER(G15),SUM(G15,G16),G15)</f>
        <v>n.b.</v>
      </c>
      <c r="H17" s="45">
        <f>IF(ISNUMBER(H15),SUM(H15,H16),H15)</f>
        <v>10477.198</v>
      </c>
      <c r="J17" s="45">
        <f>IF(ISNUMBER(J15),SUM(J15,J16),J15)</f>
        <v>10477.198</v>
      </c>
      <c r="K17" s="46">
        <f>IF(ISNUMBER(K15),SUM(K15,K16),K15)</f>
        <v>6810.1787</v>
      </c>
      <c r="L17" s="45">
        <f>IF(K17="n.v.t.",J17,IF(AND(ISNUMBER(J17),ISNUMBER(K17)),J17-K17,"n.b."))</f>
        <v>3667.0193</v>
      </c>
      <c r="M17" s="45">
        <f>IF(AND(ISNUMBER(J17),ISNUMBER(C17)),J17-C17,"n.b.")</f>
        <v>-292.677</v>
      </c>
      <c r="N17" s="45">
        <f>IF(AND(ISNUMBER(J17),ISNUMBER(O17)),J17-O17,"n.b.")</f>
        <v>87.803100000001</v>
      </c>
      <c r="O17" s="47">
        <f>IF(ISNUMBER(O15),SUM(O15,O16),O15)</f>
        <v>10389.3949</v>
      </c>
      <c r="P17" s="15" t="inlineStr">
        <is>
          <t>Subtotaal BOR</t>
        </is>
      </c>
    </row>
    <row r="18">
      <c r="B18" s="34" t="inlineStr">
        <is>
          <t>AK-dekking</t>
        </is>
      </c>
      <c r="C18" s="41" t="str">
        <f>IF(ISNUMBER(CALC_Versies!$AB$5),CALC_Versies!$AB$5/P_Factor,CALC_Versies!$AB$5)</f>
        <v>n.b.</v>
      </c>
      <c r="D18" s="41" t="str">
        <f>IF(ISNUMBER(CALC_Versies!$AB$6),CALC_Versies!$AB$6/P_Factor,CALC_Versies!$AB$6)</f>
        <v>n.b.</v>
      </c>
      <c r="E18" s="41" t="str">
        <f>IF(ISNUMBER(CALC_Versies!$AB$7),CALC_Versies!$AB$7/P_Factor,CALC_Versies!$AB$7)</f>
        <v>n.b.</v>
      </c>
      <c r="F18" s="41" t="str">
        <f>IF(ISNUMBER(CALC_Versies!$AB$8),CALC_Versies!$AB$8/P_Factor,CALC_Versies!$AB$8)</f>
        <v>n.b.</v>
      </c>
      <c r="G18" s="41" t="str">
        <f>IF(ISNUMBER(CALC_Versies!$AB$9),CALC_Versies!$AB$9/P_Factor,CALC_Versies!$AB$9)</f>
        <v>n.b.</v>
      </c>
      <c r="H18" s="41" t="str">
        <f>IF(ISNUMBER(CALC_Versies!$AB$10),CALC_Versies!$AB$10/P_Factor,CALC_Versies!$AB$10)</f>
        <v>n.b.</v>
      </c>
      <c r="J18" s="41" t="str">
        <f>IF(ISNUMBER(CALC_Versies!$AB$11),CALC_Versies!$AB$11/P_Factor,CALC_Versies!$AB$11)</f>
        <v>n.b.</v>
      </c>
      <c r="K18" s="42" t="str">
        <f>IF(ISNUMBER(CALC_Versies!$AI$11),CALC_Versies!$AI$11/P_Factor,CALC_Versies!$AI$11)</f>
        <v>n.b.</v>
      </c>
      <c r="L18" s="41" t="str">
        <f>""</f>
        <v/>
      </c>
      <c r="M18" s="41" t="str">
        <f>IF(AND(ISNUMBER(J18),ISNUMBER(C18)),J18-C18,"n.b.")</f>
        <v>n.b.</v>
      </c>
      <c r="N18" s="41" t="str">
        <f>IF(AND(ISNUMBER(J18),ISNUMBER(O18)),J18-O18,"n.b.")</f>
        <v>n.b.</v>
      </c>
      <c r="O18" s="43" t="str">
        <f>IF(ISNUMBER(CALC_Versies!$AB$12),CALC_Versies!$AB$12/P_Factor,CALC_Versies!$AB$12)</f>
        <v>n.b.</v>
      </c>
      <c r="P18" s="15" t="inlineStr">
        <is>
          <t>Invoer_Aanvullend. Geen generiek AK-percentage toegepast</t>
        </is>
      </c>
    </row>
    <row r="19">
      <c r="B19" s="34" t="inlineStr">
        <is>
          <t>Fees</t>
        </is>
      </c>
      <c r="C19" s="41" t="str">
        <f>IF(ISNUMBER(CALC_Versies!$AC$5),CALC_Versies!$AC$5/P_Factor,CALC_Versies!$AC$5)</f>
        <v>n.b.</v>
      </c>
      <c r="D19" s="41" t="str">
        <f>IF(ISNUMBER(CALC_Versies!$AC$6),CALC_Versies!$AC$6/P_Factor,CALC_Versies!$AC$6)</f>
        <v>n.b.</v>
      </c>
      <c r="E19" s="41" t="str">
        <f>IF(ISNUMBER(CALC_Versies!$AC$7),CALC_Versies!$AC$7/P_Factor,CALC_Versies!$AC$7)</f>
        <v>n.b.</v>
      </c>
      <c r="F19" s="41" t="str">
        <f>IF(ISNUMBER(CALC_Versies!$AC$8),CALC_Versies!$AC$8/P_Factor,CALC_Versies!$AC$8)</f>
        <v>n.b.</v>
      </c>
      <c r="G19" s="41" t="str">
        <f>IF(ISNUMBER(CALC_Versies!$AC$9),CALC_Versies!$AC$9/P_Factor,CALC_Versies!$AC$9)</f>
        <v>n.b.</v>
      </c>
      <c r="H19" s="41" t="str">
        <f>IF(ISNUMBER(CALC_Versies!$AC$10),CALC_Versies!$AC$10/P_Factor,CALC_Versies!$AC$10)</f>
        <v>n.b.</v>
      </c>
      <c r="J19" s="41" t="str">
        <f>IF(ISNUMBER(CALC_Versies!$AC$11),CALC_Versies!$AC$11/P_Factor,CALC_Versies!$AC$11)</f>
        <v>n.b.</v>
      </c>
      <c r="K19" s="42" t="str">
        <f>IF(ISNUMBER(CALC_Versies!$AJ$11),CALC_Versies!$AJ$11/P_Factor,CALC_Versies!$AJ$11)</f>
        <v>n.b.</v>
      </c>
      <c r="L19" s="41" t="str">
        <f>""</f>
        <v/>
      </c>
      <c r="M19" s="41" t="str">
        <f>IF(AND(ISNUMBER(J19),ISNUMBER(C19)),J19-C19,"n.b.")</f>
        <v>n.b.</v>
      </c>
      <c r="N19" s="41" t="str">
        <f>IF(AND(ISNUMBER(J19),ISNUMBER(O19)),J19-O19,"n.b.")</f>
        <v>n.b.</v>
      </c>
      <c r="O19" s="43" t="str">
        <f>IF(ISNUMBER(CALC_Versies!$AC$12),CALC_Versies!$AC$12/P_Factor,CALC_Versies!$AC$12)</f>
        <v>n.b.</v>
      </c>
      <c r="P19" s="15" t="inlineStr">
        <is>
          <t>Invoer_Aanvullend</t>
        </is>
      </c>
    </row>
    <row r="20">
      <c r="B20" s="34" t="inlineStr">
        <is>
          <t>Overige resultaten</t>
        </is>
      </c>
      <c r="C20" s="41" t="str">
        <f>IF(ISNUMBER(CALC_Versies!$AD$5),CALC_Versies!$AD$5/P_Factor,CALC_Versies!$AD$5)</f>
        <v>n.b.</v>
      </c>
      <c r="D20" s="41" t="str">
        <f>IF(ISNUMBER(CALC_Versies!$AD$6),CALC_Versies!$AD$6/P_Factor,CALC_Versies!$AD$6)</f>
        <v>n.b.</v>
      </c>
      <c r="E20" s="41" t="str">
        <f>IF(ISNUMBER(CALC_Versies!$AD$7),CALC_Versies!$AD$7/P_Factor,CALC_Versies!$AD$7)</f>
        <v>n.b.</v>
      </c>
      <c r="F20" s="41" t="str">
        <f>IF(ISNUMBER(CALC_Versies!$AD$8),CALC_Versies!$AD$8/P_Factor,CALC_Versies!$AD$8)</f>
        <v>n.b.</v>
      </c>
      <c r="G20" s="41" t="str">
        <f>IF(ISNUMBER(CALC_Versies!$AD$9),CALC_Versies!$AD$9/P_Factor,CALC_Versies!$AD$9)</f>
        <v>n.b.</v>
      </c>
      <c r="H20" s="41" t="str">
        <f>IF(ISNUMBER(CALC_Versies!$AD$10),CALC_Versies!$AD$10/P_Factor,CALC_Versies!$AD$10)</f>
        <v>n.b.</v>
      </c>
      <c r="J20" s="41" t="str">
        <f>IF(ISNUMBER(CALC_Versies!$AD$11),CALC_Versies!$AD$11/P_Factor,CALC_Versies!$AD$11)</f>
        <v>n.b.</v>
      </c>
      <c r="K20" s="42" t="str">
        <f>IF(ISNUMBER(CALC_Versies!$AK$11),CALC_Versies!$AK$11/P_Factor,CALC_Versies!$AK$11)</f>
        <v>n.b.</v>
      </c>
      <c r="L20" s="41" t="str">
        <f>""</f>
        <v/>
      </c>
      <c r="M20" s="41" t="str">
        <f>IF(AND(ISNUMBER(J20),ISNUMBER(C20)),J20-C20,"n.b.")</f>
        <v>n.b.</v>
      </c>
      <c r="N20" s="41" t="str">
        <f>IF(AND(ISNUMBER(J20),ISNUMBER(O20)),J20-O20,"n.b.")</f>
        <v>n.b.</v>
      </c>
      <c r="O20" s="43" t="str">
        <f>IF(ISNUMBER(CALC_Versies!$AD$12),CALC_Versies!$AD$12/P_Factor,CALC_Versies!$AD$12)</f>
        <v>n.b.</v>
      </c>
      <c r="P20" s="15" t="inlineStr">
        <is>
          <t>Invoer_Aanvullend</t>
        </is>
      </c>
    </row>
    <row r="21">
      <c r="B21" s="34" t="inlineStr">
        <is>
          <t>Taakstelling EBIT</t>
        </is>
      </c>
      <c r="C21" s="41" t="str">
        <f>IF(ISNUMBER(CALC_Versies!$AE$5),CALC_Versies!$AE$5/P_Factor,CALC_Versies!$AE$5)</f>
        <v>n.b.</v>
      </c>
      <c r="D21" s="41" t="str">
        <f>IF(ISNUMBER(CALC_Versies!$AE$6),CALC_Versies!$AE$6/P_Factor,CALC_Versies!$AE$6)</f>
        <v>n.b.</v>
      </c>
      <c r="E21" s="41" t="str">
        <f>IF(ISNUMBER(CALC_Versies!$AE$7),CALC_Versies!$AE$7/P_Factor,CALC_Versies!$AE$7)</f>
        <v>n.b.</v>
      </c>
      <c r="F21" s="41" t="str">
        <f>IF(ISNUMBER(CALC_Versies!$AE$8),CALC_Versies!$AE$8/P_Factor,CALC_Versies!$AE$8)</f>
        <v>n.b.</v>
      </c>
      <c r="G21" s="41" t="str">
        <f>IF(ISNUMBER(CALC_Versies!$AE$9),CALC_Versies!$AE$9/P_Factor,CALC_Versies!$AE$9)</f>
        <v>n.b.</v>
      </c>
      <c r="H21" s="41" t="str">
        <f>IF(ISNUMBER(CALC_Versies!$AE$10),CALC_Versies!$AE$10/P_Factor,CALC_Versies!$AE$10)</f>
        <v>n.b.</v>
      </c>
      <c r="J21" s="41" t="str">
        <f>IF(ISNUMBER(CALC_Versies!$AE$11),CALC_Versies!$AE$11/P_Factor,CALC_Versies!$AE$11)</f>
        <v>n.b.</v>
      </c>
      <c r="K21" s="42" t="str">
        <f>IF(ISNUMBER(CALC_Versies!$AL$11),CALC_Versies!$AL$11/P_Factor,CALC_Versies!$AL$11)</f>
        <v>n.b.</v>
      </c>
      <c r="L21" s="41" t="str">
        <f>""</f>
        <v/>
      </c>
      <c r="M21" s="41" t="str">
        <f>IF(AND(ISNUMBER(J21),ISNUMBER(C21)),J21-C21,"n.b.")</f>
        <v>n.b.</v>
      </c>
      <c r="N21" s="41" t="str">
        <f>IF(AND(ISNUMBER(J21),ISNUMBER(O21)),J21-O21,"n.b.")</f>
        <v>n.b.</v>
      </c>
      <c r="O21" s="43" t="str">
        <f>IF(ISNUMBER(CALC_Versies!$AE$12),CALC_Versies!$AE$12/P_Factor,CALC_Versies!$AE$12)</f>
        <v>n.b.</v>
      </c>
      <c r="P21" s="15" t="inlineStr">
        <is>
          <t>Invoer_Aanvullend</t>
        </is>
      </c>
    </row>
    <row r="22">
      <c r="B22" s="44" t="inlineStr">
        <is>
          <t>EBIT-bijdrage</t>
        </is>
      </c>
      <c r="C22" s="45">
        <f>IF(ISNUMBER(C17),SUM(C17,C18,C19,C20,C21),C17)</f>
        <v>10769.875</v>
      </c>
      <c r="D22" s="45">
        <f>IF(ISNUMBER(D17),SUM(D17,D18,D19,D20,D21),D17)</f>
        <v>10652.8042</v>
      </c>
      <c r="E22" s="45">
        <f>IF(ISNUMBER(E17),SUM(E17,E18,E19,E20,E21),E17)</f>
        <v>10389.3949</v>
      </c>
      <c r="F22" s="45">
        <f>IF(ISNUMBER(F17),SUM(F17,F18,F19,F20,F21),F17)</f>
        <v>10477.198</v>
      </c>
      <c r="G22" s="45" t="str">
        <f>IF(ISNUMBER(G17),SUM(G17,G18,G19,G20,G21),G17)</f>
        <v>n.b.</v>
      </c>
      <c r="H22" s="45">
        <f>IF(ISNUMBER(H17),SUM(H17,H18,H19,H20,H21),H17)</f>
        <v>10477.198</v>
      </c>
      <c r="J22" s="45">
        <f>IF(ISNUMBER(J17),SUM(J17,J18,J19,J20,J21),J17)</f>
        <v>10477.198</v>
      </c>
      <c r="K22" s="46">
        <f>IF(ISNUMBER(K17),SUM(K17,K18,K19,K20,K21),K17)</f>
        <v>6810.1787</v>
      </c>
      <c r="L22" s="45">
        <f>IF(K22="n.v.t.",J22,IF(AND(ISNUMBER(J22),ISNUMBER(K22)),J22-K22,"n.b."))</f>
        <v>3667.0193</v>
      </c>
      <c r="M22" s="45">
        <f>IF(AND(ISNUMBER(J22),ISNUMBER(C22)),J22-C22,"n.b.")</f>
        <v>-292.677</v>
      </c>
      <c r="N22" s="45">
        <f>IF(AND(ISNUMBER(J22),ISNUMBER(O22)),J22-O22,"n.b.")</f>
        <v>87.803100000001</v>
      </c>
      <c r="O22" s="47">
        <f>IF(ISNUMBER(O17),SUM(O17,O18,O19,O20,O21),O17)</f>
        <v>10389.3949</v>
      </c>
      <c r="P22" s="15" t="inlineStr">
        <is>
          <t>BOR + AK-dekking + fees + overige resultaten + taakstelling EBIT</t>
        </is>
      </c>
    </row>
    <row r="24">
      <c r="B24" s="17" t="inlineStr">
        <is>
          <t>BOR %</t>
        </is>
      </c>
      <c r="C24" s="48">
        <f>IF(AND(ISNUMBER(C17),ISNUMBER(C28)),IF(C28&lt;&gt;0,C17/C28,"n.b."),"n.b.")</f>
        <v>0.090865513766496</v>
      </c>
      <c r="D24" s="48">
        <f>IF(AND(ISNUMBER(D17),ISNUMBER(D28)),IF(D28&lt;&gt;0,D17/D28,"n.b."),"n.b.")</f>
        <v>0.0912414620472395</v>
      </c>
      <c r="E24" s="48">
        <f>IF(AND(ISNUMBER(E17),ISNUMBER(E28)),IF(E28&lt;&gt;0,E17/E28,"n.b."),"n.b.")</f>
        <v>0.0921305311511202</v>
      </c>
      <c r="F24" s="48">
        <f>IF(AND(ISNUMBER(F17),ISNUMBER(F28)),IF(F28&lt;&gt;0,F17/F28,"n.b."),"n.b.")</f>
        <v>0.0918272729822396</v>
      </c>
      <c r="G24" s="48" t="str">
        <f>IF(AND(ISNUMBER(G17),ISNUMBER(G28)),IF(G28&lt;&gt;0,G17/G28,"n.b."),"n.b.")</f>
        <v>n.b.</v>
      </c>
      <c r="H24" s="48">
        <f>IF(AND(ISNUMBER(H17),ISNUMBER(H28)),IF(H28&lt;&gt;0,H17/H28,"n.b."),"n.b.")</f>
        <v>0.0918272729822396</v>
      </c>
      <c r="J24" s="48">
        <f>IF(AND(ISNUMBER(J17),ISNUMBER(J28)),IF(J28&lt;&gt;0,J17/J28,"n.b."),"n.b.")</f>
        <v>0.0918272729822396</v>
      </c>
      <c r="K24" s="49">
        <f>IF(AND(ISNUMBER(K17),ISNUMBER(K28)),IF(K28&lt;&gt;0,K17/K28,"n.b."),"n.b.")</f>
        <v>0.0918272729822397</v>
      </c>
      <c r="L24" s="48" t="str">
        <f>""</f>
        <v/>
      </c>
      <c r="M24" s="50">
        <f>IF(AND(ISNUMBER(J24),ISNUMBER(C24)),J24-C24,"n.b.")</f>
        <v>0.00096175921574361</v>
      </c>
      <c r="N24" s="50">
        <f>IF(AND(ISNUMBER(J24),ISNUMBER(O24)),J24-O24,"n.b.")</f>
        <v>-0.000303258168880535</v>
      </c>
      <c r="O24" s="51">
        <f>IF(AND(ISNUMBER(O17),ISNUMBER(O28)),IF(O28&lt;&gt;0,O17/O28,"n.b."),"n.b.")</f>
        <v>0.0921305311511202</v>
      </c>
      <c r="P24" s="15" t="inlineStr">
        <is>
          <t>Totale BOR / totale projectomzet (opstal + deelnemingen). Geen gemiddelde van projectpercentages</t>
        </is>
      </c>
    </row>
    <row r="25">
      <c r="B25" s="17" t="inlineStr">
        <is>
          <t>EBIT %</t>
        </is>
      </c>
      <c r="C25" s="48">
        <f>IF(AND(ISNUMBER(C22),ISNUMBER(C11)),IF(C11&lt;&gt;0,C22/C11,"n.b."),"n.b.")</f>
        <v>0.090865513766496</v>
      </c>
      <c r="D25" s="48">
        <f>IF(AND(ISNUMBER(D22),ISNUMBER(D11)),IF(D11&lt;&gt;0,D22/D11,"n.b."),"n.b.")</f>
        <v>0.0912414620472395</v>
      </c>
      <c r="E25" s="48">
        <f>IF(AND(ISNUMBER(E22),ISNUMBER(E11)),IF(E11&lt;&gt;0,E22/E11,"n.b."),"n.b.")</f>
        <v>0.0921305311511202</v>
      </c>
      <c r="F25" s="48">
        <f>IF(AND(ISNUMBER(F22),ISNUMBER(F11)),IF(F11&lt;&gt;0,F22/F11,"n.b."),"n.b.")</f>
        <v>0.0918272729822396</v>
      </c>
      <c r="G25" s="48" t="str">
        <f>IF(AND(ISNUMBER(G22),ISNUMBER(G11)),IF(G11&lt;&gt;0,G22/G11,"n.b."),"n.b.")</f>
        <v>n.b.</v>
      </c>
      <c r="H25" s="48">
        <f>IF(AND(ISNUMBER(H22),ISNUMBER(H11)),IF(H11&lt;&gt;0,H22/H11,"n.b."),"n.b.")</f>
        <v>0.0918272729822396</v>
      </c>
      <c r="J25" s="48">
        <f>IF(AND(ISNUMBER(J22),ISNUMBER(J11)),IF(J11&lt;&gt;0,J22/J11,"n.b."),"n.b.")</f>
        <v>0.0918272729822396</v>
      </c>
      <c r="K25" s="49">
        <f>IF(AND(ISNUMBER(K22),ISNUMBER(K11)),IF(K11&lt;&gt;0,K22/K11,"n.b."),"n.b.")</f>
        <v>0.0918272729822397</v>
      </c>
      <c r="L25" s="48" t="str">
        <f>""</f>
        <v/>
      </c>
      <c r="M25" s="50">
        <f>IF(AND(ISNUMBER(J25),ISNUMBER(C25)),J25-C25,"n.b.")</f>
        <v>0.00096175921574361</v>
      </c>
      <c r="N25" s="50">
        <f>IF(AND(ISNUMBER(J25),ISNUMBER(O25)),J25-O25,"n.b.")</f>
        <v>-0.000303258168880535</v>
      </c>
      <c r="O25" s="51">
        <f>IF(AND(ISNUMBER(O22),ISNUMBER(O11)),IF(O11&lt;&gt;0,O22/O11,"n.b."),"n.b.")</f>
        <v>0.0921305311511202</v>
      </c>
      <c r="P25" s="15" t="inlineStr">
        <is>
          <t>EBIT-bijdrage / Omzet old (definitie te bevestigen, zie Productievragen)</t>
        </is>
      </c>
    </row>
    <row r="27">
      <c r="B27" s="52" t="inlineStr">
        <is>
          <t>Memo</t>
        </is>
      </c>
    </row>
    <row r="28">
      <c r="B28" s="44" t="inlineStr">
        <is>
          <t>Omzet projecten (noemer BOR %)</t>
        </is>
      </c>
      <c r="C28" s="53">
        <f>IF(ISNUMBER(C7),SUM(C7,C8),C7)</f>
        <v>118525.44</v>
      </c>
      <c r="D28" s="53">
        <f>IF(ISNUMBER(D7),SUM(D7,D8),D7)</f>
        <v>116753.984</v>
      </c>
      <c r="E28" s="53">
        <f>IF(ISNUMBER(E7),SUM(E7,E8),E7)</f>
        <v>112768.208</v>
      </c>
      <c r="F28" s="53">
        <f>IF(ISNUMBER(F7),SUM(F7,F8),F7)</f>
        <v>114096.8</v>
      </c>
      <c r="G28" s="53" t="str">
        <f>IF(ISNUMBER(G7),SUM(G7,G8),G7)</f>
        <v>n.b.</v>
      </c>
      <c r="H28" s="53">
        <f>IF(ISNUMBER(H7),SUM(H7,H8),H7)</f>
        <v>114096.8</v>
      </c>
      <c r="J28" s="53">
        <f>IF(ISNUMBER(J7),SUM(J7,J8),J7)</f>
        <v>114096.8</v>
      </c>
      <c r="K28" s="54">
        <f>IF(ISNUMBER(K7),SUM(K7,K8),K7)</f>
        <v>74162.92</v>
      </c>
      <c r="L28" s="53">
        <f>IF(K28="n.v.t.",J28,IF(AND(ISNUMBER(J28),ISNUMBER(K28)),J28-K28,"n.b."))</f>
        <v>39933.88</v>
      </c>
      <c r="M28" s="53">
        <f>IF(AND(ISNUMBER(J28),ISNUMBER(C28)),J28-C28,"n.b.")</f>
        <v>-4428.64</v>
      </c>
      <c r="N28" s="53">
        <f>IF(AND(ISNUMBER(J28),ISNUMBER(O28)),J28-O28,"n.b.")</f>
        <v>1328.592</v>
      </c>
      <c r="O28" s="43">
        <f>IF(ISNUMBER(O7),SUM(O7,O8),O7)</f>
        <v>112768.208</v>
      </c>
      <c r="P28" s="15" t="inlineStr">
        <is>
          <t>Omzet opstal + deelnemingen</t>
        </is>
      </c>
    </row>
    <row r="29">
      <c r="B29" s="55" t="inlineStr">
        <is>
          <t>waarvan projecten met IFRS = N</t>
        </is>
      </c>
      <c r="C29" s="56">
        <f>IF(ISNUMBER(CALC_Versies!$O$5),CALC_Versies!$O$5/P_Factor,CALC_Versies!$O$5)</f>
        <v>5094.18</v>
      </c>
      <c r="D29" s="56">
        <f>IF(ISNUMBER(CALC_Versies!$O$6),CALC_Versies!$O$6/P_Factor,CALC_Versies!$O$6)</f>
        <v>5320.588</v>
      </c>
      <c r="E29" s="56">
        <f>IF(ISNUMBER(CALC_Versies!$O$7),CALC_Versies!$O$7/P_Factor,CALC_Versies!$O$7)</f>
        <v>5830.006</v>
      </c>
      <c r="F29" s="56">
        <f>IF(ISNUMBER(CALC_Versies!$O$8),CALC_Versies!$O$8/P_Factor,CALC_Versies!$O$8)</f>
        <v>5660.2</v>
      </c>
      <c r="G29" s="56" t="str">
        <f>IF(ISNUMBER(CALC_Versies!$O$9),CALC_Versies!$O$9/P_Factor,CALC_Versies!$O$9)</f>
        <v>n.b.</v>
      </c>
      <c r="H29" s="56">
        <f>IF(ISNUMBER(CALC_Versies!$O$10),CALC_Versies!$O$10/P_Factor,CALC_Versies!$O$10)</f>
        <v>5660.2</v>
      </c>
      <c r="J29" s="56">
        <f>IF(ISNUMBER(CALC_Versies!$O$11),CALC_Versies!$O$11/P_Factor,CALC_Versies!$O$11)</f>
        <v>5660.2</v>
      </c>
      <c r="K29" s="42" t="str">
        <f>""</f>
        <v/>
      </c>
      <c r="L29" s="56" t="str">
        <f>""</f>
        <v/>
      </c>
      <c r="M29" s="56">
        <f>IF(AND(ISNUMBER(J29),ISNUMBER(C29)),J29-C29,"n.b.")</f>
        <v>566.02</v>
      </c>
      <c r="N29" s="56">
        <f>IF(AND(ISNUMBER(J29),ISNUMBER(O29)),J29-O29,"n.b.")</f>
        <v>-169.806000000001</v>
      </c>
      <c r="O29" s="43">
        <f>IF(ISNUMBER(CALC_Versies!$O$12),CALC_Versies!$O$12/P_Factor,CALC_Versies!$O$12)</f>
        <v>5830.006</v>
      </c>
      <c r="P29" s="15" t="inlineStr">
        <is>
          <t>Informatief: IFRS J/N is een dimensie, geen automatische eliminatie- of consolidatieregel</t>
        </is>
      </c>
    </row>
    <row r="30">
      <c r="B30" s="55" t="inlineStr">
        <is>
          <t>BOR projecten met IFRS = N</t>
        </is>
      </c>
      <c r="C30" s="56">
        <f>IF(ISNUMBER(CALC_Versies!$P$5),CALC_Versies!$P$5/P_Factor,CALC_Versies!$P$5)</f>
        <v>345.7188</v>
      </c>
      <c r="D30" s="56">
        <f>IF(ISNUMBER(CALC_Versies!$P$6),CALC_Versies!$P$6/P_Factor,CALC_Versies!$P$6)</f>
        <v>361.08408</v>
      </c>
      <c r="E30" s="56">
        <f>IF(ISNUMBER(CALC_Versies!$P$7),CALC_Versies!$P$7/P_Factor,CALC_Versies!$P$7)</f>
        <v>395.65596</v>
      </c>
      <c r="F30" s="56">
        <f>IF(ISNUMBER(CALC_Versies!$P$8),CALC_Versies!$P$8/P_Factor,CALC_Versies!$P$8)</f>
        <v>384.132</v>
      </c>
      <c r="G30" s="56" t="str">
        <f>IF(ISNUMBER(CALC_Versies!$P$9),CALC_Versies!$P$9/P_Factor,CALC_Versies!$P$9)</f>
        <v>n.b.</v>
      </c>
      <c r="H30" s="56">
        <f>IF(ISNUMBER(CALC_Versies!$P$10),CALC_Versies!$P$10/P_Factor,CALC_Versies!$P$10)</f>
        <v>384.132</v>
      </c>
      <c r="J30" s="56">
        <f>IF(ISNUMBER(CALC_Versies!$P$11),CALC_Versies!$P$11/P_Factor,CALC_Versies!$P$11)</f>
        <v>384.132</v>
      </c>
      <c r="K30" s="42" t="str">
        <f>""</f>
        <v/>
      </c>
      <c r="L30" s="56" t="str">
        <f>""</f>
        <v/>
      </c>
      <c r="M30" s="56">
        <f>IF(AND(ISNUMBER(J30),ISNUMBER(C30)),J30-C30,"n.b.")</f>
        <v>38.4132</v>
      </c>
      <c r="N30" s="56">
        <f>IF(AND(ISNUMBER(J30),ISNUMBER(O30)),J30-O30,"n.b.")</f>
        <v>-11.5239599999999</v>
      </c>
      <c r="O30" s="43">
        <f>IF(ISNUMBER(CALC_Versies!$P$12),CALC_Versies!$P$12/P_Factor,CALC_Versies!$P$12)</f>
        <v>395.65596</v>
      </c>
      <c r="P30" s="15" t="inlineStr">
        <is>
          <t>Informatief</t>
        </is>
      </c>
    </row>
    <row r="31">
      <c r="B31" s="34" t="inlineStr">
        <is>
          <t>Woningverkopen (aantal, aandeelbasis)</t>
        </is>
      </c>
      <c r="C31" s="41">
        <f>CALC_Versies!$Q$5</f>
        <v>372</v>
      </c>
      <c r="D31" s="41">
        <f>CALC_Versies!$Q$6</f>
        <v>366</v>
      </c>
      <c r="E31" s="41">
        <f>CALC_Versies!$Q$7</f>
        <v>355</v>
      </c>
      <c r="F31" s="41">
        <f>CALC_Versies!$Q$8</f>
        <v>360</v>
      </c>
      <c r="G31" s="41" t="str">
        <f>CALC_Versies!$Q$9</f>
        <v>n.b.</v>
      </c>
      <c r="H31" s="41">
        <f>CALC_Versies!$Q$10</f>
        <v>360</v>
      </c>
      <c r="J31" s="41">
        <f>CALC_Versies!$Q$11</f>
        <v>360</v>
      </c>
      <c r="K31" s="42">
        <f>CALC_Versies!$R$11</f>
        <v>193</v>
      </c>
      <c r="L31" s="41" t="str">
        <f>""</f>
        <v/>
      </c>
      <c r="M31" s="41">
        <f>IF(AND(ISNUMBER(J31),ISNUMBER(C31)),J31-C31,"n.b.")</f>
        <v>-12</v>
      </c>
      <c r="N31" s="41">
        <f>IF(AND(ISNUMBER(J31),ISNUMBER(O31)),J31-O31,"n.b.")</f>
        <v>5</v>
      </c>
      <c r="O31" s="43">
        <f>CALC_Versies!$Q$12</f>
        <v>355</v>
      </c>
      <c r="P31" s="15" t="inlineStr">
        <is>
          <t>Woningetalage 'Huidig jaar' (RJ) / 'Volgend jaar' (RJ+1). Verkopen ≠ opleveringen/transporten</t>
        </is>
      </c>
    </row>
    <row r="33">
      <c r="B33" s="31" t="inlineStr">
        <is>
          <t>Leeswijzer</t>
        </is>
      </c>
    </row>
    <row r="34">
      <c r="B34" s="15" t="inlineStr">
        <is>
          <t>• Budget/Q1–Q4 = vastgelegde (onveranderlijke) FY-jaarprognoses uit Vastlegging. Een nieuwe upload wijzigt deze kolommen niet. ● = versie bevat een correctie (revisie &gt; 0).</t>
        </is>
      </c>
    </row>
    <row r="35">
      <c r="B35" s="15" t="inlineStr">
        <is>
          <t>• 'Upload … concept' = live berekend uit SRC_ZPMW03/SRC_Woningetalage; wordt pas een versie na handmatige vastlegging (tab Vastleggen).</t>
        </is>
      </c>
    </row>
    <row r="36">
      <c r="B36" s="15" t="inlineStr">
        <is>
          <t>• 'Realisatie YTD' (groen, cursief) is géén prognose: actual t/m de peildatum van de geselecteerde versie. To go = geselecteerde FY − realisatie van dezelfde peildatum.</t>
        </is>
      </c>
    </row>
    <row r="37">
      <c r="B37" s="15" t="inlineStr">
        <is>
          <t>• n.b. = niet beschikbaar (geen vastgelegde of aanvullende invoer) — nooit stil als nul. n.v.t. = doeljaar ligt na het versiejaar, dus nog geen realisatie.</t>
        </is>
      </c>
    </row>
    <row r="38">
      <c r="B38" s="15" t="inlineStr">
        <is>
          <t>• Oranje subtotaal = onvolledig: minstens één onderliggende post is n.b. De som bevat alleen de beschikbare posten.</t>
        </is>
      </c>
    </row>
    <row r="39">
      <c r="B39" s="15" t="inlineStr">
        <is>
          <t>• Tekens: omzet en resultaat positief, verlies negatief (rood). Aanvullende invoer in managementteken (+ verhoogt omzet/resultaat).</t>
        </is>
      </c>
    </row>
  </sheetData>
  <conditionalFormatting sqref="C11:N11">
    <cfRule type="expression" priority="1" dxfId="1">
      <formula>AND(ISNUMBER(C11),OR(C$7="n.b.",C$8="n.b.",C$9="n.b.",C$10="n.b."))</formula>
    </cfRule>
  </conditionalFormatting>
  <conditionalFormatting sqref="C13:N13">
    <cfRule type="expression" priority="2" dxfId="1">
      <formula>AND(ISNUMBER(C13),OR(C$7="n.b.",C$8="n.b.",C$9="n.b.",C$10="n.b.",C$12="n.b."))</formula>
    </cfRule>
  </conditionalFormatting>
  <conditionalFormatting sqref="C17:N17">
    <cfRule type="expression" priority="3" dxfId="1">
      <formula>AND(ISNUMBER(C17),OR(C$15="n.b.",C$16="n.b."))</formula>
    </cfRule>
  </conditionalFormatting>
  <conditionalFormatting sqref="C22:N22">
    <cfRule type="expression" priority="4" dxfId="1">
      <formula>AND(ISNUMBER(C22),OR(C$15="n.b.",C$16="n.b.",C$18="n.b.",C$19="n.b.",C$20="n.b.",C$21="n.b."))</formula>
    </cfRule>
  </conditionalFormatting>
  <conditionalFormatting sqref="C28:N28">
    <cfRule type="expression" priority="5" dxfId="1">
      <formula>AND(ISNUMBER(C28),OR(C$7="n.b.",C$8="n.b."))</formula>
    </cfRule>
  </conditionalFormatting>
  <conditionalFormatting sqref="C7:G31">
    <cfRule type="expression" priority="6" dxfId="2">
      <formula>C$5=Sel_Versie</formula>
    </cfRule>
  </conditionalFormatting>
  <conditionalFormatting sqref="C6:G6">
    <cfRule type="expression" priority="7" dxfId="3">
      <formula>C$5=Sel_Versie</formula>
    </cfRule>
  </conditionalFormatting>
  <conditionalFormatting sqref="J7:J31">
    <cfRule type="expression" priority="8" dxfId="2">
      <formula>TRUE</formula>
    </cfRule>
  </conditionalFormatting>
  <printOptions horizontalCentered="1"/>
  <pageMargins left="0.4" right="0.4" top="0.5" bottom="0.5" header="0.5" footer="0.5"/>
  <pageSetup orientation="landscape" paperSize="9" fitToHeight="0" fitToWidth="1"/>
</worksheet>
</file>

<file path=xl/worksheets/sheet4.xml><?xml version="1.0" encoding="utf-8"?>
<worksheet xmlns="http://schemas.openxmlformats.org/spreadsheetml/2006/main">
  <sheetPr>
    <tabColor rgb="00F5B800"/>
    <outlinePr summaryBelow="1" summaryRight="1"/>
    <pageSetUpPr fitToPage="1"/>
  </sheetPr>
  <dimension ref="A1:W109"/>
  <sheetViews>
    <sheetView showGridLines="0" zoomScale="90" workbookViewId="0">
      <pane xSplit="2" ySplit="9" topLeftCell="C10" activePane="bottomRight" state="frozen"/>
      <selection pane="topRight"/>
      <selection pane="bottomLeft"/>
      <selection pane="bottomRight" activeCell="A1" sqref="A1"/>
    </sheetView>
  </sheetViews>
  <sheetFormatPr baseColWidth="8" defaultRowHeight="15"/>
  <cols>
    <col width="15" customWidth="1" min="1" max="1"/>
    <col width="27" customWidth="1" min="2" max="2"/>
    <col width="10" customWidth="1" min="3" max="3"/>
    <col width="5" customWidth="1" min="4" max="4"/>
    <col width="9" customWidth="1" min="5" max="5"/>
    <col width="9" customWidth="1" min="6" max="6"/>
    <col width="9" customWidth="1" min="7" max="7"/>
    <col width="9" customWidth="1" min="8" max="8"/>
    <col width="9" customWidth="1" min="9" max="9"/>
    <col width="9" customWidth="1" min="10" max="10"/>
    <col width="10" customWidth="1" min="11" max="11"/>
    <col width="10" customWidth="1" min="12" max="12"/>
    <col width="9" customWidth="1" min="13" max="13"/>
    <col width="9" customWidth="1" min="14" max="14"/>
    <col width="7" customWidth="1" min="15" max="15"/>
    <col width="9" customWidth="1" min="16" max="16"/>
    <col width="9" customWidth="1" min="17" max="17"/>
    <col width="7" customWidth="1" min="18" max="18"/>
    <col width="50" customWidth="1" min="19" max="19"/>
    <col width="2" customWidth="1" min="20" max="20"/>
    <col hidden="1" width="8" customWidth="1" min="21" max="21"/>
    <col hidden="1" width="8" customWidth="1" min="22" max="22"/>
    <col hidden="1" width="8" customWidth="1" min="23" max="23"/>
  </cols>
  <sheetData>
    <row r="1" ht="28" customHeight="1">
      <c r="A1" s="1" t="n"/>
      <c r="B1" s="2" t="str">
        <f>"Projectoverzicht "&amp;P_Regio&amp;" — omzet doeljaar "&amp;Sel_Doeljaar&amp;" ("&amp;P_Eenheid&amp;")"</f>
        <v>Projectoverzicht Demo Regio — omzet doeljaar 2026 (EUR x 1.000)</v>
      </c>
      <c r="C1" s="1" t="n"/>
      <c r="D1" s="1" t="n"/>
      <c r="E1" s="1" t="n"/>
      <c r="F1" s="1" t="n"/>
      <c r="G1" s="1" t="n"/>
      <c r="H1" s="1" t="n"/>
      <c r="I1" s="1" t="n"/>
      <c r="J1" s="1" t="n"/>
      <c r="K1" s="1" t="n"/>
      <c r="L1" s="1" t="n"/>
      <c r="M1" s="1" t="n"/>
      <c r="N1" s="1" t="n"/>
      <c r="O1" s="1" t="n"/>
      <c r="P1" s="1" t="n"/>
      <c r="Q1" s="1" t="n"/>
      <c r="R1" s="1" t="n"/>
      <c r="S1" s="1" t="n"/>
      <c r="T1" s="1" t="n"/>
    </row>
    <row r="2">
      <c r="B2" s="3" t="str">
        <f>"Geselecteerde versie: "&amp;Sel_Label&amp;"  ·  realisatie en to go van dezelfde peildatum  ·  filter met de pijltjes in rij 9"</f>
        <v>Geselecteerde versie: Q3 2026 (vastgesteld)  ·  realisatie en to go van dezelfde peildatum  ·  filter met de pijltjes in rij 9</v>
      </c>
    </row>
    <row r="6">
      <c r="B6" s="57" t="inlineStr">
        <is>
          <t>Totaal (zichtbare regels)</t>
        </is>
      </c>
      <c r="C6" s="57" t="n"/>
      <c r="D6" s="57" t="n"/>
      <c r="E6" s="58">
        <f>IF(SUBTOTAL(102,E10:E109)=0,"n.b.",SUBTOTAL(109,E10:E109))</f>
        <v>118525.44</v>
      </c>
      <c r="F6" s="58">
        <f>IF(SUBTOTAL(102,F10:F109)=0,"n.b.",SUBTOTAL(109,F10:F109))</f>
        <v>116753.984</v>
      </c>
      <c r="G6" s="58">
        <f>IF(SUBTOTAL(102,G10:G109)=0,"n.b.",SUBTOTAL(109,G10:G109))</f>
        <v>112768.208</v>
      </c>
      <c r="H6" s="58">
        <f>IF(SUBTOTAL(102,H10:H109)=0,"n.b.",SUBTOTAL(109,H10:H109))</f>
        <v>114096.8</v>
      </c>
      <c r="I6" s="58" t="str">
        <f>IF(SUBTOTAL(102,I10:I109)=0,"n.b.",SUBTOTAL(109,I10:I109))</f>
        <v>n.b.</v>
      </c>
      <c r="J6" s="58">
        <f>IF(SUBTOTAL(102,J10:J109)=0,"n.b.",SUBTOTAL(109,J10:J109))</f>
        <v>114096.8</v>
      </c>
      <c r="K6" s="58">
        <f>IF(SUBTOTAL(102,K10:K109)=0,"n.b.",SUBTOTAL(109,K10:K109))</f>
        <v>114096.8</v>
      </c>
      <c r="L6" s="58">
        <f>IF(SUBTOTAL(102,L10:L109)=0,"n.b.",SUBTOTAL(109,L10:L109))</f>
        <v>74162.92</v>
      </c>
      <c r="M6" s="58">
        <f>IF(SUBTOTAL(102,M10:M109)=0,"n.b.",SUBTOTAL(109,M10:M109))</f>
        <v>39933.88</v>
      </c>
      <c r="N6" s="58">
        <f>IF(SUBTOTAL(102,N10:N109)=0,"n.b.",SUBTOTAL(109,N10:N109))</f>
        <v>10477.198</v>
      </c>
      <c r="O6" s="59">
        <f>IF(AND(ISNUMBER(N6),ISNUMBER(K6)),IF(K6&lt;&gt;0,N6/K6,"n.b."),"n.b.")</f>
        <v>0.0918272729822396</v>
      </c>
      <c r="P6" s="58">
        <f>IF(SUBTOTAL(102,P10:P109)=0,"n.b.",SUBTOTAL(109,P10:P109))</f>
        <v>-4428.64</v>
      </c>
      <c r="Q6" s="58">
        <f>IF(SUBTOTAL(102,Q10:Q109)=0,"n.b.",SUBTOTAL(109,Q10:Q109))</f>
        <v>1328.592</v>
      </c>
      <c r="R6" s="60" t="str">
        <f>COUNTIF(R10:R109,"Verlies")&amp;" verliesproject(en)"</f>
        <v>2 verliesproject(en)</v>
      </c>
    </row>
    <row r="7">
      <c r="B7" s="30" t="inlineStr">
        <is>
          <t>Marge % totaal = som BOR / som omzet (geen gemiddelde). Realisatie en to go horen bij de peildatum van de geselecteerde versie.</t>
        </is>
      </c>
    </row>
    <row r="8" hidden="1">
      <c r="E8" s="38" t="inlineStr">
        <is>
          <t>Budget</t>
        </is>
      </c>
      <c r="F8" s="38" t="inlineStr">
        <is>
          <t>Q1</t>
        </is>
      </c>
      <c r="G8" s="38" t="inlineStr">
        <is>
          <t>Q2</t>
        </is>
      </c>
      <c r="H8" s="38" t="inlineStr">
        <is>
          <t>Q3</t>
        </is>
      </c>
      <c r="I8" s="38" t="inlineStr">
        <is>
          <t>Q4</t>
        </is>
      </c>
    </row>
    <row r="9" ht="36" customHeight="1">
      <c r="A9" s="32" t="inlineStr">
        <is>
          <t>WBS-element</t>
        </is>
      </c>
      <c r="B9" s="33" t="inlineStr">
        <is>
          <t>Projectnaam</t>
        </is>
      </c>
      <c r="C9" s="33" t="inlineStr">
        <is>
          <t>Type</t>
        </is>
      </c>
      <c r="D9" s="33" t="inlineStr">
        <is>
          <t>IFRS</t>
        </is>
      </c>
      <c r="E9" s="33" t="str">
        <f>"Budget"&amp;CHAR(10)&amp;"FY "&amp;Sel_Doeljaar</f>
        <v>Budget
FY 2026</v>
      </c>
      <c r="F9" s="33" t="str">
        <f>"Q1 "&amp;P_VJ&amp;CHAR(10)&amp;"FY"</f>
        <v>Q1 2026
FY</v>
      </c>
      <c r="G9" s="33" t="str">
        <f>"Q2 "&amp;P_VJ&amp;CHAR(10)&amp;"FY"</f>
        <v>Q2 2026
FY</v>
      </c>
      <c r="H9" s="33" t="str">
        <f>"Q3 "&amp;P_VJ&amp;CHAR(10)&amp;"FY"</f>
        <v>Q3 2026
FY</v>
      </c>
      <c r="I9" s="33" t="str">
        <f>"Q4 "&amp;P_VJ&amp;CHAR(10)&amp;"FY"</f>
        <v>Q4 2026
FY</v>
      </c>
      <c r="J9" s="33" t="str">
        <f>"Upload"&amp;CHAR(10)&amp;"concept"</f>
        <v>Upload
concept</v>
      </c>
      <c r="K9" s="33" t="str">
        <f>"Geselect."&amp;CHAR(10)&amp;Sel_Versie&amp;" FY"</f>
        <v>Geselect.
Q3 FY</v>
      </c>
      <c r="L9" s="40" t="inlineStr">
        <is>
          <t>Realisatie
YTD</t>
        </is>
      </c>
      <c r="M9" s="33" t="inlineStr">
        <is>
          <t>Omzet
to go</t>
        </is>
      </c>
      <c r="N9" s="33" t="str">
        <f>"BOR FY"&amp;CHAR(10)&amp;Sel_Versie</f>
        <v>BOR FY
Q3</v>
      </c>
      <c r="O9" s="33" t="inlineStr">
        <is>
          <t>Marge
%</t>
        </is>
      </c>
      <c r="P9" s="33" t="inlineStr">
        <is>
          <t>Δ vs
Budget</t>
        </is>
      </c>
      <c r="Q9" s="33" t="str">
        <f>"Δ vs "&amp;IF(Sel_Prev="","vorige",Sel_Prev)</f>
        <v>Δ vs Q2</v>
      </c>
      <c r="R9" s="33" t="inlineStr">
        <is>
          <t>Verlies</t>
        </is>
      </c>
      <c r="S9" s="33" t="inlineStr">
        <is>
          <t>Toelichting (Invoer_Toelichting)</t>
        </is>
      </c>
    </row>
    <row r="10">
      <c r="A10" s="61" t="str">
        <f>IF(VERW_Project!$A6="","",VERW_Project!$A6)</f>
        <v>G.900001.8.9090</v>
      </c>
      <c r="B10" s="61" t="str">
        <f>IF($A10="","",VERW_Project!$C6)</f>
        <v>Lindehaven, Parkzoom fase 1</v>
      </c>
      <c r="C10" s="61" t="str">
        <f>IF($A10="","",VERW_Project!$D6)</f>
        <v>Opstal</v>
      </c>
      <c r="D10" s="61" t="str">
        <f>IF($A10="","",VERW_Project!$I6)</f>
        <v>J</v>
      </c>
      <c r="E10" s="41">
        <f>IF($A10="","",IF(ISNUMBER(IF(COUNTIFS(L_Actief,1,L_WBS,$A10,L_Doeljaar,Sel_Doeljaar,L_Versiejaar,P_VJ,L_Versie,E$8,L_Kengetal,"Omzet FY")=0,"n.b.",SUMIFS(L_Waarde,L_Actief,1,L_WBS,$A10,L_Doeljaar,Sel_Doeljaar,L_Versiejaar,P_VJ,L_Versie,E$8,L_Kengetal,"Omzet FY"))),IF(COUNTIFS(L_Actief,1,L_WBS,$A10,L_Doeljaar,Sel_Doeljaar,L_Versiejaar,P_VJ,L_Versie,E$8,L_Kengetal,"Omzet FY")=0,"n.b.",SUMIFS(L_Waarde,L_Actief,1,L_WBS,$A10,L_Doeljaar,Sel_Doeljaar,L_Versiejaar,P_VJ,L_Versie,E$8,L_Kengetal,"Omzet FY"))/P_Factor,IF(COUNTIFS(L_Actief,1,L_WBS,$A10,L_Doeljaar,Sel_Doeljaar,L_Versiejaar,P_VJ,L_Versie,E$8,L_Kengetal,"Omzet FY")=0,"n.b.",SUMIFS(L_Waarde,L_Actief,1,L_WBS,$A10,L_Doeljaar,Sel_Doeljaar,L_Versiejaar,P_VJ,L_Versie,E$8,L_Kengetal,"Omzet FY"))))</f>
        <v>6152.96</v>
      </c>
      <c r="F10" s="41">
        <f>IF($A10="","",IF(ISNUMBER(IF(COUNTIFS(L_Actief,1,L_WBS,$A10,L_Doeljaar,Sel_Doeljaar,L_Versiejaar,P_VJ,L_Versie,F$8,L_Kengetal,"Omzet FY")=0,"n.b.",SUMIFS(L_Waarde,L_Actief,1,L_WBS,$A10,L_Doeljaar,Sel_Doeljaar,L_Versiejaar,P_VJ,L_Versie,F$8,L_Kengetal,"Omzet FY"))),IF(COUNTIFS(L_Actief,1,L_WBS,$A10,L_Doeljaar,Sel_Doeljaar,L_Versiejaar,P_VJ,L_Versie,F$8,L_Kengetal,"Omzet FY")=0,"n.b.",SUMIFS(L_Waarde,L_Actief,1,L_WBS,$A10,L_Doeljaar,Sel_Doeljaar,L_Versiejaar,P_VJ,L_Versie,F$8,L_Kengetal,"Omzet FY"))/P_Factor,IF(COUNTIFS(L_Actief,1,L_WBS,$A10,L_Doeljaar,Sel_Doeljaar,L_Versiejaar,P_VJ,L_Versie,F$8,L_Kengetal,"Omzet FY")=0,"n.b.",SUMIFS(L_Waarde,L_Actief,1,L_WBS,$A10,L_Doeljaar,Sel_Doeljaar,L_Versiejaar,P_VJ,L_Versie,F$8,L_Kengetal,"Omzet FY"))))</f>
        <v>5929.216</v>
      </c>
      <c r="G10" s="41">
        <f>IF($A10="","",IF(ISNUMBER(IF(COUNTIFS(L_Actief,1,L_WBS,$A10,L_Doeljaar,Sel_Doeljaar,L_Versiejaar,P_VJ,L_Versie,G$8,L_Kengetal,"Omzet FY")=0,"n.b.",SUMIFS(L_Waarde,L_Actief,1,L_WBS,$A10,L_Doeljaar,Sel_Doeljaar,L_Versiejaar,P_VJ,L_Versie,G$8,L_Kengetal,"Omzet FY"))),IF(COUNTIFS(L_Actief,1,L_WBS,$A10,L_Doeljaar,Sel_Doeljaar,L_Versiejaar,P_VJ,L_Versie,G$8,L_Kengetal,"Omzet FY")=0,"n.b.",SUMIFS(L_Waarde,L_Actief,1,L_WBS,$A10,L_Doeljaar,Sel_Doeljaar,L_Versiejaar,P_VJ,L_Versie,G$8,L_Kengetal,"Omzet FY"))/P_Factor,IF(COUNTIFS(L_Actief,1,L_WBS,$A10,L_Doeljaar,Sel_Doeljaar,L_Versiejaar,P_VJ,L_Versie,G$8,L_Kengetal,"Omzet FY")=0,"n.b.",SUMIFS(L_Waarde,L_Actief,1,L_WBS,$A10,L_Doeljaar,Sel_Doeljaar,L_Versiejaar,P_VJ,L_Versie,G$8,L_Kengetal,"Omzet FY"))))</f>
        <v>5425.792</v>
      </c>
      <c r="H10" s="41">
        <f>IF($A10="","",IF(ISNUMBER(IF(COUNTIFS(L_Actief,1,L_WBS,$A10,L_Doeljaar,Sel_Doeljaar,L_Versiejaar,P_VJ,L_Versie,H$8,L_Kengetal,"Omzet FY")=0,"n.b.",SUMIFS(L_Waarde,L_Actief,1,L_WBS,$A10,L_Doeljaar,Sel_Doeljaar,L_Versiejaar,P_VJ,L_Versie,H$8,L_Kengetal,"Omzet FY"))),IF(COUNTIFS(L_Actief,1,L_WBS,$A10,L_Doeljaar,Sel_Doeljaar,L_Versiejaar,P_VJ,L_Versie,H$8,L_Kengetal,"Omzet FY")=0,"n.b.",SUMIFS(L_Waarde,L_Actief,1,L_WBS,$A10,L_Doeljaar,Sel_Doeljaar,L_Versiejaar,P_VJ,L_Versie,H$8,L_Kengetal,"Omzet FY"))/P_Factor,IF(COUNTIFS(L_Actief,1,L_WBS,$A10,L_Doeljaar,Sel_Doeljaar,L_Versiejaar,P_VJ,L_Versie,H$8,L_Kengetal,"Omzet FY")=0,"n.b.",SUMIFS(L_Waarde,L_Actief,1,L_WBS,$A10,L_Doeljaar,Sel_Doeljaar,L_Versiejaar,P_VJ,L_Versie,H$8,L_Kengetal,"Omzet FY"))))</f>
        <v>5593.6</v>
      </c>
      <c r="I10" s="41" t="str">
        <f>IF($A10="","",IF(ISNUMBER(IF(COUNTIFS(L_Actief,1,L_WBS,$A10,L_Doeljaar,Sel_Doeljaar,L_Versiejaar,P_VJ,L_Versie,I$8,L_Kengetal,"Omzet FY")=0,"n.b.",SUMIFS(L_Waarde,L_Actief,1,L_WBS,$A10,L_Doeljaar,Sel_Doeljaar,L_Versiejaar,P_VJ,L_Versie,I$8,L_Kengetal,"Omzet FY"))),IF(COUNTIFS(L_Actief,1,L_WBS,$A10,L_Doeljaar,Sel_Doeljaar,L_Versiejaar,P_VJ,L_Versie,I$8,L_Kengetal,"Omzet FY")=0,"n.b.",SUMIFS(L_Waarde,L_Actief,1,L_WBS,$A10,L_Doeljaar,Sel_Doeljaar,L_Versiejaar,P_VJ,L_Versie,I$8,L_Kengetal,"Omzet FY"))/P_Factor,IF(COUNTIFS(L_Actief,1,L_WBS,$A10,L_Doeljaar,Sel_Doeljaar,L_Versiejaar,P_VJ,L_Versie,I$8,L_Kengetal,"Omzet FY")=0,"n.b.",SUMIFS(L_Waarde,L_Actief,1,L_WBS,$A10,L_Doeljaar,Sel_Doeljaar,L_Versiejaar,P_VJ,L_Versie,I$8,L_Kengetal,"Omzet FY"))))</f>
        <v>n.b.</v>
      </c>
      <c r="J10" s="41">
        <f>IF($A10="","",IF(ISNUMBER(IF(Sel_Doeljaar=P_RJ,VERW_Project!$P6,IF(Sel_Doeljaar=P_RJ+1,VERW_Project!$R6,"n.b."))),IF(Sel_Doeljaar=P_RJ,VERW_Project!$P6,IF(Sel_Doeljaar=P_RJ+1,VERW_Project!$R6,"n.b."))/P_Factor,IF(Sel_Doeljaar=P_RJ,VERW_Project!$P6,IF(Sel_Doeljaar=P_RJ+1,VERW_Project!$R6,"n.b."))))</f>
        <v>5593.6</v>
      </c>
      <c r="K10" s="41">
        <f>IF($A10="","",IF(Sel_Bron="Vastgesteld",INDEX($E10:$I10,MATCH(Sel_Versie,$E$8:$I$8,0)),IF(Sel_Bron="Concept",J10,"n.b.")))</f>
        <v>5593.6</v>
      </c>
      <c r="L10" s="62">
        <f>IF($A10="","",IF(Sel_Doeljaar&gt;P_VJ,"n.v.t.",IF(Sel_Bron="Vastgesteld",IF(ISNUMBER(IF(COUNTIFS(L_Actief,1,L_WBS,$A10,L_Doeljaar,Sel_Doeljaar,L_Versiejaar,P_VJ,L_Versie,Sel_Versie,L_Kengetal,"Omzet actual YTD")=0,"n.b.",SUMIFS(L_Waarde,L_Actief,1,L_WBS,$A10,L_Doeljaar,Sel_Doeljaar,L_Versiejaar,P_VJ,L_Versie,Sel_Versie,L_Kengetal,"Omzet actual YTD"))),IF(COUNTIFS(L_Actief,1,L_WBS,$A10,L_Doeljaar,Sel_Doeljaar,L_Versiejaar,P_VJ,L_Versie,Sel_Versie,L_Kengetal,"Omzet actual YTD")=0,"n.b.",SUMIFS(L_Waarde,L_Actief,1,L_WBS,$A10,L_Doeljaar,Sel_Doeljaar,L_Versiejaar,P_VJ,L_Versie,Sel_Versie,L_Kengetal,"Omzet actual YTD"))/P_Factor,IF(COUNTIFS(L_Actief,1,L_WBS,$A10,L_Doeljaar,Sel_Doeljaar,L_Versiejaar,P_VJ,L_Versie,Sel_Versie,L_Kengetal,"Omzet actual YTD")=0,"n.b.",SUMIFS(L_Waarde,L_Actief,1,L_WBS,$A10,L_Doeljaar,Sel_Doeljaar,L_Versiejaar,P_VJ,L_Versie,Sel_Versie,L_Kengetal,"Omzet actual YTD"))),IF(Sel_Bron="Concept",IF(ISNUMBER(IF(Sel_Doeljaar=P_RJ,VERW_Project!$L6,"n.v.t.")),IF(Sel_Doeljaar=P_RJ,VERW_Project!$L6,"n.v.t.")/P_Factor,IF(Sel_Doeljaar=P_RJ,VERW_Project!$L6,"n.v.t.")),"n.b."))))</f>
        <v>3635.84</v>
      </c>
      <c r="M10" s="41">
        <f>IF($A10="","",IF(L10="n.v.t.",K10,IF(AND(ISNUMBER(K10),ISNUMBER(L10)),K10-L10,"n.b.")))</f>
        <v>1957.76</v>
      </c>
      <c r="N10" s="41">
        <f>IF($A10="","",IF(Sel_Bron="Vastgesteld",IF(ISNUMBER(IF(COUNTIFS(L_Actief,1,L_WBS,$A10,L_Doeljaar,Sel_Doeljaar,L_Versiejaar,P_VJ,L_Versie,Sel_Versie,L_Kengetal,"BOR FY")=0,"n.b.",SUMIFS(L_Waarde,L_Actief,1,L_WBS,$A10,L_Doeljaar,Sel_Doeljaar,L_Versiejaar,P_VJ,L_Versie,Sel_Versie,L_Kengetal,"BOR FY"))),IF(COUNTIFS(L_Actief,1,L_WBS,$A10,L_Doeljaar,Sel_Doeljaar,L_Versiejaar,P_VJ,L_Versie,Sel_Versie,L_Kengetal,"BOR FY")=0,"n.b.",SUMIFS(L_Waarde,L_Actief,1,L_WBS,$A10,L_Doeljaar,Sel_Doeljaar,L_Versiejaar,P_VJ,L_Versie,Sel_Versie,L_Kengetal,"BOR FY"))/P_Factor,IF(COUNTIFS(L_Actief,1,L_WBS,$A10,L_Doeljaar,Sel_Doeljaar,L_Versiejaar,P_VJ,L_Versie,Sel_Versie,L_Kengetal,"BOR FY")=0,"n.b.",SUMIFS(L_Waarde,L_Actief,1,L_WBS,$A10,L_Doeljaar,Sel_Doeljaar,L_Versiejaar,P_VJ,L_Versie,Sel_Versie,L_Kengetal,"BOR FY"))),IF(Sel_Bron="Concept",IF(ISNUMBER(IF(Sel_Doeljaar=P_RJ,VERW_Project!$Q6,IF(Sel_Doeljaar=P_RJ+1,VERW_Project!$S6,"n.b."))),IF(Sel_Doeljaar=P_RJ,VERW_Project!$Q6,IF(Sel_Doeljaar=P_RJ+1,VERW_Project!$S6,"n.b."))/P_Factor,IF(Sel_Doeljaar=P_RJ,VERW_Project!$Q6,IF(Sel_Doeljaar=P_RJ+1,VERW_Project!$S6,"n.b."))),"n.b.")))</f>
        <v>503.424</v>
      </c>
      <c r="O10" s="63">
        <f>IF($A10="","",IF(AND(ISNUMBER(N10),ISNUMBER(K10)),IF(K10&lt;&gt;0,N10/K10,"n.b."),"n.b."))</f>
        <v>0.09</v>
      </c>
      <c r="P10" s="41">
        <f>IF($A10="","",IF(AND(ISNUMBER(K10),ISNUMBER(E10)),K10-E10,"n.b."))</f>
        <v>-559.36</v>
      </c>
      <c r="Q10" s="41">
        <f>IF($A10="","",IF(AND(ISNUMBER(K10),ISNUMBER(W10)),K10-W10,"n.b."))</f>
        <v>167.808</v>
      </c>
      <c r="R10" s="64" t="str">
        <f>IF($A10="","",IF(ISNUMBER(N10),IF(N10&lt;0,"Verlies",""),""))</f>
        <v/>
      </c>
      <c r="S10" s="61" t="str">
        <f>IF($A10="","",IFERROR(INDEX(T_Txt,MATCH($A10&amp;"|"&amp;Sel_Doeljaar&amp;"|"&amp;P_VJ&amp;"|"&amp;Sel_Versie,T_Key,0)),""))</f>
        <v/>
      </c>
      <c r="U10" s="15">
        <f>IF(AND(AND($A10&lt;&gt;"",OR(Sel_Type="Alle",$C10=Sel_Type),OR(Sel_Project="Alle",$B10=Sel_Project)),ISNUMBER(K10)),K10+ROW()/1000000000,"")</f>
        <v>5593.60000001</v>
      </c>
      <c r="V10" s="15">
        <f>IF(AND(AND($A10&lt;&gt;"",OR(Sel_Type="Alle",$C10=Sel_Type),OR(Sel_Project="Alle",$B10=Sel_Project)),ISNUMBER(Q10)),ABS(Q10)+ROW()/1000000000,"")</f>
        <v>167.80800001</v>
      </c>
      <c r="W10" s="15">
        <f>IF(OR($A10="",Sel_Prev=""),"n.b.",IF(ISNUMBER(IF(COUNTIFS(L_Actief,1,L_WBS,$A10,L_Doeljaar,Sel_Doeljaar,L_Versiejaar,P_VJ,L_Versie,Sel_Prev,L_Kengetal,"Omzet FY")=0,"n.b.",SUMIFS(L_Waarde,L_Actief,1,L_WBS,$A10,L_Doeljaar,Sel_Doeljaar,L_Versiejaar,P_VJ,L_Versie,Sel_Prev,L_Kengetal,"Omzet FY"))),IF(COUNTIFS(L_Actief,1,L_WBS,$A10,L_Doeljaar,Sel_Doeljaar,L_Versiejaar,P_VJ,L_Versie,Sel_Prev,L_Kengetal,"Omzet FY")=0,"n.b.",SUMIFS(L_Waarde,L_Actief,1,L_WBS,$A10,L_Doeljaar,Sel_Doeljaar,L_Versiejaar,P_VJ,L_Versie,Sel_Prev,L_Kengetal,"Omzet FY"))/P_Factor,IF(COUNTIFS(L_Actief,1,L_WBS,$A10,L_Doeljaar,Sel_Doeljaar,L_Versiejaar,P_VJ,L_Versie,Sel_Prev,L_Kengetal,"Omzet FY")=0,"n.b.",SUMIFS(L_Waarde,L_Actief,1,L_WBS,$A10,L_Doeljaar,Sel_Doeljaar,L_Versiejaar,P_VJ,L_Versie,Sel_Prev,L_Kengetal,"Omzet FY"))))</f>
        <v>5425.792</v>
      </c>
    </row>
    <row r="11">
      <c r="A11" s="61" t="str">
        <f>IF(VERW_Project!$A7="","",VERW_Project!$A7)</f>
        <v>G.900002.8.9090</v>
      </c>
      <c r="B11" s="61" t="str">
        <f>IF($A11="","",VERW_Project!$C7)</f>
        <v>Duinwaard, De Watergaarde</v>
      </c>
      <c r="C11" s="61" t="str">
        <f>IF($A11="","",VERW_Project!$D7)</f>
        <v>Opstal</v>
      </c>
      <c r="D11" s="61" t="str">
        <f>IF($A11="","",VERW_Project!$I7)</f>
        <v>J</v>
      </c>
      <c r="E11" s="41">
        <f>IF($A11="","",IF(ISNUMBER(IF(COUNTIFS(L_Actief,1,L_WBS,$A11,L_Doeljaar,Sel_Doeljaar,L_Versiejaar,P_VJ,L_Versie,E$8,L_Kengetal,"Omzet FY")=0,"n.b.",SUMIFS(L_Waarde,L_Actief,1,L_WBS,$A11,L_Doeljaar,Sel_Doeljaar,L_Versiejaar,P_VJ,L_Versie,E$8,L_Kengetal,"Omzet FY"))),IF(COUNTIFS(L_Actief,1,L_WBS,$A11,L_Doeljaar,Sel_Doeljaar,L_Versiejaar,P_VJ,L_Versie,E$8,L_Kengetal,"Omzet FY")=0,"n.b.",SUMIFS(L_Waarde,L_Actief,1,L_WBS,$A11,L_Doeljaar,Sel_Doeljaar,L_Versiejaar,P_VJ,L_Versie,E$8,L_Kengetal,"Omzet FY"))/P_Factor,IF(COUNTIFS(L_Actief,1,L_WBS,$A11,L_Doeljaar,Sel_Doeljaar,L_Versiejaar,P_VJ,L_Versie,E$8,L_Kengetal,"Omzet FY")=0,"n.b.",SUMIFS(L_Waarde,L_Actief,1,L_WBS,$A11,L_Doeljaar,Sel_Doeljaar,L_Versiejaar,P_VJ,L_Versie,E$8,L_Kengetal,"Omzet FY"))))</f>
        <v>3348</v>
      </c>
      <c r="F11" s="41">
        <f>IF($A11="","",IF(ISNUMBER(IF(COUNTIFS(L_Actief,1,L_WBS,$A11,L_Doeljaar,Sel_Doeljaar,L_Versiejaar,P_VJ,L_Versie,F$8,L_Kengetal,"Omzet FY")=0,"n.b.",SUMIFS(L_Waarde,L_Actief,1,L_WBS,$A11,L_Doeljaar,Sel_Doeljaar,L_Versiejaar,P_VJ,L_Versie,F$8,L_Kengetal,"Omzet FY"))),IF(COUNTIFS(L_Actief,1,L_WBS,$A11,L_Doeljaar,Sel_Doeljaar,L_Versiejaar,P_VJ,L_Versie,F$8,L_Kengetal,"Omzet FY")=0,"n.b.",SUMIFS(L_Waarde,L_Actief,1,L_WBS,$A11,L_Doeljaar,Sel_Doeljaar,L_Versiejaar,P_VJ,L_Versie,F$8,L_Kengetal,"Omzet FY"))/P_Factor,IF(COUNTIFS(L_Actief,1,L_WBS,$A11,L_Doeljaar,Sel_Doeljaar,L_Versiejaar,P_VJ,L_Versie,F$8,L_Kengetal,"Omzet FY")=0,"n.b.",SUMIFS(L_Waarde,L_Actief,1,L_WBS,$A11,L_Doeljaar,Sel_Doeljaar,L_Versiejaar,P_VJ,L_Versie,F$8,L_Kengetal,"Omzet FY"))))</f>
        <v>3496.8</v>
      </c>
      <c r="G11" s="41">
        <f>IF($A11="","",IF(ISNUMBER(IF(COUNTIFS(L_Actief,1,L_WBS,$A11,L_Doeljaar,Sel_Doeljaar,L_Versiejaar,P_VJ,L_Versie,G$8,L_Kengetal,"Omzet FY")=0,"n.b.",SUMIFS(L_Waarde,L_Actief,1,L_WBS,$A11,L_Doeljaar,Sel_Doeljaar,L_Versiejaar,P_VJ,L_Versie,G$8,L_Kengetal,"Omzet FY"))),IF(COUNTIFS(L_Actief,1,L_WBS,$A11,L_Doeljaar,Sel_Doeljaar,L_Versiejaar,P_VJ,L_Versie,G$8,L_Kengetal,"Omzet FY")=0,"n.b.",SUMIFS(L_Waarde,L_Actief,1,L_WBS,$A11,L_Doeljaar,Sel_Doeljaar,L_Versiejaar,P_VJ,L_Versie,G$8,L_Kengetal,"Omzet FY"))/P_Factor,IF(COUNTIFS(L_Actief,1,L_WBS,$A11,L_Doeljaar,Sel_Doeljaar,L_Versiejaar,P_VJ,L_Versie,G$8,L_Kengetal,"Omzet FY")=0,"n.b.",SUMIFS(L_Waarde,L_Actief,1,L_WBS,$A11,L_Doeljaar,Sel_Doeljaar,L_Versiejaar,P_VJ,L_Versie,G$8,L_Kengetal,"Omzet FY"))))</f>
        <v>3831.6</v>
      </c>
      <c r="H11" s="41">
        <f>IF($A11="","",IF(ISNUMBER(IF(COUNTIFS(L_Actief,1,L_WBS,$A11,L_Doeljaar,Sel_Doeljaar,L_Versiejaar,P_VJ,L_Versie,H$8,L_Kengetal,"Omzet FY")=0,"n.b.",SUMIFS(L_Waarde,L_Actief,1,L_WBS,$A11,L_Doeljaar,Sel_Doeljaar,L_Versiejaar,P_VJ,L_Versie,H$8,L_Kengetal,"Omzet FY"))),IF(COUNTIFS(L_Actief,1,L_WBS,$A11,L_Doeljaar,Sel_Doeljaar,L_Versiejaar,P_VJ,L_Versie,H$8,L_Kengetal,"Omzet FY")=0,"n.b.",SUMIFS(L_Waarde,L_Actief,1,L_WBS,$A11,L_Doeljaar,Sel_Doeljaar,L_Versiejaar,P_VJ,L_Versie,H$8,L_Kengetal,"Omzet FY"))/P_Factor,IF(COUNTIFS(L_Actief,1,L_WBS,$A11,L_Doeljaar,Sel_Doeljaar,L_Versiejaar,P_VJ,L_Versie,H$8,L_Kengetal,"Omzet FY")=0,"n.b.",SUMIFS(L_Waarde,L_Actief,1,L_WBS,$A11,L_Doeljaar,Sel_Doeljaar,L_Versiejaar,P_VJ,L_Versie,H$8,L_Kengetal,"Omzet FY"))))</f>
        <v>3720</v>
      </c>
      <c r="I11" s="41" t="str">
        <f>IF($A11="","",IF(ISNUMBER(IF(COUNTIFS(L_Actief,1,L_WBS,$A11,L_Doeljaar,Sel_Doeljaar,L_Versiejaar,P_VJ,L_Versie,I$8,L_Kengetal,"Omzet FY")=0,"n.b.",SUMIFS(L_Waarde,L_Actief,1,L_WBS,$A11,L_Doeljaar,Sel_Doeljaar,L_Versiejaar,P_VJ,L_Versie,I$8,L_Kengetal,"Omzet FY"))),IF(COUNTIFS(L_Actief,1,L_WBS,$A11,L_Doeljaar,Sel_Doeljaar,L_Versiejaar,P_VJ,L_Versie,I$8,L_Kengetal,"Omzet FY")=0,"n.b.",SUMIFS(L_Waarde,L_Actief,1,L_WBS,$A11,L_Doeljaar,Sel_Doeljaar,L_Versiejaar,P_VJ,L_Versie,I$8,L_Kengetal,"Omzet FY"))/P_Factor,IF(COUNTIFS(L_Actief,1,L_WBS,$A11,L_Doeljaar,Sel_Doeljaar,L_Versiejaar,P_VJ,L_Versie,I$8,L_Kengetal,"Omzet FY")=0,"n.b.",SUMIFS(L_Waarde,L_Actief,1,L_WBS,$A11,L_Doeljaar,Sel_Doeljaar,L_Versiejaar,P_VJ,L_Versie,I$8,L_Kengetal,"Omzet FY"))))</f>
        <v>n.b.</v>
      </c>
      <c r="J11" s="41">
        <f>IF($A11="","",IF(ISNUMBER(IF(Sel_Doeljaar=P_RJ,VERW_Project!$P7,IF(Sel_Doeljaar=P_RJ+1,VERW_Project!$R7,"n.b."))),IF(Sel_Doeljaar=P_RJ,VERW_Project!$P7,IF(Sel_Doeljaar=P_RJ+1,VERW_Project!$R7,"n.b."))/P_Factor,IF(Sel_Doeljaar=P_RJ,VERW_Project!$P7,IF(Sel_Doeljaar=P_RJ+1,VERW_Project!$R7,"n.b."))))</f>
        <v>3720</v>
      </c>
      <c r="K11" s="41">
        <f>IF($A11="","",IF(Sel_Bron="Vastgesteld",INDEX($E11:$I11,MATCH(Sel_Versie,$E$8:$I$8,0)),IF(Sel_Bron="Concept",J11,"n.b.")))</f>
        <v>3720</v>
      </c>
      <c r="L11" s="62">
        <f>IF($A11="","",IF(Sel_Doeljaar&gt;P_VJ,"n.v.t.",IF(Sel_Bron="Vastgesteld",IF(ISNUMBER(IF(COUNTIFS(L_Actief,1,L_WBS,$A11,L_Doeljaar,Sel_Doeljaar,L_Versiejaar,P_VJ,L_Versie,Sel_Versie,L_Kengetal,"Omzet actual YTD")=0,"n.b.",SUMIFS(L_Waarde,L_Actief,1,L_WBS,$A11,L_Doeljaar,Sel_Doeljaar,L_Versiejaar,P_VJ,L_Versie,Sel_Versie,L_Kengetal,"Omzet actual YTD"))),IF(COUNTIFS(L_Actief,1,L_WBS,$A11,L_Doeljaar,Sel_Doeljaar,L_Versiejaar,P_VJ,L_Versie,Sel_Versie,L_Kengetal,"Omzet actual YTD")=0,"n.b.",SUMIFS(L_Waarde,L_Actief,1,L_WBS,$A11,L_Doeljaar,Sel_Doeljaar,L_Versiejaar,P_VJ,L_Versie,Sel_Versie,L_Kengetal,"Omzet actual YTD"))/P_Factor,IF(COUNTIFS(L_Actief,1,L_WBS,$A11,L_Doeljaar,Sel_Doeljaar,L_Versiejaar,P_VJ,L_Versie,Sel_Versie,L_Kengetal,"Omzet actual YTD")=0,"n.b.",SUMIFS(L_Waarde,L_Actief,1,L_WBS,$A11,L_Doeljaar,Sel_Doeljaar,L_Versiejaar,P_VJ,L_Versie,Sel_Versie,L_Kengetal,"Omzet actual YTD"))),IF(Sel_Bron="Concept",IF(ISNUMBER(IF(Sel_Doeljaar=P_RJ,VERW_Project!$L7,"n.v.t.")),IF(Sel_Doeljaar=P_RJ,VERW_Project!$L7,"n.v.t.")/P_Factor,IF(Sel_Doeljaar=P_RJ,VERW_Project!$L7,"n.v.t.")),"n.b."))))</f>
        <v>2418</v>
      </c>
      <c r="M11" s="41">
        <f>IF($A11="","",IF(L11="n.v.t.",K11,IF(AND(ISNUMBER(K11),ISNUMBER(L11)),K11-L11,"n.b.")))</f>
        <v>1302</v>
      </c>
      <c r="N11" s="41">
        <f>IF($A11="","",IF(Sel_Bron="Vastgesteld",IF(ISNUMBER(IF(COUNTIFS(L_Actief,1,L_WBS,$A11,L_Doeljaar,Sel_Doeljaar,L_Versiejaar,P_VJ,L_Versie,Sel_Versie,L_Kengetal,"BOR FY")=0,"n.b.",SUMIFS(L_Waarde,L_Actief,1,L_WBS,$A11,L_Doeljaar,Sel_Doeljaar,L_Versiejaar,P_VJ,L_Versie,Sel_Versie,L_Kengetal,"BOR FY"))),IF(COUNTIFS(L_Actief,1,L_WBS,$A11,L_Doeljaar,Sel_Doeljaar,L_Versiejaar,P_VJ,L_Versie,Sel_Versie,L_Kengetal,"BOR FY")=0,"n.b.",SUMIFS(L_Waarde,L_Actief,1,L_WBS,$A11,L_Doeljaar,Sel_Doeljaar,L_Versiejaar,P_VJ,L_Versie,Sel_Versie,L_Kengetal,"BOR FY"))/P_Factor,IF(COUNTIFS(L_Actief,1,L_WBS,$A11,L_Doeljaar,Sel_Doeljaar,L_Versiejaar,P_VJ,L_Versie,Sel_Versie,L_Kengetal,"BOR FY")=0,"n.b.",SUMIFS(L_Waarde,L_Actief,1,L_WBS,$A11,L_Doeljaar,Sel_Doeljaar,L_Versiejaar,P_VJ,L_Versie,Sel_Versie,L_Kengetal,"BOR FY"))),IF(Sel_Bron="Concept",IF(ISNUMBER(IF(Sel_Doeljaar=P_RJ,VERW_Project!$Q7,IF(Sel_Doeljaar=P_RJ+1,VERW_Project!$S7,"n.b."))),IF(Sel_Doeljaar=P_RJ,VERW_Project!$Q7,IF(Sel_Doeljaar=P_RJ+1,VERW_Project!$S7,"n.b."))/P_Factor,IF(Sel_Doeljaar=P_RJ,VERW_Project!$Q7,IF(Sel_Doeljaar=P_RJ+1,VERW_Project!$S7,"n.b."))),"n.b.")))</f>
        <v>446.4</v>
      </c>
      <c r="O11" s="63">
        <f>IF($A11="","",IF(AND(ISNUMBER(N11),ISNUMBER(K11)),IF(K11&lt;&gt;0,N11/K11,"n.b."),"n.b."))</f>
        <v>0.12</v>
      </c>
      <c r="P11" s="41">
        <f>IF($A11="","",IF(AND(ISNUMBER(K11),ISNUMBER(E11)),K11-E11,"n.b."))</f>
        <v>372</v>
      </c>
      <c r="Q11" s="41">
        <f>IF($A11="","",IF(AND(ISNUMBER(K11),ISNUMBER(W11)),K11-W11,"n.b."))</f>
        <v>-111.6</v>
      </c>
      <c r="R11" s="64" t="str">
        <f>IF($A11="","",IF(ISNUMBER(N11),IF(N11&lt;0,"Verlies",""),""))</f>
        <v/>
      </c>
      <c r="S11" s="61" t="str">
        <f>IF($A11="","",IFERROR(INDEX(T_Txt,MATCH($A11&amp;"|"&amp;Sel_Doeljaar&amp;"|"&amp;P_VJ&amp;"|"&amp;Sel_Versie,T_Key,0)),""))</f>
        <v/>
      </c>
      <c r="U11" s="15">
        <f>IF(AND(AND($A11&lt;&gt;"",OR(Sel_Type="Alle",$C11=Sel_Type),OR(Sel_Project="Alle",$B11=Sel_Project)),ISNUMBER(K11)),K11+ROW()/1000000000,"")</f>
        <v>3720.000000011</v>
      </c>
      <c r="V11" s="15">
        <f>IF(AND(AND($A11&lt;&gt;"",OR(Sel_Type="Alle",$C11=Sel_Type),OR(Sel_Project="Alle",$B11=Sel_Project)),ISNUMBER(Q11)),ABS(Q11)+ROW()/1000000000,"")</f>
        <v>111.600000011</v>
      </c>
      <c r="W11" s="15">
        <f>IF(OR($A11="",Sel_Prev=""),"n.b.",IF(ISNUMBER(IF(COUNTIFS(L_Actief,1,L_WBS,$A11,L_Doeljaar,Sel_Doeljaar,L_Versiejaar,P_VJ,L_Versie,Sel_Prev,L_Kengetal,"Omzet FY")=0,"n.b.",SUMIFS(L_Waarde,L_Actief,1,L_WBS,$A11,L_Doeljaar,Sel_Doeljaar,L_Versiejaar,P_VJ,L_Versie,Sel_Prev,L_Kengetal,"Omzet FY"))),IF(COUNTIFS(L_Actief,1,L_WBS,$A11,L_Doeljaar,Sel_Doeljaar,L_Versiejaar,P_VJ,L_Versie,Sel_Prev,L_Kengetal,"Omzet FY")=0,"n.b.",SUMIFS(L_Waarde,L_Actief,1,L_WBS,$A11,L_Doeljaar,Sel_Doeljaar,L_Versiejaar,P_VJ,L_Versie,Sel_Prev,L_Kengetal,"Omzet FY"))/P_Factor,IF(COUNTIFS(L_Actief,1,L_WBS,$A11,L_Doeljaar,Sel_Doeljaar,L_Versiejaar,P_VJ,L_Versie,Sel_Prev,L_Kengetal,"Omzet FY")=0,"n.b.",SUMIFS(L_Waarde,L_Actief,1,L_WBS,$A11,L_Doeljaar,Sel_Doeljaar,L_Versiejaar,P_VJ,L_Versie,Sel_Prev,L_Kengetal,"Omzet FY"))))</f>
        <v>3831.6</v>
      </c>
    </row>
    <row r="12">
      <c r="A12" s="61" t="str">
        <f>IF(VERW_Project!$A8="","",VERW_Project!$A8)</f>
        <v>G.900003.8.9090</v>
      </c>
      <c r="B12" s="61" t="str">
        <f>IF($A12="","",VERW_Project!$C8)</f>
        <v>Veldendam, Stationshof</v>
      </c>
      <c r="C12" s="61" t="str">
        <f>IF($A12="","",VERW_Project!$D8)</f>
        <v>Opstal</v>
      </c>
      <c r="D12" s="61" t="str">
        <f>IF($A12="","",VERW_Project!$I8)</f>
        <v>J</v>
      </c>
      <c r="E12" s="41">
        <f>IF($A12="","",IF(ISNUMBER(IF(COUNTIFS(L_Actief,1,L_WBS,$A12,L_Doeljaar,Sel_Doeljaar,L_Versiejaar,P_VJ,L_Versie,E$8,L_Kengetal,"Omzet FY")=0,"n.b.",SUMIFS(L_Waarde,L_Actief,1,L_WBS,$A12,L_Doeljaar,Sel_Doeljaar,L_Versiejaar,P_VJ,L_Versie,E$8,L_Kengetal,"Omzet FY"))),IF(COUNTIFS(L_Actief,1,L_WBS,$A12,L_Doeljaar,Sel_Doeljaar,L_Versiejaar,P_VJ,L_Versie,E$8,L_Kengetal,"Omzet FY")=0,"n.b.",SUMIFS(L_Waarde,L_Actief,1,L_WBS,$A12,L_Doeljaar,Sel_Doeljaar,L_Versiejaar,P_VJ,L_Versie,E$8,L_Kengetal,"Omzet FY"))/P_Factor,IF(COUNTIFS(L_Actief,1,L_WBS,$A12,L_Doeljaar,Sel_Doeljaar,L_Versiejaar,P_VJ,L_Versie,E$8,L_Kengetal,"Omzet FY")=0,"n.b.",SUMIFS(L_Waarde,L_Actief,1,L_WBS,$A12,L_Doeljaar,Sel_Doeljaar,L_Versiejaar,P_VJ,L_Versie,E$8,L_Kengetal,"Omzet FY"))))</f>
        <v>5016</v>
      </c>
      <c r="F12" s="41">
        <f>IF($A12="","",IF(ISNUMBER(IF(COUNTIFS(L_Actief,1,L_WBS,$A12,L_Doeljaar,Sel_Doeljaar,L_Versiejaar,P_VJ,L_Versie,F$8,L_Kengetal,"Omzet FY")=0,"n.b.",SUMIFS(L_Waarde,L_Actief,1,L_WBS,$A12,L_Doeljaar,Sel_Doeljaar,L_Versiejaar,P_VJ,L_Versie,F$8,L_Kengetal,"Omzet FY"))),IF(COUNTIFS(L_Actief,1,L_WBS,$A12,L_Doeljaar,Sel_Doeljaar,L_Versiejaar,P_VJ,L_Versie,F$8,L_Kengetal,"Omzet FY")=0,"n.b.",SUMIFS(L_Waarde,L_Actief,1,L_WBS,$A12,L_Doeljaar,Sel_Doeljaar,L_Versiejaar,P_VJ,L_Versie,F$8,L_Kengetal,"Omzet FY"))/P_Factor,IF(COUNTIFS(L_Actief,1,L_WBS,$A12,L_Doeljaar,Sel_Doeljaar,L_Versiejaar,P_VJ,L_Versie,F$8,L_Kengetal,"Omzet FY")=0,"n.b.",SUMIFS(L_Waarde,L_Actief,1,L_WBS,$A12,L_Doeljaar,Sel_Doeljaar,L_Versiejaar,P_VJ,L_Versie,F$8,L_Kengetal,"Omzet FY"))))</f>
        <v>4833.6</v>
      </c>
      <c r="G12" s="41">
        <f>IF($A12="","",IF(ISNUMBER(IF(COUNTIFS(L_Actief,1,L_WBS,$A12,L_Doeljaar,Sel_Doeljaar,L_Versiejaar,P_VJ,L_Versie,G$8,L_Kengetal,"Omzet FY")=0,"n.b.",SUMIFS(L_Waarde,L_Actief,1,L_WBS,$A12,L_Doeljaar,Sel_Doeljaar,L_Versiejaar,P_VJ,L_Versie,G$8,L_Kengetal,"Omzet FY"))),IF(COUNTIFS(L_Actief,1,L_WBS,$A12,L_Doeljaar,Sel_Doeljaar,L_Versiejaar,P_VJ,L_Versie,G$8,L_Kengetal,"Omzet FY")=0,"n.b.",SUMIFS(L_Waarde,L_Actief,1,L_WBS,$A12,L_Doeljaar,Sel_Doeljaar,L_Versiejaar,P_VJ,L_Versie,G$8,L_Kengetal,"Omzet FY"))/P_Factor,IF(COUNTIFS(L_Actief,1,L_WBS,$A12,L_Doeljaar,Sel_Doeljaar,L_Versiejaar,P_VJ,L_Versie,G$8,L_Kengetal,"Omzet FY")=0,"n.b.",SUMIFS(L_Waarde,L_Actief,1,L_WBS,$A12,L_Doeljaar,Sel_Doeljaar,L_Versiejaar,P_VJ,L_Versie,G$8,L_Kengetal,"Omzet FY"))))</f>
        <v>4423.2</v>
      </c>
      <c r="H12" s="41">
        <f>IF($A12="","",IF(ISNUMBER(IF(COUNTIFS(L_Actief,1,L_WBS,$A12,L_Doeljaar,Sel_Doeljaar,L_Versiejaar,P_VJ,L_Versie,H$8,L_Kengetal,"Omzet FY")=0,"n.b.",SUMIFS(L_Waarde,L_Actief,1,L_WBS,$A12,L_Doeljaar,Sel_Doeljaar,L_Versiejaar,P_VJ,L_Versie,H$8,L_Kengetal,"Omzet FY"))),IF(COUNTIFS(L_Actief,1,L_WBS,$A12,L_Doeljaar,Sel_Doeljaar,L_Versiejaar,P_VJ,L_Versie,H$8,L_Kengetal,"Omzet FY")=0,"n.b.",SUMIFS(L_Waarde,L_Actief,1,L_WBS,$A12,L_Doeljaar,Sel_Doeljaar,L_Versiejaar,P_VJ,L_Versie,H$8,L_Kengetal,"Omzet FY"))/P_Factor,IF(COUNTIFS(L_Actief,1,L_WBS,$A12,L_Doeljaar,Sel_Doeljaar,L_Versiejaar,P_VJ,L_Versie,H$8,L_Kengetal,"Omzet FY")=0,"n.b.",SUMIFS(L_Waarde,L_Actief,1,L_WBS,$A12,L_Doeljaar,Sel_Doeljaar,L_Versiejaar,P_VJ,L_Versie,H$8,L_Kengetal,"Omzet FY"))))</f>
        <v>4560</v>
      </c>
      <c r="I12" s="41" t="str">
        <f>IF($A12="","",IF(ISNUMBER(IF(COUNTIFS(L_Actief,1,L_WBS,$A12,L_Doeljaar,Sel_Doeljaar,L_Versiejaar,P_VJ,L_Versie,I$8,L_Kengetal,"Omzet FY")=0,"n.b.",SUMIFS(L_Waarde,L_Actief,1,L_WBS,$A12,L_Doeljaar,Sel_Doeljaar,L_Versiejaar,P_VJ,L_Versie,I$8,L_Kengetal,"Omzet FY"))),IF(COUNTIFS(L_Actief,1,L_WBS,$A12,L_Doeljaar,Sel_Doeljaar,L_Versiejaar,P_VJ,L_Versie,I$8,L_Kengetal,"Omzet FY")=0,"n.b.",SUMIFS(L_Waarde,L_Actief,1,L_WBS,$A12,L_Doeljaar,Sel_Doeljaar,L_Versiejaar,P_VJ,L_Versie,I$8,L_Kengetal,"Omzet FY"))/P_Factor,IF(COUNTIFS(L_Actief,1,L_WBS,$A12,L_Doeljaar,Sel_Doeljaar,L_Versiejaar,P_VJ,L_Versie,I$8,L_Kengetal,"Omzet FY")=0,"n.b.",SUMIFS(L_Waarde,L_Actief,1,L_WBS,$A12,L_Doeljaar,Sel_Doeljaar,L_Versiejaar,P_VJ,L_Versie,I$8,L_Kengetal,"Omzet FY"))))</f>
        <v>n.b.</v>
      </c>
      <c r="J12" s="41">
        <f>IF($A12="","",IF(ISNUMBER(IF(Sel_Doeljaar=P_RJ,VERW_Project!$P8,IF(Sel_Doeljaar=P_RJ+1,VERW_Project!$R8,"n.b."))),IF(Sel_Doeljaar=P_RJ,VERW_Project!$P8,IF(Sel_Doeljaar=P_RJ+1,VERW_Project!$R8,"n.b."))/P_Factor,IF(Sel_Doeljaar=P_RJ,VERW_Project!$P8,IF(Sel_Doeljaar=P_RJ+1,VERW_Project!$R8,"n.b."))))</f>
        <v>4560</v>
      </c>
      <c r="K12" s="41">
        <f>IF($A12="","",IF(Sel_Bron="Vastgesteld",INDEX($E12:$I12,MATCH(Sel_Versie,$E$8:$I$8,0)),IF(Sel_Bron="Concept",J12,"n.b.")))</f>
        <v>4560</v>
      </c>
      <c r="L12" s="62">
        <f>IF($A12="","",IF(Sel_Doeljaar&gt;P_VJ,"n.v.t.",IF(Sel_Bron="Vastgesteld",IF(ISNUMBER(IF(COUNTIFS(L_Actief,1,L_WBS,$A12,L_Doeljaar,Sel_Doeljaar,L_Versiejaar,P_VJ,L_Versie,Sel_Versie,L_Kengetal,"Omzet actual YTD")=0,"n.b.",SUMIFS(L_Waarde,L_Actief,1,L_WBS,$A12,L_Doeljaar,Sel_Doeljaar,L_Versiejaar,P_VJ,L_Versie,Sel_Versie,L_Kengetal,"Omzet actual YTD"))),IF(COUNTIFS(L_Actief,1,L_WBS,$A12,L_Doeljaar,Sel_Doeljaar,L_Versiejaar,P_VJ,L_Versie,Sel_Versie,L_Kengetal,"Omzet actual YTD")=0,"n.b.",SUMIFS(L_Waarde,L_Actief,1,L_WBS,$A12,L_Doeljaar,Sel_Doeljaar,L_Versiejaar,P_VJ,L_Versie,Sel_Versie,L_Kengetal,"Omzet actual YTD"))/P_Factor,IF(COUNTIFS(L_Actief,1,L_WBS,$A12,L_Doeljaar,Sel_Doeljaar,L_Versiejaar,P_VJ,L_Versie,Sel_Versie,L_Kengetal,"Omzet actual YTD")=0,"n.b.",SUMIFS(L_Waarde,L_Actief,1,L_WBS,$A12,L_Doeljaar,Sel_Doeljaar,L_Versiejaar,P_VJ,L_Versie,Sel_Versie,L_Kengetal,"Omzet actual YTD"))),IF(Sel_Bron="Concept",IF(ISNUMBER(IF(Sel_Doeljaar=P_RJ,VERW_Project!$L8,"n.v.t.")),IF(Sel_Doeljaar=P_RJ,VERW_Project!$L8,"n.v.t.")/P_Factor,IF(Sel_Doeljaar=P_RJ,VERW_Project!$L8,"n.v.t.")),"n.b."))))</f>
        <v>2964</v>
      </c>
      <c r="M12" s="41">
        <f>IF($A12="","",IF(L12="n.v.t.",K12,IF(AND(ISNUMBER(K12),ISNUMBER(L12)),K12-L12,"n.b.")))</f>
        <v>1596</v>
      </c>
      <c r="N12" s="41">
        <f>IF($A12="","",IF(Sel_Bron="Vastgesteld",IF(ISNUMBER(IF(COUNTIFS(L_Actief,1,L_WBS,$A12,L_Doeljaar,Sel_Doeljaar,L_Versiejaar,P_VJ,L_Versie,Sel_Versie,L_Kengetal,"BOR FY")=0,"n.b.",SUMIFS(L_Waarde,L_Actief,1,L_WBS,$A12,L_Doeljaar,Sel_Doeljaar,L_Versiejaar,P_VJ,L_Versie,Sel_Versie,L_Kengetal,"BOR FY"))),IF(COUNTIFS(L_Actief,1,L_WBS,$A12,L_Doeljaar,Sel_Doeljaar,L_Versiejaar,P_VJ,L_Versie,Sel_Versie,L_Kengetal,"BOR FY")=0,"n.b.",SUMIFS(L_Waarde,L_Actief,1,L_WBS,$A12,L_Doeljaar,Sel_Doeljaar,L_Versiejaar,P_VJ,L_Versie,Sel_Versie,L_Kengetal,"BOR FY"))/P_Factor,IF(COUNTIFS(L_Actief,1,L_WBS,$A12,L_Doeljaar,Sel_Doeljaar,L_Versiejaar,P_VJ,L_Versie,Sel_Versie,L_Kengetal,"BOR FY")=0,"n.b.",SUMIFS(L_Waarde,L_Actief,1,L_WBS,$A12,L_Doeljaar,Sel_Doeljaar,L_Versiejaar,P_VJ,L_Versie,Sel_Versie,L_Kengetal,"BOR FY"))),IF(Sel_Bron="Concept",IF(ISNUMBER(IF(Sel_Doeljaar=P_RJ,VERW_Project!$Q8,IF(Sel_Doeljaar=P_RJ+1,VERW_Project!$S8,"n.b."))),IF(Sel_Doeljaar=P_RJ,VERW_Project!$Q8,IF(Sel_Doeljaar=P_RJ+1,VERW_Project!$S8,"n.b."))/P_Factor,IF(Sel_Doeljaar=P_RJ,VERW_Project!$Q8,IF(Sel_Doeljaar=P_RJ+1,VERW_Project!$S8,"n.b."))),"n.b.")))</f>
        <v>342</v>
      </c>
      <c r="O12" s="63">
        <f>IF($A12="","",IF(AND(ISNUMBER(N12),ISNUMBER(K12)),IF(K12&lt;&gt;0,N12/K12,"n.b."),"n.b."))</f>
        <v>0.075</v>
      </c>
      <c r="P12" s="41">
        <f>IF($A12="","",IF(AND(ISNUMBER(K12),ISNUMBER(E12)),K12-E12,"n.b."))</f>
        <v>-456</v>
      </c>
      <c r="Q12" s="41">
        <f>IF($A12="","",IF(AND(ISNUMBER(K12),ISNUMBER(W12)),K12-W12,"n.b."))</f>
        <v>136.8</v>
      </c>
      <c r="R12" s="64" t="str">
        <f>IF($A12="","",IF(ISNUMBER(N12),IF(N12&lt;0,"Verlies",""),""))</f>
        <v/>
      </c>
      <c r="S12" s="61" t="str">
        <f>IF($A12="","",IFERROR(INDEX(T_Txt,MATCH($A12&amp;"|"&amp;Sel_Doeljaar&amp;"|"&amp;P_VJ&amp;"|"&amp;Sel_Versie,T_Key,0)),""))</f>
        <v/>
      </c>
      <c r="U12" s="15">
        <f>IF(AND(AND($A12&lt;&gt;"",OR(Sel_Type="Alle",$C12=Sel_Type),OR(Sel_Project="Alle",$B12=Sel_Project)),ISNUMBER(K12)),K12+ROW()/1000000000,"")</f>
        <v>4560.000000012</v>
      </c>
      <c r="V12" s="15">
        <f>IF(AND(AND($A12&lt;&gt;"",OR(Sel_Type="Alle",$C12=Sel_Type),OR(Sel_Project="Alle",$B12=Sel_Project)),ISNUMBER(Q12)),ABS(Q12)+ROW()/1000000000,"")</f>
        <v>136.800000012</v>
      </c>
      <c r="W12" s="15">
        <f>IF(OR($A12="",Sel_Prev=""),"n.b.",IF(ISNUMBER(IF(COUNTIFS(L_Actief,1,L_WBS,$A12,L_Doeljaar,Sel_Doeljaar,L_Versiejaar,P_VJ,L_Versie,Sel_Prev,L_Kengetal,"Omzet FY")=0,"n.b.",SUMIFS(L_Waarde,L_Actief,1,L_WBS,$A12,L_Doeljaar,Sel_Doeljaar,L_Versiejaar,P_VJ,L_Versie,Sel_Prev,L_Kengetal,"Omzet FY"))),IF(COUNTIFS(L_Actief,1,L_WBS,$A12,L_Doeljaar,Sel_Doeljaar,L_Versiejaar,P_VJ,L_Versie,Sel_Prev,L_Kengetal,"Omzet FY")=0,"n.b.",SUMIFS(L_Waarde,L_Actief,1,L_WBS,$A12,L_Doeljaar,Sel_Doeljaar,L_Versiejaar,P_VJ,L_Versie,Sel_Prev,L_Kengetal,"Omzet FY"))/P_Factor,IF(COUNTIFS(L_Actief,1,L_WBS,$A12,L_Doeljaar,Sel_Doeljaar,L_Versiejaar,P_VJ,L_Versie,Sel_Prev,L_Kengetal,"Omzet FY")=0,"n.b.",SUMIFS(L_Waarde,L_Actief,1,L_WBS,$A12,L_Doeljaar,Sel_Doeljaar,L_Versiejaar,P_VJ,L_Versie,Sel_Prev,L_Kengetal,"Omzet FY"))))</f>
        <v>4423.2</v>
      </c>
    </row>
    <row r="13">
      <c r="A13" s="61" t="str">
        <f>IF(VERW_Project!$A9="","",VERW_Project!$A9)</f>
        <v>G.900004.8.9090</v>
      </c>
      <c r="B13" s="61" t="str">
        <f>IF($A13="","",VERW_Project!$C9)</f>
        <v>Meerhovenstad, Het Kompas</v>
      </c>
      <c r="C13" s="61" t="str">
        <f>IF($A13="","",VERW_Project!$D9)</f>
        <v>Deelneming</v>
      </c>
      <c r="D13" s="61" t="str">
        <f>IF($A13="","",VERW_Project!$I9)</f>
        <v>N</v>
      </c>
      <c r="E13" s="41">
        <f>IF($A13="","",IF(ISNUMBER(IF(COUNTIFS(L_Actief,1,L_WBS,$A13,L_Doeljaar,Sel_Doeljaar,L_Versiejaar,P_VJ,L_Versie,E$8,L_Kengetal,"Omzet FY")=0,"n.b.",SUMIFS(L_Waarde,L_Actief,1,L_WBS,$A13,L_Doeljaar,Sel_Doeljaar,L_Versiejaar,P_VJ,L_Versie,E$8,L_Kengetal,"Omzet FY"))),IF(COUNTIFS(L_Actief,1,L_WBS,$A13,L_Doeljaar,Sel_Doeljaar,L_Versiejaar,P_VJ,L_Versie,E$8,L_Kengetal,"Omzet FY")=0,"n.b.",SUMIFS(L_Waarde,L_Actief,1,L_WBS,$A13,L_Doeljaar,Sel_Doeljaar,L_Versiejaar,P_VJ,L_Versie,E$8,L_Kengetal,"Omzet FY"))/P_Factor,IF(COUNTIFS(L_Actief,1,L_WBS,$A13,L_Doeljaar,Sel_Doeljaar,L_Versiejaar,P_VJ,L_Versie,E$8,L_Kengetal,"Omzet FY")=0,"n.b.",SUMIFS(L_Waarde,L_Actief,1,L_WBS,$A13,L_Doeljaar,Sel_Doeljaar,L_Versiejaar,P_VJ,L_Versie,E$8,L_Kengetal,"Omzet FY"))))</f>
        <v>2177.28</v>
      </c>
      <c r="F13" s="41">
        <f>IF($A13="","",IF(ISNUMBER(IF(COUNTIFS(L_Actief,1,L_WBS,$A13,L_Doeljaar,Sel_Doeljaar,L_Versiejaar,P_VJ,L_Versie,F$8,L_Kengetal,"Omzet FY")=0,"n.b.",SUMIFS(L_Waarde,L_Actief,1,L_WBS,$A13,L_Doeljaar,Sel_Doeljaar,L_Versiejaar,P_VJ,L_Versie,F$8,L_Kengetal,"Omzet FY"))),IF(COUNTIFS(L_Actief,1,L_WBS,$A13,L_Doeljaar,Sel_Doeljaar,L_Versiejaar,P_VJ,L_Versie,F$8,L_Kengetal,"Omzet FY")=0,"n.b.",SUMIFS(L_Waarde,L_Actief,1,L_WBS,$A13,L_Doeljaar,Sel_Doeljaar,L_Versiejaar,P_VJ,L_Versie,F$8,L_Kengetal,"Omzet FY"))/P_Factor,IF(COUNTIFS(L_Actief,1,L_WBS,$A13,L_Doeljaar,Sel_Doeljaar,L_Versiejaar,P_VJ,L_Versie,F$8,L_Kengetal,"Omzet FY")=0,"n.b.",SUMIFS(L_Waarde,L_Actief,1,L_WBS,$A13,L_Doeljaar,Sel_Doeljaar,L_Versiejaar,P_VJ,L_Versie,F$8,L_Kengetal,"Omzet FY"))))</f>
        <v>2274.048</v>
      </c>
      <c r="G13" s="41">
        <f>IF($A13="","",IF(ISNUMBER(IF(COUNTIFS(L_Actief,1,L_WBS,$A13,L_Doeljaar,Sel_Doeljaar,L_Versiejaar,P_VJ,L_Versie,G$8,L_Kengetal,"Omzet FY")=0,"n.b.",SUMIFS(L_Waarde,L_Actief,1,L_WBS,$A13,L_Doeljaar,Sel_Doeljaar,L_Versiejaar,P_VJ,L_Versie,G$8,L_Kengetal,"Omzet FY"))),IF(COUNTIFS(L_Actief,1,L_WBS,$A13,L_Doeljaar,Sel_Doeljaar,L_Versiejaar,P_VJ,L_Versie,G$8,L_Kengetal,"Omzet FY")=0,"n.b.",SUMIFS(L_Waarde,L_Actief,1,L_WBS,$A13,L_Doeljaar,Sel_Doeljaar,L_Versiejaar,P_VJ,L_Versie,G$8,L_Kengetal,"Omzet FY"))/P_Factor,IF(COUNTIFS(L_Actief,1,L_WBS,$A13,L_Doeljaar,Sel_Doeljaar,L_Versiejaar,P_VJ,L_Versie,G$8,L_Kengetal,"Omzet FY")=0,"n.b.",SUMIFS(L_Waarde,L_Actief,1,L_WBS,$A13,L_Doeljaar,Sel_Doeljaar,L_Versiejaar,P_VJ,L_Versie,G$8,L_Kengetal,"Omzet FY"))))</f>
        <v>2491.776</v>
      </c>
      <c r="H13" s="41">
        <f>IF($A13="","",IF(ISNUMBER(IF(COUNTIFS(L_Actief,1,L_WBS,$A13,L_Doeljaar,Sel_Doeljaar,L_Versiejaar,P_VJ,L_Versie,H$8,L_Kengetal,"Omzet FY")=0,"n.b.",SUMIFS(L_Waarde,L_Actief,1,L_WBS,$A13,L_Doeljaar,Sel_Doeljaar,L_Versiejaar,P_VJ,L_Versie,H$8,L_Kengetal,"Omzet FY"))),IF(COUNTIFS(L_Actief,1,L_WBS,$A13,L_Doeljaar,Sel_Doeljaar,L_Versiejaar,P_VJ,L_Versie,H$8,L_Kengetal,"Omzet FY")=0,"n.b.",SUMIFS(L_Waarde,L_Actief,1,L_WBS,$A13,L_Doeljaar,Sel_Doeljaar,L_Versiejaar,P_VJ,L_Versie,H$8,L_Kengetal,"Omzet FY"))/P_Factor,IF(COUNTIFS(L_Actief,1,L_WBS,$A13,L_Doeljaar,Sel_Doeljaar,L_Versiejaar,P_VJ,L_Versie,H$8,L_Kengetal,"Omzet FY")=0,"n.b.",SUMIFS(L_Waarde,L_Actief,1,L_WBS,$A13,L_Doeljaar,Sel_Doeljaar,L_Versiejaar,P_VJ,L_Versie,H$8,L_Kengetal,"Omzet FY"))))</f>
        <v>2419.2</v>
      </c>
      <c r="I13" s="41" t="str">
        <f>IF($A13="","",IF(ISNUMBER(IF(COUNTIFS(L_Actief,1,L_WBS,$A13,L_Doeljaar,Sel_Doeljaar,L_Versiejaar,P_VJ,L_Versie,I$8,L_Kengetal,"Omzet FY")=0,"n.b.",SUMIFS(L_Waarde,L_Actief,1,L_WBS,$A13,L_Doeljaar,Sel_Doeljaar,L_Versiejaar,P_VJ,L_Versie,I$8,L_Kengetal,"Omzet FY"))),IF(COUNTIFS(L_Actief,1,L_WBS,$A13,L_Doeljaar,Sel_Doeljaar,L_Versiejaar,P_VJ,L_Versie,I$8,L_Kengetal,"Omzet FY")=0,"n.b.",SUMIFS(L_Waarde,L_Actief,1,L_WBS,$A13,L_Doeljaar,Sel_Doeljaar,L_Versiejaar,P_VJ,L_Versie,I$8,L_Kengetal,"Omzet FY"))/P_Factor,IF(COUNTIFS(L_Actief,1,L_WBS,$A13,L_Doeljaar,Sel_Doeljaar,L_Versiejaar,P_VJ,L_Versie,I$8,L_Kengetal,"Omzet FY")=0,"n.b.",SUMIFS(L_Waarde,L_Actief,1,L_WBS,$A13,L_Doeljaar,Sel_Doeljaar,L_Versiejaar,P_VJ,L_Versie,I$8,L_Kengetal,"Omzet FY"))))</f>
        <v>n.b.</v>
      </c>
      <c r="J13" s="41">
        <f>IF($A13="","",IF(ISNUMBER(IF(Sel_Doeljaar=P_RJ,VERW_Project!$P9,IF(Sel_Doeljaar=P_RJ+1,VERW_Project!$R9,"n.b."))),IF(Sel_Doeljaar=P_RJ,VERW_Project!$P9,IF(Sel_Doeljaar=P_RJ+1,VERW_Project!$R9,"n.b."))/P_Factor,IF(Sel_Doeljaar=P_RJ,VERW_Project!$P9,IF(Sel_Doeljaar=P_RJ+1,VERW_Project!$R9,"n.b."))))</f>
        <v>2419.2</v>
      </c>
      <c r="K13" s="41">
        <f>IF($A13="","",IF(Sel_Bron="Vastgesteld",INDEX($E13:$I13,MATCH(Sel_Versie,$E$8:$I$8,0)),IF(Sel_Bron="Concept",J13,"n.b.")))</f>
        <v>2419.2</v>
      </c>
      <c r="L13" s="62">
        <f>IF($A13="","",IF(Sel_Doeljaar&gt;P_VJ,"n.v.t.",IF(Sel_Bron="Vastgesteld",IF(ISNUMBER(IF(COUNTIFS(L_Actief,1,L_WBS,$A13,L_Doeljaar,Sel_Doeljaar,L_Versiejaar,P_VJ,L_Versie,Sel_Versie,L_Kengetal,"Omzet actual YTD")=0,"n.b.",SUMIFS(L_Waarde,L_Actief,1,L_WBS,$A13,L_Doeljaar,Sel_Doeljaar,L_Versiejaar,P_VJ,L_Versie,Sel_Versie,L_Kengetal,"Omzet actual YTD"))),IF(COUNTIFS(L_Actief,1,L_WBS,$A13,L_Doeljaar,Sel_Doeljaar,L_Versiejaar,P_VJ,L_Versie,Sel_Versie,L_Kengetal,"Omzet actual YTD")=0,"n.b.",SUMIFS(L_Waarde,L_Actief,1,L_WBS,$A13,L_Doeljaar,Sel_Doeljaar,L_Versiejaar,P_VJ,L_Versie,Sel_Versie,L_Kengetal,"Omzet actual YTD"))/P_Factor,IF(COUNTIFS(L_Actief,1,L_WBS,$A13,L_Doeljaar,Sel_Doeljaar,L_Versiejaar,P_VJ,L_Versie,Sel_Versie,L_Kengetal,"Omzet actual YTD")=0,"n.b.",SUMIFS(L_Waarde,L_Actief,1,L_WBS,$A13,L_Doeljaar,Sel_Doeljaar,L_Versiejaar,P_VJ,L_Versie,Sel_Versie,L_Kengetal,"Omzet actual YTD"))),IF(Sel_Bron="Concept",IF(ISNUMBER(IF(Sel_Doeljaar=P_RJ,VERW_Project!$L9,"n.v.t.")),IF(Sel_Doeljaar=P_RJ,VERW_Project!$L9,"n.v.t.")/P_Factor,IF(Sel_Doeljaar=P_RJ,VERW_Project!$L9,"n.v.t.")),"n.b."))))</f>
        <v>1572.48</v>
      </c>
      <c r="M13" s="41">
        <f>IF($A13="","",IF(L13="n.v.t.",K13,IF(AND(ISNUMBER(K13),ISNUMBER(L13)),K13-L13,"n.b.")))</f>
        <v>846.72</v>
      </c>
      <c r="N13" s="41">
        <f>IF($A13="","",IF(Sel_Bron="Vastgesteld",IF(ISNUMBER(IF(COUNTIFS(L_Actief,1,L_WBS,$A13,L_Doeljaar,Sel_Doeljaar,L_Versiejaar,P_VJ,L_Versie,Sel_Versie,L_Kengetal,"BOR FY")=0,"n.b.",SUMIFS(L_Waarde,L_Actief,1,L_WBS,$A13,L_Doeljaar,Sel_Doeljaar,L_Versiejaar,P_VJ,L_Versie,Sel_Versie,L_Kengetal,"BOR FY"))),IF(COUNTIFS(L_Actief,1,L_WBS,$A13,L_Doeljaar,Sel_Doeljaar,L_Versiejaar,P_VJ,L_Versie,Sel_Versie,L_Kengetal,"BOR FY")=0,"n.b.",SUMIFS(L_Waarde,L_Actief,1,L_WBS,$A13,L_Doeljaar,Sel_Doeljaar,L_Versiejaar,P_VJ,L_Versie,Sel_Versie,L_Kengetal,"BOR FY"))/P_Factor,IF(COUNTIFS(L_Actief,1,L_WBS,$A13,L_Doeljaar,Sel_Doeljaar,L_Versiejaar,P_VJ,L_Versie,Sel_Versie,L_Kengetal,"BOR FY")=0,"n.b.",SUMIFS(L_Waarde,L_Actief,1,L_WBS,$A13,L_Doeljaar,Sel_Doeljaar,L_Versiejaar,P_VJ,L_Versie,Sel_Versie,L_Kengetal,"BOR FY"))),IF(Sel_Bron="Concept",IF(ISNUMBER(IF(Sel_Doeljaar=P_RJ,VERW_Project!$Q9,IF(Sel_Doeljaar=P_RJ+1,VERW_Project!$S9,"n.b."))),IF(Sel_Doeljaar=P_RJ,VERW_Project!$Q9,IF(Sel_Doeljaar=P_RJ+1,VERW_Project!$S9,"n.b."))/P_Factor,IF(Sel_Doeljaar=P_RJ,VERW_Project!$Q9,IF(Sel_Doeljaar=P_RJ+1,VERW_Project!$S9,"n.b."))),"n.b.")))</f>
        <v>266.112</v>
      </c>
      <c r="O13" s="63">
        <f>IF($A13="","",IF(AND(ISNUMBER(N13),ISNUMBER(K13)),IF(K13&lt;&gt;0,N13/K13,"n.b."),"n.b."))</f>
        <v>0.11</v>
      </c>
      <c r="P13" s="41">
        <f>IF($A13="","",IF(AND(ISNUMBER(K13),ISNUMBER(E13)),K13-E13,"n.b."))</f>
        <v>241.92</v>
      </c>
      <c r="Q13" s="41">
        <f>IF($A13="","",IF(AND(ISNUMBER(K13),ISNUMBER(W13)),K13-W13,"n.b."))</f>
        <v>-72.576</v>
      </c>
      <c r="R13" s="64" t="str">
        <f>IF($A13="","",IF(ISNUMBER(N13),IF(N13&lt;0,"Verlies",""),""))</f>
        <v/>
      </c>
      <c r="S13" s="61" t="str">
        <f>IF($A13="","",IFERROR(INDEX(T_Txt,MATCH($A13&amp;"|"&amp;Sel_Doeljaar&amp;"|"&amp;P_VJ&amp;"|"&amp;Sel_Versie,T_Key,0)),""))</f>
        <v/>
      </c>
      <c r="U13" s="15">
        <f>IF(AND(AND($A13&lt;&gt;"",OR(Sel_Type="Alle",$C13=Sel_Type),OR(Sel_Project="Alle",$B13=Sel_Project)),ISNUMBER(K13)),K13+ROW()/1000000000,"")</f>
        <v>2419.200000013</v>
      </c>
      <c r="V13" s="15">
        <f>IF(AND(AND($A13&lt;&gt;"",OR(Sel_Type="Alle",$C13=Sel_Type),OR(Sel_Project="Alle",$B13=Sel_Project)),ISNUMBER(Q13)),ABS(Q13)+ROW()/1000000000,"")</f>
        <v>72.576000013</v>
      </c>
      <c r="W13" s="15">
        <f>IF(OR($A13="",Sel_Prev=""),"n.b.",IF(ISNUMBER(IF(COUNTIFS(L_Actief,1,L_WBS,$A13,L_Doeljaar,Sel_Doeljaar,L_Versiejaar,P_VJ,L_Versie,Sel_Prev,L_Kengetal,"Omzet FY")=0,"n.b.",SUMIFS(L_Waarde,L_Actief,1,L_WBS,$A13,L_Doeljaar,Sel_Doeljaar,L_Versiejaar,P_VJ,L_Versie,Sel_Prev,L_Kengetal,"Omzet FY"))),IF(COUNTIFS(L_Actief,1,L_WBS,$A13,L_Doeljaar,Sel_Doeljaar,L_Versiejaar,P_VJ,L_Versie,Sel_Prev,L_Kengetal,"Omzet FY")=0,"n.b.",SUMIFS(L_Waarde,L_Actief,1,L_WBS,$A13,L_Doeljaar,Sel_Doeljaar,L_Versiejaar,P_VJ,L_Versie,Sel_Prev,L_Kengetal,"Omzet FY"))/P_Factor,IF(COUNTIFS(L_Actief,1,L_WBS,$A13,L_Doeljaar,Sel_Doeljaar,L_Versiejaar,P_VJ,L_Versie,Sel_Prev,L_Kengetal,"Omzet FY")=0,"n.b.",SUMIFS(L_Waarde,L_Actief,1,L_WBS,$A13,L_Doeljaar,Sel_Doeljaar,L_Versiejaar,P_VJ,L_Versie,Sel_Prev,L_Kengetal,"Omzet FY"))))</f>
        <v>2491.776</v>
      </c>
    </row>
    <row r="14">
      <c r="A14" s="61" t="str">
        <f>IF(VERW_Project!$A10="","",VERW_Project!$A10)</f>
        <v>G.900005.8.9090</v>
      </c>
      <c r="B14" s="61" t="str">
        <f>IF($A14="","",VERW_Project!$C10)</f>
        <v>Zilverdam, Kadezicht</v>
      </c>
      <c r="C14" s="61" t="str">
        <f>IF($A14="","",VERW_Project!$D10)</f>
        <v>Opstal</v>
      </c>
      <c r="D14" s="61" t="str">
        <f>IF($A14="","",VERW_Project!$I10)</f>
        <v>J</v>
      </c>
      <c r="E14" s="41">
        <f>IF($A14="","",IF(ISNUMBER(IF(COUNTIFS(L_Actief,1,L_WBS,$A14,L_Doeljaar,Sel_Doeljaar,L_Versiejaar,P_VJ,L_Versie,E$8,L_Kengetal,"Omzet FY")=0,"n.b.",SUMIFS(L_Waarde,L_Actief,1,L_WBS,$A14,L_Doeljaar,Sel_Doeljaar,L_Versiejaar,P_VJ,L_Versie,E$8,L_Kengetal,"Omzet FY"))),IF(COUNTIFS(L_Actief,1,L_WBS,$A14,L_Doeljaar,Sel_Doeljaar,L_Versiejaar,P_VJ,L_Versie,E$8,L_Kengetal,"Omzet FY")=0,"n.b.",SUMIFS(L_Waarde,L_Actief,1,L_WBS,$A14,L_Doeljaar,Sel_Doeljaar,L_Versiejaar,P_VJ,L_Versie,E$8,L_Kengetal,"Omzet FY"))/P_Factor,IF(COUNTIFS(L_Actief,1,L_WBS,$A14,L_Doeljaar,Sel_Doeljaar,L_Versiejaar,P_VJ,L_Versie,E$8,L_Kengetal,"Omzet FY")=0,"n.b.",SUMIFS(L_Waarde,L_Actief,1,L_WBS,$A14,L_Doeljaar,Sel_Doeljaar,L_Versiejaar,P_VJ,L_Versie,E$8,L_Kengetal,"Omzet FY"))))</f>
        <v>7392</v>
      </c>
      <c r="F14" s="41">
        <f>IF($A14="","",IF(ISNUMBER(IF(COUNTIFS(L_Actief,1,L_WBS,$A14,L_Doeljaar,Sel_Doeljaar,L_Versiejaar,P_VJ,L_Versie,F$8,L_Kengetal,"Omzet FY")=0,"n.b.",SUMIFS(L_Waarde,L_Actief,1,L_WBS,$A14,L_Doeljaar,Sel_Doeljaar,L_Versiejaar,P_VJ,L_Versie,F$8,L_Kengetal,"Omzet FY"))),IF(COUNTIFS(L_Actief,1,L_WBS,$A14,L_Doeljaar,Sel_Doeljaar,L_Versiejaar,P_VJ,L_Versie,F$8,L_Kengetal,"Omzet FY")=0,"n.b.",SUMIFS(L_Waarde,L_Actief,1,L_WBS,$A14,L_Doeljaar,Sel_Doeljaar,L_Versiejaar,P_VJ,L_Versie,F$8,L_Kengetal,"Omzet FY"))/P_Factor,IF(COUNTIFS(L_Actief,1,L_WBS,$A14,L_Doeljaar,Sel_Doeljaar,L_Versiejaar,P_VJ,L_Versie,F$8,L_Kengetal,"Omzet FY")=0,"n.b.",SUMIFS(L_Waarde,L_Actief,1,L_WBS,$A14,L_Doeljaar,Sel_Doeljaar,L_Versiejaar,P_VJ,L_Versie,F$8,L_Kengetal,"Omzet FY"))))</f>
        <v>7123.2</v>
      </c>
      <c r="G14" s="41">
        <f>IF($A14="","",IF(ISNUMBER(IF(COUNTIFS(L_Actief,1,L_WBS,$A14,L_Doeljaar,Sel_Doeljaar,L_Versiejaar,P_VJ,L_Versie,G$8,L_Kengetal,"Omzet FY")=0,"n.b.",SUMIFS(L_Waarde,L_Actief,1,L_WBS,$A14,L_Doeljaar,Sel_Doeljaar,L_Versiejaar,P_VJ,L_Versie,G$8,L_Kengetal,"Omzet FY"))),IF(COUNTIFS(L_Actief,1,L_WBS,$A14,L_Doeljaar,Sel_Doeljaar,L_Versiejaar,P_VJ,L_Versie,G$8,L_Kengetal,"Omzet FY")=0,"n.b.",SUMIFS(L_Waarde,L_Actief,1,L_WBS,$A14,L_Doeljaar,Sel_Doeljaar,L_Versiejaar,P_VJ,L_Versie,G$8,L_Kengetal,"Omzet FY"))/P_Factor,IF(COUNTIFS(L_Actief,1,L_WBS,$A14,L_Doeljaar,Sel_Doeljaar,L_Versiejaar,P_VJ,L_Versie,G$8,L_Kengetal,"Omzet FY")=0,"n.b.",SUMIFS(L_Waarde,L_Actief,1,L_WBS,$A14,L_Doeljaar,Sel_Doeljaar,L_Versiejaar,P_VJ,L_Versie,G$8,L_Kengetal,"Omzet FY"))))</f>
        <v>6518.4</v>
      </c>
      <c r="H14" s="41">
        <f>IF($A14="","",IF(ISNUMBER(IF(COUNTIFS(L_Actief,1,L_WBS,$A14,L_Doeljaar,Sel_Doeljaar,L_Versiejaar,P_VJ,L_Versie,H$8,L_Kengetal,"Omzet FY")=0,"n.b.",SUMIFS(L_Waarde,L_Actief,1,L_WBS,$A14,L_Doeljaar,Sel_Doeljaar,L_Versiejaar,P_VJ,L_Versie,H$8,L_Kengetal,"Omzet FY"))),IF(COUNTIFS(L_Actief,1,L_WBS,$A14,L_Doeljaar,Sel_Doeljaar,L_Versiejaar,P_VJ,L_Versie,H$8,L_Kengetal,"Omzet FY")=0,"n.b.",SUMIFS(L_Waarde,L_Actief,1,L_WBS,$A14,L_Doeljaar,Sel_Doeljaar,L_Versiejaar,P_VJ,L_Versie,H$8,L_Kengetal,"Omzet FY"))/P_Factor,IF(COUNTIFS(L_Actief,1,L_WBS,$A14,L_Doeljaar,Sel_Doeljaar,L_Versiejaar,P_VJ,L_Versie,H$8,L_Kengetal,"Omzet FY")=0,"n.b.",SUMIFS(L_Waarde,L_Actief,1,L_WBS,$A14,L_Doeljaar,Sel_Doeljaar,L_Versiejaar,P_VJ,L_Versie,H$8,L_Kengetal,"Omzet FY"))))</f>
        <v>6720</v>
      </c>
      <c r="I14" s="41" t="str">
        <f>IF($A14="","",IF(ISNUMBER(IF(COUNTIFS(L_Actief,1,L_WBS,$A14,L_Doeljaar,Sel_Doeljaar,L_Versiejaar,P_VJ,L_Versie,I$8,L_Kengetal,"Omzet FY")=0,"n.b.",SUMIFS(L_Waarde,L_Actief,1,L_WBS,$A14,L_Doeljaar,Sel_Doeljaar,L_Versiejaar,P_VJ,L_Versie,I$8,L_Kengetal,"Omzet FY"))),IF(COUNTIFS(L_Actief,1,L_WBS,$A14,L_Doeljaar,Sel_Doeljaar,L_Versiejaar,P_VJ,L_Versie,I$8,L_Kengetal,"Omzet FY")=0,"n.b.",SUMIFS(L_Waarde,L_Actief,1,L_WBS,$A14,L_Doeljaar,Sel_Doeljaar,L_Versiejaar,P_VJ,L_Versie,I$8,L_Kengetal,"Omzet FY"))/P_Factor,IF(COUNTIFS(L_Actief,1,L_WBS,$A14,L_Doeljaar,Sel_Doeljaar,L_Versiejaar,P_VJ,L_Versie,I$8,L_Kengetal,"Omzet FY")=0,"n.b.",SUMIFS(L_Waarde,L_Actief,1,L_WBS,$A14,L_Doeljaar,Sel_Doeljaar,L_Versiejaar,P_VJ,L_Versie,I$8,L_Kengetal,"Omzet FY"))))</f>
        <v>n.b.</v>
      </c>
      <c r="J14" s="41">
        <f>IF($A14="","",IF(ISNUMBER(IF(Sel_Doeljaar=P_RJ,VERW_Project!$P10,IF(Sel_Doeljaar=P_RJ+1,VERW_Project!$R10,"n.b."))),IF(Sel_Doeljaar=P_RJ,VERW_Project!$P10,IF(Sel_Doeljaar=P_RJ+1,VERW_Project!$R10,"n.b."))/P_Factor,IF(Sel_Doeljaar=P_RJ,VERW_Project!$P10,IF(Sel_Doeljaar=P_RJ+1,VERW_Project!$R10,"n.b."))))</f>
        <v>6720</v>
      </c>
      <c r="K14" s="41">
        <f>IF($A14="","",IF(Sel_Bron="Vastgesteld",INDEX($E14:$I14,MATCH(Sel_Versie,$E$8:$I$8,0)),IF(Sel_Bron="Concept",J14,"n.b.")))</f>
        <v>6720</v>
      </c>
      <c r="L14" s="62">
        <f>IF($A14="","",IF(Sel_Doeljaar&gt;P_VJ,"n.v.t.",IF(Sel_Bron="Vastgesteld",IF(ISNUMBER(IF(COUNTIFS(L_Actief,1,L_WBS,$A14,L_Doeljaar,Sel_Doeljaar,L_Versiejaar,P_VJ,L_Versie,Sel_Versie,L_Kengetal,"Omzet actual YTD")=0,"n.b.",SUMIFS(L_Waarde,L_Actief,1,L_WBS,$A14,L_Doeljaar,Sel_Doeljaar,L_Versiejaar,P_VJ,L_Versie,Sel_Versie,L_Kengetal,"Omzet actual YTD"))),IF(COUNTIFS(L_Actief,1,L_WBS,$A14,L_Doeljaar,Sel_Doeljaar,L_Versiejaar,P_VJ,L_Versie,Sel_Versie,L_Kengetal,"Omzet actual YTD")=0,"n.b.",SUMIFS(L_Waarde,L_Actief,1,L_WBS,$A14,L_Doeljaar,Sel_Doeljaar,L_Versiejaar,P_VJ,L_Versie,Sel_Versie,L_Kengetal,"Omzet actual YTD"))/P_Factor,IF(COUNTIFS(L_Actief,1,L_WBS,$A14,L_Doeljaar,Sel_Doeljaar,L_Versiejaar,P_VJ,L_Versie,Sel_Versie,L_Kengetal,"Omzet actual YTD")=0,"n.b.",SUMIFS(L_Waarde,L_Actief,1,L_WBS,$A14,L_Doeljaar,Sel_Doeljaar,L_Versiejaar,P_VJ,L_Versie,Sel_Versie,L_Kengetal,"Omzet actual YTD"))),IF(Sel_Bron="Concept",IF(ISNUMBER(IF(Sel_Doeljaar=P_RJ,VERW_Project!$L10,"n.v.t.")),IF(Sel_Doeljaar=P_RJ,VERW_Project!$L10,"n.v.t.")/P_Factor,IF(Sel_Doeljaar=P_RJ,VERW_Project!$L10,"n.v.t.")),"n.b."))))</f>
        <v>4368</v>
      </c>
      <c r="M14" s="41">
        <f>IF($A14="","",IF(L14="n.v.t.",K14,IF(AND(ISNUMBER(K14),ISNUMBER(L14)),K14-L14,"n.b.")))</f>
        <v>2352</v>
      </c>
      <c r="N14" s="41">
        <f>IF($A14="","",IF(Sel_Bron="Vastgesteld",IF(ISNUMBER(IF(COUNTIFS(L_Actief,1,L_WBS,$A14,L_Doeljaar,Sel_Doeljaar,L_Versiejaar,P_VJ,L_Versie,Sel_Versie,L_Kengetal,"BOR FY")=0,"n.b.",SUMIFS(L_Waarde,L_Actief,1,L_WBS,$A14,L_Doeljaar,Sel_Doeljaar,L_Versiejaar,P_VJ,L_Versie,Sel_Versie,L_Kengetal,"BOR FY"))),IF(COUNTIFS(L_Actief,1,L_WBS,$A14,L_Doeljaar,Sel_Doeljaar,L_Versiejaar,P_VJ,L_Versie,Sel_Versie,L_Kengetal,"BOR FY")=0,"n.b.",SUMIFS(L_Waarde,L_Actief,1,L_WBS,$A14,L_Doeljaar,Sel_Doeljaar,L_Versiejaar,P_VJ,L_Versie,Sel_Versie,L_Kengetal,"BOR FY"))/P_Factor,IF(COUNTIFS(L_Actief,1,L_WBS,$A14,L_Doeljaar,Sel_Doeljaar,L_Versiejaar,P_VJ,L_Versie,Sel_Versie,L_Kengetal,"BOR FY")=0,"n.b.",SUMIFS(L_Waarde,L_Actief,1,L_WBS,$A14,L_Doeljaar,Sel_Doeljaar,L_Versiejaar,P_VJ,L_Versie,Sel_Versie,L_Kengetal,"BOR FY"))),IF(Sel_Bron="Concept",IF(ISNUMBER(IF(Sel_Doeljaar=P_RJ,VERW_Project!$Q10,IF(Sel_Doeljaar=P_RJ+1,VERW_Project!$S10,"n.b."))),IF(Sel_Doeljaar=P_RJ,VERW_Project!$Q10,IF(Sel_Doeljaar=P_RJ+1,VERW_Project!$S10,"n.b."))/P_Factor,IF(Sel_Doeljaar=P_RJ,VERW_Project!$Q10,IF(Sel_Doeljaar=P_RJ+1,VERW_Project!$S10,"n.b."))),"n.b.")))</f>
        <v>436.8</v>
      </c>
      <c r="O14" s="63">
        <f>IF($A14="","",IF(AND(ISNUMBER(N14),ISNUMBER(K14)),IF(K14&lt;&gt;0,N14/K14,"n.b."),"n.b."))</f>
        <v>0.065</v>
      </c>
      <c r="P14" s="41">
        <f>IF($A14="","",IF(AND(ISNUMBER(K14),ISNUMBER(E14)),K14-E14,"n.b."))</f>
        <v>-672</v>
      </c>
      <c r="Q14" s="41">
        <f>IF($A14="","",IF(AND(ISNUMBER(K14),ISNUMBER(W14)),K14-W14,"n.b."))</f>
        <v>201.6</v>
      </c>
      <c r="R14" s="64" t="str">
        <f>IF($A14="","",IF(ISNUMBER(N14),IF(N14&lt;0,"Verlies",""),""))</f>
        <v/>
      </c>
      <c r="S14" s="61" t="str">
        <f>IF($A14="","",IFERROR(INDEX(T_Txt,MATCH($A14&amp;"|"&amp;Sel_Doeljaar&amp;"|"&amp;P_VJ&amp;"|"&amp;Sel_Versie,T_Key,0)),""))</f>
        <v/>
      </c>
      <c r="U14" s="15">
        <f>IF(AND(AND($A14&lt;&gt;"",OR(Sel_Type="Alle",$C14=Sel_Type),OR(Sel_Project="Alle",$B14=Sel_Project)),ISNUMBER(K14)),K14+ROW()/1000000000,"")</f>
        <v>6720.000000014</v>
      </c>
      <c r="V14" s="15">
        <f>IF(AND(AND($A14&lt;&gt;"",OR(Sel_Type="Alle",$C14=Sel_Type),OR(Sel_Project="Alle",$B14=Sel_Project)),ISNUMBER(Q14)),ABS(Q14)+ROW()/1000000000,"")</f>
        <v>201.600000014</v>
      </c>
      <c r="W14" s="15">
        <f>IF(OR($A14="",Sel_Prev=""),"n.b.",IF(ISNUMBER(IF(COUNTIFS(L_Actief,1,L_WBS,$A14,L_Doeljaar,Sel_Doeljaar,L_Versiejaar,P_VJ,L_Versie,Sel_Prev,L_Kengetal,"Omzet FY")=0,"n.b.",SUMIFS(L_Waarde,L_Actief,1,L_WBS,$A14,L_Doeljaar,Sel_Doeljaar,L_Versiejaar,P_VJ,L_Versie,Sel_Prev,L_Kengetal,"Omzet FY"))),IF(COUNTIFS(L_Actief,1,L_WBS,$A14,L_Doeljaar,Sel_Doeljaar,L_Versiejaar,P_VJ,L_Versie,Sel_Prev,L_Kengetal,"Omzet FY")=0,"n.b.",SUMIFS(L_Waarde,L_Actief,1,L_WBS,$A14,L_Doeljaar,Sel_Doeljaar,L_Versiejaar,P_VJ,L_Versie,Sel_Prev,L_Kengetal,"Omzet FY"))/P_Factor,IF(COUNTIFS(L_Actief,1,L_WBS,$A14,L_Doeljaar,Sel_Doeljaar,L_Versiejaar,P_VJ,L_Versie,Sel_Prev,L_Kengetal,"Omzet FY")=0,"n.b.",SUMIFS(L_Waarde,L_Actief,1,L_WBS,$A14,L_Doeljaar,Sel_Doeljaar,L_Versiejaar,P_VJ,L_Versie,Sel_Prev,L_Kengetal,"Omzet FY"))))</f>
        <v>6518.4</v>
      </c>
    </row>
    <row r="15">
      <c r="A15" s="61" t="str">
        <f>IF(VERW_Project!$A11="","",VERW_Project!$A11)</f>
        <v>G.900006.8.9090</v>
      </c>
      <c r="B15" s="61" t="str">
        <f>IF($A15="","",VERW_Project!$C11)</f>
        <v>Boswaard, De Eiken</v>
      </c>
      <c r="C15" s="61" t="str">
        <f>IF($A15="","",VERW_Project!$D11)</f>
        <v>Opstal</v>
      </c>
      <c r="D15" s="61" t="str">
        <f>IF($A15="","",VERW_Project!$I11)</f>
        <v>J</v>
      </c>
      <c r="E15" s="41">
        <f>IF($A15="","",IF(ISNUMBER(IF(COUNTIFS(L_Actief,1,L_WBS,$A15,L_Doeljaar,Sel_Doeljaar,L_Versiejaar,P_VJ,L_Versie,E$8,L_Kengetal,"Omzet FY")=0,"n.b.",SUMIFS(L_Waarde,L_Actief,1,L_WBS,$A15,L_Doeljaar,Sel_Doeljaar,L_Versiejaar,P_VJ,L_Versie,E$8,L_Kengetal,"Omzet FY"))),IF(COUNTIFS(L_Actief,1,L_WBS,$A15,L_Doeljaar,Sel_Doeljaar,L_Versiejaar,P_VJ,L_Versie,E$8,L_Kengetal,"Omzet FY")=0,"n.b.",SUMIFS(L_Waarde,L_Actief,1,L_WBS,$A15,L_Doeljaar,Sel_Doeljaar,L_Versiejaar,P_VJ,L_Versie,E$8,L_Kengetal,"Omzet FY"))/P_Factor,IF(COUNTIFS(L_Actief,1,L_WBS,$A15,L_Doeljaar,Sel_Doeljaar,L_Versiejaar,P_VJ,L_Versie,E$8,L_Kengetal,"Omzet FY")=0,"n.b.",SUMIFS(L_Waarde,L_Actief,1,L_WBS,$A15,L_Doeljaar,Sel_Doeljaar,L_Versiejaar,P_VJ,L_Versie,E$8,L_Kengetal,"Omzet FY"))))</f>
        <v>5909.76</v>
      </c>
      <c r="F15" s="41">
        <f>IF($A15="","",IF(ISNUMBER(IF(COUNTIFS(L_Actief,1,L_WBS,$A15,L_Doeljaar,Sel_Doeljaar,L_Versiejaar,P_VJ,L_Versie,F$8,L_Kengetal,"Omzet FY")=0,"n.b.",SUMIFS(L_Waarde,L_Actief,1,L_WBS,$A15,L_Doeljaar,Sel_Doeljaar,L_Versiejaar,P_VJ,L_Versie,F$8,L_Kengetal,"Omzet FY"))),IF(COUNTIFS(L_Actief,1,L_WBS,$A15,L_Doeljaar,Sel_Doeljaar,L_Versiejaar,P_VJ,L_Versie,F$8,L_Kengetal,"Omzet FY")=0,"n.b.",SUMIFS(L_Waarde,L_Actief,1,L_WBS,$A15,L_Doeljaar,Sel_Doeljaar,L_Versiejaar,P_VJ,L_Versie,F$8,L_Kengetal,"Omzet FY"))/P_Factor,IF(COUNTIFS(L_Actief,1,L_WBS,$A15,L_Doeljaar,Sel_Doeljaar,L_Versiejaar,P_VJ,L_Versie,F$8,L_Kengetal,"Omzet FY")=0,"n.b.",SUMIFS(L_Waarde,L_Actief,1,L_WBS,$A15,L_Doeljaar,Sel_Doeljaar,L_Versiejaar,P_VJ,L_Versie,F$8,L_Kengetal,"Omzet FY"))))</f>
        <v>6172.416</v>
      </c>
      <c r="G15" s="41">
        <f>IF($A15="","",IF(ISNUMBER(IF(COUNTIFS(L_Actief,1,L_WBS,$A15,L_Doeljaar,Sel_Doeljaar,L_Versiejaar,P_VJ,L_Versie,G$8,L_Kengetal,"Omzet FY")=0,"n.b.",SUMIFS(L_Waarde,L_Actief,1,L_WBS,$A15,L_Doeljaar,Sel_Doeljaar,L_Versiejaar,P_VJ,L_Versie,G$8,L_Kengetal,"Omzet FY"))),IF(COUNTIFS(L_Actief,1,L_WBS,$A15,L_Doeljaar,Sel_Doeljaar,L_Versiejaar,P_VJ,L_Versie,G$8,L_Kengetal,"Omzet FY")=0,"n.b.",SUMIFS(L_Waarde,L_Actief,1,L_WBS,$A15,L_Doeljaar,Sel_Doeljaar,L_Versiejaar,P_VJ,L_Versie,G$8,L_Kengetal,"Omzet FY"))/P_Factor,IF(COUNTIFS(L_Actief,1,L_WBS,$A15,L_Doeljaar,Sel_Doeljaar,L_Versiejaar,P_VJ,L_Versie,G$8,L_Kengetal,"Omzet FY")=0,"n.b.",SUMIFS(L_Waarde,L_Actief,1,L_WBS,$A15,L_Doeljaar,Sel_Doeljaar,L_Versiejaar,P_VJ,L_Versie,G$8,L_Kengetal,"Omzet FY"))))</f>
        <v>6763.392</v>
      </c>
      <c r="H15" s="41">
        <f>IF($A15="","",IF(ISNUMBER(IF(COUNTIFS(L_Actief,1,L_WBS,$A15,L_Doeljaar,Sel_Doeljaar,L_Versiejaar,P_VJ,L_Versie,H$8,L_Kengetal,"Omzet FY")=0,"n.b.",SUMIFS(L_Waarde,L_Actief,1,L_WBS,$A15,L_Doeljaar,Sel_Doeljaar,L_Versiejaar,P_VJ,L_Versie,H$8,L_Kengetal,"Omzet FY"))),IF(COUNTIFS(L_Actief,1,L_WBS,$A15,L_Doeljaar,Sel_Doeljaar,L_Versiejaar,P_VJ,L_Versie,H$8,L_Kengetal,"Omzet FY")=0,"n.b.",SUMIFS(L_Waarde,L_Actief,1,L_WBS,$A15,L_Doeljaar,Sel_Doeljaar,L_Versiejaar,P_VJ,L_Versie,H$8,L_Kengetal,"Omzet FY"))/P_Factor,IF(COUNTIFS(L_Actief,1,L_WBS,$A15,L_Doeljaar,Sel_Doeljaar,L_Versiejaar,P_VJ,L_Versie,H$8,L_Kengetal,"Omzet FY")=0,"n.b.",SUMIFS(L_Waarde,L_Actief,1,L_WBS,$A15,L_Doeljaar,Sel_Doeljaar,L_Versiejaar,P_VJ,L_Versie,H$8,L_Kengetal,"Omzet FY"))))</f>
        <v>6566.4</v>
      </c>
      <c r="I15" s="41" t="str">
        <f>IF($A15="","",IF(ISNUMBER(IF(COUNTIFS(L_Actief,1,L_WBS,$A15,L_Doeljaar,Sel_Doeljaar,L_Versiejaar,P_VJ,L_Versie,I$8,L_Kengetal,"Omzet FY")=0,"n.b.",SUMIFS(L_Waarde,L_Actief,1,L_WBS,$A15,L_Doeljaar,Sel_Doeljaar,L_Versiejaar,P_VJ,L_Versie,I$8,L_Kengetal,"Omzet FY"))),IF(COUNTIFS(L_Actief,1,L_WBS,$A15,L_Doeljaar,Sel_Doeljaar,L_Versiejaar,P_VJ,L_Versie,I$8,L_Kengetal,"Omzet FY")=0,"n.b.",SUMIFS(L_Waarde,L_Actief,1,L_WBS,$A15,L_Doeljaar,Sel_Doeljaar,L_Versiejaar,P_VJ,L_Versie,I$8,L_Kengetal,"Omzet FY"))/P_Factor,IF(COUNTIFS(L_Actief,1,L_WBS,$A15,L_Doeljaar,Sel_Doeljaar,L_Versiejaar,P_VJ,L_Versie,I$8,L_Kengetal,"Omzet FY")=0,"n.b.",SUMIFS(L_Waarde,L_Actief,1,L_WBS,$A15,L_Doeljaar,Sel_Doeljaar,L_Versiejaar,P_VJ,L_Versie,I$8,L_Kengetal,"Omzet FY"))))</f>
        <v>n.b.</v>
      </c>
      <c r="J15" s="41">
        <f>IF($A15="","",IF(ISNUMBER(IF(Sel_Doeljaar=P_RJ,VERW_Project!$P11,IF(Sel_Doeljaar=P_RJ+1,VERW_Project!$R11,"n.b."))),IF(Sel_Doeljaar=P_RJ,VERW_Project!$P11,IF(Sel_Doeljaar=P_RJ+1,VERW_Project!$R11,"n.b."))/P_Factor,IF(Sel_Doeljaar=P_RJ,VERW_Project!$P11,IF(Sel_Doeljaar=P_RJ+1,VERW_Project!$R11,"n.b."))))</f>
        <v>6566.4</v>
      </c>
      <c r="K15" s="41">
        <f>IF($A15="","",IF(Sel_Bron="Vastgesteld",INDEX($E15:$I15,MATCH(Sel_Versie,$E$8:$I$8,0)),IF(Sel_Bron="Concept",J15,"n.b.")))</f>
        <v>6566.4</v>
      </c>
      <c r="L15" s="62">
        <f>IF($A15="","",IF(Sel_Doeljaar&gt;P_VJ,"n.v.t.",IF(Sel_Bron="Vastgesteld",IF(ISNUMBER(IF(COUNTIFS(L_Actief,1,L_WBS,$A15,L_Doeljaar,Sel_Doeljaar,L_Versiejaar,P_VJ,L_Versie,Sel_Versie,L_Kengetal,"Omzet actual YTD")=0,"n.b.",SUMIFS(L_Waarde,L_Actief,1,L_WBS,$A15,L_Doeljaar,Sel_Doeljaar,L_Versiejaar,P_VJ,L_Versie,Sel_Versie,L_Kengetal,"Omzet actual YTD"))),IF(COUNTIFS(L_Actief,1,L_WBS,$A15,L_Doeljaar,Sel_Doeljaar,L_Versiejaar,P_VJ,L_Versie,Sel_Versie,L_Kengetal,"Omzet actual YTD")=0,"n.b.",SUMIFS(L_Waarde,L_Actief,1,L_WBS,$A15,L_Doeljaar,Sel_Doeljaar,L_Versiejaar,P_VJ,L_Versie,Sel_Versie,L_Kengetal,"Omzet actual YTD"))/P_Factor,IF(COUNTIFS(L_Actief,1,L_WBS,$A15,L_Doeljaar,Sel_Doeljaar,L_Versiejaar,P_VJ,L_Versie,Sel_Versie,L_Kengetal,"Omzet actual YTD")=0,"n.b.",SUMIFS(L_Waarde,L_Actief,1,L_WBS,$A15,L_Doeljaar,Sel_Doeljaar,L_Versiejaar,P_VJ,L_Versie,Sel_Versie,L_Kengetal,"Omzet actual YTD"))),IF(Sel_Bron="Concept",IF(ISNUMBER(IF(Sel_Doeljaar=P_RJ,VERW_Project!$L11,"n.v.t.")),IF(Sel_Doeljaar=P_RJ,VERW_Project!$L11,"n.v.t.")/P_Factor,IF(Sel_Doeljaar=P_RJ,VERW_Project!$L11,"n.v.t.")),"n.b."))))</f>
        <v>4268.16</v>
      </c>
      <c r="M15" s="41">
        <f>IF($A15="","",IF(L15="n.v.t.",K15,IF(AND(ISNUMBER(K15),ISNUMBER(L15)),K15-L15,"n.b.")))</f>
        <v>2298.24</v>
      </c>
      <c r="N15" s="41">
        <f>IF($A15="","",IF(Sel_Bron="Vastgesteld",IF(ISNUMBER(IF(COUNTIFS(L_Actief,1,L_WBS,$A15,L_Doeljaar,Sel_Doeljaar,L_Versiejaar,P_VJ,L_Versie,Sel_Versie,L_Kengetal,"BOR FY")=0,"n.b.",SUMIFS(L_Waarde,L_Actief,1,L_WBS,$A15,L_Doeljaar,Sel_Doeljaar,L_Versiejaar,P_VJ,L_Versie,Sel_Versie,L_Kengetal,"BOR FY"))),IF(COUNTIFS(L_Actief,1,L_WBS,$A15,L_Doeljaar,Sel_Doeljaar,L_Versiejaar,P_VJ,L_Versie,Sel_Versie,L_Kengetal,"BOR FY")=0,"n.b.",SUMIFS(L_Waarde,L_Actief,1,L_WBS,$A15,L_Doeljaar,Sel_Doeljaar,L_Versiejaar,P_VJ,L_Versie,Sel_Versie,L_Kengetal,"BOR FY"))/P_Factor,IF(COUNTIFS(L_Actief,1,L_WBS,$A15,L_Doeljaar,Sel_Doeljaar,L_Versiejaar,P_VJ,L_Versie,Sel_Versie,L_Kengetal,"BOR FY")=0,"n.b.",SUMIFS(L_Waarde,L_Actief,1,L_WBS,$A15,L_Doeljaar,Sel_Doeljaar,L_Versiejaar,P_VJ,L_Versie,Sel_Versie,L_Kengetal,"BOR FY"))),IF(Sel_Bron="Concept",IF(ISNUMBER(IF(Sel_Doeljaar=P_RJ,VERW_Project!$Q11,IF(Sel_Doeljaar=P_RJ+1,VERW_Project!$S11,"n.b."))),IF(Sel_Doeljaar=P_RJ,VERW_Project!$Q11,IF(Sel_Doeljaar=P_RJ+1,VERW_Project!$S11,"n.b."))/P_Factor,IF(Sel_Doeljaar=P_RJ,VERW_Project!$Q11,IF(Sel_Doeljaar=P_RJ+1,VERW_Project!$S11,"n.b."))),"n.b.")))</f>
        <v>919.296</v>
      </c>
      <c r="O15" s="63">
        <f>IF($A15="","",IF(AND(ISNUMBER(N15),ISNUMBER(K15)),IF(K15&lt;&gt;0,N15/K15,"n.b."),"n.b."))</f>
        <v>0.14</v>
      </c>
      <c r="P15" s="41">
        <f>IF($A15="","",IF(AND(ISNUMBER(K15),ISNUMBER(E15)),K15-E15,"n.b."))</f>
        <v>656.639999999999</v>
      </c>
      <c r="Q15" s="41">
        <f>IF($A15="","",IF(AND(ISNUMBER(K15),ISNUMBER(W15)),K15-W15,"n.b."))</f>
        <v>-196.992</v>
      </c>
      <c r="R15" s="64" t="str">
        <f>IF($A15="","",IF(ISNUMBER(N15),IF(N15&lt;0,"Verlies",""),""))</f>
        <v/>
      </c>
      <c r="S15" s="61" t="str">
        <f>IF($A15="","",IFERROR(INDEX(T_Txt,MATCH($A15&amp;"|"&amp;Sel_Doeljaar&amp;"|"&amp;P_VJ&amp;"|"&amp;Sel_Versie,T_Key,0)),""))</f>
        <v/>
      </c>
      <c r="U15" s="15">
        <f>IF(AND(AND($A15&lt;&gt;"",OR(Sel_Type="Alle",$C15=Sel_Type),OR(Sel_Project="Alle",$B15=Sel_Project)),ISNUMBER(K15)),K15+ROW()/1000000000,"")</f>
        <v>6566.400000015</v>
      </c>
      <c r="V15" s="15">
        <f>IF(AND(AND($A15&lt;&gt;"",OR(Sel_Type="Alle",$C15=Sel_Type),OR(Sel_Project="Alle",$B15=Sel_Project)),ISNUMBER(Q15)),ABS(Q15)+ROW()/1000000000,"")</f>
        <v>196.992000015</v>
      </c>
      <c r="W15" s="15">
        <f>IF(OR($A15="",Sel_Prev=""),"n.b.",IF(ISNUMBER(IF(COUNTIFS(L_Actief,1,L_WBS,$A15,L_Doeljaar,Sel_Doeljaar,L_Versiejaar,P_VJ,L_Versie,Sel_Prev,L_Kengetal,"Omzet FY")=0,"n.b.",SUMIFS(L_Waarde,L_Actief,1,L_WBS,$A15,L_Doeljaar,Sel_Doeljaar,L_Versiejaar,P_VJ,L_Versie,Sel_Prev,L_Kengetal,"Omzet FY"))),IF(COUNTIFS(L_Actief,1,L_WBS,$A15,L_Doeljaar,Sel_Doeljaar,L_Versiejaar,P_VJ,L_Versie,Sel_Prev,L_Kengetal,"Omzet FY")=0,"n.b.",SUMIFS(L_Waarde,L_Actief,1,L_WBS,$A15,L_Doeljaar,Sel_Doeljaar,L_Versiejaar,P_VJ,L_Versie,Sel_Prev,L_Kengetal,"Omzet FY"))/P_Factor,IF(COUNTIFS(L_Actief,1,L_WBS,$A15,L_Doeljaar,Sel_Doeljaar,L_Versiejaar,P_VJ,L_Versie,Sel_Prev,L_Kengetal,"Omzet FY")=0,"n.b.",SUMIFS(L_Waarde,L_Actief,1,L_WBS,$A15,L_Doeljaar,Sel_Doeljaar,L_Versiejaar,P_VJ,L_Versie,Sel_Prev,L_Kengetal,"Omzet FY"))))</f>
        <v>6763.392</v>
      </c>
    </row>
    <row r="16">
      <c r="A16" s="61" t="str">
        <f>IF(VERW_Project!$A12="","",VERW_Project!$A12)</f>
        <v>G.900007.8.9090</v>
      </c>
      <c r="B16" s="61" t="str">
        <f>IF($A16="","",VERW_Project!$C12)</f>
        <v>Rietdam, Havenkwartier</v>
      </c>
      <c r="C16" s="61" t="str">
        <f>IF($A16="","",VERW_Project!$D12)</f>
        <v>Opstal</v>
      </c>
      <c r="D16" s="61" t="str">
        <f>IF($A16="","",VERW_Project!$I12)</f>
        <v>J</v>
      </c>
      <c r="E16" s="41">
        <f>IF($A16="","",IF(ISNUMBER(IF(COUNTIFS(L_Actief,1,L_WBS,$A16,L_Doeljaar,Sel_Doeljaar,L_Versiejaar,P_VJ,L_Versie,E$8,L_Kengetal,"Omzet FY")=0,"n.b.",SUMIFS(L_Waarde,L_Actief,1,L_WBS,$A16,L_Doeljaar,Sel_Doeljaar,L_Versiejaar,P_VJ,L_Versie,E$8,L_Kengetal,"Omzet FY"))),IF(COUNTIFS(L_Actief,1,L_WBS,$A16,L_Doeljaar,Sel_Doeljaar,L_Versiejaar,P_VJ,L_Versie,E$8,L_Kengetal,"Omzet FY")=0,"n.b.",SUMIFS(L_Waarde,L_Actief,1,L_WBS,$A16,L_Doeljaar,Sel_Doeljaar,L_Versiejaar,P_VJ,L_Versie,E$8,L_Kengetal,"Omzet FY"))/P_Factor,IF(COUNTIFS(L_Actief,1,L_WBS,$A16,L_Doeljaar,Sel_Doeljaar,L_Versiejaar,P_VJ,L_Versie,E$8,L_Kengetal,"Omzet FY")=0,"n.b.",SUMIFS(L_Waarde,L_Actief,1,L_WBS,$A16,L_Doeljaar,Sel_Doeljaar,L_Versiejaar,P_VJ,L_Versie,E$8,L_Kengetal,"Omzet FY"))))</f>
        <v>6688</v>
      </c>
      <c r="F16" s="41">
        <f>IF($A16="","",IF(ISNUMBER(IF(COUNTIFS(L_Actief,1,L_WBS,$A16,L_Doeljaar,Sel_Doeljaar,L_Versiejaar,P_VJ,L_Versie,F$8,L_Kengetal,"Omzet FY")=0,"n.b.",SUMIFS(L_Waarde,L_Actief,1,L_WBS,$A16,L_Doeljaar,Sel_Doeljaar,L_Versiejaar,P_VJ,L_Versie,F$8,L_Kengetal,"Omzet FY"))),IF(COUNTIFS(L_Actief,1,L_WBS,$A16,L_Doeljaar,Sel_Doeljaar,L_Versiejaar,P_VJ,L_Versie,F$8,L_Kengetal,"Omzet FY")=0,"n.b.",SUMIFS(L_Waarde,L_Actief,1,L_WBS,$A16,L_Doeljaar,Sel_Doeljaar,L_Versiejaar,P_VJ,L_Versie,F$8,L_Kengetal,"Omzet FY"))/P_Factor,IF(COUNTIFS(L_Actief,1,L_WBS,$A16,L_Doeljaar,Sel_Doeljaar,L_Versiejaar,P_VJ,L_Versie,F$8,L_Kengetal,"Omzet FY")=0,"n.b.",SUMIFS(L_Waarde,L_Actief,1,L_WBS,$A16,L_Doeljaar,Sel_Doeljaar,L_Versiejaar,P_VJ,L_Versie,F$8,L_Kengetal,"Omzet FY"))))</f>
        <v>6444.8</v>
      </c>
      <c r="G16" s="41">
        <f>IF($A16="","",IF(ISNUMBER(IF(COUNTIFS(L_Actief,1,L_WBS,$A16,L_Doeljaar,Sel_Doeljaar,L_Versiejaar,P_VJ,L_Versie,G$8,L_Kengetal,"Omzet FY")=0,"n.b.",SUMIFS(L_Waarde,L_Actief,1,L_WBS,$A16,L_Doeljaar,Sel_Doeljaar,L_Versiejaar,P_VJ,L_Versie,G$8,L_Kengetal,"Omzet FY"))),IF(COUNTIFS(L_Actief,1,L_WBS,$A16,L_Doeljaar,Sel_Doeljaar,L_Versiejaar,P_VJ,L_Versie,G$8,L_Kengetal,"Omzet FY")=0,"n.b.",SUMIFS(L_Waarde,L_Actief,1,L_WBS,$A16,L_Doeljaar,Sel_Doeljaar,L_Versiejaar,P_VJ,L_Versie,G$8,L_Kengetal,"Omzet FY"))/P_Factor,IF(COUNTIFS(L_Actief,1,L_WBS,$A16,L_Doeljaar,Sel_Doeljaar,L_Versiejaar,P_VJ,L_Versie,G$8,L_Kengetal,"Omzet FY")=0,"n.b.",SUMIFS(L_Waarde,L_Actief,1,L_WBS,$A16,L_Doeljaar,Sel_Doeljaar,L_Versiejaar,P_VJ,L_Versie,G$8,L_Kengetal,"Omzet FY"))))</f>
        <v>5897.6</v>
      </c>
      <c r="H16" s="41">
        <f>IF($A16="","",IF(ISNUMBER(IF(COUNTIFS(L_Actief,1,L_WBS,$A16,L_Doeljaar,Sel_Doeljaar,L_Versiejaar,P_VJ,L_Versie,H$8,L_Kengetal,"Omzet FY")=0,"n.b.",SUMIFS(L_Waarde,L_Actief,1,L_WBS,$A16,L_Doeljaar,Sel_Doeljaar,L_Versiejaar,P_VJ,L_Versie,H$8,L_Kengetal,"Omzet FY"))),IF(COUNTIFS(L_Actief,1,L_WBS,$A16,L_Doeljaar,Sel_Doeljaar,L_Versiejaar,P_VJ,L_Versie,H$8,L_Kengetal,"Omzet FY")=0,"n.b.",SUMIFS(L_Waarde,L_Actief,1,L_WBS,$A16,L_Doeljaar,Sel_Doeljaar,L_Versiejaar,P_VJ,L_Versie,H$8,L_Kengetal,"Omzet FY"))/P_Factor,IF(COUNTIFS(L_Actief,1,L_WBS,$A16,L_Doeljaar,Sel_Doeljaar,L_Versiejaar,P_VJ,L_Versie,H$8,L_Kengetal,"Omzet FY")=0,"n.b.",SUMIFS(L_Waarde,L_Actief,1,L_WBS,$A16,L_Doeljaar,Sel_Doeljaar,L_Versiejaar,P_VJ,L_Versie,H$8,L_Kengetal,"Omzet FY"))))</f>
        <v>6080</v>
      </c>
      <c r="I16" s="41" t="str">
        <f>IF($A16="","",IF(ISNUMBER(IF(COUNTIFS(L_Actief,1,L_WBS,$A16,L_Doeljaar,Sel_Doeljaar,L_Versiejaar,P_VJ,L_Versie,I$8,L_Kengetal,"Omzet FY")=0,"n.b.",SUMIFS(L_Waarde,L_Actief,1,L_WBS,$A16,L_Doeljaar,Sel_Doeljaar,L_Versiejaar,P_VJ,L_Versie,I$8,L_Kengetal,"Omzet FY"))),IF(COUNTIFS(L_Actief,1,L_WBS,$A16,L_Doeljaar,Sel_Doeljaar,L_Versiejaar,P_VJ,L_Versie,I$8,L_Kengetal,"Omzet FY")=0,"n.b.",SUMIFS(L_Waarde,L_Actief,1,L_WBS,$A16,L_Doeljaar,Sel_Doeljaar,L_Versiejaar,P_VJ,L_Versie,I$8,L_Kengetal,"Omzet FY"))/P_Factor,IF(COUNTIFS(L_Actief,1,L_WBS,$A16,L_Doeljaar,Sel_Doeljaar,L_Versiejaar,P_VJ,L_Versie,I$8,L_Kengetal,"Omzet FY")=0,"n.b.",SUMIFS(L_Waarde,L_Actief,1,L_WBS,$A16,L_Doeljaar,Sel_Doeljaar,L_Versiejaar,P_VJ,L_Versie,I$8,L_Kengetal,"Omzet FY"))))</f>
        <v>n.b.</v>
      </c>
      <c r="J16" s="41">
        <f>IF($A16="","",IF(ISNUMBER(IF(Sel_Doeljaar=P_RJ,VERW_Project!$P12,IF(Sel_Doeljaar=P_RJ+1,VERW_Project!$R12,"n.b."))),IF(Sel_Doeljaar=P_RJ,VERW_Project!$P12,IF(Sel_Doeljaar=P_RJ+1,VERW_Project!$R12,"n.b."))/P_Factor,IF(Sel_Doeljaar=P_RJ,VERW_Project!$P12,IF(Sel_Doeljaar=P_RJ+1,VERW_Project!$R12,"n.b."))))</f>
        <v>6080</v>
      </c>
      <c r="K16" s="41">
        <f>IF($A16="","",IF(Sel_Bron="Vastgesteld",INDEX($E16:$I16,MATCH(Sel_Versie,$E$8:$I$8,0)),IF(Sel_Bron="Concept",J16,"n.b.")))</f>
        <v>6080</v>
      </c>
      <c r="L16" s="62">
        <f>IF($A16="","",IF(Sel_Doeljaar&gt;P_VJ,"n.v.t.",IF(Sel_Bron="Vastgesteld",IF(ISNUMBER(IF(COUNTIFS(L_Actief,1,L_WBS,$A16,L_Doeljaar,Sel_Doeljaar,L_Versiejaar,P_VJ,L_Versie,Sel_Versie,L_Kengetal,"Omzet actual YTD")=0,"n.b.",SUMIFS(L_Waarde,L_Actief,1,L_WBS,$A16,L_Doeljaar,Sel_Doeljaar,L_Versiejaar,P_VJ,L_Versie,Sel_Versie,L_Kengetal,"Omzet actual YTD"))),IF(COUNTIFS(L_Actief,1,L_WBS,$A16,L_Doeljaar,Sel_Doeljaar,L_Versiejaar,P_VJ,L_Versie,Sel_Versie,L_Kengetal,"Omzet actual YTD")=0,"n.b.",SUMIFS(L_Waarde,L_Actief,1,L_WBS,$A16,L_Doeljaar,Sel_Doeljaar,L_Versiejaar,P_VJ,L_Versie,Sel_Versie,L_Kengetal,"Omzet actual YTD"))/P_Factor,IF(COUNTIFS(L_Actief,1,L_WBS,$A16,L_Doeljaar,Sel_Doeljaar,L_Versiejaar,P_VJ,L_Versie,Sel_Versie,L_Kengetal,"Omzet actual YTD")=0,"n.b.",SUMIFS(L_Waarde,L_Actief,1,L_WBS,$A16,L_Doeljaar,Sel_Doeljaar,L_Versiejaar,P_VJ,L_Versie,Sel_Versie,L_Kengetal,"Omzet actual YTD"))),IF(Sel_Bron="Concept",IF(ISNUMBER(IF(Sel_Doeljaar=P_RJ,VERW_Project!$L12,"n.v.t.")),IF(Sel_Doeljaar=P_RJ,VERW_Project!$L12,"n.v.t.")/P_Factor,IF(Sel_Doeljaar=P_RJ,VERW_Project!$L12,"n.v.t.")),"n.b."))))</f>
        <v>3952</v>
      </c>
      <c r="M16" s="41">
        <f>IF($A16="","",IF(L16="n.v.t.",K16,IF(AND(ISNUMBER(K16),ISNUMBER(L16)),K16-L16,"n.b.")))</f>
        <v>2128</v>
      </c>
      <c r="N16" s="41">
        <f>IF($A16="","",IF(Sel_Bron="Vastgesteld",IF(ISNUMBER(IF(COUNTIFS(L_Actief,1,L_WBS,$A16,L_Doeljaar,Sel_Doeljaar,L_Versiejaar,P_VJ,L_Versie,Sel_Versie,L_Kengetal,"BOR FY")=0,"n.b.",SUMIFS(L_Waarde,L_Actief,1,L_WBS,$A16,L_Doeljaar,Sel_Doeljaar,L_Versiejaar,P_VJ,L_Versie,Sel_Versie,L_Kengetal,"BOR FY"))),IF(COUNTIFS(L_Actief,1,L_WBS,$A16,L_Doeljaar,Sel_Doeljaar,L_Versiejaar,P_VJ,L_Versie,Sel_Versie,L_Kengetal,"BOR FY")=0,"n.b.",SUMIFS(L_Waarde,L_Actief,1,L_WBS,$A16,L_Doeljaar,Sel_Doeljaar,L_Versiejaar,P_VJ,L_Versie,Sel_Versie,L_Kengetal,"BOR FY"))/P_Factor,IF(COUNTIFS(L_Actief,1,L_WBS,$A16,L_Doeljaar,Sel_Doeljaar,L_Versiejaar,P_VJ,L_Versie,Sel_Versie,L_Kengetal,"BOR FY")=0,"n.b.",SUMIFS(L_Waarde,L_Actief,1,L_WBS,$A16,L_Doeljaar,Sel_Doeljaar,L_Versiejaar,P_VJ,L_Versie,Sel_Versie,L_Kengetal,"BOR FY"))),IF(Sel_Bron="Concept",IF(ISNUMBER(IF(Sel_Doeljaar=P_RJ,VERW_Project!$Q12,IF(Sel_Doeljaar=P_RJ+1,VERW_Project!$S12,"n.b."))),IF(Sel_Doeljaar=P_RJ,VERW_Project!$Q12,IF(Sel_Doeljaar=P_RJ+1,VERW_Project!$S12,"n.b."))/P_Factor,IF(Sel_Doeljaar=P_RJ,VERW_Project!$Q12,IF(Sel_Doeljaar=P_RJ+1,VERW_Project!$S12,"n.b."))),"n.b.")))</f>
        <v>608</v>
      </c>
      <c r="O16" s="63">
        <f>IF($A16="","",IF(AND(ISNUMBER(N16),ISNUMBER(K16)),IF(K16&lt;&gt;0,N16/K16,"n.b."),"n.b."))</f>
        <v>0.1</v>
      </c>
      <c r="P16" s="41">
        <f>IF($A16="","",IF(AND(ISNUMBER(K16),ISNUMBER(E16)),K16-E16,"n.b."))</f>
        <v>-608</v>
      </c>
      <c r="Q16" s="41">
        <f>IF($A16="","",IF(AND(ISNUMBER(K16),ISNUMBER(W16)),K16-W16,"n.b."))</f>
        <v>182.4</v>
      </c>
      <c r="R16" s="64" t="str">
        <f>IF($A16="","",IF(ISNUMBER(N16),IF(N16&lt;0,"Verlies",""),""))</f>
        <v/>
      </c>
      <c r="S16" s="61" t="str">
        <f>IF($A16="","",IFERROR(INDEX(T_Txt,MATCH($A16&amp;"|"&amp;Sel_Doeljaar&amp;"|"&amp;P_VJ&amp;"|"&amp;Sel_Versie,T_Key,0)),""))</f>
        <v/>
      </c>
      <c r="U16" s="15">
        <f>IF(AND(AND($A16&lt;&gt;"",OR(Sel_Type="Alle",$C16=Sel_Type),OR(Sel_Project="Alle",$B16=Sel_Project)),ISNUMBER(K16)),K16+ROW()/1000000000,"")</f>
        <v>6080.000000016</v>
      </c>
      <c r="V16" s="15">
        <f>IF(AND(AND($A16&lt;&gt;"",OR(Sel_Type="Alle",$C16=Sel_Type),OR(Sel_Project="Alle",$B16=Sel_Project)),ISNUMBER(Q16)),ABS(Q16)+ROW()/1000000000,"")</f>
        <v>182.400000016</v>
      </c>
      <c r="W16" s="15">
        <f>IF(OR($A16="",Sel_Prev=""),"n.b.",IF(ISNUMBER(IF(COUNTIFS(L_Actief,1,L_WBS,$A16,L_Doeljaar,Sel_Doeljaar,L_Versiejaar,P_VJ,L_Versie,Sel_Prev,L_Kengetal,"Omzet FY")=0,"n.b.",SUMIFS(L_Waarde,L_Actief,1,L_WBS,$A16,L_Doeljaar,Sel_Doeljaar,L_Versiejaar,P_VJ,L_Versie,Sel_Prev,L_Kengetal,"Omzet FY"))),IF(COUNTIFS(L_Actief,1,L_WBS,$A16,L_Doeljaar,Sel_Doeljaar,L_Versiejaar,P_VJ,L_Versie,Sel_Prev,L_Kengetal,"Omzet FY")=0,"n.b.",SUMIFS(L_Waarde,L_Actief,1,L_WBS,$A16,L_Doeljaar,Sel_Doeljaar,L_Versiejaar,P_VJ,L_Versie,Sel_Prev,L_Kengetal,"Omzet FY"))/P_Factor,IF(COUNTIFS(L_Actief,1,L_WBS,$A16,L_Doeljaar,Sel_Doeljaar,L_Versiejaar,P_VJ,L_Versie,Sel_Prev,L_Kengetal,"Omzet FY")=0,"n.b.",SUMIFS(L_Waarde,L_Actief,1,L_WBS,$A16,L_Doeljaar,Sel_Doeljaar,L_Versiejaar,P_VJ,L_Versie,Sel_Prev,L_Kengetal,"Omzet FY"))))</f>
        <v>5897.6</v>
      </c>
    </row>
    <row r="17">
      <c r="A17" s="61" t="str">
        <f>IF(VERW_Project!$A13="","",VERW_Project!$A13)</f>
        <v>G.900008.8.9090</v>
      </c>
      <c r="B17" s="61" t="str">
        <f>IF($A17="","",VERW_Project!$C13)</f>
        <v>Lindehaven, De Brink</v>
      </c>
      <c r="C17" s="61" t="str">
        <f>IF($A17="","",VERW_Project!$D13)</f>
        <v>Opstal</v>
      </c>
      <c r="D17" s="61" t="str">
        <f>IF($A17="","",VERW_Project!$I13)</f>
        <v>J</v>
      </c>
      <c r="E17" s="41">
        <f>IF($A17="","",IF(ISNUMBER(IF(COUNTIFS(L_Actief,1,L_WBS,$A17,L_Doeljaar,Sel_Doeljaar,L_Versiejaar,P_VJ,L_Versie,E$8,L_Kengetal,"Omzet FY")=0,"n.b.",SUMIFS(L_Waarde,L_Actief,1,L_WBS,$A17,L_Doeljaar,Sel_Doeljaar,L_Versiejaar,P_VJ,L_Versie,E$8,L_Kengetal,"Omzet FY"))),IF(COUNTIFS(L_Actief,1,L_WBS,$A17,L_Doeljaar,Sel_Doeljaar,L_Versiejaar,P_VJ,L_Versie,E$8,L_Kengetal,"Omzet FY")=0,"n.b.",SUMIFS(L_Waarde,L_Actief,1,L_WBS,$A17,L_Doeljaar,Sel_Doeljaar,L_Versiejaar,P_VJ,L_Versie,E$8,L_Kengetal,"Omzet FY"))/P_Factor,IF(COUNTIFS(L_Actief,1,L_WBS,$A17,L_Doeljaar,Sel_Doeljaar,L_Versiejaar,P_VJ,L_Versie,E$8,L_Kengetal,"Omzet FY")=0,"n.b.",SUMIFS(L_Waarde,L_Actief,1,L_WBS,$A17,L_Doeljaar,Sel_Doeljaar,L_Versiejaar,P_VJ,L_Versie,E$8,L_Kengetal,"Omzet FY"))))</f>
        <v>1757.7</v>
      </c>
      <c r="F17" s="41">
        <f>IF($A17="","",IF(ISNUMBER(IF(COUNTIFS(L_Actief,1,L_WBS,$A17,L_Doeljaar,Sel_Doeljaar,L_Versiejaar,P_VJ,L_Versie,F$8,L_Kengetal,"Omzet FY")=0,"n.b.",SUMIFS(L_Waarde,L_Actief,1,L_WBS,$A17,L_Doeljaar,Sel_Doeljaar,L_Versiejaar,P_VJ,L_Versie,F$8,L_Kengetal,"Omzet FY"))),IF(COUNTIFS(L_Actief,1,L_WBS,$A17,L_Doeljaar,Sel_Doeljaar,L_Versiejaar,P_VJ,L_Versie,F$8,L_Kengetal,"Omzet FY")=0,"n.b.",SUMIFS(L_Waarde,L_Actief,1,L_WBS,$A17,L_Doeljaar,Sel_Doeljaar,L_Versiejaar,P_VJ,L_Versie,F$8,L_Kengetal,"Omzet FY"))/P_Factor,IF(COUNTIFS(L_Actief,1,L_WBS,$A17,L_Doeljaar,Sel_Doeljaar,L_Versiejaar,P_VJ,L_Versie,F$8,L_Kengetal,"Omzet FY")=0,"n.b.",SUMIFS(L_Waarde,L_Actief,1,L_WBS,$A17,L_Doeljaar,Sel_Doeljaar,L_Versiejaar,P_VJ,L_Versie,F$8,L_Kengetal,"Omzet FY"))))</f>
        <v>1835.82</v>
      </c>
      <c r="G17" s="41">
        <f>IF($A17="","",IF(ISNUMBER(IF(COUNTIFS(L_Actief,1,L_WBS,$A17,L_Doeljaar,Sel_Doeljaar,L_Versiejaar,P_VJ,L_Versie,G$8,L_Kengetal,"Omzet FY")=0,"n.b.",SUMIFS(L_Waarde,L_Actief,1,L_WBS,$A17,L_Doeljaar,Sel_Doeljaar,L_Versiejaar,P_VJ,L_Versie,G$8,L_Kengetal,"Omzet FY"))),IF(COUNTIFS(L_Actief,1,L_WBS,$A17,L_Doeljaar,Sel_Doeljaar,L_Versiejaar,P_VJ,L_Versie,G$8,L_Kengetal,"Omzet FY")=0,"n.b.",SUMIFS(L_Waarde,L_Actief,1,L_WBS,$A17,L_Doeljaar,Sel_Doeljaar,L_Versiejaar,P_VJ,L_Versie,G$8,L_Kengetal,"Omzet FY"))/P_Factor,IF(COUNTIFS(L_Actief,1,L_WBS,$A17,L_Doeljaar,Sel_Doeljaar,L_Versiejaar,P_VJ,L_Versie,G$8,L_Kengetal,"Omzet FY")=0,"n.b.",SUMIFS(L_Waarde,L_Actief,1,L_WBS,$A17,L_Doeljaar,Sel_Doeljaar,L_Versiejaar,P_VJ,L_Versie,G$8,L_Kengetal,"Omzet FY"))))</f>
        <v>2011.59</v>
      </c>
      <c r="H17" s="41">
        <f>IF($A17="","",IF(ISNUMBER(IF(COUNTIFS(L_Actief,1,L_WBS,$A17,L_Doeljaar,Sel_Doeljaar,L_Versiejaar,P_VJ,L_Versie,H$8,L_Kengetal,"Omzet FY")=0,"n.b.",SUMIFS(L_Waarde,L_Actief,1,L_WBS,$A17,L_Doeljaar,Sel_Doeljaar,L_Versiejaar,P_VJ,L_Versie,H$8,L_Kengetal,"Omzet FY"))),IF(COUNTIFS(L_Actief,1,L_WBS,$A17,L_Doeljaar,Sel_Doeljaar,L_Versiejaar,P_VJ,L_Versie,H$8,L_Kengetal,"Omzet FY")=0,"n.b.",SUMIFS(L_Waarde,L_Actief,1,L_WBS,$A17,L_Doeljaar,Sel_Doeljaar,L_Versiejaar,P_VJ,L_Versie,H$8,L_Kengetal,"Omzet FY"))/P_Factor,IF(COUNTIFS(L_Actief,1,L_WBS,$A17,L_Doeljaar,Sel_Doeljaar,L_Versiejaar,P_VJ,L_Versie,H$8,L_Kengetal,"Omzet FY")=0,"n.b.",SUMIFS(L_Waarde,L_Actief,1,L_WBS,$A17,L_Doeljaar,Sel_Doeljaar,L_Versiejaar,P_VJ,L_Versie,H$8,L_Kengetal,"Omzet FY"))))</f>
        <v>1953</v>
      </c>
      <c r="I17" s="41" t="str">
        <f>IF($A17="","",IF(ISNUMBER(IF(COUNTIFS(L_Actief,1,L_WBS,$A17,L_Doeljaar,Sel_Doeljaar,L_Versiejaar,P_VJ,L_Versie,I$8,L_Kengetal,"Omzet FY")=0,"n.b.",SUMIFS(L_Waarde,L_Actief,1,L_WBS,$A17,L_Doeljaar,Sel_Doeljaar,L_Versiejaar,P_VJ,L_Versie,I$8,L_Kengetal,"Omzet FY"))),IF(COUNTIFS(L_Actief,1,L_WBS,$A17,L_Doeljaar,Sel_Doeljaar,L_Versiejaar,P_VJ,L_Versie,I$8,L_Kengetal,"Omzet FY")=0,"n.b.",SUMIFS(L_Waarde,L_Actief,1,L_WBS,$A17,L_Doeljaar,Sel_Doeljaar,L_Versiejaar,P_VJ,L_Versie,I$8,L_Kengetal,"Omzet FY"))/P_Factor,IF(COUNTIFS(L_Actief,1,L_WBS,$A17,L_Doeljaar,Sel_Doeljaar,L_Versiejaar,P_VJ,L_Versie,I$8,L_Kengetal,"Omzet FY")=0,"n.b.",SUMIFS(L_Waarde,L_Actief,1,L_WBS,$A17,L_Doeljaar,Sel_Doeljaar,L_Versiejaar,P_VJ,L_Versie,I$8,L_Kengetal,"Omzet FY"))))</f>
        <v>n.b.</v>
      </c>
      <c r="J17" s="41">
        <f>IF($A17="","",IF(ISNUMBER(IF(Sel_Doeljaar=P_RJ,VERW_Project!$P13,IF(Sel_Doeljaar=P_RJ+1,VERW_Project!$R13,"n.b."))),IF(Sel_Doeljaar=P_RJ,VERW_Project!$P13,IF(Sel_Doeljaar=P_RJ+1,VERW_Project!$R13,"n.b."))/P_Factor,IF(Sel_Doeljaar=P_RJ,VERW_Project!$P13,IF(Sel_Doeljaar=P_RJ+1,VERW_Project!$R13,"n.b."))))</f>
        <v>1953</v>
      </c>
      <c r="K17" s="41">
        <f>IF($A17="","",IF(Sel_Bron="Vastgesteld",INDEX($E17:$I17,MATCH(Sel_Versie,$E$8:$I$8,0)),IF(Sel_Bron="Concept",J17,"n.b.")))</f>
        <v>1953</v>
      </c>
      <c r="L17" s="62">
        <f>IF($A17="","",IF(Sel_Doeljaar&gt;P_VJ,"n.v.t.",IF(Sel_Bron="Vastgesteld",IF(ISNUMBER(IF(COUNTIFS(L_Actief,1,L_WBS,$A17,L_Doeljaar,Sel_Doeljaar,L_Versiejaar,P_VJ,L_Versie,Sel_Versie,L_Kengetal,"Omzet actual YTD")=0,"n.b.",SUMIFS(L_Waarde,L_Actief,1,L_WBS,$A17,L_Doeljaar,Sel_Doeljaar,L_Versiejaar,P_VJ,L_Versie,Sel_Versie,L_Kengetal,"Omzet actual YTD"))),IF(COUNTIFS(L_Actief,1,L_WBS,$A17,L_Doeljaar,Sel_Doeljaar,L_Versiejaar,P_VJ,L_Versie,Sel_Versie,L_Kengetal,"Omzet actual YTD")=0,"n.b.",SUMIFS(L_Waarde,L_Actief,1,L_WBS,$A17,L_Doeljaar,Sel_Doeljaar,L_Versiejaar,P_VJ,L_Versie,Sel_Versie,L_Kengetal,"Omzet actual YTD"))/P_Factor,IF(COUNTIFS(L_Actief,1,L_WBS,$A17,L_Doeljaar,Sel_Doeljaar,L_Versiejaar,P_VJ,L_Versie,Sel_Versie,L_Kengetal,"Omzet actual YTD")=0,"n.b.",SUMIFS(L_Waarde,L_Actief,1,L_WBS,$A17,L_Doeljaar,Sel_Doeljaar,L_Versiejaar,P_VJ,L_Versie,Sel_Versie,L_Kengetal,"Omzet actual YTD"))),IF(Sel_Bron="Concept",IF(ISNUMBER(IF(Sel_Doeljaar=P_RJ,VERW_Project!$L13,"n.v.t.")),IF(Sel_Doeljaar=P_RJ,VERW_Project!$L13,"n.v.t.")/P_Factor,IF(Sel_Doeljaar=P_RJ,VERW_Project!$L13,"n.v.t.")),"n.b."))))</f>
        <v>1269.45</v>
      </c>
      <c r="M17" s="41">
        <f>IF($A17="","",IF(L17="n.v.t.",K17,IF(AND(ISNUMBER(K17),ISNUMBER(L17)),K17-L17,"n.b.")))</f>
        <v>683.55</v>
      </c>
      <c r="N17" s="41">
        <f>IF($A17="","",IF(Sel_Bron="Vastgesteld",IF(ISNUMBER(IF(COUNTIFS(L_Actief,1,L_WBS,$A17,L_Doeljaar,Sel_Doeljaar,L_Versiejaar,P_VJ,L_Versie,Sel_Versie,L_Kengetal,"BOR FY")=0,"n.b.",SUMIFS(L_Waarde,L_Actief,1,L_WBS,$A17,L_Doeljaar,Sel_Doeljaar,L_Versiejaar,P_VJ,L_Versie,Sel_Versie,L_Kengetal,"BOR FY"))),IF(COUNTIFS(L_Actief,1,L_WBS,$A17,L_Doeljaar,Sel_Doeljaar,L_Versiejaar,P_VJ,L_Versie,Sel_Versie,L_Kengetal,"BOR FY")=0,"n.b.",SUMIFS(L_Waarde,L_Actief,1,L_WBS,$A17,L_Doeljaar,Sel_Doeljaar,L_Versiejaar,P_VJ,L_Versie,Sel_Versie,L_Kengetal,"BOR FY"))/P_Factor,IF(COUNTIFS(L_Actief,1,L_WBS,$A17,L_Doeljaar,Sel_Doeljaar,L_Versiejaar,P_VJ,L_Versie,Sel_Versie,L_Kengetal,"BOR FY")=0,"n.b.",SUMIFS(L_Waarde,L_Actief,1,L_WBS,$A17,L_Doeljaar,Sel_Doeljaar,L_Versiejaar,P_VJ,L_Versie,Sel_Versie,L_Kengetal,"BOR FY"))),IF(Sel_Bron="Concept",IF(ISNUMBER(IF(Sel_Doeljaar=P_RJ,VERW_Project!$Q13,IF(Sel_Doeljaar=P_RJ+1,VERW_Project!$S13,"n.b."))),IF(Sel_Doeljaar=P_RJ,VERW_Project!$Q13,IF(Sel_Doeljaar=P_RJ+1,VERW_Project!$S13,"n.b."))/P_Factor,IF(Sel_Doeljaar=P_RJ,VERW_Project!$Q13,IF(Sel_Doeljaar=P_RJ+1,VERW_Project!$S13,"n.b."))),"n.b.")))</f>
        <v>-58.59</v>
      </c>
      <c r="O17" s="63">
        <f>IF($A17="","",IF(AND(ISNUMBER(N17),ISNUMBER(K17)),IF(K17&lt;&gt;0,N17/K17,"n.b."),"n.b."))</f>
        <v>-0.03</v>
      </c>
      <c r="P17" s="41">
        <f>IF($A17="","",IF(AND(ISNUMBER(K17),ISNUMBER(E17)),K17-E17,"n.b."))</f>
        <v>195.3</v>
      </c>
      <c r="Q17" s="41">
        <f>IF($A17="","",IF(AND(ISNUMBER(K17),ISNUMBER(W17)),K17-W17,"n.b."))</f>
        <v>-58.5899999999999</v>
      </c>
      <c r="R17" s="64" t="str">
        <f>IF($A17="","",IF(ISNUMBER(N17),IF(N17&lt;0,"Verlies",""),""))</f>
        <v>Verlies</v>
      </c>
      <c r="S17" s="61" t="str">
        <f>IF($A17="","",IFERROR(INDEX(T_Txt,MATCH($A17&amp;"|"&amp;Sel_Doeljaar&amp;"|"&amp;P_VJ&amp;"|"&amp;Sel_Versie,T_Key,0)),""))</f>
        <v>[VOORBEELD – fictief] Verliesproject: voorbeeldtekst om het formaat te tonen.</v>
      </c>
      <c r="U17" s="15">
        <f>IF(AND(AND($A17&lt;&gt;"",OR(Sel_Type="Alle",$C17=Sel_Type),OR(Sel_Project="Alle",$B17=Sel_Project)),ISNUMBER(K17)),K17+ROW()/1000000000,"")</f>
        <v>1953.000000017</v>
      </c>
      <c r="V17" s="15">
        <f>IF(AND(AND($A17&lt;&gt;"",OR(Sel_Type="Alle",$C17=Sel_Type),OR(Sel_Project="Alle",$B17=Sel_Project)),ISNUMBER(Q17)),ABS(Q17)+ROW()/1000000000,"")</f>
        <v>58.5900000169999</v>
      </c>
      <c r="W17" s="15">
        <f>IF(OR($A17="",Sel_Prev=""),"n.b.",IF(ISNUMBER(IF(COUNTIFS(L_Actief,1,L_WBS,$A17,L_Doeljaar,Sel_Doeljaar,L_Versiejaar,P_VJ,L_Versie,Sel_Prev,L_Kengetal,"Omzet FY")=0,"n.b.",SUMIFS(L_Waarde,L_Actief,1,L_WBS,$A17,L_Doeljaar,Sel_Doeljaar,L_Versiejaar,P_VJ,L_Versie,Sel_Prev,L_Kengetal,"Omzet FY"))),IF(COUNTIFS(L_Actief,1,L_WBS,$A17,L_Doeljaar,Sel_Doeljaar,L_Versiejaar,P_VJ,L_Versie,Sel_Prev,L_Kengetal,"Omzet FY")=0,"n.b.",SUMIFS(L_Waarde,L_Actief,1,L_WBS,$A17,L_Doeljaar,Sel_Doeljaar,L_Versiejaar,P_VJ,L_Versie,Sel_Prev,L_Kengetal,"Omzet FY"))/P_Factor,IF(COUNTIFS(L_Actief,1,L_WBS,$A17,L_Doeljaar,Sel_Doeljaar,L_Versiejaar,P_VJ,L_Versie,Sel_Prev,L_Kengetal,"Omzet FY")=0,"n.b.",SUMIFS(L_Waarde,L_Actief,1,L_WBS,$A17,L_Doeljaar,Sel_Doeljaar,L_Versiejaar,P_VJ,L_Versie,Sel_Prev,L_Kengetal,"Omzet FY"))))</f>
        <v>2011.59</v>
      </c>
    </row>
    <row r="18">
      <c r="A18" s="61" t="str">
        <f>IF(VERW_Project!$A14="","",VERW_Project!$A14)</f>
        <v>G.900009.8.9090</v>
      </c>
      <c r="B18" s="61" t="str">
        <f>IF($A18="","",VERW_Project!$C14)</f>
        <v>Duinwaard, Duinrand</v>
      </c>
      <c r="C18" s="61" t="str">
        <f>IF($A18="","",VERW_Project!$D14)</f>
        <v>Opstal</v>
      </c>
      <c r="D18" s="61" t="str">
        <f>IF($A18="","",VERW_Project!$I14)</f>
        <v>J</v>
      </c>
      <c r="E18" s="41">
        <f>IF($A18="","",IF(ISNUMBER(IF(COUNTIFS(L_Actief,1,L_WBS,$A18,L_Doeljaar,Sel_Doeljaar,L_Versiejaar,P_VJ,L_Versie,E$8,L_Kengetal,"Omzet FY")=0,"n.b.",SUMIFS(L_Waarde,L_Actief,1,L_WBS,$A18,L_Doeljaar,Sel_Doeljaar,L_Versiejaar,P_VJ,L_Versie,E$8,L_Kengetal,"Omzet FY"))),IF(COUNTIFS(L_Actief,1,L_WBS,$A18,L_Doeljaar,Sel_Doeljaar,L_Versiejaar,P_VJ,L_Versie,E$8,L_Kengetal,"Omzet FY")=0,"n.b.",SUMIFS(L_Waarde,L_Actief,1,L_WBS,$A18,L_Doeljaar,Sel_Doeljaar,L_Versiejaar,P_VJ,L_Versie,E$8,L_Kengetal,"Omzet FY"))/P_Factor,IF(COUNTIFS(L_Actief,1,L_WBS,$A18,L_Doeljaar,Sel_Doeljaar,L_Versiejaar,P_VJ,L_Versie,E$8,L_Kengetal,"Omzet FY")=0,"n.b.",SUMIFS(L_Waarde,L_Actief,1,L_WBS,$A18,L_Doeljaar,Sel_Doeljaar,L_Versiejaar,P_VJ,L_Versie,E$8,L_Kengetal,"Omzet FY"))))</f>
        <v>18295.2</v>
      </c>
      <c r="F18" s="41">
        <f>IF($A18="","",IF(ISNUMBER(IF(COUNTIFS(L_Actief,1,L_WBS,$A18,L_Doeljaar,Sel_Doeljaar,L_Versiejaar,P_VJ,L_Versie,F$8,L_Kengetal,"Omzet FY")=0,"n.b.",SUMIFS(L_Waarde,L_Actief,1,L_WBS,$A18,L_Doeljaar,Sel_Doeljaar,L_Versiejaar,P_VJ,L_Versie,F$8,L_Kengetal,"Omzet FY"))),IF(COUNTIFS(L_Actief,1,L_WBS,$A18,L_Doeljaar,Sel_Doeljaar,L_Versiejaar,P_VJ,L_Versie,F$8,L_Kengetal,"Omzet FY")=0,"n.b.",SUMIFS(L_Waarde,L_Actief,1,L_WBS,$A18,L_Doeljaar,Sel_Doeljaar,L_Versiejaar,P_VJ,L_Versie,F$8,L_Kengetal,"Omzet FY"))/P_Factor,IF(COUNTIFS(L_Actief,1,L_WBS,$A18,L_Doeljaar,Sel_Doeljaar,L_Versiejaar,P_VJ,L_Versie,F$8,L_Kengetal,"Omzet FY")=0,"n.b.",SUMIFS(L_Waarde,L_Actief,1,L_WBS,$A18,L_Doeljaar,Sel_Doeljaar,L_Versiejaar,P_VJ,L_Versie,F$8,L_Kengetal,"Omzet FY"))))</f>
        <v>17629.92</v>
      </c>
      <c r="G18" s="41">
        <f>IF($A18="","",IF(ISNUMBER(IF(COUNTIFS(L_Actief,1,L_WBS,$A18,L_Doeljaar,Sel_Doeljaar,L_Versiejaar,P_VJ,L_Versie,G$8,L_Kengetal,"Omzet FY")=0,"n.b.",SUMIFS(L_Waarde,L_Actief,1,L_WBS,$A18,L_Doeljaar,Sel_Doeljaar,L_Versiejaar,P_VJ,L_Versie,G$8,L_Kengetal,"Omzet FY"))),IF(COUNTIFS(L_Actief,1,L_WBS,$A18,L_Doeljaar,Sel_Doeljaar,L_Versiejaar,P_VJ,L_Versie,G$8,L_Kengetal,"Omzet FY")=0,"n.b.",SUMIFS(L_Waarde,L_Actief,1,L_WBS,$A18,L_Doeljaar,Sel_Doeljaar,L_Versiejaar,P_VJ,L_Versie,G$8,L_Kengetal,"Omzet FY"))/P_Factor,IF(COUNTIFS(L_Actief,1,L_WBS,$A18,L_Doeljaar,Sel_Doeljaar,L_Versiejaar,P_VJ,L_Versie,G$8,L_Kengetal,"Omzet FY")=0,"n.b.",SUMIFS(L_Waarde,L_Actief,1,L_WBS,$A18,L_Doeljaar,Sel_Doeljaar,L_Versiejaar,P_VJ,L_Versie,G$8,L_Kengetal,"Omzet FY"))))</f>
        <v>16133.04</v>
      </c>
      <c r="H18" s="41">
        <f>IF($A18="","",IF(ISNUMBER(IF(COUNTIFS(L_Actief,1,L_WBS,$A18,L_Doeljaar,Sel_Doeljaar,L_Versiejaar,P_VJ,L_Versie,H$8,L_Kengetal,"Omzet FY")=0,"n.b.",SUMIFS(L_Waarde,L_Actief,1,L_WBS,$A18,L_Doeljaar,Sel_Doeljaar,L_Versiejaar,P_VJ,L_Versie,H$8,L_Kengetal,"Omzet FY"))),IF(COUNTIFS(L_Actief,1,L_WBS,$A18,L_Doeljaar,Sel_Doeljaar,L_Versiejaar,P_VJ,L_Versie,H$8,L_Kengetal,"Omzet FY")=0,"n.b.",SUMIFS(L_Waarde,L_Actief,1,L_WBS,$A18,L_Doeljaar,Sel_Doeljaar,L_Versiejaar,P_VJ,L_Versie,H$8,L_Kengetal,"Omzet FY"))/P_Factor,IF(COUNTIFS(L_Actief,1,L_WBS,$A18,L_Doeljaar,Sel_Doeljaar,L_Versiejaar,P_VJ,L_Versie,H$8,L_Kengetal,"Omzet FY")=0,"n.b.",SUMIFS(L_Waarde,L_Actief,1,L_WBS,$A18,L_Doeljaar,Sel_Doeljaar,L_Versiejaar,P_VJ,L_Versie,H$8,L_Kengetal,"Omzet FY"))))</f>
        <v>16632</v>
      </c>
      <c r="I18" s="41" t="str">
        <f>IF($A18="","",IF(ISNUMBER(IF(COUNTIFS(L_Actief,1,L_WBS,$A18,L_Doeljaar,Sel_Doeljaar,L_Versiejaar,P_VJ,L_Versie,I$8,L_Kengetal,"Omzet FY")=0,"n.b.",SUMIFS(L_Waarde,L_Actief,1,L_WBS,$A18,L_Doeljaar,Sel_Doeljaar,L_Versiejaar,P_VJ,L_Versie,I$8,L_Kengetal,"Omzet FY"))),IF(COUNTIFS(L_Actief,1,L_WBS,$A18,L_Doeljaar,Sel_Doeljaar,L_Versiejaar,P_VJ,L_Versie,I$8,L_Kengetal,"Omzet FY")=0,"n.b.",SUMIFS(L_Waarde,L_Actief,1,L_WBS,$A18,L_Doeljaar,Sel_Doeljaar,L_Versiejaar,P_VJ,L_Versie,I$8,L_Kengetal,"Omzet FY"))/P_Factor,IF(COUNTIFS(L_Actief,1,L_WBS,$A18,L_Doeljaar,Sel_Doeljaar,L_Versiejaar,P_VJ,L_Versie,I$8,L_Kengetal,"Omzet FY")=0,"n.b.",SUMIFS(L_Waarde,L_Actief,1,L_WBS,$A18,L_Doeljaar,Sel_Doeljaar,L_Versiejaar,P_VJ,L_Versie,I$8,L_Kengetal,"Omzet FY"))))</f>
        <v>n.b.</v>
      </c>
      <c r="J18" s="41">
        <f>IF($A18="","",IF(ISNUMBER(IF(Sel_Doeljaar=P_RJ,VERW_Project!$P14,IF(Sel_Doeljaar=P_RJ+1,VERW_Project!$R14,"n.b."))),IF(Sel_Doeljaar=P_RJ,VERW_Project!$P14,IF(Sel_Doeljaar=P_RJ+1,VERW_Project!$R14,"n.b."))/P_Factor,IF(Sel_Doeljaar=P_RJ,VERW_Project!$P14,IF(Sel_Doeljaar=P_RJ+1,VERW_Project!$R14,"n.b."))))</f>
        <v>16632</v>
      </c>
      <c r="K18" s="41">
        <f>IF($A18="","",IF(Sel_Bron="Vastgesteld",INDEX($E18:$I18,MATCH(Sel_Versie,$E$8:$I$8,0)),IF(Sel_Bron="Concept",J18,"n.b.")))</f>
        <v>16632</v>
      </c>
      <c r="L18" s="62">
        <f>IF($A18="","",IF(Sel_Doeljaar&gt;P_VJ,"n.v.t.",IF(Sel_Bron="Vastgesteld",IF(ISNUMBER(IF(COUNTIFS(L_Actief,1,L_WBS,$A18,L_Doeljaar,Sel_Doeljaar,L_Versiejaar,P_VJ,L_Versie,Sel_Versie,L_Kengetal,"Omzet actual YTD")=0,"n.b.",SUMIFS(L_Waarde,L_Actief,1,L_WBS,$A18,L_Doeljaar,Sel_Doeljaar,L_Versiejaar,P_VJ,L_Versie,Sel_Versie,L_Kengetal,"Omzet actual YTD"))),IF(COUNTIFS(L_Actief,1,L_WBS,$A18,L_Doeljaar,Sel_Doeljaar,L_Versiejaar,P_VJ,L_Versie,Sel_Versie,L_Kengetal,"Omzet actual YTD")=0,"n.b.",SUMIFS(L_Waarde,L_Actief,1,L_WBS,$A18,L_Doeljaar,Sel_Doeljaar,L_Versiejaar,P_VJ,L_Versie,Sel_Versie,L_Kengetal,"Omzet actual YTD"))/P_Factor,IF(COUNTIFS(L_Actief,1,L_WBS,$A18,L_Doeljaar,Sel_Doeljaar,L_Versiejaar,P_VJ,L_Versie,Sel_Versie,L_Kengetal,"Omzet actual YTD")=0,"n.b.",SUMIFS(L_Waarde,L_Actief,1,L_WBS,$A18,L_Doeljaar,Sel_Doeljaar,L_Versiejaar,P_VJ,L_Versie,Sel_Versie,L_Kengetal,"Omzet actual YTD"))),IF(Sel_Bron="Concept",IF(ISNUMBER(IF(Sel_Doeljaar=P_RJ,VERW_Project!$L14,"n.v.t.")),IF(Sel_Doeljaar=P_RJ,VERW_Project!$L14,"n.v.t.")/P_Factor,IF(Sel_Doeljaar=P_RJ,VERW_Project!$L14,"n.v.t.")),"n.b."))))</f>
        <v>10810.8</v>
      </c>
      <c r="M18" s="41">
        <f>IF($A18="","",IF(L18="n.v.t.",K18,IF(AND(ISNUMBER(K18),ISNUMBER(L18)),K18-L18,"n.b.")))</f>
        <v>5821.2</v>
      </c>
      <c r="N18" s="41">
        <f>IF($A18="","",IF(Sel_Bron="Vastgesteld",IF(ISNUMBER(IF(COUNTIFS(L_Actief,1,L_WBS,$A18,L_Doeljaar,Sel_Doeljaar,L_Versiejaar,P_VJ,L_Versie,Sel_Versie,L_Kengetal,"BOR FY")=0,"n.b.",SUMIFS(L_Waarde,L_Actief,1,L_WBS,$A18,L_Doeljaar,Sel_Doeljaar,L_Versiejaar,P_VJ,L_Versie,Sel_Versie,L_Kengetal,"BOR FY"))),IF(COUNTIFS(L_Actief,1,L_WBS,$A18,L_Doeljaar,Sel_Doeljaar,L_Versiejaar,P_VJ,L_Versie,Sel_Versie,L_Kengetal,"BOR FY")=0,"n.b.",SUMIFS(L_Waarde,L_Actief,1,L_WBS,$A18,L_Doeljaar,Sel_Doeljaar,L_Versiejaar,P_VJ,L_Versie,Sel_Versie,L_Kengetal,"BOR FY"))/P_Factor,IF(COUNTIFS(L_Actief,1,L_WBS,$A18,L_Doeljaar,Sel_Doeljaar,L_Versiejaar,P_VJ,L_Versie,Sel_Versie,L_Kengetal,"BOR FY")=0,"n.b.",SUMIFS(L_Waarde,L_Actief,1,L_WBS,$A18,L_Doeljaar,Sel_Doeljaar,L_Versiejaar,P_VJ,L_Versie,Sel_Versie,L_Kengetal,"BOR FY"))),IF(Sel_Bron="Concept",IF(ISNUMBER(IF(Sel_Doeljaar=P_RJ,VERW_Project!$Q14,IF(Sel_Doeljaar=P_RJ+1,VERW_Project!$S14,"n.b."))),IF(Sel_Doeljaar=P_RJ,VERW_Project!$Q14,IF(Sel_Doeljaar=P_RJ+1,VERW_Project!$S14,"n.b."))/P_Factor,IF(Sel_Doeljaar=P_RJ,VERW_Project!$Q14,IF(Sel_Doeljaar=P_RJ+1,VERW_Project!$S14,"n.b."))),"n.b.")))</f>
        <v>1330.56</v>
      </c>
      <c r="O18" s="63">
        <f>IF($A18="","",IF(AND(ISNUMBER(N18),ISNUMBER(K18)),IF(K18&lt;&gt;0,N18/K18,"n.b."),"n.b."))</f>
        <v>0.08</v>
      </c>
      <c r="P18" s="41">
        <f>IF($A18="","",IF(AND(ISNUMBER(K18),ISNUMBER(E18)),K18-E18,"n.b."))</f>
        <v>-1663.2</v>
      </c>
      <c r="Q18" s="41">
        <f>IF($A18="","",IF(AND(ISNUMBER(K18),ISNUMBER(W18)),K18-W18,"n.b."))</f>
        <v>498.959999999999</v>
      </c>
      <c r="R18" s="64" t="str">
        <f>IF($A18="","",IF(ISNUMBER(N18),IF(N18&lt;0,"Verlies",""),""))</f>
        <v/>
      </c>
      <c r="S18" s="61" t="str">
        <f>IF($A18="","",IFERROR(INDEX(T_Txt,MATCH($A18&amp;"|"&amp;Sel_Doeljaar&amp;"|"&amp;P_VJ&amp;"|"&amp;Sel_Versie,T_Key,0)),""))</f>
        <v/>
      </c>
      <c r="U18" s="15">
        <f>IF(AND(AND($A18&lt;&gt;"",OR(Sel_Type="Alle",$C18=Sel_Type),OR(Sel_Project="Alle",$B18=Sel_Project)),ISNUMBER(K18)),K18+ROW()/1000000000,"")</f>
        <v>16632.000000018</v>
      </c>
      <c r="V18" s="15">
        <f>IF(AND(AND($A18&lt;&gt;"",OR(Sel_Type="Alle",$C18=Sel_Type),OR(Sel_Project="Alle",$B18=Sel_Project)),ISNUMBER(Q18)),ABS(Q18)+ROW()/1000000000,"")</f>
        <v>498.960000017999</v>
      </c>
      <c r="W18" s="15">
        <f>IF(OR($A18="",Sel_Prev=""),"n.b.",IF(ISNUMBER(IF(COUNTIFS(L_Actief,1,L_WBS,$A18,L_Doeljaar,Sel_Doeljaar,L_Versiejaar,P_VJ,L_Versie,Sel_Prev,L_Kengetal,"Omzet FY")=0,"n.b.",SUMIFS(L_Waarde,L_Actief,1,L_WBS,$A18,L_Doeljaar,Sel_Doeljaar,L_Versiejaar,P_VJ,L_Versie,Sel_Prev,L_Kengetal,"Omzet FY"))),IF(COUNTIFS(L_Actief,1,L_WBS,$A18,L_Doeljaar,Sel_Doeljaar,L_Versiejaar,P_VJ,L_Versie,Sel_Prev,L_Kengetal,"Omzet FY")=0,"n.b.",SUMIFS(L_Waarde,L_Actief,1,L_WBS,$A18,L_Doeljaar,Sel_Doeljaar,L_Versiejaar,P_VJ,L_Versie,Sel_Prev,L_Kengetal,"Omzet FY"))/P_Factor,IF(COUNTIFS(L_Actief,1,L_WBS,$A18,L_Doeljaar,Sel_Doeljaar,L_Versiejaar,P_VJ,L_Versie,Sel_Prev,L_Kengetal,"Omzet FY")=0,"n.b.",SUMIFS(L_Waarde,L_Actief,1,L_WBS,$A18,L_Doeljaar,Sel_Doeljaar,L_Versiejaar,P_VJ,L_Versie,Sel_Prev,L_Kengetal,"Omzet FY"))))</f>
        <v>16133.04</v>
      </c>
    </row>
    <row r="19">
      <c r="A19" s="61" t="str">
        <f>IF(VERW_Project!$A15="","",VERW_Project!$A15)</f>
        <v>G.900010.8.9090</v>
      </c>
      <c r="B19" s="61" t="str">
        <f>IF($A19="","",VERW_Project!$C15)</f>
        <v>Veldendam, Groene Singel</v>
      </c>
      <c r="C19" s="61" t="str">
        <f>IF($A19="","",VERW_Project!$D15)</f>
        <v>Opstal</v>
      </c>
      <c r="D19" s="61" t="str">
        <f>IF($A19="","",VERW_Project!$I15)</f>
        <v>J</v>
      </c>
      <c r="E19" s="41">
        <f>IF($A19="","",IF(ISNUMBER(IF(COUNTIFS(L_Actief,1,L_WBS,$A19,L_Doeljaar,Sel_Doeljaar,L_Versiejaar,P_VJ,L_Versie,E$8,L_Kengetal,"Omzet FY")=0,"n.b.",SUMIFS(L_Waarde,L_Actief,1,L_WBS,$A19,L_Doeljaar,Sel_Doeljaar,L_Versiejaar,P_VJ,L_Versie,E$8,L_Kengetal,"Omzet FY"))),IF(COUNTIFS(L_Actief,1,L_WBS,$A19,L_Doeljaar,Sel_Doeljaar,L_Versiejaar,P_VJ,L_Versie,E$8,L_Kengetal,"Omzet FY")=0,"n.b.",SUMIFS(L_Waarde,L_Actief,1,L_WBS,$A19,L_Doeljaar,Sel_Doeljaar,L_Versiejaar,P_VJ,L_Versie,E$8,L_Kengetal,"Omzet FY"))/P_Factor,IF(COUNTIFS(L_Actief,1,L_WBS,$A19,L_Doeljaar,Sel_Doeljaar,L_Versiejaar,P_VJ,L_Versie,E$8,L_Kengetal,"Omzet FY")=0,"n.b.",SUMIFS(L_Waarde,L_Actief,1,L_WBS,$A19,L_Doeljaar,Sel_Doeljaar,L_Versiejaar,P_VJ,L_Versie,E$8,L_Kengetal,"Omzet FY"))))</f>
        <v>2818.8</v>
      </c>
      <c r="F19" s="41">
        <f>IF($A19="","",IF(ISNUMBER(IF(COUNTIFS(L_Actief,1,L_WBS,$A19,L_Doeljaar,Sel_Doeljaar,L_Versiejaar,P_VJ,L_Versie,F$8,L_Kengetal,"Omzet FY")=0,"n.b.",SUMIFS(L_Waarde,L_Actief,1,L_WBS,$A19,L_Doeljaar,Sel_Doeljaar,L_Versiejaar,P_VJ,L_Versie,F$8,L_Kengetal,"Omzet FY"))),IF(COUNTIFS(L_Actief,1,L_WBS,$A19,L_Doeljaar,Sel_Doeljaar,L_Versiejaar,P_VJ,L_Versie,F$8,L_Kengetal,"Omzet FY")=0,"n.b.",SUMIFS(L_Waarde,L_Actief,1,L_WBS,$A19,L_Doeljaar,Sel_Doeljaar,L_Versiejaar,P_VJ,L_Versie,F$8,L_Kengetal,"Omzet FY"))/P_Factor,IF(COUNTIFS(L_Actief,1,L_WBS,$A19,L_Doeljaar,Sel_Doeljaar,L_Versiejaar,P_VJ,L_Versie,F$8,L_Kengetal,"Omzet FY")=0,"n.b.",SUMIFS(L_Waarde,L_Actief,1,L_WBS,$A19,L_Doeljaar,Sel_Doeljaar,L_Versiejaar,P_VJ,L_Versie,F$8,L_Kengetal,"Omzet FY"))))</f>
        <v>2944.08</v>
      </c>
      <c r="G19" s="41">
        <f>IF($A19="","",IF(ISNUMBER(IF(COUNTIFS(L_Actief,1,L_WBS,$A19,L_Doeljaar,Sel_Doeljaar,L_Versiejaar,P_VJ,L_Versie,G$8,L_Kengetal,"Omzet FY")=0,"n.b.",SUMIFS(L_Waarde,L_Actief,1,L_WBS,$A19,L_Doeljaar,Sel_Doeljaar,L_Versiejaar,P_VJ,L_Versie,G$8,L_Kengetal,"Omzet FY"))),IF(COUNTIFS(L_Actief,1,L_WBS,$A19,L_Doeljaar,Sel_Doeljaar,L_Versiejaar,P_VJ,L_Versie,G$8,L_Kengetal,"Omzet FY")=0,"n.b.",SUMIFS(L_Waarde,L_Actief,1,L_WBS,$A19,L_Doeljaar,Sel_Doeljaar,L_Versiejaar,P_VJ,L_Versie,G$8,L_Kengetal,"Omzet FY"))/P_Factor,IF(COUNTIFS(L_Actief,1,L_WBS,$A19,L_Doeljaar,Sel_Doeljaar,L_Versiejaar,P_VJ,L_Versie,G$8,L_Kengetal,"Omzet FY")=0,"n.b.",SUMIFS(L_Waarde,L_Actief,1,L_WBS,$A19,L_Doeljaar,Sel_Doeljaar,L_Versiejaar,P_VJ,L_Versie,G$8,L_Kengetal,"Omzet FY"))))</f>
        <v>3225.96</v>
      </c>
      <c r="H19" s="41">
        <f>IF($A19="","",IF(ISNUMBER(IF(COUNTIFS(L_Actief,1,L_WBS,$A19,L_Doeljaar,Sel_Doeljaar,L_Versiejaar,P_VJ,L_Versie,H$8,L_Kengetal,"Omzet FY")=0,"n.b.",SUMIFS(L_Waarde,L_Actief,1,L_WBS,$A19,L_Doeljaar,Sel_Doeljaar,L_Versiejaar,P_VJ,L_Versie,H$8,L_Kengetal,"Omzet FY"))),IF(COUNTIFS(L_Actief,1,L_WBS,$A19,L_Doeljaar,Sel_Doeljaar,L_Versiejaar,P_VJ,L_Versie,H$8,L_Kengetal,"Omzet FY")=0,"n.b.",SUMIFS(L_Waarde,L_Actief,1,L_WBS,$A19,L_Doeljaar,Sel_Doeljaar,L_Versiejaar,P_VJ,L_Versie,H$8,L_Kengetal,"Omzet FY"))/P_Factor,IF(COUNTIFS(L_Actief,1,L_WBS,$A19,L_Doeljaar,Sel_Doeljaar,L_Versiejaar,P_VJ,L_Versie,H$8,L_Kengetal,"Omzet FY")=0,"n.b.",SUMIFS(L_Waarde,L_Actief,1,L_WBS,$A19,L_Doeljaar,Sel_Doeljaar,L_Versiejaar,P_VJ,L_Versie,H$8,L_Kengetal,"Omzet FY"))))</f>
        <v>3132</v>
      </c>
      <c r="I19" s="41" t="str">
        <f>IF($A19="","",IF(ISNUMBER(IF(COUNTIFS(L_Actief,1,L_WBS,$A19,L_Doeljaar,Sel_Doeljaar,L_Versiejaar,P_VJ,L_Versie,I$8,L_Kengetal,"Omzet FY")=0,"n.b.",SUMIFS(L_Waarde,L_Actief,1,L_WBS,$A19,L_Doeljaar,Sel_Doeljaar,L_Versiejaar,P_VJ,L_Versie,I$8,L_Kengetal,"Omzet FY"))),IF(COUNTIFS(L_Actief,1,L_WBS,$A19,L_Doeljaar,Sel_Doeljaar,L_Versiejaar,P_VJ,L_Versie,I$8,L_Kengetal,"Omzet FY")=0,"n.b.",SUMIFS(L_Waarde,L_Actief,1,L_WBS,$A19,L_Doeljaar,Sel_Doeljaar,L_Versiejaar,P_VJ,L_Versie,I$8,L_Kengetal,"Omzet FY"))/P_Factor,IF(COUNTIFS(L_Actief,1,L_WBS,$A19,L_Doeljaar,Sel_Doeljaar,L_Versiejaar,P_VJ,L_Versie,I$8,L_Kengetal,"Omzet FY")=0,"n.b.",SUMIFS(L_Waarde,L_Actief,1,L_WBS,$A19,L_Doeljaar,Sel_Doeljaar,L_Versiejaar,P_VJ,L_Versie,I$8,L_Kengetal,"Omzet FY"))))</f>
        <v>n.b.</v>
      </c>
      <c r="J19" s="41">
        <f>IF($A19="","",IF(ISNUMBER(IF(Sel_Doeljaar=P_RJ,VERW_Project!$P15,IF(Sel_Doeljaar=P_RJ+1,VERW_Project!$R15,"n.b."))),IF(Sel_Doeljaar=P_RJ,VERW_Project!$P15,IF(Sel_Doeljaar=P_RJ+1,VERW_Project!$R15,"n.b."))/P_Factor,IF(Sel_Doeljaar=P_RJ,VERW_Project!$P15,IF(Sel_Doeljaar=P_RJ+1,VERW_Project!$R15,"n.b."))))</f>
        <v>3132</v>
      </c>
      <c r="K19" s="41">
        <f>IF($A19="","",IF(Sel_Bron="Vastgesteld",INDEX($E19:$I19,MATCH(Sel_Versie,$E$8:$I$8,0)),IF(Sel_Bron="Concept",J19,"n.b.")))</f>
        <v>3132</v>
      </c>
      <c r="L19" s="62">
        <f>IF($A19="","",IF(Sel_Doeljaar&gt;P_VJ,"n.v.t.",IF(Sel_Bron="Vastgesteld",IF(ISNUMBER(IF(COUNTIFS(L_Actief,1,L_WBS,$A19,L_Doeljaar,Sel_Doeljaar,L_Versiejaar,P_VJ,L_Versie,Sel_Versie,L_Kengetal,"Omzet actual YTD")=0,"n.b.",SUMIFS(L_Waarde,L_Actief,1,L_WBS,$A19,L_Doeljaar,Sel_Doeljaar,L_Versiejaar,P_VJ,L_Versie,Sel_Versie,L_Kengetal,"Omzet actual YTD"))),IF(COUNTIFS(L_Actief,1,L_WBS,$A19,L_Doeljaar,Sel_Doeljaar,L_Versiejaar,P_VJ,L_Versie,Sel_Versie,L_Kengetal,"Omzet actual YTD")=0,"n.b.",SUMIFS(L_Waarde,L_Actief,1,L_WBS,$A19,L_Doeljaar,Sel_Doeljaar,L_Versiejaar,P_VJ,L_Versie,Sel_Versie,L_Kengetal,"Omzet actual YTD"))/P_Factor,IF(COUNTIFS(L_Actief,1,L_WBS,$A19,L_Doeljaar,Sel_Doeljaar,L_Versiejaar,P_VJ,L_Versie,Sel_Versie,L_Kengetal,"Omzet actual YTD")=0,"n.b.",SUMIFS(L_Waarde,L_Actief,1,L_WBS,$A19,L_Doeljaar,Sel_Doeljaar,L_Versiejaar,P_VJ,L_Versie,Sel_Versie,L_Kengetal,"Omzet actual YTD"))),IF(Sel_Bron="Concept",IF(ISNUMBER(IF(Sel_Doeljaar=P_RJ,VERW_Project!$L15,"n.v.t.")),IF(Sel_Doeljaar=P_RJ,VERW_Project!$L15,"n.v.t.")/P_Factor,IF(Sel_Doeljaar=P_RJ,VERW_Project!$L15,"n.v.t.")),"n.b."))))</f>
        <v>2035.8</v>
      </c>
      <c r="M19" s="41">
        <f>IF($A19="","",IF(L19="n.v.t.",K19,IF(AND(ISNUMBER(K19),ISNUMBER(L19)),K19-L19,"n.b.")))</f>
        <v>1096.2</v>
      </c>
      <c r="N19" s="41">
        <f>IF($A19="","",IF(Sel_Bron="Vastgesteld",IF(ISNUMBER(IF(COUNTIFS(L_Actief,1,L_WBS,$A19,L_Doeljaar,Sel_Doeljaar,L_Versiejaar,P_VJ,L_Versie,Sel_Versie,L_Kengetal,"BOR FY")=0,"n.b.",SUMIFS(L_Waarde,L_Actief,1,L_WBS,$A19,L_Doeljaar,Sel_Doeljaar,L_Versiejaar,P_VJ,L_Versie,Sel_Versie,L_Kengetal,"BOR FY"))),IF(COUNTIFS(L_Actief,1,L_WBS,$A19,L_Doeljaar,Sel_Doeljaar,L_Versiejaar,P_VJ,L_Versie,Sel_Versie,L_Kengetal,"BOR FY")=0,"n.b.",SUMIFS(L_Waarde,L_Actief,1,L_WBS,$A19,L_Doeljaar,Sel_Doeljaar,L_Versiejaar,P_VJ,L_Versie,Sel_Versie,L_Kengetal,"BOR FY"))/P_Factor,IF(COUNTIFS(L_Actief,1,L_WBS,$A19,L_Doeljaar,Sel_Doeljaar,L_Versiejaar,P_VJ,L_Versie,Sel_Versie,L_Kengetal,"BOR FY")=0,"n.b.",SUMIFS(L_Waarde,L_Actief,1,L_WBS,$A19,L_Doeljaar,Sel_Doeljaar,L_Versiejaar,P_VJ,L_Versie,Sel_Versie,L_Kengetal,"BOR FY"))),IF(Sel_Bron="Concept",IF(ISNUMBER(IF(Sel_Doeljaar=P_RJ,VERW_Project!$Q15,IF(Sel_Doeljaar=P_RJ+1,VERW_Project!$S15,"n.b."))),IF(Sel_Doeljaar=P_RJ,VERW_Project!$Q15,IF(Sel_Doeljaar=P_RJ+1,VERW_Project!$S15,"n.b."))/P_Factor,IF(Sel_Doeljaar=P_RJ,VERW_Project!$Q15,IF(Sel_Doeljaar=P_RJ+1,VERW_Project!$S15,"n.b."))),"n.b.")))</f>
        <v>407.16</v>
      </c>
      <c r="O19" s="63">
        <f>IF($A19="","",IF(AND(ISNUMBER(N19),ISNUMBER(K19)),IF(K19&lt;&gt;0,N19/K19,"n.b."),"n.b."))</f>
        <v>0.13</v>
      </c>
      <c r="P19" s="41">
        <f>IF($A19="","",IF(AND(ISNUMBER(K19),ISNUMBER(E19)),K19-E19,"n.b."))</f>
        <v>313.2</v>
      </c>
      <c r="Q19" s="41">
        <f>IF($A19="","",IF(AND(ISNUMBER(K19),ISNUMBER(W19)),K19-W19,"n.b."))</f>
        <v>-93.96</v>
      </c>
      <c r="R19" s="64" t="str">
        <f>IF($A19="","",IF(ISNUMBER(N19),IF(N19&lt;0,"Verlies",""),""))</f>
        <v/>
      </c>
      <c r="S19" s="61" t="str">
        <f>IF($A19="","",IFERROR(INDEX(T_Txt,MATCH($A19&amp;"|"&amp;Sel_Doeljaar&amp;"|"&amp;P_VJ&amp;"|"&amp;Sel_Versie,T_Key,0)),""))</f>
        <v/>
      </c>
      <c r="U19" s="15">
        <f>IF(AND(AND($A19&lt;&gt;"",OR(Sel_Type="Alle",$C19=Sel_Type),OR(Sel_Project="Alle",$B19=Sel_Project)),ISNUMBER(K19)),K19+ROW()/1000000000,"")</f>
        <v>3132.000000019</v>
      </c>
      <c r="V19" s="15">
        <f>IF(AND(AND($A19&lt;&gt;"",OR(Sel_Type="Alle",$C19=Sel_Type),OR(Sel_Project="Alle",$B19=Sel_Project)),ISNUMBER(Q19)),ABS(Q19)+ROW()/1000000000,"")</f>
        <v>93.960000019</v>
      </c>
      <c r="W19" s="15">
        <f>IF(OR($A19="",Sel_Prev=""),"n.b.",IF(ISNUMBER(IF(COUNTIFS(L_Actief,1,L_WBS,$A19,L_Doeljaar,Sel_Doeljaar,L_Versiejaar,P_VJ,L_Versie,Sel_Prev,L_Kengetal,"Omzet FY")=0,"n.b.",SUMIFS(L_Waarde,L_Actief,1,L_WBS,$A19,L_Doeljaar,Sel_Doeljaar,L_Versiejaar,P_VJ,L_Versie,Sel_Prev,L_Kengetal,"Omzet FY"))),IF(COUNTIFS(L_Actief,1,L_WBS,$A19,L_Doeljaar,Sel_Doeljaar,L_Versiejaar,P_VJ,L_Versie,Sel_Prev,L_Kengetal,"Omzet FY")=0,"n.b.",SUMIFS(L_Waarde,L_Actief,1,L_WBS,$A19,L_Doeljaar,Sel_Doeljaar,L_Versiejaar,P_VJ,L_Versie,Sel_Prev,L_Kengetal,"Omzet FY"))/P_Factor,IF(COUNTIFS(L_Actief,1,L_WBS,$A19,L_Doeljaar,Sel_Doeljaar,L_Versiejaar,P_VJ,L_Versie,Sel_Prev,L_Kengetal,"Omzet FY")=0,"n.b.",SUMIFS(L_Waarde,L_Actief,1,L_WBS,$A19,L_Doeljaar,Sel_Doeljaar,L_Versiejaar,P_VJ,L_Versie,Sel_Prev,L_Kengetal,"Omzet FY"))))</f>
        <v>3225.96</v>
      </c>
    </row>
    <row r="20">
      <c r="A20" s="61" t="str">
        <f>IF(VERW_Project!$A16="","",VERW_Project!$A16)</f>
        <v>G.900011.8.9090</v>
      </c>
      <c r="B20" s="61" t="str">
        <f>IF($A20="","",VERW_Project!$C16)</f>
        <v>Meerhovenstad, Hofstaete</v>
      </c>
      <c r="C20" s="61" t="str">
        <f>IF($A20="","",VERW_Project!$D16)</f>
        <v>Opstal</v>
      </c>
      <c r="D20" s="61" t="str">
        <f>IF($A20="","",VERW_Project!$I16)</f>
        <v>J</v>
      </c>
      <c r="E20" s="41">
        <f>IF($A20="","",IF(ISNUMBER(IF(COUNTIFS(L_Actief,1,L_WBS,$A20,L_Doeljaar,Sel_Doeljaar,L_Versiejaar,P_VJ,L_Versie,E$8,L_Kengetal,"Omzet FY")=0,"n.b.",SUMIFS(L_Waarde,L_Actief,1,L_WBS,$A20,L_Doeljaar,Sel_Doeljaar,L_Versiejaar,P_VJ,L_Versie,E$8,L_Kengetal,"Omzet FY"))),IF(COUNTIFS(L_Actief,1,L_WBS,$A20,L_Doeljaar,Sel_Doeljaar,L_Versiejaar,P_VJ,L_Versie,E$8,L_Kengetal,"Omzet FY")=0,"n.b.",SUMIFS(L_Waarde,L_Actief,1,L_WBS,$A20,L_Doeljaar,Sel_Doeljaar,L_Versiejaar,P_VJ,L_Versie,E$8,L_Kengetal,"Omzet FY"))/P_Factor,IF(COUNTIFS(L_Actief,1,L_WBS,$A20,L_Doeljaar,Sel_Doeljaar,L_Versiejaar,P_VJ,L_Versie,E$8,L_Kengetal,"Omzet FY")=0,"n.b.",SUMIFS(L_Waarde,L_Actief,1,L_WBS,$A20,L_Doeljaar,Sel_Doeljaar,L_Versiejaar,P_VJ,L_Versie,E$8,L_Kengetal,"Omzet FY"))))</f>
        <v>16051.2</v>
      </c>
      <c r="F20" s="41">
        <f>IF($A20="","",IF(ISNUMBER(IF(COUNTIFS(L_Actief,1,L_WBS,$A20,L_Doeljaar,Sel_Doeljaar,L_Versiejaar,P_VJ,L_Versie,F$8,L_Kengetal,"Omzet FY")=0,"n.b.",SUMIFS(L_Waarde,L_Actief,1,L_WBS,$A20,L_Doeljaar,Sel_Doeljaar,L_Versiejaar,P_VJ,L_Versie,F$8,L_Kengetal,"Omzet FY"))),IF(COUNTIFS(L_Actief,1,L_WBS,$A20,L_Doeljaar,Sel_Doeljaar,L_Versiejaar,P_VJ,L_Versie,F$8,L_Kengetal,"Omzet FY")=0,"n.b.",SUMIFS(L_Waarde,L_Actief,1,L_WBS,$A20,L_Doeljaar,Sel_Doeljaar,L_Versiejaar,P_VJ,L_Versie,F$8,L_Kengetal,"Omzet FY"))/P_Factor,IF(COUNTIFS(L_Actief,1,L_WBS,$A20,L_Doeljaar,Sel_Doeljaar,L_Versiejaar,P_VJ,L_Versie,F$8,L_Kengetal,"Omzet FY")=0,"n.b.",SUMIFS(L_Waarde,L_Actief,1,L_WBS,$A20,L_Doeljaar,Sel_Doeljaar,L_Versiejaar,P_VJ,L_Versie,F$8,L_Kengetal,"Omzet FY"))))</f>
        <v>15467.52</v>
      </c>
      <c r="G20" s="41">
        <f>IF($A20="","",IF(ISNUMBER(IF(COUNTIFS(L_Actief,1,L_WBS,$A20,L_Doeljaar,Sel_Doeljaar,L_Versiejaar,P_VJ,L_Versie,G$8,L_Kengetal,"Omzet FY")=0,"n.b.",SUMIFS(L_Waarde,L_Actief,1,L_WBS,$A20,L_Doeljaar,Sel_Doeljaar,L_Versiejaar,P_VJ,L_Versie,G$8,L_Kengetal,"Omzet FY"))),IF(COUNTIFS(L_Actief,1,L_WBS,$A20,L_Doeljaar,Sel_Doeljaar,L_Versiejaar,P_VJ,L_Versie,G$8,L_Kengetal,"Omzet FY")=0,"n.b.",SUMIFS(L_Waarde,L_Actief,1,L_WBS,$A20,L_Doeljaar,Sel_Doeljaar,L_Versiejaar,P_VJ,L_Versie,G$8,L_Kengetal,"Omzet FY"))/P_Factor,IF(COUNTIFS(L_Actief,1,L_WBS,$A20,L_Doeljaar,Sel_Doeljaar,L_Versiejaar,P_VJ,L_Versie,G$8,L_Kengetal,"Omzet FY")=0,"n.b.",SUMIFS(L_Waarde,L_Actief,1,L_WBS,$A20,L_Doeljaar,Sel_Doeljaar,L_Versiejaar,P_VJ,L_Versie,G$8,L_Kengetal,"Omzet FY"))))</f>
        <v>14154.24</v>
      </c>
      <c r="H20" s="41">
        <f>IF($A20="","",IF(ISNUMBER(IF(COUNTIFS(L_Actief,1,L_WBS,$A20,L_Doeljaar,Sel_Doeljaar,L_Versiejaar,P_VJ,L_Versie,H$8,L_Kengetal,"Omzet FY")=0,"n.b.",SUMIFS(L_Waarde,L_Actief,1,L_WBS,$A20,L_Doeljaar,Sel_Doeljaar,L_Versiejaar,P_VJ,L_Versie,H$8,L_Kengetal,"Omzet FY"))),IF(COUNTIFS(L_Actief,1,L_WBS,$A20,L_Doeljaar,Sel_Doeljaar,L_Versiejaar,P_VJ,L_Versie,H$8,L_Kengetal,"Omzet FY")=0,"n.b.",SUMIFS(L_Waarde,L_Actief,1,L_WBS,$A20,L_Doeljaar,Sel_Doeljaar,L_Versiejaar,P_VJ,L_Versie,H$8,L_Kengetal,"Omzet FY"))/P_Factor,IF(COUNTIFS(L_Actief,1,L_WBS,$A20,L_Doeljaar,Sel_Doeljaar,L_Versiejaar,P_VJ,L_Versie,H$8,L_Kengetal,"Omzet FY")=0,"n.b.",SUMIFS(L_Waarde,L_Actief,1,L_WBS,$A20,L_Doeljaar,Sel_Doeljaar,L_Versiejaar,P_VJ,L_Versie,H$8,L_Kengetal,"Omzet FY"))))</f>
        <v>14592</v>
      </c>
      <c r="I20" s="41" t="str">
        <f>IF($A20="","",IF(ISNUMBER(IF(COUNTIFS(L_Actief,1,L_WBS,$A20,L_Doeljaar,Sel_Doeljaar,L_Versiejaar,P_VJ,L_Versie,I$8,L_Kengetal,"Omzet FY")=0,"n.b.",SUMIFS(L_Waarde,L_Actief,1,L_WBS,$A20,L_Doeljaar,Sel_Doeljaar,L_Versiejaar,P_VJ,L_Versie,I$8,L_Kengetal,"Omzet FY"))),IF(COUNTIFS(L_Actief,1,L_WBS,$A20,L_Doeljaar,Sel_Doeljaar,L_Versiejaar,P_VJ,L_Versie,I$8,L_Kengetal,"Omzet FY")=0,"n.b.",SUMIFS(L_Waarde,L_Actief,1,L_WBS,$A20,L_Doeljaar,Sel_Doeljaar,L_Versiejaar,P_VJ,L_Versie,I$8,L_Kengetal,"Omzet FY"))/P_Factor,IF(COUNTIFS(L_Actief,1,L_WBS,$A20,L_Doeljaar,Sel_Doeljaar,L_Versiejaar,P_VJ,L_Versie,I$8,L_Kengetal,"Omzet FY")=0,"n.b.",SUMIFS(L_Waarde,L_Actief,1,L_WBS,$A20,L_Doeljaar,Sel_Doeljaar,L_Versiejaar,P_VJ,L_Versie,I$8,L_Kengetal,"Omzet FY"))))</f>
        <v>n.b.</v>
      </c>
      <c r="J20" s="41">
        <f>IF($A20="","",IF(ISNUMBER(IF(Sel_Doeljaar=P_RJ,VERW_Project!$P16,IF(Sel_Doeljaar=P_RJ+1,VERW_Project!$R16,"n.b."))),IF(Sel_Doeljaar=P_RJ,VERW_Project!$P16,IF(Sel_Doeljaar=P_RJ+1,VERW_Project!$R16,"n.b."))/P_Factor,IF(Sel_Doeljaar=P_RJ,VERW_Project!$P16,IF(Sel_Doeljaar=P_RJ+1,VERW_Project!$R16,"n.b."))))</f>
        <v>14592</v>
      </c>
      <c r="K20" s="41">
        <f>IF($A20="","",IF(Sel_Bron="Vastgesteld",INDEX($E20:$I20,MATCH(Sel_Versie,$E$8:$I$8,0)),IF(Sel_Bron="Concept",J20,"n.b.")))</f>
        <v>14592</v>
      </c>
      <c r="L20" s="62">
        <f>IF($A20="","",IF(Sel_Doeljaar&gt;P_VJ,"n.v.t.",IF(Sel_Bron="Vastgesteld",IF(ISNUMBER(IF(COUNTIFS(L_Actief,1,L_WBS,$A20,L_Doeljaar,Sel_Doeljaar,L_Versiejaar,P_VJ,L_Versie,Sel_Versie,L_Kengetal,"Omzet actual YTD")=0,"n.b.",SUMIFS(L_Waarde,L_Actief,1,L_WBS,$A20,L_Doeljaar,Sel_Doeljaar,L_Versiejaar,P_VJ,L_Versie,Sel_Versie,L_Kengetal,"Omzet actual YTD"))),IF(COUNTIFS(L_Actief,1,L_WBS,$A20,L_Doeljaar,Sel_Doeljaar,L_Versiejaar,P_VJ,L_Versie,Sel_Versie,L_Kengetal,"Omzet actual YTD")=0,"n.b.",SUMIFS(L_Waarde,L_Actief,1,L_WBS,$A20,L_Doeljaar,Sel_Doeljaar,L_Versiejaar,P_VJ,L_Versie,Sel_Versie,L_Kengetal,"Omzet actual YTD"))/P_Factor,IF(COUNTIFS(L_Actief,1,L_WBS,$A20,L_Doeljaar,Sel_Doeljaar,L_Versiejaar,P_VJ,L_Versie,Sel_Versie,L_Kengetal,"Omzet actual YTD")=0,"n.b.",SUMIFS(L_Waarde,L_Actief,1,L_WBS,$A20,L_Doeljaar,Sel_Doeljaar,L_Versiejaar,P_VJ,L_Versie,Sel_Versie,L_Kengetal,"Omzet actual YTD"))),IF(Sel_Bron="Concept",IF(ISNUMBER(IF(Sel_Doeljaar=P_RJ,VERW_Project!$L16,"n.v.t.")),IF(Sel_Doeljaar=P_RJ,VERW_Project!$L16,"n.v.t.")/P_Factor,IF(Sel_Doeljaar=P_RJ,VERW_Project!$L16,"n.v.t.")),"n.b."))))</f>
        <v>9484.8</v>
      </c>
      <c r="M20" s="41">
        <f>IF($A20="","",IF(L20="n.v.t.",K20,IF(AND(ISNUMBER(K20),ISNUMBER(L20)),K20-L20,"n.b.")))</f>
        <v>5107.2</v>
      </c>
      <c r="N20" s="41">
        <f>IF($A20="","",IF(Sel_Bron="Vastgesteld",IF(ISNUMBER(IF(COUNTIFS(L_Actief,1,L_WBS,$A20,L_Doeljaar,Sel_Doeljaar,L_Versiejaar,P_VJ,L_Versie,Sel_Versie,L_Kengetal,"BOR FY")=0,"n.b.",SUMIFS(L_Waarde,L_Actief,1,L_WBS,$A20,L_Doeljaar,Sel_Doeljaar,L_Versiejaar,P_VJ,L_Versie,Sel_Versie,L_Kengetal,"BOR FY"))),IF(COUNTIFS(L_Actief,1,L_WBS,$A20,L_Doeljaar,Sel_Doeljaar,L_Versiejaar,P_VJ,L_Versie,Sel_Versie,L_Kengetal,"BOR FY")=0,"n.b.",SUMIFS(L_Waarde,L_Actief,1,L_WBS,$A20,L_Doeljaar,Sel_Doeljaar,L_Versiejaar,P_VJ,L_Versie,Sel_Versie,L_Kengetal,"BOR FY"))/P_Factor,IF(COUNTIFS(L_Actief,1,L_WBS,$A20,L_Doeljaar,Sel_Doeljaar,L_Versiejaar,P_VJ,L_Versie,Sel_Versie,L_Kengetal,"BOR FY")=0,"n.b.",SUMIFS(L_Waarde,L_Actief,1,L_WBS,$A20,L_Doeljaar,Sel_Doeljaar,L_Versiejaar,P_VJ,L_Versie,Sel_Versie,L_Kengetal,"BOR FY"))),IF(Sel_Bron="Concept",IF(ISNUMBER(IF(Sel_Doeljaar=P_RJ,VERW_Project!$Q16,IF(Sel_Doeljaar=P_RJ+1,VERW_Project!$S16,"n.b."))),IF(Sel_Doeljaar=P_RJ,VERW_Project!$Q16,IF(Sel_Doeljaar=P_RJ+1,VERW_Project!$S16,"n.b."))/P_Factor,IF(Sel_Doeljaar=P_RJ,VERW_Project!$Q16,IF(Sel_Doeljaar=P_RJ+1,VERW_Project!$S16,"n.b."))),"n.b.")))</f>
        <v>1313.28</v>
      </c>
      <c r="O20" s="63">
        <f>IF($A20="","",IF(AND(ISNUMBER(N20),ISNUMBER(K20)),IF(K20&lt;&gt;0,N20/K20,"n.b."),"n.b."))</f>
        <v>0.09</v>
      </c>
      <c r="P20" s="41">
        <f>IF($A20="","",IF(AND(ISNUMBER(K20),ISNUMBER(E20)),K20-E20,"n.b."))</f>
        <v>-1459.2</v>
      </c>
      <c r="Q20" s="41">
        <f>IF($A20="","",IF(AND(ISNUMBER(K20),ISNUMBER(W20)),K20-W20,"n.b."))</f>
        <v>437.76</v>
      </c>
      <c r="R20" s="64" t="str">
        <f>IF($A20="","",IF(ISNUMBER(N20),IF(N20&lt;0,"Verlies",""),""))</f>
        <v/>
      </c>
      <c r="S20" s="61" t="str">
        <f>IF($A20="","",IFERROR(INDEX(T_Txt,MATCH($A20&amp;"|"&amp;Sel_Doeljaar&amp;"|"&amp;P_VJ&amp;"|"&amp;Sel_Versie,T_Key,0)),""))</f>
        <v/>
      </c>
      <c r="U20" s="15">
        <f>IF(AND(AND($A20&lt;&gt;"",OR(Sel_Type="Alle",$C20=Sel_Type),OR(Sel_Project="Alle",$B20=Sel_Project)),ISNUMBER(K20)),K20+ROW()/1000000000,"")</f>
        <v>14592.00000002</v>
      </c>
      <c r="V20" s="15">
        <f>IF(AND(AND($A20&lt;&gt;"",OR(Sel_Type="Alle",$C20=Sel_Type),OR(Sel_Project="Alle",$B20=Sel_Project)),ISNUMBER(Q20)),ABS(Q20)+ROW()/1000000000,"")</f>
        <v>437.76000002</v>
      </c>
      <c r="W20" s="15">
        <f>IF(OR($A20="",Sel_Prev=""),"n.b.",IF(ISNUMBER(IF(COUNTIFS(L_Actief,1,L_WBS,$A20,L_Doeljaar,Sel_Doeljaar,L_Versiejaar,P_VJ,L_Versie,Sel_Prev,L_Kengetal,"Omzet FY")=0,"n.b.",SUMIFS(L_Waarde,L_Actief,1,L_WBS,$A20,L_Doeljaar,Sel_Doeljaar,L_Versiejaar,P_VJ,L_Versie,Sel_Prev,L_Kengetal,"Omzet FY"))),IF(COUNTIFS(L_Actief,1,L_WBS,$A20,L_Doeljaar,Sel_Doeljaar,L_Versiejaar,P_VJ,L_Versie,Sel_Prev,L_Kengetal,"Omzet FY")=0,"n.b.",SUMIFS(L_Waarde,L_Actief,1,L_WBS,$A20,L_Doeljaar,Sel_Doeljaar,L_Versiejaar,P_VJ,L_Versie,Sel_Prev,L_Kengetal,"Omzet FY"))/P_Factor,IF(COUNTIFS(L_Actief,1,L_WBS,$A20,L_Doeljaar,Sel_Doeljaar,L_Versiejaar,P_VJ,L_Versie,Sel_Prev,L_Kengetal,"Omzet FY")=0,"n.b.",SUMIFS(L_Waarde,L_Actief,1,L_WBS,$A20,L_Doeljaar,Sel_Doeljaar,L_Versiejaar,P_VJ,L_Versie,Sel_Prev,L_Kengetal,"Omzet FY"))))</f>
        <v>14154.24</v>
      </c>
    </row>
    <row r="21">
      <c r="A21" s="61" t="str">
        <f>IF(VERW_Project!$A17="","",VERW_Project!$A17)</f>
        <v>G.900012.8.9090</v>
      </c>
      <c r="B21" s="61" t="str">
        <f>IF($A21="","",VERW_Project!$C17)</f>
        <v>Zilverdam, De Werf</v>
      </c>
      <c r="C21" s="61" t="str">
        <f>IF($A21="","",VERW_Project!$D17)</f>
        <v>Deelneming</v>
      </c>
      <c r="D21" s="61" t="str">
        <f>IF($A21="","",VERW_Project!$I17)</f>
        <v>N</v>
      </c>
      <c r="E21" s="41">
        <f>IF($A21="","",IF(ISNUMBER(IF(COUNTIFS(L_Actief,1,L_WBS,$A21,L_Doeljaar,Sel_Doeljaar,L_Versiejaar,P_VJ,L_Versie,E$8,L_Kengetal,"Omzet FY")=0,"n.b.",SUMIFS(L_Waarde,L_Actief,1,L_WBS,$A21,L_Doeljaar,Sel_Doeljaar,L_Versiejaar,P_VJ,L_Versie,E$8,L_Kengetal,"Omzet FY"))),IF(COUNTIFS(L_Actief,1,L_WBS,$A21,L_Doeljaar,Sel_Doeljaar,L_Versiejaar,P_VJ,L_Versie,E$8,L_Kengetal,"Omzet FY")=0,"n.b.",SUMIFS(L_Waarde,L_Actief,1,L_WBS,$A21,L_Doeljaar,Sel_Doeljaar,L_Versiejaar,P_VJ,L_Versie,E$8,L_Kengetal,"Omzet FY"))/P_Factor,IF(COUNTIFS(L_Actief,1,L_WBS,$A21,L_Doeljaar,Sel_Doeljaar,L_Versiejaar,P_VJ,L_Versie,E$8,L_Kengetal,"Omzet FY")=0,"n.b.",SUMIFS(L_Waarde,L_Actief,1,L_WBS,$A21,L_Doeljaar,Sel_Doeljaar,L_Versiejaar,P_VJ,L_Versie,E$8,L_Kengetal,"Omzet FY"))))</f>
        <v>1291.5</v>
      </c>
      <c r="F21" s="41">
        <f>IF($A21="","",IF(ISNUMBER(IF(COUNTIFS(L_Actief,1,L_WBS,$A21,L_Doeljaar,Sel_Doeljaar,L_Versiejaar,P_VJ,L_Versie,F$8,L_Kengetal,"Omzet FY")=0,"n.b.",SUMIFS(L_Waarde,L_Actief,1,L_WBS,$A21,L_Doeljaar,Sel_Doeljaar,L_Versiejaar,P_VJ,L_Versie,F$8,L_Kengetal,"Omzet FY"))),IF(COUNTIFS(L_Actief,1,L_WBS,$A21,L_Doeljaar,Sel_Doeljaar,L_Versiejaar,P_VJ,L_Versie,F$8,L_Kengetal,"Omzet FY")=0,"n.b.",SUMIFS(L_Waarde,L_Actief,1,L_WBS,$A21,L_Doeljaar,Sel_Doeljaar,L_Versiejaar,P_VJ,L_Versie,F$8,L_Kengetal,"Omzet FY"))/P_Factor,IF(COUNTIFS(L_Actief,1,L_WBS,$A21,L_Doeljaar,Sel_Doeljaar,L_Versiejaar,P_VJ,L_Versie,F$8,L_Kengetal,"Omzet FY")=0,"n.b.",SUMIFS(L_Waarde,L_Actief,1,L_WBS,$A21,L_Doeljaar,Sel_Doeljaar,L_Versiejaar,P_VJ,L_Versie,F$8,L_Kengetal,"Omzet FY"))))</f>
        <v>1348.9</v>
      </c>
      <c r="G21" s="41">
        <f>IF($A21="","",IF(ISNUMBER(IF(COUNTIFS(L_Actief,1,L_WBS,$A21,L_Doeljaar,Sel_Doeljaar,L_Versiejaar,P_VJ,L_Versie,G$8,L_Kengetal,"Omzet FY")=0,"n.b.",SUMIFS(L_Waarde,L_Actief,1,L_WBS,$A21,L_Doeljaar,Sel_Doeljaar,L_Versiejaar,P_VJ,L_Versie,G$8,L_Kengetal,"Omzet FY"))),IF(COUNTIFS(L_Actief,1,L_WBS,$A21,L_Doeljaar,Sel_Doeljaar,L_Versiejaar,P_VJ,L_Versie,G$8,L_Kengetal,"Omzet FY")=0,"n.b.",SUMIFS(L_Waarde,L_Actief,1,L_WBS,$A21,L_Doeljaar,Sel_Doeljaar,L_Versiejaar,P_VJ,L_Versie,G$8,L_Kengetal,"Omzet FY"))/P_Factor,IF(COUNTIFS(L_Actief,1,L_WBS,$A21,L_Doeljaar,Sel_Doeljaar,L_Versiejaar,P_VJ,L_Versie,G$8,L_Kengetal,"Omzet FY")=0,"n.b.",SUMIFS(L_Waarde,L_Actief,1,L_WBS,$A21,L_Doeljaar,Sel_Doeljaar,L_Versiejaar,P_VJ,L_Versie,G$8,L_Kengetal,"Omzet FY"))))</f>
        <v>1478.05</v>
      </c>
      <c r="H21" s="41">
        <f>IF($A21="","",IF(ISNUMBER(IF(COUNTIFS(L_Actief,1,L_WBS,$A21,L_Doeljaar,Sel_Doeljaar,L_Versiejaar,P_VJ,L_Versie,H$8,L_Kengetal,"Omzet FY")=0,"n.b.",SUMIFS(L_Waarde,L_Actief,1,L_WBS,$A21,L_Doeljaar,Sel_Doeljaar,L_Versiejaar,P_VJ,L_Versie,H$8,L_Kengetal,"Omzet FY"))),IF(COUNTIFS(L_Actief,1,L_WBS,$A21,L_Doeljaar,Sel_Doeljaar,L_Versiejaar,P_VJ,L_Versie,H$8,L_Kengetal,"Omzet FY")=0,"n.b.",SUMIFS(L_Waarde,L_Actief,1,L_WBS,$A21,L_Doeljaar,Sel_Doeljaar,L_Versiejaar,P_VJ,L_Versie,H$8,L_Kengetal,"Omzet FY"))/P_Factor,IF(COUNTIFS(L_Actief,1,L_WBS,$A21,L_Doeljaar,Sel_Doeljaar,L_Versiejaar,P_VJ,L_Versie,H$8,L_Kengetal,"Omzet FY")=0,"n.b.",SUMIFS(L_Waarde,L_Actief,1,L_WBS,$A21,L_Doeljaar,Sel_Doeljaar,L_Versiejaar,P_VJ,L_Versie,H$8,L_Kengetal,"Omzet FY"))))</f>
        <v>1435</v>
      </c>
      <c r="I21" s="41" t="str">
        <f>IF($A21="","",IF(ISNUMBER(IF(COUNTIFS(L_Actief,1,L_WBS,$A21,L_Doeljaar,Sel_Doeljaar,L_Versiejaar,P_VJ,L_Versie,I$8,L_Kengetal,"Omzet FY")=0,"n.b.",SUMIFS(L_Waarde,L_Actief,1,L_WBS,$A21,L_Doeljaar,Sel_Doeljaar,L_Versiejaar,P_VJ,L_Versie,I$8,L_Kengetal,"Omzet FY"))),IF(COUNTIFS(L_Actief,1,L_WBS,$A21,L_Doeljaar,Sel_Doeljaar,L_Versiejaar,P_VJ,L_Versie,I$8,L_Kengetal,"Omzet FY")=0,"n.b.",SUMIFS(L_Waarde,L_Actief,1,L_WBS,$A21,L_Doeljaar,Sel_Doeljaar,L_Versiejaar,P_VJ,L_Versie,I$8,L_Kengetal,"Omzet FY"))/P_Factor,IF(COUNTIFS(L_Actief,1,L_WBS,$A21,L_Doeljaar,Sel_Doeljaar,L_Versiejaar,P_VJ,L_Versie,I$8,L_Kengetal,"Omzet FY")=0,"n.b.",SUMIFS(L_Waarde,L_Actief,1,L_WBS,$A21,L_Doeljaar,Sel_Doeljaar,L_Versiejaar,P_VJ,L_Versie,I$8,L_Kengetal,"Omzet FY"))))</f>
        <v>n.b.</v>
      </c>
      <c r="J21" s="41">
        <f>IF($A21="","",IF(ISNUMBER(IF(Sel_Doeljaar=P_RJ,VERW_Project!$P17,IF(Sel_Doeljaar=P_RJ+1,VERW_Project!$R17,"n.b."))),IF(Sel_Doeljaar=P_RJ,VERW_Project!$P17,IF(Sel_Doeljaar=P_RJ+1,VERW_Project!$R17,"n.b."))/P_Factor,IF(Sel_Doeljaar=P_RJ,VERW_Project!$P17,IF(Sel_Doeljaar=P_RJ+1,VERW_Project!$R17,"n.b."))))</f>
        <v>1435</v>
      </c>
      <c r="K21" s="41">
        <f>IF($A21="","",IF(Sel_Bron="Vastgesteld",INDEX($E21:$I21,MATCH(Sel_Versie,$E$8:$I$8,0)),IF(Sel_Bron="Concept",J21,"n.b.")))</f>
        <v>1435</v>
      </c>
      <c r="L21" s="62">
        <f>IF($A21="","",IF(Sel_Doeljaar&gt;P_VJ,"n.v.t.",IF(Sel_Bron="Vastgesteld",IF(ISNUMBER(IF(COUNTIFS(L_Actief,1,L_WBS,$A21,L_Doeljaar,Sel_Doeljaar,L_Versiejaar,P_VJ,L_Versie,Sel_Versie,L_Kengetal,"Omzet actual YTD")=0,"n.b.",SUMIFS(L_Waarde,L_Actief,1,L_WBS,$A21,L_Doeljaar,Sel_Doeljaar,L_Versiejaar,P_VJ,L_Versie,Sel_Versie,L_Kengetal,"Omzet actual YTD"))),IF(COUNTIFS(L_Actief,1,L_WBS,$A21,L_Doeljaar,Sel_Doeljaar,L_Versiejaar,P_VJ,L_Versie,Sel_Versie,L_Kengetal,"Omzet actual YTD")=0,"n.b.",SUMIFS(L_Waarde,L_Actief,1,L_WBS,$A21,L_Doeljaar,Sel_Doeljaar,L_Versiejaar,P_VJ,L_Versie,Sel_Versie,L_Kengetal,"Omzet actual YTD"))/P_Factor,IF(COUNTIFS(L_Actief,1,L_WBS,$A21,L_Doeljaar,Sel_Doeljaar,L_Versiejaar,P_VJ,L_Versie,Sel_Versie,L_Kengetal,"Omzet actual YTD")=0,"n.b.",SUMIFS(L_Waarde,L_Actief,1,L_WBS,$A21,L_Doeljaar,Sel_Doeljaar,L_Versiejaar,P_VJ,L_Versie,Sel_Versie,L_Kengetal,"Omzet actual YTD"))),IF(Sel_Bron="Concept",IF(ISNUMBER(IF(Sel_Doeljaar=P_RJ,VERW_Project!$L17,"n.v.t.")),IF(Sel_Doeljaar=P_RJ,VERW_Project!$L17,"n.v.t.")/P_Factor,IF(Sel_Doeljaar=P_RJ,VERW_Project!$L17,"n.v.t.")),"n.b."))))</f>
        <v>932.75</v>
      </c>
      <c r="M21" s="41">
        <f>IF($A21="","",IF(L21="n.v.t.",K21,IF(AND(ISNUMBER(K21),ISNUMBER(L21)),K21-L21,"n.b.")))</f>
        <v>502.25</v>
      </c>
      <c r="N21" s="41">
        <f>IF($A21="","",IF(Sel_Bron="Vastgesteld",IF(ISNUMBER(IF(COUNTIFS(L_Actief,1,L_WBS,$A21,L_Doeljaar,Sel_Doeljaar,L_Versiejaar,P_VJ,L_Versie,Sel_Versie,L_Kengetal,"BOR FY")=0,"n.b.",SUMIFS(L_Waarde,L_Actief,1,L_WBS,$A21,L_Doeljaar,Sel_Doeljaar,L_Versiejaar,P_VJ,L_Versie,Sel_Versie,L_Kengetal,"BOR FY"))),IF(COUNTIFS(L_Actief,1,L_WBS,$A21,L_Doeljaar,Sel_Doeljaar,L_Versiejaar,P_VJ,L_Versie,Sel_Versie,L_Kengetal,"BOR FY")=0,"n.b.",SUMIFS(L_Waarde,L_Actief,1,L_WBS,$A21,L_Doeljaar,Sel_Doeljaar,L_Versiejaar,P_VJ,L_Versie,Sel_Versie,L_Kengetal,"BOR FY"))/P_Factor,IF(COUNTIFS(L_Actief,1,L_WBS,$A21,L_Doeljaar,Sel_Doeljaar,L_Versiejaar,P_VJ,L_Versie,Sel_Versie,L_Kengetal,"BOR FY")=0,"n.b.",SUMIFS(L_Waarde,L_Actief,1,L_WBS,$A21,L_Doeljaar,Sel_Doeljaar,L_Versiejaar,P_VJ,L_Versie,Sel_Versie,L_Kengetal,"BOR FY"))),IF(Sel_Bron="Concept",IF(ISNUMBER(IF(Sel_Doeljaar=P_RJ,VERW_Project!$Q17,IF(Sel_Doeljaar=P_RJ+1,VERW_Project!$S17,"n.b."))),IF(Sel_Doeljaar=P_RJ,VERW_Project!$Q17,IF(Sel_Doeljaar=P_RJ+1,VERW_Project!$S17,"n.b."))/P_Factor,IF(Sel_Doeljaar=P_RJ,VERW_Project!$Q17,IF(Sel_Doeljaar=P_RJ+1,VERW_Project!$S17,"n.b."))),"n.b.")))</f>
        <v>172.2</v>
      </c>
      <c r="O21" s="63">
        <f>IF($A21="","",IF(AND(ISNUMBER(N21),ISNUMBER(K21)),IF(K21&lt;&gt;0,N21/K21,"n.b."),"n.b."))</f>
        <v>0.12</v>
      </c>
      <c r="P21" s="41">
        <f>IF($A21="","",IF(AND(ISNUMBER(K21),ISNUMBER(E21)),K21-E21,"n.b."))</f>
        <v>143.5</v>
      </c>
      <c r="Q21" s="41">
        <f>IF($A21="","",IF(AND(ISNUMBER(K21),ISNUMBER(W21)),K21-W21,"n.b."))</f>
        <v>-43.05</v>
      </c>
      <c r="R21" s="64" t="str">
        <f>IF($A21="","",IF(ISNUMBER(N21),IF(N21&lt;0,"Verlies",""),""))</f>
        <v/>
      </c>
      <c r="S21" s="61" t="str">
        <f>IF($A21="","",IFERROR(INDEX(T_Txt,MATCH($A21&amp;"|"&amp;Sel_Doeljaar&amp;"|"&amp;P_VJ&amp;"|"&amp;Sel_Versie,T_Key,0)),""))</f>
        <v/>
      </c>
      <c r="U21" s="15">
        <f>IF(AND(AND($A21&lt;&gt;"",OR(Sel_Type="Alle",$C21=Sel_Type),OR(Sel_Project="Alle",$B21=Sel_Project)),ISNUMBER(K21)),K21+ROW()/1000000000,"")</f>
        <v>1435.000000021</v>
      </c>
      <c r="V21" s="15">
        <f>IF(AND(AND($A21&lt;&gt;"",OR(Sel_Type="Alle",$C21=Sel_Type),OR(Sel_Project="Alle",$B21=Sel_Project)),ISNUMBER(Q21)),ABS(Q21)+ROW()/1000000000,"")</f>
        <v>43.050000021</v>
      </c>
      <c r="W21" s="15">
        <f>IF(OR($A21="",Sel_Prev=""),"n.b.",IF(ISNUMBER(IF(COUNTIFS(L_Actief,1,L_WBS,$A21,L_Doeljaar,Sel_Doeljaar,L_Versiejaar,P_VJ,L_Versie,Sel_Prev,L_Kengetal,"Omzet FY")=0,"n.b.",SUMIFS(L_Waarde,L_Actief,1,L_WBS,$A21,L_Doeljaar,Sel_Doeljaar,L_Versiejaar,P_VJ,L_Versie,Sel_Prev,L_Kengetal,"Omzet FY"))),IF(COUNTIFS(L_Actief,1,L_WBS,$A21,L_Doeljaar,Sel_Doeljaar,L_Versiejaar,P_VJ,L_Versie,Sel_Prev,L_Kengetal,"Omzet FY")=0,"n.b.",SUMIFS(L_Waarde,L_Actief,1,L_WBS,$A21,L_Doeljaar,Sel_Doeljaar,L_Versiejaar,P_VJ,L_Versie,Sel_Prev,L_Kengetal,"Omzet FY"))/P_Factor,IF(COUNTIFS(L_Actief,1,L_WBS,$A21,L_Doeljaar,Sel_Doeljaar,L_Versiejaar,P_VJ,L_Versie,Sel_Prev,L_Kengetal,"Omzet FY")=0,"n.b.",SUMIFS(L_Waarde,L_Actief,1,L_WBS,$A21,L_Doeljaar,Sel_Doeljaar,L_Versiejaar,P_VJ,L_Versie,Sel_Prev,L_Kengetal,"Omzet FY"))))</f>
        <v>1478.05</v>
      </c>
    </row>
    <row r="22">
      <c r="A22" s="61" t="str">
        <f>IF(VERW_Project!$A18="","",VERW_Project!$A18)</f>
        <v>G.900013.8.9090</v>
      </c>
      <c r="B22" s="61" t="str">
        <f>IF($A22="","",VERW_Project!$C18)</f>
        <v>Boswaard, Boskamers</v>
      </c>
      <c r="C22" s="61" t="str">
        <f>IF($A22="","",VERW_Project!$D18)</f>
        <v>Opstal</v>
      </c>
      <c r="D22" s="61" t="str">
        <f>IF($A22="","",VERW_Project!$I18)</f>
        <v>J</v>
      </c>
      <c r="E22" s="41">
        <f>IF($A22="","",IF(ISNUMBER(IF(COUNTIFS(L_Actief,1,L_WBS,$A22,L_Doeljaar,Sel_Doeljaar,L_Versiejaar,P_VJ,L_Versie,E$8,L_Kengetal,"Omzet FY")=0,"n.b.",SUMIFS(L_Waarde,L_Actief,1,L_WBS,$A22,L_Doeljaar,Sel_Doeljaar,L_Versiejaar,P_VJ,L_Versie,E$8,L_Kengetal,"Omzet FY"))),IF(COUNTIFS(L_Actief,1,L_WBS,$A22,L_Doeljaar,Sel_Doeljaar,L_Versiejaar,P_VJ,L_Versie,E$8,L_Kengetal,"Omzet FY")=0,"n.b.",SUMIFS(L_Waarde,L_Actief,1,L_WBS,$A22,L_Doeljaar,Sel_Doeljaar,L_Versiejaar,P_VJ,L_Versie,E$8,L_Kengetal,"Omzet FY"))/P_Factor,IF(COUNTIFS(L_Actief,1,L_WBS,$A22,L_Doeljaar,Sel_Doeljaar,L_Versiejaar,P_VJ,L_Versie,E$8,L_Kengetal,"Omzet FY")=0,"n.b.",SUMIFS(L_Waarde,L_Actief,1,L_WBS,$A22,L_Doeljaar,Sel_Doeljaar,L_Versiejaar,P_VJ,L_Versie,E$8,L_Kengetal,"Omzet FY"))))</f>
        <v>4158</v>
      </c>
      <c r="F22" s="41">
        <f>IF($A22="","",IF(ISNUMBER(IF(COUNTIFS(L_Actief,1,L_WBS,$A22,L_Doeljaar,Sel_Doeljaar,L_Versiejaar,P_VJ,L_Versie,F$8,L_Kengetal,"Omzet FY")=0,"n.b.",SUMIFS(L_Waarde,L_Actief,1,L_WBS,$A22,L_Doeljaar,Sel_Doeljaar,L_Versiejaar,P_VJ,L_Versie,F$8,L_Kengetal,"Omzet FY"))),IF(COUNTIFS(L_Actief,1,L_WBS,$A22,L_Doeljaar,Sel_Doeljaar,L_Versiejaar,P_VJ,L_Versie,F$8,L_Kengetal,"Omzet FY")=0,"n.b.",SUMIFS(L_Waarde,L_Actief,1,L_WBS,$A22,L_Doeljaar,Sel_Doeljaar,L_Versiejaar,P_VJ,L_Versie,F$8,L_Kengetal,"Omzet FY"))/P_Factor,IF(COUNTIFS(L_Actief,1,L_WBS,$A22,L_Doeljaar,Sel_Doeljaar,L_Versiejaar,P_VJ,L_Versie,F$8,L_Kengetal,"Omzet FY")=0,"n.b.",SUMIFS(L_Waarde,L_Actief,1,L_WBS,$A22,L_Doeljaar,Sel_Doeljaar,L_Versiejaar,P_VJ,L_Versie,F$8,L_Kengetal,"Omzet FY"))))</f>
        <v>4006.8</v>
      </c>
      <c r="G22" s="41">
        <f>IF($A22="","",IF(ISNUMBER(IF(COUNTIFS(L_Actief,1,L_WBS,$A22,L_Doeljaar,Sel_Doeljaar,L_Versiejaar,P_VJ,L_Versie,G$8,L_Kengetal,"Omzet FY")=0,"n.b.",SUMIFS(L_Waarde,L_Actief,1,L_WBS,$A22,L_Doeljaar,Sel_Doeljaar,L_Versiejaar,P_VJ,L_Versie,G$8,L_Kengetal,"Omzet FY"))),IF(COUNTIFS(L_Actief,1,L_WBS,$A22,L_Doeljaar,Sel_Doeljaar,L_Versiejaar,P_VJ,L_Versie,G$8,L_Kengetal,"Omzet FY")=0,"n.b.",SUMIFS(L_Waarde,L_Actief,1,L_WBS,$A22,L_Doeljaar,Sel_Doeljaar,L_Versiejaar,P_VJ,L_Versie,G$8,L_Kengetal,"Omzet FY"))/P_Factor,IF(COUNTIFS(L_Actief,1,L_WBS,$A22,L_Doeljaar,Sel_Doeljaar,L_Versiejaar,P_VJ,L_Versie,G$8,L_Kengetal,"Omzet FY")=0,"n.b.",SUMIFS(L_Waarde,L_Actief,1,L_WBS,$A22,L_Doeljaar,Sel_Doeljaar,L_Versiejaar,P_VJ,L_Versie,G$8,L_Kengetal,"Omzet FY"))))</f>
        <v>3666.6</v>
      </c>
      <c r="H22" s="41">
        <f>IF($A22="","",IF(ISNUMBER(IF(COUNTIFS(L_Actief,1,L_WBS,$A22,L_Doeljaar,Sel_Doeljaar,L_Versiejaar,P_VJ,L_Versie,H$8,L_Kengetal,"Omzet FY")=0,"n.b.",SUMIFS(L_Waarde,L_Actief,1,L_WBS,$A22,L_Doeljaar,Sel_Doeljaar,L_Versiejaar,P_VJ,L_Versie,H$8,L_Kengetal,"Omzet FY"))),IF(COUNTIFS(L_Actief,1,L_WBS,$A22,L_Doeljaar,Sel_Doeljaar,L_Versiejaar,P_VJ,L_Versie,H$8,L_Kengetal,"Omzet FY")=0,"n.b.",SUMIFS(L_Waarde,L_Actief,1,L_WBS,$A22,L_Doeljaar,Sel_Doeljaar,L_Versiejaar,P_VJ,L_Versie,H$8,L_Kengetal,"Omzet FY"))/P_Factor,IF(COUNTIFS(L_Actief,1,L_WBS,$A22,L_Doeljaar,Sel_Doeljaar,L_Versiejaar,P_VJ,L_Versie,H$8,L_Kengetal,"Omzet FY")=0,"n.b.",SUMIFS(L_Waarde,L_Actief,1,L_WBS,$A22,L_Doeljaar,Sel_Doeljaar,L_Versiejaar,P_VJ,L_Versie,H$8,L_Kengetal,"Omzet FY"))))</f>
        <v>3780</v>
      </c>
      <c r="I22" s="41" t="str">
        <f>IF($A22="","",IF(ISNUMBER(IF(COUNTIFS(L_Actief,1,L_WBS,$A22,L_Doeljaar,Sel_Doeljaar,L_Versiejaar,P_VJ,L_Versie,I$8,L_Kengetal,"Omzet FY")=0,"n.b.",SUMIFS(L_Waarde,L_Actief,1,L_WBS,$A22,L_Doeljaar,Sel_Doeljaar,L_Versiejaar,P_VJ,L_Versie,I$8,L_Kengetal,"Omzet FY"))),IF(COUNTIFS(L_Actief,1,L_WBS,$A22,L_Doeljaar,Sel_Doeljaar,L_Versiejaar,P_VJ,L_Versie,I$8,L_Kengetal,"Omzet FY")=0,"n.b.",SUMIFS(L_Waarde,L_Actief,1,L_WBS,$A22,L_Doeljaar,Sel_Doeljaar,L_Versiejaar,P_VJ,L_Versie,I$8,L_Kengetal,"Omzet FY"))/P_Factor,IF(COUNTIFS(L_Actief,1,L_WBS,$A22,L_Doeljaar,Sel_Doeljaar,L_Versiejaar,P_VJ,L_Versie,I$8,L_Kengetal,"Omzet FY")=0,"n.b.",SUMIFS(L_Waarde,L_Actief,1,L_WBS,$A22,L_Doeljaar,Sel_Doeljaar,L_Versiejaar,P_VJ,L_Versie,I$8,L_Kengetal,"Omzet FY"))))</f>
        <v>n.b.</v>
      </c>
      <c r="J22" s="41">
        <f>IF($A22="","",IF(ISNUMBER(IF(Sel_Doeljaar=P_RJ,VERW_Project!$P18,IF(Sel_Doeljaar=P_RJ+1,VERW_Project!$R18,"n.b."))),IF(Sel_Doeljaar=P_RJ,VERW_Project!$P18,IF(Sel_Doeljaar=P_RJ+1,VERW_Project!$R18,"n.b."))/P_Factor,IF(Sel_Doeljaar=P_RJ,VERW_Project!$P18,IF(Sel_Doeljaar=P_RJ+1,VERW_Project!$R18,"n.b."))))</f>
        <v>3780</v>
      </c>
      <c r="K22" s="41">
        <f>IF($A22="","",IF(Sel_Bron="Vastgesteld",INDEX($E22:$I22,MATCH(Sel_Versie,$E$8:$I$8,0)),IF(Sel_Bron="Concept",J22,"n.b.")))</f>
        <v>3780</v>
      </c>
      <c r="L22" s="62">
        <f>IF($A22="","",IF(Sel_Doeljaar&gt;P_VJ,"n.v.t.",IF(Sel_Bron="Vastgesteld",IF(ISNUMBER(IF(COUNTIFS(L_Actief,1,L_WBS,$A22,L_Doeljaar,Sel_Doeljaar,L_Versiejaar,P_VJ,L_Versie,Sel_Versie,L_Kengetal,"Omzet actual YTD")=0,"n.b.",SUMIFS(L_Waarde,L_Actief,1,L_WBS,$A22,L_Doeljaar,Sel_Doeljaar,L_Versiejaar,P_VJ,L_Versie,Sel_Versie,L_Kengetal,"Omzet actual YTD"))),IF(COUNTIFS(L_Actief,1,L_WBS,$A22,L_Doeljaar,Sel_Doeljaar,L_Versiejaar,P_VJ,L_Versie,Sel_Versie,L_Kengetal,"Omzet actual YTD")=0,"n.b.",SUMIFS(L_Waarde,L_Actief,1,L_WBS,$A22,L_Doeljaar,Sel_Doeljaar,L_Versiejaar,P_VJ,L_Versie,Sel_Versie,L_Kengetal,"Omzet actual YTD"))/P_Factor,IF(COUNTIFS(L_Actief,1,L_WBS,$A22,L_Doeljaar,Sel_Doeljaar,L_Versiejaar,P_VJ,L_Versie,Sel_Versie,L_Kengetal,"Omzet actual YTD")=0,"n.b.",SUMIFS(L_Waarde,L_Actief,1,L_WBS,$A22,L_Doeljaar,Sel_Doeljaar,L_Versiejaar,P_VJ,L_Versie,Sel_Versie,L_Kengetal,"Omzet actual YTD"))),IF(Sel_Bron="Concept",IF(ISNUMBER(IF(Sel_Doeljaar=P_RJ,VERW_Project!$L18,"n.v.t.")),IF(Sel_Doeljaar=P_RJ,VERW_Project!$L18,"n.v.t.")/P_Factor,IF(Sel_Doeljaar=P_RJ,VERW_Project!$L18,"n.v.t.")),"n.b."))))</f>
        <v>2457</v>
      </c>
      <c r="M22" s="41">
        <f>IF($A22="","",IF(L22="n.v.t.",K22,IF(AND(ISNUMBER(K22),ISNUMBER(L22)),K22-L22,"n.b.")))</f>
        <v>1323</v>
      </c>
      <c r="N22" s="41">
        <f>IF($A22="","",IF(Sel_Bron="Vastgesteld",IF(ISNUMBER(IF(COUNTIFS(L_Actief,1,L_WBS,$A22,L_Doeljaar,Sel_Doeljaar,L_Versiejaar,P_VJ,L_Versie,Sel_Versie,L_Kengetal,"BOR FY")=0,"n.b.",SUMIFS(L_Waarde,L_Actief,1,L_WBS,$A22,L_Doeljaar,Sel_Doeljaar,L_Versiejaar,P_VJ,L_Versie,Sel_Versie,L_Kengetal,"BOR FY"))),IF(COUNTIFS(L_Actief,1,L_WBS,$A22,L_Doeljaar,Sel_Doeljaar,L_Versiejaar,P_VJ,L_Versie,Sel_Versie,L_Kengetal,"BOR FY")=0,"n.b.",SUMIFS(L_Waarde,L_Actief,1,L_WBS,$A22,L_Doeljaar,Sel_Doeljaar,L_Versiejaar,P_VJ,L_Versie,Sel_Versie,L_Kengetal,"BOR FY"))/P_Factor,IF(COUNTIFS(L_Actief,1,L_WBS,$A22,L_Doeljaar,Sel_Doeljaar,L_Versiejaar,P_VJ,L_Versie,Sel_Versie,L_Kengetal,"BOR FY")=0,"n.b.",SUMIFS(L_Waarde,L_Actief,1,L_WBS,$A22,L_Doeljaar,Sel_Doeljaar,L_Versiejaar,P_VJ,L_Versie,Sel_Versie,L_Kengetal,"BOR FY"))),IF(Sel_Bron="Concept",IF(ISNUMBER(IF(Sel_Doeljaar=P_RJ,VERW_Project!$Q18,IF(Sel_Doeljaar=P_RJ+1,VERW_Project!$S18,"n.b."))),IF(Sel_Doeljaar=P_RJ,VERW_Project!$Q18,IF(Sel_Doeljaar=P_RJ+1,VERW_Project!$S18,"n.b."))/P_Factor,IF(Sel_Doeljaar=P_RJ,VERW_Project!$Q18,IF(Sel_Doeljaar=P_RJ+1,VERW_Project!$S18,"n.b."))),"n.b.")))</f>
        <v>283.5</v>
      </c>
      <c r="O22" s="63">
        <f>IF($A22="","",IF(AND(ISNUMBER(N22),ISNUMBER(K22)),IF(K22&lt;&gt;0,N22/K22,"n.b."),"n.b."))</f>
        <v>0.075</v>
      </c>
      <c r="P22" s="41">
        <f>IF($A22="","",IF(AND(ISNUMBER(K22),ISNUMBER(E22)),K22-E22,"n.b."))</f>
        <v>-378</v>
      </c>
      <c r="Q22" s="41">
        <f>IF($A22="","",IF(AND(ISNUMBER(K22),ISNUMBER(W22)),K22-W22,"n.b."))</f>
        <v>113.4</v>
      </c>
      <c r="R22" s="64" t="str">
        <f>IF($A22="","",IF(ISNUMBER(N22),IF(N22&lt;0,"Verlies",""),""))</f>
        <v/>
      </c>
      <c r="S22" s="61" t="str">
        <f>IF($A22="","",IFERROR(INDEX(T_Txt,MATCH($A22&amp;"|"&amp;Sel_Doeljaar&amp;"|"&amp;P_VJ&amp;"|"&amp;Sel_Versie,T_Key,0)),""))</f>
        <v/>
      </c>
      <c r="U22" s="15">
        <f>IF(AND(AND($A22&lt;&gt;"",OR(Sel_Type="Alle",$C22=Sel_Type),OR(Sel_Project="Alle",$B22=Sel_Project)),ISNUMBER(K22)),K22+ROW()/1000000000,"")</f>
        <v>3780.000000022</v>
      </c>
      <c r="V22" s="15">
        <f>IF(AND(AND($A22&lt;&gt;"",OR(Sel_Type="Alle",$C22=Sel_Type),OR(Sel_Project="Alle",$B22=Sel_Project)),ISNUMBER(Q22)),ABS(Q22)+ROW()/1000000000,"")</f>
        <v>113.400000022</v>
      </c>
      <c r="W22" s="15">
        <f>IF(OR($A22="",Sel_Prev=""),"n.b.",IF(ISNUMBER(IF(COUNTIFS(L_Actief,1,L_WBS,$A22,L_Doeljaar,Sel_Doeljaar,L_Versiejaar,P_VJ,L_Versie,Sel_Prev,L_Kengetal,"Omzet FY")=0,"n.b.",SUMIFS(L_Waarde,L_Actief,1,L_WBS,$A22,L_Doeljaar,Sel_Doeljaar,L_Versiejaar,P_VJ,L_Versie,Sel_Prev,L_Kengetal,"Omzet FY"))),IF(COUNTIFS(L_Actief,1,L_WBS,$A22,L_Doeljaar,Sel_Doeljaar,L_Versiejaar,P_VJ,L_Versie,Sel_Prev,L_Kengetal,"Omzet FY")=0,"n.b.",SUMIFS(L_Waarde,L_Actief,1,L_WBS,$A22,L_Doeljaar,Sel_Doeljaar,L_Versiejaar,P_VJ,L_Versie,Sel_Prev,L_Kengetal,"Omzet FY"))/P_Factor,IF(COUNTIFS(L_Actief,1,L_WBS,$A22,L_Doeljaar,Sel_Doeljaar,L_Versiejaar,P_VJ,L_Versie,Sel_Prev,L_Kengetal,"Omzet FY")=0,"n.b.",SUMIFS(L_Waarde,L_Actief,1,L_WBS,$A22,L_Doeljaar,Sel_Doeljaar,L_Versiejaar,P_VJ,L_Versie,Sel_Prev,L_Kengetal,"Omzet FY"))))</f>
        <v>3666.6</v>
      </c>
    </row>
    <row r="23">
      <c r="A23" s="61" t="str">
        <f>IF(VERW_Project!$A19="","",VERW_Project!$A19)</f>
        <v>G.900014.8.9090</v>
      </c>
      <c r="B23" s="61" t="str">
        <f>IF($A23="","",VERW_Project!$C19)</f>
        <v>Rietdam, Rietoevers</v>
      </c>
      <c r="C23" s="61" t="str">
        <f>IF($A23="","",VERW_Project!$D19)</f>
        <v>Opstal</v>
      </c>
      <c r="D23" s="61" t="str">
        <f>IF($A23="","",VERW_Project!$I19)</f>
        <v>J</v>
      </c>
      <c r="E23" s="41">
        <f>IF($A23="","",IF(ISNUMBER(IF(COUNTIFS(L_Actief,1,L_WBS,$A23,L_Doeljaar,Sel_Doeljaar,L_Versiejaar,P_VJ,L_Versie,E$8,L_Kengetal,"Omzet FY")=0,"n.b.",SUMIFS(L_Waarde,L_Actief,1,L_WBS,$A23,L_Doeljaar,Sel_Doeljaar,L_Versiejaar,P_VJ,L_Versie,E$8,L_Kengetal,"Omzet FY"))),IF(COUNTIFS(L_Actief,1,L_WBS,$A23,L_Doeljaar,Sel_Doeljaar,L_Versiejaar,P_VJ,L_Versie,E$8,L_Kengetal,"Omzet FY")=0,"n.b.",SUMIFS(L_Waarde,L_Actief,1,L_WBS,$A23,L_Doeljaar,Sel_Doeljaar,L_Versiejaar,P_VJ,L_Versie,E$8,L_Kengetal,"Omzet FY"))/P_Factor,IF(COUNTIFS(L_Actief,1,L_WBS,$A23,L_Doeljaar,Sel_Doeljaar,L_Versiejaar,P_VJ,L_Versie,E$8,L_Kengetal,"Omzet FY")=0,"n.b.",SUMIFS(L_Waarde,L_Actief,1,L_WBS,$A23,L_Doeljaar,Sel_Doeljaar,L_Versiejaar,P_VJ,L_Versie,E$8,L_Kengetal,"Omzet FY"))))</f>
        <v>7892.64</v>
      </c>
      <c r="F23" s="41">
        <f>IF($A23="","",IF(ISNUMBER(IF(COUNTIFS(L_Actief,1,L_WBS,$A23,L_Doeljaar,Sel_Doeljaar,L_Versiejaar,P_VJ,L_Versie,F$8,L_Kengetal,"Omzet FY")=0,"n.b.",SUMIFS(L_Waarde,L_Actief,1,L_WBS,$A23,L_Doeljaar,Sel_Doeljaar,L_Versiejaar,P_VJ,L_Versie,F$8,L_Kengetal,"Omzet FY"))),IF(COUNTIFS(L_Actief,1,L_WBS,$A23,L_Doeljaar,Sel_Doeljaar,L_Versiejaar,P_VJ,L_Versie,F$8,L_Kengetal,"Omzet FY")=0,"n.b.",SUMIFS(L_Waarde,L_Actief,1,L_WBS,$A23,L_Doeljaar,Sel_Doeljaar,L_Versiejaar,P_VJ,L_Versie,F$8,L_Kengetal,"Omzet FY"))/P_Factor,IF(COUNTIFS(L_Actief,1,L_WBS,$A23,L_Doeljaar,Sel_Doeljaar,L_Versiejaar,P_VJ,L_Versie,F$8,L_Kengetal,"Omzet FY")=0,"n.b.",SUMIFS(L_Waarde,L_Actief,1,L_WBS,$A23,L_Doeljaar,Sel_Doeljaar,L_Versiejaar,P_VJ,L_Versie,F$8,L_Kengetal,"Omzet FY"))))</f>
        <v>8243.424</v>
      </c>
      <c r="G23" s="41">
        <f>IF($A23="","",IF(ISNUMBER(IF(COUNTIFS(L_Actief,1,L_WBS,$A23,L_Doeljaar,Sel_Doeljaar,L_Versiejaar,P_VJ,L_Versie,G$8,L_Kengetal,"Omzet FY")=0,"n.b.",SUMIFS(L_Waarde,L_Actief,1,L_WBS,$A23,L_Doeljaar,Sel_Doeljaar,L_Versiejaar,P_VJ,L_Versie,G$8,L_Kengetal,"Omzet FY"))),IF(COUNTIFS(L_Actief,1,L_WBS,$A23,L_Doeljaar,Sel_Doeljaar,L_Versiejaar,P_VJ,L_Versie,G$8,L_Kengetal,"Omzet FY")=0,"n.b.",SUMIFS(L_Waarde,L_Actief,1,L_WBS,$A23,L_Doeljaar,Sel_Doeljaar,L_Versiejaar,P_VJ,L_Versie,G$8,L_Kengetal,"Omzet FY"))/P_Factor,IF(COUNTIFS(L_Actief,1,L_WBS,$A23,L_Doeljaar,Sel_Doeljaar,L_Versiejaar,P_VJ,L_Versie,G$8,L_Kengetal,"Omzet FY")=0,"n.b.",SUMIFS(L_Waarde,L_Actief,1,L_WBS,$A23,L_Doeljaar,Sel_Doeljaar,L_Versiejaar,P_VJ,L_Versie,G$8,L_Kengetal,"Omzet FY"))))</f>
        <v>9032.688</v>
      </c>
      <c r="H23" s="41">
        <f>IF($A23="","",IF(ISNUMBER(IF(COUNTIFS(L_Actief,1,L_WBS,$A23,L_Doeljaar,Sel_Doeljaar,L_Versiejaar,P_VJ,L_Versie,H$8,L_Kengetal,"Omzet FY")=0,"n.b.",SUMIFS(L_Waarde,L_Actief,1,L_WBS,$A23,L_Doeljaar,Sel_Doeljaar,L_Versiejaar,P_VJ,L_Versie,H$8,L_Kengetal,"Omzet FY"))),IF(COUNTIFS(L_Actief,1,L_WBS,$A23,L_Doeljaar,Sel_Doeljaar,L_Versiejaar,P_VJ,L_Versie,H$8,L_Kengetal,"Omzet FY")=0,"n.b.",SUMIFS(L_Waarde,L_Actief,1,L_WBS,$A23,L_Doeljaar,Sel_Doeljaar,L_Versiejaar,P_VJ,L_Versie,H$8,L_Kengetal,"Omzet FY"))/P_Factor,IF(COUNTIFS(L_Actief,1,L_WBS,$A23,L_Doeljaar,Sel_Doeljaar,L_Versiejaar,P_VJ,L_Versie,H$8,L_Kengetal,"Omzet FY")=0,"n.b.",SUMIFS(L_Waarde,L_Actief,1,L_WBS,$A23,L_Doeljaar,Sel_Doeljaar,L_Versiejaar,P_VJ,L_Versie,H$8,L_Kengetal,"Omzet FY"))))</f>
        <v>8769.6</v>
      </c>
      <c r="I23" s="41" t="str">
        <f>IF($A23="","",IF(ISNUMBER(IF(COUNTIFS(L_Actief,1,L_WBS,$A23,L_Doeljaar,Sel_Doeljaar,L_Versiejaar,P_VJ,L_Versie,I$8,L_Kengetal,"Omzet FY")=0,"n.b.",SUMIFS(L_Waarde,L_Actief,1,L_WBS,$A23,L_Doeljaar,Sel_Doeljaar,L_Versiejaar,P_VJ,L_Versie,I$8,L_Kengetal,"Omzet FY"))),IF(COUNTIFS(L_Actief,1,L_WBS,$A23,L_Doeljaar,Sel_Doeljaar,L_Versiejaar,P_VJ,L_Versie,I$8,L_Kengetal,"Omzet FY")=0,"n.b.",SUMIFS(L_Waarde,L_Actief,1,L_WBS,$A23,L_Doeljaar,Sel_Doeljaar,L_Versiejaar,P_VJ,L_Versie,I$8,L_Kengetal,"Omzet FY"))/P_Factor,IF(COUNTIFS(L_Actief,1,L_WBS,$A23,L_Doeljaar,Sel_Doeljaar,L_Versiejaar,P_VJ,L_Versie,I$8,L_Kengetal,"Omzet FY")=0,"n.b.",SUMIFS(L_Waarde,L_Actief,1,L_WBS,$A23,L_Doeljaar,Sel_Doeljaar,L_Versiejaar,P_VJ,L_Versie,I$8,L_Kengetal,"Omzet FY"))))</f>
        <v>n.b.</v>
      </c>
      <c r="J23" s="41">
        <f>IF($A23="","",IF(ISNUMBER(IF(Sel_Doeljaar=P_RJ,VERW_Project!$P19,IF(Sel_Doeljaar=P_RJ+1,VERW_Project!$R19,"n.b."))),IF(Sel_Doeljaar=P_RJ,VERW_Project!$P19,IF(Sel_Doeljaar=P_RJ+1,VERW_Project!$R19,"n.b."))/P_Factor,IF(Sel_Doeljaar=P_RJ,VERW_Project!$P19,IF(Sel_Doeljaar=P_RJ+1,VERW_Project!$R19,"n.b."))))</f>
        <v>8769.6</v>
      </c>
      <c r="K23" s="41">
        <f>IF($A23="","",IF(Sel_Bron="Vastgesteld",INDEX($E23:$I23,MATCH(Sel_Versie,$E$8:$I$8,0)),IF(Sel_Bron="Concept",J23,"n.b.")))</f>
        <v>8769.6</v>
      </c>
      <c r="L23" s="62">
        <f>IF($A23="","",IF(Sel_Doeljaar&gt;P_VJ,"n.v.t.",IF(Sel_Bron="Vastgesteld",IF(ISNUMBER(IF(COUNTIFS(L_Actief,1,L_WBS,$A23,L_Doeljaar,Sel_Doeljaar,L_Versiejaar,P_VJ,L_Versie,Sel_Versie,L_Kengetal,"Omzet actual YTD")=0,"n.b.",SUMIFS(L_Waarde,L_Actief,1,L_WBS,$A23,L_Doeljaar,Sel_Doeljaar,L_Versiejaar,P_VJ,L_Versie,Sel_Versie,L_Kengetal,"Omzet actual YTD"))),IF(COUNTIFS(L_Actief,1,L_WBS,$A23,L_Doeljaar,Sel_Doeljaar,L_Versiejaar,P_VJ,L_Versie,Sel_Versie,L_Kengetal,"Omzet actual YTD")=0,"n.b.",SUMIFS(L_Waarde,L_Actief,1,L_WBS,$A23,L_Doeljaar,Sel_Doeljaar,L_Versiejaar,P_VJ,L_Versie,Sel_Versie,L_Kengetal,"Omzet actual YTD"))/P_Factor,IF(COUNTIFS(L_Actief,1,L_WBS,$A23,L_Doeljaar,Sel_Doeljaar,L_Versiejaar,P_VJ,L_Versie,Sel_Versie,L_Kengetal,"Omzet actual YTD")=0,"n.b.",SUMIFS(L_Waarde,L_Actief,1,L_WBS,$A23,L_Doeljaar,Sel_Doeljaar,L_Versiejaar,P_VJ,L_Versie,Sel_Versie,L_Kengetal,"Omzet actual YTD"))),IF(Sel_Bron="Concept",IF(ISNUMBER(IF(Sel_Doeljaar=P_RJ,VERW_Project!$L19,"n.v.t.")),IF(Sel_Doeljaar=P_RJ,VERW_Project!$L19,"n.v.t.")/P_Factor,IF(Sel_Doeljaar=P_RJ,VERW_Project!$L19,"n.v.t.")),"n.b."))))</f>
        <v>5700.24</v>
      </c>
      <c r="M23" s="41">
        <f>IF($A23="","",IF(L23="n.v.t.",K23,IF(AND(ISNUMBER(K23),ISNUMBER(L23)),K23-L23,"n.b.")))</f>
        <v>3069.36</v>
      </c>
      <c r="N23" s="41">
        <f>IF($A23="","",IF(Sel_Bron="Vastgesteld",IF(ISNUMBER(IF(COUNTIFS(L_Actief,1,L_WBS,$A23,L_Doeljaar,Sel_Doeljaar,L_Versiejaar,P_VJ,L_Versie,Sel_Versie,L_Kengetal,"BOR FY")=0,"n.b.",SUMIFS(L_Waarde,L_Actief,1,L_WBS,$A23,L_Doeljaar,Sel_Doeljaar,L_Versiejaar,P_VJ,L_Versie,Sel_Versie,L_Kengetal,"BOR FY"))),IF(COUNTIFS(L_Actief,1,L_WBS,$A23,L_Doeljaar,Sel_Doeljaar,L_Versiejaar,P_VJ,L_Versie,Sel_Versie,L_Kengetal,"BOR FY")=0,"n.b.",SUMIFS(L_Waarde,L_Actief,1,L_WBS,$A23,L_Doeljaar,Sel_Doeljaar,L_Versiejaar,P_VJ,L_Versie,Sel_Versie,L_Kengetal,"BOR FY"))/P_Factor,IF(COUNTIFS(L_Actief,1,L_WBS,$A23,L_Doeljaar,Sel_Doeljaar,L_Versiejaar,P_VJ,L_Versie,Sel_Versie,L_Kengetal,"BOR FY")=0,"n.b.",SUMIFS(L_Waarde,L_Actief,1,L_WBS,$A23,L_Doeljaar,Sel_Doeljaar,L_Versiejaar,P_VJ,L_Versie,Sel_Versie,L_Kengetal,"BOR FY"))),IF(Sel_Bron="Concept",IF(ISNUMBER(IF(Sel_Doeljaar=P_RJ,VERW_Project!$Q19,IF(Sel_Doeljaar=P_RJ+1,VERW_Project!$S19,"n.b."))),IF(Sel_Doeljaar=P_RJ,VERW_Project!$Q19,IF(Sel_Doeljaar=P_RJ+1,VERW_Project!$S19,"n.b."))/P_Factor,IF(Sel_Doeljaar=P_RJ,VERW_Project!$Q19,IF(Sel_Doeljaar=P_RJ+1,VERW_Project!$S19,"n.b."))),"n.b.")))</f>
        <v>964.656</v>
      </c>
      <c r="O23" s="63">
        <f>IF($A23="","",IF(AND(ISNUMBER(N23),ISNUMBER(K23)),IF(K23&lt;&gt;0,N23/K23,"n.b."),"n.b."))</f>
        <v>0.11</v>
      </c>
      <c r="P23" s="41">
        <f>IF($A23="","",IF(AND(ISNUMBER(K23),ISNUMBER(E23)),K23-E23,"n.b."))</f>
        <v>876.96</v>
      </c>
      <c r="Q23" s="41">
        <f>IF($A23="","",IF(AND(ISNUMBER(K23),ISNUMBER(W23)),K23-W23,"n.b."))</f>
        <v>-263.088</v>
      </c>
      <c r="R23" s="64" t="str">
        <f>IF($A23="","",IF(ISNUMBER(N23),IF(N23&lt;0,"Verlies",""),""))</f>
        <v/>
      </c>
      <c r="S23" s="61" t="str">
        <f>IF($A23="","",IFERROR(INDEX(T_Txt,MATCH($A23&amp;"|"&amp;Sel_Doeljaar&amp;"|"&amp;P_VJ&amp;"|"&amp;Sel_Versie,T_Key,0)),""))</f>
        <v/>
      </c>
      <c r="U23" s="15">
        <f>IF(AND(AND($A23&lt;&gt;"",OR(Sel_Type="Alle",$C23=Sel_Type),OR(Sel_Project="Alle",$B23=Sel_Project)),ISNUMBER(K23)),K23+ROW()/1000000000,"")</f>
        <v>8769.600000023</v>
      </c>
      <c r="V23" s="15">
        <f>IF(AND(AND($A23&lt;&gt;"",OR(Sel_Type="Alle",$C23=Sel_Type),OR(Sel_Project="Alle",$B23=Sel_Project)),ISNUMBER(Q23)),ABS(Q23)+ROW()/1000000000,"")</f>
        <v>263.088000023</v>
      </c>
      <c r="W23" s="15">
        <f>IF(OR($A23="",Sel_Prev=""),"n.b.",IF(ISNUMBER(IF(COUNTIFS(L_Actief,1,L_WBS,$A23,L_Doeljaar,Sel_Doeljaar,L_Versiejaar,P_VJ,L_Versie,Sel_Prev,L_Kengetal,"Omzet FY")=0,"n.b.",SUMIFS(L_Waarde,L_Actief,1,L_WBS,$A23,L_Doeljaar,Sel_Doeljaar,L_Versiejaar,P_VJ,L_Versie,Sel_Prev,L_Kengetal,"Omzet FY"))),IF(COUNTIFS(L_Actief,1,L_WBS,$A23,L_Doeljaar,Sel_Doeljaar,L_Versiejaar,P_VJ,L_Versie,Sel_Prev,L_Kengetal,"Omzet FY")=0,"n.b.",SUMIFS(L_Waarde,L_Actief,1,L_WBS,$A23,L_Doeljaar,Sel_Doeljaar,L_Versiejaar,P_VJ,L_Versie,Sel_Prev,L_Kengetal,"Omzet FY"))/P_Factor,IF(COUNTIFS(L_Actief,1,L_WBS,$A23,L_Doeljaar,Sel_Doeljaar,L_Versiejaar,P_VJ,L_Versie,Sel_Prev,L_Kengetal,"Omzet FY")=0,"n.b.",SUMIFS(L_Waarde,L_Actief,1,L_WBS,$A23,L_Doeljaar,Sel_Doeljaar,L_Versiejaar,P_VJ,L_Versie,Sel_Prev,L_Kengetal,"Omzet FY"))))</f>
        <v>9032.688</v>
      </c>
    </row>
    <row r="24">
      <c r="A24" s="61" t="str">
        <f>IF(VERW_Project!$A20="","",VERW_Project!$A20)</f>
        <v>G.900015.8.9090</v>
      </c>
      <c r="B24" s="61" t="str">
        <f>IF($A24="","",VERW_Project!$C20)</f>
        <v>Lindehaven, Parkzoom fase 2</v>
      </c>
      <c r="C24" s="61" t="str">
        <f>IF($A24="","",VERW_Project!$D20)</f>
        <v>Opstal</v>
      </c>
      <c r="D24" s="61" t="str">
        <f>IF($A24="","",VERW_Project!$I20)</f>
        <v>J</v>
      </c>
      <c r="E24" s="41">
        <f>IF($A24="","",IF(ISNUMBER(IF(COUNTIFS(L_Actief,1,L_WBS,$A24,L_Doeljaar,Sel_Doeljaar,L_Versiejaar,P_VJ,L_Versie,E$8,L_Kengetal,"Omzet FY")=0,"n.b.",SUMIFS(L_Waarde,L_Actief,1,L_WBS,$A24,L_Doeljaar,Sel_Doeljaar,L_Versiejaar,P_VJ,L_Versie,E$8,L_Kengetal,"Omzet FY"))),IF(COUNTIFS(L_Actief,1,L_WBS,$A24,L_Doeljaar,Sel_Doeljaar,L_Versiejaar,P_VJ,L_Versie,E$8,L_Kengetal,"Omzet FY")=0,"n.b.",SUMIFS(L_Waarde,L_Actief,1,L_WBS,$A24,L_Doeljaar,Sel_Doeljaar,L_Versiejaar,P_VJ,L_Versie,E$8,L_Kengetal,"Omzet FY"))/P_Factor,IF(COUNTIFS(L_Actief,1,L_WBS,$A24,L_Doeljaar,Sel_Doeljaar,L_Versiejaar,P_VJ,L_Versie,E$8,L_Kengetal,"Omzet FY")=0,"n.b.",SUMIFS(L_Waarde,L_Actief,1,L_WBS,$A24,L_Doeljaar,Sel_Doeljaar,L_Versiejaar,P_VJ,L_Versie,E$8,L_Kengetal,"Omzet FY"))))</f>
        <v>3630</v>
      </c>
      <c r="F24" s="41">
        <f>IF($A24="","",IF(ISNUMBER(IF(COUNTIFS(L_Actief,1,L_WBS,$A24,L_Doeljaar,Sel_Doeljaar,L_Versiejaar,P_VJ,L_Versie,F$8,L_Kengetal,"Omzet FY")=0,"n.b.",SUMIFS(L_Waarde,L_Actief,1,L_WBS,$A24,L_Doeljaar,Sel_Doeljaar,L_Versiejaar,P_VJ,L_Versie,F$8,L_Kengetal,"Omzet FY"))),IF(COUNTIFS(L_Actief,1,L_WBS,$A24,L_Doeljaar,Sel_Doeljaar,L_Versiejaar,P_VJ,L_Versie,F$8,L_Kengetal,"Omzet FY")=0,"n.b.",SUMIFS(L_Waarde,L_Actief,1,L_WBS,$A24,L_Doeljaar,Sel_Doeljaar,L_Versiejaar,P_VJ,L_Versie,F$8,L_Kengetal,"Omzet FY"))/P_Factor,IF(COUNTIFS(L_Actief,1,L_WBS,$A24,L_Doeljaar,Sel_Doeljaar,L_Versiejaar,P_VJ,L_Versie,F$8,L_Kengetal,"Omzet FY")=0,"n.b.",SUMIFS(L_Waarde,L_Actief,1,L_WBS,$A24,L_Doeljaar,Sel_Doeljaar,L_Versiejaar,P_VJ,L_Versie,F$8,L_Kengetal,"Omzet FY"))))</f>
        <v>3498</v>
      </c>
      <c r="G24" s="41">
        <f>IF($A24="","",IF(ISNUMBER(IF(COUNTIFS(L_Actief,1,L_WBS,$A24,L_Doeljaar,Sel_Doeljaar,L_Versiejaar,P_VJ,L_Versie,G$8,L_Kengetal,"Omzet FY")=0,"n.b.",SUMIFS(L_Waarde,L_Actief,1,L_WBS,$A24,L_Doeljaar,Sel_Doeljaar,L_Versiejaar,P_VJ,L_Versie,G$8,L_Kengetal,"Omzet FY"))),IF(COUNTIFS(L_Actief,1,L_WBS,$A24,L_Doeljaar,Sel_Doeljaar,L_Versiejaar,P_VJ,L_Versie,G$8,L_Kengetal,"Omzet FY")=0,"n.b.",SUMIFS(L_Waarde,L_Actief,1,L_WBS,$A24,L_Doeljaar,Sel_Doeljaar,L_Versiejaar,P_VJ,L_Versie,G$8,L_Kengetal,"Omzet FY"))/P_Factor,IF(COUNTIFS(L_Actief,1,L_WBS,$A24,L_Doeljaar,Sel_Doeljaar,L_Versiejaar,P_VJ,L_Versie,G$8,L_Kengetal,"Omzet FY")=0,"n.b.",SUMIFS(L_Waarde,L_Actief,1,L_WBS,$A24,L_Doeljaar,Sel_Doeljaar,L_Versiejaar,P_VJ,L_Versie,G$8,L_Kengetal,"Omzet FY"))))</f>
        <v>3201</v>
      </c>
      <c r="H24" s="41">
        <f>IF($A24="","",IF(ISNUMBER(IF(COUNTIFS(L_Actief,1,L_WBS,$A24,L_Doeljaar,Sel_Doeljaar,L_Versiejaar,P_VJ,L_Versie,H$8,L_Kengetal,"Omzet FY")=0,"n.b.",SUMIFS(L_Waarde,L_Actief,1,L_WBS,$A24,L_Doeljaar,Sel_Doeljaar,L_Versiejaar,P_VJ,L_Versie,H$8,L_Kengetal,"Omzet FY"))),IF(COUNTIFS(L_Actief,1,L_WBS,$A24,L_Doeljaar,Sel_Doeljaar,L_Versiejaar,P_VJ,L_Versie,H$8,L_Kengetal,"Omzet FY")=0,"n.b.",SUMIFS(L_Waarde,L_Actief,1,L_WBS,$A24,L_Doeljaar,Sel_Doeljaar,L_Versiejaar,P_VJ,L_Versie,H$8,L_Kengetal,"Omzet FY"))/P_Factor,IF(COUNTIFS(L_Actief,1,L_WBS,$A24,L_Doeljaar,Sel_Doeljaar,L_Versiejaar,P_VJ,L_Versie,H$8,L_Kengetal,"Omzet FY")=0,"n.b.",SUMIFS(L_Waarde,L_Actief,1,L_WBS,$A24,L_Doeljaar,Sel_Doeljaar,L_Versiejaar,P_VJ,L_Versie,H$8,L_Kengetal,"Omzet FY"))))</f>
        <v>3300</v>
      </c>
      <c r="I24" s="41" t="str">
        <f>IF($A24="","",IF(ISNUMBER(IF(COUNTIFS(L_Actief,1,L_WBS,$A24,L_Doeljaar,Sel_Doeljaar,L_Versiejaar,P_VJ,L_Versie,I$8,L_Kengetal,"Omzet FY")=0,"n.b.",SUMIFS(L_Waarde,L_Actief,1,L_WBS,$A24,L_Doeljaar,Sel_Doeljaar,L_Versiejaar,P_VJ,L_Versie,I$8,L_Kengetal,"Omzet FY"))),IF(COUNTIFS(L_Actief,1,L_WBS,$A24,L_Doeljaar,Sel_Doeljaar,L_Versiejaar,P_VJ,L_Versie,I$8,L_Kengetal,"Omzet FY")=0,"n.b.",SUMIFS(L_Waarde,L_Actief,1,L_WBS,$A24,L_Doeljaar,Sel_Doeljaar,L_Versiejaar,P_VJ,L_Versie,I$8,L_Kengetal,"Omzet FY"))/P_Factor,IF(COUNTIFS(L_Actief,1,L_WBS,$A24,L_Doeljaar,Sel_Doeljaar,L_Versiejaar,P_VJ,L_Versie,I$8,L_Kengetal,"Omzet FY")=0,"n.b.",SUMIFS(L_Waarde,L_Actief,1,L_WBS,$A24,L_Doeljaar,Sel_Doeljaar,L_Versiejaar,P_VJ,L_Versie,I$8,L_Kengetal,"Omzet FY"))))</f>
        <v>n.b.</v>
      </c>
      <c r="J24" s="41">
        <f>IF($A24="","",IF(ISNUMBER(IF(Sel_Doeljaar=P_RJ,VERW_Project!$P20,IF(Sel_Doeljaar=P_RJ+1,VERW_Project!$R20,"n.b."))),IF(Sel_Doeljaar=P_RJ,VERW_Project!$P20,IF(Sel_Doeljaar=P_RJ+1,VERW_Project!$R20,"n.b."))/P_Factor,IF(Sel_Doeljaar=P_RJ,VERW_Project!$P20,IF(Sel_Doeljaar=P_RJ+1,VERW_Project!$R20,"n.b."))))</f>
        <v>3300</v>
      </c>
      <c r="K24" s="41">
        <f>IF($A24="","",IF(Sel_Bron="Vastgesteld",INDEX($E24:$I24,MATCH(Sel_Versie,$E$8:$I$8,0)),IF(Sel_Bron="Concept",J24,"n.b.")))</f>
        <v>3300</v>
      </c>
      <c r="L24" s="62">
        <f>IF($A24="","",IF(Sel_Doeljaar&gt;P_VJ,"n.v.t.",IF(Sel_Bron="Vastgesteld",IF(ISNUMBER(IF(COUNTIFS(L_Actief,1,L_WBS,$A24,L_Doeljaar,Sel_Doeljaar,L_Versiejaar,P_VJ,L_Versie,Sel_Versie,L_Kengetal,"Omzet actual YTD")=0,"n.b.",SUMIFS(L_Waarde,L_Actief,1,L_WBS,$A24,L_Doeljaar,Sel_Doeljaar,L_Versiejaar,P_VJ,L_Versie,Sel_Versie,L_Kengetal,"Omzet actual YTD"))),IF(COUNTIFS(L_Actief,1,L_WBS,$A24,L_Doeljaar,Sel_Doeljaar,L_Versiejaar,P_VJ,L_Versie,Sel_Versie,L_Kengetal,"Omzet actual YTD")=0,"n.b.",SUMIFS(L_Waarde,L_Actief,1,L_WBS,$A24,L_Doeljaar,Sel_Doeljaar,L_Versiejaar,P_VJ,L_Versie,Sel_Versie,L_Kengetal,"Omzet actual YTD"))/P_Factor,IF(COUNTIFS(L_Actief,1,L_WBS,$A24,L_Doeljaar,Sel_Doeljaar,L_Versiejaar,P_VJ,L_Versie,Sel_Versie,L_Kengetal,"Omzet actual YTD")=0,"n.b.",SUMIFS(L_Waarde,L_Actief,1,L_WBS,$A24,L_Doeljaar,Sel_Doeljaar,L_Versiejaar,P_VJ,L_Versie,Sel_Versie,L_Kengetal,"Omzet actual YTD"))),IF(Sel_Bron="Concept",IF(ISNUMBER(IF(Sel_Doeljaar=P_RJ,VERW_Project!$L20,"n.v.t.")),IF(Sel_Doeljaar=P_RJ,VERW_Project!$L20,"n.v.t.")/P_Factor,IF(Sel_Doeljaar=P_RJ,VERW_Project!$L20,"n.v.t.")),"n.b."))))</f>
        <v>2145</v>
      </c>
      <c r="M24" s="41">
        <f>IF($A24="","",IF(L24="n.v.t.",K24,IF(AND(ISNUMBER(K24),ISNUMBER(L24)),K24-L24,"n.b.")))</f>
        <v>1155</v>
      </c>
      <c r="N24" s="41">
        <f>IF($A24="","",IF(Sel_Bron="Vastgesteld",IF(ISNUMBER(IF(COUNTIFS(L_Actief,1,L_WBS,$A24,L_Doeljaar,Sel_Doeljaar,L_Versiejaar,P_VJ,L_Versie,Sel_Versie,L_Kengetal,"BOR FY")=0,"n.b.",SUMIFS(L_Waarde,L_Actief,1,L_WBS,$A24,L_Doeljaar,Sel_Doeljaar,L_Versiejaar,P_VJ,L_Versie,Sel_Versie,L_Kengetal,"BOR FY"))),IF(COUNTIFS(L_Actief,1,L_WBS,$A24,L_Doeljaar,Sel_Doeljaar,L_Versiejaar,P_VJ,L_Versie,Sel_Versie,L_Kengetal,"BOR FY")=0,"n.b.",SUMIFS(L_Waarde,L_Actief,1,L_WBS,$A24,L_Doeljaar,Sel_Doeljaar,L_Versiejaar,P_VJ,L_Versie,Sel_Versie,L_Kengetal,"BOR FY"))/P_Factor,IF(COUNTIFS(L_Actief,1,L_WBS,$A24,L_Doeljaar,Sel_Doeljaar,L_Versiejaar,P_VJ,L_Versie,Sel_Versie,L_Kengetal,"BOR FY")=0,"n.b.",SUMIFS(L_Waarde,L_Actief,1,L_WBS,$A24,L_Doeljaar,Sel_Doeljaar,L_Versiejaar,P_VJ,L_Versie,Sel_Versie,L_Kengetal,"BOR FY"))),IF(Sel_Bron="Concept",IF(ISNUMBER(IF(Sel_Doeljaar=P_RJ,VERW_Project!$Q20,IF(Sel_Doeljaar=P_RJ+1,VERW_Project!$S20,"n.b."))),IF(Sel_Doeljaar=P_RJ,VERW_Project!$Q20,IF(Sel_Doeljaar=P_RJ+1,VERW_Project!$S20,"n.b."))/P_Factor,IF(Sel_Doeljaar=P_RJ,VERW_Project!$Q20,IF(Sel_Doeljaar=P_RJ+1,VERW_Project!$S20,"n.b."))),"n.b.")))</f>
        <v>214.5</v>
      </c>
      <c r="O24" s="63">
        <f>IF($A24="","",IF(AND(ISNUMBER(N24),ISNUMBER(K24)),IF(K24&lt;&gt;0,N24/K24,"n.b."),"n.b."))</f>
        <v>0.065</v>
      </c>
      <c r="P24" s="41">
        <f>IF($A24="","",IF(AND(ISNUMBER(K24),ISNUMBER(E24)),K24-E24,"n.b."))</f>
        <v>-330</v>
      </c>
      <c r="Q24" s="41">
        <f>IF($A24="","",IF(AND(ISNUMBER(K24),ISNUMBER(W24)),K24-W24,"n.b."))</f>
        <v>99</v>
      </c>
      <c r="R24" s="64" t="str">
        <f>IF($A24="","",IF(ISNUMBER(N24),IF(N24&lt;0,"Verlies",""),""))</f>
        <v/>
      </c>
      <c r="S24" s="61" t="str">
        <f>IF($A24="","",IFERROR(INDEX(T_Txt,MATCH($A24&amp;"|"&amp;Sel_Doeljaar&amp;"|"&amp;P_VJ&amp;"|"&amp;Sel_Versie,T_Key,0)),""))</f>
        <v/>
      </c>
      <c r="U24" s="15">
        <f>IF(AND(AND($A24&lt;&gt;"",OR(Sel_Type="Alle",$C24=Sel_Type),OR(Sel_Project="Alle",$B24=Sel_Project)),ISNUMBER(K24)),K24+ROW()/1000000000,"")</f>
        <v>3300.000000024</v>
      </c>
      <c r="V24" s="15">
        <f>IF(AND(AND($A24&lt;&gt;"",OR(Sel_Type="Alle",$C24=Sel_Type),OR(Sel_Project="Alle",$B24=Sel_Project)),ISNUMBER(Q24)),ABS(Q24)+ROW()/1000000000,"")</f>
        <v>99.000000024</v>
      </c>
      <c r="W24" s="15">
        <f>IF(OR($A24="",Sel_Prev=""),"n.b.",IF(ISNUMBER(IF(COUNTIFS(L_Actief,1,L_WBS,$A24,L_Doeljaar,Sel_Doeljaar,L_Versiejaar,P_VJ,L_Versie,Sel_Prev,L_Kengetal,"Omzet FY")=0,"n.b.",SUMIFS(L_Waarde,L_Actief,1,L_WBS,$A24,L_Doeljaar,Sel_Doeljaar,L_Versiejaar,P_VJ,L_Versie,Sel_Prev,L_Kengetal,"Omzet FY"))),IF(COUNTIFS(L_Actief,1,L_WBS,$A24,L_Doeljaar,Sel_Doeljaar,L_Versiejaar,P_VJ,L_Versie,Sel_Prev,L_Kengetal,"Omzet FY")=0,"n.b.",SUMIFS(L_Waarde,L_Actief,1,L_WBS,$A24,L_Doeljaar,Sel_Doeljaar,L_Versiejaar,P_VJ,L_Versie,Sel_Prev,L_Kengetal,"Omzet FY"))/P_Factor,IF(COUNTIFS(L_Actief,1,L_WBS,$A24,L_Doeljaar,Sel_Doeljaar,L_Versiejaar,P_VJ,L_Versie,Sel_Prev,L_Kengetal,"Omzet FY")=0,"n.b.",SUMIFS(L_Waarde,L_Actief,1,L_WBS,$A24,L_Doeljaar,Sel_Doeljaar,L_Versiejaar,P_VJ,L_Versie,Sel_Prev,L_Kengetal,"Omzet FY"))))</f>
        <v>3201</v>
      </c>
    </row>
    <row r="25">
      <c r="A25" s="61" t="str">
        <f>IF(VERW_Project!$A21="","",VERW_Project!$A21)</f>
        <v>G.900016.8.9090</v>
      </c>
      <c r="B25" s="61" t="str">
        <f>IF($A25="","",VERW_Project!$C21)</f>
        <v>Duinwaard, De Lantaarn</v>
      </c>
      <c r="C25" s="61" t="str">
        <f>IF($A25="","",VERW_Project!$D21)</f>
        <v>Opstal</v>
      </c>
      <c r="D25" s="61" t="str">
        <f>IF($A25="","",VERW_Project!$I21)</f>
        <v>J</v>
      </c>
      <c r="E25" s="41">
        <f>IF($A25="","",IF(ISNUMBER(IF(COUNTIFS(L_Actief,1,L_WBS,$A25,L_Doeljaar,Sel_Doeljaar,L_Versiejaar,P_VJ,L_Versie,E$8,L_Kengetal,"Omzet FY")=0,"n.b.",SUMIFS(L_Waarde,L_Actief,1,L_WBS,$A25,L_Doeljaar,Sel_Doeljaar,L_Versiejaar,P_VJ,L_Versie,E$8,L_Kengetal,"Omzet FY"))),IF(COUNTIFS(L_Actief,1,L_WBS,$A25,L_Doeljaar,Sel_Doeljaar,L_Versiejaar,P_VJ,L_Versie,E$8,L_Kengetal,"Omzet FY")=0,"n.b.",SUMIFS(L_Waarde,L_Actief,1,L_WBS,$A25,L_Doeljaar,Sel_Doeljaar,L_Versiejaar,P_VJ,L_Versie,E$8,L_Kengetal,"Omzet FY"))/P_Factor,IF(COUNTIFS(L_Actief,1,L_WBS,$A25,L_Doeljaar,Sel_Doeljaar,L_Versiejaar,P_VJ,L_Versie,E$8,L_Kengetal,"Omzet FY")=0,"n.b.",SUMIFS(L_Waarde,L_Actief,1,L_WBS,$A25,L_Doeljaar,Sel_Doeljaar,L_Versiejaar,P_VJ,L_Versie,E$8,L_Kengetal,"Omzet FY"))))</f>
        <v>4377.6</v>
      </c>
      <c r="F25" s="41">
        <f>IF($A25="","",IF(ISNUMBER(IF(COUNTIFS(L_Actief,1,L_WBS,$A25,L_Doeljaar,Sel_Doeljaar,L_Versiejaar,P_VJ,L_Versie,F$8,L_Kengetal,"Omzet FY")=0,"n.b.",SUMIFS(L_Waarde,L_Actief,1,L_WBS,$A25,L_Doeljaar,Sel_Doeljaar,L_Versiejaar,P_VJ,L_Versie,F$8,L_Kengetal,"Omzet FY"))),IF(COUNTIFS(L_Actief,1,L_WBS,$A25,L_Doeljaar,Sel_Doeljaar,L_Versiejaar,P_VJ,L_Versie,F$8,L_Kengetal,"Omzet FY")=0,"n.b.",SUMIFS(L_Waarde,L_Actief,1,L_WBS,$A25,L_Doeljaar,Sel_Doeljaar,L_Versiejaar,P_VJ,L_Versie,F$8,L_Kengetal,"Omzet FY"))/P_Factor,IF(COUNTIFS(L_Actief,1,L_WBS,$A25,L_Doeljaar,Sel_Doeljaar,L_Versiejaar,P_VJ,L_Versie,F$8,L_Kengetal,"Omzet FY")=0,"n.b.",SUMIFS(L_Waarde,L_Actief,1,L_WBS,$A25,L_Doeljaar,Sel_Doeljaar,L_Versiejaar,P_VJ,L_Versie,F$8,L_Kengetal,"Omzet FY"))))</f>
        <v>4572.16</v>
      </c>
      <c r="G25" s="41">
        <f>IF($A25="","",IF(ISNUMBER(IF(COUNTIFS(L_Actief,1,L_WBS,$A25,L_Doeljaar,Sel_Doeljaar,L_Versiejaar,P_VJ,L_Versie,G$8,L_Kengetal,"Omzet FY")=0,"n.b.",SUMIFS(L_Waarde,L_Actief,1,L_WBS,$A25,L_Doeljaar,Sel_Doeljaar,L_Versiejaar,P_VJ,L_Versie,G$8,L_Kengetal,"Omzet FY"))),IF(COUNTIFS(L_Actief,1,L_WBS,$A25,L_Doeljaar,Sel_Doeljaar,L_Versiejaar,P_VJ,L_Versie,G$8,L_Kengetal,"Omzet FY")=0,"n.b.",SUMIFS(L_Waarde,L_Actief,1,L_WBS,$A25,L_Doeljaar,Sel_Doeljaar,L_Versiejaar,P_VJ,L_Versie,G$8,L_Kengetal,"Omzet FY"))/P_Factor,IF(COUNTIFS(L_Actief,1,L_WBS,$A25,L_Doeljaar,Sel_Doeljaar,L_Versiejaar,P_VJ,L_Versie,G$8,L_Kengetal,"Omzet FY")=0,"n.b.",SUMIFS(L_Waarde,L_Actief,1,L_WBS,$A25,L_Doeljaar,Sel_Doeljaar,L_Versiejaar,P_VJ,L_Versie,G$8,L_Kengetal,"Omzet FY"))))</f>
        <v>5009.92</v>
      </c>
      <c r="H25" s="41">
        <f>IF($A25="","",IF(ISNUMBER(IF(COUNTIFS(L_Actief,1,L_WBS,$A25,L_Doeljaar,Sel_Doeljaar,L_Versiejaar,P_VJ,L_Versie,H$8,L_Kengetal,"Omzet FY")=0,"n.b.",SUMIFS(L_Waarde,L_Actief,1,L_WBS,$A25,L_Doeljaar,Sel_Doeljaar,L_Versiejaar,P_VJ,L_Versie,H$8,L_Kengetal,"Omzet FY"))),IF(COUNTIFS(L_Actief,1,L_WBS,$A25,L_Doeljaar,Sel_Doeljaar,L_Versiejaar,P_VJ,L_Versie,H$8,L_Kengetal,"Omzet FY")=0,"n.b.",SUMIFS(L_Waarde,L_Actief,1,L_WBS,$A25,L_Doeljaar,Sel_Doeljaar,L_Versiejaar,P_VJ,L_Versie,H$8,L_Kengetal,"Omzet FY"))/P_Factor,IF(COUNTIFS(L_Actief,1,L_WBS,$A25,L_Doeljaar,Sel_Doeljaar,L_Versiejaar,P_VJ,L_Versie,H$8,L_Kengetal,"Omzet FY")=0,"n.b.",SUMIFS(L_Waarde,L_Actief,1,L_WBS,$A25,L_Doeljaar,Sel_Doeljaar,L_Versiejaar,P_VJ,L_Versie,H$8,L_Kengetal,"Omzet FY"))))</f>
        <v>4864</v>
      </c>
      <c r="I25" s="41" t="str">
        <f>IF($A25="","",IF(ISNUMBER(IF(COUNTIFS(L_Actief,1,L_WBS,$A25,L_Doeljaar,Sel_Doeljaar,L_Versiejaar,P_VJ,L_Versie,I$8,L_Kengetal,"Omzet FY")=0,"n.b.",SUMIFS(L_Waarde,L_Actief,1,L_WBS,$A25,L_Doeljaar,Sel_Doeljaar,L_Versiejaar,P_VJ,L_Versie,I$8,L_Kengetal,"Omzet FY"))),IF(COUNTIFS(L_Actief,1,L_WBS,$A25,L_Doeljaar,Sel_Doeljaar,L_Versiejaar,P_VJ,L_Versie,I$8,L_Kengetal,"Omzet FY")=0,"n.b.",SUMIFS(L_Waarde,L_Actief,1,L_WBS,$A25,L_Doeljaar,Sel_Doeljaar,L_Versiejaar,P_VJ,L_Versie,I$8,L_Kengetal,"Omzet FY"))/P_Factor,IF(COUNTIFS(L_Actief,1,L_WBS,$A25,L_Doeljaar,Sel_Doeljaar,L_Versiejaar,P_VJ,L_Versie,I$8,L_Kengetal,"Omzet FY")=0,"n.b.",SUMIFS(L_Waarde,L_Actief,1,L_WBS,$A25,L_Doeljaar,Sel_Doeljaar,L_Versiejaar,P_VJ,L_Versie,I$8,L_Kengetal,"Omzet FY"))))</f>
        <v>n.b.</v>
      </c>
      <c r="J25" s="41">
        <f>IF($A25="","",IF(ISNUMBER(IF(Sel_Doeljaar=P_RJ,VERW_Project!$P21,IF(Sel_Doeljaar=P_RJ+1,VERW_Project!$R21,"n.b."))),IF(Sel_Doeljaar=P_RJ,VERW_Project!$P21,IF(Sel_Doeljaar=P_RJ+1,VERW_Project!$R21,"n.b."))/P_Factor,IF(Sel_Doeljaar=P_RJ,VERW_Project!$P21,IF(Sel_Doeljaar=P_RJ+1,VERW_Project!$R21,"n.b."))))</f>
        <v>4864</v>
      </c>
      <c r="K25" s="41">
        <f>IF($A25="","",IF(Sel_Bron="Vastgesteld",INDEX($E25:$I25,MATCH(Sel_Versie,$E$8:$I$8,0)),IF(Sel_Bron="Concept",J25,"n.b.")))</f>
        <v>4864</v>
      </c>
      <c r="L25" s="62">
        <f>IF($A25="","",IF(Sel_Doeljaar&gt;P_VJ,"n.v.t.",IF(Sel_Bron="Vastgesteld",IF(ISNUMBER(IF(COUNTIFS(L_Actief,1,L_WBS,$A25,L_Doeljaar,Sel_Doeljaar,L_Versiejaar,P_VJ,L_Versie,Sel_Versie,L_Kengetal,"Omzet actual YTD")=0,"n.b.",SUMIFS(L_Waarde,L_Actief,1,L_WBS,$A25,L_Doeljaar,Sel_Doeljaar,L_Versiejaar,P_VJ,L_Versie,Sel_Versie,L_Kengetal,"Omzet actual YTD"))),IF(COUNTIFS(L_Actief,1,L_WBS,$A25,L_Doeljaar,Sel_Doeljaar,L_Versiejaar,P_VJ,L_Versie,Sel_Versie,L_Kengetal,"Omzet actual YTD")=0,"n.b.",SUMIFS(L_Waarde,L_Actief,1,L_WBS,$A25,L_Doeljaar,Sel_Doeljaar,L_Versiejaar,P_VJ,L_Versie,Sel_Versie,L_Kengetal,"Omzet actual YTD"))/P_Factor,IF(COUNTIFS(L_Actief,1,L_WBS,$A25,L_Doeljaar,Sel_Doeljaar,L_Versiejaar,P_VJ,L_Versie,Sel_Versie,L_Kengetal,"Omzet actual YTD")=0,"n.b.",SUMIFS(L_Waarde,L_Actief,1,L_WBS,$A25,L_Doeljaar,Sel_Doeljaar,L_Versiejaar,P_VJ,L_Versie,Sel_Versie,L_Kengetal,"Omzet actual YTD"))),IF(Sel_Bron="Concept",IF(ISNUMBER(IF(Sel_Doeljaar=P_RJ,VERW_Project!$L21,"n.v.t.")),IF(Sel_Doeljaar=P_RJ,VERW_Project!$L21,"n.v.t.")/P_Factor,IF(Sel_Doeljaar=P_RJ,VERW_Project!$L21,"n.v.t.")),"n.b."))))</f>
        <v>3161.6</v>
      </c>
      <c r="M25" s="41">
        <f>IF($A25="","",IF(L25="n.v.t.",K25,IF(AND(ISNUMBER(K25),ISNUMBER(L25)),K25-L25,"n.b.")))</f>
        <v>1702.4</v>
      </c>
      <c r="N25" s="41">
        <f>IF($A25="","",IF(Sel_Bron="Vastgesteld",IF(ISNUMBER(IF(COUNTIFS(L_Actief,1,L_WBS,$A25,L_Doeljaar,Sel_Doeljaar,L_Versiejaar,P_VJ,L_Versie,Sel_Versie,L_Kengetal,"BOR FY")=0,"n.b.",SUMIFS(L_Waarde,L_Actief,1,L_WBS,$A25,L_Doeljaar,Sel_Doeljaar,L_Versiejaar,P_VJ,L_Versie,Sel_Versie,L_Kengetal,"BOR FY"))),IF(COUNTIFS(L_Actief,1,L_WBS,$A25,L_Doeljaar,Sel_Doeljaar,L_Versiejaar,P_VJ,L_Versie,Sel_Versie,L_Kengetal,"BOR FY")=0,"n.b.",SUMIFS(L_Waarde,L_Actief,1,L_WBS,$A25,L_Doeljaar,Sel_Doeljaar,L_Versiejaar,P_VJ,L_Versie,Sel_Versie,L_Kengetal,"BOR FY"))/P_Factor,IF(COUNTIFS(L_Actief,1,L_WBS,$A25,L_Doeljaar,Sel_Doeljaar,L_Versiejaar,P_VJ,L_Versie,Sel_Versie,L_Kengetal,"BOR FY")=0,"n.b.",SUMIFS(L_Waarde,L_Actief,1,L_WBS,$A25,L_Doeljaar,Sel_Doeljaar,L_Versiejaar,P_VJ,L_Versie,Sel_Versie,L_Kengetal,"BOR FY"))),IF(Sel_Bron="Concept",IF(ISNUMBER(IF(Sel_Doeljaar=P_RJ,VERW_Project!$Q21,IF(Sel_Doeljaar=P_RJ+1,VERW_Project!$S21,"n.b."))),IF(Sel_Doeljaar=P_RJ,VERW_Project!$Q21,IF(Sel_Doeljaar=P_RJ+1,VERW_Project!$S21,"n.b."))/P_Factor,IF(Sel_Doeljaar=P_RJ,VERW_Project!$Q21,IF(Sel_Doeljaar=P_RJ+1,VERW_Project!$S21,"n.b."))),"n.b.")))</f>
        <v>680.96</v>
      </c>
      <c r="O25" s="63">
        <f>IF($A25="","",IF(AND(ISNUMBER(N25),ISNUMBER(K25)),IF(K25&lt;&gt;0,N25/K25,"n.b."),"n.b."))</f>
        <v>0.14</v>
      </c>
      <c r="P25" s="41">
        <f>IF($A25="","",IF(AND(ISNUMBER(K25),ISNUMBER(E25)),K25-E25,"n.b."))</f>
        <v>486.4</v>
      </c>
      <c r="Q25" s="41">
        <f>IF($A25="","",IF(AND(ISNUMBER(K25),ISNUMBER(W25)),K25-W25,"n.b."))</f>
        <v>-145.92</v>
      </c>
      <c r="R25" s="64" t="str">
        <f>IF($A25="","",IF(ISNUMBER(N25),IF(N25&lt;0,"Verlies",""),""))</f>
        <v/>
      </c>
      <c r="S25" s="61" t="str">
        <f>IF($A25="","",IFERROR(INDEX(T_Txt,MATCH($A25&amp;"|"&amp;Sel_Doeljaar&amp;"|"&amp;P_VJ&amp;"|"&amp;Sel_Versie,T_Key,0)),""))</f>
        <v/>
      </c>
      <c r="U25" s="15">
        <f>IF(AND(AND($A25&lt;&gt;"",OR(Sel_Type="Alle",$C25=Sel_Type),OR(Sel_Project="Alle",$B25=Sel_Project)),ISNUMBER(K25)),K25+ROW()/1000000000,"")</f>
        <v>4864.000000025</v>
      </c>
      <c r="V25" s="15">
        <f>IF(AND(AND($A25&lt;&gt;"",OR(Sel_Type="Alle",$C25=Sel_Type),OR(Sel_Project="Alle",$B25=Sel_Project)),ISNUMBER(Q25)),ABS(Q25)+ROW()/1000000000,"")</f>
        <v>145.920000025</v>
      </c>
      <c r="W25" s="15">
        <f>IF(OR($A25="",Sel_Prev=""),"n.b.",IF(ISNUMBER(IF(COUNTIFS(L_Actief,1,L_WBS,$A25,L_Doeljaar,Sel_Doeljaar,L_Versiejaar,P_VJ,L_Versie,Sel_Prev,L_Kengetal,"Omzet FY")=0,"n.b.",SUMIFS(L_Waarde,L_Actief,1,L_WBS,$A25,L_Doeljaar,Sel_Doeljaar,L_Versiejaar,P_VJ,L_Versie,Sel_Prev,L_Kengetal,"Omzet FY"))),IF(COUNTIFS(L_Actief,1,L_WBS,$A25,L_Doeljaar,Sel_Doeljaar,L_Versiejaar,P_VJ,L_Versie,Sel_Prev,L_Kengetal,"Omzet FY")=0,"n.b.",SUMIFS(L_Waarde,L_Actief,1,L_WBS,$A25,L_Doeljaar,Sel_Doeljaar,L_Versiejaar,P_VJ,L_Versie,Sel_Prev,L_Kengetal,"Omzet FY"))/P_Factor,IF(COUNTIFS(L_Actief,1,L_WBS,$A25,L_Doeljaar,Sel_Doeljaar,L_Versiejaar,P_VJ,L_Versie,Sel_Prev,L_Kengetal,"Omzet FY")=0,"n.b.",SUMIFS(L_Waarde,L_Actief,1,L_WBS,$A25,L_Doeljaar,Sel_Doeljaar,L_Versiejaar,P_VJ,L_Versie,Sel_Prev,L_Kengetal,"Omzet FY"))))</f>
        <v>5009.92</v>
      </c>
    </row>
    <row r="26">
      <c r="A26" s="61" t="str">
        <f>IF(VERW_Project!$A22="","",VERW_Project!$A22)</f>
        <v>G.900017.8.9090</v>
      </c>
      <c r="B26" s="61" t="str">
        <f>IF($A26="","",VERW_Project!$C22)</f>
        <v>Veldendam, Spoorpark</v>
      </c>
      <c r="C26" s="61" t="str">
        <f>IF($A26="","",VERW_Project!$D22)</f>
        <v>Opstal</v>
      </c>
      <c r="D26" s="61" t="str">
        <f>IF($A26="","",VERW_Project!$I22)</f>
        <v>J</v>
      </c>
      <c r="E26" s="41">
        <f>IF($A26="","",IF(ISNUMBER(IF(COUNTIFS(L_Actief,1,L_WBS,$A26,L_Doeljaar,Sel_Doeljaar,L_Versiejaar,P_VJ,L_Versie,E$8,L_Kengetal,"Omzet FY")=0,"n.b.",SUMIFS(L_Waarde,L_Actief,1,L_WBS,$A26,L_Doeljaar,Sel_Doeljaar,L_Versiejaar,P_VJ,L_Versie,E$8,L_Kengetal,"Omzet FY"))),IF(COUNTIFS(L_Actief,1,L_WBS,$A26,L_Doeljaar,Sel_Doeljaar,L_Versiejaar,P_VJ,L_Versie,E$8,L_Kengetal,"Omzet FY")=0,"n.b.",SUMIFS(L_Waarde,L_Actief,1,L_WBS,$A26,L_Doeljaar,Sel_Doeljaar,L_Versiejaar,P_VJ,L_Versie,E$8,L_Kengetal,"Omzet FY"))/P_Factor,IF(COUNTIFS(L_Actief,1,L_WBS,$A26,L_Doeljaar,Sel_Doeljaar,L_Versiejaar,P_VJ,L_Versie,E$8,L_Kengetal,"Omzet FY")=0,"n.b.",SUMIFS(L_Waarde,L_Actief,1,L_WBS,$A26,L_Doeljaar,Sel_Doeljaar,L_Versiejaar,P_VJ,L_Versie,E$8,L_Kengetal,"Omzet FY"))))</f>
        <v>12936</v>
      </c>
      <c r="F26" s="41">
        <f>IF($A26="","",IF(ISNUMBER(IF(COUNTIFS(L_Actief,1,L_WBS,$A26,L_Doeljaar,Sel_Doeljaar,L_Versiejaar,P_VJ,L_Versie,F$8,L_Kengetal,"Omzet FY")=0,"n.b.",SUMIFS(L_Waarde,L_Actief,1,L_WBS,$A26,L_Doeljaar,Sel_Doeljaar,L_Versiejaar,P_VJ,L_Versie,F$8,L_Kengetal,"Omzet FY"))),IF(COUNTIFS(L_Actief,1,L_WBS,$A26,L_Doeljaar,Sel_Doeljaar,L_Versiejaar,P_VJ,L_Versie,F$8,L_Kengetal,"Omzet FY")=0,"n.b.",SUMIFS(L_Waarde,L_Actief,1,L_WBS,$A26,L_Doeljaar,Sel_Doeljaar,L_Versiejaar,P_VJ,L_Versie,F$8,L_Kengetal,"Omzet FY"))/P_Factor,IF(COUNTIFS(L_Actief,1,L_WBS,$A26,L_Doeljaar,Sel_Doeljaar,L_Versiejaar,P_VJ,L_Versie,F$8,L_Kengetal,"Omzet FY")=0,"n.b.",SUMIFS(L_Waarde,L_Actief,1,L_WBS,$A26,L_Doeljaar,Sel_Doeljaar,L_Versiejaar,P_VJ,L_Versie,F$8,L_Kengetal,"Omzet FY"))))</f>
        <v>12465.6</v>
      </c>
      <c r="G26" s="41">
        <f>IF($A26="","",IF(ISNUMBER(IF(COUNTIFS(L_Actief,1,L_WBS,$A26,L_Doeljaar,Sel_Doeljaar,L_Versiejaar,P_VJ,L_Versie,G$8,L_Kengetal,"Omzet FY")=0,"n.b.",SUMIFS(L_Waarde,L_Actief,1,L_WBS,$A26,L_Doeljaar,Sel_Doeljaar,L_Versiejaar,P_VJ,L_Versie,G$8,L_Kengetal,"Omzet FY"))),IF(COUNTIFS(L_Actief,1,L_WBS,$A26,L_Doeljaar,Sel_Doeljaar,L_Versiejaar,P_VJ,L_Versie,G$8,L_Kengetal,"Omzet FY")=0,"n.b.",SUMIFS(L_Waarde,L_Actief,1,L_WBS,$A26,L_Doeljaar,Sel_Doeljaar,L_Versiejaar,P_VJ,L_Versie,G$8,L_Kengetal,"Omzet FY"))/P_Factor,IF(COUNTIFS(L_Actief,1,L_WBS,$A26,L_Doeljaar,Sel_Doeljaar,L_Versiejaar,P_VJ,L_Versie,G$8,L_Kengetal,"Omzet FY")=0,"n.b.",SUMIFS(L_Waarde,L_Actief,1,L_WBS,$A26,L_Doeljaar,Sel_Doeljaar,L_Versiejaar,P_VJ,L_Versie,G$8,L_Kengetal,"Omzet FY"))))</f>
        <v>11407.2</v>
      </c>
      <c r="H26" s="41">
        <f>IF($A26="","",IF(ISNUMBER(IF(COUNTIFS(L_Actief,1,L_WBS,$A26,L_Doeljaar,Sel_Doeljaar,L_Versiejaar,P_VJ,L_Versie,H$8,L_Kengetal,"Omzet FY")=0,"n.b.",SUMIFS(L_Waarde,L_Actief,1,L_WBS,$A26,L_Doeljaar,Sel_Doeljaar,L_Versiejaar,P_VJ,L_Versie,H$8,L_Kengetal,"Omzet FY"))),IF(COUNTIFS(L_Actief,1,L_WBS,$A26,L_Doeljaar,Sel_Doeljaar,L_Versiejaar,P_VJ,L_Versie,H$8,L_Kengetal,"Omzet FY")=0,"n.b.",SUMIFS(L_Waarde,L_Actief,1,L_WBS,$A26,L_Doeljaar,Sel_Doeljaar,L_Versiejaar,P_VJ,L_Versie,H$8,L_Kengetal,"Omzet FY"))/P_Factor,IF(COUNTIFS(L_Actief,1,L_WBS,$A26,L_Doeljaar,Sel_Doeljaar,L_Versiejaar,P_VJ,L_Versie,H$8,L_Kengetal,"Omzet FY")=0,"n.b.",SUMIFS(L_Waarde,L_Actief,1,L_WBS,$A26,L_Doeljaar,Sel_Doeljaar,L_Versiejaar,P_VJ,L_Versie,H$8,L_Kengetal,"Omzet FY"))))</f>
        <v>11760</v>
      </c>
      <c r="I26" s="41" t="str">
        <f>IF($A26="","",IF(ISNUMBER(IF(COUNTIFS(L_Actief,1,L_WBS,$A26,L_Doeljaar,Sel_Doeljaar,L_Versiejaar,P_VJ,L_Versie,I$8,L_Kengetal,"Omzet FY")=0,"n.b.",SUMIFS(L_Waarde,L_Actief,1,L_WBS,$A26,L_Doeljaar,Sel_Doeljaar,L_Versiejaar,P_VJ,L_Versie,I$8,L_Kengetal,"Omzet FY"))),IF(COUNTIFS(L_Actief,1,L_WBS,$A26,L_Doeljaar,Sel_Doeljaar,L_Versiejaar,P_VJ,L_Versie,I$8,L_Kengetal,"Omzet FY")=0,"n.b.",SUMIFS(L_Waarde,L_Actief,1,L_WBS,$A26,L_Doeljaar,Sel_Doeljaar,L_Versiejaar,P_VJ,L_Versie,I$8,L_Kengetal,"Omzet FY"))/P_Factor,IF(COUNTIFS(L_Actief,1,L_WBS,$A26,L_Doeljaar,Sel_Doeljaar,L_Versiejaar,P_VJ,L_Versie,I$8,L_Kengetal,"Omzet FY")=0,"n.b.",SUMIFS(L_Waarde,L_Actief,1,L_WBS,$A26,L_Doeljaar,Sel_Doeljaar,L_Versiejaar,P_VJ,L_Versie,I$8,L_Kengetal,"Omzet FY"))))</f>
        <v>n.b.</v>
      </c>
      <c r="J26" s="41">
        <f>IF($A26="","",IF(ISNUMBER(IF(Sel_Doeljaar=P_RJ,VERW_Project!$P22,IF(Sel_Doeljaar=P_RJ+1,VERW_Project!$R22,"n.b."))),IF(Sel_Doeljaar=P_RJ,VERW_Project!$P22,IF(Sel_Doeljaar=P_RJ+1,VERW_Project!$R22,"n.b."))/P_Factor,IF(Sel_Doeljaar=P_RJ,VERW_Project!$P22,IF(Sel_Doeljaar=P_RJ+1,VERW_Project!$R22,"n.b."))))</f>
        <v>11760</v>
      </c>
      <c r="K26" s="41">
        <f>IF($A26="","",IF(Sel_Bron="Vastgesteld",INDEX($E26:$I26,MATCH(Sel_Versie,$E$8:$I$8,0)),IF(Sel_Bron="Concept",J26,"n.b.")))</f>
        <v>11760</v>
      </c>
      <c r="L26" s="62">
        <f>IF($A26="","",IF(Sel_Doeljaar&gt;P_VJ,"n.v.t.",IF(Sel_Bron="Vastgesteld",IF(ISNUMBER(IF(COUNTIFS(L_Actief,1,L_WBS,$A26,L_Doeljaar,Sel_Doeljaar,L_Versiejaar,P_VJ,L_Versie,Sel_Versie,L_Kengetal,"Omzet actual YTD")=0,"n.b.",SUMIFS(L_Waarde,L_Actief,1,L_WBS,$A26,L_Doeljaar,Sel_Doeljaar,L_Versiejaar,P_VJ,L_Versie,Sel_Versie,L_Kengetal,"Omzet actual YTD"))),IF(COUNTIFS(L_Actief,1,L_WBS,$A26,L_Doeljaar,Sel_Doeljaar,L_Versiejaar,P_VJ,L_Versie,Sel_Versie,L_Kengetal,"Omzet actual YTD")=0,"n.b.",SUMIFS(L_Waarde,L_Actief,1,L_WBS,$A26,L_Doeljaar,Sel_Doeljaar,L_Versiejaar,P_VJ,L_Versie,Sel_Versie,L_Kengetal,"Omzet actual YTD"))/P_Factor,IF(COUNTIFS(L_Actief,1,L_WBS,$A26,L_Doeljaar,Sel_Doeljaar,L_Versiejaar,P_VJ,L_Versie,Sel_Versie,L_Kengetal,"Omzet actual YTD")=0,"n.b.",SUMIFS(L_Waarde,L_Actief,1,L_WBS,$A26,L_Doeljaar,Sel_Doeljaar,L_Versiejaar,P_VJ,L_Versie,Sel_Versie,L_Kengetal,"Omzet actual YTD"))),IF(Sel_Bron="Concept",IF(ISNUMBER(IF(Sel_Doeljaar=P_RJ,VERW_Project!$L22,"n.v.t.")),IF(Sel_Doeljaar=P_RJ,VERW_Project!$L22,"n.v.t.")/P_Factor,IF(Sel_Doeljaar=P_RJ,VERW_Project!$L22,"n.v.t.")),"n.b."))))</f>
        <v>7644</v>
      </c>
      <c r="M26" s="41">
        <f>IF($A26="","",IF(L26="n.v.t.",K26,IF(AND(ISNUMBER(K26),ISNUMBER(L26)),K26-L26,"n.b.")))</f>
        <v>4116</v>
      </c>
      <c r="N26" s="41">
        <f>IF($A26="","",IF(Sel_Bron="Vastgesteld",IF(ISNUMBER(IF(COUNTIFS(L_Actief,1,L_WBS,$A26,L_Doeljaar,Sel_Doeljaar,L_Versiejaar,P_VJ,L_Versie,Sel_Versie,L_Kengetal,"BOR FY")=0,"n.b.",SUMIFS(L_Waarde,L_Actief,1,L_WBS,$A26,L_Doeljaar,Sel_Doeljaar,L_Versiejaar,P_VJ,L_Versie,Sel_Versie,L_Kengetal,"BOR FY"))),IF(COUNTIFS(L_Actief,1,L_WBS,$A26,L_Doeljaar,Sel_Doeljaar,L_Versiejaar,P_VJ,L_Versie,Sel_Versie,L_Kengetal,"BOR FY")=0,"n.b.",SUMIFS(L_Waarde,L_Actief,1,L_WBS,$A26,L_Doeljaar,Sel_Doeljaar,L_Versiejaar,P_VJ,L_Versie,Sel_Versie,L_Kengetal,"BOR FY"))/P_Factor,IF(COUNTIFS(L_Actief,1,L_WBS,$A26,L_Doeljaar,Sel_Doeljaar,L_Versiejaar,P_VJ,L_Versie,Sel_Versie,L_Kengetal,"BOR FY")=0,"n.b.",SUMIFS(L_Waarde,L_Actief,1,L_WBS,$A26,L_Doeljaar,Sel_Doeljaar,L_Versiejaar,P_VJ,L_Versie,Sel_Versie,L_Kengetal,"BOR FY"))),IF(Sel_Bron="Concept",IF(ISNUMBER(IF(Sel_Doeljaar=P_RJ,VERW_Project!$Q22,IF(Sel_Doeljaar=P_RJ+1,VERW_Project!$S22,"n.b."))),IF(Sel_Doeljaar=P_RJ,VERW_Project!$Q22,IF(Sel_Doeljaar=P_RJ+1,VERW_Project!$S22,"n.b."))/P_Factor,IF(Sel_Doeljaar=P_RJ,VERW_Project!$Q22,IF(Sel_Doeljaar=P_RJ+1,VERW_Project!$S22,"n.b."))),"n.b.")))</f>
        <v>1176</v>
      </c>
      <c r="O26" s="63">
        <f>IF($A26="","",IF(AND(ISNUMBER(N26),ISNUMBER(K26)),IF(K26&lt;&gt;0,N26/K26,"n.b."),"n.b."))</f>
        <v>0.1</v>
      </c>
      <c r="P26" s="41">
        <f>IF($A26="","",IF(AND(ISNUMBER(K26),ISNUMBER(E26)),K26-E26,"n.b."))</f>
        <v>-1176</v>
      </c>
      <c r="Q26" s="41">
        <f>IF($A26="","",IF(AND(ISNUMBER(K26),ISNUMBER(W26)),K26-W26,"n.b."))</f>
        <v>352.799999999999</v>
      </c>
      <c r="R26" s="64" t="str">
        <f>IF($A26="","",IF(ISNUMBER(N26),IF(N26&lt;0,"Verlies",""),""))</f>
        <v/>
      </c>
      <c r="S26" s="61" t="str">
        <f>IF($A26="","",IFERROR(INDEX(T_Txt,MATCH($A26&amp;"|"&amp;Sel_Doeljaar&amp;"|"&amp;P_VJ&amp;"|"&amp;Sel_Versie,T_Key,0)),""))</f>
        <v/>
      </c>
      <c r="U26" s="15">
        <f>IF(AND(AND($A26&lt;&gt;"",OR(Sel_Type="Alle",$C26=Sel_Type),OR(Sel_Project="Alle",$B26=Sel_Project)),ISNUMBER(K26)),K26+ROW()/1000000000,"")</f>
        <v>11760.000000026</v>
      </c>
      <c r="V26" s="15">
        <f>IF(AND(AND($A26&lt;&gt;"",OR(Sel_Type="Alle",$C26=Sel_Type),OR(Sel_Project="Alle",$B26=Sel_Project)),ISNUMBER(Q26)),ABS(Q26)+ROW()/1000000000,"")</f>
        <v>352.800000025999</v>
      </c>
      <c r="W26" s="15">
        <f>IF(OR($A26="",Sel_Prev=""),"n.b.",IF(ISNUMBER(IF(COUNTIFS(L_Actief,1,L_WBS,$A26,L_Doeljaar,Sel_Doeljaar,L_Versiejaar,P_VJ,L_Versie,Sel_Prev,L_Kengetal,"Omzet FY")=0,"n.b.",SUMIFS(L_Waarde,L_Actief,1,L_WBS,$A26,L_Doeljaar,Sel_Doeljaar,L_Versiejaar,P_VJ,L_Versie,Sel_Prev,L_Kengetal,"Omzet FY"))),IF(COUNTIFS(L_Actief,1,L_WBS,$A26,L_Doeljaar,Sel_Doeljaar,L_Versiejaar,P_VJ,L_Versie,Sel_Prev,L_Kengetal,"Omzet FY")=0,"n.b.",SUMIFS(L_Waarde,L_Actief,1,L_WBS,$A26,L_Doeljaar,Sel_Doeljaar,L_Versiejaar,P_VJ,L_Versie,Sel_Prev,L_Kengetal,"Omzet FY"))/P_Factor,IF(COUNTIFS(L_Actief,1,L_WBS,$A26,L_Doeljaar,Sel_Doeljaar,L_Versiejaar,P_VJ,L_Versie,Sel_Prev,L_Kengetal,"Omzet FY")=0,"n.b.",SUMIFS(L_Waarde,L_Actief,1,L_WBS,$A26,L_Doeljaar,Sel_Doeljaar,L_Versiejaar,P_VJ,L_Versie,Sel_Prev,L_Kengetal,"Omzet FY"))))</f>
        <v>11407.2</v>
      </c>
    </row>
    <row r="27">
      <c r="A27" s="61" t="str">
        <f>IF(VERW_Project!$A23="","",VERW_Project!$A23)</f>
        <v>G.900018.8.9090</v>
      </c>
      <c r="B27" s="61" t="str">
        <f>IF($A27="","",VERW_Project!$C23)</f>
        <v>Meerhovenstad, De Boog</v>
      </c>
      <c r="C27" s="61" t="str">
        <f>IF($A27="","",VERW_Project!$D23)</f>
        <v>Deelneming</v>
      </c>
      <c r="D27" s="61" t="str">
        <f>IF($A27="","",VERW_Project!$I23)</f>
        <v>N</v>
      </c>
      <c r="E27" s="41">
        <f>IF($A27="","",IF(ISNUMBER(IF(COUNTIFS(L_Actief,1,L_WBS,$A27,L_Doeljaar,Sel_Doeljaar,L_Versiejaar,P_VJ,L_Versie,E$8,L_Kengetal,"Omzet FY")=0,"n.b.",SUMIFS(L_Waarde,L_Actief,1,L_WBS,$A27,L_Doeljaar,Sel_Doeljaar,L_Versiejaar,P_VJ,L_Versie,E$8,L_Kengetal,"Omzet FY"))),IF(COUNTIFS(L_Actief,1,L_WBS,$A27,L_Doeljaar,Sel_Doeljaar,L_Versiejaar,P_VJ,L_Versie,E$8,L_Kengetal,"Omzet FY")=0,"n.b.",SUMIFS(L_Waarde,L_Actief,1,L_WBS,$A27,L_Doeljaar,Sel_Doeljaar,L_Versiejaar,P_VJ,L_Versie,E$8,L_Kengetal,"Omzet FY"))/P_Factor,IF(COUNTIFS(L_Actief,1,L_WBS,$A27,L_Doeljaar,Sel_Doeljaar,L_Versiejaar,P_VJ,L_Versie,E$8,L_Kengetal,"Omzet FY")=0,"n.b.",SUMIFS(L_Waarde,L_Actief,1,L_WBS,$A27,L_Doeljaar,Sel_Doeljaar,L_Versiejaar,P_VJ,L_Versie,E$8,L_Kengetal,"Omzet FY"))))</f>
        <v>1625.4</v>
      </c>
      <c r="F27" s="41">
        <f>IF($A27="","",IF(ISNUMBER(IF(COUNTIFS(L_Actief,1,L_WBS,$A27,L_Doeljaar,Sel_Doeljaar,L_Versiejaar,P_VJ,L_Versie,F$8,L_Kengetal,"Omzet FY")=0,"n.b.",SUMIFS(L_Waarde,L_Actief,1,L_WBS,$A27,L_Doeljaar,Sel_Doeljaar,L_Versiejaar,P_VJ,L_Versie,F$8,L_Kengetal,"Omzet FY"))),IF(COUNTIFS(L_Actief,1,L_WBS,$A27,L_Doeljaar,Sel_Doeljaar,L_Versiejaar,P_VJ,L_Versie,F$8,L_Kengetal,"Omzet FY")=0,"n.b.",SUMIFS(L_Waarde,L_Actief,1,L_WBS,$A27,L_Doeljaar,Sel_Doeljaar,L_Versiejaar,P_VJ,L_Versie,F$8,L_Kengetal,"Omzet FY"))/P_Factor,IF(COUNTIFS(L_Actief,1,L_WBS,$A27,L_Doeljaar,Sel_Doeljaar,L_Versiejaar,P_VJ,L_Versie,F$8,L_Kengetal,"Omzet FY")=0,"n.b.",SUMIFS(L_Waarde,L_Actief,1,L_WBS,$A27,L_Doeljaar,Sel_Doeljaar,L_Versiejaar,P_VJ,L_Versie,F$8,L_Kengetal,"Omzet FY"))))</f>
        <v>1697.64</v>
      </c>
      <c r="G27" s="41">
        <f>IF($A27="","",IF(ISNUMBER(IF(COUNTIFS(L_Actief,1,L_WBS,$A27,L_Doeljaar,Sel_Doeljaar,L_Versiejaar,P_VJ,L_Versie,G$8,L_Kengetal,"Omzet FY")=0,"n.b.",SUMIFS(L_Waarde,L_Actief,1,L_WBS,$A27,L_Doeljaar,Sel_Doeljaar,L_Versiejaar,P_VJ,L_Versie,G$8,L_Kengetal,"Omzet FY"))),IF(COUNTIFS(L_Actief,1,L_WBS,$A27,L_Doeljaar,Sel_Doeljaar,L_Versiejaar,P_VJ,L_Versie,G$8,L_Kengetal,"Omzet FY")=0,"n.b.",SUMIFS(L_Waarde,L_Actief,1,L_WBS,$A27,L_Doeljaar,Sel_Doeljaar,L_Versiejaar,P_VJ,L_Versie,G$8,L_Kengetal,"Omzet FY"))/P_Factor,IF(COUNTIFS(L_Actief,1,L_WBS,$A27,L_Doeljaar,Sel_Doeljaar,L_Versiejaar,P_VJ,L_Versie,G$8,L_Kengetal,"Omzet FY")=0,"n.b.",SUMIFS(L_Waarde,L_Actief,1,L_WBS,$A27,L_Doeljaar,Sel_Doeljaar,L_Versiejaar,P_VJ,L_Versie,G$8,L_Kengetal,"Omzet FY"))))</f>
        <v>1860.18</v>
      </c>
      <c r="H27" s="41">
        <f>IF($A27="","",IF(ISNUMBER(IF(COUNTIFS(L_Actief,1,L_WBS,$A27,L_Doeljaar,Sel_Doeljaar,L_Versiejaar,P_VJ,L_Versie,H$8,L_Kengetal,"Omzet FY")=0,"n.b.",SUMIFS(L_Waarde,L_Actief,1,L_WBS,$A27,L_Doeljaar,Sel_Doeljaar,L_Versiejaar,P_VJ,L_Versie,H$8,L_Kengetal,"Omzet FY"))),IF(COUNTIFS(L_Actief,1,L_WBS,$A27,L_Doeljaar,Sel_Doeljaar,L_Versiejaar,P_VJ,L_Versie,H$8,L_Kengetal,"Omzet FY")=0,"n.b.",SUMIFS(L_Waarde,L_Actief,1,L_WBS,$A27,L_Doeljaar,Sel_Doeljaar,L_Versiejaar,P_VJ,L_Versie,H$8,L_Kengetal,"Omzet FY"))/P_Factor,IF(COUNTIFS(L_Actief,1,L_WBS,$A27,L_Doeljaar,Sel_Doeljaar,L_Versiejaar,P_VJ,L_Versie,H$8,L_Kengetal,"Omzet FY")=0,"n.b.",SUMIFS(L_Waarde,L_Actief,1,L_WBS,$A27,L_Doeljaar,Sel_Doeljaar,L_Versiejaar,P_VJ,L_Versie,H$8,L_Kengetal,"Omzet FY"))))</f>
        <v>1806</v>
      </c>
      <c r="I27" s="41" t="str">
        <f>IF($A27="","",IF(ISNUMBER(IF(COUNTIFS(L_Actief,1,L_WBS,$A27,L_Doeljaar,Sel_Doeljaar,L_Versiejaar,P_VJ,L_Versie,I$8,L_Kengetal,"Omzet FY")=0,"n.b.",SUMIFS(L_Waarde,L_Actief,1,L_WBS,$A27,L_Doeljaar,Sel_Doeljaar,L_Versiejaar,P_VJ,L_Versie,I$8,L_Kengetal,"Omzet FY"))),IF(COUNTIFS(L_Actief,1,L_WBS,$A27,L_Doeljaar,Sel_Doeljaar,L_Versiejaar,P_VJ,L_Versie,I$8,L_Kengetal,"Omzet FY")=0,"n.b.",SUMIFS(L_Waarde,L_Actief,1,L_WBS,$A27,L_Doeljaar,Sel_Doeljaar,L_Versiejaar,P_VJ,L_Versie,I$8,L_Kengetal,"Omzet FY"))/P_Factor,IF(COUNTIFS(L_Actief,1,L_WBS,$A27,L_Doeljaar,Sel_Doeljaar,L_Versiejaar,P_VJ,L_Versie,I$8,L_Kengetal,"Omzet FY")=0,"n.b.",SUMIFS(L_Waarde,L_Actief,1,L_WBS,$A27,L_Doeljaar,Sel_Doeljaar,L_Versiejaar,P_VJ,L_Versie,I$8,L_Kengetal,"Omzet FY"))))</f>
        <v>n.b.</v>
      </c>
      <c r="J27" s="41">
        <f>IF($A27="","",IF(ISNUMBER(IF(Sel_Doeljaar=P_RJ,VERW_Project!$P23,IF(Sel_Doeljaar=P_RJ+1,VERW_Project!$R23,"n.b."))),IF(Sel_Doeljaar=P_RJ,VERW_Project!$P23,IF(Sel_Doeljaar=P_RJ+1,VERW_Project!$R23,"n.b."))/P_Factor,IF(Sel_Doeljaar=P_RJ,VERW_Project!$P23,IF(Sel_Doeljaar=P_RJ+1,VERW_Project!$R23,"n.b."))))</f>
        <v>1806</v>
      </c>
      <c r="K27" s="41">
        <f>IF($A27="","",IF(Sel_Bron="Vastgesteld",INDEX($E27:$I27,MATCH(Sel_Versie,$E$8:$I$8,0)),IF(Sel_Bron="Concept",J27,"n.b.")))</f>
        <v>1806</v>
      </c>
      <c r="L27" s="62">
        <f>IF($A27="","",IF(Sel_Doeljaar&gt;P_VJ,"n.v.t.",IF(Sel_Bron="Vastgesteld",IF(ISNUMBER(IF(COUNTIFS(L_Actief,1,L_WBS,$A27,L_Doeljaar,Sel_Doeljaar,L_Versiejaar,P_VJ,L_Versie,Sel_Versie,L_Kengetal,"Omzet actual YTD")=0,"n.b.",SUMIFS(L_Waarde,L_Actief,1,L_WBS,$A27,L_Doeljaar,Sel_Doeljaar,L_Versiejaar,P_VJ,L_Versie,Sel_Versie,L_Kengetal,"Omzet actual YTD"))),IF(COUNTIFS(L_Actief,1,L_WBS,$A27,L_Doeljaar,Sel_Doeljaar,L_Versiejaar,P_VJ,L_Versie,Sel_Versie,L_Kengetal,"Omzet actual YTD")=0,"n.b.",SUMIFS(L_Waarde,L_Actief,1,L_WBS,$A27,L_Doeljaar,Sel_Doeljaar,L_Versiejaar,P_VJ,L_Versie,Sel_Versie,L_Kengetal,"Omzet actual YTD"))/P_Factor,IF(COUNTIFS(L_Actief,1,L_WBS,$A27,L_Doeljaar,Sel_Doeljaar,L_Versiejaar,P_VJ,L_Versie,Sel_Versie,L_Kengetal,"Omzet actual YTD")=0,"n.b.",SUMIFS(L_Waarde,L_Actief,1,L_WBS,$A27,L_Doeljaar,Sel_Doeljaar,L_Versiejaar,P_VJ,L_Versie,Sel_Versie,L_Kengetal,"Omzet actual YTD"))),IF(Sel_Bron="Concept",IF(ISNUMBER(IF(Sel_Doeljaar=P_RJ,VERW_Project!$L23,"n.v.t.")),IF(Sel_Doeljaar=P_RJ,VERW_Project!$L23,"n.v.t.")/P_Factor,IF(Sel_Doeljaar=P_RJ,VERW_Project!$L23,"n.v.t.")),"n.b."))))</f>
        <v>1173.9</v>
      </c>
      <c r="M27" s="41">
        <f>IF($A27="","",IF(L27="n.v.t.",K27,IF(AND(ISNUMBER(K27),ISNUMBER(L27)),K27-L27,"n.b.")))</f>
        <v>632.1</v>
      </c>
      <c r="N27" s="41">
        <f>IF($A27="","",IF(Sel_Bron="Vastgesteld",IF(ISNUMBER(IF(COUNTIFS(L_Actief,1,L_WBS,$A27,L_Doeljaar,Sel_Doeljaar,L_Versiejaar,P_VJ,L_Versie,Sel_Versie,L_Kengetal,"BOR FY")=0,"n.b.",SUMIFS(L_Waarde,L_Actief,1,L_WBS,$A27,L_Doeljaar,Sel_Doeljaar,L_Versiejaar,P_VJ,L_Versie,Sel_Versie,L_Kengetal,"BOR FY"))),IF(COUNTIFS(L_Actief,1,L_WBS,$A27,L_Doeljaar,Sel_Doeljaar,L_Versiejaar,P_VJ,L_Versie,Sel_Versie,L_Kengetal,"BOR FY")=0,"n.b.",SUMIFS(L_Waarde,L_Actief,1,L_WBS,$A27,L_Doeljaar,Sel_Doeljaar,L_Versiejaar,P_VJ,L_Versie,Sel_Versie,L_Kengetal,"BOR FY"))/P_Factor,IF(COUNTIFS(L_Actief,1,L_WBS,$A27,L_Doeljaar,Sel_Doeljaar,L_Versiejaar,P_VJ,L_Versie,Sel_Versie,L_Kengetal,"BOR FY")=0,"n.b.",SUMIFS(L_Waarde,L_Actief,1,L_WBS,$A27,L_Doeljaar,Sel_Doeljaar,L_Versiejaar,P_VJ,L_Versie,Sel_Versie,L_Kengetal,"BOR FY"))),IF(Sel_Bron="Concept",IF(ISNUMBER(IF(Sel_Doeljaar=P_RJ,VERW_Project!$Q23,IF(Sel_Doeljaar=P_RJ+1,VERW_Project!$S23,"n.b."))),IF(Sel_Doeljaar=P_RJ,VERW_Project!$Q23,IF(Sel_Doeljaar=P_RJ+1,VERW_Project!$S23,"n.b."))/P_Factor,IF(Sel_Doeljaar=P_RJ,VERW_Project!$Q23,IF(Sel_Doeljaar=P_RJ+1,VERW_Project!$S23,"n.b."))),"n.b.")))</f>
        <v>-54.18</v>
      </c>
      <c r="O27" s="63">
        <f>IF($A27="","",IF(AND(ISNUMBER(N27),ISNUMBER(K27)),IF(K27&lt;&gt;0,N27/K27,"n.b."),"n.b."))</f>
        <v>-0.03</v>
      </c>
      <c r="P27" s="41">
        <f>IF($A27="","",IF(AND(ISNUMBER(K27),ISNUMBER(E27)),K27-E27,"n.b."))</f>
        <v>180.6</v>
      </c>
      <c r="Q27" s="41">
        <f>IF($A27="","",IF(AND(ISNUMBER(K27),ISNUMBER(W27)),K27-W27,"n.b."))</f>
        <v>-54.1800000000001</v>
      </c>
      <c r="R27" s="64" t="str">
        <f>IF($A27="","",IF(ISNUMBER(N27),IF(N27&lt;0,"Verlies",""),""))</f>
        <v>Verlies</v>
      </c>
      <c r="S27" s="61" t="str">
        <f>IF($A27="","",IFERROR(INDEX(T_Txt,MATCH($A27&amp;"|"&amp;Sel_Doeljaar&amp;"|"&amp;P_VJ&amp;"|"&amp;Sel_Versie,T_Key,0)),""))</f>
        <v/>
      </c>
      <c r="U27" s="15">
        <f>IF(AND(AND($A27&lt;&gt;"",OR(Sel_Type="Alle",$C27=Sel_Type),OR(Sel_Project="Alle",$B27=Sel_Project)),ISNUMBER(K27)),K27+ROW()/1000000000,"")</f>
        <v>1806.000000027</v>
      </c>
      <c r="V27" s="15">
        <f>IF(AND(AND($A27&lt;&gt;"",OR(Sel_Type="Alle",$C27=Sel_Type),OR(Sel_Project="Alle",$B27=Sel_Project)),ISNUMBER(Q27)),ABS(Q27)+ROW()/1000000000,"")</f>
        <v>54.1800000270001</v>
      </c>
      <c r="W27" s="15">
        <f>IF(OR($A27="",Sel_Prev=""),"n.b.",IF(ISNUMBER(IF(COUNTIFS(L_Actief,1,L_WBS,$A27,L_Doeljaar,Sel_Doeljaar,L_Versiejaar,P_VJ,L_Versie,Sel_Prev,L_Kengetal,"Omzet FY")=0,"n.b.",SUMIFS(L_Waarde,L_Actief,1,L_WBS,$A27,L_Doeljaar,Sel_Doeljaar,L_Versiejaar,P_VJ,L_Versie,Sel_Prev,L_Kengetal,"Omzet FY"))),IF(COUNTIFS(L_Actief,1,L_WBS,$A27,L_Doeljaar,Sel_Doeljaar,L_Versiejaar,P_VJ,L_Versie,Sel_Prev,L_Kengetal,"Omzet FY")=0,"n.b.",SUMIFS(L_Waarde,L_Actief,1,L_WBS,$A27,L_Doeljaar,Sel_Doeljaar,L_Versiejaar,P_VJ,L_Versie,Sel_Prev,L_Kengetal,"Omzet FY"))/P_Factor,IF(COUNTIFS(L_Actief,1,L_WBS,$A27,L_Doeljaar,Sel_Doeljaar,L_Versiejaar,P_VJ,L_Versie,Sel_Prev,L_Kengetal,"Omzet FY")=0,"n.b.",SUMIFS(L_Waarde,L_Actief,1,L_WBS,$A27,L_Doeljaar,Sel_Doeljaar,L_Versiejaar,P_VJ,L_Versie,Sel_Prev,L_Kengetal,"Omzet FY"))))</f>
        <v>1860.18</v>
      </c>
    </row>
    <row r="28">
      <c r="A28" s="61" t="str">
        <f>IF(VERW_Project!$A24="","",VERW_Project!$A24)</f>
        <v>G.900019.8.9090</v>
      </c>
      <c r="B28" s="61" t="str">
        <f>IF($A28="","",VERW_Project!$C24)</f>
        <v>Zilverdam, Havenlicht</v>
      </c>
      <c r="C28" s="61" t="str">
        <f>IF($A28="","",VERW_Project!$D24)</f>
        <v>Opstal</v>
      </c>
      <c r="D28" s="61" t="str">
        <f>IF($A28="","",VERW_Project!$I24)</f>
        <v>J</v>
      </c>
      <c r="E28" s="41">
        <f>IF($A28="","",IF(ISNUMBER(IF(COUNTIFS(L_Actief,1,L_WBS,$A28,L_Doeljaar,Sel_Doeljaar,L_Versiejaar,P_VJ,L_Versie,E$8,L_Kengetal,"Omzet FY")=0,"n.b.",SUMIFS(L_Waarde,L_Actief,1,L_WBS,$A28,L_Doeljaar,Sel_Doeljaar,L_Versiejaar,P_VJ,L_Versie,E$8,L_Kengetal,"Omzet FY"))),IF(COUNTIFS(L_Actief,1,L_WBS,$A28,L_Doeljaar,Sel_Doeljaar,L_Versiejaar,P_VJ,L_Versie,E$8,L_Kengetal,"Omzet FY")=0,"n.b.",SUMIFS(L_Waarde,L_Actief,1,L_WBS,$A28,L_Doeljaar,Sel_Doeljaar,L_Versiejaar,P_VJ,L_Versie,E$8,L_Kengetal,"Omzet FY"))/P_Factor,IF(COUNTIFS(L_Actief,1,L_WBS,$A28,L_Doeljaar,Sel_Doeljaar,L_Versiejaar,P_VJ,L_Versie,E$8,L_Kengetal,"Omzet FY")=0,"n.b.",SUMIFS(L_Waarde,L_Actief,1,L_WBS,$A28,L_Doeljaar,Sel_Doeljaar,L_Versiejaar,P_VJ,L_Versie,E$8,L_Kengetal,"Omzet FY"))))</f>
        <v>6791.4</v>
      </c>
      <c r="F28" s="41">
        <f>IF($A28="","",IF(ISNUMBER(IF(COUNTIFS(L_Actief,1,L_WBS,$A28,L_Doeljaar,Sel_Doeljaar,L_Versiejaar,P_VJ,L_Versie,F$8,L_Kengetal,"Omzet FY")=0,"n.b.",SUMIFS(L_Waarde,L_Actief,1,L_WBS,$A28,L_Doeljaar,Sel_Doeljaar,L_Versiejaar,P_VJ,L_Versie,F$8,L_Kengetal,"Omzet FY"))),IF(COUNTIFS(L_Actief,1,L_WBS,$A28,L_Doeljaar,Sel_Doeljaar,L_Versiejaar,P_VJ,L_Versie,F$8,L_Kengetal,"Omzet FY")=0,"n.b.",SUMIFS(L_Waarde,L_Actief,1,L_WBS,$A28,L_Doeljaar,Sel_Doeljaar,L_Versiejaar,P_VJ,L_Versie,F$8,L_Kengetal,"Omzet FY"))/P_Factor,IF(COUNTIFS(L_Actief,1,L_WBS,$A28,L_Doeljaar,Sel_Doeljaar,L_Versiejaar,P_VJ,L_Versie,F$8,L_Kengetal,"Omzet FY")=0,"n.b.",SUMIFS(L_Waarde,L_Actief,1,L_WBS,$A28,L_Doeljaar,Sel_Doeljaar,L_Versiejaar,P_VJ,L_Versie,F$8,L_Kengetal,"Omzet FY"))))</f>
        <v>6544.44</v>
      </c>
      <c r="G28" s="41">
        <f>IF($A28="","",IF(ISNUMBER(IF(COUNTIFS(L_Actief,1,L_WBS,$A28,L_Doeljaar,Sel_Doeljaar,L_Versiejaar,P_VJ,L_Versie,G$8,L_Kengetal,"Omzet FY")=0,"n.b.",SUMIFS(L_Waarde,L_Actief,1,L_WBS,$A28,L_Doeljaar,Sel_Doeljaar,L_Versiejaar,P_VJ,L_Versie,G$8,L_Kengetal,"Omzet FY"))),IF(COUNTIFS(L_Actief,1,L_WBS,$A28,L_Doeljaar,Sel_Doeljaar,L_Versiejaar,P_VJ,L_Versie,G$8,L_Kengetal,"Omzet FY")=0,"n.b.",SUMIFS(L_Waarde,L_Actief,1,L_WBS,$A28,L_Doeljaar,Sel_Doeljaar,L_Versiejaar,P_VJ,L_Versie,G$8,L_Kengetal,"Omzet FY"))/P_Factor,IF(COUNTIFS(L_Actief,1,L_WBS,$A28,L_Doeljaar,Sel_Doeljaar,L_Versiejaar,P_VJ,L_Versie,G$8,L_Kengetal,"Omzet FY")=0,"n.b.",SUMIFS(L_Waarde,L_Actief,1,L_WBS,$A28,L_Doeljaar,Sel_Doeljaar,L_Versiejaar,P_VJ,L_Versie,G$8,L_Kengetal,"Omzet FY"))))</f>
        <v>5988.78</v>
      </c>
      <c r="H28" s="41">
        <f>IF($A28="","",IF(ISNUMBER(IF(COUNTIFS(L_Actief,1,L_WBS,$A28,L_Doeljaar,Sel_Doeljaar,L_Versiejaar,P_VJ,L_Versie,H$8,L_Kengetal,"Omzet FY")=0,"n.b.",SUMIFS(L_Waarde,L_Actief,1,L_WBS,$A28,L_Doeljaar,Sel_Doeljaar,L_Versiejaar,P_VJ,L_Versie,H$8,L_Kengetal,"Omzet FY"))),IF(COUNTIFS(L_Actief,1,L_WBS,$A28,L_Doeljaar,Sel_Doeljaar,L_Versiejaar,P_VJ,L_Versie,H$8,L_Kengetal,"Omzet FY")=0,"n.b.",SUMIFS(L_Waarde,L_Actief,1,L_WBS,$A28,L_Doeljaar,Sel_Doeljaar,L_Versiejaar,P_VJ,L_Versie,H$8,L_Kengetal,"Omzet FY"))/P_Factor,IF(COUNTIFS(L_Actief,1,L_WBS,$A28,L_Doeljaar,Sel_Doeljaar,L_Versiejaar,P_VJ,L_Versie,H$8,L_Kengetal,"Omzet FY")=0,"n.b.",SUMIFS(L_Waarde,L_Actief,1,L_WBS,$A28,L_Doeljaar,Sel_Doeljaar,L_Versiejaar,P_VJ,L_Versie,H$8,L_Kengetal,"Omzet FY"))))</f>
        <v>6174</v>
      </c>
      <c r="I28" s="41" t="str">
        <f>IF($A28="","",IF(ISNUMBER(IF(COUNTIFS(L_Actief,1,L_WBS,$A28,L_Doeljaar,Sel_Doeljaar,L_Versiejaar,P_VJ,L_Versie,I$8,L_Kengetal,"Omzet FY")=0,"n.b.",SUMIFS(L_Waarde,L_Actief,1,L_WBS,$A28,L_Doeljaar,Sel_Doeljaar,L_Versiejaar,P_VJ,L_Versie,I$8,L_Kengetal,"Omzet FY"))),IF(COUNTIFS(L_Actief,1,L_WBS,$A28,L_Doeljaar,Sel_Doeljaar,L_Versiejaar,P_VJ,L_Versie,I$8,L_Kengetal,"Omzet FY")=0,"n.b.",SUMIFS(L_Waarde,L_Actief,1,L_WBS,$A28,L_Doeljaar,Sel_Doeljaar,L_Versiejaar,P_VJ,L_Versie,I$8,L_Kengetal,"Omzet FY"))/P_Factor,IF(COUNTIFS(L_Actief,1,L_WBS,$A28,L_Doeljaar,Sel_Doeljaar,L_Versiejaar,P_VJ,L_Versie,I$8,L_Kengetal,"Omzet FY")=0,"n.b.",SUMIFS(L_Waarde,L_Actief,1,L_WBS,$A28,L_Doeljaar,Sel_Doeljaar,L_Versiejaar,P_VJ,L_Versie,I$8,L_Kengetal,"Omzet FY"))))</f>
        <v>n.b.</v>
      </c>
      <c r="J28" s="41">
        <f>IF($A28="","",IF(ISNUMBER(IF(Sel_Doeljaar=P_RJ,VERW_Project!$P24,IF(Sel_Doeljaar=P_RJ+1,VERW_Project!$R24,"n.b."))),IF(Sel_Doeljaar=P_RJ,VERW_Project!$P24,IF(Sel_Doeljaar=P_RJ+1,VERW_Project!$R24,"n.b."))/P_Factor,IF(Sel_Doeljaar=P_RJ,VERW_Project!$P24,IF(Sel_Doeljaar=P_RJ+1,VERW_Project!$R24,"n.b."))))</f>
        <v>6174</v>
      </c>
      <c r="K28" s="41">
        <f>IF($A28="","",IF(Sel_Bron="Vastgesteld",INDEX($E28:$I28,MATCH(Sel_Versie,$E$8:$I$8,0)),IF(Sel_Bron="Concept",J28,"n.b.")))</f>
        <v>6174</v>
      </c>
      <c r="L28" s="62">
        <f>IF($A28="","",IF(Sel_Doeljaar&gt;P_VJ,"n.v.t.",IF(Sel_Bron="Vastgesteld",IF(ISNUMBER(IF(COUNTIFS(L_Actief,1,L_WBS,$A28,L_Doeljaar,Sel_Doeljaar,L_Versiejaar,P_VJ,L_Versie,Sel_Versie,L_Kengetal,"Omzet actual YTD")=0,"n.b.",SUMIFS(L_Waarde,L_Actief,1,L_WBS,$A28,L_Doeljaar,Sel_Doeljaar,L_Versiejaar,P_VJ,L_Versie,Sel_Versie,L_Kengetal,"Omzet actual YTD"))),IF(COUNTIFS(L_Actief,1,L_WBS,$A28,L_Doeljaar,Sel_Doeljaar,L_Versiejaar,P_VJ,L_Versie,Sel_Versie,L_Kengetal,"Omzet actual YTD")=0,"n.b.",SUMIFS(L_Waarde,L_Actief,1,L_WBS,$A28,L_Doeljaar,Sel_Doeljaar,L_Versiejaar,P_VJ,L_Versie,Sel_Versie,L_Kengetal,"Omzet actual YTD"))/P_Factor,IF(COUNTIFS(L_Actief,1,L_WBS,$A28,L_Doeljaar,Sel_Doeljaar,L_Versiejaar,P_VJ,L_Versie,Sel_Versie,L_Kengetal,"Omzet actual YTD")=0,"n.b.",SUMIFS(L_Waarde,L_Actief,1,L_WBS,$A28,L_Doeljaar,Sel_Doeljaar,L_Versiejaar,P_VJ,L_Versie,Sel_Versie,L_Kengetal,"Omzet actual YTD"))),IF(Sel_Bron="Concept",IF(ISNUMBER(IF(Sel_Doeljaar=P_RJ,VERW_Project!$L24,"n.v.t.")),IF(Sel_Doeljaar=P_RJ,VERW_Project!$L24,"n.v.t.")/P_Factor,IF(Sel_Doeljaar=P_RJ,VERW_Project!$L24,"n.v.t.")),"n.b."))))</f>
        <v>4013.1</v>
      </c>
      <c r="M28" s="41">
        <f>IF($A28="","",IF(L28="n.v.t.",K28,IF(AND(ISNUMBER(K28),ISNUMBER(L28)),K28-L28,"n.b.")))</f>
        <v>2160.9</v>
      </c>
      <c r="N28" s="41">
        <f>IF($A28="","",IF(Sel_Bron="Vastgesteld",IF(ISNUMBER(IF(COUNTIFS(L_Actief,1,L_WBS,$A28,L_Doeljaar,Sel_Doeljaar,L_Versiejaar,P_VJ,L_Versie,Sel_Versie,L_Kengetal,"BOR FY")=0,"n.b.",SUMIFS(L_Waarde,L_Actief,1,L_WBS,$A28,L_Doeljaar,Sel_Doeljaar,L_Versiejaar,P_VJ,L_Versie,Sel_Versie,L_Kengetal,"BOR FY"))),IF(COUNTIFS(L_Actief,1,L_WBS,$A28,L_Doeljaar,Sel_Doeljaar,L_Versiejaar,P_VJ,L_Versie,Sel_Versie,L_Kengetal,"BOR FY")=0,"n.b.",SUMIFS(L_Waarde,L_Actief,1,L_WBS,$A28,L_Doeljaar,Sel_Doeljaar,L_Versiejaar,P_VJ,L_Versie,Sel_Versie,L_Kengetal,"BOR FY"))/P_Factor,IF(COUNTIFS(L_Actief,1,L_WBS,$A28,L_Doeljaar,Sel_Doeljaar,L_Versiejaar,P_VJ,L_Versie,Sel_Versie,L_Kengetal,"BOR FY")=0,"n.b.",SUMIFS(L_Waarde,L_Actief,1,L_WBS,$A28,L_Doeljaar,Sel_Doeljaar,L_Versiejaar,P_VJ,L_Versie,Sel_Versie,L_Kengetal,"BOR FY"))),IF(Sel_Bron="Concept",IF(ISNUMBER(IF(Sel_Doeljaar=P_RJ,VERW_Project!$Q24,IF(Sel_Doeljaar=P_RJ+1,VERW_Project!$S24,"n.b."))),IF(Sel_Doeljaar=P_RJ,VERW_Project!$Q24,IF(Sel_Doeljaar=P_RJ+1,VERW_Project!$S24,"n.b."))/P_Factor,IF(Sel_Doeljaar=P_RJ,VERW_Project!$Q24,IF(Sel_Doeljaar=P_RJ+1,VERW_Project!$S24,"n.b."))),"n.b.")))</f>
        <v>493.92</v>
      </c>
      <c r="O28" s="63">
        <f>IF($A28="","",IF(AND(ISNUMBER(N28),ISNUMBER(K28)),IF(K28&lt;&gt;0,N28/K28,"n.b."),"n.b."))</f>
        <v>0.08</v>
      </c>
      <c r="P28" s="41">
        <f>IF($A28="","",IF(AND(ISNUMBER(K28),ISNUMBER(E28)),K28-E28,"n.b."))</f>
        <v>-617.4</v>
      </c>
      <c r="Q28" s="41">
        <f>IF($A28="","",IF(AND(ISNUMBER(K28),ISNUMBER(W28)),K28-W28,"n.b."))</f>
        <v>185.22</v>
      </c>
      <c r="R28" s="64" t="str">
        <f>IF($A28="","",IF(ISNUMBER(N28),IF(N28&lt;0,"Verlies",""),""))</f>
        <v/>
      </c>
      <c r="S28" s="61" t="str">
        <f>IF($A28="","",IFERROR(INDEX(T_Txt,MATCH($A28&amp;"|"&amp;Sel_Doeljaar&amp;"|"&amp;P_VJ&amp;"|"&amp;Sel_Versie,T_Key,0)),""))</f>
        <v/>
      </c>
      <c r="U28" s="15">
        <f>IF(AND(AND($A28&lt;&gt;"",OR(Sel_Type="Alle",$C28=Sel_Type),OR(Sel_Project="Alle",$B28=Sel_Project)),ISNUMBER(K28)),K28+ROW()/1000000000,"")</f>
        <v>6174.000000028</v>
      </c>
      <c r="V28" s="15">
        <f>IF(AND(AND($A28&lt;&gt;"",OR(Sel_Type="Alle",$C28=Sel_Type),OR(Sel_Project="Alle",$B28=Sel_Project)),ISNUMBER(Q28)),ABS(Q28)+ROW()/1000000000,"")</f>
        <v>185.220000028</v>
      </c>
      <c r="W28" s="15">
        <f>IF(OR($A28="",Sel_Prev=""),"n.b.",IF(ISNUMBER(IF(COUNTIFS(L_Actief,1,L_WBS,$A28,L_Doeljaar,Sel_Doeljaar,L_Versiejaar,P_VJ,L_Versie,Sel_Prev,L_Kengetal,"Omzet FY")=0,"n.b.",SUMIFS(L_Waarde,L_Actief,1,L_WBS,$A28,L_Doeljaar,Sel_Doeljaar,L_Versiejaar,P_VJ,L_Versie,Sel_Prev,L_Kengetal,"Omzet FY"))),IF(COUNTIFS(L_Actief,1,L_WBS,$A28,L_Doeljaar,Sel_Doeljaar,L_Versiejaar,P_VJ,L_Versie,Sel_Prev,L_Kengetal,"Omzet FY")=0,"n.b.",SUMIFS(L_Waarde,L_Actief,1,L_WBS,$A28,L_Doeljaar,Sel_Doeljaar,L_Versiejaar,P_VJ,L_Versie,Sel_Prev,L_Kengetal,"Omzet FY"))/P_Factor,IF(COUNTIFS(L_Actief,1,L_WBS,$A28,L_Doeljaar,Sel_Doeljaar,L_Versiejaar,P_VJ,L_Versie,Sel_Prev,L_Kengetal,"Omzet FY")=0,"n.b.",SUMIFS(L_Waarde,L_Actief,1,L_WBS,$A28,L_Doeljaar,Sel_Doeljaar,L_Versiejaar,P_VJ,L_Versie,Sel_Prev,L_Kengetal,"Omzet FY"))))</f>
        <v>5988.78</v>
      </c>
    </row>
    <row r="29">
      <c r="A29" s="61" t="str">
        <f>IF(VERW_Project!$A25="","",VERW_Project!$A25)</f>
        <v>G.900020.8.9090</v>
      </c>
      <c r="B29" s="61" t="str">
        <f>IF($A29="","",VERW_Project!$C25)</f>
        <v>Boswaard, Parkeergebouw</v>
      </c>
      <c r="C29" s="61" t="str">
        <f>IF($A29="","",VERW_Project!$D25)</f>
        <v>Opstal</v>
      </c>
      <c r="D29" s="61" t="str">
        <f>IF($A29="","",VERW_Project!$I25)</f>
        <v>J</v>
      </c>
      <c r="E29" s="41">
        <f>IF($A29="","",IF(ISNUMBER(IF(COUNTIFS(L_Actief,1,L_WBS,$A29,L_Doeljaar,Sel_Doeljaar,L_Versiejaar,P_VJ,L_Versie,E$8,L_Kengetal,"Omzet FY")=0,"n.b.",SUMIFS(L_Waarde,L_Actief,1,L_WBS,$A29,L_Doeljaar,Sel_Doeljaar,L_Versiejaar,P_VJ,L_Versie,E$8,L_Kengetal,"Omzet FY"))),IF(COUNTIFS(L_Actief,1,L_WBS,$A29,L_Doeljaar,Sel_Doeljaar,L_Versiejaar,P_VJ,L_Versie,E$8,L_Kengetal,"Omzet FY")=0,"n.b.",SUMIFS(L_Waarde,L_Actief,1,L_WBS,$A29,L_Doeljaar,Sel_Doeljaar,L_Versiejaar,P_VJ,L_Versie,E$8,L_Kengetal,"Omzet FY"))/P_Factor,IF(COUNTIFS(L_Actief,1,L_WBS,$A29,L_Doeljaar,Sel_Doeljaar,L_Versiejaar,P_VJ,L_Versie,E$8,L_Kengetal,"Omzet FY")=0,"n.b.",SUMIFS(L_Waarde,L_Actief,1,L_WBS,$A29,L_Doeljaar,Sel_Doeljaar,L_Versiejaar,P_VJ,L_Versie,E$8,L_Kengetal,"Omzet FY"))))</f>
        <v>216</v>
      </c>
      <c r="F29" s="41">
        <f>IF($A29="","",IF(ISNUMBER(IF(COUNTIFS(L_Actief,1,L_WBS,$A29,L_Doeljaar,Sel_Doeljaar,L_Versiejaar,P_VJ,L_Versie,F$8,L_Kengetal,"Omzet FY")=0,"n.b.",SUMIFS(L_Waarde,L_Actief,1,L_WBS,$A29,L_Doeljaar,Sel_Doeljaar,L_Versiejaar,P_VJ,L_Versie,F$8,L_Kengetal,"Omzet FY"))),IF(COUNTIFS(L_Actief,1,L_WBS,$A29,L_Doeljaar,Sel_Doeljaar,L_Versiejaar,P_VJ,L_Versie,F$8,L_Kengetal,"Omzet FY")=0,"n.b.",SUMIFS(L_Waarde,L_Actief,1,L_WBS,$A29,L_Doeljaar,Sel_Doeljaar,L_Versiejaar,P_VJ,L_Versie,F$8,L_Kengetal,"Omzet FY"))/P_Factor,IF(COUNTIFS(L_Actief,1,L_WBS,$A29,L_Doeljaar,Sel_Doeljaar,L_Versiejaar,P_VJ,L_Versie,F$8,L_Kengetal,"Omzet FY")=0,"n.b.",SUMIFS(L_Waarde,L_Actief,1,L_WBS,$A29,L_Doeljaar,Sel_Doeljaar,L_Versiejaar,P_VJ,L_Versie,F$8,L_Kengetal,"Omzet FY"))))</f>
        <v>225.6</v>
      </c>
      <c r="G29" s="41">
        <f>IF($A29="","",IF(ISNUMBER(IF(COUNTIFS(L_Actief,1,L_WBS,$A29,L_Doeljaar,Sel_Doeljaar,L_Versiejaar,P_VJ,L_Versie,G$8,L_Kengetal,"Omzet FY")=0,"n.b.",SUMIFS(L_Waarde,L_Actief,1,L_WBS,$A29,L_Doeljaar,Sel_Doeljaar,L_Versiejaar,P_VJ,L_Versie,G$8,L_Kengetal,"Omzet FY"))),IF(COUNTIFS(L_Actief,1,L_WBS,$A29,L_Doeljaar,Sel_Doeljaar,L_Versiejaar,P_VJ,L_Versie,G$8,L_Kengetal,"Omzet FY")=0,"n.b.",SUMIFS(L_Waarde,L_Actief,1,L_WBS,$A29,L_Doeljaar,Sel_Doeljaar,L_Versiejaar,P_VJ,L_Versie,G$8,L_Kengetal,"Omzet FY"))/P_Factor,IF(COUNTIFS(L_Actief,1,L_WBS,$A29,L_Doeljaar,Sel_Doeljaar,L_Versiejaar,P_VJ,L_Versie,G$8,L_Kengetal,"Omzet FY")=0,"n.b.",SUMIFS(L_Waarde,L_Actief,1,L_WBS,$A29,L_Doeljaar,Sel_Doeljaar,L_Versiejaar,P_VJ,L_Versie,G$8,L_Kengetal,"Omzet FY"))))</f>
        <v>247.2</v>
      </c>
      <c r="H29" s="41">
        <f>IF($A29="","",IF(ISNUMBER(IF(COUNTIFS(L_Actief,1,L_WBS,$A29,L_Doeljaar,Sel_Doeljaar,L_Versiejaar,P_VJ,L_Versie,H$8,L_Kengetal,"Omzet FY")=0,"n.b.",SUMIFS(L_Waarde,L_Actief,1,L_WBS,$A29,L_Doeljaar,Sel_Doeljaar,L_Versiejaar,P_VJ,L_Versie,H$8,L_Kengetal,"Omzet FY"))),IF(COUNTIFS(L_Actief,1,L_WBS,$A29,L_Doeljaar,Sel_Doeljaar,L_Versiejaar,P_VJ,L_Versie,H$8,L_Kengetal,"Omzet FY")=0,"n.b.",SUMIFS(L_Waarde,L_Actief,1,L_WBS,$A29,L_Doeljaar,Sel_Doeljaar,L_Versiejaar,P_VJ,L_Versie,H$8,L_Kengetal,"Omzet FY"))/P_Factor,IF(COUNTIFS(L_Actief,1,L_WBS,$A29,L_Doeljaar,Sel_Doeljaar,L_Versiejaar,P_VJ,L_Versie,H$8,L_Kengetal,"Omzet FY")=0,"n.b.",SUMIFS(L_Waarde,L_Actief,1,L_WBS,$A29,L_Doeljaar,Sel_Doeljaar,L_Versiejaar,P_VJ,L_Versie,H$8,L_Kengetal,"Omzet FY"))))</f>
        <v>240</v>
      </c>
      <c r="I29" s="41" t="str">
        <f>IF($A29="","",IF(ISNUMBER(IF(COUNTIFS(L_Actief,1,L_WBS,$A29,L_Doeljaar,Sel_Doeljaar,L_Versiejaar,P_VJ,L_Versie,I$8,L_Kengetal,"Omzet FY")=0,"n.b.",SUMIFS(L_Waarde,L_Actief,1,L_WBS,$A29,L_Doeljaar,Sel_Doeljaar,L_Versiejaar,P_VJ,L_Versie,I$8,L_Kengetal,"Omzet FY"))),IF(COUNTIFS(L_Actief,1,L_WBS,$A29,L_Doeljaar,Sel_Doeljaar,L_Versiejaar,P_VJ,L_Versie,I$8,L_Kengetal,"Omzet FY")=0,"n.b.",SUMIFS(L_Waarde,L_Actief,1,L_WBS,$A29,L_Doeljaar,Sel_Doeljaar,L_Versiejaar,P_VJ,L_Versie,I$8,L_Kengetal,"Omzet FY"))/P_Factor,IF(COUNTIFS(L_Actief,1,L_WBS,$A29,L_Doeljaar,Sel_Doeljaar,L_Versiejaar,P_VJ,L_Versie,I$8,L_Kengetal,"Omzet FY")=0,"n.b.",SUMIFS(L_Waarde,L_Actief,1,L_WBS,$A29,L_Doeljaar,Sel_Doeljaar,L_Versiejaar,P_VJ,L_Versie,I$8,L_Kengetal,"Omzet FY"))))</f>
        <v>n.b.</v>
      </c>
      <c r="J29" s="41">
        <f>IF($A29="","",IF(ISNUMBER(IF(Sel_Doeljaar=P_RJ,VERW_Project!$P25,IF(Sel_Doeljaar=P_RJ+1,VERW_Project!$R25,"n.b."))),IF(Sel_Doeljaar=P_RJ,VERW_Project!$P25,IF(Sel_Doeljaar=P_RJ+1,VERW_Project!$R25,"n.b."))/P_Factor,IF(Sel_Doeljaar=P_RJ,VERW_Project!$P25,IF(Sel_Doeljaar=P_RJ+1,VERW_Project!$R25,"n.b."))))</f>
        <v>240</v>
      </c>
      <c r="K29" s="41">
        <f>IF($A29="","",IF(Sel_Bron="Vastgesteld",INDEX($E29:$I29,MATCH(Sel_Versie,$E$8:$I$8,0)),IF(Sel_Bron="Concept",J29,"n.b.")))</f>
        <v>240</v>
      </c>
      <c r="L29" s="62">
        <f>IF($A29="","",IF(Sel_Doeljaar&gt;P_VJ,"n.v.t.",IF(Sel_Bron="Vastgesteld",IF(ISNUMBER(IF(COUNTIFS(L_Actief,1,L_WBS,$A29,L_Doeljaar,Sel_Doeljaar,L_Versiejaar,P_VJ,L_Versie,Sel_Versie,L_Kengetal,"Omzet actual YTD")=0,"n.b.",SUMIFS(L_Waarde,L_Actief,1,L_WBS,$A29,L_Doeljaar,Sel_Doeljaar,L_Versiejaar,P_VJ,L_Versie,Sel_Versie,L_Kengetal,"Omzet actual YTD"))),IF(COUNTIFS(L_Actief,1,L_WBS,$A29,L_Doeljaar,Sel_Doeljaar,L_Versiejaar,P_VJ,L_Versie,Sel_Versie,L_Kengetal,"Omzet actual YTD")=0,"n.b.",SUMIFS(L_Waarde,L_Actief,1,L_WBS,$A29,L_Doeljaar,Sel_Doeljaar,L_Versiejaar,P_VJ,L_Versie,Sel_Versie,L_Kengetal,"Omzet actual YTD"))/P_Factor,IF(COUNTIFS(L_Actief,1,L_WBS,$A29,L_Doeljaar,Sel_Doeljaar,L_Versiejaar,P_VJ,L_Versie,Sel_Versie,L_Kengetal,"Omzet actual YTD")=0,"n.b.",SUMIFS(L_Waarde,L_Actief,1,L_WBS,$A29,L_Doeljaar,Sel_Doeljaar,L_Versiejaar,P_VJ,L_Versie,Sel_Versie,L_Kengetal,"Omzet actual YTD"))),IF(Sel_Bron="Concept",IF(ISNUMBER(IF(Sel_Doeljaar=P_RJ,VERW_Project!$L25,"n.v.t.")),IF(Sel_Doeljaar=P_RJ,VERW_Project!$L25,"n.v.t.")/P_Factor,IF(Sel_Doeljaar=P_RJ,VERW_Project!$L25,"n.v.t.")),"n.b."))))</f>
        <v>156</v>
      </c>
      <c r="M29" s="41">
        <f>IF($A29="","",IF(L29="n.v.t.",K29,IF(AND(ISNUMBER(K29),ISNUMBER(L29)),K29-L29,"n.b.")))</f>
        <v>84</v>
      </c>
      <c r="N29" s="41">
        <f>IF($A29="","",IF(Sel_Bron="Vastgesteld",IF(ISNUMBER(IF(COUNTIFS(L_Actief,1,L_WBS,$A29,L_Doeljaar,Sel_Doeljaar,L_Versiejaar,P_VJ,L_Versie,Sel_Versie,L_Kengetal,"BOR FY")=0,"n.b.",SUMIFS(L_Waarde,L_Actief,1,L_WBS,$A29,L_Doeljaar,Sel_Doeljaar,L_Versiejaar,P_VJ,L_Versie,Sel_Versie,L_Kengetal,"BOR FY"))),IF(COUNTIFS(L_Actief,1,L_WBS,$A29,L_Doeljaar,Sel_Doeljaar,L_Versiejaar,P_VJ,L_Versie,Sel_Versie,L_Kengetal,"BOR FY")=0,"n.b.",SUMIFS(L_Waarde,L_Actief,1,L_WBS,$A29,L_Doeljaar,Sel_Doeljaar,L_Versiejaar,P_VJ,L_Versie,Sel_Versie,L_Kengetal,"BOR FY"))/P_Factor,IF(COUNTIFS(L_Actief,1,L_WBS,$A29,L_Doeljaar,Sel_Doeljaar,L_Versiejaar,P_VJ,L_Versie,Sel_Versie,L_Kengetal,"BOR FY")=0,"n.b.",SUMIFS(L_Waarde,L_Actief,1,L_WBS,$A29,L_Doeljaar,Sel_Doeljaar,L_Versiejaar,P_VJ,L_Versie,Sel_Versie,L_Kengetal,"BOR FY"))),IF(Sel_Bron="Concept",IF(ISNUMBER(IF(Sel_Doeljaar=P_RJ,VERW_Project!$Q25,IF(Sel_Doeljaar=P_RJ+1,VERW_Project!$S25,"n.b."))),IF(Sel_Doeljaar=P_RJ,VERW_Project!$Q25,IF(Sel_Doeljaar=P_RJ+1,VERW_Project!$S25,"n.b."))/P_Factor,IF(Sel_Doeljaar=P_RJ,VERW_Project!$Q25,IF(Sel_Doeljaar=P_RJ+1,VERW_Project!$S25,"n.b."))),"n.b.")))</f>
        <v>31.2</v>
      </c>
      <c r="O29" s="63">
        <f>IF($A29="","",IF(AND(ISNUMBER(N29),ISNUMBER(K29)),IF(K29&lt;&gt;0,N29/K29,"n.b."),"n.b."))</f>
        <v>0.13</v>
      </c>
      <c r="P29" s="41">
        <f>IF($A29="","",IF(AND(ISNUMBER(K29),ISNUMBER(E29)),K29-E29,"n.b."))</f>
        <v>24</v>
      </c>
      <c r="Q29" s="41">
        <f>IF($A29="","",IF(AND(ISNUMBER(K29),ISNUMBER(W29)),K29-W29,"n.b."))</f>
        <v>-7.19999999999999</v>
      </c>
      <c r="R29" s="64" t="str">
        <f>IF($A29="","",IF(ISNUMBER(N29),IF(N29&lt;0,"Verlies",""),""))</f>
        <v/>
      </c>
      <c r="S29" s="61" t="str">
        <f>IF($A29="","",IFERROR(INDEX(T_Txt,MATCH($A29&amp;"|"&amp;Sel_Doeljaar&amp;"|"&amp;P_VJ&amp;"|"&amp;Sel_Versie,T_Key,0)),""))</f>
        <v/>
      </c>
      <c r="U29" s="15">
        <f>IF(AND(AND($A29&lt;&gt;"",OR(Sel_Type="Alle",$C29=Sel_Type),OR(Sel_Project="Alle",$B29=Sel_Project)),ISNUMBER(K29)),K29+ROW()/1000000000,"")</f>
        <v>240.000000029</v>
      </c>
      <c r="V29" s="15">
        <f>IF(AND(AND($A29&lt;&gt;"",OR(Sel_Type="Alle",$C29=Sel_Type),OR(Sel_Project="Alle",$B29=Sel_Project)),ISNUMBER(Q29)),ABS(Q29)+ROW()/1000000000,"")</f>
        <v>7.20000002899999</v>
      </c>
      <c r="W29" s="15">
        <f>IF(OR($A29="",Sel_Prev=""),"n.b.",IF(ISNUMBER(IF(COUNTIFS(L_Actief,1,L_WBS,$A29,L_Doeljaar,Sel_Doeljaar,L_Versiejaar,P_VJ,L_Versie,Sel_Prev,L_Kengetal,"Omzet FY")=0,"n.b.",SUMIFS(L_Waarde,L_Actief,1,L_WBS,$A29,L_Doeljaar,Sel_Doeljaar,L_Versiejaar,P_VJ,L_Versie,Sel_Prev,L_Kengetal,"Omzet FY"))),IF(COUNTIFS(L_Actief,1,L_WBS,$A29,L_Doeljaar,Sel_Doeljaar,L_Versiejaar,P_VJ,L_Versie,Sel_Prev,L_Kengetal,"Omzet FY")=0,"n.b.",SUMIFS(L_Waarde,L_Actief,1,L_WBS,$A29,L_Doeljaar,Sel_Doeljaar,L_Versiejaar,P_VJ,L_Versie,Sel_Prev,L_Kengetal,"Omzet FY"))/P_Factor,IF(COUNTIFS(L_Actief,1,L_WBS,$A29,L_Doeljaar,Sel_Doeljaar,L_Versiejaar,P_VJ,L_Versie,Sel_Prev,L_Kengetal,"Omzet FY")=0,"n.b.",SUMIFS(L_Waarde,L_Actief,1,L_WBS,$A29,L_Doeljaar,Sel_Doeljaar,L_Versiejaar,P_VJ,L_Versie,Sel_Prev,L_Kengetal,"Omzet FY"))))</f>
        <v>247.2</v>
      </c>
    </row>
    <row r="30">
      <c r="A30" s="61" t="str">
        <f>IF(VERW_Project!$A26="","",VERW_Project!$A26)</f>
        <v/>
      </c>
      <c r="B30" s="61" t="str">
        <f>IF($A30="","",VERW_Project!$C26)</f>
        <v/>
      </c>
      <c r="C30" s="61" t="str">
        <f>IF($A30="","",VERW_Project!$D26)</f>
        <v/>
      </c>
      <c r="D30" s="61" t="str">
        <f>IF($A30="","",VERW_Project!$I26)</f>
        <v/>
      </c>
      <c r="E30" s="41" t="str">
        <f>IF($A30="","",IF(ISNUMBER(IF(COUNTIFS(L_Actief,1,L_WBS,$A30,L_Doeljaar,Sel_Doeljaar,L_Versiejaar,P_VJ,L_Versie,E$8,L_Kengetal,"Omzet FY")=0,"n.b.",SUMIFS(L_Waarde,L_Actief,1,L_WBS,$A30,L_Doeljaar,Sel_Doeljaar,L_Versiejaar,P_VJ,L_Versie,E$8,L_Kengetal,"Omzet FY"))),IF(COUNTIFS(L_Actief,1,L_WBS,$A30,L_Doeljaar,Sel_Doeljaar,L_Versiejaar,P_VJ,L_Versie,E$8,L_Kengetal,"Omzet FY")=0,"n.b.",SUMIFS(L_Waarde,L_Actief,1,L_WBS,$A30,L_Doeljaar,Sel_Doeljaar,L_Versiejaar,P_VJ,L_Versie,E$8,L_Kengetal,"Omzet FY"))/P_Factor,IF(COUNTIFS(L_Actief,1,L_WBS,$A30,L_Doeljaar,Sel_Doeljaar,L_Versiejaar,P_VJ,L_Versie,E$8,L_Kengetal,"Omzet FY")=0,"n.b.",SUMIFS(L_Waarde,L_Actief,1,L_WBS,$A30,L_Doeljaar,Sel_Doeljaar,L_Versiejaar,P_VJ,L_Versie,E$8,L_Kengetal,"Omzet FY"))))</f>
        <v/>
      </c>
      <c r="F30" s="41" t="str">
        <f>IF($A30="","",IF(ISNUMBER(IF(COUNTIFS(L_Actief,1,L_WBS,$A30,L_Doeljaar,Sel_Doeljaar,L_Versiejaar,P_VJ,L_Versie,F$8,L_Kengetal,"Omzet FY")=0,"n.b.",SUMIFS(L_Waarde,L_Actief,1,L_WBS,$A30,L_Doeljaar,Sel_Doeljaar,L_Versiejaar,P_VJ,L_Versie,F$8,L_Kengetal,"Omzet FY"))),IF(COUNTIFS(L_Actief,1,L_WBS,$A30,L_Doeljaar,Sel_Doeljaar,L_Versiejaar,P_VJ,L_Versie,F$8,L_Kengetal,"Omzet FY")=0,"n.b.",SUMIFS(L_Waarde,L_Actief,1,L_WBS,$A30,L_Doeljaar,Sel_Doeljaar,L_Versiejaar,P_VJ,L_Versie,F$8,L_Kengetal,"Omzet FY"))/P_Factor,IF(COUNTIFS(L_Actief,1,L_WBS,$A30,L_Doeljaar,Sel_Doeljaar,L_Versiejaar,P_VJ,L_Versie,F$8,L_Kengetal,"Omzet FY")=0,"n.b.",SUMIFS(L_Waarde,L_Actief,1,L_WBS,$A30,L_Doeljaar,Sel_Doeljaar,L_Versiejaar,P_VJ,L_Versie,F$8,L_Kengetal,"Omzet FY"))))</f>
        <v/>
      </c>
      <c r="G30" s="41" t="str">
        <f>IF($A30="","",IF(ISNUMBER(IF(COUNTIFS(L_Actief,1,L_WBS,$A30,L_Doeljaar,Sel_Doeljaar,L_Versiejaar,P_VJ,L_Versie,G$8,L_Kengetal,"Omzet FY")=0,"n.b.",SUMIFS(L_Waarde,L_Actief,1,L_WBS,$A30,L_Doeljaar,Sel_Doeljaar,L_Versiejaar,P_VJ,L_Versie,G$8,L_Kengetal,"Omzet FY"))),IF(COUNTIFS(L_Actief,1,L_WBS,$A30,L_Doeljaar,Sel_Doeljaar,L_Versiejaar,P_VJ,L_Versie,G$8,L_Kengetal,"Omzet FY")=0,"n.b.",SUMIFS(L_Waarde,L_Actief,1,L_WBS,$A30,L_Doeljaar,Sel_Doeljaar,L_Versiejaar,P_VJ,L_Versie,G$8,L_Kengetal,"Omzet FY"))/P_Factor,IF(COUNTIFS(L_Actief,1,L_WBS,$A30,L_Doeljaar,Sel_Doeljaar,L_Versiejaar,P_VJ,L_Versie,G$8,L_Kengetal,"Omzet FY")=0,"n.b.",SUMIFS(L_Waarde,L_Actief,1,L_WBS,$A30,L_Doeljaar,Sel_Doeljaar,L_Versiejaar,P_VJ,L_Versie,G$8,L_Kengetal,"Omzet FY"))))</f>
        <v/>
      </c>
      <c r="H30" s="41" t="str">
        <f>IF($A30="","",IF(ISNUMBER(IF(COUNTIFS(L_Actief,1,L_WBS,$A30,L_Doeljaar,Sel_Doeljaar,L_Versiejaar,P_VJ,L_Versie,H$8,L_Kengetal,"Omzet FY")=0,"n.b.",SUMIFS(L_Waarde,L_Actief,1,L_WBS,$A30,L_Doeljaar,Sel_Doeljaar,L_Versiejaar,P_VJ,L_Versie,H$8,L_Kengetal,"Omzet FY"))),IF(COUNTIFS(L_Actief,1,L_WBS,$A30,L_Doeljaar,Sel_Doeljaar,L_Versiejaar,P_VJ,L_Versie,H$8,L_Kengetal,"Omzet FY")=0,"n.b.",SUMIFS(L_Waarde,L_Actief,1,L_WBS,$A30,L_Doeljaar,Sel_Doeljaar,L_Versiejaar,P_VJ,L_Versie,H$8,L_Kengetal,"Omzet FY"))/P_Factor,IF(COUNTIFS(L_Actief,1,L_WBS,$A30,L_Doeljaar,Sel_Doeljaar,L_Versiejaar,P_VJ,L_Versie,H$8,L_Kengetal,"Omzet FY")=0,"n.b.",SUMIFS(L_Waarde,L_Actief,1,L_WBS,$A30,L_Doeljaar,Sel_Doeljaar,L_Versiejaar,P_VJ,L_Versie,H$8,L_Kengetal,"Omzet FY"))))</f>
        <v/>
      </c>
      <c r="I30" s="41" t="str">
        <f>IF($A30="","",IF(ISNUMBER(IF(COUNTIFS(L_Actief,1,L_WBS,$A30,L_Doeljaar,Sel_Doeljaar,L_Versiejaar,P_VJ,L_Versie,I$8,L_Kengetal,"Omzet FY")=0,"n.b.",SUMIFS(L_Waarde,L_Actief,1,L_WBS,$A30,L_Doeljaar,Sel_Doeljaar,L_Versiejaar,P_VJ,L_Versie,I$8,L_Kengetal,"Omzet FY"))),IF(COUNTIFS(L_Actief,1,L_WBS,$A30,L_Doeljaar,Sel_Doeljaar,L_Versiejaar,P_VJ,L_Versie,I$8,L_Kengetal,"Omzet FY")=0,"n.b.",SUMIFS(L_Waarde,L_Actief,1,L_WBS,$A30,L_Doeljaar,Sel_Doeljaar,L_Versiejaar,P_VJ,L_Versie,I$8,L_Kengetal,"Omzet FY"))/P_Factor,IF(COUNTIFS(L_Actief,1,L_WBS,$A30,L_Doeljaar,Sel_Doeljaar,L_Versiejaar,P_VJ,L_Versie,I$8,L_Kengetal,"Omzet FY")=0,"n.b.",SUMIFS(L_Waarde,L_Actief,1,L_WBS,$A30,L_Doeljaar,Sel_Doeljaar,L_Versiejaar,P_VJ,L_Versie,I$8,L_Kengetal,"Omzet FY"))))</f>
        <v/>
      </c>
      <c r="J30" s="41" t="str">
        <f>IF($A30="","",IF(ISNUMBER(IF(Sel_Doeljaar=P_RJ,VERW_Project!$P26,IF(Sel_Doeljaar=P_RJ+1,VERW_Project!$R26,"n.b."))),IF(Sel_Doeljaar=P_RJ,VERW_Project!$P26,IF(Sel_Doeljaar=P_RJ+1,VERW_Project!$R26,"n.b."))/P_Factor,IF(Sel_Doeljaar=P_RJ,VERW_Project!$P26,IF(Sel_Doeljaar=P_RJ+1,VERW_Project!$R26,"n.b."))))</f>
        <v/>
      </c>
      <c r="K30" s="41" t="str">
        <f>IF($A30="","",IF(Sel_Bron="Vastgesteld",INDEX($E30:$I30,MATCH(Sel_Versie,$E$8:$I$8,0)),IF(Sel_Bron="Concept",J30,"n.b.")))</f>
        <v/>
      </c>
      <c r="L30" s="62" t="str">
        <f>IF($A30="","",IF(Sel_Doeljaar&gt;P_VJ,"n.v.t.",IF(Sel_Bron="Vastgesteld",IF(ISNUMBER(IF(COUNTIFS(L_Actief,1,L_WBS,$A30,L_Doeljaar,Sel_Doeljaar,L_Versiejaar,P_VJ,L_Versie,Sel_Versie,L_Kengetal,"Omzet actual YTD")=0,"n.b.",SUMIFS(L_Waarde,L_Actief,1,L_WBS,$A30,L_Doeljaar,Sel_Doeljaar,L_Versiejaar,P_VJ,L_Versie,Sel_Versie,L_Kengetal,"Omzet actual YTD"))),IF(COUNTIFS(L_Actief,1,L_WBS,$A30,L_Doeljaar,Sel_Doeljaar,L_Versiejaar,P_VJ,L_Versie,Sel_Versie,L_Kengetal,"Omzet actual YTD")=0,"n.b.",SUMIFS(L_Waarde,L_Actief,1,L_WBS,$A30,L_Doeljaar,Sel_Doeljaar,L_Versiejaar,P_VJ,L_Versie,Sel_Versie,L_Kengetal,"Omzet actual YTD"))/P_Factor,IF(COUNTIFS(L_Actief,1,L_WBS,$A30,L_Doeljaar,Sel_Doeljaar,L_Versiejaar,P_VJ,L_Versie,Sel_Versie,L_Kengetal,"Omzet actual YTD")=0,"n.b.",SUMIFS(L_Waarde,L_Actief,1,L_WBS,$A30,L_Doeljaar,Sel_Doeljaar,L_Versiejaar,P_VJ,L_Versie,Sel_Versie,L_Kengetal,"Omzet actual YTD"))),IF(Sel_Bron="Concept",IF(ISNUMBER(IF(Sel_Doeljaar=P_RJ,VERW_Project!$L26,"n.v.t.")),IF(Sel_Doeljaar=P_RJ,VERW_Project!$L26,"n.v.t.")/P_Factor,IF(Sel_Doeljaar=P_RJ,VERW_Project!$L26,"n.v.t.")),"n.b."))))</f>
        <v/>
      </c>
      <c r="M30" s="41" t="str">
        <f>IF($A30="","",IF(L30="n.v.t.",K30,IF(AND(ISNUMBER(K30),ISNUMBER(L30)),K30-L30,"n.b.")))</f>
        <v/>
      </c>
      <c r="N30" s="41" t="str">
        <f>IF($A30="","",IF(Sel_Bron="Vastgesteld",IF(ISNUMBER(IF(COUNTIFS(L_Actief,1,L_WBS,$A30,L_Doeljaar,Sel_Doeljaar,L_Versiejaar,P_VJ,L_Versie,Sel_Versie,L_Kengetal,"BOR FY")=0,"n.b.",SUMIFS(L_Waarde,L_Actief,1,L_WBS,$A30,L_Doeljaar,Sel_Doeljaar,L_Versiejaar,P_VJ,L_Versie,Sel_Versie,L_Kengetal,"BOR FY"))),IF(COUNTIFS(L_Actief,1,L_WBS,$A30,L_Doeljaar,Sel_Doeljaar,L_Versiejaar,P_VJ,L_Versie,Sel_Versie,L_Kengetal,"BOR FY")=0,"n.b.",SUMIFS(L_Waarde,L_Actief,1,L_WBS,$A30,L_Doeljaar,Sel_Doeljaar,L_Versiejaar,P_VJ,L_Versie,Sel_Versie,L_Kengetal,"BOR FY"))/P_Factor,IF(COUNTIFS(L_Actief,1,L_WBS,$A30,L_Doeljaar,Sel_Doeljaar,L_Versiejaar,P_VJ,L_Versie,Sel_Versie,L_Kengetal,"BOR FY")=0,"n.b.",SUMIFS(L_Waarde,L_Actief,1,L_WBS,$A30,L_Doeljaar,Sel_Doeljaar,L_Versiejaar,P_VJ,L_Versie,Sel_Versie,L_Kengetal,"BOR FY"))),IF(Sel_Bron="Concept",IF(ISNUMBER(IF(Sel_Doeljaar=P_RJ,VERW_Project!$Q26,IF(Sel_Doeljaar=P_RJ+1,VERW_Project!$S26,"n.b."))),IF(Sel_Doeljaar=P_RJ,VERW_Project!$Q26,IF(Sel_Doeljaar=P_RJ+1,VERW_Project!$S26,"n.b."))/P_Factor,IF(Sel_Doeljaar=P_RJ,VERW_Project!$Q26,IF(Sel_Doeljaar=P_RJ+1,VERW_Project!$S26,"n.b."))),"n.b.")))</f>
        <v/>
      </c>
      <c r="O30" s="63" t="str">
        <f>IF($A30="","",IF(AND(ISNUMBER(N30),ISNUMBER(K30)),IF(K30&lt;&gt;0,N30/K30,"n.b."),"n.b."))</f>
        <v/>
      </c>
      <c r="P30" s="41" t="str">
        <f>IF($A30="","",IF(AND(ISNUMBER(K30),ISNUMBER(E30)),K30-E30,"n.b."))</f>
        <v/>
      </c>
      <c r="Q30" s="41" t="str">
        <f>IF($A30="","",IF(AND(ISNUMBER(K30),ISNUMBER(W30)),K30-W30,"n.b."))</f>
        <v/>
      </c>
      <c r="R30" s="64" t="str">
        <f>IF($A30="","",IF(ISNUMBER(N30),IF(N30&lt;0,"Verlies",""),""))</f>
        <v/>
      </c>
      <c r="S30" s="61" t="str">
        <f>IF($A30="","",IFERROR(INDEX(T_Txt,MATCH($A30&amp;"|"&amp;Sel_Doeljaar&amp;"|"&amp;P_VJ&amp;"|"&amp;Sel_Versie,T_Key,0)),""))</f>
        <v/>
      </c>
      <c r="U30" s="15" t="str">
        <f>IF(AND(AND($A30&lt;&gt;"",OR(Sel_Type="Alle",$C30=Sel_Type),OR(Sel_Project="Alle",$B30=Sel_Project)),ISNUMBER(K30)),K30+ROW()/1000000000,"")</f>
        <v/>
      </c>
      <c r="V30" s="15" t="str">
        <f>IF(AND(AND($A30&lt;&gt;"",OR(Sel_Type="Alle",$C30=Sel_Type),OR(Sel_Project="Alle",$B30=Sel_Project)),ISNUMBER(Q30)),ABS(Q30)+ROW()/1000000000,"")</f>
        <v/>
      </c>
      <c r="W30" s="15" t="str">
        <f>IF(OR($A30="",Sel_Prev=""),"n.b.",IF(ISNUMBER(IF(COUNTIFS(L_Actief,1,L_WBS,$A30,L_Doeljaar,Sel_Doeljaar,L_Versiejaar,P_VJ,L_Versie,Sel_Prev,L_Kengetal,"Omzet FY")=0,"n.b.",SUMIFS(L_Waarde,L_Actief,1,L_WBS,$A30,L_Doeljaar,Sel_Doeljaar,L_Versiejaar,P_VJ,L_Versie,Sel_Prev,L_Kengetal,"Omzet FY"))),IF(COUNTIFS(L_Actief,1,L_WBS,$A30,L_Doeljaar,Sel_Doeljaar,L_Versiejaar,P_VJ,L_Versie,Sel_Prev,L_Kengetal,"Omzet FY")=0,"n.b.",SUMIFS(L_Waarde,L_Actief,1,L_WBS,$A30,L_Doeljaar,Sel_Doeljaar,L_Versiejaar,P_VJ,L_Versie,Sel_Prev,L_Kengetal,"Omzet FY"))/P_Factor,IF(COUNTIFS(L_Actief,1,L_WBS,$A30,L_Doeljaar,Sel_Doeljaar,L_Versiejaar,P_VJ,L_Versie,Sel_Prev,L_Kengetal,"Omzet FY")=0,"n.b.",SUMIFS(L_Waarde,L_Actief,1,L_WBS,$A30,L_Doeljaar,Sel_Doeljaar,L_Versiejaar,P_VJ,L_Versie,Sel_Prev,L_Kengetal,"Omzet FY"))))</f>
        <v>n.b.</v>
      </c>
    </row>
    <row r="31">
      <c r="A31" s="61" t="str">
        <f>IF(VERW_Project!$A27="","",VERW_Project!$A27)</f>
        <v/>
      </c>
      <c r="B31" s="61" t="str">
        <f>IF($A31="","",VERW_Project!$C27)</f>
        <v/>
      </c>
      <c r="C31" s="61" t="str">
        <f>IF($A31="","",VERW_Project!$D27)</f>
        <v/>
      </c>
      <c r="D31" s="61" t="str">
        <f>IF($A31="","",VERW_Project!$I27)</f>
        <v/>
      </c>
      <c r="E31" s="41" t="str">
        <f>IF($A31="","",IF(ISNUMBER(IF(COUNTIFS(L_Actief,1,L_WBS,$A31,L_Doeljaar,Sel_Doeljaar,L_Versiejaar,P_VJ,L_Versie,E$8,L_Kengetal,"Omzet FY")=0,"n.b.",SUMIFS(L_Waarde,L_Actief,1,L_WBS,$A31,L_Doeljaar,Sel_Doeljaar,L_Versiejaar,P_VJ,L_Versie,E$8,L_Kengetal,"Omzet FY"))),IF(COUNTIFS(L_Actief,1,L_WBS,$A31,L_Doeljaar,Sel_Doeljaar,L_Versiejaar,P_VJ,L_Versie,E$8,L_Kengetal,"Omzet FY")=0,"n.b.",SUMIFS(L_Waarde,L_Actief,1,L_WBS,$A31,L_Doeljaar,Sel_Doeljaar,L_Versiejaar,P_VJ,L_Versie,E$8,L_Kengetal,"Omzet FY"))/P_Factor,IF(COUNTIFS(L_Actief,1,L_WBS,$A31,L_Doeljaar,Sel_Doeljaar,L_Versiejaar,P_VJ,L_Versie,E$8,L_Kengetal,"Omzet FY")=0,"n.b.",SUMIFS(L_Waarde,L_Actief,1,L_WBS,$A31,L_Doeljaar,Sel_Doeljaar,L_Versiejaar,P_VJ,L_Versie,E$8,L_Kengetal,"Omzet FY"))))</f>
        <v/>
      </c>
      <c r="F31" s="41" t="str">
        <f>IF($A31="","",IF(ISNUMBER(IF(COUNTIFS(L_Actief,1,L_WBS,$A31,L_Doeljaar,Sel_Doeljaar,L_Versiejaar,P_VJ,L_Versie,F$8,L_Kengetal,"Omzet FY")=0,"n.b.",SUMIFS(L_Waarde,L_Actief,1,L_WBS,$A31,L_Doeljaar,Sel_Doeljaar,L_Versiejaar,P_VJ,L_Versie,F$8,L_Kengetal,"Omzet FY"))),IF(COUNTIFS(L_Actief,1,L_WBS,$A31,L_Doeljaar,Sel_Doeljaar,L_Versiejaar,P_VJ,L_Versie,F$8,L_Kengetal,"Omzet FY")=0,"n.b.",SUMIFS(L_Waarde,L_Actief,1,L_WBS,$A31,L_Doeljaar,Sel_Doeljaar,L_Versiejaar,P_VJ,L_Versie,F$8,L_Kengetal,"Omzet FY"))/P_Factor,IF(COUNTIFS(L_Actief,1,L_WBS,$A31,L_Doeljaar,Sel_Doeljaar,L_Versiejaar,P_VJ,L_Versie,F$8,L_Kengetal,"Omzet FY")=0,"n.b.",SUMIFS(L_Waarde,L_Actief,1,L_WBS,$A31,L_Doeljaar,Sel_Doeljaar,L_Versiejaar,P_VJ,L_Versie,F$8,L_Kengetal,"Omzet FY"))))</f>
        <v/>
      </c>
      <c r="G31" s="41" t="str">
        <f>IF($A31="","",IF(ISNUMBER(IF(COUNTIFS(L_Actief,1,L_WBS,$A31,L_Doeljaar,Sel_Doeljaar,L_Versiejaar,P_VJ,L_Versie,G$8,L_Kengetal,"Omzet FY")=0,"n.b.",SUMIFS(L_Waarde,L_Actief,1,L_WBS,$A31,L_Doeljaar,Sel_Doeljaar,L_Versiejaar,P_VJ,L_Versie,G$8,L_Kengetal,"Omzet FY"))),IF(COUNTIFS(L_Actief,1,L_WBS,$A31,L_Doeljaar,Sel_Doeljaar,L_Versiejaar,P_VJ,L_Versie,G$8,L_Kengetal,"Omzet FY")=0,"n.b.",SUMIFS(L_Waarde,L_Actief,1,L_WBS,$A31,L_Doeljaar,Sel_Doeljaar,L_Versiejaar,P_VJ,L_Versie,G$8,L_Kengetal,"Omzet FY"))/P_Factor,IF(COUNTIFS(L_Actief,1,L_WBS,$A31,L_Doeljaar,Sel_Doeljaar,L_Versiejaar,P_VJ,L_Versie,G$8,L_Kengetal,"Omzet FY")=0,"n.b.",SUMIFS(L_Waarde,L_Actief,1,L_WBS,$A31,L_Doeljaar,Sel_Doeljaar,L_Versiejaar,P_VJ,L_Versie,G$8,L_Kengetal,"Omzet FY"))))</f>
        <v/>
      </c>
      <c r="H31" s="41" t="str">
        <f>IF($A31="","",IF(ISNUMBER(IF(COUNTIFS(L_Actief,1,L_WBS,$A31,L_Doeljaar,Sel_Doeljaar,L_Versiejaar,P_VJ,L_Versie,H$8,L_Kengetal,"Omzet FY")=0,"n.b.",SUMIFS(L_Waarde,L_Actief,1,L_WBS,$A31,L_Doeljaar,Sel_Doeljaar,L_Versiejaar,P_VJ,L_Versie,H$8,L_Kengetal,"Omzet FY"))),IF(COUNTIFS(L_Actief,1,L_WBS,$A31,L_Doeljaar,Sel_Doeljaar,L_Versiejaar,P_VJ,L_Versie,H$8,L_Kengetal,"Omzet FY")=0,"n.b.",SUMIFS(L_Waarde,L_Actief,1,L_WBS,$A31,L_Doeljaar,Sel_Doeljaar,L_Versiejaar,P_VJ,L_Versie,H$8,L_Kengetal,"Omzet FY"))/P_Factor,IF(COUNTIFS(L_Actief,1,L_WBS,$A31,L_Doeljaar,Sel_Doeljaar,L_Versiejaar,P_VJ,L_Versie,H$8,L_Kengetal,"Omzet FY")=0,"n.b.",SUMIFS(L_Waarde,L_Actief,1,L_WBS,$A31,L_Doeljaar,Sel_Doeljaar,L_Versiejaar,P_VJ,L_Versie,H$8,L_Kengetal,"Omzet FY"))))</f>
        <v/>
      </c>
      <c r="I31" s="41" t="str">
        <f>IF($A31="","",IF(ISNUMBER(IF(COUNTIFS(L_Actief,1,L_WBS,$A31,L_Doeljaar,Sel_Doeljaar,L_Versiejaar,P_VJ,L_Versie,I$8,L_Kengetal,"Omzet FY")=0,"n.b.",SUMIFS(L_Waarde,L_Actief,1,L_WBS,$A31,L_Doeljaar,Sel_Doeljaar,L_Versiejaar,P_VJ,L_Versie,I$8,L_Kengetal,"Omzet FY"))),IF(COUNTIFS(L_Actief,1,L_WBS,$A31,L_Doeljaar,Sel_Doeljaar,L_Versiejaar,P_VJ,L_Versie,I$8,L_Kengetal,"Omzet FY")=0,"n.b.",SUMIFS(L_Waarde,L_Actief,1,L_WBS,$A31,L_Doeljaar,Sel_Doeljaar,L_Versiejaar,P_VJ,L_Versie,I$8,L_Kengetal,"Omzet FY"))/P_Factor,IF(COUNTIFS(L_Actief,1,L_WBS,$A31,L_Doeljaar,Sel_Doeljaar,L_Versiejaar,P_VJ,L_Versie,I$8,L_Kengetal,"Omzet FY")=0,"n.b.",SUMIFS(L_Waarde,L_Actief,1,L_WBS,$A31,L_Doeljaar,Sel_Doeljaar,L_Versiejaar,P_VJ,L_Versie,I$8,L_Kengetal,"Omzet FY"))))</f>
        <v/>
      </c>
      <c r="J31" s="41" t="str">
        <f>IF($A31="","",IF(ISNUMBER(IF(Sel_Doeljaar=P_RJ,VERW_Project!$P27,IF(Sel_Doeljaar=P_RJ+1,VERW_Project!$R27,"n.b."))),IF(Sel_Doeljaar=P_RJ,VERW_Project!$P27,IF(Sel_Doeljaar=P_RJ+1,VERW_Project!$R27,"n.b."))/P_Factor,IF(Sel_Doeljaar=P_RJ,VERW_Project!$P27,IF(Sel_Doeljaar=P_RJ+1,VERW_Project!$R27,"n.b."))))</f>
        <v/>
      </c>
      <c r="K31" s="41" t="str">
        <f>IF($A31="","",IF(Sel_Bron="Vastgesteld",INDEX($E31:$I31,MATCH(Sel_Versie,$E$8:$I$8,0)),IF(Sel_Bron="Concept",J31,"n.b.")))</f>
        <v/>
      </c>
      <c r="L31" s="62" t="str">
        <f>IF($A31="","",IF(Sel_Doeljaar&gt;P_VJ,"n.v.t.",IF(Sel_Bron="Vastgesteld",IF(ISNUMBER(IF(COUNTIFS(L_Actief,1,L_WBS,$A31,L_Doeljaar,Sel_Doeljaar,L_Versiejaar,P_VJ,L_Versie,Sel_Versie,L_Kengetal,"Omzet actual YTD")=0,"n.b.",SUMIFS(L_Waarde,L_Actief,1,L_WBS,$A31,L_Doeljaar,Sel_Doeljaar,L_Versiejaar,P_VJ,L_Versie,Sel_Versie,L_Kengetal,"Omzet actual YTD"))),IF(COUNTIFS(L_Actief,1,L_WBS,$A31,L_Doeljaar,Sel_Doeljaar,L_Versiejaar,P_VJ,L_Versie,Sel_Versie,L_Kengetal,"Omzet actual YTD")=0,"n.b.",SUMIFS(L_Waarde,L_Actief,1,L_WBS,$A31,L_Doeljaar,Sel_Doeljaar,L_Versiejaar,P_VJ,L_Versie,Sel_Versie,L_Kengetal,"Omzet actual YTD"))/P_Factor,IF(COUNTIFS(L_Actief,1,L_WBS,$A31,L_Doeljaar,Sel_Doeljaar,L_Versiejaar,P_VJ,L_Versie,Sel_Versie,L_Kengetal,"Omzet actual YTD")=0,"n.b.",SUMIFS(L_Waarde,L_Actief,1,L_WBS,$A31,L_Doeljaar,Sel_Doeljaar,L_Versiejaar,P_VJ,L_Versie,Sel_Versie,L_Kengetal,"Omzet actual YTD"))),IF(Sel_Bron="Concept",IF(ISNUMBER(IF(Sel_Doeljaar=P_RJ,VERW_Project!$L27,"n.v.t.")),IF(Sel_Doeljaar=P_RJ,VERW_Project!$L27,"n.v.t.")/P_Factor,IF(Sel_Doeljaar=P_RJ,VERW_Project!$L27,"n.v.t.")),"n.b."))))</f>
        <v/>
      </c>
      <c r="M31" s="41" t="str">
        <f>IF($A31="","",IF(L31="n.v.t.",K31,IF(AND(ISNUMBER(K31),ISNUMBER(L31)),K31-L31,"n.b.")))</f>
        <v/>
      </c>
      <c r="N31" s="41" t="str">
        <f>IF($A31="","",IF(Sel_Bron="Vastgesteld",IF(ISNUMBER(IF(COUNTIFS(L_Actief,1,L_WBS,$A31,L_Doeljaar,Sel_Doeljaar,L_Versiejaar,P_VJ,L_Versie,Sel_Versie,L_Kengetal,"BOR FY")=0,"n.b.",SUMIFS(L_Waarde,L_Actief,1,L_WBS,$A31,L_Doeljaar,Sel_Doeljaar,L_Versiejaar,P_VJ,L_Versie,Sel_Versie,L_Kengetal,"BOR FY"))),IF(COUNTIFS(L_Actief,1,L_WBS,$A31,L_Doeljaar,Sel_Doeljaar,L_Versiejaar,P_VJ,L_Versie,Sel_Versie,L_Kengetal,"BOR FY")=0,"n.b.",SUMIFS(L_Waarde,L_Actief,1,L_WBS,$A31,L_Doeljaar,Sel_Doeljaar,L_Versiejaar,P_VJ,L_Versie,Sel_Versie,L_Kengetal,"BOR FY"))/P_Factor,IF(COUNTIFS(L_Actief,1,L_WBS,$A31,L_Doeljaar,Sel_Doeljaar,L_Versiejaar,P_VJ,L_Versie,Sel_Versie,L_Kengetal,"BOR FY")=0,"n.b.",SUMIFS(L_Waarde,L_Actief,1,L_WBS,$A31,L_Doeljaar,Sel_Doeljaar,L_Versiejaar,P_VJ,L_Versie,Sel_Versie,L_Kengetal,"BOR FY"))),IF(Sel_Bron="Concept",IF(ISNUMBER(IF(Sel_Doeljaar=P_RJ,VERW_Project!$Q27,IF(Sel_Doeljaar=P_RJ+1,VERW_Project!$S27,"n.b."))),IF(Sel_Doeljaar=P_RJ,VERW_Project!$Q27,IF(Sel_Doeljaar=P_RJ+1,VERW_Project!$S27,"n.b."))/P_Factor,IF(Sel_Doeljaar=P_RJ,VERW_Project!$Q27,IF(Sel_Doeljaar=P_RJ+1,VERW_Project!$S27,"n.b."))),"n.b.")))</f>
        <v/>
      </c>
      <c r="O31" s="63" t="str">
        <f>IF($A31="","",IF(AND(ISNUMBER(N31),ISNUMBER(K31)),IF(K31&lt;&gt;0,N31/K31,"n.b."),"n.b."))</f>
        <v/>
      </c>
      <c r="P31" s="41" t="str">
        <f>IF($A31="","",IF(AND(ISNUMBER(K31),ISNUMBER(E31)),K31-E31,"n.b."))</f>
        <v/>
      </c>
      <c r="Q31" s="41" t="str">
        <f>IF($A31="","",IF(AND(ISNUMBER(K31),ISNUMBER(W31)),K31-W31,"n.b."))</f>
        <v/>
      </c>
      <c r="R31" s="64" t="str">
        <f>IF($A31="","",IF(ISNUMBER(N31),IF(N31&lt;0,"Verlies",""),""))</f>
        <v/>
      </c>
      <c r="S31" s="61" t="str">
        <f>IF($A31="","",IFERROR(INDEX(T_Txt,MATCH($A31&amp;"|"&amp;Sel_Doeljaar&amp;"|"&amp;P_VJ&amp;"|"&amp;Sel_Versie,T_Key,0)),""))</f>
        <v/>
      </c>
      <c r="U31" s="15" t="str">
        <f>IF(AND(AND($A31&lt;&gt;"",OR(Sel_Type="Alle",$C31=Sel_Type),OR(Sel_Project="Alle",$B31=Sel_Project)),ISNUMBER(K31)),K31+ROW()/1000000000,"")</f>
        <v/>
      </c>
      <c r="V31" s="15" t="str">
        <f>IF(AND(AND($A31&lt;&gt;"",OR(Sel_Type="Alle",$C31=Sel_Type),OR(Sel_Project="Alle",$B31=Sel_Project)),ISNUMBER(Q31)),ABS(Q31)+ROW()/1000000000,"")</f>
        <v/>
      </c>
      <c r="W31" s="15" t="str">
        <f>IF(OR($A31="",Sel_Prev=""),"n.b.",IF(ISNUMBER(IF(COUNTIFS(L_Actief,1,L_WBS,$A31,L_Doeljaar,Sel_Doeljaar,L_Versiejaar,P_VJ,L_Versie,Sel_Prev,L_Kengetal,"Omzet FY")=0,"n.b.",SUMIFS(L_Waarde,L_Actief,1,L_WBS,$A31,L_Doeljaar,Sel_Doeljaar,L_Versiejaar,P_VJ,L_Versie,Sel_Prev,L_Kengetal,"Omzet FY"))),IF(COUNTIFS(L_Actief,1,L_WBS,$A31,L_Doeljaar,Sel_Doeljaar,L_Versiejaar,P_VJ,L_Versie,Sel_Prev,L_Kengetal,"Omzet FY")=0,"n.b.",SUMIFS(L_Waarde,L_Actief,1,L_WBS,$A31,L_Doeljaar,Sel_Doeljaar,L_Versiejaar,P_VJ,L_Versie,Sel_Prev,L_Kengetal,"Omzet FY"))/P_Factor,IF(COUNTIFS(L_Actief,1,L_WBS,$A31,L_Doeljaar,Sel_Doeljaar,L_Versiejaar,P_VJ,L_Versie,Sel_Prev,L_Kengetal,"Omzet FY")=0,"n.b.",SUMIFS(L_Waarde,L_Actief,1,L_WBS,$A31,L_Doeljaar,Sel_Doeljaar,L_Versiejaar,P_VJ,L_Versie,Sel_Prev,L_Kengetal,"Omzet FY"))))</f>
        <v>n.b.</v>
      </c>
    </row>
    <row r="32">
      <c r="A32" s="61" t="str">
        <f>IF(VERW_Project!$A28="","",VERW_Project!$A28)</f>
        <v/>
      </c>
      <c r="B32" s="61" t="str">
        <f>IF($A32="","",VERW_Project!$C28)</f>
        <v/>
      </c>
      <c r="C32" s="61" t="str">
        <f>IF($A32="","",VERW_Project!$D28)</f>
        <v/>
      </c>
      <c r="D32" s="61" t="str">
        <f>IF($A32="","",VERW_Project!$I28)</f>
        <v/>
      </c>
      <c r="E32" s="41" t="str">
        <f>IF($A32="","",IF(ISNUMBER(IF(COUNTIFS(L_Actief,1,L_WBS,$A32,L_Doeljaar,Sel_Doeljaar,L_Versiejaar,P_VJ,L_Versie,E$8,L_Kengetal,"Omzet FY")=0,"n.b.",SUMIFS(L_Waarde,L_Actief,1,L_WBS,$A32,L_Doeljaar,Sel_Doeljaar,L_Versiejaar,P_VJ,L_Versie,E$8,L_Kengetal,"Omzet FY"))),IF(COUNTIFS(L_Actief,1,L_WBS,$A32,L_Doeljaar,Sel_Doeljaar,L_Versiejaar,P_VJ,L_Versie,E$8,L_Kengetal,"Omzet FY")=0,"n.b.",SUMIFS(L_Waarde,L_Actief,1,L_WBS,$A32,L_Doeljaar,Sel_Doeljaar,L_Versiejaar,P_VJ,L_Versie,E$8,L_Kengetal,"Omzet FY"))/P_Factor,IF(COUNTIFS(L_Actief,1,L_WBS,$A32,L_Doeljaar,Sel_Doeljaar,L_Versiejaar,P_VJ,L_Versie,E$8,L_Kengetal,"Omzet FY")=0,"n.b.",SUMIFS(L_Waarde,L_Actief,1,L_WBS,$A32,L_Doeljaar,Sel_Doeljaar,L_Versiejaar,P_VJ,L_Versie,E$8,L_Kengetal,"Omzet FY"))))</f>
        <v/>
      </c>
      <c r="F32" s="41" t="str">
        <f>IF($A32="","",IF(ISNUMBER(IF(COUNTIFS(L_Actief,1,L_WBS,$A32,L_Doeljaar,Sel_Doeljaar,L_Versiejaar,P_VJ,L_Versie,F$8,L_Kengetal,"Omzet FY")=0,"n.b.",SUMIFS(L_Waarde,L_Actief,1,L_WBS,$A32,L_Doeljaar,Sel_Doeljaar,L_Versiejaar,P_VJ,L_Versie,F$8,L_Kengetal,"Omzet FY"))),IF(COUNTIFS(L_Actief,1,L_WBS,$A32,L_Doeljaar,Sel_Doeljaar,L_Versiejaar,P_VJ,L_Versie,F$8,L_Kengetal,"Omzet FY")=0,"n.b.",SUMIFS(L_Waarde,L_Actief,1,L_WBS,$A32,L_Doeljaar,Sel_Doeljaar,L_Versiejaar,P_VJ,L_Versie,F$8,L_Kengetal,"Omzet FY"))/P_Factor,IF(COUNTIFS(L_Actief,1,L_WBS,$A32,L_Doeljaar,Sel_Doeljaar,L_Versiejaar,P_VJ,L_Versie,F$8,L_Kengetal,"Omzet FY")=0,"n.b.",SUMIFS(L_Waarde,L_Actief,1,L_WBS,$A32,L_Doeljaar,Sel_Doeljaar,L_Versiejaar,P_VJ,L_Versie,F$8,L_Kengetal,"Omzet FY"))))</f>
        <v/>
      </c>
      <c r="G32" s="41" t="str">
        <f>IF($A32="","",IF(ISNUMBER(IF(COUNTIFS(L_Actief,1,L_WBS,$A32,L_Doeljaar,Sel_Doeljaar,L_Versiejaar,P_VJ,L_Versie,G$8,L_Kengetal,"Omzet FY")=0,"n.b.",SUMIFS(L_Waarde,L_Actief,1,L_WBS,$A32,L_Doeljaar,Sel_Doeljaar,L_Versiejaar,P_VJ,L_Versie,G$8,L_Kengetal,"Omzet FY"))),IF(COUNTIFS(L_Actief,1,L_WBS,$A32,L_Doeljaar,Sel_Doeljaar,L_Versiejaar,P_VJ,L_Versie,G$8,L_Kengetal,"Omzet FY")=0,"n.b.",SUMIFS(L_Waarde,L_Actief,1,L_WBS,$A32,L_Doeljaar,Sel_Doeljaar,L_Versiejaar,P_VJ,L_Versie,G$8,L_Kengetal,"Omzet FY"))/P_Factor,IF(COUNTIFS(L_Actief,1,L_WBS,$A32,L_Doeljaar,Sel_Doeljaar,L_Versiejaar,P_VJ,L_Versie,G$8,L_Kengetal,"Omzet FY")=0,"n.b.",SUMIFS(L_Waarde,L_Actief,1,L_WBS,$A32,L_Doeljaar,Sel_Doeljaar,L_Versiejaar,P_VJ,L_Versie,G$8,L_Kengetal,"Omzet FY"))))</f>
        <v/>
      </c>
      <c r="H32" s="41" t="str">
        <f>IF($A32="","",IF(ISNUMBER(IF(COUNTIFS(L_Actief,1,L_WBS,$A32,L_Doeljaar,Sel_Doeljaar,L_Versiejaar,P_VJ,L_Versie,H$8,L_Kengetal,"Omzet FY")=0,"n.b.",SUMIFS(L_Waarde,L_Actief,1,L_WBS,$A32,L_Doeljaar,Sel_Doeljaar,L_Versiejaar,P_VJ,L_Versie,H$8,L_Kengetal,"Omzet FY"))),IF(COUNTIFS(L_Actief,1,L_WBS,$A32,L_Doeljaar,Sel_Doeljaar,L_Versiejaar,P_VJ,L_Versie,H$8,L_Kengetal,"Omzet FY")=0,"n.b.",SUMIFS(L_Waarde,L_Actief,1,L_WBS,$A32,L_Doeljaar,Sel_Doeljaar,L_Versiejaar,P_VJ,L_Versie,H$8,L_Kengetal,"Omzet FY"))/P_Factor,IF(COUNTIFS(L_Actief,1,L_WBS,$A32,L_Doeljaar,Sel_Doeljaar,L_Versiejaar,P_VJ,L_Versie,H$8,L_Kengetal,"Omzet FY")=0,"n.b.",SUMIFS(L_Waarde,L_Actief,1,L_WBS,$A32,L_Doeljaar,Sel_Doeljaar,L_Versiejaar,P_VJ,L_Versie,H$8,L_Kengetal,"Omzet FY"))))</f>
        <v/>
      </c>
      <c r="I32" s="41" t="str">
        <f>IF($A32="","",IF(ISNUMBER(IF(COUNTIFS(L_Actief,1,L_WBS,$A32,L_Doeljaar,Sel_Doeljaar,L_Versiejaar,P_VJ,L_Versie,I$8,L_Kengetal,"Omzet FY")=0,"n.b.",SUMIFS(L_Waarde,L_Actief,1,L_WBS,$A32,L_Doeljaar,Sel_Doeljaar,L_Versiejaar,P_VJ,L_Versie,I$8,L_Kengetal,"Omzet FY"))),IF(COUNTIFS(L_Actief,1,L_WBS,$A32,L_Doeljaar,Sel_Doeljaar,L_Versiejaar,P_VJ,L_Versie,I$8,L_Kengetal,"Omzet FY")=0,"n.b.",SUMIFS(L_Waarde,L_Actief,1,L_WBS,$A32,L_Doeljaar,Sel_Doeljaar,L_Versiejaar,P_VJ,L_Versie,I$8,L_Kengetal,"Omzet FY"))/P_Factor,IF(COUNTIFS(L_Actief,1,L_WBS,$A32,L_Doeljaar,Sel_Doeljaar,L_Versiejaar,P_VJ,L_Versie,I$8,L_Kengetal,"Omzet FY")=0,"n.b.",SUMIFS(L_Waarde,L_Actief,1,L_WBS,$A32,L_Doeljaar,Sel_Doeljaar,L_Versiejaar,P_VJ,L_Versie,I$8,L_Kengetal,"Omzet FY"))))</f>
        <v/>
      </c>
      <c r="J32" s="41" t="str">
        <f>IF($A32="","",IF(ISNUMBER(IF(Sel_Doeljaar=P_RJ,VERW_Project!$P28,IF(Sel_Doeljaar=P_RJ+1,VERW_Project!$R28,"n.b."))),IF(Sel_Doeljaar=P_RJ,VERW_Project!$P28,IF(Sel_Doeljaar=P_RJ+1,VERW_Project!$R28,"n.b."))/P_Factor,IF(Sel_Doeljaar=P_RJ,VERW_Project!$P28,IF(Sel_Doeljaar=P_RJ+1,VERW_Project!$R28,"n.b."))))</f>
        <v/>
      </c>
      <c r="K32" s="41" t="str">
        <f>IF($A32="","",IF(Sel_Bron="Vastgesteld",INDEX($E32:$I32,MATCH(Sel_Versie,$E$8:$I$8,0)),IF(Sel_Bron="Concept",J32,"n.b.")))</f>
        <v/>
      </c>
      <c r="L32" s="62" t="str">
        <f>IF($A32="","",IF(Sel_Doeljaar&gt;P_VJ,"n.v.t.",IF(Sel_Bron="Vastgesteld",IF(ISNUMBER(IF(COUNTIFS(L_Actief,1,L_WBS,$A32,L_Doeljaar,Sel_Doeljaar,L_Versiejaar,P_VJ,L_Versie,Sel_Versie,L_Kengetal,"Omzet actual YTD")=0,"n.b.",SUMIFS(L_Waarde,L_Actief,1,L_WBS,$A32,L_Doeljaar,Sel_Doeljaar,L_Versiejaar,P_VJ,L_Versie,Sel_Versie,L_Kengetal,"Omzet actual YTD"))),IF(COUNTIFS(L_Actief,1,L_WBS,$A32,L_Doeljaar,Sel_Doeljaar,L_Versiejaar,P_VJ,L_Versie,Sel_Versie,L_Kengetal,"Omzet actual YTD")=0,"n.b.",SUMIFS(L_Waarde,L_Actief,1,L_WBS,$A32,L_Doeljaar,Sel_Doeljaar,L_Versiejaar,P_VJ,L_Versie,Sel_Versie,L_Kengetal,"Omzet actual YTD"))/P_Factor,IF(COUNTIFS(L_Actief,1,L_WBS,$A32,L_Doeljaar,Sel_Doeljaar,L_Versiejaar,P_VJ,L_Versie,Sel_Versie,L_Kengetal,"Omzet actual YTD")=0,"n.b.",SUMIFS(L_Waarde,L_Actief,1,L_WBS,$A32,L_Doeljaar,Sel_Doeljaar,L_Versiejaar,P_VJ,L_Versie,Sel_Versie,L_Kengetal,"Omzet actual YTD"))),IF(Sel_Bron="Concept",IF(ISNUMBER(IF(Sel_Doeljaar=P_RJ,VERW_Project!$L28,"n.v.t.")),IF(Sel_Doeljaar=P_RJ,VERW_Project!$L28,"n.v.t.")/P_Factor,IF(Sel_Doeljaar=P_RJ,VERW_Project!$L28,"n.v.t.")),"n.b."))))</f>
        <v/>
      </c>
      <c r="M32" s="41" t="str">
        <f>IF($A32="","",IF(L32="n.v.t.",K32,IF(AND(ISNUMBER(K32),ISNUMBER(L32)),K32-L32,"n.b.")))</f>
        <v/>
      </c>
      <c r="N32" s="41" t="str">
        <f>IF($A32="","",IF(Sel_Bron="Vastgesteld",IF(ISNUMBER(IF(COUNTIFS(L_Actief,1,L_WBS,$A32,L_Doeljaar,Sel_Doeljaar,L_Versiejaar,P_VJ,L_Versie,Sel_Versie,L_Kengetal,"BOR FY")=0,"n.b.",SUMIFS(L_Waarde,L_Actief,1,L_WBS,$A32,L_Doeljaar,Sel_Doeljaar,L_Versiejaar,P_VJ,L_Versie,Sel_Versie,L_Kengetal,"BOR FY"))),IF(COUNTIFS(L_Actief,1,L_WBS,$A32,L_Doeljaar,Sel_Doeljaar,L_Versiejaar,P_VJ,L_Versie,Sel_Versie,L_Kengetal,"BOR FY")=0,"n.b.",SUMIFS(L_Waarde,L_Actief,1,L_WBS,$A32,L_Doeljaar,Sel_Doeljaar,L_Versiejaar,P_VJ,L_Versie,Sel_Versie,L_Kengetal,"BOR FY"))/P_Factor,IF(COUNTIFS(L_Actief,1,L_WBS,$A32,L_Doeljaar,Sel_Doeljaar,L_Versiejaar,P_VJ,L_Versie,Sel_Versie,L_Kengetal,"BOR FY")=0,"n.b.",SUMIFS(L_Waarde,L_Actief,1,L_WBS,$A32,L_Doeljaar,Sel_Doeljaar,L_Versiejaar,P_VJ,L_Versie,Sel_Versie,L_Kengetal,"BOR FY"))),IF(Sel_Bron="Concept",IF(ISNUMBER(IF(Sel_Doeljaar=P_RJ,VERW_Project!$Q28,IF(Sel_Doeljaar=P_RJ+1,VERW_Project!$S28,"n.b."))),IF(Sel_Doeljaar=P_RJ,VERW_Project!$Q28,IF(Sel_Doeljaar=P_RJ+1,VERW_Project!$S28,"n.b."))/P_Factor,IF(Sel_Doeljaar=P_RJ,VERW_Project!$Q28,IF(Sel_Doeljaar=P_RJ+1,VERW_Project!$S28,"n.b."))),"n.b.")))</f>
        <v/>
      </c>
      <c r="O32" s="63" t="str">
        <f>IF($A32="","",IF(AND(ISNUMBER(N32),ISNUMBER(K32)),IF(K32&lt;&gt;0,N32/K32,"n.b."),"n.b."))</f>
        <v/>
      </c>
      <c r="P32" s="41" t="str">
        <f>IF($A32="","",IF(AND(ISNUMBER(K32),ISNUMBER(E32)),K32-E32,"n.b."))</f>
        <v/>
      </c>
      <c r="Q32" s="41" t="str">
        <f>IF($A32="","",IF(AND(ISNUMBER(K32),ISNUMBER(W32)),K32-W32,"n.b."))</f>
        <v/>
      </c>
      <c r="R32" s="64" t="str">
        <f>IF($A32="","",IF(ISNUMBER(N32),IF(N32&lt;0,"Verlies",""),""))</f>
        <v/>
      </c>
      <c r="S32" s="61" t="str">
        <f>IF($A32="","",IFERROR(INDEX(T_Txt,MATCH($A32&amp;"|"&amp;Sel_Doeljaar&amp;"|"&amp;P_VJ&amp;"|"&amp;Sel_Versie,T_Key,0)),""))</f>
        <v/>
      </c>
      <c r="U32" s="15" t="str">
        <f>IF(AND(AND($A32&lt;&gt;"",OR(Sel_Type="Alle",$C32=Sel_Type),OR(Sel_Project="Alle",$B32=Sel_Project)),ISNUMBER(K32)),K32+ROW()/1000000000,"")</f>
        <v/>
      </c>
      <c r="V32" s="15" t="str">
        <f>IF(AND(AND($A32&lt;&gt;"",OR(Sel_Type="Alle",$C32=Sel_Type),OR(Sel_Project="Alle",$B32=Sel_Project)),ISNUMBER(Q32)),ABS(Q32)+ROW()/1000000000,"")</f>
        <v/>
      </c>
      <c r="W32" s="15" t="str">
        <f>IF(OR($A32="",Sel_Prev=""),"n.b.",IF(ISNUMBER(IF(COUNTIFS(L_Actief,1,L_WBS,$A32,L_Doeljaar,Sel_Doeljaar,L_Versiejaar,P_VJ,L_Versie,Sel_Prev,L_Kengetal,"Omzet FY")=0,"n.b.",SUMIFS(L_Waarde,L_Actief,1,L_WBS,$A32,L_Doeljaar,Sel_Doeljaar,L_Versiejaar,P_VJ,L_Versie,Sel_Prev,L_Kengetal,"Omzet FY"))),IF(COUNTIFS(L_Actief,1,L_WBS,$A32,L_Doeljaar,Sel_Doeljaar,L_Versiejaar,P_VJ,L_Versie,Sel_Prev,L_Kengetal,"Omzet FY")=0,"n.b.",SUMIFS(L_Waarde,L_Actief,1,L_WBS,$A32,L_Doeljaar,Sel_Doeljaar,L_Versiejaar,P_VJ,L_Versie,Sel_Prev,L_Kengetal,"Omzet FY"))/P_Factor,IF(COUNTIFS(L_Actief,1,L_WBS,$A32,L_Doeljaar,Sel_Doeljaar,L_Versiejaar,P_VJ,L_Versie,Sel_Prev,L_Kengetal,"Omzet FY")=0,"n.b.",SUMIFS(L_Waarde,L_Actief,1,L_WBS,$A32,L_Doeljaar,Sel_Doeljaar,L_Versiejaar,P_VJ,L_Versie,Sel_Prev,L_Kengetal,"Omzet FY"))))</f>
        <v>n.b.</v>
      </c>
    </row>
    <row r="33">
      <c r="A33" s="61" t="str">
        <f>IF(VERW_Project!$A29="","",VERW_Project!$A29)</f>
        <v/>
      </c>
      <c r="B33" s="61" t="str">
        <f>IF($A33="","",VERW_Project!$C29)</f>
        <v/>
      </c>
      <c r="C33" s="61" t="str">
        <f>IF($A33="","",VERW_Project!$D29)</f>
        <v/>
      </c>
      <c r="D33" s="61" t="str">
        <f>IF($A33="","",VERW_Project!$I29)</f>
        <v/>
      </c>
      <c r="E33" s="41" t="str">
        <f>IF($A33="","",IF(ISNUMBER(IF(COUNTIFS(L_Actief,1,L_WBS,$A33,L_Doeljaar,Sel_Doeljaar,L_Versiejaar,P_VJ,L_Versie,E$8,L_Kengetal,"Omzet FY")=0,"n.b.",SUMIFS(L_Waarde,L_Actief,1,L_WBS,$A33,L_Doeljaar,Sel_Doeljaar,L_Versiejaar,P_VJ,L_Versie,E$8,L_Kengetal,"Omzet FY"))),IF(COUNTIFS(L_Actief,1,L_WBS,$A33,L_Doeljaar,Sel_Doeljaar,L_Versiejaar,P_VJ,L_Versie,E$8,L_Kengetal,"Omzet FY")=0,"n.b.",SUMIFS(L_Waarde,L_Actief,1,L_WBS,$A33,L_Doeljaar,Sel_Doeljaar,L_Versiejaar,P_VJ,L_Versie,E$8,L_Kengetal,"Omzet FY"))/P_Factor,IF(COUNTIFS(L_Actief,1,L_WBS,$A33,L_Doeljaar,Sel_Doeljaar,L_Versiejaar,P_VJ,L_Versie,E$8,L_Kengetal,"Omzet FY")=0,"n.b.",SUMIFS(L_Waarde,L_Actief,1,L_WBS,$A33,L_Doeljaar,Sel_Doeljaar,L_Versiejaar,P_VJ,L_Versie,E$8,L_Kengetal,"Omzet FY"))))</f>
        <v/>
      </c>
      <c r="F33" s="41" t="str">
        <f>IF($A33="","",IF(ISNUMBER(IF(COUNTIFS(L_Actief,1,L_WBS,$A33,L_Doeljaar,Sel_Doeljaar,L_Versiejaar,P_VJ,L_Versie,F$8,L_Kengetal,"Omzet FY")=0,"n.b.",SUMIFS(L_Waarde,L_Actief,1,L_WBS,$A33,L_Doeljaar,Sel_Doeljaar,L_Versiejaar,P_VJ,L_Versie,F$8,L_Kengetal,"Omzet FY"))),IF(COUNTIFS(L_Actief,1,L_WBS,$A33,L_Doeljaar,Sel_Doeljaar,L_Versiejaar,P_VJ,L_Versie,F$8,L_Kengetal,"Omzet FY")=0,"n.b.",SUMIFS(L_Waarde,L_Actief,1,L_WBS,$A33,L_Doeljaar,Sel_Doeljaar,L_Versiejaar,P_VJ,L_Versie,F$8,L_Kengetal,"Omzet FY"))/P_Factor,IF(COUNTIFS(L_Actief,1,L_WBS,$A33,L_Doeljaar,Sel_Doeljaar,L_Versiejaar,P_VJ,L_Versie,F$8,L_Kengetal,"Omzet FY")=0,"n.b.",SUMIFS(L_Waarde,L_Actief,1,L_WBS,$A33,L_Doeljaar,Sel_Doeljaar,L_Versiejaar,P_VJ,L_Versie,F$8,L_Kengetal,"Omzet FY"))))</f>
        <v/>
      </c>
      <c r="G33" s="41" t="str">
        <f>IF($A33="","",IF(ISNUMBER(IF(COUNTIFS(L_Actief,1,L_WBS,$A33,L_Doeljaar,Sel_Doeljaar,L_Versiejaar,P_VJ,L_Versie,G$8,L_Kengetal,"Omzet FY")=0,"n.b.",SUMIFS(L_Waarde,L_Actief,1,L_WBS,$A33,L_Doeljaar,Sel_Doeljaar,L_Versiejaar,P_VJ,L_Versie,G$8,L_Kengetal,"Omzet FY"))),IF(COUNTIFS(L_Actief,1,L_WBS,$A33,L_Doeljaar,Sel_Doeljaar,L_Versiejaar,P_VJ,L_Versie,G$8,L_Kengetal,"Omzet FY")=0,"n.b.",SUMIFS(L_Waarde,L_Actief,1,L_WBS,$A33,L_Doeljaar,Sel_Doeljaar,L_Versiejaar,P_VJ,L_Versie,G$8,L_Kengetal,"Omzet FY"))/P_Factor,IF(COUNTIFS(L_Actief,1,L_WBS,$A33,L_Doeljaar,Sel_Doeljaar,L_Versiejaar,P_VJ,L_Versie,G$8,L_Kengetal,"Omzet FY")=0,"n.b.",SUMIFS(L_Waarde,L_Actief,1,L_WBS,$A33,L_Doeljaar,Sel_Doeljaar,L_Versiejaar,P_VJ,L_Versie,G$8,L_Kengetal,"Omzet FY"))))</f>
        <v/>
      </c>
      <c r="H33" s="41" t="str">
        <f>IF($A33="","",IF(ISNUMBER(IF(COUNTIFS(L_Actief,1,L_WBS,$A33,L_Doeljaar,Sel_Doeljaar,L_Versiejaar,P_VJ,L_Versie,H$8,L_Kengetal,"Omzet FY")=0,"n.b.",SUMIFS(L_Waarde,L_Actief,1,L_WBS,$A33,L_Doeljaar,Sel_Doeljaar,L_Versiejaar,P_VJ,L_Versie,H$8,L_Kengetal,"Omzet FY"))),IF(COUNTIFS(L_Actief,1,L_WBS,$A33,L_Doeljaar,Sel_Doeljaar,L_Versiejaar,P_VJ,L_Versie,H$8,L_Kengetal,"Omzet FY")=0,"n.b.",SUMIFS(L_Waarde,L_Actief,1,L_WBS,$A33,L_Doeljaar,Sel_Doeljaar,L_Versiejaar,P_VJ,L_Versie,H$8,L_Kengetal,"Omzet FY"))/P_Factor,IF(COUNTIFS(L_Actief,1,L_WBS,$A33,L_Doeljaar,Sel_Doeljaar,L_Versiejaar,P_VJ,L_Versie,H$8,L_Kengetal,"Omzet FY")=0,"n.b.",SUMIFS(L_Waarde,L_Actief,1,L_WBS,$A33,L_Doeljaar,Sel_Doeljaar,L_Versiejaar,P_VJ,L_Versie,H$8,L_Kengetal,"Omzet FY"))))</f>
        <v/>
      </c>
      <c r="I33" s="41" t="str">
        <f>IF($A33="","",IF(ISNUMBER(IF(COUNTIFS(L_Actief,1,L_WBS,$A33,L_Doeljaar,Sel_Doeljaar,L_Versiejaar,P_VJ,L_Versie,I$8,L_Kengetal,"Omzet FY")=0,"n.b.",SUMIFS(L_Waarde,L_Actief,1,L_WBS,$A33,L_Doeljaar,Sel_Doeljaar,L_Versiejaar,P_VJ,L_Versie,I$8,L_Kengetal,"Omzet FY"))),IF(COUNTIFS(L_Actief,1,L_WBS,$A33,L_Doeljaar,Sel_Doeljaar,L_Versiejaar,P_VJ,L_Versie,I$8,L_Kengetal,"Omzet FY")=0,"n.b.",SUMIFS(L_Waarde,L_Actief,1,L_WBS,$A33,L_Doeljaar,Sel_Doeljaar,L_Versiejaar,P_VJ,L_Versie,I$8,L_Kengetal,"Omzet FY"))/P_Factor,IF(COUNTIFS(L_Actief,1,L_WBS,$A33,L_Doeljaar,Sel_Doeljaar,L_Versiejaar,P_VJ,L_Versie,I$8,L_Kengetal,"Omzet FY")=0,"n.b.",SUMIFS(L_Waarde,L_Actief,1,L_WBS,$A33,L_Doeljaar,Sel_Doeljaar,L_Versiejaar,P_VJ,L_Versie,I$8,L_Kengetal,"Omzet FY"))))</f>
        <v/>
      </c>
      <c r="J33" s="41" t="str">
        <f>IF($A33="","",IF(ISNUMBER(IF(Sel_Doeljaar=P_RJ,VERW_Project!$P29,IF(Sel_Doeljaar=P_RJ+1,VERW_Project!$R29,"n.b."))),IF(Sel_Doeljaar=P_RJ,VERW_Project!$P29,IF(Sel_Doeljaar=P_RJ+1,VERW_Project!$R29,"n.b."))/P_Factor,IF(Sel_Doeljaar=P_RJ,VERW_Project!$P29,IF(Sel_Doeljaar=P_RJ+1,VERW_Project!$R29,"n.b."))))</f>
        <v/>
      </c>
      <c r="K33" s="41" t="str">
        <f>IF($A33="","",IF(Sel_Bron="Vastgesteld",INDEX($E33:$I33,MATCH(Sel_Versie,$E$8:$I$8,0)),IF(Sel_Bron="Concept",J33,"n.b.")))</f>
        <v/>
      </c>
      <c r="L33" s="62" t="str">
        <f>IF($A33="","",IF(Sel_Doeljaar&gt;P_VJ,"n.v.t.",IF(Sel_Bron="Vastgesteld",IF(ISNUMBER(IF(COUNTIFS(L_Actief,1,L_WBS,$A33,L_Doeljaar,Sel_Doeljaar,L_Versiejaar,P_VJ,L_Versie,Sel_Versie,L_Kengetal,"Omzet actual YTD")=0,"n.b.",SUMIFS(L_Waarde,L_Actief,1,L_WBS,$A33,L_Doeljaar,Sel_Doeljaar,L_Versiejaar,P_VJ,L_Versie,Sel_Versie,L_Kengetal,"Omzet actual YTD"))),IF(COUNTIFS(L_Actief,1,L_WBS,$A33,L_Doeljaar,Sel_Doeljaar,L_Versiejaar,P_VJ,L_Versie,Sel_Versie,L_Kengetal,"Omzet actual YTD")=0,"n.b.",SUMIFS(L_Waarde,L_Actief,1,L_WBS,$A33,L_Doeljaar,Sel_Doeljaar,L_Versiejaar,P_VJ,L_Versie,Sel_Versie,L_Kengetal,"Omzet actual YTD"))/P_Factor,IF(COUNTIFS(L_Actief,1,L_WBS,$A33,L_Doeljaar,Sel_Doeljaar,L_Versiejaar,P_VJ,L_Versie,Sel_Versie,L_Kengetal,"Omzet actual YTD")=0,"n.b.",SUMIFS(L_Waarde,L_Actief,1,L_WBS,$A33,L_Doeljaar,Sel_Doeljaar,L_Versiejaar,P_VJ,L_Versie,Sel_Versie,L_Kengetal,"Omzet actual YTD"))),IF(Sel_Bron="Concept",IF(ISNUMBER(IF(Sel_Doeljaar=P_RJ,VERW_Project!$L29,"n.v.t.")),IF(Sel_Doeljaar=P_RJ,VERW_Project!$L29,"n.v.t.")/P_Factor,IF(Sel_Doeljaar=P_RJ,VERW_Project!$L29,"n.v.t.")),"n.b."))))</f>
        <v/>
      </c>
      <c r="M33" s="41" t="str">
        <f>IF($A33="","",IF(L33="n.v.t.",K33,IF(AND(ISNUMBER(K33),ISNUMBER(L33)),K33-L33,"n.b.")))</f>
        <v/>
      </c>
      <c r="N33" s="41" t="str">
        <f>IF($A33="","",IF(Sel_Bron="Vastgesteld",IF(ISNUMBER(IF(COUNTIFS(L_Actief,1,L_WBS,$A33,L_Doeljaar,Sel_Doeljaar,L_Versiejaar,P_VJ,L_Versie,Sel_Versie,L_Kengetal,"BOR FY")=0,"n.b.",SUMIFS(L_Waarde,L_Actief,1,L_WBS,$A33,L_Doeljaar,Sel_Doeljaar,L_Versiejaar,P_VJ,L_Versie,Sel_Versie,L_Kengetal,"BOR FY"))),IF(COUNTIFS(L_Actief,1,L_WBS,$A33,L_Doeljaar,Sel_Doeljaar,L_Versiejaar,P_VJ,L_Versie,Sel_Versie,L_Kengetal,"BOR FY")=0,"n.b.",SUMIFS(L_Waarde,L_Actief,1,L_WBS,$A33,L_Doeljaar,Sel_Doeljaar,L_Versiejaar,P_VJ,L_Versie,Sel_Versie,L_Kengetal,"BOR FY"))/P_Factor,IF(COUNTIFS(L_Actief,1,L_WBS,$A33,L_Doeljaar,Sel_Doeljaar,L_Versiejaar,P_VJ,L_Versie,Sel_Versie,L_Kengetal,"BOR FY")=0,"n.b.",SUMIFS(L_Waarde,L_Actief,1,L_WBS,$A33,L_Doeljaar,Sel_Doeljaar,L_Versiejaar,P_VJ,L_Versie,Sel_Versie,L_Kengetal,"BOR FY"))),IF(Sel_Bron="Concept",IF(ISNUMBER(IF(Sel_Doeljaar=P_RJ,VERW_Project!$Q29,IF(Sel_Doeljaar=P_RJ+1,VERW_Project!$S29,"n.b."))),IF(Sel_Doeljaar=P_RJ,VERW_Project!$Q29,IF(Sel_Doeljaar=P_RJ+1,VERW_Project!$S29,"n.b."))/P_Factor,IF(Sel_Doeljaar=P_RJ,VERW_Project!$Q29,IF(Sel_Doeljaar=P_RJ+1,VERW_Project!$S29,"n.b."))),"n.b.")))</f>
        <v/>
      </c>
      <c r="O33" s="63" t="str">
        <f>IF($A33="","",IF(AND(ISNUMBER(N33),ISNUMBER(K33)),IF(K33&lt;&gt;0,N33/K33,"n.b."),"n.b."))</f>
        <v/>
      </c>
      <c r="P33" s="41" t="str">
        <f>IF($A33="","",IF(AND(ISNUMBER(K33),ISNUMBER(E33)),K33-E33,"n.b."))</f>
        <v/>
      </c>
      <c r="Q33" s="41" t="str">
        <f>IF($A33="","",IF(AND(ISNUMBER(K33),ISNUMBER(W33)),K33-W33,"n.b."))</f>
        <v/>
      </c>
      <c r="R33" s="64" t="str">
        <f>IF($A33="","",IF(ISNUMBER(N33),IF(N33&lt;0,"Verlies",""),""))</f>
        <v/>
      </c>
      <c r="S33" s="61" t="str">
        <f>IF($A33="","",IFERROR(INDEX(T_Txt,MATCH($A33&amp;"|"&amp;Sel_Doeljaar&amp;"|"&amp;P_VJ&amp;"|"&amp;Sel_Versie,T_Key,0)),""))</f>
        <v/>
      </c>
      <c r="U33" s="15" t="str">
        <f>IF(AND(AND($A33&lt;&gt;"",OR(Sel_Type="Alle",$C33=Sel_Type),OR(Sel_Project="Alle",$B33=Sel_Project)),ISNUMBER(K33)),K33+ROW()/1000000000,"")</f>
        <v/>
      </c>
      <c r="V33" s="15" t="str">
        <f>IF(AND(AND($A33&lt;&gt;"",OR(Sel_Type="Alle",$C33=Sel_Type),OR(Sel_Project="Alle",$B33=Sel_Project)),ISNUMBER(Q33)),ABS(Q33)+ROW()/1000000000,"")</f>
        <v/>
      </c>
      <c r="W33" s="15" t="str">
        <f>IF(OR($A33="",Sel_Prev=""),"n.b.",IF(ISNUMBER(IF(COUNTIFS(L_Actief,1,L_WBS,$A33,L_Doeljaar,Sel_Doeljaar,L_Versiejaar,P_VJ,L_Versie,Sel_Prev,L_Kengetal,"Omzet FY")=0,"n.b.",SUMIFS(L_Waarde,L_Actief,1,L_WBS,$A33,L_Doeljaar,Sel_Doeljaar,L_Versiejaar,P_VJ,L_Versie,Sel_Prev,L_Kengetal,"Omzet FY"))),IF(COUNTIFS(L_Actief,1,L_WBS,$A33,L_Doeljaar,Sel_Doeljaar,L_Versiejaar,P_VJ,L_Versie,Sel_Prev,L_Kengetal,"Omzet FY")=0,"n.b.",SUMIFS(L_Waarde,L_Actief,1,L_WBS,$A33,L_Doeljaar,Sel_Doeljaar,L_Versiejaar,P_VJ,L_Versie,Sel_Prev,L_Kengetal,"Omzet FY"))/P_Factor,IF(COUNTIFS(L_Actief,1,L_WBS,$A33,L_Doeljaar,Sel_Doeljaar,L_Versiejaar,P_VJ,L_Versie,Sel_Prev,L_Kengetal,"Omzet FY")=0,"n.b.",SUMIFS(L_Waarde,L_Actief,1,L_WBS,$A33,L_Doeljaar,Sel_Doeljaar,L_Versiejaar,P_VJ,L_Versie,Sel_Prev,L_Kengetal,"Omzet FY"))))</f>
        <v>n.b.</v>
      </c>
    </row>
    <row r="34">
      <c r="A34" s="61" t="str">
        <f>IF(VERW_Project!$A30="","",VERW_Project!$A30)</f>
        <v/>
      </c>
      <c r="B34" s="61" t="str">
        <f>IF($A34="","",VERW_Project!$C30)</f>
        <v/>
      </c>
      <c r="C34" s="61" t="str">
        <f>IF($A34="","",VERW_Project!$D30)</f>
        <v/>
      </c>
      <c r="D34" s="61" t="str">
        <f>IF($A34="","",VERW_Project!$I30)</f>
        <v/>
      </c>
      <c r="E34" s="41" t="str">
        <f>IF($A34="","",IF(ISNUMBER(IF(COUNTIFS(L_Actief,1,L_WBS,$A34,L_Doeljaar,Sel_Doeljaar,L_Versiejaar,P_VJ,L_Versie,E$8,L_Kengetal,"Omzet FY")=0,"n.b.",SUMIFS(L_Waarde,L_Actief,1,L_WBS,$A34,L_Doeljaar,Sel_Doeljaar,L_Versiejaar,P_VJ,L_Versie,E$8,L_Kengetal,"Omzet FY"))),IF(COUNTIFS(L_Actief,1,L_WBS,$A34,L_Doeljaar,Sel_Doeljaar,L_Versiejaar,P_VJ,L_Versie,E$8,L_Kengetal,"Omzet FY")=0,"n.b.",SUMIFS(L_Waarde,L_Actief,1,L_WBS,$A34,L_Doeljaar,Sel_Doeljaar,L_Versiejaar,P_VJ,L_Versie,E$8,L_Kengetal,"Omzet FY"))/P_Factor,IF(COUNTIFS(L_Actief,1,L_WBS,$A34,L_Doeljaar,Sel_Doeljaar,L_Versiejaar,P_VJ,L_Versie,E$8,L_Kengetal,"Omzet FY")=0,"n.b.",SUMIFS(L_Waarde,L_Actief,1,L_WBS,$A34,L_Doeljaar,Sel_Doeljaar,L_Versiejaar,P_VJ,L_Versie,E$8,L_Kengetal,"Omzet FY"))))</f>
        <v/>
      </c>
      <c r="F34" s="41" t="str">
        <f>IF($A34="","",IF(ISNUMBER(IF(COUNTIFS(L_Actief,1,L_WBS,$A34,L_Doeljaar,Sel_Doeljaar,L_Versiejaar,P_VJ,L_Versie,F$8,L_Kengetal,"Omzet FY")=0,"n.b.",SUMIFS(L_Waarde,L_Actief,1,L_WBS,$A34,L_Doeljaar,Sel_Doeljaar,L_Versiejaar,P_VJ,L_Versie,F$8,L_Kengetal,"Omzet FY"))),IF(COUNTIFS(L_Actief,1,L_WBS,$A34,L_Doeljaar,Sel_Doeljaar,L_Versiejaar,P_VJ,L_Versie,F$8,L_Kengetal,"Omzet FY")=0,"n.b.",SUMIFS(L_Waarde,L_Actief,1,L_WBS,$A34,L_Doeljaar,Sel_Doeljaar,L_Versiejaar,P_VJ,L_Versie,F$8,L_Kengetal,"Omzet FY"))/P_Factor,IF(COUNTIFS(L_Actief,1,L_WBS,$A34,L_Doeljaar,Sel_Doeljaar,L_Versiejaar,P_VJ,L_Versie,F$8,L_Kengetal,"Omzet FY")=0,"n.b.",SUMIFS(L_Waarde,L_Actief,1,L_WBS,$A34,L_Doeljaar,Sel_Doeljaar,L_Versiejaar,P_VJ,L_Versie,F$8,L_Kengetal,"Omzet FY"))))</f>
        <v/>
      </c>
      <c r="G34" s="41" t="str">
        <f>IF($A34="","",IF(ISNUMBER(IF(COUNTIFS(L_Actief,1,L_WBS,$A34,L_Doeljaar,Sel_Doeljaar,L_Versiejaar,P_VJ,L_Versie,G$8,L_Kengetal,"Omzet FY")=0,"n.b.",SUMIFS(L_Waarde,L_Actief,1,L_WBS,$A34,L_Doeljaar,Sel_Doeljaar,L_Versiejaar,P_VJ,L_Versie,G$8,L_Kengetal,"Omzet FY"))),IF(COUNTIFS(L_Actief,1,L_WBS,$A34,L_Doeljaar,Sel_Doeljaar,L_Versiejaar,P_VJ,L_Versie,G$8,L_Kengetal,"Omzet FY")=0,"n.b.",SUMIFS(L_Waarde,L_Actief,1,L_WBS,$A34,L_Doeljaar,Sel_Doeljaar,L_Versiejaar,P_VJ,L_Versie,G$8,L_Kengetal,"Omzet FY"))/P_Factor,IF(COUNTIFS(L_Actief,1,L_WBS,$A34,L_Doeljaar,Sel_Doeljaar,L_Versiejaar,P_VJ,L_Versie,G$8,L_Kengetal,"Omzet FY")=0,"n.b.",SUMIFS(L_Waarde,L_Actief,1,L_WBS,$A34,L_Doeljaar,Sel_Doeljaar,L_Versiejaar,P_VJ,L_Versie,G$8,L_Kengetal,"Omzet FY"))))</f>
        <v/>
      </c>
      <c r="H34" s="41" t="str">
        <f>IF($A34="","",IF(ISNUMBER(IF(COUNTIFS(L_Actief,1,L_WBS,$A34,L_Doeljaar,Sel_Doeljaar,L_Versiejaar,P_VJ,L_Versie,H$8,L_Kengetal,"Omzet FY")=0,"n.b.",SUMIFS(L_Waarde,L_Actief,1,L_WBS,$A34,L_Doeljaar,Sel_Doeljaar,L_Versiejaar,P_VJ,L_Versie,H$8,L_Kengetal,"Omzet FY"))),IF(COUNTIFS(L_Actief,1,L_WBS,$A34,L_Doeljaar,Sel_Doeljaar,L_Versiejaar,P_VJ,L_Versie,H$8,L_Kengetal,"Omzet FY")=0,"n.b.",SUMIFS(L_Waarde,L_Actief,1,L_WBS,$A34,L_Doeljaar,Sel_Doeljaar,L_Versiejaar,P_VJ,L_Versie,H$8,L_Kengetal,"Omzet FY"))/P_Factor,IF(COUNTIFS(L_Actief,1,L_WBS,$A34,L_Doeljaar,Sel_Doeljaar,L_Versiejaar,P_VJ,L_Versie,H$8,L_Kengetal,"Omzet FY")=0,"n.b.",SUMIFS(L_Waarde,L_Actief,1,L_WBS,$A34,L_Doeljaar,Sel_Doeljaar,L_Versiejaar,P_VJ,L_Versie,H$8,L_Kengetal,"Omzet FY"))))</f>
        <v/>
      </c>
      <c r="I34" s="41" t="str">
        <f>IF($A34="","",IF(ISNUMBER(IF(COUNTIFS(L_Actief,1,L_WBS,$A34,L_Doeljaar,Sel_Doeljaar,L_Versiejaar,P_VJ,L_Versie,I$8,L_Kengetal,"Omzet FY")=0,"n.b.",SUMIFS(L_Waarde,L_Actief,1,L_WBS,$A34,L_Doeljaar,Sel_Doeljaar,L_Versiejaar,P_VJ,L_Versie,I$8,L_Kengetal,"Omzet FY"))),IF(COUNTIFS(L_Actief,1,L_WBS,$A34,L_Doeljaar,Sel_Doeljaar,L_Versiejaar,P_VJ,L_Versie,I$8,L_Kengetal,"Omzet FY")=0,"n.b.",SUMIFS(L_Waarde,L_Actief,1,L_WBS,$A34,L_Doeljaar,Sel_Doeljaar,L_Versiejaar,P_VJ,L_Versie,I$8,L_Kengetal,"Omzet FY"))/P_Factor,IF(COUNTIFS(L_Actief,1,L_WBS,$A34,L_Doeljaar,Sel_Doeljaar,L_Versiejaar,P_VJ,L_Versie,I$8,L_Kengetal,"Omzet FY")=0,"n.b.",SUMIFS(L_Waarde,L_Actief,1,L_WBS,$A34,L_Doeljaar,Sel_Doeljaar,L_Versiejaar,P_VJ,L_Versie,I$8,L_Kengetal,"Omzet FY"))))</f>
        <v/>
      </c>
      <c r="J34" s="41" t="str">
        <f>IF($A34="","",IF(ISNUMBER(IF(Sel_Doeljaar=P_RJ,VERW_Project!$P30,IF(Sel_Doeljaar=P_RJ+1,VERW_Project!$R30,"n.b."))),IF(Sel_Doeljaar=P_RJ,VERW_Project!$P30,IF(Sel_Doeljaar=P_RJ+1,VERW_Project!$R30,"n.b."))/P_Factor,IF(Sel_Doeljaar=P_RJ,VERW_Project!$P30,IF(Sel_Doeljaar=P_RJ+1,VERW_Project!$R30,"n.b."))))</f>
        <v/>
      </c>
      <c r="K34" s="41" t="str">
        <f>IF($A34="","",IF(Sel_Bron="Vastgesteld",INDEX($E34:$I34,MATCH(Sel_Versie,$E$8:$I$8,0)),IF(Sel_Bron="Concept",J34,"n.b.")))</f>
        <v/>
      </c>
      <c r="L34" s="62" t="str">
        <f>IF($A34="","",IF(Sel_Doeljaar&gt;P_VJ,"n.v.t.",IF(Sel_Bron="Vastgesteld",IF(ISNUMBER(IF(COUNTIFS(L_Actief,1,L_WBS,$A34,L_Doeljaar,Sel_Doeljaar,L_Versiejaar,P_VJ,L_Versie,Sel_Versie,L_Kengetal,"Omzet actual YTD")=0,"n.b.",SUMIFS(L_Waarde,L_Actief,1,L_WBS,$A34,L_Doeljaar,Sel_Doeljaar,L_Versiejaar,P_VJ,L_Versie,Sel_Versie,L_Kengetal,"Omzet actual YTD"))),IF(COUNTIFS(L_Actief,1,L_WBS,$A34,L_Doeljaar,Sel_Doeljaar,L_Versiejaar,P_VJ,L_Versie,Sel_Versie,L_Kengetal,"Omzet actual YTD")=0,"n.b.",SUMIFS(L_Waarde,L_Actief,1,L_WBS,$A34,L_Doeljaar,Sel_Doeljaar,L_Versiejaar,P_VJ,L_Versie,Sel_Versie,L_Kengetal,"Omzet actual YTD"))/P_Factor,IF(COUNTIFS(L_Actief,1,L_WBS,$A34,L_Doeljaar,Sel_Doeljaar,L_Versiejaar,P_VJ,L_Versie,Sel_Versie,L_Kengetal,"Omzet actual YTD")=0,"n.b.",SUMIFS(L_Waarde,L_Actief,1,L_WBS,$A34,L_Doeljaar,Sel_Doeljaar,L_Versiejaar,P_VJ,L_Versie,Sel_Versie,L_Kengetal,"Omzet actual YTD"))),IF(Sel_Bron="Concept",IF(ISNUMBER(IF(Sel_Doeljaar=P_RJ,VERW_Project!$L30,"n.v.t.")),IF(Sel_Doeljaar=P_RJ,VERW_Project!$L30,"n.v.t.")/P_Factor,IF(Sel_Doeljaar=P_RJ,VERW_Project!$L30,"n.v.t.")),"n.b."))))</f>
        <v/>
      </c>
      <c r="M34" s="41" t="str">
        <f>IF($A34="","",IF(L34="n.v.t.",K34,IF(AND(ISNUMBER(K34),ISNUMBER(L34)),K34-L34,"n.b.")))</f>
        <v/>
      </c>
      <c r="N34" s="41" t="str">
        <f>IF($A34="","",IF(Sel_Bron="Vastgesteld",IF(ISNUMBER(IF(COUNTIFS(L_Actief,1,L_WBS,$A34,L_Doeljaar,Sel_Doeljaar,L_Versiejaar,P_VJ,L_Versie,Sel_Versie,L_Kengetal,"BOR FY")=0,"n.b.",SUMIFS(L_Waarde,L_Actief,1,L_WBS,$A34,L_Doeljaar,Sel_Doeljaar,L_Versiejaar,P_VJ,L_Versie,Sel_Versie,L_Kengetal,"BOR FY"))),IF(COUNTIFS(L_Actief,1,L_WBS,$A34,L_Doeljaar,Sel_Doeljaar,L_Versiejaar,P_VJ,L_Versie,Sel_Versie,L_Kengetal,"BOR FY")=0,"n.b.",SUMIFS(L_Waarde,L_Actief,1,L_WBS,$A34,L_Doeljaar,Sel_Doeljaar,L_Versiejaar,P_VJ,L_Versie,Sel_Versie,L_Kengetal,"BOR FY"))/P_Factor,IF(COUNTIFS(L_Actief,1,L_WBS,$A34,L_Doeljaar,Sel_Doeljaar,L_Versiejaar,P_VJ,L_Versie,Sel_Versie,L_Kengetal,"BOR FY")=0,"n.b.",SUMIFS(L_Waarde,L_Actief,1,L_WBS,$A34,L_Doeljaar,Sel_Doeljaar,L_Versiejaar,P_VJ,L_Versie,Sel_Versie,L_Kengetal,"BOR FY"))),IF(Sel_Bron="Concept",IF(ISNUMBER(IF(Sel_Doeljaar=P_RJ,VERW_Project!$Q30,IF(Sel_Doeljaar=P_RJ+1,VERW_Project!$S30,"n.b."))),IF(Sel_Doeljaar=P_RJ,VERW_Project!$Q30,IF(Sel_Doeljaar=P_RJ+1,VERW_Project!$S30,"n.b."))/P_Factor,IF(Sel_Doeljaar=P_RJ,VERW_Project!$Q30,IF(Sel_Doeljaar=P_RJ+1,VERW_Project!$S30,"n.b."))),"n.b.")))</f>
        <v/>
      </c>
      <c r="O34" s="63" t="str">
        <f>IF($A34="","",IF(AND(ISNUMBER(N34),ISNUMBER(K34)),IF(K34&lt;&gt;0,N34/K34,"n.b."),"n.b."))</f>
        <v/>
      </c>
      <c r="P34" s="41" t="str">
        <f>IF($A34="","",IF(AND(ISNUMBER(K34),ISNUMBER(E34)),K34-E34,"n.b."))</f>
        <v/>
      </c>
      <c r="Q34" s="41" t="str">
        <f>IF($A34="","",IF(AND(ISNUMBER(K34),ISNUMBER(W34)),K34-W34,"n.b."))</f>
        <v/>
      </c>
      <c r="R34" s="64" t="str">
        <f>IF($A34="","",IF(ISNUMBER(N34),IF(N34&lt;0,"Verlies",""),""))</f>
        <v/>
      </c>
      <c r="S34" s="61" t="str">
        <f>IF($A34="","",IFERROR(INDEX(T_Txt,MATCH($A34&amp;"|"&amp;Sel_Doeljaar&amp;"|"&amp;P_VJ&amp;"|"&amp;Sel_Versie,T_Key,0)),""))</f>
        <v/>
      </c>
      <c r="U34" s="15" t="str">
        <f>IF(AND(AND($A34&lt;&gt;"",OR(Sel_Type="Alle",$C34=Sel_Type),OR(Sel_Project="Alle",$B34=Sel_Project)),ISNUMBER(K34)),K34+ROW()/1000000000,"")</f>
        <v/>
      </c>
      <c r="V34" s="15" t="str">
        <f>IF(AND(AND($A34&lt;&gt;"",OR(Sel_Type="Alle",$C34=Sel_Type),OR(Sel_Project="Alle",$B34=Sel_Project)),ISNUMBER(Q34)),ABS(Q34)+ROW()/1000000000,"")</f>
        <v/>
      </c>
      <c r="W34" s="15" t="str">
        <f>IF(OR($A34="",Sel_Prev=""),"n.b.",IF(ISNUMBER(IF(COUNTIFS(L_Actief,1,L_WBS,$A34,L_Doeljaar,Sel_Doeljaar,L_Versiejaar,P_VJ,L_Versie,Sel_Prev,L_Kengetal,"Omzet FY")=0,"n.b.",SUMIFS(L_Waarde,L_Actief,1,L_WBS,$A34,L_Doeljaar,Sel_Doeljaar,L_Versiejaar,P_VJ,L_Versie,Sel_Prev,L_Kengetal,"Omzet FY"))),IF(COUNTIFS(L_Actief,1,L_WBS,$A34,L_Doeljaar,Sel_Doeljaar,L_Versiejaar,P_VJ,L_Versie,Sel_Prev,L_Kengetal,"Omzet FY")=0,"n.b.",SUMIFS(L_Waarde,L_Actief,1,L_WBS,$A34,L_Doeljaar,Sel_Doeljaar,L_Versiejaar,P_VJ,L_Versie,Sel_Prev,L_Kengetal,"Omzet FY"))/P_Factor,IF(COUNTIFS(L_Actief,1,L_WBS,$A34,L_Doeljaar,Sel_Doeljaar,L_Versiejaar,P_VJ,L_Versie,Sel_Prev,L_Kengetal,"Omzet FY")=0,"n.b.",SUMIFS(L_Waarde,L_Actief,1,L_WBS,$A34,L_Doeljaar,Sel_Doeljaar,L_Versiejaar,P_VJ,L_Versie,Sel_Prev,L_Kengetal,"Omzet FY"))))</f>
        <v>n.b.</v>
      </c>
    </row>
    <row r="35">
      <c r="A35" s="61" t="str">
        <f>IF(VERW_Project!$A31="","",VERW_Project!$A31)</f>
        <v/>
      </c>
      <c r="B35" s="61" t="str">
        <f>IF($A35="","",VERW_Project!$C31)</f>
        <v/>
      </c>
      <c r="C35" s="61" t="str">
        <f>IF($A35="","",VERW_Project!$D31)</f>
        <v/>
      </c>
      <c r="D35" s="61" t="str">
        <f>IF($A35="","",VERW_Project!$I31)</f>
        <v/>
      </c>
      <c r="E35" s="41" t="str">
        <f>IF($A35="","",IF(ISNUMBER(IF(COUNTIFS(L_Actief,1,L_WBS,$A35,L_Doeljaar,Sel_Doeljaar,L_Versiejaar,P_VJ,L_Versie,E$8,L_Kengetal,"Omzet FY")=0,"n.b.",SUMIFS(L_Waarde,L_Actief,1,L_WBS,$A35,L_Doeljaar,Sel_Doeljaar,L_Versiejaar,P_VJ,L_Versie,E$8,L_Kengetal,"Omzet FY"))),IF(COUNTIFS(L_Actief,1,L_WBS,$A35,L_Doeljaar,Sel_Doeljaar,L_Versiejaar,P_VJ,L_Versie,E$8,L_Kengetal,"Omzet FY")=0,"n.b.",SUMIFS(L_Waarde,L_Actief,1,L_WBS,$A35,L_Doeljaar,Sel_Doeljaar,L_Versiejaar,P_VJ,L_Versie,E$8,L_Kengetal,"Omzet FY"))/P_Factor,IF(COUNTIFS(L_Actief,1,L_WBS,$A35,L_Doeljaar,Sel_Doeljaar,L_Versiejaar,P_VJ,L_Versie,E$8,L_Kengetal,"Omzet FY")=0,"n.b.",SUMIFS(L_Waarde,L_Actief,1,L_WBS,$A35,L_Doeljaar,Sel_Doeljaar,L_Versiejaar,P_VJ,L_Versie,E$8,L_Kengetal,"Omzet FY"))))</f>
        <v/>
      </c>
      <c r="F35" s="41" t="str">
        <f>IF($A35="","",IF(ISNUMBER(IF(COUNTIFS(L_Actief,1,L_WBS,$A35,L_Doeljaar,Sel_Doeljaar,L_Versiejaar,P_VJ,L_Versie,F$8,L_Kengetal,"Omzet FY")=0,"n.b.",SUMIFS(L_Waarde,L_Actief,1,L_WBS,$A35,L_Doeljaar,Sel_Doeljaar,L_Versiejaar,P_VJ,L_Versie,F$8,L_Kengetal,"Omzet FY"))),IF(COUNTIFS(L_Actief,1,L_WBS,$A35,L_Doeljaar,Sel_Doeljaar,L_Versiejaar,P_VJ,L_Versie,F$8,L_Kengetal,"Omzet FY")=0,"n.b.",SUMIFS(L_Waarde,L_Actief,1,L_WBS,$A35,L_Doeljaar,Sel_Doeljaar,L_Versiejaar,P_VJ,L_Versie,F$8,L_Kengetal,"Omzet FY"))/P_Factor,IF(COUNTIFS(L_Actief,1,L_WBS,$A35,L_Doeljaar,Sel_Doeljaar,L_Versiejaar,P_VJ,L_Versie,F$8,L_Kengetal,"Omzet FY")=0,"n.b.",SUMIFS(L_Waarde,L_Actief,1,L_WBS,$A35,L_Doeljaar,Sel_Doeljaar,L_Versiejaar,P_VJ,L_Versie,F$8,L_Kengetal,"Omzet FY"))))</f>
        <v/>
      </c>
      <c r="G35" s="41" t="str">
        <f>IF($A35="","",IF(ISNUMBER(IF(COUNTIFS(L_Actief,1,L_WBS,$A35,L_Doeljaar,Sel_Doeljaar,L_Versiejaar,P_VJ,L_Versie,G$8,L_Kengetal,"Omzet FY")=0,"n.b.",SUMIFS(L_Waarde,L_Actief,1,L_WBS,$A35,L_Doeljaar,Sel_Doeljaar,L_Versiejaar,P_VJ,L_Versie,G$8,L_Kengetal,"Omzet FY"))),IF(COUNTIFS(L_Actief,1,L_WBS,$A35,L_Doeljaar,Sel_Doeljaar,L_Versiejaar,P_VJ,L_Versie,G$8,L_Kengetal,"Omzet FY")=0,"n.b.",SUMIFS(L_Waarde,L_Actief,1,L_WBS,$A35,L_Doeljaar,Sel_Doeljaar,L_Versiejaar,P_VJ,L_Versie,G$8,L_Kengetal,"Omzet FY"))/P_Factor,IF(COUNTIFS(L_Actief,1,L_WBS,$A35,L_Doeljaar,Sel_Doeljaar,L_Versiejaar,P_VJ,L_Versie,G$8,L_Kengetal,"Omzet FY")=0,"n.b.",SUMIFS(L_Waarde,L_Actief,1,L_WBS,$A35,L_Doeljaar,Sel_Doeljaar,L_Versiejaar,P_VJ,L_Versie,G$8,L_Kengetal,"Omzet FY"))))</f>
        <v/>
      </c>
      <c r="H35" s="41" t="str">
        <f>IF($A35="","",IF(ISNUMBER(IF(COUNTIFS(L_Actief,1,L_WBS,$A35,L_Doeljaar,Sel_Doeljaar,L_Versiejaar,P_VJ,L_Versie,H$8,L_Kengetal,"Omzet FY")=0,"n.b.",SUMIFS(L_Waarde,L_Actief,1,L_WBS,$A35,L_Doeljaar,Sel_Doeljaar,L_Versiejaar,P_VJ,L_Versie,H$8,L_Kengetal,"Omzet FY"))),IF(COUNTIFS(L_Actief,1,L_WBS,$A35,L_Doeljaar,Sel_Doeljaar,L_Versiejaar,P_VJ,L_Versie,H$8,L_Kengetal,"Omzet FY")=0,"n.b.",SUMIFS(L_Waarde,L_Actief,1,L_WBS,$A35,L_Doeljaar,Sel_Doeljaar,L_Versiejaar,P_VJ,L_Versie,H$8,L_Kengetal,"Omzet FY"))/P_Factor,IF(COUNTIFS(L_Actief,1,L_WBS,$A35,L_Doeljaar,Sel_Doeljaar,L_Versiejaar,P_VJ,L_Versie,H$8,L_Kengetal,"Omzet FY")=0,"n.b.",SUMIFS(L_Waarde,L_Actief,1,L_WBS,$A35,L_Doeljaar,Sel_Doeljaar,L_Versiejaar,P_VJ,L_Versie,H$8,L_Kengetal,"Omzet FY"))))</f>
        <v/>
      </c>
      <c r="I35" s="41" t="str">
        <f>IF($A35="","",IF(ISNUMBER(IF(COUNTIFS(L_Actief,1,L_WBS,$A35,L_Doeljaar,Sel_Doeljaar,L_Versiejaar,P_VJ,L_Versie,I$8,L_Kengetal,"Omzet FY")=0,"n.b.",SUMIFS(L_Waarde,L_Actief,1,L_WBS,$A35,L_Doeljaar,Sel_Doeljaar,L_Versiejaar,P_VJ,L_Versie,I$8,L_Kengetal,"Omzet FY"))),IF(COUNTIFS(L_Actief,1,L_WBS,$A35,L_Doeljaar,Sel_Doeljaar,L_Versiejaar,P_VJ,L_Versie,I$8,L_Kengetal,"Omzet FY")=0,"n.b.",SUMIFS(L_Waarde,L_Actief,1,L_WBS,$A35,L_Doeljaar,Sel_Doeljaar,L_Versiejaar,P_VJ,L_Versie,I$8,L_Kengetal,"Omzet FY"))/P_Factor,IF(COUNTIFS(L_Actief,1,L_WBS,$A35,L_Doeljaar,Sel_Doeljaar,L_Versiejaar,P_VJ,L_Versie,I$8,L_Kengetal,"Omzet FY")=0,"n.b.",SUMIFS(L_Waarde,L_Actief,1,L_WBS,$A35,L_Doeljaar,Sel_Doeljaar,L_Versiejaar,P_VJ,L_Versie,I$8,L_Kengetal,"Omzet FY"))))</f>
        <v/>
      </c>
      <c r="J35" s="41" t="str">
        <f>IF($A35="","",IF(ISNUMBER(IF(Sel_Doeljaar=P_RJ,VERW_Project!$P31,IF(Sel_Doeljaar=P_RJ+1,VERW_Project!$R31,"n.b."))),IF(Sel_Doeljaar=P_RJ,VERW_Project!$P31,IF(Sel_Doeljaar=P_RJ+1,VERW_Project!$R31,"n.b."))/P_Factor,IF(Sel_Doeljaar=P_RJ,VERW_Project!$P31,IF(Sel_Doeljaar=P_RJ+1,VERW_Project!$R31,"n.b."))))</f>
        <v/>
      </c>
      <c r="K35" s="41" t="str">
        <f>IF($A35="","",IF(Sel_Bron="Vastgesteld",INDEX($E35:$I35,MATCH(Sel_Versie,$E$8:$I$8,0)),IF(Sel_Bron="Concept",J35,"n.b.")))</f>
        <v/>
      </c>
      <c r="L35" s="62" t="str">
        <f>IF($A35="","",IF(Sel_Doeljaar&gt;P_VJ,"n.v.t.",IF(Sel_Bron="Vastgesteld",IF(ISNUMBER(IF(COUNTIFS(L_Actief,1,L_WBS,$A35,L_Doeljaar,Sel_Doeljaar,L_Versiejaar,P_VJ,L_Versie,Sel_Versie,L_Kengetal,"Omzet actual YTD")=0,"n.b.",SUMIFS(L_Waarde,L_Actief,1,L_WBS,$A35,L_Doeljaar,Sel_Doeljaar,L_Versiejaar,P_VJ,L_Versie,Sel_Versie,L_Kengetal,"Omzet actual YTD"))),IF(COUNTIFS(L_Actief,1,L_WBS,$A35,L_Doeljaar,Sel_Doeljaar,L_Versiejaar,P_VJ,L_Versie,Sel_Versie,L_Kengetal,"Omzet actual YTD")=0,"n.b.",SUMIFS(L_Waarde,L_Actief,1,L_WBS,$A35,L_Doeljaar,Sel_Doeljaar,L_Versiejaar,P_VJ,L_Versie,Sel_Versie,L_Kengetal,"Omzet actual YTD"))/P_Factor,IF(COUNTIFS(L_Actief,1,L_WBS,$A35,L_Doeljaar,Sel_Doeljaar,L_Versiejaar,P_VJ,L_Versie,Sel_Versie,L_Kengetal,"Omzet actual YTD")=0,"n.b.",SUMIFS(L_Waarde,L_Actief,1,L_WBS,$A35,L_Doeljaar,Sel_Doeljaar,L_Versiejaar,P_VJ,L_Versie,Sel_Versie,L_Kengetal,"Omzet actual YTD"))),IF(Sel_Bron="Concept",IF(ISNUMBER(IF(Sel_Doeljaar=P_RJ,VERW_Project!$L31,"n.v.t.")),IF(Sel_Doeljaar=P_RJ,VERW_Project!$L31,"n.v.t.")/P_Factor,IF(Sel_Doeljaar=P_RJ,VERW_Project!$L31,"n.v.t.")),"n.b."))))</f>
        <v/>
      </c>
      <c r="M35" s="41" t="str">
        <f>IF($A35="","",IF(L35="n.v.t.",K35,IF(AND(ISNUMBER(K35),ISNUMBER(L35)),K35-L35,"n.b.")))</f>
        <v/>
      </c>
      <c r="N35" s="41" t="str">
        <f>IF($A35="","",IF(Sel_Bron="Vastgesteld",IF(ISNUMBER(IF(COUNTIFS(L_Actief,1,L_WBS,$A35,L_Doeljaar,Sel_Doeljaar,L_Versiejaar,P_VJ,L_Versie,Sel_Versie,L_Kengetal,"BOR FY")=0,"n.b.",SUMIFS(L_Waarde,L_Actief,1,L_WBS,$A35,L_Doeljaar,Sel_Doeljaar,L_Versiejaar,P_VJ,L_Versie,Sel_Versie,L_Kengetal,"BOR FY"))),IF(COUNTIFS(L_Actief,1,L_WBS,$A35,L_Doeljaar,Sel_Doeljaar,L_Versiejaar,P_VJ,L_Versie,Sel_Versie,L_Kengetal,"BOR FY")=0,"n.b.",SUMIFS(L_Waarde,L_Actief,1,L_WBS,$A35,L_Doeljaar,Sel_Doeljaar,L_Versiejaar,P_VJ,L_Versie,Sel_Versie,L_Kengetal,"BOR FY"))/P_Factor,IF(COUNTIFS(L_Actief,1,L_WBS,$A35,L_Doeljaar,Sel_Doeljaar,L_Versiejaar,P_VJ,L_Versie,Sel_Versie,L_Kengetal,"BOR FY")=0,"n.b.",SUMIFS(L_Waarde,L_Actief,1,L_WBS,$A35,L_Doeljaar,Sel_Doeljaar,L_Versiejaar,P_VJ,L_Versie,Sel_Versie,L_Kengetal,"BOR FY"))),IF(Sel_Bron="Concept",IF(ISNUMBER(IF(Sel_Doeljaar=P_RJ,VERW_Project!$Q31,IF(Sel_Doeljaar=P_RJ+1,VERW_Project!$S31,"n.b."))),IF(Sel_Doeljaar=P_RJ,VERW_Project!$Q31,IF(Sel_Doeljaar=P_RJ+1,VERW_Project!$S31,"n.b."))/P_Factor,IF(Sel_Doeljaar=P_RJ,VERW_Project!$Q31,IF(Sel_Doeljaar=P_RJ+1,VERW_Project!$S31,"n.b."))),"n.b.")))</f>
        <v/>
      </c>
      <c r="O35" s="63" t="str">
        <f>IF($A35="","",IF(AND(ISNUMBER(N35),ISNUMBER(K35)),IF(K35&lt;&gt;0,N35/K35,"n.b."),"n.b."))</f>
        <v/>
      </c>
      <c r="P35" s="41" t="str">
        <f>IF($A35="","",IF(AND(ISNUMBER(K35),ISNUMBER(E35)),K35-E35,"n.b."))</f>
        <v/>
      </c>
      <c r="Q35" s="41" t="str">
        <f>IF($A35="","",IF(AND(ISNUMBER(K35),ISNUMBER(W35)),K35-W35,"n.b."))</f>
        <v/>
      </c>
      <c r="R35" s="64" t="str">
        <f>IF($A35="","",IF(ISNUMBER(N35),IF(N35&lt;0,"Verlies",""),""))</f>
        <v/>
      </c>
      <c r="S35" s="61" t="str">
        <f>IF($A35="","",IFERROR(INDEX(T_Txt,MATCH($A35&amp;"|"&amp;Sel_Doeljaar&amp;"|"&amp;P_VJ&amp;"|"&amp;Sel_Versie,T_Key,0)),""))</f>
        <v/>
      </c>
      <c r="U35" s="15" t="str">
        <f>IF(AND(AND($A35&lt;&gt;"",OR(Sel_Type="Alle",$C35=Sel_Type),OR(Sel_Project="Alle",$B35=Sel_Project)),ISNUMBER(K35)),K35+ROW()/1000000000,"")</f>
        <v/>
      </c>
      <c r="V35" s="15" t="str">
        <f>IF(AND(AND($A35&lt;&gt;"",OR(Sel_Type="Alle",$C35=Sel_Type),OR(Sel_Project="Alle",$B35=Sel_Project)),ISNUMBER(Q35)),ABS(Q35)+ROW()/1000000000,"")</f>
        <v/>
      </c>
      <c r="W35" s="15" t="str">
        <f>IF(OR($A35="",Sel_Prev=""),"n.b.",IF(ISNUMBER(IF(COUNTIFS(L_Actief,1,L_WBS,$A35,L_Doeljaar,Sel_Doeljaar,L_Versiejaar,P_VJ,L_Versie,Sel_Prev,L_Kengetal,"Omzet FY")=0,"n.b.",SUMIFS(L_Waarde,L_Actief,1,L_WBS,$A35,L_Doeljaar,Sel_Doeljaar,L_Versiejaar,P_VJ,L_Versie,Sel_Prev,L_Kengetal,"Omzet FY"))),IF(COUNTIFS(L_Actief,1,L_WBS,$A35,L_Doeljaar,Sel_Doeljaar,L_Versiejaar,P_VJ,L_Versie,Sel_Prev,L_Kengetal,"Omzet FY")=0,"n.b.",SUMIFS(L_Waarde,L_Actief,1,L_WBS,$A35,L_Doeljaar,Sel_Doeljaar,L_Versiejaar,P_VJ,L_Versie,Sel_Prev,L_Kengetal,"Omzet FY"))/P_Factor,IF(COUNTIFS(L_Actief,1,L_WBS,$A35,L_Doeljaar,Sel_Doeljaar,L_Versiejaar,P_VJ,L_Versie,Sel_Prev,L_Kengetal,"Omzet FY")=0,"n.b.",SUMIFS(L_Waarde,L_Actief,1,L_WBS,$A35,L_Doeljaar,Sel_Doeljaar,L_Versiejaar,P_VJ,L_Versie,Sel_Prev,L_Kengetal,"Omzet FY"))))</f>
        <v>n.b.</v>
      </c>
    </row>
    <row r="36">
      <c r="A36" s="61" t="str">
        <f>IF(VERW_Project!$A32="","",VERW_Project!$A32)</f>
        <v/>
      </c>
      <c r="B36" s="61" t="str">
        <f>IF($A36="","",VERW_Project!$C32)</f>
        <v/>
      </c>
      <c r="C36" s="61" t="str">
        <f>IF($A36="","",VERW_Project!$D32)</f>
        <v/>
      </c>
      <c r="D36" s="61" t="str">
        <f>IF($A36="","",VERW_Project!$I32)</f>
        <v/>
      </c>
      <c r="E36" s="41" t="str">
        <f>IF($A36="","",IF(ISNUMBER(IF(COUNTIFS(L_Actief,1,L_WBS,$A36,L_Doeljaar,Sel_Doeljaar,L_Versiejaar,P_VJ,L_Versie,E$8,L_Kengetal,"Omzet FY")=0,"n.b.",SUMIFS(L_Waarde,L_Actief,1,L_WBS,$A36,L_Doeljaar,Sel_Doeljaar,L_Versiejaar,P_VJ,L_Versie,E$8,L_Kengetal,"Omzet FY"))),IF(COUNTIFS(L_Actief,1,L_WBS,$A36,L_Doeljaar,Sel_Doeljaar,L_Versiejaar,P_VJ,L_Versie,E$8,L_Kengetal,"Omzet FY")=0,"n.b.",SUMIFS(L_Waarde,L_Actief,1,L_WBS,$A36,L_Doeljaar,Sel_Doeljaar,L_Versiejaar,P_VJ,L_Versie,E$8,L_Kengetal,"Omzet FY"))/P_Factor,IF(COUNTIFS(L_Actief,1,L_WBS,$A36,L_Doeljaar,Sel_Doeljaar,L_Versiejaar,P_VJ,L_Versie,E$8,L_Kengetal,"Omzet FY")=0,"n.b.",SUMIFS(L_Waarde,L_Actief,1,L_WBS,$A36,L_Doeljaar,Sel_Doeljaar,L_Versiejaar,P_VJ,L_Versie,E$8,L_Kengetal,"Omzet FY"))))</f>
        <v/>
      </c>
      <c r="F36" s="41" t="str">
        <f>IF($A36="","",IF(ISNUMBER(IF(COUNTIFS(L_Actief,1,L_WBS,$A36,L_Doeljaar,Sel_Doeljaar,L_Versiejaar,P_VJ,L_Versie,F$8,L_Kengetal,"Omzet FY")=0,"n.b.",SUMIFS(L_Waarde,L_Actief,1,L_WBS,$A36,L_Doeljaar,Sel_Doeljaar,L_Versiejaar,P_VJ,L_Versie,F$8,L_Kengetal,"Omzet FY"))),IF(COUNTIFS(L_Actief,1,L_WBS,$A36,L_Doeljaar,Sel_Doeljaar,L_Versiejaar,P_VJ,L_Versie,F$8,L_Kengetal,"Omzet FY")=0,"n.b.",SUMIFS(L_Waarde,L_Actief,1,L_WBS,$A36,L_Doeljaar,Sel_Doeljaar,L_Versiejaar,P_VJ,L_Versie,F$8,L_Kengetal,"Omzet FY"))/P_Factor,IF(COUNTIFS(L_Actief,1,L_WBS,$A36,L_Doeljaar,Sel_Doeljaar,L_Versiejaar,P_VJ,L_Versie,F$8,L_Kengetal,"Omzet FY")=0,"n.b.",SUMIFS(L_Waarde,L_Actief,1,L_WBS,$A36,L_Doeljaar,Sel_Doeljaar,L_Versiejaar,P_VJ,L_Versie,F$8,L_Kengetal,"Omzet FY"))))</f>
        <v/>
      </c>
      <c r="G36" s="41" t="str">
        <f>IF($A36="","",IF(ISNUMBER(IF(COUNTIFS(L_Actief,1,L_WBS,$A36,L_Doeljaar,Sel_Doeljaar,L_Versiejaar,P_VJ,L_Versie,G$8,L_Kengetal,"Omzet FY")=0,"n.b.",SUMIFS(L_Waarde,L_Actief,1,L_WBS,$A36,L_Doeljaar,Sel_Doeljaar,L_Versiejaar,P_VJ,L_Versie,G$8,L_Kengetal,"Omzet FY"))),IF(COUNTIFS(L_Actief,1,L_WBS,$A36,L_Doeljaar,Sel_Doeljaar,L_Versiejaar,P_VJ,L_Versie,G$8,L_Kengetal,"Omzet FY")=0,"n.b.",SUMIFS(L_Waarde,L_Actief,1,L_WBS,$A36,L_Doeljaar,Sel_Doeljaar,L_Versiejaar,P_VJ,L_Versie,G$8,L_Kengetal,"Omzet FY"))/P_Factor,IF(COUNTIFS(L_Actief,1,L_WBS,$A36,L_Doeljaar,Sel_Doeljaar,L_Versiejaar,P_VJ,L_Versie,G$8,L_Kengetal,"Omzet FY")=0,"n.b.",SUMIFS(L_Waarde,L_Actief,1,L_WBS,$A36,L_Doeljaar,Sel_Doeljaar,L_Versiejaar,P_VJ,L_Versie,G$8,L_Kengetal,"Omzet FY"))))</f>
        <v/>
      </c>
      <c r="H36" s="41" t="str">
        <f>IF($A36="","",IF(ISNUMBER(IF(COUNTIFS(L_Actief,1,L_WBS,$A36,L_Doeljaar,Sel_Doeljaar,L_Versiejaar,P_VJ,L_Versie,H$8,L_Kengetal,"Omzet FY")=0,"n.b.",SUMIFS(L_Waarde,L_Actief,1,L_WBS,$A36,L_Doeljaar,Sel_Doeljaar,L_Versiejaar,P_VJ,L_Versie,H$8,L_Kengetal,"Omzet FY"))),IF(COUNTIFS(L_Actief,1,L_WBS,$A36,L_Doeljaar,Sel_Doeljaar,L_Versiejaar,P_VJ,L_Versie,H$8,L_Kengetal,"Omzet FY")=0,"n.b.",SUMIFS(L_Waarde,L_Actief,1,L_WBS,$A36,L_Doeljaar,Sel_Doeljaar,L_Versiejaar,P_VJ,L_Versie,H$8,L_Kengetal,"Omzet FY"))/P_Factor,IF(COUNTIFS(L_Actief,1,L_WBS,$A36,L_Doeljaar,Sel_Doeljaar,L_Versiejaar,P_VJ,L_Versie,H$8,L_Kengetal,"Omzet FY")=0,"n.b.",SUMIFS(L_Waarde,L_Actief,1,L_WBS,$A36,L_Doeljaar,Sel_Doeljaar,L_Versiejaar,P_VJ,L_Versie,H$8,L_Kengetal,"Omzet FY"))))</f>
        <v/>
      </c>
      <c r="I36" s="41" t="str">
        <f>IF($A36="","",IF(ISNUMBER(IF(COUNTIFS(L_Actief,1,L_WBS,$A36,L_Doeljaar,Sel_Doeljaar,L_Versiejaar,P_VJ,L_Versie,I$8,L_Kengetal,"Omzet FY")=0,"n.b.",SUMIFS(L_Waarde,L_Actief,1,L_WBS,$A36,L_Doeljaar,Sel_Doeljaar,L_Versiejaar,P_VJ,L_Versie,I$8,L_Kengetal,"Omzet FY"))),IF(COUNTIFS(L_Actief,1,L_WBS,$A36,L_Doeljaar,Sel_Doeljaar,L_Versiejaar,P_VJ,L_Versie,I$8,L_Kengetal,"Omzet FY")=0,"n.b.",SUMIFS(L_Waarde,L_Actief,1,L_WBS,$A36,L_Doeljaar,Sel_Doeljaar,L_Versiejaar,P_VJ,L_Versie,I$8,L_Kengetal,"Omzet FY"))/P_Factor,IF(COUNTIFS(L_Actief,1,L_WBS,$A36,L_Doeljaar,Sel_Doeljaar,L_Versiejaar,P_VJ,L_Versie,I$8,L_Kengetal,"Omzet FY")=0,"n.b.",SUMIFS(L_Waarde,L_Actief,1,L_WBS,$A36,L_Doeljaar,Sel_Doeljaar,L_Versiejaar,P_VJ,L_Versie,I$8,L_Kengetal,"Omzet FY"))))</f>
        <v/>
      </c>
      <c r="J36" s="41" t="str">
        <f>IF($A36="","",IF(ISNUMBER(IF(Sel_Doeljaar=P_RJ,VERW_Project!$P32,IF(Sel_Doeljaar=P_RJ+1,VERW_Project!$R32,"n.b."))),IF(Sel_Doeljaar=P_RJ,VERW_Project!$P32,IF(Sel_Doeljaar=P_RJ+1,VERW_Project!$R32,"n.b."))/P_Factor,IF(Sel_Doeljaar=P_RJ,VERW_Project!$P32,IF(Sel_Doeljaar=P_RJ+1,VERW_Project!$R32,"n.b."))))</f>
        <v/>
      </c>
      <c r="K36" s="41" t="str">
        <f>IF($A36="","",IF(Sel_Bron="Vastgesteld",INDEX($E36:$I36,MATCH(Sel_Versie,$E$8:$I$8,0)),IF(Sel_Bron="Concept",J36,"n.b.")))</f>
        <v/>
      </c>
      <c r="L36" s="62" t="str">
        <f>IF($A36="","",IF(Sel_Doeljaar&gt;P_VJ,"n.v.t.",IF(Sel_Bron="Vastgesteld",IF(ISNUMBER(IF(COUNTIFS(L_Actief,1,L_WBS,$A36,L_Doeljaar,Sel_Doeljaar,L_Versiejaar,P_VJ,L_Versie,Sel_Versie,L_Kengetal,"Omzet actual YTD")=0,"n.b.",SUMIFS(L_Waarde,L_Actief,1,L_WBS,$A36,L_Doeljaar,Sel_Doeljaar,L_Versiejaar,P_VJ,L_Versie,Sel_Versie,L_Kengetal,"Omzet actual YTD"))),IF(COUNTIFS(L_Actief,1,L_WBS,$A36,L_Doeljaar,Sel_Doeljaar,L_Versiejaar,P_VJ,L_Versie,Sel_Versie,L_Kengetal,"Omzet actual YTD")=0,"n.b.",SUMIFS(L_Waarde,L_Actief,1,L_WBS,$A36,L_Doeljaar,Sel_Doeljaar,L_Versiejaar,P_VJ,L_Versie,Sel_Versie,L_Kengetal,"Omzet actual YTD"))/P_Factor,IF(COUNTIFS(L_Actief,1,L_WBS,$A36,L_Doeljaar,Sel_Doeljaar,L_Versiejaar,P_VJ,L_Versie,Sel_Versie,L_Kengetal,"Omzet actual YTD")=0,"n.b.",SUMIFS(L_Waarde,L_Actief,1,L_WBS,$A36,L_Doeljaar,Sel_Doeljaar,L_Versiejaar,P_VJ,L_Versie,Sel_Versie,L_Kengetal,"Omzet actual YTD"))),IF(Sel_Bron="Concept",IF(ISNUMBER(IF(Sel_Doeljaar=P_RJ,VERW_Project!$L32,"n.v.t.")),IF(Sel_Doeljaar=P_RJ,VERW_Project!$L32,"n.v.t.")/P_Factor,IF(Sel_Doeljaar=P_RJ,VERW_Project!$L32,"n.v.t.")),"n.b."))))</f>
        <v/>
      </c>
      <c r="M36" s="41" t="str">
        <f>IF($A36="","",IF(L36="n.v.t.",K36,IF(AND(ISNUMBER(K36),ISNUMBER(L36)),K36-L36,"n.b.")))</f>
        <v/>
      </c>
      <c r="N36" s="41" t="str">
        <f>IF($A36="","",IF(Sel_Bron="Vastgesteld",IF(ISNUMBER(IF(COUNTIFS(L_Actief,1,L_WBS,$A36,L_Doeljaar,Sel_Doeljaar,L_Versiejaar,P_VJ,L_Versie,Sel_Versie,L_Kengetal,"BOR FY")=0,"n.b.",SUMIFS(L_Waarde,L_Actief,1,L_WBS,$A36,L_Doeljaar,Sel_Doeljaar,L_Versiejaar,P_VJ,L_Versie,Sel_Versie,L_Kengetal,"BOR FY"))),IF(COUNTIFS(L_Actief,1,L_WBS,$A36,L_Doeljaar,Sel_Doeljaar,L_Versiejaar,P_VJ,L_Versie,Sel_Versie,L_Kengetal,"BOR FY")=0,"n.b.",SUMIFS(L_Waarde,L_Actief,1,L_WBS,$A36,L_Doeljaar,Sel_Doeljaar,L_Versiejaar,P_VJ,L_Versie,Sel_Versie,L_Kengetal,"BOR FY"))/P_Factor,IF(COUNTIFS(L_Actief,1,L_WBS,$A36,L_Doeljaar,Sel_Doeljaar,L_Versiejaar,P_VJ,L_Versie,Sel_Versie,L_Kengetal,"BOR FY")=0,"n.b.",SUMIFS(L_Waarde,L_Actief,1,L_WBS,$A36,L_Doeljaar,Sel_Doeljaar,L_Versiejaar,P_VJ,L_Versie,Sel_Versie,L_Kengetal,"BOR FY"))),IF(Sel_Bron="Concept",IF(ISNUMBER(IF(Sel_Doeljaar=P_RJ,VERW_Project!$Q32,IF(Sel_Doeljaar=P_RJ+1,VERW_Project!$S32,"n.b."))),IF(Sel_Doeljaar=P_RJ,VERW_Project!$Q32,IF(Sel_Doeljaar=P_RJ+1,VERW_Project!$S32,"n.b."))/P_Factor,IF(Sel_Doeljaar=P_RJ,VERW_Project!$Q32,IF(Sel_Doeljaar=P_RJ+1,VERW_Project!$S32,"n.b."))),"n.b.")))</f>
        <v/>
      </c>
      <c r="O36" s="63" t="str">
        <f>IF($A36="","",IF(AND(ISNUMBER(N36),ISNUMBER(K36)),IF(K36&lt;&gt;0,N36/K36,"n.b."),"n.b."))</f>
        <v/>
      </c>
      <c r="P36" s="41" t="str">
        <f>IF($A36="","",IF(AND(ISNUMBER(K36),ISNUMBER(E36)),K36-E36,"n.b."))</f>
        <v/>
      </c>
      <c r="Q36" s="41" t="str">
        <f>IF($A36="","",IF(AND(ISNUMBER(K36),ISNUMBER(W36)),K36-W36,"n.b."))</f>
        <v/>
      </c>
      <c r="R36" s="64" t="str">
        <f>IF($A36="","",IF(ISNUMBER(N36),IF(N36&lt;0,"Verlies",""),""))</f>
        <v/>
      </c>
      <c r="S36" s="61" t="str">
        <f>IF($A36="","",IFERROR(INDEX(T_Txt,MATCH($A36&amp;"|"&amp;Sel_Doeljaar&amp;"|"&amp;P_VJ&amp;"|"&amp;Sel_Versie,T_Key,0)),""))</f>
        <v/>
      </c>
      <c r="U36" s="15" t="str">
        <f>IF(AND(AND($A36&lt;&gt;"",OR(Sel_Type="Alle",$C36=Sel_Type),OR(Sel_Project="Alle",$B36=Sel_Project)),ISNUMBER(K36)),K36+ROW()/1000000000,"")</f>
        <v/>
      </c>
      <c r="V36" s="15" t="str">
        <f>IF(AND(AND($A36&lt;&gt;"",OR(Sel_Type="Alle",$C36=Sel_Type),OR(Sel_Project="Alle",$B36=Sel_Project)),ISNUMBER(Q36)),ABS(Q36)+ROW()/1000000000,"")</f>
        <v/>
      </c>
      <c r="W36" s="15" t="str">
        <f>IF(OR($A36="",Sel_Prev=""),"n.b.",IF(ISNUMBER(IF(COUNTIFS(L_Actief,1,L_WBS,$A36,L_Doeljaar,Sel_Doeljaar,L_Versiejaar,P_VJ,L_Versie,Sel_Prev,L_Kengetal,"Omzet FY")=0,"n.b.",SUMIFS(L_Waarde,L_Actief,1,L_WBS,$A36,L_Doeljaar,Sel_Doeljaar,L_Versiejaar,P_VJ,L_Versie,Sel_Prev,L_Kengetal,"Omzet FY"))),IF(COUNTIFS(L_Actief,1,L_WBS,$A36,L_Doeljaar,Sel_Doeljaar,L_Versiejaar,P_VJ,L_Versie,Sel_Prev,L_Kengetal,"Omzet FY")=0,"n.b.",SUMIFS(L_Waarde,L_Actief,1,L_WBS,$A36,L_Doeljaar,Sel_Doeljaar,L_Versiejaar,P_VJ,L_Versie,Sel_Prev,L_Kengetal,"Omzet FY"))/P_Factor,IF(COUNTIFS(L_Actief,1,L_WBS,$A36,L_Doeljaar,Sel_Doeljaar,L_Versiejaar,P_VJ,L_Versie,Sel_Prev,L_Kengetal,"Omzet FY")=0,"n.b.",SUMIFS(L_Waarde,L_Actief,1,L_WBS,$A36,L_Doeljaar,Sel_Doeljaar,L_Versiejaar,P_VJ,L_Versie,Sel_Prev,L_Kengetal,"Omzet FY"))))</f>
        <v>n.b.</v>
      </c>
    </row>
    <row r="37">
      <c r="A37" s="61" t="str">
        <f>IF(VERW_Project!$A33="","",VERW_Project!$A33)</f>
        <v/>
      </c>
      <c r="B37" s="61" t="str">
        <f>IF($A37="","",VERW_Project!$C33)</f>
        <v/>
      </c>
      <c r="C37" s="61" t="str">
        <f>IF($A37="","",VERW_Project!$D33)</f>
        <v/>
      </c>
      <c r="D37" s="61" t="str">
        <f>IF($A37="","",VERW_Project!$I33)</f>
        <v/>
      </c>
      <c r="E37" s="41" t="str">
        <f>IF($A37="","",IF(ISNUMBER(IF(COUNTIFS(L_Actief,1,L_WBS,$A37,L_Doeljaar,Sel_Doeljaar,L_Versiejaar,P_VJ,L_Versie,E$8,L_Kengetal,"Omzet FY")=0,"n.b.",SUMIFS(L_Waarde,L_Actief,1,L_WBS,$A37,L_Doeljaar,Sel_Doeljaar,L_Versiejaar,P_VJ,L_Versie,E$8,L_Kengetal,"Omzet FY"))),IF(COUNTIFS(L_Actief,1,L_WBS,$A37,L_Doeljaar,Sel_Doeljaar,L_Versiejaar,P_VJ,L_Versie,E$8,L_Kengetal,"Omzet FY")=0,"n.b.",SUMIFS(L_Waarde,L_Actief,1,L_WBS,$A37,L_Doeljaar,Sel_Doeljaar,L_Versiejaar,P_VJ,L_Versie,E$8,L_Kengetal,"Omzet FY"))/P_Factor,IF(COUNTIFS(L_Actief,1,L_WBS,$A37,L_Doeljaar,Sel_Doeljaar,L_Versiejaar,P_VJ,L_Versie,E$8,L_Kengetal,"Omzet FY")=0,"n.b.",SUMIFS(L_Waarde,L_Actief,1,L_WBS,$A37,L_Doeljaar,Sel_Doeljaar,L_Versiejaar,P_VJ,L_Versie,E$8,L_Kengetal,"Omzet FY"))))</f>
        <v/>
      </c>
      <c r="F37" s="41" t="str">
        <f>IF($A37="","",IF(ISNUMBER(IF(COUNTIFS(L_Actief,1,L_WBS,$A37,L_Doeljaar,Sel_Doeljaar,L_Versiejaar,P_VJ,L_Versie,F$8,L_Kengetal,"Omzet FY")=0,"n.b.",SUMIFS(L_Waarde,L_Actief,1,L_WBS,$A37,L_Doeljaar,Sel_Doeljaar,L_Versiejaar,P_VJ,L_Versie,F$8,L_Kengetal,"Omzet FY"))),IF(COUNTIFS(L_Actief,1,L_WBS,$A37,L_Doeljaar,Sel_Doeljaar,L_Versiejaar,P_VJ,L_Versie,F$8,L_Kengetal,"Omzet FY")=0,"n.b.",SUMIFS(L_Waarde,L_Actief,1,L_WBS,$A37,L_Doeljaar,Sel_Doeljaar,L_Versiejaar,P_VJ,L_Versie,F$8,L_Kengetal,"Omzet FY"))/P_Factor,IF(COUNTIFS(L_Actief,1,L_WBS,$A37,L_Doeljaar,Sel_Doeljaar,L_Versiejaar,P_VJ,L_Versie,F$8,L_Kengetal,"Omzet FY")=0,"n.b.",SUMIFS(L_Waarde,L_Actief,1,L_WBS,$A37,L_Doeljaar,Sel_Doeljaar,L_Versiejaar,P_VJ,L_Versie,F$8,L_Kengetal,"Omzet FY"))))</f>
        <v/>
      </c>
      <c r="G37" s="41" t="str">
        <f>IF($A37="","",IF(ISNUMBER(IF(COUNTIFS(L_Actief,1,L_WBS,$A37,L_Doeljaar,Sel_Doeljaar,L_Versiejaar,P_VJ,L_Versie,G$8,L_Kengetal,"Omzet FY")=0,"n.b.",SUMIFS(L_Waarde,L_Actief,1,L_WBS,$A37,L_Doeljaar,Sel_Doeljaar,L_Versiejaar,P_VJ,L_Versie,G$8,L_Kengetal,"Omzet FY"))),IF(COUNTIFS(L_Actief,1,L_WBS,$A37,L_Doeljaar,Sel_Doeljaar,L_Versiejaar,P_VJ,L_Versie,G$8,L_Kengetal,"Omzet FY")=0,"n.b.",SUMIFS(L_Waarde,L_Actief,1,L_WBS,$A37,L_Doeljaar,Sel_Doeljaar,L_Versiejaar,P_VJ,L_Versie,G$8,L_Kengetal,"Omzet FY"))/P_Factor,IF(COUNTIFS(L_Actief,1,L_WBS,$A37,L_Doeljaar,Sel_Doeljaar,L_Versiejaar,P_VJ,L_Versie,G$8,L_Kengetal,"Omzet FY")=0,"n.b.",SUMIFS(L_Waarde,L_Actief,1,L_WBS,$A37,L_Doeljaar,Sel_Doeljaar,L_Versiejaar,P_VJ,L_Versie,G$8,L_Kengetal,"Omzet FY"))))</f>
        <v/>
      </c>
      <c r="H37" s="41" t="str">
        <f>IF($A37="","",IF(ISNUMBER(IF(COUNTIFS(L_Actief,1,L_WBS,$A37,L_Doeljaar,Sel_Doeljaar,L_Versiejaar,P_VJ,L_Versie,H$8,L_Kengetal,"Omzet FY")=0,"n.b.",SUMIFS(L_Waarde,L_Actief,1,L_WBS,$A37,L_Doeljaar,Sel_Doeljaar,L_Versiejaar,P_VJ,L_Versie,H$8,L_Kengetal,"Omzet FY"))),IF(COUNTIFS(L_Actief,1,L_WBS,$A37,L_Doeljaar,Sel_Doeljaar,L_Versiejaar,P_VJ,L_Versie,H$8,L_Kengetal,"Omzet FY")=0,"n.b.",SUMIFS(L_Waarde,L_Actief,1,L_WBS,$A37,L_Doeljaar,Sel_Doeljaar,L_Versiejaar,P_VJ,L_Versie,H$8,L_Kengetal,"Omzet FY"))/P_Factor,IF(COUNTIFS(L_Actief,1,L_WBS,$A37,L_Doeljaar,Sel_Doeljaar,L_Versiejaar,P_VJ,L_Versie,H$8,L_Kengetal,"Omzet FY")=0,"n.b.",SUMIFS(L_Waarde,L_Actief,1,L_WBS,$A37,L_Doeljaar,Sel_Doeljaar,L_Versiejaar,P_VJ,L_Versie,H$8,L_Kengetal,"Omzet FY"))))</f>
        <v/>
      </c>
      <c r="I37" s="41" t="str">
        <f>IF($A37="","",IF(ISNUMBER(IF(COUNTIFS(L_Actief,1,L_WBS,$A37,L_Doeljaar,Sel_Doeljaar,L_Versiejaar,P_VJ,L_Versie,I$8,L_Kengetal,"Omzet FY")=0,"n.b.",SUMIFS(L_Waarde,L_Actief,1,L_WBS,$A37,L_Doeljaar,Sel_Doeljaar,L_Versiejaar,P_VJ,L_Versie,I$8,L_Kengetal,"Omzet FY"))),IF(COUNTIFS(L_Actief,1,L_WBS,$A37,L_Doeljaar,Sel_Doeljaar,L_Versiejaar,P_VJ,L_Versie,I$8,L_Kengetal,"Omzet FY")=0,"n.b.",SUMIFS(L_Waarde,L_Actief,1,L_WBS,$A37,L_Doeljaar,Sel_Doeljaar,L_Versiejaar,P_VJ,L_Versie,I$8,L_Kengetal,"Omzet FY"))/P_Factor,IF(COUNTIFS(L_Actief,1,L_WBS,$A37,L_Doeljaar,Sel_Doeljaar,L_Versiejaar,P_VJ,L_Versie,I$8,L_Kengetal,"Omzet FY")=0,"n.b.",SUMIFS(L_Waarde,L_Actief,1,L_WBS,$A37,L_Doeljaar,Sel_Doeljaar,L_Versiejaar,P_VJ,L_Versie,I$8,L_Kengetal,"Omzet FY"))))</f>
        <v/>
      </c>
      <c r="J37" s="41" t="str">
        <f>IF($A37="","",IF(ISNUMBER(IF(Sel_Doeljaar=P_RJ,VERW_Project!$P33,IF(Sel_Doeljaar=P_RJ+1,VERW_Project!$R33,"n.b."))),IF(Sel_Doeljaar=P_RJ,VERW_Project!$P33,IF(Sel_Doeljaar=P_RJ+1,VERW_Project!$R33,"n.b."))/P_Factor,IF(Sel_Doeljaar=P_RJ,VERW_Project!$P33,IF(Sel_Doeljaar=P_RJ+1,VERW_Project!$R33,"n.b."))))</f>
        <v/>
      </c>
      <c r="K37" s="41" t="str">
        <f>IF($A37="","",IF(Sel_Bron="Vastgesteld",INDEX($E37:$I37,MATCH(Sel_Versie,$E$8:$I$8,0)),IF(Sel_Bron="Concept",J37,"n.b.")))</f>
        <v/>
      </c>
      <c r="L37" s="62" t="str">
        <f>IF($A37="","",IF(Sel_Doeljaar&gt;P_VJ,"n.v.t.",IF(Sel_Bron="Vastgesteld",IF(ISNUMBER(IF(COUNTIFS(L_Actief,1,L_WBS,$A37,L_Doeljaar,Sel_Doeljaar,L_Versiejaar,P_VJ,L_Versie,Sel_Versie,L_Kengetal,"Omzet actual YTD")=0,"n.b.",SUMIFS(L_Waarde,L_Actief,1,L_WBS,$A37,L_Doeljaar,Sel_Doeljaar,L_Versiejaar,P_VJ,L_Versie,Sel_Versie,L_Kengetal,"Omzet actual YTD"))),IF(COUNTIFS(L_Actief,1,L_WBS,$A37,L_Doeljaar,Sel_Doeljaar,L_Versiejaar,P_VJ,L_Versie,Sel_Versie,L_Kengetal,"Omzet actual YTD")=0,"n.b.",SUMIFS(L_Waarde,L_Actief,1,L_WBS,$A37,L_Doeljaar,Sel_Doeljaar,L_Versiejaar,P_VJ,L_Versie,Sel_Versie,L_Kengetal,"Omzet actual YTD"))/P_Factor,IF(COUNTIFS(L_Actief,1,L_WBS,$A37,L_Doeljaar,Sel_Doeljaar,L_Versiejaar,P_VJ,L_Versie,Sel_Versie,L_Kengetal,"Omzet actual YTD")=0,"n.b.",SUMIFS(L_Waarde,L_Actief,1,L_WBS,$A37,L_Doeljaar,Sel_Doeljaar,L_Versiejaar,P_VJ,L_Versie,Sel_Versie,L_Kengetal,"Omzet actual YTD"))),IF(Sel_Bron="Concept",IF(ISNUMBER(IF(Sel_Doeljaar=P_RJ,VERW_Project!$L33,"n.v.t.")),IF(Sel_Doeljaar=P_RJ,VERW_Project!$L33,"n.v.t.")/P_Factor,IF(Sel_Doeljaar=P_RJ,VERW_Project!$L33,"n.v.t.")),"n.b."))))</f>
        <v/>
      </c>
      <c r="M37" s="41" t="str">
        <f>IF($A37="","",IF(L37="n.v.t.",K37,IF(AND(ISNUMBER(K37),ISNUMBER(L37)),K37-L37,"n.b.")))</f>
        <v/>
      </c>
      <c r="N37" s="41" t="str">
        <f>IF($A37="","",IF(Sel_Bron="Vastgesteld",IF(ISNUMBER(IF(COUNTIFS(L_Actief,1,L_WBS,$A37,L_Doeljaar,Sel_Doeljaar,L_Versiejaar,P_VJ,L_Versie,Sel_Versie,L_Kengetal,"BOR FY")=0,"n.b.",SUMIFS(L_Waarde,L_Actief,1,L_WBS,$A37,L_Doeljaar,Sel_Doeljaar,L_Versiejaar,P_VJ,L_Versie,Sel_Versie,L_Kengetal,"BOR FY"))),IF(COUNTIFS(L_Actief,1,L_WBS,$A37,L_Doeljaar,Sel_Doeljaar,L_Versiejaar,P_VJ,L_Versie,Sel_Versie,L_Kengetal,"BOR FY")=0,"n.b.",SUMIFS(L_Waarde,L_Actief,1,L_WBS,$A37,L_Doeljaar,Sel_Doeljaar,L_Versiejaar,P_VJ,L_Versie,Sel_Versie,L_Kengetal,"BOR FY"))/P_Factor,IF(COUNTIFS(L_Actief,1,L_WBS,$A37,L_Doeljaar,Sel_Doeljaar,L_Versiejaar,P_VJ,L_Versie,Sel_Versie,L_Kengetal,"BOR FY")=0,"n.b.",SUMIFS(L_Waarde,L_Actief,1,L_WBS,$A37,L_Doeljaar,Sel_Doeljaar,L_Versiejaar,P_VJ,L_Versie,Sel_Versie,L_Kengetal,"BOR FY"))),IF(Sel_Bron="Concept",IF(ISNUMBER(IF(Sel_Doeljaar=P_RJ,VERW_Project!$Q33,IF(Sel_Doeljaar=P_RJ+1,VERW_Project!$S33,"n.b."))),IF(Sel_Doeljaar=P_RJ,VERW_Project!$Q33,IF(Sel_Doeljaar=P_RJ+1,VERW_Project!$S33,"n.b."))/P_Factor,IF(Sel_Doeljaar=P_RJ,VERW_Project!$Q33,IF(Sel_Doeljaar=P_RJ+1,VERW_Project!$S33,"n.b."))),"n.b.")))</f>
        <v/>
      </c>
      <c r="O37" s="63" t="str">
        <f>IF($A37="","",IF(AND(ISNUMBER(N37),ISNUMBER(K37)),IF(K37&lt;&gt;0,N37/K37,"n.b."),"n.b."))</f>
        <v/>
      </c>
      <c r="P37" s="41" t="str">
        <f>IF($A37="","",IF(AND(ISNUMBER(K37),ISNUMBER(E37)),K37-E37,"n.b."))</f>
        <v/>
      </c>
      <c r="Q37" s="41" t="str">
        <f>IF($A37="","",IF(AND(ISNUMBER(K37),ISNUMBER(W37)),K37-W37,"n.b."))</f>
        <v/>
      </c>
      <c r="R37" s="64" t="str">
        <f>IF($A37="","",IF(ISNUMBER(N37),IF(N37&lt;0,"Verlies",""),""))</f>
        <v/>
      </c>
      <c r="S37" s="61" t="str">
        <f>IF($A37="","",IFERROR(INDEX(T_Txt,MATCH($A37&amp;"|"&amp;Sel_Doeljaar&amp;"|"&amp;P_VJ&amp;"|"&amp;Sel_Versie,T_Key,0)),""))</f>
        <v/>
      </c>
      <c r="U37" s="15" t="str">
        <f>IF(AND(AND($A37&lt;&gt;"",OR(Sel_Type="Alle",$C37=Sel_Type),OR(Sel_Project="Alle",$B37=Sel_Project)),ISNUMBER(K37)),K37+ROW()/1000000000,"")</f>
        <v/>
      </c>
      <c r="V37" s="15" t="str">
        <f>IF(AND(AND($A37&lt;&gt;"",OR(Sel_Type="Alle",$C37=Sel_Type),OR(Sel_Project="Alle",$B37=Sel_Project)),ISNUMBER(Q37)),ABS(Q37)+ROW()/1000000000,"")</f>
        <v/>
      </c>
      <c r="W37" s="15" t="str">
        <f>IF(OR($A37="",Sel_Prev=""),"n.b.",IF(ISNUMBER(IF(COUNTIFS(L_Actief,1,L_WBS,$A37,L_Doeljaar,Sel_Doeljaar,L_Versiejaar,P_VJ,L_Versie,Sel_Prev,L_Kengetal,"Omzet FY")=0,"n.b.",SUMIFS(L_Waarde,L_Actief,1,L_WBS,$A37,L_Doeljaar,Sel_Doeljaar,L_Versiejaar,P_VJ,L_Versie,Sel_Prev,L_Kengetal,"Omzet FY"))),IF(COUNTIFS(L_Actief,1,L_WBS,$A37,L_Doeljaar,Sel_Doeljaar,L_Versiejaar,P_VJ,L_Versie,Sel_Prev,L_Kengetal,"Omzet FY")=0,"n.b.",SUMIFS(L_Waarde,L_Actief,1,L_WBS,$A37,L_Doeljaar,Sel_Doeljaar,L_Versiejaar,P_VJ,L_Versie,Sel_Prev,L_Kengetal,"Omzet FY"))/P_Factor,IF(COUNTIFS(L_Actief,1,L_WBS,$A37,L_Doeljaar,Sel_Doeljaar,L_Versiejaar,P_VJ,L_Versie,Sel_Prev,L_Kengetal,"Omzet FY")=0,"n.b.",SUMIFS(L_Waarde,L_Actief,1,L_WBS,$A37,L_Doeljaar,Sel_Doeljaar,L_Versiejaar,P_VJ,L_Versie,Sel_Prev,L_Kengetal,"Omzet FY"))))</f>
        <v>n.b.</v>
      </c>
    </row>
    <row r="38">
      <c r="A38" s="61" t="str">
        <f>IF(VERW_Project!$A34="","",VERW_Project!$A34)</f>
        <v/>
      </c>
      <c r="B38" s="61" t="str">
        <f>IF($A38="","",VERW_Project!$C34)</f>
        <v/>
      </c>
      <c r="C38" s="61" t="str">
        <f>IF($A38="","",VERW_Project!$D34)</f>
        <v/>
      </c>
      <c r="D38" s="61" t="str">
        <f>IF($A38="","",VERW_Project!$I34)</f>
        <v/>
      </c>
      <c r="E38" s="41" t="str">
        <f>IF($A38="","",IF(ISNUMBER(IF(COUNTIFS(L_Actief,1,L_WBS,$A38,L_Doeljaar,Sel_Doeljaar,L_Versiejaar,P_VJ,L_Versie,E$8,L_Kengetal,"Omzet FY")=0,"n.b.",SUMIFS(L_Waarde,L_Actief,1,L_WBS,$A38,L_Doeljaar,Sel_Doeljaar,L_Versiejaar,P_VJ,L_Versie,E$8,L_Kengetal,"Omzet FY"))),IF(COUNTIFS(L_Actief,1,L_WBS,$A38,L_Doeljaar,Sel_Doeljaar,L_Versiejaar,P_VJ,L_Versie,E$8,L_Kengetal,"Omzet FY")=0,"n.b.",SUMIFS(L_Waarde,L_Actief,1,L_WBS,$A38,L_Doeljaar,Sel_Doeljaar,L_Versiejaar,P_VJ,L_Versie,E$8,L_Kengetal,"Omzet FY"))/P_Factor,IF(COUNTIFS(L_Actief,1,L_WBS,$A38,L_Doeljaar,Sel_Doeljaar,L_Versiejaar,P_VJ,L_Versie,E$8,L_Kengetal,"Omzet FY")=0,"n.b.",SUMIFS(L_Waarde,L_Actief,1,L_WBS,$A38,L_Doeljaar,Sel_Doeljaar,L_Versiejaar,P_VJ,L_Versie,E$8,L_Kengetal,"Omzet FY"))))</f>
        <v/>
      </c>
      <c r="F38" s="41" t="str">
        <f>IF($A38="","",IF(ISNUMBER(IF(COUNTIFS(L_Actief,1,L_WBS,$A38,L_Doeljaar,Sel_Doeljaar,L_Versiejaar,P_VJ,L_Versie,F$8,L_Kengetal,"Omzet FY")=0,"n.b.",SUMIFS(L_Waarde,L_Actief,1,L_WBS,$A38,L_Doeljaar,Sel_Doeljaar,L_Versiejaar,P_VJ,L_Versie,F$8,L_Kengetal,"Omzet FY"))),IF(COUNTIFS(L_Actief,1,L_WBS,$A38,L_Doeljaar,Sel_Doeljaar,L_Versiejaar,P_VJ,L_Versie,F$8,L_Kengetal,"Omzet FY")=0,"n.b.",SUMIFS(L_Waarde,L_Actief,1,L_WBS,$A38,L_Doeljaar,Sel_Doeljaar,L_Versiejaar,P_VJ,L_Versie,F$8,L_Kengetal,"Omzet FY"))/P_Factor,IF(COUNTIFS(L_Actief,1,L_WBS,$A38,L_Doeljaar,Sel_Doeljaar,L_Versiejaar,P_VJ,L_Versie,F$8,L_Kengetal,"Omzet FY")=0,"n.b.",SUMIFS(L_Waarde,L_Actief,1,L_WBS,$A38,L_Doeljaar,Sel_Doeljaar,L_Versiejaar,P_VJ,L_Versie,F$8,L_Kengetal,"Omzet FY"))))</f>
        <v/>
      </c>
      <c r="G38" s="41" t="str">
        <f>IF($A38="","",IF(ISNUMBER(IF(COUNTIFS(L_Actief,1,L_WBS,$A38,L_Doeljaar,Sel_Doeljaar,L_Versiejaar,P_VJ,L_Versie,G$8,L_Kengetal,"Omzet FY")=0,"n.b.",SUMIFS(L_Waarde,L_Actief,1,L_WBS,$A38,L_Doeljaar,Sel_Doeljaar,L_Versiejaar,P_VJ,L_Versie,G$8,L_Kengetal,"Omzet FY"))),IF(COUNTIFS(L_Actief,1,L_WBS,$A38,L_Doeljaar,Sel_Doeljaar,L_Versiejaar,P_VJ,L_Versie,G$8,L_Kengetal,"Omzet FY")=0,"n.b.",SUMIFS(L_Waarde,L_Actief,1,L_WBS,$A38,L_Doeljaar,Sel_Doeljaar,L_Versiejaar,P_VJ,L_Versie,G$8,L_Kengetal,"Omzet FY"))/P_Factor,IF(COUNTIFS(L_Actief,1,L_WBS,$A38,L_Doeljaar,Sel_Doeljaar,L_Versiejaar,P_VJ,L_Versie,G$8,L_Kengetal,"Omzet FY")=0,"n.b.",SUMIFS(L_Waarde,L_Actief,1,L_WBS,$A38,L_Doeljaar,Sel_Doeljaar,L_Versiejaar,P_VJ,L_Versie,G$8,L_Kengetal,"Omzet FY"))))</f>
        <v/>
      </c>
      <c r="H38" s="41" t="str">
        <f>IF($A38="","",IF(ISNUMBER(IF(COUNTIFS(L_Actief,1,L_WBS,$A38,L_Doeljaar,Sel_Doeljaar,L_Versiejaar,P_VJ,L_Versie,H$8,L_Kengetal,"Omzet FY")=0,"n.b.",SUMIFS(L_Waarde,L_Actief,1,L_WBS,$A38,L_Doeljaar,Sel_Doeljaar,L_Versiejaar,P_VJ,L_Versie,H$8,L_Kengetal,"Omzet FY"))),IF(COUNTIFS(L_Actief,1,L_WBS,$A38,L_Doeljaar,Sel_Doeljaar,L_Versiejaar,P_VJ,L_Versie,H$8,L_Kengetal,"Omzet FY")=0,"n.b.",SUMIFS(L_Waarde,L_Actief,1,L_WBS,$A38,L_Doeljaar,Sel_Doeljaar,L_Versiejaar,P_VJ,L_Versie,H$8,L_Kengetal,"Omzet FY"))/P_Factor,IF(COUNTIFS(L_Actief,1,L_WBS,$A38,L_Doeljaar,Sel_Doeljaar,L_Versiejaar,P_VJ,L_Versie,H$8,L_Kengetal,"Omzet FY")=0,"n.b.",SUMIFS(L_Waarde,L_Actief,1,L_WBS,$A38,L_Doeljaar,Sel_Doeljaar,L_Versiejaar,P_VJ,L_Versie,H$8,L_Kengetal,"Omzet FY"))))</f>
        <v/>
      </c>
      <c r="I38" s="41" t="str">
        <f>IF($A38="","",IF(ISNUMBER(IF(COUNTIFS(L_Actief,1,L_WBS,$A38,L_Doeljaar,Sel_Doeljaar,L_Versiejaar,P_VJ,L_Versie,I$8,L_Kengetal,"Omzet FY")=0,"n.b.",SUMIFS(L_Waarde,L_Actief,1,L_WBS,$A38,L_Doeljaar,Sel_Doeljaar,L_Versiejaar,P_VJ,L_Versie,I$8,L_Kengetal,"Omzet FY"))),IF(COUNTIFS(L_Actief,1,L_WBS,$A38,L_Doeljaar,Sel_Doeljaar,L_Versiejaar,P_VJ,L_Versie,I$8,L_Kengetal,"Omzet FY")=0,"n.b.",SUMIFS(L_Waarde,L_Actief,1,L_WBS,$A38,L_Doeljaar,Sel_Doeljaar,L_Versiejaar,P_VJ,L_Versie,I$8,L_Kengetal,"Omzet FY"))/P_Factor,IF(COUNTIFS(L_Actief,1,L_WBS,$A38,L_Doeljaar,Sel_Doeljaar,L_Versiejaar,P_VJ,L_Versie,I$8,L_Kengetal,"Omzet FY")=0,"n.b.",SUMIFS(L_Waarde,L_Actief,1,L_WBS,$A38,L_Doeljaar,Sel_Doeljaar,L_Versiejaar,P_VJ,L_Versie,I$8,L_Kengetal,"Omzet FY"))))</f>
        <v/>
      </c>
      <c r="J38" s="41" t="str">
        <f>IF($A38="","",IF(ISNUMBER(IF(Sel_Doeljaar=P_RJ,VERW_Project!$P34,IF(Sel_Doeljaar=P_RJ+1,VERW_Project!$R34,"n.b."))),IF(Sel_Doeljaar=P_RJ,VERW_Project!$P34,IF(Sel_Doeljaar=P_RJ+1,VERW_Project!$R34,"n.b."))/P_Factor,IF(Sel_Doeljaar=P_RJ,VERW_Project!$P34,IF(Sel_Doeljaar=P_RJ+1,VERW_Project!$R34,"n.b."))))</f>
        <v/>
      </c>
      <c r="K38" s="41" t="str">
        <f>IF($A38="","",IF(Sel_Bron="Vastgesteld",INDEX($E38:$I38,MATCH(Sel_Versie,$E$8:$I$8,0)),IF(Sel_Bron="Concept",J38,"n.b.")))</f>
        <v/>
      </c>
      <c r="L38" s="62" t="str">
        <f>IF($A38="","",IF(Sel_Doeljaar&gt;P_VJ,"n.v.t.",IF(Sel_Bron="Vastgesteld",IF(ISNUMBER(IF(COUNTIFS(L_Actief,1,L_WBS,$A38,L_Doeljaar,Sel_Doeljaar,L_Versiejaar,P_VJ,L_Versie,Sel_Versie,L_Kengetal,"Omzet actual YTD")=0,"n.b.",SUMIFS(L_Waarde,L_Actief,1,L_WBS,$A38,L_Doeljaar,Sel_Doeljaar,L_Versiejaar,P_VJ,L_Versie,Sel_Versie,L_Kengetal,"Omzet actual YTD"))),IF(COUNTIFS(L_Actief,1,L_WBS,$A38,L_Doeljaar,Sel_Doeljaar,L_Versiejaar,P_VJ,L_Versie,Sel_Versie,L_Kengetal,"Omzet actual YTD")=0,"n.b.",SUMIFS(L_Waarde,L_Actief,1,L_WBS,$A38,L_Doeljaar,Sel_Doeljaar,L_Versiejaar,P_VJ,L_Versie,Sel_Versie,L_Kengetal,"Omzet actual YTD"))/P_Factor,IF(COUNTIFS(L_Actief,1,L_WBS,$A38,L_Doeljaar,Sel_Doeljaar,L_Versiejaar,P_VJ,L_Versie,Sel_Versie,L_Kengetal,"Omzet actual YTD")=0,"n.b.",SUMIFS(L_Waarde,L_Actief,1,L_WBS,$A38,L_Doeljaar,Sel_Doeljaar,L_Versiejaar,P_VJ,L_Versie,Sel_Versie,L_Kengetal,"Omzet actual YTD"))),IF(Sel_Bron="Concept",IF(ISNUMBER(IF(Sel_Doeljaar=P_RJ,VERW_Project!$L34,"n.v.t.")),IF(Sel_Doeljaar=P_RJ,VERW_Project!$L34,"n.v.t.")/P_Factor,IF(Sel_Doeljaar=P_RJ,VERW_Project!$L34,"n.v.t.")),"n.b."))))</f>
        <v/>
      </c>
      <c r="M38" s="41" t="str">
        <f>IF($A38="","",IF(L38="n.v.t.",K38,IF(AND(ISNUMBER(K38),ISNUMBER(L38)),K38-L38,"n.b.")))</f>
        <v/>
      </c>
      <c r="N38" s="41" t="str">
        <f>IF($A38="","",IF(Sel_Bron="Vastgesteld",IF(ISNUMBER(IF(COUNTIFS(L_Actief,1,L_WBS,$A38,L_Doeljaar,Sel_Doeljaar,L_Versiejaar,P_VJ,L_Versie,Sel_Versie,L_Kengetal,"BOR FY")=0,"n.b.",SUMIFS(L_Waarde,L_Actief,1,L_WBS,$A38,L_Doeljaar,Sel_Doeljaar,L_Versiejaar,P_VJ,L_Versie,Sel_Versie,L_Kengetal,"BOR FY"))),IF(COUNTIFS(L_Actief,1,L_WBS,$A38,L_Doeljaar,Sel_Doeljaar,L_Versiejaar,P_VJ,L_Versie,Sel_Versie,L_Kengetal,"BOR FY")=0,"n.b.",SUMIFS(L_Waarde,L_Actief,1,L_WBS,$A38,L_Doeljaar,Sel_Doeljaar,L_Versiejaar,P_VJ,L_Versie,Sel_Versie,L_Kengetal,"BOR FY"))/P_Factor,IF(COUNTIFS(L_Actief,1,L_WBS,$A38,L_Doeljaar,Sel_Doeljaar,L_Versiejaar,P_VJ,L_Versie,Sel_Versie,L_Kengetal,"BOR FY")=0,"n.b.",SUMIFS(L_Waarde,L_Actief,1,L_WBS,$A38,L_Doeljaar,Sel_Doeljaar,L_Versiejaar,P_VJ,L_Versie,Sel_Versie,L_Kengetal,"BOR FY"))),IF(Sel_Bron="Concept",IF(ISNUMBER(IF(Sel_Doeljaar=P_RJ,VERW_Project!$Q34,IF(Sel_Doeljaar=P_RJ+1,VERW_Project!$S34,"n.b."))),IF(Sel_Doeljaar=P_RJ,VERW_Project!$Q34,IF(Sel_Doeljaar=P_RJ+1,VERW_Project!$S34,"n.b."))/P_Factor,IF(Sel_Doeljaar=P_RJ,VERW_Project!$Q34,IF(Sel_Doeljaar=P_RJ+1,VERW_Project!$S34,"n.b."))),"n.b.")))</f>
        <v/>
      </c>
      <c r="O38" s="63" t="str">
        <f>IF($A38="","",IF(AND(ISNUMBER(N38),ISNUMBER(K38)),IF(K38&lt;&gt;0,N38/K38,"n.b."),"n.b."))</f>
        <v/>
      </c>
      <c r="P38" s="41" t="str">
        <f>IF($A38="","",IF(AND(ISNUMBER(K38),ISNUMBER(E38)),K38-E38,"n.b."))</f>
        <v/>
      </c>
      <c r="Q38" s="41" t="str">
        <f>IF($A38="","",IF(AND(ISNUMBER(K38),ISNUMBER(W38)),K38-W38,"n.b."))</f>
        <v/>
      </c>
      <c r="R38" s="64" t="str">
        <f>IF($A38="","",IF(ISNUMBER(N38),IF(N38&lt;0,"Verlies",""),""))</f>
        <v/>
      </c>
      <c r="S38" s="61" t="str">
        <f>IF($A38="","",IFERROR(INDEX(T_Txt,MATCH($A38&amp;"|"&amp;Sel_Doeljaar&amp;"|"&amp;P_VJ&amp;"|"&amp;Sel_Versie,T_Key,0)),""))</f>
        <v/>
      </c>
      <c r="U38" s="15" t="str">
        <f>IF(AND(AND($A38&lt;&gt;"",OR(Sel_Type="Alle",$C38=Sel_Type),OR(Sel_Project="Alle",$B38=Sel_Project)),ISNUMBER(K38)),K38+ROW()/1000000000,"")</f>
        <v/>
      </c>
      <c r="V38" s="15" t="str">
        <f>IF(AND(AND($A38&lt;&gt;"",OR(Sel_Type="Alle",$C38=Sel_Type),OR(Sel_Project="Alle",$B38=Sel_Project)),ISNUMBER(Q38)),ABS(Q38)+ROW()/1000000000,"")</f>
        <v/>
      </c>
      <c r="W38" s="15" t="str">
        <f>IF(OR($A38="",Sel_Prev=""),"n.b.",IF(ISNUMBER(IF(COUNTIFS(L_Actief,1,L_WBS,$A38,L_Doeljaar,Sel_Doeljaar,L_Versiejaar,P_VJ,L_Versie,Sel_Prev,L_Kengetal,"Omzet FY")=0,"n.b.",SUMIFS(L_Waarde,L_Actief,1,L_WBS,$A38,L_Doeljaar,Sel_Doeljaar,L_Versiejaar,P_VJ,L_Versie,Sel_Prev,L_Kengetal,"Omzet FY"))),IF(COUNTIFS(L_Actief,1,L_WBS,$A38,L_Doeljaar,Sel_Doeljaar,L_Versiejaar,P_VJ,L_Versie,Sel_Prev,L_Kengetal,"Omzet FY")=0,"n.b.",SUMIFS(L_Waarde,L_Actief,1,L_WBS,$A38,L_Doeljaar,Sel_Doeljaar,L_Versiejaar,P_VJ,L_Versie,Sel_Prev,L_Kengetal,"Omzet FY"))/P_Factor,IF(COUNTIFS(L_Actief,1,L_WBS,$A38,L_Doeljaar,Sel_Doeljaar,L_Versiejaar,P_VJ,L_Versie,Sel_Prev,L_Kengetal,"Omzet FY")=0,"n.b.",SUMIFS(L_Waarde,L_Actief,1,L_WBS,$A38,L_Doeljaar,Sel_Doeljaar,L_Versiejaar,P_VJ,L_Versie,Sel_Prev,L_Kengetal,"Omzet FY"))))</f>
        <v>n.b.</v>
      </c>
    </row>
    <row r="39">
      <c r="A39" s="61" t="str">
        <f>IF(VERW_Project!$A35="","",VERW_Project!$A35)</f>
        <v/>
      </c>
      <c r="B39" s="61" t="str">
        <f>IF($A39="","",VERW_Project!$C35)</f>
        <v/>
      </c>
      <c r="C39" s="61" t="str">
        <f>IF($A39="","",VERW_Project!$D35)</f>
        <v/>
      </c>
      <c r="D39" s="61" t="str">
        <f>IF($A39="","",VERW_Project!$I35)</f>
        <v/>
      </c>
      <c r="E39" s="41" t="str">
        <f>IF($A39="","",IF(ISNUMBER(IF(COUNTIFS(L_Actief,1,L_WBS,$A39,L_Doeljaar,Sel_Doeljaar,L_Versiejaar,P_VJ,L_Versie,E$8,L_Kengetal,"Omzet FY")=0,"n.b.",SUMIFS(L_Waarde,L_Actief,1,L_WBS,$A39,L_Doeljaar,Sel_Doeljaar,L_Versiejaar,P_VJ,L_Versie,E$8,L_Kengetal,"Omzet FY"))),IF(COUNTIFS(L_Actief,1,L_WBS,$A39,L_Doeljaar,Sel_Doeljaar,L_Versiejaar,P_VJ,L_Versie,E$8,L_Kengetal,"Omzet FY")=0,"n.b.",SUMIFS(L_Waarde,L_Actief,1,L_WBS,$A39,L_Doeljaar,Sel_Doeljaar,L_Versiejaar,P_VJ,L_Versie,E$8,L_Kengetal,"Omzet FY"))/P_Factor,IF(COUNTIFS(L_Actief,1,L_WBS,$A39,L_Doeljaar,Sel_Doeljaar,L_Versiejaar,P_VJ,L_Versie,E$8,L_Kengetal,"Omzet FY")=0,"n.b.",SUMIFS(L_Waarde,L_Actief,1,L_WBS,$A39,L_Doeljaar,Sel_Doeljaar,L_Versiejaar,P_VJ,L_Versie,E$8,L_Kengetal,"Omzet FY"))))</f>
        <v/>
      </c>
      <c r="F39" s="41" t="str">
        <f>IF($A39="","",IF(ISNUMBER(IF(COUNTIFS(L_Actief,1,L_WBS,$A39,L_Doeljaar,Sel_Doeljaar,L_Versiejaar,P_VJ,L_Versie,F$8,L_Kengetal,"Omzet FY")=0,"n.b.",SUMIFS(L_Waarde,L_Actief,1,L_WBS,$A39,L_Doeljaar,Sel_Doeljaar,L_Versiejaar,P_VJ,L_Versie,F$8,L_Kengetal,"Omzet FY"))),IF(COUNTIFS(L_Actief,1,L_WBS,$A39,L_Doeljaar,Sel_Doeljaar,L_Versiejaar,P_VJ,L_Versie,F$8,L_Kengetal,"Omzet FY")=0,"n.b.",SUMIFS(L_Waarde,L_Actief,1,L_WBS,$A39,L_Doeljaar,Sel_Doeljaar,L_Versiejaar,P_VJ,L_Versie,F$8,L_Kengetal,"Omzet FY"))/P_Factor,IF(COUNTIFS(L_Actief,1,L_WBS,$A39,L_Doeljaar,Sel_Doeljaar,L_Versiejaar,P_VJ,L_Versie,F$8,L_Kengetal,"Omzet FY")=0,"n.b.",SUMIFS(L_Waarde,L_Actief,1,L_WBS,$A39,L_Doeljaar,Sel_Doeljaar,L_Versiejaar,P_VJ,L_Versie,F$8,L_Kengetal,"Omzet FY"))))</f>
        <v/>
      </c>
      <c r="G39" s="41" t="str">
        <f>IF($A39="","",IF(ISNUMBER(IF(COUNTIFS(L_Actief,1,L_WBS,$A39,L_Doeljaar,Sel_Doeljaar,L_Versiejaar,P_VJ,L_Versie,G$8,L_Kengetal,"Omzet FY")=0,"n.b.",SUMIFS(L_Waarde,L_Actief,1,L_WBS,$A39,L_Doeljaar,Sel_Doeljaar,L_Versiejaar,P_VJ,L_Versie,G$8,L_Kengetal,"Omzet FY"))),IF(COUNTIFS(L_Actief,1,L_WBS,$A39,L_Doeljaar,Sel_Doeljaar,L_Versiejaar,P_VJ,L_Versie,G$8,L_Kengetal,"Omzet FY")=0,"n.b.",SUMIFS(L_Waarde,L_Actief,1,L_WBS,$A39,L_Doeljaar,Sel_Doeljaar,L_Versiejaar,P_VJ,L_Versie,G$8,L_Kengetal,"Omzet FY"))/P_Factor,IF(COUNTIFS(L_Actief,1,L_WBS,$A39,L_Doeljaar,Sel_Doeljaar,L_Versiejaar,P_VJ,L_Versie,G$8,L_Kengetal,"Omzet FY")=0,"n.b.",SUMIFS(L_Waarde,L_Actief,1,L_WBS,$A39,L_Doeljaar,Sel_Doeljaar,L_Versiejaar,P_VJ,L_Versie,G$8,L_Kengetal,"Omzet FY"))))</f>
        <v/>
      </c>
      <c r="H39" s="41" t="str">
        <f>IF($A39="","",IF(ISNUMBER(IF(COUNTIFS(L_Actief,1,L_WBS,$A39,L_Doeljaar,Sel_Doeljaar,L_Versiejaar,P_VJ,L_Versie,H$8,L_Kengetal,"Omzet FY")=0,"n.b.",SUMIFS(L_Waarde,L_Actief,1,L_WBS,$A39,L_Doeljaar,Sel_Doeljaar,L_Versiejaar,P_VJ,L_Versie,H$8,L_Kengetal,"Omzet FY"))),IF(COUNTIFS(L_Actief,1,L_WBS,$A39,L_Doeljaar,Sel_Doeljaar,L_Versiejaar,P_VJ,L_Versie,H$8,L_Kengetal,"Omzet FY")=0,"n.b.",SUMIFS(L_Waarde,L_Actief,1,L_WBS,$A39,L_Doeljaar,Sel_Doeljaar,L_Versiejaar,P_VJ,L_Versie,H$8,L_Kengetal,"Omzet FY"))/P_Factor,IF(COUNTIFS(L_Actief,1,L_WBS,$A39,L_Doeljaar,Sel_Doeljaar,L_Versiejaar,P_VJ,L_Versie,H$8,L_Kengetal,"Omzet FY")=0,"n.b.",SUMIFS(L_Waarde,L_Actief,1,L_WBS,$A39,L_Doeljaar,Sel_Doeljaar,L_Versiejaar,P_VJ,L_Versie,H$8,L_Kengetal,"Omzet FY"))))</f>
        <v/>
      </c>
      <c r="I39" s="41" t="str">
        <f>IF($A39="","",IF(ISNUMBER(IF(COUNTIFS(L_Actief,1,L_WBS,$A39,L_Doeljaar,Sel_Doeljaar,L_Versiejaar,P_VJ,L_Versie,I$8,L_Kengetal,"Omzet FY")=0,"n.b.",SUMIFS(L_Waarde,L_Actief,1,L_WBS,$A39,L_Doeljaar,Sel_Doeljaar,L_Versiejaar,P_VJ,L_Versie,I$8,L_Kengetal,"Omzet FY"))),IF(COUNTIFS(L_Actief,1,L_WBS,$A39,L_Doeljaar,Sel_Doeljaar,L_Versiejaar,P_VJ,L_Versie,I$8,L_Kengetal,"Omzet FY")=0,"n.b.",SUMIFS(L_Waarde,L_Actief,1,L_WBS,$A39,L_Doeljaar,Sel_Doeljaar,L_Versiejaar,P_VJ,L_Versie,I$8,L_Kengetal,"Omzet FY"))/P_Factor,IF(COUNTIFS(L_Actief,1,L_WBS,$A39,L_Doeljaar,Sel_Doeljaar,L_Versiejaar,P_VJ,L_Versie,I$8,L_Kengetal,"Omzet FY")=0,"n.b.",SUMIFS(L_Waarde,L_Actief,1,L_WBS,$A39,L_Doeljaar,Sel_Doeljaar,L_Versiejaar,P_VJ,L_Versie,I$8,L_Kengetal,"Omzet FY"))))</f>
        <v/>
      </c>
      <c r="J39" s="41" t="str">
        <f>IF($A39="","",IF(ISNUMBER(IF(Sel_Doeljaar=P_RJ,VERW_Project!$P35,IF(Sel_Doeljaar=P_RJ+1,VERW_Project!$R35,"n.b."))),IF(Sel_Doeljaar=P_RJ,VERW_Project!$P35,IF(Sel_Doeljaar=P_RJ+1,VERW_Project!$R35,"n.b."))/P_Factor,IF(Sel_Doeljaar=P_RJ,VERW_Project!$P35,IF(Sel_Doeljaar=P_RJ+1,VERW_Project!$R35,"n.b."))))</f>
        <v/>
      </c>
      <c r="K39" s="41" t="str">
        <f>IF($A39="","",IF(Sel_Bron="Vastgesteld",INDEX($E39:$I39,MATCH(Sel_Versie,$E$8:$I$8,0)),IF(Sel_Bron="Concept",J39,"n.b.")))</f>
        <v/>
      </c>
      <c r="L39" s="62" t="str">
        <f>IF($A39="","",IF(Sel_Doeljaar&gt;P_VJ,"n.v.t.",IF(Sel_Bron="Vastgesteld",IF(ISNUMBER(IF(COUNTIFS(L_Actief,1,L_WBS,$A39,L_Doeljaar,Sel_Doeljaar,L_Versiejaar,P_VJ,L_Versie,Sel_Versie,L_Kengetal,"Omzet actual YTD")=0,"n.b.",SUMIFS(L_Waarde,L_Actief,1,L_WBS,$A39,L_Doeljaar,Sel_Doeljaar,L_Versiejaar,P_VJ,L_Versie,Sel_Versie,L_Kengetal,"Omzet actual YTD"))),IF(COUNTIFS(L_Actief,1,L_WBS,$A39,L_Doeljaar,Sel_Doeljaar,L_Versiejaar,P_VJ,L_Versie,Sel_Versie,L_Kengetal,"Omzet actual YTD")=0,"n.b.",SUMIFS(L_Waarde,L_Actief,1,L_WBS,$A39,L_Doeljaar,Sel_Doeljaar,L_Versiejaar,P_VJ,L_Versie,Sel_Versie,L_Kengetal,"Omzet actual YTD"))/P_Factor,IF(COUNTIFS(L_Actief,1,L_WBS,$A39,L_Doeljaar,Sel_Doeljaar,L_Versiejaar,P_VJ,L_Versie,Sel_Versie,L_Kengetal,"Omzet actual YTD")=0,"n.b.",SUMIFS(L_Waarde,L_Actief,1,L_WBS,$A39,L_Doeljaar,Sel_Doeljaar,L_Versiejaar,P_VJ,L_Versie,Sel_Versie,L_Kengetal,"Omzet actual YTD"))),IF(Sel_Bron="Concept",IF(ISNUMBER(IF(Sel_Doeljaar=P_RJ,VERW_Project!$L35,"n.v.t.")),IF(Sel_Doeljaar=P_RJ,VERW_Project!$L35,"n.v.t.")/P_Factor,IF(Sel_Doeljaar=P_RJ,VERW_Project!$L35,"n.v.t.")),"n.b."))))</f>
        <v/>
      </c>
      <c r="M39" s="41" t="str">
        <f>IF($A39="","",IF(L39="n.v.t.",K39,IF(AND(ISNUMBER(K39),ISNUMBER(L39)),K39-L39,"n.b.")))</f>
        <v/>
      </c>
      <c r="N39" s="41" t="str">
        <f>IF($A39="","",IF(Sel_Bron="Vastgesteld",IF(ISNUMBER(IF(COUNTIFS(L_Actief,1,L_WBS,$A39,L_Doeljaar,Sel_Doeljaar,L_Versiejaar,P_VJ,L_Versie,Sel_Versie,L_Kengetal,"BOR FY")=0,"n.b.",SUMIFS(L_Waarde,L_Actief,1,L_WBS,$A39,L_Doeljaar,Sel_Doeljaar,L_Versiejaar,P_VJ,L_Versie,Sel_Versie,L_Kengetal,"BOR FY"))),IF(COUNTIFS(L_Actief,1,L_WBS,$A39,L_Doeljaar,Sel_Doeljaar,L_Versiejaar,P_VJ,L_Versie,Sel_Versie,L_Kengetal,"BOR FY")=0,"n.b.",SUMIFS(L_Waarde,L_Actief,1,L_WBS,$A39,L_Doeljaar,Sel_Doeljaar,L_Versiejaar,P_VJ,L_Versie,Sel_Versie,L_Kengetal,"BOR FY"))/P_Factor,IF(COUNTIFS(L_Actief,1,L_WBS,$A39,L_Doeljaar,Sel_Doeljaar,L_Versiejaar,P_VJ,L_Versie,Sel_Versie,L_Kengetal,"BOR FY")=0,"n.b.",SUMIFS(L_Waarde,L_Actief,1,L_WBS,$A39,L_Doeljaar,Sel_Doeljaar,L_Versiejaar,P_VJ,L_Versie,Sel_Versie,L_Kengetal,"BOR FY"))),IF(Sel_Bron="Concept",IF(ISNUMBER(IF(Sel_Doeljaar=P_RJ,VERW_Project!$Q35,IF(Sel_Doeljaar=P_RJ+1,VERW_Project!$S35,"n.b."))),IF(Sel_Doeljaar=P_RJ,VERW_Project!$Q35,IF(Sel_Doeljaar=P_RJ+1,VERW_Project!$S35,"n.b."))/P_Factor,IF(Sel_Doeljaar=P_RJ,VERW_Project!$Q35,IF(Sel_Doeljaar=P_RJ+1,VERW_Project!$S35,"n.b."))),"n.b.")))</f>
        <v/>
      </c>
      <c r="O39" s="63" t="str">
        <f>IF($A39="","",IF(AND(ISNUMBER(N39),ISNUMBER(K39)),IF(K39&lt;&gt;0,N39/K39,"n.b."),"n.b."))</f>
        <v/>
      </c>
      <c r="P39" s="41" t="str">
        <f>IF($A39="","",IF(AND(ISNUMBER(K39),ISNUMBER(E39)),K39-E39,"n.b."))</f>
        <v/>
      </c>
      <c r="Q39" s="41" t="str">
        <f>IF($A39="","",IF(AND(ISNUMBER(K39),ISNUMBER(W39)),K39-W39,"n.b."))</f>
        <v/>
      </c>
      <c r="R39" s="64" t="str">
        <f>IF($A39="","",IF(ISNUMBER(N39),IF(N39&lt;0,"Verlies",""),""))</f>
        <v/>
      </c>
      <c r="S39" s="61" t="str">
        <f>IF($A39="","",IFERROR(INDEX(T_Txt,MATCH($A39&amp;"|"&amp;Sel_Doeljaar&amp;"|"&amp;P_VJ&amp;"|"&amp;Sel_Versie,T_Key,0)),""))</f>
        <v/>
      </c>
      <c r="U39" s="15" t="str">
        <f>IF(AND(AND($A39&lt;&gt;"",OR(Sel_Type="Alle",$C39=Sel_Type),OR(Sel_Project="Alle",$B39=Sel_Project)),ISNUMBER(K39)),K39+ROW()/1000000000,"")</f>
        <v/>
      </c>
      <c r="V39" s="15" t="str">
        <f>IF(AND(AND($A39&lt;&gt;"",OR(Sel_Type="Alle",$C39=Sel_Type),OR(Sel_Project="Alle",$B39=Sel_Project)),ISNUMBER(Q39)),ABS(Q39)+ROW()/1000000000,"")</f>
        <v/>
      </c>
      <c r="W39" s="15" t="str">
        <f>IF(OR($A39="",Sel_Prev=""),"n.b.",IF(ISNUMBER(IF(COUNTIFS(L_Actief,1,L_WBS,$A39,L_Doeljaar,Sel_Doeljaar,L_Versiejaar,P_VJ,L_Versie,Sel_Prev,L_Kengetal,"Omzet FY")=0,"n.b.",SUMIFS(L_Waarde,L_Actief,1,L_WBS,$A39,L_Doeljaar,Sel_Doeljaar,L_Versiejaar,P_VJ,L_Versie,Sel_Prev,L_Kengetal,"Omzet FY"))),IF(COUNTIFS(L_Actief,1,L_WBS,$A39,L_Doeljaar,Sel_Doeljaar,L_Versiejaar,P_VJ,L_Versie,Sel_Prev,L_Kengetal,"Omzet FY")=0,"n.b.",SUMIFS(L_Waarde,L_Actief,1,L_WBS,$A39,L_Doeljaar,Sel_Doeljaar,L_Versiejaar,P_VJ,L_Versie,Sel_Prev,L_Kengetal,"Omzet FY"))/P_Factor,IF(COUNTIFS(L_Actief,1,L_WBS,$A39,L_Doeljaar,Sel_Doeljaar,L_Versiejaar,P_VJ,L_Versie,Sel_Prev,L_Kengetal,"Omzet FY")=0,"n.b.",SUMIFS(L_Waarde,L_Actief,1,L_WBS,$A39,L_Doeljaar,Sel_Doeljaar,L_Versiejaar,P_VJ,L_Versie,Sel_Prev,L_Kengetal,"Omzet FY"))))</f>
        <v>n.b.</v>
      </c>
    </row>
    <row r="40">
      <c r="A40" s="61" t="str">
        <f>IF(VERW_Project!$A36="","",VERW_Project!$A36)</f>
        <v/>
      </c>
      <c r="B40" s="61" t="str">
        <f>IF($A40="","",VERW_Project!$C36)</f>
        <v/>
      </c>
      <c r="C40" s="61" t="str">
        <f>IF($A40="","",VERW_Project!$D36)</f>
        <v/>
      </c>
      <c r="D40" s="61" t="str">
        <f>IF($A40="","",VERW_Project!$I36)</f>
        <v/>
      </c>
      <c r="E40" s="41" t="str">
        <f>IF($A40="","",IF(ISNUMBER(IF(COUNTIFS(L_Actief,1,L_WBS,$A40,L_Doeljaar,Sel_Doeljaar,L_Versiejaar,P_VJ,L_Versie,E$8,L_Kengetal,"Omzet FY")=0,"n.b.",SUMIFS(L_Waarde,L_Actief,1,L_WBS,$A40,L_Doeljaar,Sel_Doeljaar,L_Versiejaar,P_VJ,L_Versie,E$8,L_Kengetal,"Omzet FY"))),IF(COUNTIFS(L_Actief,1,L_WBS,$A40,L_Doeljaar,Sel_Doeljaar,L_Versiejaar,P_VJ,L_Versie,E$8,L_Kengetal,"Omzet FY")=0,"n.b.",SUMIFS(L_Waarde,L_Actief,1,L_WBS,$A40,L_Doeljaar,Sel_Doeljaar,L_Versiejaar,P_VJ,L_Versie,E$8,L_Kengetal,"Omzet FY"))/P_Factor,IF(COUNTIFS(L_Actief,1,L_WBS,$A40,L_Doeljaar,Sel_Doeljaar,L_Versiejaar,P_VJ,L_Versie,E$8,L_Kengetal,"Omzet FY")=0,"n.b.",SUMIFS(L_Waarde,L_Actief,1,L_WBS,$A40,L_Doeljaar,Sel_Doeljaar,L_Versiejaar,P_VJ,L_Versie,E$8,L_Kengetal,"Omzet FY"))))</f>
        <v/>
      </c>
      <c r="F40" s="41" t="str">
        <f>IF($A40="","",IF(ISNUMBER(IF(COUNTIFS(L_Actief,1,L_WBS,$A40,L_Doeljaar,Sel_Doeljaar,L_Versiejaar,P_VJ,L_Versie,F$8,L_Kengetal,"Omzet FY")=0,"n.b.",SUMIFS(L_Waarde,L_Actief,1,L_WBS,$A40,L_Doeljaar,Sel_Doeljaar,L_Versiejaar,P_VJ,L_Versie,F$8,L_Kengetal,"Omzet FY"))),IF(COUNTIFS(L_Actief,1,L_WBS,$A40,L_Doeljaar,Sel_Doeljaar,L_Versiejaar,P_VJ,L_Versie,F$8,L_Kengetal,"Omzet FY")=0,"n.b.",SUMIFS(L_Waarde,L_Actief,1,L_WBS,$A40,L_Doeljaar,Sel_Doeljaar,L_Versiejaar,P_VJ,L_Versie,F$8,L_Kengetal,"Omzet FY"))/P_Factor,IF(COUNTIFS(L_Actief,1,L_WBS,$A40,L_Doeljaar,Sel_Doeljaar,L_Versiejaar,P_VJ,L_Versie,F$8,L_Kengetal,"Omzet FY")=0,"n.b.",SUMIFS(L_Waarde,L_Actief,1,L_WBS,$A40,L_Doeljaar,Sel_Doeljaar,L_Versiejaar,P_VJ,L_Versie,F$8,L_Kengetal,"Omzet FY"))))</f>
        <v/>
      </c>
      <c r="G40" s="41" t="str">
        <f>IF($A40="","",IF(ISNUMBER(IF(COUNTIFS(L_Actief,1,L_WBS,$A40,L_Doeljaar,Sel_Doeljaar,L_Versiejaar,P_VJ,L_Versie,G$8,L_Kengetal,"Omzet FY")=0,"n.b.",SUMIFS(L_Waarde,L_Actief,1,L_WBS,$A40,L_Doeljaar,Sel_Doeljaar,L_Versiejaar,P_VJ,L_Versie,G$8,L_Kengetal,"Omzet FY"))),IF(COUNTIFS(L_Actief,1,L_WBS,$A40,L_Doeljaar,Sel_Doeljaar,L_Versiejaar,P_VJ,L_Versie,G$8,L_Kengetal,"Omzet FY")=0,"n.b.",SUMIFS(L_Waarde,L_Actief,1,L_WBS,$A40,L_Doeljaar,Sel_Doeljaar,L_Versiejaar,P_VJ,L_Versie,G$8,L_Kengetal,"Omzet FY"))/P_Factor,IF(COUNTIFS(L_Actief,1,L_WBS,$A40,L_Doeljaar,Sel_Doeljaar,L_Versiejaar,P_VJ,L_Versie,G$8,L_Kengetal,"Omzet FY")=0,"n.b.",SUMIFS(L_Waarde,L_Actief,1,L_WBS,$A40,L_Doeljaar,Sel_Doeljaar,L_Versiejaar,P_VJ,L_Versie,G$8,L_Kengetal,"Omzet FY"))))</f>
        <v/>
      </c>
      <c r="H40" s="41" t="str">
        <f>IF($A40="","",IF(ISNUMBER(IF(COUNTIFS(L_Actief,1,L_WBS,$A40,L_Doeljaar,Sel_Doeljaar,L_Versiejaar,P_VJ,L_Versie,H$8,L_Kengetal,"Omzet FY")=0,"n.b.",SUMIFS(L_Waarde,L_Actief,1,L_WBS,$A40,L_Doeljaar,Sel_Doeljaar,L_Versiejaar,P_VJ,L_Versie,H$8,L_Kengetal,"Omzet FY"))),IF(COUNTIFS(L_Actief,1,L_WBS,$A40,L_Doeljaar,Sel_Doeljaar,L_Versiejaar,P_VJ,L_Versie,H$8,L_Kengetal,"Omzet FY")=0,"n.b.",SUMIFS(L_Waarde,L_Actief,1,L_WBS,$A40,L_Doeljaar,Sel_Doeljaar,L_Versiejaar,P_VJ,L_Versie,H$8,L_Kengetal,"Omzet FY"))/P_Factor,IF(COUNTIFS(L_Actief,1,L_WBS,$A40,L_Doeljaar,Sel_Doeljaar,L_Versiejaar,P_VJ,L_Versie,H$8,L_Kengetal,"Omzet FY")=0,"n.b.",SUMIFS(L_Waarde,L_Actief,1,L_WBS,$A40,L_Doeljaar,Sel_Doeljaar,L_Versiejaar,P_VJ,L_Versie,H$8,L_Kengetal,"Omzet FY"))))</f>
        <v/>
      </c>
      <c r="I40" s="41" t="str">
        <f>IF($A40="","",IF(ISNUMBER(IF(COUNTIFS(L_Actief,1,L_WBS,$A40,L_Doeljaar,Sel_Doeljaar,L_Versiejaar,P_VJ,L_Versie,I$8,L_Kengetal,"Omzet FY")=0,"n.b.",SUMIFS(L_Waarde,L_Actief,1,L_WBS,$A40,L_Doeljaar,Sel_Doeljaar,L_Versiejaar,P_VJ,L_Versie,I$8,L_Kengetal,"Omzet FY"))),IF(COUNTIFS(L_Actief,1,L_WBS,$A40,L_Doeljaar,Sel_Doeljaar,L_Versiejaar,P_VJ,L_Versie,I$8,L_Kengetal,"Omzet FY")=0,"n.b.",SUMIFS(L_Waarde,L_Actief,1,L_WBS,$A40,L_Doeljaar,Sel_Doeljaar,L_Versiejaar,P_VJ,L_Versie,I$8,L_Kengetal,"Omzet FY"))/P_Factor,IF(COUNTIFS(L_Actief,1,L_WBS,$A40,L_Doeljaar,Sel_Doeljaar,L_Versiejaar,P_VJ,L_Versie,I$8,L_Kengetal,"Omzet FY")=0,"n.b.",SUMIFS(L_Waarde,L_Actief,1,L_WBS,$A40,L_Doeljaar,Sel_Doeljaar,L_Versiejaar,P_VJ,L_Versie,I$8,L_Kengetal,"Omzet FY"))))</f>
        <v/>
      </c>
      <c r="J40" s="41" t="str">
        <f>IF($A40="","",IF(ISNUMBER(IF(Sel_Doeljaar=P_RJ,VERW_Project!$P36,IF(Sel_Doeljaar=P_RJ+1,VERW_Project!$R36,"n.b."))),IF(Sel_Doeljaar=P_RJ,VERW_Project!$P36,IF(Sel_Doeljaar=P_RJ+1,VERW_Project!$R36,"n.b."))/P_Factor,IF(Sel_Doeljaar=P_RJ,VERW_Project!$P36,IF(Sel_Doeljaar=P_RJ+1,VERW_Project!$R36,"n.b."))))</f>
        <v/>
      </c>
      <c r="K40" s="41" t="str">
        <f>IF($A40="","",IF(Sel_Bron="Vastgesteld",INDEX($E40:$I40,MATCH(Sel_Versie,$E$8:$I$8,0)),IF(Sel_Bron="Concept",J40,"n.b.")))</f>
        <v/>
      </c>
      <c r="L40" s="62" t="str">
        <f>IF($A40="","",IF(Sel_Doeljaar&gt;P_VJ,"n.v.t.",IF(Sel_Bron="Vastgesteld",IF(ISNUMBER(IF(COUNTIFS(L_Actief,1,L_WBS,$A40,L_Doeljaar,Sel_Doeljaar,L_Versiejaar,P_VJ,L_Versie,Sel_Versie,L_Kengetal,"Omzet actual YTD")=0,"n.b.",SUMIFS(L_Waarde,L_Actief,1,L_WBS,$A40,L_Doeljaar,Sel_Doeljaar,L_Versiejaar,P_VJ,L_Versie,Sel_Versie,L_Kengetal,"Omzet actual YTD"))),IF(COUNTIFS(L_Actief,1,L_WBS,$A40,L_Doeljaar,Sel_Doeljaar,L_Versiejaar,P_VJ,L_Versie,Sel_Versie,L_Kengetal,"Omzet actual YTD")=0,"n.b.",SUMIFS(L_Waarde,L_Actief,1,L_WBS,$A40,L_Doeljaar,Sel_Doeljaar,L_Versiejaar,P_VJ,L_Versie,Sel_Versie,L_Kengetal,"Omzet actual YTD"))/P_Factor,IF(COUNTIFS(L_Actief,1,L_WBS,$A40,L_Doeljaar,Sel_Doeljaar,L_Versiejaar,P_VJ,L_Versie,Sel_Versie,L_Kengetal,"Omzet actual YTD")=0,"n.b.",SUMIFS(L_Waarde,L_Actief,1,L_WBS,$A40,L_Doeljaar,Sel_Doeljaar,L_Versiejaar,P_VJ,L_Versie,Sel_Versie,L_Kengetal,"Omzet actual YTD"))),IF(Sel_Bron="Concept",IF(ISNUMBER(IF(Sel_Doeljaar=P_RJ,VERW_Project!$L36,"n.v.t.")),IF(Sel_Doeljaar=P_RJ,VERW_Project!$L36,"n.v.t.")/P_Factor,IF(Sel_Doeljaar=P_RJ,VERW_Project!$L36,"n.v.t.")),"n.b."))))</f>
        <v/>
      </c>
      <c r="M40" s="41" t="str">
        <f>IF($A40="","",IF(L40="n.v.t.",K40,IF(AND(ISNUMBER(K40),ISNUMBER(L40)),K40-L40,"n.b.")))</f>
        <v/>
      </c>
      <c r="N40" s="41" t="str">
        <f>IF($A40="","",IF(Sel_Bron="Vastgesteld",IF(ISNUMBER(IF(COUNTIFS(L_Actief,1,L_WBS,$A40,L_Doeljaar,Sel_Doeljaar,L_Versiejaar,P_VJ,L_Versie,Sel_Versie,L_Kengetal,"BOR FY")=0,"n.b.",SUMIFS(L_Waarde,L_Actief,1,L_WBS,$A40,L_Doeljaar,Sel_Doeljaar,L_Versiejaar,P_VJ,L_Versie,Sel_Versie,L_Kengetal,"BOR FY"))),IF(COUNTIFS(L_Actief,1,L_WBS,$A40,L_Doeljaar,Sel_Doeljaar,L_Versiejaar,P_VJ,L_Versie,Sel_Versie,L_Kengetal,"BOR FY")=0,"n.b.",SUMIFS(L_Waarde,L_Actief,1,L_WBS,$A40,L_Doeljaar,Sel_Doeljaar,L_Versiejaar,P_VJ,L_Versie,Sel_Versie,L_Kengetal,"BOR FY"))/P_Factor,IF(COUNTIFS(L_Actief,1,L_WBS,$A40,L_Doeljaar,Sel_Doeljaar,L_Versiejaar,P_VJ,L_Versie,Sel_Versie,L_Kengetal,"BOR FY")=0,"n.b.",SUMIFS(L_Waarde,L_Actief,1,L_WBS,$A40,L_Doeljaar,Sel_Doeljaar,L_Versiejaar,P_VJ,L_Versie,Sel_Versie,L_Kengetal,"BOR FY"))),IF(Sel_Bron="Concept",IF(ISNUMBER(IF(Sel_Doeljaar=P_RJ,VERW_Project!$Q36,IF(Sel_Doeljaar=P_RJ+1,VERW_Project!$S36,"n.b."))),IF(Sel_Doeljaar=P_RJ,VERW_Project!$Q36,IF(Sel_Doeljaar=P_RJ+1,VERW_Project!$S36,"n.b."))/P_Factor,IF(Sel_Doeljaar=P_RJ,VERW_Project!$Q36,IF(Sel_Doeljaar=P_RJ+1,VERW_Project!$S36,"n.b."))),"n.b.")))</f>
        <v/>
      </c>
      <c r="O40" s="63" t="str">
        <f>IF($A40="","",IF(AND(ISNUMBER(N40),ISNUMBER(K40)),IF(K40&lt;&gt;0,N40/K40,"n.b."),"n.b."))</f>
        <v/>
      </c>
      <c r="P40" s="41" t="str">
        <f>IF($A40="","",IF(AND(ISNUMBER(K40),ISNUMBER(E40)),K40-E40,"n.b."))</f>
        <v/>
      </c>
      <c r="Q40" s="41" t="str">
        <f>IF($A40="","",IF(AND(ISNUMBER(K40),ISNUMBER(W40)),K40-W40,"n.b."))</f>
        <v/>
      </c>
      <c r="R40" s="64" t="str">
        <f>IF($A40="","",IF(ISNUMBER(N40),IF(N40&lt;0,"Verlies",""),""))</f>
        <v/>
      </c>
      <c r="S40" s="61" t="str">
        <f>IF($A40="","",IFERROR(INDEX(T_Txt,MATCH($A40&amp;"|"&amp;Sel_Doeljaar&amp;"|"&amp;P_VJ&amp;"|"&amp;Sel_Versie,T_Key,0)),""))</f>
        <v/>
      </c>
      <c r="U40" s="15" t="str">
        <f>IF(AND(AND($A40&lt;&gt;"",OR(Sel_Type="Alle",$C40=Sel_Type),OR(Sel_Project="Alle",$B40=Sel_Project)),ISNUMBER(K40)),K40+ROW()/1000000000,"")</f>
        <v/>
      </c>
      <c r="V40" s="15" t="str">
        <f>IF(AND(AND($A40&lt;&gt;"",OR(Sel_Type="Alle",$C40=Sel_Type),OR(Sel_Project="Alle",$B40=Sel_Project)),ISNUMBER(Q40)),ABS(Q40)+ROW()/1000000000,"")</f>
        <v/>
      </c>
      <c r="W40" s="15" t="str">
        <f>IF(OR($A40="",Sel_Prev=""),"n.b.",IF(ISNUMBER(IF(COUNTIFS(L_Actief,1,L_WBS,$A40,L_Doeljaar,Sel_Doeljaar,L_Versiejaar,P_VJ,L_Versie,Sel_Prev,L_Kengetal,"Omzet FY")=0,"n.b.",SUMIFS(L_Waarde,L_Actief,1,L_WBS,$A40,L_Doeljaar,Sel_Doeljaar,L_Versiejaar,P_VJ,L_Versie,Sel_Prev,L_Kengetal,"Omzet FY"))),IF(COUNTIFS(L_Actief,1,L_WBS,$A40,L_Doeljaar,Sel_Doeljaar,L_Versiejaar,P_VJ,L_Versie,Sel_Prev,L_Kengetal,"Omzet FY")=0,"n.b.",SUMIFS(L_Waarde,L_Actief,1,L_WBS,$A40,L_Doeljaar,Sel_Doeljaar,L_Versiejaar,P_VJ,L_Versie,Sel_Prev,L_Kengetal,"Omzet FY"))/P_Factor,IF(COUNTIFS(L_Actief,1,L_WBS,$A40,L_Doeljaar,Sel_Doeljaar,L_Versiejaar,P_VJ,L_Versie,Sel_Prev,L_Kengetal,"Omzet FY")=0,"n.b.",SUMIFS(L_Waarde,L_Actief,1,L_WBS,$A40,L_Doeljaar,Sel_Doeljaar,L_Versiejaar,P_VJ,L_Versie,Sel_Prev,L_Kengetal,"Omzet FY"))))</f>
        <v>n.b.</v>
      </c>
    </row>
    <row r="41">
      <c r="A41" s="61" t="str">
        <f>IF(VERW_Project!$A37="","",VERW_Project!$A37)</f>
        <v/>
      </c>
      <c r="B41" s="61" t="str">
        <f>IF($A41="","",VERW_Project!$C37)</f>
        <v/>
      </c>
      <c r="C41" s="61" t="str">
        <f>IF($A41="","",VERW_Project!$D37)</f>
        <v/>
      </c>
      <c r="D41" s="61" t="str">
        <f>IF($A41="","",VERW_Project!$I37)</f>
        <v/>
      </c>
      <c r="E41" s="41" t="str">
        <f>IF($A41="","",IF(ISNUMBER(IF(COUNTIFS(L_Actief,1,L_WBS,$A41,L_Doeljaar,Sel_Doeljaar,L_Versiejaar,P_VJ,L_Versie,E$8,L_Kengetal,"Omzet FY")=0,"n.b.",SUMIFS(L_Waarde,L_Actief,1,L_WBS,$A41,L_Doeljaar,Sel_Doeljaar,L_Versiejaar,P_VJ,L_Versie,E$8,L_Kengetal,"Omzet FY"))),IF(COUNTIFS(L_Actief,1,L_WBS,$A41,L_Doeljaar,Sel_Doeljaar,L_Versiejaar,P_VJ,L_Versie,E$8,L_Kengetal,"Omzet FY")=0,"n.b.",SUMIFS(L_Waarde,L_Actief,1,L_WBS,$A41,L_Doeljaar,Sel_Doeljaar,L_Versiejaar,P_VJ,L_Versie,E$8,L_Kengetal,"Omzet FY"))/P_Factor,IF(COUNTIFS(L_Actief,1,L_WBS,$A41,L_Doeljaar,Sel_Doeljaar,L_Versiejaar,P_VJ,L_Versie,E$8,L_Kengetal,"Omzet FY")=0,"n.b.",SUMIFS(L_Waarde,L_Actief,1,L_WBS,$A41,L_Doeljaar,Sel_Doeljaar,L_Versiejaar,P_VJ,L_Versie,E$8,L_Kengetal,"Omzet FY"))))</f>
        <v/>
      </c>
      <c r="F41" s="41" t="str">
        <f>IF($A41="","",IF(ISNUMBER(IF(COUNTIFS(L_Actief,1,L_WBS,$A41,L_Doeljaar,Sel_Doeljaar,L_Versiejaar,P_VJ,L_Versie,F$8,L_Kengetal,"Omzet FY")=0,"n.b.",SUMIFS(L_Waarde,L_Actief,1,L_WBS,$A41,L_Doeljaar,Sel_Doeljaar,L_Versiejaar,P_VJ,L_Versie,F$8,L_Kengetal,"Omzet FY"))),IF(COUNTIFS(L_Actief,1,L_WBS,$A41,L_Doeljaar,Sel_Doeljaar,L_Versiejaar,P_VJ,L_Versie,F$8,L_Kengetal,"Omzet FY")=0,"n.b.",SUMIFS(L_Waarde,L_Actief,1,L_WBS,$A41,L_Doeljaar,Sel_Doeljaar,L_Versiejaar,P_VJ,L_Versie,F$8,L_Kengetal,"Omzet FY"))/P_Factor,IF(COUNTIFS(L_Actief,1,L_WBS,$A41,L_Doeljaar,Sel_Doeljaar,L_Versiejaar,P_VJ,L_Versie,F$8,L_Kengetal,"Omzet FY")=0,"n.b.",SUMIFS(L_Waarde,L_Actief,1,L_WBS,$A41,L_Doeljaar,Sel_Doeljaar,L_Versiejaar,P_VJ,L_Versie,F$8,L_Kengetal,"Omzet FY"))))</f>
        <v/>
      </c>
      <c r="G41" s="41" t="str">
        <f>IF($A41="","",IF(ISNUMBER(IF(COUNTIFS(L_Actief,1,L_WBS,$A41,L_Doeljaar,Sel_Doeljaar,L_Versiejaar,P_VJ,L_Versie,G$8,L_Kengetal,"Omzet FY")=0,"n.b.",SUMIFS(L_Waarde,L_Actief,1,L_WBS,$A41,L_Doeljaar,Sel_Doeljaar,L_Versiejaar,P_VJ,L_Versie,G$8,L_Kengetal,"Omzet FY"))),IF(COUNTIFS(L_Actief,1,L_WBS,$A41,L_Doeljaar,Sel_Doeljaar,L_Versiejaar,P_VJ,L_Versie,G$8,L_Kengetal,"Omzet FY")=0,"n.b.",SUMIFS(L_Waarde,L_Actief,1,L_WBS,$A41,L_Doeljaar,Sel_Doeljaar,L_Versiejaar,P_VJ,L_Versie,G$8,L_Kengetal,"Omzet FY"))/P_Factor,IF(COUNTIFS(L_Actief,1,L_WBS,$A41,L_Doeljaar,Sel_Doeljaar,L_Versiejaar,P_VJ,L_Versie,G$8,L_Kengetal,"Omzet FY")=0,"n.b.",SUMIFS(L_Waarde,L_Actief,1,L_WBS,$A41,L_Doeljaar,Sel_Doeljaar,L_Versiejaar,P_VJ,L_Versie,G$8,L_Kengetal,"Omzet FY"))))</f>
        <v/>
      </c>
      <c r="H41" s="41" t="str">
        <f>IF($A41="","",IF(ISNUMBER(IF(COUNTIFS(L_Actief,1,L_WBS,$A41,L_Doeljaar,Sel_Doeljaar,L_Versiejaar,P_VJ,L_Versie,H$8,L_Kengetal,"Omzet FY")=0,"n.b.",SUMIFS(L_Waarde,L_Actief,1,L_WBS,$A41,L_Doeljaar,Sel_Doeljaar,L_Versiejaar,P_VJ,L_Versie,H$8,L_Kengetal,"Omzet FY"))),IF(COUNTIFS(L_Actief,1,L_WBS,$A41,L_Doeljaar,Sel_Doeljaar,L_Versiejaar,P_VJ,L_Versie,H$8,L_Kengetal,"Omzet FY")=0,"n.b.",SUMIFS(L_Waarde,L_Actief,1,L_WBS,$A41,L_Doeljaar,Sel_Doeljaar,L_Versiejaar,P_VJ,L_Versie,H$8,L_Kengetal,"Omzet FY"))/P_Factor,IF(COUNTIFS(L_Actief,1,L_WBS,$A41,L_Doeljaar,Sel_Doeljaar,L_Versiejaar,P_VJ,L_Versie,H$8,L_Kengetal,"Omzet FY")=0,"n.b.",SUMIFS(L_Waarde,L_Actief,1,L_WBS,$A41,L_Doeljaar,Sel_Doeljaar,L_Versiejaar,P_VJ,L_Versie,H$8,L_Kengetal,"Omzet FY"))))</f>
        <v/>
      </c>
      <c r="I41" s="41" t="str">
        <f>IF($A41="","",IF(ISNUMBER(IF(COUNTIFS(L_Actief,1,L_WBS,$A41,L_Doeljaar,Sel_Doeljaar,L_Versiejaar,P_VJ,L_Versie,I$8,L_Kengetal,"Omzet FY")=0,"n.b.",SUMIFS(L_Waarde,L_Actief,1,L_WBS,$A41,L_Doeljaar,Sel_Doeljaar,L_Versiejaar,P_VJ,L_Versie,I$8,L_Kengetal,"Omzet FY"))),IF(COUNTIFS(L_Actief,1,L_WBS,$A41,L_Doeljaar,Sel_Doeljaar,L_Versiejaar,P_VJ,L_Versie,I$8,L_Kengetal,"Omzet FY")=0,"n.b.",SUMIFS(L_Waarde,L_Actief,1,L_WBS,$A41,L_Doeljaar,Sel_Doeljaar,L_Versiejaar,P_VJ,L_Versie,I$8,L_Kengetal,"Omzet FY"))/P_Factor,IF(COUNTIFS(L_Actief,1,L_WBS,$A41,L_Doeljaar,Sel_Doeljaar,L_Versiejaar,P_VJ,L_Versie,I$8,L_Kengetal,"Omzet FY")=0,"n.b.",SUMIFS(L_Waarde,L_Actief,1,L_WBS,$A41,L_Doeljaar,Sel_Doeljaar,L_Versiejaar,P_VJ,L_Versie,I$8,L_Kengetal,"Omzet FY"))))</f>
        <v/>
      </c>
      <c r="J41" s="41" t="str">
        <f>IF($A41="","",IF(ISNUMBER(IF(Sel_Doeljaar=P_RJ,VERW_Project!$P37,IF(Sel_Doeljaar=P_RJ+1,VERW_Project!$R37,"n.b."))),IF(Sel_Doeljaar=P_RJ,VERW_Project!$P37,IF(Sel_Doeljaar=P_RJ+1,VERW_Project!$R37,"n.b."))/P_Factor,IF(Sel_Doeljaar=P_RJ,VERW_Project!$P37,IF(Sel_Doeljaar=P_RJ+1,VERW_Project!$R37,"n.b."))))</f>
        <v/>
      </c>
      <c r="K41" s="41" t="str">
        <f>IF($A41="","",IF(Sel_Bron="Vastgesteld",INDEX($E41:$I41,MATCH(Sel_Versie,$E$8:$I$8,0)),IF(Sel_Bron="Concept",J41,"n.b.")))</f>
        <v/>
      </c>
      <c r="L41" s="62" t="str">
        <f>IF($A41="","",IF(Sel_Doeljaar&gt;P_VJ,"n.v.t.",IF(Sel_Bron="Vastgesteld",IF(ISNUMBER(IF(COUNTIFS(L_Actief,1,L_WBS,$A41,L_Doeljaar,Sel_Doeljaar,L_Versiejaar,P_VJ,L_Versie,Sel_Versie,L_Kengetal,"Omzet actual YTD")=0,"n.b.",SUMIFS(L_Waarde,L_Actief,1,L_WBS,$A41,L_Doeljaar,Sel_Doeljaar,L_Versiejaar,P_VJ,L_Versie,Sel_Versie,L_Kengetal,"Omzet actual YTD"))),IF(COUNTIFS(L_Actief,1,L_WBS,$A41,L_Doeljaar,Sel_Doeljaar,L_Versiejaar,P_VJ,L_Versie,Sel_Versie,L_Kengetal,"Omzet actual YTD")=0,"n.b.",SUMIFS(L_Waarde,L_Actief,1,L_WBS,$A41,L_Doeljaar,Sel_Doeljaar,L_Versiejaar,P_VJ,L_Versie,Sel_Versie,L_Kengetal,"Omzet actual YTD"))/P_Factor,IF(COUNTIFS(L_Actief,1,L_WBS,$A41,L_Doeljaar,Sel_Doeljaar,L_Versiejaar,P_VJ,L_Versie,Sel_Versie,L_Kengetal,"Omzet actual YTD")=0,"n.b.",SUMIFS(L_Waarde,L_Actief,1,L_WBS,$A41,L_Doeljaar,Sel_Doeljaar,L_Versiejaar,P_VJ,L_Versie,Sel_Versie,L_Kengetal,"Omzet actual YTD"))),IF(Sel_Bron="Concept",IF(ISNUMBER(IF(Sel_Doeljaar=P_RJ,VERW_Project!$L37,"n.v.t.")),IF(Sel_Doeljaar=P_RJ,VERW_Project!$L37,"n.v.t.")/P_Factor,IF(Sel_Doeljaar=P_RJ,VERW_Project!$L37,"n.v.t.")),"n.b."))))</f>
        <v/>
      </c>
      <c r="M41" s="41" t="str">
        <f>IF($A41="","",IF(L41="n.v.t.",K41,IF(AND(ISNUMBER(K41),ISNUMBER(L41)),K41-L41,"n.b.")))</f>
        <v/>
      </c>
      <c r="N41" s="41" t="str">
        <f>IF($A41="","",IF(Sel_Bron="Vastgesteld",IF(ISNUMBER(IF(COUNTIFS(L_Actief,1,L_WBS,$A41,L_Doeljaar,Sel_Doeljaar,L_Versiejaar,P_VJ,L_Versie,Sel_Versie,L_Kengetal,"BOR FY")=0,"n.b.",SUMIFS(L_Waarde,L_Actief,1,L_WBS,$A41,L_Doeljaar,Sel_Doeljaar,L_Versiejaar,P_VJ,L_Versie,Sel_Versie,L_Kengetal,"BOR FY"))),IF(COUNTIFS(L_Actief,1,L_WBS,$A41,L_Doeljaar,Sel_Doeljaar,L_Versiejaar,P_VJ,L_Versie,Sel_Versie,L_Kengetal,"BOR FY")=0,"n.b.",SUMIFS(L_Waarde,L_Actief,1,L_WBS,$A41,L_Doeljaar,Sel_Doeljaar,L_Versiejaar,P_VJ,L_Versie,Sel_Versie,L_Kengetal,"BOR FY"))/P_Factor,IF(COUNTIFS(L_Actief,1,L_WBS,$A41,L_Doeljaar,Sel_Doeljaar,L_Versiejaar,P_VJ,L_Versie,Sel_Versie,L_Kengetal,"BOR FY")=0,"n.b.",SUMIFS(L_Waarde,L_Actief,1,L_WBS,$A41,L_Doeljaar,Sel_Doeljaar,L_Versiejaar,P_VJ,L_Versie,Sel_Versie,L_Kengetal,"BOR FY"))),IF(Sel_Bron="Concept",IF(ISNUMBER(IF(Sel_Doeljaar=P_RJ,VERW_Project!$Q37,IF(Sel_Doeljaar=P_RJ+1,VERW_Project!$S37,"n.b."))),IF(Sel_Doeljaar=P_RJ,VERW_Project!$Q37,IF(Sel_Doeljaar=P_RJ+1,VERW_Project!$S37,"n.b."))/P_Factor,IF(Sel_Doeljaar=P_RJ,VERW_Project!$Q37,IF(Sel_Doeljaar=P_RJ+1,VERW_Project!$S37,"n.b."))),"n.b.")))</f>
        <v/>
      </c>
      <c r="O41" s="63" t="str">
        <f>IF($A41="","",IF(AND(ISNUMBER(N41),ISNUMBER(K41)),IF(K41&lt;&gt;0,N41/K41,"n.b."),"n.b."))</f>
        <v/>
      </c>
      <c r="P41" s="41" t="str">
        <f>IF($A41="","",IF(AND(ISNUMBER(K41),ISNUMBER(E41)),K41-E41,"n.b."))</f>
        <v/>
      </c>
      <c r="Q41" s="41" t="str">
        <f>IF($A41="","",IF(AND(ISNUMBER(K41),ISNUMBER(W41)),K41-W41,"n.b."))</f>
        <v/>
      </c>
      <c r="R41" s="64" t="str">
        <f>IF($A41="","",IF(ISNUMBER(N41),IF(N41&lt;0,"Verlies",""),""))</f>
        <v/>
      </c>
      <c r="S41" s="61" t="str">
        <f>IF($A41="","",IFERROR(INDEX(T_Txt,MATCH($A41&amp;"|"&amp;Sel_Doeljaar&amp;"|"&amp;P_VJ&amp;"|"&amp;Sel_Versie,T_Key,0)),""))</f>
        <v/>
      </c>
      <c r="U41" s="15" t="str">
        <f>IF(AND(AND($A41&lt;&gt;"",OR(Sel_Type="Alle",$C41=Sel_Type),OR(Sel_Project="Alle",$B41=Sel_Project)),ISNUMBER(K41)),K41+ROW()/1000000000,"")</f>
        <v/>
      </c>
      <c r="V41" s="15" t="str">
        <f>IF(AND(AND($A41&lt;&gt;"",OR(Sel_Type="Alle",$C41=Sel_Type),OR(Sel_Project="Alle",$B41=Sel_Project)),ISNUMBER(Q41)),ABS(Q41)+ROW()/1000000000,"")</f>
        <v/>
      </c>
      <c r="W41" s="15" t="str">
        <f>IF(OR($A41="",Sel_Prev=""),"n.b.",IF(ISNUMBER(IF(COUNTIFS(L_Actief,1,L_WBS,$A41,L_Doeljaar,Sel_Doeljaar,L_Versiejaar,P_VJ,L_Versie,Sel_Prev,L_Kengetal,"Omzet FY")=0,"n.b.",SUMIFS(L_Waarde,L_Actief,1,L_WBS,$A41,L_Doeljaar,Sel_Doeljaar,L_Versiejaar,P_VJ,L_Versie,Sel_Prev,L_Kengetal,"Omzet FY"))),IF(COUNTIFS(L_Actief,1,L_WBS,$A41,L_Doeljaar,Sel_Doeljaar,L_Versiejaar,P_VJ,L_Versie,Sel_Prev,L_Kengetal,"Omzet FY")=0,"n.b.",SUMIFS(L_Waarde,L_Actief,1,L_WBS,$A41,L_Doeljaar,Sel_Doeljaar,L_Versiejaar,P_VJ,L_Versie,Sel_Prev,L_Kengetal,"Omzet FY"))/P_Factor,IF(COUNTIFS(L_Actief,1,L_WBS,$A41,L_Doeljaar,Sel_Doeljaar,L_Versiejaar,P_VJ,L_Versie,Sel_Prev,L_Kengetal,"Omzet FY")=0,"n.b.",SUMIFS(L_Waarde,L_Actief,1,L_WBS,$A41,L_Doeljaar,Sel_Doeljaar,L_Versiejaar,P_VJ,L_Versie,Sel_Prev,L_Kengetal,"Omzet FY"))))</f>
        <v>n.b.</v>
      </c>
    </row>
    <row r="42">
      <c r="A42" s="61" t="str">
        <f>IF(VERW_Project!$A38="","",VERW_Project!$A38)</f>
        <v/>
      </c>
      <c r="B42" s="61" t="str">
        <f>IF($A42="","",VERW_Project!$C38)</f>
        <v/>
      </c>
      <c r="C42" s="61" t="str">
        <f>IF($A42="","",VERW_Project!$D38)</f>
        <v/>
      </c>
      <c r="D42" s="61" t="str">
        <f>IF($A42="","",VERW_Project!$I38)</f>
        <v/>
      </c>
      <c r="E42" s="41" t="str">
        <f>IF($A42="","",IF(ISNUMBER(IF(COUNTIFS(L_Actief,1,L_WBS,$A42,L_Doeljaar,Sel_Doeljaar,L_Versiejaar,P_VJ,L_Versie,E$8,L_Kengetal,"Omzet FY")=0,"n.b.",SUMIFS(L_Waarde,L_Actief,1,L_WBS,$A42,L_Doeljaar,Sel_Doeljaar,L_Versiejaar,P_VJ,L_Versie,E$8,L_Kengetal,"Omzet FY"))),IF(COUNTIFS(L_Actief,1,L_WBS,$A42,L_Doeljaar,Sel_Doeljaar,L_Versiejaar,P_VJ,L_Versie,E$8,L_Kengetal,"Omzet FY")=0,"n.b.",SUMIFS(L_Waarde,L_Actief,1,L_WBS,$A42,L_Doeljaar,Sel_Doeljaar,L_Versiejaar,P_VJ,L_Versie,E$8,L_Kengetal,"Omzet FY"))/P_Factor,IF(COUNTIFS(L_Actief,1,L_WBS,$A42,L_Doeljaar,Sel_Doeljaar,L_Versiejaar,P_VJ,L_Versie,E$8,L_Kengetal,"Omzet FY")=0,"n.b.",SUMIFS(L_Waarde,L_Actief,1,L_WBS,$A42,L_Doeljaar,Sel_Doeljaar,L_Versiejaar,P_VJ,L_Versie,E$8,L_Kengetal,"Omzet FY"))))</f>
        <v/>
      </c>
      <c r="F42" s="41" t="str">
        <f>IF($A42="","",IF(ISNUMBER(IF(COUNTIFS(L_Actief,1,L_WBS,$A42,L_Doeljaar,Sel_Doeljaar,L_Versiejaar,P_VJ,L_Versie,F$8,L_Kengetal,"Omzet FY")=0,"n.b.",SUMIFS(L_Waarde,L_Actief,1,L_WBS,$A42,L_Doeljaar,Sel_Doeljaar,L_Versiejaar,P_VJ,L_Versie,F$8,L_Kengetal,"Omzet FY"))),IF(COUNTIFS(L_Actief,1,L_WBS,$A42,L_Doeljaar,Sel_Doeljaar,L_Versiejaar,P_VJ,L_Versie,F$8,L_Kengetal,"Omzet FY")=0,"n.b.",SUMIFS(L_Waarde,L_Actief,1,L_WBS,$A42,L_Doeljaar,Sel_Doeljaar,L_Versiejaar,P_VJ,L_Versie,F$8,L_Kengetal,"Omzet FY"))/P_Factor,IF(COUNTIFS(L_Actief,1,L_WBS,$A42,L_Doeljaar,Sel_Doeljaar,L_Versiejaar,P_VJ,L_Versie,F$8,L_Kengetal,"Omzet FY")=0,"n.b.",SUMIFS(L_Waarde,L_Actief,1,L_WBS,$A42,L_Doeljaar,Sel_Doeljaar,L_Versiejaar,P_VJ,L_Versie,F$8,L_Kengetal,"Omzet FY"))))</f>
        <v/>
      </c>
      <c r="G42" s="41" t="str">
        <f>IF($A42="","",IF(ISNUMBER(IF(COUNTIFS(L_Actief,1,L_WBS,$A42,L_Doeljaar,Sel_Doeljaar,L_Versiejaar,P_VJ,L_Versie,G$8,L_Kengetal,"Omzet FY")=0,"n.b.",SUMIFS(L_Waarde,L_Actief,1,L_WBS,$A42,L_Doeljaar,Sel_Doeljaar,L_Versiejaar,P_VJ,L_Versie,G$8,L_Kengetal,"Omzet FY"))),IF(COUNTIFS(L_Actief,1,L_WBS,$A42,L_Doeljaar,Sel_Doeljaar,L_Versiejaar,P_VJ,L_Versie,G$8,L_Kengetal,"Omzet FY")=0,"n.b.",SUMIFS(L_Waarde,L_Actief,1,L_WBS,$A42,L_Doeljaar,Sel_Doeljaar,L_Versiejaar,P_VJ,L_Versie,G$8,L_Kengetal,"Omzet FY"))/P_Factor,IF(COUNTIFS(L_Actief,1,L_WBS,$A42,L_Doeljaar,Sel_Doeljaar,L_Versiejaar,P_VJ,L_Versie,G$8,L_Kengetal,"Omzet FY")=0,"n.b.",SUMIFS(L_Waarde,L_Actief,1,L_WBS,$A42,L_Doeljaar,Sel_Doeljaar,L_Versiejaar,P_VJ,L_Versie,G$8,L_Kengetal,"Omzet FY"))))</f>
        <v/>
      </c>
      <c r="H42" s="41" t="str">
        <f>IF($A42="","",IF(ISNUMBER(IF(COUNTIFS(L_Actief,1,L_WBS,$A42,L_Doeljaar,Sel_Doeljaar,L_Versiejaar,P_VJ,L_Versie,H$8,L_Kengetal,"Omzet FY")=0,"n.b.",SUMIFS(L_Waarde,L_Actief,1,L_WBS,$A42,L_Doeljaar,Sel_Doeljaar,L_Versiejaar,P_VJ,L_Versie,H$8,L_Kengetal,"Omzet FY"))),IF(COUNTIFS(L_Actief,1,L_WBS,$A42,L_Doeljaar,Sel_Doeljaar,L_Versiejaar,P_VJ,L_Versie,H$8,L_Kengetal,"Omzet FY")=0,"n.b.",SUMIFS(L_Waarde,L_Actief,1,L_WBS,$A42,L_Doeljaar,Sel_Doeljaar,L_Versiejaar,P_VJ,L_Versie,H$8,L_Kengetal,"Omzet FY"))/P_Factor,IF(COUNTIFS(L_Actief,1,L_WBS,$A42,L_Doeljaar,Sel_Doeljaar,L_Versiejaar,P_VJ,L_Versie,H$8,L_Kengetal,"Omzet FY")=0,"n.b.",SUMIFS(L_Waarde,L_Actief,1,L_WBS,$A42,L_Doeljaar,Sel_Doeljaar,L_Versiejaar,P_VJ,L_Versie,H$8,L_Kengetal,"Omzet FY"))))</f>
        <v/>
      </c>
      <c r="I42" s="41" t="str">
        <f>IF($A42="","",IF(ISNUMBER(IF(COUNTIFS(L_Actief,1,L_WBS,$A42,L_Doeljaar,Sel_Doeljaar,L_Versiejaar,P_VJ,L_Versie,I$8,L_Kengetal,"Omzet FY")=0,"n.b.",SUMIFS(L_Waarde,L_Actief,1,L_WBS,$A42,L_Doeljaar,Sel_Doeljaar,L_Versiejaar,P_VJ,L_Versie,I$8,L_Kengetal,"Omzet FY"))),IF(COUNTIFS(L_Actief,1,L_WBS,$A42,L_Doeljaar,Sel_Doeljaar,L_Versiejaar,P_VJ,L_Versie,I$8,L_Kengetal,"Omzet FY")=0,"n.b.",SUMIFS(L_Waarde,L_Actief,1,L_WBS,$A42,L_Doeljaar,Sel_Doeljaar,L_Versiejaar,P_VJ,L_Versie,I$8,L_Kengetal,"Omzet FY"))/P_Factor,IF(COUNTIFS(L_Actief,1,L_WBS,$A42,L_Doeljaar,Sel_Doeljaar,L_Versiejaar,P_VJ,L_Versie,I$8,L_Kengetal,"Omzet FY")=0,"n.b.",SUMIFS(L_Waarde,L_Actief,1,L_WBS,$A42,L_Doeljaar,Sel_Doeljaar,L_Versiejaar,P_VJ,L_Versie,I$8,L_Kengetal,"Omzet FY"))))</f>
        <v/>
      </c>
      <c r="J42" s="41" t="str">
        <f>IF($A42="","",IF(ISNUMBER(IF(Sel_Doeljaar=P_RJ,VERW_Project!$P38,IF(Sel_Doeljaar=P_RJ+1,VERW_Project!$R38,"n.b."))),IF(Sel_Doeljaar=P_RJ,VERW_Project!$P38,IF(Sel_Doeljaar=P_RJ+1,VERW_Project!$R38,"n.b."))/P_Factor,IF(Sel_Doeljaar=P_RJ,VERW_Project!$P38,IF(Sel_Doeljaar=P_RJ+1,VERW_Project!$R38,"n.b."))))</f>
        <v/>
      </c>
      <c r="K42" s="41" t="str">
        <f>IF($A42="","",IF(Sel_Bron="Vastgesteld",INDEX($E42:$I42,MATCH(Sel_Versie,$E$8:$I$8,0)),IF(Sel_Bron="Concept",J42,"n.b.")))</f>
        <v/>
      </c>
      <c r="L42" s="62" t="str">
        <f>IF($A42="","",IF(Sel_Doeljaar&gt;P_VJ,"n.v.t.",IF(Sel_Bron="Vastgesteld",IF(ISNUMBER(IF(COUNTIFS(L_Actief,1,L_WBS,$A42,L_Doeljaar,Sel_Doeljaar,L_Versiejaar,P_VJ,L_Versie,Sel_Versie,L_Kengetal,"Omzet actual YTD")=0,"n.b.",SUMIFS(L_Waarde,L_Actief,1,L_WBS,$A42,L_Doeljaar,Sel_Doeljaar,L_Versiejaar,P_VJ,L_Versie,Sel_Versie,L_Kengetal,"Omzet actual YTD"))),IF(COUNTIFS(L_Actief,1,L_WBS,$A42,L_Doeljaar,Sel_Doeljaar,L_Versiejaar,P_VJ,L_Versie,Sel_Versie,L_Kengetal,"Omzet actual YTD")=0,"n.b.",SUMIFS(L_Waarde,L_Actief,1,L_WBS,$A42,L_Doeljaar,Sel_Doeljaar,L_Versiejaar,P_VJ,L_Versie,Sel_Versie,L_Kengetal,"Omzet actual YTD"))/P_Factor,IF(COUNTIFS(L_Actief,1,L_WBS,$A42,L_Doeljaar,Sel_Doeljaar,L_Versiejaar,P_VJ,L_Versie,Sel_Versie,L_Kengetal,"Omzet actual YTD")=0,"n.b.",SUMIFS(L_Waarde,L_Actief,1,L_WBS,$A42,L_Doeljaar,Sel_Doeljaar,L_Versiejaar,P_VJ,L_Versie,Sel_Versie,L_Kengetal,"Omzet actual YTD"))),IF(Sel_Bron="Concept",IF(ISNUMBER(IF(Sel_Doeljaar=P_RJ,VERW_Project!$L38,"n.v.t.")),IF(Sel_Doeljaar=P_RJ,VERW_Project!$L38,"n.v.t.")/P_Factor,IF(Sel_Doeljaar=P_RJ,VERW_Project!$L38,"n.v.t.")),"n.b."))))</f>
        <v/>
      </c>
      <c r="M42" s="41" t="str">
        <f>IF($A42="","",IF(L42="n.v.t.",K42,IF(AND(ISNUMBER(K42),ISNUMBER(L42)),K42-L42,"n.b.")))</f>
        <v/>
      </c>
      <c r="N42" s="41" t="str">
        <f>IF($A42="","",IF(Sel_Bron="Vastgesteld",IF(ISNUMBER(IF(COUNTIFS(L_Actief,1,L_WBS,$A42,L_Doeljaar,Sel_Doeljaar,L_Versiejaar,P_VJ,L_Versie,Sel_Versie,L_Kengetal,"BOR FY")=0,"n.b.",SUMIFS(L_Waarde,L_Actief,1,L_WBS,$A42,L_Doeljaar,Sel_Doeljaar,L_Versiejaar,P_VJ,L_Versie,Sel_Versie,L_Kengetal,"BOR FY"))),IF(COUNTIFS(L_Actief,1,L_WBS,$A42,L_Doeljaar,Sel_Doeljaar,L_Versiejaar,P_VJ,L_Versie,Sel_Versie,L_Kengetal,"BOR FY")=0,"n.b.",SUMIFS(L_Waarde,L_Actief,1,L_WBS,$A42,L_Doeljaar,Sel_Doeljaar,L_Versiejaar,P_VJ,L_Versie,Sel_Versie,L_Kengetal,"BOR FY"))/P_Factor,IF(COUNTIFS(L_Actief,1,L_WBS,$A42,L_Doeljaar,Sel_Doeljaar,L_Versiejaar,P_VJ,L_Versie,Sel_Versie,L_Kengetal,"BOR FY")=0,"n.b.",SUMIFS(L_Waarde,L_Actief,1,L_WBS,$A42,L_Doeljaar,Sel_Doeljaar,L_Versiejaar,P_VJ,L_Versie,Sel_Versie,L_Kengetal,"BOR FY"))),IF(Sel_Bron="Concept",IF(ISNUMBER(IF(Sel_Doeljaar=P_RJ,VERW_Project!$Q38,IF(Sel_Doeljaar=P_RJ+1,VERW_Project!$S38,"n.b."))),IF(Sel_Doeljaar=P_RJ,VERW_Project!$Q38,IF(Sel_Doeljaar=P_RJ+1,VERW_Project!$S38,"n.b."))/P_Factor,IF(Sel_Doeljaar=P_RJ,VERW_Project!$Q38,IF(Sel_Doeljaar=P_RJ+1,VERW_Project!$S38,"n.b."))),"n.b.")))</f>
        <v/>
      </c>
      <c r="O42" s="63" t="str">
        <f>IF($A42="","",IF(AND(ISNUMBER(N42),ISNUMBER(K42)),IF(K42&lt;&gt;0,N42/K42,"n.b."),"n.b."))</f>
        <v/>
      </c>
      <c r="P42" s="41" t="str">
        <f>IF($A42="","",IF(AND(ISNUMBER(K42),ISNUMBER(E42)),K42-E42,"n.b."))</f>
        <v/>
      </c>
      <c r="Q42" s="41" t="str">
        <f>IF($A42="","",IF(AND(ISNUMBER(K42),ISNUMBER(W42)),K42-W42,"n.b."))</f>
        <v/>
      </c>
      <c r="R42" s="64" t="str">
        <f>IF($A42="","",IF(ISNUMBER(N42),IF(N42&lt;0,"Verlies",""),""))</f>
        <v/>
      </c>
      <c r="S42" s="61" t="str">
        <f>IF($A42="","",IFERROR(INDEX(T_Txt,MATCH($A42&amp;"|"&amp;Sel_Doeljaar&amp;"|"&amp;P_VJ&amp;"|"&amp;Sel_Versie,T_Key,0)),""))</f>
        <v/>
      </c>
      <c r="U42" s="15" t="str">
        <f>IF(AND(AND($A42&lt;&gt;"",OR(Sel_Type="Alle",$C42=Sel_Type),OR(Sel_Project="Alle",$B42=Sel_Project)),ISNUMBER(K42)),K42+ROW()/1000000000,"")</f>
        <v/>
      </c>
      <c r="V42" s="15" t="str">
        <f>IF(AND(AND($A42&lt;&gt;"",OR(Sel_Type="Alle",$C42=Sel_Type),OR(Sel_Project="Alle",$B42=Sel_Project)),ISNUMBER(Q42)),ABS(Q42)+ROW()/1000000000,"")</f>
        <v/>
      </c>
      <c r="W42" s="15" t="str">
        <f>IF(OR($A42="",Sel_Prev=""),"n.b.",IF(ISNUMBER(IF(COUNTIFS(L_Actief,1,L_WBS,$A42,L_Doeljaar,Sel_Doeljaar,L_Versiejaar,P_VJ,L_Versie,Sel_Prev,L_Kengetal,"Omzet FY")=0,"n.b.",SUMIFS(L_Waarde,L_Actief,1,L_WBS,$A42,L_Doeljaar,Sel_Doeljaar,L_Versiejaar,P_VJ,L_Versie,Sel_Prev,L_Kengetal,"Omzet FY"))),IF(COUNTIFS(L_Actief,1,L_WBS,$A42,L_Doeljaar,Sel_Doeljaar,L_Versiejaar,P_VJ,L_Versie,Sel_Prev,L_Kengetal,"Omzet FY")=0,"n.b.",SUMIFS(L_Waarde,L_Actief,1,L_WBS,$A42,L_Doeljaar,Sel_Doeljaar,L_Versiejaar,P_VJ,L_Versie,Sel_Prev,L_Kengetal,"Omzet FY"))/P_Factor,IF(COUNTIFS(L_Actief,1,L_WBS,$A42,L_Doeljaar,Sel_Doeljaar,L_Versiejaar,P_VJ,L_Versie,Sel_Prev,L_Kengetal,"Omzet FY")=0,"n.b.",SUMIFS(L_Waarde,L_Actief,1,L_WBS,$A42,L_Doeljaar,Sel_Doeljaar,L_Versiejaar,P_VJ,L_Versie,Sel_Prev,L_Kengetal,"Omzet FY"))))</f>
        <v>n.b.</v>
      </c>
    </row>
    <row r="43">
      <c r="A43" s="61" t="str">
        <f>IF(VERW_Project!$A39="","",VERW_Project!$A39)</f>
        <v/>
      </c>
      <c r="B43" s="61" t="str">
        <f>IF($A43="","",VERW_Project!$C39)</f>
        <v/>
      </c>
      <c r="C43" s="61" t="str">
        <f>IF($A43="","",VERW_Project!$D39)</f>
        <v/>
      </c>
      <c r="D43" s="61" t="str">
        <f>IF($A43="","",VERW_Project!$I39)</f>
        <v/>
      </c>
      <c r="E43" s="41" t="str">
        <f>IF($A43="","",IF(ISNUMBER(IF(COUNTIFS(L_Actief,1,L_WBS,$A43,L_Doeljaar,Sel_Doeljaar,L_Versiejaar,P_VJ,L_Versie,E$8,L_Kengetal,"Omzet FY")=0,"n.b.",SUMIFS(L_Waarde,L_Actief,1,L_WBS,$A43,L_Doeljaar,Sel_Doeljaar,L_Versiejaar,P_VJ,L_Versie,E$8,L_Kengetal,"Omzet FY"))),IF(COUNTIFS(L_Actief,1,L_WBS,$A43,L_Doeljaar,Sel_Doeljaar,L_Versiejaar,P_VJ,L_Versie,E$8,L_Kengetal,"Omzet FY")=0,"n.b.",SUMIFS(L_Waarde,L_Actief,1,L_WBS,$A43,L_Doeljaar,Sel_Doeljaar,L_Versiejaar,P_VJ,L_Versie,E$8,L_Kengetal,"Omzet FY"))/P_Factor,IF(COUNTIFS(L_Actief,1,L_WBS,$A43,L_Doeljaar,Sel_Doeljaar,L_Versiejaar,P_VJ,L_Versie,E$8,L_Kengetal,"Omzet FY")=0,"n.b.",SUMIFS(L_Waarde,L_Actief,1,L_WBS,$A43,L_Doeljaar,Sel_Doeljaar,L_Versiejaar,P_VJ,L_Versie,E$8,L_Kengetal,"Omzet FY"))))</f>
        <v/>
      </c>
      <c r="F43" s="41" t="str">
        <f>IF($A43="","",IF(ISNUMBER(IF(COUNTIFS(L_Actief,1,L_WBS,$A43,L_Doeljaar,Sel_Doeljaar,L_Versiejaar,P_VJ,L_Versie,F$8,L_Kengetal,"Omzet FY")=0,"n.b.",SUMIFS(L_Waarde,L_Actief,1,L_WBS,$A43,L_Doeljaar,Sel_Doeljaar,L_Versiejaar,P_VJ,L_Versie,F$8,L_Kengetal,"Omzet FY"))),IF(COUNTIFS(L_Actief,1,L_WBS,$A43,L_Doeljaar,Sel_Doeljaar,L_Versiejaar,P_VJ,L_Versie,F$8,L_Kengetal,"Omzet FY")=0,"n.b.",SUMIFS(L_Waarde,L_Actief,1,L_WBS,$A43,L_Doeljaar,Sel_Doeljaar,L_Versiejaar,P_VJ,L_Versie,F$8,L_Kengetal,"Omzet FY"))/P_Factor,IF(COUNTIFS(L_Actief,1,L_WBS,$A43,L_Doeljaar,Sel_Doeljaar,L_Versiejaar,P_VJ,L_Versie,F$8,L_Kengetal,"Omzet FY")=0,"n.b.",SUMIFS(L_Waarde,L_Actief,1,L_WBS,$A43,L_Doeljaar,Sel_Doeljaar,L_Versiejaar,P_VJ,L_Versie,F$8,L_Kengetal,"Omzet FY"))))</f>
        <v/>
      </c>
      <c r="G43" s="41" t="str">
        <f>IF($A43="","",IF(ISNUMBER(IF(COUNTIFS(L_Actief,1,L_WBS,$A43,L_Doeljaar,Sel_Doeljaar,L_Versiejaar,P_VJ,L_Versie,G$8,L_Kengetal,"Omzet FY")=0,"n.b.",SUMIFS(L_Waarde,L_Actief,1,L_WBS,$A43,L_Doeljaar,Sel_Doeljaar,L_Versiejaar,P_VJ,L_Versie,G$8,L_Kengetal,"Omzet FY"))),IF(COUNTIFS(L_Actief,1,L_WBS,$A43,L_Doeljaar,Sel_Doeljaar,L_Versiejaar,P_VJ,L_Versie,G$8,L_Kengetal,"Omzet FY")=0,"n.b.",SUMIFS(L_Waarde,L_Actief,1,L_WBS,$A43,L_Doeljaar,Sel_Doeljaar,L_Versiejaar,P_VJ,L_Versie,G$8,L_Kengetal,"Omzet FY"))/P_Factor,IF(COUNTIFS(L_Actief,1,L_WBS,$A43,L_Doeljaar,Sel_Doeljaar,L_Versiejaar,P_VJ,L_Versie,G$8,L_Kengetal,"Omzet FY")=0,"n.b.",SUMIFS(L_Waarde,L_Actief,1,L_WBS,$A43,L_Doeljaar,Sel_Doeljaar,L_Versiejaar,P_VJ,L_Versie,G$8,L_Kengetal,"Omzet FY"))))</f>
        <v/>
      </c>
      <c r="H43" s="41" t="str">
        <f>IF($A43="","",IF(ISNUMBER(IF(COUNTIFS(L_Actief,1,L_WBS,$A43,L_Doeljaar,Sel_Doeljaar,L_Versiejaar,P_VJ,L_Versie,H$8,L_Kengetal,"Omzet FY")=0,"n.b.",SUMIFS(L_Waarde,L_Actief,1,L_WBS,$A43,L_Doeljaar,Sel_Doeljaar,L_Versiejaar,P_VJ,L_Versie,H$8,L_Kengetal,"Omzet FY"))),IF(COUNTIFS(L_Actief,1,L_WBS,$A43,L_Doeljaar,Sel_Doeljaar,L_Versiejaar,P_VJ,L_Versie,H$8,L_Kengetal,"Omzet FY")=0,"n.b.",SUMIFS(L_Waarde,L_Actief,1,L_WBS,$A43,L_Doeljaar,Sel_Doeljaar,L_Versiejaar,P_VJ,L_Versie,H$8,L_Kengetal,"Omzet FY"))/P_Factor,IF(COUNTIFS(L_Actief,1,L_WBS,$A43,L_Doeljaar,Sel_Doeljaar,L_Versiejaar,P_VJ,L_Versie,H$8,L_Kengetal,"Omzet FY")=0,"n.b.",SUMIFS(L_Waarde,L_Actief,1,L_WBS,$A43,L_Doeljaar,Sel_Doeljaar,L_Versiejaar,P_VJ,L_Versie,H$8,L_Kengetal,"Omzet FY"))))</f>
        <v/>
      </c>
      <c r="I43" s="41" t="str">
        <f>IF($A43="","",IF(ISNUMBER(IF(COUNTIFS(L_Actief,1,L_WBS,$A43,L_Doeljaar,Sel_Doeljaar,L_Versiejaar,P_VJ,L_Versie,I$8,L_Kengetal,"Omzet FY")=0,"n.b.",SUMIFS(L_Waarde,L_Actief,1,L_WBS,$A43,L_Doeljaar,Sel_Doeljaar,L_Versiejaar,P_VJ,L_Versie,I$8,L_Kengetal,"Omzet FY"))),IF(COUNTIFS(L_Actief,1,L_WBS,$A43,L_Doeljaar,Sel_Doeljaar,L_Versiejaar,P_VJ,L_Versie,I$8,L_Kengetal,"Omzet FY")=0,"n.b.",SUMIFS(L_Waarde,L_Actief,1,L_WBS,$A43,L_Doeljaar,Sel_Doeljaar,L_Versiejaar,P_VJ,L_Versie,I$8,L_Kengetal,"Omzet FY"))/P_Factor,IF(COUNTIFS(L_Actief,1,L_WBS,$A43,L_Doeljaar,Sel_Doeljaar,L_Versiejaar,P_VJ,L_Versie,I$8,L_Kengetal,"Omzet FY")=0,"n.b.",SUMIFS(L_Waarde,L_Actief,1,L_WBS,$A43,L_Doeljaar,Sel_Doeljaar,L_Versiejaar,P_VJ,L_Versie,I$8,L_Kengetal,"Omzet FY"))))</f>
        <v/>
      </c>
      <c r="J43" s="41" t="str">
        <f>IF($A43="","",IF(ISNUMBER(IF(Sel_Doeljaar=P_RJ,VERW_Project!$P39,IF(Sel_Doeljaar=P_RJ+1,VERW_Project!$R39,"n.b."))),IF(Sel_Doeljaar=P_RJ,VERW_Project!$P39,IF(Sel_Doeljaar=P_RJ+1,VERW_Project!$R39,"n.b."))/P_Factor,IF(Sel_Doeljaar=P_RJ,VERW_Project!$P39,IF(Sel_Doeljaar=P_RJ+1,VERW_Project!$R39,"n.b."))))</f>
        <v/>
      </c>
      <c r="K43" s="41" t="str">
        <f>IF($A43="","",IF(Sel_Bron="Vastgesteld",INDEX($E43:$I43,MATCH(Sel_Versie,$E$8:$I$8,0)),IF(Sel_Bron="Concept",J43,"n.b.")))</f>
        <v/>
      </c>
      <c r="L43" s="62" t="str">
        <f>IF($A43="","",IF(Sel_Doeljaar&gt;P_VJ,"n.v.t.",IF(Sel_Bron="Vastgesteld",IF(ISNUMBER(IF(COUNTIFS(L_Actief,1,L_WBS,$A43,L_Doeljaar,Sel_Doeljaar,L_Versiejaar,P_VJ,L_Versie,Sel_Versie,L_Kengetal,"Omzet actual YTD")=0,"n.b.",SUMIFS(L_Waarde,L_Actief,1,L_WBS,$A43,L_Doeljaar,Sel_Doeljaar,L_Versiejaar,P_VJ,L_Versie,Sel_Versie,L_Kengetal,"Omzet actual YTD"))),IF(COUNTIFS(L_Actief,1,L_WBS,$A43,L_Doeljaar,Sel_Doeljaar,L_Versiejaar,P_VJ,L_Versie,Sel_Versie,L_Kengetal,"Omzet actual YTD")=0,"n.b.",SUMIFS(L_Waarde,L_Actief,1,L_WBS,$A43,L_Doeljaar,Sel_Doeljaar,L_Versiejaar,P_VJ,L_Versie,Sel_Versie,L_Kengetal,"Omzet actual YTD"))/P_Factor,IF(COUNTIFS(L_Actief,1,L_WBS,$A43,L_Doeljaar,Sel_Doeljaar,L_Versiejaar,P_VJ,L_Versie,Sel_Versie,L_Kengetal,"Omzet actual YTD")=0,"n.b.",SUMIFS(L_Waarde,L_Actief,1,L_WBS,$A43,L_Doeljaar,Sel_Doeljaar,L_Versiejaar,P_VJ,L_Versie,Sel_Versie,L_Kengetal,"Omzet actual YTD"))),IF(Sel_Bron="Concept",IF(ISNUMBER(IF(Sel_Doeljaar=P_RJ,VERW_Project!$L39,"n.v.t.")),IF(Sel_Doeljaar=P_RJ,VERW_Project!$L39,"n.v.t.")/P_Factor,IF(Sel_Doeljaar=P_RJ,VERW_Project!$L39,"n.v.t.")),"n.b."))))</f>
        <v/>
      </c>
      <c r="M43" s="41" t="str">
        <f>IF($A43="","",IF(L43="n.v.t.",K43,IF(AND(ISNUMBER(K43),ISNUMBER(L43)),K43-L43,"n.b.")))</f>
        <v/>
      </c>
      <c r="N43" s="41" t="str">
        <f>IF($A43="","",IF(Sel_Bron="Vastgesteld",IF(ISNUMBER(IF(COUNTIFS(L_Actief,1,L_WBS,$A43,L_Doeljaar,Sel_Doeljaar,L_Versiejaar,P_VJ,L_Versie,Sel_Versie,L_Kengetal,"BOR FY")=0,"n.b.",SUMIFS(L_Waarde,L_Actief,1,L_WBS,$A43,L_Doeljaar,Sel_Doeljaar,L_Versiejaar,P_VJ,L_Versie,Sel_Versie,L_Kengetal,"BOR FY"))),IF(COUNTIFS(L_Actief,1,L_WBS,$A43,L_Doeljaar,Sel_Doeljaar,L_Versiejaar,P_VJ,L_Versie,Sel_Versie,L_Kengetal,"BOR FY")=0,"n.b.",SUMIFS(L_Waarde,L_Actief,1,L_WBS,$A43,L_Doeljaar,Sel_Doeljaar,L_Versiejaar,P_VJ,L_Versie,Sel_Versie,L_Kengetal,"BOR FY"))/P_Factor,IF(COUNTIFS(L_Actief,1,L_WBS,$A43,L_Doeljaar,Sel_Doeljaar,L_Versiejaar,P_VJ,L_Versie,Sel_Versie,L_Kengetal,"BOR FY")=0,"n.b.",SUMIFS(L_Waarde,L_Actief,1,L_WBS,$A43,L_Doeljaar,Sel_Doeljaar,L_Versiejaar,P_VJ,L_Versie,Sel_Versie,L_Kengetal,"BOR FY"))),IF(Sel_Bron="Concept",IF(ISNUMBER(IF(Sel_Doeljaar=P_RJ,VERW_Project!$Q39,IF(Sel_Doeljaar=P_RJ+1,VERW_Project!$S39,"n.b."))),IF(Sel_Doeljaar=P_RJ,VERW_Project!$Q39,IF(Sel_Doeljaar=P_RJ+1,VERW_Project!$S39,"n.b."))/P_Factor,IF(Sel_Doeljaar=P_RJ,VERW_Project!$Q39,IF(Sel_Doeljaar=P_RJ+1,VERW_Project!$S39,"n.b."))),"n.b.")))</f>
        <v/>
      </c>
      <c r="O43" s="63" t="str">
        <f>IF($A43="","",IF(AND(ISNUMBER(N43),ISNUMBER(K43)),IF(K43&lt;&gt;0,N43/K43,"n.b."),"n.b."))</f>
        <v/>
      </c>
      <c r="P43" s="41" t="str">
        <f>IF($A43="","",IF(AND(ISNUMBER(K43),ISNUMBER(E43)),K43-E43,"n.b."))</f>
        <v/>
      </c>
      <c r="Q43" s="41" t="str">
        <f>IF($A43="","",IF(AND(ISNUMBER(K43),ISNUMBER(W43)),K43-W43,"n.b."))</f>
        <v/>
      </c>
      <c r="R43" s="64" t="str">
        <f>IF($A43="","",IF(ISNUMBER(N43),IF(N43&lt;0,"Verlies",""),""))</f>
        <v/>
      </c>
      <c r="S43" s="61" t="str">
        <f>IF($A43="","",IFERROR(INDEX(T_Txt,MATCH($A43&amp;"|"&amp;Sel_Doeljaar&amp;"|"&amp;P_VJ&amp;"|"&amp;Sel_Versie,T_Key,0)),""))</f>
        <v/>
      </c>
      <c r="U43" s="15" t="str">
        <f>IF(AND(AND($A43&lt;&gt;"",OR(Sel_Type="Alle",$C43=Sel_Type),OR(Sel_Project="Alle",$B43=Sel_Project)),ISNUMBER(K43)),K43+ROW()/1000000000,"")</f>
        <v/>
      </c>
      <c r="V43" s="15" t="str">
        <f>IF(AND(AND($A43&lt;&gt;"",OR(Sel_Type="Alle",$C43=Sel_Type),OR(Sel_Project="Alle",$B43=Sel_Project)),ISNUMBER(Q43)),ABS(Q43)+ROW()/1000000000,"")</f>
        <v/>
      </c>
      <c r="W43" s="15" t="str">
        <f>IF(OR($A43="",Sel_Prev=""),"n.b.",IF(ISNUMBER(IF(COUNTIFS(L_Actief,1,L_WBS,$A43,L_Doeljaar,Sel_Doeljaar,L_Versiejaar,P_VJ,L_Versie,Sel_Prev,L_Kengetal,"Omzet FY")=0,"n.b.",SUMIFS(L_Waarde,L_Actief,1,L_WBS,$A43,L_Doeljaar,Sel_Doeljaar,L_Versiejaar,P_VJ,L_Versie,Sel_Prev,L_Kengetal,"Omzet FY"))),IF(COUNTIFS(L_Actief,1,L_WBS,$A43,L_Doeljaar,Sel_Doeljaar,L_Versiejaar,P_VJ,L_Versie,Sel_Prev,L_Kengetal,"Omzet FY")=0,"n.b.",SUMIFS(L_Waarde,L_Actief,1,L_WBS,$A43,L_Doeljaar,Sel_Doeljaar,L_Versiejaar,P_VJ,L_Versie,Sel_Prev,L_Kengetal,"Omzet FY"))/P_Factor,IF(COUNTIFS(L_Actief,1,L_WBS,$A43,L_Doeljaar,Sel_Doeljaar,L_Versiejaar,P_VJ,L_Versie,Sel_Prev,L_Kengetal,"Omzet FY")=0,"n.b.",SUMIFS(L_Waarde,L_Actief,1,L_WBS,$A43,L_Doeljaar,Sel_Doeljaar,L_Versiejaar,P_VJ,L_Versie,Sel_Prev,L_Kengetal,"Omzet FY"))))</f>
        <v>n.b.</v>
      </c>
    </row>
    <row r="44">
      <c r="A44" s="61" t="str">
        <f>IF(VERW_Project!$A40="","",VERW_Project!$A40)</f>
        <v/>
      </c>
      <c r="B44" s="61" t="str">
        <f>IF($A44="","",VERW_Project!$C40)</f>
        <v/>
      </c>
      <c r="C44" s="61" t="str">
        <f>IF($A44="","",VERW_Project!$D40)</f>
        <v/>
      </c>
      <c r="D44" s="61" t="str">
        <f>IF($A44="","",VERW_Project!$I40)</f>
        <v/>
      </c>
      <c r="E44" s="41" t="str">
        <f>IF($A44="","",IF(ISNUMBER(IF(COUNTIFS(L_Actief,1,L_WBS,$A44,L_Doeljaar,Sel_Doeljaar,L_Versiejaar,P_VJ,L_Versie,E$8,L_Kengetal,"Omzet FY")=0,"n.b.",SUMIFS(L_Waarde,L_Actief,1,L_WBS,$A44,L_Doeljaar,Sel_Doeljaar,L_Versiejaar,P_VJ,L_Versie,E$8,L_Kengetal,"Omzet FY"))),IF(COUNTIFS(L_Actief,1,L_WBS,$A44,L_Doeljaar,Sel_Doeljaar,L_Versiejaar,P_VJ,L_Versie,E$8,L_Kengetal,"Omzet FY")=0,"n.b.",SUMIFS(L_Waarde,L_Actief,1,L_WBS,$A44,L_Doeljaar,Sel_Doeljaar,L_Versiejaar,P_VJ,L_Versie,E$8,L_Kengetal,"Omzet FY"))/P_Factor,IF(COUNTIFS(L_Actief,1,L_WBS,$A44,L_Doeljaar,Sel_Doeljaar,L_Versiejaar,P_VJ,L_Versie,E$8,L_Kengetal,"Omzet FY")=0,"n.b.",SUMIFS(L_Waarde,L_Actief,1,L_WBS,$A44,L_Doeljaar,Sel_Doeljaar,L_Versiejaar,P_VJ,L_Versie,E$8,L_Kengetal,"Omzet FY"))))</f>
        <v/>
      </c>
      <c r="F44" s="41" t="str">
        <f>IF($A44="","",IF(ISNUMBER(IF(COUNTIFS(L_Actief,1,L_WBS,$A44,L_Doeljaar,Sel_Doeljaar,L_Versiejaar,P_VJ,L_Versie,F$8,L_Kengetal,"Omzet FY")=0,"n.b.",SUMIFS(L_Waarde,L_Actief,1,L_WBS,$A44,L_Doeljaar,Sel_Doeljaar,L_Versiejaar,P_VJ,L_Versie,F$8,L_Kengetal,"Omzet FY"))),IF(COUNTIFS(L_Actief,1,L_WBS,$A44,L_Doeljaar,Sel_Doeljaar,L_Versiejaar,P_VJ,L_Versie,F$8,L_Kengetal,"Omzet FY")=0,"n.b.",SUMIFS(L_Waarde,L_Actief,1,L_WBS,$A44,L_Doeljaar,Sel_Doeljaar,L_Versiejaar,P_VJ,L_Versie,F$8,L_Kengetal,"Omzet FY"))/P_Factor,IF(COUNTIFS(L_Actief,1,L_WBS,$A44,L_Doeljaar,Sel_Doeljaar,L_Versiejaar,P_VJ,L_Versie,F$8,L_Kengetal,"Omzet FY")=0,"n.b.",SUMIFS(L_Waarde,L_Actief,1,L_WBS,$A44,L_Doeljaar,Sel_Doeljaar,L_Versiejaar,P_VJ,L_Versie,F$8,L_Kengetal,"Omzet FY"))))</f>
        <v/>
      </c>
      <c r="G44" s="41" t="str">
        <f>IF($A44="","",IF(ISNUMBER(IF(COUNTIFS(L_Actief,1,L_WBS,$A44,L_Doeljaar,Sel_Doeljaar,L_Versiejaar,P_VJ,L_Versie,G$8,L_Kengetal,"Omzet FY")=0,"n.b.",SUMIFS(L_Waarde,L_Actief,1,L_WBS,$A44,L_Doeljaar,Sel_Doeljaar,L_Versiejaar,P_VJ,L_Versie,G$8,L_Kengetal,"Omzet FY"))),IF(COUNTIFS(L_Actief,1,L_WBS,$A44,L_Doeljaar,Sel_Doeljaar,L_Versiejaar,P_VJ,L_Versie,G$8,L_Kengetal,"Omzet FY")=0,"n.b.",SUMIFS(L_Waarde,L_Actief,1,L_WBS,$A44,L_Doeljaar,Sel_Doeljaar,L_Versiejaar,P_VJ,L_Versie,G$8,L_Kengetal,"Omzet FY"))/P_Factor,IF(COUNTIFS(L_Actief,1,L_WBS,$A44,L_Doeljaar,Sel_Doeljaar,L_Versiejaar,P_VJ,L_Versie,G$8,L_Kengetal,"Omzet FY")=0,"n.b.",SUMIFS(L_Waarde,L_Actief,1,L_WBS,$A44,L_Doeljaar,Sel_Doeljaar,L_Versiejaar,P_VJ,L_Versie,G$8,L_Kengetal,"Omzet FY"))))</f>
        <v/>
      </c>
      <c r="H44" s="41" t="str">
        <f>IF($A44="","",IF(ISNUMBER(IF(COUNTIFS(L_Actief,1,L_WBS,$A44,L_Doeljaar,Sel_Doeljaar,L_Versiejaar,P_VJ,L_Versie,H$8,L_Kengetal,"Omzet FY")=0,"n.b.",SUMIFS(L_Waarde,L_Actief,1,L_WBS,$A44,L_Doeljaar,Sel_Doeljaar,L_Versiejaar,P_VJ,L_Versie,H$8,L_Kengetal,"Omzet FY"))),IF(COUNTIFS(L_Actief,1,L_WBS,$A44,L_Doeljaar,Sel_Doeljaar,L_Versiejaar,P_VJ,L_Versie,H$8,L_Kengetal,"Omzet FY")=0,"n.b.",SUMIFS(L_Waarde,L_Actief,1,L_WBS,$A44,L_Doeljaar,Sel_Doeljaar,L_Versiejaar,P_VJ,L_Versie,H$8,L_Kengetal,"Omzet FY"))/P_Factor,IF(COUNTIFS(L_Actief,1,L_WBS,$A44,L_Doeljaar,Sel_Doeljaar,L_Versiejaar,P_VJ,L_Versie,H$8,L_Kengetal,"Omzet FY")=0,"n.b.",SUMIFS(L_Waarde,L_Actief,1,L_WBS,$A44,L_Doeljaar,Sel_Doeljaar,L_Versiejaar,P_VJ,L_Versie,H$8,L_Kengetal,"Omzet FY"))))</f>
        <v/>
      </c>
      <c r="I44" s="41" t="str">
        <f>IF($A44="","",IF(ISNUMBER(IF(COUNTIFS(L_Actief,1,L_WBS,$A44,L_Doeljaar,Sel_Doeljaar,L_Versiejaar,P_VJ,L_Versie,I$8,L_Kengetal,"Omzet FY")=0,"n.b.",SUMIFS(L_Waarde,L_Actief,1,L_WBS,$A44,L_Doeljaar,Sel_Doeljaar,L_Versiejaar,P_VJ,L_Versie,I$8,L_Kengetal,"Omzet FY"))),IF(COUNTIFS(L_Actief,1,L_WBS,$A44,L_Doeljaar,Sel_Doeljaar,L_Versiejaar,P_VJ,L_Versie,I$8,L_Kengetal,"Omzet FY")=0,"n.b.",SUMIFS(L_Waarde,L_Actief,1,L_WBS,$A44,L_Doeljaar,Sel_Doeljaar,L_Versiejaar,P_VJ,L_Versie,I$8,L_Kengetal,"Omzet FY"))/P_Factor,IF(COUNTIFS(L_Actief,1,L_WBS,$A44,L_Doeljaar,Sel_Doeljaar,L_Versiejaar,P_VJ,L_Versie,I$8,L_Kengetal,"Omzet FY")=0,"n.b.",SUMIFS(L_Waarde,L_Actief,1,L_WBS,$A44,L_Doeljaar,Sel_Doeljaar,L_Versiejaar,P_VJ,L_Versie,I$8,L_Kengetal,"Omzet FY"))))</f>
        <v/>
      </c>
      <c r="J44" s="41" t="str">
        <f>IF($A44="","",IF(ISNUMBER(IF(Sel_Doeljaar=P_RJ,VERW_Project!$P40,IF(Sel_Doeljaar=P_RJ+1,VERW_Project!$R40,"n.b."))),IF(Sel_Doeljaar=P_RJ,VERW_Project!$P40,IF(Sel_Doeljaar=P_RJ+1,VERW_Project!$R40,"n.b."))/P_Factor,IF(Sel_Doeljaar=P_RJ,VERW_Project!$P40,IF(Sel_Doeljaar=P_RJ+1,VERW_Project!$R40,"n.b."))))</f>
        <v/>
      </c>
      <c r="K44" s="41" t="str">
        <f>IF($A44="","",IF(Sel_Bron="Vastgesteld",INDEX($E44:$I44,MATCH(Sel_Versie,$E$8:$I$8,0)),IF(Sel_Bron="Concept",J44,"n.b.")))</f>
        <v/>
      </c>
      <c r="L44" s="62" t="str">
        <f>IF($A44="","",IF(Sel_Doeljaar&gt;P_VJ,"n.v.t.",IF(Sel_Bron="Vastgesteld",IF(ISNUMBER(IF(COUNTIFS(L_Actief,1,L_WBS,$A44,L_Doeljaar,Sel_Doeljaar,L_Versiejaar,P_VJ,L_Versie,Sel_Versie,L_Kengetal,"Omzet actual YTD")=0,"n.b.",SUMIFS(L_Waarde,L_Actief,1,L_WBS,$A44,L_Doeljaar,Sel_Doeljaar,L_Versiejaar,P_VJ,L_Versie,Sel_Versie,L_Kengetal,"Omzet actual YTD"))),IF(COUNTIFS(L_Actief,1,L_WBS,$A44,L_Doeljaar,Sel_Doeljaar,L_Versiejaar,P_VJ,L_Versie,Sel_Versie,L_Kengetal,"Omzet actual YTD")=0,"n.b.",SUMIFS(L_Waarde,L_Actief,1,L_WBS,$A44,L_Doeljaar,Sel_Doeljaar,L_Versiejaar,P_VJ,L_Versie,Sel_Versie,L_Kengetal,"Omzet actual YTD"))/P_Factor,IF(COUNTIFS(L_Actief,1,L_WBS,$A44,L_Doeljaar,Sel_Doeljaar,L_Versiejaar,P_VJ,L_Versie,Sel_Versie,L_Kengetal,"Omzet actual YTD")=0,"n.b.",SUMIFS(L_Waarde,L_Actief,1,L_WBS,$A44,L_Doeljaar,Sel_Doeljaar,L_Versiejaar,P_VJ,L_Versie,Sel_Versie,L_Kengetal,"Omzet actual YTD"))),IF(Sel_Bron="Concept",IF(ISNUMBER(IF(Sel_Doeljaar=P_RJ,VERW_Project!$L40,"n.v.t.")),IF(Sel_Doeljaar=P_RJ,VERW_Project!$L40,"n.v.t.")/P_Factor,IF(Sel_Doeljaar=P_RJ,VERW_Project!$L40,"n.v.t.")),"n.b."))))</f>
        <v/>
      </c>
      <c r="M44" s="41" t="str">
        <f>IF($A44="","",IF(L44="n.v.t.",K44,IF(AND(ISNUMBER(K44),ISNUMBER(L44)),K44-L44,"n.b.")))</f>
        <v/>
      </c>
      <c r="N44" s="41" t="str">
        <f>IF($A44="","",IF(Sel_Bron="Vastgesteld",IF(ISNUMBER(IF(COUNTIFS(L_Actief,1,L_WBS,$A44,L_Doeljaar,Sel_Doeljaar,L_Versiejaar,P_VJ,L_Versie,Sel_Versie,L_Kengetal,"BOR FY")=0,"n.b.",SUMIFS(L_Waarde,L_Actief,1,L_WBS,$A44,L_Doeljaar,Sel_Doeljaar,L_Versiejaar,P_VJ,L_Versie,Sel_Versie,L_Kengetal,"BOR FY"))),IF(COUNTIFS(L_Actief,1,L_WBS,$A44,L_Doeljaar,Sel_Doeljaar,L_Versiejaar,P_VJ,L_Versie,Sel_Versie,L_Kengetal,"BOR FY")=0,"n.b.",SUMIFS(L_Waarde,L_Actief,1,L_WBS,$A44,L_Doeljaar,Sel_Doeljaar,L_Versiejaar,P_VJ,L_Versie,Sel_Versie,L_Kengetal,"BOR FY"))/P_Factor,IF(COUNTIFS(L_Actief,1,L_WBS,$A44,L_Doeljaar,Sel_Doeljaar,L_Versiejaar,P_VJ,L_Versie,Sel_Versie,L_Kengetal,"BOR FY")=0,"n.b.",SUMIFS(L_Waarde,L_Actief,1,L_WBS,$A44,L_Doeljaar,Sel_Doeljaar,L_Versiejaar,P_VJ,L_Versie,Sel_Versie,L_Kengetal,"BOR FY"))),IF(Sel_Bron="Concept",IF(ISNUMBER(IF(Sel_Doeljaar=P_RJ,VERW_Project!$Q40,IF(Sel_Doeljaar=P_RJ+1,VERW_Project!$S40,"n.b."))),IF(Sel_Doeljaar=P_RJ,VERW_Project!$Q40,IF(Sel_Doeljaar=P_RJ+1,VERW_Project!$S40,"n.b."))/P_Factor,IF(Sel_Doeljaar=P_RJ,VERW_Project!$Q40,IF(Sel_Doeljaar=P_RJ+1,VERW_Project!$S40,"n.b."))),"n.b.")))</f>
        <v/>
      </c>
      <c r="O44" s="63" t="str">
        <f>IF($A44="","",IF(AND(ISNUMBER(N44),ISNUMBER(K44)),IF(K44&lt;&gt;0,N44/K44,"n.b."),"n.b."))</f>
        <v/>
      </c>
      <c r="P44" s="41" t="str">
        <f>IF($A44="","",IF(AND(ISNUMBER(K44),ISNUMBER(E44)),K44-E44,"n.b."))</f>
        <v/>
      </c>
      <c r="Q44" s="41" t="str">
        <f>IF($A44="","",IF(AND(ISNUMBER(K44),ISNUMBER(W44)),K44-W44,"n.b."))</f>
        <v/>
      </c>
      <c r="R44" s="64" t="str">
        <f>IF($A44="","",IF(ISNUMBER(N44),IF(N44&lt;0,"Verlies",""),""))</f>
        <v/>
      </c>
      <c r="S44" s="61" t="str">
        <f>IF($A44="","",IFERROR(INDEX(T_Txt,MATCH($A44&amp;"|"&amp;Sel_Doeljaar&amp;"|"&amp;P_VJ&amp;"|"&amp;Sel_Versie,T_Key,0)),""))</f>
        <v/>
      </c>
      <c r="U44" s="15" t="str">
        <f>IF(AND(AND($A44&lt;&gt;"",OR(Sel_Type="Alle",$C44=Sel_Type),OR(Sel_Project="Alle",$B44=Sel_Project)),ISNUMBER(K44)),K44+ROW()/1000000000,"")</f>
        <v/>
      </c>
      <c r="V44" s="15" t="str">
        <f>IF(AND(AND($A44&lt;&gt;"",OR(Sel_Type="Alle",$C44=Sel_Type),OR(Sel_Project="Alle",$B44=Sel_Project)),ISNUMBER(Q44)),ABS(Q44)+ROW()/1000000000,"")</f>
        <v/>
      </c>
      <c r="W44" s="15" t="str">
        <f>IF(OR($A44="",Sel_Prev=""),"n.b.",IF(ISNUMBER(IF(COUNTIFS(L_Actief,1,L_WBS,$A44,L_Doeljaar,Sel_Doeljaar,L_Versiejaar,P_VJ,L_Versie,Sel_Prev,L_Kengetal,"Omzet FY")=0,"n.b.",SUMIFS(L_Waarde,L_Actief,1,L_WBS,$A44,L_Doeljaar,Sel_Doeljaar,L_Versiejaar,P_VJ,L_Versie,Sel_Prev,L_Kengetal,"Omzet FY"))),IF(COUNTIFS(L_Actief,1,L_WBS,$A44,L_Doeljaar,Sel_Doeljaar,L_Versiejaar,P_VJ,L_Versie,Sel_Prev,L_Kengetal,"Omzet FY")=0,"n.b.",SUMIFS(L_Waarde,L_Actief,1,L_WBS,$A44,L_Doeljaar,Sel_Doeljaar,L_Versiejaar,P_VJ,L_Versie,Sel_Prev,L_Kengetal,"Omzet FY"))/P_Factor,IF(COUNTIFS(L_Actief,1,L_WBS,$A44,L_Doeljaar,Sel_Doeljaar,L_Versiejaar,P_VJ,L_Versie,Sel_Prev,L_Kengetal,"Omzet FY")=0,"n.b.",SUMIFS(L_Waarde,L_Actief,1,L_WBS,$A44,L_Doeljaar,Sel_Doeljaar,L_Versiejaar,P_VJ,L_Versie,Sel_Prev,L_Kengetal,"Omzet FY"))))</f>
        <v>n.b.</v>
      </c>
    </row>
    <row r="45">
      <c r="A45" s="61" t="str">
        <f>IF(VERW_Project!$A41="","",VERW_Project!$A41)</f>
        <v/>
      </c>
      <c r="B45" s="61" t="str">
        <f>IF($A45="","",VERW_Project!$C41)</f>
        <v/>
      </c>
      <c r="C45" s="61" t="str">
        <f>IF($A45="","",VERW_Project!$D41)</f>
        <v/>
      </c>
      <c r="D45" s="61" t="str">
        <f>IF($A45="","",VERW_Project!$I41)</f>
        <v/>
      </c>
      <c r="E45" s="41" t="str">
        <f>IF($A45="","",IF(ISNUMBER(IF(COUNTIFS(L_Actief,1,L_WBS,$A45,L_Doeljaar,Sel_Doeljaar,L_Versiejaar,P_VJ,L_Versie,E$8,L_Kengetal,"Omzet FY")=0,"n.b.",SUMIFS(L_Waarde,L_Actief,1,L_WBS,$A45,L_Doeljaar,Sel_Doeljaar,L_Versiejaar,P_VJ,L_Versie,E$8,L_Kengetal,"Omzet FY"))),IF(COUNTIFS(L_Actief,1,L_WBS,$A45,L_Doeljaar,Sel_Doeljaar,L_Versiejaar,P_VJ,L_Versie,E$8,L_Kengetal,"Omzet FY")=0,"n.b.",SUMIFS(L_Waarde,L_Actief,1,L_WBS,$A45,L_Doeljaar,Sel_Doeljaar,L_Versiejaar,P_VJ,L_Versie,E$8,L_Kengetal,"Omzet FY"))/P_Factor,IF(COUNTIFS(L_Actief,1,L_WBS,$A45,L_Doeljaar,Sel_Doeljaar,L_Versiejaar,P_VJ,L_Versie,E$8,L_Kengetal,"Omzet FY")=0,"n.b.",SUMIFS(L_Waarde,L_Actief,1,L_WBS,$A45,L_Doeljaar,Sel_Doeljaar,L_Versiejaar,P_VJ,L_Versie,E$8,L_Kengetal,"Omzet FY"))))</f>
        <v/>
      </c>
      <c r="F45" s="41" t="str">
        <f>IF($A45="","",IF(ISNUMBER(IF(COUNTIFS(L_Actief,1,L_WBS,$A45,L_Doeljaar,Sel_Doeljaar,L_Versiejaar,P_VJ,L_Versie,F$8,L_Kengetal,"Omzet FY")=0,"n.b.",SUMIFS(L_Waarde,L_Actief,1,L_WBS,$A45,L_Doeljaar,Sel_Doeljaar,L_Versiejaar,P_VJ,L_Versie,F$8,L_Kengetal,"Omzet FY"))),IF(COUNTIFS(L_Actief,1,L_WBS,$A45,L_Doeljaar,Sel_Doeljaar,L_Versiejaar,P_VJ,L_Versie,F$8,L_Kengetal,"Omzet FY")=0,"n.b.",SUMIFS(L_Waarde,L_Actief,1,L_WBS,$A45,L_Doeljaar,Sel_Doeljaar,L_Versiejaar,P_VJ,L_Versie,F$8,L_Kengetal,"Omzet FY"))/P_Factor,IF(COUNTIFS(L_Actief,1,L_WBS,$A45,L_Doeljaar,Sel_Doeljaar,L_Versiejaar,P_VJ,L_Versie,F$8,L_Kengetal,"Omzet FY")=0,"n.b.",SUMIFS(L_Waarde,L_Actief,1,L_WBS,$A45,L_Doeljaar,Sel_Doeljaar,L_Versiejaar,P_VJ,L_Versie,F$8,L_Kengetal,"Omzet FY"))))</f>
        <v/>
      </c>
      <c r="G45" s="41" t="str">
        <f>IF($A45="","",IF(ISNUMBER(IF(COUNTIFS(L_Actief,1,L_WBS,$A45,L_Doeljaar,Sel_Doeljaar,L_Versiejaar,P_VJ,L_Versie,G$8,L_Kengetal,"Omzet FY")=0,"n.b.",SUMIFS(L_Waarde,L_Actief,1,L_WBS,$A45,L_Doeljaar,Sel_Doeljaar,L_Versiejaar,P_VJ,L_Versie,G$8,L_Kengetal,"Omzet FY"))),IF(COUNTIFS(L_Actief,1,L_WBS,$A45,L_Doeljaar,Sel_Doeljaar,L_Versiejaar,P_VJ,L_Versie,G$8,L_Kengetal,"Omzet FY")=0,"n.b.",SUMIFS(L_Waarde,L_Actief,1,L_WBS,$A45,L_Doeljaar,Sel_Doeljaar,L_Versiejaar,P_VJ,L_Versie,G$8,L_Kengetal,"Omzet FY"))/P_Factor,IF(COUNTIFS(L_Actief,1,L_WBS,$A45,L_Doeljaar,Sel_Doeljaar,L_Versiejaar,P_VJ,L_Versie,G$8,L_Kengetal,"Omzet FY")=0,"n.b.",SUMIFS(L_Waarde,L_Actief,1,L_WBS,$A45,L_Doeljaar,Sel_Doeljaar,L_Versiejaar,P_VJ,L_Versie,G$8,L_Kengetal,"Omzet FY"))))</f>
        <v/>
      </c>
      <c r="H45" s="41" t="str">
        <f>IF($A45="","",IF(ISNUMBER(IF(COUNTIFS(L_Actief,1,L_WBS,$A45,L_Doeljaar,Sel_Doeljaar,L_Versiejaar,P_VJ,L_Versie,H$8,L_Kengetal,"Omzet FY")=0,"n.b.",SUMIFS(L_Waarde,L_Actief,1,L_WBS,$A45,L_Doeljaar,Sel_Doeljaar,L_Versiejaar,P_VJ,L_Versie,H$8,L_Kengetal,"Omzet FY"))),IF(COUNTIFS(L_Actief,1,L_WBS,$A45,L_Doeljaar,Sel_Doeljaar,L_Versiejaar,P_VJ,L_Versie,H$8,L_Kengetal,"Omzet FY")=0,"n.b.",SUMIFS(L_Waarde,L_Actief,1,L_WBS,$A45,L_Doeljaar,Sel_Doeljaar,L_Versiejaar,P_VJ,L_Versie,H$8,L_Kengetal,"Omzet FY"))/P_Factor,IF(COUNTIFS(L_Actief,1,L_WBS,$A45,L_Doeljaar,Sel_Doeljaar,L_Versiejaar,P_VJ,L_Versie,H$8,L_Kengetal,"Omzet FY")=0,"n.b.",SUMIFS(L_Waarde,L_Actief,1,L_WBS,$A45,L_Doeljaar,Sel_Doeljaar,L_Versiejaar,P_VJ,L_Versie,H$8,L_Kengetal,"Omzet FY"))))</f>
        <v/>
      </c>
      <c r="I45" s="41" t="str">
        <f>IF($A45="","",IF(ISNUMBER(IF(COUNTIFS(L_Actief,1,L_WBS,$A45,L_Doeljaar,Sel_Doeljaar,L_Versiejaar,P_VJ,L_Versie,I$8,L_Kengetal,"Omzet FY")=0,"n.b.",SUMIFS(L_Waarde,L_Actief,1,L_WBS,$A45,L_Doeljaar,Sel_Doeljaar,L_Versiejaar,P_VJ,L_Versie,I$8,L_Kengetal,"Omzet FY"))),IF(COUNTIFS(L_Actief,1,L_WBS,$A45,L_Doeljaar,Sel_Doeljaar,L_Versiejaar,P_VJ,L_Versie,I$8,L_Kengetal,"Omzet FY")=0,"n.b.",SUMIFS(L_Waarde,L_Actief,1,L_WBS,$A45,L_Doeljaar,Sel_Doeljaar,L_Versiejaar,P_VJ,L_Versie,I$8,L_Kengetal,"Omzet FY"))/P_Factor,IF(COUNTIFS(L_Actief,1,L_WBS,$A45,L_Doeljaar,Sel_Doeljaar,L_Versiejaar,P_VJ,L_Versie,I$8,L_Kengetal,"Omzet FY")=0,"n.b.",SUMIFS(L_Waarde,L_Actief,1,L_WBS,$A45,L_Doeljaar,Sel_Doeljaar,L_Versiejaar,P_VJ,L_Versie,I$8,L_Kengetal,"Omzet FY"))))</f>
        <v/>
      </c>
      <c r="J45" s="41" t="str">
        <f>IF($A45="","",IF(ISNUMBER(IF(Sel_Doeljaar=P_RJ,VERW_Project!$P41,IF(Sel_Doeljaar=P_RJ+1,VERW_Project!$R41,"n.b."))),IF(Sel_Doeljaar=P_RJ,VERW_Project!$P41,IF(Sel_Doeljaar=P_RJ+1,VERW_Project!$R41,"n.b."))/P_Factor,IF(Sel_Doeljaar=P_RJ,VERW_Project!$P41,IF(Sel_Doeljaar=P_RJ+1,VERW_Project!$R41,"n.b."))))</f>
        <v/>
      </c>
      <c r="K45" s="41" t="str">
        <f>IF($A45="","",IF(Sel_Bron="Vastgesteld",INDEX($E45:$I45,MATCH(Sel_Versie,$E$8:$I$8,0)),IF(Sel_Bron="Concept",J45,"n.b.")))</f>
        <v/>
      </c>
      <c r="L45" s="62" t="str">
        <f>IF($A45="","",IF(Sel_Doeljaar&gt;P_VJ,"n.v.t.",IF(Sel_Bron="Vastgesteld",IF(ISNUMBER(IF(COUNTIFS(L_Actief,1,L_WBS,$A45,L_Doeljaar,Sel_Doeljaar,L_Versiejaar,P_VJ,L_Versie,Sel_Versie,L_Kengetal,"Omzet actual YTD")=0,"n.b.",SUMIFS(L_Waarde,L_Actief,1,L_WBS,$A45,L_Doeljaar,Sel_Doeljaar,L_Versiejaar,P_VJ,L_Versie,Sel_Versie,L_Kengetal,"Omzet actual YTD"))),IF(COUNTIFS(L_Actief,1,L_WBS,$A45,L_Doeljaar,Sel_Doeljaar,L_Versiejaar,P_VJ,L_Versie,Sel_Versie,L_Kengetal,"Omzet actual YTD")=0,"n.b.",SUMIFS(L_Waarde,L_Actief,1,L_WBS,$A45,L_Doeljaar,Sel_Doeljaar,L_Versiejaar,P_VJ,L_Versie,Sel_Versie,L_Kengetal,"Omzet actual YTD"))/P_Factor,IF(COUNTIFS(L_Actief,1,L_WBS,$A45,L_Doeljaar,Sel_Doeljaar,L_Versiejaar,P_VJ,L_Versie,Sel_Versie,L_Kengetal,"Omzet actual YTD")=0,"n.b.",SUMIFS(L_Waarde,L_Actief,1,L_WBS,$A45,L_Doeljaar,Sel_Doeljaar,L_Versiejaar,P_VJ,L_Versie,Sel_Versie,L_Kengetal,"Omzet actual YTD"))),IF(Sel_Bron="Concept",IF(ISNUMBER(IF(Sel_Doeljaar=P_RJ,VERW_Project!$L41,"n.v.t.")),IF(Sel_Doeljaar=P_RJ,VERW_Project!$L41,"n.v.t.")/P_Factor,IF(Sel_Doeljaar=P_RJ,VERW_Project!$L41,"n.v.t.")),"n.b."))))</f>
        <v/>
      </c>
      <c r="M45" s="41" t="str">
        <f>IF($A45="","",IF(L45="n.v.t.",K45,IF(AND(ISNUMBER(K45),ISNUMBER(L45)),K45-L45,"n.b.")))</f>
        <v/>
      </c>
      <c r="N45" s="41" t="str">
        <f>IF($A45="","",IF(Sel_Bron="Vastgesteld",IF(ISNUMBER(IF(COUNTIFS(L_Actief,1,L_WBS,$A45,L_Doeljaar,Sel_Doeljaar,L_Versiejaar,P_VJ,L_Versie,Sel_Versie,L_Kengetal,"BOR FY")=0,"n.b.",SUMIFS(L_Waarde,L_Actief,1,L_WBS,$A45,L_Doeljaar,Sel_Doeljaar,L_Versiejaar,P_VJ,L_Versie,Sel_Versie,L_Kengetal,"BOR FY"))),IF(COUNTIFS(L_Actief,1,L_WBS,$A45,L_Doeljaar,Sel_Doeljaar,L_Versiejaar,P_VJ,L_Versie,Sel_Versie,L_Kengetal,"BOR FY")=0,"n.b.",SUMIFS(L_Waarde,L_Actief,1,L_WBS,$A45,L_Doeljaar,Sel_Doeljaar,L_Versiejaar,P_VJ,L_Versie,Sel_Versie,L_Kengetal,"BOR FY"))/P_Factor,IF(COUNTIFS(L_Actief,1,L_WBS,$A45,L_Doeljaar,Sel_Doeljaar,L_Versiejaar,P_VJ,L_Versie,Sel_Versie,L_Kengetal,"BOR FY")=0,"n.b.",SUMIFS(L_Waarde,L_Actief,1,L_WBS,$A45,L_Doeljaar,Sel_Doeljaar,L_Versiejaar,P_VJ,L_Versie,Sel_Versie,L_Kengetal,"BOR FY"))),IF(Sel_Bron="Concept",IF(ISNUMBER(IF(Sel_Doeljaar=P_RJ,VERW_Project!$Q41,IF(Sel_Doeljaar=P_RJ+1,VERW_Project!$S41,"n.b."))),IF(Sel_Doeljaar=P_RJ,VERW_Project!$Q41,IF(Sel_Doeljaar=P_RJ+1,VERW_Project!$S41,"n.b."))/P_Factor,IF(Sel_Doeljaar=P_RJ,VERW_Project!$Q41,IF(Sel_Doeljaar=P_RJ+1,VERW_Project!$S41,"n.b."))),"n.b.")))</f>
        <v/>
      </c>
      <c r="O45" s="63" t="str">
        <f>IF($A45="","",IF(AND(ISNUMBER(N45),ISNUMBER(K45)),IF(K45&lt;&gt;0,N45/K45,"n.b."),"n.b."))</f>
        <v/>
      </c>
      <c r="P45" s="41" t="str">
        <f>IF($A45="","",IF(AND(ISNUMBER(K45),ISNUMBER(E45)),K45-E45,"n.b."))</f>
        <v/>
      </c>
      <c r="Q45" s="41" t="str">
        <f>IF($A45="","",IF(AND(ISNUMBER(K45),ISNUMBER(W45)),K45-W45,"n.b."))</f>
        <v/>
      </c>
      <c r="R45" s="64" t="str">
        <f>IF($A45="","",IF(ISNUMBER(N45),IF(N45&lt;0,"Verlies",""),""))</f>
        <v/>
      </c>
      <c r="S45" s="61" t="str">
        <f>IF($A45="","",IFERROR(INDEX(T_Txt,MATCH($A45&amp;"|"&amp;Sel_Doeljaar&amp;"|"&amp;P_VJ&amp;"|"&amp;Sel_Versie,T_Key,0)),""))</f>
        <v/>
      </c>
      <c r="U45" s="15" t="str">
        <f>IF(AND(AND($A45&lt;&gt;"",OR(Sel_Type="Alle",$C45=Sel_Type),OR(Sel_Project="Alle",$B45=Sel_Project)),ISNUMBER(K45)),K45+ROW()/1000000000,"")</f>
        <v/>
      </c>
      <c r="V45" s="15" t="str">
        <f>IF(AND(AND($A45&lt;&gt;"",OR(Sel_Type="Alle",$C45=Sel_Type),OR(Sel_Project="Alle",$B45=Sel_Project)),ISNUMBER(Q45)),ABS(Q45)+ROW()/1000000000,"")</f>
        <v/>
      </c>
      <c r="W45" s="15" t="str">
        <f>IF(OR($A45="",Sel_Prev=""),"n.b.",IF(ISNUMBER(IF(COUNTIFS(L_Actief,1,L_WBS,$A45,L_Doeljaar,Sel_Doeljaar,L_Versiejaar,P_VJ,L_Versie,Sel_Prev,L_Kengetal,"Omzet FY")=0,"n.b.",SUMIFS(L_Waarde,L_Actief,1,L_WBS,$A45,L_Doeljaar,Sel_Doeljaar,L_Versiejaar,P_VJ,L_Versie,Sel_Prev,L_Kengetal,"Omzet FY"))),IF(COUNTIFS(L_Actief,1,L_WBS,$A45,L_Doeljaar,Sel_Doeljaar,L_Versiejaar,P_VJ,L_Versie,Sel_Prev,L_Kengetal,"Omzet FY")=0,"n.b.",SUMIFS(L_Waarde,L_Actief,1,L_WBS,$A45,L_Doeljaar,Sel_Doeljaar,L_Versiejaar,P_VJ,L_Versie,Sel_Prev,L_Kengetal,"Omzet FY"))/P_Factor,IF(COUNTIFS(L_Actief,1,L_WBS,$A45,L_Doeljaar,Sel_Doeljaar,L_Versiejaar,P_VJ,L_Versie,Sel_Prev,L_Kengetal,"Omzet FY")=0,"n.b.",SUMIFS(L_Waarde,L_Actief,1,L_WBS,$A45,L_Doeljaar,Sel_Doeljaar,L_Versiejaar,P_VJ,L_Versie,Sel_Prev,L_Kengetal,"Omzet FY"))))</f>
        <v>n.b.</v>
      </c>
    </row>
    <row r="46">
      <c r="A46" s="61" t="str">
        <f>IF(VERW_Project!$A42="","",VERW_Project!$A42)</f>
        <v/>
      </c>
      <c r="B46" s="61" t="str">
        <f>IF($A46="","",VERW_Project!$C42)</f>
        <v/>
      </c>
      <c r="C46" s="61" t="str">
        <f>IF($A46="","",VERW_Project!$D42)</f>
        <v/>
      </c>
      <c r="D46" s="61" t="str">
        <f>IF($A46="","",VERW_Project!$I42)</f>
        <v/>
      </c>
      <c r="E46" s="41" t="str">
        <f>IF($A46="","",IF(ISNUMBER(IF(COUNTIFS(L_Actief,1,L_WBS,$A46,L_Doeljaar,Sel_Doeljaar,L_Versiejaar,P_VJ,L_Versie,E$8,L_Kengetal,"Omzet FY")=0,"n.b.",SUMIFS(L_Waarde,L_Actief,1,L_WBS,$A46,L_Doeljaar,Sel_Doeljaar,L_Versiejaar,P_VJ,L_Versie,E$8,L_Kengetal,"Omzet FY"))),IF(COUNTIFS(L_Actief,1,L_WBS,$A46,L_Doeljaar,Sel_Doeljaar,L_Versiejaar,P_VJ,L_Versie,E$8,L_Kengetal,"Omzet FY")=0,"n.b.",SUMIFS(L_Waarde,L_Actief,1,L_WBS,$A46,L_Doeljaar,Sel_Doeljaar,L_Versiejaar,P_VJ,L_Versie,E$8,L_Kengetal,"Omzet FY"))/P_Factor,IF(COUNTIFS(L_Actief,1,L_WBS,$A46,L_Doeljaar,Sel_Doeljaar,L_Versiejaar,P_VJ,L_Versie,E$8,L_Kengetal,"Omzet FY")=0,"n.b.",SUMIFS(L_Waarde,L_Actief,1,L_WBS,$A46,L_Doeljaar,Sel_Doeljaar,L_Versiejaar,P_VJ,L_Versie,E$8,L_Kengetal,"Omzet FY"))))</f>
        <v/>
      </c>
      <c r="F46" s="41" t="str">
        <f>IF($A46="","",IF(ISNUMBER(IF(COUNTIFS(L_Actief,1,L_WBS,$A46,L_Doeljaar,Sel_Doeljaar,L_Versiejaar,P_VJ,L_Versie,F$8,L_Kengetal,"Omzet FY")=0,"n.b.",SUMIFS(L_Waarde,L_Actief,1,L_WBS,$A46,L_Doeljaar,Sel_Doeljaar,L_Versiejaar,P_VJ,L_Versie,F$8,L_Kengetal,"Omzet FY"))),IF(COUNTIFS(L_Actief,1,L_WBS,$A46,L_Doeljaar,Sel_Doeljaar,L_Versiejaar,P_VJ,L_Versie,F$8,L_Kengetal,"Omzet FY")=0,"n.b.",SUMIFS(L_Waarde,L_Actief,1,L_WBS,$A46,L_Doeljaar,Sel_Doeljaar,L_Versiejaar,P_VJ,L_Versie,F$8,L_Kengetal,"Omzet FY"))/P_Factor,IF(COUNTIFS(L_Actief,1,L_WBS,$A46,L_Doeljaar,Sel_Doeljaar,L_Versiejaar,P_VJ,L_Versie,F$8,L_Kengetal,"Omzet FY")=0,"n.b.",SUMIFS(L_Waarde,L_Actief,1,L_WBS,$A46,L_Doeljaar,Sel_Doeljaar,L_Versiejaar,P_VJ,L_Versie,F$8,L_Kengetal,"Omzet FY"))))</f>
        <v/>
      </c>
      <c r="G46" s="41" t="str">
        <f>IF($A46="","",IF(ISNUMBER(IF(COUNTIFS(L_Actief,1,L_WBS,$A46,L_Doeljaar,Sel_Doeljaar,L_Versiejaar,P_VJ,L_Versie,G$8,L_Kengetal,"Omzet FY")=0,"n.b.",SUMIFS(L_Waarde,L_Actief,1,L_WBS,$A46,L_Doeljaar,Sel_Doeljaar,L_Versiejaar,P_VJ,L_Versie,G$8,L_Kengetal,"Omzet FY"))),IF(COUNTIFS(L_Actief,1,L_WBS,$A46,L_Doeljaar,Sel_Doeljaar,L_Versiejaar,P_VJ,L_Versie,G$8,L_Kengetal,"Omzet FY")=0,"n.b.",SUMIFS(L_Waarde,L_Actief,1,L_WBS,$A46,L_Doeljaar,Sel_Doeljaar,L_Versiejaar,P_VJ,L_Versie,G$8,L_Kengetal,"Omzet FY"))/P_Factor,IF(COUNTIFS(L_Actief,1,L_WBS,$A46,L_Doeljaar,Sel_Doeljaar,L_Versiejaar,P_VJ,L_Versie,G$8,L_Kengetal,"Omzet FY")=0,"n.b.",SUMIFS(L_Waarde,L_Actief,1,L_WBS,$A46,L_Doeljaar,Sel_Doeljaar,L_Versiejaar,P_VJ,L_Versie,G$8,L_Kengetal,"Omzet FY"))))</f>
        <v/>
      </c>
      <c r="H46" s="41" t="str">
        <f>IF($A46="","",IF(ISNUMBER(IF(COUNTIFS(L_Actief,1,L_WBS,$A46,L_Doeljaar,Sel_Doeljaar,L_Versiejaar,P_VJ,L_Versie,H$8,L_Kengetal,"Omzet FY")=0,"n.b.",SUMIFS(L_Waarde,L_Actief,1,L_WBS,$A46,L_Doeljaar,Sel_Doeljaar,L_Versiejaar,P_VJ,L_Versie,H$8,L_Kengetal,"Omzet FY"))),IF(COUNTIFS(L_Actief,1,L_WBS,$A46,L_Doeljaar,Sel_Doeljaar,L_Versiejaar,P_VJ,L_Versie,H$8,L_Kengetal,"Omzet FY")=0,"n.b.",SUMIFS(L_Waarde,L_Actief,1,L_WBS,$A46,L_Doeljaar,Sel_Doeljaar,L_Versiejaar,P_VJ,L_Versie,H$8,L_Kengetal,"Omzet FY"))/P_Factor,IF(COUNTIFS(L_Actief,1,L_WBS,$A46,L_Doeljaar,Sel_Doeljaar,L_Versiejaar,P_VJ,L_Versie,H$8,L_Kengetal,"Omzet FY")=0,"n.b.",SUMIFS(L_Waarde,L_Actief,1,L_WBS,$A46,L_Doeljaar,Sel_Doeljaar,L_Versiejaar,P_VJ,L_Versie,H$8,L_Kengetal,"Omzet FY"))))</f>
        <v/>
      </c>
      <c r="I46" s="41" t="str">
        <f>IF($A46="","",IF(ISNUMBER(IF(COUNTIFS(L_Actief,1,L_WBS,$A46,L_Doeljaar,Sel_Doeljaar,L_Versiejaar,P_VJ,L_Versie,I$8,L_Kengetal,"Omzet FY")=0,"n.b.",SUMIFS(L_Waarde,L_Actief,1,L_WBS,$A46,L_Doeljaar,Sel_Doeljaar,L_Versiejaar,P_VJ,L_Versie,I$8,L_Kengetal,"Omzet FY"))),IF(COUNTIFS(L_Actief,1,L_WBS,$A46,L_Doeljaar,Sel_Doeljaar,L_Versiejaar,P_VJ,L_Versie,I$8,L_Kengetal,"Omzet FY")=0,"n.b.",SUMIFS(L_Waarde,L_Actief,1,L_WBS,$A46,L_Doeljaar,Sel_Doeljaar,L_Versiejaar,P_VJ,L_Versie,I$8,L_Kengetal,"Omzet FY"))/P_Factor,IF(COUNTIFS(L_Actief,1,L_WBS,$A46,L_Doeljaar,Sel_Doeljaar,L_Versiejaar,P_VJ,L_Versie,I$8,L_Kengetal,"Omzet FY")=0,"n.b.",SUMIFS(L_Waarde,L_Actief,1,L_WBS,$A46,L_Doeljaar,Sel_Doeljaar,L_Versiejaar,P_VJ,L_Versie,I$8,L_Kengetal,"Omzet FY"))))</f>
        <v/>
      </c>
      <c r="J46" s="41" t="str">
        <f>IF($A46="","",IF(ISNUMBER(IF(Sel_Doeljaar=P_RJ,VERW_Project!$P42,IF(Sel_Doeljaar=P_RJ+1,VERW_Project!$R42,"n.b."))),IF(Sel_Doeljaar=P_RJ,VERW_Project!$P42,IF(Sel_Doeljaar=P_RJ+1,VERW_Project!$R42,"n.b."))/P_Factor,IF(Sel_Doeljaar=P_RJ,VERW_Project!$P42,IF(Sel_Doeljaar=P_RJ+1,VERW_Project!$R42,"n.b."))))</f>
        <v/>
      </c>
      <c r="K46" s="41" t="str">
        <f>IF($A46="","",IF(Sel_Bron="Vastgesteld",INDEX($E46:$I46,MATCH(Sel_Versie,$E$8:$I$8,0)),IF(Sel_Bron="Concept",J46,"n.b.")))</f>
        <v/>
      </c>
      <c r="L46" s="62" t="str">
        <f>IF($A46="","",IF(Sel_Doeljaar&gt;P_VJ,"n.v.t.",IF(Sel_Bron="Vastgesteld",IF(ISNUMBER(IF(COUNTIFS(L_Actief,1,L_WBS,$A46,L_Doeljaar,Sel_Doeljaar,L_Versiejaar,P_VJ,L_Versie,Sel_Versie,L_Kengetal,"Omzet actual YTD")=0,"n.b.",SUMIFS(L_Waarde,L_Actief,1,L_WBS,$A46,L_Doeljaar,Sel_Doeljaar,L_Versiejaar,P_VJ,L_Versie,Sel_Versie,L_Kengetal,"Omzet actual YTD"))),IF(COUNTIFS(L_Actief,1,L_WBS,$A46,L_Doeljaar,Sel_Doeljaar,L_Versiejaar,P_VJ,L_Versie,Sel_Versie,L_Kengetal,"Omzet actual YTD")=0,"n.b.",SUMIFS(L_Waarde,L_Actief,1,L_WBS,$A46,L_Doeljaar,Sel_Doeljaar,L_Versiejaar,P_VJ,L_Versie,Sel_Versie,L_Kengetal,"Omzet actual YTD"))/P_Factor,IF(COUNTIFS(L_Actief,1,L_WBS,$A46,L_Doeljaar,Sel_Doeljaar,L_Versiejaar,P_VJ,L_Versie,Sel_Versie,L_Kengetal,"Omzet actual YTD")=0,"n.b.",SUMIFS(L_Waarde,L_Actief,1,L_WBS,$A46,L_Doeljaar,Sel_Doeljaar,L_Versiejaar,P_VJ,L_Versie,Sel_Versie,L_Kengetal,"Omzet actual YTD"))),IF(Sel_Bron="Concept",IF(ISNUMBER(IF(Sel_Doeljaar=P_RJ,VERW_Project!$L42,"n.v.t.")),IF(Sel_Doeljaar=P_RJ,VERW_Project!$L42,"n.v.t.")/P_Factor,IF(Sel_Doeljaar=P_RJ,VERW_Project!$L42,"n.v.t.")),"n.b."))))</f>
        <v/>
      </c>
      <c r="M46" s="41" t="str">
        <f>IF($A46="","",IF(L46="n.v.t.",K46,IF(AND(ISNUMBER(K46),ISNUMBER(L46)),K46-L46,"n.b.")))</f>
        <v/>
      </c>
      <c r="N46" s="41" t="str">
        <f>IF($A46="","",IF(Sel_Bron="Vastgesteld",IF(ISNUMBER(IF(COUNTIFS(L_Actief,1,L_WBS,$A46,L_Doeljaar,Sel_Doeljaar,L_Versiejaar,P_VJ,L_Versie,Sel_Versie,L_Kengetal,"BOR FY")=0,"n.b.",SUMIFS(L_Waarde,L_Actief,1,L_WBS,$A46,L_Doeljaar,Sel_Doeljaar,L_Versiejaar,P_VJ,L_Versie,Sel_Versie,L_Kengetal,"BOR FY"))),IF(COUNTIFS(L_Actief,1,L_WBS,$A46,L_Doeljaar,Sel_Doeljaar,L_Versiejaar,P_VJ,L_Versie,Sel_Versie,L_Kengetal,"BOR FY")=0,"n.b.",SUMIFS(L_Waarde,L_Actief,1,L_WBS,$A46,L_Doeljaar,Sel_Doeljaar,L_Versiejaar,P_VJ,L_Versie,Sel_Versie,L_Kengetal,"BOR FY"))/P_Factor,IF(COUNTIFS(L_Actief,1,L_WBS,$A46,L_Doeljaar,Sel_Doeljaar,L_Versiejaar,P_VJ,L_Versie,Sel_Versie,L_Kengetal,"BOR FY")=0,"n.b.",SUMIFS(L_Waarde,L_Actief,1,L_WBS,$A46,L_Doeljaar,Sel_Doeljaar,L_Versiejaar,P_VJ,L_Versie,Sel_Versie,L_Kengetal,"BOR FY"))),IF(Sel_Bron="Concept",IF(ISNUMBER(IF(Sel_Doeljaar=P_RJ,VERW_Project!$Q42,IF(Sel_Doeljaar=P_RJ+1,VERW_Project!$S42,"n.b."))),IF(Sel_Doeljaar=P_RJ,VERW_Project!$Q42,IF(Sel_Doeljaar=P_RJ+1,VERW_Project!$S42,"n.b."))/P_Factor,IF(Sel_Doeljaar=P_RJ,VERW_Project!$Q42,IF(Sel_Doeljaar=P_RJ+1,VERW_Project!$S42,"n.b."))),"n.b.")))</f>
        <v/>
      </c>
      <c r="O46" s="63" t="str">
        <f>IF($A46="","",IF(AND(ISNUMBER(N46),ISNUMBER(K46)),IF(K46&lt;&gt;0,N46/K46,"n.b."),"n.b."))</f>
        <v/>
      </c>
      <c r="P46" s="41" t="str">
        <f>IF($A46="","",IF(AND(ISNUMBER(K46),ISNUMBER(E46)),K46-E46,"n.b."))</f>
        <v/>
      </c>
      <c r="Q46" s="41" t="str">
        <f>IF($A46="","",IF(AND(ISNUMBER(K46),ISNUMBER(W46)),K46-W46,"n.b."))</f>
        <v/>
      </c>
      <c r="R46" s="64" t="str">
        <f>IF($A46="","",IF(ISNUMBER(N46),IF(N46&lt;0,"Verlies",""),""))</f>
        <v/>
      </c>
      <c r="S46" s="61" t="str">
        <f>IF($A46="","",IFERROR(INDEX(T_Txt,MATCH($A46&amp;"|"&amp;Sel_Doeljaar&amp;"|"&amp;P_VJ&amp;"|"&amp;Sel_Versie,T_Key,0)),""))</f>
        <v/>
      </c>
      <c r="U46" s="15" t="str">
        <f>IF(AND(AND($A46&lt;&gt;"",OR(Sel_Type="Alle",$C46=Sel_Type),OR(Sel_Project="Alle",$B46=Sel_Project)),ISNUMBER(K46)),K46+ROW()/1000000000,"")</f>
        <v/>
      </c>
      <c r="V46" s="15" t="str">
        <f>IF(AND(AND($A46&lt;&gt;"",OR(Sel_Type="Alle",$C46=Sel_Type),OR(Sel_Project="Alle",$B46=Sel_Project)),ISNUMBER(Q46)),ABS(Q46)+ROW()/1000000000,"")</f>
        <v/>
      </c>
      <c r="W46" s="15" t="str">
        <f>IF(OR($A46="",Sel_Prev=""),"n.b.",IF(ISNUMBER(IF(COUNTIFS(L_Actief,1,L_WBS,$A46,L_Doeljaar,Sel_Doeljaar,L_Versiejaar,P_VJ,L_Versie,Sel_Prev,L_Kengetal,"Omzet FY")=0,"n.b.",SUMIFS(L_Waarde,L_Actief,1,L_WBS,$A46,L_Doeljaar,Sel_Doeljaar,L_Versiejaar,P_VJ,L_Versie,Sel_Prev,L_Kengetal,"Omzet FY"))),IF(COUNTIFS(L_Actief,1,L_WBS,$A46,L_Doeljaar,Sel_Doeljaar,L_Versiejaar,P_VJ,L_Versie,Sel_Prev,L_Kengetal,"Omzet FY")=0,"n.b.",SUMIFS(L_Waarde,L_Actief,1,L_WBS,$A46,L_Doeljaar,Sel_Doeljaar,L_Versiejaar,P_VJ,L_Versie,Sel_Prev,L_Kengetal,"Omzet FY"))/P_Factor,IF(COUNTIFS(L_Actief,1,L_WBS,$A46,L_Doeljaar,Sel_Doeljaar,L_Versiejaar,P_VJ,L_Versie,Sel_Prev,L_Kengetal,"Omzet FY")=0,"n.b.",SUMIFS(L_Waarde,L_Actief,1,L_WBS,$A46,L_Doeljaar,Sel_Doeljaar,L_Versiejaar,P_VJ,L_Versie,Sel_Prev,L_Kengetal,"Omzet FY"))))</f>
        <v>n.b.</v>
      </c>
    </row>
    <row r="47">
      <c r="A47" s="61" t="str">
        <f>IF(VERW_Project!$A43="","",VERW_Project!$A43)</f>
        <v/>
      </c>
      <c r="B47" s="61" t="str">
        <f>IF($A47="","",VERW_Project!$C43)</f>
        <v/>
      </c>
      <c r="C47" s="61" t="str">
        <f>IF($A47="","",VERW_Project!$D43)</f>
        <v/>
      </c>
      <c r="D47" s="61" t="str">
        <f>IF($A47="","",VERW_Project!$I43)</f>
        <v/>
      </c>
      <c r="E47" s="41" t="str">
        <f>IF($A47="","",IF(ISNUMBER(IF(COUNTIFS(L_Actief,1,L_WBS,$A47,L_Doeljaar,Sel_Doeljaar,L_Versiejaar,P_VJ,L_Versie,E$8,L_Kengetal,"Omzet FY")=0,"n.b.",SUMIFS(L_Waarde,L_Actief,1,L_WBS,$A47,L_Doeljaar,Sel_Doeljaar,L_Versiejaar,P_VJ,L_Versie,E$8,L_Kengetal,"Omzet FY"))),IF(COUNTIFS(L_Actief,1,L_WBS,$A47,L_Doeljaar,Sel_Doeljaar,L_Versiejaar,P_VJ,L_Versie,E$8,L_Kengetal,"Omzet FY")=0,"n.b.",SUMIFS(L_Waarde,L_Actief,1,L_WBS,$A47,L_Doeljaar,Sel_Doeljaar,L_Versiejaar,P_VJ,L_Versie,E$8,L_Kengetal,"Omzet FY"))/P_Factor,IF(COUNTIFS(L_Actief,1,L_WBS,$A47,L_Doeljaar,Sel_Doeljaar,L_Versiejaar,P_VJ,L_Versie,E$8,L_Kengetal,"Omzet FY")=0,"n.b.",SUMIFS(L_Waarde,L_Actief,1,L_WBS,$A47,L_Doeljaar,Sel_Doeljaar,L_Versiejaar,P_VJ,L_Versie,E$8,L_Kengetal,"Omzet FY"))))</f>
        <v/>
      </c>
      <c r="F47" s="41" t="str">
        <f>IF($A47="","",IF(ISNUMBER(IF(COUNTIFS(L_Actief,1,L_WBS,$A47,L_Doeljaar,Sel_Doeljaar,L_Versiejaar,P_VJ,L_Versie,F$8,L_Kengetal,"Omzet FY")=0,"n.b.",SUMIFS(L_Waarde,L_Actief,1,L_WBS,$A47,L_Doeljaar,Sel_Doeljaar,L_Versiejaar,P_VJ,L_Versie,F$8,L_Kengetal,"Omzet FY"))),IF(COUNTIFS(L_Actief,1,L_WBS,$A47,L_Doeljaar,Sel_Doeljaar,L_Versiejaar,P_VJ,L_Versie,F$8,L_Kengetal,"Omzet FY")=0,"n.b.",SUMIFS(L_Waarde,L_Actief,1,L_WBS,$A47,L_Doeljaar,Sel_Doeljaar,L_Versiejaar,P_VJ,L_Versie,F$8,L_Kengetal,"Omzet FY"))/P_Factor,IF(COUNTIFS(L_Actief,1,L_WBS,$A47,L_Doeljaar,Sel_Doeljaar,L_Versiejaar,P_VJ,L_Versie,F$8,L_Kengetal,"Omzet FY")=0,"n.b.",SUMIFS(L_Waarde,L_Actief,1,L_WBS,$A47,L_Doeljaar,Sel_Doeljaar,L_Versiejaar,P_VJ,L_Versie,F$8,L_Kengetal,"Omzet FY"))))</f>
        <v/>
      </c>
      <c r="G47" s="41" t="str">
        <f>IF($A47="","",IF(ISNUMBER(IF(COUNTIFS(L_Actief,1,L_WBS,$A47,L_Doeljaar,Sel_Doeljaar,L_Versiejaar,P_VJ,L_Versie,G$8,L_Kengetal,"Omzet FY")=0,"n.b.",SUMIFS(L_Waarde,L_Actief,1,L_WBS,$A47,L_Doeljaar,Sel_Doeljaar,L_Versiejaar,P_VJ,L_Versie,G$8,L_Kengetal,"Omzet FY"))),IF(COUNTIFS(L_Actief,1,L_WBS,$A47,L_Doeljaar,Sel_Doeljaar,L_Versiejaar,P_VJ,L_Versie,G$8,L_Kengetal,"Omzet FY")=0,"n.b.",SUMIFS(L_Waarde,L_Actief,1,L_WBS,$A47,L_Doeljaar,Sel_Doeljaar,L_Versiejaar,P_VJ,L_Versie,G$8,L_Kengetal,"Omzet FY"))/P_Factor,IF(COUNTIFS(L_Actief,1,L_WBS,$A47,L_Doeljaar,Sel_Doeljaar,L_Versiejaar,P_VJ,L_Versie,G$8,L_Kengetal,"Omzet FY")=0,"n.b.",SUMIFS(L_Waarde,L_Actief,1,L_WBS,$A47,L_Doeljaar,Sel_Doeljaar,L_Versiejaar,P_VJ,L_Versie,G$8,L_Kengetal,"Omzet FY"))))</f>
        <v/>
      </c>
      <c r="H47" s="41" t="str">
        <f>IF($A47="","",IF(ISNUMBER(IF(COUNTIFS(L_Actief,1,L_WBS,$A47,L_Doeljaar,Sel_Doeljaar,L_Versiejaar,P_VJ,L_Versie,H$8,L_Kengetal,"Omzet FY")=0,"n.b.",SUMIFS(L_Waarde,L_Actief,1,L_WBS,$A47,L_Doeljaar,Sel_Doeljaar,L_Versiejaar,P_VJ,L_Versie,H$8,L_Kengetal,"Omzet FY"))),IF(COUNTIFS(L_Actief,1,L_WBS,$A47,L_Doeljaar,Sel_Doeljaar,L_Versiejaar,P_VJ,L_Versie,H$8,L_Kengetal,"Omzet FY")=0,"n.b.",SUMIFS(L_Waarde,L_Actief,1,L_WBS,$A47,L_Doeljaar,Sel_Doeljaar,L_Versiejaar,P_VJ,L_Versie,H$8,L_Kengetal,"Omzet FY"))/P_Factor,IF(COUNTIFS(L_Actief,1,L_WBS,$A47,L_Doeljaar,Sel_Doeljaar,L_Versiejaar,P_VJ,L_Versie,H$8,L_Kengetal,"Omzet FY")=0,"n.b.",SUMIFS(L_Waarde,L_Actief,1,L_WBS,$A47,L_Doeljaar,Sel_Doeljaar,L_Versiejaar,P_VJ,L_Versie,H$8,L_Kengetal,"Omzet FY"))))</f>
        <v/>
      </c>
      <c r="I47" s="41" t="str">
        <f>IF($A47="","",IF(ISNUMBER(IF(COUNTIFS(L_Actief,1,L_WBS,$A47,L_Doeljaar,Sel_Doeljaar,L_Versiejaar,P_VJ,L_Versie,I$8,L_Kengetal,"Omzet FY")=0,"n.b.",SUMIFS(L_Waarde,L_Actief,1,L_WBS,$A47,L_Doeljaar,Sel_Doeljaar,L_Versiejaar,P_VJ,L_Versie,I$8,L_Kengetal,"Omzet FY"))),IF(COUNTIFS(L_Actief,1,L_WBS,$A47,L_Doeljaar,Sel_Doeljaar,L_Versiejaar,P_VJ,L_Versie,I$8,L_Kengetal,"Omzet FY")=0,"n.b.",SUMIFS(L_Waarde,L_Actief,1,L_WBS,$A47,L_Doeljaar,Sel_Doeljaar,L_Versiejaar,P_VJ,L_Versie,I$8,L_Kengetal,"Omzet FY"))/P_Factor,IF(COUNTIFS(L_Actief,1,L_WBS,$A47,L_Doeljaar,Sel_Doeljaar,L_Versiejaar,P_VJ,L_Versie,I$8,L_Kengetal,"Omzet FY")=0,"n.b.",SUMIFS(L_Waarde,L_Actief,1,L_WBS,$A47,L_Doeljaar,Sel_Doeljaar,L_Versiejaar,P_VJ,L_Versie,I$8,L_Kengetal,"Omzet FY"))))</f>
        <v/>
      </c>
      <c r="J47" s="41" t="str">
        <f>IF($A47="","",IF(ISNUMBER(IF(Sel_Doeljaar=P_RJ,VERW_Project!$P43,IF(Sel_Doeljaar=P_RJ+1,VERW_Project!$R43,"n.b."))),IF(Sel_Doeljaar=P_RJ,VERW_Project!$P43,IF(Sel_Doeljaar=P_RJ+1,VERW_Project!$R43,"n.b."))/P_Factor,IF(Sel_Doeljaar=P_RJ,VERW_Project!$P43,IF(Sel_Doeljaar=P_RJ+1,VERW_Project!$R43,"n.b."))))</f>
        <v/>
      </c>
      <c r="K47" s="41" t="str">
        <f>IF($A47="","",IF(Sel_Bron="Vastgesteld",INDEX($E47:$I47,MATCH(Sel_Versie,$E$8:$I$8,0)),IF(Sel_Bron="Concept",J47,"n.b.")))</f>
        <v/>
      </c>
      <c r="L47" s="62" t="str">
        <f>IF($A47="","",IF(Sel_Doeljaar&gt;P_VJ,"n.v.t.",IF(Sel_Bron="Vastgesteld",IF(ISNUMBER(IF(COUNTIFS(L_Actief,1,L_WBS,$A47,L_Doeljaar,Sel_Doeljaar,L_Versiejaar,P_VJ,L_Versie,Sel_Versie,L_Kengetal,"Omzet actual YTD")=0,"n.b.",SUMIFS(L_Waarde,L_Actief,1,L_WBS,$A47,L_Doeljaar,Sel_Doeljaar,L_Versiejaar,P_VJ,L_Versie,Sel_Versie,L_Kengetal,"Omzet actual YTD"))),IF(COUNTIFS(L_Actief,1,L_WBS,$A47,L_Doeljaar,Sel_Doeljaar,L_Versiejaar,P_VJ,L_Versie,Sel_Versie,L_Kengetal,"Omzet actual YTD")=0,"n.b.",SUMIFS(L_Waarde,L_Actief,1,L_WBS,$A47,L_Doeljaar,Sel_Doeljaar,L_Versiejaar,P_VJ,L_Versie,Sel_Versie,L_Kengetal,"Omzet actual YTD"))/P_Factor,IF(COUNTIFS(L_Actief,1,L_WBS,$A47,L_Doeljaar,Sel_Doeljaar,L_Versiejaar,P_VJ,L_Versie,Sel_Versie,L_Kengetal,"Omzet actual YTD")=0,"n.b.",SUMIFS(L_Waarde,L_Actief,1,L_WBS,$A47,L_Doeljaar,Sel_Doeljaar,L_Versiejaar,P_VJ,L_Versie,Sel_Versie,L_Kengetal,"Omzet actual YTD"))),IF(Sel_Bron="Concept",IF(ISNUMBER(IF(Sel_Doeljaar=P_RJ,VERW_Project!$L43,"n.v.t.")),IF(Sel_Doeljaar=P_RJ,VERW_Project!$L43,"n.v.t.")/P_Factor,IF(Sel_Doeljaar=P_RJ,VERW_Project!$L43,"n.v.t.")),"n.b."))))</f>
        <v/>
      </c>
      <c r="M47" s="41" t="str">
        <f>IF($A47="","",IF(L47="n.v.t.",K47,IF(AND(ISNUMBER(K47),ISNUMBER(L47)),K47-L47,"n.b.")))</f>
        <v/>
      </c>
      <c r="N47" s="41" t="str">
        <f>IF($A47="","",IF(Sel_Bron="Vastgesteld",IF(ISNUMBER(IF(COUNTIFS(L_Actief,1,L_WBS,$A47,L_Doeljaar,Sel_Doeljaar,L_Versiejaar,P_VJ,L_Versie,Sel_Versie,L_Kengetal,"BOR FY")=0,"n.b.",SUMIFS(L_Waarde,L_Actief,1,L_WBS,$A47,L_Doeljaar,Sel_Doeljaar,L_Versiejaar,P_VJ,L_Versie,Sel_Versie,L_Kengetal,"BOR FY"))),IF(COUNTIFS(L_Actief,1,L_WBS,$A47,L_Doeljaar,Sel_Doeljaar,L_Versiejaar,P_VJ,L_Versie,Sel_Versie,L_Kengetal,"BOR FY")=0,"n.b.",SUMIFS(L_Waarde,L_Actief,1,L_WBS,$A47,L_Doeljaar,Sel_Doeljaar,L_Versiejaar,P_VJ,L_Versie,Sel_Versie,L_Kengetal,"BOR FY"))/P_Factor,IF(COUNTIFS(L_Actief,1,L_WBS,$A47,L_Doeljaar,Sel_Doeljaar,L_Versiejaar,P_VJ,L_Versie,Sel_Versie,L_Kengetal,"BOR FY")=0,"n.b.",SUMIFS(L_Waarde,L_Actief,1,L_WBS,$A47,L_Doeljaar,Sel_Doeljaar,L_Versiejaar,P_VJ,L_Versie,Sel_Versie,L_Kengetal,"BOR FY"))),IF(Sel_Bron="Concept",IF(ISNUMBER(IF(Sel_Doeljaar=P_RJ,VERW_Project!$Q43,IF(Sel_Doeljaar=P_RJ+1,VERW_Project!$S43,"n.b."))),IF(Sel_Doeljaar=P_RJ,VERW_Project!$Q43,IF(Sel_Doeljaar=P_RJ+1,VERW_Project!$S43,"n.b."))/P_Factor,IF(Sel_Doeljaar=P_RJ,VERW_Project!$Q43,IF(Sel_Doeljaar=P_RJ+1,VERW_Project!$S43,"n.b."))),"n.b.")))</f>
        <v/>
      </c>
      <c r="O47" s="63" t="str">
        <f>IF($A47="","",IF(AND(ISNUMBER(N47),ISNUMBER(K47)),IF(K47&lt;&gt;0,N47/K47,"n.b."),"n.b."))</f>
        <v/>
      </c>
      <c r="P47" s="41" t="str">
        <f>IF($A47="","",IF(AND(ISNUMBER(K47),ISNUMBER(E47)),K47-E47,"n.b."))</f>
        <v/>
      </c>
      <c r="Q47" s="41" t="str">
        <f>IF($A47="","",IF(AND(ISNUMBER(K47),ISNUMBER(W47)),K47-W47,"n.b."))</f>
        <v/>
      </c>
      <c r="R47" s="64" t="str">
        <f>IF($A47="","",IF(ISNUMBER(N47),IF(N47&lt;0,"Verlies",""),""))</f>
        <v/>
      </c>
      <c r="S47" s="61" t="str">
        <f>IF($A47="","",IFERROR(INDEX(T_Txt,MATCH($A47&amp;"|"&amp;Sel_Doeljaar&amp;"|"&amp;P_VJ&amp;"|"&amp;Sel_Versie,T_Key,0)),""))</f>
        <v/>
      </c>
      <c r="U47" s="15" t="str">
        <f>IF(AND(AND($A47&lt;&gt;"",OR(Sel_Type="Alle",$C47=Sel_Type),OR(Sel_Project="Alle",$B47=Sel_Project)),ISNUMBER(K47)),K47+ROW()/1000000000,"")</f>
        <v/>
      </c>
      <c r="V47" s="15" t="str">
        <f>IF(AND(AND($A47&lt;&gt;"",OR(Sel_Type="Alle",$C47=Sel_Type),OR(Sel_Project="Alle",$B47=Sel_Project)),ISNUMBER(Q47)),ABS(Q47)+ROW()/1000000000,"")</f>
        <v/>
      </c>
      <c r="W47" s="15" t="str">
        <f>IF(OR($A47="",Sel_Prev=""),"n.b.",IF(ISNUMBER(IF(COUNTIFS(L_Actief,1,L_WBS,$A47,L_Doeljaar,Sel_Doeljaar,L_Versiejaar,P_VJ,L_Versie,Sel_Prev,L_Kengetal,"Omzet FY")=0,"n.b.",SUMIFS(L_Waarde,L_Actief,1,L_WBS,$A47,L_Doeljaar,Sel_Doeljaar,L_Versiejaar,P_VJ,L_Versie,Sel_Prev,L_Kengetal,"Omzet FY"))),IF(COUNTIFS(L_Actief,1,L_WBS,$A47,L_Doeljaar,Sel_Doeljaar,L_Versiejaar,P_VJ,L_Versie,Sel_Prev,L_Kengetal,"Omzet FY")=0,"n.b.",SUMIFS(L_Waarde,L_Actief,1,L_WBS,$A47,L_Doeljaar,Sel_Doeljaar,L_Versiejaar,P_VJ,L_Versie,Sel_Prev,L_Kengetal,"Omzet FY"))/P_Factor,IF(COUNTIFS(L_Actief,1,L_WBS,$A47,L_Doeljaar,Sel_Doeljaar,L_Versiejaar,P_VJ,L_Versie,Sel_Prev,L_Kengetal,"Omzet FY")=0,"n.b.",SUMIFS(L_Waarde,L_Actief,1,L_WBS,$A47,L_Doeljaar,Sel_Doeljaar,L_Versiejaar,P_VJ,L_Versie,Sel_Prev,L_Kengetal,"Omzet FY"))))</f>
        <v>n.b.</v>
      </c>
    </row>
    <row r="48">
      <c r="A48" s="61" t="str">
        <f>IF(VERW_Project!$A44="","",VERW_Project!$A44)</f>
        <v/>
      </c>
      <c r="B48" s="61" t="str">
        <f>IF($A48="","",VERW_Project!$C44)</f>
        <v/>
      </c>
      <c r="C48" s="61" t="str">
        <f>IF($A48="","",VERW_Project!$D44)</f>
        <v/>
      </c>
      <c r="D48" s="61" t="str">
        <f>IF($A48="","",VERW_Project!$I44)</f>
        <v/>
      </c>
      <c r="E48" s="41" t="str">
        <f>IF($A48="","",IF(ISNUMBER(IF(COUNTIFS(L_Actief,1,L_WBS,$A48,L_Doeljaar,Sel_Doeljaar,L_Versiejaar,P_VJ,L_Versie,E$8,L_Kengetal,"Omzet FY")=0,"n.b.",SUMIFS(L_Waarde,L_Actief,1,L_WBS,$A48,L_Doeljaar,Sel_Doeljaar,L_Versiejaar,P_VJ,L_Versie,E$8,L_Kengetal,"Omzet FY"))),IF(COUNTIFS(L_Actief,1,L_WBS,$A48,L_Doeljaar,Sel_Doeljaar,L_Versiejaar,P_VJ,L_Versie,E$8,L_Kengetal,"Omzet FY")=0,"n.b.",SUMIFS(L_Waarde,L_Actief,1,L_WBS,$A48,L_Doeljaar,Sel_Doeljaar,L_Versiejaar,P_VJ,L_Versie,E$8,L_Kengetal,"Omzet FY"))/P_Factor,IF(COUNTIFS(L_Actief,1,L_WBS,$A48,L_Doeljaar,Sel_Doeljaar,L_Versiejaar,P_VJ,L_Versie,E$8,L_Kengetal,"Omzet FY")=0,"n.b.",SUMIFS(L_Waarde,L_Actief,1,L_WBS,$A48,L_Doeljaar,Sel_Doeljaar,L_Versiejaar,P_VJ,L_Versie,E$8,L_Kengetal,"Omzet FY"))))</f>
        <v/>
      </c>
      <c r="F48" s="41" t="str">
        <f>IF($A48="","",IF(ISNUMBER(IF(COUNTIFS(L_Actief,1,L_WBS,$A48,L_Doeljaar,Sel_Doeljaar,L_Versiejaar,P_VJ,L_Versie,F$8,L_Kengetal,"Omzet FY")=0,"n.b.",SUMIFS(L_Waarde,L_Actief,1,L_WBS,$A48,L_Doeljaar,Sel_Doeljaar,L_Versiejaar,P_VJ,L_Versie,F$8,L_Kengetal,"Omzet FY"))),IF(COUNTIFS(L_Actief,1,L_WBS,$A48,L_Doeljaar,Sel_Doeljaar,L_Versiejaar,P_VJ,L_Versie,F$8,L_Kengetal,"Omzet FY")=0,"n.b.",SUMIFS(L_Waarde,L_Actief,1,L_WBS,$A48,L_Doeljaar,Sel_Doeljaar,L_Versiejaar,P_VJ,L_Versie,F$8,L_Kengetal,"Omzet FY"))/P_Factor,IF(COUNTIFS(L_Actief,1,L_WBS,$A48,L_Doeljaar,Sel_Doeljaar,L_Versiejaar,P_VJ,L_Versie,F$8,L_Kengetal,"Omzet FY")=0,"n.b.",SUMIFS(L_Waarde,L_Actief,1,L_WBS,$A48,L_Doeljaar,Sel_Doeljaar,L_Versiejaar,P_VJ,L_Versie,F$8,L_Kengetal,"Omzet FY"))))</f>
        <v/>
      </c>
      <c r="G48" s="41" t="str">
        <f>IF($A48="","",IF(ISNUMBER(IF(COUNTIFS(L_Actief,1,L_WBS,$A48,L_Doeljaar,Sel_Doeljaar,L_Versiejaar,P_VJ,L_Versie,G$8,L_Kengetal,"Omzet FY")=0,"n.b.",SUMIFS(L_Waarde,L_Actief,1,L_WBS,$A48,L_Doeljaar,Sel_Doeljaar,L_Versiejaar,P_VJ,L_Versie,G$8,L_Kengetal,"Omzet FY"))),IF(COUNTIFS(L_Actief,1,L_WBS,$A48,L_Doeljaar,Sel_Doeljaar,L_Versiejaar,P_VJ,L_Versie,G$8,L_Kengetal,"Omzet FY")=0,"n.b.",SUMIFS(L_Waarde,L_Actief,1,L_WBS,$A48,L_Doeljaar,Sel_Doeljaar,L_Versiejaar,P_VJ,L_Versie,G$8,L_Kengetal,"Omzet FY"))/P_Factor,IF(COUNTIFS(L_Actief,1,L_WBS,$A48,L_Doeljaar,Sel_Doeljaar,L_Versiejaar,P_VJ,L_Versie,G$8,L_Kengetal,"Omzet FY")=0,"n.b.",SUMIFS(L_Waarde,L_Actief,1,L_WBS,$A48,L_Doeljaar,Sel_Doeljaar,L_Versiejaar,P_VJ,L_Versie,G$8,L_Kengetal,"Omzet FY"))))</f>
        <v/>
      </c>
      <c r="H48" s="41" t="str">
        <f>IF($A48="","",IF(ISNUMBER(IF(COUNTIFS(L_Actief,1,L_WBS,$A48,L_Doeljaar,Sel_Doeljaar,L_Versiejaar,P_VJ,L_Versie,H$8,L_Kengetal,"Omzet FY")=0,"n.b.",SUMIFS(L_Waarde,L_Actief,1,L_WBS,$A48,L_Doeljaar,Sel_Doeljaar,L_Versiejaar,P_VJ,L_Versie,H$8,L_Kengetal,"Omzet FY"))),IF(COUNTIFS(L_Actief,1,L_WBS,$A48,L_Doeljaar,Sel_Doeljaar,L_Versiejaar,P_VJ,L_Versie,H$8,L_Kengetal,"Omzet FY")=0,"n.b.",SUMIFS(L_Waarde,L_Actief,1,L_WBS,$A48,L_Doeljaar,Sel_Doeljaar,L_Versiejaar,P_VJ,L_Versie,H$8,L_Kengetal,"Omzet FY"))/P_Factor,IF(COUNTIFS(L_Actief,1,L_WBS,$A48,L_Doeljaar,Sel_Doeljaar,L_Versiejaar,P_VJ,L_Versie,H$8,L_Kengetal,"Omzet FY")=0,"n.b.",SUMIFS(L_Waarde,L_Actief,1,L_WBS,$A48,L_Doeljaar,Sel_Doeljaar,L_Versiejaar,P_VJ,L_Versie,H$8,L_Kengetal,"Omzet FY"))))</f>
        <v/>
      </c>
      <c r="I48" s="41" t="str">
        <f>IF($A48="","",IF(ISNUMBER(IF(COUNTIFS(L_Actief,1,L_WBS,$A48,L_Doeljaar,Sel_Doeljaar,L_Versiejaar,P_VJ,L_Versie,I$8,L_Kengetal,"Omzet FY")=0,"n.b.",SUMIFS(L_Waarde,L_Actief,1,L_WBS,$A48,L_Doeljaar,Sel_Doeljaar,L_Versiejaar,P_VJ,L_Versie,I$8,L_Kengetal,"Omzet FY"))),IF(COUNTIFS(L_Actief,1,L_WBS,$A48,L_Doeljaar,Sel_Doeljaar,L_Versiejaar,P_VJ,L_Versie,I$8,L_Kengetal,"Omzet FY")=0,"n.b.",SUMIFS(L_Waarde,L_Actief,1,L_WBS,$A48,L_Doeljaar,Sel_Doeljaar,L_Versiejaar,P_VJ,L_Versie,I$8,L_Kengetal,"Omzet FY"))/P_Factor,IF(COUNTIFS(L_Actief,1,L_WBS,$A48,L_Doeljaar,Sel_Doeljaar,L_Versiejaar,P_VJ,L_Versie,I$8,L_Kengetal,"Omzet FY")=0,"n.b.",SUMIFS(L_Waarde,L_Actief,1,L_WBS,$A48,L_Doeljaar,Sel_Doeljaar,L_Versiejaar,P_VJ,L_Versie,I$8,L_Kengetal,"Omzet FY"))))</f>
        <v/>
      </c>
      <c r="J48" s="41" t="str">
        <f>IF($A48="","",IF(ISNUMBER(IF(Sel_Doeljaar=P_RJ,VERW_Project!$P44,IF(Sel_Doeljaar=P_RJ+1,VERW_Project!$R44,"n.b."))),IF(Sel_Doeljaar=P_RJ,VERW_Project!$P44,IF(Sel_Doeljaar=P_RJ+1,VERW_Project!$R44,"n.b."))/P_Factor,IF(Sel_Doeljaar=P_RJ,VERW_Project!$P44,IF(Sel_Doeljaar=P_RJ+1,VERW_Project!$R44,"n.b."))))</f>
        <v/>
      </c>
      <c r="K48" s="41" t="str">
        <f>IF($A48="","",IF(Sel_Bron="Vastgesteld",INDEX($E48:$I48,MATCH(Sel_Versie,$E$8:$I$8,0)),IF(Sel_Bron="Concept",J48,"n.b.")))</f>
        <v/>
      </c>
      <c r="L48" s="62" t="str">
        <f>IF($A48="","",IF(Sel_Doeljaar&gt;P_VJ,"n.v.t.",IF(Sel_Bron="Vastgesteld",IF(ISNUMBER(IF(COUNTIFS(L_Actief,1,L_WBS,$A48,L_Doeljaar,Sel_Doeljaar,L_Versiejaar,P_VJ,L_Versie,Sel_Versie,L_Kengetal,"Omzet actual YTD")=0,"n.b.",SUMIFS(L_Waarde,L_Actief,1,L_WBS,$A48,L_Doeljaar,Sel_Doeljaar,L_Versiejaar,P_VJ,L_Versie,Sel_Versie,L_Kengetal,"Omzet actual YTD"))),IF(COUNTIFS(L_Actief,1,L_WBS,$A48,L_Doeljaar,Sel_Doeljaar,L_Versiejaar,P_VJ,L_Versie,Sel_Versie,L_Kengetal,"Omzet actual YTD")=0,"n.b.",SUMIFS(L_Waarde,L_Actief,1,L_WBS,$A48,L_Doeljaar,Sel_Doeljaar,L_Versiejaar,P_VJ,L_Versie,Sel_Versie,L_Kengetal,"Omzet actual YTD"))/P_Factor,IF(COUNTIFS(L_Actief,1,L_WBS,$A48,L_Doeljaar,Sel_Doeljaar,L_Versiejaar,P_VJ,L_Versie,Sel_Versie,L_Kengetal,"Omzet actual YTD")=0,"n.b.",SUMIFS(L_Waarde,L_Actief,1,L_WBS,$A48,L_Doeljaar,Sel_Doeljaar,L_Versiejaar,P_VJ,L_Versie,Sel_Versie,L_Kengetal,"Omzet actual YTD"))),IF(Sel_Bron="Concept",IF(ISNUMBER(IF(Sel_Doeljaar=P_RJ,VERW_Project!$L44,"n.v.t.")),IF(Sel_Doeljaar=P_RJ,VERW_Project!$L44,"n.v.t.")/P_Factor,IF(Sel_Doeljaar=P_RJ,VERW_Project!$L44,"n.v.t.")),"n.b."))))</f>
        <v/>
      </c>
      <c r="M48" s="41" t="str">
        <f>IF($A48="","",IF(L48="n.v.t.",K48,IF(AND(ISNUMBER(K48),ISNUMBER(L48)),K48-L48,"n.b.")))</f>
        <v/>
      </c>
      <c r="N48" s="41" t="str">
        <f>IF($A48="","",IF(Sel_Bron="Vastgesteld",IF(ISNUMBER(IF(COUNTIFS(L_Actief,1,L_WBS,$A48,L_Doeljaar,Sel_Doeljaar,L_Versiejaar,P_VJ,L_Versie,Sel_Versie,L_Kengetal,"BOR FY")=0,"n.b.",SUMIFS(L_Waarde,L_Actief,1,L_WBS,$A48,L_Doeljaar,Sel_Doeljaar,L_Versiejaar,P_VJ,L_Versie,Sel_Versie,L_Kengetal,"BOR FY"))),IF(COUNTIFS(L_Actief,1,L_WBS,$A48,L_Doeljaar,Sel_Doeljaar,L_Versiejaar,P_VJ,L_Versie,Sel_Versie,L_Kengetal,"BOR FY")=0,"n.b.",SUMIFS(L_Waarde,L_Actief,1,L_WBS,$A48,L_Doeljaar,Sel_Doeljaar,L_Versiejaar,P_VJ,L_Versie,Sel_Versie,L_Kengetal,"BOR FY"))/P_Factor,IF(COUNTIFS(L_Actief,1,L_WBS,$A48,L_Doeljaar,Sel_Doeljaar,L_Versiejaar,P_VJ,L_Versie,Sel_Versie,L_Kengetal,"BOR FY")=0,"n.b.",SUMIFS(L_Waarde,L_Actief,1,L_WBS,$A48,L_Doeljaar,Sel_Doeljaar,L_Versiejaar,P_VJ,L_Versie,Sel_Versie,L_Kengetal,"BOR FY"))),IF(Sel_Bron="Concept",IF(ISNUMBER(IF(Sel_Doeljaar=P_RJ,VERW_Project!$Q44,IF(Sel_Doeljaar=P_RJ+1,VERW_Project!$S44,"n.b."))),IF(Sel_Doeljaar=P_RJ,VERW_Project!$Q44,IF(Sel_Doeljaar=P_RJ+1,VERW_Project!$S44,"n.b."))/P_Factor,IF(Sel_Doeljaar=P_RJ,VERW_Project!$Q44,IF(Sel_Doeljaar=P_RJ+1,VERW_Project!$S44,"n.b."))),"n.b.")))</f>
        <v/>
      </c>
      <c r="O48" s="63" t="str">
        <f>IF($A48="","",IF(AND(ISNUMBER(N48),ISNUMBER(K48)),IF(K48&lt;&gt;0,N48/K48,"n.b."),"n.b."))</f>
        <v/>
      </c>
      <c r="P48" s="41" t="str">
        <f>IF($A48="","",IF(AND(ISNUMBER(K48),ISNUMBER(E48)),K48-E48,"n.b."))</f>
        <v/>
      </c>
      <c r="Q48" s="41" t="str">
        <f>IF($A48="","",IF(AND(ISNUMBER(K48),ISNUMBER(W48)),K48-W48,"n.b."))</f>
        <v/>
      </c>
      <c r="R48" s="64" t="str">
        <f>IF($A48="","",IF(ISNUMBER(N48),IF(N48&lt;0,"Verlies",""),""))</f>
        <v/>
      </c>
      <c r="S48" s="61" t="str">
        <f>IF($A48="","",IFERROR(INDEX(T_Txt,MATCH($A48&amp;"|"&amp;Sel_Doeljaar&amp;"|"&amp;P_VJ&amp;"|"&amp;Sel_Versie,T_Key,0)),""))</f>
        <v/>
      </c>
      <c r="U48" s="15" t="str">
        <f>IF(AND(AND($A48&lt;&gt;"",OR(Sel_Type="Alle",$C48=Sel_Type),OR(Sel_Project="Alle",$B48=Sel_Project)),ISNUMBER(K48)),K48+ROW()/1000000000,"")</f>
        <v/>
      </c>
      <c r="V48" s="15" t="str">
        <f>IF(AND(AND($A48&lt;&gt;"",OR(Sel_Type="Alle",$C48=Sel_Type),OR(Sel_Project="Alle",$B48=Sel_Project)),ISNUMBER(Q48)),ABS(Q48)+ROW()/1000000000,"")</f>
        <v/>
      </c>
      <c r="W48" s="15" t="str">
        <f>IF(OR($A48="",Sel_Prev=""),"n.b.",IF(ISNUMBER(IF(COUNTIFS(L_Actief,1,L_WBS,$A48,L_Doeljaar,Sel_Doeljaar,L_Versiejaar,P_VJ,L_Versie,Sel_Prev,L_Kengetal,"Omzet FY")=0,"n.b.",SUMIFS(L_Waarde,L_Actief,1,L_WBS,$A48,L_Doeljaar,Sel_Doeljaar,L_Versiejaar,P_VJ,L_Versie,Sel_Prev,L_Kengetal,"Omzet FY"))),IF(COUNTIFS(L_Actief,1,L_WBS,$A48,L_Doeljaar,Sel_Doeljaar,L_Versiejaar,P_VJ,L_Versie,Sel_Prev,L_Kengetal,"Omzet FY")=0,"n.b.",SUMIFS(L_Waarde,L_Actief,1,L_WBS,$A48,L_Doeljaar,Sel_Doeljaar,L_Versiejaar,P_VJ,L_Versie,Sel_Prev,L_Kengetal,"Omzet FY"))/P_Factor,IF(COUNTIFS(L_Actief,1,L_WBS,$A48,L_Doeljaar,Sel_Doeljaar,L_Versiejaar,P_VJ,L_Versie,Sel_Prev,L_Kengetal,"Omzet FY")=0,"n.b.",SUMIFS(L_Waarde,L_Actief,1,L_WBS,$A48,L_Doeljaar,Sel_Doeljaar,L_Versiejaar,P_VJ,L_Versie,Sel_Prev,L_Kengetal,"Omzet FY"))))</f>
        <v>n.b.</v>
      </c>
    </row>
    <row r="49">
      <c r="A49" s="61" t="str">
        <f>IF(VERW_Project!$A45="","",VERW_Project!$A45)</f>
        <v/>
      </c>
      <c r="B49" s="61" t="str">
        <f>IF($A49="","",VERW_Project!$C45)</f>
        <v/>
      </c>
      <c r="C49" s="61" t="str">
        <f>IF($A49="","",VERW_Project!$D45)</f>
        <v/>
      </c>
      <c r="D49" s="61" t="str">
        <f>IF($A49="","",VERW_Project!$I45)</f>
        <v/>
      </c>
      <c r="E49" s="41" t="str">
        <f>IF($A49="","",IF(ISNUMBER(IF(COUNTIFS(L_Actief,1,L_WBS,$A49,L_Doeljaar,Sel_Doeljaar,L_Versiejaar,P_VJ,L_Versie,E$8,L_Kengetal,"Omzet FY")=0,"n.b.",SUMIFS(L_Waarde,L_Actief,1,L_WBS,$A49,L_Doeljaar,Sel_Doeljaar,L_Versiejaar,P_VJ,L_Versie,E$8,L_Kengetal,"Omzet FY"))),IF(COUNTIFS(L_Actief,1,L_WBS,$A49,L_Doeljaar,Sel_Doeljaar,L_Versiejaar,P_VJ,L_Versie,E$8,L_Kengetal,"Omzet FY")=0,"n.b.",SUMIFS(L_Waarde,L_Actief,1,L_WBS,$A49,L_Doeljaar,Sel_Doeljaar,L_Versiejaar,P_VJ,L_Versie,E$8,L_Kengetal,"Omzet FY"))/P_Factor,IF(COUNTIFS(L_Actief,1,L_WBS,$A49,L_Doeljaar,Sel_Doeljaar,L_Versiejaar,P_VJ,L_Versie,E$8,L_Kengetal,"Omzet FY")=0,"n.b.",SUMIFS(L_Waarde,L_Actief,1,L_WBS,$A49,L_Doeljaar,Sel_Doeljaar,L_Versiejaar,P_VJ,L_Versie,E$8,L_Kengetal,"Omzet FY"))))</f>
        <v/>
      </c>
      <c r="F49" s="41" t="str">
        <f>IF($A49="","",IF(ISNUMBER(IF(COUNTIFS(L_Actief,1,L_WBS,$A49,L_Doeljaar,Sel_Doeljaar,L_Versiejaar,P_VJ,L_Versie,F$8,L_Kengetal,"Omzet FY")=0,"n.b.",SUMIFS(L_Waarde,L_Actief,1,L_WBS,$A49,L_Doeljaar,Sel_Doeljaar,L_Versiejaar,P_VJ,L_Versie,F$8,L_Kengetal,"Omzet FY"))),IF(COUNTIFS(L_Actief,1,L_WBS,$A49,L_Doeljaar,Sel_Doeljaar,L_Versiejaar,P_VJ,L_Versie,F$8,L_Kengetal,"Omzet FY")=0,"n.b.",SUMIFS(L_Waarde,L_Actief,1,L_WBS,$A49,L_Doeljaar,Sel_Doeljaar,L_Versiejaar,P_VJ,L_Versie,F$8,L_Kengetal,"Omzet FY"))/P_Factor,IF(COUNTIFS(L_Actief,1,L_WBS,$A49,L_Doeljaar,Sel_Doeljaar,L_Versiejaar,P_VJ,L_Versie,F$8,L_Kengetal,"Omzet FY")=0,"n.b.",SUMIFS(L_Waarde,L_Actief,1,L_WBS,$A49,L_Doeljaar,Sel_Doeljaar,L_Versiejaar,P_VJ,L_Versie,F$8,L_Kengetal,"Omzet FY"))))</f>
        <v/>
      </c>
      <c r="G49" s="41" t="str">
        <f>IF($A49="","",IF(ISNUMBER(IF(COUNTIFS(L_Actief,1,L_WBS,$A49,L_Doeljaar,Sel_Doeljaar,L_Versiejaar,P_VJ,L_Versie,G$8,L_Kengetal,"Omzet FY")=0,"n.b.",SUMIFS(L_Waarde,L_Actief,1,L_WBS,$A49,L_Doeljaar,Sel_Doeljaar,L_Versiejaar,P_VJ,L_Versie,G$8,L_Kengetal,"Omzet FY"))),IF(COUNTIFS(L_Actief,1,L_WBS,$A49,L_Doeljaar,Sel_Doeljaar,L_Versiejaar,P_VJ,L_Versie,G$8,L_Kengetal,"Omzet FY")=0,"n.b.",SUMIFS(L_Waarde,L_Actief,1,L_WBS,$A49,L_Doeljaar,Sel_Doeljaar,L_Versiejaar,P_VJ,L_Versie,G$8,L_Kengetal,"Omzet FY"))/P_Factor,IF(COUNTIFS(L_Actief,1,L_WBS,$A49,L_Doeljaar,Sel_Doeljaar,L_Versiejaar,P_VJ,L_Versie,G$8,L_Kengetal,"Omzet FY")=0,"n.b.",SUMIFS(L_Waarde,L_Actief,1,L_WBS,$A49,L_Doeljaar,Sel_Doeljaar,L_Versiejaar,P_VJ,L_Versie,G$8,L_Kengetal,"Omzet FY"))))</f>
        <v/>
      </c>
      <c r="H49" s="41" t="str">
        <f>IF($A49="","",IF(ISNUMBER(IF(COUNTIFS(L_Actief,1,L_WBS,$A49,L_Doeljaar,Sel_Doeljaar,L_Versiejaar,P_VJ,L_Versie,H$8,L_Kengetal,"Omzet FY")=0,"n.b.",SUMIFS(L_Waarde,L_Actief,1,L_WBS,$A49,L_Doeljaar,Sel_Doeljaar,L_Versiejaar,P_VJ,L_Versie,H$8,L_Kengetal,"Omzet FY"))),IF(COUNTIFS(L_Actief,1,L_WBS,$A49,L_Doeljaar,Sel_Doeljaar,L_Versiejaar,P_VJ,L_Versie,H$8,L_Kengetal,"Omzet FY")=0,"n.b.",SUMIFS(L_Waarde,L_Actief,1,L_WBS,$A49,L_Doeljaar,Sel_Doeljaar,L_Versiejaar,P_VJ,L_Versie,H$8,L_Kengetal,"Omzet FY"))/P_Factor,IF(COUNTIFS(L_Actief,1,L_WBS,$A49,L_Doeljaar,Sel_Doeljaar,L_Versiejaar,P_VJ,L_Versie,H$8,L_Kengetal,"Omzet FY")=0,"n.b.",SUMIFS(L_Waarde,L_Actief,1,L_WBS,$A49,L_Doeljaar,Sel_Doeljaar,L_Versiejaar,P_VJ,L_Versie,H$8,L_Kengetal,"Omzet FY"))))</f>
        <v/>
      </c>
      <c r="I49" s="41" t="str">
        <f>IF($A49="","",IF(ISNUMBER(IF(COUNTIFS(L_Actief,1,L_WBS,$A49,L_Doeljaar,Sel_Doeljaar,L_Versiejaar,P_VJ,L_Versie,I$8,L_Kengetal,"Omzet FY")=0,"n.b.",SUMIFS(L_Waarde,L_Actief,1,L_WBS,$A49,L_Doeljaar,Sel_Doeljaar,L_Versiejaar,P_VJ,L_Versie,I$8,L_Kengetal,"Omzet FY"))),IF(COUNTIFS(L_Actief,1,L_WBS,$A49,L_Doeljaar,Sel_Doeljaar,L_Versiejaar,P_VJ,L_Versie,I$8,L_Kengetal,"Omzet FY")=0,"n.b.",SUMIFS(L_Waarde,L_Actief,1,L_WBS,$A49,L_Doeljaar,Sel_Doeljaar,L_Versiejaar,P_VJ,L_Versie,I$8,L_Kengetal,"Omzet FY"))/P_Factor,IF(COUNTIFS(L_Actief,1,L_WBS,$A49,L_Doeljaar,Sel_Doeljaar,L_Versiejaar,P_VJ,L_Versie,I$8,L_Kengetal,"Omzet FY")=0,"n.b.",SUMIFS(L_Waarde,L_Actief,1,L_WBS,$A49,L_Doeljaar,Sel_Doeljaar,L_Versiejaar,P_VJ,L_Versie,I$8,L_Kengetal,"Omzet FY"))))</f>
        <v/>
      </c>
      <c r="J49" s="41" t="str">
        <f>IF($A49="","",IF(ISNUMBER(IF(Sel_Doeljaar=P_RJ,VERW_Project!$P45,IF(Sel_Doeljaar=P_RJ+1,VERW_Project!$R45,"n.b."))),IF(Sel_Doeljaar=P_RJ,VERW_Project!$P45,IF(Sel_Doeljaar=P_RJ+1,VERW_Project!$R45,"n.b."))/P_Factor,IF(Sel_Doeljaar=P_RJ,VERW_Project!$P45,IF(Sel_Doeljaar=P_RJ+1,VERW_Project!$R45,"n.b."))))</f>
        <v/>
      </c>
      <c r="K49" s="41" t="str">
        <f>IF($A49="","",IF(Sel_Bron="Vastgesteld",INDEX($E49:$I49,MATCH(Sel_Versie,$E$8:$I$8,0)),IF(Sel_Bron="Concept",J49,"n.b.")))</f>
        <v/>
      </c>
      <c r="L49" s="62" t="str">
        <f>IF($A49="","",IF(Sel_Doeljaar&gt;P_VJ,"n.v.t.",IF(Sel_Bron="Vastgesteld",IF(ISNUMBER(IF(COUNTIFS(L_Actief,1,L_WBS,$A49,L_Doeljaar,Sel_Doeljaar,L_Versiejaar,P_VJ,L_Versie,Sel_Versie,L_Kengetal,"Omzet actual YTD")=0,"n.b.",SUMIFS(L_Waarde,L_Actief,1,L_WBS,$A49,L_Doeljaar,Sel_Doeljaar,L_Versiejaar,P_VJ,L_Versie,Sel_Versie,L_Kengetal,"Omzet actual YTD"))),IF(COUNTIFS(L_Actief,1,L_WBS,$A49,L_Doeljaar,Sel_Doeljaar,L_Versiejaar,P_VJ,L_Versie,Sel_Versie,L_Kengetal,"Omzet actual YTD")=0,"n.b.",SUMIFS(L_Waarde,L_Actief,1,L_WBS,$A49,L_Doeljaar,Sel_Doeljaar,L_Versiejaar,P_VJ,L_Versie,Sel_Versie,L_Kengetal,"Omzet actual YTD"))/P_Factor,IF(COUNTIFS(L_Actief,1,L_WBS,$A49,L_Doeljaar,Sel_Doeljaar,L_Versiejaar,P_VJ,L_Versie,Sel_Versie,L_Kengetal,"Omzet actual YTD")=0,"n.b.",SUMIFS(L_Waarde,L_Actief,1,L_WBS,$A49,L_Doeljaar,Sel_Doeljaar,L_Versiejaar,P_VJ,L_Versie,Sel_Versie,L_Kengetal,"Omzet actual YTD"))),IF(Sel_Bron="Concept",IF(ISNUMBER(IF(Sel_Doeljaar=P_RJ,VERW_Project!$L45,"n.v.t.")),IF(Sel_Doeljaar=P_RJ,VERW_Project!$L45,"n.v.t.")/P_Factor,IF(Sel_Doeljaar=P_RJ,VERW_Project!$L45,"n.v.t.")),"n.b."))))</f>
        <v/>
      </c>
      <c r="M49" s="41" t="str">
        <f>IF($A49="","",IF(L49="n.v.t.",K49,IF(AND(ISNUMBER(K49),ISNUMBER(L49)),K49-L49,"n.b.")))</f>
        <v/>
      </c>
      <c r="N49" s="41" t="str">
        <f>IF($A49="","",IF(Sel_Bron="Vastgesteld",IF(ISNUMBER(IF(COUNTIFS(L_Actief,1,L_WBS,$A49,L_Doeljaar,Sel_Doeljaar,L_Versiejaar,P_VJ,L_Versie,Sel_Versie,L_Kengetal,"BOR FY")=0,"n.b.",SUMIFS(L_Waarde,L_Actief,1,L_WBS,$A49,L_Doeljaar,Sel_Doeljaar,L_Versiejaar,P_VJ,L_Versie,Sel_Versie,L_Kengetal,"BOR FY"))),IF(COUNTIFS(L_Actief,1,L_WBS,$A49,L_Doeljaar,Sel_Doeljaar,L_Versiejaar,P_VJ,L_Versie,Sel_Versie,L_Kengetal,"BOR FY")=0,"n.b.",SUMIFS(L_Waarde,L_Actief,1,L_WBS,$A49,L_Doeljaar,Sel_Doeljaar,L_Versiejaar,P_VJ,L_Versie,Sel_Versie,L_Kengetal,"BOR FY"))/P_Factor,IF(COUNTIFS(L_Actief,1,L_WBS,$A49,L_Doeljaar,Sel_Doeljaar,L_Versiejaar,P_VJ,L_Versie,Sel_Versie,L_Kengetal,"BOR FY")=0,"n.b.",SUMIFS(L_Waarde,L_Actief,1,L_WBS,$A49,L_Doeljaar,Sel_Doeljaar,L_Versiejaar,P_VJ,L_Versie,Sel_Versie,L_Kengetal,"BOR FY"))),IF(Sel_Bron="Concept",IF(ISNUMBER(IF(Sel_Doeljaar=P_RJ,VERW_Project!$Q45,IF(Sel_Doeljaar=P_RJ+1,VERW_Project!$S45,"n.b."))),IF(Sel_Doeljaar=P_RJ,VERW_Project!$Q45,IF(Sel_Doeljaar=P_RJ+1,VERW_Project!$S45,"n.b."))/P_Factor,IF(Sel_Doeljaar=P_RJ,VERW_Project!$Q45,IF(Sel_Doeljaar=P_RJ+1,VERW_Project!$S45,"n.b."))),"n.b.")))</f>
        <v/>
      </c>
      <c r="O49" s="63" t="str">
        <f>IF($A49="","",IF(AND(ISNUMBER(N49),ISNUMBER(K49)),IF(K49&lt;&gt;0,N49/K49,"n.b."),"n.b."))</f>
        <v/>
      </c>
      <c r="P49" s="41" t="str">
        <f>IF($A49="","",IF(AND(ISNUMBER(K49),ISNUMBER(E49)),K49-E49,"n.b."))</f>
        <v/>
      </c>
      <c r="Q49" s="41" t="str">
        <f>IF($A49="","",IF(AND(ISNUMBER(K49),ISNUMBER(W49)),K49-W49,"n.b."))</f>
        <v/>
      </c>
      <c r="R49" s="64" t="str">
        <f>IF($A49="","",IF(ISNUMBER(N49),IF(N49&lt;0,"Verlies",""),""))</f>
        <v/>
      </c>
      <c r="S49" s="61" t="str">
        <f>IF($A49="","",IFERROR(INDEX(T_Txt,MATCH($A49&amp;"|"&amp;Sel_Doeljaar&amp;"|"&amp;P_VJ&amp;"|"&amp;Sel_Versie,T_Key,0)),""))</f>
        <v/>
      </c>
      <c r="U49" s="15" t="str">
        <f>IF(AND(AND($A49&lt;&gt;"",OR(Sel_Type="Alle",$C49=Sel_Type),OR(Sel_Project="Alle",$B49=Sel_Project)),ISNUMBER(K49)),K49+ROW()/1000000000,"")</f>
        <v/>
      </c>
      <c r="V49" s="15" t="str">
        <f>IF(AND(AND($A49&lt;&gt;"",OR(Sel_Type="Alle",$C49=Sel_Type),OR(Sel_Project="Alle",$B49=Sel_Project)),ISNUMBER(Q49)),ABS(Q49)+ROW()/1000000000,"")</f>
        <v/>
      </c>
      <c r="W49" s="15" t="str">
        <f>IF(OR($A49="",Sel_Prev=""),"n.b.",IF(ISNUMBER(IF(COUNTIFS(L_Actief,1,L_WBS,$A49,L_Doeljaar,Sel_Doeljaar,L_Versiejaar,P_VJ,L_Versie,Sel_Prev,L_Kengetal,"Omzet FY")=0,"n.b.",SUMIFS(L_Waarde,L_Actief,1,L_WBS,$A49,L_Doeljaar,Sel_Doeljaar,L_Versiejaar,P_VJ,L_Versie,Sel_Prev,L_Kengetal,"Omzet FY"))),IF(COUNTIFS(L_Actief,1,L_WBS,$A49,L_Doeljaar,Sel_Doeljaar,L_Versiejaar,P_VJ,L_Versie,Sel_Prev,L_Kengetal,"Omzet FY")=0,"n.b.",SUMIFS(L_Waarde,L_Actief,1,L_WBS,$A49,L_Doeljaar,Sel_Doeljaar,L_Versiejaar,P_VJ,L_Versie,Sel_Prev,L_Kengetal,"Omzet FY"))/P_Factor,IF(COUNTIFS(L_Actief,1,L_WBS,$A49,L_Doeljaar,Sel_Doeljaar,L_Versiejaar,P_VJ,L_Versie,Sel_Prev,L_Kengetal,"Omzet FY")=0,"n.b.",SUMIFS(L_Waarde,L_Actief,1,L_WBS,$A49,L_Doeljaar,Sel_Doeljaar,L_Versiejaar,P_VJ,L_Versie,Sel_Prev,L_Kengetal,"Omzet FY"))))</f>
        <v>n.b.</v>
      </c>
    </row>
    <row r="50">
      <c r="A50" s="61" t="str">
        <f>IF(VERW_Project!$A46="","",VERW_Project!$A46)</f>
        <v/>
      </c>
      <c r="B50" s="61" t="str">
        <f>IF($A50="","",VERW_Project!$C46)</f>
        <v/>
      </c>
      <c r="C50" s="61" t="str">
        <f>IF($A50="","",VERW_Project!$D46)</f>
        <v/>
      </c>
      <c r="D50" s="61" t="str">
        <f>IF($A50="","",VERW_Project!$I46)</f>
        <v/>
      </c>
      <c r="E50" s="41" t="str">
        <f>IF($A50="","",IF(ISNUMBER(IF(COUNTIFS(L_Actief,1,L_WBS,$A50,L_Doeljaar,Sel_Doeljaar,L_Versiejaar,P_VJ,L_Versie,E$8,L_Kengetal,"Omzet FY")=0,"n.b.",SUMIFS(L_Waarde,L_Actief,1,L_WBS,$A50,L_Doeljaar,Sel_Doeljaar,L_Versiejaar,P_VJ,L_Versie,E$8,L_Kengetal,"Omzet FY"))),IF(COUNTIFS(L_Actief,1,L_WBS,$A50,L_Doeljaar,Sel_Doeljaar,L_Versiejaar,P_VJ,L_Versie,E$8,L_Kengetal,"Omzet FY")=0,"n.b.",SUMIFS(L_Waarde,L_Actief,1,L_WBS,$A50,L_Doeljaar,Sel_Doeljaar,L_Versiejaar,P_VJ,L_Versie,E$8,L_Kengetal,"Omzet FY"))/P_Factor,IF(COUNTIFS(L_Actief,1,L_WBS,$A50,L_Doeljaar,Sel_Doeljaar,L_Versiejaar,P_VJ,L_Versie,E$8,L_Kengetal,"Omzet FY")=0,"n.b.",SUMIFS(L_Waarde,L_Actief,1,L_WBS,$A50,L_Doeljaar,Sel_Doeljaar,L_Versiejaar,P_VJ,L_Versie,E$8,L_Kengetal,"Omzet FY"))))</f>
        <v/>
      </c>
      <c r="F50" s="41" t="str">
        <f>IF($A50="","",IF(ISNUMBER(IF(COUNTIFS(L_Actief,1,L_WBS,$A50,L_Doeljaar,Sel_Doeljaar,L_Versiejaar,P_VJ,L_Versie,F$8,L_Kengetal,"Omzet FY")=0,"n.b.",SUMIFS(L_Waarde,L_Actief,1,L_WBS,$A50,L_Doeljaar,Sel_Doeljaar,L_Versiejaar,P_VJ,L_Versie,F$8,L_Kengetal,"Omzet FY"))),IF(COUNTIFS(L_Actief,1,L_WBS,$A50,L_Doeljaar,Sel_Doeljaar,L_Versiejaar,P_VJ,L_Versie,F$8,L_Kengetal,"Omzet FY")=0,"n.b.",SUMIFS(L_Waarde,L_Actief,1,L_WBS,$A50,L_Doeljaar,Sel_Doeljaar,L_Versiejaar,P_VJ,L_Versie,F$8,L_Kengetal,"Omzet FY"))/P_Factor,IF(COUNTIFS(L_Actief,1,L_WBS,$A50,L_Doeljaar,Sel_Doeljaar,L_Versiejaar,P_VJ,L_Versie,F$8,L_Kengetal,"Omzet FY")=0,"n.b.",SUMIFS(L_Waarde,L_Actief,1,L_WBS,$A50,L_Doeljaar,Sel_Doeljaar,L_Versiejaar,P_VJ,L_Versie,F$8,L_Kengetal,"Omzet FY"))))</f>
        <v/>
      </c>
      <c r="G50" s="41" t="str">
        <f>IF($A50="","",IF(ISNUMBER(IF(COUNTIFS(L_Actief,1,L_WBS,$A50,L_Doeljaar,Sel_Doeljaar,L_Versiejaar,P_VJ,L_Versie,G$8,L_Kengetal,"Omzet FY")=0,"n.b.",SUMIFS(L_Waarde,L_Actief,1,L_WBS,$A50,L_Doeljaar,Sel_Doeljaar,L_Versiejaar,P_VJ,L_Versie,G$8,L_Kengetal,"Omzet FY"))),IF(COUNTIFS(L_Actief,1,L_WBS,$A50,L_Doeljaar,Sel_Doeljaar,L_Versiejaar,P_VJ,L_Versie,G$8,L_Kengetal,"Omzet FY")=0,"n.b.",SUMIFS(L_Waarde,L_Actief,1,L_WBS,$A50,L_Doeljaar,Sel_Doeljaar,L_Versiejaar,P_VJ,L_Versie,G$8,L_Kengetal,"Omzet FY"))/P_Factor,IF(COUNTIFS(L_Actief,1,L_WBS,$A50,L_Doeljaar,Sel_Doeljaar,L_Versiejaar,P_VJ,L_Versie,G$8,L_Kengetal,"Omzet FY")=0,"n.b.",SUMIFS(L_Waarde,L_Actief,1,L_WBS,$A50,L_Doeljaar,Sel_Doeljaar,L_Versiejaar,P_VJ,L_Versie,G$8,L_Kengetal,"Omzet FY"))))</f>
        <v/>
      </c>
      <c r="H50" s="41" t="str">
        <f>IF($A50="","",IF(ISNUMBER(IF(COUNTIFS(L_Actief,1,L_WBS,$A50,L_Doeljaar,Sel_Doeljaar,L_Versiejaar,P_VJ,L_Versie,H$8,L_Kengetal,"Omzet FY")=0,"n.b.",SUMIFS(L_Waarde,L_Actief,1,L_WBS,$A50,L_Doeljaar,Sel_Doeljaar,L_Versiejaar,P_VJ,L_Versie,H$8,L_Kengetal,"Omzet FY"))),IF(COUNTIFS(L_Actief,1,L_WBS,$A50,L_Doeljaar,Sel_Doeljaar,L_Versiejaar,P_VJ,L_Versie,H$8,L_Kengetal,"Omzet FY")=0,"n.b.",SUMIFS(L_Waarde,L_Actief,1,L_WBS,$A50,L_Doeljaar,Sel_Doeljaar,L_Versiejaar,P_VJ,L_Versie,H$8,L_Kengetal,"Omzet FY"))/P_Factor,IF(COUNTIFS(L_Actief,1,L_WBS,$A50,L_Doeljaar,Sel_Doeljaar,L_Versiejaar,P_VJ,L_Versie,H$8,L_Kengetal,"Omzet FY")=0,"n.b.",SUMIFS(L_Waarde,L_Actief,1,L_WBS,$A50,L_Doeljaar,Sel_Doeljaar,L_Versiejaar,P_VJ,L_Versie,H$8,L_Kengetal,"Omzet FY"))))</f>
        <v/>
      </c>
      <c r="I50" s="41" t="str">
        <f>IF($A50="","",IF(ISNUMBER(IF(COUNTIFS(L_Actief,1,L_WBS,$A50,L_Doeljaar,Sel_Doeljaar,L_Versiejaar,P_VJ,L_Versie,I$8,L_Kengetal,"Omzet FY")=0,"n.b.",SUMIFS(L_Waarde,L_Actief,1,L_WBS,$A50,L_Doeljaar,Sel_Doeljaar,L_Versiejaar,P_VJ,L_Versie,I$8,L_Kengetal,"Omzet FY"))),IF(COUNTIFS(L_Actief,1,L_WBS,$A50,L_Doeljaar,Sel_Doeljaar,L_Versiejaar,P_VJ,L_Versie,I$8,L_Kengetal,"Omzet FY")=0,"n.b.",SUMIFS(L_Waarde,L_Actief,1,L_WBS,$A50,L_Doeljaar,Sel_Doeljaar,L_Versiejaar,P_VJ,L_Versie,I$8,L_Kengetal,"Omzet FY"))/P_Factor,IF(COUNTIFS(L_Actief,1,L_WBS,$A50,L_Doeljaar,Sel_Doeljaar,L_Versiejaar,P_VJ,L_Versie,I$8,L_Kengetal,"Omzet FY")=0,"n.b.",SUMIFS(L_Waarde,L_Actief,1,L_WBS,$A50,L_Doeljaar,Sel_Doeljaar,L_Versiejaar,P_VJ,L_Versie,I$8,L_Kengetal,"Omzet FY"))))</f>
        <v/>
      </c>
      <c r="J50" s="41" t="str">
        <f>IF($A50="","",IF(ISNUMBER(IF(Sel_Doeljaar=P_RJ,VERW_Project!$P46,IF(Sel_Doeljaar=P_RJ+1,VERW_Project!$R46,"n.b."))),IF(Sel_Doeljaar=P_RJ,VERW_Project!$P46,IF(Sel_Doeljaar=P_RJ+1,VERW_Project!$R46,"n.b."))/P_Factor,IF(Sel_Doeljaar=P_RJ,VERW_Project!$P46,IF(Sel_Doeljaar=P_RJ+1,VERW_Project!$R46,"n.b."))))</f>
        <v/>
      </c>
      <c r="K50" s="41" t="str">
        <f>IF($A50="","",IF(Sel_Bron="Vastgesteld",INDEX($E50:$I50,MATCH(Sel_Versie,$E$8:$I$8,0)),IF(Sel_Bron="Concept",J50,"n.b.")))</f>
        <v/>
      </c>
      <c r="L50" s="62" t="str">
        <f>IF($A50="","",IF(Sel_Doeljaar&gt;P_VJ,"n.v.t.",IF(Sel_Bron="Vastgesteld",IF(ISNUMBER(IF(COUNTIFS(L_Actief,1,L_WBS,$A50,L_Doeljaar,Sel_Doeljaar,L_Versiejaar,P_VJ,L_Versie,Sel_Versie,L_Kengetal,"Omzet actual YTD")=0,"n.b.",SUMIFS(L_Waarde,L_Actief,1,L_WBS,$A50,L_Doeljaar,Sel_Doeljaar,L_Versiejaar,P_VJ,L_Versie,Sel_Versie,L_Kengetal,"Omzet actual YTD"))),IF(COUNTIFS(L_Actief,1,L_WBS,$A50,L_Doeljaar,Sel_Doeljaar,L_Versiejaar,P_VJ,L_Versie,Sel_Versie,L_Kengetal,"Omzet actual YTD")=0,"n.b.",SUMIFS(L_Waarde,L_Actief,1,L_WBS,$A50,L_Doeljaar,Sel_Doeljaar,L_Versiejaar,P_VJ,L_Versie,Sel_Versie,L_Kengetal,"Omzet actual YTD"))/P_Factor,IF(COUNTIFS(L_Actief,1,L_WBS,$A50,L_Doeljaar,Sel_Doeljaar,L_Versiejaar,P_VJ,L_Versie,Sel_Versie,L_Kengetal,"Omzet actual YTD")=0,"n.b.",SUMIFS(L_Waarde,L_Actief,1,L_WBS,$A50,L_Doeljaar,Sel_Doeljaar,L_Versiejaar,P_VJ,L_Versie,Sel_Versie,L_Kengetal,"Omzet actual YTD"))),IF(Sel_Bron="Concept",IF(ISNUMBER(IF(Sel_Doeljaar=P_RJ,VERW_Project!$L46,"n.v.t.")),IF(Sel_Doeljaar=P_RJ,VERW_Project!$L46,"n.v.t.")/P_Factor,IF(Sel_Doeljaar=P_RJ,VERW_Project!$L46,"n.v.t.")),"n.b."))))</f>
        <v/>
      </c>
      <c r="M50" s="41" t="str">
        <f>IF($A50="","",IF(L50="n.v.t.",K50,IF(AND(ISNUMBER(K50),ISNUMBER(L50)),K50-L50,"n.b.")))</f>
        <v/>
      </c>
      <c r="N50" s="41" t="str">
        <f>IF($A50="","",IF(Sel_Bron="Vastgesteld",IF(ISNUMBER(IF(COUNTIFS(L_Actief,1,L_WBS,$A50,L_Doeljaar,Sel_Doeljaar,L_Versiejaar,P_VJ,L_Versie,Sel_Versie,L_Kengetal,"BOR FY")=0,"n.b.",SUMIFS(L_Waarde,L_Actief,1,L_WBS,$A50,L_Doeljaar,Sel_Doeljaar,L_Versiejaar,P_VJ,L_Versie,Sel_Versie,L_Kengetal,"BOR FY"))),IF(COUNTIFS(L_Actief,1,L_WBS,$A50,L_Doeljaar,Sel_Doeljaar,L_Versiejaar,P_VJ,L_Versie,Sel_Versie,L_Kengetal,"BOR FY")=0,"n.b.",SUMIFS(L_Waarde,L_Actief,1,L_WBS,$A50,L_Doeljaar,Sel_Doeljaar,L_Versiejaar,P_VJ,L_Versie,Sel_Versie,L_Kengetal,"BOR FY"))/P_Factor,IF(COUNTIFS(L_Actief,1,L_WBS,$A50,L_Doeljaar,Sel_Doeljaar,L_Versiejaar,P_VJ,L_Versie,Sel_Versie,L_Kengetal,"BOR FY")=0,"n.b.",SUMIFS(L_Waarde,L_Actief,1,L_WBS,$A50,L_Doeljaar,Sel_Doeljaar,L_Versiejaar,P_VJ,L_Versie,Sel_Versie,L_Kengetal,"BOR FY"))),IF(Sel_Bron="Concept",IF(ISNUMBER(IF(Sel_Doeljaar=P_RJ,VERW_Project!$Q46,IF(Sel_Doeljaar=P_RJ+1,VERW_Project!$S46,"n.b."))),IF(Sel_Doeljaar=P_RJ,VERW_Project!$Q46,IF(Sel_Doeljaar=P_RJ+1,VERW_Project!$S46,"n.b."))/P_Factor,IF(Sel_Doeljaar=P_RJ,VERW_Project!$Q46,IF(Sel_Doeljaar=P_RJ+1,VERW_Project!$S46,"n.b."))),"n.b.")))</f>
        <v/>
      </c>
      <c r="O50" s="63" t="str">
        <f>IF($A50="","",IF(AND(ISNUMBER(N50),ISNUMBER(K50)),IF(K50&lt;&gt;0,N50/K50,"n.b."),"n.b."))</f>
        <v/>
      </c>
      <c r="P50" s="41" t="str">
        <f>IF($A50="","",IF(AND(ISNUMBER(K50),ISNUMBER(E50)),K50-E50,"n.b."))</f>
        <v/>
      </c>
      <c r="Q50" s="41" t="str">
        <f>IF($A50="","",IF(AND(ISNUMBER(K50),ISNUMBER(W50)),K50-W50,"n.b."))</f>
        <v/>
      </c>
      <c r="R50" s="64" t="str">
        <f>IF($A50="","",IF(ISNUMBER(N50),IF(N50&lt;0,"Verlies",""),""))</f>
        <v/>
      </c>
      <c r="S50" s="61" t="str">
        <f>IF($A50="","",IFERROR(INDEX(T_Txt,MATCH($A50&amp;"|"&amp;Sel_Doeljaar&amp;"|"&amp;P_VJ&amp;"|"&amp;Sel_Versie,T_Key,0)),""))</f>
        <v/>
      </c>
      <c r="U50" s="15" t="str">
        <f>IF(AND(AND($A50&lt;&gt;"",OR(Sel_Type="Alle",$C50=Sel_Type),OR(Sel_Project="Alle",$B50=Sel_Project)),ISNUMBER(K50)),K50+ROW()/1000000000,"")</f>
        <v/>
      </c>
      <c r="V50" s="15" t="str">
        <f>IF(AND(AND($A50&lt;&gt;"",OR(Sel_Type="Alle",$C50=Sel_Type),OR(Sel_Project="Alle",$B50=Sel_Project)),ISNUMBER(Q50)),ABS(Q50)+ROW()/1000000000,"")</f>
        <v/>
      </c>
      <c r="W50" s="15" t="str">
        <f>IF(OR($A50="",Sel_Prev=""),"n.b.",IF(ISNUMBER(IF(COUNTIFS(L_Actief,1,L_WBS,$A50,L_Doeljaar,Sel_Doeljaar,L_Versiejaar,P_VJ,L_Versie,Sel_Prev,L_Kengetal,"Omzet FY")=0,"n.b.",SUMIFS(L_Waarde,L_Actief,1,L_WBS,$A50,L_Doeljaar,Sel_Doeljaar,L_Versiejaar,P_VJ,L_Versie,Sel_Prev,L_Kengetal,"Omzet FY"))),IF(COUNTIFS(L_Actief,1,L_WBS,$A50,L_Doeljaar,Sel_Doeljaar,L_Versiejaar,P_VJ,L_Versie,Sel_Prev,L_Kengetal,"Omzet FY")=0,"n.b.",SUMIFS(L_Waarde,L_Actief,1,L_WBS,$A50,L_Doeljaar,Sel_Doeljaar,L_Versiejaar,P_VJ,L_Versie,Sel_Prev,L_Kengetal,"Omzet FY"))/P_Factor,IF(COUNTIFS(L_Actief,1,L_WBS,$A50,L_Doeljaar,Sel_Doeljaar,L_Versiejaar,P_VJ,L_Versie,Sel_Prev,L_Kengetal,"Omzet FY")=0,"n.b.",SUMIFS(L_Waarde,L_Actief,1,L_WBS,$A50,L_Doeljaar,Sel_Doeljaar,L_Versiejaar,P_VJ,L_Versie,Sel_Prev,L_Kengetal,"Omzet FY"))))</f>
        <v>n.b.</v>
      </c>
    </row>
    <row r="51">
      <c r="A51" s="61" t="str">
        <f>IF(VERW_Project!$A47="","",VERW_Project!$A47)</f>
        <v/>
      </c>
      <c r="B51" s="61" t="str">
        <f>IF($A51="","",VERW_Project!$C47)</f>
        <v/>
      </c>
      <c r="C51" s="61" t="str">
        <f>IF($A51="","",VERW_Project!$D47)</f>
        <v/>
      </c>
      <c r="D51" s="61" t="str">
        <f>IF($A51="","",VERW_Project!$I47)</f>
        <v/>
      </c>
      <c r="E51" s="41" t="str">
        <f>IF($A51="","",IF(ISNUMBER(IF(COUNTIFS(L_Actief,1,L_WBS,$A51,L_Doeljaar,Sel_Doeljaar,L_Versiejaar,P_VJ,L_Versie,E$8,L_Kengetal,"Omzet FY")=0,"n.b.",SUMIFS(L_Waarde,L_Actief,1,L_WBS,$A51,L_Doeljaar,Sel_Doeljaar,L_Versiejaar,P_VJ,L_Versie,E$8,L_Kengetal,"Omzet FY"))),IF(COUNTIFS(L_Actief,1,L_WBS,$A51,L_Doeljaar,Sel_Doeljaar,L_Versiejaar,P_VJ,L_Versie,E$8,L_Kengetal,"Omzet FY")=0,"n.b.",SUMIFS(L_Waarde,L_Actief,1,L_WBS,$A51,L_Doeljaar,Sel_Doeljaar,L_Versiejaar,P_VJ,L_Versie,E$8,L_Kengetal,"Omzet FY"))/P_Factor,IF(COUNTIFS(L_Actief,1,L_WBS,$A51,L_Doeljaar,Sel_Doeljaar,L_Versiejaar,P_VJ,L_Versie,E$8,L_Kengetal,"Omzet FY")=0,"n.b.",SUMIFS(L_Waarde,L_Actief,1,L_WBS,$A51,L_Doeljaar,Sel_Doeljaar,L_Versiejaar,P_VJ,L_Versie,E$8,L_Kengetal,"Omzet FY"))))</f>
        <v/>
      </c>
      <c r="F51" s="41" t="str">
        <f>IF($A51="","",IF(ISNUMBER(IF(COUNTIFS(L_Actief,1,L_WBS,$A51,L_Doeljaar,Sel_Doeljaar,L_Versiejaar,P_VJ,L_Versie,F$8,L_Kengetal,"Omzet FY")=0,"n.b.",SUMIFS(L_Waarde,L_Actief,1,L_WBS,$A51,L_Doeljaar,Sel_Doeljaar,L_Versiejaar,P_VJ,L_Versie,F$8,L_Kengetal,"Omzet FY"))),IF(COUNTIFS(L_Actief,1,L_WBS,$A51,L_Doeljaar,Sel_Doeljaar,L_Versiejaar,P_VJ,L_Versie,F$8,L_Kengetal,"Omzet FY")=0,"n.b.",SUMIFS(L_Waarde,L_Actief,1,L_WBS,$A51,L_Doeljaar,Sel_Doeljaar,L_Versiejaar,P_VJ,L_Versie,F$8,L_Kengetal,"Omzet FY"))/P_Factor,IF(COUNTIFS(L_Actief,1,L_WBS,$A51,L_Doeljaar,Sel_Doeljaar,L_Versiejaar,P_VJ,L_Versie,F$8,L_Kengetal,"Omzet FY")=0,"n.b.",SUMIFS(L_Waarde,L_Actief,1,L_WBS,$A51,L_Doeljaar,Sel_Doeljaar,L_Versiejaar,P_VJ,L_Versie,F$8,L_Kengetal,"Omzet FY"))))</f>
        <v/>
      </c>
      <c r="G51" s="41" t="str">
        <f>IF($A51="","",IF(ISNUMBER(IF(COUNTIFS(L_Actief,1,L_WBS,$A51,L_Doeljaar,Sel_Doeljaar,L_Versiejaar,P_VJ,L_Versie,G$8,L_Kengetal,"Omzet FY")=0,"n.b.",SUMIFS(L_Waarde,L_Actief,1,L_WBS,$A51,L_Doeljaar,Sel_Doeljaar,L_Versiejaar,P_VJ,L_Versie,G$8,L_Kengetal,"Omzet FY"))),IF(COUNTIFS(L_Actief,1,L_WBS,$A51,L_Doeljaar,Sel_Doeljaar,L_Versiejaar,P_VJ,L_Versie,G$8,L_Kengetal,"Omzet FY")=0,"n.b.",SUMIFS(L_Waarde,L_Actief,1,L_WBS,$A51,L_Doeljaar,Sel_Doeljaar,L_Versiejaar,P_VJ,L_Versie,G$8,L_Kengetal,"Omzet FY"))/P_Factor,IF(COUNTIFS(L_Actief,1,L_WBS,$A51,L_Doeljaar,Sel_Doeljaar,L_Versiejaar,P_VJ,L_Versie,G$8,L_Kengetal,"Omzet FY")=0,"n.b.",SUMIFS(L_Waarde,L_Actief,1,L_WBS,$A51,L_Doeljaar,Sel_Doeljaar,L_Versiejaar,P_VJ,L_Versie,G$8,L_Kengetal,"Omzet FY"))))</f>
        <v/>
      </c>
      <c r="H51" s="41" t="str">
        <f>IF($A51="","",IF(ISNUMBER(IF(COUNTIFS(L_Actief,1,L_WBS,$A51,L_Doeljaar,Sel_Doeljaar,L_Versiejaar,P_VJ,L_Versie,H$8,L_Kengetal,"Omzet FY")=0,"n.b.",SUMIFS(L_Waarde,L_Actief,1,L_WBS,$A51,L_Doeljaar,Sel_Doeljaar,L_Versiejaar,P_VJ,L_Versie,H$8,L_Kengetal,"Omzet FY"))),IF(COUNTIFS(L_Actief,1,L_WBS,$A51,L_Doeljaar,Sel_Doeljaar,L_Versiejaar,P_VJ,L_Versie,H$8,L_Kengetal,"Omzet FY")=0,"n.b.",SUMIFS(L_Waarde,L_Actief,1,L_WBS,$A51,L_Doeljaar,Sel_Doeljaar,L_Versiejaar,P_VJ,L_Versie,H$8,L_Kengetal,"Omzet FY"))/P_Factor,IF(COUNTIFS(L_Actief,1,L_WBS,$A51,L_Doeljaar,Sel_Doeljaar,L_Versiejaar,P_VJ,L_Versie,H$8,L_Kengetal,"Omzet FY")=0,"n.b.",SUMIFS(L_Waarde,L_Actief,1,L_WBS,$A51,L_Doeljaar,Sel_Doeljaar,L_Versiejaar,P_VJ,L_Versie,H$8,L_Kengetal,"Omzet FY"))))</f>
        <v/>
      </c>
      <c r="I51" s="41" t="str">
        <f>IF($A51="","",IF(ISNUMBER(IF(COUNTIFS(L_Actief,1,L_WBS,$A51,L_Doeljaar,Sel_Doeljaar,L_Versiejaar,P_VJ,L_Versie,I$8,L_Kengetal,"Omzet FY")=0,"n.b.",SUMIFS(L_Waarde,L_Actief,1,L_WBS,$A51,L_Doeljaar,Sel_Doeljaar,L_Versiejaar,P_VJ,L_Versie,I$8,L_Kengetal,"Omzet FY"))),IF(COUNTIFS(L_Actief,1,L_WBS,$A51,L_Doeljaar,Sel_Doeljaar,L_Versiejaar,P_VJ,L_Versie,I$8,L_Kengetal,"Omzet FY")=0,"n.b.",SUMIFS(L_Waarde,L_Actief,1,L_WBS,$A51,L_Doeljaar,Sel_Doeljaar,L_Versiejaar,P_VJ,L_Versie,I$8,L_Kengetal,"Omzet FY"))/P_Factor,IF(COUNTIFS(L_Actief,1,L_WBS,$A51,L_Doeljaar,Sel_Doeljaar,L_Versiejaar,P_VJ,L_Versie,I$8,L_Kengetal,"Omzet FY")=0,"n.b.",SUMIFS(L_Waarde,L_Actief,1,L_WBS,$A51,L_Doeljaar,Sel_Doeljaar,L_Versiejaar,P_VJ,L_Versie,I$8,L_Kengetal,"Omzet FY"))))</f>
        <v/>
      </c>
      <c r="J51" s="41" t="str">
        <f>IF($A51="","",IF(ISNUMBER(IF(Sel_Doeljaar=P_RJ,VERW_Project!$P47,IF(Sel_Doeljaar=P_RJ+1,VERW_Project!$R47,"n.b."))),IF(Sel_Doeljaar=P_RJ,VERW_Project!$P47,IF(Sel_Doeljaar=P_RJ+1,VERW_Project!$R47,"n.b."))/P_Factor,IF(Sel_Doeljaar=P_RJ,VERW_Project!$P47,IF(Sel_Doeljaar=P_RJ+1,VERW_Project!$R47,"n.b."))))</f>
        <v/>
      </c>
      <c r="K51" s="41" t="str">
        <f>IF($A51="","",IF(Sel_Bron="Vastgesteld",INDEX($E51:$I51,MATCH(Sel_Versie,$E$8:$I$8,0)),IF(Sel_Bron="Concept",J51,"n.b.")))</f>
        <v/>
      </c>
      <c r="L51" s="62" t="str">
        <f>IF($A51="","",IF(Sel_Doeljaar&gt;P_VJ,"n.v.t.",IF(Sel_Bron="Vastgesteld",IF(ISNUMBER(IF(COUNTIFS(L_Actief,1,L_WBS,$A51,L_Doeljaar,Sel_Doeljaar,L_Versiejaar,P_VJ,L_Versie,Sel_Versie,L_Kengetal,"Omzet actual YTD")=0,"n.b.",SUMIFS(L_Waarde,L_Actief,1,L_WBS,$A51,L_Doeljaar,Sel_Doeljaar,L_Versiejaar,P_VJ,L_Versie,Sel_Versie,L_Kengetal,"Omzet actual YTD"))),IF(COUNTIFS(L_Actief,1,L_WBS,$A51,L_Doeljaar,Sel_Doeljaar,L_Versiejaar,P_VJ,L_Versie,Sel_Versie,L_Kengetal,"Omzet actual YTD")=0,"n.b.",SUMIFS(L_Waarde,L_Actief,1,L_WBS,$A51,L_Doeljaar,Sel_Doeljaar,L_Versiejaar,P_VJ,L_Versie,Sel_Versie,L_Kengetal,"Omzet actual YTD"))/P_Factor,IF(COUNTIFS(L_Actief,1,L_WBS,$A51,L_Doeljaar,Sel_Doeljaar,L_Versiejaar,P_VJ,L_Versie,Sel_Versie,L_Kengetal,"Omzet actual YTD")=0,"n.b.",SUMIFS(L_Waarde,L_Actief,1,L_WBS,$A51,L_Doeljaar,Sel_Doeljaar,L_Versiejaar,P_VJ,L_Versie,Sel_Versie,L_Kengetal,"Omzet actual YTD"))),IF(Sel_Bron="Concept",IF(ISNUMBER(IF(Sel_Doeljaar=P_RJ,VERW_Project!$L47,"n.v.t.")),IF(Sel_Doeljaar=P_RJ,VERW_Project!$L47,"n.v.t.")/P_Factor,IF(Sel_Doeljaar=P_RJ,VERW_Project!$L47,"n.v.t.")),"n.b."))))</f>
        <v/>
      </c>
      <c r="M51" s="41" t="str">
        <f>IF($A51="","",IF(L51="n.v.t.",K51,IF(AND(ISNUMBER(K51),ISNUMBER(L51)),K51-L51,"n.b.")))</f>
        <v/>
      </c>
      <c r="N51" s="41" t="str">
        <f>IF($A51="","",IF(Sel_Bron="Vastgesteld",IF(ISNUMBER(IF(COUNTIFS(L_Actief,1,L_WBS,$A51,L_Doeljaar,Sel_Doeljaar,L_Versiejaar,P_VJ,L_Versie,Sel_Versie,L_Kengetal,"BOR FY")=0,"n.b.",SUMIFS(L_Waarde,L_Actief,1,L_WBS,$A51,L_Doeljaar,Sel_Doeljaar,L_Versiejaar,P_VJ,L_Versie,Sel_Versie,L_Kengetal,"BOR FY"))),IF(COUNTIFS(L_Actief,1,L_WBS,$A51,L_Doeljaar,Sel_Doeljaar,L_Versiejaar,P_VJ,L_Versie,Sel_Versie,L_Kengetal,"BOR FY")=0,"n.b.",SUMIFS(L_Waarde,L_Actief,1,L_WBS,$A51,L_Doeljaar,Sel_Doeljaar,L_Versiejaar,P_VJ,L_Versie,Sel_Versie,L_Kengetal,"BOR FY"))/P_Factor,IF(COUNTIFS(L_Actief,1,L_WBS,$A51,L_Doeljaar,Sel_Doeljaar,L_Versiejaar,P_VJ,L_Versie,Sel_Versie,L_Kengetal,"BOR FY")=0,"n.b.",SUMIFS(L_Waarde,L_Actief,1,L_WBS,$A51,L_Doeljaar,Sel_Doeljaar,L_Versiejaar,P_VJ,L_Versie,Sel_Versie,L_Kengetal,"BOR FY"))),IF(Sel_Bron="Concept",IF(ISNUMBER(IF(Sel_Doeljaar=P_RJ,VERW_Project!$Q47,IF(Sel_Doeljaar=P_RJ+1,VERW_Project!$S47,"n.b."))),IF(Sel_Doeljaar=P_RJ,VERW_Project!$Q47,IF(Sel_Doeljaar=P_RJ+1,VERW_Project!$S47,"n.b."))/P_Factor,IF(Sel_Doeljaar=P_RJ,VERW_Project!$Q47,IF(Sel_Doeljaar=P_RJ+1,VERW_Project!$S47,"n.b."))),"n.b.")))</f>
        <v/>
      </c>
      <c r="O51" s="63" t="str">
        <f>IF($A51="","",IF(AND(ISNUMBER(N51),ISNUMBER(K51)),IF(K51&lt;&gt;0,N51/K51,"n.b."),"n.b."))</f>
        <v/>
      </c>
      <c r="P51" s="41" t="str">
        <f>IF($A51="","",IF(AND(ISNUMBER(K51),ISNUMBER(E51)),K51-E51,"n.b."))</f>
        <v/>
      </c>
      <c r="Q51" s="41" t="str">
        <f>IF($A51="","",IF(AND(ISNUMBER(K51),ISNUMBER(W51)),K51-W51,"n.b."))</f>
        <v/>
      </c>
      <c r="R51" s="64" t="str">
        <f>IF($A51="","",IF(ISNUMBER(N51),IF(N51&lt;0,"Verlies",""),""))</f>
        <v/>
      </c>
      <c r="S51" s="61" t="str">
        <f>IF($A51="","",IFERROR(INDEX(T_Txt,MATCH($A51&amp;"|"&amp;Sel_Doeljaar&amp;"|"&amp;P_VJ&amp;"|"&amp;Sel_Versie,T_Key,0)),""))</f>
        <v/>
      </c>
      <c r="U51" s="15" t="str">
        <f>IF(AND(AND($A51&lt;&gt;"",OR(Sel_Type="Alle",$C51=Sel_Type),OR(Sel_Project="Alle",$B51=Sel_Project)),ISNUMBER(K51)),K51+ROW()/1000000000,"")</f>
        <v/>
      </c>
      <c r="V51" s="15" t="str">
        <f>IF(AND(AND($A51&lt;&gt;"",OR(Sel_Type="Alle",$C51=Sel_Type),OR(Sel_Project="Alle",$B51=Sel_Project)),ISNUMBER(Q51)),ABS(Q51)+ROW()/1000000000,"")</f>
        <v/>
      </c>
      <c r="W51" s="15" t="str">
        <f>IF(OR($A51="",Sel_Prev=""),"n.b.",IF(ISNUMBER(IF(COUNTIFS(L_Actief,1,L_WBS,$A51,L_Doeljaar,Sel_Doeljaar,L_Versiejaar,P_VJ,L_Versie,Sel_Prev,L_Kengetal,"Omzet FY")=0,"n.b.",SUMIFS(L_Waarde,L_Actief,1,L_WBS,$A51,L_Doeljaar,Sel_Doeljaar,L_Versiejaar,P_VJ,L_Versie,Sel_Prev,L_Kengetal,"Omzet FY"))),IF(COUNTIFS(L_Actief,1,L_WBS,$A51,L_Doeljaar,Sel_Doeljaar,L_Versiejaar,P_VJ,L_Versie,Sel_Prev,L_Kengetal,"Omzet FY")=0,"n.b.",SUMIFS(L_Waarde,L_Actief,1,L_WBS,$A51,L_Doeljaar,Sel_Doeljaar,L_Versiejaar,P_VJ,L_Versie,Sel_Prev,L_Kengetal,"Omzet FY"))/P_Factor,IF(COUNTIFS(L_Actief,1,L_WBS,$A51,L_Doeljaar,Sel_Doeljaar,L_Versiejaar,P_VJ,L_Versie,Sel_Prev,L_Kengetal,"Omzet FY")=0,"n.b.",SUMIFS(L_Waarde,L_Actief,1,L_WBS,$A51,L_Doeljaar,Sel_Doeljaar,L_Versiejaar,P_VJ,L_Versie,Sel_Prev,L_Kengetal,"Omzet FY"))))</f>
        <v>n.b.</v>
      </c>
    </row>
    <row r="52">
      <c r="A52" s="61" t="str">
        <f>IF(VERW_Project!$A48="","",VERW_Project!$A48)</f>
        <v/>
      </c>
      <c r="B52" s="61" t="str">
        <f>IF($A52="","",VERW_Project!$C48)</f>
        <v/>
      </c>
      <c r="C52" s="61" t="str">
        <f>IF($A52="","",VERW_Project!$D48)</f>
        <v/>
      </c>
      <c r="D52" s="61" t="str">
        <f>IF($A52="","",VERW_Project!$I48)</f>
        <v/>
      </c>
      <c r="E52" s="41" t="str">
        <f>IF($A52="","",IF(ISNUMBER(IF(COUNTIFS(L_Actief,1,L_WBS,$A52,L_Doeljaar,Sel_Doeljaar,L_Versiejaar,P_VJ,L_Versie,E$8,L_Kengetal,"Omzet FY")=0,"n.b.",SUMIFS(L_Waarde,L_Actief,1,L_WBS,$A52,L_Doeljaar,Sel_Doeljaar,L_Versiejaar,P_VJ,L_Versie,E$8,L_Kengetal,"Omzet FY"))),IF(COUNTIFS(L_Actief,1,L_WBS,$A52,L_Doeljaar,Sel_Doeljaar,L_Versiejaar,P_VJ,L_Versie,E$8,L_Kengetal,"Omzet FY")=0,"n.b.",SUMIFS(L_Waarde,L_Actief,1,L_WBS,$A52,L_Doeljaar,Sel_Doeljaar,L_Versiejaar,P_VJ,L_Versie,E$8,L_Kengetal,"Omzet FY"))/P_Factor,IF(COUNTIFS(L_Actief,1,L_WBS,$A52,L_Doeljaar,Sel_Doeljaar,L_Versiejaar,P_VJ,L_Versie,E$8,L_Kengetal,"Omzet FY")=0,"n.b.",SUMIFS(L_Waarde,L_Actief,1,L_WBS,$A52,L_Doeljaar,Sel_Doeljaar,L_Versiejaar,P_VJ,L_Versie,E$8,L_Kengetal,"Omzet FY"))))</f>
        <v/>
      </c>
      <c r="F52" s="41" t="str">
        <f>IF($A52="","",IF(ISNUMBER(IF(COUNTIFS(L_Actief,1,L_WBS,$A52,L_Doeljaar,Sel_Doeljaar,L_Versiejaar,P_VJ,L_Versie,F$8,L_Kengetal,"Omzet FY")=0,"n.b.",SUMIFS(L_Waarde,L_Actief,1,L_WBS,$A52,L_Doeljaar,Sel_Doeljaar,L_Versiejaar,P_VJ,L_Versie,F$8,L_Kengetal,"Omzet FY"))),IF(COUNTIFS(L_Actief,1,L_WBS,$A52,L_Doeljaar,Sel_Doeljaar,L_Versiejaar,P_VJ,L_Versie,F$8,L_Kengetal,"Omzet FY")=0,"n.b.",SUMIFS(L_Waarde,L_Actief,1,L_WBS,$A52,L_Doeljaar,Sel_Doeljaar,L_Versiejaar,P_VJ,L_Versie,F$8,L_Kengetal,"Omzet FY"))/P_Factor,IF(COUNTIFS(L_Actief,1,L_WBS,$A52,L_Doeljaar,Sel_Doeljaar,L_Versiejaar,P_VJ,L_Versie,F$8,L_Kengetal,"Omzet FY")=0,"n.b.",SUMIFS(L_Waarde,L_Actief,1,L_WBS,$A52,L_Doeljaar,Sel_Doeljaar,L_Versiejaar,P_VJ,L_Versie,F$8,L_Kengetal,"Omzet FY"))))</f>
        <v/>
      </c>
      <c r="G52" s="41" t="str">
        <f>IF($A52="","",IF(ISNUMBER(IF(COUNTIFS(L_Actief,1,L_WBS,$A52,L_Doeljaar,Sel_Doeljaar,L_Versiejaar,P_VJ,L_Versie,G$8,L_Kengetal,"Omzet FY")=0,"n.b.",SUMIFS(L_Waarde,L_Actief,1,L_WBS,$A52,L_Doeljaar,Sel_Doeljaar,L_Versiejaar,P_VJ,L_Versie,G$8,L_Kengetal,"Omzet FY"))),IF(COUNTIFS(L_Actief,1,L_WBS,$A52,L_Doeljaar,Sel_Doeljaar,L_Versiejaar,P_VJ,L_Versie,G$8,L_Kengetal,"Omzet FY")=0,"n.b.",SUMIFS(L_Waarde,L_Actief,1,L_WBS,$A52,L_Doeljaar,Sel_Doeljaar,L_Versiejaar,P_VJ,L_Versie,G$8,L_Kengetal,"Omzet FY"))/P_Factor,IF(COUNTIFS(L_Actief,1,L_WBS,$A52,L_Doeljaar,Sel_Doeljaar,L_Versiejaar,P_VJ,L_Versie,G$8,L_Kengetal,"Omzet FY")=0,"n.b.",SUMIFS(L_Waarde,L_Actief,1,L_WBS,$A52,L_Doeljaar,Sel_Doeljaar,L_Versiejaar,P_VJ,L_Versie,G$8,L_Kengetal,"Omzet FY"))))</f>
        <v/>
      </c>
      <c r="H52" s="41" t="str">
        <f>IF($A52="","",IF(ISNUMBER(IF(COUNTIFS(L_Actief,1,L_WBS,$A52,L_Doeljaar,Sel_Doeljaar,L_Versiejaar,P_VJ,L_Versie,H$8,L_Kengetal,"Omzet FY")=0,"n.b.",SUMIFS(L_Waarde,L_Actief,1,L_WBS,$A52,L_Doeljaar,Sel_Doeljaar,L_Versiejaar,P_VJ,L_Versie,H$8,L_Kengetal,"Omzet FY"))),IF(COUNTIFS(L_Actief,1,L_WBS,$A52,L_Doeljaar,Sel_Doeljaar,L_Versiejaar,P_VJ,L_Versie,H$8,L_Kengetal,"Omzet FY")=0,"n.b.",SUMIFS(L_Waarde,L_Actief,1,L_WBS,$A52,L_Doeljaar,Sel_Doeljaar,L_Versiejaar,P_VJ,L_Versie,H$8,L_Kengetal,"Omzet FY"))/P_Factor,IF(COUNTIFS(L_Actief,1,L_WBS,$A52,L_Doeljaar,Sel_Doeljaar,L_Versiejaar,P_VJ,L_Versie,H$8,L_Kengetal,"Omzet FY")=0,"n.b.",SUMIFS(L_Waarde,L_Actief,1,L_WBS,$A52,L_Doeljaar,Sel_Doeljaar,L_Versiejaar,P_VJ,L_Versie,H$8,L_Kengetal,"Omzet FY"))))</f>
        <v/>
      </c>
      <c r="I52" s="41" t="str">
        <f>IF($A52="","",IF(ISNUMBER(IF(COUNTIFS(L_Actief,1,L_WBS,$A52,L_Doeljaar,Sel_Doeljaar,L_Versiejaar,P_VJ,L_Versie,I$8,L_Kengetal,"Omzet FY")=0,"n.b.",SUMIFS(L_Waarde,L_Actief,1,L_WBS,$A52,L_Doeljaar,Sel_Doeljaar,L_Versiejaar,P_VJ,L_Versie,I$8,L_Kengetal,"Omzet FY"))),IF(COUNTIFS(L_Actief,1,L_WBS,$A52,L_Doeljaar,Sel_Doeljaar,L_Versiejaar,P_VJ,L_Versie,I$8,L_Kengetal,"Omzet FY")=0,"n.b.",SUMIFS(L_Waarde,L_Actief,1,L_WBS,$A52,L_Doeljaar,Sel_Doeljaar,L_Versiejaar,P_VJ,L_Versie,I$8,L_Kengetal,"Omzet FY"))/P_Factor,IF(COUNTIFS(L_Actief,1,L_WBS,$A52,L_Doeljaar,Sel_Doeljaar,L_Versiejaar,P_VJ,L_Versie,I$8,L_Kengetal,"Omzet FY")=0,"n.b.",SUMIFS(L_Waarde,L_Actief,1,L_WBS,$A52,L_Doeljaar,Sel_Doeljaar,L_Versiejaar,P_VJ,L_Versie,I$8,L_Kengetal,"Omzet FY"))))</f>
        <v/>
      </c>
      <c r="J52" s="41" t="str">
        <f>IF($A52="","",IF(ISNUMBER(IF(Sel_Doeljaar=P_RJ,VERW_Project!$P48,IF(Sel_Doeljaar=P_RJ+1,VERW_Project!$R48,"n.b."))),IF(Sel_Doeljaar=P_RJ,VERW_Project!$P48,IF(Sel_Doeljaar=P_RJ+1,VERW_Project!$R48,"n.b."))/P_Factor,IF(Sel_Doeljaar=P_RJ,VERW_Project!$P48,IF(Sel_Doeljaar=P_RJ+1,VERW_Project!$R48,"n.b."))))</f>
        <v/>
      </c>
      <c r="K52" s="41" t="str">
        <f>IF($A52="","",IF(Sel_Bron="Vastgesteld",INDEX($E52:$I52,MATCH(Sel_Versie,$E$8:$I$8,0)),IF(Sel_Bron="Concept",J52,"n.b.")))</f>
        <v/>
      </c>
      <c r="L52" s="62" t="str">
        <f>IF($A52="","",IF(Sel_Doeljaar&gt;P_VJ,"n.v.t.",IF(Sel_Bron="Vastgesteld",IF(ISNUMBER(IF(COUNTIFS(L_Actief,1,L_WBS,$A52,L_Doeljaar,Sel_Doeljaar,L_Versiejaar,P_VJ,L_Versie,Sel_Versie,L_Kengetal,"Omzet actual YTD")=0,"n.b.",SUMIFS(L_Waarde,L_Actief,1,L_WBS,$A52,L_Doeljaar,Sel_Doeljaar,L_Versiejaar,P_VJ,L_Versie,Sel_Versie,L_Kengetal,"Omzet actual YTD"))),IF(COUNTIFS(L_Actief,1,L_WBS,$A52,L_Doeljaar,Sel_Doeljaar,L_Versiejaar,P_VJ,L_Versie,Sel_Versie,L_Kengetal,"Omzet actual YTD")=0,"n.b.",SUMIFS(L_Waarde,L_Actief,1,L_WBS,$A52,L_Doeljaar,Sel_Doeljaar,L_Versiejaar,P_VJ,L_Versie,Sel_Versie,L_Kengetal,"Omzet actual YTD"))/P_Factor,IF(COUNTIFS(L_Actief,1,L_WBS,$A52,L_Doeljaar,Sel_Doeljaar,L_Versiejaar,P_VJ,L_Versie,Sel_Versie,L_Kengetal,"Omzet actual YTD")=0,"n.b.",SUMIFS(L_Waarde,L_Actief,1,L_WBS,$A52,L_Doeljaar,Sel_Doeljaar,L_Versiejaar,P_VJ,L_Versie,Sel_Versie,L_Kengetal,"Omzet actual YTD"))),IF(Sel_Bron="Concept",IF(ISNUMBER(IF(Sel_Doeljaar=P_RJ,VERW_Project!$L48,"n.v.t.")),IF(Sel_Doeljaar=P_RJ,VERW_Project!$L48,"n.v.t.")/P_Factor,IF(Sel_Doeljaar=P_RJ,VERW_Project!$L48,"n.v.t.")),"n.b."))))</f>
        <v/>
      </c>
      <c r="M52" s="41" t="str">
        <f>IF($A52="","",IF(L52="n.v.t.",K52,IF(AND(ISNUMBER(K52),ISNUMBER(L52)),K52-L52,"n.b.")))</f>
        <v/>
      </c>
      <c r="N52" s="41" t="str">
        <f>IF($A52="","",IF(Sel_Bron="Vastgesteld",IF(ISNUMBER(IF(COUNTIFS(L_Actief,1,L_WBS,$A52,L_Doeljaar,Sel_Doeljaar,L_Versiejaar,P_VJ,L_Versie,Sel_Versie,L_Kengetal,"BOR FY")=0,"n.b.",SUMIFS(L_Waarde,L_Actief,1,L_WBS,$A52,L_Doeljaar,Sel_Doeljaar,L_Versiejaar,P_VJ,L_Versie,Sel_Versie,L_Kengetal,"BOR FY"))),IF(COUNTIFS(L_Actief,1,L_WBS,$A52,L_Doeljaar,Sel_Doeljaar,L_Versiejaar,P_VJ,L_Versie,Sel_Versie,L_Kengetal,"BOR FY")=0,"n.b.",SUMIFS(L_Waarde,L_Actief,1,L_WBS,$A52,L_Doeljaar,Sel_Doeljaar,L_Versiejaar,P_VJ,L_Versie,Sel_Versie,L_Kengetal,"BOR FY"))/P_Factor,IF(COUNTIFS(L_Actief,1,L_WBS,$A52,L_Doeljaar,Sel_Doeljaar,L_Versiejaar,P_VJ,L_Versie,Sel_Versie,L_Kengetal,"BOR FY")=0,"n.b.",SUMIFS(L_Waarde,L_Actief,1,L_WBS,$A52,L_Doeljaar,Sel_Doeljaar,L_Versiejaar,P_VJ,L_Versie,Sel_Versie,L_Kengetal,"BOR FY"))),IF(Sel_Bron="Concept",IF(ISNUMBER(IF(Sel_Doeljaar=P_RJ,VERW_Project!$Q48,IF(Sel_Doeljaar=P_RJ+1,VERW_Project!$S48,"n.b."))),IF(Sel_Doeljaar=P_RJ,VERW_Project!$Q48,IF(Sel_Doeljaar=P_RJ+1,VERW_Project!$S48,"n.b."))/P_Factor,IF(Sel_Doeljaar=P_RJ,VERW_Project!$Q48,IF(Sel_Doeljaar=P_RJ+1,VERW_Project!$S48,"n.b."))),"n.b.")))</f>
        <v/>
      </c>
      <c r="O52" s="63" t="str">
        <f>IF($A52="","",IF(AND(ISNUMBER(N52),ISNUMBER(K52)),IF(K52&lt;&gt;0,N52/K52,"n.b."),"n.b."))</f>
        <v/>
      </c>
      <c r="P52" s="41" t="str">
        <f>IF($A52="","",IF(AND(ISNUMBER(K52),ISNUMBER(E52)),K52-E52,"n.b."))</f>
        <v/>
      </c>
      <c r="Q52" s="41" t="str">
        <f>IF($A52="","",IF(AND(ISNUMBER(K52),ISNUMBER(W52)),K52-W52,"n.b."))</f>
        <v/>
      </c>
      <c r="R52" s="64" t="str">
        <f>IF($A52="","",IF(ISNUMBER(N52),IF(N52&lt;0,"Verlies",""),""))</f>
        <v/>
      </c>
      <c r="S52" s="61" t="str">
        <f>IF($A52="","",IFERROR(INDEX(T_Txt,MATCH($A52&amp;"|"&amp;Sel_Doeljaar&amp;"|"&amp;P_VJ&amp;"|"&amp;Sel_Versie,T_Key,0)),""))</f>
        <v/>
      </c>
      <c r="U52" s="15" t="str">
        <f>IF(AND(AND($A52&lt;&gt;"",OR(Sel_Type="Alle",$C52=Sel_Type),OR(Sel_Project="Alle",$B52=Sel_Project)),ISNUMBER(K52)),K52+ROW()/1000000000,"")</f>
        <v/>
      </c>
      <c r="V52" s="15" t="str">
        <f>IF(AND(AND($A52&lt;&gt;"",OR(Sel_Type="Alle",$C52=Sel_Type),OR(Sel_Project="Alle",$B52=Sel_Project)),ISNUMBER(Q52)),ABS(Q52)+ROW()/1000000000,"")</f>
        <v/>
      </c>
      <c r="W52" s="15" t="str">
        <f>IF(OR($A52="",Sel_Prev=""),"n.b.",IF(ISNUMBER(IF(COUNTIFS(L_Actief,1,L_WBS,$A52,L_Doeljaar,Sel_Doeljaar,L_Versiejaar,P_VJ,L_Versie,Sel_Prev,L_Kengetal,"Omzet FY")=0,"n.b.",SUMIFS(L_Waarde,L_Actief,1,L_WBS,$A52,L_Doeljaar,Sel_Doeljaar,L_Versiejaar,P_VJ,L_Versie,Sel_Prev,L_Kengetal,"Omzet FY"))),IF(COUNTIFS(L_Actief,1,L_WBS,$A52,L_Doeljaar,Sel_Doeljaar,L_Versiejaar,P_VJ,L_Versie,Sel_Prev,L_Kengetal,"Omzet FY")=0,"n.b.",SUMIFS(L_Waarde,L_Actief,1,L_WBS,$A52,L_Doeljaar,Sel_Doeljaar,L_Versiejaar,P_VJ,L_Versie,Sel_Prev,L_Kengetal,"Omzet FY"))/P_Factor,IF(COUNTIFS(L_Actief,1,L_WBS,$A52,L_Doeljaar,Sel_Doeljaar,L_Versiejaar,P_VJ,L_Versie,Sel_Prev,L_Kengetal,"Omzet FY")=0,"n.b.",SUMIFS(L_Waarde,L_Actief,1,L_WBS,$A52,L_Doeljaar,Sel_Doeljaar,L_Versiejaar,P_VJ,L_Versie,Sel_Prev,L_Kengetal,"Omzet FY"))))</f>
        <v>n.b.</v>
      </c>
    </row>
    <row r="53">
      <c r="A53" s="61" t="str">
        <f>IF(VERW_Project!$A49="","",VERW_Project!$A49)</f>
        <v/>
      </c>
      <c r="B53" s="61" t="str">
        <f>IF($A53="","",VERW_Project!$C49)</f>
        <v/>
      </c>
      <c r="C53" s="61" t="str">
        <f>IF($A53="","",VERW_Project!$D49)</f>
        <v/>
      </c>
      <c r="D53" s="61" t="str">
        <f>IF($A53="","",VERW_Project!$I49)</f>
        <v/>
      </c>
      <c r="E53" s="41" t="str">
        <f>IF($A53="","",IF(ISNUMBER(IF(COUNTIFS(L_Actief,1,L_WBS,$A53,L_Doeljaar,Sel_Doeljaar,L_Versiejaar,P_VJ,L_Versie,E$8,L_Kengetal,"Omzet FY")=0,"n.b.",SUMIFS(L_Waarde,L_Actief,1,L_WBS,$A53,L_Doeljaar,Sel_Doeljaar,L_Versiejaar,P_VJ,L_Versie,E$8,L_Kengetal,"Omzet FY"))),IF(COUNTIFS(L_Actief,1,L_WBS,$A53,L_Doeljaar,Sel_Doeljaar,L_Versiejaar,P_VJ,L_Versie,E$8,L_Kengetal,"Omzet FY")=0,"n.b.",SUMIFS(L_Waarde,L_Actief,1,L_WBS,$A53,L_Doeljaar,Sel_Doeljaar,L_Versiejaar,P_VJ,L_Versie,E$8,L_Kengetal,"Omzet FY"))/P_Factor,IF(COUNTIFS(L_Actief,1,L_WBS,$A53,L_Doeljaar,Sel_Doeljaar,L_Versiejaar,P_VJ,L_Versie,E$8,L_Kengetal,"Omzet FY")=0,"n.b.",SUMIFS(L_Waarde,L_Actief,1,L_WBS,$A53,L_Doeljaar,Sel_Doeljaar,L_Versiejaar,P_VJ,L_Versie,E$8,L_Kengetal,"Omzet FY"))))</f>
        <v/>
      </c>
      <c r="F53" s="41" t="str">
        <f>IF($A53="","",IF(ISNUMBER(IF(COUNTIFS(L_Actief,1,L_WBS,$A53,L_Doeljaar,Sel_Doeljaar,L_Versiejaar,P_VJ,L_Versie,F$8,L_Kengetal,"Omzet FY")=0,"n.b.",SUMIFS(L_Waarde,L_Actief,1,L_WBS,$A53,L_Doeljaar,Sel_Doeljaar,L_Versiejaar,P_VJ,L_Versie,F$8,L_Kengetal,"Omzet FY"))),IF(COUNTIFS(L_Actief,1,L_WBS,$A53,L_Doeljaar,Sel_Doeljaar,L_Versiejaar,P_VJ,L_Versie,F$8,L_Kengetal,"Omzet FY")=0,"n.b.",SUMIFS(L_Waarde,L_Actief,1,L_WBS,$A53,L_Doeljaar,Sel_Doeljaar,L_Versiejaar,P_VJ,L_Versie,F$8,L_Kengetal,"Omzet FY"))/P_Factor,IF(COUNTIFS(L_Actief,1,L_WBS,$A53,L_Doeljaar,Sel_Doeljaar,L_Versiejaar,P_VJ,L_Versie,F$8,L_Kengetal,"Omzet FY")=0,"n.b.",SUMIFS(L_Waarde,L_Actief,1,L_WBS,$A53,L_Doeljaar,Sel_Doeljaar,L_Versiejaar,P_VJ,L_Versie,F$8,L_Kengetal,"Omzet FY"))))</f>
        <v/>
      </c>
      <c r="G53" s="41" t="str">
        <f>IF($A53="","",IF(ISNUMBER(IF(COUNTIFS(L_Actief,1,L_WBS,$A53,L_Doeljaar,Sel_Doeljaar,L_Versiejaar,P_VJ,L_Versie,G$8,L_Kengetal,"Omzet FY")=0,"n.b.",SUMIFS(L_Waarde,L_Actief,1,L_WBS,$A53,L_Doeljaar,Sel_Doeljaar,L_Versiejaar,P_VJ,L_Versie,G$8,L_Kengetal,"Omzet FY"))),IF(COUNTIFS(L_Actief,1,L_WBS,$A53,L_Doeljaar,Sel_Doeljaar,L_Versiejaar,P_VJ,L_Versie,G$8,L_Kengetal,"Omzet FY")=0,"n.b.",SUMIFS(L_Waarde,L_Actief,1,L_WBS,$A53,L_Doeljaar,Sel_Doeljaar,L_Versiejaar,P_VJ,L_Versie,G$8,L_Kengetal,"Omzet FY"))/P_Factor,IF(COUNTIFS(L_Actief,1,L_WBS,$A53,L_Doeljaar,Sel_Doeljaar,L_Versiejaar,P_VJ,L_Versie,G$8,L_Kengetal,"Omzet FY")=0,"n.b.",SUMIFS(L_Waarde,L_Actief,1,L_WBS,$A53,L_Doeljaar,Sel_Doeljaar,L_Versiejaar,P_VJ,L_Versie,G$8,L_Kengetal,"Omzet FY"))))</f>
        <v/>
      </c>
      <c r="H53" s="41" t="str">
        <f>IF($A53="","",IF(ISNUMBER(IF(COUNTIFS(L_Actief,1,L_WBS,$A53,L_Doeljaar,Sel_Doeljaar,L_Versiejaar,P_VJ,L_Versie,H$8,L_Kengetal,"Omzet FY")=0,"n.b.",SUMIFS(L_Waarde,L_Actief,1,L_WBS,$A53,L_Doeljaar,Sel_Doeljaar,L_Versiejaar,P_VJ,L_Versie,H$8,L_Kengetal,"Omzet FY"))),IF(COUNTIFS(L_Actief,1,L_WBS,$A53,L_Doeljaar,Sel_Doeljaar,L_Versiejaar,P_VJ,L_Versie,H$8,L_Kengetal,"Omzet FY")=0,"n.b.",SUMIFS(L_Waarde,L_Actief,1,L_WBS,$A53,L_Doeljaar,Sel_Doeljaar,L_Versiejaar,P_VJ,L_Versie,H$8,L_Kengetal,"Omzet FY"))/P_Factor,IF(COUNTIFS(L_Actief,1,L_WBS,$A53,L_Doeljaar,Sel_Doeljaar,L_Versiejaar,P_VJ,L_Versie,H$8,L_Kengetal,"Omzet FY")=0,"n.b.",SUMIFS(L_Waarde,L_Actief,1,L_WBS,$A53,L_Doeljaar,Sel_Doeljaar,L_Versiejaar,P_VJ,L_Versie,H$8,L_Kengetal,"Omzet FY"))))</f>
        <v/>
      </c>
      <c r="I53" s="41" t="str">
        <f>IF($A53="","",IF(ISNUMBER(IF(COUNTIFS(L_Actief,1,L_WBS,$A53,L_Doeljaar,Sel_Doeljaar,L_Versiejaar,P_VJ,L_Versie,I$8,L_Kengetal,"Omzet FY")=0,"n.b.",SUMIFS(L_Waarde,L_Actief,1,L_WBS,$A53,L_Doeljaar,Sel_Doeljaar,L_Versiejaar,P_VJ,L_Versie,I$8,L_Kengetal,"Omzet FY"))),IF(COUNTIFS(L_Actief,1,L_WBS,$A53,L_Doeljaar,Sel_Doeljaar,L_Versiejaar,P_VJ,L_Versie,I$8,L_Kengetal,"Omzet FY")=0,"n.b.",SUMIFS(L_Waarde,L_Actief,1,L_WBS,$A53,L_Doeljaar,Sel_Doeljaar,L_Versiejaar,P_VJ,L_Versie,I$8,L_Kengetal,"Omzet FY"))/P_Factor,IF(COUNTIFS(L_Actief,1,L_WBS,$A53,L_Doeljaar,Sel_Doeljaar,L_Versiejaar,P_VJ,L_Versie,I$8,L_Kengetal,"Omzet FY")=0,"n.b.",SUMIFS(L_Waarde,L_Actief,1,L_WBS,$A53,L_Doeljaar,Sel_Doeljaar,L_Versiejaar,P_VJ,L_Versie,I$8,L_Kengetal,"Omzet FY"))))</f>
        <v/>
      </c>
      <c r="J53" s="41" t="str">
        <f>IF($A53="","",IF(ISNUMBER(IF(Sel_Doeljaar=P_RJ,VERW_Project!$P49,IF(Sel_Doeljaar=P_RJ+1,VERW_Project!$R49,"n.b."))),IF(Sel_Doeljaar=P_RJ,VERW_Project!$P49,IF(Sel_Doeljaar=P_RJ+1,VERW_Project!$R49,"n.b."))/P_Factor,IF(Sel_Doeljaar=P_RJ,VERW_Project!$P49,IF(Sel_Doeljaar=P_RJ+1,VERW_Project!$R49,"n.b."))))</f>
        <v/>
      </c>
      <c r="K53" s="41" t="str">
        <f>IF($A53="","",IF(Sel_Bron="Vastgesteld",INDEX($E53:$I53,MATCH(Sel_Versie,$E$8:$I$8,0)),IF(Sel_Bron="Concept",J53,"n.b.")))</f>
        <v/>
      </c>
      <c r="L53" s="62" t="str">
        <f>IF($A53="","",IF(Sel_Doeljaar&gt;P_VJ,"n.v.t.",IF(Sel_Bron="Vastgesteld",IF(ISNUMBER(IF(COUNTIFS(L_Actief,1,L_WBS,$A53,L_Doeljaar,Sel_Doeljaar,L_Versiejaar,P_VJ,L_Versie,Sel_Versie,L_Kengetal,"Omzet actual YTD")=0,"n.b.",SUMIFS(L_Waarde,L_Actief,1,L_WBS,$A53,L_Doeljaar,Sel_Doeljaar,L_Versiejaar,P_VJ,L_Versie,Sel_Versie,L_Kengetal,"Omzet actual YTD"))),IF(COUNTIFS(L_Actief,1,L_WBS,$A53,L_Doeljaar,Sel_Doeljaar,L_Versiejaar,P_VJ,L_Versie,Sel_Versie,L_Kengetal,"Omzet actual YTD")=0,"n.b.",SUMIFS(L_Waarde,L_Actief,1,L_WBS,$A53,L_Doeljaar,Sel_Doeljaar,L_Versiejaar,P_VJ,L_Versie,Sel_Versie,L_Kengetal,"Omzet actual YTD"))/P_Factor,IF(COUNTIFS(L_Actief,1,L_WBS,$A53,L_Doeljaar,Sel_Doeljaar,L_Versiejaar,P_VJ,L_Versie,Sel_Versie,L_Kengetal,"Omzet actual YTD")=0,"n.b.",SUMIFS(L_Waarde,L_Actief,1,L_WBS,$A53,L_Doeljaar,Sel_Doeljaar,L_Versiejaar,P_VJ,L_Versie,Sel_Versie,L_Kengetal,"Omzet actual YTD"))),IF(Sel_Bron="Concept",IF(ISNUMBER(IF(Sel_Doeljaar=P_RJ,VERW_Project!$L49,"n.v.t.")),IF(Sel_Doeljaar=P_RJ,VERW_Project!$L49,"n.v.t.")/P_Factor,IF(Sel_Doeljaar=P_RJ,VERW_Project!$L49,"n.v.t.")),"n.b."))))</f>
        <v/>
      </c>
      <c r="M53" s="41" t="str">
        <f>IF($A53="","",IF(L53="n.v.t.",K53,IF(AND(ISNUMBER(K53),ISNUMBER(L53)),K53-L53,"n.b.")))</f>
        <v/>
      </c>
      <c r="N53" s="41" t="str">
        <f>IF($A53="","",IF(Sel_Bron="Vastgesteld",IF(ISNUMBER(IF(COUNTIFS(L_Actief,1,L_WBS,$A53,L_Doeljaar,Sel_Doeljaar,L_Versiejaar,P_VJ,L_Versie,Sel_Versie,L_Kengetal,"BOR FY")=0,"n.b.",SUMIFS(L_Waarde,L_Actief,1,L_WBS,$A53,L_Doeljaar,Sel_Doeljaar,L_Versiejaar,P_VJ,L_Versie,Sel_Versie,L_Kengetal,"BOR FY"))),IF(COUNTIFS(L_Actief,1,L_WBS,$A53,L_Doeljaar,Sel_Doeljaar,L_Versiejaar,P_VJ,L_Versie,Sel_Versie,L_Kengetal,"BOR FY")=0,"n.b.",SUMIFS(L_Waarde,L_Actief,1,L_WBS,$A53,L_Doeljaar,Sel_Doeljaar,L_Versiejaar,P_VJ,L_Versie,Sel_Versie,L_Kengetal,"BOR FY"))/P_Factor,IF(COUNTIFS(L_Actief,1,L_WBS,$A53,L_Doeljaar,Sel_Doeljaar,L_Versiejaar,P_VJ,L_Versie,Sel_Versie,L_Kengetal,"BOR FY")=0,"n.b.",SUMIFS(L_Waarde,L_Actief,1,L_WBS,$A53,L_Doeljaar,Sel_Doeljaar,L_Versiejaar,P_VJ,L_Versie,Sel_Versie,L_Kengetal,"BOR FY"))),IF(Sel_Bron="Concept",IF(ISNUMBER(IF(Sel_Doeljaar=P_RJ,VERW_Project!$Q49,IF(Sel_Doeljaar=P_RJ+1,VERW_Project!$S49,"n.b."))),IF(Sel_Doeljaar=P_RJ,VERW_Project!$Q49,IF(Sel_Doeljaar=P_RJ+1,VERW_Project!$S49,"n.b."))/P_Factor,IF(Sel_Doeljaar=P_RJ,VERW_Project!$Q49,IF(Sel_Doeljaar=P_RJ+1,VERW_Project!$S49,"n.b."))),"n.b.")))</f>
        <v/>
      </c>
      <c r="O53" s="63" t="str">
        <f>IF($A53="","",IF(AND(ISNUMBER(N53),ISNUMBER(K53)),IF(K53&lt;&gt;0,N53/K53,"n.b."),"n.b."))</f>
        <v/>
      </c>
      <c r="P53" s="41" t="str">
        <f>IF($A53="","",IF(AND(ISNUMBER(K53),ISNUMBER(E53)),K53-E53,"n.b."))</f>
        <v/>
      </c>
      <c r="Q53" s="41" t="str">
        <f>IF($A53="","",IF(AND(ISNUMBER(K53),ISNUMBER(W53)),K53-W53,"n.b."))</f>
        <v/>
      </c>
      <c r="R53" s="64" t="str">
        <f>IF($A53="","",IF(ISNUMBER(N53),IF(N53&lt;0,"Verlies",""),""))</f>
        <v/>
      </c>
      <c r="S53" s="61" t="str">
        <f>IF($A53="","",IFERROR(INDEX(T_Txt,MATCH($A53&amp;"|"&amp;Sel_Doeljaar&amp;"|"&amp;P_VJ&amp;"|"&amp;Sel_Versie,T_Key,0)),""))</f>
        <v/>
      </c>
      <c r="U53" s="15" t="str">
        <f>IF(AND(AND($A53&lt;&gt;"",OR(Sel_Type="Alle",$C53=Sel_Type),OR(Sel_Project="Alle",$B53=Sel_Project)),ISNUMBER(K53)),K53+ROW()/1000000000,"")</f>
        <v/>
      </c>
      <c r="V53" s="15" t="str">
        <f>IF(AND(AND($A53&lt;&gt;"",OR(Sel_Type="Alle",$C53=Sel_Type),OR(Sel_Project="Alle",$B53=Sel_Project)),ISNUMBER(Q53)),ABS(Q53)+ROW()/1000000000,"")</f>
        <v/>
      </c>
      <c r="W53" s="15" t="str">
        <f>IF(OR($A53="",Sel_Prev=""),"n.b.",IF(ISNUMBER(IF(COUNTIFS(L_Actief,1,L_WBS,$A53,L_Doeljaar,Sel_Doeljaar,L_Versiejaar,P_VJ,L_Versie,Sel_Prev,L_Kengetal,"Omzet FY")=0,"n.b.",SUMIFS(L_Waarde,L_Actief,1,L_WBS,$A53,L_Doeljaar,Sel_Doeljaar,L_Versiejaar,P_VJ,L_Versie,Sel_Prev,L_Kengetal,"Omzet FY"))),IF(COUNTIFS(L_Actief,1,L_WBS,$A53,L_Doeljaar,Sel_Doeljaar,L_Versiejaar,P_VJ,L_Versie,Sel_Prev,L_Kengetal,"Omzet FY")=0,"n.b.",SUMIFS(L_Waarde,L_Actief,1,L_WBS,$A53,L_Doeljaar,Sel_Doeljaar,L_Versiejaar,P_VJ,L_Versie,Sel_Prev,L_Kengetal,"Omzet FY"))/P_Factor,IF(COUNTIFS(L_Actief,1,L_WBS,$A53,L_Doeljaar,Sel_Doeljaar,L_Versiejaar,P_VJ,L_Versie,Sel_Prev,L_Kengetal,"Omzet FY")=0,"n.b.",SUMIFS(L_Waarde,L_Actief,1,L_WBS,$A53,L_Doeljaar,Sel_Doeljaar,L_Versiejaar,P_VJ,L_Versie,Sel_Prev,L_Kengetal,"Omzet FY"))))</f>
        <v>n.b.</v>
      </c>
    </row>
    <row r="54">
      <c r="A54" s="61" t="str">
        <f>IF(VERW_Project!$A50="","",VERW_Project!$A50)</f>
        <v/>
      </c>
      <c r="B54" s="61" t="str">
        <f>IF($A54="","",VERW_Project!$C50)</f>
        <v/>
      </c>
      <c r="C54" s="61" t="str">
        <f>IF($A54="","",VERW_Project!$D50)</f>
        <v/>
      </c>
      <c r="D54" s="61" t="str">
        <f>IF($A54="","",VERW_Project!$I50)</f>
        <v/>
      </c>
      <c r="E54" s="41" t="str">
        <f>IF($A54="","",IF(ISNUMBER(IF(COUNTIFS(L_Actief,1,L_WBS,$A54,L_Doeljaar,Sel_Doeljaar,L_Versiejaar,P_VJ,L_Versie,E$8,L_Kengetal,"Omzet FY")=0,"n.b.",SUMIFS(L_Waarde,L_Actief,1,L_WBS,$A54,L_Doeljaar,Sel_Doeljaar,L_Versiejaar,P_VJ,L_Versie,E$8,L_Kengetal,"Omzet FY"))),IF(COUNTIFS(L_Actief,1,L_WBS,$A54,L_Doeljaar,Sel_Doeljaar,L_Versiejaar,P_VJ,L_Versie,E$8,L_Kengetal,"Omzet FY")=0,"n.b.",SUMIFS(L_Waarde,L_Actief,1,L_WBS,$A54,L_Doeljaar,Sel_Doeljaar,L_Versiejaar,P_VJ,L_Versie,E$8,L_Kengetal,"Omzet FY"))/P_Factor,IF(COUNTIFS(L_Actief,1,L_WBS,$A54,L_Doeljaar,Sel_Doeljaar,L_Versiejaar,P_VJ,L_Versie,E$8,L_Kengetal,"Omzet FY")=0,"n.b.",SUMIFS(L_Waarde,L_Actief,1,L_WBS,$A54,L_Doeljaar,Sel_Doeljaar,L_Versiejaar,P_VJ,L_Versie,E$8,L_Kengetal,"Omzet FY"))))</f>
        <v/>
      </c>
      <c r="F54" s="41" t="str">
        <f>IF($A54="","",IF(ISNUMBER(IF(COUNTIFS(L_Actief,1,L_WBS,$A54,L_Doeljaar,Sel_Doeljaar,L_Versiejaar,P_VJ,L_Versie,F$8,L_Kengetal,"Omzet FY")=0,"n.b.",SUMIFS(L_Waarde,L_Actief,1,L_WBS,$A54,L_Doeljaar,Sel_Doeljaar,L_Versiejaar,P_VJ,L_Versie,F$8,L_Kengetal,"Omzet FY"))),IF(COUNTIFS(L_Actief,1,L_WBS,$A54,L_Doeljaar,Sel_Doeljaar,L_Versiejaar,P_VJ,L_Versie,F$8,L_Kengetal,"Omzet FY")=0,"n.b.",SUMIFS(L_Waarde,L_Actief,1,L_WBS,$A54,L_Doeljaar,Sel_Doeljaar,L_Versiejaar,P_VJ,L_Versie,F$8,L_Kengetal,"Omzet FY"))/P_Factor,IF(COUNTIFS(L_Actief,1,L_WBS,$A54,L_Doeljaar,Sel_Doeljaar,L_Versiejaar,P_VJ,L_Versie,F$8,L_Kengetal,"Omzet FY")=0,"n.b.",SUMIFS(L_Waarde,L_Actief,1,L_WBS,$A54,L_Doeljaar,Sel_Doeljaar,L_Versiejaar,P_VJ,L_Versie,F$8,L_Kengetal,"Omzet FY"))))</f>
        <v/>
      </c>
      <c r="G54" s="41" t="str">
        <f>IF($A54="","",IF(ISNUMBER(IF(COUNTIFS(L_Actief,1,L_WBS,$A54,L_Doeljaar,Sel_Doeljaar,L_Versiejaar,P_VJ,L_Versie,G$8,L_Kengetal,"Omzet FY")=0,"n.b.",SUMIFS(L_Waarde,L_Actief,1,L_WBS,$A54,L_Doeljaar,Sel_Doeljaar,L_Versiejaar,P_VJ,L_Versie,G$8,L_Kengetal,"Omzet FY"))),IF(COUNTIFS(L_Actief,1,L_WBS,$A54,L_Doeljaar,Sel_Doeljaar,L_Versiejaar,P_VJ,L_Versie,G$8,L_Kengetal,"Omzet FY")=0,"n.b.",SUMIFS(L_Waarde,L_Actief,1,L_WBS,$A54,L_Doeljaar,Sel_Doeljaar,L_Versiejaar,P_VJ,L_Versie,G$8,L_Kengetal,"Omzet FY"))/P_Factor,IF(COUNTIFS(L_Actief,1,L_WBS,$A54,L_Doeljaar,Sel_Doeljaar,L_Versiejaar,P_VJ,L_Versie,G$8,L_Kengetal,"Omzet FY")=0,"n.b.",SUMIFS(L_Waarde,L_Actief,1,L_WBS,$A54,L_Doeljaar,Sel_Doeljaar,L_Versiejaar,P_VJ,L_Versie,G$8,L_Kengetal,"Omzet FY"))))</f>
        <v/>
      </c>
      <c r="H54" s="41" t="str">
        <f>IF($A54="","",IF(ISNUMBER(IF(COUNTIFS(L_Actief,1,L_WBS,$A54,L_Doeljaar,Sel_Doeljaar,L_Versiejaar,P_VJ,L_Versie,H$8,L_Kengetal,"Omzet FY")=0,"n.b.",SUMIFS(L_Waarde,L_Actief,1,L_WBS,$A54,L_Doeljaar,Sel_Doeljaar,L_Versiejaar,P_VJ,L_Versie,H$8,L_Kengetal,"Omzet FY"))),IF(COUNTIFS(L_Actief,1,L_WBS,$A54,L_Doeljaar,Sel_Doeljaar,L_Versiejaar,P_VJ,L_Versie,H$8,L_Kengetal,"Omzet FY")=0,"n.b.",SUMIFS(L_Waarde,L_Actief,1,L_WBS,$A54,L_Doeljaar,Sel_Doeljaar,L_Versiejaar,P_VJ,L_Versie,H$8,L_Kengetal,"Omzet FY"))/P_Factor,IF(COUNTIFS(L_Actief,1,L_WBS,$A54,L_Doeljaar,Sel_Doeljaar,L_Versiejaar,P_VJ,L_Versie,H$8,L_Kengetal,"Omzet FY")=0,"n.b.",SUMIFS(L_Waarde,L_Actief,1,L_WBS,$A54,L_Doeljaar,Sel_Doeljaar,L_Versiejaar,P_VJ,L_Versie,H$8,L_Kengetal,"Omzet FY"))))</f>
        <v/>
      </c>
      <c r="I54" s="41" t="str">
        <f>IF($A54="","",IF(ISNUMBER(IF(COUNTIFS(L_Actief,1,L_WBS,$A54,L_Doeljaar,Sel_Doeljaar,L_Versiejaar,P_VJ,L_Versie,I$8,L_Kengetal,"Omzet FY")=0,"n.b.",SUMIFS(L_Waarde,L_Actief,1,L_WBS,$A54,L_Doeljaar,Sel_Doeljaar,L_Versiejaar,P_VJ,L_Versie,I$8,L_Kengetal,"Omzet FY"))),IF(COUNTIFS(L_Actief,1,L_WBS,$A54,L_Doeljaar,Sel_Doeljaar,L_Versiejaar,P_VJ,L_Versie,I$8,L_Kengetal,"Omzet FY")=0,"n.b.",SUMIFS(L_Waarde,L_Actief,1,L_WBS,$A54,L_Doeljaar,Sel_Doeljaar,L_Versiejaar,P_VJ,L_Versie,I$8,L_Kengetal,"Omzet FY"))/P_Factor,IF(COUNTIFS(L_Actief,1,L_WBS,$A54,L_Doeljaar,Sel_Doeljaar,L_Versiejaar,P_VJ,L_Versie,I$8,L_Kengetal,"Omzet FY")=0,"n.b.",SUMIFS(L_Waarde,L_Actief,1,L_WBS,$A54,L_Doeljaar,Sel_Doeljaar,L_Versiejaar,P_VJ,L_Versie,I$8,L_Kengetal,"Omzet FY"))))</f>
        <v/>
      </c>
      <c r="J54" s="41" t="str">
        <f>IF($A54="","",IF(ISNUMBER(IF(Sel_Doeljaar=P_RJ,VERW_Project!$P50,IF(Sel_Doeljaar=P_RJ+1,VERW_Project!$R50,"n.b."))),IF(Sel_Doeljaar=P_RJ,VERW_Project!$P50,IF(Sel_Doeljaar=P_RJ+1,VERW_Project!$R50,"n.b."))/P_Factor,IF(Sel_Doeljaar=P_RJ,VERW_Project!$P50,IF(Sel_Doeljaar=P_RJ+1,VERW_Project!$R50,"n.b."))))</f>
        <v/>
      </c>
      <c r="K54" s="41" t="str">
        <f>IF($A54="","",IF(Sel_Bron="Vastgesteld",INDEX($E54:$I54,MATCH(Sel_Versie,$E$8:$I$8,0)),IF(Sel_Bron="Concept",J54,"n.b.")))</f>
        <v/>
      </c>
      <c r="L54" s="62" t="str">
        <f>IF($A54="","",IF(Sel_Doeljaar&gt;P_VJ,"n.v.t.",IF(Sel_Bron="Vastgesteld",IF(ISNUMBER(IF(COUNTIFS(L_Actief,1,L_WBS,$A54,L_Doeljaar,Sel_Doeljaar,L_Versiejaar,P_VJ,L_Versie,Sel_Versie,L_Kengetal,"Omzet actual YTD")=0,"n.b.",SUMIFS(L_Waarde,L_Actief,1,L_WBS,$A54,L_Doeljaar,Sel_Doeljaar,L_Versiejaar,P_VJ,L_Versie,Sel_Versie,L_Kengetal,"Omzet actual YTD"))),IF(COUNTIFS(L_Actief,1,L_WBS,$A54,L_Doeljaar,Sel_Doeljaar,L_Versiejaar,P_VJ,L_Versie,Sel_Versie,L_Kengetal,"Omzet actual YTD")=0,"n.b.",SUMIFS(L_Waarde,L_Actief,1,L_WBS,$A54,L_Doeljaar,Sel_Doeljaar,L_Versiejaar,P_VJ,L_Versie,Sel_Versie,L_Kengetal,"Omzet actual YTD"))/P_Factor,IF(COUNTIFS(L_Actief,1,L_WBS,$A54,L_Doeljaar,Sel_Doeljaar,L_Versiejaar,P_VJ,L_Versie,Sel_Versie,L_Kengetal,"Omzet actual YTD")=0,"n.b.",SUMIFS(L_Waarde,L_Actief,1,L_WBS,$A54,L_Doeljaar,Sel_Doeljaar,L_Versiejaar,P_VJ,L_Versie,Sel_Versie,L_Kengetal,"Omzet actual YTD"))),IF(Sel_Bron="Concept",IF(ISNUMBER(IF(Sel_Doeljaar=P_RJ,VERW_Project!$L50,"n.v.t.")),IF(Sel_Doeljaar=P_RJ,VERW_Project!$L50,"n.v.t.")/P_Factor,IF(Sel_Doeljaar=P_RJ,VERW_Project!$L50,"n.v.t.")),"n.b."))))</f>
        <v/>
      </c>
      <c r="M54" s="41" t="str">
        <f>IF($A54="","",IF(L54="n.v.t.",K54,IF(AND(ISNUMBER(K54),ISNUMBER(L54)),K54-L54,"n.b.")))</f>
        <v/>
      </c>
      <c r="N54" s="41" t="str">
        <f>IF($A54="","",IF(Sel_Bron="Vastgesteld",IF(ISNUMBER(IF(COUNTIFS(L_Actief,1,L_WBS,$A54,L_Doeljaar,Sel_Doeljaar,L_Versiejaar,P_VJ,L_Versie,Sel_Versie,L_Kengetal,"BOR FY")=0,"n.b.",SUMIFS(L_Waarde,L_Actief,1,L_WBS,$A54,L_Doeljaar,Sel_Doeljaar,L_Versiejaar,P_VJ,L_Versie,Sel_Versie,L_Kengetal,"BOR FY"))),IF(COUNTIFS(L_Actief,1,L_WBS,$A54,L_Doeljaar,Sel_Doeljaar,L_Versiejaar,P_VJ,L_Versie,Sel_Versie,L_Kengetal,"BOR FY")=0,"n.b.",SUMIFS(L_Waarde,L_Actief,1,L_WBS,$A54,L_Doeljaar,Sel_Doeljaar,L_Versiejaar,P_VJ,L_Versie,Sel_Versie,L_Kengetal,"BOR FY"))/P_Factor,IF(COUNTIFS(L_Actief,1,L_WBS,$A54,L_Doeljaar,Sel_Doeljaar,L_Versiejaar,P_VJ,L_Versie,Sel_Versie,L_Kengetal,"BOR FY")=0,"n.b.",SUMIFS(L_Waarde,L_Actief,1,L_WBS,$A54,L_Doeljaar,Sel_Doeljaar,L_Versiejaar,P_VJ,L_Versie,Sel_Versie,L_Kengetal,"BOR FY"))),IF(Sel_Bron="Concept",IF(ISNUMBER(IF(Sel_Doeljaar=P_RJ,VERW_Project!$Q50,IF(Sel_Doeljaar=P_RJ+1,VERW_Project!$S50,"n.b."))),IF(Sel_Doeljaar=P_RJ,VERW_Project!$Q50,IF(Sel_Doeljaar=P_RJ+1,VERW_Project!$S50,"n.b."))/P_Factor,IF(Sel_Doeljaar=P_RJ,VERW_Project!$Q50,IF(Sel_Doeljaar=P_RJ+1,VERW_Project!$S50,"n.b."))),"n.b.")))</f>
        <v/>
      </c>
      <c r="O54" s="63" t="str">
        <f>IF($A54="","",IF(AND(ISNUMBER(N54),ISNUMBER(K54)),IF(K54&lt;&gt;0,N54/K54,"n.b."),"n.b."))</f>
        <v/>
      </c>
      <c r="P54" s="41" t="str">
        <f>IF($A54="","",IF(AND(ISNUMBER(K54),ISNUMBER(E54)),K54-E54,"n.b."))</f>
        <v/>
      </c>
      <c r="Q54" s="41" t="str">
        <f>IF($A54="","",IF(AND(ISNUMBER(K54),ISNUMBER(W54)),K54-W54,"n.b."))</f>
        <v/>
      </c>
      <c r="R54" s="64" t="str">
        <f>IF($A54="","",IF(ISNUMBER(N54),IF(N54&lt;0,"Verlies",""),""))</f>
        <v/>
      </c>
      <c r="S54" s="61" t="str">
        <f>IF($A54="","",IFERROR(INDEX(T_Txt,MATCH($A54&amp;"|"&amp;Sel_Doeljaar&amp;"|"&amp;P_VJ&amp;"|"&amp;Sel_Versie,T_Key,0)),""))</f>
        <v/>
      </c>
      <c r="U54" s="15" t="str">
        <f>IF(AND(AND($A54&lt;&gt;"",OR(Sel_Type="Alle",$C54=Sel_Type),OR(Sel_Project="Alle",$B54=Sel_Project)),ISNUMBER(K54)),K54+ROW()/1000000000,"")</f>
        <v/>
      </c>
      <c r="V54" s="15" t="str">
        <f>IF(AND(AND($A54&lt;&gt;"",OR(Sel_Type="Alle",$C54=Sel_Type),OR(Sel_Project="Alle",$B54=Sel_Project)),ISNUMBER(Q54)),ABS(Q54)+ROW()/1000000000,"")</f>
        <v/>
      </c>
      <c r="W54" s="15" t="str">
        <f>IF(OR($A54="",Sel_Prev=""),"n.b.",IF(ISNUMBER(IF(COUNTIFS(L_Actief,1,L_WBS,$A54,L_Doeljaar,Sel_Doeljaar,L_Versiejaar,P_VJ,L_Versie,Sel_Prev,L_Kengetal,"Omzet FY")=0,"n.b.",SUMIFS(L_Waarde,L_Actief,1,L_WBS,$A54,L_Doeljaar,Sel_Doeljaar,L_Versiejaar,P_VJ,L_Versie,Sel_Prev,L_Kengetal,"Omzet FY"))),IF(COUNTIFS(L_Actief,1,L_WBS,$A54,L_Doeljaar,Sel_Doeljaar,L_Versiejaar,P_VJ,L_Versie,Sel_Prev,L_Kengetal,"Omzet FY")=0,"n.b.",SUMIFS(L_Waarde,L_Actief,1,L_WBS,$A54,L_Doeljaar,Sel_Doeljaar,L_Versiejaar,P_VJ,L_Versie,Sel_Prev,L_Kengetal,"Omzet FY"))/P_Factor,IF(COUNTIFS(L_Actief,1,L_WBS,$A54,L_Doeljaar,Sel_Doeljaar,L_Versiejaar,P_VJ,L_Versie,Sel_Prev,L_Kengetal,"Omzet FY")=0,"n.b.",SUMIFS(L_Waarde,L_Actief,1,L_WBS,$A54,L_Doeljaar,Sel_Doeljaar,L_Versiejaar,P_VJ,L_Versie,Sel_Prev,L_Kengetal,"Omzet FY"))))</f>
        <v>n.b.</v>
      </c>
    </row>
    <row r="55">
      <c r="A55" s="61" t="str">
        <f>IF(VERW_Project!$A51="","",VERW_Project!$A51)</f>
        <v/>
      </c>
      <c r="B55" s="61" t="str">
        <f>IF($A55="","",VERW_Project!$C51)</f>
        <v/>
      </c>
      <c r="C55" s="61" t="str">
        <f>IF($A55="","",VERW_Project!$D51)</f>
        <v/>
      </c>
      <c r="D55" s="61" t="str">
        <f>IF($A55="","",VERW_Project!$I51)</f>
        <v/>
      </c>
      <c r="E55" s="41" t="str">
        <f>IF($A55="","",IF(ISNUMBER(IF(COUNTIFS(L_Actief,1,L_WBS,$A55,L_Doeljaar,Sel_Doeljaar,L_Versiejaar,P_VJ,L_Versie,E$8,L_Kengetal,"Omzet FY")=0,"n.b.",SUMIFS(L_Waarde,L_Actief,1,L_WBS,$A55,L_Doeljaar,Sel_Doeljaar,L_Versiejaar,P_VJ,L_Versie,E$8,L_Kengetal,"Omzet FY"))),IF(COUNTIFS(L_Actief,1,L_WBS,$A55,L_Doeljaar,Sel_Doeljaar,L_Versiejaar,P_VJ,L_Versie,E$8,L_Kengetal,"Omzet FY")=0,"n.b.",SUMIFS(L_Waarde,L_Actief,1,L_WBS,$A55,L_Doeljaar,Sel_Doeljaar,L_Versiejaar,P_VJ,L_Versie,E$8,L_Kengetal,"Omzet FY"))/P_Factor,IF(COUNTIFS(L_Actief,1,L_WBS,$A55,L_Doeljaar,Sel_Doeljaar,L_Versiejaar,P_VJ,L_Versie,E$8,L_Kengetal,"Omzet FY")=0,"n.b.",SUMIFS(L_Waarde,L_Actief,1,L_WBS,$A55,L_Doeljaar,Sel_Doeljaar,L_Versiejaar,P_VJ,L_Versie,E$8,L_Kengetal,"Omzet FY"))))</f>
        <v/>
      </c>
      <c r="F55" s="41" t="str">
        <f>IF($A55="","",IF(ISNUMBER(IF(COUNTIFS(L_Actief,1,L_WBS,$A55,L_Doeljaar,Sel_Doeljaar,L_Versiejaar,P_VJ,L_Versie,F$8,L_Kengetal,"Omzet FY")=0,"n.b.",SUMIFS(L_Waarde,L_Actief,1,L_WBS,$A55,L_Doeljaar,Sel_Doeljaar,L_Versiejaar,P_VJ,L_Versie,F$8,L_Kengetal,"Omzet FY"))),IF(COUNTIFS(L_Actief,1,L_WBS,$A55,L_Doeljaar,Sel_Doeljaar,L_Versiejaar,P_VJ,L_Versie,F$8,L_Kengetal,"Omzet FY")=0,"n.b.",SUMIFS(L_Waarde,L_Actief,1,L_WBS,$A55,L_Doeljaar,Sel_Doeljaar,L_Versiejaar,P_VJ,L_Versie,F$8,L_Kengetal,"Omzet FY"))/P_Factor,IF(COUNTIFS(L_Actief,1,L_WBS,$A55,L_Doeljaar,Sel_Doeljaar,L_Versiejaar,P_VJ,L_Versie,F$8,L_Kengetal,"Omzet FY")=0,"n.b.",SUMIFS(L_Waarde,L_Actief,1,L_WBS,$A55,L_Doeljaar,Sel_Doeljaar,L_Versiejaar,P_VJ,L_Versie,F$8,L_Kengetal,"Omzet FY"))))</f>
        <v/>
      </c>
      <c r="G55" s="41" t="str">
        <f>IF($A55="","",IF(ISNUMBER(IF(COUNTIFS(L_Actief,1,L_WBS,$A55,L_Doeljaar,Sel_Doeljaar,L_Versiejaar,P_VJ,L_Versie,G$8,L_Kengetal,"Omzet FY")=0,"n.b.",SUMIFS(L_Waarde,L_Actief,1,L_WBS,$A55,L_Doeljaar,Sel_Doeljaar,L_Versiejaar,P_VJ,L_Versie,G$8,L_Kengetal,"Omzet FY"))),IF(COUNTIFS(L_Actief,1,L_WBS,$A55,L_Doeljaar,Sel_Doeljaar,L_Versiejaar,P_VJ,L_Versie,G$8,L_Kengetal,"Omzet FY")=0,"n.b.",SUMIFS(L_Waarde,L_Actief,1,L_WBS,$A55,L_Doeljaar,Sel_Doeljaar,L_Versiejaar,P_VJ,L_Versie,G$8,L_Kengetal,"Omzet FY"))/P_Factor,IF(COUNTIFS(L_Actief,1,L_WBS,$A55,L_Doeljaar,Sel_Doeljaar,L_Versiejaar,P_VJ,L_Versie,G$8,L_Kengetal,"Omzet FY")=0,"n.b.",SUMIFS(L_Waarde,L_Actief,1,L_WBS,$A55,L_Doeljaar,Sel_Doeljaar,L_Versiejaar,P_VJ,L_Versie,G$8,L_Kengetal,"Omzet FY"))))</f>
        <v/>
      </c>
      <c r="H55" s="41" t="str">
        <f>IF($A55="","",IF(ISNUMBER(IF(COUNTIFS(L_Actief,1,L_WBS,$A55,L_Doeljaar,Sel_Doeljaar,L_Versiejaar,P_VJ,L_Versie,H$8,L_Kengetal,"Omzet FY")=0,"n.b.",SUMIFS(L_Waarde,L_Actief,1,L_WBS,$A55,L_Doeljaar,Sel_Doeljaar,L_Versiejaar,P_VJ,L_Versie,H$8,L_Kengetal,"Omzet FY"))),IF(COUNTIFS(L_Actief,1,L_WBS,$A55,L_Doeljaar,Sel_Doeljaar,L_Versiejaar,P_VJ,L_Versie,H$8,L_Kengetal,"Omzet FY")=0,"n.b.",SUMIFS(L_Waarde,L_Actief,1,L_WBS,$A55,L_Doeljaar,Sel_Doeljaar,L_Versiejaar,P_VJ,L_Versie,H$8,L_Kengetal,"Omzet FY"))/P_Factor,IF(COUNTIFS(L_Actief,1,L_WBS,$A55,L_Doeljaar,Sel_Doeljaar,L_Versiejaar,P_VJ,L_Versie,H$8,L_Kengetal,"Omzet FY")=0,"n.b.",SUMIFS(L_Waarde,L_Actief,1,L_WBS,$A55,L_Doeljaar,Sel_Doeljaar,L_Versiejaar,P_VJ,L_Versie,H$8,L_Kengetal,"Omzet FY"))))</f>
        <v/>
      </c>
      <c r="I55" s="41" t="str">
        <f>IF($A55="","",IF(ISNUMBER(IF(COUNTIFS(L_Actief,1,L_WBS,$A55,L_Doeljaar,Sel_Doeljaar,L_Versiejaar,P_VJ,L_Versie,I$8,L_Kengetal,"Omzet FY")=0,"n.b.",SUMIFS(L_Waarde,L_Actief,1,L_WBS,$A55,L_Doeljaar,Sel_Doeljaar,L_Versiejaar,P_VJ,L_Versie,I$8,L_Kengetal,"Omzet FY"))),IF(COUNTIFS(L_Actief,1,L_WBS,$A55,L_Doeljaar,Sel_Doeljaar,L_Versiejaar,P_VJ,L_Versie,I$8,L_Kengetal,"Omzet FY")=0,"n.b.",SUMIFS(L_Waarde,L_Actief,1,L_WBS,$A55,L_Doeljaar,Sel_Doeljaar,L_Versiejaar,P_VJ,L_Versie,I$8,L_Kengetal,"Omzet FY"))/P_Factor,IF(COUNTIFS(L_Actief,1,L_WBS,$A55,L_Doeljaar,Sel_Doeljaar,L_Versiejaar,P_VJ,L_Versie,I$8,L_Kengetal,"Omzet FY")=0,"n.b.",SUMIFS(L_Waarde,L_Actief,1,L_WBS,$A55,L_Doeljaar,Sel_Doeljaar,L_Versiejaar,P_VJ,L_Versie,I$8,L_Kengetal,"Omzet FY"))))</f>
        <v/>
      </c>
      <c r="J55" s="41" t="str">
        <f>IF($A55="","",IF(ISNUMBER(IF(Sel_Doeljaar=P_RJ,VERW_Project!$P51,IF(Sel_Doeljaar=P_RJ+1,VERW_Project!$R51,"n.b."))),IF(Sel_Doeljaar=P_RJ,VERW_Project!$P51,IF(Sel_Doeljaar=P_RJ+1,VERW_Project!$R51,"n.b."))/P_Factor,IF(Sel_Doeljaar=P_RJ,VERW_Project!$P51,IF(Sel_Doeljaar=P_RJ+1,VERW_Project!$R51,"n.b."))))</f>
        <v/>
      </c>
      <c r="K55" s="41" t="str">
        <f>IF($A55="","",IF(Sel_Bron="Vastgesteld",INDEX($E55:$I55,MATCH(Sel_Versie,$E$8:$I$8,0)),IF(Sel_Bron="Concept",J55,"n.b.")))</f>
        <v/>
      </c>
      <c r="L55" s="62" t="str">
        <f>IF($A55="","",IF(Sel_Doeljaar&gt;P_VJ,"n.v.t.",IF(Sel_Bron="Vastgesteld",IF(ISNUMBER(IF(COUNTIFS(L_Actief,1,L_WBS,$A55,L_Doeljaar,Sel_Doeljaar,L_Versiejaar,P_VJ,L_Versie,Sel_Versie,L_Kengetal,"Omzet actual YTD")=0,"n.b.",SUMIFS(L_Waarde,L_Actief,1,L_WBS,$A55,L_Doeljaar,Sel_Doeljaar,L_Versiejaar,P_VJ,L_Versie,Sel_Versie,L_Kengetal,"Omzet actual YTD"))),IF(COUNTIFS(L_Actief,1,L_WBS,$A55,L_Doeljaar,Sel_Doeljaar,L_Versiejaar,P_VJ,L_Versie,Sel_Versie,L_Kengetal,"Omzet actual YTD")=0,"n.b.",SUMIFS(L_Waarde,L_Actief,1,L_WBS,$A55,L_Doeljaar,Sel_Doeljaar,L_Versiejaar,P_VJ,L_Versie,Sel_Versie,L_Kengetal,"Omzet actual YTD"))/P_Factor,IF(COUNTIFS(L_Actief,1,L_WBS,$A55,L_Doeljaar,Sel_Doeljaar,L_Versiejaar,P_VJ,L_Versie,Sel_Versie,L_Kengetal,"Omzet actual YTD")=0,"n.b.",SUMIFS(L_Waarde,L_Actief,1,L_WBS,$A55,L_Doeljaar,Sel_Doeljaar,L_Versiejaar,P_VJ,L_Versie,Sel_Versie,L_Kengetal,"Omzet actual YTD"))),IF(Sel_Bron="Concept",IF(ISNUMBER(IF(Sel_Doeljaar=P_RJ,VERW_Project!$L51,"n.v.t.")),IF(Sel_Doeljaar=P_RJ,VERW_Project!$L51,"n.v.t.")/P_Factor,IF(Sel_Doeljaar=P_RJ,VERW_Project!$L51,"n.v.t.")),"n.b."))))</f>
        <v/>
      </c>
      <c r="M55" s="41" t="str">
        <f>IF($A55="","",IF(L55="n.v.t.",K55,IF(AND(ISNUMBER(K55),ISNUMBER(L55)),K55-L55,"n.b.")))</f>
        <v/>
      </c>
      <c r="N55" s="41" t="str">
        <f>IF($A55="","",IF(Sel_Bron="Vastgesteld",IF(ISNUMBER(IF(COUNTIFS(L_Actief,1,L_WBS,$A55,L_Doeljaar,Sel_Doeljaar,L_Versiejaar,P_VJ,L_Versie,Sel_Versie,L_Kengetal,"BOR FY")=0,"n.b.",SUMIFS(L_Waarde,L_Actief,1,L_WBS,$A55,L_Doeljaar,Sel_Doeljaar,L_Versiejaar,P_VJ,L_Versie,Sel_Versie,L_Kengetal,"BOR FY"))),IF(COUNTIFS(L_Actief,1,L_WBS,$A55,L_Doeljaar,Sel_Doeljaar,L_Versiejaar,P_VJ,L_Versie,Sel_Versie,L_Kengetal,"BOR FY")=0,"n.b.",SUMIFS(L_Waarde,L_Actief,1,L_WBS,$A55,L_Doeljaar,Sel_Doeljaar,L_Versiejaar,P_VJ,L_Versie,Sel_Versie,L_Kengetal,"BOR FY"))/P_Factor,IF(COUNTIFS(L_Actief,1,L_WBS,$A55,L_Doeljaar,Sel_Doeljaar,L_Versiejaar,P_VJ,L_Versie,Sel_Versie,L_Kengetal,"BOR FY")=0,"n.b.",SUMIFS(L_Waarde,L_Actief,1,L_WBS,$A55,L_Doeljaar,Sel_Doeljaar,L_Versiejaar,P_VJ,L_Versie,Sel_Versie,L_Kengetal,"BOR FY"))),IF(Sel_Bron="Concept",IF(ISNUMBER(IF(Sel_Doeljaar=P_RJ,VERW_Project!$Q51,IF(Sel_Doeljaar=P_RJ+1,VERW_Project!$S51,"n.b."))),IF(Sel_Doeljaar=P_RJ,VERW_Project!$Q51,IF(Sel_Doeljaar=P_RJ+1,VERW_Project!$S51,"n.b."))/P_Factor,IF(Sel_Doeljaar=P_RJ,VERW_Project!$Q51,IF(Sel_Doeljaar=P_RJ+1,VERW_Project!$S51,"n.b."))),"n.b.")))</f>
        <v/>
      </c>
      <c r="O55" s="63" t="str">
        <f>IF($A55="","",IF(AND(ISNUMBER(N55),ISNUMBER(K55)),IF(K55&lt;&gt;0,N55/K55,"n.b."),"n.b."))</f>
        <v/>
      </c>
      <c r="P55" s="41" t="str">
        <f>IF($A55="","",IF(AND(ISNUMBER(K55),ISNUMBER(E55)),K55-E55,"n.b."))</f>
        <v/>
      </c>
      <c r="Q55" s="41" t="str">
        <f>IF($A55="","",IF(AND(ISNUMBER(K55),ISNUMBER(W55)),K55-W55,"n.b."))</f>
        <v/>
      </c>
      <c r="R55" s="64" t="str">
        <f>IF($A55="","",IF(ISNUMBER(N55),IF(N55&lt;0,"Verlies",""),""))</f>
        <v/>
      </c>
      <c r="S55" s="61" t="str">
        <f>IF($A55="","",IFERROR(INDEX(T_Txt,MATCH($A55&amp;"|"&amp;Sel_Doeljaar&amp;"|"&amp;P_VJ&amp;"|"&amp;Sel_Versie,T_Key,0)),""))</f>
        <v/>
      </c>
      <c r="U55" s="15" t="str">
        <f>IF(AND(AND($A55&lt;&gt;"",OR(Sel_Type="Alle",$C55=Sel_Type),OR(Sel_Project="Alle",$B55=Sel_Project)),ISNUMBER(K55)),K55+ROW()/1000000000,"")</f>
        <v/>
      </c>
      <c r="V55" s="15" t="str">
        <f>IF(AND(AND($A55&lt;&gt;"",OR(Sel_Type="Alle",$C55=Sel_Type),OR(Sel_Project="Alle",$B55=Sel_Project)),ISNUMBER(Q55)),ABS(Q55)+ROW()/1000000000,"")</f>
        <v/>
      </c>
      <c r="W55" s="15" t="str">
        <f>IF(OR($A55="",Sel_Prev=""),"n.b.",IF(ISNUMBER(IF(COUNTIFS(L_Actief,1,L_WBS,$A55,L_Doeljaar,Sel_Doeljaar,L_Versiejaar,P_VJ,L_Versie,Sel_Prev,L_Kengetal,"Omzet FY")=0,"n.b.",SUMIFS(L_Waarde,L_Actief,1,L_WBS,$A55,L_Doeljaar,Sel_Doeljaar,L_Versiejaar,P_VJ,L_Versie,Sel_Prev,L_Kengetal,"Omzet FY"))),IF(COUNTIFS(L_Actief,1,L_WBS,$A55,L_Doeljaar,Sel_Doeljaar,L_Versiejaar,P_VJ,L_Versie,Sel_Prev,L_Kengetal,"Omzet FY")=0,"n.b.",SUMIFS(L_Waarde,L_Actief,1,L_WBS,$A55,L_Doeljaar,Sel_Doeljaar,L_Versiejaar,P_VJ,L_Versie,Sel_Prev,L_Kengetal,"Omzet FY"))/P_Factor,IF(COUNTIFS(L_Actief,1,L_WBS,$A55,L_Doeljaar,Sel_Doeljaar,L_Versiejaar,P_VJ,L_Versie,Sel_Prev,L_Kengetal,"Omzet FY")=0,"n.b.",SUMIFS(L_Waarde,L_Actief,1,L_WBS,$A55,L_Doeljaar,Sel_Doeljaar,L_Versiejaar,P_VJ,L_Versie,Sel_Prev,L_Kengetal,"Omzet FY"))))</f>
        <v>n.b.</v>
      </c>
    </row>
    <row r="56">
      <c r="A56" s="61" t="str">
        <f>IF(VERW_Project!$A52="","",VERW_Project!$A52)</f>
        <v/>
      </c>
      <c r="B56" s="61" t="str">
        <f>IF($A56="","",VERW_Project!$C52)</f>
        <v/>
      </c>
      <c r="C56" s="61" t="str">
        <f>IF($A56="","",VERW_Project!$D52)</f>
        <v/>
      </c>
      <c r="D56" s="61" t="str">
        <f>IF($A56="","",VERW_Project!$I52)</f>
        <v/>
      </c>
      <c r="E56" s="41" t="str">
        <f>IF($A56="","",IF(ISNUMBER(IF(COUNTIFS(L_Actief,1,L_WBS,$A56,L_Doeljaar,Sel_Doeljaar,L_Versiejaar,P_VJ,L_Versie,E$8,L_Kengetal,"Omzet FY")=0,"n.b.",SUMIFS(L_Waarde,L_Actief,1,L_WBS,$A56,L_Doeljaar,Sel_Doeljaar,L_Versiejaar,P_VJ,L_Versie,E$8,L_Kengetal,"Omzet FY"))),IF(COUNTIFS(L_Actief,1,L_WBS,$A56,L_Doeljaar,Sel_Doeljaar,L_Versiejaar,P_VJ,L_Versie,E$8,L_Kengetal,"Omzet FY")=0,"n.b.",SUMIFS(L_Waarde,L_Actief,1,L_WBS,$A56,L_Doeljaar,Sel_Doeljaar,L_Versiejaar,P_VJ,L_Versie,E$8,L_Kengetal,"Omzet FY"))/P_Factor,IF(COUNTIFS(L_Actief,1,L_WBS,$A56,L_Doeljaar,Sel_Doeljaar,L_Versiejaar,P_VJ,L_Versie,E$8,L_Kengetal,"Omzet FY")=0,"n.b.",SUMIFS(L_Waarde,L_Actief,1,L_WBS,$A56,L_Doeljaar,Sel_Doeljaar,L_Versiejaar,P_VJ,L_Versie,E$8,L_Kengetal,"Omzet FY"))))</f>
        <v/>
      </c>
      <c r="F56" s="41" t="str">
        <f>IF($A56="","",IF(ISNUMBER(IF(COUNTIFS(L_Actief,1,L_WBS,$A56,L_Doeljaar,Sel_Doeljaar,L_Versiejaar,P_VJ,L_Versie,F$8,L_Kengetal,"Omzet FY")=0,"n.b.",SUMIFS(L_Waarde,L_Actief,1,L_WBS,$A56,L_Doeljaar,Sel_Doeljaar,L_Versiejaar,P_VJ,L_Versie,F$8,L_Kengetal,"Omzet FY"))),IF(COUNTIFS(L_Actief,1,L_WBS,$A56,L_Doeljaar,Sel_Doeljaar,L_Versiejaar,P_VJ,L_Versie,F$8,L_Kengetal,"Omzet FY")=0,"n.b.",SUMIFS(L_Waarde,L_Actief,1,L_WBS,$A56,L_Doeljaar,Sel_Doeljaar,L_Versiejaar,P_VJ,L_Versie,F$8,L_Kengetal,"Omzet FY"))/P_Factor,IF(COUNTIFS(L_Actief,1,L_WBS,$A56,L_Doeljaar,Sel_Doeljaar,L_Versiejaar,P_VJ,L_Versie,F$8,L_Kengetal,"Omzet FY")=0,"n.b.",SUMIFS(L_Waarde,L_Actief,1,L_WBS,$A56,L_Doeljaar,Sel_Doeljaar,L_Versiejaar,P_VJ,L_Versie,F$8,L_Kengetal,"Omzet FY"))))</f>
        <v/>
      </c>
      <c r="G56" s="41" t="str">
        <f>IF($A56="","",IF(ISNUMBER(IF(COUNTIFS(L_Actief,1,L_WBS,$A56,L_Doeljaar,Sel_Doeljaar,L_Versiejaar,P_VJ,L_Versie,G$8,L_Kengetal,"Omzet FY")=0,"n.b.",SUMIFS(L_Waarde,L_Actief,1,L_WBS,$A56,L_Doeljaar,Sel_Doeljaar,L_Versiejaar,P_VJ,L_Versie,G$8,L_Kengetal,"Omzet FY"))),IF(COUNTIFS(L_Actief,1,L_WBS,$A56,L_Doeljaar,Sel_Doeljaar,L_Versiejaar,P_VJ,L_Versie,G$8,L_Kengetal,"Omzet FY")=0,"n.b.",SUMIFS(L_Waarde,L_Actief,1,L_WBS,$A56,L_Doeljaar,Sel_Doeljaar,L_Versiejaar,P_VJ,L_Versie,G$8,L_Kengetal,"Omzet FY"))/P_Factor,IF(COUNTIFS(L_Actief,1,L_WBS,$A56,L_Doeljaar,Sel_Doeljaar,L_Versiejaar,P_VJ,L_Versie,G$8,L_Kengetal,"Omzet FY")=0,"n.b.",SUMIFS(L_Waarde,L_Actief,1,L_WBS,$A56,L_Doeljaar,Sel_Doeljaar,L_Versiejaar,P_VJ,L_Versie,G$8,L_Kengetal,"Omzet FY"))))</f>
        <v/>
      </c>
      <c r="H56" s="41" t="str">
        <f>IF($A56="","",IF(ISNUMBER(IF(COUNTIFS(L_Actief,1,L_WBS,$A56,L_Doeljaar,Sel_Doeljaar,L_Versiejaar,P_VJ,L_Versie,H$8,L_Kengetal,"Omzet FY")=0,"n.b.",SUMIFS(L_Waarde,L_Actief,1,L_WBS,$A56,L_Doeljaar,Sel_Doeljaar,L_Versiejaar,P_VJ,L_Versie,H$8,L_Kengetal,"Omzet FY"))),IF(COUNTIFS(L_Actief,1,L_WBS,$A56,L_Doeljaar,Sel_Doeljaar,L_Versiejaar,P_VJ,L_Versie,H$8,L_Kengetal,"Omzet FY")=0,"n.b.",SUMIFS(L_Waarde,L_Actief,1,L_WBS,$A56,L_Doeljaar,Sel_Doeljaar,L_Versiejaar,P_VJ,L_Versie,H$8,L_Kengetal,"Omzet FY"))/P_Factor,IF(COUNTIFS(L_Actief,1,L_WBS,$A56,L_Doeljaar,Sel_Doeljaar,L_Versiejaar,P_VJ,L_Versie,H$8,L_Kengetal,"Omzet FY")=0,"n.b.",SUMIFS(L_Waarde,L_Actief,1,L_WBS,$A56,L_Doeljaar,Sel_Doeljaar,L_Versiejaar,P_VJ,L_Versie,H$8,L_Kengetal,"Omzet FY"))))</f>
        <v/>
      </c>
      <c r="I56" s="41" t="str">
        <f>IF($A56="","",IF(ISNUMBER(IF(COUNTIFS(L_Actief,1,L_WBS,$A56,L_Doeljaar,Sel_Doeljaar,L_Versiejaar,P_VJ,L_Versie,I$8,L_Kengetal,"Omzet FY")=0,"n.b.",SUMIFS(L_Waarde,L_Actief,1,L_WBS,$A56,L_Doeljaar,Sel_Doeljaar,L_Versiejaar,P_VJ,L_Versie,I$8,L_Kengetal,"Omzet FY"))),IF(COUNTIFS(L_Actief,1,L_WBS,$A56,L_Doeljaar,Sel_Doeljaar,L_Versiejaar,P_VJ,L_Versie,I$8,L_Kengetal,"Omzet FY")=0,"n.b.",SUMIFS(L_Waarde,L_Actief,1,L_WBS,$A56,L_Doeljaar,Sel_Doeljaar,L_Versiejaar,P_VJ,L_Versie,I$8,L_Kengetal,"Omzet FY"))/P_Factor,IF(COUNTIFS(L_Actief,1,L_WBS,$A56,L_Doeljaar,Sel_Doeljaar,L_Versiejaar,P_VJ,L_Versie,I$8,L_Kengetal,"Omzet FY")=0,"n.b.",SUMIFS(L_Waarde,L_Actief,1,L_WBS,$A56,L_Doeljaar,Sel_Doeljaar,L_Versiejaar,P_VJ,L_Versie,I$8,L_Kengetal,"Omzet FY"))))</f>
        <v/>
      </c>
      <c r="J56" s="41" t="str">
        <f>IF($A56="","",IF(ISNUMBER(IF(Sel_Doeljaar=P_RJ,VERW_Project!$P52,IF(Sel_Doeljaar=P_RJ+1,VERW_Project!$R52,"n.b."))),IF(Sel_Doeljaar=P_RJ,VERW_Project!$P52,IF(Sel_Doeljaar=P_RJ+1,VERW_Project!$R52,"n.b."))/P_Factor,IF(Sel_Doeljaar=P_RJ,VERW_Project!$P52,IF(Sel_Doeljaar=P_RJ+1,VERW_Project!$R52,"n.b."))))</f>
        <v/>
      </c>
      <c r="K56" s="41" t="str">
        <f>IF($A56="","",IF(Sel_Bron="Vastgesteld",INDEX($E56:$I56,MATCH(Sel_Versie,$E$8:$I$8,0)),IF(Sel_Bron="Concept",J56,"n.b.")))</f>
        <v/>
      </c>
      <c r="L56" s="62" t="str">
        <f>IF($A56="","",IF(Sel_Doeljaar&gt;P_VJ,"n.v.t.",IF(Sel_Bron="Vastgesteld",IF(ISNUMBER(IF(COUNTIFS(L_Actief,1,L_WBS,$A56,L_Doeljaar,Sel_Doeljaar,L_Versiejaar,P_VJ,L_Versie,Sel_Versie,L_Kengetal,"Omzet actual YTD")=0,"n.b.",SUMIFS(L_Waarde,L_Actief,1,L_WBS,$A56,L_Doeljaar,Sel_Doeljaar,L_Versiejaar,P_VJ,L_Versie,Sel_Versie,L_Kengetal,"Omzet actual YTD"))),IF(COUNTIFS(L_Actief,1,L_WBS,$A56,L_Doeljaar,Sel_Doeljaar,L_Versiejaar,P_VJ,L_Versie,Sel_Versie,L_Kengetal,"Omzet actual YTD")=0,"n.b.",SUMIFS(L_Waarde,L_Actief,1,L_WBS,$A56,L_Doeljaar,Sel_Doeljaar,L_Versiejaar,P_VJ,L_Versie,Sel_Versie,L_Kengetal,"Omzet actual YTD"))/P_Factor,IF(COUNTIFS(L_Actief,1,L_WBS,$A56,L_Doeljaar,Sel_Doeljaar,L_Versiejaar,P_VJ,L_Versie,Sel_Versie,L_Kengetal,"Omzet actual YTD")=0,"n.b.",SUMIFS(L_Waarde,L_Actief,1,L_WBS,$A56,L_Doeljaar,Sel_Doeljaar,L_Versiejaar,P_VJ,L_Versie,Sel_Versie,L_Kengetal,"Omzet actual YTD"))),IF(Sel_Bron="Concept",IF(ISNUMBER(IF(Sel_Doeljaar=P_RJ,VERW_Project!$L52,"n.v.t.")),IF(Sel_Doeljaar=P_RJ,VERW_Project!$L52,"n.v.t.")/P_Factor,IF(Sel_Doeljaar=P_RJ,VERW_Project!$L52,"n.v.t.")),"n.b."))))</f>
        <v/>
      </c>
      <c r="M56" s="41" t="str">
        <f>IF($A56="","",IF(L56="n.v.t.",K56,IF(AND(ISNUMBER(K56),ISNUMBER(L56)),K56-L56,"n.b.")))</f>
        <v/>
      </c>
      <c r="N56" s="41" t="str">
        <f>IF($A56="","",IF(Sel_Bron="Vastgesteld",IF(ISNUMBER(IF(COUNTIFS(L_Actief,1,L_WBS,$A56,L_Doeljaar,Sel_Doeljaar,L_Versiejaar,P_VJ,L_Versie,Sel_Versie,L_Kengetal,"BOR FY")=0,"n.b.",SUMIFS(L_Waarde,L_Actief,1,L_WBS,$A56,L_Doeljaar,Sel_Doeljaar,L_Versiejaar,P_VJ,L_Versie,Sel_Versie,L_Kengetal,"BOR FY"))),IF(COUNTIFS(L_Actief,1,L_WBS,$A56,L_Doeljaar,Sel_Doeljaar,L_Versiejaar,P_VJ,L_Versie,Sel_Versie,L_Kengetal,"BOR FY")=0,"n.b.",SUMIFS(L_Waarde,L_Actief,1,L_WBS,$A56,L_Doeljaar,Sel_Doeljaar,L_Versiejaar,P_VJ,L_Versie,Sel_Versie,L_Kengetal,"BOR FY"))/P_Factor,IF(COUNTIFS(L_Actief,1,L_WBS,$A56,L_Doeljaar,Sel_Doeljaar,L_Versiejaar,P_VJ,L_Versie,Sel_Versie,L_Kengetal,"BOR FY")=0,"n.b.",SUMIFS(L_Waarde,L_Actief,1,L_WBS,$A56,L_Doeljaar,Sel_Doeljaar,L_Versiejaar,P_VJ,L_Versie,Sel_Versie,L_Kengetal,"BOR FY"))),IF(Sel_Bron="Concept",IF(ISNUMBER(IF(Sel_Doeljaar=P_RJ,VERW_Project!$Q52,IF(Sel_Doeljaar=P_RJ+1,VERW_Project!$S52,"n.b."))),IF(Sel_Doeljaar=P_RJ,VERW_Project!$Q52,IF(Sel_Doeljaar=P_RJ+1,VERW_Project!$S52,"n.b."))/P_Factor,IF(Sel_Doeljaar=P_RJ,VERW_Project!$Q52,IF(Sel_Doeljaar=P_RJ+1,VERW_Project!$S52,"n.b."))),"n.b.")))</f>
        <v/>
      </c>
      <c r="O56" s="63" t="str">
        <f>IF($A56="","",IF(AND(ISNUMBER(N56),ISNUMBER(K56)),IF(K56&lt;&gt;0,N56/K56,"n.b."),"n.b."))</f>
        <v/>
      </c>
      <c r="P56" s="41" t="str">
        <f>IF($A56="","",IF(AND(ISNUMBER(K56),ISNUMBER(E56)),K56-E56,"n.b."))</f>
        <v/>
      </c>
      <c r="Q56" s="41" t="str">
        <f>IF($A56="","",IF(AND(ISNUMBER(K56),ISNUMBER(W56)),K56-W56,"n.b."))</f>
        <v/>
      </c>
      <c r="R56" s="64" t="str">
        <f>IF($A56="","",IF(ISNUMBER(N56),IF(N56&lt;0,"Verlies",""),""))</f>
        <v/>
      </c>
      <c r="S56" s="61" t="str">
        <f>IF($A56="","",IFERROR(INDEX(T_Txt,MATCH($A56&amp;"|"&amp;Sel_Doeljaar&amp;"|"&amp;P_VJ&amp;"|"&amp;Sel_Versie,T_Key,0)),""))</f>
        <v/>
      </c>
      <c r="U56" s="15" t="str">
        <f>IF(AND(AND($A56&lt;&gt;"",OR(Sel_Type="Alle",$C56=Sel_Type),OR(Sel_Project="Alle",$B56=Sel_Project)),ISNUMBER(K56)),K56+ROW()/1000000000,"")</f>
        <v/>
      </c>
      <c r="V56" s="15" t="str">
        <f>IF(AND(AND($A56&lt;&gt;"",OR(Sel_Type="Alle",$C56=Sel_Type),OR(Sel_Project="Alle",$B56=Sel_Project)),ISNUMBER(Q56)),ABS(Q56)+ROW()/1000000000,"")</f>
        <v/>
      </c>
      <c r="W56" s="15" t="str">
        <f>IF(OR($A56="",Sel_Prev=""),"n.b.",IF(ISNUMBER(IF(COUNTIFS(L_Actief,1,L_WBS,$A56,L_Doeljaar,Sel_Doeljaar,L_Versiejaar,P_VJ,L_Versie,Sel_Prev,L_Kengetal,"Omzet FY")=0,"n.b.",SUMIFS(L_Waarde,L_Actief,1,L_WBS,$A56,L_Doeljaar,Sel_Doeljaar,L_Versiejaar,P_VJ,L_Versie,Sel_Prev,L_Kengetal,"Omzet FY"))),IF(COUNTIFS(L_Actief,1,L_WBS,$A56,L_Doeljaar,Sel_Doeljaar,L_Versiejaar,P_VJ,L_Versie,Sel_Prev,L_Kengetal,"Omzet FY")=0,"n.b.",SUMIFS(L_Waarde,L_Actief,1,L_WBS,$A56,L_Doeljaar,Sel_Doeljaar,L_Versiejaar,P_VJ,L_Versie,Sel_Prev,L_Kengetal,"Omzet FY"))/P_Factor,IF(COUNTIFS(L_Actief,1,L_WBS,$A56,L_Doeljaar,Sel_Doeljaar,L_Versiejaar,P_VJ,L_Versie,Sel_Prev,L_Kengetal,"Omzet FY")=0,"n.b.",SUMIFS(L_Waarde,L_Actief,1,L_WBS,$A56,L_Doeljaar,Sel_Doeljaar,L_Versiejaar,P_VJ,L_Versie,Sel_Prev,L_Kengetal,"Omzet FY"))))</f>
        <v>n.b.</v>
      </c>
    </row>
    <row r="57">
      <c r="A57" s="61" t="str">
        <f>IF(VERW_Project!$A53="","",VERW_Project!$A53)</f>
        <v/>
      </c>
      <c r="B57" s="61" t="str">
        <f>IF($A57="","",VERW_Project!$C53)</f>
        <v/>
      </c>
      <c r="C57" s="61" t="str">
        <f>IF($A57="","",VERW_Project!$D53)</f>
        <v/>
      </c>
      <c r="D57" s="61" t="str">
        <f>IF($A57="","",VERW_Project!$I53)</f>
        <v/>
      </c>
      <c r="E57" s="41" t="str">
        <f>IF($A57="","",IF(ISNUMBER(IF(COUNTIFS(L_Actief,1,L_WBS,$A57,L_Doeljaar,Sel_Doeljaar,L_Versiejaar,P_VJ,L_Versie,E$8,L_Kengetal,"Omzet FY")=0,"n.b.",SUMIFS(L_Waarde,L_Actief,1,L_WBS,$A57,L_Doeljaar,Sel_Doeljaar,L_Versiejaar,P_VJ,L_Versie,E$8,L_Kengetal,"Omzet FY"))),IF(COUNTIFS(L_Actief,1,L_WBS,$A57,L_Doeljaar,Sel_Doeljaar,L_Versiejaar,P_VJ,L_Versie,E$8,L_Kengetal,"Omzet FY")=0,"n.b.",SUMIFS(L_Waarde,L_Actief,1,L_WBS,$A57,L_Doeljaar,Sel_Doeljaar,L_Versiejaar,P_VJ,L_Versie,E$8,L_Kengetal,"Omzet FY"))/P_Factor,IF(COUNTIFS(L_Actief,1,L_WBS,$A57,L_Doeljaar,Sel_Doeljaar,L_Versiejaar,P_VJ,L_Versie,E$8,L_Kengetal,"Omzet FY")=0,"n.b.",SUMIFS(L_Waarde,L_Actief,1,L_WBS,$A57,L_Doeljaar,Sel_Doeljaar,L_Versiejaar,P_VJ,L_Versie,E$8,L_Kengetal,"Omzet FY"))))</f>
        <v/>
      </c>
      <c r="F57" s="41" t="str">
        <f>IF($A57="","",IF(ISNUMBER(IF(COUNTIFS(L_Actief,1,L_WBS,$A57,L_Doeljaar,Sel_Doeljaar,L_Versiejaar,P_VJ,L_Versie,F$8,L_Kengetal,"Omzet FY")=0,"n.b.",SUMIFS(L_Waarde,L_Actief,1,L_WBS,$A57,L_Doeljaar,Sel_Doeljaar,L_Versiejaar,P_VJ,L_Versie,F$8,L_Kengetal,"Omzet FY"))),IF(COUNTIFS(L_Actief,1,L_WBS,$A57,L_Doeljaar,Sel_Doeljaar,L_Versiejaar,P_VJ,L_Versie,F$8,L_Kengetal,"Omzet FY")=0,"n.b.",SUMIFS(L_Waarde,L_Actief,1,L_WBS,$A57,L_Doeljaar,Sel_Doeljaar,L_Versiejaar,P_VJ,L_Versie,F$8,L_Kengetal,"Omzet FY"))/P_Factor,IF(COUNTIFS(L_Actief,1,L_WBS,$A57,L_Doeljaar,Sel_Doeljaar,L_Versiejaar,P_VJ,L_Versie,F$8,L_Kengetal,"Omzet FY")=0,"n.b.",SUMIFS(L_Waarde,L_Actief,1,L_WBS,$A57,L_Doeljaar,Sel_Doeljaar,L_Versiejaar,P_VJ,L_Versie,F$8,L_Kengetal,"Omzet FY"))))</f>
        <v/>
      </c>
      <c r="G57" s="41" t="str">
        <f>IF($A57="","",IF(ISNUMBER(IF(COUNTIFS(L_Actief,1,L_WBS,$A57,L_Doeljaar,Sel_Doeljaar,L_Versiejaar,P_VJ,L_Versie,G$8,L_Kengetal,"Omzet FY")=0,"n.b.",SUMIFS(L_Waarde,L_Actief,1,L_WBS,$A57,L_Doeljaar,Sel_Doeljaar,L_Versiejaar,P_VJ,L_Versie,G$8,L_Kengetal,"Omzet FY"))),IF(COUNTIFS(L_Actief,1,L_WBS,$A57,L_Doeljaar,Sel_Doeljaar,L_Versiejaar,P_VJ,L_Versie,G$8,L_Kengetal,"Omzet FY")=0,"n.b.",SUMIFS(L_Waarde,L_Actief,1,L_WBS,$A57,L_Doeljaar,Sel_Doeljaar,L_Versiejaar,P_VJ,L_Versie,G$8,L_Kengetal,"Omzet FY"))/P_Factor,IF(COUNTIFS(L_Actief,1,L_WBS,$A57,L_Doeljaar,Sel_Doeljaar,L_Versiejaar,P_VJ,L_Versie,G$8,L_Kengetal,"Omzet FY")=0,"n.b.",SUMIFS(L_Waarde,L_Actief,1,L_WBS,$A57,L_Doeljaar,Sel_Doeljaar,L_Versiejaar,P_VJ,L_Versie,G$8,L_Kengetal,"Omzet FY"))))</f>
        <v/>
      </c>
      <c r="H57" s="41" t="str">
        <f>IF($A57="","",IF(ISNUMBER(IF(COUNTIFS(L_Actief,1,L_WBS,$A57,L_Doeljaar,Sel_Doeljaar,L_Versiejaar,P_VJ,L_Versie,H$8,L_Kengetal,"Omzet FY")=0,"n.b.",SUMIFS(L_Waarde,L_Actief,1,L_WBS,$A57,L_Doeljaar,Sel_Doeljaar,L_Versiejaar,P_VJ,L_Versie,H$8,L_Kengetal,"Omzet FY"))),IF(COUNTIFS(L_Actief,1,L_WBS,$A57,L_Doeljaar,Sel_Doeljaar,L_Versiejaar,P_VJ,L_Versie,H$8,L_Kengetal,"Omzet FY")=0,"n.b.",SUMIFS(L_Waarde,L_Actief,1,L_WBS,$A57,L_Doeljaar,Sel_Doeljaar,L_Versiejaar,P_VJ,L_Versie,H$8,L_Kengetal,"Omzet FY"))/P_Factor,IF(COUNTIFS(L_Actief,1,L_WBS,$A57,L_Doeljaar,Sel_Doeljaar,L_Versiejaar,P_VJ,L_Versie,H$8,L_Kengetal,"Omzet FY")=0,"n.b.",SUMIFS(L_Waarde,L_Actief,1,L_WBS,$A57,L_Doeljaar,Sel_Doeljaar,L_Versiejaar,P_VJ,L_Versie,H$8,L_Kengetal,"Omzet FY"))))</f>
        <v/>
      </c>
      <c r="I57" s="41" t="str">
        <f>IF($A57="","",IF(ISNUMBER(IF(COUNTIFS(L_Actief,1,L_WBS,$A57,L_Doeljaar,Sel_Doeljaar,L_Versiejaar,P_VJ,L_Versie,I$8,L_Kengetal,"Omzet FY")=0,"n.b.",SUMIFS(L_Waarde,L_Actief,1,L_WBS,$A57,L_Doeljaar,Sel_Doeljaar,L_Versiejaar,P_VJ,L_Versie,I$8,L_Kengetal,"Omzet FY"))),IF(COUNTIFS(L_Actief,1,L_WBS,$A57,L_Doeljaar,Sel_Doeljaar,L_Versiejaar,P_VJ,L_Versie,I$8,L_Kengetal,"Omzet FY")=0,"n.b.",SUMIFS(L_Waarde,L_Actief,1,L_WBS,$A57,L_Doeljaar,Sel_Doeljaar,L_Versiejaar,P_VJ,L_Versie,I$8,L_Kengetal,"Omzet FY"))/P_Factor,IF(COUNTIFS(L_Actief,1,L_WBS,$A57,L_Doeljaar,Sel_Doeljaar,L_Versiejaar,P_VJ,L_Versie,I$8,L_Kengetal,"Omzet FY")=0,"n.b.",SUMIFS(L_Waarde,L_Actief,1,L_WBS,$A57,L_Doeljaar,Sel_Doeljaar,L_Versiejaar,P_VJ,L_Versie,I$8,L_Kengetal,"Omzet FY"))))</f>
        <v/>
      </c>
      <c r="J57" s="41" t="str">
        <f>IF($A57="","",IF(ISNUMBER(IF(Sel_Doeljaar=P_RJ,VERW_Project!$P53,IF(Sel_Doeljaar=P_RJ+1,VERW_Project!$R53,"n.b."))),IF(Sel_Doeljaar=P_RJ,VERW_Project!$P53,IF(Sel_Doeljaar=P_RJ+1,VERW_Project!$R53,"n.b."))/P_Factor,IF(Sel_Doeljaar=P_RJ,VERW_Project!$P53,IF(Sel_Doeljaar=P_RJ+1,VERW_Project!$R53,"n.b."))))</f>
        <v/>
      </c>
      <c r="K57" s="41" t="str">
        <f>IF($A57="","",IF(Sel_Bron="Vastgesteld",INDEX($E57:$I57,MATCH(Sel_Versie,$E$8:$I$8,0)),IF(Sel_Bron="Concept",J57,"n.b.")))</f>
        <v/>
      </c>
      <c r="L57" s="62" t="str">
        <f>IF($A57="","",IF(Sel_Doeljaar&gt;P_VJ,"n.v.t.",IF(Sel_Bron="Vastgesteld",IF(ISNUMBER(IF(COUNTIFS(L_Actief,1,L_WBS,$A57,L_Doeljaar,Sel_Doeljaar,L_Versiejaar,P_VJ,L_Versie,Sel_Versie,L_Kengetal,"Omzet actual YTD")=0,"n.b.",SUMIFS(L_Waarde,L_Actief,1,L_WBS,$A57,L_Doeljaar,Sel_Doeljaar,L_Versiejaar,P_VJ,L_Versie,Sel_Versie,L_Kengetal,"Omzet actual YTD"))),IF(COUNTIFS(L_Actief,1,L_WBS,$A57,L_Doeljaar,Sel_Doeljaar,L_Versiejaar,P_VJ,L_Versie,Sel_Versie,L_Kengetal,"Omzet actual YTD")=0,"n.b.",SUMIFS(L_Waarde,L_Actief,1,L_WBS,$A57,L_Doeljaar,Sel_Doeljaar,L_Versiejaar,P_VJ,L_Versie,Sel_Versie,L_Kengetal,"Omzet actual YTD"))/P_Factor,IF(COUNTIFS(L_Actief,1,L_WBS,$A57,L_Doeljaar,Sel_Doeljaar,L_Versiejaar,P_VJ,L_Versie,Sel_Versie,L_Kengetal,"Omzet actual YTD")=0,"n.b.",SUMIFS(L_Waarde,L_Actief,1,L_WBS,$A57,L_Doeljaar,Sel_Doeljaar,L_Versiejaar,P_VJ,L_Versie,Sel_Versie,L_Kengetal,"Omzet actual YTD"))),IF(Sel_Bron="Concept",IF(ISNUMBER(IF(Sel_Doeljaar=P_RJ,VERW_Project!$L53,"n.v.t.")),IF(Sel_Doeljaar=P_RJ,VERW_Project!$L53,"n.v.t.")/P_Factor,IF(Sel_Doeljaar=P_RJ,VERW_Project!$L53,"n.v.t.")),"n.b."))))</f>
        <v/>
      </c>
      <c r="M57" s="41" t="str">
        <f>IF($A57="","",IF(L57="n.v.t.",K57,IF(AND(ISNUMBER(K57),ISNUMBER(L57)),K57-L57,"n.b.")))</f>
        <v/>
      </c>
      <c r="N57" s="41" t="str">
        <f>IF($A57="","",IF(Sel_Bron="Vastgesteld",IF(ISNUMBER(IF(COUNTIFS(L_Actief,1,L_WBS,$A57,L_Doeljaar,Sel_Doeljaar,L_Versiejaar,P_VJ,L_Versie,Sel_Versie,L_Kengetal,"BOR FY")=0,"n.b.",SUMIFS(L_Waarde,L_Actief,1,L_WBS,$A57,L_Doeljaar,Sel_Doeljaar,L_Versiejaar,P_VJ,L_Versie,Sel_Versie,L_Kengetal,"BOR FY"))),IF(COUNTIFS(L_Actief,1,L_WBS,$A57,L_Doeljaar,Sel_Doeljaar,L_Versiejaar,P_VJ,L_Versie,Sel_Versie,L_Kengetal,"BOR FY")=0,"n.b.",SUMIFS(L_Waarde,L_Actief,1,L_WBS,$A57,L_Doeljaar,Sel_Doeljaar,L_Versiejaar,P_VJ,L_Versie,Sel_Versie,L_Kengetal,"BOR FY"))/P_Factor,IF(COUNTIFS(L_Actief,1,L_WBS,$A57,L_Doeljaar,Sel_Doeljaar,L_Versiejaar,P_VJ,L_Versie,Sel_Versie,L_Kengetal,"BOR FY")=0,"n.b.",SUMIFS(L_Waarde,L_Actief,1,L_WBS,$A57,L_Doeljaar,Sel_Doeljaar,L_Versiejaar,P_VJ,L_Versie,Sel_Versie,L_Kengetal,"BOR FY"))),IF(Sel_Bron="Concept",IF(ISNUMBER(IF(Sel_Doeljaar=P_RJ,VERW_Project!$Q53,IF(Sel_Doeljaar=P_RJ+1,VERW_Project!$S53,"n.b."))),IF(Sel_Doeljaar=P_RJ,VERW_Project!$Q53,IF(Sel_Doeljaar=P_RJ+1,VERW_Project!$S53,"n.b."))/P_Factor,IF(Sel_Doeljaar=P_RJ,VERW_Project!$Q53,IF(Sel_Doeljaar=P_RJ+1,VERW_Project!$S53,"n.b."))),"n.b.")))</f>
        <v/>
      </c>
      <c r="O57" s="63" t="str">
        <f>IF($A57="","",IF(AND(ISNUMBER(N57),ISNUMBER(K57)),IF(K57&lt;&gt;0,N57/K57,"n.b."),"n.b."))</f>
        <v/>
      </c>
      <c r="P57" s="41" t="str">
        <f>IF($A57="","",IF(AND(ISNUMBER(K57),ISNUMBER(E57)),K57-E57,"n.b."))</f>
        <v/>
      </c>
      <c r="Q57" s="41" t="str">
        <f>IF($A57="","",IF(AND(ISNUMBER(K57),ISNUMBER(W57)),K57-W57,"n.b."))</f>
        <v/>
      </c>
      <c r="R57" s="64" t="str">
        <f>IF($A57="","",IF(ISNUMBER(N57),IF(N57&lt;0,"Verlies",""),""))</f>
        <v/>
      </c>
      <c r="S57" s="61" t="str">
        <f>IF($A57="","",IFERROR(INDEX(T_Txt,MATCH($A57&amp;"|"&amp;Sel_Doeljaar&amp;"|"&amp;P_VJ&amp;"|"&amp;Sel_Versie,T_Key,0)),""))</f>
        <v/>
      </c>
      <c r="U57" s="15" t="str">
        <f>IF(AND(AND($A57&lt;&gt;"",OR(Sel_Type="Alle",$C57=Sel_Type),OR(Sel_Project="Alle",$B57=Sel_Project)),ISNUMBER(K57)),K57+ROW()/1000000000,"")</f>
        <v/>
      </c>
      <c r="V57" s="15" t="str">
        <f>IF(AND(AND($A57&lt;&gt;"",OR(Sel_Type="Alle",$C57=Sel_Type),OR(Sel_Project="Alle",$B57=Sel_Project)),ISNUMBER(Q57)),ABS(Q57)+ROW()/1000000000,"")</f>
        <v/>
      </c>
      <c r="W57" s="15" t="str">
        <f>IF(OR($A57="",Sel_Prev=""),"n.b.",IF(ISNUMBER(IF(COUNTIFS(L_Actief,1,L_WBS,$A57,L_Doeljaar,Sel_Doeljaar,L_Versiejaar,P_VJ,L_Versie,Sel_Prev,L_Kengetal,"Omzet FY")=0,"n.b.",SUMIFS(L_Waarde,L_Actief,1,L_WBS,$A57,L_Doeljaar,Sel_Doeljaar,L_Versiejaar,P_VJ,L_Versie,Sel_Prev,L_Kengetal,"Omzet FY"))),IF(COUNTIFS(L_Actief,1,L_WBS,$A57,L_Doeljaar,Sel_Doeljaar,L_Versiejaar,P_VJ,L_Versie,Sel_Prev,L_Kengetal,"Omzet FY")=0,"n.b.",SUMIFS(L_Waarde,L_Actief,1,L_WBS,$A57,L_Doeljaar,Sel_Doeljaar,L_Versiejaar,P_VJ,L_Versie,Sel_Prev,L_Kengetal,"Omzet FY"))/P_Factor,IF(COUNTIFS(L_Actief,1,L_WBS,$A57,L_Doeljaar,Sel_Doeljaar,L_Versiejaar,P_VJ,L_Versie,Sel_Prev,L_Kengetal,"Omzet FY")=0,"n.b.",SUMIFS(L_Waarde,L_Actief,1,L_WBS,$A57,L_Doeljaar,Sel_Doeljaar,L_Versiejaar,P_VJ,L_Versie,Sel_Prev,L_Kengetal,"Omzet FY"))))</f>
        <v>n.b.</v>
      </c>
    </row>
    <row r="58">
      <c r="A58" s="61" t="str">
        <f>IF(VERW_Project!$A54="","",VERW_Project!$A54)</f>
        <v/>
      </c>
      <c r="B58" s="61" t="str">
        <f>IF($A58="","",VERW_Project!$C54)</f>
        <v/>
      </c>
      <c r="C58" s="61" t="str">
        <f>IF($A58="","",VERW_Project!$D54)</f>
        <v/>
      </c>
      <c r="D58" s="61" t="str">
        <f>IF($A58="","",VERW_Project!$I54)</f>
        <v/>
      </c>
      <c r="E58" s="41" t="str">
        <f>IF($A58="","",IF(ISNUMBER(IF(COUNTIFS(L_Actief,1,L_WBS,$A58,L_Doeljaar,Sel_Doeljaar,L_Versiejaar,P_VJ,L_Versie,E$8,L_Kengetal,"Omzet FY")=0,"n.b.",SUMIFS(L_Waarde,L_Actief,1,L_WBS,$A58,L_Doeljaar,Sel_Doeljaar,L_Versiejaar,P_VJ,L_Versie,E$8,L_Kengetal,"Omzet FY"))),IF(COUNTIFS(L_Actief,1,L_WBS,$A58,L_Doeljaar,Sel_Doeljaar,L_Versiejaar,P_VJ,L_Versie,E$8,L_Kengetal,"Omzet FY")=0,"n.b.",SUMIFS(L_Waarde,L_Actief,1,L_WBS,$A58,L_Doeljaar,Sel_Doeljaar,L_Versiejaar,P_VJ,L_Versie,E$8,L_Kengetal,"Omzet FY"))/P_Factor,IF(COUNTIFS(L_Actief,1,L_WBS,$A58,L_Doeljaar,Sel_Doeljaar,L_Versiejaar,P_VJ,L_Versie,E$8,L_Kengetal,"Omzet FY")=0,"n.b.",SUMIFS(L_Waarde,L_Actief,1,L_WBS,$A58,L_Doeljaar,Sel_Doeljaar,L_Versiejaar,P_VJ,L_Versie,E$8,L_Kengetal,"Omzet FY"))))</f>
        <v/>
      </c>
      <c r="F58" s="41" t="str">
        <f>IF($A58="","",IF(ISNUMBER(IF(COUNTIFS(L_Actief,1,L_WBS,$A58,L_Doeljaar,Sel_Doeljaar,L_Versiejaar,P_VJ,L_Versie,F$8,L_Kengetal,"Omzet FY")=0,"n.b.",SUMIFS(L_Waarde,L_Actief,1,L_WBS,$A58,L_Doeljaar,Sel_Doeljaar,L_Versiejaar,P_VJ,L_Versie,F$8,L_Kengetal,"Omzet FY"))),IF(COUNTIFS(L_Actief,1,L_WBS,$A58,L_Doeljaar,Sel_Doeljaar,L_Versiejaar,P_VJ,L_Versie,F$8,L_Kengetal,"Omzet FY")=0,"n.b.",SUMIFS(L_Waarde,L_Actief,1,L_WBS,$A58,L_Doeljaar,Sel_Doeljaar,L_Versiejaar,P_VJ,L_Versie,F$8,L_Kengetal,"Omzet FY"))/P_Factor,IF(COUNTIFS(L_Actief,1,L_WBS,$A58,L_Doeljaar,Sel_Doeljaar,L_Versiejaar,P_VJ,L_Versie,F$8,L_Kengetal,"Omzet FY")=0,"n.b.",SUMIFS(L_Waarde,L_Actief,1,L_WBS,$A58,L_Doeljaar,Sel_Doeljaar,L_Versiejaar,P_VJ,L_Versie,F$8,L_Kengetal,"Omzet FY"))))</f>
        <v/>
      </c>
      <c r="G58" s="41" t="str">
        <f>IF($A58="","",IF(ISNUMBER(IF(COUNTIFS(L_Actief,1,L_WBS,$A58,L_Doeljaar,Sel_Doeljaar,L_Versiejaar,P_VJ,L_Versie,G$8,L_Kengetal,"Omzet FY")=0,"n.b.",SUMIFS(L_Waarde,L_Actief,1,L_WBS,$A58,L_Doeljaar,Sel_Doeljaar,L_Versiejaar,P_VJ,L_Versie,G$8,L_Kengetal,"Omzet FY"))),IF(COUNTIFS(L_Actief,1,L_WBS,$A58,L_Doeljaar,Sel_Doeljaar,L_Versiejaar,P_VJ,L_Versie,G$8,L_Kengetal,"Omzet FY")=0,"n.b.",SUMIFS(L_Waarde,L_Actief,1,L_WBS,$A58,L_Doeljaar,Sel_Doeljaar,L_Versiejaar,P_VJ,L_Versie,G$8,L_Kengetal,"Omzet FY"))/P_Factor,IF(COUNTIFS(L_Actief,1,L_WBS,$A58,L_Doeljaar,Sel_Doeljaar,L_Versiejaar,P_VJ,L_Versie,G$8,L_Kengetal,"Omzet FY")=0,"n.b.",SUMIFS(L_Waarde,L_Actief,1,L_WBS,$A58,L_Doeljaar,Sel_Doeljaar,L_Versiejaar,P_VJ,L_Versie,G$8,L_Kengetal,"Omzet FY"))))</f>
        <v/>
      </c>
      <c r="H58" s="41" t="str">
        <f>IF($A58="","",IF(ISNUMBER(IF(COUNTIFS(L_Actief,1,L_WBS,$A58,L_Doeljaar,Sel_Doeljaar,L_Versiejaar,P_VJ,L_Versie,H$8,L_Kengetal,"Omzet FY")=0,"n.b.",SUMIFS(L_Waarde,L_Actief,1,L_WBS,$A58,L_Doeljaar,Sel_Doeljaar,L_Versiejaar,P_VJ,L_Versie,H$8,L_Kengetal,"Omzet FY"))),IF(COUNTIFS(L_Actief,1,L_WBS,$A58,L_Doeljaar,Sel_Doeljaar,L_Versiejaar,P_VJ,L_Versie,H$8,L_Kengetal,"Omzet FY")=0,"n.b.",SUMIFS(L_Waarde,L_Actief,1,L_WBS,$A58,L_Doeljaar,Sel_Doeljaar,L_Versiejaar,P_VJ,L_Versie,H$8,L_Kengetal,"Omzet FY"))/P_Factor,IF(COUNTIFS(L_Actief,1,L_WBS,$A58,L_Doeljaar,Sel_Doeljaar,L_Versiejaar,P_VJ,L_Versie,H$8,L_Kengetal,"Omzet FY")=0,"n.b.",SUMIFS(L_Waarde,L_Actief,1,L_WBS,$A58,L_Doeljaar,Sel_Doeljaar,L_Versiejaar,P_VJ,L_Versie,H$8,L_Kengetal,"Omzet FY"))))</f>
        <v/>
      </c>
      <c r="I58" s="41" t="str">
        <f>IF($A58="","",IF(ISNUMBER(IF(COUNTIFS(L_Actief,1,L_WBS,$A58,L_Doeljaar,Sel_Doeljaar,L_Versiejaar,P_VJ,L_Versie,I$8,L_Kengetal,"Omzet FY")=0,"n.b.",SUMIFS(L_Waarde,L_Actief,1,L_WBS,$A58,L_Doeljaar,Sel_Doeljaar,L_Versiejaar,P_VJ,L_Versie,I$8,L_Kengetal,"Omzet FY"))),IF(COUNTIFS(L_Actief,1,L_WBS,$A58,L_Doeljaar,Sel_Doeljaar,L_Versiejaar,P_VJ,L_Versie,I$8,L_Kengetal,"Omzet FY")=0,"n.b.",SUMIFS(L_Waarde,L_Actief,1,L_WBS,$A58,L_Doeljaar,Sel_Doeljaar,L_Versiejaar,P_VJ,L_Versie,I$8,L_Kengetal,"Omzet FY"))/P_Factor,IF(COUNTIFS(L_Actief,1,L_WBS,$A58,L_Doeljaar,Sel_Doeljaar,L_Versiejaar,P_VJ,L_Versie,I$8,L_Kengetal,"Omzet FY")=0,"n.b.",SUMIFS(L_Waarde,L_Actief,1,L_WBS,$A58,L_Doeljaar,Sel_Doeljaar,L_Versiejaar,P_VJ,L_Versie,I$8,L_Kengetal,"Omzet FY"))))</f>
        <v/>
      </c>
      <c r="J58" s="41" t="str">
        <f>IF($A58="","",IF(ISNUMBER(IF(Sel_Doeljaar=P_RJ,VERW_Project!$P54,IF(Sel_Doeljaar=P_RJ+1,VERW_Project!$R54,"n.b."))),IF(Sel_Doeljaar=P_RJ,VERW_Project!$P54,IF(Sel_Doeljaar=P_RJ+1,VERW_Project!$R54,"n.b."))/P_Factor,IF(Sel_Doeljaar=P_RJ,VERW_Project!$P54,IF(Sel_Doeljaar=P_RJ+1,VERW_Project!$R54,"n.b."))))</f>
        <v/>
      </c>
      <c r="K58" s="41" t="str">
        <f>IF($A58="","",IF(Sel_Bron="Vastgesteld",INDEX($E58:$I58,MATCH(Sel_Versie,$E$8:$I$8,0)),IF(Sel_Bron="Concept",J58,"n.b.")))</f>
        <v/>
      </c>
      <c r="L58" s="62" t="str">
        <f>IF($A58="","",IF(Sel_Doeljaar&gt;P_VJ,"n.v.t.",IF(Sel_Bron="Vastgesteld",IF(ISNUMBER(IF(COUNTIFS(L_Actief,1,L_WBS,$A58,L_Doeljaar,Sel_Doeljaar,L_Versiejaar,P_VJ,L_Versie,Sel_Versie,L_Kengetal,"Omzet actual YTD")=0,"n.b.",SUMIFS(L_Waarde,L_Actief,1,L_WBS,$A58,L_Doeljaar,Sel_Doeljaar,L_Versiejaar,P_VJ,L_Versie,Sel_Versie,L_Kengetal,"Omzet actual YTD"))),IF(COUNTIFS(L_Actief,1,L_WBS,$A58,L_Doeljaar,Sel_Doeljaar,L_Versiejaar,P_VJ,L_Versie,Sel_Versie,L_Kengetal,"Omzet actual YTD")=0,"n.b.",SUMIFS(L_Waarde,L_Actief,1,L_WBS,$A58,L_Doeljaar,Sel_Doeljaar,L_Versiejaar,P_VJ,L_Versie,Sel_Versie,L_Kengetal,"Omzet actual YTD"))/P_Factor,IF(COUNTIFS(L_Actief,1,L_WBS,$A58,L_Doeljaar,Sel_Doeljaar,L_Versiejaar,P_VJ,L_Versie,Sel_Versie,L_Kengetal,"Omzet actual YTD")=0,"n.b.",SUMIFS(L_Waarde,L_Actief,1,L_WBS,$A58,L_Doeljaar,Sel_Doeljaar,L_Versiejaar,P_VJ,L_Versie,Sel_Versie,L_Kengetal,"Omzet actual YTD"))),IF(Sel_Bron="Concept",IF(ISNUMBER(IF(Sel_Doeljaar=P_RJ,VERW_Project!$L54,"n.v.t.")),IF(Sel_Doeljaar=P_RJ,VERW_Project!$L54,"n.v.t.")/P_Factor,IF(Sel_Doeljaar=P_RJ,VERW_Project!$L54,"n.v.t.")),"n.b."))))</f>
        <v/>
      </c>
      <c r="M58" s="41" t="str">
        <f>IF($A58="","",IF(L58="n.v.t.",K58,IF(AND(ISNUMBER(K58),ISNUMBER(L58)),K58-L58,"n.b.")))</f>
        <v/>
      </c>
      <c r="N58" s="41" t="str">
        <f>IF($A58="","",IF(Sel_Bron="Vastgesteld",IF(ISNUMBER(IF(COUNTIFS(L_Actief,1,L_WBS,$A58,L_Doeljaar,Sel_Doeljaar,L_Versiejaar,P_VJ,L_Versie,Sel_Versie,L_Kengetal,"BOR FY")=0,"n.b.",SUMIFS(L_Waarde,L_Actief,1,L_WBS,$A58,L_Doeljaar,Sel_Doeljaar,L_Versiejaar,P_VJ,L_Versie,Sel_Versie,L_Kengetal,"BOR FY"))),IF(COUNTIFS(L_Actief,1,L_WBS,$A58,L_Doeljaar,Sel_Doeljaar,L_Versiejaar,P_VJ,L_Versie,Sel_Versie,L_Kengetal,"BOR FY")=0,"n.b.",SUMIFS(L_Waarde,L_Actief,1,L_WBS,$A58,L_Doeljaar,Sel_Doeljaar,L_Versiejaar,P_VJ,L_Versie,Sel_Versie,L_Kengetal,"BOR FY"))/P_Factor,IF(COUNTIFS(L_Actief,1,L_WBS,$A58,L_Doeljaar,Sel_Doeljaar,L_Versiejaar,P_VJ,L_Versie,Sel_Versie,L_Kengetal,"BOR FY")=0,"n.b.",SUMIFS(L_Waarde,L_Actief,1,L_WBS,$A58,L_Doeljaar,Sel_Doeljaar,L_Versiejaar,P_VJ,L_Versie,Sel_Versie,L_Kengetal,"BOR FY"))),IF(Sel_Bron="Concept",IF(ISNUMBER(IF(Sel_Doeljaar=P_RJ,VERW_Project!$Q54,IF(Sel_Doeljaar=P_RJ+1,VERW_Project!$S54,"n.b."))),IF(Sel_Doeljaar=P_RJ,VERW_Project!$Q54,IF(Sel_Doeljaar=P_RJ+1,VERW_Project!$S54,"n.b."))/P_Factor,IF(Sel_Doeljaar=P_RJ,VERW_Project!$Q54,IF(Sel_Doeljaar=P_RJ+1,VERW_Project!$S54,"n.b."))),"n.b.")))</f>
        <v/>
      </c>
      <c r="O58" s="63" t="str">
        <f>IF($A58="","",IF(AND(ISNUMBER(N58),ISNUMBER(K58)),IF(K58&lt;&gt;0,N58/K58,"n.b."),"n.b."))</f>
        <v/>
      </c>
      <c r="P58" s="41" t="str">
        <f>IF($A58="","",IF(AND(ISNUMBER(K58),ISNUMBER(E58)),K58-E58,"n.b."))</f>
        <v/>
      </c>
      <c r="Q58" s="41" t="str">
        <f>IF($A58="","",IF(AND(ISNUMBER(K58),ISNUMBER(W58)),K58-W58,"n.b."))</f>
        <v/>
      </c>
      <c r="R58" s="64" t="str">
        <f>IF($A58="","",IF(ISNUMBER(N58),IF(N58&lt;0,"Verlies",""),""))</f>
        <v/>
      </c>
      <c r="S58" s="61" t="str">
        <f>IF($A58="","",IFERROR(INDEX(T_Txt,MATCH($A58&amp;"|"&amp;Sel_Doeljaar&amp;"|"&amp;P_VJ&amp;"|"&amp;Sel_Versie,T_Key,0)),""))</f>
        <v/>
      </c>
      <c r="U58" s="15" t="str">
        <f>IF(AND(AND($A58&lt;&gt;"",OR(Sel_Type="Alle",$C58=Sel_Type),OR(Sel_Project="Alle",$B58=Sel_Project)),ISNUMBER(K58)),K58+ROW()/1000000000,"")</f>
        <v/>
      </c>
      <c r="V58" s="15" t="str">
        <f>IF(AND(AND($A58&lt;&gt;"",OR(Sel_Type="Alle",$C58=Sel_Type),OR(Sel_Project="Alle",$B58=Sel_Project)),ISNUMBER(Q58)),ABS(Q58)+ROW()/1000000000,"")</f>
        <v/>
      </c>
      <c r="W58" s="15" t="str">
        <f>IF(OR($A58="",Sel_Prev=""),"n.b.",IF(ISNUMBER(IF(COUNTIFS(L_Actief,1,L_WBS,$A58,L_Doeljaar,Sel_Doeljaar,L_Versiejaar,P_VJ,L_Versie,Sel_Prev,L_Kengetal,"Omzet FY")=0,"n.b.",SUMIFS(L_Waarde,L_Actief,1,L_WBS,$A58,L_Doeljaar,Sel_Doeljaar,L_Versiejaar,P_VJ,L_Versie,Sel_Prev,L_Kengetal,"Omzet FY"))),IF(COUNTIFS(L_Actief,1,L_WBS,$A58,L_Doeljaar,Sel_Doeljaar,L_Versiejaar,P_VJ,L_Versie,Sel_Prev,L_Kengetal,"Omzet FY")=0,"n.b.",SUMIFS(L_Waarde,L_Actief,1,L_WBS,$A58,L_Doeljaar,Sel_Doeljaar,L_Versiejaar,P_VJ,L_Versie,Sel_Prev,L_Kengetal,"Omzet FY"))/P_Factor,IF(COUNTIFS(L_Actief,1,L_WBS,$A58,L_Doeljaar,Sel_Doeljaar,L_Versiejaar,P_VJ,L_Versie,Sel_Prev,L_Kengetal,"Omzet FY")=0,"n.b.",SUMIFS(L_Waarde,L_Actief,1,L_WBS,$A58,L_Doeljaar,Sel_Doeljaar,L_Versiejaar,P_VJ,L_Versie,Sel_Prev,L_Kengetal,"Omzet FY"))))</f>
        <v>n.b.</v>
      </c>
    </row>
    <row r="59">
      <c r="A59" s="61" t="str">
        <f>IF(VERW_Project!$A55="","",VERW_Project!$A55)</f>
        <v/>
      </c>
      <c r="B59" s="61" t="str">
        <f>IF($A59="","",VERW_Project!$C55)</f>
        <v/>
      </c>
      <c r="C59" s="61" t="str">
        <f>IF($A59="","",VERW_Project!$D55)</f>
        <v/>
      </c>
      <c r="D59" s="61" t="str">
        <f>IF($A59="","",VERW_Project!$I55)</f>
        <v/>
      </c>
      <c r="E59" s="41" t="str">
        <f>IF($A59="","",IF(ISNUMBER(IF(COUNTIFS(L_Actief,1,L_WBS,$A59,L_Doeljaar,Sel_Doeljaar,L_Versiejaar,P_VJ,L_Versie,E$8,L_Kengetal,"Omzet FY")=0,"n.b.",SUMIFS(L_Waarde,L_Actief,1,L_WBS,$A59,L_Doeljaar,Sel_Doeljaar,L_Versiejaar,P_VJ,L_Versie,E$8,L_Kengetal,"Omzet FY"))),IF(COUNTIFS(L_Actief,1,L_WBS,$A59,L_Doeljaar,Sel_Doeljaar,L_Versiejaar,P_VJ,L_Versie,E$8,L_Kengetal,"Omzet FY")=0,"n.b.",SUMIFS(L_Waarde,L_Actief,1,L_WBS,$A59,L_Doeljaar,Sel_Doeljaar,L_Versiejaar,P_VJ,L_Versie,E$8,L_Kengetal,"Omzet FY"))/P_Factor,IF(COUNTIFS(L_Actief,1,L_WBS,$A59,L_Doeljaar,Sel_Doeljaar,L_Versiejaar,P_VJ,L_Versie,E$8,L_Kengetal,"Omzet FY")=0,"n.b.",SUMIFS(L_Waarde,L_Actief,1,L_WBS,$A59,L_Doeljaar,Sel_Doeljaar,L_Versiejaar,P_VJ,L_Versie,E$8,L_Kengetal,"Omzet FY"))))</f>
        <v/>
      </c>
      <c r="F59" s="41" t="str">
        <f>IF($A59="","",IF(ISNUMBER(IF(COUNTIFS(L_Actief,1,L_WBS,$A59,L_Doeljaar,Sel_Doeljaar,L_Versiejaar,P_VJ,L_Versie,F$8,L_Kengetal,"Omzet FY")=0,"n.b.",SUMIFS(L_Waarde,L_Actief,1,L_WBS,$A59,L_Doeljaar,Sel_Doeljaar,L_Versiejaar,P_VJ,L_Versie,F$8,L_Kengetal,"Omzet FY"))),IF(COUNTIFS(L_Actief,1,L_WBS,$A59,L_Doeljaar,Sel_Doeljaar,L_Versiejaar,P_VJ,L_Versie,F$8,L_Kengetal,"Omzet FY")=0,"n.b.",SUMIFS(L_Waarde,L_Actief,1,L_WBS,$A59,L_Doeljaar,Sel_Doeljaar,L_Versiejaar,P_VJ,L_Versie,F$8,L_Kengetal,"Omzet FY"))/P_Factor,IF(COUNTIFS(L_Actief,1,L_WBS,$A59,L_Doeljaar,Sel_Doeljaar,L_Versiejaar,P_VJ,L_Versie,F$8,L_Kengetal,"Omzet FY")=0,"n.b.",SUMIFS(L_Waarde,L_Actief,1,L_WBS,$A59,L_Doeljaar,Sel_Doeljaar,L_Versiejaar,P_VJ,L_Versie,F$8,L_Kengetal,"Omzet FY"))))</f>
        <v/>
      </c>
      <c r="G59" s="41" t="str">
        <f>IF($A59="","",IF(ISNUMBER(IF(COUNTIFS(L_Actief,1,L_WBS,$A59,L_Doeljaar,Sel_Doeljaar,L_Versiejaar,P_VJ,L_Versie,G$8,L_Kengetal,"Omzet FY")=0,"n.b.",SUMIFS(L_Waarde,L_Actief,1,L_WBS,$A59,L_Doeljaar,Sel_Doeljaar,L_Versiejaar,P_VJ,L_Versie,G$8,L_Kengetal,"Omzet FY"))),IF(COUNTIFS(L_Actief,1,L_WBS,$A59,L_Doeljaar,Sel_Doeljaar,L_Versiejaar,P_VJ,L_Versie,G$8,L_Kengetal,"Omzet FY")=0,"n.b.",SUMIFS(L_Waarde,L_Actief,1,L_WBS,$A59,L_Doeljaar,Sel_Doeljaar,L_Versiejaar,P_VJ,L_Versie,G$8,L_Kengetal,"Omzet FY"))/P_Factor,IF(COUNTIFS(L_Actief,1,L_WBS,$A59,L_Doeljaar,Sel_Doeljaar,L_Versiejaar,P_VJ,L_Versie,G$8,L_Kengetal,"Omzet FY")=0,"n.b.",SUMIFS(L_Waarde,L_Actief,1,L_WBS,$A59,L_Doeljaar,Sel_Doeljaar,L_Versiejaar,P_VJ,L_Versie,G$8,L_Kengetal,"Omzet FY"))))</f>
        <v/>
      </c>
      <c r="H59" s="41" t="str">
        <f>IF($A59="","",IF(ISNUMBER(IF(COUNTIFS(L_Actief,1,L_WBS,$A59,L_Doeljaar,Sel_Doeljaar,L_Versiejaar,P_VJ,L_Versie,H$8,L_Kengetal,"Omzet FY")=0,"n.b.",SUMIFS(L_Waarde,L_Actief,1,L_WBS,$A59,L_Doeljaar,Sel_Doeljaar,L_Versiejaar,P_VJ,L_Versie,H$8,L_Kengetal,"Omzet FY"))),IF(COUNTIFS(L_Actief,1,L_WBS,$A59,L_Doeljaar,Sel_Doeljaar,L_Versiejaar,P_VJ,L_Versie,H$8,L_Kengetal,"Omzet FY")=0,"n.b.",SUMIFS(L_Waarde,L_Actief,1,L_WBS,$A59,L_Doeljaar,Sel_Doeljaar,L_Versiejaar,P_VJ,L_Versie,H$8,L_Kengetal,"Omzet FY"))/P_Factor,IF(COUNTIFS(L_Actief,1,L_WBS,$A59,L_Doeljaar,Sel_Doeljaar,L_Versiejaar,P_VJ,L_Versie,H$8,L_Kengetal,"Omzet FY")=0,"n.b.",SUMIFS(L_Waarde,L_Actief,1,L_WBS,$A59,L_Doeljaar,Sel_Doeljaar,L_Versiejaar,P_VJ,L_Versie,H$8,L_Kengetal,"Omzet FY"))))</f>
        <v/>
      </c>
      <c r="I59" s="41" t="str">
        <f>IF($A59="","",IF(ISNUMBER(IF(COUNTIFS(L_Actief,1,L_WBS,$A59,L_Doeljaar,Sel_Doeljaar,L_Versiejaar,P_VJ,L_Versie,I$8,L_Kengetal,"Omzet FY")=0,"n.b.",SUMIFS(L_Waarde,L_Actief,1,L_WBS,$A59,L_Doeljaar,Sel_Doeljaar,L_Versiejaar,P_VJ,L_Versie,I$8,L_Kengetal,"Omzet FY"))),IF(COUNTIFS(L_Actief,1,L_WBS,$A59,L_Doeljaar,Sel_Doeljaar,L_Versiejaar,P_VJ,L_Versie,I$8,L_Kengetal,"Omzet FY")=0,"n.b.",SUMIFS(L_Waarde,L_Actief,1,L_WBS,$A59,L_Doeljaar,Sel_Doeljaar,L_Versiejaar,P_VJ,L_Versie,I$8,L_Kengetal,"Omzet FY"))/P_Factor,IF(COUNTIFS(L_Actief,1,L_WBS,$A59,L_Doeljaar,Sel_Doeljaar,L_Versiejaar,P_VJ,L_Versie,I$8,L_Kengetal,"Omzet FY")=0,"n.b.",SUMIFS(L_Waarde,L_Actief,1,L_WBS,$A59,L_Doeljaar,Sel_Doeljaar,L_Versiejaar,P_VJ,L_Versie,I$8,L_Kengetal,"Omzet FY"))))</f>
        <v/>
      </c>
      <c r="J59" s="41" t="str">
        <f>IF($A59="","",IF(ISNUMBER(IF(Sel_Doeljaar=P_RJ,VERW_Project!$P55,IF(Sel_Doeljaar=P_RJ+1,VERW_Project!$R55,"n.b."))),IF(Sel_Doeljaar=P_RJ,VERW_Project!$P55,IF(Sel_Doeljaar=P_RJ+1,VERW_Project!$R55,"n.b."))/P_Factor,IF(Sel_Doeljaar=P_RJ,VERW_Project!$P55,IF(Sel_Doeljaar=P_RJ+1,VERW_Project!$R55,"n.b."))))</f>
        <v/>
      </c>
      <c r="K59" s="41" t="str">
        <f>IF($A59="","",IF(Sel_Bron="Vastgesteld",INDEX($E59:$I59,MATCH(Sel_Versie,$E$8:$I$8,0)),IF(Sel_Bron="Concept",J59,"n.b.")))</f>
        <v/>
      </c>
      <c r="L59" s="62" t="str">
        <f>IF($A59="","",IF(Sel_Doeljaar&gt;P_VJ,"n.v.t.",IF(Sel_Bron="Vastgesteld",IF(ISNUMBER(IF(COUNTIFS(L_Actief,1,L_WBS,$A59,L_Doeljaar,Sel_Doeljaar,L_Versiejaar,P_VJ,L_Versie,Sel_Versie,L_Kengetal,"Omzet actual YTD")=0,"n.b.",SUMIFS(L_Waarde,L_Actief,1,L_WBS,$A59,L_Doeljaar,Sel_Doeljaar,L_Versiejaar,P_VJ,L_Versie,Sel_Versie,L_Kengetal,"Omzet actual YTD"))),IF(COUNTIFS(L_Actief,1,L_WBS,$A59,L_Doeljaar,Sel_Doeljaar,L_Versiejaar,P_VJ,L_Versie,Sel_Versie,L_Kengetal,"Omzet actual YTD")=0,"n.b.",SUMIFS(L_Waarde,L_Actief,1,L_WBS,$A59,L_Doeljaar,Sel_Doeljaar,L_Versiejaar,P_VJ,L_Versie,Sel_Versie,L_Kengetal,"Omzet actual YTD"))/P_Factor,IF(COUNTIFS(L_Actief,1,L_WBS,$A59,L_Doeljaar,Sel_Doeljaar,L_Versiejaar,P_VJ,L_Versie,Sel_Versie,L_Kengetal,"Omzet actual YTD")=0,"n.b.",SUMIFS(L_Waarde,L_Actief,1,L_WBS,$A59,L_Doeljaar,Sel_Doeljaar,L_Versiejaar,P_VJ,L_Versie,Sel_Versie,L_Kengetal,"Omzet actual YTD"))),IF(Sel_Bron="Concept",IF(ISNUMBER(IF(Sel_Doeljaar=P_RJ,VERW_Project!$L55,"n.v.t.")),IF(Sel_Doeljaar=P_RJ,VERW_Project!$L55,"n.v.t.")/P_Factor,IF(Sel_Doeljaar=P_RJ,VERW_Project!$L55,"n.v.t.")),"n.b."))))</f>
        <v/>
      </c>
      <c r="M59" s="41" t="str">
        <f>IF($A59="","",IF(L59="n.v.t.",K59,IF(AND(ISNUMBER(K59),ISNUMBER(L59)),K59-L59,"n.b.")))</f>
        <v/>
      </c>
      <c r="N59" s="41" t="str">
        <f>IF($A59="","",IF(Sel_Bron="Vastgesteld",IF(ISNUMBER(IF(COUNTIFS(L_Actief,1,L_WBS,$A59,L_Doeljaar,Sel_Doeljaar,L_Versiejaar,P_VJ,L_Versie,Sel_Versie,L_Kengetal,"BOR FY")=0,"n.b.",SUMIFS(L_Waarde,L_Actief,1,L_WBS,$A59,L_Doeljaar,Sel_Doeljaar,L_Versiejaar,P_VJ,L_Versie,Sel_Versie,L_Kengetal,"BOR FY"))),IF(COUNTIFS(L_Actief,1,L_WBS,$A59,L_Doeljaar,Sel_Doeljaar,L_Versiejaar,P_VJ,L_Versie,Sel_Versie,L_Kengetal,"BOR FY")=0,"n.b.",SUMIFS(L_Waarde,L_Actief,1,L_WBS,$A59,L_Doeljaar,Sel_Doeljaar,L_Versiejaar,P_VJ,L_Versie,Sel_Versie,L_Kengetal,"BOR FY"))/P_Factor,IF(COUNTIFS(L_Actief,1,L_WBS,$A59,L_Doeljaar,Sel_Doeljaar,L_Versiejaar,P_VJ,L_Versie,Sel_Versie,L_Kengetal,"BOR FY")=0,"n.b.",SUMIFS(L_Waarde,L_Actief,1,L_WBS,$A59,L_Doeljaar,Sel_Doeljaar,L_Versiejaar,P_VJ,L_Versie,Sel_Versie,L_Kengetal,"BOR FY"))),IF(Sel_Bron="Concept",IF(ISNUMBER(IF(Sel_Doeljaar=P_RJ,VERW_Project!$Q55,IF(Sel_Doeljaar=P_RJ+1,VERW_Project!$S55,"n.b."))),IF(Sel_Doeljaar=P_RJ,VERW_Project!$Q55,IF(Sel_Doeljaar=P_RJ+1,VERW_Project!$S55,"n.b."))/P_Factor,IF(Sel_Doeljaar=P_RJ,VERW_Project!$Q55,IF(Sel_Doeljaar=P_RJ+1,VERW_Project!$S55,"n.b."))),"n.b.")))</f>
        <v/>
      </c>
      <c r="O59" s="63" t="str">
        <f>IF($A59="","",IF(AND(ISNUMBER(N59),ISNUMBER(K59)),IF(K59&lt;&gt;0,N59/K59,"n.b."),"n.b."))</f>
        <v/>
      </c>
      <c r="P59" s="41" t="str">
        <f>IF($A59="","",IF(AND(ISNUMBER(K59),ISNUMBER(E59)),K59-E59,"n.b."))</f>
        <v/>
      </c>
      <c r="Q59" s="41" t="str">
        <f>IF($A59="","",IF(AND(ISNUMBER(K59),ISNUMBER(W59)),K59-W59,"n.b."))</f>
        <v/>
      </c>
      <c r="R59" s="64" t="str">
        <f>IF($A59="","",IF(ISNUMBER(N59),IF(N59&lt;0,"Verlies",""),""))</f>
        <v/>
      </c>
      <c r="S59" s="61" t="str">
        <f>IF($A59="","",IFERROR(INDEX(T_Txt,MATCH($A59&amp;"|"&amp;Sel_Doeljaar&amp;"|"&amp;P_VJ&amp;"|"&amp;Sel_Versie,T_Key,0)),""))</f>
        <v/>
      </c>
      <c r="U59" s="15" t="str">
        <f>IF(AND(AND($A59&lt;&gt;"",OR(Sel_Type="Alle",$C59=Sel_Type),OR(Sel_Project="Alle",$B59=Sel_Project)),ISNUMBER(K59)),K59+ROW()/1000000000,"")</f>
        <v/>
      </c>
      <c r="V59" s="15" t="str">
        <f>IF(AND(AND($A59&lt;&gt;"",OR(Sel_Type="Alle",$C59=Sel_Type),OR(Sel_Project="Alle",$B59=Sel_Project)),ISNUMBER(Q59)),ABS(Q59)+ROW()/1000000000,"")</f>
        <v/>
      </c>
      <c r="W59" s="15" t="str">
        <f>IF(OR($A59="",Sel_Prev=""),"n.b.",IF(ISNUMBER(IF(COUNTIFS(L_Actief,1,L_WBS,$A59,L_Doeljaar,Sel_Doeljaar,L_Versiejaar,P_VJ,L_Versie,Sel_Prev,L_Kengetal,"Omzet FY")=0,"n.b.",SUMIFS(L_Waarde,L_Actief,1,L_WBS,$A59,L_Doeljaar,Sel_Doeljaar,L_Versiejaar,P_VJ,L_Versie,Sel_Prev,L_Kengetal,"Omzet FY"))),IF(COUNTIFS(L_Actief,1,L_WBS,$A59,L_Doeljaar,Sel_Doeljaar,L_Versiejaar,P_VJ,L_Versie,Sel_Prev,L_Kengetal,"Omzet FY")=0,"n.b.",SUMIFS(L_Waarde,L_Actief,1,L_WBS,$A59,L_Doeljaar,Sel_Doeljaar,L_Versiejaar,P_VJ,L_Versie,Sel_Prev,L_Kengetal,"Omzet FY"))/P_Factor,IF(COUNTIFS(L_Actief,1,L_WBS,$A59,L_Doeljaar,Sel_Doeljaar,L_Versiejaar,P_VJ,L_Versie,Sel_Prev,L_Kengetal,"Omzet FY")=0,"n.b.",SUMIFS(L_Waarde,L_Actief,1,L_WBS,$A59,L_Doeljaar,Sel_Doeljaar,L_Versiejaar,P_VJ,L_Versie,Sel_Prev,L_Kengetal,"Omzet FY"))))</f>
        <v>n.b.</v>
      </c>
    </row>
    <row r="60">
      <c r="A60" s="61" t="str">
        <f>IF(VERW_Project!$A56="","",VERW_Project!$A56)</f>
        <v/>
      </c>
      <c r="B60" s="61" t="str">
        <f>IF($A60="","",VERW_Project!$C56)</f>
        <v/>
      </c>
      <c r="C60" s="61" t="str">
        <f>IF($A60="","",VERW_Project!$D56)</f>
        <v/>
      </c>
      <c r="D60" s="61" t="str">
        <f>IF($A60="","",VERW_Project!$I56)</f>
        <v/>
      </c>
      <c r="E60" s="41" t="str">
        <f>IF($A60="","",IF(ISNUMBER(IF(COUNTIFS(L_Actief,1,L_WBS,$A60,L_Doeljaar,Sel_Doeljaar,L_Versiejaar,P_VJ,L_Versie,E$8,L_Kengetal,"Omzet FY")=0,"n.b.",SUMIFS(L_Waarde,L_Actief,1,L_WBS,$A60,L_Doeljaar,Sel_Doeljaar,L_Versiejaar,P_VJ,L_Versie,E$8,L_Kengetal,"Omzet FY"))),IF(COUNTIFS(L_Actief,1,L_WBS,$A60,L_Doeljaar,Sel_Doeljaar,L_Versiejaar,P_VJ,L_Versie,E$8,L_Kengetal,"Omzet FY")=0,"n.b.",SUMIFS(L_Waarde,L_Actief,1,L_WBS,$A60,L_Doeljaar,Sel_Doeljaar,L_Versiejaar,P_VJ,L_Versie,E$8,L_Kengetal,"Omzet FY"))/P_Factor,IF(COUNTIFS(L_Actief,1,L_WBS,$A60,L_Doeljaar,Sel_Doeljaar,L_Versiejaar,P_VJ,L_Versie,E$8,L_Kengetal,"Omzet FY")=0,"n.b.",SUMIFS(L_Waarde,L_Actief,1,L_WBS,$A60,L_Doeljaar,Sel_Doeljaar,L_Versiejaar,P_VJ,L_Versie,E$8,L_Kengetal,"Omzet FY"))))</f>
        <v/>
      </c>
      <c r="F60" s="41" t="str">
        <f>IF($A60="","",IF(ISNUMBER(IF(COUNTIFS(L_Actief,1,L_WBS,$A60,L_Doeljaar,Sel_Doeljaar,L_Versiejaar,P_VJ,L_Versie,F$8,L_Kengetal,"Omzet FY")=0,"n.b.",SUMIFS(L_Waarde,L_Actief,1,L_WBS,$A60,L_Doeljaar,Sel_Doeljaar,L_Versiejaar,P_VJ,L_Versie,F$8,L_Kengetal,"Omzet FY"))),IF(COUNTIFS(L_Actief,1,L_WBS,$A60,L_Doeljaar,Sel_Doeljaar,L_Versiejaar,P_VJ,L_Versie,F$8,L_Kengetal,"Omzet FY")=0,"n.b.",SUMIFS(L_Waarde,L_Actief,1,L_WBS,$A60,L_Doeljaar,Sel_Doeljaar,L_Versiejaar,P_VJ,L_Versie,F$8,L_Kengetal,"Omzet FY"))/P_Factor,IF(COUNTIFS(L_Actief,1,L_WBS,$A60,L_Doeljaar,Sel_Doeljaar,L_Versiejaar,P_VJ,L_Versie,F$8,L_Kengetal,"Omzet FY")=0,"n.b.",SUMIFS(L_Waarde,L_Actief,1,L_WBS,$A60,L_Doeljaar,Sel_Doeljaar,L_Versiejaar,P_VJ,L_Versie,F$8,L_Kengetal,"Omzet FY"))))</f>
        <v/>
      </c>
      <c r="G60" s="41" t="str">
        <f>IF($A60="","",IF(ISNUMBER(IF(COUNTIFS(L_Actief,1,L_WBS,$A60,L_Doeljaar,Sel_Doeljaar,L_Versiejaar,P_VJ,L_Versie,G$8,L_Kengetal,"Omzet FY")=0,"n.b.",SUMIFS(L_Waarde,L_Actief,1,L_WBS,$A60,L_Doeljaar,Sel_Doeljaar,L_Versiejaar,P_VJ,L_Versie,G$8,L_Kengetal,"Omzet FY"))),IF(COUNTIFS(L_Actief,1,L_WBS,$A60,L_Doeljaar,Sel_Doeljaar,L_Versiejaar,P_VJ,L_Versie,G$8,L_Kengetal,"Omzet FY")=0,"n.b.",SUMIFS(L_Waarde,L_Actief,1,L_WBS,$A60,L_Doeljaar,Sel_Doeljaar,L_Versiejaar,P_VJ,L_Versie,G$8,L_Kengetal,"Omzet FY"))/P_Factor,IF(COUNTIFS(L_Actief,1,L_WBS,$A60,L_Doeljaar,Sel_Doeljaar,L_Versiejaar,P_VJ,L_Versie,G$8,L_Kengetal,"Omzet FY")=0,"n.b.",SUMIFS(L_Waarde,L_Actief,1,L_WBS,$A60,L_Doeljaar,Sel_Doeljaar,L_Versiejaar,P_VJ,L_Versie,G$8,L_Kengetal,"Omzet FY"))))</f>
        <v/>
      </c>
      <c r="H60" s="41" t="str">
        <f>IF($A60="","",IF(ISNUMBER(IF(COUNTIFS(L_Actief,1,L_WBS,$A60,L_Doeljaar,Sel_Doeljaar,L_Versiejaar,P_VJ,L_Versie,H$8,L_Kengetal,"Omzet FY")=0,"n.b.",SUMIFS(L_Waarde,L_Actief,1,L_WBS,$A60,L_Doeljaar,Sel_Doeljaar,L_Versiejaar,P_VJ,L_Versie,H$8,L_Kengetal,"Omzet FY"))),IF(COUNTIFS(L_Actief,1,L_WBS,$A60,L_Doeljaar,Sel_Doeljaar,L_Versiejaar,P_VJ,L_Versie,H$8,L_Kengetal,"Omzet FY")=0,"n.b.",SUMIFS(L_Waarde,L_Actief,1,L_WBS,$A60,L_Doeljaar,Sel_Doeljaar,L_Versiejaar,P_VJ,L_Versie,H$8,L_Kengetal,"Omzet FY"))/P_Factor,IF(COUNTIFS(L_Actief,1,L_WBS,$A60,L_Doeljaar,Sel_Doeljaar,L_Versiejaar,P_VJ,L_Versie,H$8,L_Kengetal,"Omzet FY")=0,"n.b.",SUMIFS(L_Waarde,L_Actief,1,L_WBS,$A60,L_Doeljaar,Sel_Doeljaar,L_Versiejaar,P_VJ,L_Versie,H$8,L_Kengetal,"Omzet FY"))))</f>
        <v/>
      </c>
      <c r="I60" s="41" t="str">
        <f>IF($A60="","",IF(ISNUMBER(IF(COUNTIFS(L_Actief,1,L_WBS,$A60,L_Doeljaar,Sel_Doeljaar,L_Versiejaar,P_VJ,L_Versie,I$8,L_Kengetal,"Omzet FY")=0,"n.b.",SUMIFS(L_Waarde,L_Actief,1,L_WBS,$A60,L_Doeljaar,Sel_Doeljaar,L_Versiejaar,P_VJ,L_Versie,I$8,L_Kengetal,"Omzet FY"))),IF(COUNTIFS(L_Actief,1,L_WBS,$A60,L_Doeljaar,Sel_Doeljaar,L_Versiejaar,P_VJ,L_Versie,I$8,L_Kengetal,"Omzet FY")=0,"n.b.",SUMIFS(L_Waarde,L_Actief,1,L_WBS,$A60,L_Doeljaar,Sel_Doeljaar,L_Versiejaar,P_VJ,L_Versie,I$8,L_Kengetal,"Omzet FY"))/P_Factor,IF(COUNTIFS(L_Actief,1,L_WBS,$A60,L_Doeljaar,Sel_Doeljaar,L_Versiejaar,P_VJ,L_Versie,I$8,L_Kengetal,"Omzet FY")=0,"n.b.",SUMIFS(L_Waarde,L_Actief,1,L_WBS,$A60,L_Doeljaar,Sel_Doeljaar,L_Versiejaar,P_VJ,L_Versie,I$8,L_Kengetal,"Omzet FY"))))</f>
        <v/>
      </c>
      <c r="J60" s="41" t="str">
        <f>IF($A60="","",IF(ISNUMBER(IF(Sel_Doeljaar=P_RJ,VERW_Project!$P56,IF(Sel_Doeljaar=P_RJ+1,VERW_Project!$R56,"n.b."))),IF(Sel_Doeljaar=P_RJ,VERW_Project!$P56,IF(Sel_Doeljaar=P_RJ+1,VERW_Project!$R56,"n.b."))/P_Factor,IF(Sel_Doeljaar=P_RJ,VERW_Project!$P56,IF(Sel_Doeljaar=P_RJ+1,VERW_Project!$R56,"n.b."))))</f>
        <v/>
      </c>
      <c r="K60" s="41" t="str">
        <f>IF($A60="","",IF(Sel_Bron="Vastgesteld",INDEX($E60:$I60,MATCH(Sel_Versie,$E$8:$I$8,0)),IF(Sel_Bron="Concept",J60,"n.b.")))</f>
        <v/>
      </c>
      <c r="L60" s="62" t="str">
        <f>IF($A60="","",IF(Sel_Doeljaar&gt;P_VJ,"n.v.t.",IF(Sel_Bron="Vastgesteld",IF(ISNUMBER(IF(COUNTIFS(L_Actief,1,L_WBS,$A60,L_Doeljaar,Sel_Doeljaar,L_Versiejaar,P_VJ,L_Versie,Sel_Versie,L_Kengetal,"Omzet actual YTD")=0,"n.b.",SUMIFS(L_Waarde,L_Actief,1,L_WBS,$A60,L_Doeljaar,Sel_Doeljaar,L_Versiejaar,P_VJ,L_Versie,Sel_Versie,L_Kengetal,"Omzet actual YTD"))),IF(COUNTIFS(L_Actief,1,L_WBS,$A60,L_Doeljaar,Sel_Doeljaar,L_Versiejaar,P_VJ,L_Versie,Sel_Versie,L_Kengetal,"Omzet actual YTD")=0,"n.b.",SUMIFS(L_Waarde,L_Actief,1,L_WBS,$A60,L_Doeljaar,Sel_Doeljaar,L_Versiejaar,P_VJ,L_Versie,Sel_Versie,L_Kengetal,"Omzet actual YTD"))/P_Factor,IF(COUNTIFS(L_Actief,1,L_WBS,$A60,L_Doeljaar,Sel_Doeljaar,L_Versiejaar,P_VJ,L_Versie,Sel_Versie,L_Kengetal,"Omzet actual YTD")=0,"n.b.",SUMIFS(L_Waarde,L_Actief,1,L_WBS,$A60,L_Doeljaar,Sel_Doeljaar,L_Versiejaar,P_VJ,L_Versie,Sel_Versie,L_Kengetal,"Omzet actual YTD"))),IF(Sel_Bron="Concept",IF(ISNUMBER(IF(Sel_Doeljaar=P_RJ,VERW_Project!$L56,"n.v.t.")),IF(Sel_Doeljaar=P_RJ,VERW_Project!$L56,"n.v.t.")/P_Factor,IF(Sel_Doeljaar=P_RJ,VERW_Project!$L56,"n.v.t.")),"n.b."))))</f>
        <v/>
      </c>
      <c r="M60" s="41" t="str">
        <f>IF($A60="","",IF(L60="n.v.t.",K60,IF(AND(ISNUMBER(K60),ISNUMBER(L60)),K60-L60,"n.b.")))</f>
        <v/>
      </c>
      <c r="N60" s="41" t="str">
        <f>IF($A60="","",IF(Sel_Bron="Vastgesteld",IF(ISNUMBER(IF(COUNTIFS(L_Actief,1,L_WBS,$A60,L_Doeljaar,Sel_Doeljaar,L_Versiejaar,P_VJ,L_Versie,Sel_Versie,L_Kengetal,"BOR FY")=0,"n.b.",SUMIFS(L_Waarde,L_Actief,1,L_WBS,$A60,L_Doeljaar,Sel_Doeljaar,L_Versiejaar,P_VJ,L_Versie,Sel_Versie,L_Kengetal,"BOR FY"))),IF(COUNTIFS(L_Actief,1,L_WBS,$A60,L_Doeljaar,Sel_Doeljaar,L_Versiejaar,P_VJ,L_Versie,Sel_Versie,L_Kengetal,"BOR FY")=0,"n.b.",SUMIFS(L_Waarde,L_Actief,1,L_WBS,$A60,L_Doeljaar,Sel_Doeljaar,L_Versiejaar,P_VJ,L_Versie,Sel_Versie,L_Kengetal,"BOR FY"))/P_Factor,IF(COUNTIFS(L_Actief,1,L_WBS,$A60,L_Doeljaar,Sel_Doeljaar,L_Versiejaar,P_VJ,L_Versie,Sel_Versie,L_Kengetal,"BOR FY")=0,"n.b.",SUMIFS(L_Waarde,L_Actief,1,L_WBS,$A60,L_Doeljaar,Sel_Doeljaar,L_Versiejaar,P_VJ,L_Versie,Sel_Versie,L_Kengetal,"BOR FY"))),IF(Sel_Bron="Concept",IF(ISNUMBER(IF(Sel_Doeljaar=P_RJ,VERW_Project!$Q56,IF(Sel_Doeljaar=P_RJ+1,VERW_Project!$S56,"n.b."))),IF(Sel_Doeljaar=P_RJ,VERW_Project!$Q56,IF(Sel_Doeljaar=P_RJ+1,VERW_Project!$S56,"n.b."))/P_Factor,IF(Sel_Doeljaar=P_RJ,VERW_Project!$Q56,IF(Sel_Doeljaar=P_RJ+1,VERW_Project!$S56,"n.b."))),"n.b.")))</f>
        <v/>
      </c>
      <c r="O60" s="63" t="str">
        <f>IF($A60="","",IF(AND(ISNUMBER(N60),ISNUMBER(K60)),IF(K60&lt;&gt;0,N60/K60,"n.b."),"n.b."))</f>
        <v/>
      </c>
      <c r="P60" s="41" t="str">
        <f>IF($A60="","",IF(AND(ISNUMBER(K60),ISNUMBER(E60)),K60-E60,"n.b."))</f>
        <v/>
      </c>
      <c r="Q60" s="41" t="str">
        <f>IF($A60="","",IF(AND(ISNUMBER(K60),ISNUMBER(W60)),K60-W60,"n.b."))</f>
        <v/>
      </c>
      <c r="R60" s="64" t="str">
        <f>IF($A60="","",IF(ISNUMBER(N60),IF(N60&lt;0,"Verlies",""),""))</f>
        <v/>
      </c>
      <c r="S60" s="61" t="str">
        <f>IF($A60="","",IFERROR(INDEX(T_Txt,MATCH($A60&amp;"|"&amp;Sel_Doeljaar&amp;"|"&amp;P_VJ&amp;"|"&amp;Sel_Versie,T_Key,0)),""))</f>
        <v/>
      </c>
      <c r="U60" s="15" t="str">
        <f>IF(AND(AND($A60&lt;&gt;"",OR(Sel_Type="Alle",$C60=Sel_Type),OR(Sel_Project="Alle",$B60=Sel_Project)),ISNUMBER(K60)),K60+ROW()/1000000000,"")</f>
        <v/>
      </c>
      <c r="V60" s="15" t="str">
        <f>IF(AND(AND($A60&lt;&gt;"",OR(Sel_Type="Alle",$C60=Sel_Type),OR(Sel_Project="Alle",$B60=Sel_Project)),ISNUMBER(Q60)),ABS(Q60)+ROW()/1000000000,"")</f>
        <v/>
      </c>
      <c r="W60" s="15" t="str">
        <f>IF(OR($A60="",Sel_Prev=""),"n.b.",IF(ISNUMBER(IF(COUNTIFS(L_Actief,1,L_WBS,$A60,L_Doeljaar,Sel_Doeljaar,L_Versiejaar,P_VJ,L_Versie,Sel_Prev,L_Kengetal,"Omzet FY")=0,"n.b.",SUMIFS(L_Waarde,L_Actief,1,L_WBS,$A60,L_Doeljaar,Sel_Doeljaar,L_Versiejaar,P_VJ,L_Versie,Sel_Prev,L_Kengetal,"Omzet FY"))),IF(COUNTIFS(L_Actief,1,L_WBS,$A60,L_Doeljaar,Sel_Doeljaar,L_Versiejaar,P_VJ,L_Versie,Sel_Prev,L_Kengetal,"Omzet FY")=0,"n.b.",SUMIFS(L_Waarde,L_Actief,1,L_WBS,$A60,L_Doeljaar,Sel_Doeljaar,L_Versiejaar,P_VJ,L_Versie,Sel_Prev,L_Kengetal,"Omzet FY"))/P_Factor,IF(COUNTIFS(L_Actief,1,L_WBS,$A60,L_Doeljaar,Sel_Doeljaar,L_Versiejaar,P_VJ,L_Versie,Sel_Prev,L_Kengetal,"Omzet FY")=0,"n.b.",SUMIFS(L_Waarde,L_Actief,1,L_WBS,$A60,L_Doeljaar,Sel_Doeljaar,L_Versiejaar,P_VJ,L_Versie,Sel_Prev,L_Kengetal,"Omzet FY"))))</f>
        <v>n.b.</v>
      </c>
    </row>
    <row r="61">
      <c r="A61" s="61" t="str">
        <f>IF(VERW_Project!$A57="","",VERW_Project!$A57)</f>
        <v/>
      </c>
      <c r="B61" s="61" t="str">
        <f>IF($A61="","",VERW_Project!$C57)</f>
        <v/>
      </c>
      <c r="C61" s="61" t="str">
        <f>IF($A61="","",VERW_Project!$D57)</f>
        <v/>
      </c>
      <c r="D61" s="61" t="str">
        <f>IF($A61="","",VERW_Project!$I57)</f>
        <v/>
      </c>
      <c r="E61" s="41" t="str">
        <f>IF($A61="","",IF(ISNUMBER(IF(COUNTIFS(L_Actief,1,L_WBS,$A61,L_Doeljaar,Sel_Doeljaar,L_Versiejaar,P_VJ,L_Versie,E$8,L_Kengetal,"Omzet FY")=0,"n.b.",SUMIFS(L_Waarde,L_Actief,1,L_WBS,$A61,L_Doeljaar,Sel_Doeljaar,L_Versiejaar,P_VJ,L_Versie,E$8,L_Kengetal,"Omzet FY"))),IF(COUNTIFS(L_Actief,1,L_WBS,$A61,L_Doeljaar,Sel_Doeljaar,L_Versiejaar,P_VJ,L_Versie,E$8,L_Kengetal,"Omzet FY")=0,"n.b.",SUMIFS(L_Waarde,L_Actief,1,L_WBS,$A61,L_Doeljaar,Sel_Doeljaar,L_Versiejaar,P_VJ,L_Versie,E$8,L_Kengetal,"Omzet FY"))/P_Factor,IF(COUNTIFS(L_Actief,1,L_WBS,$A61,L_Doeljaar,Sel_Doeljaar,L_Versiejaar,P_VJ,L_Versie,E$8,L_Kengetal,"Omzet FY")=0,"n.b.",SUMIFS(L_Waarde,L_Actief,1,L_WBS,$A61,L_Doeljaar,Sel_Doeljaar,L_Versiejaar,P_VJ,L_Versie,E$8,L_Kengetal,"Omzet FY"))))</f>
        <v/>
      </c>
      <c r="F61" s="41" t="str">
        <f>IF($A61="","",IF(ISNUMBER(IF(COUNTIFS(L_Actief,1,L_WBS,$A61,L_Doeljaar,Sel_Doeljaar,L_Versiejaar,P_VJ,L_Versie,F$8,L_Kengetal,"Omzet FY")=0,"n.b.",SUMIFS(L_Waarde,L_Actief,1,L_WBS,$A61,L_Doeljaar,Sel_Doeljaar,L_Versiejaar,P_VJ,L_Versie,F$8,L_Kengetal,"Omzet FY"))),IF(COUNTIFS(L_Actief,1,L_WBS,$A61,L_Doeljaar,Sel_Doeljaar,L_Versiejaar,P_VJ,L_Versie,F$8,L_Kengetal,"Omzet FY")=0,"n.b.",SUMIFS(L_Waarde,L_Actief,1,L_WBS,$A61,L_Doeljaar,Sel_Doeljaar,L_Versiejaar,P_VJ,L_Versie,F$8,L_Kengetal,"Omzet FY"))/P_Factor,IF(COUNTIFS(L_Actief,1,L_WBS,$A61,L_Doeljaar,Sel_Doeljaar,L_Versiejaar,P_VJ,L_Versie,F$8,L_Kengetal,"Omzet FY")=0,"n.b.",SUMIFS(L_Waarde,L_Actief,1,L_WBS,$A61,L_Doeljaar,Sel_Doeljaar,L_Versiejaar,P_VJ,L_Versie,F$8,L_Kengetal,"Omzet FY"))))</f>
        <v/>
      </c>
      <c r="G61" s="41" t="str">
        <f>IF($A61="","",IF(ISNUMBER(IF(COUNTIFS(L_Actief,1,L_WBS,$A61,L_Doeljaar,Sel_Doeljaar,L_Versiejaar,P_VJ,L_Versie,G$8,L_Kengetal,"Omzet FY")=0,"n.b.",SUMIFS(L_Waarde,L_Actief,1,L_WBS,$A61,L_Doeljaar,Sel_Doeljaar,L_Versiejaar,P_VJ,L_Versie,G$8,L_Kengetal,"Omzet FY"))),IF(COUNTIFS(L_Actief,1,L_WBS,$A61,L_Doeljaar,Sel_Doeljaar,L_Versiejaar,P_VJ,L_Versie,G$8,L_Kengetal,"Omzet FY")=0,"n.b.",SUMIFS(L_Waarde,L_Actief,1,L_WBS,$A61,L_Doeljaar,Sel_Doeljaar,L_Versiejaar,P_VJ,L_Versie,G$8,L_Kengetal,"Omzet FY"))/P_Factor,IF(COUNTIFS(L_Actief,1,L_WBS,$A61,L_Doeljaar,Sel_Doeljaar,L_Versiejaar,P_VJ,L_Versie,G$8,L_Kengetal,"Omzet FY")=0,"n.b.",SUMIFS(L_Waarde,L_Actief,1,L_WBS,$A61,L_Doeljaar,Sel_Doeljaar,L_Versiejaar,P_VJ,L_Versie,G$8,L_Kengetal,"Omzet FY"))))</f>
        <v/>
      </c>
      <c r="H61" s="41" t="str">
        <f>IF($A61="","",IF(ISNUMBER(IF(COUNTIFS(L_Actief,1,L_WBS,$A61,L_Doeljaar,Sel_Doeljaar,L_Versiejaar,P_VJ,L_Versie,H$8,L_Kengetal,"Omzet FY")=0,"n.b.",SUMIFS(L_Waarde,L_Actief,1,L_WBS,$A61,L_Doeljaar,Sel_Doeljaar,L_Versiejaar,P_VJ,L_Versie,H$8,L_Kengetal,"Omzet FY"))),IF(COUNTIFS(L_Actief,1,L_WBS,$A61,L_Doeljaar,Sel_Doeljaar,L_Versiejaar,P_VJ,L_Versie,H$8,L_Kengetal,"Omzet FY")=0,"n.b.",SUMIFS(L_Waarde,L_Actief,1,L_WBS,$A61,L_Doeljaar,Sel_Doeljaar,L_Versiejaar,P_VJ,L_Versie,H$8,L_Kengetal,"Omzet FY"))/P_Factor,IF(COUNTIFS(L_Actief,1,L_WBS,$A61,L_Doeljaar,Sel_Doeljaar,L_Versiejaar,P_VJ,L_Versie,H$8,L_Kengetal,"Omzet FY")=0,"n.b.",SUMIFS(L_Waarde,L_Actief,1,L_WBS,$A61,L_Doeljaar,Sel_Doeljaar,L_Versiejaar,P_VJ,L_Versie,H$8,L_Kengetal,"Omzet FY"))))</f>
        <v/>
      </c>
      <c r="I61" s="41" t="str">
        <f>IF($A61="","",IF(ISNUMBER(IF(COUNTIFS(L_Actief,1,L_WBS,$A61,L_Doeljaar,Sel_Doeljaar,L_Versiejaar,P_VJ,L_Versie,I$8,L_Kengetal,"Omzet FY")=0,"n.b.",SUMIFS(L_Waarde,L_Actief,1,L_WBS,$A61,L_Doeljaar,Sel_Doeljaar,L_Versiejaar,P_VJ,L_Versie,I$8,L_Kengetal,"Omzet FY"))),IF(COUNTIFS(L_Actief,1,L_WBS,$A61,L_Doeljaar,Sel_Doeljaar,L_Versiejaar,P_VJ,L_Versie,I$8,L_Kengetal,"Omzet FY")=0,"n.b.",SUMIFS(L_Waarde,L_Actief,1,L_WBS,$A61,L_Doeljaar,Sel_Doeljaar,L_Versiejaar,P_VJ,L_Versie,I$8,L_Kengetal,"Omzet FY"))/P_Factor,IF(COUNTIFS(L_Actief,1,L_WBS,$A61,L_Doeljaar,Sel_Doeljaar,L_Versiejaar,P_VJ,L_Versie,I$8,L_Kengetal,"Omzet FY")=0,"n.b.",SUMIFS(L_Waarde,L_Actief,1,L_WBS,$A61,L_Doeljaar,Sel_Doeljaar,L_Versiejaar,P_VJ,L_Versie,I$8,L_Kengetal,"Omzet FY"))))</f>
        <v/>
      </c>
      <c r="J61" s="41" t="str">
        <f>IF($A61="","",IF(ISNUMBER(IF(Sel_Doeljaar=P_RJ,VERW_Project!$P57,IF(Sel_Doeljaar=P_RJ+1,VERW_Project!$R57,"n.b."))),IF(Sel_Doeljaar=P_RJ,VERW_Project!$P57,IF(Sel_Doeljaar=P_RJ+1,VERW_Project!$R57,"n.b."))/P_Factor,IF(Sel_Doeljaar=P_RJ,VERW_Project!$P57,IF(Sel_Doeljaar=P_RJ+1,VERW_Project!$R57,"n.b."))))</f>
        <v/>
      </c>
      <c r="K61" s="41" t="str">
        <f>IF($A61="","",IF(Sel_Bron="Vastgesteld",INDEX($E61:$I61,MATCH(Sel_Versie,$E$8:$I$8,0)),IF(Sel_Bron="Concept",J61,"n.b.")))</f>
        <v/>
      </c>
      <c r="L61" s="62" t="str">
        <f>IF($A61="","",IF(Sel_Doeljaar&gt;P_VJ,"n.v.t.",IF(Sel_Bron="Vastgesteld",IF(ISNUMBER(IF(COUNTIFS(L_Actief,1,L_WBS,$A61,L_Doeljaar,Sel_Doeljaar,L_Versiejaar,P_VJ,L_Versie,Sel_Versie,L_Kengetal,"Omzet actual YTD")=0,"n.b.",SUMIFS(L_Waarde,L_Actief,1,L_WBS,$A61,L_Doeljaar,Sel_Doeljaar,L_Versiejaar,P_VJ,L_Versie,Sel_Versie,L_Kengetal,"Omzet actual YTD"))),IF(COUNTIFS(L_Actief,1,L_WBS,$A61,L_Doeljaar,Sel_Doeljaar,L_Versiejaar,P_VJ,L_Versie,Sel_Versie,L_Kengetal,"Omzet actual YTD")=0,"n.b.",SUMIFS(L_Waarde,L_Actief,1,L_WBS,$A61,L_Doeljaar,Sel_Doeljaar,L_Versiejaar,P_VJ,L_Versie,Sel_Versie,L_Kengetal,"Omzet actual YTD"))/P_Factor,IF(COUNTIFS(L_Actief,1,L_WBS,$A61,L_Doeljaar,Sel_Doeljaar,L_Versiejaar,P_VJ,L_Versie,Sel_Versie,L_Kengetal,"Omzet actual YTD")=0,"n.b.",SUMIFS(L_Waarde,L_Actief,1,L_WBS,$A61,L_Doeljaar,Sel_Doeljaar,L_Versiejaar,P_VJ,L_Versie,Sel_Versie,L_Kengetal,"Omzet actual YTD"))),IF(Sel_Bron="Concept",IF(ISNUMBER(IF(Sel_Doeljaar=P_RJ,VERW_Project!$L57,"n.v.t.")),IF(Sel_Doeljaar=P_RJ,VERW_Project!$L57,"n.v.t.")/P_Factor,IF(Sel_Doeljaar=P_RJ,VERW_Project!$L57,"n.v.t.")),"n.b."))))</f>
        <v/>
      </c>
      <c r="M61" s="41" t="str">
        <f>IF($A61="","",IF(L61="n.v.t.",K61,IF(AND(ISNUMBER(K61),ISNUMBER(L61)),K61-L61,"n.b.")))</f>
        <v/>
      </c>
      <c r="N61" s="41" t="str">
        <f>IF($A61="","",IF(Sel_Bron="Vastgesteld",IF(ISNUMBER(IF(COUNTIFS(L_Actief,1,L_WBS,$A61,L_Doeljaar,Sel_Doeljaar,L_Versiejaar,P_VJ,L_Versie,Sel_Versie,L_Kengetal,"BOR FY")=0,"n.b.",SUMIFS(L_Waarde,L_Actief,1,L_WBS,$A61,L_Doeljaar,Sel_Doeljaar,L_Versiejaar,P_VJ,L_Versie,Sel_Versie,L_Kengetal,"BOR FY"))),IF(COUNTIFS(L_Actief,1,L_WBS,$A61,L_Doeljaar,Sel_Doeljaar,L_Versiejaar,P_VJ,L_Versie,Sel_Versie,L_Kengetal,"BOR FY")=0,"n.b.",SUMIFS(L_Waarde,L_Actief,1,L_WBS,$A61,L_Doeljaar,Sel_Doeljaar,L_Versiejaar,P_VJ,L_Versie,Sel_Versie,L_Kengetal,"BOR FY"))/P_Factor,IF(COUNTIFS(L_Actief,1,L_WBS,$A61,L_Doeljaar,Sel_Doeljaar,L_Versiejaar,P_VJ,L_Versie,Sel_Versie,L_Kengetal,"BOR FY")=0,"n.b.",SUMIFS(L_Waarde,L_Actief,1,L_WBS,$A61,L_Doeljaar,Sel_Doeljaar,L_Versiejaar,P_VJ,L_Versie,Sel_Versie,L_Kengetal,"BOR FY"))),IF(Sel_Bron="Concept",IF(ISNUMBER(IF(Sel_Doeljaar=P_RJ,VERW_Project!$Q57,IF(Sel_Doeljaar=P_RJ+1,VERW_Project!$S57,"n.b."))),IF(Sel_Doeljaar=P_RJ,VERW_Project!$Q57,IF(Sel_Doeljaar=P_RJ+1,VERW_Project!$S57,"n.b."))/P_Factor,IF(Sel_Doeljaar=P_RJ,VERW_Project!$Q57,IF(Sel_Doeljaar=P_RJ+1,VERW_Project!$S57,"n.b."))),"n.b.")))</f>
        <v/>
      </c>
      <c r="O61" s="63" t="str">
        <f>IF($A61="","",IF(AND(ISNUMBER(N61),ISNUMBER(K61)),IF(K61&lt;&gt;0,N61/K61,"n.b."),"n.b."))</f>
        <v/>
      </c>
      <c r="P61" s="41" t="str">
        <f>IF($A61="","",IF(AND(ISNUMBER(K61),ISNUMBER(E61)),K61-E61,"n.b."))</f>
        <v/>
      </c>
      <c r="Q61" s="41" t="str">
        <f>IF($A61="","",IF(AND(ISNUMBER(K61),ISNUMBER(W61)),K61-W61,"n.b."))</f>
        <v/>
      </c>
      <c r="R61" s="64" t="str">
        <f>IF($A61="","",IF(ISNUMBER(N61),IF(N61&lt;0,"Verlies",""),""))</f>
        <v/>
      </c>
      <c r="S61" s="61" t="str">
        <f>IF($A61="","",IFERROR(INDEX(T_Txt,MATCH($A61&amp;"|"&amp;Sel_Doeljaar&amp;"|"&amp;P_VJ&amp;"|"&amp;Sel_Versie,T_Key,0)),""))</f>
        <v/>
      </c>
      <c r="U61" s="15" t="str">
        <f>IF(AND(AND($A61&lt;&gt;"",OR(Sel_Type="Alle",$C61=Sel_Type),OR(Sel_Project="Alle",$B61=Sel_Project)),ISNUMBER(K61)),K61+ROW()/1000000000,"")</f>
        <v/>
      </c>
      <c r="V61" s="15" t="str">
        <f>IF(AND(AND($A61&lt;&gt;"",OR(Sel_Type="Alle",$C61=Sel_Type),OR(Sel_Project="Alle",$B61=Sel_Project)),ISNUMBER(Q61)),ABS(Q61)+ROW()/1000000000,"")</f>
        <v/>
      </c>
      <c r="W61" s="15" t="str">
        <f>IF(OR($A61="",Sel_Prev=""),"n.b.",IF(ISNUMBER(IF(COUNTIFS(L_Actief,1,L_WBS,$A61,L_Doeljaar,Sel_Doeljaar,L_Versiejaar,P_VJ,L_Versie,Sel_Prev,L_Kengetal,"Omzet FY")=0,"n.b.",SUMIFS(L_Waarde,L_Actief,1,L_WBS,$A61,L_Doeljaar,Sel_Doeljaar,L_Versiejaar,P_VJ,L_Versie,Sel_Prev,L_Kengetal,"Omzet FY"))),IF(COUNTIFS(L_Actief,1,L_WBS,$A61,L_Doeljaar,Sel_Doeljaar,L_Versiejaar,P_VJ,L_Versie,Sel_Prev,L_Kengetal,"Omzet FY")=0,"n.b.",SUMIFS(L_Waarde,L_Actief,1,L_WBS,$A61,L_Doeljaar,Sel_Doeljaar,L_Versiejaar,P_VJ,L_Versie,Sel_Prev,L_Kengetal,"Omzet FY"))/P_Factor,IF(COUNTIFS(L_Actief,1,L_WBS,$A61,L_Doeljaar,Sel_Doeljaar,L_Versiejaar,P_VJ,L_Versie,Sel_Prev,L_Kengetal,"Omzet FY")=0,"n.b.",SUMIFS(L_Waarde,L_Actief,1,L_WBS,$A61,L_Doeljaar,Sel_Doeljaar,L_Versiejaar,P_VJ,L_Versie,Sel_Prev,L_Kengetal,"Omzet FY"))))</f>
        <v>n.b.</v>
      </c>
    </row>
    <row r="62">
      <c r="A62" s="61" t="str">
        <f>IF(VERW_Project!$A58="","",VERW_Project!$A58)</f>
        <v/>
      </c>
      <c r="B62" s="61" t="str">
        <f>IF($A62="","",VERW_Project!$C58)</f>
        <v/>
      </c>
      <c r="C62" s="61" t="str">
        <f>IF($A62="","",VERW_Project!$D58)</f>
        <v/>
      </c>
      <c r="D62" s="61" t="str">
        <f>IF($A62="","",VERW_Project!$I58)</f>
        <v/>
      </c>
      <c r="E62" s="41" t="str">
        <f>IF($A62="","",IF(ISNUMBER(IF(COUNTIFS(L_Actief,1,L_WBS,$A62,L_Doeljaar,Sel_Doeljaar,L_Versiejaar,P_VJ,L_Versie,E$8,L_Kengetal,"Omzet FY")=0,"n.b.",SUMIFS(L_Waarde,L_Actief,1,L_WBS,$A62,L_Doeljaar,Sel_Doeljaar,L_Versiejaar,P_VJ,L_Versie,E$8,L_Kengetal,"Omzet FY"))),IF(COUNTIFS(L_Actief,1,L_WBS,$A62,L_Doeljaar,Sel_Doeljaar,L_Versiejaar,P_VJ,L_Versie,E$8,L_Kengetal,"Omzet FY")=0,"n.b.",SUMIFS(L_Waarde,L_Actief,1,L_WBS,$A62,L_Doeljaar,Sel_Doeljaar,L_Versiejaar,P_VJ,L_Versie,E$8,L_Kengetal,"Omzet FY"))/P_Factor,IF(COUNTIFS(L_Actief,1,L_WBS,$A62,L_Doeljaar,Sel_Doeljaar,L_Versiejaar,P_VJ,L_Versie,E$8,L_Kengetal,"Omzet FY")=0,"n.b.",SUMIFS(L_Waarde,L_Actief,1,L_WBS,$A62,L_Doeljaar,Sel_Doeljaar,L_Versiejaar,P_VJ,L_Versie,E$8,L_Kengetal,"Omzet FY"))))</f>
        <v/>
      </c>
      <c r="F62" s="41" t="str">
        <f>IF($A62="","",IF(ISNUMBER(IF(COUNTIFS(L_Actief,1,L_WBS,$A62,L_Doeljaar,Sel_Doeljaar,L_Versiejaar,P_VJ,L_Versie,F$8,L_Kengetal,"Omzet FY")=0,"n.b.",SUMIFS(L_Waarde,L_Actief,1,L_WBS,$A62,L_Doeljaar,Sel_Doeljaar,L_Versiejaar,P_VJ,L_Versie,F$8,L_Kengetal,"Omzet FY"))),IF(COUNTIFS(L_Actief,1,L_WBS,$A62,L_Doeljaar,Sel_Doeljaar,L_Versiejaar,P_VJ,L_Versie,F$8,L_Kengetal,"Omzet FY")=0,"n.b.",SUMIFS(L_Waarde,L_Actief,1,L_WBS,$A62,L_Doeljaar,Sel_Doeljaar,L_Versiejaar,P_VJ,L_Versie,F$8,L_Kengetal,"Omzet FY"))/P_Factor,IF(COUNTIFS(L_Actief,1,L_WBS,$A62,L_Doeljaar,Sel_Doeljaar,L_Versiejaar,P_VJ,L_Versie,F$8,L_Kengetal,"Omzet FY")=0,"n.b.",SUMIFS(L_Waarde,L_Actief,1,L_WBS,$A62,L_Doeljaar,Sel_Doeljaar,L_Versiejaar,P_VJ,L_Versie,F$8,L_Kengetal,"Omzet FY"))))</f>
        <v/>
      </c>
      <c r="G62" s="41" t="str">
        <f>IF($A62="","",IF(ISNUMBER(IF(COUNTIFS(L_Actief,1,L_WBS,$A62,L_Doeljaar,Sel_Doeljaar,L_Versiejaar,P_VJ,L_Versie,G$8,L_Kengetal,"Omzet FY")=0,"n.b.",SUMIFS(L_Waarde,L_Actief,1,L_WBS,$A62,L_Doeljaar,Sel_Doeljaar,L_Versiejaar,P_VJ,L_Versie,G$8,L_Kengetal,"Omzet FY"))),IF(COUNTIFS(L_Actief,1,L_WBS,$A62,L_Doeljaar,Sel_Doeljaar,L_Versiejaar,P_VJ,L_Versie,G$8,L_Kengetal,"Omzet FY")=0,"n.b.",SUMIFS(L_Waarde,L_Actief,1,L_WBS,$A62,L_Doeljaar,Sel_Doeljaar,L_Versiejaar,P_VJ,L_Versie,G$8,L_Kengetal,"Omzet FY"))/P_Factor,IF(COUNTIFS(L_Actief,1,L_WBS,$A62,L_Doeljaar,Sel_Doeljaar,L_Versiejaar,P_VJ,L_Versie,G$8,L_Kengetal,"Omzet FY")=0,"n.b.",SUMIFS(L_Waarde,L_Actief,1,L_WBS,$A62,L_Doeljaar,Sel_Doeljaar,L_Versiejaar,P_VJ,L_Versie,G$8,L_Kengetal,"Omzet FY"))))</f>
        <v/>
      </c>
      <c r="H62" s="41" t="str">
        <f>IF($A62="","",IF(ISNUMBER(IF(COUNTIFS(L_Actief,1,L_WBS,$A62,L_Doeljaar,Sel_Doeljaar,L_Versiejaar,P_VJ,L_Versie,H$8,L_Kengetal,"Omzet FY")=0,"n.b.",SUMIFS(L_Waarde,L_Actief,1,L_WBS,$A62,L_Doeljaar,Sel_Doeljaar,L_Versiejaar,P_VJ,L_Versie,H$8,L_Kengetal,"Omzet FY"))),IF(COUNTIFS(L_Actief,1,L_WBS,$A62,L_Doeljaar,Sel_Doeljaar,L_Versiejaar,P_VJ,L_Versie,H$8,L_Kengetal,"Omzet FY")=0,"n.b.",SUMIFS(L_Waarde,L_Actief,1,L_WBS,$A62,L_Doeljaar,Sel_Doeljaar,L_Versiejaar,P_VJ,L_Versie,H$8,L_Kengetal,"Omzet FY"))/P_Factor,IF(COUNTIFS(L_Actief,1,L_WBS,$A62,L_Doeljaar,Sel_Doeljaar,L_Versiejaar,P_VJ,L_Versie,H$8,L_Kengetal,"Omzet FY")=0,"n.b.",SUMIFS(L_Waarde,L_Actief,1,L_WBS,$A62,L_Doeljaar,Sel_Doeljaar,L_Versiejaar,P_VJ,L_Versie,H$8,L_Kengetal,"Omzet FY"))))</f>
        <v/>
      </c>
      <c r="I62" s="41" t="str">
        <f>IF($A62="","",IF(ISNUMBER(IF(COUNTIFS(L_Actief,1,L_WBS,$A62,L_Doeljaar,Sel_Doeljaar,L_Versiejaar,P_VJ,L_Versie,I$8,L_Kengetal,"Omzet FY")=0,"n.b.",SUMIFS(L_Waarde,L_Actief,1,L_WBS,$A62,L_Doeljaar,Sel_Doeljaar,L_Versiejaar,P_VJ,L_Versie,I$8,L_Kengetal,"Omzet FY"))),IF(COUNTIFS(L_Actief,1,L_WBS,$A62,L_Doeljaar,Sel_Doeljaar,L_Versiejaar,P_VJ,L_Versie,I$8,L_Kengetal,"Omzet FY")=0,"n.b.",SUMIFS(L_Waarde,L_Actief,1,L_WBS,$A62,L_Doeljaar,Sel_Doeljaar,L_Versiejaar,P_VJ,L_Versie,I$8,L_Kengetal,"Omzet FY"))/P_Factor,IF(COUNTIFS(L_Actief,1,L_WBS,$A62,L_Doeljaar,Sel_Doeljaar,L_Versiejaar,P_VJ,L_Versie,I$8,L_Kengetal,"Omzet FY")=0,"n.b.",SUMIFS(L_Waarde,L_Actief,1,L_WBS,$A62,L_Doeljaar,Sel_Doeljaar,L_Versiejaar,P_VJ,L_Versie,I$8,L_Kengetal,"Omzet FY"))))</f>
        <v/>
      </c>
      <c r="J62" s="41" t="str">
        <f>IF($A62="","",IF(ISNUMBER(IF(Sel_Doeljaar=P_RJ,VERW_Project!$P58,IF(Sel_Doeljaar=P_RJ+1,VERW_Project!$R58,"n.b."))),IF(Sel_Doeljaar=P_RJ,VERW_Project!$P58,IF(Sel_Doeljaar=P_RJ+1,VERW_Project!$R58,"n.b."))/P_Factor,IF(Sel_Doeljaar=P_RJ,VERW_Project!$P58,IF(Sel_Doeljaar=P_RJ+1,VERW_Project!$R58,"n.b."))))</f>
        <v/>
      </c>
      <c r="K62" s="41" t="str">
        <f>IF($A62="","",IF(Sel_Bron="Vastgesteld",INDEX($E62:$I62,MATCH(Sel_Versie,$E$8:$I$8,0)),IF(Sel_Bron="Concept",J62,"n.b.")))</f>
        <v/>
      </c>
      <c r="L62" s="62" t="str">
        <f>IF($A62="","",IF(Sel_Doeljaar&gt;P_VJ,"n.v.t.",IF(Sel_Bron="Vastgesteld",IF(ISNUMBER(IF(COUNTIFS(L_Actief,1,L_WBS,$A62,L_Doeljaar,Sel_Doeljaar,L_Versiejaar,P_VJ,L_Versie,Sel_Versie,L_Kengetal,"Omzet actual YTD")=0,"n.b.",SUMIFS(L_Waarde,L_Actief,1,L_WBS,$A62,L_Doeljaar,Sel_Doeljaar,L_Versiejaar,P_VJ,L_Versie,Sel_Versie,L_Kengetal,"Omzet actual YTD"))),IF(COUNTIFS(L_Actief,1,L_WBS,$A62,L_Doeljaar,Sel_Doeljaar,L_Versiejaar,P_VJ,L_Versie,Sel_Versie,L_Kengetal,"Omzet actual YTD")=0,"n.b.",SUMIFS(L_Waarde,L_Actief,1,L_WBS,$A62,L_Doeljaar,Sel_Doeljaar,L_Versiejaar,P_VJ,L_Versie,Sel_Versie,L_Kengetal,"Omzet actual YTD"))/P_Factor,IF(COUNTIFS(L_Actief,1,L_WBS,$A62,L_Doeljaar,Sel_Doeljaar,L_Versiejaar,P_VJ,L_Versie,Sel_Versie,L_Kengetal,"Omzet actual YTD")=0,"n.b.",SUMIFS(L_Waarde,L_Actief,1,L_WBS,$A62,L_Doeljaar,Sel_Doeljaar,L_Versiejaar,P_VJ,L_Versie,Sel_Versie,L_Kengetal,"Omzet actual YTD"))),IF(Sel_Bron="Concept",IF(ISNUMBER(IF(Sel_Doeljaar=P_RJ,VERW_Project!$L58,"n.v.t.")),IF(Sel_Doeljaar=P_RJ,VERW_Project!$L58,"n.v.t.")/P_Factor,IF(Sel_Doeljaar=P_RJ,VERW_Project!$L58,"n.v.t.")),"n.b."))))</f>
        <v/>
      </c>
      <c r="M62" s="41" t="str">
        <f>IF($A62="","",IF(L62="n.v.t.",K62,IF(AND(ISNUMBER(K62),ISNUMBER(L62)),K62-L62,"n.b.")))</f>
        <v/>
      </c>
      <c r="N62" s="41" t="str">
        <f>IF($A62="","",IF(Sel_Bron="Vastgesteld",IF(ISNUMBER(IF(COUNTIFS(L_Actief,1,L_WBS,$A62,L_Doeljaar,Sel_Doeljaar,L_Versiejaar,P_VJ,L_Versie,Sel_Versie,L_Kengetal,"BOR FY")=0,"n.b.",SUMIFS(L_Waarde,L_Actief,1,L_WBS,$A62,L_Doeljaar,Sel_Doeljaar,L_Versiejaar,P_VJ,L_Versie,Sel_Versie,L_Kengetal,"BOR FY"))),IF(COUNTIFS(L_Actief,1,L_WBS,$A62,L_Doeljaar,Sel_Doeljaar,L_Versiejaar,P_VJ,L_Versie,Sel_Versie,L_Kengetal,"BOR FY")=0,"n.b.",SUMIFS(L_Waarde,L_Actief,1,L_WBS,$A62,L_Doeljaar,Sel_Doeljaar,L_Versiejaar,P_VJ,L_Versie,Sel_Versie,L_Kengetal,"BOR FY"))/P_Factor,IF(COUNTIFS(L_Actief,1,L_WBS,$A62,L_Doeljaar,Sel_Doeljaar,L_Versiejaar,P_VJ,L_Versie,Sel_Versie,L_Kengetal,"BOR FY")=0,"n.b.",SUMIFS(L_Waarde,L_Actief,1,L_WBS,$A62,L_Doeljaar,Sel_Doeljaar,L_Versiejaar,P_VJ,L_Versie,Sel_Versie,L_Kengetal,"BOR FY"))),IF(Sel_Bron="Concept",IF(ISNUMBER(IF(Sel_Doeljaar=P_RJ,VERW_Project!$Q58,IF(Sel_Doeljaar=P_RJ+1,VERW_Project!$S58,"n.b."))),IF(Sel_Doeljaar=P_RJ,VERW_Project!$Q58,IF(Sel_Doeljaar=P_RJ+1,VERW_Project!$S58,"n.b."))/P_Factor,IF(Sel_Doeljaar=P_RJ,VERW_Project!$Q58,IF(Sel_Doeljaar=P_RJ+1,VERW_Project!$S58,"n.b."))),"n.b.")))</f>
        <v/>
      </c>
      <c r="O62" s="63" t="str">
        <f>IF($A62="","",IF(AND(ISNUMBER(N62),ISNUMBER(K62)),IF(K62&lt;&gt;0,N62/K62,"n.b."),"n.b."))</f>
        <v/>
      </c>
      <c r="P62" s="41" t="str">
        <f>IF($A62="","",IF(AND(ISNUMBER(K62),ISNUMBER(E62)),K62-E62,"n.b."))</f>
        <v/>
      </c>
      <c r="Q62" s="41" t="str">
        <f>IF($A62="","",IF(AND(ISNUMBER(K62),ISNUMBER(W62)),K62-W62,"n.b."))</f>
        <v/>
      </c>
      <c r="R62" s="64" t="str">
        <f>IF($A62="","",IF(ISNUMBER(N62),IF(N62&lt;0,"Verlies",""),""))</f>
        <v/>
      </c>
      <c r="S62" s="61" t="str">
        <f>IF($A62="","",IFERROR(INDEX(T_Txt,MATCH($A62&amp;"|"&amp;Sel_Doeljaar&amp;"|"&amp;P_VJ&amp;"|"&amp;Sel_Versie,T_Key,0)),""))</f>
        <v/>
      </c>
      <c r="U62" s="15" t="str">
        <f>IF(AND(AND($A62&lt;&gt;"",OR(Sel_Type="Alle",$C62=Sel_Type),OR(Sel_Project="Alle",$B62=Sel_Project)),ISNUMBER(K62)),K62+ROW()/1000000000,"")</f>
        <v/>
      </c>
      <c r="V62" s="15" t="str">
        <f>IF(AND(AND($A62&lt;&gt;"",OR(Sel_Type="Alle",$C62=Sel_Type),OR(Sel_Project="Alle",$B62=Sel_Project)),ISNUMBER(Q62)),ABS(Q62)+ROW()/1000000000,"")</f>
        <v/>
      </c>
      <c r="W62" s="15" t="str">
        <f>IF(OR($A62="",Sel_Prev=""),"n.b.",IF(ISNUMBER(IF(COUNTIFS(L_Actief,1,L_WBS,$A62,L_Doeljaar,Sel_Doeljaar,L_Versiejaar,P_VJ,L_Versie,Sel_Prev,L_Kengetal,"Omzet FY")=0,"n.b.",SUMIFS(L_Waarde,L_Actief,1,L_WBS,$A62,L_Doeljaar,Sel_Doeljaar,L_Versiejaar,P_VJ,L_Versie,Sel_Prev,L_Kengetal,"Omzet FY"))),IF(COUNTIFS(L_Actief,1,L_WBS,$A62,L_Doeljaar,Sel_Doeljaar,L_Versiejaar,P_VJ,L_Versie,Sel_Prev,L_Kengetal,"Omzet FY")=0,"n.b.",SUMIFS(L_Waarde,L_Actief,1,L_WBS,$A62,L_Doeljaar,Sel_Doeljaar,L_Versiejaar,P_VJ,L_Versie,Sel_Prev,L_Kengetal,"Omzet FY"))/P_Factor,IF(COUNTIFS(L_Actief,1,L_WBS,$A62,L_Doeljaar,Sel_Doeljaar,L_Versiejaar,P_VJ,L_Versie,Sel_Prev,L_Kengetal,"Omzet FY")=0,"n.b.",SUMIFS(L_Waarde,L_Actief,1,L_WBS,$A62,L_Doeljaar,Sel_Doeljaar,L_Versiejaar,P_VJ,L_Versie,Sel_Prev,L_Kengetal,"Omzet FY"))))</f>
        <v>n.b.</v>
      </c>
    </row>
    <row r="63">
      <c r="A63" s="61" t="str">
        <f>IF(VERW_Project!$A59="","",VERW_Project!$A59)</f>
        <v/>
      </c>
      <c r="B63" s="61" t="str">
        <f>IF($A63="","",VERW_Project!$C59)</f>
        <v/>
      </c>
      <c r="C63" s="61" t="str">
        <f>IF($A63="","",VERW_Project!$D59)</f>
        <v/>
      </c>
      <c r="D63" s="61" t="str">
        <f>IF($A63="","",VERW_Project!$I59)</f>
        <v/>
      </c>
      <c r="E63" s="41" t="str">
        <f>IF($A63="","",IF(ISNUMBER(IF(COUNTIFS(L_Actief,1,L_WBS,$A63,L_Doeljaar,Sel_Doeljaar,L_Versiejaar,P_VJ,L_Versie,E$8,L_Kengetal,"Omzet FY")=0,"n.b.",SUMIFS(L_Waarde,L_Actief,1,L_WBS,$A63,L_Doeljaar,Sel_Doeljaar,L_Versiejaar,P_VJ,L_Versie,E$8,L_Kengetal,"Omzet FY"))),IF(COUNTIFS(L_Actief,1,L_WBS,$A63,L_Doeljaar,Sel_Doeljaar,L_Versiejaar,P_VJ,L_Versie,E$8,L_Kengetal,"Omzet FY")=0,"n.b.",SUMIFS(L_Waarde,L_Actief,1,L_WBS,$A63,L_Doeljaar,Sel_Doeljaar,L_Versiejaar,P_VJ,L_Versie,E$8,L_Kengetal,"Omzet FY"))/P_Factor,IF(COUNTIFS(L_Actief,1,L_WBS,$A63,L_Doeljaar,Sel_Doeljaar,L_Versiejaar,P_VJ,L_Versie,E$8,L_Kengetal,"Omzet FY")=0,"n.b.",SUMIFS(L_Waarde,L_Actief,1,L_WBS,$A63,L_Doeljaar,Sel_Doeljaar,L_Versiejaar,P_VJ,L_Versie,E$8,L_Kengetal,"Omzet FY"))))</f>
        <v/>
      </c>
      <c r="F63" s="41" t="str">
        <f>IF($A63="","",IF(ISNUMBER(IF(COUNTIFS(L_Actief,1,L_WBS,$A63,L_Doeljaar,Sel_Doeljaar,L_Versiejaar,P_VJ,L_Versie,F$8,L_Kengetal,"Omzet FY")=0,"n.b.",SUMIFS(L_Waarde,L_Actief,1,L_WBS,$A63,L_Doeljaar,Sel_Doeljaar,L_Versiejaar,P_VJ,L_Versie,F$8,L_Kengetal,"Omzet FY"))),IF(COUNTIFS(L_Actief,1,L_WBS,$A63,L_Doeljaar,Sel_Doeljaar,L_Versiejaar,P_VJ,L_Versie,F$8,L_Kengetal,"Omzet FY")=0,"n.b.",SUMIFS(L_Waarde,L_Actief,1,L_WBS,$A63,L_Doeljaar,Sel_Doeljaar,L_Versiejaar,P_VJ,L_Versie,F$8,L_Kengetal,"Omzet FY"))/P_Factor,IF(COUNTIFS(L_Actief,1,L_WBS,$A63,L_Doeljaar,Sel_Doeljaar,L_Versiejaar,P_VJ,L_Versie,F$8,L_Kengetal,"Omzet FY")=0,"n.b.",SUMIFS(L_Waarde,L_Actief,1,L_WBS,$A63,L_Doeljaar,Sel_Doeljaar,L_Versiejaar,P_VJ,L_Versie,F$8,L_Kengetal,"Omzet FY"))))</f>
        <v/>
      </c>
      <c r="G63" s="41" t="str">
        <f>IF($A63="","",IF(ISNUMBER(IF(COUNTIFS(L_Actief,1,L_WBS,$A63,L_Doeljaar,Sel_Doeljaar,L_Versiejaar,P_VJ,L_Versie,G$8,L_Kengetal,"Omzet FY")=0,"n.b.",SUMIFS(L_Waarde,L_Actief,1,L_WBS,$A63,L_Doeljaar,Sel_Doeljaar,L_Versiejaar,P_VJ,L_Versie,G$8,L_Kengetal,"Omzet FY"))),IF(COUNTIFS(L_Actief,1,L_WBS,$A63,L_Doeljaar,Sel_Doeljaar,L_Versiejaar,P_VJ,L_Versie,G$8,L_Kengetal,"Omzet FY")=0,"n.b.",SUMIFS(L_Waarde,L_Actief,1,L_WBS,$A63,L_Doeljaar,Sel_Doeljaar,L_Versiejaar,P_VJ,L_Versie,G$8,L_Kengetal,"Omzet FY"))/P_Factor,IF(COUNTIFS(L_Actief,1,L_WBS,$A63,L_Doeljaar,Sel_Doeljaar,L_Versiejaar,P_VJ,L_Versie,G$8,L_Kengetal,"Omzet FY")=0,"n.b.",SUMIFS(L_Waarde,L_Actief,1,L_WBS,$A63,L_Doeljaar,Sel_Doeljaar,L_Versiejaar,P_VJ,L_Versie,G$8,L_Kengetal,"Omzet FY"))))</f>
        <v/>
      </c>
      <c r="H63" s="41" t="str">
        <f>IF($A63="","",IF(ISNUMBER(IF(COUNTIFS(L_Actief,1,L_WBS,$A63,L_Doeljaar,Sel_Doeljaar,L_Versiejaar,P_VJ,L_Versie,H$8,L_Kengetal,"Omzet FY")=0,"n.b.",SUMIFS(L_Waarde,L_Actief,1,L_WBS,$A63,L_Doeljaar,Sel_Doeljaar,L_Versiejaar,P_VJ,L_Versie,H$8,L_Kengetal,"Omzet FY"))),IF(COUNTIFS(L_Actief,1,L_WBS,$A63,L_Doeljaar,Sel_Doeljaar,L_Versiejaar,P_VJ,L_Versie,H$8,L_Kengetal,"Omzet FY")=0,"n.b.",SUMIFS(L_Waarde,L_Actief,1,L_WBS,$A63,L_Doeljaar,Sel_Doeljaar,L_Versiejaar,P_VJ,L_Versie,H$8,L_Kengetal,"Omzet FY"))/P_Factor,IF(COUNTIFS(L_Actief,1,L_WBS,$A63,L_Doeljaar,Sel_Doeljaar,L_Versiejaar,P_VJ,L_Versie,H$8,L_Kengetal,"Omzet FY")=0,"n.b.",SUMIFS(L_Waarde,L_Actief,1,L_WBS,$A63,L_Doeljaar,Sel_Doeljaar,L_Versiejaar,P_VJ,L_Versie,H$8,L_Kengetal,"Omzet FY"))))</f>
        <v/>
      </c>
      <c r="I63" s="41" t="str">
        <f>IF($A63="","",IF(ISNUMBER(IF(COUNTIFS(L_Actief,1,L_WBS,$A63,L_Doeljaar,Sel_Doeljaar,L_Versiejaar,P_VJ,L_Versie,I$8,L_Kengetal,"Omzet FY")=0,"n.b.",SUMIFS(L_Waarde,L_Actief,1,L_WBS,$A63,L_Doeljaar,Sel_Doeljaar,L_Versiejaar,P_VJ,L_Versie,I$8,L_Kengetal,"Omzet FY"))),IF(COUNTIFS(L_Actief,1,L_WBS,$A63,L_Doeljaar,Sel_Doeljaar,L_Versiejaar,P_VJ,L_Versie,I$8,L_Kengetal,"Omzet FY")=0,"n.b.",SUMIFS(L_Waarde,L_Actief,1,L_WBS,$A63,L_Doeljaar,Sel_Doeljaar,L_Versiejaar,P_VJ,L_Versie,I$8,L_Kengetal,"Omzet FY"))/P_Factor,IF(COUNTIFS(L_Actief,1,L_WBS,$A63,L_Doeljaar,Sel_Doeljaar,L_Versiejaar,P_VJ,L_Versie,I$8,L_Kengetal,"Omzet FY")=0,"n.b.",SUMIFS(L_Waarde,L_Actief,1,L_WBS,$A63,L_Doeljaar,Sel_Doeljaar,L_Versiejaar,P_VJ,L_Versie,I$8,L_Kengetal,"Omzet FY"))))</f>
        <v/>
      </c>
      <c r="J63" s="41" t="str">
        <f>IF($A63="","",IF(ISNUMBER(IF(Sel_Doeljaar=P_RJ,VERW_Project!$P59,IF(Sel_Doeljaar=P_RJ+1,VERW_Project!$R59,"n.b."))),IF(Sel_Doeljaar=P_RJ,VERW_Project!$P59,IF(Sel_Doeljaar=P_RJ+1,VERW_Project!$R59,"n.b."))/P_Factor,IF(Sel_Doeljaar=P_RJ,VERW_Project!$P59,IF(Sel_Doeljaar=P_RJ+1,VERW_Project!$R59,"n.b."))))</f>
        <v/>
      </c>
      <c r="K63" s="41" t="str">
        <f>IF($A63="","",IF(Sel_Bron="Vastgesteld",INDEX($E63:$I63,MATCH(Sel_Versie,$E$8:$I$8,0)),IF(Sel_Bron="Concept",J63,"n.b.")))</f>
        <v/>
      </c>
      <c r="L63" s="62" t="str">
        <f>IF($A63="","",IF(Sel_Doeljaar&gt;P_VJ,"n.v.t.",IF(Sel_Bron="Vastgesteld",IF(ISNUMBER(IF(COUNTIFS(L_Actief,1,L_WBS,$A63,L_Doeljaar,Sel_Doeljaar,L_Versiejaar,P_VJ,L_Versie,Sel_Versie,L_Kengetal,"Omzet actual YTD")=0,"n.b.",SUMIFS(L_Waarde,L_Actief,1,L_WBS,$A63,L_Doeljaar,Sel_Doeljaar,L_Versiejaar,P_VJ,L_Versie,Sel_Versie,L_Kengetal,"Omzet actual YTD"))),IF(COUNTIFS(L_Actief,1,L_WBS,$A63,L_Doeljaar,Sel_Doeljaar,L_Versiejaar,P_VJ,L_Versie,Sel_Versie,L_Kengetal,"Omzet actual YTD")=0,"n.b.",SUMIFS(L_Waarde,L_Actief,1,L_WBS,$A63,L_Doeljaar,Sel_Doeljaar,L_Versiejaar,P_VJ,L_Versie,Sel_Versie,L_Kengetal,"Omzet actual YTD"))/P_Factor,IF(COUNTIFS(L_Actief,1,L_WBS,$A63,L_Doeljaar,Sel_Doeljaar,L_Versiejaar,P_VJ,L_Versie,Sel_Versie,L_Kengetal,"Omzet actual YTD")=0,"n.b.",SUMIFS(L_Waarde,L_Actief,1,L_WBS,$A63,L_Doeljaar,Sel_Doeljaar,L_Versiejaar,P_VJ,L_Versie,Sel_Versie,L_Kengetal,"Omzet actual YTD"))),IF(Sel_Bron="Concept",IF(ISNUMBER(IF(Sel_Doeljaar=P_RJ,VERW_Project!$L59,"n.v.t.")),IF(Sel_Doeljaar=P_RJ,VERW_Project!$L59,"n.v.t.")/P_Factor,IF(Sel_Doeljaar=P_RJ,VERW_Project!$L59,"n.v.t.")),"n.b."))))</f>
        <v/>
      </c>
      <c r="M63" s="41" t="str">
        <f>IF($A63="","",IF(L63="n.v.t.",K63,IF(AND(ISNUMBER(K63),ISNUMBER(L63)),K63-L63,"n.b.")))</f>
        <v/>
      </c>
      <c r="N63" s="41" t="str">
        <f>IF($A63="","",IF(Sel_Bron="Vastgesteld",IF(ISNUMBER(IF(COUNTIFS(L_Actief,1,L_WBS,$A63,L_Doeljaar,Sel_Doeljaar,L_Versiejaar,P_VJ,L_Versie,Sel_Versie,L_Kengetal,"BOR FY")=0,"n.b.",SUMIFS(L_Waarde,L_Actief,1,L_WBS,$A63,L_Doeljaar,Sel_Doeljaar,L_Versiejaar,P_VJ,L_Versie,Sel_Versie,L_Kengetal,"BOR FY"))),IF(COUNTIFS(L_Actief,1,L_WBS,$A63,L_Doeljaar,Sel_Doeljaar,L_Versiejaar,P_VJ,L_Versie,Sel_Versie,L_Kengetal,"BOR FY")=0,"n.b.",SUMIFS(L_Waarde,L_Actief,1,L_WBS,$A63,L_Doeljaar,Sel_Doeljaar,L_Versiejaar,P_VJ,L_Versie,Sel_Versie,L_Kengetal,"BOR FY"))/P_Factor,IF(COUNTIFS(L_Actief,1,L_WBS,$A63,L_Doeljaar,Sel_Doeljaar,L_Versiejaar,P_VJ,L_Versie,Sel_Versie,L_Kengetal,"BOR FY")=0,"n.b.",SUMIFS(L_Waarde,L_Actief,1,L_WBS,$A63,L_Doeljaar,Sel_Doeljaar,L_Versiejaar,P_VJ,L_Versie,Sel_Versie,L_Kengetal,"BOR FY"))),IF(Sel_Bron="Concept",IF(ISNUMBER(IF(Sel_Doeljaar=P_RJ,VERW_Project!$Q59,IF(Sel_Doeljaar=P_RJ+1,VERW_Project!$S59,"n.b."))),IF(Sel_Doeljaar=P_RJ,VERW_Project!$Q59,IF(Sel_Doeljaar=P_RJ+1,VERW_Project!$S59,"n.b."))/P_Factor,IF(Sel_Doeljaar=P_RJ,VERW_Project!$Q59,IF(Sel_Doeljaar=P_RJ+1,VERW_Project!$S59,"n.b."))),"n.b.")))</f>
        <v/>
      </c>
      <c r="O63" s="63" t="str">
        <f>IF($A63="","",IF(AND(ISNUMBER(N63),ISNUMBER(K63)),IF(K63&lt;&gt;0,N63/K63,"n.b."),"n.b."))</f>
        <v/>
      </c>
      <c r="P63" s="41" t="str">
        <f>IF($A63="","",IF(AND(ISNUMBER(K63),ISNUMBER(E63)),K63-E63,"n.b."))</f>
        <v/>
      </c>
      <c r="Q63" s="41" t="str">
        <f>IF($A63="","",IF(AND(ISNUMBER(K63),ISNUMBER(W63)),K63-W63,"n.b."))</f>
        <v/>
      </c>
      <c r="R63" s="64" t="str">
        <f>IF($A63="","",IF(ISNUMBER(N63),IF(N63&lt;0,"Verlies",""),""))</f>
        <v/>
      </c>
      <c r="S63" s="61" t="str">
        <f>IF($A63="","",IFERROR(INDEX(T_Txt,MATCH($A63&amp;"|"&amp;Sel_Doeljaar&amp;"|"&amp;P_VJ&amp;"|"&amp;Sel_Versie,T_Key,0)),""))</f>
        <v/>
      </c>
      <c r="U63" s="15" t="str">
        <f>IF(AND(AND($A63&lt;&gt;"",OR(Sel_Type="Alle",$C63=Sel_Type),OR(Sel_Project="Alle",$B63=Sel_Project)),ISNUMBER(K63)),K63+ROW()/1000000000,"")</f>
        <v/>
      </c>
      <c r="V63" s="15" t="str">
        <f>IF(AND(AND($A63&lt;&gt;"",OR(Sel_Type="Alle",$C63=Sel_Type),OR(Sel_Project="Alle",$B63=Sel_Project)),ISNUMBER(Q63)),ABS(Q63)+ROW()/1000000000,"")</f>
        <v/>
      </c>
      <c r="W63" s="15" t="str">
        <f>IF(OR($A63="",Sel_Prev=""),"n.b.",IF(ISNUMBER(IF(COUNTIFS(L_Actief,1,L_WBS,$A63,L_Doeljaar,Sel_Doeljaar,L_Versiejaar,P_VJ,L_Versie,Sel_Prev,L_Kengetal,"Omzet FY")=0,"n.b.",SUMIFS(L_Waarde,L_Actief,1,L_WBS,$A63,L_Doeljaar,Sel_Doeljaar,L_Versiejaar,P_VJ,L_Versie,Sel_Prev,L_Kengetal,"Omzet FY"))),IF(COUNTIFS(L_Actief,1,L_WBS,$A63,L_Doeljaar,Sel_Doeljaar,L_Versiejaar,P_VJ,L_Versie,Sel_Prev,L_Kengetal,"Omzet FY")=0,"n.b.",SUMIFS(L_Waarde,L_Actief,1,L_WBS,$A63,L_Doeljaar,Sel_Doeljaar,L_Versiejaar,P_VJ,L_Versie,Sel_Prev,L_Kengetal,"Omzet FY"))/P_Factor,IF(COUNTIFS(L_Actief,1,L_WBS,$A63,L_Doeljaar,Sel_Doeljaar,L_Versiejaar,P_VJ,L_Versie,Sel_Prev,L_Kengetal,"Omzet FY")=0,"n.b.",SUMIFS(L_Waarde,L_Actief,1,L_WBS,$A63,L_Doeljaar,Sel_Doeljaar,L_Versiejaar,P_VJ,L_Versie,Sel_Prev,L_Kengetal,"Omzet FY"))))</f>
        <v>n.b.</v>
      </c>
    </row>
    <row r="64">
      <c r="A64" s="61" t="str">
        <f>IF(VERW_Project!$A60="","",VERW_Project!$A60)</f>
        <v/>
      </c>
      <c r="B64" s="61" t="str">
        <f>IF($A64="","",VERW_Project!$C60)</f>
        <v/>
      </c>
      <c r="C64" s="61" t="str">
        <f>IF($A64="","",VERW_Project!$D60)</f>
        <v/>
      </c>
      <c r="D64" s="61" t="str">
        <f>IF($A64="","",VERW_Project!$I60)</f>
        <v/>
      </c>
      <c r="E64" s="41" t="str">
        <f>IF($A64="","",IF(ISNUMBER(IF(COUNTIFS(L_Actief,1,L_WBS,$A64,L_Doeljaar,Sel_Doeljaar,L_Versiejaar,P_VJ,L_Versie,E$8,L_Kengetal,"Omzet FY")=0,"n.b.",SUMIFS(L_Waarde,L_Actief,1,L_WBS,$A64,L_Doeljaar,Sel_Doeljaar,L_Versiejaar,P_VJ,L_Versie,E$8,L_Kengetal,"Omzet FY"))),IF(COUNTIFS(L_Actief,1,L_WBS,$A64,L_Doeljaar,Sel_Doeljaar,L_Versiejaar,P_VJ,L_Versie,E$8,L_Kengetal,"Omzet FY")=0,"n.b.",SUMIFS(L_Waarde,L_Actief,1,L_WBS,$A64,L_Doeljaar,Sel_Doeljaar,L_Versiejaar,P_VJ,L_Versie,E$8,L_Kengetal,"Omzet FY"))/P_Factor,IF(COUNTIFS(L_Actief,1,L_WBS,$A64,L_Doeljaar,Sel_Doeljaar,L_Versiejaar,P_VJ,L_Versie,E$8,L_Kengetal,"Omzet FY")=0,"n.b.",SUMIFS(L_Waarde,L_Actief,1,L_WBS,$A64,L_Doeljaar,Sel_Doeljaar,L_Versiejaar,P_VJ,L_Versie,E$8,L_Kengetal,"Omzet FY"))))</f>
        <v/>
      </c>
      <c r="F64" s="41" t="str">
        <f>IF($A64="","",IF(ISNUMBER(IF(COUNTIFS(L_Actief,1,L_WBS,$A64,L_Doeljaar,Sel_Doeljaar,L_Versiejaar,P_VJ,L_Versie,F$8,L_Kengetal,"Omzet FY")=0,"n.b.",SUMIFS(L_Waarde,L_Actief,1,L_WBS,$A64,L_Doeljaar,Sel_Doeljaar,L_Versiejaar,P_VJ,L_Versie,F$8,L_Kengetal,"Omzet FY"))),IF(COUNTIFS(L_Actief,1,L_WBS,$A64,L_Doeljaar,Sel_Doeljaar,L_Versiejaar,P_VJ,L_Versie,F$8,L_Kengetal,"Omzet FY")=0,"n.b.",SUMIFS(L_Waarde,L_Actief,1,L_WBS,$A64,L_Doeljaar,Sel_Doeljaar,L_Versiejaar,P_VJ,L_Versie,F$8,L_Kengetal,"Omzet FY"))/P_Factor,IF(COUNTIFS(L_Actief,1,L_WBS,$A64,L_Doeljaar,Sel_Doeljaar,L_Versiejaar,P_VJ,L_Versie,F$8,L_Kengetal,"Omzet FY")=0,"n.b.",SUMIFS(L_Waarde,L_Actief,1,L_WBS,$A64,L_Doeljaar,Sel_Doeljaar,L_Versiejaar,P_VJ,L_Versie,F$8,L_Kengetal,"Omzet FY"))))</f>
        <v/>
      </c>
      <c r="G64" s="41" t="str">
        <f>IF($A64="","",IF(ISNUMBER(IF(COUNTIFS(L_Actief,1,L_WBS,$A64,L_Doeljaar,Sel_Doeljaar,L_Versiejaar,P_VJ,L_Versie,G$8,L_Kengetal,"Omzet FY")=0,"n.b.",SUMIFS(L_Waarde,L_Actief,1,L_WBS,$A64,L_Doeljaar,Sel_Doeljaar,L_Versiejaar,P_VJ,L_Versie,G$8,L_Kengetal,"Omzet FY"))),IF(COUNTIFS(L_Actief,1,L_WBS,$A64,L_Doeljaar,Sel_Doeljaar,L_Versiejaar,P_VJ,L_Versie,G$8,L_Kengetal,"Omzet FY")=0,"n.b.",SUMIFS(L_Waarde,L_Actief,1,L_WBS,$A64,L_Doeljaar,Sel_Doeljaar,L_Versiejaar,P_VJ,L_Versie,G$8,L_Kengetal,"Omzet FY"))/P_Factor,IF(COUNTIFS(L_Actief,1,L_WBS,$A64,L_Doeljaar,Sel_Doeljaar,L_Versiejaar,P_VJ,L_Versie,G$8,L_Kengetal,"Omzet FY")=0,"n.b.",SUMIFS(L_Waarde,L_Actief,1,L_WBS,$A64,L_Doeljaar,Sel_Doeljaar,L_Versiejaar,P_VJ,L_Versie,G$8,L_Kengetal,"Omzet FY"))))</f>
        <v/>
      </c>
      <c r="H64" s="41" t="str">
        <f>IF($A64="","",IF(ISNUMBER(IF(COUNTIFS(L_Actief,1,L_WBS,$A64,L_Doeljaar,Sel_Doeljaar,L_Versiejaar,P_VJ,L_Versie,H$8,L_Kengetal,"Omzet FY")=0,"n.b.",SUMIFS(L_Waarde,L_Actief,1,L_WBS,$A64,L_Doeljaar,Sel_Doeljaar,L_Versiejaar,P_VJ,L_Versie,H$8,L_Kengetal,"Omzet FY"))),IF(COUNTIFS(L_Actief,1,L_WBS,$A64,L_Doeljaar,Sel_Doeljaar,L_Versiejaar,P_VJ,L_Versie,H$8,L_Kengetal,"Omzet FY")=0,"n.b.",SUMIFS(L_Waarde,L_Actief,1,L_WBS,$A64,L_Doeljaar,Sel_Doeljaar,L_Versiejaar,P_VJ,L_Versie,H$8,L_Kengetal,"Omzet FY"))/P_Factor,IF(COUNTIFS(L_Actief,1,L_WBS,$A64,L_Doeljaar,Sel_Doeljaar,L_Versiejaar,P_VJ,L_Versie,H$8,L_Kengetal,"Omzet FY")=0,"n.b.",SUMIFS(L_Waarde,L_Actief,1,L_WBS,$A64,L_Doeljaar,Sel_Doeljaar,L_Versiejaar,P_VJ,L_Versie,H$8,L_Kengetal,"Omzet FY"))))</f>
        <v/>
      </c>
      <c r="I64" s="41" t="str">
        <f>IF($A64="","",IF(ISNUMBER(IF(COUNTIFS(L_Actief,1,L_WBS,$A64,L_Doeljaar,Sel_Doeljaar,L_Versiejaar,P_VJ,L_Versie,I$8,L_Kengetal,"Omzet FY")=0,"n.b.",SUMIFS(L_Waarde,L_Actief,1,L_WBS,$A64,L_Doeljaar,Sel_Doeljaar,L_Versiejaar,P_VJ,L_Versie,I$8,L_Kengetal,"Omzet FY"))),IF(COUNTIFS(L_Actief,1,L_WBS,$A64,L_Doeljaar,Sel_Doeljaar,L_Versiejaar,P_VJ,L_Versie,I$8,L_Kengetal,"Omzet FY")=0,"n.b.",SUMIFS(L_Waarde,L_Actief,1,L_WBS,$A64,L_Doeljaar,Sel_Doeljaar,L_Versiejaar,P_VJ,L_Versie,I$8,L_Kengetal,"Omzet FY"))/P_Factor,IF(COUNTIFS(L_Actief,1,L_WBS,$A64,L_Doeljaar,Sel_Doeljaar,L_Versiejaar,P_VJ,L_Versie,I$8,L_Kengetal,"Omzet FY")=0,"n.b.",SUMIFS(L_Waarde,L_Actief,1,L_WBS,$A64,L_Doeljaar,Sel_Doeljaar,L_Versiejaar,P_VJ,L_Versie,I$8,L_Kengetal,"Omzet FY"))))</f>
        <v/>
      </c>
      <c r="J64" s="41" t="str">
        <f>IF($A64="","",IF(ISNUMBER(IF(Sel_Doeljaar=P_RJ,VERW_Project!$P60,IF(Sel_Doeljaar=P_RJ+1,VERW_Project!$R60,"n.b."))),IF(Sel_Doeljaar=P_RJ,VERW_Project!$P60,IF(Sel_Doeljaar=P_RJ+1,VERW_Project!$R60,"n.b."))/P_Factor,IF(Sel_Doeljaar=P_RJ,VERW_Project!$P60,IF(Sel_Doeljaar=P_RJ+1,VERW_Project!$R60,"n.b."))))</f>
        <v/>
      </c>
      <c r="K64" s="41" t="str">
        <f>IF($A64="","",IF(Sel_Bron="Vastgesteld",INDEX($E64:$I64,MATCH(Sel_Versie,$E$8:$I$8,0)),IF(Sel_Bron="Concept",J64,"n.b.")))</f>
        <v/>
      </c>
      <c r="L64" s="62" t="str">
        <f>IF($A64="","",IF(Sel_Doeljaar&gt;P_VJ,"n.v.t.",IF(Sel_Bron="Vastgesteld",IF(ISNUMBER(IF(COUNTIFS(L_Actief,1,L_WBS,$A64,L_Doeljaar,Sel_Doeljaar,L_Versiejaar,P_VJ,L_Versie,Sel_Versie,L_Kengetal,"Omzet actual YTD")=0,"n.b.",SUMIFS(L_Waarde,L_Actief,1,L_WBS,$A64,L_Doeljaar,Sel_Doeljaar,L_Versiejaar,P_VJ,L_Versie,Sel_Versie,L_Kengetal,"Omzet actual YTD"))),IF(COUNTIFS(L_Actief,1,L_WBS,$A64,L_Doeljaar,Sel_Doeljaar,L_Versiejaar,P_VJ,L_Versie,Sel_Versie,L_Kengetal,"Omzet actual YTD")=0,"n.b.",SUMIFS(L_Waarde,L_Actief,1,L_WBS,$A64,L_Doeljaar,Sel_Doeljaar,L_Versiejaar,P_VJ,L_Versie,Sel_Versie,L_Kengetal,"Omzet actual YTD"))/P_Factor,IF(COUNTIFS(L_Actief,1,L_WBS,$A64,L_Doeljaar,Sel_Doeljaar,L_Versiejaar,P_VJ,L_Versie,Sel_Versie,L_Kengetal,"Omzet actual YTD")=0,"n.b.",SUMIFS(L_Waarde,L_Actief,1,L_WBS,$A64,L_Doeljaar,Sel_Doeljaar,L_Versiejaar,P_VJ,L_Versie,Sel_Versie,L_Kengetal,"Omzet actual YTD"))),IF(Sel_Bron="Concept",IF(ISNUMBER(IF(Sel_Doeljaar=P_RJ,VERW_Project!$L60,"n.v.t.")),IF(Sel_Doeljaar=P_RJ,VERW_Project!$L60,"n.v.t.")/P_Factor,IF(Sel_Doeljaar=P_RJ,VERW_Project!$L60,"n.v.t.")),"n.b."))))</f>
        <v/>
      </c>
      <c r="M64" s="41" t="str">
        <f>IF($A64="","",IF(L64="n.v.t.",K64,IF(AND(ISNUMBER(K64),ISNUMBER(L64)),K64-L64,"n.b.")))</f>
        <v/>
      </c>
      <c r="N64" s="41" t="str">
        <f>IF($A64="","",IF(Sel_Bron="Vastgesteld",IF(ISNUMBER(IF(COUNTIFS(L_Actief,1,L_WBS,$A64,L_Doeljaar,Sel_Doeljaar,L_Versiejaar,P_VJ,L_Versie,Sel_Versie,L_Kengetal,"BOR FY")=0,"n.b.",SUMIFS(L_Waarde,L_Actief,1,L_WBS,$A64,L_Doeljaar,Sel_Doeljaar,L_Versiejaar,P_VJ,L_Versie,Sel_Versie,L_Kengetal,"BOR FY"))),IF(COUNTIFS(L_Actief,1,L_WBS,$A64,L_Doeljaar,Sel_Doeljaar,L_Versiejaar,P_VJ,L_Versie,Sel_Versie,L_Kengetal,"BOR FY")=0,"n.b.",SUMIFS(L_Waarde,L_Actief,1,L_WBS,$A64,L_Doeljaar,Sel_Doeljaar,L_Versiejaar,P_VJ,L_Versie,Sel_Versie,L_Kengetal,"BOR FY"))/P_Factor,IF(COUNTIFS(L_Actief,1,L_WBS,$A64,L_Doeljaar,Sel_Doeljaar,L_Versiejaar,P_VJ,L_Versie,Sel_Versie,L_Kengetal,"BOR FY")=0,"n.b.",SUMIFS(L_Waarde,L_Actief,1,L_WBS,$A64,L_Doeljaar,Sel_Doeljaar,L_Versiejaar,P_VJ,L_Versie,Sel_Versie,L_Kengetal,"BOR FY"))),IF(Sel_Bron="Concept",IF(ISNUMBER(IF(Sel_Doeljaar=P_RJ,VERW_Project!$Q60,IF(Sel_Doeljaar=P_RJ+1,VERW_Project!$S60,"n.b."))),IF(Sel_Doeljaar=P_RJ,VERW_Project!$Q60,IF(Sel_Doeljaar=P_RJ+1,VERW_Project!$S60,"n.b."))/P_Factor,IF(Sel_Doeljaar=P_RJ,VERW_Project!$Q60,IF(Sel_Doeljaar=P_RJ+1,VERW_Project!$S60,"n.b."))),"n.b.")))</f>
        <v/>
      </c>
      <c r="O64" s="63" t="str">
        <f>IF($A64="","",IF(AND(ISNUMBER(N64),ISNUMBER(K64)),IF(K64&lt;&gt;0,N64/K64,"n.b."),"n.b."))</f>
        <v/>
      </c>
      <c r="P64" s="41" t="str">
        <f>IF($A64="","",IF(AND(ISNUMBER(K64),ISNUMBER(E64)),K64-E64,"n.b."))</f>
        <v/>
      </c>
      <c r="Q64" s="41" t="str">
        <f>IF($A64="","",IF(AND(ISNUMBER(K64),ISNUMBER(W64)),K64-W64,"n.b."))</f>
        <v/>
      </c>
      <c r="R64" s="64" t="str">
        <f>IF($A64="","",IF(ISNUMBER(N64),IF(N64&lt;0,"Verlies",""),""))</f>
        <v/>
      </c>
      <c r="S64" s="61" t="str">
        <f>IF($A64="","",IFERROR(INDEX(T_Txt,MATCH($A64&amp;"|"&amp;Sel_Doeljaar&amp;"|"&amp;P_VJ&amp;"|"&amp;Sel_Versie,T_Key,0)),""))</f>
        <v/>
      </c>
      <c r="U64" s="15" t="str">
        <f>IF(AND(AND($A64&lt;&gt;"",OR(Sel_Type="Alle",$C64=Sel_Type),OR(Sel_Project="Alle",$B64=Sel_Project)),ISNUMBER(K64)),K64+ROW()/1000000000,"")</f>
        <v/>
      </c>
      <c r="V64" s="15" t="str">
        <f>IF(AND(AND($A64&lt;&gt;"",OR(Sel_Type="Alle",$C64=Sel_Type),OR(Sel_Project="Alle",$B64=Sel_Project)),ISNUMBER(Q64)),ABS(Q64)+ROW()/1000000000,"")</f>
        <v/>
      </c>
      <c r="W64" s="15" t="str">
        <f>IF(OR($A64="",Sel_Prev=""),"n.b.",IF(ISNUMBER(IF(COUNTIFS(L_Actief,1,L_WBS,$A64,L_Doeljaar,Sel_Doeljaar,L_Versiejaar,P_VJ,L_Versie,Sel_Prev,L_Kengetal,"Omzet FY")=0,"n.b.",SUMIFS(L_Waarde,L_Actief,1,L_WBS,$A64,L_Doeljaar,Sel_Doeljaar,L_Versiejaar,P_VJ,L_Versie,Sel_Prev,L_Kengetal,"Omzet FY"))),IF(COUNTIFS(L_Actief,1,L_WBS,$A64,L_Doeljaar,Sel_Doeljaar,L_Versiejaar,P_VJ,L_Versie,Sel_Prev,L_Kengetal,"Omzet FY")=0,"n.b.",SUMIFS(L_Waarde,L_Actief,1,L_WBS,$A64,L_Doeljaar,Sel_Doeljaar,L_Versiejaar,P_VJ,L_Versie,Sel_Prev,L_Kengetal,"Omzet FY"))/P_Factor,IF(COUNTIFS(L_Actief,1,L_WBS,$A64,L_Doeljaar,Sel_Doeljaar,L_Versiejaar,P_VJ,L_Versie,Sel_Prev,L_Kengetal,"Omzet FY")=0,"n.b.",SUMIFS(L_Waarde,L_Actief,1,L_WBS,$A64,L_Doeljaar,Sel_Doeljaar,L_Versiejaar,P_VJ,L_Versie,Sel_Prev,L_Kengetal,"Omzet FY"))))</f>
        <v>n.b.</v>
      </c>
    </row>
    <row r="65">
      <c r="A65" s="61" t="str">
        <f>IF(VERW_Project!$A61="","",VERW_Project!$A61)</f>
        <v/>
      </c>
      <c r="B65" s="61" t="str">
        <f>IF($A65="","",VERW_Project!$C61)</f>
        <v/>
      </c>
      <c r="C65" s="61" t="str">
        <f>IF($A65="","",VERW_Project!$D61)</f>
        <v/>
      </c>
      <c r="D65" s="61" t="str">
        <f>IF($A65="","",VERW_Project!$I61)</f>
        <v/>
      </c>
      <c r="E65" s="41" t="str">
        <f>IF($A65="","",IF(ISNUMBER(IF(COUNTIFS(L_Actief,1,L_WBS,$A65,L_Doeljaar,Sel_Doeljaar,L_Versiejaar,P_VJ,L_Versie,E$8,L_Kengetal,"Omzet FY")=0,"n.b.",SUMIFS(L_Waarde,L_Actief,1,L_WBS,$A65,L_Doeljaar,Sel_Doeljaar,L_Versiejaar,P_VJ,L_Versie,E$8,L_Kengetal,"Omzet FY"))),IF(COUNTIFS(L_Actief,1,L_WBS,$A65,L_Doeljaar,Sel_Doeljaar,L_Versiejaar,P_VJ,L_Versie,E$8,L_Kengetal,"Omzet FY")=0,"n.b.",SUMIFS(L_Waarde,L_Actief,1,L_WBS,$A65,L_Doeljaar,Sel_Doeljaar,L_Versiejaar,P_VJ,L_Versie,E$8,L_Kengetal,"Omzet FY"))/P_Factor,IF(COUNTIFS(L_Actief,1,L_WBS,$A65,L_Doeljaar,Sel_Doeljaar,L_Versiejaar,P_VJ,L_Versie,E$8,L_Kengetal,"Omzet FY")=0,"n.b.",SUMIFS(L_Waarde,L_Actief,1,L_WBS,$A65,L_Doeljaar,Sel_Doeljaar,L_Versiejaar,P_VJ,L_Versie,E$8,L_Kengetal,"Omzet FY"))))</f>
        <v/>
      </c>
      <c r="F65" s="41" t="str">
        <f>IF($A65="","",IF(ISNUMBER(IF(COUNTIFS(L_Actief,1,L_WBS,$A65,L_Doeljaar,Sel_Doeljaar,L_Versiejaar,P_VJ,L_Versie,F$8,L_Kengetal,"Omzet FY")=0,"n.b.",SUMIFS(L_Waarde,L_Actief,1,L_WBS,$A65,L_Doeljaar,Sel_Doeljaar,L_Versiejaar,P_VJ,L_Versie,F$8,L_Kengetal,"Omzet FY"))),IF(COUNTIFS(L_Actief,1,L_WBS,$A65,L_Doeljaar,Sel_Doeljaar,L_Versiejaar,P_VJ,L_Versie,F$8,L_Kengetal,"Omzet FY")=0,"n.b.",SUMIFS(L_Waarde,L_Actief,1,L_WBS,$A65,L_Doeljaar,Sel_Doeljaar,L_Versiejaar,P_VJ,L_Versie,F$8,L_Kengetal,"Omzet FY"))/P_Factor,IF(COUNTIFS(L_Actief,1,L_WBS,$A65,L_Doeljaar,Sel_Doeljaar,L_Versiejaar,P_VJ,L_Versie,F$8,L_Kengetal,"Omzet FY")=0,"n.b.",SUMIFS(L_Waarde,L_Actief,1,L_WBS,$A65,L_Doeljaar,Sel_Doeljaar,L_Versiejaar,P_VJ,L_Versie,F$8,L_Kengetal,"Omzet FY"))))</f>
        <v/>
      </c>
      <c r="G65" s="41" t="str">
        <f>IF($A65="","",IF(ISNUMBER(IF(COUNTIFS(L_Actief,1,L_WBS,$A65,L_Doeljaar,Sel_Doeljaar,L_Versiejaar,P_VJ,L_Versie,G$8,L_Kengetal,"Omzet FY")=0,"n.b.",SUMIFS(L_Waarde,L_Actief,1,L_WBS,$A65,L_Doeljaar,Sel_Doeljaar,L_Versiejaar,P_VJ,L_Versie,G$8,L_Kengetal,"Omzet FY"))),IF(COUNTIFS(L_Actief,1,L_WBS,$A65,L_Doeljaar,Sel_Doeljaar,L_Versiejaar,P_VJ,L_Versie,G$8,L_Kengetal,"Omzet FY")=0,"n.b.",SUMIFS(L_Waarde,L_Actief,1,L_WBS,$A65,L_Doeljaar,Sel_Doeljaar,L_Versiejaar,P_VJ,L_Versie,G$8,L_Kengetal,"Omzet FY"))/P_Factor,IF(COUNTIFS(L_Actief,1,L_WBS,$A65,L_Doeljaar,Sel_Doeljaar,L_Versiejaar,P_VJ,L_Versie,G$8,L_Kengetal,"Omzet FY")=0,"n.b.",SUMIFS(L_Waarde,L_Actief,1,L_WBS,$A65,L_Doeljaar,Sel_Doeljaar,L_Versiejaar,P_VJ,L_Versie,G$8,L_Kengetal,"Omzet FY"))))</f>
        <v/>
      </c>
      <c r="H65" s="41" t="str">
        <f>IF($A65="","",IF(ISNUMBER(IF(COUNTIFS(L_Actief,1,L_WBS,$A65,L_Doeljaar,Sel_Doeljaar,L_Versiejaar,P_VJ,L_Versie,H$8,L_Kengetal,"Omzet FY")=0,"n.b.",SUMIFS(L_Waarde,L_Actief,1,L_WBS,$A65,L_Doeljaar,Sel_Doeljaar,L_Versiejaar,P_VJ,L_Versie,H$8,L_Kengetal,"Omzet FY"))),IF(COUNTIFS(L_Actief,1,L_WBS,$A65,L_Doeljaar,Sel_Doeljaar,L_Versiejaar,P_VJ,L_Versie,H$8,L_Kengetal,"Omzet FY")=0,"n.b.",SUMIFS(L_Waarde,L_Actief,1,L_WBS,$A65,L_Doeljaar,Sel_Doeljaar,L_Versiejaar,P_VJ,L_Versie,H$8,L_Kengetal,"Omzet FY"))/P_Factor,IF(COUNTIFS(L_Actief,1,L_WBS,$A65,L_Doeljaar,Sel_Doeljaar,L_Versiejaar,P_VJ,L_Versie,H$8,L_Kengetal,"Omzet FY")=0,"n.b.",SUMIFS(L_Waarde,L_Actief,1,L_WBS,$A65,L_Doeljaar,Sel_Doeljaar,L_Versiejaar,P_VJ,L_Versie,H$8,L_Kengetal,"Omzet FY"))))</f>
        <v/>
      </c>
      <c r="I65" s="41" t="str">
        <f>IF($A65="","",IF(ISNUMBER(IF(COUNTIFS(L_Actief,1,L_WBS,$A65,L_Doeljaar,Sel_Doeljaar,L_Versiejaar,P_VJ,L_Versie,I$8,L_Kengetal,"Omzet FY")=0,"n.b.",SUMIFS(L_Waarde,L_Actief,1,L_WBS,$A65,L_Doeljaar,Sel_Doeljaar,L_Versiejaar,P_VJ,L_Versie,I$8,L_Kengetal,"Omzet FY"))),IF(COUNTIFS(L_Actief,1,L_WBS,$A65,L_Doeljaar,Sel_Doeljaar,L_Versiejaar,P_VJ,L_Versie,I$8,L_Kengetal,"Omzet FY")=0,"n.b.",SUMIFS(L_Waarde,L_Actief,1,L_WBS,$A65,L_Doeljaar,Sel_Doeljaar,L_Versiejaar,P_VJ,L_Versie,I$8,L_Kengetal,"Omzet FY"))/P_Factor,IF(COUNTIFS(L_Actief,1,L_WBS,$A65,L_Doeljaar,Sel_Doeljaar,L_Versiejaar,P_VJ,L_Versie,I$8,L_Kengetal,"Omzet FY")=0,"n.b.",SUMIFS(L_Waarde,L_Actief,1,L_WBS,$A65,L_Doeljaar,Sel_Doeljaar,L_Versiejaar,P_VJ,L_Versie,I$8,L_Kengetal,"Omzet FY"))))</f>
        <v/>
      </c>
      <c r="J65" s="41" t="str">
        <f>IF($A65="","",IF(ISNUMBER(IF(Sel_Doeljaar=P_RJ,VERW_Project!$P61,IF(Sel_Doeljaar=P_RJ+1,VERW_Project!$R61,"n.b."))),IF(Sel_Doeljaar=P_RJ,VERW_Project!$P61,IF(Sel_Doeljaar=P_RJ+1,VERW_Project!$R61,"n.b."))/P_Factor,IF(Sel_Doeljaar=P_RJ,VERW_Project!$P61,IF(Sel_Doeljaar=P_RJ+1,VERW_Project!$R61,"n.b."))))</f>
        <v/>
      </c>
      <c r="K65" s="41" t="str">
        <f>IF($A65="","",IF(Sel_Bron="Vastgesteld",INDEX($E65:$I65,MATCH(Sel_Versie,$E$8:$I$8,0)),IF(Sel_Bron="Concept",J65,"n.b.")))</f>
        <v/>
      </c>
      <c r="L65" s="62" t="str">
        <f>IF($A65="","",IF(Sel_Doeljaar&gt;P_VJ,"n.v.t.",IF(Sel_Bron="Vastgesteld",IF(ISNUMBER(IF(COUNTIFS(L_Actief,1,L_WBS,$A65,L_Doeljaar,Sel_Doeljaar,L_Versiejaar,P_VJ,L_Versie,Sel_Versie,L_Kengetal,"Omzet actual YTD")=0,"n.b.",SUMIFS(L_Waarde,L_Actief,1,L_WBS,$A65,L_Doeljaar,Sel_Doeljaar,L_Versiejaar,P_VJ,L_Versie,Sel_Versie,L_Kengetal,"Omzet actual YTD"))),IF(COUNTIFS(L_Actief,1,L_WBS,$A65,L_Doeljaar,Sel_Doeljaar,L_Versiejaar,P_VJ,L_Versie,Sel_Versie,L_Kengetal,"Omzet actual YTD")=0,"n.b.",SUMIFS(L_Waarde,L_Actief,1,L_WBS,$A65,L_Doeljaar,Sel_Doeljaar,L_Versiejaar,P_VJ,L_Versie,Sel_Versie,L_Kengetal,"Omzet actual YTD"))/P_Factor,IF(COUNTIFS(L_Actief,1,L_WBS,$A65,L_Doeljaar,Sel_Doeljaar,L_Versiejaar,P_VJ,L_Versie,Sel_Versie,L_Kengetal,"Omzet actual YTD")=0,"n.b.",SUMIFS(L_Waarde,L_Actief,1,L_WBS,$A65,L_Doeljaar,Sel_Doeljaar,L_Versiejaar,P_VJ,L_Versie,Sel_Versie,L_Kengetal,"Omzet actual YTD"))),IF(Sel_Bron="Concept",IF(ISNUMBER(IF(Sel_Doeljaar=P_RJ,VERW_Project!$L61,"n.v.t.")),IF(Sel_Doeljaar=P_RJ,VERW_Project!$L61,"n.v.t.")/P_Factor,IF(Sel_Doeljaar=P_RJ,VERW_Project!$L61,"n.v.t.")),"n.b."))))</f>
        <v/>
      </c>
      <c r="M65" s="41" t="str">
        <f>IF($A65="","",IF(L65="n.v.t.",K65,IF(AND(ISNUMBER(K65),ISNUMBER(L65)),K65-L65,"n.b.")))</f>
        <v/>
      </c>
      <c r="N65" s="41" t="str">
        <f>IF($A65="","",IF(Sel_Bron="Vastgesteld",IF(ISNUMBER(IF(COUNTIFS(L_Actief,1,L_WBS,$A65,L_Doeljaar,Sel_Doeljaar,L_Versiejaar,P_VJ,L_Versie,Sel_Versie,L_Kengetal,"BOR FY")=0,"n.b.",SUMIFS(L_Waarde,L_Actief,1,L_WBS,$A65,L_Doeljaar,Sel_Doeljaar,L_Versiejaar,P_VJ,L_Versie,Sel_Versie,L_Kengetal,"BOR FY"))),IF(COUNTIFS(L_Actief,1,L_WBS,$A65,L_Doeljaar,Sel_Doeljaar,L_Versiejaar,P_VJ,L_Versie,Sel_Versie,L_Kengetal,"BOR FY")=0,"n.b.",SUMIFS(L_Waarde,L_Actief,1,L_WBS,$A65,L_Doeljaar,Sel_Doeljaar,L_Versiejaar,P_VJ,L_Versie,Sel_Versie,L_Kengetal,"BOR FY"))/P_Factor,IF(COUNTIFS(L_Actief,1,L_WBS,$A65,L_Doeljaar,Sel_Doeljaar,L_Versiejaar,P_VJ,L_Versie,Sel_Versie,L_Kengetal,"BOR FY")=0,"n.b.",SUMIFS(L_Waarde,L_Actief,1,L_WBS,$A65,L_Doeljaar,Sel_Doeljaar,L_Versiejaar,P_VJ,L_Versie,Sel_Versie,L_Kengetal,"BOR FY"))),IF(Sel_Bron="Concept",IF(ISNUMBER(IF(Sel_Doeljaar=P_RJ,VERW_Project!$Q61,IF(Sel_Doeljaar=P_RJ+1,VERW_Project!$S61,"n.b."))),IF(Sel_Doeljaar=P_RJ,VERW_Project!$Q61,IF(Sel_Doeljaar=P_RJ+1,VERW_Project!$S61,"n.b."))/P_Factor,IF(Sel_Doeljaar=P_RJ,VERW_Project!$Q61,IF(Sel_Doeljaar=P_RJ+1,VERW_Project!$S61,"n.b."))),"n.b.")))</f>
        <v/>
      </c>
      <c r="O65" s="63" t="str">
        <f>IF($A65="","",IF(AND(ISNUMBER(N65),ISNUMBER(K65)),IF(K65&lt;&gt;0,N65/K65,"n.b."),"n.b."))</f>
        <v/>
      </c>
      <c r="P65" s="41" t="str">
        <f>IF($A65="","",IF(AND(ISNUMBER(K65),ISNUMBER(E65)),K65-E65,"n.b."))</f>
        <v/>
      </c>
      <c r="Q65" s="41" t="str">
        <f>IF($A65="","",IF(AND(ISNUMBER(K65),ISNUMBER(W65)),K65-W65,"n.b."))</f>
        <v/>
      </c>
      <c r="R65" s="64" t="str">
        <f>IF($A65="","",IF(ISNUMBER(N65),IF(N65&lt;0,"Verlies",""),""))</f>
        <v/>
      </c>
      <c r="S65" s="61" t="str">
        <f>IF($A65="","",IFERROR(INDEX(T_Txt,MATCH($A65&amp;"|"&amp;Sel_Doeljaar&amp;"|"&amp;P_VJ&amp;"|"&amp;Sel_Versie,T_Key,0)),""))</f>
        <v/>
      </c>
      <c r="U65" s="15" t="str">
        <f>IF(AND(AND($A65&lt;&gt;"",OR(Sel_Type="Alle",$C65=Sel_Type),OR(Sel_Project="Alle",$B65=Sel_Project)),ISNUMBER(K65)),K65+ROW()/1000000000,"")</f>
        <v/>
      </c>
      <c r="V65" s="15" t="str">
        <f>IF(AND(AND($A65&lt;&gt;"",OR(Sel_Type="Alle",$C65=Sel_Type),OR(Sel_Project="Alle",$B65=Sel_Project)),ISNUMBER(Q65)),ABS(Q65)+ROW()/1000000000,"")</f>
        <v/>
      </c>
      <c r="W65" s="15" t="str">
        <f>IF(OR($A65="",Sel_Prev=""),"n.b.",IF(ISNUMBER(IF(COUNTIFS(L_Actief,1,L_WBS,$A65,L_Doeljaar,Sel_Doeljaar,L_Versiejaar,P_VJ,L_Versie,Sel_Prev,L_Kengetal,"Omzet FY")=0,"n.b.",SUMIFS(L_Waarde,L_Actief,1,L_WBS,$A65,L_Doeljaar,Sel_Doeljaar,L_Versiejaar,P_VJ,L_Versie,Sel_Prev,L_Kengetal,"Omzet FY"))),IF(COUNTIFS(L_Actief,1,L_WBS,$A65,L_Doeljaar,Sel_Doeljaar,L_Versiejaar,P_VJ,L_Versie,Sel_Prev,L_Kengetal,"Omzet FY")=0,"n.b.",SUMIFS(L_Waarde,L_Actief,1,L_WBS,$A65,L_Doeljaar,Sel_Doeljaar,L_Versiejaar,P_VJ,L_Versie,Sel_Prev,L_Kengetal,"Omzet FY"))/P_Factor,IF(COUNTIFS(L_Actief,1,L_WBS,$A65,L_Doeljaar,Sel_Doeljaar,L_Versiejaar,P_VJ,L_Versie,Sel_Prev,L_Kengetal,"Omzet FY")=0,"n.b.",SUMIFS(L_Waarde,L_Actief,1,L_WBS,$A65,L_Doeljaar,Sel_Doeljaar,L_Versiejaar,P_VJ,L_Versie,Sel_Prev,L_Kengetal,"Omzet FY"))))</f>
        <v>n.b.</v>
      </c>
    </row>
    <row r="66">
      <c r="A66" s="61" t="str">
        <f>IF(VERW_Project!$A62="","",VERW_Project!$A62)</f>
        <v/>
      </c>
      <c r="B66" s="61" t="str">
        <f>IF($A66="","",VERW_Project!$C62)</f>
        <v/>
      </c>
      <c r="C66" s="61" t="str">
        <f>IF($A66="","",VERW_Project!$D62)</f>
        <v/>
      </c>
      <c r="D66" s="61" t="str">
        <f>IF($A66="","",VERW_Project!$I62)</f>
        <v/>
      </c>
      <c r="E66" s="41" t="str">
        <f>IF($A66="","",IF(ISNUMBER(IF(COUNTIFS(L_Actief,1,L_WBS,$A66,L_Doeljaar,Sel_Doeljaar,L_Versiejaar,P_VJ,L_Versie,E$8,L_Kengetal,"Omzet FY")=0,"n.b.",SUMIFS(L_Waarde,L_Actief,1,L_WBS,$A66,L_Doeljaar,Sel_Doeljaar,L_Versiejaar,P_VJ,L_Versie,E$8,L_Kengetal,"Omzet FY"))),IF(COUNTIFS(L_Actief,1,L_WBS,$A66,L_Doeljaar,Sel_Doeljaar,L_Versiejaar,P_VJ,L_Versie,E$8,L_Kengetal,"Omzet FY")=0,"n.b.",SUMIFS(L_Waarde,L_Actief,1,L_WBS,$A66,L_Doeljaar,Sel_Doeljaar,L_Versiejaar,P_VJ,L_Versie,E$8,L_Kengetal,"Omzet FY"))/P_Factor,IF(COUNTIFS(L_Actief,1,L_WBS,$A66,L_Doeljaar,Sel_Doeljaar,L_Versiejaar,P_VJ,L_Versie,E$8,L_Kengetal,"Omzet FY")=0,"n.b.",SUMIFS(L_Waarde,L_Actief,1,L_WBS,$A66,L_Doeljaar,Sel_Doeljaar,L_Versiejaar,P_VJ,L_Versie,E$8,L_Kengetal,"Omzet FY"))))</f>
        <v/>
      </c>
      <c r="F66" s="41" t="str">
        <f>IF($A66="","",IF(ISNUMBER(IF(COUNTIFS(L_Actief,1,L_WBS,$A66,L_Doeljaar,Sel_Doeljaar,L_Versiejaar,P_VJ,L_Versie,F$8,L_Kengetal,"Omzet FY")=0,"n.b.",SUMIFS(L_Waarde,L_Actief,1,L_WBS,$A66,L_Doeljaar,Sel_Doeljaar,L_Versiejaar,P_VJ,L_Versie,F$8,L_Kengetal,"Omzet FY"))),IF(COUNTIFS(L_Actief,1,L_WBS,$A66,L_Doeljaar,Sel_Doeljaar,L_Versiejaar,P_VJ,L_Versie,F$8,L_Kengetal,"Omzet FY")=0,"n.b.",SUMIFS(L_Waarde,L_Actief,1,L_WBS,$A66,L_Doeljaar,Sel_Doeljaar,L_Versiejaar,P_VJ,L_Versie,F$8,L_Kengetal,"Omzet FY"))/P_Factor,IF(COUNTIFS(L_Actief,1,L_WBS,$A66,L_Doeljaar,Sel_Doeljaar,L_Versiejaar,P_VJ,L_Versie,F$8,L_Kengetal,"Omzet FY")=0,"n.b.",SUMIFS(L_Waarde,L_Actief,1,L_WBS,$A66,L_Doeljaar,Sel_Doeljaar,L_Versiejaar,P_VJ,L_Versie,F$8,L_Kengetal,"Omzet FY"))))</f>
        <v/>
      </c>
      <c r="G66" s="41" t="str">
        <f>IF($A66="","",IF(ISNUMBER(IF(COUNTIFS(L_Actief,1,L_WBS,$A66,L_Doeljaar,Sel_Doeljaar,L_Versiejaar,P_VJ,L_Versie,G$8,L_Kengetal,"Omzet FY")=0,"n.b.",SUMIFS(L_Waarde,L_Actief,1,L_WBS,$A66,L_Doeljaar,Sel_Doeljaar,L_Versiejaar,P_VJ,L_Versie,G$8,L_Kengetal,"Omzet FY"))),IF(COUNTIFS(L_Actief,1,L_WBS,$A66,L_Doeljaar,Sel_Doeljaar,L_Versiejaar,P_VJ,L_Versie,G$8,L_Kengetal,"Omzet FY")=0,"n.b.",SUMIFS(L_Waarde,L_Actief,1,L_WBS,$A66,L_Doeljaar,Sel_Doeljaar,L_Versiejaar,P_VJ,L_Versie,G$8,L_Kengetal,"Omzet FY"))/P_Factor,IF(COUNTIFS(L_Actief,1,L_WBS,$A66,L_Doeljaar,Sel_Doeljaar,L_Versiejaar,P_VJ,L_Versie,G$8,L_Kengetal,"Omzet FY")=0,"n.b.",SUMIFS(L_Waarde,L_Actief,1,L_WBS,$A66,L_Doeljaar,Sel_Doeljaar,L_Versiejaar,P_VJ,L_Versie,G$8,L_Kengetal,"Omzet FY"))))</f>
        <v/>
      </c>
      <c r="H66" s="41" t="str">
        <f>IF($A66="","",IF(ISNUMBER(IF(COUNTIFS(L_Actief,1,L_WBS,$A66,L_Doeljaar,Sel_Doeljaar,L_Versiejaar,P_VJ,L_Versie,H$8,L_Kengetal,"Omzet FY")=0,"n.b.",SUMIFS(L_Waarde,L_Actief,1,L_WBS,$A66,L_Doeljaar,Sel_Doeljaar,L_Versiejaar,P_VJ,L_Versie,H$8,L_Kengetal,"Omzet FY"))),IF(COUNTIFS(L_Actief,1,L_WBS,$A66,L_Doeljaar,Sel_Doeljaar,L_Versiejaar,P_VJ,L_Versie,H$8,L_Kengetal,"Omzet FY")=0,"n.b.",SUMIFS(L_Waarde,L_Actief,1,L_WBS,$A66,L_Doeljaar,Sel_Doeljaar,L_Versiejaar,P_VJ,L_Versie,H$8,L_Kengetal,"Omzet FY"))/P_Factor,IF(COUNTIFS(L_Actief,1,L_WBS,$A66,L_Doeljaar,Sel_Doeljaar,L_Versiejaar,P_VJ,L_Versie,H$8,L_Kengetal,"Omzet FY")=0,"n.b.",SUMIFS(L_Waarde,L_Actief,1,L_WBS,$A66,L_Doeljaar,Sel_Doeljaar,L_Versiejaar,P_VJ,L_Versie,H$8,L_Kengetal,"Omzet FY"))))</f>
        <v/>
      </c>
      <c r="I66" s="41" t="str">
        <f>IF($A66="","",IF(ISNUMBER(IF(COUNTIFS(L_Actief,1,L_WBS,$A66,L_Doeljaar,Sel_Doeljaar,L_Versiejaar,P_VJ,L_Versie,I$8,L_Kengetal,"Omzet FY")=0,"n.b.",SUMIFS(L_Waarde,L_Actief,1,L_WBS,$A66,L_Doeljaar,Sel_Doeljaar,L_Versiejaar,P_VJ,L_Versie,I$8,L_Kengetal,"Omzet FY"))),IF(COUNTIFS(L_Actief,1,L_WBS,$A66,L_Doeljaar,Sel_Doeljaar,L_Versiejaar,P_VJ,L_Versie,I$8,L_Kengetal,"Omzet FY")=0,"n.b.",SUMIFS(L_Waarde,L_Actief,1,L_WBS,$A66,L_Doeljaar,Sel_Doeljaar,L_Versiejaar,P_VJ,L_Versie,I$8,L_Kengetal,"Omzet FY"))/P_Factor,IF(COUNTIFS(L_Actief,1,L_WBS,$A66,L_Doeljaar,Sel_Doeljaar,L_Versiejaar,P_VJ,L_Versie,I$8,L_Kengetal,"Omzet FY")=0,"n.b.",SUMIFS(L_Waarde,L_Actief,1,L_WBS,$A66,L_Doeljaar,Sel_Doeljaar,L_Versiejaar,P_VJ,L_Versie,I$8,L_Kengetal,"Omzet FY"))))</f>
        <v/>
      </c>
      <c r="J66" s="41" t="str">
        <f>IF($A66="","",IF(ISNUMBER(IF(Sel_Doeljaar=P_RJ,VERW_Project!$P62,IF(Sel_Doeljaar=P_RJ+1,VERW_Project!$R62,"n.b."))),IF(Sel_Doeljaar=P_RJ,VERW_Project!$P62,IF(Sel_Doeljaar=P_RJ+1,VERW_Project!$R62,"n.b."))/P_Factor,IF(Sel_Doeljaar=P_RJ,VERW_Project!$P62,IF(Sel_Doeljaar=P_RJ+1,VERW_Project!$R62,"n.b."))))</f>
        <v/>
      </c>
      <c r="K66" s="41" t="str">
        <f>IF($A66="","",IF(Sel_Bron="Vastgesteld",INDEX($E66:$I66,MATCH(Sel_Versie,$E$8:$I$8,0)),IF(Sel_Bron="Concept",J66,"n.b.")))</f>
        <v/>
      </c>
      <c r="L66" s="62" t="str">
        <f>IF($A66="","",IF(Sel_Doeljaar&gt;P_VJ,"n.v.t.",IF(Sel_Bron="Vastgesteld",IF(ISNUMBER(IF(COUNTIFS(L_Actief,1,L_WBS,$A66,L_Doeljaar,Sel_Doeljaar,L_Versiejaar,P_VJ,L_Versie,Sel_Versie,L_Kengetal,"Omzet actual YTD")=0,"n.b.",SUMIFS(L_Waarde,L_Actief,1,L_WBS,$A66,L_Doeljaar,Sel_Doeljaar,L_Versiejaar,P_VJ,L_Versie,Sel_Versie,L_Kengetal,"Omzet actual YTD"))),IF(COUNTIFS(L_Actief,1,L_WBS,$A66,L_Doeljaar,Sel_Doeljaar,L_Versiejaar,P_VJ,L_Versie,Sel_Versie,L_Kengetal,"Omzet actual YTD")=0,"n.b.",SUMIFS(L_Waarde,L_Actief,1,L_WBS,$A66,L_Doeljaar,Sel_Doeljaar,L_Versiejaar,P_VJ,L_Versie,Sel_Versie,L_Kengetal,"Omzet actual YTD"))/P_Factor,IF(COUNTIFS(L_Actief,1,L_WBS,$A66,L_Doeljaar,Sel_Doeljaar,L_Versiejaar,P_VJ,L_Versie,Sel_Versie,L_Kengetal,"Omzet actual YTD")=0,"n.b.",SUMIFS(L_Waarde,L_Actief,1,L_WBS,$A66,L_Doeljaar,Sel_Doeljaar,L_Versiejaar,P_VJ,L_Versie,Sel_Versie,L_Kengetal,"Omzet actual YTD"))),IF(Sel_Bron="Concept",IF(ISNUMBER(IF(Sel_Doeljaar=P_RJ,VERW_Project!$L62,"n.v.t.")),IF(Sel_Doeljaar=P_RJ,VERW_Project!$L62,"n.v.t.")/P_Factor,IF(Sel_Doeljaar=P_RJ,VERW_Project!$L62,"n.v.t.")),"n.b."))))</f>
        <v/>
      </c>
      <c r="M66" s="41" t="str">
        <f>IF($A66="","",IF(L66="n.v.t.",K66,IF(AND(ISNUMBER(K66),ISNUMBER(L66)),K66-L66,"n.b.")))</f>
        <v/>
      </c>
      <c r="N66" s="41" t="str">
        <f>IF($A66="","",IF(Sel_Bron="Vastgesteld",IF(ISNUMBER(IF(COUNTIFS(L_Actief,1,L_WBS,$A66,L_Doeljaar,Sel_Doeljaar,L_Versiejaar,P_VJ,L_Versie,Sel_Versie,L_Kengetal,"BOR FY")=0,"n.b.",SUMIFS(L_Waarde,L_Actief,1,L_WBS,$A66,L_Doeljaar,Sel_Doeljaar,L_Versiejaar,P_VJ,L_Versie,Sel_Versie,L_Kengetal,"BOR FY"))),IF(COUNTIFS(L_Actief,1,L_WBS,$A66,L_Doeljaar,Sel_Doeljaar,L_Versiejaar,P_VJ,L_Versie,Sel_Versie,L_Kengetal,"BOR FY")=0,"n.b.",SUMIFS(L_Waarde,L_Actief,1,L_WBS,$A66,L_Doeljaar,Sel_Doeljaar,L_Versiejaar,P_VJ,L_Versie,Sel_Versie,L_Kengetal,"BOR FY"))/P_Factor,IF(COUNTIFS(L_Actief,1,L_WBS,$A66,L_Doeljaar,Sel_Doeljaar,L_Versiejaar,P_VJ,L_Versie,Sel_Versie,L_Kengetal,"BOR FY")=0,"n.b.",SUMIFS(L_Waarde,L_Actief,1,L_WBS,$A66,L_Doeljaar,Sel_Doeljaar,L_Versiejaar,P_VJ,L_Versie,Sel_Versie,L_Kengetal,"BOR FY"))),IF(Sel_Bron="Concept",IF(ISNUMBER(IF(Sel_Doeljaar=P_RJ,VERW_Project!$Q62,IF(Sel_Doeljaar=P_RJ+1,VERW_Project!$S62,"n.b."))),IF(Sel_Doeljaar=P_RJ,VERW_Project!$Q62,IF(Sel_Doeljaar=P_RJ+1,VERW_Project!$S62,"n.b."))/P_Factor,IF(Sel_Doeljaar=P_RJ,VERW_Project!$Q62,IF(Sel_Doeljaar=P_RJ+1,VERW_Project!$S62,"n.b."))),"n.b.")))</f>
        <v/>
      </c>
      <c r="O66" s="63" t="str">
        <f>IF($A66="","",IF(AND(ISNUMBER(N66),ISNUMBER(K66)),IF(K66&lt;&gt;0,N66/K66,"n.b."),"n.b."))</f>
        <v/>
      </c>
      <c r="P66" s="41" t="str">
        <f>IF($A66="","",IF(AND(ISNUMBER(K66),ISNUMBER(E66)),K66-E66,"n.b."))</f>
        <v/>
      </c>
      <c r="Q66" s="41" t="str">
        <f>IF($A66="","",IF(AND(ISNUMBER(K66),ISNUMBER(W66)),K66-W66,"n.b."))</f>
        <v/>
      </c>
      <c r="R66" s="64" t="str">
        <f>IF($A66="","",IF(ISNUMBER(N66),IF(N66&lt;0,"Verlies",""),""))</f>
        <v/>
      </c>
      <c r="S66" s="61" t="str">
        <f>IF($A66="","",IFERROR(INDEX(T_Txt,MATCH($A66&amp;"|"&amp;Sel_Doeljaar&amp;"|"&amp;P_VJ&amp;"|"&amp;Sel_Versie,T_Key,0)),""))</f>
        <v/>
      </c>
      <c r="U66" s="15" t="str">
        <f>IF(AND(AND($A66&lt;&gt;"",OR(Sel_Type="Alle",$C66=Sel_Type),OR(Sel_Project="Alle",$B66=Sel_Project)),ISNUMBER(K66)),K66+ROW()/1000000000,"")</f>
        <v/>
      </c>
      <c r="V66" s="15" t="str">
        <f>IF(AND(AND($A66&lt;&gt;"",OR(Sel_Type="Alle",$C66=Sel_Type),OR(Sel_Project="Alle",$B66=Sel_Project)),ISNUMBER(Q66)),ABS(Q66)+ROW()/1000000000,"")</f>
        <v/>
      </c>
      <c r="W66" s="15" t="str">
        <f>IF(OR($A66="",Sel_Prev=""),"n.b.",IF(ISNUMBER(IF(COUNTIFS(L_Actief,1,L_WBS,$A66,L_Doeljaar,Sel_Doeljaar,L_Versiejaar,P_VJ,L_Versie,Sel_Prev,L_Kengetal,"Omzet FY")=0,"n.b.",SUMIFS(L_Waarde,L_Actief,1,L_WBS,$A66,L_Doeljaar,Sel_Doeljaar,L_Versiejaar,P_VJ,L_Versie,Sel_Prev,L_Kengetal,"Omzet FY"))),IF(COUNTIFS(L_Actief,1,L_WBS,$A66,L_Doeljaar,Sel_Doeljaar,L_Versiejaar,P_VJ,L_Versie,Sel_Prev,L_Kengetal,"Omzet FY")=0,"n.b.",SUMIFS(L_Waarde,L_Actief,1,L_WBS,$A66,L_Doeljaar,Sel_Doeljaar,L_Versiejaar,P_VJ,L_Versie,Sel_Prev,L_Kengetal,"Omzet FY"))/P_Factor,IF(COUNTIFS(L_Actief,1,L_WBS,$A66,L_Doeljaar,Sel_Doeljaar,L_Versiejaar,P_VJ,L_Versie,Sel_Prev,L_Kengetal,"Omzet FY")=0,"n.b.",SUMIFS(L_Waarde,L_Actief,1,L_WBS,$A66,L_Doeljaar,Sel_Doeljaar,L_Versiejaar,P_VJ,L_Versie,Sel_Prev,L_Kengetal,"Omzet FY"))))</f>
        <v>n.b.</v>
      </c>
    </row>
    <row r="67">
      <c r="A67" s="61" t="str">
        <f>IF(VERW_Project!$A63="","",VERW_Project!$A63)</f>
        <v/>
      </c>
      <c r="B67" s="61" t="str">
        <f>IF($A67="","",VERW_Project!$C63)</f>
        <v/>
      </c>
      <c r="C67" s="61" t="str">
        <f>IF($A67="","",VERW_Project!$D63)</f>
        <v/>
      </c>
      <c r="D67" s="61" t="str">
        <f>IF($A67="","",VERW_Project!$I63)</f>
        <v/>
      </c>
      <c r="E67" s="41" t="str">
        <f>IF($A67="","",IF(ISNUMBER(IF(COUNTIFS(L_Actief,1,L_WBS,$A67,L_Doeljaar,Sel_Doeljaar,L_Versiejaar,P_VJ,L_Versie,E$8,L_Kengetal,"Omzet FY")=0,"n.b.",SUMIFS(L_Waarde,L_Actief,1,L_WBS,$A67,L_Doeljaar,Sel_Doeljaar,L_Versiejaar,P_VJ,L_Versie,E$8,L_Kengetal,"Omzet FY"))),IF(COUNTIFS(L_Actief,1,L_WBS,$A67,L_Doeljaar,Sel_Doeljaar,L_Versiejaar,P_VJ,L_Versie,E$8,L_Kengetal,"Omzet FY")=0,"n.b.",SUMIFS(L_Waarde,L_Actief,1,L_WBS,$A67,L_Doeljaar,Sel_Doeljaar,L_Versiejaar,P_VJ,L_Versie,E$8,L_Kengetal,"Omzet FY"))/P_Factor,IF(COUNTIFS(L_Actief,1,L_WBS,$A67,L_Doeljaar,Sel_Doeljaar,L_Versiejaar,P_VJ,L_Versie,E$8,L_Kengetal,"Omzet FY")=0,"n.b.",SUMIFS(L_Waarde,L_Actief,1,L_WBS,$A67,L_Doeljaar,Sel_Doeljaar,L_Versiejaar,P_VJ,L_Versie,E$8,L_Kengetal,"Omzet FY"))))</f>
        <v/>
      </c>
      <c r="F67" s="41" t="str">
        <f>IF($A67="","",IF(ISNUMBER(IF(COUNTIFS(L_Actief,1,L_WBS,$A67,L_Doeljaar,Sel_Doeljaar,L_Versiejaar,P_VJ,L_Versie,F$8,L_Kengetal,"Omzet FY")=0,"n.b.",SUMIFS(L_Waarde,L_Actief,1,L_WBS,$A67,L_Doeljaar,Sel_Doeljaar,L_Versiejaar,P_VJ,L_Versie,F$8,L_Kengetal,"Omzet FY"))),IF(COUNTIFS(L_Actief,1,L_WBS,$A67,L_Doeljaar,Sel_Doeljaar,L_Versiejaar,P_VJ,L_Versie,F$8,L_Kengetal,"Omzet FY")=0,"n.b.",SUMIFS(L_Waarde,L_Actief,1,L_WBS,$A67,L_Doeljaar,Sel_Doeljaar,L_Versiejaar,P_VJ,L_Versie,F$8,L_Kengetal,"Omzet FY"))/P_Factor,IF(COUNTIFS(L_Actief,1,L_WBS,$A67,L_Doeljaar,Sel_Doeljaar,L_Versiejaar,P_VJ,L_Versie,F$8,L_Kengetal,"Omzet FY")=0,"n.b.",SUMIFS(L_Waarde,L_Actief,1,L_WBS,$A67,L_Doeljaar,Sel_Doeljaar,L_Versiejaar,P_VJ,L_Versie,F$8,L_Kengetal,"Omzet FY"))))</f>
        <v/>
      </c>
      <c r="G67" s="41" t="str">
        <f>IF($A67="","",IF(ISNUMBER(IF(COUNTIFS(L_Actief,1,L_WBS,$A67,L_Doeljaar,Sel_Doeljaar,L_Versiejaar,P_VJ,L_Versie,G$8,L_Kengetal,"Omzet FY")=0,"n.b.",SUMIFS(L_Waarde,L_Actief,1,L_WBS,$A67,L_Doeljaar,Sel_Doeljaar,L_Versiejaar,P_VJ,L_Versie,G$8,L_Kengetal,"Omzet FY"))),IF(COUNTIFS(L_Actief,1,L_WBS,$A67,L_Doeljaar,Sel_Doeljaar,L_Versiejaar,P_VJ,L_Versie,G$8,L_Kengetal,"Omzet FY")=0,"n.b.",SUMIFS(L_Waarde,L_Actief,1,L_WBS,$A67,L_Doeljaar,Sel_Doeljaar,L_Versiejaar,P_VJ,L_Versie,G$8,L_Kengetal,"Omzet FY"))/P_Factor,IF(COUNTIFS(L_Actief,1,L_WBS,$A67,L_Doeljaar,Sel_Doeljaar,L_Versiejaar,P_VJ,L_Versie,G$8,L_Kengetal,"Omzet FY")=0,"n.b.",SUMIFS(L_Waarde,L_Actief,1,L_WBS,$A67,L_Doeljaar,Sel_Doeljaar,L_Versiejaar,P_VJ,L_Versie,G$8,L_Kengetal,"Omzet FY"))))</f>
        <v/>
      </c>
      <c r="H67" s="41" t="str">
        <f>IF($A67="","",IF(ISNUMBER(IF(COUNTIFS(L_Actief,1,L_WBS,$A67,L_Doeljaar,Sel_Doeljaar,L_Versiejaar,P_VJ,L_Versie,H$8,L_Kengetal,"Omzet FY")=0,"n.b.",SUMIFS(L_Waarde,L_Actief,1,L_WBS,$A67,L_Doeljaar,Sel_Doeljaar,L_Versiejaar,P_VJ,L_Versie,H$8,L_Kengetal,"Omzet FY"))),IF(COUNTIFS(L_Actief,1,L_WBS,$A67,L_Doeljaar,Sel_Doeljaar,L_Versiejaar,P_VJ,L_Versie,H$8,L_Kengetal,"Omzet FY")=0,"n.b.",SUMIFS(L_Waarde,L_Actief,1,L_WBS,$A67,L_Doeljaar,Sel_Doeljaar,L_Versiejaar,P_VJ,L_Versie,H$8,L_Kengetal,"Omzet FY"))/P_Factor,IF(COUNTIFS(L_Actief,1,L_WBS,$A67,L_Doeljaar,Sel_Doeljaar,L_Versiejaar,P_VJ,L_Versie,H$8,L_Kengetal,"Omzet FY")=0,"n.b.",SUMIFS(L_Waarde,L_Actief,1,L_WBS,$A67,L_Doeljaar,Sel_Doeljaar,L_Versiejaar,P_VJ,L_Versie,H$8,L_Kengetal,"Omzet FY"))))</f>
        <v/>
      </c>
      <c r="I67" s="41" t="str">
        <f>IF($A67="","",IF(ISNUMBER(IF(COUNTIFS(L_Actief,1,L_WBS,$A67,L_Doeljaar,Sel_Doeljaar,L_Versiejaar,P_VJ,L_Versie,I$8,L_Kengetal,"Omzet FY")=0,"n.b.",SUMIFS(L_Waarde,L_Actief,1,L_WBS,$A67,L_Doeljaar,Sel_Doeljaar,L_Versiejaar,P_VJ,L_Versie,I$8,L_Kengetal,"Omzet FY"))),IF(COUNTIFS(L_Actief,1,L_WBS,$A67,L_Doeljaar,Sel_Doeljaar,L_Versiejaar,P_VJ,L_Versie,I$8,L_Kengetal,"Omzet FY")=0,"n.b.",SUMIFS(L_Waarde,L_Actief,1,L_WBS,$A67,L_Doeljaar,Sel_Doeljaar,L_Versiejaar,P_VJ,L_Versie,I$8,L_Kengetal,"Omzet FY"))/P_Factor,IF(COUNTIFS(L_Actief,1,L_WBS,$A67,L_Doeljaar,Sel_Doeljaar,L_Versiejaar,P_VJ,L_Versie,I$8,L_Kengetal,"Omzet FY")=0,"n.b.",SUMIFS(L_Waarde,L_Actief,1,L_WBS,$A67,L_Doeljaar,Sel_Doeljaar,L_Versiejaar,P_VJ,L_Versie,I$8,L_Kengetal,"Omzet FY"))))</f>
        <v/>
      </c>
      <c r="J67" s="41" t="str">
        <f>IF($A67="","",IF(ISNUMBER(IF(Sel_Doeljaar=P_RJ,VERW_Project!$P63,IF(Sel_Doeljaar=P_RJ+1,VERW_Project!$R63,"n.b."))),IF(Sel_Doeljaar=P_RJ,VERW_Project!$P63,IF(Sel_Doeljaar=P_RJ+1,VERW_Project!$R63,"n.b."))/P_Factor,IF(Sel_Doeljaar=P_RJ,VERW_Project!$P63,IF(Sel_Doeljaar=P_RJ+1,VERW_Project!$R63,"n.b."))))</f>
        <v/>
      </c>
      <c r="K67" s="41" t="str">
        <f>IF($A67="","",IF(Sel_Bron="Vastgesteld",INDEX($E67:$I67,MATCH(Sel_Versie,$E$8:$I$8,0)),IF(Sel_Bron="Concept",J67,"n.b.")))</f>
        <v/>
      </c>
      <c r="L67" s="62" t="str">
        <f>IF($A67="","",IF(Sel_Doeljaar&gt;P_VJ,"n.v.t.",IF(Sel_Bron="Vastgesteld",IF(ISNUMBER(IF(COUNTIFS(L_Actief,1,L_WBS,$A67,L_Doeljaar,Sel_Doeljaar,L_Versiejaar,P_VJ,L_Versie,Sel_Versie,L_Kengetal,"Omzet actual YTD")=0,"n.b.",SUMIFS(L_Waarde,L_Actief,1,L_WBS,$A67,L_Doeljaar,Sel_Doeljaar,L_Versiejaar,P_VJ,L_Versie,Sel_Versie,L_Kengetal,"Omzet actual YTD"))),IF(COUNTIFS(L_Actief,1,L_WBS,$A67,L_Doeljaar,Sel_Doeljaar,L_Versiejaar,P_VJ,L_Versie,Sel_Versie,L_Kengetal,"Omzet actual YTD")=0,"n.b.",SUMIFS(L_Waarde,L_Actief,1,L_WBS,$A67,L_Doeljaar,Sel_Doeljaar,L_Versiejaar,P_VJ,L_Versie,Sel_Versie,L_Kengetal,"Omzet actual YTD"))/P_Factor,IF(COUNTIFS(L_Actief,1,L_WBS,$A67,L_Doeljaar,Sel_Doeljaar,L_Versiejaar,P_VJ,L_Versie,Sel_Versie,L_Kengetal,"Omzet actual YTD")=0,"n.b.",SUMIFS(L_Waarde,L_Actief,1,L_WBS,$A67,L_Doeljaar,Sel_Doeljaar,L_Versiejaar,P_VJ,L_Versie,Sel_Versie,L_Kengetal,"Omzet actual YTD"))),IF(Sel_Bron="Concept",IF(ISNUMBER(IF(Sel_Doeljaar=P_RJ,VERW_Project!$L63,"n.v.t.")),IF(Sel_Doeljaar=P_RJ,VERW_Project!$L63,"n.v.t.")/P_Factor,IF(Sel_Doeljaar=P_RJ,VERW_Project!$L63,"n.v.t.")),"n.b."))))</f>
        <v/>
      </c>
      <c r="M67" s="41" t="str">
        <f>IF($A67="","",IF(L67="n.v.t.",K67,IF(AND(ISNUMBER(K67),ISNUMBER(L67)),K67-L67,"n.b.")))</f>
        <v/>
      </c>
      <c r="N67" s="41" t="str">
        <f>IF($A67="","",IF(Sel_Bron="Vastgesteld",IF(ISNUMBER(IF(COUNTIFS(L_Actief,1,L_WBS,$A67,L_Doeljaar,Sel_Doeljaar,L_Versiejaar,P_VJ,L_Versie,Sel_Versie,L_Kengetal,"BOR FY")=0,"n.b.",SUMIFS(L_Waarde,L_Actief,1,L_WBS,$A67,L_Doeljaar,Sel_Doeljaar,L_Versiejaar,P_VJ,L_Versie,Sel_Versie,L_Kengetal,"BOR FY"))),IF(COUNTIFS(L_Actief,1,L_WBS,$A67,L_Doeljaar,Sel_Doeljaar,L_Versiejaar,P_VJ,L_Versie,Sel_Versie,L_Kengetal,"BOR FY")=0,"n.b.",SUMIFS(L_Waarde,L_Actief,1,L_WBS,$A67,L_Doeljaar,Sel_Doeljaar,L_Versiejaar,P_VJ,L_Versie,Sel_Versie,L_Kengetal,"BOR FY"))/P_Factor,IF(COUNTIFS(L_Actief,1,L_WBS,$A67,L_Doeljaar,Sel_Doeljaar,L_Versiejaar,P_VJ,L_Versie,Sel_Versie,L_Kengetal,"BOR FY")=0,"n.b.",SUMIFS(L_Waarde,L_Actief,1,L_WBS,$A67,L_Doeljaar,Sel_Doeljaar,L_Versiejaar,P_VJ,L_Versie,Sel_Versie,L_Kengetal,"BOR FY"))),IF(Sel_Bron="Concept",IF(ISNUMBER(IF(Sel_Doeljaar=P_RJ,VERW_Project!$Q63,IF(Sel_Doeljaar=P_RJ+1,VERW_Project!$S63,"n.b."))),IF(Sel_Doeljaar=P_RJ,VERW_Project!$Q63,IF(Sel_Doeljaar=P_RJ+1,VERW_Project!$S63,"n.b."))/P_Factor,IF(Sel_Doeljaar=P_RJ,VERW_Project!$Q63,IF(Sel_Doeljaar=P_RJ+1,VERW_Project!$S63,"n.b."))),"n.b.")))</f>
        <v/>
      </c>
      <c r="O67" s="63" t="str">
        <f>IF($A67="","",IF(AND(ISNUMBER(N67),ISNUMBER(K67)),IF(K67&lt;&gt;0,N67/K67,"n.b."),"n.b."))</f>
        <v/>
      </c>
      <c r="P67" s="41" t="str">
        <f>IF($A67="","",IF(AND(ISNUMBER(K67),ISNUMBER(E67)),K67-E67,"n.b."))</f>
        <v/>
      </c>
      <c r="Q67" s="41" t="str">
        <f>IF($A67="","",IF(AND(ISNUMBER(K67),ISNUMBER(W67)),K67-W67,"n.b."))</f>
        <v/>
      </c>
      <c r="R67" s="64" t="str">
        <f>IF($A67="","",IF(ISNUMBER(N67),IF(N67&lt;0,"Verlies",""),""))</f>
        <v/>
      </c>
      <c r="S67" s="61" t="str">
        <f>IF($A67="","",IFERROR(INDEX(T_Txt,MATCH($A67&amp;"|"&amp;Sel_Doeljaar&amp;"|"&amp;P_VJ&amp;"|"&amp;Sel_Versie,T_Key,0)),""))</f>
        <v/>
      </c>
      <c r="U67" s="15" t="str">
        <f>IF(AND(AND($A67&lt;&gt;"",OR(Sel_Type="Alle",$C67=Sel_Type),OR(Sel_Project="Alle",$B67=Sel_Project)),ISNUMBER(K67)),K67+ROW()/1000000000,"")</f>
        <v/>
      </c>
      <c r="V67" s="15" t="str">
        <f>IF(AND(AND($A67&lt;&gt;"",OR(Sel_Type="Alle",$C67=Sel_Type),OR(Sel_Project="Alle",$B67=Sel_Project)),ISNUMBER(Q67)),ABS(Q67)+ROW()/1000000000,"")</f>
        <v/>
      </c>
      <c r="W67" s="15" t="str">
        <f>IF(OR($A67="",Sel_Prev=""),"n.b.",IF(ISNUMBER(IF(COUNTIFS(L_Actief,1,L_WBS,$A67,L_Doeljaar,Sel_Doeljaar,L_Versiejaar,P_VJ,L_Versie,Sel_Prev,L_Kengetal,"Omzet FY")=0,"n.b.",SUMIFS(L_Waarde,L_Actief,1,L_WBS,$A67,L_Doeljaar,Sel_Doeljaar,L_Versiejaar,P_VJ,L_Versie,Sel_Prev,L_Kengetal,"Omzet FY"))),IF(COUNTIFS(L_Actief,1,L_WBS,$A67,L_Doeljaar,Sel_Doeljaar,L_Versiejaar,P_VJ,L_Versie,Sel_Prev,L_Kengetal,"Omzet FY")=0,"n.b.",SUMIFS(L_Waarde,L_Actief,1,L_WBS,$A67,L_Doeljaar,Sel_Doeljaar,L_Versiejaar,P_VJ,L_Versie,Sel_Prev,L_Kengetal,"Omzet FY"))/P_Factor,IF(COUNTIFS(L_Actief,1,L_WBS,$A67,L_Doeljaar,Sel_Doeljaar,L_Versiejaar,P_VJ,L_Versie,Sel_Prev,L_Kengetal,"Omzet FY")=0,"n.b.",SUMIFS(L_Waarde,L_Actief,1,L_WBS,$A67,L_Doeljaar,Sel_Doeljaar,L_Versiejaar,P_VJ,L_Versie,Sel_Prev,L_Kengetal,"Omzet FY"))))</f>
        <v>n.b.</v>
      </c>
    </row>
    <row r="68">
      <c r="A68" s="61" t="str">
        <f>IF(VERW_Project!$A64="","",VERW_Project!$A64)</f>
        <v/>
      </c>
      <c r="B68" s="61" t="str">
        <f>IF($A68="","",VERW_Project!$C64)</f>
        <v/>
      </c>
      <c r="C68" s="61" t="str">
        <f>IF($A68="","",VERW_Project!$D64)</f>
        <v/>
      </c>
      <c r="D68" s="61" t="str">
        <f>IF($A68="","",VERW_Project!$I64)</f>
        <v/>
      </c>
      <c r="E68" s="41" t="str">
        <f>IF($A68="","",IF(ISNUMBER(IF(COUNTIFS(L_Actief,1,L_WBS,$A68,L_Doeljaar,Sel_Doeljaar,L_Versiejaar,P_VJ,L_Versie,E$8,L_Kengetal,"Omzet FY")=0,"n.b.",SUMIFS(L_Waarde,L_Actief,1,L_WBS,$A68,L_Doeljaar,Sel_Doeljaar,L_Versiejaar,P_VJ,L_Versie,E$8,L_Kengetal,"Omzet FY"))),IF(COUNTIFS(L_Actief,1,L_WBS,$A68,L_Doeljaar,Sel_Doeljaar,L_Versiejaar,P_VJ,L_Versie,E$8,L_Kengetal,"Omzet FY")=0,"n.b.",SUMIFS(L_Waarde,L_Actief,1,L_WBS,$A68,L_Doeljaar,Sel_Doeljaar,L_Versiejaar,P_VJ,L_Versie,E$8,L_Kengetal,"Omzet FY"))/P_Factor,IF(COUNTIFS(L_Actief,1,L_WBS,$A68,L_Doeljaar,Sel_Doeljaar,L_Versiejaar,P_VJ,L_Versie,E$8,L_Kengetal,"Omzet FY")=0,"n.b.",SUMIFS(L_Waarde,L_Actief,1,L_WBS,$A68,L_Doeljaar,Sel_Doeljaar,L_Versiejaar,P_VJ,L_Versie,E$8,L_Kengetal,"Omzet FY"))))</f>
        <v/>
      </c>
      <c r="F68" s="41" t="str">
        <f>IF($A68="","",IF(ISNUMBER(IF(COUNTIFS(L_Actief,1,L_WBS,$A68,L_Doeljaar,Sel_Doeljaar,L_Versiejaar,P_VJ,L_Versie,F$8,L_Kengetal,"Omzet FY")=0,"n.b.",SUMIFS(L_Waarde,L_Actief,1,L_WBS,$A68,L_Doeljaar,Sel_Doeljaar,L_Versiejaar,P_VJ,L_Versie,F$8,L_Kengetal,"Omzet FY"))),IF(COUNTIFS(L_Actief,1,L_WBS,$A68,L_Doeljaar,Sel_Doeljaar,L_Versiejaar,P_VJ,L_Versie,F$8,L_Kengetal,"Omzet FY")=0,"n.b.",SUMIFS(L_Waarde,L_Actief,1,L_WBS,$A68,L_Doeljaar,Sel_Doeljaar,L_Versiejaar,P_VJ,L_Versie,F$8,L_Kengetal,"Omzet FY"))/P_Factor,IF(COUNTIFS(L_Actief,1,L_WBS,$A68,L_Doeljaar,Sel_Doeljaar,L_Versiejaar,P_VJ,L_Versie,F$8,L_Kengetal,"Omzet FY")=0,"n.b.",SUMIFS(L_Waarde,L_Actief,1,L_WBS,$A68,L_Doeljaar,Sel_Doeljaar,L_Versiejaar,P_VJ,L_Versie,F$8,L_Kengetal,"Omzet FY"))))</f>
        <v/>
      </c>
      <c r="G68" s="41" t="str">
        <f>IF($A68="","",IF(ISNUMBER(IF(COUNTIFS(L_Actief,1,L_WBS,$A68,L_Doeljaar,Sel_Doeljaar,L_Versiejaar,P_VJ,L_Versie,G$8,L_Kengetal,"Omzet FY")=0,"n.b.",SUMIFS(L_Waarde,L_Actief,1,L_WBS,$A68,L_Doeljaar,Sel_Doeljaar,L_Versiejaar,P_VJ,L_Versie,G$8,L_Kengetal,"Omzet FY"))),IF(COUNTIFS(L_Actief,1,L_WBS,$A68,L_Doeljaar,Sel_Doeljaar,L_Versiejaar,P_VJ,L_Versie,G$8,L_Kengetal,"Omzet FY")=0,"n.b.",SUMIFS(L_Waarde,L_Actief,1,L_WBS,$A68,L_Doeljaar,Sel_Doeljaar,L_Versiejaar,P_VJ,L_Versie,G$8,L_Kengetal,"Omzet FY"))/P_Factor,IF(COUNTIFS(L_Actief,1,L_WBS,$A68,L_Doeljaar,Sel_Doeljaar,L_Versiejaar,P_VJ,L_Versie,G$8,L_Kengetal,"Omzet FY")=0,"n.b.",SUMIFS(L_Waarde,L_Actief,1,L_WBS,$A68,L_Doeljaar,Sel_Doeljaar,L_Versiejaar,P_VJ,L_Versie,G$8,L_Kengetal,"Omzet FY"))))</f>
        <v/>
      </c>
      <c r="H68" s="41" t="str">
        <f>IF($A68="","",IF(ISNUMBER(IF(COUNTIFS(L_Actief,1,L_WBS,$A68,L_Doeljaar,Sel_Doeljaar,L_Versiejaar,P_VJ,L_Versie,H$8,L_Kengetal,"Omzet FY")=0,"n.b.",SUMIFS(L_Waarde,L_Actief,1,L_WBS,$A68,L_Doeljaar,Sel_Doeljaar,L_Versiejaar,P_VJ,L_Versie,H$8,L_Kengetal,"Omzet FY"))),IF(COUNTIFS(L_Actief,1,L_WBS,$A68,L_Doeljaar,Sel_Doeljaar,L_Versiejaar,P_VJ,L_Versie,H$8,L_Kengetal,"Omzet FY")=0,"n.b.",SUMIFS(L_Waarde,L_Actief,1,L_WBS,$A68,L_Doeljaar,Sel_Doeljaar,L_Versiejaar,P_VJ,L_Versie,H$8,L_Kengetal,"Omzet FY"))/P_Factor,IF(COUNTIFS(L_Actief,1,L_WBS,$A68,L_Doeljaar,Sel_Doeljaar,L_Versiejaar,P_VJ,L_Versie,H$8,L_Kengetal,"Omzet FY")=0,"n.b.",SUMIFS(L_Waarde,L_Actief,1,L_WBS,$A68,L_Doeljaar,Sel_Doeljaar,L_Versiejaar,P_VJ,L_Versie,H$8,L_Kengetal,"Omzet FY"))))</f>
        <v/>
      </c>
      <c r="I68" s="41" t="str">
        <f>IF($A68="","",IF(ISNUMBER(IF(COUNTIFS(L_Actief,1,L_WBS,$A68,L_Doeljaar,Sel_Doeljaar,L_Versiejaar,P_VJ,L_Versie,I$8,L_Kengetal,"Omzet FY")=0,"n.b.",SUMIFS(L_Waarde,L_Actief,1,L_WBS,$A68,L_Doeljaar,Sel_Doeljaar,L_Versiejaar,P_VJ,L_Versie,I$8,L_Kengetal,"Omzet FY"))),IF(COUNTIFS(L_Actief,1,L_WBS,$A68,L_Doeljaar,Sel_Doeljaar,L_Versiejaar,P_VJ,L_Versie,I$8,L_Kengetal,"Omzet FY")=0,"n.b.",SUMIFS(L_Waarde,L_Actief,1,L_WBS,$A68,L_Doeljaar,Sel_Doeljaar,L_Versiejaar,P_VJ,L_Versie,I$8,L_Kengetal,"Omzet FY"))/P_Factor,IF(COUNTIFS(L_Actief,1,L_WBS,$A68,L_Doeljaar,Sel_Doeljaar,L_Versiejaar,P_VJ,L_Versie,I$8,L_Kengetal,"Omzet FY")=0,"n.b.",SUMIFS(L_Waarde,L_Actief,1,L_WBS,$A68,L_Doeljaar,Sel_Doeljaar,L_Versiejaar,P_VJ,L_Versie,I$8,L_Kengetal,"Omzet FY"))))</f>
        <v/>
      </c>
      <c r="J68" s="41" t="str">
        <f>IF($A68="","",IF(ISNUMBER(IF(Sel_Doeljaar=P_RJ,VERW_Project!$P64,IF(Sel_Doeljaar=P_RJ+1,VERW_Project!$R64,"n.b."))),IF(Sel_Doeljaar=P_RJ,VERW_Project!$P64,IF(Sel_Doeljaar=P_RJ+1,VERW_Project!$R64,"n.b."))/P_Factor,IF(Sel_Doeljaar=P_RJ,VERW_Project!$P64,IF(Sel_Doeljaar=P_RJ+1,VERW_Project!$R64,"n.b."))))</f>
        <v/>
      </c>
      <c r="K68" s="41" t="str">
        <f>IF($A68="","",IF(Sel_Bron="Vastgesteld",INDEX($E68:$I68,MATCH(Sel_Versie,$E$8:$I$8,0)),IF(Sel_Bron="Concept",J68,"n.b.")))</f>
        <v/>
      </c>
      <c r="L68" s="62" t="str">
        <f>IF($A68="","",IF(Sel_Doeljaar&gt;P_VJ,"n.v.t.",IF(Sel_Bron="Vastgesteld",IF(ISNUMBER(IF(COUNTIFS(L_Actief,1,L_WBS,$A68,L_Doeljaar,Sel_Doeljaar,L_Versiejaar,P_VJ,L_Versie,Sel_Versie,L_Kengetal,"Omzet actual YTD")=0,"n.b.",SUMIFS(L_Waarde,L_Actief,1,L_WBS,$A68,L_Doeljaar,Sel_Doeljaar,L_Versiejaar,P_VJ,L_Versie,Sel_Versie,L_Kengetal,"Omzet actual YTD"))),IF(COUNTIFS(L_Actief,1,L_WBS,$A68,L_Doeljaar,Sel_Doeljaar,L_Versiejaar,P_VJ,L_Versie,Sel_Versie,L_Kengetal,"Omzet actual YTD")=0,"n.b.",SUMIFS(L_Waarde,L_Actief,1,L_WBS,$A68,L_Doeljaar,Sel_Doeljaar,L_Versiejaar,P_VJ,L_Versie,Sel_Versie,L_Kengetal,"Omzet actual YTD"))/P_Factor,IF(COUNTIFS(L_Actief,1,L_WBS,$A68,L_Doeljaar,Sel_Doeljaar,L_Versiejaar,P_VJ,L_Versie,Sel_Versie,L_Kengetal,"Omzet actual YTD")=0,"n.b.",SUMIFS(L_Waarde,L_Actief,1,L_WBS,$A68,L_Doeljaar,Sel_Doeljaar,L_Versiejaar,P_VJ,L_Versie,Sel_Versie,L_Kengetal,"Omzet actual YTD"))),IF(Sel_Bron="Concept",IF(ISNUMBER(IF(Sel_Doeljaar=P_RJ,VERW_Project!$L64,"n.v.t.")),IF(Sel_Doeljaar=P_RJ,VERW_Project!$L64,"n.v.t.")/P_Factor,IF(Sel_Doeljaar=P_RJ,VERW_Project!$L64,"n.v.t.")),"n.b."))))</f>
        <v/>
      </c>
      <c r="M68" s="41" t="str">
        <f>IF($A68="","",IF(L68="n.v.t.",K68,IF(AND(ISNUMBER(K68),ISNUMBER(L68)),K68-L68,"n.b.")))</f>
        <v/>
      </c>
      <c r="N68" s="41" t="str">
        <f>IF($A68="","",IF(Sel_Bron="Vastgesteld",IF(ISNUMBER(IF(COUNTIFS(L_Actief,1,L_WBS,$A68,L_Doeljaar,Sel_Doeljaar,L_Versiejaar,P_VJ,L_Versie,Sel_Versie,L_Kengetal,"BOR FY")=0,"n.b.",SUMIFS(L_Waarde,L_Actief,1,L_WBS,$A68,L_Doeljaar,Sel_Doeljaar,L_Versiejaar,P_VJ,L_Versie,Sel_Versie,L_Kengetal,"BOR FY"))),IF(COUNTIFS(L_Actief,1,L_WBS,$A68,L_Doeljaar,Sel_Doeljaar,L_Versiejaar,P_VJ,L_Versie,Sel_Versie,L_Kengetal,"BOR FY")=0,"n.b.",SUMIFS(L_Waarde,L_Actief,1,L_WBS,$A68,L_Doeljaar,Sel_Doeljaar,L_Versiejaar,P_VJ,L_Versie,Sel_Versie,L_Kengetal,"BOR FY"))/P_Factor,IF(COUNTIFS(L_Actief,1,L_WBS,$A68,L_Doeljaar,Sel_Doeljaar,L_Versiejaar,P_VJ,L_Versie,Sel_Versie,L_Kengetal,"BOR FY")=0,"n.b.",SUMIFS(L_Waarde,L_Actief,1,L_WBS,$A68,L_Doeljaar,Sel_Doeljaar,L_Versiejaar,P_VJ,L_Versie,Sel_Versie,L_Kengetal,"BOR FY"))),IF(Sel_Bron="Concept",IF(ISNUMBER(IF(Sel_Doeljaar=P_RJ,VERW_Project!$Q64,IF(Sel_Doeljaar=P_RJ+1,VERW_Project!$S64,"n.b."))),IF(Sel_Doeljaar=P_RJ,VERW_Project!$Q64,IF(Sel_Doeljaar=P_RJ+1,VERW_Project!$S64,"n.b."))/P_Factor,IF(Sel_Doeljaar=P_RJ,VERW_Project!$Q64,IF(Sel_Doeljaar=P_RJ+1,VERW_Project!$S64,"n.b."))),"n.b.")))</f>
        <v/>
      </c>
      <c r="O68" s="63" t="str">
        <f>IF($A68="","",IF(AND(ISNUMBER(N68),ISNUMBER(K68)),IF(K68&lt;&gt;0,N68/K68,"n.b."),"n.b."))</f>
        <v/>
      </c>
      <c r="P68" s="41" t="str">
        <f>IF($A68="","",IF(AND(ISNUMBER(K68),ISNUMBER(E68)),K68-E68,"n.b."))</f>
        <v/>
      </c>
      <c r="Q68" s="41" t="str">
        <f>IF($A68="","",IF(AND(ISNUMBER(K68),ISNUMBER(W68)),K68-W68,"n.b."))</f>
        <v/>
      </c>
      <c r="R68" s="64" t="str">
        <f>IF($A68="","",IF(ISNUMBER(N68),IF(N68&lt;0,"Verlies",""),""))</f>
        <v/>
      </c>
      <c r="S68" s="61" t="str">
        <f>IF($A68="","",IFERROR(INDEX(T_Txt,MATCH($A68&amp;"|"&amp;Sel_Doeljaar&amp;"|"&amp;P_VJ&amp;"|"&amp;Sel_Versie,T_Key,0)),""))</f>
        <v/>
      </c>
      <c r="U68" s="15" t="str">
        <f>IF(AND(AND($A68&lt;&gt;"",OR(Sel_Type="Alle",$C68=Sel_Type),OR(Sel_Project="Alle",$B68=Sel_Project)),ISNUMBER(K68)),K68+ROW()/1000000000,"")</f>
        <v/>
      </c>
      <c r="V68" s="15" t="str">
        <f>IF(AND(AND($A68&lt;&gt;"",OR(Sel_Type="Alle",$C68=Sel_Type),OR(Sel_Project="Alle",$B68=Sel_Project)),ISNUMBER(Q68)),ABS(Q68)+ROW()/1000000000,"")</f>
        <v/>
      </c>
      <c r="W68" s="15" t="str">
        <f>IF(OR($A68="",Sel_Prev=""),"n.b.",IF(ISNUMBER(IF(COUNTIFS(L_Actief,1,L_WBS,$A68,L_Doeljaar,Sel_Doeljaar,L_Versiejaar,P_VJ,L_Versie,Sel_Prev,L_Kengetal,"Omzet FY")=0,"n.b.",SUMIFS(L_Waarde,L_Actief,1,L_WBS,$A68,L_Doeljaar,Sel_Doeljaar,L_Versiejaar,P_VJ,L_Versie,Sel_Prev,L_Kengetal,"Omzet FY"))),IF(COUNTIFS(L_Actief,1,L_WBS,$A68,L_Doeljaar,Sel_Doeljaar,L_Versiejaar,P_VJ,L_Versie,Sel_Prev,L_Kengetal,"Omzet FY")=0,"n.b.",SUMIFS(L_Waarde,L_Actief,1,L_WBS,$A68,L_Doeljaar,Sel_Doeljaar,L_Versiejaar,P_VJ,L_Versie,Sel_Prev,L_Kengetal,"Omzet FY"))/P_Factor,IF(COUNTIFS(L_Actief,1,L_WBS,$A68,L_Doeljaar,Sel_Doeljaar,L_Versiejaar,P_VJ,L_Versie,Sel_Prev,L_Kengetal,"Omzet FY")=0,"n.b.",SUMIFS(L_Waarde,L_Actief,1,L_WBS,$A68,L_Doeljaar,Sel_Doeljaar,L_Versiejaar,P_VJ,L_Versie,Sel_Prev,L_Kengetal,"Omzet FY"))))</f>
        <v>n.b.</v>
      </c>
    </row>
    <row r="69">
      <c r="A69" s="61" t="str">
        <f>IF(VERW_Project!$A65="","",VERW_Project!$A65)</f>
        <v/>
      </c>
      <c r="B69" s="61" t="str">
        <f>IF($A69="","",VERW_Project!$C65)</f>
        <v/>
      </c>
      <c r="C69" s="61" t="str">
        <f>IF($A69="","",VERW_Project!$D65)</f>
        <v/>
      </c>
      <c r="D69" s="61" t="str">
        <f>IF($A69="","",VERW_Project!$I65)</f>
        <v/>
      </c>
      <c r="E69" s="41" t="str">
        <f>IF($A69="","",IF(ISNUMBER(IF(COUNTIFS(L_Actief,1,L_WBS,$A69,L_Doeljaar,Sel_Doeljaar,L_Versiejaar,P_VJ,L_Versie,E$8,L_Kengetal,"Omzet FY")=0,"n.b.",SUMIFS(L_Waarde,L_Actief,1,L_WBS,$A69,L_Doeljaar,Sel_Doeljaar,L_Versiejaar,P_VJ,L_Versie,E$8,L_Kengetal,"Omzet FY"))),IF(COUNTIFS(L_Actief,1,L_WBS,$A69,L_Doeljaar,Sel_Doeljaar,L_Versiejaar,P_VJ,L_Versie,E$8,L_Kengetal,"Omzet FY")=0,"n.b.",SUMIFS(L_Waarde,L_Actief,1,L_WBS,$A69,L_Doeljaar,Sel_Doeljaar,L_Versiejaar,P_VJ,L_Versie,E$8,L_Kengetal,"Omzet FY"))/P_Factor,IF(COUNTIFS(L_Actief,1,L_WBS,$A69,L_Doeljaar,Sel_Doeljaar,L_Versiejaar,P_VJ,L_Versie,E$8,L_Kengetal,"Omzet FY")=0,"n.b.",SUMIFS(L_Waarde,L_Actief,1,L_WBS,$A69,L_Doeljaar,Sel_Doeljaar,L_Versiejaar,P_VJ,L_Versie,E$8,L_Kengetal,"Omzet FY"))))</f>
        <v/>
      </c>
      <c r="F69" s="41" t="str">
        <f>IF($A69="","",IF(ISNUMBER(IF(COUNTIFS(L_Actief,1,L_WBS,$A69,L_Doeljaar,Sel_Doeljaar,L_Versiejaar,P_VJ,L_Versie,F$8,L_Kengetal,"Omzet FY")=0,"n.b.",SUMIFS(L_Waarde,L_Actief,1,L_WBS,$A69,L_Doeljaar,Sel_Doeljaar,L_Versiejaar,P_VJ,L_Versie,F$8,L_Kengetal,"Omzet FY"))),IF(COUNTIFS(L_Actief,1,L_WBS,$A69,L_Doeljaar,Sel_Doeljaar,L_Versiejaar,P_VJ,L_Versie,F$8,L_Kengetal,"Omzet FY")=0,"n.b.",SUMIFS(L_Waarde,L_Actief,1,L_WBS,$A69,L_Doeljaar,Sel_Doeljaar,L_Versiejaar,P_VJ,L_Versie,F$8,L_Kengetal,"Omzet FY"))/P_Factor,IF(COUNTIFS(L_Actief,1,L_WBS,$A69,L_Doeljaar,Sel_Doeljaar,L_Versiejaar,P_VJ,L_Versie,F$8,L_Kengetal,"Omzet FY")=0,"n.b.",SUMIFS(L_Waarde,L_Actief,1,L_WBS,$A69,L_Doeljaar,Sel_Doeljaar,L_Versiejaar,P_VJ,L_Versie,F$8,L_Kengetal,"Omzet FY"))))</f>
        <v/>
      </c>
      <c r="G69" s="41" t="str">
        <f>IF($A69="","",IF(ISNUMBER(IF(COUNTIFS(L_Actief,1,L_WBS,$A69,L_Doeljaar,Sel_Doeljaar,L_Versiejaar,P_VJ,L_Versie,G$8,L_Kengetal,"Omzet FY")=0,"n.b.",SUMIFS(L_Waarde,L_Actief,1,L_WBS,$A69,L_Doeljaar,Sel_Doeljaar,L_Versiejaar,P_VJ,L_Versie,G$8,L_Kengetal,"Omzet FY"))),IF(COUNTIFS(L_Actief,1,L_WBS,$A69,L_Doeljaar,Sel_Doeljaar,L_Versiejaar,P_VJ,L_Versie,G$8,L_Kengetal,"Omzet FY")=0,"n.b.",SUMIFS(L_Waarde,L_Actief,1,L_WBS,$A69,L_Doeljaar,Sel_Doeljaar,L_Versiejaar,P_VJ,L_Versie,G$8,L_Kengetal,"Omzet FY"))/P_Factor,IF(COUNTIFS(L_Actief,1,L_WBS,$A69,L_Doeljaar,Sel_Doeljaar,L_Versiejaar,P_VJ,L_Versie,G$8,L_Kengetal,"Omzet FY")=0,"n.b.",SUMIFS(L_Waarde,L_Actief,1,L_WBS,$A69,L_Doeljaar,Sel_Doeljaar,L_Versiejaar,P_VJ,L_Versie,G$8,L_Kengetal,"Omzet FY"))))</f>
        <v/>
      </c>
      <c r="H69" s="41" t="str">
        <f>IF($A69="","",IF(ISNUMBER(IF(COUNTIFS(L_Actief,1,L_WBS,$A69,L_Doeljaar,Sel_Doeljaar,L_Versiejaar,P_VJ,L_Versie,H$8,L_Kengetal,"Omzet FY")=0,"n.b.",SUMIFS(L_Waarde,L_Actief,1,L_WBS,$A69,L_Doeljaar,Sel_Doeljaar,L_Versiejaar,P_VJ,L_Versie,H$8,L_Kengetal,"Omzet FY"))),IF(COUNTIFS(L_Actief,1,L_WBS,$A69,L_Doeljaar,Sel_Doeljaar,L_Versiejaar,P_VJ,L_Versie,H$8,L_Kengetal,"Omzet FY")=0,"n.b.",SUMIFS(L_Waarde,L_Actief,1,L_WBS,$A69,L_Doeljaar,Sel_Doeljaar,L_Versiejaar,P_VJ,L_Versie,H$8,L_Kengetal,"Omzet FY"))/P_Factor,IF(COUNTIFS(L_Actief,1,L_WBS,$A69,L_Doeljaar,Sel_Doeljaar,L_Versiejaar,P_VJ,L_Versie,H$8,L_Kengetal,"Omzet FY")=0,"n.b.",SUMIFS(L_Waarde,L_Actief,1,L_WBS,$A69,L_Doeljaar,Sel_Doeljaar,L_Versiejaar,P_VJ,L_Versie,H$8,L_Kengetal,"Omzet FY"))))</f>
        <v/>
      </c>
      <c r="I69" s="41" t="str">
        <f>IF($A69="","",IF(ISNUMBER(IF(COUNTIFS(L_Actief,1,L_WBS,$A69,L_Doeljaar,Sel_Doeljaar,L_Versiejaar,P_VJ,L_Versie,I$8,L_Kengetal,"Omzet FY")=0,"n.b.",SUMIFS(L_Waarde,L_Actief,1,L_WBS,$A69,L_Doeljaar,Sel_Doeljaar,L_Versiejaar,P_VJ,L_Versie,I$8,L_Kengetal,"Omzet FY"))),IF(COUNTIFS(L_Actief,1,L_WBS,$A69,L_Doeljaar,Sel_Doeljaar,L_Versiejaar,P_VJ,L_Versie,I$8,L_Kengetal,"Omzet FY")=0,"n.b.",SUMIFS(L_Waarde,L_Actief,1,L_WBS,$A69,L_Doeljaar,Sel_Doeljaar,L_Versiejaar,P_VJ,L_Versie,I$8,L_Kengetal,"Omzet FY"))/P_Factor,IF(COUNTIFS(L_Actief,1,L_WBS,$A69,L_Doeljaar,Sel_Doeljaar,L_Versiejaar,P_VJ,L_Versie,I$8,L_Kengetal,"Omzet FY")=0,"n.b.",SUMIFS(L_Waarde,L_Actief,1,L_WBS,$A69,L_Doeljaar,Sel_Doeljaar,L_Versiejaar,P_VJ,L_Versie,I$8,L_Kengetal,"Omzet FY"))))</f>
        <v/>
      </c>
      <c r="J69" s="41" t="str">
        <f>IF($A69="","",IF(ISNUMBER(IF(Sel_Doeljaar=P_RJ,VERW_Project!$P65,IF(Sel_Doeljaar=P_RJ+1,VERW_Project!$R65,"n.b."))),IF(Sel_Doeljaar=P_RJ,VERW_Project!$P65,IF(Sel_Doeljaar=P_RJ+1,VERW_Project!$R65,"n.b."))/P_Factor,IF(Sel_Doeljaar=P_RJ,VERW_Project!$P65,IF(Sel_Doeljaar=P_RJ+1,VERW_Project!$R65,"n.b."))))</f>
        <v/>
      </c>
      <c r="K69" s="41" t="str">
        <f>IF($A69="","",IF(Sel_Bron="Vastgesteld",INDEX($E69:$I69,MATCH(Sel_Versie,$E$8:$I$8,0)),IF(Sel_Bron="Concept",J69,"n.b.")))</f>
        <v/>
      </c>
      <c r="L69" s="62" t="str">
        <f>IF($A69="","",IF(Sel_Doeljaar&gt;P_VJ,"n.v.t.",IF(Sel_Bron="Vastgesteld",IF(ISNUMBER(IF(COUNTIFS(L_Actief,1,L_WBS,$A69,L_Doeljaar,Sel_Doeljaar,L_Versiejaar,P_VJ,L_Versie,Sel_Versie,L_Kengetal,"Omzet actual YTD")=0,"n.b.",SUMIFS(L_Waarde,L_Actief,1,L_WBS,$A69,L_Doeljaar,Sel_Doeljaar,L_Versiejaar,P_VJ,L_Versie,Sel_Versie,L_Kengetal,"Omzet actual YTD"))),IF(COUNTIFS(L_Actief,1,L_WBS,$A69,L_Doeljaar,Sel_Doeljaar,L_Versiejaar,P_VJ,L_Versie,Sel_Versie,L_Kengetal,"Omzet actual YTD")=0,"n.b.",SUMIFS(L_Waarde,L_Actief,1,L_WBS,$A69,L_Doeljaar,Sel_Doeljaar,L_Versiejaar,P_VJ,L_Versie,Sel_Versie,L_Kengetal,"Omzet actual YTD"))/P_Factor,IF(COUNTIFS(L_Actief,1,L_WBS,$A69,L_Doeljaar,Sel_Doeljaar,L_Versiejaar,P_VJ,L_Versie,Sel_Versie,L_Kengetal,"Omzet actual YTD")=0,"n.b.",SUMIFS(L_Waarde,L_Actief,1,L_WBS,$A69,L_Doeljaar,Sel_Doeljaar,L_Versiejaar,P_VJ,L_Versie,Sel_Versie,L_Kengetal,"Omzet actual YTD"))),IF(Sel_Bron="Concept",IF(ISNUMBER(IF(Sel_Doeljaar=P_RJ,VERW_Project!$L65,"n.v.t.")),IF(Sel_Doeljaar=P_RJ,VERW_Project!$L65,"n.v.t.")/P_Factor,IF(Sel_Doeljaar=P_RJ,VERW_Project!$L65,"n.v.t.")),"n.b."))))</f>
        <v/>
      </c>
      <c r="M69" s="41" t="str">
        <f>IF($A69="","",IF(L69="n.v.t.",K69,IF(AND(ISNUMBER(K69),ISNUMBER(L69)),K69-L69,"n.b.")))</f>
        <v/>
      </c>
      <c r="N69" s="41" t="str">
        <f>IF($A69="","",IF(Sel_Bron="Vastgesteld",IF(ISNUMBER(IF(COUNTIFS(L_Actief,1,L_WBS,$A69,L_Doeljaar,Sel_Doeljaar,L_Versiejaar,P_VJ,L_Versie,Sel_Versie,L_Kengetal,"BOR FY")=0,"n.b.",SUMIFS(L_Waarde,L_Actief,1,L_WBS,$A69,L_Doeljaar,Sel_Doeljaar,L_Versiejaar,P_VJ,L_Versie,Sel_Versie,L_Kengetal,"BOR FY"))),IF(COUNTIFS(L_Actief,1,L_WBS,$A69,L_Doeljaar,Sel_Doeljaar,L_Versiejaar,P_VJ,L_Versie,Sel_Versie,L_Kengetal,"BOR FY")=0,"n.b.",SUMIFS(L_Waarde,L_Actief,1,L_WBS,$A69,L_Doeljaar,Sel_Doeljaar,L_Versiejaar,P_VJ,L_Versie,Sel_Versie,L_Kengetal,"BOR FY"))/P_Factor,IF(COUNTIFS(L_Actief,1,L_WBS,$A69,L_Doeljaar,Sel_Doeljaar,L_Versiejaar,P_VJ,L_Versie,Sel_Versie,L_Kengetal,"BOR FY")=0,"n.b.",SUMIFS(L_Waarde,L_Actief,1,L_WBS,$A69,L_Doeljaar,Sel_Doeljaar,L_Versiejaar,P_VJ,L_Versie,Sel_Versie,L_Kengetal,"BOR FY"))),IF(Sel_Bron="Concept",IF(ISNUMBER(IF(Sel_Doeljaar=P_RJ,VERW_Project!$Q65,IF(Sel_Doeljaar=P_RJ+1,VERW_Project!$S65,"n.b."))),IF(Sel_Doeljaar=P_RJ,VERW_Project!$Q65,IF(Sel_Doeljaar=P_RJ+1,VERW_Project!$S65,"n.b."))/P_Factor,IF(Sel_Doeljaar=P_RJ,VERW_Project!$Q65,IF(Sel_Doeljaar=P_RJ+1,VERW_Project!$S65,"n.b."))),"n.b.")))</f>
        <v/>
      </c>
      <c r="O69" s="63" t="str">
        <f>IF($A69="","",IF(AND(ISNUMBER(N69),ISNUMBER(K69)),IF(K69&lt;&gt;0,N69/K69,"n.b."),"n.b."))</f>
        <v/>
      </c>
      <c r="P69" s="41" t="str">
        <f>IF($A69="","",IF(AND(ISNUMBER(K69),ISNUMBER(E69)),K69-E69,"n.b."))</f>
        <v/>
      </c>
      <c r="Q69" s="41" t="str">
        <f>IF($A69="","",IF(AND(ISNUMBER(K69),ISNUMBER(W69)),K69-W69,"n.b."))</f>
        <v/>
      </c>
      <c r="R69" s="64" t="str">
        <f>IF($A69="","",IF(ISNUMBER(N69),IF(N69&lt;0,"Verlies",""),""))</f>
        <v/>
      </c>
      <c r="S69" s="61" t="str">
        <f>IF($A69="","",IFERROR(INDEX(T_Txt,MATCH($A69&amp;"|"&amp;Sel_Doeljaar&amp;"|"&amp;P_VJ&amp;"|"&amp;Sel_Versie,T_Key,0)),""))</f>
        <v/>
      </c>
      <c r="U69" s="15" t="str">
        <f>IF(AND(AND($A69&lt;&gt;"",OR(Sel_Type="Alle",$C69=Sel_Type),OR(Sel_Project="Alle",$B69=Sel_Project)),ISNUMBER(K69)),K69+ROW()/1000000000,"")</f>
        <v/>
      </c>
      <c r="V69" s="15" t="str">
        <f>IF(AND(AND($A69&lt;&gt;"",OR(Sel_Type="Alle",$C69=Sel_Type),OR(Sel_Project="Alle",$B69=Sel_Project)),ISNUMBER(Q69)),ABS(Q69)+ROW()/1000000000,"")</f>
        <v/>
      </c>
      <c r="W69" s="15" t="str">
        <f>IF(OR($A69="",Sel_Prev=""),"n.b.",IF(ISNUMBER(IF(COUNTIFS(L_Actief,1,L_WBS,$A69,L_Doeljaar,Sel_Doeljaar,L_Versiejaar,P_VJ,L_Versie,Sel_Prev,L_Kengetal,"Omzet FY")=0,"n.b.",SUMIFS(L_Waarde,L_Actief,1,L_WBS,$A69,L_Doeljaar,Sel_Doeljaar,L_Versiejaar,P_VJ,L_Versie,Sel_Prev,L_Kengetal,"Omzet FY"))),IF(COUNTIFS(L_Actief,1,L_WBS,$A69,L_Doeljaar,Sel_Doeljaar,L_Versiejaar,P_VJ,L_Versie,Sel_Prev,L_Kengetal,"Omzet FY")=0,"n.b.",SUMIFS(L_Waarde,L_Actief,1,L_WBS,$A69,L_Doeljaar,Sel_Doeljaar,L_Versiejaar,P_VJ,L_Versie,Sel_Prev,L_Kengetal,"Omzet FY"))/P_Factor,IF(COUNTIFS(L_Actief,1,L_WBS,$A69,L_Doeljaar,Sel_Doeljaar,L_Versiejaar,P_VJ,L_Versie,Sel_Prev,L_Kengetal,"Omzet FY")=0,"n.b.",SUMIFS(L_Waarde,L_Actief,1,L_WBS,$A69,L_Doeljaar,Sel_Doeljaar,L_Versiejaar,P_VJ,L_Versie,Sel_Prev,L_Kengetal,"Omzet FY"))))</f>
        <v>n.b.</v>
      </c>
    </row>
    <row r="70">
      <c r="A70" s="61" t="str">
        <f>IF(VERW_Project!$A66="","",VERW_Project!$A66)</f>
        <v/>
      </c>
      <c r="B70" s="61" t="str">
        <f>IF($A70="","",VERW_Project!$C66)</f>
        <v/>
      </c>
      <c r="C70" s="61" t="str">
        <f>IF($A70="","",VERW_Project!$D66)</f>
        <v/>
      </c>
      <c r="D70" s="61" t="str">
        <f>IF($A70="","",VERW_Project!$I66)</f>
        <v/>
      </c>
      <c r="E70" s="41" t="str">
        <f>IF($A70="","",IF(ISNUMBER(IF(COUNTIFS(L_Actief,1,L_WBS,$A70,L_Doeljaar,Sel_Doeljaar,L_Versiejaar,P_VJ,L_Versie,E$8,L_Kengetal,"Omzet FY")=0,"n.b.",SUMIFS(L_Waarde,L_Actief,1,L_WBS,$A70,L_Doeljaar,Sel_Doeljaar,L_Versiejaar,P_VJ,L_Versie,E$8,L_Kengetal,"Omzet FY"))),IF(COUNTIFS(L_Actief,1,L_WBS,$A70,L_Doeljaar,Sel_Doeljaar,L_Versiejaar,P_VJ,L_Versie,E$8,L_Kengetal,"Omzet FY")=0,"n.b.",SUMIFS(L_Waarde,L_Actief,1,L_WBS,$A70,L_Doeljaar,Sel_Doeljaar,L_Versiejaar,P_VJ,L_Versie,E$8,L_Kengetal,"Omzet FY"))/P_Factor,IF(COUNTIFS(L_Actief,1,L_WBS,$A70,L_Doeljaar,Sel_Doeljaar,L_Versiejaar,P_VJ,L_Versie,E$8,L_Kengetal,"Omzet FY")=0,"n.b.",SUMIFS(L_Waarde,L_Actief,1,L_WBS,$A70,L_Doeljaar,Sel_Doeljaar,L_Versiejaar,P_VJ,L_Versie,E$8,L_Kengetal,"Omzet FY"))))</f>
        <v/>
      </c>
      <c r="F70" s="41" t="str">
        <f>IF($A70="","",IF(ISNUMBER(IF(COUNTIFS(L_Actief,1,L_WBS,$A70,L_Doeljaar,Sel_Doeljaar,L_Versiejaar,P_VJ,L_Versie,F$8,L_Kengetal,"Omzet FY")=0,"n.b.",SUMIFS(L_Waarde,L_Actief,1,L_WBS,$A70,L_Doeljaar,Sel_Doeljaar,L_Versiejaar,P_VJ,L_Versie,F$8,L_Kengetal,"Omzet FY"))),IF(COUNTIFS(L_Actief,1,L_WBS,$A70,L_Doeljaar,Sel_Doeljaar,L_Versiejaar,P_VJ,L_Versie,F$8,L_Kengetal,"Omzet FY")=0,"n.b.",SUMIFS(L_Waarde,L_Actief,1,L_WBS,$A70,L_Doeljaar,Sel_Doeljaar,L_Versiejaar,P_VJ,L_Versie,F$8,L_Kengetal,"Omzet FY"))/P_Factor,IF(COUNTIFS(L_Actief,1,L_WBS,$A70,L_Doeljaar,Sel_Doeljaar,L_Versiejaar,P_VJ,L_Versie,F$8,L_Kengetal,"Omzet FY")=0,"n.b.",SUMIFS(L_Waarde,L_Actief,1,L_WBS,$A70,L_Doeljaar,Sel_Doeljaar,L_Versiejaar,P_VJ,L_Versie,F$8,L_Kengetal,"Omzet FY"))))</f>
        <v/>
      </c>
      <c r="G70" s="41" t="str">
        <f>IF($A70="","",IF(ISNUMBER(IF(COUNTIFS(L_Actief,1,L_WBS,$A70,L_Doeljaar,Sel_Doeljaar,L_Versiejaar,P_VJ,L_Versie,G$8,L_Kengetal,"Omzet FY")=0,"n.b.",SUMIFS(L_Waarde,L_Actief,1,L_WBS,$A70,L_Doeljaar,Sel_Doeljaar,L_Versiejaar,P_VJ,L_Versie,G$8,L_Kengetal,"Omzet FY"))),IF(COUNTIFS(L_Actief,1,L_WBS,$A70,L_Doeljaar,Sel_Doeljaar,L_Versiejaar,P_VJ,L_Versie,G$8,L_Kengetal,"Omzet FY")=0,"n.b.",SUMIFS(L_Waarde,L_Actief,1,L_WBS,$A70,L_Doeljaar,Sel_Doeljaar,L_Versiejaar,P_VJ,L_Versie,G$8,L_Kengetal,"Omzet FY"))/P_Factor,IF(COUNTIFS(L_Actief,1,L_WBS,$A70,L_Doeljaar,Sel_Doeljaar,L_Versiejaar,P_VJ,L_Versie,G$8,L_Kengetal,"Omzet FY")=0,"n.b.",SUMIFS(L_Waarde,L_Actief,1,L_WBS,$A70,L_Doeljaar,Sel_Doeljaar,L_Versiejaar,P_VJ,L_Versie,G$8,L_Kengetal,"Omzet FY"))))</f>
        <v/>
      </c>
      <c r="H70" s="41" t="str">
        <f>IF($A70="","",IF(ISNUMBER(IF(COUNTIFS(L_Actief,1,L_WBS,$A70,L_Doeljaar,Sel_Doeljaar,L_Versiejaar,P_VJ,L_Versie,H$8,L_Kengetal,"Omzet FY")=0,"n.b.",SUMIFS(L_Waarde,L_Actief,1,L_WBS,$A70,L_Doeljaar,Sel_Doeljaar,L_Versiejaar,P_VJ,L_Versie,H$8,L_Kengetal,"Omzet FY"))),IF(COUNTIFS(L_Actief,1,L_WBS,$A70,L_Doeljaar,Sel_Doeljaar,L_Versiejaar,P_VJ,L_Versie,H$8,L_Kengetal,"Omzet FY")=0,"n.b.",SUMIFS(L_Waarde,L_Actief,1,L_WBS,$A70,L_Doeljaar,Sel_Doeljaar,L_Versiejaar,P_VJ,L_Versie,H$8,L_Kengetal,"Omzet FY"))/P_Factor,IF(COUNTIFS(L_Actief,1,L_WBS,$A70,L_Doeljaar,Sel_Doeljaar,L_Versiejaar,P_VJ,L_Versie,H$8,L_Kengetal,"Omzet FY")=0,"n.b.",SUMIFS(L_Waarde,L_Actief,1,L_WBS,$A70,L_Doeljaar,Sel_Doeljaar,L_Versiejaar,P_VJ,L_Versie,H$8,L_Kengetal,"Omzet FY"))))</f>
        <v/>
      </c>
      <c r="I70" s="41" t="str">
        <f>IF($A70="","",IF(ISNUMBER(IF(COUNTIFS(L_Actief,1,L_WBS,$A70,L_Doeljaar,Sel_Doeljaar,L_Versiejaar,P_VJ,L_Versie,I$8,L_Kengetal,"Omzet FY")=0,"n.b.",SUMIFS(L_Waarde,L_Actief,1,L_WBS,$A70,L_Doeljaar,Sel_Doeljaar,L_Versiejaar,P_VJ,L_Versie,I$8,L_Kengetal,"Omzet FY"))),IF(COUNTIFS(L_Actief,1,L_WBS,$A70,L_Doeljaar,Sel_Doeljaar,L_Versiejaar,P_VJ,L_Versie,I$8,L_Kengetal,"Omzet FY")=0,"n.b.",SUMIFS(L_Waarde,L_Actief,1,L_WBS,$A70,L_Doeljaar,Sel_Doeljaar,L_Versiejaar,P_VJ,L_Versie,I$8,L_Kengetal,"Omzet FY"))/P_Factor,IF(COUNTIFS(L_Actief,1,L_WBS,$A70,L_Doeljaar,Sel_Doeljaar,L_Versiejaar,P_VJ,L_Versie,I$8,L_Kengetal,"Omzet FY")=0,"n.b.",SUMIFS(L_Waarde,L_Actief,1,L_WBS,$A70,L_Doeljaar,Sel_Doeljaar,L_Versiejaar,P_VJ,L_Versie,I$8,L_Kengetal,"Omzet FY"))))</f>
        <v/>
      </c>
      <c r="J70" s="41" t="str">
        <f>IF($A70="","",IF(ISNUMBER(IF(Sel_Doeljaar=P_RJ,VERW_Project!$P66,IF(Sel_Doeljaar=P_RJ+1,VERW_Project!$R66,"n.b."))),IF(Sel_Doeljaar=P_RJ,VERW_Project!$P66,IF(Sel_Doeljaar=P_RJ+1,VERW_Project!$R66,"n.b."))/P_Factor,IF(Sel_Doeljaar=P_RJ,VERW_Project!$P66,IF(Sel_Doeljaar=P_RJ+1,VERW_Project!$R66,"n.b."))))</f>
        <v/>
      </c>
      <c r="K70" s="41" t="str">
        <f>IF($A70="","",IF(Sel_Bron="Vastgesteld",INDEX($E70:$I70,MATCH(Sel_Versie,$E$8:$I$8,0)),IF(Sel_Bron="Concept",J70,"n.b.")))</f>
        <v/>
      </c>
      <c r="L70" s="62" t="str">
        <f>IF($A70="","",IF(Sel_Doeljaar&gt;P_VJ,"n.v.t.",IF(Sel_Bron="Vastgesteld",IF(ISNUMBER(IF(COUNTIFS(L_Actief,1,L_WBS,$A70,L_Doeljaar,Sel_Doeljaar,L_Versiejaar,P_VJ,L_Versie,Sel_Versie,L_Kengetal,"Omzet actual YTD")=0,"n.b.",SUMIFS(L_Waarde,L_Actief,1,L_WBS,$A70,L_Doeljaar,Sel_Doeljaar,L_Versiejaar,P_VJ,L_Versie,Sel_Versie,L_Kengetal,"Omzet actual YTD"))),IF(COUNTIFS(L_Actief,1,L_WBS,$A70,L_Doeljaar,Sel_Doeljaar,L_Versiejaar,P_VJ,L_Versie,Sel_Versie,L_Kengetal,"Omzet actual YTD")=0,"n.b.",SUMIFS(L_Waarde,L_Actief,1,L_WBS,$A70,L_Doeljaar,Sel_Doeljaar,L_Versiejaar,P_VJ,L_Versie,Sel_Versie,L_Kengetal,"Omzet actual YTD"))/P_Factor,IF(COUNTIFS(L_Actief,1,L_WBS,$A70,L_Doeljaar,Sel_Doeljaar,L_Versiejaar,P_VJ,L_Versie,Sel_Versie,L_Kengetal,"Omzet actual YTD")=0,"n.b.",SUMIFS(L_Waarde,L_Actief,1,L_WBS,$A70,L_Doeljaar,Sel_Doeljaar,L_Versiejaar,P_VJ,L_Versie,Sel_Versie,L_Kengetal,"Omzet actual YTD"))),IF(Sel_Bron="Concept",IF(ISNUMBER(IF(Sel_Doeljaar=P_RJ,VERW_Project!$L66,"n.v.t.")),IF(Sel_Doeljaar=P_RJ,VERW_Project!$L66,"n.v.t.")/P_Factor,IF(Sel_Doeljaar=P_RJ,VERW_Project!$L66,"n.v.t.")),"n.b."))))</f>
        <v/>
      </c>
      <c r="M70" s="41" t="str">
        <f>IF($A70="","",IF(L70="n.v.t.",K70,IF(AND(ISNUMBER(K70),ISNUMBER(L70)),K70-L70,"n.b.")))</f>
        <v/>
      </c>
      <c r="N70" s="41" t="str">
        <f>IF($A70="","",IF(Sel_Bron="Vastgesteld",IF(ISNUMBER(IF(COUNTIFS(L_Actief,1,L_WBS,$A70,L_Doeljaar,Sel_Doeljaar,L_Versiejaar,P_VJ,L_Versie,Sel_Versie,L_Kengetal,"BOR FY")=0,"n.b.",SUMIFS(L_Waarde,L_Actief,1,L_WBS,$A70,L_Doeljaar,Sel_Doeljaar,L_Versiejaar,P_VJ,L_Versie,Sel_Versie,L_Kengetal,"BOR FY"))),IF(COUNTIFS(L_Actief,1,L_WBS,$A70,L_Doeljaar,Sel_Doeljaar,L_Versiejaar,P_VJ,L_Versie,Sel_Versie,L_Kengetal,"BOR FY")=0,"n.b.",SUMIFS(L_Waarde,L_Actief,1,L_WBS,$A70,L_Doeljaar,Sel_Doeljaar,L_Versiejaar,P_VJ,L_Versie,Sel_Versie,L_Kengetal,"BOR FY"))/P_Factor,IF(COUNTIFS(L_Actief,1,L_WBS,$A70,L_Doeljaar,Sel_Doeljaar,L_Versiejaar,P_VJ,L_Versie,Sel_Versie,L_Kengetal,"BOR FY")=0,"n.b.",SUMIFS(L_Waarde,L_Actief,1,L_WBS,$A70,L_Doeljaar,Sel_Doeljaar,L_Versiejaar,P_VJ,L_Versie,Sel_Versie,L_Kengetal,"BOR FY"))),IF(Sel_Bron="Concept",IF(ISNUMBER(IF(Sel_Doeljaar=P_RJ,VERW_Project!$Q66,IF(Sel_Doeljaar=P_RJ+1,VERW_Project!$S66,"n.b."))),IF(Sel_Doeljaar=P_RJ,VERW_Project!$Q66,IF(Sel_Doeljaar=P_RJ+1,VERW_Project!$S66,"n.b."))/P_Factor,IF(Sel_Doeljaar=P_RJ,VERW_Project!$Q66,IF(Sel_Doeljaar=P_RJ+1,VERW_Project!$S66,"n.b."))),"n.b.")))</f>
        <v/>
      </c>
      <c r="O70" s="63" t="str">
        <f>IF($A70="","",IF(AND(ISNUMBER(N70),ISNUMBER(K70)),IF(K70&lt;&gt;0,N70/K70,"n.b."),"n.b."))</f>
        <v/>
      </c>
      <c r="P70" s="41" t="str">
        <f>IF($A70="","",IF(AND(ISNUMBER(K70),ISNUMBER(E70)),K70-E70,"n.b."))</f>
        <v/>
      </c>
      <c r="Q70" s="41" t="str">
        <f>IF($A70="","",IF(AND(ISNUMBER(K70),ISNUMBER(W70)),K70-W70,"n.b."))</f>
        <v/>
      </c>
      <c r="R70" s="64" t="str">
        <f>IF($A70="","",IF(ISNUMBER(N70),IF(N70&lt;0,"Verlies",""),""))</f>
        <v/>
      </c>
      <c r="S70" s="61" t="str">
        <f>IF($A70="","",IFERROR(INDEX(T_Txt,MATCH($A70&amp;"|"&amp;Sel_Doeljaar&amp;"|"&amp;P_VJ&amp;"|"&amp;Sel_Versie,T_Key,0)),""))</f>
        <v/>
      </c>
      <c r="U70" s="15" t="str">
        <f>IF(AND(AND($A70&lt;&gt;"",OR(Sel_Type="Alle",$C70=Sel_Type),OR(Sel_Project="Alle",$B70=Sel_Project)),ISNUMBER(K70)),K70+ROW()/1000000000,"")</f>
        <v/>
      </c>
      <c r="V70" s="15" t="str">
        <f>IF(AND(AND($A70&lt;&gt;"",OR(Sel_Type="Alle",$C70=Sel_Type),OR(Sel_Project="Alle",$B70=Sel_Project)),ISNUMBER(Q70)),ABS(Q70)+ROW()/1000000000,"")</f>
        <v/>
      </c>
      <c r="W70" s="15" t="str">
        <f>IF(OR($A70="",Sel_Prev=""),"n.b.",IF(ISNUMBER(IF(COUNTIFS(L_Actief,1,L_WBS,$A70,L_Doeljaar,Sel_Doeljaar,L_Versiejaar,P_VJ,L_Versie,Sel_Prev,L_Kengetal,"Omzet FY")=0,"n.b.",SUMIFS(L_Waarde,L_Actief,1,L_WBS,$A70,L_Doeljaar,Sel_Doeljaar,L_Versiejaar,P_VJ,L_Versie,Sel_Prev,L_Kengetal,"Omzet FY"))),IF(COUNTIFS(L_Actief,1,L_WBS,$A70,L_Doeljaar,Sel_Doeljaar,L_Versiejaar,P_VJ,L_Versie,Sel_Prev,L_Kengetal,"Omzet FY")=0,"n.b.",SUMIFS(L_Waarde,L_Actief,1,L_WBS,$A70,L_Doeljaar,Sel_Doeljaar,L_Versiejaar,P_VJ,L_Versie,Sel_Prev,L_Kengetal,"Omzet FY"))/P_Factor,IF(COUNTIFS(L_Actief,1,L_WBS,$A70,L_Doeljaar,Sel_Doeljaar,L_Versiejaar,P_VJ,L_Versie,Sel_Prev,L_Kengetal,"Omzet FY")=0,"n.b.",SUMIFS(L_Waarde,L_Actief,1,L_WBS,$A70,L_Doeljaar,Sel_Doeljaar,L_Versiejaar,P_VJ,L_Versie,Sel_Prev,L_Kengetal,"Omzet FY"))))</f>
        <v>n.b.</v>
      </c>
    </row>
    <row r="71">
      <c r="A71" s="61" t="str">
        <f>IF(VERW_Project!$A67="","",VERW_Project!$A67)</f>
        <v/>
      </c>
      <c r="B71" s="61" t="str">
        <f>IF($A71="","",VERW_Project!$C67)</f>
        <v/>
      </c>
      <c r="C71" s="61" t="str">
        <f>IF($A71="","",VERW_Project!$D67)</f>
        <v/>
      </c>
      <c r="D71" s="61" t="str">
        <f>IF($A71="","",VERW_Project!$I67)</f>
        <v/>
      </c>
      <c r="E71" s="41" t="str">
        <f>IF($A71="","",IF(ISNUMBER(IF(COUNTIFS(L_Actief,1,L_WBS,$A71,L_Doeljaar,Sel_Doeljaar,L_Versiejaar,P_VJ,L_Versie,E$8,L_Kengetal,"Omzet FY")=0,"n.b.",SUMIFS(L_Waarde,L_Actief,1,L_WBS,$A71,L_Doeljaar,Sel_Doeljaar,L_Versiejaar,P_VJ,L_Versie,E$8,L_Kengetal,"Omzet FY"))),IF(COUNTIFS(L_Actief,1,L_WBS,$A71,L_Doeljaar,Sel_Doeljaar,L_Versiejaar,P_VJ,L_Versie,E$8,L_Kengetal,"Omzet FY")=0,"n.b.",SUMIFS(L_Waarde,L_Actief,1,L_WBS,$A71,L_Doeljaar,Sel_Doeljaar,L_Versiejaar,P_VJ,L_Versie,E$8,L_Kengetal,"Omzet FY"))/P_Factor,IF(COUNTIFS(L_Actief,1,L_WBS,$A71,L_Doeljaar,Sel_Doeljaar,L_Versiejaar,P_VJ,L_Versie,E$8,L_Kengetal,"Omzet FY")=0,"n.b.",SUMIFS(L_Waarde,L_Actief,1,L_WBS,$A71,L_Doeljaar,Sel_Doeljaar,L_Versiejaar,P_VJ,L_Versie,E$8,L_Kengetal,"Omzet FY"))))</f>
        <v/>
      </c>
      <c r="F71" s="41" t="str">
        <f>IF($A71="","",IF(ISNUMBER(IF(COUNTIFS(L_Actief,1,L_WBS,$A71,L_Doeljaar,Sel_Doeljaar,L_Versiejaar,P_VJ,L_Versie,F$8,L_Kengetal,"Omzet FY")=0,"n.b.",SUMIFS(L_Waarde,L_Actief,1,L_WBS,$A71,L_Doeljaar,Sel_Doeljaar,L_Versiejaar,P_VJ,L_Versie,F$8,L_Kengetal,"Omzet FY"))),IF(COUNTIFS(L_Actief,1,L_WBS,$A71,L_Doeljaar,Sel_Doeljaar,L_Versiejaar,P_VJ,L_Versie,F$8,L_Kengetal,"Omzet FY")=0,"n.b.",SUMIFS(L_Waarde,L_Actief,1,L_WBS,$A71,L_Doeljaar,Sel_Doeljaar,L_Versiejaar,P_VJ,L_Versie,F$8,L_Kengetal,"Omzet FY"))/P_Factor,IF(COUNTIFS(L_Actief,1,L_WBS,$A71,L_Doeljaar,Sel_Doeljaar,L_Versiejaar,P_VJ,L_Versie,F$8,L_Kengetal,"Omzet FY")=0,"n.b.",SUMIFS(L_Waarde,L_Actief,1,L_WBS,$A71,L_Doeljaar,Sel_Doeljaar,L_Versiejaar,P_VJ,L_Versie,F$8,L_Kengetal,"Omzet FY"))))</f>
        <v/>
      </c>
      <c r="G71" s="41" t="str">
        <f>IF($A71="","",IF(ISNUMBER(IF(COUNTIFS(L_Actief,1,L_WBS,$A71,L_Doeljaar,Sel_Doeljaar,L_Versiejaar,P_VJ,L_Versie,G$8,L_Kengetal,"Omzet FY")=0,"n.b.",SUMIFS(L_Waarde,L_Actief,1,L_WBS,$A71,L_Doeljaar,Sel_Doeljaar,L_Versiejaar,P_VJ,L_Versie,G$8,L_Kengetal,"Omzet FY"))),IF(COUNTIFS(L_Actief,1,L_WBS,$A71,L_Doeljaar,Sel_Doeljaar,L_Versiejaar,P_VJ,L_Versie,G$8,L_Kengetal,"Omzet FY")=0,"n.b.",SUMIFS(L_Waarde,L_Actief,1,L_WBS,$A71,L_Doeljaar,Sel_Doeljaar,L_Versiejaar,P_VJ,L_Versie,G$8,L_Kengetal,"Omzet FY"))/P_Factor,IF(COUNTIFS(L_Actief,1,L_WBS,$A71,L_Doeljaar,Sel_Doeljaar,L_Versiejaar,P_VJ,L_Versie,G$8,L_Kengetal,"Omzet FY")=0,"n.b.",SUMIFS(L_Waarde,L_Actief,1,L_WBS,$A71,L_Doeljaar,Sel_Doeljaar,L_Versiejaar,P_VJ,L_Versie,G$8,L_Kengetal,"Omzet FY"))))</f>
        <v/>
      </c>
      <c r="H71" s="41" t="str">
        <f>IF($A71="","",IF(ISNUMBER(IF(COUNTIFS(L_Actief,1,L_WBS,$A71,L_Doeljaar,Sel_Doeljaar,L_Versiejaar,P_VJ,L_Versie,H$8,L_Kengetal,"Omzet FY")=0,"n.b.",SUMIFS(L_Waarde,L_Actief,1,L_WBS,$A71,L_Doeljaar,Sel_Doeljaar,L_Versiejaar,P_VJ,L_Versie,H$8,L_Kengetal,"Omzet FY"))),IF(COUNTIFS(L_Actief,1,L_WBS,$A71,L_Doeljaar,Sel_Doeljaar,L_Versiejaar,P_VJ,L_Versie,H$8,L_Kengetal,"Omzet FY")=0,"n.b.",SUMIFS(L_Waarde,L_Actief,1,L_WBS,$A71,L_Doeljaar,Sel_Doeljaar,L_Versiejaar,P_VJ,L_Versie,H$8,L_Kengetal,"Omzet FY"))/P_Factor,IF(COUNTIFS(L_Actief,1,L_WBS,$A71,L_Doeljaar,Sel_Doeljaar,L_Versiejaar,P_VJ,L_Versie,H$8,L_Kengetal,"Omzet FY")=0,"n.b.",SUMIFS(L_Waarde,L_Actief,1,L_WBS,$A71,L_Doeljaar,Sel_Doeljaar,L_Versiejaar,P_VJ,L_Versie,H$8,L_Kengetal,"Omzet FY"))))</f>
        <v/>
      </c>
      <c r="I71" s="41" t="str">
        <f>IF($A71="","",IF(ISNUMBER(IF(COUNTIFS(L_Actief,1,L_WBS,$A71,L_Doeljaar,Sel_Doeljaar,L_Versiejaar,P_VJ,L_Versie,I$8,L_Kengetal,"Omzet FY")=0,"n.b.",SUMIFS(L_Waarde,L_Actief,1,L_WBS,$A71,L_Doeljaar,Sel_Doeljaar,L_Versiejaar,P_VJ,L_Versie,I$8,L_Kengetal,"Omzet FY"))),IF(COUNTIFS(L_Actief,1,L_WBS,$A71,L_Doeljaar,Sel_Doeljaar,L_Versiejaar,P_VJ,L_Versie,I$8,L_Kengetal,"Omzet FY")=0,"n.b.",SUMIFS(L_Waarde,L_Actief,1,L_WBS,$A71,L_Doeljaar,Sel_Doeljaar,L_Versiejaar,P_VJ,L_Versie,I$8,L_Kengetal,"Omzet FY"))/P_Factor,IF(COUNTIFS(L_Actief,1,L_WBS,$A71,L_Doeljaar,Sel_Doeljaar,L_Versiejaar,P_VJ,L_Versie,I$8,L_Kengetal,"Omzet FY")=0,"n.b.",SUMIFS(L_Waarde,L_Actief,1,L_WBS,$A71,L_Doeljaar,Sel_Doeljaar,L_Versiejaar,P_VJ,L_Versie,I$8,L_Kengetal,"Omzet FY"))))</f>
        <v/>
      </c>
      <c r="J71" s="41" t="str">
        <f>IF($A71="","",IF(ISNUMBER(IF(Sel_Doeljaar=P_RJ,VERW_Project!$P67,IF(Sel_Doeljaar=P_RJ+1,VERW_Project!$R67,"n.b."))),IF(Sel_Doeljaar=P_RJ,VERW_Project!$P67,IF(Sel_Doeljaar=P_RJ+1,VERW_Project!$R67,"n.b."))/P_Factor,IF(Sel_Doeljaar=P_RJ,VERW_Project!$P67,IF(Sel_Doeljaar=P_RJ+1,VERW_Project!$R67,"n.b."))))</f>
        <v/>
      </c>
      <c r="K71" s="41" t="str">
        <f>IF($A71="","",IF(Sel_Bron="Vastgesteld",INDEX($E71:$I71,MATCH(Sel_Versie,$E$8:$I$8,0)),IF(Sel_Bron="Concept",J71,"n.b.")))</f>
        <v/>
      </c>
      <c r="L71" s="62" t="str">
        <f>IF($A71="","",IF(Sel_Doeljaar&gt;P_VJ,"n.v.t.",IF(Sel_Bron="Vastgesteld",IF(ISNUMBER(IF(COUNTIFS(L_Actief,1,L_WBS,$A71,L_Doeljaar,Sel_Doeljaar,L_Versiejaar,P_VJ,L_Versie,Sel_Versie,L_Kengetal,"Omzet actual YTD")=0,"n.b.",SUMIFS(L_Waarde,L_Actief,1,L_WBS,$A71,L_Doeljaar,Sel_Doeljaar,L_Versiejaar,P_VJ,L_Versie,Sel_Versie,L_Kengetal,"Omzet actual YTD"))),IF(COUNTIFS(L_Actief,1,L_WBS,$A71,L_Doeljaar,Sel_Doeljaar,L_Versiejaar,P_VJ,L_Versie,Sel_Versie,L_Kengetal,"Omzet actual YTD")=0,"n.b.",SUMIFS(L_Waarde,L_Actief,1,L_WBS,$A71,L_Doeljaar,Sel_Doeljaar,L_Versiejaar,P_VJ,L_Versie,Sel_Versie,L_Kengetal,"Omzet actual YTD"))/P_Factor,IF(COUNTIFS(L_Actief,1,L_WBS,$A71,L_Doeljaar,Sel_Doeljaar,L_Versiejaar,P_VJ,L_Versie,Sel_Versie,L_Kengetal,"Omzet actual YTD")=0,"n.b.",SUMIFS(L_Waarde,L_Actief,1,L_WBS,$A71,L_Doeljaar,Sel_Doeljaar,L_Versiejaar,P_VJ,L_Versie,Sel_Versie,L_Kengetal,"Omzet actual YTD"))),IF(Sel_Bron="Concept",IF(ISNUMBER(IF(Sel_Doeljaar=P_RJ,VERW_Project!$L67,"n.v.t.")),IF(Sel_Doeljaar=P_RJ,VERW_Project!$L67,"n.v.t.")/P_Factor,IF(Sel_Doeljaar=P_RJ,VERW_Project!$L67,"n.v.t.")),"n.b."))))</f>
        <v/>
      </c>
      <c r="M71" s="41" t="str">
        <f>IF($A71="","",IF(L71="n.v.t.",K71,IF(AND(ISNUMBER(K71),ISNUMBER(L71)),K71-L71,"n.b.")))</f>
        <v/>
      </c>
      <c r="N71" s="41" t="str">
        <f>IF($A71="","",IF(Sel_Bron="Vastgesteld",IF(ISNUMBER(IF(COUNTIFS(L_Actief,1,L_WBS,$A71,L_Doeljaar,Sel_Doeljaar,L_Versiejaar,P_VJ,L_Versie,Sel_Versie,L_Kengetal,"BOR FY")=0,"n.b.",SUMIFS(L_Waarde,L_Actief,1,L_WBS,$A71,L_Doeljaar,Sel_Doeljaar,L_Versiejaar,P_VJ,L_Versie,Sel_Versie,L_Kengetal,"BOR FY"))),IF(COUNTIFS(L_Actief,1,L_WBS,$A71,L_Doeljaar,Sel_Doeljaar,L_Versiejaar,P_VJ,L_Versie,Sel_Versie,L_Kengetal,"BOR FY")=0,"n.b.",SUMIFS(L_Waarde,L_Actief,1,L_WBS,$A71,L_Doeljaar,Sel_Doeljaar,L_Versiejaar,P_VJ,L_Versie,Sel_Versie,L_Kengetal,"BOR FY"))/P_Factor,IF(COUNTIFS(L_Actief,1,L_WBS,$A71,L_Doeljaar,Sel_Doeljaar,L_Versiejaar,P_VJ,L_Versie,Sel_Versie,L_Kengetal,"BOR FY")=0,"n.b.",SUMIFS(L_Waarde,L_Actief,1,L_WBS,$A71,L_Doeljaar,Sel_Doeljaar,L_Versiejaar,P_VJ,L_Versie,Sel_Versie,L_Kengetal,"BOR FY"))),IF(Sel_Bron="Concept",IF(ISNUMBER(IF(Sel_Doeljaar=P_RJ,VERW_Project!$Q67,IF(Sel_Doeljaar=P_RJ+1,VERW_Project!$S67,"n.b."))),IF(Sel_Doeljaar=P_RJ,VERW_Project!$Q67,IF(Sel_Doeljaar=P_RJ+1,VERW_Project!$S67,"n.b."))/P_Factor,IF(Sel_Doeljaar=P_RJ,VERW_Project!$Q67,IF(Sel_Doeljaar=P_RJ+1,VERW_Project!$S67,"n.b."))),"n.b.")))</f>
        <v/>
      </c>
      <c r="O71" s="63" t="str">
        <f>IF($A71="","",IF(AND(ISNUMBER(N71),ISNUMBER(K71)),IF(K71&lt;&gt;0,N71/K71,"n.b."),"n.b."))</f>
        <v/>
      </c>
      <c r="P71" s="41" t="str">
        <f>IF($A71="","",IF(AND(ISNUMBER(K71),ISNUMBER(E71)),K71-E71,"n.b."))</f>
        <v/>
      </c>
      <c r="Q71" s="41" t="str">
        <f>IF($A71="","",IF(AND(ISNUMBER(K71),ISNUMBER(W71)),K71-W71,"n.b."))</f>
        <v/>
      </c>
      <c r="R71" s="64" t="str">
        <f>IF($A71="","",IF(ISNUMBER(N71),IF(N71&lt;0,"Verlies",""),""))</f>
        <v/>
      </c>
      <c r="S71" s="61" t="str">
        <f>IF($A71="","",IFERROR(INDEX(T_Txt,MATCH($A71&amp;"|"&amp;Sel_Doeljaar&amp;"|"&amp;P_VJ&amp;"|"&amp;Sel_Versie,T_Key,0)),""))</f>
        <v/>
      </c>
      <c r="U71" s="15" t="str">
        <f>IF(AND(AND($A71&lt;&gt;"",OR(Sel_Type="Alle",$C71=Sel_Type),OR(Sel_Project="Alle",$B71=Sel_Project)),ISNUMBER(K71)),K71+ROW()/1000000000,"")</f>
        <v/>
      </c>
      <c r="V71" s="15" t="str">
        <f>IF(AND(AND($A71&lt;&gt;"",OR(Sel_Type="Alle",$C71=Sel_Type),OR(Sel_Project="Alle",$B71=Sel_Project)),ISNUMBER(Q71)),ABS(Q71)+ROW()/1000000000,"")</f>
        <v/>
      </c>
      <c r="W71" s="15" t="str">
        <f>IF(OR($A71="",Sel_Prev=""),"n.b.",IF(ISNUMBER(IF(COUNTIFS(L_Actief,1,L_WBS,$A71,L_Doeljaar,Sel_Doeljaar,L_Versiejaar,P_VJ,L_Versie,Sel_Prev,L_Kengetal,"Omzet FY")=0,"n.b.",SUMIFS(L_Waarde,L_Actief,1,L_WBS,$A71,L_Doeljaar,Sel_Doeljaar,L_Versiejaar,P_VJ,L_Versie,Sel_Prev,L_Kengetal,"Omzet FY"))),IF(COUNTIFS(L_Actief,1,L_WBS,$A71,L_Doeljaar,Sel_Doeljaar,L_Versiejaar,P_VJ,L_Versie,Sel_Prev,L_Kengetal,"Omzet FY")=0,"n.b.",SUMIFS(L_Waarde,L_Actief,1,L_WBS,$A71,L_Doeljaar,Sel_Doeljaar,L_Versiejaar,P_VJ,L_Versie,Sel_Prev,L_Kengetal,"Omzet FY"))/P_Factor,IF(COUNTIFS(L_Actief,1,L_WBS,$A71,L_Doeljaar,Sel_Doeljaar,L_Versiejaar,P_VJ,L_Versie,Sel_Prev,L_Kengetal,"Omzet FY")=0,"n.b.",SUMIFS(L_Waarde,L_Actief,1,L_WBS,$A71,L_Doeljaar,Sel_Doeljaar,L_Versiejaar,P_VJ,L_Versie,Sel_Prev,L_Kengetal,"Omzet FY"))))</f>
        <v>n.b.</v>
      </c>
    </row>
    <row r="72">
      <c r="A72" s="61" t="str">
        <f>IF(VERW_Project!$A68="","",VERW_Project!$A68)</f>
        <v/>
      </c>
      <c r="B72" s="61" t="str">
        <f>IF($A72="","",VERW_Project!$C68)</f>
        <v/>
      </c>
      <c r="C72" s="61" t="str">
        <f>IF($A72="","",VERW_Project!$D68)</f>
        <v/>
      </c>
      <c r="D72" s="61" t="str">
        <f>IF($A72="","",VERW_Project!$I68)</f>
        <v/>
      </c>
      <c r="E72" s="41" t="str">
        <f>IF($A72="","",IF(ISNUMBER(IF(COUNTIFS(L_Actief,1,L_WBS,$A72,L_Doeljaar,Sel_Doeljaar,L_Versiejaar,P_VJ,L_Versie,E$8,L_Kengetal,"Omzet FY")=0,"n.b.",SUMIFS(L_Waarde,L_Actief,1,L_WBS,$A72,L_Doeljaar,Sel_Doeljaar,L_Versiejaar,P_VJ,L_Versie,E$8,L_Kengetal,"Omzet FY"))),IF(COUNTIFS(L_Actief,1,L_WBS,$A72,L_Doeljaar,Sel_Doeljaar,L_Versiejaar,P_VJ,L_Versie,E$8,L_Kengetal,"Omzet FY")=0,"n.b.",SUMIFS(L_Waarde,L_Actief,1,L_WBS,$A72,L_Doeljaar,Sel_Doeljaar,L_Versiejaar,P_VJ,L_Versie,E$8,L_Kengetal,"Omzet FY"))/P_Factor,IF(COUNTIFS(L_Actief,1,L_WBS,$A72,L_Doeljaar,Sel_Doeljaar,L_Versiejaar,P_VJ,L_Versie,E$8,L_Kengetal,"Omzet FY")=0,"n.b.",SUMIFS(L_Waarde,L_Actief,1,L_WBS,$A72,L_Doeljaar,Sel_Doeljaar,L_Versiejaar,P_VJ,L_Versie,E$8,L_Kengetal,"Omzet FY"))))</f>
        <v/>
      </c>
      <c r="F72" s="41" t="str">
        <f>IF($A72="","",IF(ISNUMBER(IF(COUNTIFS(L_Actief,1,L_WBS,$A72,L_Doeljaar,Sel_Doeljaar,L_Versiejaar,P_VJ,L_Versie,F$8,L_Kengetal,"Omzet FY")=0,"n.b.",SUMIFS(L_Waarde,L_Actief,1,L_WBS,$A72,L_Doeljaar,Sel_Doeljaar,L_Versiejaar,P_VJ,L_Versie,F$8,L_Kengetal,"Omzet FY"))),IF(COUNTIFS(L_Actief,1,L_WBS,$A72,L_Doeljaar,Sel_Doeljaar,L_Versiejaar,P_VJ,L_Versie,F$8,L_Kengetal,"Omzet FY")=0,"n.b.",SUMIFS(L_Waarde,L_Actief,1,L_WBS,$A72,L_Doeljaar,Sel_Doeljaar,L_Versiejaar,P_VJ,L_Versie,F$8,L_Kengetal,"Omzet FY"))/P_Factor,IF(COUNTIFS(L_Actief,1,L_WBS,$A72,L_Doeljaar,Sel_Doeljaar,L_Versiejaar,P_VJ,L_Versie,F$8,L_Kengetal,"Omzet FY")=0,"n.b.",SUMIFS(L_Waarde,L_Actief,1,L_WBS,$A72,L_Doeljaar,Sel_Doeljaar,L_Versiejaar,P_VJ,L_Versie,F$8,L_Kengetal,"Omzet FY"))))</f>
        <v/>
      </c>
      <c r="G72" s="41" t="str">
        <f>IF($A72="","",IF(ISNUMBER(IF(COUNTIFS(L_Actief,1,L_WBS,$A72,L_Doeljaar,Sel_Doeljaar,L_Versiejaar,P_VJ,L_Versie,G$8,L_Kengetal,"Omzet FY")=0,"n.b.",SUMIFS(L_Waarde,L_Actief,1,L_WBS,$A72,L_Doeljaar,Sel_Doeljaar,L_Versiejaar,P_VJ,L_Versie,G$8,L_Kengetal,"Omzet FY"))),IF(COUNTIFS(L_Actief,1,L_WBS,$A72,L_Doeljaar,Sel_Doeljaar,L_Versiejaar,P_VJ,L_Versie,G$8,L_Kengetal,"Omzet FY")=0,"n.b.",SUMIFS(L_Waarde,L_Actief,1,L_WBS,$A72,L_Doeljaar,Sel_Doeljaar,L_Versiejaar,P_VJ,L_Versie,G$8,L_Kengetal,"Omzet FY"))/P_Factor,IF(COUNTIFS(L_Actief,1,L_WBS,$A72,L_Doeljaar,Sel_Doeljaar,L_Versiejaar,P_VJ,L_Versie,G$8,L_Kengetal,"Omzet FY")=0,"n.b.",SUMIFS(L_Waarde,L_Actief,1,L_WBS,$A72,L_Doeljaar,Sel_Doeljaar,L_Versiejaar,P_VJ,L_Versie,G$8,L_Kengetal,"Omzet FY"))))</f>
        <v/>
      </c>
      <c r="H72" s="41" t="str">
        <f>IF($A72="","",IF(ISNUMBER(IF(COUNTIFS(L_Actief,1,L_WBS,$A72,L_Doeljaar,Sel_Doeljaar,L_Versiejaar,P_VJ,L_Versie,H$8,L_Kengetal,"Omzet FY")=0,"n.b.",SUMIFS(L_Waarde,L_Actief,1,L_WBS,$A72,L_Doeljaar,Sel_Doeljaar,L_Versiejaar,P_VJ,L_Versie,H$8,L_Kengetal,"Omzet FY"))),IF(COUNTIFS(L_Actief,1,L_WBS,$A72,L_Doeljaar,Sel_Doeljaar,L_Versiejaar,P_VJ,L_Versie,H$8,L_Kengetal,"Omzet FY")=0,"n.b.",SUMIFS(L_Waarde,L_Actief,1,L_WBS,$A72,L_Doeljaar,Sel_Doeljaar,L_Versiejaar,P_VJ,L_Versie,H$8,L_Kengetal,"Omzet FY"))/P_Factor,IF(COUNTIFS(L_Actief,1,L_WBS,$A72,L_Doeljaar,Sel_Doeljaar,L_Versiejaar,P_VJ,L_Versie,H$8,L_Kengetal,"Omzet FY")=0,"n.b.",SUMIFS(L_Waarde,L_Actief,1,L_WBS,$A72,L_Doeljaar,Sel_Doeljaar,L_Versiejaar,P_VJ,L_Versie,H$8,L_Kengetal,"Omzet FY"))))</f>
        <v/>
      </c>
      <c r="I72" s="41" t="str">
        <f>IF($A72="","",IF(ISNUMBER(IF(COUNTIFS(L_Actief,1,L_WBS,$A72,L_Doeljaar,Sel_Doeljaar,L_Versiejaar,P_VJ,L_Versie,I$8,L_Kengetal,"Omzet FY")=0,"n.b.",SUMIFS(L_Waarde,L_Actief,1,L_WBS,$A72,L_Doeljaar,Sel_Doeljaar,L_Versiejaar,P_VJ,L_Versie,I$8,L_Kengetal,"Omzet FY"))),IF(COUNTIFS(L_Actief,1,L_WBS,$A72,L_Doeljaar,Sel_Doeljaar,L_Versiejaar,P_VJ,L_Versie,I$8,L_Kengetal,"Omzet FY")=0,"n.b.",SUMIFS(L_Waarde,L_Actief,1,L_WBS,$A72,L_Doeljaar,Sel_Doeljaar,L_Versiejaar,P_VJ,L_Versie,I$8,L_Kengetal,"Omzet FY"))/P_Factor,IF(COUNTIFS(L_Actief,1,L_WBS,$A72,L_Doeljaar,Sel_Doeljaar,L_Versiejaar,P_VJ,L_Versie,I$8,L_Kengetal,"Omzet FY")=0,"n.b.",SUMIFS(L_Waarde,L_Actief,1,L_WBS,$A72,L_Doeljaar,Sel_Doeljaar,L_Versiejaar,P_VJ,L_Versie,I$8,L_Kengetal,"Omzet FY"))))</f>
        <v/>
      </c>
      <c r="J72" s="41" t="str">
        <f>IF($A72="","",IF(ISNUMBER(IF(Sel_Doeljaar=P_RJ,VERW_Project!$P68,IF(Sel_Doeljaar=P_RJ+1,VERW_Project!$R68,"n.b."))),IF(Sel_Doeljaar=P_RJ,VERW_Project!$P68,IF(Sel_Doeljaar=P_RJ+1,VERW_Project!$R68,"n.b."))/P_Factor,IF(Sel_Doeljaar=P_RJ,VERW_Project!$P68,IF(Sel_Doeljaar=P_RJ+1,VERW_Project!$R68,"n.b."))))</f>
        <v/>
      </c>
      <c r="K72" s="41" t="str">
        <f>IF($A72="","",IF(Sel_Bron="Vastgesteld",INDEX($E72:$I72,MATCH(Sel_Versie,$E$8:$I$8,0)),IF(Sel_Bron="Concept",J72,"n.b.")))</f>
        <v/>
      </c>
      <c r="L72" s="62" t="str">
        <f>IF($A72="","",IF(Sel_Doeljaar&gt;P_VJ,"n.v.t.",IF(Sel_Bron="Vastgesteld",IF(ISNUMBER(IF(COUNTIFS(L_Actief,1,L_WBS,$A72,L_Doeljaar,Sel_Doeljaar,L_Versiejaar,P_VJ,L_Versie,Sel_Versie,L_Kengetal,"Omzet actual YTD")=0,"n.b.",SUMIFS(L_Waarde,L_Actief,1,L_WBS,$A72,L_Doeljaar,Sel_Doeljaar,L_Versiejaar,P_VJ,L_Versie,Sel_Versie,L_Kengetal,"Omzet actual YTD"))),IF(COUNTIFS(L_Actief,1,L_WBS,$A72,L_Doeljaar,Sel_Doeljaar,L_Versiejaar,P_VJ,L_Versie,Sel_Versie,L_Kengetal,"Omzet actual YTD")=0,"n.b.",SUMIFS(L_Waarde,L_Actief,1,L_WBS,$A72,L_Doeljaar,Sel_Doeljaar,L_Versiejaar,P_VJ,L_Versie,Sel_Versie,L_Kengetal,"Omzet actual YTD"))/P_Factor,IF(COUNTIFS(L_Actief,1,L_WBS,$A72,L_Doeljaar,Sel_Doeljaar,L_Versiejaar,P_VJ,L_Versie,Sel_Versie,L_Kengetal,"Omzet actual YTD")=0,"n.b.",SUMIFS(L_Waarde,L_Actief,1,L_WBS,$A72,L_Doeljaar,Sel_Doeljaar,L_Versiejaar,P_VJ,L_Versie,Sel_Versie,L_Kengetal,"Omzet actual YTD"))),IF(Sel_Bron="Concept",IF(ISNUMBER(IF(Sel_Doeljaar=P_RJ,VERW_Project!$L68,"n.v.t.")),IF(Sel_Doeljaar=P_RJ,VERW_Project!$L68,"n.v.t.")/P_Factor,IF(Sel_Doeljaar=P_RJ,VERW_Project!$L68,"n.v.t.")),"n.b."))))</f>
        <v/>
      </c>
      <c r="M72" s="41" t="str">
        <f>IF($A72="","",IF(L72="n.v.t.",K72,IF(AND(ISNUMBER(K72),ISNUMBER(L72)),K72-L72,"n.b.")))</f>
        <v/>
      </c>
      <c r="N72" s="41" t="str">
        <f>IF($A72="","",IF(Sel_Bron="Vastgesteld",IF(ISNUMBER(IF(COUNTIFS(L_Actief,1,L_WBS,$A72,L_Doeljaar,Sel_Doeljaar,L_Versiejaar,P_VJ,L_Versie,Sel_Versie,L_Kengetal,"BOR FY")=0,"n.b.",SUMIFS(L_Waarde,L_Actief,1,L_WBS,$A72,L_Doeljaar,Sel_Doeljaar,L_Versiejaar,P_VJ,L_Versie,Sel_Versie,L_Kengetal,"BOR FY"))),IF(COUNTIFS(L_Actief,1,L_WBS,$A72,L_Doeljaar,Sel_Doeljaar,L_Versiejaar,P_VJ,L_Versie,Sel_Versie,L_Kengetal,"BOR FY")=0,"n.b.",SUMIFS(L_Waarde,L_Actief,1,L_WBS,$A72,L_Doeljaar,Sel_Doeljaar,L_Versiejaar,P_VJ,L_Versie,Sel_Versie,L_Kengetal,"BOR FY"))/P_Factor,IF(COUNTIFS(L_Actief,1,L_WBS,$A72,L_Doeljaar,Sel_Doeljaar,L_Versiejaar,P_VJ,L_Versie,Sel_Versie,L_Kengetal,"BOR FY")=0,"n.b.",SUMIFS(L_Waarde,L_Actief,1,L_WBS,$A72,L_Doeljaar,Sel_Doeljaar,L_Versiejaar,P_VJ,L_Versie,Sel_Versie,L_Kengetal,"BOR FY"))),IF(Sel_Bron="Concept",IF(ISNUMBER(IF(Sel_Doeljaar=P_RJ,VERW_Project!$Q68,IF(Sel_Doeljaar=P_RJ+1,VERW_Project!$S68,"n.b."))),IF(Sel_Doeljaar=P_RJ,VERW_Project!$Q68,IF(Sel_Doeljaar=P_RJ+1,VERW_Project!$S68,"n.b."))/P_Factor,IF(Sel_Doeljaar=P_RJ,VERW_Project!$Q68,IF(Sel_Doeljaar=P_RJ+1,VERW_Project!$S68,"n.b."))),"n.b.")))</f>
        <v/>
      </c>
      <c r="O72" s="63" t="str">
        <f>IF($A72="","",IF(AND(ISNUMBER(N72),ISNUMBER(K72)),IF(K72&lt;&gt;0,N72/K72,"n.b."),"n.b."))</f>
        <v/>
      </c>
      <c r="P72" s="41" t="str">
        <f>IF($A72="","",IF(AND(ISNUMBER(K72),ISNUMBER(E72)),K72-E72,"n.b."))</f>
        <v/>
      </c>
      <c r="Q72" s="41" t="str">
        <f>IF($A72="","",IF(AND(ISNUMBER(K72),ISNUMBER(W72)),K72-W72,"n.b."))</f>
        <v/>
      </c>
      <c r="R72" s="64" t="str">
        <f>IF($A72="","",IF(ISNUMBER(N72),IF(N72&lt;0,"Verlies",""),""))</f>
        <v/>
      </c>
      <c r="S72" s="61" t="str">
        <f>IF($A72="","",IFERROR(INDEX(T_Txt,MATCH($A72&amp;"|"&amp;Sel_Doeljaar&amp;"|"&amp;P_VJ&amp;"|"&amp;Sel_Versie,T_Key,0)),""))</f>
        <v/>
      </c>
      <c r="U72" s="15" t="str">
        <f>IF(AND(AND($A72&lt;&gt;"",OR(Sel_Type="Alle",$C72=Sel_Type),OR(Sel_Project="Alle",$B72=Sel_Project)),ISNUMBER(K72)),K72+ROW()/1000000000,"")</f>
        <v/>
      </c>
      <c r="V72" s="15" t="str">
        <f>IF(AND(AND($A72&lt;&gt;"",OR(Sel_Type="Alle",$C72=Sel_Type),OR(Sel_Project="Alle",$B72=Sel_Project)),ISNUMBER(Q72)),ABS(Q72)+ROW()/1000000000,"")</f>
        <v/>
      </c>
      <c r="W72" s="15" t="str">
        <f>IF(OR($A72="",Sel_Prev=""),"n.b.",IF(ISNUMBER(IF(COUNTIFS(L_Actief,1,L_WBS,$A72,L_Doeljaar,Sel_Doeljaar,L_Versiejaar,P_VJ,L_Versie,Sel_Prev,L_Kengetal,"Omzet FY")=0,"n.b.",SUMIFS(L_Waarde,L_Actief,1,L_WBS,$A72,L_Doeljaar,Sel_Doeljaar,L_Versiejaar,P_VJ,L_Versie,Sel_Prev,L_Kengetal,"Omzet FY"))),IF(COUNTIFS(L_Actief,1,L_WBS,$A72,L_Doeljaar,Sel_Doeljaar,L_Versiejaar,P_VJ,L_Versie,Sel_Prev,L_Kengetal,"Omzet FY")=0,"n.b.",SUMIFS(L_Waarde,L_Actief,1,L_WBS,$A72,L_Doeljaar,Sel_Doeljaar,L_Versiejaar,P_VJ,L_Versie,Sel_Prev,L_Kengetal,"Omzet FY"))/P_Factor,IF(COUNTIFS(L_Actief,1,L_WBS,$A72,L_Doeljaar,Sel_Doeljaar,L_Versiejaar,P_VJ,L_Versie,Sel_Prev,L_Kengetal,"Omzet FY")=0,"n.b.",SUMIFS(L_Waarde,L_Actief,1,L_WBS,$A72,L_Doeljaar,Sel_Doeljaar,L_Versiejaar,P_VJ,L_Versie,Sel_Prev,L_Kengetal,"Omzet FY"))))</f>
        <v>n.b.</v>
      </c>
    </row>
    <row r="73">
      <c r="A73" s="61" t="str">
        <f>IF(VERW_Project!$A69="","",VERW_Project!$A69)</f>
        <v/>
      </c>
      <c r="B73" s="61" t="str">
        <f>IF($A73="","",VERW_Project!$C69)</f>
        <v/>
      </c>
      <c r="C73" s="61" t="str">
        <f>IF($A73="","",VERW_Project!$D69)</f>
        <v/>
      </c>
      <c r="D73" s="61" t="str">
        <f>IF($A73="","",VERW_Project!$I69)</f>
        <v/>
      </c>
      <c r="E73" s="41" t="str">
        <f>IF($A73="","",IF(ISNUMBER(IF(COUNTIFS(L_Actief,1,L_WBS,$A73,L_Doeljaar,Sel_Doeljaar,L_Versiejaar,P_VJ,L_Versie,E$8,L_Kengetal,"Omzet FY")=0,"n.b.",SUMIFS(L_Waarde,L_Actief,1,L_WBS,$A73,L_Doeljaar,Sel_Doeljaar,L_Versiejaar,P_VJ,L_Versie,E$8,L_Kengetal,"Omzet FY"))),IF(COUNTIFS(L_Actief,1,L_WBS,$A73,L_Doeljaar,Sel_Doeljaar,L_Versiejaar,P_VJ,L_Versie,E$8,L_Kengetal,"Omzet FY")=0,"n.b.",SUMIFS(L_Waarde,L_Actief,1,L_WBS,$A73,L_Doeljaar,Sel_Doeljaar,L_Versiejaar,P_VJ,L_Versie,E$8,L_Kengetal,"Omzet FY"))/P_Factor,IF(COUNTIFS(L_Actief,1,L_WBS,$A73,L_Doeljaar,Sel_Doeljaar,L_Versiejaar,P_VJ,L_Versie,E$8,L_Kengetal,"Omzet FY")=0,"n.b.",SUMIFS(L_Waarde,L_Actief,1,L_WBS,$A73,L_Doeljaar,Sel_Doeljaar,L_Versiejaar,P_VJ,L_Versie,E$8,L_Kengetal,"Omzet FY"))))</f>
        <v/>
      </c>
      <c r="F73" s="41" t="str">
        <f>IF($A73="","",IF(ISNUMBER(IF(COUNTIFS(L_Actief,1,L_WBS,$A73,L_Doeljaar,Sel_Doeljaar,L_Versiejaar,P_VJ,L_Versie,F$8,L_Kengetal,"Omzet FY")=0,"n.b.",SUMIFS(L_Waarde,L_Actief,1,L_WBS,$A73,L_Doeljaar,Sel_Doeljaar,L_Versiejaar,P_VJ,L_Versie,F$8,L_Kengetal,"Omzet FY"))),IF(COUNTIFS(L_Actief,1,L_WBS,$A73,L_Doeljaar,Sel_Doeljaar,L_Versiejaar,P_VJ,L_Versie,F$8,L_Kengetal,"Omzet FY")=0,"n.b.",SUMIFS(L_Waarde,L_Actief,1,L_WBS,$A73,L_Doeljaar,Sel_Doeljaar,L_Versiejaar,P_VJ,L_Versie,F$8,L_Kengetal,"Omzet FY"))/P_Factor,IF(COUNTIFS(L_Actief,1,L_WBS,$A73,L_Doeljaar,Sel_Doeljaar,L_Versiejaar,P_VJ,L_Versie,F$8,L_Kengetal,"Omzet FY")=0,"n.b.",SUMIFS(L_Waarde,L_Actief,1,L_WBS,$A73,L_Doeljaar,Sel_Doeljaar,L_Versiejaar,P_VJ,L_Versie,F$8,L_Kengetal,"Omzet FY"))))</f>
        <v/>
      </c>
      <c r="G73" s="41" t="str">
        <f>IF($A73="","",IF(ISNUMBER(IF(COUNTIFS(L_Actief,1,L_WBS,$A73,L_Doeljaar,Sel_Doeljaar,L_Versiejaar,P_VJ,L_Versie,G$8,L_Kengetal,"Omzet FY")=0,"n.b.",SUMIFS(L_Waarde,L_Actief,1,L_WBS,$A73,L_Doeljaar,Sel_Doeljaar,L_Versiejaar,P_VJ,L_Versie,G$8,L_Kengetal,"Omzet FY"))),IF(COUNTIFS(L_Actief,1,L_WBS,$A73,L_Doeljaar,Sel_Doeljaar,L_Versiejaar,P_VJ,L_Versie,G$8,L_Kengetal,"Omzet FY")=0,"n.b.",SUMIFS(L_Waarde,L_Actief,1,L_WBS,$A73,L_Doeljaar,Sel_Doeljaar,L_Versiejaar,P_VJ,L_Versie,G$8,L_Kengetal,"Omzet FY"))/P_Factor,IF(COUNTIFS(L_Actief,1,L_WBS,$A73,L_Doeljaar,Sel_Doeljaar,L_Versiejaar,P_VJ,L_Versie,G$8,L_Kengetal,"Omzet FY")=0,"n.b.",SUMIFS(L_Waarde,L_Actief,1,L_WBS,$A73,L_Doeljaar,Sel_Doeljaar,L_Versiejaar,P_VJ,L_Versie,G$8,L_Kengetal,"Omzet FY"))))</f>
        <v/>
      </c>
      <c r="H73" s="41" t="str">
        <f>IF($A73="","",IF(ISNUMBER(IF(COUNTIFS(L_Actief,1,L_WBS,$A73,L_Doeljaar,Sel_Doeljaar,L_Versiejaar,P_VJ,L_Versie,H$8,L_Kengetal,"Omzet FY")=0,"n.b.",SUMIFS(L_Waarde,L_Actief,1,L_WBS,$A73,L_Doeljaar,Sel_Doeljaar,L_Versiejaar,P_VJ,L_Versie,H$8,L_Kengetal,"Omzet FY"))),IF(COUNTIFS(L_Actief,1,L_WBS,$A73,L_Doeljaar,Sel_Doeljaar,L_Versiejaar,P_VJ,L_Versie,H$8,L_Kengetal,"Omzet FY")=0,"n.b.",SUMIFS(L_Waarde,L_Actief,1,L_WBS,$A73,L_Doeljaar,Sel_Doeljaar,L_Versiejaar,P_VJ,L_Versie,H$8,L_Kengetal,"Omzet FY"))/P_Factor,IF(COUNTIFS(L_Actief,1,L_WBS,$A73,L_Doeljaar,Sel_Doeljaar,L_Versiejaar,P_VJ,L_Versie,H$8,L_Kengetal,"Omzet FY")=0,"n.b.",SUMIFS(L_Waarde,L_Actief,1,L_WBS,$A73,L_Doeljaar,Sel_Doeljaar,L_Versiejaar,P_VJ,L_Versie,H$8,L_Kengetal,"Omzet FY"))))</f>
        <v/>
      </c>
      <c r="I73" s="41" t="str">
        <f>IF($A73="","",IF(ISNUMBER(IF(COUNTIFS(L_Actief,1,L_WBS,$A73,L_Doeljaar,Sel_Doeljaar,L_Versiejaar,P_VJ,L_Versie,I$8,L_Kengetal,"Omzet FY")=0,"n.b.",SUMIFS(L_Waarde,L_Actief,1,L_WBS,$A73,L_Doeljaar,Sel_Doeljaar,L_Versiejaar,P_VJ,L_Versie,I$8,L_Kengetal,"Omzet FY"))),IF(COUNTIFS(L_Actief,1,L_WBS,$A73,L_Doeljaar,Sel_Doeljaar,L_Versiejaar,P_VJ,L_Versie,I$8,L_Kengetal,"Omzet FY")=0,"n.b.",SUMIFS(L_Waarde,L_Actief,1,L_WBS,$A73,L_Doeljaar,Sel_Doeljaar,L_Versiejaar,P_VJ,L_Versie,I$8,L_Kengetal,"Omzet FY"))/P_Factor,IF(COUNTIFS(L_Actief,1,L_WBS,$A73,L_Doeljaar,Sel_Doeljaar,L_Versiejaar,P_VJ,L_Versie,I$8,L_Kengetal,"Omzet FY")=0,"n.b.",SUMIFS(L_Waarde,L_Actief,1,L_WBS,$A73,L_Doeljaar,Sel_Doeljaar,L_Versiejaar,P_VJ,L_Versie,I$8,L_Kengetal,"Omzet FY"))))</f>
        <v/>
      </c>
      <c r="J73" s="41" t="str">
        <f>IF($A73="","",IF(ISNUMBER(IF(Sel_Doeljaar=P_RJ,VERW_Project!$P69,IF(Sel_Doeljaar=P_RJ+1,VERW_Project!$R69,"n.b."))),IF(Sel_Doeljaar=P_RJ,VERW_Project!$P69,IF(Sel_Doeljaar=P_RJ+1,VERW_Project!$R69,"n.b."))/P_Factor,IF(Sel_Doeljaar=P_RJ,VERW_Project!$P69,IF(Sel_Doeljaar=P_RJ+1,VERW_Project!$R69,"n.b."))))</f>
        <v/>
      </c>
      <c r="K73" s="41" t="str">
        <f>IF($A73="","",IF(Sel_Bron="Vastgesteld",INDEX($E73:$I73,MATCH(Sel_Versie,$E$8:$I$8,0)),IF(Sel_Bron="Concept",J73,"n.b.")))</f>
        <v/>
      </c>
      <c r="L73" s="62" t="str">
        <f>IF($A73="","",IF(Sel_Doeljaar&gt;P_VJ,"n.v.t.",IF(Sel_Bron="Vastgesteld",IF(ISNUMBER(IF(COUNTIFS(L_Actief,1,L_WBS,$A73,L_Doeljaar,Sel_Doeljaar,L_Versiejaar,P_VJ,L_Versie,Sel_Versie,L_Kengetal,"Omzet actual YTD")=0,"n.b.",SUMIFS(L_Waarde,L_Actief,1,L_WBS,$A73,L_Doeljaar,Sel_Doeljaar,L_Versiejaar,P_VJ,L_Versie,Sel_Versie,L_Kengetal,"Omzet actual YTD"))),IF(COUNTIFS(L_Actief,1,L_WBS,$A73,L_Doeljaar,Sel_Doeljaar,L_Versiejaar,P_VJ,L_Versie,Sel_Versie,L_Kengetal,"Omzet actual YTD")=0,"n.b.",SUMIFS(L_Waarde,L_Actief,1,L_WBS,$A73,L_Doeljaar,Sel_Doeljaar,L_Versiejaar,P_VJ,L_Versie,Sel_Versie,L_Kengetal,"Omzet actual YTD"))/P_Factor,IF(COUNTIFS(L_Actief,1,L_WBS,$A73,L_Doeljaar,Sel_Doeljaar,L_Versiejaar,P_VJ,L_Versie,Sel_Versie,L_Kengetal,"Omzet actual YTD")=0,"n.b.",SUMIFS(L_Waarde,L_Actief,1,L_WBS,$A73,L_Doeljaar,Sel_Doeljaar,L_Versiejaar,P_VJ,L_Versie,Sel_Versie,L_Kengetal,"Omzet actual YTD"))),IF(Sel_Bron="Concept",IF(ISNUMBER(IF(Sel_Doeljaar=P_RJ,VERW_Project!$L69,"n.v.t.")),IF(Sel_Doeljaar=P_RJ,VERW_Project!$L69,"n.v.t.")/P_Factor,IF(Sel_Doeljaar=P_RJ,VERW_Project!$L69,"n.v.t.")),"n.b."))))</f>
        <v/>
      </c>
      <c r="M73" s="41" t="str">
        <f>IF($A73="","",IF(L73="n.v.t.",K73,IF(AND(ISNUMBER(K73),ISNUMBER(L73)),K73-L73,"n.b.")))</f>
        <v/>
      </c>
      <c r="N73" s="41" t="str">
        <f>IF($A73="","",IF(Sel_Bron="Vastgesteld",IF(ISNUMBER(IF(COUNTIFS(L_Actief,1,L_WBS,$A73,L_Doeljaar,Sel_Doeljaar,L_Versiejaar,P_VJ,L_Versie,Sel_Versie,L_Kengetal,"BOR FY")=0,"n.b.",SUMIFS(L_Waarde,L_Actief,1,L_WBS,$A73,L_Doeljaar,Sel_Doeljaar,L_Versiejaar,P_VJ,L_Versie,Sel_Versie,L_Kengetal,"BOR FY"))),IF(COUNTIFS(L_Actief,1,L_WBS,$A73,L_Doeljaar,Sel_Doeljaar,L_Versiejaar,P_VJ,L_Versie,Sel_Versie,L_Kengetal,"BOR FY")=0,"n.b.",SUMIFS(L_Waarde,L_Actief,1,L_WBS,$A73,L_Doeljaar,Sel_Doeljaar,L_Versiejaar,P_VJ,L_Versie,Sel_Versie,L_Kengetal,"BOR FY"))/P_Factor,IF(COUNTIFS(L_Actief,1,L_WBS,$A73,L_Doeljaar,Sel_Doeljaar,L_Versiejaar,P_VJ,L_Versie,Sel_Versie,L_Kengetal,"BOR FY")=0,"n.b.",SUMIFS(L_Waarde,L_Actief,1,L_WBS,$A73,L_Doeljaar,Sel_Doeljaar,L_Versiejaar,P_VJ,L_Versie,Sel_Versie,L_Kengetal,"BOR FY"))),IF(Sel_Bron="Concept",IF(ISNUMBER(IF(Sel_Doeljaar=P_RJ,VERW_Project!$Q69,IF(Sel_Doeljaar=P_RJ+1,VERW_Project!$S69,"n.b."))),IF(Sel_Doeljaar=P_RJ,VERW_Project!$Q69,IF(Sel_Doeljaar=P_RJ+1,VERW_Project!$S69,"n.b."))/P_Factor,IF(Sel_Doeljaar=P_RJ,VERW_Project!$Q69,IF(Sel_Doeljaar=P_RJ+1,VERW_Project!$S69,"n.b."))),"n.b.")))</f>
        <v/>
      </c>
      <c r="O73" s="63" t="str">
        <f>IF($A73="","",IF(AND(ISNUMBER(N73),ISNUMBER(K73)),IF(K73&lt;&gt;0,N73/K73,"n.b."),"n.b."))</f>
        <v/>
      </c>
      <c r="P73" s="41" t="str">
        <f>IF($A73="","",IF(AND(ISNUMBER(K73),ISNUMBER(E73)),K73-E73,"n.b."))</f>
        <v/>
      </c>
      <c r="Q73" s="41" t="str">
        <f>IF($A73="","",IF(AND(ISNUMBER(K73),ISNUMBER(W73)),K73-W73,"n.b."))</f>
        <v/>
      </c>
      <c r="R73" s="64" t="str">
        <f>IF($A73="","",IF(ISNUMBER(N73),IF(N73&lt;0,"Verlies",""),""))</f>
        <v/>
      </c>
      <c r="S73" s="61" t="str">
        <f>IF($A73="","",IFERROR(INDEX(T_Txt,MATCH($A73&amp;"|"&amp;Sel_Doeljaar&amp;"|"&amp;P_VJ&amp;"|"&amp;Sel_Versie,T_Key,0)),""))</f>
        <v/>
      </c>
      <c r="U73" s="15" t="str">
        <f>IF(AND(AND($A73&lt;&gt;"",OR(Sel_Type="Alle",$C73=Sel_Type),OR(Sel_Project="Alle",$B73=Sel_Project)),ISNUMBER(K73)),K73+ROW()/1000000000,"")</f>
        <v/>
      </c>
      <c r="V73" s="15" t="str">
        <f>IF(AND(AND($A73&lt;&gt;"",OR(Sel_Type="Alle",$C73=Sel_Type),OR(Sel_Project="Alle",$B73=Sel_Project)),ISNUMBER(Q73)),ABS(Q73)+ROW()/1000000000,"")</f>
        <v/>
      </c>
      <c r="W73" s="15" t="str">
        <f>IF(OR($A73="",Sel_Prev=""),"n.b.",IF(ISNUMBER(IF(COUNTIFS(L_Actief,1,L_WBS,$A73,L_Doeljaar,Sel_Doeljaar,L_Versiejaar,P_VJ,L_Versie,Sel_Prev,L_Kengetal,"Omzet FY")=0,"n.b.",SUMIFS(L_Waarde,L_Actief,1,L_WBS,$A73,L_Doeljaar,Sel_Doeljaar,L_Versiejaar,P_VJ,L_Versie,Sel_Prev,L_Kengetal,"Omzet FY"))),IF(COUNTIFS(L_Actief,1,L_WBS,$A73,L_Doeljaar,Sel_Doeljaar,L_Versiejaar,P_VJ,L_Versie,Sel_Prev,L_Kengetal,"Omzet FY")=0,"n.b.",SUMIFS(L_Waarde,L_Actief,1,L_WBS,$A73,L_Doeljaar,Sel_Doeljaar,L_Versiejaar,P_VJ,L_Versie,Sel_Prev,L_Kengetal,"Omzet FY"))/P_Factor,IF(COUNTIFS(L_Actief,1,L_WBS,$A73,L_Doeljaar,Sel_Doeljaar,L_Versiejaar,P_VJ,L_Versie,Sel_Prev,L_Kengetal,"Omzet FY")=0,"n.b.",SUMIFS(L_Waarde,L_Actief,1,L_WBS,$A73,L_Doeljaar,Sel_Doeljaar,L_Versiejaar,P_VJ,L_Versie,Sel_Prev,L_Kengetal,"Omzet FY"))))</f>
        <v>n.b.</v>
      </c>
    </row>
    <row r="74">
      <c r="A74" s="61" t="str">
        <f>IF(VERW_Project!$A70="","",VERW_Project!$A70)</f>
        <v/>
      </c>
      <c r="B74" s="61" t="str">
        <f>IF($A74="","",VERW_Project!$C70)</f>
        <v/>
      </c>
      <c r="C74" s="61" t="str">
        <f>IF($A74="","",VERW_Project!$D70)</f>
        <v/>
      </c>
      <c r="D74" s="61" t="str">
        <f>IF($A74="","",VERW_Project!$I70)</f>
        <v/>
      </c>
      <c r="E74" s="41" t="str">
        <f>IF($A74="","",IF(ISNUMBER(IF(COUNTIFS(L_Actief,1,L_WBS,$A74,L_Doeljaar,Sel_Doeljaar,L_Versiejaar,P_VJ,L_Versie,E$8,L_Kengetal,"Omzet FY")=0,"n.b.",SUMIFS(L_Waarde,L_Actief,1,L_WBS,$A74,L_Doeljaar,Sel_Doeljaar,L_Versiejaar,P_VJ,L_Versie,E$8,L_Kengetal,"Omzet FY"))),IF(COUNTIFS(L_Actief,1,L_WBS,$A74,L_Doeljaar,Sel_Doeljaar,L_Versiejaar,P_VJ,L_Versie,E$8,L_Kengetal,"Omzet FY")=0,"n.b.",SUMIFS(L_Waarde,L_Actief,1,L_WBS,$A74,L_Doeljaar,Sel_Doeljaar,L_Versiejaar,P_VJ,L_Versie,E$8,L_Kengetal,"Omzet FY"))/P_Factor,IF(COUNTIFS(L_Actief,1,L_WBS,$A74,L_Doeljaar,Sel_Doeljaar,L_Versiejaar,P_VJ,L_Versie,E$8,L_Kengetal,"Omzet FY")=0,"n.b.",SUMIFS(L_Waarde,L_Actief,1,L_WBS,$A74,L_Doeljaar,Sel_Doeljaar,L_Versiejaar,P_VJ,L_Versie,E$8,L_Kengetal,"Omzet FY"))))</f>
        <v/>
      </c>
      <c r="F74" s="41" t="str">
        <f>IF($A74="","",IF(ISNUMBER(IF(COUNTIFS(L_Actief,1,L_WBS,$A74,L_Doeljaar,Sel_Doeljaar,L_Versiejaar,P_VJ,L_Versie,F$8,L_Kengetal,"Omzet FY")=0,"n.b.",SUMIFS(L_Waarde,L_Actief,1,L_WBS,$A74,L_Doeljaar,Sel_Doeljaar,L_Versiejaar,P_VJ,L_Versie,F$8,L_Kengetal,"Omzet FY"))),IF(COUNTIFS(L_Actief,1,L_WBS,$A74,L_Doeljaar,Sel_Doeljaar,L_Versiejaar,P_VJ,L_Versie,F$8,L_Kengetal,"Omzet FY")=0,"n.b.",SUMIFS(L_Waarde,L_Actief,1,L_WBS,$A74,L_Doeljaar,Sel_Doeljaar,L_Versiejaar,P_VJ,L_Versie,F$8,L_Kengetal,"Omzet FY"))/P_Factor,IF(COUNTIFS(L_Actief,1,L_WBS,$A74,L_Doeljaar,Sel_Doeljaar,L_Versiejaar,P_VJ,L_Versie,F$8,L_Kengetal,"Omzet FY")=0,"n.b.",SUMIFS(L_Waarde,L_Actief,1,L_WBS,$A74,L_Doeljaar,Sel_Doeljaar,L_Versiejaar,P_VJ,L_Versie,F$8,L_Kengetal,"Omzet FY"))))</f>
        <v/>
      </c>
      <c r="G74" s="41" t="str">
        <f>IF($A74="","",IF(ISNUMBER(IF(COUNTIFS(L_Actief,1,L_WBS,$A74,L_Doeljaar,Sel_Doeljaar,L_Versiejaar,P_VJ,L_Versie,G$8,L_Kengetal,"Omzet FY")=0,"n.b.",SUMIFS(L_Waarde,L_Actief,1,L_WBS,$A74,L_Doeljaar,Sel_Doeljaar,L_Versiejaar,P_VJ,L_Versie,G$8,L_Kengetal,"Omzet FY"))),IF(COUNTIFS(L_Actief,1,L_WBS,$A74,L_Doeljaar,Sel_Doeljaar,L_Versiejaar,P_VJ,L_Versie,G$8,L_Kengetal,"Omzet FY")=0,"n.b.",SUMIFS(L_Waarde,L_Actief,1,L_WBS,$A74,L_Doeljaar,Sel_Doeljaar,L_Versiejaar,P_VJ,L_Versie,G$8,L_Kengetal,"Omzet FY"))/P_Factor,IF(COUNTIFS(L_Actief,1,L_WBS,$A74,L_Doeljaar,Sel_Doeljaar,L_Versiejaar,P_VJ,L_Versie,G$8,L_Kengetal,"Omzet FY")=0,"n.b.",SUMIFS(L_Waarde,L_Actief,1,L_WBS,$A74,L_Doeljaar,Sel_Doeljaar,L_Versiejaar,P_VJ,L_Versie,G$8,L_Kengetal,"Omzet FY"))))</f>
        <v/>
      </c>
      <c r="H74" s="41" t="str">
        <f>IF($A74="","",IF(ISNUMBER(IF(COUNTIFS(L_Actief,1,L_WBS,$A74,L_Doeljaar,Sel_Doeljaar,L_Versiejaar,P_VJ,L_Versie,H$8,L_Kengetal,"Omzet FY")=0,"n.b.",SUMIFS(L_Waarde,L_Actief,1,L_WBS,$A74,L_Doeljaar,Sel_Doeljaar,L_Versiejaar,P_VJ,L_Versie,H$8,L_Kengetal,"Omzet FY"))),IF(COUNTIFS(L_Actief,1,L_WBS,$A74,L_Doeljaar,Sel_Doeljaar,L_Versiejaar,P_VJ,L_Versie,H$8,L_Kengetal,"Omzet FY")=0,"n.b.",SUMIFS(L_Waarde,L_Actief,1,L_WBS,$A74,L_Doeljaar,Sel_Doeljaar,L_Versiejaar,P_VJ,L_Versie,H$8,L_Kengetal,"Omzet FY"))/P_Factor,IF(COUNTIFS(L_Actief,1,L_WBS,$A74,L_Doeljaar,Sel_Doeljaar,L_Versiejaar,P_VJ,L_Versie,H$8,L_Kengetal,"Omzet FY")=0,"n.b.",SUMIFS(L_Waarde,L_Actief,1,L_WBS,$A74,L_Doeljaar,Sel_Doeljaar,L_Versiejaar,P_VJ,L_Versie,H$8,L_Kengetal,"Omzet FY"))))</f>
        <v/>
      </c>
      <c r="I74" s="41" t="str">
        <f>IF($A74="","",IF(ISNUMBER(IF(COUNTIFS(L_Actief,1,L_WBS,$A74,L_Doeljaar,Sel_Doeljaar,L_Versiejaar,P_VJ,L_Versie,I$8,L_Kengetal,"Omzet FY")=0,"n.b.",SUMIFS(L_Waarde,L_Actief,1,L_WBS,$A74,L_Doeljaar,Sel_Doeljaar,L_Versiejaar,P_VJ,L_Versie,I$8,L_Kengetal,"Omzet FY"))),IF(COUNTIFS(L_Actief,1,L_WBS,$A74,L_Doeljaar,Sel_Doeljaar,L_Versiejaar,P_VJ,L_Versie,I$8,L_Kengetal,"Omzet FY")=0,"n.b.",SUMIFS(L_Waarde,L_Actief,1,L_WBS,$A74,L_Doeljaar,Sel_Doeljaar,L_Versiejaar,P_VJ,L_Versie,I$8,L_Kengetal,"Omzet FY"))/P_Factor,IF(COUNTIFS(L_Actief,1,L_WBS,$A74,L_Doeljaar,Sel_Doeljaar,L_Versiejaar,P_VJ,L_Versie,I$8,L_Kengetal,"Omzet FY")=0,"n.b.",SUMIFS(L_Waarde,L_Actief,1,L_WBS,$A74,L_Doeljaar,Sel_Doeljaar,L_Versiejaar,P_VJ,L_Versie,I$8,L_Kengetal,"Omzet FY"))))</f>
        <v/>
      </c>
      <c r="J74" s="41" t="str">
        <f>IF($A74="","",IF(ISNUMBER(IF(Sel_Doeljaar=P_RJ,VERW_Project!$P70,IF(Sel_Doeljaar=P_RJ+1,VERW_Project!$R70,"n.b."))),IF(Sel_Doeljaar=P_RJ,VERW_Project!$P70,IF(Sel_Doeljaar=P_RJ+1,VERW_Project!$R70,"n.b."))/P_Factor,IF(Sel_Doeljaar=P_RJ,VERW_Project!$P70,IF(Sel_Doeljaar=P_RJ+1,VERW_Project!$R70,"n.b."))))</f>
        <v/>
      </c>
      <c r="K74" s="41" t="str">
        <f>IF($A74="","",IF(Sel_Bron="Vastgesteld",INDEX($E74:$I74,MATCH(Sel_Versie,$E$8:$I$8,0)),IF(Sel_Bron="Concept",J74,"n.b.")))</f>
        <v/>
      </c>
      <c r="L74" s="62" t="str">
        <f>IF($A74="","",IF(Sel_Doeljaar&gt;P_VJ,"n.v.t.",IF(Sel_Bron="Vastgesteld",IF(ISNUMBER(IF(COUNTIFS(L_Actief,1,L_WBS,$A74,L_Doeljaar,Sel_Doeljaar,L_Versiejaar,P_VJ,L_Versie,Sel_Versie,L_Kengetal,"Omzet actual YTD")=0,"n.b.",SUMIFS(L_Waarde,L_Actief,1,L_WBS,$A74,L_Doeljaar,Sel_Doeljaar,L_Versiejaar,P_VJ,L_Versie,Sel_Versie,L_Kengetal,"Omzet actual YTD"))),IF(COUNTIFS(L_Actief,1,L_WBS,$A74,L_Doeljaar,Sel_Doeljaar,L_Versiejaar,P_VJ,L_Versie,Sel_Versie,L_Kengetal,"Omzet actual YTD")=0,"n.b.",SUMIFS(L_Waarde,L_Actief,1,L_WBS,$A74,L_Doeljaar,Sel_Doeljaar,L_Versiejaar,P_VJ,L_Versie,Sel_Versie,L_Kengetal,"Omzet actual YTD"))/P_Factor,IF(COUNTIFS(L_Actief,1,L_WBS,$A74,L_Doeljaar,Sel_Doeljaar,L_Versiejaar,P_VJ,L_Versie,Sel_Versie,L_Kengetal,"Omzet actual YTD")=0,"n.b.",SUMIFS(L_Waarde,L_Actief,1,L_WBS,$A74,L_Doeljaar,Sel_Doeljaar,L_Versiejaar,P_VJ,L_Versie,Sel_Versie,L_Kengetal,"Omzet actual YTD"))),IF(Sel_Bron="Concept",IF(ISNUMBER(IF(Sel_Doeljaar=P_RJ,VERW_Project!$L70,"n.v.t.")),IF(Sel_Doeljaar=P_RJ,VERW_Project!$L70,"n.v.t.")/P_Factor,IF(Sel_Doeljaar=P_RJ,VERW_Project!$L70,"n.v.t.")),"n.b."))))</f>
        <v/>
      </c>
      <c r="M74" s="41" t="str">
        <f>IF($A74="","",IF(L74="n.v.t.",K74,IF(AND(ISNUMBER(K74),ISNUMBER(L74)),K74-L74,"n.b.")))</f>
        <v/>
      </c>
      <c r="N74" s="41" t="str">
        <f>IF($A74="","",IF(Sel_Bron="Vastgesteld",IF(ISNUMBER(IF(COUNTIFS(L_Actief,1,L_WBS,$A74,L_Doeljaar,Sel_Doeljaar,L_Versiejaar,P_VJ,L_Versie,Sel_Versie,L_Kengetal,"BOR FY")=0,"n.b.",SUMIFS(L_Waarde,L_Actief,1,L_WBS,$A74,L_Doeljaar,Sel_Doeljaar,L_Versiejaar,P_VJ,L_Versie,Sel_Versie,L_Kengetal,"BOR FY"))),IF(COUNTIFS(L_Actief,1,L_WBS,$A74,L_Doeljaar,Sel_Doeljaar,L_Versiejaar,P_VJ,L_Versie,Sel_Versie,L_Kengetal,"BOR FY")=0,"n.b.",SUMIFS(L_Waarde,L_Actief,1,L_WBS,$A74,L_Doeljaar,Sel_Doeljaar,L_Versiejaar,P_VJ,L_Versie,Sel_Versie,L_Kengetal,"BOR FY"))/P_Factor,IF(COUNTIFS(L_Actief,1,L_WBS,$A74,L_Doeljaar,Sel_Doeljaar,L_Versiejaar,P_VJ,L_Versie,Sel_Versie,L_Kengetal,"BOR FY")=0,"n.b.",SUMIFS(L_Waarde,L_Actief,1,L_WBS,$A74,L_Doeljaar,Sel_Doeljaar,L_Versiejaar,P_VJ,L_Versie,Sel_Versie,L_Kengetal,"BOR FY"))),IF(Sel_Bron="Concept",IF(ISNUMBER(IF(Sel_Doeljaar=P_RJ,VERW_Project!$Q70,IF(Sel_Doeljaar=P_RJ+1,VERW_Project!$S70,"n.b."))),IF(Sel_Doeljaar=P_RJ,VERW_Project!$Q70,IF(Sel_Doeljaar=P_RJ+1,VERW_Project!$S70,"n.b."))/P_Factor,IF(Sel_Doeljaar=P_RJ,VERW_Project!$Q70,IF(Sel_Doeljaar=P_RJ+1,VERW_Project!$S70,"n.b."))),"n.b.")))</f>
        <v/>
      </c>
      <c r="O74" s="63" t="str">
        <f>IF($A74="","",IF(AND(ISNUMBER(N74),ISNUMBER(K74)),IF(K74&lt;&gt;0,N74/K74,"n.b."),"n.b."))</f>
        <v/>
      </c>
      <c r="P74" s="41" t="str">
        <f>IF($A74="","",IF(AND(ISNUMBER(K74),ISNUMBER(E74)),K74-E74,"n.b."))</f>
        <v/>
      </c>
      <c r="Q74" s="41" t="str">
        <f>IF($A74="","",IF(AND(ISNUMBER(K74),ISNUMBER(W74)),K74-W74,"n.b."))</f>
        <v/>
      </c>
      <c r="R74" s="64" t="str">
        <f>IF($A74="","",IF(ISNUMBER(N74),IF(N74&lt;0,"Verlies",""),""))</f>
        <v/>
      </c>
      <c r="S74" s="61" t="str">
        <f>IF($A74="","",IFERROR(INDEX(T_Txt,MATCH($A74&amp;"|"&amp;Sel_Doeljaar&amp;"|"&amp;P_VJ&amp;"|"&amp;Sel_Versie,T_Key,0)),""))</f>
        <v/>
      </c>
      <c r="U74" s="15" t="str">
        <f>IF(AND(AND($A74&lt;&gt;"",OR(Sel_Type="Alle",$C74=Sel_Type),OR(Sel_Project="Alle",$B74=Sel_Project)),ISNUMBER(K74)),K74+ROW()/1000000000,"")</f>
        <v/>
      </c>
      <c r="V74" s="15" t="str">
        <f>IF(AND(AND($A74&lt;&gt;"",OR(Sel_Type="Alle",$C74=Sel_Type),OR(Sel_Project="Alle",$B74=Sel_Project)),ISNUMBER(Q74)),ABS(Q74)+ROW()/1000000000,"")</f>
        <v/>
      </c>
      <c r="W74" s="15" t="str">
        <f>IF(OR($A74="",Sel_Prev=""),"n.b.",IF(ISNUMBER(IF(COUNTIFS(L_Actief,1,L_WBS,$A74,L_Doeljaar,Sel_Doeljaar,L_Versiejaar,P_VJ,L_Versie,Sel_Prev,L_Kengetal,"Omzet FY")=0,"n.b.",SUMIFS(L_Waarde,L_Actief,1,L_WBS,$A74,L_Doeljaar,Sel_Doeljaar,L_Versiejaar,P_VJ,L_Versie,Sel_Prev,L_Kengetal,"Omzet FY"))),IF(COUNTIFS(L_Actief,1,L_WBS,$A74,L_Doeljaar,Sel_Doeljaar,L_Versiejaar,P_VJ,L_Versie,Sel_Prev,L_Kengetal,"Omzet FY")=0,"n.b.",SUMIFS(L_Waarde,L_Actief,1,L_WBS,$A74,L_Doeljaar,Sel_Doeljaar,L_Versiejaar,P_VJ,L_Versie,Sel_Prev,L_Kengetal,"Omzet FY"))/P_Factor,IF(COUNTIFS(L_Actief,1,L_WBS,$A74,L_Doeljaar,Sel_Doeljaar,L_Versiejaar,P_VJ,L_Versie,Sel_Prev,L_Kengetal,"Omzet FY")=0,"n.b.",SUMIFS(L_Waarde,L_Actief,1,L_WBS,$A74,L_Doeljaar,Sel_Doeljaar,L_Versiejaar,P_VJ,L_Versie,Sel_Prev,L_Kengetal,"Omzet FY"))))</f>
        <v>n.b.</v>
      </c>
    </row>
    <row r="75">
      <c r="A75" s="61" t="str">
        <f>IF(VERW_Project!$A71="","",VERW_Project!$A71)</f>
        <v/>
      </c>
      <c r="B75" s="61" t="str">
        <f>IF($A75="","",VERW_Project!$C71)</f>
        <v/>
      </c>
      <c r="C75" s="61" t="str">
        <f>IF($A75="","",VERW_Project!$D71)</f>
        <v/>
      </c>
      <c r="D75" s="61" t="str">
        <f>IF($A75="","",VERW_Project!$I71)</f>
        <v/>
      </c>
      <c r="E75" s="41" t="str">
        <f>IF($A75="","",IF(ISNUMBER(IF(COUNTIFS(L_Actief,1,L_WBS,$A75,L_Doeljaar,Sel_Doeljaar,L_Versiejaar,P_VJ,L_Versie,E$8,L_Kengetal,"Omzet FY")=0,"n.b.",SUMIFS(L_Waarde,L_Actief,1,L_WBS,$A75,L_Doeljaar,Sel_Doeljaar,L_Versiejaar,P_VJ,L_Versie,E$8,L_Kengetal,"Omzet FY"))),IF(COUNTIFS(L_Actief,1,L_WBS,$A75,L_Doeljaar,Sel_Doeljaar,L_Versiejaar,P_VJ,L_Versie,E$8,L_Kengetal,"Omzet FY")=0,"n.b.",SUMIFS(L_Waarde,L_Actief,1,L_WBS,$A75,L_Doeljaar,Sel_Doeljaar,L_Versiejaar,P_VJ,L_Versie,E$8,L_Kengetal,"Omzet FY"))/P_Factor,IF(COUNTIFS(L_Actief,1,L_WBS,$A75,L_Doeljaar,Sel_Doeljaar,L_Versiejaar,P_VJ,L_Versie,E$8,L_Kengetal,"Omzet FY")=0,"n.b.",SUMIFS(L_Waarde,L_Actief,1,L_WBS,$A75,L_Doeljaar,Sel_Doeljaar,L_Versiejaar,P_VJ,L_Versie,E$8,L_Kengetal,"Omzet FY"))))</f>
        <v/>
      </c>
      <c r="F75" s="41" t="str">
        <f>IF($A75="","",IF(ISNUMBER(IF(COUNTIFS(L_Actief,1,L_WBS,$A75,L_Doeljaar,Sel_Doeljaar,L_Versiejaar,P_VJ,L_Versie,F$8,L_Kengetal,"Omzet FY")=0,"n.b.",SUMIFS(L_Waarde,L_Actief,1,L_WBS,$A75,L_Doeljaar,Sel_Doeljaar,L_Versiejaar,P_VJ,L_Versie,F$8,L_Kengetal,"Omzet FY"))),IF(COUNTIFS(L_Actief,1,L_WBS,$A75,L_Doeljaar,Sel_Doeljaar,L_Versiejaar,P_VJ,L_Versie,F$8,L_Kengetal,"Omzet FY")=0,"n.b.",SUMIFS(L_Waarde,L_Actief,1,L_WBS,$A75,L_Doeljaar,Sel_Doeljaar,L_Versiejaar,P_VJ,L_Versie,F$8,L_Kengetal,"Omzet FY"))/P_Factor,IF(COUNTIFS(L_Actief,1,L_WBS,$A75,L_Doeljaar,Sel_Doeljaar,L_Versiejaar,P_VJ,L_Versie,F$8,L_Kengetal,"Omzet FY")=0,"n.b.",SUMIFS(L_Waarde,L_Actief,1,L_WBS,$A75,L_Doeljaar,Sel_Doeljaar,L_Versiejaar,P_VJ,L_Versie,F$8,L_Kengetal,"Omzet FY"))))</f>
        <v/>
      </c>
      <c r="G75" s="41" t="str">
        <f>IF($A75="","",IF(ISNUMBER(IF(COUNTIFS(L_Actief,1,L_WBS,$A75,L_Doeljaar,Sel_Doeljaar,L_Versiejaar,P_VJ,L_Versie,G$8,L_Kengetal,"Omzet FY")=0,"n.b.",SUMIFS(L_Waarde,L_Actief,1,L_WBS,$A75,L_Doeljaar,Sel_Doeljaar,L_Versiejaar,P_VJ,L_Versie,G$8,L_Kengetal,"Omzet FY"))),IF(COUNTIFS(L_Actief,1,L_WBS,$A75,L_Doeljaar,Sel_Doeljaar,L_Versiejaar,P_VJ,L_Versie,G$8,L_Kengetal,"Omzet FY")=0,"n.b.",SUMIFS(L_Waarde,L_Actief,1,L_WBS,$A75,L_Doeljaar,Sel_Doeljaar,L_Versiejaar,P_VJ,L_Versie,G$8,L_Kengetal,"Omzet FY"))/P_Factor,IF(COUNTIFS(L_Actief,1,L_WBS,$A75,L_Doeljaar,Sel_Doeljaar,L_Versiejaar,P_VJ,L_Versie,G$8,L_Kengetal,"Omzet FY")=0,"n.b.",SUMIFS(L_Waarde,L_Actief,1,L_WBS,$A75,L_Doeljaar,Sel_Doeljaar,L_Versiejaar,P_VJ,L_Versie,G$8,L_Kengetal,"Omzet FY"))))</f>
        <v/>
      </c>
      <c r="H75" s="41" t="str">
        <f>IF($A75="","",IF(ISNUMBER(IF(COUNTIFS(L_Actief,1,L_WBS,$A75,L_Doeljaar,Sel_Doeljaar,L_Versiejaar,P_VJ,L_Versie,H$8,L_Kengetal,"Omzet FY")=0,"n.b.",SUMIFS(L_Waarde,L_Actief,1,L_WBS,$A75,L_Doeljaar,Sel_Doeljaar,L_Versiejaar,P_VJ,L_Versie,H$8,L_Kengetal,"Omzet FY"))),IF(COUNTIFS(L_Actief,1,L_WBS,$A75,L_Doeljaar,Sel_Doeljaar,L_Versiejaar,P_VJ,L_Versie,H$8,L_Kengetal,"Omzet FY")=0,"n.b.",SUMIFS(L_Waarde,L_Actief,1,L_WBS,$A75,L_Doeljaar,Sel_Doeljaar,L_Versiejaar,P_VJ,L_Versie,H$8,L_Kengetal,"Omzet FY"))/P_Factor,IF(COUNTIFS(L_Actief,1,L_WBS,$A75,L_Doeljaar,Sel_Doeljaar,L_Versiejaar,P_VJ,L_Versie,H$8,L_Kengetal,"Omzet FY")=0,"n.b.",SUMIFS(L_Waarde,L_Actief,1,L_WBS,$A75,L_Doeljaar,Sel_Doeljaar,L_Versiejaar,P_VJ,L_Versie,H$8,L_Kengetal,"Omzet FY"))))</f>
        <v/>
      </c>
      <c r="I75" s="41" t="str">
        <f>IF($A75="","",IF(ISNUMBER(IF(COUNTIFS(L_Actief,1,L_WBS,$A75,L_Doeljaar,Sel_Doeljaar,L_Versiejaar,P_VJ,L_Versie,I$8,L_Kengetal,"Omzet FY")=0,"n.b.",SUMIFS(L_Waarde,L_Actief,1,L_WBS,$A75,L_Doeljaar,Sel_Doeljaar,L_Versiejaar,P_VJ,L_Versie,I$8,L_Kengetal,"Omzet FY"))),IF(COUNTIFS(L_Actief,1,L_WBS,$A75,L_Doeljaar,Sel_Doeljaar,L_Versiejaar,P_VJ,L_Versie,I$8,L_Kengetal,"Omzet FY")=0,"n.b.",SUMIFS(L_Waarde,L_Actief,1,L_WBS,$A75,L_Doeljaar,Sel_Doeljaar,L_Versiejaar,P_VJ,L_Versie,I$8,L_Kengetal,"Omzet FY"))/P_Factor,IF(COUNTIFS(L_Actief,1,L_WBS,$A75,L_Doeljaar,Sel_Doeljaar,L_Versiejaar,P_VJ,L_Versie,I$8,L_Kengetal,"Omzet FY")=0,"n.b.",SUMIFS(L_Waarde,L_Actief,1,L_WBS,$A75,L_Doeljaar,Sel_Doeljaar,L_Versiejaar,P_VJ,L_Versie,I$8,L_Kengetal,"Omzet FY"))))</f>
        <v/>
      </c>
      <c r="J75" s="41" t="str">
        <f>IF($A75="","",IF(ISNUMBER(IF(Sel_Doeljaar=P_RJ,VERW_Project!$P71,IF(Sel_Doeljaar=P_RJ+1,VERW_Project!$R71,"n.b."))),IF(Sel_Doeljaar=P_RJ,VERW_Project!$P71,IF(Sel_Doeljaar=P_RJ+1,VERW_Project!$R71,"n.b."))/P_Factor,IF(Sel_Doeljaar=P_RJ,VERW_Project!$P71,IF(Sel_Doeljaar=P_RJ+1,VERW_Project!$R71,"n.b."))))</f>
        <v/>
      </c>
      <c r="K75" s="41" t="str">
        <f>IF($A75="","",IF(Sel_Bron="Vastgesteld",INDEX($E75:$I75,MATCH(Sel_Versie,$E$8:$I$8,0)),IF(Sel_Bron="Concept",J75,"n.b.")))</f>
        <v/>
      </c>
      <c r="L75" s="62" t="str">
        <f>IF($A75="","",IF(Sel_Doeljaar&gt;P_VJ,"n.v.t.",IF(Sel_Bron="Vastgesteld",IF(ISNUMBER(IF(COUNTIFS(L_Actief,1,L_WBS,$A75,L_Doeljaar,Sel_Doeljaar,L_Versiejaar,P_VJ,L_Versie,Sel_Versie,L_Kengetal,"Omzet actual YTD")=0,"n.b.",SUMIFS(L_Waarde,L_Actief,1,L_WBS,$A75,L_Doeljaar,Sel_Doeljaar,L_Versiejaar,P_VJ,L_Versie,Sel_Versie,L_Kengetal,"Omzet actual YTD"))),IF(COUNTIFS(L_Actief,1,L_WBS,$A75,L_Doeljaar,Sel_Doeljaar,L_Versiejaar,P_VJ,L_Versie,Sel_Versie,L_Kengetal,"Omzet actual YTD")=0,"n.b.",SUMIFS(L_Waarde,L_Actief,1,L_WBS,$A75,L_Doeljaar,Sel_Doeljaar,L_Versiejaar,P_VJ,L_Versie,Sel_Versie,L_Kengetal,"Omzet actual YTD"))/P_Factor,IF(COUNTIFS(L_Actief,1,L_WBS,$A75,L_Doeljaar,Sel_Doeljaar,L_Versiejaar,P_VJ,L_Versie,Sel_Versie,L_Kengetal,"Omzet actual YTD")=0,"n.b.",SUMIFS(L_Waarde,L_Actief,1,L_WBS,$A75,L_Doeljaar,Sel_Doeljaar,L_Versiejaar,P_VJ,L_Versie,Sel_Versie,L_Kengetal,"Omzet actual YTD"))),IF(Sel_Bron="Concept",IF(ISNUMBER(IF(Sel_Doeljaar=P_RJ,VERW_Project!$L71,"n.v.t.")),IF(Sel_Doeljaar=P_RJ,VERW_Project!$L71,"n.v.t.")/P_Factor,IF(Sel_Doeljaar=P_RJ,VERW_Project!$L71,"n.v.t.")),"n.b."))))</f>
        <v/>
      </c>
      <c r="M75" s="41" t="str">
        <f>IF($A75="","",IF(L75="n.v.t.",K75,IF(AND(ISNUMBER(K75),ISNUMBER(L75)),K75-L75,"n.b.")))</f>
        <v/>
      </c>
      <c r="N75" s="41" t="str">
        <f>IF($A75="","",IF(Sel_Bron="Vastgesteld",IF(ISNUMBER(IF(COUNTIFS(L_Actief,1,L_WBS,$A75,L_Doeljaar,Sel_Doeljaar,L_Versiejaar,P_VJ,L_Versie,Sel_Versie,L_Kengetal,"BOR FY")=0,"n.b.",SUMIFS(L_Waarde,L_Actief,1,L_WBS,$A75,L_Doeljaar,Sel_Doeljaar,L_Versiejaar,P_VJ,L_Versie,Sel_Versie,L_Kengetal,"BOR FY"))),IF(COUNTIFS(L_Actief,1,L_WBS,$A75,L_Doeljaar,Sel_Doeljaar,L_Versiejaar,P_VJ,L_Versie,Sel_Versie,L_Kengetal,"BOR FY")=0,"n.b.",SUMIFS(L_Waarde,L_Actief,1,L_WBS,$A75,L_Doeljaar,Sel_Doeljaar,L_Versiejaar,P_VJ,L_Versie,Sel_Versie,L_Kengetal,"BOR FY"))/P_Factor,IF(COUNTIFS(L_Actief,1,L_WBS,$A75,L_Doeljaar,Sel_Doeljaar,L_Versiejaar,P_VJ,L_Versie,Sel_Versie,L_Kengetal,"BOR FY")=0,"n.b.",SUMIFS(L_Waarde,L_Actief,1,L_WBS,$A75,L_Doeljaar,Sel_Doeljaar,L_Versiejaar,P_VJ,L_Versie,Sel_Versie,L_Kengetal,"BOR FY"))),IF(Sel_Bron="Concept",IF(ISNUMBER(IF(Sel_Doeljaar=P_RJ,VERW_Project!$Q71,IF(Sel_Doeljaar=P_RJ+1,VERW_Project!$S71,"n.b."))),IF(Sel_Doeljaar=P_RJ,VERW_Project!$Q71,IF(Sel_Doeljaar=P_RJ+1,VERW_Project!$S71,"n.b."))/P_Factor,IF(Sel_Doeljaar=P_RJ,VERW_Project!$Q71,IF(Sel_Doeljaar=P_RJ+1,VERW_Project!$S71,"n.b."))),"n.b.")))</f>
        <v/>
      </c>
      <c r="O75" s="63" t="str">
        <f>IF($A75="","",IF(AND(ISNUMBER(N75),ISNUMBER(K75)),IF(K75&lt;&gt;0,N75/K75,"n.b."),"n.b."))</f>
        <v/>
      </c>
      <c r="P75" s="41" t="str">
        <f>IF($A75="","",IF(AND(ISNUMBER(K75),ISNUMBER(E75)),K75-E75,"n.b."))</f>
        <v/>
      </c>
      <c r="Q75" s="41" t="str">
        <f>IF($A75="","",IF(AND(ISNUMBER(K75),ISNUMBER(W75)),K75-W75,"n.b."))</f>
        <v/>
      </c>
      <c r="R75" s="64" t="str">
        <f>IF($A75="","",IF(ISNUMBER(N75),IF(N75&lt;0,"Verlies",""),""))</f>
        <v/>
      </c>
      <c r="S75" s="61" t="str">
        <f>IF($A75="","",IFERROR(INDEX(T_Txt,MATCH($A75&amp;"|"&amp;Sel_Doeljaar&amp;"|"&amp;P_VJ&amp;"|"&amp;Sel_Versie,T_Key,0)),""))</f>
        <v/>
      </c>
      <c r="U75" s="15" t="str">
        <f>IF(AND(AND($A75&lt;&gt;"",OR(Sel_Type="Alle",$C75=Sel_Type),OR(Sel_Project="Alle",$B75=Sel_Project)),ISNUMBER(K75)),K75+ROW()/1000000000,"")</f>
        <v/>
      </c>
      <c r="V75" s="15" t="str">
        <f>IF(AND(AND($A75&lt;&gt;"",OR(Sel_Type="Alle",$C75=Sel_Type),OR(Sel_Project="Alle",$B75=Sel_Project)),ISNUMBER(Q75)),ABS(Q75)+ROW()/1000000000,"")</f>
        <v/>
      </c>
      <c r="W75" s="15" t="str">
        <f>IF(OR($A75="",Sel_Prev=""),"n.b.",IF(ISNUMBER(IF(COUNTIFS(L_Actief,1,L_WBS,$A75,L_Doeljaar,Sel_Doeljaar,L_Versiejaar,P_VJ,L_Versie,Sel_Prev,L_Kengetal,"Omzet FY")=0,"n.b.",SUMIFS(L_Waarde,L_Actief,1,L_WBS,$A75,L_Doeljaar,Sel_Doeljaar,L_Versiejaar,P_VJ,L_Versie,Sel_Prev,L_Kengetal,"Omzet FY"))),IF(COUNTIFS(L_Actief,1,L_WBS,$A75,L_Doeljaar,Sel_Doeljaar,L_Versiejaar,P_VJ,L_Versie,Sel_Prev,L_Kengetal,"Omzet FY")=0,"n.b.",SUMIFS(L_Waarde,L_Actief,1,L_WBS,$A75,L_Doeljaar,Sel_Doeljaar,L_Versiejaar,P_VJ,L_Versie,Sel_Prev,L_Kengetal,"Omzet FY"))/P_Factor,IF(COUNTIFS(L_Actief,1,L_WBS,$A75,L_Doeljaar,Sel_Doeljaar,L_Versiejaar,P_VJ,L_Versie,Sel_Prev,L_Kengetal,"Omzet FY")=0,"n.b.",SUMIFS(L_Waarde,L_Actief,1,L_WBS,$A75,L_Doeljaar,Sel_Doeljaar,L_Versiejaar,P_VJ,L_Versie,Sel_Prev,L_Kengetal,"Omzet FY"))))</f>
        <v>n.b.</v>
      </c>
    </row>
    <row r="76">
      <c r="A76" s="61" t="str">
        <f>IF(VERW_Project!$A72="","",VERW_Project!$A72)</f>
        <v/>
      </c>
      <c r="B76" s="61" t="str">
        <f>IF($A76="","",VERW_Project!$C72)</f>
        <v/>
      </c>
      <c r="C76" s="61" t="str">
        <f>IF($A76="","",VERW_Project!$D72)</f>
        <v/>
      </c>
      <c r="D76" s="61" t="str">
        <f>IF($A76="","",VERW_Project!$I72)</f>
        <v/>
      </c>
      <c r="E76" s="41" t="str">
        <f>IF($A76="","",IF(ISNUMBER(IF(COUNTIFS(L_Actief,1,L_WBS,$A76,L_Doeljaar,Sel_Doeljaar,L_Versiejaar,P_VJ,L_Versie,E$8,L_Kengetal,"Omzet FY")=0,"n.b.",SUMIFS(L_Waarde,L_Actief,1,L_WBS,$A76,L_Doeljaar,Sel_Doeljaar,L_Versiejaar,P_VJ,L_Versie,E$8,L_Kengetal,"Omzet FY"))),IF(COUNTIFS(L_Actief,1,L_WBS,$A76,L_Doeljaar,Sel_Doeljaar,L_Versiejaar,P_VJ,L_Versie,E$8,L_Kengetal,"Omzet FY")=0,"n.b.",SUMIFS(L_Waarde,L_Actief,1,L_WBS,$A76,L_Doeljaar,Sel_Doeljaar,L_Versiejaar,P_VJ,L_Versie,E$8,L_Kengetal,"Omzet FY"))/P_Factor,IF(COUNTIFS(L_Actief,1,L_WBS,$A76,L_Doeljaar,Sel_Doeljaar,L_Versiejaar,P_VJ,L_Versie,E$8,L_Kengetal,"Omzet FY")=0,"n.b.",SUMIFS(L_Waarde,L_Actief,1,L_WBS,$A76,L_Doeljaar,Sel_Doeljaar,L_Versiejaar,P_VJ,L_Versie,E$8,L_Kengetal,"Omzet FY"))))</f>
        <v/>
      </c>
      <c r="F76" s="41" t="str">
        <f>IF($A76="","",IF(ISNUMBER(IF(COUNTIFS(L_Actief,1,L_WBS,$A76,L_Doeljaar,Sel_Doeljaar,L_Versiejaar,P_VJ,L_Versie,F$8,L_Kengetal,"Omzet FY")=0,"n.b.",SUMIFS(L_Waarde,L_Actief,1,L_WBS,$A76,L_Doeljaar,Sel_Doeljaar,L_Versiejaar,P_VJ,L_Versie,F$8,L_Kengetal,"Omzet FY"))),IF(COUNTIFS(L_Actief,1,L_WBS,$A76,L_Doeljaar,Sel_Doeljaar,L_Versiejaar,P_VJ,L_Versie,F$8,L_Kengetal,"Omzet FY")=0,"n.b.",SUMIFS(L_Waarde,L_Actief,1,L_WBS,$A76,L_Doeljaar,Sel_Doeljaar,L_Versiejaar,P_VJ,L_Versie,F$8,L_Kengetal,"Omzet FY"))/P_Factor,IF(COUNTIFS(L_Actief,1,L_WBS,$A76,L_Doeljaar,Sel_Doeljaar,L_Versiejaar,P_VJ,L_Versie,F$8,L_Kengetal,"Omzet FY")=0,"n.b.",SUMIFS(L_Waarde,L_Actief,1,L_WBS,$A76,L_Doeljaar,Sel_Doeljaar,L_Versiejaar,P_VJ,L_Versie,F$8,L_Kengetal,"Omzet FY"))))</f>
        <v/>
      </c>
      <c r="G76" s="41" t="str">
        <f>IF($A76="","",IF(ISNUMBER(IF(COUNTIFS(L_Actief,1,L_WBS,$A76,L_Doeljaar,Sel_Doeljaar,L_Versiejaar,P_VJ,L_Versie,G$8,L_Kengetal,"Omzet FY")=0,"n.b.",SUMIFS(L_Waarde,L_Actief,1,L_WBS,$A76,L_Doeljaar,Sel_Doeljaar,L_Versiejaar,P_VJ,L_Versie,G$8,L_Kengetal,"Omzet FY"))),IF(COUNTIFS(L_Actief,1,L_WBS,$A76,L_Doeljaar,Sel_Doeljaar,L_Versiejaar,P_VJ,L_Versie,G$8,L_Kengetal,"Omzet FY")=0,"n.b.",SUMIFS(L_Waarde,L_Actief,1,L_WBS,$A76,L_Doeljaar,Sel_Doeljaar,L_Versiejaar,P_VJ,L_Versie,G$8,L_Kengetal,"Omzet FY"))/P_Factor,IF(COUNTIFS(L_Actief,1,L_WBS,$A76,L_Doeljaar,Sel_Doeljaar,L_Versiejaar,P_VJ,L_Versie,G$8,L_Kengetal,"Omzet FY")=0,"n.b.",SUMIFS(L_Waarde,L_Actief,1,L_WBS,$A76,L_Doeljaar,Sel_Doeljaar,L_Versiejaar,P_VJ,L_Versie,G$8,L_Kengetal,"Omzet FY"))))</f>
        <v/>
      </c>
      <c r="H76" s="41" t="str">
        <f>IF($A76="","",IF(ISNUMBER(IF(COUNTIFS(L_Actief,1,L_WBS,$A76,L_Doeljaar,Sel_Doeljaar,L_Versiejaar,P_VJ,L_Versie,H$8,L_Kengetal,"Omzet FY")=0,"n.b.",SUMIFS(L_Waarde,L_Actief,1,L_WBS,$A76,L_Doeljaar,Sel_Doeljaar,L_Versiejaar,P_VJ,L_Versie,H$8,L_Kengetal,"Omzet FY"))),IF(COUNTIFS(L_Actief,1,L_WBS,$A76,L_Doeljaar,Sel_Doeljaar,L_Versiejaar,P_VJ,L_Versie,H$8,L_Kengetal,"Omzet FY")=0,"n.b.",SUMIFS(L_Waarde,L_Actief,1,L_WBS,$A76,L_Doeljaar,Sel_Doeljaar,L_Versiejaar,P_VJ,L_Versie,H$8,L_Kengetal,"Omzet FY"))/P_Factor,IF(COUNTIFS(L_Actief,1,L_WBS,$A76,L_Doeljaar,Sel_Doeljaar,L_Versiejaar,P_VJ,L_Versie,H$8,L_Kengetal,"Omzet FY")=0,"n.b.",SUMIFS(L_Waarde,L_Actief,1,L_WBS,$A76,L_Doeljaar,Sel_Doeljaar,L_Versiejaar,P_VJ,L_Versie,H$8,L_Kengetal,"Omzet FY"))))</f>
        <v/>
      </c>
      <c r="I76" s="41" t="str">
        <f>IF($A76="","",IF(ISNUMBER(IF(COUNTIFS(L_Actief,1,L_WBS,$A76,L_Doeljaar,Sel_Doeljaar,L_Versiejaar,P_VJ,L_Versie,I$8,L_Kengetal,"Omzet FY")=0,"n.b.",SUMIFS(L_Waarde,L_Actief,1,L_WBS,$A76,L_Doeljaar,Sel_Doeljaar,L_Versiejaar,P_VJ,L_Versie,I$8,L_Kengetal,"Omzet FY"))),IF(COUNTIFS(L_Actief,1,L_WBS,$A76,L_Doeljaar,Sel_Doeljaar,L_Versiejaar,P_VJ,L_Versie,I$8,L_Kengetal,"Omzet FY")=0,"n.b.",SUMIFS(L_Waarde,L_Actief,1,L_WBS,$A76,L_Doeljaar,Sel_Doeljaar,L_Versiejaar,P_VJ,L_Versie,I$8,L_Kengetal,"Omzet FY"))/P_Factor,IF(COUNTIFS(L_Actief,1,L_WBS,$A76,L_Doeljaar,Sel_Doeljaar,L_Versiejaar,P_VJ,L_Versie,I$8,L_Kengetal,"Omzet FY")=0,"n.b.",SUMIFS(L_Waarde,L_Actief,1,L_WBS,$A76,L_Doeljaar,Sel_Doeljaar,L_Versiejaar,P_VJ,L_Versie,I$8,L_Kengetal,"Omzet FY"))))</f>
        <v/>
      </c>
      <c r="J76" s="41" t="str">
        <f>IF($A76="","",IF(ISNUMBER(IF(Sel_Doeljaar=P_RJ,VERW_Project!$P72,IF(Sel_Doeljaar=P_RJ+1,VERW_Project!$R72,"n.b."))),IF(Sel_Doeljaar=P_RJ,VERW_Project!$P72,IF(Sel_Doeljaar=P_RJ+1,VERW_Project!$R72,"n.b."))/P_Factor,IF(Sel_Doeljaar=P_RJ,VERW_Project!$P72,IF(Sel_Doeljaar=P_RJ+1,VERW_Project!$R72,"n.b."))))</f>
        <v/>
      </c>
      <c r="K76" s="41" t="str">
        <f>IF($A76="","",IF(Sel_Bron="Vastgesteld",INDEX($E76:$I76,MATCH(Sel_Versie,$E$8:$I$8,0)),IF(Sel_Bron="Concept",J76,"n.b.")))</f>
        <v/>
      </c>
      <c r="L76" s="62" t="str">
        <f>IF($A76="","",IF(Sel_Doeljaar&gt;P_VJ,"n.v.t.",IF(Sel_Bron="Vastgesteld",IF(ISNUMBER(IF(COUNTIFS(L_Actief,1,L_WBS,$A76,L_Doeljaar,Sel_Doeljaar,L_Versiejaar,P_VJ,L_Versie,Sel_Versie,L_Kengetal,"Omzet actual YTD")=0,"n.b.",SUMIFS(L_Waarde,L_Actief,1,L_WBS,$A76,L_Doeljaar,Sel_Doeljaar,L_Versiejaar,P_VJ,L_Versie,Sel_Versie,L_Kengetal,"Omzet actual YTD"))),IF(COUNTIFS(L_Actief,1,L_WBS,$A76,L_Doeljaar,Sel_Doeljaar,L_Versiejaar,P_VJ,L_Versie,Sel_Versie,L_Kengetal,"Omzet actual YTD")=0,"n.b.",SUMIFS(L_Waarde,L_Actief,1,L_WBS,$A76,L_Doeljaar,Sel_Doeljaar,L_Versiejaar,P_VJ,L_Versie,Sel_Versie,L_Kengetal,"Omzet actual YTD"))/P_Factor,IF(COUNTIFS(L_Actief,1,L_WBS,$A76,L_Doeljaar,Sel_Doeljaar,L_Versiejaar,P_VJ,L_Versie,Sel_Versie,L_Kengetal,"Omzet actual YTD")=0,"n.b.",SUMIFS(L_Waarde,L_Actief,1,L_WBS,$A76,L_Doeljaar,Sel_Doeljaar,L_Versiejaar,P_VJ,L_Versie,Sel_Versie,L_Kengetal,"Omzet actual YTD"))),IF(Sel_Bron="Concept",IF(ISNUMBER(IF(Sel_Doeljaar=P_RJ,VERW_Project!$L72,"n.v.t.")),IF(Sel_Doeljaar=P_RJ,VERW_Project!$L72,"n.v.t.")/P_Factor,IF(Sel_Doeljaar=P_RJ,VERW_Project!$L72,"n.v.t.")),"n.b."))))</f>
        <v/>
      </c>
      <c r="M76" s="41" t="str">
        <f>IF($A76="","",IF(L76="n.v.t.",K76,IF(AND(ISNUMBER(K76),ISNUMBER(L76)),K76-L76,"n.b.")))</f>
        <v/>
      </c>
      <c r="N76" s="41" t="str">
        <f>IF($A76="","",IF(Sel_Bron="Vastgesteld",IF(ISNUMBER(IF(COUNTIFS(L_Actief,1,L_WBS,$A76,L_Doeljaar,Sel_Doeljaar,L_Versiejaar,P_VJ,L_Versie,Sel_Versie,L_Kengetal,"BOR FY")=0,"n.b.",SUMIFS(L_Waarde,L_Actief,1,L_WBS,$A76,L_Doeljaar,Sel_Doeljaar,L_Versiejaar,P_VJ,L_Versie,Sel_Versie,L_Kengetal,"BOR FY"))),IF(COUNTIFS(L_Actief,1,L_WBS,$A76,L_Doeljaar,Sel_Doeljaar,L_Versiejaar,P_VJ,L_Versie,Sel_Versie,L_Kengetal,"BOR FY")=0,"n.b.",SUMIFS(L_Waarde,L_Actief,1,L_WBS,$A76,L_Doeljaar,Sel_Doeljaar,L_Versiejaar,P_VJ,L_Versie,Sel_Versie,L_Kengetal,"BOR FY"))/P_Factor,IF(COUNTIFS(L_Actief,1,L_WBS,$A76,L_Doeljaar,Sel_Doeljaar,L_Versiejaar,P_VJ,L_Versie,Sel_Versie,L_Kengetal,"BOR FY")=0,"n.b.",SUMIFS(L_Waarde,L_Actief,1,L_WBS,$A76,L_Doeljaar,Sel_Doeljaar,L_Versiejaar,P_VJ,L_Versie,Sel_Versie,L_Kengetal,"BOR FY"))),IF(Sel_Bron="Concept",IF(ISNUMBER(IF(Sel_Doeljaar=P_RJ,VERW_Project!$Q72,IF(Sel_Doeljaar=P_RJ+1,VERW_Project!$S72,"n.b."))),IF(Sel_Doeljaar=P_RJ,VERW_Project!$Q72,IF(Sel_Doeljaar=P_RJ+1,VERW_Project!$S72,"n.b."))/P_Factor,IF(Sel_Doeljaar=P_RJ,VERW_Project!$Q72,IF(Sel_Doeljaar=P_RJ+1,VERW_Project!$S72,"n.b."))),"n.b.")))</f>
        <v/>
      </c>
      <c r="O76" s="63" t="str">
        <f>IF($A76="","",IF(AND(ISNUMBER(N76),ISNUMBER(K76)),IF(K76&lt;&gt;0,N76/K76,"n.b."),"n.b."))</f>
        <v/>
      </c>
      <c r="P76" s="41" t="str">
        <f>IF($A76="","",IF(AND(ISNUMBER(K76),ISNUMBER(E76)),K76-E76,"n.b."))</f>
        <v/>
      </c>
      <c r="Q76" s="41" t="str">
        <f>IF($A76="","",IF(AND(ISNUMBER(K76),ISNUMBER(W76)),K76-W76,"n.b."))</f>
        <v/>
      </c>
      <c r="R76" s="64" t="str">
        <f>IF($A76="","",IF(ISNUMBER(N76),IF(N76&lt;0,"Verlies",""),""))</f>
        <v/>
      </c>
      <c r="S76" s="61" t="str">
        <f>IF($A76="","",IFERROR(INDEX(T_Txt,MATCH($A76&amp;"|"&amp;Sel_Doeljaar&amp;"|"&amp;P_VJ&amp;"|"&amp;Sel_Versie,T_Key,0)),""))</f>
        <v/>
      </c>
      <c r="U76" s="15" t="str">
        <f>IF(AND(AND($A76&lt;&gt;"",OR(Sel_Type="Alle",$C76=Sel_Type),OR(Sel_Project="Alle",$B76=Sel_Project)),ISNUMBER(K76)),K76+ROW()/1000000000,"")</f>
        <v/>
      </c>
      <c r="V76" s="15" t="str">
        <f>IF(AND(AND($A76&lt;&gt;"",OR(Sel_Type="Alle",$C76=Sel_Type),OR(Sel_Project="Alle",$B76=Sel_Project)),ISNUMBER(Q76)),ABS(Q76)+ROW()/1000000000,"")</f>
        <v/>
      </c>
      <c r="W76" s="15" t="str">
        <f>IF(OR($A76="",Sel_Prev=""),"n.b.",IF(ISNUMBER(IF(COUNTIFS(L_Actief,1,L_WBS,$A76,L_Doeljaar,Sel_Doeljaar,L_Versiejaar,P_VJ,L_Versie,Sel_Prev,L_Kengetal,"Omzet FY")=0,"n.b.",SUMIFS(L_Waarde,L_Actief,1,L_WBS,$A76,L_Doeljaar,Sel_Doeljaar,L_Versiejaar,P_VJ,L_Versie,Sel_Prev,L_Kengetal,"Omzet FY"))),IF(COUNTIFS(L_Actief,1,L_WBS,$A76,L_Doeljaar,Sel_Doeljaar,L_Versiejaar,P_VJ,L_Versie,Sel_Prev,L_Kengetal,"Omzet FY")=0,"n.b.",SUMIFS(L_Waarde,L_Actief,1,L_WBS,$A76,L_Doeljaar,Sel_Doeljaar,L_Versiejaar,P_VJ,L_Versie,Sel_Prev,L_Kengetal,"Omzet FY"))/P_Factor,IF(COUNTIFS(L_Actief,1,L_WBS,$A76,L_Doeljaar,Sel_Doeljaar,L_Versiejaar,P_VJ,L_Versie,Sel_Prev,L_Kengetal,"Omzet FY")=0,"n.b.",SUMIFS(L_Waarde,L_Actief,1,L_WBS,$A76,L_Doeljaar,Sel_Doeljaar,L_Versiejaar,P_VJ,L_Versie,Sel_Prev,L_Kengetal,"Omzet FY"))))</f>
        <v>n.b.</v>
      </c>
    </row>
    <row r="77">
      <c r="A77" s="61" t="str">
        <f>IF(VERW_Project!$A73="","",VERW_Project!$A73)</f>
        <v/>
      </c>
      <c r="B77" s="61" t="str">
        <f>IF($A77="","",VERW_Project!$C73)</f>
        <v/>
      </c>
      <c r="C77" s="61" t="str">
        <f>IF($A77="","",VERW_Project!$D73)</f>
        <v/>
      </c>
      <c r="D77" s="61" t="str">
        <f>IF($A77="","",VERW_Project!$I73)</f>
        <v/>
      </c>
      <c r="E77" s="41" t="str">
        <f>IF($A77="","",IF(ISNUMBER(IF(COUNTIFS(L_Actief,1,L_WBS,$A77,L_Doeljaar,Sel_Doeljaar,L_Versiejaar,P_VJ,L_Versie,E$8,L_Kengetal,"Omzet FY")=0,"n.b.",SUMIFS(L_Waarde,L_Actief,1,L_WBS,$A77,L_Doeljaar,Sel_Doeljaar,L_Versiejaar,P_VJ,L_Versie,E$8,L_Kengetal,"Omzet FY"))),IF(COUNTIFS(L_Actief,1,L_WBS,$A77,L_Doeljaar,Sel_Doeljaar,L_Versiejaar,P_VJ,L_Versie,E$8,L_Kengetal,"Omzet FY")=0,"n.b.",SUMIFS(L_Waarde,L_Actief,1,L_WBS,$A77,L_Doeljaar,Sel_Doeljaar,L_Versiejaar,P_VJ,L_Versie,E$8,L_Kengetal,"Omzet FY"))/P_Factor,IF(COUNTIFS(L_Actief,1,L_WBS,$A77,L_Doeljaar,Sel_Doeljaar,L_Versiejaar,P_VJ,L_Versie,E$8,L_Kengetal,"Omzet FY")=0,"n.b.",SUMIFS(L_Waarde,L_Actief,1,L_WBS,$A77,L_Doeljaar,Sel_Doeljaar,L_Versiejaar,P_VJ,L_Versie,E$8,L_Kengetal,"Omzet FY"))))</f>
        <v/>
      </c>
      <c r="F77" s="41" t="str">
        <f>IF($A77="","",IF(ISNUMBER(IF(COUNTIFS(L_Actief,1,L_WBS,$A77,L_Doeljaar,Sel_Doeljaar,L_Versiejaar,P_VJ,L_Versie,F$8,L_Kengetal,"Omzet FY")=0,"n.b.",SUMIFS(L_Waarde,L_Actief,1,L_WBS,$A77,L_Doeljaar,Sel_Doeljaar,L_Versiejaar,P_VJ,L_Versie,F$8,L_Kengetal,"Omzet FY"))),IF(COUNTIFS(L_Actief,1,L_WBS,$A77,L_Doeljaar,Sel_Doeljaar,L_Versiejaar,P_VJ,L_Versie,F$8,L_Kengetal,"Omzet FY")=0,"n.b.",SUMIFS(L_Waarde,L_Actief,1,L_WBS,$A77,L_Doeljaar,Sel_Doeljaar,L_Versiejaar,P_VJ,L_Versie,F$8,L_Kengetal,"Omzet FY"))/P_Factor,IF(COUNTIFS(L_Actief,1,L_WBS,$A77,L_Doeljaar,Sel_Doeljaar,L_Versiejaar,P_VJ,L_Versie,F$8,L_Kengetal,"Omzet FY")=0,"n.b.",SUMIFS(L_Waarde,L_Actief,1,L_WBS,$A77,L_Doeljaar,Sel_Doeljaar,L_Versiejaar,P_VJ,L_Versie,F$8,L_Kengetal,"Omzet FY"))))</f>
        <v/>
      </c>
      <c r="G77" s="41" t="str">
        <f>IF($A77="","",IF(ISNUMBER(IF(COUNTIFS(L_Actief,1,L_WBS,$A77,L_Doeljaar,Sel_Doeljaar,L_Versiejaar,P_VJ,L_Versie,G$8,L_Kengetal,"Omzet FY")=0,"n.b.",SUMIFS(L_Waarde,L_Actief,1,L_WBS,$A77,L_Doeljaar,Sel_Doeljaar,L_Versiejaar,P_VJ,L_Versie,G$8,L_Kengetal,"Omzet FY"))),IF(COUNTIFS(L_Actief,1,L_WBS,$A77,L_Doeljaar,Sel_Doeljaar,L_Versiejaar,P_VJ,L_Versie,G$8,L_Kengetal,"Omzet FY")=0,"n.b.",SUMIFS(L_Waarde,L_Actief,1,L_WBS,$A77,L_Doeljaar,Sel_Doeljaar,L_Versiejaar,P_VJ,L_Versie,G$8,L_Kengetal,"Omzet FY"))/P_Factor,IF(COUNTIFS(L_Actief,1,L_WBS,$A77,L_Doeljaar,Sel_Doeljaar,L_Versiejaar,P_VJ,L_Versie,G$8,L_Kengetal,"Omzet FY")=0,"n.b.",SUMIFS(L_Waarde,L_Actief,1,L_WBS,$A77,L_Doeljaar,Sel_Doeljaar,L_Versiejaar,P_VJ,L_Versie,G$8,L_Kengetal,"Omzet FY"))))</f>
        <v/>
      </c>
      <c r="H77" s="41" t="str">
        <f>IF($A77="","",IF(ISNUMBER(IF(COUNTIFS(L_Actief,1,L_WBS,$A77,L_Doeljaar,Sel_Doeljaar,L_Versiejaar,P_VJ,L_Versie,H$8,L_Kengetal,"Omzet FY")=0,"n.b.",SUMIFS(L_Waarde,L_Actief,1,L_WBS,$A77,L_Doeljaar,Sel_Doeljaar,L_Versiejaar,P_VJ,L_Versie,H$8,L_Kengetal,"Omzet FY"))),IF(COUNTIFS(L_Actief,1,L_WBS,$A77,L_Doeljaar,Sel_Doeljaar,L_Versiejaar,P_VJ,L_Versie,H$8,L_Kengetal,"Omzet FY")=0,"n.b.",SUMIFS(L_Waarde,L_Actief,1,L_WBS,$A77,L_Doeljaar,Sel_Doeljaar,L_Versiejaar,P_VJ,L_Versie,H$8,L_Kengetal,"Omzet FY"))/P_Factor,IF(COUNTIFS(L_Actief,1,L_WBS,$A77,L_Doeljaar,Sel_Doeljaar,L_Versiejaar,P_VJ,L_Versie,H$8,L_Kengetal,"Omzet FY")=0,"n.b.",SUMIFS(L_Waarde,L_Actief,1,L_WBS,$A77,L_Doeljaar,Sel_Doeljaar,L_Versiejaar,P_VJ,L_Versie,H$8,L_Kengetal,"Omzet FY"))))</f>
        <v/>
      </c>
      <c r="I77" s="41" t="str">
        <f>IF($A77="","",IF(ISNUMBER(IF(COUNTIFS(L_Actief,1,L_WBS,$A77,L_Doeljaar,Sel_Doeljaar,L_Versiejaar,P_VJ,L_Versie,I$8,L_Kengetal,"Omzet FY")=0,"n.b.",SUMIFS(L_Waarde,L_Actief,1,L_WBS,$A77,L_Doeljaar,Sel_Doeljaar,L_Versiejaar,P_VJ,L_Versie,I$8,L_Kengetal,"Omzet FY"))),IF(COUNTIFS(L_Actief,1,L_WBS,$A77,L_Doeljaar,Sel_Doeljaar,L_Versiejaar,P_VJ,L_Versie,I$8,L_Kengetal,"Omzet FY")=0,"n.b.",SUMIFS(L_Waarde,L_Actief,1,L_WBS,$A77,L_Doeljaar,Sel_Doeljaar,L_Versiejaar,P_VJ,L_Versie,I$8,L_Kengetal,"Omzet FY"))/P_Factor,IF(COUNTIFS(L_Actief,1,L_WBS,$A77,L_Doeljaar,Sel_Doeljaar,L_Versiejaar,P_VJ,L_Versie,I$8,L_Kengetal,"Omzet FY")=0,"n.b.",SUMIFS(L_Waarde,L_Actief,1,L_WBS,$A77,L_Doeljaar,Sel_Doeljaar,L_Versiejaar,P_VJ,L_Versie,I$8,L_Kengetal,"Omzet FY"))))</f>
        <v/>
      </c>
      <c r="J77" s="41" t="str">
        <f>IF($A77="","",IF(ISNUMBER(IF(Sel_Doeljaar=P_RJ,VERW_Project!$P73,IF(Sel_Doeljaar=P_RJ+1,VERW_Project!$R73,"n.b."))),IF(Sel_Doeljaar=P_RJ,VERW_Project!$P73,IF(Sel_Doeljaar=P_RJ+1,VERW_Project!$R73,"n.b."))/P_Factor,IF(Sel_Doeljaar=P_RJ,VERW_Project!$P73,IF(Sel_Doeljaar=P_RJ+1,VERW_Project!$R73,"n.b."))))</f>
        <v/>
      </c>
      <c r="K77" s="41" t="str">
        <f>IF($A77="","",IF(Sel_Bron="Vastgesteld",INDEX($E77:$I77,MATCH(Sel_Versie,$E$8:$I$8,0)),IF(Sel_Bron="Concept",J77,"n.b.")))</f>
        <v/>
      </c>
      <c r="L77" s="62" t="str">
        <f>IF($A77="","",IF(Sel_Doeljaar&gt;P_VJ,"n.v.t.",IF(Sel_Bron="Vastgesteld",IF(ISNUMBER(IF(COUNTIFS(L_Actief,1,L_WBS,$A77,L_Doeljaar,Sel_Doeljaar,L_Versiejaar,P_VJ,L_Versie,Sel_Versie,L_Kengetal,"Omzet actual YTD")=0,"n.b.",SUMIFS(L_Waarde,L_Actief,1,L_WBS,$A77,L_Doeljaar,Sel_Doeljaar,L_Versiejaar,P_VJ,L_Versie,Sel_Versie,L_Kengetal,"Omzet actual YTD"))),IF(COUNTIFS(L_Actief,1,L_WBS,$A77,L_Doeljaar,Sel_Doeljaar,L_Versiejaar,P_VJ,L_Versie,Sel_Versie,L_Kengetal,"Omzet actual YTD")=0,"n.b.",SUMIFS(L_Waarde,L_Actief,1,L_WBS,$A77,L_Doeljaar,Sel_Doeljaar,L_Versiejaar,P_VJ,L_Versie,Sel_Versie,L_Kengetal,"Omzet actual YTD"))/P_Factor,IF(COUNTIFS(L_Actief,1,L_WBS,$A77,L_Doeljaar,Sel_Doeljaar,L_Versiejaar,P_VJ,L_Versie,Sel_Versie,L_Kengetal,"Omzet actual YTD")=0,"n.b.",SUMIFS(L_Waarde,L_Actief,1,L_WBS,$A77,L_Doeljaar,Sel_Doeljaar,L_Versiejaar,P_VJ,L_Versie,Sel_Versie,L_Kengetal,"Omzet actual YTD"))),IF(Sel_Bron="Concept",IF(ISNUMBER(IF(Sel_Doeljaar=P_RJ,VERW_Project!$L73,"n.v.t.")),IF(Sel_Doeljaar=P_RJ,VERW_Project!$L73,"n.v.t.")/P_Factor,IF(Sel_Doeljaar=P_RJ,VERW_Project!$L73,"n.v.t.")),"n.b."))))</f>
        <v/>
      </c>
      <c r="M77" s="41" t="str">
        <f>IF($A77="","",IF(L77="n.v.t.",K77,IF(AND(ISNUMBER(K77),ISNUMBER(L77)),K77-L77,"n.b.")))</f>
        <v/>
      </c>
      <c r="N77" s="41" t="str">
        <f>IF($A77="","",IF(Sel_Bron="Vastgesteld",IF(ISNUMBER(IF(COUNTIFS(L_Actief,1,L_WBS,$A77,L_Doeljaar,Sel_Doeljaar,L_Versiejaar,P_VJ,L_Versie,Sel_Versie,L_Kengetal,"BOR FY")=0,"n.b.",SUMIFS(L_Waarde,L_Actief,1,L_WBS,$A77,L_Doeljaar,Sel_Doeljaar,L_Versiejaar,P_VJ,L_Versie,Sel_Versie,L_Kengetal,"BOR FY"))),IF(COUNTIFS(L_Actief,1,L_WBS,$A77,L_Doeljaar,Sel_Doeljaar,L_Versiejaar,P_VJ,L_Versie,Sel_Versie,L_Kengetal,"BOR FY")=0,"n.b.",SUMIFS(L_Waarde,L_Actief,1,L_WBS,$A77,L_Doeljaar,Sel_Doeljaar,L_Versiejaar,P_VJ,L_Versie,Sel_Versie,L_Kengetal,"BOR FY"))/P_Factor,IF(COUNTIFS(L_Actief,1,L_WBS,$A77,L_Doeljaar,Sel_Doeljaar,L_Versiejaar,P_VJ,L_Versie,Sel_Versie,L_Kengetal,"BOR FY")=0,"n.b.",SUMIFS(L_Waarde,L_Actief,1,L_WBS,$A77,L_Doeljaar,Sel_Doeljaar,L_Versiejaar,P_VJ,L_Versie,Sel_Versie,L_Kengetal,"BOR FY"))),IF(Sel_Bron="Concept",IF(ISNUMBER(IF(Sel_Doeljaar=P_RJ,VERW_Project!$Q73,IF(Sel_Doeljaar=P_RJ+1,VERW_Project!$S73,"n.b."))),IF(Sel_Doeljaar=P_RJ,VERW_Project!$Q73,IF(Sel_Doeljaar=P_RJ+1,VERW_Project!$S73,"n.b."))/P_Factor,IF(Sel_Doeljaar=P_RJ,VERW_Project!$Q73,IF(Sel_Doeljaar=P_RJ+1,VERW_Project!$S73,"n.b."))),"n.b.")))</f>
        <v/>
      </c>
      <c r="O77" s="63" t="str">
        <f>IF($A77="","",IF(AND(ISNUMBER(N77),ISNUMBER(K77)),IF(K77&lt;&gt;0,N77/K77,"n.b."),"n.b."))</f>
        <v/>
      </c>
      <c r="P77" s="41" t="str">
        <f>IF($A77="","",IF(AND(ISNUMBER(K77),ISNUMBER(E77)),K77-E77,"n.b."))</f>
        <v/>
      </c>
      <c r="Q77" s="41" t="str">
        <f>IF($A77="","",IF(AND(ISNUMBER(K77),ISNUMBER(W77)),K77-W77,"n.b."))</f>
        <v/>
      </c>
      <c r="R77" s="64" t="str">
        <f>IF($A77="","",IF(ISNUMBER(N77),IF(N77&lt;0,"Verlies",""),""))</f>
        <v/>
      </c>
      <c r="S77" s="61" t="str">
        <f>IF($A77="","",IFERROR(INDEX(T_Txt,MATCH($A77&amp;"|"&amp;Sel_Doeljaar&amp;"|"&amp;P_VJ&amp;"|"&amp;Sel_Versie,T_Key,0)),""))</f>
        <v/>
      </c>
      <c r="U77" s="15" t="str">
        <f>IF(AND(AND($A77&lt;&gt;"",OR(Sel_Type="Alle",$C77=Sel_Type),OR(Sel_Project="Alle",$B77=Sel_Project)),ISNUMBER(K77)),K77+ROW()/1000000000,"")</f>
        <v/>
      </c>
      <c r="V77" s="15" t="str">
        <f>IF(AND(AND($A77&lt;&gt;"",OR(Sel_Type="Alle",$C77=Sel_Type),OR(Sel_Project="Alle",$B77=Sel_Project)),ISNUMBER(Q77)),ABS(Q77)+ROW()/1000000000,"")</f>
        <v/>
      </c>
      <c r="W77" s="15" t="str">
        <f>IF(OR($A77="",Sel_Prev=""),"n.b.",IF(ISNUMBER(IF(COUNTIFS(L_Actief,1,L_WBS,$A77,L_Doeljaar,Sel_Doeljaar,L_Versiejaar,P_VJ,L_Versie,Sel_Prev,L_Kengetal,"Omzet FY")=0,"n.b.",SUMIFS(L_Waarde,L_Actief,1,L_WBS,$A77,L_Doeljaar,Sel_Doeljaar,L_Versiejaar,P_VJ,L_Versie,Sel_Prev,L_Kengetal,"Omzet FY"))),IF(COUNTIFS(L_Actief,1,L_WBS,$A77,L_Doeljaar,Sel_Doeljaar,L_Versiejaar,P_VJ,L_Versie,Sel_Prev,L_Kengetal,"Omzet FY")=0,"n.b.",SUMIFS(L_Waarde,L_Actief,1,L_WBS,$A77,L_Doeljaar,Sel_Doeljaar,L_Versiejaar,P_VJ,L_Versie,Sel_Prev,L_Kengetal,"Omzet FY"))/P_Factor,IF(COUNTIFS(L_Actief,1,L_WBS,$A77,L_Doeljaar,Sel_Doeljaar,L_Versiejaar,P_VJ,L_Versie,Sel_Prev,L_Kengetal,"Omzet FY")=0,"n.b.",SUMIFS(L_Waarde,L_Actief,1,L_WBS,$A77,L_Doeljaar,Sel_Doeljaar,L_Versiejaar,P_VJ,L_Versie,Sel_Prev,L_Kengetal,"Omzet FY"))))</f>
        <v>n.b.</v>
      </c>
    </row>
    <row r="78">
      <c r="A78" s="61" t="str">
        <f>IF(VERW_Project!$A74="","",VERW_Project!$A74)</f>
        <v/>
      </c>
      <c r="B78" s="61" t="str">
        <f>IF($A78="","",VERW_Project!$C74)</f>
        <v/>
      </c>
      <c r="C78" s="61" t="str">
        <f>IF($A78="","",VERW_Project!$D74)</f>
        <v/>
      </c>
      <c r="D78" s="61" t="str">
        <f>IF($A78="","",VERW_Project!$I74)</f>
        <v/>
      </c>
      <c r="E78" s="41" t="str">
        <f>IF($A78="","",IF(ISNUMBER(IF(COUNTIFS(L_Actief,1,L_WBS,$A78,L_Doeljaar,Sel_Doeljaar,L_Versiejaar,P_VJ,L_Versie,E$8,L_Kengetal,"Omzet FY")=0,"n.b.",SUMIFS(L_Waarde,L_Actief,1,L_WBS,$A78,L_Doeljaar,Sel_Doeljaar,L_Versiejaar,P_VJ,L_Versie,E$8,L_Kengetal,"Omzet FY"))),IF(COUNTIFS(L_Actief,1,L_WBS,$A78,L_Doeljaar,Sel_Doeljaar,L_Versiejaar,P_VJ,L_Versie,E$8,L_Kengetal,"Omzet FY")=0,"n.b.",SUMIFS(L_Waarde,L_Actief,1,L_WBS,$A78,L_Doeljaar,Sel_Doeljaar,L_Versiejaar,P_VJ,L_Versie,E$8,L_Kengetal,"Omzet FY"))/P_Factor,IF(COUNTIFS(L_Actief,1,L_WBS,$A78,L_Doeljaar,Sel_Doeljaar,L_Versiejaar,P_VJ,L_Versie,E$8,L_Kengetal,"Omzet FY")=0,"n.b.",SUMIFS(L_Waarde,L_Actief,1,L_WBS,$A78,L_Doeljaar,Sel_Doeljaar,L_Versiejaar,P_VJ,L_Versie,E$8,L_Kengetal,"Omzet FY"))))</f>
        <v/>
      </c>
      <c r="F78" s="41" t="str">
        <f>IF($A78="","",IF(ISNUMBER(IF(COUNTIFS(L_Actief,1,L_WBS,$A78,L_Doeljaar,Sel_Doeljaar,L_Versiejaar,P_VJ,L_Versie,F$8,L_Kengetal,"Omzet FY")=0,"n.b.",SUMIFS(L_Waarde,L_Actief,1,L_WBS,$A78,L_Doeljaar,Sel_Doeljaar,L_Versiejaar,P_VJ,L_Versie,F$8,L_Kengetal,"Omzet FY"))),IF(COUNTIFS(L_Actief,1,L_WBS,$A78,L_Doeljaar,Sel_Doeljaar,L_Versiejaar,P_VJ,L_Versie,F$8,L_Kengetal,"Omzet FY")=0,"n.b.",SUMIFS(L_Waarde,L_Actief,1,L_WBS,$A78,L_Doeljaar,Sel_Doeljaar,L_Versiejaar,P_VJ,L_Versie,F$8,L_Kengetal,"Omzet FY"))/P_Factor,IF(COUNTIFS(L_Actief,1,L_WBS,$A78,L_Doeljaar,Sel_Doeljaar,L_Versiejaar,P_VJ,L_Versie,F$8,L_Kengetal,"Omzet FY")=0,"n.b.",SUMIFS(L_Waarde,L_Actief,1,L_WBS,$A78,L_Doeljaar,Sel_Doeljaar,L_Versiejaar,P_VJ,L_Versie,F$8,L_Kengetal,"Omzet FY"))))</f>
        <v/>
      </c>
      <c r="G78" s="41" t="str">
        <f>IF($A78="","",IF(ISNUMBER(IF(COUNTIFS(L_Actief,1,L_WBS,$A78,L_Doeljaar,Sel_Doeljaar,L_Versiejaar,P_VJ,L_Versie,G$8,L_Kengetal,"Omzet FY")=0,"n.b.",SUMIFS(L_Waarde,L_Actief,1,L_WBS,$A78,L_Doeljaar,Sel_Doeljaar,L_Versiejaar,P_VJ,L_Versie,G$8,L_Kengetal,"Omzet FY"))),IF(COUNTIFS(L_Actief,1,L_WBS,$A78,L_Doeljaar,Sel_Doeljaar,L_Versiejaar,P_VJ,L_Versie,G$8,L_Kengetal,"Omzet FY")=0,"n.b.",SUMIFS(L_Waarde,L_Actief,1,L_WBS,$A78,L_Doeljaar,Sel_Doeljaar,L_Versiejaar,P_VJ,L_Versie,G$8,L_Kengetal,"Omzet FY"))/P_Factor,IF(COUNTIFS(L_Actief,1,L_WBS,$A78,L_Doeljaar,Sel_Doeljaar,L_Versiejaar,P_VJ,L_Versie,G$8,L_Kengetal,"Omzet FY")=0,"n.b.",SUMIFS(L_Waarde,L_Actief,1,L_WBS,$A78,L_Doeljaar,Sel_Doeljaar,L_Versiejaar,P_VJ,L_Versie,G$8,L_Kengetal,"Omzet FY"))))</f>
        <v/>
      </c>
      <c r="H78" s="41" t="str">
        <f>IF($A78="","",IF(ISNUMBER(IF(COUNTIFS(L_Actief,1,L_WBS,$A78,L_Doeljaar,Sel_Doeljaar,L_Versiejaar,P_VJ,L_Versie,H$8,L_Kengetal,"Omzet FY")=0,"n.b.",SUMIFS(L_Waarde,L_Actief,1,L_WBS,$A78,L_Doeljaar,Sel_Doeljaar,L_Versiejaar,P_VJ,L_Versie,H$8,L_Kengetal,"Omzet FY"))),IF(COUNTIFS(L_Actief,1,L_WBS,$A78,L_Doeljaar,Sel_Doeljaar,L_Versiejaar,P_VJ,L_Versie,H$8,L_Kengetal,"Omzet FY")=0,"n.b.",SUMIFS(L_Waarde,L_Actief,1,L_WBS,$A78,L_Doeljaar,Sel_Doeljaar,L_Versiejaar,P_VJ,L_Versie,H$8,L_Kengetal,"Omzet FY"))/P_Factor,IF(COUNTIFS(L_Actief,1,L_WBS,$A78,L_Doeljaar,Sel_Doeljaar,L_Versiejaar,P_VJ,L_Versie,H$8,L_Kengetal,"Omzet FY")=0,"n.b.",SUMIFS(L_Waarde,L_Actief,1,L_WBS,$A78,L_Doeljaar,Sel_Doeljaar,L_Versiejaar,P_VJ,L_Versie,H$8,L_Kengetal,"Omzet FY"))))</f>
        <v/>
      </c>
      <c r="I78" s="41" t="str">
        <f>IF($A78="","",IF(ISNUMBER(IF(COUNTIFS(L_Actief,1,L_WBS,$A78,L_Doeljaar,Sel_Doeljaar,L_Versiejaar,P_VJ,L_Versie,I$8,L_Kengetal,"Omzet FY")=0,"n.b.",SUMIFS(L_Waarde,L_Actief,1,L_WBS,$A78,L_Doeljaar,Sel_Doeljaar,L_Versiejaar,P_VJ,L_Versie,I$8,L_Kengetal,"Omzet FY"))),IF(COUNTIFS(L_Actief,1,L_WBS,$A78,L_Doeljaar,Sel_Doeljaar,L_Versiejaar,P_VJ,L_Versie,I$8,L_Kengetal,"Omzet FY")=0,"n.b.",SUMIFS(L_Waarde,L_Actief,1,L_WBS,$A78,L_Doeljaar,Sel_Doeljaar,L_Versiejaar,P_VJ,L_Versie,I$8,L_Kengetal,"Omzet FY"))/P_Factor,IF(COUNTIFS(L_Actief,1,L_WBS,$A78,L_Doeljaar,Sel_Doeljaar,L_Versiejaar,P_VJ,L_Versie,I$8,L_Kengetal,"Omzet FY")=0,"n.b.",SUMIFS(L_Waarde,L_Actief,1,L_WBS,$A78,L_Doeljaar,Sel_Doeljaar,L_Versiejaar,P_VJ,L_Versie,I$8,L_Kengetal,"Omzet FY"))))</f>
        <v/>
      </c>
      <c r="J78" s="41" t="str">
        <f>IF($A78="","",IF(ISNUMBER(IF(Sel_Doeljaar=P_RJ,VERW_Project!$P74,IF(Sel_Doeljaar=P_RJ+1,VERW_Project!$R74,"n.b."))),IF(Sel_Doeljaar=P_RJ,VERW_Project!$P74,IF(Sel_Doeljaar=P_RJ+1,VERW_Project!$R74,"n.b."))/P_Factor,IF(Sel_Doeljaar=P_RJ,VERW_Project!$P74,IF(Sel_Doeljaar=P_RJ+1,VERW_Project!$R74,"n.b."))))</f>
        <v/>
      </c>
      <c r="K78" s="41" t="str">
        <f>IF($A78="","",IF(Sel_Bron="Vastgesteld",INDEX($E78:$I78,MATCH(Sel_Versie,$E$8:$I$8,0)),IF(Sel_Bron="Concept",J78,"n.b.")))</f>
        <v/>
      </c>
      <c r="L78" s="62" t="str">
        <f>IF($A78="","",IF(Sel_Doeljaar&gt;P_VJ,"n.v.t.",IF(Sel_Bron="Vastgesteld",IF(ISNUMBER(IF(COUNTIFS(L_Actief,1,L_WBS,$A78,L_Doeljaar,Sel_Doeljaar,L_Versiejaar,P_VJ,L_Versie,Sel_Versie,L_Kengetal,"Omzet actual YTD")=0,"n.b.",SUMIFS(L_Waarde,L_Actief,1,L_WBS,$A78,L_Doeljaar,Sel_Doeljaar,L_Versiejaar,P_VJ,L_Versie,Sel_Versie,L_Kengetal,"Omzet actual YTD"))),IF(COUNTIFS(L_Actief,1,L_WBS,$A78,L_Doeljaar,Sel_Doeljaar,L_Versiejaar,P_VJ,L_Versie,Sel_Versie,L_Kengetal,"Omzet actual YTD")=0,"n.b.",SUMIFS(L_Waarde,L_Actief,1,L_WBS,$A78,L_Doeljaar,Sel_Doeljaar,L_Versiejaar,P_VJ,L_Versie,Sel_Versie,L_Kengetal,"Omzet actual YTD"))/P_Factor,IF(COUNTIFS(L_Actief,1,L_WBS,$A78,L_Doeljaar,Sel_Doeljaar,L_Versiejaar,P_VJ,L_Versie,Sel_Versie,L_Kengetal,"Omzet actual YTD")=0,"n.b.",SUMIFS(L_Waarde,L_Actief,1,L_WBS,$A78,L_Doeljaar,Sel_Doeljaar,L_Versiejaar,P_VJ,L_Versie,Sel_Versie,L_Kengetal,"Omzet actual YTD"))),IF(Sel_Bron="Concept",IF(ISNUMBER(IF(Sel_Doeljaar=P_RJ,VERW_Project!$L74,"n.v.t.")),IF(Sel_Doeljaar=P_RJ,VERW_Project!$L74,"n.v.t.")/P_Factor,IF(Sel_Doeljaar=P_RJ,VERW_Project!$L74,"n.v.t.")),"n.b."))))</f>
        <v/>
      </c>
      <c r="M78" s="41" t="str">
        <f>IF($A78="","",IF(L78="n.v.t.",K78,IF(AND(ISNUMBER(K78),ISNUMBER(L78)),K78-L78,"n.b.")))</f>
        <v/>
      </c>
      <c r="N78" s="41" t="str">
        <f>IF($A78="","",IF(Sel_Bron="Vastgesteld",IF(ISNUMBER(IF(COUNTIFS(L_Actief,1,L_WBS,$A78,L_Doeljaar,Sel_Doeljaar,L_Versiejaar,P_VJ,L_Versie,Sel_Versie,L_Kengetal,"BOR FY")=0,"n.b.",SUMIFS(L_Waarde,L_Actief,1,L_WBS,$A78,L_Doeljaar,Sel_Doeljaar,L_Versiejaar,P_VJ,L_Versie,Sel_Versie,L_Kengetal,"BOR FY"))),IF(COUNTIFS(L_Actief,1,L_WBS,$A78,L_Doeljaar,Sel_Doeljaar,L_Versiejaar,P_VJ,L_Versie,Sel_Versie,L_Kengetal,"BOR FY")=0,"n.b.",SUMIFS(L_Waarde,L_Actief,1,L_WBS,$A78,L_Doeljaar,Sel_Doeljaar,L_Versiejaar,P_VJ,L_Versie,Sel_Versie,L_Kengetal,"BOR FY"))/P_Factor,IF(COUNTIFS(L_Actief,1,L_WBS,$A78,L_Doeljaar,Sel_Doeljaar,L_Versiejaar,P_VJ,L_Versie,Sel_Versie,L_Kengetal,"BOR FY")=0,"n.b.",SUMIFS(L_Waarde,L_Actief,1,L_WBS,$A78,L_Doeljaar,Sel_Doeljaar,L_Versiejaar,P_VJ,L_Versie,Sel_Versie,L_Kengetal,"BOR FY"))),IF(Sel_Bron="Concept",IF(ISNUMBER(IF(Sel_Doeljaar=P_RJ,VERW_Project!$Q74,IF(Sel_Doeljaar=P_RJ+1,VERW_Project!$S74,"n.b."))),IF(Sel_Doeljaar=P_RJ,VERW_Project!$Q74,IF(Sel_Doeljaar=P_RJ+1,VERW_Project!$S74,"n.b."))/P_Factor,IF(Sel_Doeljaar=P_RJ,VERW_Project!$Q74,IF(Sel_Doeljaar=P_RJ+1,VERW_Project!$S74,"n.b."))),"n.b.")))</f>
        <v/>
      </c>
      <c r="O78" s="63" t="str">
        <f>IF($A78="","",IF(AND(ISNUMBER(N78),ISNUMBER(K78)),IF(K78&lt;&gt;0,N78/K78,"n.b."),"n.b."))</f>
        <v/>
      </c>
      <c r="P78" s="41" t="str">
        <f>IF($A78="","",IF(AND(ISNUMBER(K78),ISNUMBER(E78)),K78-E78,"n.b."))</f>
        <v/>
      </c>
      <c r="Q78" s="41" t="str">
        <f>IF($A78="","",IF(AND(ISNUMBER(K78),ISNUMBER(W78)),K78-W78,"n.b."))</f>
        <v/>
      </c>
      <c r="R78" s="64" t="str">
        <f>IF($A78="","",IF(ISNUMBER(N78),IF(N78&lt;0,"Verlies",""),""))</f>
        <v/>
      </c>
      <c r="S78" s="61" t="str">
        <f>IF($A78="","",IFERROR(INDEX(T_Txt,MATCH($A78&amp;"|"&amp;Sel_Doeljaar&amp;"|"&amp;P_VJ&amp;"|"&amp;Sel_Versie,T_Key,0)),""))</f>
        <v/>
      </c>
      <c r="U78" s="15" t="str">
        <f>IF(AND(AND($A78&lt;&gt;"",OR(Sel_Type="Alle",$C78=Sel_Type),OR(Sel_Project="Alle",$B78=Sel_Project)),ISNUMBER(K78)),K78+ROW()/1000000000,"")</f>
        <v/>
      </c>
      <c r="V78" s="15" t="str">
        <f>IF(AND(AND($A78&lt;&gt;"",OR(Sel_Type="Alle",$C78=Sel_Type),OR(Sel_Project="Alle",$B78=Sel_Project)),ISNUMBER(Q78)),ABS(Q78)+ROW()/1000000000,"")</f>
        <v/>
      </c>
      <c r="W78" s="15" t="str">
        <f>IF(OR($A78="",Sel_Prev=""),"n.b.",IF(ISNUMBER(IF(COUNTIFS(L_Actief,1,L_WBS,$A78,L_Doeljaar,Sel_Doeljaar,L_Versiejaar,P_VJ,L_Versie,Sel_Prev,L_Kengetal,"Omzet FY")=0,"n.b.",SUMIFS(L_Waarde,L_Actief,1,L_WBS,$A78,L_Doeljaar,Sel_Doeljaar,L_Versiejaar,P_VJ,L_Versie,Sel_Prev,L_Kengetal,"Omzet FY"))),IF(COUNTIFS(L_Actief,1,L_WBS,$A78,L_Doeljaar,Sel_Doeljaar,L_Versiejaar,P_VJ,L_Versie,Sel_Prev,L_Kengetal,"Omzet FY")=0,"n.b.",SUMIFS(L_Waarde,L_Actief,1,L_WBS,$A78,L_Doeljaar,Sel_Doeljaar,L_Versiejaar,P_VJ,L_Versie,Sel_Prev,L_Kengetal,"Omzet FY"))/P_Factor,IF(COUNTIFS(L_Actief,1,L_WBS,$A78,L_Doeljaar,Sel_Doeljaar,L_Versiejaar,P_VJ,L_Versie,Sel_Prev,L_Kengetal,"Omzet FY")=0,"n.b.",SUMIFS(L_Waarde,L_Actief,1,L_WBS,$A78,L_Doeljaar,Sel_Doeljaar,L_Versiejaar,P_VJ,L_Versie,Sel_Prev,L_Kengetal,"Omzet FY"))))</f>
        <v>n.b.</v>
      </c>
    </row>
    <row r="79">
      <c r="A79" s="61" t="str">
        <f>IF(VERW_Project!$A75="","",VERW_Project!$A75)</f>
        <v/>
      </c>
      <c r="B79" s="61" t="str">
        <f>IF($A79="","",VERW_Project!$C75)</f>
        <v/>
      </c>
      <c r="C79" s="61" t="str">
        <f>IF($A79="","",VERW_Project!$D75)</f>
        <v/>
      </c>
      <c r="D79" s="61" t="str">
        <f>IF($A79="","",VERW_Project!$I75)</f>
        <v/>
      </c>
      <c r="E79" s="41" t="str">
        <f>IF($A79="","",IF(ISNUMBER(IF(COUNTIFS(L_Actief,1,L_WBS,$A79,L_Doeljaar,Sel_Doeljaar,L_Versiejaar,P_VJ,L_Versie,E$8,L_Kengetal,"Omzet FY")=0,"n.b.",SUMIFS(L_Waarde,L_Actief,1,L_WBS,$A79,L_Doeljaar,Sel_Doeljaar,L_Versiejaar,P_VJ,L_Versie,E$8,L_Kengetal,"Omzet FY"))),IF(COUNTIFS(L_Actief,1,L_WBS,$A79,L_Doeljaar,Sel_Doeljaar,L_Versiejaar,P_VJ,L_Versie,E$8,L_Kengetal,"Omzet FY")=0,"n.b.",SUMIFS(L_Waarde,L_Actief,1,L_WBS,$A79,L_Doeljaar,Sel_Doeljaar,L_Versiejaar,P_VJ,L_Versie,E$8,L_Kengetal,"Omzet FY"))/P_Factor,IF(COUNTIFS(L_Actief,1,L_WBS,$A79,L_Doeljaar,Sel_Doeljaar,L_Versiejaar,P_VJ,L_Versie,E$8,L_Kengetal,"Omzet FY")=0,"n.b.",SUMIFS(L_Waarde,L_Actief,1,L_WBS,$A79,L_Doeljaar,Sel_Doeljaar,L_Versiejaar,P_VJ,L_Versie,E$8,L_Kengetal,"Omzet FY"))))</f>
        <v/>
      </c>
      <c r="F79" s="41" t="str">
        <f>IF($A79="","",IF(ISNUMBER(IF(COUNTIFS(L_Actief,1,L_WBS,$A79,L_Doeljaar,Sel_Doeljaar,L_Versiejaar,P_VJ,L_Versie,F$8,L_Kengetal,"Omzet FY")=0,"n.b.",SUMIFS(L_Waarde,L_Actief,1,L_WBS,$A79,L_Doeljaar,Sel_Doeljaar,L_Versiejaar,P_VJ,L_Versie,F$8,L_Kengetal,"Omzet FY"))),IF(COUNTIFS(L_Actief,1,L_WBS,$A79,L_Doeljaar,Sel_Doeljaar,L_Versiejaar,P_VJ,L_Versie,F$8,L_Kengetal,"Omzet FY")=0,"n.b.",SUMIFS(L_Waarde,L_Actief,1,L_WBS,$A79,L_Doeljaar,Sel_Doeljaar,L_Versiejaar,P_VJ,L_Versie,F$8,L_Kengetal,"Omzet FY"))/P_Factor,IF(COUNTIFS(L_Actief,1,L_WBS,$A79,L_Doeljaar,Sel_Doeljaar,L_Versiejaar,P_VJ,L_Versie,F$8,L_Kengetal,"Omzet FY")=0,"n.b.",SUMIFS(L_Waarde,L_Actief,1,L_WBS,$A79,L_Doeljaar,Sel_Doeljaar,L_Versiejaar,P_VJ,L_Versie,F$8,L_Kengetal,"Omzet FY"))))</f>
        <v/>
      </c>
      <c r="G79" s="41" t="str">
        <f>IF($A79="","",IF(ISNUMBER(IF(COUNTIFS(L_Actief,1,L_WBS,$A79,L_Doeljaar,Sel_Doeljaar,L_Versiejaar,P_VJ,L_Versie,G$8,L_Kengetal,"Omzet FY")=0,"n.b.",SUMIFS(L_Waarde,L_Actief,1,L_WBS,$A79,L_Doeljaar,Sel_Doeljaar,L_Versiejaar,P_VJ,L_Versie,G$8,L_Kengetal,"Omzet FY"))),IF(COUNTIFS(L_Actief,1,L_WBS,$A79,L_Doeljaar,Sel_Doeljaar,L_Versiejaar,P_VJ,L_Versie,G$8,L_Kengetal,"Omzet FY")=0,"n.b.",SUMIFS(L_Waarde,L_Actief,1,L_WBS,$A79,L_Doeljaar,Sel_Doeljaar,L_Versiejaar,P_VJ,L_Versie,G$8,L_Kengetal,"Omzet FY"))/P_Factor,IF(COUNTIFS(L_Actief,1,L_WBS,$A79,L_Doeljaar,Sel_Doeljaar,L_Versiejaar,P_VJ,L_Versie,G$8,L_Kengetal,"Omzet FY")=0,"n.b.",SUMIFS(L_Waarde,L_Actief,1,L_WBS,$A79,L_Doeljaar,Sel_Doeljaar,L_Versiejaar,P_VJ,L_Versie,G$8,L_Kengetal,"Omzet FY"))))</f>
        <v/>
      </c>
      <c r="H79" s="41" t="str">
        <f>IF($A79="","",IF(ISNUMBER(IF(COUNTIFS(L_Actief,1,L_WBS,$A79,L_Doeljaar,Sel_Doeljaar,L_Versiejaar,P_VJ,L_Versie,H$8,L_Kengetal,"Omzet FY")=0,"n.b.",SUMIFS(L_Waarde,L_Actief,1,L_WBS,$A79,L_Doeljaar,Sel_Doeljaar,L_Versiejaar,P_VJ,L_Versie,H$8,L_Kengetal,"Omzet FY"))),IF(COUNTIFS(L_Actief,1,L_WBS,$A79,L_Doeljaar,Sel_Doeljaar,L_Versiejaar,P_VJ,L_Versie,H$8,L_Kengetal,"Omzet FY")=0,"n.b.",SUMIFS(L_Waarde,L_Actief,1,L_WBS,$A79,L_Doeljaar,Sel_Doeljaar,L_Versiejaar,P_VJ,L_Versie,H$8,L_Kengetal,"Omzet FY"))/P_Factor,IF(COUNTIFS(L_Actief,1,L_WBS,$A79,L_Doeljaar,Sel_Doeljaar,L_Versiejaar,P_VJ,L_Versie,H$8,L_Kengetal,"Omzet FY")=0,"n.b.",SUMIFS(L_Waarde,L_Actief,1,L_WBS,$A79,L_Doeljaar,Sel_Doeljaar,L_Versiejaar,P_VJ,L_Versie,H$8,L_Kengetal,"Omzet FY"))))</f>
        <v/>
      </c>
      <c r="I79" s="41" t="str">
        <f>IF($A79="","",IF(ISNUMBER(IF(COUNTIFS(L_Actief,1,L_WBS,$A79,L_Doeljaar,Sel_Doeljaar,L_Versiejaar,P_VJ,L_Versie,I$8,L_Kengetal,"Omzet FY")=0,"n.b.",SUMIFS(L_Waarde,L_Actief,1,L_WBS,$A79,L_Doeljaar,Sel_Doeljaar,L_Versiejaar,P_VJ,L_Versie,I$8,L_Kengetal,"Omzet FY"))),IF(COUNTIFS(L_Actief,1,L_WBS,$A79,L_Doeljaar,Sel_Doeljaar,L_Versiejaar,P_VJ,L_Versie,I$8,L_Kengetal,"Omzet FY")=0,"n.b.",SUMIFS(L_Waarde,L_Actief,1,L_WBS,$A79,L_Doeljaar,Sel_Doeljaar,L_Versiejaar,P_VJ,L_Versie,I$8,L_Kengetal,"Omzet FY"))/P_Factor,IF(COUNTIFS(L_Actief,1,L_WBS,$A79,L_Doeljaar,Sel_Doeljaar,L_Versiejaar,P_VJ,L_Versie,I$8,L_Kengetal,"Omzet FY")=0,"n.b.",SUMIFS(L_Waarde,L_Actief,1,L_WBS,$A79,L_Doeljaar,Sel_Doeljaar,L_Versiejaar,P_VJ,L_Versie,I$8,L_Kengetal,"Omzet FY"))))</f>
        <v/>
      </c>
      <c r="J79" s="41" t="str">
        <f>IF($A79="","",IF(ISNUMBER(IF(Sel_Doeljaar=P_RJ,VERW_Project!$P75,IF(Sel_Doeljaar=P_RJ+1,VERW_Project!$R75,"n.b."))),IF(Sel_Doeljaar=P_RJ,VERW_Project!$P75,IF(Sel_Doeljaar=P_RJ+1,VERW_Project!$R75,"n.b."))/P_Factor,IF(Sel_Doeljaar=P_RJ,VERW_Project!$P75,IF(Sel_Doeljaar=P_RJ+1,VERW_Project!$R75,"n.b."))))</f>
        <v/>
      </c>
      <c r="K79" s="41" t="str">
        <f>IF($A79="","",IF(Sel_Bron="Vastgesteld",INDEX($E79:$I79,MATCH(Sel_Versie,$E$8:$I$8,0)),IF(Sel_Bron="Concept",J79,"n.b.")))</f>
        <v/>
      </c>
      <c r="L79" s="62" t="str">
        <f>IF($A79="","",IF(Sel_Doeljaar&gt;P_VJ,"n.v.t.",IF(Sel_Bron="Vastgesteld",IF(ISNUMBER(IF(COUNTIFS(L_Actief,1,L_WBS,$A79,L_Doeljaar,Sel_Doeljaar,L_Versiejaar,P_VJ,L_Versie,Sel_Versie,L_Kengetal,"Omzet actual YTD")=0,"n.b.",SUMIFS(L_Waarde,L_Actief,1,L_WBS,$A79,L_Doeljaar,Sel_Doeljaar,L_Versiejaar,P_VJ,L_Versie,Sel_Versie,L_Kengetal,"Omzet actual YTD"))),IF(COUNTIFS(L_Actief,1,L_WBS,$A79,L_Doeljaar,Sel_Doeljaar,L_Versiejaar,P_VJ,L_Versie,Sel_Versie,L_Kengetal,"Omzet actual YTD")=0,"n.b.",SUMIFS(L_Waarde,L_Actief,1,L_WBS,$A79,L_Doeljaar,Sel_Doeljaar,L_Versiejaar,P_VJ,L_Versie,Sel_Versie,L_Kengetal,"Omzet actual YTD"))/P_Factor,IF(COUNTIFS(L_Actief,1,L_WBS,$A79,L_Doeljaar,Sel_Doeljaar,L_Versiejaar,P_VJ,L_Versie,Sel_Versie,L_Kengetal,"Omzet actual YTD")=0,"n.b.",SUMIFS(L_Waarde,L_Actief,1,L_WBS,$A79,L_Doeljaar,Sel_Doeljaar,L_Versiejaar,P_VJ,L_Versie,Sel_Versie,L_Kengetal,"Omzet actual YTD"))),IF(Sel_Bron="Concept",IF(ISNUMBER(IF(Sel_Doeljaar=P_RJ,VERW_Project!$L75,"n.v.t.")),IF(Sel_Doeljaar=P_RJ,VERW_Project!$L75,"n.v.t.")/P_Factor,IF(Sel_Doeljaar=P_RJ,VERW_Project!$L75,"n.v.t.")),"n.b."))))</f>
        <v/>
      </c>
      <c r="M79" s="41" t="str">
        <f>IF($A79="","",IF(L79="n.v.t.",K79,IF(AND(ISNUMBER(K79),ISNUMBER(L79)),K79-L79,"n.b.")))</f>
        <v/>
      </c>
      <c r="N79" s="41" t="str">
        <f>IF($A79="","",IF(Sel_Bron="Vastgesteld",IF(ISNUMBER(IF(COUNTIFS(L_Actief,1,L_WBS,$A79,L_Doeljaar,Sel_Doeljaar,L_Versiejaar,P_VJ,L_Versie,Sel_Versie,L_Kengetal,"BOR FY")=0,"n.b.",SUMIFS(L_Waarde,L_Actief,1,L_WBS,$A79,L_Doeljaar,Sel_Doeljaar,L_Versiejaar,P_VJ,L_Versie,Sel_Versie,L_Kengetal,"BOR FY"))),IF(COUNTIFS(L_Actief,1,L_WBS,$A79,L_Doeljaar,Sel_Doeljaar,L_Versiejaar,P_VJ,L_Versie,Sel_Versie,L_Kengetal,"BOR FY")=0,"n.b.",SUMIFS(L_Waarde,L_Actief,1,L_WBS,$A79,L_Doeljaar,Sel_Doeljaar,L_Versiejaar,P_VJ,L_Versie,Sel_Versie,L_Kengetal,"BOR FY"))/P_Factor,IF(COUNTIFS(L_Actief,1,L_WBS,$A79,L_Doeljaar,Sel_Doeljaar,L_Versiejaar,P_VJ,L_Versie,Sel_Versie,L_Kengetal,"BOR FY")=0,"n.b.",SUMIFS(L_Waarde,L_Actief,1,L_WBS,$A79,L_Doeljaar,Sel_Doeljaar,L_Versiejaar,P_VJ,L_Versie,Sel_Versie,L_Kengetal,"BOR FY"))),IF(Sel_Bron="Concept",IF(ISNUMBER(IF(Sel_Doeljaar=P_RJ,VERW_Project!$Q75,IF(Sel_Doeljaar=P_RJ+1,VERW_Project!$S75,"n.b."))),IF(Sel_Doeljaar=P_RJ,VERW_Project!$Q75,IF(Sel_Doeljaar=P_RJ+1,VERW_Project!$S75,"n.b."))/P_Factor,IF(Sel_Doeljaar=P_RJ,VERW_Project!$Q75,IF(Sel_Doeljaar=P_RJ+1,VERW_Project!$S75,"n.b."))),"n.b.")))</f>
        <v/>
      </c>
      <c r="O79" s="63" t="str">
        <f>IF($A79="","",IF(AND(ISNUMBER(N79),ISNUMBER(K79)),IF(K79&lt;&gt;0,N79/K79,"n.b."),"n.b."))</f>
        <v/>
      </c>
      <c r="P79" s="41" t="str">
        <f>IF($A79="","",IF(AND(ISNUMBER(K79),ISNUMBER(E79)),K79-E79,"n.b."))</f>
        <v/>
      </c>
      <c r="Q79" s="41" t="str">
        <f>IF($A79="","",IF(AND(ISNUMBER(K79),ISNUMBER(W79)),K79-W79,"n.b."))</f>
        <v/>
      </c>
      <c r="R79" s="64" t="str">
        <f>IF($A79="","",IF(ISNUMBER(N79),IF(N79&lt;0,"Verlies",""),""))</f>
        <v/>
      </c>
      <c r="S79" s="61" t="str">
        <f>IF($A79="","",IFERROR(INDEX(T_Txt,MATCH($A79&amp;"|"&amp;Sel_Doeljaar&amp;"|"&amp;P_VJ&amp;"|"&amp;Sel_Versie,T_Key,0)),""))</f>
        <v/>
      </c>
      <c r="U79" s="15" t="str">
        <f>IF(AND(AND($A79&lt;&gt;"",OR(Sel_Type="Alle",$C79=Sel_Type),OR(Sel_Project="Alle",$B79=Sel_Project)),ISNUMBER(K79)),K79+ROW()/1000000000,"")</f>
        <v/>
      </c>
      <c r="V79" s="15" t="str">
        <f>IF(AND(AND($A79&lt;&gt;"",OR(Sel_Type="Alle",$C79=Sel_Type),OR(Sel_Project="Alle",$B79=Sel_Project)),ISNUMBER(Q79)),ABS(Q79)+ROW()/1000000000,"")</f>
        <v/>
      </c>
      <c r="W79" s="15" t="str">
        <f>IF(OR($A79="",Sel_Prev=""),"n.b.",IF(ISNUMBER(IF(COUNTIFS(L_Actief,1,L_WBS,$A79,L_Doeljaar,Sel_Doeljaar,L_Versiejaar,P_VJ,L_Versie,Sel_Prev,L_Kengetal,"Omzet FY")=0,"n.b.",SUMIFS(L_Waarde,L_Actief,1,L_WBS,$A79,L_Doeljaar,Sel_Doeljaar,L_Versiejaar,P_VJ,L_Versie,Sel_Prev,L_Kengetal,"Omzet FY"))),IF(COUNTIFS(L_Actief,1,L_WBS,$A79,L_Doeljaar,Sel_Doeljaar,L_Versiejaar,P_VJ,L_Versie,Sel_Prev,L_Kengetal,"Omzet FY")=0,"n.b.",SUMIFS(L_Waarde,L_Actief,1,L_WBS,$A79,L_Doeljaar,Sel_Doeljaar,L_Versiejaar,P_VJ,L_Versie,Sel_Prev,L_Kengetal,"Omzet FY"))/P_Factor,IF(COUNTIFS(L_Actief,1,L_WBS,$A79,L_Doeljaar,Sel_Doeljaar,L_Versiejaar,P_VJ,L_Versie,Sel_Prev,L_Kengetal,"Omzet FY")=0,"n.b.",SUMIFS(L_Waarde,L_Actief,1,L_WBS,$A79,L_Doeljaar,Sel_Doeljaar,L_Versiejaar,P_VJ,L_Versie,Sel_Prev,L_Kengetal,"Omzet FY"))))</f>
        <v>n.b.</v>
      </c>
    </row>
    <row r="80">
      <c r="A80" s="61" t="str">
        <f>IF(VERW_Project!$A76="","",VERW_Project!$A76)</f>
        <v/>
      </c>
      <c r="B80" s="61" t="str">
        <f>IF($A80="","",VERW_Project!$C76)</f>
        <v/>
      </c>
      <c r="C80" s="61" t="str">
        <f>IF($A80="","",VERW_Project!$D76)</f>
        <v/>
      </c>
      <c r="D80" s="61" t="str">
        <f>IF($A80="","",VERW_Project!$I76)</f>
        <v/>
      </c>
      <c r="E80" s="41" t="str">
        <f>IF($A80="","",IF(ISNUMBER(IF(COUNTIFS(L_Actief,1,L_WBS,$A80,L_Doeljaar,Sel_Doeljaar,L_Versiejaar,P_VJ,L_Versie,E$8,L_Kengetal,"Omzet FY")=0,"n.b.",SUMIFS(L_Waarde,L_Actief,1,L_WBS,$A80,L_Doeljaar,Sel_Doeljaar,L_Versiejaar,P_VJ,L_Versie,E$8,L_Kengetal,"Omzet FY"))),IF(COUNTIFS(L_Actief,1,L_WBS,$A80,L_Doeljaar,Sel_Doeljaar,L_Versiejaar,P_VJ,L_Versie,E$8,L_Kengetal,"Omzet FY")=0,"n.b.",SUMIFS(L_Waarde,L_Actief,1,L_WBS,$A80,L_Doeljaar,Sel_Doeljaar,L_Versiejaar,P_VJ,L_Versie,E$8,L_Kengetal,"Omzet FY"))/P_Factor,IF(COUNTIFS(L_Actief,1,L_WBS,$A80,L_Doeljaar,Sel_Doeljaar,L_Versiejaar,P_VJ,L_Versie,E$8,L_Kengetal,"Omzet FY")=0,"n.b.",SUMIFS(L_Waarde,L_Actief,1,L_WBS,$A80,L_Doeljaar,Sel_Doeljaar,L_Versiejaar,P_VJ,L_Versie,E$8,L_Kengetal,"Omzet FY"))))</f>
        <v/>
      </c>
      <c r="F80" s="41" t="str">
        <f>IF($A80="","",IF(ISNUMBER(IF(COUNTIFS(L_Actief,1,L_WBS,$A80,L_Doeljaar,Sel_Doeljaar,L_Versiejaar,P_VJ,L_Versie,F$8,L_Kengetal,"Omzet FY")=0,"n.b.",SUMIFS(L_Waarde,L_Actief,1,L_WBS,$A80,L_Doeljaar,Sel_Doeljaar,L_Versiejaar,P_VJ,L_Versie,F$8,L_Kengetal,"Omzet FY"))),IF(COUNTIFS(L_Actief,1,L_WBS,$A80,L_Doeljaar,Sel_Doeljaar,L_Versiejaar,P_VJ,L_Versie,F$8,L_Kengetal,"Omzet FY")=0,"n.b.",SUMIFS(L_Waarde,L_Actief,1,L_WBS,$A80,L_Doeljaar,Sel_Doeljaar,L_Versiejaar,P_VJ,L_Versie,F$8,L_Kengetal,"Omzet FY"))/P_Factor,IF(COUNTIFS(L_Actief,1,L_WBS,$A80,L_Doeljaar,Sel_Doeljaar,L_Versiejaar,P_VJ,L_Versie,F$8,L_Kengetal,"Omzet FY")=0,"n.b.",SUMIFS(L_Waarde,L_Actief,1,L_WBS,$A80,L_Doeljaar,Sel_Doeljaar,L_Versiejaar,P_VJ,L_Versie,F$8,L_Kengetal,"Omzet FY"))))</f>
        <v/>
      </c>
      <c r="G80" s="41" t="str">
        <f>IF($A80="","",IF(ISNUMBER(IF(COUNTIFS(L_Actief,1,L_WBS,$A80,L_Doeljaar,Sel_Doeljaar,L_Versiejaar,P_VJ,L_Versie,G$8,L_Kengetal,"Omzet FY")=0,"n.b.",SUMIFS(L_Waarde,L_Actief,1,L_WBS,$A80,L_Doeljaar,Sel_Doeljaar,L_Versiejaar,P_VJ,L_Versie,G$8,L_Kengetal,"Omzet FY"))),IF(COUNTIFS(L_Actief,1,L_WBS,$A80,L_Doeljaar,Sel_Doeljaar,L_Versiejaar,P_VJ,L_Versie,G$8,L_Kengetal,"Omzet FY")=0,"n.b.",SUMIFS(L_Waarde,L_Actief,1,L_WBS,$A80,L_Doeljaar,Sel_Doeljaar,L_Versiejaar,P_VJ,L_Versie,G$8,L_Kengetal,"Omzet FY"))/P_Factor,IF(COUNTIFS(L_Actief,1,L_WBS,$A80,L_Doeljaar,Sel_Doeljaar,L_Versiejaar,P_VJ,L_Versie,G$8,L_Kengetal,"Omzet FY")=0,"n.b.",SUMIFS(L_Waarde,L_Actief,1,L_WBS,$A80,L_Doeljaar,Sel_Doeljaar,L_Versiejaar,P_VJ,L_Versie,G$8,L_Kengetal,"Omzet FY"))))</f>
        <v/>
      </c>
      <c r="H80" s="41" t="str">
        <f>IF($A80="","",IF(ISNUMBER(IF(COUNTIFS(L_Actief,1,L_WBS,$A80,L_Doeljaar,Sel_Doeljaar,L_Versiejaar,P_VJ,L_Versie,H$8,L_Kengetal,"Omzet FY")=0,"n.b.",SUMIFS(L_Waarde,L_Actief,1,L_WBS,$A80,L_Doeljaar,Sel_Doeljaar,L_Versiejaar,P_VJ,L_Versie,H$8,L_Kengetal,"Omzet FY"))),IF(COUNTIFS(L_Actief,1,L_WBS,$A80,L_Doeljaar,Sel_Doeljaar,L_Versiejaar,P_VJ,L_Versie,H$8,L_Kengetal,"Omzet FY")=0,"n.b.",SUMIFS(L_Waarde,L_Actief,1,L_WBS,$A80,L_Doeljaar,Sel_Doeljaar,L_Versiejaar,P_VJ,L_Versie,H$8,L_Kengetal,"Omzet FY"))/P_Factor,IF(COUNTIFS(L_Actief,1,L_WBS,$A80,L_Doeljaar,Sel_Doeljaar,L_Versiejaar,P_VJ,L_Versie,H$8,L_Kengetal,"Omzet FY")=0,"n.b.",SUMIFS(L_Waarde,L_Actief,1,L_WBS,$A80,L_Doeljaar,Sel_Doeljaar,L_Versiejaar,P_VJ,L_Versie,H$8,L_Kengetal,"Omzet FY"))))</f>
        <v/>
      </c>
      <c r="I80" s="41" t="str">
        <f>IF($A80="","",IF(ISNUMBER(IF(COUNTIFS(L_Actief,1,L_WBS,$A80,L_Doeljaar,Sel_Doeljaar,L_Versiejaar,P_VJ,L_Versie,I$8,L_Kengetal,"Omzet FY")=0,"n.b.",SUMIFS(L_Waarde,L_Actief,1,L_WBS,$A80,L_Doeljaar,Sel_Doeljaar,L_Versiejaar,P_VJ,L_Versie,I$8,L_Kengetal,"Omzet FY"))),IF(COUNTIFS(L_Actief,1,L_WBS,$A80,L_Doeljaar,Sel_Doeljaar,L_Versiejaar,P_VJ,L_Versie,I$8,L_Kengetal,"Omzet FY")=0,"n.b.",SUMIFS(L_Waarde,L_Actief,1,L_WBS,$A80,L_Doeljaar,Sel_Doeljaar,L_Versiejaar,P_VJ,L_Versie,I$8,L_Kengetal,"Omzet FY"))/P_Factor,IF(COUNTIFS(L_Actief,1,L_WBS,$A80,L_Doeljaar,Sel_Doeljaar,L_Versiejaar,P_VJ,L_Versie,I$8,L_Kengetal,"Omzet FY")=0,"n.b.",SUMIFS(L_Waarde,L_Actief,1,L_WBS,$A80,L_Doeljaar,Sel_Doeljaar,L_Versiejaar,P_VJ,L_Versie,I$8,L_Kengetal,"Omzet FY"))))</f>
        <v/>
      </c>
      <c r="J80" s="41" t="str">
        <f>IF($A80="","",IF(ISNUMBER(IF(Sel_Doeljaar=P_RJ,VERW_Project!$P76,IF(Sel_Doeljaar=P_RJ+1,VERW_Project!$R76,"n.b."))),IF(Sel_Doeljaar=P_RJ,VERW_Project!$P76,IF(Sel_Doeljaar=P_RJ+1,VERW_Project!$R76,"n.b."))/P_Factor,IF(Sel_Doeljaar=P_RJ,VERW_Project!$P76,IF(Sel_Doeljaar=P_RJ+1,VERW_Project!$R76,"n.b."))))</f>
        <v/>
      </c>
      <c r="K80" s="41" t="str">
        <f>IF($A80="","",IF(Sel_Bron="Vastgesteld",INDEX($E80:$I80,MATCH(Sel_Versie,$E$8:$I$8,0)),IF(Sel_Bron="Concept",J80,"n.b.")))</f>
        <v/>
      </c>
      <c r="L80" s="62" t="str">
        <f>IF($A80="","",IF(Sel_Doeljaar&gt;P_VJ,"n.v.t.",IF(Sel_Bron="Vastgesteld",IF(ISNUMBER(IF(COUNTIFS(L_Actief,1,L_WBS,$A80,L_Doeljaar,Sel_Doeljaar,L_Versiejaar,P_VJ,L_Versie,Sel_Versie,L_Kengetal,"Omzet actual YTD")=0,"n.b.",SUMIFS(L_Waarde,L_Actief,1,L_WBS,$A80,L_Doeljaar,Sel_Doeljaar,L_Versiejaar,P_VJ,L_Versie,Sel_Versie,L_Kengetal,"Omzet actual YTD"))),IF(COUNTIFS(L_Actief,1,L_WBS,$A80,L_Doeljaar,Sel_Doeljaar,L_Versiejaar,P_VJ,L_Versie,Sel_Versie,L_Kengetal,"Omzet actual YTD")=0,"n.b.",SUMIFS(L_Waarde,L_Actief,1,L_WBS,$A80,L_Doeljaar,Sel_Doeljaar,L_Versiejaar,P_VJ,L_Versie,Sel_Versie,L_Kengetal,"Omzet actual YTD"))/P_Factor,IF(COUNTIFS(L_Actief,1,L_WBS,$A80,L_Doeljaar,Sel_Doeljaar,L_Versiejaar,P_VJ,L_Versie,Sel_Versie,L_Kengetal,"Omzet actual YTD")=0,"n.b.",SUMIFS(L_Waarde,L_Actief,1,L_WBS,$A80,L_Doeljaar,Sel_Doeljaar,L_Versiejaar,P_VJ,L_Versie,Sel_Versie,L_Kengetal,"Omzet actual YTD"))),IF(Sel_Bron="Concept",IF(ISNUMBER(IF(Sel_Doeljaar=P_RJ,VERW_Project!$L76,"n.v.t.")),IF(Sel_Doeljaar=P_RJ,VERW_Project!$L76,"n.v.t.")/P_Factor,IF(Sel_Doeljaar=P_RJ,VERW_Project!$L76,"n.v.t.")),"n.b."))))</f>
        <v/>
      </c>
      <c r="M80" s="41" t="str">
        <f>IF($A80="","",IF(L80="n.v.t.",K80,IF(AND(ISNUMBER(K80),ISNUMBER(L80)),K80-L80,"n.b.")))</f>
        <v/>
      </c>
      <c r="N80" s="41" t="str">
        <f>IF($A80="","",IF(Sel_Bron="Vastgesteld",IF(ISNUMBER(IF(COUNTIFS(L_Actief,1,L_WBS,$A80,L_Doeljaar,Sel_Doeljaar,L_Versiejaar,P_VJ,L_Versie,Sel_Versie,L_Kengetal,"BOR FY")=0,"n.b.",SUMIFS(L_Waarde,L_Actief,1,L_WBS,$A80,L_Doeljaar,Sel_Doeljaar,L_Versiejaar,P_VJ,L_Versie,Sel_Versie,L_Kengetal,"BOR FY"))),IF(COUNTIFS(L_Actief,1,L_WBS,$A80,L_Doeljaar,Sel_Doeljaar,L_Versiejaar,P_VJ,L_Versie,Sel_Versie,L_Kengetal,"BOR FY")=0,"n.b.",SUMIFS(L_Waarde,L_Actief,1,L_WBS,$A80,L_Doeljaar,Sel_Doeljaar,L_Versiejaar,P_VJ,L_Versie,Sel_Versie,L_Kengetal,"BOR FY"))/P_Factor,IF(COUNTIFS(L_Actief,1,L_WBS,$A80,L_Doeljaar,Sel_Doeljaar,L_Versiejaar,P_VJ,L_Versie,Sel_Versie,L_Kengetal,"BOR FY")=0,"n.b.",SUMIFS(L_Waarde,L_Actief,1,L_WBS,$A80,L_Doeljaar,Sel_Doeljaar,L_Versiejaar,P_VJ,L_Versie,Sel_Versie,L_Kengetal,"BOR FY"))),IF(Sel_Bron="Concept",IF(ISNUMBER(IF(Sel_Doeljaar=P_RJ,VERW_Project!$Q76,IF(Sel_Doeljaar=P_RJ+1,VERW_Project!$S76,"n.b."))),IF(Sel_Doeljaar=P_RJ,VERW_Project!$Q76,IF(Sel_Doeljaar=P_RJ+1,VERW_Project!$S76,"n.b."))/P_Factor,IF(Sel_Doeljaar=P_RJ,VERW_Project!$Q76,IF(Sel_Doeljaar=P_RJ+1,VERW_Project!$S76,"n.b."))),"n.b.")))</f>
        <v/>
      </c>
      <c r="O80" s="63" t="str">
        <f>IF($A80="","",IF(AND(ISNUMBER(N80),ISNUMBER(K80)),IF(K80&lt;&gt;0,N80/K80,"n.b."),"n.b."))</f>
        <v/>
      </c>
      <c r="P80" s="41" t="str">
        <f>IF($A80="","",IF(AND(ISNUMBER(K80),ISNUMBER(E80)),K80-E80,"n.b."))</f>
        <v/>
      </c>
      <c r="Q80" s="41" t="str">
        <f>IF($A80="","",IF(AND(ISNUMBER(K80),ISNUMBER(W80)),K80-W80,"n.b."))</f>
        <v/>
      </c>
      <c r="R80" s="64" t="str">
        <f>IF($A80="","",IF(ISNUMBER(N80),IF(N80&lt;0,"Verlies",""),""))</f>
        <v/>
      </c>
      <c r="S80" s="61" t="str">
        <f>IF($A80="","",IFERROR(INDEX(T_Txt,MATCH($A80&amp;"|"&amp;Sel_Doeljaar&amp;"|"&amp;P_VJ&amp;"|"&amp;Sel_Versie,T_Key,0)),""))</f>
        <v/>
      </c>
      <c r="U80" s="15" t="str">
        <f>IF(AND(AND($A80&lt;&gt;"",OR(Sel_Type="Alle",$C80=Sel_Type),OR(Sel_Project="Alle",$B80=Sel_Project)),ISNUMBER(K80)),K80+ROW()/1000000000,"")</f>
        <v/>
      </c>
      <c r="V80" s="15" t="str">
        <f>IF(AND(AND($A80&lt;&gt;"",OR(Sel_Type="Alle",$C80=Sel_Type),OR(Sel_Project="Alle",$B80=Sel_Project)),ISNUMBER(Q80)),ABS(Q80)+ROW()/1000000000,"")</f>
        <v/>
      </c>
      <c r="W80" s="15" t="str">
        <f>IF(OR($A80="",Sel_Prev=""),"n.b.",IF(ISNUMBER(IF(COUNTIFS(L_Actief,1,L_WBS,$A80,L_Doeljaar,Sel_Doeljaar,L_Versiejaar,P_VJ,L_Versie,Sel_Prev,L_Kengetal,"Omzet FY")=0,"n.b.",SUMIFS(L_Waarde,L_Actief,1,L_WBS,$A80,L_Doeljaar,Sel_Doeljaar,L_Versiejaar,P_VJ,L_Versie,Sel_Prev,L_Kengetal,"Omzet FY"))),IF(COUNTIFS(L_Actief,1,L_WBS,$A80,L_Doeljaar,Sel_Doeljaar,L_Versiejaar,P_VJ,L_Versie,Sel_Prev,L_Kengetal,"Omzet FY")=0,"n.b.",SUMIFS(L_Waarde,L_Actief,1,L_WBS,$A80,L_Doeljaar,Sel_Doeljaar,L_Versiejaar,P_VJ,L_Versie,Sel_Prev,L_Kengetal,"Omzet FY"))/P_Factor,IF(COUNTIFS(L_Actief,1,L_WBS,$A80,L_Doeljaar,Sel_Doeljaar,L_Versiejaar,P_VJ,L_Versie,Sel_Prev,L_Kengetal,"Omzet FY")=0,"n.b.",SUMIFS(L_Waarde,L_Actief,1,L_WBS,$A80,L_Doeljaar,Sel_Doeljaar,L_Versiejaar,P_VJ,L_Versie,Sel_Prev,L_Kengetal,"Omzet FY"))))</f>
        <v>n.b.</v>
      </c>
    </row>
    <row r="81">
      <c r="A81" s="61" t="str">
        <f>IF(VERW_Project!$A77="","",VERW_Project!$A77)</f>
        <v/>
      </c>
      <c r="B81" s="61" t="str">
        <f>IF($A81="","",VERW_Project!$C77)</f>
        <v/>
      </c>
      <c r="C81" s="61" t="str">
        <f>IF($A81="","",VERW_Project!$D77)</f>
        <v/>
      </c>
      <c r="D81" s="61" t="str">
        <f>IF($A81="","",VERW_Project!$I77)</f>
        <v/>
      </c>
      <c r="E81" s="41" t="str">
        <f>IF($A81="","",IF(ISNUMBER(IF(COUNTIFS(L_Actief,1,L_WBS,$A81,L_Doeljaar,Sel_Doeljaar,L_Versiejaar,P_VJ,L_Versie,E$8,L_Kengetal,"Omzet FY")=0,"n.b.",SUMIFS(L_Waarde,L_Actief,1,L_WBS,$A81,L_Doeljaar,Sel_Doeljaar,L_Versiejaar,P_VJ,L_Versie,E$8,L_Kengetal,"Omzet FY"))),IF(COUNTIFS(L_Actief,1,L_WBS,$A81,L_Doeljaar,Sel_Doeljaar,L_Versiejaar,P_VJ,L_Versie,E$8,L_Kengetal,"Omzet FY")=0,"n.b.",SUMIFS(L_Waarde,L_Actief,1,L_WBS,$A81,L_Doeljaar,Sel_Doeljaar,L_Versiejaar,P_VJ,L_Versie,E$8,L_Kengetal,"Omzet FY"))/P_Factor,IF(COUNTIFS(L_Actief,1,L_WBS,$A81,L_Doeljaar,Sel_Doeljaar,L_Versiejaar,P_VJ,L_Versie,E$8,L_Kengetal,"Omzet FY")=0,"n.b.",SUMIFS(L_Waarde,L_Actief,1,L_WBS,$A81,L_Doeljaar,Sel_Doeljaar,L_Versiejaar,P_VJ,L_Versie,E$8,L_Kengetal,"Omzet FY"))))</f>
        <v/>
      </c>
      <c r="F81" s="41" t="str">
        <f>IF($A81="","",IF(ISNUMBER(IF(COUNTIFS(L_Actief,1,L_WBS,$A81,L_Doeljaar,Sel_Doeljaar,L_Versiejaar,P_VJ,L_Versie,F$8,L_Kengetal,"Omzet FY")=0,"n.b.",SUMIFS(L_Waarde,L_Actief,1,L_WBS,$A81,L_Doeljaar,Sel_Doeljaar,L_Versiejaar,P_VJ,L_Versie,F$8,L_Kengetal,"Omzet FY"))),IF(COUNTIFS(L_Actief,1,L_WBS,$A81,L_Doeljaar,Sel_Doeljaar,L_Versiejaar,P_VJ,L_Versie,F$8,L_Kengetal,"Omzet FY")=0,"n.b.",SUMIFS(L_Waarde,L_Actief,1,L_WBS,$A81,L_Doeljaar,Sel_Doeljaar,L_Versiejaar,P_VJ,L_Versie,F$8,L_Kengetal,"Omzet FY"))/P_Factor,IF(COUNTIFS(L_Actief,1,L_WBS,$A81,L_Doeljaar,Sel_Doeljaar,L_Versiejaar,P_VJ,L_Versie,F$8,L_Kengetal,"Omzet FY")=0,"n.b.",SUMIFS(L_Waarde,L_Actief,1,L_WBS,$A81,L_Doeljaar,Sel_Doeljaar,L_Versiejaar,P_VJ,L_Versie,F$8,L_Kengetal,"Omzet FY"))))</f>
        <v/>
      </c>
      <c r="G81" s="41" t="str">
        <f>IF($A81="","",IF(ISNUMBER(IF(COUNTIFS(L_Actief,1,L_WBS,$A81,L_Doeljaar,Sel_Doeljaar,L_Versiejaar,P_VJ,L_Versie,G$8,L_Kengetal,"Omzet FY")=0,"n.b.",SUMIFS(L_Waarde,L_Actief,1,L_WBS,$A81,L_Doeljaar,Sel_Doeljaar,L_Versiejaar,P_VJ,L_Versie,G$8,L_Kengetal,"Omzet FY"))),IF(COUNTIFS(L_Actief,1,L_WBS,$A81,L_Doeljaar,Sel_Doeljaar,L_Versiejaar,P_VJ,L_Versie,G$8,L_Kengetal,"Omzet FY")=0,"n.b.",SUMIFS(L_Waarde,L_Actief,1,L_WBS,$A81,L_Doeljaar,Sel_Doeljaar,L_Versiejaar,P_VJ,L_Versie,G$8,L_Kengetal,"Omzet FY"))/P_Factor,IF(COUNTIFS(L_Actief,1,L_WBS,$A81,L_Doeljaar,Sel_Doeljaar,L_Versiejaar,P_VJ,L_Versie,G$8,L_Kengetal,"Omzet FY")=0,"n.b.",SUMIFS(L_Waarde,L_Actief,1,L_WBS,$A81,L_Doeljaar,Sel_Doeljaar,L_Versiejaar,P_VJ,L_Versie,G$8,L_Kengetal,"Omzet FY"))))</f>
        <v/>
      </c>
      <c r="H81" s="41" t="str">
        <f>IF($A81="","",IF(ISNUMBER(IF(COUNTIFS(L_Actief,1,L_WBS,$A81,L_Doeljaar,Sel_Doeljaar,L_Versiejaar,P_VJ,L_Versie,H$8,L_Kengetal,"Omzet FY")=0,"n.b.",SUMIFS(L_Waarde,L_Actief,1,L_WBS,$A81,L_Doeljaar,Sel_Doeljaar,L_Versiejaar,P_VJ,L_Versie,H$8,L_Kengetal,"Omzet FY"))),IF(COUNTIFS(L_Actief,1,L_WBS,$A81,L_Doeljaar,Sel_Doeljaar,L_Versiejaar,P_VJ,L_Versie,H$8,L_Kengetal,"Omzet FY")=0,"n.b.",SUMIFS(L_Waarde,L_Actief,1,L_WBS,$A81,L_Doeljaar,Sel_Doeljaar,L_Versiejaar,P_VJ,L_Versie,H$8,L_Kengetal,"Omzet FY"))/P_Factor,IF(COUNTIFS(L_Actief,1,L_WBS,$A81,L_Doeljaar,Sel_Doeljaar,L_Versiejaar,P_VJ,L_Versie,H$8,L_Kengetal,"Omzet FY")=0,"n.b.",SUMIFS(L_Waarde,L_Actief,1,L_WBS,$A81,L_Doeljaar,Sel_Doeljaar,L_Versiejaar,P_VJ,L_Versie,H$8,L_Kengetal,"Omzet FY"))))</f>
        <v/>
      </c>
      <c r="I81" s="41" t="str">
        <f>IF($A81="","",IF(ISNUMBER(IF(COUNTIFS(L_Actief,1,L_WBS,$A81,L_Doeljaar,Sel_Doeljaar,L_Versiejaar,P_VJ,L_Versie,I$8,L_Kengetal,"Omzet FY")=0,"n.b.",SUMIFS(L_Waarde,L_Actief,1,L_WBS,$A81,L_Doeljaar,Sel_Doeljaar,L_Versiejaar,P_VJ,L_Versie,I$8,L_Kengetal,"Omzet FY"))),IF(COUNTIFS(L_Actief,1,L_WBS,$A81,L_Doeljaar,Sel_Doeljaar,L_Versiejaar,P_VJ,L_Versie,I$8,L_Kengetal,"Omzet FY")=0,"n.b.",SUMIFS(L_Waarde,L_Actief,1,L_WBS,$A81,L_Doeljaar,Sel_Doeljaar,L_Versiejaar,P_VJ,L_Versie,I$8,L_Kengetal,"Omzet FY"))/P_Factor,IF(COUNTIFS(L_Actief,1,L_WBS,$A81,L_Doeljaar,Sel_Doeljaar,L_Versiejaar,P_VJ,L_Versie,I$8,L_Kengetal,"Omzet FY")=0,"n.b.",SUMIFS(L_Waarde,L_Actief,1,L_WBS,$A81,L_Doeljaar,Sel_Doeljaar,L_Versiejaar,P_VJ,L_Versie,I$8,L_Kengetal,"Omzet FY"))))</f>
        <v/>
      </c>
      <c r="J81" s="41" t="str">
        <f>IF($A81="","",IF(ISNUMBER(IF(Sel_Doeljaar=P_RJ,VERW_Project!$P77,IF(Sel_Doeljaar=P_RJ+1,VERW_Project!$R77,"n.b."))),IF(Sel_Doeljaar=P_RJ,VERW_Project!$P77,IF(Sel_Doeljaar=P_RJ+1,VERW_Project!$R77,"n.b."))/P_Factor,IF(Sel_Doeljaar=P_RJ,VERW_Project!$P77,IF(Sel_Doeljaar=P_RJ+1,VERW_Project!$R77,"n.b."))))</f>
        <v/>
      </c>
      <c r="K81" s="41" t="str">
        <f>IF($A81="","",IF(Sel_Bron="Vastgesteld",INDEX($E81:$I81,MATCH(Sel_Versie,$E$8:$I$8,0)),IF(Sel_Bron="Concept",J81,"n.b.")))</f>
        <v/>
      </c>
      <c r="L81" s="62" t="str">
        <f>IF($A81="","",IF(Sel_Doeljaar&gt;P_VJ,"n.v.t.",IF(Sel_Bron="Vastgesteld",IF(ISNUMBER(IF(COUNTIFS(L_Actief,1,L_WBS,$A81,L_Doeljaar,Sel_Doeljaar,L_Versiejaar,P_VJ,L_Versie,Sel_Versie,L_Kengetal,"Omzet actual YTD")=0,"n.b.",SUMIFS(L_Waarde,L_Actief,1,L_WBS,$A81,L_Doeljaar,Sel_Doeljaar,L_Versiejaar,P_VJ,L_Versie,Sel_Versie,L_Kengetal,"Omzet actual YTD"))),IF(COUNTIFS(L_Actief,1,L_WBS,$A81,L_Doeljaar,Sel_Doeljaar,L_Versiejaar,P_VJ,L_Versie,Sel_Versie,L_Kengetal,"Omzet actual YTD")=0,"n.b.",SUMIFS(L_Waarde,L_Actief,1,L_WBS,$A81,L_Doeljaar,Sel_Doeljaar,L_Versiejaar,P_VJ,L_Versie,Sel_Versie,L_Kengetal,"Omzet actual YTD"))/P_Factor,IF(COUNTIFS(L_Actief,1,L_WBS,$A81,L_Doeljaar,Sel_Doeljaar,L_Versiejaar,P_VJ,L_Versie,Sel_Versie,L_Kengetal,"Omzet actual YTD")=0,"n.b.",SUMIFS(L_Waarde,L_Actief,1,L_WBS,$A81,L_Doeljaar,Sel_Doeljaar,L_Versiejaar,P_VJ,L_Versie,Sel_Versie,L_Kengetal,"Omzet actual YTD"))),IF(Sel_Bron="Concept",IF(ISNUMBER(IF(Sel_Doeljaar=P_RJ,VERW_Project!$L77,"n.v.t.")),IF(Sel_Doeljaar=P_RJ,VERW_Project!$L77,"n.v.t.")/P_Factor,IF(Sel_Doeljaar=P_RJ,VERW_Project!$L77,"n.v.t.")),"n.b."))))</f>
        <v/>
      </c>
      <c r="M81" s="41" t="str">
        <f>IF($A81="","",IF(L81="n.v.t.",K81,IF(AND(ISNUMBER(K81),ISNUMBER(L81)),K81-L81,"n.b.")))</f>
        <v/>
      </c>
      <c r="N81" s="41" t="str">
        <f>IF($A81="","",IF(Sel_Bron="Vastgesteld",IF(ISNUMBER(IF(COUNTIFS(L_Actief,1,L_WBS,$A81,L_Doeljaar,Sel_Doeljaar,L_Versiejaar,P_VJ,L_Versie,Sel_Versie,L_Kengetal,"BOR FY")=0,"n.b.",SUMIFS(L_Waarde,L_Actief,1,L_WBS,$A81,L_Doeljaar,Sel_Doeljaar,L_Versiejaar,P_VJ,L_Versie,Sel_Versie,L_Kengetal,"BOR FY"))),IF(COUNTIFS(L_Actief,1,L_WBS,$A81,L_Doeljaar,Sel_Doeljaar,L_Versiejaar,P_VJ,L_Versie,Sel_Versie,L_Kengetal,"BOR FY")=0,"n.b.",SUMIFS(L_Waarde,L_Actief,1,L_WBS,$A81,L_Doeljaar,Sel_Doeljaar,L_Versiejaar,P_VJ,L_Versie,Sel_Versie,L_Kengetal,"BOR FY"))/P_Factor,IF(COUNTIFS(L_Actief,1,L_WBS,$A81,L_Doeljaar,Sel_Doeljaar,L_Versiejaar,P_VJ,L_Versie,Sel_Versie,L_Kengetal,"BOR FY")=0,"n.b.",SUMIFS(L_Waarde,L_Actief,1,L_WBS,$A81,L_Doeljaar,Sel_Doeljaar,L_Versiejaar,P_VJ,L_Versie,Sel_Versie,L_Kengetal,"BOR FY"))),IF(Sel_Bron="Concept",IF(ISNUMBER(IF(Sel_Doeljaar=P_RJ,VERW_Project!$Q77,IF(Sel_Doeljaar=P_RJ+1,VERW_Project!$S77,"n.b."))),IF(Sel_Doeljaar=P_RJ,VERW_Project!$Q77,IF(Sel_Doeljaar=P_RJ+1,VERW_Project!$S77,"n.b."))/P_Factor,IF(Sel_Doeljaar=P_RJ,VERW_Project!$Q77,IF(Sel_Doeljaar=P_RJ+1,VERW_Project!$S77,"n.b."))),"n.b.")))</f>
        <v/>
      </c>
      <c r="O81" s="63" t="str">
        <f>IF($A81="","",IF(AND(ISNUMBER(N81),ISNUMBER(K81)),IF(K81&lt;&gt;0,N81/K81,"n.b."),"n.b."))</f>
        <v/>
      </c>
      <c r="P81" s="41" t="str">
        <f>IF($A81="","",IF(AND(ISNUMBER(K81),ISNUMBER(E81)),K81-E81,"n.b."))</f>
        <v/>
      </c>
      <c r="Q81" s="41" t="str">
        <f>IF($A81="","",IF(AND(ISNUMBER(K81),ISNUMBER(W81)),K81-W81,"n.b."))</f>
        <v/>
      </c>
      <c r="R81" s="64" t="str">
        <f>IF($A81="","",IF(ISNUMBER(N81),IF(N81&lt;0,"Verlies",""),""))</f>
        <v/>
      </c>
      <c r="S81" s="61" t="str">
        <f>IF($A81="","",IFERROR(INDEX(T_Txt,MATCH($A81&amp;"|"&amp;Sel_Doeljaar&amp;"|"&amp;P_VJ&amp;"|"&amp;Sel_Versie,T_Key,0)),""))</f>
        <v/>
      </c>
      <c r="U81" s="15" t="str">
        <f>IF(AND(AND($A81&lt;&gt;"",OR(Sel_Type="Alle",$C81=Sel_Type),OR(Sel_Project="Alle",$B81=Sel_Project)),ISNUMBER(K81)),K81+ROW()/1000000000,"")</f>
        <v/>
      </c>
      <c r="V81" s="15" t="str">
        <f>IF(AND(AND($A81&lt;&gt;"",OR(Sel_Type="Alle",$C81=Sel_Type),OR(Sel_Project="Alle",$B81=Sel_Project)),ISNUMBER(Q81)),ABS(Q81)+ROW()/1000000000,"")</f>
        <v/>
      </c>
      <c r="W81" s="15" t="str">
        <f>IF(OR($A81="",Sel_Prev=""),"n.b.",IF(ISNUMBER(IF(COUNTIFS(L_Actief,1,L_WBS,$A81,L_Doeljaar,Sel_Doeljaar,L_Versiejaar,P_VJ,L_Versie,Sel_Prev,L_Kengetal,"Omzet FY")=0,"n.b.",SUMIFS(L_Waarde,L_Actief,1,L_WBS,$A81,L_Doeljaar,Sel_Doeljaar,L_Versiejaar,P_VJ,L_Versie,Sel_Prev,L_Kengetal,"Omzet FY"))),IF(COUNTIFS(L_Actief,1,L_WBS,$A81,L_Doeljaar,Sel_Doeljaar,L_Versiejaar,P_VJ,L_Versie,Sel_Prev,L_Kengetal,"Omzet FY")=0,"n.b.",SUMIFS(L_Waarde,L_Actief,1,L_WBS,$A81,L_Doeljaar,Sel_Doeljaar,L_Versiejaar,P_VJ,L_Versie,Sel_Prev,L_Kengetal,"Omzet FY"))/P_Factor,IF(COUNTIFS(L_Actief,1,L_WBS,$A81,L_Doeljaar,Sel_Doeljaar,L_Versiejaar,P_VJ,L_Versie,Sel_Prev,L_Kengetal,"Omzet FY")=0,"n.b.",SUMIFS(L_Waarde,L_Actief,1,L_WBS,$A81,L_Doeljaar,Sel_Doeljaar,L_Versiejaar,P_VJ,L_Versie,Sel_Prev,L_Kengetal,"Omzet FY"))))</f>
        <v>n.b.</v>
      </c>
    </row>
    <row r="82">
      <c r="A82" s="61" t="str">
        <f>IF(VERW_Project!$A78="","",VERW_Project!$A78)</f>
        <v/>
      </c>
      <c r="B82" s="61" t="str">
        <f>IF($A82="","",VERW_Project!$C78)</f>
        <v/>
      </c>
      <c r="C82" s="61" t="str">
        <f>IF($A82="","",VERW_Project!$D78)</f>
        <v/>
      </c>
      <c r="D82" s="61" t="str">
        <f>IF($A82="","",VERW_Project!$I78)</f>
        <v/>
      </c>
      <c r="E82" s="41" t="str">
        <f>IF($A82="","",IF(ISNUMBER(IF(COUNTIFS(L_Actief,1,L_WBS,$A82,L_Doeljaar,Sel_Doeljaar,L_Versiejaar,P_VJ,L_Versie,E$8,L_Kengetal,"Omzet FY")=0,"n.b.",SUMIFS(L_Waarde,L_Actief,1,L_WBS,$A82,L_Doeljaar,Sel_Doeljaar,L_Versiejaar,P_VJ,L_Versie,E$8,L_Kengetal,"Omzet FY"))),IF(COUNTIFS(L_Actief,1,L_WBS,$A82,L_Doeljaar,Sel_Doeljaar,L_Versiejaar,P_VJ,L_Versie,E$8,L_Kengetal,"Omzet FY")=0,"n.b.",SUMIFS(L_Waarde,L_Actief,1,L_WBS,$A82,L_Doeljaar,Sel_Doeljaar,L_Versiejaar,P_VJ,L_Versie,E$8,L_Kengetal,"Omzet FY"))/P_Factor,IF(COUNTIFS(L_Actief,1,L_WBS,$A82,L_Doeljaar,Sel_Doeljaar,L_Versiejaar,P_VJ,L_Versie,E$8,L_Kengetal,"Omzet FY")=0,"n.b.",SUMIFS(L_Waarde,L_Actief,1,L_WBS,$A82,L_Doeljaar,Sel_Doeljaar,L_Versiejaar,P_VJ,L_Versie,E$8,L_Kengetal,"Omzet FY"))))</f>
        <v/>
      </c>
      <c r="F82" s="41" t="str">
        <f>IF($A82="","",IF(ISNUMBER(IF(COUNTIFS(L_Actief,1,L_WBS,$A82,L_Doeljaar,Sel_Doeljaar,L_Versiejaar,P_VJ,L_Versie,F$8,L_Kengetal,"Omzet FY")=0,"n.b.",SUMIFS(L_Waarde,L_Actief,1,L_WBS,$A82,L_Doeljaar,Sel_Doeljaar,L_Versiejaar,P_VJ,L_Versie,F$8,L_Kengetal,"Omzet FY"))),IF(COUNTIFS(L_Actief,1,L_WBS,$A82,L_Doeljaar,Sel_Doeljaar,L_Versiejaar,P_VJ,L_Versie,F$8,L_Kengetal,"Omzet FY")=0,"n.b.",SUMIFS(L_Waarde,L_Actief,1,L_WBS,$A82,L_Doeljaar,Sel_Doeljaar,L_Versiejaar,P_VJ,L_Versie,F$8,L_Kengetal,"Omzet FY"))/P_Factor,IF(COUNTIFS(L_Actief,1,L_WBS,$A82,L_Doeljaar,Sel_Doeljaar,L_Versiejaar,P_VJ,L_Versie,F$8,L_Kengetal,"Omzet FY")=0,"n.b.",SUMIFS(L_Waarde,L_Actief,1,L_WBS,$A82,L_Doeljaar,Sel_Doeljaar,L_Versiejaar,P_VJ,L_Versie,F$8,L_Kengetal,"Omzet FY"))))</f>
        <v/>
      </c>
      <c r="G82" s="41" t="str">
        <f>IF($A82="","",IF(ISNUMBER(IF(COUNTIFS(L_Actief,1,L_WBS,$A82,L_Doeljaar,Sel_Doeljaar,L_Versiejaar,P_VJ,L_Versie,G$8,L_Kengetal,"Omzet FY")=0,"n.b.",SUMIFS(L_Waarde,L_Actief,1,L_WBS,$A82,L_Doeljaar,Sel_Doeljaar,L_Versiejaar,P_VJ,L_Versie,G$8,L_Kengetal,"Omzet FY"))),IF(COUNTIFS(L_Actief,1,L_WBS,$A82,L_Doeljaar,Sel_Doeljaar,L_Versiejaar,P_VJ,L_Versie,G$8,L_Kengetal,"Omzet FY")=0,"n.b.",SUMIFS(L_Waarde,L_Actief,1,L_WBS,$A82,L_Doeljaar,Sel_Doeljaar,L_Versiejaar,P_VJ,L_Versie,G$8,L_Kengetal,"Omzet FY"))/P_Factor,IF(COUNTIFS(L_Actief,1,L_WBS,$A82,L_Doeljaar,Sel_Doeljaar,L_Versiejaar,P_VJ,L_Versie,G$8,L_Kengetal,"Omzet FY")=0,"n.b.",SUMIFS(L_Waarde,L_Actief,1,L_WBS,$A82,L_Doeljaar,Sel_Doeljaar,L_Versiejaar,P_VJ,L_Versie,G$8,L_Kengetal,"Omzet FY"))))</f>
        <v/>
      </c>
      <c r="H82" s="41" t="str">
        <f>IF($A82="","",IF(ISNUMBER(IF(COUNTIFS(L_Actief,1,L_WBS,$A82,L_Doeljaar,Sel_Doeljaar,L_Versiejaar,P_VJ,L_Versie,H$8,L_Kengetal,"Omzet FY")=0,"n.b.",SUMIFS(L_Waarde,L_Actief,1,L_WBS,$A82,L_Doeljaar,Sel_Doeljaar,L_Versiejaar,P_VJ,L_Versie,H$8,L_Kengetal,"Omzet FY"))),IF(COUNTIFS(L_Actief,1,L_WBS,$A82,L_Doeljaar,Sel_Doeljaar,L_Versiejaar,P_VJ,L_Versie,H$8,L_Kengetal,"Omzet FY")=0,"n.b.",SUMIFS(L_Waarde,L_Actief,1,L_WBS,$A82,L_Doeljaar,Sel_Doeljaar,L_Versiejaar,P_VJ,L_Versie,H$8,L_Kengetal,"Omzet FY"))/P_Factor,IF(COUNTIFS(L_Actief,1,L_WBS,$A82,L_Doeljaar,Sel_Doeljaar,L_Versiejaar,P_VJ,L_Versie,H$8,L_Kengetal,"Omzet FY")=0,"n.b.",SUMIFS(L_Waarde,L_Actief,1,L_WBS,$A82,L_Doeljaar,Sel_Doeljaar,L_Versiejaar,P_VJ,L_Versie,H$8,L_Kengetal,"Omzet FY"))))</f>
        <v/>
      </c>
      <c r="I82" s="41" t="str">
        <f>IF($A82="","",IF(ISNUMBER(IF(COUNTIFS(L_Actief,1,L_WBS,$A82,L_Doeljaar,Sel_Doeljaar,L_Versiejaar,P_VJ,L_Versie,I$8,L_Kengetal,"Omzet FY")=0,"n.b.",SUMIFS(L_Waarde,L_Actief,1,L_WBS,$A82,L_Doeljaar,Sel_Doeljaar,L_Versiejaar,P_VJ,L_Versie,I$8,L_Kengetal,"Omzet FY"))),IF(COUNTIFS(L_Actief,1,L_WBS,$A82,L_Doeljaar,Sel_Doeljaar,L_Versiejaar,P_VJ,L_Versie,I$8,L_Kengetal,"Omzet FY")=0,"n.b.",SUMIFS(L_Waarde,L_Actief,1,L_WBS,$A82,L_Doeljaar,Sel_Doeljaar,L_Versiejaar,P_VJ,L_Versie,I$8,L_Kengetal,"Omzet FY"))/P_Factor,IF(COUNTIFS(L_Actief,1,L_WBS,$A82,L_Doeljaar,Sel_Doeljaar,L_Versiejaar,P_VJ,L_Versie,I$8,L_Kengetal,"Omzet FY")=0,"n.b.",SUMIFS(L_Waarde,L_Actief,1,L_WBS,$A82,L_Doeljaar,Sel_Doeljaar,L_Versiejaar,P_VJ,L_Versie,I$8,L_Kengetal,"Omzet FY"))))</f>
        <v/>
      </c>
      <c r="J82" s="41" t="str">
        <f>IF($A82="","",IF(ISNUMBER(IF(Sel_Doeljaar=P_RJ,VERW_Project!$P78,IF(Sel_Doeljaar=P_RJ+1,VERW_Project!$R78,"n.b."))),IF(Sel_Doeljaar=P_RJ,VERW_Project!$P78,IF(Sel_Doeljaar=P_RJ+1,VERW_Project!$R78,"n.b."))/P_Factor,IF(Sel_Doeljaar=P_RJ,VERW_Project!$P78,IF(Sel_Doeljaar=P_RJ+1,VERW_Project!$R78,"n.b."))))</f>
        <v/>
      </c>
      <c r="K82" s="41" t="str">
        <f>IF($A82="","",IF(Sel_Bron="Vastgesteld",INDEX($E82:$I82,MATCH(Sel_Versie,$E$8:$I$8,0)),IF(Sel_Bron="Concept",J82,"n.b.")))</f>
        <v/>
      </c>
      <c r="L82" s="62" t="str">
        <f>IF($A82="","",IF(Sel_Doeljaar&gt;P_VJ,"n.v.t.",IF(Sel_Bron="Vastgesteld",IF(ISNUMBER(IF(COUNTIFS(L_Actief,1,L_WBS,$A82,L_Doeljaar,Sel_Doeljaar,L_Versiejaar,P_VJ,L_Versie,Sel_Versie,L_Kengetal,"Omzet actual YTD")=0,"n.b.",SUMIFS(L_Waarde,L_Actief,1,L_WBS,$A82,L_Doeljaar,Sel_Doeljaar,L_Versiejaar,P_VJ,L_Versie,Sel_Versie,L_Kengetal,"Omzet actual YTD"))),IF(COUNTIFS(L_Actief,1,L_WBS,$A82,L_Doeljaar,Sel_Doeljaar,L_Versiejaar,P_VJ,L_Versie,Sel_Versie,L_Kengetal,"Omzet actual YTD")=0,"n.b.",SUMIFS(L_Waarde,L_Actief,1,L_WBS,$A82,L_Doeljaar,Sel_Doeljaar,L_Versiejaar,P_VJ,L_Versie,Sel_Versie,L_Kengetal,"Omzet actual YTD"))/P_Factor,IF(COUNTIFS(L_Actief,1,L_WBS,$A82,L_Doeljaar,Sel_Doeljaar,L_Versiejaar,P_VJ,L_Versie,Sel_Versie,L_Kengetal,"Omzet actual YTD")=0,"n.b.",SUMIFS(L_Waarde,L_Actief,1,L_WBS,$A82,L_Doeljaar,Sel_Doeljaar,L_Versiejaar,P_VJ,L_Versie,Sel_Versie,L_Kengetal,"Omzet actual YTD"))),IF(Sel_Bron="Concept",IF(ISNUMBER(IF(Sel_Doeljaar=P_RJ,VERW_Project!$L78,"n.v.t.")),IF(Sel_Doeljaar=P_RJ,VERW_Project!$L78,"n.v.t.")/P_Factor,IF(Sel_Doeljaar=P_RJ,VERW_Project!$L78,"n.v.t.")),"n.b."))))</f>
        <v/>
      </c>
      <c r="M82" s="41" t="str">
        <f>IF($A82="","",IF(L82="n.v.t.",K82,IF(AND(ISNUMBER(K82),ISNUMBER(L82)),K82-L82,"n.b.")))</f>
        <v/>
      </c>
      <c r="N82" s="41" t="str">
        <f>IF($A82="","",IF(Sel_Bron="Vastgesteld",IF(ISNUMBER(IF(COUNTIFS(L_Actief,1,L_WBS,$A82,L_Doeljaar,Sel_Doeljaar,L_Versiejaar,P_VJ,L_Versie,Sel_Versie,L_Kengetal,"BOR FY")=0,"n.b.",SUMIFS(L_Waarde,L_Actief,1,L_WBS,$A82,L_Doeljaar,Sel_Doeljaar,L_Versiejaar,P_VJ,L_Versie,Sel_Versie,L_Kengetal,"BOR FY"))),IF(COUNTIFS(L_Actief,1,L_WBS,$A82,L_Doeljaar,Sel_Doeljaar,L_Versiejaar,P_VJ,L_Versie,Sel_Versie,L_Kengetal,"BOR FY")=0,"n.b.",SUMIFS(L_Waarde,L_Actief,1,L_WBS,$A82,L_Doeljaar,Sel_Doeljaar,L_Versiejaar,P_VJ,L_Versie,Sel_Versie,L_Kengetal,"BOR FY"))/P_Factor,IF(COUNTIFS(L_Actief,1,L_WBS,$A82,L_Doeljaar,Sel_Doeljaar,L_Versiejaar,P_VJ,L_Versie,Sel_Versie,L_Kengetal,"BOR FY")=0,"n.b.",SUMIFS(L_Waarde,L_Actief,1,L_WBS,$A82,L_Doeljaar,Sel_Doeljaar,L_Versiejaar,P_VJ,L_Versie,Sel_Versie,L_Kengetal,"BOR FY"))),IF(Sel_Bron="Concept",IF(ISNUMBER(IF(Sel_Doeljaar=P_RJ,VERW_Project!$Q78,IF(Sel_Doeljaar=P_RJ+1,VERW_Project!$S78,"n.b."))),IF(Sel_Doeljaar=P_RJ,VERW_Project!$Q78,IF(Sel_Doeljaar=P_RJ+1,VERW_Project!$S78,"n.b."))/P_Factor,IF(Sel_Doeljaar=P_RJ,VERW_Project!$Q78,IF(Sel_Doeljaar=P_RJ+1,VERW_Project!$S78,"n.b."))),"n.b.")))</f>
        <v/>
      </c>
      <c r="O82" s="63" t="str">
        <f>IF($A82="","",IF(AND(ISNUMBER(N82),ISNUMBER(K82)),IF(K82&lt;&gt;0,N82/K82,"n.b."),"n.b."))</f>
        <v/>
      </c>
      <c r="P82" s="41" t="str">
        <f>IF($A82="","",IF(AND(ISNUMBER(K82),ISNUMBER(E82)),K82-E82,"n.b."))</f>
        <v/>
      </c>
      <c r="Q82" s="41" t="str">
        <f>IF($A82="","",IF(AND(ISNUMBER(K82),ISNUMBER(W82)),K82-W82,"n.b."))</f>
        <v/>
      </c>
      <c r="R82" s="64" t="str">
        <f>IF($A82="","",IF(ISNUMBER(N82),IF(N82&lt;0,"Verlies",""),""))</f>
        <v/>
      </c>
      <c r="S82" s="61" t="str">
        <f>IF($A82="","",IFERROR(INDEX(T_Txt,MATCH($A82&amp;"|"&amp;Sel_Doeljaar&amp;"|"&amp;P_VJ&amp;"|"&amp;Sel_Versie,T_Key,0)),""))</f>
        <v/>
      </c>
      <c r="U82" s="15" t="str">
        <f>IF(AND(AND($A82&lt;&gt;"",OR(Sel_Type="Alle",$C82=Sel_Type),OR(Sel_Project="Alle",$B82=Sel_Project)),ISNUMBER(K82)),K82+ROW()/1000000000,"")</f>
        <v/>
      </c>
      <c r="V82" s="15" t="str">
        <f>IF(AND(AND($A82&lt;&gt;"",OR(Sel_Type="Alle",$C82=Sel_Type),OR(Sel_Project="Alle",$B82=Sel_Project)),ISNUMBER(Q82)),ABS(Q82)+ROW()/1000000000,"")</f>
        <v/>
      </c>
      <c r="W82" s="15" t="str">
        <f>IF(OR($A82="",Sel_Prev=""),"n.b.",IF(ISNUMBER(IF(COUNTIFS(L_Actief,1,L_WBS,$A82,L_Doeljaar,Sel_Doeljaar,L_Versiejaar,P_VJ,L_Versie,Sel_Prev,L_Kengetal,"Omzet FY")=0,"n.b.",SUMIFS(L_Waarde,L_Actief,1,L_WBS,$A82,L_Doeljaar,Sel_Doeljaar,L_Versiejaar,P_VJ,L_Versie,Sel_Prev,L_Kengetal,"Omzet FY"))),IF(COUNTIFS(L_Actief,1,L_WBS,$A82,L_Doeljaar,Sel_Doeljaar,L_Versiejaar,P_VJ,L_Versie,Sel_Prev,L_Kengetal,"Omzet FY")=0,"n.b.",SUMIFS(L_Waarde,L_Actief,1,L_WBS,$A82,L_Doeljaar,Sel_Doeljaar,L_Versiejaar,P_VJ,L_Versie,Sel_Prev,L_Kengetal,"Omzet FY"))/P_Factor,IF(COUNTIFS(L_Actief,1,L_WBS,$A82,L_Doeljaar,Sel_Doeljaar,L_Versiejaar,P_VJ,L_Versie,Sel_Prev,L_Kengetal,"Omzet FY")=0,"n.b.",SUMIFS(L_Waarde,L_Actief,1,L_WBS,$A82,L_Doeljaar,Sel_Doeljaar,L_Versiejaar,P_VJ,L_Versie,Sel_Prev,L_Kengetal,"Omzet FY"))))</f>
        <v>n.b.</v>
      </c>
    </row>
    <row r="83">
      <c r="A83" s="61" t="str">
        <f>IF(VERW_Project!$A79="","",VERW_Project!$A79)</f>
        <v/>
      </c>
      <c r="B83" s="61" t="str">
        <f>IF($A83="","",VERW_Project!$C79)</f>
        <v/>
      </c>
      <c r="C83" s="61" t="str">
        <f>IF($A83="","",VERW_Project!$D79)</f>
        <v/>
      </c>
      <c r="D83" s="61" t="str">
        <f>IF($A83="","",VERW_Project!$I79)</f>
        <v/>
      </c>
      <c r="E83" s="41" t="str">
        <f>IF($A83="","",IF(ISNUMBER(IF(COUNTIFS(L_Actief,1,L_WBS,$A83,L_Doeljaar,Sel_Doeljaar,L_Versiejaar,P_VJ,L_Versie,E$8,L_Kengetal,"Omzet FY")=0,"n.b.",SUMIFS(L_Waarde,L_Actief,1,L_WBS,$A83,L_Doeljaar,Sel_Doeljaar,L_Versiejaar,P_VJ,L_Versie,E$8,L_Kengetal,"Omzet FY"))),IF(COUNTIFS(L_Actief,1,L_WBS,$A83,L_Doeljaar,Sel_Doeljaar,L_Versiejaar,P_VJ,L_Versie,E$8,L_Kengetal,"Omzet FY")=0,"n.b.",SUMIFS(L_Waarde,L_Actief,1,L_WBS,$A83,L_Doeljaar,Sel_Doeljaar,L_Versiejaar,P_VJ,L_Versie,E$8,L_Kengetal,"Omzet FY"))/P_Factor,IF(COUNTIFS(L_Actief,1,L_WBS,$A83,L_Doeljaar,Sel_Doeljaar,L_Versiejaar,P_VJ,L_Versie,E$8,L_Kengetal,"Omzet FY")=0,"n.b.",SUMIFS(L_Waarde,L_Actief,1,L_WBS,$A83,L_Doeljaar,Sel_Doeljaar,L_Versiejaar,P_VJ,L_Versie,E$8,L_Kengetal,"Omzet FY"))))</f>
        <v/>
      </c>
      <c r="F83" s="41" t="str">
        <f>IF($A83="","",IF(ISNUMBER(IF(COUNTIFS(L_Actief,1,L_WBS,$A83,L_Doeljaar,Sel_Doeljaar,L_Versiejaar,P_VJ,L_Versie,F$8,L_Kengetal,"Omzet FY")=0,"n.b.",SUMIFS(L_Waarde,L_Actief,1,L_WBS,$A83,L_Doeljaar,Sel_Doeljaar,L_Versiejaar,P_VJ,L_Versie,F$8,L_Kengetal,"Omzet FY"))),IF(COUNTIFS(L_Actief,1,L_WBS,$A83,L_Doeljaar,Sel_Doeljaar,L_Versiejaar,P_VJ,L_Versie,F$8,L_Kengetal,"Omzet FY")=0,"n.b.",SUMIFS(L_Waarde,L_Actief,1,L_WBS,$A83,L_Doeljaar,Sel_Doeljaar,L_Versiejaar,P_VJ,L_Versie,F$8,L_Kengetal,"Omzet FY"))/P_Factor,IF(COUNTIFS(L_Actief,1,L_WBS,$A83,L_Doeljaar,Sel_Doeljaar,L_Versiejaar,P_VJ,L_Versie,F$8,L_Kengetal,"Omzet FY")=0,"n.b.",SUMIFS(L_Waarde,L_Actief,1,L_WBS,$A83,L_Doeljaar,Sel_Doeljaar,L_Versiejaar,P_VJ,L_Versie,F$8,L_Kengetal,"Omzet FY"))))</f>
        <v/>
      </c>
      <c r="G83" s="41" t="str">
        <f>IF($A83="","",IF(ISNUMBER(IF(COUNTIFS(L_Actief,1,L_WBS,$A83,L_Doeljaar,Sel_Doeljaar,L_Versiejaar,P_VJ,L_Versie,G$8,L_Kengetal,"Omzet FY")=0,"n.b.",SUMIFS(L_Waarde,L_Actief,1,L_WBS,$A83,L_Doeljaar,Sel_Doeljaar,L_Versiejaar,P_VJ,L_Versie,G$8,L_Kengetal,"Omzet FY"))),IF(COUNTIFS(L_Actief,1,L_WBS,$A83,L_Doeljaar,Sel_Doeljaar,L_Versiejaar,P_VJ,L_Versie,G$8,L_Kengetal,"Omzet FY")=0,"n.b.",SUMIFS(L_Waarde,L_Actief,1,L_WBS,$A83,L_Doeljaar,Sel_Doeljaar,L_Versiejaar,P_VJ,L_Versie,G$8,L_Kengetal,"Omzet FY"))/P_Factor,IF(COUNTIFS(L_Actief,1,L_WBS,$A83,L_Doeljaar,Sel_Doeljaar,L_Versiejaar,P_VJ,L_Versie,G$8,L_Kengetal,"Omzet FY")=0,"n.b.",SUMIFS(L_Waarde,L_Actief,1,L_WBS,$A83,L_Doeljaar,Sel_Doeljaar,L_Versiejaar,P_VJ,L_Versie,G$8,L_Kengetal,"Omzet FY"))))</f>
        <v/>
      </c>
      <c r="H83" s="41" t="str">
        <f>IF($A83="","",IF(ISNUMBER(IF(COUNTIFS(L_Actief,1,L_WBS,$A83,L_Doeljaar,Sel_Doeljaar,L_Versiejaar,P_VJ,L_Versie,H$8,L_Kengetal,"Omzet FY")=0,"n.b.",SUMIFS(L_Waarde,L_Actief,1,L_WBS,$A83,L_Doeljaar,Sel_Doeljaar,L_Versiejaar,P_VJ,L_Versie,H$8,L_Kengetal,"Omzet FY"))),IF(COUNTIFS(L_Actief,1,L_WBS,$A83,L_Doeljaar,Sel_Doeljaar,L_Versiejaar,P_VJ,L_Versie,H$8,L_Kengetal,"Omzet FY")=0,"n.b.",SUMIFS(L_Waarde,L_Actief,1,L_WBS,$A83,L_Doeljaar,Sel_Doeljaar,L_Versiejaar,P_VJ,L_Versie,H$8,L_Kengetal,"Omzet FY"))/P_Factor,IF(COUNTIFS(L_Actief,1,L_WBS,$A83,L_Doeljaar,Sel_Doeljaar,L_Versiejaar,P_VJ,L_Versie,H$8,L_Kengetal,"Omzet FY")=0,"n.b.",SUMIFS(L_Waarde,L_Actief,1,L_WBS,$A83,L_Doeljaar,Sel_Doeljaar,L_Versiejaar,P_VJ,L_Versie,H$8,L_Kengetal,"Omzet FY"))))</f>
        <v/>
      </c>
      <c r="I83" s="41" t="str">
        <f>IF($A83="","",IF(ISNUMBER(IF(COUNTIFS(L_Actief,1,L_WBS,$A83,L_Doeljaar,Sel_Doeljaar,L_Versiejaar,P_VJ,L_Versie,I$8,L_Kengetal,"Omzet FY")=0,"n.b.",SUMIFS(L_Waarde,L_Actief,1,L_WBS,$A83,L_Doeljaar,Sel_Doeljaar,L_Versiejaar,P_VJ,L_Versie,I$8,L_Kengetal,"Omzet FY"))),IF(COUNTIFS(L_Actief,1,L_WBS,$A83,L_Doeljaar,Sel_Doeljaar,L_Versiejaar,P_VJ,L_Versie,I$8,L_Kengetal,"Omzet FY")=0,"n.b.",SUMIFS(L_Waarde,L_Actief,1,L_WBS,$A83,L_Doeljaar,Sel_Doeljaar,L_Versiejaar,P_VJ,L_Versie,I$8,L_Kengetal,"Omzet FY"))/P_Factor,IF(COUNTIFS(L_Actief,1,L_WBS,$A83,L_Doeljaar,Sel_Doeljaar,L_Versiejaar,P_VJ,L_Versie,I$8,L_Kengetal,"Omzet FY")=0,"n.b.",SUMIFS(L_Waarde,L_Actief,1,L_WBS,$A83,L_Doeljaar,Sel_Doeljaar,L_Versiejaar,P_VJ,L_Versie,I$8,L_Kengetal,"Omzet FY"))))</f>
        <v/>
      </c>
      <c r="J83" s="41" t="str">
        <f>IF($A83="","",IF(ISNUMBER(IF(Sel_Doeljaar=P_RJ,VERW_Project!$P79,IF(Sel_Doeljaar=P_RJ+1,VERW_Project!$R79,"n.b."))),IF(Sel_Doeljaar=P_RJ,VERW_Project!$P79,IF(Sel_Doeljaar=P_RJ+1,VERW_Project!$R79,"n.b."))/P_Factor,IF(Sel_Doeljaar=P_RJ,VERW_Project!$P79,IF(Sel_Doeljaar=P_RJ+1,VERW_Project!$R79,"n.b."))))</f>
        <v/>
      </c>
      <c r="K83" s="41" t="str">
        <f>IF($A83="","",IF(Sel_Bron="Vastgesteld",INDEX($E83:$I83,MATCH(Sel_Versie,$E$8:$I$8,0)),IF(Sel_Bron="Concept",J83,"n.b.")))</f>
        <v/>
      </c>
      <c r="L83" s="62" t="str">
        <f>IF($A83="","",IF(Sel_Doeljaar&gt;P_VJ,"n.v.t.",IF(Sel_Bron="Vastgesteld",IF(ISNUMBER(IF(COUNTIFS(L_Actief,1,L_WBS,$A83,L_Doeljaar,Sel_Doeljaar,L_Versiejaar,P_VJ,L_Versie,Sel_Versie,L_Kengetal,"Omzet actual YTD")=0,"n.b.",SUMIFS(L_Waarde,L_Actief,1,L_WBS,$A83,L_Doeljaar,Sel_Doeljaar,L_Versiejaar,P_VJ,L_Versie,Sel_Versie,L_Kengetal,"Omzet actual YTD"))),IF(COUNTIFS(L_Actief,1,L_WBS,$A83,L_Doeljaar,Sel_Doeljaar,L_Versiejaar,P_VJ,L_Versie,Sel_Versie,L_Kengetal,"Omzet actual YTD")=0,"n.b.",SUMIFS(L_Waarde,L_Actief,1,L_WBS,$A83,L_Doeljaar,Sel_Doeljaar,L_Versiejaar,P_VJ,L_Versie,Sel_Versie,L_Kengetal,"Omzet actual YTD"))/P_Factor,IF(COUNTIFS(L_Actief,1,L_WBS,$A83,L_Doeljaar,Sel_Doeljaar,L_Versiejaar,P_VJ,L_Versie,Sel_Versie,L_Kengetal,"Omzet actual YTD")=0,"n.b.",SUMIFS(L_Waarde,L_Actief,1,L_WBS,$A83,L_Doeljaar,Sel_Doeljaar,L_Versiejaar,P_VJ,L_Versie,Sel_Versie,L_Kengetal,"Omzet actual YTD"))),IF(Sel_Bron="Concept",IF(ISNUMBER(IF(Sel_Doeljaar=P_RJ,VERW_Project!$L79,"n.v.t.")),IF(Sel_Doeljaar=P_RJ,VERW_Project!$L79,"n.v.t.")/P_Factor,IF(Sel_Doeljaar=P_RJ,VERW_Project!$L79,"n.v.t.")),"n.b."))))</f>
        <v/>
      </c>
      <c r="M83" s="41" t="str">
        <f>IF($A83="","",IF(L83="n.v.t.",K83,IF(AND(ISNUMBER(K83),ISNUMBER(L83)),K83-L83,"n.b.")))</f>
        <v/>
      </c>
      <c r="N83" s="41" t="str">
        <f>IF($A83="","",IF(Sel_Bron="Vastgesteld",IF(ISNUMBER(IF(COUNTIFS(L_Actief,1,L_WBS,$A83,L_Doeljaar,Sel_Doeljaar,L_Versiejaar,P_VJ,L_Versie,Sel_Versie,L_Kengetal,"BOR FY")=0,"n.b.",SUMIFS(L_Waarde,L_Actief,1,L_WBS,$A83,L_Doeljaar,Sel_Doeljaar,L_Versiejaar,P_VJ,L_Versie,Sel_Versie,L_Kengetal,"BOR FY"))),IF(COUNTIFS(L_Actief,1,L_WBS,$A83,L_Doeljaar,Sel_Doeljaar,L_Versiejaar,P_VJ,L_Versie,Sel_Versie,L_Kengetal,"BOR FY")=0,"n.b.",SUMIFS(L_Waarde,L_Actief,1,L_WBS,$A83,L_Doeljaar,Sel_Doeljaar,L_Versiejaar,P_VJ,L_Versie,Sel_Versie,L_Kengetal,"BOR FY"))/P_Factor,IF(COUNTIFS(L_Actief,1,L_WBS,$A83,L_Doeljaar,Sel_Doeljaar,L_Versiejaar,P_VJ,L_Versie,Sel_Versie,L_Kengetal,"BOR FY")=0,"n.b.",SUMIFS(L_Waarde,L_Actief,1,L_WBS,$A83,L_Doeljaar,Sel_Doeljaar,L_Versiejaar,P_VJ,L_Versie,Sel_Versie,L_Kengetal,"BOR FY"))),IF(Sel_Bron="Concept",IF(ISNUMBER(IF(Sel_Doeljaar=P_RJ,VERW_Project!$Q79,IF(Sel_Doeljaar=P_RJ+1,VERW_Project!$S79,"n.b."))),IF(Sel_Doeljaar=P_RJ,VERW_Project!$Q79,IF(Sel_Doeljaar=P_RJ+1,VERW_Project!$S79,"n.b."))/P_Factor,IF(Sel_Doeljaar=P_RJ,VERW_Project!$Q79,IF(Sel_Doeljaar=P_RJ+1,VERW_Project!$S79,"n.b."))),"n.b.")))</f>
        <v/>
      </c>
      <c r="O83" s="63" t="str">
        <f>IF($A83="","",IF(AND(ISNUMBER(N83),ISNUMBER(K83)),IF(K83&lt;&gt;0,N83/K83,"n.b."),"n.b."))</f>
        <v/>
      </c>
      <c r="P83" s="41" t="str">
        <f>IF($A83="","",IF(AND(ISNUMBER(K83),ISNUMBER(E83)),K83-E83,"n.b."))</f>
        <v/>
      </c>
      <c r="Q83" s="41" t="str">
        <f>IF($A83="","",IF(AND(ISNUMBER(K83),ISNUMBER(W83)),K83-W83,"n.b."))</f>
        <v/>
      </c>
      <c r="R83" s="64" t="str">
        <f>IF($A83="","",IF(ISNUMBER(N83),IF(N83&lt;0,"Verlies",""),""))</f>
        <v/>
      </c>
      <c r="S83" s="61" t="str">
        <f>IF($A83="","",IFERROR(INDEX(T_Txt,MATCH($A83&amp;"|"&amp;Sel_Doeljaar&amp;"|"&amp;P_VJ&amp;"|"&amp;Sel_Versie,T_Key,0)),""))</f>
        <v/>
      </c>
      <c r="U83" s="15" t="str">
        <f>IF(AND(AND($A83&lt;&gt;"",OR(Sel_Type="Alle",$C83=Sel_Type),OR(Sel_Project="Alle",$B83=Sel_Project)),ISNUMBER(K83)),K83+ROW()/1000000000,"")</f>
        <v/>
      </c>
      <c r="V83" s="15" t="str">
        <f>IF(AND(AND($A83&lt;&gt;"",OR(Sel_Type="Alle",$C83=Sel_Type),OR(Sel_Project="Alle",$B83=Sel_Project)),ISNUMBER(Q83)),ABS(Q83)+ROW()/1000000000,"")</f>
        <v/>
      </c>
      <c r="W83" s="15" t="str">
        <f>IF(OR($A83="",Sel_Prev=""),"n.b.",IF(ISNUMBER(IF(COUNTIFS(L_Actief,1,L_WBS,$A83,L_Doeljaar,Sel_Doeljaar,L_Versiejaar,P_VJ,L_Versie,Sel_Prev,L_Kengetal,"Omzet FY")=0,"n.b.",SUMIFS(L_Waarde,L_Actief,1,L_WBS,$A83,L_Doeljaar,Sel_Doeljaar,L_Versiejaar,P_VJ,L_Versie,Sel_Prev,L_Kengetal,"Omzet FY"))),IF(COUNTIFS(L_Actief,1,L_WBS,$A83,L_Doeljaar,Sel_Doeljaar,L_Versiejaar,P_VJ,L_Versie,Sel_Prev,L_Kengetal,"Omzet FY")=0,"n.b.",SUMIFS(L_Waarde,L_Actief,1,L_WBS,$A83,L_Doeljaar,Sel_Doeljaar,L_Versiejaar,P_VJ,L_Versie,Sel_Prev,L_Kengetal,"Omzet FY"))/P_Factor,IF(COUNTIFS(L_Actief,1,L_WBS,$A83,L_Doeljaar,Sel_Doeljaar,L_Versiejaar,P_VJ,L_Versie,Sel_Prev,L_Kengetal,"Omzet FY")=0,"n.b.",SUMIFS(L_Waarde,L_Actief,1,L_WBS,$A83,L_Doeljaar,Sel_Doeljaar,L_Versiejaar,P_VJ,L_Versie,Sel_Prev,L_Kengetal,"Omzet FY"))))</f>
        <v>n.b.</v>
      </c>
    </row>
    <row r="84">
      <c r="A84" s="61" t="str">
        <f>IF(VERW_Project!$A80="","",VERW_Project!$A80)</f>
        <v/>
      </c>
      <c r="B84" s="61" t="str">
        <f>IF($A84="","",VERW_Project!$C80)</f>
        <v/>
      </c>
      <c r="C84" s="61" t="str">
        <f>IF($A84="","",VERW_Project!$D80)</f>
        <v/>
      </c>
      <c r="D84" s="61" t="str">
        <f>IF($A84="","",VERW_Project!$I80)</f>
        <v/>
      </c>
      <c r="E84" s="41" t="str">
        <f>IF($A84="","",IF(ISNUMBER(IF(COUNTIFS(L_Actief,1,L_WBS,$A84,L_Doeljaar,Sel_Doeljaar,L_Versiejaar,P_VJ,L_Versie,E$8,L_Kengetal,"Omzet FY")=0,"n.b.",SUMIFS(L_Waarde,L_Actief,1,L_WBS,$A84,L_Doeljaar,Sel_Doeljaar,L_Versiejaar,P_VJ,L_Versie,E$8,L_Kengetal,"Omzet FY"))),IF(COUNTIFS(L_Actief,1,L_WBS,$A84,L_Doeljaar,Sel_Doeljaar,L_Versiejaar,P_VJ,L_Versie,E$8,L_Kengetal,"Omzet FY")=0,"n.b.",SUMIFS(L_Waarde,L_Actief,1,L_WBS,$A84,L_Doeljaar,Sel_Doeljaar,L_Versiejaar,P_VJ,L_Versie,E$8,L_Kengetal,"Omzet FY"))/P_Factor,IF(COUNTIFS(L_Actief,1,L_WBS,$A84,L_Doeljaar,Sel_Doeljaar,L_Versiejaar,P_VJ,L_Versie,E$8,L_Kengetal,"Omzet FY")=0,"n.b.",SUMIFS(L_Waarde,L_Actief,1,L_WBS,$A84,L_Doeljaar,Sel_Doeljaar,L_Versiejaar,P_VJ,L_Versie,E$8,L_Kengetal,"Omzet FY"))))</f>
        <v/>
      </c>
      <c r="F84" s="41" t="str">
        <f>IF($A84="","",IF(ISNUMBER(IF(COUNTIFS(L_Actief,1,L_WBS,$A84,L_Doeljaar,Sel_Doeljaar,L_Versiejaar,P_VJ,L_Versie,F$8,L_Kengetal,"Omzet FY")=0,"n.b.",SUMIFS(L_Waarde,L_Actief,1,L_WBS,$A84,L_Doeljaar,Sel_Doeljaar,L_Versiejaar,P_VJ,L_Versie,F$8,L_Kengetal,"Omzet FY"))),IF(COUNTIFS(L_Actief,1,L_WBS,$A84,L_Doeljaar,Sel_Doeljaar,L_Versiejaar,P_VJ,L_Versie,F$8,L_Kengetal,"Omzet FY")=0,"n.b.",SUMIFS(L_Waarde,L_Actief,1,L_WBS,$A84,L_Doeljaar,Sel_Doeljaar,L_Versiejaar,P_VJ,L_Versie,F$8,L_Kengetal,"Omzet FY"))/P_Factor,IF(COUNTIFS(L_Actief,1,L_WBS,$A84,L_Doeljaar,Sel_Doeljaar,L_Versiejaar,P_VJ,L_Versie,F$8,L_Kengetal,"Omzet FY")=0,"n.b.",SUMIFS(L_Waarde,L_Actief,1,L_WBS,$A84,L_Doeljaar,Sel_Doeljaar,L_Versiejaar,P_VJ,L_Versie,F$8,L_Kengetal,"Omzet FY"))))</f>
        <v/>
      </c>
      <c r="G84" s="41" t="str">
        <f>IF($A84="","",IF(ISNUMBER(IF(COUNTIFS(L_Actief,1,L_WBS,$A84,L_Doeljaar,Sel_Doeljaar,L_Versiejaar,P_VJ,L_Versie,G$8,L_Kengetal,"Omzet FY")=0,"n.b.",SUMIFS(L_Waarde,L_Actief,1,L_WBS,$A84,L_Doeljaar,Sel_Doeljaar,L_Versiejaar,P_VJ,L_Versie,G$8,L_Kengetal,"Omzet FY"))),IF(COUNTIFS(L_Actief,1,L_WBS,$A84,L_Doeljaar,Sel_Doeljaar,L_Versiejaar,P_VJ,L_Versie,G$8,L_Kengetal,"Omzet FY")=0,"n.b.",SUMIFS(L_Waarde,L_Actief,1,L_WBS,$A84,L_Doeljaar,Sel_Doeljaar,L_Versiejaar,P_VJ,L_Versie,G$8,L_Kengetal,"Omzet FY"))/P_Factor,IF(COUNTIFS(L_Actief,1,L_WBS,$A84,L_Doeljaar,Sel_Doeljaar,L_Versiejaar,P_VJ,L_Versie,G$8,L_Kengetal,"Omzet FY")=0,"n.b.",SUMIFS(L_Waarde,L_Actief,1,L_WBS,$A84,L_Doeljaar,Sel_Doeljaar,L_Versiejaar,P_VJ,L_Versie,G$8,L_Kengetal,"Omzet FY"))))</f>
        <v/>
      </c>
      <c r="H84" s="41" t="str">
        <f>IF($A84="","",IF(ISNUMBER(IF(COUNTIFS(L_Actief,1,L_WBS,$A84,L_Doeljaar,Sel_Doeljaar,L_Versiejaar,P_VJ,L_Versie,H$8,L_Kengetal,"Omzet FY")=0,"n.b.",SUMIFS(L_Waarde,L_Actief,1,L_WBS,$A84,L_Doeljaar,Sel_Doeljaar,L_Versiejaar,P_VJ,L_Versie,H$8,L_Kengetal,"Omzet FY"))),IF(COUNTIFS(L_Actief,1,L_WBS,$A84,L_Doeljaar,Sel_Doeljaar,L_Versiejaar,P_VJ,L_Versie,H$8,L_Kengetal,"Omzet FY")=0,"n.b.",SUMIFS(L_Waarde,L_Actief,1,L_WBS,$A84,L_Doeljaar,Sel_Doeljaar,L_Versiejaar,P_VJ,L_Versie,H$8,L_Kengetal,"Omzet FY"))/P_Factor,IF(COUNTIFS(L_Actief,1,L_WBS,$A84,L_Doeljaar,Sel_Doeljaar,L_Versiejaar,P_VJ,L_Versie,H$8,L_Kengetal,"Omzet FY")=0,"n.b.",SUMIFS(L_Waarde,L_Actief,1,L_WBS,$A84,L_Doeljaar,Sel_Doeljaar,L_Versiejaar,P_VJ,L_Versie,H$8,L_Kengetal,"Omzet FY"))))</f>
        <v/>
      </c>
      <c r="I84" s="41" t="str">
        <f>IF($A84="","",IF(ISNUMBER(IF(COUNTIFS(L_Actief,1,L_WBS,$A84,L_Doeljaar,Sel_Doeljaar,L_Versiejaar,P_VJ,L_Versie,I$8,L_Kengetal,"Omzet FY")=0,"n.b.",SUMIFS(L_Waarde,L_Actief,1,L_WBS,$A84,L_Doeljaar,Sel_Doeljaar,L_Versiejaar,P_VJ,L_Versie,I$8,L_Kengetal,"Omzet FY"))),IF(COUNTIFS(L_Actief,1,L_WBS,$A84,L_Doeljaar,Sel_Doeljaar,L_Versiejaar,P_VJ,L_Versie,I$8,L_Kengetal,"Omzet FY")=0,"n.b.",SUMIFS(L_Waarde,L_Actief,1,L_WBS,$A84,L_Doeljaar,Sel_Doeljaar,L_Versiejaar,P_VJ,L_Versie,I$8,L_Kengetal,"Omzet FY"))/P_Factor,IF(COUNTIFS(L_Actief,1,L_WBS,$A84,L_Doeljaar,Sel_Doeljaar,L_Versiejaar,P_VJ,L_Versie,I$8,L_Kengetal,"Omzet FY")=0,"n.b.",SUMIFS(L_Waarde,L_Actief,1,L_WBS,$A84,L_Doeljaar,Sel_Doeljaar,L_Versiejaar,P_VJ,L_Versie,I$8,L_Kengetal,"Omzet FY"))))</f>
        <v/>
      </c>
      <c r="J84" s="41" t="str">
        <f>IF($A84="","",IF(ISNUMBER(IF(Sel_Doeljaar=P_RJ,VERW_Project!$P80,IF(Sel_Doeljaar=P_RJ+1,VERW_Project!$R80,"n.b."))),IF(Sel_Doeljaar=P_RJ,VERW_Project!$P80,IF(Sel_Doeljaar=P_RJ+1,VERW_Project!$R80,"n.b."))/P_Factor,IF(Sel_Doeljaar=P_RJ,VERW_Project!$P80,IF(Sel_Doeljaar=P_RJ+1,VERW_Project!$R80,"n.b."))))</f>
        <v/>
      </c>
      <c r="K84" s="41" t="str">
        <f>IF($A84="","",IF(Sel_Bron="Vastgesteld",INDEX($E84:$I84,MATCH(Sel_Versie,$E$8:$I$8,0)),IF(Sel_Bron="Concept",J84,"n.b.")))</f>
        <v/>
      </c>
      <c r="L84" s="62" t="str">
        <f>IF($A84="","",IF(Sel_Doeljaar&gt;P_VJ,"n.v.t.",IF(Sel_Bron="Vastgesteld",IF(ISNUMBER(IF(COUNTIFS(L_Actief,1,L_WBS,$A84,L_Doeljaar,Sel_Doeljaar,L_Versiejaar,P_VJ,L_Versie,Sel_Versie,L_Kengetal,"Omzet actual YTD")=0,"n.b.",SUMIFS(L_Waarde,L_Actief,1,L_WBS,$A84,L_Doeljaar,Sel_Doeljaar,L_Versiejaar,P_VJ,L_Versie,Sel_Versie,L_Kengetal,"Omzet actual YTD"))),IF(COUNTIFS(L_Actief,1,L_WBS,$A84,L_Doeljaar,Sel_Doeljaar,L_Versiejaar,P_VJ,L_Versie,Sel_Versie,L_Kengetal,"Omzet actual YTD")=0,"n.b.",SUMIFS(L_Waarde,L_Actief,1,L_WBS,$A84,L_Doeljaar,Sel_Doeljaar,L_Versiejaar,P_VJ,L_Versie,Sel_Versie,L_Kengetal,"Omzet actual YTD"))/P_Factor,IF(COUNTIFS(L_Actief,1,L_WBS,$A84,L_Doeljaar,Sel_Doeljaar,L_Versiejaar,P_VJ,L_Versie,Sel_Versie,L_Kengetal,"Omzet actual YTD")=0,"n.b.",SUMIFS(L_Waarde,L_Actief,1,L_WBS,$A84,L_Doeljaar,Sel_Doeljaar,L_Versiejaar,P_VJ,L_Versie,Sel_Versie,L_Kengetal,"Omzet actual YTD"))),IF(Sel_Bron="Concept",IF(ISNUMBER(IF(Sel_Doeljaar=P_RJ,VERW_Project!$L80,"n.v.t.")),IF(Sel_Doeljaar=P_RJ,VERW_Project!$L80,"n.v.t.")/P_Factor,IF(Sel_Doeljaar=P_RJ,VERW_Project!$L80,"n.v.t.")),"n.b."))))</f>
        <v/>
      </c>
      <c r="M84" s="41" t="str">
        <f>IF($A84="","",IF(L84="n.v.t.",K84,IF(AND(ISNUMBER(K84),ISNUMBER(L84)),K84-L84,"n.b.")))</f>
        <v/>
      </c>
      <c r="N84" s="41" t="str">
        <f>IF($A84="","",IF(Sel_Bron="Vastgesteld",IF(ISNUMBER(IF(COUNTIFS(L_Actief,1,L_WBS,$A84,L_Doeljaar,Sel_Doeljaar,L_Versiejaar,P_VJ,L_Versie,Sel_Versie,L_Kengetal,"BOR FY")=0,"n.b.",SUMIFS(L_Waarde,L_Actief,1,L_WBS,$A84,L_Doeljaar,Sel_Doeljaar,L_Versiejaar,P_VJ,L_Versie,Sel_Versie,L_Kengetal,"BOR FY"))),IF(COUNTIFS(L_Actief,1,L_WBS,$A84,L_Doeljaar,Sel_Doeljaar,L_Versiejaar,P_VJ,L_Versie,Sel_Versie,L_Kengetal,"BOR FY")=0,"n.b.",SUMIFS(L_Waarde,L_Actief,1,L_WBS,$A84,L_Doeljaar,Sel_Doeljaar,L_Versiejaar,P_VJ,L_Versie,Sel_Versie,L_Kengetal,"BOR FY"))/P_Factor,IF(COUNTIFS(L_Actief,1,L_WBS,$A84,L_Doeljaar,Sel_Doeljaar,L_Versiejaar,P_VJ,L_Versie,Sel_Versie,L_Kengetal,"BOR FY")=0,"n.b.",SUMIFS(L_Waarde,L_Actief,1,L_WBS,$A84,L_Doeljaar,Sel_Doeljaar,L_Versiejaar,P_VJ,L_Versie,Sel_Versie,L_Kengetal,"BOR FY"))),IF(Sel_Bron="Concept",IF(ISNUMBER(IF(Sel_Doeljaar=P_RJ,VERW_Project!$Q80,IF(Sel_Doeljaar=P_RJ+1,VERW_Project!$S80,"n.b."))),IF(Sel_Doeljaar=P_RJ,VERW_Project!$Q80,IF(Sel_Doeljaar=P_RJ+1,VERW_Project!$S80,"n.b."))/P_Factor,IF(Sel_Doeljaar=P_RJ,VERW_Project!$Q80,IF(Sel_Doeljaar=P_RJ+1,VERW_Project!$S80,"n.b."))),"n.b.")))</f>
        <v/>
      </c>
      <c r="O84" s="63" t="str">
        <f>IF($A84="","",IF(AND(ISNUMBER(N84),ISNUMBER(K84)),IF(K84&lt;&gt;0,N84/K84,"n.b."),"n.b."))</f>
        <v/>
      </c>
      <c r="P84" s="41" t="str">
        <f>IF($A84="","",IF(AND(ISNUMBER(K84),ISNUMBER(E84)),K84-E84,"n.b."))</f>
        <v/>
      </c>
      <c r="Q84" s="41" t="str">
        <f>IF($A84="","",IF(AND(ISNUMBER(K84),ISNUMBER(W84)),K84-W84,"n.b."))</f>
        <v/>
      </c>
      <c r="R84" s="64" t="str">
        <f>IF($A84="","",IF(ISNUMBER(N84),IF(N84&lt;0,"Verlies",""),""))</f>
        <v/>
      </c>
      <c r="S84" s="61" t="str">
        <f>IF($A84="","",IFERROR(INDEX(T_Txt,MATCH($A84&amp;"|"&amp;Sel_Doeljaar&amp;"|"&amp;P_VJ&amp;"|"&amp;Sel_Versie,T_Key,0)),""))</f>
        <v/>
      </c>
      <c r="U84" s="15" t="str">
        <f>IF(AND(AND($A84&lt;&gt;"",OR(Sel_Type="Alle",$C84=Sel_Type),OR(Sel_Project="Alle",$B84=Sel_Project)),ISNUMBER(K84)),K84+ROW()/1000000000,"")</f>
        <v/>
      </c>
      <c r="V84" s="15" t="str">
        <f>IF(AND(AND($A84&lt;&gt;"",OR(Sel_Type="Alle",$C84=Sel_Type),OR(Sel_Project="Alle",$B84=Sel_Project)),ISNUMBER(Q84)),ABS(Q84)+ROW()/1000000000,"")</f>
        <v/>
      </c>
      <c r="W84" s="15" t="str">
        <f>IF(OR($A84="",Sel_Prev=""),"n.b.",IF(ISNUMBER(IF(COUNTIFS(L_Actief,1,L_WBS,$A84,L_Doeljaar,Sel_Doeljaar,L_Versiejaar,P_VJ,L_Versie,Sel_Prev,L_Kengetal,"Omzet FY")=0,"n.b.",SUMIFS(L_Waarde,L_Actief,1,L_WBS,$A84,L_Doeljaar,Sel_Doeljaar,L_Versiejaar,P_VJ,L_Versie,Sel_Prev,L_Kengetal,"Omzet FY"))),IF(COUNTIFS(L_Actief,1,L_WBS,$A84,L_Doeljaar,Sel_Doeljaar,L_Versiejaar,P_VJ,L_Versie,Sel_Prev,L_Kengetal,"Omzet FY")=0,"n.b.",SUMIFS(L_Waarde,L_Actief,1,L_WBS,$A84,L_Doeljaar,Sel_Doeljaar,L_Versiejaar,P_VJ,L_Versie,Sel_Prev,L_Kengetal,"Omzet FY"))/P_Factor,IF(COUNTIFS(L_Actief,1,L_WBS,$A84,L_Doeljaar,Sel_Doeljaar,L_Versiejaar,P_VJ,L_Versie,Sel_Prev,L_Kengetal,"Omzet FY")=0,"n.b.",SUMIFS(L_Waarde,L_Actief,1,L_WBS,$A84,L_Doeljaar,Sel_Doeljaar,L_Versiejaar,P_VJ,L_Versie,Sel_Prev,L_Kengetal,"Omzet FY"))))</f>
        <v>n.b.</v>
      </c>
    </row>
    <row r="85">
      <c r="A85" s="61" t="str">
        <f>IF(VERW_Project!$A81="","",VERW_Project!$A81)</f>
        <v/>
      </c>
      <c r="B85" s="61" t="str">
        <f>IF($A85="","",VERW_Project!$C81)</f>
        <v/>
      </c>
      <c r="C85" s="61" t="str">
        <f>IF($A85="","",VERW_Project!$D81)</f>
        <v/>
      </c>
      <c r="D85" s="61" t="str">
        <f>IF($A85="","",VERW_Project!$I81)</f>
        <v/>
      </c>
      <c r="E85" s="41" t="str">
        <f>IF($A85="","",IF(ISNUMBER(IF(COUNTIFS(L_Actief,1,L_WBS,$A85,L_Doeljaar,Sel_Doeljaar,L_Versiejaar,P_VJ,L_Versie,E$8,L_Kengetal,"Omzet FY")=0,"n.b.",SUMIFS(L_Waarde,L_Actief,1,L_WBS,$A85,L_Doeljaar,Sel_Doeljaar,L_Versiejaar,P_VJ,L_Versie,E$8,L_Kengetal,"Omzet FY"))),IF(COUNTIFS(L_Actief,1,L_WBS,$A85,L_Doeljaar,Sel_Doeljaar,L_Versiejaar,P_VJ,L_Versie,E$8,L_Kengetal,"Omzet FY")=0,"n.b.",SUMIFS(L_Waarde,L_Actief,1,L_WBS,$A85,L_Doeljaar,Sel_Doeljaar,L_Versiejaar,P_VJ,L_Versie,E$8,L_Kengetal,"Omzet FY"))/P_Factor,IF(COUNTIFS(L_Actief,1,L_WBS,$A85,L_Doeljaar,Sel_Doeljaar,L_Versiejaar,P_VJ,L_Versie,E$8,L_Kengetal,"Omzet FY")=0,"n.b.",SUMIFS(L_Waarde,L_Actief,1,L_WBS,$A85,L_Doeljaar,Sel_Doeljaar,L_Versiejaar,P_VJ,L_Versie,E$8,L_Kengetal,"Omzet FY"))))</f>
        <v/>
      </c>
      <c r="F85" s="41" t="str">
        <f>IF($A85="","",IF(ISNUMBER(IF(COUNTIFS(L_Actief,1,L_WBS,$A85,L_Doeljaar,Sel_Doeljaar,L_Versiejaar,P_VJ,L_Versie,F$8,L_Kengetal,"Omzet FY")=0,"n.b.",SUMIFS(L_Waarde,L_Actief,1,L_WBS,$A85,L_Doeljaar,Sel_Doeljaar,L_Versiejaar,P_VJ,L_Versie,F$8,L_Kengetal,"Omzet FY"))),IF(COUNTIFS(L_Actief,1,L_WBS,$A85,L_Doeljaar,Sel_Doeljaar,L_Versiejaar,P_VJ,L_Versie,F$8,L_Kengetal,"Omzet FY")=0,"n.b.",SUMIFS(L_Waarde,L_Actief,1,L_WBS,$A85,L_Doeljaar,Sel_Doeljaar,L_Versiejaar,P_VJ,L_Versie,F$8,L_Kengetal,"Omzet FY"))/P_Factor,IF(COUNTIFS(L_Actief,1,L_WBS,$A85,L_Doeljaar,Sel_Doeljaar,L_Versiejaar,P_VJ,L_Versie,F$8,L_Kengetal,"Omzet FY")=0,"n.b.",SUMIFS(L_Waarde,L_Actief,1,L_WBS,$A85,L_Doeljaar,Sel_Doeljaar,L_Versiejaar,P_VJ,L_Versie,F$8,L_Kengetal,"Omzet FY"))))</f>
        <v/>
      </c>
      <c r="G85" s="41" t="str">
        <f>IF($A85="","",IF(ISNUMBER(IF(COUNTIFS(L_Actief,1,L_WBS,$A85,L_Doeljaar,Sel_Doeljaar,L_Versiejaar,P_VJ,L_Versie,G$8,L_Kengetal,"Omzet FY")=0,"n.b.",SUMIFS(L_Waarde,L_Actief,1,L_WBS,$A85,L_Doeljaar,Sel_Doeljaar,L_Versiejaar,P_VJ,L_Versie,G$8,L_Kengetal,"Omzet FY"))),IF(COUNTIFS(L_Actief,1,L_WBS,$A85,L_Doeljaar,Sel_Doeljaar,L_Versiejaar,P_VJ,L_Versie,G$8,L_Kengetal,"Omzet FY")=0,"n.b.",SUMIFS(L_Waarde,L_Actief,1,L_WBS,$A85,L_Doeljaar,Sel_Doeljaar,L_Versiejaar,P_VJ,L_Versie,G$8,L_Kengetal,"Omzet FY"))/P_Factor,IF(COUNTIFS(L_Actief,1,L_WBS,$A85,L_Doeljaar,Sel_Doeljaar,L_Versiejaar,P_VJ,L_Versie,G$8,L_Kengetal,"Omzet FY")=0,"n.b.",SUMIFS(L_Waarde,L_Actief,1,L_WBS,$A85,L_Doeljaar,Sel_Doeljaar,L_Versiejaar,P_VJ,L_Versie,G$8,L_Kengetal,"Omzet FY"))))</f>
        <v/>
      </c>
      <c r="H85" s="41" t="str">
        <f>IF($A85="","",IF(ISNUMBER(IF(COUNTIFS(L_Actief,1,L_WBS,$A85,L_Doeljaar,Sel_Doeljaar,L_Versiejaar,P_VJ,L_Versie,H$8,L_Kengetal,"Omzet FY")=0,"n.b.",SUMIFS(L_Waarde,L_Actief,1,L_WBS,$A85,L_Doeljaar,Sel_Doeljaar,L_Versiejaar,P_VJ,L_Versie,H$8,L_Kengetal,"Omzet FY"))),IF(COUNTIFS(L_Actief,1,L_WBS,$A85,L_Doeljaar,Sel_Doeljaar,L_Versiejaar,P_VJ,L_Versie,H$8,L_Kengetal,"Omzet FY")=0,"n.b.",SUMIFS(L_Waarde,L_Actief,1,L_WBS,$A85,L_Doeljaar,Sel_Doeljaar,L_Versiejaar,P_VJ,L_Versie,H$8,L_Kengetal,"Omzet FY"))/P_Factor,IF(COUNTIFS(L_Actief,1,L_WBS,$A85,L_Doeljaar,Sel_Doeljaar,L_Versiejaar,P_VJ,L_Versie,H$8,L_Kengetal,"Omzet FY")=0,"n.b.",SUMIFS(L_Waarde,L_Actief,1,L_WBS,$A85,L_Doeljaar,Sel_Doeljaar,L_Versiejaar,P_VJ,L_Versie,H$8,L_Kengetal,"Omzet FY"))))</f>
        <v/>
      </c>
      <c r="I85" s="41" t="str">
        <f>IF($A85="","",IF(ISNUMBER(IF(COUNTIFS(L_Actief,1,L_WBS,$A85,L_Doeljaar,Sel_Doeljaar,L_Versiejaar,P_VJ,L_Versie,I$8,L_Kengetal,"Omzet FY")=0,"n.b.",SUMIFS(L_Waarde,L_Actief,1,L_WBS,$A85,L_Doeljaar,Sel_Doeljaar,L_Versiejaar,P_VJ,L_Versie,I$8,L_Kengetal,"Omzet FY"))),IF(COUNTIFS(L_Actief,1,L_WBS,$A85,L_Doeljaar,Sel_Doeljaar,L_Versiejaar,P_VJ,L_Versie,I$8,L_Kengetal,"Omzet FY")=0,"n.b.",SUMIFS(L_Waarde,L_Actief,1,L_WBS,$A85,L_Doeljaar,Sel_Doeljaar,L_Versiejaar,P_VJ,L_Versie,I$8,L_Kengetal,"Omzet FY"))/P_Factor,IF(COUNTIFS(L_Actief,1,L_WBS,$A85,L_Doeljaar,Sel_Doeljaar,L_Versiejaar,P_VJ,L_Versie,I$8,L_Kengetal,"Omzet FY")=0,"n.b.",SUMIFS(L_Waarde,L_Actief,1,L_WBS,$A85,L_Doeljaar,Sel_Doeljaar,L_Versiejaar,P_VJ,L_Versie,I$8,L_Kengetal,"Omzet FY"))))</f>
        <v/>
      </c>
      <c r="J85" s="41" t="str">
        <f>IF($A85="","",IF(ISNUMBER(IF(Sel_Doeljaar=P_RJ,VERW_Project!$P81,IF(Sel_Doeljaar=P_RJ+1,VERW_Project!$R81,"n.b."))),IF(Sel_Doeljaar=P_RJ,VERW_Project!$P81,IF(Sel_Doeljaar=P_RJ+1,VERW_Project!$R81,"n.b."))/P_Factor,IF(Sel_Doeljaar=P_RJ,VERW_Project!$P81,IF(Sel_Doeljaar=P_RJ+1,VERW_Project!$R81,"n.b."))))</f>
        <v/>
      </c>
      <c r="K85" s="41" t="str">
        <f>IF($A85="","",IF(Sel_Bron="Vastgesteld",INDEX($E85:$I85,MATCH(Sel_Versie,$E$8:$I$8,0)),IF(Sel_Bron="Concept",J85,"n.b.")))</f>
        <v/>
      </c>
      <c r="L85" s="62" t="str">
        <f>IF($A85="","",IF(Sel_Doeljaar&gt;P_VJ,"n.v.t.",IF(Sel_Bron="Vastgesteld",IF(ISNUMBER(IF(COUNTIFS(L_Actief,1,L_WBS,$A85,L_Doeljaar,Sel_Doeljaar,L_Versiejaar,P_VJ,L_Versie,Sel_Versie,L_Kengetal,"Omzet actual YTD")=0,"n.b.",SUMIFS(L_Waarde,L_Actief,1,L_WBS,$A85,L_Doeljaar,Sel_Doeljaar,L_Versiejaar,P_VJ,L_Versie,Sel_Versie,L_Kengetal,"Omzet actual YTD"))),IF(COUNTIFS(L_Actief,1,L_WBS,$A85,L_Doeljaar,Sel_Doeljaar,L_Versiejaar,P_VJ,L_Versie,Sel_Versie,L_Kengetal,"Omzet actual YTD")=0,"n.b.",SUMIFS(L_Waarde,L_Actief,1,L_WBS,$A85,L_Doeljaar,Sel_Doeljaar,L_Versiejaar,P_VJ,L_Versie,Sel_Versie,L_Kengetal,"Omzet actual YTD"))/P_Factor,IF(COUNTIFS(L_Actief,1,L_WBS,$A85,L_Doeljaar,Sel_Doeljaar,L_Versiejaar,P_VJ,L_Versie,Sel_Versie,L_Kengetal,"Omzet actual YTD")=0,"n.b.",SUMIFS(L_Waarde,L_Actief,1,L_WBS,$A85,L_Doeljaar,Sel_Doeljaar,L_Versiejaar,P_VJ,L_Versie,Sel_Versie,L_Kengetal,"Omzet actual YTD"))),IF(Sel_Bron="Concept",IF(ISNUMBER(IF(Sel_Doeljaar=P_RJ,VERW_Project!$L81,"n.v.t.")),IF(Sel_Doeljaar=P_RJ,VERW_Project!$L81,"n.v.t.")/P_Factor,IF(Sel_Doeljaar=P_RJ,VERW_Project!$L81,"n.v.t.")),"n.b."))))</f>
        <v/>
      </c>
      <c r="M85" s="41" t="str">
        <f>IF($A85="","",IF(L85="n.v.t.",K85,IF(AND(ISNUMBER(K85),ISNUMBER(L85)),K85-L85,"n.b.")))</f>
        <v/>
      </c>
      <c r="N85" s="41" t="str">
        <f>IF($A85="","",IF(Sel_Bron="Vastgesteld",IF(ISNUMBER(IF(COUNTIFS(L_Actief,1,L_WBS,$A85,L_Doeljaar,Sel_Doeljaar,L_Versiejaar,P_VJ,L_Versie,Sel_Versie,L_Kengetal,"BOR FY")=0,"n.b.",SUMIFS(L_Waarde,L_Actief,1,L_WBS,$A85,L_Doeljaar,Sel_Doeljaar,L_Versiejaar,P_VJ,L_Versie,Sel_Versie,L_Kengetal,"BOR FY"))),IF(COUNTIFS(L_Actief,1,L_WBS,$A85,L_Doeljaar,Sel_Doeljaar,L_Versiejaar,P_VJ,L_Versie,Sel_Versie,L_Kengetal,"BOR FY")=0,"n.b.",SUMIFS(L_Waarde,L_Actief,1,L_WBS,$A85,L_Doeljaar,Sel_Doeljaar,L_Versiejaar,P_VJ,L_Versie,Sel_Versie,L_Kengetal,"BOR FY"))/P_Factor,IF(COUNTIFS(L_Actief,1,L_WBS,$A85,L_Doeljaar,Sel_Doeljaar,L_Versiejaar,P_VJ,L_Versie,Sel_Versie,L_Kengetal,"BOR FY")=0,"n.b.",SUMIFS(L_Waarde,L_Actief,1,L_WBS,$A85,L_Doeljaar,Sel_Doeljaar,L_Versiejaar,P_VJ,L_Versie,Sel_Versie,L_Kengetal,"BOR FY"))),IF(Sel_Bron="Concept",IF(ISNUMBER(IF(Sel_Doeljaar=P_RJ,VERW_Project!$Q81,IF(Sel_Doeljaar=P_RJ+1,VERW_Project!$S81,"n.b."))),IF(Sel_Doeljaar=P_RJ,VERW_Project!$Q81,IF(Sel_Doeljaar=P_RJ+1,VERW_Project!$S81,"n.b."))/P_Factor,IF(Sel_Doeljaar=P_RJ,VERW_Project!$Q81,IF(Sel_Doeljaar=P_RJ+1,VERW_Project!$S81,"n.b."))),"n.b.")))</f>
        <v/>
      </c>
      <c r="O85" s="63" t="str">
        <f>IF($A85="","",IF(AND(ISNUMBER(N85),ISNUMBER(K85)),IF(K85&lt;&gt;0,N85/K85,"n.b."),"n.b."))</f>
        <v/>
      </c>
      <c r="P85" s="41" t="str">
        <f>IF($A85="","",IF(AND(ISNUMBER(K85),ISNUMBER(E85)),K85-E85,"n.b."))</f>
        <v/>
      </c>
      <c r="Q85" s="41" t="str">
        <f>IF($A85="","",IF(AND(ISNUMBER(K85),ISNUMBER(W85)),K85-W85,"n.b."))</f>
        <v/>
      </c>
      <c r="R85" s="64" t="str">
        <f>IF($A85="","",IF(ISNUMBER(N85),IF(N85&lt;0,"Verlies",""),""))</f>
        <v/>
      </c>
      <c r="S85" s="61" t="str">
        <f>IF($A85="","",IFERROR(INDEX(T_Txt,MATCH($A85&amp;"|"&amp;Sel_Doeljaar&amp;"|"&amp;P_VJ&amp;"|"&amp;Sel_Versie,T_Key,0)),""))</f>
        <v/>
      </c>
      <c r="U85" s="15" t="str">
        <f>IF(AND(AND($A85&lt;&gt;"",OR(Sel_Type="Alle",$C85=Sel_Type),OR(Sel_Project="Alle",$B85=Sel_Project)),ISNUMBER(K85)),K85+ROW()/1000000000,"")</f>
        <v/>
      </c>
      <c r="V85" s="15" t="str">
        <f>IF(AND(AND($A85&lt;&gt;"",OR(Sel_Type="Alle",$C85=Sel_Type),OR(Sel_Project="Alle",$B85=Sel_Project)),ISNUMBER(Q85)),ABS(Q85)+ROW()/1000000000,"")</f>
        <v/>
      </c>
      <c r="W85" s="15" t="str">
        <f>IF(OR($A85="",Sel_Prev=""),"n.b.",IF(ISNUMBER(IF(COUNTIFS(L_Actief,1,L_WBS,$A85,L_Doeljaar,Sel_Doeljaar,L_Versiejaar,P_VJ,L_Versie,Sel_Prev,L_Kengetal,"Omzet FY")=0,"n.b.",SUMIFS(L_Waarde,L_Actief,1,L_WBS,$A85,L_Doeljaar,Sel_Doeljaar,L_Versiejaar,P_VJ,L_Versie,Sel_Prev,L_Kengetal,"Omzet FY"))),IF(COUNTIFS(L_Actief,1,L_WBS,$A85,L_Doeljaar,Sel_Doeljaar,L_Versiejaar,P_VJ,L_Versie,Sel_Prev,L_Kengetal,"Omzet FY")=0,"n.b.",SUMIFS(L_Waarde,L_Actief,1,L_WBS,$A85,L_Doeljaar,Sel_Doeljaar,L_Versiejaar,P_VJ,L_Versie,Sel_Prev,L_Kengetal,"Omzet FY"))/P_Factor,IF(COUNTIFS(L_Actief,1,L_WBS,$A85,L_Doeljaar,Sel_Doeljaar,L_Versiejaar,P_VJ,L_Versie,Sel_Prev,L_Kengetal,"Omzet FY")=0,"n.b.",SUMIFS(L_Waarde,L_Actief,1,L_WBS,$A85,L_Doeljaar,Sel_Doeljaar,L_Versiejaar,P_VJ,L_Versie,Sel_Prev,L_Kengetal,"Omzet FY"))))</f>
        <v>n.b.</v>
      </c>
    </row>
    <row r="86">
      <c r="A86" s="61" t="str">
        <f>IF(VERW_Project!$A82="","",VERW_Project!$A82)</f>
        <v/>
      </c>
      <c r="B86" s="61" t="str">
        <f>IF($A86="","",VERW_Project!$C82)</f>
        <v/>
      </c>
      <c r="C86" s="61" t="str">
        <f>IF($A86="","",VERW_Project!$D82)</f>
        <v/>
      </c>
      <c r="D86" s="61" t="str">
        <f>IF($A86="","",VERW_Project!$I82)</f>
        <v/>
      </c>
      <c r="E86" s="41" t="str">
        <f>IF($A86="","",IF(ISNUMBER(IF(COUNTIFS(L_Actief,1,L_WBS,$A86,L_Doeljaar,Sel_Doeljaar,L_Versiejaar,P_VJ,L_Versie,E$8,L_Kengetal,"Omzet FY")=0,"n.b.",SUMIFS(L_Waarde,L_Actief,1,L_WBS,$A86,L_Doeljaar,Sel_Doeljaar,L_Versiejaar,P_VJ,L_Versie,E$8,L_Kengetal,"Omzet FY"))),IF(COUNTIFS(L_Actief,1,L_WBS,$A86,L_Doeljaar,Sel_Doeljaar,L_Versiejaar,P_VJ,L_Versie,E$8,L_Kengetal,"Omzet FY")=0,"n.b.",SUMIFS(L_Waarde,L_Actief,1,L_WBS,$A86,L_Doeljaar,Sel_Doeljaar,L_Versiejaar,P_VJ,L_Versie,E$8,L_Kengetal,"Omzet FY"))/P_Factor,IF(COUNTIFS(L_Actief,1,L_WBS,$A86,L_Doeljaar,Sel_Doeljaar,L_Versiejaar,P_VJ,L_Versie,E$8,L_Kengetal,"Omzet FY")=0,"n.b.",SUMIFS(L_Waarde,L_Actief,1,L_WBS,$A86,L_Doeljaar,Sel_Doeljaar,L_Versiejaar,P_VJ,L_Versie,E$8,L_Kengetal,"Omzet FY"))))</f>
        <v/>
      </c>
      <c r="F86" s="41" t="str">
        <f>IF($A86="","",IF(ISNUMBER(IF(COUNTIFS(L_Actief,1,L_WBS,$A86,L_Doeljaar,Sel_Doeljaar,L_Versiejaar,P_VJ,L_Versie,F$8,L_Kengetal,"Omzet FY")=0,"n.b.",SUMIFS(L_Waarde,L_Actief,1,L_WBS,$A86,L_Doeljaar,Sel_Doeljaar,L_Versiejaar,P_VJ,L_Versie,F$8,L_Kengetal,"Omzet FY"))),IF(COUNTIFS(L_Actief,1,L_WBS,$A86,L_Doeljaar,Sel_Doeljaar,L_Versiejaar,P_VJ,L_Versie,F$8,L_Kengetal,"Omzet FY")=0,"n.b.",SUMIFS(L_Waarde,L_Actief,1,L_WBS,$A86,L_Doeljaar,Sel_Doeljaar,L_Versiejaar,P_VJ,L_Versie,F$8,L_Kengetal,"Omzet FY"))/P_Factor,IF(COUNTIFS(L_Actief,1,L_WBS,$A86,L_Doeljaar,Sel_Doeljaar,L_Versiejaar,P_VJ,L_Versie,F$8,L_Kengetal,"Omzet FY")=0,"n.b.",SUMIFS(L_Waarde,L_Actief,1,L_WBS,$A86,L_Doeljaar,Sel_Doeljaar,L_Versiejaar,P_VJ,L_Versie,F$8,L_Kengetal,"Omzet FY"))))</f>
        <v/>
      </c>
      <c r="G86" s="41" t="str">
        <f>IF($A86="","",IF(ISNUMBER(IF(COUNTIFS(L_Actief,1,L_WBS,$A86,L_Doeljaar,Sel_Doeljaar,L_Versiejaar,P_VJ,L_Versie,G$8,L_Kengetal,"Omzet FY")=0,"n.b.",SUMIFS(L_Waarde,L_Actief,1,L_WBS,$A86,L_Doeljaar,Sel_Doeljaar,L_Versiejaar,P_VJ,L_Versie,G$8,L_Kengetal,"Omzet FY"))),IF(COUNTIFS(L_Actief,1,L_WBS,$A86,L_Doeljaar,Sel_Doeljaar,L_Versiejaar,P_VJ,L_Versie,G$8,L_Kengetal,"Omzet FY")=0,"n.b.",SUMIFS(L_Waarde,L_Actief,1,L_WBS,$A86,L_Doeljaar,Sel_Doeljaar,L_Versiejaar,P_VJ,L_Versie,G$8,L_Kengetal,"Omzet FY"))/P_Factor,IF(COUNTIFS(L_Actief,1,L_WBS,$A86,L_Doeljaar,Sel_Doeljaar,L_Versiejaar,P_VJ,L_Versie,G$8,L_Kengetal,"Omzet FY")=0,"n.b.",SUMIFS(L_Waarde,L_Actief,1,L_WBS,$A86,L_Doeljaar,Sel_Doeljaar,L_Versiejaar,P_VJ,L_Versie,G$8,L_Kengetal,"Omzet FY"))))</f>
        <v/>
      </c>
      <c r="H86" s="41" t="str">
        <f>IF($A86="","",IF(ISNUMBER(IF(COUNTIFS(L_Actief,1,L_WBS,$A86,L_Doeljaar,Sel_Doeljaar,L_Versiejaar,P_VJ,L_Versie,H$8,L_Kengetal,"Omzet FY")=0,"n.b.",SUMIFS(L_Waarde,L_Actief,1,L_WBS,$A86,L_Doeljaar,Sel_Doeljaar,L_Versiejaar,P_VJ,L_Versie,H$8,L_Kengetal,"Omzet FY"))),IF(COUNTIFS(L_Actief,1,L_WBS,$A86,L_Doeljaar,Sel_Doeljaar,L_Versiejaar,P_VJ,L_Versie,H$8,L_Kengetal,"Omzet FY")=0,"n.b.",SUMIFS(L_Waarde,L_Actief,1,L_WBS,$A86,L_Doeljaar,Sel_Doeljaar,L_Versiejaar,P_VJ,L_Versie,H$8,L_Kengetal,"Omzet FY"))/P_Factor,IF(COUNTIFS(L_Actief,1,L_WBS,$A86,L_Doeljaar,Sel_Doeljaar,L_Versiejaar,P_VJ,L_Versie,H$8,L_Kengetal,"Omzet FY")=0,"n.b.",SUMIFS(L_Waarde,L_Actief,1,L_WBS,$A86,L_Doeljaar,Sel_Doeljaar,L_Versiejaar,P_VJ,L_Versie,H$8,L_Kengetal,"Omzet FY"))))</f>
        <v/>
      </c>
      <c r="I86" s="41" t="str">
        <f>IF($A86="","",IF(ISNUMBER(IF(COUNTIFS(L_Actief,1,L_WBS,$A86,L_Doeljaar,Sel_Doeljaar,L_Versiejaar,P_VJ,L_Versie,I$8,L_Kengetal,"Omzet FY")=0,"n.b.",SUMIFS(L_Waarde,L_Actief,1,L_WBS,$A86,L_Doeljaar,Sel_Doeljaar,L_Versiejaar,P_VJ,L_Versie,I$8,L_Kengetal,"Omzet FY"))),IF(COUNTIFS(L_Actief,1,L_WBS,$A86,L_Doeljaar,Sel_Doeljaar,L_Versiejaar,P_VJ,L_Versie,I$8,L_Kengetal,"Omzet FY")=0,"n.b.",SUMIFS(L_Waarde,L_Actief,1,L_WBS,$A86,L_Doeljaar,Sel_Doeljaar,L_Versiejaar,P_VJ,L_Versie,I$8,L_Kengetal,"Omzet FY"))/P_Factor,IF(COUNTIFS(L_Actief,1,L_WBS,$A86,L_Doeljaar,Sel_Doeljaar,L_Versiejaar,P_VJ,L_Versie,I$8,L_Kengetal,"Omzet FY")=0,"n.b.",SUMIFS(L_Waarde,L_Actief,1,L_WBS,$A86,L_Doeljaar,Sel_Doeljaar,L_Versiejaar,P_VJ,L_Versie,I$8,L_Kengetal,"Omzet FY"))))</f>
        <v/>
      </c>
      <c r="J86" s="41" t="str">
        <f>IF($A86="","",IF(ISNUMBER(IF(Sel_Doeljaar=P_RJ,VERW_Project!$P82,IF(Sel_Doeljaar=P_RJ+1,VERW_Project!$R82,"n.b."))),IF(Sel_Doeljaar=P_RJ,VERW_Project!$P82,IF(Sel_Doeljaar=P_RJ+1,VERW_Project!$R82,"n.b."))/P_Factor,IF(Sel_Doeljaar=P_RJ,VERW_Project!$P82,IF(Sel_Doeljaar=P_RJ+1,VERW_Project!$R82,"n.b."))))</f>
        <v/>
      </c>
      <c r="K86" s="41" t="str">
        <f>IF($A86="","",IF(Sel_Bron="Vastgesteld",INDEX($E86:$I86,MATCH(Sel_Versie,$E$8:$I$8,0)),IF(Sel_Bron="Concept",J86,"n.b.")))</f>
        <v/>
      </c>
      <c r="L86" s="62" t="str">
        <f>IF($A86="","",IF(Sel_Doeljaar&gt;P_VJ,"n.v.t.",IF(Sel_Bron="Vastgesteld",IF(ISNUMBER(IF(COUNTIFS(L_Actief,1,L_WBS,$A86,L_Doeljaar,Sel_Doeljaar,L_Versiejaar,P_VJ,L_Versie,Sel_Versie,L_Kengetal,"Omzet actual YTD")=0,"n.b.",SUMIFS(L_Waarde,L_Actief,1,L_WBS,$A86,L_Doeljaar,Sel_Doeljaar,L_Versiejaar,P_VJ,L_Versie,Sel_Versie,L_Kengetal,"Omzet actual YTD"))),IF(COUNTIFS(L_Actief,1,L_WBS,$A86,L_Doeljaar,Sel_Doeljaar,L_Versiejaar,P_VJ,L_Versie,Sel_Versie,L_Kengetal,"Omzet actual YTD")=0,"n.b.",SUMIFS(L_Waarde,L_Actief,1,L_WBS,$A86,L_Doeljaar,Sel_Doeljaar,L_Versiejaar,P_VJ,L_Versie,Sel_Versie,L_Kengetal,"Omzet actual YTD"))/P_Factor,IF(COUNTIFS(L_Actief,1,L_WBS,$A86,L_Doeljaar,Sel_Doeljaar,L_Versiejaar,P_VJ,L_Versie,Sel_Versie,L_Kengetal,"Omzet actual YTD")=0,"n.b.",SUMIFS(L_Waarde,L_Actief,1,L_WBS,$A86,L_Doeljaar,Sel_Doeljaar,L_Versiejaar,P_VJ,L_Versie,Sel_Versie,L_Kengetal,"Omzet actual YTD"))),IF(Sel_Bron="Concept",IF(ISNUMBER(IF(Sel_Doeljaar=P_RJ,VERW_Project!$L82,"n.v.t.")),IF(Sel_Doeljaar=P_RJ,VERW_Project!$L82,"n.v.t.")/P_Factor,IF(Sel_Doeljaar=P_RJ,VERW_Project!$L82,"n.v.t.")),"n.b."))))</f>
        <v/>
      </c>
      <c r="M86" s="41" t="str">
        <f>IF($A86="","",IF(L86="n.v.t.",K86,IF(AND(ISNUMBER(K86),ISNUMBER(L86)),K86-L86,"n.b.")))</f>
        <v/>
      </c>
      <c r="N86" s="41" t="str">
        <f>IF($A86="","",IF(Sel_Bron="Vastgesteld",IF(ISNUMBER(IF(COUNTIFS(L_Actief,1,L_WBS,$A86,L_Doeljaar,Sel_Doeljaar,L_Versiejaar,P_VJ,L_Versie,Sel_Versie,L_Kengetal,"BOR FY")=0,"n.b.",SUMIFS(L_Waarde,L_Actief,1,L_WBS,$A86,L_Doeljaar,Sel_Doeljaar,L_Versiejaar,P_VJ,L_Versie,Sel_Versie,L_Kengetal,"BOR FY"))),IF(COUNTIFS(L_Actief,1,L_WBS,$A86,L_Doeljaar,Sel_Doeljaar,L_Versiejaar,P_VJ,L_Versie,Sel_Versie,L_Kengetal,"BOR FY")=0,"n.b.",SUMIFS(L_Waarde,L_Actief,1,L_WBS,$A86,L_Doeljaar,Sel_Doeljaar,L_Versiejaar,P_VJ,L_Versie,Sel_Versie,L_Kengetal,"BOR FY"))/P_Factor,IF(COUNTIFS(L_Actief,1,L_WBS,$A86,L_Doeljaar,Sel_Doeljaar,L_Versiejaar,P_VJ,L_Versie,Sel_Versie,L_Kengetal,"BOR FY")=0,"n.b.",SUMIFS(L_Waarde,L_Actief,1,L_WBS,$A86,L_Doeljaar,Sel_Doeljaar,L_Versiejaar,P_VJ,L_Versie,Sel_Versie,L_Kengetal,"BOR FY"))),IF(Sel_Bron="Concept",IF(ISNUMBER(IF(Sel_Doeljaar=P_RJ,VERW_Project!$Q82,IF(Sel_Doeljaar=P_RJ+1,VERW_Project!$S82,"n.b."))),IF(Sel_Doeljaar=P_RJ,VERW_Project!$Q82,IF(Sel_Doeljaar=P_RJ+1,VERW_Project!$S82,"n.b."))/P_Factor,IF(Sel_Doeljaar=P_RJ,VERW_Project!$Q82,IF(Sel_Doeljaar=P_RJ+1,VERW_Project!$S82,"n.b."))),"n.b.")))</f>
        <v/>
      </c>
      <c r="O86" s="63" t="str">
        <f>IF($A86="","",IF(AND(ISNUMBER(N86),ISNUMBER(K86)),IF(K86&lt;&gt;0,N86/K86,"n.b."),"n.b."))</f>
        <v/>
      </c>
      <c r="P86" s="41" t="str">
        <f>IF($A86="","",IF(AND(ISNUMBER(K86),ISNUMBER(E86)),K86-E86,"n.b."))</f>
        <v/>
      </c>
      <c r="Q86" s="41" t="str">
        <f>IF($A86="","",IF(AND(ISNUMBER(K86),ISNUMBER(W86)),K86-W86,"n.b."))</f>
        <v/>
      </c>
      <c r="R86" s="64" t="str">
        <f>IF($A86="","",IF(ISNUMBER(N86),IF(N86&lt;0,"Verlies",""),""))</f>
        <v/>
      </c>
      <c r="S86" s="61" t="str">
        <f>IF($A86="","",IFERROR(INDEX(T_Txt,MATCH($A86&amp;"|"&amp;Sel_Doeljaar&amp;"|"&amp;P_VJ&amp;"|"&amp;Sel_Versie,T_Key,0)),""))</f>
        <v/>
      </c>
      <c r="U86" s="15" t="str">
        <f>IF(AND(AND($A86&lt;&gt;"",OR(Sel_Type="Alle",$C86=Sel_Type),OR(Sel_Project="Alle",$B86=Sel_Project)),ISNUMBER(K86)),K86+ROW()/1000000000,"")</f>
        <v/>
      </c>
      <c r="V86" s="15" t="str">
        <f>IF(AND(AND($A86&lt;&gt;"",OR(Sel_Type="Alle",$C86=Sel_Type),OR(Sel_Project="Alle",$B86=Sel_Project)),ISNUMBER(Q86)),ABS(Q86)+ROW()/1000000000,"")</f>
        <v/>
      </c>
      <c r="W86" s="15" t="str">
        <f>IF(OR($A86="",Sel_Prev=""),"n.b.",IF(ISNUMBER(IF(COUNTIFS(L_Actief,1,L_WBS,$A86,L_Doeljaar,Sel_Doeljaar,L_Versiejaar,P_VJ,L_Versie,Sel_Prev,L_Kengetal,"Omzet FY")=0,"n.b.",SUMIFS(L_Waarde,L_Actief,1,L_WBS,$A86,L_Doeljaar,Sel_Doeljaar,L_Versiejaar,P_VJ,L_Versie,Sel_Prev,L_Kengetal,"Omzet FY"))),IF(COUNTIFS(L_Actief,1,L_WBS,$A86,L_Doeljaar,Sel_Doeljaar,L_Versiejaar,P_VJ,L_Versie,Sel_Prev,L_Kengetal,"Omzet FY")=0,"n.b.",SUMIFS(L_Waarde,L_Actief,1,L_WBS,$A86,L_Doeljaar,Sel_Doeljaar,L_Versiejaar,P_VJ,L_Versie,Sel_Prev,L_Kengetal,"Omzet FY"))/P_Factor,IF(COUNTIFS(L_Actief,1,L_WBS,$A86,L_Doeljaar,Sel_Doeljaar,L_Versiejaar,P_VJ,L_Versie,Sel_Prev,L_Kengetal,"Omzet FY")=0,"n.b.",SUMIFS(L_Waarde,L_Actief,1,L_WBS,$A86,L_Doeljaar,Sel_Doeljaar,L_Versiejaar,P_VJ,L_Versie,Sel_Prev,L_Kengetal,"Omzet FY"))))</f>
        <v>n.b.</v>
      </c>
    </row>
    <row r="87">
      <c r="A87" s="61" t="str">
        <f>IF(VERW_Project!$A83="","",VERW_Project!$A83)</f>
        <v/>
      </c>
      <c r="B87" s="61" t="str">
        <f>IF($A87="","",VERW_Project!$C83)</f>
        <v/>
      </c>
      <c r="C87" s="61" t="str">
        <f>IF($A87="","",VERW_Project!$D83)</f>
        <v/>
      </c>
      <c r="D87" s="61" t="str">
        <f>IF($A87="","",VERW_Project!$I83)</f>
        <v/>
      </c>
      <c r="E87" s="41" t="str">
        <f>IF($A87="","",IF(ISNUMBER(IF(COUNTIFS(L_Actief,1,L_WBS,$A87,L_Doeljaar,Sel_Doeljaar,L_Versiejaar,P_VJ,L_Versie,E$8,L_Kengetal,"Omzet FY")=0,"n.b.",SUMIFS(L_Waarde,L_Actief,1,L_WBS,$A87,L_Doeljaar,Sel_Doeljaar,L_Versiejaar,P_VJ,L_Versie,E$8,L_Kengetal,"Omzet FY"))),IF(COUNTIFS(L_Actief,1,L_WBS,$A87,L_Doeljaar,Sel_Doeljaar,L_Versiejaar,P_VJ,L_Versie,E$8,L_Kengetal,"Omzet FY")=0,"n.b.",SUMIFS(L_Waarde,L_Actief,1,L_WBS,$A87,L_Doeljaar,Sel_Doeljaar,L_Versiejaar,P_VJ,L_Versie,E$8,L_Kengetal,"Omzet FY"))/P_Factor,IF(COUNTIFS(L_Actief,1,L_WBS,$A87,L_Doeljaar,Sel_Doeljaar,L_Versiejaar,P_VJ,L_Versie,E$8,L_Kengetal,"Omzet FY")=0,"n.b.",SUMIFS(L_Waarde,L_Actief,1,L_WBS,$A87,L_Doeljaar,Sel_Doeljaar,L_Versiejaar,P_VJ,L_Versie,E$8,L_Kengetal,"Omzet FY"))))</f>
        <v/>
      </c>
      <c r="F87" s="41" t="str">
        <f>IF($A87="","",IF(ISNUMBER(IF(COUNTIFS(L_Actief,1,L_WBS,$A87,L_Doeljaar,Sel_Doeljaar,L_Versiejaar,P_VJ,L_Versie,F$8,L_Kengetal,"Omzet FY")=0,"n.b.",SUMIFS(L_Waarde,L_Actief,1,L_WBS,$A87,L_Doeljaar,Sel_Doeljaar,L_Versiejaar,P_VJ,L_Versie,F$8,L_Kengetal,"Omzet FY"))),IF(COUNTIFS(L_Actief,1,L_WBS,$A87,L_Doeljaar,Sel_Doeljaar,L_Versiejaar,P_VJ,L_Versie,F$8,L_Kengetal,"Omzet FY")=0,"n.b.",SUMIFS(L_Waarde,L_Actief,1,L_WBS,$A87,L_Doeljaar,Sel_Doeljaar,L_Versiejaar,P_VJ,L_Versie,F$8,L_Kengetal,"Omzet FY"))/P_Factor,IF(COUNTIFS(L_Actief,1,L_WBS,$A87,L_Doeljaar,Sel_Doeljaar,L_Versiejaar,P_VJ,L_Versie,F$8,L_Kengetal,"Omzet FY")=0,"n.b.",SUMIFS(L_Waarde,L_Actief,1,L_WBS,$A87,L_Doeljaar,Sel_Doeljaar,L_Versiejaar,P_VJ,L_Versie,F$8,L_Kengetal,"Omzet FY"))))</f>
        <v/>
      </c>
      <c r="G87" s="41" t="str">
        <f>IF($A87="","",IF(ISNUMBER(IF(COUNTIFS(L_Actief,1,L_WBS,$A87,L_Doeljaar,Sel_Doeljaar,L_Versiejaar,P_VJ,L_Versie,G$8,L_Kengetal,"Omzet FY")=0,"n.b.",SUMIFS(L_Waarde,L_Actief,1,L_WBS,$A87,L_Doeljaar,Sel_Doeljaar,L_Versiejaar,P_VJ,L_Versie,G$8,L_Kengetal,"Omzet FY"))),IF(COUNTIFS(L_Actief,1,L_WBS,$A87,L_Doeljaar,Sel_Doeljaar,L_Versiejaar,P_VJ,L_Versie,G$8,L_Kengetal,"Omzet FY")=0,"n.b.",SUMIFS(L_Waarde,L_Actief,1,L_WBS,$A87,L_Doeljaar,Sel_Doeljaar,L_Versiejaar,P_VJ,L_Versie,G$8,L_Kengetal,"Omzet FY"))/P_Factor,IF(COUNTIFS(L_Actief,1,L_WBS,$A87,L_Doeljaar,Sel_Doeljaar,L_Versiejaar,P_VJ,L_Versie,G$8,L_Kengetal,"Omzet FY")=0,"n.b.",SUMIFS(L_Waarde,L_Actief,1,L_WBS,$A87,L_Doeljaar,Sel_Doeljaar,L_Versiejaar,P_VJ,L_Versie,G$8,L_Kengetal,"Omzet FY"))))</f>
        <v/>
      </c>
      <c r="H87" s="41" t="str">
        <f>IF($A87="","",IF(ISNUMBER(IF(COUNTIFS(L_Actief,1,L_WBS,$A87,L_Doeljaar,Sel_Doeljaar,L_Versiejaar,P_VJ,L_Versie,H$8,L_Kengetal,"Omzet FY")=0,"n.b.",SUMIFS(L_Waarde,L_Actief,1,L_WBS,$A87,L_Doeljaar,Sel_Doeljaar,L_Versiejaar,P_VJ,L_Versie,H$8,L_Kengetal,"Omzet FY"))),IF(COUNTIFS(L_Actief,1,L_WBS,$A87,L_Doeljaar,Sel_Doeljaar,L_Versiejaar,P_VJ,L_Versie,H$8,L_Kengetal,"Omzet FY")=0,"n.b.",SUMIFS(L_Waarde,L_Actief,1,L_WBS,$A87,L_Doeljaar,Sel_Doeljaar,L_Versiejaar,P_VJ,L_Versie,H$8,L_Kengetal,"Omzet FY"))/P_Factor,IF(COUNTIFS(L_Actief,1,L_WBS,$A87,L_Doeljaar,Sel_Doeljaar,L_Versiejaar,P_VJ,L_Versie,H$8,L_Kengetal,"Omzet FY")=0,"n.b.",SUMIFS(L_Waarde,L_Actief,1,L_WBS,$A87,L_Doeljaar,Sel_Doeljaar,L_Versiejaar,P_VJ,L_Versie,H$8,L_Kengetal,"Omzet FY"))))</f>
        <v/>
      </c>
      <c r="I87" s="41" t="str">
        <f>IF($A87="","",IF(ISNUMBER(IF(COUNTIFS(L_Actief,1,L_WBS,$A87,L_Doeljaar,Sel_Doeljaar,L_Versiejaar,P_VJ,L_Versie,I$8,L_Kengetal,"Omzet FY")=0,"n.b.",SUMIFS(L_Waarde,L_Actief,1,L_WBS,$A87,L_Doeljaar,Sel_Doeljaar,L_Versiejaar,P_VJ,L_Versie,I$8,L_Kengetal,"Omzet FY"))),IF(COUNTIFS(L_Actief,1,L_WBS,$A87,L_Doeljaar,Sel_Doeljaar,L_Versiejaar,P_VJ,L_Versie,I$8,L_Kengetal,"Omzet FY")=0,"n.b.",SUMIFS(L_Waarde,L_Actief,1,L_WBS,$A87,L_Doeljaar,Sel_Doeljaar,L_Versiejaar,P_VJ,L_Versie,I$8,L_Kengetal,"Omzet FY"))/P_Factor,IF(COUNTIFS(L_Actief,1,L_WBS,$A87,L_Doeljaar,Sel_Doeljaar,L_Versiejaar,P_VJ,L_Versie,I$8,L_Kengetal,"Omzet FY")=0,"n.b.",SUMIFS(L_Waarde,L_Actief,1,L_WBS,$A87,L_Doeljaar,Sel_Doeljaar,L_Versiejaar,P_VJ,L_Versie,I$8,L_Kengetal,"Omzet FY"))))</f>
        <v/>
      </c>
      <c r="J87" s="41" t="str">
        <f>IF($A87="","",IF(ISNUMBER(IF(Sel_Doeljaar=P_RJ,VERW_Project!$P83,IF(Sel_Doeljaar=P_RJ+1,VERW_Project!$R83,"n.b."))),IF(Sel_Doeljaar=P_RJ,VERW_Project!$P83,IF(Sel_Doeljaar=P_RJ+1,VERW_Project!$R83,"n.b."))/P_Factor,IF(Sel_Doeljaar=P_RJ,VERW_Project!$P83,IF(Sel_Doeljaar=P_RJ+1,VERW_Project!$R83,"n.b."))))</f>
        <v/>
      </c>
      <c r="K87" s="41" t="str">
        <f>IF($A87="","",IF(Sel_Bron="Vastgesteld",INDEX($E87:$I87,MATCH(Sel_Versie,$E$8:$I$8,0)),IF(Sel_Bron="Concept",J87,"n.b.")))</f>
        <v/>
      </c>
      <c r="L87" s="62" t="str">
        <f>IF($A87="","",IF(Sel_Doeljaar&gt;P_VJ,"n.v.t.",IF(Sel_Bron="Vastgesteld",IF(ISNUMBER(IF(COUNTIFS(L_Actief,1,L_WBS,$A87,L_Doeljaar,Sel_Doeljaar,L_Versiejaar,P_VJ,L_Versie,Sel_Versie,L_Kengetal,"Omzet actual YTD")=0,"n.b.",SUMIFS(L_Waarde,L_Actief,1,L_WBS,$A87,L_Doeljaar,Sel_Doeljaar,L_Versiejaar,P_VJ,L_Versie,Sel_Versie,L_Kengetal,"Omzet actual YTD"))),IF(COUNTIFS(L_Actief,1,L_WBS,$A87,L_Doeljaar,Sel_Doeljaar,L_Versiejaar,P_VJ,L_Versie,Sel_Versie,L_Kengetal,"Omzet actual YTD")=0,"n.b.",SUMIFS(L_Waarde,L_Actief,1,L_WBS,$A87,L_Doeljaar,Sel_Doeljaar,L_Versiejaar,P_VJ,L_Versie,Sel_Versie,L_Kengetal,"Omzet actual YTD"))/P_Factor,IF(COUNTIFS(L_Actief,1,L_WBS,$A87,L_Doeljaar,Sel_Doeljaar,L_Versiejaar,P_VJ,L_Versie,Sel_Versie,L_Kengetal,"Omzet actual YTD")=0,"n.b.",SUMIFS(L_Waarde,L_Actief,1,L_WBS,$A87,L_Doeljaar,Sel_Doeljaar,L_Versiejaar,P_VJ,L_Versie,Sel_Versie,L_Kengetal,"Omzet actual YTD"))),IF(Sel_Bron="Concept",IF(ISNUMBER(IF(Sel_Doeljaar=P_RJ,VERW_Project!$L83,"n.v.t.")),IF(Sel_Doeljaar=P_RJ,VERW_Project!$L83,"n.v.t.")/P_Factor,IF(Sel_Doeljaar=P_RJ,VERW_Project!$L83,"n.v.t.")),"n.b."))))</f>
        <v/>
      </c>
      <c r="M87" s="41" t="str">
        <f>IF($A87="","",IF(L87="n.v.t.",K87,IF(AND(ISNUMBER(K87),ISNUMBER(L87)),K87-L87,"n.b.")))</f>
        <v/>
      </c>
      <c r="N87" s="41" t="str">
        <f>IF($A87="","",IF(Sel_Bron="Vastgesteld",IF(ISNUMBER(IF(COUNTIFS(L_Actief,1,L_WBS,$A87,L_Doeljaar,Sel_Doeljaar,L_Versiejaar,P_VJ,L_Versie,Sel_Versie,L_Kengetal,"BOR FY")=0,"n.b.",SUMIFS(L_Waarde,L_Actief,1,L_WBS,$A87,L_Doeljaar,Sel_Doeljaar,L_Versiejaar,P_VJ,L_Versie,Sel_Versie,L_Kengetal,"BOR FY"))),IF(COUNTIFS(L_Actief,1,L_WBS,$A87,L_Doeljaar,Sel_Doeljaar,L_Versiejaar,P_VJ,L_Versie,Sel_Versie,L_Kengetal,"BOR FY")=0,"n.b.",SUMIFS(L_Waarde,L_Actief,1,L_WBS,$A87,L_Doeljaar,Sel_Doeljaar,L_Versiejaar,P_VJ,L_Versie,Sel_Versie,L_Kengetal,"BOR FY"))/P_Factor,IF(COUNTIFS(L_Actief,1,L_WBS,$A87,L_Doeljaar,Sel_Doeljaar,L_Versiejaar,P_VJ,L_Versie,Sel_Versie,L_Kengetal,"BOR FY")=0,"n.b.",SUMIFS(L_Waarde,L_Actief,1,L_WBS,$A87,L_Doeljaar,Sel_Doeljaar,L_Versiejaar,P_VJ,L_Versie,Sel_Versie,L_Kengetal,"BOR FY"))),IF(Sel_Bron="Concept",IF(ISNUMBER(IF(Sel_Doeljaar=P_RJ,VERW_Project!$Q83,IF(Sel_Doeljaar=P_RJ+1,VERW_Project!$S83,"n.b."))),IF(Sel_Doeljaar=P_RJ,VERW_Project!$Q83,IF(Sel_Doeljaar=P_RJ+1,VERW_Project!$S83,"n.b."))/P_Factor,IF(Sel_Doeljaar=P_RJ,VERW_Project!$Q83,IF(Sel_Doeljaar=P_RJ+1,VERW_Project!$S83,"n.b."))),"n.b.")))</f>
        <v/>
      </c>
      <c r="O87" s="63" t="str">
        <f>IF($A87="","",IF(AND(ISNUMBER(N87),ISNUMBER(K87)),IF(K87&lt;&gt;0,N87/K87,"n.b."),"n.b."))</f>
        <v/>
      </c>
      <c r="P87" s="41" t="str">
        <f>IF($A87="","",IF(AND(ISNUMBER(K87),ISNUMBER(E87)),K87-E87,"n.b."))</f>
        <v/>
      </c>
      <c r="Q87" s="41" t="str">
        <f>IF($A87="","",IF(AND(ISNUMBER(K87),ISNUMBER(W87)),K87-W87,"n.b."))</f>
        <v/>
      </c>
      <c r="R87" s="64" t="str">
        <f>IF($A87="","",IF(ISNUMBER(N87),IF(N87&lt;0,"Verlies",""),""))</f>
        <v/>
      </c>
      <c r="S87" s="61" t="str">
        <f>IF($A87="","",IFERROR(INDEX(T_Txt,MATCH($A87&amp;"|"&amp;Sel_Doeljaar&amp;"|"&amp;P_VJ&amp;"|"&amp;Sel_Versie,T_Key,0)),""))</f>
        <v/>
      </c>
      <c r="U87" s="15" t="str">
        <f>IF(AND(AND($A87&lt;&gt;"",OR(Sel_Type="Alle",$C87=Sel_Type),OR(Sel_Project="Alle",$B87=Sel_Project)),ISNUMBER(K87)),K87+ROW()/1000000000,"")</f>
        <v/>
      </c>
      <c r="V87" s="15" t="str">
        <f>IF(AND(AND($A87&lt;&gt;"",OR(Sel_Type="Alle",$C87=Sel_Type),OR(Sel_Project="Alle",$B87=Sel_Project)),ISNUMBER(Q87)),ABS(Q87)+ROW()/1000000000,"")</f>
        <v/>
      </c>
      <c r="W87" s="15" t="str">
        <f>IF(OR($A87="",Sel_Prev=""),"n.b.",IF(ISNUMBER(IF(COUNTIFS(L_Actief,1,L_WBS,$A87,L_Doeljaar,Sel_Doeljaar,L_Versiejaar,P_VJ,L_Versie,Sel_Prev,L_Kengetal,"Omzet FY")=0,"n.b.",SUMIFS(L_Waarde,L_Actief,1,L_WBS,$A87,L_Doeljaar,Sel_Doeljaar,L_Versiejaar,P_VJ,L_Versie,Sel_Prev,L_Kengetal,"Omzet FY"))),IF(COUNTIFS(L_Actief,1,L_WBS,$A87,L_Doeljaar,Sel_Doeljaar,L_Versiejaar,P_VJ,L_Versie,Sel_Prev,L_Kengetal,"Omzet FY")=0,"n.b.",SUMIFS(L_Waarde,L_Actief,1,L_WBS,$A87,L_Doeljaar,Sel_Doeljaar,L_Versiejaar,P_VJ,L_Versie,Sel_Prev,L_Kengetal,"Omzet FY"))/P_Factor,IF(COUNTIFS(L_Actief,1,L_WBS,$A87,L_Doeljaar,Sel_Doeljaar,L_Versiejaar,P_VJ,L_Versie,Sel_Prev,L_Kengetal,"Omzet FY")=0,"n.b.",SUMIFS(L_Waarde,L_Actief,1,L_WBS,$A87,L_Doeljaar,Sel_Doeljaar,L_Versiejaar,P_VJ,L_Versie,Sel_Prev,L_Kengetal,"Omzet FY"))))</f>
        <v>n.b.</v>
      </c>
    </row>
    <row r="88">
      <c r="A88" s="61" t="str">
        <f>IF(VERW_Project!$A84="","",VERW_Project!$A84)</f>
        <v/>
      </c>
      <c r="B88" s="61" t="str">
        <f>IF($A88="","",VERW_Project!$C84)</f>
        <v/>
      </c>
      <c r="C88" s="61" t="str">
        <f>IF($A88="","",VERW_Project!$D84)</f>
        <v/>
      </c>
      <c r="D88" s="61" t="str">
        <f>IF($A88="","",VERW_Project!$I84)</f>
        <v/>
      </c>
      <c r="E88" s="41" t="str">
        <f>IF($A88="","",IF(ISNUMBER(IF(COUNTIFS(L_Actief,1,L_WBS,$A88,L_Doeljaar,Sel_Doeljaar,L_Versiejaar,P_VJ,L_Versie,E$8,L_Kengetal,"Omzet FY")=0,"n.b.",SUMIFS(L_Waarde,L_Actief,1,L_WBS,$A88,L_Doeljaar,Sel_Doeljaar,L_Versiejaar,P_VJ,L_Versie,E$8,L_Kengetal,"Omzet FY"))),IF(COUNTIFS(L_Actief,1,L_WBS,$A88,L_Doeljaar,Sel_Doeljaar,L_Versiejaar,P_VJ,L_Versie,E$8,L_Kengetal,"Omzet FY")=0,"n.b.",SUMIFS(L_Waarde,L_Actief,1,L_WBS,$A88,L_Doeljaar,Sel_Doeljaar,L_Versiejaar,P_VJ,L_Versie,E$8,L_Kengetal,"Omzet FY"))/P_Factor,IF(COUNTIFS(L_Actief,1,L_WBS,$A88,L_Doeljaar,Sel_Doeljaar,L_Versiejaar,P_VJ,L_Versie,E$8,L_Kengetal,"Omzet FY")=0,"n.b.",SUMIFS(L_Waarde,L_Actief,1,L_WBS,$A88,L_Doeljaar,Sel_Doeljaar,L_Versiejaar,P_VJ,L_Versie,E$8,L_Kengetal,"Omzet FY"))))</f>
        <v/>
      </c>
      <c r="F88" s="41" t="str">
        <f>IF($A88="","",IF(ISNUMBER(IF(COUNTIFS(L_Actief,1,L_WBS,$A88,L_Doeljaar,Sel_Doeljaar,L_Versiejaar,P_VJ,L_Versie,F$8,L_Kengetal,"Omzet FY")=0,"n.b.",SUMIFS(L_Waarde,L_Actief,1,L_WBS,$A88,L_Doeljaar,Sel_Doeljaar,L_Versiejaar,P_VJ,L_Versie,F$8,L_Kengetal,"Omzet FY"))),IF(COUNTIFS(L_Actief,1,L_WBS,$A88,L_Doeljaar,Sel_Doeljaar,L_Versiejaar,P_VJ,L_Versie,F$8,L_Kengetal,"Omzet FY")=0,"n.b.",SUMIFS(L_Waarde,L_Actief,1,L_WBS,$A88,L_Doeljaar,Sel_Doeljaar,L_Versiejaar,P_VJ,L_Versie,F$8,L_Kengetal,"Omzet FY"))/P_Factor,IF(COUNTIFS(L_Actief,1,L_WBS,$A88,L_Doeljaar,Sel_Doeljaar,L_Versiejaar,P_VJ,L_Versie,F$8,L_Kengetal,"Omzet FY")=0,"n.b.",SUMIFS(L_Waarde,L_Actief,1,L_WBS,$A88,L_Doeljaar,Sel_Doeljaar,L_Versiejaar,P_VJ,L_Versie,F$8,L_Kengetal,"Omzet FY"))))</f>
        <v/>
      </c>
      <c r="G88" s="41" t="str">
        <f>IF($A88="","",IF(ISNUMBER(IF(COUNTIFS(L_Actief,1,L_WBS,$A88,L_Doeljaar,Sel_Doeljaar,L_Versiejaar,P_VJ,L_Versie,G$8,L_Kengetal,"Omzet FY")=0,"n.b.",SUMIFS(L_Waarde,L_Actief,1,L_WBS,$A88,L_Doeljaar,Sel_Doeljaar,L_Versiejaar,P_VJ,L_Versie,G$8,L_Kengetal,"Omzet FY"))),IF(COUNTIFS(L_Actief,1,L_WBS,$A88,L_Doeljaar,Sel_Doeljaar,L_Versiejaar,P_VJ,L_Versie,G$8,L_Kengetal,"Omzet FY")=0,"n.b.",SUMIFS(L_Waarde,L_Actief,1,L_WBS,$A88,L_Doeljaar,Sel_Doeljaar,L_Versiejaar,P_VJ,L_Versie,G$8,L_Kengetal,"Omzet FY"))/P_Factor,IF(COUNTIFS(L_Actief,1,L_WBS,$A88,L_Doeljaar,Sel_Doeljaar,L_Versiejaar,P_VJ,L_Versie,G$8,L_Kengetal,"Omzet FY")=0,"n.b.",SUMIFS(L_Waarde,L_Actief,1,L_WBS,$A88,L_Doeljaar,Sel_Doeljaar,L_Versiejaar,P_VJ,L_Versie,G$8,L_Kengetal,"Omzet FY"))))</f>
        <v/>
      </c>
      <c r="H88" s="41" t="str">
        <f>IF($A88="","",IF(ISNUMBER(IF(COUNTIFS(L_Actief,1,L_WBS,$A88,L_Doeljaar,Sel_Doeljaar,L_Versiejaar,P_VJ,L_Versie,H$8,L_Kengetal,"Omzet FY")=0,"n.b.",SUMIFS(L_Waarde,L_Actief,1,L_WBS,$A88,L_Doeljaar,Sel_Doeljaar,L_Versiejaar,P_VJ,L_Versie,H$8,L_Kengetal,"Omzet FY"))),IF(COUNTIFS(L_Actief,1,L_WBS,$A88,L_Doeljaar,Sel_Doeljaar,L_Versiejaar,P_VJ,L_Versie,H$8,L_Kengetal,"Omzet FY")=0,"n.b.",SUMIFS(L_Waarde,L_Actief,1,L_WBS,$A88,L_Doeljaar,Sel_Doeljaar,L_Versiejaar,P_VJ,L_Versie,H$8,L_Kengetal,"Omzet FY"))/P_Factor,IF(COUNTIFS(L_Actief,1,L_WBS,$A88,L_Doeljaar,Sel_Doeljaar,L_Versiejaar,P_VJ,L_Versie,H$8,L_Kengetal,"Omzet FY")=0,"n.b.",SUMIFS(L_Waarde,L_Actief,1,L_WBS,$A88,L_Doeljaar,Sel_Doeljaar,L_Versiejaar,P_VJ,L_Versie,H$8,L_Kengetal,"Omzet FY"))))</f>
        <v/>
      </c>
      <c r="I88" s="41" t="str">
        <f>IF($A88="","",IF(ISNUMBER(IF(COUNTIFS(L_Actief,1,L_WBS,$A88,L_Doeljaar,Sel_Doeljaar,L_Versiejaar,P_VJ,L_Versie,I$8,L_Kengetal,"Omzet FY")=0,"n.b.",SUMIFS(L_Waarde,L_Actief,1,L_WBS,$A88,L_Doeljaar,Sel_Doeljaar,L_Versiejaar,P_VJ,L_Versie,I$8,L_Kengetal,"Omzet FY"))),IF(COUNTIFS(L_Actief,1,L_WBS,$A88,L_Doeljaar,Sel_Doeljaar,L_Versiejaar,P_VJ,L_Versie,I$8,L_Kengetal,"Omzet FY")=0,"n.b.",SUMIFS(L_Waarde,L_Actief,1,L_WBS,$A88,L_Doeljaar,Sel_Doeljaar,L_Versiejaar,P_VJ,L_Versie,I$8,L_Kengetal,"Omzet FY"))/P_Factor,IF(COUNTIFS(L_Actief,1,L_WBS,$A88,L_Doeljaar,Sel_Doeljaar,L_Versiejaar,P_VJ,L_Versie,I$8,L_Kengetal,"Omzet FY")=0,"n.b.",SUMIFS(L_Waarde,L_Actief,1,L_WBS,$A88,L_Doeljaar,Sel_Doeljaar,L_Versiejaar,P_VJ,L_Versie,I$8,L_Kengetal,"Omzet FY"))))</f>
        <v/>
      </c>
      <c r="J88" s="41" t="str">
        <f>IF($A88="","",IF(ISNUMBER(IF(Sel_Doeljaar=P_RJ,VERW_Project!$P84,IF(Sel_Doeljaar=P_RJ+1,VERW_Project!$R84,"n.b."))),IF(Sel_Doeljaar=P_RJ,VERW_Project!$P84,IF(Sel_Doeljaar=P_RJ+1,VERW_Project!$R84,"n.b."))/P_Factor,IF(Sel_Doeljaar=P_RJ,VERW_Project!$P84,IF(Sel_Doeljaar=P_RJ+1,VERW_Project!$R84,"n.b."))))</f>
        <v/>
      </c>
      <c r="K88" s="41" t="str">
        <f>IF($A88="","",IF(Sel_Bron="Vastgesteld",INDEX($E88:$I88,MATCH(Sel_Versie,$E$8:$I$8,0)),IF(Sel_Bron="Concept",J88,"n.b.")))</f>
        <v/>
      </c>
      <c r="L88" s="62" t="str">
        <f>IF($A88="","",IF(Sel_Doeljaar&gt;P_VJ,"n.v.t.",IF(Sel_Bron="Vastgesteld",IF(ISNUMBER(IF(COUNTIFS(L_Actief,1,L_WBS,$A88,L_Doeljaar,Sel_Doeljaar,L_Versiejaar,P_VJ,L_Versie,Sel_Versie,L_Kengetal,"Omzet actual YTD")=0,"n.b.",SUMIFS(L_Waarde,L_Actief,1,L_WBS,$A88,L_Doeljaar,Sel_Doeljaar,L_Versiejaar,P_VJ,L_Versie,Sel_Versie,L_Kengetal,"Omzet actual YTD"))),IF(COUNTIFS(L_Actief,1,L_WBS,$A88,L_Doeljaar,Sel_Doeljaar,L_Versiejaar,P_VJ,L_Versie,Sel_Versie,L_Kengetal,"Omzet actual YTD")=0,"n.b.",SUMIFS(L_Waarde,L_Actief,1,L_WBS,$A88,L_Doeljaar,Sel_Doeljaar,L_Versiejaar,P_VJ,L_Versie,Sel_Versie,L_Kengetal,"Omzet actual YTD"))/P_Factor,IF(COUNTIFS(L_Actief,1,L_WBS,$A88,L_Doeljaar,Sel_Doeljaar,L_Versiejaar,P_VJ,L_Versie,Sel_Versie,L_Kengetal,"Omzet actual YTD")=0,"n.b.",SUMIFS(L_Waarde,L_Actief,1,L_WBS,$A88,L_Doeljaar,Sel_Doeljaar,L_Versiejaar,P_VJ,L_Versie,Sel_Versie,L_Kengetal,"Omzet actual YTD"))),IF(Sel_Bron="Concept",IF(ISNUMBER(IF(Sel_Doeljaar=P_RJ,VERW_Project!$L84,"n.v.t.")),IF(Sel_Doeljaar=P_RJ,VERW_Project!$L84,"n.v.t.")/P_Factor,IF(Sel_Doeljaar=P_RJ,VERW_Project!$L84,"n.v.t.")),"n.b."))))</f>
        <v/>
      </c>
      <c r="M88" s="41" t="str">
        <f>IF($A88="","",IF(L88="n.v.t.",K88,IF(AND(ISNUMBER(K88),ISNUMBER(L88)),K88-L88,"n.b.")))</f>
        <v/>
      </c>
      <c r="N88" s="41" t="str">
        <f>IF($A88="","",IF(Sel_Bron="Vastgesteld",IF(ISNUMBER(IF(COUNTIFS(L_Actief,1,L_WBS,$A88,L_Doeljaar,Sel_Doeljaar,L_Versiejaar,P_VJ,L_Versie,Sel_Versie,L_Kengetal,"BOR FY")=0,"n.b.",SUMIFS(L_Waarde,L_Actief,1,L_WBS,$A88,L_Doeljaar,Sel_Doeljaar,L_Versiejaar,P_VJ,L_Versie,Sel_Versie,L_Kengetal,"BOR FY"))),IF(COUNTIFS(L_Actief,1,L_WBS,$A88,L_Doeljaar,Sel_Doeljaar,L_Versiejaar,P_VJ,L_Versie,Sel_Versie,L_Kengetal,"BOR FY")=0,"n.b.",SUMIFS(L_Waarde,L_Actief,1,L_WBS,$A88,L_Doeljaar,Sel_Doeljaar,L_Versiejaar,P_VJ,L_Versie,Sel_Versie,L_Kengetal,"BOR FY"))/P_Factor,IF(COUNTIFS(L_Actief,1,L_WBS,$A88,L_Doeljaar,Sel_Doeljaar,L_Versiejaar,P_VJ,L_Versie,Sel_Versie,L_Kengetal,"BOR FY")=0,"n.b.",SUMIFS(L_Waarde,L_Actief,1,L_WBS,$A88,L_Doeljaar,Sel_Doeljaar,L_Versiejaar,P_VJ,L_Versie,Sel_Versie,L_Kengetal,"BOR FY"))),IF(Sel_Bron="Concept",IF(ISNUMBER(IF(Sel_Doeljaar=P_RJ,VERW_Project!$Q84,IF(Sel_Doeljaar=P_RJ+1,VERW_Project!$S84,"n.b."))),IF(Sel_Doeljaar=P_RJ,VERW_Project!$Q84,IF(Sel_Doeljaar=P_RJ+1,VERW_Project!$S84,"n.b."))/P_Factor,IF(Sel_Doeljaar=P_RJ,VERW_Project!$Q84,IF(Sel_Doeljaar=P_RJ+1,VERW_Project!$S84,"n.b."))),"n.b.")))</f>
        <v/>
      </c>
      <c r="O88" s="63" t="str">
        <f>IF($A88="","",IF(AND(ISNUMBER(N88),ISNUMBER(K88)),IF(K88&lt;&gt;0,N88/K88,"n.b."),"n.b."))</f>
        <v/>
      </c>
      <c r="P88" s="41" t="str">
        <f>IF($A88="","",IF(AND(ISNUMBER(K88),ISNUMBER(E88)),K88-E88,"n.b."))</f>
        <v/>
      </c>
      <c r="Q88" s="41" t="str">
        <f>IF($A88="","",IF(AND(ISNUMBER(K88),ISNUMBER(W88)),K88-W88,"n.b."))</f>
        <v/>
      </c>
      <c r="R88" s="64" t="str">
        <f>IF($A88="","",IF(ISNUMBER(N88),IF(N88&lt;0,"Verlies",""),""))</f>
        <v/>
      </c>
      <c r="S88" s="61" t="str">
        <f>IF($A88="","",IFERROR(INDEX(T_Txt,MATCH($A88&amp;"|"&amp;Sel_Doeljaar&amp;"|"&amp;P_VJ&amp;"|"&amp;Sel_Versie,T_Key,0)),""))</f>
        <v/>
      </c>
      <c r="U88" s="15" t="str">
        <f>IF(AND(AND($A88&lt;&gt;"",OR(Sel_Type="Alle",$C88=Sel_Type),OR(Sel_Project="Alle",$B88=Sel_Project)),ISNUMBER(K88)),K88+ROW()/1000000000,"")</f>
        <v/>
      </c>
      <c r="V88" s="15" t="str">
        <f>IF(AND(AND($A88&lt;&gt;"",OR(Sel_Type="Alle",$C88=Sel_Type),OR(Sel_Project="Alle",$B88=Sel_Project)),ISNUMBER(Q88)),ABS(Q88)+ROW()/1000000000,"")</f>
        <v/>
      </c>
      <c r="W88" s="15" t="str">
        <f>IF(OR($A88="",Sel_Prev=""),"n.b.",IF(ISNUMBER(IF(COUNTIFS(L_Actief,1,L_WBS,$A88,L_Doeljaar,Sel_Doeljaar,L_Versiejaar,P_VJ,L_Versie,Sel_Prev,L_Kengetal,"Omzet FY")=0,"n.b.",SUMIFS(L_Waarde,L_Actief,1,L_WBS,$A88,L_Doeljaar,Sel_Doeljaar,L_Versiejaar,P_VJ,L_Versie,Sel_Prev,L_Kengetal,"Omzet FY"))),IF(COUNTIFS(L_Actief,1,L_WBS,$A88,L_Doeljaar,Sel_Doeljaar,L_Versiejaar,P_VJ,L_Versie,Sel_Prev,L_Kengetal,"Omzet FY")=0,"n.b.",SUMIFS(L_Waarde,L_Actief,1,L_WBS,$A88,L_Doeljaar,Sel_Doeljaar,L_Versiejaar,P_VJ,L_Versie,Sel_Prev,L_Kengetal,"Omzet FY"))/P_Factor,IF(COUNTIFS(L_Actief,1,L_WBS,$A88,L_Doeljaar,Sel_Doeljaar,L_Versiejaar,P_VJ,L_Versie,Sel_Prev,L_Kengetal,"Omzet FY")=0,"n.b.",SUMIFS(L_Waarde,L_Actief,1,L_WBS,$A88,L_Doeljaar,Sel_Doeljaar,L_Versiejaar,P_VJ,L_Versie,Sel_Prev,L_Kengetal,"Omzet FY"))))</f>
        <v>n.b.</v>
      </c>
    </row>
    <row r="89">
      <c r="A89" s="61" t="str">
        <f>IF(VERW_Project!$A85="","",VERW_Project!$A85)</f>
        <v/>
      </c>
      <c r="B89" s="61" t="str">
        <f>IF($A89="","",VERW_Project!$C85)</f>
        <v/>
      </c>
      <c r="C89" s="61" t="str">
        <f>IF($A89="","",VERW_Project!$D85)</f>
        <v/>
      </c>
      <c r="D89" s="61" t="str">
        <f>IF($A89="","",VERW_Project!$I85)</f>
        <v/>
      </c>
      <c r="E89" s="41" t="str">
        <f>IF($A89="","",IF(ISNUMBER(IF(COUNTIFS(L_Actief,1,L_WBS,$A89,L_Doeljaar,Sel_Doeljaar,L_Versiejaar,P_VJ,L_Versie,E$8,L_Kengetal,"Omzet FY")=0,"n.b.",SUMIFS(L_Waarde,L_Actief,1,L_WBS,$A89,L_Doeljaar,Sel_Doeljaar,L_Versiejaar,P_VJ,L_Versie,E$8,L_Kengetal,"Omzet FY"))),IF(COUNTIFS(L_Actief,1,L_WBS,$A89,L_Doeljaar,Sel_Doeljaar,L_Versiejaar,P_VJ,L_Versie,E$8,L_Kengetal,"Omzet FY")=0,"n.b.",SUMIFS(L_Waarde,L_Actief,1,L_WBS,$A89,L_Doeljaar,Sel_Doeljaar,L_Versiejaar,P_VJ,L_Versie,E$8,L_Kengetal,"Omzet FY"))/P_Factor,IF(COUNTIFS(L_Actief,1,L_WBS,$A89,L_Doeljaar,Sel_Doeljaar,L_Versiejaar,P_VJ,L_Versie,E$8,L_Kengetal,"Omzet FY")=0,"n.b.",SUMIFS(L_Waarde,L_Actief,1,L_WBS,$A89,L_Doeljaar,Sel_Doeljaar,L_Versiejaar,P_VJ,L_Versie,E$8,L_Kengetal,"Omzet FY"))))</f>
        <v/>
      </c>
      <c r="F89" s="41" t="str">
        <f>IF($A89="","",IF(ISNUMBER(IF(COUNTIFS(L_Actief,1,L_WBS,$A89,L_Doeljaar,Sel_Doeljaar,L_Versiejaar,P_VJ,L_Versie,F$8,L_Kengetal,"Omzet FY")=0,"n.b.",SUMIFS(L_Waarde,L_Actief,1,L_WBS,$A89,L_Doeljaar,Sel_Doeljaar,L_Versiejaar,P_VJ,L_Versie,F$8,L_Kengetal,"Omzet FY"))),IF(COUNTIFS(L_Actief,1,L_WBS,$A89,L_Doeljaar,Sel_Doeljaar,L_Versiejaar,P_VJ,L_Versie,F$8,L_Kengetal,"Omzet FY")=0,"n.b.",SUMIFS(L_Waarde,L_Actief,1,L_WBS,$A89,L_Doeljaar,Sel_Doeljaar,L_Versiejaar,P_VJ,L_Versie,F$8,L_Kengetal,"Omzet FY"))/P_Factor,IF(COUNTIFS(L_Actief,1,L_WBS,$A89,L_Doeljaar,Sel_Doeljaar,L_Versiejaar,P_VJ,L_Versie,F$8,L_Kengetal,"Omzet FY")=0,"n.b.",SUMIFS(L_Waarde,L_Actief,1,L_WBS,$A89,L_Doeljaar,Sel_Doeljaar,L_Versiejaar,P_VJ,L_Versie,F$8,L_Kengetal,"Omzet FY"))))</f>
        <v/>
      </c>
      <c r="G89" s="41" t="str">
        <f>IF($A89="","",IF(ISNUMBER(IF(COUNTIFS(L_Actief,1,L_WBS,$A89,L_Doeljaar,Sel_Doeljaar,L_Versiejaar,P_VJ,L_Versie,G$8,L_Kengetal,"Omzet FY")=0,"n.b.",SUMIFS(L_Waarde,L_Actief,1,L_WBS,$A89,L_Doeljaar,Sel_Doeljaar,L_Versiejaar,P_VJ,L_Versie,G$8,L_Kengetal,"Omzet FY"))),IF(COUNTIFS(L_Actief,1,L_WBS,$A89,L_Doeljaar,Sel_Doeljaar,L_Versiejaar,P_VJ,L_Versie,G$8,L_Kengetal,"Omzet FY")=0,"n.b.",SUMIFS(L_Waarde,L_Actief,1,L_WBS,$A89,L_Doeljaar,Sel_Doeljaar,L_Versiejaar,P_VJ,L_Versie,G$8,L_Kengetal,"Omzet FY"))/P_Factor,IF(COUNTIFS(L_Actief,1,L_WBS,$A89,L_Doeljaar,Sel_Doeljaar,L_Versiejaar,P_VJ,L_Versie,G$8,L_Kengetal,"Omzet FY")=0,"n.b.",SUMIFS(L_Waarde,L_Actief,1,L_WBS,$A89,L_Doeljaar,Sel_Doeljaar,L_Versiejaar,P_VJ,L_Versie,G$8,L_Kengetal,"Omzet FY"))))</f>
        <v/>
      </c>
      <c r="H89" s="41" t="str">
        <f>IF($A89="","",IF(ISNUMBER(IF(COUNTIFS(L_Actief,1,L_WBS,$A89,L_Doeljaar,Sel_Doeljaar,L_Versiejaar,P_VJ,L_Versie,H$8,L_Kengetal,"Omzet FY")=0,"n.b.",SUMIFS(L_Waarde,L_Actief,1,L_WBS,$A89,L_Doeljaar,Sel_Doeljaar,L_Versiejaar,P_VJ,L_Versie,H$8,L_Kengetal,"Omzet FY"))),IF(COUNTIFS(L_Actief,1,L_WBS,$A89,L_Doeljaar,Sel_Doeljaar,L_Versiejaar,P_VJ,L_Versie,H$8,L_Kengetal,"Omzet FY")=0,"n.b.",SUMIFS(L_Waarde,L_Actief,1,L_WBS,$A89,L_Doeljaar,Sel_Doeljaar,L_Versiejaar,P_VJ,L_Versie,H$8,L_Kengetal,"Omzet FY"))/P_Factor,IF(COUNTIFS(L_Actief,1,L_WBS,$A89,L_Doeljaar,Sel_Doeljaar,L_Versiejaar,P_VJ,L_Versie,H$8,L_Kengetal,"Omzet FY")=0,"n.b.",SUMIFS(L_Waarde,L_Actief,1,L_WBS,$A89,L_Doeljaar,Sel_Doeljaar,L_Versiejaar,P_VJ,L_Versie,H$8,L_Kengetal,"Omzet FY"))))</f>
        <v/>
      </c>
      <c r="I89" s="41" t="str">
        <f>IF($A89="","",IF(ISNUMBER(IF(COUNTIFS(L_Actief,1,L_WBS,$A89,L_Doeljaar,Sel_Doeljaar,L_Versiejaar,P_VJ,L_Versie,I$8,L_Kengetal,"Omzet FY")=0,"n.b.",SUMIFS(L_Waarde,L_Actief,1,L_WBS,$A89,L_Doeljaar,Sel_Doeljaar,L_Versiejaar,P_VJ,L_Versie,I$8,L_Kengetal,"Omzet FY"))),IF(COUNTIFS(L_Actief,1,L_WBS,$A89,L_Doeljaar,Sel_Doeljaar,L_Versiejaar,P_VJ,L_Versie,I$8,L_Kengetal,"Omzet FY")=0,"n.b.",SUMIFS(L_Waarde,L_Actief,1,L_WBS,$A89,L_Doeljaar,Sel_Doeljaar,L_Versiejaar,P_VJ,L_Versie,I$8,L_Kengetal,"Omzet FY"))/P_Factor,IF(COUNTIFS(L_Actief,1,L_WBS,$A89,L_Doeljaar,Sel_Doeljaar,L_Versiejaar,P_VJ,L_Versie,I$8,L_Kengetal,"Omzet FY")=0,"n.b.",SUMIFS(L_Waarde,L_Actief,1,L_WBS,$A89,L_Doeljaar,Sel_Doeljaar,L_Versiejaar,P_VJ,L_Versie,I$8,L_Kengetal,"Omzet FY"))))</f>
        <v/>
      </c>
      <c r="J89" s="41" t="str">
        <f>IF($A89="","",IF(ISNUMBER(IF(Sel_Doeljaar=P_RJ,VERW_Project!$P85,IF(Sel_Doeljaar=P_RJ+1,VERW_Project!$R85,"n.b."))),IF(Sel_Doeljaar=P_RJ,VERW_Project!$P85,IF(Sel_Doeljaar=P_RJ+1,VERW_Project!$R85,"n.b."))/P_Factor,IF(Sel_Doeljaar=P_RJ,VERW_Project!$P85,IF(Sel_Doeljaar=P_RJ+1,VERW_Project!$R85,"n.b."))))</f>
        <v/>
      </c>
      <c r="K89" s="41" t="str">
        <f>IF($A89="","",IF(Sel_Bron="Vastgesteld",INDEX($E89:$I89,MATCH(Sel_Versie,$E$8:$I$8,0)),IF(Sel_Bron="Concept",J89,"n.b.")))</f>
        <v/>
      </c>
      <c r="L89" s="62" t="str">
        <f>IF($A89="","",IF(Sel_Doeljaar&gt;P_VJ,"n.v.t.",IF(Sel_Bron="Vastgesteld",IF(ISNUMBER(IF(COUNTIFS(L_Actief,1,L_WBS,$A89,L_Doeljaar,Sel_Doeljaar,L_Versiejaar,P_VJ,L_Versie,Sel_Versie,L_Kengetal,"Omzet actual YTD")=0,"n.b.",SUMIFS(L_Waarde,L_Actief,1,L_WBS,$A89,L_Doeljaar,Sel_Doeljaar,L_Versiejaar,P_VJ,L_Versie,Sel_Versie,L_Kengetal,"Omzet actual YTD"))),IF(COUNTIFS(L_Actief,1,L_WBS,$A89,L_Doeljaar,Sel_Doeljaar,L_Versiejaar,P_VJ,L_Versie,Sel_Versie,L_Kengetal,"Omzet actual YTD")=0,"n.b.",SUMIFS(L_Waarde,L_Actief,1,L_WBS,$A89,L_Doeljaar,Sel_Doeljaar,L_Versiejaar,P_VJ,L_Versie,Sel_Versie,L_Kengetal,"Omzet actual YTD"))/P_Factor,IF(COUNTIFS(L_Actief,1,L_WBS,$A89,L_Doeljaar,Sel_Doeljaar,L_Versiejaar,P_VJ,L_Versie,Sel_Versie,L_Kengetal,"Omzet actual YTD")=0,"n.b.",SUMIFS(L_Waarde,L_Actief,1,L_WBS,$A89,L_Doeljaar,Sel_Doeljaar,L_Versiejaar,P_VJ,L_Versie,Sel_Versie,L_Kengetal,"Omzet actual YTD"))),IF(Sel_Bron="Concept",IF(ISNUMBER(IF(Sel_Doeljaar=P_RJ,VERW_Project!$L85,"n.v.t.")),IF(Sel_Doeljaar=P_RJ,VERW_Project!$L85,"n.v.t.")/P_Factor,IF(Sel_Doeljaar=P_RJ,VERW_Project!$L85,"n.v.t.")),"n.b."))))</f>
        <v/>
      </c>
      <c r="M89" s="41" t="str">
        <f>IF($A89="","",IF(L89="n.v.t.",K89,IF(AND(ISNUMBER(K89),ISNUMBER(L89)),K89-L89,"n.b.")))</f>
        <v/>
      </c>
      <c r="N89" s="41" t="str">
        <f>IF($A89="","",IF(Sel_Bron="Vastgesteld",IF(ISNUMBER(IF(COUNTIFS(L_Actief,1,L_WBS,$A89,L_Doeljaar,Sel_Doeljaar,L_Versiejaar,P_VJ,L_Versie,Sel_Versie,L_Kengetal,"BOR FY")=0,"n.b.",SUMIFS(L_Waarde,L_Actief,1,L_WBS,$A89,L_Doeljaar,Sel_Doeljaar,L_Versiejaar,P_VJ,L_Versie,Sel_Versie,L_Kengetal,"BOR FY"))),IF(COUNTIFS(L_Actief,1,L_WBS,$A89,L_Doeljaar,Sel_Doeljaar,L_Versiejaar,P_VJ,L_Versie,Sel_Versie,L_Kengetal,"BOR FY")=0,"n.b.",SUMIFS(L_Waarde,L_Actief,1,L_WBS,$A89,L_Doeljaar,Sel_Doeljaar,L_Versiejaar,P_VJ,L_Versie,Sel_Versie,L_Kengetal,"BOR FY"))/P_Factor,IF(COUNTIFS(L_Actief,1,L_WBS,$A89,L_Doeljaar,Sel_Doeljaar,L_Versiejaar,P_VJ,L_Versie,Sel_Versie,L_Kengetal,"BOR FY")=0,"n.b.",SUMIFS(L_Waarde,L_Actief,1,L_WBS,$A89,L_Doeljaar,Sel_Doeljaar,L_Versiejaar,P_VJ,L_Versie,Sel_Versie,L_Kengetal,"BOR FY"))),IF(Sel_Bron="Concept",IF(ISNUMBER(IF(Sel_Doeljaar=P_RJ,VERW_Project!$Q85,IF(Sel_Doeljaar=P_RJ+1,VERW_Project!$S85,"n.b."))),IF(Sel_Doeljaar=P_RJ,VERW_Project!$Q85,IF(Sel_Doeljaar=P_RJ+1,VERW_Project!$S85,"n.b."))/P_Factor,IF(Sel_Doeljaar=P_RJ,VERW_Project!$Q85,IF(Sel_Doeljaar=P_RJ+1,VERW_Project!$S85,"n.b."))),"n.b.")))</f>
        <v/>
      </c>
      <c r="O89" s="63" t="str">
        <f>IF($A89="","",IF(AND(ISNUMBER(N89),ISNUMBER(K89)),IF(K89&lt;&gt;0,N89/K89,"n.b."),"n.b."))</f>
        <v/>
      </c>
      <c r="P89" s="41" t="str">
        <f>IF($A89="","",IF(AND(ISNUMBER(K89),ISNUMBER(E89)),K89-E89,"n.b."))</f>
        <v/>
      </c>
      <c r="Q89" s="41" t="str">
        <f>IF($A89="","",IF(AND(ISNUMBER(K89),ISNUMBER(W89)),K89-W89,"n.b."))</f>
        <v/>
      </c>
      <c r="R89" s="64" t="str">
        <f>IF($A89="","",IF(ISNUMBER(N89),IF(N89&lt;0,"Verlies",""),""))</f>
        <v/>
      </c>
      <c r="S89" s="61" t="str">
        <f>IF($A89="","",IFERROR(INDEX(T_Txt,MATCH($A89&amp;"|"&amp;Sel_Doeljaar&amp;"|"&amp;P_VJ&amp;"|"&amp;Sel_Versie,T_Key,0)),""))</f>
        <v/>
      </c>
      <c r="U89" s="15" t="str">
        <f>IF(AND(AND($A89&lt;&gt;"",OR(Sel_Type="Alle",$C89=Sel_Type),OR(Sel_Project="Alle",$B89=Sel_Project)),ISNUMBER(K89)),K89+ROW()/1000000000,"")</f>
        <v/>
      </c>
      <c r="V89" s="15" t="str">
        <f>IF(AND(AND($A89&lt;&gt;"",OR(Sel_Type="Alle",$C89=Sel_Type),OR(Sel_Project="Alle",$B89=Sel_Project)),ISNUMBER(Q89)),ABS(Q89)+ROW()/1000000000,"")</f>
        <v/>
      </c>
      <c r="W89" s="15" t="str">
        <f>IF(OR($A89="",Sel_Prev=""),"n.b.",IF(ISNUMBER(IF(COUNTIFS(L_Actief,1,L_WBS,$A89,L_Doeljaar,Sel_Doeljaar,L_Versiejaar,P_VJ,L_Versie,Sel_Prev,L_Kengetal,"Omzet FY")=0,"n.b.",SUMIFS(L_Waarde,L_Actief,1,L_WBS,$A89,L_Doeljaar,Sel_Doeljaar,L_Versiejaar,P_VJ,L_Versie,Sel_Prev,L_Kengetal,"Omzet FY"))),IF(COUNTIFS(L_Actief,1,L_WBS,$A89,L_Doeljaar,Sel_Doeljaar,L_Versiejaar,P_VJ,L_Versie,Sel_Prev,L_Kengetal,"Omzet FY")=0,"n.b.",SUMIFS(L_Waarde,L_Actief,1,L_WBS,$A89,L_Doeljaar,Sel_Doeljaar,L_Versiejaar,P_VJ,L_Versie,Sel_Prev,L_Kengetal,"Omzet FY"))/P_Factor,IF(COUNTIFS(L_Actief,1,L_WBS,$A89,L_Doeljaar,Sel_Doeljaar,L_Versiejaar,P_VJ,L_Versie,Sel_Prev,L_Kengetal,"Omzet FY")=0,"n.b.",SUMIFS(L_Waarde,L_Actief,1,L_WBS,$A89,L_Doeljaar,Sel_Doeljaar,L_Versiejaar,P_VJ,L_Versie,Sel_Prev,L_Kengetal,"Omzet FY"))))</f>
        <v>n.b.</v>
      </c>
    </row>
    <row r="90">
      <c r="A90" s="61" t="str">
        <f>IF(VERW_Project!$A86="","",VERW_Project!$A86)</f>
        <v/>
      </c>
      <c r="B90" s="61" t="str">
        <f>IF($A90="","",VERW_Project!$C86)</f>
        <v/>
      </c>
      <c r="C90" s="61" t="str">
        <f>IF($A90="","",VERW_Project!$D86)</f>
        <v/>
      </c>
      <c r="D90" s="61" t="str">
        <f>IF($A90="","",VERW_Project!$I86)</f>
        <v/>
      </c>
      <c r="E90" s="41" t="str">
        <f>IF($A90="","",IF(ISNUMBER(IF(COUNTIFS(L_Actief,1,L_WBS,$A90,L_Doeljaar,Sel_Doeljaar,L_Versiejaar,P_VJ,L_Versie,E$8,L_Kengetal,"Omzet FY")=0,"n.b.",SUMIFS(L_Waarde,L_Actief,1,L_WBS,$A90,L_Doeljaar,Sel_Doeljaar,L_Versiejaar,P_VJ,L_Versie,E$8,L_Kengetal,"Omzet FY"))),IF(COUNTIFS(L_Actief,1,L_WBS,$A90,L_Doeljaar,Sel_Doeljaar,L_Versiejaar,P_VJ,L_Versie,E$8,L_Kengetal,"Omzet FY")=0,"n.b.",SUMIFS(L_Waarde,L_Actief,1,L_WBS,$A90,L_Doeljaar,Sel_Doeljaar,L_Versiejaar,P_VJ,L_Versie,E$8,L_Kengetal,"Omzet FY"))/P_Factor,IF(COUNTIFS(L_Actief,1,L_WBS,$A90,L_Doeljaar,Sel_Doeljaar,L_Versiejaar,P_VJ,L_Versie,E$8,L_Kengetal,"Omzet FY")=0,"n.b.",SUMIFS(L_Waarde,L_Actief,1,L_WBS,$A90,L_Doeljaar,Sel_Doeljaar,L_Versiejaar,P_VJ,L_Versie,E$8,L_Kengetal,"Omzet FY"))))</f>
        <v/>
      </c>
      <c r="F90" s="41" t="str">
        <f>IF($A90="","",IF(ISNUMBER(IF(COUNTIFS(L_Actief,1,L_WBS,$A90,L_Doeljaar,Sel_Doeljaar,L_Versiejaar,P_VJ,L_Versie,F$8,L_Kengetal,"Omzet FY")=0,"n.b.",SUMIFS(L_Waarde,L_Actief,1,L_WBS,$A90,L_Doeljaar,Sel_Doeljaar,L_Versiejaar,P_VJ,L_Versie,F$8,L_Kengetal,"Omzet FY"))),IF(COUNTIFS(L_Actief,1,L_WBS,$A90,L_Doeljaar,Sel_Doeljaar,L_Versiejaar,P_VJ,L_Versie,F$8,L_Kengetal,"Omzet FY")=0,"n.b.",SUMIFS(L_Waarde,L_Actief,1,L_WBS,$A90,L_Doeljaar,Sel_Doeljaar,L_Versiejaar,P_VJ,L_Versie,F$8,L_Kengetal,"Omzet FY"))/P_Factor,IF(COUNTIFS(L_Actief,1,L_WBS,$A90,L_Doeljaar,Sel_Doeljaar,L_Versiejaar,P_VJ,L_Versie,F$8,L_Kengetal,"Omzet FY")=0,"n.b.",SUMIFS(L_Waarde,L_Actief,1,L_WBS,$A90,L_Doeljaar,Sel_Doeljaar,L_Versiejaar,P_VJ,L_Versie,F$8,L_Kengetal,"Omzet FY"))))</f>
        <v/>
      </c>
      <c r="G90" s="41" t="str">
        <f>IF($A90="","",IF(ISNUMBER(IF(COUNTIFS(L_Actief,1,L_WBS,$A90,L_Doeljaar,Sel_Doeljaar,L_Versiejaar,P_VJ,L_Versie,G$8,L_Kengetal,"Omzet FY")=0,"n.b.",SUMIFS(L_Waarde,L_Actief,1,L_WBS,$A90,L_Doeljaar,Sel_Doeljaar,L_Versiejaar,P_VJ,L_Versie,G$8,L_Kengetal,"Omzet FY"))),IF(COUNTIFS(L_Actief,1,L_WBS,$A90,L_Doeljaar,Sel_Doeljaar,L_Versiejaar,P_VJ,L_Versie,G$8,L_Kengetal,"Omzet FY")=0,"n.b.",SUMIFS(L_Waarde,L_Actief,1,L_WBS,$A90,L_Doeljaar,Sel_Doeljaar,L_Versiejaar,P_VJ,L_Versie,G$8,L_Kengetal,"Omzet FY"))/P_Factor,IF(COUNTIFS(L_Actief,1,L_WBS,$A90,L_Doeljaar,Sel_Doeljaar,L_Versiejaar,P_VJ,L_Versie,G$8,L_Kengetal,"Omzet FY")=0,"n.b.",SUMIFS(L_Waarde,L_Actief,1,L_WBS,$A90,L_Doeljaar,Sel_Doeljaar,L_Versiejaar,P_VJ,L_Versie,G$8,L_Kengetal,"Omzet FY"))))</f>
        <v/>
      </c>
      <c r="H90" s="41" t="str">
        <f>IF($A90="","",IF(ISNUMBER(IF(COUNTIFS(L_Actief,1,L_WBS,$A90,L_Doeljaar,Sel_Doeljaar,L_Versiejaar,P_VJ,L_Versie,H$8,L_Kengetal,"Omzet FY")=0,"n.b.",SUMIFS(L_Waarde,L_Actief,1,L_WBS,$A90,L_Doeljaar,Sel_Doeljaar,L_Versiejaar,P_VJ,L_Versie,H$8,L_Kengetal,"Omzet FY"))),IF(COUNTIFS(L_Actief,1,L_WBS,$A90,L_Doeljaar,Sel_Doeljaar,L_Versiejaar,P_VJ,L_Versie,H$8,L_Kengetal,"Omzet FY")=0,"n.b.",SUMIFS(L_Waarde,L_Actief,1,L_WBS,$A90,L_Doeljaar,Sel_Doeljaar,L_Versiejaar,P_VJ,L_Versie,H$8,L_Kengetal,"Omzet FY"))/P_Factor,IF(COUNTIFS(L_Actief,1,L_WBS,$A90,L_Doeljaar,Sel_Doeljaar,L_Versiejaar,P_VJ,L_Versie,H$8,L_Kengetal,"Omzet FY")=0,"n.b.",SUMIFS(L_Waarde,L_Actief,1,L_WBS,$A90,L_Doeljaar,Sel_Doeljaar,L_Versiejaar,P_VJ,L_Versie,H$8,L_Kengetal,"Omzet FY"))))</f>
        <v/>
      </c>
      <c r="I90" s="41" t="str">
        <f>IF($A90="","",IF(ISNUMBER(IF(COUNTIFS(L_Actief,1,L_WBS,$A90,L_Doeljaar,Sel_Doeljaar,L_Versiejaar,P_VJ,L_Versie,I$8,L_Kengetal,"Omzet FY")=0,"n.b.",SUMIFS(L_Waarde,L_Actief,1,L_WBS,$A90,L_Doeljaar,Sel_Doeljaar,L_Versiejaar,P_VJ,L_Versie,I$8,L_Kengetal,"Omzet FY"))),IF(COUNTIFS(L_Actief,1,L_WBS,$A90,L_Doeljaar,Sel_Doeljaar,L_Versiejaar,P_VJ,L_Versie,I$8,L_Kengetal,"Omzet FY")=0,"n.b.",SUMIFS(L_Waarde,L_Actief,1,L_WBS,$A90,L_Doeljaar,Sel_Doeljaar,L_Versiejaar,P_VJ,L_Versie,I$8,L_Kengetal,"Omzet FY"))/P_Factor,IF(COUNTIFS(L_Actief,1,L_WBS,$A90,L_Doeljaar,Sel_Doeljaar,L_Versiejaar,P_VJ,L_Versie,I$8,L_Kengetal,"Omzet FY")=0,"n.b.",SUMIFS(L_Waarde,L_Actief,1,L_WBS,$A90,L_Doeljaar,Sel_Doeljaar,L_Versiejaar,P_VJ,L_Versie,I$8,L_Kengetal,"Omzet FY"))))</f>
        <v/>
      </c>
      <c r="J90" s="41" t="str">
        <f>IF($A90="","",IF(ISNUMBER(IF(Sel_Doeljaar=P_RJ,VERW_Project!$P86,IF(Sel_Doeljaar=P_RJ+1,VERW_Project!$R86,"n.b."))),IF(Sel_Doeljaar=P_RJ,VERW_Project!$P86,IF(Sel_Doeljaar=P_RJ+1,VERW_Project!$R86,"n.b."))/P_Factor,IF(Sel_Doeljaar=P_RJ,VERW_Project!$P86,IF(Sel_Doeljaar=P_RJ+1,VERW_Project!$R86,"n.b."))))</f>
        <v/>
      </c>
      <c r="K90" s="41" t="str">
        <f>IF($A90="","",IF(Sel_Bron="Vastgesteld",INDEX($E90:$I90,MATCH(Sel_Versie,$E$8:$I$8,0)),IF(Sel_Bron="Concept",J90,"n.b.")))</f>
        <v/>
      </c>
      <c r="L90" s="62" t="str">
        <f>IF($A90="","",IF(Sel_Doeljaar&gt;P_VJ,"n.v.t.",IF(Sel_Bron="Vastgesteld",IF(ISNUMBER(IF(COUNTIFS(L_Actief,1,L_WBS,$A90,L_Doeljaar,Sel_Doeljaar,L_Versiejaar,P_VJ,L_Versie,Sel_Versie,L_Kengetal,"Omzet actual YTD")=0,"n.b.",SUMIFS(L_Waarde,L_Actief,1,L_WBS,$A90,L_Doeljaar,Sel_Doeljaar,L_Versiejaar,P_VJ,L_Versie,Sel_Versie,L_Kengetal,"Omzet actual YTD"))),IF(COUNTIFS(L_Actief,1,L_WBS,$A90,L_Doeljaar,Sel_Doeljaar,L_Versiejaar,P_VJ,L_Versie,Sel_Versie,L_Kengetal,"Omzet actual YTD")=0,"n.b.",SUMIFS(L_Waarde,L_Actief,1,L_WBS,$A90,L_Doeljaar,Sel_Doeljaar,L_Versiejaar,P_VJ,L_Versie,Sel_Versie,L_Kengetal,"Omzet actual YTD"))/P_Factor,IF(COUNTIFS(L_Actief,1,L_WBS,$A90,L_Doeljaar,Sel_Doeljaar,L_Versiejaar,P_VJ,L_Versie,Sel_Versie,L_Kengetal,"Omzet actual YTD")=0,"n.b.",SUMIFS(L_Waarde,L_Actief,1,L_WBS,$A90,L_Doeljaar,Sel_Doeljaar,L_Versiejaar,P_VJ,L_Versie,Sel_Versie,L_Kengetal,"Omzet actual YTD"))),IF(Sel_Bron="Concept",IF(ISNUMBER(IF(Sel_Doeljaar=P_RJ,VERW_Project!$L86,"n.v.t.")),IF(Sel_Doeljaar=P_RJ,VERW_Project!$L86,"n.v.t.")/P_Factor,IF(Sel_Doeljaar=P_RJ,VERW_Project!$L86,"n.v.t.")),"n.b."))))</f>
        <v/>
      </c>
      <c r="M90" s="41" t="str">
        <f>IF($A90="","",IF(L90="n.v.t.",K90,IF(AND(ISNUMBER(K90),ISNUMBER(L90)),K90-L90,"n.b.")))</f>
        <v/>
      </c>
      <c r="N90" s="41" t="str">
        <f>IF($A90="","",IF(Sel_Bron="Vastgesteld",IF(ISNUMBER(IF(COUNTIFS(L_Actief,1,L_WBS,$A90,L_Doeljaar,Sel_Doeljaar,L_Versiejaar,P_VJ,L_Versie,Sel_Versie,L_Kengetal,"BOR FY")=0,"n.b.",SUMIFS(L_Waarde,L_Actief,1,L_WBS,$A90,L_Doeljaar,Sel_Doeljaar,L_Versiejaar,P_VJ,L_Versie,Sel_Versie,L_Kengetal,"BOR FY"))),IF(COUNTIFS(L_Actief,1,L_WBS,$A90,L_Doeljaar,Sel_Doeljaar,L_Versiejaar,P_VJ,L_Versie,Sel_Versie,L_Kengetal,"BOR FY")=0,"n.b.",SUMIFS(L_Waarde,L_Actief,1,L_WBS,$A90,L_Doeljaar,Sel_Doeljaar,L_Versiejaar,P_VJ,L_Versie,Sel_Versie,L_Kengetal,"BOR FY"))/P_Factor,IF(COUNTIFS(L_Actief,1,L_WBS,$A90,L_Doeljaar,Sel_Doeljaar,L_Versiejaar,P_VJ,L_Versie,Sel_Versie,L_Kengetal,"BOR FY")=0,"n.b.",SUMIFS(L_Waarde,L_Actief,1,L_WBS,$A90,L_Doeljaar,Sel_Doeljaar,L_Versiejaar,P_VJ,L_Versie,Sel_Versie,L_Kengetal,"BOR FY"))),IF(Sel_Bron="Concept",IF(ISNUMBER(IF(Sel_Doeljaar=P_RJ,VERW_Project!$Q86,IF(Sel_Doeljaar=P_RJ+1,VERW_Project!$S86,"n.b."))),IF(Sel_Doeljaar=P_RJ,VERW_Project!$Q86,IF(Sel_Doeljaar=P_RJ+1,VERW_Project!$S86,"n.b."))/P_Factor,IF(Sel_Doeljaar=P_RJ,VERW_Project!$Q86,IF(Sel_Doeljaar=P_RJ+1,VERW_Project!$S86,"n.b."))),"n.b.")))</f>
        <v/>
      </c>
      <c r="O90" s="63" t="str">
        <f>IF($A90="","",IF(AND(ISNUMBER(N90),ISNUMBER(K90)),IF(K90&lt;&gt;0,N90/K90,"n.b."),"n.b."))</f>
        <v/>
      </c>
      <c r="P90" s="41" t="str">
        <f>IF($A90="","",IF(AND(ISNUMBER(K90),ISNUMBER(E90)),K90-E90,"n.b."))</f>
        <v/>
      </c>
      <c r="Q90" s="41" t="str">
        <f>IF($A90="","",IF(AND(ISNUMBER(K90),ISNUMBER(W90)),K90-W90,"n.b."))</f>
        <v/>
      </c>
      <c r="R90" s="64" t="str">
        <f>IF($A90="","",IF(ISNUMBER(N90),IF(N90&lt;0,"Verlies",""),""))</f>
        <v/>
      </c>
      <c r="S90" s="61" t="str">
        <f>IF($A90="","",IFERROR(INDEX(T_Txt,MATCH($A90&amp;"|"&amp;Sel_Doeljaar&amp;"|"&amp;P_VJ&amp;"|"&amp;Sel_Versie,T_Key,0)),""))</f>
        <v/>
      </c>
      <c r="U90" s="15" t="str">
        <f>IF(AND(AND($A90&lt;&gt;"",OR(Sel_Type="Alle",$C90=Sel_Type),OR(Sel_Project="Alle",$B90=Sel_Project)),ISNUMBER(K90)),K90+ROW()/1000000000,"")</f>
        <v/>
      </c>
      <c r="V90" s="15" t="str">
        <f>IF(AND(AND($A90&lt;&gt;"",OR(Sel_Type="Alle",$C90=Sel_Type),OR(Sel_Project="Alle",$B90=Sel_Project)),ISNUMBER(Q90)),ABS(Q90)+ROW()/1000000000,"")</f>
        <v/>
      </c>
      <c r="W90" s="15" t="str">
        <f>IF(OR($A90="",Sel_Prev=""),"n.b.",IF(ISNUMBER(IF(COUNTIFS(L_Actief,1,L_WBS,$A90,L_Doeljaar,Sel_Doeljaar,L_Versiejaar,P_VJ,L_Versie,Sel_Prev,L_Kengetal,"Omzet FY")=0,"n.b.",SUMIFS(L_Waarde,L_Actief,1,L_WBS,$A90,L_Doeljaar,Sel_Doeljaar,L_Versiejaar,P_VJ,L_Versie,Sel_Prev,L_Kengetal,"Omzet FY"))),IF(COUNTIFS(L_Actief,1,L_WBS,$A90,L_Doeljaar,Sel_Doeljaar,L_Versiejaar,P_VJ,L_Versie,Sel_Prev,L_Kengetal,"Omzet FY")=0,"n.b.",SUMIFS(L_Waarde,L_Actief,1,L_WBS,$A90,L_Doeljaar,Sel_Doeljaar,L_Versiejaar,P_VJ,L_Versie,Sel_Prev,L_Kengetal,"Omzet FY"))/P_Factor,IF(COUNTIFS(L_Actief,1,L_WBS,$A90,L_Doeljaar,Sel_Doeljaar,L_Versiejaar,P_VJ,L_Versie,Sel_Prev,L_Kengetal,"Omzet FY")=0,"n.b.",SUMIFS(L_Waarde,L_Actief,1,L_WBS,$A90,L_Doeljaar,Sel_Doeljaar,L_Versiejaar,P_VJ,L_Versie,Sel_Prev,L_Kengetal,"Omzet FY"))))</f>
        <v>n.b.</v>
      </c>
    </row>
    <row r="91">
      <c r="A91" s="61" t="str">
        <f>IF(VERW_Project!$A87="","",VERW_Project!$A87)</f>
        <v/>
      </c>
      <c r="B91" s="61" t="str">
        <f>IF($A91="","",VERW_Project!$C87)</f>
        <v/>
      </c>
      <c r="C91" s="61" t="str">
        <f>IF($A91="","",VERW_Project!$D87)</f>
        <v/>
      </c>
      <c r="D91" s="61" t="str">
        <f>IF($A91="","",VERW_Project!$I87)</f>
        <v/>
      </c>
      <c r="E91" s="41" t="str">
        <f>IF($A91="","",IF(ISNUMBER(IF(COUNTIFS(L_Actief,1,L_WBS,$A91,L_Doeljaar,Sel_Doeljaar,L_Versiejaar,P_VJ,L_Versie,E$8,L_Kengetal,"Omzet FY")=0,"n.b.",SUMIFS(L_Waarde,L_Actief,1,L_WBS,$A91,L_Doeljaar,Sel_Doeljaar,L_Versiejaar,P_VJ,L_Versie,E$8,L_Kengetal,"Omzet FY"))),IF(COUNTIFS(L_Actief,1,L_WBS,$A91,L_Doeljaar,Sel_Doeljaar,L_Versiejaar,P_VJ,L_Versie,E$8,L_Kengetal,"Omzet FY")=0,"n.b.",SUMIFS(L_Waarde,L_Actief,1,L_WBS,$A91,L_Doeljaar,Sel_Doeljaar,L_Versiejaar,P_VJ,L_Versie,E$8,L_Kengetal,"Omzet FY"))/P_Factor,IF(COUNTIFS(L_Actief,1,L_WBS,$A91,L_Doeljaar,Sel_Doeljaar,L_Versiejaar,P_VJ,L_Versie,E$8,L_Kengetal,"Omzet FY")=0,"n.b.",SUMIFS(L_Waarde,L_Actief,1,L_WBS,$A91,L_Doeljaar,Sel_Doeljaar,L_Versiejaar,P_VJ,L_Versie,E$8,L_Kengetal,"Omzet FY"))))</f>
        <v/>
      </c>
      <c r="F91" s="41" t="str">
        <f>IF($A91="","",IF(ISNUMBER(IF(COUNTIFS(L_Actief,1,L_WBS,$A91,L_Doeljaar,Sel_Doeljaar,L_Versiejaar,P_VJ,L_Versie,F$8,L_Kengetal,"Omzet FY")=0,"n.b.",SUMIFS(L_Waarde,L_Actief,1,L_WBS,$A91,L_Doeljaar,Sel_Doeljaar,L_Versiejaar,P_VJ,L_Versie,F$8,L_Kengetal,"Omzet FY"))),IF(COUNTIFS(L_Actief,1,L_WBS,$A91,L_Doeljaar,Sel_Doeljaar,L_Versiejaar,P_VJ,L_Versie,F$8,L_Kengetal,"Omzet FY")=0,"n.b.",SUMIFS(L_Waarde,L_Actief,1,L_WBS,$A91,L_Doeljaar,Sel_Doeljaar,L_Versiejaar,P_VJ,L_Versie,F$8,L_Kengetal,"Omzet FY"))/P_Factor,IF(COUNTIFS(L_Actief,1,L_WBS,$A91,L_Doeljaar,Sel_Doeljaar,L_Versiejaar,P_VJ,L_Versie,F$8,L_Kengetal,"Omzet FY")=0,"n.b.",SUMIFS(L_Waarde,L_Actief,1,L_WBS,$A91,L_Doeljaar,Sel_Doeljaar,L_Versiejaar,P_VJ,L_Versie,F$8,L_Kengetal,"Omzet FY"))))</f>
        <v/>
      </c>
      <c r="G91" s="41" t="str">
        <f>IF($A91="","",IF(ISNUMBER(IF(COUNTIFS(L_Actief,1,L_WBS,$A91,L_Doeljaar,Sel_Doeljaar,L_Versiejaar,P_VJ,L_Versie,G$8,L_Kengetal,"Omzet FY")=0,"n.b.",SUMIFS(L_Waarde,L_Actief,1,L_WBS,$A91,L_Doeljaar,Sel_Doeljaar,L_Versiejaar,P_VJ,L_Versie,G$8,L_Kengetal,"Omzet FY"))),IF(COUNTIFS(L_Actief,1,L_WBS,$A91,L_Doeljaar,Sel_Doeljaar,L_Versiejaar,P_VJ,L_Versie,G$8,L_Kengetal,"Omzet FY")=0,"n.b.",SUMIFS(L_Waarde,L_Actief,1,L_WBS,$A91,L_Doeljaar,Sel_Doeljaar,L_Versiejaar,P_VJ,L_Versie,G$8,L_Kengetal,"Omzet FY"))/P_Factor,IF(COUNTIFS(L_Actief,1,L_WBS,$A91,L_Doeljaar,Sel_Doeljaar,L_Versiejaar,P_VJ,L_Versie,G$8,L_Kengetal,"Omzet FY")=0,"n.b.",SUMIFS(L_Waarde,L_Actief,1,L_WBS,$A91,L_Doeljaar,Sel_Doeljaar,L_Versiejaar,P_VJ,L_Versie,G$8,L_Kengetal,"Omzet FY"))))</f>
        <v/>
      </c>
      <c r="H91" s="41" t="str">
        <f>IF($A91="","",IF(ISNUMBER(IF(COUNTIFS(L_Actief,1,L_WBS,$A91,L_Doeljaar,Sel_Doeljaar,L_Versiejaar,P_VJ,L_Versie,H$8,L_Kengetal,"Omzet FY")=0,"n.b.",SUMIFS(L_Waarde,L_Actief,1,L_WBS,$A91,L_Doeljaar,Sel_Doeljaar,L_Versiejaar,P_VJ,L_Versie,H$8,L_Kengetal,"Omzet FY"))),IF(COUNTIFS(L_Actief,1,L_WBS,$A91,L_Doeljaar,Sel_Doeljaar,L_Versiejaar,P_VJ,L_Versie,H$8,L_Kengetal,"Omzet FY")=0,"n.b.",SUMIFS(L_Waarde,L_Actief,1,L_WBS,$A91,L_Doeljaar,Sel_Doeljaar,L_Versiejaar,P_VJ,L_Versie,H$8,L_Kengetal,"Omzet FY"))/P_Factor,IF(COUNTIFS(L_Actief,1,L_WBS,$A91,L_Doeljaar,Sel_Doeljaar,L_Versiejaar,P_VJ,L_Versie,H$8,L_Kengetal,"Omzet FY")=0,"n.b.",SUMIFS(L_Waarde,L_Actief,1,L_WBS,$A91,L_Doeljaar,Sel_Doeljaar,L_Versiejaar,P_VJ,L_Versie,H$8,L_Kengetal,"Omzet FY"))))</f>
        <v/>
      </c>
      <c r="I91" s="41" t="str">
        <f>IF($A91="","",IF(ISNUMBER(IF(COUNTIFS(L_Actief,1,L_WBS,$A91,L_Doeljaar,Sel_Doeljaar,L_Versiejaar,P_VJ,L_Versie,I$8,L_Kengetal,"Omzet FY")=0,"n.b.",SUMIFS(L_Waarde,L_Actief,1,L_WBS,$A91,L_Doeljaar,Sel_Doeljaar,L_Versiejaar,P_VJ,L_Versie,I$8,L_Kengetal,"Omzet FY"))),IF(COUNTIFS(L_Actief,1,L_WBS,$A91,L_Doeljaar,Sel_Doeljaar,L_Versiejaar,P_VJ,L_Versie,I$8,L_Kengetal,"Omzet FY")=0,"n.b.",SUMIFS(L_Waarde,L_Actief,1,L_WBS,$A91,L_Doeljaar,Sel_Doeljaar,L_Versiejaar,P_VJ,L_Versie,I$8,L_Kengetal,"Omzet FY"))/P_Factor,IF(COUNTIFS(L_Actief,1,L_WBS,$A91,L_Doeljaar,Sel_Doeljaar,L_Versiejaar,P_VJ,L_Versie,I$8,L_Kengetal,"Omzet FY")=0,"n.b.",SUMIFS(L_Waarde,L_Actief,1,L_WBS,$A91,L_Doeljaar,Sel_Doeljaar,L_Versiejaar,P_VJ,L_Versie,I$8,L_Kengetal,"Omzet FY"))))</f>
        <v/>
      </c>
      <c r="J91" s="41" t="str">
        <f>IF($A91="","",IF(ISNUMBER(IF(Sel_Doeljaar=P_RJ,VERW_Project!$P87,IF(Sel_Doeljaar=P_RJ+1,VERW_Project!$R87,"n.b."))),IF(Sel_Doeljaar=P_RJ,VERW_Project!$P87,IF(Sel_Doeljaar=P_RJ+1,VERW_Project!$R87,"n.b."))/P_Factor,IF(Sel_Doeljaar=P_RJ,VERW_Project!$P87,IF(Sel_Doeljaar=P_RJ+1,VERW_Project!$R87,"n.b."))))</f>
        <v/>
      </c>
      <c r="K91" s="41" t="str">
        <f>IF($A91="","",IF(Sel_Bron="Vastgesteld",INDEX($E91:$I91,MATCH(Sel_Versie,$E$8:$I$8,0)),IF(Sel_Bron="Concept",J91,"n.b.")))</f>
        <v/>
      </c>
      <c r="L91" s="62" t="str">
        <f>IF($A91="","",IF(Sel_Doeljaar&gt;P_VJ,"n.v.t.",IF(Sel_Bron="Vastgesteld",IF(ISNUMBER(IF(COUNTIFS(L_Actief,1,L_WBS,$A91,L_Doeljaar,Sel_Doeljaar,L_Versiejaar,P_VJ,L_Versie,Sel_Versie,L_Kengetal,"Omzet actual YTD")=0,"n.b.",SUMIFS(L_Waarde,L_Actief,1,L_WBS,$A91,L_Doeljaar,Sel_Doeljaar,L_Versiejaar,P_VJ,L_Versie,Sel_Versie,L_Kengetal,"Omzet actual YTD"))),IF(COUNTIFS(L_Actief,1,L_WBS,$A91,L_Doeljaar,Sel_Doeljaar,L_Versiejaar,P_VJ,L_Versie,Sel_Versie,L_Kengetal,"Omzet actual YTD")=0,"n.b.",SUMIFS(L_Waarde,L_Actief,1,L_WBS,$A91,L_Doeljaar,Sel_Doeljaar,L_Versiejaar,P_VJ,L_Versie,Sel_Versie,L_Kengetal,"Omzet actual YTD"))/P_Factor,IF(COUNTIFS(L_Actief,1,L_WBS,$A91,L_Doeljaar,Sel_Doeljaar,L_Versiejaar,P_VJ,L_Versie,Sel_Versie,L_Kengetal,"Omzet actual YTD")=0,"n.b.",SUMIFS(L_Waarde,L_Actief,1,L_WBS,$A91,L_Doeljaar,Sel_Doeljaar,L_Versiejaar,P_VJ,L_Versie,Sel_Versie,L_Kengetal,"Omzet actual YTD"))),IF(Sel_Bron="Concept",IF(ISNUMBER(IF(Sel_Doeljaar=P_RJ,VERW_Project!$L87,"n.v.t.")),IF(Sel_Doeljaar=P_RJ,VERW_Project!$L87,"n.v.t.")/P_Factor,IF(Sel_Doeljaar=P_RJ,VERW_Project!$L87,"n.v.t.")),"n.b."))))</f>
        <v/>
      </c>
      <c r="M91" s="41" t="str">
        <f>IF($A91="","",IF(L91="n.v.t.",K91,IF(AND(ISNUMBER(K91),ISNUMBER(L91)),K91-L91,"n.b.")))</f>
        <v/>
      </c>
      <c r="N91" s="41" t="str">
        <f>IF($A91="","",IF(Sel_Bron="Vastgesteld",IF(ISNUMBER(IF(COUNTIFS(L_Actief,1,L_WBS,$A91,L_Doeljaar,Sel_Doeljaar,L_Versiejaar,P_VJ,L_Versie,Sel_Versie,L_Kengetal,"BOR FY")=0,"n.b.",SUMIFS(L_Waarde,L_Actief,1,L_WBS,$A91,L_Doeljaar,Sel_Doeljaar,L_Versiejaar,P_VJ,L_Versie,Sel_Versie,L_Kengetal,"BOR FY"))),IF(COUNTIFS(L_Actief,1,L_WBS,$A91,L_Doeljaar,Sel_Doeljaar,L_Versiejaar,P_VJ,L_Versie,Sel_Versie,L_Kengetal,"BOR FY")=0,"n.b.",SUMIFS(L_Waarde,L_Actief,1,L_WBS,$A91,L_Doeljaar,Sel_Doeljaar,L_Versiejaar,P_VJ,L_Versie,Sel_Versie,L_Kengetal,"BOR FY"))/P_Factor,IF(COUNTIFS(L_Actief,1,L_WBS,$A91,L_Doeljaar,Sel_Doeljaar,L_Versiejaar,P_VJ,L_Versie,Sel_Versie,L_Kengetal,"BOR FY")=0,"n.b.",SUMIFS(L_Waarde,L_Actief,1,L_WBS,$A91,L_Doeljaar,Sel_Doeljaar,L_Versiejaar,P_VJ,L_Versie,Sel_Versie,L_Kengetal,"BOR FY"))),IF(Sel_Bron="Concept",IF(ISNUMBER(IF(Sel_Doeljaar=P_RJ,VERW_Project!$Q87,IF(Sel_Doeljaar=P_RJ+1,VERW_Project!$S87,"n.b."))),IF(Sel_Doeljaar=P_RJ,VERW_Project!$Q87,IF(Sel_Doeljaar=P_RJ+1,VERW_Project!$S87,"n.b."))/P_Factor,IF(Sel_Doeljaar=P_RJ,VERW_Project!$Q87,IF(Sel_Doeljaar=P_RJ+1,VERW_Project!$S87,"n.b."))),"n.b.")))</f>
        <v/>
      </c>
      <c r="O91" s="63" t="str">
        <f>IF($A91="","",IF(AND(ISNUMBER(N91),ISNUMBER(K91)),IF(K91&lt;&gt;0,N91/K91,"n.b."),"n.b."))</f>
        <v/>
      </c>
      <c r="P91" s="41" t="str">
        <f>IF($A91="","",IF(AND(ISNUMBER(K91),ISNUMBER(E91)),K91-E91,"n.b."))</f>
        <v/>
      </c>
      <c r="Q91" s="41" t="str">
        <f>IF($A91="","",IF(AND(ISNUMBER(K91),ISNUMBER(W91)),K91-W91,"n.b."))</f>
        <v/>
      </c>
      <c r="R91" s="64" t="str">
        <f>IF($A91="","",IF(ISNUMBER(N91),IF(N91&lt;0,"Verlies",""),""))</f>
        <v/>
      </c>
      <c r="S91" s="61" t="str">
        <f>IF($A91="","",IFERROR(INDEX(T_Txt,MATCH($A91&amp;"|"&amp;Sel_Doeljaar&amp;"|"&amp;P_VJ&amp;"|"&amp;Sel_Versie,T_Key,0)),""))</f>
        <v/>
      </c>
      <c r="U91" s="15" t="str">
        <f>IF(AND(AND($A91&lt;&gt;"",OR(Sel_Type="Alle",$C91=Sel_Type),OR(Sel_Project="Alle",$B91=Sel_Project)),ISNUMBER(K91)),K91+ROW()/1000000000,"")</f>
        <v/>
      </c>
      <c r="V91" s="15" t="str">
        <f>IF(AND(AND($A91&lt;&gt;"",OR(Sel_Type="Alle",$C91=Sel_Type),OR(Sel_Project="Alle",$B91=Sel_Project)),ISNUMBER(Q91)),ABS(Q91)+ROW()/1000000000,"")</f>
        <v/>
      </c>
      <c r="W91" s="15" t="str">
        <f>IF(OR($A91="",Sel_Prev=""),"n.b.",IF(ISNUMBER(IF(COUNTIFS(L_Actief,1,L_WBS,$A91,L_Doeljaar,Sel_Doeljaar,L_Versiejaar,P_VJ,L_Versie,Sel_Prev,L_Kengetal,"Omzet FY")=0,"n.b.",SUMIFS(L_Waarde,L_Actief,1,L_WBS,$A91,L_Doeljaar,Sel_Doeljaar,L_Versiejaar,P_VJ,L_Versie,Sel_Prev,L_Kengetal,"Omzet FY"))),IF(COUNTIFS(L_Actief,1,L_WBS,$A91,L_Doeljaar,Sel_Doeljaar,L_Versiejaar,P_VJ,L_Versie,Sel_Prev,L_Kengetal,"Omzet FY")=0,"n.b.",SUMIFS(L_Waarde,L_Actief,1,L_WBS,$A91,L_Doeljaar,Sel_Doeljaar,L_Versiejaar,P_VJ,L_Versie,Sel_Prev,L_Kengetal,"Omzet FY"))/P_Factor,IF(COUNTIFS(L_Actief,1,L_WBS,$A91,L_Doeljaar,Sel_Doeljaar,L_Versiejaar,P_VJ,L_Versie,Sel_Prev,L_Kengetal,"Omzet FY")=0,"n.b.",SUMIFS(L_Waarde,L_Actief,1,L_WBS,$A91,L_Doeljaar,Sel_Doeljaar,L_Versiejaar,P_VJ,L_Versie,Sel_Prev,L_Kengetal,"Omzet FY"))))</f>
        <v>n.b.</v>
      </c>
    </row>
    <row r="92">
      <c r="A92" s="61" t="str">
        <f>IF(VERW_Project!$A88="","",VERW_Project!$A88)</f>
        <v/>
      </c>
      <c r="B92" s="61" t="str">
        <f>IF($A92="","",VERW_Project!$C88)</f>
        <v/>
      </c>
      <c r="C92" s="61" t="str">
        <f>IF($A92="","",VERW_Project!$D88)</f>
        <v/>
      </c>
      <c r="D92" s="61" t="str">
        <f>IF($A92="","",VERW_Project!$I88)</f>
        <v/>
      </c>
      <c r="E92" s="41" t="str">
        <f>IF($A92="","",IF(ISNUMBER(IF(COUNTIFS(L_Actief,1,L_WBS,$A92,L_Doeljaar,Sel_Doeljaar,L_Versiejaar,P_VJ,L_Versie,E$8,L_Kengetal,"Omzet FY")=0,"n.b.",SUMIFS(L_Waarde,L_Actief,1,L_WBS,$A92,L_Doeljaar,Sel_Doeljaar,L_Versiejaar,P_VJ,L_Versie,E$8,L_Kengetal,"Omzet FY"))),IF(COUNTIFS(L_Actief,1,L_WBS,$A92,L_Doeljaar,Sel_Doeljaar,L_Versiejaar,P_VJ,L_Versie,E$8,L_Kengetal,"Omzet FY")=0,"n.b.",SUMIFS(L_Waarde,L_Actief,1,L_WBS,$A92,L_Doeljaar,Sel_Doeljaar,L_Versiejaar,P_VJ,L_Versie,E$8,L_Kengetal,"Omzet FY"))/P_Factor,IF(COUNTIFS(L_Actief,1,L_WBS,$A92,L_Doeljaar,Sel_Doeljaar,L_Versiejaar,P_VJ,L_Versie,E$8,L_Kengetal,"Omzet FY")=0,"n.b.",SUMIFS(L_Waarde,L_Actief,1,L_WBS,$A92,L_Doeljaar,Sel_Doeljaar,L_Versiejaar,P_VJ,L_Versie,E$8,L_Kengetal,"Omzet FY"))))</f>
        <v/>
      </c>
      <c r="F92" s="41" t="str">
        <f>IF($A92="","",IF(ISNUMBER(IF(COUNTIFS(L_Actief,1,L_WBS,$A92,L_Doeljaar,Sel_Doeljaar,L_Versiejaar,P_VJ,L_Versie,F$8,L_Kengetal,"Omzet FY")=0,"n.b.",SUMIFS(L_Waarde,L_Actief,1,L_WBS,$A92,L_Doeljaar,Sel_Doeljaar,L_Versiejaar,P_VJ,L_Versie,F$8,L_Kengetal,"Omzet FY"))),IF(COUNTIFS(L_Actief,1,L_WBS,$A92,L_Doeljaar,Sel_Doeljaar,L_Versiejaar,P_VJ,L_Versie,F$8,L_Kengetal,"Omzet FY")=0,"n.b.",SUMIFS(L_Waarde,L_Actief,1,L_WBS,$A92,L_Doeljaar,Sel_Doeljaar,L_Versiejaar,P_VJ,L_Versie,F$8,L_Kengetal,"Omzet FY"))/P_Factor,IF(COUNTIFS(L_Actief,1,L_WBS,$A92,L_Doeljaar,Sel_Doeljaar,L_Versiejaar,P_VJ,L_Versie,F$8,L_Kengetal,"Omzet FY")=0,"n.b.",SUMIFS(L_Waarde,L_Actief,1,L_WBS,$A92,L_Doeljaar,Sel_Doeljaar,L_Versiejaar,P_VJ,L_Versie,F$8,L_Kengetal,"Omzet FY"))))</f>
        <v/>
      </c>
      <c r="G92" s="41" t="str">
        <f>IF($A92="","",IF(ISNUMBER(IF(COUNTIFS(L_Actief,1,L_WBS,$A92,L_Doeljaar,Sel_Doeljaar,L_Versiejaar,P_VJ,L_Versie,G$8,L_Kengetal,"Omzet FY")=0,"n.b.",SUMIFS(L_Waarde,L_Actief,1,L_WBS,$A92,L_Doeljaar,Sel_Doeljaar,L_Versiejaar,P_VJ,L_Versie,G$8,L_Kengetal,"Omzet FY"))),IF(COUNTIFS(L_Actief,1,L_WBS,$A92,L_Doeljaar,Sel_Doeljaar,L_Versiejaar,P_VJ,L_Versie,G$8,L_Kengetal,"Omzet FY")=0,"n.b.",SUMIFS(L_Waarde,L_Actief,1,L_WBS,$A92,L_Doeljaar,Sel_Doeljaar,L_Versiejaar,P_VJ,L_Versie,G$8,L_Kengetal,"Omzet FY"))/P_Factor,IF(COUNTIFS(L_Actief,1,L_WBS,$A92,L_Doeljaar,Sel_Doeljaar,L_Versiejaar,P_VJ,L_Versie,G$8,L_Kengetal,"Omzet FY")=0,"n.b.",SUMIFS(L_Waarde,L_Actief,1,L_WBS,$A92,L_Doeljaar,Sel_Doeljaar,L_Versiejaar,P_VJ,L_Versie,G$8,L_Kengetal,"Omzet FY"))))</f>
        <v/>
      </c>
      <c r="H92" s="41" t="str">
        <f>IF($A92="","",IF(ISNUMBER(IF(COUNTIFS(L_Actief,1,L_WBS,$A92,L_Doeljaar,Sel_Doeljaar,L_Versiejaar,P_VJ,L_Versie,H$8,L_Kengetal,"Omzet FY")=0,"n.b.",SUMIFS(L_Waarde,L_Actief,1,L_WBS,$A92,L_Doeljaar,Sel_Doeljaar,L_Versiejaar,P_VJ,L_Versie,H$8,L_Kengetal,"Omzet FY"))),IF(COUNTIFS(L_Actief,1,L_WBS,$A92,L_Doeljaar,Sel_Doeljaar,L_Versiejaar,P_VJ,L_Versie,H$8,L_Kengetal,"Omzet FY")=0,"n.b.",SUMIFS(L_Waarde,L_Actief,1,L_WBS,$A92,L_Doeljaar,Sel_Doeljaar,L_Versiejaar,P_VJ,L_Versie,H$8,L_Kengetal,"Omzet FY"))/P_Factor,IF(COUNTIFS(L_Actief,1,L_WBS,$A92,L_Doeljaar,Sel_Doeljaar,L_Versiejaar,P_VJ,L_Versie,H$8,L_Kengetal,"Omzet FY")=0,"n.b.",SUMIFS(L_Waarde,L_Actief,1,L_WBS,$A92,L_Doeljaar,Sel_Doeljaar,L_Versiejaar,P_VJ,L_Versie,H$8,L_Kengetal,"Omzet FY"))))</f>
        <v/>
      </c>
      <c r="I92" s="41" t="str">
        <f>IF($A92="","",IF(ISNUMBER(IF(COUNTIFS(L_Actief,1,L_WBS,$A92,L_Doeljaar,Sel_Doeljaar,L_Versiejaar,P_VJ,L_Versie,I$8,L_Kengetal,"Omzet FY")=0,"n.b.",SUMIFS(L_Waarde,L_Actief,1,L_WBS,$A92,L_Doeljaar,Sel_Doeljaar,L_Versiejaar,P_VJ,L_Versie,I$8,L_Kengetal,"Omzet FY"))),IF(COUNTIFS(L_Actief,1,L_WBS,$A92,L_Doeljaar,Sel_Doeljaar,L_Versiejaar,P_VJ,L_Versie,I$8,L_Kengetal,"Omzet FY")=0,"n.b.",SUMIFS(L_Waarde,L_Actief,1,L_WBS,$A92,L_Doeljaar,Sel_Doeljaar,L_Versiejaar,P_VJ,L_Versie,I$8,L_Kengetal,"Omzet FY"))/P_Factor,IF(COUNTIFS(L_Actief,1,L_WBS,$A92,L_Doeljaar,Sel_Doeljaar,L_Versiejaar,P_VJ,L_Versie,I$8,L_Kengetal,"Omzet FY")=0,"n.b.",SUMIFS(L_Waarde,L_Actief,1,L_WBS,$A92,L_Doeljaar,Sel_Doeljaar,L_Versiejaar,P_VJ,L_Versie,I$8,L_Kengetal,"Omzet FY"))))</f>
        <v/>
      </c>
      <c r="J92" s="41" t="str">
        <f>IF($A92="","",IF(ISNUMBER(IF(Sel_Doeljaar=P_RJ,VERW_Project!$P88,IF(Sel_Doeljaar=P_RJ+1,VERW_Project!$R88,"n.b."))),IF(Sel_Doeljaar=P_RJ,VERW_Project!$P88,IF(Sel_Doeljaar=P_RJ+1,VERW_Project!$R88,"n.b."))/P_Factor,IF(Sel_Doeljaar=P_RJ,VERW_Project!$P88,IF(Sel_Doeljaar=P_RJ+1,VERW_Project!$R88,"n.b."))))</f>
        <v/>
      </c>
      <c r="K92" s="41" t="str">
        <f>IF($A92="","",IF(Sel_Bron="Vastgesteld",INDEX($E92:$I92,MATCH(Sel_Versie,$E$8:$I$8,0)),IF(Sel_Bron="Concept",J92,"n.b.")))</f>
        <v/>
      </c>
      <c r="L92" s="62" t="str">
        <f>IF($A92="","",IF(Sel_Doeljaar&gt;P_VJ,"n.v.t.",IF(Sel_Bron="Vastgesteld",IF(ISNUMBER(IF(COUNTIFS(L_Actief,1,L_WBS,$A92,L_Doeljaar,Sel_Doeljaar,L_Versiejaar,P_VJ,L_Versie,Sel_Versie,L_Kengetal,"Omzet actual YTD")=0,"n.b.",SUMIFS(L_Waarde,L_Actief,1,L_WBS,$A92,L_Doeljaar,Sel_Doeljaar,L_Versiejaar,P_VJ,L_Versie,Sel_Versie,L_Kengetal,"Omzet actual YTD"))),IF(COUNTIFS(L_Actief,1,L_WBS,$A92,L_Doeljaar,Sel_Doeljaar,L_Versiejaar,P_VJ,L_Versie,Sel_Versie,L_Kengetal,"Omzet actual YTD")=0,"n.b.",SUMIFS(L_Waarde,L_Actief,1,L_WBS,$A92,L_Doeljaar,Sel_Doeljaar,L_Versiejaar,P_VJ,L_Versie,Sel_Versie,L_Kengetal,"Omzet actual YTD"))/P_Factor,IF(COUNTIFS(L_Actief,1,L_WBS,$A92,L_Doeljaar,Sel_Doeljaar,L_Versiejaar,P_VJ,L_Versie,Sel_Versie,L_Kengetal,"Omzet actual YTD")=0,"n.b.",SUMIFS(L_Waarde,L_Actief,1,L_WBS,$A92,L_Doeljaar,Sel_Doeljaar,L_Versiejaar,P_VJ,L_Versie,Sel_Versie,L_Kengetal,"Omzet actual YTD"))),IF(Sel_Bron="Concept",IF(ISNUMBER(IF(Sel_Doeljaar=P_RJ,VERW_Project!$L88,"n.v.t.")),IF(Sel_Doeljaar=P_RJ,VERW_Project!$L88,"n.v.t.")/P_Factor,IF(Sel_Doeljaar=P_RJ,VERW_Project!$L88,"n.v.t.")),"n.b."))))</f>
        <v/>
      </c>
      <c r="M92" s="41" t="str">
        <f>IF($A92="","",IF(L92="n.v.t.",K92,IF(AND(ISNUMBER(K92),ISNUMBER(L92)),K92-L92,"n.b.")))</f>
        <v/>
      </c>
      <c r="N92" s="41" t="str">
        <f>IF($A92="","",IF(Sel_Bron="Vastgesteld",IF(ISNUMBER(IF(COUNTIFS(L_Actief,1,L_WBS,$A92,L_Doeljaar,Sel_Doeljaar,L_Versiejaar,P_VJ,L_Versie,Sel_Versie,L_Kengetal,"BOR FY")=0,"n.b.",SUMIFS(L_Waarde,L_Actief,1,L_WBS,$A92,L_Doeljaar,Sel_Doeljaar,L_Versiejaar,P_VJ,L_Versie,Sel_Versie,L_Kengetal,"BOR FY"))),IF(COUNTIFS(L_Actief,1,L_WBS,$A92,L_Doeljaar,Sel_Doeljaar,L_Versiejaar,P_VJ,L_Versie,Sel_Versie,L_Kengetal,"BOR FY")=0,"n.b.",SUMIFS(L_Waarde,L_Actief,1,L_WBS,$A92,L_Doeljaar,Sel_Doeljaar,L_Versiejaar,P_VJ,L_Versie,Sel_Versie,L_Kengetal,"BOR FY"))/P_Factor,IF(COUNTIFS(L_Actief,1,L_WBS,$A92,L_Doeljaar,Sel_Doeljaar,L_Versiejaar,P_VJ,L_Versie,Sel_Versie,L_Kengetal,"BOR FY")=0,"n.b.",SUMIFS(L_Waarde,L_Actief,1,L_WBS,$A92,L_Doeljaar,Sel_Doeljaar,L_Versiejaar,P_VJ,L_Versie,Sel_Versie,L_Kengetal,"BOR FY"))),IF(Sel_Bron="Concept",IF(ISNUMBER(IF(Sel_Doeljaar=P_RJ,VERW_Project!$Q88,IF(Sel_Doeljaar=P_RJ+1,VERW_Project!$S88,"n.b."))),IF(Sel_Doeljaar=P_RJ,VERW_Project!$Q88,IF(Sel_Doeljaar=P_RJ+1,VERW_Project!$S88,"n.b."))/P_Factor,IF(Sel_Doeljaar=P_RJ,VERW_Project!$Q88,IF(Sel_Doeljaar=P_RJ+1,VERW_Project!$S88,"n.b."))),"n.b.")))</f>
        <v/>
      </c>
      <c r="O92" s="63" t="str">
        <f>IF($A92="","",IF(AND(ISNUMBER(N92),ISNUMBER(K92)),IF(K92&lt;&gt;0,N92/K92,"n.b."),"n.b."))</f>
        <v/>
      </c>
      <c r="P92" s="41" t="str">
        <f>IF($A92="","",IF(AND(ISNUMBER(K92),ISNUMBER(E92)),K92-E92,"n.b."))</f>
        <v/>
      </c>
      <c r="Q92" s="41" t="str">
        <f>IF($A92="","",IF(AND(ISNUMBER(K92),ISNUMBER(W92)),K92-W92,"n.b."))</f>
        <v/>
      </c>
      <c r="R92" s="64" t="str">
        <f>IF($A92="","",IF(ISNUMBER(N92),IF(N92&lt;0,"Verlies",""),""))</f>
        <v/>
      </c>
      <c r="S92" s="61" t="str">
        <f>IF($A92="","",IFERROR(INDEX(T_Txt,MATCH($A92&amp;"|"&amp;Sel_Doeljaar&amp;"|"&amp;P_VJ&amp;"|"&amp;Sel_Versie,T_Key,0)),""))</f>
        <v/>
      </c>
      <c r="U92" s="15" t="str">
        <f>IF(AND(AND($A92&lt;&gt;"",OR(Sel_Type="Alle",$C92=Sel_Type),OR(Sel_Project="Alle",$B92=Sel_Project)),ISNUMBER(K92)),K92+ROW()/1000000000,"")</f>
        <v/>
      </c>
      <c r="V92" s="15" t="str">
        <f>IF(AND(AND($A92&lt;&gt;"",OR(Sel_Type="Alle",$C92=Sel_Type),OR(Sel_Project="Alle",$B92=Sel_Project)),ISNUMBER(Q92)),ABS(Q92)+ROW()/1000000000,"")</f>
        <v/>
      </c>
      <c r="W92" s="15" t="str">
        <f>IF(OR($A92="",Sel_Prev=""),"n.b.",IF(ISNUMBER(IF(COUNTIFS(L_Actief,1,L_WBS,$A92,L_Doeljaar,Sel_Doeljaar,L_Versiejaar,P_VJ,L_Versie,Sel_Prev,L_Kengetal,"Omzet FY")=0,"n.b.",SUMIFS(L_Waarde,L_Actief,1,L_WBS,$A92,L_Doeljaar,Sel_Doeljaar,L_Versiejaar,P_VJ,L_Versie,Sel_Prev,L_Kengetal,"Omzet FY"))),IF(COUNTIFS(L_Actief,1,L_WBS,$A92,L_Doeljaar,Sel_Doeljaar,L_Versiejaar,P_VJ,L_Versie,Sel_Prev,L_Kengetal,"Omzet FY")=0,"n.b.",SUMIFS(L_Waarde,L_Actief,1,L_WBS,$A92,L_Doeljaar,Sel_Doeljaar,L_Versiejaar,P_VJ,L_Versie,Sel_Prev,L_Kengetal,"Omzet FY"))/P_Factor,IF(COUNTIFS(L_Actief,1,L_WBS,$A92,L_Doeljaar,Sel_Doeljaar,L_Versiejaar,P_VJ,L_Versie,Sel_Prev,L_Kengetal,"Omzet FY")=0,"n.b.",SUMIFS(L_Waarde,L_Actief,1,L_WBS,$A92,L_Doeljaar,Sel_Doeljaar,L_Versiejaar,P_VJ,L_Versie,Sel_Prev,L_Kengetal,"Omzet FY"))))</f>
        <v>n.b.</v>
      </c>
    </row>
    <row r="93">
      <c r="A93" s="61" t="str">
        <f>IF(VERW_Project!$A89="","",VERW_Project!$A89)</f>
        <v/>
      </c>
      <c r="B93" s="61" t="str">
        <f>IF($A93="","",VERW_Project!$C89)</f>
        <v/>
      </c>
      <c r="C93" s="61" t="str">
        <f>IF($A93="","",VERW_Project!$D89)</f>
        <v/>
      </c>
      <c r="D93" s="61" t="str">
        <f>IF($A93="","",VERW_Project!$I89)</f>
        <v/>
      </c>
      <c r="E93" s="41" t="str">
        <f>IF($A93="","",IF(ISNUMBER(IF(COUNTIFS(L_Actief,1,L_WBS,$A93,L_Doeljaar,Sel_Doeljaar,L_Versiejaar,P_VJ,L_Versie,E$8,L_Kengetal,"Omzet FY")=0,"n.b.",SUMIFS(L_Waarde,L_Actief,1,L_WBS,$A93,L_Doeljaar,Sel_Doeljaar,L_Versiejaar,P_VJ,L_Versie,E$8,L_Kengetal,"Omzet FY"))),IF(COUNTIFS(L_Actief,1,L_WBS,$A93,L_Doeljaar,Sel_Doeljaar,L_Versiejaar,P_VJ,L_Versie,E$8,L_Kengetal,"Omzet FY")=0,"n.b.",SUMIFS(L_Waarde,L_Actief,1,L_WBS,$A93,L_Doeljaar,Sel_Doeljaar,L_Versiejaar,P_VJ,L_Versie,E$8,L_Kengetal,"Omzet FY"))/P_Factor,IF(COUNTIFS(L_Actief,1,L_WBS,$A93,L_Doeljaar,Sel_Doeljaar,L_Versiejaar,P_VJ,L_Versie,E$8,L_Kengetal,"Omzet FY")=0,"n.b.",SUMIFS(L_Waarde,L_Actief,1,L_WBS,$A93,L_Doeljaar,Sel_Doeljaar,L_Versiejaar,P_VJ,L_Versie,E$8,L_Kengetal,"Omzet FY"))))</f>
        <v/>
      </c>
      <c r="F93" s="41" t="str">
        <f>IF($A93="","",IF(ISNUMBER(IF(COUNTIFS(L_Actief,1,L_WBS,$A93,L_Doeljaar,Sel_Doeljaar,L_Versiejaar,P_VJ,L_Versie,F$8,L_Kengetal,"Omzet FY")=0,"n.b.",SUMIFS(L_Waarde,L_Actief,1,L_WBS,$A93,L_Doeljaar,Sel_Doeljaar,L_Versiejaar,P_VJ,L_Versie,F$8,L_Kengetal,"Omzet FY"))),IF(COUNTIFS(L_Actief,1,L_WBS,$A93,L_Doeljaar,Sel_Doeljaar,L_Versiejaar,P_VJ,L_Versie,F$8,L_Kengetal,"Omzet FY")=0,"n.b.",SUMIFS(L_Waarde,L_Actief,1,L_WBS,$A93,L_Doeljaar,Sel_Doeljaar,L_Versiejaar,P_VJ,L_Versie,F$8,L_Kengetal,"Omzet FY"))/P_Factor,IF(COUNTIFS(L_Actief,1,L_WBS,$A93,L_Doeljaar,Sel_Doeljaar,L_Versiejaar,P_VJ,L_Versie,F$8,L_Kengetal,"Omzet FY")=0,"n.b.",SUMIFS(L_Waarde,L_Actief,1,L_WBS,$A93,L_Doeljaar,Sel_Doeljaar,L_Versiejaar,P_VJ,L_Versie,F$8,L_Kengetal,"Omzet FY"))))</f>
        <v/>
      </c>
      <c r="G93" s="41" t="str">
        <f>IF($A93="","",IF(ISNUMBER(IF(COUNTIFS(L_Actief,1,L_WBS,$A93,L_Doeljaar,Sel_Doeljaar,L_Versiejaar,P_VJ,L_Versie,G$8,L_Kengetal,"Omzet FY")=0,"n.b.",SUMIFS(L_Waarde,L_Actief,1,L_WBS,$A93,L_Doeljaar,Sel_Doeljaar,L_Versiejaar,P_VJ,L_Versie,G$8,L_Kengetal,"Omzet FY"))),IF(COUNTIFS(L_Actief,1,L_WBS,$A93,L_Doeljaar,Sel_Doeljaar,L_Versiejaar,P_VJ,L_Versie,G$8,L_Kengetal,"Omzet FY")=0,"n.b.",SUMIFS(L_Waarde,L_Actief,1,L_WBS,$A93,L_Doeljaar,Sel_Doeljaar,L_Versiejaar,P_VJ,L_Versie,G$8,L_Kengetal,"Omzet FY"))/P_Factor,IF(COUNTIFS(L_Actief,1,L_WBS,$A93,L_Doeljaar,Sel_Doeljaar,L_Versiejaar,P_VJ,L_Versie,G$8,L_Kengetal,"Omzet FY")=0,"n.b.",SUMIFS(L_Waarde,L_Actief,1,L_WBS,$A93,L_Doeljaar,Sel_Doeljaar,L_Versiejaar,P_VJ,L_Versie,G$8,L_Kengetal,"Omzet FY"))))</f>
        <v/>
      </c>
      <c r="H93" s="41" t="str">
        <f>IF($A93="","",IF(ISNUMBER(IF(COUNTIFS(L_Actief,1,L_WBS,$A93,L_Doeljaar,Sel_Doeljaar,L_Versiejaar,P_VJ,L_Versie,H$8,L_Kengetal,"Omzet FY")=0,"n.b.",SUMIFS(L_Waarde,L_Actief,1,L_WBS,$A93,L_Doeljaar,Sel_Doeljaar,L_Versiejaar,P_VJ,L_Versie,H$8,L_Kengetal,"Omzet FY"))),IF(COUNTIFS(L_Actief,1,L_WBS,$A93,L_Doeljaar,Sel_Doeljaar,L_Versiejaar,P_VJ,L_Versie,H$8,L_Kengetal,"Omzet FY")=0,"n.b.",SUMIFS(L_Waarde,L_Actief,1,L_WBS,$A93,L_Doeljaar,Sel_Doeljaar,L_Versiejaar,P_VJ,L_Versie,H$8,L_Kengetal,"Omzet FY"))/P_Factor,IF(COUNTIFS(L_Actief,1,L_WBS,$A93,L_Doeljaar,Sel_Doeljaar,L_Versiejaar,P_VJ,L_Versie,H$8,L_Kengetal,"Omzet FY")=0,"n.b.",SUMIFS(L_Waarde,L_Actief,1,L_WBS,$A93,L_Doeljaar,Sel_Doeljaar,L_Versiejaar,P_VJ,L_Versie,H$8,L_Kengetal,"Omzet FY"))))</f>
        <v/>
      </c>
      <c r="I93" s="41" t="str">
        <f>IF($A93="","",IF(ISNUMBER(IF(COUNTIFS(L_Actief,1,L_WBS,$A93,L_Doeljaar,Sel_Doeljaar,L_Versiejaar,P_VJ,L_Versie,I$8,L_Kengetal,"Omzet FY")=0,"n.b.",SUMIFS(L_Waarde,L_Actief,1,L_WBS,$A93,L_Doeljaar,Sel_Doeljaar,L_Versiejaar,P_VJ,L_Versie,I$8,L_Kengetal,"Omzet FY"))),IF(COUNTIFS(L_Actief,1,L_WBS,$A93,L_Doeljaar,Sel_Doeljaar,L_Versiejaar,P_VJ,L_Versie,I$8,L_Kengetal,"Omzet FY")=0,"n.b.",SUMIFS(L_Waarde,L_Actief,1,L_WBS,$A93,L_Doeljaar,Sel_Doeljaar,L_Versiejaar,P_VJ,L_Versie,I$8,L_Kengetal,"Omzet FY"))/P_Factor,IF(COUNTIFS(L_Actief,1,L_WBS,$A93,L_Doeljaar,Sel_Doeljaar,L_Versiejaar,P_VJ,L_Versie,I$8,L_Kengetal,"Omzet FY")=0,"n.b.",SUMIFS(L_Waarde,L_Actief,1,L_WBS,$A93,L_Doeljaar,Sel_Doeljaar,L_Versiejaar,P_VJ,L_Versie,I$8,L_Kengetal,"Omzet FY"))))</f>
        <v/>
      </c>
      <c r="J93" s="41" t="str">
        <f>IF($A93="","",IF(ISNUMBER(IF(Sel_Doeljaar=P_RJ,VERW_Project!$P89,IF(Sel_Doeljaar=P_RJ+1,VERW_Project!$R89,"n.b."))),IF(Sel_Doeljaar=P_RJ,VERW_Project!$P89,IF(Sel_Doeljaar=P_RJ+1,VERW_Project!$R89,"n.b."))/P_Factor,IF(Sel_Doeljaar=P_RJ,VERW_Project!$P89,IF(Sel_Doeljaar=P_RJ+1,VERW_Project!$R89,"n.b."))))</f>
        <v/>
      </c>
      <c r="K93" s="41" t="str">
        <f>IF($A93="","",IF(Sel_Bron="Vastgesteld",INDEX($E93:$I93,MATCH(Sel_Versie,$E$8:$I$8,0)),IF(Sel_Bron="Concept",J93,"n.b.")))</f>
        <v/>
      </c>
      <c r="L93" s="62" t="str">
        <f>IF($A93="","",IF(Sel_Doeljaar&gt;P_VJ,"n.v.t.",IF(Sel_Bron="Vastgesteld",IF(ISNUMBER(IF(COUNTIFS(L_Actief,1,L_WBS,$A93,L_Doeljaar,Sel_Doeljaar,L_Versiejaar,P_VJ,L_Versie,Sel_Versie,L_Kengetal,"Omzet actual YTD")=0,"n.b.",SUMIFS(L_Waarde,L_Actief,1,L_WBS,$A93,L_Doeljaar,Sel_Doeljaar,L_Versiejaar,P_VJ,L_Versie,Sel_Versie,L_Kengetal,"Omzet actual YTD"))),IF(COUNTIFS(L_Actief,1,L_WBS,$A93,L_Doeljaar,Sel_Doeljaar,L_Versiejaar,P_VJ,L_Versie,Sel_Versie,L_Kengetal,"Omzet actual YTD")=0,"n.b.",SUMIFS(L_Waarde,L_Actief,1,L_WBS,$A93,L_Doeljaar,Sel_Doeljaar,L_Versiejaar,P_VJ,L_Versie,Sel_Versie,L_Kengetal,"Omzet actual YTD"))/P_Factor,IF(COUNTIFS(L_Actief,1,L_WBS,$A93,L_Doeljaar,Sel_Doeljaar,L_Versiejaar,P_VJ,L_Versie,Sel_Versie,L_Kengetal,"Omzet actual YTD")=0,"n.b.",SUMIFS(L_Waarde,L_Actief,1,L_WBS,$A93,L_Doeljaar,Sel_Doeljaar,L_Versiejaar,P_VJ,L_Versie,Sel_Versie,L_Kengetal,"Omzet actual YTD"))),IF(Sel_Bron="Concept",IF(ISNUMBER(IF(Sel_Doeljaar=P_RJ,VERW_Project!$L89,"n.v.t.")),IF(Sel_Doeljaar=P_RJ,VERW_Project!$L89,"n.v.t.")/P_Factor,IF(Sel_Doeljaar=P_RJ,VERW_Project!$L89,"n.v.t.")),"n.b."))))</f>
        <v/>
      </c>
      <c r="M93" s="41" t="str">
        <f>IF($A93="","",IF(L93="n.v.t.",K93,IF(AND(ISNUMBER(K93),ISNUMBER(L93)),K93-L93,"n.b.")))</f>
        <v/>
      </c>
      <c r="N93" s="41" t="str">
        <f>IF($A93="","",IF(Sel_Bron="Vastgesteld",IF(ISNUMBER(IF(COUNTIFS(L_Actief,1,L_WBS,$A93,L_Doeljaar,Sel_Doeljaar,L_Versiejaar,P_VJ,L_Versie,Sel_Versie,L_Kengetal,"BOR FY")=0,"n.b.",SUMIFS(L_Waarde,L_Actief,1,L_WBS,$A93,L_Doeljaar,Sel_Doeljaar,L_Versiejaar,P_VJ,L_Versie,Sel_Versie,L_Kengetal,"BOR FY"))),IF(COUNTIFS(L_Actief,1,L_WBS,$A93,L_Doeljaar,Sel_Doeljaar,L_Versiejaar,P_VJ,L_Versie,Sel_Versie,L_Kengetal,"BOR FY")=0,"n.b.",SUMIFS(L_Waarde,L_Actief,1,L_WBS,$A93,L_Doeljaar,Sel_Doeljaar,L_Versiejaar,P_VJ,L_Versie,Sel_Versie,L_Kengetal,"BOR FY"))/P_Factor,IF(COUNTIFS(L_Actief,1,L_WBS,$A93,L_Doeljaar,Sel_Doeljaar,L_Versiejaar,P_VJ,L_Versie,Sel_Versie,L_Kengetal,"BOR FY")=0,"n.b.",SUMIFS(L_Waarde,L_Actief,1,L_WBS,$A93,L_Doeljaar,Sel_Doeljaar,L_Versiejaar,P_VJ,L_Versie,Sel_Versie,L_Kengetal,"BOR FY"))),IF(Sel_Bron="Concept",IF(ISNUMBER(IF(Sel_Doeljaar=P_RJ,VERW_Project!$Q89,IF(Sel_Doeljaar=P_RJ+1,VERW_Project!$S89,"n.b."))),IF(Sel_Doeljaar=P_RJ,VERW_Project!$Q89,IF(Sel_Doeljaar=P_RJ+1,VERW_Project!$S89,"n.b."))/P_Factor,IF(Sel_Doeljaar=P_RJ,VERW_Project!$Q89,IF(Sel_Doeljaar=P_RJ+1,VERW_Project!$S89,"n.b."))),"n.b.")))</f>
        <v/>
      </c>
      <c r="O93" s="63" t="str">
        <f>IF($A93="","",IF(AND(ISNUMBER(N93),ISNUMBER(K93)),IF(K93&lt;&gt;0,N93/K93,"n.b."),"n.b."))</f>
        <v/>
      </c>
      <c r="P93" s="41" t="str">
        <f>IF($A93="","",IF(AND(ISNUMBER(K93),ISNUMBER(E93)),K93-E93,"n.b."))</f>
        <v/>
      </c>
      <c r="Q93" s="41" t="str">
        <f>IF($A93="","",IF(AND(ISNUMBER(K93),ISNUMBER(W93)),K93-W93,"n.b."))</f>
        <v/>
      </c>
      <c r="R93" s="64" t="str">
        <f>IF($A93="","",IF(ISNUMBER(N93),IF(N93&lt;0,"Verlies",""),""))</f>
        <v/>
      </c>
      <c r="S93" s="61" t="str">
        <f>IF($A93="","",IFERROR(INDEX(T_Txt,MATCH($A93&amp;"|"&amp;Sel_Doeljaar&amp;"|"&amp;P_VJ&amp;"|"&amp;Sel_Versie,T_Key,0)),""))</f>
        <v/>
      </c>
      <c r="U93" s="15" t="str">
        <f>IF(AND(AND($A93&lt;&gt;"",OR(Sel_Type="Alle",$C93=Sel_Type),OR(Sel_Project="Alle",$B93=Sel_Project)),ISNUMBER(K93)),K93+ROW()/1000000000,"")</f>
        <v/>
      </c>
      <c r="V93" s="15" t="str">
        <f>IF(AND(AND($A93&lt;&gt;"",OR(Sel_Type="Alle",$C93=Sel_Type),OR(Sel_Project="Alle",$B93=Sel_Project)),ISNUMBER(Q93)),ABS(Q93)+ROW()/1000000000,"")</f>
        <v/>
      </c>
      <c r="W93" s="15" t="str">
        <f>IF(OR($A93="",Sel_Prev=""),"n.b.",IF(ISNUMBER(IF(COUNTIFS(L_Actief,1,L_WBS,$A93,L_Doeljaar,Sel_Doeljaar,L_Versiejaar,P_VJ,L_Versie,Sel_Prev,L_Kengetal,"Omzet FY")=0,"n.b.",SUMIFS(L_Waarde,L_Actief,1,L_WBS,$A93,L_Doeljaar,Sel_Doeljaar,L_Versiejaar,P_VJ,L_Versie,Sel_Prev,L_Kengetal,"Omzet FY"))),IF(COUNTIFS(L_Actief,1,L_WBS,$A93,L_Doeljaar,Sel_Doeljaar,L_Versiejaar,P_VJ,L_Versie,Sel_Prev,L_Kengetal,"Omzet FY")=0,"n.b.",SUMIFS(L_Waarde,L_Actief,1,L_WBS,$A93,L_Doeljaar,Sel_Doeljaar,L_Versiejaar,P_VJ,L_Versie,Sel_Prev,L_Kengetal,"Omzet FY"))/P_Factor,IF(COUNTIFS(L_Actief,1,L_WBS,$A93,L_Doeljaar,Sel_Doeljaar,L_Versiejaar,P_VJ,L_Versie,Sel_Prev,L_Kengetal,"Omzet FY")=0,"n.b.",SUMIFS(L_Waarde,L_Actief,1,L_WBS,$A93,L_Doeljaar,Sel_Doeljaar,L_Versiejaar,P_VJ,L_Versie,Sel_Prev,L_Kengetal,"Omzet FY"))))</f>
        <v>n.b.</v>
      </c>
    </row>
    <row r="94">
      <c r="A94" s="61" t="str">
        <f>IF(VERW_Project!$A90="","",VERW_Project!$A90)</f>
        <v/>
      </c>
      <c r="B94" s="61" t="str">
        <f>IF($A94="","",VERW_Project!$C90)</f>
        <v/>
      </c>
      <c r="C94" s="61" t="str">
        <f>IF($A94="","",VERW_Project!$D90)</f>
        <v/>
      </c>
      <c r="D94" s="61" t="str">
        <f>IF($A94="","",VERW_Project!$I90)</f>
        <v/>
      </c>
      <c r="E94" s="41" t="str">
        <f>IF($A94="","",IF(ISNUMBER(IF(COUNTIFS(L_Actief,1,L_WBS,$A94,L_Doeljaar,Sel_Doeljaar,L_Versiejaar,P_VJ,L_Versie,E$8,L_Kengetal,"Omzet FY")=0,"n.b.",SUMIFS(L_Waarde,L_Actief,1,L_WBS,$A94,L_Doeljaar,Sel_Doeljaar,L_Versiejaar,P_VJ,L_Versie,E$8,L_Kengetal,"Omzet FY"))),IF(COUNTIFS(L_Actief,1,L_WBS,$A94,L_Doeljaar,Sel_Doeljaar,L_Versiejaar,P_VJ,L_Versie,E$8,L_Kengetal,"Omzet FY")=0,"n.b.",SUMIFS(L_Waarde,L_Actief,1,L_WBS,$A94,L_Doeljaar,Sel_Doeljaar,L_Versiejaar,P_VJ,L_Versie,E$8,L_Kengetal,"Omzet FY"))/P_Factor,IF(COUNTIFS(L_Actief,1,L_WBS,$A94,L_Doeljaar,Sel_Doeljaar,L_Versiejaar,P_VJ,L_Versie,E$8,L_Kengetal,"Omzet FY")=0,"n.b.",SUMIFS(L_Waarde,L_Actief,1,L_WBS,$A94,L_Doeljaar,Sel_Doeljaar,L_Versiejaar,P_VJ,L_Versie,E$8,L_Kengetal,"Omzet FY"))))</f>
        <v/>
      </c>
      <c r="F94" s="41" t="str">
        <f>IF($A94="","",IF(ISNUMBER(IF(COUNTIFS(L_Actief,1,L_WBS,$A94,L_Doeljaar,Sel_Doeljaar,L_Versiejaar,P_VJ,L_Versie,F$8,L_Kengetal,"Omzet FY")=0,"n.b.",SUMIFS(L_Waarde,L_Actief,1,L_WBS,$A94,L_Doeljaar,Sel_Doeljaar,L_Versiejaar,P_VJ,L_Versie,F$8,L_Kengetal,"Omzet FY"))),IF(COUNTIFS(L_Actief,1,L_WBS,$A94,L_Doeljaar,Sel_Doeljaar,L_Versiejaar,P_VJ,L_Versie,F$8,L_Kengetal,"Omzet FY")=0,"n.b.",SUMIFS(L_Waarde,L_Actief,1,L_WBS,$A94,L_Doeljaar,Sel_Doeljaar,L_Versiejaar,P_VJ,L_Versie,F$8,L_Kengetal,"Omzet FY"))/P_Factor,IF(COUNTIFS(L_Actief,1,L_WBS,$A94,L_Doeljaar,Sel_Doeljaar,L_Versiejaar,P_VJ,L_Versie,F$8,L_Kengetal,"Omzet FY")=0,"n.b.",SUMIFS(L_Waarde,L_Actief,1,L_WBS,$A94,L_Doeljaar,Sel_Doeljaar,L_Versiejaar,P_VJ,L_Versie,F$8,L_Kengetal,"Omzet FY"))))</f>
        <v/>
      </c>
      <c r="G94" s="41" t="str">
        <f>IF($A94="","",IF(ISNUMBER(IF(COUNTIFS(L_Actief,1,L_WBS,$A94,L_Doeljaar,Sel_Doeljaar,L_Versiejaar,P_VJ,L_Versie,G$8,L_Kengetal,"Omzet FY")=0,"n.b.",SUMIFS(L_Waarde,L_Actief,1,L_WBS,$A94,L_Doeljaar,Sel_Doeljaar,L_Versiejaar,P_VJ,L_Versie,G$8,L_Kengetal,"Omzet FY"))),IF(COUNTIFS(L_Actief,1,L_WBS,$A94,L_Doeljaar,Sel_Doeljaar,L_Versiejaar,P_VJ,L_Versie,G$8,L_Kengetal,"Omzet FY")=0,"n.b.",SUMIFS(L_Waarde,L_Actief,1,L_WBS,$A94,L_Doeljaar,Sel_Doeljaar,L_Versiejaar,P_VJ,L_Versie,G$8,L_Kengetal,"Omzet FY"))/P_Factor,IF(COUNTIFS(L_Actief,1,L_WBS,$A94,L_Doeljaar,Sel_Doeljaar,L_Versiejaar,P_VJ,L_Versie,G$8,L_Kengetal,"Omzet FY")=0,"n.b.",SUMIFS(L_Waarde,L_Actief,1,L_WBS,$A94,L_Doeljaar,Sel_Doeljaar,L_Versiejaar,P_VJ,L_Versie,G$8,L_Kengetal,"Omzet FY"))))</f>
        <v/>
      </c>
      <c r="H94" s="41" t="str">
        <f>IF($A94="","",IF(ISNUMBER(IF(COUNTIFS(L_Actief,1,L_WBS,$A94,L_Doeljaar,Sel_Doeljaar,L_Versiejaar,P_VJ,L_Versie,H$8,L_Kengetal,"Omzet FY")=0,"n.b.",SUMIFS(L_Waarde,L_Actief,1,L_WBS,$A94,L_Doeljaar,Sel_Doeljaar,L_Versiejaar,P_VJ,L_Versie,H$8,L_Kengetal,"Omzet FY"))),IF(COUNTIFS(L_Actief,1,L_WBS,$A94,L_Doeljaar,Sel_Doeljaar,L_Versiejaar,P_VJ,L_Versie,H$8,L_Kengetal,"Omzet FY")=0,"n.b.",SUMIFS(L_Waarde,L_Actief,1,L_WBS,$A94,L_Doeljaar,Sel_Doeljaar,L_Versiejaar,P_VJ,L_Versie,H$8,L_Kengetal,"Omzet FY"))/P_Factor,IF(COUNTIFS(L_Actief,1,L_WBS,$A94,L_Doeljaar,Sel_Doeljaar,L_Versiejaar,P_VJ,L_Versie,H$8,L_Kengetal,"Omzet FY")=0,"n.b.",SUMIFS(L_Waarde,L_Actief,1,L_WBS,$A94,L_Doeljaar,Sel_Doeljaar,L_Versiejaar,P_VJ,L_Versie,H$8,L_Kengetal,"Omzet FY"))))</f>
        <v/>
      </c>
      <c r="I94" s="41" t="str">
        <f>IF($A94="","",IF(ISNUMBER(IF(COUNTIFS(L_Actief,1,L_WBS,$A94,L_Doeljaar,Sel_Doeljaar,L_Versiejaar,P_VJ,L_Versie,I$8,L_Kengetal,"Omzet FY")=0,"n.b.",SUMIFS(L_Waarde,L_Actief,1,L_WBS,$A94,L_Doeljaar,Sel_Doeljaar,L_Versiejaar,P_VJ,L_Versie,I$8,L_Kengetal,"Omzet FY"))),IF(COUNTIFS(L_Actief,1,L_WBS,$A94,L_Doeljaar,Sel_Doeljaar,L_Versiejaar,P_VJ,L_Versie,I$8,L_Kengetal,"Omzet FY")=0,"n.b.",SUMIFS(L_Waarde,L_Actief,1,L_WBS,$A94,L_Doeljaar,Sel_Doeljaar,L_Versiejaar,P_VJ,L_Versie,I$8,L_Kengetal,"Omzet FY"))/P_Factor,IF(COUNTIFS(L_Actief,1,L_WBS,$A94,L_Doeljaar,Sel_Doeljaar,L_Versiejaar,P_VJ,L_Versie,I$8,L_Kengetal,"Omzet FY")=0,"n.b.",SUMIFS(L_Waarde,L_Actief,1,L_WBS,$A94,L_Doeljaar,Sel_Doeljaar,L_Versiejaar,P_VJ,L_Versie,I$8,L_Kengetal,"Omzet FY"))))</f>
        <v/>
      </c>
      <c r="J94" s="41" t="str">
        <f>IF($A94="","",IF(ISNUMBER(IF(Sel_Doeljaar=P_RJ,VERW_Project!$P90,IF(Sel_Doeljaar=P_RJ+1,VERW_Project!$R90,"n.b."))),IF(Sel_Doeljaar=P_RJ,VERW_Project!$P90,IF(Sel_Doeljaar=P_RJ+1,VERW_Project!$R90,"n.b."))/P_Factor,IF(Sel_Doeljaar=P_RJ,VERW_Project!$P90,IF(Sel_Doeljaar=P_RJ+1,VERW_Project!$R90,"n.b."))))</f>
        <v/>
      </c>
      <c r="K94" s="41" t="str">
        <f>IF($A94="","",IF(Sel_Bron="Vastgesteld",INDEX($E94:$I94,MATCH(Sel_Versie,$E$8:$I$8,0)),IF(Sel_Bron="Concept",J94,"n.b.")))</f>
        <v/>
      </c>
      <c r="L94" s="62" t="str">
        <f>IF($A94="","",IF(Sel_Doeljaar&gt;P_VJ,"n.v.t.",IF(Sel_Bron="Vastgesteld",IF(ISNUMBER(IF(COUNTIFS(L_Actief,1,L_WBS,$A94,L_Doeljaar,Sel_Doeljaar,L_Versiejaar,P_VJ,L_Versie,Sel_Versie,L_Kengetal,"Omzet actual YTD")=0,"n.b.",SUMIFS(L_Waarde,L_Actief,1,L_WBS,$A94,L_Doeljaar,Sel_Doeljaar,L_Versiejaar,P_VJ,L_Versie,Sel_Versie,L_Kengetal,"Omzet actual YTD"))),IF(COUNTIFS(L_Actief,1,L_WBS,$A94,L_Doeljaar,Sel_Doeljaar,L_Versiejaar,P_VJ,L_Versie,Sel_Versie,L_Kengetal,"Omzet actual YTD")=0,"n.b.",SUMIFS(L_Waarde,L_Actief,1,L_WBS,$A94,L_Doeljaar,Sel_Doeljaar,L_Versiejaar,P_VJ,L_Versie,Sel_Versie,L_Kengetal,"Omzet actual YTD"))/P_Factor,IF(COUNTIFS(L_Actief,1,L_WBS,$A94,L_Doeljaar,Sel_Doeljaar,L_Versiejaar,P_VJ,L_Versie,Sel_Versie,L_Kengetal,"Omzet actual YTD")=0,"n.b.",SUMIFS(L_Waarde,L_Actief,1,L_WBS,$A94,L_Doeljaar,Sel_Doeljaar,L_Versiejaar,P_VJ,L_Versie,Sel_Versie,L_Kengetal,"Omzet actual YTD"))),IF(Sel_Bron="Concept",IF(ISNUMBER(IF(Sel_Doeljaar=P_RJ,VERW_Project!$L90,"n.v.t.")),IF(Sel_Doeljaar=P_RJ,VERW_Project!$L90,"n.v.t.")/P_Factor,IF(Sel_Doeljaar=P_RJ,VERW_Project!$L90,"n.v.t.")),"n.b."))))</f>
        <v/>
      </c>
      <c r="M94" s="41" t="str">
        <f>IF($A94="","",IF(L94="n.v.t.",K94,IF(AND(ISNUMBER(K94),ISNUMBER(L94)),K94-L94,"n.b.")))</f>
        <v/>
      </c>
      <c r="N94" s="41" t="str">
        <f>IF($A94="","",IF(Sel_Bron="Vastgesteld",IF(ISNUMBER(IF(COUNTIFS(L_Actief,1,L_WBS,$A94,L_Doeljaar,Sel_Doeljaar,L_Versiejaar,P_VJ,L_Versie,Sel_Versie,L_Kengetal,"BOR FY")=0,"n.b.",SUMIFS(L_Waarde,L_Actief,1,L_WBS,$A94,L_Doeljaar,Sel_Doeljaar,L_Versiejaar,P_VJ,L_Versie,Sel_Versie,L_Kengetal,"BOR FY"))),IF(COUNTIFS(L_Actief,1,L_WBS,$A94,L_Doeljaar,Sel_Doeljaar,L_Versiejaar,P_VJ,L_Versie,Sel_Versie,L_Kengetal,"BOR FY")=0,"n.b.",SUMIFS(L_Waarde,L_Actief,1,L_WBS,$A94,L_Doeljaar,Sel_Doeljaar,L_Versiejaar,P_VJ,L_Versie,Sel_Versie,L_Kengetal,"BOR FY"))/P_Factor,IF(COUNTIFS(L_Actief,1,L_WBS,$A94,L_Doeljaar,Sel_Doeljaar,L_Versiejaar,P_VJ,L_Versie,Sel_Versie,L_Kengetal,"BOR FY")=0,"n.b.",SUMIFS(L_Waarde,L_Actief,1,L_WBS,$A94,L_Doeljaar,Sel_Doeljaar,L_Versiejaar,P_VJ,L_Versie,Sel_Versie,L_Kengetal,"BOR FY"))),IF(Sel_Bron="Concept",IF(ISNUMBER(IF(Sel_Doeljaar=P_RJ,VERW_Project!$Q90,IF(Sel_Doeljaar=P_RJ+1,VERW_Project!$S90,"n.b."))),IF(Sel_Doeljaar=P_RJ,VERW_Project!$Q90,IF(Sel_Doeljaar=P_RJ+1,VERW_Project!$S90,"n.b."))/P_Factor,IF(Sel_Doeljaar=P_RJ,VERW_Project!$Q90,IF(Sel_Doeljaar=P_RJ+1,VERW_Project!$S90,"n.b."))),"n.b.")))</f>
        <v/>
      </c>
      <c r="O94" s="63" t="str">
        <f>IF($A94="","",IF(AND(ISNUMBER(N94),ISNUMBER(K94)),IF(K94&lt;&gt;0,N94/K94,"n.b."),"n.b."))</f>
        <v/>
      </c>
      <c r="P94" s="41" t="str">
        <f>IF($A94="","",IF(AND(ISNUMBER(K94),ISNUMBER(E94)),K94-E94,"n.b."))</f>
        <v/>
      </c>
      <c r="Q94" s="41" t="str">
        <f>IF($A94="","",IF(AND(ISNUMBER(K94),ISNUMBER(W94)),K94-W94,"n.b."))</f>
        <v/>
      </c>
      <c r="R94" s="64" t="str">
        <f>IF($A94="","",IF(ISNUMBER(N94),IF(N94&lt;0,"Verlies",""),""))</f>
        <v/>
      </c>
      <c r="S94" s="61" t="str">
        <f>IF($A94="","",IFERROR(INDEX(T_Txt,MATCH($A94&amp;"|"&amp;Sel_Doeljaar&amp;"|"&amp;P_VJ&amp;"|"&amp;Sel_Versie,T_Key,0)),""))</f>
        <v/>
      </c>
      <c r="U94" s="15" t="str">
        <f>IF(AND(AND($A94&lt;&gt;"",OR(Sel_Type="Alle",$C94=Sel_Type),OR(Sel_Project="Alle",$B94=Sel_Project)),ISNUMBER(K94)),K94+ROW()/1000000000,"")</f>
        <v/>
      </c>
      <c r="V94" s="15" t="str">
        <f>IF(AND(AND($A94&lt;&gt;"",OR(Sel_Type="Alle",$C94=Sel_Type),OR(Sel_Project="Alle",$B94=Sel_Project)),ISNUMBER(Q94)),ABS(Q94)+ROW()/1000000000,"")</f>
        <v/>
      </c>
      <c r="W94" s="15" t="str">
        <f>IF(OR($A94="",Sel_Prev=""),"n.b.",IF(ISNUMBER(IF(COUNTIFS(L_Actief,1,L_WBS,$A94,L_Doeljaar,Sel_Doeljaar,L_Versiejaar,P_VJ,L_Versie,Sel_Prev,L_Kengetal,"Omzet FY")=0,"n.b.",SUMIFS(L_Waarde,L_Actief,1,L_WBS,$A94,L_Doeljaar,Sel_Doeljaar,L_Versiejaar,P_VJ,L_Versie,Sel_Prev,L_Kengetal,"Omzet FY"))),IF(COUNTIFS(L_Actief,1,L_WBS,$A94,L_Doeljaar,Sel_Doeljaar,L_Versiejaar,P_VJ,L_Versie,Sel_Prev,L_Kengetal,"Omzet FY")=0,"n.b.",SUMIFS(L_Waarde,L_Actief,1,L_WBS,$A94,L_Doeljaar,Sel_Doeljaar,L_Versiejaar,P_VJ,L_Versie,Sel_Prev,L_Kengetal,"Omzet FY"))/P_Factor,IF(COUNTIFS(L_Actief,1,L_WBS,$A94,L_Doeljaar,Sel_Doeljaar,L_Versiejaar,P_VJ,L_Versie,Sel_Prev,L_Kengetal,"Omzet FY")=0,"n.b.",SUMIFS(L_Waarde,L_Actief,1,L_WBS,$A94,L_Doeljaar,Sel_Doeljaar,L_Versiejaar,P_VJ,L_Versie,Sel_Prev,L_Kengetal,"Omzet FY"))))</f>
        <v>n.b.</v>
      </c>
    </row>
    <row r="95">
      <c r="A95" s="61" t="str">
        <f>IF(VERW_Project!$A91="","",VERW_Project!$A91)</f>
        <v/>
      </c>
      <c r="B95" s="61" t="str">
        <f>IF($A95="","",VERW_Project!$C91)</f>
        <v/>
      </c>
      <c r="C95" s="61" t="str">
        <f>IF($A95="","",VERW_Project!$D91)</f>
        <v/>
      </c>
      <c r="D95" s="61" t="str">
        <f>IF($A95="","",VERW_Project!$I91)</f>
        <v/>
      </c>
      <c r="E95" s="41" t="str">
        <f>IF($A95="","",IF(ISNUMBER(IF(COUNTIFS(L_Actief,1,L_WBS,$A95,L_Doeljaar,Sel_Doeljaar,L_Versiejaar,P_VJ,L_Versie,E$8,L_Kengetal,"Omzet FY")=0,"n.b.",SUMIFS(L_Waarde,L_Actief,1,L_WBS,$A95,L_Doeljaar,Sel_Doeljaar,L_Versiejaar,P_VJ,L_Versie,E$8,L_Kengetal,"Omzet FY"))),IF(COUNTIFS(L_Actief,1,L_WBS,$A95,L_Doeljaar,Sel_Doeljaar,L_Versiejaar,P_VJ,L_Versie,E$8,L_Kengetal,"Omzet FY")=0,"n.b.",SUMIFS(L_Waarde,L_Actief,1,L_WBS,$A95,L_Doeljaar,Sel_Doeljaar,L_Versiejaar,P_VJ,L_Versie,E$8,L_Kengetal,"Omzet FY"))/P_Factor,IF(COUNTIFS(L_Actief,1,L_WBS,$A95,L_Doeljaar,Sel_Doeljaar,L_Versiejaar,P_VJ,L_Versie,E$8,L_Kengetal,"Omzet FY")=0,"n.b.",SUMIFS(L_Waarde,L_Actief,1,L_WBS,$A95,L_Doeljaar,Sel_Doeljaar,L_Versiejaar,P_VJ,L_Versie,E$8,L_Kengetal,"Omzet FY"))))</f>
        <v/>
      </c>
      <c r="F95" s="41" t="str">
        <f>IF($A95="","",IF(ISNUMBER(IF(COUNTIFS(L_Actief,1,L_WBS,$A95,L_Doeljaar,Sel_Doeljaar,L_Versiejaar,P_VJ,L_Versie,F$8,L_Kengetal,"Omzet FY")=0,"n.b.",SUMIFS(L_Waarde,L_Actief,1,L_WBS,$A95,L_Doeljaar,Sel_Doeljaar,L_Versiejaar,P_VJ,L_Versie,F$8,L_Kengetal,"Omzet FY"))),IF(COUNTIFS(L_Actief,1,L_WBS,$A95,L_Doeljaar,Sel_Doeljaar,L_Versiejaar,P_VJ,L_Versie,F$8,L_Kengetal,"Omzet FY")=0,"n.b.",SUMIFS(L_Waarde,L_Actief,1,L_WBS,$A95,L_Doeljaar,Sel_Doeljaar,L_Versiejaar,P_VJ,L_Versie,F$8,L_Kengetal,"Omzet FY"))/P_Factor,IF(COUNTIFS(L_Actief,1,L_WBS,$A95,L_Doeljaar,Sel_Doeljaar,L_Versiejaar,P_VJ,L_Versie,F$8,L_Kengetal,"Omzet FY")=0,"n.b.",SUMIFS(L_Waarde,L_Actief,1,L_WBS,$A95,L_Doeljaar,Sel_Doeljaar,L_Versiejaar,P_VJ,L_Versie,F$8,L_Kengetal,"Omzet FY"))))</f>
        <v/>
      </c>
      <c r="G95" s="41" t="str">
        <f>IF($A95="","",IF(ISNUMBER(IF(COUNTIFS(L_Actief,1,L_WBS,$A95,L_Doeljaar,Sel_Doeljaar,L_Versiejaar,P_VJ,L_Versie,G$8,L_Kengetal,"Omzet FY")=0,"n.b.",SUMIFS(L_Waarde,L_Actief,1,L_WBS,$A95,L_Doeljaar,Sel_Doeljaar,L_Versiejaar,P_VJ,L_Versie,G$8,L_Kengetal,"Omzet FY"))),IF(COUNTIFS(L_Actief,1,L_WBS,$A95,L_Doeljaar,Sel_Doeljaar,L_Versiejaar,P_VJ,L_Versie,G$8,L_Kengetal,"Omzet FY")=0,"n.b.",SUMIFS(L_Waarde,L_Actief,1,L_WBS,$A95,L_Doeljaar,Sel_Doeljaar,L_Versiejaar,P_VJ,L_Versie,G$8,L_Kengetal,"Omzet FY"))/P_Factor,IF(COUNTIFS(L_Actief,1,L_WBS,$A95,L_Doeljaar,Sel_Doeljaar,L_Versiejaar,P_VJ,L_Versie,G$8,L_Kengetal,"Omzet FY")=0,"n.b.",SUMIFS(L_Waarde,L_Actief,1,L_WBS,$A95,L_Doeljaar,Sel_Doeljaar,L_Versiejaar,P_VJ,L_Versie,G$8,L_Kengetal,"Omzet FY"))))</f>
        <v/>
      </c>
      <c r="H95" s="41" t="str">
        <f>IF($A95="","",IF(ISNUMBER(IF(COUNTIFS(L_Actief,1,L_WBS,$A95,L_Doeljaar,Sel_Doeljaar,L_Versiejaar,P_VJ,L_Versie,H$8,L_Kengetal,"Omzet FY")=0,"n.b.",SUMIFS(L_Waarde,L_Actief,1,L_WBS,$A95,L_Doeljaar,Sel_Doeljaar,L_Versiejaar,P_VJ,L_Versie,H$8,L_Kengetal,"Omzet FY"))),IF(COUNTIFS(L_Actief,1,L_WBS,$A95,L_Doeljaar,Sel_Doeljaar,L_Versiejaar,P_VJ,L_Versie,H$8,L_Kengetal,"Omzet FY")=0,"n.b.",SUMIFS(L_Waarde,L_Actief,1,L_WBS,$A95,L_Doeljaar,Sel_Doeljaar,L_Versiejaar,P_VJ,L_Versie,H$8,L_Kengetal,"Omzet FY"))/P_Factor,IF(COUNTIFS(L_Actief,1,L_WBS,$A95,L_Doeljaar,Sel_Doeljaar,L_Versiejaar,P_VJ,L_Versie,H$8,L_Kengetal,"Omzet FY")=0,"n.b.",SUMIFS(L_Waarde,L_Actief,1,L_WBS,$A95,L_Doeljaar,Sel_Doeljaar,L_Versiejaar,P_VJ,L_Versie,H$8,L_Kengetal,"Omzet FY"))))</f>
        <v/>
      </c>
      <c r="I95" s="41" t="str">
        <f>IF($A95="","",IF(ISNUMBER(IF(COUNTIFS(L_Actief,1,L_WBS,$A95,L_Doeljaar,Sel_Doeljaar,L_Versiejaar,P_VJ,L_Versie,I$8,L_Kengetal,"Omzet FY")=0,"n.b.",SUMIFS(L_Waarde,L_Actief,1,L_WBS,$A95,L_Doeljaar,Sel_Doeljaar,L_Versiejaar,P_VJ,L_Versie,I$8,L_Kengetal,"Omzet FY"))),IF(COUNTIFS(L_Actief,1,L_WBS,$A95,L_Doeljaar,Sel_Doeljaar,L_Versiejaar,P_VJ,L_Versie,I$8,L_Kengetal,"Omzet FY")=0,"n.b.",SUMIFS(L_Waarde,L_Actief,1,L_WBS,$A95,L_Doeljaar,Sel_Doeljaar,L_Versiejaar,P_VJ,L_Versie,I$8,L_Kengetal,"Omzet FY"))/P_Factor,IF(COUNTIFS(L_Actief,1,L_WBS,$A95,L_Doeljaar,Sel_Doeljaar,L_Versiejaar,P_VJ,L_Versie,I$8,L_Kengetal,"Omzet FY")=0,"n.b.",SUMIFS(L_Waarde,L_Actief,1,L_WBS,$A95,L_Doeljaar,Sel_Doeljaar,L_Versiejaar,P_VJ,L_Versie,I$8,L_Kengetal,"Omzet FY"))))</f>
        <v/>
      </c>
      <c r="J95" s="41" t="str">
        <f>IF($A95="","",IF(ISNUMBER(IF(Sel_Doeljaar=P_RJ,VERW_Project!$P91,IF(Sel_Doeljaar=P_RJ+1,VERW_Project!$R91,"n.b."))),IF(Sel_Doeljaar=P_RJ,VERW_Project!$P91,IF(Sel_Doeljaar=P_RJ+1,VERW_Project!$R91,"n.b."))/P_Factor,IF(Sel_Doeljaar=P_RJ,VERW_Project!$P91,IF(Sel_Doeljaar=P_RJ+1,VERW_Project!$R91,"n.b."))))</f>
        <v/>
      </c>
      <c r="K95" s="41" t="str">
        <f>IF($A95="","",IF(Sel_Bron="Vastgesteld",INDEX($E95:$I95,MATCH(Sel_Versie,$E$8:$I$8,0)),IF(Sel_Bron="Concept",J95,"n.b.")))</f>
        <v/>
      </c>
      <c r="L95" s="62" t="str">
        <f>IF($A95="","",IF(Sel_Doeljaar&gt;P_VJ,"n.v.t.",IF(Sel_Bron="Vastgesteld",IF(ISNUMBER(IF(COUNTIFS(L_Actief,1,L_WBS,$A95,L_Doeljaar,Sel_Doeljaar,L_Versiejaar,P_VJ,L_Versie,Sel_Versie,L_Kengetal,"Omzet actual YTD")=0,"n.b.",SUMIFS(L_Waarde,L_Actief,1,L_WBS,$A95,L_Doeljaar,Sel_Doeljaar,L_Versiejaar,P_VJ,L_Versie,Sel_Versie,L_Kengetal,"Omzet actual YTD"))),IF(COUNTIFS(L_Actief,1,L_WBS,$A95,L_Doeljaar,Sel_Doeljaar,L_Versiejaar,P_VJ,L_Versie,Sel_Versie,L_Kengetal,"Omzet actual YTD")=0,"n.b.",SUMIFS(L_Waarde,L_Actief,1,L_WBS,$A95,L_Doeljaar,Sel_Doeljaar,L_Versiejaar,P_VJ,L_Versie,Sel_Versie,L_Kengetal,"Omzet actual YTD"))/P_Factor,IF(COUNTIFS(L_Actief,1,L_WBS,$A95,L_Doeljaar,Sel_Doeljaar,L_Versiejaar,P_VJ,L_Versie,Sel_Versie,L_Kengetal,"Omzet actual YTD")=0,"n.b.",SUMIFS(L_Waarde,L_Actief,1,L_WBS,$A95,L_Doeljaar,Sel_Doeljaar,L_Versiejaar,P_VJ,L_Versie,Sel_Versie,L_Kengetal,"Omzet actual YTD"))),IF(Sel_Bron="Concept",IF(ISNUMBER(IF(Sel_Doeljaar=P_RJ,VERW_Project!$L91,"n.v.t.")),IF(Sel_Doeljaar=P_RJ,VERW_Project!$L91,"n.v.t.")/P_Factor,IF(Sel_Doeljaar=P_RJ,VERW_Project!$L91,"n.v.t.")),"n.b."))))</f>
        <v/>
      </c>
      <c r="M95" s="41" t="str">
        <f>IF($A95="","",IF(L95="n.v.t.",K95,IF(AND(ISNUMBER(K95),ISNUMBER(L95)),K95-L95,"n.b.")))</f>
        <v/>
      </c>
      <c r="N95" s="41" t="str">
        <f>IF($A95="","",IF(Sel_Bron="Vastgesteld",IF(ISNUMBER(IF(COUNTIFS(L_Actief,1,L_WBS,$A95,L_Doeljaar,Sel_Doeljaar,L_Versiejaar,P_VJ,L_Versie,Sel_Versie,L_Kengetal,"BOR FY")=0,"n.b.",SUMIFS(L_Waarde,L_Actief,1,L_WBS,$A95,L_Doeljaar,Sel_Doeljaar,L_Versiejaar,P_VJ,L_Versie,Sel_Versie,L_Kengetal,"BOR FY"))),IF(COUNTIFS(L_Actief,1,L_WBS,$A95,L_Doeljaar,Sel_Doeljaar,L_Versiejaar,P_VJ,L_Versie,Sel_Versie,L_Kengetal,"BOR FY")=0,"n.b.",SUMIFS(L_Waarde,L_Actief,1,L_WBS,$A95,L_Doeljaar,Sel_Doeljaar,L_Versiejaar,P_VJ,L_Versie,Sel_Versie,L_Kengetal,"BOR FY"))/P_Factor,IF(COUNTIFS(L_Actief,1,L_WBS,$A95,L_Doeljaar,Sel_Doeljaar,L_Versiejaar,P_VJ,L_Versie,Sel_Versie,L_Kengetal,"BOR FY")=0,"n.b.",SUMIFS(L_Waarde,L_Actief,1,L_WBS,$A95,L_Doeljaar,Sel_Doeljaar,L_Versiejaar,P_VJ,L_Versie,Sel_Versie,L_Kengetal,"BOR FY"))),IF(Sel_Bron="Concept",IF(ISNUMBER(IF(Sel_Doeljaar=P_RJ,VERW_Project!$Q91,IF(Sel_Doeljaar=P_RJ+1,VERW_Project!$S91,"n.b."))),IF(Sel_Doeljaar=P_RJ,VERW_Project!$Q91,IF(Sel_Doeljaar=P_RJ+1,VERW_Project!$S91,"n.b."))/P_Factor,IF(Sel_Doeljaar=P_RJ,VERW_Project!$Q91,IF(Sel_Doeljaar=P_RJ+1,VERW_Project!$S91,"n.b."))),"n.b.")))</f>
        <v/>
      </c>
      <c r="O95" s="63" t="str">
        <f>IF($A95="","",IF(AND(ISNUMBER(N95),ISNUMBER(K95)),IF(K95&lt;&gt;0,N95/K95,"n.b."),"n.b."))</f>
        <v/>
      </c>
      <c r="P95" s="41" t="str">
        <f>IF($A95="","",IF(AND(ISNUMBER(K95),ISNUMBER(E95)),K95-E95,"n.b."))</f>
        <v/>
      </c>
      <c r="Q95" s="41" t="str">
        <f>IF($A95="","",IF(AND(ISNUMBER(K95),ISNUMBER(W95)),K95-W95,"n.b."))</f>
        <v/>
      </c>
      <c r="R95" s="64" t="str">
        <f>IF($A95="","",IF(ISNUMBER(N95),IF(N95&lt;0,"Verlies",""),""))</f>
        <v/>
      </c>
      <c r="S95" s="61" t="str">
        <f>IF($A95="","",IFERROR(INDEX(T_Txt,MATCH($A95&amp;"|"&amp;Sel_Doeljaar&amp;"|"&amp;P_VJ&amp;"|"&amp;Sel_Versie,T_Key,0)),""))</f>
        <v/>
      </c>
      <c r="U95" s="15" t="str">
        <f>IF(AND(AND($A95&lt;&gt;"",OR(Sel_Type="Alle",$C95=Sel_Type),OR(Sel_Project="Alle",$B95=Sel_Project)),ISNUMBER(K95)),K95+ROW()/1000000000,"")</f>
        <v/>
      </c>
      <c r="V95" s="15" t="str">
        <f>IF(AND(AND($A95&lt;&gt;"",OR(Sel_Type="Alle",$C95=Sel_Type),OR(Sel_Project="Alle",$B95=Sel_Project)),ISNUMBER(Q95)),ABS(Q95)+ROW()/1000000000,"")</f>
        <v/>
      </c>
      <c r="W95" s="15" t="str">
        <f>IF(OR($A95="",Sel_Prev=""),"n.b.",IF(ISNUMBER(IF(COUNTIFS(L_Actief,1,L_WBS,$A95,L_Doeljaar,Sel_Doeljaar,L_Versiejaar,P_VJ,L_Versie,Sel_Prev,L_Kengetal,"Omzet FY")=0,"n.b.",SUMIFS(L_Waarde,L_Actief,1,L_WBS,$A95,L_Doeljaar,Sel_Doeljaar,L_Versiejaar,P_VJ,L_Versie,Sel_Prev,L_Kengetal,"Omzet FY"))),IF(COUNTIFS(L_Actief,1,L_WBS,$A95,L_Doeljaar,Sel_Doeljaar,L_Versiejaar,P_VJ,L_Versie,Sel_Prev,L_Kengetal,"Omzet FY")=0,"n.b.",SUMIFS(L_Waarde,L_Actief,1,L_WBS,$A95,L_Doeljaar,Sel_Doeljaar,L_Versiejaar,P_VJ,L_Versie,Sel_Prev,L_Kengetal,"Omzet FY"))/P_Factor,IF(COUNTIFS(L_Actief,1,L_WBS,$A95,L_Doeljaar,Sel_Doeljaar,L_Versiejaar,P_VJ,L_Versie,Sel_Prev,L_Kengetal,"Omzet FY")=0,"n.b.",SUMIFS(L_Waarde,L_Actief,1,L_WBS,$A95,L_Doeljaar,Sel_Doeljaar,L_Versiejaar,P_VJ,L_Versie,Sel_Prev,L_Kengetal,"Omzet FY"))))</f>
        <v>n.b.</v>
      </c>
    </row>
    <row r="96">
      <c r="A96" s="61" t="str">
        <f>IF(VERW_Project!$A92="","",VERW_Project!$A92)</f>
        <v/>
      </c>
      <c r="B96" s="61" t="str">
        <f>IF($A96="","",VERW_Project!$C92)</f>
        <v/>
      </c>
      <c r="C96" s="61" t="str">
        <f>IF($A96="","",VERW_Project!$D92)</f>
        <v/>
      </c>
      <c r="D96" s="61" t="str">
        <f>IF($A96="","",VERW_Project!$I92)</f>
        <v/>
      </c>
      <c r="E96" s="41" t="str">
        <f>IF($A96="","",IF(ISNUMBER(IF(COUNTIFS(L_Actief,1,L_WBS,$A96,L_Doeljaar,Sel_Doeljaar,L_Versiejaar,P_VJ,L_Versie,E$8,L_Kengetal,"Omzet FY")=0,"n.b.",SUMIFS(L_Waarde,L_Actief,1,L_WBS,$A96,L_Doeljaar,Sel_Doeljaar,L_Versiejaar,P_VJ,L_Versie,E$8,L_Kengetal,"Omzet FY"))),IF(COUNTIFS(L_Actief,1,L_WBS,$A96,L_Doeljaar,Sel_Doeljaar,L_Versiejaar,P_VJ,L_Versie,E$8,L_Kengetal,"Omzet FY")=0,"n.b.",SUMIFS(L_Waarde,L_Actief,1,L_WBS,$A96,L_Doeljaar,Sel_Doeljaar,L_Versiejaar,P_VJ,L_Versie,E$8,L_Kengetal,"Omzet FY"))/P_Factor,IF(COUNTIFS(L_Actief,1,L_WBS,$A96,L_Doeljaar,Sel_Doeljaar,L_Versiejaar,P_VJ,L_Versie,E$8,L_Kengetal,"Omzet FY")=0,"n.b.",SUMIFS(L_Waarde,L_Actief,1,L_WBS,$A96,L_Doeljaar,Sel_Doeljaar,L_Versiejaar,P_VJ,L_Versie,E$8,L_Kengetal,"Omzet FY"))))</f>
        <v/>
      </c>
      <c r="F96" s="41" t="str">
        <f>IF($A96="","",IF(ISNUMBER(IF(COUNTIFS(L_Actief,1,L_WBS,$A96,L_Doeljaar,Sel_Doeljaar,L_Versiejaar,P_VJ,L_Versie,F$8,L_Kengetal,"Omzet FY")=0,"n.b.",SUMIFS(L_Waarde,L_Actief,1,L_WBS,$A96,L_Doeljaar,Sel_Doeljaar,L_Versiejaar,P_VJ,L_Versie,F$8,L_Kengetal,"Omzet FY"))),IF(COUNTIFS(L_Actief,1,L_WBS,$A96,L_Doeljaar,Sel_Doeljaar,L_Versiejaar,P_VJ,L_Versie,F$8,L_Kengetal,"Omzet FY")=0,"n.b.",SUMIFS(L_Waarde,L_Actief,1,L_WBS,$A96,L_Doeljaar,Sel_Doeljaar,L_Versiejaar,P_VJ,L_Versie,F$8,L_Kengetal,"Omzet FY"))/P_Factor,IF(COUNTIFS(L_Actief,1,L_WBS,$A96,L_Doeljaar,Sel_Doeljaar,L_Versiejaar,P_VJ,L_Versie,F$8,L_Kengetal,"Omzet FY")=0,"n.b.",SUMIFS(L_Waarde,L_Actief,1,L_WBS,$A96,L_Doeljaar,Sel_Doeljaar,L_Versiejaar,P_VJ,L_Versie,F$8,L_Kengetal,"Omzet FY"))))</f>
        <v/>
      </c>
      <c r="G96" s="41" t="str">
        <f>IF($A96="","",IF(ISNUMBER(IF(COUNTIFS(L_Actief,1,L_WBS,$A96,L_Doeljaar,Sel_Doeljaar,L_Versiejaar,P_VJ,L_Versie,G$8,L_Kengetal,"Omzet FY")=0,"n.b.",SUMIFS(L_Waarde,L_Actief,1,L_WBS,$A96,L_Doeljaar,Sel_Doeljaar,L_Versiejaar,P_VJ,L_Versie,G$8,L_Kengetal,"Omzet FY"))),IF(COUNTIFS(L_Actief,1,L_WBS,$A96,L_Doeljaar,Sel_Doeljaar,L_Versiejaar,P_VJ,L_Versie,G$8,L_Kengetal,"Omzet FY")=0,"n.b.",SUMIFS(L_Waarde,L_Actief,1,L_WBS,$A96,L_Doeljaar,Sel_Doeljaar,L_Versiejaar,P_VJ,L_Versie,G$8,L_Kengetal,"Omzet FY"))/P_Factor,IF(COUNTIFS(L_Actief,1,L_WBS,$A96,L_Doeljaar,Sel_Doeljaar,L_Versiejaar,P_VJ,L_Versie,G$8,L_Kengetal,"Omzet FY")=0,"n.b.",SUMIFS(L_Waarde,L_Actief,1,L_WBS,$A96,L_Doeljaar,Sel_Doeljaar,L_Versiejaar,P_VJ,L_Versie,G$8,L_Kengetal,"Omzet FY"))))</f>
        <v/>
      </c>
      <c r="H96" s="41" t="str">
        <f>IF($A96="","",IF(ISNUMBER(IF(COUNTIFS(L_Actief,1,L_WBS,$A96,L_Doeljaar,Sel_Doeljaar,L_Versiejaar,P_VJ,L_Versie,H$8,L_Kengetal,"Omzet FY")=0,"n.b.",SUMIFS(L_Waarde,L_Actief,1,L_WBS,$A96,L_Doeljaar,Sel_Doeljaar,L_Versiejaar,P_VJ,L_Versie,H$8,L_Kengetal,"Omzet FY"))),IF(COUNTIFS(L_Actief,1,L_WBS,$A96,L_Doeljaar,Sel_Doeljaar,L_Versiejaar,P_VJ,L_Versie,H$8,L_Kengetal,"Omzet FY")=0,"n.b.",SUMIFS(L_Waarde,L_Actief,1,L_WBS,$A96,L_Doeljaar,Sel_Doeljaar,L_Versiejaar,P_VJ,L_Versie,H$8,L_Kengetal,"Omzet FY"))/P_Factor,IF(COUNTIFS(L_Actief,1,L_WBS,$A96,L_Doeljaar,Sel_Doeljaar,L_Versiejaar,P_VJ,L_Versie,H$8,L_Kengetal,"Omzet FY")=0,"n.b.",SUMIFS(L_Waarde,L_Actief,1,L_WBS,$A96,L_Doeljaar,Sel_Doeljaar,L_Versiejaar,P_VJ,L_Versie,H$8,L_Kengetal,"Omzet FY"))))</f>
        <v/>
      </c>
      <c r="I96" s="41" t="str">
        <f>IF($A96="","",IF(ISNUMBER(IF(COUNTIFS(L_Actief,1,L_WBS,$A96,L_Doeljaar,Sel_Doeljaar,L_Versiejaar,P_VJ,L_Versie,I$8,L_Kengetal,"Omzet FY")=0,"n.b.",SUMIFS(L_Waarde,L_Actief,1,L_WBS,$A96,L_Doeljaar,Sel_Doeljaar,L_Versiejaar,P_VJ,L_Versie,I$8,L_Kengetal,"Omzet FY"))),IF(COUNTIFS(L_Actief,1,L_WBS,$A96,L_Doeljaar,Sel_Doeljaar,L_Versiejaar,P_VJ,L_Versie,I$8,L_Kengetal,"Omzet FY")=0,"n.b.",SUMIFS(L_Waarde,L_Actief,1,L_WBS,$A96,L_Doeljaar,Sel_Doeljaar,L_Versiejaar,P_VJ,L_Versie,I$8,L_Kengetal,"Omzet FY"))/P_Factor,IF(COUNTIFS(L_Actief,1,L_WBS,$A96,L_Doeljaar,Sel_Doeljaar,L_Versiejaar,P_VJ,L_Versie,I$8,L_Kengetal,"Omzet FY")=0,"n.b.",SUMIFS(L_Waarde,L_Actief,1,L_WBS,$A96,L_Doeljaar,Sel_Doeljaar,L_Versiejaar,P_VJ,L_Versie,I$8,L_Kengetal,"Omzet FY"))))</f>
        <v/>
      </c>
      <c r="J96" s="41" t="str">
        <f>IF($A96="","",IF(ISNUMBER(IF(Sel_Doeljaar=P_RJ,VERW_Project!$P92,IF(Sel_Doeljaar=P_RJ+1,VERW_Project!$R92,"n.b."))),IF(Sel_Doeljaar=P_RJ,VERW_Project!$P92,IF(Sel_Doeljaar=P_RJ+1,VERW_Project!$R92,"n.b."))/P_Factor,IF(Sel_Doeljaar=P_RJ,VERW_Project!$P92,IF(Sel_Doeljaar=P_RJ+1,VERW_Project!$R92,"n.b."))))</f>
        <v/>
      </c>
      <c r="K96" s="41" t="str">
        <f>IF($A96="","",IF(Sel_Bron="Vastgesteld",INDEX($E96:$I96,MATCH(Sel_Versie,$E$8:$I$8,0)),IF(Sel_Bron="Concept",J96,"n.b.")))</f>
        <v/>
      </c>
      <c r="L96" s="62" t="str">
        <f>IF($A96="","",IF(Sel_Doeljaar&gt;P_VJ,"n.v.t.",IF(Sel_Bron="Vastgesteld",IF(ISNUMBER(IF(COUNTIFS(L_Actief,1,L_WBS,$A96,L_Doeljaar,Sel_Doeljaar,L_Versiejaar,P_VJ,L_Versie,Sel_Versie,L_Kengetal,"Omzet actual YTD")=0,"n.b.",SUMIFS(L_Waarde,L_Actief,1,L_WBS,$A96,L_Doeljaar,Sel_Doeljaar,L_Versiejaar,P_VJ,L_Versie,Sel_Versie,L_Kengetal,"Omzet actual YTD"))),IF(COUNTIFS(L_Actief,1,L_WBS,$A96,L_Doeljaar,Sel_Doeljaar,L_Versiejaar,P_VJ,L_Versie,Sel_Versie,L_Kengetal,"Omzet actual YTD")=0,"n.b.",SUMIFS(L_Waarde,L_Actief,1,L_WBS,$A96,L_Doeljaar,Sel_Doeljaar,L_Versiejaar,P_VJ,L_Versie,Sel_Versie,L_Kengetal,"Omzet actual YTD"))/P_Factor,IF(COUNTIFS(L_Actief,1,L_WBS,$A96,L_Doeljaar,Sel_Doeljaar,L_Versiejaar,P_VJ,L_Versie,Sel_Versie,L_Kengetal,"Omzet actual YTD")=0,"n.b.",SUMIFS(L_Waarde,L_Actief,1,L_WBS,$A96,L_Doeljaar,Sel_Doeljaar,L_Versiejaar,P_VJ,L_Versie,Sel_Versie,L_Kengetal,"Omzet actual YTD"))),IF(Sel_Bron="Concept",IF(ISNUMBER(IF(Sel_Doeljaar=P_RJ,VERW_Project!$L92,"n.v.t.")),IF(Sel_Doeljaar=P_RJ,VERW_Project!$L92,"n.v.t.")/P_Factor,IF(Sel_Doeljaar=P_RJ,VERW_Project!$L92,"n.v.t.")),"n.b."))))</f>
        <v/>
      </c>
      <c r="M96" s="41" t="str">
        <f>IF($A96="","",IF(L96="n.v.t.",K96,IF(AND(ISNUMBER(K96),ISNUMBER(L96)),K96-L96,"n.b.")))</f>
        <v/>
      </c>
      <c r="N96" s="41" t="str">
        <f>IF($A96="","",IF(Sel_Bron="Vastgesteld",IF(ISNUMBER(IF(COUNTIFS(L_Actief,1,L_WBS,$A96,L_Doeljaar,Sel_Doeljaar,L_Versiejaar,P_VJ,L_Versie,Sel_Versie,L_Kengetal,"BOR FY")=0,"n.b.",SUMIFS(L_Waarde,L_Actief,1,L_WBS,$A96,L_Doeljaar,Sel_Doeljaar,L_Versiejaar,P_VJ,L_Versie,Sel_Versie,L_Kengetal,"BOR FY"))),IF(COUNTIFS(L_Actief,1,L_WBS,$A96,L_Doeljaar,Sel_Doeljaar,L_Versiejaar,P_VJ,L_Versie,Sel_Versie,L_Kengetal,"BOR FY")=0,"n.b.",SUMIFS(L_Waarde,L_Actief,1,L_WBS,$A96,L_Doeljaar,Sel_Doeljaar,L_Versiejaar,P_VJ,L_Versie,Sel_Versie,L_Kengetal,"BOR FY"))/P_Factor,IF(COUNTIFS(L_Actief,1,L_WBS,$A96,L_Doeljaar,Sel_Doeljaar,L_Versiejaar,P_VJ,L_Versie,Sel_Versie,L_Kengetal,"BOR FY")=0,"n.b.",SUMIFS(L_Waarde,L_Actief,1,L_WBS,$A96,L_Doeljaar,Sel_Doeljaar,L_Versiejaar,P_VJ,L_Versie,Sel_Versie,L_Kengetal,"BOR FY"))),IF(Sel_Bron="Concept",IF(ISNUMBER(IF(Sel_Doeljaar=P_RJ,VERW_Project!$Q92,IF(Sel_Doeljaar=P_RJ+1,VERW_Project!$S92,"n.b."))),IF(Sel_Doeljaar=P_RJ,VERW_Project!$Q92,IF(Sel_Doeljaar=P_RJ+1,VERW_Project!$S92,"n.b."))/P_Factor,IF(Sel_Doeljaar=P_RJ,VERW_Project!$Q92,IF(Sel_Doeljaar=P_RJ+1,VERW_Project!$S92,"n.b."))),"n.b.")))</f>
        <v/>
      </c>
      <c r="O96" s="63" t="str">
        <f>IF($A96="","",IF(AND(ISNUMBER(N96),ISNUMBER(K96)),IF(K96&lt;&gt;0,N96/K96,"n.b."),"n.b."))</f>
        <v/>
      </c>
      <c r="P96" s="41" t="str">
        <f>IF($A96="","",IF(AND(ISNUMBER(K96),ISNUMBER(E96)),K96-E96,"n.b."))</f>
        <v/>
      </c>
      <c r="Q96" s="41" t="str">
        <f>IF($A96="","",IF(AND(ISNUMBER(K96),ISNUMBER(W96)),K96-W96,"n.b."))</f>
        <v/>
      </c>
      <c r="R96" s="64" t="str">
        <f>IF($A96="","",IF(ISNUMBER(N96),IF(N96&lt;0,"Verlies",""),""))</f>
        <v/>
      </c>
      <c r="S96" s="61" t="str">
        <f>IF($A96="","",IFERROR(INDEX(T_Txt,MATCH($A96&amp;"|"&amp;Sel_Doeljaar&amp;"|"&amp;P_VJ&amp;"|"&amp;Sel_Versie,T_Key,0)),""))</f>
        <v/>
      </c>
      <c r="U96" s="15" t="str">
        <f>IF(AND(AND($A96&lt;&gt;"",OR(Sel_Type="Alle",$C96=Sel_Type),OR(Sel_Project="Alle",$B96=Sel_Project)),ISNUMBER(K96)),K96+ROW()/1000000000,"")</f>
        <v/>
      </c>
      <c r="V96" s="15" t="str">
        <f>IF(AND(AND($A96&lt;&gt;"",OR(Sel_Type="Alle",$C96=Sel_Type),OR(Sel_Project="Alle",$B96=Sel_Project)),ISNUMBER(Q96)),ABS(Q96)+ROW()/1000000000,"")</f>
        <v/>
      </c>
      <c r="W96" s="15" t="str">
        <f>IF(OR($A96="",Sel_Prev=""),"n.b.",IF(ISNUMBER(IF(COUNTIFS(L_Actief,1,L_WBS,$A96,L_Doeljaar,Sel_Doeljaar,L_Versiejaar,P_VJ,L_Versie,Sel_Prev,L_Kengetal,"Omzet FY")=0,"n.b.",SUMIFS(L_Waarde,L_Actief,1,L_WBS,$A96,L_Doeljaar,Sel_Doeljaar,L_Versiejaar,P_VJ,L_Versie,Sel_Prev,L_Kengetal,"Omzet FY"))),IF(COUNTIFS(L_Actief,1,L_WBS,$A96,L_Doeljaar,Sel_Doeljaar,L_Versiejaar,P_VJ,L_Versie,Sel_Prev,L_Kengetal,"Omzet FY")=0,"n.b.",SUMIFS(L_Waarde,L_Actief,1,L_WBS,$A96,L_Doeljaar,Sel_Doeljaar,L_Versiejaar,P_VJ,L_Versie,Sel_Prev,L_Kengetal,"Omzet FY"))/P_Factor,IF(COUNTIFS(L_Actief,1,L_WBS,$A96,L_Doeljaar,Sel_Doeljaar,L_Versiejaar,P_VJ,L_Versie,Sel_Prev,L_Kengetal,"Omzet FY")=0,"n.b.",SUMIFS(L_Waarde,L_Actief,1,L_WBS,$A96,L_Doeljaar,Sel_Doeljaar,L_Versiejaar,P_VJ,L_Versie,Sel_Prev,L_Kengetal,"Omzet FY"))))</f>
        <v>n.b.</v>
      </c>
    </row>
    <row r="97">
      <c r="A97" s="61" t="str">
        <f>IF(VERW_Project!$A93="","",VERW_Project!$A93)</f>
        <v/>
      </c>
      <c r="B97" s="61" t="str">
        <f>IF($A97="","",VERW_Project!$C93)</f>
        <v/>
      </c>
      <c r="C97" s="61" t="str">
        <f>IF($A97="","",VERW_Project!$D93)</f>
        <v/>
      </c>
      <c r="D97" s="61" t="str">
        <f>IF($A97="","",VERW_Project!$I93)</f>
        <v/>
      </c>
      <c r="E97" s="41" t="str">
        <f>IF($A97="","",IF(ISNUMBER(IF(COUNTIFS(L_Actief,1,L_WBS,$A97,L_Doeljaar,Sel_Doeljaar,L_Versiejaar,P_VJ,L_Versie,E$8,L_Kengetal,"Omzet FY")=0,"n.b.",SUMIFS(L_Waarde,L_Actief,1,L_WBS,$A97,L_Doeljaar,Sel_Doeljaar,L_Versiejaar,P_VJ,L_Versie,E$8,L_Kengetal,"Omzet FY"))),IF(COUNTIFS(L_Actief,1,L_WBS,$A97,L_Doeljaar,Sel_Doeljaar,L_Versiejaar,P_VJ,L_Versie,E$8,L_Kengetal,"Omzet FY")=0,"n.b.",SUMIFS(L_Waarde,L_Actief,1,L_WBS,$A97,L_Doeljaar,Sel_Doeljaar,L_Versiejaar,P_VJ,L_Versie,E$8,L_Kengetal,"Omzet FY"))/P_Factor,IF(COUNTIFS(L_Actief,1,L_WBS,$A97,L_Doeljaar,Sel_Doeljaar,L_Versiejaar,P_VJ,L_Versie,E$8,L_Kengetal,"Omzet FY")=0,"n.b.",SUMIFS(L_Waarde,L_Actief,1,L_WBS,$A97,L_Doeljaar,Sel_Doeljaar,L_Versiejaar,P_VJ,L_Versie,E$8,L_Kengetal,"Omzet FY"))))</f>
        <v/>
      </c>
      <c r="F97" s="41" t="str">
        <f>IF($A97="","",IF(ISNUMBER(IF(COUNTIFS(L_Actief,1,L_WBS,$A97,L_Doeljaar,Sel_Doeljaar,L_Versiejaar,P_VJ,L_Versie,F$8,L_Kengetal,"Omzet FY")=0,"n.b.",SUMIFS(L_Waarde,L_Actief,1,L_WBS,$A97,L_Doeljaar,Sel_Doeljaar,L_Versiejaar,P_VJ,L_Versie,F$8,L_Kengetal,"Omzet FY"))),IF(COUNTIFS(L_Actief,1,L_WBS,$A97,L_Doeljaar,Sel_Doeljaar,L_Versiejaar,P_VJ,L_Versie,F$8,L_Kengetal,"Omzet FY")=0,"n.b.",SUMIFS(L_Waarde,L_Actief,1,L_WBS,$A97,L_Doeljaar,Sel_Doeljaar,L_Versiejaar,P_VJ,L_Versie,F$8,L_Kengetal,"Omzet FY"))/P_Factor,IF(COUNTIFS(L_Actief,1,L_WBS,$A97,L_Doeljaar,Sel_Doeljaar,L_Versiejaar,P_VJ,L_Versie,F$8,L_Kengetal,"Omzet FY")=0,"n.b.",SUMIFS(L_Waarde,L_Actief,1,L_WBS,$A97,L_Doeljaar,Sel_Doeljaar,L_Versiejaar,P_VJ,L_Versie,F$8,L_Kengetal,"Omzet FY"))))</f>
        <v/>
      </c>
      <c r="G97" s="41" t="str">
        <f>IF($A97="","",IF(ISNUMBER(IF(COUNTIFS(L_Actief,1,L_WBS,$A97,L_Doeljaar,Sel_Doeljaar,L_Versiejaar,P_VJ,L_Versie,G$8,L_Kengetal,"Omzet FY")=0,"n.b.",SUMIFS(L_Waarde,L_Actief,1,L_WBS,$A97,L_Doeljaar,Sel_Doeljaar,L_Versiejaar,P_VJ,L_Versie,G$8,L_Kengetal,"Omzet FY"))),IF(COUNTIFS(L_Actief,1,L_WBS,$A97,L_Doeljaar,Sel_Doeljaar,L_Versiejaar,P_VJ,L_Versie,G$8,L_Kengetal,"Omzet FY")=0,"n.b.",SUMIFS(L_Waarde,L_Actief,1,L_WBS,$A97,L_Doeljaar,Sel_Doeljaar,L_Versiejaar,P_VJ,L_Versie,G$8,L_Kengetal,"Omzet FY"))/P_Factor,IF(COUNTIFS(L_Actief,1,L_WBS,$A97,L_Doeljaar,Sel_Doeljaar,L_Versiejaar,P_VJ,L_Versie,G$8,L_Kengetal,"Omzet FY")=0,"n.b.",SUMIFS(L_Waarde,L_Actief,1,L_WBS,$A97,L_Doeljaar,Sel_Doeljaar,L_Versiejaar,P_VJ,L_Versie,G$8,L_Kengetal,"Omzet FY"))))</f>
        <v/>
      </c>
      <c r="H97" s="41" t="str">
        <f>IF($A97="","",IF(ISNUMBER(IF(COUNTIFS(L_Actief,1,L_WBS,$A97,L_Doeljaar,Sel_Doeljaar,L_Versiejaar,P_VJ,L_Versie,H$8,L_Kengetal,"Omzet FY")=0,"n.b.",SUMIFS(L_Waarde,L_Actief,1,L_WBS,$A97,L_Doeljaar,Sel_Doeljaar,L_Versiejaar,P_VJ,L_Versie,H$8,L_Kengetal,"Omzet FY"))),IF(COUNTIFS(L_Actief,1,L_WBS,$A97,L_Doeljaar,Sel_Doeljaar,L_Versiejaar,P_VJ,L_Versie,H$8,L_Kengetal,"Omzet FY")=0,"n.b.",SUMIFS(L_Waarde,L_Actief,1,L_WBS,$A97,L_Doeljaar,Sel_Doeljaar,L_Versiejaar,P_VJ,L_Versie,H$8,L_Kengetal,"Omzet FY"))/P_Factor,IF(COUNTIFS(L_Actief,1,L_WBS,$A97,L_Doeljaar,Sel_Doeljaar,L_Versiejaar,P_VJ,L_Versie,H$8,L_Kengetal,"Omzet FY")=0,"n.b.",SUMIFS(L_Waarde,L_Actief,1,L_WBS,$A97,L_Doeljaar,Sel_Doeljaar,L_Versiejaar,P_VJ,L_Versie,H$8,L_Kengetal,"Omzet FY"))))</f>
        <v/>
      </c>
      <c r="I97" s="41" t="str">
        <f>IF($A97="","",IF(ISNUMBER(IF(COUNTIFS(L_Actief,1,L_WBS,$A97,L_Doeljaar,Sel_Doeljaar,L_Versiejaar,P_VJ,L_Versie,I$8,L_Kengetal,"Omzet FY")=0,"n.b.",SUMIFS(L_Waarde,L_Actief,1,L_WBS,$A97,L_Doeljaar,Sel_Doeljaar,L_Versiejaar,P_VJ,L_Versie,I$8,L_Kengetal,"Omzet FY"))),IF(COUNTIFS(L_Actief,1,L_WBS,$A97,L_Doeljaar,Sel_Doeljaar,L_Versiejaar,P_VJ,L_Versie,I$8,L_Kengetal,"Omzet FY")=0,"n.b.",SUMIFS(L_Waarde,L_Actief,1,L_WBS,$A97,L_Doeljaar,Sel_Doeljaar,L_Versiejaar,P_VJ,L_Versie,I$8,L_Kengetal,"Omzet FY"))/P_Factor,IF(COUNTIFS(L_Actief,1,L_WBS,$A97,L_Doeljaar,Sel_Doeljaar,L_Versiejaar,P_VJ,L_Versie,I$8,L_Kengetal,"Omzet FY")=0,"n.b.",SUMIFS(L_Waarde,L_Actief,1,L_WBS,$A97,L_Doeljaar,Sel_Doeljaar,L_Versiejaar,P_VJ,L_Versie,I$8,L_Kengetal,"Omzet FY"))))</f>
        <v/>
      </c>
      <c r="J97" s="41" t="str">
        <f>IF($A97="","",IF(ISNUMBER(IF(Sel_Doeljaar=P_RJ,VERW_Project!$P93,IF(Sel_Doeljaar=P_RJ+1,VERW_Project!$R93,"n.b."))),IF(Sel_Doeljaar=P_RJ,VERW_Project!$P93,IF(Sel_Doeljaar=P_RJ+1,VERW_Project!$R93,"n.b."))/P_Factor,IF(Sel_Doeljaar=P_RJ,VERW_Project!$P93,IF(Sel_Doeljaar=P_RJ+1,VERW_Project!$R93,"n.b."))))</f>
        <v/>
      </c>
      <c r="K97" s="41" t="str">
        <f>IF($A97="","",IF(Sel_Bron="Vastgesteld",INDEX($E97:$I97,MATCH(Sel_Versie,$E$8:$I$8,0)),IF(Sel_Bron="Concept",J97,"n.b.")))</f>
        <v/>
      </c>
      <c r="L97" s="62" t="str">
        <f>IF($A97="","",IF(Sel_Doeljaar&gt;P_VJ,"n.v.t.",IF(Sel_Bron="Vastgesteld",IF(ISNUMBER(IF(COUNTIFS(L_Actief,1,L_WBS,$A97,L_Doeljaar,Sel_Doeljaar,L_Versiejaar,P_VJ,L_Versie,Sel_Versie,L_Kengetal,"Omzet actual YTD")=0,"n.b.",SUMIFS(L_Waarde,L_Actief,1,L_WBS,$A97,L_Doeljaar,Sel_Doeljaar,L_Versiejaar,P_VJ,L_Versie,Sel_Versie,L_Kengetal,"Omzet actual YTD"))),IF(COUNTIFS(L_Actief,1,L_WBS,$A97,L_Doeljaar,Sel_Doeljaar,L_Versiejaar,P_VJ,L_Versie,Sel_Versie,L_Kengetal,"Omzet actual YTD")=0,"n.b.",SUMIFS(L_Waarde,L_Actief,1,L_WBS,$A97,L_Doeljaar,Sel_Doeljaar,L_Versiejaar,P_VJ,L_Versie,Sel_Versie,L_Kengetal,"Omzet actual YTD"))/P_Factor,IF(COUNTIFS(L_Actief,1,L_WBS,$A97,L_Doeljaar,Sel_Doeljaar,L_Versiejaar,P_VJ,L_Versie,Sel_Versie,L_Kengetal,"Omzet actual YTD")=0,"n.b.",SUMIFS(L_Waarde,L_Actief,1,L_WBS,$A97,L_Doeljaar,Sel_Doeljaar,L_Versiejaar,P_VJ,L_Versie,Sel_Versie,L_Kengetal,"Omzet actual YTD"))),IF(Sel_Bron="Concept",IF(ISNUMBER(IF(Sel_Doeljaar=P_RJ,VERW_Project!$L93,"n.v.t.")),IF(Sel_Doeljaar=P_RJ,VERW_Project!$L93,"n.v.t.")/P_Factor,IF(Sel_Doeljaar=P_RJ,VERW_Project!$L93,"n.v.t.")),"n.b."))))</f>
        <v/>
      </c>
      <c r="M97" s="41" t="str">
        <f>IF($A97="","",IF(L97="n.v.t.",K97,IF(AND(ISNUMBER(K97),ISNUMBER(L97)),K97-L97,"n.b.")))</f>
        <v/>
      </c>
      <c r="N97" s="41" t="str">
        <f>IF($A97="","",IF(Sel_Bron="Vastgesteld",IF(ISNUMBER(IF(COUNTIFS(L_Actief,1,L_WBS,$A97,L_Doeljaar,Sel_Doeljaar,L_Versiejaar,P_VJ,L_Versie,Sel_Versie,L_Kengetal,"BOR FY")=0,"n.b.",SUMIFS(L_Waarde,L_Actief,1,L_WBS,$A97,L_Doeljaar,Sel_Doeljaar,L_Versiejaar,P_VJ,L_Versie,Sel_Versie,L_Kengetal,"BOR FY"))),IF(COUNTIFS(L_Actief,1,L_WBS,$A97,L_Doeljaar,Sel_Doeljaar,L_Versiejaar,P_VJ,L_Versie,Sel_Versie,L_Kengetal,"BOR FY")=0,"n.b.",SUMIFS(L_Waarde,L_Actief,1,L_WBS,$A97,L_Doeljaar,Sel_Doeljaar,L_Versiejaar,P_VJ,L_Versie,Sel_Versie,L_Kengetal,"BOR FY"))/P_Factor,IF(COUNTIFS(L_Actief,1,L_WBS,$A97,L_Doeljaar,Sel_Doeljaar,L_Versiejaar,P_VJ,L_Versie,Sel_Versie,L_Kengetal,"BOR FY")=0,"n.b.",SUMIFS(L_Waarde,L_Actief,1,L_WBS,$A97,L_Doeljaar,Sel_Doeljaar,L_Versiejaar,P_VJ,L_Versie,Sel_Versie,L_Kengetal,"BOR FY"))),IF(Sel_Bron="Concept",IF(ISNUMBER(IF(Sel_Doeljaar=P_RJ,VERW_Project!$Q93,IF(Sel_Doeljaar=P_RJ+1,VERW_Project!$S93,"n.b."))),IF(Sel_Doeljaar=P_RJ,VERW_Project!$Q93,IF(Sel_Doeljaar=P_RJ+1,VERW_Project!$S93,"n.b."))/P_Factor,IF(Sel_Doeljaar=P_RJ,VERW_Project!$Q93,IF(Sel_Doeljaar=P_RJ+1,VERW_Project!$S93,"n.b."))),"n.b.")))</f>
        <v/>
      </c>
      <c r="O97" s="63" t="str">
        <f>IF($A97="","",IF(AND(ISNUMBER(N97),ISNUMBER(K97)),IF(K97&lt;&gt;0,N97/K97,"n.b."),"n.b."))</f>
        <v/>
      </c>
      <c r="P97" s="41" t="str">
        <f>IF($A97="","",IF(AND(ISNUMBER(K97),ISNUMBER(E97)),K97-E97,"n.b."))</f>
        <v/>
      </c>
      <c r="Q97" s="41" t="str">
        <f>IF($A97="","",IF(AND(ISNUMBER(K97),ISNUMBER(W97)),K97-W97,"n.b."))</f>
        <v/>
      </c>
      <c r="R97" s="64" t="str">
        <f>IF($A97="","",IF(ISNUMBER(N97),IF(N97&lt;0,"Verlies",""),""))</f>
        <v/>
      </c>
      <c r="S97" s="61" t="str">
        <f>IF($A97="","",IFERROR(INDEX(T_Txt,MATCH($A97&amp;"|"&amp;Sel_Doeljaar&amp;"|"&amp;P_VJ&amp;"|"&amp;Sel_Versie,T_Key,0)),""))</f>
        <v/>
      </c>
      <c r="U97" s="15" t="str">
        <f>IF(AND(AND($A97&lt;&gt;"",OR(Sel_Type="Alle",$C97=Sel_Type),OR(Sel_Project="Alle",$B97=Sel_Project)),ISNUMBER(K97)),K97+ROW()/1000000000,"")</f>
        <v/>
      </c>
      <c r="V97" s="15" t="str">
        <f>IF(AND(AND($A97&lt;&gt;"",OR(Sel_Type="Alle",$C97=Sel_Type),OR(Sel_Project="Alle",$B97=Sel_Project)),ISNUMBER(Q97)),ABS(Q97)+ROW()/1000000000,"")</f>
        <v/>
      </c>
      <c r="W97" s="15" t="str">
        <f>IF(OR($A97="",Sel_Prev=""),"n.b.",IF(ISNUMBER(IF(COUNTIFS(L_Actief,1,L_WBS,$A97,L_Doeljaar,Sel_Doeljaar,L_Versiejaar,P_VJ,L_Versie,Sel_Prev,L_Kengetal,"Omzet FY")=0,"n.b.",SUMIFS(L_Waarde,L_Actief,1,L_WBS,$A97,L_Doeljaar,Sel_Doeljaar,L_Versiejaar,P_VJ,L_Versie,Sel_Prev,L_Kengetal,"Omzet FY"))),IF(COUNTIFS(L_Actief,1,L_WBS,$A97,L_Doeljaar,Sel_Doeljaar,L_Versiejaar,P_VJ,L_Versie,Sel_Prev,L_Kengetal,"Omzet FY")=0,"n.b.",SUMIFS(L_Waarde,L_Actief,1,L_WBS,$A97,L_Doeljaar,Sel_Doeljaar,L_Versiejaar,P_VJ,L_Versie,Sel_Prev,L_Kengetal,"Omzet FY"))/P_Factor,IF(COUNTIFS(L_Actief,1,L_WBS,$A97,L_Doeljaar,Sel_Doeljaar,L_Versiejaar,P_VJ,L_Versie,Sel_Prev,L_Kengetal,"Omzet FY")=0,"n.b.",SUMIFS(L_Waarde,L_Actief,1,L_WBS,$A97,L_Doeljaar,Sel_Doeljaar,L_Versiejaar,P_VJ,L_Versie,Sel_Prev,L_Kengetal,"Omzet FY"))))</f>
        <v>n.b.</v>
      </c>
    </row>
    <row r="98">
      <c r="A98" s="61" t="str">
        <f>IF(VERW_Project!$A94="","",VERW_Project!$A94)</f>
        <v/>
      </c>
      <c r="B98" s="61" t="str">
        <f>IF($A98="","",VERW_Project!$C94)</f>
        <v/>
      </c>
      <c r="C98" s="61" t="str">
        <f>IF($A98="","",VERW_Project!$D94)</f>
        <v/>
      </c>
      <c r="D98" s="61" t="str">
        <f>IF($A98="","",VERW_Project!$I94)</f>
        <v/>
      </c>
      <c r="E98" s="41" t="str">
        <f>IF($A98="","",IF(ISNUMBER(IF(COUNTIFS(L_Actief,1,L_WBS,$A98,L_Doeljaar,Sel_Doeljaar,L_Versiejaar,P_VJ,L_Versie,E$8,L_Kengetal,"Omzet FY")=0,"n.b.",SUMIFS(L_Waarde,L_Actief,1,L_WBS,$A98,L_Doeljaar,Sel_Doeljaar,L_Versiejaar,P_VJ,L_Versie,E$8,L_Kengetal,"Omzet FY"))),IF(COUNTIFS(L_Actief,1,L_WBS,$A98,L_Doeljaar,Sel_Doeljaar,L_Versiejaar,P_VJ,L_Versie,E$8,L_Kengetal,"Omzet FY")=0,"n.b.",SUMIFS(L_Waarde,L_Actief,1,L_WBS,$A98,L_Doeljaar,Sel_Doeljaar,L_Versiejaar,P_VJ,L_Versie,E$8,L_Kengetal,"Omzet FY"))/P_Factor,IF(COUNTIFS(L_Actief,1,L_WBS,$A98,L_Doeljaar,Sel_Doeljaar,L_Versiejaar,P_VJ,L_Versie,E$8,L_Kengetal,"Omzet FY")=0,"n.b.",SUMIFS(L_Waarde,L_Actief,1,L_WBS,$A98,L_Doeljaar,Sel_Doeljaar,L_Versiejaar,P_VJ,L_Versie,E$8,L_Kengetal,"Omzet FY"))))</f>
        <v/>
      </c>
      <c r="F98" s="41" t="str">
        <f>IF($A98="","",IF(ISNUMBER(IF(COUNTIFS(L_Actief,1,L_WBS,$A98,L_Doeljaar,Sel_Doeljaar,L_Versiejaar,P_VJ,L_Versie,F$8,L_Kengetal,"Omzet FY")=0,"n.b.",SUMIFS(L_Waarde,L_Actief,1,L_WBS,$A98,L_Doeljaar,Sel_Doeljaar,L_Versiejaar,P_VJ,L_Versie,F$8,L_Kengetal,"Omzet FY"))),IF(COUNTIFS(L_Actief,1,L_WBS,$A98,L_Doeljaar,Sel_Doeljaar,L_Versiejaar,P_VJ,L_Versie,F$8,L_Kengetal,"Omzet FY")=0,"n.b.",SUMIFS(L_Waarde,L_Actief,1,L_WBS,$A98,L_Doeljaar,Sel_Doeljaar,L_Versiejaar,P_VJ,L_Versie,F$8,L_Kengetal,"Omzet FY"))/P_Factor,IF(COUNTIFS(L_Actief,1,L_WBS,$A98,L_Doeljaar,Sel_Doeljaar,L_Versiejaar,P_VJ,L_Versie,F$8,L_Kengetal,"Omzet FY")=0,"n.b.",SUMIFS(L_Waarde,L_Actief,1,L_WBS,$A98,L_Doeljaar,Sel_Doeljaar,L_Versiejaar,P_VJ,L_Versie,F$8,L_Kengetal,"Omzet FY"))))</f>
        <v/>
      </c>
      <c r="G98" s="41" t="str">
        <f>IF($A98="","",IF(ISNUMBER(IF(COUNTIFS(L_Actief,1,L_WBS,$A98,L_Doeljaar,Sel_Doeljaar,L_Versiejaar,P_VJ,L_Versie,G$8,L_Kengetal,"Omzet FY")=0,"n.b.",SUMIFS(L_Waarde,L_Actief,1,L_WBS,$A98,L_Doeljaar,Sel_Doeljaar,L_Versiejaar,P_VJ,L_Versie,G$8,L_Kengetal,"Omzet FY"))),IF(COUNTIFS(L_Actief,1,L_WBS,$A98,L_Doeljaar,Sel_Doeljaar,L_Versiejaar,P_VJ,L_Versie,G$8,L_Kengetal,"Omzet FY")=0,"n.b.",SUMIFS(L_Waarde,L_Actief,1,L_WBS,$A98,L_Doeljaar,Sel_Doeljaar,L_Versiejaar,P_VJ,L_Versie,G$8,L_Kengetal,"Omzet FY"))/P_Factor,IF(COUNTIFS(L_Actief,1,L_WBS,$A98,L_Doeljaar,Sel_Doeljaar,L_Versiejaar,P_VJ,L_Versie,G$8,L_Kengetal,"Omzet FY")=0,"n.b.",SUMIFS(L_Waarde,L_Actief,1,L_WBS,$A98,L_Doeljaar,Sel_Doeljaar,L_Versiejaar,P_VJ,L_Versie,G$8,L_Kengetal,"Omzet FY"))))</f>
        <v/>
      </c>
      <c r="H98" s="41" t="str">
        <f>IF($A98="","",IF(ISNUMBER(IF(COUNTIFS(L_Actief,1,L_WBS,$A98,L_Doeljaar,Sel_Doeljaar,L_Versiejaar,P_VJ,L_Versie,H$8,L_Kengetal,"Omzet FY")=0,"n.b.",SUMIFS(L_Waarde,L_Actief,1,L_WBS,$A98,L_Doeljaar,Sel_Doeljaar,L_Versiejaar,P_VJ,L_Versie,H$8,L_Kengetal,"Omzet FY"))),IF(COUNTIFS(L_Actief,1,L_WBS,$A98,L_Doeljaar,Sel_Doeljaar,L_Versiejaar,P_VJ,L_Versie,H$8,L_Kengetal,"Omzet FY")=0,"n.b.",SUMIFS(L_Waarde,L_Actief,1,L_WBS,$A98,L_Doeljaar,Sel_Doeljaar,L_Versiejaar,P_VJ,L_Versie,H$8,L_Kengetal,"Omzet FY"))/P_Factor,IF(COUNTIFS(L_Actief,1,L_WBS,$A98,L_Doeljaar,Sel_Doeljaar,L_Versiejaar,P_VJ,L_Versie,H$8,L_Kengetal,"Omzet FY")=0,"n.b.",SUMIFS(L_Waarde,L_Actief,1,L_WBS,$A98,L_Doeljaar,Sel_Doeljaar,L_Versiejaar,P_VJ,L_Versie,H$8,L_Kengetal,"Omzet FY"))))</f>
        <v/>
      </c>
      <c r="I98" s="41" t="str">
        <f>IF($A98="","",IF(ISNUMBER(IF(COUNTIFS(L_Actief,1,L_WBS,$A98,L_Doeljaar,Sel_Doeljaar,L_Versiejaar,P_VJ,L_Versie,I$8,L_Kengetal,"Omzet FY")=0,"n.b.",SUMIFS(L_Waarde,L_Actief,1,L_WBS,$A98,L_Doeljaar,Sel_Doeljaar,L_Versiejaar,P_VJ,L_Versie,I$8,L_Kengetal,"Omzet FY"))),IF(COUNTIFS(L_Actief,1,L_WBS,$A98,L_Doeljaar,Sel_Doeljaar,L_Versiejaar,P_VJ,L_Versie,I$8,L_Kengetal,"Omzet FY")=0,"n.b.",SUMIFS(L_Waarde,L_Actief,1,L_WBS,$A98,L_Doeljaar,Sel_Doeljaar,L_Versiejaar,P_VJ,L_Versie,I$8,L_Kengetal,"Omzet FY"))/P_Factor,IF(COUNTIFS(L_Actief,1,L_WBS,$A98,L_Doeljaar,Sel_Doeljaar,L_Versiejaar,P_VJ,L_Versie,I$8,L_Kengetal,"Omzet FY")=0,"n.b.",SUMIFS(L_Waarde,L_Actief,1,L_WBS,$A98,L_Doeljaar,Sel_Doeljaar,L_Versiejaar,P_VJ,L_Versie,I$8,L_Kengetal,"Omzet FY"))))</f>
        <v/>
      </c>
      <c r="J98" s="41" t="str">
        <f>IF($A98="","",IF(ISNUMBER(IF(Sel_Doeljaar=P_RJ,VERW_Project!$P94,IF(Sel_Doeljaar=P_RJ+1,VERW_Project!$R94,"n.b."))),IF(Sel_Doeljaar=P_RJ,VERW_Project!$P94,IF(Sel_Doeljaar=P_RJ+1,VERW_Project!$R94,"n.b."))/P_Factor,IF(Sel_Doeljaar=P_RJ,VERW_Project!$P94,IF(Sel_Doeljaar=P_RJ+1,VERW_Project!$R94,"n.b."))))</f>
        <v/>
      </c>
      <c r="K98" s="41" t="str">
        <f>IF($A98="","",IF(Sel_Bron="Vastgesteld",INDEX($E98:$I98,MATCH(Sel_Versie,$E$8:$I$8,0)),IF(Sel_Bron="Concept",J98,"n.b.")))</f>
        <v/>
      </c>
      <c r="L98" s="62" t="str">
        <f>IF($A98="","",IF(Sel_Doeljaar&gt;P_VJ,"n.v.t.",IF(Sel_Bron="Vastgesteld",IF(ISNUMBER(IF(COUNTIFS(L_Actief,1,L_WBS,$A98,L_Doeljaar,Sel_Doeljaar,L_Versiejaar,P_VJ,L_Versie,Sel_Versie,L_Kengetal,"Omzet actual YTD")=0,"n.b.",SUMIFS(L_Waarde,L_Actief,1,L_WBS,$A98,L_Doeljaar,Sel_Doeljaar,L_Versiejaar,P_VJ,L_Versie,Sel_Versie,L_Kengetal,"Omzet actual YTD"))),IF(COUNTIFS(L_Actief,1,L_WBS,$A98,L_Doeljaar,Sel_Doeljaar,L_Versiejaar,P_VJ,L_Versie,Sel_Versie,L_Kengetal,"Omzet actual YTD")=0,"n.b.",SUMIFS(L_Waarde,L_Actief,1,L_WBS,$A98,L_Doeljaar,Sel_Doeljaar,L_Versiejaar,P_VJ,L_Versie,Sel_Versie,L_Kengetal,"Omzet actual YTD"))/P_Factor,IF(COUNTIFS(L_Actief,1,L_WBS,$A98,L_Doeljaar,Sel_Doeljaar,L_Versiejaar,P_VJ,L_Versie,Sel_Versie,L_Kengetal,"Omzet actual YTD")=0,"n.b.",SUMIFS(L_Waarde,L_Actief,1,L_WBS,$A98,L_Doeljaar,Sel_Doeljaar,L_Versiejaar,P_VJ,L_Versie,Sel_Versie,L_Kengetal,"Omzet actual YTD"))),IF(Sel_Bron="Concept",IF(ISNUMBER(IF(Sel_Doeljaar=P_RJ,VERW_Project!$L94,"n.v.t.")),IF(Sel_Doeljaar=P_RJ,VERW_Project!$L94,"n.v.t.")/P_Factor,IF(Sel_Doeljaar=P_RJ,VERW_Project!$L94,"n.v.t.")),"n.b."))))</f>
        <v/>
      </c>
      <c r="M98" s="41" t="str">
        <f>IF($A98="","",IF(L98="n.v.t.",K98,IF(AND(ISNUMBER(K98),ISNUMBER(L98)),K98-L98,"n.b.")))</f>
        <v/>
      </c>
      <c r="N98" s="41" t="str">
        <f>IF($A98="","",IF(Sel_Bron="Vastgesteld",IF(ISNUMBER(IF(COUNTIFS(L_Actief,1,L_WBS,$A98,L_Doeljaar,Sel_Doeljaar,L_Versiejaar,P_VJ,L_Versie,Sel_Versie,L_Kengetal,"BOR FY")=0,"n.b.",SUMIFS(L_Waarde,L_Actief,1,L_WBS,$A98,L_Doeljaar,Sel_Doeljaar,L_Versiejaar,P_VJ,L_Versie,Sel_Versie,L_Kengetal,"BOR FY"))),IF(COUNTIFS(L_Actief,1,L_WBS,$A98,L_Doeljaar,Sel_Doeljaar,L_Versiejaar,P_VJ,L_Versie,Sel_Versie,L_Kengetal,"BOR FY")=0,"n.b.",SUMIFS(L_Waarde,L_Actief,1,L_WBS,$A98,L_Doeljaar,Sel_Doeljaar,L_Versiejaar,P_VJ,L_Versie,Sel_Versie,L_Kengetal,"BOR FY"))/P_Factor,IF(COUNTIFS(L_Actief,1,L_WBS,$A98,L_Doeljaar,Sel_Doeljaar,L_Versiejaar,P_VJ,L_Versie,Sel_Versie,L_Kengetal,"BOR FY")=0,"n.b.",SUMIFS(L_Waarde,L_Actief,1,L_WBS,$A98,L_Doeljaar,Sel_Doeljaar,L_Versiejaar,P_VJ,L_Versie,Sel_Versie,L_Kengetal,"BOR FY"))),IF(Sel_Bron="Concept",IF(ISNUMBER(IF(Sel_Doeljaar=P_RJ,VERW_Project!$Q94,IF(Sel_Doeljaar=P_RJ+1,VERW_Project!$S94,"n.b."))),IF(Sel_Doeljaar=P_RJ,VERW_Project!$Q94,IF(Sel_Doeljaar=P_RJ+1,VERW_Project!$S94,"n.b."))/P_Factor,IF(Sel_Doeljaar=P_RJ,VERW_Project!$Q94,IF(Sel_Doeljaar=P_RJ+1,VERW_Project!$S94,"n.b."))),"n.b.")))</f>
        <v/>
      </c>
      <c r="O98" s="63" t="str">
        <f>IF($A98="","",IF(AND(ISNUMBER(N98),ISNUMBER(K98)),IF(K98&lt;&gt;0,N98/K98,"n.b."),"n.b."))</f>
        <v/>
      </c>
      <c r="P98" s="41" t="str">
        <f>IF($A98="","",IF(AND(ISNUMBER(K98),ISNUMBER(E98)),K98-E98,"n.b."))</f>
        <v/>
      </c>
      <c r="Q98" s="41" t="str">
        <f>IF($A98="","",IF(AND(ISNUMBER(K98),ISNUMBER(W98)),K98-W98,"n.b."))</f>
        <v/>
      </c>
      <c r="R98" s="64" t="str">
        <f>IF($A98="","",IF(ISNUMBER(N98),IF(N98&lt;0,"Verlies",""),""))</f>
        <v/>
      </c>
      <c r="S98" s="61" t="str">
        <f>IF($A98="","",IFERROR(INDEX(T_Txt,MATCH($A98&amp;"|"&amp;Sel_Doeljaar&amp;"|"&amp;P_VJ&amp;"|"&amp;Sel_Versie,T_Key,0)),""))</f>
        <v/>
      </c>
      <c r="U98" s="15" t="str">
        <f>IF(AND(AND($A98&lt;&gt;"",OR(Sel_Type="Alle",$C98=Sel_Type),OR(Sel_Project="Alle",$B98=Sel_Project)),ISNUMBER(K98)),K98+ROW()/1000000000,"")</f>
        <v/>
      </c>
      <c r="V98" s="15" t="str">
        <f>IF(AND(AND($A98&lt;&gt;"",OR(Sel_Type="Alle",$C98=Sel_Type),OR(Sel_Project="Alle",$B98=Sel_Project)),ISNUMBER(Q98)),ABS(Q98)+ROW()/1000000000,"")</f>
        <v/>
      </c>
      <c r="W98" s="15" t="str">
        <f>IF(OR($A98="",Sel_Prev=""),"n.b.",IF(ISNUMBER(IF(COUNTIFS(L_Actief,1,L_WBS,$A98,L_Doeljaar,Sel_Doeljaar,L_Versiejaar,P_VJ,L_Versie,Sel_Prev,L_Kengetal,"Omzet FY")=0,"n.b.",SUMIFS(L_Waarde,L_Actief,1,L_WBS,$A98,L_Doeljaar,Sel_Doeljaar,L_Versiejaar,P_VJ,L_Versie,Sel_Prev,L_Kengetal,"Omzet FY"))),IF(COUNTIFS(L_Actief,1,L_WBS,$A98,L_Doeljaar,Sel_Doeljaar,L_Versiejaar,P_VJ,L_Versie,Sel_Prev,L_Kengetal,"Omzet FY")=0,"n.b.",SUMIFS(L_Waarde,L_Actief,1,L_WBS,$A98,L_Doeljaar,Sel_Doeljaar,L_Versiejaar,P_VJ,L_Versie,Sel_Prev,L_Kengetal,"Omzet FY"))/P_Factor,IF(COUNTIFS(L_Actief,1,L_WBS,$A98,L_Doeljaar,Sel_Doeljaar,L_Versiejaar,P_VJ,L_Versie,Sel_Prev,L_Kengetal,"Omzet FY")=0,"n.b.",SUMIFS(L_Waarde,L_Actief,1,L_WBS,$A98,L_Doeljaar,Sel_Doeljaar,L_Versiejaar,P_VJ,L_Versie,Sel_Prev,L_Kengetal,"Omzet FY"))))</f>
        <v>n.b.</v>
      </c>
    </row>
    <row r="99">
      <c r="A99" s="61" t="str">
        <f>IF(VERW_Project!$A95="","",VERW_Project!$A95)</f>
        <v/>
      </c>
      <c r="B99" s="61" t="str">
        <f>IF($A99="","",VERW_Project!$C95)</f>
        <v/>
      </c>
      <c r="C99" s="61" t="str">
        <f>IF($A99="","",VERW_Project!$D95)</f>
        <v/>
      </c>
      <c r="D99" s="61" t="str">
        <f>IF($A99="","",VERW_Project!$I95)</f>
        <v/>
      </c>
      <c r="E99" s="41" t="str">
        <f>IF($A99="","",IF(ISNUMBER(IF(COUNTIFS(L_Actief,1,L_WBS,$A99,L_Doeljaar,Sel_Doeljaar,L_Versiejaar,P_VJ,L_Versie,E$8,L_Kengetal,"Omzet FY")=0,"n.b.",SUMIFS(L_Waarde,L_Actief,1,L_WBS,$A99,L_Doeljaar,Sel_Doeljaar,L_Versiejaar,P_VJ,L_Versie,E$8,L_Kengetal,"Omzet FY"))),IF(COUNTIFS(L_Actief,1,L_WBS,$A99,L_Doeljaar,Sel_Doeljaar,L_Versiejaar,P_VJ,L_Versie,E$8,L_Kengetal,"Omzet FY")=0,"n.b.",SUMIFS(L_Waarde,L_Actief,1,L_WBS,$A99,L_Doeljaar,Sel_Doeljaar,L_Versiejaar,P_VJ,L_Versie,E$8,L_Kengetal,"Omzet FY"))/P_Factor,IF(COUNTIFS(L_Actief,1,L_WBS,$A99,L_Doeljaar,Sel_Doeljaar,L_Versiejaar,P_VJ,L_Versie,E$8,L_Kengetal,"Omzet FY")=0,"n.b.",SUMIFS(L_Waarde,L_Actief,1,L_WBS,$A99,L_Doeljaar,Sel_Doeljaar,L_Versiejaar,P_VJ,L_Versie,E$8,L_Kengetal,"Omzet FY"))))</f>
        <v/>
      </c>
      <c r="F99" s="41" t="str">
        <f>IF($A99="","",IF(ISNUMBER(IF(COUNTIFS(L_Actief,1,L_WBS,$A99,L_Doeljaar,Sel_Doeljaar,L_Versiejaar,P_VJ,L_Versie,F$8,L_Kengetal,"Omzet FY")=0,"n.b.",SUMIFS(L_Waarde,L_Actief,1,L_WBS,$A99,L_Doeljaar,Sel_Doeljaar,L_Versiejaar,P_VJ,L_Versie,F$8,L_Kengetal,"Omzet FY"))),IF(COUNTIFS(L_Actief,1,L_WBS,$A99,L_Doeljaar,Sel_Doeljaar,L_Versiejaar,P_VJ,L_Versie,F$8,L_Kengetal,"Omzet FY")=0,"n.b.",SUMIFS(L_Waarde,L_Actief,1,L_WBS,$A99,L_Doeljaar,Sel_Doeljaar,L_Versiejaar,P_VJ,L_Versie,F$8,L_Kengetal,"Omzet FY"))/P_Factor,IF(COUNTIFS(L_Actief,1,L_WBS,$A99,L_Doeljaar,Sel_Doeljaar,L_Versiejaar,P_VJ,L_Versie,F$8,L_Kengetal,"Omzet FY")=0,"n.b.",SUMIFS(L_Waarde,L_Actief,1,L_WBS,$A99,L_Doeljaar,Sel_Doeljaar,L_Versiejaar,P_VJ,L_Versie,F$8,L_Kengetal,"Omzet FY"))))</f>
        <v/>
      </c>
      <c r="G99" s="41" t="str">
        <f>IF($A99="","",IF(ISNUMBER(IF(COUNTIFS(L_Actief,1,L_WBS,$A99,L_Doeljaar,Sel_Doeljaar,L_Versiejaar,P_VJ,L_Versie,G$8,L_Kengetal,"Omzet FY")=0,"n.b.",SUMIFS(L_Waarde,L_Actief,1,L_WBS,$A99,L_Doeljaar,Sel_Doeljaar,L_Versiejaar,P_VJ,L_Versie,G$8,L_Kengetal,"Omzet FY"))),IF(COUNTIFS(L_Actief,1,L_WBS,$A99,L_Doeljaar,Sel_Doeljaar,L_Versiejaar,P_VJ,L_Versie,G$8,L_Kengetal,"Omzet FY")=0,"n.b.",SUMIFS(L_Waarde,L_Actief,1,L_WBS,$A99,L_Doeljaar,Sel_Doeljaar,L_Versiejaar,P_VJ,L_Versie,G$8,L_Kengetal,"Omzet FY"))/P_Factor,IF(COUNTIFS(L_Actief,1,L_WBS,$A99,L_Doeljaar,Sel_Doeljaar,L_Versiejaar,P_VJ,L_Versie,G$8,L_Kengetal,"Omzet FY")=0,"n.b.",SUMIFS(L_Waarde,L_Actief,1,L_WBS,$A99,L_Doeljaar,Sel_Doeljaar,L_Versiejaar,P_VJ,L_Versie,G$8,L_Kengetal,"Omzet FY"))))</f>
        <v/>
      </c>
      <c r="H99" s="41" t="str">
        <f>IF($A99="","",IF(ISNUMBER(IF(COUNTIFS(L_Actief,1,L_WBS,$A99,L_Doeljaar,Sel_Doeljaar,L_Versiejaar,P_VJ,L_Versie,H$8,L_Kengetal,"Omzet FY")=0,"n.b.",SUMIFS(L_Waarde,L_Actief,1,L_WBS,$A99,L_Doeljaar,Sel_Doeljaar,L_Versiejaar,P_VJ,L_Versie,H$8,L_Kengetal,"Omzet FY"))),IF(COUNTIFS(L_Actief,1,L_WBS,$A99,L_Doeljaar,Sel_Doeljaar,L_Versiejaar,P_VJ,L_Versie,H$8,L_Kengetal,"Omzet FY")=0,"n.b.",SUMIFS(L_Waarde,L_Actief,1,L_WBS,$A99,L_Doeljaar,Sel_Doeljaar,L_Versiejaar,P_VJ,L_Versie,H$8,L_Kengetal,"Omzet FY"))/P_Factor,IF(COUNTIFS(L_Actief,1,L_WBS,$A99,L_Doeljaar,Sel_Doeljaar,L_Versiejaar,P_VJ,L_Versie,H$8,L_Kengetal,"Omzet FY")=0,"n.b.",SUMIFS(L_Waarde,L_Actief,1,L_WBS,$A99,L_Doeljaar,Sel_Doeljaar,L_Versiejaar,P_VJ,L_Versie,H$8,L_Kengetal,"Omzet FY"))))</f>
        <v/>
      </c>
      <c r="I99" s="41" t="str">
        <f>IF($A99="","",IF(ISNUMBER(IF(COUNTIFS(L_Actief,1,L_WBS,$A99,L_Doeljaar,Sel_Doeljaar,L_Versiejaar,P_VJ,L_Versie,I$8,L_Kengetal,"Omzet FY")=0,"n.b.",SUMIFS(L_Waarde,L_Actief,1,L_WBS,$A99,L_Doeljaar,Sel_Doeljaar,L_Versiejaar,P_VJ,L_Versie,I$8,L_Kengetal,"Omzet FY"))),IF(COUNTIFS(L_Actief,1,L_WBS,$A99,L_Doeljaar,Sel_Doeljaar,L_Versiejaar,P_VJ,L_Versie,I$8,L_Kengetal,"Omzet FY")=0,"n.b.",SUMIFS(L_Waarde,L_Actief,1,L_WBS,$A99,L_Doeljaar,Sel_Doeljaar,L_Versiejaar,P_VJ,L_Versie,I$8,L_Kengetal,"Omzet FY"))/P_Factor,IF(COUNTIFS(L_Actief,1,L_WBS,$A99,L_Doeljaar,Sel_Doeljaar,L_Versiejaar,P_VJ,L_Versie,I$8,L_Kengetal,"Omzet FY")=0,"n.b.",SUMIFS(L_Waarde,L_Actief,1,L_WBS,$A99,L_Doeljaar,Sel_Doeljaar,L_Versiejaar,P_VJ,L_Versie,I$8,L_Kengetal,"Omzet FY"))))</f>
        <v/>
      </c>
      <c r="J99" s="41" t="str">
        <f>IF($A99="","",IF(ISNUMBER(IF(Sel_Doeljaar=P_RJ,VERW_Project!$P95,IF(Sel_Doeljaar=P_RJ+1,VERW_Project!$R95,"n.b."))),IF(Sel_Doeljaar=P_RJ,VERW_Project!$P95,IF(Sel_Doeljaar=P_RJ+1,VERW_Project!$R95,"n.b."))/P_Factor,IF(Sel_Doeljaar=P_RJ,VERW_Project!$P95,IF(Sel_Doeljaar=P_RJ+1,VERW_Project!$R95,"n.b."))))</f>
        <v/>
      </c>
      <c r="K99" s="41" t="str">
        <f>IF($A99="","",IF(Sel_Bron="Vastgesteld",INDEX($E99:$I99,MATCH(Sel_Versie,$E$8:$I$8,0)),IF(Sel_Bron="Concept",J99,"n.b.")))</f>
        <v/>
      </c>
      <c r="L99" s="62" t="str">
        <f>IF($A99="","",IF(Sel_Doeljaar&gt;P_VJ,"n.v.t.",IF(Sel_Bron="Vastgesteld",IF(ISNUMBER(IF(COUNTIFS(L_Actief,1,L_WBS,$A99,L_Doeljaar,Sel_Doeljaar,L_Versiejaar,P_VJ,L_Versie,Sel_Versie,L_Kengetal,"Omzet actual YTD")=0,"n.b.",SUMIFS(L_Waarde,L_Actief,1,L_WBS,$A99,L_Doeljaar,Sel_Doeljaar,L_Versiejaar,P_VJ,L_Versie,Sel_Versie,L_Kengetal,"Omzet actual YTD"))),IF(COUNTIFS(L_Actief,1,L_WBS,$A99,L_Doeljaar,Sel_Doeljaar,L_Versiejaar,P_VJ,L_Versie,Sel_Versie,L_Kengetal,"Omzet actual YTD")=0,"n.b.",SUMIFS(L_Waarde,L_Actief,1,L_WBS,$A99,L_Doeljaar,Sel_Doeljaar,L_Versiejaar,P_VJ,L_Versie,Sel_Versie,L_Kengetal,"Omzet actual YTD"))/P_Factor,IF(COUNTIFS(L_Actief,1,L_WBS,$A99,L_Doeljaar,Sel_Doeljaar,L_Versiejaar,P_VJ,L_Versie,Sel_Versie,L_Kengetal,"Omzet actual YTD")=0,"n.b.",SUMIFS(L_Waarde,L_Actief,1,L_WBS,$A99,L_Doeljaar,Sel_Doeljaar,L_Versiejaar,P_VJ,L_Versie,Sel_Versie,L_Kengetal,"Omzet actual YTD"))),IF(Sel_Bron="Concept",IF(ISNUMBER(IF(Sel_Doeljaar=P_RJ,VERW_Project!$L95,"n.v.t.")),IF(Sel_Doeljaar=P_RJ,VERW_Project!$L95,"n.v.t.")/P_Factor,IF(Sel_Doeljaar=P_RJ,VERW_Project!$L95,"n.v.t.")),"n.b."))))</f>
        <v/>
      </c>
      <c r="M99" s="41" t="str">
        <f>IF($A99="","",IF(L99="n.v.t.",K99,IF(AND(ISNUMBER(K99),ISNUMBER(L99)),K99-L99,"n.b.")))</f>
        <v/>
      </c>
      <c r="N99" s="41" t="str">
        <f>IF($A99="","",IF(Sel_Bron="Vastgesteld",IF(ISNUMBER(IF(COUNTIFS(L_Actief,1,L_WBS,$A99,L_Doeljaar,Sel_Doeljaar,L_Versiejaar,P_VJ,L_Versie,Sel_Versie,L_Kengetal,"BOR FY")=0,"n.b.",SUMIFS(L_Waarde,L_Actief,1,L_WBS,$A99,L_Doeljaar,Sel_Doeljaar,L_Versiejaar,P_VJ,L_Versie,Sel_Versie,L_Kengetal,"BOR FY"))),IF(COUNTIFS(L_Actief,1,L_WBS,$A99,L_Doeljaar,Sel_Doeljaar,L_Versiejaar,P_VJ,L_Versie,Sel_Versie,L_Kengetal,"BOR FY")=0,"n.b.",SUMIFS(L_Waarde,L_Actief,1,L_WBS,$A99,L_Doeljaar,Sel_Doeljaar,L_Versiejaar,P_VJ,L_Versie,Sel_Versie,L_Kengetal,"BOR FY"))/P_Factor,IF(COUNTIFS(L_Actief,1,L_WBS,$A99,L_Doeljaar,Sel_Doeljaar,L_Versiejaar,P_VJ,L_Versie,Sel_Versie,L_Kengetal,"BOR FY")=0,"n.b.",SUMIFS(L_Waarde,L_Actief,1,L_WBS,$A99,L_Doeljaar,Sel_Doeljaar,L_Versiejaar,P_VJ,L_Versie,Sel_Versie,L_Kengetal,"BOR FY"))),IF(Sel_Bron="Concept",IF(ISNUMBER(IF(Sel_Doeljaar=P_RJ,VERW_Project!$Q95,IF(Sel_Doeljaar=P_RJ+1,VERW_Project!$S95,"n.b."))),IF(Sel_Doeljaar=P_RJ,VERW_Project!$Q95,IF(Sel_Doeljaar=P_RJ+1,VERW_Project!$S95,"n.b."))/P_Factor,IF(Sel_Doeljaar=P_RJ,VERW_Project!$Q95,IF(Sel_Doeljaar=P_RJ+1,VERW_Project!$S95,"n.b."))),"n.b.")))</f>
        <v/>
      </c>
      <c r="O99" s="63" t="str">
        <f>IF($A99="","",IF(AND(ISNUMBER(N99),ISNUMBER(K99)),IF(K99&lt;&gt;0,N99/K99,"n.b."),"n.b."))</f>
        <v/>
      </c>
      <c r="P99" s="41" t="str">
        <f>IF($A99="","",IF(AND(ISNUMBER(K99),ISNUMBER(E99)),K99-E99,"n.b."))</f>
        <v/>
      </c>
      <c r="Q99" s="41" t="str">
        <f>IF($A99="","",IF(AND(ISNUMBER(K99),ISNUMBER(W99)),K99-W99,"n.b."))</f>
        <v/>
      </c>
      <c r="R99" s="64" t="str">
        <f>IF($A99="","",IF(ISNUMBER(N99),IF(N99&lt;0,"Verlies",""),""))</f>
        <v/>
      </c>
      <c r="S99" s="61" t="str">
        <f>IF($A99="","",IFERROR(INDEX(T_Txt,MATCH($A99&amp;"|"&amp;Sel_Doeljaar&amp;"|"&amp;P_VJ&amp;"|"&amp;Sel_Versie,T_Key,0)),""))</f>
        <v/>
      </c>
      <c r="U99" s="15" t="str">
        <f>IF(AND(AND($A99&lt;&gt;"",OR(Sel_Type="Alle",$C99=Sel_Type),OR(Sel_Project="Alle",$B99=Sel_Project)),ISNUMBER(K99)),K99+ROW()/1000000000,"")</f>
        <v/>
      </c>
      <c r="V99" s="15" t="str">
        <f>IF(AND(AND($A99&lt;&gt;"",OR(Sel_Type="Alle",$C99=Sel_Type),OR(Sel_Project="Alle",$B99=Sel_Project)),ISNUMBER(Q99)),ABS(Q99)+ROW()/1000000000,"")</f>
        <v/>
      </c>
      <c r="W99" s="15" t="str">
        <f>IF(OR($A99="",Sel_Prev=""),"n.b.",IF(ISNUMBER(IF(COUNTIFS(L_Actief,1,L_WBS,$A99,L_Doeljaar,Sel_Doeljaar,L_Versiejaar,P_VJ,L_Versie,Sel_Prev,L_Kengetal,"Omzet FY")=0,"n.b.",SUMIFS(L_Waarde,L_Actief,1,L_WBS,$A99,L_Doeljaar,Sel_Doeljaar,L_Versiejaar,P_VJ,L_Versie,Sel_Prev,L_Kengetal,"Omzet FY"))),IF(COUNTIFS(L_Actief,1,L_WBS,$A99,L_Doeljaar,Sel_Doeljaar,L_Versiejaar,P_VJ,L_Versie,Sel_Prev,L_Kengetal,"Omzet FY")=0,"n.b.",SUMIFS(L_Waarde,L_Actief,1,L_WBS,$A99,L_Doeljaar,Sel_Doeljaar,L_Versiejaar,P_VJ,L_Versie,Sel_Prev,L_Kengetal,"Omzet FY"))/P_Factor,IF(COUNTIFS(L_Actief,1,L_WBS,$A99,L_Doeljaar,Sel_Doeljaar,L_Versiejaar,P_VJ,L_Versie,Sel_Prev,L_Kengetal,"Omzet FY")=0,"n.b.",SUMIFS(L_Waarde,L_Actief,1,L_WBS,$A99,L_Doeljaar,Sel_Doeljaar,L_Versiejaar,P_VJ,L_Versie,Sel_Prev,L_Kengetal,"Omzet FY"))))</f>
        <v>n.b.</v>
      </c>
    </row>
    <row r="100">
      <c r="A100" s="61" t="str">
        <f>IF(VERW_Project!$A96="","",VERW_Project!$A96)</f>
        <v/>
      </c>
      <c r="B100" s="61" t="str">
        <f>IF($A100="","",VERW_Project!$C96)</f>
        <v/>
      </c>
      <c r="C100" s="61" t="str">
        <f>IF($A100="","",VERW_Project!$D96)</f>
        <v/>
      </c>
      <c r="D100" s="61" t="str">
        <f>IF($A100="","",VERW_Project!$I96)</f>
        <v/>
      </c>
      <c r="E100" s="41" t="str">
        <f>IF($A100="","",IF(ISNUMBER(IF(COUNTIFS(L_Actief,1,L_WBS,$A100,L_Doeljaar,Sel_Doeljaar,L_Versiejaar,P_VJ,L_Versie,E$8,L_Kengetal,"Omzet FY")=0,"n.b.",SUMIFS(L_Waarde,L_Actief,1,L_WBS,$A100,L_Doeljaar,Sel_Doeljaar,L_Versiejaar,P_VJ,L_Versie,E$8,L_Kengetal,"Omzet FY"))),IF(COUNTIFS(L_Actief,1,L_WBS,$A100,L_Doeljaar,Sel_Doeljaar,L_Versiejaar,P_VJ,L_Versie,E$8,L_Kengetal,"Omzet FY")=0,"n.b.",SUMIFS(L_Waarde,L_Actief,1,L_WBS,$A100,L_Doeljaar,Sel_Doeljaar,L_Versiejaar,P_VJ,L_Versie,E$8,L_Kengetal,"Omzet FY"))/P_Factor,IF(COUNTIFS(L_Actief,1,L_WBS,$A100,L_Doeljaar,Sel_Doeljaar,L_Versiejaar,P_VJ,L_Versie,E$8,L_Kengetal,"Omzet FY")=0,"n.b.",SUMIFS(L_Waarde,L_Actief,1,L_WBS,$A100,L_Doeljaar,Sel_Doeljaar,L_Versiejaar,P_VJ,L_Versie,E$8,L_Kengetal,"Omzet FY"))))</f>
        <v/>
      </c>
      <c r="F100" s="41" t="str">
        <f>IF($A100="","",IF(ISNUMBER(IF(COUNTIFS(L_Actief,1,L_WBS,$A100,L_Doeljaar,Sel_Doeljaar,L_Versiejaar,P_VJ,L_Versie,F$8,L_Kengetal,"Omzet FY")=0,"n.b.",SUMIFS(L_Waarde,L_Actief,1,L_WBS,$A100,L_Doeljaar,Sel_Doeljaar,L_Versiejaar,P_VJ,L_Versie,F$8,L_Kengetal,"Omzet FY"))),IF(COUNTIFS(L_Actief,1,L_WBS,$A100,L_Doeljaar,Sel_Doeljaar,L_Versiejaar,P_VJ,L_Versie,F$8,L_Kengetal,"Omzet FY")=0,"n.b.",SUMIFS(L_Waarde,L_Actief,1,L_WBS,$A100,L_Doeljaar,Sel_Doeljaar,L_Versiejaar,P_VJ,L_Versie,F$8,L_Kengetal,"Omzet FY"))/P_Factor,IF(COUNTIFS(L_Actief,1,L_WBS,$A100,L_Doeljaar,Sel_Doeljaar,L_Versiejaar,P_VJ,L_Versie,F$8,L_Kengetal,"Omzet FY")=0,"n.b.",SUMIFS(L_Waarde,L_Actief,1,L_WBS,$A100,L_Doeljaar,Sel_Doeljaar,L_Versiejaar,P_VJ,L_Versie,F$8,L_Kengetal,"Omzet FY"))))</f>
        <v/>
      </c>
      <c r="G100" s="41" t="str">
        <f>IF($A100="","",IF(ISNUMBER(IF(COUNTIFS(L_Actief,1,L_WBS,$A100,L_Doeljaar,Sel_Doeljaar,L_Versiejaar,P_VJ,L_Versie,G$8,L_Kengetal,"Omzet FY")=0,"n.b.",SUMIFS(L_Waarde,L_Actief,1,L_WBS,$A100,L_Doeljaar,Sel_Doeljaar,L_Versiejaar,P_VJ,L_Versie,G$8,L_Kengetal,"Omzet FY"))),IF(COUNTIFS(L_Actief,1,L_WBS,$A100,L_Doeljaar,Sel_Doeljaar,L_Versiejaar,P_VJ,L_Versie,G$8,L_Kengetal,"Omzet FY")=0,"n.b.",SUMIFS(L_Waarde,L_Actief,1,L_WBS,$A100,L_Doeljaar,Sel_Doeljaar,L_Versiejaar,P_VJ,L_Versie,G$8,L_Kengetal,"Omzet FY"))/P_Factor,IF(COUNTIFS(L_Actief,1,L_WBS,$A100,L_Doeljaar,Sel_Doeljaar,L_Versiejaar,P_VJ,L_Versie,G$8,L_Kengetal,"Omzet FY")=0,"n.b.",SUMIFS(L_Waarde,L_Actief,1,L_WBS,$A100,L_Doeljaar,Sel_Doeljaar,L_Versiejaar,P_VJ,L_Versie,G$8,L_Kengetal,"Omzet FY"))))</f>
        <v/>
      </c>
      <c r="H100" s="41" t="str">
        <f>IF($A100="","",IF(ISNUMBER(IF(COUNTIFS(L_Actief,1,L_WBS,$A100,L_Doeljaar,Sel_Doeljaar,L_Versiejaar,P_VJ,L_Versie,H$8,L_Kengetal,"Omzet FY")=0,"n.b.",SUMIFS(L_Waarde,L_Actief,1,L_WBS,$A100,L_Doeljaar,Sel_Doeljaar,L_Versiejaar,P_VJ,L_Versie,H$8,L_Kengetal,"Omzet FY"))),IF(COUNTIFS(L_Actief,1,L_WBS,$A100,L_Doeljaar,Sel_Doeljaar,L_Versiejaar,P_VJ,L_Versie,H$8,L_Kengetal,"Omzet FY")=0,"n.b.",SUMIFS(L_Waarde,L_Actief,1,L_WBS,$A100,L_Doeljaar,Sel_Doeljaar,L_Versiejaar,P_VJ,L_Versie,H$8,L_Kengetal,"Omzet FY"))/P_Factor,IF(COUNTIFS(L_Actief,1,L_WBS,$A100,L_Doeljaar,Sel_Doeljaar,L_Versiejaar,P_VJ,L_Versie,H$8,L_Kengetal,"Omzet FY")=0,"n.b.",SUMIFS(L_Waarde,L_Actief,1,L_WBS,$A100,L_Doeljaar,Sel_Doeljaar,L_Versiejaar,P_VJ,L_Versie,H$8,L_Kengetal,"Omzet FY"))))</f>
        <v/>
      </c>
      <c r="I100" s="41" t="str">
        <f>IF($A100="","",IF(ISNUMBER(IF(COUNTIFS(L_Actief,1,L_WBS,$A100,L_Doeljaar,Sel_Doeljaar,L_Versiejaar,P_VJ,L_Versie,I$8,L_Kengetal,"Omzet FY")=0,"n.b.",SUMIFS(L_Waarde,L_Actief,1,L_WBS,$A100,L_Doeljaar,Sel_Doeljaar,L_Versiejaar,P_VJ,L_Versie,I$8,L_Kengetal,"Omzet FY"))),IF(COUNTIFS(L_Actief,1,L_WBS,$A100,L_Doeljaar,Sel_Doeljaar,L_Versiejaar,P_VJ,L_Versie,I$8,L_Kengetal,"Omzet FY")=0,"n.b.",SUMIFS(L_Waarde,L_Actief,1,L_WBS,$A100,L_Doeljaar,Sel_Doeljaar,L_Versiejaar,P_VJ,L_Versie,I$8,L_Kengetal,"Omzet FY"))/P_Factor,IF(COUNTIFS(L_Actief,1,L_WBS,$A100,L_Doeljaar,Sel_Doeljaar,L_Versiejaar,P_VJ,L_Versie,I$8,L_Kengetal,"Omzet FY")=0,"n.b.",SUMIFS(L_Waarde,L_Actief,1,L_WBS,$A100,L_Doeljaar,Sel_Doeljaar,L_Versiejaar,P_VJ,L_Versie,I$8,L_Kengetal,"Omzet FY"))))</f>
        <v/>
      </c>
      <c r="J100" s="41" t="str">
        <f>IF($A100="","",IF(ISNUMBER(IF(Sel_Doeljaar=P_RJ,VERW_Project!$P96,IF(Sel_Doeljaar=P_RJ+1,VERW_Project!$R96,"n.b."))),IF(Sel_Doeljaar=P_RJ,VERW_Project!$P96,IF(Sel_Doeljaar=P_RJ+1,VERW_Project!$R96,"n.b."))/P_Factor,IF(Sel_Doeljaar=P_RJ,VERW_Project!$P96,IF(Sel_Doeljaar=P_RJ+1,VERW_Project!$R96,"n.b."))))</f>
        <v/>
      </c>
      <c r="K100" s="41" t="str">
        <f>IF($A100="","",IF(Sel_Bron="Vastgesteld",INDEX($E100:$I100,MATCH(Sel_Versie,$E$8:$I$8,0)),IF(Sel_Bron="Concept",J100,"n.b.")))</f>
        <v/>
      </c>
      <c r="L100" s="62" t="str">
        <f>IF($A100="","",IF(Sel_Doeljaar&gt;P_VJ,"n.v.t.",IF(Sel_Bron="Vastgesteld",IF(ISNUMBER(IF(COUNTIFS(L_Actief,1,L_WBS,$A100,L_Doeljaar,Sel_Doeljaar,L_Versiejaar,P_VJ,L_Versie,Sel_Versie,L_Kengetal,"Omzet actual YTD")=0,"n.b.",SUMIFS(L_Waarde,L_Actief,1,L_WBS,$A100,L_Doeljaar,Sel_Doeljaar,L_Versiejaar,P_VJ,L_Versie,Sel_Versie,L_Kengetal,"Omzet actual YTD"))),IF(COUNTIFS(L_Actief,1,L_WBS,$A100,L_Doeljaar,Sel_Doeljaar,L_Versiejaar,P_VJ,L_Versie,Sel_Versie,L_Kengetal,"Omzet actual YTD")=0,"n.b.",SUMIFS(L_Waarde,L_Actief,1,L_WBS,$A100,L_Doeljaar,Sel_Doeljaar,L_Versiejaar,P_VJ,L_Versie,Sel_Versie,L_Kengetal,"Omzet actual YTD"))/P_Factor,IF(COUNTIFS(L_Actief,1,L_WBS,$A100,L_Doeljaar,Sel_Doeljaar,L_Versiejaar,P_VJ,L_Versie,Sel_Versie,L_Kengetal,"Omzet actual YTD")=0,"n.b.",SUMIFS(L_Waarde,L_Actief,1,L_WBS,$A100,L_Doeljaar,Sel_Doeljaar,L_Versiejaar,P_VJ,L_Versie,Sel_Versie,L_Kengetal,"Omzet actual YTD"))),IF(Sel_Bron="Concept",IF(ISNUMBER(IF(Sel_Doeljaar=P_RJ,VERW_Project!$L96,"n.v.t.")),IF(Sel_Doeljaar=P_RJ,VERW_Project!$L96,"n.v.t.")/P_Factor,IF(Sel_Doeljaar=P_RJ,VERW_Project!$L96,"n.v.t.")),"n.b."))))</f>
        <v/>
      </c>
      <c r="M100" s="41" t="str">
        <f>IF($A100="","",IF(L100="n.v.t.",K100,IF(AND(ISNUMBER(K100),ISNUMBER(L100)),K100-L100,"n.b.")))</f>
        <v/>
      </c>
      <c r="N100" s="41" t="str">
        <f>IF($A100="","",IF(Sel_Bron="Vastgesteld",IF(ISNUMBER(IF(COUNTIFS(L_Actief,1,L_WBS,$A100,L_Doeljaar,Sel_Doeljaar,L_Versiejaar,P_VJ,L_Versie,Sel_Versie,L_Kengetal,"BOR FY")=0,"n.b.",SUMIFS(L_Waarde,L_Actief,1,L_WBS,$A100,L_Doeljaar,Sel_Doeljaar,L_Versiejaar,P_VJ,L_Versie,Sel_Versie,L_Kengetal,"BOR FY"))),IF(COUNTIFS(L_Actief,1,L_WBS,$A100,L_Doeljaar,Sel_Doeljaar,L_Versiejaar,P_VJ,L_Versie,Sel_Versie,L_Kengetal,"BOR FY")=0,"n.b.",SUMIFS(L_Waarde,L_Actief,1,L_WBS,$A100,L_Doeljaar,Sel_Doeljaar,L_Versiejaar,P_VJ,L_Versie,Sel_Versie,L_Kengetal,"BOR FY"))/P_Factor,IF(COUNTIFS(L_Actief,1,L_WBS,$A100,L_Doeljaar,Sel_Doeljaar,L_Versiejaar,P_VJ,L_Versie,Sel_Versie,L_Kengetal,"BOR FY")=0,"n.b.",SUMIFS(L_Waarde,L_Actief,1,L_WBS,$A100,L_Doeljaar,Sel_Doeljaar,L_Versiejaar,P_VJ,L_Versie,Sel_Versie,L_Kengetal,"BOR FY"))),IF(Sel_Bron="Concept",IF(ISNUMBER(IF(Sel_Doeljaar=P_RJ,VERW_Project!$Q96,IF(Sel_Doeljaar=P_RJ+1,VERW_Project!$S96,"n.b."))),IF(Sel_Doeljaar=P_RJ,VERW_Project!$Q96,IF(Sel_Doeljaar=P_RJ+1,VERW_Project!$S96,"n.b."))/P_Factor,IF(Sel_Doeljaar=P_RJ,VERW_Project!$Q96,IF(Sel_Doeljaar=P_RJ+1,VERW_Project!$S96,"n.b."))),"n.b.")))</f>
        <v/>
      </c>
      <c r="O100" s="63" t="str">
        <f>IF($A100="","",IF(AND(ISNUMBER(N100),ISNUMBER(K100)),IF(K100&lt;&gt;0,N100/K100,"n.b."),"n.b."))</f>
        <v/>
      </c>
      <c r="P100" s="41" t="str">
        <f>IF($A100="","",IF(AND(ISNUMBER(K100),ISNUMBER(E100)),K100-E100,"n.b."))</f>
        <v/>
      </c>
      <c r="Q100" s="41" t="str">
        <f>IF($A100="","",IF(AND(ISNUMBER(K100),ISNUMBER(W100)),K100-W100,"n.b."))</f>
        <v/>
      </c>
      <c r="R100" s="64" t="str">
        <f>IF($A100="","",IF(ISNUMBER(N100),IF(N100&lt;0,"Verlies",""),""))</f>
        <v/>
      </c>
      <c r="S100" s="61" t="str">
        <f>IF($A100="","",IFERROR(INDEX(T_Txt,MATCH($A100&amp;"|"&amp;Sel_Doeljaar&amp;"|"&amp;P_VJ&amp;"|"&amp;Sel_Versie,T_Key,0)),""))</f>
        <v/>
      </c>
      <c r="U100" s="15" t="str">
        <f>IF(AND(AND($A100&lt;&gt;"",OR(Sel_Type="Alle",$C100=Sel_Type),OR(Sel_Project="Alle",$B100=Sel_Project)),ISNUMBER(K100)),K100+ROW()/1000000000,"")</f>
        <v/>
      </c>
      <c r="V100" s="15" t="str">
        <f>IF(AND(AND($A100&lt;&gt;"",OR(Sel_Type="Alle",$C100=Sel_Type),OR(Sel_Project="Alle",$B100=Sel_Project)),ISNUMBER(Q100)),ABS(Q100)+ROW()/1000000000,"")</f>
        <v/>
      </c>
      <c r="W100" s="15" t="str">
        <f>IF(OR($A100="",Sel_Prev=""),"n.b.",IF(ISNUMBER(IF(COUNTIFS(L_Actief,1,L_WBS,$A100,L_Doeljaar,Sel_Doeljaar,L_Versiejaar,P_VJ,L_Versie,Sel_Prev,L_Kengetal,"Omzet FY")=0,"n.b.",SUMIFS(L_Waarde,L_Actief,1,L_WBS,$A100,L_Doeljaar,Sel_Doeljaar,L_Versiejaar,P_VJ,L_Versie,Sel_Prev,L_Kengetal,"Omzet FY"))),IF(COUNTIFS(L_Actief,1,L_WBS,$A100,L_Doeljaar,Sel_Doeljaar,L_Versiejaar,P_VJ,L_Versie,Sel_Prev,L_Kengetal,"Omzet FY")=0,"n.b.",SUMIFS(L_Waarde,L_Actief,1,L_WBS,$A100,L_Doeljaar,Sel_Doeljaar,L_Versiejaar,P_VJ,L_Versie,Sel_Prev,L_Kengetal,"Omzet FY"))/P_Factor,IF(COUNTIFS(L_Actief,1,L_WBS,$A100,L_Doeljaar,Sel_Doeljaar,L_Versiejaar,P_VJ,L_Versie,Sel_Prev,L_Kengetal,"Omzet FY")=0,"n.b.",SUMIFS(L_Waarde,L_Actief,1,L_WBS,$A100,L_Doeljaar,Sel_Doeljaar,L_Versiejaar,P_VJ,L_Versie,Sel_Prev,L_Kengetal,"Omzet FY"))))</f>
        <v>n.b.</v>
      </c>
    </row>
    <row r="101">
      <c r="A101" s="61" t="str">
        <f>IF(VERW_Project!$A97="","",VERW_Project!$A97)</f>
        <v/>
      </c>
      <c r="B101" s="61" t="str">
        <f>IF($A101="","",VERW_Project!$C97)</f>
        <v/>
      </c>
      <c r="C101" s="61" t="str">
        <f>IF($A101="","",VERW_Project!$D97)</f>
        <v/>
      </c>
      <c r="D101" s="61" t="str">
        <f>IF($A101="","",VERW_Project!$I97)</f>
        <v/>
      </c>
      <c r="E101" s="41" t="str">
        <f>IF($A101="","",IF(ISNUMBER(IF(COUNTIFS(L_Actief,1,L_WBS,$A101,L_Doeljaar,Sel_Doeljaar,L_Versiejaar,P_VJ,L_Versie,E$8,L_Kengetal,"Omzet FY")=0,"n.b.",SUMIFS(L_Waarde,L_Actief,1,L_WBS,$A101,L_Doeljaar,Sel_Doeljaar,L_Versiejaar,P_VJ,L_Versie,E$8,L_Kengetal,"Omzet FY"))),IF(COUNTIFS(L_Actief,1,L_WBS,$A101,L_Doeljaar,Sel_Doeljaar,L_Versiejaar,P_VJ,L_Versie,E$8,L_Kengetal,"Omzet FY")=0,"n.b.",SUMIFS(L_Waarde,L_Actief,1,L_WBS,$A101,L_Doeljaar,Sel_Doeljaar,L_Versiejaar,P_VJ,L_Versie,E$8,L_Kengetal,"Omzet FY"))/P_Factor,IF(COUNTIFS(L_Actief,1,L_WBS,$A101,L_Doeljaar,Sel_Doeljaar,L_Versiejaar,P_VJ,L_Versie,E$8,L_Kengetal,"Omzet FY")=0,"n.b.",SUMIFS(L_Waarde,L_Actief,1,L_WBS,$A101,L_Doeljaar,Sel_Doeljaar,L_Versiejaar,P_VJ,L_Versie,E$8,L_Kengetal,"Omzet FY"))))</f>
        <v/>
      </c>
      <c r="F101" s="41" t="str">
        <f>IF($A101="","",IF(ISNUMBER(IF(COUNTIFS(L_Actief,1,L_WBS,$A101,L_Doeljaar,Sel_Doeljaar,L_Versiejaar,P_VJ,L_Versie,F$8,L_Kengetal,"Omzet FY")=0,"n.b.",SUMIFS(L_Waarde,L_Actief,1,L_WBS,$A101,L_Doeljaar,Sel_Doeljaar,L_Versiejaar,P_VJ,L_Versie,F$8,L_Kengetal,"Omzet FY"))),IF(COUNTIFS(L_Actief,1,L_WBS,$A101,L_Doeljaar,Sel_Doeljaar,L_Versiejaar,P_VJ,L_Versie,F$8,L_Kengetal,"Omzet FY")=0,"n.b.",SUMIFS(L_Waarde,L_Actief,1,L_WBS,$A101,L_Doeljaar,Sel_Doeljaar,L_Versiejaar,P_VJ,L_Versie,F$8,L_Kengetal,"Omzet FY"))/P_Factor,IF(COUNTIFS(L_Actief,1,L_WBS,$A101,L_Doeljaar,Sel_Doeljaar,L_Versiejaar,P_VJ,L_Versie,F$8,L_Kengetal,"Omzet FY")=0,"n.b.",SUMIFS(L_Waarde,L_Actief,1,L_WBS,$A101,L_Doeljaar,Sel_Doeljaar,L_Versiejaar,P_VJ,L_Versie,F$8,L_Kengetal,"Omzet FY"))))</f>
        <v/>
      </c>
      <c r="G101" s="41" t="str">
        <f>IF($A101="","",IF(ISNUMBER(IF(COUNTIFS(L_Actief,1,L_WBS,$A101,L_Doeljaar,Sel_Doeljaar,L_Versiejaar,P_VJ,L_Versie,G$8,L_Kengetal,"Omzet FY")=0,"n.b.",SUMIFS(L_Waarde,L_Actief,1,L_WBS,$A101,L_Doeljaar,Sel_Doeljaar,L_Versiejaar,P_VJ,L_Versie,G$8,L_Kengetal,"Omzet FY"))),IF(COUNTIFS(L_Actief,1,L_WBS,$A101,L_Doeljaar,Sel_Doeljaar,L_Versiejaar,P_VJ,L_Versie,G$8,L_Kengetal,"Omzet FY")=0,"n.b.",SUMIFS(L_Waarde,L_Actief,1,L_WBS,$A101,L_Doeljaar,Sel_Doeljaar,L_Versiejaar,P_VJ,L_Versie,G$8,L_Kengetal,"Omzet FY"))/P_Factor,IF(COUNTIFS(L_Actief,1,L_WBS,$A101,L_Doeljaar,Sel_Doeljaar,L_Versiejaar,P_VJ,L_Versie,G$8,L_Kengetal,"Omzet FY")=0,"n.b.",SUMIFS(L_Waarde,L_Actief,1,L_WBS,$A101,L_Doeljaar,Sel_Doeljaar,L_Versiejaar,P_VJ,L_Versie,G$8,L_Kengetal,"Omzet FY"))))</f>
        <v/>
      </c>
      <c r="H101" s="41" t="str">
        <f>IF($A101="","",IF(ISNUMBER(IF(COUNTIFS(L_Actief,1,L_WBS,$A101,L_Doeljaar,Sel_Doeljaar,L_Versiejaar,P_VJ,L_Versie,H$8,L_Kengetal,"Omzet FY")=0,"n.b.",SUMIFS(L_Waarde,L_Actief,1,L_WBS,$A101,L_Doeljaar,Sel_Doeljaar,L_Versiejaar,P_VJ,L_Versie,H$8,L_Kengetal,"Omzet FY"))),IF(COUNTIFS(L_Actief,1,L_WBS,$A101,L_Doeljaar,Sel_Doeljaar,L_Versiejaar,P_VJ,L_Versie,H$8,L_Kengetal,"Omzet FY")=0,"n.b.",SUMIFS(L_Waarde,L_Actief,1,L_WBS,$A101,L_Doeljaar,Sel_Doeljaar,L_Versiejaar,P_VJ,L_Versie,H$8,L_Kengetal,"Omzet FY"))/P_Factor,IF(COUNTIFS(L_Actief,1,L_WBS,$A101,L_Doeljaar,Sel_Doeljaar,L_Versiejaar,P_VJ,L_Versie,H$8,L_Kengetal,"Omzet FY")=0,"n.b.",SUMIFS(L_Waarde,L_Actief,1,L_WBS,$A101,L_Doeljaar,Sel_Doeljaar,L_Versiejaar,P_VJ,L_Versie,H$8,L_Kengetal,"Omzet FY"))))</f>
        <v/>
      </c>
      <c r="I101" s="41" t="str">
        <f>IF($A101="","",IF(ISNUMBER(IF(COUNTIFS(L_Actief,1,L_WBS,$A101,L_Doeljaar,Sel_Doeljaar,L_Versiejaar,P_VJ,L_Versie,I$8,L_Kengetal,"Omzet FY")=0,"n.b.",SUMIFS(L_Waarde,L_Actief,1,L_WBS,$A101,L_Doeljaar,Sel_Doeljaar,L_Versiejaar,P_VJ,L_Versie,I$8,L_Kengetal,"Omzet FY"))),IF(COUNTIFS(L_Actief,1,L_WBS,$A101,L_Doeljaar,Sel_Doeljaar,L_Versiejaar,P_VJ,L_Versie,I$8,L_Kengetal,"Omzet FY")=0,"n.b.",SUMIFS(L_Waarde,L_Actief,1,L_WBS,$A101,L_Doeljaar,Sel_Doeljaar,L_Versiejaar,P_VJ,L_Versie,I$8,L_Kengetal,"Omzet FY"))/P_Factor,IF(COUNTIFS(L_Actief,1,L_WBS,$A101,L_Doeljaar,Sel_Doeljaar,L_Versiejaar,P_VJ,L_Versie,I$8,L_Kengetal,"Omzet FY")=0,"n.b.",SUMIFS(L_Waarde,L_Actief,1,L_WBS,$A101,L_Doeljaar,Sel_Doeljaar,L_Versiejaar,P_VJ,L_Versie,I$8,L_Kengetal,"Omzet FY"))))</f>
        <v/>
      </c>
      <c r="J101" s="41" t="str">
        <f>IF($A101="","",IF(ISNUMBER(IF(Sel_Doeljaar=P_RJ,VERW_Project!$P97,IF(Sel_Doeljaar=P_RJ+1,VERW_Project!$R97,"n.b."))),IF(Sel_Doeljaar=P_RJ,VERW_Project!$P97,IF(Sel_Doeljaar=P_RJ+1,VERW_Project!$R97,"n.b."))/P_Factor,IF(Sel_Doeljaar=P_RJ,VERW_Project!$P97,IF(Sel_Doeljaar=P_RJ+1,VERW_Project!$R97,"n.b."))))</f>
        <v/>
      </c>
      <c r="K101" s="41" t="str">
        <f>IF($A101="","",IF(Sel_Bron="Vastgesteld",INDEX($E101:$I101,MATCH(Sel_Versie,$E$8:$I$8,0)),IF(Sel_Bron="Concept",J101,"n.b.")))</f>
        <v/>
      </c>
      <c r="L101" s="62" t="str">
        <f>IF($A101="","",IF(Sel_Doeljaar&gt;P_VJ,"n.v.t.",IF(Sel_Bron="Vastgesteld",IF(ISNUMBER(IF(COUNTIFS(L_Actief,1,L_WBS,$A101,L_Doeljaar,Sel_Doeljaar,L_Versiejaar,P_VJ,L_Versie,Sel_Versie,L_Kengetal,"Omzet actual YTD")=0,"n.b.",SUMIFS(L_Waarde,L_Actief,1,L_WBS,$A101,L_Doeljaar,Sel_Doeljaar,L_Versiejaar,P_VJ,L_Versie,Sel_Versie,L_Kengetal,"Omzet actual YTD"))),IF(COUNTIFS(L_Actief,1,L_WBS,$A101,L_Doeljaar,Sel_Doeljaar,L_Versiejaar,P_VJ,L_Versie,Sel_Versie,L_Kengetal,"Omzet actual YTD")=0,"n.b.",SUMIFS(L_Waarde,L_Actief,1,L_WBS,$A101,L_Doeljaar,Sel_Doeljaar,L_Versiejaar,P_VJ,L_Versie,Sel_Versie,L_Kengetal,"Omzet actual YTD"))/P_Factor,IF(COUNTIFS(L_Actief,1,L_WBS,$A101,L_Doeljaar,Sel_Doeljaar,L_Versiejaar,P_VJ,L_Versie,Sel_Versie,L_Kengetal,"Omzet actual YTD")=0,"n.b.",SUMIFS(L_Waarde,L_Actief,1,L_WBS,$A101,L_Doeljaar,Sel_Doeljaar,L_Versiejaar,P_VJ,L_Versie,Sel_Versie,L_Kengetal,"Omzet actual YTD"))),IF(Sel_Bron="Concept",IF(ISNUMBER(IF(Sel_Doeljaar=P_RJ,VERW_Project!$L97,"n.v.t.")),IF(Sel_Doeljaar=P_RJ,VERW_Project!$L97,"n.v.t.")/P_Factor,IF(Sel_Doeljaar=P_RJ,VERW_Project!$L97,"n.v.t.")),"n.b."))))</f>
        <v/>
      </c>
      <c r="M101" s="41" t="str">
        <f>IF($A101="","",IF(L101="n.v.t.",K101,IF(AND(ISNUMBER(K101),ISNUMBER(L101)),K101-L101,"n.b.")))</f>
        <v/>
      </c>
      <c r="N101" s="41" t="str">
        <f>IF($A101="","",IF(Sel_Bron="Vastgesteld",IF(ISNUMBER(IF(COUNTIFS(L_Actief,1,L_WBS,$A101,L_Doeljaar,Sel_Doeljaar,L_Versiejaar,P_VJ,L_Versie,Sel_Versie,L_Kengetal,"BOR FY")=0,"n.b.",SUMIFS(L_Waarde,L_Actief,1,L_WBS,$A101,L_Doeljaar,Sel_Doeljaar,L_Versiejaar,P_VJ,L_Versie,Sel_Versie,L_Kengetal,"BOR FY"))),IF(COUNTIFS(L_Actief,1,L_WBS,$A101,L_Doeljaar,Sel_Doeljaar,L_Versiejaar,P_VJ,L_Versie,Sel_Versie,L_Kengetal,"BOR FY")=0,"n.b.",SUMIFS(L_Waarde,L_Actief,1,L_WBS,$A101,L_Doeljaar,Sel_Doeljaar,L_Versiejaar,P_VJ,L_Versie,Sel_Versie,L_Kengetal,"BOR FY"))/P_Factor,IF(COUNTIFS(L_Actief,1,L_WBS,$A101,L_Doeljaar,Sel_Doeljaar,L_Versiejaar,P_VJ,L_Versie,Sel_Versie,L_Kengetal,"BOR FY")=0,"n.b.",SUMIFS(L_Waarde,L_Actief,1,L_WBS,$A101,L_Doeljaar,Sel_Doeljaar,L_Versiejaar,P_VJ,L_Versie,Sel_Versie,L_Kengetal,"BOR FY"))),IF(Sel_Bron="Concept",IF(ISNUMBER(IF(Sel_Doeljaar=P_RJ,VERW_Project!$Q97,IF(Sel_Doeljaar=P_RJ+1,VERW_Project!$S97,"n.b."))),IF(Sel_Doeljaar=P_RJ,VERW_Project!$Q97,IF(Sel_Doeljaar=P_RJ+1,VERW_Project!$S97,"n.b."))/P_Factor,IF(Sel_Doeljaar=P_RJ,VERW_Project!$Q97,IF(Sel_Doeljaar=P_RJ+1,VERW_Project!$S97,"n.b."))),"n.b.")))</f>
        <v/>
      </c>
      <c r="O101" s="63" t="str">
        <f>IF($A101="","",IF(AND(ISNUMBER(N101),ISNUMBER(K101)),IF(K101&lt;&gt;0,N101/K101,"n.b."),"n.b."))</f>
        <v/>
      </c>
      <c r="P101" s="41" t="str">
        <f>IF($A101="","",IF(AND(ISNUMBER(K101),ISNUMBER(E101)),K101-E101,"n.b."))</f>
        <v/>
      </c>
      <c r="Q101" s="41" t="str">
        <f>IF($A101="","",IF(AND(ISNUMBER(K101),ISNUMBER(W101)),K101-W101,"n.b."))</f>
        <v/>
      </c>
      <c r="R101" s="64" t="str">
        <f>IF($A101="","",IF(ISNUMBER(N101),IF(N101&lt;0,"Verlies",""),""))</f>
        <v/>
      </c>
      <c r="S101" s="61" t="str">
        <f>IF($A101="","",IFERROR(INDEX(T_Txt,MATCH($A101&amp;"|"&amp;Sel_Doeljaar&amp;"|"&amp;P_VJ&amp;"|"&amp;Sel_Versie,T_Key,0)),""))</f>
        <v/>
      </c>
      <c r="U101" s="15" t="str">
        <f>IF(AND(AND($A101&lt;&gt;"",OR(Sel_Type="Alle",$C101=Sel_Type),OR(Sel_Project="Alle",$B101=Sel_Project)),ISNUMBER(K101)),K101+ROW()/1000000000,"")</f>
        <v/>
      </c>
      <c r="V101" s="15" t="str">
        <f>IF(AND(AND($A101&lt;&gt;"",OR(Sel_Type="Alle",$C101=Sel_Type),OR(Sel_Project="Alle",$B101=Sel_Project)),ISNUMBER(Q101)),ABS(Q101)+ROW()/1000000000,"")</f>
        <v/>
      </c>
      <c r="W101" s="15" t="str">
        <f>IF(OR($A101="",Sel_Prev=""),"n.b.",IF(ISNUMBER(IF(COUNTIFS(L_Actief,1,L_WBS,$A101,L_Doeljaar,Sel_Doeljaar,L_Versiejaar,P_VJ,L_Versie,Sel_Prev,L_Kengetal,"Omzet FY")=0,"n.b.",SUMIFS(L_Waarde,L_Actief,1,L_WBS,$A101,L_Doeljaar,Sel_Doeljaar,L_Versiejaar,P_VJ,L_Versie,Sel_Prev,L_Kengetal,"Omzet FY"))),IF(COUNTIFS(L_Actief,1,L_WBS,$A101,L_Doeljaar,Sel_Doeljaar,L_Versiejaar,P_VJ,L_Versie,Sel_Prev,L_Kengetal,"Omzet FY")=0,"n.b.",SUMIFS(L_Waarde,L_Actief,1,L_WBS,$A101,L_Doeljaar,Sel_Doeljaar,L_Versiejaar,P_VJ,L_Versie,Sel_Prev,L_Kengetal,"Omzet FY"))/P_Factor,IF(COUNTIFS(L_Actief,1,L_WBS,$A101,L_Doeljaar,Sel_Doeljaar,L_Versiejaar,P_VJ,L_Versie,Sel_Prev,L_Kengetal,"Omzet FY")=0,"n.b.",SUMIFS(L_Waarde,L_Actief,1,L_WBS,$A101,L_Doeljaar,Sel_Doeljaar,L_Versiejaar,P_VJ,L_Versie,Sel_Prev,L_Kengetal,"Omzet FY"))))</f>
        <v>n.b.</v>
      </c>
    </row>
    <row r="102">
      <c r="A102" s="61" t="str">
        <f>IF(VERW_Project!$A98="","",VERW_Project!$A98)</f>
        <v/>
      </c>
      <c r="B102" s="61" t="str">
        <f>IF($A102="","",VERW_Project!$C98)</f>
        <v/>
      </c>
      <c r="C102" s="61" t="str">
        <f>IF($A102="","",VERW_Project!$D98)</f>
        <v/>
      </c>
      <c r="D102" s="61" t="str">
        <f>IF($A102="","",VERW_Project!$I98)</f>
        <v/>
      </c>
      <c r="E102" s="41" t="str">
        <f>IF($A102="","",IF(ISNUMBER(IF(COUNTIFS(L_Actief,1,L_WBS,$A102,L_Doeljaar,Sel_Doeljaar,L_Versiejaar,P_VJ,L_Versie,E$8,L_Kengetal,"Omzet FY")=0,"n.b.",SUMIFS(L_Waarde,L_Actief,1,L_WBS,$A102,L_Doeljaar,Sel_Doeljaar,L_Versiejaar,P_VJ,L_Versie,E$8,L_Kengetal,"Omzet FY"))),IF(COUNTIFS(L_Actief,1,L_WBS,$A102,L_Doeljaar,Sel_Doeljaar,L_Versiejaar,P_VJ,L_Versie,E$8,L_Kengetal,"Omzet FY")=0,"n.b.",SUMIFS(L_Waarde,L_Actief,1,L_WBS,$A102,L_Doeljaar,Sel_Doeljaar,L_Versiejaar,P_VJ,L_Versie,E$8,L_Kengetal,"Omzet FY"))/P_Factor,IF(COUNTIFS(L_Actief,1,L_WBS,$A102,L_Doeljaar,Sel_Doeljaar,L_Versiejaar,P_VJ,L_Versie,E$8,L_Kengetal,"Omzet FY")=0,"n.b.",SUMIFS(L_Waarde,L_Actief,1,L_WBS,$A102,L_Doeljaar,Sel_Doeljaar,L_Versiejaar,P_VJ,L_Versie,E$8,L_Kengetal,"Omzet FY"))))</f>
        <v/>
      </c>
      <c r="F102" s="41" t="str">
        <f>IF($A102="","",IF(ISNUMBER(IF(COUNTIFS(L_Actief,1,L_WBS,$A102,L_Doeljaar,Sel_Doeljaar,L_Versiejaar,P_VJ,L_Versie,F$8,L_Kengetal,"Omzet FY")=0,"n.b.",SUMIFS(L_Waarde,L_Actief,1,L_WBS,$A102,L_Doeljaar,Sel_Doeljaar,L_Versiejaar,P_VJ,L_Versie,F$8,L_Kengetal,"Omzet FY"))),IF(COUNTIFS(L_Actief,1,L_WBS,$A102,L_Doeljaar,Sel_Doeljaar,L_Versiejaar,P_VJ,L_Versie,F$8,L_Kengetal,"Omzet FY")=0,"n.b.",SUMIFS(L_Waarde,L_Actief,1,L_WBS,$A102,L_Doeljaar,Sel_Doeljaar,L_Versiejaar,P_VJ,L_Versie,F$8,L_Kengetal,"Omzet FY"))/P_Factor,IF(COUNTIFS(L_Actief,1,L_WBS,$A102,L_Doeljaar,Sel_Doeljaar,L_Versiejaar,P_VJ,L_Versie,F$8,L_Kengetal,"Omzet FY")=0,"n.b.",SUMIFS(L_Waarde,L_Actief,1,L_WBS,$A102,L_Doeljaar,Sel_Doeljaar,L_Versiejaar,P_VJ,L_Versie,F$8,L_Kengetal,"Omzet FY"))))</f>
        <v/>
      </c>
      <c r="G102" s="41" t="str">
        <f>IF($A102="","",IF(ISNUMBER(IF(COUNTIFS(L_Actief,1,L_WBS,$A102,L_Doeljaar,Sel_Doeljaar,L_Versiejaar,P_VJ,L_Versie,G$8,L_Kengetal,"Omzet FY")=0,"n.b.",SUMIFS(L_Waarde,L_Actief,1,L_WBS,$A102,L_Doeljaar,Sel_Doeljaar,L_Versiejaar,P_VJ,L_Versie,G$8,L_Kengetal,"Omzet FY"))),IF(COUNTIFS(L_Actief,1,L_WBS,$A102,L_Doeljaar,Sel_Doeljaar,L_Versiejaar,P_VJ,L_Versie,G$8,L_Kengetal,"Omzet FY")=0,"n.b.",SUMIFS(L_Waarde,L_Actief,1,L_WBS,$A102,L_Doeljaar,Sel_Doeljaar,L_Versiejaar,P_VJ,L_Versie,G$8,L_Kengetal,"Omzet FY"))/P_Factor,IF(COUNTIFS(L_Actief,1,L_WBS,$A102,L_Doeljaar,Sel_Doeljaar,L_Versiejaar,P_VJ,L_Versie,G$8,L_Kengetal,"Omzet FY")=0,"n.b.",SUMIFS(L_Waarde,L_Actief,1,L_WBS,$A102,L_Doeljaar,Sel_Doeljaar,L_Versiejaar,P_VJ,L_Versie,G$8,L_Kengetal,"Omzet FY"))))</f>
        <v/>
      </c>
      <c r="H102" s="41" t="str">
        <f>IF($A102="","",IF(ISNUMBER(IF(COUNTIFS(L_Actief,1,L_WBS,$A102,L_Doeljaar,Sel_Doeljaar,L_Versiejaar,P_VJ,L_Versie,H$8,L_Kengetal,"Omzet FY")=0,"n.b.",SUMIFS(L_Waarde,L_Actief,1,L_WBS,$A102,L_Doeljaar,Sel_Doeljaar,L_Versiejaar,P_VJ,L_Versie,H$8,L_Kengetal,"Omzet FY"))),IF(COUNTIFS(L_Actief,1,L_WBS,$A102,L_Doeljaar,Sel_Doeljaar,L_Versiejaar,P_VJ,L_Versie,H$8,L_Kengetal,"Omzet FY")=0,"n.b.",SUMIFS(L_Waarde,L_Actief,1,L_WBS,$A102,L_Doeljaar,Sel_Doeljaar,L_Versiejaar,P_VJ,L_Versie,H$8,L_Kengetal,"Omzet FY"))/P_Factor,IF(COUNTIFS(L_Actief,1,L_WBS,$A102,L_Doeljaar,Sel_Doeljaar,L_Versiejaar,P_VJ,L_Versie,H$8,L_Kengetal,"Omzet FY")=0,"n.b.",SUMIFS(L_Waarde,L_Actief,1,L_WBS,$A102,L_Doeljaar,Sel_Doeljaar,L_Versiejaar,P_VJ,L_Versie,H$8,L_Kengetal,"Omzet FY"))))</f>
        <v/>
      </c>
      <c r="I102" s="41" t="str">
        <f>IF($A102="","",IF(ISNUMBER(IF(COUNTIFS(L_Actief,1,L_WBS,$A102,L_Doeljaar,Sel_Doeljaar,L_Versiejaar,P_VJ,L_Versie,I$8,L_Kengetal,"Omzet FY")=0,"n.b.",SUMIFS(L_Waarde,L_Actief,1,L_WBS,$A102,L_Doeljaar,Sel_Doeljaar,L_Versiejaar,P_VJ,L_Versie,I$8,L_Kengetal,"Omzet FY"))),IF(COUNTIFS(L_Actief,1,L_WBS,$A102,L_Doeljaar,Sel_Doeljaar,L_Versiejaar,P_VJ,L_Versie,I$8,L_Kengetal,"Omzet FY")=0,"n.b.",SUMIFS(L_Waarde,L_Actief,1,L_WBS,$A102,L_Doeljaar,Sel_Doeljaar,L_Versiejaar,P_VJ,L_Versie,I$8,L_Kengetal,"Omzet FY"))/P_Factor,IF(COUNTIFS(L_Actief,1,L_WBS,$A102,L_Doeljaar,Sel_Doeljaar,L_Versiejaar,P_VJ,L_Versie,I$8,L_Kengetal,"Omzet FY")=0,"n.b.",SUMIFS(L_Waarde,L_Actief,1,L_WBS,$A102,L_Doeljaar,Sel_Doeljaar,L_Versiejaar,P_VJ,L_Versie,I$8,L_Kengetal,"Omzet FY"))))</f>
        <v/>
      </c>
      <c r="J102" s="41" t="str">
        <f>IF($A102="","",IF(ISNUMBER(IF(Sel_Doeljaar=P_RJ,VERW_Project!$P98,IF(Sel_Doeljaar=P_RJ+1,VERW_Project!$R98,"n.b."))),IF(Sel_Doeljaar=P_RJ,VERW_Project!$P98,IF(Sel_Doeljaar=P_RJ+1,VERW_Project!$R98,"n.b."))/P_Factor,IF(Sel_Doeljaar=P_RJ,VERW_Project!$P98,IF(Sel_Doeljaar=P_RJ+1,VERW_Project!$R98,"n.b."))))</f>
        <v/>
      </c>
      <c r="K102" s="41" t="str">
        <f>IF($A102="","",IF(Sel_Bron="Vastgesteld",INDEX($E102:$I102,MATCH(Sel_Versie,$E$8:$I$8,0)),IF(Sel_Bron="Concept",J102,"n.b.")))</f>
        <v/>
      </c>
      <c r="L102" s="62" t="str">
        <f>IF($A102="","",IF(Sel_Doeljaar&gt;P_VJ,"n.v.t.",IF(Sel_Bron="Vastgesteld",IF(ISNUMBER(IF(COUNTIFS(L_Actief,1,L_WBS,$A102,L_Doeljaar,Sel_Doeljaar,L_Versiejaar,P_VJ,L_Versie,Sel_Versie,L_Kengetal,"Omzet actual YTD")=0,"n.b.",SUMIFS(L_Waarde,L_Actief,1,L_WBS,$A102,L_Doeljaar,Sel_Doeljaar,L_Versiejaar,P_VJ,L_Versie,Sel_Versie,L_Kengetal,"Omzet actual YTD"))),IF(COUNTIFS(L_Actief,1,L_WBS,$A102,L_Doeljaar,Sel_Doeljaar,L_Versiejaar,P_VJ,L_Versie,Sel_Versie,L_Kengetal,"Omzet actual YTD")=0,"n.b.",SUMIFS(L_Waarde,L_Actief,1,L_WBS,$A102,L_Doeljaar,Sel_Doeljaar,L_Versiejaar,P_VJ,L_Versie,Sel_Versie,L_Kengetal,"Omzet actual YTD"))/P_Factor,IF(COUNTIFS(L_Actief,1,L_WBS,$A102,L_Doeljaar,Sel_Doeljaar,L_Versiejaar,P_VJ,L_Versie,Sel_Versie,L_Kengetal,"Omzet actual YTD")=0,"n.b.",SUMIFS(L_Waarde,L_Actief,1,L_WBS,$A102,L_Doeljaar,Sel_Doeljaar,L_Versiejaar,P_VJ,L_Versie,Sel_Versie,L_Kengetal,"Omzet actual YTD"))),IF(Sel_Bron="Concept",IF(ISNUMBER(IF(Sel_Doeljaar=P_RJ,VERW_Project!$L98,"n.v.t.")),IF(Sel_Doeljaar=P_RJ,VERW_Project!$L98,"n.v.t.")/P_Factor,IF(Sel_Doeljaar=P_RJ,VERW_Project!$L98,"n.v.t.")),"n.b."))))</f>
        <v/>
      </c>
      <c r="M102" s="41" t="str">
        <f>IF($A102="","",IF(L102="n.v.t.",K102,IF(AND(ISNUMBER(K102),ISNUMBER(L102)),K102-L102,"n.b.")))</f>
        <v/>
      </c>
      <c r="N102" s="41" t="str">
        <f>IF($A102="","",IF(Sel_Bron="Vastgesteld",IF(ISNUMBER(IF(COUNTIFS(L_Actief,1,L_WBS,$A102,L_Doeljaar,Sel_Doeljaar,L_Versiejaar,P_VJ,L_Versie,Sel_Versie,L_Kengetal,"BOR FY")=0,"n.b.",SUMIFS(L_Waarde,L_Actief,1,L_WBS,$A102,L_Doeljaar,Sel_Doeljaar,L_Versiejaar,P_VJ,L_Versie,Sel_Versie,L_Kengetal,"BOR FY"))),IF(COUNTIFS(L_Actief,1,L_WBS,$A102,L_Doeljaar,Sel_Doeljaar,L_Versiejaar,P_VJ,L_Versie,Sel_Versie,L_Kengetal,"BOR FY")=0,"n.b.",SUMIFS(L_Waarde,L_Actief,1,L_WBS,$A102,L_Doeljaar,Sel_Doeljaar,L_Versiejaar,P_VJ,L_Versie,Sel_Versie,L_Kengetal,"BOR FY"))/P_Factor,IF(COUNTIFS(L_Actief,1,L_WBS,$A102,L_Doeljaar,Sel_Doeljaar,L_Versiejaar,P_VJ,L_Versie,Sel_Versie,L_Kengetal,"BOR FY")=0,"n.b.",SUMIFS(L_Waarde,L_Actief,1,L_WBS,$A102,L_Doeljaar,Sel_Doeljaar,L_Versiejaar,P_VJ,L_Versie,Sel_Versie,L_Kengetal,"BOR FY"))),IF(Sel_Bron="Concept",IF(ISNUMBER(IF(Sel_Doeljaar=P_RJ,VERW_Project!$Q98,IF(Sel_Doeljaar=P_RJ+1,VERW_Project!$S98,"n.b."))),IF(Sel_Doeljaar=P_RJ,VERW_Project!$Q98,IF(Sel_Doeljaar=P_RJ+1,VERW_Project!$S98,"n.b."))/P_Factor,IF(Sel_Doeljaar=P_RJ,VERW_Project!$Q98,IF(Sel_Doeljaar=P_RJ+1,VERW_Project!$S98,"n.b."))),"n.b.")))</f>
        <v/>
      </c>
      <c r="O102" s="63" t="str">
        <f>IF($A102="","",IF(AND(ISNUMBER(N102),ISNUMBER(K102)),IF(K102&lt;&gt;0,N102/K102,"n.b."),"n.b."))</f>
        <v/>
      </c>
      <c r="P102" s="41" t="str">
        <f>IF($A102="","",IF(AND(ISNUMBER(K102),ISNUMBER(E102)),K102-E102,"n.b."))</f>
        <v/>
      </c>
      <c r="Q102" s="41" t="str">
        <f>IF($A102="","",IF(AND(ISNUMBER(K102),ISNUMBER(W102)),K102-W102,"n.b."))</f>
        <v/>
      </c>
      <c r="R102" s="64" t="str">
        <f>IF($A102="","",IF(ISNUMBER(N102),IF(N102&lt;0,"Verlies",""),""))</f>
        <v/>
      </c>
      <c r="S102" s="61" t="str">
        <f>IF($A102="","",IFERROR(INDEX(T_Txt,MATCH($A102&amp;"|"&amp;Sel_Doeljaar&amp;"|"&amp;P_VJ&amp;"|"&amp;Sel_Versie,T_Key,0)),""))</f>
        <v/>
      </c>
      <c r="U102" s="15" t="str">
        <f>IF(AND(AND($A102&lt;&gt;"",OR(Sel_Type="Alle",$C102=Sel_Type),OR(Sel_Project="Alle",$B102=Sel_Project)),ISNUMBER(K102)),K102+ROW()/1000000000,"")</f>
        <v/>
      </c>
      <c r="V102" s="15" t="str">
        <f>IF(AND(AND($A102&lt;&gt;"",OR(Sel_Type="Alle",$C102=Sel_Type),OR(Sel_Project="Alle",$B102=Sel_Project)),ISNUMBER(Q102)),ABS(Q102)+ROW()/1000000000,"")</f>
        <v/>
      </c>
      <c r="W102" s="15" t="str">
        <f>IF(OR($A102="",Sel_Prev=""),"n.b.",IF(ISNUMBER(IF(COUNTIFS(L_Actief,1,L_WBS,$A102,L_Doeljaar,Sel_Doeljaar,L_Versiejaar,P_VJ,L_Versie,Sel_Prev,L_Kengetal,"Omzet FY")=0,"n.b.",SUMIFS(L_Waarde,L_Actief,1,L_WBS,$A102,L_Doeljaar,Sel_Doeljaar,L_Versiejaar,P_VJ,L_Versie,Sel_Prev,L_Kengetal,"Omzet FY"))),IF(COUNTIFS(L_Actief,1,L_WBS,$A102,L_Doeljaar,Sel_Doeljaar,L_Versiejaar,P_VJ,L_Versie,Sel_Prev,L_Kengetal,"Omzet FY")=0,"n.b.",SUMIFS(L_Waarde,L_Actief,1,L_WBS,$A102,L_Doeljaar,Sel_Doeljaar,L_Versiejaar,P_VJ,L_Versie,Sel_Prev,L_Kengetal,"Omzet FY"))/P_Factor,IF(COUNTIFS(L_Actief,1,L_WBS,$A102,L_Doeljaar,Sel_Doeljaar,L_Versiejaar,P_VJ,L_Versie,Sel_Prev,L_Kengetal,"Omzet FY")=0,"n.b.",SUMIFS(L_Waarde,L_Actief,1,L_WBS,$A102,L_Doeljaar,Sel_Doeljaar,L_Versiejaar,P_VJ,L_Versie,Sel_Prev,L_Kengetal,"Omzet FY"))))</f>
        <v>n.b.</v>
      </c>
    </row>
    <row r="103">
      <c r="A103" s="61" t="str">
        <f>IF(VERW_Project!$A99="","",VERW_Project!$A99)</f>
        <v/>
      </c>
      <c r="B103" s="61" t="str">
        <f>IF($A103="","",VERW_Project!$C99)</f>
        <v/>
      </c>
      <c r="C103" s="61" t="str">
        <f>IF($A103="","",VERW_Project!$D99)</f>
        <v/>
      </c>
      <c r="D103" s="61" t="str">
        <f>IF($A103="","",VERW_Project!$I99)</f>
        <v/>
      </c>
      <c r="E103" s="41" t="str">
        <f>IF($A103="","",IF(ISNUMBER(IF(COUNTIFS(L_Actief,1,L_WBS,$A103,L_Doeljaar,Sel_Doeljaar,L_Versiejaar,P_VJ,L_Versie,E$8,L_Kengetal,"Omzet FY")=0,"n.b.",SUMIFS(L_Waarde,L_Actief,1,L_WBS,$A103,L_Doeljaar,Sel_Doeljaar,L_Versiejaar,P_VJ,L_Versie,E$8,L_Kengetal,"Omzet FY"))),IF(COUNTIFS(L_Actief,1,L_WBS,$A103,L_Doeljaar,Sel_Doeljaar,L_Versiejaar,P_VJ,L_Versie,E$8,L_Kengetal,"Omzet FY")=0,"n.b.",SUMIFS(L_Waarde,L_Actief,1,L_WBS,$A103,L_Doeljaar,Sel_Doeljaar,L_Versiejaar,P_VJ,L_Versie,E$8,L_Kengetal,"Omzet FY"))/P_Factor,IF(COUNTIFS(L_Actief,1,L_WBS,$A103,L_Doeljaar,Sel_Doeljaar,L_Versiejaar,P_VJ,L_Versie,E$8,L_Kengetal,"Omzet FY")=0,"n.b.",SUMIFS(L_Waarde,L_Actief,1,L_WBS,$A103,L_Doeljaar,Sel_Doeljaar,L_Versiejaar,P_VJ,L_Versie,E$8,L_Kengetal,"Omzet FY"))))</f>
        <v/>
      </c>
      <c r="F103" s="41" t="str">
        <f>IF($A103="","",IF(ISNUMBER(IF(COUNTIFS(L_Actief,1,L_WBS,$A103,L_Doeljaar,Sel_Doeljaar,L_Versiejaar,P_VJ,L_Versie,F$8,L_Kengetal,"Omzet FY")=0,"n.b.",SUMIFS(L_Waarde,L_Actief,1,L_WBS,$A103,L_Doeljaar,Sel_Doeljaar,L_Versiejaar,P_VJ,L_Versie,F$8,L_Kengetal,"Omzet FY"))),IF(COUNTIFS(L_Actief,1,L_WBS,$A103,L_Doeljaar,Sel_Doeljaar,L_Versiejaar,P_VJ,L_Versie,F$8,L_Kengetal,"Omzet FY")=0,"n.b.",SUMIFS(L_Waarde,L_Actief,1,L_WBS,$A103,L_Doeljaar,Sel_Doeljaar,L_Versiejaar,P_VJ,L_Versie,F$8,L_Kengetal,"Omzet FY"))/P_Factor,IF(COUNTIFS(L_Actief,1,L_WBS,$A103,L_Doeljaar,Sel_Doeljaar,L_Versiejaar,P_VJ,L_Versie,F$8,L_Kengetal,"Omzet FY")=0,"n.b.",SUMIFS(L_Waarde,L_Actief,1,L_WBS,$A103,L_Doeljaar,Sel_Doeljaar,L_Versiejaar,P_VJ,L_Versie,F$8,L_Kengetal,"Omzet FY"))))</f>
        <v/>
      </c>
      <c r="G103" s="41" t="str">
        <f>IF($A103="","",IF(ISNUMBER(IF(COUNTIFS(L_Actief,1,L_WBS,$A103,L_Doeljaar,Sel_Doeljaar,L_Versiejaar,P_VJ,L_Versie,G$8,L_Kengetal,"Omzet FY")=0,"n.b.",SUMIFS(L_Waarde,L_Actief,1,L_WBS,$A103,L_Doeljaar,Sel_Doeljaar,L_Versiejaar,P_VJ,L_Versie,G$8,L_Kengetal,"Omzet FY"))),IF(COUNTIFS(L_Actief,1,L_WBS,$A103,L_Doeljaar,Sel_Doeljaar,L_Versiejaar,P_VJ,L_Versie,G$8,L_Kengetal,"Omzet FY")=0,"n.b.",SUMIFS(L_Waarde,L_Actief,1,L_WBS,$A103,L_Doeljaar,Sel_Doeljaar,L_Versiejaar,P_VJ,L_Versie,G$8,L_Kengetal,"Omzet FY"))/P_Factor,IF(COUNTIFS(L_Actief,1,L_WBS,$A103,L_Doeljaar,Sel_Doeljaar,L_Versiejaar,P_VJ,L_Versie,G$8,L_Kengetal,"Omzet FY")=0,"n.b.",SUMIFS(L_Waarde,L_Actief,1,L_WBS,$A103,L_Doeljaar,Sel_Doeljaar,L_Versiejaar,P_VJ,L_Versie,G$8,L_Kengetal,"Omzet FY"))))</f>
        <v/>
      </c>
      <c r="H103" s="41" t="str">
        <f>IF($A103="","",IF(ISNUMBER(IF(COUNTIFS(L_Actief,1,L_WBS,$A103,L_Doeljaar,Sel_Doeljaar,L_Versiejaar,P_VJ,L_Versie,H$8,L_Kengetal,"Omzet FY")=0,"n.b.",SUMIFS(L_Waarde,L_Actief,1,L_WBS,$A103,L_Doeljaar,Sel_Doeljaar,L_Versiejaar,P_VJ,L_Versie,H$8,L_Kengetal,"Omzet FY"))),IF(COUNTIFS(L_Actief,1,L_WBS,$A103,L_Doeljaar,Sel_Doeljaar,L_Versiejaar,P_VJ,L_Versie,H$8,L_Kengetal,"Omzet FY")=0,"n.b.",SUMIFS(L_Waarde,L_Actief,1,L_WBS,$A103,L_Doeljaar,Sel_Doeljaar,L_Versiejaar,P_VJ,L_Versie,H$8,L_Kengetal,"Omzet FY"))/P_Factor,IF(COUNTIFS(L_Actief,1,L_WBS,$A103,L_Doeljaar,Sel_Doeljaar,L_Versiejaar,P_VJ,L_Versie,H$8,L_Kengetal,"Omzet FY")=0,"n.b.",SUMIFS(L_Waarde,L_Actief,1,L_WBS,$A103,L_Doeljaar,Sel_Doeljaar,L_Versiejaar,P_VJ,L_Versie,H$8,L_Kengetal,"Omzet FY"))))</f>
        <v/>
      </c>
      <c r="I103" s="41" t="str">
        <f>IF($A103="","",IF(ISNUMBER(IF(COUNTIFS(L_Actief,1,L_WBS,$A103,L_Doeljaar,Sel_Doeljaar,L_Versiejaar,P_VJ,L_Versie,I$8,L_Kengetal,"Omzet FY")=0,"n.b.",SUMIFS(L_Waarde,L_Actief,1,L_WBS,$A103,L_Doeljaar,Sel_Doeljaar,L_Versiejaar,P_VJ,L_Versie,I$8,L_Kengetal,"Omzet FY"))),IF(COUNTIFS(L_Actief,1,L_WBS,$A103,L_Doeljaar,Sel_Doeljaar,L_Versiejaar,P_VJ,L_Versie,I$8,L_Kengetal,"Omzet FY")=0,"n.b.",SUMIFS(L_Waarde,L_Actief,1,L_WBS,$A103,L_Doeljaar,Sel_Doeljaar,L_Versiejaar,P_VJ,L_Versie,I$8,L_Kengetal,"Omzet FY"))/P_Factor,IF(COUNTIFS(L_Actief,1,L_WBS,$A103,L_Doeljaar,Sel_Doeljaar,L_Versiejaar,P_VJ,L_Versie,I$8,L_Kengetal,"Omzet FY")=0,"n.b.",SUMIFS(L_Waarde,L_Actief,1,L_WBS,$A103,L_Doeljaar,Sel_Doeljaar,L_Versiejaar,P_VJ,L_Versie,I$8,L_Kengetal,"Omzet FY"))))</f>
        <v/>
      </c>
      <c r="J103" s="41" t="str">
        <f>IF($A103="","",IF(ISNUMBER(IF(Sel_Doeljaar=P_RJ,VERW_Project!$P99,IF(Sel_Doeljaar=P_RJ+1,VERW_Project!$R99,"n.b."))),IF(Sel_Doeljaar=P_RJ,VERW_Project!$P99,IF(Sel_Doeljaar=P_RJ+1,VERW_Project!$R99,"n.b."))/P_Factor,IF(Sel_Doeljaar=P_RJ,VERW_Project!$P99,IF(Sel_Doeljaar=P_RJ+1,VERW_Project!$R99,"n.b."))))</f>
        <v/>
      </c>
      <c r="K103" s="41" t="str">
        <f>IF($A103="","",IF(Sel_Bron="Vastgesteld",INDEX($E103:$I103,MATCH(Sel_Versie,$E$8:$I$8,0)),IF(Sel_Bron="Concept",J103,"n.b.")))</f>
        <v/>
      </c>
      <c r="L103" s="62" t="str">
        <f>IF($A103="","",IF(Sel_Doeljaar&gt;P_VJ,"n.v.t.",IF(Sel_Bron="Vastgesteld",IF(ISNUMBER(IF(COUNTIFS(L_Actief,1,L_WBS,$A103,L_Doeljaar,Sel_Doeljaar,L_Versiejaar,P_VJ,L_Versie,Sel_Versie,L_Kengetal,"Omzet actual YTD")=0,"n.b.",SUMIFS(L_Waarde,L_Actief,1,L_WBS,$A103,L_Doeljaar,Sel_Doeljaar,L_Versiejaar,P_VJ,L_Versie,Sel_Versie,L_Kengetal,"Omzet actual YTD"))),IF(COUNTIFS(L_Actief,1,L_WBS,$A103,L_Doeljaar,Sel_Doeljaar,L_Versiejaar,P_VJ,L_Versie,Sel_Versie,L_Kengetal,"Omzet actual YTD")=0,"n.b.",SUMIFS(L_Waarde,L_Actief,1,L_WBS,$A103,L_Doeljaar,Sel_Doeljaar,L_Versiejaar,P_VJ,L_Versie,Sel_Versie,L_Kengetal,"Omzet actual YTD"))/P_Factor,IF(COUNTIFS(L_Actief,1,L_WBS,$A103,L_Doeljaar,Sel_Doeljaar,L_Versiejaar,P_VJ,L_Versie,Sel_Versie,L_Kengetal,"Omzet actual YTD")=0,"n.b.",SUMIFS(L_Waarde,L_Actief,1,L_WBS,$A103,L_Doeljaar,Sel_Doeljaar,L_Versiejaar,P_VJ,L_Versie,Sel_Versie,L_Kengetal,"Omzet actual YTD"))),IF(Sel_Bron="Concept",IF(ISNUMBER(IF(Sel_Doeljaar=P_RJ,VERW_Project!$L99,"n.v.t.")),IF(Sel_Doeljaar=P_RJ,VERW_Project!$L99,"n.v.t.")/P_Factor,IF(Sel_Doeljaar=P_RJ,VERW_Project!$L99,"n.v.t.")),"n.b."))))</f>
        <v/>
      </c>
      <c r="M103" s="41" t="str">
        <f>IF($A103="","",IF(L103="n.v.t.",K103,IF(AND(ISNUMBER(K103),ISNUMBER(L103)),K103-L103,"n.b.")))</f>
        <v/>
      </c>
      <c r="N103" s="41" t="str">
        <f>IF($A103="","",IF(Sel_Bron="Vastgesteld",IF(ISNUMBER(IF(COUNTIFS(L_Actief,1,L_WBS,$A103,L_Doeljaar,Sel_Doeljaar,L_Versiejaar,P_VJ,L_Versie,Sel_Versie,L_Kengetal,"BOR FY")=0,"n.b.",SUMIFS(L_Waarde,L_Actief,1,L_WBS,$A103,L_Doeljaar,Sel_Doeljaar,L_Versiejaar,P_VJ,L_Versie,Sel_Versie,L_Kengetal,"BOR FY"))),IF(COUNTIFS(L_Actief,1,L_WBS,$A103,L_Doeljaar,Sel_Doeljaar,L_Versiejaar,P_VJ,L_Versie,Sel_Versie,L_Kengetal,"BOR FY")=0,"n.b.",SUMIFS(L_Waarde,L_Actief,1,L_WBS,$A103,L_Doeljaar,Sel_Doeljaar,L_Versiejaar,P_VJ,L_Versie,Sel_Versie,L_Kengetal,"BOR FY"))/P_Factor,IF(COUNTIFS(L_Actief,1,L_WBS,$A103,L_Doeljaar,Sel_Doeljaar,L_Versiejaar,P_VJ,L_Versie,Sel_Versie,L_Kengetal,"BOR FY")=0,"n.b.",SUMIFS(L_Waarde,L_Actief,1,L_WBS,$A103,L_Doeljaar,Sel_Doeljaar,L_Versiejaar,P_VJ,L_Versie,Sel_Versie,L_Kengetal,"BOR FY"))),IF(Sel_Bron="Concept",IF(ISNUMBER(IF(Sel_Doeljaar=P_RJ,VERW_Project!$Q99,IF(Sel_Doeljaar=P_RJ+1,VERW_Project!$S99,"n.b."))),IF(Sel_Doeljaar=P_RJ,VERW_Project!$Q99,IF(Sel_Doeljaar=P_RJ+1,VERW_Project!$S99,"n.b."))/P_Factor,IF(Sel_Doeljaar=P_RJ,VERW_Project!$Q99,IF(Sel_Doeljaar=P_RJ+1,VERW_Project!$S99,"n.b."))),"n.b.")))</f>
        <v/>
      </c>
      <c r="O103" s="63" t="str">
        <f>IF($A103="","",IF(AND(ISNUMBER(N103),ISNUMBER(K103)),IF(K103&lt;&gt;0,N103/K103,"n.b."),"n.b."))</f>
        <v/>
      </c>
      <c r="P103" s="41" t="str">
        <f>IF($A103="","",IF(AND(ISNUMBER(K103),ISNUMBER(E103)),K103-E103,"n.b."))</f>
        <v/>
      </c>
      <c r="Q103" s="41" t="str">
        <f>IF($A103="","",IF(AND(ISNUMBER(K103),ISNUMBER(W103)),K103-W103,"n.b."))</f>
        <v/>
      </c>
      <c r="R103" s="64" t="str">
        <f>IF($A103="","",IF(ISNUMBER(N103),IF(N103&lt;0,"Verlies",""),""))</f>
        <v/>
      </c>
      <c r="S103" s="61" t="str">
        <f>IF($A103="","",IFERROR(INDEX(T_Txt,MATCH($A103&amp;"|"&amp;Sel_Doeljaar&amp;"|"&amp;P_VJ&amp;"|"&amp;Sel_Versie,T_Key,0)),""))</f>
        <v/>
      </c>
      <c r="U103" s="15" t="str">
        <f>IF(AND(AND($A103&lt;&gt;"",OR(Sel_Type="Alle",$C103=Sel_Type),OR(Sel_Project="Alle",$B103=Sel_Project)),ISNUMBER(K103)),K103+ROW()/1000000000,"")</f>
        <v/>
      </c>
      <c r="V103" s="15" t="str">
        <f>IF(AND(AND($A103&lt;&gt;"",OR(Sel_Type="Alle",$C103=Sel_Type),OR(Sel_Project="Alle",$B103=Sel_Project)),ISNUMBER(Q103)),ABS(Q103)+ROW()/1000000000,"")</f>
        <v/>
      </c>
      <c r="W103" s="15" t="str">
        <f>IF(OR($A103="",Sel_Prev=""),"n.b.",IF(ISNUMBER(IF(COUNTIFS(L_Actief,1,L_WBS,$A103,L_Doeljaar,Sel_Doeljaar,L_Versiejaar,P_VJ,L_Versie,Sel_Prev,L_Kengetal,"Omzet FY")=0,"n.b.",SUMIFS(L_Waarde,L_Actief,1,L_WBS,$A103,L_Doeljaar,Sel_Doeljaar,L_Versiejaar,P_VJ,L_Versie,Sel_Prev,L_Kengetal,"Omzet FY"))),IF(COUNTIFS(L_Actief,1,L_WBS,$A103,L_Doeljaar,Sel_Doeljaar,L_Versiejaar,P_VJ,L_Versie,Sel_Prev,L_Kengetal,"Omzet FY")=0,"n.b.",SUMIFS(L_Waarde,L_Actief,1,L_WBS,$A103,L_Doeljaar,Sel_Doeljaar,L_Versiejaar,P_VJ,L_Versie,Sel_Prev,L_Kengetal,"Omzet FY"))/P_Factor,IF(COUNTIFS(L_Actief,1,L_WBS,$A103,L_Doeljaar,Sel_Doeljaar,L_Versiejaar,P_VJ,L_Versie,Sel_Prev,L_Kengetal,"Omzet FY")=0,"n.b.",SUMIFS(L_Waarde,L_Actief,1,L_WBS,$A103,L_Doeljaar,Sel_Doeljaar,L_Versiejaar,P_VJ,L_Versie,Sel_Prev,L_Kengetal,"Omzet FY"))))</f>
        <v>n.b.</v>
      </c>
    </row>
    <row r="104">
      <c r="A104" s="61" t="str">
        <f>IF(VERW_Project!$A100="","",VERW_Project!$A100)</f>
        <v/>
      </c>
      <c r="B104" s="61" t="str">
        <f>IF($A104="","",VERW_Project!$C100)</f>
        <v/>
      </c>
      <c r="C104" s="61" t="str">
        <f>IF($A104="","",VERW_Project!$D100)</f>
        <v/>
      </c>
      <c r="D104" s="61" t="str">
        <f>IF($A104="","",VERW_Project!$I100)</f>
        <v/>
      </c>
      <c r="E104" s="41" t="str">
        <f>IF($A104="","",IF(ISNUMBER(IF(COUNTIFS(L_Actief,1,L_WBS,$A104,L_Doeljaar,Sel_Doeljaar,L_Versiejaar,P_VJ,L_Versie,E$8,L_Kengetal,"Omzet FY")=0,"n.b.",SUMIFS(L_Waarde,L_Actief,1,L_WBS,$A104,L_Doeljaar,Sel_Doeljaar,L_Versiejaar,P_VJ,L_Versie,E$8,L_Kengetal,"Omzet FY"))),IF(COUNTIFS(L_Actief,1,L_WBS,$A104,L_Doeljaar,Sel_Doeljaar,L_Versiejaar,P_VJ,L_Versie,E$8,L_Kengetal,"Omzet FY")=0,"n.b.",SUMIFS(L_Waarde,L_Actief,1,L_WBS,$A104,L_Doeljaar,Sel_Doeljaar,L_Versiejaar,P_VJ,L_Versie,E$8,L_Kengetal,"Omzet FY"))/P_Factor,IF(COUNTIFS(L_Actief,1,L_WBS,$A104,L_Doeljaar,Sel_Doeljaar,L_Versiejaar,P_VJ,L_Versie,E$8,L_Kengetal,"Omzet FY")=0,"n.b.",SUMIFS(L_Waarde,L_Actief,1,L_WBS,$A104,L_Doeljaar,Sel_Doeljaar,L_Versiejaar,P_VJ,L_Versie,E$8,L_Kengetal,"Omzet FY"))))</f>
        <v/>
      </c>
      <c r="F104" s="41" t="str">
        <f>IF($A104="","",IF(ISNUMBER(IF(COUNTIFS(L_Actief,1,L_WBS,$A104,L_Doeljaar,Sel_Doeljaar,L_Versiejaar,P_VJ,L_Versie,F$8,L_Kengetal,"Omzet FY")=0,"n.b.",SUMIFS(L_Waarde,L_Actief,1,L_WBS,$A104,L_Doeljaar,Sel_Doeljaar,L_Versiejaar,P_VJ,L_Versie,F$8,L_Kengetal,"Omzet FY"))),IF(COUNTIFS(L_Actief,1,L_WBS,$A104,L_Doeljaar,Sel_Doeljaar,L_Versiejaar,P_VJ,L_Versie,F$8,L_Kengetal,"Omzet FY")=0,"n.b.",SUMIFS(L_Waarde,L_Actief,1,L_WBS,$A104,L_Doeljaar,Sel_Doeljaar,L_Versiejaar,P_VJ,L_Versie,F$8,L_Kengetal,"Omzet FY"))/P_Factor,IF(COUNTIFS(L_Actief,1,L_WBS,$A104,L_Doeljaar,Sel_Doeljaar,L_Versiejaar,P_VJ,L_Versie,F$8,L_Kengetal,"Omzet FY")=0,"n.b.",SUMIFS(L_Waarde,L_Actief,1,L_WBS,$A104,L_Doeljaar,Sel_Doeljaar,L_Versiejaar,P_VJ,L_Versie,F$8,L_Kengetal,"Omzet FY"))))</f>
        <v/>
      </c>
      <c r="G104" s="41" t="str">
        <f>IF($A104="","",IF(ISNUMBER(IF(COUNTIFS(L_Actief,1,L_WBS,$A104,L_Doeljaar,Sel_Doeljaar,L_Versiejaar,P_VJ,L_Versie,G$8,L_Kengetal,"Omzet FY")=0,"n.b.",SUMIFS(L_Waarde,L_Actief,1,L_WBS,$A104,L_Doeljaar,Sel_Doeljaar,L_Versiejaar,P_VJ,L_Versie,G$8,L_Kengetal,"Omzet FY"))),IF(COUNTIFS(L_Actief,1,L_WBS,$A104,L_Doeljaar,Sel_Doeljaar,L_Versiejaar,P_VJ,L_Versie,G$8,L_Kengetal,"Omzet FY")=0,"n.b.",SUMIFS(L_Waarde,L_Actief,1,L_WBS,$A104,L_Doeljaar,Sel_Doeljaar,L_Versiejaar,P_VJ,L_Versie,G$8,L_Kengetal,"Omzet FY"))/P_Factor,IF(COUNTIFS(L_Actief,1,L_WBS,$A104,L_Doeljaar,Sel_Doeljaar,L_Versiejaar,P_VJ,L_Versie,G$8,L_Kengetal,"Omzet FY")=0,"n.b.",SUMIFS(L_Waarde,L_Actief,1,L_WBS,$A104,L_Doeljaar,Sel_Doeljaar,L_Versiejaar,P_VJ,L_Versie,G$8,L_Kengetal,"Omzet FY"))))</f>
        <v/>
      </c>
      <c r="H104" s="41" t="str">
        <f>IF($A104="","",IF(ISNUMBER(IF(COUNTIFS(L_Actief,1,L_WBS,$A104,L_Doeljaar,Sel_Doeljaar,L_Versiejaar,P_VJ,L_Versie,H$8,L_Kengetal,"Omzet FY")=0,"n.b.",SUMIFS(L_Waarde,L_Actief,1,L_WBS,$A104,L_Doeljaar,Sel_Doeljaar,L_Versiejaar,P_VJ,L_Versie,H$8,L_Kengetal,"Omzet FY"))),IF(COUNTIFS(L_Actief,1,L_WBS,$A104,L_Doeljaar,Sel_Doeljaar,L_Versiejaar,P_VJ,L_Versie,H$8,L_Kengetal,"Omzet FY")=0,"n.b.",SUMIFS(L_Waarde,L_Actief,1,L_WBS,$A104,L_Doeljaar,Sel_Doeljaar,L_Versiejaar,P_VJ,L_Versie,H$8,L_Kengetal,"Omzet FY"))/P_Factor,IF(COUNTIFS(L_Actief,1,L_WBS,$A104,L_Doeljaar,Sel_Doeljaar,L_Versiejaar,P_VJ,L_Versie,H$8,L_Kengetal,"Omzet FY")=0,"n.b.",SUMIFS(L_Waarde,L_Actief,1,L_WBS,$A104,L_Doeljaar,Sel_Doeljaar,L_Versiejaar,P_VJ,L_Versie,H$8,L_Kengetal,"Omzet FY"))))</f>
        <v/>
      </c>
      <c r="I104" s="41" t="str">
        <f>IF($A104="","",IF(ISNUMBER(IF(COUNTIFS(L_Actief,1,L_WBS,$A104,L_Doeljaar,Sel_Doeljaar,L_Versiejaar,P_VJ,L_Versie,I$8,L_Kengetal,"Omzet FY")=0,"n.b.",SUMIFS(L_Waarde,L_Actief,1,L_WBS,$A104,L_Doeljaar,Sel_Doeljaar,L_Versiejaar,P_VJ,L_Versie,I$8,L_Kengetal,"Omzet FY"))),IF(COUNTIFS(L_Actief,1,L_WBS,$A104,L_Doeljaar,Sel_Doeljaar,L_Versiejaar,P_VJ,L_Versie,I$8,L_Kengetal,"Omzet FY")=0,"n.b.",SUMIFS(L_Waarde,L_Actief,1,L_WBS,$A104,L_Doeljaar,Sel_Doeljaar,L_Versiejaar,P_VJ,L_Versie,I$8,L_Kengetal,"Omzet FY"))/P_Factor,IF(COUNTIFS(L_Actief,1,L_WBS,$A104,L_Doeljaar,Sel_Doeljaar,L_Versiejaar,P_VJ,L_Versie,I$8,L_Kengetal,"Omzet FY")=0,"n.b.",SUMIFS(L_Waarde,L_Actief,1,L_WBS,$A104,L_Doeljaar,Sel_Doeljaar,L_Versiejaar,P_VJ,L_Versie,I$8,L_Kengetal,"Omzet FY"))))</f>
        <v/>
      </c>
      <c r="J104" s="41" t="str">
        <f>IF($A104="","",IF(ISNUMBER(IF(Sel_Doeljaar=P_RJ,VERW_Project!$P100,IF(Sel_Doeljaar=P_RJ+1,VERW_Project!$R100,"n.b."))),IF(Sel_Doeljaar=P_RJ,VERW_Project!$P100,IF(Sel_Doeljaar=P_RJ+1,VERW_Project!$R100,"n.b."))/P_Factor,IF(Sel_Doeljaar=P_RJ,VERW_Project!$P100,IF(Sel_Doeljaar=P_RJ+1,VERW_Project!$R100,"n.b."))))</f>
        <v/>
      </c>
      <c r="K104" s="41" t="str">
        <f>IF($A104="","",IF(Sel_Bron="Vastgesteld",INDEX($E104:$I104,MATCH(Sel_Versie,$E$8:$I$8,0)),IF(Sel_Bron="Concept",J104,"n.b.")))</f>
        <v/>
      </c>
      <c r="L104" s="62" t="str">
        <f>IF($A104="","",IF(Sel_Doeljaar&gt;P_VJ,"n.v.t.",IF(Sel_Bron="Vastgesteld",IF(ISNUMBER(IF(COUNTIFS(L_Actief,1,L_WBS,$A104,L_Doeljaar,Sel_Doeljaar,L_Versiejaar,P_VJ,L_Versie,Sel_Versie,L_Kengetal,"Omzet actual YTD")=0,"n.b.",SUMIFS(L_Waarde,L_Actief,1,L_WBS,$A104,L_Doeljaar,Sel_Doeljaar,L_Versiejaar,P_VJ,L_Versie,Sel_Versie,L_Kengetal,"Omzet actual YTD"))),IF(COUNTIFS(L_Actief,1,L_WBS,$A104,L_Doeljaar,Sel_Doeljaar,L_Versiejaar,P_VJ,L_Versie,Sel_Versie,L_Kengetal,"Omzet actual YTD")=0,"n.b.",SUMIFS(L_Waarde,L_Actief,1,L_WBS,$A104,L_Doeljaar,Sel_Doeljaar,L_Versiejaar,P_VJ,L_Versie,Sel_Versie,L_Kengetal,"Omzet actual YTD"))/P_Factor,IF(COUNTIFS(L_Actief,1,L_WBS,$A104,L_Doeljaar,Sel_Doeljaar,L_Versiejaar,P_VJ,L_Versie,Sel_Versie,L_Kengetal,"Omzet actual YTD")=0,"n.b.",SUMIFS(L_Waarde,L_Actief,1,L_WBS,$A104,L_Doeljaar,Sel_Doeljaar,L_Versiejaar,P_VJ,L_Versie,Sel_Versie,L_Kengetal,"Omzet actual YTD"))),IF(Sel_Bron="Concept",IF(ISNUMBER(IF(Sel_Doeljaar=P_RJ,VERW_Project!$L100,"n.v.t.")),IF(Sel_Doeljaar=P_RJ,VERW_Project!$L100,"n.v.t.")/P_Factor,IF(Sel_Doeljaar=P_RJ,VERW_Project!$L100,"n.v.t.")),"n.b."))))</f>
        <v/>
      </c>
      <c r="M104" s="41" t="str">
        <f>IF($A104="","",IF(L104="n.v.t.",K104,IF(AND(ISNUMBER(K104),ISNUMBER(L104)),K104-L104,"n.b.")))</f>
        <v/>
      </c>
      <c r="N104" s="41" t="str">
        <f>IF($A104="","",IF(Sel_Bron="Vastgesteld",IF(ISNUMBER(IF(COUNTIFS(L_Actief,1,L_WBS,$A104,L_Doeljaar,Sel_Doeljaar,L_Versiejaar,P_VJ,L_Versie,Sel_Versie,L_Kengetal,"BOR FY")=0,"n.b.",SUMIFS(L_Waarde,L_Actief,1,L_WBS,$A104,L_Doeljaar,Sel_Doeljaar,L_Versiejaar,P_VJ,L_Versie,Sel_Versie,L_Kengetal,"BOR FY"))),IF(COUNTIFS(L_Actief,1,L_WBS,$A104,L_Doeljaar,Sel_Doeljaar,L_Versiejaar,P_VJ,L_Versie,Sel_Versie,L_Kengetal,"BOR FY")=0,"n.b.",SUMIFS(L_Waarde,L_Actief,1,L_WBS,$A104,L_Doeljaar,Sel_Doeljaar,L_Versiejaar,P_VJ,L_Versie,Sel_Versie,L_Kengetal,"BOR FY"))/P_Factor,IF(COUNTIFS(L_Actief,1,L_WBS,$A104,L_Doeljaar,Sel_Doeljaar,L_Versiejaar,P_VJ,L_Versie,Sel_Versie,L_Kengetal,"BOR FY")=0,"n.b.",SUMIFS(L_Waarde,L_Actief,1,L_WBS,$A104,L_Doeljaar,Sel_Doeljaar,L_Versiejaar,P_VJ,L_Versie,Sel_Versie,L_Kengetal,"BOR FY"))),IF(Sel_Bron="Concept",IF(ISNUMBER(IF(Sel_Doeljaar=P_RJ,VERW_Project!$Q100,IF(Sel_Doeljaar=P_RJ+1,VERW_Project!$S100,"n.b."))),IF(Sel_Doeljaar=P_RJ,VERW_Project!$Q100,IF(Sel_Doeljaar=P_RJ+1,VERW_Project!$S100,"n.b."))/P_Factor,IF(Sel_Doeljaar=P_RJ,VERW_Project!$Q100,IF(Sel_Doeljaar=P_RJ+1,VERW_Project!$S100,"n.b."))),"n.b.")))</f>
        <v/>
      </c>
      <c r="O104" s="63" t="str">
        <f>IF($A104="","",IF(AND(ISNUMBER(N104),ISNUMBER(K104)),IF(K104&lt;&gt;0,N104/K104,"n.b."),"n.b."))</f>
        <v/>
      </c>
      <c r="P104" s="41" t="str">
        <f>IF($A104="","",IF(AND(ISNUMBER(K104),ISNUMBER(E104)),K104-E104,"n.b."))</f>
        <v/>
      </c>
      <c r="Q104" s="41" t="str">
        <f>IF($A104="","",IF(AND(ISNUMBER(K104),ISNUMBER(W104)),K104-W104,"n.b."))</f>
        <v/>
      </c>
      <c r="R104" s="64" t="str">
        <f>IF($A104="","",IF(ISNUMBER(N104),IF(N104&lt;0,"Verlies",""),""))</f>
        <v/>
      </c>
      <c r="S104" s="61" t="str">
        <f>IF($A104="","",IFERROR(INDEX(T_Txt,MATCH($A104&amp;"|"&amp;Sel_Doeljaar&amp;"|"&amp;P_VJ&amp;"|"&amp;Sel_Versie,T_Key,0)),""))</f>
        <v/>
      </c>
      <c r="U104" s="15" t="str">
        <f>IF(AND(AND($A104&lt;&gt;"",OR(Sel_Type="Alle",$C104=Sel_Type),OR(Sel_Project="Alle",$B104=Sel_Project)),ISNUMBER(K104)),K104+ROW()/1000000000,"")</f>
        <v/>
      </c>
      <c r="V104" s="15" t="str">
        <f>IF(AND(AND($A104&lt;&gt;"",OR(Sel_Type="Alle",$C104=Sel_Type),OR(Sel_Project="Alle",$B104=Sel_Project)),ISNUMBER(Q104)),ABS(Q104)+ROW()/1000000000,"")</f>
        <v/>
      </c>
      <c r="W104" s="15" t="str">
        <f>IF(OR($A104="",Sel_Prev=""),"n.b.",IF(ISNUMBER(IF(COUNTIFS(L_Actief,1,L_WBS,$A104,L_Doeljaar,Sel_Doeljaar,L_Versiejaar,P_VJ,L_Versie,Sel_Prev,L_Kengetal,"Omzet FY")=0,"n.b.",SUMIFS(L_Waarde,L_Actief,1,L_WBS,$A104,L_Doeljaar,Sel_Doeljaar,L_Versiejaar,P_VJ,L_Versie,Sel_Prev,L_Kengetal,"Omzet FY"))),IF(COUNTIFS(L_Actief,1,L_WBS,$A104,L_Doeljaar,Sel_Doeljaar,L_Versiejaar,P_VJ,L_Versie,Sel_Prev,L_Kengetal,"Omzet FY")=0,"n.b.",SUMIFS(L_Waarde,L_Actief,1,L_WBS,$A104,L_Doeljaar,Sel_Doeljaar,L_Versiejaar,P_VJ,L_Versie,Sel_Prev,L_Kengetal,"Omzet FY"))/P_Factor,IF(COUNTIFS(L_Actief,1,L_WBS,$A104,L_Doeljaar,Sel_Doeljaar,L_Versiejaar,P_VJ,L_Versie,Sel_Prev,L_Kengetal,"Omzet FY")=0,"n.b.",SUMIFS(L_Waarde,L_Actief,1,L_WBS,$A104,L_Doeljaar,Sel_Doeljaar,L_Versiejaar,P_VJ,L_Versie,Sel_Prev,L_Kengetal,"Omzet FY"))))</f>
        <v>n.b.</v>
      </c>
    </row>
    <row r="105">
      <c r="A105" s="61" t="str">
        <f>IF(VERW_Project!$A101="","",VERW_Project!$A101)</f>
        <v/>
      </c>
      <c r="B105" s="61" t="str">
        <f>IF($A105="","",VERW_Project!$C101)</f>
        <v/>
      </c>
      <c r="C105" s="61" t="str">
        <f>IF($A105="","",VERW_Project!$D101)</f>
        <v/>
      </c>
      <c r="D105" s="61" t="str">
        <f>IF($A105="","",VERW_Project!$I101)</f>
        <v/>
      </c>
      <c r="E105" s="41" t="str">
        <f>IF($A105="","",IF(ISNUMBER(IF(COUNTIFS(L_Actief,1,L_WBS,$A105,L_Doeljaar,Sel_Doeljaar,L_Versiejaar,P_VJ,L_Versie,E$8,L_Kengetal,"Omzet FY")=0,"n.b.",SUMIFS(L_Waarde,L_Actief,1,L_WBS,$A105,L_Doeljaar,Sel_Doeljaar,L_Versiejaar,P_VJ,L_Versie,E$8,L_Kengetal,"Omzet FY"))),IF(COUNTIFS(L_Actief,1,L_WBS,$A105,L_Doeljaar,Sel_Doeljaar,L_Versiejaar,P_VJ,L_Versie,E$8,L_Kengetal,"Omzet FY")=0,"n.b.",SUMIFS(L_Waarde,L_Actief,1,L_WBS,$A105,L_Doeljaar,Sel_Doeljaar,L_Versiejaar,P_VJ,L_Versie,E$8,L_Kengetal,"Omzet FY"))/P_Factor,IF(COUNTIFS(L_Actief,1,L_WBS,$A105,L_Doeljaar,Sel_Doeljaar,L_Versiejaar,P_VJ,L_Versie,E$8,L_Kengetal,"Omzet FY")=0,"n.b.",SUMIFS(L_Waarde,L_Actief,1,L_WBS,$A105,L_Doeljaar,Sel_Doeljaar,L_Versiejaar,P_VJ,L_Versie,E$8,L_Kengetal,"Omzet FY"))))</f>
        <v/>
      </c>
      <c r="F105" s="41" t="str">
        <f>IF($A105="","",IF(ISNUMBER(IF(COUNTIFS(L_Actief,1,L_WBS,$A105,L_Doeljaar,Sel_Doeljaar,L_Versiejaar,P_VJ,L_Versie,F$8,L_Kengetal,"Omzet FY")=0,"n.b.",SUMIFS(L_Waarde,L_Actief,1,L_WBS,$A105,L_Doeljaar,Sel_Doeljaar,L_Versiejaar,P_VJ,L_Versie,F$8,L_Kengetal,"Omzet FY"))),IF(COUNTIFS(L_Actief,1,L_WBS,$A105,L_Doeljaar,Sel_Doeljaar,L_Versiejaar,P_VJ,L_Versie,F$8,L_Kengetal,"Omzet FY")=0,"n.b.",SUMIFS(L_Waarde,L_Actief,1,L_WBS,$A105,L_Doeljaar,Sel_Doeljaar,L_Versiejaar,P_VJ,L_Versie,F$8,L_Kengetal,"Omzet FY"))/P_Factor,IF(COUNTIFS(L_Actief,1,L_WBS,$A105,L_Doeljaar,Sel_Doeljaar,L_Versiejaar,P_VJ,L_Versie,F$8,L_Kengetal,"Omzet FY")=0,"n.b.",SUMIFS(L_Waarde,L_Actief,1,L_WBS,$A105,L_Doeljaar,Sel_Doeljaar,L_Versiejaar,P_VJ,L_Versie,F$8,L_Kengetal,"Omzet FY"))))</f>
        <v/>
      </c>
      <c r="G105" s="41" t="str">
        <f>IF($A105="","",IF(ISNUMBER(IF(COUNTIFS(L_Actief,1,L_WBS,$A105,L_Doeljaar,Sel_Doeljaar,L_Versiejaar,P_VJ,L_Versie,G$8,L_Kengetal,"Omzet FY")=0,"n.b.",SUMIFS(L_Waarde,L_Actief,1,L_WBS,$A105,L_Doeljaar,Sel_Doeljaar,L_Versiejaar,P_VJ,L_Versie,G$8,L_Kengetal,"Omzet FY"))),IF(COUNTIFS(L_Actief,1,L_WBS,$A105,L_Doeljaar,Sel_Doeljaar,L_Versiejaar,P_VJ,L_Versie,G$8,L_Kengetal,"Omzet FY")=0,"n.b.",SUMIFS(L_Waarde,L_Actief,1,L_WBS,$A105,L_Doeljaar,Sel_Doeljaar,L_Versiejaar,P_VJ,L_Versie,G$8,L_Kengetal,"Omzet FY"))/P_Factor,IF(COUNTIFS(L_Actief,1,L_WBS,$A105,L_Doeljaar,Sel_Doeljaar,L_Versiejaar,P_VJ,L_Versie,G$8,L_Kengetal,"Omzet FY")=0,"n.b.",SUMIFS(L_Waarde,L_Actief,1,L_WBS,$A105,L_Doeljaar,Sel_Doeljaar,L_Versiejaar,P_VJ,L_Versie,G$8,L_Kengetal,"Omzet FY"))))</f>
        <v/>
      </c>
      <c r="H105" s="41" t="str">
        <f>IF($A105="","",IF(ISNUMBER(IF(COUNTIFS(L_Actief,1,L_WBS,$A105,L_Doeljaar,Sel_Doeljaar,L_Versiejaar,P_VJ,L_Versie,H$8,L_Kengetal,"Omzet FY")=0,"n.b.",SUMIFS(L_Waarde,L_Actief,1,L_WBS,$A105,L_Doeljaar,Sel_Doeljaar,L_Versiejaar,P_VJ,L_Versie,H$8,L_Kengetal,"Omzet FY"))),IF(COUNTIFS(L_Actief,1,L_WBS,$A105,L_Doeljaar,Sel_Doeljaar,L_Versiejaar,P_VJ,L_Versie,H$8,L_Kengetal,"Omzet FY")=0,"n.b.",SUMIFS(L_Waarde,L_Actief,1,L_WBS,$A105,L_Doeljaar,Sel_Doeljaar,L_Versiejaar,P_VJ,L_Versie,H$8,L_Kengetal,"Omzet FY"))/P_Factor,IF(COUNTIFS(L_Actief,1,L_WBS,$A105,L_Doeljaar,Sel_Doeljaar,L_Versiejaar,P_VJ,L_Versie,H$8,L_Kengetal,"Omzet FY")=0,"n.b.",SUMIFS(L_Waarde,L_Actief,1,L_WBS,$A105,L_Doeljaar,Sel_Doeljaar,L_Versiejaar,P_VJ,L_Versie,H$8,L_Kengetal,"Omzet FY"))))</f>
        <v/>
      </c>
      <c r="I105" s="41" t="str">
        <f>IF($A105="","",IF(ISNUMBER(IF(COUNTIFS(L_Actief,1,L_WBS,$A105,L_Doeljaar,Sel_Doeljaar,L_Versiejaar,P_VJ,L_Versie,I$8,L_Kengetal,"Omzet FY")=0,"n.b.",SUMIFS(L_Waarde,L_Actief,1,L_WBS,$A105,L_Doeljaar,Sel_Doeljaar,L_Versiejaar,P_VJ,L_Versie,I$8,L_Kengetal,"Omzet FY"))),IF(COUNTIFS(L_Actief,1,L_WBS,$A105,L_Doeljaar,Sel_Doeljaar,L_Versiejaar,P_VJ,L_Versie,I$8,L_Kengetal,"Omzet FY")=0,"n.b.",SUMIFS(L_Waarde,L_Actief,1,L_WBS,$A105,L_Doeljaar,Sel_Doeljaar,L_Versiejaar,P_VJ,L_Versie,I$8,L_Kengetal,"Omzet FY"))/P_Factor,IF(COUNTIFS(L_Actief,1,L_WBS,$A105,L_Doeljaar,Sel_Doeljaar,L_Versiejaar,P_VJ,L_Versie,I$8,L_Kengetal,"Omzet FY")=0,"n.b.",SUMIFS(L_Waarde,L_Actief,1,L_WBS,$A105,L_Doeljaar,Sel_Doeljaar,L_Versiejaar,P_VJ,L_Versie,I$8,L_Kengetal,"Omzet FY"))))</f>
        <v/>
      </c>
      <c r="J105" s="41" t="str">
        <f>IF($A105="","",IF(ISNUMBER(IF(Sel_Doeljaar=P_RJ,VERW_Project!$P101,IF(Sel_Doeljaar=P_RJ+1,VERW_Project!$R101,"n.b."))),IF(Sel_Doeljaar=P_RJ,VERW_Project!$P101,IF(Sel_Doeljaar=P_RJ+1,VERW_Project!$R101,"n.b."))/P_Factor,IF(Sel_Doeljaar=P_RJ,VERW_Project!$P101,IF(Sel_Doeljaar=P_RJ+1,VERW_Project!$R101,"n.b."))))</f>
        <v/>
      </c>
      <c r="K105" s="41" t="str">
        <f>IF($A105="","",IF(Sel_Bron="Vastgesteld",INDEX($E105:$I105,MATCH(Sel_Versie,$E$8:$I$8,0)),IF(Sel_Bron="Concept",J105,"n.b.")))</f>
        <v/>
      </c>
      <c r="L105" s="62" t="str">
        <f>IF($A105="","",IF(Sel_Doeljaar&gt;P_VJ,"n.v.t.",IF(Sel_Bron="Vastgesteld",IF(ISNUMBER(IF(COUNTIFS(L_Actief,1,L_WBS,$A105,L_Doeljaar,Sel_Doeljaar,L_Versiejaar,P_VJ,L_Versie,Sel_Versie,L_Kengetal,"Omzet actual YTD")=0,"n.b.",SUMIFS(L_Waarde,L_Actief,1,L_WBS,$A105,L_Doeljaar,Sel_Doeljaar,L_Versiejaar,P_VJ,L_Versie,Sel_Versie,L_Kengetal,"Omzet actual YTD"))),IF(COUNTIFS(L_Actief,1,L_WBS,$A105,L_Doeljaar,Sel_Doeljaar,L_Versiejaar,P_VJ,L_Versie,Sel_Versie,L_Kengetal,"Omzet actual YTD")=0,"n.b.",SUMIFS(L_Waarde,L_Actief,1,L_WBS,$A105,L_Doeljaar,Sel_Doeljaar,L_Versiejaar,P_VJ,L_Versie,Sel_Versie,L_Kengetal,"Omzet actual YTD"))/P_Factor,IF(COUNTIFS(L_Actief,1,L_WBS,$A105,L_Doeljaar,Sel_Doeljaar,L_Versiejaar,P_VJ,L_Versie,Sel_Versie,L_Kengetal,"Omzet actual YTD")=0,"n.b.",SUMIFS(L_Waarde,L_Actief,1,L_WBS,$A105,L_Doeljaar,Sel_Doeljaar,L_Versiejaar,P_VJ,L_Versie,Sel_Versie,L_Kengetal,"Omzet actual YTD"))),IF(Sel_Bron="Concept",IF(ISNUMBER(IF(Sel_Doeljaar=P_RJ,VERW_Project!$L101,"n.v.t.")),IF(Sel_Doeljaar=P_RJ,VERW_Project!$L101,"n.v.t.")/P_Factor,IF(Sel_Doeljaar=P_RJ,VERW_Project!$L101,"n.v.t.")),"n.b."))))</f>
        <v/>
      </c>
      <c r="M105" s="41" t="str">
        <f>IF($A105="","",IF(L105="n.v.t.",K105,IF(AND(ISNUMBER(K105),ISNUMBER(L105)),K105-L105,"n.b.")))</f>
        <v/>
      </c>
      <c r="N105" s="41" t="str">
        <f>IF($A105="","",IF(Sel_Bron="Vastgesteld",IF(ISNUMBER(IF(COUNTIFS(L_Actief,1,L_WBS,$A105,L_Doeljaar,Sel_Doeljaar,L_Versiejaar,P_VJ,L_Versie,Sel_Versie,L_Kengetal,"BOR FY")=0,"n.b.",SUMIFS(L_Waarde,L_Actief,1,L_WBS,$A105,L_Doeljaar,Sel_Doeljaar,L_Versiejaar,P_VJ,L_Versie,Sel_Versie,L_Kengetal,"BOR FY"))),IF(COUNTIFS(L_Actief,1,L_WBS,$A105,L_Doeljaar,Sel_Doeljaar,L_Versiejaar,P_VJ,L_Versie,Sel_Versie,L_Kengetal,"BOR FY")=0,"n.b.",SUMIFS(L_Waarde,L_Actief,1,L_WBS,$A105,L_Doeljaar,Sel_Doeljaar,L_Versiejaar,P_VJ,L_Versie,Sel_Versie,L_Kengetal,"BOR FY"))/P_Factor,IF(COUNTIFS(L_Actief,1,L_WBS,$A105,L_Doeljaar,Sel_Doeljaar,L_Versiejaar,P_VJ,L_Versie,Sel_Versie,L_Kengetal,"BOR FY")=0,"n.b.",SUMIFS(L_Waarde,L_Actief,1,L_WBS,$A105,L_Doeljaar,Sel_Doeljaar,L_Versiejaar,P_VJ,L_Versie,Sel_Versie,L_Kengetal,"BOR FY"))),IF(Sel_Bron="Concept",IF(ISNUMBER(IF(Sel_Doeljaar=P_RJ,VERW_Project!$Q101,IF(Sel_Doeljaar=P_RJ+1,VERW_Project!$S101,"n.b."))),IF(Sel_Doeljaar=P_RJ,VERW_Project!$Q101,IF(Sel_Doeljaar=P_RJ+1,VERW_Project!$S101,"n.b."))/P_Factor,IF(Sel_Doeljaar=P_RJ,VERW_Project!$Q101,IF(Sel_Doeljaar=P_RJ+1,VERW_Project!$S101,"n.b."))),"n.b.")))</f>
        <v/>
      </c>
      <c r="O105" s="63" t="str">
        <f>IF($A105="","",IF(AND(ISNUMBER(N105),ISNUMBER(K105)),IF(K105&lt;&gt;0,N105/K105,"n.b."),"n.b."))</f>
        <v/>
      </c>
      <c r="P105" s="41" t="str">
        <f>IF($A105="","",IF(AND(ISNUMBER(K105),ISNUMBER(E105)),K105-E105,"n.b."))</f>
        <v/>
      </c>
      <c r="Q105" s="41" t="str">
        <f>IF($A105="","",IF(AND(ISNUMBER(K105),ISNUMBER(W105)),K105-W105,"n.b."))</f>
        <v/>
      </c>
      <c r="R105" s="64" t="str">
        <f>IF($A105="","",IF(ISNUMBER(N105),IF(N105&lt;0,"Verlies",""),""))</f>
        <v/>
      </c>
      <c r="S105" s="61" t="str">
        <f>IF($A105="","",IFERROR(INDEX(T_Txt,MATCH($A105&amp;"|"&amp;Sel_Doeljaar&amp;"|"&amp;P_VJ&amp;"|"&amp;Sel_Versie,T_Key,0)),""))</f>
        <v/>
      </c>
      <c r="U105" s="15" t="str">
        <f>IF(AND(AND($A105&lt;&gt;"",OR(Sel_Type="Alle",$C105=Sel_Type),OR(Sel_Project="Alle",$B105=Sel_Project)),ISNUMBER(K105)),K105+ROW()/1000000000,"")</f>
        <v/>
      </c>
      <c r="V105" s="15" t="str">
        <f>IF(AND(AND($A105&lt;&gt;"",OR(Sel_Type="Alle",$C105=Sel_Type),OR(Sel_Project="Alle",$B105=Sel_Project)),ISNUMBER(Q105)),ABS(Q105)+ROW()/1000000000,"")</f>
        <v/>
      </c>
      <c r="W105" s="15" t="str">
        <f>IF(OR($A105="",Sel_Prev=""),"n.b.",IF(ISNUMBER(IF(COUNTIFS(L_Actief,1,L_WBS,$A105,L_Doeljaar,Sel_Doeljaar,L_Versiejaar,P_VJ,L_Versie,Sel_Prev,L_Kengetal,"Omzet FY")=0,"n.b.",SUMIFS(L_Waarde,L_Actief,1,L_WBS,$A105,L_Doeljaar,Sel_Doeljaar,L_Versiejaar,P_VJ,L_Versie,Sel_Prev,L_Kengetal,"Omzet FY"))),IF(COUNTIFS(L_Actief,1,L_WBS,$A105,L_Doeljaar,Sel_Doeljaar,L_Versiejaar,P_VJ,L_Versie,Sel_Prev,L_Kengetal,"Omzet FY")=0,"n.b.",SUMIFS(L_Waarde,L_Actief,1,L_WBS,$A105,L_Doeljaar,Sel_Doeljaar,L_Versiejaar,P_VJ,L_Versie,Sel_Prev,L_Kengetal,"Omzet FY"))/P_Factor,IF(COUNTIFS(L_Actief,1,L_WBS,$A105,L_Doeljaar,Sel_Doeljaar,L_Versiejaar,P_VJ,L_Versie,Sel_Prev,L_Kengetal,"Omzet FY")=0,"n.b.",SUMIFS(L_Waarde,L_Actief,1,L_WBS,$A105,L_Doeljaar,Sel_Doeljaar,L_Versiejaar,P_VJ,L_Versie,Sel_Prev,L_Kengetal,"Omzet FY"))))</f>
        <v>n.b.</v>
      </c>
    </row>
    <row r="106">
      <c r="A106" s="61" t="str">
        <f>IF(VERW_Project!$A102="","",VERW_Project!$A102)</f>
        <v/>
      </c>
      <c r="B106" s="61" t="str">
        <f>IF($A106="","",VERW_Project!$C102)</f>
        <v/>
      </c>
      <c r="C106" s="61" t="str">
        <f>IF($A106="","",VERW_Project!$D102)</f>
        <v/>
      </c>
      <c r="D106" s="61" t="str">
        <f>IF($A106="","",VERW_Project!$I102)</f>
        <v/>
      </c>
      <c r="E106" s="41" t="str">
        <f>IF($A106="","",IF(ISNUMBER(IF(COUNTIFS(L_Actief,1,L_WBS,$A106,L_Doeljaar,Sel_Doeljaar,L_Versiejaar,P_VJ,L_Versie,E$8,L_Kengetal,"Omzet FY")=0,"n.b.",SUMIFS(L_Waarde,L_Actief,1,L_WBS,$A106,L_Doeljaar,Sel_Doeljaar,L_Versiejaar,P_VJ,L_Versie,E$8,L_Kengetal,"Omzet FY"))),IF(COUNTIFS(L_Actief,1,L_WBS,$A106,L_Doeljaar,Sel_Doeljaar,L_Versiejaar,P_VJ,L_Versie,E$8,L_Kengetal,"Omzet FY")=0,"n.b.",SUMIFS(L_Waarde,L_Actief,1,L_WBS,$A106,L_Doeljaar,Sel_Doeljaar,L_Versiejaar,P_VJ,L_Versie,E$8,L_Kengetal,"Omzet FY"))/P_Factor,IF(COUNTIFS(L_Actief,1,L_WBS,$A106,L_Doeljaar,Sel_Doeljaar,L_Versiejaar,P_VJ,L_Versie,E$8,L_Kengetal,"Omzet FY")=0,"n.b.",SUMIFS(L_Waarde,L_Actief,1,L_WBS,$A106,L_Doeljaar,Sel_Doeljaar,L_Versiejaar,P_VJ,L_Versie,E$8,L_Kengetal,"Omzet FY"))))</f>
        <v/>
      </c>
      <c r="F106" s="41" t="str">
        <f>IF($A106="","",IF(ISNUMBER(IF(COUNTIFS(L_Actief,1,L_WBS,$A106,L_Doeljaar,Sel_Doeljaar,L_Versiejaar,P_VJ,L_Versie,F$8,L_Kengetal,"Omzet FY")=0,"n.b.",SUMIFS(L_Waarde,L_Actief,1,L_WBS,$A106,L_Doeljaar,Sel_Doeljaar,L_Versiejaar,P_VJ,L_Versie,F$8,L_Kengetal,"Omzet FY"))),IF(COUNTIFS(L_Actief,1,L_WBS,$A106,L_Doeljaar,Sel_Doeljaar,L_Versiejaar,P_VJ,L_Versie,F$8,L_Kengetal,"Omzet FY")=0,"n.b.",SUMIFS(L_Waarde,L_Actief,1,L_WBS,$A106,L_Doeljaar,Sel_Doeljaar,L_Versiejaar,P_VJ,L_Versie,F$8,L_Kengetal,"Omzet FY"))/P_Factor,IF(COUNTIFS(L_Actief,1,L_WBS,$A106,L_Doeljaar,Sel_Doeljaar,L_Versiejaar,P_VJ,L_Versie,F$8,L_Kengetal,"Omzet FY")=0,"n.b.",SUMIFS(L_Waarde,L_Actief,1,L_WBS,$A106,L_Doeljaar,Sel_Doeljaar,L_Versiejaar,P_VJ,L_Versie,F$8,L_Kengetal,"Omzet FY"))))</f>
        <v/>
      </c>
      <c r="G106" s="41" t="str">
        <f>IF($A106="","",IF(ISNUMBER(IF(COUNTIFS(L_Actief,1,L_WBS,$A106,L_Doeljaar,Sel_Doeljaar,L_Versiejaar,P_VJ,L_Versie,G$8,L_Kengetal,"Omzet FY")=0,"n.b.",SUMIFS(L_Waarde,L_Actief,1,L_WBS,$A106,L_Doeljaar,Sel_Doeljaar,L_Versiejaar,P_VJ,L_Versie,G$8,L_Kengetal,"Omzet FY"))),IF(COUNTIFS(L_Actief,1,L_WBS,$A106,L_Doeljaar,Sel_Doeljaar,L_Versiejaar,P_VJ,L_Versie,G$8,L_Kengetal,"Omzet FY")=0,"n.b.",SUMIFS(L_Waarde,L_Actief,1,L_WBS,$A106,L_Doeljaar,Sel_Doeljaar,L_Versiejaar,P_VJ,L_Versie,G$8,L_Kengetal,"Omzet FY"))/P_Factor,IF(COUNTIFS(L_Actief,1,L_WBS,$A106,L_Doeljaar,Sel_Doeljaar,L_Versiejaar,P_VJ,L_Versie,G$8,L_Kengetal,"Omzet FY")=0,"n.b.",SUMIFS(L_Waarde,L_Actief,1,L_WBS,$A106,L_Doeljaar,Sel_Doeljaar,L_Versiejaar,P_VJ,L_Versie,G$8,L_Kengetal,"Omzet FY"))))</f>
        <v/>
      </c>
      <c r="H106" s="41" t="str">
        <f>IF($A106="","",IF(ISNUMBER(IF(COUNTIFS(L_Actief,1,L_WBS,$A106,L_Doeljaar,Sel_Doeljaar,L_Versiejaar,P_VJ,L_Versie,H$8,L_Kengetal,"Omzet FY")=0,"n.b.",SUMIFS(L_Waarde,L_Actief,1,L_WBS,$A106,L_Doeljaar,Sel_Doeljaar,L_Versiejaar,P_VJ,L_Versie,H$8,L_Kengetal,"Omzet FY"))),IF(COUNTIFS(L_Actief,1,L_WBS,$A106,L_Doeljaar,Sel_Doeljaar,L_Versiejaar,P_VJ,L_Versie,H$8,L_Kengetal,"Omzet FY")=0,"n.b.",SUMIFS(L_Waarde,L_Actief,1,L_WBS,$A106,L_Doeljaar,Sel_Doeljaar,L_Versiejaar,P_VJ,L_Versie,H$8,L_Kengetal,"Omzet FY"))/P_Factor,IF(COUNTIFS(L_Actief,1,L_WBS,$A106,L_Doeljaar,Sel_Doeljaar,L_Versiejaar,P_VJ,L_Versie,H$8,L_Kengetal,"Omzet FY")=0,"n.b.",SUMIFS(L_Waarde,L_Actief,1,L_WBS,$A106,L_Doeljaar,Sel_Doeljaar,L_Versiejaar,P_VJ,L_Versie,H$8,L_Kengetal,"Omzet FY"))))</f>
        <v/>
      </c>
      <c r="I106" s="41" t="str">
        <f>IF($A106="","",IF(ISNUMBER(IF(COUNTIFS(L_Actief,1,L_WBS,$A106,L_Doeljaar,Sel_Doeljaar,L_Versiejaar,P_VJ,L_Versie,I$8,L_Kengetal,"Omzet FY")=0,"n.b.",SUMIFS(L_Waarde,L_Actief,1,L_WBS,$A106,L_Doeljaar,Sel_Doeljaar,L_Versiejaar,P_VJ,L_Versie,I$8,L_Kengetal,"Omzet FY"))),IF(COUNTIFS(L_Actief,1,L_WBS,$A106,L_Doeljaar,Sel_Doeljaar,L_Versiejaar,P_VJ,L_Versie,I$8,L_Kengetal,"Omzet FY")=0,"n.b.",SUMIFS(L_Waarde,L_Actief,1,L_WBS,$A106,L_Doeljaar,Sel_Doeljaar,L_Versiejaar,P_VJ,L_Versie,I$8,L_Kengetal,"Omzet FY"))/P_Factor,IF(COUNTIFS(L_Actief,1,L_WBS,$A106,L_Doeljaar,Sel_Doeljaar,L_Versiejaar,P_VJ,L_Versie,I$8,L_Kengetal,"Omzet FY")=0,"n.b.",SUMIFS(L_Waarde,L_Actief,1,L_WBS,$A106,L_Doeljaar,Sel_Doeljaar,L_Versiejaar,P_VJ,L_Versie,I$8,L_Kengetal,"Omzet FY"))))</f>
        <v/>
      </c>
      <c r="J106" s="41" t="str">
        <f>IF($A106="","",IF(ISNUMBER(IF(Sel_Doeljaar=P_RJ,VERW_Project!$P102,IF(Sel_Doeljaar=P_RJ+1,VERW_Project!$R102,"n.b."))),IF(Sel_Doeljaar=P_RJ,VERW_Project!$P102,IF(Sel_Doeljaar=P_RJ+1,VERW_Project!$R102,"n.b."))/P_Factor,IF(Sel_Doeljaar=P_RJ,VERW_Project!$P102,IF(Sel_Doeljaar=P_RJ+1,VERW_Project!$R102,"n.b."))))</f>
        <v/>
      </c>
      <c r="K106" s="41" t="str">
        <f>IF($A106="","",IF(Sel_Bron="Vastgesteld",INDEX($E106:$I106,MATCH(Sel_Versie,$E$8:$I$8,0)),IF(Sel_Bron="Concept",J106,"n.b.")))</f>
        <v/>
      </c>
      <c r="L106" s="62" t="str">
        <f>IF($A106="","",IF(Sel_Doeljaar&gt;P_VJ,"n.v.t.",IF(Sel_Bron="Vastgesteld",IF(ISNUMBER(IF(COUNTIFS(L_Actief,1,L_WBS,$A106,L_Doeljaar,Sel_Doeljaar,L_Versiejaar,P_VJ,L_Versie,Sel_Versie,L_Kengetal,"Omzet actual YTD")=0,"n.b.",SUMIFS(L_Waarde,L_Actief,1,L_WBS,$A106,L_Doeljaar,Sel_Doeljaar,L_Versiejaar,P_VJ,L_Versie,Sel_Versie,L_Kengetal,"Omzet actual YTD"))),IF(COUNTIFS(L_Actief,1,L_WBS,$A106,L_Doeljaar,Sel_Doeljaar,L_Versiejaar,P_VJ,L_Versie,Sel_Versie,L_Kengetal,"Omzet actual YTD")=0,"n.b.",SUMIFS(L_Waarde,L_Actief,1,L_WBS,$A106,L_Doeljaar,Sel_Doeljaar,L_Versiejaar,P_VJ,L_Versie,Sel_Versie,L_Kengetal,"Omzet actual YTD"))/P_Factor,IF(COUNTIFS(L_Actief,1,L_WBS,$A106,L_Doeljaar,Sel_Doeljaar,L_Versiejaar,P_VJ,L_Versie,Sel_Versie,L_Kengetal,"Omzet actual YTD")=0,"n.b.",SUMIFS(L_Waarde,L_Actief,1,L_WBS,$A106,L_Doeljaar,Sel_Doeljaar,L_Versiejaar,P_VJ,L_Versie,Sel_Versie,L_Kengetal,"Omzet actual YTD"))),IF(Sel_Bron="Concept",IF(ISNUMBER(IF(Sel_Doeljaar=P_RJ,VERW_Project!$L102,"n.v.t.")),IF(Sel_Doeljaar=P_RJ,VERW_Project!$L102,"n.v.t.")/P_Factor,IF(Sel_Doeljaar=P_RJ,VERW_Project!$L102,"n.v.t.")),"n.b."))))</f>
        <v/>
      </c>
      <c r="M106" s="41" t="str">
        <f>IF($A106="","",IF(L106="n.v.t.",K106,IF(AND(ISNUMBER(K106),ISNUMBER(L106)),K106-L106,"n.b.")))</f>
        <v/>
      </c>
      <c r="N106" s="41" t="str">
        <f>IF($A106="","",IF(Sel_Bron="Vastgesteld",IF(ISNUMBER(IF(COUNTIFS(L_Actief,1,L_WBS,$A106,L_Doeljaar,Sel_Doeljaar,L_Versiejaar,P_VJ,L_Versie,Sel_Versie,L_Kengetal,"BOR FY")=0,"n.b.",SUMIFS(L_Waarde,L_Actief,1,L_WBS,$A106,L_Doeljaar,Sel_Doeljaar,L_Versiejaar,P_VJ,L_Versie,Sel_Versie,L_Kengetal,"BOR FY"))),IF(COUNTIFS(L_Actief,1,L_WBS,$A106,L_Doeljaar,Sel_Doeljaar,L_Versiejaar,P_VJ,L_Versie,Sel_Versie,L_Kengetal,"BOR FY")=0,"n.b.",SUMIFS(L_Waarde,L_Actief,1,L_WBS,$A106,L_Doeljaar,Sel_Doeljaar,L_Versiejaar,P_VJ,L_Versie,Sel_Versie,L_Kengetal,"BOR FY"))/P_Factor,IF(COUNTIFS(L_Actief,1,L_WBS,$A106,L_Doeljaar,Sel_Doeljaar,L_Versiejaar,P_VJ,L_Versie,Sel_Versie,L_Kengetal,"BOR FY")=0,"n.b.",SUMIFS(L_Waarde,L_Actief,1,L_WBS,$A106,L_Doeljaar,Sel_Doeljaar,L_Versiejaar,P_VJ,L_Versie,Sel_Versie,L_Kengetal,"BOR FY"))),IF(Sel_Bron="Concept",IF(ISNUMBER(IF(Sel_Doeljaar=P_RJ,VERW_Project!$Q102,IF(Sel_Doeljaar=P_RJ+1,VERW_Project!$S102,"n.b."))),IF(Sel_Doeljaar=P_RJ,VERW_Project!$Q102,IF(Sel_Doeljaar=P_RJ+1,VERW_Project!$S102,"n.b."))/P_Factor,IF(Sel_Doeljaar=P_RJ,VERW_Project!$Q102,IF(Sel_Doeljaar=P_RJ+1,VERW_Project!$S102,"n.b."))),"n.b.")))</f>
        <v/>
      </c>
      <c r="O106" s="63" t="str">
        <f>IF($A106="","",IF(AND(ISNUMBER(N106),ISNUMBER(K106)),IF(K106&lt;&gt;0,N106/K106,"n.b."),"n.b."))</f>
        <v/>
      </c>
      <c r="P106" s="41" t="str">
        <f>IF($A106="","",IF(AND(ISNUMBER(K106),ISNUMBER(E106)),K106-E106,"n.b."))</f>
        <v/>
      </c>
      <c r="Q106" s="41" t="str">
        <f>IF($A106="","",IF(AND(ISNUMBER(K106),ISNUMBER(W106)),K106-W106,"n.b."))</f>
        <v/>
      </c>
      <c r="R106" s="64" t="str">
        <f>IF($A106="","",IF(ISNUMBER(N106),IF(N106&lt;0,"Verlies",""),""))</f>
        <v/>
      </c>
      <c r="S106" s="61" t="str">
        <f>IF($A106="","",IFERROR(INDEX(T_Txt,MATCH($A106&amp;"|"&amp;Sel_Doeljaar&amp;"|"&amp;P_VJ&amp;"|"&amp;Sel_Versie,T_Key,0)),""))</f>
        <v/>
      </c>
      <c r="U106" s="15" t="str">
        <f>IF(AND(AND($A106&lt;&gt;"",OR(Sel_Type="Alle",$C106=Sel_Type),OR(Sel_Project="Alle",$B106=Sel_Project)),ISNUMBER(K106)),K106+ROW()/1000000000,"")</f>
        <v/>
      </c>
      <c r="V106" s="15" t="str">
        <f>IF(AND(AND($A106&lt;&gt;"",OR(Sel_Type="Alle",$C106=Sel_Type),OR(Sel_Project="Alle",$B106=Sel_Project)),ISNUMBER(Q106)),ABS(Q106)+ROW()/1000000000,"")</f>
        <v/>
      </c>
      <c r="W106" s="15" t="str">
        <f>IF(OR($A106="",Sel_Prev=""),"n.b.",IF(ISNUMBER(IF(COUNTIFS(L_Actief,1,L_WBS,$A106,L_Doeljaar,Sel_Doeljaar,L_Versiejaar,P_VJ,L_Versie,Sel_Prev,L_Kengetal,"Omzet FY")=0,"n.b.",SUMIFS(L_Waarde,L_Actief,1,L_WBS,$A106,L_Doeljaar,Sel_Doeljaar,L_Versiejaar,P_VJ,L_Versie,Sel_Prev,L_Kengetal,"Omzet FY"))),IF(COUNTIFS(L_Actief,1,L_WBS,$A106,L_Doeljaar,Sel_Doeljaar,L_Versiejaar,P_VJ,L_Versie,Sel_Prev,L_Kengetal,"Omzet FY")=0,"n.b.",SUMIFS(L_Waarde,L_Actief,1,L_WBS,$A106,L_Doeljaar,Sel_Doeljaar,L_Versiejaar,P_VJ,L_Versie,Sel_Prev,L_Kengetal,"Omzet FY"))/P_Factor,IF(COUNTIFS(L_Actief,1,L_WBS,$A106,L_Doeljaar,Sel_Doeljaar,L_Versiejaar,P_VJ,L_Versie,Sel_Prev,L_Kengetal,"Omzet FY")=0,"n.b.",SUMIFS(L_Waarde,L_Actief,1,L_WBS,$A106,L_Doeljaar,Sel_Doeljaar,L_Versiejaar,P_VJ,L_Versie,Sel_Prev,L_Kengetal,"Omzet FY"))))</f>
        <v>n.b.</v>
      </c>
    </row>
    <row r="107">
      <c r="A107" s="61" t="str">
        <f>IF(VERW_Project!$A103="","",VERW_Project!$A103)</f>
        <v/>
      </c>
      <c r="B107" s="61" t="str">
        <f>IF($A107="","",VERW_Project!$C103)</f>
        <v/>
      </c>
      <c r="C107" s="61" t="str">
        <f>IF($A107="","",VERW_Project!$D103)</f>
        <v/>
      </c>
      <c r="D107" s="61" t="str">
        <f>IF($A107="","",VERW_Project!$I103)</f>
        <v/>
      </c>
      <c r="E107" s="41" t="str">
        <f>IF($A107="","",IF(ISNUMBER(IF(COUNTIFS(L_Actief,1,L_WBS,$A107,L_Doeljaar,Sel_Doeljaar,L_Versiejaar,P_VJ,L_Versie,E$8,L_Kengetal,"Omzet FY")=0,"n.b.",SUMIFS(L_Waarde,L_Actief,1,L_WBS,$A107,L_Doeljaar,Sel_Doeljaar,L_Versiejaar,P_VJ,L_Versie,E$8,L_Kengetal,"Omzet FY"))),IF(COUNTIFS(L_Actief,1,L_WBS,$A107,L_Doeljaar,Sel_Doeljaar,L_Versiejaar,P_VJ,L_Versie,E$8,L_Kengetal,"Omzet FY")=0,"n.b.",SUMIFS(L_Waarde,L_Actief,1,L_WBS,$A107,L_Doeljaar,Sel_Doeljaar,L_Versiejaar,P_VJ,L_Versie,E$8,L_Kengetal,"Omzet FY"))/P_Factor,IF(COUNTIFS(L_Actief,1,L_WBS,$A107,L_Doeljaar,Sel_Doeljaar,L_Versiejaar,P_VJ,L_Versie,E$8,L_Kengetal,"Omzet FY")=0,"n.b.",SUMIFS(L_Waarde,L_Actief,1,L_WBS,$A107,L_Doeljaar,Sel_Doeljaar,L_Versiejaar,P_VJ,L_Versie,E$8,L_Kengetal,"Omzet FY"))))</f>
        <v/>
      </c>
      <c r="F107" s="41" t="str">
        <f>IF($A107="","",IF(ISNUMBER(IF(COUNTIFS(L_Actief,1,L_WBS,$A107,L_Doeljaar,Sel_Doeljaar,L_Versiejaar,P_VJ,L_Versie,F$8,L_Kengetal,"Omzet FY")=0,"n.b.",SUMIFS(L_Waarde,L_Actief,1,L_WBS,$A107,L_Doeljaar,Sel_Doeljaar,L_Versiejaar,P_VJ,L_Versie,F$8,L_Kengetal,"Omzet FY"))),IF(COUNTIFS(L_Actief,1,L_WBS,$A107,L_Doeljaar,Sel_Doeljaar,L_Versiejaar,P_VJ,L_Versie,F$8,L_Kengetal,"Omzet FY")=0,"n.b.",SUMIFS(L_Waarde,L_Actief,1,L_WBS,$A107,L_Doeljaar,Sel_Doeljaar,L_Versiejaar,P_VJ,L_Versie,F$8,L_Kengetal,"Omzet FY"))/P_Factor,IF(COUNTIFS(L_Actief,1,L_WBS,$A107,L_Doeljaar,Sel_Doeljaar,L_Versiejaar,P_VJ,L_Versie,F$8,L_Kengetal,"Omzet FY")=0,"n.b.",SUMIFS(L_Waarde,L_Actief,1,L_WBS,$A107,L_Doeljaar,Sel_Doeljaar,L_Versiejaar,P_VJ,L_Versie,F$8,L_Kengetal,"Omzet FY"))))</f>
        <v/>
      </c>
      <c r="G107" s="41" t="str">
        <f>IF($A107="","",IF(ISNUMBER(IF(COUNTIFS(L_Actief,1,L_WBS,$A107,L_Doeljaar,Sel_Doeljaar,L_Versiejaar,P_VJ,L_Versie,G$8,L_Kengetal,"Omzet FY")=0,"n.b.",SUMIFS(L_Waarde,L_Actief,1,L_WBS,$A107,L_Doeljaar,Sel_Doeljaar,L_Versiejaar,P_VJ,L_Versie,G$8,L_Kengetal,"Omzet FY"))),IF(COUNTIFS(L_Actief,1,L_WBS,$A107,L_Doeljaar,Sel_Doeljaar,L_Versiejaar,P_VJ,L_Versie,G$8,L_Kengetal,"Omzet FY")=0,"n.b.",SUMIFS(L_Waarde,L_Actief,1,L_WBS,$A107,L_Doeljaar,Sel_Doeljaar,L_Versiejaar,P_VJ,L_Versie,G$8,L_Kengetal,"Omzet FY"))/P_Factor,IF(COUNTIFS(L_Actief,1,L_WBS,$A107,L_Doeljaar,Sel_Doeljaar,L_Versiejaar,P_VJ,L_Versie,G$8,L_Kengetal,"Omzet FY")=0,"n.b.",SUMIFS(L_Waarde,L_Actief,1,L_WBS,$A107,L_Doeljaar,Sel_Doeljaar,L_Versiejaar,P_VJ,L_Versie,G$8,L_Kengetal,"Omzet FY"))))</f>
        <v/>
      </c>
      <c r="H107" s="41" t="str">
        <f>IF($A107="","",IF(ISNUMBER(IF(COUNTIFS(L_Actief,1,L_WBS,$A107,L_Doeljaar,Sel_Doeljaar,L_Versiejaar,P_VJ,L_Versie,H$8,L_Kengetal,"Omzet FY")=0,"n.b.",SUMIFS(L_Waarde,L_Actief,1,L_WBS,$A107,L_Doeljaar,Sel_Doeljaar,L_Versiejaar,P_VJ,L_Versie,H$8,L_Kengetal,"Omzet FY"))),IF(COUNTIFS(L_Actief,1,L_WBS,$A107,L_Doeljaar,Sel_Doeljaar,L_Versiejaar,P_VJ,L_Versie,H$8,L_Kengetal,"Omzet FY")=0,"n.b.",SUMIFS(L_Waarde,L_Actief,1,L_WBS,$A107,L_Doeljaar,Sel_Doeljaar,L_Versiejaar,P_VJ,L_Versie,H$8,L_Kengetal,"Omzet FY"))/P_Factor,IF(COUNTIFS(L_Actief,1,L_WBS,$A107,L_Doeljaar,Sel_Doeljaar,L_Versiejaar,P_VJ,L_Versie,H$8,L_Kengetal,"Omzet FY")=0,"n.b.",SUMIFS(L_Waarde,L_Actief,1,L_WBS,$A107,L_Doeljaar,Sel_Doeljaar,L_Versiejaar,P_VJ,L_Versie,H$8,L_Kengetal,"Omzet FY"))))</f>
        <v/>
      </c>
      <c r="I107" s="41" t="str">
        <f>IF($A107="","",IF(ISNUMBER(IF(COUNTIFS(L_Actief,1,L_WBS,$A107,L_Doeljaar,Sel_Doeljaar,L_Versiejaar,P_VJ,L_Versie,I$8,L_Kengetal,"Omzet FY")=0,"n.b.",SUMIFS(L_Waarde,L_Actief,1,L_WBS,$A107,L_Doeljaar,Sel_Doeljaar,L_Versiejaar,P_VJ,L_Versie,I$8,L_Kengetal,"Omzet FY"))),IF(COUNTIFS(L_Actief,1,L_WBS,$A107,L_Doeljaar,Sel_Doeljaar,L_Versiejaar,P_VJ,L_Versie,I$8,L_Kengetal,"Omzet FY")=0,"n.b.",SUMIFS(L_Waarde,L_Actief,1,L_WBS,$A107,L_Doeljaar,Sel_Doeljaar,L_Versiejaar,P_VJ,L_Versie,I$8,L_Kengetal,"Omzet FY"))/P_Factor,IF(COUNTIFS(L_Actief,1,L_WBS,$A107,L_Doeljaar,Sel_Doeljaar,L_Versiejaar,P_VJ,L_Versie,I$8,L_Kengetal,"Omzet FY")=0,"n.b.",SUMIFS(L_Waarde,L_Actief,1,L_WBS,$A107,L_Doeljaar,Sel_Doeljaar,L_Versiejaar,P_VJ,L_Versie,I$8,L_Kengetal,"Omzet FY"))))</f>
        <v/>
      </c>
      <c r="J107" s="41" t="str">
        <f>IF($A107="","",IF(ISNUMBER(IF(Sel_Doeljaar=P_RJ,VERW_Project!$P103,IF(Sel_Doeljaar=P_RJ+1,VERW_Project!$R103,"n.b."))),IF(Sel_Doeljaar=P_RJ,VERW_Project!$P103,IF(Sel_Doeljaar=P_RJ+1,VERW_Project!$R103,"n.b."))/P_Factor,IF(Sel_Doeljaar=P_RJ,VERW_Project!$P103,IF(Sel_Doeljaar=P_RJ+1,VERW_Project!$R103,"n.b."))))</f>
        <v/>
      </c>
      <c r="K107" s="41" t="str">
        <f>IF($A107="","",IF(Sel_Bron="Vastgesteld",INDEX($E107:$I107,MATCH(Sel_Versie,$E$8:$I$8,0)),IF(Sel_Bron="Concept",J107,"n.b.")))</f>
        <v/>
      </c>
      <c r="L107" s="62" t="str">
        <f>IF($A107="","",IF(Sel_Doeljaar&gt;P_VJ,"n.v.t.",IF(Sel_Bron="Vastgesteld",IF(ISNUMBER(IF(COUNTIFS(L_Actief,1,L_WBS,$A107,L_Doeljaar,Sel_Doeljaar,L_Versiejaar,P_VJ,L_Versie,Sel_Versie,L_Kengetal,"Omzet actual YTD")=0,"n.b.",SUMIFS(L_Waarde,L_Actief,1,L_WBS,$A107,L_Doeljaar,Sel_Doeljaar,L_Versiejaar,P_VJ,L_Versie,Sel_Versie,L_Kengetal,"Omzet actual YTD"))),IF(COUNTIFS(L_Actief,1,L_WBS,$A107,L_Doeljaar,Sel_Doeljaar,L_Versiejaar,P_VJ,L_Versie,Sel_Versie,L_Kengetal,"Omzet actual YTD")=0,"n.b.",SUMIFS(L_Waarde,L_Actief,1,L_WBS,$A107,L_Doeljaar,Sel_Doeljaar,L_Versiejaar,P_VJ,L_Versie,Sel_Versie,L_Kengetal,"Omzet actual YTD"))/P_Factor,IF(COUNTIFS(L_Actief,1,L_WBS,$A107,L_Doeljaar,Sel_Doeljaar,L_Versiejaar,P_VJ,L_Versie,Sel_Versie,L_Kengetal,"Omzet actual YTD")=0,"n.b.",SUMIFS(L_Waarde,L_Actief,1,L_WBS,$A107,L_Doeljaar,Sel_Doeljaar,L_Versiejaar,P_VJ,L_Versie,Sel_Versie,L_Kengetal,"Omzet actual YTD"))),IF(Sel_Bron="Concept",IF(ISNUMBER(IF(Sel_Doeljaar=P_RJ,VERW_Project!$L103,"n.v.t.")),IF(Sel_Doeljaar=P_RJ,VERW_Project!$L103,"n.v.t.")/P_Factor,IF(Sel_Doeljaar=P_RJ,VERW_Project!$L103,"n.v.t.")),"n.b."))))</f>
        <v/>
      </c>
      <c r="M107" s="41" t="str">
        <f>IF($A107="","",IF(L107="n.v.t.",K107,IF(AND(ISNUMBER(K107),ISNUMBER(L107)),K107-L107,"n.b.")))</f>
        <v/>
      </c>
      <c r="N107" s="41" t="str">
        <f>IF($A107="","",IF(Sel_Bron="Vastgesteld",IF(ISNUMBER(IF(COUNTIFS(L_Actief,1,L_WBS,$A107,L_Doeljaar,Sel_Doeljaar,L_Versiejaar,P_VJ,L_Versie,Sel_Versie,L_Kengetal,"BOR FY")=0,"n.b.",SUMIFS(L_Waarde,L_Actief,1,L_WBS,$A107,L_Doeljaar,Sel_Doeljaar,L_Versiejaar,P_VJ,L_Versie,Sel_Versie,L_Kengetal,"BOR FY"))),IF(COUNTIFS(L_Actief,1,L_WBS,$A107,L_Doeljaar,Sel_Doeljaar,L_Versiejaar,P_VJ,L_Versie,Sel_Versie,L_Kengetal,"BOR FY")=0,"n.b.",SUMIFS(L_Waarde,L_Actief,1,L_WBS,$A107,L_Doeljaar,Sel_Doeljaar,L_Versiejaar,P_VJ,L_Versie,Sel_Versie,L_Kengetal,"BOR FY"))/P_Factor,IF(COUNTIFS(L_Actief,1,L_WBS,$A107,L_Doeljaar,Sel_Doeljaar,L_Versiejaar,P_VJ,L_Versie,Sel_Versie,L_Kengetal,"BOR FY")=0,"n.b.",SUMIFS(L_Waarde,L_Actief,1,L_WBS,$A107,L_Doeljaar,Sel_Doeljaar,L_Versiejaar,P_VJ,L_Versie,Sel_Versie,L_Kengetal,"BOR FY"))),IF(Sel_Bron="Concept",IF(ISNUMBER(IF(Sel_Doeljaar=P_RJ,VERW_Project!$Q103,IF(Sel_Doeljaar=P_RJ+1,VERW_Project!$S103,"n.b."))),IF(Sel_Doeljaar=P_RJ,VERW_Project!$Q103,IF(Sel_Doeljaar=P_RJ+1,VERW_Project!$S103,"n.b."))/P_Factor,IF(Sel_Doeljaar=P_RJ,VERW_Project!$Q103,IF(Sel_Doeljaar=P_RJ+1,VERW_Project!$S103,"n.b."))),"n.b.")))</f>
        <v/>
      </c>
      <c r="O107" s="63" t="str">
        <f>IF($A107="","",IF(AND(ISNUMBER(N107),ISNUMBER(K107)),IF(K107&lt;&gt;0,N107/K107,"n.b."),"n.b."))</f>
        <v/>
      </c>
      <c r="P107" s="41" t="str">
        <f>IF($A107="","",IF(AND(ISNUMBER(K107),ISNUMBER(E107)),K107-E107,"n.b."))</f>
        <v/>
      </c>
      <c r="Q107" s="41" t="str">
        <f>IF($A107="","",IF(AND(ISNUMBER(K107),ISNUMBER(W107)),K107-W107,"n.b."))</f>
        <v/>
      </c>
      <c r="R107" s="64" t="str">
        <f>IF($A107="","",IF(ISNUMBER(N107),IF(N107&lt;0,"Verlies",""),""))</f>
        <v/>
      </c>
      <c r="S107" s="61" t="str">
        <f>IF($A107="","",IFERROR(INDEX(T_Txt,MATCH($A107&amp;"|"&amp;Sel_Doeljaar&amp;"|"&amp;P_VJ&amp;"|"&amp;Sel_Versie,T_Key,0)),""))</f>
        <v/>
      </c>
      <c r="U107" s="15" t="str">
        <f>IF(AND(AND($A107&lt;&gt;"",OR(Sel_Type="Alle",$C107=Sel_Type),OR(Sel_Project="Alle",$B107=Sel_Project)),ISNUMBER(K107)),K107+ROW()/1000000000,"")</f>
        <v/>
      </c>
      <c r="V107" s="15" t="str">
        <f>IF(AND(AND($A107&lt;&gt;"",OR(Sel_Type="Alle",$C107=Sel_Type),OR(Sel_Project="Alle",$B107=Sel_Project)),ISNUMBER(Q107)),ABS(Q107)+ROW()/1000000000,"")</f>
        <v/>
      </c>
      <c r="W107" s="15" t="str">
        <f>IF(OR($A107="",Sel_Prev=""),"n.b.",IF(ISNUMBER(IF(COUNTIFS(L_Actief,1,L_WBS,$A107,L_Doeljaar,Sel_Doeljaar,L_Versiejaar,P_VJ,L_Versie,Sel_Prev,L_Kengetal,"Omzet FY")=0,"n.b.",SUMIFS(L_Waarde,L_Actief,1,L_WBS,$A107,L_Doeljaar,Sel_Doeljaar,L_Versiejaar,P_VJ,L_Versie,Sel_Prev,L_Kengetal,"Omzet FY"))),IF(COUNTIFS(L_Actief,1,L_WBS,$A107,L_Doeljaar,Sel_Doeljaar,L_Versiejaar,P_VJ,L_Versie,Sel_Prev,L_Kengetal,"Omzet FY")=0,"n.b.",SUMIFS(L_Waarde,L_Actief,1,L_WBS,$A107,L_Doeljaar,Sel_Doeljaar,L_Versiejaar,P_VJ,L_Versie,Sel_Prev,L_Kengetal,"Omzet FY"))/P_Factor,IF(COUNTIFS(L_Actief,1,L_WBS,$A107,L_Doeljaar,Sel_Doeljaar,L_Versiejaar,P_VJ,L_Versie,Sel_Prev,L_Kengetal,"Omzet FY")=0,"n.b.",SUMIFS(L_Waarde,L_Actief,1,L_WBS,$A107,L_Doeljaar,Sel_Doeljaar,L_Versiejaar,P_VJ,L_Versie,Sel_Prev,L_Kengetal,"Omzet FY"))))</f>
        <v>n.b.</v>
      </c>
    </row>
    <row r="108">
      <c r="A108" s="61" t="str">
        <f>IF(VERW_Project!$A104="","",VERW_Project!$A104)</f>
        <v/>
      </c>
      <c r="B108" s="61" t="str">
        <f>IF($A108="","",VERW_Project!$C104)</f>
        <v/>
      </c>
      <c r="C108" s="61" t="str">
        <f>IF($A108="","",VERW_Project!$D104)</f>
        <v/>
      </c>
      <c r="D108" s="61" t="str">
        <f>IF($A108="","",VERW_Project!$I104)</f>
        <v/>
      </c>
      <c r="E108" s="41" t="str">
        <f>IF($A108="","",IF(ISNUMBER(IF(COUNTIFS(L_Actief,1,L_WBS,$A108,L_Doeljaar,Sel_Doeljaar,L_Versiejaar,P_VJ,L_Versie,E$8,L_Kengetal,"Omzet FY")=0,"n.b.",SUMIFS(L_Waarde,L_Actief,1,L_WBS,$A108,L_Doeljaar,Sel_Doeljaar,L_Versiejaar,P_VJ,L_Versie,E$8,L_Kengetal,"Omzet FY"))),IF(COUNTIFS(L_Actief,1,L_WBS,$A108,L_Doeljaar,Sel_Doeljaar,L_Versiejaar,P_VJ,L_Versie,E$8,L_Kengetal,"Omzet FY")=0,"n.b.",SUMIFS(L_Waarde,L_Actief,1,L_WBS,$A108,L_Doeljaar,Sel_Doeljaar,L_Versiejaar,P_VJ,L_Versie,E$8,L_Kengetal,"Omzet FY"))/P_Factor,IF(COUNTIFS(L_Actief,1,L_WBS,$A108,L_Doeljaar,Sel_Doeljaar,L_Versiejaar,P_VJ,L_Versie,E$8,L_Kengetal,"Omzet FY")=0,"n.b.",SUMIFS(L_Waarde,L_Actief,1,L_WBS,$A108,L_Doeljaar,Sel_Doeljaar,L_Versiejaar,P_VJ,L_Versie,E$8,L_Kengetal,"Omzet FY"))))</f>
        <v/>
      </c>
      <c r="F108" s="41" t="str">
        <f>IF($A108="","",IF(ISNUMBER(IF(COUNTIFS(L_Actief,1,L_WBS,$A108,L_Doeljaar,Sel_Doeljaar,L_Versiejaar,P_VJ,L_Versie,F$8,L_Kengetal,"Omzet FY")=0,"n.b.",SUMIFS(L_Waarde,L_Actief,1,L_WBS,$A108,L_Doeljaar,Sel_Doeljaar,L_Versiejaar,P_VJ,L_Versie,F$8,L_Kengetal,"Omzet FY"))),IF(COUNTIFS(L_Actief,1,L_WBS,$A108,L_Doeljaar,Sel_Doeljaar,L_Versiejaar,P_VJ,L_Versie,F$8,L_Kengetal,"Omzet FY")=0,"n.b.",SUMIFS(L_Waarde,L_Actief,1,L_WBS,$A108,L_Doeljaar,Sel_Doeljaar,L_Versiejaar,P_VJ,L_Versie,F$8,L_Kengetal,"Omzet FY"))/P_Factor,IF(COUNTIFS(L_Actief,1,L_WBS,$A108,L_Doeljaar,Sel_Doeljaar,L_Versiejaar,P_VJ,L_Versie,F$8,L_Kengetal,"Omzet FY")=0,"n.b.",SUMIFS(L_Waarde,L_Actief,1,L_WBS,$A108,L_Doeljaar,Sel_Doeljaar,L_Versiejaar,P_VJ,L_Versie,F$8,L_Kengetal,"Omzet FY"))))</f>
        <v/>
      </c>
      <c r="G108" s="41" t="str">
        <f>IF($A108="","",IF(ISNUMBER(IF(COUNTIFS(L_Actief,1,L_WBS,$A108,L_Doeljaar,Sel_Doeljaar,L_Versiejaar,P_VJ,L_Versie,G$8,L_Kengetal,"Omzet FY")=0,"n.b.",SUMIFS(L_Waarde,L_Actief,1,L_WBS,$A108,L_Doeljaar,Sel_Doeljaar,L_Versiejaar,P_VJ,L_Versie,G$8,L_Kengetal,"Omzet FY"))),IF(COUNTIFS(L_Actief,1,L_WBS,$A108,L_Doeljaar,Sel_Doeljaar,L_Versiejaar,P_VJ,L_Versie,G$8,L_Kengetal,"Omzet FY")=0,"n.b.",SUMIFS(L_Waarde,L_Actief,1,L_WBS,$A108,L_Doeljaar,Sel_Doeljaar,L_Versiejaar,P_VJ,L_Versie,G$8,L_Kengetal,"Omzet FY"))/P_Factor,IF(COUNTIFS(L_Actief,1,L_WBS,$A108,L_Doeljaar,Sel_Doeljaar,L_Versiejaar,P_VJ,L_Versie,G$8,L_Kengetal,"Omzet FY")=0,"n.b.",SUMIFS(L_Waarde,L_Actief,1,L_WBS,$A108,L_Doeljaar,Sel_Doeljaar,L_Versiejaar,P_VJ,L_Versie,G$8,L_Kengetal,"Omzet FY"))))</f>
        <v/>
      </c>
      <c r="H108" s="41" t="str">
        <f>IF($A108="","",IF(ISNUMBER(IF(COUNTIFS(L_Actief,1,L_WBS,$A108,L_Doeljaar,Sel_Doeljaar,L_Versiejaar,P_VJ,L_Versie,H$8,L_Kengetal,"Omzet FY")=0,"n.b.",SUMIFS(L_Waarde,L_Actief,1,L_WBS,$A108,L_Doeljaar,Sel_Doeljaar,L_Versiejaar,P_VJ,L_Versie,H$8,L_Kengetal,"Omzet FY"))),IF(COUNTIFS(L_Actief,1,L_WBS,$A108,L_Doeljaar,Sel_Doeljaar,L_Versiejaar,P_VJ,L_Versie,H$8,L_Kengetal,"Omzet FY")=0,"n.b.",SUMIFS(L_Waarde,L_Actief,1,L_WBS,$A108,L_Doeljaar,Sel_Doeljaar,L_Versiejaar,P_VJ,L_Versie,H$8,L_Kengetal,"Omzet FY"))/P_Factor,IF(COUNTIFS(L_Actief,1,L_WBS,$A108,L_Doeljaar,Sel_Doeljaar,L_Versiejaar,P_VJ,L_Versie,H$8,L_Kengetal,"Omzet FY")=0,"n.b.",SUMIFS(L_Waarde,L_Actief,1,L_WBS,$A108,L_Doeljaar,Sel_Doeljaar,L_Versiejaar,P_VJ,L_Versie,H$8,L_Kengetal,"Omzet FY"))))</f>
        <v/>
      </c>
      <c r="I108" s="41" t="str">
        <f>IF($A108="","",IF(ISNUMBER(IF(COUNTIFS(L_Actief,1,L_WBS,$A108,L_Doeljaar,Sel_Doeljaar,L_Versiejaar,P_VJ,L_Versie,I$8,L_Kengetal,"Omzet FY")=0,"n.b.",SUMIFS(L_Waarde,L_Actief,1,L_WBS,$A108,L_Doeljaar,Sel_Doeljaar,L_Versiejaar,P_VJ,L_Versie,I$8,L_Kengetal,"Omzet FY"))),IF(COUNTIFS(L_Actief,1,L_WBS,$A108,L_Doeljaar,Sel_Doeljaar,L_Versiejaar,P_VJ,L_Versie,I$8,L_Kengetal,"Omzet FY")=0,"n.b.",SUMIFS(L_Waarde,L_Actief,1,L_WBS,$A108,L_Doeljaar,Sel_Doeljaar,L_Versiejaar,P_VJ,L_Versie,I$8,L_Kengetal,"Omzet FY"))/P_Factor,IF(COUNTIFS(L_Actief,1,L_WBS,$A108,L_Doeljaar,Sel_Doeljaar,L_Versiejaar,P_VJ,L_Versie,I$8,L_Kengetal,"Omzet FY")=0,"n.b.",SUMIFS(L_Waarde,L_Actief,1,L_WBS,$A108,L_Doeljaar,Sel_Doeljaar,L_Versiejaar,P_VJ,L_Versie,I$8,L_Kengetal,"Omzet FY"))))</f>
        <v/>
      </c>
      <c r="J108" s="41" t="str">
        <f>IF($A108="","",IF(ISNUMBER(IF(Sel_Doeljaar=P_RJ,VERW_Project!$P104,IF(Sel_Doeljaar=P_RJ+1,VERW_Project!$R104,"n.b."))),IF(Sel_Doeljaar=P_RJ,VERW_Project!$P104,IF(Sel_Doeljaar=P_RJ+1,VERW_Project!$R104,"n.b."))/P_Factor,IF(Sel_Doeljaar=P_RJ,VERW_Project!$P104,IF(Sel_Doeljaar=P_RJ+1,VERW_Project!$R104,"n.b."))))</f>
        <v/>
      </c>
      <c r="K108" s="41" t="str">
        <f>IF($A108="","",IF(Sel_Bron="Vastgesteld",INDEX($E108:$I108,MATCH(Sel_Versie,$E$8:$I$8,0)),IF(Sel_Bron="Concept",J108,"n.b.")))</f>
        <v/>
      </c>
      <c r="L108" s="62" t="str">
        <f>IF($A108="","",IF(Sel_Doeljaar&gt;P_VJ,"n.v.t.",IF(Sel_Bron="Vastgesteld",IF(ISNUMBER(IF(COUNTIFS(L_Actief,1,L_WBS,$A108,L_Doeljaar,Sel_Doeljaar,L_Versiejaar,P_VJ,L_Versie,Sel_Versie,L_Kengetal,"Omzet actual YTD")=0,"n.b.",SUMIFS(L_Waarde,L_Actief,1,L_WBS,$A108,L_Doeljaar,Sel_Doeljaar,L_Versiejaar,P_VJ,L_Versie,Sel_Versie,L_Kengetal,"Omzet actual YTD"))),IF(COUNTIFS(L_Actief,1,L_WBS,$A108,L_Doeljaar,Sel_Doeljaar,L_Versiejaar,P_VJ,L_Versie,Sel_Versie,L_Kengetal,"Omzet actual YTD")=0,"n.b.",SUMIFS(L_Waarde,L_Actief,1,L_WBS,$A108,L_Doeljaar,Sel_Doeljaar,L_Versiejaar,P_VJ,L_Versie,Sel_Versie,L_Kengetal,"Omzet actual YTD"))/P_Factor,IF(COUNTIFS(L_Actief,1,L_WBS,$A108,L_Doeljaar,Sel_Doeljaar,L_Versiejaar,P_VJ,L_Versie,Sel_Versie,L_Kengetal,"Omzet actual YTD")=0,"n.b.",SUMIFS(L_Waarde,L_Actief,1,L_WBS,$A108,L_Doeljaar,Sel_Doeljaar,L_Versiejaar,P_VJ,L_Versie,Sel_Versie,L_Kengetal,"Omzet actual YTD"))),IF(Sel_Bron="Concept",IF(ISNUMBER(IF(Sel_Doeljaar=P_RJ,VERW_Project!$L104,"n.v.t.")),IF(Sel_Doeljaar=P_RJ,VERW_Project!$L104,"n.v.t.")/P_Factor,IF(Sel_Doeljaar=P_RJ,VERW_Project!$L104,"n.v.t.")),"n.b."))))</f>
        <v/>
      </c>
      <c r="M108" s="41" t="str">
        <f>IF($A108="","",IF(L108="n.v.t.",K108,IF(AND(ISNUMBER(K108),ISNUMBER(L108)),K108-L108,"n.b.")))</f>
        <v/>
      </c>
      <c r="N108" s="41" t="str">
        <f>IF($A108="","",IF(Sel_Bron="Vastgesteld",IF(ISNUMBER(IF(COUNTIFS(L_Actief,1,L_WBS,$A108,L_Doeljaar,Sel_Doeljaar,L_Versiejaar,P_VJ,L_Versie,Sel_Versie,L_Kengetal,"BOR FY")=0,"n.b.",SUMIFS(L_Waarde,L_Actief,1,L_WBS,$A108,L_Doeljaar,Sel_Doeljaar,L_Versiejaar,P_VJ,L_Versie,Sel_Versie,L_Kengetal,"BOR FY"))),IF(COUNTIFS(L_Actief,1,L_WBS,$A108,L_Doeljaar,Sel_Doeljaar,L_Versiejaar,P_VJ,L_Versie,Sel_Versie,L_Kengetal,"BOR FY")=0,"n.b.",SUMIFS(L_Waarde,L_Actief,1,L_WBS,$A108,L_Doeljaar,Sel_Doeljaar,L_Versiejaar,P_VJ,L_Versie,Sel_Versie,L_Kengetal,"BOR FY"))/P_Factor,IF(COUNTIFS(L_Actief,1,L_WBS,$A108,L_Doeljaar,Sel_Doeljaar,L_Versiejaar,P_VJ,L_Versie,Sel_Versie,L_Kengetal,"BOR FY")=0,"n.b.",SUMIFS(L_Waarde,L_Actief,1,L_WBS,$A108,L_Doeljaar,Sel_Doeljaar,L_Versiejaar,P_VJ,L_Versie,Sel_Versie,L_Kengetal,"BOR FY"))),IF(Sel_Bron="Concept",IF(ISNUMBER(IF(Sel_Doeljaar=P_RJ,VERW_Project!$Q104,IF(Sel_Doeljaar=P_RJ+1,VERW_Project!$S104,"n.b."))),IF(Sel_Doeljaar=P_RJ,VERW_Project!$Q104,IF(Sel_Doeljaar=P_RJ+1,VERW_Project!$S104,"n.b."))/P_Factor,IF(Sel_Doeljaar=P_RJ,VERW_Project!$Q104,IF(Sel_Doeljaar=P_RJ+1,VERW_Project!$S104,"n.b."))),"n.b.")))</f>
        <v/>
      </c>
      <c r="O108" s="63" t="str">
        <f>IF($A108="","",IF(AND(ISNUMBER(N108),ISNUMBER(K108)),IF(K108&lt;&gt;0,N108/K108,"n.b."),"n.b."))</f>
        <v/>
      </c>
      <c r="P108" s="41" t="str">
        <f>IF($A108="","",IF(AND(ISNUMBER(K108),ISNUMBER(E108)),K108-E108,"n.b."))</f>
        <v/>
      </c>
      <c r="Q108" s="41" t="str">
        <f>IF($A108="","",IF(AND(ISNUMBER(K108),ISNUMBER(W108)),K108-W108,"n.b."))</f>
        <v/>
      </c>
      <c r="R108" s="64" t="str">
        <f>IF($A108="","",IF(ISNUMBER(N108),IF(N108&lt;0,"Verlies",""),""))</f>
        <v/>
      </c>
      <c r="S108" s="61" t="str">
        <f>IF($A108="","",IFERROR(INDEX(T_Txt,MATCH($A108&amp;"|"&amp;Sel_Doeljaar&amp;"|"&amp;P_VJ&amp;"|"&amp;Sel_Versie,T_Key,0)),""))</f>
        <v/>
      </c>
      <c r="U108" s="15" t="str">
        <f>IF(AND(AND($A108&lt;&gt;"",OR(Sel_Type="Alle",$C108=Sel_Type),OR(Sel_Project="Alle",$B108=Sel_Project)),ISNUMBER(K108)),K108+ROW()/1000000000,"")</f>
        <v/>
      </c>
      <c r="V108" s="15" t="str">
        <f>IF(AND(AND($A108&lt;&gt;"",OR(Sel_Type="Alle",$C108=Sel_Type),OR(Sel_Project="Alle",$B108=Sel_Project)),ISNUMBER(Q108)),ABS(Q108)+ROW()/1000000000,"")</f>
        <v/>
      </c>
      <c r="W108" s="15" t="str">
        <f>IF(OR($A108="",Sel_Prev=""),"n.b.",IF(ISNUMBER(IF(COUNTIFS(L_Actief,1,L_WBS,$A108,L_Doeljaar,Sel_Doeljaar,L_Versiejaar,P_VJ,L_Versie,Sel_Prev,L_Kengetal,"Omzet FY")=0,"n.b.",SUMIFS(L_Waarde,L_Actief,1,L_WBS,$A108,L_Doeljaar,Sel_Doeljaar,L_Versiejaar,P_VJ,L_Versie,Sel_Prev,L_Kengetal,"Omzet FY"))),IF(COUNTIFS(L_Actief,1,L_WBS,$A108,L_Doeljaar,Sel_Doeljaar,L_Versiejaar,P_VJ,L_Versie,Sel_Prev,L_Kengetal,"Omzet FY")=0,"n.b.",SUMIFS(L_Waarde,L_Actief,1,L_WBS,$A108,L_Doeljaar,Sel_Doeljaar,L_Versiejaar,P_VJ,L_Versie,Sel_Prev,L_Kengetal,"Omzet FY"))/P_Factor,IF(COUNTIFS(L_Actief,1,L_WBS,$A108,L_Doeljaar,Sel_Doeljaar,L_Versiejaar,P_VJ,L_Versie,Sel_Prev,L_Kengetal,"Omzet FY")=0,"n.b.",SUMIFS(L_Waarde,L_Actief,1,L_WBS,$A108,L_Doeljaar,Sel_Doeljaar,L_Versiejaar,P_VJ,L_Versie,Sel_Prev,L_Kengetal,"Omzet FY"))))</f>
        <v>n.b.</v>
      </c>
    </row>
    <row r="109">
      <c r="A109" s="61" t="str">
        <f>IF(VERW_Project!$A105="","",VERW_Project!$A105)</f>
        <v/>
      </c>
      <c r="B109" s="61" t="str">
        <f>IF($A109="","",VERW_Project!$C105)</f>
        <v/>
      </c>
      <c r="C109" s="61" t="str">
        <f>IF($A109="","",VERW_Project!$D105)</f>
        <v/>
      </c>
      <c r="D109" s="61" t="str">
        <f>IF($A109="","",VERW_Project!$I105)</f>
        <v/>
      </c>
      <c r="E109" s="41" t="str">
        <f>IF($A109="","",IF(ISNUMBER(IF(COUNTIFS(L_Actief,1,L_WBS,$A109,L_Doeljaar,Sel_Doeljaar,L_Versiejaar,P_VJ,L_Versie,E$8,L_Kengetal,"Omzet FY")=0,"n.b.",SUMIFS(L_Waarde,L_Actief,1,L_WBS,$A109,L_Doeljaar,Sel_Doeljaar,L_Versiejaar,P_VJ,L_Versie,E$8,L_Kengetal,"Omzet FY"))),IF(COUNTIFS(L_Actief,1,L_WBS,$A109,L_Doeljaar,Sel_Doeljaar,L_Versiejaar,P_VJ,L_Versie,E$8,L_Kengetal,"Omzet FY")=0,"n.b.",SUMIFS(L_Waarde,L_Actief,1,L_WBS,$A109,L_Doeljaar,Sel_Doeljaar,L_Versiejaar,P_VJ,L_Versie,E$8,L_Kengetal,"Omzet FY"))/P_Factor,IF(COUNTIFS(L_Actief,1,L_WBS,$A109,L_Doeljaar,Sel_Doeljaar,L_Versiejaar,P_VJ,L_Versie,E$8,L_Kengetal,"Omzet FY")=0,"n.b.",SUMIFS(L_Waarde,L_Actief,1,L_WBS,$A109,L_Doeljaar,Sel_Doeljaar,L_Versiejaar,P_VJ,L_Versie,E$8,L_Kengetal,"Omzet FY"))))</f>
        <v/>
      </c>
      <c r="F109" s="41" t="str">
        <f>IF($A109="","",IF(ISNUMBER(IF(COUNTIFS(L_Actief,1,L_WBS,$A109,L_Doeljaar,Sel_Doeljaar,L_Versiejaar,P_VJ,L_Versie,F$8,L_Kengetal,"Omzet FY")=0,"n.b.",SUMIFS(L_Waarde,L_Actief,1,L_WBS,$A109,L_Doeljaar,Sel_Doeljaar,L_Versiejaar,P_VJ,L_Versie,F$8,L_Kengetal,"Omzet FY"))),IF(COUNTIFS(L_Actief,1,L_WBS,$A109,L_Doeljaar,Sel_Doeljaar,L_Versiejaar,P_VJ,L_Versie,F$8,L_Kengetal,"Omzet FY")=0,"n.b.",SUMIFS(L_Waarde,L_Actief,1,L_WBS,$A109,L_Doeljaar,Sel_Doeljaar,L_Versiejaar,P_VJ,L_Versie,F$8,L_Kengetal,"Omzet FY"))/P_Factor,IF(COUNTIFS(L_Actief,1,L_WBS,$A109,L_Doeljaar,Sel_Doeljaar,L_Versiejaar,P_VJ,L_Versie,F$8,L_Kengetal,"Omzet FY")=0,"n.b.",SUMIFS(L_Waarde,L_Actief,1,L_WBS,$A109,L_Doeljaar,Sel_Doeljaar,L_Versiejaar,P_VJ,L_Versie,F$8,L_Kengetal,"Omzet FY"))))</f>
        <v/>
      </c>
      <c r="G109" s="41" t="str">
        <f>IF($A109="","",IF(ISNUMBER(IF(COUNTIFS(L_Actief,1,L_WBS,$A109,L_Doeljaar,Sel_Doeljaar,L_Versiejaar,P_VJ,L_Versie,G$8,L_Kengetal,"Omzet FY")=0,"n.b.",SUMIFS(L_Waarde,L_Actief,1,L_WBS,$A109,L_Doeljaar,Sel_Doeljaar,L_Versiejaar,P_VJ,L_Versie,G$8,L_Kengetal,"Omzet FY"))),IF(COUNTIFS(L_Actief,1,L_WBS,$A109,L_Doeljaar,Sel_Doeljaar,L_Versiejaar,P_VJ,L_Versie,G$8,L_Kengetal,"Omzet FY")=0,"n.b.",SUMIFS(L_Waarde,L_Actief,1,L_WBS,$A109,L_Doeljaar,Sel_Doeljaar,L_Versiejaar,P_VJ,L_Versie,G$8,L_Kengetal,"Omzet FY"))/P_Factor,IF(COUNTIFS(L_Actief,1,L_WBS,$A109,L_Doeljaar,Sel_Doeljaar,L_Versiejaar,P_VJ,L_Versie,G$8,L_Kengetal,"Omzet FY")=0,"n.b.",SUMIFS(L_Waarde,L_Actief,1,L_WBS,$A109,L_Doeljaar,Sel_Doeljaar,L_Versiejaar,P_VJ,L_Versie,G$8,L_Kengetal,"Omzet FY"))))</f>
        <v/>
      </c>
      <c r="H109" s="41" t="str">
        <f>IF($A109="","",IF(ISNUMBER(IF(COUNTIFS(L_Actief,1,L_WBS,$A109,L_Doeljaar,Sel_Doeljaar,L_Versiejaar,P_VJ,L_Versie,H$8,L_Kengetal,"Omzet FY")=0,"n.b.",SUMIFS(L_Waarde,L_Actief,1,L_WBS,$A109,L_Doeljaar,Sel_Doeljaar,L_Versiejaar,P_VJ,L_Versie,H$8,L_Kengetal,"Omzet FY"))),IF(COUNTIFS(L_Actief,1,L_WBS,$A109,L_Doeljaar,Sel_Doeljaar,L_Versiejaar,P_VJ,L_Versie,H$8,L_Kengetal,"Omzet FY")=0,"n.b.",SUMIFS(L_Waarde,L_Actief,1,L_WBS,$A109,L_Doeljaar,Sel_Doeljaar,L_Versiejaar,P_VJ,L_Versie,H$8,L_Kengetal,"Omzet FY"))/P_Factor,IF(COUNTIFS(L_Actief,1,L_WBS,$A109,L_Doeljaar,Sel_Doeljaar,L_Versiejaar,P_VJ,L_Versie,H$8,L_Kengetal,"Omzet FY")=0,"n.b.",SUMIFS(L_Waarde,L_Actief,1,L_WBS,$A109,L_Doeljaar,Sel_Doeljaar,L_Versiejaar,P_VJ,L_Versie,H$8,L_Kengetal,"Omzet FY"))))</f>
        <v/>
      </c>
      <c r="I109" s="41" t="str">
        <f>IF($A109="","",IF(ISNUMBER(IF(COUNTIFS(L_Actief,1,L_WBS,$A109,L_Doeljaar,Sel_Doeljaar,L_Versiejaar,P_VJ,L_Versie,I$8,L_Kengetal,"Omzet FY")=0,"n.b.",SUMIFS(L_Waarde,L_Actief,1,L_WBS,$A109,L_Doeljaar,Sel_Doeljaar,L_Versiejaar,P_VJ,L_Versie,I$8,L_Kengetal,"Omzet FY"))),IF(COUNTIFS(L_Actief,1,L_WBS,$A109,L_Doeljaar,Sel_Doeljaar,L_Versiejaar,P_VJ,L_Versie,I$8,L_Kengetal,"Omzet FY")=0,"n.b.",SUMIFS(L_Waarde,L_Actief,1,L_WBS,$A109,L_Doeljaar,Sel_Doeljaar,L_Versiejaar,P_VJ,L_Versie,I$8,L_Kengetal,"Omzet FY"))/P_Factor,IF(COUNTIFS(L_Actief,1,L_WBS,$A109,L_Doeljaar,Sel_Doeljaar,L_Versiejaar,P_VJ,L_Versie,I$8,L_Kengetal,"Omzet FY")=0,"n.b.",SUMIFS(L_Waarde,L_Actief,1,L_WBS,$A109,L_Doeljaar,Sel_Doeljaar,L_Versiejaar,P_VJ,L_Versie,I$8,L_Kengetal,"Omzet FY"))))</f>
        <v/>
      </c>
      <c r="J109" s="41" t="str">
        <f>IF($A109="","",IF(ISNUMBER(IF(Sel_Doeljaar=P_RJ,VERW_Project!$P105,IF(Sel_Doeljaar=P_RJ+1,VERW_Project!$R105,"n.b."))),IF(Sel_Doeljaar=P_RJ,VERW_Project!$P105,IF(Sel_Doeljaar=P_RJ+1,VERW_Project!$R105,"n.b."))/P_Factor,IF(Sel_Doeljaar=P_RJ,VERW_Project!$P105,IF(Sel_Doeljaar=P_RJ+1,VERW_Project!$R105,"n.b."))))</f>
        <v/>
      </c>
      <c r="K109" s="41" t="str">
        <f>IF($A109="","",IF(Sel_Bron="Vastgesteld",INDEX($E109:$I109,MATCH(Sel_Versie,$E$8:$I$8,0)),IF(Sel_Bron="Concept",J109,"n.b.")))</f>
        <v/>
      </c>
      <c r="L109" s="62" t="str">
        <f>IF($A109="","",IF(Sel_Doeljaar&gt;P_VJ,"n.v.t.",IF(Sel_Bron="Vastgesteld",IF(ISNUMBER(IF(COUNTIFS(L_Actief,1,L_WBS,$A109,L_Doeljaar,Sel_Doeljaar,L_Versiejaar,P_VJ,L_Versie,Sel_Versie,L_Kengetal,"Omzet actual YTD")=0,"n.b.",SUMIFS(L_Waarde,L_Actief,1,L_WBS,$A109,L_Doeljaar,Sel_Doeljaar,L_Versiejaar,P_VJ,L_Versie,Sel_Versie,L_Kengetal,"Omzet actual YTD"))),IF(COUNTIFS(L_Actief,1,L_WBS,$A109,L_Doeljaar,Sel_Doeljaar,L_Versiejaar,P_VJ,L_Versie,Sel_Versie,L_Kengetal,"Omzet actual YTD")=0,"n.b.",SUMIFS(L_Waarde,L_Actief,1,L_WBS,$A109,L_Doeljaar,Sel_Doeljaar,L_Versiejaar,P_VJ,L_Versie,Sel_Versie,L_Kengetal,"Omzet actual YTD"))/P_Factor,IF(COUNTIFS(L_Actief,1,L_WBS,$A109,L_Doeljaar,Sel_Doeljaar,L_Versiejaar,P_VJ,L_Versie,Sel_Versie,L_Kengetal,"Omzet actual YTD")=0,"n.b.",SUMIFS(L_Waarde,L_Actief,1,L_WBS,$A109,L_Doeljaar,Sel_Doeljaar,L_Versiejaar,P_VJ,L_Versie,Sel_Versie,L_Kengetal,"Omzet actual YTD"))),IF(Sel_Bron="Concept",IF(ISNUMBER(IF(Sel_Doeljaar=P_RJ,VERW_Project!$L105,"n.v.t.")),IF(Sel_Doeljaar=P_RJ,VERW_Project!$L105,"n.v.t.")/P_Factor,IF(Sel_Doeljaar=P_RJ,VERW_Project!$L105,"n.v.t.")),"n.b."))))</f>
        <v/>
      </c>
      <c r="M109" s="41" t="str">
        <f>IF($A109="","",IF(L109="n.v.t.",K109,IF(AND(ISNUMBER(K109),ISNUMBER(L109)),K109-L109,"n.b.")))</f>
        <v/>
      </c>
      <c r="N109" s="41" t="str">
        <f>IF($A109="","",IF(Sel_Bron="Vastgesteld",IF(ISNUMBER(IF(COUNTIFS(L_Actief,1,L_WBS,$A109,L_Doeljaar,Sel_Doeljaar,L_Versiejaar,P_VJ,L_Versie,Sel_Versie,L_Kengetal,"BOR FY")=0,"n.b.",SUMIFS(L_Waarde,L_Actief,1,L_WBS,$A109,L_Doeljaar,Sel_Doeljaar,L_Versiejaar,P_VJ,L_Versie,Sel_Versie,L_Kengetal,"BOR FY"))),IF(COUNTIFS(L_Actief,1,L_WBS,$A109,L_Doeljaar,Sel_Doeljaar,L_Versiejaar,P_VJ,L_Versie,Sel_Versie,L_Kengetal,"BOR FY")=0,"n.b.",SUMIFS(L_Waarde,L_Actief,1,L_WBS,$A109,L_Doeljaar,Sel_Doeljaar,L_Versiejaar,P_VJ,L_Versie,Sel_Versie,L_Kengetal,"BOR FY"))/P_Factor,IF(COUNTIFS(L_Actief,1,L_WBS,$A109,L_Doeljaar,Sel_Doeljaar,L_Versiejaar,P_VJ,L_Versie,Sel_Versie,L_Kengetal,"BOR FY")=0,"n.b.",SUMIFS(L_Waarde,L_Actief,1,L_WBS,$A109,L_Doeljaar,Sel_Doeljaar,L_Versiejaar,P_VJ,L_Versie,Sel_Versie,L_Kengetal,"BOR FY"))),IF(Sel_Bron="Concept",IF(ISNUMBER(IF(Sel_Doeljaar=P_RJ,VERW_Project!$Q105,IF(Sel_Doeljaar=P_RJ+1,VERW_Project!$S105,"n.b."))),IF(Sel_Doeljaar=P_RJ,VERW_Project!$Q105,IF(Sel_Doeljaar=P_RJ+1,VERW_Project!$S105,"n.b."))/P_Factor,IF(Sel_Doeljaar=P_RJ,VERW_Project!$Q105,IF(Sel_Doeljaar=P_RJ+1,VERW_Project!$S105,"n.b."))),"n.b.")))</f>
        <v/>
      </c>
      <c r="O109" s="63" t="str">
        <f>IF($A109="","",IF(AND(ISNUMBER(N109),ISNUMBER(K109)),IF(K109&lt;&gt;0,N109/K109,"n.b."),"n.b."))</f>
        <v/>
      </c>
      <c r="P109" s="41" t="str">
        <f>IF($A109="","",IF(AND(ISNUMBER(K109),ISNUMBER(E109)),K109-E109,"n.b."))</f>
        <v/>
      </c>
      <c r="Q109" s="41" t="str">
        <f>IF($A109="","",IF(AND(ISNUMBER(K109),ISNUMBER(W109)),K109-W109,"n.b."))</f>
        <v/>
      </c>
      <c r="R109" s="64" t="str">
        <f>IF($A109="","",IF(ISNUMBER(N109),IF(N109&lt;0,"Verlies",""),""))</f>
        <v/>
      </c>
      <c r="S109" s="61" t="str">
        <f>IF($A109="","",IFERROR(INDEX(T_Txt,MATCH($A109&amp;"|"&amp;Sel_Doeljaar&amp;"|"&amp;P_VJ&amp;"|"&amp;Sel_Versie,T_Key,0)),""))</f>
        <v/>
      </c>
      <c r="U109" s="15" t="str">
        <f>IF(AND(AND($A109&lt;&gt;"",OR(Sel_Type="Alle",$C109=Sel_Type),OR(Sel_Project="Alle",$B109=Sel_Project)),ISNUMBER(K109)),K109+ROW()/1000000000,"")</f>
        <v/>
      </c>
      <c r="V109" s="15" t="str">
        <f>IF(AND(AND($A109&lt;&gt;"",OR(Sel_Type="Alle",$C109=Sel_Type),OR(Sel_Project="Alle",$B109=Sel_Project)),ISNUMBER(Q109)),ABS(Q109)+ROW()/1000000000,"")</f>
        <v/>
      </c>
      <c r="W109" s="15" t="str">
        <f>IF(OR($A109="",Sel_Prev=""),"n.b.",IF(ISNUMBER(IF(COUNTIFS(L_Actief,1,L_WBS,$A109,L_Doeljaar,Sel_Doeljaar,L_Versiejaar,P_VJ,L_Versie,Sel_Prev,L_Kengetal,"Omzet FY")=0,"n.b.",SUMIFS(L_Waarde,L_Actief,1,L_WBS,$A109,L_Doeljaar,Sel_Doeljaar,L_Versiejaar,P_VJ,L_Versie,Sel_Prev,L_Kengetal,"Omzet FY"))),IF(COUNTIFS(L_Actief,1,L_WBS,$A109,L_Doeljaar,Sel_Doeljaar,L_Versiejaar,P_VJ,L_Versie,Sel_Prev,L_Kengetal,"Omzet FY")=0,"n.b.",SUMIFS(L_Waarde,L_Actief,1,L_WBS,$A109,L_Doeljaar,Sel_Doeljaar,L_Versiejaar,P_VJ,L_Versie,Sel_Prev,L_Kengetal,"Omzet FY"))/P_Factor,IF(COUNTIFS(L_Actief,1,L_WBS,$A109,L_Doeljaar,Sel_Doeljaar,L_Versiejaar,P_VJ,L_Versie,Sel_Prev,L_Kengetal,"Omzet FY")=0,"n.b.",SUMIFS(L_Waarde,L_Actief,1,L_WBS,$A109,L_Doeljaar,Sel_Doeljaar,L_Versiejaar,P_VJ,L_Versie,Sel_Prev,L_Kengetal,"Omzet FY"))))</f>
        <v>n.b.</v>
      </c>
    </row>
  </sheetData>
  <autoFilter ref="A9:S109"/>
  <conditionalFormatting sqref="E10:I109">
    <cfRule type="expression" priority="1" dxfId="2">
      <formula>AND($A10&lt;&gt;"",E$8=Sel_Versie)</formula>
    </cfRule>
  </conditionalFormatting>
  <conditionalFormatting sqref="K10:K109">
    <cfRule type="expression" priority="2" dxfId="2">
      <formula>$A10&lt;&gt;""</formula>
    </cfRule>
  </conditionalFormatting>
  <conditionalFormatting sqref="L10:L109">
    <cfRule type="expression" priority="3" dxfId="4">
      <formula>$A10&lt;&gt;""</formula>
    </cfRule>
  </conditionalFormatting>
  <printOptions horizontalCentered="1"/>
  <pageMargins left="0.4" right="0.4" top="0.5" bottom="0.5" header="0.5" footer="0.5"/>
  <pageSetup orientation="landscape" paperSize="9" fitToHeight="0" fitToWidth="1"/>
</worksheet>
</file>

<file path=xl/worksheets/sheet5.xml><?xml version="1.0" encoding="utf-8"?>
<worksheet xmlns="http://schemas.openxmlformats.org/spreadsheetml/2006/main">
  <sheetPr>
    <tabColor rgb="00F5B800"/>
    <outlinePr summaryBelow="1" summaryRight="1"/>
    <pageSetUpPr fitToPage="1"/>
  </sheetPr>
  <dimension ref="A1:V59"/>
  <sheetViews>
    <sheetView showGridLines="0" zoomScale="90" workbookViewId="0">
      <selection activeCell="A1" sqref="A1"/>
    </sheetView>
  </sheetViews>
  <sheetFormatPr baseColWidth="8" defaultRowHeight="15"/>
  <cols>
    <col width="2" customWidth="1" min="1" max="1"/>
    <col width="20" customWidth="1" min="2" max="2"/>
    <col width="13" customWidth="1" min="3" max="3"/>
    <col width="10" customWidth="1" min="4" max="4"/>
    <col width="10" customWidth="1" min="5" max="5"/>
    <col width="13" customWidth="1" min="6" max="6"/>
    <col width="10" customWidth="1" min="7" max="7"/>
    <col width="10" customWidth="1" min="8" max="8"/>
    <col width="10"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7" customWidth="1" min="21" max="21"/>
    <col width="7" customWidth="1" min="22" max="22"/>
  </cols>
  <sheetData>
    <row r="1" ht="28" customHeight="1">
      <c r="A1" s="1" t="n"/>
      <c r="B1" s="2" t="str">
        <f>"Projectdetail — "&amp;Det_Project</f>
        <v>Projectdetail — Lindehaven, Parkzoom fase 1</v>
      </c>
      <c r="C1" s="1" t="n"/>
      <c r="D1" s="1" t="n"/>
      <c r="E1" s="1" t="n"/>
      <c r="F1" s="1" t="n"/>
      <c r="G1" s="1" t="n"/>
      <c r="H1" s="1" t="n"/>
      <c r="I1" s="1" t="n"/>
      <c r="J1" s="1" t="n"/>
      <c r="K1" s="1" t="n"/>
      <c r="L1" s="1" t="n"/>
      <c r="M1" s="1" t="n"/>
      <c r="N1" s="1" t="n"/>
      <c r="O1" s="1" t="n"/>
      <c r="P1" s="1" t="n"/>
      <c r="Q1" s="1" t="n"/>
      <c r="R1" s="1" t="n"/>
      <c r="S1" s="1" t="n"/>
    </row>
    <row r="2">
      <c r="B2" s="3" t="str">
        <f>"Doeljaar "&amp;Sel_Doeljaar&amp;" · versiejaar "&amp;P_VJ&amp;" · bedragen in "&amp;P_Eenheid&amp;" · upload peildatum "&amp;P_PeilTxt</f>
        <v>Doeljaar 2026 · versiejaar 2026 · bedragen in EUR x 1.000 · upload peildatum 30-09-2026</v>
      </c>
    </row>
    <row r="4">
      <c r="B4" s="31" t="inlineStr">
        <is>
          <t>Kies project:</t>
        </is>
      </c>
      <c r="C4" s="20" t="inlineStr">
        <is>
          <t>Lindehaven, Parkzoom fase 1</t>
        </is>
      </c>
      <c r="D4" s="22" t="n"/>
      <c r="E4" s="22" t="n"/>
      <c r="F4" s="21" t="n"/>
      <c r="H4" s="15">
        <f>IFERROR(MATCH(Det_Project,V_Naam,0),0)</f>
        <v>1</v>
      </c>
      <c r="I4" s="15" t="str">
        <f>IF(Det_Idx=0,"(project niet gevonden)",INDEX(V_WBS,Det_Idx))</f>
        <v>G.900001.8.9090</v>
      </c>
    </row>
    <row r="6">
      <c r="B6" s="65" t="inlineStr">
        <is>
          <t>WBS-element</t>
        </is>
      </c>
      <c r="C6" s="66" t="str">
        <f>IF(Det_Idx=0,"n.b.",INDEX(V_WBS,Det_Idx))</f>
        <v>G.900001.8.9090</v>
      </c>
      <c r="E6" s="65" t="inlineStr">
        <is>
          <t>Kans %</t>
        </is>
      </c>
      <c r="F6" s="67">
        <f>IF(Det_Idx=0,"n.b.",INDEX(V_I_Kans,Det_Idx))</f>
        <v>100</v>
      </c>
    </row>
    <row r="7">
      <c r="B7" s="65" t="inlineStr">
        <is>
          <t>Projectdefinitie</t>
        </is>
      </c>
      <c r="C7" s="66" t="str">
        <f>IF(Det_Idx=0,"n.b.",INDEX(V_Projdef,Det_Idx))</f>
        <v>G.900001</v>
      </c>
      <c r="E7" s="65" t="inlineStr">
        <is>
          <t>Risicoklasse</t>
        </is>
      </c>
      <c r="F7" s="67">
        <f>IF(Det_Idx=0,"n.b.",INDEX(V_I_Risico,Det_Idx))</f>
        <v>1</v>
      </c>
    </row>
    <row r="8">
      <c r="B8" s="65" t="inlineStr">
        <is>
          <t>Type</t>
        </is>
      </c>
      <c r="C8" s="66" t="str">
        <f>IF(Det_Idx=0,"n.b.",INDEX(V_Type,Det_Idx))</f>
        <v>Opstal</v>
      </c>
      <c r="E8" s="65" t="inlineStr">
        <is>
          <t>POC %</t>
        </is>
      </c>
      <c r="F8" s="68">
        <f>IF(Det_Idx=0,"n.b.",INDEX(V_I_POC,Det_Idx))</f>
        <v>39.7</v>
      </c>
    </row>
    <row r="9">
      <c r="B9" s="65" t="inlineStr">
        <is>
          <t>IFRS J/N</t>
        </is>
      </c>
      <c r="C9" s="66" t="str">
        <f>IF(Det_Idx=0,"n.b.",INDEX(V_IFRS,Det_Idx))</f>
        <v>J</v>
      </c>
      <c r="E9" s="65" t="inlineStr">
        <is>
          <t>Orderintake</t>
        </is>
      </c>
      <c r="F9" s="69">
        <f>IF(Det_Idx=0,"n.b.",INDEX(V_I_Orderintake,Det_Idx))</f>
        <v>45658.0</v>
      </c>
    </row>
    <row r="10">
      <c r="B10" s="65" t="inlineStr">
        <is>
          <t>Segment (demo)</t>
        </is>
      </c>
      <c r="C10" s="66" t="str">
        <f>IF(Det_Idx=0,"n.b.",INDEX(V_Segment,Det_Idx))</f>
        <v>Grondgebonden</v>
      </c>
      <c r="E10" s="65" t="inlineStr">
        <is>
          <t>Start verkoop</t>
        </is>
      </c>
      <c r="F10" s="69">
        <f>IF(Det_Idx=0,"n.b.",INDEX(V_I_StartVerk,Det_Idx))</f>
        <v>45931.0</v>
      </c>
    </row>
    <row r="11">
      <c r="B11" s="65" t="inlineStr">
        <is>
          <t>Aandeel % (info)</t>
        </is>
      </c>
      <c r="C11" s="67">
        <f>IF(Det_Idx=0,"n.b.",INDEX(V_Aandeel,Det_Idx))</f>
        <v>100</v>
      </c>
      <c r="E11" s="65" t="inlineStr">
        <is>
          <t>Start bouw</t>
        </is>
      </c>
      <c r="F11" s="69">
        <f>IF(Det_Idx=0,"n.b.",INDEX(V_I_StartBouw,Det_Idx))</f>
        <v>46023.0</v>
      </c>
    </row>
    <row r="12">
      <c r="B12" s="65" t="inlineStr">
        <is>
          <t>Marktsegment</t>
        </is>
      </c>
      <c r="C12" s="66" t="str">
        <f>IF(Det_Idx=0,"n.b.",INDEX(V_I_Marktsegment,Det_Idx))</f>
        <v>WO-Wonen</v>
      </c>
      <c r="E12" s="65" t="inlineStr">
        <is>
          <t>Maand oplevering (bron)</t>
        </is>
      </c>
      <c r="F12" s="67">
        <f>IF(Det_Idx=0,"n.b.",INDEX(V_I_Oplevering,Det_Idx))</f>
        <v>202812</v>
      </c>
    </row>
    <row r="13">
      <c r="B13" s="65" t="inlineStr">
        <is>
          <t>Status WBS</t>
        </is>
      </c>
      <c r="C13" s="66" t="str">
        <f>IF(Det_Idx=0,"n.b.",INDEX(V_I_StatusWBS,Det_Idx))</f>
        <v>VRIJ VEN3</v>
      </c>
      <c r="E13" s="65" t="inlineStr">
        <is>
          <t>Eind oplevering</t>
        </is>
      </c>
      <c r="F13" s="69">
        <f>IF(Det_Idx=0,"n.b.",INDEX(V_I_EindOpl,Det_Idx))</f>
        <v>47088.0</v>
      </c>
    </row>
    <row r="15">
      <c r="B15" s="16" t="inlineStr">
        <is>
          <t>Jaarprognoseverloop (vastgelegde versies) en upload</t>
        </is>
      </c>
      <c r="C15" s="8" t="n"/>
      <c r="D15" s="8" t="n"/>
      <c r="E15" s="8" t="n"/>
      <c r="F15" s="8" t="n"/>
      <c r="G15" s="8" t="n"/>
      <c r="H15" s="8" t="n"/>
      <c r="I15" s="8" t="n"/>
    </row>
    <row r="16" ht="26" customHeight="1">
      <c r="B16" s="32" t="inlineStr">
        <is>
          <t>Versie</t>
        </is>
      </c>
      <c r="C16" s="33" t="inlineStr">
        <is>
          <t>Omzet FY</t>
        </is>
      </c>
      <c r="D16" s="33" t="inlineStr">
        <is>
          <t>BOR FY</t>
        </is>
      </c>
      <c r="E16" s="33" t="inlineStr">
        <is>
          <t>Marge %</t>
        </is>
      </c>
      <c r="F16" s="33" t="inlineStr">
        <is>
          <t>Realisatie YTD</t>
        </is>
      </c>
      <c r="G16" s="33" t="inlineStr">
        <is>
          <t>To go</t>
        </is>
      </c>
      <c r="H16" s="33" t="inlineStr">
        <is>
          <t>Woningverk. FY</t>
        </is>
      </c>
      <c r="I16" s="33" t="inlineStr">
        <is>
          <t>Toelichting</t>
        </is>
      </c>
      <c r="K16" s="6" t="str">
        <f>"Omzet en BOR "&amp;Sel_Doeljaar&amp;" per versie ("&amp;P_Eenheid&amp;")"</f>
        <v>Omzet en BOR 2026 per versie (EUR x 1.000)</v>
      </c>
      <c r="Q16" s="15" t="inlineStr">
        <is>
          <t>Omzet FY</t>
        </is>
      </c>
      <c r="R16" s="15" t="inlineStr">
        <is>
          <t>BOR FY</t>
        </is>
      </c>
    </row>
    <row r="17">
      <c r="B17" s="61" t="inlineStr">
        <is>
          <t>Budget</t>
        </is>
      </c>
      <c r="C17" s="70">
        <f>IF(ISNUMBER(IF(COUNTIFS(L_Actief,1,L_WBS,Det_WBS,L_Doeljaar,Sel_Doeljaar,L_Versiejaar,P_VJ,L_Versie,"Budget",L_Kengetal,"Omzet FY")=0,"n.b.",SUMIFS(L_Waarde,L_Actief,1,L_WBS,Det_WBS,L_Doeljaar,Sel_Doeljaar,L_Versiejaar,P_VJ,L_Versie,"Budget",L_Kengetal,"Omzet FY"))),IF(COUNTIFS(L_Actief,1,L_WBS,Det_WBS,L_Doeljaar,Sel_Doeljaar,L_Versiejaar,P_VJ,L_Versie,"Budget",L_Kengetal,"Omzet FY")=0,"n.b.",SUMIFS(L_Waarde,L_Actief,1,L_WBS,Det_WBS,L_Doeljaar,Sel_Doeljaar,L_Versiejaar,P_VJ,L_Versie,"Budget",L_Kengetal,"Omzet FY"))/P_Factor,IF(COUNTIFS(L_Actief,1,L_WBS,Det_WBS,L_Doeljaar,Sel_Doeljaar,L_Versiejaar,P_VJ,L_Versie,"Budget",L_Kengetal,"Omzet FY")=0,"n.b.",SUMIFS(L_Waarde,L_Actief,1,L_WBS,Det_WBS,L_Doeljaar,Sel_Doeljaar,L_Versiejaar,P_VJ,L_Versie,"Budget",L_Kengetal,"Omzet FY")))</f>
        <v>6152.96</v>
      </c>
      <c r="D17" s="70">
        <f>IF(ISNUMBER(IF(COUNTIFS(L_Actief,1,L_WBS,Det_WBS,L_Doeljaar,Sel_Doeljaar,L_Versiejaar,P_VJ,L_Versie,"Budget",L_Kengetal,"BOR FY")=0,"n.b.",SUMIFS(L_Waarde,L_Actief,1,L_WBS,Det_WBS,L_Doeljaar,Sel_Doeljaar,L_Versiejaar,P_VJ,L_Versie,"Budget",L_Kengetal,"BOR FY"))),IF(COUNTIFS(L_Actief,1,L_WBS,Det_WBS,L_Doeljaar,Sel_Doeljaar,L_Versiejaar,P_VJ,L_Versie,"Budget",L_Kengetal,"BOR FY")=0,"n.b.",SUMIFS(L_Waarde,L_Actief,1,L_WBS,Det_WBS,L_Doeljaar,Sel_Doeljaar,L_Versiejaar,P_VJ,L_Versie,"Budget",L_Kengetal,"BOR FY"))/P_Factor,IF(COUNTIFS(L_Actief,1,L_WBS,Det_WBS,L_Doeljaar,Sel_Doeljaar,L_Versiejaar,P_VJ,L_Versie,"Budget",L_Kengetal,"BOR FY")=0,"n.b.",SUMIFS(L_Waarde,L_Actief,1,L_WBS,Det_WBS,L_Doeljaar,Sel_Doeljaar,L_Versiejaar,P_VJ,L_Versie,"Budget",L_Kengetal,"BOR FY")))</f>
        <v>553.7664</v>
      </c>
      <c r="E17" s="71">
        <f>IF(AND(ISNUMBER(C17),ISNUMBER(D17)),IF(C17&lt;&gt;0,D17/C17,"n.b."),"n.b.")</f>
        <v>0.09</v>
      </c>
      <c r="F17" s="42" t="str">
        <f>IF(ISNUMBER(IF(Sel_Doeljaar&gt;P_VJ,"n.v.t.",IF(COUNTIFS(L_Actief,1,L_WBS,Det_WBS,L_Doeljaar,Sel_Doeljaar,L_Versiejaar,P_VJ,L_Versie,"Budget",L_Kengetal,"Omzet actual YTD")=0,"n.b.",SUMIFS(L_Waarde,L_Actief,1,L_WBS,Det_WBS,L_Doeljaar,Sel_Doeljaar,L_Versiejaar,P_VJ,L_Versie,"Budget",L_Kengetal,"Omzet actual YTD")))),IF(Sel_Doeljaar&gt;P_VJ,"n.v.t.",IF(COUNTIFS(L_Actief,1,L_WBS,Det_WBS,L_Doeljaar,Sel_Doeljaar,L_Versiejaar,P_VJ,L_Versie,"Budget",L_Kengetal,"Omzet actual YTD")=0,"n.b.",SUMIFS(L_Waarde,L_Actief,1,L_WBS,Det_WBS,L_Doeljaar,Sel_Doeljaar,L_Versiejaar,P_VJ,L_Versie,"Budget",L_Kengetal,"Omzet actual YTD")))/P_Factor,IF(Sel_Doeljaar&gt;P_VJ,"n.v.t.",IF(COUNTIFS(L_Actief,1,L_WBS,Det_WBS,L_Doeljaar,Sel_Doeljaar,L_Versiejaar,P_VJ,L_Versie,"Budget",L_Kengetal,"Omzet actual YTD")=0,"n.b.",SUMIFS(L_Waarde,L_Actief,1,L_WBS,Det_WBS,L_Doeljaar,Sel_Doeljaar,L_Versiejaar,P_VJ,L_Versie,"Budget",L_Kengetal,"Omzet actual YTD"))))</f>
        <v>n.b.</v>
      </c>
      <c r="G17" s="70" t="str">
        <f>IF(F17="n.v.t.",C17,IF(AND(ISNUMBER(C17),ISNUMBER(F17)),C17-F17,"n.b."))</f>
        <v>n.b.</v>
      </c>
      <c r="H17" s="70">
        <f>IF(COUNTIFS(L_Actief,1,L_WBS,Det_WBS,L_Doeljaar,Sel_Doeljaar,L_Versiejaar,P_VJ,L_Versie,"Budget",L_Kengetal,"Woningverkopen FY")=0,"n.b.",SUMIFS(L_Waarde,L_Actief,1,L_WBS,Det_WBS,L_Doeljaar,Sel_Doeljaar,L_Versiejaar,P_VJ,L_Versie,"Budget",L_Kengetal,"Woningverkopen FY"))</f>
        <v>9</v>
      </c>
      <c r="I17" s="72" t="str">
        <f>IFERROR(INDEX(T_Txt,MATCH(Det_WBS&amp;"|"&amp;Sel_Doeljaar&amp;"|"&amp;P_VJ&amp;"|Budget",T_Key,0)),"")</f>
        <v/>
      </c>
      <c r="P17" s="15" t="str">
        <f>B17&amp;IF(ISNUMBER(C17),""," (n.b.)")</f>
        <v>Budget</v>
      </c>
      <c r="Q17" s="15">
        <f>IF(ISNUMBER(C17),C17,0)</f>
        <v>6152.96</v>
      </c>
      <c r="R17" s="15">
        <f>IF(ISNUMBER(D17),D17,0)</f>
        <v>553.7664</v>
      </c>
    </row>
    <row r="18">
      <c r="B18" s="61" t="inlineStr">
        <is>
          <t>Q1</t>
        </is>
      </c>
      <c r="C18" s="70">
        <f>IF(ISNUMBER(IF(COUNTIFS(L_Actief,1,L_WBS,Det_WBS,L_Doeljaar,Sel_Doeljaar,L_Versiejaar,P_VJ,L_Versie,"Q1",L_Kengetal,"Omzet FY")=0,"n.b.",SUMIFS(L_Waarde,L_Actief,1,L_WBS,Det_WBS,L_Doeljaar,Sel_Doeljaar,L_Versiejaar,P_VJ,L_Versie,"Q1",L_Kengetal,"Omzet FY"))),IF(COUNTIFS(L_Actief,1,L_WBS,Det_WBS,L_Doeljaar,Sel_Doeljaar,L_Versiejaar,P_VJ,L_Versie,"Q1",L_Kengetal,"Omzet FY")=0,"n.b.",SUMIFS(L_Waarde,L_Actief,1,L_WBS,Det_WBS,L_Doeljaar,Sel_Doeljaar,L_Versiejaar,P_VJ,L_Versie,"Q1",L_Kengetal,"Omzet FY"))/P_Factor,IF(COUNTIFS(L_Actief,1,L_WBS,Det_WBS,L_Doeljaar,Sel_Doeljaar,L_Versiejaar,P_VJ,L_Versie,"Q1",L_Kengetal,"Omzet FY")=0,"n.b.",SUMIFS(L_Waarde,L_Actief,1,L_WBS,Det_WBS,L_Doeljaar,Sel_Doeljaar,L_Versiejaar,P_VJ,L_Versie,"Q1",L_Kengetal,"Omzet FY")))</f>
        <v>5929.216</v>
      </c>
      <c r="D18" s="70">
        <f>IF(ISNUMBER(IF(COUNTIFS(L_Actief,1,L_WBS,Det_WBS,L_Doeljaar,Sel_Doeljaar,L_Versiejaar,P_VJ,L_Versie,"Q1",L_Kengetal,"BOR FY")=0,"n.b.",SUMIFS(L_Waarde,L_Actief,1,L_WBS,Det_WBS,L_Doeljaar,Sel_Doeljaar,L_Versiejaar,P_VJ,L_Versie,"Q1",L_Kengetal,"BOR FY"))),IF(COUNTIFS(L_Actief,1,L_WBS,Det_WBS,L_Doeljaar,Sel_Doeljaar,L_Versiejaar,P_VJ,L_Versie,"Q1",L_Kengetal,"BOR FY")=0,"n.b.",SUMIFS(L_Waarde,L_Actief,1,L_WBS,Det_WBS,L_Doeljaar,Sel_Doeljaar,L_Versiejaar,P_VJ,L_Versie,"Q1",L_Kengetal,"BOR FY"))/P_Factor,IF(COUNTIFS(L_Actief,1,L_WBS,Det_WBS,L_Doeljaar,Sel_Doeljaar,L_Versiejaar,P_VJ,L_Versie,"Q1",L_Kengetal,"BOR FY")=0,"n.b.",SUMIFS(L_Waarde,L_Actief,1,L_WBS,Det_WBS,L_Doeljaar,Sel_Doeljaar,L_Versiejaar,P_VJ,L_Versie,"Q1",L_Kengetal,"BOR FY")))</f>
        <v>533.62944</v>
      </c>
      <c r="E18" s="71">
        <f>IF(AND(ISNUMBER(C18),ISNUMBER(D18)),IF(C18&lt;&gt;0,D18/C18,"n.b."),"n.b.")</f>
        <v>0.09</v>
      </c>
      <c r="F18" s="42" t="str">
        <f>IF(ISNUMBER(IF(Sel_Doeljaar&gt;P_VJ,"n.v.t.",IF(COUNTIFS(L_Actief,1,L_WBS,Det_WBS,L_Doeljaar,Sel_Doeljaar,L_Versiejaar,P_VJ,L_Versie,"Q1",L_Kengetal,"Omzet actual YTD")=0,"n.b.",SUMIFS(L_Waarde,L_Actief,1,L_WBS,Det_WBS,L_Doeljaar,Sel_Doeljaar,L_Versiejaar,P_VJ,L_Versie,"Q1",L_Kengetal,"Omzet actual YTD")))),IF(Sel_Doeljaar&gt;P_VJ,"n.v.t.",IF(COUNTIFS(L_Actief,1,L_WBS,Det_WBS,L_Doeljaar,Sel_Doeljaar,L_Versiejaar,P_VJ,L_Versie,"Q1",L_Kengetal,"Omzet actual YTD")=0,"n.b.",SUMIFS(L_Waarde,L_Actief,1,L_WBS,Det_WBS,L_Doeljaar,Sel_Doeljaar,L_Versiejaar,P_VJ,L_Versie,"Q1",L_Kengetal,"Omzet actual YTD")))/P_Factor,IF(Sel_Doeljaar&gt;P_VJ,"n.v.t.",IF(COUNTIFS(L_Actief,1,L_WBS,Det_WBS,L_Doeljaar,Sel_Doeljaar,L_Versiejaar,P_VJ,L_Versie,"Q1",L_Kengetal,"Omzet actual YTD")=0,"n.b.",SUMIFS(L_Waarde,L_Actief,1,L_WBS,Det_WBS,L_Doeljaar,Sel_Doeljaar,L_Versiejaar,P_VJ,L_Versie,"Q1",L_Kengetal,"Omzet actual YTD"))))</f>
        <v>n.b.</v>
      </c>
      <c r="G18" s="70" t="str">
        <f>IF(F18="n.v.t.",C18,IF(AND(ISNUMBER(C18),ISNUMBER(F18)),C18-F18,"n.b."))</f>
        <v>n.b.</v>
      </c>
      <c r="H18" s="70">
        <f>IF(COUNTIFS(L_Actief,1,L_WBS,Det_WBS,L_Doeljaar,Sel_Doeljaar,L_Versiejaar,P_VJ,L_Versie,"Q1",L_Kengetal,"Woningverkopen FY")=0,"n.b.",SUMIFS(L_Waarde,L_Actief,1,L_WBS,Det_WBS,L_Doeljaar,Sel_Doeljaar,L_Versiejaar,P_VJ,L_Versie,"Q1",L_Kengetal,"Woningverkopen FY"))</f>
        <v>8</v>
      </c>
      <c r="I18" s="72" t="str">
        <f>IFERROR(INDEX(T_Txt,MATCH(Det_WBS&amp;"|"&amp;Sel_Doeljaar&amp;"|"&amp;P_VJ&amp;"|Q1",T_Key,0)),"")</f>
        <v/>
      </c>
      <c r="P18" s="15" t="str">
        <f>B18&amp;IF(ISNUMBER(C18),""," (n.b.)")</f>
        <v>Q1</v>
      </c>
      <c r="Q18" s="15">
        <f>IF(ISNUMBER(C18),C18,0)</f>
        <v>5929.216</v>
      </c>
      <c r="R18" s="15">
        <f>IF(ISNUMBER(D18),D18,0)</f>
        <v>533.62944</v>
      </c>
    </row>
    <row r="19">
      <c r="B19" s="61" t="inlineStr">
        <is>
          <t>Q2</t>
        </is>
      </c>
      <c r="C19" s="70">
        <f>IF(ISNUMBER(IF(COUNTIFS(L_Actief,1,L_WBS,Det_WBS,L_Doeljaar,Sel_Doeljaar,L_Versiejaar,P_VJ,L_Versie,"Q2",L_Kengetal,"Omzet FY")=0,"n.b.",SUMIFS(L_Waarde,L_Actief,1,L_WBS,Det_WBS,L_Doeljaar,Sel_Doeljaar,L_Versiejaar,P_VJ,L_Versie,"Q2",L_Kengetal,"Omzet FY"))),IF(COUNTIFS(L_Actief,1,L_WBS,Det_WBS,L_Doeljaar,Sel_Doeljaar,L_Versiejaar,P_VJ,L_Versie,"Q2",L_Kengetal,"Omzet FY")=0,"n.b.",SUMIFS(L_Waarde,L_Actief,1,L_WBS,Det_WBS,L_Doeljaar,Sel_Doeljaar,L_Versiejaar,P_VJ,L_Versie,"Q2",L_Kengetal,"Omzet FY"))/P_Factor,IF(COUNTIFS(L_Actief,1,L_WBS,Det_WBS,L_Doeljaar,Sel_Doeljaar,L_Versiejaar,P_VJ,L_Versie,"Q2",L_Kengetal,"Omzet FY")=0,"n.b.",SUMIFS(L_Waarde,L_Actief,1,L_WBS,Det_WBS,L_Doeljaar,Sel_Doeljaar,L_Versiejaar,P_VJ,L_Versie,"Q2",L_Kengetal,"Omzet FY")))</f>
        <v>5425.792</v>
      </c>
      <c r="D19" s="70">
        <f>IF(ISNUMBER(IF(COUNTIFS(L_Actief,1,L_WBS,Det_WBS,L_Doeljaar,Sel_Doeljaar,L_Versiejaar,P_VJ,L_Versie,"Q2",L_Kengetal,"BOR FY")=0,"n.b.",SUMIFS(L_Waarde,L_Actief,1,L_WBS,Det_WBS,L_Doeljaar,Sel_Doeljaar,L_Versiejaar,P_VJ,L_Versie,"Q2",L_Kengetal,"BOR FY"))),IF(COUNTIFS(L_Actief,1,L_WBS,Det_WBS,L_Doeljaar,Sel_Doeljaar,L_Versiejaar,P_VJ,L_Versie,"Q2",L_Kengetal,"BOR FY")=0,"n.b.",SUMIFS(L_Waarde,L_Actief,1,L_WBS,Det_WBS,L_Doeljaar,Sel_Doeljaar,L_Versiejaar,P_VJ,L_Versie,"Q2",L_Kengetal,"BOR FY"))/P_Factor,IF(COUNTIFS(L_Actief,1,L_WBS,Det_WBS,L_Doeljaar,Sel_Doeljaar,L_Versiejaar,P_VJ,L_Versie,"Q2",L_Kengetal,"BOR FY")=0,"n.b.",SUMIFS(L_Waarde,L_Actief,1,L_WBS,Det_WBS,L_Doeljaar,Sel_Doeljaar,L_Versiejaar,P_VJ,L_Versie,"Q2",L_Kengetal,"BOR FY")))</f>
        <v>488.32128</v>
      </c>
      <c r="E19" s="71">
        <f>IF(AND(ISNUMBER(C19),ISNUMBER(D19)),IF(C19&lt;&gt;0,D19/C19,"n.b."),"n.b.")</f>
        <v>0.09</v>
      </c>
      <c r="F19" s="42" t="str">
        <f>IF(ISNUMBER(IF(Sel_Doeljaar&gt;P_VJ,"n.v.t.",IF(COUNTIFS(L_Actief,1,L_WBS,Det_WBS,L_Doeljaar,Sel_Doeljaar,L_Versiejaar,P_VJ,L_Versie,"Q2",L_Kengetal,"Omzet actual YTD")=0,"n.b.",SUMIFS(L_Waarde,L_Actief,1,L_WBS,Det_WBS,L_Doeljaar,Sel_Doeljaar,L_Versiejaar,P_VJ,L_Versie,"Q2",L_Kengetal,"Omzet actual YTD")))),IF(Sel_Doeljaar&gt;P_VJ,"n.v.t.",IF(COUNTIFS(L_Actief,1,L_WBS,Det_WBS,L_Doeljaar,Sel_Doeljaar,L_Versiejaar,P_VJ,L_Versie,"Q2",L_Kengetal,"Omzet actual YTD")=0,"n.b.",SUMIFS(L_Waarde,L_Actief,1,L_WBS,Det_WBS,L_Doeljaar,Sel_Doeljaar,L_Versiejaar,P_VJ,L_Versie,"Q2",L_Kengetal,"Omzet actual YTD")))/P_Factor,IF(Sel_Doeljaar&gt;P_VJ,"n.v.t.",IF(COUNTIFS(L_Actief,1,L_WBS,Det_WBS,L_Doeljaar,Sel_Doeljaar,L_Versiejaar,P_VJ,L_Versie,"Q2",L_Kengetal,"Omzet actual YTD")=0,"n.b.",SUMIFS(L_Waarde,L_Actief,1,L_WBS,Det_WBS,L_Doeljaar,Sel_Doeljaar,L_Versiejaar,P_VJ,L_Versie,"Q2",L_Kengetal,"Omzet actual YTD"))))</f>
        <v>n.b.</v>
      </c>
      <c r="G19" s="70" t="str">
        <f>IF(F19="n.v.t.",C19,IF(AND(ISNUMBER(C19),ISNUMBER(F19)),C19-F19,"n.b."))</f>
        <v>n.b.</v>
      </c>
      <c r="H19" s="70">
        <f>IF(COUNTIFS(L_Actief,1,L_WBS,Det_WBS,L_Doeljaar,Sel_Doeljaar,L_Versiejaar,P_VJ,L_Versie,"Q2",L_Kengetal,"Woningverkopen FY")=0,"n.b.",SUMIFS(L_Waarde,L_Actief,1,L_WBS,Det_WBS,L_Doeljaar,Sel_Doeljaar,L_Versiejaar,P_VJ,L_Versie,"Q2",L_Kengetal,"Woningverkopen FY"))</f>
        <v>8</v>
      </c>
      <c r="I19" s="72" t="str">
        <f>IFERROR(INDEX(T_Txt,MATCH(Det_WBS&amp;"|"&amp;Sel_Doeljaar&amp;"|"&amp;P_VJ&amp;"|Q2",T_Key,0)),"")</f>
        <v/>
      </c>
      <c r="P19" s="15" t="str">
        <f>B19&amp;IF(ISNUMBER(C19),""," (n.b.)")</f>
        <v>Q2</v>
      </c>
      <c r="Q19" s="15">
        <f>IF(ISNUMBER(C19),C19,0)</f>
        <v>5425.792</v>
      </c>
      <c r="R19" s="15">
        <f>IF(ISNUMBER(D19),D19,0)</f>
        <v>488.32128</v>
      </c>
    </row>
    <row r="20">
      <c r="B20" s="61" t="inlineStr">
        <is>
          <t>Q3</t>
        </is>
      </c>
      <c r="C20" s="70">
        <f>IF(ISNUMBER(IF(COUNTIFS(L_Actief,1,L_WBS,Det_WBS,L_Doeljaar,Sel_Doeljaar,L_Versiejaar,P_VJ,L_Versie,"Q3",L_Kengetal,"Omzet FY")=0,"n.b.",SUMIFS(L_Waarde,L_Actief,1,L_WBS,Det_WBS,L_Doeljaar,Sel_Doeljaar,L_Versiejaar,P_VJ,L_Versie,"Q3",L_Kengetal,"Omzet FY"))),IF(COUNTIFS(L_Actief,1,L_WBS,Det_WBS,L_Doeljaar,Sel_Doeljaar,L_Versiejaar,P_VJ,L_Versie,"Q3",L_Kengetal,"Omzet FY")=0,"n.b.",SUMIFS(L_Waarde,L_Actief,1,L_WBS,Det_WBS,L_Doeljaar,Sel_Doeljaar,L_Versiejaar,P_VJ,L_Versie,"Q3",L_Kengetal,"Omzet FY"))/P_Factor,IF(COUNTIFS(L_Actief,1,L_WBS,Det_WBS,L_Doeljaar,Sel_Doeljaar,L_Versiejaar,P_VJ,L_Versie,"Q3",L_Kengetal,"Omzet FY")=0,"n.b.",SUMIFS(L_Waarde,L_Actief,1,L_WBS,Det_WBS,L_Doeljaar,Sel_Doeljaar,L_Versiejaar,P_VJ,L_Versie,"Q3",L_Kengetal,"Omzet FY")))</f>
        <v>5593.6</v>
      </c>
      <c r="D20" s="70">
        <f>IF(ISNUMBER(IF(COUNTIFS(L_Actief,1,L_WBS,Det_WBS,L_Doeljaar,Sel_Doeljaar,L_Versiejaar,P_VJ,L_Versie,"Q3",L_Kengetal,"BOR FY")=0,"n.b.",SUMIFS(L_Waarde,L_Actief,1,L_WBS,Det_WBS,L_Doeljaar,Sel_Doeljaar,L_Versiejaar,P_VJ,L_Versie,"Q3",L_Kengetal,"BOR FY"))),IF(COUNTIFS(L_Actief,1,L_WBS,Det_WBS,L_Doeljaar,Sel_Doeljaar,L_Versiejaar,P_VJ,L_Versie,"Q3",L_Kengetal,"BOR FY")=0,"n.b.",SUMIFS(L_Waarde,L_Actief,1,L_WBS,Det_WBS,L_Doeljaar,Sel_Doeljaar,L_Versiejaar,P_VJ,L_Versie,"Q3",L_Kengetal,"BOR FY"))/P_Factor,IF(COUNTIFS(L_Actief,1,L_WBS,Det_WBS,L_Doeljaar,Sel_Doeljaar,L_Versiejaar,P_VJ,L_Versie,"Q3",L_Kengetal,"BOR FY")=0,"n.b.",SUMIFS(L_Waarde,L_Actief,1,L_WBS,Det_WBS,L_Doeljaar,Sel_Doeljaar,L_Versiejaar,P_VJ,L_Versie,"Q3",L_Kengetal,"BOR FY")))</f>
        <v>503.424</v>
      </c>
      <c r="E20" s="71">
        <f>IF(AND(ISNUMBER(C20),ISNUMBER(D20)),IF(C20&lt;&gt;0,D20/C20,"n.b."),"n.b.")</f>
        <v>0.09</v>
      </c>
      <c r="F20" s="42">
        <f>IF(ISNUMBER(IF(Sel_Doeljaar&gt;P_VJ,"n.v.t.",IF(COUNTIFS(L_Actief,1,L_WBS,Det_WBS,L_Doeljaar,Sel_Doeljaar,L_Versiejaar,P_VJ,L_Versie,"Q3",L_Kengetal,"Omzet actual YTD")=0,"n.b.",SUMIFS(L_Waarde,L_Actief,1,L_WBS,Det_WBS,L_Doeljaar,Sel_Doeljaar,L_Versiejaar,P_VJ,L_Versie,"Q3",L_Kengetal,"Omzet actual YTD")))),IF(Sel_Doeljaar&gt;P_VJ,"n.v.t.",IF(COUNTIFS(L_Actief,1,L_WBS,Det_WBS,L_Doeljaar,Sel_Doeljaar,L_Versiejaar,P_VJ,L_Versie,"Q3",L_Kengetal,"Omzet actual YTD")=0,"n.b.",SUMIFS(L_Waarde,L_Actief,1,L_WBS,Det_WBS,L_Doeljaar,Sel_Doeljaar,L_Versiejaar,P_VJ,L_Versie,"Q3",L_Kengetal,"Omzet actual YTD")))/P_Factor,IF(Sel_Doeljaar&gt;P_VJ,"n.v.t.",IF(COUNTIFS(L_Actief,1,L_WBS,Det_WBS,L_Doeljaar,Sel_Doeljaar,L_Versiejaar,P_VJ,L_Versie,"Q3",L_Kengetal,"Omzet actual YTD")=0,"n.b.",SUMIFS(L_Waarde,L_Actief,1,L_WBS,Det_WBS,L_Doeljaar,Sel_Doeljaar,L_Versiejaar,P_VJ,L_Versie,"Q3",L_Kengetal,"Omzet actual YTD"))))</f>
        <v>3635.84</v>
      </c>
      <c r="G20" s="70">
        <f>IF(F20="n.v.t.",C20,IF(AND(ISNUMBER(C20),ISNUMBER(F20)),C20-F20,"n.b."))</f>
        <v>1957.76</v>
      </c>
      <c r="H20" s="70">
        <f>IF(COUNTIFS(L_Actief,1,L_WBS,Det_WBS,L_Doeljaar,Sel_Doeljaar,L_Versiejaar,P_VJ,L_Versie,"Q3",L_Kengetal,"Woningverkopen FY")=0,"n.b.",SUMIFS(L_Waarde,L_Actief,1,L_WBS,Det_WBS,L_Doeljaar,Sel_Doeljaar,L_Versiejaar,P_VJ,L_Versie,"Q3",L_Kengetal,"Woningverkopen FY"))</f>
        <v>8</v>
      </c>
      <c r="I20" s="72" t="str">
        <f>IFERROR(INDEX(T_Txt,MATCH(Det_WBS&amp;"|"&amp;Sel_Doeljaar&amp;"|"&amp;P_VJ&amp;"|Q3",T_Key,0)),"")</f>
        <v/>
      </c>
      <c r="P20" s="15" t="str">
        <f>B20&amp;IF(ISNUMBER(C20),""," (n.b.)")</f>
        <v>Q3</v>
      </c>
      <c r="Q20" s="15">
        <f>IF(ISNUMBER(C20),C20,0)</f>
        <v>5593.6</v>
      </c>
      <c r="R20" s="15">
        <f>IF(ISNUMBER(D20),D20,0)</f>
        <v>503.424</v>
      </c>
    </row>
    <row r="21">
      <c r="B21" s="61" t="inlineStr">
        <is>
          <t>Q4</t>
        </is>
      </c>
      <c r="C21" s="70" t="str">
        <f>IF(ISNUMBER(IF(COUNTIFS(L_Actief,1,L_WBS,Det_WBS,L_Doeljaar,Sel_Doeljaar,L_Versiejaar,P_VJ,L_Versie,"Q4",L_Kengetal,"Omzet FY")=0,"n.b.",SUMIFS(L_Waarde,L_Actief,1,L_WBS,Det_WBS,L_Doeljaar,Sel_Doeljaar,L_Versiejaar,P_VJ,L_Versie,"Q4",L_Kengetal,"Omzet FY"))),IF(COUNTIFS(L_Actief,1,L_WBS,Det_WBS,L_Doeljaar,Sel_Doeljaar,L_Versiejaar,P_VJ,L_Versie,"Q4",L_Kengetal,"Omzet FY")=0,"n.b.",SUMIFS(L_Waarde,L_Actief,1,L_WBS,Det_WBS,L_Doeljaar,Sel_Doeljaar,L_Versiejaar,P_VJ,L_Versie,"Q4",L_Kengetal,"Omzet FY"))/P_Factor,IF(COUNTIFS(L_Actief,1,L_WBS,Det_WBS,L_Doeljaar,Sel_Doeljaar,L_Versiejaar,P_VJ,L_Versie,"Q4",L_Kengetal,"Omzet FY")=0,"n.b.",SUMIFS(L_Waarde,L_Actief,1,L_WBS,Det_WBS,L_Doeljaar,Sel_Doeljaar,L_Versiejaar,P_VJ,L_Versie,"Q4",L_Kengetal,"Omzet FY")))</f>
        <v>n.b.</v>
      </c>
      <c r="D21" s="70" t="str">
        <f>IF(ISNUMBER(IF(COUNTIFS(L_Actief,1,L_WBS,Det_WBS,L_Doeljaar,Sel_Doeljaar,L_Versiejaar,P_VJ,L_Versie,"Q4",L_Kengetal,"BOR FY")=0,"n.b.",SUMIFS(L_Waarde,L_Actief,1,L_WBS,Det_WBS,L_Doeljaar,Sel_Doeljaar,L_Versiejaar,P_VJ,L_Versie,"Q4",L_Kengetal,"BOR FY"))),IF(COUNTIFS(L_Actief,1,L_WBS,Det_WBS,L_Doeljaar,Sel_Doeljaar,L_Versiejaar,P_VJ,L_Versie,"Q4",L_Kengetal,"BOR FY")=0,"n.b.",SUMIFS(L_Waarde,L_Actief,1,L_WBS,Det_WBS,L_Doeljaar,Sel_Doeljaar,L_Versiejaar,P_VJ,L_Versie,"Q4",L_Kengetal,"BOR FY"))/P_Factor,IF(COUNTIFS(L_Actief,1,L_WBS,Det_WBS,L_Doeljaar,Sel_Doeljaar,L_Versiejaar,P_VJ,L_Versie,"Q4",L_Kengetal,"BOR FY")=0,"n.b.",SUMIFS(L_Waarde,L_Actief,1,L_WBS,Det_WBS,L_Doeljaar,Sel_Doeljaar,L_Versiejaar,P_VJ,L_Versie,"Q4",L_Kengetal,"BOR FY")))</f>
        <v>n.b.</v>
      </c>
      <c r="E21" s="71" t="str">
        <f>IF(AND(ISNUMBER(C21),ISNUMBER(D21)),IF(C21&lt;&gt;0,D21/C21,"n.b."),"n.b.")</f>
        <v>n.b.</v>
      </c>
      <c r="F21" s="42" t="str">
        <f>IF(ISNUMBER(IF(Sel_Doeljaar&gt;P_VJ,"n.v.t.",IF(COUNTIFS(L_Actief,1,L_WBS,Det_WBS,L_Doeljaar,Sel_Doeljaar,L_Versiejaar,P_VJ,L_Versie,"Q4",L_Kengetal,"Omzet actual YTD")=0,"n.b.",SUMIFS(L_Waarde,L_Actief,1,L_WBS,Det_WBS,L_Doeljaar,Sel_Doeljaar,L_Versiejaar,P_VJ,L_Versie,"Q4",L_Kengetal,"Omzet actual YTD")))),IF(Sel_Doeljaar&gt;P_VJ,"n.v.t.",IF(COUNTIFS(L_Actief,1,L_WBS,Det_WBS,L_Doeljaar,Sel_Doeljaar,L_Versiejaar,P_VJ,L_Versie,"Q4",L_Kengetal,"Omzet actual YTD")=0,"n.b.",SUMIFS(L_Waarde,L_Actief,1,L_WBS,Det_WBS,L_Doeljaar,Sel_Doeljaar,L_Versiejaar,P_VJ,L_Versie,"Q4",L_Kengetal,"Omzet actual YTD")))/P_Factor,IF(Sel_Doeljaar&gt;P_VJ,"n.v.t.",IF(COUNTIFS(L_Actief,1,L_WBS,Det_WBS,L_Doeljaar,Sel_Doeljaar,L_Versiejaar,P_VJ,L_Versie,"Q4",L_Kengetal,"Omzet actual YTD")=0,"n.b.",SUMIFS(L_Waarde,L_Actief,1,L_WBS,Det_WBS,L_Doeljaar,Sel_Doeljaar,L_Versiejaar,P_VJ,L_Versie,"Q4",L_Kengetal,"Omzet actual YTD"))))</f>
        <v>n.b.</v>
      </c>
      <c r="G21" s="70" t="str">
        <f>IF(F21="n.v.t.",C21,IF(AND(ISNUMBER(C21),ISNUMBER(F21)),C21-F21,"n.b."))</f>
        <v>n.b.</v>
      </c>
      <c r="H21" s="70" t="str">
        <f>IF(COUNTIFS(L_Actief,1,L_WBS,Det_WBS,L_Doeljaar,Sel_Doeljaar,L_Versiejaar,P_VJ,L_Versie,"Q4",L_Kengetal,"Woningverkopen FY")=0,"n.b.",SUMIFS(L_Waarde,L_Actief,1,L_WBS,Det_WBS,L_Doeljaar,Sel_Doeljaar,L_Versiejaar,P_VJ,L_Versie,"Q4",L_Kengetal,"Woningverkopen FY"))</f>
        <v>n.b.</v>
      </c>
      <c r="I21" s="72" t="str">
        <f>IFERROR(INDEX(T_Txt,MATCH(Det_WBS&amp;"|"&amp;Sel_Doeljaar&amp;"|"&amp;P_VJ&amp;"|Q4",T_Key,0)),"")</f>
        <v/>
      </c>
      <c r="P21" s="15" t="str">
        <f>B21&amp;IF(ISNUMBER(C21),""," (n.b.)")</f>
        <v>Q4 (n.b.)</v>
      </c>
      <c r="Q21" s="15">
        <f>IF(ISNUMBER(C21),C21,0)</f>
        <v>0</v>
      </c>
      <c r="R21" s="15">
        <f>IF(ISNUMBER(D21),D21,0)</f>
        <v>0</v>
      </c>
    </row>
    <row r="22">
      <c r="B22" s="73" t="inlineStr">
        <is>
          <t>Upload (concept)</t>
        </is>
      </c>
      <c r="C22" s="70">
        <f>IF(ISNUMBER(IF(Sel_Doeljaar=P_RJ,IF(Det_Idx=0,"n.b.",INDEX(V_OmzFY,Det_Idx)),IF(Sel_Doeljaar=P_RJ+1,IF(Det_Idx=0,"n.b.",INDEX(V_OmzFY1,Det_Idx)),"n.b."))),IF(Sel_Doeljaar=P_RJ,IF(Det_Idx=0,"n.b.",INDEX(V_OmzFY,Det_Idx)),IF(Sel_Doeljaar=P_RJ+1,IF(Det_Idx=0,"n.b.",INDEX(V_OmzFY1,Det_Idx)),"n.b."))/P_Factor,IF(Sel_Doeljaar=P_RJ,IF(Det_Idx=0,"n.b.",INDEX(V_OmzFY,Det_Idx)),IF(Sel_Doeljaar=P_RJ+1,IF(Det_Idx=0,"n.b.",INDEX(V_OmzFY1,Det_Idx)),"n.b.")))</f>
        <v>5593.6</v>
      </c>
      <c r="D22" s="70">
        <f>IF(ISNUMBER(IF(Sel_Doeljaar=P_RJ,IF(Det_Idx=0,"n.b.",INDEX(V_BorFY,Det_Idx)),IF(Sel_Doeljaar=P_RJ+1,IF(Det_Idx=0,"n.b.",INDEX(V_BorFY1,Det_Idx)),"n.b."))),IF(Sel_Doeljaar=P_RJ,IF(Det_Idx=0,"n.b.",INDEX(V_BorFY,Det_Idx)),IF(Sel_Doeljaar=P_RJ+1,IF(Det_Idx=0,"n.b.",INDEX(V_BorFY1,Det_Idx)),"n.b."))/P_Factor,IF(Sel_Doeljaar=P_RJ,IF(Det_Idx=0,"n.b.",INDEX(V_BorFY,Det_Idx)),IF(Sel_Doeljaar=P_RJ+1,IF(Det_Idx=0,"n.b.",INDEX(V_BorFY1,Det_Idx)),"n.b.")))</f>
        <v>503.424</v>
      </c>
      <c r="E22" s="71">
        <f>IF(AND(ISNUMBER(C22),ISNUMBER(D22)),IF(C22&lt;&gt;0,D22/C22,"n.b."),"n.b.")</f>
        <v>0.09</v>
      </c>
      <c r="F22" s="42">
        <f>IF(ISNUMBER(IF(Sel_Doeljaar=P_RJ,IF(Det_Idx=0,"n.b.",INDEX(V_OmzYTD,Det_Idx)),"n.v.t.")),IF(Sel_Doeljaar=P_RJ,IF(Det_Idx=0,"n.b.",INDEX(V_OmzYTD,Det_Idx)),"n.v.t.")/P_Factor,IF(Sel_Doeljaar=P_RJ,IF(Det_Idx=0,"n.b.",INDEX(V_OmzYTD,Det_Idx)),"n.v.t."))</f>
        <v>3635.84</v>
      </c>
      <c r="G22" s="70">
        <f>IF(F22="n.v.t.",C22,IF(AND(ISNUMBER(C22),ISNUMBER(F22)),C22-F22,"n.b."))</f>
        <v>1957.76</v>
      </c>
      <c r="H22" s="70">
        <f>IF(Sel_Doeljaar=P_RJ,IF(Det_Idx=0,"n.b.",INDEX(V_W_HuidigJaar,Det_Idx)),IF(Sel_Doeljaar=P_RJ+1,IF(Det_Idx=0,"n.b.",INDEX(V_W_VolgendJaar,Det_Idx)),"n.b."))</f>
        <v>8</v>
      </c>
      <c r="I22" s="72" t="str">
        <f>""</f>
        <v/>
      </c>
      <c r="P22" s="15" t="str">
        <f>B22&amp;IF(ISNUMBER(C22),""," (n.b.)")</f>
        <v>Upload (concept)</v>
      </c>
      <c r="Q22" s="15">
        <f>IF(ISNUMBER(C22),C22,0)</f>
        <v>5593.6</v>
      </c>
      <c r="R22" s="15">
        <f>IF(ISNUMBER(D22),D22,0)</f>
        <v>503.424</v>
      </c>
    </row>
    <row r="31">
      <c r="B31" s="16" t="inlineStr">
        <is>
          <t>Planning omzet en BOR volgens upload (managementteken; realisatie apart van prognose)</t>
        </is>
      </c>
      <c r="C31" s="8" t="n"/>
      <c r="D31" s="8" t="n"/>
      <c r="E31" s="8" t="n"/>
      <c r="F31" s="8" t="n"/>
      <c r="G31" s="8" t="n"/>
      <c r="H31" s="8" t="n"/>
      <c r="I31" s="8" t="n"/>
      <c r="J31" s="8" t="n"/>
      <c r="K31" s="8" t="n"/>
      <c r="L31" s="8" t="n"/>
      <c r="M31" s="8" t="n"/>
      <c r="N31" s="8" t="n"/>
      <c r="O31" s="8" t="n"/>
      <c r="P31" s="8" t="n"/>
      <c r="Q31" s="8" t="n"/>
      <c r="R31" s="8" t="n"/>
    </row>
    <row r="32" ht="30" customHeight="1">
      <c r="B32" s="32" t="inlineStr">
        <is>
          <t>Kengetal</t>
        </is>
      </c>
      <c r="C32" s="33" t="str">
        <f>"Realisatie t/m "&amp;P_PeilTxt</f>
        <v>Realisatie t/m 30-09-2026</v>
      </c>
      <c r="D32" s="33" t="str">
        <f>"Q4 "&amp;P_RJ&amp;" (rest)"</f>
        <v>Q4 2026 (rest)</v>
      </c>
      <c r="E32" s="33" t="str">
        <f>"Q1 "&amp;(P_RJ+1)</f>
        <v>Q1 2027</v>
      </c>
      <c r="F32" s="33" t="str">
        <f>"Q2 "&amp;(P_RJ+1)</f>
        <v>Q2 2027</v>
      </c>
      <c r="G32" s="33" t="str">
        <f>"Q3 "&amp;(P_RJ+1)</f>
        <v>Q3 2027</v>
      </c>
      <c r="H32" s="33" t="str">
        <f>"Q4 "&amp;(P_RJ+1)</f>
        <v>Q4 2027</v>
      </c>
      <c r="I32" s="33" t="str">
        <f>(P_RJ+2)&amp;""</f>
        <v>2028</v>
      </c>
      <c r="J32" s="33" t="str">
        <f>(P_RJ+3)&amp;""</f>
        <v>2029</v>
      </c>
      <c r="K32" s="33" t="str">
        <f>(P_RJ+4)&amp;""</f>
        <v>2030</v>
      </c>
      <c r="L32" s="33" t="str">
        <f>(P_RJ+5)&amp;""</f>
        <v>2031</v>
      </c>
      <c r="M32" s="33" t="str">
        <f>(P_RJ+6)&amp;""</f>
        <v>2032</v>
      </c>
      <c r="N32" s="33" t="str">
        <f>(P_RJ+7)&amp;""</f>
        <v>2033</v>
      </c>
      <c r="O32" s="33" t="str">
        <f>(P_RJ+8)&amp;""</f>
        <v>2034</v>
      </c>
      <c r="P32" s="33" t="inlineStr">
        <is>
          <t>Onverdeeld</t>
        </is>
      </c>
      <c r="Q32" s="33" t="inlineStr">
        <is>
          <t>Totaal resterend</t>
        </is>
      </c>
    </row>
    <row r="33">
      <c r="B33" s="17" t="inlineStr">
        <is>
          <t>Omzet</t>
        </is>
      </c>
      <c r="C33" s="74">
        <f>IF(ISNUMBER(IF(Det_Idx=0,"n.b.",INDEX(V_OmzYTD,Det_Idx))),IF(Det_Idx=0,"n.b.",INDEX(V_OmzYTD,Det_Idx))/P_Factor,IF(Det_Idx=0,"n.b.",INDEX(V_OmzYTD,Det_Idx)))</f>
        <v>3635.84</v>
      </c>
      <c r="D33" s="75">
        <f>IF(ISNUMBER(IF(Det_Idx=0,"n.b.",INDEX(V_OmzQ4,Det_Idx))),IF(Det_Idx=0,"n.b.",INDEX(V_OmzQ4,Det_Idx))/P_Factor,IF(Det_Idx=0,"n.b.",INDEX(V_OmzQ4,Det_Idx)))</f>
        <v>1957.76</v>
      </c>
      <c r="E33" s="75">
        <f>IF(ISNUMBER(IF(Det_Idx=0,"n.b.",INDEX(V_OmzRJ1_Q1,Det_Idx))),IF(Det_Idx=0,"n.b.",INDEX(V_OmzRJ1_Q1,Det_Idx))/P_Factor,IF(Det_Idx=0,"n.b.",INDEX(V_OmzRJ1_Q1,Det_Idx)))</f>
        <v>899.392</v>
      </c>
      <c r="F33" s="75">
        <f>IF(ISNUMBER(IF(Det_Idx=0,"n.b.",INDEX(V_OmzRJ1_Q2,Det_Idx))),IF(Det_Idx=0,"n.b.",INDEX(V_OmzRJ1_Q2,Det_Idx))/P_Factor,IF(Det_Idx=0,"n.b.",INDEX(V_OmzRJ1_Q2,Det_Idx)))</f>
        <v>1124.24</v>
      </c>
      <c r="G33" s="75">
        <f>IF(ISNUMBER(IF(Det_Idx=0,"n.b.",INDEX(V_OmzRJ1_Q3,Det_Idx))),IF(Det_Idx=0,"n.b.",INDEX(V_OmzRJ1_Q3,Det_Idx))/P_Factor,IF(Det_Idx=0,"n.b.",INDEX(V_OmzRJ1_Q3,Det_Idx)))</f>
        <v>1349.088</v>
      </c>
      <c r="H33" s="75">
        <f>IF(ISNUMBER(IF(Det_Idx=0,"n.b.",INDEX(V_OmzRJ1_Q4,Det_Idx))),IF(Det_Idx=0,"n.b.",INDEX(V_OmzRJ1_Q4,Det_Idx))/P_Factor,IF(Det_Idx=0,"n.b.",INDEX(V_OmzRJ1_Q4,Det_Idx)))</f>
        <v>1124.24</v>
      </c>
      <c r="I33" s="75">
        <f>IF(ISNUMBER(IF(Det_Idx=0,"n.b.",INDEX(V_OmzRJ2,Det_Idx))),IF(Det_Idx=0,"n.b.",INDEX(V_OmzRJ2,Det_Idx))/P_Factor,IF(Det_Idx=0,"n.b.",INDEX(V_OmzRJ2,Det_Idx)))</f>
        <v>2421.44</v>
      </c>
      <c r="J33" s="75">
        <f>IF(ISNUMBER(IF(Det_Idx=0,"n.b.",INDEX(V_OmzRJ3,Det_Idx))),IF(Det_Idx=0,"n.b.",INDEX(V_OmzRJ3,Det_Idx))/P_Factor,IF(Det_Idx=0,"n.b.",INDEX(V_OmzRJ3,Det_Idx)))</f>
        <v>0</v>
      </c>
      <c r="K33" s="75">
        <f>IF(ISNUMBER(IF(Det_Idx=0,"n.b.",INDEX(V_OmzRJ4,Det_Idx))),IF(Det_Idx=0,"n.b.",INDEX(V_OmzRJ4,Det_Idx))/P_Factor,IF(Det_Idx=0,"n.b.",INDEX(V_OmzRJ4,Det_Idx)))</f>
        <v>0</v>
      </c>
      <c r="L33" s="75">
        <f>IF(ISNUMBER(IF(Det_Idx=0,"n.b.",INDEX(V_OmzRJ5,Det_Idx))),IF(Det_Idx=0,"n.b.",INDEX(V_OmzRJ5,Det_Idx))/P_Factor,IF(Det_Idx=0,"n.b.",INDEX(V_OmzRJ5,Det_Idx)))</f>
        <v>0</v>
      </c>
      <c r="M33" s="75">
        <f>IF(ISNUMBER(IF(Det_Idx=0,"n.b.",INDEX(V_OmzRJ6,Det_Idx))),IF(Det_Idx=0,"n.b.",INDEX(V_OmzRJ6,Det_Idx))/P_Factor,IF(Det_Idx=0,"n.b.",INDEX(V_OmzRJ6,Det_Idx)))</f>
        <v>0</v>
      </c>
      <c r="N33" s="75">
        <f>IF(ISNUMBER(IF(Det_Idx=0,"n.b.",INDEX(V_OmzRJ7,Det_Idx))),IF(Det_Idx=0,"n.b.",INDEX(V_OmzRJ7,Det_Idx))/P_Factor,IF(Det_Idx=0,"n.b.",INDEX(V_OmzRJ7,Det_Idx)))</f>
        <v>0</v>
      </c>
      <c r="O33" s="75">
        <f>IF(ISNUMBER(IF(Det_Idx=0,"n.b.",INDEX(V_OmzRJ8,Det_Idx))),IF(Det_Idx=0,"n.b.",INDEX(V_OmzRJ8,Det_Idx))/P_Factor,IF(Det_Idx=0,"n.b.",INDEX(V_OmzRJ8,Det_Idx)))</f>
        <v>0</v>
      </c>
      <c r="P33" s="75">
        <f>IF(ISNUMBER(IF(Det_Idx=0,"n.b.",INDEX(V_OmzONV,Det_Idx))),IF(Det_Idx=0,"n.b.",INDEX(V_OmzONV,Det_Idx))/P_Factor,IF(Det_Idx=0,"n.b.",INDEX(V_OmzONV,Det_Idx)))</f>
        <v>0</v>
      </c>
      <c r="Q33" s="76">
        <f>SUM(D33:P33)</f>
        <v>8876.16</v>
      </c>
    </row>
    <row r="34">
      <c r="B34" s="17" t="inlineStr">
        <is>
          <t>BOR</t>
        </is>
      </c>
      <c r="C34" s="74">
        <f>IF(ISNUMBER(IF(Det_Idx=0,"n.b.",INDEX(V_BorYTD,Det_Idx))),IF(Det_Idx=0,"n.b.",INDEX(V_BorYTD,Det_Idx))/P_Factor,IF(Det_Idx=0,"n.b.",INDEX(V_BorYTD,Det_Idx)))</f>
        <v>327.2256</v>
      </c>
      <c r="D34" s="75">
        <f>IF(ISNUMBER(IF(Det_Idx=0,"n.b.",INDEX(V_BorQ4,Det_Idx))),IF(Det_Idx=0,"n.b.",INDEX(V_BorQ4,Det_Idx))/P_Factor,IF(Det_Idx=0,"n.b.",INDEX(V_BorQ4,Det_Idx)))</f>
        <v>176.1984</v>
      </c>
      <c r="E34" s="75">
        <f>IF(ISNUMBER(IF(Det_Idx=0,"n.b.",INDEX(V_BorRJ1_Q1,Det_Idx))),IF(Det_Idx=0,"n.b.",INDEX(V_BorRJ1_Q1,Det_Idx))/P_Factor,IF(Det_Idx=0,"n.b.",INDEX(V_BorRJ1_Q1,Det_Idx)))</f>
        <v>80.94528</v>
      </c>
      <c r="F34" s="75">
        <f>IF(ISNUMBER(IF(Det_Idx=0,"n.b.",INDEX(V_BorRJ1_Q2,Det_Idx))),IF(Det_Idx=0,"n.b.",INDEX(V_BorRJ1_Q2,Det_Idx))/P_Factor,IF(Det_Idx=0,"n.b.",INDEX(V_BorRJ1_Q2,Det_Idx)))</f>
        <v>101.1816</v>
      </c>
      <c r="G34" s="75">
        <f>IF(ISNUMBER(IF(Det_Idx=0,"n.b.",INDEX(V_BorRJ1_Q3,Det_Idx))),IF(Det_Idx=0,"n.b.",INDEX(V_BorRJ1_Q3,Det_Idx))/P_Factor,IF(Det_Idx=0,"n.b.",INDEX(V_BorRJ1_Q3,Det_Idx)))</f>
        <v>121.41792</v>
      </c>
      <c r="H34" s="75">
        <f>IF(ISNUMBER(IF(Det_Idx=0,"n.b.",INDEX(V_BorRJ1_Q4,Det_Idx))),IF(Det_Idx=0,"n.b.",INDEX(V_BorRJ1_Q4,Det_Idx))/P_Factor,IF(Det_Idx=0,"n.b.",INDEX(V_BorRJ1_Q4,Det_Idx)))</f>
        <v>101.1816</v>
      </c>
      <c r="I34" s="75">
        <f>IF(ISNUMBER(IF(Det_Idx=0,"n.b.",INDEX(V_BorRJ2,Det_Idx))),IF(Det_Idx=0,"n.b.",INDEX(V_BorRJ2,Det_Idx))/P_Factor,IF(Det_Idx=0,"n.b.",INDEX(V_BorRJ2,Det_Idx)))</f>
        <v>217.9296</v>
      </c>
      <c r="J34" s="75">
        <f>IF(ISNUMBER(IF(Det_Idx=0,"n.b.",INDEX(V_BorRJ3,Det_Idx))),IF(Det_Idx=0,"n.b.",INDEX(V_BorRJ3,Det_Idx))/P_Factor,IF(Det_Idx=0,"n.b.",INDEX(V_BorRJ3,Det_Idx)))</f>
        <v>0</v>
      </c>
      <c r="K34" s="75">
        <f>IF(ISNUMBER(IF(Det_Idx=0,"n.b.",INDEX(V_BorRJ4,Det_Idx))),IF(Det_Idx=0,"n.b.",INDEX(V_BorRJ4,Det_Idx))/P_Factor,IF(Det_Idx=0,"n.b.",INDEX(V_BorRJ4,Det_Idx)))</f>
        <v>0</v>
      </c>
      <c r="L34" s="75">
        <f>IF(ISNUMBER(IF(Det_Idx=0,"n.b.",INDEX(V_BorRJ5,Det_Idx))),IF(Det_Idx=0,"n.b.",INDEX(V_BorRJ5,Det_Idx))/P_Factor,IF(Det_Idx=0,"n.b.",INDEX(V_BorRJ5,Det_Idx)))</f>
        <v>0</v>
      </c>
      <c r="M34" s="75">
        <f>IF(ISNUMBER(IF(Det_Idx=0,"n.b.",INDEX(V_BorRJ6,Det_Idx))),IF(Det_Idx=0,"n.b.",INDEX(V_BorRJ6,Det_Idx))/P_Factor,IF(Det_Idx=0,"n.b.",INDEX(V_BorRJ6,Det_Idx)))</f>
        <v>0</v>
      </c>
      <c r="N34" s="75">
        <f>IF(ISNUMBER(IF(Det_Idx=0,"n.b.",INDEX(V_BorRJ7,Det_Idx))),IF(Det_Idx=0,"n.b.",INDEX(V_BorRJ7,Det_Idx))/P_Factor,IF(Det_Idx=0,"n.b.",INDEX(V_BorRJ7,Det_Idx)))</f>
        <v>0</v>
      </c>
      <c r="O34" s="75">
        <f>IF(ISNUMBER(IF(Det_Idx=0,"n.b.",INDEX(V_BorRJ8,Det_Idx))),IF(Det_Idx=0,"n.b.",INDEX(V_BorRJ8,Det_Idx))/P_Factor,IF(Det_Idx=0,"n.b.",INDEX(V_BorRJ8,Det_Idx)))</f>
        <v>0</v>
      </c>
      <c r="P34" s="75">
        <f>IF(ISNUMBER(IF(Det_Idx=0,"n.b.",INDEX(V_BorONV,Det_Idx))),IF(Det_Idx=0,"n.b.",INDEX(V_BorONV,Det_Idx))/P_Factor,IF(Det_Idx=0,"n.b.",INDEX(V_BorONV,Det_Idx)))</f>
        <v>0</v>
      </c>
      <c r="Q34" s="76">
        <f>SUM(D34:P34)</f>
        <v>798.8544</v>
      </c>
    </row>
    <row r="37">
      <c r="B37" s="16" t="inlineStr">
        <is>
          <t>Woningverkopen project (aantal, aandeelbasis)</t>
        </is>
      </c>
      <c r="C37" s="8" t="n"/>
      <c r="D37" s="8" t="n"/>
      <c r="E37" s="8" t="n"/>
      <c r="F37" s="8" t="n"/>
      <c r="G37" s="8" t="n"/>
      <c r="H37" s="8" t="n"/>
      <c r="I37" s="8" t="n"/>
      <c r="J37" s="8" t="n"/>
      <c r="K37" s="8" t="n"/>
      <c r="L37" s="8" t="n"/>
      <c r="M37" s="8" t="n"/>
      <c r="N37" s="8" t="n"/>
      <c r="O37" s="8" t="n"/>
      <c r="P37" s="8" t="n"/>
      <c r="Q37" s="8" t="n"/>
      <c r="R37" s="8" t="n"/>
    </row>
    <row r="38" ht="30" customHeight="1">
      <c r="B38" s="32" t="inlineStr">
        <is>
          <t>Periode</t>
        </is>
      </c>
      <c r="C38" s="33" t="str">
        <f>P_RJ&amp;"-01"</f>
        <v>2026-01</v>
      </c>
      <c r="D38" s="33" t="str">
        <f>P_RJ&amp;"-02"</f>
        <v>2026-02</v>
      </c>
      <c r="E38" s="33" t="str">
        <f>P_RJ&amp;"-03"</f>
        <v>2026-03</v>
      </c>
      <c r="F38" s="33" t="str">
        <f>P_RJ&amp;"-04"</f>
        <v>2026-04</v>
      </c>
      <c r="G38" s="33" t="str">
        <f>P_RJ&amp;"-05"</f>
        <v>2026-05</v>
      </c>
      <c r="H38" s="33" t="str">
        <f>P_RJ&amp;"-06"</f>
        <v>2026-06</v>
      </c>
      <c r="I38" s="33" t="str">
        <f>P_RJ&amp;"-07"</f>
        <v>2026-07</v>
      </c>
      <c r="J38" s="33" t="str">
        <f>P_RJ&amp;"-08"</f>
        <v>2026-08</v>
      </c>
      <c r="K38" s="33" t="str">
        <f>P_RJ&amp;"-09"</f>
        <v>2026-09</v>
      </c>
      <c r="L38" s="33" t="str">
        <f>P_RJ&amp;"-10"</f>
        <v>2026-10</v>
      </c>
      <c r="M38" s="33" t="str">
        <f>P_RJ&amp;"-11"</f>
        <v>2026-11</v>
      </c>
      <c r="N38" s="33" t="str">
        <f>P_RJ&amp;"-12"</f>
        <v>2026-12</v>
      </c>
      <c r="O38" s="33" t="str">
        <f>"Q1 "&amp;(P_RJ+1)</f>
        <v>Q1 2027</v>
      </c>
      <c r="P38" s="33" t="str">
        <f>"Q2 "&amp;(P_RJ+1)</f>
        <v>Q2 2027</v>
      </c>
      <c r="Q38" s="33" t="str">
        <f>"Q3 "&amp;(P_RJ+1)</f>
        <v>Q3 2027</v>
      </c>
      <c r="R38" s="33" t="str">
        <f>"Q4 "&amp;(P_RJ+1)</f>
        <v>Q4 2027</v>
      </c>
      <c r="S38" s="33" t="str">
        <f>(P_RJ+2)&amp;""</f>
        <v>2028</v>
      </c>
    </row>
    <row r="39">
      <c r="B39" s="17" t="inlineStr">
        <is>
          <t>Actual</t>
        </is>
      </c>
      <c r="C39" s="77">
        <f>IF(1&lt;=P_PeilMaand,IF(Det_Idx=0,"n.b.",INDEX(V_W_M01,Det_Idx)),0)</f>
        <v>0</v>
      </c>
      <c r="D39" s="77">
        <f>IF(2&lt;=P_PeilMaand,IF(Det_Idx=0,"n.b.",INDEX(V_W_M02,Det_Idx)),0)</f>
        <v>0</v>
      </c>
      <c r="E39" s="77">
        <f>IF(3&lt;=P_PeilMaand,IF(Det_Idx=0,"n.b.",INDEX(V_W_M03,Det_Idx)),0)</f>
        <v>0</v>
      </c>
      <c r="F39" s="77">
        <f>IF(4&lt;=P_PeilMaand,IF(Det_Idx=0,"n.b.",INDEX(V_W_M04,Det_Idx)),0)</f>
        <v>0</v>
      </c>
      <c r="G39" s="77">
        <f>IF(5&lt;=P_PeilMaand,IF(Det_Idx=0,"n.b.",INDEX(V_W_M05,Det_Idx)),0)</f>
        <v>1</v>
      </c>
      <c r="H39" s="77">
        <f>IF(6&lt;=P_PeilMaand,IF(Det_Idx=0,"n.b.",INDEX(V_W_M06,Det_Idx)),0)</f>
        <v>0</v>
      </c>
      <c r="I39" s="77">
        <f>IF(7&lt;=P_PeilMaand,IF(Det_Idx=0,"n.b.",INDEX(V_W_M07,Det_Idx)),0)</f>
        <v>0</v>
      </c>
      <c r="J39" s="77">
        <f>IF(8&lt;=P_PeilMaand,IF(Det_Idx=0,"n.b.",INDEX(V_W_M08,Det_Idx)),0)</f>
        <v>1</v>
      </c>
      <c r="K39" s="77">
        <f>IF(9&lt;=P_PeilMaand,IF(Det_Idx=0,"n.b.",INDEX(V_W_M09,Det_Idx)),0)</f>
        <v>0</v>
      </c>
      <c r="L39" s="77">
        <f>IF(10&lt;=P_PeilMaand,IF(Det_Idx=0,"n.b.",INDEX(V_W_M10,Det_Idx)),0)</f>
        <v>0</v>
      </c>
      <c r="M39" s="77">
        <f>IF(11&lt;=P_PeilMaand,IF(Det_Idx=0,"n.b.",INDEX(V_W_M11,Det_Idx)),0)</f>
        <v>0</v>
      </c>
      <c r="N39" s="77">
        <f>IF(12&lt;=P_PeilMaand,IF(Det_Idx=0,"n.b.",INDEX(V_W_M12,Det_Idx)),0)</f>
        <v>0</v>
      </c>
      <c r="O39" s="77" t="n">
        <v>0</v>
      </c>
      <c r="P39" s="77" t="n">
        <v>0</v>
      </c>
      <c r="Q39" s="77" t="n">
        <v>0</v>
      </c>
      <c r="R39" s="77" t="n">
        <v>0</v>
      </c>
      <c r="S39" s="77" t="n">
        <v>0</v>
      </c>
    </row>
    <row r="40">
      <c r="B40" s="17" t="inlineStr">
        <is>
          <t>Prognose</t>
        </is>
      </c>
      <c r="C40" s="77">
        <f>IF(1&gt;P_PeilMaand,IF(Det_Idx=0,"n.b.",INDEX(V_W_M01,Det_Idx)),0)</f>
        <v>0</v>
      </c>
      <c r="D40" s="77">
        <f>IF(2&gt;P_PeilMaand,IF(Det_Idx=0,"n.b.",INDEX(V_W_M02,Det_Idx)),0)</f>
        <v>0</v>
      </c>
      <c r="E40" s="77">
        <f>IF(3&gt;P_PeilMaand,IF(Det_Idx=0,"n.b.",INDEX(V_W_M03,Det_Idx)),0)</f>
        <v>0</v>
      </c>
      <c r="F40" s="77">
        <f>IF(4&gt;P_PeilMaand,IF(Det_Idx=0,"n.b.",INDEX(V_W_M04,Det_Idx)),0)</f>
        <v>0</v>
      </c>
      <c r="G40" s="77">
        <f>IF(5&gt;P_PeilMaand,IF(Det_Idx=0,"n.b.",INDEX(V_W_M05,Det_Idx)),0)</f>
        <v>0</v>
      </c>
      <c r="H40" s="77">
        <f>IF(6&gt;P_PeilMaand,IF(Det_Idx=0,"n.b.",INDEX(V_W_M06,Det_Idx)),0)</f>
        <v>0</v>
      </c>
      <c r="I40" s="77">
        <f>IF(7&gt;P_PeilMaand,IF(Det_Idx=0,"n.b.",INDEX(V_W_M07,Det_Idx)),0)</f>
        <v>0</v>
      </c>
      <c r="J40" s="77">
        <f>IF(8&gt;P_PeilMaand,IF(Det_Idx=0,"n.b.",INDEX(V_W_M08,Det_Idx)),0)</f>
        <v>0</v>
      </c>
      <c r="K40" s="77">
        <f>IF(9&gt;P_PeilMaand,IF(Det_Idx=0,"n.b.",INDEX(V_W_M09,Det_Idx)),0)</f>
        <v>0</v>
      </c>
      <c r="L40" s="77">
        <f>IF(10&gt;P_PeilMaand,IF(Det_Idx=0,"n.b.",INDEX(V_W_M10,Det_Idx)),0)</f>
        <v>0</v>
      </c>
      <c r="M40" s="77">
        <f>IF(11&gt;P_PeilMaand,IF(Det_Idx=0,"n.b.",INDEX(V_W_M11,Det_Idx)),0)</f>
        <v>0</v>
      </c>
      <c r="N40" s="77">
        <f>IF(12&gt;P_PeilMaand,IF(Det_Idx=0,"n.b.",INDEX(V_W_M12,Det_Idx)),0)</f>
        <v>6</v>
      </c>
      <c r="O40" s="77">
        <f>IF(Det_Idx=0,"n.b.",INDEX(V_W_VQ1,Det_Idx))</f>
        <v>3</v>
      </c>
      <c r="P40" s="77">
        <f>IF(Det_Idx=0,"n.b.",INDEX(V_W_VQ2,Det_Idx))</f>
        <v>3</v>
      </c>
      <c r="Q40" s="77">
        <f>IF(Det_Idx=0,"n.b.",INDEX(V_W_VQ3,Det_Idx))</f>
        <v>3</v>
      </c>
      <c r="R40" s="77">
        <f>IF(Det_Idx=0,"n.b.",INDEX(V_W_VQ4,Det_Idx))</f>
        <v>3</v>
      </c>
      <c r="S40" s="77">
        <f>IF(Det_Idx=0,"n.b.",INDEX(V_W_Y_RJ2,Det_Idx))</f>
        <v>6</v>
      </c>
    </row>
    <row r="42">
      <c r="B42" s="6" t="str">
        <f>"Woningverkopen per periode (aantal): actual t/m "&amp;P_PeilTxt&amp;", daarna prognose"</f>
        <v>Woningverkopen per periode (aantal): actual t/m 30-09-2026, daarna prognose</v>
      </c>
      <c r="N42" s="31" t="inlineStr">
        <is>
          <t>Samenvatting woningen</t>
        </is>
      </c>
      <c r="T42" s="15" t="inlineStr">
        <is>
          <t>grafiekdata</t>
        </is>
      </c>
      <c r="U42" s="15" t="inlineStr">
        <is>
          <t>Actual</t>
        </is>
      </c>
      <c r="V42" s="15" t="inlineStr">
        <is>
          <t>Prognose</t>
        </is>
      </c>
    </row>
    <row r="43">
      <c r="N43" s="15" t="inlineStr">
        <is>
          <t>Totaal (aandeelbasis)</t>
        </is>
      </c>
      <c r="Q43" s="78">
        <f>IF(Det_Idx=0,"n.b.",INDEX(V_W_Aantal,Det_Idx))</f>
        <v>32</v>
      </c>
      <c r="T43" s="15" t="str">
        <f>C38</f>
        <v>2026-01</v>
      </c>
      <c r="U43" s="15">
        <f>C39</f>
        <v>0</v>
      </c>
      <c r="V43" s="15">
        <f>C40</f>
        <v>0</v>
      </c>
    </row>
    <row r="44">
      <c r="N44" s="15" t="inlineStr">
        <is>
          <t>Verkocht t/m vorig jaar</t>
        </is>
      </c>
      <c r="Q44" s="78">
        <f>IF(Det_Idx=0,"n.b.",INDEX(V_W_VJ_T,Det_Idx))</f>
        <v>6</v>
      </c>
      <c r="T44" s="15" t="str">
        <f>D38</f>
        <v>2026-02</v>
      </c>
      <c r="U44" s="15">
        <f>D39</f>
        <v>0</v>
      </c>
      <c r="V44" s="15">
        <f>D40</f>
        <v>0</v>
      </c>
    </row>
    <row r="45">
      <c r="N45" s="15" t="inlineStr">
        <is>
          <t>Verkocht huidig jaar (actual)</t>
        </is>
      </c>
      <c r="Q45" s="78">
        <f>IF(Det_Idx=0,"n.b.",INDEX(V_W_HJ_T,Det_Idx))</f>
        <v>2</v>
      </c>
      <c r="T45" s="15" t="str">
        <f>E38</f>
        <v>2026-03</v>
      </c>
      <c r="U45" s="15">
        <f>E39</f>
        <v>0</v>
      </c>
      <c r="V45" s="15">
        <f>E40</f>
        <v>0</v>
      </c>
    </row>
    <row r="46">
      <c r="N46" s="15" t="inlineStr">
        <is>
          <t>Cumulatief verkocht</t>
        </is>
      </c>
      <c r="Q46" s="78">
        <f>IF(Det_Idx=0,"n.b.",INDEX(V_W_Cum_T,Det_Idx))</f>
        <v>8</v>
      </c>
      <c r="T46" s="15" t="str">
        <f>F38</f>
        <v>2026-04</v>
      </c>
      <c r="U46" s="15">
        <f>F39</f>
        <v>0</v>
      </c>
      <c r="V46" s="15">
        <f>F40</f>
        <v>0</v>
      </c>
    </row>
    <row r="47">
      <c r="N47" s="15" t="inlineStr">
        <is>
          <t>Etalage</t>
        </is>
      </c>
      <c r="Q47" s="78">
        <f>IF(Det_Idx=0,"n.b.",INDEX(V_W_Etalage,Det_Idx))</f>
        <v>24</v>
      </c>
      <c r="T47" s="15" t="str">
        <f>G38</f>
        <v>2026-05</v>
      </c>
      <c r="U47" s="15">
        <f>G39</f>
        <v>1</v>
      </c>
      <c r="V47" s="15">
        <f>G40</f>
        <v>0</v>
      </c>
    </row>
    <row r="48">
      <c r="N48" s="15" t="inlineStr">
        <is>
          <t>Beleggers cumulatief</t>
        </is>
      </c>
      <c r="Q48" s="78">
        <f>IF(Det_Idx=0,"n.b.",INDEX(V_W_Cum_B,Det_Idx))</f>
        <v>0</v>
      </c>
      <c r="T48" s="15" t="str">
        <f>H38</f>
        <v>2026-06</v>
      </c>
      <c r="U48" s="15">
        <f>H39</f>
        <v>0</v>
      </c>
      <c r="V48" s="15">
        <f>H40</f>
        <v>0</v>
      </c>
    </row>
    <row r="49">
      <c r="N49" s="15" t="inlineStr">
        <is>
          <t>Particulier cumulatief</t>
        </is>
      </c>
      <c r="Q49" s="78">
        <f>IF(Det_Idx=0,"n.b.",INDEX(V_W_Cum_P,Det_Idx))</f>
        <v>8</v>
      </c>
      <c r="T49" s="15" t="str">
        <f>I38</f>
        <v>2026-07</v>
      </c>
      <c r="U49" s="15">
        <f>I39</f>
        <v>0</v>
      </c>
      <c r="V49" s="15">
        <f>I40</f>
        <v>0</v>
      </c>
    </row>
    <row r="50">
      <c r="T50" s="15" t="str">
        <f>J38</f>
        <v>2026-08</v>
      </c>
      <c r="U50" s="15">
        <f>J39</f>
        <v>1</v>
      </c>
      <c r="V50" s="15">
        <f>J40</f>
        <v>0</v>
      </c>
    </row>
    <row r="51">
      <c r="T51" s="15" t="str">
        <f>K38</f>
        <v>2026-09</v>
      </c>
      <c r="U51" s="15">
        <f>K39</f>
        <v>0</v>
      </c>
      <c r="V51" s="15">
        <f>K40</f>
        <v>0</v>
      </c>
    </row>
    <row r="52">
      <c r="T52" s="15" t="str">
        <f>L38</f>
        <v>2026-10</v>
      </c>
      <c r="U52" s="15">
        <f>L39</f>
        <v>0</v>
      </c>
      <c r="V52" s="15">
        <f>L40</f>
        <v>0</v>
      </c>
    </row>
    <row r="53">
      <c r="T53" s="15" t="str">
        <f>M38</f>
        <v>2026-11</v>
      </c>
      <c r="U53" s="15">
        <f>M39</f>
        <v>0</v>
      </c>
      <c r="V53" s="15">
        <f>M40</f>
        <v>0</v>
      </c>
    </row>
    <row r="54">
      <c r="T54" s="15" t="str">
        <f>N38</f>
        <v>2026-12</v>
      </c>
      <c r="U54" s="15">
        <f>N39</f>
        <v>0</v>
      </c>
      <c r="V54" s="15">
        <f>N40</f>
        <v>6</v>
      </c>
    </row>
    <row r="55">
      <c r="T55" s="15" t="str">
        <f>O38</f>
        <v>Q1 2027</v>
      </c>
      <c r="U55" s="15">
        <f>O39</f>
        <v>0</v>
      </c>
      <c r="V55" s="15">
        <f>O40</f>
        <v>3</v>
      </c>
    </row>
    <row r="56">
      <c r="T56" s="15" t="str">
        <f>P38</f>
        <v>Q2 2027</v>
      </c>
      <c r="U56" s="15">
        <f>P39</f>
        <v>0</v>
      </c>
      <c r="V56" s="15">
        <f>P40</f>
        <v>3</v>
      </c>
    </row>
    <row r="57">
      <c r="T57" s="15" t="str">
        <f>Q38</f>
        <v>Q3 2027</v>
      </c>
      <c r="U57" s="15">
        <f>Q39</f>
        <v>0</v>
      </c>
      <c r="V57" s="15">
        <f>Q40</f>
        <v>3</v>
      </c>
    </row>
    <row r="58">
      <c r="T58" s="15" t="str">
        <f>R38</f>
        <v>Q4 2027</v>
      </c>
      <c r="U58" s="15">
        <f>R39</f>
        <v>0</v>
      </c>
      <c r="V58" s="15">
        <f>R40</f>
        <v>3</v>
      </c>
    </row>
    <row r="59">
      <c r="T59" s="15" t="str">
        <f>S38</f>
        <v>2028</v>
      </c>
      <c r="U59" s="15">
        <f>S39</f>
        <v>0</v>
      </c>
      <c r="V59" s="15">
        <f>S40</f>
        <v>6</v>
      </c>
    </row>
  </sheetData>
  <mergeCells count="1">
    <mergeCell ref="C4:F4"/>
  </mergeCells>
  <conditionalFormatting sqref="B17:I21">
    <cfRule type="expression" priority="1" dxfId="2">
      <formula>$B17=Sel_Versie</formula>
    </cfRule>
  </conditionalFormatting>
  <dataValidations count="1">
    <dataValidation sqref="C4" showDropDown="0" showInputMessage="0" showErrorMessage="1" allowBlank="1" error="Kies een waarde uit de lijst." type="list">
      <formula1>L_ProjectenDet</formula1>
    </dataValidation>
  </dataValidation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6.xml><?xml version="1.0" encoding="utf-8"?>
<worksheet xmlns="http://schemas.openxmlformats.org/spreadsheetml/2006/main">
  <sheetPr>
    <tabColor rgb="00F5B800"/>
    <outlinePr summaryBelow="1" summaryRight="1"/>
    <pageSetUpPr fitToPage="1"/>
  </sheetPr>
  <dimension ref="A1:S160"/>
  <sheetViews>
    <sheetView showGridLines="0" zoomScale="90" workbookViewId="0">
      <selection activeCell="A1" sqref="A1"/>
    </sheetView>
  </sheetViews>
  <sheetFormatPr baseColWidth="8" defaultRowHeight="15"/>
  <cols>
    <col width="2" customWidth="1" min="1" max="1"/>
    <col width="26" customWidth="1" min="2" max="2"/>
    <col width="10" customWidth="1" min="3" max="3"/>
    <col width="12" customWidth="1" min="4" max="4"/>
    <col width="9" customWidth="1" min="5" max="5"/>
    <col width="9" customWidth="1" min="6" max="6"/>
    <col width="9" customWidth="1" min="7" max="7"/>
    <col width="18" customWidth="1" min="8" max="8"/>
    <col width="9" customWidth="1" min="9" max="9"/>
    <col width="10" customWidth="1" min="10" max="10"/>
    <col width="9" customWidth="1" min="11" max="11"/>
    <col width="9" customWidth="1" min="12" max="12"/>
    <col width="9" customWidth="1" min="13" max="13"/>
    <col width="9" customWidth="1" min="14" max="14"/>
    <col width="10" customWidth="1" min="15" max="15"/>
    <col width="9" customWidth="1" min="16" max="16"/>
    <col width="9" customWidth="1" min="17" max="17"/>
    <col width="9" customWidth="1" min="18" max="18"/>
  </cols>
  <sheetData>
    <row r="1" ht="28" customHeight="1">
      <c r="A1" s="1" t="n"/>
      <c r="B1" s="2" t="str">
        <f>"Woningverkopen "&amp;P_Regio&amp;" — "&amp;P_RJ&amp;" en "&amp;(P_RJ+1)&amp;" (aantallen op aandeelbasis)"</f>
        <v>Woningverkopen Demo Regio — 2026 en 2027 (aantallen op aandeelbasis)</v>
      </c>
      <c r="C1" s="1" t="n"/>
      <c r="D1" s="1" t="n"/>
      <c r="E1" s="1" t="n"/>
      <c r="F1" s="1" t="n"/>
      <c r="G1" s="1" t="n"/>
      <c r="H1" s="1" t="n"/>
      <c r="I1" s="1" t="n"/>
      <c r="J1" s="1" t="n"/>
      <c r="K1" s="1" t="n"/>
      <c r="L1" s="1" t="n"/>
      <c r="M1" s="1" t="n"/>
      <c r="N1" s="1" t="n"/>
      <c r="O1" s="1" t="n"/>
      <c r="P1" s="1" t="n"/>
      <c r="Q1" s="1" t="n"/>
      <c r="R1" s="1" t="n"/>
      <c r="S1" s="1" t="n"/>
    </row>
    <row r="2">
      <c r="B2" s="3" t="str">
        <f>"Bron: Woningetalage, peildatum "&amp;P_PeilTxt&amp;" · filter: "&amp;Sel_FiltLabel&amp;" · verkopen ≠ opleveringen/transporten/startbouw · projecten met Woningen meetellen = Nee uitgesloten"</f>
        <v>Bron: Woningetalage, peildatum 30-09-2026 · filter: geen filter · verkopen ≠ opleveringen/transporten/startbouw · projecten met Woningen meetellen = Nee uitgesloten</v>
      </c>
    </row>
    <row r="4">
      <c r="B4" s="23" t="inlineStr">
        <is>
          <t>Totaal woningen (aandeelbasis)</t>
        </is>
      </c>
      <c r="C4" s="24" t="n"/>
      <c r="E4" s="23" t="str">
        <f>"Verkocht t/m "&amp;(P_RJ-1)</f>
        <v>Verkocht t/m 2025</v>
      </c>
      <c r="F4" s="24" t="n"/>
      <c r="H4" s="23" t="str">
        <f>"Verkocht "&amp;P_RJ&amp;" t/m "&amp;P_PeilTxt</f>
        <v>Verkocht 2026 t/m 30-09-2026</v>
      </c>
      <c r="I4" s="24" t="n"/>
      <c r="K4" s="23" t="str">
        <f>"Jaarverwachting "&amp;P_RJ</f>
        <v>Jaarverwachting 2026</v>
      </c>
      <c r="L4" s="24" t="n"/>
      <c r="N4" s="23" t="inlineStr">
        <is>
          <t>Cumulatief verkocht</t>
        </is>
      </c>
      <c r="O4" s="24" t="n"/>
      <c r="Q4" s="23" t="inlineStr">
        <is>
          <t>Resterende etalage</t>
        </is>
      </c>
      <c r="R4" s="24" t="n"/>
    </row>
    <row r="5" ht="28" customHeight="1">
      <c r="B5" s="26">
        <f>SUMIFS(V_W_Aantal,V_Meetellen,"Ja",V_Type,Sel_TypeCrit,V_WBS,Sel_WBS)</f>
        <v>1160</v>
      </c>
      <c r="E5" s="26">
        <f>SUMIFS(V_W_VJ_T,V_Meetellen,"Ja",V_Type,Sel_TypeCrit,V_WBS,Sel_WBS)</f>
        <v>65</v>
      </c>
      <c r="H5" s="26">
        <f>SUMIFS(V_W_ActYTD,V_Meetellen,"Ja",V_Type,Sel_TypeCrit,V_WBS,Sel_WBS)</f>
        <v>193</v>
      </c>
      <c r="K5" s="26">
        <f>SUMIFS(V_W_HuidigJaar,V_Meetellen,"Ja",V_Type,Sel_TypeCrit,V_WBS,Sel_WBS)</f>
        <v>360</v>
      </c>
      <c r="N5" s="26">
        <f>SUMIFS(V_W_Cum_T,V_Meetellen,"Ja",V_Type,Sel_TypeCrit,V_WBS,Sel_WBS)</f>
        <v>258</v>
      </c>
      <c r="Q5" s="26">
        <f>SUMIFS(V_W_Etalage,V_Meetellen,"Ja",V_Type,Sel_TypeCrit,V_WBS,Sel_WBS)</f>
        <v>902</v>
      </c>
    </row>
    <row r="6">
      <c r="B6" s="27" t="str">
        <f>"bruto (afgeleid): "&amp;FIXED(SUMIFS(V_W_Bruto,V_Meetellen,"Ja",V_Type,Sel_TypeCrit,V_WBS,Sel_WBS),0)</f>
        <v>bruto (afgeleid): 1,268</v>
      </c>
      <c r="C6" s="28" t="n"/>
      <c r="E6" s="27" t="inlineStr">
        <is>
          <t>actual</t>
        </is>
      </c>
      <c r="F6" s="28" t="n"/>
      <c r="H6" s="27" t="inlineStr">
        <is>
          <t>actual (hjr t/m peilmaand)</t>
        </is>
      </c>
      <c r="I6" s="28" t="n"/>
      <c r="K6" s="27" t="str">
        <f>"waarvan prognose: "&amp;SUMIFS(V_W_PrognoseRest,V_Meetellen,"Ja",V_Type,Sel_TypeCrit,V_WBS,Sel_WBS)</f>
        <v>waarvan prognose: 167</v>
      </c>
      <c r="L6" s="28" t="n"/>
      <c r="N6" s="27" t="str">
        <f>IF(SUMIFS(V_W_Aantal,V_Meetellen,"Ja",V_Type,Sel_TypeCrit,V_WBS,Sel_WBS)=0,"n.b.",FIXED(SUMIFS(V_W_Cum_T,V_Meetellen,"Ja",V_Type,Sel_TypeCrit,V_WBS,Sel_WBS)/SUMIFS(V_W_Aantal,V_Meetellen,"Ja",V_Type,Sel_TypeCrit,V_WBS,Sel_WBS)*100,0)&amp;"% van totaal")</f>
        <v>22% van totaal</v>
      </c>
      <c r="O6" s="28" t="n"/>
      <c r="Q6" s="27" t="inlineStr">
        <is>
          <t>totaal − cumulatief actual</t>
        </is>
      </c>
      <c r="R6" s="28" t="n"/>
    </row>
    <row r="7">
      <c r="B7" s="27" t="str">
        <f>"niet nogmaals × aandeel"</f>
        <v>niet nogmaals × aandeel</v>
      </c>
      <c r="C7" s="28" t="n"/>
      <c r="E7" s="28" t="n"/>
      <c r="F7" s="28" t="n"/>
      <c r="H7" s="28" t="n"/>
      <c r="I7" s="28" t="n"/>
      <c r="K7" s="27" t="str">
        <f>"volgend jaar: "&amp;SUMIFS(V_W_VolgendJaar,V_Meetellen,"Ja",V_Type,Sel_TypeCrit,V_WBS,Sel_WBS)</f>
        <v>volgend jaar: 483</v>
      </c>
      <c r="L7" s="28" t="n"/>
      <c r="N7" s="29">
        <f>IF(SUMIFS(V_W_Aantal,V_Meetellen,"Ja",V_Type,Sel_TypeCrit,V_WBS,Sel_WBS)=0,0,SUMIFS(V_W_Cum_T,V_Meetellen,"Ja",V_Type,Sel_TypeCrit,V_WBS,Sel_WBS)/SUMIFS(V_W_Aantal,V_Meetellen,"Ja",V_Type,Sel_TypeCrit,V_WBS,Sel_WBS))</f>
        <v>0.222413793103448</v>
      </c>
      <c r="O7" s="28" t="n"/>
      <c r="Q7" s="28" t="n"/>
      <c r="R7" s="28" t="n"/>
    </row>
    <row r="10">
      <c r="B10" s="16" t="inlineStr">
        <is>
          <t>Verkopen per maand en kwartaal (actual t/m peilmaand, daarna prognose)</t>
        </is>
      </c>
      <c r="C10" s="8" t="n"/>
      <c r="D10" s="8" t="n"/>
      <c r="E10" s="8" t="n"/>
      <c r="F10" s="8" t="n"/>
      <c r="G10" s="8" t="n"/>
      <c r="H10" s="8" t="n"/>
      <c r="I10" s="8" t="n"/>
    </row>
    <row r="11" ht="18" customHeight="1">
      <c r="B11" s="32" t="inlineStr">
        <is>
          <t>Periode</t>
        </is>
      </c>
      <c r="C11" s="33" t="inlineStr">
        <is>
          <t>Actual</t>
        </is>
      </c>
      <c r="D11" s="33" t="inlineStr">
        <is>
          <t>Prognose</t>
        </is>
      </c>
      <c r="E11" s="33" t="inlineStr">
        <is>
          <t>Totaal</t>
        </is>
      </c>
      <c r="F11" s="33" t="inlineStr">
        <is>
          <t>Status</t>
        </is>
      </c>
      <c r="H11" s="6" t="str">
        <f>"Verkopen per kwartaal "&amp;P_RJ&amp;"–"&amp;(P_RJ+1)&amp;" (aantal): actual vs prognose"</f>
        <v>Verkopen per kwartaal 2026–2027 (aantal): actual vs prognose</v>
      </c>
    </row>
    <row r="12">
      <c r="B12" t="str">
        <f>P_RJ&amp;"-"&amp;RIGHT("01",2)</f>
        <v>2026-01</v>
      </c>
      <c r="C12" s="77">
        <f>IF(1&lt;=P_PeilMaand,SUMIFS(V_W_M01,V_Meetellen,"Ja",V_Type,Sel_TypeCrit,V_WBS,Sel_WBS),0)</f>
        <v>6</v>
      </c>
      <c r="D12" s="77">
        <f>IF(1&gt;P_PeilMaand,SUMIFS(V_W_M01,V_Meetellen,"Ja",V_Type,Sel_TypeCrit,V_WBS,Sel_WBS),0)</f>
        <v>0</v>
      </c>
      <c r="E12" s="77">
        <f>C12+D12</f>
        <v>6</v>
      </c>
      <c r="F12" s="15" t="str">
        <f>IF(1&lt;=P_PeilMaand,"actual","prognose")</f>
        <v>actual</v>
      </c>
    </row>
    <row r="13">
      <c r="B13" t="str">
        <f>P_RJ&amp;"-"&amp;RIGHT("02",2)</f>
        <v>2026-02</v>
      </c>
      <c r="C13" s="77">
        <f>IF(2&lt;=P_PeilMaand,SUMIFS(V_W_M02,V_Meetellen,"Ja",V_Type,Sel_TypeCrit,V_WBS,Sel_WBS),0)</f>
        <v>6</v>
      </c>
      <c r="D13" s="77">
        <f>IF(2&gt;P_PeilMaand,SUMIFS(V_W_M02,V_Meetellen,"Ja",V_Type,Sel_TypeCrit,V_WBS,Sel_WBS),0)</f>
        <v>0</v>
      </c>
      <c r="E13" s="77">
        <f>C13+D13</f>
        <v>6</v>
      </c>
      <c r="F13" s="15" t="str">
        <f>IF(2&lt;=P_PeilMaand,"actual","prognose")</f>
        <v>actual</v>
      </c>
    </row>
    <row r="14">
      <c r="B14" t="str">
        <f>P_RJ&amp;"-"&amp;RIGHT("03",2)</f>
        <v>2026-03</v>
      </c>
      <c r="C14" s="77">
        <f>IF(3&lt;=P_PeilMaand,SUMIFS(V_W_M03,V_Meetellen,"Ja",V_Type,Sel_TypeCrit,V_WBS,Sel_WBS),0)</f>
        <v>21</v>
      </c>
      <c r="D14" s="77">
        <f>IF(3&gt;P_PeilMaand,SUMIFS(V_W_M03,V_Meetellen,"Ja",V_Type,Sel_TypeCrit,V_WBS,Sel_WBS),0)</f>
        <v>0</v>
      </c>
      <c r="E14" s="77">
        <f>C14+D14</f>
        <v>21</v>
      </c>
      <c r="F14" s="15" t="str">
        <f>IF(3&lt;=P_PeilMaand,"actual","prognose")</f>
        <v>actual</v>
      </c>
    </row>
    <row r="15">
      <c r="B15" t="str">
        <f>P_RJ&amp;"-"&amp;RIGHT("04",2)</f>
        <v>2026-04</v>
      </c>
      <c r="C15" s="77">
        <f>IF(4&lt;=P_PeilMaand,SUMIFS(V_W_M04,V_Meetellen,"Ja",V_Type,Sel_TypeCrit,V_WBS,Sel_WBS),0)</f>
        <v>21</v>
      </c>
      <c r="D15" s="77">
        <f>IF(4&gt;P_PeilMaand,SUMIFS(V_W_M04,V_Meetellen,"Ja",V_Type,Sel_TypeCrit,V_WBS,Sel_WBS),0)</f>
        <v>0</v>
      </c>
      <c r="E15" s="77">
        <f>C15+D15</f>
        <v>21</v>
      </c>
      <c r="F15" s="15" t="str">
        <f>IF(4&lt;=P_PeilMaand,"actual","prognose")</f>
        <v>actual</v>
      </c>
    </row>
    <row r="16">
      <c r="B16" t="str">
        <f>P_RJ&amp;"-"&amp;RIGHT("05",2)</f>
        <v>2026-05</v>
      </c>
      <c r="C16" s="77">
        <f>IF(5&lt;=P_PeilMaand,SUMIFS(V_W_M05,V_Meetellen,"Ja",V_Type,Sel_TypeCrit,V_WBS,Sel_WBS),0)</f>
        <v>38</v>
      </c>
      <c r="D16" s="77">
        <f>IF(5&gt;P_PeilMaand,SUMIFS(V_W_M05,V_Meetellen,"Ja",V_Type,Sel_TypeCrit,V_WBS,Sel_WBS),0)</f>
        <v>0</v>
      </c>
      <c r="E16" s="77">
        <f>C16+D16</f>
        <v>38</v>
      </c>
      <c r="F16" s="15" t="str">
        <f>IF(5&lt;=P_PeilMaand,"actual","prognose")</f>
        <v>actual</v>
      </c>
    </row>
    <row r="17">
      <c r="B17" t="str">
        <f>P_RJ&amp;"-"&amp;RIGHT("06",2)</f>
        <v>2026-06</v>
      </c>
      <c r="C17" s="77">
        <f>IF(6&lt;=P_PeilMaand,SUMIFS(V_W_M06,V_Meetellen,"Ja",V_Type,Sel_TypeCrit,V_WBS,Sel_WBS),0)</f>
        <v>21</v>
      </c>
      <c r="D17" s="77">
        <f>IF(6&gt;P_PeilMaand,SUMIFS(V_W_M06,V_Meetellen,"Ja",V_Type,Sel_TypeCrit,V_WBS,Sel_WBS),0)</f>
        <v>0</v>
      </c>
      <c r="E17" s="77">
        <f>C17+D17</f>
        <v>21</v>
      </c>
      <c r="F17" s="15" t="str">
        <f>IF(6&lt;=P_PeilMaand,"actual","prognose")</f>
        <v>actual</v>
      </c>
    </row>
    <row r="18">
      <c r="B18" t="str">
        <f>P_RJ&amp;"-"&amp;RIGHT("07",2)</f>
        <v>2026-07</v>
      </c>
      <c r="C18" s="77">
        <f>IF(7&lt;=P_PeilMaand,SUMIFS(V_W_M07,V_Meetellen,"Ja",V_Type,Sel_TypeCrit,V_WBS,Sel_WBS),0)</f>
        <v>21</v>
      </c>
      <c r="D18" s="77">
        <f>IF(7&gt;P_PeilMaand,SUMIFS(V_W_M07,V_Meetellen,"Ja",V_Type,Sel_TypeCrit,V_WBS,Sel_WBS),0)</f>
        <v>0</v>
      </c>
      <c r="E18" s="77">
        <f>C18+D18</f>
        <v>21</v>
      </c>
      <c r="F18" s="15" t="str">
        <f>IF(7&lt;=P_PeilMaand,"actual","prognose")</f>
        <v>actual</v>
      </c>
    </row>
    <row r="19">
      <c r="B19" t="str">
        <f>P_RJ&amp;"-"&amp;RIGHT("08",2)</f>
        <v>2026-08</v>
      </c>
      <c r="C19" s="77">
        <f>IF(8&lt;=P_PeilMaand,SUMIFS(V_W_M08,V_Meetellen,"Ja",V_Type,Sel_TypeCrit,V_WBS,Sel_WBS),0)</f>
        <v>38</v>
      </c>
      <c r="D19" s="77">
        <f>IF(8&gt;P_PeilMaand,SUMIFS(V_W_M08,V_Meetellen,"Ja",V_Type,Sel_TypeCrit,V_WBS,Sel_WBS),0)</f>
        <v>0</v>
      </c>
      <c r="E19" s="77">
        <f>C19+D19</f>
        <v>38</v>
      </c>
      <c r="F19" s="15" t="str">
        <f>IF(8&lt;=P_PeilMaand,"actual","prognose")</f>
        <v>actual</v>
      </c>
    </row>
    <row r="20">
      <c r="B20" t="str">
        <f>P_RJ&amp;"-"&amp;RIGHT("09",2)</f>
        <v>2026-09</v>
      </c>
      <c r="C20" s="77">
        <f>IF(9&lt;=P_PeilMaand,SUMIFS(V_W_M09,V_Meetellen,"Ja",V_Type,Sel_TypeCrit,V_WBS,Sel_WBS),0)</f>
        <v>21</v>
      </c>
      <c r="D20" s="77">
        <f>IF(9&gt;P_PeilMaand,SUMIFS(V_W_M09,V_Meetellen,"Ja",V_Type,Sel_TypeCrit,V_WBS,Sel_WBS),0)</f>
        <v>0</v>
      </c>
      <c r="E20" s="77">
        <f>C20+D20</f>
        <v>21</v>
      </c>
      <c r="F20" s="15" t="str">
        <f>IF(9&lt;=P_PeilMaand,"actual","prognose")</f>
        <v>actual</v>
      </c>
    </row>
    <row r="21">
      <c r="B21" t="str">
        <f>P_RJ&amp;"-"&amp;RIGHT("010",2)</f>
        <v>2026-10</v>
      </c>
      <c r="C21" s="77">
        <f>IF(10&lt;=P_PeilMaand,SUMIFS(V_W_M10,V_Meetellen,"Ja",V_Type,Sel_TypeCrit,V_WBS,Sel_WBS),0)</f>
        <v>0</v>
      </c>
      <c r="D21" s="77">
        <f>IF(10&gt;P_PeilMaand,SUMIFS(V_W_M10,V_Meetellen,"Ja",V_Type,Sel_TypeCrit,V_WBS,Sel_WBS),0)</f>
        <v>6</v>
      </c>
      <c r="E21" s="77">
        <f>C21+D21</f>
        <v>6</v>
      </c>
      <c r="F21" s="15" t="str">
        <f>IF(10&lt;=P_PeilMaand,"actual","prognose")</f>
        <v>prognose</v>
      </c>
    </row>
    <row r="22">
      <c r="B22" t="str">
        <f>P_RJ&amp;"-"&amp;RIGHT("011",2)</f>
        <v>2026-11</v>
      </c>
      <c r="C22" s="77">
        <f>IF(11&lt;=P_PeilMaand,SUMIFS(V_W_M11,V_Meetellen,"Ja",V_Type,Sel_TypeCrit,V_WBS,Sel_WBS),0)</f>
        <v>0</v>
      </c>
      <c r="D22" s="77">
        <f>IF(11&gt;P_PeilMaand,SUMIFS(V_W_M11,V_Meetellen,"Ja",V_Type,Sel_TypeCrit,V_WBS,Sel_WBS),0)</f>
        <v>6</v>
      </c>
      <c r="E22" s="77">
        <f>C22+D22</f>
        <v>6</v>
      </c>
      <c r="F22" s="15" t="str">
        <f>IF(11&lt;=P_PeilMaand,"actual","prognose")</f>
        <v>prognose</v>
      </c>
    </row>
    <row r="23">
      <c r="B23" t="str">
        <f>P_RJ&amp;"-"&amp;RIGHT("012",2)</f>
        <v>2026-12</v>
      </c>
      <c r="C23" s="77">
        <f>IF(12&lt;=P_PeilMaand,SUMIFS(V_W_M12,V_Meetellen,"Ja",V_Type,Sel_TypeCrit,V_WBS,Sel_WBS),0)</f>
        <v>0</v>
      </c>
      <c r="D23" s="77">
        <f>IF(12&gt;P_PeilMaand,SUMIFS(V_W_M12,V_Meetellen,"Ja",V_Type,Sel_TypeCrit,V_WBS,Sel_WBS),0)</f>
        <v>155</v>
      </c>
      <c r="E23" s="77">
        <f>C23+D23</f>
        <v>155</v>
      </c>
      <c r="F23" s="15" t="str">
        <f>IF(12&lt;=P_PeilMaand,"actual","prognose")</f>
        <v>prognose</v>
      </c>
    </row>
    <row r="24" ht="18" customHeight="1">
      <c r="B24" s="32" t="inlineStr">
        <is>
          <t>Kwartaal</t>
        </is>
      </c>
      <c r="C24" s="33" t="inlineStr">
        <is>
          <t>Actual</t>
        </is>
      </c>
      <c r="D24" s="33" t="inlineStr">
        <is>
          <t>Prognose</t>
        </is>
      </c>
      <c r="E24" s="33" t="inlineStr">
        <is>
          <t>Totaal</t>
        </is>
      </c>
      <c r="F24" s="33" t="inlineStr">
        <is>
          <t>Status</t>
        </is>
      </c>
    </row>
    <row r="25">
      <c r="B25" t="str">
        <f>P_RJ&amp;" Q1"</f>
        <v>2026 Q1</v>
      </c>
      <c r="C25" s="77">
        <f>SUM(C12:C14)</f>
        <v>33</v>
      </c>
      <c r="D25" s="77">
        <f>SUM(D12:D14)</f>
        <v>0</v>
      </c>
      <c r="E25" s="77">
        <f>C25+D25</f>
        <v>33</v>
      </c>
      <c r="F25" s="15" t="str">
        <f>IF(D25=0,"actual",IF(C25=0,"prognose","deels actual"))</f>
        <v>actual</v>
      </c>
    </row>
    <row r="26">
      <c r="B26" t="str">
        <f>P_RJ&amp;" Q2"</f>
        <v>2026 Q2</v>
      </c>
      <c r="C26" s="77">
        <f>SUM(C15:C17)</f>
        <v>80</v>
      </c>
      <c r="D26" s="77">
        <f>SUM(D15:D17)</f>
        <v>0</v>
      </c>
      <c r="E26" s="77">
        <f>C26+D26</f>
        <v>80</v>
      </c>
      <c r="F26" s="15" t="str">
        <f>IF(D26=0,"actual",IF(C26=0,"prognose","deels actual"))</f>
        <v>actual</v>
      </c>
    </row>
    <row r="27">
      <c r="B27" t="str">
        <f>P_RJ&amp;" Q3"</f>
        <v>2026 Q3</v>
      </c>
      <c r="C27" s="77">
        <f>SUM(C18:C20)</f>
        <v>80</v>
      </c>
      <c r="D27" s="77">
        <f>SUM(D18:D20)</f>
        <v>0</v>
      </c>
      <c r="E27" s="77">
        <f>C27+D27</f>
        <v>80</v>
      </c>
      <c r="F27" s="15" t="str">
        <f>IF(D27=0,"actual",IF(C27=0,"prognose","deels actual"))</f>
        <v>actual</v>
      </c>
    </row>
    <row r="28">
      <c r="B28" t="str">
        <f>P_RJ&amp;" Q4"</f>
        <v>2026 Q4</v>
      </c>
      <c r="C28" s="77">
        <f>SUM(C21:C23)</f>
        <v>0</v>
      </c>
      <c r="D28" s="77">
        <f>SUM(D21:D23)</f>
        <v>167</v>
      </c>
      <c r="E28" s="77">
        <f>C28+D28</f>
        <v>167</v>
      </c>
      <c r="F28" s="15" t="str">
        <f>IF(D28=0,"actual",IF(C28=0,"prognose","deels actual"))</f>
        <v>prognose</v>
      </c>
    </row>
    <row r="29">
      <c r="B29" t="str">
        <f>(P_RJ+1)&amp;" Q1"</f>
        <v>2027 Q1</v>
      </c>
      <c r="C29" s="77" t="n">
        <v>0</v>
      </c>
      <c r="D29" s="77">
        <f>SUMIFS(V_W_VQ1,V_Meetellen,"Ja",V_Type,Sel_TypeCrit,V_WBS,Sel_WBS)</f>
        <v>135</v>
      </c>
      <c r="E29" s="77">
        <f>C29+D29</f>
        <v>135</v>
      </c>
      <c r="F29" s="15" t="inlineStr">
        <is>
          <t>prognose</t>
        </is>
      </c>
    </row>
    <row r="30">
      <c r="B30" t="str">
        <f>(P_RJ+1)&amp;" Q2"</f>
        <v>2027 Q2</v>
      </c>
      <c r="C30" s="77" t="n">
        <v>0</v>
      </c>
      <c r="D30" s="77">
        <f>SUMIFS(V_W_VQ2,V_Meetellen,"Ja",V_Type,Sel_TypeCrit,V_WBS,Sel_WBS)</f>
        <v>115</v>
      </c>
      <c r="E30" s="77">
        <f>C30+D30</f>
        <v>115</v>
      </c>
      <c r="F30" s="15" t="inlineStr">
        <is>
          <t>prognose</t>
        </is>
      </c>
    </row>
    <row r="31">
      <c r="B31" t="str">
        <f>(P_RJ+1)&amp;" Q3"</f>
        <v>2027 Q3</v>
      </c>
      <c r="C31" s="77" t="n">
        <v>0</v>
      </c>
      <c r="D31" s="77">
        <f>SUMIFS(V_W_VQ3,V_Meetellen,"Ja",V_Type,Sel_TypeCrit,V_WBS,Sel_WBS)</f>
        <v>115</v>
      </c>
      <c r="E31" s="77">
        <f>C31+D31</f>
        <v>115</v>
      </c>
      <c r="F31" s="15" t="inlineStr">
        <is>
          <t>prognose</t>
        </is>
      </c>
    </row>
    <row r="32">
      <c r="B32" t="str">
        <f>(P_RJ+1)&amp;" Q4"</f>
        <v>2027 Q4</v>
      </c>
      <c r="C32" s="77" t="n">
        <v>0</v>
      </c>
      <c r="D32" s="77">
        <f>SUMIFS(V_W_VQ4,V_Meetellen,"Ja",V_Type,Sel_TypeCrit,V_WBS,Sel_WBS)</f>
        <v>118</v>
      </c>
      <c r="E32" s="77">
        <f>C32+D32</f>
        <v>118</v>
      </c>
      <c r="F32" s="15" t="inlineStr">
        <is>
          <t>prognose</t>
        </is>
      </c>
    </row>
    <row r="34">
      <c r="B34" s="16" t="inlineStr">
        <is>
          <t>Jaarverwachting woningverkopen per prognoseversie (doeljaar volgens Dashboard)</t>
        </is>
      </c>
      <c r="C34" s="8" t="n"/>
      <c r="D34" s="8" t="n"/>
      <c r="E34" s="8" t="n"/>
      <c r="F34" s="8" t="n"/>
      <c r="G34" s="8" t="n"/>
      <c r="H34" s="8" t="n"/>
      <c r="I34" s="8" t="n"/>
    </row>
    <row r="35" ht="18" customHeight="1">
      <c r="B35" s="32" t="inlineStr">
        <is>
          <t>Versie</t>
        </is>
      </c>
      <c r="C35" s="33" t="inlineStr">
        <is>
          <t>Label</t>
        </is>
      </c>
      <c r="D35" s="33" t="inlineStr">
        <is>
          <t>Verkopen FY</t>
        </is>
      </c>
      <c r="E35" s="33" t="inlineStr">
        <is>
          <t>Actual YTD</t>
        </is>
      </c>
      <c r="F35" s="33" t="inlineStr">
        <is>
          <t>Δ vs Budget</t>
        </is>
      </c>
      <c r="H35" s="6" t="str">
        <f>"Jaarverwachting verkopen "&amp;Sel_Doeljaar&amp;" per versie (aantal)"</f>
        <v>Jaarverwachting verkopen 2026 per versie (aantal)</v>
      </c>
      <c r="Q35" s="15" t="inlineStr">
        <is>
          <t>Verkopen FY</t>
        </is>
      </c>
    </row>
    <row r="36">
      <c r="B36" s="34" t="inlineStr">
        <is>
          <t>Budget</t>
        </is>
      </c>
      <c r="C36" t="str">
        <f>B36&amp;IF(ISNUMBER(CALC_Versies!$W$5),""," (n.b.)")</f>
        <v>Budget</v>
      </c>
      <c r="D36" s="75">
        <f>CALC_Versies!$W$5</f>
        <v>372</v>
      </c>
      <c r="E36" s="75" t="str">
        <f>CALC_Versies!$X$5</f>
        <v>n.b.</v>
      </c>
      <c r="F36" s="75">
        <f>IF(AND(ISNUMBER(D36),ISNUMBER($D$36)),D36-$D$36,"n.b.")</f>
        <v>0</v>
      </c>
      <c r="Q36" s="15">
        <f>IF(ISNUMBER(D36),D36,0)</f>
        <v>372</v>
      </c>
    </row>
    <row r="37">
      <c r="B37" s="34" t="inlineStr">
        <is>
          <t>Q1</t>
        </is>
      </c>
      <c r="C37" t="str">
        <f>B37&amp;IF(ISNUMBER(CALC_Versies!$W$6),""," (n.b.)")</f>
        <v>Q1</v>
      </c>
      <c r="D37" s="75">
        <f>CALC_Versies!$W$6</f>
        <v>366</v>
      </c>
      <c r="E37" s="75" t="str">
        <f>CALC_Versies!$X$6</f>
        <v>n.b.</v>
      </c>
      <c r="F37" s="75">
        <f>IF(AND(ISNUMBER(D37),ISNUMBER($D$36)),D37-$D$36,"n.b.")</f>
        <v>-6</v>
      </c>
      <c r="Q37" s="15">
        <f>IF(ISNUMBER(D37),D37,0)</f>
        <v>366</v>
      </c>
    </row>
    <row r="38">
      <c r="B38" s="34" t="inlineStr">
        <is>
          <t>Q2</t>
        </is>
      </c>
      <c r="C38" t="str">
        <f>B38&amp;IF(ISNUMBER(CALC_Versies!$W$7),""," (n.b.)")</f>
        <v>Q2</v>
      </c>
      <c r="D38" s="75">
        <f>CALC_Versies!$W$7</f>
        <v>355</v>
      </c>
      <c r="E38" s="75" t="str">
        <f>CALC_Versies!$X$7</f>
        <v>n.b.</v>
      </c>
      <c r="F38" s="75">
        <f>IF(AND(ISNUMBER(D38),ISNUMBER($D$36)),D38-$D$36,"n.b.")</f>
        <v>-17</v>
      </c>
      <c r="Q38" s="15">
        <f>IF(ISNUMBER(D38),D38,0)</f>
        <v>355</v>
      </c>
    </row>
    <row r="39">
      <c r="B39" s="34" t="inlineStr">
        <is>
          <t>Q3</t>
        </is>
      </c>
      <c r="C39" t="str">
        <f>B39&amp;IF(ISNUMBER(CALC_Versies!$W$8),""," (n.b.)")</f>
        <v>Q3</v>
      </c>
      <c r="D39" s="75">
        <f>CALC_Versies!$W$8</f>
        <v>360</v>
      </c>
      <c r="E39" s="75">
        <f>CALC_Versies!$X$8</f>
        <v>193</v>
      </c>
      <c r="F39" s="75">
        <f>IF(AND(ISNUMBER(D39),ISNUMBER($D$36)),D39-$D$36,"n.b.")</f>
        <v>-12</v>
      </c>
      <c r="Q39" s="15">
        <f>IF(ISNUMBER(D39),D39,0)</f>
        <v>360</v>
      </c>
    </row>
    <row r="40">
      <c r="B40" s="34" t="inlineStr">
        <is>
          <t>Q4</t>
        </is>
      </c>
      <c r="C40" t="str">
        <f>B40&amp;IF(ISNUMBER(CALC_Versies!$W$9),""," (n.b.)")</f>
        <v>Q4 (n.b.)</v>
      </c>
      <c r="D40" s="75" t="str">
        <f>CALC_Versies!$W$9</f>
        <v>n.b.</v>
      </c>
      <c r="E40" s="75" t="str">
        <f>CALC_Versies!$X$9</f>
        <v>n.b.</v>
      </c>
      <c r="F40" s="75" t="str">
        <f>IF(AND(ISNUMBER(D40),ISNUMBER($D$36)),D40-$D$36,"n.b.")</f>
        <v>n.b.</v>
      </c>
      <c r="Q40" s="15">
        <f>IF(ISNUMBER(D40),D40,0)</f>
        <v>0</v>
      </c>
    </row>
    <row r="41">
      <c r="B41" s="34" t="inlineStr">
        <is>
          <t>Upload</t>
        </is>
      </c>
      <c r="C41" t="str">
        <f>B41&amp;IF(ISNUMBER(CALC_Versies!$W$10),""," (n.b.)")</f>
        <v>Upload</v>
      </c>
      <c r="D41" s="75">
        <f>CALC_Versies!$W$10</f>
        <v>360</v>
      </c>
      <c r="E41" s="75">
        <f>CALC_Versies!$X$10</f>
        <v>193</v>
      </c>
      <c r="F41" s="75">
        <f>IF(AND(ISNUMBER(D41),ISNUMBER($D$36)),D41-$D$36,"n.b.")</f>
        <v>-12</v>
      </c>
      <c r="Q41" s="15">
        <f>IF(ISNUMBER(D41),D41,0)</f>
        <v>360</v>
      </c>
    </row>
    <row r="43">
      <c r="B43" s="30" t="inlineStr">
        <is>
          <t>Budget/Q1/Q2 zijn fictieve snapshots; hun realisatie (actual YTD) is niet vastgelegd en blijft n.b.</t>
        </is>
      </c>
    </row>
    <row r="50">
      <c r="B50" s="16" t="inlineStr">
        <is>
          <t>Koperstype (Beleggers/Particulier alleen bekend voor actuals; prognose = aanvullende invoer of Onbekend)</t>
        </is>
      </c>
      <c r="C50" s="8" t="n"/>
      <c r="D50" s="8" t="n"/>
      <c r="E50" s="8" t="n"/>
      <c r="F50" s="8" t="n"/>
      <c r="G50" s="8" t="n"/>
      <c r="H50" s="79" t="inlineStr">
        <is>
          <t>Segment (uit Mapping › 'Segment demo' — fictieve indeling)</t>
        </is>
      </c>
      <c r="I50" s="8" t="n"/>
    </row>
    <row r="51" ht="18" customHeight="1">
      <c r="B51" s="32" t="inlineStr">
        <is>
          <t>Periode</t>
        </is>
      </c>
      <c r="C51" s="33" t="inlineStr">
        <is>
          <t>Beleggers</t>
        </is>
      </c>
      <c r="D51" s="33" t="inlineStr">
        <is>
          <t>Particulier</t>
        </is>
      </c>
      <c r="E51" s="33" t="inlineStr">
        <is>
          <t>Onbekend</t>
        </is>
      </c>
      <c r="F51" s="33" t="inlineStr">
        <is>
          <t>Totaal</t>
        </is>
      </c>
      <c r="H51" s="32" t="inlineStr">
        <is>
          <t>Segment</t>
        </is>
      </c>
      <c r="I51" s="33" t="inlineStr">
        <is>
          <t>Totaal</t>
        </is>
      </c>
      <c r="J51" s="33" t="inlineStr">
        <is>
          <t>Cumulatief</t>
        </is>
      </c>
      <c r="K51" s="33" t="inlineStr">
        <is>
          <t>Etalage</t>
        </is>
      </c>
      <c r="L51" s="33" t="str">
        <f>"Verw. "&amp;P_RJ</f>
        <v>Verw. 2026</v>
      </c>
      <c r="M51" s="33" t="str">
        <f>"Verw. "&amp;(P_RJ+1)</f>
        <v>Verw. 2027</v>
      </c>
    </row>
    <row r="52">
      <c r="B52" t="str">
        <f>"t/m "&amp;(P_RJ-1)&amp;" (actual)"</f>
        <v>t/m 2025 (actual)</v>
      </c>
      <c r="C52" s="77">
        <f>SUMIFS(V_W_VJ_B,V_Meetellen,"Ja",V_Type,Sel_TypeCrit,V_WBS,Sel_WBS)</f>
        <v>39</v>
      </c>
      <c r="D52" s="77">
        <f>SUMIFS(V_W_VJ_P,V_Meetellen,"Ja",V_Type,Sel_TypeCrit,V_WBS,Sel_WBS)</f>
        <v>26</v>
      </c>
      <c r="E52" s="77">
        <f>0</f>
        <v>0</v>
      </c>
      <c r="F52" s="77">
        <f>SUMIFS(V_W_VJ_T,V_Meetellen,"Ja",V_Type,Sel_TypeCrit,V_WBS,Sel_WBS)</f>
        <v>65</v>
      </c>
      <c r="H52" s="34" t="inlineStr">
        <is>
          <t>Grondgebonden</t>
        </is>
      </c>
      <c r="I52" s="77">
        <f>SUMIFS(V_W_Aantal,V_Meetellen,"Ja",V_Type,Sel_TypeCrit,V_WBS,Sel_WBS,V_Segment,"Grondgebonden")</f>
        <v>760</v>
      </c>
      <c r="J52" s="77">
        <f>SUMIFS(V_W_Cum_T,V_Meetellen,"Ja",V_Type,Sel_TypeCrit,V_WBS,Sel_WBS,V_Segment,"Grondgebonden")</f>
        <v>177</v>
      </c>
      <c r="K52" s="77">
        <f>SUMIFS(V_W_Etalage,V_Meetellen,"Ja",V_Type,Sel_TypeCrit,V_WBS,Sel_WBS,V_Segment,"Grondgebonden")</f>
        <v>583</v>
      </c>
      <c r="L52" s="77">
        <f>SUMIFS(V_W_HuidigJaar,V_Meetellen,"Ja",V_Type,Sel_TypeCrit,V_WBS,Sel_WBS,V_Segment,"Grondgebonden")</f>
        <v>236</v>
      </c>
      <c r="M52" s="77">
        <f>SUMIFS(V_W_VolgendJaar,V_Meetellen,"Ja",V_Type,Sel_TypeCrit,V_WBS,Sel_WBS,V_Segment,"Grondgebonden")</f>
        <v>315</v>
      </c>
    </row>
    <row r="53">
      <c r="B53" t="str">
        <f>P_RJ&amp;" t/m "&amp;P_PeilTxt&amp;" (actual)"</f>
        <v>2026 t/m 30-09-2026 (actual)</v>
      </c>
      <c r="C53" s="77">
        <f>SUMIFS(V_W_HJ_B,V_Meetellen,"Ja",V_Type,Sel_TypeCrit,V_WBS,Sel_WBS)</f>
        <v>67</v>
      </c>
      <c r="D53" s="77">
        <f>SUMIFS(V_W_HJ_P,V_Meetellen,"Ja",V_Type,Sel_TypeCrit,V_WBS,Sel_WBS)</f>
        <v>126</v>
      </c>
      <c r="E53" s="77">
        <f>0</f>
        <v>0</v>
      </c>
      <c r="F53" s="77">
        <f>SUMIFS(V_W_HJ_T,V_Meetellen,"Ja",V_Type,Sel_TypeCrit,V_WBS,Sel_WBS)</f>
        <v>193</v>
      </c>
      <c r="H53" s="34" t="inlineStr">
        <is>
          <t>Appartement</t>
        </is>
      </c>
      <c r="I53" s="77">
        <f>SUMIFS(V_W_Aantal,V_Meetellen,"Ja",V_Type,Sel_TypeCrit,V_WBS,Sel_WBS,V_Segment,"Appartement")</f>
        <v>400</v>
      </c>
      <c r="J53" s="77">
        <f>SUMIFS(V_W_Cum_T,V_Meetellen,"Ja",V_Type,Sel_TypeCrit,V_WBS,Sel_WBS,V_Segment,"Appartement")</f>
        <v>81</v>
      </c>
      <c r="K53" s="77">
        <f>SUMIFS(V_W_Etalage,V_Meetellen,"Ja",V_Type,Sel_TypeCrit,V_WBS,Sel_WBS,V_Segment,"Appartement")</f>
        <v>319</v>
      </c>
      <c r="L53" s="77">
        <f>SUMIFS(V_W_HuidigJaar,V_Meetellen,"Ja",V_Type,Sel_TypeCrit,V_WBS,Sel_WBS,V_Segment,"Appartement")</f>
        <v>124</v>
      </c>
      <c r="M53" s="77">
        <f>SUMIFS(V_W_VolgendJaar,V_Meetellen,"Ja",V_Type,Sel_TypeCrit,V_WBS,Sel_WBS,V_Segment,"Appartement")</f>
        <v>168</v>
      </c>
    </row>
    <row r="54">
      <c r="B54" t="str">
        <f>"Cumulatief (actual)"</f>
        <v>Cumulatief (actual)</v>
      </c>
      <c r="C54" s="77">
        <f>SUMIFS(V_W_Cum_B,V_Meetellen,"Ja",V_Type,Sel_TypeCrit,V_WBS,Sel_WBS)</f>
        <v>106</v>
      </c>
      <c r="D54" s="77">
        <f>SUMIFS(V_W_Cum_P,V_Meetellen,"Ja",V_Type,Sel_TypeCrit,V_WBS,Sel_WBS)</f>
        <v>152</v>
      </c>
      <c r="E54" s="77">
        <f>0</f>
        <v>0</v>
      </c>
      <c r="F54" s="77">
        <f>SUMIFS(V_W_Cum_T,V_Meetellen,"Ja",V_Type,Sel_TypeCrit,V_WBS,Sel_WBS)</f>
        <v>258</v>
      </c>
      <c r="H54" s="34" t="inlineStr">
        <is>
          <t>Overig / onbekend</t>
        </is>
      </c>
      <c r="I54" s="77">
        <f>SUMIFS(V_W_Aantal,V_Meetellen,"Ja",V_Type,Sel_TypeCrit,V_WBS,Sel_WBS)-I52-I53</f>
        <v>0</v>
      </c>
      <c r="J54" s="77">
        <f>SUMIFS(V_W_Cum_T,V_Meetellen,"Ja",V_Type,Sel_TypeCrit,V_WBS,Sel_WBS)-J52-J53</f>
        <v>0</v>
      </c>
      <c r="K54" s="77">
        <f>SUMIFS(V_W_Etalage,V_Meetellen,"Ja",V_Type,Sel_TypeCrit,V_WBS,Sel_WBS)-K52-K53</f>
        <v>0</v>
      </c>
      <c r="L54" s="77">
        <f>SUMIFS(V_W_HuidigJaar,V_Meetellen,"Ja",V_Type,Sel_TypeCrit,V_WBS,Sel_WBS)-L52-L53</f>
        <v>0</v>
      </c>
      <c r="M54" s="77">
        <f>SUMIFS(V_W_VolgendJaar,V_Meetellen,"Ja",V_Type,Sel_TypeCrit,V_WBS,Sel_WBS)-M52-M53</f>
        <v>0</v>
      </c>
    </row>
    <row r="55">
      <c r="B55" t="str">
        <f>"Prognose rest "&amp;P_RJ</f>
        <v>Prognose rest 2026</v>
      </c>
      <c r="C55" s="77">
        <f>SUMIFS(KT_Aantal,KT_Telt,1,KT_Doel,P_RJ+0,KT_Periode,"Q1",KT_Type,"Belegger",KT_TypeMap,Sel_TypeCrit,KT_WBS,Sel_WBS)+SUMIFS(KT_Aantal,KT_Telt,1,KT_Doel,P_RJ+0,KT_Periode,"Q2",KT_Type,"Belegger",KT_TypeMap,Sel_TypeCrit,KT_WBS,Sel_WBS)+SUMIFS(KT_Aantal,KT_Telt,1,KT_Doel,P_RJ+0,KT_Periode,"Q3",KT_Type,"Belegger",KT_TypeMap,Sel_TypeCrit,KT_WBS,Sel_WBS)+SUMIFS(KT_Aantal,KT_Telt,1,KT_Doel,P_RJ+0,KT_Periode,"Q4",KT_Type,"Belegger",KT_TypeMap,Sel_TypeCrit,KT_WBS,Sel_WBS)</f>
        <v>0</v>
      </c>
      <c r="D55" s="77">
        <f>SUMIFS(KT_Aantal,KT_Telt,1,KT_Doel,P_RJ+0,KT_Periode,"Q1",KT_Type,"Particulier",KT_TypeMap,Sel_TypeCrit,KT_WBS,Sel_WBS)+SUMIFS(KT_Aantal,KT_Telt,1,KT_Doel,P_RJ+0,KT_Periode,"Q2",KT_Type,"Particulier",KT_TypeMap,Sel_TypeCrit,KT_WBS,Sel_WBS)+SUMIFS(KT_Aantal,KT_Telt,1,KT_Doel,P_RJ+0,KT_Periode,"Q3",KT_Type,"Particulier",KT_TypeMap,Sel_TypeCrit,KT_WBS,Sel_WBS)+SUMIFS(KT_Aantal,KT_Telt,1,KT_Doel,P_RJ+0,KT_Periode,"Q4",KT_Type,"Particulier",KT_TypeMap,Sel_TypeCrit,KT_WBS,Sel_WBS)</f>
        <v>0</v>
      </c>
      <c r="E55" s="77">
        <f>F55-C55-D55</f>
        <v>167</v>
      </c>
      <c r="F55" s="77">
        <f>SUMIFS(V_W_PrognoseRest,V_Meetellen,"Ja",V_Type,Sel_TypeCrit,V_WBS,Sel_WBS)</f>
        <v>167</v>
      </c>
    </row>
    <row r="56">
      <c r="B56" t="str">
        <f>"Prognose "&amp;(P_RJ+1)</f>
        <v>Prognose 2027</v>
      </c>
      <c r="C56" s="77">
        <f>SUMIFS(KT_Aantal,KT_Telt,1,KT_Doel,P_RJ+1,KT_Periode,"Q1",KT_Type,"Belegger",KT_TypeMap,Sel_TypeCrit,KT_WBS,Sel_WBS)+SUMIFS(KT_Aantal,KT_Telt,1,KT_Doel,P_RJ+1,KT_Periode,"Q2",KT_Type,"Belegger",KT_TypeMap,Sel_TypeCrit,KT_WBS,Sel_WBS)+SUMIFS(KT_Aantal,KT_Telt,1,KT_Doel,P_RJ+1,KT_Periode,"Q3",KT_Type,"Belegger",KT_TypeMap,Sel_TypeCrit,KT_WBS,Sel_WBS)+SUMIFS(KT_Aantal,KT_Telt,1,KT_Doel,P_RJ+1,KT_Periode,"Q4",KT_Type,"Belegger",KT_TypeMap,Sel_TypeCrit,KT_WBS,Sel_WBS)</f>
        <v>0</v>
      </c>
      <c r="D56" s="77">
        <f>SUMIFS(KT_Aantal,KT_Telt,1,KT_Doel,P_RJ+1,KT_Periode,"Q1",KT_Type,"Particulier",KT_TypeMap,Sel_TypeCrit,KT_WBS,Sel_WBS)+SUMIFS(KT_Aantal,KT_Telt,1,KT_Doel,P_RJ+1,KT_Periode,"Q2",KT_Type,"Particulier",KT_TypeMap,Sel_TypeCrit,KT_WBS,Sel_WBS)+SUMIFS(KT_Aantal,KT_Telt,1,KT_Doel,P_RJ+1,KT_Periode,"Q3",KT_Type,"Particulier",KT_TypeMap,Sel_TypeCrit,KT_WBS,Sel_WBS)+SUMIFS(KT_Aantal,KT_Telt,1,KT_Doel,P_RJ+1,KT_Periode,"Q4",KT_Type,"Particulier",KT_TypeMap,Sel_TypeCrit,KT_WBS,Sel_WBS)</f>
        <v>0</v>
      </c>
      <c r="E56" s="77">
        <f>F56-C56-D56</f>
        <v>483</v>
      </c>
      <c r="F56" s="77">
        <f>SUMIFS(V_W_VolgendJaar,V_Meetellen,"Ja",V_Type,Sel_TypeCrit,V_WBS,Sel_WBS)</f>
        <v>483</v>
      </c>
    </row>
    <row r="58">
      <c r="B58" s="30" t="inlineStr">
        <is>
          <t>Bruto (afgeleid) = aandeelbasis ÷ aandeel% — alleen informatief; alle totalen gebruiken de aandeelbasis zonder nogmaals te wegen.</t>
        </is>
      </c>
    </row>
    <row r="59">
      <c r="B59" s="16" t="inlineStr">
        <is>
          <t>Projectmatrix woningen (upload) — % verkocht als voortgangsbalk</t>
        </is>
      </c>
      <c r="C59" s="8" t="n"/>
      <c r="D59" s="8" t="n"/>
      <c r="E59" s="8" t="n"/>
      <c r="F59" s="8" t="n"/>
      <c r="G59" s="8" t="n"/>
      <c r="H59" s="8" t="n"/>
      <c r="I59" s="8" t="n"/>
      <c r="J59" s="8" t="n"/>
      <c r="K59" s="8" t="n"/>
      <c r="L59" s="8" t="n"/>
      <c r="M59" s="8" t="n"/>
      <c r="N59" s="8" t="n"/>
      <c r="O59" s="8" t="n"/>
      <c r="P59" s="8" t="n"/>
      <c r="Q59" s="8" t="n"/>
      <c r="R59" s="8" t="n"/>
    </row>
    <row r="60" ht="30" customHeight="1">
      <c r="B60" s="32" t="inlineStr">
        <is>
          <t>Project</t>
        </is>
      </c>
      <c r="C60" s="33" t="inlineStr">
        <is>
          <t>Type</t>
        </is>
      </c>
      <c r="D60" s="33" t="inlineStr">
        <is>
          <t>Segment</t>
        </is>
      </c>
      <c r="E60" s="33" t="inlineStr">
        <is>
          <t>Aandeel %</t>
        </is>
      </c>
      <c r="F60" s="33" t="inlineStr">
        <is>
          <t>Totaal (aandeel)</t>
        </is>
      </c>
      <c r="G60" s="33" t="inlineStr">
        <is>
          <t>Bruto (afgeleid)</t>
        </is>
      </c>
      <c r="H60" s="33" t="str">
        <f>"t/m "&amp;(P_RJ-1)</f>
        <v>t/m 2025</v>
      </c>
      <c r="I60" s="33" t="str">
        <f>"Actual "&amp;P_RJ</f>
        <v>Actual 2026</v>
      </c>
      <c r="J60" s="33" t="str">
        <f>"Verw. "&amp;P_RJ</f>
        <v>Verw. 2026</v>
      </c>
      <c r="K60" s="33" t="str">
        <f>"Verw. "&amp;(P_RJ+1)</f>
        <v>Verw. 2027</v>
      </c>
      <c r="L60" s="33" t="str">
        <f>(P_RJ+2)&amp;""</f>
        <v>2028</v>
      </c>
      <c r="M60" s="33" t="inlineStr">
        <is>
          <t>Cumulatief</t>
        </is>
      </c>
      <c r="N60" s="33" t="inlineStr">
        <is>
          <t>Etalage</t>
        </is>
      </c>
      <c r="O60" s="33" t="inlineStr">
        <is>
          <t>% verkocht</t>
        </is>
      </c>
      <c r="P60" s="33" t="str">
        <f>"Budget FY "&amp;Sel_Doeljaar</f>
        <v>Budget FY 2026</v>
      </c>
      <c r="Q60" s="33" t="str">
        <f>"Δ upload vs budget"</f>
        <v>Δ upload vs budget</v>
      </c>
    </row>
    <row r="61">
      <c r="B61" s="80" t="str">
        <f>IF(VERW_Project!$A6="","",VERW_Project!$C6)</f>
        <v>Lindehaven, Parkzoom fase 1</v>
      </c>
      <c r="C61" s="80" t="str">
        <f>IF(VERW_Project!$A6="","",VERW_Project!$D6)</f>
        <v>Opstal</v>
      </c>
      <c r="D61" s="80" t="str">
        <f>IF(VERW_Project!$A6="","",VERW_Project!$E6)</f>
        <v>Grondgebonden</v>
      </c>
      <c r="E61" s="81">
        <f>IF(VERW_Project!$A6="","",VERW_Project!$F6)</f>
        <v>100</v>
      </c>
      <c r="F61" s="81">
        <f>IF(VERW_Project!$A6="","",IF(VERW_Project!$G6="Nee","n.v.t.",VERW_Project!$AT6))</f>
        <v>32</v>
      </c>
      <c r="G61" s="82">
        <f>IF(VERW_Project!$A6="","",IF(VERW_Project!$G6="Nee","n.v.t.",IF(AND(ISNUMBER(F61),ISNUMBER(E61)),IF(E61&gt;0,F61/(E61/100),"n.b."),"n.b.")))</f>
        <v>32</v>
      </c>
      <c r="H61" s="81">
        <f>IF(VERW_Project!$A6="","",IF(VERW_Project!$G6="Nee","n.v.t.",VERW_Project!$AW6))</f>
        <v>6</v>
      </c>
      <c r="I61" s="81">
        <f>IF(VERW_Project!$A6="","",IF(VERW_Project!$G6="Nee","n.v.t.",VERW_Project!$BU6))</f>
        <v>2</v>
      </c>
      <c r="J61" s="81">
        <f>IF(VERW_Project!$A6="","",IF(VERW_Project!$G6="Nee","n.v.t.",VERW_Project!$BW6))</f>
        <v>8</v>
      </c>
      <c r="K61" s="81">
        <f>IF(VERW_Project!$A6="","",IF(VERW_Project!$G6="Nee","n.v.t.",VERW_Project!$BX6))</f>
        <v>12</v>
      </c>
      <c r="L61" s="81">
        <f>IF(VERW_Project!$A6="","",IF(VERW_Project!$G6="Nee","n.v.t.",VERW_Project!$CC6))</f>
        <v>6</v>
      </c>
      <c r="M61" s="81">
        <f>IF(VERW_Project!$A6="","",IF(VERW_Project!$G6="Nee","n.v.t.",VERW_Project!$BC6))</f>
        <v>8</v>
      </c>
      <c r="N61" s="81">
        <f>IF(VERW_Project!$A6="","",IF(VERW_Project!$G6="Nee","n.v.t.",VERW_Project!$BD6))</f>
        <v>24</v>
      </c>
      <c r="O61" s="83">
        <f>IF(VERW_Project!$A6="","",IF(AND(ISNUMBER(F61),ISNUMBER(M61)),IF(F61&gt;0,M61/F61,""),""))</f>
        <v>0.25</v>
      </c>
      <c r="P61" s="81">
        <f>IF(VERW_Project!$A6="","",IF(VERW_Project!$G6="Nee","n.v.t.",IF(COUNTIFS(L_Actief,1,L_WBS,VERW_Project!$A6,L_Doeljaar,Sel_Doeljaar,L_Versiejaar,P_VJ,L_Versie,"Budget",L_Kengetal,"Woningverkopen FY")=0,"n.b.",SUMIFS(L_Waarde,L_Actief,1,L_WBS,VERW_Project!$A6,L_Doeljaar,Sel_Doeljaar,L_Versiejaar,P_VJ,L_Versie,"Budget",L_Kengetal,"Woningverkopen FY"))))</f>
        <v>9</v>
      </c>
      <c r="Q61" s="81">
        <f>IF(VERW_Project!$A6="","",IF(AND(ISNUMBER(P61),Sel_Doeljaar=P_RJ,ISNUMBER(J61)),J61-P61,IF(AND(ISNUMBER(P61),Sel_Doeljaar=P_RJ+1,ISNUMBER(K61)),K61-P61,"n.b.")))</f>
        <v>-1</v>
      </c>
    </row>
    <row r="62">
      <c r="B62" s="80" t="str">
        <f>IF(VERW_Project!$A7="","",VERW_Project!$C7)</f>
        <v>Duinwaard, De Watergaarde</v>
      </c>
      <c r="C62" s="80" t="str">
        <f>IF(VERW_Project!$A7="","",VERW_Project!$D7)</f>
        <v>Opstal</v>
      </c>
      <c r="D62" s="80" t="str">
        <f>IF(VERW_Project!$A7="","",VERW_Project!$E7)</f>
        <v>Appartement</v>
      </c>
      <c r="E62" s="81">
        <f>IF(VERW_Project!$A7="","",VERW_Project!$F7)</f>
        <v>100</v>
      </c>
      <c r="F62" s="81">
        <f>IF(VERW_Project!$A7="","",IF(VERW_Project!$G7="Nee","n.v.t.",VERW_Project!$AT7))</f>
        <v>48</v>
      </c>
      <c r="G62" s="82">
        <f>IF(VERW_Project!$A7="","",IF(VERW_Project!$G7="Nee","n.v.t.",IF(AND(ISNUMBER(F62),ISNUMBER(E62)),IF(E62&gt;0,F62/(E62/100),"n.b."),"n.b.")))</f>
        <v>48</v>
      </c>
      <c r="H62" s="81">
        <f>IF(VERW_Project!$A7="","",IF(VERW_Project!$G7="Nee","n.v.t.",VERW_Project!$AW7))</f>
        <v>9</v>
      </c>
      <c r="I62" s="81">
        <f>IF(VERW_Project!$A7="","",IF(VERW_Project!$G7="Nee","n.v.t.",VERW_Project!$BU7))</f>
        <v>7</v>
      </c>
      <c r="J62" s="81">
        <f>IF(VERW_Project!$A7="","",IF(VERW_Project!$G7="Nee","n.v.t.",VERW_Project!$BW7))</f>
        <v>13</v>
      </c>
      <c r="K62" s="81">
        <f>IF(VERW_Project!$A7="","",IF(VERW_Project!$G7="Nee","n.v.t.",VERW_Project!$BX7))</f>
        <v>17</v>
      </c>
      <c r="L62" s="81">
        <f>IF(VERW_Project!$A7="","",IF(VERW_Project!$G7="Nee","n.v.t.",VERW_Project!$CC7))</f>
        <v>9</v>
      </c>
      <c r="M62" s="81">
        <f>IF(VERW_Project!$A7="","",IF(VERW_Project!$G7="Nee","n.v.t.",VERW_Project!$BC7))</f>
        <v>16</v>
      </c>
      <c r="N62" s="81">
        <f>IF(VERW_Project!$A7="","",IF(VERW_Project!$G7="Nee","n.v.t.",VERW_Project!$BD7))</f>
        <v>32</v>
      </c>
      <c r="O62" s="83">
        <f>IF(VERW_Project!$A7="","",IF(AND(ISNUMBER(F62),ISNUMBER(M62)),IF(F62&gt;0,M62/F62,""),""))</f>
        <v>0.333333333333333</v>
      </c>
      <c r="P62" s="81">
        <f>IF(VERW_Project!$A7="","",IF(VERW_Project!$G7="Nee","n.v.t.",IF(COUNTIFS(L_Actief,1,L_WBS,VERW_Project!$A7,L_Doeljaar,Sel_Doeljaar,L_Versiejaar,P_VJ,L_Versie,"Budget",L_Kengetal,"Woningverkopen FY")=0,"n.b.",SUMIFS(L_Waarde,L_Actief,1,L_WBS,VERW_Project!$A7,L_Doeljaar,Sel_Doeljaar,L_Versiejaar,P_VJ,L_Versie,"Budget",L_Kengetal,"Woningverkopen FY"))))</f>
        <v>12</v>
      </c>
      <c r="Q62" s="81">
        <f>IF(VERW_Project!$A7="","",IF(AND(ISNUMBER(P62),Sel_Doeljaar=P_RJ,ISNUMBER(J62)),J62-P62,IF(AND(ISNUMBER(P62),Sel_Doeljaar=P_RJ+1,ISNUMBER(K62)),K62-P62,"n.b.")))</f>
        <v>1</v>
      </c>
    </row>
    <row r="63">
      <c r="B63" s="80" t="str">
        <f>IF(VERW_Project!$A8="","",VERW_Project!$C8)</f>
        <v>Veldendam, Stationshof</v>
      </c>
      <c r="C63" s="80" t="str">
        <f>IF(VERW_Project!$A8="","",VERW_Project!$D8)</f>
        <v>Opstal</v>
      </c>
      <c r="D63" s="80" t="str">
        <f>IF(VERW_Project!$A8="","",VERW_Project!$E8)</f>
        <v>Grondgebonden</v>
      </c>
      <c r="E63" s="81">
        <f>IF(VERW_Project!$A8="","",VERW_Project!$F8)</f>
        <v>100</v>
      </c>
      <c r="F63" s="81">
        <f>IF(VERW_Project!$A8="","",IF(VERW_Project!$G8="Nee","n.v.t.",VERW_Project!$AT8))</f>
        <v>76</v>
      </c>
      <c r="G63" s="82">
        <f>IF(VERW_Project!$A8="","",IF(VERW_Project!$G8="Nee","n.v.t.",IF(AND(ISNUMBER(F63),ISNUMBER(E63)),IF(E63&gt;0,F63/(E63/100),"n.b."),"n.b.")))</f>
        <v>76</v>
      </c>
      <c r="H63" s="81">
        <f>IF(VERW_Project!$A8="","",IF(VERW_Project!$G8="Nee","n.v.t.",VERW_Project!$AW8))</f>
        <v>15</v>
      </c>
      <c r="I63" s="81">
        <f>IF(VERW_Project!$A8="","",IF(VERW_Project!$G8="Nee","n.v.t.",VERW_Project!$BU8))</f>
        <v>9</v>
      </c>
      <c r="J63" s="81">
        <f>IF(VERW_Project!$A8="","",IF(VERW_Project!$G8="Nee","n.v.t.",VERW_Project!$BW8))</f>
        <v>20</v>
      </c>
      <c r="K63" s="81">
        <f>IF(VERW_Project!$A8="","",IF(VERW_Project!$G8="Nee","n.v.t.",VERW_Project!$BX8))</f>
        <v>27</v>
      </c>
      <c r="L63" s="81">
        <f>IF(VERW_Project!$A8="","",IF(VERW_Project!$G8="Nee","n.v.t.",VERW_Project!$CC8))</f>
        <v>14</v>
      </c>
      <c r="M63" s="81">
        <f>IF(VERW_Project!$A8="","",IF(VERW_Project!$G8="Nee","n.v.t.",VERW_Project!$BC8))</f>
        <v>24</v>
      </c>
      <c r="N63" s="81">
        <f>IF(VERW_Project!$A8="","",IF(VERW_Project!$G8="Nee","n.v.t.",VERW_Project!$BD8))</f>
        <v>52</v>
      </c>
      <c r="O63" s="83">
        <f>IF(VERW_Project!$A8="","",IF(AND(ISNUMBER(F63),ISNUMBER(M63)),IF(F63&gt;0,M63/F63,""),""))</f>
        <v>0.315789473684211</v>
      </c>
      <c r="P63" s="81">
        <f>IF(VERW_Project!$A8="","",IF(VERW_Project!$G8="Nee","n.v.t.",IF(COUNTIFS(L_Actief,1,L_WBS,VERW_Project!$A8,L_Doeljaar,Sel_Doeljaar,L_Versiejaar,P_VJ,L_Versie,"Budget",L_Kengetal,"Woningverkopen FY")=0,"n.b.",SUMIFS(L_Waarde,L_Actief,1,L_WBS,VERW_Project!$A8,L_Doeljaar,Sel_Doeljaar,L_Versiejaar,P_VJ,L_Versie,"Budget",L_Kengetal,"Woningverkopen FY"))))</f>
        <v>22</v>
      </c>
      <c r="Q63" s="81">
        <f>IF(VERW_Project!$A8="","",IF(AND(ISNUMBER(P63),Sel_Doeljaar=P_RJ,ISNUMBER(J63)),J63-P63,IF(AND(ISNUMBER(P63),Sel_Doeljaar=P_RJ+1,ISNUMBER(K63)),K63-P63,"n.b.")))</f>
        <v>-2</v>
      </c>
    </row>
    <row r="64">
      <c r="B64" s="80" t="str">
        <f>IF(VERW_Project!$A9="","",VERW_Project!$C9)</f>
        <v>Meerhovenstad, Het Kompas</v>
      </c>
      <c r="C64" s="80" t="str">
        <f>IF(VERW_Project!$A9="","",VERW_Project!$D9)</f>
        <v>Deelneming</v>
      </c>
      <c r="D64" s="80" t="str">
        <f>IF(VERW_Project!$A9="","",VERW_Project!$E9)</f>
        <v>Appartement</v>
      </c>
      <c r="E64" s="81">
        <f>IF(VERW_Project!$A9="","",VERW_Project!$F9)</f>
        <v>50</v>
      </c>
      <c r="F64" s="81">
        <f>IF(VERW_Project!$A9="","",IF(VERW_Project!$G9="Nee","n.v.t.",VERW_Project!$AT9))</f>
        <v>24</v>
      </c>
      <c r="G64" s="82">
        <f>IF(VERW_Project!$A9="","",IF(VERW_Project!$G9="Nee","n.v.t.",IF(AND(ISNUMBER(F64),ISNUMBER(E64)),IF(E64&gt;0,F64/(E64/100),"n.b."),"n.b.")))</f>
        <v>48</v>
      </c>
      <c r="H64" s="81">
        <f>IF(VERW_Project!$A9="","",IF(VERW_Project!$G9="Nee","n.v.t.",VERW_Project!$AW9))</f>
        <v>4</v>
      </c>
      <c r="I64" s="81">
        <f>IF(VERW_Project!$A9="","",IF(VERW_Project!$G9="Nee","n.v.t.",VERW_Project!$BU9))</f>
        <v>0</v>
      </c>
      <c r="J64" s="81">
        <f>IF(VERW_Project!$A9="","",IF(VERW_Project!$G9="Nee","n.v.t.",VERW_Project!$BW9))</f>
        <v>6</v>
      </c>
      <c r="K64" s="81">
        <f>IF(VERW_Project!$A9="","",IF(VERW_Project!$G9="Nee","n.v.t.",VERW_Project!$BX9))</f>
        <v>9</v>
      </c>
      <c r="L64" s="81">
        <f>IF(VERW_Project!$A9="","",IF(VERW_Project!$G9="Nee","n.v.t.",VERW_Project!$CC9))</f>
        <v>5</v>
      </c>
      <c r="M64" s="81">
        <f>IF(VERW_Project!$A9="","",IF(VERW_Project!$G9="Nee","n.v.t.",VERW_Project!$BC9))</f>
        <v>4</v>
      </c>
      <c r="N64" s="81">
        <f>IF(VERW_Project!$A9="","",IF(VERW_Project!$G9="Nee","n.v.t.",VERW_Project!$BD9))</f>
        <v>20</v>
      </c>
      <c r="O64" s="83">
        <f>IF(VERW_Project!$A9="","",IF(AND(ISNUMBER(F64),ISNUMBER(M64)),IF(F64&gt;0,M64/F64,""),""))</f>
        <v>0.166666666666667</v>
      </c>
      <c r="P64" s="81">
        <f>IF(VERW_Project!$A9="","",IF(VERW_Project!$G9="Nee","n.v.t.",IF(COUNTIFS(L_Actief,1,L_WBS,VERW_Project!$A9,L_Doeljaar,Sel_Doeljaar,L_Versiejaar,P_VJ,L_Versie,"Budget",L_Kengetal,"Woningverkopen FY")=0,"n.b.",SUMIFS(L_Waarde,L_Actief,1,L_WBS,VERW_Project!$A9,L_Doeljaar,Sel_Doeljaar,L_Versiejaar,P_VJ,L_Versie,"Budget",L_Kengetal,"Woningverkopen FY"))))</f>
        <v>5</v>
      </c>
      <c r="Q64" s="81">
        <f>IF(VERW_Project!$A9="","",IF(AND(ISNUMBER(P64),Sel_Doeljaar=P_RJ,ISNUMBER(J64)),J64-P64,IF(AND(ISNUMBER(P64),Sel_Doeljaar=P_RJ+1,ISNUMBER(K64)),K64-P64,"n.b.")))</f>
        <v>1</v>
      </c>
    </row>
    <row r="65">
      <c r="B65" s="80" t="str">
        <f>IF(VERW_Project!$A10="","",VERW_Project!$C10)</f>
        <v>Zilverdam, Kadezicht</v>
      </c>
      <c r="C65" s="80" t="str">
        <f>IF(VERW_Project!$A10="","",VERW_Project!$D10)</f>
        <v>Opstal</v>
      </c>
      <c r="D65" s="80" t="str">
        <f>IF(VERW_Project!$A10="","",VERW_Project!$E10)</f>
        <v>Grondgebonden</v>
      </c>
      <c r="E65" s="81">
        <f>IF(VERW_Project!$A10="","",VERW_Project!$F10)</f>
        <v>100</v>
      </c>
      <c r="F65" s="81">
        <f>IF(VERW_Project!$A10="","",IF(VERW_Project!$G10="Nee","n.v.t.",VERW_Project!$AT10))</f>
        <v>120</v>
      </c>
      <c r="G65" s="82">
        <f>IF(VERW_Project!$A10="","",IF(VERW_Project!$G10="Nee","n.v.t.",IF(AND(ISNUMBER(F65),ISNUMBER(E65)),IF(E65&gt;0,F65/(E65/100),"n.b."),"n.b.")))</f>
        <v>120</v>
      </c>
      <c r="H65" s="81">
        <f>IF(VERW_Project!$A10="","",IF(VERW_Project!$G10="Nee","n.v.t.",VERW_Project!$AW10))</f>
        <v>24</v>
      </c>
      <c r="I65" s="81">
        <f>IF(VERW_Project!$A10="","",IF(VERW_Project!$G10="Nee","n.v.t.",VERW_Project!$BU10))</f>
        <v>20</v>
      </c>
      <c r="J65" s="81">
        <f>IF(VERW_Project!$A10="","",IF(VERW_Project!$G10="Nee","n.v.t.",VERW_Project!$BW10))</f>
        <v>32</v>
      </c>
      <c r="K65" s="81">
        <f>IF(VERW_Project!$A10="","",IF(VERW_Project!$G10="Nee","n.v.t.",VERW_Project!$BX10))</f>
        <v>42</v>
      </c>
      <c r="L65" s="81">
        <f>IF(VERW_Project!$A10="","",IF(VERW_Project!$G10="Nee","n.v.t.",VERW_Project!$CC10))</f>
        <v>22</v>
      </c>
      <c r="M65" s="81">
        <f>IF(VERW_Project!$A10="","",IF(VERW_Project!$G10="Nee","n.v.t.",VERW_Project!$BC10))</f>
        <v>44</v>
      </c>
      <c r="N65" s="81">
        <f>IF(VERW_Project!$A10="","",IF(VERW_Project!$G10="Nee","n.v.t.",VERW_Project!$BD10))</f>
        <v>76</v>
      </c>
      <c r="O65" s="83">
        <f>IF(VERW_Project!$A10="","",IF(AND(ISNUMBER(F65),ISNUMBER(M65)),IF(F65&gt;0,M65/F65,""),""))</f>
        <v>0.366666666666667</v>
      </c>
      <c r="P65" s="81">
        <f>IF(VERW_Project!$A10="","",IF(VERW_Project!$G10="Nee","n.v.t.",IF(COUNTIFS(L_Actief,1,L_WBS,VERW_Project!$A10,L_Doeljaar,Sel_Doeljaar,L_Versiejaar,P_VJ,L_Versie,"Budget",L_Kengetal,"Woningverkopen FY")=0,"n.b.",SUMIFS(L_Waarde,L_Actief,1,L_WBS,VERW_Project!$A10,L_Doeljaar,Sel_Doeljaar,L_Versiejaar,P_VJ,L_Versie,"Budget",L_Kengetal,"Woningverkopen FY"))))</f>
        <v>35</v>
      </c>
      <c r="Q65" s="81">
        <f>IF(VERW_Project!$A10="","",IF(AND(ISNUMBER(P65),Sel_Doeljaar=P_RJ,ISNUMBER(J65)),J65-P65,IF(AND(ISNUMBER(P65),Sel_Doeljaar=P_RJ+1,ISNUMBER(K65)),K65-P65,"n.b.")))</f>
        <v>-3</v>
      </c>
    </row>
    <row r="66">
      <c r="B66" s="80" t="str">
        <f>IF(VERW_Project!$A11="","",VERW_Project!$C11)</f>
        <v>Boswaard, De Eiken</v>
      </c>
      <c r="C66" s="80" t="str">
        <f>IF(VERW_Project!$A11="","",VERW_Project!$D11)</f>
        <v>Opstal</v>
      </c>
      <c r="D66" s="80" t="str">
        <f>IF(VERW_Project!$A11="","",VERW_Project!$E11)</f>
        <v>Appartement</v>
      </c>
      <c r="E66" s="81">
        <f>IF(VERW_Project!$A11="","",VERW_Project!$F11)</f>
        <v>100</v>
      </c>
      <c r="F66" s="81">
        <f>IF(VERW_Project!$A11="","",IF(VERW_Project!$G11="Nee","n.v.t.",VERW_Project!$AT11))</f>
        <v>36</v>
      </c>
      <c r="G66" s="82">
        <f>IF(VERW_Project!$A11="","",IF(VERW_Project!$G11="Nee","n.v.t.",IF(AND(ISNUMBER(F66),ISNUMBER(E66)),IF(E66&gt;0,F66/(E66/100),"n.b."),"n.b.")))</f>
        <v>36</v>
      </c>
      <c r="H66" s="81">
        <f>IF(VERW_Project!$A11="","",IF(VERW_Project!$G11="Nee","n.v.t.",VERW_Project!$AW11))</f>
        <v>7</v>
      </c>
      <c r="I66" s="81">
        <f>IF(VERW_Project!$A11="","",IF(VERW_Project!$G11="Nee","n.v.t.",VERW_Project!$BU11))</f>
        <v>2</v>
      </c>
      <c r="J66" s="81">
        <f>IF(VERW_Project!$A11="","",IF(VERW_Project!$G11="Nee","n.v.t.",VERW_Project!$BW11))</f>
        <v>9</v>
      </c>
      <c r="K66" s="81">
        <f>IF(VERW_Project!$A11="","",IF(VERW_Project!$G11="Nee","n.v.t.",VERW_Project!$BX11))</f>
        <v>13</v>
      </c>
      <c r="L66" s="81">
        <f>IF(VERW_Project!$A11="","",IF(VERW_Project!$G11="Nee","n.v.t.",VERW_Project!$CC11))</f>
        <v>7</v>
      </c>
      <c r="M66" s="81">
        <f>IF(VERW_Project!$A11="","",IF(VERW_Project!$G11="Nee","n.v.t.",VERW_Project!$BC11))</f>
        <v>9</v>
      </c>
      <c r="N66" s="81">
        <f>IF(VERW_Project!$A11="","",IF(VERW_Project!$G11="Nee","n.v.t.",VERW_Project!$BD11))</f>
        <v>27</v>
      </c>
      <c r="O66" s="83">
        <f>IF(VERW_Project!$A11="","",IF(AND(ISNUMBER(F66),ISNUMBER(M66)),IF(F66&gt;0,M66/F66,""),""))</f>
        <v>0.25</v>
      </c>
      <c r="P66" s="81">
        <f>IF(VERW_Project!$A11="","",IF(VERW_Project!$G11="Nee","n.v.t.",IF(COUNTIFS(L_Actief,1,L_WBS,VERW_Project!$A11,L_Doeljaar,Sel_Doeljaar,L_Versiejaar,P_VJ,L_Versie,"Budget",L_Kengetal,"Woningverkopen FY")=0,"n.b.",SUMIFS(L_Waarde,L_Actief,1,L_WBS,VERW_Project!$A11,L_Doeljaar,Sel_Doeljaar,L_Versiejaar,P_VJ,L_Versie,"Budget",L_Kengetal,"Woningverkopen FY"))))</f>
        <v>8</v>
      </c>
      <c r="Q66" s="81">
        <f>IF(VERW_Project!$A11="","",IF(AND(ISNUMBER(P66),Sel_Doeljaar=P_RJ,ISNUMBER(J66)),J66-P66,IF(AND(ISNUMBER(P66),Sel_Doeljaar=P_RJ+1,ISNUMBER(K66)),K66-P66,"n.b.")))</f>
        <v>1</v>
      </c>
    </row>
    <row r="67">
      <c r="B67" s="80" t="str">
        <f>IF(VERW_Project!$A12="","",VERW_Project!$C12)</f>
        <v>Rietdam, Havenkwartier</v>
      </c>
      <c r="C67" s="80" t="str">
        <f>IF(VERW_Project!$A12="","",VERW_Project!$D12)</f>
        <v>Opstal</v>
      </c>
      <c r="D67" s="80" t="str">
        <f>IF(VERW_Project!$A12="","",VERW_Project!$E12)</f>
        <v>Grondgebonden</v>
      </c>
      <c r="E67" s="81">
        <f>IF(VERW_Project!$A12="","",VERW_Project!$F12)</f>
        <v>100</v>
      </c>
      <c r="F67" s="81">
        <f>IF(VERW_Project!$A12="","",IF(VERW_Project!$G12="Nee","n.v.t.",VERW_Project!$AT12))</f>
        <v>64</v>
      </c>
      <c r="G67" s="82">
        <f>IF(VERW_Project!$A12="","",IF(VERW_Project!$G12="Nee","n.v.t.",IF(AND(ISNUMBER(F67),ISNUMBER(E67)),IF(E67&gt;0,F67/(E67/100),"n.b."),"n.b.")))</f>
        <v>64</v>
      </c>
      <c r="H67" s="81">
        <f>IF(VERW_Project!$A12="","",IF(VERW_Project!$G12="Nee","n.v.t.",VERW_Project!$AW12))</f>
        <v>0</v>
      </c>
      <c r="I67" s="81">
        <f>IF(VERW_Project!$A12="","",IF(VERW_Project!$G12="Nee","n.v.t.",VERW_Project!$BU12))</f>
        <v>9</v>
      </c>
      <c r="J67" s="81">
        <f>IF(VERW_Project!$A12="","",IF(VERW_Project!$G12="Nee","n.v.t.",VERW_Project!$BW12))</f>
        <v>21</v>
      </c>
      <c r="K67" s="81">
        <f>IF(VERW_Project!$A12="","",IF(VERW_Project!$G12="Nee","n.v.t.",VERW_Project!$BX12))</f>
        <v>28</v>
      </c>
      <c r="L67" s="81">
        <f>IF(VERW_Project!$A12="","",IF(VERW_Project!$G12="Nee","n.v.t.",VERW_Project!$CC12))</f>
        <v>15</v>
      </c>
      <c r="M67" s="81">
        <f>IF(VERW_Project!$A12="","",IF(VERW_Project!$G12="Nee","n.v.t.",VERW_Project!$BC12))</f>
        <v>9</v>
      </c>
      <c r="N67" s="81">
        <f>IF(VERW_Project!$A12="","",IF(VERW_Project!$G12="Nee","n.v.t.",VERW_Project!$BD12))</f>
        <v>55</v>
      </c>
      <c r="O67" s="83">
        <f>IF(VERW_Project!$A12="","",IF(AND(ISNUMBER(F67),ISNUMBER(M67)),IF(F67&gt;0,M67/F67,""),""))</f>
        <v>0.140625</v>
      </c>
      <c r="P67" s="81">
        <f>IF(VERW_Project!$A12="","",IF(VERW_Project!$G12="Nee","n.v.t.",IF(COUNTIFS(L_Actief,1,L_WBS,VERW_Project!$A12,L_Doeljaar,Sel_Doeljaar,L_Versiejaar,P_VJ,L_Versie,"Budget",L_Kengetal,"Woningverkopen FY")=0,"n.b.",SUMIFS(L_Waarde,L_Actief,1,L_WBS,VERW_Project!$A12,L_Doeljaar,Sel_Doeljaar,L_Versiejaar,P_VJ,L_Versie,"Budget",L_Kengetal,"Woningverkopen FY"))))</f>
        <v>23</v>
      </c>
      <c r="Q67" s="81">
        <f>IF(VERW_Project!$A12="","",IF(AND(ISNUMBER(P67),Sel_Doeljaar=P_RJ,ISNUMBER(J67)),J67-P67,IF(AND(ISNUMBER(P67),Sel_Doeljaar=P_RJ+1,ISNUMBER(K67)),K67-P67,"n.b.")))</f>
        <v>-2</v>
      </c>
    </row>
    <row r="68">
      <c r="B68" s="80" t="str">
        <f>IF(VERW_Project!$A13="","",VERW_Project!$C13)</f>
        <v>Lindehaven, De Brink</v>
      </c>
      <c r="C68" s="80" t="str">
        <f>IF(VERW_Project!$A13="","",VERW_Project!$D13)</f>
        <v>Opstal</v>
      </c>
      <c r="D68" s="80" t="str">
        <f>IF(VERW_Project!$A13="","",VERW_Project!$E13)</f>
        <v>Appartement</v>
      </c>
      <c r="E68" s="81">
        <f>IF(VERW_Project!$A13="","",VERW_Project!$F13)</f>
        <v>100</v>
      </c>
      <c r="F68" s="81">
        <f>IF(VERW_Project!$A13="","",IF(VERW_Project!$G13="Nee","n.v.t.",VERW_Project!$AT13))</f>
        <v>42</v>
      </c>
      <c r="G68" s="82">
        <f>IF(VERW_Project!$A13="","",IF(VERW_Project!$G13="Nee","n.v.t.",IF(AND(ISNUMBER(F68),ISNUMBER(E68)),IF(E68&gt;0,F68/(E68/100),"n.b."),"n.b.")))</f>
        <v>42</v>
      </c>
      <c r="H68" s="81">
        <f>IF(VERW_Project!$A13="","",IF(VERW_Project!$G13="Nee","n.v.t.",VERW_Project!$AW13))</f>
        <v>0</v>
      </c>
      <c r="I68" s="81">
        <f>IF(VERW_Project!$A13="","",IF(VERW_Project!$G13="Nee","n.v.t.",VERW_Project!$BU13))</f>
        <v>7</v>
      </c>
      <c r="J68" s="81">
        <f>IF(VERW_Project!$A13="","",IF(VERW_Project!$G13="Nee","n.v.t.",VERW_Project!$BW13))</f>
        <v>14</v>
      </c>
      <c r="K68" s="81">
        <f>IF(VERW_Project!$A13="","",IF(VERW_Project!$G13="Nee","n.v.t.",VERW_Project!$BX13))</f>
        <v>18</v>
      </c>
      <c r="L68" s="81">
        <f>IF(VERW_Project!$A13="","",IF(VERW_Project!$G13="Nee","n.v.t.",VERW_Project!$CC13))</f>
        <v>10</v>
      </c>
      <c r="M68" s="81">
        <f>IF(VERW_Project!$A13="","",IF(VERW_Project!$G13="Nee","n.v.t.",VERW_Project!$BC13))</f>
        <v>7</v>
      </c>
      <c r="N68" s="81">
        <f>IF(VERW_Project!$A13="","",IF(VERW_Project!$G13="Nee","n.v.t.",VERW_Project!$BD13))</f>
        <v>35</v>
      </c>
      <c r="O68" s="83">
        <f>IF(VERW_Project!$A13="","",IF(AND(ISNUMBER(F68),ISNUMBER(M68)),IF(F68&gt;0,M68/F68,""),""))</f>
        <v>0.166666666666667</v>
      </c>
      <c r="P68" s="81">
        <f>IF(VERW_Project!$A13="","",IF(VERW_Project!$G13="Nee","n.v.t.",IF(COUNTIFS(L_Actief,1,L_WBS,VERW_Project!$A13,L_Doeljaar,Sel_Doeljaar,L_Versiejaar,P_VJ,L_Versie,"Budget",L_Kengetal,"Woningverkopen FY")=0,"n.b.",SUMIFS(L_Waarde,L_Actief,1,L_WBS,VERW_Project!$A13,L_Doeljaar,Sel_Doeljaar,L_Versiejaar,P_VJ,L_Versie,"Budget",L_Kengetal,"Woningverkopen FY"))))</f>
        <v>13</v>
      </c>
      <c r="Q68" s="81">
        <f>IF(VERW_Project!$A13="","",IF(AND(ISNUMBER(P68),Sel_Doeljaar=P_RJ,ISNUMBER(J68)),J68-P68,IF(AND(ISNUMBER(P68),Sel_Doeljaar=P_RJ+1,ISNUMBER(K68)),K68-P68,"n.b.")))</f>
        <v>1</v>
      </c>
    </row>
    <row r="69">
      <c r="B69" s="80" t="str">
        <f>IF(VERW_Project!$A14="","",VERW_Project!$C14)</f>
        <v>Duinwaard, Duinrand</v>
      </c>
      <c r="C69" s="80" t="str">
        <f>IF(VERW_Project!$A14="","",VERW_Project!$D14)</f>
        <v>Opstal</v>
      </c>
      <c r="D69" s="80" t="str">
        <f>IF(VERW_Project!$A14="","",VERW_Project!$E14)</f>
        <v>Grondgebonden</v>
      </c>
      <c r="E69" s="81">
        <f>IF(VERW_Project!$A14="","",VERW_Project!$F14)</f>
        <v>100</v>
      </c>
      <c r="F69" s="81">
        <f>IF(VERW_Project!$A14="","",IF(VERW_Project!$G14="Nee","n.v.t.",VERW_Project!$AT14))</f>
        <v>88</v>
      </c>
      <c r="G69" s="82">
        <f>IF(VERW_Project!$A14="","",IF(VERW_Project!$G14="Nee","n.v.t.",IF(AND(ISNUMBER(F69),ISNUMBER(E69)),IF(E69&gt;0,F69/(E69/100),"n.b."),"n.b.")))</f>
        <v>88</v>
      </c>
      <c r="H69" s="81">
        <f>IF(VERW_Project!$A14="","",IF(VERW_Project!$G14="Nee","n.v.t.",VERW_Project!$AW14))</f>
        <v>0</v>
      </c>
      <c r="I69" s="81">
        <f>IF(VERW_Project!$A14="","",IF(VERW_Project!$G14="Nee","n.v.t.",VERW_Project!$BU14))</f>
        <v>18</v>
      </c>
      <c r="J69" s="81">
        <f>IF(VERW_Project!$A14="","",IF(VERW_Project!$G14="Nee","n.v.t.",VERW_Project!$BW14))</f>
        <v>29</v>
      </c>
      <c r="K69" s="81">
        <f>IF(VERW_Project!$A14="","",IF(VERW_Project!$G14="Nee","n.v.t.",VERW_Project!$BX14))</f>
        <v>39</v>
      </c>
      <c r="L69" s="81">
        <f>IF(VERW_Project!$A14="","",IF(VERW_Project!$G14="Nee","n.v.t.",VERW_Project!$CC14))</f>
        <v>20</v>
      </c>
      <c r="M69" s="81">
        <f>IF(VERW_Project!$A14="","",IF(VERW_Project!$G14="Nee","n.v.t.",VERW_Project!$BC14))</f>
        <v>18</v>
      </c>
      <c r="N69" s="81">
        <f>IF(VERW_Project!$A14="","",IF(VERW_Project!$G14="Nee","n.v.t.",VERW_Project!$BD14))</f>
        <v>70</v>
      </c>
      <c r="O69" s="83">
        <f>IF(VERW_Project!$A14="","",IF(AND(ISNUMBER(F69),ISNUMBER(M69)),IF(F69&gt;0,M69/F69,""),""))</f>
        <v>0.204545454545455</v>
      </c>
      <c r="P69" s="81">
        <f>IF(VERW_Project!$A14="","",IF(VERW_Project!$G14="Nee","n.v.t.",IF(COUNTIFS(L_Actief,1,L_WBS,VERW_Project!$A14,L_Doeljaar,Sel_Doeljaar,L_Versiejaar,P_VJ,L_Versie,"Budget",L_Kengetal,"Woningverkopen FY")=0,"n.b.",SUMIFS(L_Waarde,L_Actief,1,L_WBS,VERW_Project!$A14,L_Doeljaar,Sel_Doeljaar,L_Versiejaar,P_VJ,L_Versie,"Budget",L_Kengetal,"Woningverkopen FY"))))</f>
        <v>32</v>
      </c>
      <c r="Q69" s="81">
        <f>IF(VERW_Project!$A14="","",IF(AND(ISNUMBER(P69),Sel_Doeljaar=P_RJ,ISNUMBER(J69)),J69-P69,IF(AND(ISNUMBER(P69),Sel_Doeljaar=P_RJ+1,ISNUMBER(K69)),K69-P69,"n.b.")))</f>
        <v>-3</v>
      </c>
    </row>
    <row r="70">
      <c r="B70" s="80" t="str">
        <f>IF(VERW_Project!$A15="","",VERW_Project!$C15)</f>
        <v>Veldendam, Groene Singel</v>
      </c>
      <c r="C70" s="80" t="str">
        <f>IF(VERW_Project!$A15="","",VERW_Project!$D15)</f>
        <v>Opstal</v>
      </c>
      <c r="D70" s="80" t="str">
        <f>IF(VERW_Project!$A15="","",VERW_Project!$E15)</f>
        <v>Appartement</v>
      </c>
      <c r="E70" s="81">
        <f>IF(VERW_Project!$A15="","",VERW_Project!$F15)</f>
        <v>100</v>
      </c>
      <c r="F70" s="81">
        <f>IF(VERW_Project!$A15="","",IF(VERW_Project!$G15="Nee","n.v.t.",VERW_Project!$AT15))</f>
        <v>54</v>
      </c>
      <c r="G70" s="82">
        <f>IF(VERW_Project!$A15="","",IF(VERW_Project!$G15="Nee","n.v.t.",IF(AND(ISNUMBER(F70),ISNUMBER(E70)),IF(E70&gt;0,F70/(E70/100),"n.b."),"n.b.")))</f>
        <v>54</v>
      </c>
      <c r="H70" s="81">
        <f>IF(VERW_Project!$A15="","",IF(VERW_Project!$G15="Nee","n.v.t.",VERW_Project!$AW15))</f>
        <v>0</v>
      </c>
      <c r="I70" s="81">
        <f>IF(VERW_Project!$A15="","",IF(VERW_Project!$G15="Nee","n.v.t.",VERW_Project!$BU15))</f>
        <v>9</v>
      </c>
      <c r="J70" s="81">
        <f>IF(VERW_Project!$A15="","",IF(VERW_Project!$G15="Nee","n.v.t.",VERW_Project!$BW15))</f>
        <v>18</v>
      </c>
      <c r="K70" s="81">
        <f>IF(VERW_Project!$A15="","",IF(VERW_Project!$G15="Nee","n.v.t.",VERW_Project!$BX15))</f>
        <v>24</v>
      </c>
      <c r="L70" s="81">
        <f>IF(VERW_Project!$A15="","",IF(VERW_Project!$G15="Nee","n.v.t.",VERW_Project!$CC15))</f>
        <v>12</v>
      </c>
      <c r="M70" s="81">
        <f>IF(VERW_Project!$A15="","",IF(VERW_Project!$G15="Nee","n.v.t.",VERW_Project!$BC15))</f>
        <v>9</v>
      </c>
      <c r="N70" s="81">
        <f>IF(VERW_Project!$A15="","",IF(VERW_Project!$G15="Nee","n.v.t.",VERW_Project!$BD15))</f>
        <v>45</v>
      </c>
      <c r="O70" s="83">
        <f>IF(VERW_Project!$A15="","",IF(AND(ISNUMBER(F70),ISNUMBER(M70)),IF(F70&gt;0,M70/F70,""),""))</f>
        <v>0.166666666666667</v>
      </c>
      <c r="P70" s="81">
        <f>IF(VERW_Project!$A15="","",IF(VERW_Project!$G15="Nee","n.v.t.",IF(COUNTIFS(L_Actief,1,L_WBS,VERW_Project!$A15,L_Doeljaar,Sel_Doeljaar,L_Versiejaar,P_VJ,L_Versie,"Budget",L_Kengetal,"Woningverkopen FY")=0,"n.b.",SUMIFS(L_Waarde,L_Actief,1,L_WBS,VERW_Project!$A15,L_Doeljaar,Sel_Doeljaar,L_Versiejaar,P_VJ,L_Versie,"Budget",L_Kengetal,"Woningverkopen FY"))))</f>
        <v>16</v>
      </c>
      <c r="Q70" s="81">
        <f>IF(VERW_Project!$A15="","",IF(AND(ISNUMBER(P70),Sel_Doeljaar=P_RJ,ISNUMBER(J70)),J70-P70,IF(AND(ISNUMBER(P70),Sel_Doeljaar=P_RJ+1,ISNUMBER(K70)),K70-P70,"n.b.")))</f>
        <v>2</v>
      </c>
    </row>
    <row r="71">
      <c r="B71" s="80" t="str">
        <f>IF(VERW_Project!$A16="","",VERW_Project!$C16)</f>
        <v>Meerhovenstad, Hofstaete</v>
      </c>
      <c r="C71" s="80" t="str">
        <f>IF(VERW_Project!$A16="","",VERW_Project!$D16)</f>
        <v>Opstal</v>
      </c>
      <c r="D71" s="80" t="str">
        <f>IF(VERW_Project!$A16="","",VERW_Project!$E16)</f>
        <v>Grondgebonden</v>
      </c>
      <c r="E71" s="81">
        <f>IF(VERW_Project!$A16="","",VERW_Project!$F16)</f>
        <v>100</v>
      </c>
      <c r="F71" s="81">
        <f>IF(VERW_Project!$A16="","",IF(VERW_Project!$G16="Nee","n.v.t.",VERW_Project!$AT16))</f>
        <v>96</v>
      </c>
      <c r="G71" s="82">
        <f>IF(VERW_Project!$A16="","",IF(VERW_Project!$G16="Nee","n.v.t.",IF(AND(ISNUMBER(F71),ISNUMBER(E71)),IF(E71&gt;0,F71/(E71/100),"n.b."),"n.b.")))</f>
        <v>96</v>
      </c>
      <c r="H71" s="81">
        <f>IF(VERW_Project!$A16="","",IF(VERW_Project!$G16="Nee","n.v.t.",VERW_Project!$AW16))</f>
        <v>0</v>
      </c>
      <c r="I71" s="81">
        <f>IF(VERW_Project!$A16="","",IF(VERW_Project!$G16="Nee","n.v.t.",VERW_Project!$BU16))</f>
        <v>20</v>
      </c>
      <c r="J71" s="81">
        <f>IF(VERW_Project!$A16="","",IF(VERW_Project!$G16="Nee","n.v.t.",VERW_Project!$BW16))</f>
        <v>32</v>
      </c>
      <c r="K71" s="81">
        <f>IF(VERW_Project!$A16="","",IF(VERW_Project!$G16="Nee","n.v.t.",VERW_Project!$BX16))</f>
        <v>42</v>
      </c>
      <c r="L71" s="81">
        <f>IF(VERW_Project!$A16="","",IF(VERW_Project!$G16="Nee","n.v.t.",VERW_Project!$CC16))</f>
        <v>22</v>
      </c>
      <c r="M71" s="81">
        <f>IF(VERW_Project!$A16="","",IF(VERW_Project!$G16="Nee","n.v.t.",VERW_Project!$BC16))</f>
        <v>20</v>
      </c>
      <c r="N71" s="81">
        <f>IF(VERW_Project!$A16="","",IF(VERW_Project!$G16="Nee","n.v.t.",VERW_Project!$BD16))</f>
        <v>76</v>
      </c>
      <c r="O71" s="83">
        <f>IF(VERW_Project!$A16="","",IF(AND(ISNUMBER(F71),ISNUMBER(M71)),IF(F71&gt;0,M71/F71,""),""))</f>
        <v>0.208333333333333</v>
      </c>
      <c r="P71" s="81">
        <f>IF(VERW_Project!$A16="","",IF(VERW_Project!$G16="Nee","n.v.t.",IF(COUNTIFS(L_Actief,1,L_WBS,VERW_Project!$A16,L_Doeljaar,Sel_Doeljaar,L_Versiejaar,P_VJ,L_Versie,"Budget",L_Kengetal,"Woningverkopen FY")=0,"n.b.",SUMIFS(L_Waarde,L_Actief,1,L_WBS,VERW_Project!$A16,L_Doeljaar,Sel_Doeljaar,L_Versiejaar,P_VJ,L_Versie,"Budget",L_Kengetal,"Woningverkopen FY"))))</f>
        <v>35</v>
      </c>
      <c r="Q71" s="81">
        <f>IF(VERW_Project!$A16="","",IF(AND(ISNUMBER(P71),Sel_Doeljaar=P_RJ,ISNUMBER(J71)),J71-P71,IF(AND(ISNUMBER(P71),Sel_Doeljaar=P_RJ+1,ISNUMBER(K71)),K71-P71,"n.b.")))</f>
        <v>-3</v>
      </c>
    </row>
    <row r="72">
      <c r="B72" s="80" t="str">
        <f>IF(VERW_Project!$A17="","",VERW_Project!$C17)</f>
        <v>Zilverdam, De Werf</v>
      </c>
      <c r="C72" s="80" t="str">
        <f>IF(VERW_Project!$A17="","",VERW_Project!$D17)</f>
        <v>Deelneming</v>
      </c>
      <c r="D72" s="80" t="str">
        <f>IF(VERW_Project!$A17="","",VERW_Project!$E17)</f>
        <v>Appartement</v>
      </c>
      <c r="E72" s="81">
        <f>IF(VERW_Project!$A17="","",VERW_Project!$F17)</f>
        <v>50</v>
      </c>
      <c r="F72" s="81">
        <f>IF(VERW_Project!$A17="","",IF(VERW_Project!$G17="Nee","n.v.t.",VERW_Project!$AT17))</f>
        <v>28</v>
      </c>
      <c r="G72" s="82">
        <f>IF(VERW_Project!$A17="","",IF(VERW_Project!$G17="Nee","n.v.t.",IF(AND(ISNUMBER(F72),ISNUMBER(E72)),IF(E72&gt;0,F72/(E72/100),"n.b."),"n.b.")))</f>
        <v>56</v>
      </c>
      <c r="H72" s="81">
        <f>IF(VERW_Project!$A17="","",IF(VERW_Project!$G17="Nee","n.v.t.",VERW_Project!$AW17))</f>
        <v>0</v>
      </c>
      <c r="I72" s="81">
        <f>IF(VERW_Project!$A17="","",IF(VERW_Project!$G17="Nee","n.v.t.",VERW_Project!$BU17))</f>
        <v>2</v>
      </c>
      <c r="J72" s="81">
        <f>IF(VERW_Project!$A17="","",IF(VERW_Project!$G17="Nee","n.v.t.",VERW_Project!$BW17))</f>
        <v>9</v>
      </c>
      <c r="K72" s="81">
        <f>IF(VERW_Project!$A17="","",IF(VERW_Project!$G17="Nee","n.v.t.",VERW_Project!$BX17))</f>
        <v>12</v>
      </c>
      <c r="L72" s="81">
        <f>IF(VERW_Project!$A17="","",IF(VERW_Project!$G17="Nee","n.v.t.",VERW_Project!$CC17))</f>
        <v>7</v>
      </c>
      <c r="M72" s="81">
        <f>IF(VERW_Project!$A17="","",IF(VERW_Project!$G17="Nee","n.v.t.",VERW_Project!$BC17))</f>
        <v>2</v>
      </c>
      <c r="N72" s="81">
        <f>IF(VERW_Project!$A17="","",IF(VERW_Project!$G17="Nee","n.v.t.",VERW_Project!$BD17))</f>
        <v>26</v>
      </c>
      <c r="O72" s="83">
        <f>IF(VERW_Project!$A17="","",IF(AND(ISNUMBER(F72),ISNUMBER(M72)),IF(F72&gt;0,M72/F72,""),""))</f>
        <v>0.0714285714285714</v>
      </c>
      <c r="P72" s="81">
        <f>IF(VERW_Project!$A17="","",IF(VERW_Project!$G17="Nee","n.v.t.",IF(COUNTIFS(L_Actief,1,L_WBS,VERW_Project!$A17,L_Doeljaar,Sel_Doeljaar,L_Versiejaar,P_VJ,L_Versie,"Budget",L_Kengetal,"Woningverkopen FY")=0,"n.b.",SUMIFS(L_Waarde,L_Actief,1,L_WBS,VERW_Project!$A17,L_Doeljaar,Sel_Doeljaar,L_Versiejaar,P_VJ,L_Versie,"Budget",L_Kengetal,"Woningverkopen FY"))))</f>
        <v>8</v>
      </c>
      <c r="Q72" s="81">
        <f>IF(VERW_Project!$A17="","",IF(AND(ISNUMBER(P72),Sel_Doeljaar=P_RJ,ISNUMBER(J72)),J72-P72,IF(AND(ISNUMBER(P72),Sel_Doeljaar=P_RJ+1,ISNUMBER(K72)),K72-P72,"n.b.")))</f>
        <v>1</v>
      </c>
    </row>
    <row r="73">
      <c r="B73" s="80" t="str">
        <f>IF(VERW_Project!$A18="","",VERW_Project!$C18)</f>
        <v>Boswaard, Boskamers</v>
      </c>
      <c r="C73" s="80" t="str">
        <f>IF(VERW_Project!$A18="","",VERW_Project!$D18)</f>
        <v>Opstal</v>
      </c>
      <c r="D73" s="80" t="str">
        <f>IF(VERW_Project!$A18="","",VERW_Project!$E18)</f>
        <v>Grondgebonden</v>
      </c>
      <c r="E73" s="81">
        <f>IF(VERW_Project!$A18="","",VERW_Project!$F18)</f>
        <v>100</v>
      </c>
      <c r="F73" s="81">
        <f>IF(VERW_Project!$A18="","",IF(VERW_Project!$G18="Nee","n.v.t.",VERW_Project!$AT18))</f>
        <v>60</v>
      </c>
      <c r="G73" s="82">
        <f>IF(VERW_Project!$A18="","",IF(VERW_Project!$G18="Nee","n.v.t.",IF(AND(ISNUMBER(F73),ISNUMBER(E73)),IF(E73&gt;0,F73/(E73/100),"n.b."),"n.b.")))</f>
        <v>60</v>
      </c>
      <c r="H73" s="81">
        <f>IF(VERW_Project!$A18="","",IF(VERW_Project!$G18="Nee","n.v.t.",VERW_Project!$AW18))</f>
        <v>0</v>
      </c>
      <c r="I73" s="81">
        <f>IF(VERW_Project!$A18="","",IF(VERW_Project!$G18="Nee","n.v.t.",VERW_Project!$BU18))</f>
        <v>9</v>
      </c>
      <c r="J73" s="81">
        <f>IF(VERW_Project!$A18="","",IF(VERW_Project!$G18="Nee","n.v.t.",VERW_Project!$BW18))</f>
        <v>20</v>
      </c>
      <c r="K73" s="81">
        <f>IF(VERW_Project!$A18="","",IF(VERW_Project!$G18="Nee","n.v.t.",VERW_Project!$BX18))</f>
        <v>26</v>
      </c>
      <c r="L73" s="81">
        <f>IF(VERW_Project!$A18="","",IF(VERW_Project!$G18="Nee","n.v.t.",VERW_Project!$CC18))</f>
        <v>14</v>
      </c>
      <c r="M73" s="81">
        <f>IF(VERW_Project!$A18="","",IF(VERW_Project!$G18="Nee","n.v.t.",VERW_Project!$BC18))</f>
        <v>9</v>
      </c>
      <c r="N73" s="81">
        <f>IF(VERW_Project!$A18="","",IF(VERW_Project!$G18="Nee","n.v.t.",VERW_Project!$BD18))</f>
        <v>51</v>
      </c>
      <c r="O73" s="83">
        <f>IF(VERW_Project!$A18="","",IF(AND(ISNUMBER(F73),ISNUMBER(M73)),IF(F73&gt;0,M73/F73,""),""))</f>
        <v>0.15</v>
      </c>
      <c r="P73" s="81">
        <f>IF(VERW_Project!$A18="","",IF(VERW_Project!$G18="Nee","n.v.t.",IF(COUNTIFS(L_Actief,1,L_WBS,VERW_Project!$A18,L_Doeljaar,Sel_Doeljaar,L_Versiejaar,P_VJ,L_Versie,"Budget",L_Kengetal,"Woningverkopen FY")=0,"n.b.",SUMIFS(L_Waarde,L_Actief,1,L_WBS,VERW_Project!$A18,L_Doeljaar,Sel_Doeljaar,L_Versiejaar,P_VJ,L_Versie,"Budget",L_Kengetal,"Woningverkopen FY"))))</f>
        <v>22</v>
      </c>
      <c r="Q73" s="81">
        <f>IF(VERW_Project!$A18="","",IF(AND(ISNUMBER(P73),Sel_Doeljaar=P_RJ,ISNUMBER(J73)),J73-P73,IF(AND(ISNUMBER(P73),Sel_Doeljaar=P_RJ+1,ISNUMBER(K73)),K73-P73,"n.b.")))</f>
        <v>-2</v>
      </c>
    </row>
    <row r="74">
      <c r="B74" s="80" t="str">
        <f>IF(VERW_Project!$A19="","",VERW_Project!$C19)</f>
        <v>Rietdam, Rietoevers</v>
      </c>
      <c r="C74" s="80" t="str">
        <f>IF(VERW_Project!$A19="","",VERW_Project!$D19)</f>
        <v>Opstal</v>
      </c>
      <c r="D74" s="80" t="str">
        <f>IF(VERW_Project!$A19="","",VERW_Project!$E19)</f>
        <v>Appartement</v>
      </c>
      <c r="E74" s="81">
        <f>IF(VERW_Project!$A19="","",VERW_Project!$F19)</f>
        <v>100</v>
      </c>
      <c r="F74" s="81">
        <f>IF(VERW_Project!$A19="","",IF(VERW_Project!$G19="Nee","n.v.t.",VERW_Project!$AT19))</f>
        <v>72</v>
      </c>
      <c r="G74" s="82">
        <f>IF(VERW_Project!$A19="","",IF(VERW_Project!$G19="Nee","n.v.t.",IF(AND(ISNUMBER(F74),ISNUMBER(E74)),IF(E74&gt;0,F74/(E74/100),"n.b."),"n.b.")))</f>
        <v>72</v>
      </c>
      <c r="H74" s="81">
        <f>IF(VERW_Project!$A19="","",IF(VERW_Project!$G19="Nee","n.v.t.",VERW_Project!$AW19))</f>
        <v>0</v>
      </c>
      <c r="I74" s="81">
        <f>IF(VERW_Project!$A19="","",IF(VERW_Project!$G19="Nee","n.v.t.",VERW_Project!$BU19))</f>
        <v>18</v>
      </c>
      <c r="J74" s="81">
        <f>IF(VERW_Project!$A19="","",IF(VERW_Project!$G19="Nee","n.v.t.",VERW_Project!$BW19))</f>
        <v>24</v>
      </c>
      <c r="K74" s="81">
        <f>IF(VERW_Project!$A19="","",IF(VERW_Project!$G19="Nee","n.v.t.",VERW_Project!$BX19))</f>
        <v>32</v>
      </c>
      <c r="L74" s="81">
        <f>IF(VERW_Project!$A19="","",IF(VERW_Project!$G19="Nee","n.v.t.",VERW_Project!$CC19))</f>
        <v>16</v>
      </c>
      <c r="M74" s="81">
        <f>IF(VERW_Project!$A19="","",IF(VERW_Project!$G19="Nee","n.v.t.",VERW_Project!$BC19))</f>
        <v>18</v>
      </c>
      <c r="N74" s="81">
        <f>IF(VERW_Project!$A19="","",IF(VERW_Project!$G19="Nee","n.v.t.",VERW_Project!$BD19))</f>
        <v>54</v>
      </c>
      <c r="O74" s="83">
        <f>IF(VERW_Project!$A19="","",IF(AND(ISNUMBER(F74),ISNUMBER(M74)),IF(F74&gt;0,M74/F74,""),""))</f>
        <v>0.25</v>
      </c>
      <c r="P74" s="81">
        <f>IF(VERW_Project!$A19="","",IF(VERW_Project!$G19="Nee","n.v.t.",IF(COUNTIFS(L_Actief,1,L_WBS,VERW_Project!$A19,L_Doeljaar,Sel_Doeljaar,L_Versiejaar,P_VJ,L_Versie,"Budget",L_Kengetal,"Woningverkopen FY")=0,"n.b.",SUMIFS(L_Waarde,L_Actief,1,L_WBS,VERW_Project!$A19,L_Doeljaar,Sel_Doeljaar,L_Versiejaar,P_VJ,L_Versie,"Budget",L_Kengetal,"Woningverkopen FY"))))</f>
        <v>22</v>
      </c>
      <c r="Q74" s="81">
        <f>IF(VERW_Project!$A19="","",IF(AND(ISNUMBER(P74),Sel_Doeljaar=P_RJ,ISNUMBER(J74)),J74-P74,IF(AND(ISNUMBER(P74),Sel_Doeljaar=P_RJ+1,ISNUMBER(K74)),K74-P74,"n.b.")))</f>
        <v>2</v>
      </c>
    </row>
    <row r="75">
      <c r="B75" s="80" t="str">
        <f>IF(VERW_Project!$A20="","",VERW_Project!$C20)</f>
        <v>Lindehaven, Parkzoom fase 2</v>
      </c>
      <c r="C75" s="80" t="str">
        <f>IF(VERW_Project!$A20="","",VERW_Project!$D20)</f>
        <v>Opstal</v>
      </c>
      <c r="D75" s="80" t="str">
        <f>IF(VERW_Project!$A20="","",VERW_Project!$E20)</f>
        <v>Grondgebonden</v>
      </c>
      <c r="E75" s="81">
        <f>IF(VERW_Project!$A20="","",VERW_Project!$F20)</f>
        <v>100</v>
      </c>
      <c r="F75" s="81">
        <f>IF(VERW_Project!$A20="","",IF(VERW_Project!$G20="Nee","n.v.t.",VERW_Project!$AT20))</f>
        <v>110</v>
      </c>
      <c r="G75" s="82">
        <f>IF(VERW_Project!$A20="","",IF(VERW_Project!$G20="Nee","n.v.t.",IF(AND(ISNUMBER(F75),ISNUMBER(E75)),IF(E75&gt;0,F75/(E75/100),"n.b."),"n.b.")))</f>
        <v>110</v>
      </c>
      <c r="H75" s="81">
        <f>IF(VERW_Project!$A20="","",IF(VERW_Project!$G20="Nee","n.v.t.",VERW_Project!$AW20))</f>
        <v>0</v>
      </c>
      <c r="I75" s="81">
        <f>IF(VERW_Project!$A20="","",IF(VERW_Project!$G20="Nee","n.v.t.",VERW_Project!$BU20))</f>
        <v>25</v>
      </c>
      <c r="J75" s="81">
        <f>IF(VERW_Project!$A20="","",IF(VERW_Project!$G20="Nee","n.v.t.",VERW_Project!$BW20))</f>
        <v>36</v>
      </c>
      <c r="K75" s="81">
        <f>IF(VERW_Project!$A20="","",IF(VERW_Project!$G20="Nee","n.v.t.",VERW_Project!$BX20))</f>
        <v>49</v>
      </c>
      <c r="L75" s="81">
        <f>IF(VERW_Project!$A20="","",IF(VERW_Project!$G20="Nee","n.v.t.",VERW_Project!$CC20))</f>
        <v>25</v>
      </c>
      <c r="M75" s="81">
        <f>IF(VERW_Project!$A20="","",IF(VERW_Project!$G20="Nee","n.v.t.",VERW_Project!$BC20))</f>
        <v>25</v>
      </c>
      <c r="N75" s="81">
        <f>IF(VERW_Project!$A20="","",IF(VERW_Project!$G20="Nee","n.v.t.",VERW_Project!$BD20))</f>
        <v>85</v>
      </c>
      <c r="O75" s="83">
        <f>IF(VERW_Project!$A20="","",IF(AND(ISNUMBER(F75),ISNUMBER(M75)),IF(F75&gt;0,M75/F75,""),""))</f>
        <v>0.227272727272727</v>
      </c>
      <c r="P75" s="81">
        <f>IF(VERW_Project!$A20="","",IF(VERW_Project!$G20="Nee","n.v.t.",IF(COUNTIFS(L_Actief,1,L_WBS,VERW_Project!$A20,L_Doeljaar,Sel_Doeljaar,L_Versiejaar,P_VJ,L_Versie,"Budget",L_Kengetal,"Woningverkopen FY")=0,"n.b.",SUMIFS(L_Waarde,L_Actief,1,L_WBS,VERW_Project!$A20,L_Doeljaar,Sel_Doeljaar,L_Versiejaar,P_VJ,L_Versie,"Budget",L_Kengetal,"Woningverkopen FY"))))</f>
        <v>40</v>
      </c>
      <c r="Q75" s="81">
        <f>IF(VERW_Project!$A20="","",IF(AND(ISNUMBER(P75),Sel_Doeljaar=P_RJ,ISNUMBER(J75)),J75-P75,IF(AND(ISNUMBER(P75),Sel_Doeljaar=P_RJ+1,ISNUMBER(K75)),K75-P75,"n.b.")))</f>
        <v>-4</v>
      </c>
    </row>
    <row r="76">
      <c r="B76" s="80" t="str">
        <f>IF(VERW_Project!$A21="","",VERW_Project!$C21)</f>
        <v>Duinwaard, De Lantaarn</v>
      </c>
      <c r="C76" s="80" t="str">
        <f>IF(VERW_Project!$A21="","",VERW_Project!$D21)</f>
        <v>Opstal</v>
      </c>
      <c r="D76" s="80" t="str">
        <f>IF(VERW_Project!$A21="","",VERW_Project!$E21)</f>
        <v>Appartement</v>
      </c>
      <c r="E76" s="81">
        <f>IF(VERW_Project!$A21="","",VERW_Project!$F21)</f>
        <v>100</v>
      </c>
      <c r="F76" s="81">
        <f>IF(VERW_Project!$A21="","",IF(VERW_Project!$G21="Nee","n.v.t.",VERW_Project!$AT21))</f>
        <v>40</v>
      </c>
      <c r="G76" s="82">
        <f>IF(VERW_Project!$A21="","",IF(VERW_Project!$G21="Nee","n.v.t.",IF(AND(ISNUMBER(F76),ISNUMBER(E76)),IF(E76&gt;0,F76/(E76/100),"n.b."),"n.b.")))</f>
        <v>40</v>
      </c>
      <c r="H76" s="81">
        <f>IF(VERW_Project!$A21="","",IF(VERW_Project!$G21="Nee","n.v.t.",VERW_Project!$AW21))</f>
        <v>0</v>
      </c>
      <c r="I76" s="81">
        <f>IF(VERW_Project!$A21="","",IF(VERW_Project!$G21="Nee","n.v.t.",VERW_Project!$BU21))</f>
        <v>7</v>
      </c>
      <c r="J76" s="81">
        <f>IF(VERW_Project!$A21="","",IF(VERW_Project!$G21="Nee","n.v.t.",VERW_Project!$BW21))</f>
        <v>13</v>
      </c>
      <c r="K76" s="81">
        <f>IF(VERW_Project!$A21="","",IF(VERW_Project!$G21="Nee","n.v.t.",VERW_Project!$BX21))</f>
        <v>18</v>
      </c>
      <c r="L76" s="81">
        <f>IF(VERW_Project!$A21="","",IF(VERW_Project!$G21="Nee","n.v.t.",VERW_Project!$CC21))</f>
        <v>9</v>
      </c>
      <c r="M76" s="81">
        <f>IF(VERW_Project!$A21="","",IF(VERW_Project!$G21="Nee","n.v.t.",VERW_Project!$BC21))</f>
        <v>7</v>
      </c>
      <c r="N76" s="81">
        <f>IF(VERW_Project!$A21="","",IF(VERW_Project!$G21="Nee","n.v.t.",VERW_Project!$BD21))</f>
        <v>33</v>
      </c>
      <c r="O76" s="83">
        <f>IF(VERW_Project!$A21="","",IF(AND(ISNUMBER(F76),ISNUMBER(M76)),IF(F76&gt;0,M76/F76,""),""))</f>
        <v>0.175</v>
      </c>
      <c r="P76" s="81">
        <f>IF(VERW_Project!$A21="","",IF(VERW_Project!$G21="Nee","n.v.t.",IF(COUNTIFS(L_Actief,1,L_WBS,VERW_Project!$A21,L_Doeljaar,Sel_Doeljaar,L_Versiejaar,P_VJ,L_Versie,"Budget",L_Kengetal,"Woningverkopen FY")=0,"n.b.",SUMIFS(L_Waarde,L_Actief,1,L_WBS,VERW_Project!$A21,L_Doeljaar,Sel_Doeljaar,L_Versiejaar,P_VJ,L_Versie,"Budget",L_Kengetal,"Woningverkopen FY"))))</f>
        <v>12</v>
      </c>
      <c r="Q76" s="81">
        <f>IF(VERW_Project!$A21="","",IF(AND(ISNUMBER(P76),Sel_Doeljaar=P_RJ,ISNUMBER(J76)),J76-P76,IF(AND(ISNUMBER(P76),Sel_Doeljaar=P_RJ+1,ISNUMBER(K76)),K76-P76,"n.b.")))</f>
        <v>1</v>
      </c>
    </row>
    <row r="77">
      <c r="B77" s="80" t="str">
        <f>IF(VERW_Project!$A22="","",VERW_Project!$C22)</f>
        <v>Veldendam, Spoorpark</v>
      </c>
      <c r="C77" s="80" t="str">
        <f>IF(VERW_Project!$A22="","",VERW_Project!$D22)</f>
        <v>Opstal</v>
      </c>
      <c r="D77" s="80" t="str">
        <f>IF(VERW_Project!$A22="","",VERW_Project!$E22)</f>
        <v>Grondgebonden</v>
      </c>
      <c r="E77" s="81">
        <f>IF(VERW_Project!$A22="","",VERW_Project!$F22)</f>
        <v>100</v>
      </c>
      <c r="F77" s="81">
        <f>IF(VERW_Project!$A22="","",IF(VERW_Project!$G22="Nee","n.v.t.",VERW_Project!$AT22))</f>
        <v>84</v>
      </c>
      <c r="G77" s="82">
        <f>IF(VERW_Project!$A22="","",IF(VERW_Project!$G22="Nee","n.v.t.",IF(AND(ISNUMBER(F77),ISNUMBER(E77)),IF(E77&gt;0,F77/(E77/100),"n.b."),"n.b.")))</f>
        <v>84</v>
      </c>
      <c r="H77" s="81">
        <f>IF(VERW_Project!$A22="","",IF(VERW_Project!$G22="Nee","n.v.t.",VERW_Project!$AW22))</f>
        <v>0</v>
      </c>
      <c r="I77" s="81">
        <f>IF(VERW_Project!$A22="","",IF(VERW_Project!$G22="Nee","n.v.t.",VERW_Project!$BU22))</f>
        <v>18</v>
      </c>
      <c r="J77" s="81">
        <f>IF(VERW_Project!$A22="","",IF(VERW_Project!$G22="Nee","n.v.t.",VERW_Project!$BW22))</f>
        <v>28</v>
      </c>
      <c r="K77" s="81">
        <f>IF(VERW_Project!$A22="","",IF(VERW_Project!$G22="Nee","n.v.t.",VERW_Project!$BX22))</f>
        <v>37</v>
      </c>
      <c r="L77" s="81">
        <f>IF(VERW_Project!$A22="","",IF(VERW_Project!$G22="Nee","n.v.t.",VERW_Project!$CC22))</f>
        <v>19</v>
      </c>
      <c r="M77" s="81">
        <f>IF(VERW_Project!$A22="","",IF(VERW_Project!$G22="Nee","n.v.t.",VERW_Project!$BC22))</f>
        <v>18</v>
      </c>
      <c r="N77" s="81">
        <f>IF(VERW_Project!$A22="","",IF(VERW_Project!$G22="Nee","n.v.t.",VERW_Project!$BD22))</f>
        <v>66</v>
      </c>
      <c r="O77" s="83">
        <f>IF(VERW_Project!$A22="","",IF(AND(ISNUMBER(F77),ISNUMBER(M77)),IF(F77&gt;0,M77/F77,""),""))</f>
        <v>0.214285714285714</v>
      </c>
      <c r="P77" s="81">
        <f>IF(VERW_Project!$A22="","",IF(VERW_Project!$G22="Nee","n.v.t.",IF(COUNTIFS(L_Actief,1,L_WBS,VERW_Project!$A22,L_Doeljaar,Sel_Doeljaar,L_Versiejaar,P_VJ,L_Versie,"Budget",L_Kengetal,"Woningverkopen FY")=0,"n.b.",SUMIFS(L_Waarde,L_Actief,1,L_WBS,VERW_Project!$A22,L_Doeljaar,Sel_Doeljaar,L_Versiejaar,P_VJ,L_Versie,"Budget",L_Kengetal,"Woningverkopen FY"))))</f>
        <v>31</v>
      </c>
      <c r="Q77" s="81">
        <f>IF(VERW_Project!$A22="","",IF(AND(ISNUMBER(P77),Sel_Doeljaar=P_RJ,ISNUMBER(J77)),J77-P77,IF(AND(ISNUMBER(P77),Sel_Doeljaar=P_RJ+1,ISNUMBER(K77)),K77-P77,"n.b.")))</f>
        <v>-3</v>
      </c>
    </row>
    <row r="78">
      <c r="B78" s="80" t="str">
        <f>IF(VERW_Project!$A23="","",VERW_Project!$C23)</f>
        <v>Meerhovenstad, De Boog</v>
      </c>
      <c r="C78" s="80" t="str">
        <f>IF(VERW_Project!$A23="","",VERW_Project!$D23)</f>
        <v>Deelneming</v>
      </c>
      <c r="D78" s="80" t="str">
        <f>IF(VERW_Project!$A23="","",VERW_Project!$E23)</f>
        <v>Appartement</v>
      </c>
      <c r="E78" s="81">
        <f>IF(VERW_Project!$A23="","",VERW_Project!$F23)</f>
        <v>50</v>
      </c>
      <c r="F78" s="81">
        <f>IF(VERW_Project!$A23="","",IF(VERW_Project!$G23="Nee","n.v.t.",VERW_Project!$AT23))</f>
        <v>56</v>
      </c>
      <c r="G78" s="82">
        <f>IF(VERW_Project!$A23="","",IF(VERW_Project!$G23="Nee","n.v.t.",IF(AND(ISNUMBER(F78),ISNUMBER(E78)),IF(E78&gt;0,F78/(E78/100),"n.b."),"n.b.")))</f>
        <v>112</v>
      </c>
      <c r="H78" s="81">
        <f>IF(VERW_Project!$A23="","",IF(VERW_Project!$G23="Nee","n.v.t.",VERW_Project!$AW23))</f>
        <v>0</v>
      </c>
      <c r="I78" s="81">
        <f>IF(VERW_Project!$A23="","",IF(VERW_Project!$G23="Nee","n.v.t.",VERW_Project!$BU23))</f>
        <v>9</v>
      </c>
      <c r="J78" s="81">
        <f>IF(VERW_Project!$A23="","",IF(VERW_Project!$G23="Nee","n.v.t.",VERW_Project!$BW23))</f>
        <v>18</v>
      </c>
      <c r="K78" s="81">
        <f>IF(VERW_Project!$A23="","",IF(VERW_Project!$G23="Nee","n.v.t.",VERW_Project!$BX23))</f>
        <v>25</v>
      </c>
      <c r="L78" s="81">
        <f>IF(VERW_Project!$A23="","",IF(VERW_Project!$G23="Nee","n.v.t.",VERW_Project!$CC23))</f>
        <v>13</v>
      </c>
      <c r="M78" s="81">
        <f>IF(VERW_Project!$A23="","",IF(VERW_Project!$G23="Nee","n.v.t.",VERW_Project!$BC23))</f>
        <v>9</v>
      </c>
      <c r="N78" s="81">
        <f>IF(VERW_Project!$A23="","",IF(VERW_Project!$G23="Nee","n.v.t.",VERW_Project!$BD23))</f>
        <v>47</v>
      </c>
      <c r="O78" s="83">
        <f>IF(VERW_Project!$A23="","",IF(AND(ISNUMBER(F78),ISNUMBER(M78)),IF(F78&gt;0,M78/F78,""),""))</f>
        <v>0.160714285714286</v>
      </c>
      <c r="P78" s="81">
        <f>IF(VERW_Project!$A23="","",IF(VERW_Project!$G23="Nee","n.v.t.",IF(COUNTIFS(L_Actief,1,L_WBS,VERW_Project!$A23,L_Doeljaar,Sel_Doeljaar,L_Versiejaar,P_VJ,L_Versie,"Budget",L_Kengetal,"Woningverkopen FY")=0,"n.b.",SUMIFS(L_Waarde,L_Actief,1,L_WBS,VERW_Project!$A23,L_Doeljaar,Sel_Doeljaar,L_Versiejaar,P_VJ,L_Versie,"Budget",L_Kengetal,"Woningverkopen FY"))))</f>
        <v>16</v>
      </c>
      <c r="Q78" s="81">
        <f>IF(VERW_Project!$A23="","",IF(AND(ISNUMBER(P78),Sel_Doeljaar=P_RJ,ISNUMBER(J78)),J78-P78,IF(AND(ISNUMBER(P78),Sel_Doeljaar=P_RJ+1,ISNUMBER(K78)),K78-P78,"n.b.")))</f>
        <v>2</v>
      </c>
    </row>
    <row r="79">
      <c r="B79" s="80" t="str">
        <f>IF(VERW_Project!$A24="","",VERW_Project!$C24)</f>
        <v>Zilverdam, Havenlicht</v>
      </c>
      <c r="C79" s="80" t="str">
        <f>IF(VERW_Project!$A24="","",VERW_Project!$D24)</f>
        <v>Opstal</v>
      </c>
      <c r="D79" s="80" t="str">
        <f>IF(VERW_Project!$A24="","",VERW_Project!$E24)</f>
        <v>Grondgebonden</v>
      </c>
      <c r="E79" s="81">
        <f>IF(VERW_Project!$A24="","",VERW_Project!$F24)</f>
        <v>100</v>
      </c>
      <c r="F79" s="81">
        <f>IF(VERW_Project!$A24="","",IF(VERW_Project!$G24="Nee","n.v.t.",VERW_Project!$AT24))</f>
        <v>30</v>
      </c>
      <c r="G79" s="82">
        <f>IF(VERW_Project!$A24="","",IF(VERW_Project!$G24="Nee","n.v.t.",IF(AND(ISNUMBER(F79),ISNUMBER(E79)),IF(E79&gt;0,F79/(E79/100),"n.b."),"n.b.")))</f>
        <v>30</v>
      </c>
      <c r="H79" s="81">
        <f>IF(VERW_Project!$A24="","",IF(VERW_Project!$G24="Nee","n.v.t.",VERW_Project!$AW24))</f>
        <v>0</v>
      </c>
      <c r="I79" s="81">
        <f>IF(VERW_Project!$A24="","",IF(VERW_Project!$G24="Nee","n.v.t.",VERW_Project!$BU24))</f>
        <v>2</v>
      </c>
      <c r="J79" s="81">
        <f>IF(VERW_Project!$A24="","",IF(VERW_Project!$G24="Nee","n.v.t.",VERW_Project!$BW24))</f>
        <v>10</v>
      </c>
      <c r="K79" s="81">
        <f>IF(VERW_Project!$A24="","",IF(VERW_Project!$G24="Nee","n.v.t.",VERW_Project!$BX24))</f>
        <v>13</v>
      </c>
      <c r="L79" s="81">
        <f>IF(VERW_Project!$A24="","",IF(VERW_Project!$G24="Nee","n.v.t.",VERW_Project!$CC24))</f>
        <v>7</v>
      </c>
      <c r="M79" s="81">
        <f>IF(VERW_Project!$A24="","",IF(VERW_Project!$G24="Nee","n.v.t.",VERW_Project!$BC24))</f>
        <v>2</v>
      </c>
      <c r="N79" s="81">
        <f>IF(VERW_Project!$A24="","",IF(VERW_Project!$G24="Nee","n.v.t.",VERW_Project!$BD24))</f>
        <v>28</v>
      </c>
      <c r="O79" s="83">
        <f>IF(VERW_Project!$A24="","",IF(AND(ISNUMBER(F79),ISNUMBER(M79)),IF(F79&gt;0,M79/F79,""),""))</f>
        <v>0.0666666666666667</v>
      </c>
      <c r="P79" s="81">
        <f>IF(VERW_Project!$A24="","",IF(VERW_Project!$G24="Nee","n.v.t.",IF(COUNTIFS(L_Actief,1,L_WBS,VERW_Project!$A24,L_Doeljaar,Sel_Doeljaar,L_Versiejaar,P_VJ,L_Versie,"Budget",L_Kengetal,"Woningverkopen FY")=0,"n.b.",SUMIFS(L_Waarde,L_Actief,1,L_WBS,VERW_Project!$A24,L_Doeljaar,Sel_Doeljaar,L_Versiejaar,P_VJ,L_Versie,"Budget",L_Kengetal,"Woningverkopen FY"))))</f>
        <v>11</v>
      </c>
      <c r="Q79" s="81">
        <f>IF(VERW_Project!$A24="","",IF(AND(ISNUMBER(P79),Sel_Doeljaar=P_RJ,ISNUMBER(J79)),J79-P79,IF(AND(ISNUMBER(P79),Sel_Doeljaar=P_RJ+1,ISNUMBER(K79)),K79-P79,"n.b.")))</f>
        <v>-1</v>
      </c>
    </row>
    <row r="80">
      <c r="B80" s="80" t="str">
        <f>IF(VERW_Project!$A25="","",VERW_Project!$C25)</f>
        <v>Boswaard, Parkeergebouw</v>
      </c>
      <c r="C80" s="80" t="str">
        <f>IF(VERW_Project!$A25="","",VERW_Project!$D25)</f>
        <v>Opstal</v>
      </c>
      <c r="D80" s="80" t="str">
        <f>IF(VERW_Project!$A25="","",VERW_Project!$E25)</f>
        <v>Appartement</v>
      </c>
      <c r="E80" s="81">
        <f>IF(VERW_Project!$A25="","",VERW_Project!$F25)</f>
        <v>100</v>
      </c>
      <c r="F80" s="81" t="str">
        <f>IF(VERW_Project!$A25="","",IF(VERW_Project!$G25="Nee","n.v.t.",VERW_Project!$AT25))</f>
        <v>n.v.t.</v>
      </c>
      <c r="G80" s="82" t="str">
        <f>IF(VERW_Project!$A25="","",IF(VERW_Project!$G25="Nee","n.v.t.",IF(AND(ISNUMBER(F80),ISNUMBER(E80)),IF(E80&gt;0,F80/(E80/100),"n.b."),"n.b.")))</f>
        <v>n.v.t.</v>
      </c>
      <c r="H80" s="81" t="str">
        <f>IF(VERW_Project!$A25="","",IF(VERW_Project!$G25="Nee","n.v.t.",VERW_Project!$AW25))</f>
        <v>n.v.t.</v>
      </c>
      <c r="I80" s="81" t="str">
        <f>IF(VERW_Project!$A25="","",IF(VERW_Project!$G25="Nee","n.v.t.",VERW_Project!$BU25))</f>
        <v>n.v.t.</v>
      </c>
      <c r="J80" s="81" t="str">
        <f>IF(VERW_Project!$A25="","",IF(VERW_Project!$G25="Nee","n.v.t.",VERW_Project!$BW25))</f>
        <v>n.v.t.</v>
      </c>
      <c r="K80" s="81" t="str">
        <f>IF(VERW_Project!$A25="","",IF(VERW_Project!$G25="Nee","n.v.t.",VERW_Project!$BX25))</f>
        <v>n.v.t.</v>
      </c>
      <c r="L80" s="81" t="str">
        <f>IF(VERW_Project!$A25="","",IF(VERW_Project!$G25="Nee","n.v.t.",VERW_Project!$CC25))</f>
        <v>n.v.t.</v>
      </c>
      <c r="M80" s="81" t="str">
        <f>IF(VERW_Project!$A25="","",IF(VERW_Project!$G25="Nee","n.v.t.",VERW_Project!$BC25))</f>
        <v>n.v.t.</v>
      </c>
      <c r="N80" s="81" t="str">
        <f>IF(VERW_Project!$A25="","",IF(VERW_Project!$G25="Nee","n.v.t.",VERW_Project!$BD25))</f>
        <v>n.v.t.</v>
      </c>
      <c r="O80" s="83" t="str">
        <f>IF(VERW_Project!$A25="","",IF(AND(ISNUMBER(F80),ISNUMBER(M80)),IF(F80&gt;0,M80/F80,""),""))</f>
        <v/>
      </c>
      <c r="P80" s="81" t="str">
        <f>IF(VERW_Project!$A25="","",IF(VERW_Project!$G25="Nee","n.v.t.",IF(COUNTIFS(L_Actief,1,L_WBS,VERW_Project!$A25,L_Doeljaar,Sel_Doeljaar,L_Versiejaar,P_VJ,L_Versie,"Budget",L_Kengetal,"Woningverkopen FY")=0,"n.b.",SUMIFS(L_Waarde,L_Actief,1,L_WBS,VERW_Project!$A25,L_Doeljaar,Sel_Doeljaar,L_Versiejaar,P_VJ,L_Versie,"Budget",L_Kengetal,"Woningverkopen FY"))))</f>
        <v>n.v.t.</v>
      </c>
      <c r="Q80" s="81" t="str">
        <f>IF(VERW_Project!$A25="","",IF(AND(ISNUMBER(P80),Sel_Doeljaar=P_RJ,ISNUMBER(J80)),J80-P80,IF(AND(ISNUMBER(P80),Sel_Doeljaar=P_RJ+1,ISNUMBER(K80)),K80-P80,"n.b.")))</f>
        <v>n.b.</v>
      </c>
    </row>
    <row r="81">
      <c r="B81" s="80" t="str">
        <f>IF(VERW_Project!$A26="","",VERW_Project!$C26)</f>
        <v/>
      </c>
      <c r="C81" s="80" t="str">
        <f>IF(VERW_Project!$A26="","",VERW_Project!$D26)</f>
        <v/>
      </c>
      <c r="D81" s="80" t="str">
        <f>IF(VERW_Project!$A26="","",VERW_Project!$E26)</f>
        <v/>
      </c>
      <c r="E81" s="81" t="str">
        <f>IF(VERW_Project!$A26="","",VERW_Project!$F26)</f>
        <v/>
      </c>
      <c r="F81" s="81" t="str">
        <f>IF(VERW_Project!$A26="","",IF(VERW_Project!$G26="Nee","n.v.t.",VERW_Project!$AT26))</f>
        <v/>
      </c>
      <c r="G81" s="82" t="str">
        <f>IF(VERW_Project!$A26="","",IF(VERW_Project!$G26="Nee","n.v.t.",IF(AND(ISNUMBER(F81),ISNUMBER(E81)),IF(E81&gt;0,F81/(E81/100),"n.b."),"n.b.")))</f>
        <v/>
      </c>
      <c r="H81" s="81" t="str">
        <f>IF(VERW_Project!$A26="","",IF(VERW_Project!$G26="Nee","n.v.t.",VERW_Project!$AW26))</f>
        <v/>
      </c>
      <c r="I81" s="81" t="str">
        <f>IF(VERW_Project!$A26="","",IF(VERW_Project!$G26="Nee","n.v.t.",VERW_Project!$BU26))</f>
        <v/>
      </c>
      <c r="J81" s="81" t="str">
        <f>IF(VERW_Project!$A26="","",IF(VERW_Project!$G26="Nee","n.v.t.",VERW_Project!$BW26))</f>
        <v/>
      </c>
      <c r="K81" s="81" t="str">
        <f>IF(VERW_Project!$A26="","",IF(VERW_Project!$G26="Nee","n.v.t.",VERW_Project!$BX26))</f>
        <v/>
      </c>
      <c r="L81" s="81" t="str">
        <f>IF(VERW_Project!$A26="","",IF(VERW_Project!$G26="Nee","n.v.t.",VERW_Project!$CC26))</f>
        <v/>
      </c>
      <c r="M81" s="81" t="str">
        <f>IF(VERW_Project!$A26="","",IF(VERW_Project!$G26="Nee","n.v.t.",VERW_Project!$BC26))</f>
        <v/>
      </c>
      <c r="N81" s="81" t="str">
        <f>IF(VERW_Project!$A26="","",IF(VERW_Project!$G26="Nee","n.v.t.",VERW_Project!$BD26))</f>
        <v/>
      </c>
      <c r="O81" s="83" t="str">
        <f>IF(VERW_Project!$A26="","",IF(AND(ISNUMBER(F81),ISNUMBER(M81)),IF(F81&gt;0,M81/F81,""),""))</f>
        <v/>
      </c>
      <c r="P81" s="81" t="str">
        <f>IF(VERW_Project!$A26="","",IF(VERW_Project!$G26="Nee","n.v.t.",IF(COUNTIFS(L_Actief,1,L_WBS,VERW_Project!$A26,L_Doeljaar,Sel_Doeljaar,L_Versiejaar,P_VJ,L_Versie,"Budget",L_Kengetal,"Woningverkopen FY")=0,"n.b.",SUMIFS(L_Waarde,L_Actief,1,L_WBS,VERW_Project!$A26,L_Doeljaar,Sel_Doeljaar,L_Versiejaar,P_VJ,L_Versie,"Budget",L_Kengetal,"Woningverkopen FY"))))</f>
        <v/>
      </c>
      <c r="Q81" s="81" t="str">
        <f>IF(VERW_Project!$A26="","",IF(AND(ISNUMBER(P81),Sel_Doeljaar=P_RJ,ISNUMBER(J81)),J81-P81,IF(AND(ISNUMBER(P81),Sel_Doeljaar=P_RJ+1,ISNUMBER(K81)),K81-P81,"n.b.")))</f>
        <v/>
      </c>
    </row>
    <row r="82">
      <c r="B82" s="80" t="str">
        <f>IF(VERW_Project!$A27="","",VERW_Project!$C27)</f>
        <v/>
      </c>
      <c r="C82" s="80" t="str">
        <f>IF(VERW_Project!$A27="","",VERW_Project!$D27)</f>
        <v/>
      </c>
      <c r="D82" s="80" t="str">
        <f>IF(VERW_Project!$A27="","",VERW_Project!$E27)</f>
        <v/>
      </c>
      <c r="E82" s="81" t="str">
        <f>IF(VERW_Project!$A27="","",VERW_Project!$F27)</f>
        <v/>
      </c>
      <c r="F82" s="81" t="str">
        <f>IF(VERW_Project!$A27="","",IF(VERW_Project!$G27="Nee","n.v.t.",VERW_Project!$AT27))</f>
        <v/>
      </c>
      <c r="G82" s="82" t="str">
        <f>IF(VERW_Project!$A27="","",IF(VERW_Project!$G27="Nee","n.v.t.",IF(AND(ISNUMBER(F82),ISNUMBER(E82)),IF(E82&gt;0,F82/(E82/100),"n.b."),"n.b.")))</f>
        <v/>
      </c>
      <c r="H82" s="81" t="str">
        <f>IF(VERW_Project!$A27="","",IF(VERW_Project!$G27="Nee","n.v.t.",VERW_Project!$AW27))</f>
        <v/>
      </c>
      <c r="I82" s="81" t="str">
        <f>IF(VERW_Project!$A27="","",IF(VERW_Project!$G27="Nee","n.v.t.",VERW_Project!$BU27))</f>
        <v/>
      </c>
      <c r="J82" s="81" t="str">
        <f>IF(VERW_Project!$A27="","",IF(VERW_Project!$G27="Nee","n.v.t.",VERW_Project!$BW27))</f>
        <v/>
      </c>
      <c r="K82" s="81" t="str">
        <f>IF(VERW_Project!$A27="","",IF(VERW_Project!$G27="Nee","n.v.t.",VERW_Project!$BX27))</f>
        <v/>
      </c>
      <c r="L82" s="81" t="str">
        <f>IF(VERW_Project!$A27="","",IF(VERW_Project!$G27="Nee","n.v.t.",VERW_Project!$CC27))</f>
        <v/>
      </c>
      <c r="M82" s="81" t="str">
        <f>IF(VERW_Project!$A27="","",IF(VERW_Project!$G27="Nee","n.v.t.",VERW_Project!$BC27))</f>
        <v/>
      </c>
      <c r="N82" s="81" t="str">
        <f>IF(VERW_Project!$A27="","",IF(VERW_Project!$G27="Nee","n.v.t.",VERW_Project!$BD27))</f>
        <v/>
      </c>
      <c r="O82" s="83" t="str">
        <f>IF(VERW_Project!$A27="","",IF(AND(ISNUMBER(F82),ISNUMBER(M82)),IF(F82&gt;0,M82/F82,""),""))</f>
        <v/>
      </c>
      <c r="P82" s="81" t="str">
        <f>IF(VERW_Project!$A27="","",IF(VERW_Project!$G27="Nee","n.v.t.",IF(COUNTIFS(L_Actief,1,L_WBS,VERW_Project!$A27,L_Doeljaar,Sel_Doeljaar,L_Versiejaar,P_VJ,L_Versie,"Budget",L_Kengetal,"Woningverkopen FY")=0,"n.b.",SUMIFS(L_Waarde,L_Actief,1,L_WBS,VERW_Project!$A27,L_Doeljaar,Sel_Doeljaar,L_Versiejaar,P_VJ,L_Versie,"Budget",L_Kengetal,"Woningverkopen FY"))))</f>
        <v/>
      </c>
      <c r="Q82" s="81" t="str">
        <f>IF(VERW_Project!$A27="","",IF(AND(ISNUMBER(P82),Sel_Doeljaar=P_RJ,ISNUMBER(J82)),J82-P82,IF(AND(ISNUMBER(P82),Sel_Doeljaar=P_RJ+1,ISNUMBER(K82)),K82-P82,"n.b.")))</f>
        <v/>
      </c>
    </row>
    <row r="83">
      <c r="B83" s="80" t="str">
        <f>IF(VERW_Project!$A28="","",VERW_Project!$C28)</f>
        <v/>
      </c>
      <c r="C83" s="80" t="str">
        <f>IF(VERW_Project!$A28="","",VERW_Project!$D28)</f>
        <v/>
      </c>
      <c r="D83" s="80" t="str">
        <f>IF(VERW_Project!$A28="","",VERW_Project!$E28)</f>
        <v/>
      </c>
      <c r="E83" s="81" t="str">
        <f>IF(VERW_Project!$A28="","",VERW_Project!$F28)</f>
        <v/>
      </c>
      <c r="F83" s="81" t="str">
        <f>IF(VERW_Project!$A28="","",IF(VERW_Project!$G28="Nee","n.v.t.",VERW_Project!$AT28))</f>
        <v/>
      </c>
      <c r="G83" s="82" t="str">
        <f>IF(VERW_Project!$A28="","",IF(VERW_Project!$G28="Nee","n.v.t.",IF(AND(ISNUMBER(F83),ISNUMBER(E83)),IF(E83&gt;0,F83/(E83/100),"n.b."),"n.b.")))</f>
        <v/>
      </c>
      <c r="H83" s="81" t="str">
        <f>IF(VERW_Project!$A28="","",IF(VERW_Project!$G28="Nee","n.v.t.",VERW_Project!$AW28))</f>
        <v/>
      </c>
      <c r="I83" s="81" t="str">
        <f>IF(VERW_Project!$A28="","",IF(VERW_Project!$G28="Nee","n.v.t.",VERW_Project!$BU28))</f>
        <v/>
      </c>
      <c r="J83" s="81" t="str">
        <f>IF(VERW_Project!$A28="","",IF(VERW_Project!$G28="Nee","n.v.t.",VERW_Project!$BW28))</f>
        <v/>
      </c>
      <c r="K83" s="81" t="str">
        <f>IF(VERW_Project!$A28="","",IF(VERW_Project!$G28="Nee","n.v.t.",VERW_Project!$BX28))</f>
        <v/>
      </c>
      <c r="L83" s="81" t="str">
        <f>IF(VERW_Project!$A28="","",IF(VERW_Project!$G28="Nee","n.v.t.",VERW_Project!$CC28))</f>
        <v/>
      </c>
      <c r="M83" s="81" t="str">
        <f>IF(VERW_Project!$A28="","",IF(VERW_Project!$G28="Nee","n.v.t.",VERW_Project!$BC28))</f>
        <v/>
      </c>
      <c r="N83" s="81" t="str">
        <f>IF(VERW_Project!$A28="","",IF(VERW_Project!$G28="Nee","n.v.t.",VERW_Project!$BD28))</f>
        <v/>
      </c>
      <c r="O83" s="83" t="str">
        <f>IF(VERW_Project!$A28="","",IF(AND(ISNUMBER(F83),ISNUMBER(M83)),IF(F83&gt;0,M83/F83,""),""))</f>
        <v/>
      </c>
      <c r="P83" s="81" t="str">
        <f>IF(VERW_Project!$A28="","",IF(VERW_Project!$G28="Nee","n.v.t.",IF(COUNTIFS(L_Actief,1,L_WBS,VERW_Project!$A28,L_Doeljaar,Sel_Doeljaar,L_Versiejaar,P_VJ,L_Versie,"Budget",L_Kengetal,"Woningverkopen FY")=0,"n.b.",SUMIFS(L_Waarde,L_Actief,1,L_WBS,VERW_Project!$A28,L_Doeljaar,Sel_Doeljaar,L_Versiejaar,P_VJ,L_Versie,"Budget",L_Kengetal,"Woningverkopen FY"))))</f>
        <v/>
      </c>
      <c r="Q83" s="81" t="str">
        <f>IF(VERW_Project!$A28="","",IF(AND(ISNUMBER(P83),Sel_Doeljaar=P_RJ,ISNUMBER(J83)),J83-P83,IF(AND(ISNUMBER(P83),Sel_Doeljaar=P_RJ+1,ISNUMBER(K83)),K83-P83,"n.b.")))</f>
        <v/>
      </c>
    </row>
    <row r="84">
      <c r="B84" s="80" t="str">
        <f>IF(VERW_Project!$A29="","",VERW_Project!$C29)</f>
        <v/>
      </c>
      <c r="C84" s="80" t="str">
        <f>IF(VERW_Project!$A29="","",VERW_Project!$D29)</f>
        <v/>
      </c>
      <c r="D84" s="80" t="str">
        <f>IF(VERW_Project!$A29="","",VERW_Project!$E29)</f>
        <v/>
      </c>
      <c r="E84" s="81" t="str">
        <f>IF(VERW_Project!$A29="","",VERW_Project!$F29)</f>
        <v/>
      </c>
      <c r="F84" s="81" t="str">
        <f>IF(VERW_Project!$A29="","",IF(VERW_Project!$G29="Nee","n.v.t.",VERW_Project!$AT29))</f>
        <v/>
      </c>
      <c r="G84" s="82" t="str">
        <f>IF(VERW_Project!$A29="","",IF(VERW_Project!$G29="Nee","n.v.t.",IF(AND(ISNUMBER(F84),ISNUMBER(E84)),IF(E84&gt;0,F84/(E84/100),"n.b."),"n.b.")))</f>
        <v/>
      </c>
      <c r="H84" s="81" t="str">
        <f>IF(VERW_Project!$A29="","",IF(VERW_Project!$G29="Nee","n.v.t.",VERW_Project!$AW29))</f>
        <v/>
      </c>
      <c r="I84" s="81" t="str">
        <f>IF(VERW_Project!$A29="","",IF(VERW_Project!$G29="Nee","n.v.t.",VERW_Project!$BU29))</f>
        <v/>
      </c>
      <c r="J84" s="81" t="str">
        <f>IF(VERW_Project!$A29="","",IF(VERW_Project!$G29="Nee","n.v.t.",VERW_Project!$BW29))</f>
        <v/>
      </c>
      <c r="K84" s="81" t="str">
        <f>IF(VERW_Project!$A29="","",IF(VERW_Project!$G29="Nee","n.v.t.",VERW_Project!$BX29))</f>
        <v/>
      </c>
      <c r="L84" s="81" t="str">
        <f>IF(VERW_Project!$A29="","",IF(VERW_Project!$G29="Nee","n.v.t.",VERW_Project!$CC29))</f>
        <v/>
      </c>
      <c r="M84" s="81" t="str">
        <f>IF(VERW_Project!$A29="","",IF(VERW_Project!$G29="Nee","n.v.t.",VERW_Project!$BC29))</f>
        <v/>
      </c>
      <c r="N84" s="81" t="str">
        <f>IF(VERW_Project!$A29="","",IF(VERW_Project!$G29="Nee","n.v.t.",VERW_Project!$BD29))</f>
        <v/>
      </c>
      <c r="O84" s="83" t="str">
        <f>IF(VERW_Project!$A29="","",IF(AND(ISNUMBER(F84),ISNUMBER(M84)),IF(F84&gt;0,M84/F84,""),""))</f>
        <v/>
      </c>
      <c r="P84" s="81" t="str">
        <f>IF(VERW_Project!$A29="","",IF(VERW_Project!$G29="Nee","n.v.t.",IF(COUNTIFS(L_Actief,1,L_WBS,VERW_Project!$A29,L_Doeljaar,Sel_Doeljaar,L_Versiejaar,P_VJ,L_Versie,"Budget",L_Kengetal,"Woningverkopen FY")=0,"n.b.",SUMIFS(L_Waarde,L_Actief,1,L_WBS,VERW_Project!$A29,L_Doeljaar,Sel_Doeljaar,L_Versiejaar,P_VJ,L_Versie,"Budget",L_Kengetal,"Woningverkopen FY"))))</f>
        <v/>
      </c>
      <c r="Q84" s="81" t="str">
        <f>IF(VERW_Project!$A29="","",IF(AND(ISNUMBER(P84),Sel_Doeljaar=P_RJ,ISNUMBER(J84)),J84-P84,IF(AND(ISNUMBER(P84),Sel_Doeljaar=P_RJ+1,ISNUMBER(K84)),K84-P84,"n.b.")))</f>
        <v/>
      </c>
    </row>
    <row r="85">
      <c r="B85" s="80" t="str">
        <f>IF(VERW_Project!$A30="","",VERW_Project!$C30)</f>
        <v/>
      </c>
      <c r="C85" s="80" t="str">
        <f>IF(VERW_Project!$A30="","",VERW_Project!$D30)</f>
        <v/>
      </c>
      <c r="D85" s="80" t="str">
        <f>IF(VERW_Project!$A30="","",VERW_Project!$E30)</f>
        <v/>
      </c>
      <c r="E85" s="81" t="str">
        <f>IF(VERW_Project!$A30="","",VERW_Project!$F30)</f>
        <v/>
      </c>
      <c r="F85" s="81" t="str">
        <f>IF(VERW_Project!$A30="","",IF(VERW_Project!$G30="Nee","n.v.t.",VERW_Project!$AT30))</f>
        <v/>
      </c>
      <c r="G85" s="82" t="str">
        <f>IF(VERW_Project!$A30="","",IF(VERW_Project!$G30="Nee","n.v.t.",IF(AND(ISNUMBER(F85),ISNUMBER(E85)),IF(E85&gt;0,F85/(E85/100),"n.b."),"n.b.")))</f>
        <v/>
      </c>
      <c r="H85" s="81" t="str">
        <f>IF(VERW_Project!$A30="","",IF(VERW_Project!$G30="Nee","n.v.t.",VERW_Project!$AW30))</f>
        <v/>
      </c>
      <c r="I85" s="81" t="str">
        <f>IF(VERW_Project!$A30="","",IF(VERW_Project!$G30="Nee","n.v.t.",VERW_Project!$BU30))</f>
        <v/>
      </c>
      <c r="J85" s="81" t="str">
        <f>IF(VERW_Project!$A30="","",IF(VERW_Project!$G30="Nee","n.v.t.",VERW_Project!$BW30))</f>
        <v/>
      </c>
      <c r="K85" s="81" t="str">
        <f>IF(VERW_Project!$A30="","",IF(VERW_Project!$G30="Nee","n.v.t.",VERW_Project!$BX30))</f>
        <v/>
      </c>
      <c r="L85" s="81" t="str">
        <f>IF(VERW_Project!$A30="","",IF(VERW_Project!$G30="Nee","n.v.t.",VERW_Project!$CC30))</f>
        <v/>
      </c>
      <c r="M85" s="81" t="str">
        <f>IF(VERW_Project!$A30="","",IF(VERW_Project!$G30="Nee","n.v.t.",VERW_Project!$BC30))</f>
        <v/>
      </c>
      <c r="N85" s="81" t="str">
        <f>IF(VERW_Project!$A30="","",IF(VERW_Project!$G30="Nee","n.v.t.",VERW_Project!$BD30))</f>
        <v/>
      </c>
      <c r="O85" s="83" t="str">
        <f>IF(VERW_Project!$A30="","",IF(AND(ISNUMBER(F85),ISNUMBER(M85)),IF(F85&gt;0,M85/F85,""),""))</f>
        <v/>
      </c>
      <c r="P85" s="81" t="str">
        <f>IF(VERW_Project!$A30="","",IF(VERW_Project!$G30="Nee","n.v.t.",IF(COUNTIFS(L_Actief,1,L_WBS,VERW_Project!$A30,L_Doeljaar,Sel_Doeljaar,L_Versiejaar,P_VJ,L_Versie,"Budget",L_Kengetal,"Woningverkopen FY")=0,"n.b.",SUMIFS(L_Waarde,L_Actief,1,L_WBS,VERW_Project!$A30,L_Doeljaar,Sel_Doeljaar,L_Versiejaar,P_VJ,L_Versie,"Budget",L_Kengetal,"Woningverkopen FY"))))</f>
        <v/>
      </c>
      <c r="Q85" s="81" t="str">
        <f>IF(VERW_Project!$A30="","",IF(AND(ISNUMBER(P85),Sel_Doeljaar=P_RJ,ISNUMBER(J85)),J85-P85,IF(AND(ISNUMBER(P85),Sel_Doeljaar=P_RJ+1,ISNUMBER(K85)),K85-P85,"n.b.")))</f>
        <v/>
      </c>
    </row>
    <row r="86">
      <c r="B86" s="80" t="str">
        <f>IF(VERW_Project!$A31="","",VERW_Project!$C31)</f>
        <v/>
      </c>
      <c r="C86" s="80" t="str">
        <f>IF(VERW_Project!$A31="","",VERW_Project!$D31)</f>
        <v/>
      </c>
      <c r="D86" s="80" t="str">
        <f>IF(VERW_Project!$A31="","",VERW_Project!$E31)</f>
        <v/>
      </c>
      <c r="E86" s="81" t="str">
        <f>IF(VERW_Project!$A31="","",VERW_Project!$F31)</f>
        <v/>
      </c>
      <c r="F86" s="81" t="str">
        <f>IF(VERW_Project!$A31="","",IF(VERW_Project!$G31="Nee","n.v.t.",VERW_Project!$AT31))</f>
        <v/>
      </c>
      <c r="G86" s="82" t="str">
        <f>IF(VERW_Project!$A31="","",IF(VERW_Project!$G31="Nee","n.v.t.",IF(AND(ISNUMBER(F86),ISNUMBER(E86)),IF(E86&gt;0,F86/(E86/100),"n.b."),"n.b.")))</f>
        <v/>
      </c>
      <c r="H86" s="81" t="str">
        <f>IF(VERW_Project!$A31="","",IF(VERW_Project!$G31="Nee","n.v.t.",VERW_Project!$AW31))</f>
        <v/>
      </c>
      <c r="I86" s="81" t="str">
        <f>IF(VERW_Project!$A31="","",IF(VERW_Project!$G31="Nee","n.v.t.",VERW_Project!$BU31))</f>
        <v/>
      </c>
      <c r="J86" s="81" t="str">
        <f>IF(VERW_Project!$A31="","",IF(VERW_Project!$G31="Nee","n.v.t.",VERW_Project!$BW31))</f>
        <v/>
      </c>
      <c r="K86" s="81" t="str">
        <f>IF(VERW_Project!$A31="","",IF(VERW_Project!$G31="Nee","n.v.t.",VERW_Project!$BX31))</f>
        <v/>
      </c>
      <c r="L86" s="81" t="str">
        <f>IF(VERW_Project!$A31="","",IF(VERW_Project!$G31="Nee","n.v.t.",VERW_Project!$CC31))</f>
        <v/>
      </c>
      <c r="M86" s="81" t="str">
        <f>IF(VERW_Project!$A31="","",IF(VERW_Project!$G31="Nee","n.v.t.",VERW_Project!$BC31))</f>
        <v/>
      </c>
      <c r="N86" s="81" t="str">
        <f>IF(VERW_Project!$A31="","",IF(VERW_Project!$G31="Nee","n.v.t.",VERW_Project!$BD31))</f>
        <v/>
      </c>
      <c r="O86" s="83" t="str">
        <f>IF(VERW_Project!$A31="","",IF(AND(ISNUMBER(F86),ISNUMBER(M86)),IF(F86&gt;0,M86/F86,""),""))</f>
        <v/>
      </c>
      <c r="P86" s="81" t="str">
        <f>IF(VERW_Project!$A31="","",IF(VERW_Project!$G31="Nee","n.v.t.",IF(COUNTIFS(L_Actief,1,L_WBS,VERW_Project!$A31,L_Doeljaar,Sel_Doeljaar,L_Versiejaar,P_VJ,L_Versie,"Budget",L_Kengetal,"Woningverkopen FY")=0,"n.b.",SUMIFS(L_Waarde,L_Actief,1,L_WBS,VERW_Project!$A31,L_Doeljaar,Sel_Doeljaar,L_Versiejaar,P_VJ,L_Versie,"Budget",L_Kengetal,"Woningverkopen FY"))))</f>
        <v/>
      </c>
      <c r="Q86" s="81" t="str">
        <f>IF(VERW_Project!$A31="","",IF(AND(ISNUMBER(P86),Sel_Doeljaar=P_RJ,ISNUMBER(J86)),J86-P86,IF(AND(ISNUMBER(P86),Sel_Doeljaar=P_RJ+1,ISNUMBER(K86)),K86-P86,"n.b.")))</f>
        <v/>
      </c>
    </row>
    <row r="87">
      <c r="B87" s="80" t="str">
        <f>IF(VERW_Project!$A32="","",VERW_Project!$C32)</f>
        <v/>
      </c>
      <c r="C87" s="80" t="str">
        <f>IF(VERW_Project!$A32="","",VERW_Project!$D32)</f>
        <v/>
      </c>
      <c r="D87" s="80" t="str">
        <f>IF(VERW_Project!$A32="","",VERW_Project!$E32)</f>
        <v/>
      </c>
      <c r="E87" s="81" t="str">
        <f>IF(VERW_Project!$A32="","",VERW_Project!$F32)</f>
        <v/>
      </c>
      <c r="F87" s="81" t="str">
        <f>IF(VERW_Project!$A32="","",IF(VERW_Project!$G32="Nee","n.v.t.",VERW_Project!$AT32))</f>
        <v/>
      </c>
      <c r="G87" s="82" t="str">
        <f>IF(VERW_Project!$A32="","",IF(VERW_Project!$G32="Nee","n.v.t.",IF(AND(ISNUMBER(F87),ISNUMBER(E87)),IF(E87&gt;0,F87/(E87/100),"n.b."),"n.b.")))</f>
        <v/>
      </c>
      <c r="H87" s="81" t="str">
        <f>IF(VERW_Project!$A32="","",IF(VERW_Project!$G32="Nee","n.v.t.",VERW_Project!$AW32))</f>
        <v/>
      </c>
      <c r="I87" s="81" t="str">
        <f>IF(VERW_Project!$A32="","",IF(VERW_Project!$G32="Nee","n.v.t.",VERW_Project!$BU32))</f>
        <v/>
      </c>
      <c r="J87" s="81" t="str">
        <f>IF(VERW_Project!$A32="","",IF(VERW_Project!$G32="Nee","n.v.t.",VERW_Project!$BW32))</f>
        <v/>
      </c>
      <c r="K87" s="81" t="str">
        <f>IF(VERW_Project!$A32="","",IF(VERW_Project!$G32="Nee","n.v.t.",VERW_Project!$BX32))</f>
        <v/>
      </c>
      <c r="L87" s="81" t="str">
        <f>IF(VERW_Project!$A32="","",IF(VERW_Project!$G32="Nee","n.v.t.",VERW_Project!$CC32))</f>
        <v/>
      </c>
      <c r="M87" s="81" t="str">
        <f>IF(VERW_Project!$A32="","",IF(VERW_Project!$G32="Nee","n.v.t.",VERW_Project!$BC32))</f>
        <v/>
      </c>
      <c r="N87" s="81" t="str">
        <f>IF(VERW_Project!$A32="","",IF(VERW_Project!$G32="Nee","n.v.t.",VERW_Project!$BD32))</f>
        <v/>
      </c>
      <c r="O87" s="83" t="str">
        <f>IF(VERW_Project!$A32="","",IF(AND(ISNUMBER(F87),ISNUMBER(M87)),IF(F87&gt;0,M87/F87,""),""))</f>
        <v/>
      </c>
      <c r="P87" s="81" t="str">
        <f>IF(VERW_Project!$A32="","",IF(VERW_Project!$G32="Nee","n.v.t.",IF(COUNTIFS(L_Actief,1,L_WBS,VERW_Project!$A32,L_Doeljaar,Sel_Doeljaar,L_Versiejaar,P_VJ,L_Versie,"Budget",L_Kengetal,"Woningverkopen FY")=0,"n.b.",SUMIFS(L_Waarde,L_Actief,1,L_WBS,VERW_Project!$A32,L_Doeljaar,Sel_Doeljaar,L_Versiejaar,P_VJ,L_Versie,"Budget",L_Kengetal,"Woningverkopen FY"))))</f>
        <v/>
      </c>
      <c r="Q87" s="81" t="str">
        <f>IF(VERW_Project!$A32="","",IF(AND(ISNUMBER(P87),Sel_Doeljaar=P_RJ,ISNUMBER(J87)),J87-P87,IF(AND(ISNUMBER(P87),Sel_Doeljaar=P_RJ+1,ISNUMBER(K87)),K87-P87,"n.b.")))</f>
        <v/>
      </c>
    </row>
    <row r="88">
      <c r="B88" s="80" t="str">
        <f>IF(VERW_Project!$A33="","",VERW_Project!$C33)</f>
        <v/>
      </c>
      <c r="C88" s="80" t="str">
        <f>IF(VERW_Project!$A33="","",VERW_Project!$D33)</f>
        <v/>
      </c>
      <c r="D88" s="80" t="str">
        <f>IF(VERW_Project!$A33="","",VERW_Project!$E33)</f>
        <v/>
      </c>
      <c r="E88" s="81" t="str">
        <f>IF(VERW_Project!$A33="","",VERW_Project!$F33)</f>
        <v/>
      </c>
      <c r="F88" s="81" t="str">
        <f>IF(VERW_Project!$A33="","",IF(VERW_Project!$G33="Nee","n.v.t.",VERW_Project!$AT33))</f>
        <v/>
      </c>
      <c r="G88" s="82" t="str">
        <f>IF(VERW_Project!$A33="","",IF(VERW_Project!$G33="Nee","n.v.t.",IF(AND(ISNUMBER(F88),ISNUMBER(E88)),IF(E88&gt;0,F88/(E88/100),"n.b."),"n.b.")))</f>
        <v/>
      </c>
      <c r="H88" s="81" t="str">
        <f>IF(VERW_Project!$A33="","",IF(VERW_Project!$G33="Nee","n.v.t.",VERW_Project!$AW33))</f>
        <v/>
      </c>
      <c r="I88" s="81" t="str">
        <f>IF(VERW_Project!$A33="","",IF(VERW_Project!$G33="Nee","n.v.t.",VERW_Project!$BU33))</f>
        <v/>
      </c>
      <c r="J88" s="81" t="str">
        <f>IF(VERW_Project!$A33="","",IF(VERW_Project!$G33="Nee","n.v.t.",VERW_Project!$BW33))</f>
        <v/>
      </c>
      <c r="K88" s="81" t="str">
        <f>IF(VERW_Project!$A33="","",IF(VERW_Project!$G33="Nee","n.v.t.",VERW_Project!$BX33))</f>
        <v/>
      </c>
      <c r="L88" s="81" t="str">
        <f>IF(VERW_Project!$A33="","",IF(VERW_Project!$G33="Nee","n.v.t.",VERW_Project!$CC33))</f>
        <v/>
      </c>
      <c r="M88" s="81" t="str">
        <f>IF(VERW_Project!$A33="","",IF(VERW_Project!$G33="Nee","n.v.t.",VERW_Project!$BC33))</f>
        <v/>
      </c>
      <c r="N88" s="81" t="str">
        <f>IF(VERW_Project!$A33="","",IF(VERW_Project!$G33="Nee","n.v.t.",VERW_Project!$BD33))</f>
        <v/>
      </c>
      <c r="O88" s="83" t="str">
        <f>IF(VERW_Project!$A33="","",IF(AND(ISNUMBER(F88),ISNUMBER(M88)),IF(F88&gt;0,M88/F88,""),""))</f>
        <v/>
      </c>
      <c r="P88" s="81" t="str">
        <f>IF(VERW_Project!$A33="","",IF(VERW_Project!$G33="Nee","n.v.t.",IF(COUNTIFS(L_Actief,1,L_WBS,VERW_Project!$A33,L_Doeljaar,Sel_Doeljaar,L_Versiejaar,P_VJ,L_Versie,"Budget",L_Kengetal,"Woningverkopen FY")=0,"n.b.",SUMIFS(L_Waarde,L_Actief,1,L_WBS,VERW_Project!$A33,L_Doeljaar,Sel_Doeljaar,L_Versiejaar,P_VJ,L_Versie,"Budget",L_Kengetal,"Woningverkopen FY"))))</f>
        <v/>
      </c>
      <c r="Q88" s="81" t="str">
        <f>IF(VERW_Project!$A33="","",IF(AND(ISNUMBER(P88),Sel_Doeljaar=P_RJ,ISNUMBER(J88)),J88-P88,IF(AND(ISNUMBER(P88),Sel_Doeljaar=P_RJ+1,ISNUMBER(K88)),K88-P88,"n.b.")))</f>
        <v/>
      </c>
    </row>
    <row r="89">
      <c r="B89" s="80" t="str">
        <f>IF(VERW_Project!$A34="","",VERW_Project!$C34)</f>
        <v/>
      </c>
      <c r="C89" s="80" t="str">
        <f>IF(VERW_Project!$A34="","",VERW_Project!$D34)</f>
        <v/>
      </c>
      <c r="D89" s="80" t="str">
        <f>IF(VERW_Project!$A34="","",VERW_Project!$E34)</f>
        <v/>
      </c>
      <c r="E89" s="81" t="str">
        <f>IF(VERW_Project!$A34="","",VERW_Project!$F34)</f>
        <v/>
      </c>
      <c r="F89" s="81" t="str">
        <f>IF(VERW_Project!$A34="","",IF(VERW_Project!$G34="Nee","n.v.t.",VERW_Project!$AT34))</f>
        <v/>
      </c>
      <c r="G89" s="82" t="str">
        <f>IF(VERW_Project!$A34="","",IF(VERW_Project!$G34="Nee","n.v.t.",IF(AND(ISNUMBER(F89),ISNUMBER(E89)),IF(E89&gt;0,F89/(E89/100),"n.b."),"n.b.")))</f>
        <v/>
      </c>
      <c r="H89" s="81" t="str">
        <f>IF(VERW_Project!$A34="","",IF(VERW_Project!$G34="Nee","n.v.t.",VERW_Project!$AW34))</f>
        <v/>
      </c>
      <c r="I89" s="81" t="str">
        <f>IF(VERW_Project!$A34="","",IF(VERW_Project!$G34="Nee","n.v.t.",VERW_Project!$BU34))</f>
        <v/>
      </c>
      <c r="J89" s="81" t="str">
        <f>IF(VERW_Project!$A34="","",IF(VERW_Project!$G34="Nee","n.v.t.",VERW_Project!$BW34))</f>
        <v/>
      </c>
      <c r="K89" s="81" t="str">
        <f>IF(VERW_Project!$A34="","",IF(VERW_Project!$G34="Nee","n.v.t.",VERW_Project!$BX34))</f>
        <v/>
      </c>
      <c r="L89" s="81" t="str">
        <f>IF(VERW_Project!$A34="","",IF(VERW_Project!$G34="Nee","n.v.t.",VERW_Project!$CC34))</f>
        <v/>
      </c>
      <c r="M89" s="81" t="str">
        <f>IF(VERW_Project!$A34="","",IF(VERW_Project!$G34="Nee","n.v.t.",VERW_Project!$BC34))</f>
        <v/>
      </c>
      <c r="N89" s="81" t="str">
        <f>IF(VERW_Project!$A34="","",IF(VERW_Project!$G34="Nee","n.v.t.",VERW_Project!$BD34))</f>
        <v/>
      </c>
      <c r="O89" s="83" t="str">
        <f>IF(VERW_Project!$A34="","",IF(AND(ISNUMBER(F89),ISNUMBER(M89)),IF(F89&gt;0,M89/F89,""),""))</f>
        <v/>
      </c>
      <c r="P89" s="81" t="str">
        <f>IF(VERW_Project!$A34="","",IF(VERW_Project!$G34="Nee","n.v.t.",IF(COUNTIFS(L_Actief,1,L_WBS,VERW_Project!$A34,L_Doeljaar,Sel_Doeljaar,L_Versiejaar,P_VJ,L_Versie,"Budget",L_Kengetal,"Woningverkopen FY")=0,"n.b.",SUMIFS(L_Waarde,L_Actief,1,L_WBS,VERW_Project!$A34,L_Doeljaar,Sel_Doeljaar,L_Versiejaar,P_VJ,L_Versie,"Budget",L_Kengetal,"Woningverkopen FY"))))</f>
        <v/>
      </c>
      <c r="Q89" s="81" t="str">
        <f>IF(VERW_Project!$A34="","",IF(AND(ISNUMBER(P89),Sel_Doeljaar=P_RJ,ISNUMBER(J89)),J89-P89,IF(AND(ISNUMBER(P89),Sel_Doeljaar=P_RJ+1,ISNUMBER(K89)),K89-P89,"n.b.")))</f>
        <v/>
      </c>
    </row>
    <row r="90">
      <c r="B90" s="80" t="str">
        <f>IF(VERW_Project!$A35="","",VERW_Project!$C35)</f>
        <v/>
      </c>
      <c r="C90" s="80" t="str">
        <f>IF(VERW_Project!$A35="","",VERW_Project!$D35)</f>
        <v/>
      </c>
      <c r="D90" s="80" t="str">
        <f>IF(VERW_Project!$A35="","",VERW_Project!$E35)</f>
        <v/>
      </c>
      <c r="E90" s="81" t="str">
        <f>IF(VERW_Project!$A35="","",VERW_Project!$F35)</f>
        <v/>
      </c>
      <c r="F90" s="81" t="str">
        <f>IF(VERW_Project!$A35="","",IF(VERW_Project!$G35="Nee","n.v.t.",VERW_Project!$AT35))</f>
        <v/>
      </c>
      <c r="G90" s="82" t="str">
        <f>IF(VERW_Project!$A35="","",IF(VERW_Project!$G35="Nee","n.v.t.",IF(AND(ISNUMBER(F90),ISNUMBER(E90)),IF(E90&gt;0,F90/(E90/100),"n.b."),"n.b.")))</f>
        <v/>
      </c>
      <c r="H90" s="81" t="str">
        <f>IF(VERW_Project!$A35="","",IF(VERW_Project!$G35="Nee","n.v.t.",VERW_Project!$AW35))</f>
        <v/>
      </c>
      <c r="I90" s="81" t="str">
        <f>IF(VERW_Project!$A35="","",IF(VERW_Project!$G35="Nee","n.v.t.",VERW_Project!$BU35))</f>
        <v/>
      </c>
      <c r="J90" s="81" t="str">
        <f>IF(VERW_Project!$A35="","",IF(VERW_Project!$G35="Nee","n.v.t.",VERW_Project!$BW35))</f>
        <v/>
      </c>
      <c r="K90" s="81" t="str">
        <f>IF(VERW_Project!$A35="","",IF(VERW_Project!$G35="Nee","n.v.t.",VERW_Project!$BX35))</f>
        <v/>
      </c>
      <c r="L90" s="81" t="str">
        <f>IF(VERW_Project!$A35="","",IF(VERW_Project!$G35="Nee","n.v.t.",VERW_Project!$CC35))</f>
        <v/>
      </c>
      <c r="M90" s="81" t="str">
        <f>IF(VERW_Project!$A35="","",IF(VERW_Project!$G35="Nee","n.v.t.",VERW_Project!$BC35))</f>
        <v/>
      </c>
      <c r="N90" s="81" t="str">
        <f>IF(VERW_Project!$A35="","",IF(VERW_Project!$G35="Nee","n.v.t.",VERW_Project!$BD35))</f>
        <v/>
      </c>
      <c r="O90" s="83" t="str">
        <f>IF(VERW_Project!$A35="","",IF(AND(ISNUMBER(F90),ISNUMBER(M90)),IF(F90&gt;0,M90/F90,""),""))</f>
        <v/>
      </c>
      <c r="P90" s="81" t="str">
        <f>IF(VERW_Project!$A35="","",IF(VERW_Project!$G35="Nee","n.v.t.",IF(COUNTIFS(L_Actief,1,L_WBS,VERW_Project!$A35,L_Doeljaar,Sel_Doeljaar,L_Versiejaar,P_VJ,L_Versie,"Budget",L_Kengetal,"Woningverkopen FY")=0,"n.b.",SUMIFS(L_Waarde,L_Actief,1,L_WBS,VERW_Project!$A35,L_Doeljaar,Sel_Doeljaar,L_Versiejaar,P_VJ,L_Versie,"Budget",L_Kengetal,"Woningverkopen FY"))))</f>
        <v/>
      </c>
      <c r="Q90" s="81" t="str">
        <f>IF(VERW_Project!$A35="","",IF(AND(ISNUMBER(P90),Sel_Doeljaar=P_RJ,ISNUMBER(J90)),J90-P90,IF(AND(ISNUMBER(P90),Sel_Doeljaar=P_RJ+1,ISNUMBER(K90)),K90-P90,"n.b.")))</f>
        <v/>
      </c>
    </row>
    <row r="91">
      <c r="B91" s="80" t="str">
        <f>IF(VERW_Project!$A36="","",VERW_Project!$C36)</f>
        <v/>
      </c>
      <c r="C91" s="80" t="str">
        <f>IF(VERW_Project!$A36="","",VERW_Project!$D36)</f>
        <v/>
      </c>
      <c r="D91" s="80" t="str">
        <f>IF(VERW_Project!$A36="","",VERW_Project!$E36)</f>
        <v/>
      </c>
      <c r="E91" s="81" t="str">
        <f>IF(VERW_Project!$A36="","",VERW_Project!$F36)</f>
        <v/>
      </c>
      <c r="F91" s="81" t="str">
        <f>IF(VERW_Project!$A36="","",IF(VERW_Project!$G36="Nee","n.v.t.",VERW_Project!$AT36))</f>
        <v/>
      </c>
      <c r="G91" s="82" t="str">
        <f>IF(VERW_Project!$A36="","",IF(VERW_Project!$G36="Nee","n.v.t.",IF(AND(ISNUMBER(F91),ISNUMBER(E91)),IF(E91&gt;0,F91/(E91/100),"n.b."),"n.b.")))</f>
        <v/>
      </c>
      <c r="H91" s="81" t="str">
        <f>IF(VERW_Project!$A36="","",IF(VERW_Project!$G36="Nee","n.v.t.",VERW_Project!$AW36))</f>
        <v/>
      </c>
      <c r="I91" s="81" t="str">
        <f>IF(VERW_Project!$A36="","",IF(VERW_Project!$G36="Nee","n.v.t.",VERW_Project!$BU36))</f>
        <v/>
      </c>
      <c r="J91" s="81" t="str">
        <f>IF(VERW_Project!$A36="","",IF(VERW_Project!$G36="Nee","n.v.t.",VERW_Project!$BW36))</f>
        <v/>
      </c>
      <c r="K91" s="81" t="str">
        <f>IF(VERW_Project!$A36="","",IF(VERW_Project!$G36="Nee","n.v.t.",VERW_Project!$BX36))</f>
        <v/>
      </c>
      <c r="L91" s="81" t="str">
        <f>IF(VERW_Project!$A36="","",IF(VERW_Project!$G36="Nee","n.v.t.",VERW_Project!$CC36))</f>
        <v/>
      </c>
      <c r="M91" s="81" t="str">
        <f>IF(VERW_Project!$A36="","",IF(VERW_Project!$G36="Nee","n.v.t.",VERW_Project!$BC36))</f>
        <v/>
      </c>
      <c r="N91" s="81" t="str">
        <f>IF(VERW_Project!$A36="","",IF(VERW_Project!$G36="Nee","n.v.t.",VERW_Project!$BD36))</f>
        <v/>
      </c>
      <c r="O91" s="83" t="str">
        <f>IF(VERW_Project!$A36="","",IF(AND(ISNUMBER(F91),ISNUMBER(M91)),IF(F91&gt;0,M91/F91,""),""))</f>
        <v/>
      </c>
      <c r="P91" s="81" t="str">
        <f>IF(VERW_Project!$A36="","",IF(VERW_Project!$G36="Nee","n.v.t.",IF(COUNTIFS(L_Actief,1,L_WBS,VERW_Project!$A36,L_Doeljaar,Sel_Doeljaar,L_Versiejaar,P_VJ,L_Versie,"Budget",L_Kengetal,"Woningverkopen FY")=0,"n.b.",SUMIFS(L_Waarde,L_Actief,1,L_WBS,VERW_Project!$A36,L_Doeljaar,Sel_Doeljaar,L_Versiejaar,P_VJ,L_Versie,"Budget",L_Kengetal,"Woningverkopen FY"))))</f>
        <v/>
      </c>
      <c r="Q91" s="81" t="str">
        <f>IF(VERW_Project!$A36="","",IF(AND(ISNUMBER(P91),Sel_Doeljaar=P_RJ,ISNUMBER(J91)),J91-P91,IF(AND(ISNUMBER(P91),Sel_Doeljaar=P_RJ+1,ISNUMBER(K91)),K91-P91,"n.b.")))</f>
        <v/>
      </c>
    </row>
    <row r="92">
      <c r="B92" s="80" t="str">
        <f>IF(VERW_Project!$A37="","",VERW_Project!$C37)</f>
        <v/>
      </c>
      <c r="C92" s="80" t="str">
        <f>IF(VERW_Project!$A37="","",VERW_Project!$D37)</f>
        <v/>
      </c>
      <c r="D92" s="80" t="str">
        <f>IF(VERW_Project!$A37="","",VERW_Project!$E37)</f>
        <v/>
      </c>
      <c r="E92" s="81" t="str">
        <f>IF(VERW_Project!$A37="","",VERW_Project!$F37)</f>
        <v/>
      </c>
      <c r="F92" s="81" t="str">
        <f>IF(VERW_Project!$A37="","",IF(VERW_Project!$G37="Nee","n.v.t.",VERW_Project!$AT37))</f>
        <v/>
      </c>
      <c r="G92" s="82" t="str">
        <f>IF(VERW_Project!$A37="","",IF(VERW_Project!$G37="Nee","n.v.t.",IF(AND(ISNUMBER(F92),ISNUMBER(E92)),IF(E92&gt;0,F92/(E92/100),"n.b."),"n.b.")))</f>
        <v/>
      </c>
      <c r="H92" s="81" t="str">
        <f>IF(VERW_Project!$A37="","",IF(VERW_Project!$G37="Nee","n.v.t.",VERW_Project!$AW37))</f>
        <v/>
      </c>
      <c r="I92" s="81" t="str">
        <f>IF(VERW_Project!$A37="","",IF(VERW_Project!$G37="Nee","n.v.t.",VERW_Project!$BU37))</f>
        <v/>
      </c>
      <c r="J92" s="81" t="str">
        <f>IF(VERW_Project!$A37="","",IF(VERW_Project!$G37="Nee","n.v.t.",VERW_Project!$BW37))</f>
        <v/>
      </c>
      <c r="K92" s="81" t="str">
        <f>IF(VERW_Project!$A37="","",IF(VERW_Project!$G37="Nee","n.v.t.",VERW_Project!$BX37))</f>
        <v/>
      </c>
      <c r="L92" s="81" t="str">
        <f>IF(VERW_Project!$A37="","",IF(VERW_Project!$G37="Nee","n.v.t.",VERW_Project!$CC37))</f>
        <v/>
      </c>
      <c r="M92" s="81" t="str">
        <f>IF(VERW_Project!$A37="","",IF(VERW_Project!$G37="Nee","n.v.t.",VERW_Project!$BC37))</f>
        <v/>
      </c>
      <c r="N92" s="81" t="str">
        <f>IF(VERW_Project!$A37="","",IF(VERW_Project!$G37="Nee","n.v.t.",VERW_Project!$BD37))</f>
        <v/>
      </c>
      <c r="O92" s="83" t="str">
        <f>IF(VERW_Project!$A37="","",IF(AND(ISNUMBER(F92),ISNUMBER(M92)),IF(F92&gt;0,M92/F92,""),""))</f>
        <v/>
      </c>
      <c r="P92" s="81" t="str">
        <f>IF(VERW_Project!$A37="","",IF(VERW_Project!$G37="Nee","n.v.t.",IF(COUNTIFS(L_Actief,1,L_WBS,VERW_Project!$A37,L_Doeljaar,Sel_Doeljaar,L_Versiejaar,P_VJ,L_Versie,"Budget",L_Kengetal,"Woningverkopen FY")=0,"n.b.",SUMIFS(L_Waarde,L_Actief,1,L_WBS,VERW_Project!$A37,L_Doeljaar,Sel_Doeljaar,L_Versiejaar,P_VJ,L_Versie,"Budget",L_Kengetal,"Woningverkopen FY"))))</f>
        <v/>
      </c>
      <c r="Q92" s="81" t="str">
        <f>IF(VERW_Project!$A37="","",IF(AND(ISNUMBER(P92),Sel_Doeljaar=P_RJ,ISNUMBER(J92)),J92-P92,IF(AND(ISNUMBER(P92),Sel_Doeljaar=P_RJ+1,ISNUMBER(K92)),K92-P92,"n.b.")))</f>
        <v/>
      </c>
    </row>
    <row r="93">
      <c r="B93" s="80" t="str">
        <f>IF(VERW_Project!$A38="","",VERW_Project!$C38)</f>
        <v/>
      </c>
      <c r="C93" s="80" t="str">
        <f>IF(VERW_Project!$A38="","",VERW_Project!$D38)</f>
        <v/>
      </c>
      <c r="D93" s="80" t="str">
        <f>IF(VERW_Project!$A38="","",VERW_Project!$E38)</f>
        <v/>
      </c>
      <c r="E93" s="81" t="str">
        <f>IF(VERW_Project!$A38="","",VERW_Project!$F38)</f>
        <v/>
      </c>
      <c r="F93" s="81" t="str">
        <f>IF(VERW_Project!$A38="","",IF(VERW_Project!$G38="Nee","n.v.t.",VERW_Project!$AT38))</f>
        <v/>
      </c>
      <c r="G93" s="82" t="str">
        <f>IF(VERW_Project!$A38="","",IF(VERW_Project!$G38="Nee","n.v.t.",IF(AND(ISNUMBER(F93),ISNUMBER(E93)),IF(E93&gt;0,F93/(E93/100),"n.b."),"n.b.")))</f>
        <v/>
      </c>
      <c r="H93" s="81" t="str">
        <f>IF(VERW_Project!$A38="","",IF(VERW_Project!$G38="Nee","n.v.t.",VERW_Project!$AW38))</f>
        <v/>
      </c>
      <c r="I93" s="81" t="str">
        <f>IF(VERW_Project!$A38="","",IF(VERW_Project!$G38="Nee","n.v.t.",VERW_Project!$BU38))</f>
        <v/>
      </c>
      <c r="J93" s="81" t="str">
        <f>IF(VERW_Project!$A38="","",IF(VERW_Project!$G38="Nee","n.v.t.",VERW_Project!$BW38))</f>
        <v/>
      </c>
      <c r="K93" s="81" t="str">
        <f>IF(VERW_Project!$A38="","",IF(VERW_Project!$G38="Nee","n.v.t.",VERW_Project!$BX38))</f>
        <v/>
      </c>
      <c r="L93" s="81" t="str">
        <f>IF(VERW_Project!$A38="","",IF(VERW_Project!$G38="Nee","n.v.t.",VERW_Project!$CC38))</f>
        <v/>
      </c>
      <c r="M93" s="81" t="str">
        <f>IF(VERW_Project!$A38="","",IF(VERW_Project!$G38="Nee","n.v.t.",VERW_Project!$BC38))</f>
        <v/>
      </c>
      <c r="N93" s="81" t="str">
        <f>IF(VERW_Project!$A38="","",IF(VERW_Project!$G38="Nee","n.v.t.",VERW_Project!$BD38))</f>
        <v/>
      </c>
      <c r="O93" s="83" t="str">
        <f>IF(VERW_Project!$A38="","",IF(AND(ISNUMBER(F93),ISNUMBER(M93)),IF(F93&gt;0,M93/F93,""),""))</f>
        <v/>
      </c>
      <c r="P93" s="81" t="str">
        <f>IF(VERW_Project!$A38="","",IF(VERW_Project!$G38="Nee","n.v.t.",IF(COUNTIFS(L_Actief,1,L_WBS,VERW_Project!$A38,L_Doeljaar,Sel_Doeljaar,L_Versiejaar,P_VJ,L_Versie,"Budget",L_Kengetal,"Woningverkopen FY")=0,"n.b.",SUMIFS(L_Waarde,L_Actief,1,L_WBS,VERW_Project!$A38,L_Doeljaar,Sel_Doeljaar,L_Versiejaar,P_VJ,L_Versie,"Budget",L_Kengetal,"Woningverkopen FY"))))</f>
        <v/>
      </c>
      <c r="Q93" s="81" t="str">
        <f>IF(VERW_Project!$A38="","",IF(AND(ISNUMBER(P93),Sel_Doeljaar=P_RJ,ISNUMBER(J93)),J93-P93,IF(AND(ISNUMBER(P93),Sel_Doeljaar=P_RJ+1,ISNUMBER(K93)),K93-P93,"n.b.")))</f>
        <v/>
      </c>
    </row>
    <row r="94">
      <c r="B94" s="80" t="str">
        <f>IF(VERW_Project!$A39="","",VERW_Project!$C39)</f>
        <v/>
      </c>
      <c r="C94" s="80" t="str">
        <f>IF(VERW_Project!$A39="","",VERW_Project!$D39)</f>
        <v/>
      </c>
      <c r="D94" s="80" t="str">
        <f>IF(VERW_Project!$A39="","",VERW_Project!$E39)</f>
        <v/>
      </c>
      <c r="E94" s="81" t="str">
        <f>IF(VERW_Project!$A39="","",VERW_Project!$F39)</f>
        <v/>
      </c>
      <c r="F94" s="81" t="str">
        <f>IF(VERW_Project!$A39="","",IF(VERW_Project!$G39="Nee","n.v.t.",VERW_Project!$AT39))</f>
        <v/>
      </c>
      <c r="G94" s="82" t="str">
        <f>IF(VERW_Project!$A39="","",IF(VERW_Project!$G39="Nee","n.v.t.",IF(AND(ISNUMBER(F94),ISNUMBER(E94)),IF(E94&gt;0,F94/(E94/100),"n.b."),"n.b.")))</f>
        <v/>
      </c>
      <c r="H94" s="81" t="str">
        <f>IF(VERW_Project!$A39="","",IF(VERW_Project!$G39="Nee","n.v.t.",VERW_Project!$AW39))</f>
        <v/>
      </c>
      <c r="I94" s="81" t="str">
        <f>IF(VERW_Project!$A39="","",IF(VERW_Project!$G39="Nee","n.v.t.",VERW_Project!$BU39))</f>
        <v/>
      </c>
      <c r="J94" s="81" t="str">
        <f>IF(VERW_Project!$A39="","",IF(VERW_Project!$G39="Nee","n.v.t.",VERW_Project!$BW39))</f>
        <v/>
      </c>
      <c r="K94" s="81" t="str">
        <f>IF(VERW_Project!$A39="","",IF(VERW_Project!$G39="Nee","n.v.t.",VERW_Project!$BX39))</f>
        <v/>
      </c>
      <c r="L94" s="81" t="str">
        <f>IF(VERW_Project!$A39="","",IF(VERW_Project!$G39="Nee","n.v.t.",VERW_Project!$CC39))</f>
        <v/>
      </c>
      <c r="M94" s="81" t="str">
        <f>IF(VERW_Project!$A39="","",IF(VERW_Project!$G39="Nee","n.v.t.",VERW_Project!$BC39))</f>
        <v/>
      </c>
      <c r="N94" s="81" t="str">
        <f>IF(VERW_Project!$A39="","",IF(VERW_Project!$G39="Nee","n.v.t.",VERW_Project!$BD39))</f>
        <v/>
      </c>
      <c r="O94" s="83" t="str">
        <f>IF(VERW_Project!$A39="","",IF(AND(ISNUMBER(F94),ISNUMBER(M94)),IF(F94&gt;0,M94/F94,""),""))</f>
        <v/>
      </c>
      <c r="P94" s="81" t="str">
        <f>IF(VERW_Project!$A39="","",IF(VERW_Project!$G39="Nee","n.v.t.",IF(COUNTIFS(L_Actief,1,L_WBS,VERW_Project!$A39,L_Doeljaar,Sel_Doeljaar,L_Versiejaar,P_VJ,L_Versie,"Budget",L_Kengetal,"Woningverkopen FY")=0,"n.b.",SUMIFS(L_Waarde,L_Actief,1,L_WBS,VERW_Project!$A39,L_Doeljaar,Sel_Doeljaar,L_Versiejaar,P_VJ,L_Versie,"Budget",L_Kengetal,"Woningverkopen FY"))))</f>
        <v/>
      </c>
      <c r="Q94" s="81" t="str">
        <f>IF(VERW_Project!$A39="","",IF(AND(ISNUMBER(P94),Sel_Doeljaar=P_RJ,ISNUMBER(J94)),J94-P94,IF(AND(ISNUMBER(P94),Sel_Doeljaar=P_RJ+1,ISNUMBER(K94)),K94-P94,"n.b.")))</f>
        <v/>
      </c>
    </row>
    <row r="95">
      <c r="B95" s="80" t="str">
        <f>IF(VERW_Project!$A40="","",VERW_Project!$C40)</f>
        <v/>
      </c>
      <c r="C95" s="80" t="str">
        <f>IF(VERW_Project!$A40="","",VERW_Project!$D40)</f>
        <v/>
      </c>
      <c r="D95" s="80" t="str">
        <f>IF(VERW_Project!$A40="","",VERW_Project!$E40)</f>
        <v/>
      </c>
      <c r="E95" s="81" t="str">
        <f>IF(VERW_Project!$A40="","",VERW_Project!$F40)</f>
        <v/>
      </c>
      <c r="F95" s="81" t="str">
        <f>IF(VERW_Project!$A40="","",IF(VERW_Project!$G40="Nee","n.v.t.",VERW_Project!$AT40))</f>
        <v/>
      </c>
      <c r="G95" s="82" t="str">
        <f>IF(VERW_Project!$A40="","",IF(VERW_Project!$G40="Nee","n.v.t.",IF(AND(ISNUMBER(F95),ISNUMBER(E95)),IF(E95&gt;0,F95/(E95/100),"n.b."),"n.b.")))</f>
        <v/>
      </c>
      <c r="H95" s="81" t="str">
        <f>IF(VERW_Project!$A40="","",IF(VERW_Project!$G40="Nee","n.v.t.",VERW_Project!$AW40))</f>
        <v/>
      </c>
      <c r="I95" s="81" t="str">
        <f>IF(VERW_Project!$A40="","",IF(VERW_Project!$G40="Nee","n.v.t.",VERW_Project!$BU40))</f>
        <v/>
      </c>
      <c r="J95" s="81" t="str">
        <f>IF(VERW_Project!$A40="","",IF(VERW_Project!$G40="Nee","n.v.t.",VERW_Project!$BW40))</f>
        <v/>
      </c>
      <c r="K95" s="81" t="str">
        <f>IF(VERW_Project!$A40="","",IF(VERW_Project!$G40="Nee","n.v.t.",VERW_Project!$BX40))</f>
        <v/>
      </c>
      <c r="L95" s="81" t="str">
        <f>IF(VERW_Project!$A40="","",IF(VERW_Project!$G40="Nee","n.v.t.",VERW_Project!$CC40))</f>
        <v/>
      </c>
      <c r="M95" s="81" t="str">
        <f>IF(VERW_Project!$A40="","",IF(VERW_Project!$G40="Nee","n.v.t.",VERW_Project!$BC40))</f>
        <v/>
      </c>
      <c r="N95" s="81" t="str">
        <f>IF(VERW_Project!$A40="","",IF(VERW_Project!$G40="Nee","n.v.t.",VERW_Project!$BD40))</f>
        <v/>
      </c>
      <c r="O95" s="83" t="str">
        <f>IF(VERW_Project!$A40="","",IF(AND(ISNUMBER(F95),ISNUMBER(M95)),IF(F95&gt;0,M95/F95,""),""))</f>
        <v/>
      </c>
      <c r="P95" s="81" t="str">
        <f>IF(VERW_Project!$A40="","",IF(VERW_Project!$G40="Nee","n.v.t.",IF(COUNTIFS(L_Actief,1,L_WBS,VERW_Project!$A40,L_Doeljaar,Sel_Doeljaar,L_Versiejaar,P_VJ,L_Versie,"Budget",L_Kengetal,"Woningverkopen FY")=0,"n.b.",SUMIFS(L_Waarde,L_Actief,1,L_WBS,VERW_Project!$A40,L_Doeljaar,Sel_Doeljaar,L_Versiejaar,P_VJ,L_Versie,"Budget",L_Kengetal,"Woningverkopen FY"))))</f>
        <v/>
      </c>
      <c r="Q95" s="81" t="str">
        <f>IF(VERW_Project!$A40="","",IF(AND(ISNUMBER(P95),Sel_Doeljaar=P_RJ,ISNUMBER(J95)),J95-P95,IF(AND(ISNUMBER(P95),Sel_Doeljaar=P_RJ+1,ISNUMBER(K95)),K95-P95,"n.b.")))</f>
        <v/>
      </c>
    </row>
    <row r="96">
      <c r="B96" s="80" t="str">
        <f>IF(VERW_Project!$A41="","",VERW_Project!$C41)</f>
        <v/>
      </c>
      <c r="C96" s="80" t="str">
        <f>IF(VERW_Project!$A41="","",VERW_Project!$D41)</f>
        <v/>
      </c>
      <c r="D96" s="80" t="str">
        <f>IF(VERW_Project!$A41="","",VERW_Project!$E41)</f>
        <v/>
      </c>
      <c r="E96" s="81" t="str">
        <f>IF(VERW_Project!$A41="","",VERW_Project!$F41)</f>
        <v/>
      </c>
      <c r="F96" s="81" t="str">
        <f>IF(VERW_Project!$A41="","",IF(VERW_Project!$G41="Nee","n.v.t.",VERW_Project!$AT41))</f>
        <v/>
      </c>
      <c r="G96" s="82" t="str">
        <f>IF(VERW_Project!$A41="","",IF(VERW_Project!$G41="Nee","n.v.t.",IF(AND(ISNUMBER(F96),ISNUMBER(E96)),IF(E96&gt;0,F96/(E96/100),"n.b."),"n.b.")))</f>
        <v/>
      </c>
      <c r="H96" s="81" t="str">
        <f>IF(VERW_Project!$A41="","",IF(VERW_Project!$G41="Nee","n.v.t.",VERW_Project!$AW41))</f>
        <v/>
      </c>
      <c r="I96" s="81" t="str">
        <f>IF(VERW_Project!$A41="","",IF(VERW_Project!$G41="Nee","n.v.t.",VERW_Project!$BU41))</f>
        <v/>
      </c>
      <c r="J96" s="81" t="str">
        <f>IF(VERW_Project!$A41="","",IF(VERW_Project!$G41="Nee","n.v.t.",VERW_Project!$BW41))</f>
        <v/>
      </c>
      <c r="K96" s="81" t="str">
        <f>IF(VERW_Project!$A41="","",IF(VERW_Project!$G41="Nee","n.v.t.",VERW_Project!$BX41))</f>
        <v/>
      </c>
      <c r="L96" s="81" t="str">
        <f>IF(VERW_Project!$A41="","",IF(VERW_Project!$G41="Nee","n.v.t.",VERW_Project!$CC41))</f>
        <v/>
      </c>
      <c r="M96" s="81" t="str">
        <f>IF(VERW_Project!$A41="","",IF(VERW_Project!$G41="Nee","n.v.t.",VERW_Project!$BC41))</f>
        <v/>
      </c>
      <c r="N96" s="81" t="str">
        <f>IF(VERW_Project!$A41="","",IF(VERW_Project!$G41="Nee","n.v.t.",VERW_Project!$BD41))</f>
        <v/>
      </c>
      <c r="O96" s="83" t="str">
        <f>IF(VERW_Project!$A41="","",IF(AND(ISNUMBER(F96),ISNUMBER(M96)),IF(F96&gt;0,M96/F96,""),""))</f>
        <v/>
      </c>
      <c r="P96" s="81" t="str">
        <f>IF(VERW_Project!$A41="","",IF(VERW_Project!$G41="Nee","n.v.t.",IF(COUNTIFS(L_Actief,1,L_WBS,VERW_Project!$A41,L_Doeljaar,Sel_Doeljaar,L_Versiejaar,P_VJ,L_Versie,"Budget",L_Kengetal,"Woningverkopen FY")=0,"n.b.",SUMIFS(L_Waarde,L_Actief,1,L_WBS,VERW_Project!$A41,L_Doeljaar,Sel_Doeljaar,L_Versiejaar,P_VJ,L_Versie,"Budget",L_Kengetal,"Woningverkopen FY"))))</f>
        <v/>
      </c>
      <c r="Q96" s="81" t="str">
        <f>IF(VERW_Project!$A41="","",IF(AND(ISNUMBER(P96),Sel_Doeljaar=P_RJ,ISNUMBER(J96)),J96-P96,IF(AND(ISNUMBER(P96),Sel_Doeljaar=P_RJ+1,ISNUMBER(K96)),K96-P96,"n.b.")))</f>
        <v/>
      </c>
    </row>
    <row r="97">
      <c r="B97" s="80" t="str">
        <f>IF(VERW_Project!$A42="","",VERW_Project!$C42)</f>
        <v/>
      </c>
      <c r="C97" s="80" t="str">
        <f>IF(VERW_Project!$A42="","",VERW_Project!$D42)</f>
        <v/>
      </c>
      <c r="D97" s="80" t="str">
        <f>IF(VERW_Project!$A42="","",VERW_Project!$E42)</f>
        <v/>
      </c>
      <c r="E97" s="81" t="str">
        <f>IF(VERW_Project!$A42="","",VERW_Project!$F42)</f>
        <v/>
      </c>
      <c r="F97" s="81" t="str">
        <f>IF(VERW_Project!$A42="","",IF(VERW_Project!$G42="Nee","n.v.t.",VERW_Project!$AT42))</f>
        <v/>
      </c>
      <c r="G97" s="82" t="str">
        <f>IF(VERW_Project!$A42="","",IF(VERW_Project!$G42="Nee","n.v.t.",IF(AND(ISNUMBER(F97),ISNUMBER(E97)),IF(E97&gt;0,F97/(E97/100),"n.b."),"n.b.")))</f>
        <v/>
      </c>
      <c r="H97" s="81" t="str">
        <f>IF(VERW_Project!$A42="","",IF(VERW_Project!$G42="Nee","n.v.t.",VERW_Project!$AW42))</f>
        <v/>
      </c>
      <c r="I97" s="81" t="str">
        <f>IF(VERW_Project!$A42="","",IF(VERW_Project!$G42="Nee","n.v.t.",VERW_Project!$BU42))</f>
        <v/>
      </c>
      <c r="J97" s="81" t="str">
        <f>IF(VERW_Project!$A42="","",IF(VERW_Project!$G42="Nee","n.v.t.",VERW_Project!$BW42))</f>
        <v/>
      </c>
      <c r="K97" s="81" t="str">
        <f>IF(VERW_Project!$A42="","",IF(VERW_Project!$G42="Nee","n.v.t.",VERW_Project!$BX42))</f>
        <v/>
      </c>
      <c r="L97" s="81" t="str">
        <f>IF(VERW_Project!$A42="","",IF(VERW_Project!$G42="Nee","n.v.t.",VERW_Project!$CC42))</f>
        <v/>
      </c>
      <c r="M97" s="81" t="str">
        <f>IF(VERW_Project!$A42="","",IF(VERW_Project!$G42="Nee","n.v.t.",VERW_Project!$BC42))</f>
        <v/>
      </c>
      <c r="N97" s="81" t="str">
        <f>IF(VERW_Project!$A42="","",IF(VERW_Project!$G42="Nee","n.v.t.",VERW_Project!$BD42))</f>
        <v/>
      </c>
      <c r="O97" s="83" t="str">
        <f>IF(VERW_Project!$A42="","",IF(AND(ISNUMBER(F97),ISNUMBER(M97)),IF(F97&gt;0,M97/F97,""),""))</f>
        <v/>
      </c>
      <c r="P97" s="81" t="str">
        <f>IF(VERW_Project!$A42="","",IF(VERW_Project!$G42="Nee","n.v.t.",IF(COUNTIFS(L_Actief,1,L_WBS,VERW_Project!$A42,L_Doeljaar,Sel_Doeljaar,L_Versiejaar,P_VJ,L_Versie,"Budget",L_Kengetal,"Woningverkopen FY")=0,"n.b.",SUMIFS(L_Waarde,L_Actief,1,L_WBS,VERW_Project!$A42,L_Doeljaar,Sel_Doeljaar,L_Versiejaar,P_VJ,L_Versie,"Budget",L_Kengetal,"Woningverkopen FY"))))</f>
        <v/>
      </c>
      <c r="Q97" s="81" t="str">
        <f>IF(VERW_Project!$A42="","",IF(AND(ISNUMBER(P97),Sel_Doeljaar=P_RJ,ISNUMBER(J97)),J97-P97,IF(AND(ISNUMBER(P97),Sel_Doeljaar=P_RJ+1,ISNUMBER(K97)),K97-P97,"n.b.")))</f>
        <v/>
      </c>
    </row>
    <row r="98">
      <c r="B98" s="80" t="str">
        <f>IF(VERW_Project!$A43="","",VERW_Project!$C43)</f>
        <v/>
      </c>
      <c r="C98" s="80" t="str">
        <f>IF(VERW_Project!$A43="","",VERW_Project!$D43)</f>
        <v/>
      </c>
      <c r="D98" s="80" t="str">
        <f>IF(VERW_Project!$A43="","",VERW_Project!$E43)</f>
        <v/>
      </c>
      <c r="E98" s="81" t="str">
        <f>IF(VERW_Project!$A43="","",VERW_Project!$F43)</f>
        <v/>
      </c>
      <c r="F98" s="81" t="str">
        <f>IF(VERW_Project!$A43="","",IF(VERW_Project!$G43="Nee","n.v.t.",VERW_Project!$AT43))</f>
        <v/>
      </c>
      <c r="G98" s="82" t="str">
        <f>IF(VERW_Project!$A43="","",IF(VERW_Project!$G43="Nee","n.v.t.",IF(AND(ISNUMBER(F98),ISNUMBER(E98)),IF(E98&gt;0,F98/(E98/100),"n.b."),"n.b.")))</f>
        <v/>
      </c>
      <c r="H98" s="81" t="str">
        <f>IF(VERW_Project!$A43="","",IF(VERW_Project!$G43="Nee","n.v.t.",VERW_Project!$AW43))</f>
        <v/>
      </c>
      <c r="I98" s="81" t="str">
        <f>IF(VERW_Project!$A43="","",IF(VERW_Project!$G43="Nee","n.v.t.",VERW_Project!$BU43))</f>
        <v/>
      </c>
      <c r="J98" s="81" t="str">
        <f>IF(VERW_Project!$A43="","",IF(VERW_Project!$G43="Nee","n.v.t.",VERW_Project!$BW43))</f>
        <v/>
      </c>
      <c r="K98" s="81" t="str">
        <f>IF(VERW_Project!$A43="","",IF(VERW_Project!$G43="Nee","n.v.t.",VERW_Project!$BX43))</f>
        <v/>
      </c>
      <c r="L98" s="81" t="str">
        <f>IF(VERW_Project!$A43="","",IF(VERW_Project!$G43="Nee","n.v.t.",VERW_Project!$CC43))</f>
        <v/>
      </c>
      <c r="M98" s="81" t="str">
        <f>IF(VERW_Project!$A43="","",IF(VERW_Project!$G43="Nee","n.v.t.",VERW_Project!$BC43))</f>
        <v/>
      </c>
      <c r="N98" s="81" t="str">
        <f>IF(VERW_Project!$A43="","",IF(VERW_Project!$G43="Nee","n.v.t.",VERW_Project!$BD43))</f>
        <v/>
      </c>
      <c r="O98" s="83" t="str">
        <f>IF(VERW_Project!$A43="","",IF(AND(ISNUMBER(F98),ISNUMBER(M98)),IF(F98&gt;0,M98/F98,""),""))</f>
        <v/>
      </c>
      <c r="P98" s="81" t="str">
        <f>IF(VERW_Project!$A43="","",IF(VERW_Project!$G43="Nee","n.v.t.",IF(COUNTIFS(L_Actief,1,L_WBS,VERW_Project!$A43,L_Doeljaar,Sel_Doeljaar,L_Versiejaar,P_VJ,L_Versie,"Budget",L_Kengetal,"Woningverkopen FY")=0,"n.b.",SUMIFS(L_Waarde,L_Actief,1,L_WBS,VERW_Project!$A43,L_Doeljaar,Sel_Doeljaar,L_Versiejaar,P_VJ,L_Versie,"Budget",L_Kengetal,"Woningverkopen FY"))))</f>
        <v/>
      </c>
      <c r="Q98" s="81" t="str">
        <f>IF(VERW_Project!$A43="","",IF(AND(ISNUMBER(P98),Sel_Doeljaar=P_RJ,ISNUMBER(J98)),J98-P98,IF(AND(ISNUMBER(P98),Sel_Doeljaar=P_RJ+1,ISNUMBER(K98)),K98-P98,"n.b.")))</f>
        <v/>
      </c>
    </row>
    <row r="99">
      <c r="B99" s="80" t="str">
        <f>IF(VERW_Project!$A44="","",VERW_Project!$C44)</f>
        <v/>
      </c>
      <c r="C99" s="80" t="str">
        <f>IF(VERW_Project!$A44="","",VERW_Project!$D44)</f>
        <v/>
      </c>
      <c r="D99" s="80" t="str">
        <f>IF(VERW_Project!$A44="","",VERW_Project!$E44)</f>
        <v/>
      </c>
      <c r="E99" s="81" t="str">
        <f>IF(VERW_Project!$A44="","",VERW_Project!$F44)</f>
        <v/>
      </c>
      <c r="F99" s="81" t="str">
        <f>IF(VERW_Project!$A44="","",IF(VERW_Project!$G44="Nee","n.v.t.",VERW_Project!$AT44))</f>
        <v/>
      </c>
      <c r="G99" s="82" t="str">
        <f>IF(VERW_Project!$A44="","",IF(VERW_Project!$G44="Nee","n.v.t.",IF(AND(ISNUMBER(F99),ISNUMBER(E99)),IF(E99&gt;0,F99/(E99/100),"n.b."),"n.b.")))</f>
        <v/>
      </c>
      <c r="H99" s="81" t="str">
        <f>IF(VERW_Project!$A44="","",IF(VERW_Project!$G44="Nee","n.v.t.",VERW_Project!$AW44))</f>
        <v/>
      </c>
      <c r="I99" s="81" t="str">
        <f>IF(VERW_Project!$A44="","",IF(VERW_Project!$G44="Nee","n.v.t.",VERW_Project!$BU44))</f>
        <v/>
      </c>
      <c r="J99" s="81" t="str">
        <f>IF(VERW_Project!$A44="","",IF(VERW_Project!$G44="Nee","n.v.t.",VERW_Project!$BW44))</f>
        <v/>
      </c>
      <c r="K99" s="81" t="str">
        <f>IF(VERW_Project!$A44="","",IF(VERW_Project!$G44="Nee","n.v.t.",VERW_Project!$BX44))</f>
        <v/>
      </c>
      <c r="L99" s="81" t="str">
        <f>IF(VERW_Project!$A44="","",IF(VERW_Project!$G44="Nee","n.v.t.",VERW_Project!$CC44))</f>
        <v/>
      </c>
      <c r="M99" s="81" t="str">
        <f>IF(VERW_Project!$A44="","",IF(VERW_Project!$G44="Nee","n.v.t.",VERW_Project!$BC44))</f>
        <v/>
      </c>
      <c r="N99" s="81" t="str">
        <f>IF(VERW_Project!$A44="","",IF(VERW_Project!$G44="Nee","n.v.t.",VERW_Project!$BD44))</f>
        <v/>
      </c>
      <c r="O99" s="83" t="str">
        <f>IF(VERW_Project!$A44="","",IF(AND(ISNUMBER(F99),ISNUMBER(M99)),IF(F99&gt;0,M99/F99,""),""))</f>
        <v/>
      </c>
      <c r="P99" s="81" t="str">
        <f>IF(VERW_Project!$A44="","",IF(VERW_Project!$G44="Nee","n.v.t.",IF(COUNTIFS(L_Actief,1,L_WBS,VERW_Project!$A44,L_Doeljaar,Sel_Doeljaar,L_Versiejaar,P_VJ,L_Versie,"Budget",L_Kengetal,"Woningverkopen FY")=0,"n.b.",SUMIFS(L_Waarde,L_Actief,1,L_WBS,VERW_Project!$A44,L_Doeljaar,Sel_Doeljaar,L_Versiejaar,P_VJ,L_Versie,"Budget",L_Kengetal,"Woningverkopen FY"))))</f>
        <v/>
      </c>
      <c r="Q99" s="81" t="str">
        <f>IF(VERW_Project!$A44="","",IF(AND(ISNUMBER(P99),Sel_Doeljaar=P_RJ,ISNUMBER(J99)),J99-P99,IF(AND(ISNUMBER(P99),Sel_Doeljaar=P_RJ+1,ISNUMBER(K99)),K99-P99,"n.b.")))</f>
        <v/>
      </c>
    </row>
    <row r="100">
      <c r="B100" s="80" t="str">
        <f>IF(VERW_Project!$A45="","",VERW_Project!$C45)</f>
        <v/>
      </c>
      <c r="C100" s="80" t="str">
        <f>IF(VERW_Project!$A45="","",VERW_Project!$D45)</f>
        <v/>
      </c>
      <c r="D100" s="80" t="str">
        <f>IF(VERW_Project!$A45="","",VERW_Project!$E45)</f>
        <v/>
      </c>
      <c r="E100" s="81" t="str">
        <f>IF(VERW_Project!$A45="","",VERW_Project!$F45)</f>
        <v/>
      </c>
      <c r="F100" s="81" t="str">
        <f>IF(VERW_Project!$A45="","",IF(VERW_Project!$G45="Nee","n.v.t.",VERW_Project!$AT45))</f>
        <v/>
      </c>
      <c r="G100" s="82" t="str">
        <f>IF(VERW_Project!$A45="","",IF(VERW_Project!$G45="Nee","n.v.t.",IF(AND(ISNUMBER(F100),ISNUMBER(E100)),IF(E100&gt;0,F100/(E100/100),"n.b."),"n.b.")))</f>
        <v/>
      </c>
      <c r="H100" s="81" t="str">
        <f>IF(VERW_Project!$A45="","",IF(VERW_Project!$G45="Nee","n.v.t.",VERW_Project!$AW45))</f>
        <v/>
      </c>
      <c r="I100" s="81" t="str">
        <f>IF(VERW_Project!$A45="","",IF(VERW_Project!$G45="Nee","n.v.t.",VERW_Project!$BU45))</f>
        <v/>
      </c>
      <c r="J100" s="81" t="str">
        <f>IF(VERW_Project!$A45="","",IF(VERW_Project!$G45="Nee","n.v.t.",VERW_Project!$BW45))</f>
        <v/>
      </c>
      <c r="K100" s="81" t="str">
        <f>IF(VERW_Project!$A45="","",IF(VERW_Project!$G45="Nee","n.v.t.",VERW_Project!$BX45))</f>
        <v/>
      </c>
      <c r="L100" s="81" t="str">
        <f>IF(VERW_Project!$A45="","",IF(VERW_Project!$G45="Nee","n.v.t.",VERW_Project!$CC45))</f>
        <v/>
      </c>
      <c r="M100" s="81" t="str">
        <f>IF(VERW_Project!$A45="","",IF(VERW_Project!$G45="Nee","n.v.t.",VERW_Project!$BC45))</f>
        <v/>
      </c>
      <c r="N100" s="81" t="str">
        <f>IF(VERW_Project!$A45="","",IF(VERW_Project!$G45="Nee","n.v.t.",VERW_Project!$BD45))</f>
        <v/>
      </c>
      <c r="O100" s="83" t="str">
        <f>IF(VERW_Project!$A45="","",IF(AND(ISNUMBER(F100),ISNUMBER(M100)),IF(F100&gt;0,M100/F100,""),""))</f>
        <v/>
      </c>
      <c r="P100" s="81" t="str">
        <f>IF(VERW_Project!$A45="","",IF(VERW_Project!$G45="Nee","n.v.t.",IF(COUNTIFS(L_Actief,1,L_WBS,VERW_Project!$A45,L_Doeljaar,Sel_Doeljaar,L_Versiejaar,P_VJ,L_Versie,"Budget",L_Kengetal,"Woningverkopen FY")=0,"n.b.",SUMIFS(L_Waarde,L_Actief,1,L_WBS,VERW_Project!$A45,L_Doeljaar,Sel_Doeljaar,L_Versiejaar,P_VJ,L_Versie,"Budget",L_Kengetal,"Woningverkopen FY"))))</f>
        <v/>
      </c>
      <c r="Q100" s="81" t="str">
        <f>IF(VERW_Project!$A45="","",IF(AND(ISNUMBER(P100),Sel_Doeljaar=P_RJ,ISNUMBER(J100)),J100-P100,IF(AND(ISNUMBER(P100),Sel_Doeljaar=P_RJ+1,ISNUMBER(K100)),K100-P100,"n.b.")))</f>
        <v/>
      </c>
    </row>
    <row r="101">
      <c r="B101" s="80" t="str">
        <f>IF(VERW_Project!$A46="","",VERW_Project!$C46)</f>
        <v/>
      </c>
      <c r="C101" s="80" t="str">
        <f>IF(VERW_Project!$A46="","",VERW_Project!$D46)</f>
        <v/>
      </c>
      <c r="D101" s="80" t="str">
        <f>IF(VERW_Project!$A46="","",VERW_Project!$E46)</f>
        <v/>
      </c>
      <c r="E101" s="81" t="str">
        <f>IF(VERW_Project!$A46="","",VERW_Project!$F46)</f>
        <v/>
      </c>
      <c r="F101" s="81" t="str">
        <f>IF(VERW_Project!$A46="","",IF(VERW_Project!$G46="Nee","n.v.t.",VERW_Project!$AT46))</f>
        <v/>
      </c>
      <c r="G101" s="82" t="str">
        <f>IF(VERW_Project!$A46="","",IF(VERW_Project!$G46="Nee","n.v.t.",IF(AND(ISNUMBER(F101),ISNUMBER(E101)),IF(E101&gt;0,F101/(E101/100),"n.b."),"n.b.")))</f>
        <v/>
      </c>
      <c r="H101" s="81" t="str">
        <f>IF(VERW_Project!$A46="","",IF(VERW_Project!$G46="Nee","n.v.t.",VERW_Project!$AW46))</f>
        <v/>
      </c>
      <c r="I101" s="81" t="str">
        <f>IF(VERW_Project!$A46="","",IF(VERW_Project!$G46="Nee","n.v.t.",VERW_Project!$BU46))</f>
        <v/>
      </c>
      <c r="J101" s="81" t="str">
        <f>IF(VERW_Project!$A46="","",IF(VERW_Project!$G46="Nee","n.v.t.",VERW_Project!$BW46))</f>
        <v/>
      </c>
      <c r="K101" s="81" t="str">
        <f>IF(VERW_Project!$A46="","",IF(VERW_Project!$G46="Nee","n.v.t.",VERW_Project!$BX46))</f>
        <v/>
      </c>
      <c r="L101" s="81" t="str">
        <f>IF(VERW_Project!$A46="","",IF(VERW_Project!$G46="Nee","n.v.t.",VERW_Project!$CC46))</f>
        <v/>
      </c>
      <c r="M101" s="81" t="str">
        <f>IF(VERW_Project!$A46="","",IF(VERW_Project!$G46="Nee","n.v.t.",VERW_Project!$BC46))</f>
        <v/>
      </c>
      <c r="N101" s="81" t="str">
        <f>IF(VERW_Project!$A46="","",IF(VERW_Project!$G46="Nee","n.v.t.",VERW_Project!$BD46))</f>
        <v/>
      </c>
      <c r="O101" s="83" t="str">
        <f>IF(VERW_Project!$A46="","",IF(AND(ISNUMBER(F101),ISNUMBER(M101)),IF(F101&gt;0,M101/F101,""),""))</f>
        <v/>
      </c>
      <c r="P101" s="81" t="str">
        <f>IF(VERW_Project!$A46="","",IF(VERW_Project!$G46="Nee","n.v.t.",IF(COUNTIFS(L_Actief,1,L_WBS,VERW_Project!$A46,L_Doeljaar,Sel_Doeljaar,L_Versiejaar,P_VJ,L_Versie,"Budget",L_Kengetal,"Woningverkopen FY")=0,"n.b.",SUMIFS(L_Waarde,L_Actief,1,L_WBS,VERW_Project!$A46,L_Doeljaar,Sel_Doeljaar,L_Versiejaar,P_VJ,L_Versie,"Budget",L_Kengetal,"Woningverkopen FY"))))</f>
        <v/>
      </c>
      <c r="Q101" s="81" t="str">
        <f>IF(VERW_Project!$A46="","",IF(AND(ISNUMBER(P101),Sel_Doeljaar=P_RJ,ISNUMBER(J101)),J101-P101,IF(AND(ISNUMBER(P101),Sel_Doeljaar=P_RJ+1,ISNUMBER(K101)),K101-P101,"n.b.")))</f>
        <v/>
      </c>
    </row>
    <row r="102">
      <c r="B102" s="80" t="str">
        <f>IF(VERW_Project!$A47="","",VERW_Project!$C47)</f>
        <v/>
      </c>
      <c r="C102" s="80" t="str">
        <f>IF(VERW_Project!$A47="","",VERW_Project!$D47)</f>
        <v/>
      </c>
      <c r="D102" s="80" t="str">
        <f>IF(VERW_Project!$A47="","",VERW_Project!$E47)</f>
        <v/>
      </c>
      <c r="E102" s="81" t="str">
        <f>IF(VERW_Project!$A47="","",VERW_Project!$F47)</f>
        <v/>
      </c>
      <c r="F102" s="81" t="str">
        <f>IF(VERW_Project!$A47="","",IF(VERW_Project!$G47="Nee","n.v.t.",VERW_Project!$AT47))</f>
        <v/>
      </c>
      <c r="G102" s="82" t="str">
        <f>IF(VERW_Project!$A47="","",IF(VERW_Project!$G47="Nee","n.v.t.",IF(AND(ISNUMBER(F102),ISNUMBER(E102)),IF(E102&gt;0,F102/(E102/100),"n.b."),"n.b.")))</f>
        <v/>
      </c>
      <c r="H102" s="81" t="str">
        <f>IF(VERW_Project!$A47="","",IF(VERW_Project!$G47="Nee","n.v.t.",VERW_Project!$AW47))</f>
        <v/>
      </c>
      <c r="I102" s="81" t="str">
        <f>IF(VERW_Project!$A47="","",IF(VERW_Project!$G47="Nee","n.v.t.",VERW_Project!$BU47))</f>
        <v/>
      </c>
      <c r="J102" s="81" t="str">
        <f>IF(VERW_Project!$A47="","",IF(VERW_Project!$G47="Nee","n.v.t.",VERW_Project!$BW47))</f>
        <v/>
      </c>
      <c r="K102" s="81" t="str">
        <f>IF(VERW_Project!$A47="","",IF(VERW_Project!$G47="Nee","n.v.t.",VERW_Project!$BX47))</f>
        <v/>
      </c>
      <c r="L102" s="81" t="str">
        <f>IF(VERW_Project!$A47="","",IF(VERW_Project!$G47="Nee","n.v.t.",VERW_Project!$CC47))</f>
        <v/>
      </c>
      <c r="M102" s="81" t="str">
        <f>IF(VERW_Project!$A47="","",IF(VERW_Project!$G47="Nee","n.v.t.",VERW_Project!$BC47))</f>
        <v/>
      </c>
      <c r="N102" s="81" t="str">
        <f>IF(VERW_Project!$A47="","",IF(VERW_Project!$G47="Nee","n.v.t.",VERW_Project!$BD47))</f>
        <v/>
      </c>
      <c r="O102" s="83" t="str">
        <f>IF(VERW_Project!$A47="","",IF(AND(ISNUMBER(F102),ISNUMBER(M102)),IF(F102&gt;0,M102/F102,""),""))</f>
        <v/>
      </c>
      <c r="P102" s="81" t="str">
        <f>IF(VERW_Project!$A47="","",IF(VERW_Project!$G47="Nee","n.v.t.",IF(COUNTIFS(L_Actief,1,L_WBS,VERW_Project!$A47,L_Doeljaar,Sel_Doeljaar,L_Versiejaar,P_VJ,L_Versie,"Budget",L_Kengetal,"Woningverkopen FY")=0,"n.b.",SUMIFS(L_Waarde,L_Actief,1,L_WBS,VERW_Project!$A47,L_Doeljaar,Sel_Doeljaar,L_Versiejaar,P_VJ,L_Versie,"Budget",L_Kengetal,"Woningverkopen FY"))))</f>
        <v/>
      </c>
      <c r="Q102" s="81" t="str">
        <f>IF(VERW_Project!$A47="","",IF(AND(ISNUMBER(P102),Sel_Doeljaar=P_RJ,ISNUMBER(J102)),J102-P102,IF(AND(ISNUMBER(P102),Sel_Doeljaar=P_RJ+1,ISNUMBER(K102)),K102-P102,"n.b.")))</f>
        <v/>
      </c>
    </row>
    <row r="103">
      <c r="B103" s="80" t="str">
        <f>IF(VERW_Project!$A48="","",VERW_Project!$C48)</f>
        <v/>
      </c>
      <c r="C103" s="80" t="str">
        <f>IF(VERW_Project!$A48="","",VERW_Project!$D48)</f>
        <v/>
      </c>
      <c r="D103" s="80" t="str">
        <f>IF(VERW_Project!$A48="","",VERW_Project!$E48)</f>
        <v/>
      </c>
      <c r="E103" s="81" t="str">
        <f>IF(VERW_Project!$A48="","",VERW_Project!$F48)</f>
        <v/>
      </c>
      <c r="F103" s="81" t="str">
        <f>IF(VERW_Project!$A48="","",IF(VERW_Project!$G48="Nee","n.v.t.",VERW_Project!$AT48))</f>
        <v/>
      </c>
      <c r="G103" s="82" t="str">
        <f>IF(VERW_Project!$A48="","",IF(VERW_Project!$G48="Nee","n.v.t.",IF(AND(ISNUMBER(F103),ISNUMBER(E103)),IF(E103&gt;0,F103/(E103/100),"n.b."),"n.b.")))</f>
        <v/>
      </c>
      <c r="H103" s="81" t="str">
        <f>IF(VERW_Project!$A48="","",IF(VERW_Project!$G48="Nee","n.v.t.",VERW_Project!$AW48))</f>
        <v/>
      </c>
      <c r="I103" s="81" t="str">
        <f>IF(VERW_Project!$A48="","",IF(VERW_Project!$G48="Nee","n.v.t.",VERW_Project!$BU48))</f>
        <v/>
      </c>
      <c r="J103" s="81" t="str">
        <f>IF(VERW_Project!$A48="","",IF(VERW_Project!$G48="Nee","n.v.t.",VERW_Project!$BW48))</f>
        <v/>
      </c>
      <c r="K103" s="81" t="str">
        <f>IF(VERW_Project!$A48="","",IF(VERW_Project!$G48="Nee","n.v.t.",VERW_Project!$BX48))</f>
        <v/>
      </c>
      <c r="L103" s="81" t="str">
        <f>IF(VERW_Project!$A48="","",IF(VERW_Project!$G48="Nee","n.v.t.",VERW_Project!$CC48))</f>
        <v/>
      </c>
      <c r="M103" s="81" t="str">
        <f>IF(VERW_Project!$A48="","",IF(VERW_Project!$G48="Nee","n.v.t.",VERW_Project!$BC48))</f>
        <v/>
      </c>
      <c r="N103" s="81" t="str">
        <f>IF(VERW_Project!$A48="","",IF(VERW_Project!$G48="Nee","n.v.t.",VERW_Project!$BD48))</f>
        <v/>
      </c>
      <c r="O103" s="83" t="str">
        <f>IF(VERW_Project!$A48="","",IF(AND(ISNUMBER(F103),ISNUMBER(M103)),IF(F103&gt;0,M103/F103,""),""))</f>
        <v/>
      </c>
      <c r="P103" s="81" t="str">
        <f>IF(VERW_Project!$A48="","",IF(VERW_Project!$G48="Nee","n.v.t.",IF(COUNTIFS(L_Actief,1,L_WBS,VERW_Project!$A48,L_Doeljaar,Sel_Doeljaar,L_Versiejaar,P_VJ,L_Versie,"Budget",L_Kengetal,"Woningverkopen FY")=0,"n.b.",SUMIFS(L_Waarde,L_Actief,1,L_WBS,VERW_Project!$A48,L_Doeljaar,Sel_Doeljaar,L_Versiejaar,P_VJ,L_Versie,"Budget",L_Kengetal,"Woningverkopen FY"))))</f>
        <v/>
      </c>
      <c r="Q103" s="81" t="str">
        <f>IF(VERW_Project!$A48="","",IF(AND(ISNUMBER(P103),Sel_Doeljaar=P_RJ,ISNUMBER(J103)),J103-P103,IF(AND(ISNUMBER(P103),Sel_Doeljaar=P_RJ+1,ISNUMBER(K103)),K103-P103,"n.b.")))</f>
        <v/>
      </c>
    </row>
    <row r="104">
      <c r="B104" s="80" t="str">
        <f>IF(VERW_Project!$A49="","",VERW_Project!$C49)</f>
        <v/>
      </c>
      <c r="C104" s="80" t="str">
        <f>IF(VERW_Project!$A49="","",VERW_Project!$D49)</f>
        <v/>
      </c>
      <c r="D104" s="80" t="str">
        <f>IF(VERW_Project!$A49="","",VERW_Project!$E49)</f>
        <v/>
      </c>
      <c r="E104" s="81" t="str">
        <f>IF(VERW_Project!$A49="","",VERW_Project!$F49)</f>
        <v/>
      </c>
      <c r="F104" s="81" t="str">
        <f>IF(VERW_Project!$A49="","",IF(VERW_Project!$G49="Nee","n.v.t.",VERW_Project!$AT49))</f>
        <v/>
      </c>
      <c r="G104" s="82" t="str">
        <f>IF(VERW_Project!$A49="","",IF(VERW_Project!$G49="Nee","n.v.t.",IF(AND(ISNUMBER(F104),ISNUMBER(E104)),IF(E104&gt;0,F104/(E104/100),"n.b."),"n.b.")))</f>
        <v/>
      </c>
      <c r="H104" s="81" t="str">
        <f>IF(VERW_Project!$A49="","",IF(VERW_Project!$G49="Nee","n.v.t.",VERW_Project!$AW49))</f>
        <v/>
      </c>
      <c r="I104" s="81" t="str">
        <f>IF(VERW_Project!$A49="","",IF(VERW_Project!$G49="Nee","n.v.t.",VERW_Project!$BU49))</f>
        <v/>
      </c>
      <c r="J104" s="81" t="str">
        <f>IF(VERW_Project!$A49="","",IF(VERW_Project!$G49="Nee","n.v.t.",VERW_Project!$BW49))</f>
        <v/>
      </c>
      <c r="K104" s="81" t="str">
        <f>IF(VERW_Project!$A49="","",IF(VERW_Project!$G49="Nee","n.v.t.",VERW_Project!$BX49))</f>
        <v/>
      </c>
      <c r="L104" s="81" t="str">
        <f>IF(VERW_Project!$A49="","",IF(VERW_Project!$G49="Nee","n.v.t.",VERW_Project!$CC49))</f>
        <v/>
      </c>
      <c r="M104" s="81" t="str">
        <f>IF(VERW_Project!$A49="","",IF(VERW_Project!$G49="Nee","n.v.t.",VERW_Project!$BC49))</f>
        <v/>
      </c>
      <c r="N104" s="81" t="str">
        <f>IF(VERW_Project!$A49="","",IF(VERW_Project!$G49="Nee","n.v.t.",VERW_Project!$BD49))</f>
        <v/>
      </c>
      <c r="O104" s="83" t="str">
        <f>IF(VERW_Project!$A49="","",IF(AND(ISNUMBER(F104),ISNUMBER(M104)),IF(F104&gt;0,M104/F104,""),""))</f>
        <v/>
      </c>
      <c r="P104" s="81" t="str">
        <f>IF(VERW_Project!$A49="","",IF(VERW_Project!$G49="Nee","n.v.t.",IF(COUNTIFS(L_Actief,1,L_WBS,VERW_Project!$A49,L_Doeljaar,Sel_Doeljaar,L_Versiejaar,P_VJ,L_Versie,"Budget",L_Kengetal,"Woningverkopen FY")=0,"n.b.",SUMIFS(L_Waarde,L_Actief,1,L_WBS,VERW_Project!$A49,L_Doeljaar,Sel_Doeljaar,L_Versiejaar,P_VJ,L_Versie,"Budget",L_Kengetal,"Woningverkopen FY"))))</f>
        <v/>
      </c>
      <c r="Q104" s="81" t="str">
        <f>IF(VERW_Project!$A49="","",IF(AND(ISNUMBER(P104),Sel_Doeljaar=P_RJ,ISNUMBER(J104)),J104-P104,IF(AND(ISNUMBER(P104),Sel_Doeljaar=P_RJ+1,ISNUMBER(K104)),K104-P104,"n.b.")))</f>
        <v/>
      </c>
    </row>
    <row r="105">
      <c r="B105" s="80" t="str">
        <f>IF(VERW_Project!$A50="","",VERW_Project!$C50)</f>
        <v/>
      </c>
      <c r="C105" s="80" t="str">
        <f>IF(VERW_Project!$A50="","",VERW_Project!$D50)</f>
        <v/>
      </c>
      <c r="D105" s="80" t="str">
        <f>IF(VERW_Project!$A50="","",VERW_Project!$E50)</f>
        <v/>
      </c>
      <c r="E105" s="81" t="str">
        <f>IF(VERW_Project!$A50="","",VERW_Project!$F50)</f>
        <v/>
      </c>
      <c r="F105" s="81" t="str">
        <f>IF(VERW_Project!$A50="","",IF(VERW_Project!$G50="Nee","n.v.t.",VERW_Project!$AT50))</f>
        <v/>
      </c>
      <c r="G105" s="82" t="str">
        <f>IF(VERW_Project!$A50="","",IF(VERW_Project!$G50="Nee","n.v.t.",IF(AND(ISNUMBER(F105),ISNUMBER(E105)),IF(E105&gt;0,F105/(E105/100),"n.b."),"n.b.")))</f>
        <v/>
      </c>
      <c r="H105" s="81" t="str">
        <f>IF(VERW_Project!$A50="","",IF(VERW_Project!$G50="Nee","n.v.t.",VERW_Project!$AW50))</f>
        <v/>
      </c>
      <c r="I105" s="81" t="str">
        <f>IF(VERW_Project!$A50="","",IF(VERW_Project!$G50="Nee","n.v.t.",VERW_Project!$BU50))</f>
        <v/>
      </c>
      <c r="J105" s="81" t="str">
        <f>IF(VERW_Project!$A50="","",IF(VERW_Project!$G50="Nee","n.v.t.",VERW_Project!$BW50))</f>
        <v/>
      </c>
      <c r="K105" s="81" t="str">
        <f>IF(VERW_Project!$A50="","",IF(VERW_Project!$G50="Nee","n.v.t.",VERW_Project!$BX50))</f>
        <v/>
      </c>
      <c r="L105" s="81" t="str">
        <f>IF(VERW_Project!$A50="","",IF(VERW_Project!$G50="Nee","n.v.t.",VERW_Project!$CC50))</f>
        <v/>
      </c>
      <c r="M105" s="81" t="str">
        <f>IF(VERW_Project!$A50="","",IF(VERW_Project!$G50="Nee","n.v.t.",VERW_Project!$BC50))</f>
        <v/>
      </c>
      <c r="N105" s="81" t="str">
        <f>IF(VERW_Project!$A50="","",IF(VERW_Project!$G50="Nee","n.v.t.",VERW_Project!$BD50))</f>
        <v/>
      </c>
      <c r="O105" s="83" t="str">
        <f>IF(VERW_Project!$A50="","",IF(AND(ISNUMBER(F105),ISNUMBER(M105)),IF(F105&gt;0,M105/F105,""),""))</f>
        <v/>
      </c>
      <c r="P105" s="81" t="str">
        <f>IF(VERW_Project!$A50="","",IF(VERW_Project!$G50="Nee","n.v.t.",IF(COUNTIFS(L_Actief,1,L_WBS,VERW_Project!$A50,L_Doeljaar,Sel_Doeljaar,L_Versiejaar,P_VJ,L_Versie,"Budget",L_Kengetal,"Woningverkopen FY")=0,"n.b.",SUMIFS(L_Waarde,L_Actief,1,L_WBS,VERW_Project!$A50,L_Doeljaar,Sel_Doeljaar,L_Versiejaar,P_VJ,L_Versie,"Budget",L_Kengetal,"Woningverkopen FY"))))</f>
        <v/>
      </c>
      <c r="Q105" s="81" t="str">
        <f>IF(VERW_Project!$A50="","",IF(AND(ISNUMBER(P105),Sel_Doeljaar=P_RJ,ISNUMBER(J105)),J105-P105,IF(AND(ISNUMBER(P105),Sel_Doeljaar=P_RJ+1,ISNUMBER(K105)),K105-P105,"n.b.")))</f>
        <v/>
      </c>
    </row>
    <row r="106">
      <c r="B106" s="80" t="str">
        <f>IF(VERW_Project!$A51="","",VERW_Project!$C51)</f>
        <v/>
      </c>
      <c r="C106" s="80" t="str">
        <f>IF(VERW_Project!$A51="","",VERW_Project!$D51)</f>
        <v/>
      </c>
      <c r="D106" s="80" t="str">
        <f>IF(VERW_Project!$A51="","",VERW_Project!$E51)</f>
        <v/>
      </c>
      <c r="E106" s="81" t="str">
        <f>IF(VERW_Project!$A51="","",VERW_Project!$F51)</f>
        <v/>
      </c>
      <c r="F106" s="81" t="str">
        <f>IF(VERW_Project!$A51="","",IF(VERW_Project!$G51="Nee","n.v.t.",VERW_Project!$AT51))</f>
        <v/>
      </c>
      <c r="G106" s="82" t="str">
        <f>IF(VERW_Project!$A51="","",IF(VERW_Project!$G51="Nee","n.v.t.",IF(AND(ISNUMBER(F106),ISNUMBER(E106)),IF(E106&gt;0,F106/(E106/100),"n.b."),"n.b.")))</f>
        <v/>
      </c>
      <c r="H106" s="81" t="str">
        <f>IF(VERW_Project!$A51="","",IF(VERW_Project!$G51="Nee","n.v.t.",VERW_Project!$AW51))</f>
        <v/>
      </c>
      <c r="I106" s="81" t="str">
        <f>IF(VERW_Project!$A51="","",IF(VERW_Project!$G51="Nee","n.v.t.",VERW_Project!$BU51))</f>
        <v/>
      </c>
      <c r="J106" s="81" t="str">
        <f>IF(VERW_Project!$A51="","",IF(VERW_Project!$G51="Nee","n.v.t.",VERW_Project!$BW51))</f>
        <v/>
      </c>
      <c r="K106" s="81" t="str">
        <f>IF(VERW_Project!$A51="","",IF(VERW_Project!$G51="Nee","n.v.t.",VERW_Project!$BX51))</f>
        <v/>
      </c>
      <c r="L106" s="81" t="str">
        <f>IF(VERW_Project!$A51="","",IF(VERW_Project!$G51="Nee","n.v.t.",VERW_Project!$CC51))</f>
        <v/>
      </c>
      <c r="M106" s="81" t="str">
        <f>IF(VERW_Project!$A51="","",IF(VERW_Project!$G51="Nee","n.v.t.",VERW_Project!$BC51))</f>
        <v/>
      </c>
      <c r="N106" s="81" t="str">
        <f>IF(VERW_Project!$A51="","",IF(VERW_Project!$G51="Nee","n.v.t.",VERW_Project!$BD51))</f>
        <v/>
      </c>
      <c r="O106" s="83" t="str">
        <f>IF(VERW_Project!$A51="","",IF(AND(ISNUMBER(F106),ISNUMBER(M106)),IF(F106&gt;0,M106/F106,""),""))</f>
        <v/>
      </c>
      <c r="P106" s="81" t="str">
        <f>IF(VERW_Project!$A51="","",IF(VERW_Project!$G51="Nee","n.v.t.",IF(COUNTIFS(L_Actief,1,L_WBS,VERW_Project!$A51,L_Doeljaar,Sel_Doeljaar,L_Versiejaar,P_VJ,L_Versie,"Budget",L_Kengetal,"Woningverkopen FY")=0,"n.b.",SUMIFS(L_Waarde,L_Actief,1,L_WBS,VERW_Project!$A51,L_Doeljaar,Sel_Doeljaar,L_Versiejaar,P_VJ,L_Versie,"Budget",L_Kengetal,"Woningverkopen FY"))))</f>
        <v/>
      </c>
      <c r="Q106" s="81" t="str">
        <f>IF(VERW_Project!$A51="","",IF(AND(ISNUMBER(P106),Sel_Doeljaar=P_RJ,ISNUMBER(J106)),J106-P106,IF(AND(ISNUMBER(P106),Sel_Doeljaar=P_RJ+1,ISNUMBER(K106)),K106-P106,"n.b.")))</f>
        <v/>
      </c>
    </row>
    <row r="107">
      <c r="B107" s="80" t="str">
        <f>IF(VERW_Project!$A52="","",VERW_Project!$C52)</f>
        <v/>
      </c>
      <c r="C107" s="80" t="str">
        <f>IF(VERW_Project!$A52="","",VERW_Project!$D52)</f>
        <v/>
      </c>
      <c r="D107" s="80" t="str">
        <f>IF(VERW_Project!$A52="","",VERW_Project!$E52)</f>
        <v/>
      </c>
      <c r="E107" s="81" t="str">
        <f>IF(VERW_Project!$A52="","",VERW_Project!$F52)</f>
        <v/>
      </c>
      <c r="F107" s="81" t="str">
        <f>IF(VERW_Project!$A52="","",IF(VERW_Project!$G52="Nee","n.v.t.",VERW_Project!$AT52))</f>
        <v/>
      </c>
      <c r="G107" s="82" t="str">
        <f>IF(VERW_Project!$A52="","",IF(VERW_Project!$G52="Nee","n.v.t.",IF(AND(ISNUMBER(F107),ISNUMBER(E107)),IF(E107&gt;0,F107/(E107/100),"n.b."),"n.b.")))</f>
        <v/>
      </c>
      <c r="H107" s="81" t="str">
        <f>IF(VERW_Project!$A52="","",IF(VERW_Project!$G52="Nee","n.v.t.",VERW_Project!$AW52))</f>
        <v/>
      </c>
      <c r="I107" s="81" t="str">
        <f>IF(VERW_Project!$A52="","",IF(VERW_Project!$G52="Nee","n.v.t.",VERW_Project!$BU52))</f>
        <v/>
      </c>
      <c r="J107" s="81" t="str">
        <f>IF(VERW_Project!$A52="","",IF(VERW_Project!$G52="Nee","n.v.t.",VERW_Project!$BW52))</f>
        <v/>
      </c>
      <c r="K107" s="81" t="str">
        <f>IF(VERW_Project!$A52="","",IF(VERW_Project!$G52="Nee","n.v.t.",VERW_Project!$BX52))</f>
        <v/>
      </c>
      <c r="L107" s="81" t="str">
        <f>IF(VERW_Project!$A52="","",IF(VERW_Project!$G52="Nee","n.v.t.",VERW_Project!$CC52))</f>
        <v/>
      </c>
      <c r="M107" s="81" t="str">
        <f>IF(VERW_Project!$A52="","",IF(VERW_Project!$G52="Nee","n.v.t.",VERW_Project!$BC52))</f>
        <v/>
      </c>
      <c r="N107" s="81" t="str">
        <f>IF(VERW_Project!$A52="","",IF(VERW_Project!$G52="Nee","n.v.t.",VERW_Project!$BD52))</f>
        <v/>
      </c>
      <c r="O107" s="83" t="str">
        <f>IF(VERW_Project!$A52="","",IF(AND(ISNUMBER(F107),ISNUMBER(M107)),IF(F107&gt;0,M107/F107,""),""))</f>
        <v/>
      </c>
      <c r="P107" s="81" t="str">
        <f>IF(VERW_Project!$A52="","",IF(VERW_Project!$G52="Nee","n.v.t.",IF(COUNTIFS(L_Actief,1,L_WBS,VERW_Project!$A52,L_Doeljaar,Sel_Doeljaar,L_Versiejaar,P_VJ,L_Versie,"Budget",L_Kengetal,"Woningverkopen FY")=0,"n.b.",SUMIFS(L_Waarde,L_Actief,1,L_WBS,VERW_Project!$A52,L_Doeljaar,Sel_Doeljaar,L_Versiejaar,P_VJ,L_Versie,"Budget",L_Kengetal,"Woningverkopen FY"))))</f>
        <v/>
      </c>
      <c r="Q107" s="81" t="str">
        <f>IF(VERW_Project!$A52="","",IF(AND(ISNUMBER(P107),Sel_Doeljaar=P_RJ,ISNUMBER(J107)),J107-P107,IF(AND(ISNUMBER(P107),Sel_Doeljaar=P_RJ+1,ISNUMBER(K107)),K107-P107,"n.b.")))</f>
        <v/>
      </c>
    </row>
    <row r="108">
      <c r="B108" s="80" t="str">
        <f>IF(VERW_Project!$A53="","",VERW_Project!$C53)</f>
        <v/>
      </c>
      <c r="C108" s="80" t="str">
        <f>IF(VERW_Project!$A53="","",VERW_Project!$D53)</f>
        <v/>
      </c>
      <c r="D108" s="80" t="str">
        <f>IF(VERW_Project!$A53="","",VERW_Project!$E53)</f>
        <v/>
      </c>
      <c r="E108" s="81" t="str">
        <f>IF(VERW_Project!$A53="","",VERW_Project!$F53)</f>
        <v/>
      </c>
      <c r="F108" s="81" t="str">
        <f>IF(VERW_Project!$A53="","",IF(VERW_Project!$G53="Nee","n.v.t.",VERW_Project!$AT53))</f>
        <v/>
      </c>
      <c r="G108" s="82" t="str">
        <f>IF(VERW_Project!$A53="","",IF(VERW_Project!$G53="Nee","n.v.t.",IF(AND(ISNUMBER(F108),ISNUMBER(E108)),IF(E108&gt;0,F108/(E108/100),"n.b."),"n.b.")))</f>
        <v/>
      </c>
      <c r="H108" s="81" t="str">
        <f>IF(VERW_Project!$A53="","",IF(VERW_Project!$G53="Nee","n.v.t.",VERW_Project!$AW53))</f>
        <v/>
      </c>
      <c r="I108" s="81" t="str">
        <f>IF(VERW_Project!$A53="","",IF(VERW_Project!$G53="Nee","n.v.t.",VERW_Project!$BU53))</f>
        <v/>
      </c>
      <c r="J108" s="81" t="str">
        <f>IF(VERW_Project!$A53="","",IF(VERW_Project!$G53="Nee","n.v.t.",VERW_Project!$BW53))</f>
        <v/>
      </c>
      <c r="K108" s="81" t="str">
        <f>IF(VERW_Project!$A53="","",IF(VERW_Project!$G53="Nee","n.v.t.",VERW_Project!$BX53))</f>
        <v/>
      </c>
      <c r="L108" s="81" t="str">
        <f>IF(VERW_Project!$A53="","",IF(VERW_Project!$G53="Nee","n.v.t.",VERW_Project!$CC53))</f>
        <v/>
      </c>
      <c r="M108" s="81" t="str">
        <f>IF(VERW_Project!$A53="","",IF(VERW_Project!$G53="Nee","n.v.t.",VERW_Project!$BC53))</f>
        <v/>
      </c>
      <c r="N108" s="81" t="str">
        <f>IF(VERW_Project!$A53="","",IF(VERW_Project!$G53="Nee","n.v.t.",VERW_Project!$BD53))</f>
        <v/>
      </c>
      <c r="O108" s="83" t="str">
        <f>IF(VERW_Project!$A53="","",IF(AND(ISNUMBER(F108),ISNUMBER(M108)),IF(F108&gt;0,M108/F108,""),""))</f>
        <v/>
      </c>
      <c r="P108" s="81" t="str">
        <f>IF(VERW_Project!$A53="","",IF(VERW_Project!$G53="Nee","n.v.t.",IF(COUNTIFS(L_Actief,1,L_WBS,VERW_Project!$A53,L_Doeljaar,Sel_Doeljaar,L_Versiejaar,P_VJ,L_Versie,"Budget",L_Kengetal,"Woningverkopen FY")=0,"n.b.",SUMIFS(L_Waarde,L_Actief,1,L_WBS,VERW_Project!$A53,L_Doeljaar,Sel_Doeljaar,L_Versiejaar,P_VJ,L_Versie,"Budget",L_Kengetal,"Woningverkopen FY"))))</f>
        <v/>
      </c>
      <c r="Q108" s="81" t="str">
        <f>IF(VERW_Project!$A53="","",IF(AND(ISNUMBER(P108),Sel_Doeljaar=P_RJ,ISNUMBER(J108)),J108-P108,IF(AND(ISNUMBER(P108),Sel_Doeljaar=P_RJ+1,ISNUMBER(K108)),K108-P108,"n.b.")))</f>
        <v/>
      </c>
    </row>
    <row r="109">
      <c r="B109" s="80" t="str">
        <f>IF(VERW_Project!$A54="","",VERW_Project!$C54)</f>
        <v/>
      </c>
      <c r="C109" s="80" t="str">
        <f>IF(VERW_Project!$A54="","",VERW_Project!$D54)</f>
        <v/>
      </c>
      <c r="D109" s="80" t="str">
        <f>IF(VERW_Project!$A54="","",VERW_Project!$E54)</f>
        <v/>
      </c>
      <c r="E109" s="81" t="str">
        <f>IF(VERW_Project!$A54="","",VERW_Project!$F54)</f>
        <v/>
      </c>
      <c r="F109" s="81" t="str">
        <f>IF(VERW_Project!$A54="","",IF(VERW_Project!$G54="Nee","n.v.t.",VERW_Project!$AT54))</f>
        <v/>
      </c>
      <c r="G109" s="82" t="str">
        <f>IF(VERW_Project!$A54="","",IF(VERW_Project!$G54="Nee","n.v.t.",IF(AND(ISNUMBER(F109),ISNUMBER(E109)),IF(E109&gt;0,F109/(E109/100),"n.b."),"n.b.")))</f>
        <v/>
      </c>
      <c r="H109" s="81" t="str">
        <f>IF(VERW_Project!$A54="","",IF(VERW_Project!$G54="Nee","n.v.t.",VERW_Project!$AW54))</f>
        <v/>
      </c>
      <c r="I109" s="81" t="str">
        <f>IF(VERW_Project!$A54="","",IF(VERW_Project!$G54="Nee","n.v.t.",VERW_Project!$BU54))</f>
        <v/>
      </c>
      <c r="J109" s="81" t="str">
        <f>IF(VERW_Project!$A54="","",IF(VERW_Project!$G54="Nee","n.v.t.",VERW_Project!$BW54))</f>
        <v/>
      </c>
      <c r="K109" s="81" t="str">
        <f>IF(VERW_Project!$A54="","",IF(VERW_Project!$G54="Nee","n.v.t.",VERW_Project!$BX54))</f>
        <v/>
      </c>
      <c r="L109" s="81" t="str">
        <f>IF(VERW_Project!$A54="","",IF(VERW_Project!$G54="Nee","n.v.t.",VERW_Project!$CC54))</f>
        <v/>
      </c>
      <c r="M109" s="81" t="str">
        <f>IF(VERW_Project!$A54="","",IF(VERW_Project!$G54="Nee","n.v.t.",VERW_Project!$BC54))</f>
        <v/>
      </c>
      <c r="N109" s="81" t="str">
        <f>IF(VERW_Project!$A54="","",IF(VERW_Project!$G54="Nee","n.v.t.",VERW_Project!$BD54))</f>
        <v/>
      </c>
      <c r="O109" s="83" t="str">
        <f>IF(VERW_Project!$A54="","",IF(AND(ISNUMBER(F109),ISNUMBER(M109)),IF(F109&gt;0,M109/F109,""),""))</f>
        <v/>
      </c>
      <c r="P109" s="81" t="str">
        <f>IF(VERW_Project!$A54="","",IF(VERW_Project!$G54="Nee","n.v.t.",IF(COUNTIFS(L_Actief,1,L_WBS,VERW_Project!$A54,L_Doeljaar,Sel_Doeljaar,L_Versiejaar,P_VJ,L_Versie,"Budget",L_Kengetal,"Woningverkopen FY")=0,"n.b.",SUMIFS(L_Waarde,L_Actief,1,L_WBS,VERW_Project!$A54,L_Doeljaar,Sel_Doeljaar,L_Versiejaar,P_VJ,L_Versie,"Budget",L_Kengetal,"Woningverkopen FY"))))</f>
        <v/>
      </c>
      <c r="Q109" s="81" t="str">
        <f>IF(VERW_Project!$A54="","",IF(AND(ISNUMBER(P109),Sel_Doeljaar=P_RJ,ISNUMBER(J109)),J109-P109,IF(AND(ISNUMBER(P109),Sel_Doeljaar=P_RJ+1,ISNUMBER(K109)),K109-P109,"n.b.")))</f>
        <v/>
      </c>
    </row>
    <row r="110">
      <c r="B110" s="80" t="str">
        <f>IF(VERW_Project!$A55="","",VERW_Project!$C55)</f>
        <v/>
      </c>
      <c r="C110" s="80" t="str">
        <f>IF(VERW_Project!$A55="","",VERW_Project!$D55)</f>
        <v/>
      </c>
      <c r="D110" s="80" t="str">
        <f>IF(VERW_Project!$A55="","",VERW_Project!$E55)</f>
        <v/>
      </c>
      <c r="E110" s="81" t="str">
        <f>IF(VERW_Project!$A55="","",VERW_Project!$F55)</f>
        <v/>
      </c>
      <c r="F110" s="81" t="str">
        <f>IF(VERW_Project!$A55="","",IF(VERW_Project!$G55="Nee","n.v.t.",VERW_Project!$AT55))</f>
        <v/>
      </c>
      <c r="G110" s="82" t="str">
        <f>IF(VERW_Project!$A55="","",IF(VERW_Project!$G55="Nee","n.v.t.",IF(AND(ISNUMBER(F110),ISNUMBER(E110)),IF(E110&gt;0,F110/(E110/100),"n.b."),"n.b.")))</f>
        <v/>
      </c>
      <c r="H110" s="81" t="str">
        <f>IF(VERW_Project!$A55="","",IF(VERW_Project!$G55="Nee","n.v.t.",VERW_Project!$AW55))</f>
        <v/>
      </c>
      <c r="I110" s="81" t="str">
        <f>IF(VERW_Project!$A55="","",IF(VERW_Project!$G55="Nee","n.v.t.",VERW_Project!$BU55))</f>
        <v/>
      </c>
      <c r="J110" s="81" t="str">
        <f>IF(VERW_Project!$A55="","",IF(VERW_Project!$G55="Nee","n.v.t.",VERW_Project!$BW55))</f>
        <v/>
      </c>
      <c r="K110" s="81" t="str">
        <f>IF(VERW_Project!$A55="","",IF(VERW_Project!$G55="Nee","n.v.t.",VERW_Project!$BX55))</f>
        <v/>
      </c>
      <c r="L110" s="81" t="str">
        <f>IF(VERW_Project!$A55="","",IF(VERW_Project!$G55="Nee","n.v.t.",VERW_Project!$CC55))</f>
        <v/>
      </c>
      <c r="M110" s="81" t="str">
        <f>IF(VERW_Project!$A55="","",IF(VERW_Project!$G55="Nee","n.v.t.",VERW_Project!$BC55))</f>
        <v/>
      </c>
      <c r="N110" s="81" t="str">
        <f>IF(VERW_Project!$A55="","",IF(VERW_Project!$G55="Nee","n.v.t.",VERW_Project!$BD55))</f>
        <v/>
      </c>
      <c r="O110" s="83" t="str">
        <f>IF(VERW_Project!$A55="","",IF(AND(ISNUMBER(F110),ISNUMBER(M110)),IF(F110&gt;0,M110/F110,""),""))</f>
        <v/>
      </c>
      <c r="P110" s="81" t="str">
        <f>IF(VERW_Project!$A55="","",IF(VERW_Project!$G55="Nee","n.v.t.",IF(COUNTIFS(L_Actief,1,L_WBS,VERW_Project!$A55,L_Doeljaar,Sel_Doeljaar,L_Versiejaar,P_VJ,L_Versie,"Budget",L_Kengetal,"Woningverkopen FY")=0,"n.b.",SUMIFS(L_Waarde,L_Actief,1,L_WBS,VERW_Project!$A55,L_Doeljaar,Sel_Doeljaar,L_Versiejaar,P_VJ,L_Versie,"Budget",L_Kengetal,"Woningverkopen FY"))))</f>
        <v/>
      </c>
      <c r="Q110" s="81" t="str">
        <f>IF(VERW_Project!$A55="","",IF(AND(ISNUMBER(P110),Sel_Doeljaar=P_RJ,ISNUMBER(J110)),J110-P110,IF(AND(ISNUMBER(P110),Sel_Doeljaar=P_RJ+1,ISNUMBER(K110)),K110-P110,"n.b.")))</f>
        <v/>
      </c>
    </row>
    <row r="111">
      <c r="B111" s="80" t="str">
        <f>IF(VERW_Project!$A56="","",VERW_Project!$C56)</f>
        <v/>
      </c>
      <c r="C111" s="80" t="str">
        <f>IF(VERW_Project!$A56="","",VERW_Project!$D56)</f>
        <v/>
      </c>
      <c r="D111" s="80" t="str">
        <f>IF(VERW_Project!$A56="","",VERW_Project!$E56)</f>
        <v/>
      </c>
      <c r="E111" s="81" t="str">
        <f>IF(VERW_Project!$A56="","",VERW_Project!$F56)</f>
        <v/>
      </c>
      <c r="F111" s="81" t="str">
        <f>IF(VERW_Project!$A56="","",IF(VERW_Project!$G56="Nee","n.v.t.",VERW_Project!$AT56))</f>
        <v/>
      </c>
      <c r="G111" s="82" t="str">
        <f>IF(VERW_Project!$A56="","",IF(VERW_Project!$G56="Nee","n.v.t.",IF(AND(ISNUMBER(F111),ISNUMBER(E111)),IF(E111&gt;0,F111/(E111/100),"n.b."),"n.b.")))</f>
        <v/>
      </c>
      <c r="H111" s="81" t="str">
        <f>IF(VERW_Project!$A56="","",IF(VERW_Project!$G56="Nee","n.v.t.",VERW_Project!$AW56))</f>
        <v/>
      </c>
      <c r="I111" s="81" t="str">
        <f>IF(VERW_Project!$A56="","",IF(VERW_Project!$G56="Nee","n.v.t.",VERW_Project!$BU56))</f>
        <v/>
      </c>
      <c r="J111" s="81" t="str">
        <f>IF(VERW_Project!$A56="","",IF(VERW_Project!$G56="Nee","n.v.t.",VERW_Project!$BW56))</f>
        <v/>
      </c>
      <c r="K111" s="81" t="str">
        <f>IF(VERW_Project!$A56="","",IF(VERW_Project!$G56="Nee","n.v.t.",VERW_Project!$BX56))</f>
        <v/>
      </c>
      <c r="L111" s="81" t="str">
        <f>IF(VERW_Project!$A56="","",IF(VERW_Project!$G56="Nee","n.v.t.",VERW_Project!$CC56))</f>
        <v/>
      </c>
      <c r="M111" s="81" t="str">
        <f>IF(VERW_Project!$A56="","",IF(VERW_Project!$G56="Nee","n.v.t.",VERW_Project!$BC56))</f>
        <v/>
      </c>
      <c r="N111" s="81" t="str">
        <f>IF(VERW_Project!$A56="","",IF(VERW_Project!$G56="Nee","n.v.t.",VERW_Project!$BD56))</f>
        <v/>
      </c>
      <c r="O111" s="83" t="str">
        <f>IF(VERW_Project!$A56="","",IF(AND(ISNUMBER(F111),ISNUMBER(M111)),IF(F111&gt;0,M111/F111,""),""))</f>
        <v/>
      </c>
      <c r="P111" s="81" t="str">
        <f>IF(VERW_Project!$A56="","",IF(VERW_Project!$G56="Nee","n.v.t.",IF(COUNTIFS(L_Actief,1,L_WBS,VERW_Project!$A56,L_Doeljaar,Sel_Doeljaar,L_Versiejaar,P_VJ,L_Versie,"Budget",L_Kengetal,"Woningverkopen FY")=0,"n.b.",SUMIFS(L_Waarde,L_Actief,1,L_WBS,VERW_Project!$A56,L_Doeljaar,Sel_Doeljaar,L_Versiejaar,P_VJ,L_Versie,"Budget",L_Kengetal,"Woningverkopen FY"))))</f>
        <v/>
      </c>
      <c r="Q111" s="81" t="str">
        <f>IF(VERW_Project!$A56="","",IF(AND(ISNUMBER(P111),Sel_Doeljaar=P_RJ,ISNUMBER(J111)),J111-P111,IF(AND(ISNUMBER(P111),Sel_Doeljaar=P_RJ+1,ISNUMBER(K111)),K111-P111,"n.b.")))</f>
        <v/>
      </c>
    </row>
    <row r="112">
      <c r="B112" s="80" t="str">
        <f>IF(VERW_Project!$A57="","",VERW_Project!$C57)</f>
        <v/>
      </c>
      <c r="C112" s="80" t="str">
        <f>IF(VERW_Project!$A57="","",VERW_Project!$D57)</f>
        <v/>
      </c>
      <c r="D112" s="80" t="str">
        <f>IF(VERW_Project!$A57="","",VERW_Project!$E57)</f>
        <v/>
      </c>
      <c r="E112" s="81" t="str">
        <f>IF(VERW_Project!$A57="","",VERW_Project!$F57)</f>
        <v/>
      </c>
      <c r="F112" s="81" t="str">
        <f>IF(VERW_Project!$A57="","",IF(VERW_Project!$G57="Nee","n.v.t.",VERW_Project!$AT57))</f>
        <v/>
      </c>
      <c r="G112" s="82" t="str">
        <f>IF(VERW_Project!$A57="","",IF(VERW_Project!$G57="Nee","n.v.t.",IF(AND(ISNUMBER(F112),ISNUMBER(E112)),IF(E112&gt;0,F112/(E112/100),"n.b."),"n.b.")))</f>
        <v/>
      </c>
      <c r="H112" s="81" t="str">
        <f>IF(VERW_Project!$A57="","",IF(VERW_Project!$G57="Nee","n.v.t.",VERW_Project!$AW57))</f>
        <v/>
      </c>
      <c r="I112" s="81" t="str">
        <f>IF(VERW_Project!$A57="","",IF(VERW_Project!$G57="Nee","n.v.t.",VERW_Project!$BU57))</f>
        <v/>
      </c>
      <c r="J112" s="81" t="str">
        <f>IF(VERW_Project!$A57="","",IF(VERW_Project!$G57="Nee","n.v.t.",VERW_Project!$BW57))</f>
        <v/>
      </c>
      <c r="K112" s="81" t="str">
        <f>IF(VERW_Project!$A57="","",IF(VERW_Project!$G57="Nee","n.v.t.",VERW_Project!$BX57))</f>
        <v/>
      </c>
      <c r="L112" s="81" t="str">
        <f>IF(VERW_Project!$A57="","",IF(VERW_Project!$G57="Nee","n.v.t.",VERW_Project!$CC57))</f>
        <v/>
      </c>
      <c r="M112" s="81" t="str">
        <f>IF(VERW_Project!$A57="","",IF(VERW_Project!$G57="Nee","n.v.t.",VERW_Project!$BC57))</f>
        <v/>
      </c>
      <c r="N112" s="81" t="str">
        <f>IF(VERW_Project!$A57="","",IF(VERW_Project!$G57="Nee","n.v.t.",VERW_Project!$BD57))</f>
        <v/>
      </c>
      <c r="O112" s="83" t="str">
        <f>IF(VERW_Project!$A57="","",IF(AND(ISNUMBER(F112),ISNUMBER(M112)),IF(F112&gt;0,M112/F112,""),""))</f>
        <v/>
      </c>
      <c r="P112" s="81" t="str">
        <f>IF(VERW_Project!$A57="","",IF(VERW_Project!$G57="Nee","n.v.t.",IF(COUNTIFS(L_Actief,1,L_WBS,VERW_Project!$A57,L_Doeljaar,Sel_Doeljaar,L_Versiejaar,P_VJ,L_Versie,"Budget",L_Kengetal,"Woningverkopen FY")=0,"n.b.",SUMIFS(L_Waarde,L_Actief,1,L_WBS,VERW_Project!$A57,L_Doeljaar,Sel_Doeljaar,L_Versiejaar,P_VJ,L_Versie,"Budget",L_Kengetal,"Woningverkopen FY"))))</f>
        <v/>
      </c>
      <c r="Q112" s="81" t="str">
        <f>IF(VERW_Project!$A57="","",IF(AND(ISNUMBER(P112),Sel_Doeljaar=P_RJ,ISNUMBER(J112)),J112-P112,IF(AND(ISNUMBER(P112),Sel_Doeljaar=P_RJ+1,ISNUMBER(K112)),K112-P112,"n.b.")))</f>
        <v/>
      </c>
    </row>
    <row r="113">
      <c r="B113" s="80" t="str">
        <f>IF(VERW_Project!$A58="","",VERW_Project!$C58)</f>
        <v/>
      </c>
      <c r="C113" s="80" t="str">
        <f>IF(VERW_Project!$A58="","",VERW_Project!$D58)</f>
        <v/>
      </c>
      <c r="D113" s="80" t="str">
        <f>IF(VERW_Project!$A58="","",VERW_Project!$E58)</f>
        <v/>
      </c>
      <c r="E113" s="81" t="str">
        <f>IF(VERW_Project!$A58="","",VERW_Project!$F58)</f>
        <v/>
      </c>
      <c r="F113" s="81" t="str">
        <f>IF(VERW_Project!$A58="","",IF(VERW_Project!$G58="Nee","n.v.t.",VERW_Project!$AT58))</f>
        <v/>
      </c>
      <c r="G113" s="82" t="str">
        <f>IF(VERW_Project!$A58="","",IF(VERW_Project!$G58="Nee","n.v.t.",IF(AND(ISNUMBER(F113),ISNUMBER(E113)),IF(E113&gt;0,F113/(E113/100),"n.b."),"n.b.")))</f>
        <v/>
      </c>
      <c r="H113" s="81" t="str">
        <f>IF(VERW_Project!$A58="","",IF(VERW_Project!$G58="Nee","n.v.t.",VERW_Project!$AW58))</f>
        <v/>
      </c>
      <c r="I113" s="81" t="str">
        <f>IF(VERW_Project!$A58="","",IF(VERW_Project!$G58="Nee","n.v.t.",VERW_Project!$BU58))</f>
        <v/>
      </c>
      <c r="J113" s="81" t="str">
        <f>IF(VERW_Project!$A58="","",IF(VERW_Project!$G58="Nee","n.v.t.",VERW_Project!$BW58))</f>
        <v/>
      </c>
      <c r="K113" s="81" t="str">
        <f>IF(VERW_Project!$A58="","",IF(VERW_Project!$G58="Nee","n.v.t.",VERW_Project!$BX58))</f>
        <v/>
      </c>
      <c r="L113" s="81" t="str">
        <f>IF(VERW_Project!$A58="","",IF(VERW_Project!$G58="Nee","n.v.t.",VERW_Project!$CC58))</f>
        <v/>
      </c>
      <c r="M113" s="81" t="str">
        <f>IF(VERW_Project!$A58="","",IF(VERW_Project!$G58="Nee","n.v.t.",VERW_Project!$BC58))</f>
        <v/>
      </c>
      <c r="N113" s="81" t="str">
        <f>IF(VERW_Project!$A58="","",IF(VERW_Project!$G58="Nee","n.v.t.",VERW_Project!$BD58))</f>
        <v/>
      </c>
      <c r="O113" s="83" t="str">
        <f>IF(VERW_Project!$A58="","",IF(AND(ISNUMBER(F113),ISNUMBER(M113)),IF(F113&gt;0,M113/F113,""),""))</f>
        <v/>
      </c>
      <c r="P113" s="81" t="str">
        <f>IF(VERW_Project!$A58="","",IF(VERW_Project!$G58="Nee","n.v.t.",IF(COUNTIFS(L_Actief,1,L_WBS,VERW_Project!$A58,L_Doeljaar,Sel_Doeljaar,L_Versiejaar,P_VJ,L_Versie,"Budget",L_Kengetal,"Woningverkopen FY")=0,"n.b.",SUMIFS(L_Waarde,L_Actief,1,L_WBS,VERW_Project!$A58,L_Doeljaar,Sel_Doeljaar,L_Versiejaar,P_VJ,L_Versie,"Budget",L_Kengetal,"Woningverkopen FY"))))</f>
        <v/>
      </c>
      <c r="Q113" s="81" t="str">
        <f>IF(VERW_Project!$A58="","",IF(AND(ISNUMBER(P113),Sel_Doeljaar=P_RJ,ISNUMBER(J113)),J113-P113,IF(AND(ISNUMBER(P113),Sel_Doeljaar=P_RJ+1,ISNUMBER(K113)),K113-P113,"n.b.")))</f>
        <v/>
      </c>
    </row>
    <row r="114">
      <c r="B114" s="80" t="str">
        <f>IF(VERW_Project!$A59="","",VERW_Project!$C59)</f>
        <v/>
      </c>
      <c r="C114" s="80" t="str">
        <f>IF(VERW_Project!$A59="","",VERW_Project!$D59)</f>
        <v/>
      </c>
      <c r="D114" s="80" t="str">
        <f>IF(VERW_Project!$A59="","",VERW_Project!$E59)</f>
        <v/>
      </c>
      <c r="E114" s="81" t="str">
        <f>IF(VERW_Project!$A59="","",VERW_Project!$F59)</f>
        <v/>
      </c>
      <c r="F114" s="81" t="str">
        <f>IF(VERW_Project!$A59="","",IF(VERW_Project!$G59="Nee","n.v.t.",VERW_Project!$AT59))</f>
        <v/>
      </c>
      <c r="G114" s="82" t="str">
        <f>IF(VERW_Project!$A59="","",IF(VERW_Project!$G59="Nee","n.v.t.",IF(AND(ISNUMBER(F114),ISNUMBER(E114)),IF(E114&gt;0,F114/(E114/100),"n.b."),"n.b.")))</f>
        <v/>
      </c>
      <c r="H114" s="81" t="str">
        <f>IF(VERW_Project!$A59="","",IF(VERW_Project!$G59="Nee","n.v.t.",VERW_Project!$AW59))</f>
        <v/>
      </c>
      <c r="I114" s="81" t="str">
        <f>IF(VERW_Project!$A59="","",IF(VERW_Project!$G59="Nee","n.v.t.",VERW_Project!$BU59))</f>
        <v/>
      </c>
      <c r="J114" s="81" t="str">
        <f>IF(VERW_Project!$A59="","",IF(VERW_Project!$G59="Nee","n.v.t.",VERW_Project!$BW59))</f>
        <v/>
      </c>
      <c r="K114" s="81" t="str">
        <f>IF(VERW_Project!$A59="","",IF(VERW_Project!$G59="Nee","n.v.t.",VERW_Project!$BX59))</f>
        <v/>
      </c>
      <c r="L114" s="81" t="str">
        <f>IF(VERW_Project!$A59="","",IF(VERW_Project!$G59="Nee","n.v.t.",VERW_Project!$CC59))</f>
        <v/>
      </c>
      <c r="M114" s="81" t="str">
        <f>IF(VERW_Project!$A59="","",IF(VERW_Project!$G59="Nee","n.v.t.",VERW_Project!$BC59))</f>
        <v/>
      </c>
      <c r="N114" s="81" t="str">
        <f>IF(VERW_Project!$A59="","",IF(VERW_Project!$G59="Nee","n.v.t.",VERW_Project!$BD59))</f>
        <v/>
      </c>
      <c r="O114" s="83" t="str">
        <f>IF(VERW_Project!$A59="","",IF(AND(ISNUMBER(F114),ISNUMBER(M114)),IF(F114&gt;0,M114/F114,""),""))</f>
        <v/>
      </c>
      <c r="P114" s="81" t="str">
        <f>IF(VERW_Project!$A59="","",IF(VERW_Project!$G59="Nee","n.v.t.",IF(COUNTIFS(L_Actief,1,L_WBS,VERW_Project!$A59,L_Doeljaar,Sel_Doeljaar,L_Versiejaar,P_VJ,L_Versie,"Budget",L_Kengetal,"Woningverkopen FY")=0,"n.b.",SUMIFS(L_Waarde,L_Actief,1,L_WBS,VERW_Project!$A59,L_Doeljaar,Sel_Doeljaar,L_Versiejaar,P_VJ,L_Versie,"Budget",L_Kengetal,"Woningverkopen FY"))))</f>
        <v/>
      </c>
      <c r="Q114" s="81" t="str">
        <f>IF(VERW_Project!$A59="","",IF(AND(ISNUMBER(P114),Sel_Doeljaar=P_RJ,ISNUMBER(J114)),J114-P114,IF(AND(ISNUMBER(P114),Sel_Doeljaar=P_RJ+1,ISNUMBER(K114)),K114-P114,"n.b.")))</f>
        <v/>
      </c>
    </row>
    <row r="115">
      <c r="B115" s="80" t="str">
        <f>IF(VERW_Project!$A60="","",VERW_Project!$C60)</f>
        <v/>
      </c>
      <c r="C115" s="80" t="str">
        <f>IF(VERW_Project!$A60="","",VERW_Project!$D60)</f>
        <v/>
      </c>
      <c r="D115" s="80" t="str">
        <f>IF(VERW_Project!$A60="","",VERW_Project!$E60)</f>
        <v/>
      </c>
      <c r="E115" s="81" t="str">
        <f>IF(VERW_Project!$A60="","",VERW_Project!$F60)</f>
        <v/>
      </c>
      <c r="F115" s="81" t="str">
        <f>IF(VERW_Project!$A60="","",IF(VERW_Project!$G60="Nee","n.v.t.",VERW_Project!$AT60))</f>
        <v/>
      </c>
      <c r="G115" s="82" t="str">
        <f>IF(VERW_Project!$A60="","",IF(VERW_Project!$G60="Nee","n.v.t.",IF(AND(ISNUMBER(F115),ISNUMBER(E115)),IF(E115&gt;0,F115/(E115/100),"n.b."),"n.b.")))</f>
        <v/>
      </c>
      <c r="H115" s="81" t="str">
        <f>IF(VERW_Project!$A60="","",IF(VERW_Project!$G60="Nee","n.v.t.",VERW_Project!$AW60))</f>
        <v/>
      </c>
      <c r="I115" s="81" t="str">
        <f>IF(VERW_Project!$A60="","",IF(VERW_Project!$G60="Nee","n.v.t.",VERW_Project!$BU60))</f>
        <v/>
      </c>
      <c r="J115" s="81" t="str">
        <f>IF(VERW_Project!$A60="","",IF(VERW_Project!$G60="Nee","n.v.t.",VERW_Project!$BW60))</f>
        <v/>
      </c>
      <c r="K115" s="81" t="str">
        <f>IF(VERW_Project!$A60="","",IF(VERW_Project!$G60="Nee","n.v.t.",VERW_Project!$BX60))</f>
        <v/>
      </c>
      <c r="L115" s="81" t="str">
        <f>IF(VERW_Project!$A60="","",IF(VERW_Project!$G60="Nee","n.v.t.",VERW_Project!$CC60))</f>
        <v/>
      </c>
      <c r="M115" s="81" t="str">
        <f>IF(VERW_Project!$A60="","",IF(VERW_Project!$G60="Nee","n.v.t.",VERW_Project!$BC60))</f>
        <v/>
      </c>
      <c r="N115" s="81" t="str">
        <f>IF(VERW_Project!$A60="","",IF(VERW_Project!$G60="Nee","n.v.t.",VERW_Project!$BD60))</f>
        <v/>
      </c>
      <c r="O115" s="83" t="str">
        <f>IF(VERW_Project!$A60="","",IF(AND(ISNUMBER(F115),ISNUMBER(M115)),IF(F115&gt;0,M115/F115,""),""))</f>
        <v/>
      </c>
      <c r="P115" s="81" t="str">
        <f>IF(VERW_Project!$A60="","",IF(VERW_Project!$G60="Nee","n.v.t.",IF(COUNTIFS(L_Actief,1,L_WBS,VERW_Project!$A60,L_Doeljaar,Sel_Doeljaar,L_Versiejaar,P_VJ,L_Versie,"Budget",L_Kengetal,"Woningverkopen FY")=0,"n.b.",SUMIFS(L_Waarde,L_Actief,1,L_WBS,VERW_Project!$A60,L_Doeljaar,Sel_Doeljaar,L_Versiejaar,P_VJ,L_Versie,"Budget",L_Kengetal,"Woningverkopen FY"))))</f>
        <v/>
      </c>
      <c r="Q115" s="81" t="str">
        <f>IF(VERW_Project!$A60="","",IF(AND(ISNUMBER(P115),Sel_Doeljaar=P_RJ,ISNUMBER(J115)),J115-P115,IF(AND(ISNUMBER(P115),Sel_Doeljaar=P_RJ+1,ISNUMBER(K115)),K115-P115,"n.b.")))</f>
        <v/>
      </c>
    </row>
    <row r="116">
      <c r="B116" s="80" t="str">
        <f>IF(VERW_Project!$A61="","",VERW_Project!$C61)</f>
        <v/>
      </c>
      <c r="C116" s="80" t="str">
        <f>IF(VERW_Project!$A61="","",VERW_Project!$D61)</f>
        <v/>
      </c>
      <c r="D116" s="80" t="str">
        <f>IF(VERW_Project!$A61="","",VERW_Project!$E61)</f>
        <v/>
      </c>
      <c r="E116" s="81" t="str">
        <f>IF(VERW_Project!$A61="","",VERW_Project!$F61)</f>
        <v/>
      </c>
      <c r="F116" s="81" t="str">
        <f>IF(VERW_Project!$A61="","",IF(VERW_Project!$G61="Nee","n.v.t.",VERW_Project!$AT61))</f>
        <v/>
      </c>
      <c r="G116" s="82" t="str">
        <f>IF(VERW_Project!$A61="","",IF(VERW_Project!$G61="Nee","n.v.t.",IF(AND(ISNUMBER(F116),ISNUMBER(E116)),IF(E116&gt;0,F116/(E116/100),"n.b."),"n.b.")))</f>
        <v/>
      </c>
      <c r="H116" s="81" t="str">
        <f>IF(VERW_Project!$A61="","",IF(VERW_Project!$G61="Nee","n.v.t.",VERW_Project!$AW61))</f>
        <v/>
      </c>
      <c r="I116" s="81" t="str">
        <f>IF(VERW_Project!$A61="","",IF(VERW_Project!$G61="Nee","n.v.t.",VERW_Project!$BU61))</f>
        <v/>
      </c>
      <c r="J116" s="81" t="str">
        <f>IF(VERW_Project!$A61="","",IF(VERW_Project!$G61="Nee","n.v.t.",VERW_Project!$BW61))</f>
        <v/>
      </c>
      <c r="K116" s="81" t="str">
        <f>IF(VERW_Project!$A61="","",IF(VERW_Project!$G61="Nee","n.v.t.",VERW_Project!$BX61))</f>
        <v/>
      </c>
      <c r="L116" s="81" t="str">
        <f>IF(VERW_Project!$A61="","",IF(VERW_Project!$G61="Nee","n.v.t.",VERW_Project!$CC61))</f>
        <v/>
      </c>
      <c r="M116" s="81" t="str">
        <f>IF(VERW_Project!$A61="","",IF(VERW_Project!$G61="Nee","n.v.t.",VERW_Project!$BC61))</f>
        <v/>
      </c>
      <c r="N116" s="81" t="str">
        <f>IF(VERW_Project!$A61="","",IF(VERW_Project!$G61="Nee","n.v.t.",VERW_Project!$BD61))</f>
        <v/>
      </c>
      <c r="O116" s="83" t="str">
        <f>IF(VERW_Project!$A61="","",IF(AND(ISNUMBER(F116),ISNUMBER(M116)),IF(F116&gt;0,M116/F116,""),""))</f>
        <v/>
      </c>
      <c r="P116" s="81" t="str">
        <f>IF(VERW_Project!$A61="","",IF(VERW_Project!$G61="Nee","n.v.t.",IF(COUNTIFS(L_Actief,1,L_WBS,VERW_Project!$A61,L_Doeljaar,Sel_Doeljaar,L_Versiejaar,P_VJ,L_Versie,"Budget",L_Kengetal,"Woningverkopen FY")=0,"n.b.",SUMIFS(L_Waarde,L_Actief,1,L_WBS,VERW_Project!$A61,L_Doeljaar,Sel_Doeljaar,L_Versiejaar,P_VJ,L_Versie,"Budget",L_Kengetal,"Woningverkopen FY"))))</f>
        <v/>
      </c>
      <c r="Q116" s="81" t="str">
        <f>IF(VERW_Project!$A61="","",IF(AND(ISNUMBER(P116),Sel_Doeljaar=P_RJ,ISNUMBER(J116)),J116-P116,IF(AND(ISNUMBER(P116),Sel_Doeljaar=P_RJ+1,ISNUMBER(K116)),K116-P116,"n.b.")))</f>
        <v/>
      </c>
    </row>
    <row r="117">
      <c r="B117" s="80" t="str">
        <f>IF(VERW_Project!$A62="","",VERW_Project!$C62)</f>
        <v/>
      </c>
      <c r="C117" s="80" t="str">
        <f>IF(VERW_Project!$A62="","",VERW_Project!$D62)</f>
        <v/>
      </c>
      <c r="D117" s="80" t="str">
        <f>IF(VERW_Project!$A62="","",VERW_Project!$E62)</f>
        <v/>
      </c>
      <c r="E117" s="81" t="str">
        <f>IF(VERW_Project!$A62="","",VERW_Project!$F62)</f>
        <v/>
      </c>
      <c r="F117" s="81" t="str">
        <f>IF(VERW_Project!$A62="","",IF(VERW_Project!$G62="Nee","n.v.t.",VERW_Project!$AT62))</f>
        <v/>
      </c>
      <c r="G117" s="82" t="str">
        <f>IF(VERW_Project!$A62="","",IF(VERW_Project!$G62="Nee","n.v.t.",IF(AND(ISNUMBER(F117),ISNUMBER(E117)),IF(E117&gt;0,F117/(E117/100),"n.b."),"n.b.")))</f>
        <v/>
      </c>
      <c r="H117" s="81" t="str">
        <f>IF(VERW_Project!$A62="","",IF(VERW_Project!$G62="Nee","n.v.t.",VERW_Project!$AW62))</f>
        <v/>
      </c>
      <c r="I117" s="81" t="str">
        <f>IF(VERW_Project!$A62="","",IF(VERW_Project!$G62="Nee","n.v.t.",VERW_Project!$BU62))</f>
        <v/>
      </c>
      <c r="J117" s="81" t="str">
        <f>IF(VERW_Project!$A62="","",IF(VERW_Project!$G62="Nee","n.v.t.",VERW_Project!$BW62))</f>
        <v/>
      </c>
      <c r="K117" s="81" t="str">
        <f>IF(VERW_Project!$A62="","",IF(VERW_Project!$G62="Nee","n.v.t.",VERW_Project!$BX62))</f>
        <v/>
      </c>
      <c r="L117" s="81" t="str">
        <f>IF(VERW_Project!$A62="","",IF(VERW_Project!$G62="Nee","n.v.t.",VERW_Project!$CC62))</f>
        <v/>
      </c>
      <c r="M117" s="81" t="str">
        <f>IF(VERW_Project!$A62="","",IF(VERW_Project!$G62="Nee","n.v.t.",VERW_Project!$BC62))</f>
        <v/>
      </c>
      <c r="N117" s="81" t="str">
        <f>IF(VERW_Project!$A62="","",IF(VERW_Project!$G62="Nee","n.v.t.",VERW_Project!$BD62))</f>
        <v/>
      </c>
      <c r="O117" s="83" t="str">
        <f>IF(VERW_Project!$A62="","",IF(AND(ISNUMBER(F117),ISNUMBER(M117)),IF(F117&gt;0,M117/F117,""),""))</f>
        <v/>
      </c>
      <c r="P117" s="81" t="str">
        <f>IF(VERW_Project!$A62="","",IF(VERW_Project!$G62="Nee","n.v.t.",IF(COUNTIFS(L_Actief,1,L_WBS,VERW_Project!$A62,L_Doeljaar,Sel_Doeljaar,L_Versiejaar,P_VJ,L_Versie,"Budget",L_Kengetal,"Woningverkopen FY")=0,"n.b.",SUMIFS(L_Waarde,L_Actief,1,L_WBS,VERW_Project!$A62,L_Doeljaar,Sel_Doeljaar,L_Versiejaar,P_VJ,L_Versie,"Budget",L_Kengetal,"Woningverkopen FY"))))</f>
        <v/>
      </c>
      <c r="Q117" s="81" t="str">
        <f>IF(VERW_Project!$A62="","",IF(AND(ISNUMBER(P117),Sel_Doeljaar=P_RJ,ISNUMBER(J117)),J117-P117,IF(AND(ISNUMBER(P117),Sel_Doeljaar=P_RJ+1,ISNUMBER(K117)),K117-P117,"n.b.")))</f>
        <v/>
      </c>
    </row>
    <row r="118">
      <c r="B118" s="80" t="str">
        <f>IF(VERW_Project!$A63="","",VERW_Project!$C63)</f>
        <v/>
      </c>
      <c r="C118" s="80" t="str">
        <f>IF(VERW_Project!$A63="","",VERW_Project!$D63)</f>
        <v/>
      </c>
      <c r="D118" s="80" t="str">
        <f>IF(VERW_Project!$A63="","",VERW_Project!$E63)</f>
        <v/>
      </c>
      <c r="E118" s="81" t="str">
        <f>IF(VERW_Project!$A63="","",VERW_Project!$F63)</f>
        <v/>
      </c>
      <c r="F118" s="81" t="str">
        <f>IF(VERW_Project!$A63="","",IF(VERW_Project!$G63="Nee","n.v.t.",VERW_Project!$AT63))</f>
        <v/>
      </c>
      <c r="G118" s="82" t="str">
        <f>IF(VERW_Project!$A63="","",IF(VERW_Project!$G63="Nee","n.v.t.",IF(AND(ISNUMBER(F118),ISNUMBER(E118)),IF(E118&gt;0,F118/(E118/100),"n.b."),"n.b.")))</f>
        <v/>
      </c>
      <c r="H118" s="81" t="str">
        <f>IF(VERW_Project!$A63="","",IF(VERW_Project!$G63="Nee","n.v.t.",VERW_Project!$AW63))</f>
        <v/>
      </c>
      <c r="I118" s="81" t="str">
        <f>IF(VERW_Project!$A63="","",IF(VERW_Project!$G63="Nee","n.v.t.",VERW_Project!$BU63))</f>
        <v/>
      </c>
      <c r="J118" s="81" t="str">
        <f>IF(VERW_Project!$A63="","",IF(VERW_Project!$G63="Nee","n.v.t.",VERW_Project!$BW63))</f>
        <v/>
      </c>
      <c r="K118" s="81" t="str">
        <f>IF(VERW_Project!$A63="","",IF(VERW_Project!$G63="Nee","n.v.t.",VERW_Project!$BX63))</f>
        <v/>
      </c>
      <c r="L118" s="81" t="str">
        <f>IF(VERW_Project!$A63="","",IF(VERW_Project!$G63="Nee","n.v.t.",VERW_Project!$CC63))</f>
        <v/>
      </c>
      <c r="M118" s="81" t="str">
        <f>IF(VERW_Project!$A63="","",IF(VERW_Project!$G63="Nee","n.v.t.",VERW_Project!$BC63))</f>
        <v/>
      </c>
      <c r="N118" s="81" t="str">
        <f>IF(VERW_Project!$A63="","",IF(VERW_Project!$G63="Nee","n.v.t.",VERW_Project!$BD63))</f>
        <v/>
      </c>
      <c r="O118" s="83" t="str">
        <f>IF(VERW_Project!$A63="","",IF(AND(ISNUMBER(F118),ISNUMBER(M118)),IF(F118&gt;0,M118/F118,""),""))</f>
        <v/>
      </c>
      <c r="P118" s="81" t="str">
        <f>IF(VERW_Project!$A63="","",IF(VERW_Project!$G63="Nee","n.v.t.",IF(COUNTIFS(L_Actief,1,L_WBS,VERW_Project!$A63,L_Doeljaar,Sel_Doeljaar,L_Versiejaar,P_VJ,L_Versie,"Budget",L_Kengetal,"Woningverkopen FY")=0,"n.b.",SUMIFS(L_Waarde,L_Actief,1,L_WBS,VERW_Project!$A63,L_Doeljaar,Sel_Doeljaar,L_Versiejaar,P_VJ,L_Versie,"Budget",L_Kengetal,"Woningverkopen FY"))))</f>
        <v/>
      </c>
      <c r="Q118" s="81" t="str">
        <f>IF(VERW_Project!$A63="","",IF(AND(ISNUMBER(P118),Sel_Doeljaar=P_RJ,ISNUMBER(J118)),J118-P118,IF(AND(ISNUMBER(P118),Sel_Doeljaar=P_RJ+1,ISNUMBER(K118)),K118-P118,"n.b.")))</f>
        <v/>
      </c>
    </row>
    <row r="119">
      <c r="B119" s="80" t="str">
        <f>IF(VERW_Project!$A64="","",VERW_Project!$C64)</f>
        <v/>
      </c>
      <c r="C119" s="80" t="str">
        <f>IF(VERW_Project!$A64="","",VERW_Project!$D64)</f>
        <v/>
      </c>
      <c r="D119" s="80" t="str">
        <f>IF(VERW_Project!$A64="","",VERW_Project!$E64)</f>
        <v/>
      </c>
      <c r="E119" s="81" t="str">
        <f>IF(VERW_Project!$A64="","",VERW_Project!$F64)</f>
        <v/>
      </c>
      <c r="F119" s="81" t="str">
        <f>IF(VERW_Project!$A64="","",IF(VERW_Project!$G64="Nee","n.v.t.",VERW_Project!$AT64))</f>
        <v/>
      </c>
      <c r="G119" s="82" t="str">
        <f>IF(VERW_Project!$A64="","",IF(VERW_Project!$G64="Nee","n.v.t.",IF(AND(ISNUMBER(F119),ISNUMBER(E119)),IF(E119&gt;0,F119/(E119/100),"n.b."),"n.b.")))</f>
        <v/>
      </c>
      <c r="H119" s="81" t="str">
        <f>IF(VERW_Project!$A64="","",IF(VERW_Project!$G64="Nee","n.v.t.",VERW_Project!$AW64))</f>
        <v/>
      </c>
      <c r="I119" s="81" t="str">
        <f>IF(VERW_Project!$A64="","",IF(VERW_Project!$G64="Nee","n.v.t.",VERW_Project!$BU64))</f>
        <v/>
      </c>
      <c r="J119" s="81" t="str">
        <f>IF(VERW_Project!$A64="","",IF(VERW_Project!$G64="Nee","n.v.t.",VERW_Project!$BW64))</f>
        <v/>
      </c>
      <c r="K119" s="81" t="str">
        <f>IF(VERW_Project!$A64="","",IF(VERW_Project!$G64="Nee","n.v.t.",VERW_Project!$BX64))</f>
        <v/>
      </c>
      <c r="L119" s="81" t="str">
        <f>IF(VERW_Project!$A64="","",IF(VERW_Project!$G64="Nee","n.v.t.",VERW_Project!$CC64))</f>
        <v/>
      </c>
      <c r="M119" s="81" t="str">
        <f>IF(VERW_Project!$A64="","",IF(VERW_Project!$G64="Nee","n.v.t.",VERW_Project!$BC64))</f>
        <v/>
      </c>
      <c r="N119" s="81" t="str">
        <f>IF(VERW_Project!$A64="","",IF(VERW_Project!$G64="Nee","n.v.t.",VERW_Project!$BD64))</f>
        <v/>
      </c>
      <c r="O119" s="83" t="str">
        <f>IF(VERW_Project!$A64="","",IF(AND(ISNUMBER(F119),ISNUMBER(M119)),IF(F119&gt;0,M119/F119,""),""))</f>
        <v/>
      </c>
      <c r="P119" s="81" t="str">
        <f>IF(VERW_Project!$A64="","",IF(VERW_Project!$G64="Nee","n.v.t.",IF(COUNTIFS(L_Actief,1,L_WBS,VERW_Project!$A64,L_Doeljaar,Sel_Doeljaar,L_Versiejaar,P_VJ,L_Versie,"Budget",L_Kengetal,"Woningverkopen FY")=0,"n.b.",SUMIFS(L_Waarde,L_Actief,1,L_WBS,VERW_Project!$A64,L_Doeljaar,Sel_Doeljaar,L_Versiejaar,P_VJ,L_Versie,"Budget",L_Kengetal,"Woningverkopen FY"))))</f>
        <v/>
      </c>
      <c r="Q119" s="81" t="str">
        <f>IF(VERW_Project!$A64="","",IF(AND(ISNUMBER(P119),Sel_Doeljaar=P_RJ,ISNUMBER(J119)),J119-P119,IF(AND(ISNUMBER(P119),Sel_Doeljaar=P_RJ+1,ISNUMBER(K119)),K119-P119,"n.b.")))</f>
        <v/>
      </c>
    </row>
    <row r="120">
      <c r="B120" s="80" t="str">
        <f>IF(VERW_Project!$A65="","",VERW_Project!$C65)</f>
        <v/>
      </c>
      <c r="C120" s="80" t="str">
        <f>IF(VERW_Project!$A65="","",VERW_Project!$D65)</f>
        <v/>
      </c>
      <c r="D120" s="80" t="str">
        <f>IF(VERW_Project!$A65="","",VERW_Project!$E65)</f>
        <v/>
      </c>
      <c r="E120" s="81" t="str">
        <f>IF(VERW_Project!$A65="","",VERW_Project!$F65)</f>
        <v/>
      </c>
      <c r="F120" s="81" t="str">
        <f>IF(VERW_Project!$A65="","",IF(VERW_Project!$G65="Nee","n.v.t.",VERW_Project!$AT65))</f>
        <v/>
      </c>
      <c r="G120" s="82" t="str">
        <f>IF(VERW_Project!$A65="","",IF(VERW_Project!$G65="Nee","n.v.t.",IF(AND(ISNUMBER(F120),ISNUMBER(E120)),IF(E120&gt;0,F120/(E120/100),"n.b."),"n.b.")))</f>
        <v/>
      </c>
      <c r="H120" s="81" t="str">
        <f>IF(VERW_Project!$A65="","",IF(VERW_Project!$G65="Nee","n.v.t.",VERW_Project!$AW65))</f>
        <v/>
      </c>
      <c r="I120" s="81" t="str">
        <f>IF(VERW_Project!$A65="","",IF(VERW_Project!$G65="Nee","n.v.t.",VERW_Project!$BU65))</f>
        <v/>
      </c>
      <c r="J120" s="81" t="str">
        <f>IF(VERW_Project!$A65="","",IF(VERW_Project!$G65="Nee","n.v.t.",VERW_Project!$BW65))</f>
        <v/>
      </c>
      <c r="K120" s="81" t="str">
        <f>IF(VERW_Project!$A65="","",IF(VERW_Project!$G65="Nee","n.v.t.",VERW_Project!$BX65))</f>
        <v/>
      </c>
      <c r="L120" s="81" t="str">
        <f>IF(VERW_Project!$A65="","",IF(VERW_Project!$G65="Nee","n.v.t.",VERW_Project!$CC65))</f>
        <v/>
      </c>
      <c r="M120" s="81" t="str">
        <f>IF(VERW_Project!$A65="","",IF(VERW_Project!$G65="Nee","n.v.t.",VERW_Project!$BC65))</f>
        <v/>
      </c>
      <c r="N120" s="81" t="str">
        <f>IF(VERW_Project!$A65="","",IF(VERW_Project!$G65="Nee","n.v.t.",VERW_Project!$BD65))</f>
        <v/>
      </c>
      <c r="O120" s="83" t="str">
        <f>IF(VERW_Project!$A65="","",IF(AND(ISNUMBER(F120),ISNUMBER(M120)),IF(F120&gt;0,M120/F120,""),""))</f>
        <v/>
      </c>
      <c r="P120" s="81" t="str">
        <f>IF(VERW_Project!$A65="","",IF(VERW_Project!$G65="Nee","n.v.t.",IF(COUNTIFS(L_Actief,1,L_WBS,VERW_Project!$A65,L_Doeljaar,Sel_Doeljaar,L_Versiejaar,P_VJ,L_Versie,"Budget",L_Kengetal,"Woningverkopen FY")=0,"n.b.",SUMIFS(L_Waarde,L_Actief,1,L_WBS,VERW_Project!$A65,L_Doeljaar,Sel_Doeljaar,L_Versiejaar,P_VJ,L_Versie,"Budget",L_Kengetal,"Woningverkopen FY"))))</f>
        <v/>
      </c>
      <c r="Q120" s="81" t="str">
        <f>IF(VERW_Project!$A65="","",IF(AND(ISNUMBER(P120),Sel_Doeljaar=P_RJ,ISNUMBER(J120)),J120-P120,IF(AND(ISNUMBER(P120),Sel_Doeljaar=P_RJ+1,ISNUMBER(K120)),K120-P120,"n.b.")))</f>
        <v/>
      </c>
    </row>
    <row r="121">
      <c r="B121" s="80" t="str">
        <f>IF(VERW_Project!$A66="","",VERW_Project!$C66)</f>
        <v/>
      </c>
      <c r="C121" s="80" t="str">
        <f>IF(VERW_Project!$A66="","",VERW_Project!$D66)</f>
        <v/>
      </c>
      <c r="D121" s="80" t="str">
        <f>IF(VERW_Project!$A66="","",VERW_Project!$E66)</f>
        <v/>
      </c>
      <c r="E121" s="81" t="str">
        <f>IF(VERW_Project!$A66="","",VERW_Project!$F66)</f>
        <v/>
      </c>
      <c r="F121" s="81" t="str">
        <f>IF(VERW_Project!$A66="","",IF(VERW_Project!$G66="Nee","n.v.t.",VERW_Project!$AT66))</f>
        <v/>
      </c>
      <c r="G121" s="82" t="str">
        <f>IF(VERW_Project!$A66="","",IF(VERW_Project!$G66="Nee","n.v.t.",IF(AND(ISNUMBER(F121),ISNUMBER(E121)),IF(E121&gt;0,F121/(E121/100),"n.b."),"n.b.")))</f>
        <v/>
      </c>
      <c r="H121" s="81" t="str">
        <f>IF(VERW_Project!$A66="","",IF(VERW_Project!$G66="Nee","n.v.t.",VERW_Project!$AW66))</f>
        <v/>
      </c>
      <c r="I121" s="81" t="str">
        <f>IF(VERW_Project!$A66="","",IF(VERW_Project!$G66="Nee","n.v.t.",VERW_Project!$BU66))</f>
        <v/>
      </c>
      <c r="J121" s="81" t="str">
        <f>IF(VERW_Project!$A66="","",IF(VERW_Project!$G66="Nee","n.v.t.",VERW_Project!$BW66))</f>
        <v/>
      </c>
      <c r="K121" s="81" t="str">
        <f>IF(VERW_Project!$A66="","",IF(VERW_Project!$G66="Nee","n.v.t.",VERW_Project!$BX66))</f>
        <v/>
      </c>
      <c r="L121" s="81" t="str">
        <f>IF(VERW_Project!$A66="","",IF(VERW_Project!$G66="Nee","n.v.t.",VERW_Project!$CC66))</f>
        <v/>
      </c>
      <c r="M121" s="81" t="str">
        <f>IF(VERW_Project!$A66="","",IF(VERW_Project!$G66="Nee","n.v.t.",VERW_Project!$BC66))</f>
        <v/>
      </c>
      <c r="N121" s="81" t="str">
        <f>IF(VERW_Project!$A66="","",IF(VERW_Project!$G66="Nee","n.v.t.",VERW_Project!$BD66))</f>
        <v/>
      </c>
      <c r="O121" s="83" t="str">
        <f>IF(VERW_Project!$A66="","",IF(AND(ISNUMBER(F121),ISNUMBER(M121)),IF(F121&gt;0,M121/F121,""),""))</f>
        <v/>
      </c>
      <c r="P121" s="81" t="str">
        <f>IF(VERW_Project!$A66="","",IF(VERW_Project!$G66="Nee","n.v.t.",IF(COUNTIFS(L_Actief,1,L_WBS,VERW_Project!$A66,L_Doeljaar,Sel_Doeljaar,L_Versiejaar,P_VJ,L_Versie,"Budget",L_Kengetal,"Woningverkopen FY")=0,"n.b.",SUMIFS(L_Waarde,L_Actief,1,L_WBS,VERW_Project!$A66,L_Doeljaar,Sel_Doeljaar,L_Versiejaar,P_VJ,L_Versie,"Budget",L_Kengetal,"Woningverkopen FY"))))</f>
        <v/>
      </c>
      <c r="Q121" s="81" t="str">
        <f>IF(VERW_Project!$A66="","",IF(AND(ISNUMBER(P121),Sel_Doeljaar=P_RJ,ISNUMBER(J121)),J121-P121,IF(AND(ISNUMBER(P121),Sel_Doeljaar=P_RJ+1,ISNUMBER(K121)),K121-P121,"n.b.")))</f>
        <v/>
      </c>
    </row>
    <row r="122">
      <c r="B122" s="80" t="str">
        <f>IF(VERW_Project!$A67="","",VERW_Project!$C67)</f>
        <v/>
      </c>
      <c r="C122" s="80" t="str">
        <f>IF(VERW_Project!$A67="","",VERW_Project!$D67)</f>
        <v/>
      </c>
      <c r="D122" s="80" t="str">
        <f>IF(VERW_Project!$A67="","",VERW_Project!$E67)</f>
        <v/>
      </c>
      <c r="E122" s="81" t="str">
        <f>IF(VERW_Project!$A67="","",VERW_Project!$F67)</f>
        <v/>
      </c>
      <c r="F122" s="81" t="str">
        <f>IF(VERW_Project!$A67="","",IF(VERW_Project!$G67="Nee","n.v.t.",VERW_Project!$AT67))</f>
        <v/>
      </c>
      <c r="G122" s="82" t="str">
        <f>IF(VERW_Project!$A67="","",IF(VERW_Project!$G67="Nee","n.v.t.",IF(AND(ISNUMBER(F122),ISNUMBER(E122)),IF(E122&gt;0,F122/(E122/100),"n.b."),"n.b.")))</f>
        <v/>
      </c>
      <c r="H122" s="81" t="str">
        <f>IF(VERW_Project!$A67="","",IF(VERW_Project!$G67="Nee","n.v.t.",VERW_Project!$AW67))</f>
        <v/>
      </c>
      <c r="I122" s="81" t="str">
        <f>IF(VERW_Project!$A67="","",IF(VERW_Project!$G67="Nee","n.v.t.",VERW_Project!$BU67))</f>
        <v/>
      </c>
      <c r="J122" s="81" t="str">
        <f>IF(VERW_Project!$A67="","",IF(VERW_Project!$G67="Nee","n.v.t.",VERW_Project!$BW67))</f>
        <v/>
      </c>
      <c r="K122" s="81" t="str">
        <f>IF(VERW_Project!$A67="","",IF(VERW_Project!$G67="Nee","n.v.t.",VERW_Project!$BX67))</f>
        <v/>
      </c>
      <c r="L122" s="81" t="str">
        <f>IF(VERW_Project!$A67="","",IF(VERW_Project!$G67="Nee","n.v.t.",VERW_Project!$CC67))</f>
        <v/>
      </c>
      <c r="M122" s="81" t="str">
        <f>IF(VERW_Project!$A67="","",IF(VERW_Project!$G67="Nee","n.v.t.",VERW_Project!$BC67))</f>
        <v/>
      </c>
      <c r="N122" s="81" t="str">
        <f>IF(VERW_Project!$A67="","",IF(VERW_Project!$G67="Nee","n.v.t.",VERW_Project!$BD67))</f>
        <v/>
      </c>
      <c r="O122" s="83" t="str">
        <f>IF(VERW_Project!$A67="","",IF(AND(ISNUMBER(F122),ISNUMBER(M122)),IF(F122&gt;0,M122/F122,""),""))</f>
        <v/>
      </c>
      <c r="P122" s="81" t="str">
        <f>IF(VERW_Project!$A67="","",IF(VERW_Project!$G67="Nee","n.v.t.",IF(COUNTIFS(L_Actief,1,L_WBS,VERW_Project!$A67,L_Doeljaar,Sel_Doeljaar,L_Versiejaar,P_VJ,L_Versie,"Budget",L_Kengetal,"Woningverkopen FY")=0,"n.b.",SUMIFS(L_Waarde,L_Actief,1,L_WBS,VERW_Project!$A67,L_Doeljaar,Sel_Doeljaar,L_Versiejaar,P_VJ,L_Versie,"Budget",L_Kengetal,"Woningverkopen FY"))))</f>
        <v/>
      </c>
      <c r="Q122" s="81" t="str">
        <f>IF(VERW_Project!$A67="","",IF(AND(ISNUMBER(P122),Sel_Doeljaar=P_RJ,ISNUMBER(J122)),J122-P122,IF(AND(ISNUMBER(P122),Sel_Doeljaar=P_RJ+1,ISNUMBER(K122)),K122-P122,"n.b.")))</f>
        <v/>
      </c>
    </row>
    <row r="123">
      <c r="B123" s="80" t="str">
        <f>IF(VERW_Project!$A68="","",VERW_Project!$C68)</f>
        <v/>
      </c>
      <c r="C123" s="80" t="str">
        <f>IF(VERW_Project!$A68="","",VERW_Project!$D68)</f>
        <v/>
      </c>
      <c r="D123" s="80" t="str">
        <f>IF(VERW_Project!$A68="","",VERW_Project!$E68)</f>
        <v/>
      </c>
      <c r="E123" s="81" t="str">
        <f>IF(VERW_Project!$A68="","",VERW_Project!$F68)</f>
        <v/>
      </c>
      <c r="F123" s="81" t="str">
        <f>IF(VERW_Project!$A68="","",IF(VERW_Project!$G68="Nee","n.v.t.",VERW_Project!$AT68))</f>
        <v/>
      </c>
      <c r="G123" s="82" t="str">
        <f>IF(VERW_Project!$A68="","",IF(VERW_Project!$G68="Nee","n.v.t.",IF(AND(ISNUMBER(F123),ISNUMBER(E123)),IF(E123&gt;0,F123/(E123/100),"n.b."),"n.b.")))</f>
        <v/>
      </c>
      <c r="H123" s="81" t="str">
        <f>IF(VERW_Project!$A68="","",IF(VERW_Project!$G68="Nee","n.v.t.",VERW_Project!$AW68))</f>
        <v/>
      </c>
      <c r="I123" s="81" t="str">
        <f>IF(VERW_Project!$A68="","",IF(VERW_Project!$G68="Nee","n.v.t.",VERW_Project!$BU68))</f>
        <v/>
      </c>
      <c r="J123" s="81" t="str">
        <f>IF(VERW_Project!$A68="","",IF(VERW_Project!$G68="Nee","n.v.t.",VERW_Project!$BW68))</f>
        <v/>
      </c>
      <c r="K123" s="81" t="str">
        <f>IF(VERW_Project!$A68="","",IF(VERW_Project!$G68="Nee","n.v.t.",VERW_Project!$BX68))</f>
        <v/>
      </c>
      <c r="L123" s="81" t="str">
        <f>IF(VERW_Project!$A68="","",IF(VERW_Project!$G68="Nee","n.v.t.",VERW_Project!$CC68))</f>
        <v/>
      </c>
      <c r="M123" s="81" t="str">
        <f>IF(VERW_Project!$A68="","",IF(VERW_Project!$G68="Nee","n.v.t.",VERW_Project!$BC68))</f>
        <v/>
      </c>
      <c r="N123" s="81" t="str">
        <f>IF(VERW_Project!$A68="","",IF(VERW_Project!$G68="Nee","n.v.t.",VERW_Project!$BD68))</f>
        <v/>
      </c>
      <c r="O123" s="83" t="str">
        <f>IF(VERW_Project!$A68="","",IF(AND(ISNUMBER(F123),ISNUMBER(M123)),IF(F123&gt;0,M123/F123,""),""))</f>
        <v/>
      </c>
      <c r="P123" s="81" t="str">
        <f>IF(VERW_Project!$A68="","",IF(VERW_Project!$G68="Nee","n.v.t.",IF(COUNTIFS(L_Actief,1,L_WBS,VERW_Project!$A68,L_Doeljaar,Sel_Doeljaar,L_Versiejaar,P_VJ,L_Versie,"Budget",L_Kengetal,"Woningverkopen FY")=0,"n.b.",SUMIFS(L_Waarde,L_Actief,1,L_WBS,VERW_Project!$A68,L_Doeljaar,Sel_Doeljaar,L_Versiejaar,P_VJ,L_Versie,"Budget",L_Kengetal,"Woningverkopen FY"))))</f>
        <v/>
      </c>
      <c r="Q123" s="81" t="str">
        <f>IF(VERW_Project!$A68="","",IF(AND(ISNUMBER(P123),Sel_Doeljaar=P_RJ,ISNUMBER(J123)),J123-P123,IF(AND(ISNUMBER(P123),Sel_Doeljaar=P_RJ+1,ISNUMBER(K123)),K123-P123,"n.b.")))</f>
        <v/>
      </c>
    </row>
    <row r="124">
      <c r="B124" s="80" t="str">
        <f>IF(VERW_Project!$A69="","",VERW_Project!$C69)</f>
        <v/>
      </c>
      <c r="C124" s="80" t="str">
        <f>IF(VERW_Project!$A69="","",VERW_Project!$D69)</f>
        <v/>
      </c>
      <c r="D124" s="80" t="str">
        <f>IF(VERW_Project!$A69="","",VERW_Project!$E69)</f>
        <v/>
      </c>
      <c r="E124" s="81" t="str">
        <f>IF(VERW_Project!$A69="","",VERW_Project!$F69)</f>
        <v/>
      </c>
      <c r="F124" s="81" t="str">
        <f>IF(VERW_Project!$A69="","",IF(VERW_Project!$G69="Nee","n.v.t.",VERW_Project!$AT69))</f>
        <v/>
      </c>
      <c r="G124" s="82" t="str">
        <f>IF(VERW_Project!$A69="","",IF(VERW_Project!$G69="Nee","n.v.t.",IF(AND(ISNUMBER(F124),ISNUMBER(E124)),IF(E124&gt;0,F124/(E124/100),"n.b."),"n.b.")))</f>
        <v/>
      </c>
      <c r="H124" s="81" t="str">
        <f>IF(VERW_Project!$A69="","",IF(VERW_Project!$G69="Nee","n.v.t.",VERW_Project!$AW69))</f>
        <v/>
      </c>
      <c r="I124" s="81" t="str">
        <f>IF(VERW_Project!$A69="","",IF(VERW_Project!$G69="Nee","n.v.t.",VERW_Project!$BU69))</f>
        <v/>
      </c>
      <c r="J124" s="81" t="str">
        <f>IF(VERW_Project!$A69="","",IF(VERW_Project!$G69="Nee","n.v.t.",VERW_Project!$BW69))</f>
        <v/>
      </c>
      <c r="K124" s="81" t="str">
        <f>IF(VERW_Project!$A69="","",IF(VERW_Project!$G69="Nee","n.v.t.",VERW_Project!$BX69))</f>
        <v/>
      </c>
      <c r="L124" s="81" t="str">
        <f>IF(VERW_Project!$A69="","",IF(VERW_Project!$G69="Nee","n.v.t.",VERW_Project!$CC69))</f>
        <v/>
      </c>
      <c r="M124" s="81" t="str">
        <f>IF(VERW_Project!$A69="","",IF(VERW_Project!$G69="Nee","n.v.t.",VERW_Project!$BC69))</f>
        <v/>
      </c>
      <c r="N124" s="81" t="str">
        <f>IF(VERW_Project!$A69="","",IF(VERW_Project!$G69="Nee","n.v.t.",VERW_Project!$BD69))</f>
        <v/>
      </c>
      <c r="O124" s="83" t="str">
        <f>IF(VERW_Project!$A69="","",IF(AND(ISNUMBER(F124),ISNUMBER(M124)),IF(F124&gt;0,M124/F124,""),""))</f>
        <v/>
      </c>
      <c r="P124" s="81" t="str">
        <f>IF(VERW_Project!$A69="","",IF(VERW_Project!$G69="Nee","n.v.t.",IF(COUNTIFS(L_Actief,1,L_WBS,VERW_Project!$A69,L_Doeljaar,Sel_Doeljaar,L_Versiejaar,P_VJ,L_Versie,"Budget",L_Kengetal,"Woningverkopen FY")=0,"n.b.",SUMIFS(L_Waarde,L_Actief,1,L_WBS,VERW_Project!$A69,L_Doeljaar,Sel_Doeljaar,L_Versiejaar,P_VJ,L_Versie,"Budget",L_Kengetal,"Woningverkopen FY"))))</f>
        <v/>
      </c>
      <c r="Q124" s="81" t="str">
        <f>IF(VERW_Project!$A69="","",IF(AND(ISNUMBER(P124),Sel_Doeljaar=P_RJ,ISNUMBER(J124)),J124-P124,IF(AND(ISNUMBER(P124),Sel_Doeljaar=P_RJ+1,ISNUMBER(K124)),K124-P124,"n.b.")))</f>
        <v/>
      </c>
    </row>
    <row r="125">
      <c r="B125" s="80" t="str">
        <f>IF(VERW_Project!$A70="","",VERW_Project!$C70)</f>
        <v/>
      </c>
      <c r="C125" s="80" t="str">
        <f>IF(VERW_Project!$A70="","",VERW_Project!$D70)</f>
        <v/>
      </c>
      <c r="D125" s="80" t="str">
        <f>IF(VERW_Project!$A70="","",VERW_Project!$E70)</f>
        <v/>
      </c>
      <c r="E125" s="81" t="str">
        <f>IF(VERW_Project!$A70="","",VERW_Project!$F70)</f>
        <v/>
      </c>
      <c r="F125" s="81" t="str">
        <f>IF(VERW_Project!$A70="","",IF(VERW_Project!$G70="Nee","n.v.t.",VERW_Project!$AT70))</f>
        <v/>
      </c>
      <c r="G125" s="82" t="str">
        <f>IF(VERW_Project!$A70="","",IF(VERW_Project!$G70="Nee","n.v.t.",IF(AND(ISNUMBER(F125),ISNUMBER(E125)),IF(E125&gt;0,F125/(E125/100),"n.b."),"n.b.")))</f>
        <v/>
      </c>
      <c r="H125" s="81" t="str">
        <f>IF(VERW_Project!$A70="","",IF(VERW_Project!$G70="Nee","n.v.t.",VERW_Project!$AW70))</f>
        <v/>
      </c>
      <c r="I125" s="81" t="str">
        <f>IF(VERW_Project!$A70="","",IF(VERW_Project!$G70="Nee","n.v.t.",VERW_Project!$BU70))</f>
        <v/>
      </c>
      <c r="J125" s="81" t="str">
        <f>IF(VERW_Project!$A70="","",IF(VERW_Project!$G70="Nee","n.v.t.",VERW_Project!$BW70))</f>
        <v/>
      </c>
      <c r="K125" s="81" t="str">
        <f>IF(VERW_Project!$A70="","",IF(VERW_Project!$G70="Nee","n.v.t.",VERW_Project!$BX70))</f>
        <v/>
      </c>
      <c r="L125" s="81" t="str">
        <f>IF(VERW_Project!$A70="","",IF(VERW_Project!$G70="Nee","n.v.t.",VERW_Project!$CC70))</f>
        <v/>
      </c>
      <c r="M125" s="81" t="str">
        <f>IF(VERW_Project!$A70="","",IF(VERW_Project!$G70="Nee","n.v.t.",VERW_Project!$BC70))</f>
        <v/>
      </c>
      <c r="N125" s="81" t="str">
        <f>IF(VERW_Project!$A70="","",IF(VERW_Project!$G70="Nee","n.v.t.",VERW_Project!$BD70))</f>
        <v/>
      </c>
      <c r="O125" s="83" t="str">
        <f>IF(VERW_Project!$A70="","",IF(AND(ISNUMBER(F125),ISNUMBER(M125)),IF(F125&gt;0,M125/F125,""),""))</f>
        <v/>
      </c>
      <c r="P125" s="81" t="str">
        <f>IF(VERW_Project!$A70="","",IF(VERW_Project!$G70="Nee","n.v.t.",IF(COUNTIFS(L_Actief,1,L_WBS,VERW_Project!$A70,L_Doeljaar,Sel_Doeljaar,L_Versiejaar,P_VJ,L_Versie,"Budget",L_Kengetal,"Woningverkopen FY")=0,"n.b.",SUMIFS(L_Waarde,L_Actief,1,L_WBS,VERW_Project!$A70,L_Doeljaar,Sel_Doeljaar,L_Versiejaar,P_VJ,L_Versie,"Budget",L_Kengetal,"Woningverkopen FY"))))</f>
        <v/>
      </c>
      <c r="Q125" s="81" t="str">
        <f>IF(VERW_Project!$A70="","",IF(AND(ISNUMBER(P125),Sel_Doeljaar=P_RJ,ISNUMBER(J125)),J125-P125,IF(AND(ISNUMBER(P125),Sel_Doeljaar=P_RJ+1,ISNUMBER(K125)),K125-P125,"n.b.")))</f>
        <v/>
      </c>
    </row>
    <row r="126">
      <c r="B126" s="80" t="str">
        <f>IF(VERW_Project!$A71="","",VERW_Project!$C71)</f>
        <v/>
      </c>
      <c r="C126" s="80" t="str">
        <f>IF(VERW_Project!$A71="","",VERW_Project!$D71)</f>
        <v/>
      </c>
      <c r="D126" s="80" t="str">
        <f>IF(VERW_Project!$A71="","",VERW_Project!$E71)</f>
        <v/>
      </c>
      <c r="E126" s="81" t="str">
        <f>IF(VERW_Project!$A71="","",VERW_Project!$F71)</f>
        <v/>
      </c>
      <c r="F126" s="81" t="str">
        <f>IF(VERW_Project!$A71="","",IF(VERW_Project!$G71="Nee","n.v.t.",VERW_Project!$AT71))</f>
        <v/>
      </c>
      <c r="G126" s="82" t="str">
        <f>IF(VERW_Project!$A71="","",IF(VERW_Project!$G71="Nee","n.v.t.",IF(AND(ISNUMBER(F126),ISNUMBER(E126)),IF(E126&gt;0,F126/(E126/100),"n.b."),"n.b.")))</f>
        <v/>
      </c>
      <c r="H126" s="81" t="str">
        <f>IF(VERW_Project!$A71="","",IF(VERW_Project!$G71="Nee","n.v.t.",VERW_Project!$AW71))</f>
        <v/>
      </c>
      <c r="I126" s="81" t="str">
        <f>IF(VERW_Project!$A71="","",IF(VERW_Project!$G71="Nee","n.v.t.",VERW_Project!$BU71))</f>
        <v/>
      </c>
      <c r="J126" s="81" t="str">
        <f>IF(VERW_Project!$A71="","",IF(VERW_Project!$G71="Nee","n.v.t.",VERW_Project!$BW71))</f>
        <v/>
      </c>
      <c r="K126" s="81" t="str">
        <f>IF(VERW_Project!$A71="","",IF(VERW_Project!$G71="Nee","n.v.t.",VERW_Project!$BX71))</f>
        <v/>
      </c>
      <c r="L126" s="81" t="str">
        <f>IF(VERW_Project!$A71="","",IF(VERW_Project!$G71="Nee","n.v.t.",VERW_Project!$CC71))</f>
        <v/>
      </c>
      <c r="M126" s="81" t="str">
        <f>IF(VERW_Project!$A71="","",IF(VERW_Project!$G71="Nee","n.v.t.",VERW_Project!$BC71))</f>
        <v/>
      </c>
      <c r="N126" s="81" t="str">
        <f>IF(VERW_Project!$A71="","",IF(VERW_Project!$G71="Nee","n.v.t.",VERW_Project!$BD71))</f>
        <v/>
      </c>
      <c r="O126" s="83" t="str">
        <f>IF(VERW_Project!$A71="","",IF(AND(ISNUMBER(F126),ISNUMBER(M126)),IF(F126&gt;0,M126/F126,""),""))</f>
        <v/>
      </c>
      <c r="P126" s="81" t="str">
        <f>IF(VERW_Project!$A71="","",IF(VERW_Project!$G71="Nee","n.v.t.",IF(COUNTIFS(L_Actief,1,L_WBS,VERW_Project!$A71,L_Doeljaar,Sel_Doeljaar,L_Versiejaar,P_VJ,L_Versie,"Budget",L_Kengetal,"Woningverkopen FY")=0,"n.b.",SUMIFS(L_Waarde,L_Actief,1,L_WBS,VERW_Project!$A71,L_Doeljaar,Sel_Doeljaar,L_Versiejaar,P_VJ,L_Versie,"Budget",L_Kengetal,"Woningverkopen FY"))))</f>
        <v/>
      </c>
      <c r="Q126" s="81" t="str">
        <f>IF(VERW_Project!$A71="","",IF(AND(ISNUMBER(P126),Sel_Doeljaar=P_RJ,ISNUMBER(J126)),J126-P126,IF(AND(ISNUMBER(P126),Sel_Doeljaar=P_RJ+1,ISNUMBER(K126)),K126-P126,"n.b.")))</f>
        <v/>
      </c>
    </row>
    <row r="127">
      <c r="B127" s="80" t="str">
        <f>IF(VERW_Project!$A72="","",VERW_Project!$C72)</f>
        <v/>
      </c>
      <c r="C127" s="80" t="str">
        <f>IF(VERW_Project!$A72="","",VERW_Project!$D72)</f>
        <v/>
      </c>
      <c r="D127" s="80" t="str">
        <f>IF(VERW_Project!$A72="","",VERW_Project!$E72)</f>
        <v/>
      </c>
      <c r="E127" s="81" t="str">
        <f>IF(VERW_Project!$A72="","",VERW_Project!$F72)</f>
        <v/>
      </c>
      <c r="F127" s="81" t="str">
        <f>IF(VERW_Project!$A72="","",IF(VERW_Project!$G72="Nee","n.v.t.",VERW_Project!$AT72))</f>
        <v/>
      </c>
      <c r="G127" s="82" t="str">
        <f>IF(VERW_Project!$A72="","",IF(VERW_Project!$G72="Nee","n.v.t.",IF(AND(ISNUMBER(F127),ISNUMBER(E127)),IF(E127&gt;0,F127/(E127/100),"n.b."),"n.b.")))</f>
        <v/>
      </c>
      <c r="H127" s="81" t="str">
        <f>IF(VERW_Project!$A72="","",IF(VERW_Project!$G72="Nee","n.v.t.",VERW_Project!$AW72))</f>
        <v/>
      </c>
      <c r="I127" s="81" t="str">
        <f>IF(VERW_Project!$A72="","",IF(VERW_Project!$G72="Nee","n.v.t.",VERW_Project!$BU72))</f>
        <v/>
      </c>
      <c r="J127" s="81" t="str">
        <f>IF(VERW_Project!$A72="","",IF(VERW_Project!$G72="Nee","n.v.t.",VERW_Project!$BW72))</f>
        <v/>
      </c>
      <c r="K127" s="81" t="str">
        <f>IF(VERW_Project!$A72="","",IF(VERW_Project!$G72="Nee","n.v.t.",VERW_Project!$BX72))</f>
        <v/>
      </c>
      <c r="L127" s="81" t="str">
        <f>IF(VERW_Project!$A72="","",IF(VERW_Project!$G72="Nee","n.v.t.",VERW_Project!$CC72))</f>
        <v/>
      </c>
      <c r="M127" s="81" t="str">
        <f>IF(VERW_Project!$A72="","",IF(VERW_Project!$G72="Nee","n.v.t.",VERW_Project!$BC72))</f>
        <v/>
      </c>
      <c r="N127" s="81" t="str">
        <f>IF(VERW_Project!$A72="","",IF(VERW_Project!$G72="Nee","n.v.t.",VERW_Project!$BD72))</f>
        <v/>
      </c>
      <c r="O127" s="83" t="str">
        <f>IF(VERW_Project!$A72="","",IF(AND(ISNUMBER(F127),ISNUMBER(M127)),IF(F127&gt;0,M127/F127,""),""))</f>
        <v/>
      </c>
      <c r="P127" s="81" t="str">
        <f>IF(VERW_Project!$A72="","",IF(VERW_Project!$G72="Nee","n.v.t.",IF(COUNTIFS(L_Actief,1,L_WBS,VERW_Project!$A72,L_Doeljaar,Sel_Doeljaar,L_Versiejaar,P_VJ,L_Versie,"Budget",L_Kengetal,"Woningverkopen FY")=0,"n.b.",SUMIFS(L_Waarde,L_Actief,1,L_WBS,VERW_Project!$A72,L_Doeljaar,Sel_Doeljaar,L_Versiejaar,P_VJ,L_Versie,"Budget",L_Kengetal,"Woningverkopen FY"))))</f>
        <v/>
      </c>
      <c r="Q127" s="81" t="str">
        <f>IF(VERW_Project!$A72="","",IF(AND(ISNUMBER(P127),Sel_Doeljaar=P_RJ,ISNUMBER(J127)),J127-P127,IF(AND(ISNUMBER(P127),Sel_Doeljaar=P_RJ+1,ISNUMBER(K127)),K127-P127,"n.b.")))</f>
        <v/>
      </c>
    </row>
    <row r="128">
      <c r="B128" s="80" t="str">
        <f>IF(VERW_Project!$A73="","",VERW_Project!$C73)</f>
        <v/>
      </c>
      <c r="C128" s="80" t="str">
        <f>IF(VERW_Project!$A73="","",VERW_Project!$D73)</f>
        <v/>
      </c>
      <c r="D128" s="80" t="str">
        <f>IF(VERW_Project!$A73="","",VERW_Project!$E73)</f>
        <v/>
      </c>
      <c r="E128" s="81" t="str">
        <f>IF(VERW_Project!$A73="","",VERW_Project!$F73)</f>
        <v/>
      </c>
      <c r="F128" s="81" t="str">
        <f>IF(VERW_Project!$A73="","",IF(VERW_Project!$G73="Nee","n.v.t.",VERW_Project!$AT73))</f>
        <v/>
      </c>
      <c r="G128" s="82" t="str">
        <f>IF(VERW_Project!$A73="","",IF(VERW_Project!$G73="Nee","n.v.t.",IF(AND(ISNUMBER(F128),ISNUMBER(E128)),IF(E128&gt;0,F128/(E128/100),"n.b."),"n.b.")))</f>
        <v/>
      </c>
      <c r="H128" s="81" t="str">
        <f>IF(VERW_Project!$A73="","",IF(VERW_Project!$G73="Nee","n.v.t.",VERW_Project!$AW73))</f>
        <v/>
      </c>
      <c r="I128" s="81" t="str">
        <f>IF(VERW_Project!$A73="","",IF(VERW_Project!$G73="Nee","n.v.t.",VERW_Project!$BU73))</f>
        <v/>
      </c>
      <c r="J128" s="81" t="str">
        <f>IF(VERW_Project!$A73="","",IF(VERW_Project!$G73="Nee","n.v.t.",VERW_Project!$BW73))</f>
        <v/>
      </c>
      <c r="K128" s="81" t="str">
        <f>IF(VERW_Project!$A73="","",IF(VERW_Project!$G73="Nee","n.v.t.",VERW_Project!$BX73))</f>
        <v/>
      </c>
      <c r="L128" s="81" t="str">
        <f>IF(VERW_Project!$A73="","",IF(VERW_Project!$G73="Nee","n.v.t.",VERW_Project!$CC73))</f>
        <v/>
      </c>
      <c r="M128" s="81" t="str">
        <f>IF(VERW_Project!$A73="","",IF(VERW_Project!$G73="Nee","n.v.t.",VERW_Project!$BC73))</f>
        <v/>
      </c>
      <c r="N128" s="81" t="str">
        <f>IF(VERW_Project!$A73="","",IF(VERW_Project!$G73="Nee","n.v.t.",VERW_Project!$BD73))</f>
        <v/>
      </c>
      <c r="O128" s="83" t="str">
        <f>IF(VERW_Project!$A73="","",IF(AND(ISNUMBER(F128),ISNUMBER(M128)),IF(F128&gt;0,M128/F128,""),""))</f>
        <v/>
      </c>
      <c r="P128" s="81" t="str">
        <f>IF(VERW_Project!$A73="","",IF(VERW_Project!$G73="Nee","n.v.t.",IF(COUNTIFS(L_Actief,1,L_WBS,VERW_Project!$A73,L_Doeljaar,Sel_Doeljaar,L_Versiejaar,P_VJ,L_Versie,"Budget",L_Kengetal,"Woningverkopen FY")=0,"n.b.",SUMIFS(L_Waarde,L_Actief,1,L_WBS,VERW_Project!$A73,L_Doeljaar,Sel_Doeljaar,L_Versiejaar,P_VJ,L_Versie,"Budget",L_Kengetal,"Woningverkopen FY"))))</f>
        <v/>
      </c>
      <c r="Q128" s="81" t="str">
        <f>IF(VERW_Project!$A73="","",IF(AND(ISNUMBER(P128),Sel_Doeljaar=P_RJ,ISNUMBER(J128)),J128-P128,IF(AND(ISNUMBER(P128),Sel_Doeljaar=P_RJ+1,ISNUMBER(K128)),K128-P128,"n.b.")))</f>
        <v/>
      </c>
    </row>
    <row r="129">
      <c r="B129" s="80" t="str">
        <f>IF(VERW_Project!$A74="","",VERW_Project!$C74)</f>
        <v/>
      </c>
      <c r="C129" s="80" t="str">
        <f>IF(VERW_Project!$A74="","",VERW_Project!$D74)</f>
        <v/>
      </c>
      <c r="D129" s="80" t="str">
        <f>IF(VERW_Project!$A74="","",VERW_Project!$E74)</f>
        <v/>
      </c>
      <c r="E129" s="81" t="str">
        <f>IF(VERW_Project!$A74="","",VERW_Project!$F74)</f>
        <v/>
      </c>
      <c r="F129" s="81" t="str">
        <f>IF(VERW_Project!$A74="","",IF(VERW_Project!$G74="Nee","n.v.t.",VERW_Project!$AT74))</f>
        <v/>
      </c>
      <c r="G129" s="82" t="str">
        <f>IF(VERW_Project!$A74="","",IF(VERW_Project!$G74="Nee","n.v.t.",IF(AND(ISNUMBER(F129),ISNUMBER(E129)),IF(E129&gt;0,F129/(E129/100),"n.b."),"n.b.")))</f>
        <v/>
      </c>
      <c r="H129" s="81" t="str">
        <f>IF(VERW_Project!$A74="","",IF(VERW_Project!$G74="Nee","n.v.t.",VERW_Project!$AW74))</f>
        <v/>
      </c>
      <c r="I129" s="81" t="str">
        <f>IF(VERW_Project!$A74="","",IF(VERW_Project!$G74="Nee","n.v.t.",VERW_Project!$BU74))</f>
        <v/>
      </c>
      <c r="J129" s="81" t="str">
        <f>IF(VERW_Project!$A74="","",IF(VERW_Project!$G74="Nee","n.v.t.",VERW_Project!$BW74))</f>
        <v/>
      </c>
      <c r="K129" s="81" t="str">
        <f>IF(VERW_Project!$A74="","",IF(VERW_Project!$G74="Nee","n.v.t.",VERW_Project!$BX74))</f>
        <v/>
      </c>
      <c r="L129" s="81" t="str">
        <f>IF(VERW_Project!$A74="","",IF(VERW_Project!$G74="Nee","n.v.t.",VERW_Project!$CC74))</f>
        <v/>
      </c>
      <c r="M129" s="81" t="str">
        <f>IF(VERW_Project!$A74="","",IF(VERW_Project!$G74="Nee","n.v.t.",VERW_Project!$BC74))</f>
        <v/>
      </c>
      <c r="N129" s="81" t="str">
        <f>IF(VERW_Project!$A74="","",IF(VERW_Project!$G74="Nee","n.v.t.",VERW_Project!$BD74))</f>
        <v/>
      </c>
      <c r="O129" s="83" t="str">
        <f>IF(VERW_Project!$A74="","",IF(AND(ISNUMBER(F129),ISNUMBER(M129)),IF(F129&gt;0,M129/F129,""),""))</f>
        <v/>
      </c>
      <c r="P129" s="81" t="str">
        <f>IF(VERW_Project!$A74="","",IF(VERW_Project!$G74="Nee","n.v.t.",IF(COUNTIFS(L_Actief,1,L_WBS,VERW_Project!$A74,L_Doeljaar,Sel_Doeljaar,L_Versiejaar,P_VJ,L_Versie,"Budget",L_Kengetal,"Woningverkopen FY")=0,"n.b.",SUMIFS(L_Waarde,L_Actief,1,L_WBS,VERW_Project!$A74,L_Doeljaar,Sel_Doeljaar,L_Versiejaar,P_VJ,L_Versie,"Budget",L_Kengetal,"Woningverkopen FY"))))</f>
        <v/>
      </c>
      <c r="Q129" s="81" t="str">
        <f>IF(VERW_Project!$A74="","",IF(AND(ISNUMBER(P129),Sel_Doeljaar=P_RJ,ISNUMBER(J129)),J129-P129,IF(AND(ISNUMBER(P129),Sel_Doeljaar=P_RJ+1,ISNUMBER(K129)),K129-P129,"n.b.")))</f>
        <v/>
      </c>
    </row>
    <row r="130">
      <c r="B130" s="80" t="str">
        <f>IF(VERW_Project!$A75="","",VERW_Project!$C75)</f>
        <v/>
      </c>
      <c r="C130" s="80" t="str">
        <f>IF(VERW_Project!$A75="","",VERW_Project!$D75)</f>
        <v/>
      </c>
      <c r="D130" s="80" t="str">
        <f>IF(VERW_Project!$A75="","",VERW_Project!$E75)</f>
        <v/>
      </c>
      <c r="E130" s="81" t="str">
        <f>IF(VERW_Project!$A75="","",VERW_Project!$F75)</f>
        <v/>
      </c>
      <c r="F130" s="81" t="str">
        <f>IF(VERW_Project!$A75="","",IF(VERW_Project!$G75="Nee","n.v.t.",VERW_Project!$AT75))</f>
        <v/>
      </c>
      <c r="G130" s="82" t="str">
        <f>IF(VERW_Project!$A75="","",IF(VERW_Project!$G75="Nee","n.v.t.",IF(AND(ISNUMBER(F130),ISNUMBER(E130)),IF(E130&gt;0,F130/(E130/100),"n.b."),"n.b.")))</f>
        <v/>
      </c>
      <c r="H130" s="81" t="str">
        <f>IF(VERW_Project!$A75="","",IF(VERW_Project!$G75="Nee","n.v.t.",VERW_Project!$AW75))</f>
        <v/>
      </c>
      <c r="I130" s="81" t="str">
        <f>IF(VERW_Project!$A75="","",IF(VERW_Project!$G75="Nee","n.v.t.",VERW_Project!$BU75))</f>
        <v/>
      </c>
      <c r="J130" s="81" t="str">
        <f>IF(VERW_Project!$A75="","",IF(VERW_Project!$G75="Nee","n.v.t.",VERW_Project!$BW75))</f>
        <v/>
      </c>
      <c r="K130" s="81" t="str">
        <f>IF(VERW_Project!$A75="","",IF(VERW_Project!$G75="Nee","n.v.t.",VERW_Project!$BX75))</f>
        <v/>
      </c>
      <c r="L130" s="81" t="str">
        <f>IF(VERW_Project!$A75="","",IF(VERW_Project!$G75="Nee","n.v.t.",VERW_Project!$CC75))</f>
        <v/>
      </c>
      <c r="M130" s="81" t="str">
        <f>IF(VERW_Project!$A75="","",IF(VERW_Project!$G75="Nee","n.v.t.",VERW_Project!$BC75))</f>
        <v/>
      </c>
      <c r="N130" s="81" t="str">
        <f>IF(VERW_Project!$A75="","",IF(VERW_Project!$G75="Nee","n.v.t.",VERW_Project!$BD75))</f>
        <v/>
      </c>
      <c r="O130" s="83" t="str">
        <f>IF(VERW_Project!$A75="","",IF(AND(ISNUMBER(F130),ISNUMBER(M130)),IF(F130&gt;0,M130/F130,""),""))</f>
        <v/>
      </c>
      <c r="P130" s="81" t="str">
        <f>IF(VERW_Project!$A75="","",IF(VERW_Project!$G75="Nee","n.v.t.",IF(COUNTIFS(L_Actief,1,L_WBS,VERW_Project!$A75,L_Doeljaar,Sel_Doeljaar,L_Versiejaar,P_VJ,L_Versie,"Budget",L_Kengetal,"Woningverkopen FY")=0,"n.b.",SUMIFS(L_Waarde,L_Actief,1,L_WBS,VERW_Project!$A75,L_Doeljaar,Sel_Doeljaar,L_Versiejaar,P_VJ,L_Versie,"Budget",L_Kengetal,"Woningverkopen FY"))))</f>
        <v/>
      </c>
      <c r="Q130" s="81" t="str">
        <f>IF(VERW_Project!$A75="","",IF(AND(ISNUMBER(P130),Sel_Doeljaar=P_RJ,ISNUMBER(J130)),J130-P130,IF(AND(ISNUMBER(P130),Sel_Doeljaar=P_RJ+1,ISNUMBER(K130)),K130-P130,"n.b.")))</f>
        <v/>
      </c>
    </row>
    <row r="131">
      <c r="B131" s="80" t="str">
        <f>IF(VERW_Project!$A76="","",VERW_Project!$C76)</f>
        <v/>
      </c>
      <c r="C131" s="80" t="str">
        <f>IF(VERW_Project!$A76="","",VERW_Project!$D76)</f>
        <v/>
      </c>
      <c r="D131" s="80" t="str">
        <f>IF(VERW_Project!$A76="","",VERW_Project!$E76)</f>
        <v/>
      </c>
      <c r="E131" s="81" t="str">
        <f>IF(VERW_Project!$A76="","",VERW_Project!$F76)</f>
        <v/>
      </c>
      <c r="F131" s="81" t="str">
        <f>IF(VERW_Project!$A76="","",IF(VERW_Project!$G76="Nee","n.v.t.",VERW_Project!$AT76))</f>
        <v/>
      </c>
      <c r="G131" s="82" t="str">
        <f>IF(VERW_Project!$A76="","",IF(VERW_Project!$G76="Nee","n.v.t.",IF(AND(ISNUMBER(F131),ISNUMBER(E131)),IF(E131&gt;0,F131/(E131/100),"n.b."),"n.b.")))</f>
        <v/>
      </c>
      <c r="H131" s="81" t="str">
        <f>IF(VERW_Project!$A76="","",IF(VERW_Project!$G76="Nee","n.v.t.",VERW_Project!$AW76))</f>
        <v/>
      </c>
      <c r="I131" s="81" t="str">
        <f>IF(VERW_Project!$A76="","",IF(VERW_Project!$G76="Nee","n.v.t.",VERW_Project!$BU76))</f>
        <v/>
      </c>
      <c r="J131" s="81" t="str">
        <f>IF(VERW_Project!$A76="","",IF(VERW_Project!$G76="Nee","n.v.t.",VERW_Project!$BW76))</f>
        <v/>
      </c>
      <c r="K131" s="81" t="str">
        <f>IF(VERW_Project!$A76="","",IF(VERW_Project!$G76="Nee","n.v.t.",VERW_Project!$BX76))</f>
        <v/>
      </c>
      <c r="L131" s="81" t="str">
        <f>IF(VERW_Project!$A76="","",IF(VERW_Project!$G76="Nee","n.v.t.",VERW_Project!$CC76))</f>
        <v/>
      </c>
      <c r="M131" s="81" t="str">
        <f>IF(VERW_Project!$A76="","",IF(VERW_Project!$G76="Nee","n.v.t.",VERW_Project!$BC76))</f>
        <v/>
      </c>
      <c r="N131" s="81" t="str">
        <f>IF(VERW_Project!$A76="","",IF(VERW_Project!$G76="Nee","n.v.t.",VERW_Project!$BD76))</f>
        <v/>
      </c>
      <c r="O131" s="83" t="str">
        <f>IF(VERW_Project!$A76="","",IF(AND(ISNUMBER(F131),ISNUMBER(M131)),IF(F131&gt;0,M131/F131,""),""))</f>
        <v/>
      </c>
      <c r="P131" s="81" t="str">
        <f>IF(VERW_Project!$A76="","",IF(VERW_Project!$G76="Nee","n.v.t.",IF(COUNTIFS(L_Actief,1,L_WBS,VERW_Project!$A76,L_Doeljaar,Sel_Doeljaar,L_Versiejaar,P_VJ,L_Versie,"Budget",L_Kengetal,"Woningverkopen FY")=0,"n.b.",SUMIFS(L_Waarde,L_Actief,1,L_WBS,VERW_Project!$A76,L_Doeljaar,Sel_Doeljaar,L_Versiejaar,P_VJ,L_Versie,"Budget",L_Kengetal,"Woningverkopen FY"))))</f>
        <v/>
      </c>
      <c r="Q131" s="81" t="str">
        <f>IF(VERW_Project!$A76="","",IF(AND(ISNUMBER(P131),Sel_Doeljaar=P_RJ,ISNUMBER(J131)),J131-P131,IF(AND(ISNUMBER(P131),Sel_Doeljaar=P_RJ+1,ISNUMBER(K131)),K131-P131,"n.b.")))</f>
        <v/>
      </c>
    </row>
    <row r="132">
      <c r="B132" s="80" t="str">
        <f>IF(VERW_Project!$A77="","",VERW_Project!$C77)</f>
        <v/>
      </c>
      <c r="C132" s="80" t="str">
        <f>IF(VERW_Project!$A77="","",VERW_Project!$D77)</f>
        <v/>
      </c>
      <c r="D132" s="80" t="str">
        <f>IF(VERW_Project!$A77="","",VERW_Project!$E77)</f>
        <v/>
      </c>
      <c r="E132" s="81" t="str">
        <f>IF(VERW_Project!$A77="","",VERW_Project!$F77)</f>
        <v/>
      </c>
      <c r="F132" s="81" t="str">
        <f>IF(VERW_Project!$A77="","",IF(VERW_Project!$G77="Nee","n.v.t.",VERW_Project!$AT77))</f>
        <v/>
      </c>
      <c r="G132" s="82" t="str">
        <f>IF(VERW_Project!$A77="","",IF(VERW_Project!$G77="Nee","n.v.t.",IF(AND(ISNUMBER(F132),ISNUMBER(E132)),IF(E132&gt;0,F132/(E132/100),"n.b."),"n.b.")))</f>
        <v/>
      </c>
      <c r="H132" s="81" t="str">
        <f>IF(VERW_Project!$A77="","",IF(VERW_Project!$G77="Nee","n.v.t.",VERW_Project!$AW77))</f>
        <v/>
      </c>
      <c r="I132" s="81" t="str">
        <f>IF(VERW_Project!$A77="","",IF(VERW_Project!$G77="Nee","n.v.t.",VERW_Project!$BU77))</f>
        <v/>
      </c>
      <c r="J132" s="81" t="str">
        <f>IF(VERW_Project!$A77="","",IF(VERW_Project!$G77="Nee","n.v.t.",VERW_Project!$BW77))</f>
        <v/>
      </c>
      <c r="K132" s="81" t="str">
        <f>IF(VERW_Project!$A77="","",IF(VERW_Project!$G77="Nee","n.v.t.",VERW_Project!$BX77))</f>
        <v/>
      </c>
      <c r="L132" s="81" t="str">
        <f>IF(VERW_Project!$A77="","",IF(VERW_Project!$G77="Nee","n.v.t.",VERW_Project!$CC77))</f>
        <v/>
      </c>
      <c r="M132" s="81" t="str">
        <f>IF(VERW_Project!$A77="","",IF(VERW_Project!$G77="Nee","n.v.t.",VERW_Project!$BC77))</f>
        <v/>
      </c>
      <c r="N132" s="81" t="str">
        <f>IF(VERW_Project!$A77="","",IF(VERW_Project!$G77="Nee","n.v.t.",VERW_Project!$BD77))</f>
        <v/>
      </c>
      <c r="O132" s="83" t="str">
        <f>IF(VERW_Project!$A77="","",IF(AND(ISNUMBER(F132),ISNUMBER(M132)),IF(F132&gt;0,M132/F132,""),""))</f>
        <v/>
      </c>
      <c r="P132" s="81" t="str">
        <f>IF(VERW_Project!$A77="","",IF(VERW_Project!$G77="Nee","n.v.t.",IF(COUNTIFS(L_Actief,1,L_WBS,VERW_Project!$A77,L_Doeljaar,Sel_Doeljaar,L_Versiejaar,P_VJ,L_Versie,"Budget",L_Kengetal,"Woningverkopen FY")=0,"n.b.",SUMIFS(L_Waarde,L_Actief,1,L_WBS,VERW_Project!$A77,L_Doeljaar,Sel_Doeljaar,L_Versiejaar,P_VJ,L_Versie,"Budget",L_Kengetal,"Woningverkopen FY"))))</f>
        <v/>
      </c>
      <c r="Q132" s="81" t="str">
        <f>IF(VERW_Project!$A77="","",IF(AND(ISNUMBER(P132),Sel_Doeljaar=P_RJ,ISNUMBER(J132)),J132-P132,IF(AND(ISNUMBER(P132),Sel_Doeljaar=P_RJ+1,ISNUMBER(K132)),K132-P132,"n.b.")))</f>
        <v/>
      </c>
    </row>
    <row r="133">
      <c r="B133" s="80" t="str">
        <f>IF(VERW_Project!$A78="","",VERW_Project!$C78)</f>
        <v/>
      </c>
      <c r="C133" s="80" t="str">
        <f>IF(VERW_Project!$A78="","",VERW_Project!$D78)</f>
        <v/>
      </c>
      <c r="D133" s="80" t="str">
        <f>IF(VERW_Project!$A78="","",VERW_Project!$E78)</f>
        <v/>
      </c>
      <c r="E133" s="81" t="str">
        <f>IF(VERW_Project!$A78="","",VERW_Project!$F78)</f>
        <v/>
      </c>
      <c r="F133" s="81" t="str">
        <f>IF(VERW_Project!$A78="","",IF(VERW_Project!$G78="Nee","n.v.t.",VERW_Project!$AT78))</f>
        <v/>
      </c>
      <c r="G133" s="82" t="str">
        <f>IF(VERW_Project!$A78="","",IF(VERW_Project!$G78="Nee","n.v.t.",IF(AND(ISNUMBER(F133),ISNUMBER(E133)),IF(E133&gt;0,F133/(E133/100),"n.b."),"n.b.")))</f>
        <v/>
      </c>
      <c r="H133" s="81" t="str">
        <f>IF(VERW_Project!$A78="","",IF(VERW_Project!$G78="Nee","n.v.t.",VERW_Project!$AW78))</f>
        <v/>
      </c>
      <c r="I133" s="81" t="str">
        <f>IF(VERW_Project!$A78="","",IF(VERW_Project!$G78="Nee","n.v.t.",VERW_Project!$BU78))</f>
        <v/>
      </c>
      <c r="J133" s="81" t="str">
        <f>IF(VERW_Project!$A78="","",IF(VERW_Project!$G78="Nee","n.v.t.",VERW_Project!$BW78))</f>
        <v/>
      </c>
      <c r="K133" s="81" t="str">
        <f>IF(VERW_Project!$A78="","",IF(VERW_Project!$G78="Nee","n.v.t.",VERW_Project!$BX78))</f>
        <v/>
      </c>
      <c r="L133" s="81" t="str">
        <f>IF(VERW_Project!$A78="","",IF(VERW_Project!$G78="Nee","n.v.t.",VERW_Project!$CC78))</f>
        <v/>
      </c>
      <c r="M133" s="81" t="str">
        <f>IF(VERW_Project!$A78="","",IF(VERW_Project!$G78="Nee","n.v.t.",VERW_Project!$BC78))</f>
        <v/>
      </c>
      <c r="N133" s="81" t="str">
        <f>IF(VERW_Project!$A78="","",IF(VERW_Project!$G78="Nee","n.v.t.",VERW_Project!$BD78))</f>
        <v/>
      </c>
      <c r="O133" s="83" t="str">
        <f>IF(VERW_Project!$A78="","",IF(AND(ISNUMBER(F133),ISNUMBER(M133)),IF(F133&gt;0,M133/F133,""),""))</f>
        <v/>
      </c>
      <c r="P133" s="81" t="str">
        <f>IF(VERW_Project!$A78="","",IF(VERW_Project!$G78="Nee","n.v.t.",IF(COUNTIFS(L_Actief,1,L_WBS,VERW_Project!$A78,L_Doeljaar,Sel_Doeljaar,L_Versiejaar,P_VJ,L_Versie,"Budget",L_Kengetal,"Woningverkopen FY")=0,"n.b.",SUMIFS(L_Waarde,L_Actief,1,L_WBS,VERW_Project!$A78,L_Doeljaar,Sel_Doeljaar,L_Versiejaar,P_VJ,L_Versie,"Budget",L_Kengetal,"Woningverkopen FY"))))</f>
        <v/>
      </c>
      <c r="Q133" s="81" t="str">
        <f>IF(VERW_Project!$A78="","",IF(AND(ISNUMBER(P133),Sel_Doeljaar=P_RJ,ISNUMBER(J133)),J133-P133,IF(AND(ISNUMBER(P133),Sel_Doeljaar=P_RJ+1,ISNUMBER(K133)),K133-P133,"n.b.")))</f>
        <v/>
      </c>
    </row>
    <row r="134">
      <c r="B134" s="80" t="str">
        <f>IF(VERW_Project!$A79="","",VERW_Project!$C79)</f>
        <v/>
      </c>
      <c r="C134" s="80" t="str">
        <f>IF(VERW_Project!$A79="","",VERW_Project!$D79)</f>
        <v/>
      </c>
      <c r="D134" s="80" t="str">
        <f>IF(VERW_Project!$A79="","",VERW_Project!$E79)</f>
        <v/>
      </c>
      <c r="E134" s="81" t="str">
        <f>IF(VERW_Project!$A79="","",VERW_Project!$F79)</f>
        <v/>
      </c>
      <c r="F134" s="81" t="str">
        <f>IF(VERW_Project!$A79="","",IF(VERW_Project!$G79="Nee","n.v.t.",VERW_Project!$AT79))</f>
        <v/>
      </c>
      <c r="G134" s="82" t="str">
        <f>IF(VERW_Project!$A79="","",IF(VERW_Project!$G79="Nee","n.v.t.",IF(AND(ISNUMBER(F134),ISNUMBER(E134)),IF(E134&gt;0,F134/(E134/100),"n.b."),"n.b.")))</f>
        <v/>
      </c>
      <c r="H134" s="81" t="str">
        <f>IF(VERW_Project!$A79="","",IF(VERW_Project!$G79="Nee","n.v.t.",VERW_Project!$AW79))</f>
        <v/>
      </c>
      <c r="I134" s="81" t="str">
        <f>IF(VERW_Project!$A79="","",IF(VERW_Project!$G79="Nee","n.v.t.",VERW_Project!$BU79))</f>
        <v/>
      </c>
      <c r="J134" s="81" t="str">
        <f>IF(VERW_Project!$A79="","",IF(VERW_Project!$G79="Nee","n.v.t.",VERW_Project!$BW79))</f>
        <v/>
      </c>
      <c r="K134" s="81" t="str">
        <f>IF(VERW_Project!$A79="","",IF(VERW_Project!$G79="Nee","n.v.t.",VERW_Project!$BX79))</f>
        <v/>
      </c>
      <c r="L134" s="81" t="str">
        <f>IF(VERW_Project!$A79="","",IF(VERW_Project!$G79="Nee","n.v.t.",VERW_Project!$CC79))</f>
        <v/>
      </c>
      <c r="M134" s="81" t="str">
        <f>IF(VERW_Project!$A79="","",IF(VERW_Project!$G79="Nee","n.v.t.",VERW_Project!$BC79))</f>
        <v/>
      </c>
      <c r="N134" s="81" t="str">
        <f>IF(VERW_Project!$A79="","",IF(VERW_Project!$G79="Nee","n.v.t.",VERW_Project!$BD79))</f>
        <v/>
      </c>
      <c r="O134" s="83" t="str">
        <f>IF(VERW_Project!$A79="","",IF(AND(ISNUMBER(F134),ISNUMBER(M134)),IF(F134&gt;0,M134/F134,""),""))</f>
        <v/>
      </c>
      <c r="P134" s="81" t="str">
        <f>IF(VERW_Project!$A79="","",IF(VERW_Project!$G79="Nee","n.v.t.",IF(COUNTIFS(L_Actief,1,L_WBS,VERW_Project!$A79,L_Doeljaar,Sel_Doeljaar,L_Versiejaar,P_VJ,L_Versie,"Budget",L_Kengetal,"Woningverkopen FY")=0,"n.b.",SUMIFS(L_Waarde,L_Actief,1,L_WBS,VERW_Project!$A79,L_Doeljaar,Sel_Doeljaar,L_Versiejaar,P_VJ,L_Versie,"Budget",L_Kengetal,"Woningverkopen FY"))))</f>
        <v/>
      </c>
      <c r="Q134" s="81" t="str">
        <f>IF(VERW_Project!$A79="","",IF(AND(ISNUMBER(P134),Sel_Doeljaar=P_RJ,ISNUMBER(J134)),J134-P134,IF(AND(ISNUMBER(P134),Sel_Doeljaar=P_RJ+1,ISNUMBER(K134)),K134-P134,"n.b.")))</f>
        <v/>
      </c>
    </row>
    <row r="135">
      <c r="B135" s="80" t="str">
        <f>IF(VERW_Project!$A80="","",VERW_Project!$C80)</f>
        <v/>
      </c>
      <c r="C135" s="80" t="str">
        <f>IF(VERW_Project!$A80="","",VERW_Project!$D80)</f>
        <v/>
      </c>
      <c r="D135" s="80" t="str">
        <f>IF(VERW_Project!$A80="","",VERW_Project!$E80)</f>
        <v/>
      </c>
      <c r="E135" s="81" t="str">
        <f>IF(VERW_Project!$A80="","",VERW_Project!$F80)</f>
        <v/>
      </c>
      <c r="F135" s="81" t="str">
        <f>IF(VERW_Project!$A80="","",IF(VERW_Project!$G80="Nee","n.v.t.",VERW_Project!$AT80))</f>
        <v/>
      </c>
      <c r="G135" s="82" t="str">
        <f>IF(VERW_Project!$A80="","",IF(VERW_Project!$G80="Nee","n.v.t.",IF(AND(ISNUMBER(F135),ISNUMBER(E135)),IF(E135&gt;0,F135/(E135/100),"n.b."),"n.b.")))</f>
        <v/>
      </c>
      <c r="H135" s="81" t="str">
        <f>IF(VERW_Project!$A80="","",IF(VERW_Project!$G80="Nee","n.v.t.",VERW_Project!$AW80))</f>
        <v/>
      </c>
      <c r="I135" s="81" t="str">
        <f>IF(VERW_Project!$A80="","",IF(VERW_Project!$G80="Nee","n.v.t.",VERW_Project!$BU80))</f>
        <v/>
      </c>
      <c r="J135" s="81" t="str">
        <f>IF(VERW_Project!$A80="","",IF(VERW_Project!$G80="Nee","n.v.t.",VERW_Project!$BW80))</f>
        <v/>
      </c>
      <c r="K135" s="81" t="str">
        <f>IF(VERW_Project!$A80="","",IF(VERW_Project!$G80="Nee","n.v.t.",VERW_Project!$BX80))</f>
        <v/>
      </c>
      <c r="L135" s="81" t="str">
        <f>IF(VERW_Project!$A80="","",IF(VERW_Project!$G80="Nee","n.v.t.",VERW_Project!$CC80))</f>
        <v/>
      </c>
      <c r="M135" s="81" t="str">
        <f>IF(VERW_Project!$A80="","",IF(VERW_Project!$G80="Nee","n.v.t.",VERW_Project!$BC80))</f>
        <v/>
      </c>
      <c r="N135" s="81" t="str">
        <f>IF(VERW_Project!$A80="","",IF(VERW_Project!$G80="Nee","n.v.t.",VERW_Project!$BD80))</f>
        <v/>
      </c>
      <c r="O135" s="83" t="str">
        <f>IF(VERW_Project!$A80="","",IF(AND(ISNUMBER(F135),ISNUMBER(M135)),IF(F135&gt;0,M135/F135,""),""))</f>
        <v/>
      </c>
      <c r="P135" s="81" t="str">
        <f>IF(VERW_Project!$A80="","",IF(VERW_Project!$G80="Nee","n.v.t.",IF(COUNTIFS(L_Actief,1,L_WBS,VERW_Project!$A80,L_Doeljaar,Sel_Doeljaar,L_Versiejaar,P_VJ,L_Versie,"Budget",L_Kengetal,"Woningverkopen FY")=0,"n.b.",SUMIFS(L_Waarde,L_Actief,1,L_WBS,VERW_Project!$A80,L_Doeljaar,Sel_Doeljaar,L_Versiejaar,P_VJ,L_Versie,"Budget",L_Kengetal,"Woningverkopen FY"))))</f>
        <v/>
      </c>
      <c r="Q135" s="81" t="str">
        <f>IF(VERW_Project!$A80="","",IF(AND(ISNUMBER(P135),Sel_Doeljaar=P_RJ,ISNUMBER(J135)),J135-P135,IF(AND(ISNUMBER(P135),Sel_Doeljaar=P_RJ+1,ISNUMBER(K135)),K135-P135,"n.b.")))</f>
        <v/>
      </c>
    </row>
    <row r="136">
      <c r="B136" s="80" t="str">
        <f>IF(VERW_Project!$A81="","",VERW_Project!$C81)</f>
        <v/>
      </c>
      <c r="C136" s="80" t="str">
        <f>IF(VERW_Project!$A81="","",VERW_Project!$D81)</f>
        <v/>
      </c>
      <c r="D136" s="80" t="str">
        <f>IF(VERW_Project!$A81="","",VERW_Project!$E81)</f>
        <v/>
      </c>
      <c r="E136" s="81" t="str">
        <f>IF(VERW_Project!$A81="","",VERW_Project!$F81)</f>
        <v/>
      </c>
      <c r="F136" s="81" t="str">
        <f>IF(VERW_Project!$A81="","",IF(VERW_Project!$G81="Nee","n.v.t.",VERW_Project!$AT81))</f>
        <v/>
      </c>
      <c r="G136" s="82" t="str">
        <f>IF(VERW_Project!$A81="","",IF(VERW_Project!$G81="Nee","n.v.t.",IF(AND(ISNUMBER(F136),ISNUMBER(E136)),IF(E136&gt;0,F136/(E136/100),"n.b."),"n.b.")))</f>
        <v/>
      </c>
      <c r="H136" s="81" t="str">
        <f>IF(VERW_Project!$A81="","",IF(VERW_Project!$G81="Nee","n.v.t.",VERW_Project!$AW81))</f>
        <v/>
      </c>
      <c r="I136" s="81" t="str">
        <f>IF(VERW_Project!$A81="","",IF(VERW_Project!$G81="Nee","n.v.t.",VERW_Project!$BU81))</f>
        <v/>
      </c>
      <c r="J136" s="81" t="str">
        <f>IF(VERW_Project!$A81="","",IF(VERW_Project!$G81="Nee","n.v.t.",VERW_Project!$BW81))</f>
        <v/>
      </c>
      <c r="K136" s="81" t="str">
        <f>IF(VERW_Project!$A81="","",IF(VERW_Project!$G81="Nee","n.v.t.",VERW_Project!$BX81))</f>
        <v/>
      </c>
      <c r="L136" s="81" t="str">
        <f>IF(VERW_Project!$A81="","",IF(VERW_Project!$G81="Nee","n.v.t.",VERW_Project!$CC81))</f>
        <v/>
      </c>
      <c r="M136" s="81" t="str">
        <f>IF(VERW_Project!$A81="","",IF(VERW_Project!$G81="Nee","n.v.t.",VERW_Project!$BC81))</f>
        <v/>
      </c>
      <c r="N136" s="81" t="str">
        <f>IF(VERW_Project!$A81="","",IF(VERW_Project!$G81="Nee","n.v.t.",VERW_Project!$BD81))</f>
        <v/>
      </c>
      <c r="O136" s="83" t="str">
        <f>IF(VERW_Project!$A81="","",IF(AND(ISNUMBER(F136),ISNUMBER(M136)),IF(F136&gt;0,M136/F136,""),""))</f>
        <v/>
      </c>
      <c r="P136" s="81" t="str">
        <f>IF(VERW_Project!$A81="","",IF(VERW_Project!$G81="Nee","n.v.t.",IF(COUNTIFS(L_Actief,1,L_WBS,VERW_Project!$A81,L_Doeljaar,Sel_Doeljaar,L_Versiejaar,P_VJ,L_Versie,"Budget",L_Kengetal,"Woningverkopen FY")=0,"n.b.",SUMIFS(L_Waarde,L_Actief,1,L_WBS,VERW_Project!$A81,L_Doeljaar,Sel_Doeljaar,L_Versiejaar,P_VJ,L_Versie,"Budget",L_Kengetal,"Woningverkopen FY"))))</f>
        <v/>
      </c>
      <c r="Q136" s="81" t="str">
        <f>IF(VERW_Project!$A81="","",IF(AND(ISNUMBER(P136),Sel_Doeljaar=P_RJ,ISNUMBER(J136)),J136-P136,IF(AND(ISNUMBER(P136),Sel_Doeljaar=P_RJ+1,ISNUMBER(K136)),K136-P136,"n.b.")))</f>
        <v/>
      </c>
    </row>
    <row r="137">
      <c r="B137" s="80" t="str">
        <f>IF(VERW_Project!$A82="","",VERW_Project!$C82)</f>
        <v/>
      </c>
      <c r="C137" s="80" t="str">
        <f>IF(VERW_Project!$A82="","",VERW_Project!$D82)</f>
        <v/>
      </c>
      <c r="D137" s="80" t="str">
        <f>IF(VERW_Project!$A82="","",VERW_Project!$E82)</f>
        <v/>
      </c>
      <c r="E137" s="81" t="str">
        <f>IF(VERW_Project!$A82="","",VERW_Project!$F82)</f>
        <v/>
      </c>
      <c r="F137" s="81" t="str">
        <f>IF(VERW_Project!$A82="","",IF(VERW_Project!$G82="Nee","n.v.t.",VERW_Project!$AT82))</f>
        <v/>
      </c>
      <c r="G137" s="82" t="str">
        <f>IF(VERW_Project!$A82="","",IF(VERW_Project!$G82="Nee","n.v.t.",IF(AND(ISNUMBER(F137),ISNUMBER(E137)),IF(E137&gt;0,F137/(E137/100),"n.b."),"n.b.")))</f>
        <v/>
      </c>
      <c r="H137" s="81" t="str">
        <f>IF(VERW_Project!$A82="","",IF(VERW_Project!$G82="Nee","n.v.t.",VERW_Project!$AW82))</f>
        <v/>
      </c>
      <c r="I137" s="81" t="str">
        <f>IF(VERW_Project!$A82="","",IF(VERW_Project!$G82="Nee","n.v.t.",VERW_Project!$BU82))</f>
        <v/>
      </c>
      <c r="J137" s="81" t="str">
        <f>IF(VERW_Project!$A82="","",IF(VERW_Project!$G82="Nee","n.v.t.",VERW_Project!$BW82))</f>
        <v/>
      </c>
      <c r="K137" s="81" t="str">
        <f>IF(VERW_Project!$A82="","",IF(VERW_Project!$G82="Nee","n.v.t.",VERW_Project!$BX82))</f>
        <v/>
      </c>
      <c r="L137" s="81" t="str">
        <f>IF(VERW_Project!$A82="","",IF(VERW_Project!$G82="Nee","n.v.t.",VERW_Project!$CC82))</f>
        <v/>
      </c>
      <c r="M137" s="81" t="str">
        <f>IF(VERW_Project!$A82="","",IF(VERW_Project!$G82="Nee","n.v.t.",VERW_Project!$BC82))</f>
        <v/>
      </c>
      <c r="N137" s="81" t="str">
        <f>IF(VERW_Project!$A82="","",IF(VERW_Project!$G82="Nee","n.v.t.",VERW_Project!$BD82))</f>
        <v/>
      </c>
      <c r="O137" s="83" t="str">
        <f>IF(VERW_Project!$A82="","",IF(AND(ISNUMBER(F137),ISNUMBER(M137)),IF(F137&gt;0,M137/F137,""),""))</f>
        <v/>
      </c>
      <c r="P137" s="81" t="str">
        <f>IF(VERW_Project!$A82="","",IF(VERW_Project!$G82="Nee","n.v.t.",IF(COUNTIFS(L_Actief,1,L_WBS,VERW_Project!$A82,L_Doeljaar,Sel_Doeljaar,L_Versiejaar,P_VJ,L_Versie,"Budget",L_Kengetal,"Woningverkopen FY")=0,"n.b.",SUMIFS(L_Waarde,L_Actief,1,L_WBS,VERW_Project!$A82,L_Doeljaar,Sel_Doeljaar,L_Versiejaar,P_VJ,L_Versie,"Budget",L_Kengetal,"Woningverkopen FY"))))</f>
        <v/>
      </c>
      <c r="Q137" s="81" t="str">
        <f>IF(VERW_Project!$A82="","",IF(AND(ISNUMBER(P137),Sel_Doeljaar=P_RJ,ISNUMBER(J137)),J137-P137,IF(AND(ISNUMBER(P137),Sel_Doeljaar=P_RJ+1,ISNUMBER(K137)),K137-P137,"n.b.")))</f>
        <v/>
      </c>
    </row>
    <row r="138">
      <c r="B138" s="80" t="str">
        <f>IF(VERW_Project!$A83="","",VERW_Project!$C83)</f>
        <v/>
      </c>
      <c r="C138" s="80" t="str">
        <f>IF(VERW_Project!$A83="","",VERW_Project!$D83)</f>
        <v/>
      </c>
      <c r="D138" s="80" t="str">
        <f>IF(VERW_Project!$A83="","",VERW_Project!$E83)</f>
        <v/>
      </c>
      <c r="E138" s="81" t="str">
        <f>IF(VERW_Project!$A83="","",VERW_Project!$F83)</f>
        <v/>
      </c>
      <c r="F138" s="81" t="str">
        <f>IF(VERW_Project!$A83="","",IF(VERW_Project!$G83="Nee","n.v.t.",VERW_Project!$AT83))</f>
        <v/>
      </c>
      <c r="G138" s="82" t="str">
        <f>IF(VERW_Project!$A83="","",IF(VERW_Project!$G83="Nee","n.v.t.",IF(AND(ISNUMBER(F138),ISNUMBER(E138)),IF(E138&gt;0,F138/(E138/100),"n.b."),"n.b.")))</f>
        <v/>
      </c>
      <c r="H138" s="81" t="str">
        <f>IF(VERW_Project!$A83="","",IF(VERW_Project!$G83="Nee","n.v.t.",VERW_Project!$AW83))</f>
        <v/>
      </c>
      <c r="I138" s="81" t="str">
        <f>IF(VERW_Project!$A83="","",IF(VERW_Project!$G83="Nee","n.v.t.",VERW_Project!$BU83))</f>
        <v/>
      </c>
      <c r="J138" s="81" t="str">
        <f>IF(VERW_Project!$A83="","",IF(VERW_Project!$G83="Nee","n.v.t.",VERW_Project!$BW83))</f>
        <v/>
      </c>
      <c r="K138" s="81" t="str">
        <f>IF(VERW_Project!$A83="","",IF(VERW_Project!$G83="Nee","n.v.t.",VERW_Project!$BX83))</f>
        <v/>
      </c>
      <c r="L138" s="81" t="str">
        <f>IF(VERW_Project!$A83="","",IF(VERW_Project!$G83="Nee","n.v.t.",VERW_Project!$CC83))</f>
        <v/>
      </c>
      <c r="M138" s="81" t="str">
        <f>IF(VERW_Project!$A83="","",IF(VERW_Project!$G83="Nee","n.v.t.",VERW_Project!$BC83))</f>
        <v/>
      </c>
      <c r="N138" s="81" t="str">
        <f>IF(VERW_Project!$A83="","",IF(VERW_Project!$G83="Nee","n.v.t.",VERW_Project!$BD83))</f>
        <v/>
      </c>
      <c r="O138" s="83" t="str">
        <f>IF(VERW_Project!$A83="","",IF(AND(ISNUMBER(F138),ISNUMBER(M138)),IF(F138&gt;0,M138/F138,""),""))</f>
        <v/>
      </c>
      <c r="P138" s="81" t="str">
        <f>IF(VERW_Project!$A83="","",IF(VERW_Project!$G83="Nee","n.v.t.",IF(COUNTIFS(L_Actief,1,L_WBS,VERW_Project!$A83,L_Doeljaar,Sel_Doeljaar,L_Versiejaar,P_VJ,L_Versie,"Budget",L_Kengetal,"Woningverkopen FY")=0,"n.b.",SUMIFS(L_Waarde,L_Actief,1,L_WBS,VERW_Project!$A83,L_Doeljaar,Sel_Doeljaar,L_Versiejaar,P_VJ,L_Versie,"Budget",L_Kengetal,"Woningverkopen FY"))))</f>
        <v/>
      </c>
      <c r="Q138" s="81" t="str">
        <f>IF(VERW_Project!$A83="","",IF(AND(ISNUMBER(P138),Sel_Doeljaar=P_RJ,ISNUMBER(J138)),J138-P138,IF(AND(ISNUMBER(P138),Sel_Doeljaar=P_RJ+1,ISNUMBER(K138)),K138-P138,"n.b.")))</f>
        <v/>
      </c>
    </row>
    <row r="139">
      <c r="B139" s="80" t="str">
        <f>IF(VERW_Project!$A84="","",VERW_Project!$C84)</f>
        <v/>
      </c>
      <c r="C139" s="80" t="str">
        <f>IF(VERW_Project!$A84="","",VERW_Project!$D84)</f>
        <v/>
      </c>
      <c r="D139" s="80" t="str">
        <f>IF(VERW_Project!$A84="","",VERW_Project!$E84)</f>
        <v/>
      </c>
      <c r="E139" s="81" t="str">
        <f>IF(VERW_Project!$A84="","",VERW_Project!$F84)</f>
        <v/>
      </c>
      <c r="F139" s="81" t="str">
        <f>IF(VERW_Project!$A84="","",IF(VERW_Project!$G84="Nee","n.v.t.",VERW_Project!$AT84))</f>
        <v/>
      </c>
      <c r="G139" s="82" t="str">
        <f>IF(VERW_Project!$A84="","",IF(VERW_Project!$G84="Nee","n.v.t.",IF(AND(ISNUMBER(F139),ISNUMBER(E139)),IF(E139&gt;0,F139/(E139/100),"n.b."),"n.b.")))</f>
        <v/>
      </c>
      <c r="H139" s="81" t="str">
        <f>IF(VERW_Project!$A84="","",IF(VERW_Project!$G84="Nee","n.v.t.",VERW_Project!$AW84))</f>
        <v/>
      </c>
      <c r="I139" s="81" t="str">
        <f>IF(VERW_Project!$A84="","",IF(VERW_Project!$G84="Nee","n.v.t.",VERW_Project!$BU84))</f>
        <v/>
      </c>
      <c r="J139" s="81" t="str">
        <f>IF(VERW_Project!$A84="","",IF(VERW_Project!$G84="Nee","n.v.t.",VERW_Project!$BW84))</f>
        <v/>
      </c>
      <c r="K139" s="81" t="str">
        <f>IF(VERW_Project!$A84="","",IF(VERW_Project!$G84="Nee","n.v.t.",VERW_Project!$BX84))</f>
        <v/>
      </c>
      <c r="L139" s="81" t="str">
        <f>IF(VERW_Project!$A84="","",IF(VERW_Project!$G84="Nee","n.v.t.",VERW_Project!$CC84))</f>
        <v/>
      </c>
      <c r="M139" s="81" t="str">
        <f>IF(VERW_Project!$A84="","",IF(VERW_Project!$G84="Nee","n.v.t.",VERW_Project!$BC84))</f>
        <v/>
      </c>
      <c r="N139" s="81" t="str">
        <f>IF(VERW_Project!$A84="","",IF(VERW_Project!$G84="Nee","n.v.t.",VERW_Project!$BD84))</f>
        <v/>
      </c>
      <c r="O139" s="83" t="str">
        <f>IF(VERW_Project!$A84="","",IF(AND(ISNUMBER(F139),ISNUMBER(M139)),IF(F139&gt;0,M139/F139,""),""))</f>
        <v/>
      </c>
      <c r="P139" s="81" t="str">
        <f>IF(VERW_Project!$A84="","",IF(VERW_Project!$G84="Nee","n.v.t.",IF(COUNTIFS(L_Actief,1,L_WBS,VERW_Project!$A84,L_Doeljaar,Sel_Doeljaar,L_Versiejaar,P_VJ,L_Versie,"Budget",L_Kengetal,"Woningverkopen FY")=0,"n.b.",SUMIFS(L_Waarde,L_Actief,1,L_WBS,VERW_Project!$A84,L_Doeljaar,Sel_Doeljaar,L_Versiejaar,P_VJ,L_Versie,"Budget",L_Kengetal,"Woningverkopen FY"))))</f>
        <v/>
      </c>
      <c r="Q139" s="81" t="str">
        <f>IF(VERW_Project!$A84="","",IF(AND(ISNUMBER(P139),Sel_Doeljaar=P_RJ,ISNUMBER(J139)),J139-P139,IF(AND(ISNUMBER(P139),Sel_Doeljaar=P_RJ+1,ISNUMBER(K139)),K139-P139,"n.b.")))</f>
        <v/>
      </c>
    </row>
    <row r="140">
      <c r="B140" s="80" t="str">
        <f>IF(VERW_Project!$A85="","",VERW_Project!$C85)</f>
        <v/>
      </c>
      <c r="C140" s="80" t="str">
        <f>IF(VERW_Project!$A85="","",VERW_Project!$D85)</f>
        <v/>
      </c>
      <c r="D140" s="80" t="str">
        <f>IF(VERW_Project!$A85="","",VERW_Project!$E85)</f>
        <v/>
      </c>
      <c r="E140" s="81" t="str">
        <f>IF(VERW_Project!$A85="","",VERW_Project!$F85)</f>
        <v/>
      </c>
      <c r="F140" s="81" t="str">
        <f>IF(VERW_Project!$A85="","",IF(VERW_Project!$G85="Nee","n.v.t.",VERW_Project!$AT85))</f>
        <v/>
      </c>
      <c r="G140" s="82" t="str">
        <f>IF(VERW_Project!$A85="","",IF(VERW_Project!$G85="Nee","n.v.t.",IF(AND(ISNUMBER(F140),ISNUMBER(E140)),IF(E140&gt;0,F140/(E140/100),"n.b."),"n.b.")))</f>
        <v/>
      </c>
      <c r="H140" s="81" t="str">
        <f>IF(VERW_Project!$A85="","",IF(VERW_Project!$G85="Nee","n.v.t.",VERW_Project!$AW85))</f>
        <v/>
      </c>
      <c r="I140" s="81" t="str">
        <f>IF(VERW_Project!$A85="","",IF(VERW_Project!$G85="Nee","n.v.t.",VERW_Project!$BU85))</f>
        <v/>
      </c>
      <c r="J140" s="81" t="str">
        <f>IF(VERW_Project!$A85="","",IF(VERW_Project!$G85="Nee","n.v.t.",VERW_Project!$BW85))</f>
        <v/>
      </c>
      <c r="K140" s="81" t="str">
        <f>IF(VERW_Project!$A85="","",IF(VERW_Project!$G85="Nee","n.v.t.",VERW_Project!$BX85))</f>
        <v/>
      </c>
      <c r="L140" s="81" t="str">
        <f>IF(VERW_Project!$A85="","",IF(VERW_Project!$G85="Nee","n.v.t.",VERW_Project!$CC85))</f>
        <v/>
      </c>
      <c r="M140" s="81" t="str">
        <f>IF(VERW_Project!$A85="","",IF(VERW_Project!$G85="Nee","n.v.t.",VERW_Project!$BC85))</f>
        <v/>
      </c>
      <c r="N140" s="81" t="str">
        <f>IF(VERW_Project!$A85="","",IF(VERW_Project!$G85="Nee","n.v.t.",VERW_Project!$BD85))</f>
        <v/>
      </c>
      <c r="O140" s="83" t="str">
        <f>IF(VERW_Project!$A85="","",IF(AND(ISNUMBER(F140),ISNUMBER(M140)),IF(F140&gt;0,M140/F140,""),""))</f>
        <v/>
      </c>
      <c r="P140" s="81" t="str">
        <f>IF(VERW_Project!$A85="","",IF(VERW_Project!$G85="Nee","n.v.t.",IF(COUNTIFS(L_Actief,1,L_WBS,VERW_Project!$A85,L_Doeljaar,Sel_Doeljaar,L_Versiejaar,P_VJ,L_Versie,"Budget",L_Kengetal,"Woningverkopen FY")=0,"n.b.",SUMIFS(L_Waarde,L_Actief,1,L_WBS,VERW_Project!$A85,L_Doeljaar,Sel_Doeljaar,L_Versiejaar,P_VJ,L_Versie,"Budget",L_Kengetal,"Woningverkopen FY"))))</f>
        <v/>
      </c>
      <c r="Q140" s="81" t="str">
        <f>IF(VERW_Project!$A85="","",IF(AND(ISNUMBER(P140),Sel_Doeljaar=P_RJ,ISNUMBER(J140)),J140-P140,IF(AND(ISNUMBER(P140),Sel_Doeljaar=P_RJ+1,ISNUMBER(K140)),K140-P140,"n.b.")))</f>
        <v/>
      </c>
    </row>
    <row r="141">
      <c r="B141" s="80" t="str">
        <f>IF(VERW_Project!$A86="","",VERW_Project!$C86)</f>
        <v/>
      </c>
      <c r="C141" s="80" t="str">
        <f>IF(VERW_Project!$A86="","",VERW_Project!$D86)</f>
        <v/>
      </c>
      <c r="D141" s="80" t="str">
        <f>IF(VERW_Project!$A86="","",VERW_Project!$E86)</f>
        <v/>
      </c>
      <c r="E141" s="81" t="str">
        <f>IF(VERW_Project!$A86="","",VERW_Project!$F86)</f>
        <v/>
      </c>
      <c r="F141" s="81" t="str">
        <f>IF(VERW_Project!$A86="","",IF(VERW_Project!$G86="Nee","n.v.t.",VERW_Project!$AT86))</f>
        <v/>
      </c>
      <c r="G141" s="82" t="str">
        <f>IF(VERW_Project!$A86="","",IF(VERW_Project!$G86="Nee","n.v.t.",IF(AND(ISNUMBER(F141),ISNUMBER(E141)),IF(E141&gt;0,F141/(E141/100),"n.b."),"n.b.")))</f>
        <v/>
      </c>
      <c r="H141" s="81" t="str">
        <f>IF(VERW_Project!$A86="","",IF(VERW_Project!$G86="Nee","n.v.t.",VERW_Project!$AW86))</f>
        <v/>
      </c>
      <c r="I141" s="81" t="str">
        <f>IF(VERW_Project!$A86="","",IF(VERW_Project!$G86="Nee","n.v.t.",VERW_Project!$BU86))</f>
        <v/>
      </c>
      <c r="J141" s="81" t="str">
        <f>IF(VERW_Project!$A86="","",IF(VERW_Project!$G86="Nee","n.v.t.",VERW_Project!$BW86))</f>
        <v/>
      </c>
      <c r="K141" s="81" t="str">
        <f>IF(VERW_Project!$A86="","",IF(VERW_Project!$G86="Nee","n.v.t.",VERW_Project!$BX86))</f>
        <v/>
      </c>
      <c r="L141" s="81" t="str">
        <f>IF(VERW_Project!$A86="","",IF(VERW_Project!$G86="Nee","n.v.t.",VERW_Project!$CC86))</f>
        <v/>
      </c>
      <c r="M141" s="81" t="str">
        <f>IF(VERW_Project!$A86="","",IF(VERW_Project!$G86="Nee","n.v.t.",VERW_Project!$BC86))</f>
        <v/>
      </c>
      <c r="N141" s="81" t="str">
        <f>IF(VERW_Project!$A86="","",IF(VERW_Project!$G86="Nee","n.v.t.",VERW_Project!$BD86))</f>
        <v/>
      </c>
      <c r="O141" s="83" t="str">
        <f>IF(VERW_Project!$A86="","",IF(AND(ISNUMBER(F141),ISNUMBER(M141)),IF(F141&gt;0,M141/F141,""),""))</f>
        <v/>
      </c>
      <c r="P141" s="81" t="str">
        <f>IF(VERW_Project!$A86="","",IF(VERW_Project!$G86="Nee","n.v.t.",IF(COUNTIFS(L_Actief,1,L_WBS,VERW_Project!$A86,L_Doeljaar,Sel_Doeljaar,L_Versiejaar,P_VJ,L_Versie,"Budget",L_Kengetal,"Woningverkopen FY")=0,"n.b.",SUMIFS(L_Waarde,L_Actief,1,L_WBS,VERW_Project!$A86,L_Doeljaar,Sel_Doeljaar,L_Versiejaar,P_VJ,L_Versie,"Budget",L_Kengetal,"Woningverkopen FY"))))</f>
        <v/>
      </c>
      <c r="Q141" s="81" t="str">
        <f>IF(VERW_Project!$A86="","",IF(AND(ISNUMBER(P141),Sel_Doeljaar=P_RJ,ISNUMBER(J141)),J141-P141,IF(AND(ISNUMBER(P141),Sel_Doeljaar=P_RJ+1,ISNUMBER(K141)),K141-P141,"n.b.")))</f>
        <v/>
      </c>
    </row>
    <row r="142">
      <c r="B142" s="80" t="str">
        <f>IF(VERW_Project!$A87="","",VERW_Project!$C87)</f>
        <v/>
      </c>
      <c r="C142" s="80" t="str">
        <f>IF(VERW_Project!$A87="","",VERW_Project!$D87)</f>
        <v/>
      </c>
      <c r="D142" s="80" t="str">
        <f>IF(VERW_Project!$A87="","",VERW_Project!$E87)</f>
        <v/>
      </c>
      <c r="E142" s="81" t="str">
        <f>IF(VERW_Project!$A87="","",VERW_Project!$F87)</f>
        <v/>
      </c>
      <c r="F142" s="81" t="str">
        <f>IF(VERW_Project!$A87="","",IF(VERW_Project!$G87="Nee","n.v.t.",VERW_Project!$AT87))</f>
        <v/>
      </c>
      <c r="G142" s="82" t="str">
        <f>IF(VERW_Project!$A87="","",IF(VERW_Project!$G87="Nee","n.v.t.",IF(AND(ISNUMBER(F142),ISNUMBER(E142)),IF(E142&gt;0,F142/(E142/100),"n.b."),"n.b.")))</f>
        <v/>
      </c>
      <c r="H142" s="81" t="str">
        <f>IF(VERW_Project!$A87="","",IF(VERW_Project!$G87="Nee","n.v.t.",VERW_Project!$AW87))</f>
        <v/>
      </c>
      <c r="I142" s="81" t="str">
        <f>IF(VERW_Project!$A87="","",IF(VERW_Project!$G87="Nee","n.v.t.",VERW_Project!$BU87))</f>
        <v/>
      </c>
      <c r="J142" s="81" t="str">
        <f>IF(VERW_Project!$A87="","",IF(VERW_Project!$G87="Nee","n.v.t.",VERW_Project!$BW87))</f>
        <v/>
      </c>
      <c r="K142" s="81" t="str">
        <f>IF(VERW_Project!$A87="","",IF(VERW_Project!$G87="Nee","n.v.t.",VERW_Project!$BX87))</f>
        <v/>
      </c>
      <c r="L142" s="81" t="str">
        <f>IF(VERW_Project!$A87="","",IF(VERW_Project!$G87="Nee","n.v.t.",VERW_Project!$CC87))</f>
        <v/>
      </c>
      <c r="M142" s="81" t="str">
        <f>IF(VERW_Project!$A87="","",IF(VERW_Project!$G87="Nee","n.v.t.",VERW_Project!$BC87))</f>
        <v/>
      </c>
      <c r="N142" s="81" t="str">
        <f>IF(VERW_Project!$A87="","",IF(VERW_Project!$G87="Nee","n.v.t.",VERW_Project!$BD87))</f>
        <v/>
      </c>
      <c r="O142" s="83" t="str">
        <f>IF(VERW_Project!$A87="","",IF(AND(ISNUMBER(F142),ISNUMBER(M142)),IF(F142&gt;0,M142/F142,""),""))</f>
        <v/>
      </c>
      <c r="P142" s="81" t="str">
        <f>IF(VERW_Project!$A87="","",IF(VERW_Project!$G87="Nee","n.v.t.",IF(COUNTIFS(L_Actief,1,L_WBS,VERW_Project!$A87,L_Doeljaar,Sel_Doeljaar,L_Versiejaar,P_VJ,L_Versie,"Budget",L_Kengetal,"Woningverkopen FY")=0,"n.b.",SUMIFS(L_Waarde,L_Actief,1,L_WBS,VERW_Project!$A87,L_Doeljaar,Sel_Doeljaar,L_Versiejaar,P_VJ,L_Versie,"Budget",L_Kengetal,"Woningverkopen FY"))))</f>
        <v/>
      </c>
      <c r="Q142" s="81" t="str">
        <f>IF(VERW_Project!$A87="","",IF(AND(ISNUMBER(P142),Sel_Doeljaar=P_RJ,ISNUMBER(J142)),J142-P142,IF(AND(ISNUMBER(P142),Sel_Doeljaar=P_RJ+1,ISNUMBER(K142)),K142-P142,"n.b.")))</f>
        <v/>
      </c>
    </row>
    <row r="143">
      <c r="B143" s="80" t="str">
        <f>IF(VERW_Project!$A88="","",VERW_Project!$C88)</f>
        <v/>
      </c>
      <c r="C143" s="80" t="str">
        <f>IF(VERW_Project!$A88="","",VERW_Project!$D88)</f>
        <v/>
      </c>
      <c r="D143" s="80" t="str">
        <f>IF(VERW_Project!$A88="","",VERW_Project!$E88)</f>
        <v/>
      </c>
      <c r="E143" s="81" t="str">
        <f>IF(VERW_Project!$A88="","",VERW_Project!$F88)</f>
        <v/>
      </c>
      <c r="F143" s="81" t="str">
        <f>IF(VERW_Project!$A88="","",IF(VERW_Project!$G88="Nee","n.v.t.",VERW_Project!$AT88))</f>
        <v/>
      </c>
      <c r="G143" s="82" t="str">
        <f>IF(VERW_Project!$A88="","",IF(VERW_Project!$G88="Nee","n.v.t.",IF(AND(ISNUMBER(F143),ISNUMBER(E143)),IF(E143&gt;0,F143/(E143/100),"n.b."),"n.b.")))</f>
        <v/>
      </c>
      <c r="H143" s="81" t="str">
        <f>IF(VERW_Project!$A88="","",IF(VERW_Project!$G88="Nee","n.v.t.",VERW_Project!$AW88))</f>
        <v/>
      </c>
      <c r="I143" s="81" t="str">
        <f>IF(VERW_Project!$A88="","",IF(VERW_Project!$G88="Nee","n.v.t.",VERW_Project!$BU88))</f>
        <v/>
      </c>
      <c r="J143" s="81" t="str">
        <f>IF(VERW_Project!$A88="","",IF(VERW_Project!$G88="Nee","n.v.t.",VERW_Project!$BW88))</f>
        <v/>
      </c>
      <c r="K143" s="81" t="str">
        <f>IF(VERW_Project!$A88="","",IF(VERW_Project!$G88="Nee","n.v.t.",VERW_Project!$BX88))</f>
        <v/>
      </c>
      <c r="L143" s="81" t="str">
        <f>IF(VERW_Project!$A88="","",IF(VERW_Project!$G88="Nee","n.v.t.",VERW_Project!$CC88))</f>
        <v/>
      </c>
      <c r="M143" s="81" t="str">
        <f>IF(VERW_Project!$A88="","",IF(VERW_Project!$G88="Nee","n.v.t.",VERW_Project!$BC88))</f>
        <v/>
      </c>
      <c r="N143" s="81" t="str">
        <f>IF(VERW_Project!$A88="","",IF(VERW_Project!$G88="Nee","n.v.t.",VERW_Project!$BD88))</f>
        <v/>
      </c>
      <c r="O143" s="83" t="str">
        <f>IF(VERW_Project!$A88="","",IF(AND(ISNUMBER(F143),ISNUMBER(M143)),IF(F143&gt;0,M143/F143,""),""))</f>
        <v/>
      </c>
      <c r="P143" s="81" t="str">
        <f>IF(VERW_Project!$A88="","",IF(VERW_Project!$G88="Nee","n.v.t.",IF(COUNTIFS(L_Actief,1,L_WBS,VERW_Project!$A88,L_Doeljaar,Sel_Doeljaar,L_Versiejaar,P_VJ,L_Versie,"Budget",L_Kengetal,"Woningverkopen FY")=0,"n.b.",SUMIFS(L_Waarde,L_Actief,1,L_WBS,VERW_Project!$A88,L_Doeljaar,Sel_Doeljaar,L_Versiejaar,P_VJ,L_Versie,"Budget",L_Kengetal,"Woningverkopen FY"))))</f>
        <v/>
      </c>
      <c r="Q143" s="81" t="str">
        <f>IF(VERW_Project!$A88="","",IF(AND(ISNUMBER(P143),Sel_Doeljaar=P_RJ,ISNUMBER(J143)),J143-P143,IF(AND(ISNUMBER(P143),Sel_Doeljaar=P_RJ+1,ISNUMBER(K143)),K143-P143,"n.b.")))</f>
        <v/>
      </c>
    </row>
    <row r="144">
      <c r="B144" s="80" t="str">
        <f>IF(VERW_Project!$A89="","",VERW_Project!$C89)</f>
        <v/>
      </c>
      <c r="C144" s="80" t="str">
        <f>IF(VERW_Project!$A89="","",VERW_Project!$D89)</f>
        <v/>
      </c>
      <c r="D144" s="80" t="str">
        <f>IF(VERW_Project!$A89="","",VERW_Project!$E89)</f>
        <v/>
      </c>
      <c r="E144" s="81" t="str">
        <f>IF(VERW_Project!$A89="","",VERW_Project!$F89)</f>
        <v/>
      </c>
      <c r="F144" s="81" t="str">
        <f>IF(VERW_Project!$A89="","",IF(VERW_Project!$G89="Nee","n.v.t.",VERW_Project!$AT89))</f>
        <v/>
      </c>
      <c r="G144" s="82" t="str">
        <f>IF(VERW_Project!$A89="","",IF(VERW_Project!$G89="Nee","n.v.t.",IF(AND(ISNUMBER(F144),ISNUMBER(E144)),IF(E144&gt;0,F144/(E144/100),"n.b."),"n.b.")))</f>
        <v/>
      </c>
      <c r="H144" s="81" t="str">
        <f>IF(VERW_Project!$A89="","",IF(VERW_Project!$G89="Nee","n.v.t.",VERW_Project!$AW89))</f>
        <v/>
      </c>
      <c r="I144" s="81" t="str">
        <f>IF(VERW_Project!$A89="","",IF(VERW_Project!$G89="Nee","n.v.t.",VERW_Project!$BU89))</f>
        <v/>
      </c>
      <c r="J144" s="81" t="str">
        <f>IF(VERW_Project!$A89="","",IF(VERW_Project!$G89="Nee","n.v.t.",VERW_Project!$BW89))</f>
        <v/>
      </c>
      <c r="K144" s="81" t="str">
        <f>IF(VERW_Project!$A89="","",IF(VERW_Project!$G89="Nee","n.v.t.",VERW_Project!$BX89))</f>
        <v/>
      </c>
      <c r="L144" s="81" t="str">
        <f>IF(VERW_Project!$A89="","",IF(VERW_Project!$G89="Nee","n.v.t.",VERW_Project!$CC89))</f>
        <v/>
      </c>
      <c r="M144" s="81" t="str">
        <f>IF(VERW_Project!$A89="","",IF(VERW_Project!$G89="Nee","n.v.t.",VERW_Project!$BC89))</f>
        <v/>
      </c>
      <c r="N144" s="81" t="str">
        <f>IF(VERW_Project!$A89="","",IF(VERW_Project!$G89="Nee","n.v.t.",VERW_Project!$BD89))</f>
        <v/>
      </c>
      <c r="O144" s="83" t="str">
        <f>IF(VERW_Project!$A89="","",IF(AND(ISNUMBER(F144),ISNUMBER(M144)),IF(F144&gt;0,M144/F144,""),""))</f>
        <v/>
      </c>
      <c r="P144" s="81" t="str">
        <f>IF(VERW_Project!$A89="","",IF(VERW_Project!$G89="Nee","n.v.t.",IF(COUNTIFS(L_Actief,1,L_WBS,VERW_Project!$A89,L_Doeljaar,Sel_Doeljaar,L_Versiejaar,P_VJ,L_Versie,"Budget",L_Kengetal,"Woningverkopen FY")=0,"n.b.",SUMIFS(L_Waarde,L_Actief,1,L_WBS,VERW_Project!$A89,L_Doeljaar,Sel_Doeljaar,L_Versiejaar,P_VJ,L_Versie,"Budget",L_Kengetal,"Woningverkopen FY"))))</f>
        <v/>
      </c>
      <c r="Q144" s="81" t="str">
        <f>IF(VERW_Project!$A89="","",IF(AND(ISNUMBER(P144),Sel_Doeljaar=P_RJ,ISNUMBER(J144)),J144-P144,IF(AND(ISNUMBER(P144),Sel_Doeljaar=P_RJ+1,ISNUMBER(K144)),K144-P144,"n.b.")))</f>
        <v/>
      </c>
    </row>
    <row r="145">
      <c r="B145" s="80" t="str">
        <f>IF(VERW_Project!$A90="","",VERW_Project!$C90)</f>
        <v/>
      </c>
      <c r="C145" s="80" t="str">
        <f>IF(VERW_Project!$A90="","",VERW_Project!$D90)</f>
        <v/>
      </c>
      <c r="D145" s="80" t="str">
        <f>IF(VERW_Project!$A90="","",VERW_Project!$E90)</f>
        <v/>
      </c>
      <c r="E145" s="81" t="str">
        <f>IF(VERW_Project!$A90="","",VERW_Project!$F90)</f>
        <v/>
      </c>
      <c r="F145" s="81" t="str">
        <f>IF(VERW_Project!$A90="","",IF(VERW_Project!$G90="Nee","n.v.t.",VERW_Project!$AT90))</f>
        <v/>
      </c>
      <c r="G145" s="82" t="str">
        <f>IF(VERW_Project!$A90="","",IF(VERW_Project!$G90="Nee","n.v.t.",IF(AND(ISNUMBER(F145),ISNUMBER(E145)),IF(E145&gt;0,F145/(E145/100),"n.b."),"n.b.")))</f>
        <v/>
      </c>
      <c r="H145" s="81" t="str">
        <f>IF(VERW_Project!$A90="","",IF(VERW_Project!$G90="Nee","n.v.t.",VERW_Project!$AW90))</f>
        <v/>
      </c>
      <c r="I145" s="81" t="str">
        <f>IF(VERW_Project!$A90="","",IF(VERW_Project!$G90="Nee","n.v.t.",VERW_Project!$BU90))</f>
        <v/>
      </c>
      <c r="J145" s="81" t="str">
        <f>IF(VERW_Project!$A90="","",IF(VERW_Project!$G90="Nee","n.v.t.",VERW_Project!$BW90))</f>
        <v/>
      </c>
      <c r="K145" s="81" t="str">
        <f>IF(VERW_Project!$A90="","",IF(VERW_Project!$G90="Nee","n.v.t.",VERW_Project!$BX90))</f>
        <v/>
      </c>
      <c r="L145" s="81" t="str">
        <f>IF(VERW_Project!$A90="","",IF(VERW_Project!$G90="Nee","n.v.t.",VERW_Project!$CC90))</f>
        <v/>
      </c>
      <c r="M145" s="81" t="str">
        <f>IF(VERW_Project!$A90="","",IF(VERW_Project!$G90="Nee","n.v.t.",VERW_Project!$BC90))</f>
        <v/>
      </c>
      <c r="N145" s="81" t="str">
        <f>IF(VERW_Project!$A90="","",IF(VERW_Project!$G90="Nee","n.v.t.",VERW_Project!$BD90))</f>
        <v/>
      </c>
      <c r="O145" s="83" t="str">
        <f>IF(VERW_Project!$A90="","",IF(AND(ISNUMBER(F145),ISNUMBER(M145)),IF(F145&gt;0,M145/F145,""),""))</f>
        <v/>
      </c>
      <c r="P145" s="81" t="str">
        <f>IF(VERW_Project!$A90="","",IF(VERW_Project!$G90="Nee","n.v.t.",IF(COUNTIFS(L_Actief,1,L_WBS,VERW_Project!$A90,L_Doeljaar,Sel_Doeljaar,L_Versiejaar,P_VJ,L_Versie,"Budget",L_Kengetal,"Woningverkopen FY")=0,"n.b.",SUMIFS(L_Waarde,L_Actief,1,L_WBS,VERW_Project!$A90,L_Doeljaar,Sel_Doeljaar,L_Versiejaar,P_VJ,L_Versie,"Budget",L_Kengetal,"Woningverkopen FY"))))</f>
        <v/>
      </c>
      <c r="Q145" s="81" t="str">
        <f>IF(VERW_Project!$A90="","",IF(AND(ISNUMBER(P145),Sel_Doeljaar=P_RJ,ISNUMBER(J145)),J145-P145,IF(AND(ISNUMBER(P145),Sel_Doeljaar=P_RJ+1,ISNUMBER(K145)),K145-P145,"n.b.")))</f>
        <v/>
      </c>
    </row>
    <row r="146">
      <c r="B146" s="80" t="str">
        <f>IF(VERW_Project!$A91="","",VERW_Project!$C91)</f>
        <v/>
      </c>
      <c r="C146" s="80" t="str">
        <f>IF(VERW_Project!$A91="","",VERW_Project!$D91)</f>
        <v/>
      </c>
      <c r="D146" s="80" t="str">
        <f>IF(VERW_Project!$A91="","",VERW_Project!$E91)</f>
        <v/>
      </c>
      <c r="E146" s="81" t="str">
        <f>IF(VERW_Project!$A91="","",VERW_Project!$F91)</f>
        <v/>
      </c>
      <c r="F146" s="81" t="str">
        <f>IF(VERW_Project!$A91="","",IF(VERW_Project!$G91="Nee","n.v.t.",VERW_Project!$AT91))</f>
        <v/>
      </c>
      <c r="G146" s="82" t="str">
        <f>IF(VERW_Project!$A91="","",IF(VERW_Project!$G91="Nee","n.v.t.",IF(AND(ISNUMBER(F146),ISNUMBER(E146)),IF(E146&gt;0,F146/(E146/100),"n.b."),"n.b.")))</f>
        <v/>
      </c>
      <c r="H146" s="81" t="str">
        <f>IF(VERW_Project!$A91="","",IF(VERW_Project!$G91="Nee","n.v.t.",VERW_Project!$AW91))</f>
        <v/>
      </c>
      <c r="I146" s="81" t="str">
        <f>IF(VERW_Project!$A91="","",IF(VERW_Project!$G91="Nee","n.v.t.",VERW_Project!$BU91))</f>
        <v/>
      </c>
      <c r="J146" s="81" t="str">
        <f>IF(VERW_Project!$A91="","",IF(VERW_Project!$G91="Nee","n.v.t.",VERW_Project!$BW91))</f>
        <v/>
      </c>
      <c r="K146" s="81" t="str">
        <f>IF(VERW_Project!$A91="","",IF(VERW_Project!$G91="Nee","n.v.t.",VERW_Project!$BX91))</f>
        <v/>
      </c>
      <c r="L146" s="81" t="str">
        <f>IF(VERW_Project!$A91="","",IF(VERW_Project!$G91="Nee","n.v.t.",VERW_Project!$CC91))</f>
        <v/>
      </c>
      <c r="M146" s="81" t="str">
        <f>IF(VERW_Project!$A91="","",IF(VERW_Project!$G91="Nee","n.v.t.",VERW_Project!$BC91))</f>
        <v/>
      </c>
      <c r="N146" s="81" t="str">
        <f>IF(VERW_Project!$A91="","",IF(VERW_Project!$G91="Nee","n.v.t.",VERW_Project!$BD91))</f>
        <v/>
      </c>
      <c r="O146" s="83" t="str">
        <f>IF(VERW_Project!$A91="","",IF(AND(ISNUMBER(F146),ISNUMBER(M146)),IF(F146&gt;0,M146/F146,""),""))</f>
        <v/>
      </c>
      <c r="P146" s="81" t="str">
        <f>IF(VERW_Project!$A91="","",IF(VERW_Project!$G91="Nee","n.v.t.",IF(COUNTIFS(L_Actief,1,L_WBS,VERW_Project!$A91,L_Doeljaar,Sel_Doeljaar,L_Versiejaar,P_VJ,L_Versie,"Budget",L_Kengetal,"Woningverkopen FY")=0,"n.b.",SUMIFS(L_Waarde,L_Actief,1,L_WBS,VERW_Project!$A91,L_Doeljaar,Sel_Doeljaar,L_Versiejaar,P_VJ,L_Versie,"Budget",L_Kengetal,"Woningverkopen FY"))))</f>
        <v/>
      </c>
      <c r="Q146" s="81" t="str">
        <f>IF(VERW_Project!$A91="","",IF(AND(ISNUMBER(P146),Sel_Doeljaar=P_RJ,ISNUMBER(J146)),J146-P146,IF(AND(ISNUMBER(P146),Sel_Doeljaar=P_RJ+1,ISNUMBER(K146)),K146-P146,"n.b.")))</f>
        <v/>
      </c>
    </row>
    <row r="147">
      <c r="B147" s="80" t="str">
        <f>IF(VERW_Project!$A92="","",VERW_Project!$C92)</f>
        <v/>
      </c>
      <c r="C147" s="80" t="str">
        <f>IF(VERW_Project!$A92="","",VERW_Project!$D92)</f>
        <v/>
      </c>
      <c r="D147" s="80" t="str">
        <f>IF(VERW_Project!$A92="","",VERW_Project!$E92)</f>
        <v/>
      </c>
      <c r="E147" s="81" t="str">
        <f>IF(VERW_Project!$A92="","",VERW_Project!$F92)</f>
        <v/>
      </c>
      <c r="F147" s="81" t="str">
        <f>IF(VERW_Project!$A92="","",IF(VERW_Project!$G92="Nee","n.v.t.",VERW_Project!$AT92))</f>
        <v/>
      </c>
      <c r="G147" s="82" t="str">
        <f>IF(VERW_Project!$A92="","",IF(VERW_Project!$G92="Nee","n.v.t.",IF(AND(ISNUMBER(F147),ISNUMBER(E147)),IF(E147&gt;0,F147/(E147/100),"n.b."),"n.b.")))</f>
        <v/>
      </c>
      <c r="H147" s="81" t="str">
        <f>IF(VERW_Project!$A92="","",IF(VERW_Project!$G92="Nee","n.v.t.",VERW_Project!$AW92))</f>
        <v/>
      </c>
      <c r="I147" s="81" t="str">
        <f>IF(VERW_Project!$A92="","",IF(VERW_Project!$G92="Nee","n.v.t.",VERW_Project!$BU92))</f>
        <v/>
      </c>
      <c r="J147" s="81" t="str">
        <f>IF(VERW_Project!$A92="","",IF(VERW_Project!$G92="Nee","n.v.t.",VERW_Project!$BW92))</f>
        <v/>
      </c>
      <c r="K147" s="81" t="str">
        <f>IF(VERW_Project!$A92="","",IF(VERW_Project!$G92="Nee","n.v.t.",VERW_Project!$BX92))</f>
        <v/>
      </c>
      <c r="L147" s="81" t="str">
        <f>IF(VERW_Project!$A92="","",IF(VERW_Project!$G92="Nee","n.v.t.",VERW_Project!$CC92))</f>
        <v/>
      </c>
      <c r="M147" s="81" t="str">
        <f>IF(VERW_Project!$A92="","",IF(VERW_Project!$G92="Nee","n.v.t.",VERW_Project!$BC92))</f>
        <v/>
      </c>
      <c r="N147" s="81" t="str">
        <f>IF(VERW_Project!$A92="","",IF(VERW_Project!$G92="Nee","n.v.t.",VERW_Project!$BD92))</f>
        <v/>
      </c>
      <c r="O147" s="83" t="str">
        <f>IF(VERW_Project!$A92="","",IF(AND(ISNUMBER(F147),ISNUMBER(M147)),IF(F147&gt;0,M147/F147,""),""))</f>
        <v/>
      </c>
      <c r="P147" s="81" t="str">
        <f>IF(VERW_Project!$A92="","",IF(VERW_Project!$G92="Nee","n.v.t.",IF(COUNTIFS(L_Actief,1,L_WBS,VERW_Project!$A92,L_Doeljaar,Sel_Doeljaar,L_Versiejaar,P_VJ,L_Versie,"Budget",L_Kengetal,"Woningverkopen FY")=0,"n.b.",SUMIFS(L_Waarde,L_Actief,1,L_WBS,VERW_Project!$A92,L_Doeljaar,Sel_Doeljaar,L_Versiejaar,P_VJ,L_Versie,"Budget",L_Kengetal,"Woningverkopen FY"))))</f>
        <v/>
      </c>
      <c r="Q147" s="81" t="str">
        <f>IF(VERW_Project!$A92="","",IF(AND(ISNUMBER(P147),Sel_Doeljaar=P_RJ,ISNUMBER(J147)),J147-P147,IF(AND(ISNUMBER(P147),Sel_Doeljaar=P_RJ+1,ISNUMBER(K147)),K147-P147,"n.b.")))</f>
        <v/>
      </c>
    </row>
    <row r="148">
      <c r="B148" s="80" t="str">
        <f>IF(VERW_Project!$A93="","",VERW_Project!$C93)</f>
        <v/>
      </c>
      <c r="C148" s="80" t="str">
        <f>IF(VERW_Project!$A93="","",VERW_Project!$D93)</f>
        <v/>
      </c>
      <c r="D148" s="80" t="str">
        <f>IF(VERW_Project!$A93="","",VERW_Project!$E93)</f>
        <v/>
      </c>
      <c r="E148" s="81" t="str">
        <f>IF(VERW_Project!$A93="","",VERW_Project!$F93)</f>
        <v/>
      </c>
      <c r="F148" s="81" t="str">
        <f>IF(VERW_Project!$A93="","",IF(VERW_Project!$G93="Nee","n.v.t.",VERW_Project!$AT93))</f>
        <v/>
      </c>
      <c r="G148" s="82" t="str">
        <f>IF(VERW_Project!$A93="","",IF(VERW_Project!$G93="Nee","n.v.t.",IF(AND(ISNUMBER(F148),ISNUMBER(E148)),IF(E148&gt;0,F148/(E148/100),"n.b."),"n.b.")))</f>
        <v/>
      </c>
      <c r="H148" s="81" t="str">
        <f>IF(VERW_Project!$A93="","",IF(VERW_Project!$G93="Nee","n.v.t.",VERW_Project!$AW93))</f>
        <v/>
      </c>
      <c r="I148" s="81" t="str">
        <f>IF(VERW_Project!$A93="","",IF(VERW_Project!$G93="Nee","n.v.t.",VERW_Project!$BU93))</f>
        <v/>
      </c>
      <c r="J148" s="81" t="str">
        <f>IF(VERW_Project!$A93="","",IF(VERW_Project!$G93="Nee","n.v.t.",VERW_Project!$BW93))</f>
        <v/>
      </c>
      <c r="K148" s="81" t="str">
        <f>IF(VERW_Project!$A93="","",IF(VERW_Project!$G93="Nee","n.v.t.",VERW_Project!$BX93))</f>
        <v/>
      </c>
      <c r="L148" s="81" t="str">
        <f>IF(VERW_Project!$A93="","",IF(VERW_Project!$G93="Nee","n.v.t.",VERW_Project!$CC93))</f>
        <v/>
      </c>
      <c r="M148" s="81" t="str">
        <f>IF(VERW_Project!$A93="","",IF(VERW_Project!$G93="Nee","n.v.t.",VERW_Project!$BC93))</f>
        <v/>
      </c>
      <c r="N148" s="81" t="str">
        <f>IF(VERW_Project!$A93="","",IF(VERW_Project!$G93="Nee","n.v.t.",VERW_Project!$BD93))</f>
        <v/>
      </c>
      <c r="O148" s="83" t="str">
        <f>IF(VERW_Project!$A93="","",IF(AND(ISNUMBER(F148),ISNUMBER(M148)),IF(F148&gt;0,M148/F148,""),""))</f>
        <v/>
      </c>
      <c r="P148" s="81" t="str">
        <f>IF(VERW_Project!$A93="","",IF(VERW_Project!$G93="Nee","n.v.t.",IF(COUNTIFS(L_Actief,1,L_WBS,VERW_Project!$A93,L_Doeljaar,Sel_Doeljaar,L_Versiejaar,P_VJ,L_Versie,"Budget",L_Kengetal,"Woningverkopen FY")=0,"n.b.",SUMIFS(L_Waarde,L_Actief,1,L_WBS,VERW_Project!$A93,L_Doeljaar,Sel_Doeljaar,L_Versiejaar,P_VJ,L_Versie,"Budget",L_Kengetal,"Woningverkopen FY"))))</f>
        <v/>
      </c>
      <c r="Q148" s="81" t="str">
        <f>IF(VERW_Project!$A93="","",IF(AND(ISNUMBER(P148),Sel_Doeljaar=P_RJ,ISNUMBER(J148)),J148-P148,IF(AND(ISNUMBER(P148),Sel_Doeljaar=P_RJ+1,ISNUMBER(K148)),K148-P148,"n.b.")))</f>
        <v/>
      </c>
    </row>
    <row r="149">
      <c r="B149" s="80" t="str">
        <f>IF(VERW_Project!$A94="","",VERW_Project!$C94)</f>
        <v/>
      </c>
      <c r="C149" s="80" t="str">
        <f>IF(VERW_Project!$A94="","",VERW_Project!$D94)</f>
        <v/>
      </c>
      <c r="D149" s="80" t="str">
        <f>IF(VERW_Project!$A94="","",VERW_Project!$E94)</f>
        <v/>
      </c>
      <c r="E149" s="81" t="str">
        <f>IF(VERW_Project!$A94="","",VERW_Project!$F94)</f>
        <v/>
      </c>
      <c r="F149" s="81" t="str">
        <f>IF(VERW_Project!$A94="","",IF(VERW_Project!$G94="Nee","n.v.t.",VERW_Project!$AT94))</f>
        <v/>
      </c>
      <c r="G149" s="82" t="str">
        <f>IF(VERW_Project!$A94="","",IF(VERW_Project!$G94="Nee","n.v.t.",IF(AND(ISNUMBER(F149),ISNUMBER(E149)),IF(E149&gt;0,F149/(E149/100),"n.b."),"n.b.")))</f>
        <v/>
      </c>
      <c r="H149" s="81" t="str">
        <f>IF(VERW_Project!$A94="","",IF(VERW_Project!$G94="Nee","n.v.t.",VERW_Project!$AW94))</f>
        <v/>
      </c>
      <c r="I149" s="81" t="str">
        <f>IF(VERW_Project!$A94="","",IF(VERW_Project!$G94="Nee","n.v.t.",VERW_Project!$BU94))</f>
        <v/>
      </c>
      <c r="J149" s="81" t="str">
        <f>IF(VERW_Project!$A94="","",IF(VERW_Project!$G94="Nee","n.v.t.",VERW_Project!$BW94))</f>
        <v/>
      </c>
      <c r="K149" s="81" t="str">
        <f>IF(VERW_Project!$A94="","",IF(VERW_Project!$G94="Nee","n.v.t.",VERW_Project!$BX94))</f>
        <v/>
      </c>
      <c r="L149" s="81" t="str">
        <f>IF(VERW_Project!$A94="","",IF(VERW_Project!$G94="Nee","n.v.t.",VERW_Project!$CC94))</f>
        <v/>
      </c>
      <c r="M149" s="81" t="str">
        <f>IF(VERW_Project!$A94="","",IF(VERW_Project!$G94="Nee","n.v.t.",VERW_Project!$BC94))</f>
        <v/>
      </c>
      <c r="N149" s="81" t="str">
        <f>IF(VERW_Project!$A94="","",IF(VERW_Project!$G94="Nee","n.v.t.",VERW_Project!$BD94))</f>
        <v/>
      </c>
      <c r="O149" s="83" t="str">
        <f>IF(VERW_Project!$A94="","",IF(AND(ISNUMBER(F149),ISNUMBER(M149)),IF(F149&gt;0,M149/F149,""),""))</f>
        <v/>
      </c>
      <c r="P149" s="81" t="str">
        <f>IF(VERW_Project!$A94="","",IF(VERW_Project!$G94="Nee","n.v.t.",IF(COUNTIFS(L_Actief,1,L_WBS,VERW_Project!$A94,L_Doeljaar,Sel_Doeljaar,L_Versiejaar,P_VJ,L_Versie,"Budget",L_Kengetal,"Woningverkopen FY")=0,"n.b.",SUMIFS(L_Waarde,L_Actief,1,L_WBS,VERW_Project!$A94,L_Doeljaar,Sel_Doeljaar,L_Versiejaar,P_VJ,L_Versie,"Budget",L_Kengetal,"Woningverkopen FY"))))</f>
        <v/>
      </c>
      <c r="Q149" s="81" t="str">
        <f>IF(VERW_Project!$A94="","",IF(AND(ISNUMBER(P149),Sel_Doeljaar=P_RJ,ISNUMBER(J149)),J149-P149,IF(AND(ISNUMBER(P149),Sel_Doeljaar=P_RJ+1,ISNUMBER(K149)),K149-P149,"n.b.")))</f>
        <v/>
      </c>
    </row>
    <row r="150">
      <c r="B150" s="80" t="str">
        <f>IF(VERW_Project!$A95="","",VERW_Project!$C95)</f>
        <v/>
      </c>
      <c r="C150" s="80" t="str">
        <f>IF(VERW_Project!$A95="","",VERW_Project!$D95)</f>
        <v/>
      </c>
      <c r="D150" s="80" t="str">
        <f>IF(VERW_Project!$A95="","",VERW_Project!$E95)</f>
        <v/>
      </c>
      <c r="E150" s="81" t="str">
        <f>IF(VERW_Project!$A95="","",VERW_Project!$F95)</f>
        <v/>
      </c>
      <c r="F150" s="81" t="str">
        <f>IF(VERW_Project!$A95="","",IF(VERW_Project!$G95="Nee","n.v.t.",VERW_Project!$AT95))</f>
        <v/>
      </c>
      <c r="G150" s="82" t="str">
        <f>IF(VERW_Project!$A95="","",IF(VERW_Project!$G95="Nee","n.v.t.",IF(AND(ISNUMBER(F150),ISNUMBER(E150)),IF(E150&gt;0,F150/(E150/100),"n.b."),"n.b.")))</f>
        <v/>
      </c>
      <c r="H150" s="81" t="str">
        <f>IF(VERW_Project!$A95="","",IF(VERW_Project!$G95="Nee","n.v.t.",VERW_Project!$AW95))</f>
        <v/>
      </c>
      <c r="I150" s="81" t="str">
        <f>IF(VERW_Project!$A95="","",IF(VERW_Project!$G95="Nee","n.v.t.",VERW_Project!$BU95))</f>
        <v/>
      </c>
      <c r="J150" s="81" t="str">
        <f>IF(VERW_Project!$A95="","",IF(VERW_Project!$G95="Nee","n.v.t.",VERW_Project!$BW95))</f>
        <v/>
      </c>
      <c r="K150" s="81" t="str">
        <f>IF(VERW_Project!$A95="","",IF(VERW_Project!$G95="Nee","n.v.t.",VERW_Project!$BX95))</f>
        <v/>
      </c>
      <c r="L150" s="81" t="str">
        <f>IF(VERW_Project!$A95="","",IF(VERW_Project!$G95="Nee","n.v.t.",VERW_Project!$CC95))</f>
        <v/>
      </c>
      <c r="M150" s="81" t="str">
        <f>IF(VERW_Project!$A95="","",IF(VERW_Project!$G95="Nee","n.v.t.",VERW_Project!$BC95))</f>
        <v/>
      </c>
      <c r="N150" s="81" t="str">
        <f>IF(VERW_Project!$A95="","",IF(VERW_Project!$G95="Nee","n.v.t.",VERW_Project!$BD95))</f>
        <v/>
      </c>
      <c r="O150" s="83" t="str">
        <f>IF(VERW_Project!$A95="","",IF(AND(ISNUMBER(F150),ISNUMBER(M150)),IF(F150&gt;0,M150/F150,""),""))</f>
        <v/>
      </c>
      <c r="P150" s="81" t="str">
        <f>IF(VERW_Project!$A95="","",IF(VERW_Project!$G95="Nee","n.v.t.",IF(COUNTIFS(L_Actief,1,L_WBS,VERW_Project!$A95,L_Doeljaar,Sel_Doeljaar,L_Versiejaar,P_VJ,L_Versie,"Budget",L_Kengetal,"Woningverkopen FY")=0,"n.b.",SUMIFS(L_Waarde,L_Actief,1,L_WBS,VERW_Project!$A95,L_Doeljaar,Sel_Doeljaar,L_Versiejaar,P_VJ,L_Versie,"Budget",L_Kengetal,"Woningverkopen FY"))))</f>
        <v/>
      </c>
      <c r="Q150" s="81" t="str">
        <f>IF(VERW_Project!$A95="","",IF(AND(ISNUMBER(P150),Sel_Doeljaar=P_RJ,ISNUMBER(J150)),J150-P150,IF(AND(ISNUMBER(P150),Sel_Doeljaar=P_RJ+1,ISNUMBER(K150)),K150-P150,"n.b.")))</f>
        <v/>
      </c>
    </row>
    <row r="151">
      <c r="B151" s="80" t="str">
        <f>IF(VERW_Project!$A96="","",VERW_Project!$C96)</f>
        <v/>
      </c>
      <c r="C151" s="80" t="str">
        <f>IF(VERW_Project!$A96="","",VERW_Project!$D96)</f>
        <v/>
      </c>
      <c r="D151" s="80" t="str">
        <f>IF(VERW_Project!$A96="","",VERW_Project!$E96)</f>
        <v/>
      </c>
      <c r="E151" s="81" t="str">
        <f>IF(VERW_Project!$A96="","",VERW_Project!$F96)</f>
        <v/>
      </c>
      <c r="F151" s="81" t="str">
        <f>IF(VERW_Project!$A96="","",IF(VERW_Project!$G96="Nee","n.v.t.",VERW_Project!$AT96))</f>
        <v/>
      </c>
      <c r="G151" s="82" t="str">
        <f>IF(VERW_Project!$A96="","",IF(VERW_Project!$G96="Nee","n.v.t.",IF(AND(ISNUMBER(F151),ISNUMBER(E151)),IF(E151&gt;0,F151/(E151/100),"n.b."),"n.b.")))</f>
        <v/>
      </c>
      <c r="H151" s="81" t="str">
        <f>IF(VERW_Project!$A96="","",IF(VERW_Project!$G96="Nee","n.v.t.",VERW_Project!$AW96))</f>
        <v/>
      </c>
      <c r="I151" s="81" t="str">
        <f>IF(VERW_Project!$A96="","",IF(VERW_Project!$G96="Nee","n.v.t.",VERW_Project!$BU96))</f>
        <v/>
      </c>
      <c r="J151" s="81" t="str">
        <f>IF(VERW_Project!$A96="","",IF(VERW_Project!$G96="Nee","n.v.t.",VERW_Project!$BW96))</f>
        <v/>
      </c>
      <c r="K151" s="81" t="str">
        <f>IF(VERW_Project!$A96="","",IF(VERW_Project!$G96="Nee","n.v.t.",VERW_Project!$BX96))</f>
        <v/>
      </c>
      <c r="L151" s="81" t="str">
        <f>IF(VERW_Project!$A96="","",IF(VERW_Project!$G96="Nee","n.v.t.",VERW_Project!$CC96))</f>
        <v/>
      </c>
      <c r="M151" s="81" t="str">
        <f>IF(VERW_Project!$A96="","",IF(VERW_Project!$G96="Nee","n.v.t.",VERW_Project!$BC96))</f>
        <v/>
      </c>
      <c r="N151" s="81" t="str">
        <f>IF(VERW_Project!$A96="","",IF(VERW_Project!$G96="Nee","n.v.t.",VERW_Project!$BD96))</f>
        <v/>
      </c>
      <c r="O151" s="83" t="str">
        <f>IF(VERW_Project!$A96="","",IF(AND(ISNUMBER(F151),ISNUMBER(M151)),IF(F151&gt;0,M151/F151,""),""))</f>
        <v/>
      </c>
      <c r="P151" s="81" t="str">
        <f>IF(VERW_Project!$A96="","",IF(VERW_Project!$G96="Nee","n.v.t.",IF(COUNTIFS(L_Actief,1,L_WBS,VERW_Project!$A96,L_Doeljaar,Sel_Doeljaar,L_Versiejaar,P_VJ,L_Versie,"Budget",L_Kengetal,"Woningverkopen FY")=0,"n.b.",SUMIFS(L_Waarde,L_Actief,1,L_WBS,VERW_Project!$A96,L_Doeljaar,Sel_Doeljaar,L_Versiejaar,P_VJ,L_Versie,"Budget",L_Kengetal,"Woningverkopen FY"))))</f>
        <v/>
      </c>
      <c r="Q151" s="81" t="str">
        <f>IF(VERW_Project!$A96="","",IF(AND(ISNUMBER(P151),Sel_Doeljaar=P_RJ,ISNUMBER(J151)),J151-P151,IF(AND(ISNUMBER(P151),Sel_Doeljaar=P_RJ+1,ISNUMBER(K151)),K151-P151,"n.b.")))</f>
        <v/>
      </c>
    </row>
    <row r="152">
      <c r="B152" s="80" t="str">
        <f>IF(VERW_Project!$A97="","",VERW_Project!$C97)</f>
        <v/>
      </c>
      <c r="C152" s="80" t="str">
        <f>IF(VERW_Project!$A97="","",VERW_Project!$D97)</f>
        <v/>
      </c>
      <c r="D152" s="80" t="str">
        <f>IF(VERW_Project!$A97="","",VERW_Project!$E97)</f>
        <v/>
      </c>
      <c r="E152" s="81" t="str">
        <f>IF(VERW_Project!$A97="","",VERW_Project!$F97)</f>
        <v/>
      </c>
      <c r="F152" s="81" t="str">
        <f>IF(VERW_Project!$A97="","",IF(VERW_Project!$G97="Nee","n.v.t.",VERW_Project!$AT97))</f>
        <v/>
      </c>
      <c r="G152" s="82" t="str">
        <f>IF(VERW_Project!$A97="","",IF(VERW_Project!$G97="Nee","n.v.t.",IF(AND(ISNUMBER(F152),ISNUMBER(E152)),IF(E152&gt;0,F152/(E152/100),"n.b."),"n.b.")))</f>
        <v/>
      </c>
      <c r="H152" s="81" t="str">
        <f>IF(VERW_Project!$A97="","",IF(VERW_Project!$G97="Nee","n.v.t.",VERW_Project!$AW97))</f>
        <v/>
      </c>
      <c r="I152" s="81" t="str">
        <f>IF(VERW_Project!$A97="","",IF(VERW_Project!$G97="Nee","n.v.t.",VERW_Project!$BU97))</f>
        <v/>
      </c>
      <c r="J152" s="81" t="str">
        <f>IF(VERW_Project!$A97="","",IF(VERW_Project!$G97="Nee","n.v.t.",VERW_Project!$BW97))</f>
        <v/>
      </c>
      <c r="K152" s="81" t="str">
        <f>IF(VERW_Project!$A97="","",IF(VERW_Project!$G97="Nee","n.v.t.",VERW_Project!$BX97))</f>
        <v/>
      </c>
      <c r="L152" s="81" t="str">
        <f>IF(VERW_Project!$A97="","",IF(VERW_Project!$G97="Nee","n.v.t.",VERW_Project!$CC97))</f>
        <v/>
      </c>
      <c r="M152" s="81" t="str">
        <f>IF(VERW_Project!$A97="","",IF(VERW_Project!$G97="Nee","n.v.t.",VERW_Project!$BC97))</f>
        <v/>
      </c>
      <c r="N152" s="81" t="str">
        <f>IF(VERW_Project!$A97="","",IF(VERW_Project!$G97="Nee","n.v.t.",VERW_Project!$BD97))</f>
        <v/>
      </c>
      <c r="O152" s="83" t="str">
        <f>IF(VERW_Project!$A97="","",IF(AND(ISNUMBER(F152),ISNUMBER(M152)),IF(F152&gt;0,M152/F152,""),""))</f>
        <v/>
      </c>
      <c r="P152" s="81" t="str">
        <f>IF(VERW_Project!$A97="","",IF(VERW_Project!$G97="Nee","n.v.t.",IF(COUNTIFS(L_Actief,1,L_WBS,VERW_Project!$A97,L_Doeljaar,Sel_Doeljaar,L_Versiejaar,P_VJ,L_Versie,"Budget",L_Kengetal,"Woningverkopen FY")=0,"n.b.",SUMIFS(L_Waarde,L_Actief,1,L_WBS,VERW_Project!$A97,L_Doeljaar,Sel_Doeljaar,L_Versiejaar,P_VJ,L_Versie,"Budget",L_Kengetal,"Woningverkopen FY"))))</f>
        <v/>
      </c>
      <c r="Q152" s="81" t="str">
        <f>IF(VERW_Project!$A97="","",IF(AND(ISNUMBER(P152),Sel_Doeljaar=P_RJ,ISNUMBER(J152)),J152-P152,IF(AND(ISNUMBER(P152),Sel_Doeljaar=P_RJ+1,ISNUMBER(K152)),K152-P152,"n.b.")))</f>
        <v/>
      </c>
    </row>
    <row r="153">
      <c r="B153" s="80" t="str">
        <f>IF(VERW_Project!$A98="","",VERW_Project!$C98)</f>
        <v/>
      </c>
      <c r="C153" s="80" t="str">
        <f>IF(VERW_Project!$A98="","",VERW_Project!$D98)</f>
        <v/>
      </c>
      <c r="D153" s="80" t="str">
        <f>IF(VERW_Project!$A98="","",VERW_Project!$E98)</f>
        <v/>
      </c>
      <c r="E153" s="81" t="str">
        <f>IF(VERW_Project!$A98="","",VERW_Project!$F98)</f>
        <v/>
      </c>
      <c r="F153" s="81" t="str">
        <f>IF(VERW_Project!$A98="","",IF(VERW_Project!$G98="Nee","n.v.t.",VERW_Project!$AT98))</f>
        <v/>
      </c>
      <c r="G153" s="82" t="str">
        <f>IF(VERW_Project!$A98="","",IF(VERW_Project!$G98="Nee","n.v.t.",IF(AND(ISNUMBER(F153),ISNUMBER(E153)),IF(E153&gt;0,F153/(E153/100),"n.b."),"n.b.")))</f>
        <v/>
      </c>
      <c r="H153" s="81" t="str">
        <f>IF(VERW_Project!$A98="","",IF(VERW_Project!$G98="Nee","n.v.t.",VERW_Project!$AW98))</f>
        <v/>
      </c>
      <c r="I153" s="81" t="str">
        <f>IF(VERW_Project!$A98="","",IF(VERW_Project!$G98="Nee","n.v.t.",VERW_Project!$BU98))</f>
        <v/>
      </c>
      <c r="J153" s="81" t="str">
        <f>IF(VERW_Project!$A98="","",IF(VERW_Project!$G98="Nee","n.v.t.",VERW_Project!$BW98))</f>
        <v/>
      </c>
      <c r="K153" s="81" t="str">
        <f>IF(VERW_Project!$A98="","",IF(VERW_Project!$G98="Nee","n.v.t.",VERW_Project!$BX98))</f>
        <v/>
      </c>
      <c r="L153" s="81" t="str">
        <f>IF(VERW_Project!$A98="","",IF(VERW_Project!$G98="Nee","n.v.t.",VERW_Project!$CC98))</f>
        <v/>
      </c>
      <c r="M153" s="81" t="str">
        <f>IF(VERW_Project!$A98="","",IF(VERW_Project!$G98="Nee","n.v.t.",VERW_Project!$BC98))</f>
        <v/>
      </c>
      <c r="N153" s="81" t="str">
        <f>IF(VERW_Project!$A98="","",IF(VERW_Project!$G98="Nee","n.v.t.",VERW_Project!$BD98))</f>
        <v/>
      </c>
      <c r="O153" s="83" t="str">
        <f>IF(VERW_Project!$A98="","",IF(AND(ISNUMBER(F153),ISNUMBER(M153)),IF(F153&gt;0,M153/F153,""),""))</f>
        <v/>
      </c>
      <c r="P153" s="81" t="str">
        <f>IF(VERW_Project!$A98="","",IF(VERW_Project!$G98="Nee","n.v.t.",IF(COUNTIFS(L_Actief,1,L_WBS,VERW_Project!$A98,L_Doeljaar,Sel_Doeljaar,L_Versiejaar,P_VJ,L_Versie,"Budget",L_Kengetal,"Woningverkopen FY")=0,"n.b.",SUMIFS(L_Waarde,L_Actief,1,L_WBS,VERW_Project!$A98,L_Doeljaar,Sel_Doeljaar,L_Versiejaar,P_VJ,L_Versie,"Budget",L_Kengetal,"Woningverkopen FY"))))</f>
        <v/>
      </c>
      <c r="Q153" s="81" t="str">
        <f>IF(VERW_Project!$A98="","",IF(AND(ISNUMBER(P153),Sel_Doeljaar=P_RJ,ISNUMBER(J153)),J153-P153,IF(AND(ISNUMBER(P153),Sel_Doeljaar=P_RJ+1,ISNUMBER(K153)),K153-P153,"n.b.")))</f>
        <v/>
      </c>
    </row>
    <row r="154">
      <c r="B154" s="80" t="str">
        <f>IF(VERW_Project!$A99="","",VERW_Project!$C99)</f>
        <v/>
      </c>
      <c r="C154" s="80" t="str">
        <f>IF(VERW_Project!$A99="","",VERW_Project!$D99)</f>
        <v/>
      </c>
      <c r="D154" s="80" t="str">
        <f>IF(VERW_Project!$A99="","",VERW_Project!$E99)</f>
        <v/>
      </c>
      <c r="E154" s="81" t="str">
        <f>IF(VERW_Project!$A99="","",VERW_Project!$F99)</f>
        <v/>
      </c>
      <c r="F154" s="81" t="str">
        <f>IF(VERW_Project!$A99="","",IF(VERW_Project!$G99="Nee","n.v.t.",VERW_Project!$AT99))</f>
        <v/>
      </c>
      <c r="G154" s="82" t="str">
        <f>IF(VERW_Project!$A99="","",IF(VERW_Project!$G99="Nee","n.v.t.",IF(AND(ISNUMBER(F154),ISNUMBER(E154)),IF(E154&gt;0,F154/(E154/100),"n.b."),"n.b.")))</f>
        <v/>
      </c>
      <c r="H154" s="81" t="str">
        <f>IF(VERW_Project!$A99="","",IF(VERW_Project!$G99="Nee","n.v.t.",VERW_Project!$AW99))</f>
        <v/>
      </c>
      <c r="I154" s="81" t="str">
        <f>IF(VERW_Project!$A99="","",IF(VERW_Project!$G99="Nee","n.v.t.",VERW_Project!$BU99))</f>
        <v/>
      </c>
      <c r="J154" s="81" t="str">
        <f>IF(VERW_Project!$A99="","",IF(VERW_Project!$G99="Nee","n.v.t.",VERW_Project!$BW99))</f>
        <v/>
      </c>
      <c r="K154" s="81" t="str">
        <f>IF(VERW_Project!$A99="","",IF(VERW_Project!$G99="Nee","n.v.t.",VERW_Project!$BX99))</f>
        <v/>
      </c>
      <c r="L154" s="81" t="str">
        <f>IF(VERW_Project!$A99="","",IF(VERW_Project!$G99="Nee","n.v.t.",VERW_Project!$CC99))</f>
        <v/>
      </c>
      <c r="M154" s="81" t="str">
        <f>IF(VERW_Project!$A99="","",IF(VERW_Project!$G99="Nee","n.v.t.",VERW_Project!$BC99))</f>
        <v/>
      </c>
      <c r="N154" s="81" t="str">
        <f>IF(VERW_Project!$A99="","",IF(VERW_Project!$G99="Nee","n.v.t.",VERW_Project!$BD99))</f>
        <v/>
      </c>
      <c r="O154" s="83" t="str">
        <f>IF(VERW_Project!$A99="","",IF(AND(ISNUMBER(F154),ISNUMBER(M154)),IF(F154&gt;0,M154/F154,""),""))</f>
        <v/>
      </c>
      <c r="P154" s="81" t="str">
        <f>IF(VERW_Project!$A99="","",IF(VERW_Project!$G99="Nee","n.v.t.",IF(COUNTIFS(L_Actief,1,L_WBS,VERW_Project!$A99,L_Doeljaar,Sel_Doeljaar,L_Versiejaar,P_VJ,L_Versie,"Budget",L_Kengetal,"Woningverkopen FY")=0,"n.b.",SUMIFS(L_Waarde,L_Actief,1,L_WBS,VERW_Project!$A99,L_Doeljaar,Sel_Doeljaar,L_Versiejaar,P_VJ,L_Versie,"Budget",L_Kengetal,"Woningverkopen FY"))))</f>
        <v/>
      </c>
      <c r="Q154" s="81" t="str">
        <f>IF(VERW_Project!$A99="","",IF(AND(ISNUMBER(P154),Sel_Doeljaar=P_RJ,ISNUMBER(J154)),J154-P154,IF(AND(ISNUMBER(P154),Sel_Doeljaar=P_RJ+1,ISNUMBER(K154)),K154-P154,"n.b.")))</f>
        <v/>
      </c>
    </row>
    <row r="155">
      <c r="B155" s="80" t="str">
        <f>IF(VERW_Project!$A100="","",VERW_Project!$C100)</f>
        <v/>
      </c>
      <c r="C155" s="80" t="str">
        <f>IF(VERW_Project!$A100="","",VERW_Project!$D100)</f>
        <v/>
      </c>
      <c r="D155" s="80" t="str">
        <f>IF(VERW_Project!$A100="","",VERW_Project!$E100)</f>
        <v/>
      </c>
      <c r="E155" s="81" t="str">
        <f>IF(VERW_Project!$A100="","",VERW_Project!$F100)</f>
        <v/>
      </c>
      <c r="F155" s="81" t="str">
        <f>IF(VERW_Project!$A100="","",IF(VERW_Project!$G100="Nee","n.v.t.",VERW_Project!$AT100))</f>
        <v/>
      </c>
      <c r="G155" s="82" t="str">
        <f>IF(VERW_Project!$A100="","",IF(VERW_Project!$G100="Nee","n.v.t.",IF(AND(ISNUMBER(F155),ISNUMBER(E155)),IF(E155&gt;0,F155/(E155/100),"n.b."),"n.b.")))</f>
        <v/>
      </c>
      <c r="H155" s="81" t="str">
        <f>IF(VERW_Project!$A100="","",IF(VERW_Project!$G100="Nee","n.v.t.",VERW_Project!$AW100))</f>
        <v/>
      </c>
      <c r="I155" s="81" t="str">
        <f>IF(VERW_Project!$A100="","",IF(VERW_Project!$G100="Nee","n.v.t.",VERW_Project!$BU100))</f>
        <v/>
      </c>
      <c r="J155" s="81" t="str">
        <f>IF(VERW_Project!$A100="","",IF(VERW_Project!$G100="Nee","n.v.t.",VERW_Project!$BW100))</f>
        <v/>
      </c>
      <c r="K155" s="81" t="str">
        <f>IF(VERW_Project!$A100="","",IF(VERW_Project!$G100="Nee","n.v.t.",VERW_Project!$BX100))</f>
        <v/>
      </c>
      <c r="L155" s="81" t="str">
        <f>IF(VERW_Project!$A100="","",IF(VERW_Project!$G100="Nee","n.v.t.",VERW_Project!$CC100))</f>
        <v/>
      </c>
      <c r="M155" s="81" t="str">
        <f>IF(VERW_Project!$A100="","",IF(VERW_Project!$G100="Nee","n.v.t.",VERW_Project!$BC100))</f>
        <v/>
      </c>
      <c r="N155" s="81" t="str">
        <f>IF(VERW_Project!$A100="","",IF(VERW_Project!$G100="Nee","n.v.t.",VERW_Project!$BD100))</f>
        <v/>
      </c>
      <c r="O155" s="83" t="str">
        <f>IF(VERW_Project!$A100="","",IF(AND(ISNUMBER(F155),ISNUMBER(M155)),IF(F155&gt;0,M155/F155,""),""))</f>
        <v/>
      </c>
      <c r="P155" s="81" t="str">
        <f>IF(VERW_Project!$A100="","",IF(VERW_Project!$G100="Nee","n.v.t.",IF(COUNTIFS(L_Actief,1,L_WBS,VERW_Project!$A100,L_Doeljaar,Sel_Doeljaar,L_Versiejaar,P_VJ,L_Versie,"Budget",L_Kengetal,"Woningverkopen FY")=0,"n.b.",SUMIFS(L_Waarde,L_Actief,1,L_WBS,VERW_Project!$A100,L_Doeljaar,Sel_Doeljaar,L_Versiejaar,P_VJ,L_Versie,"Budget",L_Kengetal,"Woningverkopen FY"))))</f>
        <v/>
      </c>
      <c r="Q155" s="81" t="str">
        <f>IF(VERW_Project!$A100="","",IF(AND(ISNUMBER(P155),Sel_Doeljaar=P_RJ,ISNUMBER(J155)),J155-P155,IF(AND(ISNUMBER(P155),Sel_Doeljaar=P_RJ+1,ISNUMBER(K155)),K155-P155,"n.b.")))</f>
        <v/>
      </c>
    </row>
    <row r="156">
      <c r="B156" s="80" t="str">
        <f>IF(VERW_Project!$A101="","",VERW_Project!$C101)</f>
        <v/>
      </c>
      <c r="C156" s="80" t="str">
        <f>IF(VERW_Project!$A101="","",VERW_Project!$D101)</f>
        <v/>
      </c>
      <c r="D156" s="80" t="str">
        <f>IF(VERW_Project!$A101="","",VERW_Project!$E101)</f>
        <v/>
      </c>
      <c r="E156" s="81" t="str">
        <f>IF(VERW_Project!$A101="","",VERW_Project!$F101)</f>
        <v/>
      </c>
      <c r="F156" s="81" t="str">
        <f>IF(VERW_Project!$A101="","",IF(VERW_Project!$G101="Nee","n.v.t.",VERW_Project!$AT101))</f>
        <v/>
      </c>
      <c r="G156" s="82" t="str">
        <f>IF(VERW_Project!$A101="","",IF(VERW_Project!$G101="Nee","n.v.t.",IF(AND(ISNUMBER(F156),ISNUMBER(E156)),IF(E156&gt;0,F156/(E156/100),"n.b."),"n.b.")))</f>
        <v/>
      </c>
      <c r="H156" s="81" t="str">
        <f>IF(VERW_Project!$A101="","",IF(VERW_Project!$G101="Nee","n.v.t.",VERW_Project!$AW101))</f>
        <v/>
      </c>
      <c r="I156" s="81" t="str">
        <f>IF(VERW_Project!$A101="","",IF(VERW_Project!$G101="Nee","n.v.t.",VERW_Project!$BU101))</f>
        <v/>
      </c>
      <c r="J156" s="81" t="str">
        <f>IF(VERW_Project!$A101="","",IF(VERW_Project!$G101="Nee","n.v.t.",VERW_Project!$BW101))</f>
        <v/>
      </c>
      <c r="K156" s="81" t="str">
        <f>IF(VERW_Project!$A101="","",IF(VERW_Project!$G101="Nee","n.v.t.",VERW_Project!$BX101))</f>
        <v/>
      </c>
      <c r="L156" s="81" t="str">
        <f>IF(VERW_Project!$A101="","",IF(VERW_Project!$G101="Nee","n.v.t.",VERW_Project!$CC101))</f>
        <v/>
      </c>
      <c r="M156" s="81" t="str">
        <f>IF(VERW_Project!$A101="","",IF(VERW_Project!$G101="Nee","n.v.t.",VERW_Project!$BC101))</f>
        <v/>
      </c>
      <c r="N156" s="81" t="str">
        <f>IF(VERW_Project!$A101="","",IF(VERW_Project!$G101="Nee","n.v.t.",VERW_Project!$BD101))</f>
        <v/>
      </c>
      <c r="O156" s="83" t="str">
        <f>IF(VERW_Project!$A101="","",IF(AND(ISNUMBER(F156),ISNUMBER(M156)),IF(F156&gt;0,M156/F156,""),""))</f>
        <v/>
      </c>
      <c r="P156" s="81" t="str">
        <f>IF(VERW_Project!$A101="","",IF(VERW_Project!$G101="Nee","n.v.t.",IF(COUNTIFS(L_Actief,1,L_WBS,VERW_Project!$A101,L_Doeljaar,Sel_Doeljaar,L_Versiejaar,P_VJ,L_Versie,"Budget",L_Kengetal,"Woningverkopen FY")=0,"n.b.",SUMIFS(L_Waarde,L_Actief,1,L_WBS,VERW_Project!$A101,L_Doeljaar,Sel_Doeljaar,L_Versiejaar,P_VJ,L_Versie,"Budget",L_Kengetal,"Woningverkopen FY"))))</f>
        <v/>
      </c>
      <c r="Q156" s="81" t="str">
        <f>IF(VERW_Project!$A101="","",IF(AND(ISNUMBER(P156),Sel_Doeljaar=P_RJ,ISNUMBER(J156)),J156-P156,IF(AND(ISNUMBER(P156),Sel_Doeljaar=P_RJ+1,ISNUMBER(K156)),K156-P156,"n.b.")))</f>
        <v/>
      </c>
    </row>
    <row r="157">
      <c r="B157" s="80" t="str">
        <f>IF(VERW_Project!$A102="","",VERW_Project!$C102)</f>
        <v/>
      </c>
      <c r="C157" s="80" t="str">
        <f>IF(VERW_Project!$A102="","",VERW_Project!$D102)</f>
        <v/>
      </c>
      <c r="D157" s="80" t="str">
        <f>IF(VERW_Project!$A102="","",VERW_Project!$E102)</f>
        <v/>
      </c>
      <c r="E157" s="81" t="str">
        <f>IF(VERW_Project!$A102="","",VERW_Project!$F102)</f>
        <v/>
      </c>
      <c r="F157" s="81" t="str">
        <f>IF(VERW_Project!$A102="","",IF(VERW_Project!$G102="Nee","n.v.t.",VERW_Project!$AT102))</f>
        <v/>
      </c>
      <c r="G157" s="82" t="str">
        <f>IF(VERW_Project!$A102="","",IF(VERW_Project!$G102="Nee","n.v.t.",IF(AND(ISNUMBER(F157),ISNUMBER(E157)),IF(E157&gt;0,F157/(E157/100),"n.b."),"n.b.")))</f>
        <v/>
      </c>
      <c r="H157" s="81" t="str">
        <f>IF(VERW_Project!$A102="","",IF(VERW_Project!$G102="Nee","n.v.t.",VERW_Project!$AW102))</f>
        <v/>
      </c>
      <c r="I157" s="81" t="str">
        <f>IF(VERW_Project!$A102="","",IF(VERW_Project!$G102="Nee","n.v.t.",VERW_Project!$BU102))</f>
        <v/>
      </c>
      <c r="J157" s="81" t="str">
        <f>IF(VERW_Project!$A102="","",IF(VERW_Project!$G102="Nee","n.v.t.",VERW_Project!$BW102))</f>
        <v/>
      </c>
      <c r="K157" s="81" t="str">
        <f>IF(VERW_Project!$A102="","",IF(VERW_Project!$G102="Nee","n.v.t.",VERW_Project!$BX102))</f>
        <v/>
      </c>
      <c r="L157" s="81" t="str">
        <f>IF(VERW_Project!$A102="","",IF(VERW_Project!$G102="Nee","n.v.t.",VERW_Project!$CC102))</f>
        <v/>
      </c>
      <c r="M157" s="81" t="str">
        <f>IF(VERW_Project!$A102="","",IF(VERW_Project!$G102="Nee","n.v.t.",VERW_Project!$BC102))</f>
        <v/>
      </c>
      <c r="N157" s="81" t="str">
        <f>IF(VERW_Project!$A102="","",IF(VERW_Project!$G102="Nee","n.v.t.",VERW_Project!$BD102))</f>
        <v/>
      </c>
      <c r="O157" s="83" t="str">
        <f>IF(VERW_Project!$A102="","",IF(AND(ISNUMBER(F157),ISNUMBER(M157)),IF(F157&gt;0,M157/F157,""),""))</f>
        <v/>
      </c>
      <c r="P157" s="81" t="str">
        <f>IF(VERW_Project!$A102="","",IF(VERW_Project!$G102="Nee","n.v.t.",IF(COUNTIFS(L_Actief,1,L_WBS,VERW_Project!$A102,L_Doeljaar,Sel_Doeljaar,L_Versiejaar,P_VJ,L_Versie,"Budget",L_Kengetal,"Woningverkopen FY")=0,"n.b.",SUMIFS(L_Waarde,L_Actief,1,L_WBS,VERW_Project!$A102,L_Doeljaar,Sel_Doeljaar,L_Versiejaar,P_VJ,L_Versie,"Budget",L_Kengetal,"Woningverkopen FY"))))</f>
        <v/>
      </c>
      <c r="Q157" s="81" t="str">
        <f>IF(VERW_Project!$A102="","",IF(AND(ISNUMBER(P157),Sel_Doeljaar=P_RJ,ISNUMBER(J157)),J157-P157,IF(AND(ISNUMBER(P157),Sel_Doeljaar=P_RJ+1,ISNUMBER(K157)),K157-P157,"n.b.")))</f>
        <v/>
      </c>
    </row>
    <row r="158">
      <c r="B158" s="80" t="str">
        <f>IF(VERW_Project!$A103="","",VERW_Project!$C103)</f>
        <v/>
      </c>
      <c r="C158" s="80" t="str">
        <f>IF(VERW_Project!$A103="","",VERW_Project!$D103)</f>
        <v/>
      </c>
      <c r="D158" s="80" t="str">
        <f>IF(VERW_Project!$A103="","",VERW_Project!$E103)</f>
        <v/>
      </c>
      <c r="E158" s="81" t="str">
        <f>IF(VERW_Project!$A103="","",VERW_Project!$F103)</f>
        <v/>
      </c>
      <c r="F158" s="81" t="str">
        <f>IF(VERW_Project!$A103="","",IF(VERW_Project!$G103="Nee","n.v.t.",VERW_Project!$AT103))</f>
        <v/>
      </c>
      <c r="G158" s="82" t="str">
        <f>IF(VERW_Project!$A103="","",IF(VERW_Project!$G103="Nee","n.v.t.",IF(AND(ISNUMBER(F158),ISNUMBER(E158)),IF(E158&gt;0,F158/(E158/100),"n.b."),"n.b.")))</f>
        <v/>
      </c>
      <c r="H158" s="81" t="str">
        <f>IF(VERW_Project!$A103="","",IF(VERW_Project!$G103="Nee","n.v.t.",VERW_Project!$AW103))</f>
        <v/>
      </c>
      <c r="I158" s="81" t="str">
        <f>IF(VERW_Project!$A103="","",IF(VERW_Project!$G103="Nee","n.v.t.",VERW_Project!$BU103))</f>
        <v/>
      </c>
      <c r="J158" s="81" t="str">
        <f>IF(VERW_Project!$A103="","",IF(VERW_Project!$G103="Nee","n.v.t.",VERW_Project!$BW103))</f>
        <v/>
      </c>
      <c r="K158" s="81" t="str">
        <f>IF(VERW_Project!$A103="","",IF(VERW_Project!$G103="Nee","n.v.t.",VERW_Project!$BX103))</f>
        <v/>
      </c>
      <c r="L158" s="81" t="str">
        <f>IF(VERW_Project!$A103="","",IF(VERW_Project!$G103="Nee","n.v.t.",VERW_Project!$CC103))</f>
        <v/>
      </c>
      <c r="M158" s="81" t="str">
        <f>IF(VERW_Project!$A103="","",IF(VERW_Project!$G103="Nee","n.v.t.",VERW_Project!$BC103))</f>
        <v/>
      </c>
      <c r="N158" s="81" t="str">
        <f>IF(VERW_Project!$A103="","",IF(VERW_Project!$G103="Nee","n.v.t.",VERW_Project!$BD103))</f>
        <v/>
      </c>
      <c r="O158" s="83" t="str">
        <f>IF(VERW_Project!$A103="","",IF(AND(ISNUMBER(F158),ISNUMBER(M158)),IF(F158&gt;0,M158/F158,""),""))</f>
        <v/>
      </c>
      <c r="P158" s="81" t="str">
        <f>IF(VERW_Project!$A103="","",IF(VERW_Project!$G103="Nee","n.v.t.",IF(COUNTIFS(L_Actief,1,L_WBS,VERW_Project!$A103,L_Doeljaar,Sel_Doeljaar,L_Versiejaar,P_VJ,L_Versie,"Budget",L_Kengetal,"Woningverkopen FY")=0,"n.b.",SUMIFS(L_Waarde,L_Actief,1,L_WBS,VERW_Project!$A103,L_Doeljaar,Sel_Doeljaar,L_Versiejaar,P_VJ,L_Versie,"Budget",L_Kengetal,"Woningverkopen FY"))))</f>
        <v/>
      </c>
      <c r="Q158" s="81" t="str">
        <f>IF(VERW_Project!$A103="","",IF(AND(ISNUMBER(P158),Sel_Doeljaar=P_RJ,ISNUMBER(J158)),J158-P158,IF(AND(ISNUMBER(P158),Sel_Doeljaar=P_RJ+1,ISNUMBER(K158)),K158-P158,"n.b.")))</f>
        <v/>
      </c>
    </row>
    <row r="159">
      <c r="B159" s="80" t="str">
        <f>IF(VERW_Project!$A104="","",VERW_Project!$C104)</f>
        <v/>
      </c>
      <c r="C159" s="80" t="str">
        <f>IF(VERW_Project!$A104="","",VERW_Project!$D104)</f>
        <v/>
      </c>
      <c r="D159" s="80" t="str">
        <f>IF(VERW_Project!$A104="","",VERW_Project!$E104)</f>
        <v/>
      </c>
      <c r="E159" s="81" t="str">
        <f>IF(VERW_Project!$A104="","",VERW_Project!$F104)</f>
        <v/>
      </c>
      <c r="F159" s="81" t="str">
        <f>IF(VERW_Project!$A104="","",IF(VERW_Project!$G104="Nee","n.v.t.",VERW_Project!$AT104))</f>
        <v/>
      </c>
      <c r="G159" s="82" t="str">
        <f>IF(VERW_Project!$A104="","",IF(VERW_Project!$G104="Nee","n.v.t.",IF(AND(ISNUMBER(F159),ISNUMBER(E159)),IF(E159&gt;0,F159/(E159/100),"n.b."),"n.b.")))</f>
        <v/>
      </c>
      <c r="H159" s="81" t="str">
        <f>IF(VERW_Project!$A104="","",IF(VERW_Project!$G104="Nee","n.v.t.",VERW_Project!$AW104))</f>
        <v/>
      </c>
      <c r="I159" s="81" t="str">
        <f>IF(VERW_Project!$A104="","",IF(VERW_Project!$G104="Nee","n.v.t.",VERW_Project!$BU104))</f>
        <v/>
      </c>
      <c r="J159" s="81" t="str">
        <f>IF(VERW_Project!$A104="","",IF(VERW_Project!$G104="Nee","n.v.t.",VERW_Project!$BW104))</f>
        <v/>
      </c>
      <c r="K159" s="81" t="str">
        <f>IF(VERW_Project!$A104="","",IF(VERW_Project!$G104="Nee","n.v.t.",VERW_Project!$BX104))</f>
        <v/>
      </c>
      <c r="L159" s="81" t="str">
        <f>IF(VERW_Project!$A104="","",IF(VERW_Project!$G104="Nee","n.v.t.",VERW_Project!$CC104))</f>
        <v/>
      </c>
      <c r="M159" s="81" t="str">
        <f>IF(VERW_Project!$A104="","",IF(VERW_Project!$G104="Nee","n.v.t.",VERW_Project!$BC104))</f>
        <v/>
      </c>
      <c r="N159" s="81" t="str">
        <f>IF(VERW_Project!$A104="","",IF(VERW_Project!$G104="Nee","n.v.t.",VERW_Project!$BD104))</f>
        <v/>
      </c>
      <c r="O159" s="83" t="str">
        <f>IF(VERW_Project!$A104="","",IF(AND(ISNUMBER(F159),ISNUMBER(M159)),IF(F159&gt;0,M159/F159,""),""))</f>
        <v/>
      </c>
      <c r="P159" s="81" t="str">
        <f>IF(VERW_Project!$A104="","",IF(VERW_Project!$G104="Nee","n.v.t.",IF(COUNTIFS(L_Actief,1,L_WBS,VERW_Project!$A104,L_Doeljaar,Sel_Doeljaar,L_Versiejaar,P_VJ,L_Versie,"Budget",L_Kengetal,"Woningverkopen FY")=0,"n.b.",SUMIFS(L_Waarde,L_Actief,1,L_WBS,VERW_Project!$A104,L_Doeljaar,Sel_Doeljaar,L_Versiejaar,P_VJ,L_Versie,"Budget",L_Kengetal,"Woningverkopen FY"))))</f>
        <v/>
      </c>
      <c r="Q159" s="81" t="str">
        <f>IF(VERW_Project!$A104="","",IF(AND(ISNUMBER(P159),Sel_Doeljaar=P_RJ,ISNUMBER(J159)),J159-P159,IF(AND(ISNUMBER(P159),Sel_Doeljaar=P_RJ+1,ISNUMBER(K159)),K159-P159,"n.b.")))</f>
        <v/>
      </c>
    </row>
    <row r="160">
      <c r="B160" s="80" t="str">
        <f>IF(VERW_Project!$A105="","",VERW_Project!$C105)</f>
        <v/>
      </c>
      <c r="C160" s="80" t="str">
        <f>IF(VERW_Project!$A105="","",VERW_Project!$D105)</f>
        <v/>
      </c>
      <c r="D160" s="80" t="str">
        <f>IF(VERW_Project!$A105="","",VERW_Project!$E105)</f>
        <v/>
      </c>
      <c r="E160" s="81" t="str">
        <f>IF(VERW_Project!$A105="","",VERW_Project!$F105)</f>
        <v/>
      </c>
      <c r="F160" s="81" t="str">
        <f>IF(VERW_Project!$A105="","",IF(VERW_Project!$G105="Nee","n.v.t.",VERW_Project!$AT105))</f>
        <v/>
      </c>
      <c r="G160" s="82" t="str">
        <f>IF(VERW_Project!$A105="","",IF(VERW_Project!$G105="Nee","n.v.t.",IF(AND(ISNUMBER(F160),ISNUMBER(E160)),IF(E160&gt;0,F160/(E160/100),"n.b."),"n.b.")))</f>
        <v/>
      </c>
      <c r="H160" s="81" t="str">
        <f>IF(VERW_Project!$A105="","",IF(VERW_Project!$G105="Nee","n.v.t.",VERW_Project!$AW105))</f>
        <v/>
      </c>
      <c r="I160" s="81" t="str">
        <f>IF(VERW_Project!$A105="","",IF(VERW_Project!$G105="Nee","n.v.t.",VERW_Project!$BU105))</f>
        <v/>
      </c>
      <c r="J160" s="81" t="str">
        <f>IF(VERW_Project!$A105="","",IF(VERW_Project!$G105="Nee","n.v.t.",VERW_Project!$BW105))</f>
        <v/>
      </c>
      <c r="K160" s="81" t="str">
        <f>IF(VERW_Project!$A105="","",IF(VERW_Project!$G105="Nee","n.v.t.",VERW_Project!$BX105))</f>
        <v/>
      </c>
      <c r="L160" s="81" t="str">
        <f>IF(VERW_Project!$A105="","",IF(VERW_Project!$G105="Nee","n.v.t.",VERW_Project!$CC105))</f>
        <v/>
      </c>
      <c r="M160" s="81" t="str">
        <f>IF(VERW_Project!$A105="","",IF(VERW_Project!$G105="Nee","n.v.t.",VERW_Project!$BC105))</f>
        <v/>
      </c>
      <c r="N160" s="81" t="str">
        <f>IF(VERW_Project!$A105="","",IF(VERW_Project!$G105="Nee","n.v.t.",VERW_Project!$BD105))</f>
        <v/>
      </c>
      <c r="O160" s="83" t="str">
        <f>IF(VERW_Project!$A105="","",IF(AND(ISNUMBER(F160),ISNUMBER(M160)),IF(F160&gt;0,M160/F160,""),""))</f>
        <v/>
      </c>
      <c r="P160" s="81" t="str">
        <f>IF(VERW_Project!$A105="","",IF(VERW_Project!$G105="Nee","n.v.t.",IF(COUNTIFS(L_Actief,1,L_WBS,VERW_Project!$A105,L_Doeljaar,Sel_Doeljaar,L_Versiejaar,P_VJ,L_Versie,"Budget",L_Kengetal,"Woningverkopen FY")=0,"n.b.",SUMIFS(L_Waarde,L_Actief,1,L_WBS,VERW_Project!$A105,L_Doeljaar,Sel_Doeljaar,L_Versiejaar,P_VJ,L_Versie,"Budget",L_Kengetal,"Woningverkopen FY"))))</f>
        <v/>
      </c>
      <c r="Q160" s="81" t="str">
        <f>IF(VERW_Project!$A105="","",IF(AND(ISNUMBER(P160),Sel_Doeljaar=P_RJ,ISNUMBER(J160)),J160-P160,IF(AND(ISNUMBER(P160),Sel_Doeljaar=P_RJ+1,ISNUMBER(K160)),K160-P160,"n.b.")))</f>
        <v/>
      </c>
    </row>
  </sheetData>
  <mergeCells count="6">
    <mergeCell ref="B5:C5"/>
    <mergeCell ref="Q5:R5"/>
    <mergeCell ref="E5:F5"/>
    <mergeCell ref="K5:L5"/>
    <mergeCell ref="H5:I5"/>
    <mergeCell ref="N5:O5"/>
  </mergeCells>
  <conditionalFormatting sqref="N7">
    <cfRule type="dataBar" priority="1">
      <dataBar showValue="1">
        <cfvo type="num" val="0"/>
        <cfvo type="num" val="1"/>
        <color rgb="00F5B800"/>
      </dataBar>
    </cfRule>
  </conditionalFormatting>
  <conditionalFormatting sqref="O61:O160">
    <cfRule type="dataBar" priority="2">
      <dataBar showValue="1">
        <cfvo type="num" val="0"/>
        <cfvo type="num" val="1"/>
        <color rgb="00F5B800"/>
      </dataBar>
    </cfRule>
  </conditionalFormatting>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tabColor rgb="00C0392B"/>
    <outlinePr summaryBelow="1" summaryRight="1"/>
    <pageSetUpPr fitToPage="1"/>
  </sheetPr>
  <dimension ref="A1:I88"/>
  <sheetViews>
    <sheetView showGridLines="0" zoomScale="90" workbookViewId="0">
      <pane ySplit="8" topLeftCell="A9" activePane="bottomLeft" state="frozen"/>
      <selection pane="bottomLeft" activeCell="A1" sqref="A1"/>
    </sheetView>
  </sheetViews>
  <sheetFormatPr baseColWidth="8" defaultRowHeight="15"/>
  <cols>
    <col width="2" customWidth="1" min="1" max="1"/>
    <col width="18" customWidth="1" min="2" max="2"/>
    <col width="22" customWidth="1" min="3" max="3"/>
    <col width="44" customWidth="1" min="4" max="4"/>
    <col width="16" customWidth="1" min="5" max="5"/>
    <col width="30" customWidth="1" min="6" max="6"/>
    <col width="26" customWidth="1" min="7" max="7"/>
    <col width="34" customWidth="1" min="8" max="8"/>
    <col width="16" customWidth="1" min="9" max="9"/>
  </cols>
  <sheetData>
    <row r="1" ht="28" customHeight="1">
      <c r="A1" s="1" t="n"/>
      <c r="B1" s="2" t="inlineStr">
        <is>
          <t>Controleblad</t>
        </is>
      </c>
      <c r="C1" s="1" t="n"/>
      <c r="D1" s="1" t="n"/>
      <c r="E1" s="1" t="n"/>
      <c r="F1" s="1" t="n"/>
      <c r="G1" s="1" t="n"/>
      <c r="H1" s="1" t="n"/>
      <c r="I1" s="1" t="n"/>
    </row>
    <row r="2">
      <c r="B2" s="3" t="inlineStr">
        <is>
          <t>Status per controle: FOUT = eerst oplossen (niet vastleggen) · WAARSCHUWING = beoordelen · OK · INFO.</t>
        </is>
      </c>
    </row>
    <row r="4">
      <c r="B4" s="17" t="inlineStr">
        <is>
          <t>Aantal FOUT</t>
        </is>
      </c>
      <c r="D4" s="84">
        <f>COUNTIF($G$9:$G$68,"FOUT")</f>
        <v>0</v>
      </c>
    </row>
    <row r="5">
      <c r="B5" s="17" t="inlineStr">
        <is>
          <t>Aantal WAARSCHUWING</t>
        </is>
      </c>
      <c r="D5" s="84">
        <f>COUNTIF($G$9:$G$68,"WAARSCHUWING")</f>
        <v>0</v>
      </c>
    </row>
    <row r="6">
      <c r="B6" s="5" t="inlineStr">
        <is>
          <t>Selectie bij controle</t>
        </is>
      </c>
      <c r="D6" s="15" t="str">
        <f>"doeljaar "&amp;Sel_Doeljaar&amp;", versie "&amp;Sel_Label&amp;", filter "&amp;Sel_FiltLabel</f>
        <v>doeljaar 2026, versie Q3 2026 (vastgesteld), filter geen filter</v>
      </c>
    </row>
    <row r="8" ht="22" customHeight="1">
      <c r="B8" s="32" t="inlineStr">
        <is>
          <t>Nr</t>
        </is>
      </c>
      <c r="C8" s="33" t="inlineStr">
        <is>
          <t>Categorie</t>
        </is>
      </c>
      <c r="D8" s="33" t="inlineStr">
        <is>
          <t>Controle</t>
        </is>
      </c>
      <c r="E8" s="33" t="inlineStr">
        <is>
          <t>Resultaat</t>
        </is>
      </c>
      <c r="F8" s="33" t="inlineStr">
        <is>
          <t>Norm</t>
        </is>
      </c>
      <c r="G8" s="33" t="inlineStr">
        <is>
          <t>Status</t>
        </is>
      </c>
      <c r="H8" s="33" t="inlineStr">
        <is>
          <t>Toelichting / actie</t>
        </is>
      </c>
    </row>
    <row r="9">
      <c r="B9" s="85" t="n">
        <v>1</v>
      </c>
      <c r="C9" s="86" t="inlineStr">
        <is>
          <t>Bron</t>
        </is>
      </c>
      <c r="D9" s="87" t="inlineStr">
        <is>
          <t>Regels ZPMW03 geplakt</t>
        </is>
      </c>
      <c r="E9" s="88">
        <f>COUNTIF(STG_ZPMW03!$B$6:$B$505,"?*")</f>
        <v>20</v>
      </c>
      <c r="F9" s="89" t="str">
        <f>"verwacht "&amp;P_RegelsZ</f>
        <v>verwacht 20</v>
      </c>
      <c r="G9" s="90" t="str">
        <f>IF(E9=P_RegelsZ,"OK","FOUT")</f>
        <v>OK</v>
      </c>
      <c r="H9" s="91" t="inlineStr">
        <is>
          <t>Vergelijk met aantal regels in het exportbestand (Parameters › P_RegelsZ).</t>
        </is>
      </c>
    </row>
    <row r="10">
      <c r="B10" s="85" t="n">
        <v>2</v>
      </c>
      <c r="C10" s="86" t="inlineStr">
        <is>
          <t>Bron</t>
        </is>
      </c>
      <c r="D10" s="87" t="inlineStr">
        <is>
          <t>Regels Woningetalage geplakt</t>
        </is>
      </c>
      <c r="E10" s="88">
        <f>COUNTIF(STG_Woningetalage!$B$6:$B$505,"?*")</f>
        <v>20</v>
      </c>
      <c r="F10" s="89" t="str">
        <f>"verwacht "&amp;P_RegelsE</f>
        <v>verwacht 20</v>
      </c>
      <c r="G10" s="90" t="str">
        <f>IF(E10=P_RegelsE,"OK","FOUT")</f>
        <v>OK</v>
      </c>
      <c r="H10" s="91" t="inlineStr">
        <is>
          <t>Idem P_RegelsE.</t>
        </is>
      </c>
    </row>
    <row r="11">
      <c r="B11" s="85" t="n">
        <v>3</v>
      </c>
      <c r="C11" s="86" t="inlineStr">
        <is>
          <t>Bron</t>
        </is>
      </c>
      <c r="D11" s="87" t="inlineStr">
        <is>
          <t>ZPMW03-regels zonder WBS-element</t>
        </is>
      </c>
      <c r="E11" s="88">
        <f>COUNTA(SRC_ZPMW03!$A$2:$A$501)-COUNTIF(STG_ZPMW03!$B$6:$B$505,"?*")</f>
        <v>0</v>
      </c>
      <c r="F11" s="89" t="inlineStr">
        <is>
          <t>0</t>
        </is>
      </c>
      <c r="G11" s="90" t="str">
        <f>IF(E11=0,"OK","FOUT")</f>
        <v>OK</v>
      </c>
      <c r="H11" s="91" t="inlineStr">
        <is>
          <t>Regels zonder sleutel kunnen niet gekoppeld worden en vallen anders stil weg.</t>
        </is>
      </c>
    </row>
    <row r="12">
      <c r="B12" s="85" t="n">
        <v>4</v>
      </c>
      <c r="C12" s="86" t="inlineStr">
        <is>
          <t>Bron</t>
        </is>
      </c>
      <c r="D12" s="87" t="inlineStr">
        <is>
          <t>Woningetalage-regels zonder Stufe 3</t>
        </is>
      </c>
      <c r="E12" s="88">
        <f>COUNTA(SRC_Woningetalage!$A$2:$A$501)-COUNTIF(STG_Woningetalage!$B$6:$B$505,"?*")</f>
        <v>0</v>
      </c>
      <c r="F12" s="89" t="inlineStr">
        <is>
          <t>0</t>
        </is>
      </c>
      <c r="G12" s="90" t="str">
        <f>IF(E12=0,"OK","FOUT")</f>
        <v>OK</v>
      </c>
      <c r="H12" s="91" t="inlineStr">
        <is>
          <t>Idem.</t>
        </is>
      </c>
    </row>
    <row r="13">
      <c r="B13" s="85" t="n">
        <v>5</v>
      </c>
      <c r="C13" s="86" t="inlineStr">
        <is>
          <t>Bron</t>
        </is>
      </c>
      <c r="D13" s="87" t="inlineStr">
        <is>
          <t>Regels voorbij capaciteit (500 per bron)</t>
        </is>
      </c>
      <c r="E13" s="88">
        <f>COUNTA(SRC_ZPMW03!$A$502:$A$20000)+COUNTA(SRC_Woningetalage!$A$502:$A$20000)</f>
        <v>0</v>
      </c>
      <c r="F13" s="89" t="inlineStr">
        <is>
          <t>0</t>
        </is>
      </c>
      <c r="G13" s="90" t="str">
        <f>IF(E13=0,"OK","FOUT")</f>
        <v>OK</v>
      </c>
      <c r="H13" s="91" t="inlineStr">
        <is>
          <t>Formulebereiken STG_* uitbreiden (zie Handleiding).</t>
        </is>
      </c>
    </row>
    <row r="14">
      <c r="B14" s="85" t="n">
        <v>6</v>
      </c>
      <c r="C14" s="86" t="inlineStr">
        <is>
          <t>Kolommen</t>
        </is>
      </c>
      <c r="D14" s="87" t="inlineStr">
        <is>
          <t>ZPMW03: ontbrekende kolommen</t>
        </is>
      </c>
      <c r="E14" s="88">
        <f>COUNTIF(STG_ZPMW03!$B$4:$BJ$4,"ONTBREEKT")</f>
        <v>0</v>
      </c>
      <c r="F14" s="89" t="inlineStr">
        <is>
          <t>0</t>
        </is>
      </c>
      <c r="G14" s="90" t="str">
        <f>IF(E14=0,"OK","FOUT")</f>
        <v>OK</v>
      </c>
      <c r="H14" s="91" t="inlineStr">
        <is>
          <t>Zie Veldwoordenboek (B). Aliassen Bedrijfsnaam / Naam maatschappij worden beide ondersteund.</t>
        </is>
      </c>
    </row>
    <row r="15">
      <c r="B15" s="85" t="n">
        <v>7</v>
      </c>
      <c r="C15" s="86" t="inlineStr">
        <is>
          <t>Kolommen</t>
        </is>
      </c>
      <c r="D15" s="87" t="inlineStr">
        <is>
          <t>Woningetalage: ontbrekende kolommen</t>
        </is>
      </c>
      <c r="E15" s="88">
        <f>COUNTIF(STG_Woningetalage!$B$4:$BB$4,"ONTBREEKT")</f>
        <v>0</v>
      </c>
      <c r="F15" s="89" t="inlineStr">
        <is>
          <t>0</t>
        </is>
      </c>
      <c r="G15" s="90" t="str">
        <f>IF(E15=0,"OK","FOUT")</f>
        <v>OK</v>
      </c>
      <c r="H15" s="91" t="inlineStr">
        <is>
          <t>Zie Veldwoordenboek (C).</t>
        </is>
      </c>
    </row>
    <row r="16">
      <c r="B16" s="85" t="n">
        <v>8</v>
      </c>
      <c r="C16" s="86" t="inlineStr">
        <is>
          <t>Kolommen</t>
        </is>
      </c>
      <c r="D16" s="87" t="inlineStr">
        <is>
          <t>Woningetalage: jaarheaders uit mapping niet gevonden</t>
        </is>
      </c>
      <c r="E16" s="88">
        <f>COUNTIF(Veldwoordenboek!$D$6:$D$14,"NEE")</f>
        <v>0</v>
      </c>
      <c r="F16" s="89" t="inlineStr">
        <is>
          <t>0</t>
        </is>
      </c>
      <c r="G16" s="90" t="str">
        <f>IF(E16=0,"OK","WAARSCHUWING")</f>
        <v>OK</v>
      </c>
      <c r="H16" s="91" t="inlineStr">
        <is>
          <t>Jaarheader-mapping (Veldwoordenboek A) bijwerken.</t>
        </is>
      </c>
    </row>
    <row r="17">
      <c r="B17" s="85" t="n">
        <v>9</v>
      </c>
      <c r="C17" s="86" t="inlineStr">
        <is>
          <t>Sleutels</t>
        </is>
      </c>
      <c r="D17" s="87" t="inlineStr">
        <is>
          <t>Dubbele WBS-elementen in ZPMW03</t>
        </is>
      </c>
      <c r="E17" s="88">
        <f>COUNTIF(STG_ZPMW03!$CX$6:$CX$505,"&gt;1")</f>
        <v>0</v>
      </c>
      <c r="F17" s="89" t="inlineStr">
        <is>
          <t>0</t>
        </is>
      </c>
      <c r="G17" s="90" t="str">
        <f>IF(E17=0,"OK","FOUT")</f>
        <v>OK</v>
      </c>
      <c r="H17" s="91" t="inlineStr">
        <is>
          <t>Een WBS mag één regel hebben; dubbel = dubbeltelling in de aggregatie.</t>
        </is>
      </c>
    </row>
    <row r="18">
      <c r="B18" s="85" t="n">
        <v>10</v>
      </c>
      <c r="C18" s="86" t="inlineStr">
        <is>
          <t>Sleutels</t>
        </is>
      </c>
      <c r="D18" s="87" t="inlineStr">
        <is>
          <t>Dubbele Stufe 3 in Woningetalage</t>
        </is>
      </c>
      <c r="E18" s="88">
        <f>COUNTIF(STG_Woningetalage!$BS$6:$BS$505,"&gt;1")</f>
        <v>0</v>
      </c>
      <c r="F18" s="89" t="inlineStr">
        <is>
          <t>0</t>
        </is>
      </c>
      <c r="G18" s="90" t="str">
        <f>IF(E18=0,"OK","FOUT")</f>
        <v>OK</v>
      </c>
      <c r="H18" s="91" t="inlineStr">
        <is>
          <t>Idem.</t>
        </is>
      </c>
    </row>
    <row r="19">
      <c r="B19" s="85" t="n">
        <v>11</v>
      </c>
      <c r="C19" s="86" t="inlineStr">
        <is>
          <t>Sleutels</t>
        </is>
      </c>
      <c r="D19" s="87" t="inlineStr">
        <is>
          <t>Dubbele WBS-elementen in Mapping</t>
        </is>
      </c>
      <c r="E19" s="88">
        <f>SUMPRODUCT((Map_WBS&lt;&gt;"")*(COUNTIF(Map_WBS,Map_WBS)&gt;1))</f>
        <v>0</v>
      </c>
      <c r="F19" s="89" t="inlineStr">
        <is>
          <t>0</t>
        </is>
      </c>
      <c r="G19" s="90" t="str">
        <f>IF(E19=0,"OK","FOUT")</f>
        <v>OK</v>
      </c>
      <c r="H19" s="91" t="inlineStr">
        <is>
          <t>Mapping moet uniek zijn.</t>
        </is>
      </c>
    </row>
    <row r="20">
      <c r="B20" s="85" t="n">
        <v>12</v>
      </c>
      <c r="C20" s="86" t="inlineStr">
        <is>
          <t>Sleutels</t>
        </is>
      </c>
      <c r="D20" s="87" t="inlineStr">
        <is>
          <t>Dubbele projectnamen in Mapping</t>
        </is>
      </c>
      <c r="E20" s="88">
        <f>SUMPRODUCT((Map_Naam&lt;&gt;"")*(COUNTIF(Map_Naam,Map_Naam)&gt;1))</f>
        <v>0</v>
      </c>
      <c r="F20" s="89" t="inlineStr">
        <is>
          <t>0</t>
        </is>
      </c>
      <c r="G20" s="90" t="str">
        <f>IF(E20=0,"OK","WAARSCHUWING")</f>
        <v>OK</v>
      </c>
      <c r="H20" s="91" t="inlineStr">
        <is>
          <t>Projectfilters werken op naam; maak namen uniek.</t>
        </is>
      </c>
    </row>
    <row r="21">
      <c r="B21" s="85" t="n">
        <v>13</v>
      </c>
      <c r="C21" s="86" t="inlineStr">
        <is>
          <t>Koppeling</t>
        </is>
      </c>
      <c r="D21" s="87" t="inlineStr">
        <is>
          <t>Nieuwe projecten: ZPMW03-WBS niet in Mapping</t>
        </is>
      </c>
      <c r="E21" s="88">
        <f>COUNTIF(STG_ZPMW03!$CW$6:$CW$505,0)</f>
        <v>0</v>
      </c>
      <c r="F21" s="89" t="inlineStr">
        <is>
          <t>0</t>
        </is>
      </c>
      <c r="G21" s="90" t="str">
        <f>IF(E21=0,"OK","FOUT")</f>
        <v>OK</v>
      </c>
      <c r="H21" s="91" t="inlineStr">
        <is>
          <t>Toevoegen aan Mapping, anders ontbreekt het project in rapportage en vastlegging (lijst hieronder).</t>
        </is>
      </c>
    </row>
    <row r="22">
      <c r="B22" s="85" t="n">
        <v>14</v>
      </c>
      <c r="C22" s="86" t="inlineStr">
        <is>
          <t>Koppeling</t>
        </is>
      </c>
      <c r="D22" s="87" t="inlineStr">
        <is>
          <t>Vervallen / ontbrekend: Mapping-WBS niet in ZPMW03</t>
        </is>
      </c>
      <c r="E22" s="88">
        <f>COUNTIFS(V_WBS,"?*",V_nZ,0)</f>
        <v>0</v>
      </c>
      <c r="F22" s="89" t="inlineStr">
        <is>
          <t>0</t>
        </is>
      </c>
      <c r="G22" s="90" t="str">
        <f>IF(E22=0,"OK","WAARSCHUWING")</f>
        <v>OK</v>
      </c>
      <c r="H22" s="91" t="inlineStr">
        <is>
          <t>Project afgesloten of ontbreekt in export? Historie blijft zichtbaar (lijst hieronder).</t>
        </is>
      </c>
    </row>
    <row r="23">
      <c r="B23" s="85" t="n">
        <v>15</v>
      </c>
      <c r="C23" s="86" t="inlineStr">
        <is>
          <t>Koppeling</t>
        </is>
      </c>
      <c r="D23" s="87" t="inlineStr">
        <is>
          <t>Woningetalage-Stufe 3 niet in ZPMW03</t>
        </is>
      </c>
      <c r="E23" s="88">
        <f>COUNTIF(STG_Woningetalage!$BR$6:$BR$505,0)</f>
        <v>0</v>
      </c>
      <c r="F23" s="89" t="inlineStr">
        <is>
          <t>0</t>
        </is>
      </c>
      <c r="G23" s="90" t="str">
        <f>IF(E23=0,"OK","WAARSCHUWING")</f>
        <v>OK</v>
      </c>
      <c r="H23" s="91" t="inlineStr">
        <is>
          <t>Lijst hieronder.</t>
        </is>
      </c>
    </row>
    <row r="24">
      <c r="B24" s="85" t="n">
        <v>16</v>
      </c>
      <c r="C24" s="86" t="inlineStr">
        <is>
          <t>Koppeling</t>
        </is>
      </c>
      <c r="D24" s="87" t="inlineStr">
        <is>
          <t>Woningetalage-Stufe 3 niet in Mapping</t>
        </is>
      </c>
      <c r="E24" s="88">
        <f>COUNTIF(STG_Woningetalage!$BW$6:$BW$505,0)</f>
        <v>0</v>
      </c>
      <c r="F24" s="89" t="inlineStr">
        <is>
          <t>0</t>
        </is>
      </c>
      <c r="G24" s="90" t="str">
        <f>IF(E24=0,"OK","FOUT")</f>
        <v>OK</v>
      </c>
      <c r="H24" s="91" t="inlineStr">
        <is>
          <t>Woningen worden anders niet gerapporteerd.</t>
        </is>
      </c>
    </row>
    <row r="25">
      <c r="B25" s="85" t="n">
        <v>17</v>
      </c>
      <c r="C25" s="86" t="inlineStr">
        <is>
          <t>Koppeling</t>
        </is>
      </c>
      <c r="D25" s="87" t="inlineStr">
        <is>
          <t>ZPMW03-WBS niet in Woningetalage</t>
        </is>
      </c>
      <c r="E25" s="88">
        <f>COUNTIF(STG_ZPMW03!$CY$6:$CY$505,0)</f>
        <v>0</v>
      </c>
      <c r="F25" s="89" t="inlineStr">
        <is>
          <t>0</t>
        </is>
      </c>
      <c r="G25" s="90" t="str">
        <f>IF(E25=0,"OK","WAARSCHUWING")</f>
        <v>OK</v>
      </c>
      <c r="H25" s="91" t="inlineStr">
        <is>
          <t>Toegestaan voor projecten zonder woningen (Woningen meetellen = Nee).</t>
        </is>
      </c>
    </row>
    <row r="26">
      <c r="B26" s="85" t="n">
        <v>18</v>
      </c>
      <c r="C26" s="86" t="inlineStr">
        <is>
          <t>Koppeling</t>
        </is>
      </c>
      <c r="D26" s="87" t="inlineStr">
        <is>
          <t>Projectdefinitie (ZPMW03) ≠ Project (Woningetalage) bij zelfde WBS</t>
        </is>
      </c>
      <c r="E26" s="88">
        <f>COUNTIF(STG_Woningetalage!$BT$6:$BT$505,1)</f>
        <v>0</v>
      </c>
      <c r="F26" s="89" t="inlineStr">
        <is>
          <t>0</t>
        </is>
      </c>
      <c r="G26" s="90" t="str">
        <f>IF(E26=0,"OK","FOUT")</f>
        <v>OK</v>
      </c>
      <c r="H26" s="91" t="inlineStr">
        <is>
          <t>Koppeling op WBS/Stufe 3 klopt niet met projectniveau.</t>
        </is>
      </c>
    </row>
    <row r="27">
      <c r="B27" s="85" t="n">
        <v>19</v>
      </c>
      <c r="C27" s="86" t="inlineStr">
        <is>
          <t>Bedragen</t>
        </is>
      </c>
      <c r="D27" s="87" t="inlineStr">
        <is>
          <t>Som kwartalen ≠ jaartotaal (OP.BOB/OP.BOR RJ en RJ+1)</t>
        </is>
      </c>
      <c r="E27" s="88">
        <f>COUNTIF(STG_ZPMW03!$CS$6:$CS$505,1)</f>
        <v>0</v>
      </c>
      <c r="F27" s="89" t="inlineStr">
        <is>
          <t>0</t>
        </is>
      </c>
      <c r="G27" s="90" t="str">
        <f>IF(E27=0,"OK","FOUT")</f>
        <v>OK</v>
      </c>
      <c r="H27" s="91" t="inlineStr">
        <is>
          <t>Kwartaalvelden en jaartotaal worden nooit bij elkaar opgeteld; ze moeten aansluiten.</t>
        </is>
      </c>
    </row>
    <row r="28">
      <c r="B28" s="85" t="n">
        <v>20</v>
      </c>
      <c r="C28" s="86" t="inlineStr">
        <is>
          <t>Bedragen</t>
        </is>
      </c>
      <c r="D28" s="87" t="inlineStr">
        <is>
          <t>OP.BOB + Kosten ≠ OP.BOR (LJ, RJ, RJ+1)</t>
        </is>
      </c>
      <c r="E28" s="88">
        <f>COUNTIF(STG_ZPMW03!$CT$6:$CT$505,1)</f>
        <v>0</v>
      </c>
      <c r="F28" s="89" t="inlineStr">
        <is>
          <t>0</t>
        </is>
      </c>
      <c r="G28" s="90" t="str">
        <f>IF(E28=0,"OK","FOUT")</f>
        <v>OK</v>
      </c>
      <c r="H28" s="91" t="inlineStr"/>
    </row>
    <row r="29">
      <c r="B29" s="85" t="n">
        <v>21</v>
      </c>
      <c r="C29" s="86" t="inlineStr">
        <is>
          <t>Bedragen</t>
        </is>
      </c>
      <c r="D29" s="87" t="inlineStr">
        <is>
          <t>OP.BOB RJ bevat kwartalen vóór peildatum (geen restant?)</t>
        </is>
      </c>
      <c r="E29" s="88">
        <f>SUMPRODUCT((P_PeilMaand&gt;=3)*((COUNTIF(STG_ZPMW03!$T$6:$T$505,"&lt;0")+COUNTIF(STG_ZPMW03!$T$6:$T$505,"&gt;0"))))+(P_PeilMaand&gt;=6)*(COUNTIF(STG_ZPMW03!$V$6:$V$505,"&lt;0")+COUNTIF(STG_ZPMW03!$V$6:$V$505,"&gt;0"))+(P_PeilMaand&gt;=9)*(COUNTIF(STG_ZPMW03!$X$6:$X$505,"&lt;0")+COUNTIF(STG_ZPMW03!$X$6:$X$505,"&gt;0"))</f>
        <v>0</v>
      </c>
      <c r="F29" s="89" t="inlineStr">
        <is>
          <t>0</t>
        </is>
      </c>
      <c r="G29" s="90" t="str">
        <f>IF(E29=0,"OK","WAARSCHUWING")</f>
        <v>OK</v>
      </c>
      <c r="H29" s="91" t="inlineStr">
        <is>
          <t>Demo-aanname: OP.BOB RJ = restant na peildatum. Afwijking → definitie in productie controleren (dubbeltelling met LJ!).</t>
        </is>
      </c>
    </row>
    <row r="30">
      <c r="B30" s="85" t="n">
        <v>22</v>
      </c>
      <c r="C30" s="86" t="inlineStr">
        <is>
          <t>Bedragen</t>
        </is>
      </c>
      <c r="D30" s="87" t="inlineStr">
        <is>
          <t>Portefeuille BOB ≠ som OP.BOB RJ..RJ+8 + onverdeeld</t>
        </is>
      </c>
      <c r="E30" s="88">
        <f>COUNTIF(STG_ZPMW03!$CU$6:$CU$505,1)</f>
        <v>0</v>
      </c>
      <c r="F30" s="89" t="inlineStr">
        <is>
          <t>0</t>
        </is>
      </c>
      <c r="G30" s="90" t="str">
        <f>IF(E30=0,"OK","WAARSCHUWING")</f>
        <v>OK</v>
      </c>
      <c r="H30" s="91" t="inlineStr"/>
    </row>
    <row r="31">
      <c r="B31" s="85" t="n">
        <v>23</v>
      </c>
      <c r="C31" s="86" t="inlineStr">
        <is>
          <t>Bedragen</t>
        </is>
      </c>
      <c r="D31" s="87" t="inlineStr">
        <is>
          <t>PEW opbrengst ≠ BOB VJ + BOB LJ + portefeuille</t>
        </is>
      </c>
      <c r="E31" s="88">
        <f>COUNTIF(STG_ZPMW03!$CV$6:$CV$505,1)</f>
        <v>0</v>
      </c>
      <c r="F31" s="89" t="inlineStr">
        <is>
          <t>0</t>
        </is>
      </c>
      <c r="G31" s="90" t="str">
        <f>IF(E31=0,"OK","WAARSCHUWING")</f>
        <v>OK</v>
      </c>
      <c r="H31" s="91" t="inlineStr"/>
    </row>
    <row r="32">
      <c r="B32" s="85" t="n">
        <v>24</v>
      </c>
      <c r="C32" s="86" t="inlineStr">
        <is>
          <t>Woningen</t>
        </is>
      </c>
      <c r="D32" s="87" t="inlineStr">
        <is>
          <t>Aantal ≠ vorig jaar + 12 mnd + volgend jaar + RJ+2</t>
        </is>
      </c>
      <c r="E32" s="88">
        <f>COUNTIF(STG_Woningetalage!$BK$6:$BK$505,1)</f>
        <v>0</v>
      </c>
      <c r="F32" s="89" t="inlineStr">
        <is>
          <t>0</t>
        </is>
      </c>
      <c r="G32" s="90" t="str">
        <f>IF(E32=0,"OK","FOUT")</f>
        <v>OK</v>
      </c>
      <c r="H32" s="91" t="inlineStr"/>
    </row>
    <row r="33">
      <c r="B33" s="85" t="n">
        <v>25</v>
      </c>
      <c r="C33" s="86" t="inlineStr">
        <is>
          <t>Woningen</t>
        </is>
      </c>
      <c r="D33" s="87" t="inlineStr">
        <is>
          <t>Etalage ≠ aantal − cumulatief actual</t>
        </is>
      </c>
      <c r="E33" s="88">
        <f>COUNTIF(STG_Woningetalage!$BL$6:$BL$505,1)</f>
        <v>0</v>
      </c>
      <c r="F33" s="89" t="inlineStr">
        <is>
          <t>0</t>
        </is>
      </c>
      <c r="G33" s="90" t="str">
        <f>IF(E33=0,"OK","FOUT")</f>
        <v>OK</v>
      </c>
      <c r="H33" s="91" t="inlineStr"/>
    </row>
    <row r="34">
      <c r="B34" s="85" t="n">
        <v>26</v>
      </c>
      <c r="C34" s="86" t="inlineStr">
        <is>
          <t>Woningen</t>
        </is>
      </c>
      <c r="D34" s="87" t="inlineStr">
        <is>
          <t>Cumulatief ≠ t/m vorig jaar + huidig jaar actual</t>
        </is>
      </c>
      <c r="E34" s="88">
        <f>COUNTIF(STG_Woningetalage!$BM$6:$BM$505,1)</f>
        <v>0</v>
      </c>
      <c r="F34" s="89" t="inlineStr">
        <is>
          <t>0</t>
        </is>
      </c>
      <c r="G34" s="90" t="str">
        <f>IF(E34=0,"OK","FOUT")</f>
        <v>OK</v>
      </c>
      <c r="H34" s="91" t="inlineStr"/>
    </row>
    <row r="35">
      <c r="B35" s="85" t="n">
        <v>27</v>
      </c>
      <c r="C35" s="86" t="inlineStr">
        <is>
          <t>Woningen</t>
        </is>
      </c>
      <c r="D35" s="87" t="inlineStr">
        <is>
          <t>Huidig jr Totaal ≠ som hjr-maanden t/m peilmaand</t>
        </is>
      </c>
      <c r="E35" s="88">
        <f>COUNTIF(STG_Woningetalage!$BN$6:$BN$505,1)</f>
        <v>0</v>
      </c>
      <c r="F35" s="89" t="inlineStr">
        <is>
          <t>0</t>
        </is>
      </c>
      <c r="G35" s="90" t="str">
        <f>IF(E35=0,"OK","FOUT")</f>
        <v>OK</v>
      </c>
      <c r="H35" s="91" t="inlineStr">
        <is>
          <t>Controleert ook de peilmaand.</t>
        </is>
      </c>
    </row>
    <row r="36">
      <c r="B36" s="85" t="n">
        <v>28</v>
      </c>
      <c r="C36" s="86" t="inlineStr">
        <is>
          <t>Woningen</t>
        </is>
      </c>
      <c r="D36" s="87" t="inlineStr">
        <is>
          <t>Beleggers + Particulier ≠ Totaal</t>
        </is>
      </c>
      <c r="E36" s="88">
        <f>COUNTIF(STG_Woningetalage!$BO$6:$BO$505,1)</f>
        <v>0</v>
      </c>
      <c r="F36" s="89" t="inlineStr">
        <is>
          <t>0</t>
        </is>
      </c>
      <c r="G36" s="90" t="str">
        <f>IF(E36=0,"OK","FOUT")</f>
        <v>OK</v>
      </c>
      <c r="H36" s="91" t="inlineStr"/>
    </row>
    <row r="37">
      <c r="B37" s="85" t="n">
        <v>29</v>
      </c>
      <c r="C37" s="86" t="inlineStr">
        <is>
          <t>Woningen</t>
        </is>
      </c>
      <c r="D37" s="87" t="inlineStr">
        <is>
          <t>Huidig/Volgend jaar ≠ som maanden/kwartalen</t>
        </is>
      </c>
      <c r="E37" s="88">
        <f>COUNTIF(STG_Woningetalage!$BP$6:$BP$505,1)</f>
        <v>0</v>
      </c>
      <c r="F37" s="89" t="inlineStr">
        <is>
          <t>0</t>
        </is>
      </c>
      <c r="G37" s="90" t="str">
        <f>IF(E37=0,"OK","FOUT")</f>
        <v>OK</v>
      </c>
      <c r="H37" s="91" t="inlineStr"/>
    </row>
    <row r="38">
      <c r="B38" s="85" t="n">
        <v>30</v>
      </c>
      <c r="C38" s="86" t="inlineStr">
        <is>
          <t>Woningen</t>
        </is>
      </c>
      <c r="D38" s="87" t="inlineStr">
        <is>
          <t>Niet-geïnterpreteerde kolommen bevatten waarden</t>
        </is>
      </c>
      <c r="E38" s="88">
        <f>COUNTIF(STG_Woningetalage!$BQ$6:$BQ$505,1)</f>
        <v>0</v>
      </c>
      <c r="F38" s="89" t="inlineStr">
        <is>
          <t>0</t>
        </is>
      </c>
      <c r="G38" s="90" t="str">
        <f>IF(E38=0,"OK","WAARSCHUWING")</f>
        <v>OK</v>
      </c>
      <c r="H38" s="91" t="inlineStr">
        <is>
          <t>Rond, RJ+3..RJ+6, negatieve jaarheaders: eerst betekenis vastleggen in Veldwoordenboek.</t>
        </is>
      </c>
    </row>
    <row r="39">
      <c r="B39" s="85" t="n">
        <v>31</v>
      </c>
      <c r="C39" s="86" t="inlineStr">
        <is>
          <t>Woningen</t>
        </is>
      </c>
      <c r="D39" s="87" t="inlineStr">
        <is>
          <t>Aantal woningen wijkt af van Mapping</t>
        </is>
      </c>
      <c r="E39" s="88">
        <f>COUNTIF(STG_Woningetalage!$BU$6:$BU$505,1)</f>
        <v>0</v>
      </c>
      <c r="F39" s="89" t="inlineStr">
        <is>
          <t>0</t>
        </is>
      </c>
      <c r="G39" s="90" t="str">
        <f>IF(E39=0,"OK","WAARSCHUWING")</f>
        <v>OK</v>
      </c>
      <c r="H39" s="91" t="inlineStr"/>
    </row>
    <row r="40">
      <c r="B40" s="85" t="n">
        <v>32</v>
      </c>
      <c r="C40" s="86" t="inlineStr">
        <is>
          <t>Woningen</t>
        </is>
      </c>
      <c r="D40" s="87" t="inlineStr">
        <is>
          <t>Woningen bij project met 'Woningen meetellen = Nee'</t>
        </is>
      </c>
      <c r="E40" s="88">
        <f>COUNTIF(STG_Woningetalage!$BV$6:$BV$505,1)</f>
        <v>0</v>
      </c>
      <c r="F40" s="89" t="inlineStr">
        <is>
          <t>0</t>
        </is>
      </c>
      <c r="G40" s="90" t="str">
        <f>IF(E40=0,"OK","WAARSCHUWING")</f>
        <v>OK</v>
      </c>
      <c r="H40" s="91" t="inlineStr"/>
    </row>
    <row r="41">
      <c r="B41" s="85" t="n">
        <v>33</v>
      </c>
      <c r="C41" s="86" t="inlineStr">
        <is>
          <t>Weging</t>
        </is>
      </c>
      <c r="D41" s="87" t="inlineStr">
        <is>
          <t>Woningen niet dubbel gewogen: rapporttotaal = brontotaal</t>
        </is>
      </c>
      <c r="E41" s="88">
        <f>SUMIFS(V_W_Aantal,V_Meetellen,"Ja")</f>
        <v>1160</v>
      </c>
      <c r="F41" s="89">
        <f>SUM(STG_Woningetalage!$Q$6:$Q$505)</f>
        <v>1160</v>
      </c>
      <c r="G41" s="90" t="str">
        <f>IF(ABS(E41-F41)&lt;=P_Tol,"OK","FOUT")</f>
        <v>OK</v>
      </c>
      <c r="H41" s="91" t="str">
        <f>"Met aandeel nogmaals gewogen zou het "&amp;FIXED(SUMPRODUCT(IFERROR(V_W_Aantal*V_Aandeel/100,0)),0)&amp;" zijn — wordt bewust NIET gedaan."</f>
        <v>Met aandeel nogmaals gewogen zou het 1,106 zijn — wordt bewust NIET gedaan.</v>
      </c>
    </row>
    <row r="42">
      <c r="B42" s="85" t="n">
        <v>34</v>
      </c>
      <c r="C42" s="86" t="inlineStr">
        <is>
          <t>Verlies</t>
        </is>
      </c>
      <c r="D42" s="87" t="inlineStr">
        <is>
          <t>Verliesprojecten in upload (BOR FY RJ &lt; 0)</t>
        </is>
      </c>
      <c r="E42" s="88">
        <f>SUM(V_Verlies)</f>
        <v>2</v>
      </c>
      <c r="F42" s="89" t="inlineStr">
        <is>
          <t>info</t>
        </is>
      </c>
      <c r="G42" s="90" t="str">
        <f>"INFO"</f>
        <v>INFO</v>
      </c>
      <c r="H42" s="91" t="inlineStr">
        <is>
          <t>Zie lijst hieronder; verlies blijft negatief in alle rapporten.</t>
        </is>
      </c>
    </row>
    <row r="43">
      <c r="B43" s="85" t="n">
        <v>35</v>
      </c>
      <c r="C43" s="86" t="inlineStr">
        <is>
          <t>Verlies</t>
        </is>
      </c>
      <c r="D43" s="87" t="inlineStr">
        <is>
          <t>RDFO-BOR upload = signed som projecten (geen ABS)</t>
        </is>
      </c>
      <c r="E43" s="88">
        <f>IF(ISNUMBER(RDFO!$H$17),RDFO!$H$17*P_Factor,"n.b.")</f>
        <v>10477198</v>
      </c>
      <c r="F43" s="89">
        <f>IF(Sel_Doeljaar=P_RJ,SUM(V_BorFY),SUM(V_BorFY1))</f>
        <v>10477198</v>
      </c>
      <c r="G43" s="90" t="str">
        <f>IF(ISNUMBER(E43),IF(ABS(E43-F43)&lt;=P_Tol,"OK","FOUT"),"INFO")</f>
        <v>OK</v>
      </c>
      <c r="H43" s="91" t="str">
        <f>"Met ABS zou het "&amp;FIXED(SUMPRODUCT(ABS(N(+V_BorFY))),0)&amp;" zijn."</f>
        <v>Met ABS zou het 10,702,738 zijn.</v>
      </c>
    </row>
    <row r="44">
      <c r="B44" s="85" t="n">
        <v>36</v>
      </c>
      <c r="C44" s="86" t="inlineStr">
        <is>
          <t>Versies</t>
        </is>
      </c>
      <c r="D44" s="87" t="inlineStr">
        <is>
          <t>Dubbele regels in Vastlegging (genegeerd)</t>
        </is>
      </c>
      <c r="E44" s="88">
        <f>SUM(L_Dubbel)</f>
        <v>0</v>
      </c>
      <c r="F44" s="89" t="inlineStr">
        <is>
          <t>0</t>
        </is>
      </c>
      <c r="G44" s="90" t="str">
        <f>IF(E44=0,"OK","WAARSCHUWING")</f>
        <v>OK</v>
      </c>
      <c r="H44" s="91" t="inlineStr">
        <is>
          <t>Dubbel geplakt; telt niet dubbel. Documenteer in Importlog.</t>
        </is>
      </c>
    </row>
    <row r="45">
      <c r="B45" s="85" t="n">
        <v>37</v>
      </c>
      <c r="C45" s="86" t="inlineStr">
        <is>
          <t>Versies</t>
        </is>
      </c>
      <c r="D45" s="87" t="inlineStr">
        <is>
          <t>Correctie (revisie &gt; 0) zonder toelichting</t>
        </is>
      </c>
      <c r="E45" s="88">
        <f>COUNTIFS(L_Revisie,"&gt;0",L_Toelichting,"")</f>
        <v>0</v>
      </c>
      <c r="F45" s="89" t="inlineStr">
        <is>
          <t>0</t>
        </is>
      </c>
      <c r="G45" s="90" t="str">
        <f>IF(E45=0,"OK","FOUT")</f>
        <v>OK</v>
      </c>
      <c r="H45" s="91" t="inlineStr">
        <is>
          <t>Toelichting is verplicht.</t>
        </is>
      </c>
    </row>
    <row r="46">
      <c r="B46" s="85" t="n">
        <v>38</v>
      </c>
      <c r="C46" s="86" t="inlineStr">
        <is>
          <t>Versies</t>
        </is>
      </c>
      <c r="D46" s="87" t="inlineStr">
        <is>
          <t>Ongeldige status in Vastlegging</t>
        </is>
      </c>
      <c r="E46" s="88">
        <f>COUNTIF(L_WBS,"?*")-COUNTIFS(L_WBS,"?*",L_Status,"Vastgesteld")-COUNTIFS(L_WBS,"?*",L_Status,"Concept")</f>
        <v>0</v>
      </c>
      <c r="F46" s="89" t="inlineStr">
        <is>
          <t>0</t>
        </is>
      </c>
      <c r="G46" s="90" t="str">
        <f>IF(E46=0,"OK","FOUT")</f>
        <v>OK</v>
      </c>
      <c r="H46" s="91" t="inlineStr">
        <is>
          <t>Alleen Concept of Vastgesteld.</t>
        </is>
      </c>
    </row>
    <row r="47">
      <c r="B47" s="85" t="n">
        <v>39</v>
      </c>
      <c r="C47" s="86" t="inlineStr">
        <is>
          <t>Versies</t>
        </is>
      </c>
      <c r="D47" s="87" t="inlineStr">
        <is>
          <t>Ongeldige versie in Vastlegging</t>
        </is>
      </c>
      <c r="E47" s="88">
        <f>COUNTIF(L_WBS,"?*")-COUNTIFS(L_WBS,"?*",L_Versie,"Budget")-COUNTIFS(L_WBS,"?*",L_Versie,"Q1")-COUNTIFS(L_WBS,"?*",L_Versie,"Q2")-COUNTIFS(L_WBS,"?*",L_Versie,"Q3")-COUNTIFS(L_WBS,"?*",L_Versie,"Q4")</f>
        <v>0</v>
      </c>
      <c r="F47" s="89" t="inlineStr">
        <is>
          <t>0</t>
        </is>
      </c>
      <c r="G47" s="90" t="str">
        <f>IF(E47=0,"OK","FOUT")</f>
        <v>OK</v>
      </c>
      <c r="H47" s="91" t="inlineStr">
        <is>
          <t>Alleen Budget/Q1/Q2/Q3/Q4.</t>
        </is>
      </c>
    </row>
    <row r="48">
      <c r="B48" s="85" t="n">
        <v>40</v>
      </c>
      <c r="C48" s="86" t="inlineStr">
        <is>
          <t>Versies</t>
        </is>
      </c>
      <c r="D48" s="87" t="inlineStr">
        <is>
          <t>Concept-regels in Vastlegging (tellen niet mee)</t>
        </is>
      </c>
      <c r="E48" s="88">
        <f>COUNTIFS(L_WBS,"?*",L_Status,"Concept")</f>
        <v>0</v>
      </c>
      <c r="F48" s="89" t="inlineStr">
        <is>
          <t>info</t>
        </is>
      </c>
      <c r="G48" s="90" t="str">
        <f>"INFO"</f>
        <v>INFO</v>
      </c>
      <c r="H48" s="91" t="inlineStr"/>
    </row>
    <row r="49">
      <c r="B49" s="85" t="n">
        <v>41</v>
      </c>
      <c r="C49" s="86" t="inlineStr">
        <is>
          <t>Versies</t>
        </is>
      </c>
      <c r="D49" s="87" t="inlineStr">
        <is>
          <t>Actieve correcties (revisie &gt; 0)</t>
        </is>
      </c>
      <c r="E49" s="88">
        <f>COUNTIFS(L_Revisie,"&gt;0",L_Actief,1)</f>
        <v>0</v>
      </c>
      <c r="F49" s="89" t="inlineStr">
        <is>
          <t>info</t>
        </is>
      </c>
      <c r="G49" s="90" t="str">
        <f>"INFO"</f>
        <v>INFO</v>
      </c>
      <c r="H49" s="91" t="inlineStr">
        <is>
          <t>Gemarkeerd met ● in RDFO.</t>
        </is>
      </c>
    </row>
    <row r="50">
      <c r="B50" s="85" t="n">
        <v>42</v>
      </c>
      <c r="C50" s="86" t="inlineStr">
        <is>
          <t>Versies</t>
        </is>
      </c>
      <c r="D50" s="87" t="str">
        <f>"Uploadversie "&amp;P_UploadVersie&amp;" "&amp;P_UploadVJ&amp;" al vastgesteld (regels)"</f>
        <v>Uploadversie Q3 2026 al vastgesteld (regels)</v>
      </c>
      <c r="E50" s="88">
        <f>Vastleggen!$N$3</f>
        <v>260</v>
      </c>
      <c r="F50" s="89" t="inlineStr">
        <is>
          <t>info</t>
        </is>
      </c>
      <c r="G50" s="90" t="str">
        <f>"INFO"</f>
        <v>INFO</v>
      </c>
      <c r="H50" s="91" t="inlineStr">
        <is>
          <t>Ja: concept dient als aansluitcontrole; opnieuw plakken = correctie.</t>
        </is>
      </c>
    </row>
    <row r="51">
      <c r="B51" s="85" t="n">
        <v>43</v>
      </c>
      <c r="C51" s="86" t="inlineStr">
        <is>
          <t>Aansluiting</t>
        </is>
      </c>
      <c r="D51" s="87" t="str">
        <f>"Vastgelegde "&amp;P_UploadVersie&amp;"-snapshot ↔ upload: Omzet FY "&amp;P_RJ</f>
        <v>Vastgelegde Q3-snapshot ↔ upload: Omzet FY 2026</v>
      </c>
      <c r="E51" s="88">
        <f>SUMPRODUCT(ABS(C_Verschil)*(C_Kengetal="Omzet FY")*(C_Doeljaar=P_RJ))</f>
        <v>0</v>
      </c>
      <c r="F51" s="89" t="inlineStr">
        <is>
          <t>0</t>
        </is>
      </c>
      <c r="G51" s="90" t="str">
        <f>IF(Vastleggen!$N$3=0,"INFO",IF(E51&lt;=P_Tol,"OK","WAARSCHUWING"))</f>
        <v>OK</v>
      </c>
      <c r="H51" s="91" t="inlineStr">
        <is>
          <t>Som |verschil| over projecten (EUR). Vastgelegde waarden blijven leidend.</t>
        </is>
      </c>
    </row>
    <row r="52">
      <c r="B52" s="85" t="n">
        <v>44</v>
      </c>
      <c r="C52" s="86" t="inlineStr">
        <is>
          <t>Aansluiting</t>
        </is>
      </c>
      <c r="D52" s="87" t="str">
        <f>"Vastgelegde "&amp;P_UploadVersie&amp;"-snapshot ↔ upload: BOR FY "&amp;P_RJ</f>
        <v>Vastgelegde Q3-snapshot ↔ upload: BOR FY 2026</v>
      </c>
      <c r="E52" s="88">
        <f>SUMPRODUCT(ABS(C_Verschil)*(C_Kengetal="BOR FY")*(C_Doeljaar=P_RJ))</f>
        <v>0</v>
      </c>
      <c r="F52" s="89" t="inlineStr">
        <is>
          <t>0</t>
        </is>
      </c>
      <c r="G52" s="90" t="str">
        <f>IF(Vastleggen!$N$3=0,"INFO",IF(E52&lt;=P_Tol,"OK","WAARSCHUWING"))</f>
        <v>OK</v>
      </c>
      <c r="H52" s="91" t="inlineStr"/>
    </row>
    <row r="53">
      <c r="B53" s="85" t="n">
        <v>45</v>
      </c>
      <c r="C53" s="86" t="inlineStr">
        <is>
          <t>Aansluiting</t>
        </is>
      </c>
      <c r="D53" s="87" t="str">
        <f>"Vastgelegde "&amp;P_UploadVersie&amp;"-snapshot ↔ upload: Omzet FY "&amp;(P_RJ+1)</f>
        <v>Vastgelegde Q3-snapshot ↔ upload: Omzet FY 2027</v>
      </c>
      <c r="E53" s="88">
        <f>SUMPRODUCT(ABS(C_Verschil)*(C_Kengetal="Omzet FY")*(C_Doeljaar=P_RJ+1))</f>
        <v>0</v>
      </c>
      <c r="F53" s="89" t="inlineStr">
        <is>
          <t>0</t>
        </is>
      </c>
      <c r="G53" s="90" t="str">
        <f>IF(Vastleggen!$N$3=0,"INFO",IF(E53&lt;=P_Tol,"OK","WAARSCHUWING"))</f>
        <v>OK</v>
      </c>
      <c r="H53" s="91" t="inlineStr"/>
    </row>
    <row r="54">
      <c r="B54" s="85" t="n">
        <v>46</v>
      </c>
      <c r="C54" s="86" t="inlineStr">
        <is>
          <t>Aansluiting</t>
        </is>
      </c>
      <c r="D54" s="87" t="str">
        <f>"Vastgelegde "&amp;P_UploadVersie&amp;"-snapshot ↔ upload: realisatie YTD "&amp;P_RJ</f>
        <v>Vastgelegde Q3-snapshot ↔ upload: realisatie YTD 2026</v>
      </c>
      <c r="E54" s="88">
        <f>SUMPRODUCT(ABS(C_Verschil)*(C_Kengetal="Omzet actual YTD")*(C_Doeljaar=P_RJ))+SUMPRODUCT(ABS(C_Verschil)*(C_Kengetal="BOR actual YTD")*(C_Doeljaar=P_RJ))</f>
        <v>0</v>
      </c>
      <c r="F54" s="89" t="inlineStr">
        <is>
          <t>0</t>
        </is>
      </c>
      <c r="G54" s="90" t="str">
        <f>IF(Vastleggen!$N$3=0,"INFO",IF(E54&lt;=P_Tol,"OK","WAARSCHUWING"))</f>
        <v>OK</v>
      </c>
      <c r="H54" s="91" t="inlineStr"/>
    </row>
    <row r="55">
      <c r="B55" s="85" t="n">
        <v>47</v>
      </c>
      <c r="C55" s="86" t="inlineStr">
        <is>
          <t>Aansluiting</t>
        </is>
      </c>
      <c r="D55" s="87" t="str">
        <f>"Vastgelegde "&amp;P_UploadVersie&amp;"-snapshot ↔ upload: woningen (alle kengetallen)"</f>
        <v>Vastgelegde Q3-snapshot ↔ upload: woningen (alle kengetallen)</v>
      </c>
      <c r="E55" s="88">
        <f>SUMPRODUCT(ABS(C_Verschil)*(C_Kengetal="Woningverkopen FY")*(C_Doeljaar=P_RJ))+SUMPRODUCT(ABS(C_Verschil)*(C_Kengetal="Woningen verkocht t/m vorig jaar")*(C_Doeljaar=P_RJ))+SUMPRODUCT(ABS(C_Verschil)*(C_Kengetal="Woningverkopen actual YTD")*(C_Doeljaar=P_RJ))+SUMPRODUCT(ABS(C_Verschil)*(C_Kengetal="Woningverkopen Q1")*(C_Doeljaar=P_RJ))+SUMPRODUCT(ABS(C_Verschil)*(C_Kengetal="Woningverkopen Q2")*(C_Doeljaar=P_RJ))+SUMPRODUCT(ABS(C_Verschil)*(C_Kengetal="Woningverkopen Q3")*(C_Doeljaar=P_RJ))+SUMPRODUCT(ABS(C_Verschil)*(C_Kengetal="Woningverkopen Q4")*(C_Doeljaar=P_RJ))+SUMPRODUCT(ABS(C_Verschil)*(C_Kengetal="Woningverkopen FY")*(C_Doeljaar=P_RJ+1))</f>
        <v>0</v>
      </c>
      <c r="F55" s="89" t="inlineStr">
        <is>
          <t>0</t>
        </is>
      </c>
      <c r="G55" s="90" t="str">
        <f>IF(Vastleggen!$N$3=0,"INFO",IF(E55&lt;=P_Tol,"OK","WAARSCHUWING"))</f>
        <v>OK</v>
      </c>
      <c r="H55" s="91" t="inlineStr"/>
    </row>
    <row r="56">
      <c r="B56" s="85" t="n">
        <v>48</v>
      </c>
      <c r="C56" s="86" t="inlineStr">
        <is>
          <t>Aansluiting</t>
        </is>
      </c>
      <c r="D56" s="87" t="inlineStr">
        <is>
          <t>Totaal |verschil| alle kengetallen</t>
        </is>
      </c>
      <c r="E56" s="88">
        <f>SUMPRODUCT(ABS(C_Verschil))</f>
        <v>0</v>
      </c>
      <c r="F56" s="89" t="inlineStr">
        <is>
          <t>0</t>
        </is>
      </c>
      <c r="G56" s="90" t="str">
        <f>IF(Vastleggen!$N$3=0,"INFO",IF(E56&lt;=P_Tol,"OK","WAARSCHUWING"))</f>
        <v>OK</v>
      </c>
      <c r="H56" s="91" t="inlineStr">
        <is>
          <t>Details: Vastleggen kolom U.</t>
        </is>
      </c>
    </row>
    <row r="57">
      <c r="B57" s="85" t="n">
        <v>49</v>
      </c>
      <c r="C57" s="86" t="inlineStr">
        <is>
          <t>Parameters</t>
        </is>
      </c>
      <c r="D57" s="87" t="inlineStr">
        <is>
          <t>Peildatum past bij uploadversie</t>
        </is>
      </c>
      <c r="E57" s="88">
        <f>P_PeilMaand</f>
        <v>9</v>
      </c>
      <c r="F57" s="89">
        <f>INDEX(V_Maand,MATCH(P_UploadVersie,V_List,0))</f>
        <v>9</v>
      </c>
      <c r="G57" s="90" t="str">
        <f>IF(AND(E57=F57,DAY(P_Peildatum+1)=1),"OK","WAARSCHUWING")</f>
        <v>OK</v>
      </c>
      <c r="H57" s="91" t="inlineStr">
        <is>
          <t>Q1=31-03, Q2=30-06, Q3=30-09, Q4/Budget=31-12.</t>
        </is>
      </c>
    </row>
    <row r="58">
      <c r="B58" s="85" t="n">
        <v>50</v>
      </c>
      <c r="C58" s="86" t="inlineStr">
        <is>
          <t>Parameters</t>
        </is>
      </c>
      <c r="D58" s="87" t="inlineStr">
        <is>
          <t>Jaar peildatum past bij versiejaar upload</t>
        </is>
      </c>
      <c r="E58" s="88">
        <f>YEAR(P_Peildatum)</f>
        <v>2026</v>
      </c>
      <c r="F58" s="89">
        <f>IF(P_UploadVersie="Budget",P_UploadVJ-1,P_UploadVJ)</f>
        <v>2026</v>
      </c>
      <c r="G58" s="90" t="str">
        <f>IF(E58=F58,"OK","WAARSCHUWING")</f>
        <v>OK</v>
      </c>
      <c r="H58" s="91" t="inlineStr">
        <is>
          <t>Budget heeft peildatum eind vorig jaar.</t>
        </is>
      </c>
    </row>
    <row r="59">
      <c r="B59" s="85" t="n">
        <v>51</v>
      </c>
      <c r="C59" s="86" t="inlineStr">
        <is>
          <t>Parameters</t>
        </is>
      </c>
      <c r="D59" s="87" t="inlineStr">
        <is>
          <t>Rapportagejaar = jaar van peildatum</t>
        </is>
      </c>
      <c r="E59" s="88">
        <f>P_RJ</f>
        <v>2026</v>
      </c>
      <c r="F59" s="89">
        <f>YEAR(P_Peildatum)</f>
        <v>2026</v>
      </c>
      <c r="G59" s="90" t="str">
        <f>IF(E59=F59,"OK","WAARSCHUWING")</f>
        <v>OK</v>
      </c>
      <c r="H59" s="91" t="inlineStr"/>
    </row>
    <row r="60">
      <c r="B60" s="85" t="n">
        <v>52</v>
      </c>
      <c r="C60" s="86" t="inlineStr">
        <is>
          <t>Aanvullend</t>
        </is>
      </c>
      <c r="D60" s="87" t="inlineStr">
        <is>
          <t>Fictieve demo-aannames tellen mee</t>
        </is>
      </c>
      <c r="E60" s="88">
        <f>IF(P_Demo="Ja",COUNTIF(A_Status,"Fictieve aanname"),0)</f>
        <v>0</v>
      </c>
      <c r="F60" s="89" t="inlineStr">
        <is>
          <t>0</t>
        </is>
      </c>
      <c r="G60" s="90" t="str">
        <f>IF(E60=0,"OK","WAARSCHUWING")</f>
        <v>OK</v>
      </c>
      <c r="H60" s="91" t="inlineStr">
        <is>
          <t>Rapport bevat zelfgekozen demowaarden. Zet P_Demo op Nee voor een rapport zonder aannames.</t>
        </is>
      </c>
    </row>
    <row r="61">
      <c r="B61" s="85" t="n">
        <v>53</v>
      </c>
      <c r="C61" s="86" t="inlineStr">
        <is>
          <t>Aanvullend</t>
        </is>
      </c>
      <c r="D61" s="87" t="inlineStr">
        <is>
          <t>Zowel regio- als projectniveau voor dezelfde rubriek/versie</t>
        </is>
      </c>
      <c r="E61" s="88">
        <f>SUM(A_Conflict)</f>
        <v>0</v>
      </c>
      <c r="F61" s="89" t="inlineStr">
        <is>
          <t>0</t>
        </is>
      </c>
      <c r="G61" s="90" t="str">
        <f>IF(E61=0,"OK","WAARSCHUWING")</f>
        <v>OK</v>
      </c>
      <c r="H61" s="91" t="inlineStr">
        <is>
          <t>Risico op dubbeltelling.</t>
        </is>
      </c>
    </row>
    <row r="62">
      <c r="B62" s="85" t="n">
        <v>54</v>
      </c>
      <c r="C62" s="86" t="inlineStr">
        <is>
          <t>Aanvullend</t>
        </is>
      </c>
      <c r="D62" s="87" t="inlineStr">
        <is>
          <t>Aanvullende invoer met eenheid ≠ EUR</t>
        </is>
      </c>
      <c r="E62" s="88">
        <f>COUNTIFS(A_Waarde,"&lt;&gt;",A_Eenheid,"&lt;&gt;EUR")</f>
        <v>0</v>
      </c>
      <c r="F62" s="89" t="inlineStr">
        <is>
          <t>0</t>
        </is>
      </c>
      <c r="G62" s="90" t="str">
        <f>IF(E62=0,"OK","FOUT")</f>
        <v>OK</v>
      </c>
      <c r="H62" s="91" t="inlineStr">
        <is>
          <t>Alleen hele euro's invoeren.</t>
        </is>
      </c>
    </row>
    <row r="63">
      <c r="B63" s="85" t="n">
        <v>55</v>
      </c>
      <c r="C63" s="86" t="inlineStr">
        <is>
          <t>Aanvullend</t>
        </is>
      </c>
      <c r="D63" s="87" t="inlineStr">
        <is>
          <t>RDFO-posten n.b. in geselecteerde versie</t>
        </is>
      </c>
      <c r="E63" s="88">
        <f>COUNTIF(RDFO!$J$7:$J$22,"n.b.")</f>
        <v>7</v>
      </c>
      <c r="F63" s="89" t="inlineStr">
        <is>
          <t>info</t>
        </is>
      </c>
      <c r="G63" s="90" t="str">
        <f>"INFO"</f>
        <v>INFO</v>
      </c>
      <c r="H63" s="91" t="inlineStr">
        <is>
          <t>Ontbrekende aanvullende invoer wordt n.b. getoond, nooit nul.</t>
        </is>
      </c>
    </row>
    <row r="64">
      <c r="B64" s="85" t="n">
        <v>56</v>
      </c>
      <c r="C64" s="86" t="inlineStr">
        <is>
          <t>Rapport</t>
        </is>
      </c>
      <c r="D64" s="87" t="inlineStr">
        <is>
          <t>RDFO upload-omzet = som VERW_Project</t>
        </is>
      </c>
      <c r="E64" s="88">
        <f>IF(ISNUMBER(RDFO!$H$28),RDFO!$H$28*P_Factor,"n.b.")</f>
        <v>114096800</v>
      </c>
      <c r="F64" s="89">
        <f>IF(Sel_Doeljaar=P_RJ,SUM(V_OmzFY),SUM(V_OmzFY1))</f>
        <v>114096800</v>
      </c>
      <c r="G64" s="90" t="str">
        <f>IF(ISNUMBER(E64),IF(ABS(E64-F64)&lt;=P_Tol,"OK","FOUT"),"INFO")</f>
        <v>OK</v>
      </c>
      <c r="H64" s="91" t="inlineStr"/>
    </row>
    <row r="65">
      <c r="B65" s="85" t="n">
        <v>57</v>
      </c>
      <c r="C65" s="86" t="inlineStr">
        <is>
          <t>Rapport</t>
        </is>
      </c>
      <c r="D65" s="87" t="inlineStr">
        <is>
          <t>Projecten totaal (geselecteerd) = RDFO geselecteerd</t>
        </is>
      </c>
      <c r="E65" s="88">
        <f>IFERROR(Projecten!$K$6*P_Factor,"n.b.")</f>
        <v>114096800</v>
      </c>
      <c r="F65" s="89">
        <f>IFERROR(RDFO!$J$28*P_Factor,"n.b.")</f>
        <v>114096800</v>
      </c>
      <c r="G65" s="90" t="str">
        <f>IF(AND(ISNUMBER(E65),ISNUMBER(F65)),IF(ABS(E65-F65)&lt;=P_Tol,"OK","FOUT"),"INFO")</f>
        <v>OK</v>
      </c>
      <c r="H65" s="91" t="inlineStr">
        <is>
          <t>FOUT kan ook komen door een actief autofilter op Projecten.</t>
        </is>
      </c>
    </row>
    <row r="66">
      <c r="B66" s="85" t="n">
        <v>58</v>
      </c>
      <c r="C66" s="86" t="inlineStr">
        <is>
          <t>Rapport</t>
        </is>
      </c>
      <c r="D66" s="87" t="inlineStr">
        <is>
          <t>Dashboard-omzet = RDFO (alleen zonder filter)</t>
        </is>
      </c>
      <c r="E66" s="88">
        <f>CALC_Versies!$S$11</f>
        <v>114096800</v>
      </c>
      <c r="F66" s="89">
        <f>IFERROR(RDFO!$J$28*P_Factor,"n.b.")</f>
        <v>114096800</v>
      </c>
      <c r="G66" s="90" t="str">
        <f>IF(Sel_FiltLabel&lt;&gt;"geen filter","INFO",IF(AND(ISNUMBER(E66),ISNUMBER(F66)),IF(ABS(E66-F66)&lt;=P_Tol,"OK","FOUT"),"INFO"))</f>
        <v>OK</v>
      </c>
      <c r="H66" s="91" t="inlineStr"/>
    </row>
    <row r="67">
      <c r="B67" s="85" t="n">
        <v>59</v>
      </c>
      <c r="C67" s="86" t="inlineStr">
        <is>
          <t>Rapport</t>
        </is>
      </c>
      <c r="D67" s="87" t="inlineStr">
        <is>
          <t>BOR % = totale BOR / totale omzet</t>
        </is>
      </c>
      <c r="E67" s="88">
        <f>RDFO!$J$24</f>
        <v>0.0918272729822396</v>
      </c>
      <c r="F67" s="89">
        <f>IFERROR((CALC_Versies!$I$11+CALC_Versies!$J$11)/(CALC_Versies!$G$11+CALC_Versies!$H$11),"n.b.")</f>
        <v>0.0918272729822396</v>
      </c>
      <c r="G67" s="90" t="str">
        <f>IF(AND(ISNUMBER(E67),ISNUMBER(F67)),IF(ABS(E67-F67)&lt;0.000001,"OK","FOUT"),"INFO")</f>
        <v>OK</v>
      </c>
      <c r="H67" s="91" t="inlineStr">
        <is>
          <t>Geen gemiddelde van projectpercentages.</t>
        </is>
      </c>
    </row>
    <row r="68">
      <c r="B68" s="85" t="n">
        <v>60</v>
      </c>
      <c r="C68" s="86" t="inlineStr">
        <is>
          <t>Historie</t>
        </is>
      </c>
      <c r="D68" s="87" t="inlineStr">
        <is>
          <t>Vastgelegde versies zonder realisatie (blijft n.b.)</t>
        </is>
      </c>
      <c r="E68" s="88">
        <f>COUNTIFS(CALC_Versies!$C$5:$C$9,"&gt;0",CALC_Versies!$D$5:$D$9,0)</f>
        <v>3</v>
      </c>
      <c r="F68" s="89" t="inlineStr">
        <is>
          <t>info</t>
        </is>
      </c>
      <c r="G68" s="90" t="str">
        <f>"INFO"</f>
        <v>INFO</v>
      </c>
      <c r="H68" s="91" t="inlineStr">
        <is>
          <t>Budget/Q1/Q2 hebben geen vastgelegde actuals; die worden niet als 0 getoond.</t>
        </is>
      </c>
    </row>
    <row r="71">
      <c r="B71" s="16" t="inlineStr">
        <is>
          <t>Uitzonderingen (eerste 15 per lijst) — niets verdwijnt stil</t>
        </is>
      </c>
      <c r="C71" s="8" t="n"/>
      <c r="D71" s="8" t="n"/>
      <c r="E71" s="8" t="n"/>
      <c r="F71" s="8" t="n"/>
      <c r="G71" s="8" t="n"/>
      <c r="H71" s="8" t="n"/>
    </row>
    <row r="72">
      <c r="B72" s="19" t="inlineStr">
        <is>
          <t>Nieuw: in ZPMW03, niet in Mapping</t>
        </is>
      </c>
      <c r="D72" s="19" t="inlineStr">
        <is>
          <t>Vervallen/ontbreekt: in Mapping, niet in ZPMW03</t>
        </is>
      </c>
      <c r="F72" s="19" t="inlineStr">
        <is>
          <t>Woningetalage, niet in ZPMW03</t>
        </is>
      </c>
      <c r="H72" s="19" t="inlineStr">
        <is>
          <t>Verliesprojecten (BOR FY RJ, EUR)</t>
        </is>
      </c>
    </row>
    <row r="73">
      <c r="B73" s="92" t="str">
        <f>IFERROR(INDEX(STG_ZPMW03!$B$6:$B$505,MATCH(1,STG_ZPMW03!$CZ$6:$CZ$505,0)),"")</f>
        <v/>
      </c>
      <c r="C73" s="15" t="str">
        <f>IFERROR(INDEX(STG_ZPMW03!$J$6:$J$505,MATCH(1,STG_ZPMW03!$CZ$6:$CZ$505,0)),"")</f>
        <v/>
      </c>
      <c r="D73" s="92" t="str">
        <f>IFERROR(INDEX(V_WBS,MATCH(1,V_VervallenNr,0)),"")</f>
        <v/>
      </c>
      <c r="E73" s="15" t="str">
        <f>IFERROR(INDEX(V_Naam,MATCH(1,V_VervallenNr,0)),"")</f>
        <v/>
      </c>
      <c r="F73" s="92" t="str">
        <f>IFERROR(INDEX(STG_Woningetalage!$B$6:$B$505,MATCH(1,STG_Woningetalage!$BX$6:$BX$505,0)),"")</f>
        <v/>
      </c>
      <c r="G73" s="15" t="str">
        <f>IFERROR(INDEX(STG_Woningetalage!$L$6:$L$505,MATCH(1,STG_Woningetalage!$BX$6:$BX$505,0)),"")</f>
        <v/>
      </c>
      <c r="H73" s="92" t="str">
        <f>IFERROR(INDEX(V_Naam,MATCH(1,V_VerliesNr,0)),"")</f>
        <v>Lindehaven, De Brink</v>
      </c>
      <c r="I73" s="93">
        <f>IFERROR(INDEX(V_BorFY,MATCH(1,V_VerliesNr,0)),"")</f>
        <v>-58590</v>
      </c>
    </row>
    <row r="74">
      <c r="B74" s="92" t="str">
        <f>IFERROR(INDEX(STG_ZPMW03!$B$6:$B$505,MATCH(2,STG_ZPMW03!$CZ$6:$CZ$505,0)),"")</f>
        <v/>
      </c>
      <c r="C74" s="15" t="str">
        <f>IFERROR(INDEX(STG_ZPMW03!$J$6:$J$505,MATCH(2,STG_ZPMW03!$CZ$6:$CZ$505,0)),"")</f>
        <v/>
      </c>
      <c r="D74" s="92" t="str">
        <f>IFERROR(INDEX(V_WBS,MATCH(2,V_VervallenNr,0)),"")</f>
        <v/>
      </c>
      <c r="E74" s="15" t="str">
        <f>IFERROR(INDEX(V_Naam,MATCH(2,V_VervallenNr,0)),"")</f>
        <v/>
      </c>
      <c r="F74" s="92" t="str">
        <f>IFERROR(INDEX(STG_Woningetalage!$B$6:$B$505,MATCH(2,STG_Woningetalage!$BX$6:$BX$505,0)),"")</f>
        <v/>
      </c>
      <c r="G74" s="15" t="str">
        <f>IFERROR(INDEX(STG_Woningetalage!$L$6:$L$505,MATCH(2,STG_Woningetalage!$BX$6:$BX$505,0)),"")</f>
        <v/>
      </c>
      <c r="H74" s="92" t="str">
        <f>IFERROR(INDEX(V_Naam,MATCH(2,V_VerliesNr,0)),"")</f>
        <v>Meerhovenstad, De Boog</v>
      </c>
      <c r="I74" s="93">
        <f>IFERROR(INDEX(V_BorFY,MATCH(2,V_VerliesNr,0)),"")</f>
        <v>-54180</v>
      </c>
    </row>
    <row r="75">
      <c r="B75" s="92" t="str">
        <f>IFERROR(INDEX(STG_ZPMW03!$B$6:$B$505,MATCH(3,STG_ZPMW03!$CZ$6:$CZ$505,0)),"")</f>
        <v/>
      </c>
      <c r="C75" s="15" t="str">
        <f>IFERROR(INDEX(STG_ZPMW03!$J$6:$J$505,MATCH(3,STG_ZPMW03!$CZ$6:$CZ$505,0)),"")</f>
        <v/>
      </c>
      <c r="D75" s="92" t="str">
        <f>IFERROR(INDEX(V_WBS,MATCH(3,V_VervallenNr,0)),"")</f>
        <v/>
      </c>
      <c r="E75" s="15" t="str">
        <f>IFERROR(INDEX(V_Naam,MATCH(3,V_VervallenNr,0)),"")</f>
        <v/>
      </c>
      <c r="F75" s="92" t="str">
        <f>IFERROR(INDEX(STG_Woningetalage!$B$6:$B$505,MATCH(3,STG_Woningetalage!$BX$6:$BX$505,0)),"")</f>
        <v/>
      </c>
      <c r="G75" s="15" t="str">
        <f>IFERROR(INDEX(STG_Woningetalage!$L$6:$L$505,MATCH(3,STG_Woningetalage!$BX$6:$BX$505,0)),"")</f>
        <v/>
      </c>
      <c r="H75" s="92" t="str">
        <f>IFERROR(INDEX(V_Naam,MATCH(3,V_VerliesNr,0)),"")</f>
        <v/>
      </c>
      <c r="I75" s="93" t="str">
        <f>IFERROR(INDEX(V_BorFY,MATCH(3,V_VerliesNr,0)),"")</f>
        <v/>
      </c>
    </row>
    <row r="76">
      <c r="B76" s="92" t="str">
        <f>IFERROR(INDEX(STG_ZPMW03!$B$6:$B$505,MATCH(4,STG_ZPMW03!$CZ$6:$CZ$505,0)),"")</f>
        <v/>
      </c>
      <c r="C76" s="15" t="str">
        <f>IFERROR(INDEX(STG_ZPMW03!$J$6:$J$505,MATCH(4,STG_ZPMW03!$CZ$6:$CZ$505,0)),"")</f>
        <v/>
      </c>
      <c r="D76" s="92" t="str">
        <f>IFERROR(INDEX(V_WBS,MATCH(4,V_VervallenNr,0)),"")</f>
        <v/>
      </c>
      <c r="E76" s="15" t="str">
        <f>IFERROR(INDEX(V_Naam,MATCH(4,V_VervallenNr,0)),"")</f>
        <v/>
      </c>
      <c r="F76" s="92" t="str">
        <f>IFERROR(INDEX(STG_Woningetalage!$B$6:$B$505,MATCH(4,STG_Woningetalage!$BX$6:$BX$505,0)),"")</f>
        <v/>
      </c>
      <c r="G76" s="15" t="str">
        <f>IFERROR(INDEX(STG_Woningetalage!$L$6:$L$505,MATCH(4,STG_Woningetalage!$BX$6:$BX$505,0)),"")</f>
        <v/>
      </c>
      <c r="H76" s="92" t="str">
        <f>IFERROR(INDEX(V_Naam,MATCH(4,V_VerliesNr,0)),"")</f>
        <v/>
      </c>
      <c r="I76" s="93" t="str">
        <f>IFERROR(INDEX(V_BorFY,MATCH(4,V_VerliesNr,0)),"")</f>
        <v/>
      </c>
    </row>
    <row r="77">
      <c r="B77" s="92" t="str">
        <f>IFERROR(INDEX(STG_ZPMW03!$B$6:$B$505,MATCH(5,STG_ZPMW03!$CZ$6:$CZ$505,0)),"")</f>
        <v/>
      </c>
      <c r="C77" s="15" t="str">
        <f>IFERROR(INDEX(STG_ZPMW03!$J$6:$J$505,MATCH(5,STG_ZPMW03!$CZ$6:$CZ$505,0)),"")</f>
        <v/>
      </c>
      <c r="D77" s="92" t="str">
        <f>IFERROR(INDEX(V_WBS,MATCH(5,V_VervallenNr,0)),"")</f>
        <v/>
      </c>
      <c r="E77" s="15" t="str">
        <f>IFERROR(INDEX(V_Naam,MATCH(5,V_VervallenNr,0)),"")</f>
        <v/>
      </c>
      <c r="F77" s="92" t="str">
        <f>IFERROR(INDEX(STG_Woningetalage!$B$6:$B$505,MATCH(5,STG_Woningetalage!$BX$6:$BX$505,0)),"")</f>
        <v/>
      </c>
      <c r="G77" s="15" t="str">
        <f>IFERROR(INDEX(STG_Woningetalage!$L$6:$L$505,MATCH(5,STG_Woningetalage!$BX$6:$BX$505,0)),"")</f>
        <v/>
      </c>
      <c r="H77" s="92" t="str">
        <f>IFERROR(INDEX(V_Naam,MATCH(5,V_VerliesNr,0)),"")</f>
        <v/>
      </c>
      <c r="I77" s="93" t="str">
        <f>IFERROR(INDEX(V_BorFY,MATCH(5,V_VerliesNr,0)),"")</f>
        <v/>
      </c>
    </row>
    <row r="78">
      <c r="B78" s="92" t="str">
        <f>IFERROR(INDEX(STG_ZPMW03!$B$6:$B$505,MATCH(6,STG_ZPMW03!$CZ$6:$CZ$505,0)),"")</f>
        <v/>
      </c>
      <c r="C78" s="15" t="str">
        <f>IFERROR(INDEX(STG_ZPMW03!$J$6:$J$505,MATCH(6,STG_ZPMW03!$CZ$6:$CZ$505,0)),"")</f>
        <v/>
      </c>
      <c r="D78" s="92" t="str">
        <f>IFERROR(INDEX(V_WBS,MATCH(6,V_VervallenNr,0)),"")</f>
        <v/>
      </c>
      <c r="E78" s="15" t="str">
        <f>IFERROR(INDEX(V_Naam,MATCH(6,V_VervallenNr,0)),"")</f>
        <v/>
      </c>
      <c r="F78" s="92" t="str">
        <f>IFERROR(INDEX(STG_Woningetalage!$B$6:$B$505,MATCH(6,STG_Woningetalage!$BX$6:$BX$505,0)),"")</f>
        <v/>
      </c>
      <c r="G78" s="15" t="str">
        <f>IFERROR(INDEX(STG_Woningetalage!$L$6:$L$505,MATCH(6,STG_Woningetalage!$BX$6:$BX$505,0)),"")</f>
        <v/>
      </c>
      <c r="H78" s="92" t="str">
        <f>IFERROR(INDEX(V_Naam,MATCH(6,V_VerliesNr,0)),"")</f>
        <v/>
      </c>
      <c r="I78" s="93" t="str">
        <f>IFERROR(INDEX(V_BorFY,MATCH(6,V_VerliesNr,0)),"")</f>
        <v/>
      </c>
    </row>
    <row r="79">
      <c r="B79" s="92" t="str">
        <f>IFERROR(INDEX(STG_ZPMW03!$B$6:$B$505,MATCH(7,STG_ZPMW03!$CZ$6:$CZ$505,0)),"")</f>
        <v/>
      </c>
      <c r="C79" s="15" t="str">
        <f>IFERROR(INDEX(STG_ZPMW03!$J$6:$J$505,MATCH(7,STG_ZPMW03!$CZ$6:$CZ$505,0)),"")</f>
        <v/>
      </c>
      <c r="D79" s="92" t="str">
        <f>IFERROR(INDEX(V_WBS,MATCH(7,V_VervallenNr,0)),"")</f>
        <v/>
      </c>
      <c r="E79" s="15" t="str">
        <f>IFERROR(INDEX(V_Naam,MATCH(7,V_VervallenNr,0)),"")</f>
        <v/>
      </c>
      <c r="F79" s="92" t="str">
        <f>IFERROR(INDEX(STG_Woningetalage!$B$6:$B$505,MATCH(7,STG_Woningetalage!$BX$6:$BX$505,0)),"")</f>
        <v/>
      </c>
      <c r="G79" s="15" t="str">
        <f>IFERROR(INDEX(STG_Woningetalage!$L$6:$L$505,MATCH(7,STG_Woningetalage!$BX$6:$BX$505,0)),"")</f>
        <v/>
      </c>
      <c r="H79" s="92" t="str">
        <f>IFERROR(INDEX(V_Naam,MATCH(7,V_VerliesNr,0)),"")</f>
        <v/>
      </c>
      <c r="I79" s="93" t="str">
        <f>IFERROR(INDEX(V_BorFY,MATCH(7,V_VerliesNr,0)),"")</f>
        <v/>
      </c>
    </row>
    <row r="80">
      <c r="B80" s="92" t="str">
        <f>IFERROR(INDEX(STG_ZPMW03!$B$6:$B$505,MATCH(8,STG_ZPMW03!$CZ$6:$CZ$505,0)),"")</f>
        <v/>
      </c>
      <c r="C80" s="15" t="str">
        <f>IFERROR(INDEX(STG_ZPMW03!$J$6:$J$505,MATCH(8,STG_ZPMW03!$CZ$6:$CZ$505,0)),"")</f>
        <v/>
      </c>
      <c r="D80" s="92" t="str">
        <f>IFERROR(INDEX(V_WBS,MATCH(8,V_VervallenNr,0)),"")</f>
        <v/>
      </c>
      <c r="E80" s="15" t="str">
        <f>IFERROR(INDEX(V_Naam,MATCH(8,V_VervallenNr,0)),"")</f>
        <v/>
      </c>
      <c r="F80" s="92" t="str">
        <f>IFERROR(INDEX(STG_Woningetalage!$B$6:$B$505,MATCH(8,STG_Woningetalage!$BX$6:$BX$505,0)),"")</f>
        <v/>
      </c>
      <c r="G80" s="15" t="str">
        <f>IFERROR(INDEX(STG_Woningetalage!$L$6:$L$505,MATCH(8,STG_Woningetalage!$BX$6:$BX$505,0)),"")</f>
        <v/>
      </c>
      <c r="H80" s="92" t="str">
        <f>IFERROR(INDEX(V_Naam,MATCH(8,V_VerliesNr,0)),"")</f>
        <v/>
      </c>
      <c r="I80" s="93" t="str">
        <f>IFERROR(INDEX(V_BorFY,MATCH(8,V_VerliesNr,0)),"")</f>
        <v/>
      </c>
    </row>
    <row r="81">
      <c r="B81" s="92" t="str">
        <f>IFERROR(INDEX(STG_ZPMW03!$B$6:$B$505,MATCH(9,STG_ZPMW03!$CZ$6:$CZ$505,0)),"")</f>
        <v/>
      </c>
      <c r="C81" s="15" t="str">
        <f>IFERROR(INDEX(STG_ZPMW03!$J$6:$J$505,MATCH(9,STG_ZPMW03!$CZ$6:$CZ$505,0)),"")</f>
        <v/>
      </c>
      <c r="D81" s="92" t="str">
        <f>IFERROR(INDEX(V_WBS,MATCH(9,V_VervallenNr,0)),"")</f>
        <v/>
      </c>
      <c r="E81" s="15" t="str">
        <f>IFERROR(INDEX(V_Naam,MATCH(9,V_VervallenNr,0)),"")</f>
        <v/>
      </c>
      <c r="F81" s="92" t="str">
        <f>IFERROR(INDEX(STG_Woningetalage!$B$6:$B$505,MATCH(9,STG_Woningetalage!$BX$6:$BX$505,0)),"")</f>
        <v/>
      </c>
      <c r="G81" s="15" t="str">
        <f>IFERROR(INDEX(STG_Woningetalage!$L$6:$L$505,MATCH(9,STG_Woningetalage!$BX$6:$BX$505,0)),"")</f>
        <v/>
      </c>
      <c r="H81" s="92" t="str">
        <f>IFERROR(INDEX(V_Naam,MATCH(9,V_VerliesNr,0)),"")</f>
        <v/>
      </c>
      <c r="I81" s="93" t="str">
        <f>IFERROR(INDEX(V_BorFY,MATCH(9,V_VerliesNr,0)),"")</f>
        <v/>
      </c>
    </row>
    <row r="82">
      <c r="B82" s="92" t="str">
        <f>IFERROR(INDEX(STG_ZPMW03!$B$6:$B$505,MATCH(10,STG_ZPMW03!$CZ$6:$CZ$505,0)),"")</f>
        <v/>
      </c>
      <c r="C82" s="15" t="str">
        <f>IFERROR(INDEX(STG_ZPMW03!$J$6:$J$505,MATCH(10,STG_ZPMW03!$CZ$6:$CZ$505,0)),"")</f>
        <v/>
      </c>
      <c r="D82" s="92" t="str">
        <f>IFERROR(INDEX(V_WBS,MATCH(10,V_VervallenNr,0)),"")</f>
        <v/>
      </c>
      <c r="E82" s="15" t="str">
        <f>IFERROR(INDEX(V_Naam,MATCH(10,V_VervallenNr,0)),"")</f>
        <v/>
      </c>
      <c r="F82" s="92" t="str">
        <f>IFERROR(INDEX(STG_Woningetalage!$B$6:$B$505,MATCH(10,STG_Woningetalage!$BX$6:$BX$505,0)),"")</f>
        <v/>
      </c>
      <c r="G82" s="15" t="str">
        <f>IFERROR(INDEX(STG_Woningetalage!$L$6:$L$505,MATCH(10,STG_Woningetalage!$BX$6:$BX$505,0)),"")</f>
        <v/>
      </c>
      <c r="H82" s="92" t="str">
        <f>IFERROR(INDEX(V_Naam,MATCH(10,V_VerliesNr,0)),"")</f>
        <v/>
      </c>
      <c r="I82" s="93" t="str">
        <f>IFERROR(INDEX(V_BorFY,MATCH(10,V_VerliesNr,0)),"")</f>
        <v/>
      </c>
    </row>
    <row r="83">
      <c r="B83" s="92" t="str">
        <f>IFERROR(INDEX(STG_ZPMW03!$B$6:$B$505,MATCH(11,STG_ZPMW03!$CZ$6:$CZ$505,0)),"")</f>
        <v/>
      </c>
      <c r="C83" s="15" t="str">
        <f>IFERROR(INDEX(STG_ZPMW03!$J$6:$J$505,MATCH(11,STG_ZPMW03!$CZ$6:$CZ$505,0)),"")</f>
        <v/>
      </c>
      <c r="D83" s="92" t="str">
        <f>IFERROR(INDEX(V_WBS,MATCH(11,V_VervallenNr,0)),"")</f>
        <v/>
      </c>
      <c r="E83" s="15" t="str">
        <f>IFERROR(INDEX(V_Naam,MATCH(11,V_VervallenNr,0)),"")</f>
        <v/>
      </c>
      <c r="F83" s="92" t="str">
        <f>IFERROR(INDEX(STG_Woningetalage!$B$6:$B$505,MATCH(11,STG_Woningetalage!$BX$6:$BX$505,0)),"")</f>
        <v/>
      </c>
      <c r="G83" s="15" t="str">
        <f>IFERROR(INDEX(STG_Woningetalage!$L$6:$L$505,MATCH(11,STG_Woningetalage!$BX$6:$BX$505,0)),"")</f>
        <v/>
      </c>
      <c r="H83" s="92" t="str">
        <f>IFERROR(INDEX(V_Naam,MATCH(11,V_VerliesNr,0)),"")</f>
        <v/>
      </c>
      <c r="I83" s="93" t="str">
        <f>IFERROR(INDEX(V_BorFY,MATCH(11,V_VerliesNr,0)),"")</f>
        <v/>
      </c>
    </row>
    <row r="84">
      <c r="B84" s="92" t="str">
        <f>IFERROR(INDEX(STG_ZPMW03!$B$6:$B$505,MATCH(12,STG_ZPMW03!$CZ$6:$CZ$505,0)),"")</f>
        <v/>
      </c>
      <c r="C84" s="15" t="str">
        <f>IFERROR(INDEX(STG_ZPMW03!$J$6:$J$505,MATCH(12,STG_ZPMW03!$CZ$6:$CZ$505,0)),"")</f>
        <v/>
      </c>
      <c r="D84" s="92" t="str">
        <f>IFERROR(INDEX(V_WBS,MATCH(12,V_VervallenNr,0)),"")</f>
        <v/>
      </c>
      <c r="E84" s="15" t="str">
        <f>IFERROR(INDEX(V_Naam,MATCH(12,V_VervallenNr,0)),"")</f>
        <v/>
      </c>
      <c r="F84" s="92" t="str">
        <f>IFERROR(INDEX(STG_Woningetalage!$B$6:$B$505,MATCH(12,STG_Woningetalage!$BX$6:$BX$505,0)),"")</f>
        <v/>
      </c>
      <c r="G84" s="15" t="str">
        <f>IFERROR(INDEX(STG_Woningetalage!$L$6:$L$505,MATCH(12,STG_Woningetalage!$BX$6:$BX$505,0)),"")</f>
        <v/>
      </c>
      <c r="H84" s="92" t="str">
        <f>IFERROR(INDEX(V_Naam,MATCH(12,V_VerliesNr,0)),"")</f>
        <v/>
      </c>
      <c r="I84" s="93" t="str">
        <f>IFERROR(INDEX(V_BorFY,MATCH(12,V_VerliesNr,0)),"")</f>
        <v/>
      </c>
    </row>
    <row r="85">
      <c r="B85" s="92" t="str">
        <f>IFERROR(INDEX(STG_ZPMW03!$B$6:$B$505,MATCH(13,STG_ZPMW03!$CZ$6:$CZ$505,0)),"")</f>
        <v/>
      </c>
      <c r="C85" s="15" t="str">
        <f>IFERROR(INDEX(STG_ZPMW03!$J$6:$J$505,MATCH(13,STG_ZPMW03!$CZ$6:$CZ$505,0)),"")</f>
        <v/>
      </c>
      <c r="D85" s="92" t="str">
        <f>IFERROR(INDEX(V_WBS,MATCH(13,V_VervallenNr,0)),"")</f>
        <v/>
      </c>
      <c r="E85" s="15" t="str">
        <f>IFERROR(INDEX(V_Naam,MATCH(13,V_VervallenNr,0)),"")</f>
        <v/>
      </c>
      <c r="F85" s="92" t="str">
        <f>IFERROR(INDEX(STG_Woningetalage!$B$6:$B$505,MATCH(13,STG_Woningetalage!$BX$6:$BX$505,0)),"")</f>
        <v/>
      </c>
      <c r="G85" s="15" t="str">
        <f>IFERROR(INDEX(STG_Woningetalage!$L$6:$L$505,MATCH(13,STG_Woningetalage!$BX$6:$BX$505,0)),"")</f>
        <v/>
      </c>
      <c r="H85" s="92" t="str">
        <f>IFERROR(INDEX(V_Naam,MATCH(13,V_VerliesNr,0)),"")</f>
        <v/>
      </c>
      <c r="I85" s="93" t="str">
        <f>IFERROR(INDEX(V_BorFY,MATCH(13,V_VerliesNr,0)),"")</f>
        <v/>
      </c>
    </row>
    <row r="86">
      <c r="B86" s="92" t="str">
        <f>IFERROR(INDEX(STG_ZPMW03!$B$6:$B$505,MATCH(14,STG_ZPMW03!$CZ$6:$CZ$505,0)),"")</f>
        <v/>
      </c>
      <c r="C86" s="15" t="str">
        <f>IFERROR(INDEX(STG_ZPMW03!$J$6:$J$505,MATCH(14,STG_ZPMW03!$CZ$6:$CZ$505,0)),"")</f>
        <v/>
      </c>
      <c r="D86" s="92" t="str">
        <f>IFERROR(INDEX(V_WBS,MATCH(14,V_VervallenNr,0)),"")</f>
        <v/>
      </c>
      <c r="E86" s="15" t="str">
        <f>IFERROR(INDEX(V_Naam,MATCH(14,V_VervallenNr,0)),"")</f>
        <v/>
      </c>
      <c r="F86" s="92" t="str">
        <f>IFERROR(INDEX(STG_Woningetalage!$B$6:$B$505,MATCH(14,STG_Woningetalage!$BX$6:$BX$505,0)),"")</f>
        <v/>
      </c>
      <c r="G86" s="15" t="str">
        <f>IFERROR(INDEX(STG_Woningetalage!$L$6:$L$505,MATCH(14,STG_Woningetalage!$BX$6:$BX$505,0)),"")</f>
        <v/>
      </c>
      <c r="H86" s="92" t="str">
        <f>IFERROR(INDEX(V_Naam,MATCH(14,V_VerliesNr,0)),"")</f>
        <v/>
      </c>
      <c r="I86" s="93" t="str">
        <f>IFERROR(INDEX(V_BorFY,MATCH(14,V_VerliesNr,0)),"")</f>
        <v/>
      </c>
    </row>
    <row r="87">
      <c r="B87" s="92" t="str">
        <f>IFERROR(INDEX(STG_ZPMW03!$B$6:$B$505,MATCH(15,STG_ZPMW03!$CZ$6:$CZ$505,0)),"")</f>
        <v/>
      </c>
      <c r="C87" s="15" t="str">
        <f>IFERROR(INDEX(STG_ZPMW03!$J$6:$J$505,MATCH(15,STG_ZPMW03!$CZ$6:$CZ$505,0)),"")</f>
        <v/>
      </c>
      <c r="D87" s="92" t="str">
        <f>IFERROR(INDEX(V_WBS,MATCH(15,V_VervallenNr,0)),"")</f>
        <v/>
      </c>
      <c r="E87" s="15" t="str">
        <f>IFERROR(INDEX(V_Naam,MATCH(15,V_VervallenNr,0)),"")</f>
        <v/>
      </c>
      <c r="F87" s="92" t="str">
        <f>IFERROR(INDEX(STG_Woningetalage!$B$6:$B$505,MATCH(15,STG_Woningetalage!$BX$6:$BX$505,0)),"")</f>
        <v/>
      </c>
      <c r="G87" s="15" t="str">
        <f>IFERROR(INDEX(STG_Woningetalage!$L$6:$L$505,MATCH(15,STG_Woningetalage!$BX$6:$BX$505,0)),"")</f>
        <v/>
      </c>
      <c r="H87" s="92" t="str">
        <f>IFERROR(INDEX(V_Naam,MATCH(15,V_VerliesNr,0)),"")</f>
        <v/>
      </c>
      <c r="I87" s="93" t="str">
        <f>IFERROR(INDEX(V_BorFY,MATCH(15,V_VerliesNr,0)),"")</f>
        <v/>
      </c>
    </row>
    <row r="88">
      <c r="B88" s="94" t="str">
        <f>IF(COUNT(STG_ZPMW03!$CZ$6:$CZ$505)=0,"(geen)","")</f>
        <v>(geen)</v>
      </c>
      <c r="D88" s="94" t="str">
        <f>IF(COUNT(V_VervallenNr)=0,"(geen)","")</f>
        <v>(geen)</v>
      </c>
      <c r="F88" s="94" t="str">
        <f>IF(COUNT(STG_Woningetalage!$BX$6:$BX$505)=0,"(geen)","")</f>
        <v>(geen)</v>
      </c>
      <c r="H88" s="94" t="str">
        <f>IF(COUNT(V_VerliesNr)=0,"(geen)","")</f>
        <v/>
      </c>
    </row>
  </sheetData>
  <conditionalFormatting sqref="D4">
    <cfRule type="expression" priority="1" dxfId="5">
      <formula>$D$4&gt;0</formula>
    </cfRule>
  </conditionalFormatting>
  <conditionalFormatting sqref="G9:G68">
    <cfRule type="expression" priority="2" dxfId="6">
      <formula>G9="FOUT"</formula>
    </cfRule>
    <cfRule type="expression" priority="3" dxfId="7">
      <formula>G9="WAARSCHUWING"</formula>
    </cfRule>
    <cfRule type="expression" priority="4" dxfId="8">
      <formula>G9="OK"</formula>
    </cfRule>
    <cfRule type="expression" priority="5" dxfId="9">
      <formula>G9="INFO"</formula>
    </cfRule>
  </conditionalFormatting>
  <printOptions horizontalCentered="1"/>
  <pageMargins left="0.4" right="0.4" top="0.5" bottom="0.5" header="0.5" footer="0.5"/>
  <pageSetup orientation="landscape" paperSize="9" fitToHeight="0" fitToWidth="1"/>
</worksheet>
</file>

<file path=xl/worksheets/sheet8.xml><?xml version="1.0" encoding="utf-8"?>
<worksheet xmlns="http://schemas.openxmlformats.org/spreadsheetml/2006/main">
  <sheetPr>
    <tabColor rgb="001F4E9A"/>
    <outlinePr summaryBelow="1" summaryRight="1"/>
    <pageSetUpPr/>
  </sheetPr>
  <dimension ref="A1:I144"/>
  <sheetViews>
    <sheetView showGridLines="0" zoomScale="100" workbookViewId="0">
      <pane ySplit="4" topLeftCell="A5" activePane="bottomLeft" state="frozen"/>
      <selection pane="bottomLeft" activeCell="A1" sqref="A1"/>
    </sheetView>
  </sheetViews>
  <sheetFormatPr baseColWidth="8" defaultRowHeight="15"/>
  <cols>
    <col width="2" customWidth="1" min="1" max="1"/>
    <col width="34" customWidth="1" min="2" max="2"/>
    <col width="22" customWidth="1" min="3" max="3"/>
    <col width="90" customWidth="1" min="4" max="4"/>
    <col width="4" customWidth="1" min="5" max="5"/>
    <col width="4" customWidth="1" min="6" max="6"/>
  </cols>
  <sheetData>
    <row r="1" ht="28" customHeight="1">
      <c r="A1" s="1" t="n"/>
      <c r="B1" s="2" t="inlineStr">
        <is>
          <t>Parameters</t>
        </is>
      </c>
      <c r="C1" s="1" t="n"/>
      <c r="D1" s="1" t="n"/>
      <c r="E1" s="1" t="n"/>
      <c r="F1" s="1" t="n"/>
    </row>
    <row r="2">
      <c r="B2" s="3" t="inlineStr">
        <is>
          <t>Gele cellen zijn invoer. Alle jaartallen in kolomkoppen en rapporttitels zijn hiervan afgeleid.</t>
        </is>
      </c>
    </row>
    <row r="4" ht="20" customHeight="1">
      <c r="B4" s="32" t="inlineStr">
        <is>
          <t>Parameter</t>
        </is>
      </c>
      <c r="C4" s="33" t="inlineStr">
        <is>
          <t>Waarde</t>
        </is>
      </c>
      <c r="D4" s="33" t="inlineStr">
        <is>
          <t>Toelichting</t>
        </is>
      </c>
    </row>
    <row r="5">
      <c r="B5" s="34" t="inlineStr">
        <is>
          <t>Regio / rapportage-eenheid</t>
        </is>
      </c>
      <c r="C5" s="95" t="inlineStr">
        <is>
          <t>Demo Regio</t>
        </is>
      </c>
      <c r="D5" s="3" t="inlineStr">
        <is>
          <t>Alleen voor titels.</t>
        </is>
      </c>
    </row>
    <row r="6">
      <c r="B6" s="34" t="inlineStr">
        <is>
          <t>Rapportagejaar (lopend jaar in upload)</t>
        </is>
      </c>
      <c r="C6" s="96" t="n">
        <v>2026</v>
      </c>
      <c r="D6" s="3" t="inlineStr">
        <is>
          <t>Bepaalt welke ZPMW03-kolommen gelezen worden: 'OP.BOB &lt;jaar&gt;', 'OP.BOB &lt;jaar+1&gt;-Q1', ... en de Woningetalage-jaarkolom &lt;jaar+2&gt;.</t>
        </is>
      </c>
    </row>
    <row r="7">
      <c r="B7" s="34" t="inlineStr">
        <is>
          <t>Peildatum upload</t>
        </is>
      </c>
      <c r="C7" s="97" t="n">
        <v>46295</v>
      </c>
      <c r="D7" s="3" t="inlineStr">
        <is>
          <t>Datum t/m welke 'Bedrijfsopbrengsten LJ' en 'Huidig jr' actual zijn. Prototype: 30-09-2026.</t>
        </is>
      </c>
    </row>
    <row r="8">
      <c r="B8" s="34" t="inlineStr">
        <is>
          <t>Peilmaand (berekend)</t>
        </is>
      </c>
      <c r="C8" s="98">
        <f>MONTH(P_Peildatum)</f>
        <v>9</v>
      </c>
      <c r="D8" s="3" t="inlineStr">
        <is>
          <t>hjr-maanden t/m deze maand = actual, daarna = prognose.</t>
        </is>
      </c>
    </row>
    <row r="9">
      <c r="B9" s="34" t="inlineStr">
        <is>
          <t>Peildatum als tekst (berekend)</t>
        </is>
      </c>
      <c r="C9" s="99" t="str">
        <f>RIGHT("0"&amp;DAY(P_Peildatum),2)&amp;"-"&amp;RIGHT("0"&amp;MONTH(P_Peildatum),2)&amp;"-"&amp;YEAR(P_Peildatum)</f>
        <v>30-09-2026</v>
      </c>
      <c r="D9" s="3" t="inlineStr">
        <is>
          <t>Locale-onafhankelijk (geen TEXT-functie).</t>
        </is>
      </c>
    </row>
    <row r="10">
      <c r="B10" s="34" t="inlineStr">
        <is>
          <t>Versiejaar van de upload</t>
        </is>
      </c>
      <c r="C10" s="96" t="n">
        <v>2026</v>
      </c>
      <c r="D10" s="3" t="inlineStr">
        <is>
          <t>In welk versiejaar hoort de huidige upload thuis.</t>
        </is>
      </c>
    </row>
    <row r="11">
      <c r="B11" s="34" t="inlineStr">
        <is>
          <t>Versie van de upload</t>
        </is>
      </c>
      <c r="C11" s="95" t="inlineStr">
        <is>
          <t>Q3</t>
        </is>
      </c>
      <c r="D11" s="3" t="inlineStr">
        <is>
          <t>Budget/Q1/Q2/Q3/Q4. Wordt gecontroleerd tegen de peildatum (Controle).</t>
        </is>
      </c>
    </row>
    <row r="12">
      <c r="B12" s="34" t="inlineStr">
        <is>
          <t>Versiejaar voor rapportage</t>
        </is>
      </c>
      <c r="C12" s="96" t="n">
        <v>2026</v>
      </c>
      <c r="D12" s="3" t="inlineStr">
        <is>
          <t>De kolommen Budget/Q1..Q4 in de rapporten tonen vastgelegde versies uit dit versiejaar.</t>
        </is>
      </c>
    </row>
    <row r="13">
      <c r="B13" s="34" t="inlineStr">
        <is>
          <t>Eenheid rapportage RDFO/Projecten</t>
        </is>
      </c>
      <c r="C13" s="95" t="inlineStr">
        <is>
          <t>EUR x 1.000</t>
        </is>
      </c>
      <c r="D13" s="3" t="inlineStr">
        <is>
          <t>EUR / EUR x 1.000 / EUR mln. Bronprecisie blijft volledig in EUR bewaard.</t>
        </is>
      </c>
    </row>
    <row r="14">
      <c r="B14" s="34" t="inlineStr">
        <is>
          <t>Deelfactor (berekend)</t>
        </is>
      </c>
      <c r="C14" s="100">
        <f>IF(P_Eenheid="EUR mln",1000000,IF(P_Eenheid="EUR x 1.000",1000,1))</f>
        <v>1000</v>
      </c>
      <c r="D14" s="3" t="inlineStr"/>
    </row>
    <row r="15">
      <c r="B15" s="34" t="inlineStr">
        <is>
          <t>Fictieve demo-aannames meenemen?</t>
        </is>
      </c>
      <c r="C15" s="95" t="inlineStr">
        <is>
          <t>Nee</t>
        </is>
      </c>
      <c r="D15" s="3" t="inlineStr">
        <is>
          <t>Ja = regels met status 'Fictieve aanname' in Invoer_Aanvullend tellen mee in RDFO. Standaard Nee.</t>
        </is>
      </c>
    </row>
    <row r="16">
      <c r="B16" s="34" t="inlineStr">
        <is>
          <t>Import-ID huidige upload</t>
        </is>
      </c>
      <c r="C16" s="95" t="inlineStr">
        <is>
          <t>IMP-2026-Q3-01</t>
        </is>
      </c>
      <c r="D16" s="3" t="inlineStr">
        <is>
          <t>Wordt meegegeven aan elke vastgelegde regel (Vastleggen).</t>
        </is>
      </c>
    </row>
    <row r="17">
      <c r="B17" s="34" t="inlineStr">
        <is>
          <t>Bestandsnaam ZPMW03</t>
        </is>
      </c>
      <c r="C17" s="95" t="inlineStr">
        <is>
          <t>ZPMW03_FICTIEF_20_projecten.xlsx</t>
        </is>
      </c>
      <c r="D17" s="3" t="inlineStr">
        <is>
          <t>Documentatie / audittrail.</t>
        </is>
      </c>
    </row>
    <row r="18">
      <c r="B18" s="34" t="inlineStr">
        <is>
          <t>Bestandsnaam Woningetalage</t>
        </is>
      </c>
      <c r="C18" s="95" t="inlineStr">
        <is>
          <t>Woningetalage_FICTIEF_20_projecten.xlsx</t>
        </is>
      </c>
      <c r="D18" s="3" t="inlineStr">
        <is>
          <t>Documentatie / audittrail.</t>
        </is>
      </c>
    </row>
    <row r="19">
      <c r="B19" s="34" t="inlineStr">
        <is>
          <t>Importdatum</t>
        </is>
      </c>
      <c r="C19" s="97" t="n">
        <v>46324</v>
      </c>
      <c r="D19" s="3" t="inlineStr">
        <is>
          <t>Datum waarop de bronnen in deze werkmap zijn geplakt.</t>
        </is>
      </c>
    </row>
    <row r="20">
      <c r="B20" s="34" t="inlineStr">
        <is>
          <t>Verwacht aantal regels ZPMW03</t>
        </is>
      </c>
      <c r="C20" s="96" t="n">
        <v>20</v>
      </c>
      <c r="D20" s="3" t="inlineStr">
        <is>
          <t>Aantal dataregels volgens het exportbestand. Controle vergelijkt met wat werkelijk geplakt is.</t>
        </is>
      </c>
    </row>
    <row r="21">
      <c r="B21" s="34" t="inlineStr">
        <is>
          <t>Verwacht aantal regels Woningetalage</t>
        </is>
      </c>
      <c r="C21" s="96" t="n">
        <v>20</v>
      </c>
      <c r="D21" s="3" t="inlineStr">
        <is>
          <t>Idem.</t>
        </is>
      </c>
    </row>
    <row r="22">
      <c r="B22" s="34" t="inlineStr">
        <is>
          <t>Status bij vastleggen</t>
        </is>
      </c>
      <c r="C22" s="95" t="inlineStr">
        <is>
          <t>Vastgesteld</t>
        </is>
      </c>
      <c r="D22" s="3" t="inlineStr">
        <is>
          <t>Concept of Vastgesteld. Alleen 'Vastgesteld' telt in de versiekolommen.</t>
        </is>
      </c>
    </row>
    <row r="23">
      <c r="B23" s="34" t="inlineStr">
        <is>
          <t>Toelichting bij correctie (revisie &gt; 0)</t>
        </is>
      </c>
      <c r="C23" s="95" t="inlineStr"/>
      <c r="D23" s="3" t="inlineStr">
        <is>
          <t>Verplicht als je een al vastgestelde versie opnieuw vastlegt.</t>
        </is>
      </c>
    </row>
    <row r="24">
      <c r="B24" s="34" t="inlineStr">
        <is>
          <t>Tolerantie aansluitingen (EUR / aantal)</t>
        </is>
      </c>
      <c r="C24" s="101" t="n">
        <v>1</v>
      </c>
      <c r="D24" s="3" t="inlineStr">
        <is>
          <t>Afrondingsmarge voor controles.</t>
        </is>
      </c>
    </row>
    <row r="26">
      <c r="B26" s="16" t="inlineStr">
        <is>
          <t>Keuzelijsten (gebruikt door validatie en formules)</t>
        </is>
      </c>
      <c r="C26" s="8" t="n"/>
      <c r="D26" s="8" t="n"/>
    </row>
    <row r="27" ht="20" customHeight="1">
      <c r="B27" s="32" t="inlineStr">
        <is>
          <t>Versie</t>
        </is>
      </c>
      <c r="C27" s="33" t="inlineStr">
        <is>
          <t>Volgorde</t>
        </is>
      </c>
      <c r="D27" s="33" t="inlineStr">
        <is>
          <t>Peilmaand (verwacht)</t>
        </is>
      </c>
    </row>
    <row r="28">
      <c r="B28" s="34" t="inlineStr">
        <is>
          <t>Budget</t>
        </is>
      </c>
      <c r="C28" s="102" t="n">
        <v>0</v>
      </c>
      <c r="D28" s="103" t="n">
        <v>12</v>
      </c>
    </row>
    <row r="29">
      <c r="B29" s="34" t="inlineStr">
        <is>
          <t>Q1</t>
        </is>
      </c>
      <c r="C29" s="102" t="n">
        <v>1</v>
      </c>
      <c r="D29" s="103" t="n">
        <v>3</v>
      </c>
    </row>
    <row r="30">
      <c r="B30" s="34" t="inlineStr">
        <is>
          <t>Q2</t>
        </is>
      </c>
      <c r="C30" s="102" t="n">
        <v>2</v>
      </c>
      <c r="D30" s="103" t="n">
        <v>6</v>
      </c>
    </row>
    <row r="31">
      <c r="B31" s="34" t="inlineStr">
        <is>
          <t>Q3</t>
        </is>
      </c>
      <c r="C31" s="102" t="n">
        <v>3</v>
      </c>
      <c r="D31" s="103" t="n">
        <v>9</v>
      </c>
    </row>
    <row r="32">
      <c r="B32" s="34" t="inlineStr">
        <is>
          <t>Q4</t>
        </is>
      </c>
      <c r="C32" s="102" t="n">
        <v>4</v>
      </c>
      <c r="D32" s="103" t="n">
        <v>12</v>
      </c>
    </row>
    <row r="34">
      <c r="B34" s="17" t="inlineStr">
        <is>
          <t>Lijst: TypeList</t>
        </is>
      </c>
      <c r="C34" s="34" t="inlineStr">
        <is>
          <t>Alle</t>
        </is>
      </c>
      <c r="D34" s="34" t="inlineStr">
        <is>
          <t>Opstal</t>
        </is>
      </c>
      <c r="E34" s="34" t="inlineStr">
        <is>
          <t>Deelneming</t>
        </is>
      </c>
    </row>
    <row r="35">
      <c r="B35" s="17" t="inlineStr">
        <is>
          <t>Lijst: EenheidList</t>
        </is>
      </c>
      <c r="C35" s="34" t="inlineStr">
        <is>
          <t>EUR</t>
        </is>
      </c>
      <c r="D35" s="34" t="inlineStr">
        <is>
          <t>EUR x 1.000</t>
        </is>
      </c>
      <c r="E35" s="34" t="inlineStr">
        <is>
          <t>EUR mln</t>
        </is>
      </c>
    </row>
    <row r="36">
      <c r="B36" s="17" t="inlineStr">
        <is>
          <t>Lijst: JaNee</t>
        </is>
      </c>
      <c r="C36" s="34" t="inlineStr">
        <is>
          <t>Ja</t>
        </is>
      </c>
      <c r="D36" s="34" t="inlineStr">
        <is>
          <t>Nee</t>
        </is>
      </c>
    </row>
    <row r="37">
      <c r="B37" s="17" t="inlineStr">
        <is>
          <t>Lijst: StatusList</t>
        </is>
      </c>
      <c r="C37" s="34" t="inlineStr">
        <is>
          <t>Concept</t>
        </is>
      </c>
      <c r="D37" s="34" t="inlineStr">
        <is>
          <t>Vastgesteld</t>
        </is>
      </c>
    </row>
    <row r="38">
      <c r="B38" s="17" t="inlineStr">
        <is>
          <t>Lijst: AanvStatus</t>
        </is>
      </c>
      <c r="C38" s="34" t="inlineStr">
        <is>
          <t>Vastgesteld</t>
        </is>
      </c>
      <c r="D38" s="34" t="inlineStr">
        <is>
          <t>Concept</t>
        </is>
      </c>
      <c r="E38" s="34" t="inlineStr">
        <is>
          <t>Fictieve aanname</t>
        </is>
      </c>
      <c r="F38" s="34" t="inlineStr">
        <is>
          <t>Voorbeeld</t>
        </is>
      </c>
    </row>
    <row r="39">
      <c r="B39" s="17" t="inlineStr">
        <is>
          <t>Lijst: Rubrieken</t>
        </is>
      </c>
      <c r="C39" s="34" t="inlineStr">
        <is>
          <t>Taakstelling omzet</t>
        </is>
      </c>
      <c r="D39" s="34" t="inlineStr">
        <is>
          <t>Interne eliminaties</t>
        </is>
      </c>
      <c r="E39" s="34" t="inlineStr">
        <is>
          <t>IFRS-eliminaties</t>
        </is>
      </c>
      <c r="F39" s="34" t="inlineStr">
        <is>
          <t>AK-dekking</t>
        </is>
      </c>
      <c r="G39" s="34" t="inlineStr">
        <is>
          <t>Fees</t>
        </is>
      </c>
      <c r="H39" s="34" t="inlineStr">
        <is>
          <t>Overige resultaten</t>
        </is>
      </c>
      <c r="I39" s="34" t="inlineStr">
        <is>
          <t>Taakstelling EBIT</t>
        </is>
      </c>
    </row>
    <row r="40">
      <c r="B40" s="17" t="inlineStr">
        <is>
          <t>Lijst: Soort</t>
        </is>
      </c>
      <c r="C40" s="34" t="inlineStr">
        <is>
          <t>FY</t>
        </is>
      </c>
      <c r="D40" s="34" t="inlineStr">
        <is>
          <t>Actual YTD</t>
        </is>
      </c>
    </row>
    <row r="41">
      <c r="B41" s="17" t="inlineStr">
        <is>
          <t>Lijst: Niveau</t>
        </is>
      </c>
      <c r="C41" s="34" t="inlineStr">
        <is>
          <t>Regio</t>
        </is>
      </c>
      <c r="D41" s="34" t="inlineStr">
        <is>
          <t>Project</t>
        </is>
      </c>
    </row>
    <row r="42">
      <c r="B42" s="17" t="inlineStr">
        <is>
          <t>Lijst: doeljaren</t>
        </is>
      </c>
      <c r="C42" s="34">
        <f>P_RJ</f>
        <v>2026</v>
      </c>
      <c r="D42" s="34">
        <f>P_RJ+1</f>
        <v>2027</v>
      </c>
    </row>
    <row r="44">
      <c r="B44" s="17" t="inlineStr">
        <is>
          <t>Lijst: projecten (Alle + mapping)</t>
        </is>
      </c>
      <c r="C44" s="34" t="inlineStr">
        <is>
          <t>Alle</t>
        </is>
      </c>
    </row>
    <row r="45">
      <c r="C45" s="5" t="str">
        <f>IF(Mapping!$C$5="","",Mapping!$C$5)</f>
        <v>Lindehaven, Parkzoom fase 1</v>
      </c>
    </row>
    <row r="46">
      <c r="C46" s="5" t="str">
        <f>IF(Mapping!$C$6="","",Mapping!$C$6)</f>
        <v>Duinwaard, De Watergaarde</v>
      </c>
    </row>
    <row r="47">
      <c r="C47" s="5" t="str">
        <f>IF(Mapping!$C$7="","",Mapping!$C$7)</f>
        <v>Veldendam, Stationshof</v>
      </c>
    </row>
    <row r="48">
      <c r="C48" s="5" t="str">
        <f>IF(Mapping!$C$8="","",Mapping!$C$8)</f>
        <v>Meerhovenstad, Het Kompas</v>
      </c>
    </row>
    <row r="49">
      <c r="C49" s="5" t="str">
        <f>IF(Mapping!$C$9="","",Mapping!$C$9)</f>
        <v>Zilverdam, Kadezicht</v>
      </c>
    </row>
    <row r="50">
      <c r="C50" s="5" t="str">
        <f>IF(Mapping!$C$10="","",Mapping!$C$10)</f>
        <v>Boswaard, De Eiken</v>
      </c>
    </row>
    <row r="51">
      <c r="C51" s="5" t="str">
        <f>IF(Mapping!$C$11="","",Mapping!$C$11)</f>
        <v>Rietdam, Havenkwartier</v>
      </c>
    </row>
    <row r="52">
      <c r="C52" s="5" t="str">
        <f>IF(Mapping!$C$12="","",Mapping!$C$12)</f>
        <v>Lindehaven, De Brink</v>
      </c>
    </row>
    <row r="53">
      <c r="C53" s="5" t="str">
        <f>IF(Mapping!$C$13="","",Mapping!$C$13)</f>
        <v>Duinwaard, Duinrand</v>
      </c>
    </row>
    <row r="54">
      <c r="C54" s="5" t="str">
        <f>IF(Mapping!$C$14="","",Mapping!$C$14)</f>
        <v>Veldendam, Groene Singel</v>
      </c>
    </row>
    <row r="55">
      <c r="C55" s="5" t="str">
        <f>IF(Mapping!$C$15="","",Mapping!$C$15)</f>
        <v>Meerhovenstad, Hofstaete</v>
      </c>
    </row>
    <row r="56">
      <c r="C56" s="5" t="str">
        <f>IF(Mapping!$C$16="","",Mapping!$C$16)</f>
        <v>Zilverdam, De Werf</v>
      </c>
    </row>
    <row r="57">
      <c r="C57" s="5" t="str">
        <f>IF(Mapping!$C$17="","",Mapping!$C$17)</f>
        <v>Boswaard, Boskamers</v>
      </c>
    </row>
    <row r="58">
      <c r="C58" s="5" t="str">
        <f>IF(Mapping!$C$18="","",Mapping!$C$18)</f>
        <v>Rietdam, Rietoevers</v>
      </c>
    </row>
    <row r="59">
      <c r="C59" s="5" t="str">
        <f>IF(Mapping!$C$19="","",Mapping!$C$19)</f>
        <v>Lindehaven, Parkzoom fase 2</v>
      </c>
    </row>
    <row r="60">
      <c r="C60" s="5" t="str">
        <f>IF(Mapping!$C$20="","",Mapping!$C$20)</f>
        <v>Duinwaard, De Lantaarn</v>
      </c>
    </row>
    <row r="61">
      <c r="C61" s="5" t="str">
        <f>IF(Mapping!$C$21="","",Mapping!$C$21)</f>
        <v>Veldendam, Spoorpark</v>
      </c>
    </row>
    <row r="62">
      <c r="C62" s="5" t="str">
        <f>IF(Mapping!$C$22="","",Mapping!$C$22)</f>
        <v>Meerhovenstad, De Boog</v>
      </c>
    </row>
    <row r="63">
      <c r="C63" s="5" t="str">
        <f>IF(Mapping!$C$23="","",Mapping!$C$23)</f>
        <v>Zilverdam, Havenlicht</v>
      </c>
    </row>
    <row r="64">
      <c r="C64" s="5" t="str">
        <f>IF(Mapping!$C$24="","",Mapping!$C$24)</f>
        <v>Boswaard, Parkeergebouw</v>
      </c>
    </row>
    <row r="65">
      <c r="C65" s="5" t="str">
        <f>IF(Mapping!$C$25="","",Mapping!$C$25)</f>
        <v/>
      </c>
    </row>
    <row r="66">
      <c r="C66" s="5" t="str">
        <f>IF(Mapping!$C$26="","",Mapping!$C$26)</f>
        <v/>
      </c>
    </row>
    <row r="67">
      <c r="C67" s="5" t="str">
        <f>IF(Mapping!$C$27="","",Mapping!$C$27)</f>
        <v/>
      </c>
    </row>
    <row r="68">
      <c r="C68" s="5" t="str">
        <f>IF(Mapping!$C$28="","",Mapping!$C$28)</f>
        <v/>
      </c>
    </row>
    <row r="69">
      <c r="C69" s="5" t="str">
        <f>IF(Mapping!$C$29="","",Mapping!$C$29)</f>
        <v/>
      </c>
    </row>
    <row r="70">
      <c r="C70" s="5" t="str">
        <f>IF(Mapping!$C$30="","",Mapping!$C$30)</f>
        <v/>
      </c>
    </row>
    <row r="71">
      <c r="C71" s="5" t="str">
        <f>IF(Mapping!$C$31="","",Mapping!$C$31)</f>
        <v/>
      </c>
    </row>
    <row r="72">
      <c r="C72" s="5" t="str">
        <f>IF(Mapping!$C$32="","",Mapping!$C$32)</f>
        <v/>
      </c>
    </row>
    <row r="73">
      <c r="C73" s="5" t="str">
        <f>IF(Mapping!$C$33="","",Mapping!$C$33)</f>
        <v/>
      </c>
    </row>
    <row r="74">
      <c r="C74" s="5" t="str">
        <f>IF(Mapping!$C$34="","",Mapping!$C$34)</f>
        <v/>
      </c>
    </row>
    <row r="75">
      <c r="C75" s="5" t="str">
        <f>IF(Mapping!$C$35="","",Mapping!$C$35)</f>
        <v/>
      </c>
    </row>
    <row r="76">
      <c r="C76" s="5" t="str">
        <f>IF(Mapping!$C$36="","",Mapping!$C$36)</f>
        <v/>
      </c>
    </row>
    <row r="77">
      <c r="C77" s="5" t="str">
        <f>IF(Mapping!$C$37="","",Mapping!$C$37)</f>
        <v/>
      </c>
    </row>
    <row r="78">
      <c r="C78" s="5" t="str">
        <f>IF(Mapping!$C$38="","",Mapping!$C$38)</f>
        <v/>
      </c>
    </row>
    <row r="79">
      <c r="C79" s="5" t="str">
        <f>IF(Mapping!$C$39="","",Mapping!$C$39)</f>
        <v/>
      </c>
    </row>
    <row r="80">
      <c r="C80" s="5" t="str">
        <f>IF(Mapping!$C$40="","",Mapping!$C$40)</f>
        <v/>
      </c>
    </row>
    <row r="81">
      <c r="C81" s="5" t="str">
        <f>IF(Mapping!$C$41="","",Mapping!$C$41)</f>
        <v/>
      </c>
    </row>
    <row r="82">
      <c r="C82" s="5" t="str">
        <f>IF(Mapping!$C$42="","",Mapping!$C$42)</f>
        <v/>
      </c>
    </row>
    <row r="83">
      <c r="C83" s="5" t="str">
        <f>IF(Mapping!$C$43="","",Mapping!$C$43)</f>
        <v/>
      </c>
    </row>
    <row r="84">
      <c r="C84" s="5" t="str">
        <f>IF(Mapping!$C$44="","",Mapping!$C$44)</f>
        <v/>
      </c>
    </row>
    <row r="85">
      <c r="C85" s="5" t="str">
        <f>IF(Mapping!$C$45="","",Mapping!$C$45)</f>
        <v/>
      </c>
    </row>
    <row r="86">
      <c r="C86" s="5" t="str">
        <f>IF(Mapping!$C$46="","",Mapping!$C$46)</f>
        <v/>
      </c>
    </row>
    <row r="87">
      <c r="C87" s="5" t="str">
        <f>IF(Mapping!$C$47="","",Mapping!$C$47)</f>
        <v/>
      </c>
    </row>
    <row r="88">
      <c r="C88" s="5" t="str">
        <f>IF(Mapping!$C$48="","",Mapping!$C$48)</f>
        <v/>
      </c>
    </row>
    <row r="89">
      <c r="C89" s="5" t="str">
        <f>IF(Mapping!$C$49="","",Mapping!$C$49)</f>
        <v/>
      </c>
    </row>
    <row r="90">
      <c r="C90" s="5" t="str">
        <f>IF(Mapping!$C$50="","",Mapping!$C$50)</f>
        <v/>
      </c>
    </row>
    <row r="91">
      <c r="C91" s="5" t="str">
        <f>IF(Mapping!$C$51="","",Mapping!$C$51)</f>
        <v/>
      </c>
    </row>
    <row r="92">
      <c r="C92" s="5" t="str">
        <f>IF(Mapping!$C$52="","",Mapping!$C$52)</f>
        <v/>
      </c>
    </row>
    <row r="93">
      <c r="C93" s="5" t="str">
        <f>IF(Mapping!$C$53="","",Mapping!$C$53)</f>
        <v/>
      </c>
    </row>
    <row r="94">
      <c r="C94" s="5" t="str">
        <f>IF(Mapping!$C$54="","",Mapping!$C$54)</f>
        <v/>
      </c>
    </row>
    <row r="95">
      <c r="C95" s="5" t="str">
        <f>IF(Mapping!$C$55="","",Mapping!$C$55)</f>
        <v/>
      </c>
    </row>
    <row r="96">
      <c r="C96" s="5" t="str">
        <f>IF(Mapping!$C$56="","",Mapping!$C$56)</f>
        <v/>
      </c>
    </row>
    <row r="97">
      <c r="C97" s="5" t="str">
        <f>IF(Mapping!$C$57="","",Mapping!$C$57)</f>
        <v/>
      </c>
    </row>
    <row r="98">
      <c r="C98" s="5" t="str">
        <f>IF(Mapping!$C$58="","",Mapping!$C$58)</f>
        <v/>
      </c>
    </row>
    <row r="99">
      <c r="C99" s="5" t="str">
        <f>IF(Mapping!$C$59="","",Mapping!$C$59)</f>
        <v/>
      </c>
    </row>
    <row r="100">
      <c r="C100" s="5" t="str">
        <f>IF(Mapping!$C$60="","",Mapping!$C$60)</f>
        <v/>
      </c>
    </row>
    <row r="101">
      <c r="C101" s="5" t="str">
        <f>IF(Mapping!$C$61="","",Mapping!$C$61)</f>
        <v/>
      </c>
    </row>
    <row r="102">
      <c r="C102" s="5" t="str">
        <f>IF(Mapping!$C$62="","",Mapping!$C$62)</f>
        <v/>
      </c>
    </row>
    <row r="103">
      <c r="C103" s="5" t="str">
        <f>IF(Mapping!$C$63="","",Mapping!$C$63)</f>
        <v/>
      </c>
    </row>
    <row r="104">
      <c r="C104" s="5" t="str">
        <f>IF(Mapping!$C$64="","",Mapping!$C$64)</f>
        <v/>
      </c>
    </row>
    <row r="105">
      <c r="C105" s="5" t="str">
        <f>IF(Mapping!$C$65="","",Mapping!$C$65)</f>
        <v/>
      </c>
    </row>
    <row r="106">
      <c r="C106" s="5" t="str">
        <f>IF(Mapping!$C$66="","",Mapping!$C$66)</f>
        <v/>
      </c>
    </row>
    <row r="107">
      <c r="C107" s="5" t="str">
        <f>IF(Mapping!$C$67="","",Mapping!$C$67)</f>
        <v/>
      </c>
    </row>
    <row r="108">
      <c r="C108" s="5" t="str">
        <f>IF(Mapping!$C$68="","",Mapping!$C$68)</f>
        <v/>
      </c>
    </row>
    <row r="109">
      <c r="C109" s="5" t="str">
        <f>IF(Mapping!$C$69="","",Mapping!$C$69)</f>
        <v/>
      </c>
    </row>
    <row r="110">
      <c r="C110" s="5" t="str">
        <f>IF(Mapping!$C$70="","",Mapping!$C$70)</f>
        <v/>
      </c>
    </row>
    <row r="111">
      <c r="C111" s="5" t="str">
        <f>IF(Mapping!$C$71="","",Mapping!$C$71)</f>
        <v/>
      </c>
    </row>
    <row r="112">
      <c r="C112" s="5" t="str">
        <f>IF(Mapping!$C$72="","",Mapping!$C$72)</f>
        <v/>
      </c>
    </row>
    <row r="113">
      <c r="C113" s="5" t="str">
        <f>IF(Mapping!$C$73="","",Mapping!$C$73)</f>
        <v/>
      </c>
    </row>
    <row r="114">
      <c r="C114" s="5" t="str">
        <f>IF(Mapping!$C$74="","",Mapping!$C$74)</f>
        <v/>
      </c>
    </row>
    <row r="115">
      <c r="C115" s="5" t="str">
        <f>IF(Mapping!$C$75="","",Mapping!$C$75)</f>
        <v/>
      </c>
    </row>
    <row r="116">
      <c r="C116" s="5" t="str">
        <f>IF(Mapping!$C$76="","",Mapping!$C$76)</f>
        <v/>
      </c>
    </row>
    <row r="117">
      <c r="C117" s="5" t="str">
        <f>IF(Mapping!$C$77="","",Mapping!$C$77)</f>
        <v/>
      </c>
    </row>
    <row r="118">
      <c r="C118" s="5" t="str">
        <f>IF(Mapping!$C$78="","",Mapping!$C$78)</f>
        <v/>
      </c>
    </row>
    <row r="119">
      <c r="C119" s="5" t="str">
        <f>IF(Mapping!$C$79="","",Mapping!$C$79)</f>
        <v/>
      </c>
    </row>
    <row r="120">
      <c r="C120" s="5" t="str">
        <f>IF(Mapping!$C$80="","",Mapping!$C$80)</f>
        <v/>
      </c>
    </row>
    <row r="121">
      <c r="C121" s="5" t="str">
        <f>IF(Mapping!$C$81="","",Mapping!$C$81)</f>
        <v/>
      </c>
    </row>
    <row r="122">
      <c r="C122" s="5" t="str">
        <f>IF(Mapping!$C$82="","",Mapping!$C$82)</f>
        <v/>
      </c>
    </row>
    <row r="123">
      <c r="C123" s="5" t="str">
        <f>IF(Mapping!$C$83="","",Mapping!$C$83)</f>
        <v/>
      </c>
    </row>
    <row r="124">
      <c r="C124" s="5" t="str">
        <f>IF(Mapping!$C$84="","",Mapping!$C$84)</f>
        <v/>
      </c>
    </row>
    <row r="125">
      <c r="C125" s="5" t="str">
        <f>IF(Mapping!$C$85="","",Mapping!$C$85)</f>
        <v/>
      </c>
    </row>
    <row r="126">
      <c r="C126" s="5" t="str">
        <f>IF(Mapping!$C$86="","",Mapping!$C$86)</f>
        <v/>
      </c>
    </row>
    <row r="127">
      <c r="C127" s="5" t="str">
        <f>IF(Mapping!$C$87="","",Mapping!$C$87)</f>
        <v/>
      </c>
    </row>
    <row r="128">
      <c r="C128" s="5" t="str">
        <f>IF(Mapping!$C$88="","",Mapping!$C$88)</f>
        <v/>
      </c>
    </row>
    <row r="129">
      <c r="C129" s="5" t="str">
        <f>IF(Mapping!$C$89="","",Mapping!$C$89)</f>
        <v/>
      </c>
    </row>
    <row r="130">
      <c r="C130" s="5" t="str">
        <f>IF(Mapping!$C$90="","",Mapping!$C$90)</f>
        <v/>
      </c>
    </row>
    <row r="131">
      <c r="C131" s="5" t="str">
        <f>IF(Mapping!$C$91="","",Mapping!$C$91)</f>
        <v/>
      </c>
    </row>
    <row r="132">
      <c r="C132" s="5" t="str">
        <f>IF(Mapping!$C$92="","",Mapping!$C$92)</f>
        <v/>
      </c>
    </row>
    <row r="133">
      <c r="C133" s="5" t="str">
        <f>IF(Mapping!$C$93="","",Mapping!$C$93)</f>
        <v/>
      </c>
    </row>
    <row r="134">
      <c r="C134" s="5" t="str">
        <f>IF(Mapping!$C$94="","",Mapping!$C$94)</f>
        <v/>
      </c>
    </row>
    <row r="135">
      <c r="C135" s="5" t="str">
        <f>IF(Mapping!$C$95="","",Mapping!$C$95)</f>
        <v/>
      </c>
    </row>
    <row r="136">
      <c r="C136" s="5" t="str">
        <f>IF(Mapping!$C$96="","",Mapping!$C$96)</f>
        <v/>
      </c>
    </row>
    <row r="137">
      <c r="C137" s="5" t="str">
        <f>IF(Mapping!$C$97="","",Mapping!$C$97)</f>
        <v/>
      </c>
    </row>
    <row r="138">
      <c r="C138" s="5" t="str">
        <f>IF(Mapping!$C$98="","",Mapping!$C$98)</f>
        <v/>
      </c>
    </row>
    <row r="139">
      <c r="C139" s="5" t="str">
        <f>IF(Mapping!$C$99="","",Mapping!$C$99)</f>
        <v/>
      </c>
    </row>
    <row r="140">
      <c r="C140" s="5" t="str">
        <f>IF(Mapping!$C$100="","",Mapping!$C$100)</f>
        <v/>
      </c>
    </row>
    <row r="141">
      <c r="C141" s="5" t="str">
        <f>IF(Mapping!$C$101="","",Mapping!$C$101)</f>
        <v/>
      </c>
    </row>
    <row r="142">
      <c r="C142" s="5" t="str">
        <f>IF(Mapping!$C$102="","",Mapping!$C$102)</f>
        <v/>
      </c>
    </row>
    <row r="143">
      <c r="C143" s="5" t="str">
        <f>IF(Mapping!$C$103="","",Mapping!$C$103)</f>
        <v/>
      </c>
    </row>
    <row r="144">
      <c r="C144" s="5" t="str">
        <f>IF(Mapping!$C$104="","",Mapping!$C$104)</f>
        <v/>
      </c>
    </row>
  </sheetData>
  <dataValidations count="4">
    <dataValidation sqref="C11" showDropDown="0" showInputMessage="0" showErrorMessage="1" allowBlank="1" error="Kies een waarde uit de lijst." type="list">
      <formula1>V_List</formula1>
    </dataValidation>
    <dataValidation sqref="C13" showDropDown="0" showInputMessage="0" showErrorMessage="1" allowBlank="1" error="Kies een waarde uit de lijst." type="list">
      <formula1>L_EenheidList</formula1>
    </dataValidation>
    <dataValidation sqref="C15" showDropDown="0" showInputMessage="0" showErrorMessage="1" allowBlank="1" error="Kies een waarde uit de lijst." type="list">
      <formula1>L_JaNee</formula1>
    </dataValidation>
    <dataValidation sqref="C22" showDropDown="0" showInputMessage="0" showErrorMessage="1" allowBlank="1" error="Kies een waarde uit de lijst." type="list">
      <formula1>L_StatusList</formula1>
    </dataValidation>
  </dataValidations>
  <pageMargins left="0.75" right="0.75" top="1" bottom="1" header="0.5" footer="0.5"/>
</worksheet>
</file>

<file path=xl/worksheets/sheet9.xml><?xml version="1.0" encoding="utf-8"?>
<worksheet xmlns="http://schemas.openxmlformats.org/spreadsheetml/2006/main">
  <sheetPr>
    <tabColor rgb="001F4E9A"/>
    <outlinePr summaryBelow="1" summaryRight="1"/>
    <pageSetUpPr/>
  </sheetPr>
  <dimension ref="A1:O505"/>
  <sheetViews>
    <sheetView showGridLines="0" zoomScale="90" workbookViewId="0">
      <pane ySplit="5" topLeftCell="A6" activePane="bottomLeft" state="frozen"/>
      <selection pane="bottomLeft" activeCell="A1" sqref="A1"/>
    </sheetView>
  </sheetViews>
  <sheetFormatPr baseColWidth="8" defaultRowHeight="15"/>
  <cols>
    <col width="8" customWidth="1" min="1" max="1"/>
    <col width="9" customWidth="1" min="2" max="2"/>
    <col width="7" customWidth="1" min="3" max="3"/>
    <col width="8" customWidth="1" min="4" max="4"/>
    <col width="16" customWidth="1" min="5" max="5"/>
    <col width="20" customWidth="1" min="6" max="6"/>
    <col width="10" customWidth="1" min="7" max="7"/>
    <col width="13" customWidth="1" min="8" max="8"/>
    <col width="7" customWidth="1" min="9" max="9"/>
    <col width="15" customWidth="1" min="10" max="10"/>
    <col width="48" customWidth="1" min="11" max="11"/>
    <col width="14" customWidth="1" min="12" max="12"/>
    <col width="9" customWidth="1" min="13" max="13"/>
    <col width="9" customWidth="1" min="14" max="14"/>
    <col width="10" customWidth="1" min="15" max="15"/>
  </cols>
  <sheetData>
    <row r="1" ht="28" customHeight="1">
      <c r="A1" s="1" t="n"/>
      <c r="B1" s="2" t="inlineStr">
        <is>
          <t>Aanvullende invoer RDFO</t>
        </is>
      </c>
      <c r="C1" s="1" t="n"/>
      <c r="D1" s="1" t="n"/>
      <c r="E1" s="1" t="n"/>
      <c r="F1" s="1" t="n"/>
      <c r="G1" s="1" t="n"/>
      <c r="H1" s="1" t="n"/>
      <c r="I1" s="1" t="n"/>
      <c r="J1" s="1" t="n"/>
      <c r="K1" s="1" t="n"/>
      <c r="L1" s="1" t="n"/>
      <c r="M1" s="1" t="n"/>
      <c r="N1" s="1" t="n"/>
      <c r="O1" s="1" t="n"/>
    </row>
    <row r="2">
      <c r="B2" s="3" t="inlineStr">
        <is>
          <t>Posten die NIET uit ZPMW03/Woningetalage komen. Leeg = 'n.b.' in de rapportage (nooit stil nul). Bedragen in EUR, managementteken (+ verhoogt omzet/resultaat).</t>
        </is>
      </c>
    </row>
    <row r="3">
      <c r="B3" s="3" t="inlineStr">
        <is>
          <t>Legenda status: Vastgesteld = telt in vastgelegde versiekolommen · Concept = telt alleen in kolom 'Upload (concept)' · Fictieve aanname = telt alleen als Parameters › P_Demo = Ja · Voorbeeld = telt nooit.</t>
        </is>
      </c>
    </row>
    <row r="5" ht="32" customHeight="1">
      <c r="A5" s="32" t="inlineStr">
        <is>
          <t>Doeljaar</t>
        </is>
      </c>
      <c r="B5" s="33" t="inlineStr">
        <is>
          <t>Versiejaar</t>
        </is>
      </c>
      <c r="C5" s="33" t="inlineStr">
        <is>
          <t>Versie</t>
        </is>
      </c>
      <c r="D5" s="33" t="inlineStr">
        <is>
          <t>Niveau</t>
        </is>
      </c>
      <c r="E5" s="33" t="inlineStr">
        <is>
          <t>WBS-element</t>
        </is>
      </c>
      <c r="F5" s="33" t="inlineStr">
        <is>
          <t>Rubriek</t>
        </is>
      </c>
      <c r="G5" s="33" t="inlineStr">
        <is>
          <t>Soort</t>
        </is>
      </c>
      <c r="H5" s="33" t="inlineStr">
        <is>
          <t>Waarde</t>
        </is>
      </c>
      <c r="I5" s="33" t="inlineStr">
        <is>
          <t>Eenheid</t>
        </is>
      </c>
      <c r="J5" s="33" t="inlineStr">
        <is>
          <t>Status</t>
        </is>
      </c>
      <c r="K5" s="33" t="inlineStr">
        <is>
          <t>Toelichting</t>
        </is>
      </c>
      <c r="L5" s="33" t="inlineStr">
        <is>
          <t>Bron / eigenaar</t>
        </is>
      </c>
      <c r="M5" s="104" t="inlineStr">
        <is>
          <t>Telt vastgesteld</t>
        </is>
      </c>
      <c r="N5" s="104" t="inlineStr">
        <is>
          <t>Telt concept</t>
        </is>
      </c>
      <c r="O5" s="104" t="inlineStr">
        <is>
          <t>Conflict regio/project</t>
        </is>
      </c>
    </row>
    <row r="6">
      <c r="A6" s="105" t="n">
        <v>2026</v>
      </c>
      <c r="B6" s="105" t="n">
        <v>2026</v>
      </c>
      <c r="C6" s="105" t="inlineStr">
        <is>
          <t>Q3</t>
        </is>
      </c>
      <c r="D6" s="105" t="inlineStr">
        <is>
          <t>Regio</t>
        </is>
      </c>
      <c r="E6" s="105" t="n"/>
      <c r="F6" s="105" t="inlineStr">
        <is>
          <t>Taakstelling omzet</t>
        </is>
      </c>
      <c r="G6" s="105" t="inlineStr">
        <is>
          <t>FY</t>
        </is>
      </c>
      <c r="H6" s="106" t="n">
        <v>2000000</v>
      </c>
      <c r="I6" s="105" t="inlineStr">
        <is>
          <t>EUR</t>
        </is>
      </c>
      <c r="J6" s="105" t="inlineStr">
        <is>
          <t>Fictieve aanname</t>
        </is>
      </c>
      <c r="K6" s="105" t="inlineStr">
        <is>
          <t>DEMO-scenario, zelfgekozen waarde — geen bron</t>
        </is>
      </c>
      <c r="L6" s="105" t="inlineStr">
        <is>
          <t>Demo</t>
        </is>
      </c>
      <c r="M6" s="15">
        <f>IF(H6="","",IF(OR(J6="Vastgesteld",AND(J6="Fictieve aanname",P_Demo="Ja")),1,0))</f>
        <v>0</v>
      </c>
      <c r="N6" s="15">
        <f>IF(H6="","",IF(OR(J6="Vastgesteld",J6="Concept",AND(J6="Fictieve aanname",P_Demo="Ja")),1,0))</f>
        <v>0</v>
      </c>
      <c r="O6" s="15">
        <f>IF(H6="","",IF(COUNTIFS($A$6:$A$505,A6,$B$6:$B$505,B6,$C$6:$C$505,C6,$F$6:$F$505,F6,$G$6:$G$505,G6,$D$6:$D$505,"&lt;&gt;"&amp;D6,$H$6:$H$505,"&lt;&gt;")&gt;0,1,0))</f>
        <v>0</v>
      </c>
    </row>
    <row r="7">
      <c r="A7" s="105" t="n">
        <v>2026</v>
      </c>
      <c r="B7" s="105" t="n">
        <v>2026</v>
      </c>
      <c r="C7" s="105" t="inlineStr">
        <is>
          <t>Q3</t>
        </is>
      </c>
      <c r="D7" s="105" t="inlineStr">
        <is>
          <t>Regio</t>
        </is>
      </c>
      <c r="E7" s="105" t="n"/>
      <c r="F7" s="105" t="inlineStr">
        <is>
          <t>Interne eliminaties</t>
        </is>
      </c>
      <c r="G7" s="105" t="inlineStr">
        <is>
          <t>FY</t>
        </is>
      </c>
      <c r="H7" s="106" t="n">
        <v>-350000</v>
      </c>
      <c r="I7" s="105" t="inlineStr">
        <is>
          <t>EUR</t>
        </is>
      </c>
      <c r="J7" s="105" t="inlineStr">
        <is>
          <t>Fictieve aanname</t>
        </is>
      </c>
      <c r="K7" s="105" t="inlineStr">
        <is>
          <t>DEMO-scenario, zelfgekozen waarde — geen bron</t>
        </is>
      </c>
      <c r="L7" s="105" t="inlineStr">
        <is>
          <t>Demo</t>
        </is>
      </c>
      <c r="M7" s="15">
        <f>IF(H7="","",IF(OR(J7="Vastgesteld",AND(J7="Fictieve aanname",P_Demo="Ja")),1,0))</f>
        <v>0</v>
      </c>
      <c r="N7" s="15">
        <f>IF(H7="","",IF(OR(J7="Vastgesteld",J7="Concept",AND(J7="Fictieve aanname",P_Demo="Ja")),1,0))</f>
        <v>0</v>
      </c>
      <c r="O7" s="15">
        <f>IF(H7="","",IF(COUNTIFS($A$6:$A$505,A7,$B$6:$B$505,B7,$C$6:$C$505,C7,$F$6:$F$505,F7,$G$6:$G$505,G7,$D$6:$D$505,"&lt;&gt;"&amp;D7,$H$6:$H$505,"&lt;&gt;")&gt;0,1,0))</f>
        <v>0</v>
      </c>
    </row>
    <row r="8">
      <c r="A8" s="105" t="n">
        <v>2026</v>
      </c>
      <c r="B8" s="105" t="n">
        <v>2026</v>
      </c>
      <c r="C8" s="105" t="inlineStr">
        <is>
          <t>Q3</t>
        </is>
      </c>
      <c r="D8" s="105" t="inlineStr">
        <is>
          <t>Regio</t>
        </is>
      </c>
      <c r="E8" s="105" t="n"/>
      <c r="F8" s="105" t="inlineStr">
        <is>
          <t>AK-dekking</t>
        </is>
      </c>
      <c r="G8" s="105" t="inlineStr">
        <is>
          <t>FY</t>
        </is>
      </c>
      <c r="H8" s="106" t="n">
        <v>-1400000</v>
      </c>
      <c r="I8" s="105" t="inlineStr">
        <is>
          <t>EUR</t>
        </is>
      </c>
      <c r="J8" s="105" t="inlineStr">
        <is>
          <t>Fictieve aanname</t>
        </is>
      </c>
      <c r="K8" s="105" t="inlineStr">
        <is>
          <t>DEMO-scenario: vast bedrag, GEEN generiek AK-percentage</t>
        </is>
      </c>
      <c r="L8" s="105" t="inlineStr">
        <is>
          <t>Demo</t>
        </is>
      </c>
      <c r="M8" s="15">
        <f>IF(H8="","",IF(OR(J8="Vastgesteld",AND(J8="Fictieve aanname",P_Demo="Ja")),1,0))</f>
        <v>0</v>
      </c>
      <c r="N8" s="15">
        <f>IF(H8="","",IF(OR(J8="Vastgesteld",J8="Concept",AND(J8="Fictieve aanname",P_Demo="Ja")),1,0))</f>
        <v>0</v>
      </c>
      <c r="O8" s="15">
        <f>IF(H8="","",IF(COUNTIFS($A$6:$A$505,A8,$B$6:$B$505,B8,$C$6:$C$505,C8,$F$6:$F$505,F8,$G$6:$G$505,G8,$D$6:$D$505,"&lt;&gt;"&amp;D8,$H$6:$H$505,"&lt;&gt;")&gt;0,1,0))</f>
        <v>0</v>
      </c>
    </row>
    <row r="9">
      <c r="A9" s="105" t="n">
        <v>2026</v>
      </c>
      <c r="B9" s="105" t="n">
        <v>2026</v>
      </c>
      <c r="C9" s="105" t="inlineStr">
        <is>
          <t>Q3</t>
        </is>
      </c>
      <c r="D9" s="105" t="inlineStr">
        <is>
          <t>Regio</t>
        </is>
      </c>
      <c r="E9" s="105" t="n"/>
      <c r="F9" s="105" t="inlineStr">
        <is>
          <t>Fees</t>
        </is>
      </c>
      <c r="G9" s="105" t="inlineStr">
        <is>
          <t>FY</t>
        </is>
      </c>
      <c r="H9" s="106" t="n">
        <v>300000</v>
      </c>
      <c r="I9" s="105" t="inlineStr">
        <is>
          <t>EUR</t>
        </is>
      </c>
      <c r="J9" s="105" t="inlineStr">
        <is>
          <t>Fictieve aanname</t>
        </is>
      </c>
      <c r="K9" s="105" t="inlineStr">
        <is>
          <t>DEMO-scenario, zelfgekozen waarde — geen bron</t>
        </is>
      </c>
      <c r="L9" s="105" t="inlineStr">
        <is>
          <t>Demo</t>
        </is>
      </c>
      <c r="M9" s="15">
        <f>IF(H9="","",IF(OR(J9="Vastgesteld",AND(J9="Fictieve aanname",P_Demo="Ja")),1,0))</f>
        <v>0</v>
      </c>
      <c r="N9" s="15">
        <f>IF(H9="","",IF(OR(J9="Vastgesteld",J9="Concept",AND(J9="Fictieve aanname",P_Demo="Ja")),1,0))</f>
        <v>0</v>
      </c>
      <c r="O9" s="15">
        <f>IF(H9="","",IF(COUNTIFS($A$6:$A$505,A9,$B$6:$B$505,B9,$C$6:$C$505,C9,$F$6:$F$505,F9,$G$6:$G$505,G9,$D$6:$D$505,"&lt;&gt;"&amp;D9,$H$6:$H$505,"&lt;&gt;")&gt;0,1,0))</f>
        <v>0</v>
      </c>
    </row>
    <row r="10">
      <c r="A10" s="105" t="n">
        <v>2026</v>
      </c>
      <c r="B10" s="105" t="n">
        <v>2026</v>
      </c>
      <c r="C10" s="105" t="inlineStr">
        <is>
          <t>Q3</t>
        </is>
      </c>
      <c r="D10" s="105" t="inlineStr">
        <is>
          <t>Regio</t>
        </is>
      </c>
      <c r="E10" s="105" t="n"/>
      <c r="F10" s="105" t="inlineStr">
        <is>
          <t>Taakstelling EBIT</t>
        </is>
      </c>
      <c r="G10" s="105" t="inlineStr">
        <is>
          <t>FY</t>
        </is>
      </c>
      <c r="H10" s="106" t="n">
        <v>150000</v>
      </c>
      <c r="I10" s="105" t="inlineStr">
        <is>
          <t>EUR</t>
        </is>
      </c>
      <c r="J10" s="105" t="inlineStr">
        <is>
          <t>Fictieve aanname</t>
        </is>
      </c>
      <c r="K10" s="105" t="inlineStr">
        <is>
          <t>DEMO-scenario, zelfgekozen waarde — geen bron</t>
        </is>
      </c>
      <c r="L10" s="105" t="inlineStr">
        <is>
          <t>Demo</t>
        </is>
      </c>
      <c r="M10" s="15">
        <f>IF(H10="","",IF(OR(J10="Vastgesteld",AND(J10="Fictieve aanname",P_Demo="Ja")),1,0))</f>
        <v>0</v>
      </c>
      <c r="N10" s="15">
        <f>IF(H10="","",IF(OR(J10="Vastgesteld",J10="Concept",AND(J10="Fictieve aanname",P_Demo="Ja")),1,0))</f>
        <v>0</v>
      </c>
      <c r="O10" s="15">
        <f>IF(H10="","",IF(COUNTIFS($A$6:$A$505,A10,$B$6:$B$505,B10,$C$6:$C$505,C10,$F$6:$F$505,F10,$G$6:$G$505,G10,$D$6:$D$505,"&lt;&gt;"&amp;D10,$H$6:$H$505,"&lt;&gt;")&gt;0,1,0))</f>
        <v>0</v>
      </c>
    </row>
    <row r="11">
      <c r="A11" s="105" t="n">
        <v>2026</v>
      </c>
      <c r="B11" s="105" t="n">
        <v>2026</v>
      </c>
      <c r="C11" s="105" t="inlineStr">
        <is>
          <t>Q3</t>
        </is>
      </c>
      <c r="D11" s="105" t="inlineStr">
        <is>
          <t>Project</t>
        </is>
      </c>
      <c r="E11" s="105" t="inlineStr">
        <is>
          <t>G.900004.8.9090</t>
        </is>
      </c>
      <c r="F11" s="105" t="inlineStr">
        <is>
          <t>IFRS-eliminaties</t>
        </is>
      </c>
      <c r="G11" s="105" t="inlineStr">
        <is>
          <t>FY</t>
        </is>
      </c>
      <c r="H11" s="106" t="n">
        <v>-100000</v>
      </c>
      <c r="I11" s="105" t="inlineStr">
        <is>
          <t>EUR</t>
        </is>
      </c>
      <c r="J11" s="105" t="inlineStr">
        <is>
          <t>Voorbeeld</t>
        </is>
      </c>
      <c r="K11" s="105" t="inlineStr">
        <is>
          <t>VOORBEELDREGEL (formaat) — telt nooit mee</t>
        </is>
      </c>
      <c r="L11" s="105" t="inlineStr">
        <is>
          <t>Voorbeeld</t>
        </is>
      </c>
      <c r="M11" s="15">
        <f>IF(H11="","",IF(OR(J11="Vastgesteld",AND(J11="Fictieve aanname",P_Demo="Ja")),1,0))</f>
        <v>0</v>
      </c>
      <c r="N11" s="15">
        <f>IF(H11="","",IF(OR(J11="Vastgesteld",J11="Concept",AND(J11="Fictieve aanname",P_Demo="Ja")),1,0))</f>
        <v>0</v>
      </c>
      <c r="O11" s="15">
        <f>IF(H11="","",IF(COUNTIFS($A$6:$A$505,A11,$B$6:$B$505,B11,$C$6:$C$505,C11,$F$6:$F$505,F11,$G$6:$G$505,G11,$D$6:$D$505,"&lt;&gt;"&amp;D11,$H$6:$H$505,"&lt;&gt;")&gt;0,1,0))</f>
        <v>0</v>
      </c>
    </row>
    <row r="12">
      <c r="M12" s="15" t="str">
        <f>IF(H12="","",IF(OR(J12="Vastgesteld",AND(J12="Fictieve aanname",P_Demo="Ja")),1,0))</f>
        <v/>
      </c>
      <c r="N12" s="15" t="str">
        <f>IF(H12="","",IF(OR(J12="Vastgesteld",J12="Concept",AND(J12="Fictieve aanname",P_Demo="Ja")),1,0))</f>
        <v/>
      </c>
      <c r="O12" s="15" t="str">
        <f>IF(H12="","",IF(COUNTIFS($A$6:$A$505,A12,$B$6:$B$505,B12,$C$6:$C$505,C12,$F$6:$F$505,F12,$G$6:$G$505,G12,$D$6:$D$505,"&lt;&gt;"&amp;D12,$H$6:$H$505,"&lt;&gt;")&gt;0,1,0))</f>
        <v/>
      </c>
    </row>
    <row r="13">
      <c r="M13" s="15" t="str">
        <f>IF(H13="","",IF(OR(J13="Vastgesteld",AND(J13="Fictieve aanname",P_Demo="Ja")),1,0))</f>
        <v/>
      </c>
      <c r="N13" s="15" t="str">
        <f>IF(H13="","",IF(OR(J13="Vastgesteld",J13="Concept",AND(J13="Fictieve aanname",P_Demo="Ja")),1,0))</f>
        <v/>
      </c>
      <c r="O13" s="15" t="str">
        <f>IF(H13="","",IF(COUNTIFS($A$6:$A$505,A13,$B$6:$B$505,B13,$C$6:$C$505,C13,$F$6:$F$505,F13,$G$6:$G$505,G13,$D$6:$D$505,"&lt;&gt;"&amp;D13,$H$6:$H$505,"&lt;&gt;")&gt;0,1,0))</f>
        <v/>
      </c>
    </row>
    <row r="14">
      <c r="M14" s="15" t="str">
        <f>IF(H14="","",IF(OR(J14="Vastgesteld",AND(J14="Fictieve aanname",P_Demo="Ja")),1,0))</f>
        <v/>
      </c>
      <c r="N14" s="15" t="str">
        <f>IF(H14="","",IF(OR(J14="Vastgesteld",J14="Concept",AND(J14="Fictieve aanname",P_Demo="Ja")),1,0))</f>
        <v/>
      </c>
      <c r="O14" s="15" t="str">
        <f>IF(H14="","",IF(COUNTIFS($A$6:$A$505,A14,$B$6:$B$505,B14,$C$6:$C$505,C14,$F$6:$F$505,F14,$G$6:$G$505,G14,$D$6:$D$505,"&lt;&gt;"&amp;D14,$H$6:$H$505,"&lt;&gt;")&gt;0,1,0))</f>
        <v/>
      </c>
    </row>
    <row r="15">
      <c r="M15" s="15" t="str">
        <f>IF(H15="","",IF(OR(J15="Vastgesteld",AND(J15="Fictieve aanname",P_Demo="Ja")),1,0))</f>
        <v/>
      </c>
      <c r="N15" s="15" t="str">
        <f>IF(H15="","",IF(OR(J15="Vastgesteld",J15="Concept",AND(J15="Fictieve aanname",P_Demo="Ja")),1,0))</f>
        <v/>
      </c>
      <c r="O15" s="15" t="str">
        <f>IF(H15="","",IF(COUNTIFS($A$6:$A$505,A15,$B$6:$B$505,B15,$C$6:$C$505,C15,$F$6:$F$505,F15,$G$6:$G$505,G15,$D$6:$D$505,"&lt;&gt;"&amp;D15,$H$6:$H$505,"&lt;&gt;")&gt;0,1,0))</f>
        <v/>
      </c>
    </row>
    <row r="16">
      <c r="M16" s="15" t="str">
        <f>IF(H16="","",IF(OR(J16="Vastgesteld",AND(J16="Fictieve aanname",P_Demo="Ja")),1,0))</f>
        <v/>
      </c>
      <c r="N16" s="15" t="str">
        <f>IF(H16="","",IF(OR(J16="Vastgesteld",J16="Concept",AND(J16="Fictieve aanname",P_Demo="Ja")),1,0))</f>
        <v/>
      </c>
      <c r="O16" s="15" t="str">
        <f>IF(H16="","",IF(COUNTIFS($A$6:$A$505,A16,$B$6:$B$505,B16,$C$6:$C$505,C16,$F$6:$F$505,F16,$G$6:$G$505,G16,$D$6:$D$505,"&lt;&gt;"&amp;D16,$H$6:$H$505,"&lt;&gt;")&gt;0,1,0))</f>
        <v/>
      </c>
    </row>
    <row r="17">
      <c r="M17" s="15" t="str">
        <f>IF(H17="","",IF(OR(J17="Vastgesteld",AND(J17="Fictieve aanname",P_Demo="Ja")),1,0))</f>
        <v/>
      </c>
      <c r="N17" s="15" t="str">
        <f>IF(H17="","",IF(OR(J17="Vastgesteld",J17="Concept",AND(J17="Fictieve aanname",P_Demo="Ja")),1,0))</f>
        <v/>
      </c>
      <c r="O17" s="15" t="str">
        <f>IF(H17="","",IF(COUNTIFS($A$6:$A$505,A17,$B$6:$B$505,B17,$C$6:$C$505,C17,$F$6:$F$505,F17,$G$6:$G$505,G17,$D$6:$D$505,"&lt;&gt;"&amp;D17,$H$6:$H$505,"&lt;&gt;")&gt;0,1,0))</f>
        <v/>
      </c>
    </row>
    <row r="18">
      <c r="M18" s="15" t="str">
        <f>IF(H18="","",IF(OR(J18="Vastgesteld",AND(J18="Fictieve aanname",P_Demo="Ja")),1,0))</f>
        <v/>
      </c>
      <c r="N18" s="15" t="str">
        <f>IF(H18="","",IF(OR(J18="Vastgesteld",J18="Concept",AND(J18="Fictieve aanname",P_Demo="Ja")),1,0))</f>
        <v/>
      </c>
      <c r="O18" s="15" t="str">
        <f>IF(H18="","",IF(COUNTIFS($A$6:$A$505,A18,$B$6:$B$505,B18,$C$6:$C$505,C18,$F$6:$F$505,F18,$G$6:$G$505,G18,$D$6:$D$505,"&lt;&gt;"&amp;D18,$H$6:$H$505,"&lt;&gt;")&gt;0,1,0))</f>
        <v/>
      </c>
    </row>
    <row r="19">
      <c r="M19" s="15" t="str">
        <f>IF(H19="","",IF(OR(J19="Vastgesteld",AND(J19="Fictieve aanname",P_Demo="Ja")),1,0))</f>
        <v/>
      </c>
      <c r="N19" s="15" t="str">
        <f>IF(H19="","",IF(OR(J19="Vastgesteld",J19="Concept",AND(J19="Fictieve aanname",P_Demo="Ja")),1,0))</f>
        <v/>
      </c>
      <c r="O19" s="15" t="str">
        <f>IF(H19="","",IF(COUNTIFS($A$6:$A$505,A19,$B$6:$B$505,B19,$C$6:$C$505,C19,$F$6:$F$505,F19,$G$6:$G$505,G19,$D$6:$D$505,"&lt;&gt;"&amp;D19,$H$6:$H$505,"&lt;&gt;")&gt;0,1,0))</f>
        <v/>
      </c>
    </row>
    <row r="20">
      <c r="M20" s="15" t="str">
        <f>IF(H20="","",IF(OR(J20="Vastgesteld",AND(J20="Fictieve aanname",P_Demo="Ja")),1,0))</f>
        <v/>
      </c>
      <c r="N20" s="15" t="str">
        <f>IF(H20="","",IF(OR(J20="Vastgesteld",J20="Concept",AND(J20="Fictieve aanname",P_Demo="Ja")),1,0))</f>
        <v/>
      </c>
      <c r="O20" s="15" t="str">
        <f>IF(H20="","",IF(COUNTIFS($A$6:$A$505,A20,$B$6:$B$505,B20,$C$6:$C$505,C20,$F$6:$F$505,F20,$G$6:$G$505,G20,$D$6:$D$505,"&lt;&gt;"&amp;D20,$H$6:$H$505,"&lt;&gt;")&gt;0,1,0))</f>
        <v/>
      </c>
    </row>
    <row r="21">
      <c r="M21" s="15" t="str">
        <f>IF(H21="","",IF(OR(J21="Vastgesteld",AND(J21="Fictieve aanname",P_Demo="Ja")),1,0))</f>
        <v/>
      </c>
      <c r="N21" s="15" t="str">
        <f>IF(H21="","",IF(OR(J21="Vastgesteld",J21="Concept",AND(J21="Fictieve aanname",P_Demo="Ja")),1,0))</f>
        <v/>
      </c>
      <c r="O21" s="15" t="str">
        <f>IF(H21="","",IF(COUNTIFS($A$6:$A$505,A21,$B$6:$B$505,B21,$C$6:$C$505,C21,$F$6:$F$505,F21,$G$6:$G$505,G21,$D$6:$D$505,"&lt;&gt;"&amp;D21,$H$6:$H$505,"&lt;&gt;")&gt;0,1,0))</f>
        <v/>
      </c>
    </row>
    <row r="22">
      <c r="M22" s="15" t="str">
        <f>IF(H22="","",IF(OR(J22="Vastgesteld",AND(J22="Fictieve aanname",P_Demo="Ja")),1,0))</f>
        <v/>
      </c>
      <c r="N22" s="15" t="str">
        <f>IF(H22="","",IF(OR(J22="Vastgesteld",J22="Concept",AND(J22="Fictieve aanname",P_Demo="Ja")),1,0))</f>
        <v/>
      </c>
      <c r="O22" s="15" t="str">
        <f>IF(H22="","",IF(COUNTIFS($A$6:$A$505,A22,$B$6:$B$505,B22,$C$6:$C$505,C22,$F$6:$F$505,F22,$G$6:$G$505,G22,$D$6:$D$505,"&lt;&gt;"&amp;D22,$H$6:$H$505,"&lt;&gt;")&gt;0,1,0))</f>
        <v/>
      </c>
    </row>
    <row r="23">
      <c r="M23" s="15" t="str">
        <f>IF(H23="","",IF(OR(J23="Vastgesteld",AND(J23="Fictieve aanname",P_Demo="Ja")),1,0))</f>
        <v/>
      </c>
      <c r="N23" s="15" t="str">
        <f>IF(H23="","",IF(OR(J23="Vastgesteld",J23="Concept",AND(J23="Fictieve aanname",P_Demo="Ja")),1,0))</f>
        <v/>
      </c>
      <c r="O23" s="15" t="str">
        <f>IF(H23="","",IF(COUNTIFS($A$6:$A$505,A23,$B$6:$B$505,B23,$C$6:$C$505,C23,$F$6:$F$505,F23,$G$6:$G$505,G23,$D$6:$D$505,"&lt;&gt;"&amp;D23,$H$6:$H$505,"&lt;&gt;")&gt;0,1,0))</f>
        <v/>
      </c>
    </row>
    <row r="24">
      <c r="M24" s="15" t="str">
        <f>IF(H24="","",IF(OR(J24="Vastgesteld",AND(J24="Fictieve aanname",P_Demo="Ja")),1,0))</f>
        <v/>
      </c>
      <c r="N24" s="15" t="str">
        <f>IF(H24="","",IF(OR(J24="Vastgesteld",J24="Concept",AND(J24="Fictieve aanname",P_Demo="Ja")),1,0))</f>
        <v/>
      </c>
      <c r="O24" s="15" t="str">
        <f>IF(H24="","",IF(COUNTIFS($A$6:$A$505,A24,$B$6:$B$505,B24,$C$6:$C$505,C24,$F$6:$F$505,F24,$G$6:$G$505,G24,$D$6:$D$505,"&lt;&gt;"&amp;D24,$H$6:$H$505,"&lt;&gt;")&gt;0,1,0))</f>
        <v/>
      </c>
    </row>
    <row r="25">
      <c r="M25" s="15" t="str">
        <f>IF(H25="","",IF(OR(J25="Vastgesteld",AND(J25="Fictieve aanname",P_Demo="Ja")),1,0))</f>
        <v/>
      </c>
      <c r="N25" s="15" t="str">
        <f>IF(H25="","",IF(OR(J25="Vastgesteld",J25="Concept",AND(J25="Fictieve aanname",P_Demo="Ja")),1,0))</f>
        <v/>
      </c>
      <c r="O25" s="15" t="str">
        <f>IF(H25="","",IF(COUNTIFS($A$6:$A$505,A25,$B$6:$B$505,B25,$C$6:$C$505,C25,$F$6:$F$505,F25,$G$6:$G$505,G25,$D$6:$D$505,"&lt;&gt;"&amp;D25,$H$6:$H$505,"&lt;&gt;")&gt;0,1,0))</f>
        <v/>
      </c>
    </row>
    <row r="26">
      <c r="M26" s="15" t="str">
        <f>IF(H26="","",IF(OR(J26="Vastgesteld",AND(J26="Fictieve aanname",P_Demo="Ja")),1,0))</f>
        <v/>
      </c>
      <c r="N26" s="15" t="str">
        <f>IF(H26="","",IF(OR(J26="Vastgesteld",J26="Concept",AND(J26="Fictieve aanname",P_Demo="Ja")),1,0))</f>
        <v/>
      </c>
      <c r="O26" s="15" t="str">
        <f>IF(H26="","",IF(COUNTIFS($A$6:$A$505,A26,$B$6:$B$505,B26,$C$6:$C$505,C26,$F$6:$F$505,F26,$G$6:$G$505,G26,$D$6:$D$505,"&lt;&gt;"&amp;D26,$H$6:$H$505,"&lt;&gt;")&gt;0,1,0))</f>
        <v/>
      </c>
    </row>
    <row r="27">
      <c r="M27" s="15" t="str">
        <f>IF(H27="","",IF(OR(J27="Vastgesteld",AND(J27="Fictieve aanname",P_Demo="Ja")),1,0))</f>
        <v/>
      </c>
      <c r="N27" s="15" t="str">
        <f>IF(H27="","",IF(OR(J27="Vastgesteld",J27="Concept",AND(J27="Fictieve aanname",P_Demo="Ja")),1,0))</f>
        <v/>
      </c>
      <c r="O27" s="15" t="str">
        <f>IF(H27="","",IF(COUNTIFS($A$6:$A$505,A27,$B$6:$B$505,B27,$C$6:$C$505,C27,$F$6:$F$505,F27,$G$6:$G$505,G27,$D$6:$D$505,"&lt;&gt;"&amp;D27,$H$6:$H$505,"&lt;&gt;")&gt;0,1,0))</f>
        <v/>
      </c>
    </row>
    <row r="28">
      <c r="M28" s="15" t="str">
        <f>IF(H28="","",IF(OR(J28="Vastgesteld",AND(J28="Fictieve aanname",P_Demo="Ja")),1,0))</f>
        <v/>
      </c>
      <c r="N28" s="15" t="str">
        <f>IF(H28="","",IF(OR(J28="Vastgesteld",J28="Concept",AND(J28="Fictieve aanname",P_Demo="Ja")),1,0))</f>
        <v/>
      </c>
      <c r="O28" s="15" t="str">
        <f>IF(H28="","",IF(COUNTIFS($A$6:$A$505,A28,$B$6:$B$505,B28,$C$6:$C$505,C28,$F$6:$F$505,F28,$G$6:$G$505,G28,$D$6:$D$505,"&lt;&gt;"&amp;D28,$H$6:$H$505,"&lt;&gt;")&gt;0,1,0))</f>
        <v/>
      </c>
    </row>
    <row r="29">
      <c r="M29" s="15" t="str">
        <f>IF(H29="","",IF(OR(J29="Vastgesteld",AND(J29="Fictieve aanname",P_Demo="Ja")),1,0))</f>
        <v/>
      </c>
      <c r="N29" s="15" t="str">
        <f>IF(H29="","",IF(OR(J29="Vastgesteld",J29="Concept",AND(J29="Fictieve aanname",P_Demo="Ja")),1,0))</f>
        <v/>
      </c>
      <c r="O29" s="15" t="str">
        <f>IF(H29="","",IF(COUNTIFS($A$6:$A$505,A29,$B$6:$B$505,B29,$C$6:$C$505,C29,$F$6:$F$505,F29,$G$6:$G$505,G29,$D$6:$D$505,"&lt;&gt;"&amp;D29,$H$6:$H$505,"&lt;&gt;")&gt;0,1,0))</f>
        <v/>
      </c>
    </row>
    <row r="30">
      <c r="M30" s="15" t="str">
        <f>IF(H30="","",IF(OR(J30="Vastgesteld",AND(J30="Fictieve aanname",P_Demo="Ja")),1,0))</f>
        <v/>
      </c>
      <c r="N30" s="15" t="str">
        <f>IF(H30="","",IF(OR(J30="Vastgesteld",J30="Concept",AND(J30="Fictieve aanname",P_Demo="Ja")),1,0))</f>
        <v/>
      </c>
      <c r="O30" s="15" t="str">
        <f>IF(H30="","",IF(COUNTIFS($A$6:$A$505,A30,$B$6:$B$505,B30,$C$6:$C$505,C30,$F$6:$F$505,F30,$G$6:$G$505,G30,$D$6:$D$505,"&lt;&gt;"&amp;D30,$H$6:$H$505,"&lt;&gt;")&gt;0,1,0))</f>
        <v/>
      </c>
    </row>
    <row r="31">
      <c r="M31" s="15" t="str">
        <f>IF(H31="","",IF(OR(J31="Vastgesteld",AND(J31="Fictieve aanname",P_Demo="Ja")),1,0))</f>
        <v/>
      </c>
      <c r="N31" s="15" t="str">
        <f>IF(H31="","",IF(OR(J31="Vastgesteld",J31="Concept",AND(J31="Fictieve aanname",P_Demo="Ja")),1,0))</f>
        <v/>
      </c>
      <c r="O31" s="15" t="str">
        <f>IF(H31="","",IF(COUNTIFS($A$6:$A$505,A31,$B$6:$B$505,B31,$C$6:$C$505,C31,$F$6:$F$505,F31,$G$6:$G$505,G31,$D$6:$D$505,"&lt;&gt;"&amp;D31,$H$6:$H$505,"&lt;&gt;")&gt;0,1,0))</f>
        <v/>
      </c>
    </row>
    <row r="32">
      <c r="M32" s="15" t="str">
        <f>IF(H32="","",IF(OR(J32="Vastgesteld",AND(J32="Fictieve aanname",P_Demo="Ja")),1,0))</f>
        <v/>
      </c>
      <c r="N32" s="15" t="str">
        <f>IF(H32="","",IF(OR(J32="Vastgesteld",J32="Concept",AND(J32="Fictieve aanname",P_Demo="Ja")),1,0))</f>
        <v/>
      </c>
      <c r="O32" s="15" t="str">
        <f>IF(H32="","",IF(COUNTIFS($A$6:$A$505,A32,$B$6:$B$505,B32,$C$6:$C$505,C32,$F$6:$F$505,F32,$G$6:$G$505,G32,$D$6:$D$505,"&lt;&gt;"&amp;D32,$H$6:$H$505,"&lt;&gt;")&gt;0,1,0))</f>
        <v/>
      </c>
    </row>
    <row r="33">
      <c r="M33" s="15" t="str">
        <f>IF(H33="","",IF(OR(J33="Vastgesteld",AND(J33="Fictieve aanname",P_Demo="Ja")),1,0))</f>
        <v/>
      </c>
      <c r="N33" s="15" t="str">
        <f>IF(H33="","",IF(OR(J33="Vastgesteld",J33="Concept",AND(J33="Fictieve aanname",P_Demo="Ja")),1,0))</f>
        <v/>
      </c>
      <c r="O33" s="15" t="str">
        <f>IF(H33="","",IF(COUNTIFS($A$6:$A$505,A33,$B$6:$B$505,B33,$C$6:$C$505,C33,$F$6:$F$505,F33,$G$6:$G$505,G33,$D$6:$D$505,"&lt;&gt;"&amp;D33,$H$6:$H$505,"&lt;&gt;")&gt;0,1,0))</f>
        <v/>
      </c>
    </row>
    <row r="34">
      <c r="M34" s="15" t="str">
        <f>IF(H34="","",IF(OR(J34="Vastgesteld",AND(J34="Fictieve aanname",P_Demo="Ja")),1,0))</f>
        <v/>
      </c>
      <c r="N34" s="15" t="str">
        <f>IF(H34="","",IF(OR(J34="Vastgesteld",J34="Concept",AND(J34="Fictieve aanname",P_Demo="Ja")),1,0))</f>
        <v/>
      </c>
      <c r="O34" s="15" t="str">
        <f>IF(H34="","",IF(COUNTIFS($A$6:$A$505,A34,$B$6:$B$505,B34,$C$6:$C$505,C34,$F$6:$F$505,F34,$G$6:$G$505,G34,$D$6:$D$505,"&lt;&gt;"&amp;D34,$H$6:$H$505,"&lt;&gt;")&gt;0,1,0))</f>
        <v/>
      </c>
    </row>
    <row r="35">
      <c r="M35" s="15" t="str">
        <f>IF(H35="","",IF(OR(J35="Vastgesteld",AND(J35="Fictieve aanname",P_Demo="Ja")),1,0))</f>
        <v/>
      </c>
      <c r="N35" s="15" t="str">
        <f>IF(H35="","",IF(OR(J35="Vastgesteld",J35="Concept",AND(J35="Fictieve aanname",P_Demo="Ja")),1,0))</f>
        <v/>
      </c>
      <c r="O35" s="15" t="str">
        <f>IF(H35="","",IF(COUNTIFS($A$6:$A$505,A35,$B$6:$B$505,B35,$C$6:$C$505,C35,$F$6:$F$505,F35,$G$6:$G$505,G35,$D$6:$D$505,"&lt;&gt;"&amp;D35,$H$6:$H$505,"&lt;&gt;")&gt;0,1,0))</f>
        <v/>
      </c>
    </row>
    <row r="36">
      <c r="M36" s="15" t="str">
        <f>IF(H36="","",IF(OR(J36="Vastgesteld",AND(J36="Fictieve aanname",P_Demo="Ja")),1,0))</f>
        <v/>
      </c>
      <c r="N36" s="15" t="str">
        <f>IF(H36="","",IF(OR(J36="Vastgesteld",J36="Concept",AND(J36="Fictieve aanname",P_Demo="Ja")),1,0))</f>
        <v/>
      </c>
      <c r="O36" s="15" t="str">
        <f>IF(H36="","",IF(COUNTIFS($A$6:$A$505,A36,$B$6:$B$505,B36,$C$6:$C$505,C36,$F$6:$F$505,F36,$G$6:$G$505,G36,$D$6:$D$505,"&lt;&gt;"&amp;D36,$H$6:$H$505,"&lt;&gt;")&gt;0,1,0))</f>
        <v/>
      </c>
    </row>
    <row r="37">
      <c r="M37" s="15" t="str">
        <f>IF(H37="","",IF(OR(J37="Vastgesteld",AND(J37="Fictieve aanname",P_Demo="Ja")),1,0))</f>
        <v/>
      </c>
      <c r="N37" s="15" t="str">
        <f>IF(H37="","",IF(OR(J37="Vastgesteld",J37="Concept",AND(J37="Fictieve aanname",P_Demo="Ja")),1,0))</f>
        <v/>
      </c>
      <c r="O37" s="15" t="str">
        <f>IF(H37="","",IF(COUNTIFS($A$6:$A$505,A37,$B$6:$B$505,B37,$C$6:$C$505,C37,$F$6:$F$505,F37,$G$6:$G$505,G37,$D$6:$D$505,"&lt;&gt;"&amp;D37,$H$6:$H$505,"&lt;&gt;")&gt;0,1,0))</f>
        <v/>
      </c>
    </row>
    <row r="38">
      <c r="M38" s="15" t="str">
        <f>IF(H38="","",IF(OR(J38="Vastgesteld",AND(J38="Fictieve aanname",P_Demo="Ja")),1,0))</f>
        <v/>
      </c>
      <c r="N38" s="15" t="str">
        <f>IF(H38="","",IF(OR(J38="Vastgesteld",J38="Concept",AND(J38="Fictieve aanname",P_Demo="Ja")),1,0))</f>
        <v/>
      </c>
      <c r="O38" s="15" t="str">
        <f>IF(H38="","",IF(COUNTIFS($A$6:$A$505,A38,$B$6:$B$505,B38,$C$6:$C$505,C38,$F$6:$F$505,F38,$G$6:$G$505,G38,$D$6:$D$505,"&lt;&gt;"&amp;D38,$H$6:$H$505,"&lt;&gt;")&gt;0,1,0))</f>
        <v/>
      </c>
    </row>
    <row r="39">
      <c r="M39" s="15" t="str">
        <f>IF(H39="","",IF(OR(J39="Vastgesteld",AND(J39="Fictieve aanname",P_Demo="Ja")),1,0))</f>
        <v/>
      </c>
      <c r="N39" s="15" t="str">
        <f>IF(H39="","",IF(OR(J39="Vastgesteld",J39="Concept",AND(J39="Fictieve aanname",P_Demo="Ja")),1,0))</f>
        <v/>
      </c>
      <c r="O39" s="15" t="str">
        <f>IF(H39="","",IF(COUNTIFS($A$6:$A$505,A39,$B$6:$B$505,B39,$C$6:$C$505,C39,$F$6:$F$505,F39,$G$6:$G$505,G39,$D$6:$D$505,"&lt;&gt;"&amp;D39,$H$6:$H$505,"&lt;&gt;")&gt;0,1,0))</f>
        <v/>
      </c>
    </row>
    <row r="40">
      <c r="M40" s="15" t="str">
        <f>IF(H40="","",IF(OR(J40="Vastgesteld",AND(J40="Fictieve aanname",P_Demo="Ja")),1,0))</f>
        <v/>
      </c>
      <c r="N40" s="15" t="str">
        <f>IF(H40="","",IF(OR(J40="Vastgesteld",J40="Concept",AND(J40="Fictieve aanname",P_Demo="Ja")),1,0))</f>
        <v/>
      </c>
      <c r="O40" s="15" t="str">
        <f>IF(H40="","",IF(COUNTIFS($A$6:$A$505,A40,$B$6:$B$505,B40,$C$6:$C$505,C40,$F$6:$F$505,F40,$G$6:$G$505,G40,$D$6:$D$505,"&lt;&gt;"&amp;D40,$H$6:$H$505,"&lt;&gt;")&gt;0,1,0))</f>
        <v/>
      </c>
    </row>
    <row r="41">
      <c r="M41" s="15" t="str">
        <f>IF(H41="","",IF(OR(J41="Vastgesteld",AND(J41="Fictieve aanname",P_Demo="Ja")),1,0))</f>
        <v/>
      </c>
      <c r="N41" s="15" t="str">
        <f>IF(H41="","",IF(OR(J41="Vastgesteld",J41="Concept",AND(J41="Fictieve aanname",P_Demo="Ja")),1,0))</f>
        <v/>
      </c>
      <c r="O41" s="15" t="str">
        <f>IF(H41="","",IF(COUNTIFS($A$6:$A$505,A41,$B$6:$B$505,B41,$C$6:$C$505,C41,$F$6:$F$505,F41,$G$6:$G$505,G41,$D$6:$D$505,"&lt;&gt;"&amp;D41,$H$6:$H$505,"&lt;&gt;")&gt;0,1,0))</f>
        <v/>
      </c>
    </row>
    <row r="42">
      <c r="M42" s="15" t="str">
        <f>IF(H42="","",IF(OR(J42="Vastgesteld",AND(J42="Fictieve aanname",P_Demo="Ja")),1,0))</f>
        <v/>
      </c>
      <c r="N42" s="15" t="str">
        <f>IF(H42="","",IF(OR(J42="Vastgesteld",J42="Concept",AND(J42="Fictieve aanname",P_Demo="Ja")),1,0))</f>
        <v/>
      </c>
      <c r="O42" s="15" t="str">
        <f>IF(H42="","",IF(COUNTIFS($A$6:$A$505,A42,$B$6:$B$505,B42,$C$6:$C$505,C42,$F$6:$F$505,F42,$G$6:$G$505,G42,$D$6:$D$505,"&lt;&gt;"&amp;D42,$H$6:$H$505,"&lt;&gt;")&gt;0,1,0))</f>
        <v/>
      </c>
    </row>
    <row r="43">
      <c r="M43" s="15" t="str">
        <f>IF(H43="","",IF(OR(J43="Vastgesteld",AND(J43="Fictieve aanname",P_Demo="Ja")),1,0))</f>
        <v/>
      </c>
      <c r="N43" s="15" t="str">
        <f>IF(H43="","",IF(OR(J43="Vastgesteld",J43="Concept",AND(J43="Fictieve aanname",P_Demo="Ja")),1,0))</f>
        <v/>
      </c>
      <c r="O43" s="15" t="str">
        <f>IF(H43="","",IF(COUNTIFS($A$6:$A$505,A43,$B$6:$B$505,B43,$C$6:$C$505,C43,$F$6:$F$505,F43,$G$6:$G$505,G43,$D$6:$D$505,"&lt;&gt;"&amp;D43,$H$6:$H$505,"&lt;&gt;")&gt;0,1,0))</f>
        <v/>
      </c>
    </row>
    <row r="44">
      <c r="M44" s="15" t="str">
        <f>IF(H44="","",IF(OR(J44="Vastgesteld",AND(J44="Fictieve aanname",P_Demo="Ja")),1,0))</f>
        <v/>
      </c>
      <c r="N44" s="15" t="str">
        <f>IF(H44="","",IF(OR(J44="Vastgesteld",J44="Concept",AND(J44="Fictieve aanname",P_Demo="Ja")),1,0))</f>
        <v/>
      </c>
      <c r="O44" s="15" t="str">
        <f>IF(H44="","",IF(COUNTIFS($A$6:$A$505,A44,$B$6:$B$505,B44,$C$6:$C$505,C44,$F$6:$F$505,F44,$G$6:$G$505,G44,$D$6:$D$505,"&lt;&gt;"&amp;D44,$H$6:$H$505,"&lt;&gt;")&gt;0,1,0))</f>
        <v/>
      </c>
    </row>
    <row r="45">
      <c r="M45" s="15" t="str">
        <f>IF(H45="","",IF(OR(J45="Vastgesteld",AND(J45="Fictieve aanname",P_Demo="Ja")),1,0))</f>
        <v/>
      </c>
      <c r="N45" s="15" t="str">
        <f>IF(H45="","",IF(OR(J45="Vastgesteld",J45="Concept",AND(J45="Fictieve aanname",P_Demo="Ja")),1,0))</f>
        <v/>
      </c>
      <c r="O45" s="15" t="str">
        <f>IF(H45="","",IF(COUNTIFS($A$6:$A$505,A45,$B$6:$B$505,B45,$C$6:$C$505,C45,$F$6:$F$505,F45,$G$6:$G$505,G45,$D$6:$D$505,"&lt;&gt;"&amp;D45,$H$6:$H$505,"&lt;&gt;")&gt;0,1,0))</f>
        <v/>
      </c>
    </row>
    <row r="46">
      <c r="M46" s="15" t="str">
        <f>IF(H46="","",IF(OR(J46="Vastgesteld",AND(J46="Fictieve aanname",P_Demo="Ja")),1,0))</f>
        <v/>
      </c>
      <c r="N46" s="15" t="str">
        <f>IF(H46="","",IF(OR(J46="Vastgesteld",J46="Concept",AND(J46="Fictieve aanname",P_Demo="Ja")),1,0))</f>
        <v/>
      </c>
      <c r="O46" s="15" t="str">
        <f>IF(H46="","",IF(COUNTIFS($A$6:$A$505,A46,$B$6:$B$505,B46,$C$6:$C$505,C46,$F$6:$F$505,F46,$G$6:$G$505,G46,$D$6:$D$505,"&lt;&gt;"&amp;D46,$H$6:$H$505,"&lt;&gt;")&gt;0,1,0))</f>
        <v/>
      </c>
    </row>
    <row r="47">
      <c r="M47" s="15" t="str">
        <f>IF(H47="","",IF(OR(J47="Vastgesteld",AND(J47="Fictieve aanname",P_Demo="Ja")),1,0))</f>
        <v/>
      </c>
      <c r="N47" s="15" t="str">
        <f>IF(H47="","",IF(OR(J47="Vastgesteld",J47="Concept",AND(J47="Fictieve aanname",P_Demo="Ja")),1,0))</f>
        <v/>
      </c>
      <c r="O47" s="15" t="str">
        <f>IF(H47="","",IF(COUNTIFS($A$6:$A$505,A47,$B$6:$B$505,B47,$C$6:$C$505,C47,$F$6:$F$505,F47,$G$6:$G$505,G47,$D$6:$D$505,"&lt;&gt;"&amp;D47,$H$6:$H$505,"&lt;&gt;")&gt;0,1,0))</f>
        <v/>
      </c>
    </row>
    <row r="48">
      <c r="M48" s="15" t="str">
        <f>IF(H48="","",IF(OR(J48="Vastgesteld",AND(J48="Fictieve aanname",P_Demo="Ja")),1,0))</f>
        <v/>
      </c>
      <c r="N48" s="15" t="str">
        <f>IF(H48="","",IF(OR(J48="Vastgesteld",J48="Concept",AND(J48="Fictieve aanname",P_Demo="Ja")),1,0))</f>
        <v/>
      </c>
      <c r="O48" s="15" t="str">
        <f>IF(H48="","",IF(COUNTIFS($A$6:$A$505,A48,$B$6:$B$505,B48,$C$6:$C$505,C48,$F$6:$F$505,F48,$G$6:$G$505,G48,$D$6:$D$505,"&lt;&gt;"&amp;D48,$H$6:$H$505,"&lt;&gt;")&gt;0,1,0))</f>
        <v/>
      </c>
    </row>
    <row r="49">
      <c r="M49" s="15" t="str">
        <f>IF(H49="","",IF(OR(J49="Vastgesteld",AND(J49="Fictieve aanname",P_Demo="Ja")),1,0))</f>
        <v/>
      </c>
      <c r="N49" s="15" t="str">
        <f>IF(H49="","",IF(OR(J49="Vastgesteld",J49="Concept",AND(J49="Fictieve aanname",P_Demo="Ja")),1,0))</f>
        <v/>
      </c>
      <c r="O49" s="15" t="str">
        <f>IF(H49="","",IF(COUNTIFS($A$6:$A$505,A49,$B$6:$B$505,B49,$C$6:$C$505,C49,$F$6:$F$505,F49,$G$6:$G$505,G49,$D$6:$D$505,"&lt;&gt;"&amp;D49,$H$6:$H$505,"&lt;&gt;")&gt;0,1,0))</f>
        <v/>
      </c>
    </row>
    <row r="50">
      <c r="M50" s="15" t="str">
        <f>IF(H50="","",IF(OR(J50="Vastgesteld",AND(J50="Fictieve aanname",P_Demo="Ja")),1,0))</f>
        <v/>
      </c>
      <c r="N50" s="15" t="str">
        <f>IF(H50="","",IF(OR(J50="Vastgesteld",J50="Concept",AND(J50="Fictieve aanname",P_Demo="Ja")),1,0))</f>
        <v/>
      </c>
      <c r="O50" s="15" t="str">
        <f>IF(H50="","",IF(COUNTIFS($A$6:$A$505,A50,$B$6:$B$505,B50,$C$6:$C$505,C50,$F$6:$F$505,F50,$G$6:$G$505,G50,$D$6:$D$505,"&lt;&gt;"&amp;D50,$H$6:$H$505,"&lt;&gt;")&gt;0,1,0))</f>
        <v/>
      </c>
    </row>
    <row r="51">
      <c r="M51" s="15" t="str">
        <f>IF(H51="","",IF(OR(J51="Vastgesteld",AND(J51="Fictieve aanname",P_Demo="Ja")),1,0))</f>
        <v/>
      </c>
      <c r="N51" s="15" t="str">
        <f>IF(H51="","",IF(OR(J51="Vastgesteld",J51="Concept",AND(J51="Fictieve aanname",P_Demo="Ja")),1,0))</f>
        <v/>
      </c>
      <c r="O51" s="15" t="str">
        <f>IF(H51="","",IF(COUNTIFS($A$6:$A$505,A51,$B$6:$B$505,B51,$C$6:$C$505,C51,$F$6:$F$505,F51,$G$6:$G$505,G51,$D$6:$D$505,"&lt;&gt;"&amp;D51,$H$6:$H$505,"&lt;&gt;")&gt;0,1,0))</f>
        <v/>
      </c>
    </row>
    <row r="52">
      <c r="M52" s="15" t="str">
        <f>IF(H52="","",IF(OR(J52="Vastgesteld",AND(J52="Fictieve aanname",P_Demo="Ja")),1,0))</f>
        <v/>
      </c>
      <c r="N52" s="15" t="str">
        <f>IF(H52="","",IF(OR(J52="Vastgesteld",J52="Concept",AND(J52="Fictieve aanname",P_Demo="Ja")),1,0))</f>
        <v/>
      </c>
      <c r="O52" s="15" t="str">
        <f>IF(H52="","",IF(COUNTIFS($A$6:$A$505,A52,$B$6:$B$505,B52,$C$6:$C$505,C52,$F$6:$F$505,F52,$G$6:$G$505,G52,$D$6:$D$505,"&lt;&gt;"&amp;D52,$H$6:$H$505,"&lt;&gt;")&gt;0,1,0))</f>
        <v/>
      </c>
    </row>
    <row r="53">
      <c r="M53" s="15" t="str">
        <f>IF(H53="","",IF(OR(J53="Vastgesteld",AND(J53="Fictieve aanname",P_Demo="Ja")),1,0))</f>
        <v/>
      </c>
      <c r="N53" s="15" t="str">
        <f>IF(H53="","",IF(OR(J53="Vastgesteld",J53="Concept",AND(J53="Fictieve aanname",P_Demo="Ja")),1,0))</f>
        <v/>
      </c>
      <c r="O53" s="15" t="str">
        <f>IF(H53="","",IF(COUNTIFS($A$6:$A$505,A53,$B$6:$B$505,B53,$C$6:$C$505,C53,$F$6:$F$505,F53,$G$6:$G$505,G53,$D$6:$D$505,"&lt;&gt;"&amp;D53,$H$6:$H$505,"&lt;&gt;")&gt;0,1,0))</f>
        <v/>
      </c>
    </row>
    <row r="54">
      <c r="M54" s="15" t="str">
        <f>IF(H54="","",IF(OR(J54="Vastgesteld",AND(J54="Fictieve aanname",P_Demo="Ja")),1,0))</f>
        <v/>
      </c>
      <c r="N54" s="15" t="str">
        <f>IF(H54="","",IF(OR(J54="Vastgesteld",J54="Concept",AND(J54="Fictieve aanname",P_Demo="Ja")),1,0))</f>
        <v/>
      </c>
      <c r="O54" s="15" t="str">
        <f>IF(H54="","",IF(COUNTIFS($A$6:$A$505,A54,$B$6:$B$505,B54,$C$6:$C$505,C54,$F$6:$F$505,F54,$G$6:$G$505,G54,$D$6:$D$505,"&lt;&gt;"&amp;D54,$H$6:$H$505,"&lt;&gt;")&gt;0,1,0))</f>
        <v/>
      </c>
    </row>
    <row r="55">
      <c r="M55" s="15" t="str">
        <f>IF(H55="","",IF(OR(J55="Vastgesteld",AND(J55="Fictieve aanname",P_Demo="Ja")),1,0))</f>
        <v/>
      </c>
      <c r="N55" s="15" t="str">
        <f>IF(H55="","",IF(OR(J55="Vastgesteld",J55="Concept",AND(J55="Fictieve aanname",P_Demo="Ja")),1,0))</f>
        <v/>
      </c>
      <c r="O55" s="15" t="str">
        <f>IF(H55="","",IF(COUNTIFS($A$6:$A$505,A55,$B$6:$B$505,B55,$C$6:$C$505,C55,$F$6:$F$505,F55,$G$6:$G$505,G55,$D$6:$D$505,"&lt;&gt;"&amp;D55,$H$6:$H$505,"&lt;&gt;")&gt;0,1,0))</f>
        <v/>
      </c>
    </row>
    <row r="56">
      <c r="M56" s="15" t="str">
        <f>IF(H56="","",IF(OR(J56="Vastgesteld",AND(J56="Fictieve aanname",P_Demo="Ja")),1,0))</f>
        <v/>
      </c>
      <c r="N56" s="15" t="str">
        <f>IF(H56="","",IF(OR(J56="Vastgesteld",J56="Concept",AND(J56="Fictieve aanname",P_Demo="Ja")),1,0))</f>
        <v/>
      </c>
      <c r="O56" s="15" t="str">
        <f>IF(H56="","",IF(COUNTIFS($A$6:$A$505,A56,$B$6:$B$505,B56,$C$6:$C$505,C56,$F$6:$F$505,F56,$G$6:$G$505,G56,$D$6:$D$505,"&lt;&gt;"&amp;D56,$H$6:$H$505,"&lt;&gt;")&gt;0,1,0))</f>
        <v/>
      </c>
    </row>
    <row r="57">
      <c r="M57" s="15" t="str">
        <f>IF(H57="","",IF(OR(J57="Vastgesteld",AND(J57="Fictieve aanname",P_Demo="Ja")),1,0))</f>
        <v/>
      </c>
      <c r="N57" s="15" t="str">
        <f>IF(H57="","",IF(OR(J57="Vastgesteld",J57="Concept",AND(J57="Fictieve aanname",P_Demo="Ja")),1,0))</f>
        <v/>
      </c>
      <c r="O57" s="15" t="str">
        <f>IF(H57="","",IF(COUNTIFS($A$6:$A$505,A57,$B$6:$B$505,B57,$C$6:$C$505,C57,$F$6:$F$505,F57,$G$6:$G$505,G57,$D$6:$D$505,"&lt;&gt;"&amp;D57,$H$6:$H$505,"&lt;&gt;")&gt;0,1,0))</f>
        <v/>
      </c>
    </row>
    <row r="58">
      <c r="M58" s="15" t="str">
        <f>IF(H58="","",IF(OR(J58="Vastgesteld",AND(J58="Fictieve aanname",P_Demo="Ja")),1,0))</f>
        <v/>
      </c>
      <c r="N58" s="15" t="str">
        <f>IF(H58="","",IF(OR(J58="Vastgesteld",J58="Concept",AND(J58="Fictieve aanname",P_Demo="Ja")),1,0))</f>
        <v/>
      </c>
      <c r="O58" s="15" t="str">
        <f>IF(H58="","",IF(COUNTIFS($A$6:$A$505,A58,$B$6:$B$505,B58,$C$6:$C$505,C58,$F$6:$F$505,F58,$G$6:$G$505,G58,$D$6:$D$505,"&lt;&gt;"&amp;D58,$H$6:$H$505,"&lt;&gt;")&gt;0,1,0))</f>
        <v/>
      </c>
    </row>
    <row r="59">
      <c r="M59" s="15" t="str">
        <f>IF(H59="","",IF(OR(J59="Vastgesteld",AND(J59="Fictieve aanname",P_Demo="Ja")),1,0))</f>
        <v/>
      </c>
      <c r="N59" s="15" t="str">
        <f>IF(H59="","",IF(OR(J59="Vastgesteld",J59="Concept",AND(J59="Fictieve aanname",P_Demo="Ja")),1,0))</f>
        <v/>
      </c>
      <c r="O59" s="15" t="str">
        <f>IF(H59="","",IF(COUNTIFS($A$6:$A$505,A59,$B$6:$B$505,B59,$C$6:$C$505,C59,$F$6:$F$505,F59,$G$6:$G$505,G59,$D$6:$D$505,"&lt;&gt;"&amp;D59,$H$6:$H$505,"&lt;&gt;")&gt;0,1,0))</f>
        <v/>
      </c>
    </row>
    <row r="60">
      <c r="M60" s="15" t="str">
        <f>IF(H60="","",IF(OR(J60="Vastgesteld",AND(J60="Fictieve aanname",P_Demo="Ja")),1,0))</f>
        <v/>
      </c>
      <c r="N60" s="15" t="str">
        <f>IF(H60="","",IF(OR(J60="Vastgesteld",J60="Concept",AND(J60="Fictieve aanname",P_Demo="Ja")),1,0))</f>
        <v/>
      </c>
      <c r="O60" s="15" t="str">
        <f>IF(H60="","",IF(COUNTIFS($A$6:$A$505,A60,$B$6:$B$505,B60,$C$6:$C$505,C60,$F$6:$F$505,F60,$G$6:$G$505,G60,$D$6:$D$505,"&lt;&gt;"&amp;D60,$H$6:$H$505,"&lt;&gt;")&gt;0,1,0))</f>
        <v/>
      </c>
    </row>
    <row r="61">
      <c r="M61" s="15" t="str">
        <f>IF(H61="","",IF(OR(J61="Vastgesteld",AND(J61="Fictieve aanname",P_Demo="Ja")),1,0))</f>
        <v/>
      </c>
      <c r="N61" s="15" t="str">
        <f>IF(H61="","",IF(OR(J61="Vastgesteld",J61="Concept",AND(J61="Fictieve aanname",P_Demo="Ja")),1,0))</f>
        <v/>
      </c>
      <c r="O61" s="15" t="str">
        <f>IF(H61="","",IF(COUNTIFS($A$6:$A$505,A61,$B$6:$B$505,B61,$C$6:$C$505,C61,$F$6:$F$505,F61,$G$6:$G$505,G61,$D$6:$D$505,"&lt;&gt;"&amp;D61,$H$6:$H$505,"&lt;&gt;")&gt;0,1,0))</f>
        <v/>
      </c>
    </row>
    <row r="62">
      <c r="M62" s="15" t="str">
        <f>IF(H62="","",IF(OR(J62="Vastgesteld",AND(J62="Fictieve aanname",P_Demo="Ja")),1,0))</f>
        <v/>
      </c>
      <c r="N62" s="15" t="str">
        <f>IF(H62="","",IF(OR(J62="Vastgesteld",J62="Concept",AND(J62="Fictieve aanname",P_Demo="Ja")),1,0))</f>
        <v/>
      </c>
      <c r="O62" s="15" t="str">
        <f>IF(H62="","",IF(COUNTIFS($A$6:$A$505,A62,$B$6:$B$505,B62,$C$6:$C$505,C62,$F$6:$F$505,F62,$G$6:$G$505,G62,$D$6:$D$505,"&lt;&gt;"&amp;D62,$H$6:$H$505,"&lt;&gt;")&gt;0,1,0))</f>
        <v/>
      </c>
    </row>
    <row r="63">
      <c r="M63" s="15" t="str">
        <f>IF(H63="","",IF(OR(J63="Vastgesteld",AND(J63="Fictieve aanname",P_Demo="Ja")),1,0))</f>
        <v/>
      </c>
      <c r="N63" s="15" t="str">
        <f>IF(H63="","",IF(OR(J63="Vastgesteld",J63="Concept",AND(J63="Fictieve aanname",P_Demo="Ja")),1,0))</f>
        <v/>
      </c>
      <c r="O63" s="15" t="str">
        <f>IF(H63="","",IF(COUNTIFS($A$6:$A$505,A63,$B$6:$B$505,B63,$C$6:$C$505,C63,$F$6:$F$505,F63,$G$6:$G$505,G63,$D$6:$D$505,"&lt;&gt;"&amp;D63,$H$6:$H$505,"&lt;&gt;")&gt;0,1,0))</f>
        <v/>
      </c>
    </row>
    <row r="64">
      <c r="M64" s="15" t="str">
        <f>IF(H64="","",IF(OR(J64="Vastgesteld",AND(J64="Fictieve aanname",P_Demo="Ja")),1,0))</f>
        <v/>
      </c>
      <c r="N64" s="15" t="str">
        <f>IF(H64="","",IF(OR(J64="Vastgesteld",J64="Concept",AND(J64="Fictieve aanname",P_Demo="Ja")),1,0))</f>
        <v/>
      </c>
      <c r="O64" s="15" t="str">
        <f>IF(H64="","",IF(COUNTIFS($A$6:$A$505,A64,$B$6:$B$505,B64,$C$6:$C$505,C64,$F$6:$F$505,F64,$G$6:$G$505,G64,$D$6:$D$505,"&lt;&gt;"&amp;D64,$H$6:$H$505,"&lt;&gt;")&gt;0,1,0))</f>
        <v/>
      </c>
    </row>
    <row r="65">
      <c r="M65" s="15" t="str">
        <f>IF(H65="","",IF(OR(J65="Vastgesteld",AND(J65="Fictieve aanname",P_Demo="Ja")),1,0))</f>
        <v/>
      </c>
      <c r="N65" s="15" t="str">
        <f>IF(H65="","",IF(OR(J65="Vastgesteld",J65="Concept",AND(J65="Fictieve aanname",P_Demo="Ja")),1,0))</f>
        <v/>
      </c>
      <c r="O65" s="15" t="str">
        <f>IF(H65="","",IF(COUNTIFS($A$6:$A$505,A65,$B$6:$B$505,B65,$C$6:$C$505,C65,$F$6:$F$505,F65,$G$6:$G$505,G65,$D$6:$D$505,"&lt;&gt;"&amp;D65,$H$6:$H$505,"&lt;&gt;")&gt;0,1,0))</f>
        <v/>
      </c>
    </row>
    <row r="66">
      <c r="M66" s="15" t="str">
        <f>IF(H66="","",IF(OR(J66="Vastgesteld",AND(J66="Fictieve aanname",P_Demo="Ja")),1,0))</f>
        <v/>
      </c>
      <c r="N66" s="15" t="str">
        <f>IF(H66="","",IF(OR(J66="Vastgesteld",J66="Concept",AND(J66="Fictieve aanname",P_Demo="Ja")),1,0))</f>
        <v/>
      </c>
      <c r="O66" s="15" t="str">
        <f>IF(H66="","",IF(COUNTIFS($A$6:$A$505,A66,$B$6:$B$505,B66,$C$6:$C$505,C66,$F$6:$F$505,F66,$G$6:$G$505,G66,$D$6:$D$505,"&lt;&gt;"&amp;D66,$H$6:$H$505,"&lt;&gt;")&gt;0,1,0))</f>
        <v/>
      </c>
    </row>
    <row r="67">
      <c r="M67" s="15" t="str">
        <f>IF(H67="","",IF(OR(J67="Vastgesteld",AND(J67="Fictieve aanname",P_Demo="Ja")),1,0))</f>
        <v/>
      </c>
      <c r="N67" s="15" t="str">
        <f>IF(H67="","",IF(OR(J67="Vastgesteld",J67="Concept",AND(J67="Fictieve aanname",P_Demo="Ja")),1,0))</f>
        <v/>
      </c>
      <c r="O67" s="15" t="str">
        <f>IF(H67="","",IF(COUNTIFS($A$6:$A$505,A67,$B$6:$B$505,B67,$C$6:$C$505,C67,$F$6:$F$505,F67,$G$6:$G$505,G67,$D$6:$D$505,"&lt;&gt;"&amp;D67,$H$6:$H$505,"&lt;&gt;")&gt;0,1,0))</f>
        <v/>
      </c>
    </row>
    <row r="68">
      <c r="M68" s="15" t="str">
        <f>IF(H68="","",IF(OR(J68="Vastgesteld",AND(J68="Fictieve aanname",P_Demo="Ja")),1,0))</f>
        <v/>
      </c>
      <c r="N68" s="15" t="str">
        <f>IF(H68="","",IF(OR(J68="Vastgesteld",J68="Concept",AND(J68="Fictieve aanname",P_Demo="Ja")),1,0))</f>
        <v/>
      </c>
      <c r="O68" s="15" t="str">
        <f>IF(H68="","",IF(COUNTIFS($A$6:$A$505,A68,$B$6:$B$505,B68,$C$6:$C$505,C68,$F$6:$F$505,F68,$G$6:$G$505,G68,$D$6:$D$505,"&lt;&gt;"&amp;D68,$H$6:$H$505,"&lt;&gt;")&gt;0,1,0))</f>
        <v/>
      </c>
    </row>
    <row r="69">
      <c r="M69" s="15" t="str">
        <f>IF(H69="","",IF(OR(J69="Vastgesteld",AND(J69="Fictieve aanname",P_Demo="Ja")),1,0))</f>
        <v/>
      </c>
      <c r="N69" s="15" t="str">
        <f>IF(H69="","",IF(OR(J69="Vastgesteld",J69="Concept",AND(J69="Fictieve aanname",P_Demo="Ja")),1,0))</f>
        <v/>
      </c>
      <c r="O69" s="15" t="str">
        <f>IF(H69="","",IF(COUNTIFS($A$6:$A$505,A69,$B$6:$B$505,B69,$C$6:$C$505,C69,$F$6:$F$505,F69,$G$6:$G$505,G69,$D$6:$D$505,"&lt;&gt;"&amp;D69,$H$6:$H$505,"&lt;&gt;")&gt;0,1,0))</f>
        <v/>
      </c>
    </row>
    <row r="70">
      <c r="M70" s="15" t="str">
        <f>IF(H70="","",IF(OR(J70="Vastgesteld",AND(J70="Fictieve aanname",P_Demo="Ja")),1,0))</f>
        <v/>
      </c>
      <c r="N70" s="15" t="str">
        <f>IF(H70="","",IF(OR(J70="Vastgesteld",J70="Concept",AND(J70="Fictieve aanname",P_Demo="Ja")),1,0))</f>
        <v/>
      </c>
      <c r="O70" s="15" t="str">
        <f>IF(H70="","",IF(COUNTIFS($A$6:$A$505,A70,$B$6:$B$505,B70,$C$6:$C$505,C70,$F$6:$F$505,F70,$G$6:$G$505,G70,$D$6:$D$505,"&lt;&gt;"&amp;D70,$H$6:$H$505,"&lt;&gt;")&gt;0,1,0))</f>
        <v/>
      </c>
    </row>
    <row r="71">
      <c r="M71" s="15" t="str">
        <f>IF(H71="","",IF(OR(J71="Vastgesteld",AND(J71="Fictieve aanname",P_Demo="Ja")),1,0))</f>
        <v/>
      </c>
      <c r="N71" s="15" t="str">
        <f>IF(H71="","",IF(OR(J71="Vastgesteld",J71="Concept",AND(J71="Fictieve aanname",P_Demo="Ja")),1,0))</f>
        <v/>
      </c>
      <c r="O71" s="15" t="str">
        <f>IF(H71="","",IF(COUNTIFS($A$6:$A$505,A71,$B$6:$B$505,B71,$C$6:$C$505,C71,$F$6:$F$505,F71,$G$6:$G$505,G71,$D$6:$D$505,"&lt;&gt;"&amp;D71,$H$6:$H$505,"&lt;&gt;")&gt;0,1,0))</f>
        <v/>
      </c>
    </row>
    <row r="72">
      <c r="M72" s="15" t="str">
        <f>IF(H72="","",IF(OR(J72="Vastgesteld",AND(J72="Fictieve aanname",P_Demo="Ja")),1,0))</f>
        <v/>
      </c>
      <c r="N72" s="15" t="str">
        <f>IF(H72="","",IF(OR(J72="Vastgesteld",J72="Concept",AND(J72="Fictieve aanname",P_Demo="Ja")),1,0))</f>
        <v/>
      </c>
      <c r="O72" s="15" t="str">
        <f>IF(H72="","",IF(COUNTIFS($A$6:$A$505,A72,$B$6:$B$505,B72,$C$6:$C$505,C72,$F$6:$F$505,F72,$G$6:$G$505,G72,$D$6:$D$505,"&lt;&gt;"&amp;D72,$H$6:$H$505,"&lt;&gt;")&gt;0,1,0))</f>
        <v/>
      </c>
    </row>
    <row r="73">
      <c r="M73" s="15" t="str">
        <f>IF(H73="","",IF(OR(J73="Vastgesteld",AND(J73="Fictieve aanname",P_Demo="Ja")),1,0))</f>
        <v/>
      </c>
      <c r="N73" s="15" t="str">
        <f>IF(H73="","",IF(OR(J73="Vastgesteld",J73="Concept",AND(J73="Fictieve aanname",P_Demo="Ja")),1,0))</f>
        <v/>
      </c>
      <c r="O73" s="15" t="str">
        <f>IF(H73="","",IF(COUNTIFS($A$6:$A$505,A73,$B$6:$B$505,B73,$C$6:$C$505,C73,$F$6:$F$505,F73,$G$6:$G$505,G73,$D$6:$D$505,"&lt;&gt;"&amp;D73,$H$6:$H$505,"&lt;&gt;")&gt;0,1,0))</f>
        <v/>
      </c>
    </row>
    <row r="74">
      <c r="M74" s="15" t="str">
        <f>IF(H74="","",IF(OR(J74="Vastgesteld",AND(J74="Fictieve aanname",P_Demo="Ja")),1,0))</f>
        <v/>
      </c>
      <c r="N74" s="15" t="str">
        <f>IF(H74="","",IF(OR(J74="Vastgesteld",J74="Concept",AND(J74="Fictieve aanname",P_Demo="Ja")),1,0))</f>
        <v/>
      </c>
      <c r="O74" s="15" t="str">
        <f>IF(H74="","",IF(COUNTIFS($A$6:$A$505,A74,$B$6:$B$505,B74,$C$6:$C$505,C74,$F$6:$F$505,F74,$G$6:$G$505,G74,$D$6:$D$505,"&lt;&gt;"&amp;D74,$H$6:$H$505,"&lt;&gt;")&gt;0,1,0))</f>
        <v/>
      </c>
    </row>
    <row r="75">
      <c r="M75" s="15" t="str">
        <f>IF(H75="","",IF(OR(J75="Vastgesteld",AND(J75="Fictieve aanname",P_Demo="Ja")),1,0))</f>
        <v/>
      </c>
      <c r="N75" s="15" t="str">
        <f>IF(H75="","",IF(OR(J75="Vastgesteld",J75="Concept",AND(J75="Fictieve aanname",P_Demo="Ja")),1,0))</f>
        <v/>
      </c>
      <c r="O75" s="15" t="str">
        <f>IF(H75="","",IF(COUNTIFS($A$6:$A$505,A75,$B$6:$B$505,B75,$C$6:$C$505,C75,$F$6:$F$505,F75,$G$6:$G$505,G75,$D$6:$D$505,"&lt;&gt;"&amp;D75,$H$6:$H$505,"&lt;&gt;")&gt;0,1,0))</f>
        <v/>
      </c>
    </row>
    <row r="76">
      <c r="M76" s="15" t="str">
        <f>IF(H76="","",IF(OR(J76="Vastgesteld",AND(J76="Fictieve aanname",P_Demo="Ja")),1,0))</f>
        <v/>
      </c>
      <c r="N76" s="15" t="str">
        <f>IF(H76="","",IF(OR(J76="Vastgesteld",J76="Concept",AND(J76="Fictieve aanname",P_Demo="Ja")),1,0))</f>
        <v/>
      </c>
      <c r="O76" s="15" t="str">
        <f>IF(H76="","",IF(COUNTIFS($A$6:$A$505,A76,$B$6:$B$505,B76,$C$6:$C$505,C76,$F$6:$F$505,F76,$G$6:$G$505,G76,$D$6:$D$505,"&lt;&gt;"&amp;D76,$H$6:$H$505,"&lt;&gt;")&gt;0,1,0))</f>
        <v/>
      </c>
    </row>
    <row r="77">
      <c r="M77" s="15" t="str">
        <f>IF(H77="","",IF(OR(J77="Vastgesteld",AND(J77="Fictieve aanname",P_Demo="Ja")),1,0))</f>
        <v/>
      </c>
      <c r="N77" s="15" t="str">
        <f>IF(H77="","",IF(OR(J77="Vastgesteld",J77="Concept",AND(J77="Fictieve aanname",P_Demo="Ja")),1,0))</f>
        <v/>
      </c>
      <c r="O77" s="15" t="str">
        <f>IF(H77="","",IF(COUNTIFS($A$6:$A$505,A77,$B$6:$B$505,B77,$C$6:$C$505,C77,$F$6:$F$505,F77,$G$6:$G$505,G77,$D$6:$D$505,"&lt;&gt;"&amp;D77,$H$6:$H$505,"&lt;&gt;")&gt;0,1,0))</f>
        <v/>
      </c>
    </row>
    <row r="78">
      <c r="M78" s="15" t="str">
        <f>IF(H78="","",IF(OR(J78="Vastgesteld",AND(J78="Fictieve aanname",P_Demo="Ja")),1,0))</f>
        <v/>
      </c>
      <c r="N78" s="15" t="str">
        <f>IF(H78="","",IF(OR(J78="Vastgesteld",J78="Concept",AND(J78="Fictieve aanname",P_Demo="Ja")),1,0))</f>
        <v/>
      </c>
      <c r="O78" s="15" t="str">
        <f>IF(H78="","",IF(COUNTIFS($A$6:$A$505,A78,$B$6:$B$505,B78,$C$6:$C$505,C78,$F$6:$F$505,F78,$G$6:$G$505,G78,$D$6:$D$505,"&lt;&gt;"&amp;D78,$H$6:$H$505,"&lt;&gt;")&gt;0,1,0))</f>
        <v/>
      </c>
    </row>
    <row r="79">
      <c r="M79" s="15" t="str">
        <f>IF(H79="","",IF(OR(J79="Vastgesteld",AND(J79="Fictieve aanname",P_Demo="Ja")),1,0))</f>
        <v/>
      </c>
      <c r="N79" s="15" t="str">
        <f>IF(H79="","",IF(OR(J79="Vastgesteld",J79="Concept",AND(J79="Fictieve aanname",P_Demo="Ja")),1,0))</f>
        <v/>
      </c>
      <c r="O79" s="15" t="str">
        <f>IF(H79="","",IF(COUNTIFS($A$6:$A$505,A79,$B$6:$B$505,B79,$C$6:$C$505,C79,$F$6:$F$505,F79,$G$6:$G$505,G79,$D$6:$D$505,"&lt;&gt;"&amp;D79,$H$6:$H$505,"&lt;&gt;")&gt;0,1,0))</f>
        <v/>
      </c>
    </row>
    <row r="80">
      <c r="M80" s="15" t="str">
        <f>IF(H80="","",IF(OR(J80="Vastgesteld",AND(J80="Fictieve aanname",P_Demo="Ja")),1,0))</f>
        <v/>
      </c>
      <c r="N80" s="15" t="str">
        <f>IF(H80="","",IF(OR(J80="Vastgesteld",J80="Concept",AND(J80="Fictieve aanname",P_Demo="Ja")),1,0))</f>
        <v/>
      </c>
      <c r="O80" s="15" t="str">
        <f>IF(H80="","",IF(COUNTIFS($A$6:$A$505,A80,$B$6:$B$505,B80,$C$6:$C$505,C80,$F$6:$F$505,F80,$G$6:$G$505,G80,$D$6:$D$505,"&lt;&gt;"&amp;D80,$H$6:$H$505,"&lt;&gt;")&gt;0,1,0))</f>
        <v/>
      </c>
    </row>
    <row r="81">
      <c r="M81" s="15" t="str">
        <f>IF(H81="","",IF(OR(J81="Vastgesteld",AND(J81="Fictieve aanname",P_Demo="Ja")),1,0))</f>
        <v/>
      </c>
      <c r="N81" s="15" t="str">
        <f>IF(H81="","",IF(OR(J81="Vastgesteld",J81="Concept",AND(J81="Fictieve aanname",P_Demo="Ja")),1,0))</f>
        <v/>
      </c>
      <c r="O81" s="15" t="str">
        <f>IF(H81="","",IF(COUNTIFS($A$6:$A$505,A81,$B$6:$B$505,B81,$C$6:$C$505,C81,$F$6:$F$505,F81,$G$6:$G$505,G81,$D$6:$D$505,"&lt;&gt;"&amp;D81,$H$6:$H$505,"&lt;&gt;")&gt;0,1,0))</f>
        <v/>
      </c>
    </row>
    <row r="82">
      <c r="M82" s="15" t="str">
        <f>IF(H82="","",IF(OR(J82="Vastgesteld",AND(J82="Fictieve aanname",P_Demo="Ja")),1,0))</f>
        <v/>
      </c>
      <c r="N82" s="15" t="str">
        <f>IF(H82="","",IF(OR(J82="Vastgesteld",J82="Concept",AND(J82="Fictieve aanname",P_Demo="Ja")),1,0))</f>
        <v/>
      </c>
      <c r="O82" s="15" t="str">
        <f>IF(H82="","",IF(COUNTIFS($A$6:$A$505,A82,$B$6:$B$505,B82,$C$6:$C$505,C82,$F$6:$F$505,F82,$G$6:$G$505,G82,$D$6:$D$505,"&lt;&gt;"&amp;D82,$H$6:$H$505,"&lt;&gt;")&gt;0,1,0))</f>
        <v/>
      </c>
    </row>
    <row r="83">
      <c r="M83" s="15" t="str">
        <f>IF(H83="","",IF(OR(J83="Vastgesteld",AND(J83="Fictieve aanname",P_Demo="Ja")),1,0))</f>
        <v/>
      </c>
      <c r="N83" s="15" t="str">
        <f>IF(H83="","",IF(OR(J83="Vastgesteld",J83="Concept",AND(J83="Fictieve aanname",P_Demo="Ja")),1,0))</f>
        <v/>
      </c>
      <c r="O83" s="15" t="str">
        <f>IF(H83="","",IF(COUNTIFS($A$6:$A$505,A83,$B$6:$B$505,B83,$C$6:$C$505,C83,$F$6:$F$505,F83,$G$6:$G$505,G83,$D$6:$D$505,"&lt;&gt;"&amp;D83,$H$6:$H$505,"&lt;&gt;")&gt;0,1,0))</f>
        <v/>
      </c>
    </row>
    <row r="84">
      <c r="M84" s="15" t="str">
        <f>IF(H84="","",IF(OR(J84="Vastgesteld",AND(J84="Fictieve aanname",P_Demo="Ja")),1,0))</f>
        <v/>
      </c>
      <c r="N84" s="15" t="str">
        <f>IF(H84="","",IF(OR(J84="Vastgesteld",J84="Concept",AND(J84="Fictieve aanname",P_Demo="Ja")),1,0))</f>
        <v/>
      </c>
      <c r="O84" s="15" t="str">
        <f>IF(H84="","",IF(COUNTIFS($A$6:$A$505,A84,$B$6:$B$505,B84,$C$6:$C$505,C84,$F$6:$F$505,F84,$G$6:$G$505,G84,$D$6:$D$505,"&lt;&gt;"&amp;D84,$H$6:$H$505,"&lt;&gt;")&gt;0,1,0))</f>
        <v/>
      </c>
    </row>
    <row r="85">
      <c r="M85" s="15" t="str">
        <f>IF(H85="","",IF(OR(J85="Vastgesteld",AND(J85="Fictieve aanname",P_Demo="Ja")),1,0))</f>
        <v/>
      </c>
      <c r="N85" s="15" t="str">
        <f>IF(H85="","",IF(OR(J85="Vastgesteld",J85="Concept",AND(J85="Fictieve aanname",P_Demo="Ja")),1,0))</f>
        <v/>
      </c>
      <c r="O85" s="15" t="str">
        <f>IF(H85="","",IF(COUNTIFS($A$6:$A$505,A85,$B$6:$B$505,B85,$C$6:$C$505,C85,$F$6:$F$505,F85,$G$6:$G$505,G85,$D$6:$D$505,"&lt;&gt;"&amp;D85,$H$6:$H$505,"&lt;&gt;")&gt;0,1,0))</f>
        <v/>
      </c>
    </row>
    <row r="86">
      <c r="M86" s="15" t="str">
        <f>IF(H86="","",IF(OR(J86="Vastgesteld",AND(J86="Fictieve aanname",P_Demo="Ja")),1,0))</f>
        <v/>
      </c>
      <c r="N86" s="15" t="str">
        <f>IF(H86="","",IF(OR(J86="Vastgesteld",J86="Concept",AND(J86="Fictieve aanname",P_Demo="Ja")),1,0))</f>
        <v/>
      </c>
      <c r="O86" s="15" t="str">
        <f>IF(H86="","",IF(COUNTIFS($A$6:$A$505,A86,$B$6:$B$505,B86,$C$6:$C$505,C86,$F$6:$F$505,F86,$G$6:$G$505,G86,$D$6:$D$505,"&lt;&gt;"&amp;D86,$H$6:$H$505,"&lt;&gt;")&gt;0,1,0))</f>
        <v/>
      </c>
    </row>
    <row r="87">
      <c r="M87" s="15" t="str">
        <f>IF(H87="","",IF(OR(J87="Vastgesteld",AND(J87="Fictieve aanname",P_Demo="Ja")),1,0))</f>
        <v/>
      </c>
      <c r="N87" s="15" t="str">
        <f>IF(H87="","",IF(OR(J87="Vastgesteld",J87="Concept",AND(J87="Fictieve aanname",P_Demo="Ja")),1,0))</f>
        <v/>
      </c>
      <c r="O87" s="15" t="str">
        <f>IF(H87="","",IF(COUNTIFS($A$6:$A$505,A87,$B$6:$B$505,B87,$C$6:$C$505,C87,$F$6:$F$505,F87,$G$6:$G$505,G87,$D$6:$D$505,"&lt;&gt;"&amp;D87,$H$6:$H$505,"&lt;&gt;")&gt;0,1,0))</f>
        <v/>
      </c>
    </row>
    <row r="88">
      <c r="M88" s="15" t="str">
        <f>IF(H88="","",IF(OR(J88="Vastgesteld",AND(J88="Fictieve aanname",P_Demo="Ja")),1,0))</f>
        <v/>
      </c>
      <c r="N88" s="15" t="str">
        <f>IF(H88="","",IF(OR(J88="Vastgesteld",J88="Concept",AND(J88="Fictieve aanname",P_Demo="Ja")),1,0))</f>
        <v/>
      </c>
      <c r="O88" s="15" t="str">
        <f>IF(H88="","",IF(COUNTIFS($A$6:$A$505,A88,$B$6:$B$505,B88,$C$6:$C$505,C88,$F$6:$F$505,F88,$G$6:$G$505,G88,$D$6:$D$505,"&lt;&gt;"&amp;D88,$H$6:$H$505,"&lt;&gt;")&gt;0,1,0))</f>
        <v/>
      </c>
    </row>
    <row r="89">
      <c r="M89" s="15" t="str">
        <f>IF(H89="","",IF(OR(J89="Vastgesteld",AND(J89="Fictieve aanname",P_Demo="Ja")),1,0))</f>
        <v/>
      </c>
      <c r="N89" s="15" t="str">
        <f>IF(H89="","",IF(OR(J89="Vastgesteld",J89="Concept",AND(J89="Fictieve aanname",P_Demo="Ja")),1,0))</f>
        <v/>
      </c>
      <c r="O89" s="15" t="str">
        <f>IF(H89="","",IF(COUNTIFS($A$6:$A$505,A89,$B$6:$B$505,B89,$C$6:$C$505,C89,$F$6:$F$505,F89,$G$6:$G$505,G89,$D$6:$D$505,"&lt;&gt;"&amp;D89,$H$6:$H$505,"&lt;&gt;")&gt;0,1,0))</f>
        <v/>
      </c>
    </row>
    <row r="90">
      <c r="M90" s="15" t="str">
        <f>IF(H90="","",IF(OR(J90="Vastgesteld",AND(J90="Fictieve aanname",P_Demo="Ja")),1,0))</f>
        <v/>
      </c>
      <c r="N90" s="15" t="str">
        <f>IF(H90="","",IF(OR(J90="Vastgesteld",J90="Concept",AND(J90="Fictieve aanname",P_Demo="Ja")),1,0))</f>
        <v/>
      </c>
      <c r="O90" s="15" t="str">
        <f>IF(H90="","",IF(COUNTIFS($A$6:$A$505,A90,$B$6:$B$505,B90,$C$6:$C$505,C90,$F$6:$F$505,F90,$G$6:$G$505,G90,$D$6:$D$505,"&lt;&gt;"&amp;D90,$H$6:$H$505,"&lt;&gt;")&gt;0,1,0))</f>
        <v/>
      </c>
    </row>
    <row r="91">
      <c r="M91" s="15" t="str">
        <f>IF(H91="","",IF(OR(J91="Vastgesteld",AND(J91="Fictieve aanname",P_Demo="Ja")),1,0))</f>
        <v/>
      </c>
      <c r="N91" s="15" t="str">
        <f>IF(H91="","",IF(OR(J91="Vastgesteld",J91="Concept",AND(J91="Fictieve aanname",P_Demo="Ja")),1,0))</f>
        <v/>
      </c>
      <c r="O91" s="15" t="str">
        <f>IF(H91="","",IF(COUNTIFS($A$6:$A$505,A91,$B$6:$B$505,B91,$C$6:$C$505,C91,$F$6:$F$505,F91,$G$6:$G$505,G91,$D$6:$D$505,"&lt;&gt;"&amp;D91,$H$6:$H$505,"&lt;&gt;")&gt;0,1,0))</f>
        <v/>
      </c>
    </row>
    <row r="92">
      <c r="M92" s="15" t="str">
        <f>IF(H92="","",IF(OR(J92="Vastgesteld",AND(J92="Fictieve aanname",P_Demo="Ja")),1,0))</f>
        <v/>
      </c>
      <c r="N92" s="15" t="str">
        <f>IF(H92="","",IF(OR(J92="Vastgesteld",J92="Concept",AND(J92="Fictieve aanname",P_Demo="Ja")),1,0))</f>
        <v/>
      </c>
      <c r="O92" s="15" t="str">
        <f>IF(H92="","",IF(COUNTIFS($A$6:$A$505,A92,$B$6:$B$505,B92,$C$6:$C$505,C92,$F$6:$F$505,F92,$G$6:$G$505,G92,$D$6:$D$505,"&lt;&gt;"&amp;D92,$H$6:$H$505,"&lt;&gt;")&gt;0,1,0))</f>
        <v/>
      </c>
    </row>
    <row r="93">
      <c r="M93" s="15" t="str">
        <f>IF(H93="","",IF(OR(J93="Vastgesteld",AND(J93="Fictieve aanname",P_Demo="Ja")),1,0))</f>
        <v/>
      </c>
      <c r="N93" s="15" t="str">
        <f>IF(H93="","",IF(OR(J93="Vastgesteld",J93="Concept",AND(J93="Fictieve aanname",P_Demo="Ja")),1,0))</f>
        <v/>
      </c>
      <c r="O93" s="15" t="str">
        <f>IF(H93="","",IF(COUNTIFS($A$6:$A$505,A93,$B$6:$B$505,B93,$C$6:$C$505,C93,$F$6:$F$505,F93,$G$6:$G$505,G93,$D$6:$D$505,"&lt;&gt;"&amp;D93,$H$6:$H$505,"&lt;&gt;")&gt;0,1,0))</f>
        <v/>
      </c>
    </row>
    <row r="94">
      <c r="M94" s="15" t="str">
        <f>IF(H94="","",IF(OR(J94="Vastgesteld",AND(J94="Fictieve aanname",P_Demo="Ja")),1,0))</f>
        <v/>
      </c>
      <c r="N94" s="15" t="str">
        <f>IF(H94="","",IF(OR(J94="Vastgesteld",J94="Concept",AND(J94="Fictieve aanname",P_Demo="Ja")),1,0))</f>
        <v/>
      </c>
      <c r="O94" s="15" t="str">
        <f>IF(H94="","",IF(COUNTIFS($A$6:$A$505,A94,$B$6:$B$505,B94,$C$6:$C$505,C94,$F$6:$F$505,F94,$G$6:$G$505,G94,$D$6:$D$505,"&lt;&gt;"&amp;D94,$H$6:$H$505,"&lt;&gt;")&gt;0,1,0))</f>
        <v/>
      </c>
    </row>
    <row r="95">
      <c r="M95" s="15" t="str">
        <f>IF(H95="","",IF(OR(J95="Vastgesteld",AND(J95="Fictieve aanname",P_Demo="Ja")),1,0))</f>
        <v/>
      </c>
      <c r="N95" s="15" t="str">
        <f>IF(H95="","",IF(OR(J95="Vastgesteld",J95="Concept",AND(J95="Fictieve aanname",P_Demo="Ja")),1,0))</f>
        <v/>
      </c>
      <c r="O95" s="15" t="str">
        <f>IF(H95="","",IF(COUNTIFS($A$6:$A$505,A95,$B$6:$B$505,B95,$C$6:$C$505,C95,$F$6:$F$505,F95,$G$6:$G$505,G95,$D$6:$D$505,"&lt;&gt;"&amp;D95,$H$6:$H$505,"&lt;&gt;")&gt;0,1,0))</f>
        <v/>
      </c>
    </row>
    <row r="96">
      <c r="M96" s="15" t="str">
        <f>IF(H96="","",IF(OR(J96="Vastgesteld",AND(J96="Fictieve aanname",P_Demo="Ja")),1,0))</f>
        <v/>
      </c>
      <c r="N96" s="15" t="str">
        <f>IF(H96="","",IF(OR(J96="Vastgesteld",J96="Concept",AND(J96="Fictieve aanname",P_Demo="Ja")),1,0))</f>
        <v/>
      </c>
      <c r="O96" s="15" t="str">
        <f>IF(H96="","",IF(COUNTIFS($A$6:$A$505,A96,$B$6:$B$505,B96,$C$6:$C$505,C96,$F$6:$F$505,F96,$G$6:$G$505,G96,$D$6:$D$505,"&lt;&gt;"&amp;D96,$H$6:$H$505,"&lt;&gt;")&gt;0,1,0))</f>
        <v/>
      </c>
    </row>
    <row r="97">
      <c r="M97" s="15" t="str">
        <f>IF(H97="","",IF(OR(J97="Vastgesteld",AND(J97="Fictieve aanname",P_Demo="Ja")),1,0))</f>
        <v/>
      </c>
      <c r="N97" s="15" t="str">
        <f>IF(H97="","",IF(OR(J97="Vastgesteld",J97="Concept",AND(J97="Fictieve aanname",P_Demo="Ja")),1,0))</f>
        <v/>
      </c>
      <c r="O97" s="15" t="str">
        <f>IF(H97="","",IF(COUNTIFS($A$6:$A$505,A97,$B$6:$B$505,B97,$C$6:$C$505,C97,$F$6:$F$505,F97,$G$6:$G$505,G97,$D$6:$D$505,"&lt;&gt;"&amp;D97,$H$6:$H$505,"&lt;&gt;")&gt;0,1,0))</f>
        <v/>
      </c>
    </row>
    <row r="98">
      <c r="M98" s="15" t="str">
        <f>IF(H98="","",IF(OR(J98="Vastgesteld",AND(J98="Fictieve aanname",P_Demo="Ja")),1,0))</f>
        <v/>
      </c>
      <c r="N98" s="15" t="str">
        <f>IF(H98="","",IF(OR(J98="Vastgesteld",J98="Concept",AND(J98="Fictieve aanname",P_Demo="Ja")),1,0))</f>
        <v/>
      </c>
      <c r="O98" s="15" t="str">
        <f>IF(H98="","",IF(COUNTIFS($A$6:$A$505,A98,$B$6:$B$505,B98,$C$6:$C$505,C98,$F$6:$F$505,F98,$G$6:$G$505,G98,$D$6:$D$505,"&lt;&gt;"&amp;D98,$H$6:$H$505,"&lt;&gt;")&gt;0,1,0))</f>
        <v/>
      </c>
    </row>
    <row r="99">
      <c r="M99" s="15" t="str">
        <f>IF(H99="","",IF(OR(J99="Vastgesteld",AND(J99="Fictieve aanname",P_Demo="Ja")),1,0))</f>
        <v/>
      </c>
      <c r="N99" s="15" t="str">
        <f>IF(H99="","",IF(OR(J99="Vastgesteld",J99="Concept",AND(J99="Fictieve aanname",P_Demo="Ja")),1,0))</f>
        <v/>
      </c>
      <c r="O99" s="15" t="str">
        <f>IF(H99="","",IF(COUNTIFS($A$6:$A$505,A99,$B$6:$B$505,B99,$C$6:$C$505,C99,$F$6:$F$505,F99,$G$6:$G$505,G99,$D$6:$D$505,"&lt;&gt;"&amp;D99,$H$6:$H$505,"&lt;&gt;")&gt;0,1,0))</f>
        <v/>
      </c>
    </row>
    <row r="100">
      <c r="M100" s="15" t="str">
        <f>IF(H100="","",IF(OR(J100="Vastgesteld",AND(J100="Fictieve aanname",P_Demo="Ja")),1,0))</f>
        <v/>
      </c>
      <c r="N100" s="15" t="str">
        <f>IF(H100="","",IF(OR(J100="Vastgesteld",J100="Concept",AND(J100="Fictieve aanname",P_Demo="Ja")),1,0))</f>
        <v/>
      </c>
      <c r="O100" s="15" t="str">
        <f>IF(H100="","",IF(COUNTIFS($A$6:$A$505,A100,$B$6:$B$505,B100,$C$6:$C$505,C100,$F$6:$F$505,F100,$G$6:$G$505,G100,$D$6:$D$505,"&lt;&gt;"&amp;D100,$H$6:$H$505,"&lt;&gt;")&gt;0,1,0))</f>
        <v/>
      </c>
    </row>
    <row r="101">
      <c r="M101" s="15" t="str">
        <f>IF(H101="","",IF(OR(J101="Vastgesteld",AND(J101="Fictieve aanname",P_Demo="Ja")),1,0))</f>
        <v/>
      </c>
      <c r="N101" s="15" t="str">
        <f>IF(H101="","",IF(OR(J101="Vastgesteld",J101="Concept",AND(J101="Fictieve aanname",P_Demo="Ja")),1,0))</f>
        <v/>
      </c>
      <c r="O101" s="15" t="str">
        <f>IF(H101="","",IF(COUNTIFS($A$6:$A$505,A101,$B$6:$B$505,B101,$C$6:$C$505,C101,$F$6:$F$505,F101,$G$6:$G$505,G101,$D$6:$D$505,"&lt;&gt;"&amp;D101,$H$6:$H$505,"&lt;&gt;")&gt;0,1,0))</f>
        <v/>
      </c>
    </row>
    <row r="102">
      <c r="M102" s="15" t="str">
        <f>IF(H102="","",IF(OR(J102="Vastgesteld",AND(J102="Fictieve aanname",P_Demo="Ja")),1,0))</f>
        <v/>
      </c>
      <c r="N102" s="15" t="str">
        <f>IF(H102="","",IF(OR(J102="Vastgesteld",J102="Concept",AND(J102="Fictieve aanname",P_Demo="Ja")),1,0))</f>
        <v/>
      </c>
      <c r="O102" s="15" t="str">
        <f>IF(H102="","",IF(COUNTIFS($A$6:$A$505,A102,$B$6:$B$505,B102,$C$6:$C$505,C102,$F$6:$F$505,F102,$G$6:$G$505,G102,$D$6:$D$505,"&lt;&gt;"&amp;D102,$H$6:$H$505,"&lt;&gt;")&gt;0,1,0))</f>
        <v/>
      </c>
    </row>
    <row r="103">
      <c r="M103" s="15" t="str">
        <f>IF(H103="","",IF(OR(J103="Vastgesteld",AND(J103="Fictieve aanname",P_Demo="Ja")),1,0))</f>
        <v/>
      </c>
      <c r="N103" s="15" t="str">
        <f>IF(H103="","",IF(OR(J103="Vastgesteld",J103="Concept",AND(J103="Fictieve aanname",P_Demo="Ja")),1,0))</f>
        <v/>
      </c>
      <c r="O103" s="15" t="str">
        <f>IF(H103="","",IF(COUNTIFS($A$6:$A$505,A103,$B$6:$B$505,B103,$C$6:$C$505,C103,$F$6:$F$505,F103,$G$6:$G$505,G103,$D$6:$D$505,"&lt;&gt;"&amp;D103,$H$6:$H$505,"&lt;&gt;")&gt;0,1,0))</f>
        <v/>
      </c>
    </row>
    <row r="104">
      <c r="M104" s="15" t="str">
        <f>IF(H104="","",IF(OR(J104="Vastgesteld",AND(J104="Fictieve aanname",P_Demo="Ja")),1,0))</f>
        <v/>
      </c>
      <c r="N104" s="15" t="str">
        <f>IF(H104="","",IF(OR(J104="Vastgesteld",J104="Concept",AND(J104="Fictieve aanname",P_Demo="Ja")),1,0))</f>
        <v/>
      </c>
      <c r="O104" s="15" t="str">
        <f>IF(H104="","",IF(COUNTIFS($A$6:$A$505,A104,$B$6:$B$505,B104,$C$6:$C$505,C104,$F$6:$F$505,F104,$G$6:$G$505,G104,$D$6:$D$505,"&lt;&gt;"&amp;D104,$H$6:$H$505,"&lt;&gt;")&gt;0,1,0))</f>
        <v/>
      </c>
    </row>
    <row r="105">
      <c r="M105" s="15" t="str">
        <f>IF(H105="","",IF(OR(J105="Vastgesteld",AND(J105="Fictieve aanname",P_Demo="Ja")),1,0))</f>
        <v/>
      </c>
      <c r="N105" s="15" t="str">
        <f>IF(H105="","",IF(OR(J105="Vastgesteld",J105="Concept",AND(J105="Fictieve aanname",P_Demo="Ja")),1,0))</f>
        <v/>
      </c>
      <c r="O105" s="15" t="str">
        <f>IF(H105="","",IF(COUNTIFS($A$6:$A$505,A105,$B$6:$B$505,B105,$C$6:$C$505,C105,$F$6:$F$505,F105,$G$6:$G$505,G105,$D$6:$D$505,"&lt;&gt;"&amp;D105,$H$6:$H$505,"&lt;&gt;")&gt;0,1,0))</f>
        <v/>
      </c>
    </row>
    <row r="106">
      <c r="M106" s="15" t="str">
        <f>IF(H106="","",IF(OR(J106="Vastgesteld",AND(J106="Fictieve aanname",P_Demo="Ja")),1,0))</f>
        <v/>
      </c>
      <c r="N106" s="15" t="str">
        <f>IF(H106="","",IF(OR(J106="Vastgesteld",J106="Concept",AND(J106="Fictieve aanname",P_Demo="Ja")),1,0))</f>
        <v/>
      </c>
      <c r="O106" s="15" t="str">
        <f>IF(H106="","",IF(COUNTIFS($A$6:$A$505,A106,$B$6:$B$505,B106,$C$6:$C$505,C106,$F$6:$F$505,F106,$G$6:$G$505,G106,$D$6:$D$505,"&lt;&gt;"&amp;D106,$H$6:$H$505,"&lt;&gt;")&gt;0,1,0))</f>
        <v/>
      </c>
    </row>
    <row r="107">
      <c r="M107" s="15" t="str">
        <f>IF(H107="","",IF(OR(J107="Vastgesteld",AND(J107="Fictieve aanname",P_Demo="Ja")),1,0))</f>
        <v/>
      </c>
      <c r="N107" s="15" t="str">
        <f>IF(H107="","",IF(OR(J107="Vastgesteld",J107="Concept",AND(J107="Fictieve aanname",P_Demo="Ja")),1,0))</f>
        <v/>
      </c>
      <c r="O107" s="15" t="str">
        <f>IF(H107="","",IF(COUNTIFS($A$6:$A$505,A107,$B$6:$B$505,B107,$C$6:$C$505,C107,$F$6:$F$505,F107,$G$6:$G$505,G107,$D$6:$D$505,"&lt;&gt;"&amp;D107,$H$6:$H$505,"&lt;&gt;")&gt;0,1,0))</f>
        <v/>
      </c>
    </row>
    <row r="108">
      <c r="M108" s="15" t="str">
        <f>IF(H108="","",IF(OR(J108="Vastgesteld",AND(J108="Fictieve aanname",P_Demo="Ja")),1,0))</f>
        <v/>
      </c>
      <c r="N108" s="15" t="str">
        <f>IF(H108="","",IF(OR(J108="Vastgesteld",J108="Concept",AND(J108="Fictieve aanname",P_Demo="Ja")),1,0))</f>
        <v/>
      </c>
      <c r="O108" s="15" t="str">
        <f>IF(H108="","",IF(COUNTIFS($A$6:$A$505,A108,$B$6:$B$505,B108,$C$6:$C$505,C108,$F$6:$F$505,F108,$G$6:$G$505,G108,$D$6:$D$505,"&lt;&gt;"&amp;D108,$H$6:$H$505,"&lt;&gt;")&gt;0,1,0))</f>
        <v/>
      </c>
    </row>
    <row r="109">
      <c r="M109" s="15" t="str">
        <f>IF(H109="","",IF(OR(J109="Vastgesteld",AND(J109="Fictieve aanname",P_Demo="Ja")),1,0))</f>
        <v/>
      </c>
      <c r="N109" s="15" t="str">
        <f>IF(H109="","",IF(OR(J109="Vastgesteld",J109="Concept",AND(J109="Fictieve aanname",P_Demo="Ja")),1,0))</f>
        <v/>
      </c>
      <c r="O109" s="15" t="str">
        <f>IF(H109="","",IF(COUNTIFS($A$6:$A$505,A109,$B$6:$B$505,B109,$C$6:$C$505,C109,$F$6:$F$505,F109,$G$6:$G$505,G109,$D$6:$D$505,"&lt;&gt;"&amp;D109,$H$6:$H$505,"&lt;&gt;")&gt;0,1,0))</f>
        <v/>
      </c>
    </row>
    <row r="110">
      <c r="M110" s="15" t="str">
        <f>IF(H110="","",IF(OR(J110="Vastgesteld",AND(J110="Fictieve aanname",P_Demo="Ja")),1,0))</f>
        <v/>
      </c>
      <c r="N110" s="15" t="str">
        <f>IF(H110="","",IF(OR(J110="Vastgesteld",J110="Concept",AND(J110="Fictieve aanname",P_Demo="Ja")),1,0))</f>
        <v/>
      </c>
      <c r="O110" s="15" t="str">
        <f>IF(H110="","",IF(COUNTIFS($A$6:$A$505,A110,$B$6:$B$505,B110,$C$6:$C$505,C110,$F$6:$F$505,F110,$G$6:$G$505,G110,$D$6:$D$505,"&lt;&gt;"&amp;D110,$H$6:$H$505,"&lt;&gt;")&gt;0,1,0))</f>
        <v/>
      </c>
    </row>
    <row r="111">
      <c r="M111" s="15" t="str">
        <f>IF(H111="","",IF(OR(J111="Vastgesteld",AND(J111="Fictieve aanname",P_Demo="Ja")),1,0))</f>
        <v/>
      </c>
      <c r="N111" s="15" t="str">
        <f>IF(H111="","",IF(OR(J111="Vastgesteld",J111="Concept",AND(J111="Fictieve aanname",P_Demo="Ja")),1,0))</f>
        <v/>
      </c>
      <c r="O111" s="15" t="str">
        <f>IF(H111="","",IF(COUNTIFS($A$6:$A$505,A111,$B$6:$B$505,B111,$C$6:$C$505,C111,$F$6:$F$505,F111,$G$6:$G$505,G111,$D$6:$D$505,"&lt;&gt;"&amp;D111,$H$6:$H$505,"&lt;&gt;")&gt;0,1,0))</f>
        <v/>
      </c>
    </row>
    <row r="112">
      <c r="M112" s="15" t="str">
        <f>IF(H112="","",IF(OR(J112="Vastgesteld",AND(J112="Fictieve aanname",P_Demo="Ja")),1,0))</f>
        <v/>
      </c>
      <c r="N112" s="15" t="str">
        <f>IF(H112="","",IF(OR(J112="Vastgesteld",J112="Concept",AND(J112="Fictieve aanname",P_Demo="Ja")),1,0))</f>
        <v/>
      </c>
      <c r="O112" s="15" t="str">
        <f>IF(H112="","",IF(COUNTIFS($A$6:$A$505,A112,$B$6:$B$505,B112,$C$6:$C$505,C112,$F$6:$F$505,F112,$G$6:$G$505,G112,$D$6:$D$505,"&lt;&gt;"&amp;D112,$H$6:$H$505,"&lt;&gt;")&gt;0,1,0))</f>
        <v/>
      </c>
    </row>
    <row r="113">
      <c r="M113" s="15" t="str">
        <f>IF(H113="","",IF(OR(J113="Vastgesteld",AND(J113="Fictieve aanname",P_Demo="Ja")),1,0))</f>
        <v/>
      </c>
      <c r="N113" s="15" t="str">
        <f>IF(H113="","",IF(OR(J113="Vastgesteld",J113="Concept",AND(J113="Fictieve aanname",P_Demo="Ja")),1,0))</f>
        <v/>
      </c>
      <c r="O113" s="15" t="str">
        <f>IF(H113="","",IF(COUNTIFS($A$6:$A$505,A113,$B$6:$B$505,B113,$C$6:$C$505,C113,$F$6:$F$505,F113,$G$6:$G$505,G113,$D$6:$D$505,"&lt;&gt;"&amp;D113,$H$6:$H$505,"&lt;&gt;")&gt;0,1,0))</f>
        <v/>
      </c>
    </row>
    <row r="114">
      <c r="M114" s="15" t="str">
        <f>IF(H114="","",IF(OR(J114="Vastgesteld",AND(J114="Fictieve aanname",P_Demo="Ja")),1,0))</f>
        <v/>
      </c>
      <c r="N114" s="15" t="str">
        <f>IF(H114="","",IF(OR(J114="Vastgesteld",J114="Concept",AND(J114="Fictieve aanname",P_Demo="Ja")),1,0))</f>
        <v/>
      </c>
      <c r="O114" s="15" t="str">
        <f>IF(H114="","",IF(COUNTIFS($A$6:$A$505,A114,$B$6:$B$505,B114,$C$6:$C$505,C114,$F$6:$F$505,F114,$G$6:$G$505,G114,$D$6:$D$505,"&lt;&gt;"&amp;D114,$H$6:$H$505,"&lt;&gt;")&gt;0,1,0))</f>
        <v/>
      </c>
    </row>
    <row r="115">
      <c r="M115" s="15" t="str">
        <f>IF(H115="","",IF(OR(J115="Vastgesteld",AND(J115="Fictieve aanname",P_Demo="Ja")),1,0))</f>
        <v/>
      </c>
      <c r="N115" s="15" t="str">
        <f>IF(H115="","",IF(OR(J115="Vastgesteld",J115="Concept",AND(J115="Fictieve aanname",P_Demo="Ja")),1,0))</f>
        <v/>
      </c>
      <c r="O115" s="15" t="str">
        <f>IF(H115="","",IF(COUNTIFS($A$6:$A$505,A115,$B$6:$B$505,B115,$C$6:$C$505,C115,$F$6:$F$505,F115,$G$6:$G$505,G115,$D$6:$D$505,"&lt;&gt;"&amp;D115,$H$6:$H$505,"&lt;&gt;")&gt;0,1,0))</f>
        <v/>
      </c>
    </row>
    <row r="116">
      <c r="M116" s="15" t="str">
        <f>IF(H116="","",IF(OR(J116="Vastgesteld",AND(J116="Fictieve aanname",P_Demo="Ja")),1,0))</f>
        <v/>
      </c>
      <c r="N116" s="15" t="str">
        <f>IF(H116="","",IF(OR(J116="Vastgesteld",J116="Concept",AND(J116="Fictieve aanname",P_Demo="Ja")),1,0))</f>
        <v/>
      </c>
      <c r="O116" s="15" t="str">
        <f>IF(H116="","",IF(COUNTIFS($A$6:$A$505,A116,$B$6:$B$505,B116,$C$6:$C$505,C116,$F$6:$F$505,F116,$G$6:$G$505,G116,$D$6:$D$505,"&lt;&gt;"&amp;D116,$H$6:$H$505,"&lt;&gt;")&gt;0,1,0))</f>
        <v/>
      </c>
    </row>
    <row r="117">
      <c r="M117" s="15" t="str">
        <f>IF(H117="","",IF(OR(J117="Vastgesteld",AND(J117="Fictieve aanname",P_Demo="Ja")),1,0))</f>
        <v/>
      </c>
      <c r="N117" s="15" t="str">
        <f>IF(H117="","",IF(OR(J117="Vastgesteld",J117="Concept",AND(J117="Fictieve aanname",P_Demo="Ja")),1,0))</f>
        <v/>
      </c>
      <c r="O117" s="15" t="str">
        <f>IF(H117="","",IF(COUNTIFS($A$6:$A$505,A117,$B$6:$B$505,B117,$C$6:$C$505,C117,$F$6:$F$505,F117,$G$6:$G$505,G117,$D$6:$D$505,"&lt;&gt;"&amp;D117,$H$6:$H$505,"&lt;&gt;")&gt;0,1,0))</f>
        <v/>
      </c>
    </row>
    <row r="118">
      <c r="M118" s="15" t="str">
        <f>IF(H118="","",IF(OR(J118="Vastgesteld",AND(J118="Fictieve aanname",P_Demo="Ja")),1,0))</f>
        <v/>
      </c>
      <c r="N118" s="15" t="str">
        <f>IF(H118="","",IF(OR(J118="Vastgesteld",J118="Concept",AND(J118="Fictieve aanname",P_Demo="Ja")),1,0))</f>
        <v/>
      </c>
      <c r="O118" s="15" t="str">
        <f>IF(H118="","",IF(COUNTIFS($A$6:$A$505,A118,$B$6:$B$505,B118,$C$6:$C$505,C118,$F$6:$F$505,F118,$G$6:$G$505,G118,$D$6:$D$505,"&lt;&gt;"&amp;D118,$H$6:$H$505,"&lt;&gt;")&gt;0,1,0))</f>
        <v/>
      </c>
    </row>
    <row r="119">
      <c r="M119" s="15" t="str">
        <f>IF(H119="","",IF(OR(J119="Vastgesteld",AND(J119="Fictieve aanname",P_Demo="Ja")),1,0))</f>
        <v/>
      </c>
      <c r="N119" s="15" t="str">
        <f>IF(H119="","",IF(OR(J119="Vastgesteld",J119="Concept",AND(J119="Fictieve aanname",P_Demo="Ja")),1,0))</f>
        <v/>
      </c>
      <c r="O119" s="15" t="str">
        <f>IF(H119="","",IF(COUNTIFS($A$6:$A$505,A119,$B$6:$B$505,B119,$C$6:$C$505,C119,$F$6:$F$505,F119,$G$6:$G$505,G119,$D$6:$D$505,"&lt;&gt;"&amp;D119,$H$6:$H$505,"&lt;&gt;")&gt;0,1,0))</f>
        <v/>
      </c>
    </row>
    <row r="120">
      <c r="M120" s="15" t="str">
        <f>IF(H120="","",IF(OR(J120="Vastgesteld",AND(J120="Fictieve aanname",P_Demo="Ja")),1,0))</f>
        <v/>
      </c>
      <c r="N120" s="15" t="str">
        <f>IF(H120="","",IF(OR(J120="Vastgesteld",J120="Concept",AND(J120="Fictieve aanname",P_Demo="Ja")),1,0))</f>
        <v/>
      </c>
      <c r="O120" s="15" t="str">
        <f>IF(H120="","",IF(COUNTIFS($A$6:$A$505,A120,$B$6:$B$505,B120,$C$6:$C$505,C120,$F$6:$F$505,F120,$G$6:$G$505,G120,$D$6:$D$505,"&lt;&gt;"&amp;D120,$H$6:$H$505,"&lt;&gt;")&gt;0,1,0))</f>
        <v/>
      </c>
    </row>
    <row r="121">
      <c r="M121" s="15" t="str">
        <f>IF(H121="","",IF(OR(J121="Vastgesteld",AND(J121="Fictieve aanname",P_Demo="Ja")),1,0))</f>
        <v/>
      </c>
      <c r="N121" s="15" t="str">
        <f>IF(H121="","",IF(OR(J121="Vastgesteld",J121="Concept",AND(J121="Fictieve aanname",P_Demo="Ja")),1,0))</f>
        <v/>
      </c>
      <c r="O121" s="15" t="str">
        <f>IF(H121="","",IF(COUNTIFS($A$6:$A$505,A121,$B$6:$B$505,B121,$C$6:$C$505,C121,$F$6:$F$505,F121,$G$6:$G$505,G121,$D$6:$D$505,"&lt;&gt;"&amp;D121,$H$6:$H$505,"&lt;&gt;")&gt;0,1,0))</f>
        <v/>
      </c>
    </row>
    <row r="122">
      <c r="M122" s="15" t="str">
        <f>IF(H122="","",IF(OR(J122="Vastgesteld",AND(J122="Fictieve aanname",P_Demo="Ja")),1,0))</f>
        <v/>
      </c>
      <c r="N122" s="15" t="str">
        <f>IF(H122="","",IF(OR(J122="Vastgesteld",J122="Concept",AND(J122="Fictieve aanname",P_Demo="Ja")),1,0))</f>
        <v/>
      </c>
      <c r="O122" s="15" t="str">
        <f>IF(H122="","",IF(COUNTIFS($A$6:$A$505,A122,$B$6:$B$505,B122,$C$6:$C$505,C122,$F$6:$F$505,F122,$G$6:$G$505,G122,$D$6:$D$505,"&lt;&gt;"&amp;D122,$H$6:$H$505,"&lt;&gt;")&gt;0,1,0))</f>
        <v/>
      </c>
    </row>
    <row r="123">
      <c r="M123" s="15" t="str">
        <f>IF(H123="","",IF(OR(J123="Vastgesteld",AND(J123="Fictieve aanname",P_Demo="Ja")),1,0))</f>
        <v/>
      </c>
      <c r="N123" s="15" t="str">
        <f>IF(H123="","",IF(OR(J123="Vastgesteld",J123="Concept",AND(J123="Fictieve aanname",P_Demo="Ja")),1,0))</f>
        <v/>
      </c>
      <c r="O123" s="15" t="str">
        <f>IF(H123="","",IF(COUNTIFS($A$6:$A$505,A123,$B$6:$B$505,B123,$C$6:$C$505,C123,$F$6:$F$505,F123,$G$6:$G$505,G123,$D$6:$D$505,"&lt;&gt;"&amp;D123,$H$6:$H$505,"&lt;&gt;")&gt;0,1,0))</f>
        <v/>
      </c>
    </row>
    <row r="124">
      <c r="M124" s="15" t="str">
        <f>IF(H124="","",IF(OR(J124="Vastgesteld",AND(J124="Fictieve aanname",P_Demo="Ja")),1,0))</f>
        <v/>
      </c>
      <c r="N124" s="15" t="str">
        <f>IF(H124="","",IF(OR(J124="Vastgesteld",J124="Concept",AND(J124="Fictieve aanname",P_Demo="Ja")),1,0))</f>
        <v/>
      </c>
      <c r="O124" s="15" t="str">
        <f>IF(H124="","",IF(COUNTIFS($A$6:$A$505,A124,$B$6:$B$505,B124,$C$6:$C$505,C124,$F$6:$F$505,F124,$G$6:$G$505,G124,$D$6:$D$505,"&lt;&gt;"&amp;D124,$H$6:$H$505,"&lt;&gt;")&gt;0,1,0))</f>
        <v/>
      </c>
    </row>
    <row r="125">
      <c r="M125" s="15" t="str">
        <f>IF(H125="","",IF(OR(J125="Vastgesteld",AND(J125="Fictieve aanname",P_Demo="Ja")),1,0))</f>
        <v/>
      </c>
      <c r="N125" s="15" t="str">
        <f>IF(H125="","",IF(OR(J125="Vastgesteld",J125="Concept",AND(J125="Fictieve aanname",P_Demo="Ja")),1,0))</f>
        <v/>
      </c>
      <c r="O125" s="15" t="str">
        <f>IF(H125="","",IF(COUNTIFS($A$6:$A$505,A125,$B$6:$B$505,B125,$C$6:$C$505,C125,$F$6:$F$505,F125,$G$6:$G$505,G125,$D$6:$D$505,"&lt;&gt;"&amp;D125,$H$6:$H$505,"&lt;&gt;")&gt;0,1,0))</f>
        <v/>
      </c>
    </row>
    <row r="126">
      <c r="M126" s="15" t="str">
        <f>IF(H126="","",IF(OR(J126="Vastgesteld",AND(J126="Fictieve aanname",P_Demo="Ja")),1,0))</f>
        <v/>
      </c>
      <c r="N126" s="15" t="str">
        <f>IF(H126="","",IF(OR(J126="Vastgesteld",J126="Concept",AND(J126="Fictieve aanname",P_Demo="Ja")),1,0))</f>
        <v/>
      </c>
      <c r="O126" s="15" t="str">
        <f>IF(H126="","",IF(COUNTIFS($A$6:$A$505,A126,$B$6:$B$505,B126,$C$6:$C$505,C126,$F$6:$F$505,F126,$G$6:$G$505,G126,$D$6:$D$505,"&lt;&gt;"&amp;D126,$H$6:$H$505,"&lt;&gt;")&gt;0,1,0))</f>
        <v/>
      </c>
    </row>
    <row r="127">
      <c r="M127" s="15" t="str">
        <f>IF(H127="","",IF(OR(J127="Vastgesteld",AND(J127="Fictieve aanname",P_Demo="Ja")),1,0))</f>
        <v/>
      </c>
      <c r="N127" s="15" t="str">
        <f>IF(H127="","",IF(OR(J127="Vastgesteld",J127="Concept",AND(J127="Fictieve aanname",P_Demo="Ja")),1,0))</f>
        <v/>
      </c>
      <c r="O127" s="15" t="str">
        <f>IF(H127="","",IF(COUNTIFS($A$6:$A$505,A127,$B$6:$B$505,B127,$C$6:$C$505,C127,$F$6:$F$505,F127,$G$6:$G$505,G127,$D$6:$D$505,"&lt;&gt;"&amp;D127,$H$6:$H$505,"&lt;&gt;")&gt;0,1,0))</f>
        <v/>
      </c>
    </row>
    <row r="128">
      <c r="M128" s="15" t="str">
        <f>IF(H128="","",IF(OR(J128="Vastgesteld",AND(J128="Fictieve aanname",P_Demo="Ja")),1,0))</f>
        <v/>
      </c>
      <c r="N128" s="15" t="str">
        <f>IF(H128="","",IF(OR(J128="Vastgesteld",J128="Concept",AND(J128="Fictieve aanname",P_Demo="Ja")),1,0))</f>
        <v/>
      </c>
      <c r="O128" s="15" t="str">
        <f>IF(H128="","",IF(COUNTIFS($A$6:$A$505,A128,$B$6:$B$505,B128,$C$6:$C$505,C128,$F$6:$F$505,F128,$G$6:$G$505,G128,$D$6:$D$505,"&lt;&gt;"&amp;D128,$H$6:$H$505,"&lt;&gt;")&gt;0,1,0))</f>
        <v/>
      </c>
    </row>
    <row r="129">
      <c r="M129" s="15" t="str">
        <f>IF(H129="","",IF(OR(J129="Vastgesteld",AND(J129="Fictieve aanname",P_Demo="Ja")),1,0))</f>
        <v/>
      </c>
      <c r="N129" s="15" t="str">
        <f>IF(H129="","",IF(OR(J129="Vastgesteld",J129="Concept",AND(J129="Fictieve aanname",P_Demo="Ja")),1,0))</f>
        <v/>
      </c>
      <c r="O129" s="15" t="str">
        <f>IF(H129="","",IF(COUNTIFS($A$6:$A$505,A129,$B$6:$B$505,B129,$C$6:$C$505,C129,$F$6:$F$505,F129,$G$6:$G$505,G129,$D$6:$D$505,"&lt;&gt;"&amp;D129,$H$6:$H$505,"&lt;&gt;")&gt;0,1,0))</f>
        <v/>
      </c>
    </row>
    <row r="130">
      <c r="M130" s="15" t="str">
        <f>IF(H130="","",IF(OR(J130="Vastgesteld",AND(J130="Fictieve aanname",P_Demo="Ja")),1,0))</f>
        <v/>
      </c>
      <c r="N130" s="15" t="str">
        <f>IF(H130="","",IF(OR(J130="Vastgesteld",J130="Concept",AND(J130="Fictieve aanname",P_Demo="Ja")),1,0))</f>
        <v/>
      </c>
      <c r="O130" s="15" t="str">
        <f>IF(H130="","",IF(COUNTIFS($A$6:$A$505,A130,$B$6:$B$505,B130,$C$6:$C$505,C130,$F$6:$F$505,F130,$G$6:$G$505,G130,$D$6:$D$505,"&lt;&gt;"&amp;D130,$H$6:$H$505,"&lt;&gt;")&gt;0,1,0))</f>
        <v/>
      </c>
    </row>
    <row r="131">
      <c r="M131" s="15" t="str">
        <f>IF(H131="","",IF(OR(J131="Vastgesteld",AND(J131="Fictieve aanname",P_Demo="Ja")),1,0))</f>
        <v/>
      </c>
      <c r="N131" s="15" t="str">
        <f>IF(H131="","",IF(OR(J131="Vastgesteld",J131="Concept",AND(J131="Fictieve aanname",P_Demo="Ja")),1,0))</f>
        <v/>
      </c>
      <c r="O131" s="15" t="str">
        <f>IF(H131="","",IF(COUNTIFS($A$6:$A$505,A131,$B$6:$B$505,B131,$C$6:$C$505,C131,$F$6:$F$505,F131,$G$6:$G$505,G131,$D$6:$D$505,"&lt;&gt;"&amp;D131,$H$6:$H$505,"&lt;&gt;")&gt;0,1,0))</f>
        <v/>
      </c>
    </row>
    <row r="132">
      <c r="M132" s="15" t="str">
        <f>IF(H132="","",IF(OR(J132="Vastgesteld",AND(J132="Fictieve aanname",P_Demo="Ja")),1,0))</f>
        <v/>
      </c>
      <c r="N132" s="15" t="str">
        <f>IF(H132="","",IF(OR(J132="Vastgesteld",J132="Concept",AND(J132="Fictieve aanname",P_Demo="Ja")),1,0))</f>
        <v/>
      </c>
      <c r="O132" s="15" t="str">
        <f>IF(H132="","",IF(COUNTIFS($A$6:$A$505,A132,$B$6:$B$505,B132,$C$6:$C$505,C132,$F$6:$F$505,F132,$G$6:$G$505,G132,$D$6:$D$505,"&lt;&gt;"&amp;D132,$H$6:$H$505,"&lt;&gt;")&gt;0,1,0))</f>
        <v/>
      </c>
    </row>
    <row r="133">
      <c r="M133" s="15" t="str">
        <f>IF(H133="","",IF(OR(J133="Vastgesteld",AND(J133="Fictieve aanname",P_Demo="Ja")),1,0))</f>
        <v/>
      </c>
      <c r="N133" s="15" t="str">
        <f>IF(H133="","",IF(OR(J133="Vastgesteld",J133="Concept",AND(J133="Fictieve aanname",P_Demo="Ja")),1,0))</f>
        <v/>
      </c>
      <c r="O133" s="15" t="str">
        <f>IF(H133="","",IF(COUNTIFS($A$6:$A$505,A133,$B$6:$B$505,B133,$C$6:$C$505,C133,$F$6:$F$505,F133,$G$6:$G$505,G133,$D$6:$D$505,"&lt;&gt;"&amp;D133,$H$6:$H$505,"&lt;&gt;")&gt;0,1,0))</f>
        <v/>
      </c>
    </row>
    <row r="134">
      <c r="M134" s="15" t="str">
        <f>IF(H134="","",IF(OR(J134="Vastgesteld",AND(J134="Fictieve aanname",P_Demo="Ja")),1,0))</f>
        <v/>
      </c>
      <c r="N134" s="15" t="str">
        <f>IF(H134="","",IF(OR(J134="Vastgesteld",J134="Concept",AND(J134="Fictieve aanname",P_Demo="Ja")),1,0))</f>
        <v/>
      </c>
      <c r="O134" s="15" t="str">
        <f>IF(H134="","",IF(COUNTIFS($A$6:$A$505,A134,$B$6:$B$505,B134,$C$6:$C$505,C134,$F$6:$F$505,F134,$G$6:$G$505,G134,$D$6:$D$505,"&lt;&gt;"&amp;D134,$H$6:$H$505,"&lt;&gt;")&gt;0,1,0))</f>
        <v/>
      </c>
    </row>
    <row r="135">
      <c r="M135" s="15" t="str">
        <f>IF(H135="","",IF(OR(J135="Vastgesteld",AND(J135="Fictieve aanname",P_Demo="Ja")),1,0))</f>
        <v/>
      </c>
      <c r="N135" s="15" t="str">
        <f>IF(H135="","",IF(OR(J135="Vastgesteld",J135="Concept",AND(J135="Fictieve aanname",P_Demo="Ja")),1,0))</f>
        <v/>
      </c>
      <c r="O135" s="15" t="str">
        <f>IF(H135="","",IF(COUNTIFS($A$6:$A$505,A135,$B$6:$B$505,B135,$C$6:$C$505,C135,$F$6:$F$505,F135,$G$6:$G$505,G135,$D$6:$D$505,"&lt;&gt;"&amp;D135,$H$6:$H$505,"&lt;&gt;")&gt;0,1,0))</f>
        <v/>
      </c>
    </row>
    <row r="136">
      <c r="M136" s="15" t="str">
        <f>IF(H136="","",IF(OR(J136="Vastgesteld",AND(J136="Fictieve aanname",P_Demo="Ja")),1,0))</f>
        <v/>
      </c>
      <c r="N136" s="15" t="str">
        <f>IF(H136="","",IF(OR(J136="Vastgesteld",J136="Concept",AND(J136="Fictieve aanname",P_Demo="Ja")),1,0))</f>
        <v/>
      </c>
      <c r="O136" s="15" t="str">
        <f>IF(H136="","",IF(COUNTIFS($A$6:$A$505,A136,$B$6:$B$505,B136,$C$6:$C$505,C136,$F$6:$F$505,F136,$G$6:$G$505,G136,$D$6:$D$505,"&lt;&gt;"&amp;D136,$H$6:$H$505,"&lt;&gt;")&gt;0,1,0))</f>
        <v/>
      </c>
    </row>
    <row r="137">
      <c r="M137" s="15" t="str">
        <f>IF(H137="","",IF(OR(J137="Vastgesteld",AND(J137="Fictieve aanname",P_Demo="Ja")),1,0))</f>
        <v/>
      </c>
      <c r="N137" s="15" t="str">
        <f>IF(H137="","",IF(OR(J137="Vastgesteld",J137="Concept",AND(J137="Fictieve aanname",P_Demo="Ja")),1,0))</f>
        <v/>
      </c>
      <c r="O137" s="15" t="str">
        <f>IF(H137="","",IF(COUNTIFS($A$6:$A$505,A137,$B$6:$B$505,B137,$C$6:$C$505,C137,$F$6:$F$505,F137,$G$6:$G$505,G137,$D$6:$D$505,"&lt;&gt;"&amp;D137,$H$6:$H$505,"&lt;&gt;")&gt;0,1,0))</f>
        <v/>
      </c>
    </row>
    <row r="138">
      <c r="M138" s="15" t="str">
        <f>IF(H138="","",IF(OR(J138="Vastgesteld",AND(J138="Fictieve aanname",P_Demo="Ja")),1,0))</f>
        <v/>
      </c>
      <c r="N138" s="15" t="str">
        <f>IF(H138="","",IF(OR(J138="Vastgesteld",J138="Concept",AND(J138="Fictieve aanname",P_Demo="Ja")),1,0))</f>
        <v/>
      </c>
      <c r="O138" s="15" t="str">
        <f>IF(H138="","",IF(COUNTIFS($A$6:$A$505,A138,$B$6:$B$505,B138,$C$6:$C$505,C138,$F$6:$F$505,F138,$G$6:$G$505,G138,$D$6:$D$505,"&lt;&gt;"&amp;D138,$H$6:$H$505,"&lt;&gt;")&gt;0,1,0))</f>
        <v/>
      </c>
    </row>
    <row r="139">
      <c r="M139" s="15" t="str">
        <f>IF(H139="","",IF(OR(J139="Vastgesteld",AND(J139="Fictieve aanname",P_Demo="Ja")),1,0))</f>
        <v/>
      </c>
      <c r="N139" s="15" t="str">
        <f>IF(H139="","",IF(OR(J139="Vastgesteld",J139="Concept",AND(J139="Fictieve aanname",P_Demo="Ja")),1,0))</f>
        <v/>
      </c>
      <c r="O139" s="15" t="str">
        <f>IF(H139="","",IF(COUNTIFS($A$6:$A$505,A139,$B$6:$B$505,B139,$C$6:$C$505,C139,$F$6:$F$505,F139,$G$6:$G$505,G139,$D$6:$D$505,"&lt;&gt;"&amp;D139,$H$6:$H$505,"&lt;&gt;")&gt;0,1,0))</f>
        <v/>
      </c>
    </row>
    <row r="140">
      <c r="M140" s="15" t="str">
        <f>IF(H140="","",IF(OR(J140="Vastgesteld",AND(J140="Fictieve aanname",P_Demo="Ja")),1,0))</f>
        <v/>
      </c>
      <c r="N140" s="15" t="str">
        <f>IF(H140="","",IF(OR(J140="Vastgesteld",J140="Concept",AND(J140="Fictieve aanname",P_Demo="Ja")),1,0))</f>
        <v/>
      </c>
      <c r="O140" s="15" t="str">
        <f>IF(H140="","",IF(COUNTIFS($A$6:$A$505,A140,$B$6:$B$505,B140,$C$6:$C$505,C140,$F$6:$F$505,F140,$G$6:$G$505,G140,$D$6:$D$505,"&lt;&gt;"&amp;D140,$H$6:$H$505,"&lt;&gt;")&gt;0,1,0))</f>
        <v/>
      </c>
    </row>
    <row r="141">
      <c r="M141" s="15" t="str">
        <f>IF(H141="","",IF(OR(J141="Vastgesteld",AND(J141="Fictieve aanname",P_Demo="Ja")),1,0))</f>
        <v/>
      </c>
      <c r="N141" s="15" t="str">
        <f>IF(H141="","",IF(OR(J141="Vastgesteld",J141="Concept",AND(J141="Fictieve aanname",P_Demo="Ja")),1,0))</f>
        <v/>
      </c>
      <c r="O141" s="15" t="str">
        <f>IF(H141="","",IF(COUNTIFS($A$6:$A$505,A141,$B$6:$B$505,B141,$C$6:$C$505,C141,$F$6:$F$505,F141,$G$6:$G$505,G141,$D$6:$D$505,"&lt;&gt;"&amp;D141,$H$6:$H$505,"&lt;&gt;")&gt;0,1,0))</f>
        <v/>
      </c>
    </row>
    <row r="142">
      <c r="M142" s="15" t="str">
        <f>IF(H142="","",IF(OR(J142="Vastgesteld",AND(J142="Fictieve aanname",P_Demo="Ja")),1,0))</f>
        <v/>
      </c>
      <c r="N142" s="15" t="str">
        <f>IF(H142="","",IF(OR(J142="Vastgesteld",J142="Concept",AND(J142="Fictieve aanname",P_Demo="Ja")),1,0))</f>
        <v/>
      </c>
      <c r="O142" s="15" t="str">
        <f>IF(H142="","",IF(COUNTIFS($A$6:$A$505,A142,$B$6:$B$505,B142,$C$6:$C$505,C142,$F$6:$F$505,F142,$G$6:$G$505,G142,$D$6:$D$505,"&lt;&gt;"&amp;D142,$H$6:$H$505,"&lt;&gt;")&gt;0,1,0))</f>
        <v/>
      </c>
    </row>
    <row r="143">
      <c r="M143" s="15" t="str">
        <f>IF(H143="","",IF(OR(J143="Vastgesteld",AND(J143="Fictieve aanname",P_Demo="Ja")),1,0))</f>
        <v/>
      </c>
      <c r="N143" s="15" t="str">
        <f>IF(H143="","",IF(OR(J143="Vastgesteld",J143="Concept",AND(J143="Fictieve aanname",P_Demo="Ja")),1,0))</f>
        <v/>
      </c>
      <c r="O143" s="15" t="str">
        <f>IF(H143="","",IF(COUNTIFS($A$6:$A$505,A143,$B$6:$B$505,B143,$C$6:$C$505,C143,$F$6:$F$505,F143,$G$6:$G$505,G143,$D$6:$D$505,"&lt;&gt;"&amp;D143,$H$6:$H$505,"&lt;&gt;")&gt;0,1,0))</f>
        <v/>
      </c>
    </row>
    <row r="144">
      <c r="M144" s="15" t="str">
        <f>IF(H144="","",IF(OR(J144="Vastgesteld",AND(J144="Fictieve aanname",P_Demo="Ja")),1,0))</f>
        <v/>
      </c>
      <c r="N144" s="15" t="str">
        <f>IF(H144="","",IF(OR(J144="Vastgesteld",J144="Concept",AND(J144="Fictieve aanname",P_Demo="Ja")),1,0))</f>
        <v/>
      </c>
      <c r="O144" s="15" t="str">
        <f>IF(H144="","",IF(COUNTIFS($A$6:$A$505,A144,$B$6:$B$505,B144,$C$6:$C$505,C144,$F$6:$F$505,F144,$G$6:$G$505,G144,$D$6:$D$505,"&lt;&gt;"&amp;D144,$H$6:$H$505,"&lt;&gt;")&gt;0,1,0))</f>
        <v/>
      </c>
    </row>
    <row r="145">
      <c r="M145" s="15" t="str">
        <f>IF(H145="","",IF(OR(J145="Vastgesteld",AND(J145="Fictieve aanname",P_Demo="Ja")),1,0))</f>
        <v/>
      </c>
      <c r="N145" s="15" t="str">
        <f>IF(H145="","",IF(OR(J145="Vastgesteld",J145="Concept",AND(J145="Fictieve aanname",P_Demo="Ja")),1,0))</f>
        <v/>
      </c>
      <c r="O145" s="15" t="str">
        <f>IF(H145="","",IF(COUNTIFS($A$6:$A$505,A145,$B$6:$B$505,B145,$C$6:$C$505,C145,$F$6:$F$505,F145,$G$6:$G$505,G145,$D$6:$D$505,"&lt;&gt;"&amp;D145,$H$6:$H$505,"&lt;&gt;")&gt;0,1,0))</f>
        <v/>
      </c>
    </row>
    <row r="146">
      <c r="M146" s="15" t="str">
        <f>IF(H146="","",IF(OR(J146="Vastgesteld",AND(J146="Fictieve aanname",P_Demo="Ja")),1,0))</f>
        <v/>
      </c>
      <c r="N146" s="15" t="str">
        <f>IF(H146="","",IF(OR(J146="Vastgesteld",J146="Concept",AND(J146="Fictieve aanname",P_Demo="Ja")),1,0))</f>
        <v/>
      </c>
      <c r="O146" s="15" t="str">
        <f>IF(H146="","",IF(COUNTIFS($A$6:$A$505,A146,$B$6:$B$505,B146,$C$6:$C$505,C146,$F$6:$F$505,F146,$G$6:$G$505,G146,$D$6:$D$505,"&lt;&gt;"&amp;D146,$H$6:$H$505,"&lt;&gt;")&gt;0,1,0))</f>
        <v/>
      </c>
    </row>
    <row r="147">
      <c r="M147" s="15" t="str">
        <f>IF(H147="","",IF(OR(J147="Vastgesteld",AND(J147="Fictieve aanname",P_Demo="Ja")),1,0))</f>
        <v/>
      </c>
      <c r="N147" s="15" t="str">
        <f>IF(H147="","",IF(OR(J147="Vastgesteld",J147="Concept",AND(J147="Fictieve aanname",P_Demo="Ja")),1,0))</f>
        <v/>
      </c>
      <c r="O147" s="15" t="str">
        <f>IF(H147="","",IF(COUNTIFS($A$6:$A$505,A147,$B$6:$B$505,B147,$C$6:$C$505,C147,$F$6:$F$505,F147,$G$6:$G$505,G147,$D$6:$D$505,"&lt;&gt;"&amp;D147,$H$6:$H$505,"&lt;&gt;")&gt;0,1,0))</f>
        <v/>
      </c>
    </row>
    <row r="148">
      <c r="M148" s="15" t="str">
        <f>IF(H148="","",IF(OR(J148="Vastgesteld",AND(J148="Fictieve aanname",P_Demo="Ja")),1,0))</f>
        <v/>
      </c>
      <c r="N148" s="15" t="str">
        <f>IF(H148="","",IF(OR(J148="Vastgesteld",J148="Concept",AND(J148="Fictieve aanname",P_Demo="Ja")),1,0))</f>
        <v/>
      </c>
      <c r="O148" s="15" t="str">
        <f>IF(H148="","",IF(COUNTIFS($A$6:$A$505,A148,$B$6:$B$505,B148,$C$6:$C$505,C148,$F$6:$F$505,F148,$G$6:$G$505,G148,$D$6:$D$505,"&lt;&gt;"&amp;D148,$H$6:$H$505,"&lt;&gt;")&gt;0,1,0))</f>
        <v/>
      </c>
    </row>
    <row r="149">
      <c r="M149" s="15" t="str">
        <f>IF(H149="","",IF(OR(J149="Vastgesteld",AND(J149="Fictieve aanname",P_Demo="Ja")),1,0))</f>
        <v/>
      </c>
      <c r="N149" s="15" t="str">
        <f>IF(H149="","",IF(OR(J149="Vastgesteld",J149="Concept",AND(J149="Fictieve aanname",P_Demo="Ja")),1,0))</f>
        <v/>
      </c>
      <c r="O149" s="15" t="str">
        <f>IF(H149="","",IF(COUNTIFS($A$6:$A$505,A149,$B$6:$B$505,B149,$C$6:$C$505,C149,$F$6:$F$505,F149,$G$6:$G$505,G149,$D$6:$D$505,"&lt;&gt;"&amp;D149,$H$6:$H$505,"&lt;&gt;")&gt;0,1,0))</f>
        <v/>
      </c>
    </row>
    <row r="150">
      <c r="M150" s="15" t="str">
        <f>IF(H150="","",IF(OR(J150="Vastgesteld",AND(J150="Fictieve aanname",P_Demo="Ja")),1,0))</f>
        <v/>
      </c>
      <c r="N150" s="15" t="str">
        <f>IF(H150="","",IF(OR(J150="Vastgesteld",J150="Concept",AND(J150="Fictieve aanname",P_Demo="Ja")),1,0))</f>
        <v/>
      </c>
      <c r="O150" s="15" t="str">
        <f>IF(H150="","",IF(COUNTIFS($A$6:$A$505,A150,$B$6:$B$505,B150,$C$6:$C$505,C150,$F$6:$F$505,F150,$G$6:$G$505,G150,$D$6:$D$505,"&lt;&gt;"&amp;D150,$H$6:$H$505,"&lt;&gt;")&gt;0,1,0))</f>
        <v/>
      </c>
    </row>
    <row r="151">
      <c r="M151" s="15" t="str">
        <f>IF(H151="","",IF(OR(J151="Vastgesteld",AND(J151="Fictieve aanname",P_Demo="Ja")),1,0))</f>
        <v/>
      </c>
      <c r="N151" s="15" t="str">
        <f>IF(H151="","",IF(OR(J151="Vastgesteld",J151="Concept",AND(J151="Fictieve aanname",P_Demo="Ja")),1,0))</f>
        <v/>
      </c>
      <c r="O151" s="15" t="str">
        <f>IF(H151="","",IF(COUNTIFS($A$6:$A$505,A151,$B$6:$B$505,B151,$C$6:$C$505,C151,$F$6:$F$505,F151,$G$6:$G$505,G151,$D$6:$D$505,"&lt;&gt;"&amp;D151,$H$6:$H$505,"&lt;&gt;")&gt;0,1,0))</f>
        <v/>
      </c>
    </row>
    <row r="152">
      <c r="M152" s="15" t="str">
        <f>IF(H152="","",IF(OR(J152="Vastgesteld",AND(J152="Fictieve aanname",P_Demo="Ja")),1,0))</f>
        <v/>
      </c>
      <c r="N152" s="15" t="str">
        <f>IF(H152="","",IF(OR(J152="Vastgesteld",J152="Concept",AND(J152="Fictieve aanname",P_Demo="Ja")),1,0))</f>
        <v/>
      </c>
      <c r="O152" s="15" t="str">
        <f>IF(H152="","",IF(COUNTIFS($A$6:$A$505,A152,$B$6:$B$505,B152,$C$6:$C$505,C152,$F$6:$F$505,F152,$G$6:$G$505,G152,$D$6:$D$505,"&lt;&gt;"&amp;D152,$H$6:$H$505,"&lt;&gt;")&gt;0,1,0))</f>
        <v/>
      </c>
    </row>
    <row r="153">
      <c r="M153" s="15" t="str">
        <f>IF(H153="","",IF(OR(J153="Vastgesteld",AND(J153="Fictieve aanname",P_Demo="Ja")),1,0))</f>
        <v/>
      </c>
      <c r="N153" s="15" t="str">
        <f>IF(H153="","",IF(OR(J153="Vastgesteld",J153="Concept",AND(J153="Fictieve aanname",P_Demo="Ja")),1,0))</f>
        <v/>
      </c>
      <c r="O153" s="15" t="str">
        <f>IF(H153="","",IF(COUNTIFS($A$6:$A$505,A153,$B$6:$B$505,B153,$C$6:$C$505,C153,$F$6:$F$505,F153,$G$6:$G$505,G153,$D$6:$D$505,"&lt;&gt;"&amp;D153,$H$6:$H$505,"&lt;&gt;")&gt;0,1,0))</f>
        <v/>
      </c>
    </row>
    <row r="154">
      <c r="M154" s="15" t="str">
        <f>IF(H154="","",IF(OR(J154="Vastgesteld",AND(J154="Fictieve aanname",P_Demo="Ja")),1,0))</f>
        <v/>
      </c>
      <c r="N154" s="15" t="str">
        <f>IF(H154="","",IF(OR(J154="Vastgesteld",J154="Concept",AND(J154="Fictieve aanname",P_Demo="Ja")),1,0))</f>
        <v/>
      </c>
      <c r="O154" s="15" t="str">
        <f>IF(H154="","",IF(COUNTIFS($A$6:$A$505,A154,$B$6:$B$505,B154,$C$6:$C$505,C154,$F$6:$F$505,F154,$G$6:$G$505,G154,$D$6:$D$505,"&lt;&gt;"&amp;D154,$H$6:$H$505,"&lt;&gt;")&gt;0,1,0))</f>
        <v/>
      </c>
    </row>
    <row r="155">
      <c r="M155" s="15" t="str">
        <f>IF(H155="","",IF(OR(J155="Vastgesteld",AND(J155="Fictieve aanname",P_Demo="Ja")),1,0))</f>
        <v/>
      </c>
      <c r="N155" s="15" t="str">
        <f>IF(H155="","",IF(OR(J155="Vastgesteld",J155="Concept",AND(J155="Fictieve aanname",P_Demo="Ja")),1,0))</f>
        <v/>
      </c>
      <c r="O155" s="15" t="str">
        <f>IF(H155="","",IF(COUNTIFS($A$6:$A$505,A155,$B$6:$B$505,B155,$C$6:$C$505,C155,$F$6:$F$505,F155,$G$6:$G$505,G155,$D$6:$D$505,"&lt;&gt;"&amp;D155,$H$6:$H$505,"&lt;&gt;")&gt;0,1,0))</f>
        <v/>
      </c>
    </row>
    <row r="156">
      <c r="M156" s="15" t="str">
        <f>IF(H156="","",IF(OR(J156="Vastgesteld",AND(J156="Fictieve aanname",P_Demo="Ja")),1,0))</f>
        <v/>
      </c>
      <c r="N156" s="15" t="str">
        <f>IF(H156="","",IF(OR(J156="Vastgesteld",J156="Concept",AND(J156="Fictieve aanname",P_Demo="Ja")),1,0))</f>
        <v/>
      </c>
      <c r="O156" s="15" t="str">
        <f>IF(H156="","",IF(COUNTIFS($A$6:$A$505,A156,$B$6:$B$505,B156,$C$6:$C$505,C156,$F$6:$F$505,F156,$G$6:$G$505,G156,$D$6:$D$505,"&lt;&gt;"&amp;D156,$H$6:$H$505,"&lt;&gt;")&gt;0,1,0))</f>
        <v/>
      </c>
    </row>
    <row r="157">
      <c r="M157" s="15" t="str">
        <f>IF(H157="","",IF(OR(J157="Vastgesteld",AND(J157="Fictieve aanname",P_Demo="Ja")),1,0))</f>
        <v/>
      </c>
      <c r="N157" s="15" t="str">
        <f>IF(H157="","",IF(OR(J157="Vastgesteld",J157="Concept",AND(J157="Fictieve aanname",P_Demo="Ja")),1,0))</f>
        <v/>
      </c>
      <c r="O157" s="15" t="str">
        <f>IF(H157="","",IF(COUNTIFS($A$6:$A$505,A157,$B$6:$B$505,B157,$C$6:$C$505,C157,$F$6:$F$505,F157,$G$6:$G$505,G157,$D$6:$D$505,"&lt;&gt;"&amp;D157,$H$6:$H$505,"&lt;&gt;")&gt;0,1,0))</f>
        <v/>
      </c>
    </row>
    <row r="158">
      <c r="M158" s="15" t="str">
        <f>IF(H158="","",IF(OR(J158="Vastgesteld",AND(J158="Fictieve aanname",P_Demo="Ja")),1,0))</f>
        <v/>
      </c>
      <c r="N158" s="15" t="str">
        <f>IF(H158="","",IF(OR(J158="Vastgesteld",J158="Concept",AND(J158="Fictieve aanname",P_Demo="Ja")),1,0))</f>
        <v/>
      </c>
      <c r="O158" s="15" t="str">
        <f>IF(H158="","",IF(COUNTIFS($A$6:$A$505,A158,$B$6:$B$505,B158,$C$6:$C$505,C158,$F$6:$F$505,F158,$G$6:$G$505,G158,$D$6:$D$505,"&lt;&gt;"&amp;D158,$H$6:$H$505,"&lt;&gt;")&gt;0,1,0))</f>
        <v/>
      </c>
    </row>
    <row r="159">
      <c r="M159" s="15" t="str">
        <f>IF(H159="","",IF(OR(J159="Vastgesteld",AND(J159="Fictieve aanname",P_Demo="Ja")),1,0))</f>
        <v/>
      </c>
      <c r="N159" s="15" t="str">
        <f>IF(H159="","",IF(OR(J159="Vastgesteld",J159="Concept",AND(J159="Fictieve aanname",P_Demo="Ja")),1,0))</f>
        <v/>
      </c>
      <c r="O159" s="15" t="str">
        <f>IF(H159="","",IF(COUNTIFS($A$6:$A$505,A159,$B$6:$B$505,B159,$C$6:$C$505,C159,$F$6:$F$505,F159,$G$6:$G$505,G159,$D$6:$D$505,"&lt;&gt;"&amp;D159,$H$6:$H$505,"&lt;&gt;")&gt;0,1,0))</f>
        <v/>
      </c>
    </row>
    <row r="160">
      <c r="M160" s="15" t="str">
        <f>IF(H160="","",IF(OR(J160="Vastgesteld",AND(J160="Fictieve aanname",P_Demo="Ja")),1,0))</f>
        <v/>
      </c>
      <c r="N160" s="15" t="str">
        <f>IF(H160="","",IF(OR(J160="Vastgesteld",J160="Concept",AND(J160="Fictieve aanname",P_Demo="Ja")),1,0))</f>
        <v/>
      </c>
      <c r="O160" s="15" t="str">
        <f>IF(H160="","",IF(COUNTIFS($A$6:$A$505,A160,$B$6:$B$505,B160,$C$6:$C$505,C160,$F$6:$F$505,F160,$G$6:$G$505,G160,$D$6:$D$505,"&lt;&gt;"&amp;D160,$H$6:$H$505,"&lt;&gt;")&gt;0,1,0))</f>
        <v/>
      </c>
    </row>
    <row r="161">
      <c r="M161" s="15" t="str">
        <f>IF(H161="","",IF(OR(J161="Vastgesteld",AND(J161="Fictieve aanname",P_Demo="Ja")),1,0))</f>
        <v/>
      </c>
      <c r="N161" s="15" t="str">
        <f>IF(H161="","",IF(OR(J161="Vastgesteld",J161="Concept",AND(J161="Fictieve aanname",P_Demo="Ja")),1,0))</f>
        <v/>
      </c>
      <c r="O161" s="15" t="str">
        <f>IF(H161="","",IF(COUNTIFS($A$6:$A$505,A161,$B$6:$B$505,B161,$C$6:$C$505,C161,$F$6:$F$505,F161,$G$6:$G$505,G161,$D$6:$D$505,"&lt;&gt;"&amp;D161,$H$6:$H$505,"&lt;&gt;")&gt;0,1,0))</f>
        <v/>
      </c>
    </row>
    <row r="162">
      <c r="M162" s="15" t="str">
        <f>IF(H162="","",IF(OR(J162="Vastgesteld",AND(J162="Fictieve aanname",P_Demo="Ja")),1,0))</f>
        <v/>
      </c>
      <c r="N162" s="15" t="str">
        <f>IF(H162="","",IF(OR(J162="Vastgesteld",J162="Concept",AND(J162="Fictieve aanname",P_Demo="Ja")),1,0))</f>
        <v/>
      </c>
      <c r="O162" s="15" t="str">
        <f>IF(H162="","",IF(COUNTIFS($A$6:$A$505,A162,$B$6:$B$505,B162,$C$6:$C$505,C162,$F$6:$F$505,F162,$G$6:$G$505,G162,$D$6:$D$505,"&lt;&gt;"&amp;D162,$H$6:$H$505,"&lt;&gt;")&gt;0,1,0))</f>
        <v/>
      </c>
    </row>
    <row r="163">
      <c r="M163" s="15" t="str">
        <f>IF(H163="","",IF(OR(J163="Vastgesteld",AND(J163="Fictieve aanname",P_Demo="Ja")),1,0))</f>
        <v/>
      </c>
      <c r="N163" s="15" t="str">
        <f>IF(H163="","",IF(OR(J163="Vastgesteld",J163="Concept",AND(J163="Fictieve aanname",P_Demo="Ja")),1,0))</f>
        <v/>
      </c>
      <c r="O163" s="15" t="str">
        <f>IF(H163="","",IF(COUNTIFS($A$6:$A$505,A163,$B$6:$B$505,B163,$C$6:$C$505,C163,$F$6:$F$505,F163,$G$6:$G$505,G163,$D$6:$D$505,"&lt;&gt;"&amp;D163,$H$6:$H$505,"&lt;&gt;")&gt;0,1,0))</f>
        <v/>
      </c>
    </row>
    <row r="164">
      <c r="M164" s="15" t="str">
        <f>IF(H164="","",IF(OR(J164="Vastgesteld",AND(J164="Fictieve aanname",P_Demo="Ja")),1,0))</f>
        <v/>
      </c>
      <c r="N164" s="15" t="str">
        <f>IF(H164="","",IF(OR(J164="Vastgesteld",J164="Concept",AND(J164="Fictieve aanname",P_Demo="Ja")),1,0))</f>
        <v/>
      </c>
      <c r="O164" s="15" t="str">
        <f>IF(H164="","",IF(COUNTIFS($A$6:$A$505,A164,$B$6:$B$505,B164,$C$6:$C$505,C164,$F$6:$F$505,F164,$G$6:$G$505,G164,$D$6:$D$505,"&lt;&gt;"&amp;D164,$H$6:$H$505,"&lt;&gt;")&gt;0,1,0))</f>
        <v/>
      </c>
    </row>
    <row r="165">
      <c r="M165" s="15" t="str">
        <f>IF(H165="","",IF(OR(J165="Vastgesteld",AND(J165="Fictieve aanname",P_Demo="Ja")),1,0))</f>
        <v/>
      </c>
      <c r="N165" s="15" t="str">
        <f>IF(H165="","",IF(OR(J165="Vastgesteld",J165="Concept",AND(J165="Fictieve aanname",P_Demo="Ja")),1,0))</f>
        <v/>
      </c>
      <c r="O165" s="15" t="str">
        <f>IF(H165="","",IF(COUNTIFS($A$6:$A$505,A165,$B$6:$B$505,B165,$C$6:$C$505,C165,$F$6:$F$505,F165,$G$6:$G$505,G165,$D$6:$D$505,"&lt;&gt;"&amp;D165,$H$6:$H$505,"&lt;&gt;")&gt;0,1,0))</f>
        <v/>
      </c>
    </row>
    <row r="166">
      <c r="M166" s="15" t="str">
        <f>IF(H166="","",IF(OR(J166="Vastgesteld",AND(J166="Fictieve aanname",P_Demo="Ja")),1,0))</f>
        <v/>
      </c>
      <c r="N166" s="15" t="str">
        <f>IF(H166="","",IF(OR(J166="Vastgesteld",J166="Concept",AND(J166="Fictieve aanname",P_Demo="Ja")),1,0))</f>
        <v/>
      </c>
      <c r="O166" s="15" t="str">
        <f>IF(H166="","",IF(COUNTIFS($A$6:$A$505,A166,$B$6:$B$505,B166,$C$6:$C$505,C166,$F$6:$F$505,F166,$G$6:$G$505,G166,$D$6:$D$505,"&lt;&gt;"&amp;D166,$H$6:$H$505,"&lt;&gt;")&gt;0,1,0))</f>
        <v/>
      </c>
    </row>
    <row r="167">
      <c r="M167" s="15" t="str">
        <f>IF(H167="","",IF(OR(J167="Vastgesteld",AND(J167="Fictieve aanname",P_Demo="Ja")),1,0))</f>
        <v/>
      </c>
      <c r="N167" s="15" t="str">
        <f>IF(H167="","",IF(OR(J167="Vastgesteld",J167="Concept",AND(J167="Fictieve aanname",P_Demo="Ja")),1,0))</f>
        <v/>
      </c>
      <c r="O167" s="15" t="str">
        <f>IF(H167="","",IF(COUNTIFS($A$6:$A$505,A167,$B$6:$B$505,B167,$C$6:$C$505,C167,$F$6:$F$505,F167,$G$6:$G$505,G167,$D$6:$D$505,"&lt;&gt;"&amp;D167,$H$6:$H$505,"&lt;&gt;")&gt;0,1,0))</f>
        <v/>
      </c>
    </row>
    <row r="168">
      <c r="M168" s="15" t="str">
        <f>IF(H168="","",IF(OR(J168="Vastgesteld",AND(J168="Fictieve aanname",P_Demo="Ja")),1,0))</f>
        <v/>
      </c>
      <c r="N168" s="15" t="str">
        <f>IF(H168="","",IF(OR(J168="Vastgesteld",J168="Concept",AND(J168="Fictieve aanname",P_Demo="Ja")),1,0))</f>
        <v/>
      </c>
      <c r="O168" s="15" t="str">
        <f>IF(H168="","",IF(COUNTIFS($A$6:$A$505,A168,$B$6:$B$505,B168,$C$6:$C$505,C168,$F$6:$F$505,F168,$G$6:$G$505,G168,$D$6:$D$505,"&lt;&gt;"&amp;D168,$H$6:$H$505,"&lt;&gt;")&gt;0,1,0))</f>
        <v/>
      </c>
    </row>
    <row r="169">
      <c r="M169" s="15" t="str">
        <f>IF(H169="","",IF(OR(J169="Vastgesteld",AND(J169="Fictieve aanname",P_Demo="Ja")),1,0))</f>
        <v/>
      </c>
      <c r="N169" s="15" t="str">
        <f>IF(H169="","",IF(OR(J169="Vastgesteld",J169="Concept",AND(J169="Fictieve aanname",P_Demo="Ja")),1,0))</f>
        <v/>
      </c>
      <c r="O169" s="15" t="str">
        <f>IF(H169="","",IF(COUNTIFS($A$6:$A$505,A169,$B$6:$B$505,B169,$C$6:$C$505,C169,$F$6:$F$505,F169,$G$6:$G$505,G169,$D$6:$D$505,"&lt;&gt;"&amp;D169,$H$6:$H$505,"&lt;&gt;")&gt;0,1,0))</f>
        <v/>
      </c>
    </row>
    <row r="170">
      <c r="M170" s="15" t="str">
        <f>IF(H170="","",IF(OR(J170="Vastgesteld",AND(J170="Fictieve aanname",P_Demo="Ja")),1,0))</f>
        <v/>
      </c>
      <c r="N170" s="15" t="str">
        <f>IF(H170="","",IF(OR(J170="Vastgesteld",J170="Concept",AND(J170="Fictieve aanname",P_Demo="Ja")),1,0))</f>
        <v/>
      </c>
      <c r="O170" s="15" t="str">
        <f>IF(H170="","",IF(COUNTIFS($A$6:$A$505,A170,$B$6:$B$505,B170,$C$6:$C$505,C170,$F$6:$F$505,F170,$G$6:$G$505,G170,$D$6:$D$505,"&lt;&gt;"&amp;D170,$H$6:$H$505,"&lt;&gt;")&gt;0,1,0))</f>
        <v/>
      </c>
    </row>
    <row r="171">
      <c r="M171" s="15" t="str">
        <f>IF(H171="","",IF(OR(J171="Vastgesteld",AND(J171="Fictieve aanname",P_Demo="Ja")),1,0))</f>
        <v/>
      </c>
      <c r="N171" s="15" t="str">
        <f>IF(H171="","",IF(OR(J171="Vastgesteld",J171="Concept",AND(J171="Fictieve aanname",P_Demo="Ja")),1,0))</f>
        <v/>
      </c>
      <c r="O171" s="15" t="str">
        <f>IF(H171="","",IF(COUNTIFS($A$6:$A$505,A171,$B$6:$B$505,B171,$C$6:$C$505,C171,$F$6:$F$505,F171,$G$6:$G$505,G171,$D$6:$D$505,"&lt;&gt;"&amp;D171,$H$6:$H$505,"&lt;&gt;")&gt;0,1,0))</f>
        <v/>
      </c>
    </row>
    <row r="172">
      <c r="M172" s="15" t="str">
        <f>IF(H172="","",IF(OR(J172="Vastgesteld",AND(J172="Fictieve aanname",P_Demo="Ja")),1,0))</f>
        <v/>
      </c>
      <c r="N172" s="15" t="str">
        <f>IF(H172="","",IF(OR(J172="Vastgesteld",J172="Concept",AND(J172="Fictieve aanname",P_Demo="Ja")),1,0))</f>
        <v/>
      </c>
      <c r="O172" s="15" t="str">
        <f>IF(H172="","",IF(COUNTIFS($A$6:$A$505,A172,$B$6:$B$505,B172,$C$6:$C$505,C172,$F$6:$F$505,F172,$G$6:$G$505,G172,$D$6:$D$505,"&lt;&gt;"&amp;D172,$H$6:$H$505,"&lt;&gt;")&gt;0,1,0))</f>
        <v/>
      </c>
    </row>
    <row r="173">
      <c r="M173" s="15" t="str">
        <f>IF(H173="","",IF(OR(J173="Vastgesteld",AND(J173="Fictieve aanname",P_Demo="Ja")),1,0))</f>
        <v/>
      </c>
      <c r="N173" s="15" t="str">
        <f>IF(H173="","",IF(OR(J173="Vastgesteld",J173="Concept",AND(J173="Fictieve aanname",P_Demo="Ja")),1,0))</f>
        <v/>
      </c>
      <c r="O173" s="15" t="str">
        <f>IF(H173="","",IF(COUNTIFS($A$6:$A$505,A173,$B$6:$B$505,B173,$C$6:$C$505,C173,$F$6:$F$505,F173,$G$6:$G$505,G173,$D$6:$D$505,"&lt;&gt;"&amp;D173,$H$6:$H$505,"&lt;&gt;")&gt;0,1,0))</f>
        <v/>
      </c>
    </row>
    <row r="174">
      <c r="M174" s="15" t="str">
        <f>IF(H174="","",IF(OR(J174="Vastgesteld",AND(J174="Fictieve aanname",P_Demo="Ja")),1,0))</f>
        <v/>
      </c>
      <c r="N174" s="15" t="str">
        <f>IF(H174="","",IF(OR(J174="Vastgesteld",J174="Concept",AND(J174="Fictieve aanname",P_Demo="Ja")),1,0))</f>
        <v/>
      </c>
      <c r="O174" s="15" t="str">
        <f>IF(H174="","",IF(COUNTIFS($A$6:$A$505,A174,$B$6:$B$505,B174,$C$6:$C$505,C174,$F$6:$F$505,F174,$G$6:$G$505,G174,$D$6:$D$505,"&lt;&gt;"&amp;D174,$H$6:$H$505,"&lt;&gt;")&gt;0,1,0))</f>
        <v/>
      </c>
    </row>
    <row r="175">
      <c r="M175" s="15" t="str">
        <f>IF(H175="","",IF(OR(J175="Vastgesteld",AND(J175="Fictieve aanname",P_Demo="Ja")),1,0))</f>
        <v/>
      </c>
      <c r="N175" s="15" t="str">
        <f>IF(H175="","",IF(OR(J175="Vastgesteld",J175="Concept",AND(J175="Fictieve aanname",P_Demo="Ja")),1,0))</f>
        <v/>
      </c>
      <c r="O175" s="15" t="str">
        <f>IF(H175="","",IF(COUNTIFS($A$6:$A$505,A175,$B$6:$B$505,B175,$C$6:$C$505,C175,$F$6:$F$505,F175,$G$6:$G$505,G175,$D$6:$D$505,"&lt;&gt;"&amp;D175,$H$6:$H$505,"&lt;&gt;")&gt;0,1,0))</f>
        <v/>
      </c>
    </row>
    <row r="176">
      <c r="M176" s="15" t="str">
        <f>IF(H176="","",IF(OR(J176="Vastgesteld",AND(J176="Fictieve aanname",P_Demo="Ja")),1,0))</f>
        <v/>
      </c>
      <c r="N176" s="15" t="str">
        <f>IF(H176="","",IF(OR(J176="Vastgesteld",J176="Concept",AND(J176="Fictieve aanname",P_Demo="Ja")),1,0))</f>
        <v/>
      </c>
      <c r="O176" s="15" t="str">
        <f>IF(H176="","",IF(COUNTIFS($A$6:$A$505,A176,$B$6:$B$505,B176,$C$6:$C$505,C176,$F$6:$F$505,F176,$G$6:$G$505,G176,$D$6:$D$505,"&lt;&gt;"&amp;D176,$H$6:$H$505,"&lt;&gt;")&gt;0,1,0))</f>
        <v/>
      </c>
    </row>
    <row r="177">
      <c r="M177" s="15" t="str">
        <f>IF(H177="","",IF(OR(J177="Vastgesteld",AND(J177="Fictieve aanname",P_Demo="Ja")),1,0))</f>
        <v/>
      </c>
      <c r="N177" s="15" t="str">
        <f>IF(H177="","",IF(OR(J177="Vastgesteld",J177="Concept",AND(J177="Fictieve aanname",P_Demo="Ja")),1,0))</f>
        <v/>
      </c>
      <c r="O177" s="15" t="str">
        <f>IF(H177="","",IF(COUNTIFS($A$6:$A$505,A177,$B$6:$B$505,B177,$C$6:$C$505,C177,$F$6:$F$505,F177,$G$6:$G$505,G177,$D$6:$D$505,"&lt;&gt;"&amp;D177,$H$6:$H$505,"&lt;&gt;")&gt;0,1,0))</f>
        <v/>
      </c>
    </row>
    <row r="178">
      <c r="M178" s="15" t="str">
        <f>IF(H178="","",IF(OR(J178="Vastgesteld",AND(J178="Fictieve aanname",P_Demo="Ja")),1,0))</f>
        <v/>
      </c>
      <c r="N178" s="15" t="str">
        <f>IF(H178="","",IF(OR(J178="Vastgesteld",J178="Concept",AND(J178="Fictieve aanname",P_Demo="Ja")),1,0))</f>
        <v/>
      </c>
      <c r="O178" s="15" t="str">
        <f>IF(H178="","",IF(COUNTIFS($A$6:$A$505,A178,$B$6:$B$505,B178,$C$6:$C$505,C178,$F$6:$F$505,F178,$G$6:$G$505,G178,$D$6:$D$505,"&lt;&gt;"&amp;D178,$H$6:$H$505,"&lt;&gt;")&gt;0,1,0))</f>
        <v/>
      </c>
    </row>
    <row r="179">
      <c r="M179" s="15" t="str">
        <f>IF(H179="","",IF(OR(J179="Vastgesteld",AND(J179="Fictieve aanname",P_Demo="Ja")),1,0))</f>
        <v/>
      </c>
      <c r="N179" s="15" t="str">
        <f>IF(H179="","",IF(OR(J179="Vastgesteld",J179="Concept",AND(J179="Fictieve aanname",P_Demo="Ja")),1,0))</f>
        <v/>
      </c>
      <c r="O179" s="15" t="str">
        <f>IF(H179="","",IF(COUNTIFS($A$6:$A$505,A179,$B$6:$B$505,B179,$C$6:$C$505,C179,$F$6:$F$505,F179,$G$6:$G$505,G179,$D$6:$D$505,"&lt;&gt;"&amp;D179,$H$6:$H$505,"&lt;&gt;")&gt;0,1,0))</f>
        <v/>
      </c>
    </row>
    <row r="180">
      <c r="M180" s="15" t="str">
        <f>IF(H180="","",IF(OR(J180="Vastgesteld",AND(J180="Fictieve aanname",P_Demo="Ja")),1,0))</f>
        <v/>
      </c>
      <c r="N180" s="15" t="str">
        <f>IF(H180="","",IF(OR(J180="Vastgesteld",J180="Concept",AND(J180="Fictieve aanname",P_Demo="Ja")),1,0))</f>
        <v/>
      </c>
      <c r="O180" s="15" t="str">
        <f>IF(H180="","",IF(COUNTIFS($A$6:$A$505,A180,$B$6:$B$505,B180,$C$6:$C$505,C180,$F$6:$F$505,F180,$G$6:$G$505,G180,$D$6:$D$505,"&lt;&gt;"&amp;D180,$H$6:$H$505,"&lt;&gt;")&gt;0,1,0))</f>
        <v/>
      </c>
    </row>
    <row r="181">
      <c r="M181" s="15" t="str">
        <f>IF(H181="","",IF(OR(J181="Vastgesteld",AND(J181="Fictieve aanname",P_Demo="Ja")),1,0))</f>
        <v/>
      </c>
      <c r="N181" s="15" t="str">
        <f>IF(H181="","",IF(OR(J181="Vastgesteld",J181="Concept",AND(J181="Fictieve aanname",P_Demo="Ja")),1,0))</f>
        <v/>
      </c>
      <c r="O181" s="15" t="str">
        <f>IF(H181="","",IF(COUNTIFS($A$6:$A$505,A181,$B$6:$B$505,B181,$C$6:$C$505,C181,$F$6:$F$505,F181,$G$6:$G$505,G181,$D$6:$D$505,"&lt;&gt;"&amp;D181,$H$6:$H$505,"&lt;&gt;")&gt;0,1,0))</f>
        <v/>
      </c>
    </row>
    <row r="182">
      <c r="M182" s="15" t="str">
        <f>IF(H182="","",IF(OR(J182="Vastgesteld",AND(J182="Fictieve aanname",P_Demo="Ja")),1,0))</f>
        <v/>
      </c>
      <c r="N182" s="15" t="str">
        <f>IF(H182="","",IF(OR(J182="Vastgesteld",J182="Concept",AND(J182="Fictieve aanname",P_Demo="Ja")),1,0))</f>
        <v/>
      </c>
      <c r="O182" s="15" t="str">
        <f>IF(H182="","",IF(COUNTIFS($A$6:$A$505,A182,$B$6:$B$505,B182,$C$6:$C$505,C182,$F$6:$F$505,F182,$G$6:$G$505,G182,$D$6:$D$505,"&lt;&gt;"&amp;D182,$H$6:$H$505,"&lt;&gt;")&gt;0,1,0))</f>
        <v/>
      </c>
    </row>
    <row r="183">
      <c r="M183" s="15" t="str">
        <f>IF(H183="","",IF(OR(J183="Vastgesteld",AND(J183="Fictieve aanname",P_Demo="Ja")),1,0))</f>
        <v/>
      </c>
      <c r="N183" s="15" t="str">
        <f>IF(H183="","",IF(OR(J183="Vastgesteld",J183="Concept",AND(J183="Fictieve aanname",P_Demo="Ja")),1,0))</f>
        <v/>
      </c>
      <c r="O183" s="15" t="str">
        <f>IF(H183="","",IF(COUNTIFS($A$6:$A$505,A183,$B$6:$B$505,B183,$C$6:$C$505,C183,$F$6:$F$505,F183,$G$6:$G$505,G183,$D$6:$D$505,"&lt;&gt;"&amp;D183,$H$6:$H$505,"&lt;&gt;")&gt;0,1,0))</f>
        <v/>
      </c>
    </row>
    <row r="184">
      <c r="M184" s="15" t="str">
        <f>IF(H184="","",IF(OR(J184="Vastgesteld",AND(J184="Fictieve aanname",P_Demo="Ja")),1,0))</f>
        <v/>
      </c>
      <c r="N184" s="15" t="str">
        <f>IF(H184="","",IF(OR(J184="Vastgesteld",J184="Concept",AND(J184="Fictieve aanname",P_Demo="Ja")),1,0))</f>
        <v/>
      </c>
      <c r="O184" s="15" t="str">
        <f>IF(H184="","",IF(COUNTIFS($A$6:$A$505,A184,$B$6:$B$505,B184,$C$6:$C$505,C184,$F$6:$F$505,F184,$G$6:$G$505,G184,$D$6:$D$505,"&lt;&gt;"&amp;D184,$H$6:$H$505,"&lt;&gt;")&gt;0,1,0))</f>
        <v/>
      </c>
    </row>
    <row r="185">
      <c r="M185" s="15" t="str">
        <f>IF(H185="","",IF(OR(J185="Vastgesteld",AND(J185="Fictieve aanname",P_Demo="Ja")),1,0))</f>
        <v/>
      </c>
      <c r="N185" s="15" t="str">
        <f>IF(H185="","",IF(OR(J185="Vastgesteld",J185="Concept",AND(J185="Fictieve aanname",P_Demo="Ja")),1,0))</f>
        <v/>
      </c>
      <c r="O185" s="15" t="str">
        <f>IF(H185="","",IF(COUNTIFS($A$6:$A$505,A185,$B$6:$B$505,B185,$C$6:$C$505,C185,$F$6:$F$505,F185,$G$6:$G$505,G185,$D$6:$D$505,"&lt;&gt;"&amp;D185,$H$6:$H$505,"&lt;&gt;")&gt;0,1,0))</f>
        <v/>
      </c>
    </row>
    <row r="186">
      <c r="M186" s="15" t="str">
        <f>IF(H186="","",IF(OR(J186="Vastgesteld",AND(J186="Fictieve aanname",P_Demo="Ja")),1,0))</f>
        <v/>
      </c>
      <c r="N186" s="15" t="str">
        <f>IF(H186="","",IF(OR(J186="Vastgesteld",J186="Concept",AND(J186="Fictieve aanname",P_Demo="Ja")),1,0))</f>
        <v/>
      </c>
      <c r="O186" s="15" t="str">
        <f>IF(H186="","",IF(COUNTIFS($A$6:$A$505,A186,$B$6:$B$505,B186,$C$6:$C$505,C186,$F$6:$F$505,F186,$G$6:$G$505,G186,$D$6:$D$505,"&lt;&gt;"&amp;D186,$H$6:$H$505,"&lt;&gt;")&gt;0,1,0))</f>
        <v/>
      </c>
    </row>
    <row r="187">
      <c r="M187" s="15" t="str">
        <f>IF(H187="","",IF(OR(J187="Vastgesteld",AND(J187="Fictieve aanname",P_Demo="Ja")),1,0))</f>
        <v/>
      </c>
      <c r="N187" s="15" t="str">
        <f>IF(H187="","",IF(OR(J187="Vastgesteld",J187="Concept",AND(J187="Fictieve aanname",P_Demo="Ja")),1,0))</f>
        <v/>
      </c>
      <c r="O187" s="15" t="str">
        <f>IF(H187="","",IF(COUNTIFS($A$6:$A$505,A187,$B$6:$B$505,B187,$C$6:$C$505,C187,$F$6:$F$505,F187,$G$6:$G$505,G187,$D$6:$D$505,"&lt;&gt;"&amp;D187,$H$6:$H$505,"&lt;&gt;")&gt;0,1,0))</f>
        <v/>
      </c>
    </row>
    <row r="188">
      <c r="M188" s="15" t="str">
        <f>IF(H188="","",IF(OR(J188="Vastgesteld",AND(J188="Fictieve aanname",P_Demo="Ja")),1,0))</f>
        <v/>
      </c>
      <c r="N188" s="15" t="str">
        <f>IF(H188="","",IF(OR(J188="Vastgesteld",J188="Concept",AND(J188="Fictieve aanname",P_Demo="Ja")),1,0))</f>
        <v/>
      </c>
      <c r="O188" s="15" t="str">
        <f>IF(H188="","",IF(COUNTIFS($A$6:$A$505,A188,$B$6:$B$505,B188,$C$6:$C$505,C188,$F$6:$F$505,F188,$G$6:$G$505,G188,$D$6:$D$505,"&lt;&gt;"&amp;D188,$H$6:$H$505,"&lt;&gt;")&gt;0,1,0))</f>
        <v/>
      </c>
    </row>
    <row r="189">
      <c r="M189" s="15" t="str">
        <f>IF(H189="","",IF(OR(J189="Vastgesteld",AND(J189="Fictieve aanname",P_Demo="Ja")),1,0))</f>
        <v/>
      </c>
      <c r="N189" s="15" t="str">
        <f>IF(H189="","",IF(OR(J189="Vastgesteld",J189="Concept",AND(J189="Fictieve aanname",P_Demo="Ja")),1,0))</f>
        <v/>
      </c>
      <c r="O189" s="15" t="str">
        <f>IF(H189="","",IF(COUNTIFS($A$6:$A$505,A189,$B$6:$B$505,B189,$C$6:$C$505,C189,$F$6:$F$505,F189,$G$6:$G$505,G189,$D$6:$D$505,"&lt;&gt;"&amp;D189,$H$6:$H$505,"&lt;&gt;")&gt;0,1,0))</f>
        <v/>
      </c>
    </row>
    <row r="190">
      <c r="M190" s="15" t="str">
        <f>IF(H190="","",IF(OR(J190="Vastgesteld",AND(J190="Fictieve aanname",P_Demo="Ja")),1,0))</f>
        <v/>
      </c>
      <c r="N190" s="15" t="str">
        <f>IF(H190="","",IF(OR(J190="Vastgesteld",J190="Concept",AND(J190="Fictieve aanname",P_Demo="Ja")),1,0))</f>
        <v/>
      </c>
      <c r="O190" s="15" t="str">
        <f>IF(H190="","",IF(COUNTIFS($A$6:$A$505,A190,$B$6:$B$505,B190,$C$6:$C$505,C190,$F$6:$F$505,F190,$G$6:$G$505,G190,$D$6:$D$505,"&lt;&gt;"&amp;D190,$H$6:$H$505,"&lt;&gt;")&gt;0,1,0))</f>
        <v/>
      </c>
    </row>
    <row r="191">
      <c r="M191" s="15" t="str">
        <f>IF(H191="","",IF(OR(J191="Vastgesteld",AND(J191="Fictieve aanname",P_Demo="Ja")),1,0))</f>
        <v/>
      </c>
      <c r="N191" s="15" t="str">
        <f>IF(H191="","",IF(OR(J191="Vastgesteld",J191="Concept",AND(J191="Fictieve aanname",P_Demo="Ja")),1,0))</f>
        <v/>
      </c>
      <c r="O191" s="15" t="str">
        <f>IF(H191="","",IF(COUNTIFS($A$6:$A$505,A191,$B$6:$B$505,B191,$C$6:$C$505,C191,$F$6:$F$505,F191,$G$6:$G$505,G191,$D$6:$D$505,"&lt;&gt;"&amp;D191,$H$6:$H$505,"&lt;&gt;")&gt;0,1,0))</f>
        <v/>
      </c>
    </row>
    <row r="192">
      <c r="M192" s="15" t="str">
        <f>IF(H192="","",IF(OR(J192="Vastgesteld",AND(J192="Fictieve aanname",P_Demo="Ja")),1,0))</f>
        <v/>
      </c>
      <c r="N192" s="15" t="str">
        <f>IF(H192="","",IF(OR(J192="Vastgesteld",J192="Concept",AND(J192="Fictieve aanname",P_Demo="Ja")),1,0))</f>
        <v/>
      </c>
      <c r="O192" s="15" t="str">
        <f>IF(H192="","",IF(COUNTIFS($A$6:$A$505,A192,$B$6:$B$505,B192,$C$6:$C$505,C192,$F$6:$F$505,F192,$G$6:$G$505,G192,$D$6:$D$505,"&lt;&gt;"&amp;D192,$H$6:$H$505,"&lt;&gt;")&gt;0,1,0))</f>
        <v/>
      </c>
    </row>
    <row r="193">
      <c r="M193" s="15" t="str">
        <f>IF(H193="","",IF(OR(J193="Vastgesteld",AND(J193="Fictieve aanname",P_Demo="Ja")),1,0))</f>
        <v/>
      </c>
      <c r="N193" s="15" t="str">
        <f>IF(H193="","",IF(OR(J193="Vastgesteld",J193="Concept",AND(J193="Fictieve aanname",P_Demo="Ja")),1,0))</f>
        <v/>
      </c>
      <c r="O193" s="15" t="str">
        <f>IF(H193="","",IF(COUNTIFS($A$6:$A$505,A193,$B$6:$B$505,B193,$C$6:$C$505,C193,$F$6:$F$505,F193,$G$6:$G$505,G193,$D$6:$D$505,"&lt;&gt;"&amp;D193,$H$6:$H$505,"&lt;&gt;")&gt;0,1,0))</f>
        <v/>
      </c>
    </row>
    <row r="194">
      <c r="M194" s="15" t="str">
        <f>IF(H194="","",IF(OR(J194="Vastgesteld",AND(J194="Fictieve aanname",P_Demo="Ja")),1,0))</f>
        <v/>
      </c>
      <c r="N194" s="15" t="str">
        <f>IF(H194="","",IF(OR(J194="Vastgesteld",J194="Concept",AND(J194="Fictieve aanname",P_Demo="Ja")),1,0))</f>
        <v/>
      </c>
      <c r="O194" s="15" t="str">
        <f>IF(H194="","",IF(COUNTIFS($A$6:$A$505,A194,$B$6:$B$505,B194,$C$6:$C$505,C194,$F$6:$F$505,F194,$G$6:$G$505,G194,$D$6:$D$505,"&lt;&gt;"&amp;D194,$H$6:$H$505,"&lt;&gt;")&gt;0,1,0))</f>
        <v/>
      </c>
    </row>
    <row r="195">
      <c r="M195" s="15" t="str">
        <f>IF(H195="","",IF(OR(J195="Vastgesteld",AND(J195="Fictieve aanname",P_Demo="Ja")),1,0))</f>
        <v/>
      </c>
      <c r="N195" s="15" t="str">
        <f>IF(H195="","",IF(OR(J195="Vastgesteld",J195="Concept",AND(J195="Fictieve aanname",P_Demo="Ja")),1,0))</f>
        <v/>
      </c>
      <c r="O195" s="15" t="str">
        <f>IF(H195="","",IF(COUNTIFS($A$6:$A$505,A195,$B$6:$B$505,B195,$C$6:$C$505,C195,$F$6:$F$505,F195,$G$6:$G$505,G195,$D$6:$D$505,"&lt;&gt;"&amp;D195,$H$6:$H$505,"&lt;&gt;")&gt;0,1,0))</f>
        <v/>
      </c>
    </row>
    <row r="196">
      <c r="M196" s="15" t="str">
        <f>IF(H196="","",IF(OR(J196="Vastgesteld",AND(J196="Fictieve aanname",P_Demo="Ja")),1,0))</f>
        <v/>
      </c>
      <c r="N196" s="15" t="str">
        <f>IF(H196="","",IF(OR(J196="Vastgesteld",J196="Concept",AND(J196="Fictieve aanname",P_Demo="Ja")),1,0))</f>
        <v/>
      </c>
      <c r="O196" s="15" t="str">
        <f>IF(H196="","",IF(COUNTIFS($A$6:$A$505,A196,$B$6:$B$505,B196,$C$6:$C$505,C196,$F$6:$F$505,F196,$G$6:$G$505,G196,$D$6:$D$505,"&lt;&gt;"&amp;D196,$H$6:$H$505,"&lt;&gt;")&gt;0,1,0))</f>
        <v/>
      </c>
    </row>
    <row r="197">
      <c r="M197" s="15" t="str">
        <f>IF(H197="","",IF(OR(J197="Vastgesteld",AND(J197="Fictieve aanname",P_Demo="Ja")),1,0))</f>
        <v/>
      </c>
      <c r="N197" s="15" t="str">
        <f>IF(H197="","",IF(OR(J197="Vastgesteld",J197="Concept",AND(J197="Fictieve aanname",P_Demo="Ja")),1,0))</f>
        <v/>
      </c>
      <c r="O197" s="15" t="str">
        <f>IF(H197="","",IF(COUNTIFS($A$6:$A$505,A197,$B$6:$B$505,B197,$C$6:$C$505,C197,$F$6:$F$505,F197,$G$6:$G$505,G197,$D$6:$D$505,"&lt;&gt;"&amp;D197,$H$6:$H$505,"&lt;&gt;")&gt;0,1,0))</f>
        <v/>
      </c>
    </row>
    <row r="198">
      <c r="M198" s="15" t="str">
        <f>IF(H198="","",IF(OR(J198="Vastgesteld",AND(J198="Fictieve aanname",P_Demo="Ja")),1,0))</f>
        <v/>
      </c>
      <c r="N198" s="15" t="str">
        <f>IF(H198="","",IF(OR(J198="Vastgesteld",J198="Concept",AND(J198="Fictieve aanname",P_Demo="Ja")),1,0))</f>
        <v/>
      </c>
      <c r="O198" s="15" t="str">
        <f>IF(H198="","",IF(COUNTIFS($A$6:$A$505,A198,$B$6:$B$505,B198,$C$6:$C$505,C198,$F$6:$F$505,F198,$G$6:$G$505,G198,$D$6:$D$505,"&lt;&gt;"&amp;D198,$H$6:$H$505,"&lt;&gt;")&gt;0,1,0))</f>
        <v/>
      </c>
    </row>
    <row r="199">
      <c r="M199" s="15" t="str">
        <f>IF(H199="","",IF(OR(J199="Vastgesteld",AND(J199="Fictieve aanname",P_Demo="Ja")),1,0))</f>
        <v/>
      </c>
      <c r="N199" s="15" t="str">
        <f>IF(H199="","",IF(OR(J199="Vastgesteld",J199="Concept",AND(J199="Fictieve aanname",P_Demo="Ja")),1,0))</f>
        <v/>
      </c>
      <c r="O199" s="15" t="str">
        <f>IF(H199="","",IF(COUNTIFS($A$6:$A$505,A199,$B$6:$B$505,B199,$C$6:$C$505,C199,$F$6:$F$505,F199,$G$6:$G$505,G199,$D$6:$D$505,"&lt;&gt;"&amp;D199,$H$6:$H$505,"&lt;&gt;")&gt;0,1,0))</f>
        <v/>
      </c>
    </row>
    <row r="200">
      <c r="M200" s="15" t="str">
        <f>IF(H200="","",IF(OR(J200="Vastgesteld",AND(J200="Fictieve aanname",P_Demo="Ja")),1,0))</f>
        <v/>
      </c>
      <c r="N200" s="15" t="str">
        <f>IF(H200="","",IF(OR(J200="Vastgesteld",J200="Concept",AND(J200="Fictieve aanname",P_Demo="Ja")),1,0))</f>
        <v/>
      </c>
      <c r="O200" s="15" t="str">
        <f>IF(H200="","",IF(COUNTIFS($A$6:$A$505,A200,$B$6:$B$505,B200,$C$6:$C$505,C200,$F$6:$F$505,F200,$G$6:$G$505,G200,$D$6:$D$505,"&lt;&gt;"&amp;D200,$H$6:$H$505,"&lt;&gt;")&gt;0,1,0))</f>
        <v/>
      </c>
    </row>
    <row r="201">
      <c r="M201" s="15" t="str">
        <f>IF(H201="","",IF(OR(J201="Vastgesteld",AND(J201="Fictieve aanname",P_Demo="Ja")),1,0))</f>
        <v/>
      </c>
      <c r="N201" s="15" t="str">
        <f>IF(H201="","",IF(OR(J201="Vastgesteld",J201="Concept",AND(J201="Fictieve aanname",P_Demo="Ja")),1,0))</f>
        <v/>
      </c>
      <c r="O201" s="15" t="str">
        <f>IF(H201="","",IF(COUNTIFS($A$6:$A$505,A201,$B$6:$B$505,B201,$C$6:$C$505,C201,$F$6:$F$505,F201,$G$6:$G$505,G201,$D$6:$D$505,"&lt;&gt;"&amp;D201,$H$6:$H$505,"&lt;&gt;")&gt;0,1,0))</f>
        <v/>
      </c>
    </row>
    <row r="202">
      <c r="M202" s="15" t="str">
        <f>IF(H202="","",IF(OR(J202="Vastgesteld",AND(J202="Fictieve aanname",P_Demo="Ja")),1,0))</f>
        <v/>
      </c>
      <c r="N202" s="15" t="str">
        <f>IF(H202="","",IF(OR(J202="Vastgesteld",J202="Concept",AND(J202="Fictieve aanname",P_Demo="Ja")),1,0))</f>
        <v/>
      </c>
      <c r="O202" s="15" t="str">
        <f>IF(H202="","",IF(COUNTIFS($A$6:$A$505,A202,$B$6:$B$505,B202,$C$6:$C$505,C202,$F$6:$F$505,F202,$G$6:$G$505,G202,$D$6:$D$505,"&lt;&gt;"&amp;D202,$H$6:$H$505,"&lt;&gt;")&gt;0,1,0))</f>
        <v/>
      </c>
    </row>
    <row r="203">
      <c r="M203" s="15" t="str">
        <f>IF(H203="","",IF(OR(J203="Vastgesteld",AND(J203="Fictieve aanname",P_Demo="Ja")),1,0))</f>
        <v/>
      </c>
      <c r="N203" s="15" t="str">
        <f>IF(H203="","",IF(OR(J203="Vastgesteld",J203="Concept",AND(J203="Fictieve aanname",P_Demo="Ja")),1,0))</f>
        <v/>
      </c>
      <c r="O203" s="15" t="str">
        <f>IF(H203="","",IF(COUNTIFS($A$6:$A$505,A203,$B$6:$B$505,B203,$C$6:$C$505,C203,$F$6:$F$505,F203,$G$6:$G$505,G203,$D$6:$D$505,"&lt;&gt;"&amp;D203,$H$6:$H$505,"&lt;&gt;")&gt;0,1,0))</f>
        <v/>
      </c>
    </row>
    <row r="204">
      <c r="M204" s="15" t="str">
        <f>IF(H204="","",IF(OR(J204="Vastgesteld",AND(J204="Fictieve aanname",P_Demo="Ja")),1,0))</f>
        <v/>
      </c>
      <c r="N204" s="15" t="str">
        <f>IF(H204="","",IF(OR(J204="Vastgesteld",J204="Concept",AND(J204="Fictieve aanname",P_Demo="Ja")),1,0))</f>
        <v/>
      </c>
      <c r="O204" s="15" t="str">
        <f>IF(H204="","",IF(COUNTIFS($A$6:$A$505,A204,$B$6:$B$505,B204,$C$6:$C$505,C204,$F$6:$F$505,F204,$G$6:$G$505,G204,$D$6:$D$505,"&lt;&gt;"&amp;D204,$H$6:$H$505,"&lt;&gt;")&gt;0,1,0))</f>
        <v/>
      </c>
    </row>
    <row r="205">
      <c r="M205" s="15" t="str">
        <f>IF(H205="","",IF(OR(J205="Vastgesteld",AND(J205="Fictieve aanname",P_Demo="Ja")),1,0))</f>
        <v/>
      </c>
      <c r="N205" s="15" t="str">
        <f>IF(H205="","",IF(OR(J205="Vastgesteld",J205="Concept",AND(J205="Fictieve aanname",P_Demo="Ja")),1,0))</f>
        <v/>
      </c>
      <c r="O205" s="15" t="str">
        <f>IF(H205="","",IF(COUNTIFS($A$6:$A$505,A205,$B$6:$B$505,B205,$C$6:$C$505,C205,$F$6:$F$505,F205,$G$6:$G$505,G205,$D$6:$D$505,"&lt;&gt;"&amp;D205,$H$6:$H$505,"&lt;&gt;")&gt;0,1,0))</f>
        <v/>
      </c>
    </row>
    <row r="206">
      <c r="M206" s="15" t="str">
        <f>IF(H206="","",IF(OR(J206="Vastgesteld",AND(J206="Fictieve aanname",P_Demo="Ja")),1,0))</f>
        <v/>
      </c>
      <c r="N206" s="15" t="str">
        <f>IF(H206="","",IF(OR(J206="Vastgesteld",J206="Concept",AND(J206="Fictieve aanname",P_Demo="Ja")),1,0))</f>
        <v/>
      </c>
      <c r="O206" s="15" t="str">
        <f>IF(H206="","",IF(COUNTIFS($A$6:$A$505,A206,$B$6:$B$505,B206,$C$6:$C$505,C206,$F$6:$F$505,F206,$G$6:$G$505,G206,$D$6:$D$505,"&lt;&gt;"&amp;D206,$H$6:$H$505,"&lt;&gt;")&gt;0,1,0))</f>
        <v/>
      </c>
    </row>
    <row r="207">
      <c r="M207" s="15" t="str">
        <f>IF(H207="","",IF(OR(J207="Vastgesteld",AND(J207="Fictieve aanname",P_Demo="Ja")),1,0))</f>
        <v/>
      </c>
      <c r="N207" s="15" t="str">
        <f>IF(H207="","",IF(OR(J207="Vastgesteld",J207="Concept",AND(J207="Fictieve aanname",P_Demo="Ja")),1,0))</f>
        <v/>
      </c>
      <c r="O207" s="15" t="str">
        <f>IF(H207="","",IF(COUNTIFS($A$6:$A$505,A207,$B$6:$B$505,B207,$C$6:$C$505,C207,$F$6:$F$505,F207,$G$6:$G$505,G207,$D$6:$D$505,"&lt;&gt;"&amp;D207,$H$6:$H$505,"&lt;&gt;")&gt;0,1,0))</f>
        <v/>
      </c>
    </row>
    <row r="208">
      <c r="M208" s="15" t="str">
        <f>IF(H208="","",IF(OR(J208="Vastgesteld",AND(J208="Fictieve aanname",P_Demo="Ja")),1,0))</f>
        <v/>
      </c>
      <c r="N208" s="15" t="str">
        <f>IF(H208="","",IF(OR(J208="Vastgesteld",J208="Concept",AND(J208="Fictieve aanname",P_Demo="Ja")),1,0))</f>
        <v/>
      </c>
      <c r="O208" s="15" t="str">
        <f>IF(H208="","",IF(COUNTIFS($A$6:$A$505,A208,$B$6:$B$505,B208,$C$6:$C$505,C208,$F$6:$F$505,F208,$G$6:$G$505,G208,$D$6:$D$505,"&lt;&gt;"&amp;D208,$H$6:$H$505,"&lt;&gt;")&gt;0,1,0))</f>
        <v/>
      </c>
    </row>
    <row r="209">
      <c r="M209" s="15" t="str">
        <f>IF(H209="","",IF(OR(J209="Vastgesteld",AND(J209="Fictieve aanname",P_Demo="Ja")),1,0))</f>
        <v/>
      </c>
      <c r="N209" s="15" t="str">
        <f>IF(H209="","",IF(OR(J209="Vastgesteld",J209="Concept",AND(J209="Fictieve aanname",P_Demo="Ja")),1,0))</f>
        <v/>
      </c>
      <c r="O209" s="15" t="str">
        <f>IF(H209="","",IF(COUNTIFS($A$6:$A$505,A209,$B$6:$B$505,B209,$C$6:$C$505,C209,$F$6:$F$505,F209,$G$6:$G$505,G209,$D$6:$D$505,"&lt;&gt;"&amp;D209,$H$6:$H$505,"&lt;&gt;")&gt;0,1,0))</f>
        <v/>
      </c>
    </row>
    <row r="210">
      <c r="M210" s="15" t="str">
        <f>IF(H210="","",IF(OR(J210="Vastgesteld",AND(J210="Fictieve aanname",P_Demo="Ja")),1,0))</f>
        <v/>
      </c>
      <c r="N210" s="15" t="str">
        <f>IF(H210="","",IF(OR(J210="Vastgesteld",J210="Concept",AND(J210="Fictieve aanname",P_Demo="Ja")),1,0))</f>
        <v/>
      </c>
      <c r="O210" s="15" t="str">
        <f>IF(H210="","",IF(COUNTIFS($A$6:$A$505,A210,$B$6:$B$505,B210,$C$6:$C$505,C210,$F$6:$F$505,F210,$G$6:$G$505,G210,$D$6:$D$505,"&lt;&gt;"&amp;D210,$H$6:$H$505,"&lt;&gt;")&gt;0,1,0))</f>
        <v/>
      </c>
    </row>
    <row r="211">
      <c r="M211" s="15" t="str">
        <f>IF(H211="","",IF(OR(J211="Vastgesteld",AND(J211="Fictieve aanname",P_Demo="Ja")),1,0))</f>
        <v/>
      </c>
      <c r="N211" s="15" t="str">
        <f>IF(H211="","",IF(OR(J211="Vastgesteld",J211="Concept",AND(J211="Fictieve aanname",P_Demo="Ja")),1,0))</f>
        <v/>
      </c>
      <c r="O211" s="15" t="str">
        <f>IF(H211="","",IF(COUNTIFS($A$6:$A$505,A211,$B$6:$B$505,B211,$C$6:$C$505,C211,$F$6:$F$505,F211,$G$6:$G$505,G211,$D$6:$D$505,"&lt;&gt;"&amp;D211,$H$6:$H$505,"&lt;&gt;")&gt;0,1,0))</f>
        <v/>
      </c>
    </row>
    <row r="212">
      <c r="M212" s="15" t="str">
        <f>IF(H212="","",IF(OR(J212="Vastgesteld",AND(J212="Fictieve aanname",P_Demo="Ja")),1,0))</f>
        <v/>
      </c>
      <c r="N212" s="15" t="str">
        <f>IF(H212="","",IF(OR(J212="Vastgesteld",J212="Concept",AND(J212="Fictieve aanname",P_Demo="Ja")),1,0))</f>
        <v/>
      </c>
      <c r="O212" s="15" t="str">
        <f>IF(H212="","",IF(COUNTIFS($A$6:$A$505,A212,$B$6:$B$505,B212,$C$6:$C$505,C212,$F$6:$F$505,F212,$G$6:$G$505,G212,$D$6:$D$505,"&lt;&gt;"&amp;D212,$H$6:$H$505,"&lt;&gt;")&gt;0,1,0))</f>
        <v/>
      </c>
    </row>
    <row r="213">
      <c r="M213" s="15" t="str">
        <f>IF(H213="","",IF(OR(J213="Vastgesteld",AND(J213="Fictieve aanname",P_Demo="Ja")),1,0))</f>
        <v/>
      </c>
      <c r="N213" s="15" t="str">
        <f>IF(H213="","",IF(OR(J213="Vastgesteld",J213="Concept",AND(J213="Fictieve aanname",P_Demo="Ja")),1,0))</f>
        <v/>
      </c>
      <c r="O213" s="15" t="str">
        <f>IF(H213="","",IF(COUNTIFS($A$6:$A$505,A213,$B$6:$B$505,B213,$C$6:$C$505,C213,$F$6:$F$505,F213,$G$6:$G$505,G213,$D$6:$D$505,"&lt;&gt;"&amp;D213,$H$6:$H$505,"&lt;&gt;")&gt;0,1,0))</f>
        <v/>
      </c>
    </row>
    <row r="214">
      <c r="M214" s="15" t="str">
        <f>IF(H214="","",IF(OR(J214="Vastgesteld",AND(J214="Fictieve aanname",P_Demo="Ja")),1,0))</f>
        <v/>
      </c>
      <c r="N214" s="15" t="str">
        <f>IF(H214="","",IF(OR(J214="Vastgesteld",J214="Concept",AND(J214="Fictieve aanname",P_Demo="Ja")),1,0))</f>
        <v/>
      </c>
      <c r="O214" s="15" t="str">
        <f>IF(H214="","",IF(COUNTIFS($A$6:$A$505,A214,$B$6:$B$505,B214,$C$6:$C$505,C214,$F$6:$F$505,F214,$G$6:$G$505,G214,$D$6:$D$505,"&lt;&gt;"&amp;D214,$H$6:$H$505,"&lt;&gt;")&gt;0,1,0))</f>
        <v/>
      </c>
    </row>
    <row r="215">
      <c r="M215" s="15" t="str">
        <f>IF(H215="","",IF(OR(J215="Vastgesteld",AND(J215="Fictieve aanname",P_Demo="Ja")),1,0))</f>
        <v/>
      </c>
      <c r="N215" s="15" t="str">
        <f>IF(H215="","",IF(OR(J215="Vastgesteld",J215="Concept",AND(J215="Fictieve aanname",P_Demo="Ja")),1,0))</f>
        <v/>
      </c>
      <c r="O215" s="15" t="str">
        <f>IF(H215="","",IF(COUNTIFS($A$6:$A$505,A215,$B$6:$B$505,B215,$C$6:$C$505,C215,$F$6:$F$505,F215,$G$6:$G$505,G215,$D$6:$D$505,"&lt;&gt;"&amp;D215,$H$6:$H$505,"&lt;&gt;")&gt;0,1,0))</f>
        <v/>
      </c>
    </row>
    <row r="216">
      <c r="M216" s="15" t="str">
        <f>IF(H216="","",IF(OR(J216="Vastgesteld",AND(J216="Fictieve aanname",P_Demo="Ja")),1,0))</f>
        <v/>
      </c>
      <c r="N216" s="15" t="str">
        <f>IF(H216="","",IF(OR(J216="Vastgesteld",J216="Concept",AND(J216="Fictieve aanname",P_Demo="Ja")),1,0))</f>
        <v/>
      </c>
      <c r="O216" s="15" t="str">
        <f>IF(H216="","",IF(COUNTIFS($A$6:$A$505,A216,$B$6:$B$505,B216,$C$6:$C$505,C216,$F$6:$F$505,F216,$G$6:$G$505,G216,$D$6:$D$505,"&lt;&gt;"&amp;D216,$H$6:$H$505,"&lt;&gt;")&gt;0,1,0))</f>
        <v/>
      </c>
    </row>
    <row r="217">
      <c r="M217" s="15" t="str">
        <f>IF(H217="","",IF(OR(J217="Vastgesteld",AND(J217="Fictieve aanname",P_Demo="Ja")),1,0))</f>
        <v/>
      </c>
      <c r="N217" s="15" t="str">
        <f>IF(H217="","",IF(OR(J217="Vastgesteld",J217="Concept",AND(J217="Fictieve aanname",P_Demo="Ja")),1,0))</f>
        <v/>
      </c>
      <c r="O217" s="15" t="str">
        <f>IF(H217="","",IF(COUNTIFS($A$6:$A$505,A217,$B$6:$B$505,B217,$C$6:$C$505,C217,$F$6:$F$505,F217,$G$6:$G$505,G217,$D$6:$D$505,"&lt;&gt;"&amp;D217,$H$6:$H$505,"&lt;&gt;")&gt;0,1,0))</f>
        <v/>
      </c>
    </row>
    <row r="218">
      <c r="M218" s="15" t="str">
        <f>IF(H218="","",IF(OR(J218="Vastgesteld",AND(J218="Fictieve aanname",P_Demo="Ja")),1,0))</f>
        <v/>
      </c>
      <c r="N218" s="15" t="str">
        <f>IF(H218="","",IF(OR(J218="Vastgesteld",J218="Concept",AND(J218="Fictieve aanname",P_Demo="Ja")),1,0))</f>
        <v/>
      </c>
      <c r="O218" s="15" t="str">
        <f>IF(H218="","",IF(COUNTIFS($A$6:$A$505,A218,$B$6:$B$505,B218,$C$6:$C$505,C218,$F$6:$F$505,F218,$G$6:$G$505,G218,$D$6:$D$505,"&lt;&gt;"&amp;D218,$H$6:$H$505,"&lt;&gt;")&gt;0,1,0))</f>
        <v/>
      </c>
    </row>
    <row r="219">
      <c r="M219" s="15" t="str">
        <f>IF(H219="","",IF(OR(J219="Vastgesteld",AND(J219="Fictieve aanname",P_Demo="Ja")),1,0))</f>
        <v/>
      </c>
      <c r="N219" s="15" t="str">
        <f>IF(H219="","",IF(OR(J219="Vastgesteld",J219="Concept",AND(J219="Fictieve aanname",P_Demo="Ja")),1,0))</f>
        <v/>
      </c>
      <c r="O219" s="15" t="str">
        <f>IF(H219="","",IF(COUNTIFS($A$6:$A$505,A219,$B$6:$B$505,B219,$C$6:$C$505,C219,$F$6:$F$505,F219,$G$6:$G$505,G219,$D$6:$D$505,"&lt;&gt;"&amp;D219,$H$6:$H$505,"&lt;&gt;")&gt;0,1,0))</f>
        <v/>
      </c>
    </row>
    <row r="220">
      <c r="M220" s="15" t="str">
        <f>IF(H220="","",IF(OR(J220="Vastgesteld",AND(J220="Fictieve aanname",P_Demo="Ja")),1,0))</f>
        <v/>
      </c>
      <c r="N220" s="15" t="str">
        <f>IF(H220="","",IF(OR(J220="Vastgesteld",J220="Concept",AND(J220="Fictieve aanname",P_Demo="Ja")),1,0))</f>
        <v/>
      </c>
      <c r="O220" s="15" t="str">
        <f>IF(H220="","",IF(COUNTIFS($A$6:$A$505,A220,$B$6:$B$505,B220,$C$6:$C$505,C220,$F$6:$F$505,F220,$G$6:$G$505,G220,$D$6:$D$505,"&lt;&gt;"&amp;D220,$H$6:$H$505,"&lt;&gt;")&gt;0,1,0))</f>
        <v/>
      </c>
    </row>
    <row r="221">
      <c r="M221" s="15" t="str">
        <f>IF(H221="","",IF(OR(J221="Vastgesteld",AND(J221="Fictieve aanname",P_Demo="Ja")),1,0))</f>
        <v/>
      </c>
      <c r="N221" s="15" t="str">
        <f>IF(H221="","",IF(OR(J221="Vastgesteld",J221="Concept",AND(J221="Fictieve aanname",P_Demo="Ja")),1,0))</f>
        <v/>
      </c>
      <c r="O221" s="15" t="str">
        <f>IF(H221="","",IF(COUNTIFS($A$6:$A$505,A221,$B$6:$B$505,B221,$C$6:$C$505,C221,$F$6:$F$505,F221,$G$6:$G$505,G221,$D$6:$D$505,"&lt;&gt;"&amp;D221,$H$6:$H$505,"&lt;&gt;")&gt;0,1,0))</f>
        <v/>
      </c>
    </row>
    <row r="222">
      <c r="M222" s="15" t="str">
        <f>IF(H222="","",IF(OR(J222="Vastgesteld",AND(J222="Fictieve aanname",P_Demo="Ja")),1,0))</f>
        <v/>
      </c>
      <c r="N222" s="15" t="str">
        <f>IF(H222="","",IF(OR(J222="Vastgesteld",J222="Concept",AND(J222="Fictieve aanname",P_Demo="Ja")),1,0))</f>
        <v/>
      </c>
      <c r="O222" s="15" t="str">
        <f>IF(H222="","",IF(COUNTIFS($A$6:$A$505,A222,$B$6:$B$505,B222,$C$6:$C$505,C222,$F$6:$F$505,F222,$G$6:$G$505,G222,$D$6:$D$505,"&lt;&gt;"&amp;D222,$H$6:$H$505,"&lt;&gt;")&gt;0,1,0))</f>
        <v/>
      </c>
    </row>
    <row r="223">
      <c r="M223" s="15" t="str">
        <f>IF(H223="","",IF(OR(J223="Vastgesteld",AND(J223="Fictieve aanname",P_Demo="Ja")),1,0))</f>
        <v/>
      </c>
      <c r="N223" s="15" t="str">
        <f>IF(H223="","",IF(OR(J223="Vastgesteld",J223="Concept",AND(J223="Fictieve aanname",P_Demo="Ja")),1,0))</f>
        <v/>
      </c>
      <c r="O223" s="15" t="str">
        <f>IF(H223="","",IF(COUNTIFS($A$6:$A$505,A223,$B$6:$B$505,B223,$C$6:$C$505,C223,$F$6:$F$505,F223,$G$6:$G$505,G223,$D$6:$D$505,"&lt;&gt;"&amp;D223,$H$6:$H$505,"&lt;&gt;")&gt;0,1,0))</f>
        <v/>
      </c>
    </row>
    <row r="224">
      <c r="M224" s="15" t="str">
        <f>IF(H224="","",IF(OR(J224="Vastgesteld",AND(J224="Fictieve aanname",P_Demo="Ja")),1,0))</f>
        <v/>
      </c>
      <c r="N224" s="15" t="str">
        <f>IF(H224="","",IF(OR(J224="Vastgesteld",J224="Concept",AND(J224="Fictieve aanname",P_Demo="Ja")),1,0))</f>
        <v/>
      </c>
      <c r="O224" s="15" t="str">
        <f>IF(H224="","",IF(COUNTIFS($A$6:$A$505,A224,$B$6:$B$505,B224,$C$6:$C$505,C224,$F$6:$F$505,F224,$G$6:$G$505,G224,$D$6:$D$505,"&lt;&gt;"&amp;D224,$H$6:$H$505,"&lt;&gt;")&gt;0,1,0))</f>
        <v/>
      </c>
    </row>
    <row r="225">
      <c r="M225" s="15" t="str">
        <f>IF(H225="","",IF(OR(J225="Vastgesteld",AND(J225="Fictieve aanname",P_Demo="Ja")),1,0))</f>
        <v/>
      </c>
      <c r="N225" s="15" t="str">
        <f>IF(H225="","",IF(OR(J225="Vastgesteld",J225="Concept",AND(J225="Fictieve aanname",P_Demo="Ja")),1,0))</f>
        <v/>
      </c>
      <c r="O225" s="15" t="str">
        <f>IF(H225="","",IF(COUNTIFS($A$6:$A$505,A225,$B$6:$B$505,B225,$C$6:$C$505,C225,$F$6:$F$505,F225,$G$6:$G$505,G225,$D$6:$D$505,"&lt;&gt;"&amp;D225,$H$6:$H$505,"&lt;&gt;")&gt;0,1,0))</f>
        <v/>
      </c>
    </row>
    <row r="226">
      <c r="M226" s="15" t="str">
        <f>IF(H226="","",IF(OR(J226="Vastgesteld",AND(J226="Fictieve aanname",P_Demo="Ja")),1,0))</f>
        <v/>
      </c>
      <c r="N226" s="15" t="str">
        <f>IF(H226="","",IF(OR(J226="Vastgesteld",J226="Concept",AND(J226="Fictieve aanname",P_Demo="Ja")),1,0))</f>
        <v/>
      </c>
      <c r="O226" s="15" t="str">
        <f>IF(H226="","",IF(COUNTIFS($A$6:$A$505,A226,$B$6:$B$505,B226,$C$6:$C$505,C226,$F$6:$F$505,F226,$G$6:$G$505,G226,$D$6:$D$505,"&lt;&gt;"&amp;D226,$H$6:$H$505,"&lt;&gt;")&gt;0,1,0))</f>
        <v/>
      </c>
    </row>
    <row r="227">
      <c r="M227" s="15" t="str">
        <f>IF(H227="","",IF(OR(J227="Vastgesteld",AND(J227="Fictieve aanname",P_Demo="Ja")),1,0))</f>
        <v/>
      </c>
      <c r="N227" s="15" t="str">
        <f>IF(H227="","",IF(OR(J227="Vastgesteld",J227="Concept",AND(J227="Fictieve aanname",P_Demo="Ja")),1,0))</f>
        <v/>
      </c>
      <c r="O227" s="15" t="str">
        <f>IF(H227="","",IF(COUNTIFS($A$6:$A$505,A227,$B$6:$B$505,B227,$C$6:$C$505,C227,$F$6:$F$505,F227,$G$6:$G$505,G227,$D$6:$D$505,"&lt;&gt;"&amp;D227,$H$6:$H$505,"&lt;&gt;")&gt;0,1,0))</f>
        <v/>
      </c>
    </row>
    <row r="228">
      <c r="M228" s="15" t="str">
        <f>IF(H228="","",IF(OR(J228="Vastgesteld",AND(J228="Fictieve aanname",P_Demo="Ja")),1,0))</f>
        <v/>
      </c>
      <c r="N228" s="15" t="str">
        <f>IF(H228="","",IF(OR(J228="Vastgesteld",J228="Concept",AND(J228="Fictieve aanname",P_Demo="Ja")),1,0))</f>
        <v/>
      </c>
      <c r="O228" s="15" t="str">
        <f>IF(H228="","",IF(COUNTIFS($A$6:$A$505,A228,$B$6:$B$505,B228,$C$6:$C$505,C228,$F$6:$F$505,F228,$G$6:$G$505,G228,$D$6:$D$505,"&lt;&gt;"&amp;D228,$H$6:$H$505,"&lt;&gt;")&gt;0,1,0))</f>
        <v/>
      </c>
    </row>
    <row r="229">
      <c r="M229" s="15" t="str">
        <f>IF(H229="","",IF(OR(J229="Vastgesteld",AND(J229="Fictieve aanname",P_Demo="Ja")),1,0))</f>
        <v/>
      </c>
      <c r="N229" s="15" t="str">
        <f>IF(H229="","",IF(OR(J229="Vastgesteld",J229="Concept",AND(J229="Fictieve aanname",P_Demo="Ja")),1,0))</f>
        <v/>
      </c>
      <c r="O229" s="15" t="str">
        <f>IF(H229="","",IF(COUNTIFS($A$6:$A$505,A229,$B$6:$B$505,B229,$C$6:$C$505,C229,$F$6:$F$505,F229,$G$6:$G$505,G229,$D$6:$D$505,"&lt;&gt;"&amp;D229,$H$6:$H$505,"&lt;&gt;")&gt;0,1,0))</f>
        <v/>
      </c>
    </row>
    <row r="230">
      <c r="M230" s="15" t="str">
        <f>IF(H230="","",IF(OR(J230="Vastgesteld",AND(J230="Fictieve aanname",P_Demo="Ja")),1,0))</f>
        <v/>
      </c>
      <c r="N230" s="15" t="str">
        <f>IF(H230="","",IF(OR(J230="Vastgesteld",J230="Concept",AND(J230="Fictieve aanname",P_Demo="Ja")),1,0))</f>
        <v/>
      </c>
      <c r="O230" s="15" t="str">
        <f>IF(H230="","",IF(COUNTIFS($A$6:$A$505,A230,$B$6:$B$505,B230,$C$6:$C$505,C230,$F$6:$F$505,F230,$G$6:$G$505,G230,$D$6:$D$505,"&lt;&gt;"&amp;D230,$H$6:$H$505,"&lt;&gt;")&gt;0,1,0))</f>
        <v/>
      </c>
    </row>
    <row r="231">
      <c r="M231" s="15" t="str">
        <f>IF(H231="","",IF(OR(J231="Vastgesteld",AND(J231="Fictieve aanname",P_Demo="Ja")),1,0))</f>
        <v/>
      </c>
      <c r="N231" s="15" t="str">
        <f>IF(H231="","",IF(OR(J231="Vastgesteld",J231="Concept",AND(J231="Fictieve aanname",P_Demo="Ja")),1,0))</f>
        <v/>
      </c>
      <c r="O231" s="15" t="str">
        <f>IF(H231="","",IF(COUNTIFS($A$6:$A$505,A231,$B$6:$B$505,B231,$C$6:$C$505,C231,$F$6:$F$505,F231,$G$6:$G$505,G231,$D$6:$D$505,"&lt;&gt;"&amp;D231,$H$6:$H$505,"&lt;&gt;")&gt;0,1,0))</f>
        <v/>
      </c>
    </row>
    <row r="232">
      <c r="M232" s="15" t="str">
        <f>IF(H232="","",IF(OR(J232="Vastgesteld",AND(J232="Fictieve aanname",P_Demo="Ja")),1,0))</f>
        <v/>
      </c>
      <c r="N232" s="15" t="str">
        <f>IF(H232="","",IF(OR(J232="Vastgesteld",J232="Concept",AND(J232="Fictieve aanname",P_Demo="Ja")),1,0))</f>
        <v/>
      </c>
      <c r="O232" s="15" t="str">
        <f>IF(H232="","",IF(COUNTIFS($A$6:$A$505,A232,$B$6:$B$505,B232,$C$6:$C$505,C232,$F$6:$F$505,F232,$G$6:$G$505,G232,$D$6:$D$505,"&lt;&gt;"&amp;D232,$H$6:$H$505,"&lt;&gt;")&gt;0,1,0))</f>
        <v/>
      </c>
    </row>
    <row r="233">
      <c r="M233" s="15" t="str">
        <f>IF(H233="","",IF(OR(J233="Vastgesteld",AND(J233="Fictieve aanname",P_Demo="Ja")),1,0))</f>
        <v/>
      </c>
      <c r="N233" s="15" t="str">
        <f>IF(H233="","",IF(OR(J233="Vastgesteld",J233="Concept",AND(J233="Fictieve aanname",P_Demo="Ja")),1,0))</f>
        <v/>
      </c>
      <c r="O233" s="15" t="str">
        <f>IF(H233="","",IF(COUNTIFS($A$6:$A$505,A233,$B$6:$B$505,B233,$C$6:$C$505,C233,$F$6:$F$505,F233,$G$6:$G$505,G233,$D$6:$D$505,"&lt;&gt;"&amp;D233,$H$6:$H$505,"&lt;&gt;")&gt;0,1,0))</f>
        <v/>
      </c>
    </row>
    <row r="234">
      <c r="M234" s="15" t="str">
        <f>IF(H234="","",IF(OR(J234="Vastgesteld",AND(J234="Fictieve aanname",P_Demo="Ja")),1,0))</f>
        <v/>
      </c>
      <c r="N234" s="15" t="str">
        <f>IF(H234="","",IF(OR(J234="Vastgesteld",J234="Concept",AND(J234="Fictieve aanname",P_Demo="Ja")),1,0))</f>
        <v/>
      </c>
      <c r="O234" s="15" t="str">
        <f>IF(H234="","",IF(COUNTIFS($A$6:$A$505,A234,$B$6:$B$505,B234,$C$6:$C$505,C234,$F$6:$F$505,F234,$G$6:$G$505,G234,$D$6:$D$505,"&lt;&gt;"&amp;D234,$H$6:$H$505,"&lt;&gt;")&gt;0,1,0))</f>
        <v/>
      </c>
    </row>
    <row r="235">
      <c r="M235" s="15" t="str">
        <f>IF(H235="","",IF(OR(J235="Vastgesteld",AND(J235="Fictieve aanname",P_Demo="Ja")),1,0))</f>
        <v/>
      </c>
      <c r="N235" s="15" t="str">
        <f>IF(H235="","",IF(OR(J235="Vastgesteld",J235="Concept",AND(J235="Fictieve aanname",P_Demo="Ja")),1,0))</f>
        <v/>
      </c>
      <c r="O235" s="15" t="str">
        <f>IF(H235="","",IF(COUNTIFS($A$6:$A$505,A235,$B$6:$B$505,B235,$C$6:$C$505,C235,$F$6:$F$505,F235,$G$6:$G$505,G235,$D$6:$D$505,"&lt;&gt;"&amp;D235,$H$6:$H$505,"&lt;&gt;")&gt;0,1,0))</f>
        <v/>
      </c>
    </row>
    <row r="236">
      <c r="M236" s="15" t="str">
        <f>IF(H236="","",IF(OR(J236="Vastgesteld",AND(J236="Fictieve aanname",P_Demo="Ja")),1,0))</f>
        <v/>
      </c>
      <c r="N236" s="15" t="str">
        <f>IF(H236="","",IF(OR(J236="Vastgesteld",J236="Concept",AND(J236="Fictieve aanname",P_Demo="Ja")),1,0))</f>
        <v/>
      </c>
      <c r="O236" s="15" t="str">
        <f>IF(H236="","",IF(COUNTIFS($A$6:$A$505,A236,$B$6:$B$505,B236,$C$6:$C$505,C236,$F$6:$F$505,F236,$G$6:$G$505,G236,$D$6:$D$505,"&lt;&gt;"&amp;D236,$H$6:$H$505,"&lt;&gt;")&gt;0,1,0))</f>
        <v/>
      </c>
    </row>
    <row r="237">
      <c r="M237" s="15" t="str">
        <f>IF(H237="","",IF(OR(J237="Vastgesteld",AND(J237="Fictieve aanname",P_Demo="Ja")),1,0))</f>
        <v/>
      </c>
      <c r="N237" s="15" t="str">
        <f>IF(H237="","",IF(OR(J237="Vastgesteld",J237="Concept",AND(J237="Fictieve aanname",P_Demo="Ja")),1,0))</f>
        <v/>
      </c>
      <c r="O237" s="15" t="str">
        <f>IF(H237="","",IF(COUNTIFS($A$6:$A$505,A237,$B$6:$B$505,B237,$C$6:$C$505,C237,$F$6:$F$505,F237,$G$6:$G$505,G237,$D$6:$D$505,"&lt;&gt;"&amp;D237,$H$6:$H$505,"&lt;&gt;")&gt;0,1,0))</f>
        <v/>
      </c>
    </row>
    <row r="238">
      <c r="M238" s="15" t="str">
        <f>IF(H238="","",IF(OR(J238="Vastgesteld",AND(J238="Fictieve aanname",P_Demo="Ja")),1,0))</f>
        <v/>
      </c>
      <c r="N238" s="15" t="str">
        <f>IF(H238="","",IF(OR(J238="Vastgesteld",J238="Concept",AND(J238="Fictieve aanname",P_Demo="Ja")),1,0))</f>
        <v/>
      </c>
      <c r="O238" s="15" t="str">
        <f>IF(H238="","",IF(COUNTIFS($A$6:$A$505,A238,$B$6:$B$505,B238,$C$6:$C$505,C238,$F$6:$F$505,F238,$G$6:$G$505,G238,$D$6:$D$505,"&lt;&gt;"&amp;D238,$H$6:$H$505,"&lt;&gt;")&gt;0,1,0))</f>
        <v/>
      </c>
    </row>
    <row r="239">
      <c r="M239" s="15" t="str">
        <f>IF(H239="","",IF(OR(J239="Vastgesteld",AND(J239="Fictieve aanname",P_Demo="Ja")),1,0))</f>
        <v/>
      </c>
      <c r="N239" s="15" t="str">
        <f>IF(H239="","",IF(OR(J239="Vastgesteld",J239="Concept",AND(J239="Fictieve aanname",P_Demo="Ja")),1,0))</f>
        <v/>
      </c>
      <c r="O239" s="15" t="str">
        <f>IF(H239="","",IF(COUNTIFS($A$6:$A$505,A239,$B$6:$B$505,B239,$C$6:$C$505,C239,$F$6:$F$505,F239,$G$6:$G$505,G239,$D$6:$D$505,"&lt;&gt;"&amp;D239,$H$6:$H$505,"&lt;&gt;")&gt;0,1,0))</f>
        <v/>
      </c>
    </row>
    <row r="240">
      <c r="M240" s="15" t="str">
        <f>IF(H240="","",IF(OR(J240="Vastgesteld",AND(J240="Fictieve aanname",P_Demo="Ja")),1,0))</f>
        <v/>
      </c>
      <c r="N240" s="15" t="str">
        <f>IF(H240="","",IF(OR(J240="Vastgesteld",J240="Concept",AND(J240="Fictieve aanname",P_Demo="Ja")),1,0))</f>
        <v/>
      </c>
      <c r="O240" s="15" t="str">
        <f>IF(H240="","",IF(COUNTIFS($A$6:$A$505,A240,$B$6:$B$505,B240,$C$6:$C$505,C240,$F$6:$F$505,F240,$G$6:$G$505,G240,$D$6:$D$505,"&lt;&gt;"&amp;D240,$H$6:$H$505,"&lt;&gt;")&gt;0,1,0))</f>
        <v/>
      </c>
    </row>
    <row r="241">
      <c r="M241" s="15" t="str">
        <f>IF(H241="","",IF(OR(J241="Vastgesteld",AND(J241="Fictieve aanname",P_Demo="Ja")),1,0))</f>
        <v/>
      </c>
      <c r="N241" s="15" t="str">
        <f>IF(H241="","",IF(OR(J241="Vastgesteld",J241="Concept",AND(J241="Fictieve aanname",P_Demo="Ja")),1,0))</f>
        <v/>
      </c>
      <c r="O241" s="15" t="str">
        <f>IF(H241="","",IF(COUNTIFS($A$6:$A$505,A241,$B$6:$B$505,B241,$C$6:$C$505,C241,$F$6:$F$505,F241,$G$6:$G$505,G241,$D$6:$D$505,"&lt;&gt;"&amp;D241,$H$6:$H$505,"&lt;&gt;")&gt;0,1,0))</f>
        <v/>
      </c>
    </row>
    <row r="242">
      <c r="M242" s="15" t="str">
        <f>IF(H242="","",IF(OR(J242="Vastgesteld",AND(J242="Fictieve aanname",P_Demo="Ja")),1,0))</f>
        <v/>
      </c>
      <c r="N242" s="15" t="str">
        <f>IF(H242="","",IF(OR(J242="Vastgesteld",J242="Concept",AND(J242="Fictieve aanname",P_Demo="Ja")),1,0))</f>
        <v/>
      </c>
      <c r="O242" s="15" t="str">
        <f>IF(H242="","",IF(COUNTIFS($A$6:$A$505,A242,$B$6:$B$505,B242,$C$6:$C$505,C242,$F$6:$F$505,F242,$G$6:$G$505,G242,$D$6:$D$505,"&lt;&gt;"&amp;D242,$H$6:$H$505,"&lt;&gt;")&gt;0,1,0))</f>
        <v/>
      </c>
    </row>
    <row r="243">
      <c r="M243" s="15" t="str">
        <f>IF(H243="","",IF(OR(J243="Vastgesteld",AND(J243="Fictieve aanname",P_Demo="Ja")),1,0))</f>
        <v/>
      </c>
      <c r="N243" s="15" t="str">
        <f>IF(H243="","",IF(OR(J243="Vastgesteld",J243="Concept",AND(J243="Fictieve aanname",P_Demo="Ja")),1,0))</f>
        <v/>
      </c>
      <c r="O243" s="15" t="str">
        <f>IF(H243="","",IF(COUNTIFS($A$6:$A$505,A243,$B$6:$B$505,B243,$C$6:$C$505,C243,$F$6:$F$505,F243,$G$6:$G$505,G243,$D$6:$D$505,"&lt;&gt;"&amp;D243,$H$6:$H$505,"&lt;&gt;")&gt;0,1,0))</f>
        <v/>
      </c>
    </row>
    <row r="244">
      <c r="M244" s="15" t="str">
        <f>IF(H244="","",IF(OR(J244="Vastgesteld",AND(J244="Fictieve aanname",P_Demo="Ja")),1,0))</f>
        <v/>
      </c>
      <c r="N244" s="15" t="str">
        <f>IF(H244="","",IF(OR(J244="Vastgesteld",J244="Concept",AND(J244="Fictieve aanname",P_Demo="Ja")),1,0))</f>
        <v/>
      </c>
      <c r="O244" s="15" t="str">
        <f>IF(H244="","",IF(COUNTIFS($A$6:$A$505,A244,$B$6:$B$505,B244,$C$6:$C$505,C244,$F$6:$F$505,F244,$G$6:$G$505,G244,$D$6:$D$505,"&lt;&gt;"&amp;D244,$H$6:$H$505,"&lt;&gt;")&gt;0,1,0))</f>
        <v/>
      </c>
    </row>
    <row r="245">
      <c r="M245" s="15" t="str">
        <f>IF(H245="","",IF(OR(J245="Vastgesteld",AND(J245="Fictieve aanname",P_Demo="Ja")),1,0))</f>
        <v/>
      </c>
      <c r="N245" s="15" t="str">
        <f>IF(H245="","",IF(OR(J245="Vastgesteld",J245="Concept",AND(J245="Fictieve aanname",P_Demo="Ja")),1,0))</f>
        <v/>
      </c>
      <c r="O245" s="15" t="str">
        <f>IF(H245="","",IF(COUNTIFS($A$6:$A$505,A245,$B$6:$B$505,B245,$C$6:$C$505,C245,$F$6:$F$505,F245,$G$6:$G$505,G245,$D$6:$D$505,"&lt;&gt;"&amp;D245,$H$6:$H$505,"&lt;&gt;")&gt;0,1,0))</f>
        <v/>
      </c>
    </row>
    <row r="246">
      <c r="M246" s="15" t="str">
        <f>IF(H246="","",IF(OR(J246="Vastgesteld",AND(J246="Fictieve aanname",P_Demo="Ja")),1,0))</f>
        <v/>
      </c>
      <c r="N246" s="15" t="str">
        <f>IF(H246="","",IF(OR(J246="Vastgesteld",J246="Concept",AND(J246="Fictieve aanname",P_Demo="Ja")),1,0))</f>
        <v/>
      </c>
      <c r="O246" s="15" t="str">
        <f>IF(H246="","",IF(COUNTIFS($A$6:$A$505,A246,$B$6:$B$505,B246,$C$6:$C$505,C246,$F$6:$F$505,F246,$G$6:$G$505,G246,$D$6:$D$505,"&lt;&gt;"&amp;D246,$H$6:$H$505,"&lt;&gt;")&gt;0,1,0))</f>
        <v/>
      </c>
    </row>
    <row r="247">
      <c r="M247" s="15" t="str">
        <f>IF(H247="","",IF(OR(J247="Vastgesteld",AND(J247="Fictieve aanname",P_Demo="Ja")),1,0))</f>
        <v/>
      </c>
      <c r="N247" s="15" t="str">
        <f>IF(H247="","",IF(OR(J247="Vastgesteld",J247="Concept",AND(J247="Fictieve aanname",P_Demo="Ja")),1,0))</f>
        <v/>
      </c>
      <c r="O247" s="15" t="str">
        <f>IF(H247="","",IF(COUNTIFS($A$6:$A$505,A247,$B$6:$B$505,B247,$C$6:$C$505,C247,$F$6:$F$505,F247,$G$6:$G$505,G247,$D$6:$D$505,"&lt;&gt;"&amp;D247,$H$6:$H$505,"&lt;&gt;")&gt;0,1,0))</f>
        <v/>
      </c>
    </row>
    <row r="248">
      <c r="M248" s="15" t="str">
        <f>IF(H248="","",IF(OR(J248="Vastgesteld",AND(J248="Fictieve aanname",P_Demo="Ja")),1,0))</f>
        <v/>
      </c>
      <c r="N248" s="15" t="str">
        <f>IF(H248="","",IF(OR(J248="Vastgesteld",J248="Concept",AND(J248="Fictieve aanname",P_Demo="Ja")),1,0))</f>
        <v/>
      </c>
      <c r="O248" s="15" t="str">
        <f>IF(H248="","",IF(COUNTIFS($A$6:$A$505,A248,$B$6:$B$505,B248,$C$6:$C$505,C248,$F$6:$F$505,F248,$G$6:$G$505,G248,$D$6:$D$505,"&lt;&gt;"&amp;D248,$H$6:$H$505,"&lt;&gt;")&gt;0,1,0))</f>
        <v/>
      </c>
    </row>
    <row r="249">
      <c r="M249" s="15" t="str">
        <f>IF(H249="","",IF(OR(J249="Vastgesteld",AND(J249="Fictieve aanname",P_Demo="Ja")),1,0))</f>
        <v/>
      </c>
      <c r="N249" s="15" t="str">
        <f>IF(H249="","",IF(OR(J249="Vastgesteld",J249="Concept",AND(J249="Fictieve aanname",P_Demo="Ja")),1,0))</f>
        <v/>
      </c>
      <c r="O249" s="15" t="str">
        <f>IF(H249="","",IF(COUNTIFS($A$6:$A$505,A249,$B$6:$B$505,B249,$C$6:$C$505,C249,$F$6:$F$505,F249,$G$6:$G$505,G249,$D$6:$D$505,"&lt;&gt;"&amp;D249,$H$6:$H$505,"&lt;&gt;")&gt;0,1,0))</f>
        <v/>
      </c>
    </row>
    <row r="250">
      <c r="M250" s="15" t="str">
        <f>IF(H250="","",IF(OR(J250="Vastgesteld",AND(J250="Fictieve aanname",P_Demo="Ja")),1,0))</f>
        <v/>
      </c>
      <c r="N250" s="15" t="str">
        <f>IF(H250="","",IF(OR(J250="Vastgesteld",J250="Concept",AND(J250="Fictieve aanname",P_Demo="Ja")),1,0))</f>
        <v/>
      </c>
      <c r="O250" s="15" t="str">
        <f>IF(H250="","",IF(COUNTIFS($A$6:$A$505,A250,$B$6:$B$505,B250,$C$6:$C$505,C250,$F$6:$F$505,F250,$G$6:$G$505,G250,$D$6:$D$505,"&lt;&gt;"&amp;D250,$H$6:$H$505,"&lt;&gt;")&gt;0,1,0))</f>
        <v/>
      </c>
    </row>
    <row r="251">
      <c r="M251" s="15" t="str">
        <f>IF(H251="","",IF(OR(J251="Vastgesteld",AND(J251="Fictieve aanname",P_Demo="Ja")),1,0))</f>
        <v/>
      </c>
      <c r="N251" s="15" t="str">
        <f>IF(H251="","",IF(OR(J251="Vastgesteld",J251="Concept",AND(J251="Fictieve aanname",P_Demo="Ja")),1,0))</f>
        <v/>
      </c>
      <c r="O251" s="15" t="str">
        <f>IF(H251="","",IF(COUNTIFS($A$6:$A$505,A251,$B$6:$B$505,B251,$C$6:$C$505,C251,$F$6:$F$505,F251,$G$6:$G$505,G251,$D$6:$D$505,"&lt;&gt;"&amp;D251,$H$6:$H$505,"&lt;&gt;")&gt;0,1,0))</f>
        <v/>
      </c>
    </row>
    <row r="252">
      <c r="M252" s="15" t="str">
        <f>IF(H252="","",IF(OR(J252="Vastgesteld",AND(J252="Fictieve aanname",P_Demo="Ja")),1,0))</f>
        <v/>
      </c>
      <c r="N252" s="15" t="str">
        <f>IF(H252="","",IF(OR(J252="Vastgesteld",J252="Concept",AND(J252="Fictieve aanname",P_Demo="Ja")),1,0))</f>
        <v/>
      </c>
      <c r="O252" s="15" t="str">
        <f>IF(H252="","",IF(COUNTIFS($A$6:$A$505,A252,$B$6:$B$505,B252,$C$6:$C$505,C252,$F$6:$F$505,F252,$G$6:$G$505,G252,$D$6:$D$505,"&lt;&gt;"&amp;D252,$H$6:$H$505,"&lt;&gt;")&gt;0,1,0))</f>
        <v/>
      </c>
    </row>
    <row r="253">
      <c r="M253" s="15" t="str">
        <f>IF(H253="","",IF(OR(J253="Vastgesteld",AND(J253="Fictieve aanname",P_Demo="Ja")),1,0))</f>
        <v/>
      </c>
      <c r="N253" s="15" t="str">
        <f>IF(H253="","",IF(OR(J253="Vastgesteld",J253="Concept",AND(J253="Fictieve aanname",P_Demo="Ja")),1,0))</f>
        <v/>
      </c>
      <c r="O253" s="15" t="str">
        <f>IF(H253="","",IF(COUNTIFS($A$6:$A$505,A253,$B$6:$B$505,B253,$C$6:$C$505,C253,$F$6:$F$505,F253,$G$6:$G$505,G253,$D$6:$D$505,"&lt;&gt;"&amp;D253,$H$6:$H$505,"&lt;&gt;")&gt;0,1,0))</f>
        <v/>
      </c>
    </row>
    <row r="254">
      <c r="M254" s="15" t="str">
        <f>IF(H254="","",IF(OR(J254="Vastgesteld",AND(J254="Fictieve aanname",P_Demo="Ja")),1,0))</f>
        <v/>
      </c>
      <c r="N254" s="15" t="str">
        <f>IF(H254="","",IF(OR(J254="Vastgesteld",J254="Concept",AND(J254="Fictieve aanname",P_Demo="Ja")),1,0))</f>
        <v/>
      </c>
      <c r="O254" s="15" t="str">
        <f>IF(H254="","",IF(COUNTIFS($A$6:$A$505,A254,$B$6:$B$505,B254,$C$6:$C$505,C254,$F$6:$F$505,F254,$G$6:$G$505,G254,$D$6:$D$505,"&lt;&gt;"&amp;D254,$H$6:$H$505,"&lt;&gt;")&gt;0,1,0))</f>
        <v/>
      </c>
    </row>
    <row r="255">
      <c r="M255" s="15" t="str">
        <f>IF(H255="","",IF(OR(J255="Vastgesteld",AND(J255="Fictieve aanname",P_Demo="Ja")),1,0))</f>
        <v/>
      </c>
      <c r="N255" s="15" t="str">
        <f>IF(H255="","",IF(OR(J255="Vastgesteld",J255="Concept",AND(J255="Fictieve aanname",P_Demo="Ja")),1,0))</f>
        <v/>
      </c>
      <c r="O255" s="15" t="str">
        <f>IF(H255="","",IF(COUNTIFS($A$6:$A$505,A255,$B$6:$B$505,B255,$C$6:$C$505,C255,$F$6:$F$505,F255,$G$6:$G$505,G255,$D$6:$D$505,"&lt;&gt;"&amp;D255,$H$6:$H$505,"&lt;&gt;")&gt;0,1,0))</f>
        <v/>
      </c>
    </row>
    <row r="256">
      <c r="M256" s="15" t="str">
        <f>IF(H256="","",IF(OR(J256="Vastgesteld",AND(J256="Fictieve aanname",P_Demo="Ja")),1,0))</f>
        <v/>
      </c>
      <c r="N256" s="15" t="str">
        <f>IF(H256="","",IF(OR(J256="Vastgesteld",J256="Concept",AND(J256="Fictieve aanname",P_Demo="Ja")),1,0))</f>
        <v/>
      </c>
      <c r="O256" s="15" t="str">
        <f>IF(H256="","",IF(COUNTIFS($A$6:$A$505,A256,$B$6:$B$505,B256,$C$6:$C$505,C256,$F$6:$F$505,F256,$G$6:$G$505,G256,$D$6:$D$505,"&lt;&gt;"&amp;D256,$H$6:$H$505,"&lt;&gt;")&gt;0,1,0))</f>
        <v/>
      </c>
    </row>
    <row r="257">
      <c r="M257" s="15" t="str">
        <f>IF(H257="","",IF(OR(J257="Vastgesteld",AND(J257="Fictieve aanname",P_Demo="Ja")),1,0))</f>
        <v/>
      </c>
      <c r="N257" s="15" t="str">
        <f>IF(H257="","",IF(OR(J257="Vastgesteld",J257="Concept",AND(J257="Fictieve aanname",P_Demo="Ja")),1,0))</f>
        <v/>
      </c>
      <c r="O257" s="15" t="str">
        <f>IF(H257="","",IF(COUNTIFS($A$6:$A$505,A257,$B$6:$B$505,B257,$C$6:$C$505,C257,$F$6:$F$505,F257,$G$6:$G$505,G257,$D$6:$D$505,"&lt;&gt;"&amp;D257,$H$6:$H$505,"&lt;&gt;")&gt;0,1,0))</f>
        <v/>
      </c>
    </row>
    <row r="258">
      <c r="M258" s="15" t="str">
        <f>IF(H258="","",IF(OR(J258="Vastgesteld",AND(J258="Fictieve aanname",P_Demo="Ja")),1,0))</f>
        <v/>
      </c>
      <c r="N258" s="15" t="str">
        <f>IF(H258="","",IF(OR(J258="Vastgesteld",J258="Concept",AND(J258="Fictieve aanname",P_Demo="Ja")),1,0))</f>
        <v/>
      </c>
      <c r="O258" s="15" t="str">
        <f>IF(H258="","",IF(COUNTIFS($A$6:$A$505,A258,$B$6:$B$505,B258,$C$6:$C$505,C258,$F$6:$F$505,F258,$G$6:$G$505,G258,$D$6:$D$505,"&lt;&gt;"&amp;D258,$H$6:$H$505,"&lt;&gt;")&gt;0,1,0))</f>
        <v/>
      </c>
    </row>
    <row r="259">
      <c r="M259" s="15" t="str">
        <f>IF(H259="","",IF(OR(J259="Vastgesteld",AND(J259="Fictieve aanname",P_Demo="Ja")),1,0))</f>
        <v/>
      </c>
      <c r="N259" s="15" t="str">
        <f>IF(H259="","",IF(OR(J259="Vastgesteld",J259="Concept",AND(J259="Fictieve aanname",P_Demo="Ja")),1,0))</f>
        <v/>
      </c>
      <c r="O259" s="15" t="str">
        <f>IF(H259="","",IF(COUNTIFS($A$6:$A$505,A259,$B$6:$B$505,B259,$C$6:$C$505,C259,$F$6:$F$505,F259,$G$6:$G$505,G259,$D$6:$D$505,"&lt;&gt;"&amp;D259,$H$6:$H$505,"&lt;&gt;")&gt;0,1,0))</f>
        <v/>
      </c>
    </row>
    <row r="260">
      <c r="M260" s="15" t="str">
        <f>IF(H260="","",IF(OR(J260="Vastgesteld",AND(J260="Fictieve aanname",P_Demo="Ja")),1,0))</f>
        <v/>
      </c>
      <c r="N260" s="15" t="str">
        <f>IF(H260="","",IF(OR(J260="Vastgesteld",J260="Concept",AND(J260="Fictieve aanname",P_Demo="Ja")),1,0))</f>
        <v/>
      </c>
      <c r="O260" s="15" t="str">
        <f>IF(H260="","",IF(COUNTIFS($A$6:$A$505,A260,$B$6:$B$505,B260,$C$6:$C$505,C260,$F$6:$F$505,F260,$G$6:$G$505,G260,$D$6:$D$505,"&lt;&gt;"&amp;D260,$H$6:$H$505,"&lt;&gt;")&gt;0,1,0))</f>
        <v/>
      </c>
    </row>
    <row r="261">
      <c r="M261" s="15" t="str">
        <f>IF(H261="","",IF(OR(J261="Vastgesteld",AND(J261="Fictieve aanname",P_Demo="Ja")),1,0))</f>
        <v/>
      </c>
      <c r="N261" s="15" t="str">
        <f>IF(H261="","",IF(OR(J261="Vastgesteld",J261="Concept",AND(J261="Fictieve aanname",P_Demo="Ja")),1,0))</f>
        <v/>
      </c>
      <c r="O261" s="15" t="str">
        <f>IF(H261="","",IF(COUNTIFS($A$6:$A$505,A261,$B$6:$B$505,B261,$C$6:$C$505,C261,$F$6:$F$505,F261,$G$6:$G$505,G261,$D$6:$D$505,"&lt;&gt;"&amp;D261,$H$6:$H$505,"&lt;&gt;")&gt;0,1,0))</f>
        <v/>
      </c>
    </row>
    <row r="262">
      <c r="M262" s="15" t="str">
        <f>IF(H262="","",IF(OR(J262="Vastgesteld",AND(J262="Fictieve aanname",P_Demo="Ja")),1,0))</f>
        <v/>
      </c>
      <c r="N262" s="15" t="str">
        <f>IF(H262="","",IF(OR(J262="Vastgesteld",J262="Concept",AND(J262="Fictieve aanname",P_Demo="Ja")),1,0))</f>
        <v/>
      </c>
      <c r="O262" s="15" t="str">
        <f>IF(H262="","",IF(COUNTIFS($A$6:$A$505,A262,$B$6:$B$505,B262,$C$6:$C$505,C262,$F$6:$F$505,F262,$G$6:$G$505,G262,$D$6:$D$505,"&lt;&gt;"&amp;D262,$H$6:$H$505,"&lt;&gt;")&gt;0,1,0))</f>
        <v/>
      </c>
    </row>
    <row r="263">
      <c r="M263" s="15" t="str">
        <f>IF(H263="","",IF(OR(J263="Vastgesteld",AND(J263="Fictieve aanname",P_Demo="Ja")),1,0))</f>
        <v/>
      </c>
      <c r="N263" s="15" t="str">
        <f>IF(H263="","",IF(OR(J263="Vastgesteld",J263="Concept",AND(J263="Fictieve aanname",P_Demo="Ja")),1,0))</f>
        <v/>
      </c>
      <c r="O263" s="15" t="str">
        <f>IF(H263="","",IF(COUNTIFS($A$6:$A$505,A263,$B$6:$B$505,B263,$C$6:$C$505,C263,$F$6:$F$505,F263,$G$6:$G$505,G263,$D$6:$D$505,"&lt;&gt;"&amp;D263,$H$6:$H$505,"&lt;&gt;")&gt;0,1,0))</f>
        <v/>
      </c>
    </row>
    <row r="264">
      <c r="M264" s="15" t="str">
        <f>IF(H264="","",IF(OR(J264="Vastgesteld",AND(J264="Fictieve aanname",P_Demo="Ja")),1,0))</f>
        <v/>
      </c>
      <c r="N264" s="15" t="str">
        <f>IF(H264="","",IF(OR(J264="Vastgesteld",J264="Concept",AND(J264="Fictieve aanname",P_Demo="Ja")),1,0))</f>
        <v/>
      </c>
      <c r="O264" s="15" t="str">
        <f>IF(H264="","",IF(COUNTIFS($A$6:$A$505,A264,$B$6:$B$505,B264,$C$6:$C$505,C264,$F$6:$F$505,F264,$G$6:$G$505,G264,$D$6:$D$505,"&lt;&gt;"&amp;D264,$H$6:$H$505,"&lt;&gt;")&gt;0,1,0))</f>
        <v/>
      </c>
    </row>
    <row r="265">
      <c r="M265" s="15" t="str">
        <f>IF(H265="","",IF(OR(J265="Vastgesteld",AND(J265="Fictieve aanname",P_Demo="Ja")),1,0))</f>
        <v/>
      </c>
      <c r="N265" s="15" t="str">
        <f>IF(H265="","",IF(OR(J265="Vastgesteld",J265="Concept",AND(J265="Fictieve aanname",P_Demo="Ja")),1,0))</f>
        <v/>
      </c>
      <c r="O265" s="15" t="str">
        <f>IF(H265="","",IF(COUNTIFS($A$6:$A$505,A265,$B$6:$B$505,B265,$C$6:$C$505,C265,$F$6:$F$505,F265,$G$6:$G$505,G265,$D$6:$D$505,"&lt;&gt;"&amp;D265,$H$6:$H$505,"&lt;&gt;")&gt;0,1,0))</f>
        <v/>
      </c>
    </row>
    <row r="266">
      <c r="M266" s="15" t="str">
        <f>IF(H266="","",IF(OR(J266="Vastgesteld",AND(J266="Fictieve aanname",P_Demo="Ja")),1,0))</f>
        <v/>
      </c>
      <c r="N266" s="15" t="str">
        <f>IF(H266="","",IF(OR(J266="Vastgesteld",J266="Concept",AND(J266="Fictieve aanname",P_Demo="Ja")),1,0))</f>
        <v/>
      </c>
      <c r="O266" s="15" t="str">
        <f>IF(H266="","",IF(COUNTIFS($A$6:$A$505,A266,$B$6:$B$505,B266,$C$6:$C$505,C266,$F$6:$F$505,F266,$G$6:$G$505,G266,$D$6:$D$505,"&lt;&gt;"&amp;D266,$H$6:$H$505,"&lt;&gt;")&gt;0,1,0))</f>
        <v/>
      </c>
    </row>
    <row r="267">
      <c r="M267" s="15" t="str">
        <f>IF(H267="","",IF(OR(J267="Vastgesteld",AND(J267="Fictieve aanname",P_Demo="Ja")),1,0))</f>
        <v/>
      </c>
      <c r="N267" s="15" t="str">
        <f>IF(H267="","",IF(OR(J267="Vastgesteld",J267="Concept",AND(J267="Fictieve aanname",P_Demo="Ja")),1,0))</f>
        <v/>
      </c>
      <c r="O267" s="15" t="str">
        <f>IF(H267="","",IF(COUNTIFS($A$6:$A$505,A267,$B$6:$B$505,B267,$C$6:$C$505,C267,$F$6:$F$505,F267,$G$6:$G$505,G267,$D$6:$D$505,"&lt;&gt;"&amp;D267,$H$6:$H$505,"&lt;&gt;")&gt;0,1,0))</f>
        <v/>
      </c>
    </row>
    <row r="268">
      <c r="M268" s="15" t="str">
        <f>IF(H268="","",IF(OR(J268="Vastgesteld",AND(J268="Fictieve aanname",P_Demo="Ja")),1,0))</f>
        <v/>
      </c>
      <c r="N268" s="15" t="str">
        <f>IF(H268="","",IF(OR(J268="Vastgesteld",J268="Concept",AND(J268="Fictieve aanname",P_Demo="Ja")),1,0))</f>
        <v/>
      </c>
      <c r="O268" s="15" t="str">
        <f>IF(H268="","",IF(COUNTIFS($A$6:$A$505,A268,$B$6:$B$505,B268,$C$6:$C$505,C268,$F$6:$F$505,F268,$G$6:$G$505,G268,$D$6:$D$505,"&lt;&gt;"&amp;D268,$H$6:$H$505,"&lt;&gt;")&gt;0,1,0))</f>
        <v/>
      </c>
    </row>
    <row r="269">
      <c r="M269" s="15" t="str">
        <f>IF(H269="","",IF(OR(J269="Vastgesteld",AND(J269="Fictieve aanname",P_Demo="Ja")),1,0))</f>
        <v/>
      </c>
      <c r="N269" s="15" t="str">
        <f>IF(H269="","",IF(OR(J269="Vastgesteld",J269="Concept",AND(J269="Fictieve aanname",P_Demo="Ja")),1,0))</f>
        <v/>
      </c>
      <c r="O269" s="15" t="str">
        <f>IF(H269="","",IF(COUNTIFS($A$6:$A$505,A269,$B$6:$B$505,B269,$C$6:$C$505,C269,$F$6:$F$505,F269,$G$6:$G$505,G269,$D$6:$D$505,"&lt;&gt;"&amp;D269,$H$6:$H$505,"&lt;&gt;")&gt;0,1,0))</f>
        <v/>
      </c>
    </row>
    <row r="270">
      <c r="M270" s="15" t="str">
        <f>IF(H270="","",IF(OR(J270="Vastgesteld",AND(J270="Fictieve aanname",P_Demo="Ja")),1,0))</f>
        <v/>
      </c>
      <c r="N270" s="15" t="str">
        <f>IF(H270="","",IF(OR(J270="Vastgesteld",J270="Concept",AND(J270="Fictieve aanname",P_Demo="Ja")),1,0))</f>
        <v/>
      </c>
      <c r="O270" s="15" t="str">
        <f>IF(H270="","",IF(COUNTIFS($A$6:$A$505,A270,$B$6:$B$505,B270,$C$6:$C$505,C270,$F$6:$F$505,F270,$G$6:$G$505,G270,$D$6:$D$505,"&lt;&gt;"&amp;D270,$H$6:$H$505,"&lt;&gt;")&gt;0,1,0))</f>
        <v/>
      </c>
    </row>
    <row r="271">
      <c r="M271" s="15" t="str">
        <f>IF(H271="","",IF(OR(J271="Vastgesteld",AND(J271="Fictieve aanname",P_Demo="Ja")),1,0))</f>
        <v/>
      </c>
      <c r="N271" s="15" t="str">
        <f>IF(H271="","",IF(OR(J271="Vastgesteld",J271="Concept",AND(J271="Fictieve aanname",P_Demo="Ja")),1,0))</f>
        <v/>
      </c>
      <c r="O271" s="15" t="str">
        <f>IF(H271="","",IF(COUNTIFS($A$6:$A$505,A271,$B$6:$B$505,B271,$C$6:$C$505,C271,$F$6:$F$505,F271,$G$6:$G$505,G271,$D$6:$D$505,"&lt;&gt;"&amp;D271,$H$6:$H$505,"&lt;&gt;")&gt;0,1,0))</f>
        <v/>
      </c>
    </row>
    <row r="272">
      <c r="M272" s="15" t="str">
        <f>IF(H272="","",IF(OR(J272="Vastgesteld",AND(J272="Fictieve aanname",P_Demo="Ja")),1,0))</f>
        <v/>
      </c>
      <c r="N272" s="15" t="str">
        <f>IF(H272="","",IF(OR(J272="Vastgesteld",J272="Concept",AND(J272="Fictieve aanname",P_Demo="Ja")),1,0))</f>
        <v/>
      </c>
      <c r="O272" s="15" t="str">
        <f>IF(H272="","",IF(COUNTIFS($A$6:$A$505,A272,$B$6:$B$505,B272,$C$6:$C$505,C272,$F$6:$F$505,F272,$G$6:$G$505,G272,$D$6:$D$505,"&lt;&gt;"&amp;D272,$H$6:$H$505,"&lt;&gt;")&gt;0,1,0))</f>
        <v/>
      </c>
    </row>
    <row r="273">
      <c r="M273" s="15" t="str">
        <f>IF(H273="","",IF(OR(J273="Vastgesteld",AND(J273="Fictieve aanname",P_Demo="Ja")),1,0))</f>
        <v/>
      </c>
      <c r="N273" s="15" t="str">
        <f>IF(H273="","",IF(OR(J273="Vastgesteld",J273="Concept",AND(J273="Fictieve aanname",P_Demo="Ja")),1,0))</f>
        <v/>
      </c>
      <c r="O273" s="15" t="str">
        <f>IF(H273="","",IF(COUNTIFS($A$6:$A$505,A273,$B$6:$B$505,B273,$C$6:$C$505,C273,$F$6:$F$505,F273,$G$6:$G$505,G273,$D$6:$D$505,"&lt;&gt;"&amp;D273,$H$6:$H$505,"&lt;&gt;")&gt;0,1,0))</f>
        <v/>
      </c>
    </row>
    <row r="274">
      <c r="M274" s="15" t="str">
        <f>IF(H274="","",IF(OR(J274="Vastgesteld",AND(J274="Fictieve aanname",P_Demo="Ja")),1,0))</f>
        <v/>
      </c>
      <c r="N274" s="15" t="str">
        <f>IF(H274="","",IF(OR(J274="Vastgesteld",J274="Concept",AND(J274="Fictieve aanname",P_Demo="Ja")),1,0))</f>
        <v/>
      </c>
      <c r="O274" s="15" t="str">
        <f>IF(H274="","",IF(COUNTIFS($A$6:$A$505,A274,$B$6:$B$505,B274,$C$6:$C$505,C274,$F$6:$F$505,F274,$G$6:$G$505,G274,$D$6:$D$505,"&lt;&gt;"&amp;D274,$H$6:$H$505,"&lt;&gt;")&gt;0,1,0))</f>
        <v/>
      </c>
    </row>
    <row r="275">
      <c r="M275" s="15" t="str">
        <f>IF(H275="","",IF(OR(J275="Vastgesteld",AND(J275="Fictieve aanname",P_Demo="Ja")),1,0))</f>
        <v/>
      </c>
      <c r="N275" s="15" t="str">
        <f>IF(H275="","",IF(OR(J275="Vastgesteld",J275="Concept",AND(J275="Fictieve aanname",P_Demo="Ja")),1,0))</f>
        <v/>
      </c>
      <c r="O275" s="15" t="str">
        <f>IF(H275="","",IF(COUNTIFS($A$6:$A$505,A275,$B$6:$B$505,B275,$C$6:$C$505,C275,$F$6:$F$505,F275,$G$6:$G$505,G275,$D$6:$D$505,"&lt;&gt;"&amp;D275,$H$6:$H$505,"&lt;&gt;")&gt;0,1,0))</f>
        <v/>
      </c>
    </row>
    <row r="276">
      <c r="M276" s="15" t="str">
        <f>IF(H276="","",IF(OR(J276="Vastgesteld",AND(J276="Fictieve aanname",P_Demo="Ja")),1,0))</f>
        <v/>
      </c>
      <c r="N276" s="15" t="str">
        <f>IF(H276="","",IF(OR(J276="Vastgesteld",J276="Concept",AND(J276="Fictieve aanname",P_Demo="Ja")),1,0))</f>
        <v/>
      </c>
      <c r="O276" s="15" t="str">
        <f>IF(H276="","",IF(COUNTIFS($A$6:$A$505,A276,$B$6:$B$505,B276,$C$6:$C$505,C276,$F$6:$F$505,F276,$G$6:$G$505,G276,$D$6:$D$505,"&lt;&gt;"&amp;D276,$H$6:$H$505,"&lt;&gt;")&gt;0,1,0))</f>
        <v/>
      </c>
    </row>
    <row r="277">
      <c r="M277" s="15" t="str">
        <f>IF(H277="","",IF(OR(J277="Vastgesteld",AND(J277="Fictieve aanname",P_Demo="Ja")),1,0))</f>
        <v/>
      </c>
      <c r="N277" s="15" t="str">
        <f>IF(H277="","",IF(OR(J277="Vastgesteld",J277="Concept",AND(J277="Fictieve aanname",P_Demo="Ja")),1,0))</f>
        <v/>
      </c>
      <c r="O277" s="15" t="str">
        <f>IF(H277="","",IF(COUNTIFS($A$6:$A$505,A277,$B$6:$B$505,B277,$C$6:$C$505,C277,$F$6:$F$505,F277,$G$6:$G$505,G277,$D$6:$D$505,"&lt;&gt;"&amp;D277,$H$6:$H$505,"&lt;&gt;")&gt;0,1,0))</f>
        <v/>
      </c>
    </row>
    <row r="278">
      <c r="M278" s="15" t="str">
        <f>IF(H278="","",IF(OR(J278="Vastgesteld",AND(J278="Fictieve aanname",P_Demo="Ja")),1,0))</f>
        <v/>
      </c>
      <c r="N278" s="15" t="str">
        <f>IF(H278="","",IF(OR(J278="Vastgesteld",J278="Concept",AND(J278="Fictieve aanname",P_Demo="Ja")),1,0))</f>
        <v/>
      </c>
      <c r="O278" s="15" t="str">
        <f>IF(H278="","",IF(COUNTIFS($A$6:$A$505,A278,$B$6:$B$505,B278,$C$6:$C$505,C278,$F$6:$F$505,F278,$G$6:$G$505,G278,$D$6:$D$505,"&lt;&gt;"&amp;D278,$H$6:$H$505,"&lt;&gt;")&gt;0,1,0))</f>
        <v/>
      </c>
    </row>
    <row r="279">
      <c r="M279" s="15" t="str">
        <f>IF(H279="","",IF(OR(J279="Vastgesteld",AND(J279="Fictieve aanname",P_Demo="Ja")),1,0))</f>
        <v/>
      </c>
      <c r="N279" s="15" t="str">
        <f>IF(H279="","",IF(OR(J279="Vastgesteld",J279="Concept",AND(J279="Fictieve aanname",P_Demo="Ja")),1,0))</f>
        <v/>
      </c>
      <c r="O279" s="15" t="str">
        <f>IF(H279="","",IF(COUNTIFS($A$6:$A$505,A279,$B$6:$B$505,B279,$C$6:$C$505,C279,$F$6:$F$505,F279,$G$6:$G$505,G279,$D$6:$D$505,"&lt;&gt;"&amp;D279,$H$6:$H$505,"&lt;&gt;")&gt;0,1,0))</f>
        <v/>
      </c>
    </row>
    <row r="280">
      <c r="M280" s="15" t="str">
        <f>IF(H280="","",IF(OR(J280="Vastgesteld",AND(J280="Fictieve aanname",P_Demo="Ja")),1,0))</f>
        <v/>
      </c>
      <c r="N280" s="15" t="str">
        <f>IF(H280="","",IF(OR(J280="Vastgesteld",J280="Concept",AND(J280="Fictieve aanname",P_Demo="Ja")),1,0))</f>
        <v/>
      </c>
      <c r="O280" s="15" t="str">
        <f>IF(H280="","",IF(COUNTIFS($A$6:$A$505,A280,$B$6:$B$505,B280,$C$6:$C$505,C280,$F$6:$F$505,F280,$G$6:$G$505,G280,$D$6:$D$505,"&lt;&gt;"&amp;D280,$H$6:$H$505,"&lt;&gt;")&gt;0,1,0))</f>
        <v/>
      </c>
    </row>
    <row r="281">
      <c r="M281" s="15" t="str">
        <f>IF(H281="","",IF(OR(J281="Vastgesteld",AND(J281="Fictieve aanname",P_Demo="Ja")),1,0))</f>
        <v/>
      </c>
      <c r="N281" s="15" t="str">
        <f>IF(H281="","",IF(OR(J281="Vastgesteld",J281="Concept",AND(J281="Fictieve aanname",P_Demo="Ja")),1,0))</f>
        <v/>
      </c>
      <c r="O281" s="15" t="str">
        <f>IF(H281="","",IF(COUNTIFS($A$6:$A$505,A281,$B$6:$B$505,B281,$C$6:$C$505,C281,$F$6:$F$505,F281,$G$6:$G$505,G281,$D$6:$D$505,"&lt;&gt;"&amp;D281,$H$6:$H$505,"&lt;&gt;")&gt;0,1,0))</f>
        <v/>
      </c>
    </row>
    <row r="282">
      <c r="M282" s="15" t="str">
        <f>IF(H282="","",IF(OR(J282="Vastgesteld",AND(J282="Fictieve aanname",P_Demo="Ja")),1,0))</f>
        <v/>
      </c>
      <c r="N282" s="15" t="str">
        <f>IF(H282="","",IF(OR(J282="Vastgesteld",J282="Concept",AND(J282="Fictieve aanname",P_Demo="Ja")),1,0))</f>
        <v/>
      </c>
      <c r="O282" s="15" t="str">
        <f>IF(H282="","",IF(COUNTIFS($A$6:$A$505,A282,$B$6:$B$505,B282,$C$6:$C$505,C282,$F$6:$F$505,F282,$G$6:$G$505,G282,$D$6:$D$505,"&lt;&gt;"&amp;D282,$H$6:$H$505,"&lt;&gt;")&gt;0,1,0))</f>
        <v/>
      </c>
    </row>
    <row r="283">
      <c r="M283" s="15" t="str">
        <f>IF(H283="","",IF(OR(J283="Vastgesteld",AND(J283="Fictieve aanname",P_Demo="Ja")),1,0))</f>
        <v/>
      </c>
      <c r="N283" s="15" t="str">
        <f>IF(H283="","",IF(OR(J283="Vastgesteld",J283="Concept",AND(J283="Fictieve aanname",P_Demo="Ja")),1,0))</f>
        <v/>
      </c>
      <c r="O283" s="15" t="str">
        <f>IF(H283="","",IF(COUNTIFS($A$6:$A$505,A283,$B$6:$B$505,B283,$C$6:$C$505,C283,$F$6:$F$505,F283,$G$6:$G$505,G283,$D$6:$D$505,"&lt;&gt;"&amp;D283,$H$6:$H$505,"&lt;&gt;")&gt;0,1,0))</f>
        <v/>
      </c>
    </row>
    <row r="284">
      <c r="M284" s="15" t="str">
        <f>IF(H284="","",IF(OR(J284="Vastgesteld",AND(J284="Fictieve aanname",P_Demo="Ja")),1,0))</f>
        <v/>
      </c>
      <c r="N284" s="15" t="str">
        <f>IF(H284="","",IF(OR(J284="Vastgesteld",J284="Concept",AND(J284="Fictieve aanname",P_Demo="Ja")),1,0))</f>
        <v/>
      </c>
      <c r="O284" s="15" t="str">
        <f>IF(H284="","",IF(COUNTIFS($A$6:$A$505,A284,$B$6:$B$505,B284,$C$6:$C$505,C284,$F$6:$F$505,F284,$G$6:$G$505,G284,$D$6:$D$505,"&lt;&gt;"&amp;D284,$H$6:$H$505,"&lt;&gt;")&gt;0,1,0))</f>
        <v/>
      </c>
    </row>
    <row r="285">
      <c r="M285" s="15" t="str">
        <f>IF(H285="","",IF(OR(J285="Vastgesteld",AND(J285="Fictieve aanname",P_Demo="Ja")),1,0))</f>
        <v/>
      </c>
      <c r="N285" s="15" t="str">
        <f>IF(H285="","",IF(OR(J285="Vastgesteld",J285="Concept",AND(J285="Fictieve aanname",P_Demo="Ja")),1,0))</f>
        <v/>
      </c>
      <c r="O285" s="15" t="str">
        <f>IF(H285="","",IF(COUNTIFS($A$6:$A$505,A285,$B$6:$B$505,B285,$C$6:$C$505,C285,$F$6:$F$505,F285,$G$6:$G$505,G285,$D$6:$D$505,"&lt;&gt;"&amp;D285,$H$6:$H$505,"&lt;&gt;")&gt;0,1,0))</f>
        <v/>
      </c>
    </row>
    <row r="286">
      <c r="M286" s="15" t="str">
        <f>IF(H286="","",IF(OR(J286="Vastgesteld",AND(J286="Fictieve aanname",P_Demo="Ja")),1,0))</f>
        <v/>
      </c>
      <c r="N286" s="15" t="str">
        <f>IF(H286="","",IF(OR(J286="Vastgesteld",J286="Concept",AND(J286="Fictieve aanname",P_Demo="Ja")),1,0))</f>
        <v/>
      </c>
      <c r="O286" s="15" t="str">
        <f>IF(H286="","",IF(COUNTIFS($A$6:$A$505,A286,$B$6:$B$505,B286,$C$6:$C$505,C286,$F$6:$F$505,F286,$G$6:$G$505,G286,$D$6:$D$505,"&lt;&gt;"&amp;D286,$H$6:$H$505,"&lt;&gt;")&gt;0,1,0))</f>
        <v/>
      </c>
    </row>
    <row r="287">
      <c r="M287" s="15" t="str">
        <f>IF(H287="","",IF(OR(J287="Vastgesteld",AND(J287="Fictieve aanname",P_Demo="Ja")),1,0))</f>
        <v/>
      </c>
      <c r="N287" s="15" t="str">
        <f>IF(H287="","",IF(OR(J287="Vastgesteld",J287="Concept",AND(J287="Fictieve aanname",P_Demo="Ja")),1,0))</f>
        <v/>
      </c>
      <c r="O287" s="15" t="str">
        <f>IF(H287="","",IF(COUNTIFS($A$6:$A$505,A287,$B$6:$B$505,B287,$C$6:$C$505,C287,$F$6:$F$505,F287,$G$6:$G$505,G287,$D$6:$D$505,"&lt;&gt;"&amp;D287,$H$6:$H$505,"&lt;&gt;")&gt;0,1,0))</f>
        <v/>
      </c>
    </row>
    <row r="288">
      <c r="M288" s="15" t="str">
        <f>IF(H288="","",IF(OR(J288="Vastgesteld",AND(J288="Fictieve aanname",P_Demo="Ja")),1,0))</f>
        <v/>
      </c>
      <c r="N288" s="15" t="str">
        <f>IF(H288="","",IF(OR(J288="Vastgesteld",J288="Concept",AND(J288="Fictieve aanname",P_Demo="Ja")),1,0))</f>
        <v/>
      </c>
      <c r="O288" s="15" t="str">
        <f>IF(H288="","",IF(COUNTIFS($A$6:$A$505,A288,$B$6:$B$505,B288,$C$6:$C$505,C288,$F$6:$F$505,F288,$G$6:$G$505,G288,$D$6:$D$505,"&lt;&gt;"&amp;D288,$H$6:$H$505,"&lt;&gt;")&gt;0,1,0))</f>
        <v/>
      </c>
    </row>
    <row r="289">
      <c r="M289" s="15" t="str">
        <f>IF(H289="","",IF(OR(J289="Vastgesteld",AND(J289="Fictieve aanname",P_Demo="Ja")),1,0))</f>
        <v/>
      </c>
      <c r="N289" s="15" t="str">
        <f>IF(H289="","",IF(OR(J289="Vastgesteld",J289="Concept",AND(J289="Fictieve aanname",P_Demo="Ja")),1,0))</f>
        <v/>
      </c>
      <c r="O289" s="15" t="str">
        <f>IF(H289="","",IF(COUNTIFS($A$6:$A$505,A289,$B$6:$B$505,B289,$C$6:$C$505,C289,$F$6:$F$505,F289,$G$6:$G$505,G289,$D$6:$D$505,"&lt;&gt;"&amp;D289,$H$6:$H$505,"&lt;&gt;")&gt;0,1,0))</f>
        <v/>
      </c>
    </row>
    <row r="290">
      <c r="M290" s="15" t="str">
        <f>IF(H290="","",IF(OR(J290="Vastgesteld",AND(J290="Fictieve aanname",P_Demo="Ja")),1,0))</f>
        <v/>
      </c>
      <c r="N290" s="15" t="str">
        <f>IF(H290="","",IF(OR(J290="Vastgesteld",J290="Concept",AND(J290="Fictieve aanname",P_Demo="Ja")),1,0))</f>
        <v/>
      </c>
      <c r="O290" s="15" t="str">
        <f>IF(H290="","",IF(COUNTIFS($A$6:$A$505,A290,$B$6:$B$505,B290,$C$6:$C$505,C290,$F$6:$F$505,F290,$G$6:$G$505,G290,$D$6:$D$505,"&lt;&gt;"&amp;D290,$H$6:$H$505,"&lt;&gt;")&gt;0,1,0))</f>
        <v/>
      </c>
    </row>
    <row r="291">
      <c r="M291" s="15" t="str">
        <f>IF(H291="","",IF(OR(J291="Vastgesteld",AND(J291="Fictieve aanname",P_Demo="Ja")),1,0))</f>
        <v/>
      </c>
      <c r="N291" s="15" t="str">
        <f>IF(H291="","",IF(OR(J291="Vastgesteld",J291="Concept",AND(J291="Fictieve aanname",P_Demo="Ja")),1,0))</f>
        <v/>
      </c>
      <c r="O291" s="15" t="str">
        <f>IF(H291="","",IF(COUNTIFS($A$6:$A$505,A291,$B$6:$B$505,B291,$C$6:$C$505,C291,$F$6:$F$505,F291,$G$6:$G$505,G291,$D$6:$D$505,"&lt;&gt;"&amp;D291,$H$6:$H$505,"&lt;&gt;")&gt;0,1,0))</f>
        <v/>
      </c>
    </row>
    <row r="292">
      <c r="M292" s="15" t="str">
        <f>IF(H292="","",IF(OR(J292="Vastgesteld",AND(J292="Fictieve aanname",P_Demo="Ja")),1,0))</f>
        <v/>
      </c>
      <c r="N292" s="15" t="str">
        <f>IF(H292="","",IF(OR(J292="Vastgesteld",J292="Concept",AND(J292="Fictieve aanname",P_Demo="Ja")),1,0))</f>
        <v/>
      </c>
      <c r="O292" s="15" t="str">
        <f>IF(H292="","",IF(COUNTIFS($A$6:$A$505,A292,$B$6:$B$505,B292,$C$6:$C$505,C292,$F$6:$F$505,F292,$G$6:$G$505,G292,$D$6:$D$505,"&lt;&gt;"&amp;D292,$H$6:$H$505,"&lt;&gt;")&gt;0,1,0))</f>
        <v/>
      </c>
    </row>
    <row r="293">
      <c r="M293" s="15" t="str">
        <f>IF(H293="","",IF(OR(J293="Vastgesteld",AND(J293="Fictieve aanname",P_Demo="Ja")),1,0))</f>
        <v/>
      </c>
      <c r="N293" s="15" t="str">
        <f>IF(H293="","",IF(OR(J293="Vastgesteld",J293="Concept",AND(J293="Fictieve aanname",P_Demo="Ja")),1,0))</f>
        <v/>
      </c>
      <c r="O293" s="15" t="str">
        <f>IF(H293="","",IF(COUNTIFS($A$6:$A$505,A293,$B$6:$B$505,B293,$C$6:$C$505,C293,$F$6:$F$505,F293,$G$6:$G$505,G293,$D$6:$D$505,"&lt;&gt;"&amp;D293,$H$6:$H$505,"&lt;&gt;")&gt;0,1,0))</f>
        <v/>
      </c>
    </row>
    <row r="294">
      <c r="M294" s="15" t="str">
        <f>IF(H294="","",IF(OR(J294="Vastgesteld",AND(J294="Fictieve aanname",P_Demo="Ja")),1,0))</f>
        <v/>
      </c>
      <c r="N294" s="15" t="str">
        <f>IF(H294="","",IF(OR(J294="Vastgesteld",J294="Concept",AND(J294="Fictieve aanname",P_Demo="Ja")),1,0))</f>
        <v/>
      </c>
      <c r="O294" s="15" t="str">
        <f>IF(H294="","",IF(COUNTIFS($A$6:$A$505,A294,$B$6:$B$505,B294,$C$6:$C$505,C294,$F$6:$F$505,F294,$G$6:$G$505,G294,$D$6:$D$505,"&lt;&gt;"&amp;D294,$H$6:$H$505,"&lt;&gt;")&gt;0,1,0))</f>
        <v/>
      </c>
    </row>
    <row r="295">
      <c r="M295" s="15" t="str">
        <f>IF(H295="","",IF(OR(J295="Vastgesteld",AND(J295="Fictieve aanname",P_Demo="Ja")),1,0))</f>
        <v/>
      </c>
      <c r="N295" s="15" t="str">
        <f>IF(H295="","",IF(OR(J295="Vastgesteld",J295="Concept",AND(J295="Fictieve aanname",P_Demo="Ja")),1,0))</f>
        <v/>
      </c>
      <c r="O295" s="15" t="str">
        <f>IF(H295="","",IF(COUNTIFS($A$6:$A$505,A295,$B$6:$B$505,B295,$C$6:$C$505,C295,$F$6:$F$505,F295,$G$6:$G$505,G295,$D$6:$D$505,"&lt;&gt;"&amp;D295,$H$6:$H$505,"&lt;&gt;")&gt;0,1,0))</f>
        <v/>
      </c>
    </row>
    <row r="296">
      <c r="M296" s="15" t="str">
        <f>IF(H296="","",IF(OR(J296="Vastgesteld",AND(J296="Fictieve aanname",P_Demo="Ja")),1,0))</f>
        <v/>
      </c>
      <c r="N296" s="15" t="str">
        <f>IF(H296="","",IF(OR(J296="Vastgesteld",J296="Concept",AND(J296="Fictieve aanname",P_Demo="Ja")),1,0))</f>
        <v/>
      </c>
      <c r="O296" s="15" t="str">
        <f>IF(H296="","",IF(COUNTIFS($A$6:$A$505,A296,$B$6:$B$505,B296,$C$6:$C$505,C296,$F$6:$F$505,F296,$G$6:$G$505,G296,$D$6:$D$505,"&lt;&gt;"&amp;D296,$H$6:$H$505,"&lt;&gt;")&gt;0,1,0))</f>
        <v/>
      </c>
    </row>
    <row r="297">
      <c r="M297" s="15" t="str">
        <f>IF(H297="","",IF(OR(J297="Vastgesteld",AND(J297="Fictieve aanname",P_Demo="Ja")),1,0))</f>
        <v/>
      </c>
      <c r="N297" s="15" t="str">
        <f>IF(H297="","",IF(OR(J297="Vastgesteld",J297="Concept",AND(J297="Fictieve aanname",P_Demo="Ja")),1,0))</f>
        <v/>
      </c>
      <c r="O297" s="15" t="str">
        <f>IF(H297="","",IF(COUNTIFS($A$6:$A$505,A297,$B$6:$B$505,B297,$C$6:$C$505,C297,$F$6:$F$505,F297,$G$6:$G$505,G297,$D$6:$D$505,"&lt;&gt;"&amp;D297,$H$6:$H$505,"&lt;&gt;")&gt;0,1,0))</f>
        <v/>
      </c>
    </row>
    <row r="298">
      <c r="M298" s="15" t="str">
        <f>IF(H298="","",IF(OR(J298="Vastgesteld",AND(J298="Fictieve aanname",P_Demo="Ja")),1,0))</f>
        <v/>
      </c>
      <c r="N298" s="15" t="str">
        <f>IF(H298="","",IF(OR(J298="Vastgesteld",J298="Concept",AND(J298="Fictieve aanname",P_Demo="Ja")),1,0))</f>
        <v/>
      </c>
      <c r="O298" s="15" t="str">
        <f>IF(H298="","",IF(COUNTIFS($A$6:$A$505,A298,$B$6:$B$505,B298,$C$6:$C$505,C298,$F$6:$F$505,F298,$G$6:$G$505,G298,$D$6:$D$505,"&lt;&gt;"&amp;D298,$H$6:$H$505,"&lt;&gt;")&gt;0,1,0))</f>
        <v/>
      </c>
    </row>
    <row r="299">
      <c r="M299" s="15" t="str">
        <f>IF(H299="","",IF(OR(J299="Vastgesteld",AND(J299="Fictieve aanname",P_Demo="Ja")),1,0))</f>
        <v/>
      </c>
      <c r="N299" s="15" t="str">
        <f>IF(H299="","",IF(OR(J299="Vastgesteld",J299="Concept",AND(J299="Fictieve aanname",P_Demo="Ja")),1,0))</f>
        <v/>
      </c>
      <c r="O299" s="15" t="str">
        <f>IF(H299="","",IF(COUNTIFS($A$6:$A$505,A299,$B$6:$B$505,B299,$C$6:$C$505,C299,$F$6:$F$505,F299,$G$6:$G$505,G299,$D$6:$D$505,"&lt;&gt;"&amp;D299,$H$6:$H$505,"&lt;&gt;")&gt;0,1,0))</f>
        <v/>
      </c>
    </row>
    <row r="300">
      <c r="M300" s="15" t="str">
        <f>IF(H300="","",IF(OR(J300="Vastgesteld",AND(J300="Fictieve aanname",P_Demo="Ja")),1,0))</f>
        <v/>
      </c>
      <c r="N300" s="15" t="str">
        <f>IF(H300="","",IF(OR(J300="Vastgesteld",J300="Concept",AND(J300="Fictieve aanname",P_Demo="Ja")),1,0))</f>
        <v/>
      </c>
      <c r="O300" s="15" t="str">
        <f>IF(H300="","",IF(COUNTIFS($A$6:$A$505,A300,$B$6:$B$505,B300,$C$6:$C$505,C300,$F$6:$F$505,F300,$G$6:$G$505,G300,$D$6:$D$505,"&lt;&gt;"&amp;D300,$H$6:$H$505,"&lt;&gt;")&gt;0,1,0))</f>
        <v/>
      </c>
    </row>
    <row r="301">
      <c r="M301" s="15" t="str">
        <f>IF(H301="","",IF(OR(J301="Vastgesteld",AND(J301="Fictieve aanname",P_Demo="Ja")),1,0))</f>
        <v/>
      </c>
      <c r="N301" s="15" t="str">
        <f>IF(H301="","",IF(OR(J301="Vastgesteld",J301="Concept",AND(J301="Fictieve aanname",P_Demo="Ja")),1,0))</f>
        <v/>
      </c>
      <c r="O301" s="15" t="str">
        <f>IF(H301="","",IF(COUNTIFS($A$6:$A$505,A301,$B$6:$B$505,B301,$C$6:$C$505,C301,$F$6:$F$505,F301,$G$6:$G$505,G301,$D$6:$D$505,"&lt;&gt;"&amp;D301,$H$6:$H$505,"&lt;&gt;")&gt;0,1,0))</f>
        <v/>
      </c>
    </row>
    <row r="302">
      <c r="M302" s="15" t="str">
        <f>IF(H302="","",IF(OR(J302="Vastgesteld",AND(J302="Fictieve aanname",P_Demo="Ja")),1,0))</f>
        <v/>
      </c>
      <c r="N302" s="15" t="str">
        <f>IF(H302="","",IF(OR(J302="Vastgesteld",J302="Concept",AND(J302="Fictieve aanname",P_Demo="Ja")),1,0))</f>
        <v/>
      </c>
      <c r="O302" s="15" t="str">
        <f>IF(H302="","",IF(COUNTIFS($A$6:$A$505,A302,$B$6:$B$505,B302,$C$6:$C$505,C302,$F$6:$F$505,F302,$G$6:$G$505,G302,$D$6:$D$505,"&lt;&gt;"&amp;D302,$H$6:$H$505,"&lt;&gt;")&gt;0,1,0))</f>
        <v/>
      </c>
    </row>
    <row r="303">
      <c r="M303" s="15" t="str">
        <f>IF(H303="","",IF(OR(J303="Vastgesteld",AND(J303="Fictieve aanname",P_Demo="Ja")),1,0))</f>
        <v/>
      </c>
      <c r="N303" s="15" t="str">
        <f>IF(H303="","",IF(OR(J303="Vastgesteld",J303="Concept",AND(J303="Fictieve aanname",P_Demo="Ja")),1,0))</f>
        <v/>
      </c>
      <c r="O303" s="15" t="str">
        <f>IF(H303="","",IF(COUNTIFS($A$6:$A$505,A303,$B$6:$B$505,B303,$C$6:$C$505,C303,$F$6:$F$505,F303,$G$6:$G$505,G303,$D$6:$D$505,"&lt;&gt;"&amp;D303,$H$6:$H$505,"&lt;&gt;")&gt;0,1,0))</f>
        <v/>
      </c>
    </row>
    <row r="304">
      <c r="M304" s="15" t="str">
        <f>IF(H304="","",IF(OR(J304="Vastgesteld",AND(J304="Fictieve aanname",P_Demo="Ja")),1,0))</f>
        <v/>
      </c>
      <c r="N304" s="15" t="str">
        <f>IF(H304="","",IF(OR(J304="Vastgesteld",J304="Concept",AND(J304="Fictieve aanname",P_Demo="Ja")),1,0))</f>
        <v/>
      </c>
      <c r="O304" s="15" t="str">
        <f>IF(H304="","",IF(COUNTIFS($A$6:$A$505,A304,$B$6:$B$505,B304,$C$6:$C$505,C304,$F$6:$F$505,F304,$G$6:$G$505,G304,$D$6:$D$505,"&lt;&gt;"&amp;D304,$H$6:$H$505,"&lt;&gt;")&gt;0,1,0))</f>
        <v/>
      </c>
    </row>
    <row r="305">
      <c r="M305" s="15" t="str">
        <f>IF(H305="","",IF(OR(J305="Vastgesteld",AND(J305="Fictieve aanname",P_Demo="Ja")),1,0))</f>
        <v/>
      </c>
      <c r="N305" s="15" t="str">
        <f>IF(H305="","",IF(OR(J305="Vastgesteld",J305="Concept",AND(J305="Fictieve aanname",P_Demo="Ja")),1,0))</f>
        <v/>
      </c>
      <c r="O305" s="15" t="str">
        <f>IF(H305="","",IF(COUNTIFS($A$6:$A$505,A305,$B$6:$B$505,B305,$C$6:$C$505,C305,$F$6:$F$505,F305,$G$6:$G$505,G305,$D$6:$D$505,"&lt;&gt;"&amp;D305,$H$6:$H$505,"&lt;&gt;")&gt;0,1,0))</f>
        <v/>
      </c>
    </row>
    <row r="306">
      <c r="M306" s="15" t="str">
        <f>IF(H306="","",IF(OR(J306="Vastgesteld",AND(J306="Fictieve aanname",P_Demo="Ja")),1,0))</f>
        <v/>
      </c>
      <c r="N306" s="15" t="str">
        <f>IF(H306="","",IF(OR(J306="Vastgesteld",J306="Concept",AND(J306="Fictieve aanname",P_Demo="Ja")),1,0))</f>
        <v/>
      </c>
      <c r="O306" s="15" t="str">
        <f>IF(H306="","",IF(COUNTIFS($A$6:$A$505,A306,$B$6:$B$505,B306,$C$6:$C$505,C306,$F$6:$F$505,F306,$G$6:$G$505,G306,$D$6:$D$505,"&lt;&gt;"&amp;D306,$H$6:$H$505,"&lt;&gt;")&gt;0,1,0))</f>
        <v/>
      </c>
    </row>
    <row r="307">
      <c r="M307" s="15" t="str">
        <f>IF(H307="","",IF(OR(J307="Vastgesteld",AND(J307="Fictieve aanname",P_Demo="Ja")),1,0))</f>
        <v/>
      </c>
      <c r="N307" s="15" t="str">
        <f>IF(H307="","",IF(OR(J307="Vastgesteld",J307="Concept",AND(J307="Fictieve aanname",P_Demo="Ja")),1,0))</f>
        <v/>
      </c>
      <c r="O307" s="15" t="str">
        <f>IF(H307="","",IF(COUNTIFS($A$6:$A$505,A307,$B$6:$B$505,B307,$C$6:$C$505,C307,$F$6:$F$505,F307,$G$6:$G$505,G307,$D$6:$D$505,"&lt;&gt;"&amp;D307,$H$6:$H$505,"&lt;&gt;")&gt;0,1,0))</f>
        <v/>
      </c>
    </row>
    <row r="308">
      <c r="M308" s="15" t="str">
        <f>IF(H308="","",IF(OR(J308="Vastgesteld",AND(J308="Fictieve aanname",P_Demo="Ja")),1,0))</f>
        <v/>
      </c>
      <c r="N308" s="15" t="str">
        <f>IF(H308="","",IF(OR(J308="Vastgesteld",J308="Concept",AND(J308="Fictieve aanname",P_Demo="Ja")),1,0))</f>
        <v/>
      </c>
      <c r="O308" s="15" t="str">
        <f>IF(H308="","",IF(COUNTIFS($A$6:$A$505,A308,$B$6:$B$505,B308,$C$6:$C$505,C308,$F$6:$F$505,F308,$G$6:$G$505,G308,$D$6:$D$505,"&lt;&gt;"&amp;D308,$H$6:$H$505,"&lt;&gt;")&gt;0,1,0))</f>
        <v/>
      </c>
    </row>
    <row r="309">
      <c r="M309" s="15" t="str">
        <f>IF(H309="","",IF(OR(J309="Vastgesteld",AND(J309="Fictieve aanname",P_Demo="Ja")),1,0))</f>
        <v/>
      </c>
      <c r="N309" s="15" t="str">
        <f>IF(H309="","",IF(OR(J309="Vastgesteld",J309="Concept",AND(J309="Fictieve aanname",P_Demo="Ja")),1,0))</f>
        <v/>
      </c>
      <c r="O309" s="15" t="str">
        <f>IF(H309="","",IF(COUNTIFS($A$6:$A$505,A309,$B$6:$B$505,B309,$C$6:$C$505,C309,$F$6:$F$505,F309,$G$6:$G$505,G309,$D$6:$D$505,"&lt;&gt;"&amp;D309,$H$6:$H$505,"&lt;&gt;")&gt;0,1,0))</f>
        <v/>
      </c>
    </row>
    <row r="310">
      <c r="M310" s="15" t="str">
        <f>IF(H310="","",IF(OR(J310="Vastgesteld",AND(J310="Fictieve aanname",P_Demo="Ja")),1,0))</f>
        <v/>
      </c>
      <c r="N310" s="15" t="str">
        <f>IF(H310="","",IF(OR(J310="Vastgesteld",J310="Concept",AND(J310="Fictieve aanname",P_Demo="Ja")),1,0))</f>
        <v/>
      </c>
      <c r="O310" s="15" t="str">
        <f>IF(H310="","",IF(COUNTIFS($A$6:$A$505,A310,$B$6:$B$505,B310,$C$6:$C$505,C310,$F$6:$F$505,F310,$G$6:$G$505,G310,$D$6:$D$505,"&lt;&gt;"&amp;D310,$H$6:$H$505,"&lt;&gt;")&gt;0,1,0))</f>
        <v/>
      </c>
    </row>
    <row r="311">
      <c r="M311" s="15" t="str">
        <f>IF(H311="","",IF(OR(J311="Vastgesteld",AND(J311="Fictieve aanname",P_Demo="Ja")),1,0))</f>
        <v/>
      </c>
      <c r="N311" s="15" t="str">
        <f>IF(H311="","",IF(OR(J311="Vastgesteld",J311="Concept",AND(J311="Fictieve aanname",P_Demo="Ja")),1,0))</f>
        <v/>
      </c>
      <c r="O311" s="15" t="str">
        <f>IF(H311="","",IF(COUNTIFS($A$6:$A$505,A311,$B$6:$B$505,B311,$C$6:$C$505,C311,$F$6:$F$505,F311,$G$6:$G$505,G311,$D$6:$D$505,"&lt;&gt;"&amp;D311,$H$6:$H$505,"&lt;&gt;")&gt;0,1,0))</f>
        <v/>
      </c>
    </row>
    <row r="312">
      <c r="M312" s="15" t="str">
        <f>IF(H312="","",IF(OR(J312="Vastgesteld",AND(J312="Fictieve aanname",P_Demo="Ja")),1,0))</f>
        <v/>
      </c>
      <c r="N312" s="15" t="str">
        <f>IF(H312="","",IF(OR(J312="Vastgesteld",J312="Concept",AND(J312="Fictieve aanname",P_Demo="Ja")),1,0))</f>
        <v/>
      </c>
      <c r="O312" s="15" t="str">
        <f>IF(H312="","",IF(COUNTIFS($A$6:$A$505,A312,$B$6:$B$505,B312,$C$6:$C$505,C312,$F$6:$F$505,F312,$G$6:$G$505,G312,$D$6:$D$505,"&lt;&gt;"&amp;D312,$H$6:$H$505,"&lt;&gt;")&gt;0,1,0))</f>
        <v/>
      </c>
    </row>
    <row r="313">
      <c r="M313" s="15" t="str">
        <f>IF(H313="","",IF(OR(J313="Vastgesteld",AND(J313="Fictieve aanname",P_Demo="Ja")),1,0))</f>
        <v/>
      </c>
      <c r="N313" s="15" t="str">
        <f>IF(H313="","",IF(OR(J313="Vastgesteld",J313="Concept",AND(J313="Fictieve aanname",P_Demo="Ja")),1,0))</f>
        <v/>
      </c>
      <c r="O313" s="15" t="str">
        <f>IF(H313="","",IF(COUNTIFS($A$6:$A$505,A313,$B$6:$B$505,B313,$C$6:$C$505,C313,$F$6:$F$505,F313,$G$6:$G$505,G313,$D$6:$D$505,"&lt;&gt;"&amp;D313,$H$6:$H$505,"&lt;&gt;")&gt;0,1,0))</f>
        <v/>
      </c>
    </row>
    <row r="314">
      <c r="M314" s="15" t="str">
        <f>IF(H314="","",IF(OR(J314="Vastgesteld",AND(J314="Fictieve aanname",P_Demo="Ja")),1,0))</f>
        <v/>
      </c>
      <c r="N314" s="15" t="str">
        <f>IF(H314="","",IF(OR(J314="Vastgesteld",J314="Concept",AND(J314="Fictieve aanname",P_Demo="Ja")),1,0))</f>
        <v/>
      </c>
      <c r="O314" s="15" t="str">
        <f>IF(H314="","",IF(COUNTIFS($A$6:$A$505,A314,$B$6:$B$505,B314,$C$6:$C$505,C314,$F$6:$F$505,F314,$G$6:$G$505,G314,$D$6:$D$505,"&lt;&gt;"&amp;D314,$H$6:$H$505,"&lt;&gt;")&gt;0,1,0))</f>
        <v/>
      </c>
    </row>
    <row r="315">
      <c r="M315" s="15" t="str">
        <f>IF(H315="","",IF(OR(J315="Vastgesteld",AND(J315="Fictieve aanname",P_Demo="Ja")),1,0))</f>
        <v/>
      </c>
      <c r="N315" s="15" t="str">
        <f>IF(H315="","",IF(OR(J315="Vastgesteld",J315="Concept",AND(J315="Fictieve aanname",P_Demo="Ja")),1,0))</f>
        <v/>
      </c>
      <c r="O315" s="15" t="str">
        <f>IF(H315="","",IF(COUNTIFS($A$6:$A$505,A315,$B$6:$B$505,B315,$C$6:$C$505,C315,$F$6:$F$505,F315,$G$6:$G$505,G315,$D$6:$D$505,"&lt;&gt;"&amp;D315,$H$6:$H$505,"&lt;&gt;")&gt;0,1,0))</f>
        <v/>
      </c>
    </row>
    <row r="316">
      <c r="M316" s="15" t="str">
        <f>IF(H316="","",IF(OR(J316="Vastgesteld",AND(J316="Fictieve aanname",P_Demo="Ja")),1,0))</f>
        <v/>
      </c>
      <c r="N316" s="15" t="str">
        <f>IF(H316="","",IF(OR(J316="Vastgesteld",J316="Concept",AND(J316="Fictieve aanname",P_Demo="Ja")),1,0))</f>
        <v/>
      </c>
      <c r="O316" s="15" t="str">
        <f>IF(H316="","",IF(COUNTIFS($A$6:$A$505,A316,$B$6:$B$505,B316,$C$6:$C$505,C316,$F$6:$F$505,F316,$G$6:$G$505,G316,$D$6:$D$505,"&lt;&gt;"&amp;D316,$H$6:$H$505,"&lt;&gt;")&gt;0,1,0))</f>
        <v/>
      </c>
    </row>
    <row r="317">
      <c r="M317" s="15" t="str">
        <f>IF(H317="","",IF(OR(J317="Vastgesteld",AND(J317="Fictieve aanname",P_Demo="Ja")),1,0))</f>
        <v/>
      </c>
      <c r="N317" s="15" t="str">
        <f>IF(H317="","",IF(OR(J317="Vastgesteld",J317="Concept",AND(J317="Fictieve aanname",P_Demo="Ja")),1,0))</f>
        <v/>
      </c>
      <c r="O317" s="15" t="str">
        <f>IF(H317="","",IF(COUNTIFS($A$6:$A$505,A317,$B$6:$B$505,B317,$C$6:$C$505,C317,$F$6:$F$505,F317,$G$6:$G$505,G317,$D$6:$D$505,"&lt;&gt;"&amp;D317,$H$6:$H$505,"&lt;&gt;")&gt;0,1,0))</f>
        <v/>
      </c>
    </row>
    <row r="318">
      <c r="M318" s="15" t="str">
        <f>IF(H318="","",IF(OR(J318="Vastgesteld",AND(J318="Fictieve aanname",P_Demo="Ja")),1,0))</f>
        <v/>
      </c>
      <c r="N318" s="15" t="str">
        <f>IF(H318="","",IF(OR(J318="Vastgesteld",J318="Concept",AND(J318="Fictieve aanname",P_Demo="Ja")),1,0))</f>
        <v/>
      </c>
      <c r="O318" s="15" t="str">
        <f>IF(H318="","",IF(COUNTIFS($A$6:$A$505,A318,$B$6:$B$505,B318,$C$6:$C$505,C318,$F$6:$F$505,F318,$G$6:$G$505,G318,$D$6:$D$505,"&lt;&gt;"&amp;D318,$H$6:$H$505,"&lt;&gt;")&gt;0,1,0))</f>
        <v/>
      </c>
    </row>
    <row r="319">
      <c r="M319" s="15" t="str">
        <f>IF(H319="","",IF(OR(J319="Vastgesteld",AND(J319="Fictieve aanname",P_Demo="Ja")),1,0))</f>
        <v/>
      </c>
      <c r="N319" s="15" t="str">
        <f>IF(H319="","",IF(OR(J319="Vastgesteld",J319="Concept",AND(J319="Fictieve aanname",P_Demo="Ja")),1,0))</f>
        <v/>
      </c>
      <c r="O319" s="15" t="str">
        <f>IF(H319="","",IF(COUNTIFS($A$6:$A$505,A319,$B$6:$B$505,B319,$C$6:$C$505,C319,$F$6:$F$505,F319,$G$6:$G$505,G319,$D$6:$D$505,"&lt;&gt;"&amp;D319,$H$6:$H$505,"&lt;&gt;")&gt;0,1,0))</f>
        <v/>
      </c>
    </row>
    <row r="320">
      <c r="M320" s="15" t="str">
        <f>IF(H320="","",IF(OR(J320="Vastgesteld",AND(J320="Fictieve aanname",P_Demo="Ja")),1,0))</f>
        <v/>
      </c>
      <c r="N320" s="15" t="str">
        <f>IF(H320="","",IF(OR(J320="Vastgesteld",J320="Concept",AND(J320="Fictieve aanname",P_Demo="Ja")),1,0))</f>
        <v/>
      </c>
      <c r="O320" s="15" t="str">
        <f>IF(H320="","",IF(COUNTIFS($A$6:$A$505,A320,$B$6:$B$505,B320,$C$6:$C$505,C320,$F$6:$F$505,F320,$G$6:$G$505,G320,$D$6:$D$505,"&lt;&gt;"&amp;D320,$H$6:$H$505,"&lt;&gt;")&gt;0,1,0))</f>
        <v/>
      </c>
    </row>
    <row r="321">
      <c r="M321" s="15" t="str">
        <f>IF(H321="","",IF(OR(J321="Vastgesteld",AND(J321="Fictieve aanname",P_Demo="Ja")),1,0))</f>
        <v/>
      </c>
      <c r="N321" s="15" t="str">
        <f>IF(H321="","",IF(OR(J321="Vastgesteld",J321="Concept",AND(J321="Fictieve aanname",P_Demo="Ja")),1,0))</f>
        <v/>
      </c>
      <c r="O321" s="15" t="str">
        <f>IF(H321="","",IF(COUNTIFS($A$6:$A$505,A321,$B$6:$B$505,B321,$C$6:$C$505,C321,$F$6:$F$505,F321,$G$6:$G$505,G321,$D$6:$D$505,"&lt;&gt;"&amp;D321,$H$6:$H$505,"&lt;&gt;")&gt;0,1,0))</f>
        <v/>
      </c>
    </row>
    <row r="322">
      <c r="M322" s="15" t="str">
        <f>IF(H322="","",IF(OR(J322="Vastgesteld",AND(J322="Fictieve aanname",P_Demo="Ja")),1,0))</f>
        <v/>
      </c>
      <c r="N322" s="15" t="str">
        <f>IF(H322="","",IF(OR(J322="Vastgesteld",J322="Concept",AND(J322="Fictieve aanname",P_Demo="Ja")),1,0))</f>
        <v/>
      </c>
      <c r="O322" s="15" t="str">
        <f>IF(H322="","",IF(COUNTIFS($A$6:$A$505,A322,$B$6:$B$505,B322,$C$6:$C$505,C322,$F$6:$F$505,F322,$G$6:$G$505,G322,$D$6:$D$505,"&lt;&gt;"&amp;D322,$H$6:$H$505,"&lt;&gt;")&gt;0,1,0))</f>
        <v/>
      </c>
    </row>
    <row r="323">
      <c r="M323" s="15" t="str">
        <f>IF(H323="","",IF(OR(J323="Vastgesteld",AND(J323="Fictieve aanname",P_Demo="Ja")),1,0))</f>
        <v/>
      </c>
      <c r="N323" s="15" t="str">
        <f>IF(H323="","",IF(OR(J323="Vastgesteld",J323="Concept",AND(J323="Fictieve aanname",P_Demo="Ja")),1,0))</f>
        <v/>
      </c>
      <c r="O323" s="15" t="str">
        <f>IF(H323="","",IF(COUNTIFS($A$6:$A$505,A323,$B$6:$B$505,B323,$C$6:$C$505,C323,$F$6:$F$505,F323,$G$6:$G$505,G323,$D$6:$D$505,"&lt;&gt;"&amp;D323,$H$6:$H$505,"&lt;&gt;")&gt;0,1,0))</f>
        <v/>
      </c>
    </row>
    <row r="324">
      <c r="M324" s="15" t="str">
        <f>IF(H324="","",IF(OR(J324="Vastgesteld",AND(J324="Fictieve aanname",P_Demo="Ja")),1,0))</f>
        <v/>
      </c>
      <c r="N324" s="15" t="str">
        <f>IF(H324="","",IF(OR(J324="Vastgesteld",J324="Concept",AND(J324="Fictieve aanname",P_Demo="Ja")),1,0))</f>
        <v/>
      </c>
      <c r="O324" s="15" t="str">
        <f>IF(H324="","",IF(COUNTIFS($A$6:$A$505,A324,$B$6:$B$505,B324,$C$6:$C$505,C324,$F$6:$F$505,F324,$G$6:$G$505,G324,$D$6:$D$505,"&lt;&gt;"&amp;D324,$H$6:$H$505,"&lt;&gt;")&gt;0,1,0))</f>
        <v/>
      </c>
    </row>
    <row r="325">
      <c r="M325" s="15" t="str">
        <f>IF(H325="","",IF(OR(J325="Vastgesteld",AND(J325="Fictieve aanname",P_Demo="Ja")),1,0))</f>
        <v/>
      </c>
      <c r="N325" s="15" t="str">
        <f>IF(H325="","",IF(OR(J325="Vastgesteld",J325="Concept",AND(J325="Fictieve aanname",P_Demo="Ja")),1,0))</f>
        <v/>
      </c>
      <c r="O325" s="15" t="str">
        <f>IF(H325="","",IF(COUNTIFS($A$6:$A$505,A325,$B$6:$B$505,B325,$C$6:$C$505,C325,$F$6:$F$505,F325,$G$6:$G$505,G325,$D$6:$D$505,"&lt;&gt;"&amp;D325,$H$6:$H$505,"&lt;&gt;")&gt;0,1,0))</f>
        <v/>
      </c>
    </row>
    <row r="326">
      <c r="M326" s="15" t="str">
        <f>IF(H326="","",IF(OR(J326="Vastgesteld",AND(J326="Fictieve aanname",P_Demo="Ja")),1,0))</f>
        <v/>
      </c>
      <c r="N326" s="15" t="str">
        <f>IF(H326="","",IF(OR(J326="Vastgesteld",J326="Concept",AND(J326="Fictieve aanname",P_Demo="Ja")),1,0))</f>
        <v/>
      </c>
      <c r="O326" s="15" t="str">
        <f>IF(H326="","",IF(COUNTIFS($A$6:$A$505,A326,$B$6:$B$505,B326,$C$6:$C$505,C326,$F$6:$F$505,F326,$G$6:$G$505,G326,$D$6:$D$505,"&lt;&gt;"&amp;D326,$H$6:$H$505,"&lt;&gt;")&gt;0,1,0))</f>
        <v/>
      </c>
    </row>
    <row r="327">
      <c r="M327" s="15" t="str">
        <f>IF(H327="","",IF(OR(J327="Vastgesteld",AND(J327="Fictieve aanname",P_Demo="Ja")),1,0))</f>
        <v/>
      </c>
      <c r="N327" s="15" t="str">
        <f>IF(H327="","",IF(OR(J327="Vastgesteld",J327="Concept",AND(J327="Fictieve aanname",P_Demo="Ja")),1,0))</f>
        <v/>
      </c>
      <c r="O327" s="15" t="str">
        <f>IF(H327="","",IF(COUNTIFS($A$6:$A$505,A327,$B$6:$B$505,B327,$C$6:$C$505,C327,$F$6:$F$505,F327,$G$6:$G$505,G327,$D$6:$D$505,"&lt;&gt;"&amp;D327,$H$6:$H$505,"&lt;&gt;")&gt;0,1,0))</f>
        <v/>
      </c>
    </row>
    <row r="328">
      <c r="M328" s="15" t="str">
        <f>IF(H328="","",IF(OR(J328="Vastgesteld",AND(J328="Fictieve aanname",P_Demo="Ja")),1,0))</f>
        <v/>
      </c>
      <c r="N328" s="15" t="str">
        <f>IF(H328="","",IF(OR(J328="Vastgesteld",J328="Concept",AND(J328="Fictieve aanname",P_Demo="Ja")),1,0))</f>
        <v/>
      </c>
      <c r="O328" s="15" t="str">
        <f>IF(H328="","",IF(COUNTIFS($A$6:$A$505,A328,$B$6:$B$505,B328,$C$6:$C$505,C328,$F$6:$F$505,F328,$G$6:$G$505,G328,$D$6:$D$505,"&lt;&gt;"&amp;D328,$H$6:$H$505,"&lt;&gt;")&gt;0,1,0))</f>
        <v/>
      </c>
    </row>
    <row r="329">
      <c r="M329" s="15" t="str">
        <f>IF(H329="","",IF(OR(J329="Vastgesteld",AND(J329="Fictieve aanname",P_Demo="Ja")),1,0))</f>
        <v/>
      </c>
      <c r="N329" s="15" t="str">
        <f>IF(H329="","",IF(OR(J329="Vastgesteld",J329="Concept",AND(J329="Fictieve aanname",P_Demo="Ja")),1,0))</f>
        <v/>
      </c>
      <c r="O329" s="15" t="str">
        <f>IF(H329="","",IF(COUNTIFS($A$6:$A$505,A329,$B$6:$B$505,B329,$C$6:$C$505,C329,$F$6:$F$505,F329,$G$6:$G$505,G329,$D$6:$D$505,"&lt;&gt;"&amp;D329,$H$6:$H$505,"&lt;&gt;")&gt;0,1,0))</f>
        <v/>
      </c>
    </row>
    <row r="330">
      <c r="M330" s="15" t="str">
        <f>IF(H330="","",IF(OR(J330="Vastgesteld",AND(J330="Fictieve aanname",P_Demo="Ja")),1,0))</f>
        <v/>
      </c>
      <c r="N330" s="15" t="str">
        <f>IF(H330="","",IF(OR(J330="Vastgesteld",J330="Concept",AND(J330="Fictieve aanname",P_Demo="Ja")),1,0))</f>
        <v/>
      </c>
      <c r="O330" s="15" t="str">
        <f>IF(H330="","",IF(COUNTIFS($A$6:$A$505,A330,$B$6:$B$505,B330,$C$6:$C$505,C330,$F$6:$F$505,F330,$G$6:$G$505,G330,$D$6:$D$505,"&lt;&gt;"&amp;D330,$H$6:$H$505,"&lt;&gt;")&gt;0,1,0))</f>
        <v/>
      </c>
    </row>
    <row r="331">
      <c r="M331" s="15" t="str">
        <f>IF(H331="","",IF(OR(J331="Vastgesteld",AND(J331="Fictieve aanname",P_Demo="Ja")),1,0))</f>
        <v/>
      </c>
      <c r="N331" s="15" t="str">
        <f>IF(H331="","",IF(OR(J331="Vastgesteld",J331="Concept",AND(J331="Fictieve aanname",P_Demo="Ja")),1,0))</f>
        <v/>
      </c>
      <c r="O331" s="15" t="str">
        <f>IF(H331="","",IF(COUNTIFS($A$6:$A$505,A331,$B$6:$B$505,B331,$C$6:$C$505,C331,$F$6:$F$505,F331,$G$6:$G$505,G331,$D$6:$D$505,"&lt;&gt;"&amp;D331,$H$6:$H$505,"&lt;&gt;")&gt;0,1,0))</f>
        <v/>
      </c>
    </row>
    <row r="332">
      <c r="M332" s="15" t="str">
        <f>IF(H332="","",IF(OR(J332="Vastgesteld",AND(J332="Fictieve aanname",P_Demo="Ja")),1,0))</f>
        <v/>
      </c>
      <c r="N332" s="15" t="str">
        <f>IF(H332="","",IF(OR(J332="Vastgesteld",J332="Concept",AND(J332="Fictieve aanname",P_Demo="Ja")),1,0))</f>
        <v/>
      </c>
      <c r="O332" s="15" t="str">
        <f>IF(H332="","",IF(COUNTIFS($A$6:$A$505,A332,$B$6:$B$505,B332,$C$6:$C$505,C332,$F$6:$F$505,F332,$G$6:$G$505,G332,$D$6:$D$505,"&lt;&gt;"&amp;D332,$H$6:$H$505,"&lt;&gt;")&gt;0,1,0))</f>
        <v/>
      </c>
    </row>
    <row r="333">
      <c r="M333" s="15" t="str">
        <f>IF(H333="","",IF(OR(J333="Vastgesteld",AND(J333="Fictieve aanname",P_Demo="Ja")),1,0))</f>
        <v/>
      </c>
      <c r="N333" s="15" t="str">
        <f>IF(H333="","",IF(OR(J333="Vastgesteld",J333="Concept",AND(J333="Fictieve aanname",P_Demo="Ja")),1,0))</f>
        <v/>
      </c>
      <c r="O333" s="15" t="str">
        <f>IF(H333="","",IF(COUNTIFS($A$6:$A$505,A333,$B$6:$B$505,B333,$C$6:$C$505,C333,$F$6:$F$505,F333,$G$6:$G$505,G333,$D$6:$D$505,"&lt;&gt;"&amp;D333,$H$6:$H$505,"&lt;&gt;")&gt;0,1,0))</f>
        <v/>
      </c>
    </row>
    <row r="334">
      <c r="M334" s="15" t="str">
        <f>IF(H334="","",IF(OR(J334="Vastgesteld",AND(J334="Fictieve aanname",P_Demo="Ja")),1,0))</f>
        <v/>
      </c>
      <c r="N334" s="15" t="str">
        <f>IF(H334="","",IF(OR(J334="Vastgesteld",J334="Concept",AND(J334="Fictieve aanname",P_Demo="Ja")),1,0))</f>
        <v/>
      </c>
      <c r="O334" s="15" t="str">
        <f>IF(H334="","",IF(COUNTIFS($A$6:$A$505,A334,$B$6:$B$505,B334,$C$6:$C$505,C334,$F$6:$F$505,F334,$G$6:$G$505,G334,$D$6:$D$505,"&lt;&gt;"&amp;D334,$H$6:$H$505,"&lt;&gt;")&gt;0,1,0))</f>
        <v/>
      </c>
    </row>
    <row r="335">
      <c r="M335" s="15" t="str">
        <f>IF(H335="","",IF(OR(J335="Vastgesteld",AND(J335="Fictieve aanname",P_Demo="Ja")),1,0))</f>
        <v/>
      </c>
      <c r="N335" s="15" t="str">
        <f>IF(H335="","",IF(OR(J335="Vastgesteld",J335="Concept",AND(J335="Fictieve aanname",P_Demo="Ja")),1,0))</f>
        <v/>
      </c>
      <c r="O335" s="15" t="str">
        <f>IF(H335="","",IF(COUNTIFS($A$6:$A$505,A335,$B$6:$B$505,B335,$C$6:$C$505,C335,$F$6:$F$505,F335,$G$6:$G$505,G335,$D$6:$D$505,"&lt;&gt;"&amp;D335,$H$6:$H$505,"&lt;&gt;")&gt;0,1,0))</f>
        <v/>
      </c>
    </row>
    <row r="336">
      <c r="M336" s="15" t="str">
        <f>IF(H336="","",IF(OR(J336="Vastgesteld",AND(J336="Fictieve aanname",P_Demo="Ja")),1,0))</f>
        <v/>
      </c>
      <c r="N336" s="15" t="str">
        <f>IF(H336="","",IF(OR(J336="Vastgesteld",J336="Concept",AND(J336="Fictieve aanname",P_Demo="Ja")),1,0))</f>
        <v/>
      </c>
      <c r="O336" s="15" t="str">
        <f>IF(H336="","",IF(COUNTIFS($A$6:$A$505,A336,$B$6:$B$505,B336,$C$6:$C$505,C336,$F$6:$F$505,F336,$G$6:$G$505,G336,$D$6:$D$505,"&lt;&gt;"&amp;D336,$H$6:$H$505,"&lt;&gt;")&gt;0,1,0))</f>
        <v/>
      </c>
    </row>
    <row r="337">
      <c r="M337" s="15" t="str">
        <f>IF(H337="","",IF(OR(J337="Vastgesteld",AND(J337="Fictieve aanname",P_Demo="Ja")),1,0))</f>
        <v/>
      </c>
      <c r="N337" s="15" t="str">
        <f>IF(H337="","",IF(OR(J337="Vastgesteld",J337="Concept",AND(J337="Fictieve aanname",P_Demo="Ja")),1,0))</f>
        <v/>
      </c>
      <c r="O337" s="15" t="str">
        <f>IF(H337="","",IF(COUNTIFS($A$6:$A$505,A337,$B$6:$B$505,B337,$C$6:$C$505,C337,$F$6:$F$505,F337,$G$6:$G$505,G337,$D$6:$D$505,"&lt;&gt;"&amp;D337,$H$6:$H$505,"&lt;&gt;")&gt;0,1,0))</f>
        <v/>
      </c>
    </row>
    <row r="338">
      <c r="M338" s="15" t="str">
        <f>IF(H338="","",IF(OR(J338="Vastgesteld",AND(J338="Fictieve aanname",P_Demo="Ja")),1,0))</f>
        <v/>
      </c>
      <c r="N338" s="15" t="str">
        <f>IF(H338="","",IF(OR(J338="Vastgesteld",J338="Concept",AND(J338="Fictieve aanname",P_Demo="Ja")),1,0))</f>
        <v/>
      </c>
      <c r="O338" s="15" t="str">
        <f>IF(H338="","",IF(COUNTIFS($A$6:$A$505,A338,$B$6:$B$505,B338,$C$6:$C$505,C338,$F$6:$F$505,F338,$G$6:$G$505,G338,$D$6:$D$505,"&lt;&gt;"&amp;D338,$H$6:$H$505,"&lt;&gt;")&gt;0,1,0))</f>
        <v/>
      </c>
    </row>
    <row r="339">
      <c r="M339" s="15" t="str">
        <f>IF(H339="","",IF(OR(J339="Vastgesteld",AND(J339="Fictieve aanname",P_Demo="Ja")),1,0))</f>
        <v/>
      </c>
      <c r="N339" s="15" t="str">
        <f>IF(H339="","",IF(OR(J339="Vastgesteld",J339="Concept",AND(J339="Fictieve aanname",P_Demo="Ja")),1,0))</f>
        <v/>
      </c>
      <c r="O339" s="15" t="str">
        <f>IF(H339="","",IF(COUNTIFS($A$6:$A$505,A339,$B$6:$B$505,B339,$C$6:$C$505,C339,$F$6:$F$505,F339,$G$6:$G$505,G339,$D$6:$D$505,"&lt;&gt;"&amp;D339,$H$6:$H$505,"&lt;&gt;")&gt;0,1,0))</f>
        <v/>
      </c>
    </row>
    <row r="340">
      <c r="M340" s="15" t="str">
        <f>IF(H340="","",IF(OR(J340="Vastgesteld",AND(J340="Fictieve aanname",P_Demo="Ja")),1,0))</f>
        <v/>
      </c>
      <c r="N340" s="15" t="str">
        <f>IF(H340="","",IF(OR(J340="Vastgesteld",J340="Concept",AND(J340="Fictieve aanname",P_Demo="Ja")),1,0))</f>
        <v/>
      </c>
      <c r="O340" s="15" t="str">
        <f>IF(H340="","",IF(COUNTIFS($A$6:$A$505,A340,$B$6:$B$505,B340,$C$6:$C$505,C340,$F$6:$F$505,F340,$G$6:$G$505,G340,$D$6:$D$505,"&lt;&gt;"&amp;D340,$H$6:$H$505,"&lt;&gt;")&gt;0,1,0))</f>
        <v/>
      </c>
    </row>
    <row r="341">
      <c r="M341" s="15" t="str">
        <f>IF(H341="","",IF(OR(J341="Vastgesteld",AND(J341="Fictieve aanname",P_Demo="Ja")),1,0))</f>
        <v/>
      </c>
      <c r="N341" s="15" t="str">
        <f>IF(H341="","",IF(OR(J341="Vastgesteld",J341="Concept",AND(J341="Fictieve aanname",P_Demo="Ja")),1,0))</f>
        <v/>
      </c>
      <c r="O341" s="15" t="str">
        <f>IF(H341="","",IF(COUNTIFS($A$6:$A$505,A341,$B$6:$B$505,B341,$C$6:$C$505,C341,$F$6:$F$505,F341,$G$6:$G$505,G341,$D$6:$D$505,"&lt;&gt;"&amp;D341,$H$6:$H$505,"&lt;&gt;")&gt;0,1,0))</f>
        <v/>
      </c>
    </row>
    <row r="342">
      <c r="M342" s="15" t="str">
        <f>IF(H342="","",IF(OR(J342="Vastgesteld",AND(J342="Fictieve aanname",P_Demo="Ja")),1,0))</f>
        <v/>
      </c>
      <c r="N342" s="15" t="str">
        <f>IF(H342="","",IF(OR(J342="Vastgesteld",J342="Concept",AND(J342="Fictieve aanname",P_Demo="Ja")),1,0))</f>
        <v/>
      </c>
      <c r="O342" s="15" t="str">
        <f>IF(H342="","",IF(COUNTIFS($A$6:$A$505,A342,$B$6:$B$505,B342,$C$6:$C$505,C342,$F$6:$F$505,F342,$G$6:$G$505,G342,$D$6:$D$505,"&lt;&gt;"&amp;D342,$H$6:$H$505,"&lt;&gt;")&gt;0,1,0))</f>
        <v/>
      </c>
    </row>
    <row r="343">
      <c r="M343" s="15" t="str">
        <f>IF(H343="","",IF(OR(J343="Vastgesteld",AND(J343="Fictieve aanname",P_Demo="Ja")),1,0))</f>
        <v/>
      </c>
      <c r="N343" s="15" t="str">
        <f>IF(H343="","",IF(OR(J343="Vastgesteld",J343="Concept",AND(J343="Fictieve aanname",P_Demo="Ja")),1,0))</f>
        <v/>
      </c>
      <c r="O343" s="15" t="str">
        <f>IF(H343="","",IF(COUNTIFS($A$6:$A$505,A343,$B$6:$B$505,B343,$C$6:$C$505,C343,$F$6:$F$505,F343,$G$6:$G$505,G343,$D$6:$D$505,"&lt;&gt;"&amp;D343,$H$6:$H$505,"&lt;&gt;")&gt;0,1,0))</f>
        <v/>
      </c>
    </row>
    <row r="344">
      <c r="M344" s="15" t="str">
        <f>IF(H344="","",IF(OR(J344="Vastgesteld",AND(J344="Fictieve aanname",P_Demo="Ja")),1,0))</f>
        <v/>
      </c>
      <c r="N344" s="15" t="str">
        <f>IF(H344="","",IF(OR(J344="Vastgesteld",J344="Concept",AND(J344="Fictieve aanname",P_Demo="Ja")),1,0))</f>
        <v/>
      </c>
      <c r="O344" s="15" t="str">
        <f>IF(H344="","",IF(COUNTIFS($A$6:$A$505,A344,$B$6:$B$505,B344,$C$6:$C$505,C344,$F$6:$F$505,F344,$G$6:$G$505,G344,$D$6:$D$505,"&lt;&gt;"&amp;D344,$H$6:$H$505,"&lt;&gt;")&gt;0,1,0))</f>
        <v/>
      </c>
    </row>
    <row r="345">
      <c r="M345" s="15" t="str">
        <f>IF(H345="","",IF(OR(J345="Vastgesteld",AND(J345="Fictieve aanname",P_Demo="Ja")),1,0))</f>
        <v/>
      </c>
      <c r="N345" s="15" t="str">
        <f>IF(H345="","",IF(OR(J345="Vastgesteld",J345="Concept",AND(J345="Fictieve aanname",P_Demo="Ja")),1,0))</f>
        <v/>
      </c>
      <c r="O345" s="15" t="str">
        <f>IF(H345="","",IF(COUNTIFS($A$6:$A$505,A345,$B$6:$B$505,B345,$C$6:$C$505,C345,$F$6:$F$505,F345,$G$6:$G$505,G345,$D$6:$D$505,"&lt;&gt;"&amp;D345,$H$6:$H$505,"&lt;&gt;")&gt;0,1,0))</f>
        <v/>
      </c>
    </row>
    <row r="346">
      <c r="M346" s="15" t="str">
        <f>IF(H346="","",IF(OR(J346="Vastgesteld",AND(J346="Fictieve aanname",P_Demo="Ja")),1,0))</f>
        <v/>
      </c>
      <c r="N346" s="15" t="str">
        <f>IF(H346="","",IF(OR(J346="Vastgesteld",J346="Concept",AND(J346="Fictieve aanname",P_Demo="Ja")),1,0))</f>
        <v/>
      </c>
      <c r="O346" s="15" t="str">
        <f>IF(H346="","",IF(COUNTIFS($A$6:$A$505,A346,$B$6:$B$505,B346,$C$6:$C$505,C346,$F$6:$F$505,F346,$G$6:$G$505,G346,$D$6:$D$505,"&lt;&gt;"&amp;D346,$H$6:$H$505,"&lt;&gt;")&gt;0,1,0))</f>
        <v/>
      </c>
    </row>
    <row r="347">
      <c r="M347" s="15" t="str">
        <f>IF(H347="","",IF(OR(J347="Vastgesteld",AND(J347="Fictieve aanname",P_Demo="Ja")),1,0))</f>
        <v/>
      </c>
      <c r="N347" s="15" t="str">
        <f>IF(H347="","",IF(OR(J347="Vastgesteld",J347="Concept",AND(J347="Fictieve aanname",P_Demo="Ja")),1,0))</f>
        <v/>
      </c>
      <c r="O347" s="15" t="str">
        <f>IF(H347="","",IF(COUNTIFS($A$6:$A$505,A347,$B$6:$B$505,B347,$C$6:$C$505,C347,$F$6:$F$505,F347,$G$6:$G$505,G347,$D$6:$D$505,"&lt;&gt;"&amp;D347,$H$6:$H$505,"&lt;&gt;")&gt;0,1,0))</f>
        <v/>
      </c>
    </row>
    <row r="348">
      <c r="M348" s="15" t="str">
        <f>IF(H348="","",IF(OR(J348="Vastgesteld",AND(J348="Fictieve aanname",P_Demo="Ja")),1,0))</f>
        <v/>
      </c>
      <c r="N348" s="15" t="str">
        <f>IF(H348="","",IF(OR(J348="Vastgesteld",J348="Concept",AND(J348="Fictieve aanname",P_Demo="Ja")),1,0))</f>
        <v/>
      </c>
      <c r="O348" s="15" t="str">
        <f>IF(H348="","",IF(COUNTIFS($A$6:$A$505,A348,$B$6:$B$505,B348,$C$6:$C$505,C348,$F$6:$F$505,F348,$G$6:$G$505,G348,$D$6:$D$505,"&lt;&gt;"&amp;D348,$H$6:$H$505,"&lt;&gt;")&gt;0,1,0))</f>
        <v/>
      </c>
    </row>
    <row r="349">
      <c r="M349" s="15" t="str">
        <f>IF(H349="","",IF(OR(J349="Vastgesteld",AND(J349="Fictieve aanname",P_Demo="Ja")),1,0))</f>
        <v/>
      </c>
      <c r="N349" s="15" t="str">
        <f>IF(H349="","",IF(OR(J349="Vastgesteld",J349="Concept",AND(J349="Fictieve aanname",P_Demo="Ja")),1,0))</f>
        <v/>
      </c>
      <c r="O349" s="15" t="str">
        <f>IF(H349="","",IF(COUNTIFS($A$6:$A$505,A349,$B$6:$B$505,B349,$C$6:$C$505,C349,$F$6:$F$505,F349,$G$6:$G$505,G349,$D$6:$D$505,"&lt;&gt;"&amp;D349,$H$6:$H$505,"&lt;&gt;")&gt;0,1,0))</f>
        <v/>
      </c>
    </row>
    <row r="350">
      <c r="M350" s="15" t="str">
        <f>IF(H350="","",IF(OR(J350="Vastgesteld",AND(J350="Fictieve aanname",P_Demo="Ja")),1,0))</f>
        <v/>
      </c>
      <c r="N350" s="15" t="str">
        <f>IF(H350="","",IF(OR(J350="Vastgesteld",J350="Concept",AND(J350="Fictieve aanname",P_Demo="Ja")),1,0))</f>
        <v/>
      </c>
      <c r="O350" s="15" t="str">
        <f>IF(H350="","",IF(COUNTIFS($A$6:$A$505,A350,$B$6:$B$505,B350,$C$6:$C$505,C350,$F$6:$F$505,F350,$G$6:$G$505,G350,$D$6:$D$505,"&lt;&gt;"&amp;D350,$H$6:$H$505,"&lt;&gt;")&gt;0,1,0))</f>
        <v/>
      </c>
    </row>
    <row r="351">
      <c r="M351" s="15" t="str">
        <f>IF(H351="","",IF(OR(J351="Vastgesteld",AND(J351="Fictieve aanname",P_Demo="Ja")),1,0))</f>
        <v/>
      </c>
      <c r="N351" s="15" t="str">
        <f>IF(H351="","",IF(OR(J351="Vastgesteld",J351="Concept",AND(J351="Fictieve aanname",P_Demo="Ja")),1,0))</f>
        <v/>
      </c>
      <c r="O351" s="15" t="str">
        <f>IF(H351="","",IF(COUNTIFS($A$6:$A$505,A351,$B$6:$B$505,B351,$C$6:$C$505,C351,$F$6:$F$505,F351,$G$6:$G$505,G351,$D$6:$D$505,"&lt;&gt;"&amp;D351,$H$6:$H$505,"&lt;&gt;")&gt;0,1,0))</f>
        <v/>
      </c>
    </row>
    <row r="352">
      <c r="M352" s="15" t="str">
        <f>IF(H352="","",IF(OR(J352="Vastgesteld",AND(J352="Fictieve aanname",P_Demo="Ja")),1,0))</f>
        <v/>
      </c>
      <c r="N352" s="15" t="str">
        <f>IF(H352="","",IF(OR(J352="Vastgesteld",J352="Concept",AND(J352="Fictieve aanname",P_Demo="Ja")),1,0))</f>
        <v/>
      </c>
      <c r="O352" s="15" t="str">
        <f>IF(H352="","",IF(COUNTIFS($A$6:$A$505,A352,$B$6:$B$505,B352,$C$6:$C$505,C352,$F$6:$F$505,F352,$G$6:$G$505,G352,$D$6:$D$505,"&lt;&gt;"&amp;D352,$H$6:$H$505,"&lt;&gt;")&gt;0,1,0))</f>
        <v/>
      </c>
    </row>
    <row r="353">
      <c r="M353" s="15" t="str">
        <f>IF(H353="","",IF(OR(J353="Vastgesteld",AND(J353="Fictieve aanname",P_Demo="Ja")),1,0))</f>
        <v/>
      </c>
      <c r="N353" s="15" t="str">
        <f>IF(H353="","",IF(OR(J353="Vastgesteld",J353="Concept",AND(J353="Fictieve aanname",P_Demo="Ja")),1,0))</f>
        <v/>
      </c>
      <c r="O353" s="15" t="str">
        <f>IF(H353="","",IF(COUNTIFS($A$6:$A$505,A353,$B$6:$B$505,B353,$C$6:$C$505,C353,$F$6:$F$505,F353,$G$6:$G$505,G353,$D$6:$D$505,"&lt;&gt;"&amp;D353,$H$6:$H$505,"&lt;&gt;")&gt;0,1,0))</f>
        <v/>
      </c>
    </row>
    <row r="354">
      <c r="M354" s="15" t="str">
        <f>IF(H354="","",IF(OR(J354="Vastgesteld",AND(J354="Fictieve aanname",P_Demo="Ja")),1,0))</f>
        <v/>
      </c>
      <c r="N354" s="15" t="str">
        <f>IF(H354="","",IF(OR(J354="Vastgesteld",J354="Concept",AND(J354="Fictieve aanname",P_Demo="Ja")),1,0))</f>
        <v/>
      </c>
      <c r="O354" s="15" t="str">
        <f>IF(H354="","",IF(COUNTIFS($A$6:$A$505,A354,$B$6:$B$505,B354,$C$6:$C$505,C354,$F$6:$F$505,F354,$G$6:$G$505,G354,$D$6:$D$505,"&lt;&gt;"&amp;D354,$H$6:$H$505,"&lt;&gt;")&gt;0,1,0))</f>
        <v/>
      </c>
    </row>
    <row r="355">
      <c r="M355" s="15" t="str">
        <f>IF(H355="","",IF(OR(J355="Vastgesteld",AND(J355="Fictieve aanname",P_Demo="Ja")),1,0))</f>
        <v/>
      </c>
      <c r="N355" s="15" t="str">
        <f>IF(H355="","",IF(OR(J355="Vastgesteld",J355="Concept",AND(J355="Fictieve aanname",P_Demo="Ja")),1,0))</f>
        <v/>
      </c>
      <c r="O355" s="15" t="str">
        <f>IF(H355="","",IF(COUNTIFS($A$6:$A$505,A355,$B$6:$B$505,B355,$C$6:$C$505,C355,$F$6:$F$505,F355,$G$6:$G$505,G355,$D$6:$D$505,"&lt;&gt;"&amp;D355,$H$6:$H$505,"&lt;&gt;")&gt;0,1,0))</f>
        <v/>
      </c>
    </row>
    <row r="356">
      <c r="M356" s="15" t="str">
        <f>IF(H356="","",IF(OR(J356="Vastgesteld",AND(J356="Fictieve aanname",P_Demo="Ja")),1,0))</f>
        <v/>
      </c>
      <c r="N356" s="15" t="str">
        <f>IF(H356="","",IF(OR(J356="Vastgesteld",J356="Concept",AND(J356="Fictieve aanname",P_Demo="Ja")),1,0))</f>
        <v/>
      </c>
      <c r="O356" s="15" t="str">
        <f>IF(H356="","",IF(COUNTIFS($A$6:$A$505,A356,$B$6:$B$505,B356,$C$6:$C$505,C356,$F$6:$F$505,F356,$G$6:$G$505,G356,$D$6:$D$505,"&lt;&gt;"&amp;D356,$H$6:$H$505,"&lt;&gt;")&gt;0,1,0))</f>
        <v/>
      </c>
    </row>
    <row r="357">
      <c r="M357" s="15" t="str">
        <f>IF(H357="","",IF(OR(J357="Vastgesteld",AND(J357="Fictieve aanname",P_Demo="Ja")),1,0))</f>
        <v/>
      </c>
      <c r="N357" s="15" t="str">
        <f>IF(H357="","",IF(OR(J357="Vastgesteld",J357="Concept",AND(J357="Fictieve aanname",P_Demo="Ja")),1,0))</f>
        <v/>
      </c>
      <c r="O357" s="15" t="str">
        <f>IF(H357="","",IF(COUNTIFS($A$6:$A$505,A357,$B$6:$B$505,B357,$C$6:$C$505,C357,$F$6:$F$505,F357,$G$6:$G$505,G357,$D$6:$D$505,"&lt;&gt;"&amp;D357,$H$6:$H$505,"&lt;&gt;")&gt;0,1,0))</f>
        <v/>
      </c>
    </row>
    <row r="358">
      <c r="M358" s="15" t="str">
        <f>IF(H358="","",IF(OR(J358="Vastgesteld",AND(J358="Fictieve aanname",P_Demo="Ja")),1,0))</f>
        <v/>
      </c>
      <c r="N358" s="15" t="str">
        <f>IF(H358="","",IF(OR(J358="Vastgesteld",J358="Concept",AND(J358="Fictieve aanname",P_Demo="Ja")),1,0))</f>
        <v/>
      </c>
      <c r="O358" s="15" t="str">
        <f>IF(H358="","",IF(COUNTIFS($A$6:$A$505,A358,$B$6:$B$505,B358,$C$6:$C$505,C358,$F$6:$F$505,F358,$G$6:$G$505,G358,$D$6:$D$505,"&lt;&gt;"&amp;D358,$H$6:$H$505,"&lt;&gt;")&gt;0,1,0))</f>
        <v/>
      </c>
    </row>
    <row r="359">
      <c r="M359" s="15" t="str">
        <f>IF(H359="","",IF(OR(J359="Vastgesteld",AND(J359="Fictieve aanname",P_Demo="Ja")),1,0))</f>
        <v/>
      </c>
      <c r="N359" s="15" t="str">
        <f>IF(H359="","",IF(OR(J359="Vastgesteld",J359="Concept",AND(J359="Fictieve aanname",P_Demo="Ja")),1,0))</f>
        <v/>
      </c>
      <c r="O359" s="15" t="str">
        <f>IF(H359="","",IF(COUNTIFS($A$6:$A$505,A359,$B$6:$B$505,B359,$C$6:$C$505,C359,$F$6:$F$505,F359,$G$6:$G$505,G359,$D$6:$D$505,"&lt;&gt;"&amp;D359,$H$6:$H$505,"&lt;&gt;")&gt;0,1,0))</f>
        <v/>
      </c>
    </row>
    <row r="360">
      <c r="M360" s="15" t="str">
        <f>IF(H360="","",IF(OR(J360="Vastgesteld",AND(J360="Fictieve aanname",P_Demo="Ja")),1,0))</f>
        <v/>
      </c>
      <c r="N360" s="15" t="str">
        <f>IF(H360="","",IF(OR(J360="Vastgesteld",J360="Concept",AND(J360="Fictieve aanname",P_Demo="Ja")),1,0))</f>
        <v/>
      </c>
      <c r="O360" s="15" t="str">
        <f>IF(H360="","",IF(COUNTIFS($A$6:$A$505,A360,$B$6:$B$505,B360,$C$6:$C$505,C360,$F$6:$F$505,F360,$G$6:$G$505,G360,$D$6:$D$505,"&lt;&gt;"&amp;D360,$H$6:$H$505,"&lt;&gt;")&gt;0,1,0))</f>
        <v/>
      </c>
    </row>
    <row r="361">
      <c r="M361" s="15" t="str">
        <f>IF(H361="","",IF(OR(J361="Vastgesteld",AND(J361="Fictieve aanname",P_Demo="Ja")),1,0))</f>
        <v/>
      </c>
      <c r="N361" s="15" t="str">
        <f>IF(H361="","",IF(OR(J361="Vastgesteld",J361="Concept",AND(J361="Fictieve aanname",P_Demo="Ja")),1,0))</f>
        <v/>
      </c>
      <c r="O361" s="15" t="str">
        <f>IF(H361="","",IF(COUNTIFS($A$6:$A$505,A361,$B$6:$B$505,B361,$C$6:$C$505,C361,$F$6:$F$505,F361,$G$6:$G$505,G361,$D$6:$D$505,"&lt;&gt;"&amp;D361,$H$6:$H$505,"&lt;&gt;")&gt;0,1,0))</f>
        <v/>
      </c>
    </row>
    <row r="362">
      <c r="M362" s="15" t="str">
        <f>IF(H362="","",IF(OR(J362="Vastgesteld",AND(J362="Fictieve aanname",P_Demo="Ja")),1,0))</f>
        <v/>
      </c>
      <c r="N362" s="15" t="str">
        <f>IF(H362="","",IF(OR(J362="Vastgesteld",J362="Concept",AND(J362="Fictieve aanname",P_Demo="Ja")),1,0))</f>
        <v/>
      </c>
      <c r="O362" s="15" t="str">
        <f>IF(H362="","",IF(COUNTIFS($A$6:$A$505,A362,$B$6:$B$505,B362,$C$6:$C$505,C362,$F$6:$F$505,F362,$G$6:$G$505,G362,$D$6:$D$505,"&lt;&gt;"&amp;D362,$H$6:$H$505,"&lt;&gt;")&gt;0,1,0))</f>
        <v/>
      </c>
    </row>
    <row r="363">
      <c r="M363" s="15" t="str">
        <f>IF(H363="","",IF(OR(J363="Vastgesteld",AND(J363="Fictieve aanname",P_Demo="Ja")),1,0))</f>
        <v/>
      </c>
      <c r="N363" s="15" t="str">
        <f>IF(H363="","",IF(OR(J363="Vastgesteld",J363="Concept",AND(J363="Fictieve aanname",P_Demo="Ja")),1,0))</f>
        <v/>
      </c>
      <c r="O363" s="15" t="str">
        <f>IF(H363="","",IF(COUNTIFS($A$6:$A$505,A363,$B$6:$B$505,B363,$C$6:$C$505,C363,$F$6:$F$505,F363,$G$6:$G$505,G363,$D$6:$D$505,"&lt;&gt;"&amp;D363,$H$6:$H$505,"&lt;&gt;")&gt;0,1,0))</f>
        <v/>
      </c>
    </row>
    <row r="364">
      <c r="M364" s="15" t="str">
        <f>IF(H364="","",IF(OR(J364="Vastgesteld",AND(J364="Fictieve aanname",P_Demo="Ja")),1,0))</f>
        <v/>
      </c>
      <c r="N364" s="15" t="str">
        <f>IF(H364="","",IF(OR(J364="Vastgesteld",J364="Concept",AND(J364="Fictieve aanname",P_Demo="Ja")),1,0))</f>
        <v/>
      </c>
      <c r="O364" s="15" t="str">
        <f>IF(H364="","",IF(COUNTIFS($A$6:$A$505,A364,$B$6:$B$505,B364,$C$6:$C$505,C364,$F$6:$F$505,F364,$G$6:$G$505,G364,$D$6:$D$505,"&lt;&gt;"&amp;D364,$H$6:$H$505,"&lt;&gt;")&gt;0,1,0))</f>
        <v/>
      </c>
    </row>
    <row r="365">
      <c r="M365" s="15" t="str">
        <f>IF(H365="","",IF(OR(J365="Vastgesteld",AND(J365="Fictieve aanname",P_Demo="Ja")),1,0))</f>
        <v/>
      </c>
      <c r="N365" s="15" t="str">
        <f>IF(H365="","",IF(OR(J365="Vastgesteld",J365="Concept",AND(J365="Fictieve aanname",P_Demo="Ja")),1,0))</f>
        <v/>
      </c>
      <c r="O365" s="15" t="str">
        <f>IF(H365="","",IF(COUNTIFS($A$6:$A$505,A365,$B$6:$B$505,B365,$C$6:$C$505,C365,$F$6:$F$505,F365,$G$6:$G$505,G365,$D$6:$D$505,"&lt;&gt;"&amp;D365,$H$6:$H$505,"&lt;&gt;")&gt;0,1,0))</f>
        <v/>
      </c>
    </row>
    <row r="366">
      <c r="M366" s="15" t="str">
        <f>IF(H366="","",IF(OR(J366="Vastgesteld",AND(J366="Fictieve aanname",P_Demo="Ja")),1,0))</f>
        <v/>
      </c>
      <c r="N366" s="15" t="str">
        <f>IF(H366="","",IF(OR(J366="Vastgesteld",J366="Concept",AND(J366="Fictieve aanname",P_Demo="Ja")),1,0))</f>
        <v/>
      </c>
      <c r="O366" s="15" t="str">
        <f>IF(H366="","",IF(COUNTIFS($A$6:$A$505,A366,$B$6:$B$505,B366,$C$6:$C$505,C366,$F$6:$F$505,F366,$G$6:$G$505,G366,$D$6:$D$505,"&lt;&gt;"&amp;D366,$H$6:$H$505,"&lt;&gt;")&gt;0,1,0))</f>
        <v/>
      </c>
    </row>
    <row r="367">
      <c r="M367" s="15" t="str">
        <f>IF(H367="","",IF(OR(J367="Vastgesteld",AND(J367="Fictieve aanname",P_Demo="Ja")),1,0))</f>
        <v/>
      </c>
      <c r="N367" s="15" t="str">
        <f>IF(H367="","",IF(OR(J367="Vastgesteld",J367="Concept",AND(J367="Fictieve aanname",P_Demo="Ja")),1,0))</f>
        <v/>
      </c>
      <c r="O367" s="15" t="str">
        <f>IF(H367="","",IF(COUNTIFS($A$6:$A$505,A367,$B$6:$B$505,B367,$C$6:$C$505,C367,$F$6:$F$505,F367,$G$6:$G$505,G367,$D$6:$D$505,"&lt;&gt;"&amp;D367,$H$6:$H$505,"&lt;&gt;")&gt;0,1,0))</f>
        <v/>
      </c>
    </row>
    <row r="368">
      <c r="M368" s="15" t="str">
        <f>IF(H368="","",IF(OR(J368="Vastgesteld",AND(J368="Fictieve aanname",P_Demo="Ja")),1,0))</f>
        <v/>
      </c>
      <c r="N368" s="15" t="str">
        <f>IF(H368="","",IF(OR(J368="Vastgesteld",J368="Concept",AND(J368="Fictieve aanname",P_Demo="Ja")),1,0))</f>
        <v/>
      </c>
      <c r="O368" s="15" t="str">
        <f>IF(H368="","",IF(COUNTIFS($A$6:$A$505,A368,$B$6:$B$505,B368,$C$6:$C$505,C368,$F$6:$F$505,F368,$G$6:$G$505,G368,$D$6:$D$505,"&lt;&gt;"&amp;D368,$H$6:$H$505,"&lt;&gt;")&gt;0,1,0))</f>
        <v/>
      </c>
    </row>
    <row r="369">
      <c r="M369" s="15" t="str">
        <f>IF(H369="","",IF(OR(J369="Vastgesteld",AND(J369="Fictieve aanname",P_Demo="Ja")),1,0))</f>
        <v/>
      </c>
      <c r="N369" s="15" t="str">
        <f>IF(H369="","",IF(OR(J369="Vastgesteld",J369="Concept",AND(J369="Fictieve aanname",P_Demo="Ja")),1,0))</f>
        <v/>
      </c>
      <c r="O369" s="15" t="str">
        <f>IF(H369="","",IF(COUNTIFS($A$6:$A$505,A369,$B$6:$B$505,B369,$C$6:$C$505,C369,$F$6:$F$505,F369,$G$6:$G$505,G369,$D$6:$D$505,"&lt;&gt;"&amp;D369,$H$6:$H$505,"&lt;&gt;")&gt;0,1,0))</f>
        <v/>
      </c>
    </row>
    <row r="370">
      <c r="M370" s="15" t="str">
        <f>IF(H370="","",IF(OR(J370="Vastgesteld",AND(J370="Fictieve aanname",P_Demo="Ja")),1,0))</f>
        <v/>
      </c>
      <c r="N370" s="15" t="str">
        <f>IF(H370="","",IF(OR(J370="Vastgesteld",J370="Concept",AND(J370="Fictieve aanname",P_Demo="Ja")),1,0))</f>
        <v/>
      </c>
      <c r="O370" s="15" t="str">
        <f>IF(H370="","",IF(COUNTIFS($A$6:$A$505,A370,$B$6:$B$505,B370,$C$6:$C$505,C370,$F$6:$F$505,F370,$G$6:$G$505,G370,$D$6:$D$505,"&lt;&gt;"&amp;D370,$H$6:$H$505,"&lt;&gt;")&gt;0,1,0))</f>
        <v/>
      </c>
    </row>
    <row r="371">
      <c r="M371" s="15" t="str">
        <f>IF(H371="","",IF(OR(J371="Vastgesteld",AND(J371="Fictieve aanname",P_Demo="Ja")),1,0))</f>
        <v/>
      </c>
      <c r="N371" s="15" t="str">
        <f>IF(H371="","",IF(OR(J371="Vastgesteld",J371="Concept",AND(J371="Fictieve aanname",P_Demo="Ja")),1,0))</f>
        <v/>
      </c>
      <c r="O371" s="15" t="str">
        <f>IF(H371="","",IF(COUNTIFS($A$6:$A$505,A371,$B$6:$B$505,B371,$C$6:$C$505,C371,$F$6:$F$505,F371,$G$6:$G$505,G371,$D$6:$D$505,"&lt;&gt;"&amp;D371,$H$6:$H$505,"&lt;&gt;")&gt;0,1,0))</f>
        <v/>
      </c>
    </row>
    <row r="372">
      <c r="M372" s="15" t="str">
        <f>IF(H372="","",IF(OR(J372="Vastgesteld",AND(J372="Fictieve aanname",P_Demo="Ja")),1,0))</f>
        <v/>
      </c>
      <c r="N372" s="15" t="str">
        <f>IF(H372="","",IF(OR(J372="Vastgesteld",J372="Concept",AND(J372="Fictieve aanname",P_Demo="Ja")),1,0))</f>
        <v/>
      </c>
      <c r="O372" s="15" t="str">
        <f>IF(H372="","",IF(COUNTIFS($A$6:$A$505,A372,$B$6:$B$505,B372,$C$6:$C$505,C372,$F$6:$F$505,F372,$G$6:$G$505,G372,$D$6:$D$505,"&lt;&gt;"&amp;D372,$H$6:$H$505,"&lt;&gt;")&gt;0,1,0))</f>
        <v/>
      </c>
    </row>
    <row r="373">
      <c r="M373" s="15" t="str">
        <f>IF(H373="","",IF(OR(J373="Vastgesteld",AND(J373="Fictieve aanname",P_Demo="Ja")),1,0))</f>
        <v/>
      </c>
      <c r="N373" s="15" t="str">
        <f>IF(H373="","",IF(OR(J373="Vastgesteld",J373="Concept",AND(J373="Fictieve aanname",P_Demo="Ja")),1,0))</f>
        <v/>
      </c>
      <c r="O373" s="15" t="str">
        <f>IF(H373="","",IF(COUNTIFS($A$6:$A$505,A373,$B$6:$B$505,B373,$C$6:$C$505,C373,$F$6:$F$505,F373,$G$6:$G$505,G373,$D$6:$D$505,"&lt;&gt;"&amp;D373,$H$6:$H$505,"&lt;&gt;")&gt;0,1,0))</f>
        <v/>
      </c>
    </row>
    <row r="374">
      <c r="M374" s="15" t="str">
        <f>IF(H374="","",IF(OR(J374="Vastgesteld",AND(J374="Fictieve aanname",P_Demo="Ja")),1,0))</f>
        <v/>
      </c>
      <c r="N374" s="15" t="str">
        <f>IF(H374="","",IF(OR(J374="Vastgesteld",J374="Concept",AND(J374="Fictieve aanname",P_Demo="Ja")),1,0))</f>
        <v/>
      </c>
      <c r="O374" s="15" t="str">
        <f>IF(H374="","",IF(COUNTIFS($A$6:$A$505,A374,$B$6:$B$505,B374,$C$6:$C$505,C374,$F$6:$F$505,F374,$G$6:$G$505,G374,$D$6:$D$505,"&lt;&gt;"&amp;D374,$H$6:$H$505,"&lt;&gt;")&gt;0,1,0))</f>
        <v/>
      </c>
    </row>
    <row r="375">
      <c r="M375" s="15" t="str">
        <f>IF(H375="","",IF(OR(J375="Vastgesteld",AND(J375="Fictieve aanname",P_Demo="Ja")),1,0))</f>
        <v/>
      </c>
      <c r="N375" s="15" t="str">
        <f>IF(H375="","",IF(OR(J375="Vastgesteld",J375="Concept",AND(J375="Fictieve aanname",P_Demo="Ja")),1,0))</f>
        <v/>
      </c>
      <c r="O375" s="15" t="str">
        <f>IF(H375="","",IF(COUNTIFS($A$6:$A$505,A375,$B$6:$B$505,B375,$C$6:$C$505,C375,$F$6:$F$505,F375,$G$6:$G$505,G375,$D$6:$D$505,"&lt;&gt;"&amp;D375,$H$6:$H$505,"&lt;&gt;")&gt;0,1,0))</f>
        <v/>
      </c>
    </row>
    <row r="376">
      <c r="M376" s="15" t="str">
        <f>IF(H376="","",IF(OR(J376="Vastgesteld",AND(J376="Fictieve aanname",P_Demo="Ja")),1,0))</f>
        <v/>
      </c>
      <c r="N376" s="15" t="str">
        <f>IF(H376="","",IF(OR(J376="Vastgesteld",J376="Concept",AND(J376="Fictieve aanname",P_Demo="Ja")),1,0))</f>
        <v/>
      </c>
      <c r="O376" s="15" t="str">
        <f>IF(H376="","",IF(COUNTIFS($A$6:$A$505,A376,$B$6:$B$505,B376,$C$6:$C$505,C376,$F$6:$F$505,F376,$G$6:$G$505,G376,$D$6:$D$505,"&lt;&gt;"&amp;D376,$H$6:$H$505,"&lt;&gt;")&gt;0,1,0))</f>
        <v/>
      </c>
    </row>
    <row r="377">
      <c r="M377" s="15" t="str">
        <f>IF(H377="","",IF(OR(J377="Vastgesteld",AND(J377="Fictieve aanname",P_Demo="Ja")),1,0))</f>
        <v/>
      </c>
      <c r="N377" s="15" t="str">
        <f>IF(H377="","",IF(OR(J377="Vastgesteld",J377="Concept",AND(J377="Fictieve aanname",P_Demo="Ja")),1,0))</f>
        <v/>
      </c>
      <c r="O377" s="15" t="str">
        <f>IF(H377="","",IF(COUNTIFS($A$6:$A$505,A377,$B$6:$B$505,B377,$C$6:$C$505,C377,$F$6:$F$505,F377,$G$6:$G$505,G377,$D$6:$D$505,"&lt;&gt;"&amp;D377,$H$6:$H$505,"&lt;&gt;")&gt;0,1,0))</f>
        <v/>
      </c>
    </row>
    <row r="378">
      <c r="M378" s="15" t="str">
        <f>IF(H378="","",IF(OR(J378="Vastgesteld",AND(J378="Fictieve aanname",P_Demo="Ja")),1,0))</f>
        <v/>
      </c>
      <c r="N378" s="15" t="str">
        <f>IF(H378="","",IF(OR(J378="Vastgesteld",J378="Concept",AND(J378="Fictieve aanname",P_Demo="Ja")),1,0))</f>
        <v/>
      </c>
      <c r="O378" s="15" t="str">
        <f>IF(H378="","",IF(COUNTIFS($A$6:$A$505,A378,$B$6:$B$505,B378,$C$6:$C$505,C378,$F$6:$F$505,F378,$G$6:$G$505,G378,$D$6:$D$505,"&lt;&gt;"&amp;D378,$H$6:$H$505,"&lt;&gt;")&gt;0,1,0))</f>
        <v/>
      </c>
    </row>
    <row r="379">
      <c r="M379" s="15" t="str">
        <f>IF(H379="","",IF(OR(J379="Vastgesteld",AND(J379="Fictieve aanname",P_Demo="Ja")),1,0))</f>
        <v/>
      </c>
      <c r="N379" s="15" t="str">
        <f>IF(H379="","",IF(OR(J379="Vastgesteld",J379="Concept",AND(J379="Fictieve aanname",P_Demo="Ja")),1,0))</f>
        <v/>
      </c>
      <c r="O379" s="15" t="str">
        <f>IF(H379="","",IF(COUNTIFS($A$6:$A$505,A379,$B$6:$B$505,B379,$C$6:$C$505,C379,$F$6:$F$505,F379,$G$6:$G$505,G379,$D$6:$D$505,"&lt;&gt;"&amp;D379,$H$6:$H$505,"&lt;&gt;")&gt;0,1,0))</f>
        <v/>
      </c>
    </row>
    <row r="380">
      <c r="M380" s="15" t="str">
        <f>IF(H380="","",IF(OR(J380="Vastgesteld",AND(J380="Fictieve aanname",P_Demo="Ja")),1,0))</f>
        <v/>
      </c>
      <c r="N380" s="15" t="str">
        <f>IF(H380="","",IF(OR(J380="Vastgesteld",J380="Concept",AND(J380="Fictieve aanname",P_Demo="Ja")),1,0))</f>
        <v/>
      </c>
      <c r="O380" s="15" t="str">
        <f>IF(H380="","",IF(COUNTIFS($A$6:$A$505,A380,$B$6:$B$505,B380,$C$6:$C$505,C380,$F$6:$F$505,F380,$G$6:$G$505,G380,$D$6:$D$505,"&lt;&gt;"&amp;D380,$H$6:$H$505,"&lt;&gt;")&gt;0,1,0))</f>
        <v/>
      </c>
    </row>
    <row r="381">
      <c r="M381" s="15" t="str">
        <f>IF(H381="","",IF(OR(J381="Vastgesteld",AND(J381="Fictieve aanname",P_Demo="Ja")),1,0))</f>
        <v/>
      </c>
      <c r="N381" s="15" t="str">
        <f>IF(H381="","",IF(OR(J381="Vastgesteld",J381="Concept",AND(J381="Fictieve aanname",P_Demo="Ja")),1,0))</f>
        <v/>
      </c>
      <c r="O381" s="15" t="str">
        <f>IF(H381="","",IF(COUNTIFS($A$6:$A$505,A381,$B$6:$B$505,B381,$C$6:$C$505,C381,$F$6:$F$505,F381,$G$6:$G$505,G381,$D$6:$D$505,"&lt;&gt;"&amp;D381,$H$6:$H$505,"&lt;&gt;")&gt;0,1,0))</f>
        <v/>
      </c>
    </row>
    <row r="382">
      <c r="M382" s="15" t="str">
        <f>IF(H382="","",IF(OR(J382="Vastgesteld",AND(J382="Fictieve aanname",P_Demo="Ja")),1,0))</f>
        <v/>
      </c>
      <c r="N382" s="15" t="str">
        <f>IF(H382="","",IF(OR(J382="Vastgesteld",J382="Concept",AND(J382="Fictieve aanname",P_Demo="Ja")),1,0))</f>
        <v/>
      </c>
      <c r="O382" s="15" t="str">
        <f>IF(H382="","",IF(COUNTIFS($A$6:$A$505,A382,$B$6:$B$505,B382,$C$6:$C$505,C382,$F$6:$F$505,F382,$G$6:$G$505,G382,$D$6:$D$505,"&lt;&gt;"&amp;D382,$H$6:$H$505,"&lt;&gt;")&gt;0,1,0))</f>
        <v/>
      </c>
    </row>
    <row r="383">
      <c r="M383" s="15" t="str">
        <f>IF(H383="","",IF(OR(J383="Vastgesteld",AND(J383="Fictieve aanname",P_Demo="Ja")),1,0))</f>
        <v/>
      </c>
      <c r="N383" s="15" t="str">
        <f>IF(H383="","",IF(OR(J383="Vastgesteld",J383="Concept",AND(J383="Fictieve aanname",P_Demo="Ja")),1,0))</f>
        <v/>
      </c>
      <c r="O383" s="15" t="str">
        <f>IF(H383="","",IF(COUNTIFS($A$6:$A$505,A383,$B$6:$B$505,B383,$C$6:$C$505,C383,$F$6:$F$505,F383,$G$6:$G$505,G383,$D$6:$D$505,"&lt;&gt;"&amp;D383,$H$6:$H$505,"&lt;&gt;")&gt;0,1,0))</f>
        <v/>
      </c>
    </row>
    <row r="384">
      <c r="M384" s="15" t="str">
        <f>IF(H384="","",IF(OR(J384="Vastgesteld",AND(J384="Fictieve aanname",P_Demo="Ja")),1,0))</f>
        <v/>
      </c>
      <c r="N384" s="15" t="str">
        <f>IF(H384="","",IF(OR(J384="Vastgesteld",J384="Concept",AND(J384="Fictieve aanname",P_Demo="Ja")),1,0))</f>
        <v/>
      </c>
      <c r="O384" s="15" t="str">
        <f>IF(H384="","",IF(COUNTIFS($A$6:$A$505,A384,$B$6:$B$505,B384,$C$6:$C$505,C384,$F$6:$F$505,F384,$G$6:$G$505,G384,$D$6:$D$505,"&lt;&gt;"&amp;D384,$H$6:$H$505,"&lt;&gt;")&gt;0,1,0))</f>
        <v/>
      </c>
    </row>
    <row r="385">
      <c r="M385" s="15" t="str">
        <f>IF(H385="","",IF(OR(J385="Vastgesteld",AND(J385="Fictieve aanname",P_Demo="Ja")),1,0))</f>
        <v/>
      </c>
      <c r="N385" s="15" t="str">
        <f>IF(H385="","",IF(OR(J385="Vastgesteld",J385="Concept",AND(J385="Fictieve aanname",P_Demo="Ja")),1,0))</f>
        <v/>
      </c>
      <c r="O385" s="15" t="str">
        <f>IF(H385="","",IF(COUNTIFS($A$6:$A$505,A385,$B$6:$B$505,B385,$C$6:$C$505,C385,$F$6:$F$505,F385,$G$6:$G$505,G385,$D$6:$D$505,"&lt;&gt;"&amp;D385,$H$6:$H$505,"&lt;&gt;")&gt;0,1,0))</f>
        <v/>
      </c>
    </row>
    <row r="386">
      <c r="M386" s="15" t="str">
        <f>IF(H386="","",IF(OR(J386="Vastgesteld",AND(J386="Fictieve aanname",P_Demo="Ja")),1,0))</f>
        <v/>
      </c>
      <c r="N386" s="15" t="str">
        <f>IF(H386="","",IF(OR(J386="Vastgesteld",J386="Concept",AND(J386="Fictieve aanname",P_Demo="Ja")),1,0))</f>
        <v/>
      </c>
      <c r="O386" s="15" t="str">
        <f>IF(H386="","",IF(COUNTIFS($A$6:$A$505,A386,$B$6:$B$505,B386,$C$6:$C$505,C386,$F$6:$F$505,F386,$G$6:$G$505,G386,$D$6:$D$505,"&lt;&gt;"&amp;D386,$H$6:$H$505,"&lt;&gt;")&gt;0,1,0))</f>
        <v/>
      </c>
    </row>
    <row r="387">
      <c r="M387" s="15" t="str">
        <f>IF(H387="","",IF(OR(J387="Vastgesteld",AND(J387="Fictieve aanname",P_Demo="Ja")),1,0))</f>
        <v/>
      </c>
      <c r="N387" s="15" t="str">
        <f>IF(H387="","",IF(OR(J387="Vastgesteld",J387="Concept",AND(J387="Fictieve aanname",P_Demo="Ja")),1,0))</f>
        <v/>
      </c>
      <c r="O387" s="15" t="str">
        <f>IF(H387="","",IF(COUNTIFS($A$6:$A$505,A387,$B$6:$B$505,B387,$C$6:$C$505,C387,$F$6:$F$505,F387,$G$6:$G$505,G387,$D$6:$D$505,"&lt;&gt;"&amp;D387,$H$6:$H$505,"&lt;&gt;")&gt;0,1,0))</f>
        <v/>
      </c>
    </row>
    <row r="388">
      <c r="M388" s="15" t="str">
        <f>IF(H388="","",IF(OR(J388="Vastgesteld",AND(J388="Fictieve aanname",P_Demo="Ja")),1,0))</f>
        <v/>
      </c>
      <c r="N388" s="15" t="str">
        <f>IF(H388="","",IF(OR(J388="Vastgesteld",J388="Concept",AND(J388="Fictieve aanname",P_Demo="Ja")),1,0))</f>
        <v/>
      </c>
      <c r="O388" s="15" t="str">
        <f>IF(H388="","",IF(COUNTIFS($A$6:$A$505,A388,$B$6:$B$505,B388,$C$6:$C$505,C388,$F$6:$F$505,F388,$G$6:$G$505,G388,$D$6:$D$505,"&lt;&gt;"&amp;D388,$H$6:$H$505,"&lt;&gt;")&gt;0,1,0))</f>
        <v/>
      </c>
    </row>
    <row r="389">
      <c r="M389" s="15" t="str">
        <f>IF(H389="","",IF(OR(J389="Vastgesteld",AND(J389="Fictieve aanname",P_Demo="Ja")),1,0))</f>
        <v/>
      </c>
      <c r="N389" s="15" t="str">
        <f>IF(H389="","",IF(OR(J389="Vastgesteld",J389="Concept",AND(J389="Fictieve aanname",P_Demo="Ja")),1,0))</f>
        <v/>
      </c>
      <c r="O389" s="15" t="str">
        <f>IF(H389="","",IF(COUNTIFS($A$6:$A$505,A389,$B$6:$B$505,B389,$C$6:$C$505,C389,$F$6:$F$505,F389,$G$6:$G$505,G389,$D$6:$D$505,"&lt;&gt;"&amp;D389,$H$6:$H$505,"&lt;&gt;")&gt;0,1,0))</f>
        <v/>
      </c>
    </row>
    <row r="390">
      <c r="M390" s="15" t="str">
        <f>IF(H390="","",IF(OR(J390="Vastgesteld",AND(J390="Fictieve aanname",P_Demo="Ja")),1,0))</f>
        <v/>
      </c>
      <c r="N390" s="15" t="str">
        <f>IF(H390="","",IF(OR(J390="Vastgesteld",J390="Concept",AND(J390="Fictieve aanname",P_Demo="Ja")),1,0))</f>
        <v/>
      </c>
      <c r="O390" s="15" t="str">
        <f>IF(H390="","",IF(COUNTIFS($A$6:$A$505,A390,$B$6:$B$505,B390,$C$6:$C$505,C390,$F$6:$F$505,F390,$G$6:$G$505,G390,$D$6:$D$505,"&lt;&gt;"&amp;D390,$H$6:$H$505,"&lt;&gt;")&gt;0,1,0))</f>
        <v/>
      </c>
    </row>
    <row r="391">
      <c r="M391" s="15" t="str">
        <f>IF(H391="","",IF(OR(J391="Vastgesteld",AND(J391="Fictieve aanname",P_Demo="Ja")),1,0))</f>
        <v/>
      </c>
      <c r="N391" s="15" t="str">
        <f>IF(H391="","",IF(OR(J391="Vastgesteld",J391="Concept",AND(J391="Fictieve aanname",P_Demo="Ja")),1,0))</f>
        <v/>
      </c>
      <c r="O391" s="15" t="str">
        <f>IF(H391="","",IF(COUNTIFS($A$6:$A$505,A391,$B$6:$B$505,B391,$C$6:$C$505,C391,$F$6:$F$505,F391,$G$6:$G$505,G391,$D$6:$D$505,"&lt;&gt;"&amp;D391,$H$6:$H$505,"&lt;&gt;")&gt;0,1,0))</f>
        <v/>
      </c>
    </row>
    <row r="392">
      <c r="M392" s="15" t="str">
        <f>IF(H392="","",IF(OR(J392="Vastgesteld",AND(J392="Fictieve aanname",P_Demo="Ja")),1,0))</f>
        <v/>
      </c>
      <c r="N392" s="15" t="str">
        <f>IF(H392="","",IF(OR(J392="Vastgesteld",J392="Concept",AND(J392="Fictieve aanname",P_Demo="Ja")),1,0))</f>
        <v/>
      </c>
      <c r="O392" s="15" t="str">
        <f>IF(H392="","",IF(COUNTIFS($A$6:$A$505,A392,$B$6:$B$505,B392,$C$6:$C$505,C392,$F$6:$F$505,F392,$G$6:$G$505,G392,$D$6:$D$505,"&lt;&gt;"&amp;D392,$H$6:$H$505,"&lt;&gt;")&gt;0,1,0))</f>
        <v/>
      </c>
    </row>
    <row r="393">
      <c r="M393" s="15" t="str">
        <f>IF(H393="","",IF(OR(J393="Vastgesteld",AND(J393="Fictieve aanname",P_Demo="Ja")),1,0))</f>
        <v/>
      </c>
      <c r="N393" s="15" t="str">
        <f>IF(H393="","",IF(OR(J393="Vastgesteld",J393="Concept",AND(J393="Fictieve aanname",P_Demo="Ja")),1,0))</f>
        <v/>
      </c>
      <c r="O393" s="15" t="str">
        <f>IF(H393="","",IF(COUNTIFS($A$6:$A$505,A393,$B$6:$B$505,B393,$C$6:$C$505,C393,$F$6:$F$505,F393,$G$6:$G$505,G393,$D$6:$D$505,"&lt;&gt;"&amp;D393,$H$6:$H$505,"&lt;&gt;")&gt;0,1,0))</f>
        <v/>
      </c>
    </row>
    <row r="394">
      <c r="M394" s="15" t="str">
        <f>IF(H394="","",IF(OR(J394="Vastgesteld",AND(J394="Fictieve aanname",P_Demo="Ja")),1,0))</f>
        <v/>
      </c>
      <c r="N394" s="15" t="str">
        <f>IF(H394="","",IF(OR(J394="Vastgesteld",J394="Concept",AND(J394="Fictieve aanname",P_Demo="Ja")),1,0))</f>
        <v/>
      </c>
      <c r="O394" s="15" t="str">
        <f>IF(H394="","",IF(COUNTIFS($A$6:$A$505,A394,$B$6:$B$505,B394,$C$6:$C$505,C394,$F$6:$F$505,F394,$G$6:$G$505,G394,$D$6:$D$505,"&lt;&gt;"&amp;D394,$H$6:$H$505,"&lt;&gt;")&gt;0,1,0))</f>
        <v/>
      </c>
    </row>
    <row r="395">
      <c r="M395" s="15" t="str">
        <f>IF(H395="","",IF(OR(J395="Vastgesteld",AND(J395="Fictieve aanname",P_Demo="Ja")),1,0))</f>
        <v/>
      </c>
      <c r="N395" s="15" t="str">
        <f>IF(H395="","",IF(OR(J395="Vastgesteld",J395="Concept",AND(J395="Fictieve aanname",P_Demo="Ja")),1,0))</f>
        <v/>
      </c>
      <c r="O395" s="15" t="str">
        <f>IF(H395="","",IF(COUNTIFS($A$6:$A$505,A395,$B$6:$B$505,B395,$C$6:$C$505,C395,$F$6:$F$505,F395,$G$6:$G$505,G395,$D$6:$D$505,"&lt;&gt;"&amp;D395,$H$6:$H$505,"&lt;&gt;")&gt;0,1,0))</f>
        <v/>
      </c>
    </row>
    <row r="396">
      <c r="M396" s="15" t="str">
        <f>IF(H396="","",IF(OR(J396="Vastgesteld",AND(J396="Fictieve aanname",P_Demo="Ja")),1,0))</f>
        <v/>
      </c>
      <c r="N396" s="15" t="str">
        <f>IF(H396="","",IF(OR(J396="Vastgesteld",J396="Concept",AND(J396="Fictieve aanname",P_Demo="Ja")),1,0))</f>
        <v/>
      </c>
      <c r="O396" s="15" t="str">
        <f>IF(H396="","",IF(COUNTIFS($A$6:$A$505,A396,$B$6:$B$505,B396,$C$6:$C$505,C396,$F$6:$F$505,F396,$G$6:$G$505,G396,$D$6:$D$505,"&lt;&gt;"&amp;D396,$H$6:$H$505,"&lt;&gt;")&gt;0,1,0))</f>
        <v/>
      </c>
    </row>
    <row r="397">
      <c r="M397" s="15" t="str">
        <f>IF(H397="","",IF(OR(J397="Vastgesteld",AND(J397="Fictieve aanname",P_Demo="Ja")),1,0))</f>
        <v/>
      </c>
      <c r="N397" s="15" t="str">
        <f>IF(H397="","",IF(OR(J397="Vastgesteld",J397="Concept",AND(J397="Fictieve aanname",P_Demo="Ja")),1,0))</f>
        <v/>
      </c>
      <c r="O397" s="15" t="str">
        <f>IF(H397="","",IF(COUNTIFS($A$6:$A$505,A397,$B$6:$B$505,B397,$C$6:$C$505,C397,$F$6:$F$505,F397,$G$6:$G$505,G397,$D$6:$D$505,"&lt;&gt;"&amp;D397,$H$6:$H$505,"&lt;&gt;")&gt;0,1,0))</f>
        <v/>
      </c>
    </row>
    <row r="398">
      <c r="M398" s="15" t="str">
        <f>IF(H398="","",IF(OR(J398="Vastgesteld",AND(J398="Fictieve aanname",P_Demo="Ja")),1,0))</f>
        <v/>
      </c>
      <c r="N398" s="15" t="str">
        <f>IF(H398="","",IF(OR(J398="Vastgesteld",J398="Concept",AND(J398="Fictieve aanname",P_Demo="Ja")),1,0))</f>
        <v/>
      </c>
      <c r="O398" s="15" t="str">
        <f>IF(H398="","",IF(COUNTIFS($A$6:$A$505,A398,$B$6:$B$505,B398,$C$6:$C$505,C398,$F$6:$F$505,F398,$G$6:$G$505,G398,$D$6:$D$505,"&lt;&gt;"&amp;D398,$H$6:$H$505,"&lt;&gt;")&gt;0,1,0))</f>
        <v/>
      </c>
    </row>
    <row r="399">
      <c r="M399" s="15" t="str">
        <f>IF(H399="","",IF(OR(J399="Vastgesteld",AND(J399="Fictieve aanname",P_Demo="Ja")),1,0))</f>
        <v/>
      </c>
      <c r="N399" s="15" t="str">
        <f>IF(H399="","",IF(OR(J399="Vastgesteld",J399="Concept",AND(J399="Fictieve aanname",P_Demo="Ja")),1,0))</f>
        <v/>
      </c>
      <c r="O399" s="15" t="str">
        <f>IF(H399="","",IF(COUNTIFS($A$6:$A$505,A399,$B$6:$B$505,B399,$C$6:$C$505,C399,$F$6:$F$505,F399,$G$6:$G$505,G399,$D$6:$D$505,"&lt;&gt;"&amp;D399,$H$6:$H$505,"&lt;&gt;")&gt;0,1,0))</f>
        <v/>
      </c>
    </row>
    <row r="400">
      <c r="M400" s="15" t="str">
        <f>IF(H400="","",IF(OR(J400="Vastgesteld",AND(J400="Fictieve aanname",P_Demo="Ja")),1,0))</f>
        <v/>
      </c>
      <c r="N400" s="15" t="str">
        <f>IF(H400="","",IF(OR(J400="Vastgesteld",J400="Concept",AND(J400="Fictieve aanname",P_Demo="Ja")),1,0))</f>
        <v/>
      </c>
      <c r="O400" s="15" t="str">
        <f>IF(H400="","",IF(COUNTIFS($A$6:$A$505,A400,$B$6:$B$505,B400,$C$6:$C$505,C400,$F$6:$F$505,F400,$G$6:$G$505,G400,$D$6:$D$505,"&lt;&gt;"&amp;D400,$H$6:$H$505,"&lt;&gt;")&gt;0,1,0))</f>
        <v/>
      </c>
    </row>
    <row r="401">
      <c r="M401" s="15" t="str">
        <f>IF(H401="","",IF(OR(J401="Vastgesteld",AND(J401="Fictieve aanname",P_Demo="Ja")),1,0))</f>
        <v/>
      </c>
      <c r="N401" s="15" t="str">
        <f>IF(H401="","",IF(OR(J401="Vastgesteld",J401="Concept",AND(J401="Fictieve aanname",P_Demo="Ja")),1,0))</f>
        <v/>
      </c>
      <c r="O401" s="15" t="str">
        <f>IF(H401="","",IF(COUNTIFS($A$6:$A$505,A401,$B$6:$B$505,B401,$C$6:$C$505,C401,$F$6:$F$505,F401,$G$6:$G$505,G401,$D$6:$D$505,"&lt;&gt;"&amp;D401,$H$6:$H$505,"&lt;&gt;")&gt;0,1,0))</f>
        <v/>
      </c>
    </row>
    <row r="402">
      <c r="M402" s="15" t="str">
        <f>IF(H402="","",IF(OR(J402="Vastgesteld",AND(J402="Fictieve aanname",P_Demo="Ja")),1,0))</f>
        <v/>
      </c>
      <c r="N402" s="15" t="str">
        <f>IF(H402="","",IF(OR(J402="Vastgesteld",J402="Concept",AND(J402="Fictieve aanname",P_Demo="Ja")),1,0))</f>
        <v/>
      </c>
      <c r="O402" s="15" t="str">
        <f>IF(H402="","",IF(COUNTIFS($A$6:$A$505,A402,$B$6:$B$505,B402,$C$6:$C$505,C402,$F$6:$F$505,F402,$G$6:$G$505,G402,$D$6:$D$505,"&lt;&gt;"&amp;D402,$H$6:$H$505,"&lt;&gt;")&gt;0,1,0))</f>
        <v/>
      </c>
    </row>
    <row r="403">
      <c r="M403" s="15" t="str">
        <f>IF(H403="","",IF(OR(J403="Vastgesteld",AND(J403="Fictieve aanname",P_Demo="Ja")),1,0))</f>
        <v/>
      </c>
      <c r="N403" s="15" t="str">
        <f>IF(H403="","",IF(OR(J403="Vastgesteld",J403="Concept",AND(J403="Fictieve aanname",P_Demo="Ja")),1,0))</f>
        <v/>
      </c>
      <c r="O403" s="15" t="str">
        <f>IF(H403="","",IF(COUNTIFS($A$6:$A$505,A403,$B$6:$B$505,B403,$C$6:$C$505,C403,$F$6:$F$505,F403,$G$6:$G$505,G403,$D$6:$D$505,"&lt;&gt;"&amp;D403,$H$6:$H$505,"&lt;&gt;")&gt;0,1,0))</f>
        <v/>
      </c>
    </row>
    <row r="404">
      <c r="M404" s="15" t="str">
        <f>IF(H404="","",IF(OR(J404="Vastgesteld",AND(J404="Fictieve aanname",P_Demo="Ja")),1,0))</f>
        <v/>
      </c>
      <c r="N404" s="15" t="str">
        <f>IF(H404="","",IF(OR(J404="Vastgesteld",J404="Concept",AND(J404="Fictieve aanname",P_Demo="Ja")),1,0))</f>
        <v/>
      </c>
      <c r="O404" s="15" t="str">
        <f>IF(H404="","",IF(COUNTIFS($A$6:$A$505,A404,$B$6:$B$505,B404,$C$6:$C$505,C404,$F$6:$F$505,F404,$G$6:$G$505,G404,$D$6:$D$505,"&lt;&gt;"&amp;D404,$H$6:$H$505,"&lt;&gt;")&gt;0,1,0))</f>
        <v/>
      </c>
    </row>
    <row r="405">
      <c r="M405" s="15" t="str">
        <f>IF(H405="","",IF(OR(J405="Vastgesteld",AND(J405="Fictieve aanname",P_Demo="Ja")),1,0))</f>
        <v/>
      </c>
      <c r="N405" s="15" t="str">
        <f>IF(H405="","",IF(OR(J405="Vastgesteld",J405="Concept",AND(J405="Fictieve aanname",P_Demo="Ja")),1,0))</f>
        <v/>
      </c>
      <c r="O405" s="15" t="str">
        <f>IF(H405="","",IF(COUNTIFS($A$6:$A$505,A405,$B$6:$B$505,B405,$C$6:$C$505,C405,$F$6:$F$505,F405,$G$6:$G$505,G405,$D$6:$D$505,"&lt;&gt;"&amp;D405,$H$6:$H$505,"&lt;&gt;")&gt;0,1,0))</f>
        <v/>
      </c>
    </row>
    <row r="406">
      <c r="M406" s="15" t="str">
        <f>IF(H406="","",IF(OR(J406="Vastgesteld",AND(J406="Fictieve aanname",P_Demo="Ja")),1,0))</f>
        <v/>
      </c>
      <c r="N406" s="15" t="str">
        <f>IF(H406="","",IF(OR(J406="Vastgesteld",J406="Concept",AND(J406="Fictieve aanname",P_Demo="Ja")),1,0))</f>
        <v/>
      </c>
      <c r="O406" s="15" t="str">
        <f>IF(H406="","",IF(COUNTIFS($A$6:$A$505,A406,$B$6:$B$505,B406,$C$6:$C$505,C406,$F$6:$F$505,F406,$G$6:$G$505,G406,$D$6:$D$505,"&lt;&gt;"&amp;D406,$H$6:$H$505,"&lt;&gt;")&gt;0,1,0))</f>
        <v/>
      </c>
    </row>
    <row r="407">
      <c r="M407" s="15" t="str">
        <f>IF(H407="","",IF(OR(J407="Vastgesteld",AND(J407="Fictieve aanname",P_Demo="Ja")),1,0))</f>
        <v/>
      </c>
      <c r="N407" s="15" t="str">
        <f>IF(H407="","",IF(OR(J407="Vastgesteld",J407="Concept",AND(J407="Fictieve aanname",P_Demo="Ja")),1,0))</f>
        <v/>
      </c>
      <c r="O407" s="15" t="str">
        <f>IF(H407="","",IF(COUNTIFS($A$6:$A$505,A407,$B$6:$B$505,B407,$C$6:$C$505,C407,$F$6:$F$505,F407,$G$6:$G$505,G407,$D$6:$D$505,"&lt;&gt;"&amp;D407,$H$6:$H$505,"&lt;&gt;")&gt;0,1,0))</f>
        <v/>
      </c>
    </row>
    <row r="408">
      <c r="M408" s="15" t="str">
        <f>IF(H408="","",IF(OR(J408="Vastgesteld",AND(J408="Fictieve aanname",P_Demo="Ja")),1,0))</f>
        <v/>
      </c>
      <c r="N408" s="15" t="str">
        <f>IF(H408="","",IF(OR(J408="Vastgesteld",J408="Concept",AND(J408="Fictieve aanname",P_Demo="Ja")),1,0))</f>
        <v/>
      </c>
      <c r="O408" s="15" t="str">
        <f>IF(H408="","",IF(COUNTIFS($A$6:$A$505,A408,$B$6:$B$505,B408,$C$6:$C$505,C408,$F$6:$F$505,F408,$G$6:$G$505,G408,$D$6:$D$505,"&lt;&gt;"&amp;D408,$H$6:$H$505,"&lt;&gt;")&gt;0,1,0))</f>
        <v/>
      </c>
    </row>
    <row r="409">
      <c r="M409" s="15" t="str">
        <f>IF(H409="","",IF(OR(J409="Vastgesteld",AND(J409="Fictieve aanname",P_Demo="Ja")),1,0))</f>
        <v/>
      </c>
      <c r="N409" s="15" t="str">
        <f>IF(H409="","",IF(OR(J409="Vastgesteld",J409="Concept",AND(J409="Fictieve aanname",P_Demo="Ja")),1,0))</f>
        <v/>
      </c>
      <c r="O409" s="15" t="str">
        <f>IF(H409="","",IF(COUNTIFS($A$6:$A$505,A409,$B$6:$B$505,B409,$C$6:$C$505,C409,$F$6:$F$505,F409,$G$6:$G$505,G409,$D$6:$D$505,"&lt;&gt;"&amp;D409,$H$6:$H$505,"&lt;&gt;")&gt;0,1,0))</f>
        <v/>
      </c>
    </row>
    <row r="410">
      <c r="M410" s="15" t="str">
        <f>IF(H410="","",IF(OR(J410="Vastgesteld",AND(J410="Fictieve aanname",P_Demo="Ja")),1,0))</f>
        <v/>
      </c>
      <c r="N410" s="15" t="str">
        <f>IF(H410="","",IF(OR(J410="Vastgesteld",J410="Concept",AND(J410="Fictieve aanname",P_Demo="Ja")),1,0))</f>
        <v/>
      </c>
      <c r="O410" s="15" t="str">
        <f>IF(H410="","",IF(COUNTIFS($A$6:$A$505,A410,$B$6:$B$505,B410,$C$6:$C$505,C410,$F$6:$F$505,F410,$G$6:$G$505,G410,$D$6:$D$505,"&lt;&gt;"&amp;D410,$H$6:$H$505,"&lt;&gt;")&gt;0,1,0))</f>
        <v/>
      </c>
    </row>
    <row r="411">
      <c r="M411" s="15" t="str">
        <f>IF(H411="","",IF(OR(J411="Vastgesteld",AND(J411="Fictieve aanname",P_Demo="Ja")),1,0))</f>
        <v/>
      </c>
      <c r="N411" s="15" t="str">
        <f>IF(H411="","",IF(OR(J411="Vastgesteld",J411="Concept",AND(J411="Fictieve aanname",P_Demo="Ja")),1,0))</f>
        <v/>
      </c>
      <c r="O411" s="15" t="str">
        <f>IF(H411="","",IF(COUNTIFS($A$6:$A$505,A411,$B$6:$B$505,B411,$C$6:$C$505,C411,$F$6:$F$505,F411,$G$6:$G$505,G411,$D$6:$D$505,"&lt;&gt;"&amp;D411,$H$6:$H$505,"&lt;&gt;")&gt;0,1,0))</f>
        <v/>
      </c>
    </row>
    <row r="412">
      <c r="M412" s="15" t="str">
        <f>IF(H412="","",IF(OR(J412="Vastgesteld",AND(J412="Fictieve aanname",P_Demo="Ja")),1,0))</f>
        <v/>
      </c>
      <c r="N412" s="15" t="str">
        <f>IF(H412="","",IF(OR(J412="Vastgesteld",J412="Concept",AND(J412="Fictieve aanname",P_Demo="Ja")),1,0))</f>
        <v/>
      </c>
      <c r="O412" s="15" t="str">
        <f>IF(H412="","",IF(COUNTIFS($A$6:$A$505,A412,$B$6:$B$505,B412,$C$6:$C$505,C412,$F$6:$F$505,F412,$G$6:$G$505,G412,$D$6:$D$505,"&lt;&gt;"&amp;D412,$H$6:$H$505,"&lt;&gt;")&gt;0,1,0))</f>
        <v/>
      </c>
    </row>
    <row r="413">
      <c r="M413" s="15" t="str">
        <f>IF(H413="","",IF(OR(J413="Vastgesteld",AND(J413="Fictieve aanname",P_Demo="Ja")),1,0))</f>
        <v/>
      </c>
      <c r="N413" s="15" t="str">
        <f>IF(H413="","",IF(OR(J413="Vastgesteld",J413="Concept",AND(J413="Fictieve aanname",P_Demo="Ja")),1,0))</f>
        <v/>
      </c>
      <c r="O413" s="15" t="str">
        <f>IF(H413="","",IF(COUNTIFS($A$6:$A$505,A413,$B$6:$B$505,B413,$C$6:$C$505,C413,$F$6:$F$505,F413,$G$6:$G$505,G413,$D$6:$D$505,"&lt;&gt;"&amp;D413,$H$6:$H$505,"&lt;&gt;")&gt;0,1,0))</f>
        <v/>
      </c>
    </row>
    <row r="414">
      <c r="M414" s="15" t="str">
        <f>IF(H414="","",IF(OR(J414="Vastgesteld",AND(J414="Fictieve aanname",P_Demo="Ja")),1,0))</f>
        <v/>
      </c>
      <c r="N414" s="15" t="str">
        <f>IF(H414="","",IF(OR(J414="Vastgesteld",J414="Concept",AND(J414="Fictieve aanname",P_Demo="Ja")),1,0))</f>
        <v/>
      </c>
      <c r="O414" s="15" t="str">
        <f>IF(H414="","",IF(COUNTIFS($A$6:$A$505,A414,$B$6:$B$505,B414,$C$6:$C$505,C414,$F$6:$F$505,F414,$G$6:$G$505,G414,$D$6:$D$505,"&lt;&gt;"&amp;D414,$H$6:$H$505,"&lt;&gt;")&gt;0,1,0))</f>
        <v/>
      </c>
    </row>
    <row r="415">
      <c r="M415" s="15" t="str">
        <f>IF(H415="","",IF(OR(J415="Vastgesteld",AND(J415="Fictieve aanname",P_Demo="Ja")),1,0))</f>
        <v/>
      </c>
      <c r="N415" s="15" t="str">
        <f>IF(H415="","",IF(OR(J415="Vastgesteld",J415="Concept",AND(J415="Fictieve aanname",P_Demo="Ja")),1,0))</f>
        <v/>
      </c>
      <c r="O415" s="15" t="str">
        <f>IF(H415="","",IF(COUNTIFS($A$6:$A$505,A415,$B$6:$B$505,B415,$C$6:$C$505,C415,$F$6:$F$505,F415,$G$6:$G$505,G415,$D$6:$D$505,"&lt;&gt;"&amp;D415,$H$6:$H$505,"&lt;&gt;")&gt;0,1,0))</f>
        <v/>
      </c>
    </row>
    <row r="416">
      <c r="M416" s="15" t="str">
        <f>IF(H416="","",IF(OR(J416="Vastgesteld",AND(J416="Fictieve aanname",P_Demo="Ja")),1,0))</f>
        <v/>
      </c>
      <c r="N416" s="15" t="str">
        <f>IF(H416="","",IF(OR(J416="Vastgesteld",J416="Concept",AND(J416="Fictieve aanname",P_Demo="Ja")),1,0))</f>
        <v/>
      </c>
      <c r="O416" s="15" t="str">
        <f>IF(H416="","",IF(COUNTIFS($A$6:$A$505,A416,$B$6:$B$505,B416,$C$6:$C$505,C416,$F$6:$F$505,F416,$G$6:$G$505,G416,$D$6:$D$505,"&lt;&gt;"&amp;D416,$H$6:$H$505,"&lt;&gt;")&gt;0,1,0))</f>
        <v/>
      </c>
    </row>
    <row r="417">
      <c r="M417" s="15" t="str">
        <f>IF(H417="","",IF(OR(J417="Vastgesteld",AND(J417="Fictieve aanname",P_Demo="Ja")),1,0))</f>
        <v/>
      </c>
      <c r="N417" s="15" t="str">
        <f>IF(H417="","",IF(OR(J417="Vastgesteld",J417="Concept",AND(J417="Fictieve aanname",P_Demo="Ja")),1,0))</f>
        <v/>
      </c>
      <c r="O417" s="15" t="str">
        <f>IF(H417="","",IF(COUNTIFS($A$6:$A$505,A417,$B$6:$B$505,B417,$C$6:$C$505,C417,$F$6:$F$505,F417,$G$6:$G$505,G417,$D$6:$D$505,"&lt;&gt;"&amp;D417,$H$6:$H$505,"&lt;&gt;")&gt;0,1,0))</f>
        <v/>
      </c>
    </row>
    <row r="418">
      <c r="M418" s="15" t="str">
        <f>IF(H418="","",IF(OR(J418="Vastgesteld",AND(J418="Fictieve aanname",P_Demo="Ja")),1,0))</f>
        <v/>
      </c>
      <c r="N418" s="15" t="str">
        <f>IF(H418="","",IF(OR(J418="Vastgesteld",J418="Concept",AND(J418="Fictieve aanname",P_Demo="Ja")),1,0))</f>
        <v/>
      </c>
      <c r="O418" s="15" t="str">
        <f>IF(H418="","",IF(COUNTIFS($A$6:$A$505,A418,$B$6:$B$505,B418,$C$6:$C$505,C418,$F$6:$F$505,F418,$G$6:$G$505,G418,$D$6:$D$505,"&lt;&gt;"&amp;D418,$H$6:$H$505,"&lt;&gt;")&gt;0,1,0))</f>
        <v/>
      </c>
    </row>
    <row r="419">
      <c r="M419" s="15" t="str">
        <f>IF(H419="","",IF(OR(J419="Vastgesteld",AND(J419="Fictieve aanname",P_Demo="Ja")),1,0))</f>
        <v/>
      </c>
      <c r="N419" s="15" t="str">
        <f>IF(H419="","",IF(OR(J419="Vastgesteld",J419="Concept",AND(J419="Fictieve aanname",P_Demo="Ja")),1,0))</f>
        <v/>
      </c>
      <c r="O419" s="15" t="str">
        <f>IF(H419="","",IF(COUNTIFS($A$6:$A$505,A419,$B$6:$B$505,B419,$C$6:$C$505,C419,$F$6:$F$505,F419,$G$6:$G$505,G419,$D$6:$D$505,"&lt;&gt;"&amp;D419,$H$6:$H$505,"&lt;&gt;")&gt;0,1,0))</f>
        <v/>
      </c>
    </row>
    <row r="420">
      <c r="M420" s="15" t="str">
        <f>IF(H420="","",IF(OR(J420="Vastgesteld",AND(J420="Fictieve aanname",P_Demo="Ja")),1,0))</f>
        <v/>
      </c>
      <c r="N420" s="15" t="str">
        <f>IF(H420="","",IF(OR(J420="Vastgesteld",J420="Concept",AND(J420="Fictieve aanname",P_Demo="Ja")),1,0))</f>
        <v/>
      </c>
      <c r="O420" s="15" t="str">
        <f>IF(H420="","",IF(COUNTIFS($A$6:$A$505,A420,$B$6:$B$505,B420,$C$6:$C$505,C420,$F$6:$F$505,F420,$G$6:$G$505,G420,$D$6:$D$505,"&lt;&gt;"&amp;D420,$H$6:$H$505,"&lt;&gt;")&gt;0,1,0))</f>
        <v/>
      </c>
    </row>
    <row r="421">
      <c r="M421" s="15" t="str">
        <f>IF(H421="","",IF(OR(J421="Vastgesteld",AND(J421="Fictieve aanname",P_Demo="Ja")),1,0))</f>
        <v/>
      </c>
      <c r="N421" s="15" t="str">
        <f>IF(H421="","",IF(OR(J421="Vastgesteld",J421="Concept",AND(J421="Fictieve aanname",P_Demo="Ja")),1,0))</f>
        <v/>
      </c>
      <c r="O421" s="15" t="str">
        <f>IF(H421="","",IF(COUNTIFS($A$6:$A$505,A421,$B$6:$B$505,B421,$C$6:$C$505,C421,$F$6:$F$505,F421,$G$6:$G$505,G421,$D$6:$D$505,"&lt;&gt;"&amp;D421,$H$6:$H$505,"&lt;&gt;")&gt;0,1,0))</f>
        <v/>
      </c>
    </row>
    <row r="422">
      <c r="M422" s="15" t="str">
        <f>IF(H422="","",IF(OR(J422="Vastgesteld",AND(J422="Fictieve aanname",P_Demo="Ja")),1,0))</f>
        <v/>
      </c>
      <c r="N422" s="15" t="str">
        <f>IF(H422="","",IF(OR(J422="Vastgesteld",J422="Concept",AND(J422="Fictieve aanname",P_Demo="Ja")),1,0))</f>
        <v/>
      </c>
      <c r="O422" s="15" t="str">
        <f>IF(H422="","",IF(COUNTIFS($A$6:$A$505,A422,$B$6:$B$505,B422,$C$6:$C$505,C422,$F$6:$F$505,F422,$G$6:$G$505,G422,$D$6:$D$505,"&lt;&gt;"&amp;D422,$H$6:$H$505,"&lt;&gt;")&gt;0,1,0))</f>
        <v/>
      </c>
    </row>
    <row r="423">
      <c r="M423" s="15" t="str">
        <f>IF(H423="","",IF(OR(J423="Vastgesteld",AND(J423="Fictieve aanname",P_Demo="Ja")),1,0))</f>
        <v/>
      </c>
      <c r="N423" s="15" t="str">
        <f>IF(H423="","",IF(OR(J423="Vastgesteld",J423="Concept",AND(J423="Fictieve aanname",P_Demo="Ja")),1,0))</f>
        <v/>
      </c>
      <c r="O423" s="15" t="str">
        <f>IF(H423="","",IF(COUNTIFS($A$6:$A$505,A423,$B$6:$B$505,B423,$C$6:$C$505,C423,$F$6:$F$505,F423,$G$6:$G$505,G423,$D$6:$D$505,"&lt;&gt;"&amp;D423,$H$6:$H$505,"&lt;&gt;")&gt;0,1,0))</f>
        <v/>
      </c>
    </row>
    <row r="424">
      <c r="M424" s="15" t="str">
        <f>IF(H424="","",IF(OR(J424="Vastgesteld",AND(J424="Fictieve aanname",P_Demo="Ja")),1,0))</f>
        <v/>
      </c>
      <c r="N424" s="15" t="str">
        <f>IF(H424="","",IF(OR(J424="Vastgesteld",J424="Concept",AND(J424="Fictieve aanname",P_Demo="Ja")),1,0))</f>
        <v/>
      </c>
      <c r="O424" s="15" t="str">
        <f>IF(H424="","",IF(COUNTIFS($A$6:$A$505,A424,$B$6:$B$505,B424,$C$6:$C$505,C424,$F$6:$F$505,F424,$G$6:$G$505,G424,$D$6:$D$505,"&lt;&gt;"&amp;D424,$H$6:$H$505,"&lt;&gt;")&gt;0,1,0))</f>
        <v/>
      </c>
    </row>
    <row r="425">
      <c r="M425" s="15" t="str">
        <f>IF(H425="","",IF(OR(J425="Vastgesteld",AND(J425="Fictieve aanname",P_Demo="Ja")),1,0))</f>
        <v/>
      </c>
      <c r="N425" s="15" t="str">
        <f>IF(H425="","",IF(OR(J425="Vastgesteld",J425="Concept",AND(J425="Fictieve aanname",P_Demo="Ja")),1,0))</f>
        <v/>
      </c>
      <c r="O425" s="15" t="str">
        <f>IF(H425="","",IF(COUNTIFS($A$6:$A$505,A425,$B$6:$B$505,B425,$C$6:$C$505,C425,$F$6:$F$505,F425,$G$6:$G$505,G425,$D$6:$D$505,"&lt;&gt;"&amp;D425,$H$6:$H$505,"&lt;&gt;")&gt;0,1,0))</f>
        <v/>
      </c>
    </row>
    <row r="426">
      <c r="M426" s="15" t="str">
        <f>IF(H426="","",IF(OR(J426="Vastgesteld",AND(J426="Fictieve aanname",P_Demo="Ja")),1,0))</f>
        <v/>
      </c>
      <c r="N426" s="15" t="str">
        <f>IF(H426="","",IF(OR(J426="Vastgesteld",J426="Concept",AND(J426="Fictieve aanname",P_Demo="Ja")),1,0))</f>
        <v/>
      </c>
      <c r="O426" s="15" t="str">
        <f>IF(H426="","",IF(COUNTIFS($A$6:$A$505,A426,$B$6:$B$505,B426,$C$6:$C$505,C426,$F$6:$F$505,F426,$G$6:$G$505,G426,$D$6:$D$505,"&lt;&gt;"&amp;D426,$H$6:$H$505,"&lt;&gt;")&gt;0,1,0))</f>
        <v/>
      </c>
    </row>
    <row r="427">
      <c r="M427" s="15" t="str">
        <f>IF(H427="","",IF(OR(J427="Vastgesteld",AND(J427="Fictieve aanname",P_Demo="Ja")),1,0))</f>
        <v/>
      </c>
      <c r="N427" s="15" t="str">
        <f>IF(H427="","",IF(OR(J427="Vastgesteld",J427="Concept",AND(J427="Fictieve aanname",P_Demo="Ja")),1,0))</f>
        <v/>
      </c>
      <c r="O427" s="15" t="str">
        <f>IF(H427="","",IF(COUNTIFS($A$6:$A$505,A427,$B$6:$B$505,B427,$C$6:$C$505,C427,$F$6:$F$505,F427,$G$6:$G$505,G427,$D$6:$D$505,"&lt;&gt;"&amp;D427,$H$6:$H$505,"&lt;&gt;")&gt;0,1,0))</f>
        <v/>
      </c>
    </row>
    <row r="428">
      <c r="M428" s="15" t="str">
        <f>IF(H428="","",IF(OR(J428="Vastgesteld",AND(J428="Fictieve aanname",P_Demo="Ja")),1,0))</f>
        <v/>
      </c>
      <c r="N428" s="15" t="str">
        <f>IF(H428="","",IF(OR(J428="Vastgesteld",J428="Concept",AND(J428="Fictieve aanname",P_Demo="Ja")),1,0))</f>
        <v/>
      </c>
      <c r="O428" s="15" t="str">
        <f>IF(H428="","",IF(COUNTIFS($A$6:$A$505,A428,$B$6:$B$505,B428,$C$6:$C$505,C428,$F$6:$F$505,F428,$G$6:$G$505,G428,$D$6:$D$505,"&lt;&gt;"&amp;D428,$H$6:$H$505,"&lt;&gt;")&gt;0,1,0))</f>
        <v/>
      </c>
    </row>
    <row r="429">
      <c r="M429" s="15" t="str">
        <f>IF(H429="","",IF(OR(J429="Vastgesteld",AND(J429="Fictieve aanname",P_Demo="Ja")),1,0))</f>
        <v/>
      </c>
      <c r="N429" s="15" t="str">
        <f>IF(H429="","",IF(OR(J429="Vastgesteld",J429="Concept",AND(J429="Fictieve aanname",P_Demo="Ja")),1,0))</f>
        <v/>
      </c>
      <c r="O429" s="15" t="str">
        <f>IF(H429="","",IF(COUNTIFS($A$6:$A$505,A429,$B$6:$B$505,B429,$C$6:$C$505,C429,$F$6:$F$505,F429,$G$6:$G$505,G429,$D$6:$D$505,"&lt;&gt;"&amp;D429,$H$6:$H$505,"&lt;&gt;")&gt;0,1,0))</f>
        <v/>
      </c>
    </row>
    <row r="430">
      <c r="M430" s="15" t="str">
        <f>IF(H430="","",IF(OR(J430="Vastgesteld",AND(J430="Fictieve aanname",P_Demo="Ja")),1,0))</f>
        <v/>
      </c>
      <c r="N430" s="15" t="str">
        <f>IF(H430="","",IF(OR(J430="Vastgesteld",J430="Concept",AND(J430="Fictieve aanname",P_Demo="Ja")),1,0))</f>
        <v/>
      </c>
      <c r="O430" s="15" t="str">
        <f>IF(H430="","",IF(COUNTIFS($A$6:$A$505,A430,$B$6:$B$505,B430,$C$6:$C$505,C430,$F$6:$F$505,F430,$G$6:$G$505,G430,$D$6:$D$505,"&lt;&gt;"&amp;D430,$H$6:$H$505,"&lt;&gt;")&gt;0,1,0))</f>
        <v/>
      </c>
    </row>
    <row r="431">
      <c r="M431" s="15" t="str">
        <f>IF(H431="","",IF(OR(J431="Vastgesteld",AND(J431="Fictieve aanname",P_Demo="Ja")),1,0))</f>
        <v/>
      </c>
      <c r="N431" s="15" t="str">
        <f>IF(H431="","",IF(OR(J431="Vastgesteld",J431="Concept",AND(J431="Fictieve aanname",P_Demo="Ja")),1,0))</f>
        <v/>
      </c>
      <c r="O431" s="15" t="str">
        <f>IF(H431="","",IF(COUNTIFS($A$6:$A$505,A431,$B$6:$B$505,B431,$C$6:$C$505,C431,$F$6:$F$505,F431,$G$6:$G$505,G431,$D$6:$D$505,"&lt;&gt;"&amp;D431,$H$6:$H$505,"&lt;&gt;")&gt;0,1,0))</f>
        <v/>
      </c>
    </row>
    <row r="432">
      <c r="M432" s="15" t="str">
        <f>IF(H432="","",IF(OR(J432="Vastgesteld",AND(J432="Fictieve aanname",P_Demo="Ja")),1,0))</f>
        <v/>
      </c>
      <c r="N432" s="15" t="str">
        <f>IF(H432="","",IF(OR(J432="Vastgesteld",J432="Concept",AND(J432="Fictieve aanname",P_Demo="Ja")),1,0))</f>
        <v/>
      </c>
      <c r="O432" s="15" t="str">
        <f>IF(H432="","",IF(COUNTIFS($A$6:$A$505,A432,$B$6:$B$505,B432,$C$6:$C$505,C432,$F$6:$F$505,F432,$G$6:$G$505,G432,$D$6:$D$505,"&lt;&gt;"&amp;D432,$H$6:$H$505,"&lt;&gt;")&gt;0,1,0))</f>
        <v/>
      </c>
    </row>
    <row r="433">
      <c r="M433" s="15" t="str">
        <f>IF(H433="","",IF(OR(J433="Vastgesteld",AND(J433="Fictieve aanname",P_Demo="Ja")),1,0))</f>
        <v/>
      </c>
      <c r="N433" s="15" t="str">
        <f>IF(H433="","",IF(OR(J433="Vastgesteld",J433="Concept",AND(J433="Fictieve aanname",P_Demo="Ja")),1,0))</f>
        <v/>
      </c>
      <c r="O433" s="15" t="str">
        <f>IF(H433="","",IF(COUNTIFS($A$6:$A$505,A433,$B$6:$B$505,B433,$C$6:$C$505,C433,$F$6:$F$505,F433,$G$6:$G$505,G433,$D$6:$D$505,"&lt;&gt;"&amp;D433,$H$6:$H$505,"&lt;&gt;")&gt;0,1,0))</f>
        <v/>
      </c>
    </row>
    <row r="434">
      <c r="M434" s="15" t="str">
        <f>IF(H434="","",IF(OR(J434="Vastgesteld",AND(J434="Fictieve aanname",P_Demo="Ja")),1,0))</f>
        <v/>
      </c>
      <c r="N434" s="15" t="str">
        <f>IF(H434="","",IF(OR(J434="Vastgesteld",J434="Concept",AND(J434="Fictieve aanname",P_Demo="Ja")),1,0))</f>
        <v/>
      </c>
      <c r="O434" s="15" t="str">
        <f>IF(H434="","",IF(COUNTIFS($A$6:$A$505,A434,$B$6:$B$505,B434,$C$6:$C$505,C434,$F$6:$F$505,F434,$G$6:$G$505,G434,$D$6:$D$505,"&lt;&gt;"&amp;D434,$H$6:$H$505,"&lt;&gt;")&gt;0,1,0))</f>
        <v/>
      </c>
    </row>
    <row r="435">
      <c r="M435" s="15" t="str">
        <f>IF(H435="","",IF(OR(J435="Vastgesteld",AND(J435="Fictieve aanname",P_Demo="Ja")),1,0))</f>
        <v/>
      </c>
      <c r="N435" s="15" t="str">
        <f>IF(H435="","",IF(OR(J435="Vastgesteld",J435="Concept",AND(J435="Fictieve aanname",P_Demo="Ja")),1,0))</f>
        <v/>
      </c>
      <c r="O435" s="15" t="str">
        <f>IF(H435="","",IF(COUNTIFS($A$6:$A$505,A435,$B$6:$B$505,B435,$C$6:$C$505,C435,$F$6:$F$505,F435,$G$6:$G$505,G435,$D$6:$D$505,"&lt;&gt;"&amp;D435,$H$6:$H$505,"&lt;&gt;")&gt;0,1,0))</f>
        <v/>
      </c>
    </row>
    <row r="436">
      <c r="M436" s="15" t="str">
        <f>IF(H436="","",IF(OR(J436="Vastgesteld",AND(J436="Fictieve aanname",P_Demo="Ja")),1,0))</f>
        <v/>
      </c>
      <c r="N436" s="15" t="str">
        <f>IF(H436="","",IF(OR(J436="Vastgesteld",J436="Concept",AND(J436="Fictieve aanname",P_Demo="Ja")),1,0))</f>
        <v/>
      </c>
      <c r="O436" s="15" t="str">
        <f>IF(H436="","",IF(COUNTIFS($A$6:$A$505,A436,$B$6:$B$505,B436,$C$6:$C$505,C436,$F$6:$F$505,F436,$G$6:$G$505,G436,$D$6:$D$505,"&lt;&gt;"&amp;D436,$H$6:$H$505,"&lt;&gt;")&gt;0,1,0))</f>
        <v/>
      </c>
    </row>
    <row r="437">
      <c r="M437" s="15" t="str">
        <f>IF(H437="","",IF(OR(J437="Vastgesteld",AND(J437="Fictieve aanname",P_Demo="Ja")),1,0))</f>
        <v/>
      </c>
      <c r="N437" s="15" t="str">
        <f>IF(H437="","",IF(OR(J437="Vastgesteld",J437="Concept",AND(J437="Fictieve aanname",P_Demo="Ja")),1,0))</f>
        <v/>
      </c>
      <c r="O437" s="15" t="str">
        <f>IF(H437="","",IF(COUNTIFS($A$6:$A$505,A437,$B$6:$B$505,B437,$C$6:$C$505,C437,$F$6:$F$505,F437,$G$6:$G$505,G437,$D$6:$D$505,"&lt;&gt;"&amp;D437,$H$6:$H$505,"&lt;&gt;")&gt;0,1,0))</f>
        <v/>
      </c>
    </row>
    <row r="438">
      <c r="M438" s="15" t="str">
        <f>IF(H438="","",IF(OR(J438="Vastgesteld",AND(J438="Fictieve aanname",P_Demo="Ja")),1,0))</f>
        <v/>
      </c>
      <c r="N438" s="15" t="str">
        <f>IF(H438="","",IF(OR(J438="Vastgesteld",J438="Concept",AND(J438="Fictieve aanname",P_Demo="Ja")),1,0))</f>
        <v/>
      </c>
      <c r="O438" s="15" t="str">
        <f>IF(H438="","",IF(COUNTIFS($A$6:$A$505,A438,$B$6:$B$505,B438,$C$6:$C$505,C438,$F$6:$F$505,F438,$G$6:$G$505,G438,$D$6:$D$505,"&lt;&gt;"&amp;D438,$H$6:$H$505,"&lt;&gt;")&gt;0,1,0))</f>
        <v/>
      </c>
    </row>
    <row r="439">
      <c r="M439" s="15" t="str">
        <f>IF(H439="","",IF(OR(J439="Vastgesteld",AND(J439="Fictieve aanname",P_Demo="Ja")),1,0))</f>
        <v/>
      </c>
      <c r="N439" s="15" t="str">
        <f>IF(H439="","",IF(OR(J439="Vastgesteld",J439="Concept",AND(J439="Fictieve aanname",P_Demo="Ja")),1,0))</f>
        <v/>
      </c>
      <c r="O439" s="15" t="str">
        <f>IF(H439="","",IF(COUNTIFS($A$6:$A$505,A439,$B$6:$B$505,B439,$C$6:$C$505,C439,$F$6:$F$505,F439,$G$6:$G$505,G439,$D$6:$D$505,"&lt;&gt;"&amp;D439,$H$6:$H$505,"&lt;&gt;")&gt;0,1,0))</f>
        <v/>
      </c>
    </row>
    <row r="440">
      <c r="M440" s="15" t="str">
        <f>IF(H440="","",IF(OR(J440="Vastgesteld",AND(J440="Fictieve aanname",P_Demo="Ja")),1,0))</f>
        <v/>
      </c>
      <c r="N440" s="15" t="str">
        <f>IF(H440="","",IF(OR(J440="Vastgesteld",J440="Concept",AND(J440="Fictieve aanname",P_Demo="Ja")),1,0))</f>
        <v/>
      </c>
      <c r="O440" s="15" t="str">
        <f>IF(H440="","",IF(COUNTIFS($A$6:$A$505,A440,$B$6:$B$505,B440,$C$6:$C$505,C440,$F$6:$F$505,F440,$G$6:$G$505,G440,$D$6:$D$505,"&lt;&gt;"&amp;D440,$H$6:$H$505,"&lt;&gt;")&gt;0,1,0))</f>
        <v/>
      </c>
    </row>
    <row r="441">
      <c r="M441" s="15" t="str">
        <f>IF(H441="","",IF(OR(J441="Vastgesteld",AND(J441="Fictieve aanname",P_Demo="Ja")),1,0))</f>
        <v/>
      </c>
      <c r="N441" s="15" t="str">
        <f>IF(H441="","",IF(OR(J441="Vastgesteld",J441="Concept",AND(J441="Fictieve aanname",P_Demo="Ja")),1,0))</f>
        <v/>
      </c>
      <c r="O441" s="15" t="str">
        <f>IF(H441="","",IF(COUNTIFS($A$6:$A$505,A441,$B$6:$B$505,B441,$C$6:$C$505,C441,$F$6:$F$505,F441,$G$6:$G$505,G441,$D$6:$D$505,"&lt;&gt;"&amp;D441,$H$6:$H$505,"&lt;&gt;")&gt;0,1,0))</f>
        <v/>
      </c>
    </row>
    <row r="442">
      <c r="M442" s="15" t="str">
        <f>IF(H442="","",IF(OR(J442="Vastgesteld",AND(J442="Fictieve aanname",P_Demo="Ja")),1,0))</f>
        <v/>
      </c>
      <c r="N442" s="15" t="str">
        <f>IF(H442="","",IF(OR(J442="Vastgesteld",J442="Concept",AND(J442="Fictieve aanname",P_Demo="Ja")),1,0))</f>
        <v/>
      </c>
      <c r="O442" s="15" t="str">
        <f>IF(H442="","",IF(COUNTIFS($A$6:$A$505,A442,$B$6:$B$505,B442,$C$6:$C$505,C442,$F$6:$F$505,F442,$G$6:$G$505,G442,$D$6:$D$505,"&lt;&gt;"&amp;D442,$H$6:$H$505,"&lt;&gt;")&gt;0,1,0))</f>
        <v/>
      </c>
    </row>
    <row r="443">
      <c r="M443" s="15" t="str">
        <f>IF(H443="","",IF(OR(J443="Vastgesteld",AND(J443="Fictieve aanname",P_Demo="Ja")),1,0))</f>
        <v/>
      </c>
      <c r="N443" s="15" t="str">
        <f>IF(H443="","",IF(OR(J443="Vastgesteld",J443="Concept",AND(J443="Fictieve aanname",P_Demo="Ja")),1,0))</f>
        <v/>
      </c>
      <c r="O443" s="15" t="str">
        <f>IF(H443="","",IF(COUNTIFS($A$6:$A$505,A443,$B$6:$B$505,B443,$C$6:$C$505,C443,$F$6:$F$505,F443,$G$6:$G$505,G443,$D$6:$D$505,"&lt;&gt;"&amp;D443,$H$6:$H$505,"&lt;&gt;")&gt;0,1,0))</f>
        <v/>
      </c>
    </row>
    <row r="444">
      <c r="M444" s="15" t="str">
        <f>IF(H444="","",IF(OR(J444="Vastgesteld",AND(J444="Fictieve aanname",P_Demo="Ja")),1,0))</f>
        <v/>
      </c>
      <c r="N444" s="15" t="str">
        <f>IF(H444="","",IF(OR(J444="Vastgesteld",J444="Concept",AND(J444="Fictieve aanname",P_Demo="Ja")),1,0))</f>
        <v/>
      </c>
      <c r="O444" s="15" t="str">
        <f>IF(H444="","",IF(COUNTIFS($A$6:$A$505,A444,$B$6:$B$505,B444,$C$6:$C$505,C444,$F$6:$F$505,F444,$G$6:$G$505,G444,$D$6:$D$505,"&lt;&gt;"&amp;D444,$H$6:$H$505,"&lt;&gt;")&gt;0,1,0))</f>
        <v/>
      </c>
    </row>
    <row r="445">
      <c r="M445" s="15" t="str">
        <f>IF(H445="","",IF(OR(J445="Vastgesteld",AND(J445="Fictieve aanname",P_Demo="Ja")),1,0))</f>
        <v/>
      </c>
      <c r="N445" s="15" t="str">
        <f>IF(H445="","",IF(OR(J445="Vastgesteld",J445="Concept",AND(J445="Fictieve aanname",P_Demo="Ja")),1,0))</f>
        <v/>
      </c>
      <c r="O445" s="15" t="str">
        <f>IF(H445="","",IF(COUNTIFS($A$6:$A$505,A445,$B$6:$B$505,B445,$C$6:$C$505,C445,$F$6:$F$505,F445,$G$6:$G$505,G445,$D$6:$D$505,"&lt;&gt;"&amp;D445,$H$6:$H$505,"&lt;&gt;")&gt;0,1,0))</f>
        <v/>
      </c>
    </row>
    <row r="446">
      <c r="M446" s="15" t="str">
        <f>IF(H446="","",IF(OR(J446="Vastgesteld",AND(J446="Fictieve aanname",P_Demo="Ja")),1,0))</f>
        <v/>
      </c>
      <c r="N446" s="15" t="str">
        <f>IF(H446="","",IF(OR(J446="Vastgesteld",J446="Concept",AND(J446="Fictieve aanname",P_Demo="Ja")),1,0))</f>
        <v/>
      </c>
      <c r="O446" s="15" t="str">
        <f>IF(H446="","",IF(COUNTIFS($A$6:$A$505,A446,$B$6:$B$505,B446,$C$6:$C$505,C446,$F$6:$F$505,F446,$G$6:$G$505,G446,$D$6:$D$505,"&lt;&gt;"&amp;D446,$H$6:$H$505,"&lt;&gt;")&gt;0,1,0))</f>
        <v/>
      </c>
    </row>
    <row r="447">
      <c r="M447" s="15" t="str">
        <f>IF(H447="","",IF(OR(J447="Vastgesteld",AND(J447="Fictieve aanname",P_Demo="Ja")),1,0))</f>
        <v/>
      </c>
      <c r="N447" s="15" t="str">
        <f>IF(H447="","",IF(OR(J447="Vastgesteld",J447="Concept",AND(J447="Fictieve aanname",P_Demo="Ja")),1,0))</f>
        <v/>
      </c>
      <c r="O447" s="15" t="str">
        <f>IF(H447="","",IF(COUNTIFS($A$6:$A$505,A447,$B$6:$B$505,B447,$C$6:$C$505,C447,$F$6:$F$505,F447,$G$6:$G$505,G447,$D$6:$D$505,"&lt;&gt;"&amp;D447,$H$6:$H$505,"&lt;&gt;")&gt;0,1,0))</f>
        <v/>
      </c>
    </row>
    <row r="448">
      <c r="M448" s="15" t="str">
        <f>IF(H448="","",IF(OR(J448="Vastgesteld",AND(J448="Fictieve aanname",P_Demo="Ja")),1,0))</f>
        <v/>
      </c>
      <c r="N448" s="15" t="str">
        <f>IF(H448="","",IF(OR(J448="Vastgesteld",J448="Concept",AND(J448="Fictieve aanname",P_Demo="Ja")),1,0))</f>
        <v/>
      </c>
      <c r="O448" s="15" t="str">
        <f>IF(H448="","",IF(COUNTIFS($A$6:$A$505,A448,$B$6:$B$505,B448,$C$6:$C$505,C448,$F$6:$F$505,F448,$G$6:$G$505,G448,$D$6:$D$505,"&lt;&gt;"&amp;D448,$H$6:$H$505,"&lt;&gt;")&gt;0,1,0))</f>
        <v/>
      </c>
    </row>
    <row r="449">
      <c r="M449" s="15" t="str">
        <f>IF(H449="","",IF(OR(J449="Vastgesteld",AND(J449="Fictieve aanname",P_Demo="Ja")),1,0))</f>
        <v/>
      </c>
      <c r="N449" s="15" t="str">
        <f>IF(H449="","",IF(OR(J449="Vastgesteld",J449="Concept",AND(J449="Fictieve aanname",P_Demo="Ja")),1,0))</f>
        <v/>
      </c>
      <c r="O449" s="15" t="str">
        <f>IF(H449="","",IF(COUNTIFS($A$6:$A$505,A449,$B$6:$B$505,B449,$C$6:$C$505,C449,$F$6:$F$505,F449,$G$6:$G$505,G449,$D$6:$D$505,"&lt;&gt;"&amp;D449,$H$6:$H$505,"&lt;&gt;")&gt;0,1,0))</f>
        <v/>
      </c>
    </row>
    <row r="450">
      <c r="M450" s="15" t="str">
        <f>IF(H450="","",IF(OR(J450="Vastgesteld",AND(J450="Fictieve aanname",P_Demo="Ja")),1,0))</f>
        <v/>
      </c>
      <c r="N450" s="15" t="str">
        <f>IF(H450="","",IF(OR(J450="Vastgesteld",J450="Concept",AND(J450="Fictieve aanname",P_Demo="Ja")),1,0))</f>
        <v/>
      </c>
      <c r="O450" s="15" t="str">
        <f>IF(H450="","",IF(COUNTIFS($A$6:$A$505,A450,$B$6:$B$505,B450,$C$6:$C$505,C450,$F$6:$F$505,F450,$G$6:$G$505,G450,$D$6:$D$505,"&lt;&gt;"&amp;D450,$H$6:$H$505,"&lt;&gt;")&gt;0,1,0))</f>
        <v/>
      </c>
    </row>
    <row r="451">
      <c r="M451" s="15" t="str">
        <f>IF(H451="","",IF(OR(J451="Vastgesteld",AND(J451="Fictieve aanname",P_Demo="Ja")),1,0))</f>
        <v/>
      </c>
      <c r="N451" s="15" t="str">
        <f>IF(H451="","",IF(OR(J451="Vastgesteld",J451="Concept",AND(J451="Fictieve aanname",P_Demo="Ja")),1,0))</f>
        <v/>
      </c>
      <c r="O451" s="15" t="str">
        <f>IF(H451="","",IF(COUNTIFS($A$6:$A$505,A451,$B$6:$B$505,B451,$C$6:$C$505,C451,$F$6:$F$505,F451,$G$6:$G$505,G451,$D$6:$D$505,"&lt;&gt;"&amp;D451,$H$6:$H$505,"&lt;&gt;")&gt;0,1,0))</f>
        <v/>
      </c>
    </row>
    <row r="452">
      <c r="M452" s="15" t="str">
        <f>IF(H452="","",IF(OR(J452="Vastgesteld",AND(J452="Fictieve aanname",P_Demo="Ja")),1,0))</f>
        <v/>
      </c>
      <c r="N452" s="15" t="str">
        <f>IF(H452="","",IF(OR(J452="Vastgesteld",J452="Concept",AND(J452="Fictieve aanname",P_Demo="Ja")),1,0))</f>
        <v/>
      </c>
      <c r="O452" s="15" t="str">
        <f>IF(H452="","",IF(COUNTIFS($A$6:$A$505,A452,$B$6:$B$505,B452,$C$6:$C$505,C452,$F$6:$F$505,F452,$G$6:$G$505,G452,$D$6:$D$505,"&lt;&gt;"&amp;D452,$H$6:$H$505,"&lt;&gt;")&gt;0,1,0))</f>
        <v/>
      </c>
    </row>
    <row r="453">
      <c r="M453" s="15" t="str">
        <f>IF(H453="","",IF(OR(J453="Vastgesteld",AND(J453="Fictieve aanname",P_Demo="Ja")),1,0))</f>
        <v/>
      </c>
      <c r="N453" s="15" t="str">
        <f>IF(H453="","",IF(OR(J453="Vastgesteld",J453="Concept",AND(J453="Fictieve aanname",P_Demo="Ja")),1,0))</f>
        <v/>
      </c>
      <c r="O453" s="15" t="str">
        <f>IF(H453="","",IF(COUNTIFS($A$6:$A$505,A453,$B$6:$B$505,B453,$C$6:$C$505,C453,$F$6:$F$505,F453,$G$6:$G$505,G453,$D$6:$D$505,"&lt;&gt;"&amp;D453,$H$6:$H$505,"&lt;&gt;")&gt;0,1,0))</f>
        <v/>
      </c>
    </row>
    <row r="454">
      <c r="M454" s="15" t="str">
        <f>IF(H454="","",IF(OR(J454="Vastgesteld",AND(J454="Fictieve aanname",P_Demo="Ja")),1,0))</f>
        <v/>
      </c>
      <c r="N454" s="15" t="str">
        <f>IF(H454="","",IF(OR(J454="Vastgesteld",J454="Concept",AND(J454="Fictieve aanname",P_Demo="Ja")),1,0))</f>
        <v/>
      </c>
      <c r="O454" s="15" t="str">
        <f>IF(H454="","",IF(COUNTIFS($A$6:$A$505,A454,$B$6:$B$505,B454,$C$6:$C$505,C454,$F$6:$F$505,F454,$G$6:$G$505,G454,$D$6:$D$505,"&lt;&gt;"&amp;D454,$H$6:$H$505,"&lt;&gt;")&gt;0,1,0))</f>
        <v/>
      </c>
    </row>
    <row r="455">
      <c r="M455" s="15" t="str">
        <f>IF(H455="","",IF(OR(J455="Vastgesteld",AND(J455="Fictieve aanname",P_Demo="Ja")),1,0))</f>
        <v/>
      </c>
      <c r="N455" s="15" t="str">
        <f>IF(H455="","",IF(OR(J455="Vastgesteld",J455="Concept",AND(J455="Fictieve aanname",P_Demo="Ja")),1,0))</f>
        <v/>
      </c>
      <c r="O455" s="15" t="str">
        <f>IF(H455="","",IF(COUNTIFS($A$6:$A$505,A455,$B$6:$B$505,B455,$C$6:$C$505,C455,$F$6:$F$505,F455,$G$6:$G$505,G455,$D$6:$D$505,"&lt;&gt;"&amp;D455,$H$6:$H$505,"&lt;&gt;")&gt;0,1,0))</f>
        <v/>
      </c>
    </row>
    <row r="456">
      <c r="M456" s="15" t="str">
        <f>IF(H456="","",IF(OR(J456="Vastgesteld",AND(J456="Fictieve aanname",P_Demo="Ja")),1,0))</f>
        <v/>
      </c>
      <c r="N456" s="15" t="str">
        <f>IF(H456="","",IF(OR(J456="Vastgesteld",J456="Concept",AND(J456="Fictieve aanname",P_Demo="Ja")),1,0))</f>
        <v/>
      </c>
      <c r="O456" s="15" t="str">
        <f>IF(H456="","",IF(COUNTIFS($A$6:$A$505,A456,$B$6:$B$505,B456,$C$6:$C$505,C456,$F$6:$F$505,F456,$G$6:$G$505,G456,$D$6:$D$505,"&lt;&gt;"&amp;D456,$H$6:$H$505,"&lt;&gt;")&gt;0,1,0))</f>
        <v/>
      </c>
    </row>
    <row r="457">
      <c r="M457" s="15" t="str">
        <f>IF(H457="","",IF(OR(J457="Vastgesteld",AND(J457="Fictieve aanname",P_Demo="Ja")),1,0))</f>
        <v/>
      </c>
      <c r="N457" s="15" t="str">
        <f>IF(H457="","",IF(OR(J457="Vastgesteld",J457="Concept",AND(J457="Fictieve aanname",P_Demo="Ja")),1,0))</f>
        <v/>
      </c>
      <c r="O457" s="15" t="str">
        <f>IF(H457="","",IF(COUNTIFS($A$6:$A$505,A457,$B$6:$B$505,B457,$C$6:$C$505,C457,$F$6:$F$505,F457,$G$6:$G$505,G457,$D$6:$D$505,"&lt;&gt;"&amp;D457,$H$6:$H$505,"&lt;&gt;")&gt;0,1,0))</f>
        <v/>
      </c>
    </row>
    <row r="458">
      <c r="M458" s="15" t="str">
        <f>IF(H458="","",IF(OR(J458="Vastgesteld",AND(J458="Fictieve aanname",P_Demo="Ja")),1,0))</f>
        <v/>
      </c>
      <c r="N458" s="15" t="str">
        <f>IF(H458="","",IF(OR(J458="Vastgesteld",J458="Concept",AND(J458="Fictieve aanname",P_Demo="Ja")),1,0))</f>
        <v/>
      </c>
      <c r="O458" s="15" t="str">
        <f>IF(H458="","",IF(COUNTIFS($A$6:$A$505,A458,$B$6:$B$505,B458,$C$6:$C$505,C458,$F$6:$F$505,F458,$G$6:$G$505,G458,$D$6:$D$505,"&lt;&gt;"&amp;D458,$H$6:$H$505,"&lt;&gt;")&gt;0,1,0))</f>
        <v/>
      </c>
    </row>
    <row r="459">
      <c r="M459" s="15" t="str">
        <f>IF(H459="","",IF(OR(J459="Vastgesteld",AND(J459="Fictieve aanname",P_Demo="Ja")),1,0))</f>
        <v/>
      </c>
      <c r="N459" s="15" t="str">
        <f>IF(H459="","",IF(OR(J459="Vastgesteld",J459="Concept",AND(J459="Fictieve aanname",P_Demo="Ja")),1,0))</f>
        <v/>
      </c>
      <c r="O459" s="15" t="str">
        <f>IF(H459="","",IF(COUNTIFS($A$6:$A$505,A459,$B$6:$B$505,B459,$C$6:$C$505,C459,$F$6:$F$505,F459,$G$6:$G$505,G459,$D$6:$D$505,"&lt;&gt;"&amp;D459,$H$6:$H$505,"&lt;&gt;")&gt;0,1,0))</f>
        <v/>
      </c>
    </row>
    <row r="460">
      <c r="M460" s="15" t="str">
        <f>IF(H460="","",IF(OR(J460="Vastgesteld",AND(J460="Fictieve aanname",P_Demo="Ja")),1,0))</f>
        <v/>
      </c>
      <c r="N460" s="15" t="str">
        <f>IF(H460="","",IF(OR(J460="Vastgesteld",J460="Concept",AND(J460="Fictieve aanname",P_Demo="Ja")),1,0))</f>
        <v/>
      </c>
      <c r="O460" s="15" t="str">
        <f>IF(H460="","",IF(COUNTIFS($A$6:$A$505,A460,$B$6:$B$505,B460,$C$6:$C$505,C460,$F$6:$F$505,F460,$G$6:$G$505,G460,$D$6:$D$505,"&lt;&gt;"&amp;D460,$H$6:$H$505,"&lt;&gt;")&gt;0,1,0))</f>
        <v/>
      </c>
    </row>
    <row r="461">
      <c r="M461" s="15" t="str">
        <f>IF(H461="","",IF(OR(J461="Vastgesteld",AND(J461="Fictieve aanname",P_Demo="Ja")),1,0))</f>
        <v/>
      </c>
      <c r="N461" s="15" t="str">
        <f>IF(H461="","",IF(OR(J461="Vastgesteld",J461="Concept",AND(J461="Fictieve aanname",P_Demo="Ja")),1,0))</f>
        <v/>
      </c>
      <c r="O461" s="15" t="str">
        <f>IF(H461="","",IF(COUNTIFS($A$6:$A$505,A461,$B$6:$B$505,B461,$C$6:$C$505,C461,$F$6:$F$505,F461,$G$6:$G$505,G461,$D$6:$D$505,"&lt;&gt;"&amp;D461,$H$6:$H$505,"&lt;&gt;")&gt;0,1,0))</f>
        <v/>
      </c>
    </row>
    <row r="462">
      <c r="M462" s="15" t="str">
        <f>IF(H462="","",IF(OR(J462="Vastgesteld",AND(J462="Fictieve aanname",P_Demo="Ja")),1,0))</f>
        <v/>
      </c>
      <c r="N462" s="15" t="str">
        <f>IF(H462="","",IF(OR(J462="Vastgesteld",J462="Concept",AND(J462="Fictieve aanname",P_Demo="Ja")),1,0))</f>
        <v/>
      </c>
      <c r="O462" s="15" t="str">
        <f>IF(H462="","",IF(COUNTIFS($A$6:$A$505,A462,$B$6:$B$505,B462,$C$6:$C$505,C462,$F$6:$F$505,F462,$G$6:$G$505,G462,$D$6:$D$505,"&lt;&gt;"&amp;D462,$H$6:$H$505,"&lt;&gt;")&gt;0,1,0))</f>
        <v/>
      </c>
    </row>
    <row r="463">
      <c r="M463" s="15" t="str">
        <f>IF(H463="","",IF(OR(J463="Vastgesteld",AND(J463="Fictieve aanname",P_Demo="Ja")),1,0))</f>
        <v/>
      </c>
      <c r="N463" s="15" t="str">
        <f>IF(H463="","",IF(OR(J463="Vastgesteld",J463="Concept",AND(J463="Fictieve aanname",P_Demo="Ja")),1,0))</f>
        <v/>
      </c>
      <c r="O463" s="15" t="str">
        <f>IF(H463="","",IF(COUNTIFS($A$6:$A$505,A463,$B$6:$B$505,B463,$C$6:$C$505,C463,$F$6:$F$505,F463,$G$6:$G$505,G463,$D$6:$D$505,"&lt;&gt;"&amp;D463,$H$6:$H$505,"&lt;&gt;")&gt;0,1,0))</f>
        <v/>
      </c>
    </row>
    <row r="464">
      <c r="M464" s="15" t="str">
        <f>IF(H464="","",IF(OR(J464="Vastgesteld",AND(J464="Fictieve aanname",P_Demo="Ja")),1,0))</f>
        <v/>
      </c>
      <c r="N464" s="15" t="str">
        <f>IF(H464="","",IF(OR(J464="Vastgesteld",J464="Concept",AND(J464="Fictieve aanname",P_Demo="Ja")),1,0))</f>
        <v/>
      </c>
      <c r="O464" s="15" t="str">
        <f>IF(H464="","",IF(COUNTIFS($A$6:$A$505,A464,$B$6:$B$505,B464,$C$6:$C$505,C464,$F$6:$F$505,F464,$G$6:$G$505,G464,$D$6:$D$505,"&lt;&gt;"&amp;D464,$H$6:$H$505,"&lt;&gt;")&gt;0,1,0))</f>
        <v/>
      </c>
    </row>
    <row r="465">
      <c r="M465" s="15" t="str">
        <f>IF(H465="","",IF(OR(J465="Vastgesteld",AND(J465="Fictieve aanname",P_Demo="Ja")),1,0))</f>
        <v/>
      </c>
      <c r="N465" s="15" t="str">
        <f>IF(H465="","",IF(OR(J465="Vastgesteld",J465="Concept",AND(J465="Fictieve aanname",P_Demo="Ja")),1,0))</f>
        <v/>
      </c>
      <c r="O465" s="15" t="str">
        <f>IF(H465="","",IF(COUNTIFS($A$6:$A$505,A465,$B$6:$B$505,B465,$C$6:$C$505,C465,$F$6:$F$505,F465,$G$6:$G$505,G465,$D$6:$D$505,"&lt;&gt;"&amp;D465,$H$6:$H$505,"&lt;&gt;")&gt;0,1,0))</f>
        <v/>
      </c>
    </row>
    <row r="466">
      <c r="M466" s="15" t="str">
        <f>IF(H466="","",IF(OR(J466="Vastgesteld",AND(J466="Fictieve aanname",P_Demo="Ja")),1,0))</f>
        <v/>
      </c>
      <c r="N466" s="15" t="str">
        <f>IF(H466="","",IF(OR(J466="Vastgesteld",J466="Concept",AND(J466="Fictieve aanname",P_Demo="Ja")),1,0))</f>
        <v/>
      </c>
      <c r="O466" s="15" t="str">
        <f>IF(H466="","",IF(COUNTIFS($A$6:$A$505,A466,$B$6:$B$505,B466,$C$6:$C$505,C466,$F$6:$F$505,F466,$G$6:$G$505,G466,$D$6:$D$505,"&lt;&gt;"&amp;D466,$H$6:$H$505,"&lt;&gt;")&gt;0,1,0))</f>
        <v/>
      </c>
    </row>
    <row r="467">
      <c r="M467" s="15" t="str">
        <f>IF(H467="","",IF(OR(J467="Vastgesteld",AND(J467="Fictieve aanname",P_Demo="Ja")),1,0))</f>
        <v/>
      </c>
      <c r="N467" s="15" t="str">
        <f>IF(H467="","",IF(OR(J467="Vastgesteld",J467="Concept",AND(J467="Fictieve aanname",P_Demo="Ja")),1,0))</f>
        <v/>
      </c>
      <c r="O467" s="15" t="str">
        <f>IF(H467="","",IF(COUNTIFS($A$6:$A$505,A467,$B$6:$B$505,B467,$C$6:$C$505,C467,$F$6:$F$505,F467,$G$6:$G$505,G467,$D$6:$D$505,"&lt;&gt;"&amp;D467,$H$6:$H$505,"&lt;&gt;")&gt;0,1,0))</f>
        <v/>
      </c>
    </row>
    <row r="468">
      <c r="M468" s="15" t="str">
        <f>IF(H468="","",IF(OR(J468="Vastgesteld",AND(J468="Fictieve aanname",P_Demo="Ja")),1,0))</f>
        <v/>
      </c>
      <c r="N468" s="15" t="str">
        <f>IF(H468="","",IF(OR(J468="Vastgesteld",J468="Concept",AND(J468="Fictieve aanname",P_Demo="Ja")),1,0))</f>
        <v/>
      </c>
      <c r="O468" s="15" t="str">
        <f>IF(H468="","",IF(COUNTIFS($A$6:$A$505,A468,$B$6:$B$505,B468,$C$6:$C$505,C468,$F$6:$F$505,F468,$G$6:$G$505,G468,$D$6:$D$505,"&lt;&gt;"&amp;D468,$H$6:$H$505,"&lt;&gt;")&gt;0,1,0))</f>
        <v/>
      </c>
    </row>
    <row r="469">
      <c r="M469" s="15" t="str">
        <f>IF(H469="","",IF(OR(J469="Vastgesteld",AND(J469="Fictieve aanname",P_Demo="Ja")),1,0))</f>
        <v/>
      </c>
      <c r="N469" s="15" t="str">
        <f>IF(H469="","",IF(OR(J469="Vastgesteld",J469="Concept",AND(J469="Fictieve aanname",P_Demo="Ja")),1,0))</f>
        <v/>
      </c>
      <c r="O469" s="15" t="str">
        <f>IF(H469="","",IF(COUNTIFS($A$6:$A$505,A469,$B$6:$B$505,B469,$C$6:$C$505,C469,$F$6:$F$505,F469,$G$6:$G$505,G469,$D$6:$D$505,"&lt;&gt;"&amp;D469,$H$6:$H$505,"&lt;&gt;")&gt;0,1,0))</f>
        <v/>
      </c>
    </row>
    <row r="470">
      <c r="M470" s="15" t="str">
        <f>IF(H470="","",IF(OR(J470="Vastgesteld",AND(J470="Fictieve aanname",P_Demo="Ja")),1,0))</f>
        <v/>
      </c>
      <c r="N470" s="15" t="str">
        <f>IF(H470="","",IF(OR(J470="Vastgesteld",J470="Concept",AND(J470="Fictieve aanname",P_Demo="Ja")),1,0))</f>
        <v/>
      </c>
      <c r="O470" s="15" t="str">
        <f>IF(H470="","",IF(COUNTIFS($A$6:$A$505,A470,$B$6:$B$505,B470,$C$6:$C$505,C470,$F$6:$F$505,F470,$G$6:$G$505,G470,$D$6:$D$505,"&lt;&gt;"&amp;D470,$H$6:$H$505,"&lt;&gt;")&gt;0,1,0))</f>
        <v/>
      </c>
    </row>
    <row r="471">
      <c r="M471" s="15" t="str">
        <f>IF(H471="","",IF(OR(J471="Vastgesteld",AND(J471="Fictieve aanname",P_Demo="Ja")),1,0))</f>
        <v/>
      </c>
      <c r="N471" s="15" t="str">
        <f>IF(H471="","",IF(OR(J471="Vastgesteld",J471="Concept",AND(J471="Fictieve aanname",P_Demo="Ja")),1,0))</f>
        <v/>
      </c>
      <c r="O471" s="15" t="str">
        <f>IF(H471="","",IF(COUNTIFS($A$6:$A$505,A471,$B$6:$B$505,B471,$C$6:$C$505,C471,$F$6:$F$505,F471,$G$6:$G$505,G471,$D$6:$D$505,"&lt;&gt;"&amp;D471,$H$6:$H$505,"&lt;&gt;")&gt;0,1,0))</f>
        <v/>
      </c>
    </row>
    <row r="472">
      <c r="M472" s="15" t="str">
        <f>IF(H472="","",IF(OR(J472="Vastgesteld",AND(J472="Fictieve aanname",P_Demo="Ja")),1,0))</f>
        <v/>
      </c>
      <c r="N472" s="15" t="str">
        <f>IF(H472="","",IF(OR(J472="Vastgesteld",J472="Concept",AND(J472="Fictieve aanname",P_Demo="Ja")),1,0))</f>
        <v/>
      </c>
      <c r="O472" s="15" t="str">
        <f>IF(H472="","",IF(COUNTIFS($A$6:$A$505,A472,$B$6:$B$505,B472,$C$6:$C$505,C472,$F$6:$F$505,F472,$G$6:$G$505,G472,$D$6:$D$505,"&lt;&gt;"&amp;D472,$H$6:$H$505,"&lt;&gt;")&gt;0,1,0))</f>
        <v/>
      </c>
    </row>
    <row r="473">
      <c r="M473" s="15" t="str">
        <f>IF(H473="","",IF(OR(J473="Vastgesteld",AND(J473="Fictieve aanname",P_Demo="Ja")),1,0))</f>
        <v/>
      </c>
      <c r="N473" s="15" t="str">
        <f>IF(H473="","",IF(OR(J473="Vastgesteld",J473="Concept",AND(J473="Fictieve aanname",P_Demo="Ja")),1,0))</f>
        <v/>
      </c>
      <c r="O473" s="15" t="str">
        <f>IF(H473="","",IF(COUNTIFS($A$6:$A$505,A473,$B$6:$B$505,B473,$C$6:$C$505,C473,$F$6:$F$505,F473,$G$6:$G$505,G473,$D$6:$D$505,"&lt;&gt;"&amp;D473,$H$6:$H$505,"&lt;&gt;")&gt;0,1,0))</f>
        <v/>
      </c>
    </row>
    <row r="474">
      <c r="M474" s="15" t="str">
        <f>IF(H474="","",IF(OR(J474="Vastgesteld",AND(J474="Fictieve aanname",P_Demo="Ja")),1,0))</f>
        <v/>
      </c>
      <c r="N474" s="15" t="str">
        <f>IF(H474="","",IF(OR(J474="Vastgesteld",J474="Concept",AND(J474="Fictieve aanname",P_Demo="Ja")),1,0))</f>
        <v/>
      </c>
      <c r="O474" s="15" t="str">
        <f>IF(H474="","",IF(COUNTIFS($A$6:$A$505,A474,$B$6:$B$505,B474,$C$6:$C$505,C474,$F$6:$F$505,F474,$G$6:$G$505,G474,$D$6:$D$505,"&lt;&gt;"&amp;D474,$H$6:$H$505,"&lt;&gt;")&gt;0,1,0))</f>
        <v/>
      </c>
    </row>
    <row r="475">
      <c r="M475" s="15" t="str">
        <f>IF(H475="","",IF(OR(J475="Vastgesteld",AND(J475="Fictieve aanname",P_Demo="Ja")),1,0))</f>
        <v/>
      </c>
      <c r="N475" s="15" t="str">
        <f>IF(H475="","",IF(OR(J475="Vastgesteld",J475="Concept",AND(J475="Fictieve aanname",P_Demo="Ja")),1,0))</f>
        <v/>
      </c>
      <c r="O475" s="15" t="str">
        <f>IF(H475="","",IF(COUNTIFS($A$6:$A$505,A475,$B$6:$B$505,B475,$C$6:$C$505,C475,$F$6:$F$505,F475,$G$6:$G$505,G475,$D$6:$D$505,"&lt;&gt;"&amp;D475,$H$6:$H$505,"&lt;&gt;")&gt;0,1,0))</f>
        <v/>
      </c>
    </row>
    <row r="476">
      <c r="M476" s="15" t="str">
        <f>IF(H476="","",IF(OR(J476="Vastgesteld",AND(J476="Fictieve aanname",P_Demo="Ja")),1,0))</f>
        <v/>
      </c>
      <c r="N476" s="15" t="str">
        <f>IF(H476="","",IF(OR(J476="Vastgesteld",J476="Concept",AND(J476="Fictieve aanname",P_Demo="Ja")),1,0))</f>
        <v/>
      </c>
      <c r="O476" s="15" t="str">
        <f>IF(H476="","",IF(COUNTIFS($A$6:$A$505,A476,$B$6:$B$505,B476,$C$6:$C$505,C476,$F$6:$F$505,F476,$G$6:$G$505,G476,$D$6:$D$505,"&lt;&gt;"&amp;D476,$H$6:$H$505,"&lt;&gt;")&gt;0,1,0))</f>
        <v/>
      </c>
    </row>
    <row r="477">
      <c r="M477" s="15" t="str">
        <f>IF(H477="","",IF(OR(J477="Vastgesteld",AND(J477="Fictieve aanname",P_Demo="Ja")),1,0))</f>
        <v/>
      </c>
      <c r="N477" s="15" t="str">
        <f>IF(H477="","",IF(OR(J477="Vastgesteld",J477="Concept",AND(J477="Fictieve aanname",P_Demo="Ja")),1,0))</f>
        <v/>
      </c>
      <c r="O477" s="15" t="str">
        <f>IF(H477="","",IF(COUNTIFS($A$6:$A$505,A477,$B$6:$B$505,B477,$C$6:$C$505,C477,$F$6:$F$505,F477,$G$6:$G$505,G477,$D$6:$D$505,"&lt;&gt;"&amp;D477,$H$6:$H$505,"&lt;&gt;")&gt;0,1,0))</f>
        <v/>
      </c>
    </row>
    <row r="478">
      <c r="M478" s="15" t="str">
        <f>IF(H478="","",IF(OR(J478="Vastgesteld",AND(J478="Fictieve aanname",P_Demo="Ja")),1,0))</f>
        <v/>
      </c>
      <c r="N478" s="15" t="str">
        <f>IF(H478="","",IF(OR(J478="Vastgesteld",J478="Concept",AND(J478="Fictieve aanname",P_Demo="Ja")),1,0))</f>
        <v/>
      </c>
      <c r="O478" s="15" t="str">
        <f>IF(H478="","",IF(COUNTIFS($A$6:$A$505,A478,$B$6:$B$505,B478,$C$6:$C$505,C478,$F$6:$F$505,F478,$G$6:$G$505,G478,$D$6:$D$505,"&lt;&gt;"&amp;D478,$H$6:$H$505,"&lt;&gt;")&gt;0,1,0))</f>
        <v/>
      </c>
    </row>
    <row r="479">
      <c r="M479" s="15" t="str">
        <f>IF(H479="","",IF(OR(J479="Vastgesteld",AND(J479="Fictieve aanname",P_Demo="Ja")),1,0))</f>
        <v/>
      </c>
      <c r="N479" s="15" t="str">
        <f>IF(H479="","",IF(OR(J479="Vastgesteld",J479="Concept",AND(J479="Fictieve aanname",P_Demo="Ja")),1,0))</f>
        <v/>
      </c>
      <c r="O479" s="15" t="str">
        <f>IF(H479="","",IF(COUNTIFS($A$6:$A$505,A479,$B$6:$B$505,B479,$C$6:$C$505,C479,$F$6:$F$505,F479,$G$6:$G$505,G479,$D$6:$D$505,"&lt;&gt;"&amp;D479,$H$6:$H$505,"&lt;&gt;")&gt;0,1,0))</f>
        <v/>
      </c>
    </row>
    <row r="480">
      <c r="M480" s="15" t="str">
        <f>IF(H480="","",IF(OR(J480="Vastgesteld",AND(J480="Fictieve aanname",P_Demo="Ja")),1,0))</f>
        <v/>
      </c>
      <c r="N480" s="15" t="str">
        <f>IF(H480="","",IF(OR(J480="Vastgesteld",J480="Concept",AND(J480="Fictieve aanname",P_Demo="Ja")),1,0))</f>
        <v/>
      </c>
      <c r="O480" s="15" t="str">
        <f>IF(H480="","",IF(COUNTIFS($A$6:$A$505,A480,$B$6:$B$505,B480,$C$6:$C$505,C480,$F$6:$F$505,F480,$G$6:$G$505,G480,$D$6:$D$505,"&lt;&gt;"&amp;D480,$H$6:$H$505,"&lt;&gt;")&gt;0,1,0))</f>
        <v/>
      </c>
    </row>
    <row r="481">
      <c r="M481" s="15" t="str">
        <f>IF(H481="","",IF(OR(J481="Vastgesteld",AND(J481="Fictieve aanname",P_Demo="Ja")),1,0))</f>
        <v/>
      </c>
      <c r="N481" s="15" t="str">
        <f>IF(H481="","",IF(OR(J481="Vastgesteld",J481="Concept",AND(J481="Fictieve aanname",P_Demo="Ja")),1,0))</f>
        <v/>
      </c>
      <c r="O481" s="15" t="str">
        <f>IF(H481="","",IF(COUNTIFS($A$6:$A$505,A481,$B$6:$B$505,B481,$C$6:$C$505,C481,$F$6:$F$505,F481,$G$6:$G$505,G481,$D$6:$D$505,"&lt;&gt;"&amp;D481,$H$6:$H$505,"&lt;&gt;")&gt;0,1,0))</f>
        <v/>
      </c>
    </row>
    <row r="482">
      <c r="M482" s="15" t="str">
        <f>IF(H482="","",IF(OR(J482="Vastgesteld",AND(J482="Fictieve aanname",P_Demo="Ja")),1,0))</f>
        <v/>
      </c>
      <c r="N482" s="15" t="str">
        <f>IF(H482="","",IF(OR(J482="Vastgesteld",J482="Concept",AND(J482="Fictieve aanname",P_Demo="Ja")),1,0))</f>
        <v/>
      </c>
      <c r="O482" s="15" t="str">
        <f>IF(H482="","",IF(COUNTIFS($A$6:$A$505,A482,$B$6:$B$505,B482,$C$6:$C$505,C482,$F$6:$F$505,F482,$G$6:$G$505,G482,$D$6:$D$505,"&lt;&gt;"&amp;D482,$H$6:$H$505,"&lt;&gt;")&gt;0,1,0))</f>
        <v/>
      </c>
    </row>
    <row r="483">
      <c r="M483" s="15" t="str">
        <f>IF(H483="","",IF(OR(J483="Vastgesteld",AND(J483="Fictieve aanname",P_Demo="Ja")),1,0))</f>
        <v/>
      </c>
      <c r="N483" s="15" t="str">
        <f>IF(H483="","",IF(OR(J483="Vastgesteld",J483="Concept",AND(J483="Fictieve aanname",P_Demo="Ja")),1,0))</f>
        <v/>
      </c>
      <c r="O483" s="15" t="str">
        <f>IF(H483="","",IF(COUNTIFS($A$6:$A$505,A483,$B$6:$B$505,B483,$C$6:$C$505,C483,$F$6:$F$505,F483,$G$6:$G$505,G483,$D$6:$D$505,"&lt;&gt;"&amp;D483,$H$6:$H$505,"&lt;&gt;")&gt;0,1,0))</f>
        <v/>
      </c>
    </row>
    <row r="484">
      <c r="M484" s="15" t="str">
        <f>IF(H484="","",IF(OR(J484="Vastgesteld",AND(J484="Fictieve aanname",P_Demo="Ja")),1,0))</f>
        <v/>
      </c>
      <c r="N484" s="15" t="str">
        <f>IF(H484="","",IF(OR(J484="Vastgesteld",J484="Concept",AND(J484="Fictieve aanname",P_Demo="Ja")),1,0))</f>
        <v/>
      </c>
      <c r="O484" s="15" t="str">
        <f>IF(H484="","",IF(COUNTIFS($A$6:$A$505,A484,$B$6:$B$505,B484,$C$6:$C$505,C484,$F$6:$F$505,F484,$G$6:$G$505,G484,$D$6:$D$505,"&lt;&gt;"&amp;D484,$H$6:$H$505,"&lt;&gt;")&gt;0,1,0))</f>
        <v/>
      </c>
    </row>
    <row r="485">
      <c r="M485" s="15" t="str">
        <f>IF(H485="","",IF(OR(J485="Vastgesteld",AND(J485="Fictieve aanname",P_Demo="Ja")),1,0))</f>
        <v/>
      </c>
      <c r="N485" s="15" t="str">
        <f>IF(H485="","",IF(OR(J485="Vastgesteld",J485="Concept",AND(J485="Fictieve aanname",P_Demo="Ja")),1,0))</f>
        <v/>
      </c>
      <c r="O485" s="15" t="str">
        <f>IF(H485="","",IF(COUNTIFS($A$6:$A$505,A485,$B$6:$B$505,B485,$C$6:$C$505,C485,$F$6:$F$505,F485,$G$6:$G$505,G485,$D$6:$D$505,"&lt;&gt;"&amp;D485,$H$6:$H$505,"&lt;&gt;")&gt;0,1,0))</f>
        <v/>
      </c>
    </row>
    <row r="486">
      <c r="M486" s="15" t="str">
        <f>IF(H486="","",IF(OR(J486="Vastgesteld",AND(J486="Fictieve aanname",P_Demo="Ja")),1,0))</f>
        <v/>
      </c>
      <c r="N486" s="15" t="str">
        <f>IF(H486="","",IF(OR(J486="Vastgesteld",J486="Concept",AND(J486="Fictieve aanname",P_Demo="Ja")),1,0))</f>
        <v/>
      </c>
      <c r="O486" s="15" t="str">
        <f>IF(H486="","",IF(COUNTIFS($A$6:$A$505,A486,$B$6:$B$505,B486,$C$6:$C$505,C486,$F$6:$F$505,F486,$G$6:$G$505,G486,$D$6:$D$505,"&lt;&gt;"&amp;D486,$H$6:$H$505,"&lt;&gt;")&gt;0,1,0))</f>
        <v/>
      </c>
    </row>
    <row r="487">
      <c r="M487" s="15" t="str">
        <f>IF(H487="","",IF(OR(J487="Vastgesteld",AND(J487="Fictieve aanname",P_Demo="Ja")),1,0))</f>
        <v/>
      </c>
      <c r="N487" s="15" t="str">
        <f>IF(H487="","",IF(OR(J487="Vastgesteld",J487="Concept",AND(J487="Fictieve aanname",P_Demo="Ja")),1,0))</f>
        <v/>
      </c>
      <c r="O487" s="15" t="str">
        <f>IF(H487="","",IF(COUNTIFS($A$6:$A$505,A487,$B$6:$B$505,B487,$C$6:$C$505,C487,$F$6:$F$505,F487,$G$6:$G$505,G487,$D$6:$D$505,"&lt;&gt;"&amp;D487,$H$6:$H$505,"&lt;&gt;")&gt;0,1,0))</f>
        <v/>
      </c>
    </row>
    <row r="488">
      <c r="M488" s="15" t="str">
        <f>IF(H488="","",IF(OR(J488="Vastgesteld",AND(J488="Fictieve aanname",P_Demo="Ja")),1,0))</f>
        <v/>
      </c>
      <c r="N488" s="15" t="str">
        <f>IF(H488="","",IF(OR(J488="Vastgesteld",J488="Concept",AND(J488="Fictieve aanname",P_Demo="Ja")),1,0))</f>
        <v/>
      </c>
      <c r="O488" s="15" t="str">
        <f>IF(H488="","",IF(COUNTIFS($A$6:$A$505,A488,$B$6:$B$505,B488,$C$6:$C$505,C488,$F$6:$F$505,F488,$G$6:$G$505,G488,$D$6:$D$505,"&lt;&gt;"&amp;D488,$H$6:$H$505,"&lt;&gt;")&gt;0,1,0))</f>
        <v/>
      </c>
    </row>
    <row r="489">
      <c r="M489" s="15" t="str">
        <f>IF(H489="","",IF(OR(J489="Vastgesteld",AND(J489="Fictieve aanname",P_Demo="Ja")),1,0))</f>
        <v/>
      </c>
      <c r="N489" s="15" t="str">
        <f>IF(H489="","",IF(OR(J489="Vastgesteld",J489="Concept",AND(J489="Fictieve aanname",P_Demo="Ja")),1,0))</f>
        <v/>
      </c>
      <c r="O489" s="15" t="str">
        <f>IF(H489="","",IF(COUNTIFS($A$6:$A$505,A489,$B$6:$B$505,B489,$C$6:$C$505,C489,$F$6:$F$505,F489,$G$6:$G$505,G489,$D$6:$D$505,"&lt;&gt;"&amp;D489,$H$6:$H$505,"&lt;&gt;")&gt;0,1,0))</f>
        <v/>
      </c>
    </row>
    <row r="490">
      <c r="M490" s="15" t="str">
        <f>IF(H490="","",IF(OR(J490="Vastgesteld",AND(J490="Fictieve aanname",P_Demo="Ja")),1,0))</f>
        <v/>
      </c>
      <c r="N490" s="15" t="str">
        <f>IF(H490="","",IF(OR(J490="Vastgesteld",J490="Concept",AND(J490="Fictieve aanname",P_Demo="Ja")),1,0))</f>
        <v/>
      </c>
      <c r="O490" s="15" t="str">
        <f>IF(H490="","",IF(COUNTIFS($A$6:$A$505,A490,$B$6:$B$505,B490,$C$6:$C$505,C490,$F$6:$F$505,F490,$G$6:$G$505,G490,$D$6:$D$505,"&lt;&gt;"&amp;D490,$H$6:$H$505,"&lt;&gt;")&gt;0,1,0))</f>
        <v/>
      </c>
    </row>
    <row r="491">
      <c r="M491" s="15" t="str">
        <f>IF(H491="","",IF(OR(J491="Vastgesteld",AND(J491="Fictieve aanname",P_Demo="Ja")),1,0))</f>
        <v/>
      </c>
      <c r="N491" s="15" t="str">
        <f>IF(H491="","",IF(OR(J491="Vastgesteld",J491="Concept",AND(J491="Fictieve aanname",P_Demo="Ja")),1,0))</f>
        <v/>
      </c>
      <c r="O491" s="15" t="str">
        <f>IF(H491="","",IF(COUNTIFS($A$6:$A$505,A491,$B$6:$B$505,B491,$C$6:$C$505,C491,$F$6:$F$505,F491,$G$6:$G$505,G491,$D$6:$D$505,"&lt;&gt;"&amp;D491,$H$6:$H$505,"&lt;&gt;")&gt;0,1,0))</f>
        <v/>
      </c>
    </row>
    <row r="492">
      <c r="M492" s="15" t="str">
        <f>IF(H492="","",IF(OR(J492="Vastgesteld",AND(J492="Fictieve aanname",P_Demo="Ja")),1,0))</f>
        <v/>
      </c>
      <c r="N492" s="15" t="str">
        <f>IF(H492="","",IF(OR(J492="Vastgesteld",J492="Concept",AND(J492="Fictieve aanname",P_Demo="Ja")),1,0))</f>
        <v/>
      </c>
      <c r="O492" s="15" t="str">
        <f>IF(H492="","",IF(COUNTIFS($A$6:$A$505,A492,$B$6:$B$505,B492,$C$6:$C$505,C492,$F$6:$F$505,F492,$G$6:$G$505,G492,$D$6:$D$505,"&lt;&gt;"&amp;D492,$H$6:$H$505,"&lt;&gt;")&gt;0,1,0))</f>
        <v/>
      </c>
    </row>
    <row r="493">
      <c r="M493" s="15" t="str">
        <f>IF(H493="","",IF(OR(J493="Vastgesteld",AND(J493="Fictieve aanname",P_Demo="Ja")),1,0))</f>
        <v/>
      </c>
      <c r="N493" s="15" t="str">
        <f>IF(H493="","",IF(OR(J493="Vastgesteld",J493="Concept",AND(J493="Fictieve aanname",P_Demo="Ja")),1,0))</f>
        <v/>
      </c>
      <c r="O493" s="15" t="str">
        <f>IF(H493="","",IF(COUNTIFS($A$6:$A$505,A493,$B$6:$B$505,B493,$C$6:$C$505,C493,$F$6:$F$505,F493,$G$6:$G$505,G493,$D$6:$D$505,"&lt;&gt;"&amp;D493,$H$6:$H$505,"&lt;&gt;")&gt;0,1,0))</f>
        <v/>
      </c>
    </row>
    <row r="494">
      <c r="M494" s="15" t="str">
        <f>IF(H494="","",IF(OR(J494="Vastgesteld",AND(J494="Fictieve aanname",P_Demo="Ja")),1,0))</f>
        <v/>
      </c>
      <c r="N494" s="15" t="str">
        <f>IF(H494="","",IF(OR(J494="Vastgesteld",J494="Concept",AND(J494="Fictieve aanname",P_Demo="Ja")),1,0))</f>
        <v/>
      </c>
      <c r="O494" s="15" t="str">
        <f>IF(H494="","",IF(COUNTIFS($A$6:$A$505,A494,$B$6:$B$505,B494,$C$6:$C$505,C494,$F$6:$F$505,F494,$G$6:$G$505,G494,$D$6:$D$505,"&lt;&gt;"&amp;D494,$H$6:$H$505,"&lt;&gt;")&gt;0,1,0))</f>
        <v/>
      </c>
    </row>
    <row r="495">
      <c r="M495" s="15" t="str">
        <f>IF(H495="","",IF(OR(J495="Vastgesteld",AND(J495="Fictieve aanname",P_Demo="Ja")),1,0))</f>
        <v/>
      </c>
      <c r="N495" s="15" t="str">
        <f>IF(H495="","",IF(OR(J495="Vastgesteld",J495="Concept",AND(J495="Fictieve aanname",P_Demo="Ja")),1,0))</f>
        <v/>
      </c>
      <c r="O495" s="15" t="str">
        <f>IF(H495="","",IF(COUNTIFS($A$6:$A$505,A495,$B$6:$B$505,B495,$C$6:$C$505,C495,$F$6:$F$505,F495,$G$6:$G$505,G495,$D$6:$D$505,"&lt;&gt;"&amp;D495,$H$6:$H$505,"&lt;&gt;")&gt;0,1,0))</f>
        <v/>
      </c>
    </row>
    <row r="496">
      <c r="M496" s="15" t="str">
        <f>IF(H496="","",IF(OR(J496="Vastgesteld",AND(J496="Fictieve aanname",P_Demo="Ja")),1,0))</f>
        <v/>
      </c>
      <c r="N496" s="15" t="str">
        <f>IF(H496="","",IF(OR(J496="Vastgesteld",J496="Concept",AND(J496="Fictieve aanname",P_Demo="Ja")),1,0))</f>
        <v/>
      </c>
      <c r="O496" s="15" t="str">
        <f>IF(H496="","",IF(COUNTIFS($A$6:$A$505,A496,$B$6:$B$505,B496,$C$6:$C$505,C496,$F$6:$F$505,F496,$G$6:$G$505,G496,$D$6:$D$505,"&lt;&gt;"&amp;D496,$H$6:$H$505,"&lt;&gt;")&gt;0,1,0))</f>
        <v/>
      </c>
    </row>
    <row r="497">
      <c r="M497" s="15" t="str">
        <f>IF(H497="","",IF(OR(J497="Vastgesteld",AND(J497="Fictieve aanname",P_Demo="Ja")),1,0))</f>
        <v/>
      </c>
      <c r="N497" s="15" t="str">
        <f>IF(H497="","",IF(OR(J497="Vastgesteld",J497="Concept",AND(J497="Fictieve aanname",P_Demo="Ja")),1,0))</f>
        <v/>
      </c>
      <c r="O497" s="15" t="str">
        <f>IF(H497="","",IF(COUNTIFS($A$6:$A$505,A497,$B$6:$B$505,B497,$C$6:$C$505,C497,$F$6:$F$505,F497,$G$6:$G$505,G497,$D$6:$D$505,"&lt;&gt;"&amp;D497,$H$6:$H$505,"&lt;&gt;")&gt;0,1,0))</f>
        <v/>
      </c>
    </row>
    <row r="498">
      <c r="M498" s="15" t="str">
        <f>IF(H498="","",IF(OR(J498="Vastgesteld",AND(J498="Fictieve aanname",P_Demo="Ja")),1,0))</f>
        <v/>
      </c>
      <c r="N498" s="15" t="str">
        <f>IF(H498="","",IF(OR(J498="Vastgesteld",J498="Concept",AND(J498="Fictieve aanname",P_Demo="Ja")),1,0))</f>
        <v/>
      </c>
      <c r="O498" s="15" t="str">
        <f>IF(H498="","",IF(COUNTIFS($A$6:$A$505,A498,$B$6:$B$505,B498,$C$6:$C$505,C498,$F$6:$F$505,F498,$G$6:$G$505,G498,$D$6:$D$505,"&lt;&gt;"&amp;D498,$H$6:$H$505,"&lt;&gt;")&gt;0,1,0))</f>
        <v/>
      </c>
    </row>
    <row r="499">
      <c r="M499" s="15" t="str">
        <f>IF(H499="","",IF(OR(J499="Vastgesteld",AND(J499="Fictieve aanname",P_Demo="Ja")),1,0))</f>
        <v/>
      </c>
      <c r="N499" s="15" t="str">
        <f>IF(H499="","",IF(OR(J499="Vastgesteld",J499="Concept",AND(J499="Fictieve aanname",P_Demo="Ja")),1,0))</f>
        <v/>
      </c>
      <c r="O499" s="15" t="str">
        <f>IF(H499="","",IF(COUNTIFS($A$6:$A$505,A499,$B$6:$B$505,B499,$C$6:$C$505,C499,$F$6:$F$505,F499,$G$6:$G$505,G499,$D$6:$D$505,"&lt;&gt;"&amp;D499,$H$6:$H$505,"&lt;&gt;")&gt;0,1,0))</f>
        <v/>
      </c>
    </row>
    <row r="500">
      <c r="M500" s="15" t="str">
        <f>IF(H500="","",IF(OR(J500="Vastgesteld",AND(J500="Fictieve aanname",P_Demo="Ja")),1,0))</f>
        <v/>
      </c>
      <c r="N500" s="15" t="str">
        <f>IF(H500="","",IF(OR(J500="Vastgesteld",J500="Concept",AND(J500="Fictieve aanname",P_Demo="Ja")),1,0))</f>
        <v/>
      </c>
      <c r="O500" s="15" t="str">
        <f>IF(H500="","",IF(COUNTIFS($A$6:$A$505,A500,$B$6:$B$505,B500,$C$6:$C$505,C500,$F$6:$F$505,F500,$G$6:$G$505,G500,$D$6:$D$505,"&lt;&gt;"&amp;D500,$H$6:$H$505,"&lt;&gt;")&gt;0,1,0))</f>
        <v/>
      </c>
    </row>
    <row r="501">
      <c r="M501" s="15" t="str">
        <f>IF(H501="","",IF(OR(J501="Vastgesteld",AND(J501="Fictieve aanname",P_Demo="Ja")),1,0))</f>
        <v/>
      </c>
      <c r="N501" s="15" t="str">
        <f>IF(H501="","",IF(OR(J501="Vastgesteld",J501="Concept",AND(J501="Fictieve aanname",P_Demo="Ja")),1,0))</f>
        <v/>
      </c>
      <c r="O501" s="15" t="str">
        <f>IF(H501="","",IF(COUNTIFS($A$6:$A$505,A501,$B$6:$B$505,B501,$C$6:$C$505,C501,$F$6:$F$505,F501,$G$6:$G$505,G501,$D$6:$D$505,"&lt;&gt;"&amp;D501,$H$6:$H$505,"&lt;&gt;")&gt;0,1,0))</f>
        <v/>
      </c>
    </row>
    <row r="502">
      <c r="M502" s="15" t="str">
        <f>IF(H502="","",IF(OR(J502="Vastgesteld",AND(J502="Fictieve aanname",P_Demo="Ja")),1,0))</f>
        <v/>
      </c>
      <c r="N502" s="15" t="str">
        <f>IF(H502="","",IF(OR(J502="Vastgesteld",J502="Concept",AND(J502="Fictieve aanname",P_Demo="Ja")),1,0))</f>
        <v/>
      </c>
      <c r="O502" s="15" t="str">
        <f>IF(H502="","",IF(COUNTIFS($A$6:$A$505,A502,$B$6:$B$505,B502,$C$6:$C$505,C502,$F$6:$F$505,F502,$G$6:$G$505,G502,$D$6:$D$505,"&lt;&gt;"&amp;D502,$H$6:$H$505,"&lt;&gt;")&gt;0,1,0))</f>
        <v/>
      </c>
    </row>
    <row r="503">
      <c r="M503" s="15" t="str">
        <f>IF(H503="","",IF(OR(J503="Vastgesteld",AND(J503="Fictieve aanname",P_Demo="Ja")),1,0))</f>
        <v/>
      </c>
      <c r="N503" s="15" t="str">
        <f>IF(H503="","",IF(OR(J503="Vastgesteld",J503="Concept",AND(J503="Fictieve aanname",P_Demo="Ja")),1,0))</f>
        <v/>
      </c>
      <c r="O503" s="15" t="str">
        <f>IF(H503="","",IF(COUNTIFS($A$6:$A$505,A503,$B$6:$B$505,B503,$C$6:$C$505,C503,$F$6:$F$505,F503,$G$6:$G$505,G503,$D$6:$D$505,"&lt;&gt;"&amp;D503,$H$6:$H$505,"&lt;&gt;")&gt;0,1,0))</f>
        <v/>
      </c>
    </row>
    <row r="504">
      <c r="M504" s="15" t="str">
        <f>IF(H504="","",IF(OR(J504="Vastgesteld",AND(J504="Fictieve aanname",P_Demo="Ja")),1,0))</f>
        <v/>
      </c>
      <c r="N504" s="15" t="str">
        <f>IF(H504="","",IF(OR(J504="Vastgesteld",J504="Concept",AND(J504="Fictieve aanname",P_Demo="Ja")),1,0))</f>
        <v/>
      </c>
      <c r="O504" s="15" t="str">
        <f>IF(H504="","",IF(COUNTIFS($A$6:$A$505,A504,$B$6:$B$505,B504,$C$6:$C$505,C504,$F$6:$F$505,F504,$G$6:$G$505,G504,$D$6:$D$505,"&lt;&gt;"&amp;D504,$H$6:$H$505,"&lt;&gt;")&gt;0,1,0))</f>
        <v/>
      </c>
    </row>
    <row r="505">
      <c r="M505" s="15" t="str">
        <f>IF(H505="","",IF(OR(J505="Vastgesteld",AND(J505="Fictieve aanname",P_Demo="Ja")),1,0))</f>
        <v/>
      </c>
      <c r="N505" s="15" t="str">
        <f>IF(H505="","",IF(OR(J505="Vastgesteld",J505="Concept",AND(J505="Fictieve aanname",P_Demo="Ja")),1,0))</f>
        <v/>
      </c>
      <c r="O505" s="15" t="str">
        <f>IF(H505="","",IF(COUNTIFS($A$6:$A$505,A505,$B$6:$B$505,B505,$C$6:$C$505,C505,$F$6:$F$505,F505,$G$6:$G$505,G505,$D$6:$D$505,"&lt;&gt;"&amp;D505,$H$6:$H$505,"&lt;&gt;")&gt;0,1,0))</f>
        <v/>
      </c>
    </row>
  </sheetData>
  <dataValidations count="5">
    <dataValidation sqref="C6:C505" showDropDown="0" showInputMessage="0" showErrorMessage="1" allowBlank="1" error="Kies een waarde uit de lijst." type="list">
      <formula1>V_List</formula1>
    </dataValidation>
    <dataValidation sqref="D6:D505" showDropDown="0" showInputMessage="0" showErrorMessage="1" allowBlank="1" error="Kies een waarde uit de lijst." type="list">
      <formula1>L_Niveau</formula1>
    </dataValidation>
    <dataValidation sqref="F6:F505" showDropDown="0" showInputMessage="0" showErrorMessage="1" allowBlank="1" error="Kies een waarde uit de lijst." type="list">
      <formula1>L_Rubrieken</formula1>
    </dataValidation>
    <dataValidation sqref="G6:G505" showDropDown="0" showInputMessage="0" showErrorMessage="1" allowBlank="1" error="Kies een waarde uit de lijst." type="list">
      <formula1>L_Soort</formula1>
    </dataValidation>
    <dataValidation sqref="J6:J505" showDropDown="0" showInputMessage="0" showErrorMessage="1" allowBlank="1" error="Kies een waarde uit de lijst." type="list">
      <formula1>L_AanvStatus</formula1>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1F4E9A"/>
    <outlinePr summaryBelow="1" summaryRight="1"/>
    <pageSetUpPr/>
  </sheetPr>
  <dimension ref="A1:I505"/>
  <sheetViews>
    <sheetView showGridLines="0" zoomScale="90" workbookViewId="0">
      <pane ySplit="5" topLeftCell="A6" activePane="bottomLeft" state="frozen"/>
      <selection pane="bottomLeft" activeCell="A1" sqref="A1"/>
    </sheetView>
  </sheetViews>
  <sheetFormatPr baseColWidth="8" defaultRowHeight="15"/>
  <cols>
    <col width="8" customWidth="1" min="1" max="1"/>
    <col width="9" customWidth="1" min="2" max="2"/>
    <col width="7" customWidth="1" min="3" max="3"/>
    <col width="16" customWidth="1" min="4" max="4"/>
    <col width="16" customWidth="1" min="5" max="5"/>
    <col width="70" customWidth="1" min="6" max="6"/>
    <col width="12" customWidth="1" min="7" max="7"/>
    <col width="11" customWidth="1" min="8" max="8"/>
    <col width="30" customWidth="1" min="9" max="9"/>
  </cols>
  <sheetData>
    <row r="1" ht="28" customHeight="1">
      <c r="A1" s="1" t="n"/>
      <c r="B1" s="2" t="inlineStr">
        <is>
          <t>Toelichtingen op verschillen</t>
        </is>
      </c>
      <c r="C1" s="1" t="n"/>
      <c r="D1" s="1" t="n"/>
      <c r="E1" s="1" t="n"/>
      <c r="F1" s="1" t="n"/>
      <c r="G1" s="1" t="n"/>
      <c r="H1" s="1" t="n"/>
      <c r="I1" s="1" t="n"/>
    </row>
    <row r="2">
      <c r="B2" s="3" t="inlineStr">
        <is>
          <t>Eén toelichting per project, doeljaar en versie. Verschijnt in Projecten en Projectdetail.</t>
        </is>
      </c>
    </row>
    <row r="5" ht="24" customHeight="1">
      <c r="A5" s="32" t="inlineStr">
        <is>
          <t>Doeljaar</t>
        </is>
      </c>
      <c r="B5" s="33" t="inlineStr">
        <is>
          <t>Versiejaar</t>
        </is>
      </c>
      <c r="C5" s="33" t="inlineStr">
        <is>
          <t>Versie</t>
        </is>
      </c>
      <c r="D5" s="33" t="inlineStr">
        <is>
          <t>WBS-element</t>
        </is>
      </c>
      <c r="E5" s="33" t="inlineStr">
        <is>
          <t>Kengetal</t>
        </is>
      </c>
      <c r="F5" s="33" t="inlineStr">
        <is>
          <t>Toelichting</t>
        </is>
      </c>
      <c r="G5" s="33" t="inlineStr">
        <is>
          <t>Auteur</t>
        </is>
      </c>
      <c r="H5" s="33" t="inlineStr">
        <is>
          <t>Datum</t>
        </is>
      </c>
      <c r="I5" s="104" t="inlineStr">
        <is>
          <t>Sleutel</t>
        </is>
      </c>
    </row>
    <row r="6">
      <c r="A6" s="105" t="n">
        <v>2026</v>
      </c>
      <c r="B6" s="105" t="n">
        <v>2026</v>
      </c>
      <c r="C6" s="105" t="inlineStr">
        <is>
          <t>Q3</t>
        </is>
      </c>
      <c r="D6" s="105" t="inlineStr">
        <is>
          <t>G.900008.8.9090</t>
        </is>
      </c>
      <c r="E6" s="105" t="inlineStr">
        <is>
          <t>BOR FY</t>
        </is>
      </c>
      <c r="F6" s="105" t="inlineStr">
        <is>
          <t>[VOORBEELD – fictief] Verliesproject: voorbeeldtekst om het formaat te tonen.</t>
        </is>
      </c>
      <c r="G6" s="105" t="inlineStr">
        <is>
          <t>Demo</t>
        </is>
      </c>
      <c r="H6" s="107" t="n">
        <v>46324</v>
      </c>
      <c r="I6" s="15" t="str">
        <f>IF(D6="","",D6&amp;"|"&amp;A6&amp;"|"&amp;B6&amp;"|"&amp;C6)</f>
        <v>G.900008.8.9090|2026|2026|Q3</v>
      </c>
    </row>
    <row r="7">
      <c r="I7" s="15" t="str">
        <f>IF(D7="","",D7&amp;"|"&amp;A7&amp;"|"&amp;B7&amp;"|"&amp;C7)</f>
        <v/>
      </c>
    </row>
    <row r="8">
      <c r="I8" s="15" t="str">
        <f>IF(D8="","",D8&amp;"|"&amp;A8&amp;"|"&amp;B8&amp;"|"&amp;C8)</f>
        <v/>
      </c>
    </row>
    <row r="9">
      <c r="I9" s="15" t="str">
        <f>IF(D9="","",D9&amp;"|"&amp;A9&amp;"|"&amp;B9&amp;"|"&amp;C9)</f>
        <v/>
      </c>
    </row>
    <row r="10">
      <c r="I10" s="15" t="str">
        <f>IF(D10="","",D10&amp;"|"&amp;A10&amp;"|"&amp;B10&amp;"|"&amp;C10)</f>
        <v/>
      </c>
    </row>
    <row r="11">
      <c r="I11" s="15" t="str">
        <f>IF(D11="","",D11&amp;"|"&amp;A11&amp;"|"&amp;B11&amp;"|"&amp;C11)</f>
        <v/>
      </c>
    </row>
    <row r="12">
      <c r="I12" s="15" t="str">
        <f>IF(D12="","",D12&amp;"|"&amp;A12&amp;"|"&amp;B12&amp;"|"&amp;C12)</f>
        <v/>
      </c>
    </row>
    <row r="13">
      <c r="I13" s="15" t="str">
        <f>IF(D13="","",D13&amp;"|"&amp;A13&amp;"|"&amp;B13&amp;"|"&amp;C13)</f>
        <v/>
      </c>
    </row>
    <row r="14">
      <c r="I14" s="15" t="str">
        <f>IF(D14="","",D14&amp;"|"&amp;A14&amp;"|"&amp;B14&amp;"|"&amp;C14)</f>
        <v/>
      </c>
    </row>
    <row r="15">
      <c r="I15" s="15" t="str">
        <f>IF(D15="","",D15&amp;"|"&amp;A15&amp;"|"&amp;B15&amp;"|"&amp;C15)</f>
        <v/>
      </c>
    </row>
    <row r="16">
      <c r="I16" s="15" t="str">
        <f>IF(D16="","",D16&amp;"|"&amp;A16&amp;"|"&amp;B16&amp;"|"&amp;C16)</f>
        <v/>
      </c>
    </row>
    <row r="17">
      <c r="I17" s="15" t="str">
        <f>IF(D17="","",D17&amp;"|"&amp;A17&amp;"|"&amp;B17&amp;"|"&amp;C17)</f>
        <v/>
      </c>
    </row>
    <row r="18">
      <c r="I18" s="15" t="str">
        <f>IF(D18="","",D18&amp;"|"&amp;A18&amp;"|"&amp;B18&amp;"|"&amp;C18)</f>
        <v/>
      </c>
    </row>
    <row r="19">
      <c r="I19" s="15" t="str">
        <f>IF(D19="","",D19&amp;"|"&amp;A19&amp;"|"&amp;B19&amp;"|"&amp;C19)</f>
        <v/>
      </c>
    </row>
    <row r="20">
      <c r="I20" s="15" t="str">
        <f>IF(D20="","",D20&amp;"|"&amp;A20&amp;"|"&amp;B20&amp;"|"&amp;C20)</f>
        <v/>
      </c>
    </row>
    <row r="21">
      <c r="I21" s="15" t="str">
        <f>IF(D21="","",D21&amp;"|"&amp;A21&amp;"|"&amp;B21&amp;"|"&amp;C21)</f>
        <v/>
      </c>
    </row>
    <row r="22">
      <c r="I22" s="15" t="str">
        <f>IF(D22="","",D22&amp;"|"&amp;A22&amp;"|"&amp;B22&amp;"|"&amp;C22)</f>
        <v/>
      </c>
    </row>
    <row r="23">
      <c r="I23" s="15" t="str">
        <f>IF(D23="","",D23&amp;"|"&amp;A23&amp;"|"&amp;B23&amp;"|"&amp;C23)</f>
        <v/>
      </c>
    </row>
    <row r="24">
      <c r="I24" s="15" t="str">
        <f>IF(D24="","",D24&amp;"|"&amp;A24&amp;"|"&amp;B24&amp;"|"&amp;C24)</f>
        <v/>
      </c>
    </row>
    <row r="25">
      <c r="I25" s="15" t="str">
        <f>IF(D25="","",D25&amp;"|"&amp;A25&amp;"|"&amp;B25&amp;"|"&amp;C25)</f>
        <v/>
      </c>
    </row>
    <row r="26">
      <c r="I26" s="15" t="str">
        <f>IF(D26="","",D26&amp;"|"&amp;A26&amp;"|"&amp;B26&amp;"|"&amp;C26)</f>
        <v/>
      </c>
    </row>
    <row r="27">
      <c r="I27" s="15" t="str">
        <f>IF(D27="","",D27&amp;"|"&amp;A27&amp;"|"&amp;B27&amp;"|"&amp;C27)</f>
        <v/>
      </c>
    </row>
    <row r="28">
      <c r="I28" s="15" t="str">
        <f>IF(D28="","",D28&amp;"|"&amp;A28&amp;"|"&amp;B28&amp;"|"&amp;C28)</f>
        <v/>
      </c>
    </row>
    <row r="29">
      <c r="I29" s="15" t="str">
        <f>IF(D29="","",D29&amp;"|"&amp;A29&amp;"|"&amp;B29&amp;"|"&amp;C29)</f>
        <v/>
      </c>
    </row>
    <row r="30">
      <c r="I30" s="15" t="str">
        <f>IF(D30="","",D30&amp;"|"&amp;A30&amp;"|"&amp;B30&amp;"|"&amp;C30)</f>
        <v/>
      </c>
    </row>
    <row r="31">
      <c r="I31" s="15" t="str">
        <f>IF(D31="","",D31&amp;"|"&amp;A31&amp;"|"&amp;B31&amp;"|"&amp;C31)</f>
        <v/>
      </c>
    </row>
    <row r="32">
      <c r="I32" s="15" t="str">
        <f>IF(D32="","",D32&amp;"|"&amp;A32&amp;"|"&amp;B32&amp;"|"&amp;C32)</f>
        <v/>
      </c>
    </row>
    <row r="33">
      <c r="I33" s="15" t="str">
        <f>IF(D33="","",D33&amp;"|"&amp;A33&amp;"|"&amp;B33&amp;"|"&amp;C33)</f>
        <v/>
      </c>
    </row>
    <row r="34">
      <c r="I34" s="15" t="str">
        <f>IF(D34="","",D34&amp;"|"&amp;A34&amp;"|"&amp;B34&amp;"|"&amp;C34)</f>
        <v/>
      </c>
    </row>
    <row r="35">
      <c r="I35" s="15" t="str">
        <f>IF(D35="","",D35&amp;"|"&amp;A35&amp;"|"&amp;B35&amp;"|"&amp;C35)</f>
        <v/>
      </c>
    </row>
    <row r="36">
      <c r="I36" s="15" t="str">
        <f>IF(D36="","",D36&amp;"|"&amp;A36&amp;"|"&amp;B36&amp;"|"&amp;C36)</f>
        <v/>
      </c>
    </row>
    <row r="37">
      <c r="I37" s="15" t="str">
        <f>IF(D37="","",D37&amp;"|"&amp;A37&amp;"|"&amp;B37&amp;"|"&amp;C37)</f>
        <v/>
      </c>
    </row>
    <row r="38">
      <c r="I38" s="15" t="str">
        <f>IF(D38="","",D38&amp;"|"&amp;A38&amp;"|"&amp;B38&amp;"|"&amp;C38)</f>
        <v/>
      </c>
    </row>
    <row r="39">
      <c r="I39" s="15" t="str">
        <f>IF(D39="","",D39&amp;"|"&amp;A39&amp;"|"&amp;B39&amp;"|"&amp;C39)</f>
        <v/>
      </c>
    </row>
    <row r="40">
      <c r="I40" s="15" t="str">
        <f>IF(D40="","",D40&amp;"|"&amp;A40&amp;"|"&amp;B40&amp;"|"&amp;C40)</f>
        <v/>
      </c>
    </row>
    <row r="41">
      <c r="I41" s="15" t="str">
        <f>IF(D41="","",D41&amp;"|"&amp;A41&amp;"|"&amp;B41&amp;"|"&amp;C41)</f>
        <v/>
      </c>
    </row>
    <row r="42">
      <c r="I42" s="15" t="str">
        <f>IF(D42="","",D42&amp;"|"&amp;A42&amp;"|"&amp;B42&amp;"|"&amp;C42)</f>
        <v/>
      </c>
    </row>
    <row r="43">
      <c r="I43" s="15" t="str">
        <f>IF(D43="","",D43&amp;"|"&amp;A43&amp;"|"&amp;B43&amp;"|"&amp;C43)</f>
        <v/>
      </c>
    </row>
    <row r="44">
      <c r="I44" s="15" t="str">
        <f>IF(D44="","",D44&amp;"|"&amp;A44&amp;"|"&amp;B44&amp;"|"&amp;C44)</f>
        <v/>
      </c>
    </row>
    <row r="45">
      <c r="I45" s="15" t="str">
        <f>IF(D45="","",D45&amp;"|"&amp;A45&amp;"|"&amp;B45&amp;"|"&amp;C45)</f>
        <v/>
      </c>
    </row>
    <row r="46">
      <c r="I46" s="15" t="str">
        <f>IF(D46="","",D46&amp;"|"&amp;A46&amp;"|"&amp;B46&amp;"|"&amp;C46)</f>
        <v/>
      </c>
    </row>
    <row r="47">
      <c r="I47" s="15" t="str">
        <f>IF(D47="","",D47&amp;"|"&amp;A47&amp;"|"&amp;B47&amp;"|"&amp;C47)</f>
        <v/>
      </c>
    </row>
    <row r="48">
      <c r="I48" s="15" t="str">
        <f>IF(D48="","",D48&amp;"|"&amp;A48&amp;"|"&amp;B48&amp;"|"&amp;C48)</f>
        <v/>
      </c>
    </row>
    <row r="49">
      <c r="I49" s="15" t="str">
        <f>IF(D49="","",D49&amp;"|"&amp;A49&amp;"|"&amp;B49&amp;"|"&amp;C49)</f>
        <v/>
      </c>
    </row>
    <row r="50">
      <c r="I50" s="15" t="str">
        <f>IF(D50="","",D50&amp;"|"&amp;A50&amp;"|"&amp;B50&amp;"|"&amp;C50)</f>
        <v/>
      </c>
    </row>
    <row r="51">
      <c r="I51" s="15" t="str">
        <f>IF(D51="","",D51&amp;"|"&amp;A51&amp;"|"&amp;B51&amp;"|"&amp;C51)</f>
        <v/>
      </c>
    </row>
    <row r="52">
      <c r="I52" s="15" t="str">
        <f>IF(D52="","",D52&amp;"|"&amp;A52&amp;"|"&amp;B52&amp;"|"&amp;C52)</f>
        <v/>
      </c>
    </row>
    <row r="53">
      <c r="I53" s="15" t="str">
        <f>IF(D53="","",D53&amp;"|"&amp;A53&amp;"|"&amp;B53&amp;"|"&amp;C53)</f>
        <v/>
      </c>
    </row>
    <row r="54">
      <c r="I54" s="15" t="str">
        <f>IF(D54="","",D54&amp;"|"&amp;A54&amp;"|"&amp;B54&amp;"|"&amp;C54)</f>
        <v/>
      </c>
    </row>
    <row r="55">
      <c r="I55" s="15" t="str">
        <f>IF(D55="","",D55&amp;"|"&amp;A55&amp;"|"&amp;B55&amp;"|"&amp;C55)</f>
        <v/>
      </c>
    </row>
    <row r="56">
      <c r="I56" s="15" t="str">
        <f>IF(D56="","",D56&amp;"|"&amp;A56&amp;"|"&amp;B56&amp;"|"&amp;C56)</f>
        <v/>
      </c>
    </row>
    <row r="57">
      <c r="I57" s="15" t="str">
        <f>IF(D57="","",D57&amp;"|"&amp;A57&amp;"|"&amp;B57&amp;"|"&amp;C57)</f>
        <v/>
      </c>
    </row>
    <row r="58">
      <c r="I58" s="15" t="str">
        <f>IF(D58="","",D58&amp;"|"&amp;A58&amp;"|"&amp;B58&amp;"|"&amp;C58)</f>
        <v/>
      </c>
    </row>
    <row r="59">
      <c r="I59" s="15" t="str">
        <f>IF(D59="","",D59&amp;"|"&amp;A59&amp;"|"&amp;B59&amp;"|"&amp;C59)</f>
        <v/>
      </c>
    </row>
    <row r="60">
      <c r="I60" s="15" t="str">
        <f>IF(D60="","",D60&amp;"|"&amp;A60&amp;"|"&amp;B60&amp;"|"&amp;C60)</f>
        <v/>
      </c>
    </row>
    <row r="61">
      <c r="I61" s="15" t="str">
        <f>IF(D61="","",D61&amp;"|"&amp;A61&amp;"|"&amp;B61&amp;"|"&amp;C61)</f>
        <v/>
      </c>
    </row>
    <row r="62">
      <c r="I62" s="15" t="str">
        <f>IF(D62="","",D62&amp;"|"&amp;A62&amp;"|"&amp;B62&amp;"|"&amp;C62)</f>
        <v/>
      </c>
    </row>
    <row r="63">
      <c r="I63" s="15" t="str">
        <f>IF(D63="","",D63&amp;"|"&amp;A63&amp;"|"&amp;B63&amp;"|"&amp;C63)</f>
        <v/>
      </c>
    </row>
    <row r="64">
      <c r="I64" s="15" t="str">
        <f>IF(D64="","",D64&amp;"|"&amp;A64&amp;"|"&amp;B64&amp;"|"&amp;C64)</f>
        <v/>
      </c>
    </row>
    <row r="65">
      <c r="I65" s="15" t="str">
        <f>IF(D65="","",D65&amp;"|"&amp;A65&amp;"|"&amp;B65&amp;"|"&amp;C65)</f>
        <v/>
      </c>
    </row>
    <row r="66">
      <c r="I66" s="15" t="str">
        <f>IF(D66="","",D66&amp;"|"&amp;A66&amp;"|"&amp;B66&amp;"|"&amp;C66)</f>
        <v/>
      </c>
    </row>
    <row r="67">
      <c r="I67" s="15" t="str">
        <f>IF(D67="","",D67&amp;"|"&amp;A67&amp;"|"&amp;B67&amp;"|"&amp;C67)</f>
        <v/>
      </c>
    </row>
    <row r="68">
      <c r="I68" s="15" t="str">
        <f>IF(D68="","",D68&amp;"|"&amp;A68&amp;"|"&amp;B68&amp;"|"&amp;C68)</f>
        <v/>
      </c>
    </row>
    <row r="69">
      <c r="I69" s="15" t="str">
        <f>IF(D69="","",D69&amp;"|"&amp;A69&amp;"|"&amp;B69&amp;"|"&amp;C69)</f>
        <v/>
      </c>
    </row>
    <row r="70">
      <c r="I70" s="15" t="str">
        <f>IF(D70="","",D70&amp;"|"&amp;A70&amp;"|"&amp;B70&amp;"|"&amp;C70)</f>
        <v/>
      </c>
    </row>
    <row r="71">
      <c r="I71" s="15" t="str">
        <f>IF(D71="","",D71&amp;"|"&amp;A71&amp;"|"&amp;B71&amp;"|"&amp;C71)</f>
        <v/>
      </c>
    </row>
    <row r="72">
      <c r="I72" s="15" t="str">
        <f>IF(D72="","",D72&amp;"|"&amp;A72&amp;"|"&amp;B72&amp;"|"&amp;C72)</f>
        <v/>
      </c>
    </row>
    <row r="73">
      <c r="I73" s="15" t="str">
        <f>IF(D73="","",D73&amp;"|"&amp;A73&amp;"|"&amp;B73&amp;"|"&amp;C73)</f>
        <v/>
      </c>
    </row>
    <row r="74">
      <c r="I74" s="15" t="str">
        <f>IF(D74="","",D74&amp;"|"&amp;A74&amp;"|"&amp;B74&amp;"|"&amp;C74)</f>
        <v/>
      </c>
    </row>
    <row r="75">
      <c r="I75" s="15" t="str">
        <f>IF(D75="","",D75&amp;"|"&amp;A75&amp;"|"&amp;B75&amp;"|"&amp;C75)</f>
        <v/>
      </c>
    </row>
    <row r="76">
      <c r="I76" s="15" t="str">
        <f>IF(D76="","",D76&amp;"|"&amp;A76&amp;"|"&amp;B76&amp;"|"&amp;C76)</f>
        <v/>
      </c>
    </row>
    <row r="77">
      <c r="I77" s="15" t="str">
        <f>IF(D77="","",D77&amp;"|"&amp;A77&amp;"|"&amp;B77&amp;"|"&amp;C77)</f>
        <v/>
      </c>
    </row>
    <row r="78">
      <c r="I78" s="15" t="str">
        <f>IF(D78="","",D78&amp;"|"&amp;A78&amp;"|"&amp;B78&amp;"|"&amp;C78)</f>
        <v/>
      </c>
    </row>
    <row r="79">
      <c r="I79" s="15" t="str">
        <f>IF(D79="","",D79&amp;"|"&amp;A79&amp;"|"&amp;B79&amp;"|"&amp;C79)</f>
        <v/>
      </c>
    </row>
    <row r="80">
      <c r="I80" s="15" t="str">
        <f>IF(D80="","",D80&amp;"|"&amp;A80&amp;"|"&amp;B80&amp;"|"&amp;C80)</f>
        <v/>
      </c>
    </row>
    <row r="81">
      <c r="I81" s="15" t="str">
        <f>IF(D81="","",D81&amp;"|"&amp;A81&amp;"|"&amp;B81&amp;"|"&amp;C81)</f>
        <v/>
      </c>
    </row>
    <row r="82">
      <c r="I82" s="15" t="str">
        <f>IF(D82="","",D82&amp;"|"&amp;A82&amp;"|"&amp;B82&amp;"|"&amp;C82)</f>
        <v/>
      </c>
    </row>
    <row r="83">
      <c r="I83" s="15" t="str">
        <f>IF(D83="","",D83&amp;"|"&amp;A83&amp;"|"&amp;B83&amp;"|"&amp;C83)</f>
        <v/>
      </c>
    </row>
    <row r="84">
      <c r="I84" s="15" t="str">
        <f>IF(D84="","",D84&amp;"|"&amp;A84&amp;"|"&amp;B84&amp;"|"&amp;C84)</f>
        <v/>
      </c>
    </row>
    <row r="85">
      <c r="I85" s="15" t="str">
        <f>IF(D85="","",D85&amp;"|"&amp;A85&amp;"|"&amp;B85&amp;"|"&amp;C85)</f>
        <v/>
      </c>
    </row>
    <row r="86">
      <c r="I86" s="15" t="str">
        <f>IF(D86="","",D86&amp;"|"&amp;A86&amp;"|"&amp;B86&amp;"|"&amp;C86)</f>
        <v/>
      </c>
    </row>
    <row r="87">
      <c r="I87" s="15" t="str">
        <f>IF(D87="","",D87&amp;"|"&amp;A87&amp;"|"&amp;B87&amp;"|"&amp;C87)</f>
        <v/>
      </c>
    </row>
    <row r="88">
      <c r="I88" s="15" t="str">
        <f>IF(D88="","",D88&amp;"|"&amp;A88&amp;"|"&amp;B88&amp;"|"&amp;C88)</f>
        <v/>
      </c>
    </row>
    <row r="89">
      <c r="I89" s="15" t="str">
        <f>IF(D89="","",D89&amp;"|"&amp;A89&amp;"|"&amp;B89&amp;"|"&amp;C89)</f>
        <v/>
      </c>
    </row>
    <row r="90">
      <c r="I90" s="15" t="str">
        <f>IF(D90="","",D90&amp;"|"&amp;A90&amp;"|"&amp;B90&amp;"|"&amp;C90)</f>
        <v/>
      </c>
    </row>
    <row r="91">
      <c r="I91" s="15" t="str">
        <f>IF(D91="","",D91&amp;"|"&amp;A91&amp;"|"&amp;B91&amp;"|"&amp;C91)</f>
        <v/>
      </c>
    </row>
    <row r="92">
      <c r="I92" s="15" t="str">
        <f>IF(D92="","",D92&amp;"|"&amp;A92&amp;"|"&amp;B92&amp;"|"&amp;C92)</f>
        <v/>
      </c>
    </row>
    <row r="93">
      <c r="I93" s="15" t="str">
        <f>IF(D93="","",D93&amp;"|"&amp;A93&amp;"|"&amp;B93&amp;"|"&amp;C93)</f>
        <v/>
      </c>
    </row>
    <row r="94">
      <c r="I94" s="15" t="str">
        <f>IF(D94="","",D94&amp;"|"&amp;A94&amp;"|"&amp;B94&amp;"|"&amp;C94)</f>
        <v/>
      </c>
    </row>
    <row r="95">
      <c r="I95" s="15" t="str">
        <f>IF(D95="","",D95&amp;"|"&amp;A95&amp;"|"&amp;B95&amp;"|"&amp;C95)</f>
        <v/>
      </c>
    </row>
    <row r="96">
      <c r="I96" s="15" t="str">
        <f>IF(D96="","",D96&amp;"|"&amp;A96&amp;"|"&amp;B96&amp;"|"&amp;C96)</f>
        <v/>
      </c>
    </row>
    <row r="97">
      <c r="I97" s="15" t="str">
        <f>IF(D97="","",D97&amp;"|"&amp;A97&amp;"|"&amp;B97&amp;"|"&amp;C97)</f>
        <v/>
      </c>
    </row>
    <row r="98">
      <c r="I98" s="15" t="str">
        <f>IF(D98="","",D98&amp;"|"&amp;A98&amp;"|"&amp;B98&amp;"|"&amp;C98)</f>
        <v/>
      </c>
    </row>
    <row r="99">
      <c r="I99" s="15" t="str">
        <f>IF(D99="","",D99&amp;"|"&amp;A99&amp;"|"&amp;B99&amp;"|"&amp;C99)</f>
        <v/>
      </c>
    </row>
    <row r="100">
      <c r="I100" s="15" t="str">
        <f>IF(D100="","",D100&amp;"|"&amp;A100&amp;"|"&amp;B100&amp;"|"&amp;C100)</f>
        <v/>
      </c>
    </row>
    <row r="101">
      <c r="I101" s="15" t="str">
        <f>IF(D101="","",D101&amp;"|"&amp;A101&amp;"|"&amp;B101&amp;"|"&amp;C101)</f>
        <v/>
      </c>
    </row>
    <row r="102">
      <c r="I102" s="15" t="str">
        <f>IF(D102="","",D102&amp;"|"&amp;A102&amp;"|"&amp;B102&amp;"|"&amp;C102)</f>
        <v/>
      </c>
    </row>
    <row r="103">
      <c r="I103" s="15" t="str">
        <f>IF(D103="","",D103&amp;"|"&amp;A103&amp;"|"&amp;B103&amp;"|"&amp;C103)</f>
        <v/>
      </c>
    </row>
    <row r="104">
      <c r="I104" s="15" t="str">
        <f>IF(D104="","",D104&amp;"|"&amp;A104&amp;"|"&amp;B104&amp;"|"&amp;C104)</f>
        <v/>
      </c>
    </row>
    <row r="105">
      <c r="I105" s="15" t="str">
        <f>IF(D105="","",D105&amp;"|"&amp;A105&amp;"|"&amp;B105&amp;"|"&amp;C105)</f>
        <v/>
      </c>
    </row>
    <row r="106">
      <c r="I106" s="15" t="str">
        <f>IF(D106="","",D106&amp;"|"&amp;A106&amp;"|"&amp;B106&amp;"|"&amp;C106)</f>
        <v/>
      </c>
    </row>
    <row r="107">
      <c r="I107" s="15" t="str">
        <f>IF(D107="","",D107&amp;"|"&amp;A107&amp;"|"&amp;B107&amp;"|"&amp;C107)</f>
        <v/>
      </c>
    </row>
    <row r="108">
      <c r="I108" s="15" t="str">
        <f>IF(D108="","",D108&amp;"|"&amp;A108&amp;"|"&amp;B108&amp;"|"&amp;C108)</f>
        <v/>
      </c>
    </row>
    <row r="109">
      <c r="I109" s="15" t="str">
        <f>IF(D109="","",D109&amp;"|"&amp;A109&amp;"|"&amp;B109&amp;"|"&amp;C109)</f>
        <v/>
      </c>
    </row>
    <row r="110">
      <c r="I110" s="15" t="str">
        <f>IF(D110="","",D110&amp;"|"&amp;A110&amp;"|"&amp;B110&amp;"|"&amp;C110)</f>
        <v/>
      </c>
    </row>
    <row r="111">
      <c r="I111" s="15" t="str">
        <f>IF(D111="","",D111&amp;"|"&amp;A111&amp;"|"&amp;B111&amp;"|"&amp;C111)</f>
        <v/>
      </c>
    </row>
    <row r="112">
      <c r="I112" s="15" t="str">
        <f>IF(D112="","",D112&amp;"|"&amp;A112&amp;"|"&amp;B112&amp;"|"&amp;C112)</f>
        <v/>
      </c>
    </row>
    <row r="113">
      <c r="I113" s="15" t="str">
        <f>IF(D113="","",D113&amp;"|"&amp;A113&amp;"|"&amp;B113&amp;"|"&amp;C113)</f>
        <v/>
      </c>
    </row>
    <row r="114">
      <c r="I114" s="15" t="str">
        <f>IF(D114="","",D114&amp;"|"&amp;A114&amp;"|"&amp;B114&amp;"|"&amp;C114)</f>
        <v/>
      </c>
    </row>
    <row r="115">
      <c r="I115" s="15" t="str">
        <f>IF(D115="","",D115&amp;"|"&amp;A115&amp;"|"&amp;B115&amp;"|"&amp;C115)</f>
        <v/>
      </c>
    </row>
    <row r="116">
      <c r="I116" s="15" t="str">
        <f>IF(D116="","",D116&amp;"|"&amp;A116&amp;"|"&amp;B116&amp;"|"&amp;C116)</f>
        <v/>
      </c>
    </row>
    <row r="117">
      <c r="I117" s="15" t="str">
        <f>IF(D117="","",D117&amp;"|"&amp;A117&amp;"|"&amp;B117&amp;"|"&amp;C117)</f>
        <v/>
      </c>
    </row>
    <row r="118">
      <c r="I118" s="15" t="str">
        <f>IF(D118="","",D118&amp;"|"&amp;A118&amp;"|"&amp;B118&amp;"|"&amp;C118)</f>
        <v/>
      </c>
    </row>
    <row r="119">
      <c r="I119" s="15" t="str">
        <f>IF(D119="","",D119&amp;"|"&amp;A119&amp;"|"&amp;B119&amp;"|"&amp;C119)</f>
        <v/>
      </c>
    </row>
    <row r="120">
      <c r="I120" s="15" t="str">
        <f>IF(D120="","",D120&amp;"|"&amp;A120&amp;"|"&amp;B120&amp;"|"&amp;C120)</f>
        <v/>
      </c>
    </row>
    <row r="121">
      <c r="I121" s="15" t="str">
        <f>IF(D121="","",D121&amp;"|"&amp;A121&amp;"|"&amp;B121&amp;"|"&amp;C121)</f>
        <v/>
      </c>
    </row>
    <row r="122">
      <c r="I122" s="15" t="str">
        <f>IF(D122="","",D122&amp;"|"&amp;A122&amp;"|"&amp;B122&amp;"|"&amp;C122)</f>
        <v/>
      </c>
    </row>
    <row r="123">
      <c r="I123" s="15" t="str">
        <f>IF(D123="","",D123&amp;"|"&amp;A123&amp;"|"&amp;B123&amp;"|"&amp;C123)</f>
        <v/>
      </c>
    </row>
    <row r="124">
      <c r="I124" s="15" t="str">
        <f>IF(D124="","",D124&amp;"|"&amp;A124&amp;"|"&amp;B124&amp;"|"&amp;C124)</f>
        <v/>
      </c>
    </row>
    <row r="125">
      <c r="I125" s="15" t="str">
        <f>IF(D125="","",D125&amp;"|"&amp;A125&amp;"|"&amp;B125&amp;"|"&amp;C125)</f>
        <v/>
      </c>
    </row>
    <row r="126">
      <c r="I126" s="15" t="str">
        <f>IF(D126="","",D126&amp;"|"&amp;A126&amp;"|"&amp;B126&amp;"|"&amp;C126)</f>
        <v/>
      </c>
    </row>
    <row r="127">
      <c r="I127" s="15" t="str">
        <f>IF(D127="","",D127&amp;"|"&amp;A127&amp;"|"&amp;B127&amp;"|"&amp;C127)</f>
        <v/>
      </c>
    </row>
    <row r="128">
      <c r="I128" s="15" t="str">
        <f>IF(D128="","",D128&amp;"|"&amp;A128&amp;"|"&amp;B128&amp;"|"&amp;C128)</f>
        <v/>
      </c>
    </row>
    <row r="129">
      <c r="I129" s="15" t="str">
        <f>IF(D129="","",D129&amp;"|"&amp;A129&amp;"|"&amp;B129&amp;"|"&amp;C129)</f>
        <v/>
      </c>
    </row>
    <row r="130">
      <c r="I130" s="15" t="str">
        <f>IF(D130="","",D130&amp;"|"&amp;A130&amp;"|"&amp;B130&amp;"|"&amp;C130)</f>
        <v/>
      </c>
    </row>
    <row r="131">
      <c r="I131" s="15" t="str">
        <f>IF(D131="","",D131&amp;"|"&amp;A131&amp;"|"&amp;B131&amp;"|"&amp;C131)</f>
        <v/>
      </c>
    </row>
    <row r="132">
      <c r="I132" s="15" t="str">
        <f>IF(D132="","",D132&amp;"|"&amp;A132&amp;"|"&amp;B132&amp;"|"&amp;C132)</f>
        <v/>
      </c>
    </row>
    <row r="133">
      <c r="I133" s="15" t="str">
        <f>IF(D133="","",D133&amp;"|"&amp;A133&amp;"|"&amp;B133&amp;"|"&amp;C133)</f>
        <v/>
      </c>
    </row>
    <row r="134">
      <c r="I134" s="15" t="str">
        <f>IF(D134="","",D134&amp;"|"&amp;A134&amp;"|"&amp;B134&amp;"|"&amp;C134)</f>
        <v/>
      </c>
    </row>
    <row r="135">
      <c r="I135" s="15" t="str">
        <f>IF(D135="","",D135&amp;"|"&amp;A135&amp;"|"&amp;B135&amp;"|"&amp;C135)</f>
        <v/>
      </c>
    </row>
    <row r="136">
      <c r="I136" s="15" t="str">
        <f>IF(D136="","",D136&amp;"|"&amp;A136&amp;"|"&amp;B136&amp;"|"&amp;C136)</f>
        <v/>
      </c>
    </row>
    <row r="137">
      <c r="I137" s="15" t="str">
        <f>IF(D137="","",D137&amp;"|"&amp;A137&amp;"|"&amp;B137&amp;"|"&amp;C137)</f>
        <v/>
      </c>
    </row>
    <row r="138">
      <c r="I138" s="15" t="str">
        <f>IF(D138="","",D138&amp;"|"&amp;A138&amp;"|"&amp;B138&amp;"|"&amp;C138)</f>
        <v/>
      </c>
    </row>
    <row r="139">
      <c r="I139" s="15" t="str">
        <f>IF(D139="","",D139&amp;"|"&amp;A139&amp;"|"&amp;B139&amp;"|"&amp;C139)</f>
        <v/>
      </c>
    </row>
    <row r="140">
      <c r="I140" s="15" t="str">
        <f>IF(D140="","",D140&amp;"|"&amp;A140&amp;"|"&amp;B140&amp;"|"&amp;C140)</f>
        <v/>
      </c>
    </row>
    <row r="141">
      <c r="I141" s="15" t="str">
        <f>IF(D141="","",D141&amp;"|"&amp;A141&amp;"|"&amp;B141&amp;"|"&amp;C141)</f>
        <v/>
      </c>
    </row>
    <row r="142">
      <c r="I142" s="15" t="str">
        <f>IF(D142="","",D142&amp;"|"&amp;A142&amp;"|"&amp;B142&amp;"|"&amp;C142)</f>
        <v/>
      </c>
    </row>
    <row r="143">
      <c r="I143" s="15" t="str">
        <f>IF(D143="","",D143&amp;"|"&amp;A143&amp;"|"&amp;B143&amp;"|"&amp;C143)</f>
        <v/>
      </c>
    </row>
    <row r="144">
      <c r="I144" s="15" t="str">
        <f>IF(D144="","",D144&amp;"|"&amp;A144&amp;"|"&amp;B144&amp;"|"&amp;C144)</f>
        <v/>
      </c>
    </row>
    <row r="145">
      <c r="I145" s="15" t="str">
        <f>IF(D145="","",D145&amp;"|"&amp;A145&amp;"|"&amp;B145&amp;"|"&amp;C145)</f>
        <v/>
      </c>
    </row>
    <row r="146">
      <c r="I146" s="15" t="str">
        <f>IF(D146="","",D146&amp;"|"&amp;A146&amp;"|"&amp;B146&amp;"|"&amp;C146)</f>
        <v/>
      </c>
    </row>
    <row r="147">
      <c r="I147" s="15" t="str">
        <f>IF(D147="","",D147&amp;"|"&amp;A147&amp;"|"&amp;B147&amp;"|"&amp;C147)</f>
        <v/>
      </c>
    </row>
    <row r="148">
      <c r="I148" s="15" t="str">
        <f>IF(D148="","",D148&amp;"|"&amp;A148&amp;"|"&amp;B148&amp;"|"&amp;C148)</f>
        <v/>
      </c>
    </row>
    <row r="149">
      <c r="I149" s="15" t="str">
        <f>IF(D149="","",D149&amp;"|"&amp;A149&amp;"|"&amp;B149&amp;"|"&amp;C149)</f>
        <v/>
      </c>
    </row>
    <row r="150">
      <c r="I150" s="15" t="str">
        <f>IF(D150="","",D150&amp;"|"&amp;A150&amp;"|"&amp;B150&amp;"|"&amp;C150)</f>
        <v/>
      </c>
    </row>
    <row r="151">
      <c r="I151" s="15" t="str">
        <f>IF(D151="","",D151&amp;"|"&amp;A151&amp;"|"&amp;B151&amp;"|"&amp;C151)</f>
        <v/>
      </c>
    </row>
    <row r="152">
      <c r="I152" s="15" t="str">
        <f>IF(D152="","",D152&amp;"|"&amp;A152&amp;"|"&amp;B152&amp;"|"&amp;C152)</f>
        <v/>
      </c>
    </row>
    <row r="153">
      <c r="I153" s="15" t="str">
        <f>IF(D153="","",D153&amp;"|"&amp;A153&amp;"|"&amp;B153&amp;"|"&amp;C153)</f>
        <v/>
      </c>
    </row>
    <row r="154">
      <c r="I154" s="15" t="str">
        <f>IF(D154="","",D154&amp;"|"&amp;A154&amp;"|"&amp;B154&amp;"|"&amp;C154)</f>
        <v/>
      </c>
    </row>
    <row r="155">
      <c r="I155" s="15" t="str">
        <f>IF(D155="","",D155&amp;"|"&amp;A155&amp;"|"&amp;B155&amp;"|"&amp;C155)</f>
        <v/>
      </c>
    </row>
    <row r="156">
      <c r="I156" s="15" t="str">
        <f>IF(D156="","",D156&amp;"|"&amp;A156&amp;"|"&amp;B156&amp;"|"&amp;C156)</f>
        <v/>
      </c>
    </row>
    <row r="157">
      <c r="I157" s="15" t="str">
        <f>IF(D157="","",D157&amp;"|"&amp;A157&amp;"|"&amp;B157&amp;"|"&amp;C157)</f>
        <v/>
      </c>
    </row>
    <row r="158">
      <c r="I158" s="15" t="str">
        <f>IF(D158="","",D158&amp;"|"&amp;A158&amp;"|"&amp;B158&amp;"|"&amp;C158)</f>
        <v/>
      </c>
    </row>
    <row r="159">
      <c r="I159" s="15" t="str">
        <f>IF(D159="","",D159&amp;"|"&amp;A159&amp;"|"&amp;B159&amp;"|"&amp;C159)</f>
        <v/>
      </c>
    </row>
    <row r="160">
      <c r="I160" s="15" t="str">
        <f>IF(D160="","",D160&amp;"|"&amp;A160&amp;"|"&amp;B160&amp;"|"&amp;C160)</f>
        <v/>
      </c>
    </row>
    <row r="161">
      <c r="I161" s="15" t="str">
        <f>IF(D161="","",D161&amp;"|"&amp;A161&amp;"|"&amp;B161&amp;"|"&amp;C161)</f>
        <v/>
      </c>
    </row>
    <row r="162">
      <c r="I162" s="15" t="str">
        <f>IF(D162="","",D162&amp;"|"&amp;A162&amp;"|"&amp;B162&amp;"|"&amp;C162)</f>
        <v/>
      </c>
    </row>
    <row r="163">
      <c r="I163" s="15" t="str">
        <f>IF(D163="","",D163&amp;"|"&amp;A163&amp;"|"&amp;B163&amp;"|"&amp;C163)</f>
        <v/>
      </c>
    </row>
    <row r="164">
      <c r="I164" s="15" t="str">
        <f>IF(D164="","",D164&amp;"|"&amp;A164&amp;"|"&amp;B164&amp;"|"&amp;C164)</f>
        <v/>
      </c>
    </row>
    <row r="165">
      <c r="I165" s="15" t="str">
        <f>IF(D165="","",D165&amp;"|"&amp;A165&amp;"|"&amp;B165&amp;"|"&amp;C165)</f>
        <v/>
      </c>
    </row>
    <row r="166">
      <c r="I166" s="15" t="str">
        <f>IF(D166="","",D166&amp;"|"&amp;A166&amp;"|"&amp;B166&amp;"|"&amp;C166)</f>
        <v/>
      </c>
    </row>
    <row r="167">
      <c r="I167" s="15" t="str">
        <f>IF(D167="","",D167&amp;"|"&amp;A167&amp;"|"&amp;B167&amp;"|"&amp;C167)</f>
        <v/>
      </c>
    </row>
    <row r="168">
      <c r="I168" s="15" t="str">
        <f>IF(D168="","",D168&amp;"|"&amp;A168&amp;"|"&amp;B168&amp;"|"&amp;C168)</f>
        <v/>
      </c>
    </row>
    <row r="169">
      <c r="I169" s="15" t="str">
        <f>IF(D169="","",D169&amp;"|"&amp;A169&amp;"|"&amp;B169&amp;"|"&amp;C169)</f>
        <v/>
      </c>
    </row>
    <row r="170">
      <c r="I170" s="15" t="str">
        <f>IF(D170="","",D170&amp;"|"&amp;A170&amp;"|"&amp;B170&amp;"|"&amp;C170)</f>
        <v/>
      </c>
    </row>
    <row r="171">
      <c r="I171" s="15" t="str">
        <f>IF(D171="","",D171&amp;"|"&amp;A171&amp;"|"&amp;B171&amp;"|"&amp;C171)</f>
        <v/>
      </c>
    </row>
    <row r="172">
      <c r="I172" s="15" t="str">
        <f>IF(D172="","",D172&amp;"|"&amp;A172&amp;"|"&amp;B172&amp;"|"&amp;C172)</f>
        <v/>
      </c>
    </row>
    <row r="173">
      <c r="I173" s="15" t="str">
        <f>IF(D173="","",D173&amp;"|"&amp;A173&amp;"|"&amp;B173&amp;"|"&amp;C173)</f>
        <v/>
      </c>
    </row>
    <row r="174">
      <c r="I174" s="15" t="str">
        <f>IF(D174="","",D174&amp;"|"&amp;A174&amp;"|"&amp;B174&amp;"|"&amp;C174)</f>
        <v/>
      </c>
    </row>
    <row r="175">
      <c r="I175" s="15" t="str">
        <f>IF(D175="","",D175&amp;"|"&amp;A175&amp;"|"&amp;B175&amp;"|"&amp;C175)</f>
        <v/>
      </c>
    </row>
    <row r="176">
      <c r="I176" s="15" t="str">
        <f>IF(D176="","",D176&amp;"|"&amp;A176&amp;"|"&amp;B176&amp;"|"&amp;C176)</f>
        <v/>
      </c>
    </row>
    <row r="177">
      <c r="I177" s="15" t="str">
        <f>IF(D177="","",D177&amp;"|"&amp;A177&amp;"|"&amp;B177&amp;"|"&amp;C177)</f>
        <v/>
      </c>
    </row>
    <row r="178">
      <c r="I178" s="15" t="str">
        <f>IF(D178="","",D178&amp;"|"&amp;A178&amp;"|"&amp;B178&amp;"|"&amp;C178)</f>
        <v/>
      </c>
    </row>
    <row r="179">
      <c r="I179" s="15" t="str">
        <f>IF(D179="","",D179&amp;"|"&amp;A179&amp;"|"&amp;B179&amp;"|"&amp;C179)</f>
        <v/>
      </c>
    </row>
    <row r="180">
      <c r="I180" s="15" t="str">
        <f>IF(D180="","",D180&amp;"|"&amp;A180&amp;"|"&amp;B180&amp;"|"&amp;C180)</f>
        <v/>
      </c>
    </row>
    <row r="181">
      <c r="I181" s="15" t="str">
        <f>IF(D181="","",D181&amp;"|"&amp;A181&amp;"|"&amp;B181&amp;"|"&amp;C181)</f>
        <v/>
      </c>
    </row>
    <row r="182">
      <c r="I182" s="15" t="str">
        <f>IF(D182="","",D182&amp;"|"&amp;A182&amp;"|"&amp;B182&amp;"|"&amp;C182)</f>
        <v/>
      </c>
    </row>
    <row r="183">
      <c r="I183" s="15" t="str">
        <f>IF(D183="","",D183&amp;"|"&amp;A183&amp;"|"&amp;B183&amp;"|"&amp;C183)</f>
        <v/>
      </c>
    </row>
    <row r="184">
      <c r="I184" s="15" t="str">
        <f>IF(D184="","",D184&amp;"|"&amp;A184&amp;"|"&amp;B184&amp;"|"&amp;C184)</f>
        <v/>
      </c>
    </row>
    <row r="185">
      <c r="I185" s="15" t="str">
        <f>IF(D185="","",D185&amp;"|"&amp;A185&amp;"|"&amp;B185&amp;"|"&amp;C185)</f>
        <v/>
      </c>
    </row>
    <row r="186">
      <c r="I186" s="15" t="str">
        <f>IF(D186="","",D186&amp;"|"&amp;A186&amp;"|"&amp;B186&amp;"|"&amp;C186)</f>
        <v/>
      </c>
    </row>
    <row r="187">
      <c r="I187" s="15" t="str">
        <f>IF(D187="","",D187&amp;"|"&amp;A187&amp;"|"&amp;B187&amp;"|"&amp;C187)</f>
        <v/>
      </c>
    </row>
    <row r="188">
      <c r="I188" s="15" t="str">
        <f>IF(D188="","",D188&amp;"|"&amp;A188&amp;"|"&amp;B188&amp;"|"&amp;C188)</f>
        <v/>
      </c>
    </row>
    <row r="189">
      <c r="I189" s="15" t="str">
        <f>IF(D189="","",D189&amp;"|"&amp;A189&amp;"|"&amp;B189&amp;"|"&amp;C189)</f>
        <v/>
      </c>
    </row>
    <row r="190">
      <c r="I190" s="15" t="str">
        <f>IF(D190="","",D190&amp;"|"&amp;A190&amp;"|"&amp;B190&amp;"|"&amp;C190)</f>
        <v/>
      </c>
    </row>
    <row r="191">
      <c r="I191" s="15" t="str">
        <f>IF(D191="","",D191&amp;"|"&amp;A191&amp;"|"&amp;B191&amp;"|"&amp;C191)</f>
        <v/>
      </c>
    </row>
    <row r="192">
      <c r="I192" s="15" t="str">
        <f>IF(D192="","",D192&amp;"|"&amp;A192&amp;"|"&amp;B192&amp;"|"&amp;C192)</f>
        <v/>
      </c>
    </row>
    <row r="193">
      <c r="I193" s="15" t="str">
        <f>IF(D193="","",D193&amp;"|"&amp;A193&amp;"|"&amp;B193&amp;"|"&amp;C193)</f>
        <v/>
      </c>
    </row>
    <row r="194">
      <c r="I194" s="15" t="str">
        <f>IF(D194="","",D194&amp;"|"&amp;A194&amp;"|"&amp;B194&amp;"|"&amp;C194)</f>
        <v/>
      </c>
    </row>
    <row r="195">
      <c r="I195" s="15" t="str">
        <f>IF(D195="","",D195&amp;"|"&amp;A195&amp;"|"&amp;B195&amp;"|"&amp;C195)</f>
        <v/>
      </c>
    </row>
    <row r="196">
      <c r="I196" s="15" t="str">
        <f>IF(D196="","",D196&amp;"|"&amp;A196&amp;"|"&amp;B196&amp;"|"&amp;C196)</f>
        <v/>
      </c>
    </row>
    <row r="197">
      <c r="I197" s="15" t="str">
        <f>IF(D197="","",D197&amp;"|"&amp;A197&amp;"|"&amp;B197&amp;"|"&amp;C197)</f>
        <v/>
      </c>
    </row>
    <row r="198">
      <c r="I198" s="15" t="str">
        <f>IF(D198="","",D198&amp;"|"&amp;A198&amp;"|"&amp;B198&amp;"|"&amp;C198)</f>
        <v/>
      </c>
    </row>
    <row r="199">
      <c r="I199" s="15" t="str">
        <f>IF(D199="","",D199&amp;"|"&amp;A199&amp;"|"&amp;B199&amp;"|"&amp;C199)</f>
        <v/>
      </c>
    </row>
    <row r="200">
      <c r="I200" s="15" t="str">
        <f>IF(D200="","",D200&amp;"|"&amp;A200&amp;"|"&amp;B200&amp;"|"&amp;C200)</f>
        <v/>
      </c>
    </row>
    <row r="201">
      <c r="I201" s="15" t="str">
        <f>IF(D201="","",D201&amp;"|"&amp;A201&amp;"|"&amp;B201&amp;"|"&amp;C201)</f>
        <v/>
      </c>
    </row>
    <row r="202">
      <c r="I202" s="15" t="str">
        <f>IF(D202="","",D202&amp;"|"&amp;A202&amp;"|"&amp;B202&amp;"|"&amp;C202)</f>
        <v/>
      </c>
    </row>
    <row r="203">
      <c r="I203" s="15" t="str">
        <f>IF(D203="","",D203&amp;"|"&amp;A203&amp;"|"&amp;B203&amp;"|"&amp;C203)</f>
        <v/>
      </c>
    </row>
    <row r="204">
      <c r="I204" s="15" t="str">
        <f>IF(D204="","",D204&amp;"|"&amp;A204&amp;"|"&amp;B204&amp;"|"&amp;C204)</f>
        <v/>
      </c>
    </row>
    <row r="205">
      <c r="I205" s="15" t="str">
        <f>IF(D205="","",D205&amp;"|"&amp;A205&amp;"|"&amp;B205&amp;"|"&amp;C205)</f>
        <v/>
      </c>
    </row>
    <row r="206">
      <c r="I206" s="15" t="str">
        <f>IF(D206="","",D206&amp;"|"&amp;A206&amp;"|"&amp;B206&amp;"|"&amp;C206)</f>
        <v/>
      </c>
    </row>
    <row r="207">
      <c r="I207" s="15" t="str">
        <f>IF(D207="","",D207&amp;"|"&amp;A207&amp;"|"&amp;B207&amp;"|"&amp;C207)</f>
        <v/>
      </c>
    </row>
    <row r="208">
      <c r="I208" s="15" t="str">
        <f>IF(D208="","",D208&amp;"|"&amp;A208&amp;"|"&amp;B208&amp;"|"&amp;C208)</f>
        <v/>
      </c>
    </row>
    <row r="209">
      <c r="I209" s="15" t="str">
        <f>IF(D209="","",D209&amp;"|"&amp;A209&amp;"|"&amp;B209&amp;"|"&amp;C209)</f>
        <v/>
      </c>
    </row>
    <row r="210">
      <c r="I210" s="15" t="str">
        <f>IF(D210="","",D210&amp;"|"&amp;A210&amp;"|"&amp;B210&amp;"|"&amp;C210)</f>
        <v/>
      </c>
    </row>
    <row r="211">
      <c r="I211" s="15" t="str">
        <f>IF(D211="","",D211&amp;"|"&amp;A211&amp;"|"&amp;B211&amp;"|"&amp;C211)</f>
        <v/>
      </c>
    </row>
    <row r="212">
      <c r="I212" s="15" t="str">
        <f>IF(D212="","",D212&amp;"|"&amp;A212&amp;"|"&amp;B212&amp;"|"&amp;C212)</f>
        <v/>
      </c>
    </row>
    <row r="213">
      <c r="I213" s="15" t="str">
        <f>IF(D213="","",D213&amp;"|"&amp;A213&amp;"|"&amp;B213&amp;"|"&amp;C213)</f>
        <v/>
      </c>
    </row>
    <row r="214">
      <c r="I214" s="15" t="str">
        <f>IF(D214="","",D214&amp;"|"&amp;A214&amp;"|"&amp;B214&amp;"|"&amp;C214)</f>
        <v/>
      </c>
    </row>
    <row r="215">
      <c r="I215" s="15" t="str">
        <f>IF(D215="","",D215&amp;"|"&amp;A215&amp;"|"&amp;B215&amp;"|"&amp;C215)</f>
        <v/>
      </c>
    </row>
    <row r="216">
      <c r="I216" s="15" t="str">
        <f>IF(D216="","",D216&amp;"|"&amp;A216&amp;"|"&amp;B216&amp;"|"&amp;C216)</f>
        <v/>
      </c>
    </row>
    <row r="217">
      <c r="I217" s="15" t="str">
        <f>IF(D217="","",D217&amp;"|"&amp;A217&amp;"|"&amp;B217&amp;"|"&amp;C217)</f>
        <v/>
      </c>
    </row>
    <row r="218">
      <c r="I218" s="15" t="str">
        <f>IF(D218="","",D218&amp;"|"&amp;A218&amp;"|"&amp;B218&amp;"|"&amp;C218)</f>
        <v/>
      </c>
    </row>
    <row r="219">
      <c r="I219" s="15" t="str">
        <f>IF(D219="","",D219&amp;"|"&amp;A219&amp;"|"&amp;B219&amp;"|"&amp;C219)</f>
        <v/>
      </c>
    </row>
    <row r="220">
      <c r="I220" s="15" t="str">
        <f>IF(D220="","",D220&amp;"|"&amp;A220&amp;"|"&amp;B220&amp;"|"&amp;C220)</f>
        <v/>
      </c>
    </row>
    <row r="221">
      <c r="I221" s="15" t="str">
        <f>IF(D221="","",D221&amp;"|"&amp;A221&amp;"|"&amp;B221&amp;"|"&amp;C221)</f>
        <v/>
      </c>
    </row>
    <row r="222">
      <c r="I222" s="15" t="str">
        <f>IF(D222="","",D222&amp;"|"&amp;A222&amp;"|"&amp;B222&amp;"|"&amp;C222)</f>
        <v/>
      </c>
    </row>
    <row r="223">
      <c r="I223" s="15" t="str">
        <f>IF(D223="","",D223&amp;"|"&amp;A223&amp;"|"&amp;B223&amp;"|"&amp;C223)</f>
        <v/>
      </c>
    </row>
    <row r="224">
      <c r="I224" s="15" t="str">
        <f>IF(D224="","",D224&amp;"|"&amp;A224&amp;"|"&amp;B224&amp;"|"&amp;C224)</f>
        <v/>
      </c>
    </row>
    <row r="225">
      <c r="I225" s="15" t="str">
        <f>IF(D225="","",D225&amp;"|"&amp;A225&amp;"|"&amp;B225&amp;"|"&amp;C225)</f>
        <v/>
      </c>
    </row>
    <row r="226">
      <c r="I226" s="15" t="str">
        <f>IF(D226="","",D226&amp;"|"&amp;A226&amp;"|"&amp;B226&amp;"|"&amp;C226)</f>
        <v/>
      </c>
    </row>
    <row r="227">
      <c r="I227" s="15" t="str">
        <f>IF(D227="","",D227&amp;"|"&amp;A227&amp;"|"&amp;B227&amp;"|"&amp;C227)</f>
        <v/>
      </c>
    </row>
    <row r="228">
      <c r="I228" s="15" t="str">
        <f>IF(D228="","",D228&amp;"|"&amp;A228&amp;"|"&amp;B228&amp;"|"&amp;C228)</f>
        <v/>
      </c>
    </row>
    <row r="229">
      <c r="I229" s="15" t="str">
        <f>IF(D229="","",D229&amp;"|"&amp;A229&amp;"|"&amp;B229&amp;"|"&amp;C229)</f>
        <v/>
      </c>
    </row>
    <row r="230">
      <c r="I230" s="15" t="str">
        <f>IF(D230="","",D230&amp;"|"&amp;A230&amp;"|"&amp;B230&amp;"|"&amp;C230)</f>
        <v/>
      </c>
    </row>
    <row r="231">
      <c r="I231" s="15" t="str">
        <f>IF(D231="","",D231&amp;"|"&amp;A231&amp;"|"&amp;B231&amp;"|"&amp;C231)</f>
        <v/>
      </c>
    </row>
    <row r="232">
      <c r="I232" s="15" t="str">
        <f>IF(D232="","",D232&amp;"|"&amp;A232&amp;"|"&amp;B232&amp;"|"&amp;C232)</f>
        <v/>
      </c>
    </row>
    <row r="233">
      <c r="I233" s="15" t="str">
        <f>IF(D233="","",D233&amp;"|"&amp;A233&amp;"|"&amp;B233&amp;"|"&amp;C233)</f>
        <v/>
      </c>
    </row>
    <row r="234">
      <c r="I234" s="15" t="str">
        <f>IF(D234="","",D234&amp;"|"&amp;A234&amp;"|"&amp;B234&amp;"|"&amp;C234)</f>
        <v/>
      </c>
    </row>
    <row r="235">
      <c r="I235" s="15" t="str">
        <f>IF(D235="","",D235&amp;"|"&amp;A235&amp;"|"&amp;B235&amp;"|"&amp;C235)</f>
        <v/>
      </c>
    </row>
    <row r="236">
      <c r="I236" s="15" t="str">
        <f>IF(D236="","",D236&amp;"|"&amp;A236&amp;"|"&amp;B236&amp;"|"&amp;C236)</f>
        <v/>
      </c>
    </row>
    <row r="237">
      <c r="I237" s="15" t="str">
        <f>IF(D237="","",D237&amp;"|"&amp;A237&amp;"|"&amp;B237&amp;"|"&amp;C237)</f>
        <v/>
      </c>
    </row>
    <row r="238">
      <c r="I238" s="15" t="str">
        <f>IF(D238="","",D238&amp;"|"&amp;A238&amp;"|"&amp;B238&amp;"|"&amp;C238)</f>
        <v/>
      </c>
    </row>
    <row r="239">
      <c r="I239" s="15" t="str">
        <f>IF(D239="","",D239&amp;"|"&amp;A239&amp;"|"&amp;B239&amp;"|"&amp;C239)</f>
        <v/>
      </c>
    </row>
    <row r="240">
      <c r="I240" s="15" t="str">
        <f>IF(D240="","",D240&amp;"|"&amp;A240&amp;"|"&amp;B240&amp;"|"&amp;C240)</f>
        <v/>
      </c>
    </row>
    <row r="241">
      <c r="I241" s="15" t="str">
        <f>IF(D241="","",D241&amp;"|"&amp;A241&amp;"|"&amp;B241&amp;"|"&amp;C241)</f>
        <v/>
      </c>
    </row>
    <row r="242">
      <c r="I242" s="15" t="str">
        <f>IF(D242="","",D242&amp;"|"&amp;A242&amp;"|"&amp;B242&amp;"|"&amp;C242)</f>
        <v/>
      </c>
    </row>
    <row r="243">
      <c r="I243" s="15" t="str">
        <f>IF(D243="","",D243&amp;"|"&amp;A243&amp;"|"&amp;B243&amp;"|"&amp;C243)</f>
        <v/>
      </c>
    </row>
    <row r="244">
      <c r="I244" s="15" t="str">
        <f>IF(D244="","",D244&amp;"|"&amp;A244&amp;"|"&amp;B244&amp;"|"&amp;C244)</f>
        <v/>
      </c>
    </row>
    <row r="245">
      <c r="I245" s="15" t="str">
        <f>IF(D245="","",D245&amp;"|"&amp;A245&amp;"|"&amp;B245&amp;"|"&amp;C245)</f>
        <v/>
      </c>
    </row>
    <row r="246">
      <c r="I246" s="15" t="str">
        <f>IF(D246="","",D246&amp;"|"&amp;A246&amp;"|"&amp;B246&amp;"|"&amp;C246)</f>
        <v/>
      </c>
    </row>
    <row r="247">
      <c r="I247" s="15" t="str">
        <f>IF(D247="","",D247&amp;"|"&amp;A247&amp;"|"&amp;B247&amp;"|"&amp;C247)</f>
        <v/>
      </c>
    </row>
    <row r="248">
      <c r="I248" s="15" t="str">
        <f>IF(D248="","",D248&amp;"|"&amp;A248&amp;"|"&amp;B248&amp;"|"&amp;C248)</f>
        <v/>
      </c>
    </row>
    <row r="249">
      <c r="I249" s="15" t="str">
        <f>IF(D249="","",D249&amp;"|"&amp;A249&amp;"|"&amp;B249&amp;"|"&amp;C249)</f>
        <v/>
      </c>
    </row>
    <row r="250">
      <c r="I250" s="15" t="str">
        <f>IF(D250="","",D250&amp;"|"&amp;A250&amp;"|"&amp;B250&amp;"|"&amp;C250)</f>
        <v/>
      </c>
    </row>
    <row r="251">
      <c r="I251" s="15" t="str">
        <f>IF(D251="","",D251&amp;"|"&amp;A251&amp;"|"&amp;B251&amp;"|"&amp;C251)</f>
        <v/>
      </c>
    </row>
    <row r="252">
      <c r="I252" s="15" t="str">
        <f>IF(D252="","",D252&amp;"|"&amp;A252&amp;"|"&amp;B252&amp;"|"&amp;C252)</f>
        <v/>
      </c>
    </row>
    <row r="253">
      <c r="I253" s="15" t="str">
        <f>IF(D253="","",D253&amp;"|"&amp;A253&amp;"|"&amp;B253&amp;"|"&amp;C253)</f>
        <v/>
      </c>
    </row>
    <row r="254">
      <c r="I254" s="15" t="str">
        <f>IF(D254="","",D254&amp;"|"&amp;A254&amp;"|"&amp;B254&amp;"|"&amp;C254)</f>
        <v/>
      </c>
    </row>
    <row r="255">
      <c r="I255" s="15" t="str">
        <f>IF(D255="","",D255&amp;"|"&amp;A255&amp;"|"&amp;B255&amp;"|"&amp;C255)</f>
        <v/>
      </c>
    </row>
    <row r="256">
      <c r="I256" s="15" t="str">
        <f>IF(D256="","",D256&amp;"|"&amp;A256&amp;"|"&amp;B256&amp;"|"&amp;C256)</f>
        <v/>
      </c>
    </row>
    <row r="257">
      <c r="I257" s="15" t="str">
        <f>IF(D257="","",D257&amp;"|"&amp;A257&amp;"|"&amp;B257&amp;"|"&amp;C257)</f>
        <v/>
      </c>
    </row>
    <row r="258">
      <c r="I258" s="15" t="str">
        <f>IF(D258="","",D258&amp;"|"&amp;A258&amp;"|"&amp;B258&amp;"|"&amp;C258)</f>
        <v/>
      </c>
    </row>
    <row r="259">
      <c r="I259" s="15" t="str">
        <f>IF(D259="","",D259&amp;"|"&amp;A259&amp;"|"&amp;B259&amp;"|"&amp;C259)</f>
        <v/>
      </c>
    </row>
    <row r="260">
      <c r="I260" s="15" t="str">
        <f>IF(D260="","",D260&amp;"|"&amp;A260&amp;"|"&amp;B260&amp;"|"&amp;C260)</f>
        <v/>
      </c>
    </row>
    <row r="261">
      <c r="I261" s="15" t="str">
        <f>IF(D261="","",D261&amp;"|"&amp;A261&amp;"|"&amp;B261&amp;"|"&amp;C261)</f>
        <v/>
      </c>
    </row>
    <row r="262">
      <c r="I262" s="15" t="str">
        <f>IF(D262="","",D262&amp;"|"&amp;A262&amp;"|"&amp;B262&amp;"|"&amp;C262)</f>
        <v/>
      </c>
    </row>
    <row r="263">
      <c r="I263" s="15" t="str">
        <f>IF(D263="","",D263&amp;"|"&amp;A263&amp;"|"&amp;B263&amp;"|"&amp;C263)</f>
        <v/>
      </c>
    </row>
    <row r="264">
      <c r="I264" s="15" t="str">
        <f>IF(D264="","",D264&amp;"|"&amp;A264&amp;"|"&amp;B264&amp;"|"&amp;C264)</f>
        <v/>
      </c>
    </row>
    <row r="265">
      <c r="I265" s="15" t="str">
        <f>IF(D265="","",D265&amp;"|"&amp;A265&amp;"|"&amp;B265&amp;"|"&amp;C265)</f>
        <v/>
      </c>
    </row>
    <row r="266">
      <c r="I266" s="15" t="str">
        <f>IF(D266="","",D266&amp;"|"&amp;A266&amp;"|"&amp;B266&amp;"|"&amp;C266)</f>
        <v/>
      </c>
    </row>
    <row r="267">
      <c r="I267" s="15" t="str">
        <f>IF(D267="","",D267&amp;"|"&amp;A267&amp;"|"&amp;B267&amp;"|"&amp;C267)</f>
        <v/>
      </c>
    </row>
    <row r="268">
      <c r="I268" s="15" t="str">
        <f>IF(D268="","",D268&amp;"|"&amp;A268&amp;"|"&amp;B268&amp;"|"&amp;C268)</f>
        <v/>
      </c>
    </row>
    <row r="269">
      <c r="I269" s="15" t="str">
        <f>IF(D269="","",D269&amp;"|"&amp;A269&amp;"|"&amp;B269&amp;"|"&amp;C269)</f>
        <v/>
      </c>
    </row>
    <row r="270">
      <c r="I270" s="15" t="str">
        <f>IF(D270="","",D270&amp;"|"&amp;A270&amp;"|"&amp;B270&amp;"|"&amp;C270)</f>
        <v/>
      </c>
    </row>
    <row r="271">
      <c r="I271" s="15" t="str">
        <f>IF(D271="","",D271&amp;"|"&amp;A271&amp;"|"&amp;B271&amp;"|"&amp;C271)</f>
        <v/>
      </c>
    </row>
    <row r="272">
      <c r="I272" s="15" t="str">
        <f>IF(D272="","",D272&amp;"|"&amp;A272&amp;"|"&amp;B272&amp;"|"&amp;C272)</f>
        <v/>
      </c>
    </row>
    <row r="273">
      <c r="I273" s="15" t="str">
        <f>IF(D273="","",D273&amp;"|"&amp;A273&amp;"|"&amp;B273&amp;"|"&amp;C273)</f>
        <v/>
      </c>
    </row>
    <row r="274">
      <c r="I274" s="15" t="str">
        <f>IF(D274="","",D274&amp;"|"&amp;A274&amp;"|"&amp;B274&amp;"|"&amp;C274)</f>
        <v/>
      </c>
    </row>
    <row r="275">
      <c r="I275" s="15" t="str">
        <f>IF(D275="","",D275&amp;"|"&amp;A275&amp;"|"&amp;B275&amp;"|"&amp;C275)</f>
        <v/>
      </c>
    </row>
    <row r="276">
      <c r="I276" s="15" t="str">
        <f>IF(D276="","",D276&amp;"|"&amp;A276&amp;"|"&amp;B276&amp;"|"&amp;C276)</f>
        <v/>
      </c>
    </row>
    <row r="277">
      <c r="I277" s="15" t="str">
        <f>IF(D277="","",D277&amp;"|"&amp;A277&amp;"|"&amp;B277&amp;"|"&amp;C277)</f>
        <v/>
      </c>
    </row>
    <row r="278">
      <c r="I278" s="15" t="str">
        <f>IF(D278="","",D278&amp;"|"&amp;A278&amp;"|"&amp;B278&amp;"|"&amp;C278)</f>
        <v/>
      </c>
    </row>
    <row r="279">
      <c r="I279" s="15" t="str">
        <f>IF(D279="","",D279&amp;"|"&amp;A279&amp;"|"&amp;B279&amp;"|"&amp;C279)</f>
        <v/>
      </c>
    </row>
    <row r="280">
      <c r="I280" s="15" t="str">
        <f>IF(D280="","",D280&amp;"|"&amp;A280&amp;"|"&amp;B280&amp;"|"&amp;C280)</f>
        <v/>
      </c>
    </row>
    <row r="281">
      <c r="I281" s="15" t="str">
        <f>IF(D281="","",D281&amp;"|"&amp;A281&amp;"|"&amp;B281&amp;"|"&amp;C281)</f>
        <v/>
      </c>
    </row>
    <row r="282">
      <c r="I282" s="15" t="str">
        <f>IF(D282="","",D282&amp;"|"&amp;A282&amp;"|"&amp;B282&amp;"|"&amp;C282)</f>
        <v/>
      </c>
    </row>
    <row r="283">
      <c r="I283" s="15" t="str">
        <f>IF(D283="","",D283&amp;"|"&amp;A283&amp;"|"&amp;B283&amp;"|"&amp;C283)</f>
        <v/>
      </c>
    </row>
    <row r="284">
      <c r="I284" s="15" t="str">
        <f>IF(D284="","",D284&amp;"|"&amp;A284&amp;"|"&amp;B284&amp;"|"&amp;C284)</f>
        <v/>
      </c>
    </row>
    <row r="285">
      <c r="I285" s="15" t="str">
        <f>IF(D285="","",D285&amp;"|"&amp;A285&amp;"|"&amp;B285&amp;"|"&amp;C285)</f>
        <v/>
      </c>
    </row>
    <row r="286">
      <c r="I286" s="15" t="str">
        <f>IF(D286="","",D286&amp;"|"&amp;A286&amp;"|"&amp;B286&amp;"|"&amp;C286)</f>
        <v/>
      </c>
    </row>
    <row r="287">
      <c r="I287" s="15" t="str">
        <f>IF(D287="","",D287&amp;"|"&amp;A287&amp;"|"&amp;B287&amp;"|"&amp;C287)</f>
        <v/>
      </c>
    </row>
    <row r="288">
      <c r="I288" s="15" t="str">
        <f>IF(D288="","",D288&amp;"|"&amp;A288&amp;"|"&amp;B288&amp;"|"&amp;C288)</f>
        <v/>
      </c>
    </row>
    <row r="289">
      <c r="I289" s="15" t="str">
        <f>IF(D289="","",D289&amp;"|"&amp;A289&amp;"|"&amp;B289&amp;"|"&amp;C289)</f>
        <v/>
      </c>
    </row>
    <row r="290">
      <c r="I290" s="15" t="str">
        <f>IF(D290="","",D290&amp;"|"&amp;A290&amp;"|"&amp;B290&amp;"|"&amp;C290)</f>
        <v/>
      </c>
    </row>
    <row r="291">
      <c r="I291" s="15" t="str">
        <f>IF(D291="","",D291&amp;"|"&amp;A291&amp;"|"&amp;B291&amp;"|"&amp;C291)</f>
        <v/>
      </c>
    </row>
    <row r="292">
      <c r="I292" s="15" t="str">
        <f>IF(D292="","",D292&amp;"|"&amp;A292&amp;"|"&amp;B292&amp;"|"&amp;C292)</f>
        <v/>
      </c>
    </row>
    <row r="293">
      <c r="I293" s="15" t="str">
        <f>IF(D293="","",D293&amp;"|"&amp;A293&amp;"|"&amp;B293&amp;"|"&amp;C293)</f>
        <v/>
      </c>
    </row>
    <row r="294">
      <c r="I294" s="15" t="str">
        <f>IF(D294="","",D294&amp;"|"&amp;A294&amp;"|"&amp;B294&amp;"|"&amp;C294)</f>
        <v/>
      </c>
    </row>
    <row r="295">
      <c r="I295" s="15" t="str">
        <f>IF(D295="","",D295&amp;"|"&amp;A295&amp;"|"&amp;B295&amp;"|"&amp;C295)</f>
        <v/>
      </c>
    </row>
    <row r="296">
      <c r="I296" s="15" t="str">
        <f>IF(D296="","",D296&amp;"|"&amp;A296&amp;"|"&amp;B296&amp;"|"&amp;C296)</f>
        <v/>
      </c>
    </row>
    <row r="297">
      <c r="I297" s="15" t="str">
        <f>IF(D297="","",D297&amp;"|"&amp;A297&amp;"|"&amp;B297&amp;"|"&amp;C297)</f>
        <v/>
      </c>
    </row>
    <row r="298">
      <c r="I298" s="15" t="str">
        <f>IF(D298="","",D298&amp;"|"&amp;A298&amp;"|"&amp;B298&amp;"|"&amp;C298)</f>
        <v/>
      </c>
    </row>
    <row r="299">
      <c r="I299" s="15" t="str">
        <f>IF(D299="","",D299&amp;"|"&amp;A299&amp;"|"&amp;B299&amp;"|"&amp;C299)</f>
        <v/>
      </c>
    </row>
    <row r="300">
      <c r="I300" s="15" t="str">
        <f>IF(D300="","",D300&amp;"|"&amp;A300&amp;"|"&amp;B300&amp;"|"&amp;C300)</f>
        <v/>
      </c>
    </row>
    <row r="301">
      <c r="I301" s="15" t="str">
        <f>IF(D301="","",D301&amp;"|"&amp;A301&amp;"|"&amp;B301&amp;"|"&amp;C301)</f>
        <v/>
      </c>
    </row>
    <row r="302">
      <c r="I302" s="15" t="str">
        <f>IF(D302="","",D302&amp;"|"&amp;A302&amp;"|"&amp;B302&amp;"|"&amp;C302)</f>
        <v/>
      </c>
    </row>
    <row r="303">
      <c r="I303" s="15" t="str">
        <f>IF(D303="","",D303&amp;"|"&amp;A303&amp;"|"&amp;B303&amp;"|"&amp;C303)</f>
        <v/>
      </c>
    </row>
    <row r="304">
      <c r="I304" s="15" t="str">
        <f>IF(D304="","",D304&amp;"|"&amp;A304&amp;"|"&amp;B304&amp;"|"&amp;C304)</f>
        <v/>
      </c>
    </row>
    <row r="305">
      <c r="I305" s="15" t="str">
        <f>IF(D305="","",D305&amp;"|"&amp;A305&amp;"|"&amp;B305&amp;"|"&amp;C305)</f>
        <v/>
      </c>
    </row>
    <row r="306">
      <c r="I306" s="15" t="str">
        <f>IF(D306="","",D306&amp;"|"&amp;A306&amp;"|"&amp;B306&amp;"|"&amp;C306)</f>
        <v/>
      </c>
    </row>
    <row r="307">
      <c r="I307" s="15" t="str">
        <f>IF(D307="","",D307&amp;"|"&amp;A307&amp;"|"&amp;B307&amp;"|"&amp;C307)</f>
        <v/>
      </c>
    </row>
    <row r="308">
      <c r="I308" s="15" t="str">
        <f>IF(D308="","",D308&amp;"|"&amp;A308&amp;"|"&amp;B308&amp;"|"&amp;C308)</f>
        <v/>
      </c>
    </row>
    <row r="309">
      <c r="I309" s="15" t="str">
        <f>IF(D309="","",D309&amp;"|"&amp;A309&amp;"|"&amp;B309&amp;"|"&amp;C309)</f>
        <v/>
      </c>
    </row>
    <row r="310">
      <c r="I310" s="15" t="str">
        <f>IF(D310="","",D310&amp;"|"&amp;A310&amp;"|"&amp;B310&amp;"|"&amp;C310)</f>
        <v/>
      </c>
    </row>
    <row r="311">
      <c r="I311" s="15" t="str">
        <f>IF(D311="","",D311&amp;"|"&amp;A311&amp;"|"&amp;B311&amp;"|"&amp;C311)</f>
        <v/>
      </c>
    </row>
    <row r="312">
      <c r="I312" s="15" t="str">
        <f>IF(D312="","",D312&amp;"|"&amp;A312&amp;"|"&amp;B312&amp;"|"&amp;C312)</f>
        <v/>
      </c>
    </row>
    <row r="313">
      <c r="I313" s="15" t="str">
        <f>IF(D313="","",D313&amp;"|"&amp;A313&amp;"|"&amp;B313&amp;"|"&amp;C313)</f>
        <v/>
      </c>
    </row>
    <row r="314">
      <c r="I314" s="15" t="str">
        <f>IF(D314="","",D314&amp;"|"&amp;A314&amp;"|"&amp;B314&amp;"|"&amp;C314)</f>
        <v/>
      </c>
    </row>
    <row r="315">
      <c r="I315" s="15" t="str">
        <f>IF(D315="","",D315&amp;"|"&amp;A315&amp;"|"&amp;B315&amp;"|"&amp;C315)</f>
        <v/>
      </c>
    </row>
    <row r="316">
      <c r="I316" s="15" t="str">
        <f>IF(D316="","",D316&amp;"|"&amp;A316&amp;"|"&amp;B316&amp;"|"&amp;C316)</f>
        <v/>
      </c>
    </row>
    <row r="317">
      <c r="I317" s="15" t="str">
        <f>IF(D317="","",D317&amp;"|"&amp;A317&amp;"|"&amp;B317&amp;"|"&amp;C317)</f>
        <v/>
      </c>
    </row>
    <row r="318">
      <c r="I318" s="15" t="str">
        <f>IF(D318="","",D318&amp;"|"&amp;A318&amp;"|"&amp;B318&amp;"|"&amp;C318)</f>
        <v/>
      </c>
    </row>
    <row r="319">
      <c r="I319" s="15" t="str">
        <f>IF(D319="","",D319&amp;"|"&amp;A319&amp;"|"&amp;B319&amp;"|"&amp;C319)</f>
        <v/>
      </c>
    </row>
    <row r="320">
      <c r="I320" s="15" t="str">
        <f>IF(D320="","",D320&amp;"|"&amp;A320&amp;"|"&amp;B320&amp;"|"&amp;C320)</f>
        <v/>
      </c>
    </row>
    <row r="321">
      <c r="I321" s="15" t="str">
        <f>IF(D321="","",D321&amp;"|"&amp;A321&amp;"|"&amp;B321&amp;"|"&amp;C321)</f>
        <v/>
      </c>
    </row>
    <row r="322">
      <c r="I322" s="15" t="str">
        <f>IF(D322="","",D322&amp;"|"&amp;A322&amp;"|"&amp;B322&amp;"|"&amp;C322)</f>
        <v/>
      </c>
    </row>
    <row r="323">
      <c r="I323" s="15" t="str">
        <f>IF(D323="","",D323&amp;"|"&amp;A323&amp;"|"&amp;B323&amp;"|"&amp;C323)</f>
        <v/>
      </c>
    </row>
    <row r="324">
      <c r="I324" s="15" t="str">
        <f>IF(D324="","",D324&amp;"|"&amp;A324&amp;"|"&amp;B324&amp;"|"&amp;C324)</f>
        <v/>
      </c>
    </row>
    <row r="325">
      <c r="I325" s="15" t="str">
        <f>IF(D325="","",D325&amp;"|"&amp;A325&amp;"|"&amp;B325&amp;"|"&amp;C325)</f>
        <v/>
      </c>
    </row>
    <row r="326">
      <c r="I326" s="15" t="str">
        <f>IF(D326="","",D326&amp;"|"&amp;A326&amp;"|"&amp;B326&amp;"|"&amp;C326)</f>
        <v/>
      </c>
    </row>
    <row r="327">
      <c r="I327" s="15" t="str">
        <f>IF(D327="","",D327&amp;"|"&amp;A327&amp;"|"&amp;B327&amp;"|"&amp;C327)</f>
        <v/>
      </c>
    </row>
    <row r="328">
      <c r="I328" s="15" t="str">
        <f>IF(D328="","",D328&amp;"|"&amp;A328&amp;"|"&amp;B328&amp;"|"&amp;C328)</f>
        <v/>
      </c>
    </row>
    <row r="329">
      <c r="I329" s="15" t="str">
        <f>IF(D329="","",D329&amp;"|"&amp;A329&amp;"|"&amp;B329&amp;"|"&amp;C329)</f>
        <v/>
      </c>
    </row>
    <row r="330">
      <c r="I330" s="15" t="str">
        <f>IF(D330="","",D330&amp;"|"&amp;A330&amp;"|"&amp;B330&amp;"|"&amp;C330)</f>
        <v/>
      </c>
    </row>
    <row r="331">
      <c r="I331" s="15" t="str">
        <f>IF(D331="","",D331&amp;"|"&amp;A331&amp;"|"&amp;B331&amp;"|"&amp;C331)</f>
        <v/>
      </c>
    </row>
    <row r="332">
      <c r="I332" s="15" t="str">
        <f>IF(D332="","",D332&amp;"|"&amp;A332&amp;"|"&amp;B332&amp;"|"&amp;C332)</f>
        <v/>
      </c>
    </row>
    <row r="333">
      <c r="I333" s="15" t="str">
        <f>IF(D333="","",D333&amp;"|"&amp;A333&amp;"|"&amp;B333&amp;"|"&amp;C333)</f>
        <v/>
      </c>
    </row>
    <row r="334">
      <c r="I334" s="15" t="str">
        <f>IF(D334="","",D334&amp;"|"&amp;A334&amp;"|"&amp;B334&amp;"|"&amp;C334)</f>
        <v/>
      </c>
    </row>
    <row r="335">
      <c r="I335" s="15" t="str">
        <f>IF(D335="","",D335&amp;"|"&amp;A335&amp;"|"&amp;B335&amp;"|"&amp;C335)</f>
        <v/>
      </c>
    </row>
    <row r="336">
      <c r="I336" s="15" t="str">
        <f>IF(D336="","",D336&amp;"|"&amp;A336&amp;"|"&amp;B336&amp;"|"&amp;C336)</f>
        <v/>
      </c>
    </row>
    <row r="337">
      <c r="I337" s="15" t="str">
        <f>IF(D337="","",D337&amp;"|"&amp;A337&amp;"|"&amp;B337&amp;"|"&amp;C337)</f>
        <v/>
      </c>
    </row>
    <row r="338">
      <c r="I338" s="15" t="str">
        <f>IF(D338="","",D338&amp;"|"&amp;A338&amp;"|"&amp;B338&amp;"|"&amp;C338)</f>
        <v/>
      </c>
    </row>
    <row r="339">
      <c r="I339" s="15" t="str">
        <f>IF(D339="","",D339&amp;"|"&amp;A339&amp;"|"&amp;B339&amp;"|"&amp;C339)</f>
        <v/>
      </c>
    </row>
    <row r="340">
      <c r="I340" s="15" t="str">
        <f>IF(D340="","",D340&amp;"|"&amp;A340&amp;"|"&amp;B340&amp;"|"&amp;C340)</f>
        <v/>
      </c>
    </row>
    <row r="341">
      <c r="I341" s="15" t="str">
        <f>IF(D341="","",D341&amp;"|"&amp;A341&amp;"|"&amp;B341&amp;"|"&amp;C341)</f>
        <v/>
      </c>
    </row>
    <row r="342">
      <c r="I342" s="15" t="str">
        <f>IF(D342="","",D342&amp;"|"&amp;A342&amp;"|"&amp;B342&amp;"|"&amp;C342)</f>
        <v/>
      </c>
    </row>
    <row r="343">
      <c r="I343" s="15" t="str">
        <f>IF(D343="","",D343&amp;"|"&amp;A343&amp;"|"&amp;B343&amp;"|"&amp;C343)</f>
        <v/>
      </c>
    </row>
    <row r="344">
      <c r="I344" s="15" t="str">
        <f>IF(D344="","",D344&amp;"|"&amp;A344&amp;"|"&amp;B344&amp;"|"&amp;C344)</f>
        <v/>
      </c>
    </row>
    <row r="345">
      <c r="I345" s="15" t="str">
        <f>IF(D345="","",D345&amp;"|"&amp;A345&amp;"|"&amp;B345&amp;"|"&amp;C345)</f>
        <v/>
      </c>
    </row>
    <row r="346">
      <c r="I346" s="15" t="str">
        <f>IF(D346="","",D346&amp;"|"&amp;A346&amp;"|"&amp;B346&amp;"|"&amp;C346)</f>
        <v/>
      </c>
    </row>
    <row r="347">
      <c r="I347" s="15" t="str">
        <f>IF(D347="","",D347&amp;"|"&amp;A347&amp;"|"&amp;B347&amp;"|"&amp;C347)</f>
        <v/>
      </c>
    </row>
    <row r="348">
      <c r="I348" s="15" t="str">
        <f>IF(D348="","",D348&amp;"|"&amp;A348&amp;"|"&amp;B348&amp;"|"&amp;C348)</f>
        <v/>
      </c>
    </row>
    <row r="349">
      <c r="I349" s="15" t="str">
        <f>IF(D349="","",D349&amp;"|"&amp;A349&amp;"|"&amp;B349&amp;"|"&amp;C349)</f>
        <v/>
      </c>
    </row>
    <row r="350">
      <c r="I350" s="15" t="str">
        <f>IF(D350="","",D350&amp;"|"&amp;A350&amp;"|"&amp;B350&amp;"|"&amp;C350)</f>
        <v/>
      </c>
    </row>
    <row r="351">
      <c r="I351" s="15" t="str">
        <f>IF(D351="","",D351&amp;"|"&amp;A351&amp;"|"&amp;B351&amp;"|"&amp;C351)</f>
        <v/>
      </c>
    </row>
    <row r="352">
      <c r="I352" s="15" t="str">
        <f>IF(D352="","",D352&amp;"|"&amp;A352&amp;"|"&amp;B352&amp;"|"&amp;C352)</f>
        <v/>
      </c>
    </row>
    <row r="353">
      <c r="I353" s="15" t="str">
        <f>IF(D353="","",D353&amp;"|"&amp;A353&amp;"|"&amp;B353&amp;"|"&amp;C353)</f>
        <v/>
      </c>
    </row>
    <row r="354">
      <c r="I354" s="15" t="str">
        <f>IF(D354="","",D354&amp;"|"&amp;A354&amp;"|"&amp;B354&amp;"|"&amp;C354)</f>
        <v/>
      </c>
    </row>
    <row r="355">
      <c r="I355" s="15" t="str">
        <f>IF(D355="","",D355&amp;"|"&amp;A355&amp;"|"&amp;B355&amp;"|"&amp;C355)</f>
        <v/>
      </c>
    </row>
    <row r="356">
      <c r="I356" s="15" t="str">
        <f>IF(D356="","",D356&amp;"|"&amp;A356&amp;"|"&amp;B356&amp;"|"&amp;C356)</f>
        <v/>
      </c>
    </row>
    <row r="357">
      <c r="I357" s="15" t="str">
        <f>IF(D357="","",D357&amp;"|"&amp;A357&amp;"|"&amp;B357&amp;"|"&amp;C357)</f>
        <v/>
      </c>
    </row>
    <row r="358">
      <c r="I358" s="15" t="str">
        <f>IF(D358="","",D358&amp;"|"&amp;A358&amp;"|"&amp;B358&amp;"|"&amp;C358)</f>
        <v/>
      </c>
    </row>
    <row r="359">
      <c r="I359" s="15" t="str">
        <f>IF(D359="","",D359&amp;"|"&amp;A359&amp;"|"&amp;B359&amp;"|"&amp;C359)</f>
        <v/>
      </c>
    </row>
    <row r="360">
      <c r="I360" s="15" t="str">
        <f>IF(D360="","",D360&amp;"|"&amp;A360&amp;"|"&amp;B360&amp;"|"&amp;C360)</f>
        <v/>
      </c>
    </row>
    <row r="361">
      <c r="I361" s="15" t="str">
        <f>IF(D361="","",D361&amp;"|"&amp;A361&amp;"|"&amp;B361&amp;"|"&amp;C361)</f>
        <v/>
      </c>
    </row>
    <row r="362">
      <c r="I362" s="15" t="str">
        <f>IF(D362="","",D362&amp;"|"&amp;A362&amp;"|"&amp;B362&amp;"|"&amp;C362)</f>
        <v/>
      </c>
    </row>
    <row r="363">
      <c r="I363" s="15" t="str">
        <f>IF(D363="","",D363&amp;"|"&amp;A363&amp;"|"&amp;B363&amp;"|"&amp;C363)</f>
        <v/>
      </c>
    </row>
    <row r="364">
      <c r="I364" s="15" t="str">
        <f>IF(D364="","",D364&amp;"|"&amp;A364&amp;"|"&amp;B364&amp;"|"&amp;C364)</f>
        <v/>
      </c>
    </row>
    <row r="365">
      <c r="I365" s="15" t="str">
        <f>IF(D365="","",D365&amp;"|"&amp;A365&amp;"|"&amp;B365&amp;"|"&amp;C365)</f>
        <v/>
      </c>
    </row>
    <row r="366">
      <c r="I366" s="15" t="str">
        <f>IF(D366="","",D366&amp;"|"&amp;A366&amp;"|"&amp;B366&amp;"|"&amp;C366)</f>
        <v/>
      </c>
    </row>
    <row r="367">
      <c r="I367" s="15" t="str">
        <f>IF(D367="","",D367&amp;"|"&amp;A367&amp;"|"&amp;B367&amp;"|"&amp;C367)</f>
        <v/>
      </c>
    </row>
    <row r="368">
      <c r="I368" s="15" t="str">
        <f>IF(D368="","",D368&amp;"|"&amp;A368&amp;"|"&amp;B368&amp;"|"&amp;C368)</f>
        <v/>
      </c>
    </row>
    <row r="369">
      <c r="I369" s="15" t="str">
        <f>IF(D369="","",D369&amp;"|"&amp;A369&amp;"|"&amp;B369&amp;"|"&amp;C369)</f>
        <v/>
      </c>
    </row>
    <row r="370">
      <c r="I370" s="15" t="str">
        <f>IF(D370="","",D370&amp;"|"&amp;A370&amp;"|"&amp;B370&amp;"|"&amp;C370)</f>
        <v/>
      </c>
    </row>
    <row r="371">
      <c r="I371" s="15" t="str">
        <f>IF(D371="","",D371&amp;"|"&amp;A371&amp;"|"&amp;B371&amp;"|"&amp;C371)</f>
        <v/>
      </c>
    </row>
    <row r="372">
      <c r="I372" s="15" t="str">
        <f>IF(D372="","",D372&amp;"|"&amp;A372&amp;"|"&amp;B372&amp;"|"&amp;C372)</f>
        <v/>
      </c>
    </row>
    <row r="373">
      <c r="I373" s="15" t="str">
        <f>IF(D373="","",D373&amp;"|"&amp;A373&amp;"|"&amp;B373&amp;"|"&amp;C373)</f>
        <v/>
      </c>
    </row>
    <row r="374">
      <c r="I374" s="15" t="str">
        <f>IF(D374="","",D374&amp;"|"&amp;A374&amp;"|"&amp;B374&amp;"|"&amp;C374)</f>
        <v/>
      </c>
    </row>
    <row r="375">
      <c r="I375" s="15" t="str">
        <f>IF(D375="","",D375&amp;"|"&amp;A375&amp;"|"&amp;B375&amp;"|"&amp;C375)</f>
        <v/>
      </c>
    </row>
    <row r="376">
      <c r="I376" s="15" t="str">
        <f>IF(D376="","",D376&amp;"|"&amp;A376&amp;"|"&amp;B376&amp;"|"&amp;C376)</f>
        <v/>
      </c>
    </row>
    <row r="377">
      <c r="I377" s="15" t="str">
        <f>IF(D377="","",D377&amp;"|"&amp;A377&amp;"|"&amp;B377&amp;"|"&amp;C377)</f>
        <v/>
      </c>
    </row>
    <row r="378">
      <c r="I378" s="15" t="str">
        <f>IF(D378="","",D378&amp;"|"&amp;A378&amp;"|"&amp;B378&amp;"|"&amp;C378)</f>
        <v/>
      </c>
    </row>
    <row r="379">
      <c r="I379" s="15" t="str">
        <f>IF(D379="","",D379&amp;"|"&amp;A379&amp;"|"&amp;B379&amp;"|"&amp;C379)</f>
        <v/>
      </c>
    </row>
    <row r="380">
      <c r="I380" s="15" t="str">
        <f>IF(D380="","",D380&amp;"|"&amp;A380&amp;"|"&amp;B380&amp;"|"&amp;C380)</f>
        <v/>
      </c>
    </row>
    <row r="381">
      <c r="I381" s="15" t="str">
        <f>IF(D381="","",D381&amp;"|"&amp;A381&amp;"|"&amp;B381&amp;"|"&amp;C381)</f>
        <v/>
      </c>
    </row>
    <row r="382">
      <c r="I382" s="15" t="str">
        <f>IF(D382="","",D382&amp;"|"&amp;A382&amp;"|"&amp;B382&amp;"|"&amp;C382)</f>
        <v/>
      </c>
    </row>
    <row r="383">
      <c r="I383" s="15" t="str">
        <f>IF(D383="","",D383&amp;"|"&amp;A383&amp;"|"&amp;B383&amp;"|"&amp;C383)</f>
        <v/>
      </c>
    </row>
    <row r="384">
      <c r="I384" s="15" t="str">
        <f>IF(D384="","",D384&amp;"|"&amp;A384&amp;"|"&amp;B384&amp;"|"&amp;C384)</f>
        <v/>
      </c>
    </row>
    <row r="385">
      <c r="I385" s="15" t="str">
        <f>IF(D385="","",D385&amp;"|"&amp;A385&amp;"|"&amp;B385&amp;"|"&amp;C385)</f>
        <v/>
      </c>
    </row>
    <row r="386">
      <c r="I386" s="15" t="str">
        <f>IF(D386="","",D386&amp;"|"&amp;A386&amp;"|"&amp;B386&amp;"|"&amp;C386)</f>
        <v/>
      </c>
    </row>
    <row r="387">
      <c r="I387" s="15" t="str">
        <f>IF(D387="","",D387&amp;"|"&amp;A387&amp;"|"&amp;B387&amp;"|"&amp;C387)</f>
        <v/>
      </c>
    </row>
    <row r="388">
      <c r="I388" s="15" t="str">
        <f>IF(D388="","",D388&amp;"|"&amp;A388&amp;"|"&amp;B388&amp;"|"&amp;C388)</f>
        <v/>
      </c>
    </row>
    <row r="389">
      <c r="I389" s="15" t="str">
        <f>IF(D389="","",D389&amp;"|"&amp;A389&amp;"|"&amp;B389&amp;"|"&amp;C389)</f>
        <v/>
      </c>
    </row>
    <row r="390">
      <c r="I390" s="15" t="str">
        <f>IF(D390="","",D390&amp;"|"&amp;A390&amp;"|"&amp;B390&amp;"|"&amp;C390)</f>
        <v/>
      </c>
    </row>
    <row r="391">
      <c r="I391" s="15" t="str">
        <f>IF(D391="","",D391&amp;"|"&amp;A391&amp;"|"&amp;B391&amp;"|"&amp;C391)</f>
        <v/>
      </c>
    </row>
    <row r="392">
      <c r="I392" s="15" t="str">
        <f>IF(D392="","",D392&amp;"|"&amp;A392&amp;"|"&amp;B392&amp;"|"&amp;C392)</f>
        <v/>
      </c>
    </row>
    <row r="393">
      <c r="I393" s="15" t="str">
        <f>IF(D393="","",D393&amp;"|"&amp;A393&amp;"|"&amp;B393&amp;"|"&amp;C393)</f>
        <v/>
      </c>
    </row>
    <row r="394">
      <c r="I394" s="15" t="str">
        <f>IF(D394="","",D394&amp;"|"&amp;A394&amp;"|"&amp;B394&amp;"|"&amp;C394)</f>
        <v/>
      </c>
    </row>
    <row r="395">
      <c r="I395" s="15" t="str">
        <f>IF(D395="","",D395&amp;"|"&amp;A395&amp;"|"&amp;B395&amp;"|"&amp;C395)</f>
        <v/>
      </c>
    </row>
    <row r="396">
      <c r="I396" s="15" t="str">
        <f>IF(D396="","",D396&amp;"|"&amp;A396&amp;"|"&amp;B396&amp;"|"&amp;C396)</f>
        <v/>
      </c>
    </row>
    <row r="397">
      <c r="I397" s="15" t="str">
        <f>IF(D397="","",D397&amp;"|"&amp;A397&amp;"|"&amp;B397&amp;"|"&amp;C397)</f>
        <v/>
      </c>
    </row>
    <row r="398">
      <c r="I398" s="15" t="str">
        <f>IF(D398="","",D398&amp;"|"&amp;A398&amp;"|"&amp;B398&amp;"|"&amp;C398)</f>
        <v/>
      </c>
    </row>
    <row r="399">
      <c r="I399" s="15" t="str">
        <f>IF(D399="","",D399&amp;"|"&amp;A399&amp;"|"&amp;B399&amp;"|"&amp;C399)</f>
        <v/>
      </c>
    </row>
    <row r="400">
      <c r="I400" s="15" t="str">
        <f>IF(D400="","",D400&amp;"|"&amp;A400&amp;"|"&amp;B400&amp;"|"&amp;C400)</f>
        <v/>
      </c>
    </row>
    <row r="401">
      <c r="I401" s="15" t="str">
        <f>IF(D401="","",D401&amp;"|"&amp;A401&amp;"|"&amp;B401&amp;"|"&amp;C401)</f>
        <v/>
      </c>
    </row>
    <row r="402">
      <c r="I402" s="15" t="str">
        <f>IF(D402="","",D402&amp;"|"&amp;A402&amp;"|"&amp;B402&amp;"|"&amp;C402)</f>
        <v/>
      </c>
    </row>
    <row r="403">
      <c r="I403" s="15" t="str">
        <f>IF(D403="","",D403&amp;"|"&amp;A403&amp;"|"&amp;B403&amp;"|"&amp;C403)</f>
        <v/>
      </c>
    </row>
    <row r="404">
      <c r="I404" s="15" t="str">
        <f>IF(D404="","",D404&amp;"|"&amp;A404&amp;"|"&amp;B404&amp;"|"&amp;C404)</f>
        <v/>
      </c>
    </row>
    <row r="405">
      <c r="I405" s="15" t="str">
        <f>IF(D405="","",D405&amp;"|"&amp;A405&amp;"|"&amp;B405&amp;"|"&amp;C405)</f>
        <v/>
      </c>
    </row>
    <row r="406">
      <c r="I406" s="15" t="str">
        <f>IF(D406="","",D406&amp;"|"&amp;A406&amp;"|"&amp;B406&amp;"|"&amp;C406)</f>
        <v/>
      </c>
    </row>
    <row r="407">
      <c r="I407" s="15" t="str">
        <f>IF(D407="","",D407&amp;"|"&amp;A407&amp;"|"&amp;B407&amp;"|"&amp;C407)</f>
        <v/>
      </c>
    </row>
    <row r="408">
      <c r="I408" s="15" t="str">
        <f>IF(D408="","",D408&amp;"|"&amp;A408&amp;"|"&amp;B408&amp;"|"&amp;C408)</f>
        <v/>
      </c>
    </row>
    <row r="409">
      <c r="I409" s="15" t="str">
        <f>IF(D409="","",D409&amp;"|"&amp;A409&amp;"|"&amp;B409&amp;"|"&amp;C409)</f>
        <v/>
      </c>
    </row>
    <row r="410">
      <c r="I410" s="15" t="str">
        <f>IF(D410="","",D410&amp;"|"&amp;A410&amp;"|"&amp;B410&amp;"|"&amp;C410)</f>
        <v/>
      </c>
    </row>
    <row r="411">
      <c r="I411" s="15" t="str">
        <f>IF(D411="","",D411&amp;"|"&amp;A411&amp;"|"&amp;B411&amp;"|"&amp;C411)</f>
        <v/>
      </c>
    </row>
    <row r="412">
      <c r="I412" s="15" t="str">
        <f>IF(D412="","",D412&amp;"|"&amp;A412&amp;"|"&amp;B412&amp;"|"&amp;C412)</f>
        <v/>
      </c>
    </row>
    <row r="413">
      <c r="I413" s="15" t="str">
        <f>IF(D413="","",D413&amp;"|"&amp;A413&amp;"|"&amp;B413&amp;"|"&amp;C413)</f>
        <v/>
      </c>
    </row>
    <row r="414">
      <c r="I414" s="15" t="str">
        <f>IF(D414="","",D414&amp;"|"&amp;A414&amp;"|"&amp;B414&amp;"|"&amp;C414)</f>
        <v/>
      </c>
    </row>
    <row r="415">
      <c r="I415" s="15" t="str">
        <f>IF(D415="","",D415&amp;"|"&amp;A415&amp;"|"&amp;B415&amp;"|"&amp;C415)</f>
        <v/>
      </c>
    </row>
    <row r="416">
      <c r="I416" s="15" t="str">
        <f>IF(D416="","",D416&amp;"|"&amp;A416&amp;"|"&amp;B416&amp;"|"&amp;C416)</f>
        <v/>
      </c>
    </row>
    <row r="417">
      <c r="I417" s="15" t="str">
        <f>IF(D417="","",D417&amp;"|"&amp;A417&amp;"|"&amp;B417&amp;"|"&amp;C417)</f>
        <v/>
      </c>
    </row>
    <row r="418">
      <c r="I418" s="15" t="str">
        <f>IF(D418="","",D418&amp;"|"&amp;A418&amp;"|"&amp;B418&amp;"|"&amp;C418)</f>
        <v/>
      </c>
    </row>
    <row r="419">
      <c r="I419" s="15" t="str">
        <f>IF(D419="","",D419&amp;"|"&amp;A419&amp;"|"&amp;B419&amp;"|"&amp;C419)</f>
        <v/>
      </c>
    </row>
    <row r="420">
      <c r="I420" s="15" t="str">
        <f>IF(D420="","",D420&amp;"|"&amp;A420&amp;"|"&amp;B420&amp;"|"&amp;C420)</f>
        <v/>
      </c>
    </row>
    <row r="421">
      <c r="I421" s="15" t="str">
        <f>IF(D421="","",D421&amp;"|"&amp;A421&amp;"|"&amp;B421&amp;"|"&amp;C421)</f>
        <v/>
      </c>
    </row>
    <row r="422">
      <c r="I422" s="15" t="str">
        <f>IF(D422="","",D422&amp;"|"&amp;A422&amp;"|"&amp;B422&amp;"|"&amp;C422)</f>
        <v/>
      </c>
    </row>
    <row r="423">
      <c r="I423" s="15" t="str">
        <f>IF(D423="","",D423&amp;"|"&amp;A423&amp;"|"&amp;B423&amp;"|"&amp;C423)</f>
        <v/>
      </c>
    </row>
    <row r="424">
      <c r="I424" s="15" t="str">
        <f>IF(D424="","",D424&amp;"|"&amp;A424&amp;"|"&amp;B424&amp;"|"&amp;C424)</f>
        <v/>
      </c>
    </row>
    <row r="425">
      <c r="I425" s="15" t="str">
        <f>IF(D425="","",D425&amp;"|"&amp;A425&amp;"|"&amp;B425&amp;"|"&amp;C425)</f>
        <v/>
      </c>
    </row>
    <row r="426">
      <c r="I426" s="15" t="str">
        <f>IF(D426="","",D426&amp;"|"&amp;A426&amp;"|"&amp;B426&amp;"|"&amp;C426)</f>
        <v/>
      </c>
    </row>
    <row r="427">
      <c r="I427" s="15" t="str">
        <f>IF(D427="","",D427&amp;"|"&amp;A427&amp;"|"&amp;B427&amp;"|"&amp;C427)</f>
        <v/>
      </c>
    </row>
    <row r="428">
      <c r="I428" s="15" t="str">
        <f>IF(D428="","",D428&amp;"|"&amp;A428&amp;"|"&amp;B428&amp;"|"&amp;C428)</f>
        <v/>
      </c>
    </row>
    <row r="429">
      <c r="I429" s="15" t="str">
        <f>IF(D429="","",D429&amp;"|"&amp;A429&amp;"|"&amp;B429&amp;"|"&amp;C429)</f>
        <v/>
      </c>
    </row>
    <row r="430">
      <c r="I430" s="15" t="str">
        <f>IF(D430="","",D430&amp;"|"&amp;A430&amp;"|"&amp;B430&amp;"|"&amp;C430)</f>
        <v/>
      </c>
    </row>
    <row r="431">
      <c r="I431" s="15" t="str">
        <f>IF(D431="","",D431&amp;"|"&amp;A431&amp;"|"&amp;B431&amp;"|"&amp;C431)</f>
        <v/>
      </c>
    </row>
    <row r="432">
      <c r="I432" s="15" t="str">
        <f>IF(D432="","",D432&amp;"|"&amp;A432&amp;"|"&amp;B432&amp;"|"&amp;C432)</f>
        <v/>
      </c>
    </row>
    <row r="433">
      <c r="I433" s="15" t="str">
        <f>IF(D433="","",D433&amp;"|"&amp;A433&amp;"|"&amp;B433&amp;"|"&amp;C433)</f>
        <v/>
      </c>
    </row>
    <row r="434">
      <c r="I434" s="15" t="str">
        <f>IF(D434="","",D434&amp;"|"&amp;A434&amp;"|"&amp;B434&amp;"|"&amp;C434)</f>
        <v/>
      </c>
    </row>
    <row r="435">
      <c r="I435" s="15" t="str">
        <f>IF(D435="","",D435&amp;"|"&amp;A435&amp;"|"&amp;B435&amp;"|"&amp;C435)</f>
        <v/>
      </c>
    </row>
    <row r="436">
      <c r="I436" s="15" t="str">
        <f>IF(D436="","",D436&amp;"|"&amp;A436&amp;"|"&amp;B436&amp;"|"&amp;C436)</f>
        <v/>
      </c>
    </row>
    <row r="437">
      <c r="I437" s="15" t="str">
        <f>IF(D437="","",D437&amp;"|"&amp;A437&amp;"|"&amp;B437&amp;"|"&amp;C437)</f>
        <v/>
      </c>
    </row>
    <row r="438">
      <c r="I438" s="15" t="str">
        <f>IF(D438="","",D438&amp;"|"&amp;A438&amp;"|"&amp;B438&amp;"|"&amp;C438)</f>
        <v/>
      </c>
    </row>
    <row r="439">
      <c r="I439" s="15" t="str">
        <f>IF(D439="","",D439&amp;"|"&amp;A439&amp;"|"&amp;B439&amp;"|"&amp;C439)</f>
        <v/>
      </c>
    </row>
    <row r="440">
      <c r="I440" s="15" t="str">
        <f>IF(D440="","",D440&amp;"|"&amp;A440&amp;"|"&amp;B440&amp;"|"&amp;C440)</f>
        <v/>
      </c>
    </row>
    <row r="441">
      <c r="I441" s="15" t="str">
        <f>IF(D441="","",D441&amp;"|"&amp;A441&amp;"|"&amp;B441&amp;"|"&amp;C441)</f>
        <v/>
      </c>
    </row>
    <row r="442">
      <c r="I442" s="15" t="str">
        <f>IF(D442="","",D442&amp;"|"&amp;A442&amp;"|"&amp;B442&amp;"|"&amp;C442)</f>
        <v/>
      </c>
    </row>
    <row r="443">
      <c r="I443" s="15" t="str">
        <f>IF(D443="","",D443&amp;"|"&amp;A443&amp;"|"&amp;B443&amp;"|"&amp;C443)</f>
        <v/>
      </c>
    </row>
    <row r="444">
      <c r="I444" s="15" t="str">
        <f>IF(D444="","",D444&amp;"|"&amp;A444&amp;"|"&amp;B444&amp;"|"&amp;C444)</f>
        <v/>
      </c>
    </row>
    <row r="445">
      <c r="I445" s="15" t="str">
        <f>IF(D445="","",D445&amp;"|"&amp;A445&amp;"|"&amp;B445&amp;"|"&amp;C445)</f>
        <v/>
      </c>
    </row>
    <row r="446">
      <c r="I446" s="15" t="str">
        <f>IF(D446="","",D446&amp;"|"&amp;A446&amp;"|"&amp;B446&amp;"|"&amp;C446)</f>
        <v/>
      </c>
    </row>
    <row r="447">
      <c r="I447" s="15" t="str">
        <f>IF(D447="","",D447&amp;"|"&amp;A447&amp;"|"&amp;B447&amp;"|"&amp;C447)</f>
        <v/>
      </c>
    </row>
    <row r="448">
      <c r="I448" s="15" t="str">
        <f>IF(D448="","",D448&amp;"|"&amp;A448&amp;"|"&amp;B448&amp;"|"&amp;C448)</f>
        <v/>
      </c>
    </row>
    <row r="449">
      <c r="I449" s="15" t="str">
        <f>IF(D449="","",D449&amp;"|"&amp;A449&amp;"|"&amp;B449&amp;"|"&amp;C449)</f>
        <v/>
      </c>
    </row>
    <row r="450">
      <c r="I450" s="15" t="str">
        <f>IF(D450="","",D450&amp;"|"&amp;A450&amp;"|"&amp;B450&amp;"|"&amp;C450)</f>
        <v/>
      </c>
    </row>
    <row r="451">
      <c r="I451" s="15" t="str">
        <f>IF(D451="","",D451&amp;"|"&amp;A451&amp;"|"&amp;B451&amp;"|"&amp;C451)</f>
        <v/>
      </c>
    </row>
    <row r="452">
      <c r="I452" s="15" t="str">
        <f>IF(D452="","",D452&amp;"|"&amp;A452&amp;"|"&amp;B452&amp;"|"&amp;C452)</f>
        <v/>
      </c>
    </row>
    <row r="453">
      <c r="I453" s="15" t="str">
        <f>IF(D453="","",D453&amp;"|"&amp;A453&amp;"|"&amp;B453&amp;"|"&amp;C453)</f>
        <v/>
      </c>
    </row>
    <row r="454">
      <c r="I454" s="15" t="str">
        <f>IF(D454="","",D454&amp;"|"&amp;A454&amp;"|"&amp;B454&amp;"|"&amp;C454)</f>
        <v/>
      </c>
    </row>
    <row r="455">
      <c r="I455" s="15" t="str">
        <f>IF(D455="","",D455&amp;"|"&amp;A455&amp;"|"&amp;B455&amp;"|"&amp;C455)</f>
        <v/>
      </c>
    </row>
    <row r="456">
      <c r="I456" s="15" t="str">
        <f>IF(D456="","",D456&amp;"|"&amp;A456&amp;"|"&amp;B456&amp;"|"&amp;C456)</f>
        <v/>
      </c>
    </row>
    <row r="457">
      <c r="I457" s="15" t="str">
        <f>IF(D457="","",D457&amp;"|"&amp;A457&amp;"|"&amp;B457&amp;"|"&amp;C457)</f>
        <v/>
      </c>
    </row>
    <row r="458">
      <c r="I458" s="15" t="str">
        <f>IF(D458="","",D458&amp;"|"&amp;A458&amp;"|"&amp;B458&amp;"|"&amp;C458)</f>
        <v/>
      </c>
    </row>
    <row r="459">
      <c r="I459" s="15" t="str">
        <f>IF(D459="","",D459&amp;"|"&amp;A459&amp;"|"&amp;B459&amp;"|"&amp;C459)</f>
        <v/>
      </c>
    </row>
    <row r="460">
      <c r="I460" s="15" t="str">
        <f>IF(D460="","",D460&amp;"|"&amp;A460&amp;"|"&amp;B460&amp;"|"&amp;C460)</f>
        <v/>
      </c>
    </row>
    <row r="461">
      <c r="I461" s="15" t="str">
        <f>IF(D461="","",D461&amp;"|"&amp;A461&amp;"|"&amp;B461&amp;"|"&amp;C461)</f>
        <v/>
      </c>
    </row>
    <row r="462">
      <c r="I462" s="15" t="str">
        <f>IF(D462="","",D462&amp;"|"&amp;A462&amp;"|"&amp;B462&amp;"|"&amp;C462)</f>
        <v/>
      </c>
    </row>
    <row r="463">
      <c r="I463" s="15" t="str">
        <f>IF(D463="","",D463&amp;"|"&amp;A463&amp;"|"&amp;B463&amp;"|"&amp;C463)</f>
        <v/>
      </c>
    </row>
    <row r="464">
      <c r="I464" s="15" t="str">
        <f>IF(D464="","",D464&amp;"|"&amp;A464&amp;"|"&amp;B464&amp;"|"&amp;C464)</f>
        <v/>
      </c>
    </row>
    <row r="465">
      <c r="I465" s="15" t="str">
        <f>IF(D465="","",D465&amp;"|"&amp;A465&amp;"|"&amp;B465&amp;"|"&amp;C465)</f>
        <v/>
      </c>
    </row>
    <row r="466">
      <c r="I466" s="15" t="str">
        <f>IF(D466="","",D466&amp;"|"&amp;A466&amp;"|"&amp;B466&amp;"|"&amp;C466)</f>
        <v/>
      </c>
    </row>
    <row r="467">
      <c r="I467" s="15" t="str">
        <f>IF(D467="","",D467&amp;"|"&amp;A467&amp;"|"&amp;B467&amp;"|"&amp;C467)</f>
        <v/>
      </c>
    </row>
    <row r="468">
      <c r="I468" s="15" t="str">
        <f>IF(D468="","",D468&amp;"|"&amp;A468&amp;"|"&amp;B468&amp;"|"&amp;C468)</f>
        <v/>
      </c>
    </row>
    <row r="469">
      <c r="I469" s="15" t="str">
        <f>IF(D469="","",D469&amp;"|"&amp;A469&amp;"|"&amp;B469&amp;"|"&amp;C469)</f>
        <v/>
      </c>
    </row>
    <row r="470">
      <c r="I470" s="15" t="str">
        <f>IF(D470="","",D470&amp;"|"&amp;A470&amp;"|"&amp;B470&amp;"|"&amp;C470)</f>
        <v/>
      </c>
    </row>
    <row r="471">
      <c r="I471" s="15" t="str">
        <f>IF(D471="","",D471&amp;"|"&amp;A471&amp;"|"&amp;B471&amp;"|"&amp;C471)</f>
        <v/>
      </c>
    </row>
    <row r="472">
      <c r="I472" s="15" t="str">
        <f>IF(D472="","",D472&amp;"|"&amp;A472&amp;"|"&amp;B472&amp;"|"&amp;C472)</f>
        <v/>
      </c>
    </row>
    <row r="473">
      <c r="I473" s="15" t="str">
        <f>IF(D473="","",D473&amp;"|"&amp;A473&amp;"|"&amp;B473&amp;"|"&amp;C473)</f>
        <v/>
      </c>
    </row>
    <row r="474">
      <c r="I474" s="15" t="str">
        <f>IF(D474="","",D474&amp;"|"&amp;A474&amp;"|"&amp;B474&amp;"|"&amp;C474)</f>
        <v/>
      </c>
    </row>
    <row r="475">
      <c r="I475" s="15" t="str">
        <f>IF(D475="","",D475&amp;"|"&amp;A475&amp;"|"&amp;B475&amp;"|"&amp;C475)</f>
        <v/>
      </c>
    </row>
    <row r="476">
      <c r="I476" s="15" t="str">
        <f>IF(D476="","",D476&amp;"|"&amp;A476&amp;"|"&amp;B476&amp;"|"&amp;C476)</f>
        <v/>
      </c>
    </row>
    <row r="477">
      <c r="I477" s="15" t="str">
        <f>IF(D477="","",D477&amp;"|"&amp;A477&amp;"|"&amp;B477&amp;"|"&amp;C477)</f>
        <v/>
      </c>
    </row>
    <row r="478">
      <c r="I478" s="15" t="str">
        <f>IF(D478="","",D478&amp;"|"&amp;A478&amp;"|"&amp;B478&amp;"|"&amp;C478)</f>
        <v/>
      </c>
    </row>
    <row r="479">
      <c r="I479" s="15" t="str">
        <f>IF(D479="","",D479&amp;"|"&amp;A479&amp;"|"&amp;B479&amp;"|"&amp;C479)</f>
        <v/>
      </c>
    </row>
    <row r="480">
      <c r="I480" s="15" t="str">
        <f>IF(D480="","",D480&amp;"|"&amp;A480&amp;"|"&amp;B480&amp;"|"&amp;C480)</f>
        <v/>
      </c>
    </row>
    <row r="481">
      <c r="I481" s="15" t="str">
        <f>IF(D481="","",D481&amp;"|"&amp;A481&amp;"|"&amp;B481&amp;"|"&amp;C481)</f>
        <v/>
      </c>
    </row>
    <row r="482">
      <c r="I482" s="15" t="str">
        <f>IF(D482="","",D482&amp;"|"&amp;A482&amp;"|"&amp;B482&amp;"|"&amp;C482)</f>
        <v/>
      </c>
    </row>
    <row r="483">
      <c r="I483" s="15" t="str">
        <f>IF(D483="","",D483&amp;"|"&amp;A483&amp;"|"&amp;B483&amp;"|"&amp;C483)</f>
        <v/>
      </c>
    </row>
    <row r="484">
      <c r="I484" s="15" t="str">
        <f>IF(D484="","",D484&amp;"|"&amp;A484&amp;"|"&amp;B484&amp;"|"&amp;C484)</f>
        <v/>
      </c>
    </row>
    <row r="485">
      <c r="I485" s="15" t="str">
        <f>IF(D485="","",D485&amp;"|"&amp;A485&amp;"|"&amp;B485&amp;"|"&amp;C485)</f>
        <v/>
      </c>
    </row>
    <row r="486">
      <c r="I486" s="15" t="str">
        <f>IF(D486="","",D486&amp;"|"&amp;A486&amp;"|"&amp;B486&amp;"|"&amp;C486)</f>
        <v/>
      </c>
    </row>
    <row r="487">
      <c r="I487" s="15" t="str">
        <f>IF(D487="","",D487&amp;"|"&amp;A487&amp;"|"&amp;B487&amp;"|"&amp;C487)</f>
        <v/>
      </c>
    </row>
    <row r="488">
      <c r="I488" s="15" t="str">
        <f>IF(D488="","",D488&amp;"|"&amp;A488&amp;"|"&amp;B488&amp;"|"&amp;C488)</f>
        <v/>
      </c>
    </row>
    <row r="489">
      <c r="I489" s="15" t="str">
        <f>IF(D489="","",D489&amp;"|"&amp;A489&amp;"|"&amp;B489&amp;"|"&amp;C489)</f>
        <v/>
      </c>
    </row>
    <row r="490">
      <c r="I490" s="15" t="str">
        <f>IF(D490="","",D490&amp;"|"&amp;A490&amp;"|"&amp;B490&amp;"|"&amp;C490)</f>
        <v/>
      </c>
    </row>
    <row r="491">
      <c r="I491" s="15" t="str">
        <f>IF(D491="","",D491&amp;"|"&amp;A491&amp;"|"&amp;B491&amp;"|"&amp;C491)</f>
        <v/>
      </c>
    </row>
    <row r="492">
      <c r="I492" s="15" t="str">
        <f>IF(D492="","",D492&amp;"|"&amp;A492&amp;"|"&amp;B492&amp;"|"&amp;C492)</f>
        <v/>
      </c>
    </row>
    <row r="493">
      <c r="I493" s="15" t="str">
        <f>IF(D493="","",D493&amp;"|"&amp;A493&amp;"|"&amp;B493&amp;"|"&amp;C493)</f>
        <v/>
      </c>
    </row>
    <row r="494">
      <c r="I494" s="15" t="str">
        <f>IF(D494="","",D494&amp;"|"&amp;A494&amp;"|"&amp;B494&amp;"|"&amp;C494)</f>
        <v/>
      </c>
    </row>
    <row r="495">
      <c r="I495" s="15" t="str">
        <f>IF(D495="","",D495&amp;"|"&amp;A495&amp;"|"&amp;B495&amp;"|"&amp;C495)</f>
        <v/>
      </c>
    </row>
    <row r="496">
      <c r="I496" s="15" t="str">
        <f>IF(D496="","",D496&amp;"|"&amp;A496&amp;"|"&amp;B496&amp;"|"&amp;C496)</f>
        <v/>
      </c>
    </row>
    <row r="497">
      <c r="I497" s="15" t="str">
        <f>IF(D497="","",D497&amp;"|"&amp;A497&amp;"|"&amp;B497&amp;"|"&amp;C497)</f>
        <v/>
      </c>
    </row>
    <row r="498">
      <c r="I498" s="15" t="str">
        <f>IF(D498="","",D498&amp;"|"&amp;A498&amp;"|"&amp;B498&amp;"|"&amp;C498)</f>
        <v/>
      </c>
    </row>
    <row r="499">
      <c r="I499" s="15" t="str">
        <f>IF(D499="","",D499&amp;"|"&amp;A499&amp;"|"&amp;B499&amp;"|"&amp;C499)</f>
        <v/>
      </c>
    </row>
    <row r="500">
      <c r="I500" s="15" t="str">
        <f>IF(D500="","",D500&amp;"|"&amp;A500&amp;"|"&amp;B500&amp;"|"&amp;C500)</f>
        <v/>
      </c>
    </row>
    <row r="501">
      <c r="I501" s="15" t="str">
        <f>IF(D501="","",D501&amp;"|"&amp;A501&amp;"|"&amp;B501&amp;"|"&amp;C501)</f>
        <v/>
      </c>
    </row>
    <row r="502">
      <c r="I502" s="15" t="str">
        <f>IF(D502="","",D502&amp;"|"&amp;A502&amp;"|"&amp;B502&amp;"|"&amp;C502)</f>
        <v/>
      </c>
    </row>
    <row r="503">
      <c r="I503" s="15" t="str">
        <f>IF(D503="","",D503&amp;"|"&amp;A503&amp;"|"&amp;B503&amp;"|"&amp;C503)</f>
        <v/>
      </c>
    </row>
    <row r="504">
      <c r="I504" s="15" t="str">
        <f>IF(D504="","",D504&amp;"|"&amp;A504&amp;"|"&amp;B504&amp;"|"&amp;C504)</f>
        <v/>
      </c>
    </row>
    <row r="505">
      <c r="I505" s="15" t="str">
        <f>IF(D505="","",D505&amp;"|"&amp;A505&amp;"|"&amp;B505&amp;"|"&amp;C505)</f>
        <v/>
      </c>
    </row>
  </sheetData>
  <dataValidations count="1">
    <dataValidation sqref="C6:C505" showDropDown="0" showInputMessage="0" showErrorMessage="1" allowBlank="1" error="Kies een waarde uit de lijst." type="list">
      <formula1>V_List</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1F4E9A"/>
    <outlinePr summaryBelow="1" summaryRight="1"/>
    <pageSetUpPr/>
  </sheetPr>
  <dimension ref="A1:I505"/>
  <sheetViews>
    <sheetView showGridLines="0" zoomScale="90" workbookViewId="0">
      <selection activeCell="A1" sqref="A1"/>
    </sheetView>
  </sheetViews>
  <sheetFormatPr baseColWidth="8" defaultRowHeight="15"/>
  <cols>
    <col width="16" customWidth="1" min="1" max="1"/>
    <col width="8" customWidth="1" min="2" max="2"/>
    <col width="8" customWidth="1" min="3" max="3"/>
    <col width="12" customWidth="1" min="4" max="4"/>
    <col width="8" customWidth="1" min="5" max="5"/>
    <col width="12" customWidth="1" min="6" max="6"/>
    <col width="50" customWidth="1" min="7" max="7"/>
    <col width="6" customWidth="1" min="8" max="8"/>
  </cols>
  <sheetData>
    <row r="1" ht="28" customHeight="1">
      <c r="A1" s="1" t="n"/>
      <c r="B1" s="2" t="inlineStr">
        <is>
          <t>Aanvullende invoer koperstype (toekomstige verkopen)</t>
        </is>
      </c>
      <c r="C1" s="1" t="n"/>
      <c r="D1" s="1" t="n"/>
      <c r="E1" s="1" t="n"/>
      <c r="F1" s="1" t="n"/>
      <c r="G1" s="1" t="n"/>
      <c r="H1" s="1" t="n"/>
      <c r="I1" s="1" t="n"/>
    </row>
    <row r="2">
      <c r="B2" s="3" t="inlineStr">
        <is>
          <t>Woningetalage kent Beleggers/Particulier alleen voor actuals. Prognoses zonder invoer hier blijven 'Onbekend'.</t>
        </is>
      </c>
    </row>
    <row r="5" ht="24" customHeight="1">
      <c r="A5" s="32" t="inlineStr">
        <is>
          <t>WBS-element</t>
        </is>
      </c>
      <c r="B5" s="33" t="inlineStr">
        <is>
          <t>Doeljaar</t>
        </is>
      </c>
      <c r="C5" s="33" t="inlineStr">
        <is>
          <t>Periode</t>
        </is>
      </c>
      <c r="D5" s="33" t="inlineStr">
        <is>
          <t>Koperstype</t>
        </is>
      </c>
      <c r="E5" s="33" t="inlineStr">
        <is>
          <t>Aantal</t>
        </is>
      </c>
      <c r="F5" s="33" t="inlineStr">
        <is>
          <t>Status</t>
        </is>
      </c>
      <c r="G5" s="33" t="inlineStr">
        <is>
          <t>Toelichting</t>
        </is>
      </c>
      <c r="H5" s="104" t="inlineStr">
        <is>
          <t>Telt</t>
        </is>
      </c>
      <c r="I5" s="104" t="inlineStr">
        <is>
          <t>Type (mapping)</t>
        </is>
      </c>
    </row>
    <row r="6">
      <c r="A6" s="105" t="inlineStr">
        <is>
          <t>G.900005.8.9090</t>
        </is>
      </c>
      <c r="B6" s="105" t="n">
        <v>2026</v>
      </c>
      <c r="C6" s="105" t="inlineStr">
        <is>
          <t>Q4</t>
        </is>
      </c>
      <c r="D6" s="105" t="inlineStr">
        <is>
          <t>Belegger</t>
        </is>
      </c>
      <c r="E6" s="105" t="n">
        <v>4</v>
      </c>
      <c r="F6" s="105" t="inlineStr">
        <is>
          <t>Voorbeeld</t>
        </is>
      </c>
      <c r="G6" s="105" t="inlineStr">
        <is>
          <t>VOORBEELDREGEL (formaat) — telt nooit mee</t>
        </is>
      </c>
      <c r="H6" s="15">
        <f>IF(E6="","",IF(OR(F6="Vastgesteld",F6="Concept"),1,0))</f>
        <v>0</v>
      </c>
      <c r="I6" s="15" t="str">
        <f>IF(A6="","",IFERROR(INDEX(Map_Type,MATCH(A6,Map_WBS,0)),"n.b."))</f>
        <v>Opstal</v>
      </c>
    </row>
    <row r="7">
      <c r="H7" s="15" t="str">
        <f>IF(E7="","",IF(OR(F7="Vastgesteld",F7="Concept"),1,0))</f>
        <v/>
      </c>
      <c r="I7" s="15" t="str">
        <f>IF(A7="","",IFERROR(INDEX(Map_Type,MATCH(A7,Map_WBS,0)),"n.b."))</f>
        <v/>
      </c>
    </row>
    <row r="8">
      <c r="H8" s="15" t="str">
        <f>IF(E8="","",IF(OR(F8="Vastgesteld",F8="Concept"),1,0))</f>
        <v/>
      </c>
      <c r="I8" s="15" t="str">
        <f>IF(A8="","",IFERROR(INDEX(Map_Type,MATCH(A8,Map_WBS,0)),"n.b."))</f>
        <v/>
      </c>
    </row>
    <row r="9">
      <c r="H9" s="15" t="str">
        <f>IF(E9="","",IF(OR(F9="Vastgesteld",F9="Concept"),1,0))</f>
        <v/>
      </c>
      <c r="I9" s="15" t="str">
        <f>IF(A9="","",IFERROR(INDEX(Map_Type,MATCH(A9,Map_WBS,0)),"n.b."))</f>
        <v/>
      </c>
    </row>
    <row r="10">
      <c r="H10" s="15" t="str">
        <f>IF(E10="","",IF(OR(F10="Vastgesteld",F10="Concept"),1,0))</f>
        <v/>
      </c>
      <c r="I10" s="15" t="str">
        <f>IF(A10="","",IFERROR(INDEX(Map_Type,MATCH(A10,Map_WBS,0)),"n.b."))</f>
        <v/>
      </c>
    </row>
    <row r="11">
      <c r="H11" s="15" t="str">
        <f>IF(E11="","",IF(OR(F11="Vastgesteld",F11="Concept"),1,0))</f>
        <v/>
      </c>
      <c r="I11" s="15" t="str">
        <f>IF(A11="","",IFERROR(INDEX(Map_Type,MATCH(A11,Map_WBS,0)),"n.b."))</f>
        <v/>
      </c>
    </row>
    <row r="12">
      <c r="H12" s="15" t="str">
        <f>IF(E12="","",IF(OR(F12="Vastgesteld",F12="Concept"),1,0))</f>
        <v/>
      </c>
      <c r="I12" s="15" t="str">
        <f>IF(A12="","",IFERROR(INDEX(Map_Type,MATCH(A12,Map_WBS,0)),"n.b."))</f>
        <v/>
      </c>
    </row>
    <row r="13">
      <c r="H13" s="15" t="str">
        <f>IF(E13="","",IF(OR(F13="Vastgesteld",F13="Concept"),1,0))</f>
        <v/>
      </c>
      <c r="I13" s="15" t="str">
        <f>IF(A13="","",IFERROR(INDEX(Map_Type,MATCH(A13,Map_WBS,0)),"n.b."))</f>
        <v/>
      </c>
    </row>
    <row r="14">
      <c r="H14" s="15" t="str">
        <f>IF(E14="","",IF(OR(F14="Vastgesteld",F14="Concept"),1,0))</f>
        <v/>
      </c>
      <c r="I14" s="15" t="str">
        <f>IF(A14="","",IFERROR(INDEX(Map_Type,MATCH(A14,Map_WBS,0)),"n.b."))</f>
        <v/>
      </c>
    </row>
    <row r="15">
      <c r="H15" s="15" t="str">
        <f>IF(E15="","",IF(OR(F15="Vastgesteld",F15="Concept"),1,0))</f>
        <v/>
      </c>
      <c r="I15" s="15" t="str">
        <f>IF(A15="","",IFERROR(INDEX(Map_Type,MATCH(A15,Map_WBS,0)),"n.b."))</f>
        <v/>
      </c>
    </row>
    <row r="16">
      <c r="H16" s="15" t="str">
        <f>IF(E16="","",IF(OR(F16="Vastgesteld",F16="Concept"),1,0))</f>
        <v/>
      </c>
      <c r="I16" s="15" t="str">
        <f>IF(A16="","",IFERROR(INDEX(Map_Type,MATCH(A16,Map_WBS,0)),"n.b."))</f>
        <v/>
      </c>
    </row>
    <row r="17">
      <c r="H17" s="15" t="str">
        <f>IF(E17="","",IF(OR(F17="Vastgesteld",F17="Concept"),1,0))</f>
        <v/>
      </c>
      <c r="I17" s="15" t="str">
        <f>IF(A17="","",IFERROR(INDEX(Map_Type,MATCH(A17,Map_WBS,0)),"n.b."))</f>
        <v/>
      </c>
    </row>
    <row r="18">
      <c r="H18" s="15" t="str">
        <f>IF(E18="","",IF(OR(F18="Vastgesteld",F18="Concept"),1,0))</f>
        <v/>
      </c>
      <c r="I18" s="15" t="str">
        <f>IF(A18="","",IFERROR(INDEX(Map_Type,MATCH(A18,Map_WBS,0)),"n.b."))</f>
        <v/>
      </c>
    </row>
    <row r="19">
      <c r="H19" s="15" t="str">
        <f>IF(E19="","",IF(OR(F19="Vastgesteld",F19="Concept"),1,0))</f>
        <v/>
      </c>
      <c r="I19" s="15" t="str">
        <f>IF(A19="","",IFERROR(INDEX(Map_Type,MATCH(A19,Map_WBS,0)),"n.b."))</f>
        <v/>
      </c>
    </row>
    <row r="20">
      <c r="H20" s="15" t="str">
        <f>IF(E20="","",IF(OR(F20="Vastgesteld",F20="Concept"),1,0))</f>
        <v/>
      </c>
      <c r="I20" s="15" t="str">
        <f>IF(A20="","",IFERROR(INDEX(Map_Type,MATCH(A20,Map_WBS,0)),"n.b."))</f>
        <v/>
      </c>
    </row>
    <row r="21">
      <c r="H21" s="15" t="str">
        <f>IF(E21="","",IF(OR(F21="Vastgesteld",F21="Concept"),1,0))</f>
        <v/>
      </c>
      <c r="I21" s="15" t="str">
        <f>IF(A21="","",IFERROR(INDEX(Map_Type,MATCH(A21,Map_WBS,0)),"n.b."))</f>
        <v/>
      </c>
    </row>
    <row r="22">
      <c r="H22" s="15" t="str">
        <f>IF(E22="","",IF(OR(F22="Vastgesteld",F22="Concept"),1,0))</f>
        <v/>
      </c>
      <c r="I22" s="15" t="str">
        <f>IF(A22="","",IFERROR(INDEX(Map_Type,MATCH(A22,Map_WBS,0)),"n.b."))</f>
        <v/>
      </c>
    </row>
    <row r="23">
      <c r="H23" s="15" t="str">
        <f>IF(E23="","",IF(OR(F23="Vastgesteld",F23="Concept"),1,0))</f>
        <v/>
      </c>
      <c r="I23" s="15" t="str">
        <f>IF(A23="","",IFERROR(INDEX(Map_Type,MATCH(A23,Map_WBS,0)),"n.b."))</f>
        <v/>
      </c>
    </row>
    <row r="24">
      <c r="H24" s="15" t="str">
        <f>IF(E24="","",IF(OR(F24="Vastgesteld",F24="Concept"),1,0))</f>
        <v/>
      </c>
      <c r="I24" s="15" t="str">
        <f>IF(A24="","",IFERROR(INDEX(Map_Type,MATCH(A24,Map_WBS,0)),"n.b."))</f>
        <v/>
      </c>
    </row>
    <row r="25">
      <c r="H25" s="15" t="str">
        <f>IF(E25="","",IF(OR(F25="Vastgesteld",F25="Concept"),1,0))</f>
        <v/>
      </c>
      <c r="I25" s="15" t="str">
        <f>IF(A25="","",IFERROR(INDEX(Map_Type,MATCH(A25,Map_WBS,0)),"n.b."))</f>
        <v/>
      </c>
    </row>
    <row r="26">
      <c r="H26" s="15" t="str">
        <f>IF(E26="","",IF(OR(F26="Vastgesteld",F26="Concept"),1,0))</f>
        <v/>
      </c>
      <c r="I26" s="15" t="str">
        <f>IF(A26="","",IFERROR(INDEX(Map_Type,MATCH(A26,Map_WBS,0)),"n.b."))</f>
        <v/>
      </c>
    </row>
    <row r="27">
      <c r="H27" s="15" t="str">
        <f>IF(E27="","",IF(OR(F27="Vastgesteld",F27="Concept"),1,0))</f>
        <v/>
      </c>
      <c r="I27" s="15" t="str">
        <f>IF(A27="","",IFERROR(INDEX(Map_Type,MATCH(A27,Map_WBS,0)),"n.b."))</f>
        <v/>
      </c>
    </row>
    <row r="28">
      <c r="H28" s="15" t="str">
        <f>IF(E28="","",IF(OR(F28="Vastgesteld",F28="Concept"),1,0))</f>
        <v/>
      </c>
      <c r="I28" s="15" t="str">
        <f>IF(A28="","",IFERROR(INDEX(Map_Type,MATCH(A28,Map_WBS,0)),"n.b."))</f>
        <v/>
      </c>
    </row>
    <row r="29">
      <c r="H29" s="15" t="str">
        <f>IF(E29="","",IF(OR(F29="Vastgesteld",F29="Concept"),1,0))</f>
        <v/>
      </c>
      <c r="I29" s="15" t="str">
        <f>IF(A29="","",IFERROR(INDEX(Map_Type,MATCH(A29,Map_WBS,0)),"n.b."))</f>
        <v/>
      </c>
    </row>
    <row r="30">
      <c r="H30" s="15" t="str">
        <f>IF(E30="","",IF(OR(F30="Vastgesteld",F30="Concept"),1,0))</f>
        <v/>
      </c>
      <c r="I30" s="15" t="str">
        <f>IF(A30="","",IFERROR(INDEX(Map_Type,MATCH(A30,Map_WBS,0)),"n.b."))</f>
        <v/>
      </c>
    </row>
    <row r="31">
      <c r="H31" s="15" t="str">
        <f>IF(E31="","",IF(OR(F31="Vastgesteld",F31="Concept"),1,0))</f>
        <v/>
      </c>
      <c r="I31" s="15" t="str">
        <f>IF(A31="","",IFERROR(INDEX(Map_Type,MATCH(A31,Map_WBS,0)),"n.b."))</f>
        <v/>
      </c>
    </row>
    <row r="32">
      <c r="H32" s="15" t="str">
        <f>IF(E32="","",IF(OR(F32="Vastgesteld",F32="Concept"),1,0))</f>
        <v/>
      </c>
      <c r="I32" s="15" t="str">
        <f>IF(A32="","",IFERROR(INDEX(Map_Type,MATCH(A32,Map_WBS,0)),"n.b."))</f>
        <v/>
      </c>
    </row>
    <row r="33">
      <c r="H33" s="15" t="str">
        <f>IF(E33="","",IF(OR(F33="Vastgesteld",F33="Concept"),1,0))</f>
        <v/>
      </c>
      <c r="I33" s="15" t="str">
        <f>IF(A33="","",IFERROR(INDEX(Map_Type,MATCH(A33,Map_WBS,0)),"n.b."))</f>
        <v/>
      </c>
    </row>
    <row r="34">
      <c r="H34" s="15" t="str">
        <f>IF(E34="","",IF(OR(F34="Vastgesteld",F34="Concept"),1,0))</f>
        <v/>
      </c>
      <c r="I34" s="15" t="str">
        <f>IF(A34="","",IFERROR(INDEX(Map_Type,MATCH(A34,Map_WBS,0)),"n.b."))</f>
        <v/>
      </c>
    </row>
    <row r="35">
      <c r="H35" s="15" t="str">
        <f>IF(E35="","",IF(OR(F35="Vastgesteld",F35="Concept"),1,0))</f>
        <v/>
      </c>
      <c r="I35" s="15" t="str">
        <f>IF(A35="","",IFERROR(INDEX(Map_Type,MATCH(A35,Map_WBS,0)),"n.b."))</f>
        <v/>
      </c>
    </row>
    <row r="36">
      <c r="H36" s="15" t="str">
        <f>IF(E36="","",IF(OR(F36="Vastgesteld",F36="Concept"),1,0))</f>
        <v/>
      </c>
      <c r="I36" s="15" t="str">
        <f>IF(A36="","",IFERROR(INDEX(Map_Type,MATCH(A36,Map_WBS,0)),"n.b."))</f>
        <v/>
      </c>
    </row>
    <row r="37">
      <c r="H37" s="15" t="str">
        <f>IF(E37="","",IF(OR(F37="Vastgesteld",F37="Concept"),1,0))</f>
        <v/>
      </c>
      <c r="I37" s="15" t="str">
        <f>IF(A37="","",IFERROR(INDEX(Map_Type,MATCH(A37,Map_WBS,0)),"n.b."))</f>
        <v/>
      </c>
    </row>
    <row r="38">
      <c r="H38" s="15" t="str">
        <f>IF(E38="","",IF(OR(F38="Vastgesteld",F38="Concept"),1,0))</f>
        <v/>
      </c>
      <c r="I38" s="15" t="str">
        <f>IF(A38="","",IFERROR(INDEX(Map_Type,MATCH(A38,Map_WBS,0)),"n.b."))</f>
        <v/>
      </c>
    </row>
    <row r="39">
      <c r="H39" s="15" t="str">
        <f>IF(E39="","",IF(OR(F39="Vastgesteld",F39="Concept"),1,0))</f>
        <v/>
      </c>
      <c r="I39" s="15" t="str">
        <f>IF(A39="","",IFERROR(INDEX(Map_Type,MATCH(A39,Map_WBS,0)),"n.b."))</f>
        <v/>
      </c>
    </row>
    <row r="40">
      <c r="H40" s="15" t="str">
        <f>IF(E40="","",IF(OR(F40="Vastgesteld",F40="Concept"),1,0))</f>
        <v/>
      </c>
      <c r="I40" s="15" t="str">
        <f>IF(A40="","",IFERROR(INDEX(Map_Type,MATCH(A40,Map_WBS,0)),"n.b."))</f>
        <v/>
      </c>
    </row>
    <row r="41">
      <c r="H41" s="15" t="str">
        <f>IF(E41="","",IF(OR(F41="Vastgesteld",F41="Concept"),1,0))</f>
        <v/>
      </c>
      <c r="I41" s="15" t="str">
        <f>IF(A41="","",IFERROR(INDEX(Map_Type,MATCH(A41,Map_WBS,0)),"n.b."))</f>
        <v/>
      </c>
    </row>
    <row r="42">
      <c r="H42" s="15" t="str">
        <f>IF(E42="","",IF(OR(F42="Vastgesteld",F42="Concept"),1,0))</f>
        <v/>
      </c>
      <c r="I42" s="15" t="str">
        <f>IF(A42="","",IFERROR(INDEX(Map_Type,MATCH(A42,Map_WBS,0)),"n.b."))</f>
        <v/>
      </c>
    </row>
    <row r="43">
      <c r="H43" s="15" t="str">
        <f>IF(E43="","",IF(OR(F43="Vastgesteld",F43="Concept"),1,0))</f>
        <v/>
      </c>
      <c r="I43" s="15" t="str">
        <f>IF(A43="","",IFERROR(INDEX(Map_Type,MATCH(A43,Map_WBS,0)),"n.b."))</f>
        <v/>
      </c>
    </row>
    <row r="44">
      <c r="H44" s="15" t="str">
        <f>IF(E44="","",IF(OR(F44="Vastgesteld",F44="Concept"),1,0))</f>
        <v/>
      </c>
      <c r="I44" s="15" t="str">
        <f>IF(A44="","",IFERROR(INDEX(Map_Type,MATCH(A44,Map_WBS,0)),"n.b."))</f>
        <v/>
      </c>
    </row>
    <row r="45">
      <c r="H45" s="15" t="str">
        <f>IF(E45="","",IF(OR(F45="Vastgesteld",F45="Concept"),1,0))</f>
        <v/>
      </c>
      <c r="I45" s="15" t="str">
        <f>IF(A45="","",IFERROR(INDEX(Map_Type,MATCH(A45,Map_WBS,0)),"n.b."))</f>
        <v/>
      </c>
    </row>
    <row r="46">
      <c r="H46" s="15" t="str">
        <f>IF(E46="","",IF(OR(F46="Vastgesteld",F46="Concept"),1,0))</f>
        <v/>
      </c>
      <c r="I46" s="15" t="str">
        <f>IF(A46="","",IFERROR(INDEX(Map_Type,MATCH(A46,Map_WBS,0)),"n.b."))</f>
        <v/>
      </c>
    </row>
    <row r="47">
      <c r="H47" s="15" t="str">
        <f>IF(E47="","",IF(OR(F47="Vastgesteld",F47="Concept"),1,0))</f>
        <v/>
      </c>
      <c r="I47" s="15" t="str">
        <f>IF(A47="","",IFERROR(INDEX(Map_Type,MATCH(A47,Map_WBS,0)),"n.b."))</f>
        <v/>
      </c>
    </row>
    <row r="48">
      <c r="H48" s="15" t="str">
        <f>IF(E48="","",IF(OR(F48="Vastgesteld",F48="Concept"),1,0))</f>
        <v/>
      </c>
      <c r="I48" s="15" t="str">
        <f>IF(A48="","",IFERROR(INDEX(Map_Type,MATCH(A48,Map_WBS,0)),"n.b."))</f>
        <v/>
      </c>
    </row>
    <row r="49">
      <c r="H49" s="15" t="str">
        <f>IF(E49="","",IF(OR(F49="Vastgesteld",F49="Concept"),1,0))</f>
        <v/>
      </c>
      <c r="I49" s="15" t="str">
        <f>IF(A49="","",IFERROR(INDEX(Map_Type,MATCH(A49,Map_WBS,0)),"n.b."))</f>
        <v/>
      </c>
    </row>
    <row r="50">
      <c r="H50" s="15" t="str">
        <f>IF(E50="","",IF(OR(F50="Vastgesteld",F50="Concept"),1,0))</f>
        <v/>
      </c>
      <c r="I50" s="15" t="str">
        <f>IF(A50="","",IFERROR(INDEX(Map_Type,MATCH(A50,Map_WBS,0)),"n.b."))</f>
        <v/>
      </c>
    </row>
    <row r="51">
      <c r="H51" s="15" t="str">
        <f>IF(E51="","",IF(OR(F51="Vastgesteld",F51="Concept"),1,0))</f>
        <v/>
      </c>
      <c r="I51" s="15" t="str">
        <f>IF(A51="","",IFERROR(INDEX(Map_Type,MATCH(A51,Map_WBS,0)),"n.b."))</f>
        <v/>
      </c>
    </row>
    <row r="52">
      <c r="H52" s="15" t="str">
        <f>IF(E52="","",IF(OR(F52="Vastgesteld",F52="Concept"),1,0))</f>
        <v/>
      </c>
      <c r="I52" s="15" t="str">
        <f>IF(A52="","",IFERROR(INDEX(Map_Type,MATCH(A52,Map_WBS,0)),"n.b."))</f>
        <v/>
      </c>
    </row>
    <row r="53">
      <c r="H53" s="15" t="str">
        <f>IF(E53="","",IF(OR(F53="Vastgesteld",F53="Concept"),1,0))</f>
        <v/>
      </c>
      <c r="I53" s="15" t="str">
        <f>IF(A53="","",IFERROR(INDEX(Map_Type,MATCH(A53,Map_WBS,0)),"n.b."))</f>
        <v/>
      </c>
    </row>
    <row r="54">
      <c r="H54" s="15" t="str">
        <f>IF(E54="","",IF(OR(F54="Vastgesteld",F54="Concept"),1,0))</f>
        <v/>
      </c>
      <c r="I54" s="15" t="str">
        <f>IF(A54="","",IFERROR(INDEX(Map_Type,MATCH(A54,Map_WBS,0)),"n.b."))</f>
        <v/>
      </c>
    </row>
    <row r="55">
      <c r="H55" s="15" t="str">
        <f>IF(E55="","",IF(OR(F55="Vastgesteld",F55="Concept"),1,0))</f>
        <v/>
      </c>
      <c r="I55" s="15" t="str">
        <f>IF(A55="","",IFERROR(INDEX(Map_Type,MATCH(A55,Map_WBS,0)),"n.b."))</f>
        <v/>
      </c>
    </row>
    <row r="56">
      <c r="H56" s="15" t="str">
        <f>IF(E56="","",IF(OR(F56="Vastgesteld",F56="Concept"),1,0))</f>
        <v/>
      </c>
      <c r="I56" s="15" t="str">
        <f>IF(A56="","",IFERROR(INDEX(Map_Type,MATCH(A56,Map_WBS,0)),"n.b."))</f>
        <v/>
      </c>
    </row>
    <row r="57">
      <c r="H57" s="15" t="str">
        <f>IF(E57="","",IF(OR(F57="Vastgesteld",F57="Concept"),1,0))</f>
        <v/>
      </c>
      <c r="I57" s="15" t="str">
        <f>IF(A57="","",IFERROR(INDEX(Map_Type,MATCH(A57,Map_WBS,0)),"n.b."))</f>
        <v/>
      </c>
    </row>
    <row r="58">
      <c r="H58" s="15" t="str">
        <f>IF(E58="","",IF(OR(F58="Vastgesteld",F58="Concept"),1,0))</f>
        <v/>
      </c>
      <c r="I58" s="15" t="str">
        <f>IF(A58="","",IFERROR(INDEX(Map_Type,MATCH(A58,Map_WBS,0)),"n.b."))</f>
        <v/>
      </c>
    </row>
    <row r="59">
      <c r="H59" s="15" t="str">
        <f>IF(E59="","",IF(OR(F59="Vastgesteld",F59="Concept"),1,0))</f>
        <v/>
      </c>
      <c r="I59" s="15" t="str">
        <f>IF(A59="","",IFERROR(INDEX(Map_Type,MATCH(A59,Map_WBS,0)),"n.b."))</f>
        <v/>
      </c>
    </row>
    <row r="60">
      <c r="H60" s="15" t="str">
        <f>IF(E60="","",IF(OR(F60="Vastgesteld",F60="Concept"),1,0))</f>
        <v/>
      </c>
      <c r="I60" s="15" t="str">
        <f>IF(A60="","",IFERROR(INDEX(Map_Type,MATCH(A60,Map_WBS,0)),"n.b."))</f>
        <v/>
      </c>
    </row>
    <row r="61">
      <c r="H61" s="15" t="str">
        <f>IF(E61="","",IF(OR(F61="Vastgesteld",F61="Concept"),1,0))</f>
        <v/>
      </c>
      <c r="I61" s="15" t="str">
        <f>IF(A61="","",IFERROR(INDEX(Map_Type,MATCH(A61,Map_WBS,0)),"n.b."))</f>
        <v/>
      </c>
    </row>
    <row r="62">
      <c r="H62" s="15" t="str">
        <f>IF(E62="","",IF(OR(F62="Vastgesteld",F62="Concept"),1,0))</f>
        <v/>
      </c>
      <c r="I62" s="15" t="str">
        <f>IF(A62="","",IFERROR(INDEX(Map_Type,MATCH(A62,Map_WBS,0)),"n.b."))</f>
        <v/>
      </c>
    </row>
    <row r="63">
      <c r="H63" s="15" t="str">
        <f>IF(E63="","",IF(OR(F63="Vastgesteld",F63="Concept"),1,0))</f>
        <v/>
      </c>
      <c r="I63" s="15" t="str">
        <f>IF(A63="","",IFERROR(INDEX(Map_Type,MATCH(A63,Map_WBS,0)),"n.b."))</f>
        <v/>
      </c>
    </row>
    <row r="64">
      <c r="H64" s="15" t="str">
        <f>IF(E64="","",IF(OR(F64="Vastgesteld",F64="Concept"),1,0))</f>
        <v/>
      </c>
      <c r="I64" s="15" t="str">
        <f>IF(A64="","",IFERROR(INDEX(Map_Type,MATCH(A64,Map_WBS,0)),"n.b."))</f>
        <v/>
      </c>
    </row>
    <row r="65">
      <c r="H65" s="15" t="str">
        <f>IF(E65="","",IF(OR(F65="Vastgesteld",F65="Concept"),1,0))</f>
        <v/>
      </c>
      <c r="I65" s="15" t="str">
        <f>IF(A65="","",IFERROR(INDEX(Map_Type,MATCH(A65,Map_WBS,0)),"n.b."))</f>
        <v/>
      </c>
    </row>
    <row r="66">
      <c r="H66" s="15" t="str">
        <f>IF(E66="","",IF(OR(F66="Vastgesteld",F66="Concept"),1,0))</f>
        <v/>
      </c>
      <c r="I66" s="15" t="str">
        <f>IF(A66="","",IFERROR(INDEX(Map_Type,MATCH(A66,Map_WBS,0)),"n.b."))</f>
        <v/>
      </c>
    </row>
    <row r="67">
      <c r="H67" s="15" t="str">
        <f>IF(E67="","",IF(OR(F67="Vastgesteld",F67="Concept"),1,0))</f>
        <v/>
      </c>
      <c r="I67" s="15" t="str">
        <f>IF(A67="","",IFERROR(INDEX(Map_Type,MATCH(A67,Map_WBS,0)),"n.b."))</f>
        <v/>
      </c>
    </row>
    <row r="68">
      <c r="H68" s="15" t="str">
        <f>IF(E68="","",IF(OR(F68="Vastgesteld",F68="Concept"),1,0))</f>
        <v/>
      </c>
      <c r="I68" s="15" t="str">
        <f>IF(A68="","",IFERROR(INDEX(Map_Type,MATCH(A68,Map_WBS,0)),"n.b."))</f>
        <v/>
      </c>
    </row>
    <row r="69">
      <c r="H69" s="15" t="str">
        <f>IF(E69="","",IF(OR(F69="Vastgesteld",F69="Concept"),1,0))</f>
        <v/>
      </c>
      <c r="I69" s="15" t="str">
        <f>IF(A69="","",IFERROR(INDEX(Map_Type,MATCH(A69,Map_WBS,0)),"n.b."))</f>
        <v/>
      </c>
    </row>
    <row r="70">
      <c r="H70" s="15" t="str">
        <f>IF(E70="","",IF(OR(F70="Vastgesteld",F70="Concept"),1,0))</f>
        <v/>
      </c>
      <c r="I70" s="15" t="str">
        <f>IF(A70="","",IFERROR(INDEX(Map_Type,MATCH(A70,Map_WBS,0)),"n.b."))</f>
        <v/>
      </c>
    </row>
    <row r="71">
      <c r="H71" s="15" t="str">
        <f>IF(E71="","",IF(OR(F71="Vastgesteld",F71="Concept"),1,0))</f>
        <v/>
      </c>
      <c r="I71" s="15" t="str">
        <f>IF(A71="","",IFERROR(INDEX(Map_Type,MATCH(A71,Map_WBS,0)),"n.b."))</f>
        <v/>
      </c>
    </row>
    <row r="72">
      <c r="H72" s="15" t="str">
        <f>IF(E72="","",IF(OR(F72="Vastgesteld",F72="Concept"),1,0))</f>
        <v/>
      </c>
      <c r="I72" s="15" t="str">
        <f>IF(A72="","",IFERROR(INDEX(Map_Type,MATCH(A72,Map_WBS,0)),"n.b."))</f>
        <v/>
      </c>
    </row>
    <row r="73">
      <c r="H73" s="15" t="str">
        <f>IF(E73="","",IF(OR(F73="Vastgesteld",F73="Concept"),1,0))</f>
        <v/>
      </c>
      <c r="I73" s="15" t="str">
        <f>IF(A73="","",IFERROR(INDEX(Map_Type,MATCH(A73,Map_WBS,0)),"n.b."))</f>
        <v/>
      </c>
    </row>
    <row r="74">
      <c r="H74" s="15" t="str">
        <f>IF(E74="","",IF(OR(F74="Vastgesteld",F74="Concept"),1,0))</f>
        <v/>
      </c>
      <c r="I74" s="15" t="str">
        <f>IF(A74="","",IFERROR(INDEX(Map_Type,MATCH(A74,Map_WBS,0)),"n.b."))</f>
        <v/>
      </c>
    </row>
    <row r="75">
      <c r="H75" s="15" t="str">
        <f>IF(E75="","",IF(OR(F75="Vastgesteld",F75="Concept"),1,0))</f>
        <v/>
      </c>
      <c r="I75" s="15" t="str">
        <f>IF(A75="","",IFERROR(INDEX(Map_Type,MATCH(A75,Map_WBS,0)),"n.b."))</f>
        <v/>
      </c>
    </row>
    <row r="76">
      <c r="H76" s="15" t="str">
        <f>IF(E76="","",IF(OR(F76="Vastgesteld",F76="Concept"),1,0))</f>
        <v/>
      </c>
      <c r="I76" s="15" t="str">
        <f>IF(A76="","",IFERROR(INDEX(Map_Type,MATCH(A76,Map_WBS,0)),"n.b."))</f>
        <v/>
      </c>
    </row>
    <row r="77">
      <c r="H77" s="15" t="str">
        <f>IF(E77="","",IF(OR(F77="Vastgesteld",F77="Concept"),1,0))</f>
        <v/>
      </c>
      <c r="I77" s="15" t="str">
        <f>IF(A77="","",IFERROR(INDEX(Map_Type,MATCH(A77,Map_WBS,0)),"n.b."))</f>
        <v/>
      </c>
    </row>
    <row r="78">
      <c r="H78" s="15" t="str">
        <f>IF(E78="","",IF(OR(F78="Vastgesteld",F78="Concept"),1,0))</f>
        <v/>
      </c>
      <c r="I78" s="15" t="str">
        <f>IF(A78="","",IFERROR(INDEX(Map_Type,MATCH(A78,Map_WBS,0)),"n.b."))</f>
        <v/>
      </c>
    </row>
    <row r="79">
      <c r="H79" s="15" t="str">
        <f>IF(E79="","",IF(OR(F79="Vastgesteld",F79="Concept"),1,0))</f>
        <v/>
      </c>
      <c r="I79" s="15" t="str">
        <f>IF(A79="","",IFERROR(INDEX(Map_Type,MATCH(A79,Map_WBS,0)),"n.b."))</f>
        <v/>
      </c>
    </row>
    <row r="80">
      <c r="H80" s="15" t="str">
        <f>IF(E80="","",IF(OR(F80="Vastgesteld",F80="Concept"),1,0))</f>
        <v/>
      </c>
      <c r="I80" s="15" t="str">
        <f>IF(A80="","",IFERROR(INDEX(Map_Type,MATCH(A80,Map_WBS,0)),"n.b."))</f>
        <v/>
      </c>
    </row>
    <row r="81">
      <c r="H81" s="15" t="str">
        <f>IF(E81="","",IF(OR(F81="Vastgesteld",F81="Concept"),1,0))</f>
        <v/>
      </c>
      <c r="I81" s="15" t="str">
        <f>IF(A81="","",IFERROR(INDEX(Map_Type,MATCH(A81,Map_WBS,0)),"n.b."))</f>
        <v/>
      </c>
    </row>
    <row r="82">
      <c r="H82" s="15" t="str">
        <f>IF(E82="","",IF(OR(F82="Vastgesteld",F82="Concept"),1,0))</f>
        <v/>
      </c>
      <c r="I82" s="15" t="str">
        <f>IF(A82="","",IFERROR(INDEX(Map_Type,MATCH(A82,Map_WBS,0)),"n.b."))</f>
        <v/>
      </c>
    </row>
    <row r="83">
      <c r="H83" s="15" t="str">
        <f>IF(E83="","",IF(OR(F83="Vastgesteld",F83="Concept"),1,0))</f>
        <v/>
      </c>
      <c r="I83" s="15" t="str">
        <f>IF(A83="","",IFERROR(INDEX(Map_Type,MATCH(A83,Map_WBS,0)),"n.b."))</f>
        <v/>
      </c>
    </row>
    <row r="84">
      <c r="H84" s="15" t="str">
        <f>IF(E84="","",IF(OR(F84="Vastgesteld",F84="Concept"),1,0))</f>
        <v/>
      </c>
      <c r="I84" s="15" t="str">
        <f>IF(A84="","",IFERROR(INDEX(Map_Type,MATCH(A84,Map_WBS,0)),"n.b."))</f>
        <v/>
      </c>
    </row>
    <row r="85">
      <c r="H85" s="15" t="str">
        <f>IF(E85="","",IF(OR(F85="Vastgesteld",F85="Concept"),1,0))</f>
        <v/>
      </c>
      <c r="I85" s="15" t="str">
        <f>IF(A85="","",IFERROR(INDEX(Map_Type,MATCH(A85,Map_WBS,0)),"n.b."))</f>
        <v/>
      </c>
    </row>
    <row r="86">
      <c r="H86" s="15" t="str">
        <f>IF(E86="","",IF(OR(F86="Vastgesteld",F86="Concept"),1,0))</f>
        <v/>
      </c>
      <c r="I86" s="15" t="str">
        <f>IF(A86="","",IFERROR(INDEX(Map_Type,MATCH(A86,Map_WBS,0)),"n.b."))</f>
        <v/>
      </c>
    </row>
    <row r="87">
      <c r="H87" s="15" t="str">
        <f>IF(E87="","",IF(OR(F87="Vastgesteld",F87="Concept"),1,0))</f>
        <v/>
      </c>
      <c r="I87" s="15" t="str">
        <f>IF(A87="","",IFERROR(INDEX(Map_Type,MATCH(A87,Map_WBS,0)),"n.b."))</f>
        <v/>
      </c>
    </row>
    <row r="88">
      <c r="H88" s="15" t="str">
        <f>IF(E88="","",IF(OR(F88="Vastgesteld",F88="Concept"),1,0))</f>
        <v/>
      </c>
      <c r="I88" s="15" t="str">
        <f>IF(A88="","",IFERROR(INDEX(Map_Type,MATCH(A88,Map_WBS,0)),"n.b."))</f>
        <v/>
      </c>
    </row>
    <row r="89">
      <c r="H89" s="15" t="str">
        <f>IF(E89="","",IF(OR(F89="Vastgesteld",F89="Concept"),1,0))</f>
        <v/>
      </c>
      <c r="I89" s="15" t="str">
        <f>IF(A89="","",IFERROR(INDEX(Map_Type,MATCH(A89,Map_WBS,0)),"n.b."))</f>
        <v/>
      </c>
    </row>
    <row r="90">
      <c r="H90" s="15" t="str">
        <f>IF(E90="","",IF(OR(F90="Vastgesteld",F90="Concept"),1,0))</f>
        <v/>
      </c>
      <c r="I90" s="15" t="str">
        <f>IF(A90="","",IFERROR(INDEX(Map_Type,MATCH(A90,Map_WBS,0)),"n.b."))</f>
        <v/>
      </c>
    </row>
    <row r="91">
      <c r="H91" s="15" t="str">
        <f>IF(E91="","",IF(OR(F91="Vastgesteld",F91="Concept"),1,0))</f>
        <v/>
      </c>
      <c r="I91" s="15" t="str">
        <f>IF(A91="","",IFERROR(INDEX(Map_Type,MATCH(A91,Map_WBS,0)),"n.b."))</f>
        <v/>
      </c>
    </row>
    <row r="92">
      <c r="H92" s="15" t="str">
        <f>IF(E92="","",IF(OR(F92="Vastgesteld",F92="Concept"),1,0))</f>
        <v/>
      </c>
      <c r="I92" s="15" t="str">
        <f>IF(A92="","",IFERROR(INDEX(Map_Type,MATCH(A92,Map_WBS,0)),"n.b."))</f>
        <v/>
      </c>
    </row>
    <row r="93">
      <c r="H93" s="15" t="str">
        <f>IF(E93="","",IF(OR(F93="Vastgesteld",F93="Concept"),1,0))</f>
        <v/>
      </c>
      <c r="I93" s="15" t="str">
        <f>IF(A93="","",IFERROR(INDEX(Map_Type,MATCH(A93,Map_WBS,0)),"n.b."))</f>
        <v/>
      </c>
    </row>
    <row r="94">
      <c r="H94" s="15" t="str">
        <f>IF(E94="","",IF(OR(F94="Vastgesteld",F94="Concept"),1,0))</f>
        <v/>
      </c>
      <c r="I94" s="15" t="str">
        <f>IF(A94="","",IFERROR(INDEX(Map_Type,MATCH(A94,Map_WBS,0)),"n.b."))</f>
        <v/>
      </c>
    </row>
    <row r="95">
      <c r="H95" s="15" t="str">
        <f>IF(E95="","",IF(OR(F95="Vastgesteld",F95="Concept"),1,0))</f>
        <v/>
      </c>
      <c r="I95" s="15" t="str">
        <f>IF(A95="","",IFERROR(INDEX(Map_Type,MATCH(A95,Map_WBS,0)),"n.b."))</f>
        <v/>
      </c>
    </row>
    <row r="96">
      <c r="H96" s="15" t="str">
        <f>IF(E96="","",IF(OR(F96="Vastgesteld",F96="Concept"),1,0))</f>
        <v/>
      </c>
      <c r="I96" s="15" t="str">
        <f>IF(A96="","",IFERROR(INDEX(Map_Type,MATCH(A96,Map_WBS,0)),"n.b."))</f>
        <v/>
      </c>
    </row>
    <row r="97">
      <c r="H97" s="15" t="str">
        <f>IF(E97="","",IF(OR(F97="Vastgesteld",F97="Concept"),1,0))</f>
        <v/>
      </c>
      <c r="I97" s="15" t="str">
        <f>IF(A97="","",IFERROR(INDEX(Map_Type,MATCH(A97,Map_WBS,0)),"n.b."))</f>
        <v/>
      </c>
    </row>
    <row r="98">
      <c r="H98" s="15" t="str">
        <f>IF(E98="","",IF(OR(F98="Vastgesteld",F98="Concept"),1,0))</f>
        <v/>
      </c>
      <c r="I98" s="15" t="str">
        <f>IF(A98="","",IFERROR(INDEX(Map_Type,MATCH(A98,Map_WBS,0)),"n.b."))</f>
        <v/>
      </c>
    </row>
    <row r="99">
      <c r="H99" s="15" t="str">
        <f>IF(E99="","",IF(OR(F99="Vastgesteld",F99="Concept"),1,0))</f>
        <v/>
      </c>
      <c r="I99" s="15" t="str">
        <f>IF(A99="","",IFERROR(INDEX(Map_Type,MATCH(A99,Map_WBS,0)),"n.b."))</f>
        <v/>
      </c>
    </row>
    <row r="100">
      <c r="H100" s="15" t="str">
        <f>IF(E100="","",IF(OR(F100="Vastgesteld",F100="Concept"),1,0))</f>
        <v/>
      </c>
      <c r="I100" s="15" t="str">
        <f>IF(A100="","",IFERROR(INDEX(Map_Type,MATCH(A100,Map_WBS,0)),"n.b."))</f>
        <v/>
      </c>
    </row>
    <row r="101">
      <c r="H101" s="15" t="str">
        <f>IF(E101="","",IF(OR(F101="Vastgesteld",F101="Concept"),1,0))</f>
        <v/>
      </c>
      <c r="I101" s="15" t="str">
        <f>IF(A101="","",IFERROR(INDEX(Map_Type,MATCH(A101,Map_WBS,0)),"n.b."))</f>
        <v/>
      </c>
    </row>
    <row r="102">
      <c r="H102" s="15" t="str">
        <f>IF(E102="","",IF(OR(F102="Vastgesteld",F102="Concept"),1,0))</f>
        <v/>
      </c>
      <c r="I102" s="15" t="str">
        <f>IF(A102="","",IFERROR(INDEX(Map_Type,MATCH(A102,Map_WBS,0)),"n.b."))</f>
        <v/>
      </c>
    </row>
    <row r="103">
      <c r="H103" s="15" t="str">
        <f>IF(E103="","",IF(OR(F103="Vastgesteld",F103="Concept"),1,0))</f>
        <v/>
      </c>
      <c r="I103" s="15" t="str">
        <f>IF(A103="","",IFERROR(INDEX(Map_Type,MATCH(A103,Map_WBS,0)),"n.b."))</f>
        <v/>
      </c>
    </row>
    <row r="104">
      <c r="H104" s="15" t="str">
        <f>IF(E104="","",IF(OR(F104="Vastgesteld",F104="Concept"),1,0))</f>
        <v/>
      </c>
      <c r="I104" s="15" t="str">
        <f>IF(A104="","",IFERROR(INDEX(Map_Type,MATCH(A104,Map_WBS,0)),"n.b."))</f>
        <v/>
      </c>
    </row>
    <row r="105">
      <c r="H105" s="15" t="str">
        <f>IF(E105="","",IF(OR(F105="Vastgesteld",F105="Concept"),1,0))</f>
        <v/>
      </c>
      <c r="I105" s="15" t="str">
        <f>IF(A105="","",IFERROR(INDEX(Map_Type,MATCH(A105,Map_WBS,0)),"n.b."))</f>
        <v/>
      </c>
    </row>
    <row r="106">
      <c r="H106" s="15" t="str">
        <f>IF(E106="","",IF(OR(F106="Vastgesteld",F106="Concept"),1,0))</f>
        <v/>
      </c>
      <c r="I106" s="15" t="str">
        <f>IF(A106="","",IFERROR(INDEX(Map_Type,MATCH(A106,Map_WBS,0)),"n.b."))</f>
        <v/>
      </c>
    </row>
    <row r="107">
      <c r="H107" s="15" t="str">
        <f>IF(E107="","",IF(OR(F107="Vastgesteld",F107="Concept"),1,0))</f>
        <v/>
      </c>
      <c r="I107" s="15" t="str">
        <f>IF(A107="","",IFERROR(INDEX(Map_Type,MATCH(A107,Map_WBS,0)),"n.b."))</f>
        <v/>
      </c>
    </row>
    <row r="108">
      <c r="H108" s="15" t="str">
        <f>IF(E108="","",IF(OR(F108="Vastgesteld",F108="Concept"),1,0))</f>
        <v/>
      </c>
      <c r="I108" s="15" t="str">
        <f>IF(A108="","",IFERROR(INDEX(Map_Type,MATCH(A108,Map_WBS,0)),"n.b."))</f>
        <v/>
      </c>
    </row>
    <row r="109">
      <c r="H109" s="15" t="str">
        <f>IF(E109="","",IF(OR(F109="Vastgesteld",F109="Concept"),1,0))</f>
        <v/>
      </c>
      <c r="I109" s="15" t="str">
        <f>IF(A109="","",IFERROR(INDEX(Map_Type,MATCH(A109,Map_WBS,0)),"n.b."))</f>
        <v/>
      </c>
    </row>
    <row r="110">
      <c r="H110" s="15" t="str">
        <f>IF(E110="","",IF(OR(F110="Vastgesteld",F110="Concept"),1,0))</f>
        <v/>
      </c>
      <c r="I110" s="15" t="str">
        <f>IF(A110="","",IFERROR(INDEX(Map_Type,MATCH(A110,Map_WBS,0)),"n.b."))</f>
        <v/>
      </c>
    </row>
    <row r="111">
      <c r="H111" s="15" t="str">
        <f>IF(E111="","",IF(OR(F111="Vastgesteld",F111="Concept"),1,0))</f>
        <v/>
      </c>
      <c r="I111" s="15" t="str">
        <f>IF(A111="","",IFERROR(INDEX(Map_Type,MATCH(A111,Map_WBS,0)),"n.b."))</f>
        <v/>
      </c>
    </row>
    <row r="112">
      <c r="H112" s="15" t="str">
        <f>IF(E112="","",IF(OR(F112="Vastgesteld",F112="Concept"),1,0))</f>
        <v/>
      </c>
      <c r="I112" s="15" t="str">
        <f>IF(A112="","",IFERROR(INDEX(Map_Type,MATCH(A112,Map_WBS,0)),"n.b."))</f>
        <v/>
      </c>
    </row>
    <row r="113">
      <c r="H113" s="15" t="str">
        <f>IF(E113="","",IF(OR(F113="Vastgesteld",F113="Concept"),1,0))</f>
        <v/>
      </c>
      <c r="I113" s="15" t="str">
        <f>IF(A113="","",IFERROR(INDEX(Map_Type,MATCH(A113,Map_WBS,0)),"n.b."))</f>
        <v/>
      </c>
    </row>
    <row r="114">
      <c r="H114" s="15" t="str">
        <f>IF(E114="","",IF(OR(F114="Vastgesteld",F114="Concept"),1,0))</f>
        <v/>
      </c>
      <c r="I114" s="15" t="str">
        <f>IF(A114="","",IFERROR(INDEX(Map_Type,MATCH(A114,Map_WBS,0)),"n.b."))</f>
        <v/>
      </c>
    </row>
    <row r="115">
      <c r="H115" s="15" t="str">
        <f>IF(E115="","",IF(OR(F115="Vastgesteld",F115="Concept"),1,0))</f>
        <v/>
      </c>
      <c r="I115" s="15" t="str">
        <f>IF(A115="","",IFERROR(INDEX(Map_Type,MATCH(A115,Map_WBS,0)),"n.b."))</f>
        <v/>
      </c>
    </row>
    <row r="116">
      <c r="H116" s="15" t="str">
        <f>IF(E116="","",IF(OR(F116="Vastgesteld",F116="Concept"),1,0))</f>
        <v/>
      </c>
      <c r="I116" s="15" t="str">
        <f>IF(A116="","",IFERROR(INDEX(Map_Type,MATCH(A116,Map_WBS,0)),"n.b."))</f>
        <v/>
      </c>
    </row>
    <row r="117">
      <c r="H117" s="15" t="str">
        <f>IF(E117="","",IF(OR(F117="Vastgesteld",F117="Concept"),1,0))</f>
        <v/>
      </c>
      <c r="I117" s="15" t="str">
        <f>IF(A117="","",IFERROR(INDEX(Map_Type,MATCH(A117,Map_WBS,0)),"n.b."))</f>
        <v/>
      </c>
    </row>
    <row r="118">
      <c r="H118" s="15" t="str">
        <f>IF(E118="","",IF(OR(F118="Vastgesteld",F118="Concept"),1,0))</f>
        <v/>
      </c>
      <c r="I118" s="15" t="str">
        <f>IF(A118="","",IFERROR(INDEX(Map_Type,MATCH(A118,Map_WBS,0)),"n.b."))</f>
        <v/>
      </c>
    </row>
    <row r="119">
      <c r="H119" s="15" t="str">
        <f>IF(E119="","",IF(OR(F119="Vastgesteld",F119="Concept"),1,0))</f>
        <v/>
      </c>
      <c r="I119" s="15" t="str">
        <f>IF(A119="","",IFERROR(INDEX(Map_Type,MATCH(A119,Map_WBS,0)),"n.b."))</f>
        <v/>
      </c>
    </row>
    <row r="120">
      <c r="H120" s="15" t="str">
        <f>IF(E120="","",IF(OR(F120="Vastgesteld",F120="Concept"),1,0))</f>
        <v/>
      </c>
      <c r="I120" s="15" t="str">
        <f>IF(A120="","",IFERROR(INDEX(Map_Type,MATCH(A120,Map_WBS,0)),"n.b."))</f>
        <v/>
      </c>
    </row>
    <row r="121">
      <c r="H121" s="15" t="str">
        <f>IF(E121="","",IF(OR(F121="Vastgesteld",F121="Concept"),1,0))</f>
        <v/>
      </c>
      <c r="I121" s="15" t="str">
        <f>IF(A121="","",IFERROR(INDEX(Map_Type,MATCH(A121,Map_WBS,0)),"n.b."))</f>
        <v/>
      </c>
    </row>
    <row r="122">
      <c r="H122" s="15" t="str">
        <f>IF(E122="","",IF(OR(F122="Vastgesteld",F122="Concept"),1,0))</f>
        <v/>
      </c>
      <c r="I122" s="15" t="str">
        <f>IF(A122="","",IFERROR(INDEX(Map_Type,MATCH(A122,Map_WBS,0)),"n.b."))</f>
        <v/>
      </c>
    </row>
    <row r="123">
      <c r="H123" s="15" t="str">
        <f>IF(E123="","",IF(OR(F123="Vastgesteld",F123="Concept"),1,0))</f>
        <v/>
      </c>
      <c r="I123" s="15" t="str">
        <f>IF(A123="","",IFERROR(INDEX(Map_Type,MATCH(A123,Map_WBS,0)),"n.b."))</f>
        <v/>
      </c>
    </row>
    <row r="124">
      <c r="H124" s="15" t="str">
        <f>IF(E124="","",IF(OR(F124="Vastgesteld",F124="Concept"),1,0))</f>
        <v/>
      </c>
      <c r="I124" s="15" t="str">
        <f>IF(A124="","",IFERROR(INDEX(Map_Type,MATCH(A124,Map_WBS,0)),"n.b."))</f>
        <v/>
      </c>
    </row>
    <row r="125">
      <c r="H125" s="15" t="str">
        <f>IF(E125="","",IF(OR(F125="Vastgesteld",F125="Concept"),1,0))</f>
        <v/>
      </c>
      <c r="I125" s="15" t="str">
        <f>IF(A125="","",IFERROR(INDEX(Map_Type,MATCH(A125,Map_WBS,0)),"n.b."))</f>
        <v/>
      </c>
    </row>
    <row r="126">
      <c r="H126" s="15" t="str">
        <f>IF(E126="","",IF(OR(F126="Vastgesteld",F126="Concept"),1,0))</f>
        <v/>
      </c>
      <c r="I126" s="15" t="str">
        <f>IF(A126="","",IFERROR(INDEX(Map_Type,MATCH(A126,Map_WBS,0)),"n.b."))</f>
        <v/>
      </c>
    </row>
    <row r="127">
      <c r="H127" s="15" t="str">
        <f>IF(E127="","",IF(OR(F127="Vastgesteld",F127="Concept"),1,0))</f>
        <v/>
      </c>
      <c r="I127" s="15" t="str">
        <f>IF(A127="","",IFERROR(INDEX(Map_Type,MATCH(A127,Map_WBS,0)),"n.b."))</f>
        <v/>
      </c>
    </row>
    <row r="128">
      <c r="H128" s="15" t="str">
        <f>IF(E128="","",IF(OR(F128="Vastgesteld",F128="Concept"),1,0))</f>
        <v/>
      </c>
      <c r="I128" s="15" t="str">
        <f>IF(A128="","",IFERROR(INDEX(Map_Type,MATCH(A128,Map_WBS,0)),"n.b."))</f>
        <v/>
      </c>
    </row>
    <row r="129">
      <c r="H129" s="15" t="str">
        <f>IF(E129="","",IF(OR(F129="Vastgesteld",F129="Concept"),1,0))</f>
        <v/>
      </c>
      <c r="I129" s="15" t="str">
        <f>IF(A129="","",IFERROR(INDEX(Map_Type,MATCH(A129,Map_WBS,0)),"n.b."))</f>
        <v/>
      </c>
    </row>
    <row r="130">
      <c r="H130" s="15" t="str">
        <f>IF(E130="","",IF(OR(F130="Vastgesteld",F130="Concept"),1,0))</f>
        <v/>
      </c>
      <c r="I130" s="15" t="str">
        <f>IF(A130="","",IFERROR(INDEX(Map_Type,MATCH(A130,Map_WBS,0)),"n.b."))</f>
        <v/>
      </c>
    </row>
    <row r="131">
      <c r="H131" s="15" t="str">
        <f>IF(E131="","",IF(OR(F131="Vastgesteld",F131="Concept"),1,0))</f>
        <v/>
      </c>
      <c r="I131" s="15" t="str">
        <f>IF(A131="","",IFERROR(INDEX(Map_Type,MATCH(A131,Map_WBS,0)),"n.b."))</f>
        <v/>
      </c>
    </row>
    <row r="132">
      <c r="H132" s="15" t="str">
        <f>IF(E132="","",IF(OR(F132="Vastgesteld",F132="Concept"),1,0))</f>
        <v/>
      </c>
      <c r="I132" s="15" t="str">
        <f>IF(A132="","",IFERROR(INDEX(Map_Type,MATCH(A132,Map_WBS,0)),"n.b."))</f>
        <v/>
      </c>
    </row>
    <row r="133">
      <c r="H133" s="15" t="str">
        <f>IF(E133="","",IF(OR(F133="Vastgesteld",F133="Concept"),1,0))</f>
        <v/>
      </c>
      <c r="I133" s="15" t="str">
        <f>IF(A133="","",IFERROR(INDEX(Map_Type,MATCH(A133,Map_WBS,0)),"n.b."))</f>
        <v/>
      </c>
    </row>
    <row r="134">
      <c r="H134" s="15" t="str">
        <f>IF(E134="","",IF(OR(F134="Vastgesteld",F134="Concept"),1,0))</f>
        <v/>
      </c>
      <c r="I134" s="15" t="str">
        <f>IF(A134="","",IFERROR(INDEX(Map_Type,MATCH(A134,Map_WBS,0)),"n.b."))</f>
        <v/>
      </c>
    </row>
    <row r="135">
      <c r="H135" s="15" t="str">
        <f>IF(E135="","",IF(OR(F135="Vastgesteld",F135="Concept"),1,0))</f>
        <v/>
      </c>
      <c r="I135" s="15" t="str">
        <f>IF(A135="","",IFERROR(INDEX(Map_Type,MATCH(A135,Map_WBS,0)),"n.b."))</f>
        <v/>
      </c>
    </row>
    <row r="136">
      <c r="H136" s="15" t="str">
        <f>IF(E136="","",IF(OR(F136="Vastgesteld",F136="Concept"),1,0))</f>
        <v/>
      </c>
      <c r="I136" s="15" t="str">
        <f>IF(A136="","",IFERROR(INDEX(Map_Type,MATCH(A136,Map_WBS,0)),"n.b."))</f>
        <v/>
      </c>
    </row>
    <row r="137">
      <c r="H137" s="15" t="str">
        <f>IF(E137="","",IF(OR(F137="Vastgesteld",F137="Concept"),1,0))</f>
        <v/>
      </c>
      <c r="I137" s="15" t="str">
        <f>IF(A137="","",IFERROR(INDEX(Map_Type,MATCH(A137,Map_WBS,0)),"n.b."))</f>
        <v/>
      </c>
    </row>
    <row r="138">
      <c r="H138" s="15" t="str">
        <f>IF(E138="","",IF(OR(F138="Vastgesteld",F138="Concept"),1,0))</f>
        <v/>
      </c>
      <c r="I138" s="15" t="str">
        <f>IF(A138="","",IFERROR(INDEX(Map_Type,MATCH(A138,Map_WBS,0)),"n.b."))</f>
        <v/>
      </c>
    </row>
    <row r="139">
      <c r="H139" s="15" t="str">
        <f>IF(E139="","",IF(OR(F139="Vastgesteld",F139="Concept"),1,0))</f>
        <v/>
      </c>
      <c r="I139" s="15" t="str">
        <f>IF(A139="","",IFERROR(INDEX(Map_Type,MATCH(A139,Map_WBS,0)),"n.b."))</f>
        <v/>
      </c>
    </row>
    <row r="140">
      <c r="H140" s="15" t="str">
        <f>IF(E140="","",IF(OR(F140="Vastgesteld",F140="Concept"),1,0))</f>
        <v/>
      </c>
      <c r="I140" s="15" t="str">
        <f>IF(A140="","",IFERROR(INDEX(Map_Type,MATCH(A140,Map_WBS,0)),"n.b."))</f>
        <v/>
      </c>
    </row>
    <row r="141">
      <c r="H141" s="15" t="str">
        <f>IF(E141="","",IF(OR(F141="Vastgesteld",F141="Concept"),1,0))</f>
        <v/>
      </c>
      <c r="I141" s="15" t="str">
        <f>IF(A141="","",IFERROR(INDEX(Map_Type,MATCH(A141,Map_WBS,0)),"n.b."))</f>
        <v/>
      </c>
    </row>
    <row r="142">
      <c r="H142" s="15" t="str">
        <f>IF(E142="","",IF(OR(F142="Vastgesteld",F142="Concept"),1,0))</f>
        <v/>
      </c>
      <c r="I142" s="15" t="str">
        <f>IF(A142="","",IFERROR(INDEX(Map_Type,MATCH(A142,Map_WBS,0)),"n.b."))</f>
        <v/>
      </c>
    </row>
    <row r="143">
      <c r="H143" s="15" t="str">
        <f>IF(E143="","",IF(OR(F143="Vastgesteld",F143="Concept"),1,0))</f>
        <v/>
      </c>
      <c r="I143" s="15" t="str">
        <f>IF(A143="","",IFERROR(INDEX(Map_Type,MATCH(A143,Map_WBS,0)),"n.b."))</f>
        <v/>
      </c>
    </row>
    <row r="144">
      <c r="H144" s="15" t="str">
        <f>IF(E144="","",IF(OR(F144="Vastgesteld",F144="Concept"),1,0))</f>
        <v/>
      </c>
      <c r="I144" s="15" t="str">
        <f>IF(A144="","",IFERROR(INDEX(Map_Type,MATCH(A144,Map_WBS,0)),"n.b."))</f>
        <v/>
      </c>
    </row>
    <row r="145">
      <c r="H145" s="15" t="str">
        <f>IF(E145="","",IF(OR(F145="Vastgesteld",F145="Concept"),1,0))</f>
        <v/>
      </c>
      <c r="I145" s="15" t="str">
        <f>IF(A145="","",IFERROR(INDEX(Map_Type,MATCH(A145,Map_WBS,0)),"n.b."))</f>
        <v/>
      </c>
    </row>
    <row r="146">
      <c r="H146" s="15" t="str">
        <f>IF(E146="","",IF(OR(F146="Vastgesteld",F146="Concept"),1,0))</f>
        <v/>
      </c>
      <c r="I146" s="15" t="str">
        <f>IF(A146="","",IFERROR(INDEX(Map_Type,MATCH(A146,Map_WBS,0)),"n.b."))</f>
        <v/>
      </c>
    </row>
    <row r="147">
      <c r="H147" s="15" t="str">
        <f>IF(E147="","",IF(OR(F147="Vastgesteld",F147="Concept"),1,0))</f>
        <v/>
      </c>
      <c r="I147" s="15" t="str">
        <f>IF(A147="","",IFERROR(INDEX(Map_Type,MATCH(A147,Map_WBS,0)),"n.b."))</f>
        <v/>
      </c>
    </row>
    <row r="148">
      <c r="H148" s="15" t="str">
        <f>IF(E148="","",IF(OR(F148="Vastgesteld",F148="Concept"),1,0))</f>
        <v/>
      </c>
      <c r="I148" s="15" t="str">
        <f>IF(A148="","",IFERROR(INDEX(Map_Type,MATCH(A148,Map_WBS,0)),"n.b."))</f>
        <v/>
      </c>
    </row>
    <row r="149">
      <c r="H149" s="15" t="str">
        <f>IF(E149="","",IF(OR(F149="Vastgesteld",F149="Concept"),1,0))</f>
        <v/>
      </c>
      <c r="I149" s="15" t="str">
        <f>IF(A149="","",IFERROR(INDEX(Map_Type,MATCH(A149,Map_WBS,0)),"n.b."))</f>
        <v/>
      </c>
    </row>
    <row r="150">
      <c r="H150" s="15" t="str">
        <f>IF(E150="","",IF(OR(F150="Vastgesteld",F150="Concept"),1,0))</f>
        <v/>
      </c>
      <c r="I150" s="15" t="str">
        <f>IF(A150="","",IFERROR(INDEX(Map_Type,MATCH(A150,Map_WBS,0)),"n.b."))</f>
        <v/>
      </c>
    </row>
    <row r="151">
      <c r="H151" s="15" t="str">
        <f>IF(E151="","",IF(OR(F151="Vastgesteld",F151="Concept"),1,0))</f>
        <v/>
      </c>
      <c r="I151" s="15" t="str">
        <f>IF(A151="","",IFERROR(INDEX(Map_Type,MATCH(A151,Map_WBS,0)),"n.b."))</f>
        <v/>
      </c>
    </row>
    <row r="152">
      <c r="H152" s="15" t="str">
        <f>IF(E152="","",IF(OR(F152="Vastgesteld",F152="Concept"),1,0))</f>
        <v/>
      </c>
      <c r="I152" s="15" t="str">
        <f>IF(A152="","",IFERROR(INDEX(Map_Type,MATCH(A152,Map_WBS,0)),"n.b."))</f>
        <v/>
      </c>
    </row>
    <row r="153">
      <c r="H153" s="15" t="str">
        <f>IF(E153="","",IF(OR(F153="Vastgesteld",F153="Concept"),1,0))</f>
        <v/>
      </c>
      <c r="I153" s="15" t="str">
        <f>IF(A153="","",IFERROR(INDEX(Map_Type,MATCH(A153,Map_WBS,0)),"n.b."))</f>
        <v/>
      </c>
    </row>
    <row r="154">
      <c r="H154" s="15" t="str">
        <f>IF(E154="","",IF(OR(F154="Vastgesteld",F154="Concept"),1,0))</f>
        <v/>
      </c>
      <c r="I154" s="15" t="str">
        <f>IF(A154="","",IFERROR(INDEX(Map_Type,MATCH(A154,Map_WBS,0)),"n.b."))</f>
        <v/>
      </c>
    </row>
    <row r="155">
      <c r="H155" s="15" t="str">
        <f>IF(E155="","",IF(OR(F155="Vastgesteld",F155="Concept"),1,0))</f>
        <v/>
      </c>
      <c r="I155" s="15" t="str">
        <f>IF(A155="","",IFERROR(INDEX(Map_Type,MATCH(A155,Map_WBS,0)),"n.b."))</f>
        <v/>
      </c>
    </row>
    <row r="156">
      <c r="H156" s="15" t="str">
        <f>IF(E156="","",IF(OR(F156="Vastgesteld",F156="Concept"),1,0))</f>
        <v/>
      </c>
      <c r="I156" s="15" t="str">
        <f>IF(A156="","",IFERROR(INDEX(Map_Type,MATCH(A156,Map_WBS,0)),"n.b."))</f>
        <v/>
      </c>
    </row>
    <row r="157">
      <c r="H157" s="15" t="str">
        <f>IF(E157="","",IF(OR(F157="Vastgesteld",F157="Concept"),1,0))</f>
        <v/>
      </c>
      <c r="I157" s="15" t="str">
        <f>IF(A157="","",IFERROR(INDEX(Map_Type,MATCH(A157,Map_WBS,0)),"n.b."))</f>
        <v/>
      </c>
    </row>
    <row r="158">
      <c r="H158" s="15" t="str">
        <f>IF(E158="","",IF(OR(F158="Vastgesteld",F158="Concept"),1,0))</f>
        <v/>
      </c>
      <c r="I158" s="15" t="str">
        <f>IF(A158="","",IFERROR(INDEX(Map_Type,MATCH(A158,Map_WBS,0)),"n.b."))</f>
        <v/>
      </c>
    </row>
    <row r="159">
      <c r="H159" s="15" t="str">
        <f>IF(E159="","",IF(OR(F159="Vastgesteld",F159="Concept"),1,0))</f>
        <v/>
      </c>
      <c r="I159" s="15" t="str">
        <f>IF(A159="","",IFERROR(INDEX(Map_Type,MATCH(A159,Map_WBS,0)),"n.b."))</f>
        <v/>
      </c>
    </row>
    <row r="160">
      <c r="H160" s="15" t="str">
        <f>IF(E160="","",IF(OR(F160="Vastgesteld",F160="Concept"),1,0))</f>
        <v/>
      </c>
      <c r="I160" s="15" t="str">
        <f>IF(A160="","",IFERROR(INDEX(Map_Type,MATCH(A160,Map_WBS,0)),"n.b."))</f>
        <v/>
      </c>
    </row>
    <row r="161">
      <c r="H161" s="15" t="str">
        <f>IF(E161="","",IF(OR(F161="Vastgesteld",F161="Concept"),1,0))</f>
        <v/>
      </c>
      <c r="I161" s="15" t="str">
        <f>IF(A161="","",IFERROR(INDEX(Map_Type,MATCH(A161,Map_WBS,0)),"n.b."))</f>
        <v/>
      </c>
    </row>
    <row r="162">
      <c r="H162" s="15" t="str">
        <f>IF(E162="","",IF(OR(F162="Vastgesteld",F162="Concept"),1,0))</f>
        <v/>
      </c>
      <c r="I162" s="15" t="str">
        <f>IF(A162="","",IFERROR(INDEX(Map_Type,MATCH(A162,Map_WBS,0)),"n.b."))</f>
        <v/>
      </c>
    </row>
    <row r="163">
      <c r="H163" s="15" t="str">
        <f>IF(E163="","",IF(OR(F163="Vastgesteld",F163="Concept"),1,0))</f>
        <v/>
      </c>
      <c r="I163" s="15" t="str">
        <f>IF(A163="","",IFERROR(INDEX(Map_Type,MATCH(A163,Map_WBS,0)),"n.b."))</f>
        <v/>
      </c>
    </row>
    <row r="164">
      <c r="H164" s="15" t="str">
        <f>IF(E164="","",IF(OR(F164="Vastgesteld",F164="Concept"),1,0))</f>
        <v/>
      </c>
      <c r="I164" s="15" t="str">
        <f>IF(A164="","",IFERROR(INDEX(Map_Type,MATCH(A164,Map_WBS,0)),"n.b."))</f>
        <v/>
      </c>
    </row>
    <row r="165">
      <c r="H165" s="15" t="str">
        <f>IF(E165="","",IF(OR(F165="Vastgesteld",F165="Concept"),1,0))</f>
        <v/>
      </c>
      <c r="I165" s="15" t="str">
        <f>IF(A165="","",IFERROR(INDEX(Map_Type,MATCH(A165,Map_WBS,0)),"n.b."))</f>
        <v/>
      </c>
    </row>
    <row r="166">
      <c r="H166" s="15" t="str">
        <f>IF(E166="","",IF(OR(F166="Vastgesteld",F166="Concept"),1,0))</f>
        <v/>
      </c>
      <c r="I166" s="15" t="str">
        <f>IF(A166="","",IFERROR(INDEX(Map_Type,MATCH(A166,Map_WBS,0)),"n.b."))</f>
        <v/>
      </c>
    </row>
    <row r="167">
      <c r="H167" s="15" t="str">
        <f>IF(E167="","",IF(OR(F167="Vastgesteld",F167="Concept"),1,0))</f>
        <v/>
      </c>
      <c r="I167" s="15" t="str">
        <f>IF(A167="","",IFERROR(INDEX(Map_Type,MATCH(A167,Map_WBS,0)),"n.b."))</f>
        <v/>
      </c>
    </row>
    <row r="168">
      <c r="H168" s="15" t="str">
        <f>IF(E168="","",IF(OR(F168="Vastgesteld",F168="Concept"),1,0))</f>
        <v/>
      </c>
      <c r="I168" s="15" t="str">
        <f>IF(A168="","",IFERROR(INDEX(Map_Type,MATCH(A168,Map_WBS,0)),"n.b."))</f>
        <v/>
      </c>
    </row>
    <row r="169">
      <c r="H169" s="15" t="str">
        <f>IF(E169="","",IF(OR(F169="Vastgesteld",F169="Concept"),1,0))</f>
        <v/>
      </c>
      <c r="I169" s="15" t="str">
        <f>IF(A169="","",IFERROR(INDEX(Map_Type,MATCH(A169,Map_WBS,0)),"n.b."))</f>
        <v/>
      </c>
    </row>
    <row r="170">
      <c r="H170" s="15" t="str">
        <f>IF(E170="","",IF(OR(F170="Vastgesteld",F170="Concept"),1,0))</f>
        <v/>
      </c>
      <c r="I170" s="15" t="str">
        <f>IF(A170="","",IFERROR(INDEX(Map_Type,MATCH(A170,Map_WBS,0)),"n.b."))</f>
        <v/>
      </c>
    </row>
    <row r="171">
      <c r="H171" s="15" t="str">
        <f>IF(E171="","",IF(OR(F171="Vastgesteld",F171="Concept"),1,0))</f>
        <v/>
      </c>
      <c r="I171" s="15" t="str">
        <f>IF(A171="","",IFERROR(INDEX(Map_Type,MATCH(A171,Map_WBS,0)),"n.b."))</f>
        <v/>
      </c>
    </row>
    <row r="172">
      <c r="H172" s="15" t="str">
        <f>IF(E172="","",IF(OR(F172="Vastgesteld",F172="Concept"),1,0))</f>
        <v/>
      </c>
      <c r="I172" s="15" t="str">
        <f>IF(A172="","",IFERROR(INDEX(Map_Type,MATCH(A172,Map_WBS,0)),"n.b."))</f>
        <v/>
      </c>
    </row>
    <row r="173">
      <c r="H173" s="15" t="str">
        <f>IF(E173="","",IF(OR(F173="Vastgesteld",F173="Concept"),1,0))</f>
        <v/>
      </c>
      <c r="I173" s="15" t="str">
        <f>IF(A173="","",IFERROR(INDEX(Map_Type,MATCH(A173,Map_WBS,0)),"n.b."))</f>
        <v/>
      </c>
    </row>
    <row r="174">
      <c r="H174" s="15" t="str">
        <f>IF(E174="","",IF(OR(F174="Vastgesteld",F174="Concept"),1,0))</f>
        <v/>
      </c>
      <c r="I174" s="15" t="str">
        <f>IF(A174="","",IFERROR(INDEX(Map_Type,MATCH(A174,Map_WBS,0)),"n.b."))</f>
        <v/>
      </c>
    </row>
    <row r="175">
      <c r="H175" s="15" t="str">
        <f>IF(E175="","",IF(OR(F175="Vastgesteld",F175="Concept"),1,0))</f>
        <v/>
      </c>
      <c r="I175" s="15" t="str">
        <f>IF(A175="","",IFERROR(INDEX(Map_Type,MATCH(A175,Map_WBS,0)),"n.b."))</f>
        <v/>
      </c>
    </row>
    <row r="176">
      <c r="H176" s="15" t="str">
        <f>IF(E176="","",IF(OR(F176="Vastgesteld",F176="Concept"),1,0))</f>
        <v/>
      </c>
      <c r="I176" s="15" t="str">
        <f>IF(A176="","",IFERROR(INDEX(Map_Type,MATCH(A176,Map_WBS,0)),"n.b."))</f>
        <v/>
      </c>
    </row>
    <row r="177">
      <c r="H177" s="15" t="str">
        <f>IF(E177="","",IF(OR(F177="Vastgesteld",F177="Concept"),1,0))</f>
        <v/>
      </c>
      <c r="I177" s="15" t="str">
        <f>IF(A177="","",IFERROR(INDEX(Map_Type,MATCH(A177,Map_WBS,0)),"n.b."))</f>
        <v/>
      </c>
    </row>
    <row r="178">
      <c r="H178" s="15" t="str">
        <f>IF(E178="","",IF(OR(F178="Vastgesteld",F178="Concept"),1,0))</f>
        <v/>
      </c>
      <c r="I178" s="15" t="str">
        <f>IF(A178="","",IFERROR(INDEX(Map_Type,MATCH(A178,Map_WBS,0)),"n.b."))</f>
        <v/>
      </c>
    </row>
    <row r="179">
      <c r="H179" s="15" t="str">
        <f>IF(E179="","",IF(OR(F179="Vastgesteld",F179="Concept"),1,0))</f>
        <v/>
      </c>
      <c r="I179" s="15" t="str">
        <f>IF(A179="","",IFERROR(INDEX(Map_Type,MATCH(A179,Map_WBS,0)),"n.b."))</f>
        <v/>
      </c>
    </row>
    <row r="180">
      <c r="H180" s="15" t="str">
        <f>IF(E180="","",IF(OR(F180="Vastgesteld",F180="Concept"),1,0))</f>
        <v/>
      </c>
      <c r="I180" s="15" t="str">
        <f>IF(A180="","",IFERROR(INDEX(Map_Type,MATCH(A180,Map_WBS,0)),"n.b."))</f>
        <v/>
      </c>
    </row>
    <row r="181">
      <c r="H181" s="15" t="str">
        <f>IF(E181="","",IF(OR(F181="Vastgesteld",F181="Concept"),1,0))</f>
        <v/>
      </c>
      <c r="I181" s="15" t="str">
        <f>IF(A181="","",IFERROR(INDEX(Map_Type,MATCH(A181,Map_WBS,0)),"n.b."))</f>
        <v/>
      </c>
    </row>
    <row r="182">
      <c r="H182" s="15" t="str">
        <f>IF(E182="","",IF(OR(F182="Vastgesteld",F182="Concept"),1,0))</f>
        <v/>
      </c>
      <c r="I182" s="15" t="str">
        <f>IF(A182="","",IFERROR(INDEX(Map_Type,MATCH(A182,Map_WBS,0)),"n.b."))</f>
        <v/>
      </c>
    </row>
    <row r="183">
      <c r="H183" s="15" t="str">
        <f>IF(E183="","",IF(OR(F183="Vastgesteld",F183="Concept"),1,0))</f>
        <v/>
      </c>
      <c r="I183" s="15" t="str">
        <f>IF(A183="","",IFERROR(INDEX(Map_Type,MATCH(A183,Map_WBS,0)),"n.b."))</f>
        <v/>
      </c>
    </row>
    <row r="184">
      <c r="H184" s="15" t="str">
        <f>IF(E184="","",IF(OR(F184="Vastgesteld",F184="Concept"),1,0))</f>
        <v/>
      </c>
      <c r="I184" s="15" t="str">
        <f>IF(A184="","",IFERROR(INDEX(Map_Type,MATCH(A184,Map_WBS,0)),"n.b."))</f>
        <v/>
      </c>
    </row>
    <row r="185">
      <c r="H185" s="15" t="str">
        <f>IF(E185="","",IF(OR(F185="Vastgesteld",F185="Concept"),1,0))</f>
        <v/>
      </c>
      <c r="I185" s="15" t="str">
        <f>IF(A185="","",IFERROR(INDEX(Map_Type,MATCH(A185,Map_WBS,0)),"n.b."))</f>
        <v/>
      </c>
    </row>
    <row r="186">
      <c r="H186" s="15" t="str">
        <f>IF(E186="","",IF(OR(F186="Vastgesteld",F186="Concept"),1,0))</f>
        <v/>
      </c>
      <c r="I186" s="15" t="str">
        <f>IF(A186="","",IFERROR(INDEX(Map_Type,MATCH(A186,Map_WBS,0)),"n.b."))</f>
        <v/>
      </c>
    </row>
    <row r="187">
      <c r="H187" s="15" t="str">
        <f>IF(E187="","",IF(OR(F187="Vastgesteld",F187="Concept"),1,0))</f>
        <v/>
      </c>
      <c r="I187" s="15" t="str">
        <f>IF(A187="","",IFERROR(INDEX(Map_Type,MATCH(A187,Map_WBS,0)),"n.b."))</f>
        <v/>
      </c>
    </row>
    <row r="188">
      <c r="H188" s="15" t="str">
        <f>IF(E188="","",IF(OR(F188="Vastgesteld",F188="Concept"),1,0))</f>
        <v/>
      </c>
      <c r="I188" s="15" t="str">
        <f>IF(A188="","",IFERROR(INDEX(Map_Type,MATCH(A188,Map_WBS,0)),"n.b."))</f>
        <v/>
      </c>
    </row>
    <row r="189">
      <c r="H189" s="15" t="str">
        <f>IF(E189="","",IF(OR(F189="Vastgesteld",F189="Concept"),1,0))</f>
        <v/>
      </c>
      <c r="I189" s="15" t="str">
        <f>IF(A189="","",IFERROR(INDEX(Map_Type,MATCH(A189,Map_WBS,0)),"n.b."))</f>
        <v/>
      </c>
    </row>
    <row r="190">
      <c r="H190" s="15" t="str">
        <f>IF(E190="","",IF(OR(F190="Vastgesteld",F190="Concept"),1,0))</f>
        <v/>
      </c>
      <c r="I190" s="15" t="str">
        <f>IF(A190="","",IFERROR(INDEX(Map_Type,MATCH(A190,Map_WBS,0)),"n.b."))</f>
        <v/>
      </c>
    </row>
    <row r="191">
      <c r="H191" s="15" t="str">
        <f>IF(E191="","",IF(OR(F191="Vastgesteld",F191="Concept"),1,0))</f>
        <v/>
      </c>
      <c r="I191" s="15" t="str">
        <f>IF(A191="","",IFERROR(INDEX(Map_Type,MATCH(A191,Map_WBS,0)),"n.b."))</f>
        <v/>
      </c>
    </row>
    <row r="192">
      <c r="H192" s="15" t="str">
        <f>IF(E192="","",IF(OR(F192="Vastgesteld",F192="Concept"),1,0))</f>
        <v/>
      </c>
      <c r="I192" s="15" t="str">
        <f>IF(A192="","",IFERROR(INDEX(Map_Type,MATCH(A192,Map_WBS,0)),"n.b."))</f>
        <v/>
      </c>
    </row>
    <row r="193">
      <c r="H193" s="15" t="str">
        <f>IF(E193="","",IF(OR(F193="Vastgesteld",F193="Concept"),1,0))</f>
        <v/>
      </c>
      <c r="I193" s="15" t="str">
        <f>IF(A193="","",IFERROR(INDEX(Map_Type,MATCH(A193,Map_WBS,0)),"n.b."))</f>
        <v/>
      </c>
    </row>
    <row r="194">
      <c r="H194" s="15" t="str">
        <f>IF(E194="","",IF(OR(F194="Vastgesteld",F194="Concept"),1,0))</f>
        <v/>
      </c>
      <c r="I194" s="15" t="str">
        <f>IF(A194="","",IFERROR(INDEX(Map_Type,MATCH(A194,Map_WBS,0)),"n.b."))</f>
        <v/>
      </c>
    </row>
    <row r="195">
      <c r="H195" s="15" t="str">
        <f>IF(E195="","",IF(OR(F195="Vastgesteld",F195="Concept"),1,0))</f>
        <v/>
      </c>
      <c r="I195" s="15" t="str">
        <f>IF(A195="","",IFERROR(INDEX(Map_Type,MATCH(A195,Map_WBS,0)),"n.b."))</f>
        <v/>
      </c>
    </row>
    <row r="196">
      <c r="H196" s="15" t="str">
        <f>IF(E196="","",IF(OR(F196="Vastgesteld",F196="Concept"),1,0))</f>
        <v/>
      </c>
      <c r="I196" s="15" t="str">
        <f>IF(A196="","",IFERROR(INDEX(Map_Type,MATCH(A196,Map_WBS,0)),"n.b."))</f>
        <v/>
      </c>
    </row>
    <row r="197">
      <c r="H197" s="15" t="str">
        <f>IF(E197="","",IF(OR(F197="Vastgesteld",F197="Concept"),1,0))</f>
        <v/>
      </c>
      <c r="I197" s="15" t="str">
        <f>IF(A197="","",IFERROR(INDEX(Map_Type,MATCH(A197,Map_WBS,0)),"n.b."))</f>
        <v/>
      </c>
    </row>
    <row r="198">
      <c r="H198" s="15" t="str">
        <f>IF(E198="","",IF(OR(F198="Vastgesteld",F198="Concept"),1,0))</f>
        <v/>
      </c>
      <c r="I198" s="15" t="str">
        <f>IF(A198="","",IFERROR(INDEX(Map_Type,MATCH(A198,Map_WBS,0)),"n.b."))</f>
        <v/>
      </c>
    </row>
    <row r="199">
      <c r="H199" s="15" t="str">
        <f>IF(E199="","",IF(OR(F199="Vastgesteld",F199="Concept"),1,0))</f>
        <v/>
      </c>
      <c r="I199" s="15" t="str">
        <f>IF(A199="","",IFERROR(INDEX(Map_Type,MATCH(A199,Map_WBS,0)),"n.b."))</f>
        <v/>
      </c>
    </row>
    <row r="200">
      <c r="H200" s="15" t="str">
        <f>IF(E200="","",IF(OR(F200="Vastgesteld",F200="Concept"),1,0))</f>
        <v/>
      </c>
      <c r="I200" s="15" t="str">
        <f>IF(A200="","",IFERROR(INDEX(Map_Type,MATCH(A200,Map_WBS,0)),"n.b."))</f>
        <v/>
      </c>
    </row>
    <row r="201">
      <c r="H201" s="15" t="str">
        <f>IF(E201="","",IF(OR(F201="Vastgesteld",F201="Concept"),1,0))</f>
        <v/>
      </c>
      <c r="I201" s="15" t="str">
        <f>IF(A201="","",IFERROR(INDEX(Map_Type,MATCH(A201,Map_WBS,0)),"n.b."))</f>
        <v/>
      </c>
    </row>
    <row r="202">
      <c r="H202" s="15" t="str">
        <f>IF(E202="","",IF(OR(F202="Vastgesteld",F202="Concept"),1,0))</f>
        <v/>
      </c>
      <c r="I202" s="15" t="str">
        <f>IF(A202="","",IFERROR(INDEX(Map_Type,MATCH(A202,Map_WBS,0)),"n.b."))</f>
        <v/>
      </c>
    </row>
    <row r="203">
      <c r="H203" s="15" t="str">
        <f>IF(E203="","",IF(OR(F203="Vastgesteld",F203="Concept"),1,0))</f>
        <v/>
      </c>
      <c r="I203" s="15" t="str">
        <f>IF(A203="","",IFERROR(INDEX(Map_Type,MATCH(A203,Map_WBS,0)),"n.b."))</f>
        <v/>
      </c>
    </row>
    <row r="204">
      <c r="H204" s="15" t="str">
        <f>IF(E204="","",IF(OR(F204="Vastgesteld",F204="Concept"),1,0))</f>
        <v/>
      </c>
      <c r="I204" s="15" t="str">
        <f>IF(A204="","",IFERROR(INDEX(Map_Type,MATCH(A204,Map_WBS,0)),"n.b."))</f>
        <v/>
      </c>
    </row>
    <row r="205">
      <c r="H205" s="15" t="str">
        <f>IF(E205="","",IF(OR(F205="Vastgesteld",F205="Concept"),1,0))</f>
        <v/>
      </c>
      <c r="I205" s="15" t="str">
        <f>IF(A205="","",IFERROR(INDEX(Map_Type,MATCH(A205,Map_WBS,0)),"n.b."))</f>
        <v/>
      </c>
    </row>
    <row r="206">
      <c r="H206" s="15" t="str">
        <f>IF(E206="","",IF(OR(F206="Vastgesteld",F206="Concept"),1,0))</f>
        <v/>
      </c>
      <c r="I206" s="15" t="str">
        <f>IF(A206="","",IFERROR(INDEX(Map_Type,MATCH(A206,Map_WBS,0)),"n.b."))</f>
        <v/>
      </c>
    </row>
    <row r="207">
      <c r="H207" s="15" t="str">
        <f>IF(E207="","",IF(OR(F207="Vastgesteld",F207="Concept"),1,0))</f>
        <v/>
      </c>
      <c r="I207" s="15" t="str">
        <f>IF(A207="","",IFERROR(INDEX(Map_Type,MATCH(A207,Map_WBS,0)),"n.b."))</f>
        <v/>
      </c>
    </row>
    <row r="208">
      <c r="H208" s="15" t="str">
        <f>IF(E208="","",IF(OR(F208="Vastgesteld",F208="Concept"),1,0))</f>
        <v/>
      </c>
      <c r="I208" s="15" t="str">
        <f>IF(A208="","",IFERROR(INDEX(Map_Type,MATCH(A208,Map_WBS,0)),"n.b."))</f>
        <v/>
      </c>
    </row>
    <row r="209">
      <c r="H209" s="15" t="str">
        <f>IF(E209="","",IF(OR(F209="Vastgesteld",F209="Concept"),1,0))</f>
        <v/>
      </c>
      <c r="I209" s="15" t="str">
        <f>IF(A209="","",IFERROR(INDEX(Map_Type,MATCH(A209,Map_WBS,0)),"n.b."))</f>
        <v/>
      </c>
    </row>
    <row r="210">
      <c r="H210" s="15" t="str">
        <f>IF(E210="","",IF(OR(F210="Vastgesteld",F210="Concept"),1,0))</f>
        <v/>
      </c>
      <c r="I210" s="15" t="str">
        <f>IF(A210="","",IFERROR(INDEX(Map_Type,MATCH(A210,Map_WBS,0)),"n.b."))</f>
        <v/>
      </c>
    </row>
    <row r="211">
      <c r="H211" s="15" t="str">
        <f>IF(E211="","",IF(OR(F211="Vastgesteld",F211="Concept"),1,0))</f>
        <v/>
      </c>
      <c r="I211" s="15" t="str">
        <f>IF(A211="","",IFERROR(INDEX(Map_Type,MATCH(A211,Map_WBS,0)),"n.b."))</f>
        <v/>
      </c>
    </row>
    <row r="212">
      <c r="H212" s="15" t="str">
        <f>IF(E212="","",IF(OR(F212="Vastgesteld",F212="Concept"),1,0))</f>
        <v/>
      </c>
      <c r="I212" s="15" t="str">
        <f>IF(A212="","",IFERROR(INDEX(Map_Type,MATCH(A212,Map_WBS,0)),"n.b."))</f>
        <v/>
      </c>
    </row>
    <row r="213">
      <c r="H213" s="15" t="str">
        <f>IF(E213="","",IF(OR(F213="Vastgesteld",F213="Concept"),1,0))</f>
        <v/>
      </c>
      <c r="I213" s="15" t="str">
        <f>IF(A213="","",IFERROR(INDEX(Map_Type,MATCH(A213,Map_WBS,0)),"n.b."))</f>
        <v/>
      </c>
    </row>
    <row r="214">
      <c r="H214" s="15" t="str">
        <f>IF(E214="","",IF(OR(F214="Vastgesteld",F214="Concept"),1,0))</f>
        <v/>
      </c>
      <c r="I214" s="15" t="str">
        <f>IF(A214="","",IFERROR(INDEX(Map_Type,MATCH(A214,Map_WBS,0)),"n.b."))</f>
        <v/>
      </c>
    </row>
    <row r="215">
      <c r="H215" s="15" t="str">
        <f>IF(E215="","",IF(OR(F215="Vastgesteld",F215="Concept"),1,0))</f>
        <v/>
      </c>
      <c r="I215" s="15" t="str">
        <f>IF(A215="","",IFERROR(INDEX(Map_Type,MATCH(A215,Map_WBS,0)),"n.b."))</f>
        <v/>
      </c>
    </row>
    <row r="216">
      <c r="H216" s="15" t="str">
        <f>IF(E216="","",IF(OR(F216="Vastgesteld",F216="Concept"),1,0))</f>
        <v/>
      </c>
      <c r="I216" s="15" t="str">
        <f>IF(A216="","",IFERROR(INDEX(Map_Type,MATCH(A216,Map_WBS,0)),"n.b."))</f>
        <v/>
      </c>
    </row>
    <row r="217">
      <c r="H217" s="15" t="str">
        <f>IF(E217="","",IF(OR(F217="Vastgesteld",F217="Concept"),1,0))</f>
        <v/>
      </c>
      <c r="I217" s="15" t="str">
        <f>IF(A217="","",IFERROR(INDEX(Map_Type,MATCH(A217,Map_WBS,0)),"n.b."))</f>
        <v/>
      </c>
    </row>
    <row r="218">
      <c r="H218" s="15" t="str">
        <f>IF(E218="","",IF(OR(F218="Vastgesteld",F218="Concept"),1,0))</f>
        <v/>
      </c>
      <c r="I218" s="15" t="str">
        <f>IF(A218="","",IFERROR(INDEX(Map_Type,MATCH(A218,Map_WBS,0)),"n.b."))</f>
        <v/>
      </c>
    </row>
    <row r="219">
      <c r="H219" s="15" t="str">
        <f>IF(E219="","",IF(OR(F219="Vastgesteld",F219="Concept"),1,0))</f>
        <v/>
      </c>
      <c r="I219" s="15" t="str">
        <f>IF(A219="","",IFERROR(INDEX(Map_Type,MATCH(A219,Map_WBS,0)),"n.b."))</f>
        <v/>
      </c>
    </row>
    <row r="220">
      <c r="H220" s="15" t="str">
        <f>IF(E220="","",IF(OR(F220="Vastgesteld",F220="Concept"),1,0))</f>
        <v/>
      </c>
      <c r="I220" s="15" t="str">
        <f>IF(A220="","",IFERROR(INDEX(Map_Type,MATCH(A220,Map_WBS,0)),"n.b."))</f>
        <v/>
      </c>
    </row>
    <row r="221">
      <c r="H221" s="15" t="str">
        <f>IF(E221="","",IF(OR(F221="Vastgesteld",F221="Concept"),1,0))</f>
        <v/>
      </c>
      <c r="I221" s="15" t="str">
        <f>IF(A221="","",IFERROR(INDEX(Map_Type,MATCH(A221,Map_WBS,0)),"n.b."))</f>
        <v/>
      </c>
    </row>
    <row r="222">
      <c r="H222" s="15" t="str">
        <f>IF(E222="","",IF(OR(F222="Vastgesteld",F222="Concept"),1,0))</f>
        <v/>
      </c>
      <c r="I222" s="15" t="str">
        <f>IF(A222="","",IFERROR(INDEX(Map_Type,MATCH(A222,Map_WBS,0)),"n.b."))</f>
        <v/>
      </c>
    </row>
    <row r="223">
      <c r="H223" s="15" t="str">
        <f>IF(E223="","",IF(OR(F223="Vastgesteld",F223="Concept"),1,0))</f>
        <v/>
      </c>
      <c r="I223" s="15" t="str">
        <f>IF(A223="","",IFERROR(INDEX(Map_Type,MATCH(A223,Map_WBS,0)),"n.b."))</f>
        <v/>
      </c>
    </row>
    <row r="224">
      <c r="H224" s="15" t="str">
        <f>IF(E224="","",IF(OR(F224="Vastgesteld",F224="Concept"),1,0))</f>
        <v/>
      </c>
      <c r="I224" s="15" t="str">
        <f>IF(A224="","",IFERROR(INDEX(Map_Type,MATCH(A224,Map_WBS,0)),"n.b."))</f>
        <v/>
      </c>
    </row>
    <row r="225">
      <c r="H225" s="15" t="str">
        <f>IF(E225="","",IF(OR(F225="Vastgesteld",F225="Concept"),1,0))</f>
        <v/>
      </c>
      <c r="I225" s="15" t="str">
        <f>IF(A225="","",IFERROR(INDEX(Map_Type,MATCH(A225,Map_WBS,0)),"n.b."))</f>
        <v/>
      </c>
    </row>
    <row r="226">
      <c r="H226" s="15" t="str">
        <f>IF(E226="","",IF(OR(F226="Vastgesteld",F226="Concept"),1,0))</f>
        <v/>
      </c>
      <c r="I226" s="15" t="str">
        <f>IF(A226="","",IFERROR(INDEX(Map_Type,MATCH(A226,Map_WBS,0)),"n.b."))</f>
        <v/>
      </c>
    </row>
    <row r="227">
      <c r="H227" s="15" t="str">
        <f>IF(E227="","",IF(OR(F227="Vastgesteld",F227="Concept"),1,0))</f>
        <v/>
      </c>
      <c r="I227" s="15" t="str">
        <f>IF(A227="","",IFERROR(INDEX(Map_Type,MATCH(A227,Map_WBS,0)),"n.b."))</f>
        <v/>
      </c>
    </row>
    <row r="228">
      <c r="H228" s="15" t="str">
        <f>IF(E228="","",IF(OR(F228="Vastgesteld",F228="Concept"),1,0))</f>
        <v/>
      </c>
      <c r="I228" s="15" t="str">
        <f>IF(A228="","",IFERROR(INDEX(Map_Type,MATCH(A228,Map_WBS,0)),"n.b."))</f>
        <v/>
      </c>
    </row>
    <row r="229">
      <c r="H229" s="15" t="str">
        <f>IF(E229="","",IF(OR(F229="Vastgesteld",F229="Concept"),1,0))</f>
        <v/>
      </c>
      <c r="I229" s="15" t="str">
        <f>IF(A229="","",IFERROR(INDEX(Map_Type,MATCH(A229,Map_WBS,0)),"n.b."))</f>
        <v/>
      </c>
    </row>
    <row r="230">
      <c r="H230" s="15" t="str">
        <f>IF(E230="","",IF(OR(F230="Vastgesteld",F230="Concept"),1,0))</f>
        <v/>
      </c>
      <c r="I230" s="15" t="str">
        <f>IF(A230="","",IFERROR(INDEX(Map_Type,MATCH(A230,Map_WBS,0)),"n.b."))</f>
        <v/>
      </c>
    </row>
    <row r="231">
      <c r="H231" s="15" t="str">
        <f>IF(E231="","",IF(OR(F231="Vastgesteld",F231="Concept"),1,0))</f>
        <v/>
      </c>
      <c r="I231" s="15" t="str">
        <f>IF(A231="","",IFERROR(INDEX(Map_Type,MATCH(A231,Map_WBS,0)),"n.b."))</f>
        <v/>
      </c>
    </row>
    <row r="232">
      <c r="H232" s="15" t="str">
        <f>IF(E232="","",IF(OR(F232="Vastgesteld",F232="Concept"),1,0))</f>
        <v/>
      </c>
      <c r="I232" s="15" t="str">
        <f>IF(A232="","",IFERROR(INDEX(Map_Type,MATCH(A232,Map_WBS,0)),"n.b."))</f>
        <v/>
      </c>
    </row>
    <row r="233">
      <c r="H233" s="15" t="str">
        <f>IF(E233="","",IF(OR(F233="Vastgesteld",F233="Concept"),1,0))</f>
        <v/>
      </c>
      <c r="I233" s="15" t="str">
        <f>IF(A233="","",IFERROR(INDEX(Map_Type,MATCH(A233,Map_WBS,0)),"n.b."))</f>
        <v/>
      </c>
    </row>
    <row r="234">
      <c r="H234" s="15" t="str">
        <f>IF(E234="","",IF(OR(F234="Vastgesteld",F234="Concept"),1,0))</f>
        <v/>
      </c>
      <c r="I234" s="15" t="str">
        <f>IF(A234="","",IFERROR(INDEX(Map_Type,MATCH(A234,Map_WBS,0)),"n.b."))</f>
        <v/>
      </c>
    </row>
    <row r="235">
      <c r="H235" s="15" t="str">
        <f>IF(E235="","",IF(OR(F235="Vastgesteld",F235="Concept"),1,0))</f>
        <v/>
      </c>
      <c r="I235" s="15" t="str">
        <f>IF(A235="","",IFERROR(INDEX(Map_Type,MATCH(A235,Map_WBS,0)),"n.b."))</f>
        <v/>
      </c>
    </row>
    <row r="236">
      <c r="H236" s="15" t="str">
        <f>IF(E236="","",IF(OR(F236="Vastgesteld",F236="Concept"),1,0))</f>
        <v/>
      </c>
      <c r="I236" s="15" t="str">
        <f>IF(A236="","",IFERROR(INDEX(Map_Type,MATCH(A236,Map_WBS,0)),"n.b."))</f>
        <v/>
      </c>
    </row>
    <row r="237">
      <c r="H237" s="15" t="str">
        <f>IF(E237="","",IF(OR(F237="Vastgesteld",F237="Concept"),1,0))</f>
        <v/>
      </c>
      <c r="I237" s="15" t="str">
        <f>IF(A237="","",IFERROR(INDEX(Map_Type,MATCH(A237,Map_WBS,0)),"n.b."))</f>
        <v/>
      </c>
    </row>
    <row r="238">
      <c r="H238" s="15" t="str">
        <f>IF(E238="","",IF(OR(F238="Vastgesteld",F238="Concept"),1,0))</f>
        <v/>
      </c>
      <c r="I238" s="15" t="str">
        <f>IF(A238="","",IFERROR(INDEX(Map_Type,MATCH(A238,Map_WBS,0)),"n.b."))</f>
        <v/>
      </c>
    </row>
    <row r="239">
      <c r="H239" s="15" t="str">
        <f>IF(E239="","",IF(OR(F239="Vastgesteld",F239="Concept"),1,0))</f>
        <v/>
      </c>
      <c r="I239" s="15" t="str">
        <f>IF(A239="","",IFERROR(INDEX(Map_Type,MATCH(A239,Map_WBS,0)),"n.b."))</f>
        <v/>
      </c>
    </row>
    <row r="240">
      <c r="H240" s="15" t="str">
        <f>IF(E240="","",IF(OR(F240="Vastgesteld",F240="Concept"),1,0))</f>
        <v/>
      </c>
      <c r="I240" s="15" t="str">
        <f>IF(A240="","",IFERROR(INDEX(Map_Type,MATCH(A240,Map_WBS,0)),"n.b."))</f>
        <v/>
      </c>
    </row>
    <row r="241">
      <c r="H241" s="15" t="str">
        <f>IF(E241="","",IF(OR(F241="Vastgesteld",F241="Concept"),1,0))</f>
        <v/>
      </c>
      <c r="I241" s="15" t="str">
        <f>IF(A241="","",IFERROR(INDEX(Map_Type,MATCH(A241,Map_WBS,0)),"n.b."))</f>
        <v/>
      </c>
    </row>
    <row r="242">
      <c r="H242" s="15" t="str">
        <f>IF(E242="","",IF(OR(F242="Vastgesteld",F242="Concept"),1,0))</f>
        <v/>
      </c>
      <c r="I242" s="15" t="str">
        <f>IF(A242="","",IFERROR(INDEX(Map_Type,MATCH(A242,Map_WBS,0)),"n.b."))</f>
        <v/>
      </c>
    </row>
    <row r="243">
      <c r="H243" s="15" t="str">
        <f>IF(E243="","",IF(OR(F243="Vastgesteld",F243="Concept"),1,0))</f>
        <v/>
      </c>
      <c r="I243" s="15" t="str">
        <f>IF(A243="","",IFERROR(INDEX(Map_Type,MATCH(A243,Map_WBS,0)),"n.b."))</f>
        <v/>
      </c>
    </row>
    <row r="244">
      <c r="H244" s="15" t="str">
        <f>IF(E244="","",IF(OR(F244="Vastgesteld",F244="Concept"),1,0))</f>
        <v/>
      </c>
      <c r="I244" s="15" t="str">
        <f>IF(A244="","",IFERROR(INDEX(Map_Type,MATCH(A244,Map_WBS,0)),"n.b."))</f>
        <v/>
      </c>
    </row>
    <row r="245">
      <c r="H245" s="15" t="str">
        <f>IF(E245="","",IF(OR(F245="Vastgesteld",F245="Concept"),1,0))</f>
        <v/>
      </c>
      <c r="I245" s="15" t="str">
        <f>IF(A245="","",IFERROR(INDEX(Map_Type,MATCH(A245,Map_WBS,0)),"n.b."))</f>
        <v/>
      </c>
    </row>
    <row r="246">
      <c r="H246" s="15" t="str">
        <f>IF(E246="","",IF(OR(F246="Vastgesteld",F246="Concept"),1,0))</f>
        <v/>
      </c>
      <c r="I246" s="15" t="str">
        <f>IF(A246="","",IFERROR(INDEX(Map_Type,MATCH(A246,Map_WBS,0)),"n.b."))</f>
        <v/>
      </c>
    </row>
    <row r="247">
      <c r="H247" s="15" t="str">
        <f>IF(E247="","",IF(OR(F247="Vastgesteld",F247="Concept"),1,0))</f>
        <v/>
      </c>
      <c r="I247" s="15" t="str">
        <f>IF(A247="","",IFERROR(INDEX(Map_Type,MATCH(A247,Map_WBS,0)),"n.b."))</f>
        <v/>
      </c>
    </row>
    <row r="248">
      <c r="H248" s="15" t="str">
        <f>IF(E248="","",IF(OR(F248="Vastgesteld",F248="Concept"),1,0))</f>
        <v/>
      </c>
      <c r="I248" s="15" t="str">
        <f>IF(A248="","",IFERROR(INDEX(Map_Type,MATCH(A248,Map_WBS,0)),"n.b."))</f>
        <v/>
      </c>
    </row>
    <row r="249">
      <c r="H249" s="15" t="str">
        <f>IF(E249="","",IF(OR(F249="Vastgesteld",F249="Concept"),1,0))</f>
        <v/>
      </c>
      <c r="I249" s="15" t="str">
        <f>IF(A249="","",IFERROR(INDEX(Map_Type,MATCH(A249,Map_WBS,0)),"n.b."))</f>
        <v/>
      </c>
    </row>
    <row r="250">
      <c r="H250" s="15" t="str">
        <f>IF(E250="","",IF(OR(F250="Vastgesteld",F250="Concept"),1,0))</f>
        <v/>
      </c>
      <c r="I250" s="15" t="str">
        <f>IF(A250="","",IFERROR(INDEX(Map_Type,MATCH(A250,Map_WBS,0)),"n.b."))</f>
        <v/>
      </c>
    </row>
    <row r="251">
      <c r="H251" s="15" t="str">
        <f>IF(E251="","",IF(OR(F251="Vastgesteld",F251="Concept"),1,0))</f>
        <v/>
      </c>
      <c r="I251" s="15" t="str">
        <f>IF(A251="","",IFERROR(INDEX(Map_Type,MATCH(A251,Map_WBS,0)),"n.b."))</f>
        <v/>
      </c>
    </row>
    <row r="252">
      <c r="H252" s="15" t="str">
        <f>IF(E252="","",IF(OR(F252="Vastgesteld",F252="Concept"),1,0))</f>
        <v/>
      </c>
      <c r="I252" s="15" t="str">
        <f>IF(A252="","",IFERROR(INDEX(Map_Type,MATCH(A252,Map_WBS,0)),"n.b."))</f>
        <v/>
      </c>
    </row>
    <row r="253">
      <c r="H253" s="15" t="str">
        <f>IF(E253="","",IF(OR(F253="Vastgesteld",F253="Concept"),1,0))</f>
        <v/>
      </c>
      <c r="I253" s="15" t="str">
        <f>IF(A253="","",IFERROR(INDEX(Map_Type,MATCH(A253,Map_WBS,0)),"n.b."))</f>
        <v/>
      </c>
    </row>
    <row r="254">
      <c r="H254" s="15" t="str">
        <f>IF(E254="","",IF(OR(F254="Vastgesteld",F254="Concept"),1,0))</f>
        <v/>
      </c>
      <c r="I254" s="15" t="str">
        <f>IF(A254="","",IFERROR(INDEX(Map_Type,MATCH(A254,Map_WBS,0)),"n.b."))</f>
        <v/>
      </c>
    </row>
    <row r="255">
      <c r="H255" s="15" t="str">
        <f>IF(E255="","",IF(OR(F255="Vastgesteld",F255="Concept"),1,0))</f>
        <v/>
      </c>
      <c r="I255" s="15" t="str">
        <f>IF(A255="","",IFERROR(INDEX(Map_Type,MATCH(A255,Map_WBS,0)),"n.b."))</f>
        <v/>
      </c>
    </row>
    <row r="256">
      <c r="H256" s="15" t="str">
        <f>IF(E256="","",IF(OR(F256="Vastgesteld",F256="Concept"),1,0))</f>
        <v/>
      </c>
      <c r="I256" s="15" t="str">
        <f>IF(A256="","",IFERROR(INDEX(Map_Type,MATCH(A256,Map_WBS,0)),"n.b."))</f>
        <v/>
      </c>
    </row>
    <row r="257">
      <c r="H257" s="15" t="str">
        <f>IF(E257="","",IF(OR(F257="Vastgesteld",F257="Concept"),1,0))</f>
        <v/>
      </c>
      <c r="I257" s="15" t="str">
        <f>IF(A257="","",IFERROR(INDEX(Map_Type,MATCH(A257,Map_WBS,0)),"n.b."))</f>
        <v/>
      </c>
    </row>
    <row r="258">
      <c r="H258" s="15" t="str">
        <f>IF(E258="","",IF(OR(F258="Vastgesteld",F258="Concept"),1,0))</f>
        <v/>
      </c>
      <c r="I258" s="15" t="str">
        <f>IF(A258="","",IFERROR(INDEX(Map_Type,MATCH(A258,Map_WBS,0)),"n.b."))</f>
        <v/>
      </c>
    </row>
    <row r="259">
      <c r="H259" s="15" t="str">
        <f>IF(E259="","",IF(OR(F259="Vastgesteld",F259="Concept"),1,0))</f>
        <v/>
      </c>
      <c r="I259" s="15" t="str">
        <f>IF(A259="","",IFERROR(INDEX(Map_Type,MATCH(A259,Map_WBS,0)),"n.b."))</f>
        <v/>
      </c>
    </row>
    <row r="260">
      <c r="H260" s="15" t="str">
        <f>IF(E260="","",IF(OR(F260="Vastgesteld",F260="Concept"),1,0))</f>
        <v/>
      </c>
      <c r="I260" s="15" t="str">
        <f>IF(A260="","",IFERROR(INDEX(Map_Type,MATCH(A260,Map_WBS,0)),"n.b."))</f>
        <v/>
      </c>
    </row>
    <row r="261">
      <c r="H261" s="15" t="str">
        <f>IF(E261="","",IF(OR(F261="Vastgesteld",F261="Concept"),1,0))</f>
        <v/>
      </c>
      <c r="I261" s="15" t="str">
        <f>IF(A261="","",IFERROR(INDEX(Map_Type,MATCH(A261,Map_WBS,0)),"n.b."))</f>
        <v/>
      </c>
    </row>
    <row r="262">
      <c r="H262" s="15" t="str">
        <f>IF(E262="","",IF(OR(F262="Vastgesteld",F262="Concept"),1,0))</f>
        <v/>
      </c>
      <c r="I262" s="15" t="str">
        <f>IF(A262="","",IFERROR(INDEX(Map_Type,MATCH(A262,Map_WBS,0)),"n.b."))</f>
        <v/>
      </c>
    </row>
    <row r="263">
      <c r="H263" s="15" t="str">
        <f>IF(E263="","",IF(OR(F263="Vastgesteld",F263="Concept"),1,0))</f>
        <v/>
      </c>
      <c r="I263" s="15" t="str">
        <f>IF(A263="","",IFERROR(INDEX(Map_Type,MATCH(A263,Map_WBS,0)),"n.b."))</f>
        <v/>
      </c>
    </row>
    <row r="264">
      <c r="H264" s="15" t="str">
        <f>IF(E264="","",IF(OR(F264="Vastgesteld",F264="Concept"),1,0))</f>
        <v/>
      </c>
      <c r="I264" s="15" t="str">
        <f>IF(A264="","",IFERROR(INDEX(Map_Type,MATCH(A264,Map_WBS,0)),"n.b."))</f>
        <v/>
      </c>
    </row>
    <row r="265">
      <c r="H265" s="15" t="str">
        <f>IF(E265="","",IF(OR(F265="Vastgesteld",F265="Concept"),1,0))</f>
        <v/>
      </c>
      <c r="I265" s="15" t="str">
        <f>IF(A265="","",IFERROR(INDEX(Map_Type,MATCH(A265,Map_WBS,0)),"n.b."))</f>
        <v/>
      </c>
    </row>
    <row r="266">
      <c r="H266" s="15" t="str">
        <f>IF(E266="","",IF(OR(F266="Vastgesteld",F266="Concept"),1,0))</f>
        <v/>
      </c>
      <c r="I266" s="15" t="str">
        <f>IF(A266="","",IFERROR(INDEX(Map_Type,MATCH(A266,Map_WBS,0)),"n.b."))</f>
        <v/>
      </c>
    </row>
    <row r="267">
      <c r="H267" s="15" t="str">
        <f>IF(E267="","",IF(OR(F267="Vastgesteld",F267="Concept"),1,0))</f>
        <v/>
      </c>
      <c r="I267" s="15" t="str">
        <f>IF(A267="","",IFERROR(INDEX(Map_Type,MATCH(A267,Map_WBS,0)),"n.b."))</f>
        <v/>
      </c>
    </row>
    <row r="268">
      <c r="H268" s="15" t="str">
        <f>IF(E268="","",IF(OR(F268="Vastgesteld",F268="Concept"),1,0))</f>
        <v/>
      </c>
      <c r="I268" s="15" t="str">
        <f>IF(A268="","",IFERROR(INDEX(Map_Type,MATCH(A268,Map_WBS,0)),"n.b."))</f>
        <v/>
      </c>
    </row>
    <row r="269">
      <c r="H269" s="15" t="str">
        <f>IF(E269="","",IF(OR(F269="Vastgesteld",F269="Concept"),1,0))</f>
        <v/>
      </c>
      <c r="I269" s="15" t="str">
        <f>IF(A269="","",IFERROR(INDEX(Map_Type,MATCH(A269,Map_WBS,0)),"n.b."))</f>
        <v/>
      </c>
    </row>
    <row r="270">
      <c r="H270" s="15" t="str">
        <f>IF(E270="","",IF(OR(F270="Vastgesteld",F270="Concept"),1,0))</f>
        <v/>
      </c>
      <c r="I270" s="15" t="str">
        <f>IF(A270="","",IFERROR(INDEX(Map_Type,MATCH(A270,Map_WBS,0)),"n.b."))</f>
        <v/>
      </c>
    </row>
    <row r="271">
      <c r="H271" s="15" t="str">
        <f>IF(E271="","",IF(OR(F271="Vastgesteld",F271="Concept"),1,0))</f>
        <v/>
      </c>
      <c r="I271" s="15" t="str">
        <f>IF(A271="","",IFERROR(INDEX(Map_Type,MATCH(A271,Map_WBS,0)),"n.b."))</f>
        <v/>
      </c>
    </row>
    <row r="272">
      <c r="H272" s="15" t="str">
        <f>IF(E272="","",IF(OR(F272="Vastgesteld",F272="Concept"),1,0))</f>
        <v/>
      </c>
      <c r="I272" s="15" t="str">
        <f>IF(A272="","",IFERROR(INDEX(Map_Type,MATCH(A272,Map_WBS,0)),"n.b."))</f>
        <v/>
      </c>
    </row>
    <row r="273">
      <c r="H273" s="15" t="str">
        <f>IF(E273="","",IF(OR(F273="Vastgesteld",F273="Concept"),1,0))</f>
        <v/>
      </c>
      <c r="I273" s="15" t="str">
        <f>IF(A273="","",IFERROR(INDEX(Map_Type,MATCH(A273,Map_WBS,0)),"n.b."))</f>
        <v/>
      </c>
    </row>
    <row r="274">
      <c r="H274" s="15" t="str">
        <f>IF(E274="","",IF(OR(F274="Vastgesteld",F274="Concept"),1,0))</f>
        <v/>
      </c>
      <c r="I274" s="15" t="str">
        <f>IF(A274="","",IFERROR(INDEX(Map_Type,MATCH(A274,Map_WBS,0)),"n.b."))</f>
        <v/>
      </c>
    </row>
    <row r="275">
      <c r="H275" s="15" t="str">
        <f>IF(E275="","",IF(OR(F275="Vastgesteld",F275="Concept"),1,0))</f>
        <v/>
      </c>
      <c r="I275" s="15" t="str">
        <f>IF(A275="","",IFERROR(INDEX(Map_Type,MATCH(A275,Map_WBS,0)),"n.b."))</f>
        <v/>
      </c>
    </row>
    <row r="276">
      <c r="H276" s="15" t="str">
        <f>IF(E276="","",IF(OR(F276="Vastgesteld",F276="Concept"),1,0))</f>
        <v/>
      </c>
      <c r="I276" s="15" t="str">
        <f>IF(A276="","",IFERROR(INDEX(Map_Type,MATCH(A276,Map_WBS,0)),"n.b."))</f>
        <v/>
      </c>
    </row>
    <row r="277">
      <c r="H277" s="15" t="str">
        <f>IF(E277="","",IF(OR(F277="Vastgesteld",F277="Concept"),1,0))</f>
        <v/>
      </c>
      <c r="I277" s="15" t="str">
        <f>IF(A277="","",IFERROR(INDEX(Map_Type,MATCH(A277,Map_WBS,0)),"n.b."))</f>
        <v/>
      </c>
    </row>
    <row r="278">
      <c r="H278" s="15" t="str">
        <f>IF(E278="","",IF(OR(F278="Vastgesteld",F278="Concept"),1,0))</f>
        <v/>
      </c>
      <c r="I278" s="15" t="str">
        <f>IF(A278="","",IFERROR(INDEX(Map_Type,MATCH(A278,Map_WBS,0)),"n.b."))</f>
        <v/>
      </c>
    </row>
    <row r="279">
      <c r="H279" s="15" t="str">
        <f>IF(E279="","",IF(OR(F279="Vastgesteld",F279="Concept"),1,0))</f>
        <v/>
      </c>
      <c r="I279" s="15" t="str">
        <f>IF(A279="","",IFERROR(INDEX(Map_Type,MATCH(A279,Map_WBS,0)),"n.b."))</f>
        <v/>
      </c>
    </row>
    <row r="280">
      <c r="H280" s="15" t="str">
        <f>IF(E280="","",IF(OR(F280="Vastgesteld",F280="Concept"),1,0))</f>
        <v/>
      </c>
      <c r="I280" s="15" t="str">
        <f>IF(A280="","",IFERROR(INDEX(Map_Type,MATCH(A280,Map_WBS,0)),"n.b."))</f>
        <v/>
      </c>
    </row>
    <row r="281">
      <c r="H281" s="15" t="str">
        <f>IF(E281="","",IF(OR(F281="Vastgesteld",F281="Concept"),1,0))</f>
        <v/>
      </c>
      <c r="I281" s="15" t="str">
        <f>IF(A281="","",IFERROR(INDEX(Map_Type,MATCH(A281,Map_WBS,0)),"n.b."))</f>
        <v/>
      </c>
    </row>
    <row r="282">
      <c r="H282" s="15" t="str">
        <f>IF(E282="","",IF(OR(F282="Vastgesteld",F282="Concept"),1,0))</f>
        <v/>
      </c>
      <c r="I282" s="15" t="str">
        <f>IF(A282="","",IFERROR(INDEX(Map_Type,MATCH(A282,Map_WBS,0)),"n.b."))</f>
        <v/>
      </c>
    </row>
    <row r="283">
      <c r="H283" s="15" t="str">
        <f>IF(E283="","",IF(OR(F283="Vastgesteld",F283="Concept"),1,0))</f>
        <v/>
      </c>
      <c r="I283" s="15" t="str">
        <f>IF(A283="","",IFERROR(INDEX(Map_Type,MATCH(A283,Map_WBS,0)),"n.b."))</f>
        <v/>
      </c>
    </row>
    <row r="284">
      <c r="H284" s="15" t="str">
        <f>IF(E284="","",IF(OR(F284="Vastgesteld",F284="Concept"),1,0))</f>
        <v/>
      </c>
      <c r="I284" s="15" t="str">
        <f>IF(A284="","",IFERROR(INDEX(Map_Type,MATCH(A284,Map_WBS,0)),"n.b."))</f>
        <v/>
      </c>
    </row>
    <row r="285">
      <c r="H285" s="15" t="str">
        <f>IF(E285="","",IF(OR(F285="Vastgesteld",F285="Concept"),1,0))</f>
        <v/>
      </c>
      <c r="I285" s="15" t="str">
        <f>IF(A285="","",IFERROR(INDEX(Map_Type,MATCH(A285,Map_WBS,0)),"n.b."))</f>
        <v/>
      </c>
    </row>
    <row r="286">
      <c r="H286" s="15" t="str">
        <f>IF(E286="","",IF(OR(F286="Vastgesteld",F286="Concept"),1,0))</f>
        <v/>
      </c>
      <c r="I286" s="15" t="str">
        <f>IF(A286="","",IFERROR(INDEX(Map_Type,MATCH(A286,Map_WBS,0)),"n.b."))</f>
        <v/>
      </c>
    </row>
    <row r="287">
      <c r="H287" s="15" t="str">
        <f>IF(E287="","",IF(OR(F287="Vastgesteld",F287="Concept"),1,0))</f>
        <v/>
      </c>
      <c r="I287" s="15" t="str">
        <f>IF(A287="","",IFERROR(INDEX(Map_Type,MATCH(A287,Map_WBS,0)),"n.b."))</f>
        <v/>
      </c>
    </row>
    <row r="288">
      <c r="H288" s="15" t="str">
        <f>IF(E288="","",IF(OR(F288="Vastgesteld",F288="Concept"),1,0))</f>
        <v/>
      </c>
      <c r="I288" s="15" t="str">
        <f>IF(A288="","",IFERROR(INDEX(Map_Type,MATCH(A288,Map_WBS,0)),"n.b."))</f>
        <v/>
      </c>
    </row>
    <row r="289">
      <c r="H289" s="15" t="str">
        <f>IF(E289="","",IF(OR(F289="Vastgesteld",F289="Concept"),1,0))</f>
        <v/>
      </c>
      <c r="I289" s="15" t="str">
        <f>IF(A289="","",IFERROR(INDEX(Map_Type,MATCH(A289,Map_WBS,0)),"n.b."))</f>
        <v/>
      </c>
    </row>
    <row r="290">
      <c r="H290" s="15" t="str">
        <f>IF(E290="","",IF(OR(F290="Vastgesteld",F290="Concept"),1,0))</f>
        <v/>
      </c>
      <c r="I290" s="15" t="str">
        <f>IF(A290="","",IFERROR(INDEX(Map_Type,MATCH(A290,Map_WBS,0)),"n.b."))</f>
        <v/>
      </c>
    </row>
    <row r="291">
      <c r="H291" s="15" t="str">
        <f>IF(E291="","",IF(OR(F291="Vastgesteld",F291="Concept"),1,0))</f>
        <v/>
      </c>
      <c r="I291" s="15" t="str">
        <f>IF(A291="","",IFERROR(INDEX(Map_Type,MATCH(A291,Map_WBS,0)),"n.b."))</f>
        <v/>
      </c>
    </row>
    <row r="292">
      <c r="H292" s="15" t="str">
        <f>IF(E292="","",IF(OR(F292="Vastgesteld",F292="Concept"),1,0))</f>
        <v/>
      </c>
      <c r="I292" s="15" t="str">
        <f>IF(A292="","",IFERROR(INDEX(Map_Type,MATCH(A292,Map_WBS,0)),"n.b."))</f>
        <v/>
      </c>
    </row>
    <row r="293">
      <c r="H293" s="15" t="str">
        <f>IF(E293="","",IF(OR(F293="Vastgesteld",F293="Concept"),1,0))</f>
        <v/>
      </c>
      <c r="I293" s="15" t="str">
        <f>IF(A293="","",IFERROR(INDEX(Map_Type,MATCH(A293,Map_WBS,0)),"n.b."))</f>
        <v/>
      </c>
    </row>
    <row r="294">
      <c r="H294" s="15" t="str">
        <f>IF(E294="","",IF(OR(F294="Vastgesteld",F294="Concept"),1,0))</f>
        <v/>
      </c>
      <c r="I294" s="15" t="str">
        <f>IF(A294="","",IFERROR(INDEX(Map_Type,MATCH(A294,Map_WBS,0)),"n.b."))</f>
        <v/>
      </c>
    </row>
    <row r="295">
      <c r="H295" s="15" t="str">
        <f>IF(E295="","",IF(OR(F295="Vastgesteld",F295="Concept"),1,0))</f>
        <v/>
      </c>
      <c r="I295" s="15" t="str">
        <f>IF(A295="","",IFERROR(INDEX(Map_Type,MATCH(A295,Map_WBS,0)),"n.b."))</f>
        <v/>
      </c>
    </row>
    <row r="296">
      <c r="H296" s="15" t="str">
        <f>IF(E296="","",IF(OR(F296="Vastgesteld",F296="Concept"),1,0))</f>
        <v/>
      </c>
      <c r="I296" s="15" t="str">
        <f>IF(A296="","",IFERROR(INDEX(Map_Type,MATCH(A296,Map_WBS,0)),"n.b."))</f>
        <v/>
      </c>
    </row>
    <row r="297">
      <c r="H297" s="15" t="str">
        <f>IF(E297="","",IF(OR(F297="Vastgesteld",F297="Concept"),1,0))</f>
        <v/>
      </c>
      <c r="I297" s="15" t="str">
        <f>IF(A297="","",IFERROR(INDEX(Map_Type,MATCH(A297,Map_WBS,0)),"n.b."))</f>
        <v/>
      </c>
    </row>
    <row r="298">
      <c r="H298" s="15" t="str">
        <f>IF(E298="","",IF(OR(F298="Vastgesteld",F298="Concept"),1,0))</f>
        <v/>
      </c>
      <c r="I298" s="15" t="str">
        <f>IF(A298="","",IFERROR(INDEX(Map_Type,MATCH(A298,Map_WBS,0)),"n.b."))</f>
        <v/>
      </c>
    </row>
    <row r="299">
      <c r="H299" s="15" t="str">
        <f>IF(E299="","",IF(OR(F299="Vastgesteld",F299="Concept"),1,0))</f>
        <v/>
      </c>
      <c r="I299" s="15" t="str">
        <f>IF(A299="","",IFERROR(INDEX(Map_Type,MATCH(A299,Map_WBS,0)),"n.b."))</f>
        <v/>
      </c>
    </row>
    <row r="300">
      <c r="H300" s="15" t="str">
        <f>IF(E300="","",IF(OR(F300="Vastgesteld",F300="Concept"),1,0))</f>
        <v/>
      </c>
      <c r="I300" s="15" t="str">
        <f>IF(A300="","",IFERROR(INDEX(Map_Type,MATCH(A300,Map_WBS,0)),"n.b."))</f>
        <v/>
      </c>
    </row>
    <row r="301">
      <c r="H301" s="15" t="str">
        <f>IF(E301="","",IF(OR(F301="Vastgesteld",F301="Concept"),1,0))</f>
        <v/>
      </c>
      <c r="I301" s="15" t="str">
        <f>IF(A301="","",IFERROR(INDEX(Map_Type,MATCH(A301,Map_WBS,0)),"n.b."))</f>
        <v/>
      </c>
    </row>
    <row r="302">
      <c r="H302" s="15" t="str">
        <f>IF(E302="","",IF(OR(F302="Vastgesteld",F302="Concept"),1,0))</f>
        <v/>
      </c>
      <c r="I302" s="15" t="str">
        <f>IF(A302="","",IFERROR(INDEX(Map_Type,MATCH(A302,Map_WBS,0)),"n.b."))</f>
        <v/>
      </c>
    </row>
    <row r="303">
      <c r="H303" s="15" t="str">
        <f>IF(E303="","",IF(OR(F303="Vastgesteld",F303="Concept"),1,0))</f>
        <v/>
      </c>
      <c r="I303" s="15" t="str">
        <f>IF(A303="","",IFERROR(INDEX(Map_Type,MATCH(A303,Map_WBS,0)),"n.b."))</f>
        <v/>
      </c>
    </row>
    <row r="304">
      <c r="H304" s="15" t="str">
        <f>IF(E304="","",IF(OR(F304="Vastgesteld",F304="Concept"),1,0))</f>
        <v/>
      </c>
      <c r="I304" s="15" t="str">
        <f>IF(A304="","",IFERROR(INDEX(Map_Type,MATCH(A304,Map_WBS,0)),"n.b."))</f>
        <v/>
      </c>
    </row>
    <row r="305">
      <c r="H305" s="15" t="str">
        <f>IF(E305="","",IF(OR(F305="Vastgesteld",F305="Concept"),1,0))</f>
        <v/>
      </c>
      <c r="I305" s="15" t="str">
        <f>IF(A305="","",IFERROR(INDEX(Map_Type,MATCH(A305,Map_WBS,0)),"n.b."))</f>
        <v/>
      </c>
    </row>
    <row r="306">
      <c r="H306" s="15" t="str">
        <f>IF(E306="","",IF(OR(F306="Vastgesteld",F306="Concept"),1,0))</f>
        <v/>
      </c>
      <c r="I306" s="15" t="str">
        <f>IF(A306="","",IFERROR(INDEX(Map_Type,MATCH(A306,Map_WBS,0)),"n.b."))</f>
        <v/>
      </c>
    </row>
    <row r="307">
      <c r="H307" s="15" t="str">
        <f>IF(E307="","",IF(OR(F307="Vastgesteld",F307="Concept"),1,0))</f>
        <v/>
      </c>
      <c r="I307" s="15" t="str">
        <f>IF(A307="","",IFERROR(INDEX(Map_Type,MATCH(A307,Map_WBS,0)),"n.b."))</f>
        <v/>
      </c>
    </row>
    <row r="308">
      <c r="H308" s="15" t="str">
        <f>IF(E308="","",IF(OR(F308="Vastgesteld",F308="Concept"),1,0))</f>
        <v/>
      </c>
      <c r="I308" s="15" t="str">
        <f>IF(A308="","",IFERROR(INDEX(Map_Type,MATCH(A308,Map_WBS,0)),"n.b."))</f>
        <v/>
      </c>
    </row>
    <row r="309">
      <c r="H309" s="15" t="str">
        <f>IF(E309="","",IF(OR(F309="Vastgesteld",F309="Concept"),1,0))</f>
        <v/>
      </c>
      <c r="I309" s="15" t="str">
        <f>IF(A309="","",IFERROR(INDEX(Map_Type,MATCH(A309,Map_WBS,0)),"n.b."))</f>
        <v/>
      </c>
    </row>
    <row r="310">
      <c r="H310" s="15" t="str">
        <f>IF(E310="","",IF(OR(F310="Vastgesteld",F310="Concept"),1,0))</f>
        <v/>
      </c>
      <c r="I310" s="15" t="str">
        <f>IF(A310="","",IFERROR(INDEX(Map_Type,MATCH(A310,Map_WBS,0)),"n.b."))</f>
        <v/>
      </c>
    </row>
    <row r="311">
      <c r="H311" s="15" t="str">
        <f>IF(E311="","",IF(OR(F311="Vastgesteld",F311="Concept"),1,0))</f>
        <v/>
      </c>
      <c r="I311" s="15" t="str">
        <f>IF(A311="","",IFERROR(INDEX(Map_Type,MATCH(A311,Map_WBS,0)),"n.b."))</f>
        <v/>
      </c>
    </row>
    <row r="312">
      <c r="H312" s="15" t="str">
        <f>IF(E312="","",IF(OR(F312="Vastgesteld",F312="Concept"),1,0))</f>
        <v/>
      </c>
      <c r="I312" s="15" t="str">
        <f>IF(A312="","",IFERROR(INDEX(Map_Type,MATCH(A312,Map_WBS,0)),"n.b."))</f>
        <v/>
      </c>
    </row>
    <row r="313">
      <c r="H313" s="15" t="str">
        <f>IF(E313="","",IF(OR(F313="Vastgesteld",F313="Concept"),1,0))</f>
        <v/>
      </c>
      <c r="I313" s="15" t="str">
        <f>IF(A313="","",IFERROR(INDEX(Map_Type,MATCH(A313,Map_WBS,0)),"n.b."))</f>
        <v/>
      </c>
    </row>
    <row r="314">
      <c r="H314" s="15" t="str">
        <f>IF(E314="","",IF(OR(F314="Vastgesteld",F314="Concept"),1,0))</f>
        <v/>
      </c>
      <c r="I314" s="15" t="str">
        <f>IF(A314="","",IFERROR(INDEX(Map_Type,MATCH(A314,Map_WBS,0)),"n.b."))</f>
        <v/>
      </c>
    </row>
    <row r="315">
      <c r="H315" s="15" t="str">
        <f>IF(E315="","",IF(OR(F315="Vastgesteld",F315="Concept"),1,0))</f>
        <v/>
      </c>
      <c r="I315" s="15" t="str">
        <f>IF(A315="","",IFERROR(INDEX(Map_Type,MATCH(A315,Map_WBS,0)),"n.b."))</f>
        <v/>
      </c>
    </row>
    <row r="316">
      <c r="H316" s="15" t="str">
        <f>IF(E316="","",IF(OR(F316="Vastgesteld",F316="Concept"),1,0))</f>
        <v/>
      </c>
      <c r="I316" s="15" t="str">
        <f>IF(A316="","",IFERROR(INDEX(Map_Type,MATCH(A316,Map_WBS,0)),"n.b."))</f>
        <v/>
      </c>
    </row>
    <row r="317">
      <c r="H317" s="15" t="str">
        <f>IF(E317="","",IF(OR(F317="Vastgesteld",F317="Concept"),1,0))</f>
        <v/>
      </c>
      <c r="I317" s="15" t="str">
        <f>IF(A317="","",IFERROR(INDEX(Map_Type,MATCH(A317,Map_WBS,0)),"n.b."))</f>
        <v/>
      </c>
    </row>
    <row r="318">
      <c r="H318" s="15" t="str">
        <f>IF(E318="","",IF(OR(F318="Vastgesteld",F318="Concept"),1,0))</f>
        <v/>
      </c>
      <c r="I318" s="15" t="str">
        <f>IF(A318="","",IFERROR(INDEX(Map_Type,MATCH(A318,Map_WBS,0)),"n.b."))</f>
        <v/>
      </c>
    </row>
    <row r="319">
      <c r="H319" s="15" t="str">
        <f>IF(E319="","",IF(OR(F319="Vastgesteld",F319="Concept"),1,0))</f>
        <v/>
      </c>
      <c r="I319" s="15" t="str">
        <f>IF(A319="","",IFERROR(INDEX(Map_Type,MATCH(A319,Map_WBS,0)),"n.b."))</f>
        <v/>
      </c>
    </row>
    <row r="320">
      <c r="H320" s="15" t="str">
        <f>IF(E320="","",IF(OR(F320="Vastgesteld",F320="Concept"),1,0))</f>
        <v/>
      </c>
      <c r="I320" s="15" t="str">
        <f>IF(A320="","",IFERROR(INDEX(Map_Type,MATCH(A320,Map_WBS,0)),"n.b."))</f>
        <v/>
      </c>
    </row>
    <row r="321">
      <c r="H321" s="15" t="str">
        <f>IF(E321="","",IF(OR(F321="Vastgesteld",F321="Concept"),1,0))</f>
        <v/>
      </c>
      <c r="I321" s="15" t="str">
        <f>IF(A321="","",IFERROR(INDEX(Map_Type,MATCH(A321,Map_WBS,0)),"n.b."))</f>
        <v/>
      </c>
    </row>
    <row r="322">
      <c r="H322" s="15" t="str">
        <f>IF(E322="","",IF(OR(F322="Vastgesteld",F322="Concept"),1,0))</f>
        <v/>
      </c>
      <c r="I322" s="15" t="str">
        <f>IF(A322="","",IFERROR(INDEX(Map_Type,MATCH(A322,Map_WBS,0)),"n.b."))</f>
        <v/>
      </c>
    </row>
    <row r="323">
      <c r="H323" s="15" t="str">
        <f>IF(E323="","",IF(OR(F323="Vastgesteld",F323="Concept"),1,0))</f>
        <v/>
      </c>
      <c r="I323" s="15" t="str">
        <f>IF(A323="","",IFERROR(INDEX(Map_Type,MATCH(A323,Map_WBS,0)),"n.b."))</f>
        <v/>
      </c>
    </row>
    <row r="324">
      <c r="H324" s="15" t="str">
        <f>IF(E324="","",IF(OR(F324="Vastgesteld",F324="Concept"),1,0))</f>
        <v/>
      </c>
      <c r="I324" s="15" t="str">
        <f>IF(A324="","",IFERROR(INDEX(Map_Type,MATCH(A324,Map_WBS,0)),"n.b."))</f>
        <v/>
      </c>
    </row>
    <row r="325">
      <c r="H325" s="15" t="str">
        <f>IF(E325="","",IF(OR(F325="Vastgesteld",F325="Concept"),1,0))</f>
        <v/>
      </c>
      <c r="I325" s="15" t="str">
        <f>IF(A325="","",IFERROR(INDEX(Map_Type,MATCH(A325,Map_WBS,0)),"n.b."))</f>
        <v/>
      </c>
    </row>
    <row r="326">
      <c r="H326" s="15" t="str">
        <f>IF(E326="","",IF(OR(F326="Vastgesteld",F326="Concept"),1,0))</f>
        <v/>
      </c>
      <c r="I326" s="15" t="str">
        <f>IF(A326="","",IFERROR(INDEX(Map_Type,MATCH(A326,Map_WBS,0)),"n.b."))</f>
        <v/>
      </c>
    </row>
    <row r="327">
      <c r="H327" s="15" t="str">
        <f>IF(E327="","",IF(OR(F327="Vastgesteld",F327="Concept"),1,0))</f>
        <v/>
      </c>
      <c r="I327" s="15" t="str">
        <f>IF(A327="","",IFERROR(INDEX(Map_Type,MATCH(A327,Map_WBS,0)),"n.b."))</f>
        <v/>
      </c>
    </row>
    <row r="328">
      <c r="H328" s="15" t="str">
        <f>IF(E328="","",IF(OR(F328="Vastgesteld",F328="Concept"),1,0))</f>
        <v/>
      </c>
      <c r="I328" s="15" t="str">
        <f>IF(A328="","",IFERROR(INDEX(Map_Type,MATCH(A328,Map_WBS,0)),"n.b."))</f>
        <v/>
      </c>
    </row>
    <row r="329">
      <c r="H329" s="15" t="str">
        <f>IF(E329="","",IF(OR(F329="Vastgesteld",F329="Concept"),1,0))</f>
        <v/>
      </c>
      <c r="I329" s="15" t="str">
        <f>IF(A329="","",IFERROR(INDEX(Map_Type,MATCH(A329,Map_WBS,0)),"n.b."))</f>
        <v/>
      </c>
    </row>
    <row r="330">
      <c r="H330" s="15" t="str">
        <f>IF(E330="","",IF(OR(F330="Vastgesteld",F330="Concept"),1,0))</f>
        <v/>
      </c>
      <c r="I330" s="15" t="str">
        <f>IF(A330="","",IFERROR(INDEX(Map_Type,MATCH(A330,Map_WBS,0)),"n.b."))</f>
        <v/>
      </c>
    </row>
    <row r="331">
      <c r="H331" s="15" t="str">
        <f>IF(E331="","",IF(OR(F331="Vastgesteld",F331="Concept"),1,0))</f>
        <v/>
      </c>
      <c r="I331" s="15" t="str">
        <f>IF(A331="","",IFERROR(INDEX(Map_Type,MATCH(A331,Map_WBS,0)),"n.b."))</f>
        <v/>
      </c>
    </row>
    <row r="332">
      <c r="H332" s="15" t="str">
        <f>IF(E332="","",IF(OR(F332="Vastgesteld",F332="Concept"),1,0))</f>
        <v/>
      </c>
      <c r="I332" s="15" t="str">
        <f>IF(A332="","",IFERROR(INDEX(Map_Type,MATCH(A332,Map_WBS,0)),"n.b."))</f>
        <v/>
      </c>
    </row>
    <row r="333">
      <c r="H333" s="15" t="str">
        <f>IF(E333="","",IF(OR(F333="Vastgesteld",F333="Concept"),1,0))</f>
        <v/>
      </c>
      <c r="I333" s="15" t="str">
        <f>IF(A333="","",IFERROR(INDEX(Map_Type,MATCH(A333,Map_WBS,0)),"n.b."))</f>
        <v/>
      </c>
    </row>
    <row r="334">
      <c r="H334" s="15" t="str">
        <f>IF(E334="","",IF(OR(F334="Vastgesteld",F334="Concept"),1,0))</f>
        <v/>
      </c>
      <c r="I334" s="15" t="str">
        <f>IF(A334="","",IFERROR(INDEX(Map_Type,MATCH(A334,Map_WBS,0)),"n.b."))</f>
        <v/>
      </c>
    </row>
    <row r="335">
      <c r="H335" s="15" t="str">
        <f>IF(E335="","",IF(OR(F335="Vastgesteld",F335="Concept"),1,0))</f>
        <v/>
      </c>
      <c r="I335" s="15" t="str">
        <f>IF(A335="","",IFERROR(INDEX(Map_Type,MATCH(A335,Map_WBS,0)),"n.b."))</f>
        <v/>
      </c>
    </row>
    <row r="336">
      <c r="H336" s="15" t="str">
        <f>IF(E336="","",IF(OR(F336="Vastgesteld",F336="Concept"),1,0))</f>
        <v/>
      </c>
      <c r="I336" s="15" t="str">
        <f>IF(A336="","",IFERROR(INDEX(Map_Type,MATCH(A336,Map_WBS,0)),"n.b."))</f>
        <v/>
      </c>
    </row>
    <row r="337">
      <c r="H337" s="15" t="str">
        <f>IF(E337="","",IF(OR(F337="Vastgesteld",F337="Concept"),1,0))</f>
        <v/>
      </c>
      <c r="I337" s="15" t="str">
        <f>IF(A337="","",IFERROR(INDEX(Map_Type,MATCH(A337,Map_WBS,0)),"n.b."))</f>
        <v/>
      </c>
    </row>
    <row r="338">
      <c r="H338" s="15" t="str">
        <f>IF(E338="","",IF(OR(F338="Vastgesteld",F338="Concept"),1,0))</f>
        <v/>
      </c>
      <c r="I338" s="15" t="str">
        <f>IF(A338="","",IFERROR(INDEX(Map_Type,MATCH(A338,Map_WBS,0)),"n.b."))</f>
        <v/>
      </c>
    </row>
    <row r="339">
      <c r="H339" s="15" t="str">
        <f>IF(E339="","",IF(OR(F339="Vastgesteld",F339="Concept"),1,0))</f>
        <v/>
      </c>
      <c r="I339" s="15" t="str">
        <f>IF(A339="","",IFERROR(INDEX(Map_Type,MATCH(A339,Map_WBS,0)),"n.b."))</f>
        <v/>
      </c>
    </row>
    <row r="340">
      <c r="H340" s="15" t="str">
        <f>IF(E340="","",IF(OR(F340="Vastgesteld",F340="Concept"),1,0))</f>
        <v/>
      </c>
      <c r="I340" s="15" t="str">
        <f>IF(A340="","",IFERROR(INDEX(Map_Type,MATCH(A340,Map_WBS,0)),"n.b."))</f>
        <v/>
      </c>
    </row>
    <row r="341">
      <c r="H341" s="15" t="str">
        <f>IF(E341="","",IF(OR(F341="Vastgesteld",F341="Concept"),1,0))</f>
        <v/>
      </c>
      <c r="I341" s="15" t="str">
        <f>IF(A341="","",IFERROR(INDEX(Map_Type,MATCH(A341,Map_WBS,0)),"n.b."))</f>
        <v/>
      </c>
    </row>
    <row r="342">
      <c r="H342" s="15" t="str">
        <f>IF(E342="","",IF(OR(F342="Vastgesteld",F342="Concept"),1,0))</f>
        <v/>
      </c>
      <c r="I342" s="15" t="str">
        <f>IF(A342="","",IFERROR(INDEX(Map_Type,MATCH(A342,Map_WBS,0)),"n.b."))</f>
        <v/>
      </c>
    </row>
    <row r="343">
      <c r="H343" s="15" t="str">
        <f>IF(E343="","",IF(OR(F343="Vastgesteld",F343="Concept"),1,0))</f>
        <v/>
      </c>
      <c r="I343" s="15" t="str">
        <f>IF(A343="","",IFERROR(INDEX(Map_Type,MATCH(A343,Map_WBS,0)),"n.b."))</f>
        <v/>
      </c>
    </row>
    <row r="344">
      <c r="H344" s="15" t="str">
        <f>IF(E344="","",IF(OR(F344="Vastgesteld",F344="Concept"),1,0))</f>
        <v/>
      </c>
      <c r="I344" s="15" t="str">
        <f>IF(A344="","",IFERROR(INDEX(Map_Type,MATCH(A344,Map_WBS,0)),"n.b."))</f>
        <v/>
      </c>
    </row>
    <row r="345">
      <c r="H345" s="15" t="str">
        <f>IF(E345="","",IF(OR(F345="Vastgesteld",F345="Concept"),1,0))</f>
        <v/>
      </c>
      <c r="I345" s="15" t="str">
        <f>IF(A345="","",IFERROR(INDEX(Map_Type,MATCH(A345,Map_WBS,0)),"n.b."))</f>
        <v/>
      </c>
    </row>
    <row r="346">
      <c r="H346" s="15" t="str">
        <f>IF(E346="","",IF(OR(F346="Vastgesteld",F346="Concept"),1,0))</f>
        <v/>
      </c>
      <c r="I346" s="15" t="str">
        <f>IF(A346="","",IFERROR(INDEX(Map_Type,MATCH(A346,Map_WBS,0)),"n.b."))</f>
        <v/>
      </c>
    </row>
    <row r="347">
      <c r="H347" s="15" t="str">
        <f>IF(E347="","",IF(OR(F347="Vastgesteld",F347="Concept"),1,0))</f>
        <v/>
      </c>
      <c r="I347" s="15" t="str">
        <f>IF(A347="","",IFERROR(INDEX(Map_Type,MATCH(A347,Map_WBS,0)),"n.b."))</f>
        <v/>
      </c>
    </row>
    <row r="348">
      <c r="H348" s="15" t="str">
        <f>IF(E348="","",IF(OR(F348="Vastgesteld",F348="Concept"),1,0))</f>
        <v/>
      </c>
      <c r="I348" s="15" t="str">
        <f>IF(A348="","",IFERROR(INDEX(Map_Type,MATCH(A348,Map_WBS,0)),"n.b."))</f>
        <v/>
      </c>
    </row>
    <row r="349">
      <c r="H349" s="15" t="str">
        <f>IF(E349="","",IF(OR(F349="Vastgesteld",F349="Concept"),1,0))</f>
        <v/>
      </c>
      <c r="I349" s="15" t="str">
        <f>IF(A349="","",IFERROR(INDEX(Map_Type,MATCH(A349,Map_WBS,0)),"n.b."))</f>
        <v/>
      </c>
    </row>
    <row r="350">
      <c r="H350" s="15" t="str">
        <f>IF(E350="","",IF(OR(F350="Vastgesteld",F350="Concept"),1,0))</f>
        <v/>
      </c>
      <c r="I350" s="15" t="str">
        <f>IF(A350="","",IFERROR(INDEX(Map_Type,MATCH(A350,Map_WBS,0)),"n.b."))</f>
        <v/>
      </c>
    </row>
    <row r="351">
      <c r="H351" s="15" t="str">
        <f>IF(E351="","",IF(OR(F351="Vastgesteld",F351="Concept"),1,0))</f>
        <v/>
      </c>
      <c r="I351" s="15" t="str">
        <f>IF(A351="","",IFERROR(INDEX(Map_Type,MATCH(A351,Map_WBS,0)),"n.b."))</f>
        <v/>
      </c>
    </row>
    <row r="352">
      <c r="H352" s="15" t="str">
        <f>IF(E352="","",IF(OR(F352="Vastgesteld",F352="Concept"),1,0))</f>
        <v/>
      </c>
      <c r="I352" s="15" t="str">
        <f>IF(A352="","",IFERROR(INDEX(Map_Type,MATCH(A352,Map_WBS,0)),"n.b."))</f>
        <v/>
      </c>
    </row>
    <row r="353">
      <c r="H353" s="15" t="str">
        <f>IF(E353="","",IF(OR(F353="Vastgesteld",F353="Concept"),1,0))</f>
        <v/>
      </c>
      <c r="I353" s="15" t="str">
        <f>IF(A353="","",IFERROR(INDEX(Map_Type,MATCH(A353,Map_WBS,0)),"n.b."))</f>
        <v/>
      </c>
    </row>
    <row r="354">
      <c r="H354" s="15" t="str">
        <f>IF(E354="","",IF(OR(F354="Vastgesteld",F354="Concept"),1,0))</f>
        <v/>
      </c>
      <c r="I354" s="15" t="str">
        <f>IF(A354="","",IFERROR(INDEX(Map_Type,MATCH(A354,Map_WBS,0)),"n.b."))</f>
        <v/>
      </c>
    </row>
    <row r="355">
      <c r="H355" s="15" t="str">
        <f>IF(E355="","",IF(OR(F355="Vastgesteld",F355="Concept"),1,0))</f>
        <v/>
      </c>
      <c r="I355" s="15" t="str">
        <f>IF(A355="","",IFERROR(INDEX(Map_Type,MATCH(A355,Map_WBS,0)),"n.b."))</f>
        <v/>
      </c>
    </row>
    <row r="356">
      <c r="H356" s="15" t="str">
        <f>IF(E356="","",IF(OR(F356="Vastgesteld",F356="Concept"),1,0))</f>
        <v/>
      </c>
      <c r="I356" s="15" t="str">
        <f>IF(A356="","",IFERROR(INDEX(Map_Type,MATCH(A356,Map_WBS,0)),"n.b."))</f>
        <v/>
      </c>
    </row>
    <row r="357">
      <c r="H357" s="15" t="str">
        <f>IF(E357="","",IF(OR(F357="Vastgesteld",F357="Concept"),1,0))</f>
        <v/>
      </c>
      <c r="I357" s="15" t="str">
        <f>IF(A357="","",IFERROR(INDEX(Map_Type,MATCH(A357,Map_WBS,0)),"n.b."))</f>
        <v/>
      </c>
    </row>
    <row r="358">
      <c r="H358" s="15" t="str">
        <f>IF(E358="","",IF(OR(F358="Vastgesteld",F358="Concept"),1,0))</f>
        <v/>
      </c>
      <c r="I358" s="15" t="str">
        <f>IF(A358="","",IFERROR(INDEX(Map_Type,MATCH(A358,Map_WBS,0)),"n.b."))</f>
        <v/>
      </c>
    </row>
    <row r="359">
      <c r="H359" s="15" t="str">
        <f>IF(E359="","",IF(OR(F359="Vastgesteld",F359="Concept"),1,0))</f>
        <v/>
      </c>
      <c r="I359" s="15" t="str">
        <f>IF(A359="","",IFERROR(INDEX(Map_Type,MATCH(A359,Map_WBS,0)),"n.b."))</f>
        <v/>
      </c>
    </row>
    <row r="360">
      <c r="H360" s="15" t="str">
        <f>IF(E360="","",IF(OR(F360="Vastgesteld",F360="Concept"),1,0))</f>
        <v/>
      </c>
      <c r="I360" s="15" t="str">
        <f>IF(A360="","",IFERROR(INDEX(Map_Type,MATCH(A360,Map_WBS,0)),"n.b."))</f>
        <v/>
      </c>
    </row>
    <row r="361">
      <c r="H361" s="15" t="str">
        <f>IF(E361="","",IF(OR(F361="Vastgesteld",F361="Concept"),1,0))</f>
        <v/>
      </c>
      <c r="I361" s="15" t="str">
        <f>IF(A361="","",IFERROR(INDEX(Map_Type,MATCH(A361,Map_WBS,0)),"n.b."))</f>
        <v/>
      </c>
    </row>
    <row r="362">
      <c r="H362" s="15" t="str">
        <f>IF(E362="","",IF(OR(F362="Vastgesteld",F362="Concept"),1,0))</f>
        <v/>
      </c>
      <c r="I362" s="15" t="str">
        <f>IF(A362="","",IFERROR(INDEX(Map_Type,MATCH(A362,Map_WBS,0)),"n.b."))</f>
        <v/>
      </c>
    </row>
    <row r="363">
      <c r="H363" s="15" t="str">
        <f>IF(E363="","",IF(OR(F363="Vastgesteld",F363="Concept"),1,0))</f>
        <v/>
      </c>
      <c r="I363" s="15" t="str">
        <f>IF(A363="","",IFERROR(INDEX(Map_Type,MATCH(A363,Map_WBS,0)),"n.b."))</f>
        <v/>
      </c>
    </row>
    <row r="364">
      <c r="H364" s="15" t="str">
        <f>IF(E364="","",IF(OR(F364="Vastgesteld",F364="Concept"),1,0))</f>
        <v/>
      </c>
      <c r="I364" s="15" t="str">
        <f>IF(A364="","",IFERROR(INDEX(Map_Type,MATCH(A364,Map_WBS,0)),"n.b."))</f>
        <v/>
      </c>
    </row>
    <row r="365">
      <c r="H365" s="15" t="str">
        <f>IF(E365="","",IF(OR(F365="Vastgesteld",F365="Concept"),1,0))</f>
        <v/>
      </c>
      <c r="I365" s="15" t="str">
        <f>IF(A365="","",IFERROR(INDEX(Map_Type,MATCH(A365,Map_WBS,0)),"n.b."))</f>
        <v/>
      </c>
    </row>
    <row r="366">
      <c r="H366" s="15" t="str">
        <f>IF(E366="","",IF(OR(F366="Vastgesteld",F366="Concept"),1,0))</f>
        <v/>
      </c>
      <c r="I366" s="15" t="str">
        <f>IF(A366="","",IFERROR(INDEX(Map_Type,MATCH(A366,Map_WBS,0)),"n.b."))</f>
        <v/>
      </c>
    </row>
    <row r="367">
      <c r="H367" s="15" t="str">
        <f>IF(E367="","",IF(OR(F367="Vastgesteld",F367="Concept"),1,0))</f>
        <v/>
      </c>
      <c r="I367" s="15" t="str">
        <f>IF(A367="","",IFERROR(INDEX(Map_Type,MATCH(A367,Map_WBS,0)),"n.b."))</f>
        <v/>
      </c>
    </row>
    <row r="368">
      <c r="H368" s="15" t="str">
        <f>IF(E368="","",IF(OR(F368="Vastgesteld",F368="Concept"),1,0))</f>
        <v/>
      </c>
      <c r="I368" s="15" t="str">
        <f>IF(A368="","",IFERROR(INDEX(Map_Type,MATCH(A368,Map_WBS,0)),"n.b."))</f>
        <v/>
      </c>
    </row>
    <row r="369">
      <c r="H369" s="15" t="str">
        <f>IF(E369="","",IF(OR(F369="Vastgesteld",F369="Concept"),1,0))</f>
        <v/>
      </c>
      <c r="I369" s="15" t="str">
        <f>IF(A369="","",IFERROR(INDEX(Map_Type,MATCH(A369,Map_WBS,0)),"n.b."))</f>
        <v/>
      </c>
    </row>
    <row r="370">
      <c r="H370" s="15" t="str">
        <f>IF(E370="","",IF(OR(F370="Vastgesteld",F370="Concept"),1,0))</f>
        <v/>
      </c>
      <c r="I370" s="15" t="str">
        <f>IF(A370="","",IFERROR(INDEX(Map_Type,MATCH(A370,Map_WBS,0)),"n.b."))</f>
        <v/>
      </c>
    </row>
    <row r="371">
      <c r="H371" s="15" t="str">
        <f>IF(E371="","",IF(OR(F371="Vastgesteld",F371="Concept"),1,0))</f>
        <v/>
      </c>
      <c r="I371" s="15" t="str">
        <f>IF(A371="","",IFERROR(INDEX(Map_Type,MATCH(A371,Map_WBS,0)),"n.b."))</f>
        <v/>
      </c>
    </row>
    <row r="372">
      <c r="H372" s="15" t="str">
        <f>IF(E372="","",IF(OR(F372="Vastgesteld",F372="Concept"),1,0))</f>
        <v/>
      </c>
      <c r="I372" s="15" t="str">
        <f>IF(A372="","",IFERROR(INDEX(Map_Type,MATCH(A372,Map_WBS,0)),"n.b."))</f>
        <v/>
      </c>
    </row>
    <row r="373">
      <c r="H373" s="15" t="str">
        <f>IF(E373="","",IF(OR(F373="Vastgesteld",F373="Concept"),1,0))</f>
        <v/>
      </c>
      <c r="I373" s="15" t="str">
        <f>IF(A373="","",IFERROR(INDEX(Map_Type,MATCH(A373,Map_WBS,0)),"n.b."))</f>
        <v/>
      </c>
    </row>
    <row r="374">
      <c r="H374" s="15" t="str">
        <f>IF(E374="","",IF(OR(F374="Vastgesteld",F374="Concept"),1,0))</f>
        <v/>
      </c>
      <c r="I374" s="15" t="str">
        <f>IF(A374="","",IFERROR(INDEX(Map_Type,MATCH(A374,Map_WBS,0)),"n.b."))</f>
        <v/>
      </c>
    </row>
    <row r="375">
      <c r="H375" s="15" t="str">
        <f>IF(E375="","",IF(OR(F375="Vastgesteld",F375="Concept"),1,0))</f>
        <v/>
      </c>
      <c r="I375" s="15" t="str">
        <f>IF(A375="","",IFERROR(INDEX(Map_Type,MATCH(A375,Map_WBS,0)),"n.b."))</f>
        <v/>
      </c>
    </row>
    <row r="376">
      <c r="H376" s="15" t="str">
        <f>IF(E376="","",IF(OR(F376="Vastgesteld",F376="Concept"),1,0))</f>
        <v/>
      </c>
      <c r="I376" s="15" t="str">
        <f>IF(A376="","",IFERROR(INDEX(Map_Type,MATCH(A376,Map_WBS,0)),"n.b."))</f>
        <v/>
      </c>
    </row>
    <row r="377">
      <c r="H377" s="15" t="str">
        <f>IF(E377="","",IF(OR(F377="Vastgesteld",F377="Concept"),1,0))</f>
        <v/>
      </c>
      <c r="I377" s="15" t="str">
        <f>IF(A377="","",IFERROR(INDEX(Map_Type,MATCH(A377,Map_WBS,0)),"n.b."))</f>
        <v/>
      </c>
    </row>
    <row r="378">
      <c r="H378" s="15" t="str">
        <f>IF(E378="","",IF(OR(F378="Vastgesteld",F378="Concept"),1,0))</f>
        <v/>
      </c>
      <c r="I378" s="15" t="str">
        <f>IF(A378="","",IFERROR(INDEX(Map_Type,MATCH(A378,Map_WBS,0)),"n.b."))</f>
        <v/>
      </c>
    </row>
    <row r="379">
      <c r="H379" s="15" t="str">
        <f>IF(E379="","",IF(OR(F379="Vastgesteld",F379="Concept"),1,0))</f>
        <v/>
      </c>
      <c r="I379" s="15" t="str">
        <f>IF(A379="","",IFERROR(INDEX(Map_Type,MATCH(A379,Map_WBS,0)),"n.b."))</f>
        <v/>
      </c>
    </row>
    <row r="380">
      <c r="H380" s="15" t="str">
        <f>IF(E380="","",IF(OR(F380="Vastgesteld",F380="Concept"),1,0))</f>
        <v/>
      </c>
      <c r="I380" s="15" t="str">
        <f>IF(A380="","",IFERROR(INDEX(Map_Type,MATCH(A380,Map_WBS,0)),"n.b."))</f>
        <v/>
      </c>
    </row>
    <row r="381">
      <c r="H381" s="15" t="str">
        <f>IF(E381="","",IF(OR(F381="Vastgesteld",F381="Concept"),1,0))</f>
        <v/>
      </c>
      <c r="I381" s="15" t="str">
        <f>IF(A381="","",IFERROR(INDEX(Map_Type,MATCH(A381,Map_WBS,0)),"n.b."))</f>
        <v/>
      </c>
    </row>
    <row r="382">
      <c r="H382" s="15" t="str">
        <f>IF(E382="","",IF(OR(F382="Vastgesteld",F382="Concept"),1,0))</f>
        <v/>
      </c>
      <c r="I382" s="15" t="str">
        <f>IF(A382="","",IFERROR(INDEX(Map_Type,MATCH(A382,Map_WBS,0)),"n.b."))</f>
        <v/>
      </c>
    </row>
    <row r="383">
      <c r="H383" s="15" t="str">
        <f>IF(E383="","",IF(OR(F383="Vastgesteld",F383="Concept"),1,0))</f>
        <v/>
      </c>
      <c r="I383" s="15" t="str">
        <f>IF(A383="","",IFERROR(INDEX(Map_Type,MATCH(A383,Map_WBS,0)),"n.b."))</f>
        <v/>
      </c>
    </row>
    <row r="384">
      <c r="H384" s="15" t="str">
        <f>IF(E384="","",IF(OR(F384="Vastgesteld",F384="Concept"),1,0))</f>
        <v/>
      </c>
      <c r="I384" s="15" t="str">
        <f>IF(A384="","",IFERROR(INDEX(Map_Type,MATCH(A384,Map_WBS,0)),"n.b."))</f>
        <v/>
      </c>
    </row>
    <row r="385">
      <c r="H385" s="15" t="str">
        <f>IF(E385="","",IF(OR(F385="Vastgesteld",F385="Concept"),1,0))</f>
        <v/>
      </c>
      <c r="I385" s="15" t="str">
        <f>IF(A385="","",IFERROR(INDEX(Map_Type,MATCH(A385,Map_WBS,0)),"n.b."))</f>
        <v/>
      </c>
    </row>
    <row r="386">
      <c r="H386" s="15" t="str">
        <f>IF(E386="","",IF(OR(F386="Vastgesteld",F386="Concept"),1,0))</f>
        <v/>
      </c>
      <c r="I386" s="15" t="str">
        <f>IF(A386="","",IFERROR(INDEX(Map_Type,MATCH(A386,Map_WBS,0)),"n.b."))</f>
        <v/>
      </c>
    </row>
    <row r="387">
      <c r="H387" s="15" t="str">
        <f>IF(E387="","",IF(OR(F387="Vastgesteld",F387="Concept"),1,0))</f>
        <v/>
      </c>
      <c r="I387" s="15" t="str">
        <f>IF(A387="","",IFERROR(INDEX(Map_Type,MATCH(A387,Map_WBS,0)),"n.b."))</f>
        <v/>
      </c>
    </row>
    <row r="388">
      <c r="H388" s="15" t="str">
        <f>IF(E388="","",IF(OR(F388="Vastgesteld",F388="Concept"),1,0))</f>
        <v/>
      </c>
      <c r="I388" s="15" t="str">
        <f>IF(A388="","",IFERROR(INDEX(Map_Type,MATCH(A388,Map_WBS,0)),"n.b."))</f>
        <v/>
      </c>
    </row>
    <row r="389">
      <c r="H389" s="15" t="str">
        <f>IF(E389="","",IF(OR(F389="Vastgesteld",F389="Concept"),1,0))</f>
        <v/>
      </c>
      <c r="I389" s="15" t="str">
        <f>IF(A389="","",IFERROR(INDEX(Map_Type,MATCH(A389,Map_WBS,0)),"n.b."))</f>
        <v/>
      </c>
    </row>
    <row r="390">
      <c r="H390" s="15" t="str">
        <f>IF(E390="","",IF(OR(F390="Vastgesteld",F390="Concept"),1,0))</f>
        <v/>
      </c>
      <c r="I390" s="15" t="str">
        <f>IF(A390="","",IFERROR(INDEX(Map_Type,MATCH(A390,Map_WBS,0)),"n.b."))</f>
        <v/>
      </c>
    </row>
    <row r="391">
      <c r="H391" s="15" t="str">
        <f>IF(E391="","",IF(OR(F391="Vastgesteld",F391="Concept"),1,0))</f>
        <v/>
      </c>
      <c r="I391" s="15" t="str">
        <f>IF(A391="","",IFERROR(INDEX(Map_Type,MATCH(A391,Map_WBS,0)),"n.b."))</f>
        <v/>
      </c>
    </row>
    <row r="392">
      <c r="H392" s="15" t="str">
        <f>IF(E392="","",IF(OR(F392="Vastgesteld",F392="Concept"),1,0))</f>
        <v/>
      </c>
      <c r="I392" s="15" t="str">
        <f>IF(A392="","",IFERROR(INDEX(Map_Type,MATCH(A392,Map_WBS,0)),"n.b."))</f>
        <v/>
      </c>
    </row>
    <row r="393">
      <c r="H393" s="15" t="str">
        <f>IF(E393="","",IF(OR(F393="Vastgesteld",F393="Concept"),1,0))</f>
        <v/>
      </c>
      <c r="I393" s="15" t="str">
        <f>IF(A393="","",IFERROR(INDEX(Map_Type,MATCH(A393,Map_WBS,0)),"n.b."))</f>
        <v/>
      </c>
    </row>
    <row r="394">
      <c r="H394" s="15" t="str">
        <f>IF(E394="","",IF(OR(F394="Vastgesteld",F394="Concept"),1,0))</f>
        <v/>
      </c>
      <c r="I394" s="15" t="str">
        <f>IF(A394="","",IFERROR(INDEX(Map_Type,MATCH(A394,Map_WBS,0)),"n.b."))</f>
        <v/>
      </c>
    </row>
    <row r="395">
      <c r="H395" s="15" t="str">
        <f>IF(E395="","",IF(OR(F395="Vastgesteld",F395="Concept"),1,0))</f>
        <v/>
      </c>
      <c r="I395" s="15" t="str">
        <f>IF(A395="","",IFERROR(INDEX(Map_Type,MATCH(A395,Map_WBS,0)),"n.b."))</f>
        <v/>
      </c>
    </row>
    <row r="396">
      <c r="H396" s="15" t="str">
        <f>IF(E396="","",IF(OR(F396="Vastgesteld",F396="Concept"),1,0))</f>
        <v/>
      </c>
      <c r="I396" s="15" t="str">
        <f>IF(A396="","",IFERROR(INDEX(Map_Type,MATCH(A396,Map_WBS,0)),"n.b."))</f>
        <v/>
      </c>
    </row>
    <row r="397">
      <c r="H397" s="15" t="str">
        <f>IF(E397="","",IF(OR(F397="Vastgesteld",F397="Concept"),1,0))</f>
        <v/>
      </c>
      <c r="I397" s="15" t="str">
        <f>IF(A397="","",IFERROR(INDEX(Map_Type,MATCH(A397,Map_WBS,0)),"n.b."))</f>
        <v/>
      </c>
    </row>
    <row r="398">
      <c r="H398" s="15" t="str">
        <f>IF(E398="","",IF(OR(F398="Vastgesteld",F398="Concept"),1,0))</f>
        <v/>
      </c>
      <c r="I398" s="15" t="str">
        <f>IF(A398="","",IFERROR(INDEX(Map_Type,MATCH(A398,Map_WBS,0)),"n.b."))</f>
        <v/>
      </c>
    </row>
    <row r="399">
      <c r="H399" s="15" t="str">
        <f>IF(E399="","",IF(OR(F399="Vastgesteld",F399="Concept"),1,0))</f>
        <v/>
      </c>
      <c r="I399" s="15" t="str">
        <f>IF(A399="","",IFERROR(INDEX(Map_Type,MATCH(A399,Map_WBS,0)),"n.b."))</f>
        <v/>
      </c>
    </row>
    <row r="400">
      <c r="H400" s="15" t="str">
        <f>IF(E400="","",IF(OR(F400="Vastgesteld",F400="Concept"),1,0))</f>
        <v/>
      </c>
      <c r="I400" s="15" t="str">
        <f>IF(A400="","",IFERROR(INDEX(Map_Type,MATCH(A400,Map_WBS,0)),"n.b."))</f>
        <v/>
      </c>
    </row>
    <row r="401">
      <c r="H401" s="15" t="str">
        <f>IF(E401="","",IF(OR(F401="Vastgesteld",F401="Concept"),1,0))</f>
        <v/>
      </c>
      <c r="I401" s="15" t="str">
        <f>IF(A401="","",IFERROR(INDEX(Map_Type,MATCH(A401,Map_WBS,0)),"n.b."))</f>
        <v/>
      </c>
    </row>
    <row r="402">
      <c r="H402" s="15" t="str">
        <f>IF(E402="","",IF(OR(F402="Vastgesteld",F402="Concept"),1,0))</f>
        <v/>
      </c>
      <c r="I402" s="15" t="str">
        <f>IF(A402="","",IFERROR(INDEX(Map_Type,MATCH(A402,Map_WBS,0)),"n.b."))</f>
        <v/>
      </c>
    </row>
    <row r="403">
      <c r="H403" s="15" t="str">
        <f>IF(E403="","",IF(OR(F403="Vastgesteld",F403="Concept"),1,0))</f>
        <v/>
      </c>
      <c r="I403" s="15" t="str">
        <f>IF(A403="","",IFERROR(INDEX(Map_Type,MATCH(A403,Map_WBS,0)),"n.b."))</f>
        <v/>
      </c>
    </row>
    <row r="404">
      <c r="H404" s="15" t="str">
        <f>IF(E404="","",IF(OR(F404="Vastgesteld",F404="Concept"),1,0))</f>
        <v/>
      </c>
      <c r="I404" s="15" t="str">
        <f>IF(A404="","",IFERROR(INDEX(Map_Type,MATCH(A404,Map_WBS,0)),"n.b."))</f>
        <v/>
      </c>
    </row>
    <row r="405">
      <c r="H405" s="15" t="str">
        <f>IF(E405="","",IF(OR(F405="Vastgesteld",F405="Concept"),1,0))</f>
        <v/>
      </c>
      <c r="I405" s="15" t="str">
        <f>IF(A405="","",IFERROR(INDEX(Map_Type,MATCH(A405,Map_WBS,0)),"n.b."))</f>
        <v/>
      </c>
    </row>
    <row r="406">
      <c r="H406" s="15" t="str">
        <f>IF(E406="","",IF(OR(F406="Vastgesteld",F406="Concept"),1,0))</f>
        <v/>
      </c>
      <c r="I406" s="15" t="str">
        <f>IF(A406="","",IFERROR(INDEX(Map_Type,MATCH(A406,Map_WBS,0)),"n.b."))</f>
        <v/>
      </c>
    </row>
    <row r="407">
      <c r="H407" s="15" t="str">
        <f>IF(E407="","",IF(OR(F407="Vastgesteld",F407="Concept"),1,0))</f>
        <v/>
      </c>
      <c r="I407" s="15" t="str">
        <f>IF(A407="","",IFERROR(INDEX(Map_Type,MATCH(A407,Map_WBS,0)),"n.b."))</f>
        <v/>
      </c>
    </row>
    <row r="408">
      <c r="H408" s="15" t="str">
        <f>IF(E408="","",IF(OR(F408="Vastgesteld",F408="Concept"),1,0))</f>
        <v/>
      </c>
      <c r="I408" s="15" t="str">
        <f>IF(A408="","",IFERROR(INDEX(Map_Type,MATCH(A408,Map_WBS,0)),"n.b."))</f>
        <v/>
      </c>
    </row>
    <row r="409">
      <c r="H409" s="15" t="str">
        <f>IF(E409="","",IF(OR(F409="Vastgesteld",F409="Concept"),1,0))</f>
        <v/>
      </c>
      <c r="I409" s="15" t="str">
        <f>IF(A409="","",IFERROR(INDEX(Map_Type,MATCH(A409,Map_WBS,0)),"n.b."))</f>
        <v/>
      </c>
    </row>
    <row r="410">
      <c r="H410" s="15" t="str">
        <f>IF(E410="","",IF(OR(F410="Vastgesteld",F410="Concept"),1,0))</f>
        <v/>
      </c>
      <c r="I410" s="15" t="str">
        <f>IF(A410="","",IFERROR(INDEX(Map_Type,MATCH(A410,Map_WBS,0)),"n.b."))</f>
        <v/>
      </c>
    </row>
    <row r="411">
      <c r="H411" s="15" t="str">
        <f>IF(E411="","",IF(OR(F411="Vastgesteld",F411="Concept"),1,0))</f>
        <v/>
      </c>
      <c r="I411" s="15" t="str">
        <f>IF(A411="","",IFERROR(INDEX(Map_Type,MATCH(A411,Map_WBS,0)),"n.b."))</f>
        <v/>
      </c>
    </row>
    <row r="412">
      <c r="H412" s="15" t="str">
        <f>IF(E412="","",IF(OR(F412="Vastgesteld",F412="Concept"),1,0))</f>
        <v/>
      </c>
      <c r="I412" s="15" t="str">
        <f>IF(A412="","",IFERROR(INDEX(Map_Type,MATCH(A412,Map_WBS,0)),"n.b."))</f>
        <v/>
      </c>
    </row>
    <row r="413">
      <c r="H413" s="15" t="str">
        <f>IF(E413="","",IF(OR(F413="Vastgesteld",F413="Concept"),1,0))</f>
        <v/>
      </c>
      <c r="I413" s="15" t="str">
        <f>IF(A413="","",IFERROR(INDEX(Map_Type,MATCH(A413,Map_WBS,0)),"n.b."))</f>
        <v/>
      </c>
    </row>
    <row r="414">
      <c r="H414" s="15" t="str">
        <f>IF(E414="","",IF(OR(F414="Vastgesteld",F414="Concept"),1,0))</f>
        <v/>
      </c>
      <c r="I414" s="15" t="str">
        <f>IF(A414="","",IFERROR(INDEX(Map_Type,MATCH(A414,Map_WBS,0)),"n.b."))</f>
        <v/>
      </c>
    </row>
    <row r="415">
      <c r="H415" s="15" t="str">
        <f>IF(E415="","",IF(OR(F415="Vastgesteld",F415="Concept"),1,0))</f>
        <v/>
      </c>
      <c r="I415" s="15" t="str">
        <f>IF(A415="","",IFERROR(INDEX(Map_Type,MATCH(A415,Map_WBS,0)),"n.b."))</f>
        <v/>
      </c>
    </row>
    <row r="416">
      <c r="H416" s="15" t="str">
        <f>IF(E416="","",IF(OR(F416="Vastgesteld",F416="Concept"),1,0))</f>
        <v/>
      </c>
      <c r="I416" s="15" t="str">
        <f>IF(A416="","",IFERROR(INDEX(Map_Type,MATCH(A416,Map_WBS,0)),"n.b."))</f>
        <v/>
      </c>
    </row>
    <row r="417">
      <c r="H417" s="15" t="str">
        <f>IF(E417="","",IF(OR(F417="Vastgesteld",F417="Concept"),1,0))</f>
        <v/>
      </c>
      <c r="I417" s="15" t="str">
        <f>IF(A417="","",IFERROR(INDEX(Map_Type,MATCH(A417,Map_WBS,0)),"n.b."))</f>
        <v/>
      </c>
    </row>
    <row r="418">
      <c r="H418" s="15" t="str">
        <f>IF(E418="","",IF(OR(F418="Vastgesteld",F418="Concept"),1,0))</f>
        <v/>
      </c>
      <c r="I418" s="15" t="str">
        <f>IF(A418="","",IFERROR(INDEX(Map_Type,MATCH(A418,Map_WBS,0)),"n.b."))</f>
        <v/>
      </c>
    </row>
    <row r="419">
      <c r="H419" s="15" t="str">
        <f>IF(E419="","",IF(OR(F419="Vastgesteld",F419="Concept"),1,0))</f>
        <v/>
      </c>
      <c r="I419" s="15" t="str">
        <f>IF(A419="","",IFERROR(INDEX(Map_Type,MATCH(A419,Map_WBS,0)),"n.b."))</f>
        <v/>
      </c>
    </row>
    <row r="420">
      <c r="H420" s="15" t="str">
        <f>IF(E420="","",IF(OR(F420="Vastgesteld",F420="Concept"),1,0))</f>
        <v/>
      </c>
      <c r="I420" s="15" t="str">
        <f>IF(A420="","",IFERROR(INDEX(Map_Type,MATCH(A420,Map_WBS,0)),"n.b."))</f>
        <v/>
      </c>
    </row>
    <row r="421">
      <c r="H421" s="15" t="str">
        <f>IF(E421="","",IF(OR(F421="Vastgesteld",F421="Concept"),1,0))</f>
        <v/>
      </c>
      <c r="I421" s="15" t="str">
        <f>IF(A421="","",IFERROR(INDEX(Map_Type,MATCH(A421,Map_WBS,0)),"n.b."))</f>
        <v/>
      </c>
    </row>
    <row r="422">
      <c r="H422" s="15" t="str">
        <f>IF(E422="","",IF(OR(F422="Vastgesteld",F422="Concept"),1,0))</f>
        <v/>
      </c>
      <c r="I422" s="15" t="str">
        <f>IF(A422="","",IFERROR(INDEX(Map_Type,MATCH(A422,Map_WBS,0)),"n.b."))</f>
        <v/>
      </c>
    </row>
    <row r="423">
      <c r="H423" s="15" t="str">
        <f>IF(E423="","",IF(OR(F423="Vastgesteld",F423="Concept"),1,0))</f>
        <v/>
      </c>
      <c r="I423" s="15" t="str">
        <f>IF(A423="","",IFERROR(INDEX(Map_Type,MATCH(A423,Map_WBS,0)),"n.b."))</f>
        <v/>
      </c>
    </row>
    <row r="424">
      <c r="H424" s="15" t="str">
        <f>IF(E424="","",IF(OR(F424="Vastgesteld",F424="Concept"),1,0))</f>
        <v/>
      </c>
      <c r="I424" s="15" t="str">
        <f>IF(A424="","",IFERROR(INDEX(Map_Type,MATCH(A424,Map_WBS,0)),"n.b."))</f>
        <v/>
      </c>
    </row>
    <row r="425">
      <c r="H425" s="15" t="str">
        <f>IF(E425="","",IF(OR(F425="Vastgesteld",F425="Concept"),1,0))</f>
        <v/>
      </c>
      <c r="I425" s="15" t="str">
        <f>IF(A425="","",IFERROR(INDEX(Map_Type,MATCH(A425,Map_WBS,0)),"n.b."))</f>
        <v/>
      </c>
    </row>
    <row r="426">
      <c r="H426" s="15" t="str">
        <f>IF(E426="","",IF(OR(F426="Vastgesteld",F426="Concept"),1,0))</f>
        <v/>
      </c>
      <c r="I426" s="15" t="str">
        <f>IF(A426="","",IFERROR(INDEX(Map_Type,MATCH(A426,Map_WBS,0)),"n.b."))</f>
        <v/>
      </c>
    </row>
    <row r="427">
      <c r="H427" s="15" t="str">
        <f>IF(E427="","",IF(OR(F427="Vastgesteld",F427="Concept"),1,0))</f>
        <v/>
      </c>
      <c r="I427" s="15" t="str">
        <f>IF(A427="","",IFERROR(INDEX(Map_Type,MATCH(A427,Map_WBS,0)),"n.b."))</f>
        <v/>
      </c>
    </row>
    <row r="428">
      <c r="H428" s="15" t="str">
        <f>IF(E428="","",IF(OR(F428="Vastgesteld",F428="Concept"),1,0))</f>
        <v/>
      </c>
      <c r="I428" s="15" t="str">
        <f>IF(A428="","",IFERROR(INDEX(Map_Type,MATCH(A428,Map_WBS,0)),"n.b."))</f>
        <v/>
      </c>
    </row>
    <row r="429">
      <c r="H429" s="15" t="str">
        <f>IF(E429="","",IF(OR(F429="Vastgesteld",F429="Concept"),1,0))</f>
        <v/>
      </c>
      <c r="I429" s="15" t="str">
        <f>IF(A429="","",IFERROR(INDEX(Map_Type,MATCH(A429,Map_WBS,0)),"n.b."))</f>
        <v/>
      </c>
    </row>
    <row r="430">
      <c r="H430" s="15" t="str">
        <f>IF(E430="","",IF(OR(F430="Vastgesteld",F430="Concept"),1,0))</f>
        <v/>
      </c>
      <c r="I430" s="15" t="str">
        <f>IF(A430="","",IFERROR(INDEX(Map_Type,MATCH(A430,Map_WBS,0)),"n.b."))</f>
        <v/>
      </c>
    </row>
    <row r="431">
      <c r="H431" s="15" t="str">
        <f>IF(E431="","",IF(OR(F431="Vastgesteld",F431="Concept"),1,0))</f>
        <v/>
      </c>
      <c r="I431" s="15" t="str">
        <f>IF(A431="","",IFERROR(INDEX(Map_Type,MATCH(A431,Map_WBS,0)),"n.b."))</f>
        <v/>
      </c>
    </row>
    <row r="432">
      <c r="H432" s="15" t="str">
        <f>IF(E432="","",IF(OR(F432="Vastgesteld",F432="Concept"),1,0))</f>
        <v/>
      </c>
      <c r="I432" s="15" t="str">
        <f>IF(A432="","",IFERROR(INDEX(Map_Type,MATCH(A432,Map_WBS,0)),"n.b."))</f>
        <v/>
      </c>
    </row>
    <row r="433">
      <c r="H433" s="15" t="str">
        <f>IF(E433="","",IF(OR(F433="Vastgesteld",F433="Concept"),1,0))</f>
        <v/>
      </c>
      <c r="I433" s="15" t="str">
        <f>IF(A433="","",IFERROR(INDEX(Map_Type,MATCH(A433,Map_WBS,0)),"n.b."))</f>
        <v/>
      </c>
    </row>
    <row r="434">
      <c r="H434" s="15" t="str">
        <f>IF(E434="","",IF(OR(F434="Vastgesteld",F434="Concept"),1,0))</f>
        <v/>
      </c>
      <c r="I434" s="15" t="str">
        <f>IF(A434="","",IFERROR(INDEX(Map_Type,MATCH(A434,Map_WBS,0)),"n.b."))</f>
        <v/>
      </c>
    </row>
    <row r="435">
      <c r="H435" s="15" t="str">
        <f>IF(E435="","",IF(OR(F435="Vastgesteld",F435="Concept"),1,0))</f>
        <v/>
      </c>
      <c r="I435" s="15" t="str">
        <f>IF(A435="","",IFERROR(INDEX(Map_Type,MATCH(A435,Map_WBS,0)),"n.b."))</f>
        <v/>
      </c>
    </row>
    <row r="436">
      <c r="H436" s="15" t="str">
        <f>IF(E436="","",IF(OR(F436="Vastgesteld",F436="Concept"),1,0))</f>
        <v/>
      </c>
      <c r="I436" s="15" t="str">
        <f>IF(A436="","",IFERROR(INDEX(Map_Type,MATCH(A436,Map_WBS,0)),"n.b."))</f>
        <v/>
      </c>
    </row>
    <row r="437">
      <c r="H437" s="15" t="str">
        <f>IF(E437="","",IF(OR(F437="Vastgesteld",F437="Concept"),1,0))</f>
        <v/>
      </c>
      <c r="I437" s="15" t="str">
        <f>IF(A437="","",IFERROR(INDEX(Map_Type,MATCH(A437,Map_WBS,0)),"n.b."))</f>
        <v/>
      </c>
    </row>
    <row r="438">
      <c r="H438" s="15" t="str">
        <f>IF(E438="","",IF(OR(F438="Vastgesteld",F438="Concept"),1,0))</f>
        <v/>
      </c>
      <c r="I438" s="15" t="str">
        <f>IF(A438="","",IFERROR(INDEX(Map_Type,MATCH(A438,Map_WBS,0)),"n.b."))</f>
        <v/>
      </c>
    </row>
    <row r="439">
      <c r="H439" s="15" t="str">
        <f>IF(E439="","",IF(OR(F439="Vastgesteld",F439="Concept"),1,0))</f>
        <v/>
      </c>
      <c r="I439" s="15" t="str">
        <f>IF(A439="","",IFERROR(INDEX(Map_Type,MATCH(A439,Map_WBS,0)),"n.b."))</f>
        <v/>
      </c>
    </row>
    <row r="440">
      <c r="H440" s="15" t="str">
        <f>IF(E440="","",IF(OR(F440="Vastgesteld",F440="Concept"),1,0))</f>
        <v/>
      </c>
      <c r="I440" s="15" t="str">
        <f>IF(A440="","",IFERROR(INDEX(Map_Type,MATCH(A440,Map_WBS,0)),"n.b."))</f>
        <v/>
      </c>
    </row>
    <row r="441">
      <c r="H441" s="15" t="str">
        <f>IF(E441="","",IF(OR(F441="Vastgesteld",F441="Concept"),1,0))</f>
        <v/>
      </c>
      <c r="I441" s="15" t="str">
        <f>IF(A441="","",IFERROR(INDEX(Map_Type,MATCH(A441,Map_WBS,0)),"n.b."))</f>
        <v/>
      </c>
    </row>
    <row r="442">
      <c r="H442" s="15" t="str">
        <f>IF(E442="","",IF(OR(F442="Vastgesteld",F442="Concept"),1,0))</f>
        <v/>
      </c>
      <c r="I442" s="15" t="str">
        <f>IF(A442="","",IFERROR(INDEX(Map_Type,MATCH(A442,Map_WBS,0)),"n.b."))</f>
        <v/>
      </c>
    </row>
    <row r="443">
      <c r="H443" s="15" t="str">
        <f>IF(E443="","",IF(OR(F443="Vastgesteld",F443="Concept"),1,0))</f>
        <v/>
      </c>
      <c r="I443" s="15" t="str">
        <f>IF(A443="","",IFERROR(INDEX(Map_Type,MATCH(A443,Map_WBS,0)),"n.b."))</f>
        <v/>
      </c>
    </row>
    <row r="444">
      <c r="H444" s="15" t="str">
        <f>IF(E444="","",IF(OR(F444="Vastgesteld",F444="Concept"),1,0))</f>
        <v/>
      </c>
      <c r="I444" s="15" t="str">
        <f>IF(A444="","",IFERROR(INDEX(Map_Type,MATCH(A444,Map_WBS,0)),"n.b."))</f>
        <v/>
      </c>
    </row>
    <row r="445">
      <c r="H445" s="15" t="str">
        <f>IF(E445="","",IF(OR(F445="Vastgesteld",F445="Concept"),1,0))</f>
        <v/>
      </c>
      <c r="I445" s="15" t="str">
        <f>IF(A445="","",IFERROR(INDEX(Map_Type,MATCH(A445,Map_WBS,0)),"n.b."))</f>
        <v/>
      </c>
    </row>
    <row r="446">
      <c r="H446" s="15" t="str">
        <f>IF(E446="","",IF(OR(F446="Vastgesteld",F446="Concept"),1,0))</f>
        <v/>
      </c>
      <c r="I446" s="15" t="str">
        <f>IF(A446="","",IFERROR(INDEX(Map_Type,MATCH(A446,Map_WBS,0)),"n.b."))</f>
        <v/>
      </c>
    </row>
    <row r="447">
      <c r="H447" s="15" t="str">
        <f>IF(E447="","",IF(OR(F447="Vastgesteld",F447="Concept"),1,0))</f>
        <v/>
      </c>
      <c r="I447" s="15" t="str">
        <f>IF(A447="","",IFERROR(INDEX(Map_Type,MATCH(A447,Map_WBS,0)),"n.b."))</f>
        <v/>
      </c>
    </row>
    <row r="448">
      <c r="H448" s="15" t="str">
        <f>IF(E448="","",IF(OR(F448="Vastgesteld",F448="Concept"),1,0))</f>
        <v/>
      </c>
      <c r="I448" s="15" t="str">
        <f>IF(A448="","",IFERROR(INDEX(Map_Type,MATCH(A448,Map_WBS,0)),"n.b."))</f>
        <v/>
      </c>
    </row>
    <row r="449">
      <c r="H449" s="15" t="str">
        <f>IF(E449="","",IF(OR(F449="Vastgesteld",F449="Concept"),1,0))</f>
        <v/>
      </c>
      <c r="I449" s="15" t="str">
        <f>IF(A449="","",IFERROR(INDEX(Map_Type,MATCH(A449,Map_WBS,0)),"n.b."))</f>
        <v/>
      </c>
    </row>
    <row r="450">
      <c r="H450" s="15" t="str">
        <f>IF(E450="","",IF(OR(F450="Vastgesteld",F450="Concept"),1,0))</f>
        <v/>
      </c>
      <c r="I450" s="15" t="str">
        <f>IF(A450="","",IFERROR(INDEX(Map_Type,MATCH(A450,Map_WBS,0)),"n.b."))</f>
        <v/>
      </c>
    </row>
    <row r="451">
      <c r="H451" s="15" t="str">
        <f>IF(E451="","",IF(OR(F451="Vastgesteld",F451="Concept"),1,0))</f>
        <v/>
      </c>
      <c r="I451" s="15" t="str">
        <f>IF(A451="","",IFERROR(INDEX(Map_Type,MATCH(A451,Map_WBS,0)),"n.b."))</f>
        <v/>
      </c>
    </row>
    <row r="452">
      <c r="H452" s="15" t="str">
        <f>IF(E452="","",IF(OR(F452="Vastgesteld",F452="Concept"),1,0))</f>
        <v/>
      </c>
      <c r="I452" s="15" t="str">
        <f>IF(A452="","",IFERROR(INDEX(Map_Type,MATCH(A452,Map_WBS,0)),"n.b."))</f>
        <v/>
      </c>
    </row>
    <row r="453">
      <c r="H453" s="15" t="str">
        <f>IF(E453="","",IF(OR(F453="Vastgesteld",F453="Concept"),1,0))</f>
        <v/>
      </c>
      <c r="I453" s="15" t="str">
        <f>IF(A453="","",IFERROR(INDEX(Map_Type,MATCH(A453,Map_WBS,0)),"n.b."))</f>
        <v/>
      </c>
    </row>
    <row r="454">
      <c r="H454" s="15" t="str">
        <f>IF(E454="","",IF(OR(F454="Vastgesteld",F454="Concept"),1,0))</f>
        <v/>
      </c>
      <c r="I454" s="15" t="str">
        <f>IF(A454="","",IFERROR(INDEX(Map_Type,MATCH(A454,Map_WBS,0)),"n.b."))</f>
        <v/>
      </c>
    </row>
    <row r="455">
      <c r="H455" s="15" t="str">
        <f>IF(E455="","",IF(OR(F455="Vastgesteld",F455="Concept"),1,0))</f>
        <v/>
      </c>
      <c r="I455" s="15" t="str">
        <f>IF(A455="","",IFERROR(INDEX(Map_Type,MATCH(A455,Map_WBS,0)),"n.b."))</f>
        <v/>
      </c>
    </row>
    <row r="456">
      <c r="H456" s="15" t="str">
        <f>IF(E456="","",IF(OR(F456="Vastgesteld",F456="Concept"),1,0))</f>
        <v/>
      </c>
      <c r="I456" s="15" t="str">
        <f>IF(A456="","",IFERROR(INDEX(Map_Type,MATCH(A456,Map_WBS,0)),"n.b."))</f>
        <v/>
      </c>
    </row>
    <row r="457">
      <c r="H457" s="15" t="str">
        <f>IF(E457="","",IF(OR(F457="Vastgesteld",F457="Concept"),1,0))</f>
        <v/>
      </c>
      <c r="I457" s="15" t="str">
        <f>IF(A457="","",IFERROR(INDEX(Map_Type,MATCH(A457,Map_WBS,0)),"n.b."))</f>
        <v/>
      </c>
    </row>
    <row r="458">
      <c r="H458" s="15" t="str">
        <f>IF(E458="","",IF(OR(F458="Vastgesteld",F458="Concept"),1,0))</f>
        <v/>
      </c>
      <c r="I458" s="15" t="str">
        <f>IF(A458="","",IFERROR(INDEX(Map_Type,MATCH(A458,Map_WBS,0)),"n.b."))</f>
        <v/>
      </c>
    </row>
    <row r="459">
      <c r="H459" s="15" t="str">
        <f>IF(E459="","",IF(OR(F459="Vastgesteld",F459="Concept"),1,0))</f>
        <v/>
      </c>
      <c r="I459" s="15" t="str">
        <f>IF(A459="","",IFERROR(INDEX(Map_Type,MATCH(A459,Map_WBS,0)),"n.b."))</f>
        <v/>
      </c>
    </row>
    <row r="460">
      <c r="H460" s="15" t="str">
        <f>IF(E460="","",IF(OR(F460="Vastgesteld",F460="Concept"),1,0))</f>
        <v/>
      </c>
      <c r="I460" s="15" t="str">
        <f>IF(A460="","",IFERROR(INDEX(Map_Type,MATCH(A460,Map_WBS,0)),"n.b."))</f>
        <v/>
      </c>
    </row>
    <row r="461">
      <c r="H461" s="15" t="str">
        <f>IF(E461="","",IF(OR(F461="Vastgesteld",F461="Concept"),1,0))</f>
        <v/>
      </c>
      <c r="I461" s="15" t="str">
        <f>IF(A461="","",IFERROR(INDEX(Map_Type,MATCH(A461,Map_WBS,0)),"n.b."))</f>
        <v/>
      </c>
    </row>
    <row r="462">
      <c r="H462" s="15" t="str">
        <f>IF(E462="","",IF(OR(F462="Vastgesteld",F462="Concept"),1,0))</f>
        <v/>
      </c>
      <c r="I462" s="15" t="str">
        <f>IF(A462="","",IFERROR(INDEX(Map_Type,MATCH(A462,Map_WBS,0)),"n.b."))</f>
        <v/>
      </c>
    </row>
    <row r="463">
      <c r="H463" s="15" t="str">
        <f>IF(E463="","",IF(OR(F463="Vastgesteld",F463="Concept"),1,0))</f>
        <v/>
      </c>
      <c r="I463" s="15" t="str">
        <f>IF(A463="","",IFERROR(INDEX(Map_Type,MATCH(A463,Map_WBS,0)),"n.b."))</f>
        <v/>
      </c>
    </row>
    <row r="464">
      <c r="H464" s="15" t="str">
        <f>IF(E464="","",IF(OR(F464="Vastgesteld",F464="Concept"),1,0))</f>
        <v/>
      </c>
      <c r="I464" s="15" t="str">
        <f>IF(A464="","",IFERROR(INDEX(Map_Type,MATCH(A464,Map_WBS,0)),"n.b."))</f>
        <v/>
      </c>
    </row>
    <row r="465">
      <c r="H465" s="15" t="str">
        <f>IF(E465="","",IF(OR(F465="Vastgesteld",F465="Concept"),1,0))</f>
        <v/>
      </c>
      <c r="I465" s="15" t="str">
        <f>IF(A465="","",IFERROR(INDEX(Map_Type,MATCH(A465,Map_WBS,0)),"n.b."))</f>
        <v/>
      </c>
    </row>
    <row r="466">
      <c r="H466" s="15" t="str">
        <f>IF(E466="","",IF(OR(F466="Vastgesteld",F466="Concept"),1,0))</f>
        <v/>
      </c>
      <c r="I466" s="15" t="str">
        <f>IF(A466="","",IFERROR(INDEX(Map_Type,MATCH(A466,Map_WBS,0)),"n.b."))</f>
        <v/>
      </c>
    </row>
    <row r="467">
      <c r="H467" s="15" t="str">
        <f>IF(E467="","",IF(OR(F467="Vastgesteld",F467="Concept"),1,0))</f>
        <v/>
      </c>
      <c r="I467" s="15" t="str">
        <f>IF(A467="","",IFERROR(INDEX(Map_Type,MATCH(A467,Map_WBS,0)),"n.b."))</f>
        <v/>
      </c>
    </row>
    <row r="468">
      <c r="H468" s="15" t="str">
        <f>IF(E468="","",IF(OR(F468="Vastgesteld",F468="Concept"),1,0))</f>
        <v/>
      </c>
      <c r="I468" s="15" t="str">
        <f>IF(A468="","",IFERROR(INDEX(Map_Type,MATCH(A468,Map_WBS,0)),"n.b."))</f>
        <v/>
      </c>
    </row>
    <row r="469">
      <c r="H469" s="15" t="str">
        <f>IF(E469="","",IF(OR(F469="Vastgesteld",F469="Concept"),1,0))</f>
        <v/>
      </c>
      <c r="I469" s="15" t="str">
        <f>IF(A469="","",IFERROR(INDEX(Map_Type,MATCH(A469,Map_WBS,0)),"n.b."))</f>
        <v/>
      </c>
    </row>
    <row r="470">
      <c r="H470" s="15" t="str">
        <f>IF(E470="","",IF(OR(F470="Vastgesteld",F470="Concept"),1,0))</f>
        <v/>
      </c>
      <c r="I470" s="15" t="str">
        <f>IF(A470="","",IFERROR(INDEX(Map_Type,MATCH(A470,Map_WBS,0)),"n.b."))</f>
        <v/>
      </c>
    </row>
    <row r="471">
      <c r="H471" s="15" t="str">
        <f>IF(E471="","",IF(OR(F471="Vastgesteld",F471="Concept"),1,0))</f>
        <v/>
      </c>
      <c r="I471" s="15" t="str">
        <f>IF(A471="","",IFERROR(INDEX(Map_Type,MATCH(A471,Map_WBS,0)),"n.b."))</f>
        <v/>
      </c>
    </row>
    <row r="472">
      <c r="H472" s="15" t="str">
        <f>IF(E472="","",IF(OR(F472="Vastgesteld",F472="Concept"),1,0))</f>
        <v/>
      </c>
      <c r="I472" s="15" t="str">
        <f>IF(A472="","",IFERROR(INDEX(Map_Type,MATCH(A472,Map_WBS,0)),"n.b."))</f>
        <v/>
      </c>
    </row>
    <row r="473">
      <c r="H473" s="15" t="str">
        <f>IF(E473="","",IF(OR(F473="Vastgesteld",F473="Concept"),1,0))</f>
        <v/>
      </c>
      <c r="I473" s="15" t="str">
        <f>IF(A473="","",IFERROR(INDEX(Map_Type,MATCH(A473,Map_WBS,0)),"n.b."))</f>
        <v/>
      </c>
    </row>
    <row r="474">
      <c r="H474" s="15" t="str">
        <f>IF(E474="","",IF(OR(F474="Vastgesteld",F474="Concept"),1,0))</f>
        <v/>
      </c>
      <c r="I474" s="15" t="str">
        <f>IF(A474="","",IFERROR(INDEX(Map_Type,MATCH(A474,Map_WBS,0)),"n.b."))</f>
        <v/>
      </c>
    </row>
    <row r="475">
      <c r="H475" s="15" t="str">
        <f>IF(E475="","",IF(OR(F475="Vastgesteld",F475="Concept"),1,0))</f>
        <v/>
      </c>
      <c r="I475" s="15" t="str">
        <f>IF(A475="","",IFERROR(INDEX(Map_Type,MATCH(A475,Map_WBS,0)),"n.b."))</f>
        <v/>
      </c>
    </row>
    <row r="476">
      <c r="H476" s="15" t="str">
        <f>IF(E476="","",IF(OR(F476="Vastgesteld",F476="Concept"),1,0))</f>
        <v/>
      </c>
      <c r="I476" s="15" t="str">
        <f>IF(A476="","",IFERROR(INDEX(Map_Type,MATCH(A476,Map_WBS,0)),"n.b."))</f>
        <v/>
      </c>
    </row>
    <row r="477">
      <c r="H477" s="15" t="str">
        <f>IF(E477="","",IF(OR(F477="Vastgesteld",F477="Concept"),1,0))</f>
        <v/>
      </c>
      <c r="I477" s="15" t="str">
        <f>IF(A477="","",IFERROR(INDEX(Map_Type,MATCH(A477,Map_WBS,0)),"n.b."))</f>
        <v/>
      </c>
    </row>
    <row r="478">
      <c r="H478" s="15" t="str">
        <f>IF(E478="","",IF(OR(F478="Vastgesteld",F478="Concept"),1,0))</f>
        <v/>
      </c>
      <c r="I478" s="15" t="str">
        <f>IF(A478="","",IFERROR(INDEX(Map_Type,MATCH(A478,Map_WBS,0)),"n.b."))</f>
        <v/>
      </c>
    </row>
    <row r="479">
      <c r="H479" s="15" t="str">
        <f>IF(E479="","",IF(OR(F479="Vastgesteld",F479="Concept"),1,0))</f>
        <v/>
      </c>
      <c r="I479" s="15" t="str">
        <f>IF(A479="","",IFERROR(INDEX(Map_Type,MATCH(A479,Map_WBS,0)),"n.b."))</f>
        <v/>
      </c>
    </row>
    <row r="480">
      <c r="H480" s="15" t="str">
        <f>IF(E480="","",IF(OR(F480="Vastgesteld",F480="Concept"),1,0))</f>
        <v/>
      </c>
      <c r="I480" s="15" t="str">
        <f>IF(A480="","",IFERROR(INDEX(Map_Type,MATCH(A480,Map_WBS,0)),"n.b."))</f>
        <v/>
      </c>
    </row>
    <row r="481">
      <c r="H481" s="15" t="str">
        <f>IF(E481="","",IF(OR(F481="Vastgesteld",F481="Concept"),1,0))</f>
        <v/>
      </c>
      <c r="I481" s="15" t="str">
        <f>IF(A481="","",IFERROR(INDEX(Map_Type,MATCH(A481,Map_WBS,0)),"n.b."))</f>
        <v/>
      </c>
    </row>
    <row r="482">
      <c r="H482" s="15" t="str">
        <f>IF(E482="","",IF(OR(F482="Vastgesteld",F482="Concept"),1,0))</f>
        <v/>
      </c>
      <c r="I482" s="15" t="str">
        <f>IF(A482="","",IFERROR(INDEX(Map_Type,MATCH(A482,Map_WBS,0)),"n.b."))</f>
        <v/>
      </c>
    </row>
    <row r="483">
      <c r="H483" s="15" t="str">
        <f>IF(E483="","",IF(OR(F483="Vastgesteld",F483="Concept"),1,0))</f>
        <v/>
      </c>
      <c r="I483" s="15" t="str">
        <f>IF(A483="","",IFERROR(INDEX(Map_Type,MATCH(A483,Map_WBS,0)),"n.b."))</f>
        <v/>
      </c>
    </row>
    <row r="484">
      <c r="H484" s="15" t="str">
        <f>IF(E484="","",IF(OR(F484="Vastgesteld",F484="Concept"),1,0))</f>
        <v/>
      </c>
      <c r="I484" s="15" t="str">
        <f>IF(A484="","",IFERROR(INDEX(Map_Type,MATCH(A484,Map_WBS,0)),"n.b."))</f>
        <v/>
      </c>
    </row>
    <row r="485">
      <c r="H485" s="15" t="str">
        <f>IF(E485="","",IF(OR(F485="Vastgesteld",F485="Concept"),1,0))</f>
        <v/>
      </c>
      <c r="I485" s="15" t="str">
        <f>IF(A485="","",IFERROR(INDEX(Map_Type,MATCH(A485,Map_WBS,0)),"n.b."))</f>
        <v/>
      </c>
    </row>
    <row r="486">
      <c r="H486" s="15" t="str">
        <f>IF(E486="","",IF(OR(F486="Vastgesteld",F486="Concept"),1,0))</f>
        <v/>
      </c>
      <c r="I486" s="15" t="str">
        <f>IF(A486="","",IFERROR(INDEX(Map_Type,MATCH(A486,Map_WBS,0)),"n.b."))</f>
        <v/>
      </c>
    </row>
    <row r="487">
      <c r="H487" s="15" t="str">
        <f>IF(E487="","",IF(OR(F487="Vastgesteld",F487="Concept"),1,0))</f>
        <v/>
      </c>
      <c r="I487" s="15" t="str">
        <f>IF(A487="","",IFERROR(INDEX(Map_Type,MATCH(A487,Map_WBS,0)),"n.b."))</f>
        <v/>
      </c>
    </row>
    <row r="488">
      <c r="H488" s="15" t="str">
        <f>IF(E488="","",IF(OR(F488="Vastgesteld",F488="Concept"),1,0))</f>
        <v/>
      </c>
      <c r="I488" s="15" t="str">
        <f>IF(A488="","",IFERROR(INDEX(Map_Type,MATCH(A488,Map_WBS,0)),"n.b."))</f>
        <v/>
      </c>
    </row>
    <row r="489">
      <c r="H489" s="15" t="str">
        <f>IF(E489="","",IF(OR(F489="Vastgesteld",F489="Concept"),1,0))</f>
        <v/>
      </c>
      <c r="I489" s="15" t="str">
        <f>IF(A489="","",IFERROR(INDEX(Map_Type,MATCH(A489,Map_WBS,0)),"n.b."))</f>
        <v/>
      </c>
    </row>
    <row r="490">
      <c r="H490" s="15" t="str">
        <f>IF(E490="","",IF(OR(F490="Vastgesteld",F490="Concept"),1,0))</f>
        <v/>
      </c>
      <c r="I490" s="15" t="str">
        <f>IF(A490="","",IFERROR(INDEX(Map_Type,MATCH(A490,Map_WBS,0)),"n.b."))</f>
        <v/>
      </c>
    </row>
    <row r="491">
      <c r="H491" s="15" t="str">
        <f>IF(E491="","",IF(OR(F491="Vastgesteld",F491="Concept"),1,0))</f>
        <v/>
      </c>
      <c r="I491" s="15" t="str">
        <f>IF(A491="","",IFERROR(INDEX(Map_Type,MATCH(A491,Map_WBS,0)),"n.b."))</f>
        <v/>
      </c>
    </row>
    <row r="492">
      <c r="H492" s="15" t="str">
        <f>IF(E492="","",IF(OR(F492="Vastgesteld",F492="Concept"),1,0))</f>
        <v/>
      </c>
      <c r="I492" s="15" t="str">
        <f>IF(A492="","",IFERROR(INDEX(Map_Type,MATCH(A492,Map_WBS,0)),"n.b."))</f>
        <v/>
      </c>
    </row>
    <row r="493">
      <c r="H493" s="15" t="str">
        <f>IF(E493="","",IF(OR(F493="Vastgesteld",F493="Concept"),1,0))</f>
        <v/>
      </c>
      <c r="I493" s="15" t="str">
        <f>IF(A493="","",IFERROR(INDEX(Map_Type,MATCH(A493,Map_WBS,0)),"n.b."))</f>
        <v/>
      </c>
    </row>
    <row r="494">
      <c r="H494" s="15" t="str">
        <f>IF(E494="","",IF(OR(F494="Vastgesteld",F494="Concept"),1,0))</f>
        <v/>
      </c>
      <c r="I494" s="15" t="str">
        <f>IF(A494="","",IFERROR(INDEX(Map_Type,MATCH(A494,Map_WBS,0)),"n.b."))</f>
        <v/>
      </c>
    </row>
    <row r="495">
      <c r="H495" s="15" t="str">
        <f>IF(E495="","",IF(OR(F495="Vastgesteld",F495="Concept"),1,0))</f>
        <v/>
      </c>
      <c r="I495" s="15" t="str">
        <f>IF(A495="","",IFERROR(INDEX(Map_Type,MATCH(A495,Map_WBS,0)),"n.b."))</f>
        <v/>
      </c>
    </row>
    <row r="496">
      <c r="H496" s="15" t="str">
        <f>IF(E496="","",IF(OR(F496="Vastgesteld",F496="Concept"),1,0))</f>
        <v/>
      </c>
      <c r="I496" s="15" t="str">
        <f>IF(A496="","",IFERROR(INDEX(Map_Type,MATCH(A496,Map_WBS,0)),"n.b."))</f>
        <v/>
      </c>
    </row>
    <row r="497">
      <c r="H497" s="15" t="str">
        <f>IF(E497="","",IF(OR(F497="Vastgesteld",F497="Concept"),1,0))</f>
        <v/>
      </c>
      <c r="I497" s="15" t="str">
        <f>IF(A497="","",IFERROR(INDEX(Map_Type,MATCH(A497,Map_WBS,0)),"n.b."))</f>
        <v/>
      </c>
    </row>
    <row r="498">
      <c r="H498" s="15" t="str">
        <f>IF(E498="","",IF(OR(F498="Vastgesteld",F498="Concept"),1,0))</f>
        <v/>
      </c>
      <c r="I498" s="15" t="str">
        <f>IF(A498="","",IFERROR(INDEX(Map_Type,MATCH(A498,Map_WBS,0)),"n.b."))</f>
        <v/>
      </c>
    </row>
    <row r="499">
      <c r="H499" s="15" t="str">
        <f>IF(E499="","",IF(OR(F499="Vastgesteld",F499="Concept"),1,0))</f>
        <v/>
      </c>
      <c r="I499" s="15" t="str">
        <f>IF(A499="","",IFERROR(INDEX(Map_Type,MATCH(A499,Map_WBS,0)),"n.b."))</f>
        <v/>
      </c>
    </row>
    <row r="500">
      <c r="H500" s="15" t="str">
        <f>IF(E500="","",IF(OR(F500="Vastgesteld",F500="Concept"),1,0))</f>
        <v/>
      </c>
      <c r="I500" s="15" t="str">
        <f>IF(A500="","",IFERROR(INDEX(Map_Type,MATCH(A500,Map_WBS,0)),"n.b."))</f>
        <v/>
      </c>
    </row>
    <row r="501">
      <c r="H501" s="15" t="str">
        <f>IF(E501="","",IF(OR(F501="Vastgesteld",F501="Concept"),1,0))</f>
        <v/>
      </c>
      <c r="I501" s="15" t="str">
        <f>IF(A501="","",IFERROR(INDEX(Map_Type,MATCH(A501,Map_WBS,0)),"n.b."))</f>
        <v/>
      </c>
    </row>
    <row r="502">
      <c r="H502" s="15" t="str">
        <f>IF(E502="","",IF(OR(F502="Vastgesteld",F502="Concept"),1,0))</f>
        <v/>
      </c>
      <c r="I502" s="15" t="str">
        <f>IF(A502="","",IFERROR(INDEX(Map_Type,MATCH(A502,Map_WBS,0)),"n.b."))</f>
        <v/>
      </c>
    </row>
    <row r="503">
      <c r="H503" s="15" t="str">
        <f>IF(E503="","",IF(OR(F503="Vastgesteld",F503="Concept"),1,0))</f>
        <v/>
      </c>
      <c r="I503" s="15" t="str">
        <f>IF(A503="","",IFERROR(INDEX(Map_Type,MATCH(A503,Map_WBS,0)),"n.b."))</f>
        <v/>
      </c>
    </row>
    <row r="504">
      <c r="H504" s="15" t="str">
        <f>IF(E504="","",IF(OR(F504="Vastgesteld",F504="Concept"),1,0))</f>
        <v/>
      </c>
      <c r="I504" s="15" t="str">
        <f>IF(A504="","",IFERROR(INDEX(Map_Type,MATCH(A504,Map_WBS,0)),"n.b."))</f>
        <v/>
      </c>
    </row>
    <row r="505">
      <c r="H505" s="15" t="str">
        <f>IF(E505="","",IF(OR(F505="Vastgesteld",F505="Concept"),1,0))</f>
        <v/>
      </c>
      <c r="I505" s="15" t="str">
        <f>IF(A505="","",IFERROR(INDEX(Map_Type,MATCH(A505,Map_WBS,0)),"n.b."))</f>
        <v/>
      </c>
    </row>
  </sheetData>
  <dataValidations count="3">
    <dataValidation sqref="C6:C505" showDropDown="0" showInputMessage="0" showErrorMessage="1" allowBlank="1" error="Kies een waarde uit de lijst." type="list">
      <formula1>"Q1,Q2,Q3,Q4"</formula1>
    </dataValidation>
    <dataValidation sqref="D6:D505" showDropDown="0" showInputMessage="0" showErrorMessage="1" allowBlank="1" error="Kies een waarde uit de lijst." type="list">
      <formula1>"Belegger,Particulier"</formula1>
    </dataValidation>
    <dataValidation sqref="F6:F505" showDropDown="0" showInputMessage="0" showErrorMessage="1" allowBlank="1" error="Kies een waarde uit de lijst." type="list">
      <formula1>"Vastgesteld,Concept,Voorbeeld"</formula1>
    </dataValidation>
  </dataValidation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1F4E9A"/>
    <outlinePr summaryBelow="1" summaryRight="1"/>
    <pageSetUpPr/>
  </sheetPr>
  <dimension ref="A1:J24"/>
  <sheetViews>
    <sheetView showGridLines="0" zoomScale="100" workbookViewId="0">
      <pane ySplit="4" topLeftCell="A5" activePane="bottomLeft" state="frozen"/>
      <selection pane="bottomLeft" activeCell="A1" sqref="A1"/>
    </sheetView>
  </sheetViews>
  <sheetFormatPr baseColWidth="8" defaultRowHeight="15"/>
  <cols>
    <col width="18" customWidth="1" min="1" max="1"/>
    <col width="15" customWidth="1" min="2" max="2"/>
    <col width="30" customWidth="1" min="3" max="3"/>
    <col width="14" customWidth="1" min="4" max="4"/>
    <col width="10" customWidth="1" min="5" max="5"/>
    <col width="12" customWidth="1" min="6" max="6"/>
    <col width="11" customWidth="1" min="7" max="7"/>
    <col width="15" customWidth="1" min="8" max="8"/>
    <col width="4" customWidth="1" min="9" max="9"/>
    <col width="70" customWidth="1" min="10" max="10"/>
  </cols>
  <sheetData>
    <row r="1" ht="28" customHeight="1">
      <c r="A1" s="1" t="n"/>
      <c r="B1" s="2" t="inlineStr">
        <is>
          <t>Projectmapping</t>
        </is>
      </c>
      <c r="C1" s="1" t="n"/>
      <c r="D1" s="1" t="n"/>
      <c r="E1" s="1" t="n"/>
      <c r="F1" s="1" t="n"/>
      <c r="G1" s="1" t="n"/>
      <c r="H1" s="1" t="n"/>
      <c r="I1" s="1" t="n"/>
    </row>
    <row r="2">
      <c r="B2" s="3" t="inlineStr">
        <is>
          <t>Eén regel per WBS-element. Koppelsleutel = WBS-element (ZPMW03) = Stufe 3 (Woningetalage). Nooit op omschrijving koppelen.</t>
        </is>
      </c>
    </row>
    <row r="4" ht="32" customHeight="1">
      <c r="A4" s="32" t="inlineStr">
        <is>
          <t>WBS-element</t>
        </is>
      </c>
      <c r="B4" s="33" t="inlineStr">
        <is>
          <t>Projectdefinitie</t>
        </is>
      </c>
      <c r="C4" s="33" t="inlineStr">
        <is>
          <t>Projectnaam</t>
        </is>
      </c>
      <c r="D4" s="33" t="inlineStr">
        <is>
          <t>Aantal woningen op aandeelbasis</t>
        </is>
      </c>
      <c r="E4" s="33" t="inlineStr">
        <is>
          <t>Aandeel procent</t>
        </is>
      </c>
      <c r="F4" s="33" t="inlineStr">
        <is>
          <t>Type</t>
        </is>
      </c>
      <c r="G4" s="33" t="inlineStr">
        <is>
          <t>Woningen meetellen</t>
        </is>
      </c>
      <c r="H4" s="33" t="inlineStr">
        <is>
          <t>Segment demo</t>
        </is>
      </c>
      <c r="J4" s="31" t="inlineStr">
        <is>
          <t>Toelichting</t>
        </is>
      </c>
    </row>
    <row r="5">
      <c r="A5" s="105" t="inlineStr">
        <is>
          <t>G.900001.8.9090</t>
        </is>
      </c>
      <c r="B5" s="105" t="inlineStr">
        <is>
          <t>G.900001</t>
        </is>
      </c>
      <c r="C5" s="105" t="inlineStr">
        <is>
          <t>Lindehaven, Parkzoom fase 1</t>
        </is>
      </c>
      <c r="D5" s="105" t="n">
        <v>32</v>
      </c>
      <c r="E5" s="105" t="n">
        <v>100</v>
      </c>
      <c r="F5" s="105" t="inlineStr">
        <is>
          <t>Opstal</t>
        </is>
      </c>
      <c r="G5" s="105" t="inlineStr">
        <is>
          <t>Ja</t>
        </is>
      </c>
      <c r="H5" s="105" t="inlineStr">
        <is>
          <t>Grondgebonden</t>
        </is>
      </c>
      <c r="J5" s="18" t="inlineStr">
        <is>
          <t>• Bron: RDFO_FICTIEVE_historie_en_mapping.xlsx (tab Projectmapping).</t>
        </is>
      </c>
    </row>
    <row r="6">
      <c r="A6" s="105" t="inlineStr">
        <is>
          <t>G.900002.8.9090</t>
        </is>
      </c>
      <c r="B6" s="105" t="inlineStr">
        <is>
          <t>G.900002</t>
        </is>
      </c>
      <c r="C6" s="105" t="inlineStr">
        <is>
          <t>Duinwaard, De Watergaarde</t>
        </is>
      </c>
      <c r="D6" s="105" t="n">
        <v>48</v>
      </c>
      <c r="E6" s="105" t="n">
        <v>100</v>
      </c>
      <c r="F6" s="105" t="inlineStr">
        <is>
          <t>Opstal</t>
        </is>
      </c>
      <c r="G6" s="105" t="inlineStr">
        <is>
          <t>Ja</t>
        </is>
      </c>
      <c r="H6" s="105" t="inlineStr">
        <is>
          <t>Appartement</t>
        </is>
      </c>
      <c r="J6" s="18" t="inlineStr">
        <is>
          <t>• Nieuw project in ZPMW03? Voeg hier een regel toe (de tabel groeit mee; formules lopen t/m rij 104).</t>
        </is>
      </c>
    </row>
    <row r="7">
      <c r="A7" s="105" t="inlineStr">
        <is>
          <t>G.900003.8.9090</t>
        </is>
      </c>
      <c r="B7" s="105" t="inlineStr">
        <is>
          <t>G.900003</t>
        </is>
      </c>
      <c r="C7" s="105" t="inlineStr">
        <is>
          <t>Veldendam, Stationshof</t>
        </is>
      </c>
      <c r="D7" s="105" t="n">
        <v>76</v>
      </c>
      <c r="E7" s="105" t="n">
        <v>100</v>
      </c>
      <c r="F7" s="105" t="inlineStr">
        <is>
          <t>Opstal</t>
        </is>
      </c>
      <c r="G7" s="105" t="inlineStr">
        <is>
          <t>Ja</t>
        </is>
      </c>
      <c r="H7" s="105" t="inlineStr">
        <is>
          <t>Grondgebonden</t>
        </is>
      </c>
      <c r="J7" s="18" t="inlineStr">
        <is>
          <t>• Type (Opstal/Deelneming) en Segment zijn mappingdimensies — niet afgeleid uit IFRS J/N.</t>
        </is>
      </c>
    </row>
    <row r="8">
      <c r="A8" s="105" t="inlineStr">
        <is>
          <t>G.900004.8.9090</t>
        </is>
      </c>
      <c r="B8" s="105" t="inlineStr">
        <is>
          <t>G.900004</t>
        </is>
      </c>
      <c r="C8" s="105" t="inlineStr">
        <is>
          <t>Meerhovenstad, Het Kompas</t>
        </is>
      </c>
      <c r="D8" s="105" t="n">
        <v>24</v>
      </c>
      <c r="E8" s="105" t="n">
        <v>50</v>
      </c>
      <c r="F8" s="105" t="inlineStr">
        <is>
          <t>Deelneming</t>
        </is>
      </c>
      <c r="G8" s="105" t="inlineStr">
        <is>
          <t>Ja</t>
        </is>
      </c>
      <c r="H8" s="105" t="inlineStr">
        <is>
          <t>Appartement</t>
        </is>
      </c>
      <c r="J8" s="18" t="inlineStr">
        <is>
          <t>• 'Aandeel procent' is informatief. Bedragen en woningaantallen zijn in de demo al op aandeelbasis: NIET opnieuw toepassen.</t>
        </is>
      </c>
    </row>
    <row r="9">
      <c r="A9" s="105" t="inlineStr">
        <is>
          <t>G.900005.8.9090</t>
        </is>
      </c>
      <c r="B9" s="105" t="inlineStr">
        <is>
          <t>G.900005</t>
        </is>
      </c>
      <c r="C9" s="105" t="inlineStr">
        <is>
          <t>Zilverdam, Kadezicht</t>
        </is>
      </c>
      <c r="D9" s="105" t="n">
        <v>120</v>
      </c>
      <c r="E9" s="105" t="n">
        <v>100</v>
      </c>
      <c r="F9" s="105" t="inlineStr">
        <is>
          <t>Opstal</t>
        </is>
      </c>
      <c r="G9" s="105" t="inlineStr">
        <is>
          <t>Ja</t>
        </is>
      </c>
      <c r="H9" s="105" t="inlineStr">
        <is>
          <t>Grondgebonden</t>
        </is>
      </c>
      <c r="J9" s="18" t="inlineStr">
        <is>
          <t>• 'Segment demo' is een fictieve demo-indeling, geen broninformatie.</t>
        </is>
      </c>
    </row>
    <row r="10">
      <c r="A10" s="105" t="inlineStr">
        <is>
          <t>G.900006.8.9090</t>
        </is>
      </c>
      <c r="B10" s="105" t="inlineStr">
        <is>
          <t>G.900006</t>
        </is>
      </c>
      <c r="C10" s="105" t="inlineStr">
        <is>
          <t>Boswaard, De Eiken</t>
        </is>
      </c>
      <c r="D10" s="105" t="n">
        <v>36</v>
      </c>
      <c r="E10" s="105" t="n">
        <v>100</v>
      </c>
      <c r="F10" s="105" t="inlineStr">
        <is>
          <t>Opstal</t>
        </is>
      </c>
      <c r="G10" s="105" t="inlineStr">
        <is>
          <t>Ja</t>
        </is>
      </c>
      <c r="H10" s="105" t="inlineStr">
        <is>
          <t>Appartement</t>
        </is>
      </c>
      <c r="J10" s="18" t="inlineStr">
        <is>
          <t>• Historische vastleggingen bewaren hun eigen projectnaam/type (kolommen L en M in Vastlegging), dus wijzigingen hier herschrijven de historie niet.</t>
        </is>
      </c>
    </row>
    <row r="11">
      <c r="A11" s="105" t="inlineStr">
        <is>
          <t>G.900007.8.9090</t>
        </is>
      </c>
      <c r="B11" s="105" t="inlineStr">
        <is>
          <t>G.900007</t>
        </is>
      </c>
      <c r="C11" s="105" t="inlineStr">
        <is>
          <t>Rietdam, Havenkwartier</t>
        </is>
      </c>
      <c r="D11" s="105" t="n">
        <v>64</v>
      </c>
      <c r="E11" s="105" t="n">
        <v>100</v>
      </c>
      <c r="F11" s="105" t="inlineStr">
        <is>
          <t>Opstal</t>
        </is>
      </c>
      <c r="G11" s="105" t="inlineStr">
        <is>
          <t>Ja</t>
        </is>
      </c>
      <c r="H11" s="105" t="inlineStr">
        <is>
          <t>Grondgebonden</t>
        </is>
      </c>
    </row>
    <row r="12">
      <c r="A12" s="105" t="inlineStr">
        <is>
          <t>G.900008.8.9090</t>
        </is>
      </c>
      <c r="B12" s="105" t="inlineStr">
        <is>
          <t>G.900008</t>
        </is>
      </c>
      <c r="C12" s="105" t="inlineStr">
        <is>
          <t>Lindehaven, De Brink</t>
        </is>
      </c>
      <c r="D12" s="105" t="n">
        <v>42</v>
      </c>
      <c r="E12" s="105" t="n">
        <v>100</v>
      </c>
      <c r="F12" s="105" t="inlineStr">
        <is>
          <t>Opstal</t>
        </is>
      </c>
      <c r="G12" s="105" t="inlineStr">
        <is>
          <t>Ja</t>
        </is>
      </c>
      <c r="H12" s="105" t="inlineStr">
        <is>
          <t>Appartement</t>
        </is>
      </c>
    </row>
    <row r="13">
      <c r="A13" s="105" t="inlineStr">
        <is>
          <t>G.900009.8.9090</t>
        </is>
      </c>
      <c r="B13" s="105" t="inlineStr">
        <is>
          <t>G.900009</t>
        </is>
      </c>
      <c r="C13" s="105" t="inlineStr">
        <is>
          <t>Duinwaard, Duinrand</t>
        </is>
      </c>
      <c r="D13" s="105" t="n">
        <v>88</v>
      </c>
      <c r="E13" s="105" t="n">
        <v>100</v>
      </c>
      <c r="F13" s="105" t="inlineStr">
        <is>
          <t>Opstal</t>
        </is>
      </c>
      <c r="G13" s="105" t="inlineStr">
        <is>
          <t>Ja</t>
        </is>
      </c>
      <c r="H13" s="105" t="inlineStr">
        <is>
          <t>Grondgebonden</t>
        </is>
      </c>
    </row>
    <row r="14">
      <c r="A14" s="105" t="inlineStr">
        <is>
          <t>G.900010.8.9090</t>
        </is>
      </c>
      <c r="B14" s="105" t="inlineStr">
        <is>
          <t>G.900010</t>
        </is>
      </c>
      <c r="C14" s="105" t="inlineStr">
        <is>
          <t>Veldendam, Groene Singel</t>
        </is>
      </c>
      <c r="D14" s="105" t="n">
        <v>54</v>
      </c>
      <c r="E14" s="105" t="n">
        <v>100</v>
      </c>
      <c r="F14" s="105" t="inlineStr">
        <is>
          <t>Opstal</t>
        </is>
      </c>
      <c r="G14" s="105" t="inlineStr">
        <is>
          <t>Ja</t>
        </is>
      </c>
      <c r="H14" s="105" t="inlineStr">
        <is>
          <t>Appartement</t>
        </is>
      </c>
    </row>
    <row r="15">
      <c r="A15" s="105" t="inlineStr">
        <is>
          <t>G.900011.8.9090</t>
        </is>
      </c>
      <c r="B15" s="105" t="inlineStr">
        <is>
          <t>G.900011</t>
        </is>
      </c>
      <c r="C15" s="105" t="inlineStr">
        <is>
          <t>Meerhovenstad, Hofstaete</t>
        </is>
      </c>
      <c r="D15" s="105" t="n">
        <v>96</v>
      </c>
      <c r="E15" s="105" t="n">
        <v>100</v>
      </c>
      <c r="F15" s="105" t="inlineStr">
        <is>
          <t>Opstal</t>
        </is>
      </c>
      <c r="G15" s="105" t="inlineStr">
        <is>
          <t>Ja</t>
        </is>
      </c>
      <c r="H15" s="105" t="inlineStr">
        <is>
          <t>Grondgebonden</t>
        </is>
      </c>
    </row>
    <row r="16">
      <c r="A16" s="105" t="inlineStr">
        <is>
          <t>G.900012.8.9090</t>
        </is>
      </c>
      <c r="B16" s="105" t="inlineStr">
        <is>
          <t>G.900012</t>
        </is>
      </c>
      <c r="C16" s="105" t="inlineStr">
        <is>
          <t>Zilverdam, De Werf</t>
        </is>
      </c>
      <c r="D16" s="105" t="n">
        <v>28</v>
      </c>
      <c r="E16" s="105" t="n">
        <v>50</v>
      </c>
      <c r="F16" s="105" t="inlineStr">
        <is>
          <t>Deelneming</t>
        </is>
      </c>
      <c r="G16" s="105" t="inlineStr">
        <is>
          <t>Ja</t>
        </is>
      </c>
      <c r="H16" s="105" t="inlineStr">
        <is>
          <t>Appartement</t>
        </is>
      </c>
    </row>
    <row r="17">
      <c r="A17" s="105" t="inlineStr">
        <is>
          <t>G.900013.8.9090</t>
        </is>
      </c>
      <c r="B17" s="105" t="inlineStr">
        <is>
          <t>G.900013</t>
        </is>
      </c>
      <c r="C17" s="105" t="inlineStr">
        <is>
          <t>Boswaard, Boskamers</t>
        </is>
      </c>
      <c r="D17" s="105" t="n">
        <v>60</v>
      </c>
      <c r="E17" s="105" t="n">
        <v>100</v>
      </c>
      <c r="F17" s="105" t="inlineStr">
        <is>
          <t>Opstal</t>
        </is>
      </c>
      <c r="G17" s="105" t="inlineStr">
        <is>
          <t>Ja</t>
        </is>
      </c>
      <c r="H17" s="105" t="inlineStr">
        <is>
          <t>Grondgebonden</t>
        </is>
      </c>
    </row>
    <row r="18">
      <c r="A18" s="105" t="inlineStr">
        <is>
          <t>G.900014.8.9090</t>
        </is>
      </c>
      <c r="B18" s="105" t="inlineStr">
        <is>
          <t>G.900014</t>
        </is>
      </c>
      <c r="C18" s="105" t="inlineStr">
        <is>
          <t>Rietdam, Rietoevers</t>
        </is>
      </c>
      <c r="D18" s="105" t="n">
        <v>72</v>
      </c>
      <c r="E18" s="105" t="n">
        <v>100</v>
      </c>
      <c r="F18" s="105" t="inlineStr">
        <is>
          <t>Opstal</t>
        </is>
      </c>
      <c r="G18" s="105" t="inlineStr">
        <is>
          <t>Ja</t>
        </is>
      </c>
      <c r="H18" s="105" t="inlineStr">
        <is>
          <t>Appartement</t>
        </is>
      </c>
    </row>
    <row r="19">
      <c r="A19" s="105" t="inlineStr">
        <is>
          <t>G.900015.8.9090</t>
        </is>
      </c>
      <c r="B19" s="105" t="inlineStr">
        <is>
          <t>G.900015</t>
        </is>
      </c>
      <c r="C19" s="105" t="inlineStr">
        <is>
          <t>Lindehaven, Parkzoom fase 2</t>
        </is>
      </c>
      <c r="D19" s="105" t="n">
        <v>110</v>
      </c>
      <c r="E19" s="105" t="n">
        <v>100</v>
      </c>
      <c r="F19" s="105" t="inlineStr">
        <is>
          <t>Opstal</t>
        </is>
      </c>
      <c r="G19" s="105" t="inlineStr">
        <is>
          <t>Ja</t>
        </is>
      </c>
      <c r="H19" s="105" t="inlineStr">
        <is>
          <t>Grondgebonden</t>
        </is>
      </c>
    </row>
    <row r="20">
      <c r="A20" s="105" t="inlineStr">
        <is>
          <t>G.900016.8.9090</t>
        </is>
      </c>
      <c r="B20" s="105" t="inlineStr">
        <is>
          <t>G.900016</t>
        </is>
      </c>
      <c r="C20" s="105" t="inlineStr">
        <is>
          <t>Duinwaard, De Lantaarn</t>
        </is>
      </c>
      <c r="D20" s="105" t="n">
        <v>40</v>
      </c>
      <c r="E20" s="105" t="n">
        <v>100</v>
      </c>
      <c r="F20" s="105" t="inlineStr">
        <is>
          <t>Opstal</t>
        </is>
      </c>
      <c r="G20" s="105" t="inlineStr">
        <is>
          <t>Ja</t>
        </is>
      </c>
      <c r="H20" s="105" t="inlineStr">
        <is>
          <t>Appartement</t>
        </is>
      </c>
    </row>
    <row r="21">
      <c r="A21" s="105" t="inlineStr">
        <is>
          <t>G.900017.8.9090</t>
        </is>
      </c>
      <c r="B21" s="105" t="inlineStr">
        <is>
          <t>G.900017</t>
        </is>
      </c>
      <c r="C21" s="105" t="inlineStr">
        <is>
          <t>Veldendam, Spoorpark</t>
        </is>
      </c>
      <c r="D21" s="105" t="n">
        <v>84</v>
      </c>
      <c r="E21" s="105" t="n">
        <v>100</v>
      </c>
      <c r="F21" s="105" t="inlineStr">
        <is>
          <t>Opstal</t>
        </is>
      </c>
      <c r="G21" s="105" t="inlineStr">
        <is>
          <t>Ja</t>
        </is>
      </c>
      <c r="H21" s="105" t="inlineStr">
        <is>
          <t>Grondgebonden</t>
        </is>
      </c>
    </row>
    <row r="22">
      <c r="A22" s="105" t="inlineStr">
        <is>
          <t>G.900018.8.9090</t>
        </is>
      </c>
      <c r="B22" s="105" t="inlineStr">
        <is>
          <t>G.900018</t>
        </is>
      </c>
      <c r="C22" s="105" t="inlineStr">
        <is>
          <t>Meerhovenstad, De Boog</t>
        </is>
      </c>
      <c r="D22" s="105" t="n">
        <v>56</v>
      </c>
      <c r="E22" s="105" t="n">
        <v>50</v>
      </c>
      <c r="F22" s="105" t="inlineStr">
        <is>
          <t>Deelneming</t>
        </is>
      </c>
      <c r="G22" s="105" t="inlineStr">
        <is>
          <t>Ja</t>
        </is>
      </c>
      <c r="H22" s="105" t="inlineStr">
        <is>
          <t>Appartement</t>
        </is>
      </c>
    </row>
    <row r="23">
      <c r="A23" s="105" t="inlineStr">
        <is>
          <t>G.900019.8.9090</t>
        </is>
      </c>
      <c r="B23" s="105" t="inlineStr">
        <is>
          <t>G.900019</t>
        </is>
      </c>
      <c r="C23" s="105" t="inlineStr">
        <is>
          <t>Zilverdam, Havenlicht</t>
        </is>
      </c>
      <c r="D23" s="105" t="n">
        <v>30</v>
      </c>
      <c r="E23" s="105" t="n">
        <v>100</v>
      </c>
      <c r="F23" s="105" t="inlineStr">
        <is>
          <t>Opstal</t>
        </is>
      </c>
      <c r="G23" s="105" t="inlineStr">
        <is>
          <t>Ja</t>
        </is>
      </c>
      <c r="H23" s="105" t="inlineStr">
        <is>
          <t>Grondgebonden</t>
        </is>
      </c>
    </row>
    <row r="24">
      <c r="A24" s="105" t="inlineStr">
        <is>
          <t>G.900020.8.9090</t>
        </is>
      </c>
      <c r="B24" s="105" t="inlineStr">
        <is>
          <t>G.900020</t>
        </is>
      </c>
      <c r="C24" s="105" t="inlineStr">
        <is>
          <t>Boswaard, Parkeergebouw</t>
        </is>
      </c>
      <c r="D24" s="105" t="n">
        <v>0</v>
      </c>
      <c r="E24" s="105" t="n">
        <v>100</v>
      </c>
      <c r="F24" s="105" t="inlineStr">
        <is>
          <t>Opstal</t>
        </is>
      </c>
      <c r="G24" s="105" t="inlineStr">
        <is>
          <t>Nee</t>
        </is>
      </c>
      <c r="H24" s="105" t="inlineStr">
        <is>
          <t>Appartement</t>
        </is>
      </c>
    </row>
  </sheetData>
  <dataValidations count="2">
    <dataValidation sqref="F5:F104" showDropDown="0" showInputMessage="0" showErrorMessage="1" allowBlank="1" error="Kies een waarde uit de lijst." type="list">
      <formula1>"Opstal,Deelneming"</formula1>
    </dataValidation>
    <dataValidation sqref="G5:G104" showDropDown="0" showInputMessage="0" showErrorMessage="1" allowBlank="1" error="Kies een waarde uit de lijst." type="list">
      <formula1>"Ja,Nee"</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2E7D32"/>
    <outlinePr summaryBelow="1" summaryRight="1"/>
    <pageSetUpPr/>
  </sheetPr>
  <dimension ref="A1:V500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2" customWidth="1" min="2" max="2"/>
    <col width="10" customWidth="1" min="3" max="3"/>
    <col width="11" customWidth="1" min="4" max="4"/>
    <col width="8" customWidth="1" min="5" max="5"/>
    <col width="7" customWidth="1" min="6" max="6"/>
    <col width="6" customWidth="1" min="7" max="7"/>
    <col width="10" customWidth="1" min="8" max="8"/>
    <col width="7" customWidth="1" min="9" max="9"/>
    <col width="16" customWidth="1" min="10" max="10"/>
    <col width="10" customWidth="1" min="11" max="11"/>
    <col width="24" customWidth="1" min="12" max="12"/>
    <col width="10" customWidth="1" min="13" max="13"/>
    <col width="5" customWidth="1" min="14" max="14"/>
    <col width="24" customWidth="1" min="15" max="15"/>
    <col width="13" customWidth="1" min="16" max="16"/>
    <col width="7" customWidth="1" min="17" max="17"/>
    <col width="40" customWidth="1" min="18" max="18"/>
    <col width="30" customWidth="1" min="19" max="19"/>
    <col width="6" customWidth="1" min="20" max="20"/>
    <col width="6" customWidth="1" min="21" max="21"/>
    <col width="6" customWidth="1" min="22" max="22"/>
  </cols>
  <sheetData>
    <row r="1" ht="28" customHeight="1">
      <c r="A1" s="1" t="n"/>
      <c r="B1" s="2" t="inlineStr">
        <is>
          <t>Vastlegging — versiegrootboek (alleen toevoegen, nooit overschrijven)</t>
        </is>
      </c>
      <c r="C1" s="1" t="n"/>
      <c r="D1" s="1" t="n"/>
      <c r="E1" s="1" t="n"/>
      <c r="F1" s="1" t="n"/>
      <c r="G1" s="1" t="n"/>
      <c r="H1" s="1" t="n"/>
      <c r="I1" s="1" t="n"/>
      <c r="J1" s="1" t="n"/>
      <c r="K1" s="1" t="n"/>
      <c r="L1" s="1" t="n"/>
      <c r="M1" s="1" t="n"/>
      <c r="N1" s="1" t="n"/>
      <c r="O1" s="1" t="n"/>
      <c r="P1" s="1" t="n"/>
      <c r="Q1" s="1" t="n"/>
      <c r="R1" s="1" t="n"/>
      <c r="S1" s="1" t="n"/>
      <c r="T1" s="1" t="n"/>
      <c r="U1" s="1" t="n"/>
      <c r="V1" s="1" t="n"/>
    </row>
    <row r="2">
      <c r="B2" s="3" t="inlineStr">
        <is>
          <t>Plak nieuwe regels als WAARDEN onder de laatste regel (zie Vastleggen). Bestaande regels niet wijzigen: correcties = nieuwe regel met hogere revisie + toelichting.</t>
        </is>
      </c>
    </row>
    <row r="3">
      <c r="B3" s="17" t="inlineStr">
        <is>
          <t>Eerste vrije rij:</t>
        </is>
      </c>
      <c r="D3" s="6">
        <f>SUMPRODUCT(MAX((L_WBS&lt;&gt;"")*ROW(L_WBS)))+1</f>
        <v>866</v>
      </c>
      <c r="F3" s="17" t="inlineStr">
        <is>
          <t>Actieve regels:</t>
        </is>
      </c>
      <c r="H3">
        <f>SUM(L_Actief)</f>
        <v>860</v>
      </c>
      <c r="J3" s="17" t="inlineStr">
        <is>
          <t>Genegeerde dubbele regels:</t>
        </is>
      </c>
      <c r="M3">
        <f>SUM(L_Dubbel)</f>
        <v>0</v>
      </c>
    </row>
    <row r="5" ht="30" customHeight="1">
      <c r="A5" s="32" t="inlineStr">
        <is>
          <t>ImportID</t>
        </is>
      </c>
      <c r="B5" s="33" t="inlineStr">
        <is>
          <t>Bronbestand</t>
        </is>
      </c>
      <c r="C5" s="33" t="inlineStr">
        <is>
          <t>Importdatum</t>
        </is>
      </c>
      <c r="D5" s="33" t="inlineStr">
        <is>
          <t>Status</t>
        </is>
      </c>
      <c r="E5" s="33" t="inlineStr">
        <is>
          <t>Versiejaar</t>
        </is>
      </c>
      <c r="F5" s="33" t="inlineStr">
        <is>
          <t>Versie</t>
        </is>
      </c>
      <c r="G5" s="33" t="inlineStr">
        <is>
          <t>Revisie</t>
        </is>
      </c>
      <c r="H5" s="33" t="inlineStr">
        <is>
          <t>Peildatum</t>
        </is>
      </c>
      <c r="I5" s="33" t="inlineStr">
        <is>
          <t>Doeljaar</t>
        </is>
      </c>
      <c r="J5" s="33" t="inlineStr">
        <is>
          <t>WBS</t>
        </is>
      </c>
      <c r="K5" s="33" t="inlineStr">
        <is>
          <t>Projectdefinitie</t>
        </is>
      </c>
      <c r="L5" s="33" t="inlineStr">
        <is>
          <t>Projectnaam</t>
        </is>
      </c>
      <c r="M5" s="33" t="inlineStr">
        <is>
          <t>Type</t>
        </is>
      </c>
      <c r="N5" s="33" t="inlineStr">
        <is>
          <t>IFRS</t>
        </is>
      </c>
      <c r="O5" s="33" t="inlineStr">
        <is>
          <t>Kengetal</t>
        </is>
      </c>
      <c r="P5" s="33" t="inlineStr">
        <is>
          <t>Waarde</t>
        </is>
      </c>
      <c r="Q5" s="33" t="inlineStr">
        <is>
          <t>Eenheid</t>
        </is>
      </c>
      <c r="R5" s="33" t="inlineStr">
        <is>
          <t>Toelichting</t>
        </is>
      </c>
      <c r="S5" s="104" t="inlineStr">
        <is>
          <t>Sleutel</t>
        </is>
      </c>
      <c r="T5" s="104" t="inlineStr">
        <is>
          <t>MaxRev</t>
        </is>
      </c>
      <c r="U5" s="104" t="inlineStr">
        <is>
          <t>Actief</t>
        </is>
      </c>
      <c r="V5" s="104" t="inlineStr">
        <is>
          <t>Dubbel</t>
        </is>
      </c>
    </row>
    <row r="6">
      <c r="A6" s="92" t="inlineStr">
        <is>
          <t>HIST-2026-Budget</t>
        </is>
      </c>
      <c r="B6" s="92" t="inlineStr">
        <is>
          <t>RDFO_FICTIEVE_historie_en_mapping.xlsx</t>
        </is>
      </c>
      <c r="C6" s="108" t="n">
        <v>46324</v>
      </c>
      <c r="D6" s="92" t="inlineStr">
        <is>
          <t>Vastgesteld</t>
        </is>
      </c>
      <c r="E6" s="92" t="n">
        <v>2026</v>
      </c>
      <c r="F6" s="92" t="inlineStr">
        <is>
          <t>Budget</t>
        </is>
      </c>
      <c r="G6" s="92" t="n">
        <v>0</v>
      </c>
      <c r="H6" s="108" t="n">
        <v>46022</v>
      </c>
      <c r="I6" s="92" t="n">
        <v>2026</v>
      </c>
      <c r="J6" s="92" t="inlineStr">
        <is>
          <t>G.900001.8.9090</t>
        </is>
      </c>
      <c r="K6" s="92" t="inlineStr">
        <is>
          <t>G.900001</t>
        </is>
      </c>
      <c r="L6" s="92" t="inlineStr">
        <is>
          <t>Lindehaven, Parkzoom fase 1</t>
        </is>
      </c>
      <c r="M6" s="92" t="inlineStr">
        <is>
          <t>Opstal</t>
        </is>
      </c>
      <c r="N6" s="92" t="inlineStr">
        <is>
          <t>J</t>
        </is>
      </c>
      <c r="O6" s="92" t="inlineStr">
        <is>
          <t>Omzet FY</t>
        </is>
      </c>
      <c r="P6" s="109" t="n">
        <v>6152960</v>
      </c>
      <c r="Q6" s="92" t="inlineStr">
        <is>
          <t>EUR</t>
        </is>
      </c>
      <c r="R6" s="92" t="inlineStr">
        <is>
          <t>Synthetische vastgelegde invoer; geen echte historie</t>
        </is>
      </c>
      <c r="S6" s="15" t="str">
        <f>IF(J6="","",J6&amp;"|"&amp;E6&amp;"|"&amp;F6&amp;"|"&amp;I6&amp;"|"&amp;O6)</f>
        <v>G.900001.8.9090|2026|Budget|2026|Omzet FY</v>
      </c>
      <c r="T6" s="15">
        <f>IF(OR(S6="",D6&lt;&gt;"Vastgesteld"),"",_xlfn.MAXIFS($G$6:$G$5005,$S$6:$S$5005,S6,$D$6:$D$5005,"Vastgesteld"))</f>
        <v>0</v>
      </c>
      <c r="U6" s="15">
        <f>IF(T6="",0,IF(AND(G6=T6,COUNTIFS($S$6:S6,S6,$G$6:G6,G6,$D$6:D6,"Vastgesteld")=1),1,0))</f>
        <v>1</v>
      </c>
      <c r="V6" s="15">
        <f>IF(T6="",0,IF(AND(G6=T6,COUNTIFS($S$6:S6,S6,$G$6:G6,G6,$D$6:D6,"Vastgesteld")&gt;1),1,0))</f>
        <v>0</v>
      </c>
    </row>
    <row r="7">
      <c r="A7" s="92" t="inlineStr">
        <is>
          <t>HIST-2026-Budget</t>
        </is>
      </c>
      <c r="B7" s="92" t="inlineStr">
        <is>
          <t>RDFO_FICTIEVE_historie_en_mapping.xlsx</t>
        </is>
      </c>
      <c r="C7" s="108" t="n">
        <v>46324</v>
      </c>
      <c r="D7" s="92" t="inlineStr">
        <is>
          <t>Vastgesteld</t>
        </is>
      </c>
      <c r="E7" s="92" t="n">
        <v>2026</v>
      </c>
      <c r="F7" s="92" t="inlineStr">
        <is>
          <t>Budget</t>
        </is>
      </c>
      <c r="G7" s="92" t="n">
        <v>0</v>
      </c>
      <c r="H7" s="108" t="n">
        <v>46022</v>
      </c>
      <c r="I7" s="92" t="n">
        <v>2026</v>
      </c>
      <c r="J7" s="92" t="inlineStr">
        <is>
          <t>G.900001.8.9090</t>
        </is>
      </c>
      <c r="K7" s="92" t="inlineStr">
        <is>
          <t>G.900001</t>
        </is>
      </c>
      <c r="L7" s="92" t="inlineStr">
        <is>
          <t>Lindehaven, Parkzoom fase 1</t>
        </is>
      </c>
      <c r="M7" s="92" t="inlineStr">
        <is>
          <t>Opstal</t>
        </is>
      </c>
      <c r="N7" s="92" t="inlineStr">
        <is>
          <t>J</t>
        </is>
      </c>
      <c r="O7" s="92" t="inlineStr">
        <is>
          <t>BOR FY</t>
        </is>
      </c>
      <c r="P7" s="109" t="n">
        <v>553766.4</v>
      </c>
      <c r="Q7" s="92" t="inlineStr">
        <is>
          <t>EUR</t>
        </is>
      </c>
      <c r="R7" s="92" t="inlineStr">
        <is>
          <t>Synthetische vastgelegde invoer; geen echte historie</t>
        </is>
      </c>
      <c r="S7" s="15" t="str">
        <f>IF(J7="","",J7&amp;"|"&amp;E7&amp;"|"&amp;F7&amp;"|"&amp;I7&amp;"|"&amp;O7)</f>
        <v>G.900001.8.9090|2026|Budget|2026|BOR FY</v>
      </c>
      <c r="T7" s="15">
        <f>IF(OR(S7="",D7&lt;&gt;"Vastgesteld"),"",_xlfn.MAXIFS($G$6:$G$5005,$S$6:$S$5005,S7,$D$6:$D$5005,"Vastgesteld"))</f>
        <v>0</v>
      </c>
      <c r="U7" s="15">
        <f>IF(T7="",0,IF(AND(G7=T7,COUNTIFS($S$6:S7,S7,$G$6:G7,G7,$D$6:D7,"Vastgesteld")=1),1,0))</f>
        <v>1</v>
      </c>
      <c r="V7" s="15">
        <f>IF(T7="",0,IF(AND(G7=T7,COUNTIFS($S$6:S7,S7,$G$6:G7,G7,$D$6:D7,"Vastgesteld")&gt;1),1,0))</f>
        <v>0</v>
      </c>
    </row>
    <row r="8">
      <c r="A8" s="92" t="inlineStr">
        <is>
          <t>HIST-2026-Budget</t>
        </is>
      </c>
      <c r="B8" s="92" t="inlineStr">
        <is>
          <t>RDFO_FICTIEVE_historie_en_mapping.xlsx</t>
        </is>
      </c>
      <c r="C8" s="108" t="n">
        <v>46324</v>
      </c>
      <c r="D8" s="92" t="inlineStr">
        <is>
          <t>Vastgesteld</t>
        </is>
      </c>
      <c r="E8" s="92" t="n">
        <v>2026</v>
      </c>
      <c r="F8" s="92" t="inlineStr">
        <is>
          <t>Budget</t>
        </is>
      </c>
      <c r="G8" s="92" t="n">
        <v>0</v>
      </c>
      <c r="H8" s="108" t="n">
        <v>46022</v>
      </c>
      <c r="I8" s="92" t="n">
        <v>2027</v>
      </c>
      <c r="J8" s="92" t="inlineStr">
        <is>
          <t>G.900001.8.9090</t>
        </is>
      </c>
      <c r="K8" s="92" t="inlineStr">
        <is>
          <t>G.900001</t>
        </is>
      </c>
      <c r="L8" s="92" t="inlineStr">
        <is>
          <t>Lindehaven, Parkzoom fase 1</t>
        </is>
      </c>
      <c r="M8" s="92" t="inlineStr">
        <is>
          <t>Opstal</t>
        </is>
      </c>
      <c r="N8" s="92" t="inlineStr">
        <is>
          <t>J</t>
        </is>
      </c>
      <c r="O8" s="92" t="inlineStr">
        <is>
          <t>Omzet FY</t>
        </is>
      </c>
      <c r="P8" s="109" t="n">
        <v>4946656</v>
      </c>
      <c r="Q8" s="92" t="inlineStr">
        <is>
          <t>EUR</t>
        </is>
      </c>
      <c r="R8" s="92" t="inlineStr">
        <is>
          <t>Synthetische vastgelegde invoer; geen echte historie</t>
        </is>
      </c>
      <c r="S8" s="15" t="str">
        <f>IF(J8="","",J8&amp;"|"&amp;E8&amp;"|"&amp;F8&amp;"|"&amp;I8&amp;"|"&amp;O8)</f>
        <v>G.900001.8.9090|2026|Budget|2027|Omzet FY</v>
      </c>
      <c r="T8" s="15">
        <f>IF(OR(S8="",D8&lt;&gt;"Vastgesteld"),"",_xlfn.MAXIFS($G$6:$G$5005,$S$6:$S$5005,S8,$D$6:$D$5005,"Vastgesteld"))</f>
        <v>0</v>
      </c>
      <c r="U8" s="15">
        <f>IF(T8="",0,IF(AND(G8=T8,COUNTIFS($S$6:S8,S8,$G$6:G8,G8,$D$6:D8,"Vastgesteld")=1),1,0))</f>
        <v>1</v>
      </c>
      <c r="V8" s="15">
        <f>IF(T8="",0,IF(AND(G8=T8,COUNTIFS($S$6:S8,S8,$G$6:G8,G8,$D$6:D8,"Vastgesteld")&gt;1),1,0))</f>
        <v>0</v>
      </c>
    </row>
    <row r="9">
      <c r="A9" s="92" t="inlineStr">
        <is>
          <t>HIST-2026-Budget</t>
        </is>
      </c>
      <c r="B9" s="92" t="inlineStr">
        <is>
          <t>RDFO_FICTIEVE_historie_en_mapping.xlsx</t>
        </is>
      </c>
      <c r="C9" s="108" t="n">
        <v>46324</v>
      </c>
      <c r="D9" s="92" t="inlineStr">
        <is>
          <t>Vastgesteld</t>
        </is>
      </c>
      <c r="E9" s="92" t="n">
        <v>2026</v>
      </c>
      <c r="F9" s="92" t="inlineStr">
        <is>
          <t>Budget</t>
        </is>
      </c>
      <c r="G9" s="92" t="n">
        <v>0</v>
      </c>
      <c r="H9" s="108" t="n">
        <v>46022</v>
      </c>
      <c r="I9" s="92" t="n">
        <v>2027</v>
      </c>
      <c r="J9" s="92" t="inlineStr">
        <is>
          <t>G.900001.8.9090</t>
        </is>
      </c>
      <c r="K9" s="92" t="inlineStr">
        <is>
          <t>G.900001</t>
        </is>
      </c>
      <c r="L9" s="92" t="inlineStr">
        <is>
          <t>Lindehaven, Parkzoom fase 1</t>
        </is>
      </c>
      <c r="M9" s="92" t="inlineStr">
        <is>
          <t>Opstal</t>
        </is>
      </c>
      <c r="N9" s="92" t="inlineStr">
        <is>
          <t>J</t>
        </is>
      </c>
      <c r="O9" s="92" t="inlineStr">
        <is>
          <t>BOR FY</t>
        </is>
      </c>
      <c r="P9" s="109" t="n">
        <v>445199.04</v>
      </c>
      <c r="Q9" s="92" t="inlineStr">
        <is>
          <t>EUR</t>
        </is>
      </c>
      <c r="R9" s="92" t="inlineStr">
        <is>
          <t>Synthetische vastgelegde invoer; geen echte historie</t>
        </is>
      </c>
      <c r="S9" s="15" t="str">
        <f>IF(J9="","",J9&amp;"|"&amp;E9&amp;"|"&amp;F9&amp;"|"&amp;I9&amp;"|"&amp;O9)</f>
        <v>G.900001.8.9090|2026|Budget|2027|BOR FY</v>
      </c>
      <c r="T9" s="15">
        <f>IF(OR(S9="",D9&lt;&gt;"Vastgesteld"),"",_xlfn.MAXIFS($G$6:$G$5005,$S$6:$S$5005,S9,$D$6:$D$5005,"Vastgesteld"))</f>
        <v>0</v>
      </c>
      <c r="U9" s="15">
        <f>IF(T9="",0,IF(AND(G9=T9,COUNTIFS($S$6:S9,S9,$G$6:G9,G9,$D$6:D9,"Vastgesteld")=1),1,0))</f>
        <v>1</v>
      </c>
      <c r="V9" s="15">
        <f>IF(T9="",0,IF(AND(G9=T9,COUNTIFS($S$6:S9,S9,$G$6:G9,G9,$D$6:D9,"Vastgesteld")&gt;1),1,0))</f>
        <v>0</v>
      </c>
    </row>
    <row r="10">
      <c r="A10" s="92" t="inlineStr">
        <is>
          <t>HIST-2026-Budget</t>
        </is>
      </c>
      <c r="B10" s="92" t="inlineStr">
        <is>
          <t>RDFO_FICTIEVE_historie_en_mapping.xlsx</t>
        </is>
      </c>
      <c r="C10" s="108" t="n">
        <v>46324</v>
      </c>
      <c r="D10" s="92" t="inlineStr">
        <is>
          <t>Vastgesteld</t>
        </is>
      </c>
      <c r="E10" s="92" t="n">
        <v>2026</v>
      </c>
      <c r="F10" s="92" t="inlineStr">
        <is>
          <t>Budget</t>
        </is>
      </c>
      <c r="G10" s="92" t="n">
        <v>0</v>
      </c>
      <c r="H10" s="108" t="n">
        <v>46022</v>
      </c>
      <c r="I10" s="92" t="n">
        <v>2026</v>
      </c>
      <c r="J10" s="92" t="inlineStr">
        <is>
          <t>G.900002.8.9090</t>
        </is>
      </c>
      <c r="K10" s="92" t="inlineStr">
        <is>
          <t>G.900002</t>
        </is>
      </c>
      <c r="L10" s="92" t="inlineStr">
        <is>
          <t>Duinwaard, De Watergaarde</t>
        </is>
      </c>
      <c r="M10" s="92" t="inlineStr">
        <is>
          <t>Opstal</t>
        </is>
      </c>
      <c r="N10" s="92" t="inlineStr">
        <is>
          <t>J</t>
        </is>
      </c>
      <c r="O10" s="92" t="inlineStr">
        <is>
          <t>Omzet FY</t>
        </is>
      </c>
      <c r="P10" s="109" t="n">
        <v>3348000</v>
      </c>
      <c r="Q10" s="92" t="inlineStr">
        <is>
          <t>EUR</t>
        </is>
      </c>
      <c r="R10" s="92" t="inlineStr">
        <is>
          <t>Synthetische vastgelegde invoer; geen echte historie</t>
        </is>
      </c>
      <c r="S10" s="15" t="str">
        <f>IF(J10="","",J10&amp;"|"&amp;E10&amp;"|"&amp;F10&amp;"|"&amp;I10&amp;"|"&amp;O10)</f>
        <v>G.900002.8.9090|2026|Budget|2026|Omzet FY</v>
      </c>
      <c r="T10" s="15">
        <f>IF(OR(S10="",D10&lt;&gt;"Vastgesteld"),"",_xlfn.MAXIFS($G$6:$G$5005,$S$6:$S$5005,S10,$D$6:$D$5005,"Vastgesteld"))</f>
        <v>0</v>
      </c>
      <c r="U10" s="15">
        <f>IF(T10="",0,IF(AND(G10=T10,COUNTIFS($S$6:S10,S10,$G$6:G10,G10,$D$6:D10,"Vastgesteld")=1),1,0))</f>
        <v>1</v>
      </c>
      <c r="V10" s="15">
        <f>IF(T10="",0,IF(AND(G10=T10,COUNTIFS($S$6:S10,S10,$G$6:G10,G10,$D$6:D10,"Vastgesteld")&gt;1),1,0))</f>
        <v>0</v>
      </c>
    </row>
    <row r="11">
      <c r="A11" s="92" t="inlineStr">
        <is>
          <t>HIST-2026-Budget</t>
        </is>
      </c>
      <c r="B11" s="92" t="inlineStr">
        <is>
          <t>RDFO_FICTIEVE_historie_en_mapping.xlsx</t>
        </is>
      </c>
      <c r="C11" s="108" t="n">
        <v>46324</v>
      </c>
      <c r="D11" s="92" t="inlineStr">
        <is>
          <t>Vastgesteld</t>
        </is>
      </c>
      <c r="E11" s="92" t="n">
        <v>2026</v>
      </c>
      <c r="F11" s="92" t="inlineStr">
        <is>
          <t>Budget</t>
        </is>
      </c>
      <c r="G11" s="92" t="n">
        <v>0</v>
      </c>
      <c r="H11" s="108" t="n">
        <v>46022</v>
      </c>
      <c r="I11" s="92" t="n">
        <v>2026</v>
      </c>
      <c r="J11" s="92" t="inlineStr">
        <is>
          <t>G.900002.8.9090</t>
        </is>
      </c>
      <c r="K11" s="92" t="inlineStr">
        <is>
          <t>G.900002</t>
        </is>
      </c>
      <c r="L11" s="92" t="inlineStr">
        <is>
          <t>Duinwaard, De Watergaarde</t>
        </is>
      </c>
      <c r="M11" s="92" t="inlineStr">
        <is>
          <t>Opstal</t>
        </is>
      </c>
      <c r="N11" s="92" t="inlineStr">
        <is>
          <t>J</t>
        </is>
      </c>
      <c r="O11" s="92" t="inlineStr">
        <is>
          <t>BOR FY</t>
        </is>
      </c>
      <c r="P11" s="109" t="n">
        <v>401760</v>
      </c>
      <c r="Q11" s="92" t="inlineStr">
        <is>
          <t>EUR</t>
        </is>
      </c>
      <c r="R11" s="92" t="inlineStr">
        <is>
          <t>Synthetische vastgelegde invoer; geen echte historie</t>
        </is>
      </c>
      <c r="S11" s="15" t="str">
        <f>IF(J11="","",J11&amp;"|"&amp;E11&amp;"|"&amp;F11&amp;"|"&amp;I11&amp;"|"&amp;O11)</f>
        <v>G.900002.8.9090|2026|Budget|2026|BOR FY</v>
      </c>
      <c r="T11" s="15">
        <f>IF(OR(S11="",D11&lt;&gt;"Vastgesteld"),"",_xlfn.MAXIFS($G$6:$G$5005,$S$6:$S$5005,S11,$D$6:$D$5005,"Vastgesteld"))</f>
        <v>0</v>
      </c>
      <c r="U11" s="15">
        <f>IF(T11="",0,IF(AND(G11=T11,COUNTIFS($S$6:S11,S11,$G$6:G11,G11,$D$6:D11,"Vastgesteld")=1),1,0))</f>
        <v>1</v>
      </c>
      <c r="V11" s="15">
        <f>IF(T11="",0,IF(AND(G11=T11,COUNTIFS($S$6:S11,S11,$G$6:G11,G11,$D$6:D11,"Vastgesteld")&gt;1),1,0))</f>
        <v>0</v>
      </c>
    </row>
    <row r="12">
      <c r="A12" s="92" t="inlineStr">
        <is>
          <t>HIST-2026-Budget</t>
        </is>
      </c>
      <c r="B12" s="92" t="inlineStr">
        <is>
          <t>RDFO_FICTIEVE_historie_en_mapping.xlsx</t>
        </is>
      </c>
      <c r="C12" s="108" t="n">
        <v>46324</v>
      </c>
      <c r="D12" s="92" t="inlineStr">
        <is>
          <t>Vastgesteld</t>
        </is>
      </c>
      <c r="E12" s="92" t="n">
        <v>2026</v>
      </c>
      <c r="F12" s="92" t="inlineStr">
        <is>
          <t>Budget</t>
        </is>
      </c>
      <c r="G12" s="92" t="n">
        <v>0</v>
      </c>
      <c r="H12" s="108" t="n">
        <v>46022</v>
      </c>
      <c r="I12" s="92" t="n">
        <v>2027</v>
      </c>
      <c r="J12" s="92" t="inlineStr">
        <is>
          <t>G.900002.8.9090</t>
        </is>
      </c>
      <c r="K12" s="92" t="inlineStr">
        <is>
          <t>G.900002</t>
        </is>
      </c>
      <c r="L12" s="92" t="inlineStr">
        <is>
          <t>Duinwaard, De Watergaarde</t>
        </is>
      </c>
      <c r="M12" s="92" t="inlineStr">
        <is>
          <t>Opstal</t>
        </is>
      </c>
      <c r="N12" s="92" t="inlineStr">
        <is>
          <t>J</t>
        </is>
      </c>
      <c r="O12" s="92" t="inlineStr">
        <is>
          <t>Omzet FY</t>
        </is>
      </c>
      <c r="P12" s="109" t="n">
        <v>5222880</v>
      </c>
      <c r="Q12" s="92" t="inlineStr">
        <is>
          <t>EUR</t>
        </is>
      </c>
      <c r="R12" s="92" t="inlineStr">
        <is>
          <t>Synthetische vastgelegde invoer; geen echte historie</t>
        </is>
      </c>
      <c r="S12" s="15" t="str">
        <f>IF(J12="","",J12&amp;"|"&amp;E12&amp;"|"&amp;F12&amp;"|"&amp;I12&amp;"|"&amp;O12)</f>
        <v>G.900002.8.9090|2026|Budget|2027|Omzet FY</v>
      </c>
      <c r="T12" s="15">
        <f>IF(OR(S12="",D12&lt;&gt;"Vastgesteld"),"",_xlfn.MAXIFS($G$6:$G$5005,$S$6:$S$5005,S12,$D$6:$D$5005,"Vastgesteld"))</f>
        <v>0</v>
      </c>
      <c r="U12" s="15">
        <f>IF(T12="",0,IF(AND(G12=T12,COUNTIFS($S$6:S12,S12,$G$6:G12,G12,$D$6:D12,"Vastgesteld")=1),1,0))</f>
        <v>1</v>
      </c>
      <c r="V12" s="15">
        <f>IF(T12="",0,IF(AND(G12=T12,COUNTIFS($S$6:S12,S12,$G$6:G12,G12,$D$6:D12,"Vastgesteld")&gt;1),1,0))</f>
        <v>0</v>
      </c>
    </row>
    <row r="13">
      <c r="A13" s="92" t="inlineStr">
        <is>
          <t>HIST-2026-Budget</t>
        </is>
      </c>
      <c r="B13" s="92" t="inlineStr">
        <is>
          <t>RDFO_FICTIEVE_historie_en_mapping.xlsx</t>
        </is>
      </c>
      <c r="C13" s="108" t="n">
        <v>46324</v>
      </c>
      <c r="D13" s="92" t="inlineStr">
        <is>
          <t>Vastgesteld</t>
        </is>
      </c>
      <c r="E13" s="92" t="n">
        <v>2026</v>
      </c>
      <c r="F13" s="92" t="inlineStr">
        <is>
          <t>Budget</t>
        </is>
      </c>
      <c r="G13" s="92" t="n">
        <v>0</v>
      </c>
      <c r="H13" s="108" t="n">
        <v>46022</v>
      </c>
      <c r="I13" s="92" t="n">
        <v>2027</v>
      </c>
      <c r="J13" s="92" t="inlineStr">
        <is>
          <t>G.900002.8.9090</t>
        </is>
      </c>
      <c r="K13" s="92" t="inlineStr">
        <is>
          <t>G.900002</t>
        </is>
      </c>
      <c r="L13" s="92" t="inlineStr">
        <is>
          <t>Duinwaard, De Watergaarde</t>
        </is>
      </c>
      <c r="M13" s="92" t="inlineStr">
        <is>
          <t>Opstal</t>
        </is>
      </c>
      <c r="N13" s="92" t="inlineStr">
        <is>
          <t>J</t>
        </is>
      </c>
      <c r="O13" s="92" t="inlineStr">
        <is>
          <t>BOR FY</t>
        </is>
      </c>
      <c r="P13" s="109" t="n">
        <v>626745.6</v>
      </c>
      <c r="Q13" s="92" t="inlineStr">
        <is>
          <t>EUR</t>
        </is>
      </c>
      <c r="R13" s="92" t="inlineStr">
        <is>
          <t>Synthetische vastgelegde invoer; geen echte historie</t>
        </is>
      </c>
      <c r="S13" s="15" t="str">
        <f>IF(J13="","",J13&amp;"|"&amp;E13&amp;"|"&amp;F13&amp;"|"&amp;I13&amp;"|"&amp;O13)</f>
        <v>G.900002.8.9090|2026|Budget|2027|BOR FY</v>
      </c>
      <c r="T13" s="15">
        <f>IF(OR(S13="",D13&lt;&gt;"Vastgesteld"),"",_xlfn.MAXIFS($G$6:$G$5005,$S$6:$S$5005,S13,$D$6:$D$5005,"Vastgesteld"))</f>
        <v>0</v>
      </c>
      <c r="U13" s="15">
        <f>IF(T13="",0,IF(AND(G13=T13,COUNTIFS($S$6:S13,S13,$G$6:G13,G13,$D$6:D13,"Vastgesteld")=1),1,0))</f>
        <v>1</v>
      </c>
      <c r="V13" s="15">
        <f>IF(T13="",0,IF(AND(G13=T13,COUNTIFS($S$6:S13,S13,$G$6:G13,G13,$D$6:D13,"Vastgesteld")&gt;1),1,0))</f>
        <v>0</v>
      </c>
    </row>
    <row r="14">
      <c r="A14" s="92" t="inlineStr">
        <is>
          <t>HIST-2026-Budget</t>
        </is>
      </c>
      <c r="B14" s="92" t="inlineStr">
        <is>
          <t>RDFO_FICTIEVE_historie_en_mapping.xlsx</t>
        </is>
      </c>
      <c r="C14" s="108" t="n">
        <v>46324</v>
      </c>
      <c r="D14" s="92" t="inlineStr">
        <is>
          <t>Vastgesteld</t>
        </is>
      </c>
      <c r="E14" s="92" t="n">
        <v>2026</v>
      </c>
      <c r="F14" s="92" t="inlineStr">
        <is>
          <t>Budget</t>
        </is>
      </c>
      <c r="G14" s="92" t="n">
        <v>0</v>
      </c>
      <c r="H14" s="108" t="n">
        <v>46022</v>
      </c>
      <c r="I14" s="92" t="n">
        <v>2026</v>
      </c>
      <c r="J14" s="92" t="inlineStr">
        <is>
          <t>G.900003.8.9090</t>
        </is>
      </c>
      <c r="K14" s="92" t="inlineStr">
        <is>
          <t>G.900003</t>
        </is>
      </c>
      <c r="L14" s="92" t="inlineStr">
        <is>
          <t>Veldendam, Stationshof</t>
        </is>
      </c>
      <c r="M14" s="92" t="inlineStr">
        <is>
          <t>Opstal</t>
        </is>
      </c>
      <c r="N14" s="92" t="inlineStr">
        <is>
          <t>J</t>
        </is>
      </c>
      <c r="O14" s="92" t="inlineStr">
        <is>
          <t>Omzet FY</t>
        </is>
      </c>
      <c r="P14" s="109" t="n">
        <v>5016000</v>
      </c>
      <c r="Q14" s="92" t="inlineStr">
        <is>
          <t>EUR</t>
        </is>
      </c>
      <c r="R14" s="92" t="inlineStr">
        <is>
          <t>Synthetische vastgelegde invoer; geen echte historie</t>
        </is>
      </c>
      <c r="S14" s="15" t="str">
        <f>IF(J14="","",J14&amp;"|"&amp;E14&amp;"|"&amp;F14&amp;"|"&amp;I14&amp;"|"&amp;O14)</f>
        <v>G.900003.8.9090|2026|Budget|2026|Omzet FY</v>
      </c>
      <c r="T14" s="15">
        <f>IF(OR(S14="",D14&lt;&gt;"Vastgesteld"),"",_xlfn.MAXIFS($G$6:$G$5005,$S$6:$S$5005,S14,$D$6:$D$5005,"Vastgesteld"))</f>
        <v>0</v>
      </c>
      <c r="U14" s="15">
        <f>IF(T14="",0,IF(AND(G14=T14,COUNTIFS($S$6:S14,S14,$G$6:G14,G14,$D$6:D14,"Vastgesteld")=1),1,0))</f>
        <v>1</v>
      </c>
      <c r="V14" s="15">
        <f>IF(T14="",0,IF(AND(G14=T14,COUNTIFS($S$6:S14,S14,$G$6:G14,G14,$D$6:D14,"Vastgesteld")&gt;1),1,0))</f>
        <v>0</v>
      </c>
    </row>
    <row r="15">
      <c r="A15" s="92" t="inlineStr">
        <is>
          <t>HIST-2026-Budget</t>
        </is>
      </c>
      <c r="B15" s="92" t="inlineStr">
        <is>
          <t>RDFO_FICTIEVE_historie_en_mapping.xlsx</t>
        </is>
      </c>
      <c r="C15" s="108" t="n">
        <v>46324</v>
      </c>
      <c r="D15" s="92" t="inlineStr">
        <is>
          <t>Vastgesteld</t>
        </is>
      </c>
      <c r="E15" s="92" t="n">
        <v>2026</v>
      </c>
      <c r="F15" s="92" t="inlineStr">
        <is>
          <t>Budget</t>
        </is>
      </c>
      <c r="G15" s="92" t="n">
        <v>0</v>
      </c>
      <c r="H15" s="108" t="n">
        <v>46022</v>
      </c>
      <c r="I15" s="92" t="n">
        <v>2026</v>
      </c>
      <c r="J15" s="92" t="inlineStr">
        <is>
          <t>G.900003.8.9090</t>
        </is>
      </c>
      <c r="K15" s="92" t="inlineStr">
        <is>
          <t>G.900003</t>
        </is>
      </c>
      <c r="L15" s="92" t="inlineStr">
        <is>
          <t>Veldendam, Stationshof</t>
        </is>
      </c>
      <c r="M15" s="92" t="inlineStr">
        <is>
          <t>Opstal</t>
        </is>
      </c>
      <c r="N15" s="92" t="inlineStr">
        <is>
          <t>J</t>
        </is>
      </c>
      <c r="O15" s="92" t="inlineStr">
        <is>
          <t>BOR FY</t>
        </is>
      </c>
      <c r="P15" s="109" t="n">
        <v>376200</v>
      </c>
      <c r="Q15" s="92" t="inlineStr">
        <is>
          <t>EUR</t>
        </is>
      </c>
      <c r="R15" s="92" t="inlineStr">
        <is>
          <t>Synthetische vastgelegde invoer; geen echte historie</t>
        </is>
      </c>
      <c r="S15" s="15" t="str">
        <f>IF(J15="","",J15&amp;"|"&amp;E15&amp;"|"&amp;F15&amp;"|"&amp;I15&amp;"|"&amp;O15)</f>
        <v>G.900003.8.9090|2026|Budget|2026|BOR FY</v>
      </c>
      <c r="T15" s="15">
        <f>IF(OR(S15="",D15&lt;&gt;"Vastgesteld"),"",_xlfn.MAXIFS($G$6:$G$5005,$S$6:$S$5005,S15,$D$6:$D$5005,"Vastgesteld"))</f>
        <v>0</v>
      </c>
      <c r="U15" s="15">
        <f>IF(T15="",0,IF(AND(G15=T15,COUNTIFS($S$6:S15,S15,$G$6:G15,G15,$D$6:D15,"Vastgesteld")=1),1,0))</f>
        <v>1</v>
      </c>
      <c r="V15" s="15">
        <f>IF(T15="",0,IF(AND(G15=T15,COUNTIFS($S$6:S15,S15,$G$6:G15,G15,$D$6:D15,"Vastgesteld")&gt;1),1,0))</f>
        <v>0</v>
      </c>
    </row>
    <row r="16">
      <c r="A16" s="92" t="inlineStr">
        <is>
          <t>HIST-2026-Budget</t>
        </is>
      </c>
      <c r="B16" s="92" t="inlineStr">
        <is>
          <t>RDFO_FICTIEVE_historie_en_mapping.xlsx</t>
        </is>
      </c>
      <c r="C16" s="108" t="n">
        <v>46324</v>
      </c>
      <c r="D16" s="92" t="inlineStr">
        <is>
          <t>Vastgesteld</t>
        </is>
      </c>
      <c r="E16" s="92" t="n">
        <v>2026</v>
      </c>
      <c r="F16" s="92" t="inlineStr">
        <is>
          <t>Budget</t>
        </is>
      </c>
      <c r="G16" s="92" t="n">
        <v>0</v>
      </c>
      <c r="H16" s="108" t="n">
        <v>46022</v>
      </c>
      <c r="I16" s="92" t="n">
        <v>2027</v>
      </c>
      <c r="J16" s="92" t="inlineStr">
        <is>
          <t>G.900003.8.9090</t>
        </is>
      </c>
      <c r="K16" s="92" t="inlineStr">
        <is>
          <t>G.900003</t>
        </is>
      </c>
      <c r="L16" s="92" t="inlineStr">
        <is>
          <t>Veldendam, Stationshof</t>
        </is>
      </c>
      <c r="M16" s="92" t="inlineStr">
        <is>
          <t>Opstal</t>
        </is>
      </c>
      <c r="N16" s="92" t="inlineStr">
        <is>
          <t>J</t>
        </is>
      </c>
      <c r="O16" s="92" t="inlineStr">
        <is>
          <t>Omzet FY</t>
        </is>
      </c>
      <c r="P16" s="109" t="n">
        <v>15215200</v>
      </c>
      <c r="Q16" s="92" t="inlineStr">
        <is>
          <t>EUR</t>
        </is>
      </c>
      <c r="R16" s="92" t="inlineStr">
        <is>
          <t>Synthetische vastgelegde invoer; geen echte historie</t>
        </is>
      </c>
      <c r="S16" s="15" t="str">
        <f>IF(J16="","",J16&amp;"|"&amp;E16&amp;"|"&amp;F16&amp;"|"&amp;I16&amp;"|"&amp;O16)</f>
        <v>G.900003.8.9090|2026|Budget|2027|Omzet FY</v>
      </c>
      <c r="T16" s="15">
        <f>IF(OR(S16="",D16&lt;&gt;"Vastgesteld"),"",_xlfn.MAXIFS($G$6:$G$5005,$S$6:$S$5005,S16,$D$6:$D$5005,"Vastgesteld"))</f>
        <v>0</v>
      </c>
      <c r="U16" s="15">
        <f>IF(T16="",0,IF(AND(G16=T16,COUNTIFS($S$6:S16,S16,$G$6:G16,G16,$D$6:D16,"Vastgesteld")=1),1,0))</f>
        <v>1</v>
      </c>
      <c r="V16" s="15">
        <f>IF(T16="",0,IF(AND(G16=T16,COUNTIFS($S$6:S16,S16,$G$6:G16,G16,$D$6:D16,"Vastgesteld")&gt;1),1,0))</f>
        <v>0</v>
      </c>
    </row>
    <row r="17">
      <c r="A17" s="92" t="inlineStr">
        <is>
          <t>HIST-2026-Budget</t>
        </is>
      </c>
      <c r="B17" s="92" t="inlineStr">
        <is>
          <t>RDFO_FICTIEVE_historie_en_mapping.xlsx</t>
        </is>
      </c>
      <c r="C17" s="108" t="n">
        <v>46324</v>
      </c>
      <c r="D17" s="92" t="inlineStr">
        <is>
          <t>Vastgesteld</t>
        </is>
      </c>
      <c r="E17" s="92" t="n">
        <v>2026</v>
      </c>
      <c r="F17" s="92" t="inlineStr">
        <is>
          <t>Budget</t>
        </is>
      </c>
      <c r="G17" s="92" t="n">
        <v>0</v>
      </c>
      <c r="H17" s="108" t="n">
        <v>46022</v>
      </c>
      <c r="I17" s="92" t="n">
        <v>2027</v>
      </c>
      <c r="J17" s="92" t="inlineStr">
        <is>
          <t>G.900003.8.9090</t>
        </is>
      </c>
      <c r="K17" s="92" t="inlineStr">
        <is>
          <t>G.900003</t>
        </is>
      </c>
      <c r="L17" s="92" t="inlineStr">
        <is>
          <t>Veldendam, Stationshof</t>
        </is>
      </c>
      <c r="M17" s="92" t="inlineStr">
        <is>
          <t>Opstal</t>
        </is>
      </c>
      <c r="N17" s="92" t="inlineStr">
        <is>
          <t>J</t>
        </is>
      </c>
      <c r="O17" s="92" t="inlineStr">
        <is>
          <t>BOR FY</t>
        </is>
      </c>
      <c r="P17" s="109" t="n">
        <v>1141140</v>
      </c>
      <c r="Q17" s="92" t="inlineStr">
        <is>
          <t>EUR</t>
        </is>
      </c>
      <c r="R17" s="92" t="inlineStr">
        <is>
          <t>Synthetische vastgelegde invoer; geen echte historie</t>
        </is>
      </c>
      <c r="S17" s="15" t="str">
        <f>IF(J17="","",J17&amp;"|"&amp;E17&amp;"|"&amp;F17&amp;"|"&amp;I17&amp;"|"&amp;O17)</f>
        <v>G.900003.8.9090|2026|Budget|2027|BOR FY</v>
      </c>
      <c r="T17" s="15">
        <f>IF(OR(S17="",D17&lt;&gt;"Vastgesteld"),"",_xlfn.MAXIFS($G$6:$G$5005,$S$6:$S$5005,S17,$D$6:$D$5005,"Vastgesteld"))</f>
        <v>0</v>
      </c>
      <c r="U17" s="15">
        <f>IF(T17="",0,IF(AND(G17=T17,COUNTIFS($S$6:S17,S17,$G$6:G17,G17,$D$6:D17,"Vastgesteld")=1),1,0))</f>
        <v>1</v>
      </c>
      <c r="V17" s="15">
        <f>IF(T17="",0,IF(AND(G17=T17,COUNTIFS($S$6:S17,S17,$G$6:G17,G17,$D$6:D17,"Vastgesteld")&gt;1),1,0))</f>
        <v>0</v>
      </c>
    </row>
    <row r="18">
      <c r="A18" s="92" t="inlineStr">
        <is>
          <t>HIST-2026-Budget</t>
        </is>
      </c>
      <c r="B18" s="92" t="inlineStr">
        <is>
          <t>RDFO_FICTIEVE_historie_en_mapping.xlsx</t>
        </is>
      </c>
      <c r="C18" s="108" t="n">
        <v>46324</v>
      </c>
      <c r="D18" s="92" t="inlineStr">
        <is>
          <t>Vastgesteld</t>
        </is>
      </c>
      <c r="E18" s="92" t="n">
        <v>2026</v>
      </c>
      <c r="F18" s="92" t="inlineStr">
        <is>
          <t>Budget</t>
        </is>
      </c>
      <c r="G18" s="92" t="n">
        <v>0</v>
      </c>
      <c r="H18" s="108" t="n">
        <v>46022</v>
      </c>
      <c r="I18" s="92" t="n">
        <v>2026</v>
      </c>
      <c r="J18" s="92" t="inlineStr">
        <is>
          <t>G.900004.8.9090</t>
        </is>
      </c>
      <c r="K18" s="92" t="inlineStr">
        <is>
          <t>G.900004</t>
        </is>
      </c>
      <c r="L18" s="92" t="inlineStr">
        <is>
          <t>Meerhovenstad, Het Kompas</t>
        </is>
      </c>
      <c r="M18" s="92" t="inlineStr">
        <is>
          <t>Deelneming</t>
        </is>
      </c>
      <c r="N18" s="92" t="inlineStr">
        <is>
          <t>N</t>
        </is>
      </c>
      <c r="O18" s="92" t="inlineStr">
        <is>
          <t>Omzet FY</t>
        </is>
      </c>
      <c r="P18" s="109" t="n">
        <v>2177280</v>
      </c>
      <c r="Q18" s="92" t="inlineStr">
        <is>
          <t>EUR</t>
        </is>
      </c>
      <c r="R18" s="92" t="inlineStr">
        <is>
          <t>Synthetische vastgelegde invoer; geen echte historie</t>
        </is>
      </c>
      <c r="S18" s="15" t="str">
        <f>IF(J18="","",J18&amp;"|"&amp;E18&amp;"|"&amp;F18&amp;"|"&amp;I18&amp;"|"&amp;O18)</f>
        <v>G.900004.8.9090|2026|Budget|2026|Omzet FY</v>
      </c>
      <c r="T18" s="15">
        <f>IF(OR(S18="",D18&lt;&gt;"Vastgesteld"),"",_xlfn.MAXIFS($G$6:$G$5005,$S$6:$S$5005,S18,$D$6:$D$5005,"Vastgesteld"))</f>
        <v>0</v>
      </c>
      <c r="U18" s="15">
        <f>IF(T18="",0,IF(AND(G18=T18,COUNTIFS($S$6:S18,S18,$G$6:G18,G18,$D$6:D18,"Vastgesteld")=1),1,0))</f>
        <v>1</v>
      </c>
      <c r="V18" s="15">
        <f>IF(T18="",0,IF(AND(G18=T18,COUNTIFS($S$6:S18,S18,$G$6:G18,G18,$D$6:D18,"Vastgesteld")&gt;1),1,0))</f>
        <v>0</v>
      </c>
    </row>
    <row r="19">
      <c r="A19" s="92" t="inlineStr">
        <is>
          <t>HIST-2026-Budget</t>
        </is>
      </c>
      <c r="B19" s="92" t="inlineStr">
        <is>
          <t>RDFO_FICTIEVE_historie_en_mapping.xlsx</t>
        </is>
      </c>
      <c r="C19" s="108" t="n">
        <v>46324</v>
      </c>
      <c r="D19" s="92" t="inlineStr">
        <is>
          <t>Vastgesteld</t>
        </is>
      </c>
      <c r="E19" s="92" t="n">
        <v>2026</v>
      </c>
      <c r="F19" s="92" t="inlineStr">
        <is>
          <t>Budget</t>
        </is>
      </c>
      <c r="G19" s="92" t="n">
        <v>0</v>
      </c>
      <c r="H19" s="108" t="n">
        <v>46022</v>
      </c>
      <c r="I19" s="92" t="n">
        <v>2026</v>
      </c>
      <c r="J19" s="92" t="inlineStr">
        <is>
          <t>G.900004.8.9090</t>
        </is>
      </c>
      <c r="K19" s="92" t="inlineStr">
        <is>
          <t>G.900004</t>
        </is>
      </c>
      <c r="L19" s="92" t="inlineStr">
        <is>
          <t>Meerhovenstad, Het Kompas</t>
        </is>
      </c>
      <c r="M19" s="92" t="inlineStr">
        <is>
          <t>Deelneming</t>
        </is>
      </c>
      <c r="N19" s="92" t="inlineStr">
        <is>
          <t>N</t>
        </is>
      </c>
      <c r="O19" s="92" t="inlineStr">
        <is>
          <t>BOR FY</t>
        </is>
      </c>
      <c r="P19" s="109" t="n">
        <v>239500.8</v>
      </c>
      <c r="Q19" s="92" t="inlineStr">
        <is>
          <t>EUR</t>
        </is>
      </c>
      <c r="R19" s="92" t="inlineStr">
        <is>
          <t>Synthetische vastgelegde invoer; geen echte historie</t>
        </is>
      </c>
      <c r="S19" s="15" t="str">
        <f>IF(J19="","",J19&amp;"|"&amp;E19&amp;"|"&amp;F19&amp;"|"&amp;I19&amp;"|"&amp;O19)</f>
        <v>G.900004.8.9090|2026|Budget|2026|BOR FY</v>
      </c>
      <c r="T19" s="15">
        <f>IF(OR(S19="",D19&lt;&gt;"Vastgesteld"),"",_xlfn.MAXIFS($G$6:$G$5005,$S$6:$S$5005,S19,$D$6:$D$5005,"Vastgesteld"))</f>
        <v>0</v>
      </c>
      <c r="U19" s="15">
        <f>IF(T19="",0,IF(AND(G19=T19,COUNTIFS($S$6:S19,S19,$G$6:G19,G19,$D$6:D19,"Vastgesteld")=1),1,0))</f>
        <v>1</v>
      </c>
      <c r="V19" s="15">
        <f>IF(T19="",0,IF(AND(G19=T19,COUNTIFS($S$6:S19,S19,$G$6:G19,G19,$D$6:D19,"Vastgesteld")&gt;1),1,0))</f>
        <v>0</v>
      </c>
    </row>
    <row r="20">
      <c r="A20" s="92" t="inlineStr">
        <is>
          <t>HIST-2026-Budget</t>
        </is>
      </c>
      <c r="B20" s="92" t="inlineStr">
        <is>
          <t>RDFO_FICTIEVE_historie_en_mapping.xlsx</t>
        </is>
      </c>
      <c r="C20" s="108" t="n">
        <v>46324</v>
      </c>
      <c r="D20" s="92" t="inlineStr">
        <is>
          <t>Vastgesteld</t>
        </is>
      </c>
      <c r="E20" s="92" t="n">
        <v>2026</v>
      </c>
      <c r="F20" s="92" t="inlineStr">
        <is>
          <t>Budget</t>
        </is>
      </c>
      <c r="G20" s="92" t="n">
        <v>0</v>
      </c>
      <c r="H20" s="108" t="n">
        <v>46022</v>
      </c>
      <c r="I20" s="92" t="n">
        <v>2027</v>
      </c>
      <c r="J20" s="92" t="inlineStr">
        <is>
          <t>G.900004.8.9090</t>
        </is>
      </c>
      <c r="K20" s="92" t="inlineStr">
        <is>
          <t>G.900004</t>
        </is>
      </c>
      <c r="L20" s="92" t="inlineStr">
        <is>
          <t>Meerhovenstad, Het Kompas</t>
        </is>
      </c>
      <c r="M20" s="92" t="inlineStr">
        <is>
          <t>Deelneming</t>
        </is>
      </c>
      <c r="N20" s="92" t="inlineStr">
        <is>
          <t>N</t>
        </is>
      </c>
      <c r="O20" s="92" t="inlineStr">
        <is>
          <t>Omzet FY</t>
        </is>
      </c>
      <c r="P20" s="109" t="n">
        <v>1448928</v>
      </c>
      <c r="Q20" s="92" t="inlineStr">
        <is>
          <t>EUR</t>
        </is>
      </c>
      <c r="R20" s="92" t="inlineStr">
        <is>
          <t>Synthetische vastgelegde invoer; geen echte historie</t>
        </is>
      </c>
      <c r="S20" s="15" t="str">
        <f>IF(J20="","",J20&amp;"|"&amp;E20&amp;"|"&amp;F20&amp;"|"&amp;I20&amp;"|"&amp;O20)</f>
        <v>G.900004.8.9090|2026|Budget|2027|Omzet FY</v>
      </c>
      <c r="T20" s="15">
        <f>IF(OR(S20="",D20&lt;&gt;"Vastgesteld"),"",_xlfn.MAXIFS($G$6:$G$5005,$S$6:$S$5005,S20,$D$6:$D$5005,"Vastgesteld"))</f>
        <v>0</v>
      </c>
      <c r="U20" s="15">
        <f>IF(T20="",0,IF(AND(G20=T20,COUNTIFS($S$6:S20,S20,$G$6:G20,G20,$D$6:D20,"Vastgesteld")=1),1,0))</f>
        <v>1</v>
      </c>
      <c r="V20" s="15">
        <f>IF(T20="",0,IF(AND(G20=T20,COUNTIFS($S$6:S20,S20,$G$6:G20,G20,$D$6:D20,"Vastgesteld")&gt;1),1,0))</f>
        <v>0</v>
      </c>
    </row>
    <row r="21">
      <c r="A21" s="92" t="inlineStr">
        <is>
          <t>HIST-2026-Budget</t>
        </is>
      </c>
      <c r="B21" s="92" t="inlineStr">
        <is>
          <t>RDFO_FICTIEVE_historie_en_mapping.xlsx</t>
        </is>
      </c>
      <c r="C21" s="108" t="n">
        <v>46324</v>
      </c>
      <c r="D21" s="92" t="inlineStr">
        <is>
          <t>Vastgesteld</t>
        </is>
      </c>
      <c r="E21" s="92" t="n">
        <v>2026</v>
      </c>
      <c r="F21" s="92" t="inlineStr">
        <is>
          <t>Budget</t>
        </is>
      </c>
      <c r="G21" s="92" t="n">
        <v>0</v>
      </c>
      <c r="H21" s="108" t="n">
        <v>46022</v>
      </c>
      <c r="I21" s="92" t="n">
        <v>2027</v>
      </c>
      <c r="J21" s="92" t="inlineStr">
        <is>
          <t>G.900004.8.9090</t>
        </is>
      </c>
      <c r="K21" s="92" t="inlineStr">
        <is>
          <t>G.900004</t>
        </is>
      </c>
      <c r="L21" s="92" t="inlineStr">
        <is>
          <t>Meerhovenstad, Het Kompas</t>
        </is>
      </c>
      <c r="M21" s="92" t="inlineStr">
        <is>
          <t>Deelneming</t>
        </is>
      </c>
      <c r="N21" s="92" t="inlineStr">
        <is>
          <t>N</t>
        </is>
      </c>
      <c r="O21" s="92" t="inlineStr">
        <is>
          <t>BOR FY</t>
        </is>
      </c>
      <c r="P21" s="109" t="n">
        <v>159382.08</v>
      </c>
      <c r="Q21" s="92" t="inlineStr">
        <is>
          <t>EUR</t>
        </is>
      </c>
      <c r="R21" s="92" t="inlineStr">
        <is>
          <t>Synthetische vastgelegde invoer; geen echte historie</t>
        </is>
      </c>
      <c r="S21" s="15" t="str">
        <f>IF(J21="","",J21&amp;"|"&amp;E21&amp;"|"&amp;F21&amp;"|"&amp;I21&amp;"|"&amp;O21)</f>
        <v>G.900004.8.9090|2026|Budget|2027|BOR FY</v>
      </c>
      <c r="T21" s="15">
        <f>IF(OR(S21="",D21&lt;&gt;"Vastgesteld"),"",_xlfn.MAXIFS($G$6:$G$5005,$S$6:$S$5005,S21,$D$6:$D$5005,"Vastgesteld"))</f>
        <v>0</v>
      </c>
      <c r="U21" s="15">
        <f>IF(T21="",0,IF(AND(G21=T21,COUNTIFS($S$6:S21,S21,$G$6:G21,G21,$D$6:D21,"Vastgesteld")=1),1,0))</f>
        <v>1</v>
      </c>
      <c r="V21" s="15">
        <f>IF(T21="",0,IF(AND(G21=T21,COUNTIFS($S$6:S21,S21,$G$6:G21,G21,$D$6:D21,"Vastgesteld")&gt;1),1,0))</f>
        <v>0</v>
      </c>
    </row>
    <row r="22">
      <c r="A22" s="92" t="inlineStr">
        <is>
          <t>HIST-2026-Budget</t>
        </is>
      </c>
      <c r="B22" s="92" t="inlineStr">
        <is>
          <t>RDFO_FICTIEVE_historie_en_mapping.xlsx</t>
        </is>
      </c>
      <c r="C22" s="108" t="n">
        <v>46324</v>
      </c>
      <c r="D22" s="92" t="inlineStr">
        <is>
          <t>Vastgesteld</t>
        </is>
      </c>
      <c r="E22" s="92" t="n">
        <v>2026</v>
      </c>
      <c r="F22" s="92" t="inlineStr">
        <is>
          <t>Budget</t>
        </is>
      </c>
      <c r="G22" s="92" t="n">
        <v>0</v>
      </c>
      <c r="H22" s="108" t="n">
        <v>46022</v>
      </c>
      <c r="I22" s="92" t="n">
        <v>2026</v>
      </c>
      <c r="J22" s="92" t="inlineStr">
        <is>
          <t>G.900005.8.9090</t>
        </is>
      </c>
      <c r="K22" s="92" t="inlineStr">
        <is>
          <t>G.900005</t>
        </is>
      </c>
      <c r="L22" s="92" t="inlineStr">
        <is>
          <t>Zilverdam, Kadezicht</t>
        </is>
      </c>
      <c r="M22" s="92" t="inlineStr">
        <is>
          <t>Opstal</t>
        </is>
      </c>
      <c r="N22" s="92" t="inlineStr">
        <is>
          <t>J</t>
        </is>
      </c>
      <c r="O22" s="92" t="inlineStr">
        <is>
          <t>Omzet FY</t>
        </is>
      </c>
      <c r="P22" s="109" t="n">
        <v>7392000</v>
      </c>
      <c r="Q22" s="92" t="inlineStr">
        <is>
          <t>EUR</t>
        </is>
      </c>
      <c r="R22" s="92" t="inlineStr">
        <is>
          <t>Synthetische vastgelegde invoer; geen echte historie</t>
        </is>
      </c>
      <c r="S22" s="15" t="str">
        <f>IF(J22="","",J22&amp;"|"&amp;E22&amp;"|"&amp;F22&amp;"|"&amp;I22&amp;"|"&amp;O22)</f>
        <v>G.900005.8.9090|2026|Budget|2026|Omzet FY</v>
      </c>
      <c r="T22" s="15">
        <f>IF(OR(S22="",D22&lt;&gt;"Vastgesteld"),"",_xlfn.MAXIFS($G$6:$G$5005,$S$6:$S$5005,S22,$D$6:$D$5005,"Vastgesteld"))</f>
        <v>0</v>
      </c>
      <c r="U22" s="15">
        <f>IF(T22="",0,IF(AND(G22=T22,COUNTIFS($S$6:S22,S22,$G$6:G22,G22,$D$6:D22,"Vastgesteld")=1),1,0))</f>
        <v>1</v>
      </c>
      <c r="V22" s="15">
        <f>IF(T22="",0,IF(AND(G22=T22,COUNTIFS($S$6:S22,S22,$G$6:G22,G22,$D$6:D22,"Vastgesteld")&gt;1),1,0))</f>
        <v>0</v>
      </c>
    </row>
    <row r="23">
      <c r="A23" s="92" t="inlineStr">
        <is>
          <t>HIST-2026-Budget</t>
        </is>
      </c>
      <c r="B23" s="92" t="inlineStr">
        <is>
          <t>RDFO_FICTIEVE_historie_en_mapping.xlsx</t>
        </is>
      </c>
      <c r="C23" s="108" t="n">
        <v>46324</v>
      </c>
      <c r="D23" s="92" t="inlineStr">
        <is>
          <t>Vastgesteld</t>
        </is>
      </c>
      <c r="E23" s="92" t="n">
        <v>2026</v>
      </c>
      <c r="F23" s="92" t="inlineStr">
        <is>
          <t>Budget</t>
        </is>
      </c>
      <c r="G23" s="92" t="n">
        <v>0</v>
      </c>
      <c r="H23" s="108" t="n">
        <v>46022</v>
      </c>
      <c r="I23" s="92" t="n">
        <v>2026</v>
      </c>
      <c r="J23" s="92" t="inlineStr">
        <is>
          <t>G.900005.8.9090</t>
        </is>
      </c>
      <c r="K23" s="92" t="inlineStr">
        <is>
          <t>G.900005</t>
        </is>
      </c>
      <c r="L23" s="92" t="inlineStr">
        <is>
          <t>Zilverdam, Kadezicht</t>
        </is>
      </c>
      <c r="M23" s="92" t="inlineStr">
        <is>
          <t>Opstal</t>
        </is>
      </c>
      <c r="N23" s="92" t="inlineStr">
        <is>
          <t>J</t>
        </is>
      </c>
      <c r="O23" s="92" t="inlineStr">
        <is>
          <t>BOR FY</t>
        </is>
      </c>
      <c r="P23" s="109" t="n">
        <v>480480</v>
      </c>
      <c r="Q23" s="92" t="inlineStr">
        <is>
          <t>EUR</t>
        </is>
      </c>
      <c r="R23" s="92" t="inlineStr">
        <is>
          <t>Synthetische vastgelegde invoer; geen echte historie</t>
        </is>
      </c>
      <c r="S23" s="15" t="str">
        <f>IF(J23="","",J23&amp;"|"&amp;E23&amp;"|"&amp;F23&amp;"|"&amp;I23&amp;"|"&amp;O23)</f>
        <v>G.900005.8.9090|2026|Budget|2026|BOR FY</v>
      </c>
      <c r="T23" s="15">
        <f>IF(OR(S23="",D23&lt;&gt;"Vastgesteld"),"",_xlfn.MAXIFS($G$6:$G$5005,$S$6:$S$5005,S23,$D$6:$D$5005,"Vastgesteld"))</f>
        <v>0</v>
      </c>
      <c r="U23" s="15">
        <f>IF(T23="",0,IF(AND(G23=T23,COUNTIFS($S$6:S23,S23,$G$6:G23,G23,$D$6:D23,"Vastgesteld")=1),1,0))</f>
        <v>1</v>
      </c>
      <c r="V23" s="15">
        <f>IF(T23="",0,IF(AND(G23=T23,COUNTIFS($S$6:S23,S23,$G$6:G23,G23,$D$6:D23,"Vastgesteld")&gt;1),1,0))</f>
        <v>0</v>
      </c>
    </row>
    <row r="24">
      <c r="A24" s="92" t="inlineStr">
        <is>
          <t>HIST-2026-Budget</t>
        </is>
      </c>
      <c r="B24" s="92" t="inlineStr">
        <is>
          <t>RDFO_FICTIEVE_historie_en_mapping.xlsx</t>
        </is>
      </c>
      <c r="C24" s="108" t="n">
        <v>46324</v>
      </c>
      <c r="D24" s="92" t="inlineStr">
        <is>
          <t>Vastgesteld</t>
        </is>
      </c>
      <c r="E24" s="92" t="n">
        <v>2026</v>
      </c>
      <c r="F24" s="92" t="inlineStr">
        <is>
          <t>Budget</t>
        </is>
      </c>
      <c r="G24" s="92" t="n">
        <v>0</v>
      </c>
      <c r="H24" s="108" t="n">
        <v>46022</v>
      </c>
      <c r="I24" s="92" t="n">
        <v>2027</v>
      </c>
      <c r="J24" s="92" t="inlineStr">
        <is>
          <t>G.900005.8.9090</t>
        </is>
      </c>
      <c r="K24" s="92" t="inlineStr">
        <is>
          <t>G.900005</t>
        </is>
      </c>
      <c r="L24" s="92" t="inlineStr">
        <is>
          <t>Zilverdam, Kadezicht</t>
        </is>
      </c>
      <c r="M24" s="92" t="inlineStr">
        <is>
          <t>Opstal</t>
        </is>
      </c>
      <c r="N24" s="92" t="inlineStr">
        <is>
          <t>J</t>
        </is>
      </c>
      <c r="O24" s="92" t="inlineStr">
        <is>
          <t>Omzet FY</t>
        </is>
      </c>
      <c r="P24" s="109" t="n">
        <v>36036000</v>
      </c>
      <c r="Q24" s="92" t="inlineStr">
        <is>
          <t>EUR</t>
        </is>
      </c>
      <c r="R24" s="92" t="inlineStr">
        <is>
          <t>Synthetische vastgelegde invoer; geen echte historie</t>
        </is>
      </c>
      <c r="S24" s="15" t="str">
        <f>IF(J24="","",J24&amp;"|"&amp;E24&amp;"|"&amp;F24&amp;"|"&amp;I24&amp;"|"&amp;O24)</f>
        <v>G.900005.8.9090|2026|Budget|2027|Omzet FY</v>
      </c>
      <c r="T24" s="15">
        <f>IF(OR(S24="",D24&lt;&gt;"Vastgesteld"),"",_xlfn.MAXIFS($G$6:$G$5005,$S$6:$S$5005,S24,$D$6:$D$5005,"Vastgesteld"))</f>
        <v>0</v>
      </c>
      <c r="U24" s="15">
        <f>IF(T24="",0,IF(AND(G24=T24,COUNTIFS($S$6:S24,S24,$G$6:G24,G24,$D$6:D24,"Vastgesteld")=1),1,0))</f>
        <v>1</v>
      </c>
      <c r="V24" s="15">
        <f>IF(T24="",0,IF(AND(G24=T24,COUNTIFS($S$6:S24,S24,$G$6:G24,G24,$D$6:D24,"Vastgesteld")&gt;1),1,0))</f>
        <v>0</v>
      </c>
    </row>
    <row r="25">
      <c r="A25" s="92" t="inlineStr">
        <is>
          <t>HIST-2026-Budget</t>
        </is>
      </c>
      <c r="B25" s="92" t="inlineStr">
        <is>
          <t>RDFO_FICTIEVE_historie_en_mapping.xlsx</t>
        </is>
      </c>
      <c r="C25" s="108" t="n">
        <v>46324</v>
      </c>
      <c r="D25" s="92" t="inlineStr">
        <is>
          <t>Vastgesteld</t>
        </is>
      </c>
      <c r="E25" s="92" t="n">
        <v>2026</v>
      </c>
      <c r="F25" s="92" t="inlineStr">
        <is>
          <t>Budget</t>
        </is>
      </c>
      <c r="G25" s="92" t="n">
        <v>0</v>
      </c>
      <c r="H25" s="108" t="n">
        <v>46022</v>
      </c>
      <c r="I25" s="92" t="n">
        <v>2027</v>
      </c>
      <c r="J25" s="92" t="inlineStr">
        <is>
          <t>G.900005.8.9090</t>
        </is>
      </c>
      <c r="K25" s="92" t="inlineStr">
        <is>
          <t>G.900005</t>
        </is>
      </c>
      <c r="L25" s="92" t="inlineStr">
        <is>
          <t>Zilverdam, Kadezicht</t>
        </is>
      </c>
      <c r="M25" s="92" t="inlineStr">
        <is>
          <t>Opstal</t>
        </is>
      </c>
      <c r="N25" s="92" t="inlineStr">
        <is>
          <t>J</t>
        </is>
      </c>
      <c r="O25" s="92" t="inlineStr">
        <is>
          <t>BOR FY</t>
        </is>
      </c>
      <c r="P25" s="109" t="n">
        <v>2342340</v>
      </c>
      <c r="Q25" s="92" t="inlineStr">
        <is>
          <t>EUR</t>
        </is>
      </c>
      <c r="R25" s="92" t="inlineStr">
        <is>
          <t>Synthetische vastgelegde invoer; geen echte historie</t>
        </is>
      </c>
      <c r="S25" s="15" t="str">
        <f>IF(J25="","",J25&amp;"|"&amp;E25&amp;"|"&amp;F25&amp;"|"&amp;I25&amp;"|"&amp;O25)</f>
        <v>G.900005.8.9090|2026|Budget|2027|BOR FY</v>
      </c>
      <c r="T25" s="15">
        <f>IF(OR(S25="",D25&lt;&gt;"Vastgesteld"),"",_xlfn.MAXIFS($G$6:$G$5005,$S$6:$S$5005,S25,$D$6:$D$5005,"Vastgesteld"))</f>
        <v>0</v>
      </c>
      <c r="U25" s="15">
        <f>IF(T25="",0,IF(AND(G25=T25,COUNTIFS($S$6:S25,S25,$G$6:G25,G25,$D$6:D25,"Vastgesteld")=1),1,0))</f>
        <v>1</v>
      </c>
      <c r="V25" s="15">
        <f>IF(T25="",0,IF(AND(G25=T25,COUNTIFS($S$6:S25,S25,$G$6:G25,G25,$D$6:D25,"Vastgesteld")&gt;1),1,0))</f>
        <v>0</v>
      </c>
    </row>
    <row r="26">
      <c r="A26" s="92" t="inlineStr">
        <is>
          <t>HIST-2026-Budget</t>
        </is>
      </c>
      <c r="B26" s="92" t="inlineStr">
        <is>
          <t>RDFO_FICTIEVE_historie_en_mapping.xlsx</t>
        </is>
      </c>
      <c r="C26" s="108" t="n">
        <v>46324</v>
      </c>
      <c r="D26" s="92" t="inlineStr">
        <is>
          <t>Vastgesteld</t>
        </is>
      </c>
      <c r="E26" s="92" t="n">
        <v>2026</v>
      </c>
      <c r="F26" s="92" t="inlineStr">
        <is>
          <t>Budget</t>
        </is>
      </c>
      <c r="G26" s="92" t="n">
        <v>0</v>
      </c>
      <c r="H26" s="108" t="n">
        <v>46022</v>
      </c>
      <c r="I26" s="92" t="n">
        <v>2026</v>
      </c>
      <c r="J26" s="92" t="inlineStr">
        <is>
          <t>G.900006.8.9090</t>
        </is>
      </c>
      <c r="K26" s="92" t="inlineStr">
        <is>
          <t>G.900006</t>
        </is>
      </c>
      <c r="L26" s="92" t="inlineStr">
        <is>
          <t>Boswaard, De Eiken</t>
        </is>
      </c>
      <c r="M26" s="92" t="inlineStr">
        <is>
          <t>Opstal</t>
        </is>
      </c>
      <c r="N26" s="92" t="inlineStr">
        <is>
          <t>J</t>
        </is>
      </c>
      <c r="O26" s="92" t="inlineStr">
        <is>
          <t>Omzet FY</t>
        </is>
      </c>
      <c r="P26" s="109" t="n">
        <v>5909760</v>
      </c>
      <c r="Q26" s="92" t="inlineStr">
        <is>
          <t>EUR</t>
        </is>
      </c>
      <c r="R26" s="92" t="inlineStr">
        <is>
          <t>Synthetische vastgelegde invoer; geen echte historie</t>
        </is>
      </c>
      <c r="S26" s="15" t="str">
        <f>IF(J26="","",J26&amp;"|"&amp;E26&amp;"|"&amp;F26&amp;"|"&amp;I26&amp;"|"&amp;O26)</f>
        <v>G.900006.8.9090|2026|Budget|2026|Omzet FY</v>
      </c>
      <c r="T26" s="15">
        <f>IF(OR(S26="",D26&lt;&gt;"Vastgesteld"),"",_xlfn.MAXIFS($G$6:$G$5005,$S$6:$S$5005,S26,$D$6:$D$5005,"Vastgesteld"))</f>
        <v>0</v>
      </c>
      <c r="U26" s="15">
        <f>IF(T26="",0,IF(AND(G26=T26,COUNTIFS($S$6:S26,S26,$G$6:G26,G26,$D$6:D26,"Vastgesteld")=1),1,0))</f>
        <v>1</v>
      </c>
      <c r="V26" s="15">
        <f>IF(T26="",0,IF(AND(G26=T26,COUNTIFS($S$6:S26,S26,$G$6:G26,G26,$D$6:D26,"Vastgesteld")&gt;1),1,0))</f>
        <v>0</v>
      </c>
    </row>
    <row r="27">
      <c r="A27" s="92" t="inlineStr">
        <is>
          <t>HIST-2026-Budget</t>
        </is>
      </c>
      <c r="B27" s="92" t="inlineStr">
        <is>
          <t>RDFO_FICTIEVE_historie_en_mapping.xlsx</t>
        </is>
      </c>
      <c r="C27" s="108" t="n">
        <v>46324</v>
      </c>
      <c r="D27" s="92" t="inlineStr">
        <is>
          <t>Vastgesteld</t>
        </is>
      </c>
      <c r="E27" s="92" t="n">
        <v>2026</v>
      </c>
      <c r="F27" s="92" t="inlineStr">
        <is>
          <t>Budget</t>
        </is>
      </c>
      <c r="G27" s="92" t="n">
        <v>0</v>
      </c>
      <c r="H27" s="108" t="n">
        <v>46022</v>
      </c>
      <c r="I27" s="92" t="n">
        <v>2026</v>
      </c>
      <c r="J27" s="92" t="inlineStr">
        <is>
          <t>G.900006.8.9090</t>
        </is>
      </c>
      <c r="K27" s="92" t="inlineStr">
        <is>
          <t>G.900006</t>
        </is>
      </c>
      <c r="L27" s="92" t="inlineStr">
        <is>
          <t>Boswaard, De Eiken</t>
        </is>
      </c>
      <c r="M27" s="92" t="inlineStr">
        <is>
          <t>Opstal</t>
        </is>
      </c>
      <c r="N27" s="92" t="inlineStr">
        <is>
          <t>J</t>
        </is>
      </c>
      <c r="O27" s="92" t="inlineStr">
        <is>
          <t>BOR FY</t>
        </is>
      </c>
      <c r="P27" s="109" t="n">
        <v>827366.4</v>
      </c>
      <c r="Q27" s="92" t="inlineStr">
        <is>
          <t>EUR</t>
        </is>
      </c>
      <c r="R27" s="92" t="inlineStr">
        <is>
          <t>Synthetische vastgelegde invoer; geen echte historie</t>
        </is>
      </c>
      <c r="S27" s="15" t="str">
        <f>IF(J27="","",J27&amp;"|"&amp;E27&amp;"|"&amp;F27&amp;"|"&amp;I27&amp;"|"&amp;O27)</f>
        <v>G.900006.8.9090|2026|Budget|2026|BOR FY</v>
      </c>
      <c r="T27" s="15">
        <f>IF(OR(S27="",D27&lt;&gt;"Vastgesteld"),"",_xlfn.MAXIFS($G$6:$G$5005,$S$6:$S$5005,S27,$D$6:$D$5005,"Vastgesteld"))</f>
        <v>0</v>
      </c>
      <c r="U27" s="15">
        <f>IF(T27="",0,IF(AND(G27=T27,COUNTIFS($S$6:S27,S27,$G$6:G27,G27,$D$6:D27,"Vastgesteld")=1),1,0))</f>
        <v>1</v>
      </c>
      <c r="V27" s="15">
        <f>IF(T27="",0,IF(AND(G27=T27,COUNTIFS($S$6:S27,S27,$G$6:G27,G27,$D$6:D27,"Vastgesteld")&gt;1),1,0))</f>
        <v>0</v>
      </c>
    </row>
    <row r="28">
      <c r="A28" s="92" t="inlineStr">
        <is>
          <t>HIST-2026-Budget</t>
        </is>
      </c>
      <c r="B28" s="92" t="inlineStr">
        <is>
          <t>RDFO_FICTIEVE_historie_en_mapping.xlsx</t>
        </is>
      </c>
      <c r="C28" s="108" t="n">
        <v>46324</v>
      </c>
      <c r="D28" s="92" t="inlineStr">
        <is>
          <t>Vastgesteld</t>
        </is>
      </c>
      <c r="E28" s="92" t="n">
        <v>2026</v>
      </c>
      <c r="F28" s="92" t="inlineStr">
        <is>
          <t>Budget</t>
        </is>
      </c>
      <c r="G28" s="92" t="n">
        <v>0</v>
      </c>
      <c r="H28" s="108" t="n">
        <v>46022</v>
      </c>
      <c r="I28" s="92" t="n">
        <v>2027</v>
      </c>
      <c r="J28" s="92" t="inlineStr">
        <is>
          <t>G.900006.8.9090</t>
        </is>
      </c>
      <c r="K28" s="92" t="inlineStr">
        <is>
          <t>G.900006</t>
        </is>
      </c>
      <c r="L28" s="92" t="inlineStr">
        <is>
          <t>Boswaard, De Eiken</t>
        </is>
      </c>
      <c r="M28" s="92" t="inlineStr">
        <is>
          <t>Opstal</t>
        </is>
      </c>
      <c r="N28" s="92" t="inlineStr">
        <is>
          <t>J</t>
        </is>
      </c>
      <c r="O28" s="92" t="inlineStr">
        <is>
          <t>Omzet FY</t>
        </is>
      </c>
      <c r="P28" s="109" t="n">
        <v>6267456</v>
      </c>
      <c r="Q28" s="92" t="inlineStr">
        <is>
          <t>EUR</t>
        </is>
      </c>
      <c r="R28" s="92" t="inlineStr">
        <is>
          <t>Synthetische vastgelegde invoer; geen echte historie</t>
        </is>
      </c>
      <c r="S28" s="15" t="str">
        <f>IF(J28="","",J28&amp;"|"&amp;E28&amp;"|"&amp;F28&amp;"|"&amp;I28&amp;"|"&amp;O28)</f>
        <v>G.900006.8.9090|2026|Budget|2027|Omzet FY</v>
      </c>
      <c r="T28" s="15">
        <f>IF(OR(S28="",D28&lt;&gt;"Vastgesteld"),"",_xlfn.MAXIFS($G$6:$G$5005,$S$6:$S$5005,S28,$D$6:$D$5005,"Vastgesteld"))</f>
        <v>0</v>
      </c>
      <c r="U28" s="15">
        <f>IF(T28="",0,IF(AND(G28=T28,COUNTIFS($S$6:S28,S28,$G$6:G28,G28,$D$6:D28,"Vastgesteld")=1),1,0))</f>
        <v>1</v>
      </c>
      <c r="V28" s="15">
        <f>IF(T28="",0,IF(AND(G28=T28,COUNTIFS($S$6:S28,S28,$G$6:G28,G28,$D$6:D28,"Vastgesteld")&gt;1),1,0))</f>
        <v>0</v>
      </c>
    </row>
    <row r="29">
      <c r="A29" s="92" t="inlineStr">
        <is>
          <t>HIST-2026-Budget</t>
        </is>
      </c>
      <c r="B29" s="92" t="inlineStr">
        <is>
          <t>RDFO_FICTIEVE_historie_en_mapping.xlsx</t>
        </is>
      </c>
      <c r="C29" s="108" t="n">
        <v>46324</v>
      </c>
      <c r="D29" s="92" t="inlineStr">
        <is>
          <t>Vastgesteld</t>
        </is>
      </c>
      <c r="E29" s="92" t="n">
        <v>2026</v>
      </c>
      <c r="F29" s="92" t="inlineStr">
        <is>
          <t>Budget</t>
        </is>
      </c>
      <c r="G29" s="92" t="n">
        <v>0</v>
      </c>
      <c r="H29" s="108" t="n">
        <v>46022</v>
      </c>
      <c r="I29" s="92" t="n">
        <v>2027</v>
      </c>
      <c r="J29" s="92" t="inlineStr">
        <is>
          <t>G.900006.8.9090</t>
        </is>
      </c>
      <c r="K29" s="92" t="inlineStr">
        <is>
          <t>G.900006</t>
        </is>
      </c>
      <c r="L29" s="92" t="inlineStr">
        <is>
          <t>Boswaard, De Eiken</t>
        </is>
      </c>
      <c r="M29" s="92" t="inlineStr">
        <is>
          <t>Opstal</t>
        </is>
      </c>
      <c r="N29" s="92" t="inlineStr">
        <is>
          <t>J</t>
        </is>
      </c>
      <c r="O29" s="92" t="inlineStr">
        <is>
          <t>BOR FY</t>
        </is>
      </c>
      <c r="P29" s="109" t="n">
        <v>877443.84</v>
      </c>
      <c r="Q29" s="92" t="inlineStr">
        <is>
          <t>EUR</t>
        </is>
      </c>
      <c r="R29" s="92" t="inlineStr">
        <is>
          <t>Synthetische vastgelegde invoer; geen echte historie</t>
        </is>
      </c>
      <c r="S29" s="15" t="str">
        <f>IF(J29="","",J29&amp;"|"&amp;E29&amp;"|"&amp;F29&amp;"|"&amp;I29&amp;"|"&amp;O29)</f>
        <v>G.900006.8.9090|2026|Budget|2027|BOR FY</v>
      </c>
      <c r="T29" s="15">
        <f>IF(OR(S29="",D29&lt;&gt;"Vastgesteld"),"",_xlfn.MAXIFS($G$6:$G$5005,$S$6:$S$5005,S29,$D$6:$D$5005,"Vastgesteld"))</f>
        <v>0</v>
      </c>
      <c r="U29" s="15">
        <f>IF(T29="",0,IF(AND(G29=T29,COUNTIFS($S$6:S29,S29,$G$6:G29,G29,$D$6:D29,"Vastgesteld")=1),1,0))</f>
        <v>1</v>
      </c>
      <c r="V29" s="15">
        <f>IF(T29="",0,IF(AND(G29=T29,COUNTIFS($S$6:S29,S29,$G$6:G29,G29,$D$6:D29,"Vastgesteld")&gt;1),1,0))</f>
        <v>0</v>
      </c>
    </row>
    <row r="30">
      <c r="A30" s="92" t="inlineStr">
        <is>
          <t>HIST-2026-Budget</t>
        </is>
      </c>
      <c r="B30" s="92" t="inlineStr">
        <is>
          <t>RDFO_FICTIEVE_historie_en_mapping.xlsx</t>
        </is>
      </c>
      <c r="C30" s="108" t="n">
        <v>46324</v>
      </c>
      <c r="D30" s="92" t="inlineStr">
        <is>
          <t>Vastgesteld</t>
        </is>
      </c>
      <c r="E30" s="92" t="n">
        <v>2026</v>
      </c>
      <c r="F30" s="92" t="inlineStr">
        <is>
          <t>Budget</t>
        </is>
      </c>
      <c r="G30" s="92" t="n">
        <v>0</v>
      </c>
      <c r="H30" s="108" t="n">
        <v>46022</v>
      </c>
      <c r="I30" s="92" t="n">
        <v>2026</v>
      </c>
      <c r="J30" s="92" t="inlineStr">
        <is>
          <t>G.900007.8.9090</t>
        </is>
      </c>
      <c r="K30" s="92" t="inlineStr">
        <is>
          <t>G.900007</t>
        </is>
      </c>
      <c r="L30" s="92" t="inlineStr">
        <is>
          <t>Rietdam, Havenkwartier</t>
        </is>
      </c>
      <c r="M30" s="92" t="inlineStr">
        <is>
          <t>Opstal</t>
        </is>
      </c>
      <c r="N30" s="92" t="inlineStr">
        <is>
          <t>J</t>
        </is>
      </c>
      <c r="O30" s="92" t="inlineStr">
        <is>
          <t>Omzet FY</t>
        </is>
      </c>
      <c r="P30" s="109" t="n">
        <v>6688000</v>
      </c>
      <c r="Q30" s="92" t="inlineStr">
        <is>
          <t>EUR</t>
        </is>
      </c>
      <c r="R30" s="92" t="inlineStr">
        <is>
          <t>Synthetische vastgelegde invoer; geen echte historie</t>
        </is>
      </c>
      <c r="S30" s="15" t="str">
        <f>IF(J30="","",J30&amp;"|"&amp;E30&amp;"|"&amp;F30&amp;"|"&amp;I30&amp;"|"&amp;O30)</f>
        <v>G.900007.8.9090|2026|Budget|2026|Omzet FY</v>
      </c>
      <c r="T30" s="15">
        <f>IF(OR(S30="",D30&lt;&gt;"Vastgesteld"),"",_xlfn.MAXIFS($G$6:$G$5005,$S$6:$S$5005,S30,$D$6:$D$5005,"Vastgesteld"))</f>
        <v>0</v>
      </c>
      <c r="U30" s="15">
        <f>IF(T30="",0,IF(AND(G30=T30,COUNTIFS($S$6:S30,S30,$G$6:G30,G30,$D$6:D30,"Vastgesteld")=1),1,0))</f>
        <v>1</v>
      </c>
      <c r="V30" s="15">
        <f>IF(T30="",0,IF(AND(G30=T30,COUNTIFS($S$6:S30,S30,$G$6:G30,G30,$D$6:D30,"Vastgesteld")&gt;1),1,0))</f>
        <v>0</v>
      </c>
    </row>
    <row r="31">
      <c r="A31" s="92" t="inlineStr">
        <is>
          <t>HIST-2026-Budget</t>
        </is>
      </c>
      <c r="B31" s="92" t="inlineStr">
        <is>
          <t>RDFO_FICTIEVE_historie_en_mapping.xlsx</t>
        </is>
      </c>
      <c r="C31" s="108" t="n">
        <v>46324</v>
      </c>
      <c r="D31" s="92" t="inlineStr">
        <is>
          <t>Vastgesteld</t>
        </is>
      </c>
      <c r="E31" s="92" t="n">
        <v>2026</v>
      </c>
      <c r="F31" s="92" t="inlineStr">
        <is>
          <t>Budget</t>
        </is>
      </c>
      <c r="G31" s="92" t="n">
        <v>0</v>
      </c>
      <c r="H31" s="108" t="n">
        <v>46022</v>
      </c>
      <c r="I31" s="92" t="n">
        <v>2026</v>
      </c>
      <c r="J31" s="92" t="inlineStr">
        <is>
          <t>G.900007.8.9090</t>
        </is>
      </c>
      <c r="K31" s="92" t="inlineStr">
        <is>
          <t>G.900007</t>
        </is>
      </c>
      <c r="L31" s="92" t="inlineStr">
        <is>
          <t>Rietdam, Havenkwartier</t>
        </is>
      </c>
      <c r="M31" s="92" t="inlineStr">
        <is>
          <t>Opstal</t>
        </is>
      </c>
      <c r="N31" s="92" t="inlineStr">
        <is>
          <t>J</t>
        </is>
      </c>
      <c r="O31" s="92" t="inlineStr">
        <is>
          <t>BOR FY</t>
        </is>
      </c>
      <c r="P31" s="109" t="n">
        <v>668800</v>
      </c>
      <c r="Q31" s="92" t="inlineStr">
        <is>
          <t>EUR</t>
        </is>
      </c>
      <c r="R31" s="92" t="inlineStr">
        <is>
          <t>Synthetische vastgelegde invoer; geen echte historie</t>
        </is>
      </c>
      <c r="S31" s="15" t="str">
        <f>IF(J31="","",J31&amp;"|"&amp;E31&amp;"|"&amp;F31&amp;"|"&amp;I31&amp;"|"&amp;O31)</f>
        <v>G.900007.8.9090|2026|Budget|2026|BOR FY</v>
      </c>
      <c r="T31" s="15">
        <f>IF(OR(S31="",D31&lt;&gt;"Vastgesteld"),"",_xlfn.MAXIFS($G$6:$G$5005,$S$6:$S$5005,S31,$D$6:$D$5005,"Vastgesteld"))</f>
        <v>0</v>
      </c>
      <c r="U31" s="15">
        <f>IF(T31="",0,IF(AND(G31=T31,COUNTIFS($S$6:S31,S31,$G$6:G31,G31,$D$6:D31,"Vastgesteld")=1),1,0))</f>
        <v>1</v>
      </c>
      <c r="V31" s="15">
        <f>IF(T31="",0,IF(AND(G31=T31,COUNTIFS($S$6:S31,S31,$G$6:G31,G31,$D$6:D31,"Vastgesteld")&gt;1),1,0))</f>
        <v>0</v>
      </c>
    </row>
    <row r="32">
      <c r="A32" s="92" t="inlineStr">
        <is>
          <t>HIST-2026-Budget</t>
        </is>
      </c>
      <c r="B32" s="92" t="inlineStr">
        <is>
          <t>RDFO_FICTIEVE_historie_en_mapping.xlsx</t>
        </is>
      </c>
      <c r="C32" s="108" t="n">
        <v>46324</v>
      </c>
      <c r="D32" s="92" t="inlineStr">
        <is>
          <t>Vastgesteld</t>
        </is>
      </c>
      <c r="E32" s="92" t="n">
        <v>2026</v>
      </c>
      <c r="F32" s="92" t="inlineStr">
        <is>
          <t>Budget</t>
        </is>
      </c>
      <c r="G32" s="92" t="n">
        <v>0</v>
      </c>
      <c r="H32" s="108" t="n">
        <v>46022</v>
      </c>
      <c r="I32" s="92" t="n">
        <v>2027</v>
      </c>
      <c r="J32" s="92" t="inlineStr">
        <is>
          <t>G.900007.8.9090</t>
        </is>
      </c>
      <c r="K32" s="92" t="inlineStr">
        <is>
          <t>G.900007</t>
        </is>
      </c>
      <c r="L32" s="92" t="inlineStr">
        <is>
          <t>Rietdam, Havenkwartier</t>
        </is>
      </c>
      <c r="M32" s="92" t="inlineStr">
        <is>
          <t>Opstal</t>
        </is>
      </c>
      <c r="N32" s="92" t="inlineStr">
        <is>
          <t>J</t>
        </is>
      </c>
      <c r="O32" s="92" t="inlineStr">
        <is>
          <t>Omzet FY</t>
        </is>
      </c>
      <c r="P32" s="109" t="n">
        <v>13041600</v>
      </c>
      <c r="Q32" s="92" t="inlineStr">
        <is>
          <t>EUR</t>
        </is>
      </c>
      <c r="R32" s="92" t="inlineStr">
        <is>
          <t>Synthetische vastgelegde invoer; geen echte historie</t>
        </is>
      </c>
      <c r="S32" s="15" t="str">
        <f>IF(J32="","",J32&amp;"|"&amp;E32&amp;"|"&amp;F32&amp;"|"&amp;I32&amp;"|"&amp;O32)</f>
        <v>G.900007.8.9090|2026|Budget|2027|Omzet FY</v>
      </c>
      <c r="T32" s="15">
        <f>IF(OR(S32="",D32&lt;&gt;"Vastgesteld"),"",_xlfn.MAXIFS($G$6:$G$5005,$S$6:$S$5005,S32,$D$6:$D$5005,"Vastgesteld"))</f>
        <v>0</v>
      </c>
      <c r="U32" s="15">
        <f>IF(T32="",0,IF(AND(G32=T32,COUNTIFS($S$6:S32,S32,$G$6:G32,G32,$D$6:D32,"Vastgesteld")=1),1,0))</f>
        <v>1</v>
      </c>
      <c r="V32" s="15">
        <f>IF(T32="",0,IF(AND(G32=T32,COUNTIFS($S$6:S32,S32,$G$6:G32,G32,$D$6:D32,"Vastgesteld")&gt;1),1,0))</f>
        <v>0</v>
      </c>
    </row>
    <row r="33">
      <c r="A33" s="92" t="inlineStr">
        <is>
          <t>HIST-2026-Budget</t>
        </is>
      </c>
      <c r="B33" s="92" t="inlineStr">
        <is>
          <t>RDFO_FICTIEVE_historie_en_mapping.xlsx</t>
        </is>
      </c>
      <c r="C33" s="108" t="n">
        <v>46324</v>
      </c>
      <c r="D33" s="92" t="inlineStr">
        <is>
          <t>Vastgesteld</t>
        </is>
      </c>
      <c r="E33" s="92" t="n">
        <v>2026</v>
      </c>
      <c r="F33" s="92" t="inlineStr">
        <is>
          <t>Budget</t>
        </is>
      </c>
      <c r="G33" s="92" t="n">
        <v>0</v>
      </c>
      <c r="H33" s="108" t="n">
        <v>46022</v>
      </c>
      <c r="I33" s="92" t="n">
        <v>2027</v>
      </c>
      <c r="J33" s="92" t="inlineStr">
        <is>
          <t>G.900007.8.9090</t>
        </is>
      </c>
      <c r="K33" s="92" t="inlineStr">
        <is>
          <t>G.900007</t>
        </is>
      </c>
      <c r="L33" s="92" t="inlineStr">
        <is>
          <t>Rietdam, Havenkwartier</t>
        </is>
      </c>
      <c r="M33" s="92" t="inlineStr">
        <is>
          <t>Opstal</t>
        </is>
      </c>
      <c r="N33" s="92" t="inlineStr">
        <is>
          <t>J</t>
        </is>
      </c>
      <c r="O33" s="92" t="inlineStr">
        <is>
          <t>BOR FY</t>
        </is>
      </c>
      <c r="P33" s="109" t="n">
        <v>1304160</v>
      </c>
      <c r="Q33" s="92" t="inlineStr">
        <is>
          <t>EUR</t>
        </is>
      </c>
      <c r="R33" s="92" t="inlineStr">
        <is>
          <t>Synthetische vastgelegde invoer; geen echte historie</t>
        </is>
      </c>
      <c r="S33" s="15" t="str">
        <f>IF(J33="","",J33&amp;"|"&amp;E33&amp;"|"&amp;F33&amp;"|"&amp;I33&amp;"|"&amp;O33)</f>
        <v>G.900007.8.9090|2026|Budget|2027|BOR FY</v>
      </c>
      <c r="T33" s="15">
        <f>IF(OR(S33="",D33&lt;&gt;"Vastgesteld"),"",_xlfn.MAXIFS($G$6:$G$5005,$S$6:$S$5005,S33,$D$6:$D$5005,"Vastgesteld"))</f>
        <v>0</v>
      </c>
      <c r="U33" s="15">
        <f>IF(T33="",0,IF(AND(G33=T33,COUNTIFS($S$6:S33,S33,$G$6:G33,G33,$D$6:D33,"Vastgesteld")=1),1,0))</f>
        <v>1</v>
      </c>
      <c r="V33" s="15">
        <f>IF(T33="",0,IF(AND(G33=T33,COUNTIFS($S$6:S33,S33,$G$6:G33,G33,$D$6:D33,"Vastgesteld")&gt;1),1,0))</f>
        <v>0</v>
      </c>
    </row>
    <row r="34">
      <c r="A34" s="92" t="inlineStr">
        <is>
          <t>HIST-2026-Budget</t>
        </is>
      </c>
      <c r="B34" s="92" t="inlineStr">
        <is>
          <t>RDFO_FICTIEVE_historie_en_mapping.xlsx</t>
        </is>
      </c>
      <c r="C34" s="108" t="n">
        <v>46324</v>
      </c>
      <c r="D34" s="92" t="inlineStr">
        <is>
          <t>Vastgesteld</t>
        </is>
      </c>
      <c r="E34" s="92" t="n">
        <v>2026</v>
      </c>
      <c r="F34" s="92" t="inlineStr">
        <is>
          <t>Budget</t>
        </is>
      </c>
      <c r="G34" s="92" t="n">
        <v>0</v>
      </c>
      <c r="H34" s="108" t="n">
        <v>46022</v>
      </c>
      <c r="I34" s="92" t="n">
        <v>2026</v>
      </c>
      <c r="J34" s="92" t="inlineStr">
        <is>
          <t>G.900008.8.9090</t>
        </is>
      </c>
      <c r="K34" s="92" t="inlineStr">
        <is>
          <t>G.900008</t>
        </is>
      </c>
      <c r="L34" s="92" t="inlineStr">
        <is>
          <t>Lindehaven, De Brink</t>
        </is>
      </c>
      <c r="M34" s="92" t="inlineStr">
        <is>
          <t>Opstal</t>
        </is>
      </c>
      <c r="N34" s="92" t="inlineStr">
        <is>
          <t>J</t>
        </is>
      </c>
      <c r="O34" s="92" t="inlineStr">
        <is>
          <t>Omzet FY</t>
        </is>
      </c>
      <c r="P34" s="109" t="n">
        <v>1757700</v>
      </c>
      <c r="Q34" s="92" t="inlineStr">
        <is>
          <t>EUR</t>
        </is>
      </c>
      <c r="R34" s="92" t="inlineStr">
        <is>
          <t>Synthetische vastgelegde invoer; geen echte historie</t>
        </is>
      </c>
      <c r="S34" s="15" t="str">
        <f>IF(J34="","",J34&amp;"|"&amp;E34&amp;"|"&amp;F34&amp;"|"&amp;I34&amp;"|"&amp;O34)</f>
        <v>G.900008.8.9090|2026|Budget|2026|Omzet FY</v>
      </c>
      <c r="T34" s="15">
        <f>IF(OR(S34="",D34&lt;&gt;"Vastgesteld"),"",_xlfn.MAXIFS($G$6:$G$5005,$S$6:$S$5005,S34,$D$6:$D$5005,"Vastgesteld"))</f>
        <v>0</v>
      </c>
      <c r="U34" s="15">
        <f>IF(T34="",0,IF(AND(G34=T34,COUNTIFS($S$6:S34,S34,$G$6:G34,G34,$D$6:D34,"Vastgesteld")=1),1,0))</f>
        <v>1</v>
      </c>
      <c r="V34" s="15">
        <f>IF(T34="",0,IF(AND(G34=T34,COUNTIFS($S$6:S34,S34,$G$6:G34,G34,$D$6:D34,"Vastgesteld")&gt;1),1,0))</f>
        <v>0</v>
      </c>
    </row>
    <row r="35">
      <c r="A35" s="92" t="inlineStr">
        <is>
          <t>HIST-2026-Budget</t>
        </is>
      </c>
      <c r="B35" s="92" t="inlineStr">
        <is>
          <t>RDFO_FICTIEVE_historie_en_mapping.xlsx</t>
        </is>
      </c>
      <c r="C35" s="108" t="n">
        <v>46324</v>
      </c>
      <c r="D35" s="92" t="inlineStr">
        <is>
          <t>Vastgesteld</t>
        </is>
      </c>
      <c r="E35" s="92" t="n">
        <v>2026</v>
      </c>
      <c r="F35" s="92" t="inlineStr">
        <is>
          <t>Budget</t>
        </is>
      </c>
      <c r="G35" s="92" t="n">
        <v>0</v>
      </c>
      <c r="H35" s="108" t="n">
        <v>46022</v>
      </c>
      <c r="I35" s="92" t="n">
        <v>2026</v>
      </c>
      <c r="J35" s="92" t="inlineStr">
        <is>
          <t>G.900008.8.9090</t>
        </is>
      </c>
      <c r="K35" s="92" t="inlineStr">
        <is>
          <t>G.900008</t>
        </is>
      </c>
      <c r="L35" s="92" t="inlineStr">
        <is>
          <t>Lindehaven, De Brink</t>
        </is>
      </c>
      <c r="M35" s="92" t="inlineStr">
        <is>
          <t>Opstal</t>
        </is>
      </c>
      <c r="N35" s="92" t="inlineStr">
        <is>
          <t>J</t>
        </is>
      </c>
      <c r="O35" s="92" t="inlineStr">
        <is>
          <t>BOR FY</t>
        </is>
      </c>
      <c r="P35" s="109" t="n">
        <v>-52731</v>
      </c>
      <c r="Q35" s="92" t="inlineStr">
        <is>
          <t>EUR</t>
        </is>
      </c>
      <c r="R35" s="92" t="inlineStr">
        <is>
          <t>Synthetische vastgelegde invoer; geen echte historie</t>
        </is>
      </c>
      <c r="S35" s="15" t="str">
        <f>IF(J35="","",J35&amp;"|"&amp;E35&amp;"|"&amp;F35&amp;"|"&amp;I35&amp;"|"&amp;O35)</f>
        <v>G.900008.8.9090|2026|Budget|2026|BOR FY</v>
      </c>
      <c r="T35" s="15">
        <f>IF(OR(S35="",D35&lt;&gt;"Vastgesteld"),"",_xlfn.MAXIFS($G$6:$G$5005,$S$6:$S$5005,S35,$D$6:$D$5005,"Vastgesteld"))</f>
        <v>0</v>
      </c>
      <c r="U35" s="15">
        <f>IF(T35="",0,IF(AND(G35=T35,COUNTIFS($S$6:S35,S35,$G$6:G35,G35,$D$6:D35,"Vastgesteld")=1),1,0))</f>
        <v>1</v>
      </c>
      <c r="V35" s="15">
        <f>IF(T35="",0,IF(AND(G35=T35,COUNTIFS($S$6:S35,S35,$G$6:G35,G35,$D$6:D35,"Vastgesteld")&gt;1),1,0))</f>
        <v>0</v>
      </c>
    </row>
    <row r="36">
      <c r="A36" s="92" t="inlineStr">
        <is>
          <t>HIST-2026-Budget</t>
        </is>
      </c>
      <c r="B36" s="92" t="inlineStr">
        <is>
          <t>RDFO_FICTIEVE_historie_en_mapping.xlsx</t>
        </is>
      </c>
      <c r="C36" s="108" t="n">
        <v>46324</v>
      </c>
      <c r="D36" s="92" t="inlineStr">
        <is>
          <t>Vastgesteld</t>
        </is>
      </c>
      <c r="E36" s="92" t="n">
        <v>2026</v>
      </c>
      <c r="F36" s="92" t="inlineStr">
        <is>
          <t>Budget</t>
        </is>
      </c>
      <c r="G36" s="92" t="n">
        <v>0</v>
      </c>
      <c r="H36" s="108" t="n">
        <v>46022</v>
      </c>
      <c r="I36" s="92" t="n">
        <v>2027</v>
      </c>
      <c r="J36" s="92" t="inlineStr">
        <is>
          <t>G.900008.8.9090</t>
        </is>
      </c>
      <c r="K36" s="92" t="inlineStr">
        <is>
          <t>G.900008</t>
        </is>
      </c>
      <c r="L36" s="92" t="inlineStr">
        <is>
          <t>Lindehaven, De Brink</t>
        </is>
      </c>
      <c r="M36" s="92" t="inlineStr">
        <is>
          <t>Opstal</t>
        </is>
      </c>
      <c r="N36" s="92" t="inlineStr">
        <is>
          <t>J</t>
        </is>
      </c>
      <c r="O36" s="92" t="inlineStr">
        <is>
          <t>Omzet FY</t>
        </is>
      </c>
      <c r="P36" s="109" t="n">
        <v>6474195</v>
      </c>
      <c r="Q36" s="92" t="inlineStr">
        <is>
          <t>EUR</t>
        </is>
      </c>
      <c r="R36" s="92" t="inlineStr">
        <is>
          <t>Synthetische vastgelegde invoer; geen echte historie</t>
        </is>
      </c>
      <c r="S36" s="15" t="str">
        <f>IF(J36="","",J36&amp;"|"&amp;E36&amp;"|"&amp;F36&amp;"|"&amp;I36&amp;"|"&amp;O36)</f>
        <v>G.900008.8.9090|2026|Budget|2027|Omzet FY</v>
      </c>
      <c r="T36" s="15">
        <f>IF(OR(S36="",D36&lt;&gt;"Vastgesteld"),"",_xlfn.MAXIFS($G$6:$G$5005,$S$6:$S$5005,S36,$D$6:$D$5005,"Vastgesteld"))</f>
        <v>0</v>
      </c>
      <c r="U36" s="15">
        <f>IF(T36="",0,IF(AND(G36=T36,COUNTIFS($S$6:S36,S36,$G$6:G36,G36,$D$6:D36,"Vastgesteld")=1),1,0))</f>
        <v>1</v>
      </c>
      <c r="V36" s="15">
        <f>IF(T36="",0,IF(AND(G36=T36,COUNTIFS($S$6:S36,S36,$G$6:G36,G36,$D$6:D36,"Vastgesteld")&gt;1),1,0))</f>
        <v>0</v>
      </c>
    </row>
    <row r="37">
      <c r="A37" s="92" t="inlineStr">
        <is>
          <t>HIST-2026-Budget</t>
        </is>
      </c>
      <c r="B37" s="92" t="inlineStr">
        <is>
          <t>RDFO_FICTIEVE_historie_en_mapping.xlsx</t>
        </is>
      </c>
      <c r="C37" s="108" t="n">
        <v>46324</v>
      </c>
      <c r="D37" s="92" t="inlineStr">
        <is>
          <t>Vastgesteld</t>
        </is>
      </c>
      <c r="E37" s="92" t="n">
        <v>2026</v>
      </c>
      <c r="F37" s="92" t="inlineStr">
        <is>
          <t>Budget</t>
        </is>
      </c>
      <c r="G37" s="92" t="n">
        <v>0</v>
      </c>
      <c r="H37" s="108" t="n">
        <v>46022</v>
      </c>
      <c r="I37" s="92" t="n">
        <v>2027</v>
      </c>
      <c r="J37" s="92" t="inlineStr">
        <is>
          <t>G.900008.8.9090</t>
        </is>
      </c>
      <c r="K37" s="92" t="inlineStr">
        <is>
          <t>G.900008</t>
        </is>
      </c>
      <c r="L37" s="92" t="inlineStr">
        <is>
          <t>Lindehaven, De Brink</t>
        </is>
      </c>
      <c r="M37" s="92" t="inlineStr">
        <is>
          <t>Opstal</t>
        </is>
      </c>
      <c r="N37" s="92" t="inlineStr">
        <is>
          <t>J</t>
        </is>
      </c>
      <c r="O37" s="92" t="inlineStr">
        <is>
          <t>BOR FY</t>
        </is>
      </c>
      <c r="P37" s="109" t="n">
        <v>-194225.85</v>
      </c>
      <c r="Q37" s="92" t="inlineStr">
        <is>
          <t>EUR</t>
        </is>
      </c>
      <c r="R37" s="92" t="inlineStr">
        <is>
          <t>Synthetische vastgelegde invoer; geen echte historie</t>
        </is>
      </c>
      <c r="S37" s="15" t="str">
        <f>IF(J37="","",J37&amp;"|"&amp;E37&amp;"|"&amp;F37&amp;"|"&amp;I37&amp;"|"&amp;O37)</f>
        <v>G.900008.8.9090|2026|Budget|2027|BOR FY</v>
      </c>
      <c r="T37" s="15">
        <f>IF(OR(S37="",D37&lt;&gt;"Vastgesteld"),"",_xlfn.MAXIFS($G$6:$G$5005,$S$6:$S$5005,S37,$D$6:$D$5005,"Vastgesteld"))</f>
        <v>0</v>
      </c>
      <c r="U37" s="15">
        <f>IF(T37="",0,IF(AND(G37=T37,COUNTIFS($S$6:S37,S37,$G$6:G37,G37,$D$6:D37,"Vastgesteld")=1),1,0))</f>
        <v>1</v>
      </c>
      <c r="V37" s="15">
        <f>IF(T37="",0,IF(AND(G37=T37,COUNTIFS($S$6:S37,S37,$G$6:G37,G37,$D$6:D37,"Vastgesteld")&gt;1),1,0))</f>
        <v>0</v>
      </c>
    </row>
    <row r="38">
      <c r="A38" s="92" t="inlineStr">
        <is>
          <t>HIST-2026-Budget</t>
        </is>
      </c>
      <c r="B38" s="92" t="inlineStr">
        <is>
          <t>RDFO_FICTIEVE_historie_en_mapping.xlsx</t>
        </is>
      </c>
      <c r="C38" s="108" t="n">
        <v>46324</v>
      </c>
      <c r="D38" s="92" t="inlineStr">
        <is>
          <t>Vastgesteld</t>
        </is>
      </c>
      <c r="E38" s="92" t="n">
        <v>2026</v>
      </c>
      <c r="F38" s="92" t="inlineStr">
        <is>
          <t>Budget</t>
        </is>
      </c>
      <c r="G38" s="92" t="n">
        <v>0</v>
      </c>
      <c r="H38" s="108" t="n">
        <v>46022</v>
      </c>
      <c r="I38" s="92" t="n">
        <v>2026</v>
      </c>
      <c r="J38" s="92" t="inlineStr">
        <is>
          <t>G.900009.8.9090</t>
        </is>
      </c>
      <c r="K38" s="92" t="inlineStr">
        <is>
          <t>G.900009</t>
        </is>
      </c>
      <c r="L38" s="92" t="inlineStr">
        <is>
          <t>Duinwaard, Duinrand</t>
        </is>
      </c>
      <c r="M38" s="92" t="inlineStr">
        <is>
          <t>Opstal</t>
        </is>
      </c>
      <c r="N38" s="92" t="inlineStr">
        <is>
          <t>J</t>
        </is>
      </c>
      <c r="O38" s="92" t="inlineStr">
        <is>
          <t>Omzet FY</t>
        </is>
      </c>
      <c r="P38" s="109" t="n">
        <v>18295200</v>
      </c>
      <c r="Q38" s="92" t="inlineStr">
        <is>
          <t>EUR</t>
        </is>
      </c>
      <c r="R38" s="92" t="inlineStr">
        <is>
          <t>Synthetische vastgelegde invoer; geen echte historie</t>
        </is>
      </c>
      <c r="S38" s="15" t="str">
        <f>IF(J38="","",J38&amp;"|"&amp;E38&amp;"|"&amp;F38&amp;"|"&amp;I38&amp;"|"&amp;O38)</f>
        <v>G.900009.8.9090|2026|Budget|2026|Omzet FY</v>
      </c>
      <c r="T38" s="15">
        <f>IF(OR(S38="",D38&lt;&gt;"Vastgesteld"),"",_xlfn.MAXIFS($G$6:$G$5005,$S$6:$S$5005,S38,$D$6:$D$5005,"Vastgesteld"))</f>
        <v>0</v>
      </c>
      <c r="U38" s="15">
        <f>IF(T38="",0,IF(AND(G38=T38,COUNTIFS($S$6:S38,S38,$G$6:G38,G38,$D$6:D38,"Vastgesteld")=1),1,0))</f>
        <v>1</v>
      </c>
      <c r="V38" s="15">
        <f>IF(T38="",0,IF(AND(G38=T38,COUNTIFS($S$6:S38,S38,$G$6:G38,G38,$D$6:D38,"Vastgesteld")&gt;1),1,0))</f>
        <v>0</v>
      </c>
    </row>
    <row r="39">
      <c r="A39" s="92" t="inlineStr">
        <is>
          <t>HIST-2026-Budget</t>
        </is>
      </c>
      <c r="B39" s="92" t="inlineStr">
        <is>
          <t>RDFO_FICTIEVE_historie_en_mapping.xlsx</t>
        </is>
      </c>
      <c r="C39" s="108" t="n">
        <v>46324</v>
      </c>
      <c r="D39" s="92" t="inlineStr">
        <is>
          <t>Vastgesteld</t>
        </is>
      </c>
      <c r="E39" s="92" t="n">
        <v>2026</v>
      </c>
      <c r="F39" s="92" t="inlineStr">
        <is>
          <t>Budget</t>
        </is>
      </c>
      <c r="G39" s="92" t="n">
        <v>0</v>
      </c>
      <c r="H39" s="108" t="n">
        <v>46022</v>
      </c>
      <c r="I39" s="92" t="n">
        <v>2026</v>
      </c>
      <c r="J39" s="92" t="inlineStr">
        <is>
          <t>G.900009.8.9090</t>
        </is>
      </c>
      <c r="K39" s="92" t="inlineStr">
        <is>
          <t>G.900009</t>
        </is>
      </c>
      <c r="L39" s="92" t="inlineStr">
        <is>
          <t>Duinwaard, Duinrand</t>
        </is>
      </c>
      <c r="M39" s="92" t="inlineStr">
        <is>
          <t>Opstal</t>
        </is>
      </c>
      <c r="N39" s="92" t="inlineStr">
        <is>
          <t>J</t>
        </is>
      </c>
      <c r="O39" s="92" t="inlineStr">
        <is>
          <t>BOR FY</t>
        </is>
      </c>
      <c r="P39" s="109" t="n">
        <v>1463616</v>
      </c>
      <c r="Q39" s="92" t="inlineStr">
        <is>
          <t>EUR</t>
        </is>
      </c>
      <c r="R39" s="92" t="inlineStr">
        <is>
          <t>Synthetische vastgelegde invoer; geen echte historie</t>
        </is>
      </c>
      <c r="S39" s="15" t="str">
        <f>IF(J39="","",J39&amp;"|"&amp;E39&amp;"|"&amp;F39&amp;"|"&amp;I39&amp;"|"&amp;O39)</f>
        <v>G.900009.8.9090|2026|Budget|2026|BOR FY</v>
      </c>
      <c r="T39" s="15">
        <f>IF(OR(S39="",D39&lt;&gt;"Vastgesteld"),"",_xlfn.MAXIFS($G$6:$G$5005,$S$6:$S$5005,S39,$D$6:$D$5005,"Vastgesteld"))</f>
        <v>0</v>
      </c>
      <c r="U39" s="15">
        <f>IF(T39="",0,IF(AND(G39=T39,COUNTIFS($S$6:S39,S39,$G$6:G39,G39,$D$6:D39,"Vastgesteld")=1),1,0))</f>
        <v>1</v>
      </c>
      <c r="V39" s="15">
        <f>IF(T39="",0,IF(AND(G39=T39,COUNTIFS($S$6:S39,S39,$G$6:G39,G39,$D$6:D39,"Vastgesteld")&gt;1),1,0))</f>
        <v>0</v>
      </c>
    </row>
    <row r="40">
      <c r="A40" s="92" t="inlineStr">
        <is>
          <t>HIST-2026-Budget</t>
        </is>
      </c>
      <c r="B40" s="92" t="inlineStr">
        <is>
          <t>RDFO_FICTIEVE_historie_en_mapping.xlsx</t>
        </is>
      </c>
      <c r="C40" s="108" t="n">
        <v>46324</v>
      </c>
      <c r="D40" s="92" t="inlineStr">
        <is>
          <t>Vastgesteld</t>
        </is>
      </c>
      <c r="E40" s="92" t="n">
        <v>2026</v>
      </c>
      <c r="F40" s="92" t="inlineStr">
        <is>
          <t>Budget</t>
        </is>
      </c>
      <c r="G40" s="92" t="n">
        <v>0</v>
      </c>
      <c r="H40" s="108" t="n">
        <v>46022</v>
      </c>
      <c r="I40" s="92" t="n">
        <v>2027</v>
      </c>
      <c r="J40" s="92" t="inlineStr">
        <is>
          <t>G.900009.8.9090</t>
        </is>
      </c>
      <c r="K40" s="92" t="inlineStr">
        <is>
          <t>G.900009</t>
        </is>
      </c>
      <c r="L40" s="92" t="inlineStr">
        <is>
          <t>Duinwaard, Duinrand</t>
        </is>
      </c>
      <c r="M40" s="92" t="inlineStr">
        <is>
          <t>Opstal</t>
        </is>
      </c>
      <c r="N40" s="92" t="inlineStr">
        <is>
          <t>J</t>
        </is>
      </c>
      <c r="O40" s="92" t="inlineStr">
        <is>
          <t>Omzet FY</t>
        </is>
      </c>
      <c r="P40" s="109" t="n">
        <v>16422120</v>
      </c>
      <c r="Q40" s="92" t="inlineStr">
        <is>
          <t>EUR</t>
        </is>
      </c>
      <c r="R40" s="92" t="inlineStr">
        <is>
          <t>Synthetische vastgelegde invoer; geen echte historie</t>
        </is>
      </c>
      <c r="S40" s="15" t="str">
        <f>IF(J40="","",J40&amp;"|"&amp;E40&amp;"|"&amp;F40&amp;"|"&amp;I40&amp;"|"&amp;O40)</f>
        <v>G.900009.8.9090|2026|Budget|2027|Omzet FY</v>
      </c>
      <c r="T40" s="15">
        <f>IF(OR(S40="",D40&lt;&gt;"Vastgesteld"),"",_xlfn.MAXIFS($G$6:$G$5005,$S$6:$S$5005,S40,$D$6:$D$5005,"Vastgesteld"))</f>
        <v>0</v>
      </c>
      <c r="U40" s="15">
        <f>IF(T40="",0,IF(AND(G40=T40,COUNTIFS($S$6:S40,S40,$G$6:G40,G40,$D$6:D40,"Vastgesteld")=1),1,0))</f>
        <v>1</v>
      </c>
      <c r="V40" s="15">
        <f>IF(T40="",0,IF(AND(G40=T40,COUNTIFS($S$6:S40,S40,$G$6:G40,G40,$D$6:D40,"Vastgesteld")&gt;1),1,0))</f>
        <v>0</v>
      </c>
    </row>
    <row r="41">
      <c r="A41" s="92" t="inlineStr">
        <is>
          <t>HIST-2026-Budget</t>
        </is>
      </c>
      <c r="B41" s="92" t="inlineStr">
        <is>
          <t>RDFO_FICTIEVE_historie_en_mapping.xlsx</t>
        </is>
      </c>
      <c r="C41" s="108" t="n">
        <v>46324</v>
      </c>
      <c r="D41" s="92" t="inlineStr">
        <is>
          <t>Vastgesteld</t>
        </is>
      </c>
      <c r="E41" s="92" t="n">
        <v>2026</v>
      </c>
      <c r="F41" s="92" t="inlineStr">
        <is>
          <t>Budget</t>
        </is>
      </c>
      <c r="G41" s="92" t="n">
        <v>0</v>
      </c>
      <c r="H41" s="108" t="n">
        <v>46022</v>
      </c>
      <c r="I41" s="92" t="n">
        <v>2027</v>
      </c>
      <c r="J41" s="92" t="inlineStr">
        <is>
          <t>G.900009.8.9090</t>
        </is>
      </c>
      <c r="K41" s="92" t="inlineStr">
        <is>
          <t>G.900009</t>
        </is>
      </c>
      <c r="L41" s="92" t="inlineStr">
        <is>
          <t>Duinwaard, Duinrand</t>
        </is>
      </c>
      <c r="M41" s="92" t="inlineStr">
        <is>
          <t>Opstal</t>
        </is>
      </c>
      <c r="N41" s="92" t="inlineStr">
        <is>
          <t>J</t>
        </is>
      </c>
      <c r="O41" s="92" t="inlineStr">
        <is>
          <t>BOR FY</t>
        </is>
      </c>
      <c r="P41" s="109" t="n">
        <v>1313769.6</v>
      </c>
      <c r="Q41" s="92" t="inlineStr">
        <is>
          <t>EUR</t>
        </is>
      </c>
      <c r="R41" s="92" t="inlineStr">
        <is>
          <t>Synthetische vastgelegde invoer; geen echte historie</t>
        </is>
      </c>
      <c r="S41" s="15" t="str">
        <f>IF(J41="","",J41&amp;"|"&amp;E41&amp;"|"&amp;F41&amp;"|"&amp;I41&amp;"|"&amp;O41)</f>
        <v>G.900009.8.9090|2026|Budget|2027|BOR FY</v>
      </c>
      <c r="T41" s="15">
        <f>IF(OR(S41="",D41&lt;&gt;"Vastgesteld"),"",_xlfn.MAXIFS($G$6:$G$5005,$S$6:$S$5005,S41,$D$6:$D$5005,"Vastgesteld"))</f>
        <v>0</v>
      </c>
      <c r="U41" s="15">
        <f>IF(T41="",0,IF(AND(G41=T41,COUNTIFS($S$6:S41,S41,$G$6:G41,G41,$D$6:D41,"Vastgesteld")=1),1,0))</f>
        <v>1</v>
      </c>
      <c r="V41" s="15">
        <f>IF(T41="",0,IF(AND(G41=T41,COUNTIFS($S$6:S41,S41,$G$6:G41,G41,$D$6:D41,"Vastgesteld")&gt;1),1,0))</f>
        <v>0</v>
      </c>
    </row>
    <row r="42">
      <c r="A42" s="92" t="inlineStr">
        <is>
          <t>HIST-2026-Budget</t>
        </is>
      </c>
      <c r="B42" s="92" t="inlineStr">
        <is>
          <t>RDFO_FICTIEVE_historie_en_mapping.xlsx</t>
        </is>
      </c>
      <c r="C42" s="108" t="n">
        <v>46324</v>
      </c>
      <c r="D42" s="92" t="inlineStr">
        <is>
          <t>Vastgesteld</t>
        </is>
      </c>
      <c r="E42" s="92" t="n">
        <v>2026</v>
      </c>
      <c r="F42" s="92" t="inlineStr">
        <is>
          <t>Budget</t>
        </is>
      </c>
      <c r="G42" s="92" t="n">
        <v>0</v>
      </c>
      <c r="H42" s="108" t="n">
        <v>46022</v>
      </c>
      <c r="I42" s="92" t="n">
        <v>2026</v>
      </c>
      <c r="J42" s="92" t="inlineStr">
        <is>
          <t>G.900010.8.9090</t>
        </is>
      </c>
      <c r="K42" s="92" t="inlineStr">
        <is>
          <t>G.900010</t>
        </is>
      </c>
      <c r="L42" s="92" t="inlineStr">
        <is>
          <t>Veldendam, Groene Singel</t>
        </is>
      </c>
      <c r="M42" s="92" t="inlineStr">
        <is>
          <t>Opstal</t>
        </is>
      </c>
      <c r="N42" s="92" t="inlineStr">
        <is>
          <t>J</t>
        </is>
      </c>
      <c r="O42" s="92" t="inlineStr">
        <is>
          <t>Omzet FY</t>
        </is>
      </c>
      <c r="P42" s="109" t="n">
        <v>2818800</v>
      </c>
      <c r="Q42" s="92" t="inlineStr">
        <is>
          <t>EUR</t>
        </is>
      </c>
      <c r="R42" s="92" t="inlineStr">
        <is>
          <t>Synthetische vastgelegde invoer; geen echte historie</t>
        </is>
      </c>
      <c r="S42" s="15" t="str">
        <f>IF(J42="","",J42&amp;"|"&amp;E42&amp;"|"&amp;F42&amp;"|"&amp;I42&amp;"|"&amp;O42)</f>
        <v>G.900010.8.9090|2026|Budget|2026|Omzet FY</v>
      </c>
      <c r="T42" s="15">
        <f>IF(OR(S42="",D42&lt;&gt;"Vastgesteld"),"",_xlfn.MAXIFS($G$6:$G$5005,$S$6:$S$5005,S42,$D$6:$D$5005,"Vastgesteld"))</f>
        <v>0</v>
      </c>
      <c r="U42" s="15">
        <f>IF(T42="",0,IF(AND(G42=T42,COUNTIFS($S$6:S42,S42,$G$6:G42,G42,$D$6:D42,"Vastgesteld")=1),1,0))</f>
        <v>1</v>
      </c>
      <c r="V42" s="15">
        <f>IF(T42="",0,IF(AND(G42=T42,COUNTIFS($S$6:S42,S42,$G$6:G42,G42,$D$6:D42,"Vastgesteld")&gt;1),1,0))</f>
        <v>0</v>
      </c>
    </row>
    <row r="43">
      <c r="A43" s="92" t="inlineStr">
        <is>
          <t>HIST-2026-Budget</t>
        </is>
      </c>
      <c r="B43" s="92" t="inlineStr">
        <is>
          <t>RDFO_FICTIEVE_historie_en_mapping.xlsx</t>
        </is>
      </c>
      <c r="C43" s="108" t="n">
        <v>46324</v>
      </c>
      <c r="D43" s="92" t="inlineStr">
        <is>
          <t>Vastgesteld</t>
        </is>
      </c>
      <c r="E43" s="92" t="n">
        <v>2026</v>
      </c>
      <c r="F43" s="92" t="inlineStr">
        <is>
          <t>Budget</t>
        </is>
      </c>
      <c r="G43" s="92" t="n">
        <v>0</v>
      </c>
      <c r="H43" s="108" t="n">
        <v>46022</v>
      </c>
      <c r="I43" s="92" t="n">
        <v>2026</v>
      </c>
      <c r="J43" s="92" t="inlineStr">
        <is>
          <t>G.900010.8.9090</t>
        </is>
      </c>
      <c r="K43" s="92" t="inlineStr">
        <is>
          <t>G.900010</t>
        </is>
      </c>
      <c r="L43" s="92" t="inlineStr">
        <is>
          <t>Veldendam, Groene Singel</t>
        </is>
      </c>
      <c r="M43" s="92" t="inlineStr">
        <is>
          <t>Opstal</t>
        </is>
      </c>
      <c r="N43" s="92" t="inlineStr">
        <is>
          <t>J</t>
        </is>
      </c>
      <c r="O43" s="92" t="inlineStr">
        <is>
          <t>BOR FY</t>
        </is>
      </c>
      <c r="P43" s="109" t="n">
        <v>366444</v>
      </c>
      <c r="Q43" s="92" t="inlineStr">
        <is>
          <t>EUR</t>
        </is>
      </c>
      <c r="R43" s="92" t="inlineStr">
        <is>
          <t>Synthetische vastgelegde invoer; geen echte historie</t>
        </is>
      </c>
      <c r="S43" s="15" t="str">
        <f>IF(J43="","",J43&amp;"|"&amp;E43&amp;"|"&amp;F43&amp;"|"&amp;I43&amp;"|"&amp;O43)</f>
        <v>G.900010.8.9090|2026|Budget|2026|BOR FY</v>
      </c>
      <c r="T43" s="15">
        <f>IF(OR(S43="",D43&lt;&gt;"Vastgesteld"),"",_xlfn.MAXIFS($G$6:$G$5005,$S$6:$S$5005,S43,$D$6:$D$5005,"Vastgesteld"))</f>
        <v>0</v>
      </c>
      <c r="U43" s="15">
        <f>IF(T43="",0,IF(AND(G43=T43,COUNTIFS($S$6:S43,S43,$G$6:G43,G43,$D$6:D43,"Vastgesteld")=1),1,0))</f>
        <v>1</v>
      </c>
      <c r="V43" s="15">
        <f>IF(T43="",0,IF(AND(G43=T43,COUNTIFS($S$6:S43,S43,$G$6:G43,G43,$D$6:D43,"Vastgesteld")&gt;1),1,0))</f>
        <v>0</v>
      </c>
    </row>
    <row r="44">
      <c r="A44" s="92" t="inlineStr">
        <is>
          <t>HIST-2026-Budget</t>
        </is>
      </c>
      <c r="B44" s="92" t="inlineStr">
        <is>
          <t>RDFO_FICTIEVE_historie_en_mapping.xlsx</t>
        </is>
      </c>
      <c r="C44" s="108" t="n">
        <v>46324</v>
      </c>
      <c r="D44" s="92" t="inlineStr">
        <is>
          <t>Vastgesteld</t>
        </is>
      </c>
      <c r="E44" s="92" t="n">
        <v>2026</v>
      </c>
      <c r="F44" s="92" t="inlineStr">
        <is>
          <t>Budget</t>
        </is>
      </c>
      <c r="G44" s="92" t="n">
        <v>0</v>
      </c>
      <c r="H44" s="108" t="n">
        <v>46022</v>
      </c>
      <c r="I44" s="92" t="n">
        <v>2027</v>
      </c>
      <c r="J44" s="92" t="inlineStr">
        <is>
          <t>G.900010.8.9090</t>
        </is>
      </c>
      <c r="K44" s="92" t="inlineStr">
        <is>
          <t>G.900010</t>
        </is>
      </c>
      <c r="L44" s="92" t="inlineStr">
        <is>
          <t>Veldendam, Groene Singel</t>
        </is>
      </c>
      <c r="M44" s="92" t="inlineStr">
        <is>
          <t>Opstal</t>
        </is>
      </c>
      <c r="N44" s="92" t="inlineStr">
        <is>
          <t>J</t>
        </is>
      </c>
      <c r="O44" s="92" t="inlineStr">
        <is>
          <t>Omzet FY</t>
        </is>
      </c>
      <c r="P44" s="109" t="n">
        <v>16489980</v>
      </c>
      <c r="Q44" s="92" t="inlineStr">
        <is>
          <t>EUR</t>
        </is>
      </c>
      <c r="R44" s="92" t="inlineStr">
        <is>
          <t>Synthetische vastgelegde invoer; geen echte historie</t>
        </is>
      </c>
      <c r="S44" s="15" t="str">
        <f>IF(J44="","",J44&amp;"|"&amp;E44&amp;"|"&amp;F44&amp;"|"&amp;I44&amp;"|"&amp;O44)</f>
        <v>G.900010.8.9090|2026|Budget|2027|Omzet FY</v>
      </c>
      <c r="T44" s="15">
        <f>IF(OR(S44="",D44&lt;&gt;"Vastgesteld"),"",_xlfn.MAXIFS($G$6:$G$5005,$S$6:$S$5005,S44,$D$6:$D$5005,"Vastgesteld"))</f>
        <v>0</v>
      </c>
      <c r="U44" s="15">
        <f>IF(T44="",0,IF(AND(G44=T44,COUNTIFS($S$6:S44,S44,$G$6:G44,G44,$D$6:D44,"Vastgesteld")=1),1,0))</f>
        <v>1</v>
      </c>
      <c r="V44" s="15">
        <f>IF(T44="",0,IF(AND(G44=T44,COUNTIFS($S$6:S44,S44,$G$6:G44,G44,$D$6:D44,"Vastgesteld")&gt;1),1,0))</f>
        <v>0</v>
      </c>
    </row>
    <row r="45">
      <c r="A45" s="92" t="inlineStr">
        <is>
          <t>HIST-2026-Budget</t>
        </is>
      </c>
      <c r="B45" s="92" t="inlineStr">
        <is>
          <t>RDFO_FICTIEVE_historie_en_mapping.xlsx</t>
        </is>
      </c>
      <c r="C45" s="108" t="n">
        <v>46324</v>
      </c>
      <c r="D45" s="92" t="inlineStr">
        <is>
          <t>Vastgesteld</t>
        </is>
      </c>
      <c r="E45" s="92" t="n">
        <v>2026</v>
      </c>
      <c r="F45" s="92" t="inlineStr">
        <is>
          <t>Budget</t>
        </is>
      </c>
      <c r="G45" s="92" t="n">
        <v>0</v>
      </c>
      <c r="H45" s="108" t="n">
        <v>46022</v>
      </c>
      <c r="I45" s="92" t="n">
        <v>2027</v>
      </c>
      <c r="J45" s="92" t="inlineStr">
        <is>
          <t>G.900010.8.9090</t>
        </is>
      </c>
      <c r="K45" s="92" t="inlineStr">
        <is>
          <t>G.900010</t>
        </is>
      </c>
      <c r="L45" s="92" t="inlineStr">
        <is>
          <t>Veldendam, Groene Singel</t>
        </is>
      </c>
      <c r="M45" s="92" t="inlineStr">
        <is>
          <t>Opstal</t>
        </is>
      </c>
      <c r="N45" s="92" t="inlineStr">
        <is>
          <t>J</t>
        </is>
      </c>
      <c r="O45" s="92" t="inlineStr">
        <is>
          <t>BOR FY</t>
        </is>
      </c>
      <c r="P45" s="109" t="n">
        <v>2143697.4</v>
      </c>
      <c r="Q45" s="92" t="inlineStr">
        <is>
          <t>EUR</t>
        </is>
      </c>
      <c r="R45" s="92" t="inlineStr">
        <is>
          <t>Synthetische vastgelegde invoer; geen echte historie</t>
        </is>
      </c>
      <c r="S45" s="15" t="str">
        <f>IF(J45="","",J45&amp;"|"&amp;E45&amp;"|"&amp;F45&amp;"|"&amp;I45&amp;"|"&amp;O45)</f>
        <v>G.900010.8.9090|2026|Budget|2027|BOR FY</v>
      </c>
      <c r="T45" s="15">
        <f>IF(OR(S45="",D45&lt;&gt;"Vastgesteld"),"",_xlfn.MAXIFS($G$6:$G$5005,$S$6:$S$5005,S45,$D$6:$D$5005,"Vastgesteld"))</f>
        <v>0</v>
      </c>
      <c r="U45" s="15">
        <f>IF(T45="",0,IF(AND(G45=T45,COUNTIFS($S$6:S45,S45,$G$6:G45,G45,$D$6:D45,"Vastgesteld")=1),1,0))</f>
        <v>1</v>
      </c>
      <c r="V45" s="15">
        <f>IF(T45="",0,IF(AND(G45=T45,COUNTIFS($S$6:S45,S45,$G$6:G45,G45,$D$6:D45,"Vastgesteld")&gt;1),1,0))</f>
        <v>0</v>
      </c>
    </row>
    <row r="46">
      <c r="A46" s="92" t="inlineStr">
        <is>
          <t>HIST-2026-Budget</t>
        </is>
      </c>
      <c r="B46" s="92" t="inlineStr">
        <is>
          <t>RDFO_FICTIEVE_historie_en_mapping.xlsx</t>
        </is>
      </c>
      <c r="C46" s="108" t="n">
        <v>46324</v>
      </c>
      <c r="D46" s="92" t="inlineStr">
        <is>
          <t>Vastgesteld</t>
        </is>
      </c>
      <c r="E46" s="92" t="n">
        <v>2026</v>
      </c>
      <c r="F46" s="92" t="inlineStr">
        <is>
          <t>Budget</t>
        </is>
      </c>
      <c r="G46" s="92" t="n">
        <v>0</v>
      </c>
      <c r="H46" s="108" t="n">
        <v>46022</v>
      </c>
      <c r="I46" s="92" t="n">
        <v>2026</v>
      </c>
      <c r="J46" s="92" t="inlineStr">
        <is>
          <t>G.900011.8.9090</t>
        </is>
      </c>
      <c r="K46" s="92" t="inlineStr">
        <is>
          <t>G.900011</t>
        </is>
      </c>
      <c r="L46" s="92" t="inlineStr">
        <is>
          <t>Meerhovenstad, Hofstaete</t>
        </is>
      </c>
      <c r="M46" s="92" t="inlineStr">
        <is>
          <t>Opstal</t>
        </is>
      </c>
      <c r="N46" s="92" t="inlineStr">
        <is>
          <t>J</t>
        </is>
      </c>
      <c r="O46" s="92" t="inlineStr">
        <is>
          <t>Omzet FY</t>
        </is>
      </c>
      <c r="P46" s="109" t="n">
        <v>16051200</v>
      </c>
      <c r="Q46" s="92" t="inlineStr">
        <is>
          <t>EUR</t>
        </is>
      </c>
      <c r="R46" s="92" t="inlineStr">
        <is>
          <t>Synthetische vastgelegde invoer; geen echte historie</t>
        </is>
      </c>
      <c r="S46" s="15" t="str">
        <f>IF(J46="","",J46&amp;"|"&amp;E46&amp;"|"&amp;F46&amp;"|"&amp;I46&amp;"|"&amp;O46)</f>
        <v>G.900011.8.9090|2026|Budget|2026|Omzet FY</v>
      </c>
      <c r="T46" s="15">
        <f>IF(OR(S46="",D46&lt;&gt;"Vastgesteld"),"",_xlfn.MAXIFS($G$6:$G$5005,$S$6:$S$5005,S46,$D$6:$D$5005,"Vastgesteld"))</f>
        <v>0</v>
      </c>
      <c r="U46" s="15">
        <f>IF(T46="",0,IF(AND(G46=T46,COUNTIFS($S$6:S46,S46,$G$6:G46,G46,$D$6:D46,"Vastgesteld")=1),1,0))</f>
        <v>1</v>
      </c>
      <c r="V46" s="15">
        <f>IF(T46="",0,IF(AND(G46=T46,COUNTIFS($S$6:S46,S46,$G$6:G46,G46,$D$6:D46,"Vastgesteld")&gt;1),1,0))</f>
        <v>0</v>
      </c>
    </row>
    <row r="47">
      <c r="A47" s="92" t="inlineStr">
        <is>
          <t>HIST-2026-Budget</t>
        </is>
      </c>
      <c r="B47" s="92" t="inlineStr">
        <is>
          <t>RDFO_FICTIEVE_historie_en_mapping.xlsx</t>
        </is>
      </c>
      <c r="C47" s="108" t="n">
        <v>46324</v>
      </c>
      <c r="D47" s="92" t="inlineStr">
        <is>
          <t>Vastgesteld</t>
        </is>
      </c>
      <c r="E47" s="92" t="n">
        <v>2026</v>
      </c>
      <c r="F47" s="92" t="inlineStr">
        <is>
          <t>Budget</t>
        </is>
      </c>
      <c r="G47" s="92" t="n">
        <v>0</v>
      </c>
      <c r="H47" s="108" t="n">
        <v>46022</v>
      </c>
      <c r="I47" s="92" t="n">
        <v>2026</v>
      </c>
      <c r="J47" s="92" t="inlineStr">
        <is>
          <t>G.900011.8.9090</t>
        </is>
      </c>
      <c r="K47" s="92" t="inlineStr">
        <is>
          <t>G.900011</t>
        </is>
      </c>
      <c r="L47" s="92" t="inlineStr">
        <is>
          <t>Meerhovenstad, Hofstaete</t>
        </is>
      </c>
      <c r="M47" s="92" t="inlineStr">
        <is>
          <t>Opstal</t>
        </is>
      </c>
      <c r="N47" s="92" t="inlineStr">
        <is>
          <t>J</t>
        </is>
      </c>
      <c r="O47" s="92" t="inlineStr">
        <is>
          <t>BOR FY</t>
        </is>
      </c>
      <c r="P47" s="109" t="n">
        <v>1444608</v>
      </c>
      <c r="Q47" s="92" t="inlineStr">
        <is>
          <t>EUR</t>
        </is>
      </c>
      <c r="R47" s="92" t="inlineStr">
        <is>
          <t>Synthetische vastgelegde invoer; geen echte historie</t>
        </is>
      </c>
      <c r="S47" s="15" t="str">
        <f>IF(J47="","",J47&amp;"|"&amp;E47&amp;"|"&amp;F47&amp;"|"&amp;I47&amp;"|"&amp;O47)</f>
        <v>G.900011.8.9090|2026|Budget|2026|BOR FY</v>
      </c>
      <c r="T47" s="15">
        <f>IF(OR(S47="",D47&lt;&gt;"Vastgesteld"),"",_xlfn.MAXIFS($G$6:$G$5005,$S$6:$S$5005,S47,$D$6:$D$5005,"Vastgesteld"))</f>
        <v>0</v>
      </c>
      <c r="U47" s="15">
        <f>IF(T47="",0,IF(AND(G47=T47,COUNTIFS($S$6:S47,S47,$G$6:G47,G47,$D$6:D47,"Vastgesteld")=1),1,0))</f>
        <v>1</v>
      </c>
      <c r="V47" s="15">
        <f>IF(T47="",0,IF(AND(G47=T47,COUNTIFS($S$6:S47,S47,$G$6:G47,G47,$D$6:D47,"Vastgesteld")&gt;1),1,0))</f>
        <v>0</v>
      </c>
    </row>
    <row r="48">
      <c r="A48" s="92" t="inlineStr">
        <is>
          <t>HIST-2026-Budget</t>
        </is>
      </c>
      <c r="B48" s="92" t="inlineStr">
        <is>
          <t>RDFO_FICTIEVE_historie_en_mapping.xlsx</t>
        </is>
      </c>
      <c r="C48" s="108" t="n">
        <v>46324</v>
      </c>
      <c r="D48" s="92" t="inlineStr">
        <is>
          <t>Vastgesteld</t>
        </is>
      </c>
      <c r="E48" s="92" t="n">
        <v>2026</v>
      </c>
      <c r="F48" s="92" t="inlineStr">
        <is>
          <t>Budget</t>
        </is>
      </c>
      <c r="G48" s="92" t="n">
        <v>0</v>
      </c>
      <c r="H48" s="108" t="n">
        <v>46022</v>
      </c>
      <c r="I48" s="92" t="n">
        <v>2027</v>
      </c>
      <c r="J48" s="92" t="inlineStr">
        <is>
          <t>G.900011.8.9090</t>
        </is>
      </c>
      <c r="K48" s="92" t="inlineStr">
        <is>
          <t>G.900011</t>
        </is>
      </c>
      <c r="L48" s="92" t="inlineStr">
        <is>
          <t>Meerhovenstad, Hofstaete</t>
        </is>
      </c>
      <c r="M48" s="92" t="inlineStr">
        <is>
          <t>Opstal</t>
        </is>
      </c>
      <c r="N48" s="92" t="inlineStr">
        <is>
          <t>J</t>
        </is>
      </c>
      <c r="O48" s="92" t="inlineStr">
        <is>
          <t>Omzet FY</t>
        </is>
      </c>
      <c r="P48" s="109" t="n">
        <v>17022720</v>
      </c>
      <c r="Q48" s="92" t="inlineStr">
        <is>
          <t>EUR</t>
        </is>
      </c>
      <c r="R48" s="92" t="inlineStr">
        <is>
          <t>Synthetische vastgelegde invoer; geen echte historie</t>
        </is>
      </c>
      <c r="S48" s="15" t="str">
        <f>IF(J48="","",J48&amp;"|"&amp;E48&amp;"|"&amp;F48&amp;"|"&amp;I48&amp;"|"&amp;O48)</f>
        <v>G.900011.8.9090|2026|Budget|2027|Omzet FY</v>
      </c>
      <c r="T48" s="15">
        <f>IF(OR(S48="",D48&lt;&gt;"Vastgesteld"),"",_xlfn.MAXIFS($G$6:$G$5005,$S$6:$S$5005,S48,$D$6:$D$5005,"Vastgesteld"))</f>
        <v>0</v>
      </c>
      <c r="U48" s="15">
        <f>IF(T48="",0,IF(AND(G48=T48,COUNTIFS($S$6:S48,S48,$G$6:G48,G48,$D$6:D48,"Vastgesteld")=1),1,0))</f>
        <v>1</v>
      </c>
      <c r="V48" s="15">
        <f>IF(T48="",0,IF(AND(G48=T48,COUNTIFS($S$6:S48,S48,$G$6:G48,G48,$D$6:D48,"Vastgesteld")&gt;1),1,0))</f>
        <v>0</v>
      </c>
    </row>
    <row r="49">
      <c r="A49" s="92" t="inlineStr">
        <is>
          <t>HIST-2026-Budget</t>
        </is>
      </c>
      <c r="B49" s="92" t="inlineStr">
        <is>
          <t>RDFO_FICTIEVE_historie_en_mapping.xlsx</t>
        </is>
      </c>
      <c r="C49" s="108" t="n">
        <v>46324</v>
      </c>
      <c r="D49" s="92" t="inlineStr">
        <is>
          <t>Vastgesteld</t>
        </is>
      </c>
      <c r="E49" s="92" t="n">
        <v>2026</v>
      </c>
      <c r="F49" s="92" t="inlineStr">
        <is>
          <t>Budget</t>
        </is>
      </c>
      <c r="G49" s="92" t="n">
        <v>0</v>
      </c>
      <c r="H49" s="108" t="n">
        <v>46022</v>
      </c>
      <c r="I49" s="92" t="n">
        <v>2027</v>
      </c>
      <c r="J49" s="92" t="inlineStr">
        <is>
          <t>G.900011.8.9090</t>
        </is>
      </c>
      <c r="K49" s="92" t="inlineStr">
        <is>
          <t>G.900011</t>
        </is>
      </c>
      <c r="L49" s="92" t="inlineStr">
        <is>
          <t>Meerhovenstad, Hofstaete</t>
        </is>
      </c>
      <c r="M49" s="92" t="inlineStr">
        <is>
          <t>Opstal</t>
        </is>
      </c>
      <c r="N49" s="92" t="inlineStr">
        <is>
          <t>J</t>
        </is>
      </c>
      <c r="O49" s="92" t="inlineStr">
        <is>
          <t>BOR FY</t>
        </is>
      </c>
      <c r="P49" s="109" t="n">
        <v>1532044.8</v>
      </c>
      <c r="Q49" s="92" t="inlineStr">
        <is>
          <t>EUR</t>
        </is>
      </c>
      <c r="R49" s="92" t="inlineStr">
        <is>
          <t>Synthetische vastgelegde invoer; geen echte historie</t>
        </is>
      </c>
      <c r="S49" s="15" t="str">
        <f>IF(J49="","",J49&amp;"|"&amp;E49&amp;"|"&amp;F49&amp;"|"&amp;I49&amp;"|"&amp;O49)</f>
        <v>G.900011.8.9090|2026|Budget|2027|BOR FY</v>
      </c>
      <c r="T49" s="15">
        <f>IF(OR(S49="",D49&lt;&gt;"Vastgesteld"),"",_xlfn.MAXIFS($G$6:$G$5005,$S$6:$S$5005,S49,$D$6:$D$5005,"Vastgesteld"))</f>
        <v>0</v>
      </c>
      <c r="U49" s="15">
        <f>IF(T49="",0,IF(AND(G49=T49,COUNTIFS($S$6:S49,S49,$G$6:G49,G49,$D$6:D49,"Vastgesteld")=1),1,0))</f>
        <v>1</v>
      </c>
      <c r="V49" s="15">
        <f>IF(T49="",0,IF(AND(G49=T49,COUNTIFS($S$6:S49,S49,$G$6:G49,G49,$D$6:D49,"Vastgesteld")&gt;1),1,0))</f>
        <v>0</v>
      </c>
    </row>
    <row r="50">
      <c r="A50" s="92" t="inlineStr">
        <is>
          <t>HIST-2026-Budget</t>
        </is>
      </c>
      <c r="B50" s="92" t="inlineStr">
        <is>
          <t>RDFO_FICTIEVE_historie_en_mapping.xlsx</t>
        </is>
      </c>
      <c r="C50" s="108" t="n">
        <v>46324</v>
      </c>
      <c r="D50" s="92" t="inlineStr">
        <is>
          <t>Vastgesteld</t>
        </is>
      </c>
      <c r="E50" s="92" t="n">
        <v>2026</v>
      </c>
      <c r="F50" s="92" t="inlineStr">
        <is>
          <t>Budget</t>
        </is>
      </c>
      <c r="G50" s="92" t="n">
        <v>0</v>
      </c>
      <c r="H50" s="108" t="n">
        <v>46022</v>
      </c>
      <c r="I50" s="92" t="n">
        <v>2026</v>
      </c>
      <c r="J50" s="92" t="inlineStr">
        <is>
          <t>G.900012.8.9090</t>
        </is>
      </c>
      <c r="K50" s="92" t="inlineStr">
        <is>
          <t>G.900012</t>
        </is>
      </c>
      <c r="L50" s="92" t="inlineStr">
        <is>
          <t>Zilverdam, De Werf</t>
        </is>
      </c>
      <c r="M50" s="92" t="inlineStr">
        <is>
          <t>Deelneming</t>
        </is>
      </c>
      <c r="N50" s="92" t="inlineStr">
        <is>
          <t>N</t>
        </is>
      </c>
      <c r="O50" s="92" t="inlineStr">
        <is>
          <t>Omzet FY</t>
        </is>
      </c>
      <c r="P50" s="109" t="n">
        <v>1291500</v>
      </c>
      <c r="Q50" s="92" t="inlineStr">
        <is>
          <t>EUR</t>
        </is>
      </c>
      <c r="R50" s="92" t="inlineStr">
        <is>
          <t>Synthetische vastgelegde invoer; geen echte historie</t>
        </is>
      </c>
      <c r="S50" s="15" t="str">
        <f>IF(J50="","",J50&amp;"|"&amp;E50&amp;"|"&amp;F50&amp;"|"&amp;I50&amp;"|"&amp;O50)</f>
        <v>G.900012.8.9090|2026|Budget|2026|Omzet FY</v>
      </c>
      <c r="T50" s="15">
        <f>IF(OR(S50="",D50&lt;&gt;"Vastgesteld"),"",_xlfn.MAXIFS($G$6:$G$5005,$S$6:$S$5005,S50,$D$6:$D$5005,"Vastgesteld"))</f>
        <v>0</v>
      </c>
      <c r="U50" s="15">
        <f>IF(T50="",0,IF(AND(G50=T50,COUNTIFS($S$6:S50,S50,$G$6:G50,G50,$D$6:D50,"Vastgesteld")=1),1,0))</f>
        <v>1</v>
      </c>
      <c r="V50" s="15">
        <f>IF(T50="",0,IF(AND(G50=T50,COUNTIFS($S$6:S50,S50,$G$6:G50,G50,$D$6:D50,"Vastgesteld")&gt;1),1,0))</f>
        <v>0</v>
      </c>
    </row>
    <row r="51">
      <c r="A51" s="92" t="inlineStr">
        <is>
          <t>HIST-2026-Budget</t>
        </is>
      </c>
      <c r="B51" s="92" t="inlineStr">
        <is>
          <t>RDFO_FICTIEVE_historie_en_mapping.xlsx</t>
        </is>
      </c>
      <c r="C51" s="108" t="n">
        <v>46324</v>
      </c>
      <c r="D51" s="92" t="inlineStr">
        <is>
          <t>Vastgesteld</t>
        </is>
      </c>
      <c r="E51" s="92" t="n">
        <v>2026</v>
      </c>
      <c r="F51" s="92" t="inlineStr">
        <is>
          <t>Budget</t>
        </is>
      </c>
      <c r="G51" s="92" t="n">
        <v>0</v>
      </c>
      <c r="H51" s="108" t="n">
        <v>46022</v>
      </c>
      <c r="I51" s="92" t="n">
        <v>2026</v>
      </c>
      <c r="J51" s="92" t="inlineStr">
        <is>
          <t>G.900012.8.9090</t>
        </is>
      </c>
      <c r="K51" s="92" t="inlineStr">
        <is>
          <t>G.900012</t>
        </is>
      </c>
      <c r="L51" s="92" t="inlineStr">
        <is>
          <t>Zilverdam, De Werf</t>
        </is>
      </c>
      <c r="M51" s="92" t="inlineStr">
        <is>
          <t>Deelneming</t>
        </is>
      </c>
      <c r="N51" s="92" t="inlineStr">
        <is>
          <t>N</t>
        </is>
      </c>
      <c r="O51" s="92" t="inlineStr">
        <is>
          <t>BOR FY</t>
        </is>
      </c>
      <c r="P51" s="109" t="n">
        <v>154980</v>
      </c>
      <c r="Q51" s="92" t="inlineStr">
        <is>
          <t>EUR</t>
        </is>
      </c>
      <c r="R51" s="92" t="inlineStr">
        <is>
          <t>Synthetische vastgelegde invoer; geen echte historie</t>
        </is>
      </c>
      <c r="S51" s="15" t="str">
        <f>IF(J51="","",J51&amp;"|"&amp;E51&amp;"|"&amp;F51&amp;"|"&amp;I51&amp;"|"&amp;O51)</f>
        <v>G.900012.8.9090|2026|Budget|2026|BOR FY</v>
      </c>
      <c r="T51" s="15">
        <f>IF(OR(S51="",D51&lt;&gt;"Vastgesteld"),"",_xlfn.MAXIFS($G$6:$G$5005,$S$6:$S$5005,S51,$D$6:$D$5005,"Vastgesteld"))</f>
        <v>0</v>
      </c>
      <c r="U51" s="15">
        <f>IF(T51="",0,IF(AND(G51=T51,COUNTIFS($S$6:S51,S51,$G$6:G51,G51,$D$6:D51,"Vastgesteld")=1),1,0))</f>
        <v>1</v>
      </c>
      <c r="V51" s="15">
        <f>IF(T51="",0,IF(AND(G51=T51,COUNTIFS($S$6:S51,S51,$G$6:G51,G51,$D$6:D51,"Vastgesteld")&gt;1),1,0))</f>
        <v>0</v>
      </c>
    </row>
    <row r="52">
      <c r="A52" s="92" t="inlineStr">
        <is>
          <t>HIST-2026-Budget</t>
        </is>
      </c>
      <c r="B52" s="92" t="inlineStr">
        <is>
          <t>RDFO_FICTIEVE_historie_en_mapping.xlsx</t>
        </is>
      </c>
      <c r="C52" s="108" t="n">
        <v>46324</v>
      </c>
      <c r="D52" s="92" t="inlineStr">
        <is>
          <t>Vastgesteld</t>
        </is>
      </c>
      <c r="E52" s="92" t="n">
        <v>2026</v>
      </c>
      <c r="F52" s="92" t="inlineStr">
        <is>
          <t>Budget</t>
        </is>
      </c>
      <c r="G52" s="92" t="n">
        <v>0</v>
      </c>
      <c r="H52" s="108" t="n">
        <v>46022</v>
      </c>
      <c r="I52" s="92" t="n">
        <v>2027</v>
      </c>
      <c r="J52" s="92" t="inlineStr">
        <is>
          <t>G.900012.8.9090</t>
        </is>
      </c>
      <c r="K52" s="92" t="inlineStr">
        <is>
          <t>G.900012</t>
        </is>
      </c>
      <c r="L52" s="92" t="inlineStr">
        <is>
          <t>Zilverdam, De Werf</t>
        </is>
      </c>
      <c r="M52" s="92" t="inlineStr">
        <is>
          <t>Deelneming</t>
        </is>
      </c>
      <c r="N52" s="92" t="inlineStr">
        <is>
          <t>N</t>
        </is>
      </c>
      <c r="O52" s="92" t="inlineStr">
        <is>
          <t>Omzet FY</t>
        </is>
      </c>
      <c r="P52" s="109" t="n">
        <v>2518425</v>
      </c>
      <c r="Q52" s="92" t="inlineStr">
        <is>
          <t>EUR</t>
        </is>
      </c>
      <c r="R52" s="92" t="inlineStr">
        <is>
          <t>Synthetische vastgelegde invoer; geen echte historie</t>
        </is>
      </c>
      <c r="S52" s="15" t="str">
        <f>IF(J52="","",J52&amp;"|"&amp;E52&amp;"|"&amp;F52&amp;"|"&amp;I52&amp;"|"&amp;O52)</f>
        <v>G.900012.8.9090|2026|Budget|2027|Omzet FY</v>
      </c>
      <c r="T52" s="15">
        <f>IF(OR(S52="",D52&lt;&gt;"Vastgesteld"),"",_xlfn.MAXIFS($G$6:$G$5005,$S$6:$S$5005,S52,$D$6:$D$5005,"Vastgesteld"))</f>
        <v>0</v>
      </c>
      <c r="U52" s="15">
        <f>IF(T52="",0,IF(AND(G52=T52,COUNTIFS($S$6:S52,S52,$G$6:G52,G52,$D$6:D52,"Vastgesteld")=1),1,0))</f>
        <v>1</v>
      </c>
      <c r="V52" s="15">
        <f>IF(T52="",0,IF(AND(G52=T52,COUNTIFS($S$6:S52,S52,$G$6:G52,G52,$D$6:D52,"Vastgesteld")&gt;1),1,0))</f>
        <v>0</v>
      </c>
    </row>
    <row r="53">
      <c r="A53" s="92" t="inlineStr">
        <is>
          <t>HIST-2026-Budget</t>
        </is>
      </c>
      <c r="B53" s="92" t="inlineStr">
        <is>
          <t>RDFO_FICTIEVE_historie_en_mapping.xlsx</t>
        </is>
      </c>
      <c r="C53" s="108" t="n">
        <v>46324</v>
      </c>
      <c r="D53" s="92" t="inlineStr">
        <is>
          <t>Vastgesteld</t>
        </is>
      </c>
      <c r="E53" s="92" t="n">
        <v>2026</v>
      </c>
      <c r="F53" s="92" t="inlineStr">
        <is>
          <t>Budget</t>
        </is>
      </c>
      <c r="G53" s="92" t="n">
        <v>0</v>
      </c>
      <c r="H53" s="108" t="n">
        <v>46022</v>
      </c>
      <c r="I53" s="92" t="n">
        <v>2027</v>
      </c>
      <c r="J53" s="92" t="inlineStr">
        <is>
          <t>G.900012.8.9090</t>
        </is>
      </c>
      <c r="K53" s="92" t="inlineStr">
        <is>
          <t>G.900012</t>
        </is>
      </c>
      <c r="L53" s="92" t="inlineStr">
        <is>
          <t>Zilverdam, De Werf</t>
        </is>
      </c>
      <c r="M53" s="92" t="inlineStr">
        <is>
          <t>Deelneming</t>
        </is>
      </c>
      <c r="N53" s="92" t="inlineStr">
        <is>
          <t>N</t>
        </is>
      </c>
      <c r="O53" s="92" t="inlineStr">
        <is>
          <t>BOR FY</t>
        </is>
      </c>
      <c r="P53" s="109" t="n">
        <v>302211</v>
      </c>
      <c r="Q53" s="92" t="inlineStr">
        <is>
          <t>EUR</t>
        </is>
      </c>
      <c r="R53" s="92" t="inlineStr">
        <is>
          <t>Synthetische vastgelegde invoer; geen echte historie</t>
        </is>
      </c>
      <c r="S53" s="15" t="str">
        <f>IF(J53="","",J53&amp;"|"&amp;E53&amp;"|"&amp;F53&amp;"|"&amp;I53&amp;"|"&amp;O53)</f>
        <v>G.900012.8.9090|2026|Budget|2027|BOR FY</v>
      </c>
      <c r="T53" s="15">
        <f>IF(OR(S53="",D53&lt;&gt;"Vastgesteld"),"",_xlfn.MAXIFS($G$6:$G$5005,$S$6:$S$5005,S53,$D$6:$D$5005,"Vastgesteld"))</f>
        <v>0</v>
      </c>
      <c r="U53" s="15">
        <f>IF(T53="",0,IF(AND(G53=T53,COUNTIFS($S$6:S53,S53,$G$6:G53,G53,$D$6:D53,"Vastgesteld")=1),1,0))</f>
        <v>1</v>
      </c>
      <c r="V53" s="15">
        <f>IF(T53="",0,IF(AND(G53=T53,COUNTIFS($S$6:S53,S53,$G$6:G53,G53,$D$6:D53,"Vastgesteld")&gt;1),1,0))</f>
        <v>0</v>
      </c>
    </row>
    <row r="54">
      <c r="A54" s="92" t="inlineStr">
        <is>
          <t>HIST-2026-Budget</t>
        </is>
      </c>
      <c r="B54" s="92" t="inlineStr">
        <is>
          <t>RDFO_FICTIEVE_historie_en_mapping.xlsx</t>
        </is>
      </c>
      <c r="C54" s="108" t="n">
        <v>46324</v>
      </c>
      <c r="D54" s="92" t="inlineStr">
        <is>
          <t>Vastgesteld</t>
        </is>
      </c>
      <c r="E54" s="92" t="n">
        <v>2026</v>
      </c>
      <c r="F54" s="92" t="inlineStr">
        <is>
          <t>Budget</t>
        </is>
      </c>
      <c r="G54" s="92" t="n">
        <v>0</v>
      </c>
      <c r="H54" s="108" t="n">
        <v>46022</v>
      </c>
      <c r="I54" s="92" t="n">
        <v>2026</v>
      </c>
      <c r="J54" s="92" t="inlineStr">
        <is>
          <t>G.900013.8.9090</t>
        </is>
      </c>
      <c r="K54" s="92" t="inlineStr">
        <is>
          <t>G.900013</t>
        </is>
      </c>
      <c r="L54" s="92" t="inlineStr">
        <is>
          <t>Boswaard, Boskamers</t>
        </is>
      </c>
      <c r="M54" s="92" t="inlineStr">
        <is>
          <t>Opstal</t>
        </is>
      </c>
      <c r="N54" s="92" t="inlineStr">
        <is>
          <t>J</t>
        </is>
      </c>
      <c r="O54" s="92" t="inlineStr">
        <is>
          <t>Omzet FY</t>
        </is>
      </c>
      <c r="P54" s="109" t="n">
        <v>4158000</v>
      </c>
      <c r="Q54" s="92" t="inlineStr">
        <is>
          <t>EUR</t>
        </is>
      </c>
      <c r="R54" s="92" t="inlineStr">
        <is>
          <t>Synthetische vastgelegde invoer; geen echte historie</t>
        </is>
      </c>
      <c r="S54" s="15" t="str">
        <f>IF(J54="","",J54&amp;"|"&amp;E54&amp;"|"&amp;F54&amp;"|"&amp;I54&amp;"|"&amp;O54)</f>
        <v>G.900013.8.9090|2026|Budget|2026|Omzet FY</v>
      </c>
      <c r="T54" s="15">
        <f>IF(OR(S54="",D54&lt;&gt;"Vastgesteld"),"",_xlfn.MAXIFS($G$6:$G$5005,$S$6:$S$5005,S54,$D$6:$D$5005,"Vastgesteld"))</f>
        <v>0</v>
      </c>
      <c r="U54" s="15">
        <f>IF(T54="",0,IF(AND(G54=T54,COUNTIFS($S$6:S54,S54,$G$6:G54,G54,$D$6:D54,"Vastgesteld")=1),1,0))</f>
        <v>1</v>
      </c>
      <c r="V54" s="15">
        <f>IF(T54="",0,IF(AND(G54=T54,COUNTIFS($S$6:S54,S54,$G$6:G54,G54,$D$6:D54,"Vastgesteld")&gt;1),1,0))</f>
        <v>0</v>
      </c>
    </row>
    <row r="55">
      <c r="A55" s="92" t="inlineStr">
        <is>
          <t>HIST-2026-Budget</t>
        </is>
      </c>
      <c r="B55" s="92" t="inlineStr">
        <is>
          <t>RDFO_FICTIEVE_historie_en_mapping.xlsx</t>
        </is>
      </c>
      <c r="C55" s="108" t="n">
        <v>46324</v>
      </c>
      <c r="D55" s="92" t="inlineStr">
        <is>
          <t>Vastgesteld</t>
        </is>
      </c>
      <c r="E55" s="92" t="n">
        <v>2026</v>
      </c>
      <c r="F55" s="92" t="inlineStr">
        <is>
          <t>Budget</t>
        </is>
      </c>
      <c r="G55" s="92" t="n">
        <v>0</v>
      </c>
      <c r="H55" s="108" t="n">
        <v>46022</v>
      </c>
      <c r="I55" s="92" t="n">
        <v>2026</v>
      </c>
      <c r="J55" s="92" t="inlineStr">
        <is>
          <t>G.900013.8.9090</t>
        </is>
      </c>
      <c r="K55" s="92" t="inlineStr">
        <is>
          <t>G.900013</t>
        </is>
      </c>
      <c r="L55" s="92" t="inlineStr">
        <is>
          <t>Boswaard, Boskamers</t>
        </is>
      </c>
      <c r="M55" s="92" t="inlineStr">
        <is>
          <t>Opstal</t>
        </is>
      </c>
      <c r="N55" s="92" t="inlineStr">
        <is>
          <t>J</t>
        </is>
      </c>
      <c r="O55" s="92" t="inlineStr">
        <is>
          <t>BOR FY</t>
        </is>
      </c>
      <c r="P55" s="109" t="n">
        <v>311850</v>
      </c>
      <c r="Q55" s="92" t="inlineStr">
        <is>
          <t>EUR</t>
        </is>
      </c>
      <c r="R55" s="92" t="inlineStr">
        <is>
          <t>Synthetische vastgelegde invoer; geen echte historie</t>
        </is>
      </c>
      <c r="S55" s="15" t="str">
        <f>IF(J55="","",J55&amp;"|"&amp;E55&amp;"|"&amp;F55&amp;"|"&amp;I55&amp;"|"&amp;O55)</f>
        <v>G.900013.8.9090|2026|Budget|2026|BOR FY</v>
      </c>
      <c r="T55" s="15">
        <f>IF(OR(S55="",D55&lt;&gt;"Vastgesteld"),"",_xlfn.MAXIFS($G$6:$G$5005,$S$6:$S$5005,S55,$D$6:$D$5005,"Vastgesteld"))</f>
        <v>0</v>
      </c>
      <c r="U55" s="15">
        <f>IF(T55="",0,IF(AND(G55=T55,COUNTIFS($S$6:S55,S55,$G$6:G55,G55,$D$6:D55,"Vastgesteld")=1),1,0))</f>
        <v>1</v>
      </c>
      <c r="V55" s="15">
        <f>IF(T55="",0,IF(AND(G55=T55,COUNTIFS($S$6:S55,S55,$G$6:G55,G55,$D$6:D55,"Vastgesteld")&gt;1),1,0))</f>
        <v>0</v>
      </c>
    </row>
    <row r="56">
      <c r="A56" s="92" t="inlineStr">
        <is>
          <t>HIST-2026-Budget</t>
        </is>
      </c>
      <c r="B56" s="92" t="inlineStr">
        <is>
          <t>RDFO_FICTIEVE_historie_en_mapping.xlsx</t>
        </is>
      </c>
      <c r="C56" s="108" t="n">
        <v>46324</v>
      </c>
      <c r="D56" s="92" t="inlineStr">
        <is>
          <t>Vastgesteld</t>
        </is>
      </c>
      <c r="E56" s="92" t="n">
        <v>2026</v>
      </c>
      <c r="F56" s="92" t="inlineStr">
        <is>
          <t>Budget</t>
        </is>
      </c>
      <c r="G56" s="92" t="n">
        <v>0</v>
      </c>
      <c r="H56" s="108" t="n">
        <v>46022</v>
      </c>
      <c r="I56" s="92" t="n">
        <v>2027</v>
      </c>
      <c r="J56" s="92" t="inlineStr">
        <is>
          <t>G.900013.8.9090</t>
        </is>
      </c>
      <c r="K56" s="92" t="inlineStr">
        <is>
          <t>G.900013</t>
        </is>
      </c>
      <c r="L56" s="92" t="inlineStr">
        <is>
          <t>Boswaard, Boskamers</t>
        </is>
      </c>
      <c r="M56" s="92" t="inlineStr">
        <is>
          <t>Opstal</t>
        </is>
      </c>
      <c r="N56" s="92" t="inlineStr">
        <is>
          <t>J</t>
        </is>
      </c>
      <c r="O56" s="92" t="inlineStr">
        <is>
          <t>Omzet FY</t>
        </is>
      </c>
      <c r="P56" s="109" t="n">
        <v>15315300</v>
      </c>
      <c r="Q56" s="92" t="inlineStr">
        <is>
          <t>EUR</t>
        </is>
      </c>
      <c r="R56" s="92" t="inlineStr">
        <is>
          <t>Synthetische vastgelegde invoer; geen echte historie</t>
        </is>
      </c>
      <c r="S56" s="15" t="str">
        <f>IF(J56="","",J56&amp;"|"&amp;E56&amp;"|"&amp;F56&amp;"|"&amp;I56&amp;"|"&amp;O56)</f>
        <v>G.900013.8.9090|2026|Budget|2027|Omzet FY</v>
      </c>
      <c r="T56" s="15">
        <f>IF(OR(S56="",D56&lt;&gt;"Vastgesteld"),"",_xlfn.MAXIFS($G$6:$G$5005,$S$6:$S$5005,S56,$D$6:$D$5005,"Vastgesteld"))</f>
        <v>0</v>
      </c>
      <c r="U56" s="15">
        <f>IF(T56="",0,IF(AND(G56=T56,COUNTIFS($S$6:S56,S56,$G$6:G56,G56,$D$6:D56,"Vastgesteld")=1),1,0))</f>
        <v>1</v>
      </c>
      <c r="V56" s="15">
        <f>IF(T56="",0,IF(AND(G56=T56,COUNTIFS($S$6:S56,S56,$G$6:G56,G56,$D$6:D56,"Vastgesteld")&gt;1),1,0))</f>
        <v>0</v>
      </c>
    </row>
    <row r="57">
      <c r="A57" s="92" t="inlineStr">
        <is>
          <t>HIST-2026-Budget</t>
        </is>
      </c>
      <c r="B57" s="92" t="inlineStr">
        <is>
          <t>RDFO_FICTIEVE_historie_en_mapping.xlsx</t>
        </is>
      </c>
      <c r="C57" s="108" t="n">
        <v>46324</v>
      </c>
      <c r="D57" s="92" t="inlineStr">
        <is>
          <t>Vastgesteld</t>
        </is>
      </c>
      <c r="E57" s="92" t="n">
        <v>2026</v>
      </c>
      <c r="F57" s="92" t="inlineStr">
        <is>
          <t>Budget</t>
        </is>
      </c>
      <c r="G57" s="92" t="n">
        <v>0</v>
      </c>
      <c r="H57" s="108" t="n">
        <v>46022</v>
      </c>
      <c r="I57" s="92" t="n">
        <v>2027</v>
      </c>
      <c r="J57" s="92" t="inlineStr">
        <is>
          <t>G.900013.8.9090</t>
        </is>
      </c>
      <c r="K57" s="92" t="inlineStr">
        <is>
          <t>G.900013</t>
        </is>
      </c>
      <c r="L57" s="92" t="inlineStr">
        <is>
          <t>Boswaard, Boskamers</t>
        </is>
      </c>
      <c r="M57" s="92" t="inlineStr">
        <is>
          <t>Opstal</t>
        </is>
      </c>
      <c r="N57" s="92" t="inlineStr">
        <is>
          <t>J</t>
        </is>
      </c>
      <c r="O57" s="92" t="inlineStr">
        <is>
          <t>BOR FY</t>
        </is>
      </c>
      <c r="P57" s="109" t="n">
        <v>1148647.5</v>
      </c>
      <c r="Q57" s="92" t="inlineStr">
        <is>
          <t>EUR</t>
        </is>
      </c>
      <c r="R57" s="92" t="inlineStr">
        <is>
          <t>Synthetische vastgelegde invoer; geen echte historie</t>
        </is>
      </c>
      <c r="S57" s="15" t="str">
        <f>IF(J57="","",J57&amp;"|"&amp;E57&amp;"|"&amp;F57&amp;"|"&amp;I57&amp;"|"&amp;O57)</f>
        <v>G.900013.8.9090|2026|Budget|2027|BOR FY</v>
      </c>
      <c r="T57" s="15">
        <f>IF(OR(S57="",D57&lt;&gt;"Vastgesteld"),"",_xlfn.MAXIFS($G$6:$G$5005,$S$6:$S$5005,S57,$D$6:$D$5005,"Vastgesteld"))</f>
        <v>0</v>
      </c>
      <c r="U57" s="15">
        <f>IF(T57="",0,IF(AND(G57=T57,COUNTIFS($S$6:S57,S57,$G$6:G57,G57,$D$6:D57,"Vastgesteld")=1),1,0))</f>
        <v>1</v>
      </c>
      <c r="V57" s="15">
        <f>IF(T57="",0,IF(AND(G57=T57,COUNTIFS($S$6:S57,S57,$G$6:G57,G57,$D$6:D57,"Vastgesteld")&gt;1),1,0))</f>
        <v>0</v>
      </c>
    </row>
    <row r="58">
      <c r="A58" s="92" t="inlineStr">
        <is>
          <t>HIST-2026-Budget</t>
        </is>
      </c>
      <c r="B58" s="92" t="inlineStr">
        <is>
          <t>RDFO_FICTIEVE_historie_en_mapping.xlsx</t>
        </is>
      </c>
      <c r="C58" s="108" t="n">
        <v>46324</v>
      </c>
      <c r="D58" s="92" t="inlineStr">
        <is>
          <t>Vastgesteld</t>
        </is>
      </c>
      <c r="E58" s="92" t="n">
        <v>2026</v>
      </c>
      <c r="F58" s="92" t="inlineStr">
        <is>
          <t>Budget</t>
        </is>
      </c>
      <c r="G58" s="92" t="n">
        <v>0</v>
      </c>
      <c r="H58" s="108" t="n">
        <v>46022</v>
      </c>
      <c r="I58" s="92" t="n">
        <v>2026</v>
      </c>
      <c r="J58" s="92" t="inlineStr">
        <is>
          <t>G.900014.8.9090</t>
        </is>
      </c>
      <c r="K58" s="92" t="inlineStr">
        <is>
          <t>G.900014</t>
        </is>
      </c>
      <c r="L58" s="92" t="inlineStr">
        <is>
          <t>Rietdam, Rietoevers</t>
        </is>
      </c>
      <c r="M58" s="92" t="inlineStr">
        <is>
          <t>Opstal</t>
        </is>
      </c>
      <c r="N58" s="92" t="inlineStr">
        <is>
          <t>J</t>
        </is>
      </c>
      <c r="O58" s="92" t="inlineStr">
        <is>
          <t>Omzet FY</t>
        </is>
      </c>
      <c r="P58" s="109" t="n">
        <v>7892640</v>
      </c>
      <c r="Q58" s="92" t="inlineStr">
        <is>
          <t>EUR</t>
        </is>
      </c>
      <c r="R58" s="92" t="inlineStr">
        <is>
          <t>Synthetische vastgelegde invoer; geen echte historie</t>
        </is>
      </c>
      <c r="S58" s="15" t="str">
        <f>IF(J58="","",J58&amp;"|"&amp;E58&amp;"|"&amp;F58&amp;"|"&amp;I58&amp;"|"&amp;O58)</f>
        <v>G.900014.8.9090|2026|Budget|2026|Omzet FY</v>
      </c>
      <c r="T58" s="15">
        <f>IF(OR(S58="",D58&lt;&gt;"Vastgesteld"),"",_xlfn.MAXIFS($G$6:$G$5005,$S$6:$S$5005,S58,$D$6:$D$5005,"Vastgesteld"))</f>
        <v>0</v>
      </c>
      <c r="U58" s="15">
        <f>IF(T58="",0,IF(AND(G58=T58,COUNTIFS($S$6:S58,S58,$G$6:G58,G58,$D$6:D58,"Vastgesteld")=1),1,0))</f>
        <v>1</v>
      </c>
      <c r="V58" s="15">
        <f>IF(T58="",0,IF(AND(G58=T58,COUNTIFS($S$6:S58,S58,$G$6:G58,G58,$D$6:D58,"Vastgesteld")&gt;1),1,0))</f>
        <v>0</v>
      </c>
    </row>
    <row r="59">
      <c r="A59" s="92" t="inlineStr">
        <is>
          <t>HIST-2026-Budget</t>
        </is>
      </c>
      <c r="B59" s="92" t="inlineStr">
        <is>
          <t>RDFO_FICTIEVE_historie_en_mapping.xlsx</t>
        </is>
      </c>
      <c r="C59" s="108" t="n">
        <v>46324</v>
      </c>
      <c r="D59" s="92" t="inlineStr">
        <is>
          <t>Vastgesteld</t>
        </is>
      </c>
      <c r="E59" s="92" t="n">
        <v>2026</v>
      </c>
      <c r="F59" s="92" t="inlineStr">
        <is>
          <t>Budget</t>
        </is>
      </c>
      <c r="G59" s="92" t="n">
        <v>0</v>
      </c>
      <c r="H59" s="108" t="n">
        <v>46022</v>
      </c>
      <c r="I59" s="92" t="n">
        <v>2026</v>
      </c>
      <c r="J59" s="92" t="inlineStr">
        <is>
          <t>G.900014.8.9090</t>
        </is>
      </c>
      <c r="K59" s="92" t="inlineStr">
        <is>
          <t>G.900014</t>
        </is>
      </c>
      <c r="L59" s="92" t="inlineStr">
        <is>
          <t>Rietdam, Rietoevers</t>
        </is>
      </c>
      <c r="M59" s="92" t="inlineStr">
        <is>
          <t>Opstal</t>
        </is>
      </c>
      <c r="N59" s="92" t="inlineStr">
        <is>
          <t>J</t>
        </is>
      </c>
      <c r="O59" s="92" t="inlineStr">
        <is>
          <t>BOR FY</t>
        </is>
      </c>
      <c r="P59" s="109" t="n">
        <v>868190.4</v>
      </c>
      <c r="Q59" s="92" t="inlineStr">
        <is>
          <t>EUR</t>
        </is>
      </c>
      <c r="R59" s="92" t="inlineStr">
        <is>
          <t>Synthetische vastgelegde invoer; geen echte historie</t>
        </is>
      </c>
      <c r="S59" s="15" t="str">
        <f>IF(J59="","",J59&amp;"|"&amp;E59&amp;"|"&amp;F59&amp;"|"&amp;I59&amp;"|"&amp;O59)</f>
        <v>G.900014.8.9090|2026|Budget|2026|BOR FY</v>
      </c>
      <c r="T59" s="15">
        <f>IF(OR(S59="",D59&lt;&gt;"Vastgesteld"),"",_xlfn.MAXIFS($G$6:$G$5005,$S$6:$S$5005,S59,$D$6:$D$5005,"Vastgesteld"))</f>
        <v>0</v>
      </c>
      <c r="U59" s="15">
        <f>IF(T59="",0,IF(AND(G59=T59,COUNTIFS($S$6:S59,S59,$G$6:G59,G59,$D$6:D59,"Vastgesteld")=1),1,0))</f>
        <v>1</v>
      </c>
      <c r="V59" s="15">
        <f>IF(T59="",0,IF(AND(G59=T59,COUNTIFS($S$6:S59,S59,$G$6:G59,G59,$D$6:D59,"Vastgesteld")&gt;1),1,0))</f>
        <v>0</v>
      </c>
    </row>
    <row r="60">
      <c r="A60" s="92" t="inlineStr">
        <is>
          <t>HIST-2026-Budget</t>
        </is>
      </c>
      <c r="B60" s="92" t="inlineStr">
        <is>
          <t>RDFO_FICTIEVE_historie_en_mapping.xlsx</t>
        </is>
      </c>
      <c r="C60" s="108" t="n">
        <v>46324</v>
      </c>
      <c r="D60" s="92" t="inlineStr">
        <is>
          <t>Vastgesteld</t>
        </is>
      </c>
      <c r="E60" s="92" t="n">
        <v>2026</v>
      </c>
      <c r="F60" s="92" t="inlineStr">
        <is>
          <t>Budget</t>
        </is>
      </c>
      <c r="G60" s="92" t="n">
        <v>0</v>
      </c>
      <c r="H60" s="108" t="n">
        <v>46022</v>
      </c>
      <c r="I60" s="92" t="n">
        <v>2027</v>
      </c>
      <c r="J60" s="92" t="inlineStr">
        <is>
          <t>G.900014.8.9090</t>
        </is>
      </c>
      <c r="K60" s="92" t="inlineStr">
        <is>
          <t>G.900014</t>
        </is>
      </c>
      <c r="L60" s="92" t="inlineStr">
        <is>
          <t>Rietdam, Rietoevers</t>
        </is>
      </c>
      <c r="M60" s="92" t="inlineStr">
        <is>
          <t>Opstal</t>
        </is>
      </c>
      <c r="N60" s="92" t="inlineStr">
        <is>
          <t>J</t>
        </is>
      </c>
      <c r="O60" s="92" t="inlineStr">
        <is>
          <t>Omzet FY</t>
        </is>
      </c>
      <c r="P60" s="109" t="n">
        <v>7084584</v>
      </c>
      <c r="Q60" s="92" t="inlineStr">
        <is>
          <t>EUR</t>
        </is>
      </c>
      <c r="R60" s="92" t="inlineStr">
        <is>
          <t>Synthetische vastgelegde invoer; geen echte historie</t>
        </is>
      </c>
      <c r="S60" s="15" t="str">
        <f>IF(J60="","",J60&amp;"|"&amp;E60&amp;"|"&amp;F60&amp;"|"&amp;I60&amp;"|"&amp;O60)</f>
        <v>G.900014.8.9090|2026|Budget|2027|Omzet FY</v>
      </c>
      <c r="T60" s="15">
        <f>IF(OR(S60="",D60&lt;&gt;"Vastgesteld"),"",_xlfn.MAXIFS($G$6:$G$5005,$S$6:$S$5005,S60,$D$6:$D$5005,"Vastgesteld"))</f>
        <v>0</v>
      </c>
      <c r="U60" s="15">
        <f>IF(T60="",0,IF(AND(G60=T60,COUNTIFS($S$6:S60,S60,$G$6:G60,G60,$D$6:D60,"Vastgesteld")=1),1,0))</f>
        <v>1</v>
      </c>
      <c r="V60" s="15">
        <f>IF(T60="",0,IF(AND(G60=T60,COUNTIFS($S$6:S60,S60,$G$6:G60,G60,$D$6:D60,"Vastgesteld")&gt;1),1,0))</f>
        <v>0</v>
      </c>
    </row>
    <row r="61">
      <c r="A61" s="92" t="inlineStr">
        <is>
          <t>HIST-2026-Budget</t>
        </is>
      </c>
      <c r="B61" s="92" t="inlineStr">
        <is>
          <t>RDFO_FICTIEVE_historie_en_mapping.xlsx</t>
        </is>
      </c>
      <c r="C61" s="108" t="n">
        <v>46324</v>
      </c>
      <c r="D61" s="92" t="inlineStr">
        <is>
          <t>Vastgesteld</t>
        </is>
      </c>
      <c r="E61" s="92" t="n">
        <v>2026</v>
      </c>
      <c r="F61" s="92" t="inlineStr">
        <is>
          <t>Budget</t>
        </is>
      </c>
      <c r="G61" s="92" t="n">
        <v>0</v>
      </c>
      <c r="H61" s="108" t="n">
        <v>46022</v>
      </c>
      <c r="I61" s="92" t="n">
        <v>2027</v>
      </c>
      <c r="J61" s="92" t="inlineStr">
        <is>
          <t>G.900014.8.9090</t>
        </is>
      </c>
      <c r="K61" s="92" t="inlineStr">
        <is>
          <t>G.900014</t>
        </is>
      </c>
      <c r="L61" s="92" t="inlineStr">
        <is>
          <t>Rietdam, Rietoevers</t>
        </is>
      </c>
      <c r="M61" s="92" t="inlineStr">
        <is>
          <t>Opstal</t>
        </is>
      </c>
      <c r="N61" s="92" t="inlineStr">
        <is>
          <t>J</t>
        </is>
      </c>
      <c r="O61" s="92" t="inlineStr">
        <is>
          <t>BOR FY</t>
        </is>
      </c>
      <c r="P61" s="109" t="n">
        <v>779304.24</v>
      </c>
      <c r="Q61" s="92" t="inlineStr">
        <is>
          <t>EUR</t>
        </is>
      </c>
      <c r="R61" s="92" t="inlineStr">
        <is>
          <t>Synthetische vastgelegde invoer; geen echte historie</t>
        </is>
      </c>
      <c r="S61" s="15" t="str">
        <f>IF(J61="","",J61&amp;"|"&amp;E61&amp;"|"&amp;F61&amp;"|"&amp;I61&amp;"|"&amp;O61)</f>
        <v>G.900014.8.9090|2026|Budget|2027|BOR FY</v>
      </c>
      <c r="T61" s="15">
        <f>IF(OR(S61="",D61&lt;&gt;"Vastgesteld"),"",_xlfn.MAXIFS($G$6:$G$5005,$S$6:$S$5005,S61,$D$6:$D$5005,"Vastgesteld"))</f>
        <v>0</v>
      </c>
      <c r="U61" s="15">
        <f>IF(T61="",0,IF(AND(G61=T61,COUNTIFS($S$6:S61,S61,$G$6:G61,G61,$D$6:D61,"Vastgesteld")=1),1,0))</f>
        <v>1</v>
      </c>
      <c r="V61" s="15">
        <f>IF(T61="",0,IF(AND(G61=T61,COUNTIFS($S$6:S61,S61,$G$6:G61,G61,$D$6:D61,"Vastgesteld")&gt;1),1,0))</f>
        <v>0</v>
      </c>
    </row>
    <row r="62">
      <c r="A62" s="92" t="inlineStr">
        <is>
          <t>HIST-2026-Budget</t>
        </is>
      </c>
      <c r="B62" s="92" t="inlineStr">
        <is>
          <t>RDFO_FICTIEVE_historie_en_mapping.xlsx</t>
        </is>
      </c>
      <c r="C62" s="108" t="n">
        <v>46324</v>
      </c>
      <c r="D62" s="92" t="inlineStr">
        <is>
          <t>Vastgesteld</t>
        </is>
      </c>
      <c r="E62" s="92" t="n">
        <v>2026</v>
      </c>
      <c r="F62" s="92" t="inlineStr">
        <is>
          <t>Budget</t>
        </is>
      </c>
      <c r="G62" s="92" t="n">
        <v>0</v>
      </c>
      <c r="H62" s="108" t="n">
        <v>46022</v>
      </c>
      <c r="I62" s="92" t="n">
        <v>2026</v>
      </c>
      <c r="J62" s="92" t="inlineStr">
        <is>
          <t>G.900015.8.9090</t>
        </is>
      </c>
      <c r="K62" s="92" t="inlineStr">
        <is>
          <t>G.900015</t>
        </is>
      </c>
      <c r="L62" s="92" t="inlineStr">
        <is>
          <t>Lindehaven, Parkzoom fase 2</t>
        </is>
      </c>
      <c r="M62" s="92" t="inlineStr">
        <is>
          <t>Opstal</t>
        </is>
      </c>
      <c r="N62" s="92" t="inlineStr">
        <is>
          <t>J</t>
        </is>
      </c>
      <c r="O62" s="92" t="inlineStr">
        <is>
          <t>Omzet FY</t>
        </is>
      </c>
      <c r="P62" s="109" t="n">
        <v>3630000</v>
      </c>
      <c r="Q62" s="92" t="inlineStr">
        <is>
          <t>EUR</t>
        </is>
      </c>
      <c r="R62" s="92" t="inlineStr">
        <is>
          <t>Synthetische vastgelegde invoer; geen echte historie</t>
        </is>
      </c>
      <c r="S62" s="15" t="str">
        <f>IF(J62="","",J62&amp;"|"&amp;E62&amp;"|"&amp;F62&amp;"|"&amp;I62&amp;"|"&amp;O62)</f>
        <v>G.900015.8.9090|2026|Budget|2026|Omzet FY</v>
      </c>
      <c r="T62" s="15">
        <f>IF(OR(S62="",D62&lt;&gt;"Vastgesteld"),"",_xlfn.MAXIFS($G$6:$G$5005,$S$6:$S$5005,S62,$D$6:$D$5005,"Vastgesteld"))</f>
        <v>0</v>
      </c>
      <c r="U62" s="15">
        <f>IF(T62="",0,IF(AND(G62=T62,COUNTIFS($S$6:S62,S62,$G$6:G62,G62,$D$6:D62,"Vastgesteld")=1),1,0))</f>
        <v>1</v>
      </c>
      <c r="V62" s="15">
        <f>IF(T62="",0,IF(AND(G62=T62,COUNTIFS($S$6:S62,S62,$G$6:G62,G62,$D$6:D62,"Vastgesteld")&gt;1),1,0))</f>
        <v>0</v>
      </c>
    </row>
    <row r="63">
      <c r="A63" s="92" t="inlineStr">
        <is>
          <t>HIST-2026-Budget</t>
        </is>
      </c>
      <c r="B63" s="92" t="inlineStr">
        <is>
          <t>RDFO_FICTIEVE_historie_en_mapping.xlsx</t>
        </is>
      </c>
      <c r="C63" s="108" t="n">
        <v>46324</v>
      </c>
      <c r="D63" s="92" t="inlineStr">
        <is>
          <t>Vastgesteld</t>
        </is>
      </c>
      <c r="E63" s="92" t="n">
        <v>2026</v>
      </c>
      <c r="F63" s="92" t="inlineStr">
        <is>
          <t>Budget</t>
        </is>
      </c>
      <c r="G63" s="92" t="n">
        <v>0</v>
      </c>
      <c r="H63" s="108" t="n">
        <v>46022</v>
      </c>
      <c r="I63" s="92" t="n">
        <v>2026</v>
      </c>
      <c r="J63" s="92" t="inlineStr">
        <is>
          <t>G.900015.8.9090</t>
        </is>
      </c>
      <c r="K63" s="92" t="inlineStr">
        <is>
          <t>G.900015</t>
        </is>
      </c>
      <c r="L63" s="92" t="inlineStr">
        <is>
          <t>Lindehaven, Parkzoom fase 2</t>
        </is>
      </c>
      <c r="M63" s="92" t="inlineStr">
        <is>
          <t>Opstal</t>
        </is>
      </c>
      <c r="N63" s="92" t="inlineStr">
        <is>
          <t>J</t>
        </is>
      </c>
      <c r="O63" s="92" t="inlineStr">
        <is>
          <t>BOR FY</t>
        </is>
      </c>
      <c r="P63" s="109" t="n">
        <v>235950</v>
      </c>
      <c r="Q63" s="92" t="inlineStr">
        <is>
          <t>EUR</t>
        </is>
      </c>
      <c r="R63" s="92" t="inlineStr">
        <is>
          <t>Synthetische vastgelegde invoer; geen echte historie</t>
        </is>
      </c>
      <c r="S63" s="15" t="str">
        <f>IF(J63="","",J63&amp;"|"&amp;E63&amp;"|"&amp;F63&amp;"|"&amp;I63&amp;"|"&amp;O63)</f>
        <v>G.900015.8.9090|2026|Budget|2026|BOR FY</v>
      </c>
      <c r="T63" s="15">
        <f>IF(OR(S63="",D63&lt;&gt;"Vastgesteld"),"",_xlfn.MAXIFS($G$6:$G$5005,$S$6:$S$5005,S63,$D$6:$D$5005,"Vastgesteld"))</f>
        <v>0</v>
      </c>
      <c r="U63" s="15">
        <f>IF(T63="",0,IF(AND(G63=T63,COUNTIFS($S$6:S63,S63,$G$6:G63,G63,$D$6:D63,"Vastgesteld")=1),1,0))</f>
        <v>1</v>
      </c>
      <c r="V63" s="15">
        <f>IF(T63="",0,IF(AND(G63=T63,COUNTIFS($S$6:S63,S63,$G$6:G63,G63,$D$6:D63,"Vastgesteld")&gt;1),1,0))</f>
        <v>0</v>
      </c>
    </row>
    <row r="64">
      <c r="A64" s="92" t="inlineStr">
        <is>
          <t>HIST-2026-Budget</t>
        </is>
      </c>
      <c r="B64" s="92" t="inlineStr">
        <is>
          <t>RDFO_FICTIEVE_historie_en_mapping.xlsx</t>
        </is>
      </c>
      <c r="C64" s="108" t="n">
        <v>46324</v>
      </c>
      <c r="D64" s="92" t="inlineStr">
        <is>
          <t>Vastgesteld</t>
        </is>
      </c>
      <c r="E64" s="92" t="n">
        <v>2026</v>
      </c>
      <c r="F64" s="92" t="inlineStr">
        <is>
          <t>Budget</t>
        </is>
      </c>
      <c r="G64" s="92" t="n">
        <v>0</v>
      </c>
      <c r="H64" s="108" t="n">
        <v>46022</v>
      </c>
      <c r="I64" s="92" t="n">
        <v>2027</v>
      </c>
      <c r="J64" s="92" t="inlineStr">
        <is>
          <t>G.900015.8.9090</t>
        </is>
      </c>
      <c r="K64" s="92" t="inlineStr">
        <is>
          <t>G.900015</t>
        </is>
      </c>
      <c r="L64" s="92" t="inlineStr">
        <is>
          <t>Lindehaven, Parkzoom fase 2</t>
        </is>
      </c>
      <c r="M64" s="92" t="inlineStr">
        <is>
          <t>Opstal</t>
        </is>
      </c>
      <c r="N64" s="92" t="inlineStr">
        <is>
          <t>J</t>
        </is>
      </c>
      <c r="O64" s="92" t="inlineStr">
        <is>
          <t>Omzet FY</t>
        </is>
      </c>
      <c r="P64" s="109" t="n">
        <v>21235500</v>
      </c>
      <c r="Q64" s="92" t="inlineStr">
        <is>
          <t>EUR</t>
        </is>
      </c>
      <c r="R64" s="92" t="inlineStr">
        <is>
          <t>Synthetische vastgelegde invoer; geen echte historie</t>
        </is>
      </c>
      <c r="S64" s="15" t="str">
        <f>IF(J64="","",J64&amp;"|"&amp;E64&amp;"|"&amp;F64&amp;"|"&amp;I64&amp;"|"&amp;O64)</f>
        <v>G.900015.8.9090|2026|Budget|2027|Omzet FY</v>
      </c>
      <c r="T64" s="15">
        <f>IF(OR(S64="",D64&lt;&gt;"Vastgesteld"),"",_xlfn.MAXIFS($G$6:$G$5005,$S$6:$S$5005,S64,$D$6:$D$5005,"Vastgesteld"))</f>
        <v>0</v>
      </c>
      <c r="U64" s="15">
        <f>IF(T64="",0,IF(AND(G64=T64,COUNTIFS($S$6:S64,S64,$G$6:G64,G64,$D$6:D64,"Vastgesteld")=1),1,0))</f>
        <v>1</v>
      </c>
      <c r="V64" s="15">
        <f>IF(T64="",0,IF(AND(G64=T64,COUNTIFS($S$6:S64,S64,$G$6:G64,G64,$D$6:D64,"Vastgesteld")&gt;1),1,0))</f>
        <v>0</v>
      </c>
    </row>
    <row r="65">
      <c r="A65" s="92" t="inlineStr">
        <is>
          <t>HIST-2026-Budget</t>
        </is>
      </c>
      <c r="B65" s="92" t="inlineStr">
        <is>
          <t>RDFO_FICTIEVE_historie_en_mapping.xlsx</t>
        </is>
      </c>
      <c r="C65" s="108" t="n">
        <v>46324</v>
      </c>
      <c r="D65" s="92" t="inlineStr">
        <is>
          <t>Vastgesteld</t>
        </is>
      </c>
      <c r="E65" s="92" t="n">
        <v>2026</v>
      </c>
      <c r="F65" s="92" t="inlineStr">
        <is>
          <t>Budget</t>
        </is>
      </c>
      <c r="G65" s="92" t="n">
        <v>0</v>
      </c>
      <c r="H65" s="108" t="n">
        <v>46022</v>
      </c>
      <c r="I65" s="92" t="n">
        <v>2027</v>
      </c>
      <c r="J65" s="92" t="inlineStr">
        <is>
          <t>G.900015.8.9090</t>
        </is>
      </c>
      <c r="K65" s="92" t="inlineStr">
        <is>
          <t>G.900015</t>
        </is>
      </c>
      <c r="L65" s="92" t="inlineStr">
        <is>
          <t>Lindehaven, Parkzoom fase 2</t>
        </is>
      </c>
      <c r="M65" s="92" t="inlineStr">
        <is>
          <t>Opstal</t>
        </is>
      </c>
      <c r="N65" s="92" t="inlineStr">
        <is>
          <t>J</t>
        </is>
      </c>
      <c r="O65" s="92" t="inlineStr">
        <is>
          <t>BOR FY</t>
        </is>
      </c>
      <c r="P65" s="109" t="n">
        <v>1380307.5</v>
      </c>
      <c r="Q65" s="92" t="inlineStr">
        <is>
          <t>EUR</t>
        </is>
      </c>
      <c r="R65" s="92" t="inlineStr">
        <is>
          <t>Synthetische vastgelegde invoer; geen echte historie</t>
        </is>
      </c>
      <c r="S65" s="15" t="str">
        <f>IF(J65="","",J65&amp;"|"&amp;E65&amp;"|"&amp;F65&amp;"|"&amp;I65&amp;"|"&amp;O65)</f>
        <v>G.900015.8.9090|2026|Budget|2027|BOR FY</v>
      </c>
      <c r="T65" s="15">
        <f>IF(OR(S65="",D65&lt;&gt;"Vastgesteld"),"",_xlfn.MAXIFS($G$6:$G$5005,$S$6:$S$5005,S65,$D$6:$D$5005,"Vastgesteld"))</f>
        <v>0</v>
      </c>
      <c r="U65" s="15">
        <f>IF(T65="",0,IF(AND(G65=T65,COUNTIFS($S$6:S65,S65,$G$6:G65,G65,$D$6:D65,"Vastgesteld")=1),1,0))</f>
        <v>1</v>
      </c>
      <c r="V65" s="15">
        <f>IF(T65="",0,IF(AND(G65=T65,COUNTIFS($S$6:S65,S65,$G$6:G65,G65,$D$6:D65,"Vastgesteld")&gt;1),1,0))</f>
        <v>0</v>
      </c>
    </row>
    <row r="66">
      <c r="A66" s="92" t="inlineStr">
        <is>
          <t>HIST-2026-Budget</t>
        </is>
      </c>
      <c r="B66" s="92" t="inlineStr">
        <is>
          <t>RDFO_FICTIEVE_historie_en_mapping.xlsx</t>
        </is>
      </c>
      <c r="C66" s="108" t="n">
        <v>46324</v>
      </c>
      <c r="D66" s="92" t="inlineStr">
        <is>
          <t>Vastgesteld</t>
        </is>
      </c>
      <c r="E66" s="92" t="n">
        <v>2026</v>
      </c>
      <c r="F66" s="92" t="inlineStr">
        <is>
          <t>Budget</t>
        </is>
      </c>
      <c r="G66" s="92" t="n">
        <v>0</v>
      </c>
      <c r="H66" s="108" t="n">
        <v>46022</v>
      </c>
      <c r="I66" s="92" t="n">
        <v>2026</v>
      </c>
      <c r="J66" s="92" t="inlineStr">
        <is>
          <t>G.900016.8.9090</t>
        </is>
      </c>
      <c r="K66" s="92" t="inlineStr">
        <is>
          <t>G.900016</t>
        </is>
      </c>
      <c r="L66" s="92" t="inlineStr">
        <is>
          <t>Duinwaard, De Lantaarn</t>
        </is>
      </c>
      <c r="M66" s="92" t="inlineStr">
        <is>
          <t>Opstal</t>
        </is>
      </c>
      <c r="N66" s="92" t="inlineStr">
        <is>
          <t>J</t>
        </is>
      </c>
      <c r="O66" s="92" t="inlineStr">
        <is>
          <t>Omzet FY</t>
        </is>
      </c>
      <c r="P66" s="109" t="n">
        <v>4377600</v>
      </c>
      <c r="Q66" s="92" t="inlineStr">
        <is>
          <t>EUR</t>
        </is>
      </c>
      <c r="R66" s="92" t="inlineStr">
        <is>
          <t>Synthetische vastgelegde invoer; geen echte historie</t>
        </is>
      </c>
      <c r="S66" s="15" t="str">
        <f>IF(J66="","",J66&amp;"|"&amp;E66&amp;"|"&amp;F66&amp;"|"&amp;I66&amp;"|"&amp;O66)</f>
        <v>G.900016.8.9090|2026|Budget|2026|Omzet FY</v>
      </c>
      <c r="T66" s="15">
        <f>IF(OR(S66="",D66&lt;&gt;"Vastgesteld"),"",_xlfn.MAXIFS($G$6:$G$5005,$S$6:$S$5005,S66,$D$6:$D$5005,"Vastgesteld"))</f>
        <v>0</v>
      </c>
      <c r="U66" s="15">
        <f>IF(T66="",0,IF(AND(G66=T66,COUNTIFS($S$6:S66,S66,$G$6:G66,G66,$D$6:D66,"Vastgesteld")=1),1,0))</f>
        <v>1</v>
      </c>
      <c r="V66" s="15">
        <f>IF(T66="",0,IF(AND(G66=T66,COUNTIFS($S$6:S66,S66,$G$6:G66,G66,$D$6:D66,"Vastgesteld")&gt;1),1,0))</f>
        <v>0</v>
      </c>
    </row>
    <row r="67">
      <c r="A67" s="92" t="inlineStr">
        <is>
          <t>HIST-2026-Budget</t>
        </is>
      </c>
      <c r="B67" s="92" t="inlineStr">
        <is>
          <t>RDFO_FICTIEVE_historie_en_mapping.xlsx</t>
        </is>
      </c>
      <c r="C67" s="108" t="n">
        <v>46324</v>
      </c>
      <c r="D67" s="92" t="inlineStr">
        <is>
          <t>Vastgesteld</t>
        </is>
      </c>
      <c r="E67" s="92" t="n">
        <v>2026</v>
      </c>
      <c r="F67" s="92" t="inlineStr">
        <is>
          <t>Budget</t>
        </is>
      </c>
      <c r="G67" s="92" t="n">
        <v>0</v>
      </c>
      <c r="H67" s="108" t="n">
        <v>46022</v>
      </c>
      <c r="I67" s="92" t="n">
        <v>2026</v>
      </c>
      <c r="J67" s="92" t="inlineStr">
        <is>
          <t>G.900016.8.9090</t>
        </is>
      </c>
      <c r="K67" s="92" t="inlineStr">
        <is>
          <t>G.900016</t>
        </is>
      </c>
      <c r="L67" s="92" t="inlineStr">
        <is>
          <t>Duinwaard, De Lantaarn</t>
        </is>
      </c>
      <c r="M67" s="92" t="inlineStr">
        <is>
          <t>Opstal</t>
        </is>
      </c>
      <c r="N67" s="92" t="inlineStr">
        <is>
          <t>J</t>
        </is>
      </c>
      <c r="O67" s="92" t="inlineStr">
        <is>
          <t>BOR FY</t>
        </is>
      </c>
      <c r="P67" s="109" t="n">
        <v>612864</v>
      </c>
      <c r="Q67" s="92" t="inlineStr">
        <is>
          <t>EUR</t>
        </is>
      </c>
      <c r="R67" s="92" t="inlineStr">
        <is>
          <t>Synthetische vastgelegde invoer; geen echte historie</t>
        </is>
      </c>
      <c r="S67" s="15" t="str">
        <f>IF(J67="","",J67&amp;"|"&amp;E67&amp;"|"&amp;F67&amp;"|"&amp;I67&amp;"|"&amp;O67)</f>
        <v>G.900016.8.9090|2026|Budget|2026|BOR FY</v>
      </c>
      <c r="T67" s="15">
        <f>IF(OR(S67="",D67&lt;&gt;"Vastgesteld"),"",_xlfn.MAXIFS($G$6:$G$5005,$S$6:$S$5005,S67,$D$6:$D$5005,"Vastgesteld"))</f>
        <v>0</v>
      </c>
      <c r="U67" s="15">
        <f>IF(T67="",0,IF(AND(G67=T67,COUNTIFS($S$6:S67,S67,$G$6:G67,G67,$D$6:D67,"Vastgesteld")=1),1,0))</f>
        <v>1</v>
      </c>
      <c r="V67" s="15">
        <f>IF(T67="",0,IF(AND(G67=T67,COUNTIFS($S$6:S67,S67,$G$6:G67,G67,$D$6:D67,"Vastgesteld")&gt;1),1,0))</f>
        <v>0</v>
      </c>
    </row>
    <row r="68">
      <c r="A68" s="92" t="inlineStr">
        <is>
          <t>HIST-2026-Budget</t>
        </is>
      </c>
      <c r="B68" s="92" t="inlineStr">
        <is>
          <t>RDFO_FICTIEVE_historie_en_mapping.xlsx</t>
        </is>
      </c>
      <c r="C68" s="108" t="n">
        <v>46324</v>
      </c>
      <c r="D68" s="92" t="inlineStr">
        <is>
          <t>Vastgesteld</t>
        </is>
      </c>
      <c r="E68" s="92" t="n">
        <v>2026</v>
      </c>
      <c r="F68" s="92" t="inlineStr">
        <is>
          <t>Budget</t>
        </is>
      </c>
      <c r="G68" s="92" t="n">
        <v>0</v>
      </c>
      <c r="H68" s="108" t="n">
        <v>46022</v>
      </c>
      <c r="I68" s="92" t="n">
        <v>2027</v>
      </c>
      <c r="J68" s="92" t="inlineStr">
        <is>
          <t>G.900016.8.9090</t>
        </is>
      </c>
      <c r="K68" s="92" t="inlineStr">
        <is>
          <t>G.900016</t>
        </is>
      </c>
      <c r="L68" s="92" t="inlineStr">
        <is>
          <t>Duinwaard, De Lantaarn</t>
        </is>
      </c>
      <c r="M68" s="92" t="inlineStr">
        <is>
          <t>Opstal</t>
        </is>
      </c>
      <c r="N68" s="92" t="inlineStr">
        <is>
          <t>J</t>
        </is>
      </c>
      <c r="O68" s="92" t="inlineStr">
        <is>
          <t>Omzet FY</t>
        </is>
      </c>
      <c r="P68" s="109" t="n">
        <v>4642560</v>
      </c>
      <c r="Q68" s="92" t="inlineStr">
        <is>
          <t>EUR</t>
        </is>
      </c>
      <c r="R68" s="92" t="inlineStr">
        <is>
          <t>Synthetische vastgelegde invoer; geen echte historie</t>
        </is>
      </c>
      <c r="S68" s="15" t="str">
        <f>IF(J68="","",J68&amp;"|"&amp;E68&amp;"|"&amp;F68&amp;"|"&amp;I68&amp;"|"&amp;O68)</f>
        <v>G.900016.8.9090|2026|Budget|2027|Omzet FY</v>
      </c>
      <c r="T68" s="15">
        <f>IF(OR(S68="",D68&lt;&gt;"Vastgesteld"),"",_xlfn.MAXIFS($G$6:$G$5005,$S$6:$S$5005,S68,$D$6:$D$5005,"Vastgesteld"))</f>
        <v>0</v>
      </c>
      <c r="U68" s="15">
        <f>IF(T68="",0,IF(AND(G68=T68,COUNTIFS($S$6:S68,S68,$G$6:G68,G68,$D$6:D68,"Vastgesteld")=1),1,0))</f>
        <v>1</v>
      </c>
      <c r="V68" s="15">
        <f>IF(T68="",0,IF(AND(G68=T68,COUNTIFS($S$6:S68,S68,$G$6:G68,G68,$D$6:D68,"Vastgesteld")&gt;1),1,0))</f>
        <v>0</v>
      </c>
    </row>
    <row r="69">
      <c r="A69" s="92" t="inlineStr">
        <is>
          <t>HIST-2026-Budget</t>
        </is>
      </c>
      <c r="B69" s="92" t="inlineStr">
        <is>
          <t>RDFO_FICTIEVE_historie_en_mapping.xlsx</t>
        </is>
      </c>
      <c r="C69" s="108" t="n">
        <v>46324</v>
      </c>
      <c r="D69" s="92" t="inlineStr">
        <is>
          <t>Vastgesteld</t>
        </is>
      </c>
      <c r="E69" s="92" t="n">
        <v>2026</v>
      </c>
      <c r="F69" s="92" t="inlineStr">
        <is>
          <t>Budget</t>
        </is>
      </c>
      <c r="G69" s="92" t="n">
        <v>0</v>
      </c>
      <c r="H69" s="108" t="n">
        <v>46022</v>
      </c>
      <c r="I69" s="92" t="n">
        <v>2027</v>
      </c>
      <c r="J69" s="92" t="inlineStr">
        <is>
          <t>G.900016.8.9090</t>
        </is>
      </c>
      <c r="K69" s="92" t="inlineStr">
        <is>
          <t>G.900016</t>
        </is>
      </c>
      <c r="L69" s="92" t="inlineStr">
        <is>
          <t>Duinwaard, De Lantaarn</t>
        </is>
      </c>
      <c r="M69" s="92" t="inlineStr">
        <is>
          <t>Opstal</t>
        </is>
      </c>
      <c r="N69" s="92" t="inlineStr">
        <is>
          <t>J</t>
        </is>
      </c>
      <c r="O69" s="92" t="inlineStr">
        <is>
          <t>BOR FY</t>
        </is>
      </c>
      <c r="P69" s="109" t="n">
        <v>649958.4</v>
      </c>
      <c r="Q69" s="92" t="inlineStr">
        <is>
          <t>EUR</t>
        </is>
      </c>
      <c r="R69" s="92" t="inlineStr">
        <is>
          <t>Synthetische vastgelegde invoer; geen echte historie</t>
        </is>
      </c>
      <c r="S69" s="15" t="str">
        <f>IF(J69="","",J69&amp;"|"&amp;E69&amp;"|"&amp;F69&amp;"|"&amp;I69&amp;"|"&amp;O69)</f>
        <v>G.900016.8.9090|2026|Budget|2027|BOR FY</v>
      </c>
      <c r="T69" s="15">
        <f>IF(OR(S69="",D69&lt;&gt;"Vastgesteld"),"",_xlfn.MAXIFS($G$6:$G$5005,$S$6:$S$5005,S69,$D$6:$D$5005,"Vastgesteld"))</f>
        <v>0</v>
      </c>
      <c r="U69" s="15">
        <f>IF(T69="",0,IF(AND(G69=T69,COUNTIFS($S$6:S69,S69,$G$6:G69,G69,$D$6:D69,"Vastgesteld")=1),1,0))</f>
        <v>1</v>
      </c>
      <c r="V69" s="15">
        <f>IF(T69="",0,IF(AND(G69=T69,COUNTIFS($S$6:S69,S69,$G$6:G69,G69,$D$6:D69,"Vastgesteld")&gt;1),1,0))</f>
        <v>0</v>
      </c>
    </row>
    <row r="70">
      <c r="A70" s="92" t="inlineStr">
        <is>
          <t>HIST-2026-Budget</t>
        </is>
      </c>
      <c r="B70" s="92" t="inlineStr">
        <is>
          <t>RDFO_FICTIEVE_historie_en_mapping.xlsx</t>
        </is>
      </c>
      <c r="C70" s="108" t="n">
        <v>46324</v>
      </c>
      <c r="D70" s="92" t="inlineStr">
        <is>
          <t>Vastgesteld</t>
        </is>
      </c>
      <c r="E70" s="92" t="n">
        <v>2026</v>
      </c>
      <c r="F70" s="92" t="inlineStr">
        <is>
          <t>Budget</t>
        </is>
      </c>
      <c r="G70" s="92" t="n">
        <v>0</v>
      </c>
      <c r="H70" s="108" t="n">
        <v>46022</v>
      </c>
      <c r="I70" s="92" t="n">
        <v>2026</v>
      </c>
      <c r="J70" s="92" t="inlineStr">
        <is>
          <t>G.900017.8.9090</t>
        </is>
      </c>
      <c r="K70" s="92" t="inlineStr">
        <is>
          <t>G.900017</t>
        </is>
      </c>
      <c r="L70" s="92" t="inlineStr">
        <is>
          <t>Veldendam, Spoorpark</t>
        </is>
      </c>
      <c r="M70" s="92" t="inlineStr">
        <is>
          <t>Opstal</t>
        </is>
      </c>
      <c r="N70" s="92" t="inlineStr">
        <is>
          <t>J</t>
        </is>
      </c>
      <c r="O70" s="92" t="inlineStr">
        <is>
          <t>Omzet FY</t>
        </is>
      </c>
      <c r="P70" s="109" t="n">
        <v>12936000</v>
      </c>
      <c r="Q70" s="92" t="inlineStr">
        <is>
          <t>EUR</t>
        </is>
      </c>
      <c r="R70" s="92" t="inlineStr">
        <is>
          <t>Synthetische vastgelegde invoer; geen echte historie</t>
        </is>
      </c>
      <c r="S70" s="15" t="str">
        <f>IF(J70="","",J70&amp;"|"&amp;E70&amp;"|"&amp;F70&amp;"|"&amp;I70&amp;"|"&amp;O70)</f>
        <v>G.900017.8.9090|2026|Budget|2026|Omzet FY</v>
      </c>
      <c r="T70" s="15">
        <f>IF(OR(S70="",D70&lt;&gt;"Vastgesteld"),"",_xlfn.MAXIFS($G$6:$G$5005,$S$6:$S$5005,S70,$D$6:$D$5005,"Vastgesteld"))</f>
        <v>0</v>
      </c>
      <c r="U70" s="15">
        <f>IF(T70="",0,IF(AND(G70=T70,COUNTIFS($S$6:S70,S70,$G$6:G70,G70,$D$6:D70,"Vastgesteld")=1),1,0))</f>
        <v>1</v>
      </c>
      <c r="V70" s="15">
        <f>IF(T70="",0,IF(AND(G70=T70,COUNTIFS($S$6:S70,S70,$G$6:G70,G70,$D$6:D70,"Vastgesteld")&gt;1),1,0))</f>
        <v>0</v>
      </c>
    </row>
    <row r="71">
      <c r="A71" s="92" t="inlineStr">
        <is>
          <t>HIST-2026-Budget</t>
        </is>
      </c>
      <c r="B71" s="92" t="inlineStr">
        <is>
          <t>RDFO_FICTIEVE_historie_en_mapping.xlsx</t>
        </is>
      </c>
      <c r="C71" s="108" t="n">
        <v>46324</v>
      </c>
      <c r="D71" s="92" t="inlineStr">
        <is>
          <t>Vastgesteld</t>
        </is>
      </c>
      <c r="E71" s="92" t="n">
        <v>2026</v>
      </c>
      <c r="F71" s="92" t="inlineStr">
        <is>
          <t>Budget</t>
        </is>
      </c>
      <c r="G71" s="92" t="n">
        <v>0</v>
      </c>
      <c r="H71" s="108" t="n">
        <v>46022</v>
      </c>
      <c r="I71" s="92" t="n">
        <v>2026</v>
      </c>
      <c r="J71" s="92" t="inlineStr">
        <is>
          <t>G.900017.8.9090</t>
        </is>
      </c>
      <c r="K71" s="92" t="inlineStr">
        <is>
          <t>G.900017</t>
        </is>
      </c>
      <c r="L71" s="92" t="inlineStr">
        <is>
          <t>Veldendam, Spoorpark</t>
        </is>
      </c>
      <c r="M71" s="92" t="inlineStr">
        <is>
          <t>Opstal</t>
        </is>
      </c>
      <c r="N71" s="92" t="inlineStr">
        <is>
          <t>J</t>
        </is>
      </c>
      <c r="O71" s="92" t="inlineStr">
        <is>
          <t>BOR FY</t>
        </is>
      </c>
      <c r="P71" s="109" t="n">
        <v>1293600</v>
      </c>
      <c r="Q71" s="92" t="inlineStr">
        <is>
          <t>EUR</t>
        </is>
      </c>
      <c r="R71" s="92" t="inlineStr">
        <is>
          <t>Synthetische vastgelegde invoer; geen echte historie</t>
        </is>
      </c>
      <c r="S71" s="15" t="str">
        <f>IF(J71="","",J71&amp;"|"&amp;E71&amp;"|"&amp;F71&amp;"|"&amp;I71&amp;"|"&amp;O71)</f>
        <v>G.900017.8.9090|2026|Budget|2026|BOR FY</v>
      </c>
      <c r="T71" s="15">
        <f>IF(OR(S71="",D71&lt;&gt;"Vastgesteld"),"",_xlfn.MAXIFS($G$6:$G$5005,$S$6:$S$5005,S71,$D$6:$D$5005,"Vastgesteld"))</f>
        <v>0</v>
      </c>
      <c r="U71" s="15">
        <f>IF(T71="",0,IF(AND(G71=T71,COUNTIFS($S$6:S71,S71,$G$6:G71,G71,$D$6:D71,"Vastgesteld")=1),1,0))</f>
        <v>1</v>
      </c>
      <c r="V71" s="15">
        <f>IF(T71="",0,IF(AND(G71=T71,COUNTIFS($S$6:S71,S71,$G$6:G71,G71,$D$6:D71,"Vastgesteld")&gt;1),1,0))</f>
        <v>0</v>
      </c>
    </row>
    <row r="72">
      <c r="A72" s="92" t="inlineStr">
        <is>
          <t>HIST-2026-Budget</t>
        </is>
      </c>
      <c r="B72" s="92" t="inlineStr">
        <is>
          <t>RDFO_FICTIEVE_historie_en_mapping.xlsx</t>
        </is>
      </c>
      <c r="C72" s="108" t="n">
        <v>46324</v>
      </c>
      <c r="D72" s="92" t="inlineStr">
        <is>
          <t>Vastgesteld</t>
        </is>
      </c>
      <c r="E72" s="92" t="n">
        <v>2026</v>
      </c>
      <c r="F72" s="92" t="inlineStr">
        <is>
          <t>Budget</t>
        </is>
      </c>
      <c r="G72" s="92" t="n">
        <v>0</v>
      </c>
      <c r="H72" s="108" t="n">
        <v>46022</v>
      </c>
      <c r="I72" s="92" t="n">
        <v>2027</v>
      </c>
      <c r="J72" s="92" t="inlineStr">
        <is>
          <t>G.900017.8.9090</t>
        </is>
      </c>
      <c r="K72" s="92" t="inlineStr">
        <is>
          <t>G.900017</t>
        </is>
      </c>
      <c r="L72" s="92" t="inlineStr">
        <is>
          <t>Veldendam, Spoorpark</t>
        </is>
      </c>
      <c r="M72" s="92" t="inlineStr">
        <is>
          <t>Opstal</t>
        </is>
      </c>
      <c r="N72" s="92" t="inlineStr">
        <is>
          <t>J</t>
        </is>
      </c>
      <c r="O72" s="92" t="inlineStr">
        <is>
          <t>Omzet FY</t>
        </is>
      </c>
      <c r="P72" s="109" t="n">
        <v>25225200</v>
      </c>
      <c r="Q72" s="92" t="inlineStr">
        <is>
          <t>EUR</t>
        </is>
      </c>
      <c r="R72" s="92" t="inlineStr">
        <is>
          <t>Synthetische vastgelegde invoer; geen echte historie</t>
        </is>
      </c>
      <c r="S72" s="15" t="str">
        <f>IF(J72="","",J72&amp;"|"&amp;E72&amp;"|"&amp;F72&amp;"|"&amp;I72&amp;"|"&amp;O72)</f>
        <v>G.900017.8.9090|2026|Budget|2027|Omzet FY</v>
      </c>
      <c r="T72" s="15">
        <f>IF(OR(S72="",D72&lt;&gt;"Vastgesteld"),"",_xlfn.MAXIFS($G$6:$G$5005,$S$6:$S$5005,S72,$D$6:$D$5005,"Vastgesteld"))</f>
        <v>0</v>
      </c>
      <c r="U72" s="15">
        <f>IF(T72="",0,IF(AND(G72=T72,COUNTIFS($S$6:S72,S72,$G$6:G72,G72,$D$6:D72,"Vastgesteld")=1),1,0))</f>
        <v>1</v>
      </c>
      <c r="V72" s="15">
        <f>IF(T72="",0,IF(AND(G72=T72,COUNTIFS($S$6:S72,S72,$G$6:G72,G72,$D$6:D72,"Vastgesteld")&gt;1),1,0))</f>
        <v>0</v>
      </c>
    </row>
    <row r="73">
      <c r="A73" s="92" t="inlineStr">
        <is>
          <t>HIST-2026-Budget</t>
        </is>
      </c>
      <c r="B73" s="92" t="inlineStr">
        <is>
          <t>RDFO_FICTIEVE_historie_en_mapping.xlsx</t>
        </is>
      </c>
      <c r="C73" s="108" t="n">
        <v>46324</v>
      </c>
      <c r="D73" s="92" t="inlineStr">
        <is>
          <t>Vastgesteld</t>
        </is>
      </c>
      <c r="E73" s="92" t="n">
        <v>2026</v>
      </c>
      <c r="F73" s="92" t="inlineStr">
        <is>
          <t>Budget</t>
        </is>
      </c>
      <c r="G73" s="92" t="n">
        <v>0</v>
      </c>
      <c r="H73" s="108" t="n">
        <v>46022</v>
      </c>
      <c r="I73" s="92" t="n">
        <v>2027</v>
      </c>
      <c r="J73" s="92" t="inlineStr">
        <is>
          <t>G.900017.8.9090</t>
        </is>
      </c>
      <c r="K73" s="92" t="inlineStr">
        <is>
          <t>G.900017</t>
        </is>
      </c>
      <c r="L73" s="92" t="inlineStr">
        <is>
          <t>Veldendam, Spoorpark</t>
        </is>
      </c>
      <c r="M73" s="92" t="inlineStr">
        <is>
          <t>Opstal</t>
        </is>
      </c>
      <c r="N73" s="92" t="inlineStr">
        <is>
          <t>J</t>
        </is>
      </c>
      <c r="O73" s="92" t="inlineStr">
        <is>
          <t>BOR FY</t>
        </is>
      </c>
      <c r="P73" s="109" t="n">
        <v>2522520</v>
      </c>
      <c r="Q73" s="92" t="inlineStr">
        <is>
          <t>EUR</t>
        </is>
      </c>
      <c r="R73" s="92" t="inlineStr">
        <is>
          <t>Synthetische vastgelegde invoer; geen echte historie</t>
        </is>
      </c>
      <c r="S73" s="15" t="str">
        <f>IF(J73="","",J73&amp;"|"&amp;E73&amp;"|"&amp;F73&amp;"|"&amp;I73&amp;"|"&amp;O73)</f>
        <v>G.900017.8.9090|2026|Budget|2027|BOR FY</v>
      </c>
      <c r="T73" s="15">
        <f>IF(OR(S73="",D73&lt;&gt;"Vastgesteld"),"",_xlfn.MAXIFS($G$6:$G$5005,$S$6:$S$5005,S73,$D$6:$D$5005,"Vastgesteld"))</f>
        <v>0</v>
      </c>
      <c r="U73" s="15">
        <f>IF(T73="",0,IF(AND(G73=T73,COUNTIFS($S$6:S73,S73,$G$6:G73,G73,$D$6:D73,"Vastgesteld")=1),1,0))</f>
        <v>1</v>
      </c>
      <c r="V73" s="15">
        <f>IF(T73="",0,IF(AND(G73=T73,COUNTIFS($S$6:S73,S73,$G$6:G73,G73,$D$6:D73,"Vastgesteld")&gt;1),1,0))</f>
        <v>0</v>
      </c>
    </row>
    <row r="74">
      <c r="A74" s="92" t="inlineStr">
        <is>
          <t>HIST-2026-Budget</t>
        </is>
      </c>
      <c r="B74" s="92" t="inlineStr">
        <is>
          <t>RDFO_FICTIEVE_historie_en_mapping.xlsx</t>
        </is>
      </c>
      <c r="C74" s="108" t="n">
        <v>46324</v>
      </c>
      <c r="D74" s="92" t="inlineStr">
        <is>
          <t>Vastgesteld</t>
        </is>
      </c>
      <c r="E74" s="92" t="n">
        <v>2026</v>
      </c>
      <c r="F74" s="92" t="inlineStr">
        <is>
          <t>Budget</t>
        </is>
      </c>
      <c r="G74" s="92" t="n">
        <v>0</v>
      </c>
      <c r="H74" s="108" t="n">
        <v>46022</v>
      </c>
      <c r="I74" s="92" t="n">
        <v>2026</v>
      </c>
      <c r="J74" s="92" t="inlineStr">
        <is>
          <t>G.900018.8.9090</t>
        </is>
      </c>
      <c r="K74" s="92" t="inlineStr">
        <is>
          <t>G.900018</t>
        </is>
      </c>
      <c r="L74" s="92" t="inlineStr">
        <is>
          <t>Meerhovenstad, De Boog</t>
        </is>
      </c>
      <c r="M74" s="92" t="inlineStr">
        <is>
          <t>Deelneming</t>
        </is>
      </c>
      <c r="N74" s="92" t="inlineStr">
        <is>
          <t>N</t>
        </is>
      </c>
      <c r="O74" s="92" t="inlineStr">
        <is>
          <t>Omzet FY</t>
        </is>
      </c>
      <c r="P74" s="109" t="n">
        <v>1625400</v>
      </c>
      <c r="Q74" s="92" t="inlineStr">
        <is>
          <t>EUR</t>
        </is>
      </c>
      <c r="R74" s="92" t="inlineStr">
        <is>
          <t>Synthetische vastgelegde invoer; geen echte historie</t>
        </is>
      </c>
      <c r="S74" s="15" t="str">
        <f>IF(J74="","",J74&amp;"|"&amp;E74&amp;"|"&amp;F74&amp;"|"&amp;I74&amp;"|"&amp;O74)</f>
        <v>G.900018.8.9090|2026|Budget|2026|Omzet FY</v>
      </c>
      <c r="T74" s="15">
        <f>IF(OR(S74="",D74&lt;&gt;"Vastgesteld"),"",_xlfn.MAXIFS($G$6:$G$5005,$S$6:$S$5005,S74,$D$6:$D$5005,"Vastgesteld"))</f>
        <v>0</v>
      </c>
      <c r="U74" s="15">
        <f>IF(T74="",0,IF(AND(G74=T74,COUNTIFS($S$6:S74,S74,$G$6:G74,G74,$D$6:D74,"Vastgesteld")=1),1,0))</f>
        <v>1</v>
      </c>
      <c r="V74" s="15">
        <f>IF(T74="",0,IF(AND(G74=T74,COUNTIFS($S$6:S74,S74,$G$6:G74,G74,$D$6:D74,"Vastgesteld")&gt;1),1,0))</f>
        <v>0</v>
      </c>
    </row>
    <row r="75">
      <c r="A75" s="92" t="inlineStr">
        <is>
          <t>HIST-2026-Budget</t>
        </is>
      </c>
      <c r="B75" s="92" t="inlineStr">
        <is>
          <t>RDFO_FICTIEVE_historie_en_mapping.xlsx</t>
        </is>
      </c>
      <c r="C75" s="108" t="n">
        <v>46324</v>
      </c>
      <c r="D75" s="92" t="inlineStr">
        <is>
          <t>Vastgesteld</t>
        </is>
      </c>
      <c r="E75" s="92" t="n">
        <v>2026</v>
      </c>
      <c r="F75" s="92" t="inlineStr">
        <is>
          <t>Budget</t>
        </is>
      </c>
      <c r="G75" s="92" t="n">
        <v>0</v>
      </c>
      <c r="H75" s="108" t="n">
        <v>46022</v>
      </c>
      <c r="I75" s="92" t="n">
        <v>2026</v>
      </c>
      <c r="J75" s="92" t="inlineStr">
        <is>
          <t>G.900018.8.9090</t>
        </is>
      </c>
      <c r="K75" s="92" t="inlineStr">
        <is>
          <t>G.900018</t>
        </is>
      </c>
      <c r="L75" s="92" t="inlineStr">
        <is>
          <t>Meerhovenstad, De Boog</t>
        </is>
      </c>
      <c r="M75" s="92" t="inlineStr">
        <is>
          <t>Deelneming</t>
        </is>
      </c>
      <c r="N75" s="92" t="inlineStr">
        <is>
          <t>N</t>
        </is>
      </c>
      <c r="O75" s="92" t="inlineStr">
        <is>
          <t>BOR FY</t>
        </is>
      </c>
      <c r="P75" s="109" t="n">
        <v>-48762</v>
      </c>
      <c r="Q75" s="92" t="inlineStr">
        <is>
          <t>EUR</t>
        </is>
      </c>
      <c r="R75" s="92" t="inlineStr">
        <is>
          <t>Synthetische vastgelegde invoer; geen echte historie</t>
        </is>
      </c>
      <c r="S75" s="15" t="str">
        <f>IF(J75="","",J75&amp;"|"&amp;E75&amp;"|"&amp;F75&amp;"|"&amp;I75&amp;"|"&amp;O75)</f>
        <v>G.900018.8.9090|2026|Budget|2026|BOR FY</v>
      </c>
      <c r="T75" s="15">
        <f>IF(OR(S75="",D75&lt;&gt;"Vastgesteld"),"",_xlfn.MAXIFS($G$6:$G$5005,$S$6:$S$5005,S75,$D$6:$D$5005,"Vastgesteld"))</f>
        <v>0</v>
      </c>
      <c r="U75" s="15">
        <f>IF(T75="",0,IF(AND(G75=T75,COUNTIFS($S$6:S75,S75,$G$6:G75,G75,$D$6:D75,"Vastgesteld")=1),1,0))</f>
        <v>1</v>
      </c>
      <c r="V75" s="15">
        <f>IF(T75="",0,IF(AND(G75=T75,COUNTIFS($S$6:S75,S75,$G$6:G75,G75,$D$6:D75,"Vastgesteld")&gt;1),1,0))</f>
        <v>0</v>
      </c>
    </row>
    <row r="76">
      <c r="A76" s="92" t="inlineStr">
        <is>
          <t>HIST-2026-Budget</t>
        </is>
      </c>
      <c r="B76" s="92" t="inlineStr">
        <is>
          <t>RDFO_FICTIEVE_historie_en_mapping.xlsx</t>
        </is>
      </c>
      <c r="C76" s="108" t="n">
        <v>46324</v>
      </c>
      <c r="D76" s="92" t="inlineStr">
        <is>
          <t>Vastgesteld</t>
        </is>
      </c>
      <c r="E76" s="92" t="n">
        <v>2026</v>
      </c>
      <c r="F76" s="92" t="inlineStr">
        <is>
          <t>Budget</t>
        </is>
      </c>
      <c r="G76" s="92" t="n">
        <v>0</v>
      </c>
      <c r="H76" s="108" t="n">
        <v>46022</v>
      </c>
      <c r="I76" s="92" t="n">
        <v>2027</v>
      </c>
      <c r="J76" s="92" t="inlineStr">
        <is>
          <t>G.900018.8.9090</t>
        </is>
      </c>
      <c r="K76" s="92" t="inlineStr">
        <is>
          <t>G.900018</t>
        </is>
      </c>
      <c r="L76" s="92" t="inlineStr">
        <is>
          <t>Meerhovenstad, De Boog</t>
        </is>
      </c>
      <c r="M76" s="92" t="inlineStr">
        <is>
          <t>Deelneming</t>
        </is>
      </c>
      <c r="N76" s="92" t="inlineStr">
        <is>
          <t>N</t>
        </is>
      </c>
      <c r="O76" s="92" t="inlineStr">
        <is>
          <t>Omzet FY</t>
        </is>
      </c>
      <c r="P76" s="109" t="n">
        <v>5986890</v>
      </c>
      <c r="Q76" s="92" t="inlineStr">
        <is>
          <t>EUR</t>
        </is>
      </c>
      <c r="R76" s="92" t="inlineStr">
        <is>
          <t>Synthetische vastgelegde invoer; geen echte historie</t>
        </is>
      </c>
      <c r="S76" s="15" t="str">
        <f>IF(J76="","",J76&amp;"|"&amp;E76&amp;"|"&amp;F76&amp;"|"&amp;I76&amp;"|"&amp;O76)</f>
        <v>G.900018.8.9090|2026|Budget|2027|Omzet FY</v>
      </c>
      <c r="T76" s="15">
        <f>IF(OR(S76="",D76&lt;&gt;"Vastgesteld"),"",_xlfn.MAXIFS($G$6:$G$5005,$S$6:$S$5005,S76,$D$6:$D$5005,"Vastgesteld"))</f>
        <v>0</v>
      </c>
      <c r="U76" s="15">
        <f>IF(T76="",0,IF(AND(G76=T76,COUNTIFS($S$6:S76,S76,$G$6:G76,G76,$D$6:D76,"Vastgesteld")=1),1,0))</f>
        <v>1</v>
      </c>
      <c r="V76" s="15">
        <f>IF(T76="",0,IF(AND(G76=T76,COUNTIFS($S$6:S76,S76,$G$6:G76,G76,$D$6:D76,"Vastgesteld")&gt;1),1,0))</f>
        <v>0</v>
      </c>
    </row>
    <row r="77">
      <c r="A77" s="92" t="inlineStr">
        <is>
          <t>HIST-2026-Budget</t>
        </is>
      </c>
      <c r="B77" s="92" t="inlineStr">
        <is>
          <t>RDFO_FICTIEVE_historie_en_mapping.xlsx</t>
        </is>
      </c>
      <c r="C77" s="108" t="n">
        <v>46324</v>
      </c>
      <c r="D77" s="92" t="inlineStr">
        <is>
          <t>Vastgesteld</t>
        </is>
      </c>
      <c r="E77" s="92" t="n">
        <v>2026</v>
      </c>
      <c r="F77" s="92" t="inlineStr">
        <is>
          <t>Budget</t>
        </is>
      </c>
      <c r="G77" s="92" t="n">
        <v>0</v>
      </c>
      <c r="H77" s="108" t="n">
        <v>46022</v>
      </c>
      <c r="I77" s="92" t="n">
        <v>2027</v>
      </c>
      <c r="J77" s="92" t="inlineStr">
        <is>
          <t>G.900018.8.9090</t>
        </is>
      </c>
      <c r="K77" s="92" t="inlineStr">
        <is>
          <t>G.900018</t>
        </is>
      </c>
      <c r="L77" s="92" t="inlineStr">
        <is>
          <t>Meerhovenstad, De Boog</t>
        </is>
      </c>
      <c r="M77" s="92" t="inlineStr">
        <is>
          <t>Deelneming</t>
        </is>
      </c>
      <c r="N77" s="92" t="inlineStr">
        <is>
          <t>N</t>
        </is>
      </c>
      <c r="O77" s="92" t="inlineStr">
        <is>
          <t>BOR FY</t>
        </is>
      </c>
      <c r="P77" s="109" t="n">
        <v>-179606.7</v>
      </c>
      <c r="Q77" s="92" t="inlineStr">
        <is>
          <t>EUR</t>
        </is>
      </c>
      <c r="R77" s="92" t="inlineStr">
        <is>
          <t>Synthetische vastgelegde invoer; geen echte historie</t>
        </is>
      </c>
      <c r="S77" s="15" t="str">
        <f>IF(J77="","",J77&amp;"|"&amp;E77&amp;"|"&amp;F77&amp;"|"&amp;I77&amp;"|"&amp;O77)</f>
        <v>G.900018.8.9090|2026|Budget|2027|BOR FY</v>
      </c>
      <c r="T77" s="15">
        <f>IF(OR(S77="",D77&lt;&gt;"Vastgesteld"),"",_xlfn.MAXIFS($G$6:$G$5005,$S$6:$S$5005,S77,$D$6:$D$5005,"Vastgesteld"))</f>
        <v>0</v>
      </c>
      <c r="U77" s="15">
        <f>IF(T77="",0,IF(AND(G77=T77,COUNTIFS($S$6:S77,S77,$G$6:G77,G77,$D$6:D77,"Vastgesteld")=1),1,0))</f>
        <v>1</v>
      </c>
      <c r="V77" s="15">
        <f>IF(T77="",0,IF(AND(G77=T77,COUNTIFS($S$6:S77,S77,$G$6:G77,G77,$D$6:D77,"Vastgesteld")&gt;1),1,0))</f>
        <v>0</v>
      </c>
    </row>
    <row r="78">
      <c r="A78" s="92" t="inlineStr">
        <is>
          <t>HIST-2026-Budget</t>
        </is>
      </c>
      <c r="B78" s="92" t="inlineStr">
        <is>
          <t>RDFO_FICTIEVE_historie_en_mapping.xlsx</t>
        </is>
      </c>
      <c r="C78" s="108" t="n">
        <v>46324</v>
      </c>
      <c r="D78" s="92" t="inlineStr">
        <is>
          <t>Vastgesteld</t>
        </is>
      </c>
      <c r="E78" s="92" t="n">
        <v>2026</v>
      </c>
      <c r="F78" s="92" t="inlineStr">
        <is>
          <t>Budget</t>
        </is>
      </c>
      <c r="G78" s="92" t="n">
        <v>0</v>
      </c>
      <c r="H78" s="108" t="n">
        <v>46022</v>
      </c>
      <c r="I78" s="92" t="n">
        <v>2026</v>
      </c>
      <c r="J78" s="92" t="inlineStr">
        <is>
          <t>G.900019.8.9090</t>
        </is>
      </c>
      <c r="K78" s="92" t="inlineStr">
        <is>
          <t>G.900019</t>
        </is>
      </c>
      <c r="L78" s="92" t="inlineStr">
        <is>
          <t>Zilverdam, Havenlicht</t>
        </is>
      </c>
      <c r="M78" s="92" t="inlineStr">
        <is>
          <t>Opstal</t>
        </is>
      </c>
      <c r="N78" s="92" t="inlineStr">
        <is>
          <t>J</t>
        </is>
      </c>
      <c r="O78" s="92" t="inlineStr">
        <is>
          <t>Omzet FY</t>
        </is>
      </c>
      <c r="P78" s="109" t="n">
        <v>6791400</v>
      </c>
      <c r="Q78" s="92" t="inlineStr">
        <is>
          <t>EUR</t>
        </is>
      </c>
      <c r="R78" s="92" t="inlineStr">
        <is>
          <t>Synthetische vastgelegde invoer; geen echte historie</t>
        </is>
      </c>
      <c r="S78" s="15" t="str">
        <f>IF(J78="","",J78&amp;"|"&amp;E78&amp;"|"&amp;F78&amp;"|"&amp;I78&amp;"|"&amp;O78)</f>
        <v>G.900019.8.9090|2026|Budget|2026|Omzet FY</v>
      </c>
      <c r="T78" s="15">
        <f>IF(OR(S78="",D78&lt;&gt;"Vastgesteld"),"",_xlfn.MAXIFS($G$6:$G$5005,$S$6:$S$5005,S78,$D$6:$D$5005,"Vastgesteld"))</f>
        <v>0</v>
      </c>
      <c r="U78" s="15">
        <f>IF(T78="",0,IF(AND(G78=T78,COUNTIFS($S$6:S78,S78,$G$6:G78,G78,$D$6:D78,"Vastgesteld")=1),1,0))</f>
        <v>1</v>
      </c>
      <c r="V78" s="15">
        <f>IF(T78="",0,IF(AND(G78=T78,COUNTIFS($S$6:S78,S78,$G$6:G78,G78,$D$6:D78,"Vastgesteld")&gt;1),1,0))</f>
        <v>0</v>
      </c>
    </row>
    <row r="79">
      <c r="A79" s="92" t="inlineStr">
        <is>
          <t>HIST-2026-Budget</t>
        </is>
      </c>
      <c r="B79" s="92" t="inlineStr">
        <is>
          <t>RDFO_FICTIEVE_historie_en_mapping.xlsx</t>
        </is>
      </c>
      <c r="C79" s="108" t="n">
        <v>46324</v>
      </c>
      <c r="D79" s="92" t="inlineStr">
        <is>
          <t>Vastgesteld</t>
        </is>
      </c>
      <c r="E79" s="92" t="n">
        <v>2026</v>
      </c>
      <c r="F79" s="92" t="inlineStr">
        <is>
          <t>Budget</t>
        </is>
      </c>
      <c r="G79" s="92" t="n">
        <v>0</v>
      </c>
      <c r="H79" s="108" t="n">
        <v>46022</v>
      </c>
      <c r="I79" s="92" t="n">
        <v>2026</v>
      </c>
      <c r="J79" s="92" t="inlineStr">
        <is>
          <t>G.900019.8.9090</t>
        </is>
      </c>
      <c r="K79" s="92" t="inlineStr">
        <is>
          <t>G.900019</t>
        </is>
      </c>
      <c r="L79" s="92" t="inlineStr">
        <is>
          <t>Zilverdam, Havenlicht</t>
        </is>
      </c>
      <c r="M79" s="92" t="inlineStr">
        <is>
          <t>Opstal</t>
        </is>
      </c>
      <c r="N79" s="92" t="inlineStr">
        <is>
          <t>J</t>
        </is>
      </c>
      <c r="O79" s="92" t="inlineStr">
        <is>
          <t>BOR FY</t>
        </is>
      </c>
      <c r="P79" s="109" t="n">
        <v>543312</v>
      </c>
      <c r="Q79" s="92" t="inlineStr">
        <is>
          <t>EUR</t>
        </is>
      </c>
      <c r="R79" s="92" t="inlineStr">
        <is>
          <t>Synthetische vastgelegde invoer; geen echte historie</t>
        </is>
      </c>
      <c r="S79" s="15" t="str">
        <f>IF(J79="","",J79&amp;"|"&amp;E79&amp;"|"&amp;F79&amp;"|"&amp;I79&amp;"|"&amp;O79)</f>
        <v>G.900019.8.9090|2026|Budget|2026|BOR FY</v>
      </c>
      <c r="T79" s="15">
        <f>IF(OR(S79="",D79&lt;&gt;"Vastgesteld"),"",_xlfn.MAXIFS($G$6:$G$5005,$S$6:$S$5005,S79,$D$6:$D$5005,"Vastgesteld"))</f>
        <v>0</v>
      </c>
      <c r="U79" s="15">
        <f>IF(T79="",0,IF(AND(G79=T79,COUNTIFS($S$6:S79,S79,$G$6:G79,G79,$D$6:D79,"Vastgesteld")=1),1,0))</f>
        <v>1</v>
      </c>
      <c r="V79" s="15">
        <f>IF(T79="",0,IF(AND(G79=T79,COUNTIFS($S$6:S79,S79,$G$6:G79,G79,$D$6:D79,"Vastgesteld")&gt;1),1,0))</f>
        <v>0</v>
      </c>
    </row>
    <row r="80">
      <c r="A80" s="92" t="inlineStr">
        <is>
          <t>HIST-2026-Budget</t>
        </is>
      </c>
      <c r="B80" s="92" t="inlineStr">
        <is>
          <t>RDFO_FICTIEVE_historie_en_mapping.xlsx</t>
        </is>
      </c>
      <c r="C80" s="108" t="n">
        <v>46324</v>
      </c>
      <c r="D80" s="92" t="inlineStr">
        <is>
          <t>Vastgesteld</t>
        </is>
      </c>
      <c r="E80" s="92" t="n">
        <v>2026</v>
      </c>
      <c r="F80" s="92" t="inlineStr">
        <is>
          <t>Budget</t>
        </is>
      </c>
      <c r="G80" s="92" t="n">
        <v>0</v>
      </c>
      <c r="H80" s="108" t="n">
        <v>46022</v>
      </c>
      <c r="I80" s="92" t="n">
        <v>2027</v>
      </c>
      <c r="J80" s="92" t="inlineStr">
        <is>
          <t>G.900019.8.9090</t>
        </is>
      </c>
      <c r="K80" s="92" t="inlineStr">
        <is>
          <t>G.900019</t>
        </is>
      </c>
      <c r="L80" s="92" t="inlineStr">
        <is>
          <t>Zilverdam, Havenlicht</t>
        </is>
      </c>
      <c r="M80" s="92" t="inlineStr">
        <is>
          <t>Opstal</t>
        </is>
      </c>
      <c r="N80" s="92" t="inlineStr">
        <is>
          <t>J</t>
        </is>
      </c>
      <c r="O80" s="92" t="inlineStr">
        <is>
          <t>Omzet FY</t>
        </is>
      </c>
      <c r="P80" s="109" t="n">
        <v>6096090</v>
      </c>
      <c r="Q80" s="92" t="inlineStr">
        <is>
          <t>EUR</t>
        </is>
      </c>
      <c r="R80" s="92" t="inlineStr">
        <is>
          <t>Synthetische vastgelegde invoer; geen echte historie</t>
        </is>
      </c>
      <c r="S80" s="15" t="str">
        <f>IF(J80="","",J80&amp;"|"&amp;E80&amp;"|"&amp;F80&amp;"|"&amp;I80&amp;"|"&amp;O80)</f>
        <v>G.900019.8.9090|2026|Budget|2027|Omzet FY</v>
      </c>
      <c r="T80" s="15">
        <f>IF(OR(S80="",D80&lt;&gt;"Vastgesteld"),"",_xlfn.MAXIFS($G$6:$G$5005,$S$6:$S$5005,S80,$D$6:$D$5005,"Vastgesteld"))</f>
        <v>0</v>
      </c>
      <c r="U80" s="15">
        <f>IF(T80="",0,IF(AND(G80=T80,COUNTIFS($S$6:S80,S80,$G$6:G80,G80,$D$6:D80,"Vastgesteld")=1),1,0))</f>
        <v>1</v>
      </c>
      <c r="V80" s="15">
        <f>IF(T80="",0,IF(AND(G80=T80,COUNTIFS($S$6:S80,S80,$G$6:G80,G80,$D$6:D80,"Vastgesteld")&gt;1),1,0))</f>
        <v>0</v>
      </c>
    </row>
    <row r="81">
      <c r="A81" s="92" t="inlineStr">
        <is>
          <t>HIST-2026-Budget</t>
        </is>
      </c>
      <c r="B81" s="92" t="inlineStr">
        <is>
          <t>RDFO_FICTIEVE_historie_en_mapping.xlsx</t>
        </is>
      </c>
      <c r="C81" s="108" t="n">
        <v>46324</v>
      </c>
      <c r="D81" s="92" t="inlineStr">
        <is>
          <t>Vastgesteld</t>
        </is>
      </c>
      <c r="E81" s="92" t="n">
        <v>2026</v>
      </c>
      <c r="F81" s="92" t="inlineStr">
        <is>
          <t>Budget</t>
        </is>
      </c>
      <c r="G81" s="92" t="n">
        <v>0</v>
      </c>
      <c r="H81" s="108" t="n">
        <v>46022</v>
      </c>
      <c r="I81" s="92" t="n">
        <v>2027</v>
      </c>
      <c r="J81" s="92" t="inlineStr">
        <is>
          <t>G.900019.8.9090</t>
        </is>
      </c>
      <c r="K81" s="92" t="inlineStr">
        <is>
          <t>G.900019</t>
        </is>
      </c>
      <c r="L81" s="92" t="inlineStr">
        <is>
          <t>Zilverdam, Havenlicht</t>
        </is>
      </c>
      <c r="M81" s="92" t="inlineStr">
        <is>
          <t>Opstal</t>
        </is>
      </c>
      <c r="N81" s="92" t="inlineStr">
        <is>
          <t>J</t>
        </is>
      </c>
      <c r="O81" s="92" t="inlineStr">
        <is>
          <t>BOR FY</t>
        </is>
      </c>
      <c r="P81" s="109" t="n">
        <v>487687.2</v>
      </c>
      <c r="Q81" s="92" t="inlineStr">
        <is>
          <t>EUR</t>
        </is>
      </c>
      <c r="R81" s="92" t="inlineStr">
        <is>
          <t>Synthetische vastgelegde invoer; geen echte historie</t>
        </is>
      </c>
      <c r="S81" s="15" t="str">
        <f>IF(J81="","",J81&amp;"|"&amp;E81&amp;"|"&amp;F81&amp;"|"&amp;I81&amp;"|"&amp;O81)</f>
        <v>G.900019.8.9090|2026|Budget|2027|BOR FY</v>
      </c>
      <c r="T81" s="15">
        <f>IF(OR(S81="",D81&lt;&gt;"Vastgesteld"),"",_xlfn.MAXIFS($G$6:$G$5005,$S$6:$S$5005,S81,$D$6:$D$5005,"Vastgesteld"))</f>
        <v>0</v>
      </c>
      <c r="U81" s="15">
        <f>IF(T81="",0,IF(AND(G81=T81,COUNTIFS($S$6:S81,S81,$G$6:G81,G81,$D$6:D81,"Vastgesteld")=1),1,0))</f>
        <v>1</v>
      </c>
      <c r="V81" s="15">
        <f>IF(T81="",0,IF(AND(G81=T81,COUNTIFS($S$6:S81,S81,$G$6:G81,G81,$D$6:D81,"Vastgesteld")&gt;1),1,0))</f>
        <v>0</v>
      </c>
    </row>
    <row r="82">
      <c r="A82" s="92" t="inlineStr">
        <is>
          <t>HIST-2026-Budget</t>
        </is>
      </c>
      <c r="B82" s="92" t="inlineStr">
        <is>
          <t>RDFO_FICTIEVE_historie_en_mapping.xlsx</t>
        </is>
      </c>
      <c r="C82" s="108" t="n">
        <v>46324</v>
      </c>
      <c r="D82" s="92" t="inlineStr">
        <is>
          <t>Vastgesteld</t>
        </is>
      </c>
      <c r="E82" s="92" t="n">
        <v>2026</v>
      </c>
      <c r="F82" s="92" t="inlineStr">
        <is>
          <t>Budget</t>
        </is>
      </c>
      <c r="G82" s="92" t="n">
        <v>0</v>
      </c>
      <c r="H82" s="108" t="n">
        <v>46022</v>
      </c>
      <c r="I82" s="92" t="n">
        <v>2026</v>
      </c>
      <c r="J82" s="92" t="inlineStr">
        <is>
          <t>G.900020.8.9090</t>
        </is>
      </c>
      <c r="K82" s="92" t="inlineStr">
        <is>
          <t>G.900020</t>
        </is>
      </c>
      <c r="L82" s="92" t="inlineStr">
        <is>
          <t>Boswaard, Parkeergebouw</t>
        </is>
      </c>
      <c r="M82" s="92" t="inlineStr">
        <is>
          <t>Opstal</t>
        </is>
      </c>
      <c r="N82" s="92" t="inlineStr">
        <is>
          <t>J</t>
        </is>
      </c>
      <c r="O82" s="92" t="inlineStr">
        <is>
          <t>Omzet FY</t>
        </is>
      </c>
      <c r="P82" s="109" t="n">
        <v>216000</v>
      </c>
      <c r="Q82" s="92" t="inlineStr">
        <is>
          <t>EUR</t>
        </is>
      </c>
      <c r="R82" s="92" t="inlineStr">
        <is>
          <t>Synthetische vastgelegde invoer; geen echte historie</t>
        </is>
      </c>
      <c r="S82" s="15" t="str">
        <f>IF(J82="","",J82&amp;"|"&amp;E82&amp;"|"&amp;F82&amp;"|"&amp;I82&amp;"|"&amp;O82)</f>
        <v>G.900020.8.9090|2026|Budget|2026|Omzet FY</v>
      </c>
      <c r="T82" s="15">
        <f>IF(OR(S82="",D82&lt;&gt;"Vastgesteld"),"",_xlfn.MAXIFS($G$6:$G$5005,$S$6:$S$5005,S82,$D$6:$D$5005,"Vastgesteld"))</f>
        <v>0</v>
      </c>
      <c r="U82" s="15">
        <f>IF(T82="",0,IF(AND(G82=T82,COUNTIFS($S$6:S82,S82,$G$6:G82,G82,$D$6:D82,"Vastgesteld")=1),1,0))</f>
        <v>1</v>
      </c>
      <c r="V82" s="15">
        <f>IF(T82="",0,IF(AND(G82=T82,COUNTIFS($S$6:S82,S82,$G$6:G82,G82,$D$6:D82,"Vastgesteld")&gt;1),1,0))</f>
        <v>0</v>
      </c>
    </row>
    <row r="83">
      <c r="A83" s="92" t="inlineStr">
        <is>
          <t>HIST-2026-Budget</t>
        </is>
      </c>
      <c r="B83" s="92" t="inlineStr">
        <is>
          <t>RDFO_FICTIEVE_historie_en_mapping.xlsx</t>
        </is>
      </c>
      <c r="C83" s="108" t="n">
        <v>46324</v>
      </c>
      <c r="D83" s="92" t="inlineStr">
        <is>
          <t>Vastgesteld</t>
        </is>
      </c>
      <c r="E83" s="92" t="n">
        <v>2026</v>
      </c>
      <c r="F83" s="92" t="inlineStr">
        <is>
          <t>Budget</t>
        </is>
      </c>
      <c r="G83" s="92" t="n">
        <v>0</v>
      </c>
      <c r="H83" s="108" t="n">
        <v>46022</v>
      </c>
      <c r="I83" s="92" t="n">
        <v>2026</v>
      </c>
      <c r="J83" s="92" t="inlineStr">
        <is>
          <t>G.900020.8.9090</t>
        </is>
      </c>
      <c r="K83" s="92" t="inlineStr">
        <is>
          <t>G.900020</t>
        </is>
      </c>
      <c r="L83" s="92" t="inlineStr">
        <is>
          <t>Boswaard, Parkeergebouw</t>
        </is>
      </c>
      <c r="M83" s="92" t="inlineStr">
        <is>
          <t>Opstal</t>
        </is>
      </c>
      <c r="N83" s="92" t="inlineStr">
        <is>
          <t>J</t>
        </is>
      </c>
      <c r="O83" s="92" t="inlineStr">
        <is>
          <t>BOR FY</t>
        </is>
      </c>
      <c r="P83" s="109" t="n">
        <v>28080</v>
      </c>
      <c r="Q83" s="92" t="inlineStr">
        <is>
          <t>EUR</t>
        </is>
      </c>
      <c r="R83" s="92" t="inlineStr">
        <is>
          <t>Synthetische vastgelegde invoer; geen echte historie</t>
        </is>
      </c>
      <c r="S83" s="15" t="str">
        <f>IF(J83="","",J83&amp;"|"&amp;E83&amp;"|"&amp;F83&amp;"|"&amp;I83&amp;"|"&amp;O83)</f>
        <v>G.900020.8.9090|2026|Budget|2026|BOR FY</v>
      </c>
      <c r="T83" s="15">
        <f>IF(OR(S83="",D83&lt;&gt;"Vastgesteld"),"",_xlfn.MAXIFS($G$6:$G$5005,$S$6:$S$5005,S83,$D$6:$D$5005,"Vastgesteld"))</f>
        <v>0</v>
      </c>
      <c r="U83" s="15">
        <f>IF(T83="",0,IF(AND(G83=T83,COUNTIFS($S$6:S83,S83,$G$6:G83,G83,$D$6:D83,"Vastgesteld")=1),1,0))</f>
        <v>1</v>
      </c>
      <c r="V83" s="15">
        <f>IF(T83="",0,IF(AND(G83=T83,COUNTIFS($S$6:S83,S83,$G$6:G83,G83,$D$6:D83,"Vastgesteld")&gt;1),1,0))</f>
        <v>0</v>
      </c>
    </row>
    <row r="84">
      <c r="A84" s="92" t="inlineStr">
        <is>
          <t>HIST-2026-Budget</t>
        </is>
      </c>
      <c r="B84" s="92" t="inlineStr">
        <is>
          <t>RDFO_FICTIEVE_historie_en_mapping.xlsx</t>
        </is>
      </c>
      <c r="C84" s="108" t="n">
        <v>46324</v>
      </c>
      <c r="D84" s="92" t="inlineStr">
        <is>
          <t>Vastgesteld</t>
        </is>
      </c>
      <c r="E84" s="92" t="n">
        <v>2026</v>
      </c>
      <c r="F84" s="92" t="inlineStr">
        <is>
          <t>Budget</t>
        </is>
      </c>
      <c r="G84" s="92" t="n">
        <v>0</v>
      </c>
      <c r="H84" s="108" t="n">
        <v>46022</v>
      </c>
      <c r="I84" s="92" t="n">
        <v>2027</v>
      </c>
      <c r="J84" s="92" t="inlineStr">
        <is>
          <t>G.900020.8.9090</t>
        </is>
      </c>
      <c r="K84" s="92" t="inlineStr">
        <is>
          <t>G.900020</t>
        </is>
      </c>
      <c r="L84" s="92" t="inlineStr">
        <is>
          <t>Boswaard, Parkeergebouw</t>
        </is>
      </c>
      <c r="M84" s="92" t="inlineStr">
        <is>
          <t>Opstal</t>
        </is>
      </c>
      <c r="N84" s="92" t="inlineStr">
        <is>
          <t>J</t>
        </is>
      </c>
      <c r="O84" s="92" t="inlineStr">
        <is>
          <t>Omzet FY</t>
        </is>
      </c>
      <c r="P84" s="109" t="n">
        <v>1263600</v>
      </c>
      <c r="Q84" s="92" t="inlineStr">
        <is>
          <t>EUR</t>
        </is>
      </c>
      <c r="R84" s="92" t="inlineStr">
        <is>
          <t>Synthetische vastgelegde invoer; geen echte historie</t>
        </is>
      </c>
      <c r="S84" s="15" t="str">
        <f>IF(J84="","",J84&amp;"|"&amp;E84&amp;"|"&amp;F84&amp;"|"&amp;I84&amp;"|"&amp;O84)</f>
        <v>G.900020.8.9090|2026|Budget|2027|Omzet FY</v>
      </c>
      <c r="T84" s="15">
        <f>IF(OR(S84="",D84&lt;&gt;"Vastgesteld"),"",_xlfn.MAXIFS($G$6:$G$5005,$S$6:$S$5005,S84,$D$6:$D$5005,"Vastgesteld"))</f>
        <v>0</v>
      </c>
      <c r="U84" s="15">
        <f>IF(T84="",0,IF(AND(G84=T84,COUNTIFS($S$6:S84,S84,$G$6:G84,G84,$D$6:D84,"Vastgesteld")=1),1,0))</f>
        <v>1</v>
      </c>
      <c r="V84" s="15">
        <f>IF(T84="",0,IF(AND(G84=T84,COUNTIFS($S$6:S84,S84,$G$6:G84,G84,$D$6:D84,"Vastgesteld")&gt;1),1,0))</f>
        <v>0</v>
      </c>
    </row>
    <row r="85">
      <c r="A85" s="92" t="inlineStr">
        <is>
          <t>HIST-2026-Budget</t>
        </is>
      </c>
      <c r="B85" s="92" t="inlineStr">
        <is>
          <t>RDFO_FICTIEVE_historie_en_mapping.xlsx</t>
        </is>
      </c>
      <c r="C85" s="108" t="n">
        <v>46324</v>
      </c>
      <c r="D85" s="92" t="inlineStr">
        <is>
          <t>Vastgesteld</t>
        </is>
      </c>
      <c r="E85" s="92" t="n">
        <v>2026</v>
      </c>
      <c r="F85" s="92" t="inlineStr">
        <is>
          <t>Budget</t>
        </is>
      </c>
      <c r="G85" s="92" t="n">
        <v>0</v>
      </c>
      <c r="H85" s="108" t="n">
        <v>46022</v>
      </c>
      <c r="I85" s="92" t="n">
        <v>2027</v>
      </c>
      <c r="J85" s="92" t="inlineStr">
        <is>
          <t>G.900020.8.9090</t>
        </is>
      </c>
      <c r="K85" s="92" t="inlineStr">
        <is>
          <t>G.900020</t>
        </is>
      </c>
      <c r="L85" s="92" t="inlineStr">
        <is>
          <t>Boswaard, Parkeergebouw</t>
        </is>
      </c>
      <c r="M85" s="92" t="inlineStr">
        <is>
          <t>Opstal</t>
        </is>
      </c>
      <c r="N85" s="92" t="inlineStr">
        <is>
          <t>J</t>
        </is>
      </c>
      <c r="O85" s="92" t="inlineStr">
        <is>
          <t>BOR FY</t>
        </is>
      </c>
      <c r="P85" s="109" t="n">
        <v>164268</v>
      </c>
      <c r="Q85" s="92" t="inlineStr">
        <is>
          <t>EUR</t>
        </is>
      </c>
      <c r="R85" s="92" t="inlineStr">
        <is>
          <t>Synthetische vastgelegde invoer; geen echte historie</t>
        </is>
      </c>
      <c r="S85" s="15" t="str">
        <f>IF(J85="","",J85&amp;"|"&amp;E85&amp;"|"&amp;F85&amp;"|"&amp;I85&amp;"|"&amp;O85)</f>
        <v>G.900020.8.9090|2026|Budget|2027|BOR FY</v>
      </c>
      <c r="T85" s="15">
        <f>IF(OR(S85="",D85&lt;&gt;"Vastgesteld"),"",_xlfn.MAXIFS($G$6:$G$5005,$S$6:$S$5005,S85,$D$6:$D$5005,"Vastgesteld"))</f>
        <v>0</v>
      </c>
      <c r="U85" s="15">
        <f>IF(T85="",0,IF(AND(G85=T85,COUNTIFS($S$6:S85,S85,$G$6:G85,G85,$D$6:D85,"Vastgesteld")=1),1,0))</f>
        <v>1</v>
      </c>
      <c r="V85" s="15">
        <f>IF(T85="",0,IF(AND(G85=T85,COUNTIFS($S$6:S85,S85,$G$6:G85,G85,$D$6:D85,"Vastgesteld")&gt;1),1,0))</f>
        <v>0</v>
      </c>
    </row>
    <row r="86">
      <c r="A86" s="92" t="inlineStr">
        <is>
          <t>HIST-2026-Budget</t>
        </is>
      </c>
      <c r="B86" s="92" t="inlineStr">
        <is>
          <t>RDFO_FICTIEVE_historie_en_mapping.xlsx</t>
        </is>
      </c>
      <c r="C86" s="108" t="n">
        <v>46324</v>
      </c>
      <c r="D86" s="92" t="inlineStr">
        <is>
          <t>Vastgesteld</t>
        </is>
      </c>
      <c r="E86" s="92" t="n">
        <v>2026</v>
      </c>
      <c r="F86" s="92" t="inlineStr">
        <is>
          <t>Budget</t>
        </is>
      </c>
      <c r="G86" s="92" t="n">
        <v>0</v>
      </c>
      <c r="H86" s="108" t="n">
        <v>46022</v>
      </c>
      <c r="I86" s="92" t="n">
        <v>2026</v>
      </c>
      <c r="J86" s="92" t="inlineStr">
        <is>
          <t>G.900001.8.9090</t>
        </is>
      </c>
      <c r="K86" s="92" t="inlineStr">
        <is>
          <t>G.900001</t>
        </is>
      </c>
      <c r="L86" s="92" t="inlineStr">
        <is>
          <t>Lindehaven, Parkzoom fase 1</t>
        </is>
      </c>
      <c r="M86" s="92" t="inlineStr">
        <is>
          <t>Opstal</t>
        </is>
      </c>
      <c r="N86" s="92" t="inlineStr">
        <is>
          <t>J</t>
        </is>
      </c>
      <c r="O86" s="92" t="inlineStr">
        <is>
          <t>Woningverkopen FY</t>
        </is>
      </c>
      <c r="P86" s="109" t="n">
        <v>9</v>
      </c>
      <c r="Q86" s="92" t="inlineStr">
        <is>
          <t>aantal</t>
        </is>
      </c>
      <c r="R86" s="92" t="inlineStr">
        <is>
          <t>Synthetische snapshot; kwartalen zijn FY-verdeling, geen actuals</t>
        </is>
      </c>
      <c r="S86" s="15" t="str">
        <f>IF(J86="","",J86&amp;"|"&amp;E86&amp;"|"&amp;F86&amp;"|"&amp;I86&amp;"|"&amp;O86)</f>
        <v>G.900001.8.9090|2026|Budget|2026|Woningverkopen FY</v>
      </c>
      <c r="T86" s="15">
        <f>IF(OR(S86="",D86&lt;&gt;"Vastgesteld"),"",_xlfn.MAXIFS($G$6:$G$5005,$S$6:$S$5005,S86,$D$6:$D$5005,"Vastgesteld"))</f>
        <v>0</v>
      </c>
      <c r="U86" s="15">
        <f>IF(T86="",0,IF(AND(G86=T86,COUNTIFS($S$6:S86,S86,$G$6:G86,G86,$D$6:D86,"Vastgesteld")=1),1,0))</f>
        <v>1</v>
      </c>
      <c r="V86" s="15">
        <f>IF(T86="",0,IF(AND(G86=T86,COUNTIFS($S$6:S86,S86,$G$6:G86,G86,$D$6:D86,"Vastgesteld")&gt;1),1,0))</f>
        <v>0</v>
      </c>
    </row>
    <row r="87">
      <c r="A87" s="92" t="inlineStr">
        <is>
          <t>HIST-2026-Budget</t>
        </is>
      </c>
      <c r="B87" s="92" t="inlineStr">
        <is>
          <t>RDFO_FICTIEVE_historie_en_mapping.xlsx</t>
        </is>
      </c>
      <c r="C87" s="108" t="n">
        <v>46324</v>
      </c>
      <c r="D87" s="92" t="inlineStr">
        <is>
          <t>Vastgesteld</t>
        </is>
      </c>
      <c r="E87" s="92" t="n">
        <v>2026</v>
      </c>
      <c r="F87" s="92" t="inlineStr">
        <is>
          <t>Budget</t>
        </is>
      </c>
      <c r="G87" s="92" t="n">
        <v>0</v>
      </c>
      <c r="H87" s="108" t="n">
        <v>46022</v>
      </c>
      <c r="I87" s="92" t="n">
        <v>2026</v>
      </c>
      <c r="J87" s="92" t="inlineStr">
        <is>
          <t>G.900001.8.9090</t>
        </is>
      </c>
      <c r="K87" s="92" t="inlineStr">
        <is>
          <t>G.900001</t>
        </is>
      </c>
      <c r="L87" s="92" t="inlineStr">
        <is>
          <t>Lindehaven, Parkzoom fase 1</t>
        </is>
      </c>
      <c r="M87" s="92" t="inlineStr">
        <is>
          <t>Opstal</t>
        </is>
      </c>
      <c r="N87" s="92" t="inlineStr">
        <is>
          <t>J</t>
        </is>
      </c>
      <c r="O87" s="92" t="inlineStr">
        <is>
          <t>Woningen verkocht t/m vorig jaar</t>
        </is>
      </c>
      <c r="P87" s="109" t="n">
        <v>6</v>
      </c>
      <c r="Q87" s="92" t="inlineStr">
        <is>
          <t>aantal</t>
        </is>
      </c>
      <c r="R87" s="92" t="inlineStr">
        <is>
          <t>Synthetische snapshot; kwartalen zijn FY-verdeling, geen actuals</t>
        </is>
      </c>
      <c r="S87" s="15" t="str">
        <f>IF(J87="","",J87&amp;"|"&amp;E87&amp;"|"&amp;F87&amp;"|"&amp;I87&amp;"|"&amp;O87)</f>
        <v>G.900001.8.9090|2026|Budget|2026|Woningen verkocht t/m vorig jaar</v>
      </c>
      <c r="T87" s="15">
        <f>IF(OR(S87="",D87&lt;&gt;"Vastgesteld"),"",_xlfn.MAXIFS($G$6:$G$5005,$S$6:$S$5005,S87,$D$6:$D$5005,"Vastgesteld"))</f>
        <v>0</v>
      </c>
      <c r="U87" s="15">
        <f>IF(T87="",0,IF(AND(G87=T87,COUNTIFS($S$6:S87,S87,$G$6:G87,G87,$D$6:D87,"Vastgesteld")=1),1,0))</f>
        <v>1</v>
      </c>
      <c r="V87" s="15">
        <f>IF(T87="",0,IF(AND(G87=T87,COUNTIFS($S$6:S87,S87,$G$6:G87,G87,$D$6:D87,"Vastgesteld")&gt;1),1,0))</f>
        <v>0</v>
      </c>
    </row>
    <row r="88">
      <c r="A88" s="92" t="inlineStr">
        <is>
          <t>HIST-2026-Budget</t>
        </is>
      </c>
      <c r="B88" s="92" t="inlineStr">
        <is>
          <t>RDFO_FICTIEVE_historie_en_mapping.xlsx</t>
        </is>
      </c>
      <c r="C88" s="108" t="n">
        <v>46324</v>
      </c>
      <c r="D88" s="92" t="inlineStr">
        <is>
          <t>Vastgesteld</t>
        </is>
      </c>
      <c r="E88" s="92" t="n">
        <v>2026</v>
      </c>
      <c r="F88" s="92" t="inlineStr">
        <is>
          <t>Budget</t>
        </is>
      </c>
      <c r="G88" s="92" t="n">
        <v>0</v>
      </c>
      <c r="H88" s="108" t="n">
        <v>46022</v>
      </c>
      <c r="I88" s="92" t="n">
        <v>2026</v>
      </c>
      <c r="J88" s="92" t="inlineStr">
        <is>
          <t>G.900001.8.9090</t>
        </is>
      </c>
      <c r="K88" s="92" t="inlineStr">
        <is>
          <t>G.900001</t>
        </is>
      </c>
      <c r="L88" s="92" t="inlineStr">
        <is>
          <t>Lindehaven, Parkzoom fase 1</t>
        </is>
      </c>
      <c r="M88" s="92" t="inlineStr">
        <is>
          <t>Opstal</t>
        </is>
      </c>
      <c r="N88" s="92" t="inlineStr">
        <is>
          <t>J</t>
        </is>
      </c>
      <c r="O88" s="92" t="inlineStr">
        <is>
          <t>Woningverkopen Q1</t>
        </is>
      </c>
      <c r="P88" s="109" t="n">
        <v>1</v>
      </c>
      <c r="Q88" s="92" t="inlineStr">
        <is>
          <t>aantal</t>
        </is>
      </c>
      <c r="R88" s="92" t="inlineStr">
        <is>
          <t>Synthetische snapshot; kwartalen zijn FY-verdeling, geen actuals</t>
        </is>
      </c>
      <c r="S88" s="15" t="str">
        <f>IF(J88="","",J88&amp;"|"&amp;E88&amp;"|"&amp;F88&amp;"|"&amp;I88&amp;"|"&amp;O88)</f>
        <v>G.900001.8.9090|2026|Budget|2026|Woningverkopen Q1</v>
      </c>
      <c r="T88" s="15">
        <f>IF(OR(S88="",D88&lt;&gt;"Vastgesteld"),"",_xlfn.MAXIFS($G$6:$G$5005,$S$6:$S$5005,S88,$D$6:$D$5005,"Vastgesteld"))</f>
        <v>0</v>
      </c>
      <c r="U88" s="15">
        <f>IF(T88="",0,IF(AND(G88=T88,COUNTIFS($S$6:S88,S88,$G$6:G88,G88,$D$6:D88,"Vastgesteld")=1),1,0))</f>
        <v>1</v>
      </c>
      <c r="V88" s="15">
        <f>IF(T88="",0,IF(AND(G88=T88,COUNTIFS($S$6:S88,S88,$G$6:G88,G88,$D$6:D88,"Vastgesteld")&gt;1),1,0))</f>
        <v>0</v>
      </c>
    </row>
    <row r="89">
      <c r="A89" s="92" t="inlineStr">
        <is>
          <t>HIST-2026-Budget</t>
        </is>
      </c>
      <c r="B89" s="92" t="inlineStr">
        <is>
          <t>RDFO_FICTIEVE_historie_en_mapping.xlsx</t>
        </is>
      </c>
      <c r="C89" s="108" t="n">
        <v>46324</v>
      </c>
      <c r="D89" s="92" t="inlineStr">
        <is>
          <t>Vastgesteld</t>
        </is>
      </c>
      <c r="E89" s="92" t="n">
        <v>2026</v>
      </c>
      <c r="F89" s="92" t="inlineStr">
        <is>
          <t>Budget</t>
        </is>
      </c>
      <c r="G89" s="92" t="n">
        <v>0</v>
      </c>
      <c r="H89" s="108" t="n">
        <v>46022</v>
      </c>
      <c r="I89" s="92" t="n">
        <v>2026</v>
      </c>
      <c r="J89" s="92" t="inlineStr">
        <is>
          <t>G.900001.8.9090</t>
        </is>
      </c>
      <c r="K89" s="92" t="inlineStr">
        <is>
          <t>G.900001</t>
        </is>
      </c>
      <c r="L89" s="92" t="inlineStr">
        <is>
          <t>Lindehaven, Parkzoom fase 1</t>
        </is>
      </c>
      <c r="M89" s="92" t="inlineStr">
        <is>
          <t>Opstal</t>
        </is>
      </c>
      <c r="N89" s="92" t="inlineStr">
        <is>
          <t>J</t>
        </is>
      </c>
      <c r="O89" s="92" t="inlineStr">
        <is>
          <t>Woningverkopen Q2</t>
        </is>
      </c>
      <c r="P89" s="109" t="n">
        <v>2</v>
      </c>
      <c r="Q89" s="92" t="inlineStr">
        <is>
          <t>aantal</t>
        </is>
      </c>
      <c r="R89" s="92" t="inlineStr">
        <is>
          <t>Synthetische snapshot; kwartalen zijn FY-verdeling, geen actuals</t>
        </is>
      </c>
      <c r="S89" s="15" t="str">
        <f>IF(J89="","",J89&amp;"|"&amp;E89&amp;"|"&amp;F89&amp;"|"&amp;I89&amp;"|"&amp;O89)</f>
        <v>G.900001.8.9090|2026|Budget|2026|Woningverkopen Q2</v>
      </c>
      <c r="T89" s="15">
        <f>IF(OR(S89="",D89&lt;&gt;"Vastgesteld"),"",_xlfn.MAXIFS($G$6:$G$5005,$S$6:$S$5005,S89,$D$6:$D$5005,"Vastgesteld"))</f>
        <v>0</v>
      </c>
      <c r="U89" s="15">
        <f>IF(T89="",0,IF(AND(G89=T89,COUNTIFS($S$6:S89,S89,$G$6:G89,G89,$D$6:D89,"Vastgesteld")=1),1,0))</f>
        <v>1</v>
      </c>
      <c r="V89" s="15">
        <f>IF(T89="",0,IF(AND(G89=T89,COUNTIFS($S$6:S89,S89,$G$6:G89,G89,$D$6:D89,"Vastgesteld")&gt;1),1,0))</f>
        <v>0</v>
      </c>
    </row>
    <row r="90">
      <c r="A90" s="92" t="inlineStr">
        <is>
          <t>HIST-2026-Budget</t>
        </is>
      </c>
      <c r="B90" s="92" t="inlineStr">
        <is>
          <t>RDFO_FICTIEVE_historie_en_mapping.xlsx</t>
        </is>
      </c>
      <c r="C90" s="108" t="n">
        <v>46324</v>
      </c>
      <c r="D90" s="92" t="inlineStr">
        <is>
          <t>Vastgesteld</t>
        </is>
      </c>
      <c r="E90" s="92" t="n">
        <v>2026</v>
      </c>
      <c r="F90" s="92" t="inlineStr">
        <is>
          <t>Budget</t>
        </is>
      </c>
      <c r="G90" s="92" t="n">
        <v>0</v>
      </c>
      <c r="H90" s="108" t="n">
        <v>46022</v>
      </c>
      <c r="I90" s="92" t="n">
        <v>2026</v>
      </c>
      <c r="J90" s="92" t="inlineStr">
        <is>
          <t>G.900001.8.9090</t>
        </is>
      </c>
      <c r="K90" s="92" t="inlineStr">
        <is>
          <t>G.900001</t>
        </is>
      </c>
      <c r="L90" s="92" t="inlineStr">
        <is>
          <t>Lindehaven, Parkzoom fase 1</t>
        </is>
      </c>
      <c r="M90" s="92" t="inlineStr">
        <is>
          <t>Opstal</t>
        </is>
      </c>
      <c r="N90" s="92" t="inlineStr">
        <is>
          <t>J</t>
        </is>
      </c>
      <c r="O90" s="92" t="inlineStr">
        <is>
          <t>Woningverkopen Q3</t>
        </is>
      </c>
      <c r="P90" s="109" t="n">
        <v>2</v>
      </c>
      <c r="Q90" s="92" t="inlineStr">
        <is>
          <t>aantal</t>
        </is>
      </c>
      <c r="R90" s="92" t="inlineStr">
        <is>
          <t>Synthetische snapshot; kwartalen zijn FY-verdeling, geen actuals</t>
        </is>
      </c>
      <c r="S90" s="15" t="str">
        <f>IF(J90="","",J90&amp;"|"&amp;E90&amp;"|"&amp;F90&amp;"|"&amp;I90&amp;"|"&amp;O90)</f>
        <v>G.900001.8.9090|2026|Budget|2026|Woningverkopen Q3</v>
      </c>
      <c r="T90" s="15">
        <f>IF(OR(S90="",D90&lt;&gt;"Vastgesteld"),"",_xlfn.MAXIFS($G$6:$G$5005,$S$6:$S$5005,S90,$D$6:$D$5005,"Vastgesteld"))</f>
        <v>0</v>
      </c>
      <c r="U90" s="15">
        <f>IF(T90="",0,IF(AND(G90=T90,COUNTIFS($S$6:S90,S90,$G$6:G90,G90,$D$6:D90,"Vastgesteld")=1),1,0))</f>
        <v>1</v>
      </c>
      <c r="V90" s="15">
        <f>IF(T90="",0,IF(AND(G90=T90,COUNTIFS($S$6:S90,S90,$G$6:G90,G90,$D$6:D90,"Vastgesteld")&gt;1),1,0))</f>
        <v>0</v>
      </c>
    </row>
    <row r="91">
      <c r="A91" s="92" t="inlineStr">
        <is>
          <t>HIST-2026-Budget</t>
        </is>
      </c>
      <c r="B91" s="92" t="inlineStr">
        <is>
          <t>RDFO_FICTIEVE_historie_en_mapping.xlsx</t>
        </is>
      </c>
      <c r="C91" s="108" t="n">
        <v>46324</v>
      </c>
      <c r="D91" s="92" t="inlineStr">
        <is>
          <t>Vastgesteld</t>
        </is>
      </c>
      <c r="E91" s="92" t="n">
        <v>2026</v>
      </c>
      <c r="F91" s="92" t="inlineStr">
        <is>
          <t>Budget</t>
        </is>
      </c>
      <c r="G91" s="92" t="n">
        <v>0</v>
      </c>
      <c r="H91" s="108" t="n">
        <v>46022</v>
      </c>
      <c r="I91" s="92" t="n">
        <v>2026</v>
      </c>
      <c r="J91" s="92" t="inlineStr">
        <is>
          <t>G.900001.8.9090</t>
        </is>
      </c>
      <c r="K91" s="92" t="inlineStr">
        <is>
          <t>G.900001</t>
        </is>
      </c>
      <c r="L91" s="92" t="inlineStr">
        <is>
          <t>Lindehaven, Parkzoom fase 1</t>
        </is>
      </c>
      <c r="M91" s="92" t="inlineStr">
        <is>
          <t>Opstal</t>
        </is>
      </c>
      <c r="N91" s="92" t="inlineStr">
        <is>
          <t>J</t>
        </is>
      </c>
      <c r="O91" s="92" t="inlineStr">
        <is>
          <t>Woningverkopen Q4</t>
        </is>
      </c>
      <c r="P91" s="109" t="n">
        <v>4</v>
      </c>
      <c r="Q91" s="92" t="inlineStr">
        <is>
          <t>aantal</t>
        </is>
      </c>
      <c r="R91" s="92" t="inlineStr">
        <is>
          <t>Synthetische snapshot; kwartalen zijn FY-verdeling, geen actuals</t>
        </is>
      </c>
      <c r="S91" s="15" t="str">
        <f>IF(J91="","",J91&amp;"|"&amp;E91&amp;"|"&amp;F91&amp;"|"&amp;I91&amp;"|"&amp;O91)</f>
        <v>G.900001.8.9090|2026|Budget|2026|Woningverkopen Q4</v>
      </c>
      <c r="T91" s="15">
        <f>IF(OR(S91="",D91&lt;&gt;"Vastgesteld"),"",_xlfn.MAXIFS($G$6:$G$5005,$S$6:$S$5005,S91,$D$6:$D$5005,"Vastgesteld"))</f>
        <v>0</v>
      </c>
      <c r="U91" s="15">
        <f>IF(T91="",0,IF(AND(G91=T91,COUNTIFS($S$6:S91,S91,$G$6:G91,G91,$D$6:D91,"Vastgesteld")=1),1,0))</f>
        <v>1</v>
      </c>
      <c r="V91" s="15">
        <f>IF(T91="",0,IF(AND(G91=T91,COUNTIFS($S$6:S91,S91,$G$6:G91,G91,$D$6:D91,"Vastgesteld")&gt;1),1,0))</f>
        <v>0</v>
      </c>
    </row>
    <row r="92">
      <c r="A92" s="92" t="inlineStr">
        <is>
          <t>HIST-2026-Budget</t>
        </is>
      </c>
      <c r="B92" s="92" t="inlineStr">
        <is>
          <t>RDFO_FICTIEVE_historie_en_mapping.xlsx</t>
        </is>
      </c>
      <c r="C92" s="108" t="n">
        <v>46324</v>
      </c>
      <c r="D92" s="92" t="inlineStr">
        <is>
          <t>Vastgesteld</t>
        </is>
      </c>
      <c r="E92" s="92" t="n">
        <v>2026</v>
      </c>
      <c r="F92" s="92" t="inlineStr">
        <is>
          <t>Budget</t>
        </is>
      </c>
      <c r="G92" s="92" t="n">
        <v>0</v>
      </c>
      <c r="H92" s="108" t="n">
        <v>46022</v>
      </c>
      <c r="I92" s="92" t="n">
        <v>2026</v>
      </c>
      <c r="J92" s="92" t="inlineStr">
        <is>
          <t>G.900002.8.9090</t>
        </is>
      </c>
      <c r="K92" s="92" t="inlineStr">
        <is>
          <t>G.900002</t>
        </is>
      </c>
      <c r="L92" s="92" t="inlineStr">
        <is>
          <t>Duinwaard, De Watergaarde</t>
        </is>
      </c>
      <c r="M92" s="92" t="inlineStr">
        <is>
          <t>Opstal</t>
        </is>
      </c>
      <c r="N92" s="92" t="inlineStr">
        <is>
          <t>J</t>
        </is>
      </c>
      <c r="O92" s="92" t="inlineStr">
        <is>
          <t>Woningverkopen FY</t>
        </is>
      </c>
      <c r="P92" s="109" t="n">
        <v>12</v>
      </c>
      <c r="Q92" s="92" t="inlineStr">
        <is>
          <t>aantal</t>
        </is>
      </c>
      <c r="R92" s="92" t="inlineStr">
        <is>
          <t>Synthetische snapshot; kwartalen zijn FY-verdeling, geen actuals</t>
        </is>
      </c>
      <c r="S92" s="15" t="str">
        <f>IF(J92="","",J92&amp;"|"&amp;E92&amp;"|"&amp;F92&amp;"|"&amp;I92&amp;"|"&amp;O92)</f>
        <v>G.900002.8.9090|2026|Budget|2026|Woningverkopen FY</v>
      </c>
      <c r="T92" s="15">
        <f>IF(OR(S92="",D92&lt;&gt;"Vastgesteld"),"",_xlfn.MAXIFS($G$6:$G$5005,$S$6:$S$5005,S92,$D$6:$D$5005,"Vastgesteld"))</f>
        <v>0</v>
      </c>
      <c r="U92" s="15">
        <f>IF(T92="",0,IF(AND(G92=T92,COUNTIFS($S$6:S92,S92,$G$6:G92,G92,$D$6:D92,"Vastgesteld")=1),1,0))</f>
        <v>1</v>
      </c>
      <c r="V92" s="15">
        <f>IF(T92="",0,IF(AND(G92=T92,COUNTIFS($S$6:S92,S92,$G$6:G92,G92,$D$6:D92,"Vastgesteld")&gt;1),1,0))</f>
        <v>0</v>
      </c>
    </row>
    <row r="93">
      <c r="A93" s="92" t="inlineStr">
        <is>
          <t>HIST-2026-Budget</t>
        </is>
      </c>
      <c r="B93" s="92" t="inlineStr">
        <is>
          <t>RDFO_FICTIEVE_historie_en_mapping.xlsx</t>
        </is>
      </c>
      <c r="C93" s="108" t="n">
        <v>46324</v>
      </c>
      <c r="D93" s="92" t="inlineStr">
        <is>
          <t>Vastgesteld</t>
        </is>
      </c>
      <c r="E93" s="92" t="n">
        <v>2026</v>
      </c>
      <c r="F93" s="92" t="inlineStr">
        <is>
          <t>Budget</t>
        </is>
      </c>
      <c r="G93" s="92" t="n">
        <v>0</v>
      </c>
      <c r="H93" s="108" t="n">
        <v>46022</v>
      </c>
      <c r="I93" s="92" t="n">
        <v>2026</v>
      </c>
      <c r="J93" s="92" t="inlineStr">
        <is>
          <t>G.900002.8.9090</t>
        </is>
      </c>
      <c r="K93" s="92" t="inlineStr">
        <is>
          <t>G.900002</t>
        </is>
      </c>
      <c r="L93" s="92" t="inlineStr">
        <is>
          <t>Duinwaard, De Watergaarde</t>
        </is>
      </c>
      <c r="M93" s="92" t="inlineStr">
        <is>
          <t>Opstal</t>
        </is>
      </c>
      <c r="N93" s="92" t="inlineStr">
        <is>
          <t>J</t>
        </is>
      </c>
      <c r="O93" s="92" t="inlineStr">
        <is>
          <t>Woningen verkocht t/m vorig jaar</t>
        </is>
      </c>
      <c r="P93" s="109" t="n">
        <v>9</v>
      </c>
      <c r="Q93" s="92" t="inlineStr">
        <is>
          <t>aantal</t>
        </is>
      </c>
      <c r="R93" s="92" t="inlineStr">
        <is>
          <t>Synthetische snapshot; kwartalen zijn FY-verdeling, geen actuals</t>
        </is>
      </c>
      <c r="S93" s="15" t="str">
        <f>IF(J93="","",J93&amp;"|"&amp;E93&amp;"|"&amp;F93&amp;"|"&amp;I93&amp;"|"&amp;O93)</f>
        <v>G.900002.8.9090|2026|Budget|2026|Woningen verkocht t/m vorig jaar</v>
      </c>
      <c r="T93" s="15">
        <f>IF(OR(S93="",D93&lt;&gt;"Vastgesteld"),"",_xlfn.MAXIFS($G$6:$G$5005,$S$6:$S$5005,S93,$D$6:$D$5005,"Vastgesteld"))</f>
        <v>0</v>
      </c>
      <c r="U93" s="15">
        <f>IF(T93="",0,IF(AND(G93=T93,COUNTIFS($S$6:S93,S93,$G$6:G93,G93,$D$6:D93,"Vastgesteld")=1),1,0))</f>
        <v>1</v>
      </c>
      <c r="V93" s="15">
        <f>IF(T93="",0,IF(AND(G93=T93,COUNTIFS($S$6:S93,S93,$G$6:G93,G93,$D$6:D93,"Vastgesteld")&gt;1),1,0))</f>
        <v>0</v>
      </c>
    </row>
    <row r="94">
      <c r="A94" s="92" t="inlineStr">
        <is>
          <t>HIST-2026-Budget</t>
        </is>
      </c>
      <c r="B94" s="92" t="inlineStr">
        <is>
          <t>RDFO_FICTIEVE_historie_en_mapping.xlsx</t>
        </is>
      </c>
      <c r="C94" s="108" t="n">
        <v>46324</v>
      </c>
      <c r="D94" s="92" t="inlineStr">
        <is>
          <t>Vastgesteld</t>
        </is>
      </c>
      <c r="E94" s="92" t="n">
        <v>2026</v>
      </c>
      <c r="F94" s="92" t="inlineStr">
        <is>
          <t>Budget</t>
        </is>
      </c>
      <c r="G94" s="92" t="n">
        <v>0</v>
      </c>
      <c r="H94" s="108" t="n">
        <v>46022</v>
      </c>
      <c r="I94" s="92" t="n">
        <v>2026</v>
      </c>
      <c r="J94" s="92" t="inlineStr">
        <is>
          <t>G.900002.8.9090</t>
        </is>
      </c>
      <c r="K94" s="92" t="inlineStr">
        <is>
          <t>G.900002</t>
        </is>
      </c>
      <c r="L94" s="92" t="inlineStr">
        <is>
          <t>Duinwaard, De Watergaarde</t>
        </is>
      </c>
      <c r="M94" s="92" t="inlineStr">
        <is>
          <t>Opstal</t>
        </is>
      </c>
      <c r="N94" s="92" t="inlineStr">
        <is>
          <t>J</t>
        </is>
      </c>
      <c r="O94" s="92" t="inlineStr">
        <is>
          <t>Woningverkopen Q1</t>
        </is>
      </c>
      <c r="P94" s="109" t="n">
        <v>2</v>
      </c>
      <c r="Q94" s="92" t="inlineStr">
        <is>
          <t>aantal</t>
        </is>
      </c>
      <c r="R94" s="92" t="inlineStr">
        <is>
          <t>Synthetische snapshot; kwartalen zijn FY-verdeling, geen actuals</t>
        </is>
      </c>
      <c r="S94" s="15" t="str">
        <f>IF(J94="","",J94&amp;"|"&amp;E94&amp;"|"&amp;F94&amp;"|"&amp;I94&amp;"|"&amp;O94)</f>
        <v>G.900002.8.9090|2026|Budget|2026|Woningverkopen Q1</v>
      </c>
      <c r="T94" s="15">
        <f>IF(OR(S94="",D94&lt;&gt;"Vastgesteld"),"",_xlfn.MAXIFS($G$6:$G$5005,$S$6:$S$5005,S94,$D$6:$D$5005,"Vastgesteld"))</f>
        <v>0</v>
      </c>
      <c r="U94" s="15">
        <f>IF(T94="",0,IF(AND(G94=T94,COUNTIFS($S$6:S94,S94,$G$6:G94,G94,$D$6:D94,"Vastgesteld")=1),1,0))</f>
        <v>1</v>
      </c>
      <c r="V94" s="15">
        <f>IF(T94="",0,IF(AND(G94=T94,COUNTIFS($S$6:S94,S94,$G$6:G94,G94,$D$6:D94,"Vastgesteld")&gt;1),1,0))</f>
        <v>0</v>
      </c>
    </row>
    <row r="95">
      <c r="A95" s="92" t="inlineStr">
        <is>
          <t>HIST-2026-Budget</t>
        </is>
      </c>
      <c r="B95" s="92" t="inlineStr">
        <is>
          <t>RDFO_FICTIEVE_historie_en_mapping.xlsx</t>
        </is>
      </c>
      <c r="C95" s="108" t="n">
        <v>46324</v>
      </c>
      <c r="D95" s="92" t="inlineStr">
        <is>
          <t>Vastgesteld</t>
        </is>
      </c>
      <c r="E95" s="92" t="n">
        <v>2026</v>
      </c>
      <c r="F95" s="92" t="inlineStr">
        <is>
          <t>Budget</t>
        </is>
      </c>
      <c r="G95" s="92" t="n">
        <v>0</v>
      </c>
      <c r="H95" s="108" t="n">
        <v>46022</v>
      </c>
      <c r="I95" s="92" t="n">
        <v>2026</v>
      </c>
      <c r="J95" s="92" t="inlineStr">
        <is>
          <t>G.900002.8.9090</t>
        </is>
      </c>
      <c r="K95" s="92" t="inlineStr">
        <is>
          <t>G.900002</t>
        </is>
      </c>
      <c r="L95" s="92" t="inlineStr">
        <is>
          <t>Duinwaard, De Watergaarde</t>
        </is>
      </c>
      <c r="M95" s="92" t="inlineStr">
        <is>
          <t>Opstal</t>
        </is>
      </c>
      <c r="N95" s="92" t="inlineStr">
        <is>
          <t>J</t>
        </is>
      </c>
      <c r="O95" s="92" t="inlineStr">
        <is>
          <t>Woningverkopen Q2</t>
        </is>
      </c>
      <c r="P95" s="109" t="n">
        <v>3</v>
      </c>
      <c r="Q95" s="92" t="inlineStr">
        <is>
          <t>aantal</t>
        </is>
      </c>
      <c r="R95" s="92" t="inlineStr">
        <is>
          <t>Synthetische snapshot; kwartalen zijn FY-verdeling, geen actuals</t>
        </is>
      </c>
      <c r="S95" s="15" t="str">
        <f>IF(J95="","",J95&amp;"|"&amp;E95&amp;"|"&amp;F95&amp;"|"&amp;I95&amp;"|"&amp;O95)</f>
        <v>G.900002.8.9090|2026|Budget|2026|Woningverkopen Q2</v>
      </c>
      <c r="T95" s="15">
        <f>IF(OR(S95="",D95&lt;&gt;"Vastgesteld"),"",_xlfn.MAXIFS($G$6:$G$5005,$S$6:$S$5005,S95,$D$6:$D$5005,"Vastgesteld"))</f>
        <v>0</v>
      </c>
      <c r="U95" s="15">
        <f>IF(T95="",0,IF(AND(G95=T95,COUNTIFS($S$6:S95,S95,$G$6:G95,G95,$D$6:D95,"Vastgesteld")=1),1,0))</f>
        <v>1</v>
      </c>
      <c r="V95" s="15">
        <f>IF(T95="",0,IF(AND(G95=T95,COUNTIFS($S$6:S95,S95,$G$6:G95,G95,$D$6:D95,"Vastgesteld")&gt;1),1,0))</f>
        <v>0</v>
      </c>
    </row>
    <row r="96">
      <c r="A96" s="92" t="inlineStr">
        <is>
          <t>HIST-2026-Budget</t>
        </is>
      </c>
      <c r="B96" s="92" t="inlineStr">
        <is>
          <t>RDFO_FICTIEVE_historie_en_mapping.xlsx</t>
        </is>
      </c>
      <c r="C96" s="108" t="n">
        <v>46324</v>
      </c>
      <c r="D96" s="92" t="inlineStr">
        <is>
          <t>Vastgesteld</t>
        </is>
      </c>
      <c r="E96" s="92" t="n">
        <v>2026</v>
      </c>
      <c r="F96" s="92" t="inlineStr">
        <is>
          <t>Budget</t>
        </is>
      </c>
      <c r="G96" s="92" t="n">
        <v>0</v>
      </c>
      <c r="H96" s="108" t="n">
        <v>46022</v>
      </c>
      <c r="I96" s="92" t="n">
        <v>2026</v>
      </c>
      <c r="J96" s="92" t="inlineStr">
        <is>
          <t>G.900002.8.9090</t>
        </is>
      </c>
      <c r="K96" s="92" t="inlineStr">
        <is>
          <t>G.900002</t>
        </is>
      </c>
      <c r="L96" s="92" t="inlineStr">
        <is>
          <t>Duinwaard, De Watergaarde</t>
        </is>
      </c>
      <c r="M96" s="92" t="inlineStr">
        <is>
          <t>Opstal</t>
        </is>
      </c>
      <c r="N96" s="92" t="inlineStr">
        <is>
          <t>J</t>
        </is>
      </c>
      <c r="O96" s="92" t="inlineStr">
        <is>
          <t>Woningverkopen Q3</t>
        </is>
      </c>
      <c r="P96" s="109" t="n">
        <v>3</v>
      </c>
      <c r="Q96" s="92" t="inlineStr">
        <is>
          <t>aantal</t>
        </is>
      </c>
      <c r="R96" s="92" t="inlineStr">
        <is>
          <t>Synthetische snapshot; kwartalen zijn FY-verdeling, geen actuals</t>
        </is>
      </c>
      <c r="S96" s="15" t="str">
        <f>IF(J96="","",J96&amp;"|"&amp;E96&amp;"|"&amp;F96&amp;"|"&amp;I96&amp;"|"&amp;O96)</f>
        <v>G.900002.8.9090|2026|Budget|2026|Woningverkopen Q3</v>
      </c>
      <c r="T96" s="15">
        <f>IF(OR(S96="",D96&lt;&gt;"Vastgesteld"),"",_xlfn.MAXIFS($G$6:$G$5005,$S$6:$S$5005,S96,$D$6:$D$5005,"Vastgesteld"))</f>
        <v>0</v>
      </c>
      <c r="U96" s="15">
        <f>IF(T96="",0,IF(AND(G96=T96,COUNTIFS($S$6:S96,S96,$G$6:G96,G96,$D$6:D96,"Vastgesteld")=1),1,0))</f>
        <v>1</v>
      </c>
      <c r="V96" s="15">
        <f>IF(T96="",0,IF(AND(G96=T96,COUNTIFS($S$6:S96,S96,$G$6:G96,G96,$D$6:D96,"Vastgesteld")&gt;1),1,0))</f>
        <v>0</v>
      </c>
    </row>
    <row r="97">
      <c r="A97" s="92" t="inlineStr">
        <is>
          <t>HIST-2026-Budget</t>
        </is>
      </c>
      <c r="B97" s="92" t="inlineStr">
        <is>
          <t>RDFO_FICTIEVE_historie_en_mapping.xlsx</t>
        </is>
      </c>
      <c r="C97" s="108" t="n">
        <v>46324</v>
      </c>
      <c r="D97" s="92" t="inlineStr">
        <is>
          <t>Vastgesteld</t>
        </is>
      </c>
      <c r="E97" s="92" t="n">
        <v>2026</v>
      </c>
      <c r="F97" s="92" t="inlineStr">
        <is>
          <t>Budget</t>
        </is>
      </c>
      <c r="G97" s="92" t="n">
        <v>0</v>
      </c>
      <c r="H97" s="108" t="n">
        <v>46022</v>
      </c>
      <c r="I97" s="92" t="n">
        <v>2026</v>
      </c>
      <c r="J97" s="92" t="inlineStr">
        <is>
          <t>G.900002.8.9090</t>
        </is>
      </c>
      <c r="K97" s="92" t="inlineStr">
        <is>
          <t>G.900002</t>
        </is>
      </c>
      <c r="L97" s="92" t="inlineStr">
        <is>
          <t>Duinwaard, De Watergaarde</t>
        </is>
      </c>
      <c r="M97" s="92" t="inlineStr">
        <is>
          <t>Opstal</t>
        </is>
      </c>
      <c r="N97" s="92" t="inlineStr">
        <is>
          <t>J</t>
        </is>
      </c>
      <c r="O97" s="92" t="inlineStr">
        <is>
          <t>Woningverkopen Q4</t>
        </is>
      </c>
      <c r="P97" s="109" t="n">
        <v>4</v>
      </c>
      <c r="Q97" s="92" t="inlineStr">
        <is>
          <t>aantal</t>
        </is>
      </c>
      <c r="R97" s="92" t="inlineStr">
        <is>
          <t>Synthetische snapshot; kwartalen zijn FY-verdeling, geen actuals</t>
        </is>
      </c>
      <c r="S97" s="15" t="str">
        <f>IF(J97="","",J97&amp;"|"&amp;E97&amp;"|"&amp;F97&amp;"|"&amp;I97&amp;"|"&amp;O97)</f>
        <v>G.900002.8.9090|2026|Budget|2026|Woningverkopen Q4</v>
      </c>
      <c r="T97" s="15">
        <f>IF(OR(S97="",D97&lt;&gt;"Vastgesteld"),"",_xlfn.MAXIFS($G$6:$G$5005,$S$6:$S$5005,S97,$D$6:$D$5005,"Vastgesteld"))</f>
        <v>0</v>
      </c>
      <c r="U97" s="15">
        <f>IF(T97="",0,IF(AND(G97=T97,COUNTIFS($S$6:S97,S97,$G$6:G97,G97,$D$6:D97,"Vastgesteld")=1),1,0))</f>
        <v>1</v>
      </c>
      <c r="V97" s="15">
        <f>IF(T97="",0,IF(AND(G97=T97,COUNTIFS($S$6:S97,S97,$G$6:G97,G97,$D$6:D97,"Vastgesteld")&gt;1),1,0))</f>
        <v>0</v>
      </c>
    </row>
    <row r="98">
      <c r="A98" s="92" t="inlineStr">
        <is>
          <t>HIST-2026-Budget</t>
        </is>
      </c>
      <c r="B98" s="92" t="inlineStr">
        <is>
          <t>RDFO_FICTIEVE_historie_en_mapping.xlsx</t>
        </is>
      </c>
      <c r="C98" s="108" t="n">
        <v>46324</v>
      </c>
      <c r="D98" s="92" t="inlineStr">
        <is>
          <t>Vastgesteld</t>
        </is>
      </c>
      <c r="E98" s="92" t="n">
        <v>2026</v>
      </c>
      <c r="F98" s="92" t="inlineStr">
        <is>
          <t>Budget</t>
        </is>
      </c>
      <c r="G98" s="92" t="n">
        <v>0</v>
      </c>
      <c r="H98" s="108" t="n">
        <v>46022</v>
      </c>
      <c r="I98" s="92" t="n">
        <v>2026</v>
      </c>
      <c r="J98" s="92" t="inlineStr">
        <is>
          <t>G.900003.8.9090</t>
        </is>
      </c>
      <c r="K98" s="92" t="inlineStr">
        <is>
          <t>G.900003</t>
        </is>
      </c>
      <c r="L98" s="92" t="inlineStr">
        <is>
          <t>Veldendam, Stationshof</t>
        </is>
      </c>
      <c r="M98" s="92" t="inlineStr">
        <is>
          <t>Opstal</t>
        </is>
      </c>
      <c r="N98" s="92" t="inlineStr">
        <is>
          <t>J</t>
        </is>
      </c>
      <c r="O98" s="92" t="inlineStr">
        <is>
          <t>Woningverkopen FY</t>
        </is>
      </c>
      <c r="P98" s="109" t="n">
        <v>22</v>
      </c>
      <c r="Q98" s="92" t="inlineStr">
        <is>
          <t>aantal</t>
        </is>
      </c>
      <c r="R98" s="92" t="inlineStr">
        <is>
          <t>Synthetische snapshot; kwartalen zijn FY-verdeling, geen actuals</t>
        </is>
      </c>
      <c r="S98" s="15" t="str">
        <f>IF(J98="","",J98&amp;"|"&amp;E98&amp;"|"&amp;F98&amp;"|"&amp;I98&amp;"|"&amp;O98)</f>
        <v>G.900003.8.9090|2026|Budget|2026|Woningverkopen FY</v>
      </c>
      <c r="T98" s="15">
        <f>IF(OR(S98="",D98&lt;&gt;"Vastgesteld"),"",_xlfn.MAXIFS($G$6:$G$5005,$S$6:$S$5005,S98,$D$6:$D$5005,"Vastgesteld"))</f>
        <v>0</v>
      </c>
      <c r="U98" s="15">
        <f>IF(T98="",0,IF(AND(G98=T98,COUNTIFS($S$6:S98,S98,$G$6:G98,G98,$D$6:D98,"Vastgesteld")=1),1,0))</f>
        <v>1</v>
      </c>
      <c r="V98" s="15">
        <f>IF(T98="",0,IF(AND(G98=T98,COUNTIFS($S$6:S98,S98,$G$6:G98,G98,$D$6:D98,"Vastgesteld")&gt;1),1,0))</f>
        <v>0</v>
      </c>
    </row>
    <row r="99">
      <c r="A99" s="92" t="inlineStr">
        <is>
          <t>HIST-2026-Budget</t>
        </is>
      </c>
      <c r="B99" s="92" t="inlineStr">
        <is>
          <t>RDFO_FICTIEVE_historie_en_mapping.xlsx</t>
        </is>
      </c>
      <c r="C99" s="108" t="n">
        <v>46324</v>
      </c>
      <c r="D99" s="92" t="inlineStr">
        <is>
          <t>Vastgesteld</t>
        </is>
      </c>
      <c r="E99" s="92" t="n">
        <v>2026</v>
      </c>
      <c r="F99" s="92" t="inlineStr">
        <is>
          <t>Budget</t>
        </is>
      </c>
      <c r="G99" s="92" t="n">
        <v>0</v>
      </c>
      <c r="H99" s="108" t="n">
        <v>46022</v>
      </c>
      <c r="I99" s="92" t="n">
        <v>2026</v>
      </c>
      <c r="J99" s="92" t="inlineStr">
        <is>
          <t>G.900003.8.9090</t>
        </is>
      </c>
      <c r="K99" s="92" t="inlineStr">
        <is>
          <t>G.900003</t>
        </is>
      </c>
      <c r="L99" s="92" t="inlineStr">
        <is>
          <t>Veldendam, Stationshof</t>
        </is>
      </c>
      <c r="M99" s="92" t="inlineStr">
        <is>
          <t>Opstal</t>
        </is>
      </c>
      <c r="N99" s="92" t="inlineStr">
        <is>
          <t>J</t>
        </is>
      </c>
      <c r="O99" s="92" t="inlineStr">
        <is>
          <t>Woningen verkocht t/m vorig jaar</t>
        </is>
      </c>
      <c r="P99" s="109" t="n">
        <v>15</v>
      </c>
      <c r="Q99" s="92" t="inlineStr">
        <is>
          <t>aantal</t>
        </is>
      </c>
      <c r="R99" s="92" t="inlineStr">
        <is>
          <t>Synthetische snapshot; kwartalen zijn FY-verdeling, geen actuals</t>
        </is>
      </c>
      <c r="S99" s="15" t="str">
        <f>IF(J99="","",J99&amp;"|"&amp;E99&amp;"|"&amp;F99&amp;"|"&amp;I99&amp;"|"&amp;O99)</f>
        <v>G.900003.8.9090|2026|Budget|2026|Woningen verkocht t/m vorig jaar</v>
      </c>
      <c r="T99" s="15">
        <f>IF(OR(S99="",D99&lt;&gt;"Vastgesteld"),"",_xlfn.MAXIFS($G$6:$G$5005,$S$6:$S$5005,S99,$D$6:$D$5005,"Vastgesteld"))</f>
        <v>0</v>
      </c>
      <c r="U99" s="15">
        <f>IF(T99="",0,IF(AND(G99=T99,COUNTIFS($S$6:S99,S99,$G$6:G99,G99,$D$6:D99,"Vastgesteld")=1),1,0))</f>
        <v>1</v>
      </c>
      <c r="V99" s="15">
        <f>IF(T99="",0,IF(AND(G99=T99,COUNTIFS($S$6:S99,S99,$G$6:G99,G99,$D$6:D99,"Vastgesteld")&gt;1),1,0))</f>
        <v>0</v>
      </c>
    </row>
    <row r="100">
      <c r="A100" s="92" t="inlineStr">
        <is>
          <t>HIST-2026-Budget</t>
        </is>
      </c>
      <c r="B100" s="92" t="inlineStr">
        <is>
          <t>RDFO_FICTIEVE_historie_en_mapping.xlsx</t>
        </is>
      </c>
      <c r="C100" s="108" t="n">
        <v>46324</v>
      </c>
      <c r="D100" s="92" t="inlineStr">
        <is>
          <t>Vastgesteld</t>
        </is>
      </c>
      <c r="E100" s="92" t="n">
        <v>2026</v>
      </c>
      <c r="F100" s="92" t="inlineStr">
        <is>
          <t>Budget</t>
        </is>
      </c>
      <c r="G100" s="92" t="n">
        <v>0</v>
      </c>
      <c r="H100" s="108" t="n">
        <v>46022</v>
      </c>
      <c r="I100" s="92" t="n">
        <v>2026</v>
      </c>
      <c r="J100" s="92" t="inlineStr">
        <is>
          <t>G.900003.8.9090</t>
        </is>
      </c>
      <c r="K100" s="92" t="inlineStr">
        <is>
          <t>G.900003</t>
        </is>
      </c>
      <c r="L100" s="92" t="inlineStr">
        <is>
          <t>Veldendam, Stationshof</t>
        </is>
      </c>
      <c r="M100" s="92" t="inlineStr">
        <is>
          <t>Opstal</t>
        </is>
      </c>
      <c r="N100" s="92" t="inlineStr">
        <is>
          <t>J</t>
        </is>
      </c>
      <c r="O100" s="92" t="inlineStr">
        <is>
          <t>Woningverkopen Q1</t>
        </is>
      </c>
      <c r="P100" s="109" t="n">
        <v>4</v>
      </c>
      <c r="Q100" s="92" t="inlineStr">
        <is>
          <t>aantal</t>
        </is>
      </c>
      <c r="R100" s="92" t="inlineStr">
        <is>
          <t>Synthetische snapshot; kwartalen zijn FY-verdeling, geen actuals</t>
        </is>
      </c>
      <c r="S100" s="15" t="str">
        <f>IF(J100="","",J100&amp;"|"&amp;E100&amp;"|"&amp;F100&amp;"|"&amp;I100&amp;"|"&amp;O100)</f>
        <v>G.900003.8.9090|2026|Budget|2026|Woningverkopen Q1</v>
      </c>
      <c r="T100" s="15">
        <f>IF(OR(S100="",D100&lt;&gt;"Vastgesteld"),"",_xlfn.MAXIFS($G$6:$G$5005,$S$6:$S$5005,S100,$D$6:$D$5005,"Vastgesteld"))</f>
        <v>0</v>
      </c>
      <c r="U100" s="15">
        <f>IF(T100="",0,IF(AND(G100=T100,COUNTIFS($S$6:S100,S100,$G$6:G100,G100,$D$6:D100,"Vastgesteld")=1),1,0))</f>
        <v>1</v>
      </c>
      <c r="V100" s="15">
        <f>IF(T100="",0,IF(AND(G100=T100,COUNTIFS($S$6:S100,S100,$G$6:G100,G100,$D$6:D100,"Vastgesteld")&gt;1),1,0))</f>
        <v>0</v>
      </c>
    </row>
    <row r="101">
      <c r="A101" s="92" t="inlineStr">
        <is>
          <t>HIST-2026-Budget</t>
        </is>
      </c>
      <c r="B101" s="92" t="inlineStr">
        <is>
          <t>RDFO_FICTIEVE_historie_en_mapping.xlsx</t>
        </is>
      </c>
      <c r="C101" s="108" t="n">
        <v>46324</v>
      </c>
      <c r="D101" s="92" t="inlineStr">
        <is>
          <t>Vastgesteld</t>
        </is>
      </c>
      <c r="E101" s="92" t="n">
        <v>2026</v>
      </c>
      <c r="F101" s="92" t="inlineStr">
        <is>
          <t>Budget</t>
        </is>
      </c>
      <c r="G101" s="92" t="n">
        <v>0</v>
      </c>
      <c r="H101" s="108" t="n">
        <v>46022</v>
      </c>
      <c r="I101" s="92" t="n">
        <v>2026</v>
      </c>
      <c r="J101" s="92" t="inlineStr">
        <is>
          <t>G.900003.8.9090</t>
        </is>
      </c>
      <c r="K101" s="92" t="inlineStr">
        <is>
          <t>G.900003</t>
        </is>
      </c>
      <c r="L101" s="92" t="inlineStr">
        <is>
          <t>Veldendam, Stationshof</t>
        </is>
      </c>
      <c r="M101" s="92" t="inlineStr">
        <is>
          <t>Opstal</t>
        </is>
      </c>
      <c r="N101" s="92" t="inlineStr">
        <is>
          <t>J</t>
        </is>
      </c>
      <c r="O101" s="92" t="inlineStr">
        <is>
          <t>Woningverkopen Q2</t>
        </is>
      </c>
      <c r="P101" s="109" t="n">
        <v>5</v>
      </c>
      <c r="Q101" s="92" t="inlineStr">
        <is>
          <t>aantal</t>
        </is>
      </c>
      <c r="R101" s="92" t="inlineStr">
        <is>
          <t>Synthetische snapshot; kwartalen zijn FY-verdeling, geen actuals</t>
        </is>
      </c>
      <c r="S101" s="15" t="str">
        <f>IF(J101="","",J101&amp;"|"&amp;E101&amp;"|"&amp;F101&amp;"|"&amp;I101&amp;"|"&amp;O101)</f>
        <v>G.900003.8.9090|2026|Budget|2026|Woningverkopen Q2</v>
      </c>
      <c r="T101" s="15">
        <f>IF(OR(S101="",D101&lt;&gt;"Vastgesteld"),"",_xlfn.MAXIFS($G$6:$G$5005,$S$6:$S$5005,S101,$D$6:$D$5005,"Vastgesteld"))</f>
        <v>0</v>
      </c>
      <c r="U101" s="15">
        <f>IF(T101="",0,IF(AND(G101=T101,COUNTIFS($S$6:S101,S101,$G$6:G101,G101,$D$6:D101,"Vastgesteld")=1),1,0))</f>
        <v>1</v>
      </c>
      <c r="V101" s="15">
        <f>IF(T101="",0,IF(AND(G101=T101,COUNTIFS($S$6:S101,S101,$G$6:G101,G101,$D$6:D101,"Vastgesteld")&gt;1),1,0))</f>
        <v>0</v>
      </c>
    </row>
    <row r="102">
      <c r="A102" s="92" t="inlineStr">
        <is>
          <t>HIST-2026-Budget</t>
        </is>
      </c>
      <c r="B102" s="92" t="inlineStr">
        <is>
          <t>RDFO_FICTIEVE_historie_en_mapping.xlsx</t>
        </is>
      </c>
      <c r="C102" s="108" t="n">
        <v>46324</v>
      </c>
      <c r="D102" s="92" t="inlineStr">
        <is>
          <t>Vastgesteld</t>
        </is>
      </c>
      <c r="E102" s="92" t="n">
        <v>2026</v>
      </c>
      <c r="F102" s="92" t="inlineStr">
        <is>
          <t>Budget</t>
        </is>
      </c>
      <c r="G102" s="92" t="n">
        <v>0</v>
      </c>
      <c r="H102" s="108" t="n">
        <v>46022</v>
      </c>
      <c r="I102" s="92" t="n">
        <v>2026</v>
      </c>
      <c r="J102" s="92" t="inlineStr">
        <is>
          <t>G.900003.8.9090</t>
        </is>
      </c>
      <c r="K102" s="92" t="inlineStr">
        <is>
          <t>G.900003</t>
        </is>
      </c>
      <c r="L102" s="92" t="inlineStr">
        <is>
          <t>Veldendam, Stationshof</t>
        </is>
      </c>
      <c r="M102" s="92" t="inlineStr">
        <is>
          <t>Opstal</t>
        </is>
      </c>
      <c r="N102" s="92" t="inlineStr">
        <is>
          <t>J</t>
        </is>
      </c>
      <c r="O102" s="92" t="inlineStr">
        <is>
          <t>Woningverkopen Q3</t>
        </is>
      </c>
      <c r="P102" s="109" t="n">
        <v>5</v>
      </c>
      <c r="Q102" s="92" t="inlineStr">
        <is>
          <t>aantal</t>
        </is>
      </c>
      <c r="R102" s="92" t="inlineStr">
        <is>
          <t>Synthetische snapshot; kwartalen zijn FY-verdeling, geen actuals</t>
        </is>
      </c>
      <c r="S102" s="15" t="str">
        <f>IF(J102="","",J102&amp;"|"&amp;E102&amp;"|"&amp;F102&amp;"|"&amp;I102&amp;"|"&amp;O102)</f>
        <v>G.900003.8.9090|2026|Budget|2026|Woningverkopen Q3</v>
      </c>
      <c r="T102" s="15">
        <f>IF(OR(S102="",D102&lt;&gt;"Vastgesteld"),"",_xlfn.MAXIFS($G$6:$G$5005,$S$6:$S$5005,S102,$D$6:$D$5005,"Vastgesteld"))</f>
        <v>0</v>
      </c>
      <c r="U102" s="15">
        <f>IF(T102="",0,IF(AND(G102=T102,COUNTIFS($S$6:S102,S102,$G$6:G102,G102,$D$6:D102,"Vastgesteld")=1),1,0))</f>
        <v>1</v>
      </c>
      <c r="V102" s="15">
        <f>IF(T102="",0,IF(AND(G102=T102,COUNTIFS($S$6:S102,S102,$G$6:G102,G102,$D$6:D102,"Vastgesteld")&gt;1),1,0))</f>
        <v>0</v>
      </c>
    </row>
    <row r="103">
      <c r="A103" s="92" t="inlineStr">
        <is>
          <t>HIST-2026-Budget</t>
        </is>
      </c>
      <c r="B103" s="92" t="inlineStr">
        <is>
          <t>RDFO_FICTIEVE_historie_en_mapping.xlsx</t>
        </is>
      </c>
      <c r="C103" s="108" t="n">
        <v>46324</v>
      </c>
      <c r="D103" s="92" t="inlineStr">
        <is>
          <t>Vastgesteld</t>
        </is>
      </c>
      <c r="E103" s="92" t="n">
        <v>2026</v>
      </c>
      <c r="F103" s="92" t="inlineStr">
        <is>
          <t>Budget</t>
        </is>
      </c>
      <c r="G103" s="92" t="n">
        <v>0</v>
      </c>
      <c r="H103" s="108" t="n">
        <v>46022</v>
      </c>
      <c r="I103" s="92" t="n">
        <v>2026</v>
      </c>
      <c r="J103" s="92" t="inlineStr">
        <is>
          <t>G.900003.8.9090</t>
        </is>
      </c>
      <c r="K103" s="92" t="inlineStr">
        <is>
          <t>G.900003</t>
        </is>
      </c>
      <c r="L103" s="92" t="inlineStr">
        <is>
          <t>Veldendam, Stationshof</t>
        </is>
      </c>
      <c r="M103" s="92" t="inlineStr">
        <is>
          <t>Opstal</t>
        </is>
      </c>
      <c r="N103" s="92" t="inlineStr">
        <is>
          <t>J</t>
        </is>
      </c>
      <c r="O103" s="92" t="inlineStr">
        <is>
          <t>Woningverkopen Q4</t>
        </is>
      </c>
      <c r="P103" s="109" t="n">
        <v>8</v>
      </c>
      <c r="Q103" s="92" t="inlineStr">
        <is>
          <t>aantal</t>
        </is>
      </c>
      <c r="R103" s="92" t="inlineStr">
        <is>
          <t>Synthetische snapshot; kwartalen zijn FY-verdeling, geen actuals</t>
        </is>
      </c>
      <c r="S103" s="15" t="str">
        <f>IF(J103="","",J103&amp;"|"&amp;E103&amp;"|"&amp;F103&amp;"|"&amp;I103&amp;"|"&amp;O103)</f>
        <v>G.900003.8.9090|2026|Budget|2026|Woningverkopen Q4</v>
      </c>
      <c r="T103" s="15">
        <f>IF(OR(S103="",D103&lt;&gt;"Vastgesteld"),"",_xlfn.MAXIFS($G$6:$G$5005,$S$6:$S$5005,S103,$D$6:$D$5005,"Vastgesteld"))</f>
        <v>0</v>
      </c>
      <c r="U103" s="15">
        <f>IF(T103="",0,IF(AND(G103=T103,COUNTIFS($S$6:S103,S103,$G$6:G103,G103,$D$6:D103,"Vastgesteld")=1),1,0))</f>
        <v>1</v>
      </c>
      <c r="V103" s="15">
        <f>IF(T103="",0,IF(AND(G103=T103,COUNTIFS($S$6:S103,S103,$G$6:G103,G103,$D$6:D103,"Vastgesteld")&gt;1),1,0))</f>
        <v>0</v>
      </c>
    </row>
    <row r="104">
      <c r="A104" s="92" t="inlineStr">
        <is>
          <t>HIST-2026-Budget</t>
        </is>
      </c>
      <c r="B104" s="92" t="inlineStr">
        <is>
          <t>RDFO_FICTIEVE_historie_en_mapping.xlsx</t>
        </is>
      </c>
      <c r="C104" s="108" t="n">
        <v>46324</v>
      </c>
      <c r="D104" s="92" t="inlineStr">
        <is>
          <t>Vastgesteld</t>
        </is>
      </c>
      <c r="E104" s="92" t="n">
        <v>2026</v>
      </c>
      <c r="F104" s="92" t="inlineStr">
        <is>
          <t>Budget</t>
        </is>
      </c>
      <c r="G104" s="92" t="n">
        <v>0</v>
      </c>
      <c r="H104" s="108" t="n">
        <v>46022</v>
      </c>
      <c r="I104" s="92" t="n">
        <v>2026</v>
      </c>
      <c r="J104" s="92" t="inlineStr">
        <is>
          <t>G.900004.8.9090</t>
        </is>
      </c>
      <c r="K104" s="92" t="inlineStr">
        <is>
          <t>G.900004</t>
        </is>
      </c>
      <c r="L104" s="92" t="inlineStr">
        <is>
          <t>Meerhovenstad, Het Kompas</t>
        </is>
      </c>
      <c r="M104" s="92" t="inlineStr">
        <is>
          <t>Deelneming</t>
        </is>
      </c>
      <c r="N104" s="92" t="inlineStr">
        <is>
          <t>N</t>
        </is>
      </c>
      <c r="O104" s="92" t="inlineStr">
        <is>
          <t>Woningverkopen FY</t>
        </is>
      </c>
      <c r="P104" s="109" t="n">
        <v>5</v>
      </c>
      <c r="Q104" s="92" t="inlineStr">
        <is>
          <t>aantal</t>
        </is>
      </c>
      <c r="R104" s="92" t="inlineStr">
        <is>
          <t>Synthetische snapshot; kwartalen zijn FY-verdeling, geen actuals</t>
        </is>
      </c>
      <c r="S104" s="15" t="str">
        <f>IF(J104="","",J104&amp;"|"&amp;E104&amp;"|"&amp;F104&amp;"|"&amp;I104&amp;"|"&amp;O104)</f>
        <v>G.900004.8.9090|2026|Budget|2026|Woningverkopen FY</v>
      </c>
      <c r="T104" s="15">
        <f>IF(OR(S104="",D104&lt;&gt;"Vastgesteld"),"",_xlfn.MAXIFS($G$6:$G$5005,$S$6:$S$5005,S104,$D$6:$D$5005,"Vastgesteld"))</f>
        <v>0</v>
      </c>
      <c r="U104" s="15">
        <f>IF(T104="",0,IF(AND(G104=T104,COUNTIFS($S$6:S104,S104,$G$6:G104,G104,$D$6:D104,"Vastgesteld")=1),1,0))</f>
        <v>1</v>
      </c>
      <c r="V104" s="15">
        <f>IF(T104="",0,IF(AND(G104=T104,COUNTIFS($S$6:S104,S104,$G$6:G104,G104,$D$6:D104,"Vastgesteld")&gt;1),1,0))</f>
        <v>0</v>
      </c>
    </row>
    <row r="105">
      <c r="A105" s="92" t="inlineStr">
        <is>
          <t>HIST-2026-Budget</t>
        </is>
      </c>
      <c r="B105" s="92" t="inlineStr">
        <is>
          <t>RDFO_FICTIEVE_historie_en_mapping.xlsx</t>
        </is>
      </c>
      <c r="C105" s="108" t="n">
        <v>46324</v>
      </c>
      <c r="D105" s="92" t="inlineStr">
        <is>
          <t>Vastgesteld</t>
        </is>
      </c>
      <c r="E105" s="92" t="n">
        <v>2026</v>
      </c>
      <c r="F105" s="92" t="inlineStr">
        <is>
          <t>Budget</t>
        </is>
      </c>
      <c r="G105" s="92" t="n">
        <v>0</v>
      </c>
      <c r="H105" s="108" t="n">
        <v>46022</v>
      </c>
      <c r="I105" s="92" t="n">
        <v>2026</v>
      </c>
      <c r="J105" s="92" t="inlineStr">
        <is>
          <t>G.900004.8.9090</t>
        </is>
      </c>
      <c r="K105" s="92" t="inlineStr">
        <is>
          <t>G.900004</t>
        </is>
      </c>
      <c r="L105" s="92" t="inlineStr">
        <is>
          <t>Meerhovenstad, Het Kompas</t>
        </is>
      </c>
      <c r="M105" s="92" t="inlineStr">
        <is>
          <t>Deelneming</t>
        </is>
      </c>
      <c r="N105" s="92" t="inlineStr">
        <is>
          <t>N</t>
        </is>
      </c>
      <c r="O105" s="92" t="inlineStr">
        <is>
          <t>Woningen verkocht t/m vorig jaar</t>
        </is>
      </c>
      <c r="P105" s="109" t="n">
        <v>4</v>
      </c>
      <c r="Q105" s="92" t="inlineStr">
        <is>
          <t>aantal</t>
        </is>
      </c>
      <c r="R105" s="92" t="inlineStr">
        <is>
          <t>Synthetische snapshot; kwartalen zijn FY-verdeling, geen actuals</t>
        </is>
      </c>
      <c r="S105" s="15" t="str">
        <f>IF(J105="","",J105&amp;"|"&amp;E105&amp;"|"&amp;F105&amp;"|"&amp;I105&amp;"|"&amp;O105)</f>
        <v>G.900004.8.9090|2026|Budget|2026|Woningen verkocht t/m vorig jaar</v>
      </c>
      <c r="T105" s="15">
        <f>IF(OR(S105="",D105&lt;&gt;"Vastgesteld"),"",_xlfn.MAXIFS($G$6:$G$5005,$S$6:$S$5005,S105,$D$6:$D$5005,"Vastgesteld"))</f>
        <v>0</v>
      </c>
      <c r="U105" s="15">
        <f>IF(T105="",0,IF(AND(G105=T105,COUNTIFS($S$6:S105,S105,$G$6:G105,G105,$D$6:D105,"Vastgesteld")=1),1,0))</f>
        <v>1</v>
      </c>
      <c r="V105" s="15">
        <f>IF(T105="",0,IF(AND(G105=T105,COUNTIFS($S$6:S105,S105,$G$6:G105,G105,$D$6:D105,"Vastgesteld")&gt;1),1,0))</f>
        <v>0</v>
      </c>
    </row>
    <row r="106">
      <c r="A106" s="92" t="inlineStr">
        <is>
          <t>HIST-2026-Budget</t>
        </is>
      </c>
      <c r="B106" s="92" t="inlineStr">
        <is>
          <t>RDFO_FICTIEVE_historie_en_mapping.xlsx</t>
        </is>
      </c>
      <c r="C106" s="108" t="n">
        <v>46324</v>
      </c>
      <c r="D106" s="92" t="inlineStr">
        <is>
          <t>Vastgesteld</t>
        </is>
      </c>
      <c r="E106" s="92" t="n">
        <v>2026</v>
      </c>
      <c r="F106" s="92" t="inlineStr">
        <is>
          <t>Budget</t>
        </is>
      </c>
      <c r="G106" s="92" t="n">
        <v>0</v>
      </c>
      <c r="H106" s="108" t="n">
        <v>46022</v>
      </c>
      <c r="I106" s="92" t="n">
        <v>2026</v>
      </c>
      <c r="J106" s="92" t="inlineStr">
        <is>
          <t>G.900004.8.9090</t>
        </is>
      </c>
      <c r="K106" s="92" t="inlineStr">
        <is>
          <t>G.900004</t>
        </is>
      </c>
      <c r="L106" s="92" t="inlineStr">
        <is>
          <t>Meerhovenstad, Het Kompas</t>
        </is>
      </c>
      <c r="M106" s="92" t="inlineStr">
        <is>
          <t>Deelneming</t>
        </is>
      </c>
      <c r="N106" s="92" t="inlineStr">
        <is>
          <t>N</t>
        </is>
      </c>
      <c r="O106" s="92" t="inlineStr">
        <is>
          <t>Woningverkopen Q1</t>
        </is>
      </c>
      <c r="P106" s="109" t="n">
        <v>1</v>
      </c>
      <c r="Q106" s="92" t="inlineStr">
        <is>
          <t>aantal</t>
        </is>
      </c>
      <c r="R106" s="92" t="inlineStr">
        <is>
          <t>Synthetische snapshot; kwartalen zijn FY-verdeling, geen actuals</t>
        </is>
      </c>
      <c r="S106" s="15" t="str">
        <f>IF(J106="","",J106&amp;"|"&amp;E106&amp;"|"&amp;F106&amp;"|"&amp;I106&amp;"|"&amp;O106)</f>
        <v>G.900004.8.9090|2026|Budget|2026|Woningverkopen Q1</v>
      </c>
      <c r="T106" s="15">
        <f>IF(OR(S106="",D106&lt;&gt;"Vastgesteld"),"",_xlfn.MAXIFS($G$6:$G$5005,$S$6:$S$5005,S106,$D$6:$D$5005,"Vastgesteld"))</f>
        <v>0</v>
      </c>
      <c r="U106" s="15">
        <f>IF(T106="",0,IF(AND(G106=T106,COUNTIFS($S$6:S106,S106,$G$6:G106,G106,$D$6:D106,"Vastgesteld")=1),1,0))</f>
        <v>1</v>
      </c>
      <c r="V106" s="15">
        <f>IF(T106="",0,IF(AND(G106=T106,COUNTIFS($S$6:S106,S106,$G$6:G106,G106,$D$6:D106,"Vastgesteld")&gt;1),1,0))</f>
        <v>0</v>
      </c>
    </row>
    <row r="107">
      <c r="A107" s="92" t="inlineStr">
        <is>
          <t>HIST-2026-Budget</t>
        </is>
      </c>
      <c r="B107" s="92" t="inlineStr">
        <is>
          <t>RDFO_FICTIEVE_historie_en_mapping.xlsx</t>
        </is>
      </c>
      <c r="C107" s="108" t="n">
        <v>46324</v>
      </c>
      <c r="D107" s="92" t="inlineStr">
        <is>
          <t>Vastgesteld</t>
        </is>
      </c>
      <c r="E107" s="92" t="n">
        <v>2026</v>
      </c>
      <c r="F107" s="92" t="inlineStr">
        <is>
          <t>Budget</t>
        </is>
      </c>
      <c r="G107" s="92" t="n">
        <v>0</v>
      </c>
      <c r="H107" s="108" t="n">
        <v>46022</v>
      </c>
      <c r="I107" s="92" t="n">
        <v>2026</v>
      </c>
      <c r="J107" s="92" t="inlineStr">
        <is>
          <t>G.900004.8.9090</t>
        </is>
      </c>
      <c r="K107" s="92" t="inlineStr">
        <is>
          <t>G.900004</t>
        </is>
      </c>
      <c r="L107" s="92" t="inlineStr">
        <is>
          <t>Meerhovenstad, Het Kompas</t>
        </is>
      </c>
      <c r="M107" s="92" t="inlineStr">
        <is>
          <t>Deelneming</t>
        </is>
      </c>
      <c r="N107" s="92" t="inlineStr">
        <is>
          <t>N</t>
        </is>
      </c>
      <c r="O107" s="92" t="inlineStr">
        <is>
          <t>Woningverkopen Q2</t>
        </is>
      </c>
      <c r="P107" s="109" t="n">
        <v>1</v>
      </c>
      <c r="Q107" s="92" t="inlineStr">
        <is>
          <t>aantal</t>
        </is>
      </c>
      <c r="R107" s="92" t="inlineStr">
        <is>
          <t>Synthetische snapshot; kwartalen zijn FY-verdeling, geen actuals</t>
        </is>
      </c>
      <c r="S107" s="15" t="str">
        <f>IF(J107="","",J107&amp;"|"&amp;E107&amp;"|"&amp;F107&amp;"|"&amp;I107&amp;"|"&amp;O107)</f>
        <v>G.900004.8.9090|2026|Budget|2026|Woningverkopen Q2</v>
      </c>
      <c r="T107" s="15">
        <f>IF(OR(S107="",D107&lt;&gt;"Vastgesteld"),"",_xlfn.MAXIFS($G$6:$G$5005,$S$6:$S$5005,S107,$D$6:$D$5005,"Vastgesteld"))</f>
        <v>0</v>
      </c>
      <c r="U107" s="15">
        <f>IF(T107="",0,IF(AND(G107=T107,COUNTIFS($S$6:S107,S107,$G$6:G107,G107,$D$6:D107,"Vastgesteld")=1),1,0))</f>
        <v>1</v>
      </c>
      <c r="V107" s="15">
        <f>IF(T107="",0,IF(AND(G107=T107,COUNTIFS($S$6:S107,S107,$G$6:G107,G107,$D$6:D107,"Vastgesteld")&gt;1),1,0))</f>
        <v>0</v>
      </c>
    </row>
    <row r="108">
      <c r="A108" s="92" t="inlineStr">
        <is>
          <t>HIST-2026-Budget</t>
        </is>
      </c>
      <c r="B108" s="92" t="inlineStr">
        <is>
          <t>RDFO_FICTIEVE_historie_en_mapping.xlsx</t>
        </is>
      </c>
      <c r="C108" s="108" t="n">
        <v>46324</v>
      </c>
      <c r="D108" s="92" t="inlineStr">
        <is>
          <t>Vastgesteld</t>
        </is>
      </c>
      <c r="E108" s="92" t="n">
        <v>2026</v>
      </c>
      <c r="F108" s="92" t="inlineStr">
        <is>
          <t>Budget</t>
        </is>
      </c>
      <c r="G108" s="92" t="n">
        <v>0</v>
      </c>
      <c r="H108" s="108" t="n">
        <v>46022</v>
      </c>
      <c r="I108" s="92" t="n">
        <v>2026</v>
      </c>
      <c r="J108" s="92" t="inlineStr">
        <is>
          <t>G.900004.8.9090</t>
        </is>
      </c>
      <c r="K108" s="92" t="inlineStr">
        <is>
          <t>G.900004</t>
        </is>
      </c>
      <c r="L108" s="92" t="inlineStr">
        <is>
          <t>Meerhovenstad, Het Kompas</t>
        </is>
      </c>
      <c r="M108" s="92" t="inlineStr">
        <is>
          <t>Deelneming</t>
        </is>
      </c>
      <c r="N108" s="92" t="inlineStr">
        <is>
          <t>N</t>
        </is>
      </c>
      <c r="O108" s="92" t="inlineStr">
        <is>
          <t>Woningverkopen Q3</t>
        </is>
      </c>
      <c r="P108" s="109" t="n">
        <v>1</v>
      </c>
      <c r="Q108" s="92" t="inlineStr">
        <is>
          <t>aantal</t>
        </is>
      </c>
      <c r="R108" s="92" t="inlineStr">
        <is>
          <t>Synthetische snapshot; kwartalen zijn FY-verdeling, geen actuals</t>
        </is>
      </c>
      <c r="S108" s="15" t="str">
        <f>IF(J108="","",J108&amp;"|"&amp;E108&amp;"|"&amp;F108&amp;"|"&amp;I108&amp;"|"&amp;O108)</f>
        <v>G.900004.8.9090|2026|Budget|2026|Woningverkopen Q3</v>
      </c>
      <c r="T108" s="15">
        <f>IF(OR(S108="",D108&lt;&gt;"Vastgesteld"),"",_xlfn.MAXIFS($G$6:$G$5005,$S$6:$S$5005,S108,$D$6:$D$5005,"Vastgesteld"))</f>
        <v>0</v>
      </c>
      <c r="U108" s="15">
        <f>IF(T108="",0,IF(AND(G108=T108,COUNTIFS($S$6:S108,S108,$G$6:G108,G108,$D$6:D108,"Vastgesteld")=1),1,0))</f>
        <v>1</v>
      </c>
      <c r="V108" s="15">
        <f>IF(T108="",0,IF(AND(G108=T108,COUNTIFS($S$6:S108,S108,$G$6:G108,G108,$D$6:D108,"Vastgesteld")&gt;1),1,0))</f>
        <v>0</v>
      </c>
    </row>
    <row r="109">
      <c r="A109" s="92" t="inlineStr">
        <is>
          <t>HIST-2026-Budget</t>
        </is>
      </c>
      <c r="B109" s="92" t="inlineStr">
        <is>
          <t>RDFO_FICTIEVE_historie_en_mapping.xlsx</t>
        </is>
      </c>
      <c r="C109" s="108" t="n">
        <v>46324</v>
      </c>
      <c r="D109" s="92" t="inlineStr">
        <is>
          <t>Vastgesteld</t>
        </is>
      </c>
      <c r="E109" s="92" t="n">
        <v>2026</v>
      </c>
      <c r="F109" s="92" t="inlineStr">
        <is>
          <t>Budget</t>
        </is>
      </c>
      <c r="G109" s="92" t="n">
        <v>0</v>
      </c>
      <c r="H109" s="108" t="n">
        <v>46022</v>
      </c>
      <c r="I109" s="92" t="n">
        <v>2026</v>
      </c>
      <c r="J109" s="92" t="inlineStr">
        <is>
          <t>G.900004.8.9090</t>
        </is>
      </c>
      <c r="K109" s="92" t="inlineStr">
        <is>
          <t>G.900004</t>
        </is>
      </c>
      <c r="L109" s="92" t="inlineStr">
        <is>
          <t>Meerhovenstad, Het Kompas</t>
        </is>
      </c>
      <c r="M109" s="92" t="inlineStr">
        <is>
          <t>Deelneming</t>
        </is>
      </c>
      <c r="N109" s="92" t="inlineStr">
        <is>
          <t>N</t>
        </is>
      </c>
      <c r="O109" s="92" t="inlineStr">
        <is>
          <t>Woningverkopen Q4</t>
        </is>
      </c>
      <c r="P109" s="109" t="n">
        <v>2</v>
      </c>
      <c r="Q109" s="92" t="inlineStr">
        <is>
          <t>aantal</t>
        </is>
      </c>
      <c r="R109" s="92" t="inlineStr">
        <is>
          <t>Synthetische snapshot; kwartalen zijn FY-verdeling, geen actuals</t>
        </is>
      </c>
      <c r="S109" s="15" t="str">
        <f>IF(J109="","",J109&amp;"|"&amp;E109&amp;"|"&amp;F109&amp;"|"&amp;I109&amp;"|"&amp;O109)</f>
        <v>G.900004.8.9090|2026|Budget|2026|Woningverkopen Q4</v>
      </c>
      <c r="T109" s="15">
        <f>IF(OR(S109="",D109&lt;&gt;"Vastgesteld"),"",_xlfn.MAXIFS($G$6:$G$5005,$S$6:$S$5005,S109,$D$6:$D$5005,"Vastgesteld"))</f>
        <v>0</v>
      </c>
      <c r="U109" s="15">
        <f>IF(T109="",0,IF(AND(G109=T109,COUNTIFS($S$6:S109,S109,$G$6:G109,G109,$D$6:D109,"Vastgesteld")=1),1,0))</f>
        <v>1</v>
      </c>
      <c r="V109" s="15">
        <f>IF(T109="",0,IF(AND(G109=T109,COUNTIFS($S$6:S109,S109,$G$6:G109,G109,$D$6:D109,"Vastgesteld")&gt;1),1,0))</f>
        <v>0</v>
      </c>
    </row>
    <row r="110">
      <c r="A110" s="92" t="inlineStr">
        <is>
          <t>HIST-2026-Budget</t>
        </is>
      </c>
      <c r="B110" s="92" t="inlineStr">
        <is>
          <t>RDFO_FICTIEVE_historie_en_mapping.xlsx</t>
        </is>
      </c>
      <c r="C110" s="108" t="n">
        <v>46324</v>
      </c>
      <c r="D110" s="92" t="inlineStr">
        <is>
          <t>Vastgesteld</t>
        </is>
      </c>
      <c r="E110" s="92" t="n">
        <v>2026</v>
      </c>
      <c r="F110" s="92" t="inlineStr">
        <is>
          <t>Budget</t>
        </is>
      </c>
      <c r="G110" s="92" t="n">
        <v>0</v>
      </c>
      <c r="H110" s="108" t="n">
        <v>46022</v>
      </c>
      <c r="I110" s="92" t="n">
        <v>2026</v>
      </c>
      <c r="J110" s="92" t="inlineStr">
        <is>
          <t>G.900005.8.9090</t>
        </is>
      </c>
      <c r="K110" s="92" t="inlineStr">
        <is>
          <t>G.900005</t>
        </is>
      </c>
      <c r="L110" s="92" t="inlineStr">
        <is>
          <t>Zilverdam, Kadezicht</t>
        </is>
      </c>
      <c r="M110" s="92" t="inlineStr">
        <is>
          <t>Opstal</t>
        </is>
      </c>
      <c r="N110" s="92" t="inlineStr">
        <is>
          <t>J</t>
        </is>
      </c>
      <c r="O110" s="92" t="inlineStr">
        <is>
          <t>Woningverkopen FY</t>
        </is>
      </c>
      <c r="P110" s="109" t="n">
        <v>35</v>
      </c>
      <c r="Q110" s="92" t="inlineStr">
        <is>
          <t>aantal</t>
        </is>
      </c>
      <c r="R110" s="92" t="inlineStr">
        <is>
          <t>Synthetische snapshot; kwartalen zijn FY-verdeling, geen actuals</t>
        </is>
      </c>
      <c r="S110" s="15" t="str">
        <f>IF(J110="","",J110&amp;"|"&amp;E110&amp;"|"&amp;F110&amp;"|"&amp;I110&amp;"|"&amp;O110)</f>
        <v>G.900005.8.9090|2026|Budget|2026|Woningverkopen FY</v>
      </c>
      <c r="T110" s="15">
        <f>IF(OR(S110="",D110&lt;&gt;"Vastgesteld"),"",_xlfn.MAXIFS($G$6:$G$5005,$S$6:$S$5005,S110,$D$6:$D$5005,"Vastgesteld"))</f>
        <v>0</v>
      </c>
      <c r="U110" s="15">
        <f>IF(T110="",0,IF(AND(G110=T110,COUNTIFS($S$6:S110,S110,$G$6:G110,G110,$D$6:D110,"Vastgesteld")=1),1,0))</f>
        <v>1</v>
      </c>
      <c r="V110" s="15">
        <f>IF(T110="",0,IF(AND(G110=T110,COUNTIFS($S$6:S110,S110,$G$6:G110,G110,$D$6:D110,"Vastgesteld")&gt;1),1,0))</f>
        <v>0</v>
      </c>
    </row>
    <row r="111">
      <c r="A111" s="92" t="inlineStr">
        <is>
          <t>HIST-2026-Budget</t>
        </is>
      </c>
      <c r="B111" s="92" t="inlineStr">
        <is>
          <t>RDFO_FICTIEVE_historie_en_mapping.xlsx</t>
        </is>
      </c>
      <c r="C111" s="108" t="n">
        <v>46324</v>
      </c>
      <c r="D111" s="92" t="inlineStr">
        <is>
          <t>Vastgesteld</t>
        </is>
      </c>
      <c r="E111" s="92" t="n">
        <v>2026</v>
      </c>
      <c r="F111" s="92" t="inlineStr">
        <is>
          <t>Budget</t>
        </is>
      </c>
      <c r="G111" s="92" t="n">
        <v>0</v>
      </c>
      <c r="H111" s="108" t="n">
        <v>46022</v>
      </c>
      <c r="I111" s="92" t="n">
        <v>2026</v>
      </c>
      <c r="J111" s="92" t="inlineStr">
        <is>
          <t>G.900005.8.9090</t>
        </is>
      </c>
      <c r="K111" s="92" t="inlineStr">
        <is>
          <t>G.900005</t>
        </is>
      </c>
      <c r="L111" s="92" t="inlineStr">
        <is>
          <t>Zilverdam, Kadezicht</t>
        </is>
      </c>
      <c r="M111" s="92" t="inlineStr">
        <is>
          <t>Opstal</t>
        </is>
      </c>
      <c r="N111" s="92" t="inlineStr">
        <is>
          <t>J</t>
        </is>
      </c>
      <c r="O111" s="92" t="inlineStr">
        <is>
          <t>Woningen verkocht t/m vorig jaar</t>
        </is>
      </c>
      <c r="P111" s="109" t="n">
        <v>24</v>
      </c>
      <c r="Q111" s="92" t="inlineStr">
        <is>
          <t>aantal</t>
        </is>
      </c>
      <c r="R111" s="92" t="inlineStr">
        <is>
          <t>Synthetische snapshot; kwartalen zijn FY-verdeling, geen actuals</t>
        </is>
      </c>
      <c r="S111" s="15" t="str">
        <f>IF(J111="","",J111&amp;"|"&amp;E111&amp;"|"&amp;F111&amp;"|"&amp;I111&amp;"|"&amp;O111)</f>
        <v>G.900005.8.9090|2026|Budget|2026|Woningen verkocht t/m vorig jaar</v>
      </c>
      <c r="T111" s="15">
        <f>IF(OR(S111="",D111&lt;&gt;"Vastgesteld"),"",_xlfn.MAXIFS($G$6:$G$5005,$S$6:$S$5005,S111,$D$6:$D$5005,"Vastgesteld"))</f>
        <v>0</v>
      </c>
      <c r="U111" s="15">
        <f>IF(T111="",0,IF(AND(G111=T111,COUNTIFS($S$6:S111,S111,$G$6:G111,G111,$D$6:D111,"Vastgesteld")=1),1,0))</f>
        <v>1</v>
      </c>
      <c r="V111" s="15">
        <f>IF(T111="",0,IF(AND(G111=T111,COUNTIFS($S$6:S111,S111,$G$6:G111,G111,$D$6:D111,"Vastgesteld")&gt;1),1,0))</f>
        <v>0</v>
      </c>
    </row>
    <row r="112">
      <c r="A112" s="92" t="inlineStr">
        <is>
          <t>HIST-2026-Budget</t>
        </is>
      </c>
      <c r="B112" s="92" t="inlineStr">
        <is>
          <t>RDFO_FICTIEVE_historie_en_mapping.xlsx</t>
        </is>
      </c>
      <c r="C112" s="108" t="n">
        <v>46324</v>
      </c>
      <c r="D112" s="92" t="inlineStr">
        <is>
          <t>Vastgesteld</t>
        </is>
      </c>
      <c r="E112" s="92" t="n">
        <v>2026</v>
      </c>
      <c r="F112" s="92" t="inlineStr">
        <is>
          <t>Budget</t>
        </is>
      </c>
      <c r="G112" s="92" t="n">
        <v>0</v>
      </c>
      <c r="H112" s="108" t="n">
        <v>46022</v>
      </c>
      <c r="I112" s="92" t="n">
        <v>2026</v>
      </c>
      <c r="J112" s="92" t="inlineStr">
        <is>
          <t>G.900005.8.9090</t>
        </is>
      </c>
      <c r="K112" s="92" t="inlineStr">
        <is>
          <t>G.900005</t>
        </is>
      </c>
      <c r="L112" s="92" t="inlineStr">
        <is>
          <t>Zilverdam, Kadezicht</t>
        </is>
      </c>
      <c r="M112" s="92" t="inlineStr">
        <is>
          <t>Opstal</t>
        </is>
      </c>
      <c r="N112" s="92" t="inlineStr">
        <is>
          <t>J</t>
        </is>
      </c>
      <c r="O112" s="92" t="inlineStr">
        <is>
          <t>Woningverkopen Q1</t>
        </is>
      </c>
      <c r="P112" s="109" t="n">
        <v>7</v>
      </c>
      <c r="Q112" s="92" t="inlineStr">
        <is>
          <t>aantal</t>
        </is>
      </c>
      <c r="R112" s="92" t="inlineStr">
        <is>
          <t>Synthetische snapshot; kwartalen zijn FY-verdeling, geen actuals</t>
        </is>
      </c>
      <c r="S112" s="15" t="str">
        <f>IF(J112="","",J112&amp;"|"&amp;E112&amp;"|"&amp;F112&amp;"|"&amp;I112&amp;"|"&amp;O112)</f>
        <v>G.900005.8.9090|2026|Budget|2026|Woningverkopen Q1</v>
      </c>
      <c r="T112" s="15">
        <f>IF(OR(S112="",D112&lt;&gt;"Vastgesteld"),"",_xlfn.MAXIFS($G$6:$G$5005,$S$6:$S$5005,S112,$D$6:$D$5005,"Vastgesteld"))</f>
        <v>0</v>
      </c>
      <c r="U112" s="15">
        <f>IF(T112="",0,IF(AND(G112=T112,COUNTIFS($S$6:S112,S112,$G$6:G112,G112,$D$6:D112,"Vastgesteld")=1),1,0))</f>
        <v>1</v>
      </c>
      <c r="V112" s="15">
        <f>IF(T112="",0,IF(AND(G112=T112,COUNTIFS($S$6:S112,S112,$G$6:G112,G112,$D$6:D112,"Vastgesteld")&gt;1),1,0))</f>
        <v>0</v>
      </c>
    </row>
    <row r="113">
      <c r="A113" s="92" t="inlineStr">
        <is>
          <t>HIST-2026-Budget</t>
        </is>
      </c>
      <c r="B113" s="92" t="inlineStr">
        <is>
          <t>RDFO_FICTIEVE_historie_en_mapping.xlsx</t>
        </is>
      </c>
      <c r="C113" s="108" t="n">
        <v>46324</v>
      </c>
      <c r="D113" s="92" t="inlineStr">
        <is>
          <t>Vastgesteld</t>
        </is>
      </c>
      <c r="E113" s="92" t="n">
        <v>2026</v>
      </c>
      <c r="F113" s="92" t="inlineStr">
        <is>
          <t>Budget</t>
        </is>
      </c>
      <c r="G113" s="92" t="n">
        <v>0</v>
      </c>
      <c r="H113" s="108" t="n">
        <v>46022</v>
      </c>
      <c r="I113" s="92" t="n">
        <v>2026</v>
      </c>
      <c r="J113" s="92" t="inlineStr">
        <is>
          <t>G.900005.8.9090</t>
        </is>
      </c>
      <c r="K113" s="92" t="inlineStr">
        <is>
          <t>G.900005</t>
        </is>
      </c>
      <c r="L113" s="92" t="inlineStr">
        <is>
          <t>Zilverdam, Kadezicht</t>
        </is>
      </c>
      <c r="M113" s="92" t="inlineStr">
        <is>
          <t>Opstal</t>
        </is>
      </c>
      <c r="N113" s="92" t="inlineStr">
        <is>
          <t>J</t>
        </is>
      </c>
      <c r="O113" s="92" t="inlineStr">
        <is>
          <t>Woningverkopen Q2</t>
        </is>
      </c>
      <c r="P113" s="109" t="n">
        <v>8</v>
      </c>
      <c r="Q113" s="92" t="inlineStr">
        <is>
          <t>aantal</t>
        </is>
      </c>
      <c r="R113" s="92" t="inlineStr">
        <is>
          <t>Synthetische snapshot; kwartalen zijn FY-verdeling, geen actuals</t>
        </is>
      </c>
      <c r="S113" s="15" t="str">
        <f>IF(J113="","",J113&amp;"|"&amp;E113&amp;"|"&amp;F113&amp;"|"&amp;I113&amp;"|"&amp;O113)</f>
        <v>G.900005.8.9090|2026|Budget|2026|Woningverkopen Q2</v>
      </c>
      <c r="T113" s="15">
        <f>IF(OR(S113="",D113&lt;&gt;"Vastgesteld"),"",_xlfn.MAXIFS($G$6:$G$5005,$S$6:$S$5005,S113,$D$6:$D$5005,"Vastgesteld"))</f>
        <v>0</v>
      </c>
      <c r="U113" s="15">
        <f>IF(T113="",0,IF(AND(G113=T113,COUNTIFS($S$6:S113,S113,$G$6:G113,G113,$D$6:D113,"Vastgesteld")=1),1,0))</f>
        <v>1</v>
      </c>
      <c r="V113" s="15">
        <f>IF(T113="",0,IF(AND(G113=T113,COUNTIFS($S$6:S113,S113,$G$6:G113,G113,$D$6:D113,"Vastgesteld")&gt;1),1,0))</f>
        <v>0</v>
      </c>
    </row>
    <row r="114">
      <c r="A114" s="92" t="inlineStr">
        <is>
          <t>HIST-2026-Budget</t>
        </is>
      </c>
      <c r="B114" s="92" t="inlineStr">
        <is>
          <t>RDFO_FICTIEVE_historie_en_mapping.xlsx</t>
        </is>
      </c>
      <c r="C114" s="108" t="n">
        <v>46324</v>
      </c>
      <c r="D114" s="92" t="inlineStr">
        <is>
          <t>Vastgesteld</t>
        </is>
      </c>
      <c r="E114" s="92" t="n">
        <v>2026</v>
      </c>
      <c r="F114" s="92" t="inlineStr">
        <is>
          <t>Budget</t>
        </is>
      </c>
      <c r="G114" s="92" t="n">
        <v>0</v>
      </c>
      <c r="H114" s="108" t="n">
        <v>46022</v>
      </c>
      <c r="I114" s="92" t="n">
        <v>2026</v>
      </c>
      <c r="J114" s="92" t="inlineStr">
        <is>
          <t>G.900005.8.9090</t>
        </is>
      </c>
      <c r="K114" s="92" t="inlineStr">
        <is>
          <t>G.900005</t>
        </is>
      </c>
      <c r="L114" s="92" t="inlineStr">
        <is>
          <t>Zilverdam, Kadezicht</t>
        </is>
      </c>
      <c r="M114" s="92" t="inlineStr">
        <is>
          <t>Opstal</t>
        </is>
      </c>
      <c r="N114" s="92" t="inlineStr">
        <is>
          <t>J</t>
        </is>
      </c>
      <c r="O114" s="92" t="inlineStr">
        <is>
          <t>Woningverkopen Q3</t>
        </is>
      </c>
      <c r="P114" s="109" t="n">
        <v>8</v>
      </c>
      <c r="Q114" s="92" t="inlineStr">
        <is>
          <t>aantal</t>
        </is>
      </c>
      <c r="R114" s="92" t="inlineStr">
        <is>
          <t>Synthetische snapshot; kwartalen zijn FY-verdeling, geen actuals</t>
        </is>
      </c>
      <c r="S114" s="15" t="str">
        <f>IF(J114="","",J114&amp;"|"&amp;E114&amp;"|"&amp;F114&amp;"|"&amp;I114&amp;"|"&amp;O114)</f>
        <v>G.900005.8.9090|2026|Budget|2026|Woningverkopen Q3</v>
      </c>
      <c r="T114" s="15">
        <f>IF(OR(S114="",D114&lt;&gt;"Vastgesteld"),"",_xlfn.MAXIFS($G$6:$G$5005,$S$6:$S$5005,S114,$D$6:$D$5005,"Vastgesteld"))</f>
        <v>0</v>
      </c>
      <c r="U114" s="15">
        <f>IF(T114="",0,IF(AND(G114=T114,COUNTIFS($S$6:S114,S114,$G$6:G114,G114,$D$6:D114,"Vastgesteld")=1),1,0))</f>
        <v>1</v>
      </c>
      <c r="V114" s="15">
        <f>IF(T114="",0,IF(AND(G114=T114,COUNTIFS($S$6:S114,S114,$G$6:G114,G114,$D$6:D114,"Vastgesteld")&gt;1),1,0))</f>
        <v>0</v>
      </c>
    </row>
    <row r="115">
      <c r="A115" s="92" t="inlineStr">
        <is>
          <t>HIST-2026-Budget</t>
        </is>
      </c>
      <c r="B115" s="92" t="inlineStr">
        <is>
          <t>RDFO_FICTIEVE_historie_en_mapping.xlsx</t>
        </is>
      </c>
      <c r="C115" s="108" t="n">
        <v>46324</v>
      </c>
      <c r="D115" s="92" t="inlineStr">
        <is>
          <t>Vastgesteld</t>
        </is>
      </c>
      <c r="E115" s="92" t="n">
        <v>2026</v>
      </c>
      <c r="F115" s="92" t="inlineStr">
        <is>
          <t>Budget</t>
        </is>
      </c>
      <c r="G115" s="92" t="n">
        <v>0</v>
      </c>
      <c r="H115" s="108" t="n">
        <v>46022</v>
      </c>
      <c r="I115" s="92" t="n">
        <v>2026</v>
      </c>
      <c r="J115" s="92" t="inlineStr">
        <is>
          <t>G.900005.8.9090</t>
        </is>
      </c>
      <c r="K115" s="92" t="inlineStr">
        <is>
          <t>G.900005</t>
        </is>
      </c>
      <c r="L115" s="92" t="inlineStr">
        <is>
          <t>Zilverdam, Kadezicht</t>
        </is>
      </c>
      <c r="M115" s="92" t="inlineStr">
        <is>
          <t>Opstal</t>
        </is>
      </c>
      <c r="N115" s="92" t="inlineStr">
        <is>
          <t>J</t>
        </is>
      </c>
      <c r="O115" s="92" t="inlineStr">
        <is>
          <t>Woningverkopen Q4</t>
        </is>
      </c>
      <c r="P115" s="109" t="n">
        <v>12</v>
      </c>
      <c r="Q115" s="92" t="inlineStr">
        <is>
          <t>aantal</t>
        </is>
      </c>
      <c r="R115" s="92" t="inlineStr">
        <is>
          <t>Synthetische snapshot; kwartalen zijn FY-verdeling, geen actuals</t>
        </is>
      </c>
      <c r="S115" s="15" t="str">
        <f>IF(J115="","",J115&amp;"|"&amp;E115&amp;"|"&amp;F115&amp;"|"&amp;I115&amp;"|"&amp;O115)</f>
        <v>G.900005.8.9090|2026|Budget|2026|Woningverkopen Q4</v>
      </c>
      <c r="T115" s="15">
        <f>IF(OR(S115="",D115&lt;&gt;"Vastgesteld"),"",_xlfn.MAXIFS($G$6:$G$5005,$S$6:$S$5005,S115,$D$6:$D$5005,"Vastgesteld"))</f>
        <v>0</v>
      </c>
      <c r="U115" s="15">
        <f>IF(T115="",0,IF(AND(G115=T115,COUNTIFS($S$6:S115,S115,$G$6:G115,G115,$D$6:D115,"Vastgesteld")=1),1,0))</f>
        <v>1</v>
      </c>
      <c r="V115" s="15">
        <f>IF(T115="",0,IF(AND(G115=T115,COUNTIFS($S$6:S115,S115,$G$6:G115,G115,$D$6:D115,"Vastgesteld")&gt;1),1,0))</f>
        <v>0</v>
      </c>
    </row>
    <row r="116">
      <c r="A116" s="92" t="inlineStr">
        <is>
          <t>HIST-2026-Budget</t>
        </is>
      </c>
      <c r="B116" s="92" t="inlineStr">
        <is>
          <t>RDFO_FICTIEVE_historie_en_mapping.xlsx</t>
        </is>
      </c>
      <c r="C116" s="108" t="n">
        <v>46324</v>
      </c>
      <c r="D116" s="92" t="inlineStr">
        <is>
          <t>Vastgesteld</t>
        </is>
      </c>
      <c r="E116" s="92" t="n">
        <v>2026</v>
      </c>
      <c r="F116" s="92" t="inlineStr">
        <is>
          <t>Budget</t>
        </is>
      </c>
      <c r="G116" s="92" t="n">
        <v>0</v>
      </c>
      <c r="H116" s="108" t="n">
        <v>46022</v>
      </c>
      <c r="I116" s="92" t="n">
        <v>2026</v>
      </c>
      <c r="J116" s="92" t="inlineStr">
        <is>
          <t>G.900006.8.9090</t>
        </is>
      </c>
      <c r="K116" s="92" t="inlineStr">
        <is>
          <t>G.900006</t>
        </is>
      </c>
      <c r="L116" s="92" t="inlineStr">
        <is>
          <t>Boswaard, De Eiken</t>
        </is>
      </c>
      <c r="M116" s="92" t="inlineStr">
        <is>
          <t>Opstal</t>
        </is>
      </c>
      <c r="N116" s="92" t="inlineStr">
        <is>
          <t>J</t>
        </is>
      </c>
      <c r="O116" s="92" t="inlineStr">
        <is>
          <t>Woningverkopen FY</t>
        </is>
      </c>
      <c r="P116" s="109" t="n">
        <v>8</v>
      </c>
      <c r="Q116" s="92" t="inlineStr">
        <is>
          <t>aantal</t>
        </is>
      </c>
      <c r="R116" s="92" t="inlineStr">
        <is>
          <t>Synthetische snapshot; kwartalen zijn FY-verdeling, geen actuals</t>
        </is>
      </c>
      <c r="S116" s="15" t="str">
        <f>IF(J116="","",J116&amp;"|"&amp;E116&amp;"|"&amp;F116&amp;"|"&amp;I116&amp;"|"&amp;O116)</f>
        <v>G.900006.8.9090|2026|Budget|2026|Woningverkopen FY</v>
      </c>
      <c r="T116" s="15">
        <f>IF(OR(S116="",D116&lt;&gt;"Vastgesteld"),"",_xlfn.MAXIFS($G$6:$G$5005,$S$6:$S$5005,S116,$D$6:$D$5005,"Vastgesteld"))</f>
        <v>0</v>
      </c>
      <c r="U116" s="15">
        <f>IF(T116="",0,IF(AND(G116=T116,COUNTIFS($S$6:S116,S116,$G$6:G116,G116,$D$6:D116,"Vastgesteld")=1),1,0))</f>
        <v>1</v>
      </c>
      <c r="V116" s="15">
        <f>IF(T116="",0,IF(AND(G116=T116,COUNTIFS($S$6:S116,S116,$G$6:G116,G116,$D$6:D116,"Vastgesteld")&gt;1),1,0))</f>
        <v>0</v>
      </c>
    </row>
    <row r="117">
      <c r="A117" s="92" t="inlineStr">
        <is>
          <t>HIST-2026-Budget</t>
        </is>
      </c>
      <c r="B117" s="92" t="inlineStr">
        <is>
          <t>RDFO_FICTIEVE_historie_en_mapping.xlsx</t>
        </is>
      </c>
      <c r="C117" s="108" t="n">
        <v>46324</v>
      </c>
      <c r="D117" s="92" t="inlineStr">
        <is>
          <t>Vastgesteld</t>
        </is>
      </c>
      <c r="E117" s="92" t="n">
        <v>2026</v>
      </c>
      <c r="F117" s="92" t="inlineStr">
        <is>
          <t>Budget</t>
        </is>
      </c>
      <c r="G117" s="92" t="n">
        <v>0</v>
      </c>
      <c r="H117" s="108" t="n">
        <v>46022</v>
      </c>
      <c r="I117" s="92" t="n">
        <v>2026</v>
      </c>
      <c r="J117" s="92" t="inlineStr">
        <is>
          <t>G.900006.8.9090</t>
        </is>
      </c>
      <c r="K117" s="92" t="inlineStr">
        <is>
          <t>G.900006</t>
        </is>
      </c>
      <c r="L117" s="92" t="inlineStr">
        <is>
          <t>Boswaard, De Eiken</t>
        </is>
      </c>
      <c r="M117" s="92" t="inlineStr">
        <is>
          <t>Opstal</t>
        </is>
      </c>
      <c r="N117" s="92" t="inlineStr">
        <is>
          <t>J</t>
        </is>
      </c>
      <c r="O117" s="92" t="inlineStr">
        <is>
          <t>Woningen verkocht t/m vorig jaar</t>
        </is>
      </c>
      <c r="P117" s="109" t="n">
        <v>7</v>
      </c>
      <c r="Q117" s="92" t="inlineStr">
        <is>
          <t>aantal</t>
        </is>
      </c>
      <c r="R117" s="92" t="inlineStr">
        <is>
          <t>Synthetische snapshot; kwartalen zijn FY-verdeling, geen actuals</t>
        </is>
      </c>
      <c r="S117" s="15" t="str">
        <f>IF(J117="","",J117&amp;"|"&amp;E117&amp;"|"&amp;F117&amp;"|"&amp;I117&amp;"|"&amp;O117)</f>
        <v>G.900006.8.9090|2026|Budget|2026|Woningen verkocht t/m vorig jaar</v>
      </c>
      <c r="T117" s="15">
        <f>IF(OR(S117="",D117&lt;&gt;"Vastgesteld"),"",_xlfn.MAXIFS($G$6:$G$5005,$S$6:$S$5005,S117,$D$6:$D$5005,"Vastgesteld"))</f>
        <v>0</v>
      </c>
      <c r="U117" s="15">
        <f>IF(T117="",0,IF(AND(G117=T117,COUNTIFS($S$6:S117,S117,$G$6:G117,G117,$D$6:D117,"Vastgesteld")=1),1,0))</f>
        <v>1</v>
      </c>
      <c r="V117" s="15">
        <f>IF(T117="",0,IF(AND(G117=T117,COUNTIFS($S$6:S117,S117,$G$6:G117,G117,$D$6:D117,"Vastgesteld")&gt;1),1,0))</f>
        <v>0</v>
      </c>
    </row>
    <row r="118">
      <c r="A118" s="92" t="inlineStr">
        <is>
          <t>HIST-2026-Budget</t>
        </is>
      </c>
      <c r="B118" s="92" t="inlineStr">
        <is>
          <t>RDFO_FICTIEVE_historie_en_mapping.xlsx</t>
        </is>
      </c>
      <c r="C118" s="108" t="n">
        <v>46324</v>
      </c>
      <c r="D118" s="92" t="inlineStr">
        <is>
          <t>Vastgesteld</t>
        </is>
      </c>
      <c r="E118" s="92" t="n">
        <v>2026</v>
      </c>
      <c r="F118" s="92" t="inlineStr">
        <is>
          <t>Budget</t>
        </is>
      </c>
      <c r="G118" s="92" t="n">
        <v>0</v>
      </c>
      <c r="H118" s="108" t="n">
        <v>46022</v>
      </c>
      <c r="I118" s="92" t="n">
        <v>2026</v>
      </c>
      <c r="J118" s="92" t="inlineStr">
        <is>
          <t>G.900006.8.9090</t>
        </is>
      </c>
      <c r="K118" s="92" t="inlineStr">
        <is>
          <t>G.900006</t>
        </is>
      </c>
      <c r="L118" s="92" t="inlineStr">
        <is>
          <t>Boswaard, De Eiken</t>
        </is>
      </c>
      <c r="M118" s="92" t="inlineStr">
        <is>
          <t>Opstal</t>
        </is>
      </c>
      <c r="N118" s="92" t="inlineStr">
        <is>
          <t>J</t>
        </is>
      </c>
      <c r="O118" s="92" t="inlineStr">
        <is>
          <t>Woningverkopen Q1</t>
        </is>
      </c>
      <c r="P118" s="109" t="n">
        <v>1</v>
      </c>
      <c r="Q118" s="92" t="inlineStr">
        <is>
          <t>aantal</t>
        </is>
      </c>
      <c r="R118" s="92" t="inlineStr">
        <is>
          <t>Synthetische snapshot; kwartalen zijn FY-verdeling, geen actuals</t>
        </is>
      </c>
      <c r="S118" s="15" t="str">
        <f>IF(J118="","",J118&amp;"|"&amp;E118&amp;"|"&amp;F118&amp;"|"&amp;I118&amp;"|"&amp;O118)</f>
        <v>G.900006.8.9090|2026|Budget|2026|Woningverkopen Q1</v>
      </c>
      <c r="T118" s="15">
        <f>IF(OR(S118="",D118&lt;&gt;"Vastgesteld"),"",_xlfn.MAXIFS($G$6:$G$5005,$S$6:$S$5005,S118,$D$6:$D$5005,"Vastgesteld"))</f>
        <v>0</v>
      </c>
      <c r="U118" s="15">
        <f>IF(T118="",0,IF(AND(G118=T118,COUNTIFS($S$6:S118,S118,$G$6:G118,G118,$D$6:D118,"Vastgesteld")=1),1,0))</f>
        <v>1</v>
      </c>
      <c r="V118" s="15">
        <f>IF(T118="",0,IF(AND(G118=T118,COUNTIFS($S$6:S118,S118,$G$6:G118,G118,$D$6:D118,"Vastgesteld")&gt;1),1,0))</f>
        <v>0</v>
      </c>
    </row>
    <row r="119">
      <c r="A119" s="92" t="inlineStr">
        <is>
          <t>HIST-2026-Budget</t>
        </is>
      </c>
      <c r="B119" s="92" t="inlineStr">
        <is>
          <t>RDFO_FICTIEVE_historie_en_mapping.xlsx</t>
        </is>
      </c>
      <c r="C119" s="108" t="n">
        <v>46324</v>
      </c>
      <c r="D119" s="92" t="inlineStr">
        <is>
          <t>Vastgesteld</t>
        </is>
      </c>
      <c r="E119" s="92" t="n">
        <v>2026</v>
      </c>
      <c r="F119" s="92" t="inlineStr">
        <is>
          <t>Budget</t>
        </is>
      </c>
      <c r="G119" s="92" t="n">
        <v>0</v>
      </c>
      <c r="H119" s="108" t="n">
        <v>46022</v>
      </c>
      <c r="I119" s="92" t="n">
        <v>2026</v>
      </c>
      <c r="J119" s="92" t="inlineStr">
        <is>
          <t>G.900006.8.9090</t>
        </is>
      </c>
      <c r="K119" s="92" t="inlineStr">
        <is>
          <t>G.900006</t>
        </is>
      </c>
      <c r="L119" s="92" t="inlineStr">
        <is>
          <t>Boswaard, De Eiken</t>
        </is>
      </c>
      <c r="M119" s="92" t="inlineStr">
        <is>
          <t>Opstal</t>
        </is>
      </c>
      <c r="N119" s="92" t="inlineStr">
        <is>
          <t>J</t>
        </is>
      </c>
      <c r="O119" s="92" t="inlineStr">
        <is>
          <t>Woningverkopen Q2</t>
        </is>
      </c>
      <c r="P119" s="109" t="n">
        <v>2</v>
      </c>
      <c r="Q119" s="92" t="inlineStr">
        <is>
          <t>aantal</t>
        </is>
      </c>
      <c r="R119" s="92" t="inlineStr">
        <is>
          <t>Synthetische snapshot; kwartalen zijn FY-verdeling, geen actuals</t>
        </is>
      </c>
      <c r="S119" s="15" t="str">
        <f>IF(J119="","",J119&amp;"|"&amp;E119&amp;"|"&amp;F119&amp;"|"&amp;I119&amp;"|"&amp;O119)</f>
        <v>G.900006.8.9090|2026|Budget|2026|Woningverkopen Q2</v>
      </c>
      <c r="T119" s="15">
        <f>IF(OR(S119="",D119&lt;&gt;"Vastgesteld"),"",_xlfn.MAXIFS($G$6:$G$5005,$S$6:$S$5005,S119,$D$6:$D$5005,"Vastgesteld"))</f>
        <v>0</v>
      </c>
      <c r="U119" s="15">
        <f>IF(T119="",0,IF(AND(G119=T119,COUNTIFS($S$6:S119,S119,$G$6:G119,G119,$D$6:D119,"Vastgesteld")=1),1,0))</f>
        <v>1</v>
      </c>
      <c r="V119" s="15">
        <f>IF(T119="",0,IF(AND(G119=T119,COUNTIFS($S$6:S119,S119,$G$6:G119,G119,$D$6:D119,"Vastgesteld")&gt;1),1,0))</f>
        <v>0</v>
      </c>
    </row>
    <row r="120">
      <c r="A120" s="92" t="inlineStr">
        <is>
          <t>HIST-2026-Budget</t>
        </is>
      </c>
      <c r="B120" s="92" t="inlineStr">
        <is>
          <t>RDFO_FICTIEVE_historie_en_mapping.xlsx</t>
        </is>
      </c>
      <c r="C120" s="108" t="n">
        <v>46324</v>
      </c>
      <c r="D120" s="92" t="inlineStr">
        <is>
          <t>Vastgesteld</t>
        </is>
      </c>
      <c r="E120" s="92" t="n">
        <v>2026</v>
      </c>
      <c r="F120" s="92" t="inlineStr">
        <is>
          <t>Budget</t>
        </is>
      </c>
      <c r="G120" s="92" t="n">
        <v>0</v>
      </c>
      <c r="H120" s="108" t="n">
        <v>46022</v>
      </c>
      <c r="I120" s="92" t="n">
        <v>2026</v>
      </c>
      <c r="J120" s="92" t="inlineStr">
        <is>
          <t>G.900006.8.9090</t>
        </is>
      </c>
      <c r="K120" s="92" t="inlineStr">
        <is>
          <t>G.900006</t>
        </is>
      </c>
      <c r="L120" s="92" t="inlineStr">
        <is>
          <t>Boswaard, De Eiken</t>
        </is>
      </c>
      <c r="M120" s="92" t="inlineStr">
        <is>
          <t>Opstal</t>
        </is>
      </c>
      <c r="N120" s="92" t="inlineStr">
        <is>
          <t>J</t>
        </is>
      </c>
      <c r="O120" s="92" t="inlineStr">
        <is>
          <t>Woningverkopen Q3</t>
        </is>
      </c>
      <c r="P120" s="109" t="n">
        <v>2</v>
      </c>
      <c r="Q120" s="92" t="inlineStr">
        <is>
          <t>aantal</t>
        </is>
      </c>
      <c r="R120" s="92" t="inlineStr">
        <is>
          <t>Synthetische snapshot; kwartalen zijn FY-verdeling, geen actuals</t>
        </is>
      </c>
      <c r="S120" s="15" t="str">
        <f>IF(J120="","",J120&amp;"|"&amp;E120&amp;"|"&amp;F120&amp;"|"&amp;I120&amp;"|"&amp;O120)</f>
        <v>G.900006.8.9090|2026|Budget|2026|Woningverkopen Q3</v>
      </c>
      <c r="T120" s="15">
        <f>IF(OR(S120="",D120&lt;&gt;"Vastgesteld"),"",_xlfn.MAXIFS($G$6:$G$5005,$S$6:$S$5005,S120,$D$6:$D$5005,"Vastgesteld"))</f>
        <v>0</v>
      </c>
      <c r="U120" s="15">
        <f>IF(T120="",0,IF(AND(G120=T120,COUNTIFS($S$6:S120,S120,$G$6:G120,G120,$D$6:D120,"Vastgesteld")=1),1,0))</f>
        <v>1</v>
      </c>
      <c r="V120" s="15">
        <f>IF(T120="",0,IF(AND(G120=T120,COUNTIFS($S$6:S120,S120,$G$6:G120,G120,$D$6:D120,"Vastgesteld")&gt;1),1,0))</f>
        <v>0</v>
      </c>
    </row>
    <row r="121">
      <c r="A121" s="92" t="inlineStr">
        <is>
          <t>HIST-2026-Budget</t>
        </is>
      </c>
      <c r="B121" s="92" t="inlineStr">
        <is>
          <t>RDFO_FICTIEVE_historie_en_mapping.xlsx</t>
        </is>
      </c>
      <c r="C121" s="108" t="n">
        <v>46324</v>
      </c>
      <c r="D121" s="92" t="inlineStr">
        <is>
          <t>Vastgesteld</t>
        </is>
      </c>
      <c r="E121" s="92" t="n">
        <v>2026</v>
      </c>
      <c r="F121" s="92" t="inlineStr">
        <is>
          <t>Budget</t>
        </is>
      </c>
      <c r="G121" s="92" t="n">
        <v>0</v>
      </c>
      <c r="H121" s="108" t="n">
        <v>46022</v>
      </c>
      <c r="I121" s="92" t="n">
        <v>2026</v>
      </c>
      <c r="J121" s="92" t="inlineStr">
        <is>
          <t>G.900006.8.9090</t>
        </is>
      </c>
      <c r="K121" s="92" t="inlineStr">
        <is>
          <t>G.900006</t>
        </is>
      </c>
      <c r="L121" s="92" t="inlineStr">
        <is>
          <t>Boswaard, De Eiken</t>
        </is>
      </c>
      <c r="M121" s="92" t="inlineStr">
        <is>
          <t>Opstal</t>
        </is>
      </c>
      <c r="N121" s="92" t="inlineStr">
        <is>
          <t>J</t>
        </is>
      </c>
      <c r="O121" s="92" t="inlineStr">
        <is>
          <t>Woningverkopen Q4</t>
        </is>
      </c>
      <c r="P121" s="109" t="n">
        <v>3</v>
      </c>
      <c r="Q121" s="92" t="inlineStr">
        <is>
          <t>aantal</t>
        </is>
      </c>
      <c r="R121" s="92" t="inlineStr">
        <is>
          <t>Synthetische snapshot; kwartalen zijn FY-verdeling, geen actuals</t>
        </is>
      </c>
      <c r="S121" s="15" t="str">
        <f>IF(J121="","",J121&amp;"|"&amp;E121&amp;"|"&amp;F121&amp;"|"&amp;I121&amp;"|"&amp;O121)</f>
        <v>G.900006.8.9090|2026|Budget|2026|Woningverkopen Q4</v>
      </c>
      <c r="T121" s="15">
        <f>IF(OR(S121="",D121&lt;&gt;"Vastgesteld"),"",_xlfn.MAXIFS($G$6:$G$5005,$S$6:$S$5005,S121,$D$6:$D$5005,"Vastgesteld"))</f>
        <v>0</v>
      </c>
      <c r="U121" s="15">
        <f>IF(T121="",0,IF(AND(G121=T121,COUNTIFS($S$6:S121,S121,$G$6:G121,G121,$D$6:D121,"Vastgesteld")=1),1,0))</f>
        <v>1</v>
      </c>
      <c r="V121" s="15">
        <f>IF(T121="",0,IF(AND(G121=T121,COUNTIFS($S$6:S121,S121,$G$6:G121,G121,$D$6:D121,"Vastgesteld")&gt;1),1,0))</f>
        <v>0</v>
      </c>
    </row>
    <row r="122">
      <c r="A122" s="92" t="inlineStr">
        <is>
          <t>HIST-2026-Budget</t>
        </is>
      </c>
      <c r="B122" s="92" t="inlineStr">
        <is>
          <t>RDFO_FICTIEVE_historie_en_mapping.xlsx</t>
        </is>
      </c>
      <c r="C122" s="108" t="n">
        <v>46324</v>
      </c>
      <c r="D122" s="92" t="inlineStr">
        <is>
          <t>Vastgesteld</t>
        </is>
      </c>
      <c r="E122" s="92" t="n">
        <v>2026</v>
      </c>
      <c r="F122" s="92" t="inlineStr">
        <is>
          <t>Budget</t>
        </is>
      </c>
      <c r="G122" s="92" t="n">
        <v>0</v>
      </c>
      <c r="H122" s="108" t="n">
        <v>46022</v>
      </c>
      <c r="I122" s="92" t="n">
        <v>2026</v>
      </c>
      <c r="J122" s="92" t="inlineStr">
        <is>
          <t>G.900007.8.9090</t>
        </is>
      </c>
      <c r="K122" s="92" t="inlineStr">
        <is>
          <t>G.900007</t>
        </is>
      </c>
      <c r="L122" s="92" t="inlineStr">
        <is>
          <t>Rietdam, Havenkwartier</t>
        </is>
      </c>
      <c r="M122" s="92" t="inlineStr">
        <is>
          <t>Opstal</t>
        </is>
      </c>
      <c r="N122" s="92" t="inlineStr">
        <is>
          <t>J</t>
        </is>
      </c>
      <c r="O122" s="92" t="inlineStr">
        <is>
          <t>Woningverkopen FY</t>
        </is>
      </c>
      <c r="P122" s="109" t="n">
        <v>23</v>
      </c>
      <c r="Q122" s="92" t="inlineStr">
        <is>
          <t>aantal</t>
        </is>
      </c>
      <c r="R122" s="92" t="inlineStr">
        <is>
          <t>Synthetische snapshot; kwartalen zijn FY-verdeling, geen actuals</t>
        </is>
      </c>
      <c r="S122" s="15" t="str">
        <f>IF(J122="","",J122&amp;"|"&amp;E122&amp;"|"&amp;F122&amp;"|"&amp;I122&amp;"|"&amp;O122)</f>
        <v>G.900007.8.9090|2026|Budget|2026|Woningverkopen FY</v>
      </c>
      <c r="T122" s="15">
        <f>IF(OR(S122="",D122&lt;&gt;"Vastgesteld"),"",_xlfn.MAXIFS($G$6:$G$5005,$S$6:$S$5005,S122,$D$6:$D$5005,"Vastgesteld"))</f>
        <v>0</v>
      </c>
      <c r="U122" s="15">
        <f>IF(T122="",0,IF(AND(G122=T122,COUNTIFS($S$6:S122,S122,$G$6:G122,G122,$D$6:D122,"Vastgesteld")=1),1,0))</f>
        <v>1</v>
      </c>
      <c r="V122" s="15">
        <f>IF(T122="",0,IF(AND(G122=T122,COUNTIFS($S$6:S122,S122,$G$6:G122,G122,$D$6:D122,"Vastgesteld")&gt;1),1,0))</f>
        <v>0</v>
      </c>
    </row>
    <row r="123">
      <c r="A123" s="92" t="inlineStr">
        <is>
          <t>HIST-2026-Budget</t>
        </is>
      </c>
      <c r="B123" s="92" t="inlineStr">
        <is>
          <t>RDFO_FICTIEVE_historie_en_mapping.xlsx</t>
        </is>
      </c>
      <c r="C123" s="108" t="n">
        <v>46324</v>
      </c>
      <c r="D123" s="92" t="inlineStr">
        <is>
          <t>Vastgesteld</t>
        </is>
      </c>
      <c r="E123" s="92" t="n">
        <v>2026</v>
      </c>
      <c r="F123" s="92" t="inlineStr">
        <is>
          <t>Budget</t>
        </is>
      </c>
      <c r="G123" s="92" t="n">
        <v>0</v>
      </c>
      <c r="H123" s="108" t="n">
        <v>46022</v>
      </c>
      <c r="I123" s="92" t="n">
        <v>2026</v>
      </c>
      <c r="J123" s="92" t="inlineStr">
        <is>
          <t>G.900007.8.9090</t>
        </is>
      </c>
      <c r="K123" s="92" t="inlineStr">
        <is>
          <t>G.900007</t>
        </is>
      </c>
      <c r="L123" s="92" t="inlineStr">
        <is>
          <t>Rietdam, Havenkwartier</t>
        </is>
      </c>
      <c r="M123" s="92" t="inlineStr">
        <is>
          <t>Opstal</t>
        </is>
      </c>
      <c r="N123" s="92" t="inlineStr">
        <is>
          <t>J</t>
        </is>
      </c>
      <c r="O123" s="92" t="inlineStr">
        <is>
          <t>Woningen verkocht t/m vorig jaar</t>
        </is>
      </c>
      <c r="P123" s="109" t="n">
        <v>0</v>
      </c>
      <c r="Q123" s="92" t="inlineStr">
        <is>
          <t>aantal</t>
        </is>
      </c>
      <c r="R123" s="92" t="inlineStr">
        <is>
          <t>Synthetische snapshot; kwartalen zijn FY-verdeling, geen actuals</t>
        </is>
      </c>
      <c r="S123" s="15" t="str">
        <f>IF(J123="","",J123&amp;"|"&amp;E123&amp;"|"&amp;F123&amp;"|"&amp;I123&amp;"|"&amp;O123)</f>
        <v>G.900007.8.9090|2026|Budget|2026|Woningen verkocht t/m vorig jaar</v>
      </c>
      <c r="T123" s="15">
        <f>IF(OR(S123="",D123&lt;&gt;"Vastgesteld"),"",_xlfn.MAXIFS($G$6:$G$5005,$S$6:$S$5005,S123,$D$6:$D$5005,"Vastgesteld"))</f>
        <v>0</v>
      </c>
      <c r="U123" s="15">
        <f>IF(T123="",0,IF(AND(G123=T123,COUNTIFS($S$6:S123,S123,$G$6:G123,G123,$D$6:D123,"Vastgesteld")=1),1,0))</f>
        <v>1</v>
      </c>
      <c r="V123" s="15">
        <f>IF(T123="",0,IF(AND(G123=T123,COUNTIFS($S$6:S123,S123,$G$6:G123,G123,$D$6:D123,"Vastgesteld")&gt;1),1,0))</f>
        <v>0</v>
      </c>
    </row>
    <row r="124">
      <c r="A124" s="92" t="inlineStr">
        <is>
          <t>HIST-2026-Budget</t>
        </is>
      </c>
      <c r="B124" s="92" t="inlineStr">
        <is>
          <t>RDFO_FICTIEVE_historie_en_mapping.xlsx</t>
        </is>
      </c>
      <c r="C124" s="108" t="n">
        <v>46324</v>
      </c>
      <c r="D124" s="92" t="inlineStr">
        <is>
          <t>Vastgesteld</t>
        </is>
      </c>
      <c r="E124" s="92" t="n">
        <v>2026</v>
      </c>
      <c r="F124" s="92" t="inlineStr">
        <is>
          <t>Budget</t>
        </is>
      </c>
      <c r="G124" s="92" t="n">
        <v>0</v>
      </c>
      <c r="H124" s="108" t="n">
        <v>46022</v>
      </c>
      <c r="I124" s="92" t="n">
        <v>2026</v>
      </c>
      <c r="J124" s="92" t="inlineStr">
        <is>
          <t>G.900007.8.9090</t>
        </is>
      </c>
      <c r="K124" s="92" t="inlineStr">
        <is>
          <t>G.900007</t>
        </is>
      </c>
      <c r="L124" s="92" t="inlineStr">
        <is>
          <t>Rietdam, Havenkwartier</t>
        </is>
      </c>
      <c r="M124" s="92" t="inlineStr">
        <is>
          <t>Opstal</t>
        </is>
      </c>
      <c r="N124" s="92" t="inlineStr">
        <is>
          <t>J</t>
        </is>
      </c>
      <c r="O124" s="92" t="inlineStr">
        <is>
          <t>Woningverkopen Q1</t>
        </is>
      </c>
      <c r="P124" s="109" t="n">
        <v>4</v>
      </c>
      <c r="Q124" s="92" t="inlineStr">
        <is>
          <t>aantal</t>
        </is>
      </c>
      <c r="R124" s="92" t="inlineStr">
        <is>
          <t>Synthetische snapshot; kwartalen zijn FY-verdeling, geen actuals</t>
        </is>
      </c>
      <c r="S124" s="15" t="str">
        <f>IF(J124="","",J124&amp;"|"&amp;E124&amp;"|"&amp;F124&amp;"|"&amp;I124&amp;"|"&amp;O124)</f>
        <v>G.900007.8.9090|2026|Budget|2026|Woningverkopen Q1</v>
      </c>
      <c r="T124" s="15">
        <f>IF(OR(S124="",D124&lt;&gt;"Vastgesteld"),"",_xlfn.MAXIFS($G$6:$G$5005,$S$6:$S$5005,S124,$D$6:$D$5005,"Vastgesteld"))</f>
        <v>0</v>
      </c>
      <c r="U124" s="15">
        <f>IF(T124="",0,IF(AND(G124=T124,COUNTIFS($S$6:S124,S124,$G$6:G124,G124,$D$6:D124,"Vastgesteld")=1),1,0))</f>
        <v>1</v>
      </c>
      <c r="V124" s="15">
        <f>IF(T124="",0,IF(AND(G124=T124,COUNTIFS($S$6:S124,S124,$G$6:G124,G124,$D$6:D124,"Vastgesteld")&gt;1),1,0))</f>
        <v>0</v>
      </c>
    </row>
    <row r="125">
      <c r="A125" s="92" t="inlineStr">
        <is>
          <t>HIST-2026-Budget</t>
        </is>
      </c>
      <c r="B125" s="92" t="inlineStr">
        <is>
          <t>RDFO_FICTIEVE_historie_en_mapping.xlsx</t>
        </is>
      </c>
      <c r="C125" s="108" t="n">
        <v>46324</v>
      </c>
      <c r="D125" s="92" t="inlineStr">
        <is>
          <t>Vastgesteld</t>
        </is>
      </c>
      <c r="E125" s="92" t="n">
        <v>2026</v>
      </c>
      <c r="F125" s="92" t="inlineStr">
        <is>
          <t>Budget</t>
        </is>
      </c>
      <c r="G125" s="92" t="n">
        <v>0</v>
      </c>
      <c r="H125" s="108" t="n">
        <v>46022</v>
      </c>
      <c r="I125" s="92" t="n">
        <v>2026</v>
      </c>
      <c r="J125" s="92" t="inlineStr">
        <is>
          <t>G.900007.8.9090</t>
        </is>
      </c>
      <c r="K125" s="92" t="inlineStr">
        <is>
          <t>G.900007</t>
        </is>
      </c>
      <c r="L125" s="92" t="inlineStr">
        <is>
          <t>Rietdam, Havenkwartier</t>
        </is>
      </c>
      <c r="M125" s="92" t="inlineStr">
        <is>
          <t>Opstal</t>
        </is>
      </c>
      <c r="N125" s="92" t="inlineStr">
        <is>
          <t>J</t>
        </is>
      </c>
      <c r="O125" s="92" t="inlineStr">
        <is>
          <t>Woningverkopen Q2</t>
        </is>
      </c>
      <c r="P125" s="109" t="n">
        <v>5</v>
      </c>
      <c r="Q125" s="92" t="inlineStr">
        <is>
          <t>aantal</t>
        </is>
      </c>
      <c r="R125" s="92" t="inlineStr">
        <is>
          <t>Synthetische snapshot; kwartalen zijn FY-verdeling, geen actuals</t>
        </is>
      </c>
      <c r="S125" s="15" t="str">
        <f>IF(J125="","",J125&amp;"|"&amp;E125&amp;"|"&amp;F125&amp;"|"&amp;I125&amp;"|"&amp;O125)</f>
        <v>G.900007.8.9090|2026|Budget|2026|Woningverkopen Q2</v>
      </c>
      <c r="T125" s="15">
        <f>IF(OR(S125="",D125&lt;&gt;"Vastgesteld"),"",_xlfn.MAXIFS($G$6:$G$5005,$S$6:$S$5005,S125,$D$6:$D$5005,"Vastgesteld"))</f>
        <v>0</v>
      </c>
      <c r="U125" s="15">
        <f>IF(T125="",0,IF(AND(G125=T125,COUNTIFS($S$6:S125,S125,$G$6:G125,G125,$D$6:D125,"Vastgesteld")=1),1,0))</f>
        <v>1</v>
      </c>
      <c r="V125" s="15">
        <f>IF(T125="",0,IF(AND(G125=T125,COUNTIFS($S$6:S125,S125,$G$6:G125,G125,$D$6:D125,"Vastgesteld")&gt;1),1,0))</f>
        <v>0</v>
      </c>
    </row>
    <row r="126">
      <c r="A126" s="92" t="inlineStr">
        <is>
          <t>HIST-2026-Budget</t>
        </is>
      </c>
      <c r="B126" s="92" t="inlineStr">
        <is>
          <t>RDFO_FICTIEVE_historie_en_mapping.xlsx</t>
        </is>
      </c>
      <c r="C126" s="108" t="n">
        <v>46324</v>
      </c>
      <c r="D126" s="92" t="inlineStr">
        <is>
          <t>Vastgesteld</t>
        </is>
      </c>
      <c r="E126" s="92" t="n">
        <v>2026</v>
      </c>
      <c r="F126" s="92" t="inlineStr">
        <is>
          <t>Budget</t>
        </is>
      </c>
      <c r="G126" s="92" t="n">
        <v>0</v>
      </c>
      <c r="H126" s="108" t="n">
        <v>46022</v>
      </c>
      <c r="I126" s="92" t="n">
        <v>2026</v>
      </c>
      <c r="J126" s="92" t="inlineStr">
        <is>
          <t>G.900007.8.9090</t>
        </is>
      </c>
      <c r="K126" s="92" t="inlineStr">
        <is>
          <t>G.900007</t>
        </is>
      </c>
      <c r="L126" s="92" t="inlineStr">
        <is>
          <t>Rietdam, Havenkwartier</t>
        </is>
      </c>
      <c r="M126" s="92" t="inlineStr">
        <is>
          <t>Opstal</t>
        </is>
      </c>
      <c r="N126" s="92" t="inlineStr">
        <is>
          <t>J</t>
        </is>
      </c>
      <c r="O126" s="92" t="inlineStr">
        <is>
          <t>Woningverkopen Q3</t>
        </is>
      </c>
      <c r="P126" s="109" t="n">
        <v>5</v>
      </c>
      <c r="Q126" s="92" t="inlineStr">
        <is>
          <t>aantal</t>
        </is>
      </c>
      <c r="R126" s="92" t="inlineStr">
        <is>
          <t>Synthetische snapshot; kwartalen zijn FY-verdeling, geen actuals</t>
        </is>
      </c>
      <c r="S126" s="15" t="str">
        <f>IF(J126="","",J126&amp;"|"&amp;E126&amp;"|"&amp;F126&amp;"|"&amp;I126&amp;"|"&amp;O126)</f>
        <v>G.900007.8.9090|2026|Budget|2026|Woningverkopen Q3</v>
      </c>
      <c r="T126" s="15">
        <f>IF(OR(S126="",D126&lt;&gt;"Vastgesteld"),"",_xlfn.MAXIFS($G$6:$G$5005,$S$6:$S$5005,S126,$D$6:$D$5005,"Vastgesteld"))</f>
        <v>0</v>
      </c>
      <c r="U126" s="15">
        <f>IF(T126="",0,IF(AND(G126=T126,COUNTIFS($S$6:S126,S126,$G$6:G126,G126,$D$6:D126,"Vastgesteld")=1),1,0))</f>
        <v>1</v>
      </c>
      <c r="V126" s="15">
        <f>IF(T126="",0,IF(AND(G126=T126,COUNTIFS($S$6:S126,S126,$G$6:G126,G126,$D$6:D126,"Vastgesteld")&gt;1),1,0))</f>
        <v>0</v>
      </c>
    </row>
    <row r="127">
      <c r="A127" s="92" t="inlineStr">
        <is>
          <t>HIST-2026-Budget</t>
        </is>
      </c>
      <c r="B127" s="92" t="inlineStr">
        <is>
          <t>RDFO_FICTIEVE_historie_en_mapping.xlsx</t>
        </is>
      </c>
      <c r="C127" s="108" t="n">
        <v>46324</v>
      </c>
      <c r="D127" s="92" t="inlineStr">
        <is>
          <t>Vastgesteld</t>
        </is>
      </c>
      <c r="E127" s="92" t="n">
        <v>2026</v>
      </c>
      <c r="F127" s="92" t="inlineStr">
        <is>
          <t>Budget</t>
        </is>
      </c>
      <c r="G127" s="92" t="n">
        <v>0</v>
      </c>
      <c r="H127" s="108" t="n">
        <v>46022</v>
      </c>
      <c r="I127" s="92" t="n">
        <v>2026</v>
      </c>
      <c r="J127" s="92" t="inlineStr">
        <is>
          <t>G.900007.8.9090</t>
        </is>
      </c>
      <c r="K127" s="92" t="inlineStr">
        <is>
          <t>G.900007</t>
        </is>
      </c>
      <c r="L127" s="92" t="inlineStr">
        <is>
          <t>Rietdam, Havenkwartier</t>
        </is>
      </c>
      <c r="M127" s="92" t="inlineStr">
        <is>
          <t>Opstal</t>
        </is>
      </c>
      <c r="N127" s="92" t="inlineStr">
        <is>
          <t>J</t>
        </is>
      </c>
      <c r="O127" s="92" t="inlineStr">
        <is>
          <t>Woningverkopen Q4</t>
        </is>
      </c>
      <c r="P127" s="109" t="n">
        <v>9</v>
      </c>
      <c r="Q127" s="92" t="inlineStr">
        <is>
          <t>aantal</t>
        </is>
      </c>
      <c r="R127" s="92" t="inlineStr">
        <is>
          <t>Synthetische snapshot; kwartalen zijn FY-verdeling, geen actuals</t>
        </is>
      </c>
      <c r="S127" s="15" t="str">
        <f>IF(J127="","",J127&amp;"|"&amp;E127&amp;"|"&amp;F127&amp;"|"&amp;I127&amp;"|"&amp;O127)</f>
        <v>G.900007.8.9090|2026|Budget|2026|Woningverkopen Q4</v>
      </c>
      <c r="T127" s="15">
        <f>IF(OR(S127="",D127&lt;&gt;"Vastgesteld"),"",_xlfn.MAXIFS($G$6:$G$5005,$S$6:$S$5005,S127,$D$6:$D$5005,"Vastgesteld"))</f>
        <v>0</v>
      </c>
      <c r="U127" s="15">
        <f>IF(T127="",0,IF(AND(G127=T127,COUNTIFS($S$6:S127,S127,$G$6:G127,G127,$D$6:D127,"Vastgesteld")=1),1,0))</f>
        <v>1</v>
      </c>
      <c r="V127" s="15">
        <f>IF(T127="",0,IF(AND(G127=T127,COUNTIFS($S$6:S127,S127,$G$6:G127,G127,$D$6:D127,"Vastgesteld")&gt;1),1,0))</f>
        <v>0</v>
      </c>
    </row>
    <row r="128">
      <c r="A128" s="92" t="inlineStr">
        <is>
          <t>HIST-2026-Budget</t>
        </is>
      </c>
      <c r="B128" s="92" t="inlineStr">
        <is>
          <t>RDFO_FICTIEVE_historie_en_mapping.xlsx</t>
        </is>
      </c>
      <c r="C128" s="108" t="n">
        <v>46324</v>
      </c>
      <c r="D128" s="92" t="inlineStr">
        <is>
          <t>Vastgesteld</t>
        </is>
      </c>
      <c r="E128" s="92" t="n">
        <v>2026</v>
      </c>
      <c r="F128" s="92" t="inlineStr">
        <is>
          <t>Budget</t>
        </is>
      </c>
      <c r="G128" s="92" t="n">
        <v>0</v>
      </c>
      <c r="H128" s="108" t="n">
        <v>46022</v>
      </c>
      <c r="I128" s="92" t="n">
        <v>2026</v>
      </c>
      <c r="J128" s="92" t="inlineStr">
        <is>
          <t>G.900008.8.9090</t>
        </is>
      </c>
      <c r="K128" s="92" t="inlineStr">
        <is>
          <t>G.900008</t>
        </is>
      </c>
      <c r="L128" s="92" t="inlineStr">
        <is>
          <t>Lindehaven, De Brink</t>
        </is>
      </c>
      <c r="M128" s="92" t="inlineStr">
        <is>
          <t>Opstal</t>
        </is>
      </c>
      <c r="N128" s="92" t="inlineStr">
        <is>
          <t>J</t>
        </is>
      </c>
      <c r="O128" s="92" t="inlineStr">
        <is>
          <t>Woningverkopen FY</t>
        </is>
      </c>
      <c r="P128" s="109" t="n">
        <v>13</v>
      </c>
      <c r="Q128" s="92" t="inlineStr">
        <is>
          <t>aantal</t>
        </is>
      </c>
      <c r="R128" s="92" t="inlineStr">
        <is>
          <t>Synthetische snapshot; kwartalen zijn FY-verdeling, geen actuals</t>
        </is>
      </c>
      <c r="S128" s="15" t="str">
        <f>IF(J128="","",J128&amp;"|"&amp;E128&amp;"|"&amp;F128&amp;"|"&amp;I128&amp;"|"&amp;O128)</f>
        <v>G.900008.8.9090|2026|Budget|2026|Woningverkopen FY</v>
      </c>
      <c r="T128" s="15">
        <f>IF(OR(S128="",D128&lt;&gt;"Vastgesteld"),"",_xlfn.MAXIFS($G$6:$G$5005,$S$6:$S$5005,S128,$D$6:$D$5005,"Vastgesteld"))</f>
        <v>0</v>
      </c>
      <c r="U128" s="15">
        <f>IF(T128="",0,IF(AND(G128=T128,COUNTIFS($S$6:S128,S128,$G$6:G128,G128,$D$6:D128,"Vastgesteld")=1),1,0))</f>
        <v>1</v>
      </c>
      <c r="V128" s="15">
        <f>IF(T128="",0,IF(AND(G128=T128,COUNTIFS($S$6:S128,S128,$G$6:G128,G128,$D$6:D128,"Vastgesteld")&gt;1),1,0))</f>
        <v>0</v>
      </c>
    </row>
    <row r="129">
      <c r="A129" s="92" t="inlineStr">
        <is>
          <t>HIST-2026-Budget</t>
        </is>
      </c>
      <c r="B129" s="92" t="inlineStr">
        <is>
          <t>RDFO_FICTIEVE_historie_en_mapping.xlsx</t>
        </is>
      </c>
      <c r="C129" s="108" t="n">
        <v>46324</v>
      </c>
      <c r="D129" s="92" t="inlineStr">
        <is>
          <t>Vastgesteld</t>
        </is>
      </c>
      <c r="E129" s="92" t="n">
        <v>2026</v>
      </c>
      <c r="F129" s="92" t="inlineStr">
        <is>
          <t>Budget</t>
        </is>
      </c>
      <c r="G129" s="92" t="n">
        <v>0</v>
      </c>
      <c r="H129" s="108" t="n">
        <v>46022</v>
      </c>
      <c r="I129" s="92" t="n">
        <v>2026</v>
      </c>
      <c r="J129" s="92" t="inlineStr">
        <is>
          <t>G.900008.8.9090</t>
        </is>
      </c>
      <c r="K129" s="92" t="inlineStr">
        <is>
          <t>G.900008</t>
        </is>
      </c>
      <c r="L129" s="92" t="inlineStr">
        <is>
          <t>Lindehaven, De Brink</t>
        </is>
      </c>
      <c r="M129" s="92" t="inlineStr">
        <is>
          <t>Opstal</t>
        </is>
      </c>
      <c r="N129" s="92" t="inlineStr">
        <is>
          <t>J</t>
        </is>
      </c>
      <c r="O129" s="92" t="inlineStr">
        <is>
          <t>Woningen verkocht t/m vorig jaar</t>
        </is>
      </c>
      <c r="P129" s="109" t="n">
        <v>0</v>
      </c>
      <c r="Q129" s="92" t="inlineStr">
        <is>
          <t>aantal</t>
        </is>
      </c>
      <c r="R129" s="92" t="inlineStr">
        <is>
          <t>Synthetische snapshot; kwartalen zijn FY-verdeling, geen actuals</t>
        </is>
      </c>
      <c r="S129" s="15" t="str">
        <f>IF(J129="","",J129&amp;"|"&amp;E129&amp;"|"&amp;F129&amp;"|"&amp;I129&amp;"|"&amp;O129)</f>
        <v>G.900008.8.9090|2026|Budget|2026|Woningen verkocht t/m vorig jaar</v>
      </c>
      <c r="T129" s="15">
        <f>IF(OR(S129="",D129&lt;&gt;"Vastgesteld"),"",_xlfn.MAXIFS($G$6:$G$5005,$S$6:$S$5005,S129,$D$6:$D$5005,"Vastgesteld"))</f>
        <v>0</v>
      </c>
      <c r="U129" s="15">
        <f>IF(T129="",0,IF(AND(G129=T129,COUNTIFS($S$6:S129,S129,$G$6:G129,G129,$D$6:D129,"Vastgesteld")=1),1,0))</f>
        <v>1</v>
      </c>
      <c r="V129" s="15">
        <f>IF(T129="",0,IF(AND(G129=T129,COUNTIFS($S$6:S129,S129,$G$6:G129,G129,$D$6:D129,"Vastgesteld")&gt;1),1,0))</f>
        <v>0</v>
      </c>
    </row>
    <row r="130">
      <c r="A130" s="92" t="inlineStr">
        <is>
          <t>HIST-2026-Budget</t>
        </is>
      </c>
      <c r="B130" s="92" t="inlineStr">
        <is>
          <t>RDFO_FICTIEVE_historie_en_mapping.xlsx</t>
        </is>
      </c>
      <c r="C130" s="108" t="n">
        <v>46324</v>
      </c>
      <c r="D130" s="92" t="inlineStr">
        <is>
          <t>Vastgesteld</t>
        </is>
      </c>
      <c r="E130" s="92" t="n">
        <v>2026</v>
      </c>
      <c r="F130" s="92" t="inlineStr">
        <is>
          <t>Budget</t>
        </is>
      </c>
      <c r="G130" s="92" t="n">
        <v>0</v>
      </c>
      <c r="H130" s="108" t="n">
        <v>46022</v>
      </c>
      <c r="I130" s="92" t="n">
        <v>2026</v>
      </c>
      <c r="J130" s="92" t="inlineStr">
        <is>
          <t>G.900008.8.9090</t>
        </is>
      </c>
      <c r="K130" s="92" t="inlineStr">
        <is>
          <t>G.900008</t>
        </is>
      </c>
      <c r="L130" s="92" t="inlineStr">
        <is>
          <t>Lindehaven, De Brink</t>
        </is>
      </c>
      <c r="M130" s="92" t="inlineStr">
        <is>
          <t>Opstal</t>
        </is>
      </c>
      <c r="N130" s="92" t="inlineStr">
        <is>
          <t>J</t>
        </is>
      </c>
      <c r="O130" s="92" t="inlineStr">
        <is>
          <t>Woningverkopen Q1</t>
        </is>
      </c>
      <c r="P130" s="109" t="n">
        <v>2</v>
      </c>
      <c r="Q130" s="92" t="inlineStr">
        <is>
          <t>aantal</t>
        </is>
      </c>
      <c r="R130" s="92" t="inlineStr">
        <is>
          <t>Synthetische snapshot; kwartalen zijn FY-verdeling, geen actuals</t>
        </is>
      </c>
      <c r="S130" s="15" t="str">
        <f>IF(J130="","",J130&amp;"|"&amp;E130&amp;"|"&amp;F130&amp;"|"&amp;I130&amp;"|"&amp;O130)</f>
        <v>G.900008.8.9090|2026|Budget|2026|Woningverkopen Q1</v>
      </c>
      <c r="T130" s="15">
        <f>IF(OR(S130="",D130&lt;&gt;"Vastgesteld"),"",_xlfn.MAXIFS($G$6:$G$5005,$S$6:$S$5005,S130,$D$6:$D$5005,"Vastgesteld"))</f>
        <v>0</v>
      </c>
      <c r="U130" s="15">
        <f>IF(T130="",0,IF(AND(G130=T130,COUNTIFS($S$6:S130,S130,$G$6:G130,G130,$D$6:D130,"Vastgesteld")=1),1,0))</f>
        <v>1</v>
      </c>
      <c r="V130" s="15">
        <f>IF(T130="",0,IF(AND(G130=T130,COUNTIFS($S$6:S130,S130,$G$6:G130,G130,$D$6:D130,"Vastgesteld")&gt;1),1,0))</f>
        <v>0</v>
      </c>
    </row>
    <row r="131">
      <c r="A131" s="92" t="inlineStr">
        <is>
          <t>HIST-2026-Budget</t>
        </is>
      </c>
      <c r="B131" s="92" t="inlineStr">
        <is>
          <t>RDFO_FICTIEVE_historie_en_mapping.xlsx</t>
        </is>
      </c>
      <c r="C131" s="108" t="n">
        <v>46324</v>
      </c>
      <c r="D131" s="92" t="inlineStr">
        <is>
          <t>Vastgesteld</t>
        </is>
      </c>
      <c r="E131" s="92" t="n">
        <v>2026</v>
      </c>
      <c r="F131" s="92" t="inlineStr">
        <is>
          <t>Budget</t>
        </is>
      </c>
      <c r="G131" s="92" t="n">
        <v>0</v>
      </c>
      <c r="H131" s="108" t="n">
        <v>46022</v>
      </c>
      <c r="I131" s="92" t="n">
        <v>2026</v>
      </c>
      <c r="J131" s="92" t="inlineStr">
        <is>
          <t>G.900008.8.9090</t>
        </is>
      </c>
      <c r="K131" s="92" t="inlineStr">
        <is>
          <t>G.900008</t>
        </is>
      </c>
      <c r="L131" s="92" t="inlineStr">
        <is>
          <t>Lindehaven, De Brink</t>
        </is>
      </c>
      <c r="M131" s="92" t="inlineStr">
        <is>
          <t>Opstal</t>
        </is>
      </c>
      <c r="N131" s="92" t="inlineStr">
        <is>
          <t>J</t>
        </is>
      </c>
      <c r="O131" s="92" t="inlineStr">
        <is>
          <t>Woningverkopen Q2</t>
        </is>
      </c>
      <c r="P131" s="109" t="n">
        <v>3</v>
      </c>
      <c r="Q131" s="92" t="inlineStr">
        <is>
          <t>aantal</t>
        </is>
      </c>
      <c r="R131" s="92" t="inlineStr">
        <is>
          <t>Synthetische snapshot; kwartalen zijn FY-verdeling, geen actuals</t>
        </is>
      </c>
      <c r="S131" s="15" t="str">
        <f>IF(J131="","",J131&amp;"|"&amp;E131&amp;"|"&amp;F131&amp;"|"&amp;I131&amp;"|"&amp;O131)</f>
        <v>G.900008.8.9090|2026|Budget|2026|Woningverkopen Q2</v>
      </c>
      <c r="T131" s="15">
        <f>IF(OR(S131="",D131&lt;&gt;"Vastgesteld"),"",_xlfn.MAXIFS($G$6:$G$5005,$S$6:$S$5005,S131,$D$6:$D$5005,"Vastgesteld"))</f>
        <v>0</v>
      </c>
      <c r="U131" s="15">
        <f>IF(T131="",0,IF(AND(G131=T131,COUNTIFS($S$6:S131,S131,$G$6:G131,G131,$D$6:D131,"Vastgesteld")=1),1,0))</f>
        <v>1</v>
      </c>
      <c r="V131" s="15">
        <f>IF(T131="",0,IF(AND(G131=T131,COUNTIFS($S$6:S131,S131,$G$6:G131,G131,$D$6:D131,"Vastgesteld")&gt;1),1,0))</f>
        <v>0</v>
      </c>
    </row>
    <row r="132">
      <c r="A132" s="92" t="inlineStr">
        <is>
          <t>HIST-2026-Budget</t>
        </is>
      </c>
      <c r="B132" s="92" t="inlineStr">
        <is>
          <t>RDFO_FICTIEVE_historie_en_mapping.xlsx</t>
        </is>
      </c>
      <c r="C132" s="108" t="n">
        <v>46324</v>
      </c>
      <c r="D132" s="92" t="inlineStr">
        <is>
          <t>Vastgesteld</t>
        </is>
      </c>
      <c r="E132" s="92" t="n">
        <v>2026</v>
      </c>
      <c r="F132" s="92" t="inlineStr">
        <is>
          <t>Budget</t>
        </is>
      </c>
      <c r="G132" s="92" t="n">
        <v>0</v>
      </c>
      <c r="H132" s="108" t="n">
        <v>46022</v>
      </c>
      <c r="I132" s="92" t="n">
        <v>2026</v>
      </c>
      <c r="J132" s="92" t="inlineStr">
        <is>
          <t>G.900008.8.9090</t>
        </is>
      </c>
      <c r="K132" s="92" t="inlineStr">
        <is>
          <t>G.900008</t>
        </is>
      </c>
      <c r="L132" s="92" t="inlineStr">
        <is>
          <t>Lindehaven, De Brink</t>
        </is>
      </c>
      <c r="M132" s="92" t="inlineStr">
        <is>
          <t>Opstal</t>
        </is>
      </c>
      <c r="N132" s="92" t="inlineStr">
        <is>
          <t>J</t>
        </is>
      </c>
      <c r="O132" s="92" t="inlineStr">
        <is>
          <t>Woningverkopen Q3</t>
        </is>
      </c>
      <c r="P132" s="109" t="n">
        <v>3</v>
      </c>
      <c r="Q132" s="92" t="inlineStr">
        <is>
          <t>aantal</t>
        </is>
      </c>
      <c r="R132" s="92" t="inlineStr">
        <is>
          <t>Synthetische snapshot; kwartalen zijn FY-verdeling, geen actuals</t>
        </is>
      </c>
      <c r="S132" s="15" t="str">
        <f>IF(J132="","",J132&amp;"|"&amp;E132&amp;"|"&amp;F132&amp;"|"&amp;I132&amp;"|"&amp;O132)</f>
        <v>G.900008.8.9090|2026|Budget|2026|Woningverkopen Q3</v>
      </c>
      <c r="T132" s="15">
        <f>IF(OR(S132="",D132&lt;&gt;"Vastgesteld"),"",_xlfn.MAXIFS($G$6:$G$5005,$S$6:$S$5005,S132,$D$6:$D$5005,"Vastgesteld"))</f>
        <v>0</v>
      </c>
      <c r="U132" s="15">
        <f>IF(T132="",0,IF(AND(G132=T132,COUNTIFS($S$6:S132,S132,$G$6:G132,G132,$D$6:D132,"Vastgesteld")=1),1,0))</f>
        <v>1</v>
      </c>
      <c r="V132" s="15">
        <f>IF(T132="",0,IF(AND(G132=T132,COUNTIFS($S$6:S132,S132,$G$6:G132,G132,$D$6:D132,"Vastgesteld")&gt;1),1,0))</f>
        <v>0</v>
      </c>
    </row>
    <row r="133">
      <c r="A133" s="92" t="inlineStr">
        <is>
          <t>HIST-2026-Budget</t>
        </is>
      </c>
      <c r="B133" s="92" t="inlineStr">
        <is>
          <t>RDFO_FICTIEVE_historie_en_mapping.xlsx</t>
        </is>
      </c>
      <c r="C133" s="108" t="n">
        <v>46324</v>
      </c>
      <c r="D133" s="92" t="inlineStr">
        <is>
          <t>Vastgesteld</t>
        </is>
      </c>
      <c r="E133" s="92" t="n">
        <v>2026</v>
      </c>
      <c r="F133" s="92" t="inlineStr">
        <is>
          <t>Budget</t>
        </is>
      </c>
      <c r="G133" s="92" t="n">
        <v>0</v>
      </c>
      <c r="H133" s="108" t="n">
        <v>46022</v>
      </c>
      <c r="I133" s="92" t="n">
        <v>2026</v>
      </c>
      <c r="J133" s="92" t="inlineStr">
        <is>
          <t>G.900008.8.9090</t>
        </is>
      </c>
      <c r="K133" s="92" t="inlineStr">
        <is>
          <t>G.900008</t>
        </is>
      </c>
      <c r="L133" s="92" t="inlineStr">
        <is>
          <t>Lindehaven, De Brink</t>
        </is>
      </c>
      <c r="M133" s="92" t="inlineStr">
        <is>
          <t>Opstal</t>
        </is>
      </c>
      <c r="N133" s="92" t="inlineStr">
        <is>
          <t>J</t>
        </is>
      </c>
      <c r="O133" s="92" t="inlineStr">
        <is>
          <t>Woningverkopen Q4</t>
        </is>
      </c>
      <c r="P133" s="109" t="n">
        <v>5</v>
      </c>
      <c r="Q133" s="92" t="inlineStr">
        <is>
          <t>aantal</t>
        </is>
      </c>
      <c r="R133" s="92" t="inlineStr">
        <is>
          <t>Synthetische snapshot; kwartalen zijn FY-verdeling, geen actuals</t>
        </is>
      </c>
      <c r="S133" s="15" t="str">
        <f>IF(J133="","",J133&amp;"|"&amp;E133&amp;"|"&amp;F133&amp;"|"&amp;I133&amp;"|"&amp;O133)</f>
        <v>G.900008.8.9090|2026|Budget|2026|Woningverkopen Q4</v>
      </c>
      <c r="T133" s="15">
        <f>IF(OR(S133="",D133&lt;&gt;"Vastgesteld"),"",_xlfn.MAXIFS($G$6:$G$5005,$S$6:$S$5005,S133,$D$6:$D$5005,"Vastgesteld"))</f>
        <v>0</v>
      </c>
      <c r="U133" s="15">
        <f>IF(T133="",0,IF(AND(G133=T133,COUNTIFS($S$6:S133,S133,$G$6:G133,G133,$D$6:D133,"Vastgesteld")=1),1,0))</f>
        <v>1</v>
      </c>
      <c r="V133" s="15">
        <f>IF(T133="",0,IF(AND(G133=T133,COUNTIFS($S$6:S133,S133,$G$6:G133,G133,$D$6:D133,"Vastgesteld")&gt;1),1,0))</f>
        <v>0</v>
      </c>
    </row>
    <row r="134">
      <c r="A134" s="92" t="inlineStr">
        <is>
          <t>HIST-2026-Budget</t>
        </is>
      </c>
      <c r="B134" s="92" t="inlineStr">
        <is>
          <t>RDFO_FICTIEVE_historie_en_mapping.xlsx</t>
        </is>
      </c>
      <c r="C134" s="108" t="n">
        <v>46324</v>
      </c>
      <c r="D134" s="92" t="inlineStr">
        <is>
          <t>Vastgesteld</t>
        </is>
      </c>
      <c r="E134" s="92" t="n">
        <v>2026</v>
      </c>
      <c r="F134" s="92" t="inlineStr">
        <is>
          <t>Budget</t>
        </is>
      </c>
      <c r="G134" s="92" t="n">
        <v>0</v>
      </c>
      <c r="H134" s="108" t="n">
        <v>46022</v>
      </c>
      <c r="I134" s="92" t="n">
        <v>2026</v>
      </c>
      <c r="J134" s="92" t="inlineStr">
        <is>
          <t>G.900009.8.9090</t>
        </is>
      </c>
      <c r="K134" s="92" t="inlineStr">
        <is>
          <t>G.900009</t>
        </is>
      </c>
      <c r="L134" s="92" t="inlineStr">
        <is>
          <t>Duinwaard, Duinrand</t>
        </is>
      </c>
      <c r="M134" s="92" t="inlineStr">
        <is>
          <t>Opstal</t>
        </is>
      </c>
      <c r="N134" s="92" t="inlineStr">
        <is>
          <t>J</t>
        </is>
      </c>
      <c r="O134" s="92" t="inlineStr">
        <is>
          <t>Woningverkopen FY</t>
        </is>
      </c>
      <c r="P134" s="109" t="n">
        <v>32</v>
      </c>
      <c r="Q134" s="92" t="inlineStr">
        <is>
          <t>aantal</t>
        </is>
      </c>
      <c r="R134" s="92" t="inlineStr">
        <is>
          <t>Synthetische snapshot; kwartalen zijn FY-verdeling, geen actuals</t>
        </is>
      </c>
      <c r="S134" s="15" t="str">
        <f>IF(J134="","",J134&amp;"|"&amp;E134&amp;"|"&amp;F134&amp;"|"&amp;I134&amp;"|"&amp;O134)</f>
        <v>G.900009.8.9090|2026|Budget|2026|Woningverkopen FY</v>
      </c>
      <c r="T134" s="15">
        <f>IF(OR(S134="",D134&lt;&gt;"Vastgesteld"),"",_xlfn.MAXIFS($G$6:$G$5005,$S$6:$S$5005,S134,$D$6:$D$5005,"Vastgesteld"))</f>
        <v>0</v>
      </c>
      <c r="U134" s="15">
        <f>IF(T134="",0,IF(AND(G134=T134,COUNTIFS($S$6:S134,S134,$G$6:G134,G134,$D$6:D134,"Vastgesteld")=1),1,0))</f>
        <v>1</v>
      </c>
      <c r="V134" s="15">
        <f>IF(T134="",0,IF(AND(G134=T134,COUNTIFS($S$6:S134,S134,$G$6:G134,G134,$D$6:D134,"Vastgesteld")&gt;1),1,0))</f>
        <v>0</v>
      </c>
    </row>
    <row r="135">
      <c r="A135" s="92" t="inlineStr">
        <is>
          <t>HIST-2026-Budget</t>
        </is>
      </c>
      <c r="B135" s="92" t="inlineStr">
        <is>
          <t>RDFO_FICTIEVE_historie_en_mapping.xlsx</t>
        </is>
      </c>
      <c r="C135" s="108" t="n">
        <v>46324</v>
      </c>
      <c r="D135" s="92" t="inlineStr">
        <is>
          <t>Vastgesteld</t>
        </is>
      </c>
      <c r="E135" s="92" t="n">
        <v>2026</v>
      </c>
      <c r="F135" s="92" t="inlineStr">
        <is>
          <t>Budget</t>
        </is>
      </c>
      <c r="G135" s="92" t="n">
        <v>0</v>
      </c>
      <c r="H135" s="108" t="n">
        <v>46022</v>
      </c>
      <c r="I135" s="92" t="n">
        <v>2026</v>
      </c>
      <c r="J135" s="92" t="inlineStr">
        <is>
          <t>G.900009.8.9090</t>
        </is>
      </c>
      <c r="K135" s="92" t="inlineStr">
        <is>
          <t>G.900009</t>
        </is>
      </c>
      <c r="L135" s="92" t="inlineStr">
        <is>
          <t>Duinwaard, Duinrand</t>
        </is>
      </c>
      <c r="M135" s="92" t="inlineStr">
        <is>
          <t>Opstal</t>
        </is>
      </c>
      <c r="N135" s="92" t="inlineStr">
        <is>
          <t>J</t>
        </is>
      </c>
      <c r="O135" s="92" t="inlineStr">
        <is>
          <t>Woningen verkocht t/m vorig jaar</t>
        </is>
      </c>
      <c r="P135" s="109" t="n">
        <v>0</v>
      </c>
      <c r="Q135" s="92" t="inlineStr">
        <is>
          <t>aantal</t>
        </is>
      </c>
      <c r="R135" s="92" t="inlineStr">
        <is>
          <t>Synthetische snapshot; kwartalen zijn FY-verdeling, geen actuals</t>
        </is>
      </c>
      <c r="S135" s="15" t="str">
        <f>IF(J135="","",J135&amp;"|"&amp;E135&amp;"|"&amp;F135&amp;"|"&amp;I135&amp;"|"&amp;O135)</f>
        <v>G.900009.8.9090|2026|Budget|2026|Woningen verkocht t/m vorig jaar</v>
      </c>
      <c r="T135" s="15">
        <f>IF(OR(S135="",D135&lt;&gt;"Vastgesteld"),"",_xlfn.MAXIFS($G$6:$G$5005,$S$6:$S$5005,S135,$D$6:$D$5005,"Vastgesteld"))</f>
        <v>0</v>
      </c>
      <c r="U135" s="15">
        <f>IF(T135="",0,IF(AND(G135=T135,COUNTIFS($S$6:S135,S135,$G$6:G135,G135,$D$6:D135,"Vastgesteld")=1),1,0))</f>
        <v>1</v>
      </c>
      <c r="V135" s="15">
        <f>IF(T135="",0,IF(AND(G135=T135,COUNTIFS($S$6:S135,S135,$G$6:G135,G135,$D$6:D135,"Vastgesteld")&gt;1),1,0))</f>
        <v>0</v>
      </c>
    </row>
    <row r="136">
      <c r="A136" s="92" t="inlineStr">
        <is>
          <t>HIST-2026-Budget</t>
        </is>
      </c>
      <c r="B136" s="92" t="inlineStr">
        <is>
          <t>RDFO_FICTIEVE_historie_en_mapping.xlsx</t>
        </is>
      </c>
      <c r="C136" s="108" t="n">
        <v>46324</v>
      </c>
      <c r="D136" s="92" t="inlineStr">
        <is>
          <t>Vastgesteld</t>
        </is>
      </c>
      <c r="E136" s="92" t="n">
        <v>2026</v>
      </c>
      <c r="F136" s="92" t="inlineStr">
        <is>
          <t>Budget</t>
        </is>
      </c>
      <c r="G136" s="92" t="n">
        <v>0</v>
      </c>
      <c r="H136" s="108" t="n">
        <v>46022</v>
      </c>
      <c r="I136" s="92" t="n">
        <v>2026</v>
      </c>
      <c r="J136" s="92" t="inlineStr">
        <is>
          <t>G.900009.8.9090</t>
        </is>
      </c>
      <c r="K136" s="92" t="inlineStr">
        <is>
          <t>G.900009</t>
        </is>
      </c>
      <c r="L136" s="92" t="inlineStr">
        <is>
          <t>Duinwaard, Duinrand</t>
        </is>
      </c>
      <c r="M136" s="92" t="inlineStr">
        <is>
          <t>Opstal</t>
        </is>
      </c>
      <c r="N136" s="92" t="inlineStr">
        <is>
          <t>J</t>
        </is>
      </c>
      <c r="O136" s="92" t="inlineStr">
        <is>
          <t>Woningverkopen Q1</t>
        </is>
      </c>
      <c r="P136" s="109" t="n">
        <v>6</v>
      </c>
      <c r="Q136" s="92" t="inlineStr">
        <is>
          <t>aantal</t>
        </is>
      </c>
      <c r="R136" s="92" t="inlineStr">
        <is>
          <t>Synthetische snapshot; kwartalen zijn FY-verdeling, geen actuals</t>
        </is>
      </c>
      <c r="S136" s="15" t="str">
        <f>IF(J136="","",J136&amp;"|"&amp;E136&amp;"|"&amp;F136&amp;"|"&amp;I136&amp;"|"&amp;O136)</f>
        <v>G.900009.8.9090|2026|Budget|2026|Woningverkopen Q1</v>
      </c>
      <c r="T136" s="15">
        <f>IF(OR(S136="",D136&lt;&gt;"Vastgesteld"),"",_xlfn.MAXIFS($G$6:$G$5005,$S$6:$S$5005,S136,$D$6:$D$5005,"Vastgesteld"))</f>
        <v>0</v>
      </c>
      <c r="U136" s="15">
        <f>IF(T136="",0,IF(AND(G136=T136,COUNTIFS($S$6:S136,S136,$G$6:G136,G136,$D$6:D136,"Vastgesteld")=1),1,0))</f>
        <v>1</v>
      </c>
      <c r="V136" s="15">
        <f>IF(T136="",0,IF(AND(G136=T136,COUNTIFS($S$6:S136,S136,$G$6:G136,G136,$D$6:D136,"Vastgesteld")&gt;1),1,0))</f>
        <v>0</v>
      </c>
    </row>
    <row r="137">
      <c r="A137" s="92" t="inlineStr">
        <is>
          <t>HIST-2026-Budget</t>
        </is>
      </c>
      <c r="B137" s="92" t="inlineStr">
        <is>
          <t>RDFO_FICTIEVE_historie_en_mapping.xlsx</t>
        </is>
      </c>
      <c r="C137" s="108" t="n">
        <v>46324</v>
      </c>
      <c r="D137" s="92" t="inlineStr">
        <is>
          <t>Vastgesteld</t>
        </is>
      </c>
      <c r="E137" s="92" t="n">
        <v>2026</v>
      </c>
      <c r="F137" s="92" t="inlineStr">
        <is>
          <t>Budget</t>
        </is>
      </c>
      <c r="G137" s="92" t="n">
        <v>0</v>
      </c>
      <c r="H137" s="108" t="n">
        <v>46022</v>
      </c>
      <c r="I137" s="92" t="n">
        <v>2026</v>
      </c>
      <c r="J137" s="92" t="inlineStr">
        <is>
          <t>G.900009.8.9090</t>
        </is>
      </c>
      <c r="K137" s="92" t="inlineStr">
        <is>
          <t>G.900009</t>
        </is>
      </c>
      <c r="L137" s="92" t="inlineStr">
        <is>
          <t>Duinwaard, Duinrand</t>
        </is>
      </c>
      <c r="M137" s="92" t="inlineStr">
        <is>
          <t>Opstal</t>
        </is>
      </c>
      <c r="N137" s="92" t="inlineStr">
        <is>
          <t>J</t>
        </is>
      </c>
      <c r="O137" s="92" t="inlineStr">
        <is>
          <t>Woningverkopen Q2</t>
        </is>
      </c>
      <c r="P137" s="109" t="n">
        <v>8</v>
      </c>
      <c r="Q137" s="92" t="inlineStr">
        <is>
          <t>aantal</t>
        </is>
      </c>
      <c r="R137" s="92" t="inlineStr">
        <is>
          <t>Synthetische snapshot; kwartalen zijn FY-verdeling, geen actuals</t>
        </is>
      </c>
      <c r="S137" s="15" t="str">
        <f>IF(J137="","",J137&amp;"|"&amp;E137&amp;"|"&amp;F137&amp;"|"&amp;I137&amp;"|"&amp;O137)</f>
        <v>G.900009.8.9090|2026|Budget|2026|Woningverkopen Q2</v>
      </c>
      <c r="T137" s="15">
        <f>IF(OR(S137="",D137&lt;&gt;"Vastgesteld"),"",_xlfn.MAXIFS($G$6:$G$5005,$S$6:$S$5005,S137,$D$6:$D$5005,"Vastgesteld"))</f>
        <v>0</v>
      </c>
      <c r="U137" s="15">
        <f>IF(T137="",0,IF(AND(G137=T137,COUNTIFS($S$6:S137,S137,$G$6:G137,G137,$D$6:D137,"Vastgesteld")=1),1,0))</f>
        <v>1</v>
      </c>
      <c r="V137" s="15">
        <f>IF(T137="",0,IF(AND(G137=T137,COUNTIFS($S$6:S137,S137,$G$6:G137,G137,$D$6:D137,"Vastgesteld")&gt;1),1,0))</f>
        <v>0</v>
      </c>
    </row>
    <row r="138">
      <c r="A138" s="92" t="inlineStr">
        <is>
          <t>HIST-2026-Budget</t>
        </is>
      </c>
      <c r="B138" s="92" t="inlineStr">
        <is>
          <t>RDFO_FICTIEVE_historie_en_mapping.xlsx</t>
        </is>
      </c>
      <c r="C138" s="108" t="n">
        <v>46324</v>
      </c>
      <c r="D138" s="92" t="inlineStr">
        <is>
          <t>Vastgesteld</t>
        </is>
      </c>
      <c r="E138" s="92" t="n">
        <v>2026</v>
      </c>
      <c r="F138" s="92" t="inlineStr">
        <is>
          <t>Budget</t>
        </is>
      </c>
      <c r="G138" s="92" t="n">
        <v>0</v>
      </c>
      <c r="H138" s="108" t="n">
        <v>46022</v>
      </c>
      <c r="I138" s="92" t="n">
        <v>2026</v>
      </c>
      <c r="J138" s="92" t="inlineStr">
        <is>
          <t>G.900009.8.9090</t>
        </is>
      </c>
      <c r="K138" s="92" t="inlineStr">
        <is>
          <t>G.900009</t>
        </is>
      </c>
      <c r="L138" s="92" t="inlineStr">
        <is>
          <t>Duinwaard, Duinrand</t>
        </is>
      </c>
      <c r="M138" s="92" t="inlineStr">
        <is>
          <t>Opstal</t>
        </is>
      </c>
      <c r="N138" s="92" t="inlineStr">
        <is>
          <t>J</t>
        </is>
      </c>
      <c r="O138" s="92" t="inlineStr">
        <is>
          <t>Woningverkopen Q3</t>
        </is>
      </c>
      <c r="P138" s="109" t="n">
        <v>8</v>
      </c>
      <c r="Q138" s="92" t="inlineStr">
        <is>
          <t>aantal</t>
        </is>
      </c>
      <c r="R138" s="92" t="inlineStr">
        <is>
          <t>Synthetische snapshot; kwartalen zijn FY-verdeling, geen actuals</t>
        </is>
      </c>
      <c r="S138" s="15" t="str">
        <f>IF(J138="","",J138&amp;"|"&amp;E138&amp;"|"&amp;F138&amp;"|"&amp;I138&amp;"|"&amp;O138)</f>
        <v>G.900009.8.9090|2026|Budget|2026|Woningverkopen Q3</v>
      </c>
      <c r="T138" s="15">
        <f>IF(OR(S138="",D138&lt;&gt;"Vastgesteld"),"",_xlfn.MAXIFS($G$6:$G$5005,$S$6:$S$5005,S138,$D$6:$D$5005,"Vastgesteld"))</f>
        <v>0</v>
      </c>
      <c r="U138" s="15">
        <f>IF(T138="",0,IF(AND(G138=T138,COUNTIFS($S$6:S138,S138,$G$6:G138,G138,$D$6:D138,"Vastgesteld")=1),1,0))</f>
        <v>1</v>
      </c>
      <c r="V138" s="15">
        <f>IF(T138="",0,IF(AND(G138=T138,COUNTIFS($S$6:S138,S138,$G$6:G138,G138,$D$6:D138,"Vastgesteld")&gt;1),1,0))</f>
        <v>0</v>
      </c>
    </row>
    <row r="139">
      <c r="A139" s="92" t="inlineStr">
        <is>
          <t>HIST-2026-Budget</t>
        </is>
      </c>
      <c r="B139" s="92" t="inlineStr">
        <is>
          <t>RDFO_FICTIEVE_historie_en_mapping.xlsx</t>
        </is>
      </c>
      <c r="C139" s="108" t="n">
        <v>46324</v>
      </c>
      <c r="D139" s="92" t="inlineStr">
        <is>
          <t>Vastgesteld</t>
        </is>
      </c>
      <c r="E139" s="92" t="n">
        <v>2026</v>
      </c>
      <c r="F139" s="92" t="inlineStr">
        <is>
          <t>Budget</t>
        </is>
      </c>
      <c r="G139" s="92" t="n">
        <v>0</v>
      </c>
      <c r="H139" s="108" t="n">
        <v>46022</v>
      </c>
      <c r="I139" s="92" t="n">
        <v>2026</v>
      </c>
      <c r="J139" s="92" t="inlineStr">
        <is>
          <t>G.900009.8.9090</t>
        </is>
      </c>
      <c r="K139" s="92" t="inlineStr">
        <is>
          <t>G.900009</t>
        </is>
      </c>
      <c r="L139" s="92" t="inlineStr">
        <is>
          <t>Duinwaard, Duinrand</t>
        </is>
      </c>
      <c r="M139" s="92" t="inlineStr">
        <is>
          <t>Opstal</t>
        </is>
      </c>
      <c r="N139" s="92" t="inlineStr">
        <is>
          <t>J</t>
        </is>
      </c>
      <c r="O139" s="92" t="inlineStr">
        <is>
          <t>Woningverkopen Q4</t>
        </is>
      </c>
      <c r="P139" s="109" t="n">
        <v>10</v>
      </c>
      <c r="Q139" s="92" t="inlineStr">
        <is>
          <t>aantal</t>
        </is>
      </c>
      <c r="R139" s="92" t="inlineStr">
        <is>
          <t>Synthetische snapshot; kwartalen zijn FY-verdeling, geen actuals</t>
        </is>
      </c>
      <c r="S139" s="15" t="str">
        <f>IF(J139="","",J139&amp;"|"&amp;E139&amp;"|"&amp;F139&amp;"|"&amp;I139&amp;"|"&amp;O139)</f>
        <v>G.900009.8.9090|2026|Budget|2026|Woningverkopen Q4</v>
      </c>
      <c r="T139" s="15">
        <f>IF(OR(S139="",D139&lt;&gt;"Vastgesteld"),"",_xlfn.MAXIFS($G$6:$G$5005,$S$6:$S$5005,S139,$D$6:$D$5005,"Vastgesteld"))</f>
        <v>0</v>
      </c>
      <c r="U139" s="15">
        <f>IF(T139="",0,IF(AND(G139=T139,COUNTIFS($S$6:S139,S139,$G$6:G139,G139,$D$6:D139,"Vastgesteld")=1),1,0))</f>
        <v>1</v>
      </c>
      <c r="V139" s="15">
        <f>IF(T139="",0,IF(AND(G139=T139,COUNTIFS($S$6:S139,S139,$G$6:G139,G139,$D$6:D139,"Vastgesteld")&gt;1),1,0))</f>
        <v>0</v>
      </c>
    </row>
    <row r="140">
      <c r="A140" s="92" t="inlineStr">
        <is>
          <t>HIST-2026-Budget</t>
        </is>
      </c>
      <c r="B140" s="92" t="inlineStr">
        <is>
          <t>RDFO_FICTIEVE_historie_en_mapping.xlsx</t>
        </is>
      </c>
      <c r="C140" s="108" t="n">
        <v>46324</v>
      </c>
      <c r="D140" s="92" t="inlineStr">
        <is>
          <t>Vastgesteld</t>
        </is>
      </c>
      <c r="E140" s="92" t="n">
        <v>2026</v>
      </c>
      <c r="F140" s="92" t="inlineStr">
        <is>
          <t>Budget</t>
        </is>
      </c>
      <c r="G140" s="92" t="n">
        <v>0</v>
      </c>
      <c r="H140" s="108" t="n">
        <v>46022</v>
      </c>
      <c r="I140" s="92" t="n">
        <v>2026</v>
      </c>
      <c r="J140" s="92" t="inlineStr">
        <is>
          <t>G.900010.8.9090</t>
        </is>
      </c>
      <c r="K140" s="92" t="inlineStr">
        <is>
          <t>G.900010</t>
        </is>
      </c>
      <c r="L140" s="92" t="inlineStr">
        <is>
          <t>Veldendam, Groene Singel</t>
        </is>
      </c>
      <c r="M140" s="92" t="inlineStr">
        <is>
          <t>Opstal</t>
        </is>
      </c>
      <c r="N140" s="92" t="inlineStr">
        <is>
          <t>J</t>
        </is>
      </c>
      <c r="O140" s="92" t="inlineStr">
        <is>
          <t>Woningverkopen FY</t>
        </is>
      </c>
      <c r="P140" s="109" t="n">
        <v>16</v>
      </c>
      <c r="Q140" s="92" t="inlineStr">
        <is>
          <t>aantal</t>
        </is>
      </c>
      <c r="R140" s="92" t="inlineStr">
        <is>
          <t>Synthetische snapshot; kwartalen zijn FY-verdeling, geen actuals</t>
        </is>
      </c>
      <c r="S140" s="15" t="str">
        <f>IF(J140="","",J140&amp;"|"&amp;E140&amp;"|"&amp;F140&amp;"|"&amp;I140&amp;"|"&amp;O140)</f>
        <v>G.900010.8.9090|2026|Budget|2026|Woningverkopen FY</v>
      </c>
      <c r="T140" s="15">
        <f>IF(OR(S140="",D140&lt;&gt;"Vastgesteld"),"",_xlfn.MAXIFS($G$6:$G$5005,$S$6:$S$5005,S140,$D$6:$D$5005,"Vastgesteld"))</f>
        <v>0</v>
      </c>
      <c r="U140" s="15">
        <f>IF(T140="",0,IF(AND(G140=T140,COUNTIFS($S$6:S140,S140,$G$6:G140,G140,$D$6:D140,"Vastgesteld")=1),1,0))</f>
        <v>1</v>
      </c>
      <c r="V140" s="15">
        <f>IF(T140="",0,IF(AND(G140=T140,COUNTIFS($S$6:S140,S140,$G$6:G140,G140,$D$6:D140,"Vastgesteld")&gt;1),1,0))</f>
        <v>0</v>
      </c>
    </row>
    <row r="141">
      <c r="A141" s="92" t="inlineStr">
        <is>
          <t>HIST-2026-Budget</t>
        </is>
      </c>
      <c r="B141" s="92" t="inlineStr">
        <is>
          <t>RDFO_FICTIEVE_historie_en_mapping.xlsx</t>
        </is>
      </c>
      <c r="C141" s="108" t="n">
        <v>46324</v>
      </c>
      <c r="D141" s="92" t="inlineStr">
        <is>
          <t>Vastgesteld</t>
        </is>
      </c>
      <c r="E141" s="92" t="n">
        <v>2026</v>
      </c>
      <c r="F141" s="92" t="inlineStr">
        <is>
          <t>Budget</t>
        </is>
      </c>
      <c r="G141" s="92" t="n">
        <v>0</v>
      </c>
      <c r="H141" s="108" t="n">
        <v>46022</v>
      </c>
      <c r="I141" s="92" t="n">
        <v>2026</v>
      </c>
      <c r="J141" s="92" t="inlineStr">
        <is>
          <t>G.900010.8.9090</t>
        </is>
      </c>
      <c r="K141" s="92" t="inlineStr">
        <is>
          <t>G.900010</t>
        </is>
      </c>
      <c r="L141" s="92" t="inlineStr">
        <is>
          <t>Veldendam, Groene Singel</t>
        </is>
      </c>
      <c r="M141" s="92" t="inlineStr">
        <is>
          <t>Opstal</t>
        </is>
      </c>
      <c r="N141" s="92" t="inlineStr">
        <is>
          <t>J</t>
        </is>
      </c>
      <c r="O141" s="92" t="inlineStr">
        <is>
          <t>Woningen verkocht t/m vorig jaar</t>
        </is>
      </c>
      <c r="P141" s="109" t="n">
        <v>0</v>
      </c>
      <c r="Q141" s="92" t="inlineStr">
        <is>
          <t>aantal</t>
        </is>
      </c>
      <c r="R141" s="92" t="inlineStr">
        <is>
          <t>Synthetische snapshot; kwartalen zijn FY-verdeling, geen actuals</t>
        </is>
      </c>
      <c r="S141" s="15" t="str">
        <f>IF(J141="","",J141&amp;"|"&amp;E141&amp;"|"&amp;F141&amp;"|"&amp;I141&amp;"|"&amp;O141)</f>
        <v>G.900010.8.9090|2026|Budget|2026|Woningen verkocht t/m vorig jaar</v>
      </c>
      <c r="T141" s="15">
        <f>IF(OR(S141="",D141&lt;&gt;"Vastgesteld"),"",_xlfn.MAXIFS($G$6:$G$5005,$S$6:$S$5005,S141,$D$6:$D$5005,"Vastgesteld"))</f>
        <v>0</v>
      </c>
      <c r="U141" s="15">
        <f>IF(T141="",0,IF(AND(G141=T141,COUNTIFS($S$6:S141,S141,$G$6:G141,G141,$D$6:D141,"Vastgesteld")=1),1,0))</f>
        <v>1</v>
      </c>
      <c r="V141" s="15">
        <f>IF(T141="",0,IF(AND(G141=T141,COUNTIFS($S$6:S141,S141,$G$6:G141,G141,$D$6:D141,"Vastgesteld")&gt;1),1,0))</f>
        <v>0</v>
      </c>
    </row>
    <row r="142">
      <c r="A142" s="92" t="inlineStr">
        <is>
          <t>HIST-2026-Budget</t>
        </is>
      </c>
      <c r="B142" s="92" t="inlineStr">
        <is>
          <t>RDFO_FICTIEVE_historie_en_mapping.xlsx</t>
        </is>
      </c>
      <c r="C142" s="108" t="n">
        <v>46324</v>
      </c>
      <c r="D142" s="92" t="inlineStr">
        <is>
          <t>Vastgesteld</t>
        </is>
      </c>
      <c r="E142" s="92" t="n">
        <v>2026</v>
      </c>
      <c r="F142" s="92" t="inlineStr">
        <is>
          <t>Budget</t>
        </is>
      </c>
      <c r="G142" s="92" t="n">
        <v>0</v>
      </c>
      <c r="H142" s="108" t="n">
        <v>46022</v>
      </c>
      <c r="I142" s="92" t="n">
        <v>2026</v>
      </c>
      <c r="J142" s="92" t="inlineStr">
        <is>
          <t>G.900010.8.9090</t>
        </is>
      </c>
      <c r="K142" s="92" t="inlineStr">
        <is>
          <t>G.900010</t>
        </is>
      </c>
      <c r="L142" s="92" t="inlineStr">
        <is>
          <t>Veldendam, Groene Singel</t>
        </is>
      </c>
      <c r="M142" s="92" t="inlineStr">
        <is>
          <t>Opstal</t>
        </is>
      </c>
      <c r="N142" s="92" t="inlineStr">
        <is>
          <t>J</t>
        </is>
      </c>
      <c r="O142" s="92" t="inlineStr">
        <is>
          <t>Woningverkopen Q1</t>
        </is>
      </c>
      <c r="P142" s="109" t="n">
        <v>3</v>
      </c>
      <c r="Q142" s="92" t="inlineStr">
        <is>
          <t>aantal</t>
        </is>
      </c>
      <c r="R142" s="92" t="inlineStr">
        <is>
          <t>Synthetische snapshot; kwartalen zijn FY-verdeling, geen actuals</t>
        </is>
      </c>
      <c r="S142" s="15" t="str">
        <f>IF(J142="","",J142&amp;"|"&amp;E142&amp;"|"&amp;F142&amp;"|"&amp;I142&amp;"|"&amp;O142)</f>
        <v>G.900010.8.9090|2026|Budget|2026|Woningverkopen Q1</v>
      </c>
      <c r="T142" s="15">
        <f>IF(OR(S142="",D142&lt;&gt;"Vastgesteld"),"",_xlfn.MAXIFS($G$6:$G$5005,$S$6:$S$5005,S142,$D$6:$D$5005,"Vastgesteld"))</f>
        <v>0</v>
      </c>
      <c r="U142" s="15">
        <f>IF(T142="",0,IF(AND(G142=T142,COUNTIFS($S$6:S142,S142,$G$6:G142,G142,$D$6:D142,"Vastgesteld")=1),1,0))</f>
        <v>1</v>
      </c>
      <c r="V142" s="15">
        <f>IF(T142="",0,IF(AND(G142=T142,COUNTIFS($S$6:S142,S142,$G$6:G142,G142,$D$6:D142,"Vastgesteld")&gt;1),1,0))</f>
        <v>0</v>
      </c>
    </row>
    <row r="143">
      <c r="A143" s="92" t="inlineStr">
        <is>
          <t>HIST-2026-Budget</t>
        </is>
      </c>
      <c r="B143" s="92" t="inlineStr">
        <is>
          <t>RDFO_FICTIEVE_historie_en_mapping.xlsx</t>
        </is>
      </c>
      <c r="C143" s="108" t="n">
        <v>46324</v>
      </c>
      <c r="D143" s="92" t="inlineStr">
        <is>
          <t>Vastgesteld</t>
        </is>
      </c>
      <c r="E143" s="92" t="n">
        <v>2026</v>
      </c>
      <c r="F143" s="92" t="inlineStr">
        <is>
          <t>Budget</t>
        </is>
      </c>
      <c r="G143" s="92" t="n">
        <v>0</v>
      </c>
      <c r="H143" s="108" t="n">
        <v>46022</v>
      </c>
      <c r="I143" s="92" t="n">
        <v>2026</v>
      </c>
      <c r="J143" s="92" t="inlineStr">
        <is>
          <t>G.900010.8.9090</t>
        </is>
      </c>
      <c r="K143" s="92" t="inlineStr">
        <is>
          <t>G.900010</t>
        </is>
      </c>
      <c r="L143" s="92" t="inlineStr">
        <is>
          <t>Veldendam, Groene Singel</t>
        </is>
      </c>
      <c r="M143" s="92" t="inlineStr">
        <is>
          <t>Opstal</t>
        </is>
      </c>
      <c r="N143" s="92" t="inlineStr">
        <is>
          <t>J</t>
        </is>
      </c>
      <c r="O143" s="92" t="inlineStr">
        <is>
          <t>Woningverkopen Q2</t>
        </is>
      </c>
      <c r="P143" s="109" t="n">
        <v>4</v>
      </c>
      <c r="Q143" s="92" t="inlineStr">
        <is>
          <t>aantal</t>
        </is>
      </c>
      <c r="R143" s="92" t="inlineStr">
        <is>
          <t>Synthetische snapshot; kwartalen zijn FY-verdeling, geen actuals</t>
        </is>
      </c>
      <c r="S143" s="15" t="str">
        <f>IF(J143="","",J143&amp;"|"&amp;E143&amp;"|"&amp;F143&amp;"|"&amp;I143&amp;"|"&amp;O143)</f>
        <v>G.900010.8.9090|2026|Budget|2026|Woningverkopen Q2</v>
      </c>
      <c r="T143" s="15">
        <f>IF(OR(S143="",D143&lt;&gt;"Vastgesteld"),"",_xlfn.MAXIFS($G$6:$G$5005,$S$6:$S$5005,S143,$D$6:$D$5005,"Vastgesteld"))</f>
        <v>0</v>
      </c>
      <c r="U143" s="15">
        <f>IF(T143="",0,IF(AND(G143=T143,COUNTIFS($S$6:S143,S143,$G$6:G143,G143,$D$6:D143,"Vastgesteld")=1),1,0))</f>
        <v>1</v>
      </c>
      <c r="V143" s="15">
        <f>IF(T143="",0,IF(AND(G143=T143,COUNTIFS($S$6:S143,S143,$G$6:G143,G143,$D$6:D143,"Vastgesteld")&gt;1),1,0))</f>
        <v>0</v>
      </c>
    </row>
    <row r="144">
      <c r="A144" s="92" t="inlineStr">
        <is>
          <t>HIST-2026-Budget</t>
        </is>
      </c>
      <c r="B144" s="92" t="inlineStr">
        <is>
          <t>RDFO_FICTIEVE_historie_en_mapping.xlsx</t>
        </is>
      </c>
      <c r="C144" s="108" t="n">
        <v>46324</v>
      </c>
      <c r="D144" s="92" t="inlineStr">
        <is>
          <t>Vastgesteld</t>
        </is>
      </c>
      <c r="E144" s="92" t="n">
        <v>2026</v>
      </c>
      <c r="F144" s="92" t="inlineStr">
        <is>
          <t>Budget</t>
        </is>
      </c>
      <c r="G144" s="92" t="n">
        <v>0</v>
      </c>
      <c r="H144" s="108" t="n">
        <v>46022</v>
      </c>
      <c r="I144" s="92" t="n">
        <v>2026</v>
      </c>
      <c r="J144" s="92" t="inlineStr">
        <is>
          <t>G.900010.8.9090</t>
        </is>
      </c>
      <c r="K144" s="92" t="inlineStr">
        <is>
          <t>G.900010</t>
        </is>
      </c>
      <c r="L144" s="92" t="inlineStr">
        <is>
          <t>Veldendam, Groene Singel</t>
        </is>
      </c>
      <c r="M144" s="92" t="inlineStr">
        <is>
          <t>Opstal</t>
        </is>
      </c>
      <c r="N144" s="92" t="inlineStr">
        <is>
          <t>J</t>
        </is>
      </c>
      <c r="O144" s="92" t="inlineStr">
        <is>
          <t>Woningverkopen Q3</t>
        </is>
      </c>
      <c r="P144" s="109" t="n">
        <v>4</v>
      </c>
      <c r="Q144" s="92" t="inlineStr">
        <is>
          <t>aantal</t>
        </is>
      </c>
      <c r="R144" s="92" t="inlineStr">
        <is>
          <t>Synthetische snapshot; kwartalen zijn FY-verdeling, geen actuals</t>
        </is>
      </c>
      <c r="S144" s="15" t="str">
        <f>IF(J144="","",J144&amp;"|"&amp;E144&amp;"|"&amp;F144&amp;"|"&amp;I144&amp;"|"&amp;O144)</f>
        <v>G.900010.8.9090|2026|Budget|2026|Woningverkopen Q3</v>
      </c>
      <c r="T144" s="15">
        <f>IF(OR(S144="",D144&lt;&gt;"Vastgesteld"),"",_xlfn.MAXIFS($G$6:$G$5005,$S$6:$S$5005,S144,$D$6:$D$5005,"Vastgesteld"))</f>
        <v>0</v>
      </c>
      <c r="U144" s="15">
        <f>IF(T144="",0,IF(AND(G144=T144,COUNTIFS($S$6:S144,S144,$G$6:G144,G144,$D$6:D144,"Vastgesteld")=1),1,0))</f>
        <v>1</v>
      </c>
      <c r="V144" s="15">
        <f>IF(T144="",0,IF(AND(G144=T144,COUNTIFS($S$6:S144,S144,$G$6:G144,G144,$D$6:D144,"Vastgesteld")&gt;1),1,0))</f>
        <v>0</v>
      </c>
    </row>
    <row r="145">
      <c r="A145" s="92" t="inlineStr">
        <is>
          <t>HIST-2026-Budget</t>
        </is>
      </c>
      <c r="B145" s="92" t="inlineStr">
        <is>
          <t>RDFO_FICTIEVE_historie_en_mapping.xlsx</t>
        </is>
      </c>
      <c r="C145" s="108" t="n">
        <v>46324</v>
      </c>
      <c r="D145" s="92" t="inlineStr">
        <is>
          <t>Vastgesteld</t>
        </is>
      </c>
      <c r="E145" s="92" t="n">
        <v>2026</v>
      </c>
      <c r="F145" s="92" t="inlineStr">
        <is>
          <t>Budget</t>
        </is>
      </c>
      <c r="G145" s="92" t="n">
        <v>0</v>
      </c>
      <c r="H145" s="108" t="n">
        <v>46022</v>
      </c>
      <c r="I145" s="92" t="n">
        <v>2026</v>
      </c>
      <c r="J145" s="92" t="inlineStr">
        <is>
          <t>G.900010.8.9090</t>
        </is>
      </c>
      <c r="K145" s="92" t="inlineStr">
        <is>
          <t>G.900010</t>
        </is>
      </c>
      <c r="L145" s="92" t="inlineStr">
        <is>
          <t>Veldendam, Groene Singel</t>
        </is>
      </c>
      <c r="M145" s="92" t="inlineStr">
        <is>
          <t>Opstal</t>
        </is>
      </c>
      <c r="N145" s="92" t="inlineStr">
        <is>
          <t>J</t>
        </is>
      </c>
      <c r="O145" s="92" t="inlineStr">
        <is>
          <t>Woningverkopen Q4</t>
        </is>
      </c>
      <c r="P145" s="109" t="n">
        <v>5</v>
      </c>
      <c r="Q145" s="92" t="inlineStr">
        <is>
          <t>aantal</t>
        </is>
      </c>
      <c r="R145" s="92" t="inlineStr">
        <is>
          <t>Synthetische snapshot; kwartalen zijn FY-verdeling, geen actuals</t>
        </is>
      </c>
      <c r="S145" s="15" t="str">
        <f>IF(J145="","",J145&amp;"|"&amp;E145&amp;"|"&amp;F145&amp;"|"&amp;I145&amp;"|"&amp;O145)</f>
        <v>G.900010.8.9090|2026|Budget|2026|Woningverkopen Q4</v>
      </c>
      <c r="T145" s="15">
        <f>IF(OR(S145="",D145&lt;&gt;"Vastgesteld"),"",_xlfn.MAXIFS($G$6:$G$5005,$S$6:$S$5005,S145,$D$6:$D$5005,"Vastgesteld"))</f>
        <v>0</v>
      </c>
      <c r="U145" s="15">
        <f>IF(T145="",0,IF(AND(G145=T145,COUNTIFS($S$6:S145,S145,$G$6:G145,G145,$D$6:D145,"Vastgesteld")=1),1,0))</f>
        <v>1</v>
      </c>
      <c r="V145" s="15">
        <f>IF(T145="",0,IF(AND(G145=T145,COUNTIFS($S$6:S145,S145,$G$6:G145,G145,$D$6:D145,"Vastgesteld")&gt;1),1,0))</f>
        <v>0</v>
      </c>
    </row>
    <row r="146">
      <c r="A146" s="92" t="inlineStr">
        <is>
          <t>HIST-2026-Budget</t>
        </is>
      </c>
      <c r="B146" s="92" t="inlineStr">
        <is>
          <t>RDFO_FICTIEVE_historie_en_mapping.xlsx</t>
        </is>
      </c>
      <c r="C146" s="108" t="n">
        <v>46324</v>
      </c>
      <c r="D146" s="92" t="inlineStr">
        <is>
          <t>Vastgesteld</t>
        </is>
      </c>
      <c r="E146" s="92" t="n">
        <v>2026</v>
      </c>
      <c r="F146" s="92" t="inlineStr">
        <is>
          <t>Budget</t>
        </is>
      </c>
      <c r="G146" s="92" t="n">
        <v>0</v>
      </c>
      <c r="H146" s="108" t="n">
        <v>46022</v>
      </c>
      <c r="I146" s="92" t="n">
        <v>2026</v>
      </c>
      <c r="J146" s="92" t="inlineStr">
        <is>
          <t>G.900011.8.9090</t>
        </is>
      </c>
      <c r="K146" s="92" t="inlineStr">
        <is>
          <t>G.900011</t>
        </is>
      </c>
      <c r="L146" s="92" t="inlineStr">
        <is>
          <t>Meerhovenstad, Hofstaete</t>
        </is>
      </c>
      <c r="M146" s="92" t="inlineStr">
        <is>
          <t>Opstal</t>
        </is>
      </c>
      <c r="N146" s="92" t="inlineStr">
        <is>
          <t>J</t>
        </is>
      </c>
      <c r="O146" s="92" t="inlineStr">
        <is>
          <t>Woningverkopen FY</t>
        </is>
      </c>
      <c r="P146" s="109" t="n">
        <v>35</v>
      </c>
      <c r="Q146" s="92" t="inlineStr">
        <is>
          <t>aantal</t>
        </is>
      </c>
      <c r="R146" s="92" t="inlineStr">
        <is>
          <t>Synthetische snapshot; kwartalen zijn FY-verdeling, geen actuals</t>
        </is>
      </c>
      <c r="S146" s="15" t="str">
        <f>IF(J146="","",J146&amp;"|"&amp;E146&amp;"|"&amp;F146&amp;"|"&amp;I146&amp;"|"&amp;O146)</f>
        <v>G.900011.8.9090|2026|Budget|2026|Woningverkopen FY</v>
      </c>
      <c r="T146" s="15">
        <f>IF(OR(S146="",D146&lt;&gt;"Vastgesteld"),"",_xlfn.MAXIFS($G$6:$G$5005,$S$6:$S$5005,S146,$D$6:$D$5005,"Vastgesteld"))</f>
        <v>0</v>
      </c>
      <c r="U146" s="15">
        <f>IF(T146="",0,IF(AND(G146=T146,COUNTIFS($S$6:S146,S146,$G$6:G146,G146,$D$6:D146,"Vastgesteld")=1),1,0))</f>
        <v>1</v>
      </c>
      <c r="V146" s="15">
        <f>IF(T146="",0,IF(AND(G146=T146,COUNTIFS($S$6:S146,S146,$G$6:G146,G146,$D$6:D146,"Vastgesteld")&gt;1),1,0))</f>
        <v>0</v>
      </c>
    </row>
    <row r="147">
      <c r="A147" s="92" t="inlineStr">
        <is>
          <t>HIST-2026-Budget</t>
        </is>
      </c>
      <c r="B147" s="92" t="inlineStr">
        <is>
          <t>RDFO_FICTIEVE_historie_en_mapping.xlsx</t>
        </is>
      </c>
      <c r="C147" s="108" t="n">
        <v>46324</v>
      </c>
      <c r="D147" s="92" t="inlineStr">
        <is>
          <t>Vastgesteld</t>
        </is>
      </c>
      <c r="E147" s="92" t="n">
        <v>2026</v>
      </c>
      <c r="F147" s="92" t="inlineStr">
        <is>
          <t>Budget</t>
        </is>
      </c>
      <c r="G147" s="92" t="n">
        <v>0</v>
      </c>
      <c r="H147" s="108" t="n">
        <v>46022</v>
      </c>
      <c r="I147" s="92" t="n">
        <v>2026</v>
      </c>
      <c r="J147" s="92" t="inlineStr">
        <is>
          <t>G.900011.8.9090</t>
        </is>
      </c>
      <c r="K147" s="92" t="inlineStr">
        <is>
          <t>G.900011</t>
        </is>
      </c>
      <c r="L147" s="92" t="inlineStr">
        <is>
          <t>Meerhovenstad, Hofstaete</t>
        </is>
      </c>
      <c r="M147" s="92" t="inlineStr">
        <is>
          <t>Opstal</t>
        </is>
      </c>
      <c r="N147" s="92" t="inlineStr">
        <is>
          <t>J</t>
        </is>
      </c>
      <c r="O147" s="92" t="inlineStr">
        <is>
          <t>Woningen verkocht t/m vorig jaar</t>
        </is>
      </c>
      <c r="P147" s="109" t="n">
        <v>0</v>
      </c>
      <c r="Q147" s="92" t="inlineStr">
        <is>
          <t>aantal</t>
        </is>
      </c>
      <c r="R147" s="92" t="inlineStr">
        <is>
          <t>Synthetische snapshot; kwartalen zijn FY-verdeling, geen actuals</t>
        </is>
      </c>
      <c r="S147" s="15" t="str">
        <f>IF(J147="","",J147&amp;"|"&amp;E147&amp;"|"&amp;F147&amp;"|"&amp;I147&amp;"|"&amp;O147)</f>
        <v>G.900011.8.9090|2026|Budget|2026|Woningen verkocht t/m vorig jaar</v>
      </c>
      <c r="T147" s="15">
        <f>IF(OR(S147="",D147&lt;&gt;"Vastgesteld"),"",_xlfn.MAXIFS($G$6:$G$5005,$S$6:$S$5005,S147,$D$6:$D$5005,"Vastgesteld"))</f>
        <v>0</v>
      </c>
      <c r="U147" s="15">
        <f>IF(T147="",0,IF(AND(G147=T147,COUNTIFS($S$6:S147,S147,$G$6:G147,G147,$D$6:D147,"Vastgesteld")=1),1,0))</f>
        <v>1</v>
      </c>
      <c r="V147" s="15">
        <f>IF(T147="",0,IF(AND(G147=T147,COUNTIFS($S$6:S147,S147,$G$6:G147,G147,$D$6:D147,"Vastgesteld")&gt;1),1,0))</f>
        <v>0</v>
      </c>
    </row>
    <row r="148">
      <c r="A148" s="92" t="inlineStr">
        <is>
          <t>HIST-2026-Budget</t>
        </is>
      </c>
      <c r="B148" s="92" t="inlineStr">
        <is>
          <t>RDFO_FICTIEVE_historie_en_mapping.xlsx</t>
        </is>
      </c>
      <c r="C148" s="108" t="n">
        <v>46324</v>
      </c>
      <c r="D148" s="92" t="inlineStr">
        <is>
          <t>Vastgesteld</t>
        </is>
      </c>
      <c r="E148" s="92" t="n">
        <v>2026</v>
      </c>
      <c r="F148" s="92" t="inlineStr">
        <is>
          <t>Budget</t>
        </is>
      </c>
      <c r="G148" s="92" t="n">
        <v>0</v>
      </c>
      <c r="H148" s="108" t="n">
        <v>46022</v>
      </c>
      <c r="I148" s="92" t="n">
        <v>2026</v>
      </c>
      <c r="J148" s="92" t="inlineStr">
        <is>
          <t>G.900011.8.9090</t>
        </is>
      </c>
      <c r="K148" s="92" t="inlineStr">
        <is>
          <t>G.900011</t>
        </is>
      </c>
      <c r="L148" s="92" t="inlineStr">
        <is>
          <t>Meerhovenstad, Hofstaete</t>
        </is>
      </c>
      <c r="M148" s="92" t="inlineStr">
        <is>
          <t>Opstal</t>
        </is>
      </c>
      <c r="N148" s="92" t="inlineStr">
        <is>
          <t>J</t>
        </is>
      </c>
      <c r="O148" s="92" t="inlineStr">
        <is>
          <t>Woningverkopen Q1</t>
        </is>
      </c>
      <c r="P148" s="109" t="n">
        <v>7</v>
      </c>
      <c r="Q148" s="92" t="inlineStr">
        <is>
          <t>aantal</t>
        </is>
      </c>
      <c r="R148" s="92" t="inlineStr">
        <is>
          <t>Synthetische snapshot; kwartalen zijn FY-verdeling, geen actuals</t>
        </is>
      </c>
      <c r="S148" s="15" t="str">
        <f>IF(J148="","",J148&amp;"|"&amp;E148&amp;"|"&amp;F148&amp;"|"&amp;I148&amp;"|"&amp;O148)</f>
        <v>G.900011.8.9090|2026|Budget|2026|Woningverkopen Q1</v>
      </c>
      <c r="T148" s="15">
        <f>IF(OR(S148="",D148&lt;&gt;"Vastgesteld"),"",_xlfn.MAXIFS($G$6:$G$5005,$S$6:$S$5005,S148,$D$6:$D$5005,"Vastgesteld"))</f>
        <v>0</v>
      </c>
      <c r="U148" s="15">
        <f>IF(T148="",0,IF(AND(G148=T148,COUNTIFS($S$6:S148,S148,$G$6:G148,G148,$D$6:D148,"Vastgesteld")=1),1,0))</f>
        <v>1</v>
      </c>
      <c r="V148" s="15">
        <f>IF(T148="",0,IF(AND(G148=T148,COUNTIFS($S$6:S148,S148,$G$6:G148,G148,$D$6:D148,"Vastgesteld")&gt;1),1,0))</f>
        <v>0</v>
      </c>
    </row>
    <row r="149">
      <c r="A149" s="92" t="inlineStr">
        <is>
          <t>HIST-2026-Budget</t>
        </is>
      </c>
      <c r="B149" s="92" t="inlineStr">
        <is>
          <t>RDFO_FICTIEVE_historie_en_mapping.xlsx</t>
        </is>
      </c>
      <c r="C149" s="108" t="n">
        <v>46324</v>
      </c>
      <c r="D149" s="92" t="inlineStr">
        <is>
          <t>Vastgesteld</t>
        </is>
      </c>
      <c r="E149" s="92" t="n">
        <v>2026</v>
      </c>
      <c r="F149" s="92" t="inlineStr">
        <is>
          <t>Budget</t>
        </is>
      </c>
      <c r="G149" s="92" t="n">
        <v>0</v>
      </c>
      <c r="H149" s="108" t="n">
        <v>46022</v>
      </c>
      <c r="I149" s="92" t="n">
        <v>2026</v>
      </c>
      <c r="J149" s="92" t="inlineStr">
        <is>
          <t>G.900011.8.9090</t>
        </is>
      </c>
      <c r="K149" s="92" t="inlineStr">
        <is>
          <t>G.900011</t>
        </is>
      </c>
      <c r="L149" s="92" t="inlineStr">
        <is>
          <t>Meerhovenstad, Hofstaete</t>
        </is>
      </c>
      <c r="M149" s="92" t="inlineStr">
        <is>
          <t>Opstal</t>
        </is>
      </c>
      <c r="N149" s="92" t="inlineStr">
        <is>
          <t>J</t>
        </is>
      </c>
      <c r="O149" s="92" t="inlineStr">
        <is>
          <t>Woningverkopen Q2</t>
        </is>
      </c>
      <c r="P149" s="109" t="n">
        <v>8</v>
      </c>
      <c r="Q149" s="92" t="inlineStr">
        <is>
          <t>aantal</t>
        </is>
      </c>
      <c r="R149" s="92" t="inlineStr">
        <is>
          <t>Synthetische snapshot; kwartalen zijn FY-verdeling, geen actuals</t>
        </is>
      </c>
      <c r="S149" s="15" t="str">
        <f>IF(J149="","",J149&amp;"|"&amp;E149&amp;"|"&amp;F149&amp;"|"&amp;I149&amp;"|"&amp;O149)</f>
        <v>G.900011.8.9090|2026|Budget|2026|Woningverkopen Q2</v>
      </c>
      <c r="T149" s="15">
        <f>IF(OR(S149="",D149&lt;&gt;"Vastgesteld"),"",_xlfn.MAXIFS($G$6:$G$5005,$S$6:$S$5005,S149,$D$6:$D$5005,"Vastgesteld"))</f>
        <v>0</v>
      </c>
      <c r="U149" s="15">
        <f>IF(T149="",0,IF(AND(G149=T149,COUNTIFS($S$6:S149,S149,$G$6:G149,G149,$D$6:D149,"Vastgesteld")=1),1,0))</f>
        <v>1</v>
      </c>
      <c r="V149" s="15">
        <f>IF(T149="",0,IF(AND(G149=T149,COUNTIFS($S$6:S149,S149,$G$6:G149,G149,$D$6:D149,"Vastgesteld")&gt;1),1,0))</f>
        <v>0</v>
      </c>
    </row>
    <row r="150">
      <c r="A150" s="92" t="inlineStr">
        <is>
          <t>HIST-2026-Budget</t>
        </is>
      </c>
      <c r="B150" s="92" t="inlineStr">
        <is>
          <t>RDFO_FICTIEVE_historie_en_mapping.xlsx</t>
        </is>
      </c>
      <c r="C150" s="108" t="n">
        <v>46324</v>
      </c>
      <c r="D150" s="92" t="inlineStr">
        <is>
          <t>Vastgesteld</t>
        </is>
      </c>
      <c r="E150" s="92" t="n">
        <v>2026</v>
      </c>
      <c r="F150" s="92" t="inlineStr">
        <is>
          <t>Budget</t>
        </is>
      </c>
      <c r="G150" s="92" t="n">
        <v>0</v>
      </c>
      <c r="H150" s="108" t="n">
        <v>46022</v>
      </c>
      <c r="I150" s="92" t="n">
        <v>2026</v>
      </c>
      <c r="J150" s="92" t="inlineStr">
        <is>
          <t>G.900011.8.9090</t>
        </is>
      </c>
      <c r="K150" s="92" t="inlineStr">
        <is>
          <t>G.900011</t>
        </is>
      </c>
      <c r="L150" s="92" t="inlineStr">
        <is>
          <t>Meerhovenstad, Hofstaete</t>
        </is>
      </c>
      <c r="M150" s="92" t="inlineStr">
        <is>
          <t>Opstal</t>
        </is>
      </c>
      <c r="N150" s="92" t="inlineStr">
        <is>
          <t>J</t>
        </is>
      </c>
      <c r="O150" s="92" t="inlineStr">
        <is>
          <t>Woningverkopen Q3</t>
        </is>
      </c>
      <c r="P150" s="109" t="n">
        <v>8</v>
      </c>
      <c r="Q150" s="92" t="inlineStr">
        <is>
          <t>aantal</t>
        </is>
      </c>
      <c r="R150" s="92" t="inlineStr">
        <is>
          <t>Synthetische snapshot; kwartalen zijn FY-verdeling, geen actuals</t>
        </is>
      </c>
      <c r="S150" s="15" t="str">
        <f>IF(J150="","",J150&amp;"|"&amp;E150&amp;"|"&amp;F150&amp;"|"&amp;I150&amp;"|"&amp;O150)</f>
        <v>G.900011.8.9090|2026|Budget|2026|Woningverkopen Q3</v>
      </c>
      <c r="T150" s="15">
        <f>IF(OR(S150="",D150&lt;&gt;"Vastgesteld"),"",_xlfn.MAXIFS($G$6:$G$5005,$S$6:$S$5005,S150,$D$6:$D$5005,"Vastgesteld"))</f>
        <v>0</v>
      </c>
      <c r="U150" s="15">
        <f>IF(T150="",0,IF(AND(G150=T150,COUNTIFS($S$6:S150,S150,$G$6:G150,G150,$D$6:D150,"Vastgesteld")=1),1,0))</f>
        <v>1</v>
      </c>
      <c r="V150" s="15">
        <f>IF(T150="",0,IF(AND(G150=T150,COUNTIFS($S$6:S150,S150,$G$6:G150,G150,$D$6:D150,"Vastgesteld")&gt;1),1,0))</f>
        <v>0</v>
      </c>
    </row>
    <row r="151">
      <c r="A151" s="92" t="inlineStr">
        <is>
          <t>HIST-2026-Budget</t>
        </is>
      </c>
      <c r="B151" s="92" t="inlineStr">
        <is>
          <t>RDFO_FICTIEVE_historie_en_mapping.xlsx</t>
        </is>
      </c>
      <c r="C151" s="108" t="n">
        <v>46324</v>
      </c>
      <c r="D151" s="92" t="inlineStr">
        <is>
          <t>Vastgesteld</t>
        </is>
      </c>
      <c r="E151" s="92" t="n">
        <v>2026</v>
      </c>
      <c r="F151" s="92" t="inlineStr">
        <is>
          <t>Budget</t>
        </is>
      </c>
      <c r="G151" s="92" t="n">
        <v>0</v>
      </c>
      <c r="H151" s="108" t="n">
        <v>46022</v>
      </c>
      <c r="I151" s="92" t="n">
        <v>2026</v>
      </c>
      <c r="J151" s="92" t="inlineStr">
        <is>
          <t>G.900011.8.9090</t>
        </is>
      </c>
      <c r="K151" s="92" t="inlineStr">
        <is>
          <t>G.900011</t>
        </is>
      </c>
      <c r="L151" s="92" t="inlineStr">
        <is>
          <t>Meerhovenstad, Hofstaete</t>
        </is>
      </c>
      <c r="M151" s="92" t="inlineStr">
        <is>
          <t>Opstal</t>
        </is>
      </c>
      <c r="N151" s="92" t="inlineStr">
        <is>
          <t>J</t>
        </is>
      </c>
      <c r="O151" s="92" t="inlineStr">
        <is>
          <t>Woningverkopen Q4</t>
        </is>
      </c>
      <c r="P151" s="109" t="n">
        <v>12</v>
      </c>
      <c r="Q151" s="92" t="inlineStr">
        <is>
          <t>aantal</t>
        </is>
      </c>
      <c r="R151" s="92" t="inlineStr">
        <is>
          <t>Synthetische snapshot; kwartalen zijn FY-verdeling, geen actuals</t>
        </is>
      </c>
      <c r="S151" s="15" t="str">
        <f>IF(J151="","",J151&amp;"|"&amp;E151&amp;"|"&amp;F151&amp;"|"&amp;I151&amp;"|"&amp;O151)</f>
        <v>G.900011.8.9090|2026|Budget|2026|Woningverkopen Q4</v>
      </c>
      <c r="T151" s="15">
        <f>IF(OR(S151="",D151&lt;&gt;"Vastgesteld"),"",_xlfn.MAXIFS($G$6:$G$5005,$S$6:$S$5005,S151,$D$6:$D$5005,"Vastgesteld"))</f>
        <v>0</v>
      </c>
      <c r="U151" s="15">
        <f>IF(T151="",0,IF(AND(G151=T151,COUNTIFS($S$6:S151,S151,$G$6:G151,G151,$D$6:D151,"Vastgesteld")=1),1,0))</f>
        <v>1</v>
      </c>
      <c r="V151" s="15">
        <f>IF(T151="",0,IF(AND(G151=T151,COUNTIFS($S$6:S151,S151,$G$6:G151,G151,$D$6:D151,"Vastgesteld")&gt;1),1,0))</f>
        <v>0</v>
      </c>
    </row>
    <row r="152">
      <c r="A152" s="92" t="inlineStr">
        <is>
          <t>HIST-2026-Budget</t>
        </is>
      </c>
      <c r="B152" s="92" t="inlineStr">
        <is>
          <t>RDFO_FICTIEVE_historie_en_mapping.xlsx</t>
        </is>
      </c>
      <c r="C152" s="108" t="n">
        <v>46324</v>
      </c>
      <c r="D152" s="92" t="inlineStr">
        <is>
          <t>Vastgesteld</t>
        </is>
      </c>
      <c r="E152" s="92" t="n">
        <v>2026</v>
      </c>
      <c r="F152" s="92" t="inlineStr">
        <is>
          <t>Budget</t>
        </is>
      </c>
      <c r="G152" s="92" t="n">
        <v>0</v>
      </c>
      <c r="H152" s="108" t="n">
        <v>46022</v>
      </c>
      <c r="I152" s="92" t="n">
        <v>2026</v>
      </c>
      <c r="J152" s="92" t="inlineStr">
        <is>
          <t>G.900012.8.9090</t>
        </is>
      </c>
      <c r="K152" s="92" t="inlineStr">
        <is>
          <t>G.900012</t>
        </is>
      </c>
      <c r="L152" s="92" t="inlineStr">
        <is>
          <t>Zilverdam, De Werf</t>
        </is>
      </c>
      <c r="M152" s="92" t="inlineStr">
        <is>
          <t>Deelneming</t>
        </is>
      </c>
      <c r="N152" s="92" t="inlineStr">
        <is>
          <t>N</t>
        </is>
      </c>
      <c r="O152" s="92" t="inlineStr">
        <is>
          <t>Woningverkopen FY</t>
        </is>
      </c>
      <c r="P152" s="109" t="n">
        <v>8</v>
      </c>
      <c r="Q152" s="92" t="inlineStr">
        <is>
          <t>aantal</t>
        </is>
      </c>
      <c r="R152" s="92" t="inlineStr">
        <is>
          <t>Synthetische snapshot; kwartalen zijn FY-verdeling, geen actuals</t>
        </is>
      </c>
      <c r="S152" s="15" t="str">
        <f>IF(J152="","",J152&amp;"|"&amp;E152&amp;"|"&amp;F152&amp;"|"&amp;I152&amp;"|"&amp;O152)</f>
        <v>G.900012.8.9090|2026|Budget|2026|Woningverkopen FY</v>
      </c>
      <c r="T152" s="15">
        <f>IF(OR(S152="",D152&lt;&gt;"Vastgesteld"),"",_xlfn.MAXIFS($G$6:$G$5005,$S$6:$S$5005,S152,$D$6:$D$5005,"Vastgesteld"))</f>
        <v>0</v>
      </c>
      <c r="U152" s="15">
        <f>IF(T152="",0,IF(AND(G152=T152,COUNTIFS($S$6:S152,S152,$G$6:G152,G152,$D$6:D152,"Vastgesteld")=1),1,0))</f>
        <v>1</v>
      </c>
      <c r="V152" s="15">
        <f>IF(T152="",0,IF(AND(G152=T152,COUNTIFS($S$6:S152,S152,$G$6:G152,G152,$D$6:D152,"Vastgesteld")&gt;1),1,0))</f>
        <v>0</v>
      </c>
    </row>
    <row r="153">
      <c r="A153" s="92" t="inlineStr">
        <is>
          <t>HIST-2026-Budget</t>
        </is>
      </c>
      <c r="B153" s="92" t="inlineStr">
        <is>
          <t>RDFO_FICTIEVE_historie_en_mapping.xlsx</t>
        </is>
      </c>
      <c r="C153" s="108" t="n">
        <v>46324</v>
      </c>
      <c r="D153" s="92" t="inlineStr">
        <is>
          <t>Vastgesteld</t>
        </is>
      </c>
      <c r="E153" s="92" t="n">
        <v>2026</v>
      </c>
      <c r="F153" s="92" t="inlineStr">
        <is>
          <t>Budget</t>
        </is>
      </c>
      <c r="G153" s="92" t="n">
        <v>0</v>
      </c>
      <c r="H153" s="108" t="n">
        <v>46022</v>
      </c>
      <c r="I153" s="92" t="n">
        <v>2026</v>
      </c>
      <c r="J153" s="92" t="inlineStr">
        <is>
          <t>G.900012.8.9090</t>
        </is>
      </c>
      <c r="K153" s="92" t="inlineStr">
        <is>
          <t>G.900012</t>
        </is>
      </c>
      <c r="L153" s="92" t="inlineStr">
        <is>
          <t>Zilverdam, De Werf</t>
        </is>
      </c>
      <c r="M153" s="92" t="inlineStr">
        <is>
          <t>Deelneming</t>
        </is>
      </c>
      <c r="N153" s="92" t="inlineStr">
        <is>
          <t>N</t>
        </is>
      </c>
      <c r="O153" s="92" t="inlineStr">
        <is>
          <t>Woningen verkocht t/m vorig jaar</t>
        </is>
      </c>
      <c r="P153" s="109" t="n">
        <v>0</v>
      </c>
      <c r="Q153" s="92" t="inlineStr">
        <is>
          <t>aantal</t>
        </is>
      </c>
      <c r="R153" s="92" t="inlineStr">
        <is>
          <t>Synthetische snapshot; kwartalen zijn FY-verdeling, geen actuals</t>
        </is>
      </c>
      <c r="S153" s="15" t="str">
        <f>IF(J153="","",J153&amp;"|"&amp;E153&amp;"|"&amp;F153&amp;"|"&amp;I153&amp;"|"&amp;O153)</f>
        <v>G.900012.8.9090|2026|Budget|2026|Woningen verkocht t/m vorig jaar</v>
      </c>
      <c r="T153" s="15">
        <f>IF(OR(S153="",D153&lt;&gt;"Vastgesteld"),"",_xlfn.MAXIFS($G$6:$G$5005,$S$6:$S$5005,S153,$D$6:$D$5005,"Vastgesteld"))</f>
        <v>0</v>
      </c>
      <c r="U153" s="15">
        <f>IF(T153="",0,IF(AND(G153=T153,COUNTIFS($S$6:S153,S153,$G$6:G153,G153,$D$6:D153,"Vastgesteld")=1),1,0))</f>
        <v>1</v>
      </c>
      <c r="V153" s="15">
        <f>IF(T153="",0,IF(AND(G153=T153,COUNTIFS($S$6:S153,S153,$G$6:G153,G153,$D$6:D153,"Vastgesteld")&gt;1),1,0))</f>
        <v>0</v>
      </c>
    </row>
    <row r="154">
      <c r="A154" s="92" t="inlineStr">
        <is>
          <t>HIST-2026-Budget</t>
        </is>
      </c>
      <c r="B154" s="92" t="inlineStr">
        <is>
          <t>RDFO_FICTIEVE_historie_en_mapping.xlsx</t>
        </is>
      </c>
      <c r="C154" s="108" t="n">
        <v>46324</v>
      </c>
      <c r="D154" s="92" t="inlineStr">
        <is>
          <t>Vastgesteld</t>
        </is>
      </c>
      <c r="E154" s="92" t="n">
        <v>2026</v>
      </c>
      <c r="F154" s="92" t="inlineStr">
        <is>
          <t>Budget</t>
        </is>
      </c>
      <c r="G154" s="92" t="n">
        <v>0</v>
      </c>
      <c r="H154" s="108" t="n">
        <v>46022</v>
      </c>
      <c r="I154" s="92" t="n">
        <v>2026</v>
      </c>
      <c r="J154" s="92" t="inlineStr">
        <is>
          <t>G.900012.8.9090</t>
        </is>
      </c>
      <c r="K154" s="92" t="inlineStr">
        <is>
          <t>G.900012</t>
        </is>
      </c>
      <c r="L154" s="92" t="inlineStr">
        <is>
          <t>Zilverdam, De Werf</t>
        </is>
      </c>
      <c r="M154" s="92" t="inlineStr">
        <is>
          <t>Deelneming</t>
        </is>
      </c>
      <c r="N154" s="92" t="inlineStr">
        <is>
          <t>N</t>
        </is>
      </c>
      <c r="O154" s="92" t="inlineStr">
        <is>
          <t>Woningverkopen Q1</t>
        </is>
      </c>
      <c r="P154" s="109" t="n">
        <v>1</v>
      </c>
      <c r="Q154" s="92" t="inlineStr">
        <is>
          <t>aantal</t>
        </is>
      </c>
      <c r="R154" s="92" t="inlineStr">
        <is>
          <t>Synthetische snapshot; kwartalen zijn FY-verdeling, geen actuals</t>
        </is>
      </c>
      <c r="S154" s="15" t="str">
        <f>IF(J154="","",J154&amp;"|"&amp;E154&amp;"|"&amp;F154&amp;"|"&amp;I154&amp;"|"&amp;O154)</f>
        <v>G.900012.8.9090|2026|Budget|2026|Woningverkopen Q1</v>
      </c>
      <c r="T154" s="15">
        <f>IF(OR(S154="",D154&lt;&gt;"Vastgesteld"),"",_xlfn.MAXIFS($G$6:$G$5005,$S$6:$S$5005,S154,$D$6:$D$5005,"Vastgesteld"))</f>
        <v>0</v>
      </c>
      <c r="U154" s="15">
        <f>IF(T154="",0,IF(AND(G154=T154,COUNTIFS($S$6:S154,S154,$G$6:G154,G154,$D$6:D154,"Vastgesteld")=1),1,0))</f>
        <v>1</v>
      </c>
      <c r="V154" s="15">
        <f>IF(T154="",0,IF(AND(G154=T154,COUNTIFS($S$6:S154,S154,$G$6:G154,G154,$D$6:D154,"Vastgesteld")&gt;1),1,0))</f>
        <v>0</v>
      </c>
    </row>
    <row r="155">
      <c r="A155" s="92" t="inlineStr">
        <is>
          <t>HIST-2026-Budget</t>
        </is>
      </c>
      <c r="B155" s="92" t="inlineStr">
        <is>
          <t>RDFO_FICTIEVE_historie_en_mapping.xlsx</t>
        </is>
      </c>
      <c r="C155" s="108" t="n">
        <v>46324</v>
      </c>
      <c r="D155" s="92" t="inlineStr">
        <is>
          <t>Vastgesteld</t>
        </is>
      </c>
      <c r="E155" s="92" t="n">
        <v>2026</v>
      </c>
      <c r="F155" s="92" t="inlineStr">
        <is>
          <t>Budget</t>
        </is>
      </c>
      <c r="G155" s="92" t="n">
        <v>0</v>
      </c>
      <c r="H155" s="108" t="n">
        <v>46022</v>
      </c>
      <c r="I155" s="92" t="n">
        <v>2026</v>
      </c>
      <c r="J155" s="92" t="inlineStr">
        <is>
          <t>G.900012.8.9090</t>
        </is>
      </c>
      <c r="K155" s="92" t="inlineStr">
        <is>
          <t>G.900012</t>
        </is>
      </c>
      <c r="L155" s="92" t="inlineStr">
        <is>
          <t>Zilverdam, De Werf</t>
        </is>
      </c>
      <c r="M155" s="92" t="inlineStr">
        <is>
          <t>Deelneming</t>
        </is>
      </c>
      <c r="N155" s="92" t="inlineStr">
        <is>
          <t>N</t>
        </is>
      </c>
      <c r="O155" s="92" t="inlineStr">
        <is>
          <t>Woningverkopen Q2</t>
        </is>
      </c>
      <c r="P155" s="109" t="n">
        <v>2</v>
      </c>
      <c r="Q155" s="92" t="inlineStr">
        <is>
          <t>aantal</t>
        </is>
      </c>
      <c r="R155" s="92" t="inlineStr">
        <is>
          <t>Synthetische snapshot; kwartalen zijn FY-verdeling, geen actuals</t>
        </is>
      </c>
      <c r="S155" s="15" t="str">
        <f>IF(J155="","",J155&amp;"|"&amp;E155&amp;"|"&amp;F155&amp;"|"&amp;I155&amp;"|"&amp;O155)</f>
        <v>G.900012.8.9090|2026|Budget|2026|Woningverkopen Q2</v>
      </c>
      <c r="T155" s="15">
        <f>IF(OR(S155="",D155&lt;&gt;"Vastgesteld"),"",_xlfn.MAXIFS($G$6:$G$5005,$S$6:$S$5005,S155,$D$6:$D$5005,"Vastgesteld"))</f>
        <v>0</v>
      </c>
      <c r="U155" s="15">
        <f>IF(T155="",0,IF(AND(G155=T155,COUNTIFS($S$6:S155,S155,$G$6:G155,G155,$D$6:D155,"Vastgesteld")=1),1,0))</f>
        <v>1</v>
      </c>
      <c r="V155" s="15">
        <f>IF(T155="",0,IF(AND(G155=T155,COUNTIFS($S$6:S155,S155,$G$6:G155,G155,$D$6:D155,"Vastgesteld")&gt;1),1,0))</f>
        <v>0</v>
      </c>
    </row>
    <row r="156">
      <c r="A156" s="92" t="inlineStr">
        <is>
          <t>HIST-2026-Budget</t>
        </is>
      </c>
      <c r="B156" s="92" t="inlineStr">
        <is>
          <t>RDFO_FICTIEVE_historie_en_mapping.xlsx</t>
        </is>
      </c>
      <c r="C156" s="108" t="n">
        <v>46324</v>
      </c>
      <c r="D156" s="92" t="inlineStr">
        <is>
          <t>Vastgesteld</t>
        </is>
      </c>
      <c r="E156" s="92" t="n">
        <v>2026</v>
      </c>
      <c r="F156" s="92" t="inlineStr">
        <is>
          <t>Budget</t>
        </is>
      </c>
      <c r="G156" s="92" t="n">
        <v>0</v>
      </c>
      <c r="H156" s="108" t="n">
        <v>46022</v>
      </c>
      <c r="I156" s="92" t="n">
        <v>2026</v>
      </c>
      <c r="J156" s="92" t="inlineStr">
        <is>
          <t>G.900012.8.9090</t>
        </is>
      </c>
      <c r="K156" s="92" t="inlineStr">
        <is>
          <t>G.900012</t>
        </is>
      </c>
      <c r="L156" s="92" t="inlineStr">
        <is>
          <t>Zilverdam, De Werf</t>
        </is>
      </c>
      <c r="M156" s="92" t="inlineStr">
        <is>
          <t>Deelneming</t>
        </is>
      </c>
      <c r="N156" s="92" t="inlineStr">
        <is>
          <t>N</t>
        </is>
      </c>
      <c r="O156" s="92" t="inlineStr">
        <is>
          <t>Woningverkopen Q3</t>
        </is>
      </c>
      <c r="P156" s="109" t="n">
        <v>2</v>
      </c>
      <c r="Q156" s="92" t="inlineStr">
        <is>
          <t>aantal</t>
        </is>
      </c>
      <c r="R156" s="92" t="inlineStr">
        <is>
          <t>Synthetische snapshot; kwartalen zijn FY-verdeling, geen actuals</t>
        </is>
      </c>
      <c r="S156" s="15" t="str">
        <f>IF(J156="","",J156&amp;"|"&amp;E156&amp;"|"&amp;F156&amp;"|"&amp;I156&amp;"|"&amp;O156)</f>
        <v>G.900012.8.9090|2026|Budget|2026|Woningverkopen Q3</v>
      </c>
      <c r="T156" s="15">
        <f>IF(OR(S156="",D156&lt;&gt;"Vastgesteld"),"",_xlfn.MAXIFS($G$6:$G$5005,$S$6:$S$5005,S156,$D$6:$D$5005,"Vastgesteld"))</f>
        <v>0</v>
      </c>
      <c r="U156" s="15">
        <f>IF(T156="",0,IF(AND(G156=T156,COUNTIFS($S$6:S156,S156,$G$6:G156,G156,$D$6:D156,"Vastgesteld")=1),1,0))</f>
        <v>1</v>
      </c>
      <c r="V156" s="15">
        <f>IF(T156="",0,IF(AND(G156=T156,COUNTIFS($S$6:S156,S156,$G$6:G156,G156,$D$6:D156,"Vastgesteld")&gt;1),1,0))</f>
        <v>0</v>
      </c>
    </row>
    <row r="157">
      <c r="A157" s="92" t="inlineStr">
        <is>
          <t>HIST-2026-Budget</t>
        </is>
      </c>
      <c r="B157" s="92" t="inlineStr">
        <is>
          <t>RDFO_FICTIEVE_historie_en_mapping.xlsx</t>
        </is>
      </c>
      <c r="C157" s="108" t="n">
        <v>46324</v>
      </c>
      <c r="D157" s="92" t="inlineStr">
        <is>
          <t>Vastgesteld</t>
        </is>
      </c>
      <c r="E157" s="92" t="n">
        <v>2026</v>
      </c>
      <c r="F157" s="92" t="inlineStr">
        <is>
          <t>Budget</t>
        </is>
      </c>
      <c r="G157" s="92" t="n">
        <v>0</v>
      </c>
      <c r="H157" s="108" t="n">
        <v>46022</v>
      </c>
      <c r="I157" s="92" t="n">
        <v>2026</v>
      </c>
      <c r="J157" s="92" t="inlineStr">
        <is>
          <t>G.900012.8.9090</t>
        </is>
      </c>
      <c r="K157" s="92" t="inlineStr">
        <is>
          <t>G.900012</t>
        </is>
      </c>
      <c r="L157" s="92" t="inlineStr">
        <is>
          <t>Zilverdam, De Werf</t>
        </is>
      </c>
      <c r="M157" s="92" t="inlineStr">
        <is>
          <t>Deelneming</t>
        </is>
      </c>
      <c r="N157" s="92" t="inlineStr">
        <is>
          <t>N</t>
        </is>
      </c>
      <c r="O157" s="92" t="inlineStr">
        <is>
          <t>Woningverkopen Q4</t>
        </is>
      </c>
      <c r="P157" s="109" t="n">
        <v>3</v>
      </c>
      <c r="Q157" s="92" t="inlineStr">
        <is>
          <t>aantal</t>
        </is>
      </c>
      <c r="R157" s="92" t="inlineStr">
        <is>
          <t>Synthetische snapshot; kwartalen zijn FY-verdeling, geen actuals</t>
        </is>
      </c>
      <c r="S157" s="15" t="str">
        <f>IF(J157="","",J157&amp;"|"&amp;E157&amp;"|"&amp;F157&amp;"|"&amp;I157&amp;"|"&amp;O157)</f>
        <v>G.900012.8.9090|2026|Budget|2026|Woningverkopen Q4</v>
      </c>
      <c r="T157" s="15">
        <f>IF(OR(S157="",D157&lt;&gt;"Vastgesteld"),"",_xlfn.MAXIFS($G$6:$G$5005,$S$6:$S$5005,S157,$D$6:$D$5005,"Vastgesteld"))</f>
        <v>0</v>
      </c>
      <c r="U157" s="15">
        <f>IF(T157="",0,IF(AND(G157=T157,COUNTIFS($S$6:S157,S157,$G$6:G157,G157,$D$6:D157,"Vastgesteld")=1),1,0))</f>
        <v>1</v>
      </c>
      <c r="V157" s="15">
        <f>IF(T157="",0,IF(AND(G157=T157,COUNTIFS($S$6:S157,S157,$G$6:G157,G157,$D$6:D157,"Vastgesteld")&gt;1),1,0))</f>
        <v>0</v>
      </c>
    </row>
    <row r="158">
      <c r="A158" s="92" t="inlineStr">
        <is>
          <t>HIST-2026-Budget</t>
        </is>
      </c>
      <c r="B158" s="92" t="inlineStr">
        <is>
          <t>RDFO_FICTIEVE_historie_en_mapping.xlsx</t>
        </is>
      </c>
      <c r="C158" s="108" t="n">
        <v>46324</v>
      </c>
      <c r="D158" s="92" t="inlineStr">
        <is>
          <t>Vastgesteld</t>
        </is>
      </c>
      <c r="E158" s="92" t="n">
        <v>2026</v>
      </c>
      <c r="F158" s="92" t="inlineStr">
        <is>
          <t>Budget</t>
        </is>
      </c>
      <c r="G158" s="92" t="n">
        <v>0</v>
      </c>
      <c r="H158" s="108" t="n">
        <v>46022</v>
      </c>
      <c r="I158" s="92" t="n">
        <v>2026</v>
      </c>
      <c r="J158" s="92" t="inlineStr">
        <is>
          <t>G.900013.8.9090</t>
        </is>
      </c>
      <c r="K158" s="92" t="inlineStr">
        <is>
          <t>G.900013</t>
        </is>
      </c>
      <c r="L158" s="92" t="inlineStr">
        <is>
          <t>Boswaard, Boskamers</t>
        </is>
      </c>
      <c r="M158" s="92" t="inlineStr">
        <is>
          <t>Opstal</t>
        </is>
      </c>
      <c r="N158" s="92" t="inlineStr">
        <is>
          <t>J</t>
        </is>
      </c>
      <c r="O158" s="92" t="inlineStr">
        <is>
          <t>Woningverkopen FY</t>
        </is>
      </c>
      <c r="P158" s="109" t="n">
        <v>22</v>
      </c>
      <c r="Q158" s="92" t="inlineStr">
        <is>
          <t>aantal</t>
        </is>
      </c>
      <c r="R158" s="92" t="inlineStr">
        <is>
          <t>Synthetische snapshot; kwartalen zijn FY-verdeling, geen actuals</t>
        </is>
      </c>
      <c r="S158" s="15" t="str">
        <f>IF(J158="","",J158&amp;"|"&amp;E158&amp;"|"&amp;F158&amp;"|"&amp;I158&amp;"|"&amp;O158)</f>
        <v>G.900013.8.9090|2026|Budget|2026|Woningverkopen FY</v>
      </c>
      <c r="T158" s="15">
        <f>IF(OR(S158="",D158&lt;&gt;"Vastgesteld"),"",_xlfn.MAXIFS($G$6:$G$5005,$S$6:$S$5005,S158,$D$6:$D$5005,"Vastgesteld"))</f>
        <v>0</v>
      </c>
      <c r="U158" s="15">
        <f>IF(T158="",0,IF(AND(G158=T158,COUNTIFS($S$6:S158,S158,$G$6:G158,G158,$D$6:D158,"Vastgesteld")=1),1,0))</f>
        <v>1</v>
      </c>
      <c r="V158" s="15">
        <f>IF(T158="",0,IF(AND(G158=T158,COUNTIFS($S$6:S158,S158,$G$6:G158,G158,$D$6:D158,"Vastgesteld")&gt;1),1,0))</f>
        <v>0</v>
      </c>
    </row>
    <row r="159">
      <c r="A159" s="92" t="inlineStr">
        <is>
          <t>HIST-2026-Budget</t>
        </is>
      </c>
      <c r="B159" s="92" t="inlineStr">
        <is>
          <t>RDFO_FICTIEVE_historie_en_mapping.xlsx</t>
        </is>
      </c>
      <c r="C159" s="108" t="n">
        <v>46324</v>
      </c>
      <c r="D159" s="92" t="inlineStr">
        <is>
          <t>Vastgesteld</t>
        </is>
      </c>
      <c r="E159" s="92" t="n">
        <v>2026</v>
      </c>
      <c r="F159" s="92" t="inlineStr">
        <is>
          <t>Budget</t>
        </is>
      </c>
      <c r="G159" s="92" t="n">
        <v>0</v>
      </c>
      <c r="H159" s="108" t="n">
        <v>46022</v>
      </c>
      <c r="I159" s="92" t="n">
        <v>2026</v>
      </c>
      <c r="J159" s="92" t="inlineStr">
        <is>
          <t>G.900013.8.9090</t>
        </is>
      </c>
      <c r="K159" s="92" t="inlineStr">
        <is>
          <t>G.900013</t>
        </is>
      </c>
      <c r="L159" s="92" t="inlineStr">
        <is>
          <t>Boswaard, Boskamers</t>
        </is>
      </c>
      <c r="M159" s="92" t="inlineStr">
        <is>
          <t>Opstal</t>
        </is>
      </c>
      <c r="N159" s="92" t="inlineStr">
        <is>
          <t>J</t>
        </is>
      </c>
      <c r="O159" s="92" t="inlineStr">
        <is>
          <t>Woningen verkocht t/m vorig jaar</t>
        </is>
      </c>
      <c r="P159" s="109" t="n">
        <v>0</v>
      </c>
      <c r="Q159" s="92" t="inlineStr">
        <is>
          <t>aantal</t>
        </is>
      </c>
      <c r="R159" s="92" t="inlineStr">
        <is>
          <t>Synthetische snapshot; kwartalen zijn FY-verdeling, geen actuals</t>
        </is>
      </c>
      <c r="S159" s="15" t="str">
        <f>IF(J159="","",J159&amp;"|"&amp;E159&amp;"|"&amp;F159&amp;"|"&amp;I159&amp;"|"&amp;O159)</f>
        <v>G.900013.8.9090|2026|Budget|2026|Woningen verkocht t/m vorig jaar</v>
      </c>
      <c r="T159" s="15">
        <f>IF(OR(S159="",D159&lt;&gt;"Vastgesteld"),"",_xlfn.MAXIFS($G$6:$G$5005,$S$6:$S$5005,S159,$D$6:$D$5005,"Vastgesteld"))</f>
        <v>0</v>
      </c>
      <c r="U159" s="15">
        <f>IF(T159="",0,IF(AND(G159=T159,COUNTIFS($S$6:S159,S159,$G$6:G159,G159,$D$6:D159,"Vastgesteld")=1),1,0))</f>
        <v>1</v>
      </c>
      <c r="V159" s="15">
        <f>IF(T159="",0,IF(AND(G159=T159,COUNTIFS($S$6:S159,S159,$G$6:G159,G159,$D$6:D159,"Vastgesteld")&gt;1),1,0))</f>
        <v>0</v>
      </c>
    </row>
    <row r="160">
      <c r="A160" s="92" t="inlineStr">
        <is>
          <t>HIST-2026-Budget</t>
        </is>
      </c>
      <c r="B160" s="92" t="inlineStr">
        <is>
          <t>RDFO_FICTIEVE_historie_en_mapping.xlsx</t>
        </is>
      </c>
      <c r="C160" s="108" t="n">
        <v>46324</v>
      </c>
      <c r="D160" s="92" t="inlineStr">
        <is>
          <t>Vastgesteld</t>
        </is>
      </c>
      <c r="E160" s="92" t="n">
        <v>2026</v>
      </c>
      <c r="F160" s="92" t="inlineStr">
        <is>
          <t>Budget</t>
        </is>
      </c>
      <c r="G160" s="92" t="n">
        <v>0</v>
      </c>
      <c r="H160" s="108" t="n">
        <v>46022</v>
      </c>
      <c r="I160" s="92" t="n">
        <v>2026</v>
      </c>
      <c r="J160" s="92" t="inlineStr">
        <is>
          <t>G.900013.8.9090</t>
        </is>
      </c>
      <c r="K160" s="92" t="inlineStr">
        <is>
          <t>G.900013</t>
        </is>
      </c>
      <c r="L160" s="92" t="inlineStr">
        <is>
          <t>Boswaard, Boskamers</t>
        </is>
      </c>
      <c r="M160" s="92" t="inlineStr">
        <is>
          <t>Opstal</t>
        </is>
      </c>
      <c r="N160" s="92" t="inlineStr">
        <is>
          <t>J</t>
        </is>
      </c>
      <c r="O160" s="92" t="inlineStr">
        <is>
          <t>Woningverkopen Q1</t>
        </is>
      </c>
      <c r="P160" s="109" t="n">
        <v>4</v>
      </c>
      <c r="Q160" s="92" t="inlineStr">
        <is>
          <t>aantal</t>
        </is>
      </c>
      <c r="R160" s="92" t="inlineStr">
        <is>
          <t>Synthetische snapshot; kwartalen zijn FY-verdeling, geen actuals</t>
        </is>
      </c>
      <c r="S160" s="15" t="str">
        <f>IF(J160="","",J160&amp;"|"&amp;E160&amp;"|"&amp;F160&amp;"|"&amp;I160&amp;"|"&amp;O160)</f>
        <v>G.900013.8.9090|2026|Budget|2026|Woningverkopen Q1</v>
      </c>
      <c r="T160" s="15">
        <f>IF(OR(S160="",D160&lt;&gt;"Vastgesteld"),"",_xlfn.MAXIFS($G$6:$G$5005,$S$6:$S$5005,S160,$D$6:$D$5005,"Vastgesteld"))</f>
        <v>0</v>
      </c>
      <c r="U160" s="15">
        <f>IF(T160="",0,IF(AND(G160=T160,COUNTIFS($S$6:S160,S160,$G$6:G160,G160,$D$6:D160,"Vastgesteld")=1),1,0))</f>
        <v>1</v>
      </c>
      <c r="V160" s="15">
        <f>IF(T160="",0,IF(AND(G160=T160,COUNTIFS($S$6:S160,S160,$G$6:G160,G160,$D$6:D160,"Vastgesteld")&gt;1),1,0))</f>
        <v>0</v>
      </c>
    </row>
    <row r="161">
      <c r="A161" s="92" t="inlineStr">
        <is>
          <t>HIST-2026-Budget</t>
        </is>
      </c>
      <c r="B161" s="92" t="inlineStr">
        <is>
          <t>RDFO_FICTIEVE_historie_en_mapping.xlsx</t>
        </is>
      </c>
      <c r="C161" s="108" t="n">
        <v>46324</v>
      </c>
      <c r="D161" s="92" t="inlineStr">
        <is>
          <t>Vastgesteld</t>
        </is>
      </c>
      <c r="E161" s="92" t="n">
        <v>2026</v>
      </c>
      <c r="F161" s="92" t="inlineStr">
        <is>
          <t>Budget</t>
        </is>
      </c>
      <c r="G161" s="92" t="n">
        <v>0</v>
      </c>
      <c r="H161" s="108" t="n">
        <v>46022</v>
      </c>
      <c r="I161" s="92" t="n">
        <v>2026</v>
      </c>
      <c r="J161" s="92" t="inlineStr">
        <is>
          <t>G.900013.8.9090</t>
        </is>
      </c>
      <c r="K161" s="92" t="inlineStr">
        <is>
          <t>G.900013</t>
        </is>
      </c>
      <c r="L161" s="92" t="inlineStr">
        <is>
          <t>Boswaard, Boskamers</t>
        </is>
      </c>
      <c r="M161" s="92" t="inlineStr">
        <is>
          <t>Opstal</t>
        </is>
      </c>
      <c r="N161" s="92" t="inlineStr">
        <is>
          <t>J</t>
        </is>
      </c>
      <c r="O161" s="92" t="inlineStr">
        <is>
          <t>Woningverkopen Q2</t>
        </is>
      </c>
      <c r="P161" s="109" t="n">
        <v>5</v>
      </c>
      <c r="Q161" s="92" t="inlineStr">
        <is>
          <t>aantal</t>
        </is>
      </c>
      <c r="R161" s="92" t="inlineStr">
        <is>
          <t>Synthetische snapshot; kwartalen zijn FY-verdeling, geen actuals</t>
        </is>
      </c>
      <c r="S161" s="15" t="str">
        <f>IF(J161="","",J161&amp;"|"&amp;E161&amp;"|"&amp;F161&amp;"|"&amp;I161&amp;"|"&amp;O161)</f>
        <v>G.900013.8.9090|2026|Budget|2026|Woningverkopen Q2</v>
      </c>
      <c r="T161" s="15">
        <f>IF(OR(S161="",D161&lt;&gt;"Vastgesteld"),"",_xlfn.MAXIFS($G$6:$G$5005,$S$6:$S$5005,S161,$D$6:$D$5005,"Vastgesteld"))</f>
        <v>0</v>
      </c>
      <c r="U161" s="15">
        <f>IF(T161="",0,IF(AND(G161=T161,COUNTIFS($S$6:S161,S161,$G$6:G161,G161,$D$6:D161,"Vastgesteld")=1),1,0))</f>
        <v>1</v>
      </c>
      <c r="V161" s="15">
        <f>IF(T161="",0,IF(AND(G161=T161,COUNTIFS($S$6:S161,S161,$G$6:G161,G161,$D$6:D161,"Vastgesteld")&gt;1),1,0))</f>
        <v>0</v>
      </c>
    </row>
    <row r="162">
      <c r="A162" s="92" t="inlineStr">
        <is>
          <t>HIST-2026-Budget</t>
        </is>
      </c>
      <c r="B162" s="92" t="inlineStr">
        <is>
          <t>RDFO_FICTIEVE_historie_en_mapping.xlsx</t>
        </is>
      </c>
      <c r="C162" s="108" t="n">
        <v>46324</v>
      </c>
      <c r="D162" s="92" t="inlineStr">
        <is>
          <t>Vastgesteld</t>
        </is>
      </c>
      <c r="E162" s="92" t="n">
        <v>2026</v>
      </c>
      <c r="F162" s="92" t="inlineStr">
        <is>
          <t>Budget</t>
        </is>
      </c>
      <c r="G162" s="92" t="n">
        <v>0</v>
      </c>
      <c r="H162" s="108" t="n">
        <v>46022</v>
      </c>
      <c r="I162" s="92" t="n">
        <v>2026</v>
      </c>
      <c r="J162" s="92" t="inlineStr">
        <is>
          <t>G.900013.8.9090</t>
        </is>
      </c>
      <c r="K162" s="92" t="inlineStr">
        <is>
          <t>G.900013</t>
        </is>
      </c>
      <c r="L162" s="92" t="inlineStr">
        <is>
          <t>Boswaard, Boskamers</t>
        </is>
      </c>
      <c r="M162" s="92" t="inlineStr">
        <is>
          <t>Opstal</t>
        </is>
      </c>
      <c r="N162" s="92" t="inlineStr">
        <is>
          <t>J</t>
        </is>
      </c>
      <c r="O162" s="92" t="inlineStr">
        <is>
          <t>Woningverkopen Q3</t>
        </is>
      </c>
      <c r="P162" s="109" t="n">
        <v>5</v>
      </c>
      <c r="Q162" s="92" t="inlineStr">
        <is>
          <t>aantal</t>
        </is>
      </c>
      <c r="R162" s="92" t="inlineStr">
        <is>
          <t>Synthetische snapshot; kwartalen zijn FY-verdeling, geen actuals</t>
        </is>
      </c>
      <c r="S162" s="15" t="str">
        <f>IF(J162="","",J162&amp;"|"&amp;E162&amp;"|"&amp;F162&amp;"|"&amp;I162&amp;"|"&amp;O162)</f>
        <v>G.900013.8.9090|2026|Budget|2026|Woningverkopen Q3</v>
      </c>
      <c r="T162" s="15">
        <f>IF(OR(S162="",D162&lt;&gt;"Vastgesteld"),"",_xlfn.MAXIFS($G$6:$G$5005,$S$6:$S$5005,S162,$D$6:$D$5005,"Vastgesteld"))</f>
        <v>0</v>
      </c>
      <c r="U162" s="15">
        <f>IF(T162="",0,IF(AND(G162=T162,COUNTIFS($S$6:S162,S162,$G$6:G162,G162,$D$6:D162,"Vastgesteld")=1),1,0))</f>
        <v>1</v>
      </c>
      <c r="V162" s="15">
        <f>IF(T162="",0,IF(AND(G162=T162,COUNTIFS($S$6:S162,S162,$G$6:G162,G162,$D$6:D162,"Vastgesteld")&gt;1),1,0))</f>
        <v>0</v>
      </c>
    </row>
    <row r="163">
      <c r="A163" s="92" t="inlineStr">
        <is>
          <t>HIST-2026-Budget</t>
        </is>
      </c>
      <c r="B163" s="92" t="inlineStr">
        <is>
          <t>RDFO_FICTIEVE_historie_en_mapping.xlsx</t>
        </is>
      </c>
      <c r="C163" s="108" t="n">
        <v>46324</v>
      </c>
      <c r="D163" s="92" t="inlineStr">
        <is>
          <t>Vastgesteld</t>
        </is>
      </c>
      <c r="E163" s="92" t="n">
        <v>2026</v>
      </c>
      <c r="F163" s="92" t="inlineStr">
        <is>
          <t>Budget</t>
        </is>
      </c>
      <c r="G163" s="92" t="n">
        <v>0</v>
      </c>
      <c r="H163" s="108" t="n">
        <v>46022</v>
      </c>
      <c r="I163" s="92" t="n">
        <v>2026</v>
      </c>
      <c r="J163" s="92" t="inlineStr">
        <is>
          <t>G.900013.8.9090</t>
        </is>
      </c>
      <c r="K163" s="92" t="inlineStr">
        <is>
          <t>G.900013</t>
        </is>
      </c>
      <c r="L163" s="92" t="inlineStr">
        <is>
          <t>Boswaard, Boskamers</t>
        </is>
      </c>
      <c r="M163" s="92" t="inlineStr">
        <is>
          <t>Opstal</t>
        </is>
      </c>
      <c r="N163" s="92" t="inlineStr">
        <is>
          <t>J</t>
        </is>
      </c>
      <c r="O163" s="92" t="inlineStr">
        <is>
          <t>Woningverkopen Q4</t>
        </is>
      </c>
      <c r="P163" s="109" t="n">
        <v>8</v>
      </c>
      <c r="Q163" s="92" t="inlineStr">
        <is>
          <t>aantal</t>
        </is>
      </c>
      <c r="R163" s="92" t="inlineStr">
        <is>
          <t>Synthetische snapshot; kwartalen zijn FY-verdeling, geen actuals</t>
        </is>
      </c>
      <c r="S163" s="15" t="str">
        <f>IF(J163="","",J163&amp;"|"&amp;E163&amp;"|"&amp;F163&amp;"|"&amp;I163&amp;"|"&amp;O163)</f>
        <v>G.900013.8.9090|2026|Budget|2026|Woningverkopen Q4</v>
      </c>
      <c r="T163" s="15">
        <f>IF(OR(S163="",D163&lt;&gt;"Vastgesteld"),"",_xlfn.MAXIFS($G$6:$G$5005,$S$6:$S$5005,S163,$D$6:$D$5005,"Vastgesteld"))</f>
        <v>0</v>
      </c>
      <c r="U163" s="15">
        <f>IF(T163="",0,IF(AND(G163=T163,COUNTIFS($S$6:S163,S163,$G$6:G163,G163,$D$6:D163,"Vastgesteld")=1),1,0))</f>
        <v>1</v>
      </c>
      <c r="V163" s="15">
        <f>IF(T163="",0,IF(AND(G163=T163,COUNTIFS($S$6:S163,S163,$G$6:G163,G163,$D$6:D163,"Vastgesteld")&gt;1),1,0))</f>
        <v>0</v>
      </c>
    </row>
    <row r="164">
      <c r="A164" s="92" t="inlineStr">
        <is>
          <t>HIST-2026-Budget</t>
        </is>
      </c>
      <c r="B164" s="92" t="inlineStr">
        <is>
          <t>RDFO_FICTIEVE_historie_en_mapping.xlsx</t>
        </is>
      </c>
      <c r="C164" s="108" t="n">
        <v>46324</v>
      </c>
      <c r="D164" s="92" t="inlineStr">
        <is>
          <t>Vastgesteld</t>
        </is>
      </c>
      <c r="E164" s="92" t="n">
        <v>2026</v>
      </c>
      <c r="F164" s="92" t="inlineStr">
        <is>
          <t>Budget</t>
        </is>
      </c>
      <c r="G164" s="92" t="n">
        <v>0</v>
      </c>
      <c r="H164" s="108" t="n">
        <v>46022</v>
      </c>
      <c r="I164" s="92" t="n">
        <v>2026</v>
      </c>
      <c r="J164" s="92" t="inlineStr">
        <is>
          <t>G.900014.8.9090</t>
        </is>
      </c>
      <c r="K164" s="92" t="inlineStr">
        <is>
          <t>G.900014</t>
        </is>
      </c>
      <c r="L164" s="92" t="inlineStr">
        <is>
          <t>Rietdam, Rietoevers</t>
        </is>
      </c>
      <c r="M164" s="92" t="inlineStr">
        <is>
          <t>Opstal</t>
        </is>
      </c>
      <c r="N164" s="92" t="inlineStr">
        <is>
          <t>J</t>
        </is>
      </c>
      <c r="O164" s="92" t="inlineStr">
        <is>
          <t>Woningverkopen FY</t>
        </is>
      </c>
      <c r="P164" s="109" t="n">
        <v>22</v>
      </c>
      <c r="Q164" s="92" t="inlineStr">
        <is>
          <t>aantal</t>
        </is>
      </c>
      <c r="R164" s="92" t="inlineStr">
        <is>
          <t>Synthetische snapshot; kwartalen zijn FY-verdeling, geen actuals</t>
        </is>
      </c>
      <c r="S164" s="15" t="str">
        <f>IF(J164="","",J164&amp;"|"&amp;E164&amp;"|"&amp;F164&amp;"|"&amp;I164&amp;"|"&amp;O164)</f>
        <v>G.900014.8.9090|2026|Budget|2026|Woningverkopen FY</v>
      </c>
      <c r="T164" s="15">
        <f>IF(OR(S164="",D164&lt;&gt;"Vastgesteld"),"",_xlfn.MAXIFS($G$6:$G$5005,$S$6:$S$5005,S164,$D$6:$D$5005,"Vastgesteld"))</f>
        <v>0</v>
      </c>
      <c r="U164" s="15">
        <f>IF(T164="",0,IF(AND(G164=T164,COUNTIFS($S$6:S164,S164,$G$6:G164,G164,$D$6:D164,"Vastgesteld")=1),1,0))</f>
        <v>1</v>
      </c>
      <c r="V164" s="15">
        <f>IF(T164="",0,IF(AND(G164=T164,COUNTIFS($S$6:S164,S164,$G$6:G164,G164,$D$6:D164,"Vastgesteld")&gt;1),1,0))</f>
        <v>0</v>
      </c>
    </row>
    <row r="165">
      <c r="A165" s="92" t="inlineStr">
        <is>
          <t>HIST-2026-Budget</t>
        </is>
      </c>
      <c r="B165" s="92" t="inlineStr">
        <is>
          <t>RDFO_FICTIEVE_historie_en_mapping.xlsx</t>
        </is>
      </c>
      <c r="C165" s="108" t="n">
        <v>46324</v>
      </c>
      <c r="D165" s="92" t="inlineStr">
        <is>
          <t>Vastgesteld</t>
        </is>
      </c>
      <c r="E165" s="92" t="n">
        <v>2026</v>
      </c>
      <c r="F165" s="92" t="inlineStr">
        <is>
          <t>Budget</t>
        </is>
      </c>
      <c r="G165" s="92" t="n">
        <v>0</v>
      </c>
      <c r="H165" s="108" t="n">
        <v>46022</v>
      </c>
      <c r="I165" s="92" t="n">
        <v>2026</v>
      </c>
      <c r="J165" s="92" t="inlineStr">
        <is>
          <t>G.900014.8.9090</t>
        </is>
      </c>
      <c r="K165" s="92" t="inlineStr">
        <is>
          <t>G.900014</t>
        </is>
      </c>
      <c r="L165" s="92" t="inlineStr">
        <is>
          <t>Rietdam, Rietoevers</t>
        </is>
      </c>
      <c r="M165" s="92" t="inlineStr">
        <is>
          <t>Opstal</t>
        </is>
      </c>
      <c r="N165" s="92" t="inlineStr">
        <is>
          <t>J</t>
        </is>
      </c>
      <c r="O165" s="92" t="inlineStr">
        <is>
          <t>Woningen verkocht t/m vorig jaar</t>
        </is>
      </c>
      <c r="P165" s="109" t="n">
        <v>0</v>
      </c>
      <c r="Q165" s="92" t="inlineStr">
        <is>
          <t>aantal</t>
        </is>
      </c>
      <c r="R165" s="92" t="inlineStr">
        <is>
          <t>Synthetische snapshot; kwartalen zijn FY-verdeling, geen actuals</t>
        </is>
      </c>
      <c r="S165" s="15" t="str">
        <f>IF(J165="","",J165&amp;"|"&amp;E165&amp;"|"&amp;F165&amp;"|"&amp;I165&amp;"|"&amp;O165)</f>
        <v>G.900014.8.9090|2026|Budget|2026|Woningen verkocht t/m vorig jaar</v>
      </c>
      <c r="T165" s="15">
        <f>IF(OR(S165="",D165&lt;&gt;"Vastgesteld"),"",_xlfn.MAXIFS($G$6:$G$5005,$S$6:$S$5005,S165,$D$6:$D$5005,"Vastgesteld"))</f>
        <v>0</v>
      </c>
      <c r="U165" s="15">
        <f>IF(T165="",0,IF(AND(G165=T165,COUNTIFS($S$6:S165,S165,$G$6:G165,G165,$D$6:D165,"Vastgesteld")=1),1,0))</f>
        <v>1</v>
      </c>
      <c r="V165" s="15">
        <f>IF(T165="",0,IF(AND(G165=T165,COUNTIFS($S$6:S165,S165,$G$6:G165,G165,$D$6:D165,"Vastgesteld")&gt;1),1,0))</f>
        <v>0</v>
      </c>
    </row>
    <row r="166">
      <c r="A166" s="92" t="inlineStr">
        <is>
          <t>HIST-2026-Budget</t>
        </is>
      </c>
      <c r="B166" s="92" t="inlineStr">
        <is>
          <t>RDFO_FICTIEVE_historie_en_mapping.xlsx</t>
        </is>
      </c>
      <c r="C166" s="108" t="n">
        <v>46324</v>
      </c>
      <c r="D166" s="92" t="inlineStr">
        <is>
          <t>Vastgesteld</t>
        </is>
      </c>
      <c r="E166" s="92" t="n">
        <v>2026</v>
      </c>
      <c r="F166" s="92" t="inlineStr">
        <is>
          <t>Budget</t>
        </is>
      </c>
      <c r="G166" s="92" t="n">
        <v>0</v>
      </c>
      <c r="H166" s="108" t="n">
        <v>46022</v>
      </c>
      <c r="I166" s="92" t="n">
        <v>2026</v>
      </c>
      <c r="J166" s="92" t="inlineStr">
        <is>
          <t>G.900014.8.9090</t>
        </is>
      </c>
      <c r="K166" s="92" t="inlineStr">
        <is>
          <t>G.900014</t>
        </is>
      </c>
      <c r="L166" s="92" t="inlineStr">
        <is>
          <t>Rietdam, Rietoevers</t>
        </is>
      </c>
      <c r="M166" s="92" t="inlineStr">
        <is>
          <t>Opstal</t>
        </is>
      </c>
      <c r="N166" s="92" t="inlineStr">
        <is>
          <t>J</t>
        </is>
      </c>
      <c r="O166" s="92" t="inlineStr">
        <is>
          <t>Woningverkopen Q1</t>
        </is>
      </c>
      <c r="P166" s="109" t="n">
        <v>4</v>
      </c>
      <c r="Q166" s="92" t="inlineStr">
        <is>
          <t>aantal</t>
        </is>
      </c>
      <c r="R166" s="92" t="inlineStr">
        <is>
          <t>Synthetische snapshot; kwartalen zijn FY-verdeling, geen actuals</t>
        </is>
      </c>
      <c r="S166" s="15" t="str">
        <f>IF(J166="","",J166&amp;"|"&amp;E166&amp;"|"&amp;F166&amp;"|"&amp;I166&amp;"|"&amp;O166)</f>
        <v>G.900014.8.9090|2026|Budget|2026|Woningverkopen Q1</v>
      </c>
      <c r="T166" s="15">
        <f>IF(OR(S166="",D166&lt;&gt;"Vastgesteld"),"",_xlfn.MAXIFS($G$6:$G$5005,$S$6:$S$5005,S166,$D$6:$D$5005,"Vastgesteld"))</f>
        <v>0</v>
      </c>
      <c r="U166" s="15">
        <f>IF(T166="",0,IF(AND(G166=T166,COUNTIFS($S$6:S166,S166,$G$6:G166,G166,$D$6:D166,"Vastgesteld")=1),1,0))</f>
        <v>1</v>
      </c>
      <c r="V166" s="15">
        <f>IF(T166="",0,IF(AND(G166=T166,COUNTIFS($S$6:S166,S166,$G$6:G166,G166,$D$6:D166,"Vastgesteld")&gt;1),1,0))</f>
        <v>0</v>
      </c>
    </row>
    <row r="167">
      <c r="A167" s="92" t="inlineStr">
        <is>
          <t>HIST-2026-Budget</t>
        </is>
      </c>
      <c r="B167" s="92" t="inlineStr">
        <is>
          <t>RDFO_FICTIEVE_historie_en_mapping.xlsx</t>
        </is>
      </c>
      <c r="C167" s="108" t="n">
        <v>46324</v>
      </c>
      <c r="D167" s="92" t="inlineStr">
        <is>
          <t>Vastgesteld</t>
        </is>
      </c>
      <c r="E167" s="92" t="n">
        <v>2026</v>
      </c>
      <c r="F167" s="92" t="inlineStr">
        <is>
          <t>Budget</t>
        </is>
      </c>
      <c r="G167" s="92" t="n">
        <v>0</v>
      </c>
      <c r="H167" s="108" t="n">
        <v>46022</v>
      </c>
      <c r="I167" s="92" t="n">
        <v>2026</v>
      </c>
      <c r="J167" s="92" t="inlineStr">
        <is>
          <t>G.900014.8.9090</t>
        </is>
      </c>
      <c r="K167" s="92" t="inlineStr">
        <is>
          <t>G.900014</t>
        </is>
      </c>
      <c r="L167" s="92" t="inlineStr">
        <is>
          <t>Rietdam, Rietoevers</t>
        </is>
      </c>
      <c r="M167" s="92" t="inlineStr">
        <is>
          <t>Opstal</t>
        </is>
      </c>
      <c r="N167" s="92" t="inlineStr">
        <is>
          <t>J</t>
        </is>
      </c>
      <c r="O167" s="92" t="inlineStr">
        <is>
          <t>Woningverkopen Q2</t>
        </is>
      </c>
      <c r="P167" s="109" t="n">
        <v>5</v>
      </c>
      <c r="Q167" s="92" t="inlineStr">
        <is>
          <t>aantal</t>
        </is>
      </c>
      <c r="R167" s="92" t="inlineStr">
        <is>
          <t>Synthetische snapshot; kwartalen zijn FY-verdeling, geen actuals</t>
        </is>
      </c>
      <c r="S167" s="15" t="str">
        <f>IF(J167="","",J167&amp;"|"&amp;E167&amp;"|"&amp;F167&amp;"|"&amp;I167&amp;"|"&amp;O167)</f>
        <v>G.900014.8.9090|2026|Budget|2026|Woningverkopen Q2</v>
      </c>
      <c r="T167" s="15">
        <f>IF(OR(S167="",D167&lt;&gt;"Vastgesteld"),"",_xlfn.MAXIFS($G$6:$G$5005,$S$6:$S$5005,S167,$D$6:$D$5005,"Vastgesteld"))</f>
        <v>0</v>
      </c>
      <c r="U167" s="15">
        <f>IF(T167="",0,IF(AND(G167=T167,COUNTIFS($S$6:S167,S167,$G$6:G167,G167,$D$6:D167,"Vastgesteld")=1),1,0))</f>
        <v>1</v>
      </c>
      <c r="V167" s="15">
        <f>IF(T167="",0,IF(AND(G167=T167,COUNTIFS($S$6:S167,S167,$G$6:G167,G167,$D$6:D167,"Vastgesteld")&gt;1),1,0))</f>
        <v>0</v>
      </c>
    </row>
    <row r="168">
      <c r="A168" s="92" t="inlineStr">
        <is>
          <t>HIST-2026-Budget</t>
        </is>
      </c>
      <c r="B168" s="92" t="inlineStr">
        <is>
          <t>RDFO_FICTIEVE_historie_en_mapping.xlsx</t>
        </is>
      </c>
      <c r="C168" s="108" t="n">
        <v>46324</v>
      </c>
      <c r="D168" s="92" t="inlineStr">
        <is>
          <t>Vastgesteld</t>
        </is>
      </c>
      <c r="E168" s="92" t="n">
        <v>2026</v>
      </c>
      <c r="F168" s="92" t="inlineStr">
        <is>
          <t>Budget</t>
        </is>
      </c>
      <c r="G168" s="92" t="n">
        <v>0</v>
      </c>
      <c r="H168" s="108" t="n">
        <v>46022</v>
      </c>
      <c r="I168" s="92" t="n">
        <v>2026</v>
      </c>
      <c r="J168" s="92" t="inlineStr">
        <is>
          <t>G.900014.8.9090</t>
        </is>
      </c>
      <c r="K168" s="92" t="inlineStr">
        <is>
          <t>G.900014</t>
        </is>
      </c>
      <c r="L168" s="92" t="inlineStr">
        <is>
          <t>Rietdam, Rietoevers</t>
        </is>
      </c>
      <c r="M168" s="92" t="inlineStr">
        <is>
          <t>Opstal</t>
        </is>
      </c>
      <c r="N168" s="92" t="inlineStr">
        <is>
          <t>J</t>
        </is>
      </c>
      <c r="O168" s="92" t="inlineStr">
        <is>
          <t>Woningverkopen Q3</t>
        </is>
      </c>
      <c r="P168" s="109" t="n">
        <v>5</v>
      </c>
      <c r="Q168" s="92" t="inlineStr">
        <is>
          <t>aantal</t>
        </is>
      </c>
      <c r="R168" s="92" t="inlineStr">
        <is>
          <t>Synthetische snapshot; kwartalen zijn FY-verdeling, geen actuals</t>
        </is>
      </c>
      <c r="S168" s="15" t="str">
        <f>IF(J168="","",J168&amp;"|"&amp;E168&amp;"|"&amp;F168&amp;"|"&amp;I168&amp;"|"&amp;O168)</f>
        <v>G.900014.8.9090|2026|Budget|2026|Woningverkopen Q3</v>
      </c>
      <c r="T168" s="15">
        <f>IF(OR(S168="",D168&lt;&gt;"Vastgesteld"),"",_xlfn.MAXIFS($G$6:$G$5005,$S$6:$S$5005,S168,$D$6:$D$5005,"Vastgesteld"))</f>
        <v>0</v>
      </c>
      <c r="U168" s="15">
        <f>IF(T168="",0,IF(AND(G168=T168,COUNTIFS($S$6:S168,S168,$G$6:G168,G168,$D$6:D168,"Vastgesteld")=1),1,0))</f>
        <v>1</v>
      </c>
      <c r="V168" s="15">
        <f>IF(T168="",0,IF(AND(G168=T168,COUNTIFS($S$6:S168,S168,$G$6:G168,G168,$D$6:D168,"Vastgesteld")&gt;1),1,0))</f>
        <v>0</v>
      </c>
    </row>
    <row r="169">
      <c r="A169" s="92" t="inlineStr">
        <is>
          <t>HIST-2026-Budget</t>
        </is>
      </c>
      <c r="B169" s="92" t="inlineStr">
        <is>
          <t>RDFO_FICTIEVE_historie_en_mapping.xlsx</t>
        </is>
      </c>
      <c r="C169" s="108" t="n">
        <v>46324</v>
      </c>
      <c r="D169" s="92" t="inlineStr">
        <is>
          <t>Vastgesteld</t>
        </is>
      </c>
      <c r="E169" s="92" t="n">
        <v>2026</v>
      </c>
      <c r="F169" s="92" t="inlineStr">
        <is>
          <t>Budget</t>
        </is>
      </c>
      <c r="G169" s="92" t="n">
        <v>0</v>
      </c>
      <c r="H169" s="108" t="n">
        <v>46022</v>
      </c>
      <c r="I169" s="92" t="n">
        <v>2026</v>
      </c>
      <c r="J169" s="92" t="inlineStr">
        <is>
          <t>G.900014.8.9090</t>
        </is>
      </c>
      <c r="K169" s="92" t="inlineStr">
        <is>
          <t>G.900014</t>
        </is>
      </c>
      <c r="L169" s="92" t="inlineStr">
        <is>
          <t>Rietdam, Rietoevers</t>
        </is>
      </c>
      <c r="M169" s="92" t="inlineStr">
        <is>
          <t>Opstal</t>
        </is>
      </c>
      <c r="N169" s="92" t="inlineStr">
        <is>
          <t>J</t>
        </is>
      </c>
      <c r="O169" s="92" t="inlineStr">
        <is>
          <t>Woningverkopen Q4</t>
        </is>
      </c>
      <c r="P169" s="109" t="n">
        <v>8</v>
      </c>
      <c r="Q169" s="92" t="inlineStr">
        <is>
          <t>aantal</t>
        </is>
      </c>
      <c r="R169" s="92" t="inlineStr">
        <is>
          <t>Synthetische snapshot; kwartalen zijn FY-verdeling, geen actuals</t>
        </is>
      </c>
      <c r="S169" s="15" t="str">
        <f>IF(J169="","",J169&amp;"|"&amp;E169&amp;"|"&amp;F169&amp;"|"&amp;I169&amp;"|"&amp;O169)</f>
        <v>G.900014.8.9090|2026|Budget|2026|Woningverkopen Q4</v>
      </c>
      <c r="T169" s="15">
        <f>IF(OR(S169="",D169&lt;&gt;"Vastgesteld"),"",_xlfn.MAXIFS($G$6:$G$5005,$S$6:$S$5005,S169,$D$6:$D$5005,"Vastgesteld"))</f>
        <v>0</v>
      </c>
      <c r="U169" s="15">
        <f>IF(T169="",0,IF(AND(G169=T169,COUNTIFS($S$6:S169,S169,$G$6:G169,G169,$D$6:D169,"Vastgesteld")=1),1,0))</f>
        <v>1</v>
      </c>
      <c r="V169" s="15">
        <f>IF(T169="",0,IF(AND(G169=T169,COUNTIFS($S$6:S169,S169,$G$6:G169,G169,$D$6:D169,"Vastgesteld")&gt;1),1,0))</f>
        <v>0</v>
      </c>
    </row>
    <row r="170">
      <c r="A170" s="92" t="inlineStr">
        <is>
          <t>HIST-2026-Budget</t>
        </is>
      </c>
      <c r="B170" s="92" t="inlineStr">
        <is>
          <t>RDFO_FICTIEVE_historie_en_mapping.xlsx</t>
        </is>
      </c>
      <c r="C170" s="108" t="n">
        <v>46324</v>
      </c>
      <c r="D170" s="92" t="inlineStr">
        <is>
          <t>Vastgesteld</t>
        </is>
      </c>
      <c r="E170" s="92" t="n">
        <v>2026</v>
      </c>
      <c r="F170" s="92" t="inlineStr">
        <is>
          <t>Budget</t>
        </is>
      </c>
      <c r="G170" s="92" t="n">
        <v>0</v>
      </c>
      <c r="H170" s="108" t="n">
        <v>46022</v>
      </c>
      <c r="I170" s="92" t="n">
        <v>2026</v>
      </c>
      <c r="J170" s="92" t="inlineStr">
        <is>
          <t>G.900015.8.9090</t>
        </is>
      </c>
      <c r="K170" s="92" t="inlineStr">
        <is>
          <t>G.900015</t>
        </is>
      </c>
      <c r="L170" s="92" t="inlineStr">
        <is>
          <t>Lindehaven, Parkzoom fase 2</t>
        </is>
      </c>
      <c r="M170" s="92" t="inlineStr">
        <is>
          <t>Opstal</t>
        </is>
      </c>
      <c r="N170" s="92" t="inlineStr">
        <is>
          <t>J</t>
        </is>
      </c>
      <c r="O170" s="92" t="inlineStr">
        <is>
          <t>Woningverkopen FY</t>
        </is>
      </c>
      <c r="P170" s="109" t="n">
        <v>40</v>
      </c>
      <c r="Q170" s="92" t="inlineStr">
        <is>
          <t>aantal</t>
        </is>
      </c>
      <c r="R170" s="92" t="inlineStr">
        <is>
          <t>Synthetische snapshot; kwartalen zijn FY-verdeling, geen actuals</t>
        </is>
      </c>
      <c r="S170" s="15" t="str">
        <f>IF(J170="","",J170&amp;"|"&amp;E170&amp;"|"&amp;F170&amp;"|"&amp;I170&amp;"|"&amp;O170)</f>
        <v>G.900015.8.9090|2026|Budget|2026|Woningverkopen FY</v>
      </c>
      <c r="T170" s="15">
        <f>IF(OR(S170="",D170&lt;&gt;"Vastgesteld"),"",_xlfn.MAXIFS($G$6:$G$5005,$S$6:$S$5005,S170,$D$6:$D$5005,"Vastgesteld"))</f>
        <v>0</v>
      </c>
      <c r="U170" s="15">
        <f>IF(T170="",0,IF(AND(G170=T170,COUNTIFS($S$6:S170,S170,$G$6:G170,G170,$D$6:D170,"Vastgesteld")=1),1,0))</f>
        <v>1</v>
      </c>
      <c r="V170" s="15">
        <f>IF(T170="",0,IF(AND(G170=T170,COUNTIFS($S$6:S170,S170,$G$6:G170,G170,$D$6:D170,"Vastgesteld")&gt;1),1,0))</f>
        <v>0</v>
      </c>
    </row>
    <row r="171">
      <c r="A171" s="92" t="inlineStr">
        <is>
          <t>HIST-2026-Budget</t>
        </is>
      </c>
      <c r="B171" s="92" t="inlineStr">
        <is>
          <t>RDFO_FICTIEVE_historie_en_mapping.xlsx</t>
        </is>
      </c>
      <c r="C171" s="108" t="n">
        <v>46324</v>
      </c>
      <c r="D171" s="92" t="inlineStr">
        <is>
          <t>Vastgesteld</t>
        </is>
      </c>
      <c r="E171" s="92" t="n">
        <v>2026</v>
      </c>
      <c r="F171" s="92" t="inlineStr">
        <is>
          <t>Budget</t>
        </is>
      </c>
      <c r="G171" s="92" t="n">
        <v>0</v>
      </c>
      <c r="H171" s="108" t="n">
        <v>46022</v>
      </c>
      <c r="I171" s="92" t="n">
        <v>2026</v>
      </c>
      <c r="J171" s="92" t="inlineStr">
        <is>
          <t>G.900015.8.9090</t>
        </is>
      </c>
      <c r="K171" s="92" t="inlineStr">
        <is>
          <t>G.900015</t>
        </is>
      </c>
      <c r="L171" s="92" t="inlineStr">
        <is>
          <t>Lindehaven, Parkzoom fase 2</t>
        </is>
      </c>
      <c r="M171" s="92" t="inlineStr">
        <is>
          <t>Opstal</t>
        </is>
      </c>
      <c r="N171" s="92" t="inlineStr">
        <is>
          <t>J</t>
        </is>
      </c>
      <c r="O171" s="92" t="inlineStr">
        <is>
          <t>Woningen verkocht t/m vorig jaar</t>
        </is>
      </c>
      <c r="P171" s="109" t="n">
        <v>0</v>
      </c>
      <c r="Q171" s="92" t="inlineStr">
        <is>
          <t>aantal</t>
        </is>
      </c>
      <c r="R171" s="92" t="inlineStr">
        <is>
          <t>Synthetische snapshot; kwartalen zijn FY-verdeling, geen actuals</t>
        </is>
      </c>
      <c r="S171" s="15" t="str">
        <f>IF(J171="","",J171&amp;"|"&amp;E171&amp;"|"&amp;F171&amp;"|"&amp;I171&amp;"|"&amp;O171)</f>
        <v>G.900015.8.9090|2026|Budget|2026|Woningen verkocht t/m vorig jaar</v>
      </c>
      <c r="T171" s="15">
        <f>IF(OR(S171="",D171&lt;&gt;"Vastgesteld"),"",_xlfn.MAXIFS($G$6:$G$5005,$S$6:$S$5005,S171,$D$6:$D$5005,"Vastgesteld"))</f>
        <v>0</v>
      </c>
      <c r="U171" s="15">
        <f>IF(T171="",0,IF(AND(G171=T171,COUNTIFS($S$6:S171,S171,$G$6:G171,G171,$D$6:D171,"Vastgesteld")=1),1,0))</f>
        <v>1</v>
      </c>
      <c r="V171" s="15">
        <f>IF(T171="",0,IF(AND(G171=T171,COUNTIFS($S$6:S171,S171,$G$6:G171,G171,$D$6:D171,"Vastgesteld")&gt;1),1,0))</f>
        <v>0</v>
      </c>
    </row>
    <row r="172">
      <c r="A172" s="92" t="inlineStr">
        <is>
          <t>HIST-2026-Budget</t>
        </is>
      </c>
      <c r="B172" s="92" t="inlineStr">
        <is>
          <t>RDFO_FICTIEVE_historie_en_mapping.xlsx</t>
        </is>
      </c>
      <c r="C172" s="108" t="n">
        <v>46324</v>
      </c>
      <c r="D172" s="92" t="inlineStr">
        <is>
          <t>Vastgesteld</t>
        </is>
      </c>
      <c r="E172" s="92" t="n">
        <v>2026</v>
      </c>
      <c r="F172" s="92" t="inlineStr">
        <is>
          <t>Budget</t>
        </is>
      </c>
      <c r="G172" s="92" t="n">
        <v>0</v>
      </c>
      <c r="H172" s="108" t="n">
        <v>46022</v>
      </c>
      <c r="I172" s="92" t="n">
        <v>2026</v>
      </c>
      <c r="J172" s="92" t="inlineStr">
        <is>
          <t>G.900015.8.9090</t>
        </is>
      </c>
      <c r="K172" s="92" t="inlineStr">
        <is>
          <t>G.900015</t>
        </is>
      </c>
      <c r="L172" s="92" t="inlineStr">
        <is>
          <t>Lindehaven, Parkzoom fase 2</t>
        </is>
      </c>
      <c r="M172" s="92" t="inlineStr">
        <is>
          <t>Opstal</t>
        </is>
      </c>
      <c r="N172" s="92" t="inlineStr">
        <is>
          <t>J</t>
        </is>
      </c>
      <c r="O172" s="92" t="inlineStr">
        <is>
          <t>Woningverkopen Q1</t>
        </is>
      </c>
      <c r="P172" s="109" t="n">
        <v>8</v>
      </c>
      <c r="Q172" s="92" t="inlineStr">
        <is>
          <t>aantal</t>
        </is>
      </c>
      <c r="R172" s="92" t="inlineStr">
        <is>
          <t>Synthetische snapshot; kwartalen zijn FY-verdeling, geen actuals</t>
        </is>
      </c>
      <c r="S172" s="15" t="str">
        <f>IF(J172="","",J172&amp;"|"&amp;E172&amp;"|"&amp;F172&amp;"|"&amp;I172&amp;"|"&amp;O172)</f>
        <v>G.900015.8.9090|2026|Budget|2026|Woningverkopen Q1</v>
      </c>
      <c r="T172" s="15">
        <f>IF(OR(S172="",D172&lt;&gt;"Vastgesteld"),"",_xlfn.MAXIFS($G$6:$G$5005,$S$6:$S$5005,S172,$D$6:$D$5005,"Vastgesteld"))</f>
        <v>0</v>
      </c>
      <c r="U172" s="15">
        <f>IF(T172="",0,IF(AND(G172=T172,COUNTIFS($S$6:S172,S172,$G$6:G172,G172,$D$6:D172,"Vastgesteld")=1),1,0))</f>
        <v>1</v>
      </c>
      <c r="V172" s="15">
        <f>IF(T172="",0,IF(AND(G172=T172,COUNTIFS($S$6:S172,S172,$G$6:G172,G172,$D$6:D172,"Vastgesteld")&gt;1),1,0))</f>
        <v>0</v>
      </c>
    </row>
    <row r="173">
      <c r="A173" s="92" t="inlineStr">
        <is>
          <t>HIST-2026-Budget</t>
        </is>
      </c>
      <c r="B173" s="92" t="inlineStr">
        <is>
          <t>RDFO_FICTIEVE_historie_en_mapping.xlsx</t>
        </is>
      </c>
      <c r="C173" s="108" t="n">
        <v>46324</v>
      </c>
      <c r="D173" s="92" t="inlineStr">
        <is>
          <t>Vastgesteld</t>
        </is>
      </c>
      <c r="E173" s="92" t="n">
        <v>2026</v>
      </c>
      <c r="F173" s="92" t="inlineStr">
        <is>
          <t>Budget</t>
        </is>
      </c>
      <c r="G173" s="92" t="n">
        <v>0</v>
      </c>
      <c r="H173" s="108" t="n">
        <v>46022</v>
      </c>
      <c r="I173" s="92" t="n">
        <v>2026</v>
      </c>
      <c r="J173" s="92" t="inlineStr">
        <is>
          <t>G.900015.8.9090</t>
        </is>
      </c>
      <c r="K173" s="92" t="inlineStr">
        <is>
          <t>G.900015</t>
        </is>
      </c>
      <c r="L173" s="92" t="inlineStr">
        <is>
          <t>Lindehaven, Parkzoom fase 2</t>
        </is>
      </c>
      <c r="M173" s="92" t="inlineStr">
        <is>
          <t>Opstal</t>
        </is>
      </c>
      <c r="N173" s="92" t="inlineStr">
        <is>
          <t>J</t>
        </is>
      </c>
      <c r="O173" s="92" t="inlineStr">
        <is>
          <t>Woningverkopen Q2</t>
        </is>
      </c>
      <c r="P173" s="109" t="n">
        <v>10</v>
      </c>
      <c r="Q173" s="92" t="inlineStr">
        <is>
          <t>aantal</t>
        </is>
      </c>
      <c r="R173" s="92" t="inlineStr">
        <is>
          <t>Synthetische snapshot; kwartalen zijn FY-verdeling, geen actuals</t>
        </is>
      </c>
      <c r="S173" s="15" t="str">
        <f>IF(J173="","",J173&amp;"|"&amp;E173&amp;"|"&amp;F173&amp;"|"&amp;I173&amp;"|"&amp;O173)</f>
        <v>G.900015.8.9090|2026|Budget|2026|Woningverkopen Q2</v>
      </c>
      <c r="T173" s="15">
        <f>IF(OR(S173="",D173&lt;&gt;"Vastgesteld"),"",_xlfn.MAXIFS($G$6:$G$5005,$S$6:$S$5005,S173,$D$6:$D$5005,"Vastgesteld"))</f>
        <v>0</v>
      </c>
      <c r="U173" s="15">
        <f>IF(T173="",0,IF(AND(G173=T173,COUNTIFS($S$6:S173,S173,$G$6:G173,G173,$D$6:D173,"Vastgesteld")=1),1,0))</f>
        <v>1</v>
      </c>
      <c r="V173" s="15">
        <f>IF(T173="",0,IF(AND(G173=T173,COUNTIFS($S$6:S173,S173,$G$6:G173,G173,$D$6:D173,"Vastgesteld")&gt;1),1,0))</f>
        <v>0</v>
      </c>
    </row>
    <row r="174">
      <c r="A174" s="92" t="inlineStr">
        <is>
          <t>HIST-2026-Budget</t>
        </is>
      </c>
      <c r="B174" s="92" t="inlineStr">
        <is>
          <t>RDFO_FICTIEVE_historie_en_mapping.xlsx</t>
        </is>
      </c>
      <c r="C174" s="108" t="n">
        <v>46324</v>
      </c>
      <c r="D174" s="92" t="inlineStr">
        <is>
          <t>Vastgesteld</t>
        </is>
      </c>
      <c r="E174" s="92" t="n">
        <v>2026</v>
      </c>
      <c r="F174" s="92" t="inlineStr">
        <is>
          <t>Budget</t>
        </is>
      </c>
      <c r="G174" s="92" t="n">
        <v>0</v>
      </c>
      <c r="H174" s="108" t="n">
        <v>46022</v>
      </c>
      <c r="I174" s="92" t="n">
        <v>2026</v>
      </c>
      <c r="J174" s="92" t="inlineStr">
        <is>
          <t>G.900015.8.9090</t>
        </is>
      </c>
      <c r="K174" s="92" t="inlineStr">
        <is>
          <t>G.900015</t>
        </is>
      </c>
      <c r="L174" s="92" t="inlineStr">
        <is>
          <t>Lindehaven, Parkzoom fase 2</t>
        </is>
      </c>
      <c r="M174" s="92" t="inlineStr">
        <is>
          <t>Opstal</t>
        </is>
      </c>
      <c r="N174" s="92" t="inlineStr">
        <is>
          <t>J</t>
        </is>
      </c>
      <c r="O174" s="92" t="inlineStr">
        <is>
          <t>Woningverkopen Q3</t>
        </is>
      </c>
      <c r="P174" s="109" t="n">
        <v>10</v>
      </c>
      <c r="Q174" s="92" t="inlineStr">
        <is>
          <t>aantal</t>
        </is>
      </c>
      <c r="R174" s="92" t="inlineStr">
        <is>
          <t>Synthetische snapshot; kwartalen zijn FY-verdeling, geen actuals</t>
        </is>
      </c>
      <c r="S174" s="15" t="str">
        <f>IF(J174="","",J174&amp;"|"&amp;E174&amp;"|"&amp;F174&amp;"|"&amp;I174&amp;"|"&amp;O174)</f>
        <v>G.900015.8.9090|2026|Budget|2026|Woningverkopen Q3</v>
      </c>
      <c r="T174" s="15">
        <f>IF(OR(S174="",D174&lt;&gt;"Vastgesteld"),"",_xlfn.MAXIFS($G$6:$G$5005,$S$6:$S$5005,S174,$D$6:$D$5005,"Vastgesteld"))</f>
        <v>0</v>
      </c>
      <c r="U174" s="15">
        <f>IF(T174="",0,IF(AND(G174=T174,COUNTIFS($S$6:S174,S174,$G$6:G174,G174,$D$6:D174,"Vastgesteld")=1),1,0))</f>
        <v>1</v>
      </c>
      <c r="V174" s="15">
        <f>IF(T174="",0,IF(AND(G174=T174,COUNTIFS($S$6:S174,S174,$G$6:G174,G174,$D$6:D174,"Vastgesteld")&gt;1),1,0))</f>
        <v>0</v>
      </c>
    </row>
    <row r="175">
      <c r="A175" s="92" t="inlineStr">
        <is>
          <t>HIST-2026-Budget</t>
        </is>
      </c>
      <c r="B175" s="92" t="inlineStr">
        <is>
          <t>RDFO_FICTIEVE_historie_en_mapping.xlsx</t>
        </is>
      </c>
      <c r="C175" s="108" t="n">
        <v>46324</v>
      </c>
      <c r="D175" s="92" t="inlineStr">
        <is>
          <t>Vastgesteld</t>
        </is>
      </c>
      <c r="E175" s="92" t="n">
        <v>2026</v>
      </c>
      <c r="F175" s="92" t="inlineStr">
        <is>
          <t>Budget</t>
        </is>
      </c>
      <c r="G175" s="92" t="n">
        <v>0</v>
      </c>
      <c r="H175" s="108" t="n">
        <v>46022</v>
      </c>
      <c r="I175" s="92" t="n">
        <v>2026</v>
      </c>
      <c r="J175" s="92" t="inlineStr">
        <is>
          <t>G.900015.8.9090</t>
        </is>
      </c>
      <c r="K175" s="92" t="inlineStr">
        <is>
          <t>G.900015</t>
        </is>
      </c>
      <c r="L175" s="92" t="inlineStr">
        <is>
          <t>Lindehaven, Parkzoom fase 2</t>
        </is>
      </c>
      <c r="M175" s="92" t="inlineStr">
        <is>
          <t>Opstal</t>
        </is>
      </c>
      <c r="N175" s="92" t="inlineStr">
        <is>
          <t>J</t>
        </is>
      </c>
      <c r="O175" s="92" t="inlineStr">
        <is>
          <t>Woningverkopen Q4</t>
        </is>
      </c>
      <c r="P175" s="109" t="n">
        <v>12</v>
      </c>
      <c r="Q175" s="92" t="inlineStr">
        <is>
          <t>aantal</t>
        </is>
      </c>
      <c r="R175" s="92" t="inlineStr">
        <is>
          <t>Synthetische snapshot; kwartalen zijn FY-verdeling, geen actuals</t>
        </is>
      </c>
      <c r="S175" s="15" t="str">
        <f>IF(J175="","",J175&amp;"|"&amp;E175&amp;"|"&amp;F175&amp;"|"&amp;I175&amp;"|"&amp;O175)</f>
        <v>G.900015.8.9090|2026|Budget|2026|Woningverkopen Q4</v>
      </c>
      <c r="T175" s="15">
        <f>IF(OR(S175="",D175&lt;&gt;"Vastgesteld"),"",_xlfn.MAXIFS($G$6:$G$5005,$S$6:$S$5005,S175,$D$6:$D$5005,"Vastgesteld"))</f>
        <v>0</v>
      </c>
      <c r="U175" s="15">
        <f>IF(T175="",0,IF(AND(G175=T175,COUNTIFS($S$6:S175,S175,$G$6:G175,G175,$D$6:D175,"Vastgesteld")=1),1,0))</f>
        <v>1</v>
      </c>
      <c r="V175" s="15">
        <f>IF(T175="",0,IF(AND(G175=T175,COUNTIFS($S$6:S175,S175,$G$6:G175,G175,$D$6:D175,"Vastgesteld")&gt;1),1,0))</f>
        <v>0</v>
      </c>
    </row>
    <row r="176">
      <c r="A176" s="92" t="inlineStr">
        <is>
          <t>HIST-2026-Budget</t>
        </is>
      </c>
      <c r="B176" s="92" t="inlineStr">
        <is>
          <t>RDFO_FICTIEVE_historie_en_mapping.xlsx</t>
        </is>
      </c>
      <c r="C176" s="108" t="n">
        <v>46324</v>
      </c>
      <c r="D176" s="92" t="inlineStr">
        <is>
          <t>Vastgesteld</t>
        </is>
      </c>
      <c r="E176" s="92" t="n">
        <v>2026</v>
      </c>
      <c r="F176" s="92" t="inlineStr">
        <is>
          <t>Budget</t>
        </is>
      </c>
      <c r="G176" s="92" t="n">
        <v>0</v>
      </c>
      <c r="H176" s="108" t="n">
        <v>46022</v>
      </c>
      <c r="I176" s="92" t="n">
        <v>2026</v>
      </c>
      <c r="J176" s="92" t="inlineStr">
        <is>
          <t>G.900016.8.9090</t>
        </is>
      </c>
      <c r="K176" s="92" t="inlineStr">
        <is>
          <t>G.900016</t>
        </is>
      </c>
      <c r="L176" s="92" t="inlineStr">
        <is>
          <t>Duinwaard, De Lantaarn</t>
        </is>
      </c>
      <c r="M176" s="92" t="inlineStr">
        <is>
          <t>Opstal</t>
        </is>
      </c>
      <c r="N176" s="92" t="inlineStr">
        <is>
          <t>J</t>
        </is>
      </c>
      <c r="O176" s="92" t="inlineStr">
        <is>
          <t>Woningverkopen FY</t>
        </is>
      </c>
      <c r="P176" s="109" t="n">
        <v>12</v>
      </c>
      <c r="Q176" s="92" t="inlineStr">
        <is>
          <t>aantal</t>
        </is>
      </c>
      <c r="R176" s="92" t="inlineStr">
        <is>
          <t>Synthetische snapshot; kwartalen zijn FY-verdeling, geen actuals</t>
        </is>
      </c>
      <c r="S176" s="15" t="str">
        <f>IF(J176="","",J176&amp;"|"&amp;E176&amp;"|"&amp;F176&amp;"|"&amp;I176&amp;"|"&amp;O176)</f>
        <v>G.900016.8.9090|2026|Budget|2026|Woningverkopen FY</v>
      </c>
      <c r="T176" s="15">
        <f>IF(OR(S176="",D176&lt;&gt;"Vastgesteld"),"",_xlfn.MAXIFS($G$6:$G$5005,$S$6:$S$5005,S176,$D$6:$D$5005,"Vastgesteld"))</f>
        <v>0</v>
      </c>
      <c r="U176" s="15">
        <f>IF(T176="",0,IF(AND(G176=T176,COUNTIFS($S$6:S176,S176,$G$6:G176,G176,$D$6:D176,"Vastgesteld")=1),1,0))</f>
        <v>1</v>
      </c>
      <c r="V176" s="15">
        <f>IF(T176="",0,IF(AND(G176=T176,COUNTIFS($S$6:S176,S176,$G$6:G176,G176,$D$6:D176,"Vastgesteld")&gt;1),1,0))</f>
        <v>0</v>
      </c>
    </row>
    <row r="177">
      <c r="A177" s="92" t="inlineStr">
        <is>
          <t>HIST-2026-Budget</t>
        </is>
      </c>
      <c r="B177" s="92" t="inlineStr">
        <is>
          <t>RDFO_FICTIEVE_historie_en_mapping.xlsx</t>
        </is>
      </c>
      <c r="C177" s="108" t="n">
        <v>46324</v>
      </c>
      <c r="D177" s="92" t="inlineStr">
        <is>
          <t>Vastgesteld</t>
        </is>
      </c>
      <c r="E177" s="92" t="n">
        <v>2026</v>
      </c>
      <c r="F177" s="92" t="inlineStr">
        <is>
          <t>Budget</t>
        </is>
      </c>
      <c r="G177" s="92" t="n">
        <v>0</v>
      </c>
      <c r="H177" s="108" t="n">
        <v>46022</v>
      </c>
      <c r="I177" s="92" t="n">
        <v>2026</v>
      </c>
      <c r="J177" s="92" t="inlineStr">
        <is>
          <t>G.900016.8.9090</t>
        </is>
      </c>
      <c r="K177" s="92" t="inlineStr">
        <is>
          <t>G.900016</t>
        </is>
      </c>
      <c r="L177" s="92" t="inlineStr">
        <is>
          <t>Duinwaard, De Lantaarn</t>
        </is>
      </c>
      <c r="M177" s="92" t="inlineStr">
        <is>
          <t>Opstal</t>
        </is>
      </c>
      <c r="N177" s="92" t="inlineStr">
        <is>
          <t>J</t>
        </is>
      </c>
      <c r="O177" s="92" t="inlineStr">
        <is>
          <t>Woningen verkocht t/m vorig jaar</t>
        </is>
      </c>
      <c r="P177" s="109" t="n">
        <v>0</v>
      </c>
      <c r="Q177" s="92" t="inlineStr">
        <is>
          <t>aantal</t>
        </is>
      </c>
      <c r="R177" s="92" t="inlineStr">
        <is>
          <t>Synthetische snapshot; kwartalen zijn FY-verdeling, geen actuals</t>
        </is>
      </c>
      <c r="S177" s="15" t="str">
        <f>IF(J177="","",J177&amp;"|"&amp;E177&amp;"|"&amp;F177&amp;"|"&amp;I177&amp;"|"&amp;O177)</f>
        <v>G.900016.8.9090|2026|Budget|2026|Woningen verkocht t/m vorig jaar</v>
      </c>
      <c r="T177" s="15">
        <f>IF(OR(S177="",D177&lt;&gt;"Vastgesteld"),"",_xlfn.MAXIFS($G$6:$G$5005,$S$6:$S$5005,S177,$D$6:$D$5005,"Vastgesteld"))</f>
        <v>0</v>
      </c>
      <c r="U177" s="15">
        <f>IF(T177="",0,IF(AND(G177=T177,COUNTIFS($S$6:S177,S177,$G$6:G177,G177,$D$6:D177,"Vastgesteld")=1),1,0))</f>
        <v>1</v>
      </c>
      <c r="V177" s="15">
        <f>IF(T177="",0,IF(AND(G177=T177,COUNTIFS($S$6:S177,S177,$G$6:G177,G177,$D$6:D177,"Vastgesteld")&gt;1),1,0))</f>
        <v>0</v>
      </c>
    </row>
    <row r="178">
      <c r="A178" s="92" t="inlineStr">
        <is>
          <t>HIST-2026-Budget</t>
        </is>
      </c>
      <c r="B178" s="92" t="inlineStr">
        <is>
          <t>RDFO_FICTIEVE_historie_en_mapping.xlsx</t>
        </is>
      </c>
      <c r="C178" s="108" t="n">
        <v>46324</v>
      </c>
      <c r="D178" s="92" t="inlineStr">
        <is>
          <t>Vastgesteld</t>
        </is>
      </c>
      <c r="E178" s="92" t="n">
        <v>2026</v>
      </c>
      <c r="F178" s="92" t="inlineStr">
        <is>
          <t>Budget</t>
        </is>
      </c>
      <c r="G178" s="92" t="n">
        <v>0</v>
      </c>
      <c r="H178" s="108" t="n">
        <v>46022</v>
      </c>
      <c r="I178" s="92" t="n">
        <v>2026</v>
      </c>
      <c r="J178" s="92" t="inlineStr">
        <is>
          <t>G.900016.8.9090</t>
        </is>
      </c>
      <c r="K178" s="92" t="inlineStr">
        <is>
          <t>G.900016</t>
        </is>
      </c>
      <c r="L178" s="92" t="inlineStr">
        <is>
          <t>Duinwaard, De Lantaarn</t>
        </is>
      </c>
      <c r="M178" s="92" t="inlineStr">
        <is>
          <t>Opstal</t>
        </is>
      </c>
      <c r="N178" s="92" t="inlineStr">
        <is>
          <t>J</t>
        </is>
      </c>
      <c r="O178" s="92" t="inlineStr">
        <is>
          <t>Woningverkopen Q1</t>
        </is>
      </c>
      <c r="P178" s="109" t="n">
        <v>2</v>
      </c>
      <c r="Q178" s="92" t="inlineStr">
        <is>
          <t>aantal</t>
        </is>
      </c>
      <c r="R178" s="92" t="inlineStr">
        <is>
          <t>Synthetische snapshot; kwartalen zijn FY-verdeling, geen actuals</t>
        </is>
      </c>
      <c r="S178" s="15" t="str">
        <f>IF(J178="","",J178&amp;"|"&amp;E178&amp;"|"&amp;F178&amp;"|"&amp;I178&amp;"|"&amp;O178)</f>
        <v>G.900016.8.9090|2026|Budget|2026|Woningverkopen Q1</v>
      </c>
      <c r="T178" s="15">
        <f>IF(OR(S178="",D178&lt;&gt;"Vastgesteld"),"",_xlfn.MAXIFS($G$6:$G$5005,$S$6:$S$5005,S178,$D$6:$D$5005,"Vastgesteld"))</f>
        <v>0</v>
      </c>
      <c r="U178" s="15">
        <f>IF(T178="",0,IF(AND(G178=T178,COUNTIFS($S$6:S178,S178,$G$6:G178,G178,$D$6:D178,"Vastgesteld")=1),1,0))</f>
        <v>1</v>
      </c>
      <c r="V178" s="15">
        <f>IF(T178="",0,IF(AND(G178=T178,COUNTIFS($S$6:S178,S178,$G$6:G178,G178,$D$6:D178,"Vastgesteld")&gt;1),1,0))</f>
        <v>0</v>
      </c>
    </row>
    <row r="179">
      <c r="A179" s="92" t="inlineStr">
        <is>
          <t>HIST-2026-Budget</t>
        </is>
      </c>
      <c r="B179" s="92" t="inlineStr">
        <is>
          <t>RDFO_FICTIEVE_historie_en_mapping.xlsx</t>
        </is>
      </c>
      <c r="C179" s="108" t="n">
        <v>46324</v>
      </c>
      <c r="D179" s="92" t="inlineStr">
        <is>
          <t>Vastgesteld</t>
        </is>
      </c>
      <c r="E179" s="92" t="n">
        <v>2026</v>
      </c>
      <c r="F179" s="92" t="inlineStr">
        <is>
          <t>Budget</t>
        </is>
      </c>
      <c r="G179" s="92" t="n">
        <v>0</v>
      </c>
      <c r="H179" s="108" t="n">
        <v>46022</v>
      </c>
      <c r="I179" s="92" t="n">
        <v>2026</v>
      </c>
      <c r="J179" s="92" t="inlineStr">
        <is>
          <t>G.900016.8.9090</t>
        </is>
      </c>
      <c r="K179" s="92" t="inlineStr">
        <is>
          <t>G.900016</t>
        </is>
      </c>
      <c r="L179" s="92" t="inlineStr">
        <is>
          <t>Duinwaard, De Lantaarn</t>
        </is>
      </c>
      <c r="M179" s="92" t="inlineStr">
        <is>
          <t>Opstal</t>
        </is>
      </c>
      <c r="N179" s="92" t="inlineStr">
        <is>
          <t>J</t>
        </is>
      </c>
      <c r="O179" s="92" t="inlineStr">
        <is>
          <t>Woningverkopen Q2</t>
        </is>
      </c>
      <c r="P179" s="109" t="n">
        <v>3</v>
      </c>
      <c r="Q179" s="92" t="inlineStr">
        <is>
          <t>aantal</t>
        </is>
      </c>
      <c r="R179" s="92" t="inlineStr">
        <is>
          <t>Synthetische snapshot; kwartalen zijn FY-verdeling, geen actuals</t>
        </is>
      </c>
      <c r="S179" s="15" t="str">
        <f>IF(J179="","",J179&amp;"|"&amp;E179&amp;"|"&amp;F179&amp;"|"&amp;I179&amp;"|"&amp;O179)</f>
        <v>G.900016.8.9090|2026|Budget|2026|Woningverkopen Q2</v>
      </c>
      <c r="T179" s="15">
        <f>IF(OR(S179="",D179&lt;&gt;"Vastgesteld"),"",_xlfn.MAXIFS($G$6:$G$5005,$S$6:$S$5005,S179,$D$6:$D$5005,"Vastgesteld"))</f>
        <v>0</v>
      </c>
      <c r="U179" s="15">
        <f>IF(T179="",0,IF(AND(G179=T179,COUNTIFS($S$6:S179,S179,$G$6:G179,G179,$D$6:D179,"Vastgesteld")=1),1,0))</f>
        <v>1</v>
      </c>
      <c r="V179" s="15">
        <f>IF(T179="",0,IF(AND(G179=T179,COUNTIFS($S$6:S179,S179,$G$6:G179,G179,$D$6:D179,"Vastgesteld")&gt;1),1,0))</f>
        <v>0</v>
      </c>
    </row>
    <row r="180">
      <c r="A180" s="92" t="inlineStr">
        <is>
          <t>HIST-2026-Budget</t>
        </is>
      </c>
      <c r="B180" s="92" t="inlineStr">
        <is>
          <t>RDFO_FICTIEVE_historie_en_mapping.xlsx</t>
        </is>
      </c>
      <c r="C180" s="108" t="n">
        <v>46324</v>
      </c>
      <c r="D180" s="92" t="inlineStr">
        <is>
          <t>Vastgesteld</t>
        </is>
      </c>
      <c r="E180" s="92" t="n">
        <v>2026</v>
      </c>
      <c r="F180" s="92" t="inlineStr">
        <is>
          <t>Budget</t>
        </is>
      </c>
      <c r="G180" s="92" t="n">
        <v>0</v>
      </c>
      <c r="H180" s="108" t="n">
        <v>46022</v>
      </c>
      <c r="I180" s="92" t="n">
        <v>2026</v>
      </c>
      <c r="J180" s="92" t="inlineStr">
        <is>
          <t>G.900016.8.9090</t>
        </is>
      </c>
      <c r="K180" s="92" t="inlineStr">
        <is>
          <t>G.900016</t>
        </is>
      </c>
      <c r="L180" s="92" t="inlineStr">
        <is>
          <t>Duinwaard, De Lantaarn</t>
        </is>
      </c>
      <c r="M180" s="92" t="inlineStr">
        <is>
          <t>Opstal</t>
        </is>
      </c>
      <c r="N180" s="92" t="inlineStr">
        <is>
          <t>J</t>
        </is>
      </c>
      <c r="O180" s="92" t="inlineStr">
        <is>
          <t>Woningverkopen Q3</t>
        </is>
      </c>
      <c r="P180" s="109" t="n">
        <v>3</v>
      </c>
      <c r="Q180" s="92" t="inlineStr">
        <is>
          <t>aantal</t>
        </is>
      </c>
      <c r="R180" s="92" t="inlineStr">
        <is>
          <t>Synthetische snapshot; kwartalen zijn FY-verdeling, geen actuals</t>
        </is>
      </c>
      <c r="S180" s="15" t="str">
        <f>IF(J180="","",J180&amp;"|"&amp;E180&amp;"|"&amp;F180&amp;"|"&amp;I180&amp;"|"&amp;O180)</f>
        <v>G.900016.8.9090|2026|Budget|2026|Woningverkopen Q3</v>
      </c>
      <c r="T180" s="15">
        <f>IF(OR(S180="",D180&lt;&gt;"Vastgesteld"),"",_xlfn.MAXIFS($G$6:$G$5005,$S$6:$S$5005,S180,$D$6:$D$5005,"Vastgesteld"))</f>
        <v>0</v>
      </c>
      <c r="U180" s="15">
        <f>IF(T180="",0,IF(AND(G180=T180,COUNTIFS($S$6:S180,S180,$G$6:G180,G180,$D$6:D180,"Vastgesteld")=1),1,0))</f>
        <v>1</v>
      </c>
      <c r="V180" s="15">
        <f>IF(T180="",0,IF(AND(G180=T180,COUNTIFS($S$6:S180,S180,$G$6:G180,G180,$D$6:D180,"Vastgesteld")&gt;1),1,0))</f>
        <v>0</v>
      </c>
    </row>
    <row r="181">
      <c r="A181" s="92" t="inlineStr">
        <is>
          <t>HIST-2026-Budget</t>
        </is>
      </c>
      <c r="B181" s="92" t="inlineStr">
        <is>
          <t>RDFO_FICTIEVE_historie_en_mapping.xlsx</t>
        </is>
      </c>
      <c r="C181" s="108" t="n">
        <v>46324</v>
      </c>
      <c r="D181" s="92" t="inlineStr">
        <is>
          <t>Vastgesteld</t>
        </is>
      </c>
      <c r="E181" s="92" t="n">
        <v>2026</v>
      </c>
      <c r="F181" s="92" t="inlineStr">
        <is>
          <t>Budget</t>
        </is>
      </c>
      <c r="G181" s="92" t="n">
        <v>0</v>
      </c>
      <c r="H181" s="108" t="n">
        <v>46022</v>
      </c>
      <c r="I181" s="92" t="n">
        <v>2026</v>
      </c>
      <c r="J181" s="92" t="inlineStr">
        <is>
          <t>G.900016.8.9090</t>
        </is>
      </c>
      <c r="K181" s="92" t="inlineStr">
        <is>
          <t>G.900016</t>
        </is>
      </c>
      <c r="L181" s="92" t="inlineStr">
        <is>
          <t>Duinwaard, De Lantaarn</t>
        </is>
      </c>
      <c r="M181" s="92" t="inlineStr">
        <is>
          <t>Opstal</t>
        </is>
      </c>
      <c r="N181" s="92" t="inlineStr">
        <is>
          <t>J</t>
        </is>
      </c>
      <c r="O181" s="92" t="inlineStr">
        <is>
          <t>Woningverkopen Q4</t>
        </is>
      </c>
      <c r="P181" s="109" t="n">
        <v>4</v>
      </c>
      <c r="Q181" s="92" t="inlineStr">
        <is>
          <t>aantal</t>
        </is>
      </c>
      <c r="R181" s="92" t="inlineStr">
        <is>
          <t>Synthetische snapshot; kwartalen zijn FY-verdeling, geen actuals</t>
        </is>
      </c>
      <c r="S181" s="15" t="str">
        <f>IF(J181="","",J181&amp;"|"&amp;E181&amp;"|"&amp;F181&amp;"|"&amp;I181&amp;"|"&amp;O181)</f>
        <v>G.900016.8.9090|2026|Budget|2026|Woningverkopen Q4</v>
      </c>
      <c r="T181" s="15">
        <f>IF(OR(S181="",D181&lt;&gt;"Vastgesteld"),"",_xlfn.MAXIFS($G$6:$G$5005,$S$6:$S$5005,S181,$D$6:$D$5005,"Vastgesteld"))</f>
        <v>0</v>
      </c>
      <c r="U181" s="15">
        <f>IF(T181="",0,IF(AND(G181=T181,COUNTIFS($S$6:S181,S181,$G$6:G181,G181,$D$6:D181,"Vastgesteld")=1),1,0))</f>
        <v>1</v>
      </c>
      <c r="V181" s="15">
        <f>IF(T181="",0,IF(AND(G181=T181,COUNTIFS($S$6:S181,S181,$G$6:G181,G181,$D$6:D181,"Vastgesteld")&gt;1),1,0))</f>
        <v>0</v>
      </c>
    </row>
    <row r="182">
      <c r="A182" s="92" t="inlineStr">
        <is>
          <t>HIST-2026-Budget</t>
        </is>
      </c>
      <c r="B182" s="92" t="inlineStr">
        <is>
          <t>RDFO_FICTIEVE_historie_en_mapping.xlsx</t>
        </is>
      </c>
      <c r="C182" s="108" t="n">
        <v>46324</v>
      </c>
      <c r="D182" s="92" t="inlineStr">
        <is>
          <t>Vastgesteld</t>
        </is>
      </c>
      <c r="E182" s="92" t="n">
        <v>2026</v>
      </c>
      <c r="F182" s="92" t="inlineStr">
        <is>
          <t>Budget</t>
        </is>
      </c>
      <c r="G182" s="92" t="n">
        <v>0</v>
      </c>
      <c r="H182" s="108" t="n">
        <v>46022</v>
      </c>
      <c r="I182" s="92" t="n">
        <v>2026</v>
      </c>
      <c r="J182" s="92" t="inlineStr">
        <is>
          <t>G.900017.8.9090</t>
        </is>
      </c>
      <c r="K182" s="92" t="inlineStr">
        <is>
          <t>G.900017</t>
        </is>
      </c>
      <c r="L182" s="92" t="inlineStr">
        <is>
          <t>Veldendam, Spoorpark</t>
        </is>
      </c>
      <c r="M182" s="92" t="inlineStr">
        <is>
          <t>Opstal</t>
        </is>
      </c>
      <c r="N182" s="92" t="inlineStr">
        <is>
          <t>J</t>
        </is>
      </c>
      <c r="O182" s="92" t="inlineStr">
        <is>
          <t>Woningverkopen FY</t>
        </is>
      </c>
      <c r="P182" s="109" t="n">
        <v>31</v>
      </c>
      <c r="Q182" s="92" t="inlineStr">
        <is>
          <t>aantal</t>
        </is>
      </c>
      <c r="R182" s="92" t="inlineStr">
        <is>
          <t>Synthetische snapshot; kwartalen zijn FY-verdeling, geen actuals</t>
        </is>
      </c>
      <c r="S182" s="15" t="str">
        <f>IF(J182="","",J182&amp;"|"&amp;E182&amp;"|"&amp;F182&amp;"|"&amp;I182&amp;"|"&amp;O182)</f>
        <v>G.900017.8.9090|2026|Budget|2026|Woningverkopen FY</v>
      </c>
      <c r="T182" s="15">
        <f>IF(OR(S182="",D182&lt;&gt;"Vastgesteld"),"",_xlfn.MAXIFS($G$6:$G$5005,$S$6:$S$5005,S182,$D$6:$D$5005,"Vastgesteld"))</f>
        <v>0</v>
      </c>
      <c r="U182" s="15">
        <f>IF(T182="",0,IF(AND(G182=T182,COUNTIFS($S$6:S182,S182,$G$6:G182,G182,$D$6:D182,"Vastgesteld")=1),1,0))</f>
        <v>1</v>
      </c>
      <c r="V182" s="15">
        <f>IF(T182="",0,IF(AND(G182=T182,COUNTIFS($S$6:S182,S182,$G$6:G182,G182,$D$6:D182,"Vastgesteld")&gt;1),1,0))</f>
        <v>0</v>
      </c>
    </row>
    <row r="183">
      <c r="A183" s="92" t="inlineStr">
        <is>
          <t>HIST-2026-Budget</t>
        </is>
      </c>
      <c r="B183" s="92" t="inlineStr">
        <is>
          <t>RDFO_FICTIEVE_historie_en_mapping.xlsx</t>
        </is>
      </c>
      <c r="C183" s="108" t="n">
        <v>46324</v>
      </c>
      <c r="D183" s="92" t="inlineStr">
        <is>
          <t>Vastgesteld</t>
        </is>
      </c>
      <c r="E183" s="92" t="n">
        <v>2026</v>
      </c>
      <c r="F183" s="92" t="inlineStr">
        <is>
          <t>Budget</t>
        </is>
      </c>
      <c r="G183" s="92" t="n">
        <v>0</v>
      </c>
      <c r="H183" s="108" t="n">
        <v>46022</v>
      </c>
      <c r="I183" s="92" t="n">
        <v>2026</v>
      </c>
      <c r="J183" s="92" t="inlineStr">
        <is>
          <t>G.900017.8.9090</t>
        </is>
      </c>
      <c r="K183" s="92" t="inlineStr">
        <is>
          <t>G.900017</t>
        </is>
      </c>
      <c r="L183" s="92" t="inlineStr">
        <is>
          <t>Veldendam, Spoorpark</t>
        </is>
      </c>
      <c r="M183" s="92" t="inlineStr">
        <is>
          <t>Opstal</t>
        </is>
      </c>
      <c r="N183" s="92" t="inlineStr">
        <is>
          <t>J</t>
        </is>
      </c>
      <c r="O183" s="92" t="inlineStr">
        <is>
          <t>Woningen verkocht t/m vorig jaar</t>
        </is>
      </c>
      <c r="P183" s="109" t="n">
        <v>0</v>
      </c>
      <c r="Q183" s="92" t="inlineStr">
        <is>
          <t>aantal</t>
        </is>
      </c>
      <c r="R183" s="92" t="inlineStr">
        <is>
          <t>Synthetische snapshot; kwartalen zijn FY-verdeling, geen actuals</t>
        </is>
      </c>
      <c r="S183" s="15" t="str">
        <f>IF(J183="","",J183&amp;"|"&amp;E183&amp;"|"&amp;F183&amp;"|"&amp;I183&amp;"|"&amp;O183)</f>
        <v>G.900017.8.9090|2026|Budget|2026|Woningen verkocht t/m vorig jaar</v>
      </c>
      <c r="T183" s="15">
        <f>IF(OR(S183="",D183&lt;&gt;"Vastgesteld"),"",_xlfn.MAXIFS($G$6:$G$5005,$S$6:$S$5005,S183,$D$6:$D$5005,"Vastgesteld"))</f>
        <v>0</v>
      </c>
      <c r="U183" s="15">
        <f>IF(T183="",0,IF(AND(G183=T183,COUNTIFS($S$6:S183,S183,$G$6:G183,G183,$D$6:D183,"Vastgesteld")=1),1,0))</f>
        <v>1</v>
      </c>
      <c r="V183" s="15">
        <f>IF(T183="",0,IF(AND(G183=T183,COUNTIFS($S$6:S183,S183,$G$6:G183,G183,$D$6:D183,"Vastgesteld")&gt;1),1,0))</f>
        <v>0</v>
      </c>
    </row>
    <row r="184">
      <c r="A184" s="92" t="inlineStr">
        <is>
          <t>HIST-2026-Budget</t>
        </is>
      </c>
      <c r="B184" s="92" t="inlineStr">
        <is>
          <t>RDFO_FICTIEVE_historie_en_mapping.xlsx</t>
        </is>
      </c>
      <c r="C184" s="108" t="n">
        <v>46324</v>
      </c>
      <c r="D184" s="92" t="inlineStr">
        <is>
          <t>Vastgesteld</t>
        </is>
      </c>
      <c r="E184" s="92" t="n">
        <v>2026</v>
      </c>
      <c r="F184" s="92" t="inlineStr">
        <is>
          <t>Budget</t>
        </is>
      </c>
      <c r="G184" s="92" t="n">
        <v>0</v>
      </c>
      <c r="H184" s="108" t="n">
        <v>46022</v>
      </c>
      <c r="I184" s="92" t="n">
        <v>2026</v>
      </c>
      <c r="J184" s="92" t="inlineStr">
        <is>
          <t>G.900017.8.9090</t>
        </is>
      </c>
      <c r="K184" s="92" t="inlineStr">
        <is>
          <t>G.900017</t>
        </is>
      </c>
      <c r="L184" s="92" t="inlineStr">
        <is>
          <t>Veldendam, Spoorpark</t>
        </is>
      </c>
      <c r="M184" s="92" t="inlineStr">
        <is>
          <t>Opstal</t>
        </is>
      </c>
      <c r="N184" s="92" t="inlineStr">
        <is>
          <t>J</t>
        </is>
      </c>
      <c r="O184" s="92" t="inlineStr">
        <is>
          <t>Woningverkopen Q1</t>
        </is>
      </c>
      <c r="P184" s="109" t="n">
        <v>6</v>
      </c>
      <c r="Q184" s="92" t="inlineStr">
        <is>
          <t>aantal</t>
        </is>
      </c>
      <c r="R184" s="92" t="inlineStr">
        <is>
          <t>Synthetische snapshot; kwartalen zijn FY-verdeling, geen actuals</t>
        </is>
      </c>
      <c r="S184" s="15" t="str">
        <f>IF(J184="","",J184&amp;"|"&amp;E184&amp;"|"&amp;F184&amp;"|"&amp;I184&amp;"|"&amp;O184)</f>
        <v>G.900017.8.9090|2026|Budget|2026|Woningverkopen Q1</v>
      </c>
      <c r="T184" s="15">
        <f>IF(OR(S184="",D184&lt;&gt;"Vastgesteld"),"",_xlfn.MAXIFS($G$6:$G$5005,$S$6:$S$5005,S184,$D$6:$D$5005,"Vastgesteld"))</f>
        <v>0</v>
      </c>
      <c r="U184" s="15">
        <f>IF(T184="",0,IF(AND(G184=T184,COUNTIFS($S$6:S184,S184,$G$6:G184,G184,$D$6:D184,"Vastgesteld")=1),1,0))</f>
        <v>1</v>
      </c>
      <c r="V184" s="15">
        <f>IF(T184="",0,IF(AND(G184=T184,COUNTIFS($S$6:S184,S184,$G$6:G184,G184,$D$6:D184,"Vastgesteld")&gt;1),1,0))</f>
        <v>0</v>
      </c>
    </row>
    <row r="185">
      <c r="A185" s="92" t="inlineStr">
        <is>
          <t>HIST-2026-Budget</t>
        </is>
      </c>
      <c r="B185" s="92" t="inlineStr">
        <is>
          <t>RDFO_FICTIEVE_historie_en_mapping.xlsx</t>
        </is>
      </c>
      <c r="C185" s="108" t="n">
        <v>46324</v>
      </c>
      <c r="D185" s="92" t="inlineStr">
        <is>
          <t>Vastgesteld</t>
        </is>
      </c>
      <c r="E185" s="92" t="n">
        <v>2026</v>
      </c>
      <c r="F185" s="92" t="inlineStr">
        <is>
          <t>Budget</t>
        </is>
      </c>
      <c r="G185" s="92" t="n">
        <v>0</v>
      </c>
      <c r="H185" s="108" t="n">
        <v>46022</v>
      </c>
      <c r="I185" s="92" t="n">
        <v>2026</v>
      </c>
      <c r="J185" s="92" t="inlineStr">
        <is>
          <t>G.900017.8.9090</t>
        </is>
      </c>
      <c r="K185" s="92" t="inlineStr">
        <is>
          <t>G.900017</t>
        </is>
      </c>
      <c r="L185" s="92" t="inlineStr">
        <is>
          <t>Veldendam, Spoorpark</t>
        </is>
      </c>
      <c r="M185" s="92" t="inlineStr">
        <is>
          <t>Opstal</t>
        </is>
      </c>
      <c r="N185" s="92" t="inlineStr">
        <is>
          <t>J</t>
        </is>
      </c>
      <c r="O185" s="92" t="inlineStr">
        <is>
          <t>Woningverkopen Q2</t>
        </is>
      </c>
      <c r="P185" s="109" t="n">
        <v>7</v>
      </c>
      <c r="Q185" s="92" t="inlineStr">
        <is>
          <t>aantal</t>
        </is>
      </c>
      <c r="R185" s="92" t="inlineStr">
        <is>
          <t>Synthetische snapshot; kwartalen zijn FY-verdeling, geen actuals</t>
        </is>
      </c>
      <c r="S185" s="15" t="str">
        <f>IF(J185="","",J185&amp;"|"&amp;E185&amp;"|"&amp;F185&amp;"|"&amp;I185&amp;"|"&amp;O185)</f>
        <v>G.900017.8.9090|2026|Budget|2026|Woningverkopen Q2</v>
      </c>
      <c r="T185" s="15">
        <f>IF(OR(S185="",D185&lt;&gt;"Vastgesteld"),"",_xlfn.MAXIFS($G$6:$G$5005,$S$6:$S$5005,S185,$D$6:$D$5005,"Vastgesteld"))</f>
        <v>0</v>
      </c>
      <c r="U185" s="15">
        <f>IF(T185="",0,IF(AND(G185=T185,COUNTIFS($S$6:S185,S185,$G$6:G185,G185,$D$6:D185,"Vastgesteld")=1),1,0))</f>
        <v>1</v>
      </c>
      <c r="V185" s="15">
        <f>IF(T185="",0,IF(AND(G185=T185,COUNTIFS($S$6:S185,S185,$G$6:G185,G185,$D$6:D185,"Vastgesteld")&gt;1),1,0))</f>
        <v>0</v>
      </c>
    </row>
    <row r="186">
      <c r="A186" s="92" t="inlineStr">
        <is>
          <t>HIST-2026-Budget</t>
        </is>
      </c>
      <c r="B186" s="92" t="inlineStr">
        <is>
          <t>RDFO_FICTIEVE_historie_en_mapping.xlsx</t>
        </is>
      </c>
      <c r="C186" s="108" t="n">
        <v>46324</v>
      </c>
      <c r="D186" s="92" t="inlineStr">
        <is>
          <t>Vastgesteld</t>
        </is>
      </c>
      <c r="E186" s="92" t="n">
        <v>2026</v>
      </c>
      <c r="F186" s="92" t="inlineStr">
        <is>
          <t>Budget</t>
        </is>
      </c>
      <c r="G186" s="92" t="n">
        <v>0</v>
      </c>
      <c r="H186" s="108" t="n">
        <v>46022</v>
      </c>
      <c r="I186" s="92" t="n">
        <v>2026</v>
      </c>
      <c r="J186" s="92" t="inlineStr">
        <is>
          <t>G.900017.8.9090</t>
        </is>
      </c>
      <c r="K186" s="92" t="inlineStr">
        <is>
          <t>G.900017</t>
        </is>
      </c>
      <c r="L186" s="92" t="inlineStr">
        <is>
          <t>Veldendam, Spoorpark</t>
        </is>
      </c>
      <c r="M186" s="92" t="inlineStr">
        <is>
          <t>Opstal</t>
        </is>
      </c>
      <c r="N186" s="92" t="inlineStr">
        <is>
          <t>J</t>
        </is>
      </c>
      <c r="O186" s="92" t="inlineStr">
        <is>
          <t>Woningverkopen Q3</t>
        </is>
      </c>
      <c r="P186" s="109" t="n">
        <v>7</v>
      </c>
      <c r="Q186" s="92" t="inlineStr">
        <is>
          <t>aantal</t>
        </is>
      </c>
      <c r="R186" s="92" t="inlineStr">
        <is>
          <t>Synthetische snapshot; kwartalen zijn FY-verdeling, geen actuals</t>
        </is>
      </c>
      <c r="S186" s="15" t="str">
        <f>IF(J186="","",J186&amp;"|"&amp;E186&amp;"|"&amp;F186&amp;"|"&amp;I186&amp;"|"&amp;O186)</f>
        <v>G.900017.8.9090|2026|Budget|2026|Woningverkopen Q3</v>
      </c>
      <c r="T186" s="15">
        <f>IF(OR(S186="",D186&lt;&gt;"Vastgesteld"),"",_xlfn.MAXIFS($G$6:$G$5005,$S$6:$S$5005,S186,$D$6:$D$5005,"Vastgesteld"))</f>
        <v>0</v>
      </c>
      <c r="U186" s="15">
        <f>IF(T186="",0,IF(AND(G186=T186,COUNTIFS($S$6:S186,S186,$G$6:G186,G186,$D$6:D186,"Vastgesteld")=1),1,0))</f>
        <v>1</v>
      </c>
      <c r="V186" s="15">
        <f>IF(T186="",0,IF(AND(G186=T186,COUNTIFS($S$6:S186,S186,$G$6:G186,G186,$D$6:D186,"Vastgesteld")&gt;1),1,0))</f>
        <v>0</v>
      </c>
    </row>
    <row r="187">
      <c r="A187" s="92" t="inlineStr">
        <is>
          <t>HIST-2026-Budget</t>
        </is>
      </c>
      <c r="B187" s="92" t="inlineStr">
        <is>
          <t>RDFO_FICTIEVE_historie_en_mapping.xlsx</t>
        </is>
      </c>
      <c r="C187" s="108" t="n">
        <v>46324</v>
      </c>
      <c r="D187" s="92" t="inlineStr">
        <is>
          <t>Vastgesteld</t>
        </is>
      </c>
      <c r="E187" s="92" t="n">
        <v>2026</v>
      </c>
      <c r="F187" s="92" t="inlineStr">
        <is>
          <t>Budget</t>
        </is>
      </c>
      <c r="G187" s="92" t="n">
        <v>0</v>
      </c>
      <c r="H187" s="108" t="n">
        <v>46022</v>
      </c>
      <c r="I187" s="92" t="n">
        <v>2026</v>
      </c>
      <c r="J187" s="92" t="inlineStr">
        <is>
          <t>G.900017.8.9090</t>
        </is>
      </c>
      <c r="K187" s="92" t="inlineStr">
        <is>
          <t>G.900017</t>
        </is>
      </c>
      <c r="L187" s="92" t="inlineStr">
        <is>
          <t>Veldendam, Spoorpark</t>
        </is>
      </c>
      <c r="M187" s="92" t="inlineStr">
        <is>
          <t>Opstal</t>
        </is>
      </c>
      <c r="N187" s="92" t="inlineStr">
        <is>
          <t>J</t>
        </is>
      </c>
      <c r="O187" s="92" t="inlineStr">
        <is>
          <t>Woningverkopen Q4</t>
        </is>
      </c>
      <c r="P187" s="109" t="n">
        <v>11</v>
      </c>
      <c r="Q187" s="92" t="inlineStr">
        <is>
          <t>aantal</t>
        </is>
      </c>
      <c r="R187" s="92" t="inlineStr">
        <is>
          <t>Synthetische snapshot; kwartalen zijn FY-verdeling, geen actuals</t>
        </is>
      </c>
      <c r="S187" s="15" t="str">
        <f>IF(J187="","",J187&amp;"|"&amp;E187&amp;"|"&amp;F187&amp;"|"&amp;I187&amp;"|"&amp;O187)</f>
        <v>G.900017.8.9090|2026|Budget|2026|Woningverkopen Q4</v>
      </c>
      <c r="T187" s="15">
        <f>IF(OR(S187="",D187&lt;&gt;"Vastgesteld"),"",_xlfn.MAXIFS($G$6:$G$5005,$S$6:$S$5005,S187,$D$6:$D$5005,"Vastgesteld"))</f>
        <v>0</v>
      </c>
      <c r="U187" s="15">
        <f>IF(T187="",0,IF(AND(G187=T187,COUNTIFS($S$6:S187,S187,$G$6:G187,G187,$D$6:D187,"Vastgesteld")=1),1,0))</f>
        <v>1</v>
      </c>
      <c r="V187" s="15">
        <f>IF(T187="",0,IF(AND(G187=T187,COUNTIFS($S$6:S187,S187,$G$6:G187,G187,$D$6:D187,"Vastgesteld")&gt;1),1,0))</f>
        <v>0</v>
      </c>
    </row>
    <row r="188">
      <c r="A188" s="92" t="inlineStr">
        <is>
          <t>HIST-2026-Budget</t>
        </is>
      </c>
      <c r="B188" s="92" t="inlineStr">
        <is>
          <t>RDFO_FICTIEVE_historie_en_mapping.xlsx</t>
        </is>
      </c>
      <c r="C188" s="108" t="n">
        <v>46324</v>
      </c>
      <c r="D188" s="92" t="inlineStr">
        <is>
          <t>Vastgesteld</t>
        </is>
      </c>
      <c r="E188" s="92" t="n">
        <v>2026</v>
      </c>
      <c r="F188" s="92" t="inlineStr">
        <is>
          <t>Budget</t>
        </is>
      </c>
      <c r="G188" s="92" t="n">
        <v>0</v>
      </c>
      <c r="H188" s="108" t="n">
        <v>46022</v>
      </c>
      <c r="I188" s="92" t="n">
        <v>2026</v>
      </c>
      <c r="J188" s="92" t="inlineStr">
        <is>
          <t>G.900018.8.9090</t>
        </is>
      </c>
      <c r="K188" s="92" t="inlineStr">
        <is>
          <t>G.900018</t>
        </is>
      </c>
      <c r="L188" s="92" t="inlineStr">
        <is>
          <t>Meerhovenstad, De Boog</t>
        </is>
      </c>
      <c r="M188" s="92" t="inlineStr">
        <is>
          <t>Deelneming</t>
        </is>
      </c>
      <c r="N188" s="92" t="inlineStr">
        <is>
          <t>N</t>
        </is>
      </c>
      <c r="O188" s="92" t="inlineStr">
        <is>
          <t>Woningverkopen FY</t>
        </is>
      </c>
      <c r="P188" s="109" t="n">
        <v>16</v>
      </c>
      <c r="Q188" s="92" t="inlineStr">
        <is>
          <t>aantal</t>
        </is>
      </c>
      <c r="R188" s="92" t="inlineStr">
        <is>
          <t>Synthetische snapshot; kwartalen zijn FY-verdeling, geen actuals</t>
        </is>
      </c>
      <c r="S188" s="15" t="str">
        <f>IF(J188="","",J188&amp;"|"&amp;E188&amp;"|"&amp;F188&amp;"|"&amp;I188&amp;"|"&amp;O188)</f>
        <v>G.900018.8.9090|2026|Budget|2026|Woningverkopen FY</v>
      </c>
      <c r="T188" s="15">
        <f>IF(OR(S188="",D188&lt;&gt;"Vastgesteld"),"",_xlfn.MAXIFS($G$6:$G$5005,$S$6:$S$5005,S188,$D$6:$D$5005,"Vastgesteld"))</f>
        <v>0</v>
      </c>
      <c r="U188" s="15">
        <f>IF(T188="",0,IF(AND(G188=T188,COUNTIFS($S$6:S188,S188,$G$6:G188,G188,$D$6:D188,"Vastgesteld")=1),1,0))</f>
        <v>1</v>
      </c>
      <c r="V188" s="15">
        <f>IF(T188="",0,IF(AND(G188=T188,COUNTIFS($S$6:S188,S188,$G$6:G188,G188,$D$6:D188,"Vastgesteld")&gt;1),1,0))</f>
        <v>0</v>
      </c>
    </row>
    <row r="189">
      <c r="A189" s="92" t="inlineStr">
        <is>
          <t>HIST-2026-Budget</t>
        </is>
      </c>
      <c r="B189" s="92" t="inlineStr">
        <is>
          <t>RDFO_FICTIEVE_historie_en_mapping.xlsx</t>
        </is>
      </c>
      <c r="C189" s="108" t="n">
        <v>46324</v>
      </c>
      <c r="D189" s="92" t="inlineStr">
        <is>
          <t>Vastgesteld</t>
        </is>
      </c>
      <c r="E189" s="92" t="n">
        <v>2026</v>
      </c>
      <c r="F189" s="92" t="inlineStr">
        <is>
          <t>Budget</t>
        </is>
      </c>
      <c r="G189" s="92" t="n">
        <v>0</v>
      </c>
      <c r="H189" s="108" t="n">
        <v>46022</v>
      </c>
      <c r="I189" s="92" t="n">
        <v>2026</v>
      </c>
      <c r="J189" s="92" t="inlineStr">
        <is>
          <t>G.900018.8.9090</t>
        </is>
      </c>
      <c r="K189" s="92" t="inlineStr">
        <is>
          <t>G.900018</t>
        </is>
      </c>
      <c r="L189" s="92" t="inlineStr">
        <is>
          <t>Meerhovenstad, De Boog</t>
        </is>
      </c>
      <c r="M189" s="92" t="inlineStr">
        <is>
          <t>Deelneming</t>
        </is>
      </c>
      <c r="N189" s="92" t="inlineStr">
        <is>
          <t>N</t>
        </is>
      </c>
      <c r="O189" s="92" t="inlineStr">
        <is>
          <t>Woningen verkocht t/m vorig jaar</t>
        </is>
      </c>
      <c r="P189" s="109" t="n">
        <v>0</v>
      </c>
      <c r="Q189" s="92" t="inlineStr">
        <is>
          <t>aantal</t>
        </is>
      </c>
      <c r="R189" s="92" t="inlineStr">
        <is>
          <t>Synthetische snapshot; kwartalen zijn FY-verdeling, geen actuals</t>
        </is>
      </c>
      <c r="S189" s="15" t="str">
        <f>IF(J189="","",J189&amp;"|"&amp;E189&amp;"|"&amp;F189&amp;"|"&amp;I189&amp;"|"&amp;O189)</f>
        <v>G.900018.8.9090|2026|Budget|2026|Woningen verkocht t/m vorig jaar</v>
      </c>
      <c r="T189" s="15">
        <f>IF(OR(S189="",D189&lt;&gt;"Vastgesteld"),"",_xlfn.MAXIFS($G$6:$G$5005,$S$6:$S$5005,S189,$D$6:$D$5005,"Vastgesteld"))</f>
        <v>0</v>
      </c>
      <c r="U189" s="15">
        <f>IF(T189="",0,IF(AND(G189=T189,COUNTIFS($S$6:S189,S189,$G$6:G189,G189,$D$6:D189,"Vastgesteld")=1),1,0))</f>
        <v>1</v>
      </c>
      <c r="V189" s="15">
        <f>IF(T189="",0,IF(AND(G189=T189,COUNTIFS($S$6:S189,S189,$G$6:G189,G189,$D$6:D189,"Vastgesteld")&gt;1),1,0))</f>
        <v>0</v>
      </c>
    </row>
    <row r="190">
      <c r="A190" s="92" t="inlineStr">
        <is>
          <t>HIST-2026-Budget</t>
        </is>
      </c>
      <c r="B190" s="92" t="inlineStr">
        <is>
          <t>RDFO_FICTIEVE_historie_en_mapping.xlsx</t>
        </is>
      </c>
      <c r="C190" s="108" t="n">
        <v>46324</v>
      </c>
      <c r="D190" s="92" t="inlineStr">
        <is>
          <t>Vastgesteld</t>
        </is>
      </c>
      <c r="E190" s="92" t="n">
        <v>2026</v>
      </c>
      <c r="F190" s="92" t="inlineStr">
        <is>
          <t>Budget</t>
        </is>
      </c>
      <c r="G190" s="92" t="n">
        <v>0</v>
      </c>
      <c r="H190" s="108" t="n">
        <v>46022</v>
      </c>
      <c r="I190" s="92" t="n">
        <v>2026</v>
      </c>
      <c r="J190" s="92" t="inlineStr">
        <is>
          <t>G.900018.8.9090</t>
        </is>
      </c>
      <c r="K190" s="92" t="inlineStr">
        <is>
          <t>G.900018</t>
        </is>
      </c>
      <c r="L190" s="92" t="inlineStr">
        <is>
          <t>Meerhovenstad, De Boog</t>
        </is>
      </c>
      <c r="M190" s="92" t="inlineStr">
        <is>
          <t>Deelneming</t>
        </is>
      </c>
      <c r="N190" s="92" t="inlineStr">
        <is>
          <t>N</t>
        </is>
      </c>
      <c r="O190" s="92" t="inlineStr">
        <is>
          <t>Woningverkopen Q1</t>
        </is>
      </c>
      <c r="P190" s="109" t="n">
        <v>3</v>
      </c>
      <c r="Q190" s="92" t="inlineStr">
        <is>
          <t>aantal</t>
        </is>
      </c>
      <c r="R190" s="92" t="inlineStr">
        <is>
          <t>Synthetische snapshot; kwartalen zijn FY-verdeling, geen actuals</t>
        </is>
      </c>
      <c r="S190" s="15" t="str">
        <f>IF(J190="","",J190&amp;"|"&amp;E190&amp;"|"&amp;F190&amp;"|"&amp;I190&amp;"|"&amp;O190)</f>
        <v>G.900018.8.9090|2026|Budget|2026|Woningverkopen Q1</v>
      </c>
      <c r="T190" s="15">
        <f>IF(OR(S190="",D190&lt;&gt;"Vastgesteld"),"",_xlfn.MAXIFS($G$6:$G$5005,$S$6:$S$5005,S190,$D$6:$D$5005,"Vastgesteld"))</f>
        <v>0</v>
      </c>
      <c r="U190" s="15">
        <f>IF(T190="",0,IF(AND(G190=T190,COUNTIFS($S$6:S190,S190,$G$6:G190,G190,$D$6:D190,"Vastgesteld")=1),1,0))</f>
        <v>1</v>
      </c>
      <c r="V190" s="15">
        <f>IF(T190="",0,IF(AND(G190=T190,COUNTIFS($S$6:S190,S190,$G$6:G190,G190,$D$6:D190,"Vastgesteld")&gt;1),1,0))</f>
        <v>0</v>
      </c>
    </row>
    <row r="191">
      <c r="A191" s="92" t="inlineStr">
        <is>
          <t>HIST-2026-Budget</t>
        </is>
      </c>
      <c r="B191" s="92" t="inlineStr">
        <is>
          <t>RDFO_FICTIEVE_historie_en_mapping.xlsx</t>
        </is>
      </c>
      <c r="C191" s="108" t="n">
        <v>46324</v>
      </c>
      <c r="D191" s="92" t="inlineStr">
        <is>
          <t>Vastgesteld</t>
        </is>
      </c>
      <c r="E191" s="92" t="n">
        <v>2026</v>
      </c>
      <c r="F191" s="92" t="inlineStr">
        <is>
          <t>Budget</t>
        </is>
      </c>
      <c r="G191" s="92" t="n">
        <v>0</v>
      </c>
      <c r="H191" s="108" t="n">
        <v>46022</v>
      </c>
      <c r="I191" s="92" t="n">
        <v>2026</v>
      </c>
      <c r="J191" s="92" t="inlineStr">
        <is>
          <t>G.900018.8.9090</t>
        </is>
      </c>
      <c r="K191" s="92" t="inlineStr">
        <is>
          <t>G.900018</t>
        </is>
      </c>
      <c r="L191" s="92" t="inlineStr">
        <is>
          <t>Meerhovenstad, De Boog</t>
        </is>
      </c>
      <c r="M191" s="92" t="inlineStr">
        <is>
          <t>Deelneming</t>
        </is>
      </c>
      <c r="N191" s="92" t="inlineStr">
        <is>
          <t>N</t>
        </is>
      </c>
      <c r="O191" s="92" t="inlineStr">
        <is>
          <t>Woningverkopen Q2</t>
        </is>
      </c>
      <c r="P191" s="109" t="n">
        <v>4</v>
      </c>
      <c r="Q191" s="92" t="inlineStr">
        <is>
          <t>aantal</t>
        </is>
      </c>
      <c r="R191" s="92" t="inlineStr">
        <is>
          <t>Synthetische snapshot; kwartalen zijn FY-verdeling, geen actuals</t>
        </is>
      </c>
      <c r="S191" s="15" t="str">
        <f>IF(J191="","",J191&amp;"|"&amp;E191&amp;"|"&amp;F191&amp;"|"&amp;I191&amp;"|"&amp;O191)</f>
        <v>G.900018.8.9090|2026|Budget|2026|Woningverkopen Q2</v>
      </c>
      <c r="T191" s="15">
        <f>IF(OR(S191="",D191&lt;&gt;"Vastgesteld"),"",_xlfn.MAXIFS($G$6:$G$5005,$S$6:$S$5005,S191,$D$6:$D$5005,"Vastgesteld"))</f>
        <v>0</v>
      </c>
      <c r="U191" s="15">
        <f>IF(T191="",0,IF(AND(G191=T191,COUNTIFS($S$6:S191,S191,$G$6:G191,G191,$D$6:D191,"Vastgesteld")=1),1,0))</f>
        <v>1</v>
      </c>
      <c r="V191" s="15">
        <f>IF(T191="",0,IF(AND(G191=T191,COUNTIFS($S$6:S191,S191,$G$6:G191,G191,$D$6:D191,"Vastgesteld")&gt;1),1,0))</f>
        <v>0</v>
      </c>
    </row>
    <row r="192">
      <c r="A192" s="92" t="inlineStr">
        <is>
          <t>HIST-2026-Budget</t>
        </is>
      </c>
      <c r="B192" s="92" t="inlineStr">
        <is>
          <t>RDFO_FICTIEVE_historie_en_mapping.xlsx</t>
        </is>
      </c>
      <c r="C192" s="108" t="n">
        <v>46324</v>
      </c>
      <c r="D192" s="92" t="inlineStr">
        <is>
          <t>Vastgesteld</t>
        </is>
      </c>
      <c r="E192" s="92" t="n">
        <v>2026</v>
      </c>
      <c r="F192" s="92" t="inlineStr">
        <is>
          <t>Budget</t>
        </is>
      </c>
      <c r="G192" s="92" t="n">
        <v>0</v>
      </c>
      <c r="H192" s="108" t="n">
        <v>46022</v>
      </c>
      <c r="I192" s="92" t="n">
        <v>2026</v>
      </c>
      <c r="J192" s="92" t="inlineStr">
        <is>
          <t>G.900018.8.9090</t>
        </is>
      </c>
      <c r="K192" s="92" t="inlineStr">
        <is>
          <t>G.900018</t>
        </is>
      </c>
      <c r="L192" s="92" t="inlineStr">
        <is>
          <t>Meerhovenstad, De Boog</t>
        </is>
      </c>
      <c r="M192" s="92" t="inlineStr">
        <is>
          <t>Deelneming</t>
        </is>
      </c>
      <c r="N192" s="92" t="inlineStr">
        <is>
          <t>N</t>
        </is>
      </c>
      <c r="O192" s="92" t="inlineStr">
        <is>
          <t>Woningverkopen Q3</t>
        </is>
      </c>
      <c r="P192" s="109" t="n">
        <v>4</v>
      </c>
      <c r="Q192" s="92" t="inlineStr">
        <is>
          <t>aantal</t>
        </is>
      </c>
      <c r="R192" s="92" t="inlineStr">
        <is>
          <t>Synthetische snapshot; kwartalen zijn FY-verdeling, geen actuals</t>
        </is>
      </c>
      <c r="S192" s="15" t="str">
        <f>IF(J192="","",J192&amp;"|"&amp;E192&amp;"|"&amp;F192&amp;"|"&amp;I192&amp;"|"&amp;O192)</f>
        <v>G.900018.8.9090|2026|Budget|2026|Woningverkopen Q3</v>
      </c>
      <c r="T192" s="15">
        <f>IF(OR(S192="",D192&lt;&gt;"Vastgesteld"),"",_xlfn.MAXIFS($G$6:$G$5005,$S$6:$S$5005,S192,$D$6:$D$5005,"Vastgesteld"))</f>
        <v>0</v>
      </c>
      <c r="U192" s="15">
        <f>IF(T192="",0,IF(AND(G192=T192,COUNTIFS($S$6:S192,S192,$G$6:G192,G192,$D$6:D192,"Vastgesteld")=1),1,0))</f>
        <v>1</v>
      </c>
      <c r="V192" s="15">
        <f>IF(T192="",0,IF(AND(G192=T192,COUNTIFS($S$6:S192,S192,$G$6:G192,G192,$D$6:D192,"Vastgesteld")&gt;1),1,0))</f>
        <v>0</v>
      </c>
    </row>
    <row r="193">
      <c r="A193" s="92" t="inlineStr">
        <is>
          <t>HIST-2026-Budget</t>
        </is>
      </c>
      <c r="B193" s="92" t="inlineStr">
        <is>
          <t>RDFO_FICTIEVE_historie_en_mapping.xlsx</t>
        </is>
      </c>
      <c r="C193" s="108" t="n">
        <v>46324</v>
      </c>
      <c r="D193" s="92" t="inlineStr">
        <is>
          <t>Vastgesteld</t>
        </is>
      </c>
      <c r="E193" s="92" t="n">
        <v>2026</v>
      </c>
      <c r="F193" s="92" t="inlineStr">
        <is>
          <t>Budget</t>
        </is>
      </c>
      <c r="G193" s="92" t="n">
        <v>0</v>
      </c>
      <c r="H193" s="108" t="n">
        <v>46022</v>
      </c>
      <c r="I193" s="92" t="n">
        <v>2026</v>
      </c>
      <c r="J193" s="92" t="inlineStr">
        <is>
          <t>G.900018.8.9090</t>
        </is>
      </c>
      <c r="K193" s="92" t="inlineStr">
        <is>
          <t>G.900018</t>
        </is>
      </c>
      <c r="L193" s="92" t="inlineStr">
        <is>
          <t>Meerhovenstad, De Boog</t>
        </is>
      </c>
      <c r="M193" s="92" t="inlineStr">
        <is>
          <t>Deelneming</t>
        </is>
      </c>
      <c r="N193" s="92" t="inlineStr">
        <is>
          <t>N</t>
        </is>
      </c>
      <c r="O193" s="92" t="inlineStr">
        <is>
          <t>Woningverkopen Q4</t>
        </is>
      </c>
      <c r="P193" s="109" t="n">
        <v>5</v>
      </c>
      <c r="Q193" s="92" t="inlineStr">
        <is>
          <t>aantal</t>
        </is>
      </c>
      <c r="R193" s="92" t="inlineStr">
        <is>
          <t>Synthetische snapshot; kwartalen zijn FY-verdeling, geen actuals</t>
        </is>
      </c>
      <c r="S193" s="15" t="str">
        <f>IF(J193="","",J193&amp;"|"&amp;E193&amp;"|"&amp;F193&amp;"|"&amp;I193&amp;"|"&amp;O193)</f>
        <v>G.900018.8.9090|2026|Budget|2026|Woningverkopen Q4</v>
      </c>
      <c r="T193" s="15">
        <f>IF(OR(S193="",D193&lt;&gt;"Vastgesteld"),"",_xlfn.MAXIFS($G$6:$G$5005,$S$6:$S$5005,S193,$D$6:$D$5005,"Vastgesteld"))</f>
        <v>0</v>
      </c>
      <c r="U193" s="15">
        <f>IF(T193="",0,IF(AND(G193=T193,COUNTIFS($S$6:S193,S193,$G$6:G193,G193,$D$6:D193,"Vastgesteld")=1),1,0))</f>
        <v>1</v>
      </c>
      <c r="V193" s="15">
        <f>IF(T193="",0,IF(AND(G193=T193,COUNTIFS($S$6:S193,S193,$G$6:G193,G193,$D$6:D193,"Vastgesteld")&gt;1),1,0))</f>
        <v>0</v>
      </c>
    </row>
    <row r="194">
      <c r="A194" s="92" t="inlineStr">
        <is>
          <t>HIST-2026-Budget</t>
        </is>
      </c>
      <c r="B194" s="92" t="inlineStr">
        <is>
          <t>RDFO_FICTIEVE_historie_en_mapping.xlsx</t>
        </is>
      </c>
      <c r="C194" s="108" t="n">
        <v>46324</v>
      </c>
      <c r="D194" s="92" t="inlineStr">
        <is>
          <t>Vastgesteld</t>
        </is>
      </c>
      <c r="E194" s="92" t="n">
        <v>2026</v>
      </c>
      <c r="F194" s="92" t="inlineStr">
        <is>
          <t>Budget</t>
        </is>
      </c>
      <c r="G194" s="92" t="n">
        <v>0</v>
      </c>
      <c r="H194" s="108" t="n">
        <v>46022</v>
      </c>
      <c r="I194" s="92" t="n">
        <v>2026</v>
      </c>
      <c r="J194" s="92" t="inlineStr">
        <is>
          <t>G.900019.8.9090</t>
        </is>
      </c>
      <c r="K194" s="92" t="inlineStr">
        <is>
          <t>G.900019</t>
        </is>
      </c>
      <c r="L194" s="92" t="inlineStr">
        <is>
          <t>Zilverdam, Havenlicht</t>
        </is>
      </c>
      <c r="M194" s="92" t="inlineStr">
        <is>
          <t>Opstal</t>
        </is>
      </c>
      <c r="N194" s="92" t="inlineStr">
        <is>
          <t>J</t>
        </is>
      </c>
      <c r="O194" s="92" t="inlineStr">
        <is>
          <t>Woningverkopen FY</t>
        </is>
      </c>
      <c r="P194" s="109" t="n">
        <v>11</v>
      </c>
      <c r="Q194" s="92" t="inlineStr">
        <is>
          <t>aantal</t>
        </is>
      </c>
      <c r="R194" s="92" t="inlineStr">
        <is>
          <t>Synthetische snapshot; kwartalen zijn FY-verdeling, geen actuals</t>
        </is>
      </c>
      <c r="S194" s="15" t="str">
        <f>IF(J194="","",J194&amp;"|"&amp;E194&amp;"|"&amp;F194&amp;"|"&amp;I194&amp;"|"&amp;O194)</f>
        <v>G.900019.8.9090|2026|Budget|2026|Woningverkopen FY</v>
      </c>
      <c r="T194" s="15">
        <f>IF(OR(S194="",D194&lt;&gt;"Vastgesteld"),"",_xlfn.MAXIFS($G$6:$G$5005,$S$6:$S$5005,S194,$D$6:$D$5005,"Vastgesteld"))</f>
        <v>0</v>
      </c>
      <c r="U194" s="15">
        <f>IF(T194="",0,IF(AND(G194=T194,COUNTIFS($S$6:S194,S194,$G$6:G194,G194,$D$6:D194,"Vastgesteld")=1),1,0))</f>
        <v>1</v>
      </c>
      <c r="V194" s="15">
        <f>IF(T194="",0,IF(AND(G194=T194,COUNTIFS($S$6:S194,S194,$G$6:G194,G194,$D$6:D194,"Vastgesteld")&gt;1),1,0))</f>
        <v>0</v>
      </c>
    </row>
    <row r="195">
      <c r="A195" s="92" t="inlineStr">
        <is>
          <t>HIST-2026-Budget</t>
        </is>
      </c>
      <c r="B195" s="92" t="inlineStr">
        <is>
          <t>RDFO_FICTIEVE_historie_en_mapping.xlsx</t>
        </is>
      </c>
      <c r="C195" s="108" t="n">
        <v>46324</v>
      </c>
      <c r="D195" s="92" t="inlineStr">
        <is>
          <t>Vastgesteld</t>
        </is>
      </c>
      <c r="E195" s="92" t="n">
        <v>2026</v>
      </c>
      <c r="F195" s="92" t="inlineStr">
        <is>
          <t>Budget</t>
        </is>
      </c>
      <c r="G195" s="92" t="n">
        <v>0</v>
      </c>
      <c r="H195" s="108" t="n">
        <v>46022</v>
      </c>
      <c r="I195" s="92" t="n">
        <v>2026</v>
      </c>
      <c r="J195" s="92" t="inlineStr">
        <is>
          <t>G.900019.8.9090</t>
        </is>
      </c>
      <c r="K195" s="92" t="inlineStr">
        <is>
          <t>G.900019</t>
        </is>
      </c>
      <c r="L195" s="92" t="inlineStr">
        <is>
          <t>Zilverdam, Havenlicht</t>
        </is>
      </c>
      <c r="M195" s="92" t="inlineStr">
        <is>
          <t>Opstal</t>
        </is>
      </c>
      <c r="N195" s="92" t="inlineStr">
        <is>
          <t>J</t>
        </is>
      </c>
      <c r="O195" s="92" t="inlineStr">
        <is>
          <t>Woningen verkocht t/m vorig jaar</t>
        </is>
      </c>
      <c r="P195" s="109" t="n">
        <v>0</v>
      </c>
      <c r="Q195" s="92" t="inlineStr">
        <is>
          <t>aantal</t>
        </is>
      </c>
      <c r="R195" s="92" t="inlineStr">
        <is>
          <t>Synthetische snapshot; kwartalen zijn FY-verdeling, geen actuals</t>
        </is>
      </c>
      <c r="S195" s="15" t="str">
        <f>IF(J195="","",J195&amp;"|"&amp;E195&amp;"|"&amp;F195&amp;"|"&amp;I195&amp;"|"&amp;O195)</f>
        <v>G.900019.8.9090|2026|Budget|2026|Woningen verkocht t/m vorig jaar</v>
      </c>
      <c r="T195" s="15">
        <f>IF(OR(S195="",D195&lt;&gt;"Vastgesteld"),"",_xlfn.MAXIFS($G$6:$G$5005,$S$6:$S$5005,S195,$D$6:$D$5005,"Vastgesteld"))</f>
        <v>0</v>
      </c>
      <c r="U195" s="15">
        <f>IF(T195="",0,IF(AND(G195=T195,COUNTIFS($S$6:S195,S195,$G$6:G195,G195,$D$6:D195,"Vastgesteld")=1),1,0))</f>
        <v>1</v>
      </c>
      <c r="V195" s="15">
        <f>IF(T195="",0,IF(AND(G195=T195,COUNTIFS($S$6:S195,S195,$G$6:G195,G195,$D$6:D195,"Vastgesteld")&gt;1),1,0))</f>
        <v>0</v>
      </c>
    </row>
    <row r="196">
      <c r="A196" s="92" t="inlineStr">
        <is>
          <t>HIST-2026-Budget</t>
        </is>
      </c>
      <c r="B196" s="92" t="inlineStr">
        <is>
          <t>RDFO_FICTIEVE_historie_en_mapping.xlsx</t>
        </is>
      </c>
      <c r="C196" s="108" t="n">
        <v>46324</v>
      </c>
      <c r="D196" s="92" t="inlineStr">
        <is>
          <t>Vastgesteld</t>
        </is>
      </c>
      <c r="E196" s="92" t="n">
        <v>2026</v>
      </c>
      <c r="F196" s="92" t="inlineStr">
        <is>
          <t>Budget</t>
        </is>
      </c>
      <c r="G196" s="92" t="n">
        <v>0</v>
      </c>
      <c r="H196" s="108" t="n">
        <v>46022</v>
      </c>
      <c r="I196" s="92" t="n">
        <v>2026</v>
      </c>
      <c r="J196" s="92" t="inlineStr">
        <is>
          <t>G.900019.8.9090</t>
        </is>
      </c>
      <c r="K196" s="92" t="inlineStr">
        <is>
          <t>G.900019</t>
        </is>
      </c>
      <c r="L196" s="92" t="inlineStr">
        <is>
          <t>Zilverdam, Havenlicht</t>
        </is>
      </c>
      <c r="M196" s="92" t="inlineStr">
        <is>
          <t>Opstal</t>
        </is>
      </c>
      <c r="N196" s="92" t="inlineStr">
        <is>
          <t>J</t>
        </is>
      </c>
      <c r="O196" s="92" t="inlineStr">
        <is>
          <t>Woningverkopen Q1</t>
        </is>
      </c>
      <c r="P196" s="109" t="n">
        <v>2</v>
      </c>
      <c r="Q196" s="92" t="inlineStr">
        <is>
          <t>aantal</t>
        </is>
      </c>
      <c r="R196" s="92" t="inlineStr">
        <is>
          <t>Synthetische snapshot; kwartalen zijn FY-verdeling, geen actuals</t>
        </is>
      </c>
      <c r="S196" s="15" t="str">
        <f>IF(J196="","",J196&amp;"|"&amp;E196&amp;"|"&amp;F196&amp;"|"&amp;I196&amp;"|"&amp;O196)</f>
        <v>G.900019.8.9090|2026|Budget|2026|Woningverkopen Q1</v>
      </c>
      <c r="T196" s="15">
        <f>IF(OR(S196="",D196&lt;&gt;"Vastgesteld"),"",_xlfn.MAXIFS($G$6:$G$5005,$S$6:$S$5005,S196,$D$6:$D$5005,"Vastgesteld"))</f>
        <v>0</v>
      </c>
      <c r="U196" s="15">
        <f>IF(T196="",0,IF(AND(G196=T196,COUNTIFS($S$6:S196,S196,$G$6:G196,G196,$D$6:D196,"Vastgesteld")=1),1,0))</f>
        <v>1</v>
      </c>
      <c r="V196" s="15">
        <f>IF(T196="",0,IF(AND(G196=T196,COUNTIFS($S$6:S196,S196,$G$6:G196,G196,$D$6:D196,"Vastgesteld")&gt;1),1,0))</f>
        <v>0</v>
      </c>
    </row>
    <row r="197">
      <c r="A197" s="92" t="inlineStr">
        <is>
          <t>HIST-2026-Budget</t>
        </is>
      </c>
      <c r="B197" s="92" t="inlineStr">
        <is>
          <t>RDFO_FICTIEVE_historie_en_mapping.xlsx</t>
        </is>
      </c>
      <c r="C197" s="108" t="n">
        <v>46324</v>
      </c>
      <c r="D197" s="92" t="inlineStr">
        <is>
          <t>Vastgesteld</t>
        </is>
      </c>
      <c r="E197" s="92" t="n">
        <v>2026</v>
      </c>
      <c r="F197" s="92" t="inlineStr">
        <is>
          <t>Budget</t>
        </is>
      </c>
      <c r="G197" s="92" t="n">
        <v>0</v>
      </c>
      <c r="H197" s="108" t="n">
        <v>46022</v>
      </c>
      <c r="I197" s="92" t="n">
        <v>2026</v>
      </c>
      <c r="J197" s="92" t="inlineStr">
        <is>
          <t>G.900019.8.9090</t>
        </is>
      </c>
      <c r="K197" s="92" t="inlineStr">
        <is>
          <t>G.900019</t>
        </is>
      </c>
      <c r="L197" s="92" t="inlineStr">
        <is>
          <t>Zilverdam, Havenlicht</t>
        </is>
      </c>
      <c r="M197" s="92" t="inlineStr">
        <is>
          <t>Opstal</t>
        </is>
      </c>
      <c r="N197" s="92" t="inlineStr">
        <is>
          <t>J</t>
        </is>
      </c>
      <c r="O197" s="92" t="inlineStr">
        <is>
          <t>Woningverkopen Q2</t>
        </is>
      </c>
      <c r="P197" s="109" t="n">
        <v>2</v>
      </c>
      <c r="Q197" s="92" t="inlineStr">
        <is>
          <t>aantal</t>
        </is>
      </c>
      <c r="R197" s="92" t="inlineStr">
        <is>
          <t>Synthetische snapshot; kwartalen zijn FY-verdeling, geen actuals</t>
        </is>
      </c>
      <c r="S197" s="15" t="str">
        <f>IF(J197="","",J197&amp;"|"&amp;E197&amp;"|"&amp;F197&amp;"|"&amp;I197&amp;"|"&amp;O197)</f>
        <v>G.900019.8.9090|2026|Budget|2026|Woningverkopen Q2</v>
      </c>
      <c r="T197" s="15">
        <f>IF(OR(S197="",D197&lt;&gt;"Vastgesteld"),"",_xlfn.MAXIFS($G$6:$G$5005,$S$6:$S$5005,S197,$D$6:$D$5005,"Vastgesteld"))</f>
        <v>0</v>
      </c>
      <c r="U197" s="15">
        <f>IF(T197="",0,IF(AND(G197=T197,COUNTIFS($S$6:S197,S197,$G$6:G197,G197,$D$6:D197,"Vastgesteld")=1),1,0))</f>
        <v>1</v>
      </c>
      <c r="V197" s="15">
        <f>IF(T197="",0,IF(AND(G197=T197,COUNTIFS($S$6:S197,S197,$G$6:G197,G197,$D$6:D197,"Vastgesteld")&gt;1),1,0))</f>
        <v>0</v>
      </c>
    </row>
    <row r="198">
      <c r="A198" s="92" t="inlineStr">
        <is>
          <t>HIST-2026-Budget</t>
        </is>
      </c>
      <c r="B198" s="92" t="inlineStr">
        <is>
          <t>RDFO_FICTIEVE_historie_en_mapping.xlsx</t>
        </is>
      </c>
      <c r="C198" s="108" t="n">
        <v>46324</v>
      </c>
      <c r="D198" s="92" t="inlineStr">
        <is>
          <t>Vastgesteld</t>
        </is>
      </c>
      <c r="E198" s="92" t="n">
        <v>2026</v>
      </c>
      <c r="F198" s="92" t="inlineStr">
        <is>
          <t>Budget</t>
        </is>
      </c>
      <c r="G198" s="92" t="n">
        <v>0</v>
      </c>
      <c r="H198" s="108" t="n">
        <v>46022</v>
      </c>
      <c r="I198" s="92" t="n">
        <v>2026</v>
      </c>
      <c r="J198" s="92" t="inlineStr">
        <is>
          <t>G.900019.8.9090</t>
        </is>
      </c>
      <c r="K198" s="92" t="inlineStr">
        <is>
          <t>G.900019</t>
        </is>
      </c>
      <c r="L198" s="92" t="inlineStr">
        <is>
          <t>Zilverdam, Havenlicht</t>
        </is>
      </c>
      <c r="M198" s="92" t="inlineStr">
        <is>
          <t>Opstal</t>
        </is>
      </c>
      <c r="N198" s="92" t="inlineStr">
        <is>
          <t>J</t>
        </is>
      </c>
      <c r="O198" s="92" t="inlineStr">
        <is>
          <t>Woningverkopen Q3</t>
        </is>
      </c>
      <c r="P198" s="109" t="n">
        <v>2</v>
      </c>
      <c r="Q198" s="92" t="inlineStr">
        <is>
          <t>aantal</t>
        </is>
      </c>
      <c r="R198" s="92" t="inlineStr">
        <is>
          <t>Synthetische snapshot; kwartalen zijn FY-verdeling, geen actuals</t>
        </is>
      </c>
      <c r="S198" s="15" t="str">
        <f>IF(J198="","",J198&amp;"|"&amp;E198&amp;"|"&amp;F198&amp;"|"&amp;I198&amp;"|"&amp;O198)</f>
        <v>G.900019.8.9090|2026|Budget|2026|Woningverkopen Q3</v>
      </c>
      <c r="T198" s="15">
        <f>IF(OR(S198="",D198&lt;&gt;"Vastgesteld"),"",_xlfn.MAXIFS($G$6:$G$5005,$S$6:$S$5005,S198,$D$6:$D$5005,"Vastgesteld"))</f>
        <v>0</v>
      </c>
      <c r="U198" s="15">
        <f>IF(T198="",0,IF(AND(G198=T198,COUNTIFS($S$6:S198,S198,$G$6:G198,G198,$D$6:D198,"Vastgesteld")=1),1,0))</f>
        <v>1</v>
      </c>
      <c r="V198" s="15">
        <f>IF(T198="",0,IF(AND(G198=T198,COUNTIFS($S$6:S198,S198,$G$6:G198,G198,$D$6:D198,"Vastgesteld")&gt;1),1,0))</f>
        <v>0</v>
      </c>
    </row>
    <row r="199">
      <c r="A199" s="92" t="inlineStr">
        <is>
          <t>HIST-2026-Budget</t>
        </is>
      </c>
      <c r="B199" s="92" t="inlineStr">
        <is>
          <t>RDFO_FICTIEVE_historie_en_mapping.xlsx</t>
        </is>
      </c>
      <c r="C199" s="108" t="n">
        <v>46324</v>
      </c>
      <c r="D199" s="92" t="inlineStr">
        <is>
          <t>Vastgesteld</t>
        </is>
      </c>
      <c r="E199" s="92" t="n">
        <v>2026</v>
      </c>
      <c r="F199" s="92" t="inlineStr">
        <is>
          <t>Budget</t>
        </is>
      </c>
      <c r="G199" s="92" t="n">
        <v>0</v>
      </c>
      <c r="H199" s="108" t="n">
        <v>46022</v>
      </c>
      <c r="I199" s="92" t="n">
        <v>2026</v>
      </c>
      <c r="J199" s="92" t="inlineStr">
        <is>
          <t>G.900019.8.9090</t>
        </is>
      </c>
      <c r="K199" s="92" t="inlineStr">
        <is>
          <t>G.900019</t>
        </is>
      </c>
      <c r="L199" s="92" t="inlineStr">
        <is>
          <t>Zilverdam, Havenlicht</t>
        </is>
      </c>
      <c r="M199" s="92" t="inlineStr">
        <is>
          <t>Opstal</t>
        </is>
      </c>
      <c r="N199" s="92" t="inlineStr">
        <is>
          <t>J</t>
        </is>
      </c>
      <c r="O199" s="92" t="inlineStr">
        <is>
          <t>Woningverkopen Q4</t>
        </is>
      </c>
      <c r="P199" s="109" t="n">
        <v>5</v>
      </c>
      <c r="Q199" s="92" t="inlineStr">
        <is>
          <t>aantal</t>
        </is>
      </c>
      <c r="R199" s="92" t="inlineStr">
        <is>
          <t>Synthetische snapshot; kwartalen zijn FY-verdeling, geen actuals</t>
        </is>
      </c>
      <c r="S199" s="15" t="str">
        <f>IF(J199="","",J199&amp;"|"&amp;E199&amp;"|"&amp;F199&amp;"|"&amp;I199&amp;"|"&amp;O199)</f>
        <v>G.900019.8.9090|2026|Budget|2026|Woningverkopen Q4</v>
      </c>
      <c r="T199" s="15">
        <f>IF(OR(S199="",D199&lt;&gt;"Vastgesteld"),"",_xlfn.MAXIFS($G$6:$G$5005,$S$6:$S$5005,S199,$D$6:$D$5005,"Vastgesteld"))</f>
        <v>0</v>
      </c>
      <c r="U199" s="15">
        <f>IF(T199="",0,IF(AND(G199=T199,COUNTIFS($S$6:S199,S199,$G$6:G199,G199,$D$6:D199,"Vastgesteld")=1),1,0))</f>
        <v>1</v>
      </c>
      <c r="V199" s="15">
        <f>IF(T199="",0,IF(AND(G199=T199,COUNTIFS($S$6:S199,S199,$G$6:G199,G199,$D$6:D199,"Vastgesteld")&gt;1),1,0))</f>
        <v>0</v>
      </c>
    </row>
    <row r="200">
      <c r="A200" s="92" t="inlineStr">
        <is>
          <t>HIST-2026-Budget</t>
        </is>
      </c>
      <c r="B200" s="92" t="inlineStr">
        <is>
          <t>RDFO_FICTIEVE_historie_en_mapping.xlsx</t>
        </is>
      </c>
      <c r="C200" s="108" t="n">
        <v>46324</v>
      </c>
      <c r="D200" s="92" t="inlineStr">
        <is>
          <t>Vastgesteld</t>
        </is>
      </c>
      <c r="E200" s="92" t="n">
        <v>2026</v>
      </c>
      <c r="F200" s="92" t="inlineStr">
        <is>
          <t>Budget</t>
        </is>
      </c>
      <c r="G200" s="92" t="n">
        <v>0</v>
      </c>
      <c r="H200" s="108" t="n">
        <v>46022</v>
      </c>
      <c r="I200" s="92" t="n">
        <v>2026</v>
      </c>
      <c r="J200" s="92" t="inlineStr">
        <is>
          <t>G.900020.8.9090</t>
        </is>
      </c>
      <c r="K200" s="92" t="inlineStr">
        <is>
          <t>G.900020</t>
        </is>
      </c>
      <c r="L200" s="92" t="inlineStr">
        <is>
          <t>Boswaard, Parkeergebouw</t>
        </is>
      </c>
      <c r="M200" s="92" t="inlineStr">
        <is>
          <t>Opstal</t>
        </is>
      </c>
      <c r="N200" s="92" t="inlineStr">
        <is>
          <t>J</t>
        </is>
      </c>
      <c r="O200" s="92" t="inlineStr">
        <is>
          <t>Woningverkopen FY</t>
        </is>
      </c>
      <c r="P200" s="109" t="n">
        <v>0</v>
      </c>
      <c r="Q200" s="92" t="inlineStr">
        <is>
          <t>aantal</t>
        </is>
      </c>
      <c r="R200" s="92" t="inlineStr">
        <is>
          <t>Synthetische snapshot; kwartalen zijn FY-verdeling, geen actuals</t>
        </is>
      </c>
      <c r="S200" s="15" t="str">
        <f>IF(J200="","",J200&amp;"|"&amp;E200&amp;"|"&amp;F200&amp;"|"&amp;I200&amp;"|"&amp;O200)</f>
        <v>G.900020.8.9090|2026|Budget|2026|Woningverkopen FY</v>
      </c>
      <c r="T200" s="15">
        <f>IF(OR(S200="",D200&lt;&gt;"Vastgesteld"),"",_xlfn.MAXIFS($G$6:$G$5005,$S$6:$S$5005,S200,$D$6:$D$5005,"Vastgesteld"))</f>
        <v>0</v>
      </c>
      <c r="U200" s="15">
        <f>IF(T200="",0,IF(AND(G200=T200,COUNTIFS($S$6:S200,S200,$G$6:G200,G200,$D$6:D200,"Vastgesteld")=1),1,0))</f>
        <v>1</v>
      </c>
      <c r="V200" s="15">
        <f>IF(T200="",0,IF(AND(G200=T200,COUNTIFS($S$6:S200,S200,$G$6:G200,G200,$D$6:D200,"Vastgesteld")&gt;1),1,0))</f>
        <v>0</v>
      </c>
    </row>
    <row r="201">
      <c r="A201" s="92" t="inlineStr">
        <is>
          <t>HIST-2026-Budget</t>
        </is>
      </c>
      <c r="B201" s="92" t="inlineStr">
        <is>
          <t>RDFO_FICTIEVE_historie_en_mapping.xlsx</t>
        </is>
      </c>
      <c r="C201" s="108" t="n">
        <v>46324</v>
      </c>
      <c r="D201" s="92" t="inlineStr">
        <is>
          <t>Vastgesteld</t>
        </is>
      </c>
      <c r="E201" s="92" t="n">
        <v>2026</v>
      </c>
      <c r="F201" s="92" t="inlineStr">
        <is>
          <t>Budget</t>
        </is>
      </c>
      <c r="G201" s="92" t="n">
        <v>0</v>
      </c>
      <c r="H201" s="108" t="n">
        <v>46022</v>
      </c>
      <c r="I201" s="92" t="n">
        <v>2026</v>
      </c>
      <c r="J201" s="92" t="inlineStr">
        <is>
          <t>G.900020.8.9090</t>
        </is>
      </c>
      <c r="K201" s="92" t="inlineStr">
        <is>
          <t>G.900020</t>
        </is>
      </c>
      <c r="L201" s="92" t="inlineStr">
        <is>
          <t>Boswaard, Parkeergebouw</t>
        </is>
      </c>
      <c r="M201" s="92" t="inlineStr">
        <is>
          <t>Opstal</t>
        </is>
      </c>
      <c r="N201" s="92" t="inlineStr">
        <is>
          <t>J</t>
        </is>
      </c>
      <c r="O201" s="92" t="inlineStr">
        <is>
          <t>Woningen verkocht t/m vorig jaar</t>
        </is>
      </c>
      <c r="P201" s="109" t="n">
        <v>0</v>
      </c>
      <c r="Q201" s="92" t="inlineStr">
        <is>
          <t>aantal</t>
        </is>
      </c>
      <c r="R201" s="92" t="inlineStr">
        <is>
          <t>Synthetische snapshot; kwartalen zijn FY-verdeling, geen actuals</t>
        </is>
      </c>
      <c r="S201" s="15" t="str">
        <f>IF(J201="","",J201&amp;"|"&amp;E201&amp;"|"&amp;F201&amp;"|"&amp;I201&amp;"|"&amp;O201)</f>
        <v>G.900020.8.9090|2026|Budget|2026|Woningen verkocht t/m vorig jaar</v>
      </c>
      <c r="T201" s="15">
        <f>IF(OR(S201="",D201&lt;&gt;"Vastgesteld"),"",_xlfn.MAXIFS($G$6:$G$5005,$S$6:$S$5005,S201,$D$6:$D$5005,"Vastgesteld"))</f>
        <v>0</v>
      </c>
      <c r="U201" s="15">
        <f>IF(T201="",0,IF(AND(G201=T201,COUNTIFS($S$6:S201,S201,$G$6:G201,G201,$D$6:D201,"Vastgesteld")=1),1,0))</f>
        <v>1</v>
      </c>
      <c r="V201" s="15">
        <f>IF(T201="",0,IF(AND(G201=T201,COUNTIFS($S$6:S201,S201,$G$6:G201,G201,$D$6:D201,"Vastgesteld")&gt;1),1,0))</f>
        <v>0</v>
      </c>
    </row>
    <row r="202">
      <c r="A202" s="92" t="inlineStr">
        <is>
          <t>HIST-2026-Budget</t>
        </is>
      </c>
      <c r="B202" s="92" t="inlineStr">
        <is>
          <t>RDFO_FICTIEVE_historie_en_mapping.xlsx</t>
        </is>
      </c>
      <c r="C202" s="108" t="n">
        <v>46324</v>
      </c>
      <c r="D202" s="92" t="inlineStr">
        <is>
          <t>Vastgesteld</t>
        </is>
      </c>
      <c r="E202" s="92" t="n">
        <v>2026</v>
      </c>
      <c r="F202" s="92" t="inlineStr">
        <is>
          <t>Budget</t>
        </is>
      </c>
      <c r="G202" s="92" t="n">
        <v>0</v>
      </c>
      <c r="H202" s="108" t="n">
        <v>46022</v>
      </c>
      <c r="I202" s="92" t="n">
        <v>2026</v>
      </c>
      <c r="J202" s="92" t="inlineStr">
        <is>
          <t>G.900020.8.9090</t>
        </is>
      </c>
      <c r="K202" s="92" t="inlineStr">
        <is>
          <t>G.900020</t>
        </is>
      </c>
      <c r="L202" s="92" t="inlineStr">
        <is>
          <t>Boswaard, Parkeergebouw</t>
        </is>
      </c>
      <c r="M202" s="92" t="inlineStr">
        <is>
          <t>Opstal</t>
        </is>
      </c>
      <c r="N202" s="92" t="inlineStr">
        <is>
          <t>J</t>
        </is>
      </c>
      <c r="O202" s="92" t="inlineStr">
        <is>
          <t>Woningverkopen Q1</t>
        </is>
      </c>
      <c r="P202" s="109" t="n">
        <v>0</v>
      </c>
      <c r="Q202" s="92" t="inlineStr">
        <is>
          <t>aantal</t>
        </is>
      </c>
      <c r="R202" s="92" t="inlineStr">
        <is>
          <t>Synthetische snapshot; kwartalen zijn FY-verdeling, geen actuals</t>
        </is>
      </c>
      <c r="S202" s="15" t="str">
        <f>IF(J202="","",J202&amp;"|"&amp;E202&amp;"|"&amp;F202&amp;"|"&amp;I202&amp;"|"&amp;O202)</f>
        <v>G.900020.8.9090|2026|Budget|2026|Woningverkopen Q1</v>
      </c>
      <c r="T202" s="15">
        <f>IF(OR(S202="",D202&lt;&gt;"Vastgesteld"),"",_xlfn.MAXIFS($G$6:$G$5005,$S$6:$S$5005,S202,$D$6:$D$5005,"Vastgesteld"))</f>
        <v>0</v>
      </c>
      <c r="U202" s="15">
        <f>IF(T202="",0,IF(AND(G202=T202,COUNTIFS($S$6:S202,S202,$G$6:G202,G202,$D$6:D202,"Vastgesteld")=1),1,0))</f>
        <v>1</v>
      </c>
      <c r="V202" s="15">
        <f>IF(T202="",0,IF(AND(G202=T202,COUNTIFS($S$6:S202,S202,$G$6:G202,G202,$D$6:D202,"Vastgesteld")&gt;1),1,0))</f>
        <v>0</v>
      </c>
    </row>
    <row r="203">
      <c r="A203" s="92" t="inlineStr">
        <is>
          <t>HIST-2026-Budget</t>
        </is>
      </c>
      <c r="B203" s="92" t="inlineStr">
        <is>
          <t>RDFO_FICTIEVE_historie_en_mapping.xlsx</t>
        </is>
      </c>
      <c r="C203" s="108" t="n">
        <v>46324</v>
      </c>
      <c r="D203" s="92" t="inlineStr">
        <is>
          <t>Vastgesteld</t>
        </is>
      </c>
      <c r="E203" s="92" t="n">
        <v>2026</v>
      </c>
      <c r="F203" s="92" t="inlineStr">
        <is>
          <t>Budget</t>
        </is>
      </c>
      <c r="G203" s="92" t="n">
        <v>0</v>
      </c>
      <c r="H203" s="108" t="n">
        <v>46022</v>
      </c>
      <c r="I203" s="92" t="n">
        <v>2026</v>
      </c>
      <c r="J203" s="92" t="inlineStr">
        <is>
          <t>G.900020.8.9090</t>
        </is>
      </c>
      <c r="K203" s="92" t="inlineStr">
        <is>
          <t>G.900020</t>
        </is>
      </c>
      <c r="L203" s="92" t="inlineStr">
        <is>
          <t>Boswaard, Parkeergebouw</t>
        </is>
      </c>
      <c r="M203" s="92" t="inlineStr">
        <is>
          <t>Opstal</t>
        </is>
      </c>
      <c r="N203" s="92" t="inlineStr">
        <is>
          <t>J</t>
        </is>
      </c>
      <c r="O203" s="92" t="inlineStr">
        <is>
          <t>Woningverkopen Q2</t>
        </is>
      </c>
      <c r="P203" s="109" t="n">
        <v>0</v>
      </c>
      <c r="Q203" s="92" t="inlineStr">
        <is>
          <t>aantal</t>
        </is>
      </c>
      <c r="R203" s="92" t="inlineStr">
        <is>
          <t>Synthetische snapshot; kwartalen zijn FY-verdeling, geen actuals</t>
        </is>
      </c>
      <c r="S203" s="15" t="str">
        <f>IF(J203="","",J203&amp;"|"&amp;E203&amp;"|"&amp;F203&amp;"|"&amp;I203&amp;"|"&amp;O203)</f>
        <v>G.900020.8.9090|2026|Budget|2026|Woningverkopen Q2</v>
      </c>
      <c r="T203" s="15">
        <f>IF(OR(S203="",D203&lt;&gt;"Vastgesteld"),"",_xlfn.MAXIFS($G$6:$G$5005,$S$6:$S$5005,S203,$D$6:$D$5005,"Vastgesteld"))</f>
        <v>0</v>
      </c>
      <c r="U203" s="15">
        <f>IF(T203="",0,IF(AND(G203=T203,COUNTIFS($S$6:S203,S203,$G$6:G203,G203,$D$6:D203,"Vastgesteld")=1),1,0))</f>
        <v>1</v>
      </c>
      <c r="V203" s="15">
        <f>IF(T203="",0,IF(AND(G203=T203,COUNTIFS($S$6:S203,S203,$G$6:G203,G203,$D$6:D203,"Vastgesteld")&gt;1),1,0))</f>
        <v>0</v>
      </c>
    </row>
    <row r="204">
      <c r="A204" s="92" t="inlineStr">
        <is>
          <t>HIST-2026-Budget</t>
        </is>
      </c>
      <c r="B204" s="92" t="inlineStr">
        <is>
          <t>RDFO_FICTIEVE_historie_en_mapping.xlsx</t>
        </is>
      </c>
      <c r="C204" s="108" t="n">
        <v>46324</v>
      </c>
      <c r="D204" s="92" t="inlineStr">
        <is>
          <t>Vastgesteld</t>
        </is>
      </c>
      <c r="E204" s="92" t="n">
        <v>2026</v>
      </c>
      <c r="F204" s="92" t="inlineStr">
        <is>
          <t>Budget</t>
        </is>
      </c>
      <c r="G204" s="92" t="n">
        <v>0</v>
      </c>
      <c r="H204" s="108" t="n">
        <v>46022</v>
      </c>
      <c r="I204" s="92" t="n">
        <v>2026</v>
      </c>
      <c r="J204" s="92" t="inlineStr">
        <is>
          <t>G.900020.8.9090</t>
        </is>
      </c>
      <c r="K204" s="92" t="inlineStr">
        <is>
          <t>G.900020</t>
        </is>
      </c>
      <c r="L204" s="92" t="inlineStr">
        <is>
          <t>Boswaard, Parkeergebouw</t>
        </is>
      </c>
      <c r="M204" s="92" t="inlineStr">
        <is>
          <t>Opstal</t>
        </is>
      </c>
      <c r="N204" s="92" t="inlineStr">
        <is>
          <t>J</t>
        </is>
      </c>
      <c r="O204" s="92" t="inlineStr">
        <is>
          <t>Woningverkopen Q3</t>
        </is>
      </c>
      <c r="P204" s="109" t="n">
        <v>0</v>
      </c>
      <c r="Q204" s="92" t="inlineStr">
        <is>
          <t>aantal</t>
        </is>
      </c>
      <c r="R204" s="92" t="inlineStr">
        <is>
          <t>Synthetische snapshot; kwartalen zijn FY-verdeling, geen actuals</t>
        </is>
      </c>
      <c r="S204" s="15" t="str">
        <f>IF(J204="","",J204&amp;"|"&amp;E204&amp;"|"&amp;F204&amp;"|"&amp;I204&amp;"|"&amp;O204)</f>
        <v>G.900020.8.9090|2026|Budget|2026|Woningverkopen Q3</v>
      </c>
      <c r="T204" s="15">
        <f>IF(OR(S204="",D204&lt;&gt;"Vastgesteld"),"",_xlfn.MAXIFS($G$6:$G$5005,$S$6:$S$5005,S204,$D$6:$D$5005,"Vastgesteld"))</f>
        <v>0</v>
      </c>
      <c r="U204" s="15">
        <f>IF(T204="",0,IF(AND(G204=T204,COUNTIFS($S$6:S204,S204,$G$6:G204,G204,$D$6:D204,"Vastgesteld")=1),1,0))</f>
        <v>1</v>
      </c>
      <c r="V204" s="15">
        <f>IF(T204="",0,IF(AND(G204=T204,COUNTIFS($S$6:S204,S204,$G$6:G204,G204,$D$6:D204,"Vastgesteld")&gt;1),1,0))</f>
        <v>0</v>
      </c>
    </row>
    <row r="205">
      <c r="A205" s="92" t="inlineStr">
        <is>
          <t>HIST-2026-Budget</t>
        </is>
      </c>
      <c r="B205" s="92" t="inlineStr">
        <is>
          <t>RDFO_FICTIEVE_historie_en_mapping.xlsx</t>
        </is>
      </c>
      <c r="C205" s="108" t="n">
        <v>46324</v>
      </c>
      <c r="D205" s="92" t="inlineStr">
        <is>
          <t>Vastgesteld</t>
        </is>
      </c>
      <c r="E205" s="92" t="n">
        <v>2026</v>
      </c>
      <c r="F205" s="92" t="inlineStr">
        <is>
          <t>Budget</t>
        </is>
      </c>
      <c r="G205" s="92" t="n">
        <v>0</v>
      </c>
      <c r="H205" s="108" t="n">
        <v>46022</v>
      </c>
      <c r="I205" s="92" t="n">
        <v>2026</v>
      </c>
      <c r="J205" s="92" t="inlineStr">
        <is>
          <t>G.900020.8.9090</t>
        </is>
      </c>
      <c r="K205" s="92" t="inlineStr">
        <is>
          <t>G.900020</t>
        </is>
      </c>
      <c r="L205" s="92" t="inlineStr">
        <is>
          <t>Boswaard, Parkeergebouw</t>
        </is>
      </c>
      <c r="M205" s="92" t="inlineStr">
        <is>
          <t>Opstal</t>
        </is>
      </c>
      <c r="N205" s="92" t="inlineStr">
        <is>
          <t>J</t>
        </is>
      </c>
      <c r="O205" s="92" t="inlineStr">
        <is>
          <t>Woningverkopen Q4</t>
        </is>
      </c>
      <c r="P205" s="109" t="n">
        <v>0</v>
      </c>
      <c r="Q205" s="92" t="inlineStr">
        <is>
          <t>aantal</t>
        </is>
      </c>
      <c r="R205" s="92" t="inlineStr">
        <is>
          <t>Synthetische snapshot; kwartalen zijn FY-verdeling, geen actuals</t>
        </is>
      </c>
      <c r="S205" s="15" t="str">
        <f>IF(J205="","",J205&amp;"|"&amp;E205&amp;"|"&amp;F205&amp;"|"&amp;I205&amp;"|"&amp;O205)</f>
        <v>G.900020.8.9090|2026|Budget|2026|Woningverkopen Q4</v>
      </c>
      <c r="T205" s="15">
        <f>IF(OR(S205="",D205&lt;&gt;"Vastgesteld"),"",_xlfn.MAXIFS($G$6:$G$5005,$S$6:$S$5005,S205,$D$6:$D$5005,"Vastgesteld"))</f>
        <v>0</v>
      </c>
      <c r="U205" s="15">
        <f>IF(T205="",0,IF(AND(G205=T205,COUNTIFS($S$6:S205,S205,$G$6:G205,G205,$D$6:D205,"Vastgesteld")=1),1,0))</f>
        <v>1</v>
      </c>
      <c r="V205" s="15">
        <f>IF(T205="",0,IF(AND(G205=T205,COUNTIFS($S$6:S205,S205,$G$6:G205,G205,$D$6:D205,"Vastgesteld")&gt;1),1,0))</f>
        <v>0</v>
      </c>
    </row>
    <row r="206">
      <c r="A206" s="92" t="inlineStr">
        <is>
          <t>HIST-2026-Q1</t>
        </is>
      </c>
      <c r="B206" s="92" t="inlineStr">
        <is>
          <t>RDFO_FICTIEVE_historie_en_mapping.xlsx</t>
        </is>
      </c>
      <c r="C206" s="108" t="n">
        <v>46324</v>
      </c>
      <c r="D206" s="92" t="inlineStr">
        <is>
          <t>Vastgesteld</t>
        </is>
      </c>
      <c r="E206" s="92" t="n">
        <v>2026</v>
      </c>
      <c r="F206" s="92" t="inlineStr">
        <is>
          <t>Q1</t>
        </is>
      </c>
      <c r="G206" s="92" t="n">
        <v>0</v>
      </c>
      <c r="H206" s="108" t="n">
        <v>46112</v>
      </c>
      <c r="I206" s="92" t="n">
        <v>2026</v>
      </c>
      <c r="J206" s="92" t="inlineStr">
        <is>
          <t>G.900001.8.9090</t>
        </is>
      </c>
      <c r="K206" s="92" t="inlineStr">
        <is>
          <t>G.900001</t>
        </is>
      </c>
      <c r="L206" s="92" t="inlineStr">
        <is>
          <t>Lindehaven, Parkzoom fase 1</t>
        </is>
      </c>
      <c r="M206" s="92" t="inlineStr">
        <is>
          <t>Opstal</t>
        </is>
      </c>
      <c r="N206" s="92" t="inlineStr">
        <is>
          <t>J</t>
        </is>
      </c>
      <c r="O206" s="92" t="inlineStr">
        <is>
          <t>Omzet FY</t>
        </is>
      </c>
      <c r="P206" s="109" t="n">
        <v>5929216</v>
      </c>
      <c r="Q206" s="92" t="inlineStr">
        <is>
          <t>EUR</t>
        </is>
      </c>
      <c r="R206" s="92" t="inlineStr">
        <is>
          <t>Synthetische vastgelegde invoer; geen echte historie</t>
        </is>
      </c>
      <c r="S206" s="15" t="str">
        <f>IF(J206="","",J206&amp;"|"&amp;E206&amp;"|"&amp;F206&amp;"|"&amp;I206&amp;"|"&amp;O206)</f>
        <v>G.900001.8.9090|2026|Q1|2026|Omzet FY</v>
      </c>
      <c r="T206" s="15">
        <f>IF(OR(S206="",D206&lt;&gt;"Vastgesteld"),"",_xlfn.MAXIFS($G$6:$G$5005,$S$6:$S$5005,S206,$D$6:$D$5005,"Vastgesteld"))</f>
        <v>0</v>
      </c>
      <c r="U206" s="15">
        <f>IF(T206="",0,IF(AND(G206=T206,COUNTIFS($S$6:S206,S206,$G$6:G206,G206,$D$6:D206,"Vastgesteld")=1),1,0))</f>
        <v>1</v>
      </c>
      <c r="V206" s="15">
        <f>IF(T206="",0,IF(AND(G206=T206,COUNTIFS($S$6:S206,S206,$G$6:G206,G206,$D$6:D206,"Vastgesteld")&gt;1),1,0))</f>
        <v>0</v>
      </c>
    </row>
    <row r="207">
      <c r="A207" s="92" t="inlineStr">
        <is>
          <t>HIST-2026-Q1</t>
        </is>
      </c>
      <c r="B207" s="92" t="inlineStr">
        <is>
          <t>RDFO_FICTIEVE_historie_en_mapping.xlsx</t>
        </is>
      </c>
      <c r="C207" s="108" t="n">
        <v>46324</v>
      </c>
      <c r="D207" s="92" t="inlineStr">
        <is>
          <t>Vastgesteld</t>
        </is>
      </c>
      <c r="E207" s="92" t="n">
        <v>2026</v>
      </c>
      <c r="F207" s="92" t="inlineStr">
        <is>
          <t>Q1</t>
        </is>
      </c>
      <c r="G207" s="92" t="n">
        <v>0</v>
      </c>
      <c r="H207" s="108" t="n">
        <v>46112</v>
      </c>
      <c r="I207" s="92" t="n">
        <v>2026</v>
      </c>
      <c r="J207" s="92" t="inlineStr">
        <is>
          <t>G.900001.8.9090</t>
        </is>
      </c>
      <c r="K207" s="92" t="inlineStr">
        <is>
          <t>G.900001</t>
        </is>
      </c>
      <c r="L207" s="92" t="inlineStr">
        <is>
          <t>Lindehaven, Parkzoom fase 1</t>
        </is>
      </c>
      <c r="M207" s="92" t="inlineStr">
        <is>
          <t>Opstal</t>
        </is>
      </c>
      <c r="N207" s="92" t="inlineStr">
        <is>
          <t>J</t>
        </is>
      </c>
      <c r="O207" s="92" t="inlineStr">
        <is>
          <t>BOR FY</t>
        </is>
      </c>
      <c r="P207" s="109" t="n">
        <v>533629.4399999999</v>
      </c>
      <c r="Q207" s="92" t="inlineStr">
        <is>
          <t>EUR</t>
        </is>
      </c>
      <c r="R207" s="92" t="inlineStr">
        <is>
          <t>Synthetische vastgelegde invoer; geen echte historie</t>
        </is>
      </c>
      <c r="S207" s="15" t="str">
        <f>IF(J207="","",J207&amp;"|"&amp;E207&amp;"|"&amp;F207&amp;"|"&amp;I207&amp;"|"&amp;O207)</f>
        <v>G.900001.8.9090|2026|Q1|2026|BOR FY</v>
      </c>
      <c r="T207" s="15">
        <f>IF(OR(S207="",D207&lt;&gt;"Vastgesteld"),"",_xlfn.MAXIFS($G$6:$G$5005,$S$6:$S$5005,S207,$D$6:$D$5005,"Vastgesteld"))</f>
        <v>0</v>
      </c>
      <c r="U207" s="15">
        <f>IF(T207="",0,IF(AND(G207=T207,COUNTIFS($S$6:S207,S207,$G$6:G207,G207,$D$6:D207,"Vastgesteld")=1),1,0))</f>
        <v>1</v>
      </c>
      <c r="V207" s="15">
        <f>IF(T207="",0,IF(AND(G207=T207,COUNTIFS($S$6:S207,S207,$G$6:G207,G207,$D$6:D207,"Vastgesteld")&gt;1),1,0))</f>
        <v>0</v>
      </c>
    </row>
    <row r="208">
      <c r="A208" s="92" t="inlineStr">
        <is>
          <t>HIST-2026-Q1</t>
        </is>
      </c>
      <c r="B208" s="92" t="inlineStr">
        <is>
          <t>RDFO_FICTIEVE_historie_en_mapping.xlsx</t>
        </is>
      </c>
      <c r="C208" s="108" t="n">
        <v>46324</v>
      </c>
      <c r="D208" s="92" t="inlineStr">
        <is>
          <t>Vastgesteld</t>
        </is>
      </c>
      <c r="E208" s="92" t="n">
        <v>2026</v>
      </c>
      <c r="F208" s="92" t="inlineStr">
        <is>
          <t>Q1</t>
        </is>
      </c>
      <c r="G208" s="92" t="n">
        <v>0</v>
      </c>
      <c r="H208" s="108" t="n">
        <v>46112</v>
      </c>
      <c r="I208" s="92" t="n">
        <v>2027</v>
      </c>
      <c r="J208" s="92" t="inlineStr">
        <is>
          <t>G.900001.8.9090</t>
        </is>
      </c>
      <c r="K208" s="92" t="inlineStr">
        <is>
          <t>G.900001</t>
        </is>
      </c>
      <c r="L208" s="92" t="inlineStr">
        <is>
          <t>Lindehaven, Parkzoom fase 1</t>
        </is>
      </c>
      <c r="M208" s="92" t="inlineStr">
        <is>
          <t>Opstal</t>
        </is>
      </c>
      <c r="N208" s="92" t="inlineStr">
        <is>
          <t>J</t>
        </is>
      </c>
      <c r="O208" s="92" t="inlineStr">
        <is>
          <t>Omzet FY</t>
        </is>
      </c>
      <c r="P208" s="109" t="n">
        <v>4766777.6</v>
      </c>
      <c r="Q208" s="92" t="inlineStr">
        <is>
          <t>EUR</t>
        </is>
      </c>
      <c r="R208" s="92" t="inlineStr">
        <is>
          <t>Synthetische vastgelegde invoer; geen echte historie</t>
        </is>
      </c>
      <c r="S208" s="15" t="str">
        <f>IF(J208="","",J208&amp;"|"&amp;E208&amp;"|"&amp;F208&amp;"|"&amp;I208&amp;"|"&amp;O208)</f>
        <v>G.900001.8.9090|2026|Q1|2027|Omzet FY</v>
      </c>
      <c r="T208" s="15">
        <f>IF(OR(S208="",D208&lt;&gt;"Vastgesteld"),"",_xlfn.MAXIFS($G$6:$G$5005,$S$6:$S$5005,S208,$D$6:$D$5005,"Vastgesteld"))</f>
        <v>0</v>
      </c>
      <c r="U208" s="15">
        <f>IF(T208="",0,IF(AND(G208=T208,COUNTIFS($S$6:S208,S208,$G$6:G208,G208,$D$6:D208,"Vastgesteld")=1),1,0))</f>
        <v>1</v>
      </c>
      <c r="V208" s="15">
        <f>IF(T208="",0,IF(AND(G208=T208,COUNTIFS($S$6:S208,S208,$G$6:G208,G208,$D$6:D208,"Vastgesteld")&gt;1),1,0))</f>
        <v>0</v>
      </c>
    </row>
    <row r="209">
      <c r="A209" s="92" t="inlineStr">
        <is>
          <t>HIST-2026-Q1</t>
        </is>
      </c>
      <c r="B209" s="92" t="inlineStr">
        <is>
          <t>RDFO_FICTIEVE_historie_en_mapping.xlsx</t>
        </is>
      </c>
      <c r="C209" s="108" t="n">
        <v>46324</v>
      </c>
      <c r="D209" s="92" t="inlineStr">
        <is>
          <t>Vastgesteld</t>
        </is>
      </c>
      <c r="E209" s="92" t="n">
        <v>2026</v>
      </c>
      <c r="F209" s="92" t="inlineStr">
        <is>
          <t>Q1</t>
        </is>
      </c>
      <c r="G209" s="92" t="n">
        <v>0</v>
      </c>
      <c r="H209" s="108" t="n">
        <v>46112</v>
      </c>
      <c r="I209" s="92" t="n">
        <v>2027</v>
      </c>
      <c r="J209" s="92" t="inlineStr">
        <is>
          <t>G.900001.8.9090</t>
        </is>
      </c>
      <c r="K209" s="92" t="inlineStr">
        <is>
          <t>G.900001</t>
        </is>
      </c>
      <c r="L209" s="92" t="inlineStr">
        <is>
          <t>Lindehaven, Parkzoom fase 1</t>
        </is>
      </c>
      <c r="M209" s="92" t="inlineStr">
        <is>
          <t>Opstal</t>
        </is>
      </c>
      <c r="N209" s="92" t="inlineStr">
        <is>
          <t>J</t>
        </is>
      </c>
      <c r="O209" s="92" t="inlineStr">
        <is>
          <t>BOR FY</t>
        </is>
      </c>
      <c r="P209" s="109" t="n">
        <v>429009.98</v>
      </c>
      <c r="Q209" s="92" t="inlineStr">
        <is>
          <t>EUR</t>
        </is>
      </c>
      <c r="R209" s="92" t="inlineStr">
        <is>
          <t>Synthetische vastgelegde invoer; geen echte historie</t>
        </is>
      </c>
      <c r="S209" s="15" t="str">
        <f>IF(J209="","",J209&amp;"|"&amp;E209&amp;"|"&amp;F209&amp;"|"&amp;I209&amp;"|"&amp;O209)</f>
        <v>G.900001.8.9090|2026|Q1|2027|BOR FY</v>
      </c>
      <c r="T209" s="15">
        <f>IF(OR(S209="",D209&lt;&gt;"Vastgesteld"),"",_xlfn.MAXIFS($G$6:$G$5005,$S$6:$S$5005,S209,$D$6:$D$5005,"Vastgesteld"))</f>
        <v>0</v>
      </c>
      <c r="U209" s="15">
        <f>IF(T209="",0,IF(AND(G209=T209,COUNTIFS($S$6:S209,S209,$G$6:G209,G209,$D$6:D209,"Vastgesteld")=1),1,0))</f>
        <v>1</v>
      </c>
      <c r="V209" s="15">
        <f>IF(T209="",0,IF(AND(G209=T209,COUNTIFS($S$6:S209,S209,$G$6:G209,G209,$D$6:D209,"Vastgesteld")&gt;1),1,0))</f>
        <v>0</v>
      </c>
    </row>
    <row r="210">
      <c r="A210" s="92" t="inlineStr">
        <is>
          <t>HIST-2026-Q1</t>
        </is>
      </c>
      <c r="B210" s="92" t="inlineStr">
        <is>
          <t>RDFO_FICTIEVE_historie_en_mapping.xlsx</t>
        </is>
      </c>
      <c r="C210" s="108" t="n">
        <v>46324</v>
      </c>
      <c r="D210" s="92" t="inlineStr">
        <is>
          <t>Vastgesteld</t>
        </is>
      </c>
      <c r="E210" s="92" t="n">
        <v>2026</v>
      </c>
      <c r="F210" s="92" t="inlineStr">
        <is>
          <t>Q1</t>
        </is>
      </c>
      <c r="G210" s="92" t="n">
        <v>0</v>
      </c>
      <c r="H210" s="108" t="n">
        <v>46112</v>
      </c>
      <c r="I210" s="92" t="n">
        <v>2026</v>
      </c>
      <c r="J210" s="92" t="inlineStr">
        <is>
          <t>G.900002.8.9090</t>
        </is>
      </c>
      <c r="K210" s="92" t="inlineStr">
        <is>
          <t>G.900002</t>
        </is>
      </c>
      <c r="L210" s="92" t="inlineStr">
        <is>
          <t>Duinwaard, De Watergaarde</t>
        </is>
      </c>
      <c r="M210" s="92" t="inlineStr">
        <is>
          <t>Opstal</t>
        </is>
      </c>
      <c r="N210" s="92" t="inlineStr">
        <is>
          <t>J</t>
        </is>
      </c>
      <c r="O210" s="92" t="inlineStr">
        <is>
          <t>Omzet FY</t>
        </is>
      </c>
      <c r="P210" s="109" t="n">
        <v>3496800</v>
      </c>
      <c r="Q210" s="92" t="inlineStr">
        <is>
          <t>EUR</t>
        </is>
      </c>
      <c r="R210" s="92" t="inlineStr">
        <is>
          <t>Synthetische vastgelegde invoer; geen echte historie</t>
        </is>
      </c>
      <c r="S210" s="15" t="str">
        <f>IF(J210="","",J210&amp;"|"&amp;E210&amp;"|"&amp;F210&amp;"|"&amp;I210&amp;"|"&amp;O210)</f>
        <v>G.900002.8.9090|2026|Q1|2026|Omzet FY</v>
      </c>
      <c r="T210" s="15">
        <f>IF(OR(S210="",D210&lt;&gt;"Vastgesteld"),"",_xlfn.MAXIFS($G$6:$G$5005,$S$6:$S$5005,S210,$D$6:$D$5005,"Vastgesteld"))</f>
        <v>0</v>
      </c>
      <c r="U210" s="15">
        <f>IF(T210="",0,IF(AND(G210=T210,COUNTIFS($S$6:S210,S210,$G$6:G210,G210,$D$6:D210,"Vastgesteld")=1),1,0))</f>
        <v>1</v>
      </c>
      <c r="V210" s="15">
        <f>IF(T210="",0,IF(AND(G210=T210,COUNTIFS($S$6:S210,S210,$G$6:G210,G210,$D$6:D210,"Vastgesteld")&gt;1),1,0))</f>
        <v>0</v>
      </c>
    </row>
    <row r="211">
      <c r="A211" s="92" t="inlineStr">
        <is>
          <t>HIST-2026-Q1</t>
        </is>
      </c>
      <c r="B211" s="92" t="inlineStr">
        <is>
          <t>RDFO_FICTIEVE_historie_en_mapping.xlsx</t>
        </is>
      </c>
      <c r="C211" s="108" t="n">
        <v>46324</v>
      </c>
      <c r="D211" s="92" t="inlineStr">
        <is>
          <t>Vastgesteld</t>
        </is>
      </c>
      <c r="E211" s="92" t="n">
        <v>2026</v>
      </c>
      <c r="F211" s="92" t="inlineStr">
        <is>
          <t>Q1</t>
        </is>
      </c>
      <c r="G211" s="92" t="n">
        <v>0</v>
      </c>
      <c r="H211" s="108" t="n">
        <v>46112</v>
      </c>
      <c r="I211" s="92" t="n">
        <v>2026</v>
      </c>
      <c r="J211" s="92" t="inlineStr">
        <is>
          <t>G.900002.8.9090</t>
        </is>
      </c>
      <c r="K211" s="92" t="inlineStr">
        <is>
          <t>G.900002</t>
        </is>
      </c>
      <c r="L211" s="92" t="inlineStr">
        <is>
          <t>Duinwaard, De Watergaarde</t>
        </is>
      </c>
      <c r="M211" s="92" t="inlineStr">
        <is>
          <t>Opstal</t>
        </is>
      </c>
      <c r="N211" s="92" t="inlineStr">
        <is>
          <t>J</t>
        </is>
      </c>
      <c r="O211" s="92" t="inlineStr">
        <is>
          <t>BOR FY</t>
        </is>
      </c>
      <c r="P211" s="109" t="n">
        <v>419616</v>
      </c>
      <c r="Q211" s="92" t="inlineStr">
        <is>
          <t>EUR</t>
        </is>
      </c>
      <c r="R211" s="92" t="inlineStr">
        <is>
          <t>Synthetische vastgelegde invoer; geen echte historie</t>
        </is>
      </c>
      <c r="S211" s="15" t="str">
        <f>IF(J211="","",J211&amp;"|"&amp;E211&amp;"|"&amp;F211&amp;"|"&amp;I211&amp;"|"&amp;O211)</f>
        <v>G.900002.8.9090|2026|Q1|2026|BOR FY</v>
      </c>
      <c r="T211" s="15">
        <f>IF(OR(S211="",D211&lt;&gt;"Vastgesteld"),"",_xlfn.MAXIFS($G$6:$G$5005,$S$6:$S$5005,S211,$D$6:$D$5005,"Vastgesteld"))</f>
        <v>0</v>
      </c>
      <c r="U211" s="15">
        <f>IF(T211="",0,IF(AND(G211=T211,COUNTIFS($S$6:S211,S211,$G$6:G211,G211,$D$6:D211,"Vastgesteld")=1),1,0))</f>
        <v>1</v>
      </c>
      <c r="V211" s="15">
        <f>IF(T211="",0,IF(AND(G211=T211,COUNTIFS($S$6:S211,S211,$G$6:G211,G211,$D$6:D211,"Vastgesteld")&gt;1),1,0))</f>
        <v>0</v>
      </c>
    </row>
    <row r="212">
      <c r="A212" s="92" t="inlineStr">
        <is>
          <t>HIST-2026-Q1</t>
        </is>
      </c>
      <c r="B212" s="92" t="inlineStr">
        <is>
          <t>RDFO_FICTIEVE_historie_en_mapping.xlsx</t>
        </is>
      </c>
      <c r="C212" s="108" t="n">
        <v>46324</v>
      </c>
      <c r="D212" s="92" t="inlineStr">
        <is>
          <t>Vastgesteld</t>
        </is>
      </c>
      <c r="E212" s="92" t="n">
        <v>2026</v>
      </c>
      <c r="F212" s="92" t="inlineStr">
        <is>
          <t>Q1</t>
        </is>
      </c>
      <c r="G212" s="92" t="n">
        <v>0</v>
      </c>
      <c r="H212" s="108" t="n">
        <v>46112</v>
      </c>
      <c r="I212" s="92" t="n">
        <v>2027</v>
      </c>
      <c r="J212" s="92" t="inlineStr">
        <is>
          <t>G.900002.8.9090</t>
        </is>
      </c>
      <c r="K212" s="92" t="inlineStr">
        <is>
          <t>G.900002</t>
        </is>
      </c>
      <c r="L212" s="92" t="inlineStr">
        <is>
          <t>Duinwaard, De Watergaarde</t>
        </is>
      </c>
      <c r="M212" s="92" t="inlineStr">
        <is>
          <t>Opstal</t>
        </is>
      </c>
      <c r="N212" s="92" t="inlineStr">
        <is>
          <t>J</t>
        </is>
      </c>
      <c r="O212" s="92" t="inlineStr">
        <is>
          <t>Omzet FY</t>
        </is>
      </c>
      <c r="P212" s="109" t="n">
        <v>5455008</v>
      </c>
      <c r="Q212" s="92" t="inlineStr">
        <is>
          <t>EUR</t>
        </is>
      </c>
      <c r="R212" s="92" t="inlineStr">
        <is>
          <t>Synthetische vastgelegde invoer; geen echte historie</t>
        </is>
      </c>
      <c r="S212" s="15" t="str">
        <f>IF(J212="","",J212&amp;"|"&amp;E212&amp;"|"&amp;F212&amp;"|"&amp;I212&amp;"|"&amp;O212)</f>
        <v>G.900002.8.9090|2026|Q1|2027|Omzet FY</v>
      </c>
      <c r="T212" s="15">
        <f>IF(OR(S212="",D212&lt;&gt;"Vastgesteld"),"",_xlfn.MAXIFS($G$6:$G$5005,$S$6:$S$5005,S212,$D$6:$D$5005,"Vastgesteld"))</f>
        <v>0</v>
      </c>
      <c r="U212" s="15">
        <f>IF(T212="",0,IF(AND(G212=T212,COUNTIFS($S$6:S212,S212,$G$6:G212,G212,$D$6:D212,"Vastgesteld")=1),1,0))</f>
        <v>1</v>
      </c>
      <c r="V212" s="15">
        <f>IF(T212="",0,IF(AND(G212=T212,COUNTIFS($S$6:S212,S212,$G$6:G212,G212,$D$6:D212,"Vastgesteld")&gt;1),1,0))</f>
        <v>0</v>
      </c>
    </row>
    <row r="213">
      <c r="A213" s="92" t="inlineStr">
        <is>
          <t>HIST-2026-Q1</t>
        </is>
      </c>
      <c r="B213" s="92" t="inlineStr">
        <is>
          <t>RDFO_FICTIEVE_historie_en_mapping.xlsx</t>
        </is>
      </c>
      <c r="C213" s="108" t="n">
        <v>46324</v>
      </c>
      <c r="D213" s="92" t="inlineStr">
        <is>
          <t>Vastgesteld</t>
        </is>
      </c>
      <c r="E213" s="92" t="n">
        <v>2026</v>
      </c>
      <c r="F213" s="92" t="inlineStr">
        <is>
          <t>Q1</t>
        </is>
      </c>
      <c r="G213" s="92" t="n">
        <v>0</v>
      </c>
      <c r="H213" s="108" t="n">
        <v>46112</v>
      </c>
      <c r="I213" s="92" t="n">
        <v>2027</v>
      </c>
      <c r="J213" s="92" t="inlineStr">
        <is>
          <t>G.900002.8.9090</t>
        </is>
      </c>
      <c r="K213" s="92" t="inlineStr">
        <is>
          <t>G.900002</t>
        </is>
      </c>
      <c r="L213" s="92" t="inlineStr">
        <is>
          <t>Duinwaard, De Watergaarde</t>
        </is>
      </c>
      <c r="M213" s="92" t="inlineStr">
        <is>
          <t>Opstal</t>
        </is>
      </c>
      <c r="N213" s="92" t="inlineStr">
        <is>
          <t>J</t>
        </is>
      </c>
      <c r="O213" s="92" t="inlineStr">
        <is>
          <t>BOR FY</t>
        </is>
      </c>
      <c r="P213" s="109" t="n">
        <v>654600.96</v>
      </c>
      <c r="Q213" s="92" t="inlineStr">
        <is>
          <t>EUR</t>
        </is>
      </c>
      <c r="R213" s="92" t="inlineStr">
        <is>
          <t>Synthetische vastgelegde invoer; geen echte historie</t>
        </is>
      </c>
      <c r="S213" s="15" t="str">
        <f>IF(J213="","",J213&amp;"|"&amp;E213&amp;"|"&amp;F213&amp;"|"&amp;I213&amp;"|"&amp;O213)</f>
        <v>G.900002.8.9090|2026|Q1|2027|BOR FY</v>
      </c>
      <c r="T213" s="15">
        <f>IF(OR(S213="",D213&lt;&gt;"Vastgesteld"),"",_xlfn.MAXIFS($G$6:$G$5005,$S$6:$S$5005,S213,$D$6:$D$5005,"Vastgesteld"))</f>
        <v>0</v>
      </c>
      <c r="U213" s="15">
        <f>IF(T213="",0,IF(AND(G213=T213,COUNTIFS($S$6:S213,S213,$G$6:G213,G213,$D$6:D213,"Vastgesteld")=1),1,0))</f>
        <v>1</v>
      </c>
      <c r="V213" s="15">
        <f>IF(T213="",0,IF(AND(G213=T213,COUNTIFS($S$6:S213,S213,$G$6:G213,G213,$D$6:D213,"Vastgesteld")&gt;1),1,0))</f>
        <v>0</v>
      </c>
    </row>
    <row r="214">
      <c r="A214" s="92" t="inlineStr">
        <is>
          <t>HIST-2026-Q1</t>
        </is>
      </c>
      <c r="B214" s="92" t="inlineStr">
        <is>
          <t>RDFO_FICTIEVE_historie_en_mapping.xlsx</t>
        </is>
      </c>
      <c r="C214" s="108" t="n">
        <v>46324</v>
      </c>
      <c r="D214" s="92" t="inlineStr">
        <is>
          <t>Vastgesteld</t>
        </is>
      </c>
      <c r="E214" s="92" t="n">
        <v>2026</v>
      </c>
      <c r="F214" s="92" t="inlineStr">
        <is>
          <t>Q1</t>
        </is>
      </c>
      <c r="G214" s="92" t="n">
        <v>0</v>
      </c>
      <c r="H214" s="108" t="n">
        <v>46112</v>
      </c>
      <c r="I214" s="92" t="n">
        <v>2026</v>
      </c>
      <c r="J214" s="92" t="inlineStr">
        <is>
          <t>G.900003.8.9090</t>
        </is>
      </c>
      <c r="K214" s="92" t="inlineStr">
        <is>
          <t>G.900003</t>
        </is>
      </c>
      <c r="L214" s="92" t="inlineStr">
        <is>
          <t>Veldendam, Stationshof</t>
        </is>
      </c>
      <c r="M214" s="92" t="inlineStr">
        <is>
          <t>Opstal</t>
        </is>
      </c>
      <c r="N214" s="92" t="inlineStr">
        <is>
          <t>J</t>
        </is>
      </c>
      <c r="O214" s="92" t="inlineStr">
        <is>
          <t>Omzet FY</t>
        </is>
      </c>
      <c r="P214" s="109" t="n">
        <v>4833600</v>
      </c>
      <c r="Q214" s="92" t="inlineStr">
        <is>
          <t>EUR</t>
        </is>
      </c>
      <c r="R214" s="92" t="inlineStr">
        <is>
          <t>Synthetische vastgelegde invoer; geen echte historie</t>
        </is>
      </c>
      <c r="S214" s="15" t="str">
        <f>IF(J214="","",J214&amp;"|"&amp;E214&amp;"|"&amp;F214&amp;"|"&amp;I214&amp;"|"&amp;O214)</f>
        <v>G.900003.8.9090|2026|Q1|2026|Omzet FY</v>
      </c>
      <c r="T214" s="15">
        <f>IF(OR(S214="",D214&lt;&gt;"Vastgesteld"),"",_xlfn.MAXIFS($G$6:$G$5005,$S$6:$S$5005,S214,$D$6:$D$5005,"Vastgesteld"))</f>
        <v>0</v>
      </c>
      <c r="U214" s="15">
        <f>IF(T214="",0,IF(AND(G214=T214,COUNTIFS($S$6:S214,S214,$G$6:G214,G214,$D$6:D214,"Vastgesteld")=1),1,0))</f>
        <v>1</v>
      </c>
      <c r="V214" s="15">
        <f>IF(T214="",0,IF(AND(G214=T214,COUNTIFS($S$6:S214,S214,$G$6:G214,G214,$D$6:D214,"Vastgesteld")&gt;1),1,0))</f>
        <v>0</v>
      </c>
    </row>
    <row r="215">
      <c r="A215" s="92" t="inlineStr">
        <is>
          <t>HIST-2026-Q1</t>
        </is>
      </c>
      <c r="B215" s="92" t="inlineStr">
        <is>
          <t>RDFO_FICTIEVE_historie_en_mapping.xlsx</t>
        </is>
      </c>
      <c r="C215" s="108" t="n">
        <v>46324</v>
      </c>
      <c r="D215" s="92" t="inlineStr">
        <is>
          <t>Vastgesteld</t>
        </is>
      </c>
      <c r="E215" s="92" t="n">
        <v>2026</v>
      </c>
      <c r="F215" s="92" t="inlineStr">
        <is>
          <t>Q1</t>
        </is>
      </c>
      <c r="G215" s="92" t="n">
        <v>0</v>
      </c>
      <c r="H215" s="108" t="n">
        <v>46112</v>
      </c>
      <c r="I215" s="92" t="n">
        <v>2026</v>
      </c>
      <c r="J215" s="92" t="inlineStr">
        <is>
          <t>G.900003.8.9090</t>
        </is>
      </c>
      <c r="K215" s="92" t="inlineStr">
        <is>
          <t>G.900003</t>
        </is>
      </c>
      <c r="L215" s="92" t="inlineStr">
        <is>
          <t>Veldendam, Stationshof</t>
        </is>
      </c>
      <c r="M215" s="92" t="inlineStr">
        <is>
          <t>Opstal</t>
        </is>
      </c>
      <c r="N215" s="92" t="inlineStr">
        <is>
          <t>J</t>
        </is>
      </c>
      <c r="O215" s="92" t="inlineStr">
        <is>
          <t>BOR FY</t>
        </is>
      </c>
      <c r="P215" s="109" t="n">
        <v>362520</v>
      </c>
      <c r="Q215" s="92" t="inlineStr">
        <is>
          <t>EUR</t>
        </is>
      </c>
      <c r="R215" s="92" t="inlineStr">
        <is>
          <t>Synthetische vastgelegde invoer; geen echte historie</t>
        </is>
      </c>
      <c r="S215" s="15" t="str">
        <f>IF(J215="","",J215&amp;"|"&amp;E215&amp;"|"&amp;F215&amp;"|"&amp;I215&amp;"|"&amp;O215)</f>
        <v>G.900003.8.9090|2026|Q1|2026|BOR FY</v>
      </c>
      <c r="T215" s="15">
        <f>IF(OR(S215="",D215&lt;&gt;"Vastgesteld"),"",_xlfn.MAXIFS($G$6:$G$5005,$S$6:$S$5005,S215,$D$6:$D$5005,"Vastgesteld"))</f>
        <v>0</v>
      </c>
      <c r="U215" s="15">
        <f>IF(T215="",0,IF(AND(G215=T215,COUNTIFS($S$6:S215,S215,$G$6:G215,G215,$D$6:D215,"Vastgesteld")=1),1,0))</f>
        <v>1</v>
      </c>
      <c r="V215" s="15">
        <f>IF(T215="",0,IF(AND(G215=T215,COUNTIFS($S$6:S215,S215,$G$6:G215,G215,$D$6:D215,"Vastgesteld")&gt;1),1,0))</f>
        <v>0</v>
      </c>
    </row>
    <row r="216">
      <c r="A216" s="92" t="inlineStr">
        <is>
          <t>HIST-2026-Q1</t>
        </is>
      </c>
      <c r="B216" s="92" t="inlineStr">
        <is>
          <t>RDFO_FICTIEVE_historie_en_mapping.xlsx</t>
        </is>
      </c>
      <c r="C216" s="108" t="n">
        <v>46324</v>
      </c>
      <c r="D216" s="92" t="inlineStr">
        <is>
          <t>Vastgesteld</t>
        </is>
      </c>
      <c r="E216" s="92" t="n">
        <v>2026</v>
      </c>
      <c r="F216" s="92" t="inlineStr">
        <is>
          <t>Q1</t>
        </is>
      </c>
      <c r="G216" s="92" t="n">
        <v>0</v>
      </c>
      <c r="H216" s="108" t="n">
        <v>46112</v>
      </c>
      <c r="I216" s="92" t="n">
        <v>2027</v>
      </c>
      <c r="J216" s="92" t="inlineStr">
        <is>
          <t>G.900003.8.9090</t>
        </is>
      </c>
      <c r="K216" s="92" t="inlineStr">
        <is>
          <t>G.900003</t>
        </is>
      </c>
      <c r="L216" s="92" t="inlineStr">
        <is>
          <t>Veldendam, Stationshof</t>
        </is>
      </c>
      <c r="M216" s="92" t="inlineStr">
        <is>
          <t>Opstal</t>
        </is>
      </c>
      <c r="N216" s="92" t="inlineStr">
        <is>
          <t>J</t>
        </is>
      </c>
      <c r="O216" s="92" t="inlineStr">
        <is>
          <t>Omzet FY</t>
        </is>
      </c>
      <c r="P216" s="109" t="n">
        <v>14661920</v>
      </c>
      <c r="Q216" s="92" t="inlineStr">
        <is>
          <t>EUR</t>
        </is>
      </c>
      <c r="R216" s="92" t="inlineStr">
        <is>
          <t>Synthetische vastgelegde invoer; geen echte historie</t>
        </is>
      </c>
      <c r="S216" s="15" t="str">
        <f>IF(J216="","",J216&amp;"|"&amp;E216&amp;"|"&amp;F216&amp;"|"&amp;I216&amp;"|"&amp;O216)</f>
        <v>G.900003.8.9090|2026|Q1|2027|Omzet FY</v>
      </c>
      <c r="T216" s="15">
        <f>IF(OR(S216="",D216&lt;&gt;"Vastgesteld"),"",_xlfn.MAXIFS($G$6:$G$5005,$S$6:$S$5005,S216,$D$6:$D$5005,"Vastgesteld"))</f>
        <v>0</v>
      </c>
      <c r="U216" s="15">
        <f>IF(T216="",0,IF(AND(G216=T216,COUNTIFS($S$6:S216,S216,$G$6:G216,G216,$D$6:D216,"Vastgesteld")=1),1,0))</f>
        <v>1</v>
      </c>
      <c r="V216" s="15">
        <f>IF(T216="",0,IF(AND(G216=T216,COUNTIFS($S$6:S216,S216,$G$6:G216,G216,$D$6:D216,"Vastgesteld")&gt;1),1,0))</f>
        <v>0</v>
      </c>
    </row>
    <row r="217">
      <c r="A217" s="92" t="inlineStr">
        <is>
          <t>HIST-2026-Q1</t>
        </is>
      </c>
      <c r="B217" s="92" t="inlineStr">
        <is>
          <t>RDFO_FICTIEVE_historie_en_mapping.xlsx</t>
        </is>
      </c>
      <c r="C217" s="108" t="n">
        <v>46324</v>
      </c>
      <c r="D217" s="92" t="inlineStr">
        <is>
          <t>Vastgesteld</t>
        </is>
      </c>
      <c r="E217" s="92" t="n">
        <v>2026</v>
      </c>
      <c r="F217" s="92" t="inlineStr">
        <is>
          <t>Q1</t>
        </is>
      </c>
      <c r="G217" s="92" t="n">
        <v>0</v>
      </c>
      <c r="H217" s="108" t="n">
        <v>46112</v>
      </c>
      <c r="I217" s="92" t="n">
        <v>2027</v>
      </c>
      <c r="J217" s="92" t="inlineStr">
        <is>
          <t>G.900003.8.9090</t>
        </is>
      </c>
      <c r="K217" s="92" t="inlineStr">
        <is>
          <t>G.900003</t>
        </is>
      </c>
      <c r="L217" s="92" t="inlineStr">
        <is>
          <t>Veldendam, Stationshof</t>
        </is>
      </c>
      <c r="M217" s="92" t="inlineStr">
        <is>
          <t>Opstal</t>
        </is>
      </c>
      <c r="N217" s="92" t="inlineStr">
        <is>
          <t>J</t>
        </is>
      </c>
      <c r="O217" s="92" t="inlineStr">
        <is>
          <t>BOR FY</t>
        </is>
      </c>
      <c r="P217" s="109" t="n">
        <v>1099644</v>
      </c>
      <c r="Q217" s="92" t="inlineStr">
        <is>
          <t>EUR</t>
        </is>
      </c>
      <c r="R217" s="92" t="inlineStr">
        <is>
          <t>Synthetische vastgelegde invoer; geen echte historie</t>
        </is>
      </c>
      <c r="S217" s="15" t="str">
        <f>IF(J217="","",J217&amp;"|"&amp;E217&amp;"|"&amp;F217&amp;"|"&amp;I217&amp;"|"&amp;O217)</f>
        <v>G.900003.8.9090|2026|Q1|2027|BOR FY</v>
      </c>
      <c r="T217" s="15">
        <f>IF(OR(S217="",D217&lt;&gt;"Vastgesteld"),"",_xlfn.MAXIFS($G$6:$G$5005,$S$6:$S$5005,S217,$D$6:$D$5005,"Vastgesteld"))</f>
        <v>0</v>
      </c>
      <c r="U217" s="15">
        <f>IF(T217="",0,IF(AND(G217=T217,COUNTIFS($S$6:S217,S217,$G$6:G217,G217,$D$6:D217,"Vastgesteld")=1),1,0))</f>
        <v>1</v>
      </c>
      <c r="V217" s="15">
        <f>IF(T217="",0,IF(AND(G217=T217,COUNTIFS($S$6:S217,S217,$G$6:G217,G217,$D$6:D217,"Vastgesteld")&gt;1),1,0))</f>
        <v>0</v>
      </c>
    </row>
    <row r="218">
      <c r="A218" s="92" t="inlineStr">
        <is>
          <t>HIST-2026-Q1</t>
        </is>
      </c>
      <c r="B218" s="92" t="inlineStr">
        <is>
          <t>RDFO_FICTIEVE_historie_en_mapping.xlsx</t>
        </is>
      </c>
      <c r="C218" s="108" t="n">
        <v>46324</v>
      </c>
      <c r="D218" s="92" t="inlineStr">
        <is>
          <t>Vastgesteld</t>
        </is>
      </c>
      <c r="E218" s="92" t="n">
        <v>2026</v>
      </c>
      <c r="F218" s="92" t="inlineStr">
        <is>
          <t>Q1</t>
        </is>
      </c>
      <c r="G218" s="92" t="n">
        <v>0</v>
      </c>
      <c r="H218" s="108" t="n">
        <v>46112</v>
      </c>
      <c r="I218" s="92" t="n">
        <v>2026</v>
      </c>
      <c r="J218" s="92" t="inlineStr">
        <is>
          <t>G.900004.8.9090</t>
        </is>
      </c>
      <c r="K218" s="92" t="inlineStr">
        <is>
          <t>G.900004</t>
        </is>
      </c>
      <c r="L218" s="92" t="inlineStr">
        <is>
          <t>Meerhovenstad, Het Kompas</t>
        </is>
      </c>
      <c r="M218" s="92" t="inlineStr">
        <is>
          <t>Deelneming</t>
        </is>
      </c>
      <c r="N218" s="92" t="inlineStr">
        <is>
          <t>N</t>
        </is>
      </c>
      <c r="O218" s="92" t="inlineStr">
        <is>
          <t>Omzet FY</t>
        </is>
      </c>
      <c r="P218" s="109" t="n">
        <v>2274048</v>
      </c>
      <c r="Q218" s="92" t="inlineStr">
        <is>
          <t>EUR</t>
        </is>
      </c>
      <c r="R218" s="92" t="inlineStr">
        <is>
          <t>Synthetische vastgelegde invoer; geen echte historie</t>
        </is>
      </c>
      <c r="S218" s="15" t="str">
        <f>IF(J218="","",J218&amp;"|"&amp;E218&amp;"|"&amp;F218&amp;"|"&amp;I218&amp;"|"&amp;O218)</f>
        <v>G.900004.8.9090|2026|Q1|2026|Omzet FY</v>
      </c>
      <c r="T218" s="15">
        <f>IF(OR(S218="",D218&lt;&gt;"Vastgesteld"),"",_xlfn.MAXIFS($G$6:$G$5005,$S$6:$S$5005,S218,$D$6:$D$5005,"Vastgesteld"))</f>
        <v>0</v>
      </c>
      <c r="U218" s="15">
        <f>IF(T218="",0,IF(AND(G218=T218,COUNTIFS($S$6:S218,S218,$G$6:G218,G218,$D$6:D218,"Vastgesteld")=1),1,0))</f>
        <v>1</v>
      </c>
      <c r="V218" s="15">
        <f>IF(T218="",0,IF(AND(G218=T218,COUNTIFS($S$6:S218,S218,$G$6:G218,G218,$D$6:D218,"Vastgesteld")&gt;1),1,0))</f>
        <v>0</v>
      </c>
    </row>
    <row r="219">
      <c r="A219" s="92" t="inlineStr">
        <is>
          <t>HIST-2026-Q1</t>
        </is>
      </c>
      <c r="B219" s="92" t="inlineStr">
        <is>
          <t>RDFO_FICTIEVE_historie_en_mapping.xlsx</t>
        </is>
      </c>
      <c r="C219" s="108" t="n">
        <v>46324</v>
      </c>
      <c r="D219" s="92" t="inlineStr">
        <is>
          <t>Vastgesteld</t>
        </is>
      </c>
      <c r="E219" s="92" t="n">
        <v>2026</v>
      </c>
      <c r="F219" s="92" t="inlineStr">
        <is>
          <t>Q1</t>
        </is>
      </c>
      <c r="G219" s="92" t="n">
        <v>0</v>
      </c>
      <c r="H219" s="108" t="n">
        <v>46112</v>
      </c>
      <c r="I219" s="92" t="n">
        <v>2026</v>
      </c>
      <c r="J219" s="92" t="inlineStr">
        <is>
          <t>G.900004.8.9090</t>
        </is>
      </c>
      <c r="K219" s="92" t="inlineStr">
        <is>
          <t>G.900004</t>
        </is>
      </c>
      <c r="L219" s="92" t="inlineStr">
        <is>
          <t>Meerhovenstad, Het Kompas</t>
        </is>
      </c>
      <c r="M219" s="92" t="inlineStr">
        <is>
          <t>Deelneming</t>
        </is>
      </c>
      <c r="N219" s="92" t="inlineStr">
        <is>
          <t>N</t>
        </is>
      </c>
      <c r="O219" s="92" t="inlineStr">
        <is>
          <t>BOR FY</t>
        </is>
      </c>
      <c r="P219" s="109" t="n">
        <v>250145.28</v>
      </c>
      <c r="Q219" s="92" t="inlineStr">
        <is>
          <t>EUR</t>
        </is>
      </c>
      <c r="R219" s="92" t="inlineStr">
        <is>
          <t>Synthetische vastgelegde invoer; geen echte historie</t>
        </is>
      </c>
      <c r="S219" s="15" t="str">
        <f>IF(J219="","",J219&amp;"|"&amp;E219&amp;"|"&amp;F219&amp;"|"&amp;I219&amp;"|"&amp;O219)</f>
        <v>G.900004.8.9090|2026|Q1|2026|BOR FY</v>
      </c>
      <c r="T219" s="15">
        <f>IF(OR(S219="",D219&lt;&gt;"Vastgesteld"),"",_xlfn.MAXIFS($G$6:$G$5005,$S$6:$S$5005,S219,$D$6:$D$5005,"Vastgesteld"))</f>
        <v>0</v>
      </c>
      <c r="U219" s="15">
        <f>IF(T219="",0,IF(AND(G219=T219,COUNTIFS($S$6:S219,S219,$G$6:G219,G219,$D$6:D219,"Vastgesteld")=1),1,0))</f>
        <v>1</v>
      </c>
      <c r="V219" s="15">
        <f>IF(T219="",0,IF(AND(G219=T219,COUNTIFS($S$6:S219,S219,$G$6:G219,G219,$D$6:D219,"Vastgesteld")&gt;1),1,0))</f>
        <v>0</v>
      </c>
    </row>
    <row r="220">
      <c r="A220" s="92" t="inlineStr">
        <is>
          <t>HIST-2026-Q1</t>
        </is>
      </c>
      <c r="B220" s="92" t="inlineStr">
        <is>
          <t>RDFO_FICTIEVE_historie_en_mapping.xlsx</t>
        </is>
      </c>
      <c r="C220" s="108" t="n">
        <v>46324</v>
      </c>
      <c r="D220" s="92" t="inlineStr">
        <is>
          <t>Vastgesteld</t>
        </is>
      </c>
      <c r="E220" s="92" t="n">
        <v>2026</v>
      </c>
      <c r="F220" s="92" t="inlineStr">
        <is>
          <t>Q1</t>
        </is>
      </c>
      <c r="G220" s="92" t="n">
        <v>0</v>
      </c>
      <c r="H220" s="108" t="n">
        <v>46112</v>
      </c>
      <c r="I220" s="92" t="n">
        <v>2027</v>
      </c>
      <c r="J220" s="92" t="inlineStr">
        <is>
          <t>G.900004.8.9090</t>
        </is>
      </c>
      <c r="K220" s="92" t="inlineStr">
        <is>
          <t>G.900004</t>
        </is>
      </c>
      <c r="L220" s="92" t="inlineStr">
        <is>
          <t>Meerhovenstad, Het Kompas</t>
        </is>
      </c>
      <c r="M220" s="92" t="inlineStr">
        <is>
          <t>Deelneming</t>
        </is>
      </c>
      <c r="N220" s="92" t="inlineStr">
        <is>
          <t>N</t>
        </is>
      </c>
      <c r="O220" s="92" t="inlineStr">
        <is>
          <t>Omzet FY</t>
        </is>
      </c>
      <c r="P220" s="109" t="n">
        <v>1513324.8</v>
      </c>
      <c r="Q220" s="92" t="inlineStr">
        <is>
          <t>EUR</t>
        </is>
      </c>
      <c r="R220" s="92" t="inlineStr">
        <is>
          <t>Synthetische vastgelegde invoer; geen echte historie</t>
        </is>
      </c>
      <c r="S220" s="15" t="str">
        <f>IF(J220="","",J220&amp;"|"&amp;E220&amp;"|"&amp;F220&amp;"|"&amp;I220&amp;"|"&amp;O220)</f>
        <v>G.900004.8.9090|2026|Q1|2027|Omzet FY</v>
      </c>
      <c r="T220" s="15">
        <f>IF(OR(S220="",D220&lt;&gt;"Vastgesteld"),"",_xlfn.MAXIFS($G$6:$G$5005,$S$6:$S$5005,S220,$D$6:$D$5005,"Vastgesteld"))</f>
        <v>0</v>
      </c>
      <c r="U220" s="15">
        <f>IF(T220="",0,IF(AND(G220=T220,COUNTIFS($S$6:S220,S220,$G$6:G220,G220,$D$6:D220,"Vastgesteld")=1),1,0))</f>
        <v>1</v>
      </c>
      <c r="V220" s="15">
        <f>IF(T220="",0,IF(AND(G220=T220,COUNTIFS($S$6:S220,S220,$G$6:G220,G220,$D$6:D220,"Vastgesteld")&gt;1),1,0))</f>
        <v>0</v>
      </c>
    </row>
    <row r="221">
      <c r="A221" s="92" t="inlineStr">
        <is>
          <t>HIST-2026-Q1</t>
        </is>
      </c>
      <c r="B221" s="92" t="inlineStr">
        <is>
          <t>RDFO_FICTIEVE_historie_en_mapping.xlsx</t>
        </is>
      </c>
      <c r="C221" s="108" t="n">
        <v>46324</v>
      </c>
      <c r="D221" s="92" t="inlineStr">
        <is>
          <t>Vastgesteld</t>
        </is>
      </c>
      <c r="E221" s="92" t="n">
        <v>2026</v>
      </c>
      <c r="F221" s="92" t="inlineStr">
        <is>
          <t>Q1</t>
        </is>
      </c>
      <c r="G221" s="92" t="n">
        <v>0</v>
      </c>
      <c r="H221" s="108" t="n">
        <v>46112</v>
      </c>
      <c r="I221" s="92" t="n">
        <v>2027</v>
      </c>
      <c r="J221" s="92" t="inlineStr">
        <is>
          <t>G.900004.8.9090</t>
        </is>
      </c>
      <c r="K221" s="92" t="inlineStr">
        <is>
          <t>G.900004</t>
        </is>
      </c>
      <c r="L221" s="92" t="inlineStr">
        <is>
          <t>Meerhovenstad, Het Kompas</t>
        </is>
      </c>
      <c r="M221" s="92" t="inlineStr">
        <is>
          <t>Deelneming</t>
        </is>
      </c>
      <c r="N221" s="92" t="inlineStr">
        <is>
          <t>N</t>
        </is>
      </c>
      <c r="O221" s="92" t="inlineStr">
        <is>
          <t>BOR FY</t>
        </is>
      </c>
      <c r="P221" s="109" t="n">
        <v>166465.73</v>
      </c>
      <c r="Q221" s="92" t="inlineStr">
        <is>
          <t>EUR</t>
        </is>
      </c>
      <c r="R221" s="92" t="inlineStr">
        <is>
          <t>Synthetische vastgelegde invoer; geen echte historie</t>
        </is>
      </c>
      <c r="S221" s="15" t="str">
        <f>IF(J221="","",J221&amp;"|"&amp;E221&amp;"|"&amp;F221&amp;"|"&amp;I221&amp;"|"&amp;O221)</f>
        <v>G.900004.8.9090|2026|Q1|2027|BOR FY</v>
      </c>
      <c r="T221" s="15">
        <f>IF(OR(S221="",D221&lt;&gt;"Vastgesteld"),"",_xlfn.MAXIFS($G$6:$G$5005,$S$6:$S$5005,S221,$D$6:$D$5005,"Vastgesteld"))</f>
        <v>0</v>
      </c>
      <c r="U221" s="15">
        <f>IF(T221="",0,IF(AND(G221=T221,COUNTIFS($S$6:S221,S221,$G$6:G221,G221,$D$6:D221,"Vastgesteld")=1),1,0))</f>
        <v>1</v>
      </c>
      <c r="V221" s="15">
        <f>IF(T221="",0,IF(AND(G221=T221,COUNTIFS($S$6:S221,S221,$G$6:G221,G221,$D$6:D221,"Vastgesteld")&gt;1),1,0))</f>
        <v>0</v>
      </c>
    </row>
    <row r="222">
      <c r="A222" s="92" t="inlineStr">
        <is>
          <t>HIST-2026-Q1</t>
        </is>
      </c>
      <c r="B222" s="92" t="inlineStr">
        <is>
          <t>RDFO_FICTIEVE_historie_en_mapping.xlsx</t>
        </is>
      </c>
      <c r="C222" s="108" t="n">
        <v>46324</v>
      </c>
      <c r="D222" s="92" t="inlineStr">
        <is>
          <t>Vastgesteld</t>
        </is>
      </c>
      <c r="E222" s="92" t="n">
        <v>2026</v>
      </c>
      <c r="F222" s="92" t="inlineStr">
        <is>
          <t>Q1</t>
        </is>
      </c>
      <c r="G222" s="92" t="n">
        <v>0</v>
      </c>
      <c r="H222" s="108" t="n">
        <v>46112</v>
      </c>
      <c r="I222" s="92" t="n">
        <v>2026</v>
      </c>
      <c r="J222" s="92" t="inlineStr">
        <is>
          <t>G.900005.8.9090</t>
        </is>
      </c>
      <c r="K222" s="92" t="inlineStr">
        <is>
          <t>G.900005</t>
        </is>
      </c>
      <c r="L222" s="92" t="inlineStr">
        <is>
          <t>Zilverdam, Kadezicht</t>
        </is>
      </c>
      <c r="M222" s="92" t="inlineStr">
        <is>
          <t>Opstal</t>
        </is>
      </c>
      <c r="N222" s="92" t="inlineStr">
        <is>
          <t>J</t>
        </is>
      </c>
      <c r="O222" s="92" t="inlineStr">
        <is>
          <t>Omzet FY</t>
        </is>
      </c>
      <c r="P222" s="109" t="n">
        <v>7123200</v>
      </c>
      <c r="Q222" s="92" t="inlineStr">
        <is>
          <t>EUR</t>
        </is>
      </c>
      <c r="R222" s="92" t="inlineStr">
        <is>
          <t>Synthetische vastgelegde invoer; geen echte historie</t>
        </is>
      </c>
      <c r="S222" s="15" t="str">
        <f>IF(J222="","",J222&amp;"|"&amp;E222&amp;"|"&amp;F222&amp;"|"&amp;I222&amp;"|"&amp;O222)</f>
        <v>G.900005.8.9090|2026|Q1|2026|Omzet FY</v>
      </c>
      <c r="T222" s="15">
        <f>IF(OR(S222="",D222&lt;&gt;"Vastgesteld"),"",_xlfn.MAXIFS($G$6:$G$5005,$S$6:$S$5005,S222,$D$6:$D$5005,"Vastgesteld"))</f>
        <v>0</v>
      </c>
      <c r="U222" s="15">
        <f>IF(T222="",0,IF(AND(G222=T222,COUNTIFS($S$6:S222,S222,$G$6:G222,G222,$D$6:D222,"Vastgesteld")=1),1,0))</f>
        <v>1</v>
      </c>
      <c r="V222" s="15">
        <f>IF(T222="",0,IF(AND(G222=T222,COUNTIFS($S$6:S222,S222,$G$6:G222,G222,$D$6:D222,"Vastgesteld")&gt;1),1,0))</f>
        <v>0</v>
      </c>
    </row>
    <row r="223">
      <c r="A223" s="92" t="inlineStr">
        <is>
          <t>HIST-2026-Q1</t>
        </is>
      </c>
      <c r="B223" s="92" t="inlineStr">
        <is>
          <t>RDFO_FICTIEVE_historie_en_mapping.xlsx</t>
        </is>
      </c>
      <c r="C223" s="108" t="n">
        <v>46324</v>
      </c>
      <c r="D223" s="92" t="inlineStr">
        <is>
          <t>Vastgesteld</t>
        </is>
      </c>
      <c r="E223" s="92" t="n">
        <v>2026</v>
      </c>
      <c r="F223" s="92" t="inlineStr">
        <is>
          <t>Q1</t>
        </is>
      </c>
      <c r="G223" s="92" t="n">
        <v>0</v>
      </c>
      <c r="H223" s="108" t="n">
        <v>46112</v>
      </c>
      <c r="I223" s="92" t="n">
        <v>2026</v>
      </c>
      <c r="J223" s="92" t="inlineStr">
        <is>
          <t>G.900005.8.9090</t>
        </is>
      </c>
      <c r="K223" s="92" t="inlineStr">
        <is>
          <t>G.900005</t>
        </is>
      </c>
      <c r="L223" s="92" t="inlineStr">
        <is>
          <t>Zilverdam, Kadezicht</t>
        </is>
      </c>
      <c r="M223" s="92" t="inlineStr">
        <is>
          <t>Opstal</t>
        </is>
      </c>
      <c r="N223" s="92" t="inlineStr">
        <is>
          <t>J</t>
        </is>
      </c>
      <c r="O223" s="92" t="inlineStr">
        <is>
          <t>BOR FY</t>
        </is>
      </c>
      <c r="P223" s="109" t="n">
        <v>463008</v>
      </c>
      <c r="Q223" s="92" t="inlineStr">
        <is>
          <t>EUR</t>
        </is>
      </c>
      <c r="R223" s="92" t="inlineStr">
        <is>
          <t>Synthetische vastgelegde invoer; geen echte historie</t>
        </is>
      </c>
      <c r="S223" s="15" t="str">
        <f>IF(J223="","",J223&amp;"|"&amp;E223&amp;"|"&amp;F223&amp;"|"&amp;I223&amp;"|"&amp;O223)</f>
        <v>G.900005.8.9090|2026|Q1|2026|BOR FY</v>
      </c>
      <c r="T223" s="15">
        <f>IF(OR(S223="",D223&lt;&gt;"Vastgesteld"),"",_xlfn.MAXIFS($G$6:$G$5005,$S$6:$S$5005,S223,$D$6:$D$5005,"Vastgesteld"))</f>
        <v>0</v>
      </c>
      <c r="U223" s="15">
        <f>IF(T223="",0,IF(AND(G223=T223,COUNTIFS($S$6:S223,S223,$G$6:G223,G223,$D$6:D223,"Vastgesteld")=1),1,0))</f>
        <v>1</v>
      </c>
      <c r="V223" s="15">
        <f>IF(T223="",0,IF(AND(G223=T223,COUNTIFS($S$6:S223,S223,$G$6:G223,G223,$D$6:D223,"Vastgesteld")&gt;1),1,0))</f>
        <v>0</v>
      </c>
    </row>
    <row r="224">
      <c r="A224" s="92" t="inlineStr">
        <is>
          <t>HIST-2026-Q1</t>
        </is>
      </c>
      <c r="B224" s="92" t="inlineStr">
        <is>
          <t>RDFO_FICTIEVE_historie_en_mapping.xlsx</t>
        </is>
      </c>
      <c r="C224" s="108" t="n">
        <v>46324</v>
      </c>
      <c r="D224" s="92" t="inlineStr">
        <is>
          <t>Vastgesteld</t>
        </is>
      </c>
      <c r="E224" s="92" t="n">
        <v>2026</v>
      </c>
      <c r="F224" s="92" t="inlineStr">
        <is>
          <t>Q1</t>
        </is>
      </c>
      <c r="G224" s="92" t="n">
        <v>0</v>
      </c>
      <c r="H224" s="108" t="n">
        <v>46112</v>
      </c>
      <c r="I224" s="92" t="n">
        <v>2027</v>
      </c>
      <c r="J224" s="92" t="inlineStr">
        <is>
          <t>G.900005.8.9090</t>
        </is>
      </c>
      <c r="K224" s="92" t="inlineStr">
        <is>
          <t>G.900005</t>
        </is>
      </c>
      <c r="L224" s="92" t="inlineStr">
        <is>
          <t>Zilverdam, Kadezicht</t>
        </is>
      </c>
      <c r="M224" s="92" t="inlineStr">
        <is>
          <t>Opstal</t>
        </is>
      </c>
      <c r="N224" s="92" t="inlineStr">
        <is>
          <t>J</t>
        </is>
      </c>
      <c r="O224" s="92" t="inlineStr">
        <is>
          <t>Omzet FY</t>
        </is>
      </c>
      <c r="P224" s="109" t="n">
        <v>34725600</v>
      </c>
      <c r="Q224" s="92" t="inlineStr">
        <is>
          <t>EUR</t>
        </is>
      </c>
      <c r="R224" s="92" t="inlineStr">
        <is>
          <t>Synthetische vastgelegde invoer; geen echte historie</t>
        </is>
      </c>
      <c r="S224" s="15" t="str">
        <f>IF(J224="","",J224&amp;"|"&amp;E224&amp;"|"&amp;F224&amp;"|"&amp;I224&amp;"|"&amp;O224)</f>
        <v>G.900005.8.9090|2026|Q1|2027|Omzet FY</v>
      </c>
      <c r="T224" s="15">
        <f>IF(OR(S224="",D224&lt;&gt;"Vastgesteld"),"",_xlfn.MAXIFS($G$6:$G$5005,$S$6:$S$5005,S224,$D$6:$D$5005,"Vastgesteld"))</f>
        <v>0</v>
      </c>
      <c r="U224" s="15">
        <f>IF(T224="",0,IF(AND(G224=T224,COUNTIFS($S$6:S224,S224,$G$6:G224,G224,$D$6:D224,"Vastgesteld")=1),1,0))</f>
        <v>1</v>
      </c>
      <c r="V224" s="15">
        <f>IF(T224="",0,IF(AND(G224=T224,COUNTIFS($S$6:S224,S224,$G$6:G224,G224,$D$6:D224,"Vastgesteld")&gt;1),1,0))</f>
        <v>0</v>
      </c>
    </row>
    <row r="225">
      <c r="A225" s="92" t="inlineStr">
        <is>
          <t>HIST-2026-Q1</t>
        </is>
      </c>
      <c r="B225" s="92" t="inlineStr">
        <is>
          <t>RDFO_FICTIEVE_historie_en_mapping.xlsx</t>
        </is>
      </c>
      <c r="C225" s="108" t="n">
        <v>46324</v>
      </c>
      <c r="D225" s="92" t="inlineStr">
        <is>
          <t>Vastgesteld</t>
        </is>
      </c>
      <c r="E225" s="92" t="n">
        <v>2026</v>
      </c>
      <c r="F225" s="92" t="inlineStr">
        <is>
          <t>Q1</t>
        </is>
      </c>
      <c r="G225" s="92" t="n">
        <v>0</v>
      </c>
      <c r="H225" s="108" t="n">
        <v>46112</v>
      </c>
      <c r="I225" s="92" t="n">
        <v>2027</v>
      </c>
      <c r="J225" s="92" t="inlineStr">
        <is>
          <t>G.900005.8.9090</t>
        </is>
      </c>
      <c r="K225" s="92" t="inlineStr">
        <is>
          <t>G.900005</t>
        </is>
      </c>
      <c r="L225" s="92" t="inlineStr">
        <is>
          <t>Zilverdam, Kadezicht</t>
        </is>
      </c>
      <c r="M225" s="92" t="inlineStr">
        <is>
          <t>Opstal</t>
        </is>
      </c>
      <c r="N225" s="92" t="inlineStr">
        <is>
          <t>J</t>
        </is>
      </c>
      <c r="O225" s="92" t="inlineStr">
        <is>
          <t>BOR FY</t>
        </is>
      </c>
      <c r="P225" s="109" t="n">
        <v>2257164</v>
      </c>
      <c r="Q225" s="92" t="inlineStr">
        <is>
          <t>EUR</t>
        </is>
      </c>
      <c r="R225" s="92" t="inlineStr">
        <is>
          <t>Synthetische vastgelegde invoer; geen echte historie</t>
        </is>
      </c>
      <c r="S225" s="15" t="str">
        <f>IF(J225="","",J225&amp;"|"&amp;E225&amp;"|"&amp;F225&amp;"|"&amp;I225&amp;"|"&amp;O225)</f>
        <v>G.900005.8.9090|2026|Q1|2027|BOR FY</v>
      </c>
      <c r="T225" s="15">
        <f>IF(OR(S225="",D225&lt;&gt;"Vastgesteld"),"",_xlfn.MAXIFS($G$6:$G$5005,$S$6:$S$5005,S225,$D$6:$D$5005,"Vastgesteld"))</f>
        <v>0</v>
      </c>
      <c r="U225" s="15">
        <f>IF(T225="",0,IF(AND(G225=T225,COUNTIFS($S$6:S225,S225,$G$6:G225,G225,$D$6:D225,"Vastgesteld")=1),1,0))</f>
        <v>1</v>
      </c>
      <c r="V225" s="15">
        <f>IF(T225="",0,IF(AND(G225=T225,COUNTIFS($S$6:S225,S225,$G$6:G225,G225,$D$6:D225,"Vastgesteld")&gt;1),1,0))</f>
        <v>0</v>
      </c>
    </row>
    <row r="226">
      <c r="A226" s="92" t="inlineStr">
        <is>
          <t>HIST-2026-Q1</t>
        </is>
      </c>
      <c r="B226" s="92" t="inlineStr">
        <is>
          <t>RDFO_FICTIEVE_historie_en_mapping.xlsx</t>
        </is>
      </c>
      <c r="C226" s="108" t="n">
        <v>46324</v>
      </c>
      <c r="D226" s="92" t="inlineStr">
        <is>
          <t>Vastgesteld</t>
        </is>
      </c>
      <c r="E226" s="92" t="n">
        <v>2026</v>
      </c>
      <c r="F226" s="92" t="inlineStr">
        <is>
          <t>Q1</t>
        </is>
      </c>
      <c r="G226" s="92" t="n">
        <v>0</v>
      </c>
      <c r="H226" s="108" t="n">
        <v>46112</v>
      </c>
      <c r="I226" s="92" t="n">
        <v>2026</v>
      </c>
      <c r="J226" s="92" t="inlineStr">
        <is>
          <t>G.900006.8.9090</t>
        </is>
      </c>
      <c r="K226" s="92" t="inlineStr">
        <is>
          <t>G.900006</t>
        </is>
      </c>
      <c r="L226" s="92" t="inlineStr">
        <is>
          <t>Boswaard, De Eiken</t>
        </is>
      </c>
      <c r="M226" s="92" t="inlineStr">
        <is>
          <t>Opstal</t>
        </is>
      </c>
      <c r="N226" s="92" t="inlineStr">
        <is>
          <t>J</t>
        </is>
      </c>
      <c r="O226" s="92" t="inlineStr">
        <is>
          <t>Omzet FY</t>
        </is>
      </c>
      <c r="P226" s="109" t="n">
        <v>6172416</v>
      </c>
      <c r="Q226" s="92" t="inlineStr">
        <is>
          <t>EUR</t>
        </is>
      </c>
      <c r="R226" s="92" t="inlineStr">
        <is>
          <t>Synthetische vastgelegde invoer; geen echte historie</t>
        </is>
      </c>
      <c r="S226" s="15" t="str">
        <f>IF(J226="","",J226&amp;"|"&amp;E226&amp;"|"&amp;F226&amp;"|"&amp;I226&amp;"|"&amp;O226)</f>
        <v>G.900006.8.9090|2026|Q1|2026|Omzet FY</v>
      </c>
      <c r="T226" s="15">
        <f>IF(OR(S226="",D226&lt;&gt;"Vastgesteld"),"",_xlfn.MAXIFS($G$6:$G$5005,$S$6:$S$5005,S226,$D$6:$D$5005,"Vastgesteld"))</f>
        <v>0</v>
      </c>
      <c r="U226" s="15">
        <f>IF(T226="",0,IF(AND(G226=T226,COUNTIFS($S$6:S226,S226,$G$6:G226,G226,$D$6:D226,"Vastgesteld")=1),1,0))</f>
        <v>1</v>
      </c>
      <c r="V226" s="15">
        <f>IF(T226="",0,IF(AND(G226=T226,COUNTIFS($S$6:S226,S226,$G$6:G226,G226,$D$6:D226,"Vastgesteld")&gt;1),1,0))</f>
        <v>0</v>
      </c>
    </row>
    <row r="227">
      <c r="A227" s="92" t="inlineStr">
        <is>
          <t>HIST-2026-Q1</t>
        </is>
      </c>
      <c r="B227" s="92" t="inlineStr">
        <is>
          <t>RDFO_FICTIEVE_historie_en_mapping.xlsx</t>
        </is>
      </c>
      <c r="C227" s="108" t="n">
        <v>46324</v>
      </c>
      <c r="D227" s="92" t="inlineStr">
        <is>
          <t>Vastgesteld</t>
        </is>
      </c>
      <c r="E227" s="92" t="n">
        <v>2026</v>
      </c>
      <c r="F227" s="92" t="inlineStr">
        <is>
          <t>Q1</t>
        </is>
      </c>
      <c r="G227" s="92" t="n">
        <v>0</v>
      </c>
      <c r="H227" s="108" t="n">
        <v>46112</v>
      </c>
      <c r="I227" s="92" t="n">
        <v>2026</v>
      </c>
      <c r="J227" s="92" t="inlineStr">
        <is>
          <t>G.900006.8.9090</t>
        </is>
      </c>
      <c r="K227" s="92" t="inlineStr">
        <is>
          <t>G.900006</t>
        </is>
      </c>
      <c r="L227" s="92" t="inlineStr">
        <is>
          <t>Boswaard, De Eiken</t>
        </is>
      </c>
      <c r="M227" s="92" t="inlineStr">
        <is>
          <t>Opstal</t>
        </is>
      </c>
      <c r="N227" s="92" t="inlineStr">
        <is>
          <t>J</t>
        </is>
      </c>
      <c r="O227" s="92" t="inlineStr">
        <is>
          <t>BOR FY</t>
        </is>
      </c>
      <c r="P227" s="109" t="n">
        <v>864138.24</v>
      </c>
      <c r="Q227" s="92" t="inlineStr">
        <is>
          <t>EUR</t>
        </is>
      </c>
      <c r="R227" s="92" t="inlineStr">
        <is>
          <t>Synthetische vastgelegde invoer; geen echte historie</t>
        </is>
      </c>
      <c r="S227" s="15" t="str">
        <f>IF(J227="","",J227&amp;"|"&amp;E227&amp;"|"&amp;F227&amp;"|"&amp;I227&amp;"|"&amp;O227)</f>
        <v>G.900006.8.9090|2026|Q1|2026|BOR FY</v>
      </c>
      <c r="T227" s="15">
        <f>IF(OR(S227="",D227&lt;&gt;"Vastgesteld"),"",_xlfn.MAXIFS($G$6:$G$5005,$S$6:$S$5005,S227,$D$6:$D$5005,"Vastgesteld"))</f>
        <v>0</v>
      </c>
      <c r="U227" s="15">
        <f>IF(T227="",0,IF(AND(G227=T227,COUNTIFS($S$6:S227,S227,$G$6:G227,G227,$D$6:D227,"Vastgesteld")=1),1,0))</f>
        <v>1</v>
      </c>
      <c r="V227" s="15">
        <f>IF(T227="",0,IF(AND(G227=T227,COUNTIFS($S$6:S227,S227,$G$6:G227,G227,$D$6:D227,"Vastgesteld")&gt;1),1,0))</f>
        <v>0</v>
      </c>
    </row>
    <row r="228">
      <c r="A228" s="92" t="inlineStr">
        <is>
          <t>HIST-2026-Q1</t>
        </is>
      </c>
      <c r="B228" s="92" t="inlineStr">
        <is>
          <t>RDFO_FICTIEVE_historie_en_mapping.xlsx</t>
        </is>
      </c>
      <c r="C228" s="108" t="n">
        <v>46324</v>
      </c>
      <c r="D228" s="92" t="inlineStr">
        <is>
          <t>Vastgesteld</t>
        </is>
      </c>
      <c r="E228" s="92" t="n">
        <v>2026</v>
      </c>
      <c r="F228" s="92" t="inlineStr">
        <is>
          <t>Q1</t>
        </is>
      </c>
      <c r="G228" s="92" t="n">
        <v>0</v>
      </c>
      <c r="H228" s="108" t="n">
        <v>46112</v>
      </c>
      <c r="I228" s="92" t="n">
        <v>2027</v>
      </c>
      <c r="J228" s="92" t="inlineStr">
        <is>
          <t>G.900006.8.9090</t>
        </is>
      </c>
      <c r="K228" s="92" t="inlineStr">
        <is>
          <t>G.900006</t>
        </is>
      </c>
      <c r="L228" s="92" t="inlineStr">
        <is>
          <t>Boswaard, De Eiken</t>
        </is>
      </c>
      <c r="M228" s="92" t="inlineStr">
        <is>
          <t>Opstal</t>
        </is>
      </c>
      <c r="N228" s="92" t="inlineStr">
        <is>
          <t>J</t>
        </is>
      </c>
      <c r="O228" s="92" t="inlineStr">
        <is>
          <t>Omzet FY</t>
        </is>
      </c>
      <c r="P228" s="109" t="n">
        <v>6546009.6</v>
      </c>
      <c r="Q228" s="92" t="inlineStr">
        <is>
          <t>EUR</t>
        </is>
      </c>
      <c r="R228" s="92" t="inlineStr">
        <is>
          <t>Synthetische vastgelegde invoer; geen echte historie</t>
        </is>
      </c>
      <c r="S228" s="15" t="str">
        <f>IF(J228="","",J228&amp;"|"&amp;E228&amp;"|"&amp;F228&amp;"|"&amp;I228&amp;"|"&amp;O228)</f>
        <v>G.900006.8.9090|2026|Q1|2027|Omzet FY</v>
      </c>
      <c r="T228" s="15">
        <f>IF(OR(S228="",D228&lt;&gt;"Vastgesteld"),"",_xlfn.MAXIFS($G$6:$G$5005,$S$6:$S$5005,S228,$D$6:$D$5005,"Vastgesteld"))</f>
        <v>0</v>
      </c>
      <c r="U228" s="15">
        <f>IF(T228="",0,IF(AND(G228=T228,COUNTIFS($S$6:S228,S228,$G$6:G228,G228,$D$6:D228,"Vastgesteld")=1),1,0))</f>
        <v>1</v>
      </c>
      <c r="V228" s="15">
        <f>IF(T228="",0,IF(AND(G228=T228,COUNTIFS($S$6:S228,S228,$G$6:G228,G228,$D$6:D228,"Vastgesteld")&gt;1),1,0))</f>
        <v>0</v>
      </c>
    </row>
    <row r="229">
      <c r="A229" s="92" t="inlineStr">
        <is>
          <t>HIST-2026-Q1</t>
        </is>
      </c>
      <c r="B229" s="92" t="inlineStr">
        <is>
          <t>RDFO_FICTIEVE_historie_en_mapping.xlsx</t>
        </is>
      </c>
      <c r="C229" s="108" t="n">
        <v>46324</v>
      </c>
      <c r="D229" s="92" t="inlineStr">
        <is>
          <t>Vastgesteld</t>
        </is>
      </c>
      <c r="E229" s="92" t="n">
        <v>2026</v>
      </c>
      <c r="F229" s="92" t="inlineStr">
        <is>
          <t>Q1</t>
        </is>
      </c>
      <c r="G229" s="92" t="n">
        <v>0</v>
      </c>
      <c r="H229" s="108" t="n">
        <v>46112</v>
      </c>
      <c r="I229" s="92" t="n">
        <v>2027</v>
      </c>
      <c r="J229" s="92" t="inlineStr">
        <is>
          <t>G.900006.8.9090</t>
        </is>
      </c>
      <c r="K229" s="92" t="inlineStr">
        <is>
          <t>G.900006</t>
        </is>
      </c>
      <c r="L229" s="92" t="inlineStr">
        <is>
          <t>Boswaard, De Eiken</t>
        </is>
      </c>
      <c r="M229" s="92" t="inlineStr">
        <is>
          <t>Opstal</t>
        </is>
      </c>
      <c r="N229" s="92" t="inlineStr">
        <is>
          <t>J</t>
        </is>
      </c>
      <c r="O229" s="92" t="inlineStr">
        <is>
          <t>BOR FY</t>
        </is>
      </c>
      <c r="P229" s="109" t="n">
        <v>916441.34</v>
      </c>
      <c r="Q229" s="92" t="inlineStr">
        <is>
          <t>EUR</t>
        </is>
      </c>
      <c r="R229" s="92" t="inlineStr">
        <is>
          <t>Synthetische vastgelegde invoer; geen echte historie</t>
        </is>
      </c>
      <c r="S229" s="15" t="str">
        <f>IF(J229="","",J229&amp;"|"&amp;E229&amp;"|"&amp;F229&amp;"|"&amp;I229&amp;"|"&amp;O229)</f>
        <v>G.900006.8.9090|2026|Q1|2027|BOR FY</v>
      </c>
      <c r="T229" s="15">
        <f>IF(OR(S229="",D229&lt;&gt;"Vastgesteld"),"",_xlfn.MAXIFS($G$6:$G$5005,$S$6:$S$5005,S229,$D$6:$D$5005,"Vastgesteld"))</f>
        <v>0</v>
      </c>
      <c r="U229" s="15">
        <f>IF(T229="",0,IF(AND(G229=T229,COUNTIFS($S$6:S229,S229,$G$6:G229,G229,$D$6:D229,"Vastgesteld")=1),1,0))</f>
        <v>1</v>
      </c>
      <c r="V229" s="15">
        <f>IF(T229="",0,IF(AND(G229=T229,COUNTIFS($S$6:S229,S229,$G$6:G229,G229,$D$6:D229,"Vastgesteld")&gt;1),1,0))</f>
        <v>0</v>
      </c>
    </row>
    <row r="230">
      <c r="A230" s="92" t="inlineStr">
        <is>
          <t>HIST-2026-Q1</t>
        </is>
      </c>
      <c r="B230" s="92" t="inlineStr">
        <is>
          <t>RDFO_FICTIEVE_historie_en_mapping.xlsx</t>
        </is>
      </c>
      <c r="C230" s="108" t="n">
        <v>46324</v>
      </c>
      <c r="D230" s="92" t="inlineStr">
        <is>
          <t>Vastgesteld</t>
        </is>
      </c>
      <c r="E230" s="92" t="n">
        <v>2026</v>
      </c>
      <c r="F230" s="92" t="inlineStr">
        <is>
          <t>Q1</t>
        </is>
      </c>
      <c r="G230" s="92" t="n">
        <v>0</v>
      </c>
      <c r="H230" s="108" t="n">
        <v>46112</v>
      </c>
      <c r="I230" s="92" t="n">
        <v>2026</v>
      </c>
      <c r="J230" s="92" t="inlineStr">
        <is>
          <t>G.900007.8.9090</t>
        </is>
      </c>
      <c r="K230" s="92" t="inlineStr">
        <is>
          <t>G.900007</t>
        </is>
      </c>
      <c r="L230" s="92" t="inlineStr">
        <is>
          <t>Rietdam, Havenkwartier</t>
        </is>
      </c>
      <c r="M230" s="92" t="inlineStr">
        <is>
          <t>Opstal</t>
        </is>
      </c>
      <c r="N230" s="92" t="inlineStr">
        <is>
          <t>J</t>
        </is>
      </c>
      <c r="O230" s="92" t="inlineStr">
        <is>
          <t>Omzet FY</t>
        </is>
      </c>
      <c r="P230" s="109" t="n">
        <v>6444800</v>
      </c>
      <c r="Q230" s="92" t="inlineStr">
        <is>
          <t>EUR</t>
        </is>
      </c>
      <c r="R230" s="92" t="inlineStr">
        <is>
          <t>Synthetische vastgelegde invoer; geen echte historie</t>
        </is>
      </c>
      <c r="S230" s="15" t="str">
        <f>IF(J230="","",J230&amp;"|"&amp;E230&amp;"|"&amp;F230&amp;"|"&amp;I230&amp;"|"&amp;O230)</f>
        <v>G.900007.8.9090|2026|Q1|2026|Omzet FY</v>
      </c>
      <c r="T230" s="15">
        <f>IF(OR(S230="",D230&lt;&gt;"Vastgesteld"),"",_xlfn.MAXIFS($G$6:$G$5005,$S$6:$S$5005,S230,$D$6:$D$5005,"Vastgesteld"))</f>
        <v>0</v>
      </c>
      <c r="U230" s="15">
        <f>IF(T230="",0,IF(AND(G230=T230,COUNTIFS($S$6:S230,S230,$G$6:G230,G230,$D$6:D230,"Vastgesteld")=1),1,0))</f>
        <v>1</v>
      </c>
      <c r="V230" s="15">
        <f>IF(T230="",0,IF(AND(G230=T230,COUNTIFS($S$6:S230,S230,$G$6:G230,G230,$D$6:D230,"Vastgesteld")&gt;1),1,0))</f>
        <v>0</v>
      </c>
    </row>
    <row r="231">
      <c r="A231" s="92" t="inlineStr">
        <is>
          <t>HIST-2026-Q1</t>
        </is>
      </c>
      <c r="B231" s="92" t="inlineStr">
        <is>
          <t>RDFO_FICTIEVE_historie_en_mapping.xlsx</t>
        </is>
      </c>
      <c r="C231" s="108" t="n">
        <v>46324</v>
      </c>
      <c r="D231" s="92" t="inlineStr">
        <is>
          <t>Vastgesteld</t>
        </is>
      </c>
      <c r="E231" s="92" t="n">
        <v>2026</v>
      </c>
      <c r="F231" s="92" t="inlineStr">
        <is>
          <t>Q1</t>
        </is>
      </c>
      <c r="G231" s="92" t="n">
        <v>0</v>
      </c>
      <c r="H231" s="108" t="n">
        <v>46112</v>
      </c>
      <c r="I231" s="92" t="n">
        <v>2026</v>
      </c>
      <c r="J231" s="92" t="inlineStr">
        <is>
          <t>G.900007.8.9090</t>
        </is>
      </c>
      <c r="K231" s="92" t="inlineStr">
        <is>
          <t>G.900007</t>
        </is>
      </c>
      <c r="L231" s="92" t="inlineStr">
        <is>
          <t>Rietdam, Havenkwartier</t>
        </is>
      </c>
      <c r="M231" s="92" t="inlineStr">
        <is>
          <t>Opstal</t>
        </is>
      </c>
      <c r="N231" s="92" t="inlineStr">
        <is>
          <t>J</t>
        </is>
      </c>
      <c r="O231" s="92" t="inlineStr">
        <is>
          <t>BOR FY</t>
        </is>
      </c>
      <c r="P231" s="109" t="n">
        <v>644480</v>
      </c>
      <c r="Q231" s="92" t="inlineStr">
        <is>
          <t>EUR</t>
        </is>
      </c>
      <c r="R231" s="92" t="inlineStr">
        <is>
          <t>Synthetische vastgelegde invoer; geen echte historie</t>
        </is>
      </c>
      <c r="S231" s="15" t="str">
        <f>IF(J231="","",J231&amp;"|"&amp;E231&amp;"|"&amp;F231&amp;"|"&amp;I231&amp;"|"&amp;O231)</f>
        <v>G.900007.8.9090|2026|Q1|2026|BOR FY</v>
      </c>
      <c r="T231" s="15">
        <f>IF(OR(S231="",D231&lt;&gt;"Vastgesteld"),"",_xlfn.MAXIFS($G$6:$G$5005,$S$6:$S$5005,S231,$D$6:$D$5005,"Vastgesteld"))</f>
        <v>0</v>
      </c>
      <c r="U231" s="15">
        <f>IF(T231="",0,IF(AND(G231=T231,COUNTIFS($S$6:S231,S231,$G$6:G231,G231,$D$6:D231,"Vastgesteld")=1),1,0))</f>
        <v>1</v>
      </c>
      <c r="V231" s="15">
        <f>IF(T231="",0,IF(AND(G231=T231,COUNTIFS($S$6:S231,S231,$G$6:G231,G231,$D$6:D231,"Vastgesteld")&gt;1),1,0))</f>
        <v>0</v>
      </c>
    </row>
    <row r="232">
      <c r="A232" s="92" t="inlineStr">
        <is>
          <t>HIST-2026-Q1</t>
        </is>
      </c>
      <c r="B232" s="92" t="inlineStr">
        <is>
          <t>RDFO_FICTIEVE_historie_en_mapping.xlsx</t>
        </is>
      </c>
      <c r="C232" s="108" t="n">
        <v>46324</v>
      </c>
      <c r="D232" s="92" t="inlineStr">
        <is>
          <t>Vastgesteld</t>
        </is>
      </c>
      <c r="E232" s="92" t="n">
        <v>2026</v>
      </c>
      <c r="F232" s="92" t="inlineStr">
        <is>
          <t>Q1</t>
        </is>
      </c>
      <c r="G232" s="92" t="n">
        <v>0</v>
      </c>
      <c r="H232" s="108" t="n">
        <v>46112</v>
      </c>
      <c r="I232" s="92" t="n">
        <v>2027</v>
      </c>
      <c r="J232" s="92" t="inlineStr">
        <is>
          <t>G.900007.8.9090</t>
        </is>
      </c>
      <c r="K232" s="92" t="inlineStr">
        <is>
          <t>G.900007</t>
        </is>
      </c>
      <c r="L232" s="92" t="inlineStr">
        <is>
          <t>Rietdam, Havenkwartier</t>
        </is>
      </c>
      <c r="M232" s="92" t="inlineStr">
        <is>
          <t>Opstal</t>
        </is>
      </c>
      <c r="N232" s="92" t="inlineStr">
        <is>
          <t>J</t>
        </is>
      </c>
      <c r="O232" s="92" t="inlineStr">
        <is>
          <t>Omzet FY</t>
        </is>
      </c>
      <c r="P232" s="109" t="n">
        <v>12567360</v>
      </c>
      <c r="Q232" s="92" t="inlineStr">
        <is>
          <t>EUR</t>
        </is>
      </c>
      <c r="R232" s="92" t="inlineStr">
        <is>
          <t>Synthetische vastgelegde invoer; geen echte historie</t>
        </is>
      </c>
      <c r="S232" s="15" t="str">
        <f>IF(J232="","",J232&amp;"|"&amp;E232&amp;"|"&amp;F232&amp;"|"&amp;I232&amp;"|"&amp;O232)</f>
        <v>G.900007.8.9090|2026|Q1|2027|Omzet FY</v>
      </c>
      <c r="T232" s="15">
        <f>IF(OR(S232="",D232&lt;&gt;"Vastgesteld"),"",_xlfn.MAXIFS($G$6:$G$5005,$S$6:$S$5005,S232,$D$6:$D$5005,"Vastgesteld"))</f>
        <v>0</v>
      </c>
      <c r="U232" s="15">
        <f>IF(T232="",0,IF(AND(G232=T232,COUNTIFS($S$6:S232,S232,$G$6:G232,G232,$D$6:D232,"Vastgesteld")=1),1,0))</f>
        <v>1</v>
      </c>
      <c r="V232" s="15">
        <f>IF(T232="",0,IF(AND(G232=T232,COUNTIFS($S$6:S232,S232,$G$6:G232,G232,$D$6:D232,"Vastgesteld")&gt;1),1,0))</f>
        <v>0</v>
      </c>
    </row>
    <row r="233">
      <c r="A233" s="92" t="inlineStr">
        <is>
          <t>HIST-2026-Q1</t>
        </is>
      </c>
      <c r="B233" s="92" t="inlineStr">
        <is>
          <t>RDFO_FICTIEVE_historie_en_mapping.xlsx</t>
        </is>
      </c>
      <c r="C233" s="108" t="n">
        <v>46324</v>
      </c>
      <c r="D233" s="92" t="inlineStr">
        <is>
          <t>Vastgesteld</t>
        </is>
      </c>
      <c r="E233" s="92" t="n">
        <v>2026</v>
      </c>
      <c r="F233" s="92" t="inlineStr">
        <is>
          <t>Q1</t>
        </is>
      </c>
      <c r="G233" s="92" t="n">
        <v>0</v>
      </c>
      <c r="H233" s="108" t="n">
        <v>46112</v>
      </c>
      <c r="I233" s="92" t="n">
        <v>2027</v>
      </c>
      <c r="J233" s="92" t="inlineStr">
        <is>
          <t>G.900007.8.9090</t>
        </is>
      </c>
      <c r="K233" s="92" t="inlineStr">
        <is>
          <t>G.900007</t>
        </is>
      </c>
      <c r="L233" s="92" t="inlineStr">
        <is>
          <t>Rietdam, Havenkwartier</t>
        </is>
      </c>
      <c r="M233" s="92" t="inlineStr">
        <is>
          <t>Opstal</t>
        </is>
      </c>
      <c r="N233" s="92" t="inlineStr">
        <is>
          <t>J</t>
        </is>
      </c>
      <c r="O233" s="92" t="inlineStr">
        <is>
          <t>BOR FY</t>
        </is>
      </c>
      <c r="P233" s="109" t="n">
        <v>1256736</v>
      </c>
      <c r="Q233" s="92" t="inlineStr">
        <is>
          <t>EUR</t>
        </is>
      </c>
      <c r="R233" s="92" t="inlineStr">
        <is>
          <t>Synthetische vastgelegde invoer; geen echte historie</t>
        </is>
      </c>
      <c r="S233" s="15" t="str">
        <f>IF(J233="","",J233&amp;"|"&amp;E233&amp;"|"&amp;F233&amp;"|"&amp;I233&amp;"|"&amp;O233)</f>
        <v>G.900007.8.9090|2026|Q1|2027|BOR FY</v>
      </c>
      <c r="T233" s="15">
        <f>IF(OR(S233="",D233&lt;&gt;"Vastgesteld"),"",_xlfn.MAXIFS($G$6:$G$5005,$S$6:$S$5005,S233,$D$6:$D$5005,"Vastgesteld"))</f>
        <v>0</v>
      </c>
      <c r="U233" s="15">
        <f>IF(T233="",0,IF(AND(G233=T233,COUNTIFS($S$6:S233,S233,$G$6:G233,G233,$D$6:D233,"Vastgesteld")=1),1,0))</f>
        <v>1</v>
      </c>
      <c r="V233" s="15">
        <f>IF(T233="",0,IF(AND(G233=T233,COUNTIFS($S$6:S233,S233,$G$6:G233,G233,$D$6:D233,"Vastgesteld")&gt;1),1,0))</f>
        <v>0</v>
      </c>
    </row>
    <row r="234">
      <c r="A234" s="92" t="inlineStr">
        <is>
          <t>HIST-2026-Q1</t>
        </is>
      </c>
      <c r="B234" s="92" t="inlineStr">
        <is>
          <t>RDFO_FICTIEVE_historie_en_mapping.xlsx</t>
        </is>
      </c>
      <c r="C234" s="108" t="n">
        <v>46324</v>
      </c>
      <c r="D234" s="92" t="inlineStr">
        <is>
          <t>Vastgesteld</t>
        </is>
      </c>
      <c r="E234" s="92" t="n">
        <v>2026</v>
      </c>
      <c r="F234" s="92" t="inlineStr">
        <is>
          <t>Q1</t>
        </is>
      </c>
      <c r="G234" s="92" t="n">
        <v>0</v>
      </c>
      <c r="H234" s="108" t="n">
        <v>46112</v>
      </c>
      <c r="I234" s="92" t="n">
        <v>2026</v>
      </c>
      <c r="J234" s="92" t="inlineStr">
        <is>
          <t>G.900008.8.9090</t>
        </is>
      </c>
      <c r="K234" s="92" t="inlineStr">
        <is>
          <t>G.900008</t>
        </is>
      </c>
      <c r="L234" s="92" t="inlineStr">
        <is>
          <t>Lindehaven, De Brink</t>
        </is>
      </c>
      <c r="M234" s="92" t="inlineStr">
        <is>
          <t>Opstal</t>
        </is>
      </c>
      <c r="N234" s="92" t="inlineStr">
        <is>
          <t>J</t>
        </is>
      </c>
      <c r="O234" s="92" t="inlineStr">
        <is>
          <t>Omzet FY</t>
        </is>
      </c>
      <c r="P234" s="109" t="n">
        <v>1835820</v>
      </c>
      <c r="Q234" s="92" t="inlineStr">
        <is>
          <t>EUR</t>
        </is>
      </c>
      <c r="R234" s="92" t="inlineStr">
        <is>
          <t>Synthetische vastgelegde invoer; geen echte historie</t>
        </is>
      </c>
      <c r="S234" s="15" t="str">
        <f>IF(J234="","",J234&amp;"|"&amp;E234&amp;"|"&amp;F234&amp;"|"&amp;I234&amp;"|"&amp;O234)</f>
        <v>G.900008.8.9090|2026|Q1|2026|Omzet FY</v>
      </c>
      <c r="T234" s="15">
        <f>IF(OR(S234="",D234&lt;&gt;"Vastgesteld"),"",_xlfn.MAXIFS($G$6:$G$5005,$S$6:$S$5005,S234,$D$6:$D$5005,"Vastgesteld"))</f>
        <v>0</v>
      </c>
      <c r="U234" s="15">
        <f>IF(T234="",0,IF(AND(G234=T234,COUNTIFS($S$6:S234,S234,$G$6:G234,G234,$D$6:D234,"Vastgesteld")=1),1,0))</f>
        <v>1</v>
      </c>
      <c r="V234" s="15">
        <f>IF(T234="",0,IF(AND(G234=T234,COUNTIFS($S$6:S234,S234,$G$6:G234,G234,$D$6:D234,"Vastgesteld")&gt;1),1,0))</f>
        <v>0</v>
      </c>
    </row>
    <row r="235">
      <c r="A235" s="92" t="inlineStr">
        <is>
          <t>HIST-2026-Q1</t>
        </is>
      </c>
      <c r="B235" s="92" t="inlineStr">
        <is>
          <t>RDFO_FICTIEVE_historie_en_mapping.xlsx</t>
        </is>
      </c>
      <c r="C235" s="108" t="n">
        <v>46324</v>
      </c>
      <c r="D235" s="92" t="inlineStr">
        <is>
          <t>Vastgesteld</t>
        </is>
      </c>
      <c r="E235" s="92" t="n">
        <v>2026</v>
      </c>
      <c r="F235" s="92" t="inlineStr">
        <is>
          <t>Q1</t>
        </is>
      </c>
      <c r="G235" s="92" t="n">
        <v>0</v>
      </c>
      <c r="H235" s="108" t="n">
        <v>46112</v>
      </c>
      <c r="I235" s="92" t="n">
        <v>2026</v>
      </c>
      <c r="J235" s="92" t="inlineStr">
        <is>
          <t>G.900008.8.9090</t>
        </is>
      </c>
      <c r="K235" s="92" t="inlineStr">
        <is>
          <t>G.900008</t>
        </is>
      </c>
      <c r="L235" s="92" t="inlineStr">
        <is>
          <t>Lindehaven, De Brink</t>
        </is>
      </c>
      <c r="M235" s="92" t="inlineStr">
        <is>
          <t>Opstal</t>
        </is>
      </c>
      <c r="N235" s="92" t="inlineStr">
        <is>
          <t>J</t>
        </is>
      </c>
      <c r="O235" s="92" t="inlineStr">
        <is>
          <t>BOR FY</t>
        </is>
      </c>
      <c r="P235" s="109" t="n">
        <v>-55074.6</v>
      </c>
      <c r="Q235" s="92" t="inlineStr">
        <is>
          <t>EUR</t>
        </is>
      </c>
      <c r="R235" s="92" t="inlineStr">
        <is>
          <t>Synthetische vastgelegde invoer; geen echte historie</t>
        </is>
      </c>
      <c r="S235" s="15" t="str">
        <f>IF(J235="","",J235&amp;"|"&amp;E235&amp;"|"&amp;F235&amp;"|"&amp;I235&amp;"|"&amp;O235)</f>
        <v>G.900008.8.9090|2026|Q1|2026|BOR FY</v>
      </c>
      <c r="T235" s="15">
        <f>IF(OR(S235="",D235&lt;&gt;"Vastgesteld"),"",_xlfn.MAXIFS($G$6:$G$5005,$S$6:$S$5005,S235,$D$6:$D$5005,"Vastgesteld"))</f>
        <v>0</v>
      </c>
      <c r="U235" s="15">
        <f>IF(T235="",0,IF(AND(G235=T235,COUNTIFS($S$6:S235,S235,$G$6:G235,G235,$D$6:D235,"Vastgesteld")=1),1,0))</f>
        <v>1</v>
      </c>
      <c r="V235" s="15">
        <f>IF(T235="",0,IF(AND(G235=T235,COUNTIFS($S$6:S235,S235,$G$6:G235,G235,$D$6:D235,"Vastgesteld")&gt;1),1,0))</f>
        <v>0</v>
      </c>
    </row>
    <row r="236">
      <c r="A236" s="92" t="inlineStr">
        <is>
          <t>HIST-2026-Q1</t>
        </is>
      </c>
      <c r="B236" s="92" t="inlineStr">
        <is>
          <t>RDFO_FICTIEVE_historie_en_mapping.xlsx</t>
        </is>
      </c>
      <c r="C236" s="108" t="n">
        <v>46324</v>
      </c>
      <c r="D236" s="92" t="inlineStr">
        <is>
          <t>Vastgesteld</t>
        </is>
      </c>
      <c r="E236" s="92" t="n">
        <v>2026</v>
      </c>
      <c r="F236" s="92" t="inlineStr">
        <is>
          <t>Q1</t>
        </is>
      </c>
      <c r="G236" s="92" t="n">
        <v>0</v>
      </c>
      <c r="H236" s="108" t="n">
        <v>46112</v>
      </c>
      <c r="I236" s="92" t="n">
        <v>2027</v>
      </c>
      <c r="J236" s="92" t="inlineStr">
        <is>
          <t>G.900008.8.9090</t>
        </is>
      </c>
      <c r="K236" s="92" t="inlineStr">
        <is>
          <t>G.900008</t>
        </is>
      </c>
      <c r="L236" s="92" t="inlineStr">
        <is>
          <t>Lindehaven, De Brink</t>
        </is>
      </c>
      <c r="M236" s="92" t="inlineStr">
        <is>
          <t>Opstal</t>
        </is>
      </c>
      <c r="N236" s="92" t="inlineStr">
        <is>
          <t>J</t>
        </is>
      </c>
      <c r="O236" s="92" t="inlineStr">
        <is>
          <t>Omzet FY</t>
        </is>
      </c>
      <c r="P236" s="109" t="n">
        <v>6761937</v>
      </c>
      <c r="Q236" s="92" t="inlineStr">
        <is>
          <t>EUR</t>
        </is>
      </c>
      <c r="R236" s="92" t="inlineStr">
        <is>
          <t>Synthetische vastgelegde invoer; geen echte historie</t>
        </is>
      </c>
      <c r="S236" s="15" t="str">
        <f>IF(J236="","",J236&amp;"|"&amp;E236&amp;"|"&amp;F236&amp;"|"&amp;I236&amp;"|"&amp;O236)</f>
        <v>G.900008.8.9090|2026|Q1|2027|Omzet FY</v>
      </c>
      <c r="T236" s="15">
        <f>IF(OR(S236="",D236&lt;&gt;"Vastgesteld"),"",_xlfn.MAXIFS($G$6:$G$5005,$S$6:$S$5005,S236,$D$6:$D$5005,"Vastgesteld"))</f>
        <v>0</v>
      </c>
      <c r="U236" s="15">
        <f>IF(T236="",0,IF(AND(G236=T236,COUNTIFS($S$6:S236,S236,$G$6:G236,G236,$D$6:D236,"Vastgesteld")=1),1,0))</f>
        <v>1</v>
      </c>
      <c r="V236" s="15">
        <f>IF(T236="",0,IF(AND(G236=T236,COUNTIFS($S$6:S236,S236,$G$6:G236,G236,$D$6:D236,"Vastgesteld")&gt;1),1,0))</f>
        <v>0</v>
      </c>
    </row>
    <row r="237">
      <c r="A237" s="92" t="inlineStr">
        <is>
          <t>HIST-2026-Q1</t>
        </is>
      </c>
      <c r="B237" s="92" t="inlineStr">
        <is>
          <t>RDFO_FICTIEVE_historie_en_mapping.xlsx</t>
        </is>
      </c>
      <c r="C237" s="108" t="n">
        <v>46324</v>
      </c>
      <c r="D237" s="92" t="inlineStr">
        <is>
          <t>Vastgesteld</t>
        </is>
      </c>
      <c r="E237" s="92" t="n">
        <v>2026</v>
      </c>
      <c r="F237" s="92" t="inlineStr">
        <is>
          <t>Q1</t>
        </is>
      </c>
      <c r="G237" s="92" t="n">
        <v>0</v>
      </c>
      <c r="H237" s="108" t="n">
        <v>46112</v>
      </c>
      <c r="I237" s="92" t="n">
        <v>2027</v>
      </c>
      <c r="J237" s="92" t="inlineStr">
        <is>
          <t>G.900008.8.9090</t>
        </is>
      </c>
      <c r="K237" s="92" t="inlineStr">
        <is>
          <t>G.900008</t>
        </is>
      </c>
      <c r="L237" s="92" t="inlineStr">
        <is>
          <t>Lindehaven, De Brink</t>
        </is>
      </c>
      <c r="M237" s="92" t="inlineStr">
        <is>
          <t>Opstal</t>
        </is>
      </c>
      <c r="N237" s="92" t="inlineStr">
        <is>
          <t>J</t>
        </is>
      </c>
      <c r="O237" s="92" t="inlineStr">
        <is>
          <t>BOR FY</t>
        </is>
      </c>
      <c r="P237" s="109" t="n">
        <v>-202858.11</v>
      </c>
      <c r="Q237" s="92" t="inlineStr">
        <is>
          <t>EUR</t>
        </is>
      </c>
      <c r="R237" s="92" t="inlineStr">
        <is>
          <t>Synthetische vastgelegde invoer; geen echte historie</t>
        </is>
      </c>
      <c r="S237" s="15" t="str">
        <f>IF(J237="","",J237&amp;"|"&amp;E237&amp;"|"&amp;F237&amp;"|"&amp;I237&amp;"|"&amp;O237)</f>
        <v>G.900008.8.9090|2026|Q1|2027|BOR FY</v>
      </c>
      <c r="T237" s="15">
        <f>IF(OR(S237="",D237&lt;&gt;"Vastgesteld"),"",_xlfn.MAXIFS($G$6:$G$5005,$S$6:$S$5005,S237,$D$6:$D$5005,"Vastgesteld"))</f>
        <v>0</v>
      </c>
      <c r="U237" s="15">
        <f>IF(T237="",0,IF(AND(G237=T237,COUNTIFS($S$6:S237,S237,$G$6:G237,G237,$D$6:D237,"Vastgesteld")=1),1,0))</f>
        <v>1</v>
      </c>
      <c r="V237" s="15">
        <f>IF(T237="",0,IF(AND(G237=T237,COUNTIFS($S$6:S237,S237,$G$6:G237,G237,$D$6:D237,"Vastgesteld")&gt;1),1,0))</f>
        <v>0</v>
      </c>
    </row>
    <row r="238">
      <c r="A238" s="92" t="inlineStr">
        <is>
          <t>HIST-2026-Q1</t>
        </is>
      </c>
      <c r="B238" s="92" t="inlineStr">
        <is>
          <t>RDFO_FICTIEVE_historie_en_mapping.xlsx</t>
        </is>
      </c>
      <c r="C238" s="108" t="n">
        <v>46324</v>
      </c>
      <c r="D238" s="92" t="inlineStr">
        <is>
          <t>Vastgesteld</t>
        </is>
      </c>
      <c r="E238" s="92" t="n">
        <v>2026</v>
      </c>
      <c r="F238" s="92" t="inlineStr">
        <is>
          <t>Q1</t>
        </is>
      </c>
      <c r="G238" s="92" t="n">
        <v>0</v>
      </c>
      <c r="H238" s="108" t="n">
        <v>46112</v>
      </c>
      <c r="I238" s="92" t="n">
        <v>2026</v>
      </c>
      <c r="J238" s="92" t="inlineStr">
        <is>
          <t>G.900009.8.9090</t>
        </is>
      </c>
      <c r="K238" s="92" t="inlineStr">
        <is>
          <t>G.900009</t>
        </is>
      </c>
      <c r="L238" s="92" t="inlineStr">
        <is>
          <t>Duinwaard, Duinrand</t>
        </is>
      </c>
      <c r="M238" s="92" t="inlineStr">
        <is>
          <t>Opstal</t>
        </is>
      </c>
      <c r="N238" s="92" t="inlineStr">
        <is>
          <t>J</t>
        </is>
      </c>
      <c r="O238" s="92" t="inlineStr">
        <is>
          <t>Omzet FY</t>
        </is>
      </c>
      <c r="P238" s="109" t="n">
        <v>17629920</v>
      </c>
      <c r="Q238" s="92" t="inlineStr">
        <is>
          <t>EUR</t>
        </is>
      </c>
      <c r="R238" s="92" t="inlineStr">
        <is>
          <t>Synthetische vastgelegde invoer; geen echte historie</t>
        </is>
      </c>
      <c r="S238" s="15" t="str">
        <f>IF(J238="","",J238&amp;"|"&amp;E238&amp;"|"&amp;F238&amp;"|"&amp;I238&amp;"|"&amp;O238)</f>
        <v>G.900009.8.9090|2026|Q1|2026|Omzet FY</v>
      </c>
      <c r="T238" s="15">
        <f>IF(OR(S238="",D238&lt;&gt;"Vastgesteld"),"",_xlfn.MAXIFS($G$6:$G$5005,$S$6:$S$5005,S238,$D$6:$D$5005,"Vastgesteld"))</f>
        <v>0</v>
      </c>
      <c r="U238" s="15">
        <f>IF(T238="",0,IF(AND(G238=T238,COUNTIFS($S$6:S238,S238,$G$6:G238,G238,$D$6:D238,"Vastgesteld")=1),1,0))</f>
        <v>1</v>
      </c>
      <c r="V238" s="15">
        <f>IF(T238="",0,IF(AND(G238=T238,COUNTIFS($S$6:S238,S238,$G$6:G238,G238,$D$6:D238,"Vastgesteld")&gt;1),1,0))</f>
        <v>0</v>
      </c>
    </row>
    <row r="239">
      <c r="A239" s="92" t="inlineStr">
        <is>
          <t>HIST-2026-Q1</t>
        </is>
      </c>
      <c r="B239" s="92" t="inlineStr">
        <is>
          <t>RDFO_FICTIEVE_historie_en_mapping.xlsx</t>
        </is>
      </c>
      <c r="C239" s="108" t="n">
        <v>46324</v>
      </c>
      <c r="D239" s="92" t="inlineStr">
        <is>
          <t>Vastgesteld</t>
        </is>
      </c>
      <c r="E239" s="92" t="n">
        <v>2026</v>
      </c>
      <c r="F239" s="92" t="inlineStr">
        <is>
          <t>Q1</t>
        </is>
      </c>
      <c r="G239" s="92" t="n">
        <v>0</v>
      </c>
      <c r="H239" s="108" t="n">
        <v>46112</v>
      </c>
      <c r="I239" s="92" t="n">
        <v>2026</v>
      </c>
      <c r="J239" s="92" t="inlineStr">
        <is>
          <t>G.900009.8.9090</t>
        </is>
      </c>
      <c r="K239" s="92" t="inlineStr">
        <is>
          <t>G.900009</t>
        </is>
      </c>
      <c r="L239" s="92" t="inlineStr">
        <is>
          <t>Duinwaard, Duinrand</t>
        </is>
      </c>
      <c r="M239" s="92" t="inlineStr">
        <is>
          <t>Opstal</t>
        </is>
      </c>
      <c r="N239" s="92" t="inlineStr">
        <is>
          <t>J</t>
        </is>
      </c>
      <c r="O239" s="92" t="inlineStr">
        <is>
          <t>BOR FY</t>
        </is>
      </c>
      <c r="P239" s="109" t="n">
        <v>1410393.6</v>
      </c>
      <c r="Q239" s="92" t="inlineStr">
        <is>
          <t>EUR</t>
        </is>
      </c>
      <c r="R239" s="92" t="inlineStr">
        <is>
          <t>Synthetische vastgelegde invoer; geen echte historie</t>
        </is>
      </c>
      <c r="S239" s="15" t="str">
        <f>IF(J239="","",J239&amp;"|"&amp;E239&amp;"|"&amp;F239&amp;"|"&amp;I239&amp;"|"&amp;O239)</f>
        <v>G.900009.8.9090|2026|Q1|2026|BOR FY</v>
      </c>
      <c r="T239" s="15">
        <f>IF(OR(S239="",D239&lt;&gt;"Vastgesteld"),"",_xlfn.MAXIFS($G$6:$G$5005,$S$6:$S$5005,S239,$D$6:$D$5005,"Vastgesteld"))</f>
        <v>0</v>
      </c>
      <c r="U239" s="15">
        <f>IF(T239="",0,IF(AND(G239=T239,COUNTIFS($S$6:S239,S239,$G$6:G239,G239,$D$6:D239,"Vastgesteld")=1),1,0))</f>
        <v>1</v>
      </c>
      <c r="V239" s="15">
        <f>IF(T239="",0,IF(AND(G239=T239,COUNTIFS($S$6:S239,S239,$G$6:G239,G239,$D$6:D239,"Vastgesteld")&gt;1),1,0))</f>
        <v>0</v>
      </c>
    </row>
    <row r="240">
      <c r="A240" s="92" t="inlineStr">
        <is>
          <t>HIST-2026-Q1</t>
        </is>
      </c>
      <c r="B240" s="92" t="inlineStr">
        <is>
          <t>RDFO_FICTIEVE_historie_en_mapping.xlsx</t>
        </is>
      </c>
      <c r="C240" s="108" t="n">
        <v>46324</v>
      </c>
      <c r="D240" s="92" t="inlineStr">
        <is>
          <t>Vastgesteld</t>
        </is>
      </c>
      <c r="E240" s="92" t="n">
        <v>2026</v>
      </c>
      <c r="F240" s="92" t="inlineStr">
        <is>
          <t>Q1</t>
        </is>
      </c>
      <c r="G240" s="92" t="n">
        <v>0</v>
      </c>
      <c r="H240" s="108" t="n">
        <v>46112</v>
      </c>
      <c r="I240" s="92" t="n">
        <v>2027</v>
      </c>
      <c r="J240" s="92" t="inlineStr">
        <is>
          <t>G.900009.8.9090</t>
        </is>
      </c>
      <c r="K240" s="92" t="inlineStr">
        <is>
          <t>G.900009</t>
        </is>
      </c>
      <c r="L240" s="92" t="inlineStr">
        <is>
          <t>Duinwaard, Duinrand</t>
        </is>
      </c>
      <c r="M240" s="92" t="inlineStr">
        <is>
          <t>Opstal</t>
        </is>
      </c>
      <c r="N240" s="92" t="inlineStr">
        <is>
          <t>J</t>
        </is>
      </c>
      <c r="O240" s="92" t="inlineStr">
        <is>
          <t>Omzet FY</t>
        </is>
      </c>
      <c r="P240" s="109" t="n">
        <v>15824952</v>
      </c>
      <c r="Q240" s="92" t="inlineStr">
        <is>
          <t>EUR</t>
        </is>
      </c>
      <c r="R240" s="92" t="inlineStr">
        <is>
          <t>Synthetische vastgelegde invoer; geen echte historie</t>
        </is>
      </c>
      <c r="S240" s="15" t="str">
        <f>IF(J240="","",J240&amp;"|"&amp;E240&amp;"|"&amp;F240&amp;"|"&amp;I240&amp;"|"&amp;O240)</f>
        <v>G.900009.8.9090|2026|Q1|2027|Omzet FY</v>
      </c>
      <c r="T240" s="15">
        <f>IF(OR(S240="",D240&lt;&gt;"Vastgesteld"),"",_xlfn.MAXIFS($G$6:$G$5005,$S$6:$S$5005,S240,$D$6:$D$5005,"Vastgesteld"))</f>
        <v>0</v>
      </c>
      <c r="U240" s="15">
        <f>IF(T240="",0,IF(AND(G240=T240,COUNTIFS($S$6:S240,S240,$G$6:G240,G240,$D$6:D240,"Vastgesteld")=1),1,0))</f>
        <v>1</v>
      </c>
      <c r="V240" s="15">
        <f>IF(T240="",0,IF(AND(G240=T240,COUNTIFS($S$6:S240,S240,$G$6:G240,G240,$D$6:D240,"Vastgesteld")&gt;1),1,0))</f>
        <v>0</v>
      </c>
    </row>
    <row r="241">
      <c r="A241" s="92" t="inlineStr">
        <is>
          <t>HIST-2026-Q1</t>
        </is>
      </c>
      <c r="B241" s="92" t="inlineStr">
        <is>
          <t>RDFO_FICTIEVE_historie_en_mapping.xlsx</t>
        </is>
      </c>
      <c r="C241" s="108" t="n">
        <v>46324</v>
      </c>
      <c r="D241" s="92" t="inlineStr">
        <is>
          <t>Vastgesteld</t>
        </is>
      </c>
      <c r="E241" s="92" t="n">
        <v>2026</v>
      </c>
      <c r="F241" s="92" t="inlineStr">
        <is>
          <t>Q1</t>
        </is>
      </c>
      <c r="G241" s="92" t="n">
        <v>0</v>
      </c>
      <c r="H241" s="108" t="n">
        <v>46112</v>
      </c>
      <c r="I241" s="92" t="n">
        <v>2027</v>
      </c>
      <c r="J241" s="92" t="inlineStr">
        <is>
          <t>G.900009.8.9090</t>
        </is>
      </c>
      <c r="K241" s="92" t="inlineStr">
        <is>
          <t>G.900009</t>
        </is>
      </c>
      <c r="L241" s="92" t="inlineStr">
        <is>
          <t>Duinwaard, Duinrand</t>
        </is>
      </c>
      <c r="M241" s="92" t="inlineStr">
        <is>
          <t>Opstal</t>
        </is>
      </c>
      <c r="N241" s="92" t="inlineStr">
        <is>
          <t>J</t>
        </is>
      </c>
      <c r="O241" s="92" t="inlineStr">
        <is>
          <t>BOR FY</t>
        </is>
      </c>
      <c r="P241" s="109" t="n">
        <v>1265996.16</v>
      </c>
      <c r="Q241" s="92" t="inlineStr">
        <is>
          <t>EUR</t>
        </is>
      </c>
      <c r="R241" s="92" t="inlineStr">
        <is>
          <t>Synthetische vastgelegde invoer; geen echte historie</t>
        </is>
      </c>
      <c r="S241" s="15" t="str">
        <f>IF(J241="","",J241&amp;"|"&amp;E241&amp;"|"&amp;F241&amp;"|"&amp;I241&amp;"|"&amp;O241)</f>
        <v>G.900009.8.9090|2026|Q1|2027|BOR FY</v>
      </c>
      <c r="T241" s="15">
        <f>IF(OR(S241="",D241&lt;&gt;"Vastgesteld"),"",_xlfn.MAXIFS($G$6:$G$5005,$S$6:$S$5005,S241,$D$6:$D$5005,"Vastgesteld"))</f>
        <v>0</v>
      </c>
      <c r="U241" s="15">
        <f>IF(T241="",0,IF(AND(G241=T241,COUNTIFS($S$6:S241,S241,$G$6:G241,G241,$D$6:D241,"Vastgesteld")=1),1,0))</f>
        <v>1</v>
      </c>
      <c r="V241" s="15">
        <f>IF(T241="",0,IF(AND(G241=T241,COUNTIFS($S$6:S241,S241,$G$6:G241,G241,$D$6:D241,"Vastgesteld")&gt;1),1,0))</f>
        <v>0</v>
      </c>
    </row>
    <row r="242">
      <c r="A242" s="92" t="inlineStr">
        <is>
          <t>HIST-2026-Q1</t>
        </is>
      </c>
      <c r="B242" s="92" t="inlineStr">
        <is>
          <t>RDFO_FICTIEVE_historie_en_mapping.xlsx</t>
        </is>
      </c>
      <c r="C242" s="108" t="n">
        <v>46324</v>
      </c>
      <c r="D242" s="92" t="inlineStr">
        <is>
          <t>Vastgesteld</t>
        </is>
      </c>
      <c r="E242" s="92" t="n">
        <v>2026</v>
      </c>
      <c r="F242" s="92" t="inlineStr">
        <is>
          <t>Q1</t>
        </is>
      </c>
      <c r="G242" s="92" t="n">
        <v>0</v>
      </c>
      <c r="H242" s="108" t="n">
        <v>46112</v>
      </c>
      <c r="I242" s="92" t="n">
        <v>2026</v>
      </c>
      <c r="J242" s="92" t="inlineStr">
        <is>
          <t>G.900010.8.9090</t>
        </is>
      </c>
      <c r="K242" s="92" t="inlineStr">
        <is>
          <t>G.900010</t>
        </is>
      </c>
      <c r="L242" s="92" t="inlineStr">
        <is>
          <t>Veldendam, Groene Singel</t>
        </is>
      </c>
      <c r="M242" s="92" t="inlineStr">
        <is>
          <t>Opstal</t>
        </is>
      </c>
      <c r="N242" s="92" t="inlineStr">
        <is>
          <t>J</t>
        </is>
      </c>
      <c r="O242" s="92" t="inlineStr">
        <is>
          <t>Omzet FY</t>
        </is>
      </c>
      <c r="P242" s="109" t="n">
        <v>2944080</v>
      </c>
      <c r="Q242" s="92" t="inlineStr">
        <is>
          <t>EUR</t>
        </is>
      </c>
      <c r="R242" s="92" t="inlineStr">
        <is>
          <t>Synthetische vastgelegde invoer; geen echte historie</t>
        </is>
      </c>
      <c r="S242" s="15" t="str">
        <f>IF(J242="","",J242&amp;"|"&amp;E242&amp;"|"&amp;F242&amp;"|"&amp;I242&amp;"|"&amp;O242)</f>
        <v>G.900010.8.9090|2026|Q1|2026|Omzet FY</v>
      </c>
      <c r="T242" s="15">
        <f>IF(OR(S242="",D242&lt;&gt;"Vastgesteld"),"",_xlfn.MAXIFS($G$6:$G$5005,$S$6:$S$5005,S242,$D$6:$D$5005,"Vastgesteld"))</f>
        <v>0</v>
      </c>
      <c r="U242" s="15">
        <f>IF(T242="",0,IF(AND(G242=T242,COUNTIFS($S$6:S242,S242,$G$6:G242,G242,$D$6:D242,"Vastgesteld")=1),1,0))</f>
        <v>1</v>
      </c>
      <c r="V242" s="15">
        <f>IF(T242="",0,IF(AND(G242=T242,COUNTIFS($S$6:S242,S242,$G$6:G242,G242,$D$6:D242,"Vastgesteld")&gt;1),1,0))</f>
        <v>0</v>
      </c>
    </row>
    <row r="243">
      <c r="A243" s="92" t="inlineStr">
        <is>
          <t>HIST-2026-Q1</t>
        </is>
      </c>
      <c r="B243" s="92" t="inlineStr">
        <is>
          <t>RDFO_FICTIEVE_historie_en_mapping.xlsx</t>
        </is>
      </c>
      <c r="C243" s="108" t="n">
        <v>46324</v>
      </c>
      <c r="D243" s="92" t="inlineStr">
        <is>
          <t>Vastgesteld</t>
        </is>
      </c>
      <c r="E243" s="92" t="n">
        <v>2026</v>
      </c>
      <c r="F243" s="92" t="inlineStr">
        <is>
          <t>Q1</t>
        </is>
      </c>
      <c r="G243" s="92" t="n">
        <v>0</v>
      </c>
      <c r="H243" s="108" t="n">
        <v>46112</v>
      </c>
      <c r="I243" s="92" t="n">
        <v>2026</v>
      </c>
      <c r="J243" s="92" t="inlineStr">
        <is>
          <t>G.900010.8.9090</t>
        </is>
      </c>
      <c r="K243" s="92" t="inlineStr">
        <is>
          <t>G.900010</t>
        </is>
      </c>
      <c r="L243" s="92" t="inlineStr">
        <is>
          <t>Veldendam, Groene Singel</t>
        </is>
      </c>
      <c r="M243" s="92" t="inlineStr">
        <is>
          <t>Opstal</t>
        </is>
      </c>
      <c r="N243" s="92" t="inlineStr">
        <is>
          <t>J</t>
        </is>
      </c>
      <c r="O243" s="92" t="inlineStr">
        <is>
          <t>BOR FY</t>
        </is>
      </c>
      <c r="P243" s="109" t="n">
        <v>382730.4</v>
      </c>
      <c r="Q243" s="92" t="inlineStr">
        <is>
          <t>EUR</t>
        </is>
      </c>
      <c r="R243" s="92" t="inlineStr">
        <is>
          <t>Synthetische vastgelegde invoer; geen echte historie</t>
        </is>
      </c>
      <c r="S243" s="15" t="str">
        <f>IF(J243="","",J243&amp;"|"&amp;E243&amp;"|"&amp;F243&amp;"|"&amp;I243&amp;"|"&amp;O243)</f>
        <v>G.900010.8.9090|2026|Q1|2026|BOR FY</v>
      </c>
      <c r="T243" s="15">
        <f>IF(OR(S243="",D243&lt;&gt;"Vastgesteld"),"",_xlfn.MAXIFS($G$6:$G$5005,$S$6:$S$5005,S243,$D$6:$D$5005,"Vastgesteld"))</f>
        <v>0</v>
      </c>
      <c r="U243" s="15">
        <f>IF(T243="",0,IF(AND(G243=T243,COUNTIFS($S$6:S243,S243,$G$6:G243,G243,$D$6:D243,"Vastgesteld")=1),1,0))</f>
        <v>1</v>
      </c>
      <c r="V243" s="15">
        <f>IF(T243="",0,IF(AND(G243=T243,COUNTIFS($S$6:S243,S243,$G$6:G243,G243,$D$6:D243,"Vastgesteld")&gt;1),1,0))</f>
        <v>0</v>
      </c>
    </row>
    <row r="244">
      <c r="A244" s="92" t="inlineStr">
        <is>
          <t>HIST-2026-Q1</t>
        </is>
      </c>
      <c r="B244" s="92" t="inlineStr">
        <is>
          <t>RDFO_FICTIEVE_historie_en_mapping.xlsx</t>
        </is>
      </c>
      <c r="C244" s="108" t="n">
        <v>46324</v>
      </c>
      <c r="D244" s="92" t="inlineStr">
        <is>
          <t>Vastgesteld</t>
        </is>
      </c>
      <c r="E244" s="92" t="n">
        <v>2026</v>
      </c>
      <c r="F244" s="92" t="inlineStr">
        <is>
          <t>Q1</t>
        </is>
      </c>
      <c r="G244" s="92" t="n">
        <v>0</v>
      </c>
      <c r="H244" s="108" t="n">
        <v>46112</v>
      </c>
      <c r="I244" s="92" t="n">
        <v>2027</v>
      </c>
      <c r="J244" s="92" t="inlineStr">
        <is>
          <t>G.900010.8.9090</t>
        </is>
      </c>
      <c r="K244" s="92" t="inlineStr">
        <is>
          <t>G.900010</t>
        </is>
      </c>
      <c r="L244" s="92" t="inlineStr">
        <is>
          <t>Veldendam, Groene Singel</t>
        </is>
      </c>
      <c r="M244" s="92" t="inlineStr">
        <is>
          <t>Opstal</t>
        </is>
      </c>
      <c r="N244" s="92" t="inlineStr">
        <is>
          <t>J</t>
        </is>
      </c>
      <c r="O244" s="92" t="inlineStr">
        <is>
          <t>Omzet FY</t>
        </is>
      </c>
      <c r="P244" s="109" t="n">
        <v>17222868</v>
      </c>
      <c r="Q244" s="92" t="inlineStr">
        <is>
          <t>EUR</t>
        </is>
      </c>
      <c r="R244" s="92" t="inlineStr">
        <is>
          <t>Synthetische vastgelegde invoer; geen echte historie</t>
        </is>
      </c>
      <c r="S244" s="15" t="str">
        <f>IF(J244="","",J244&amp;"|"&amp;E244&amp;"|"&amp;F244&amp;"|"&amp;I244&amp;"|"&amp;O244)</f>
        <v>G.900010.8.9090|2026|Q1|2027|Omzet FY</v>
      </c>
      <c r="T244" s="15">
        <f>IF(OR(S244="",D244&lt;&gt;"Vastgesteld"),"",_xlfn.MAXIFS($G$6:$G$5005,$S$6:$S$5005,S244,$D$6:$D$5005,"Vastgesteld"))</f>
        <v>0</v>
      </c>
      <c r="U244" s="15">
        <f>IF(T244="",0,IF(AND(G244=T244,COUNTIFS($S$6:S244,S244,$G$6:G244,G244,$D$6:D244,"Vastgesteld")=1),1,0))</f>
        <v>1</v>
      </c>
      <c r="V244" s="15">
        <f>IF(T244="",0,IF(AND(G244=T244,COUNTIFS($S$6:S244,S244,$G$6:G244,G244,$D$6:D244,"Vastgesteld")&gt;1),1,0))</f>
        <v>0</v>
      </c>
    </row>
    <row r="245">
      <c r="A245" s="92" t="inlineStr">
        <is>
          <t>HIST-2026-Q1</t>
        </is>
      </c>
      <c r="B245" s="92" t="inlineStr">
        <is>
          <t>RDFO_FICTIEVE_historie_en_mapping.xlsx</t>
        </is>
      </c>
      <c r="C245" s="108" t="n">
        <v>46324</v>
      </c>
      <c r="D245" s="92" t="inlineStr">
        <is>
          <t>Vastgesteld</t>
        </is>
      </c>
      <c r="E245" s="92" t="n">
        <v>2026</v>
      </c>
      <c r="F245" s="92" t="inlineStr">
        <is>
          <t>Q1</t>
        </is>
      </c>
      <c r="G245" s="92" t="n">
        <v>0</v>
      </c>
      <c r="H245" s="108" t="n">
        <v>46112</v>
      </c>
      <c r="I245" s="92" t="n">
        <v>2027</v>
      </c>
      <c r="J245" s="92" t="inlineStr">
        <is>
          <t>G.900010.8.9090</t>
        </is>
      </c>
      <c r="K245" s="92" t="inlineStr">
        <is>
          <t>G.900010</t>
        </is>
      </c>
      <c r="L245" s="92" t="inlineStr">
        <is>
          <t>Veldendam, Groene Singel</t>
        </is>
      </c>
      <c r="M245" s="92" t="inlineStr">
        <is>
          <t>Opstal</t>
        </is>
      </c>
      <c r="N245" s="92" t="inlineStr">
        <is>
          <t>J</t>
        </is>
      </c>
      <c r="O245" s="92" t="inlineStr">
        <is>
          <t>BOR FY</t>
        </is>
      </c>
      <c r="P245" s="109" t="n">
        <v>2238972.84</v>
      </c>
      <c r="Q245" s="92" t="inlineStr">
        <is>
          <t>EUR</t>
        </is>
      </c>
      <c r="R245" s="92" t="inlineStr">
        <is>
          <t>Synthetische vastgelegde invoer; geen echte historie</t>
        </is>
      </c>
      <c r="S245" s="15" t="str">
        <f>IF(J245="","",J245&amp;"|"&amp;E245&amp;"|"&amp;F245&amp;"|"&amp;I245&amp;"|"&amp;O245)</f>
        <v>G.900010.8.9090|2026|Q1|2027|BOR FY</v>
      </c>
      <c r="T245" s="15">
        <f>IF(OR(S245="",D245&lt;&gt;"Vastgesteld"),"",_xlfn.MAXIFS($G$6:$G$5005,$S$6:$S$5005,S245,$D$6:$D$5005,"Vastgesteld"))</f>
        <v>0</v>
      </c>
      <c r="U245" s="15">
        <f>IF(T245="",0,IF(AND(G245=T245,COUNTIFS($S$6:S245,S245,$G$6:G245,G245,$D$6:D245,"Vastgesteld")=1),1,0))</f>
        <v>1</v>
      </c>
      <c r="V245" s="15">
        <f>IF(T245="",0,IF(AND(G245=T245,COUNTIFS($S$6:S245,S245,$G$6:G245,G245,$D$6:D245,"Vastgesteld")&gt;1),1,0))</f>
        <v>0</v>
      </c>
    </row>
    <row r="246">
      <c r="A246" s="92" t="inlineStr">
        <is>
          <t>HIST-2026-Q1</t>
        </is>
      </c>
      <c r="B246" s="92" t="inlineStr">
        <is>
          <t>RDFO_FICTIEVE_historie_en_mapping.xlsx</t>
        </is>
      </c>
      <c r="C246" s="108" t="n">
        <v>46324</v>
      </c>
      <c r="D246" s="92" t="inlineStr">
        <is>
          <t>Vastgesteld</t>
        </is>
      </c>
      <c r="E246" s="92" t="n">
        <v>2026</v>
      </c>
      <c r="F246" s="92" t="inlineStr">
        <is>
          <t>Q1</t>
        </is>
      </c>
      <c r="G246" s="92" t="n">
        <v>0</v>
      </c>
      <c r="H246" s="108" t="n">
        <v>46112</v>
      </c>
      <c r="I246" s="92" t="n">
        <v>2026</v>
      </c>
      <c r="J246" s="92" t="inlineStr">
        <is>
          <t>G.900011.8.9090</t>
        </is>
      </c>
      <c r="K246" s="92" t="inlineStr">
        <is>
          <t>G.900011</t>
        </is>
      </c>
      <c r="L246" s="92" t="inlineStr">
        <is>
          <t>Meerhovenstad, Hofstaete</t>
        </is>
      </c>
      <c r="M246" s="92" t="inlineStr">
        <is>
          <t>Opstal</t>
        </is>
      </c>
      <c r="N246" s="92" t="inlineStr">
        <is>
          <t>J</t>
        </is>
      </c>
      <c r="O246" s="92" t="inlineStr">
        <is>
          <t>Omzet FY</t>
        </is>
      </c>
      <c r="P246" s="109" t="n">
        <v>15467520</v>
      </c>
      <c r="Q246" s="92" t="inlineStr">
        <is>
          <t>EUR</t>
        </is>
      </c>
      <c r="R246" s="92" t="inlineStr">
        <is>
          <t>Synthetische vastgelegde invoer; geen echte historie</t>
        </is>
      </c>
      <c r="S246" s="15" t="str">
        <f>IF(J246="","",J246&amp;"|"&amp;E246&amp;"|"&amp;F246&amp;"|"&amp;I246&amp;"|"&amp;O246)</f>
        <v>G.900011.8.9090|2026|Q1|2026|Omzet FY</v>
      </c>
      <c r="T246" s="15">
        <f>IF(OR(S246="",D246&lt;&gt;"Vastgesteld"),"",_xlfn.MAXIFS($G$6:$G$5005,$S$6:$S$5005,S246,$D$6:$D$5005,"Vastgesteld"))</f>
        <v>0</v>
      </c>
      <c r="U246" s="15">
        <f>IF(T246="",0,IF(AND(G246=T246,COUNTIFS($S$6:S246,S246,$G$6:G246,G246,$D$6:D246,"Vastgesteld")=1),1,0))</f>
        <v>1</v>
      </c>
      <c r="V246" s="15">
        <f>IF(T246="",0,IF(AND(G246=T246,COUNTIFS($S$6:S246,S246,$G$6:G246,G246,$D$6:D246,"Vastgesteld")&gt;1),1,0))</f>
        <v>0</v>
      </c>
    </row>
    <row r="247">
      <c r="A247" s="92" t="inlineStr">
        <is>
          <t>HIST-2026-Q1</t>
        </is>
      </c>
      <c r="B247" s="92" t="inlineStr">
        <is>
          <t>RDFO_FICTIEVE_historie_en_mapping.xlsx</t>
        </is>
      </c>
      <c r="C247" s="108" t="n">
        <v>46324</v>
      </c>
      <c r="D247" s="92" t="inlineStr">
        <is>
          <t>Vastgesteld</t>
        </is>
      </c>
      <c r="E247" s="92" t="n">
        <v>2026</v>
      </c>
      <c r="F247" s="92" t="inlineStr">
        <is>
          <t>Q1</t>
        </is>
      </c>
      <c r="G247" s="92" t="n">
        <v>0</v>
      </c>
      <c r="H247" s="108" t="n">
        <v>46112</v>
      </c>
      <c r="I247" s="92" t="n">
        <v>2026</v>
      </c>
      <c r="J247" s="92" t="inlineStr">
        <is>
          <t>G.900011.8.9090</t>
        </is>
      </c>
      <c r="K247" s="92" t="inlineStr">
        <is>
          <t>G.900011</t>
        </is>
      </c>
      <c r="L247" s="92" t="inlineStr">
        <is>
          <t>Meerhovenstad, Hofstaete</t>
        </is>
      </c>
      <c r="M247" s="92" t="inlineStr">
        <is>
          <t>Opstal</t>
        </is>
      </c>
      <c r="N247" s="92" t="inlineStr">
        <is>
          <t>J</t>
        </is>
      </c>
      <c r="O247" s="92" t="inlineStr">
        <is>
          <t>BOR FY</t>
        </is>
      </c>
      <c r="P247" s="109" t="n">
        <v>1392076.8</v>
      </c>
      <c r="Q247" s="92" t="inlineStr">
        <is>
          <t>EUR</t>
        </is>
      </c>
      <c r="R247" s="92" t="inlineStr">
        <is>
          <t>Synthetische vastgelegde invoer; geen echte historie</t>
        </is>
      </c>
      <c r="S247" s="15" t="str">
        <f>IF(J247="","",J247&amp;"|"&amp;E247&amp;"|"&amp;F247&amp;"|"&amp;I247&amp;"|"&amp;O247)</f>
        <v>G.900011.8.9090|2026|Q1|2026|BOR FY</v>
      </c>
      <c r="T247" s="15">
        <f>IF(OR(S247="",D247&lt;&gt;"Vastgesteld"),"",_xlfn.MAXIFS($G$6:$G$5005,$S$6:$S$5005,S247,$D$6:$D$5005,"Vastgesteld"))</f>
        <v>0</v>
      </c>
      <c r="U247" s="15">
        <f>IF(T247="",0,IF(AND(G247=T247,COUNTIFS($S$6:S247,S247,$G$6:G247,G247,$D$6:D247,"Vastgesteld")=1),1,0))</f>
        <v>1</v>
      </c>
      <c r="V247" s="15">
        <f>IF(T247="",0,IF(AND(G247=T247,COUNTIFS($S$6:S247,S247,$G$6:G247,G247,$D$6:D247,"Vastgesteld")&gt;1),1,0))</f>
        <v>0</v>
      </c>
    </row>
    <row r="248">
      <c r="A248" s="92" t="inlineStr">
        <is>
          <t>HIST-2026-Q1</t>
        </is>
      </c>
      <c r="B248" s="92" t="inlineStr">
        <is>
          <t>RDFO_FICTIEVE_historie_en_mapping.xlsx</t>
        </is>
      </c>
      <c r="C248" s="108" t="n">
        <v>46324</v>
      </c>
      <c r="D248" s="92" t="inlineStr">
        <is>
          <t>Vastgesteld</t>
        </is>
      </c>
      <c r="E248" s="92" t="n">
        <v>2026</v>
      </c>
      <c r="F248" s="92" t="inlineStr">
        <is>
          <t>Q1</t>
        </is>
      </c>
      <c r="G248" s="92" t="n">
        <v>0</v>
      </c>
      <c r="H248" s="108" t="n">
        <v>46112</v>
      </c>
      <c r="I248" s="92" t="n">
        <v>2027</v>
      </c>
      <c r="J248" s="92" t="inlineStr">
        <is>
          <t>G.900011.8.9090</t>
        </is>
      </c>
      <c r="K248" s="92" t="inlineStr">
        <is>
          <t>G.900011</t>
        </is>
      </c>
      <c r="L248" s="92" t="inlineStr">
        <is>
          <t>Meerhovenstad, Hofstaete</t>
        </is>
      </c>
      <c r="M248" s="92" t="inlineStr">
        <is>
          <t>Opstal</t>
        </is>
      </c>
      <c r="N248" s="92" t="inlineStr">
        <is>
          <t>J</t>
        </is>
      </c>
      <c r="O248" s="92" t="inlineStr">
        <is>
          <t>Omzet FY</t>
        </is>
      </c>
      <c r="P248" s="109" t="n">
        <v>16403712</v>
      </c>
      <c r="Q248" s="92" t="inlineStr">
        <is>
          <t>EUR</t>
        </is>
      </c>
      <c r="R248" s="92" t="inlineStr">
        <is>
          <t>Synthetische vastgelegde invoer; geen echte historie</t>
        </is>
      </c>
      <c r="S248" s="15" t="str">
        <f>IF(J248="","",J248&amp;"|"&amp;E248&amp;"|"&amp;F248&amp;"|"&amp;I248&amp;"|"&amp;O248)</f>
        <v>G.900011.8.9090|2026|Q1|2027|Omzet FY</v>
      </c>
      <c r="T248" s="15">
        <f>IF(OR(S248="",D248&lt;&gt;"Vastgesteld"),"",_xlfn.MAXIFS($G$6:$G$5005,$S$6:$S$5005,S248,$D$6:$D$5005,"Vastgesteld"))</f>
        <v>0</v>
      </c>
      <c r="U248" s="15">
        <f>IF(T248="",0,IF(AND(G248=T248,COUNTIFS($S$6:S248,S248,$G$6:G248,G248,$D$6:D248,"Vastgesteld")=1),1,0))</f>
        <v>1</v>
      </c>
      <c r="V248" s="15">
        <f>IF(T248="",0,IF(AND(G248=T248,COUNTIFS($S$6:S248,S248,$G$6:G248,G248,$D$6:D248,"Vastgesteld")&gt;1),1,0))</f>
        <v>0</v>
      </c>
    </row>
    <row r="249">
      <c r="A249" s="92" t="inlineStr">
        <is>
          <t>HIST-2026-Q1</t>
        </is>
      </c>
      <c r="B249" s="92" t="inlineStr">
        <is>
          <t>RDFO_FICTIEVE_historie_en_mapping.xlsx</t>
        </is>
      </c>
      <c r="C249" s="108" t="n">
        <v>46324</v>
      </c>
      <c r="D249" s="92" t="inlineStr">
        <is>
          <t>Vastgesteld</t>
        </is>
      </c>
      <c r="E249" s="92" t="n">
        <v>2026</v>
      </c>
      <c r="F249" s="92" t="inlineStr">
        <is>
          <t>Q1</t>
        </is>
      </c>
      <c r="G249" s="92" t="n">
        <v>0</v>
      </c>
      <c r="H249" s="108" t="n">
        <v>46112</v>
      </c>
      <c r="I249" s="92" t="n">
        <v>2027</v>
      </c>
      <c r="J249" s="92" t="inlineStr">
        <is>
          <t>G.900011.8.9090</t>
        </is>
      </c>
      <c r="K249" s="92" t="inlineStr">
        <is>
          <t>G.900011</t>
        </is>
      </c>
      <c r="L249" s="92" t="inlineStr">
        <is>
          <t>Meerhovenstad, Hofstaete</t>
        </is>
      </c>
      <c r="M249" s="92" t="inlineStr">
        <is>
          <t>Opstal</t>
        </is>
      </c>
      <c r="N249" s="92" t="inlineStr">
        <is>
          <t>J</t>
        </is>
      </c>
      <c r="O249" s="92" t="inlineStr">
        <is>
          <t>BOR FY</t>
        </is>
      </c>
      <c r="P249" s="109" t="n">
        <v>1476334.08</v>
      </c>
      <c r="Q249" s="92" t="inlineStr">
        <is>
          <t>EUR</t>
        </is>
      </c>
      <c r="R249" s="92" t="inlineStr">
        <is>
          <t>Synthetische vastgelegde invoer; geen echte historie</t>
        </is>
      </c>
      <c r="S249" s="15" t="str">
        <f>IF(J249="","",J249&amp;"|"&amp;E249&amp;"|"&amp;F249&amp;"|"&amp;I249&amp;"|"&amp;O249)</f>
        <v>G.900011.8.9090|2026|Q1|2027|BOR FY</v>
      </c>
      <c r="T249" s="15">
        <f>IF(OR(S249="",D249&lt;&gt;"Vastgesteld"),"",_xlfn.MAXIFS($G$6:$G$5005,$S$6:$S$5005,S249,$D$6:$D$5005,"Vastgesteld"))</f>
        <v>0</v>
      </c>
      <c r="U249" s="15">
        <f>IF(T249="",0,IF(AND(G249=T249,COUNTIFS($S$6:S249,S249,$G$6:G249,G249,$D$6:D249,"Vastgesteld")=1),1,0))</f>
        <v>1</v>
      </c>
      <c r="V249" s="15">
        <f>IF(T249="",0,IF(AND(G249=T249,COUNTIFS($S$6:S249,S249,$G$6:G249,G249,$D$6:D249,"Vastgesteld")&gt;1),1,0))</f>
        <v>0</v>
      </c>
    </row>
    <row r="250">
      <c r="A250" s="92" t="inlineStr">
        <is>
          <t>HIST-2026-Q1</t>
        </is>
      </c>
      <c r="B250" s="92" t="inlineStr">
        <is>
          <t>RDFO_FICTIEVE_historie_en_mapping.xlsx</t>
        </is>
      </c>
      <c r="C250" s="108" t="n">
        <v>46324</v>
      </c>
      <c r="D250" s="92" t="inlineStr">
        <is>
          <t>Vastgesteld</t>
        </is>
      </c>
      <c r="E250" s="92" t="n">
        <v>2026</v>
      </c>
      <c r="F250" s="92" t="inlineStr">
        <is>
          <t>Q1</t>
        </is>
      </c>
      <c r="G250" s="92" t="n">
        <v>0</v>
      </c>
      <c r="H250" s="108" t="n">
        <v>46112</v>
      </c>
      <c r="I250" s="92" t="n">
        <v>2026</v>
      </c>
      <c r="J250" s="92" t="inlineStr">
        <is>
          <t>G.900012.8.9090</t>
        </is>
      </c>
      <c r="K250" s="92" t="inlineStr">
        <is>
          <t>G.900012</t>
        </is>
      </c>
      <c r="L250" s="92" t="inlineStr">
        <is>
          <t>Zilverdam, De Werf</t>
        </is>
      </c>
      <c r="M250" s="92" t="inlineStr">
        <is>
          <t>Deelneming</t>
        </is>
      </c>
      <c r="N250" s="92" t="inlineStr">
        <is>
          <t>N</t>
        </is>
      </c>
      <c r="O250" s="92" t="inlineStr">
        <is>
          <t>Omzet FY</t>
        </is>
      </c>
      <c r="P250" s="109" t="n">
        <v>1348900</v>
      </c>
      <c r="Q250" s="92" t="inlineStr">
        <is>
          <t>EUR</t>
        </is>
      </c>
      <c r="R250" s="92" t="inlineStr">
        <is>
          <t>Synthetische vastgelegde invoer; geen echte historie</t>
        </is>
      </c>
      <c r="S250" s="15" t="str">
        <f>IF(J250="","",J250&amp;"|"&amp;E250&amp;"|"&amp;F250&amp;"|"&amp;I250&amp;"|"&amp;O250)</f>
        <v>G.900012.8.9090|2026|Q1|2026|Omzet FY</v>
      </c>
      <c r="T250" s="15">
        <f>IF(OR(S250="",D250&lt;&gt;"Vastgesteld"),"",_xlfn.MAXIFS($G$6:$G$5005,$S$6:$S$5005,S250,$D$6:$D$5005,"Vastgesteld"))</f>
        <v>0</v>
      </c>
      <c r="U250" s="15">
        <f>IF(T250="",0,IF(AND(G250=T250,COUNTIFS($S$6:S250,S250,$G$6:G250,G250,$D$6:D250,"Vastgesteld")=1),1,0))</f>
        <v>1</v>
      </c>
      <c r="V250" s="15">
        <f>IF(T250="",0,IF(AND(G250=T250,COUNTIFS($S$6:S250,S250,$G$6:G250,G250,$D$6:D250,"Vastgesteld")&gt;1),1,0))</f>
        <v>0</v>
      </c>
    </row>
    <row r="251">
      <c r="A251" s="92" t="inlineStr">
        <is>
          <t>HIST-2026-Q1</t>
        </is>
      </c>
      <c r="B251" s="92" t="inlineStr">
        <is>
          <t>RDFO_FICTIEVE_historie_en_mapping.xlsx</t>
        </is>
      </c>
      <c r="C251" s="108" t="n">
        <v>46324</v>
      </c>
      <c r="D251" s="92" t="inlineStr">
        <is>
          <t>Vastgesteld</t>
        </is>
      </c>
      <c r="E251" s="92" t="n">
        <v>2026</v>
      </c>
      <c r="F251" s="92" t="inlineStr">
        <is>
          <t>Q1</t>
        </is>
      </c>
      <c r="G251" s="92" t="n">
        <v>0</v>
      </c>
      <c r="H251" s="108" t="n">
        <v>46112</v>
      </c>
      <c r="I251" s="92" t="n">
        <v>2026</v>
      </c>
      <c r="J251" s="92" t="inlineStr">
        <is>
          <t>G.900012.8.9090</t>
        </is>
      </c>
      <c r="K251" s="92" t="inlineStr">
        <is>
          <t>G.900012</t>
        </is>
      </c>
      <c r="L251" s="92" t="inlineStr">
        <is>
          <t>Zilverdam, De Werf</t>
        </is>
      </c>
      <c r="M251" s="92" t="inlineStr">
        <is>
          <t>Deelneming</t>
        </is>
      </c>
      <c r="N251" s="92" t="inlineStr">
        <is>
          <t>N</t>
        </is>
      </c>
      <c r="O251" s="92" t="inlineStr">
        <is>
          <t>BOR FY</t>
        </is>
      </c>
      <c r="P251" s="109" t="n">
        <v>161868</v>
      </c>
      <c r="Q251" s="92" t="inlineStr">
        <is>
          <t>EUR</t>
        </is>
      </c>
      <c r="R251" s="92" t="inlineStr">
        <is>
          <t>Synthetische vastgelegde invoer; geen echte historie</t>
        </is>
      </c>
      <c r="S251" s="15" t="str">
        <f>IF(J251="","",J251&amp;"|"&amp;E251&amp;"|"&amp;F251&amp;"|"&amp;I251&amp;"|"&amp;O251)</f>
        <v>G.900012.8.9090|2026|Q1|2026|BOR FY</v>
      </c>
      <c r="T251" s="15">
        <f>IF(OR(S251="",D251&lt;&gt;"Vastgesteld"),"",_xlfn.MAXIFS($G$6:$G$5005,$S$6:$S$5005,S251,$D$6:$D$5005,"Vastgesteld"))</f>
        <v>0</v>
      </c>
      <c r="U251" s="15">
        <f>IF(T251="",0,IF(AND(G251=T251,COUNTIFS($S$6:S251,S251,$G$6:G251,G251,$D$6:D251,"Vastgesteld")=1),1,0))</f>
        <v>1</v>
      </c>
      <c r="V251" s="15">
        <f>IF(T251="",0,IF(AND(G251=T251,COUNTIFS($S$6:S251,S251,$G$6:G251,G251,$D$6:D251,"Vastgesteld")&gt;1),1,0))</f>
        <v>0</v>
      </c>
    </row>
    <row r="252">
      <c r="A252" s="92" t="inlineStr">
        <is>
          <t>HIST-2026-Q1</t>
        </is>
      </c>
      <c r="B252" s="92" t="inlineStr">
        <is>
          <t>RDFO_FICTIEVE_historie_en_mapping.xlsx</t>
        </is>
      </c>
      <c r="C252" s="108" t="n">
        <v>46324</v>
      </c>
      <c r="D252" s="92" t="inlineStr">
        <is>
          <t>Vastgesteld</t>
        </is>
      </c>
      <c r="E252" s="92" t="n">
        <v>2026</v>
      </c>
      <c r="F252" s="92" t="inlineStr">
        <is>
          <t>Q1</t>
        </is>
      </c>
      <c r="G252" s="92" t="n">
        <v>0</v>
      </c>
      <c r="H252" s="108" t="n">
        <v>46112</v>
      </c>
      <c r="I252" s="92" t="n">
        <v>2027</v>
      </c>
      <c r="J252" s="92" t="inlineStr">
        <is>
          <t>G.900012.8.9090</t>
        </is>
      </c>
      <c r="K252" s="92" t="inlineStr">
        <is>
          <t>G.900012</t>
        </is>
      </c>
      <c r="L252" s="92" t="inlineStr">
        <is>
          <t>Zilverdam, De Werf</t>
        </is>
      </c>
      <c r="M252" s="92" t="inlineStr">
        <is>
          <t>Deelneming</t>
        </is>
      </c>
      <c r="N252" s="92" t="inlineStr">
        <is>
          <t>N</t>
        </is>
      </c>
      <c r="O252" s="92" t="inlineStr">
        <is>
          <t>Omzet FY</t>
        </is>
      </c>
      <c r="P252" s="109" t="n">
        <v>2630355</v>
      </c>
      <c r="Q252" s="92" t="inlineStr">
        <is>
          <t>EUR</t>
        </is>
      </c>
      <c r="R252" s="92" t="inlineStr">
        <is>
          <t>Synthetische vastgelegde invoer; geen echte historie</t>
        </is>
      </c>
      <c r="S252" s="15" t="str">
        <f>IF(J252="","",J252&amp;"|"&amp;E252&amp;"|"&amp;F252&amp;"|"&amp;I252&amp;"|"&amp;O252)</f>
        <v>G.900012.8.9090|2026|Q1|2027|Omzet FY</v>
      </c>
      <c r="T252" s="15">
        <f>IF(OR(S252="",D252&lt;&gt;"Vastgesteld"),"",_xlfn.MAXIFS($G$6:$G$5005,$S$6:$S$5005,S252,$D$6:$D$5005,"Vastgesteld"))</f>
        <v>0</v>
      </c>
      <c r="U252" s="15">
        <f>IF(T252="",0,IF(AND(G252=T252,COUNTIFS($S$6:S252,S252,$G$6:G252,G252,$D$6:D252,"Vastgesteld")=1),1,0))</f>
        <v>1</v>
      </c>
      <c r="V252" s="15">
        <f>IF(T252="",0,IF(AND(G252=T252,COUNTIFS($S$6:S252,S252,$G$6:G252,G252,$D$6:D252,"Vastgesteld")&gt;1),1,0))</f>
        <v>0</v>
      </c>
    </row>
    <row r="253">
      <c r="A253" s="92" t="inlineStr">
        <is>
          <t>HIST-2026-Q1</t>
        </is>
      </c>
      <c r="B253" s="92" t="inlineStr">
        <is>
          <t>RDFO_FICTIEVE_historie_en_mapping.xlsx</t>
        </is>
      </c>
      <c r="C253" s="108" t="n">
        <v>46324</v>
      </c>
      <c r="D253" s="92" t="inlineStr">
        <is>
          <t>Vastgesteld</t>
        </is>
      </c>
      <c r="E253" s="92" t="n">
        <v>2026</v>
      </c>
      <c r="F253" s="92" t="inlineStr">
        <is>
          <t>Q1</t>
        </is>
      </c>
      <c r="G253" s="92" t="n">
        <v>0</v>
      </c>
      <c r="H253" s="108" t="n">
        <v>46112</v>
      </c>
      <c r="I253" s="92" t="n">
        <v>2027</v>
      </c>
      <c r="J253" s="92" t="inlineStr">
        <is>
          <t>G.900012.8.9090</t>
        </is>
      </c>
      <c r="K253" s="92" t="inlineStr">
        <is>
          <t>G.900012</t>
        </is>
      </c>
      <c r="L253" s="92" t="inlineStr">
        <is>
          <t>Zilverdam, De Werf</t>
        </is>
      </c>
      <c r="M253" s="92" t="inlineStr">
        <is>
          <t>Deelneming</t>
        </is>
      </c>
      <c r="N253" s="92" t="inlineStr">
        <is>
          <t>N</t>
        </is>
      </c>
      <c r="O253" s="92" t="inlineStr">
        <is>
          <t>BOR FY</t>
        </is>
      </c>
      <c r="P253" s="109" t="n">
        <v>315642.6</v>
      </c>
      <c r="Q253" s="92" t="inlineStr">
        <is>
          <t>EUR</t>
        </is>
      </c>
      <c r="R253" s="92" t="inlineStr">
        <is>
          <t>Synthetische vastgelegde invoer; geen echte historie</t>
        </is>
      </c>
      <c r="S253" s="15" t="str">
        <f>IF(J253="","",J253&amp;"|"&amp;E253&amp;"|"&amp;F253&amp;"|"&amp;I253&amp;"|"&amp;O253)</f>
        <v>G.900012.8.9090|2026|Q1|2027|BOR FY</v>
      </c>
      <c r="T253" s="15">
        <f>IF(OR(S253="",D253&lt;&gt;"Vastgesteld"),"",_xlfn.MAXIFS($G$6:$G$5005,$S$6:$S$5005,S253,$D$6:$D$5005,"Vastgesteld"))</f>
        <v>0</v>
      </c>
      <c r="U253" s="15">
        <f>IF(T253="",0,IF(AND(G253=T253,COUNTIFS($S$6:S253,S253,$G$6:G253,G253,$D$6:D253,"Vastgesteld")=1),1,0))</f>
        <v>1</v>
      </c>
      <c r="V253" s="15">
        <f>IF(T253="",0,IF(AND(G253=T253,COUNTIFS($S$6:S253,S253,$G$6:G253,G253,$D$6:D253,"Vastgesteld")&gt;1),1,0))</f>
        <v>0</v>
      </c>
    </row>
    <row r="254">
      <c r="A254" s="92" t="inlineStr">
        <is>
          <t>HIST-2026-Q1</t>
        </is>
      </c>
      <c r="B254" s="92" t="inlineStr">
        <is>
          <t>RDFO_FICTIEVE_historie_en_mapping.xlsx</t>
        </is>
      </c>
      <c r="C254" s="108" t="n">
        <v>46324</v>
      </c>
      <c r="D254" s="92" t="inlineStr">
        <is>
          <t>Vastgesteld</t>
        </is>
      </c>
      <c r="E254" s="92" t="n">
        <v>2026</v>
      </c>
      <c r="F254" s="92" t="inlineStr">
        <is>
          <t>Q1</t>
        </is>
      </c>
      <c r="G254" s="92" t="n">
        <v>0</v>
      </c>
      <c r="H254" s="108" t="n">
        <v>46112</v>
      </c>
      <c r="I254" s="92" t="n">
        <v>2026</v>
      </c>
      <c r="J254" s="92" t="inlineStr">
        <is>
          <t>G.900013.8.9090</t>
        </is>
      </c>
      <c r="K254" s="92" t="inlineStr">
        <is>
          <t>G.900013</t>
        </is>
      </c>
      <c r="L254" s="92" t="inlineStr">
        <is>
          <t>Boswaard, Boskamers</t>
        </is>
      </c>
      <c r="M254" s="92" t="inlineStr">
        <is>
          <t>Opstal</t>
        </is>
      </c>
      <c r="N254" s="92" t="inlineStr">
        <is>
          <t>J</t>
        </is>
      </c>
      <c r="O254" s="92" t="inlineStr">
        <is>
          <t>Omzet FY</t>
        </is>
      </c>
      <c r="P254" s="109" t="n">
        <v>4006800</v>
      </c>
      <c r="Q254" s="92" t="inlineStr">
        <is>
          <t>EUR</t>
        </is>
      </c>
      <c r="R254" s="92" t="inlineStr">
        <is>
          <t>Synthetische vastgelegde invoer; geen echte historie</t>
        </is>
      </c>
      <c r="S254" s="15" t="str">
        <f>IF(J254="","",J254&amp;"|"&amp;E254&amp;"|"&amp;F254&amp;"|"&amp;I254&amp;"|"&amp;O254)</f>
        <v>G.900013.8.9090|2026|Q1|2026|Omzet FY</v>
      </c>
      <c r="T254" s="15">
        <f>IF(OR(S254="",D254&lt;&gt;"Vastgesteld"),"",_xlfn.MAXIFS($G$6:$G$5005,$S$6:$S$5005,S254,$D$6:$D$5005,"Vastgesteld"))</f>
        <v>0</v>
      </c>
      <c r="U254" s="15">
        <f>IF(T254="",0,IF(AND(G254=T254,COUNTIFS($S$6:S254,S254,$G$6:G254,G254,$D$6:D254,"Vastgesteld")=1),1,0))</f>
        <v>1</v>
      </c>
      <c r="V254" s="15">
        <f>IF(T254="",0,IF(AND(G254=T254,COUNTIFS($S$6:S254,S254,$G$6:G254,G254,$D$6:D254,"Vastgesteld")&gt;1),1,0))</f>
        <v>0</v>
      </c>
    </row>
    <row r="255">
      <c r="A255" s="92" t="inlineStr">
        <is>
          <t>HIST-2026-Q1</t>
        </is>
      </c>
      <c r="B255" s="92" t="inlineStr">
        <is>
          <t>RDFO_FICTIEVE_historie_en_mapping.xlsx</t>
        </is>
      </c>
      <c r="C255" s="108" t="n">
        <v>46324</v>
      </c>
      <c r="D255" s="92" t="inlineStr">
        <is>
          <t>Vastgesteld</t>
        </is>
      </c>
      <c r="E255" s="92" t="n">
        <v>2026</v>
      </c>
      <c r="F255" s="92" t="inlineStr">
        <is>
          <t>Q1</t>
        </is>
      </c>
      <c r="G255" s="92" t="n">
        <v>0</v>
      </c>
      <c r="H255" s="108" t="n">
        <v>46112</v>
      </c>
      <c r="I255" s="92" t="n">
        <v>2026</v>
      </c>
      <c r="J255" s="92" t="inlineStr">
        <is>
          <t>G.900013.8.9090</t>
        </is>
      </c>
      <c r="K255" s="92" t="inlineStr">
        <is>
          <t>G.900013</t>
        </is>
      </c>
      <c r="L255" s="92" t="inlineStr">
        <is>
          <t>Boswaard, Boskamers</t>
        </is>
      </c>
      <c r="M255" s="92" t="inlineStr">
        <is>
          <t>Opstal</t>
        </is>
      </c>
      <c r="N255" s="92" t="inlineStr">
        <is>
          <t>J</t>
        </is>
      </c>
      <c r="O255" s="92" t="inlineStr">
        <is>
          <t>BOR FY</t>
        </is>
      </c>
      <c r="P255" s="109" t="n">
        <v>300510</v>
      </c>
      <c r="Q255" s="92" t="inlineStr">
        <is>
          <t>EUR</t>
        </is>
      </c>
      <c r="R255" s="92" t="inlineStr">
        <is>
          <t>Synthetische vastgelegde invoer; geen echte historie</t>
        </is>
      </c>
      <c r="S255" s="15" t="str">
        <f>IF(J255="","",J255&amp;"|"&amp;E255&amp;"|"&amp;F255&amp;"|"&amp;I255&amp;"|"&amp;O255)</f>
        <v>G.900013.8.9090|2026|Q1|2026|BOR FY</v>
      </c>
      <c r="T255" s="15">
        <f>IF(OR(S255="",D255&lt;&gt;"Vastgesteld"),"",_xlfn.MAXIFS($G$6:$G$5005,$S$6:$S$5005,S255,$D$6:$D$5005,"Vastgesteld"))</f>
        <v>0</v>
      </c>
      <c r="U255" s="15">
        <f>IF(T255="",0,IF(AND(G255=T255,COUNTIFS($S$6:S255,S255,$G$6:G255,G255,$D$6:D255,"Vastgesteld")=1),1,0))</f>
        <v>1</v>
      </c>
      <c r="V255" s="15">
        <f>IF(T255="",0,IF(AND(G255=T255,COUNTIFS($S$6:S255,S255,$G$6:G255,G255,$D$6:D255,"Vastgesteld")&gt;1),1,0))</f>
        <v>0</v>
      </c>
    </row>
    <row r="256">
      <c r="A256" s="92" t="inlineStr">
        <is>
          <t>HIST-2026-Q1</t>
        </is>
      </c>
      <c r="B256" s="92" t="inlineStr">
        <is>
          <t>RDFO_FICTIEVE_historie_en_mapping.xlsx</t>
        </is>
      </c>
      <c r="C256" s="108" t="n">
        <v>46324</v>
      </c>
      <c r="D256" s="92" t="inlineStr">
        <is>
          <t>Vastgesteld</t>
        </is>
      </c>
      <c r="E256" s="92" t="n">
        <v>2026</v>
      </c>
      <c r="F256" s="92" t="inlineStr">
        <is>
          <t>Q1</t>
        </is>
      </c>
      <c r="G256" s="92" t="n">
        <v>0</v>
      </c>
      <c r="H256" s="108" t="n">
        <v>46112</v>
      </c>
      <c r="I256" s="92" t="n">
        <v>2027</v>
      </c>
      <c r="J256" s="92" t="inlineStr">
        <is>
          <t>G.900013.8.9090</t>
        </is>
      </c>
      <c r="K256" s="92" t="inlineStr">
        <is>
          <t>G.900013</t>
        </is>
      </c>
      <c r="L256" s="92" t="inlineStr">
        <is>
          <t>Boswaard, Boskamers</t>
        </is>
      </c>
      <c r="M256" s="92" t="inlineStr">
        <is>
          <t>Opstal</t>
        </is>
      </c>
      <c r="N256" s="92" t="inlineStr">
        <is>
          <t>J</t>
        </is>
      </c>
      <c r="O256" s="92" t="inlineStr">
        <is>
          <t>Omzet FY</t>
        </is>
      </c>
      <c r="P256" s="109" t="n">
        <v>14758380</v>
      </c>
      <c r="Q256" s="92" t="inlineStr">
        <is>
          <t>EUR</t>
        </is>
      </c>
      <c r="R256" s="92" t="inlineStr">
        <is>
          <t>Synthetische vastgelegde invoer; geen echte historie</t>
        </is>
      </c>
      <c r="S256" s="15" t="str">
        <f>IF(J256="","",J256&amp;"|"&amp;E256&amp;"|"&amp;F256&amp;"|"&amp;I256&amp;"|"&amp;O256)</f>
        <v>G.900013.8.9090|2026|Q1|2027|Omzet FY</v>
      </c>
      <c r="T256" s="15">
        <f>IF(OR(S256="",D256&lt;&gt;"Vastgesteld"),"",_xlfn.MAXIFS($G$6:$G$5005,$S$6:$S$5005,S256,$D$6:$D$5005,"Vastgesteld"))</f>
        <v>0</v>
      </c>
      <c r="U256" s="15">
        <f>IF(T256="",0,IF(AND(G256=T256,COUNTIFS($S$6:S256,S256,$G$6:G256,G256,$D$6:D256,"Vastgesteld")=1),1,0))</f>
        <v>1</v>
      </c>
      <c r="V256" s="15">
        <f>IF(T256="",0,IF(AND(G256=T256,COUNTIFS($S$6:S256,S256,$G$6:G256,G256,$D$6:D256,"Vastgesteld")&gt;1),1,0))</f>
        <v>0</v>
      </c>
    </row>
    <row r="257">
      <c r="A257" s="92" t="inlineStr">
        <is>
          <t>HIST-2026-Q1</t>
        </is>
      </c>
      <c r="B257" s="92" t="inlineStr">
        <is>
          <t>RDFO_FICTIEVE_historie_en_mapping.xlsx</t>
        </is>
      </c>
      <c r="C257" s="108" t="n">
        <v>46324</v>
      </c>
      <c r="D257" s="92" t="inlineStr">
        <is>
          <t>Vastgesteld</t>
        </is>
      </c>
      <c r="E257" s="92" t="n">
        <v>2026</v>
      </c>
      <c r="F257" s="92" t="inlineStr">
        <is>
          <t>Q1</t>
        </is>
      </c>
      <c r="G257" s="92" t="n">
        <v>0</v>
      </c>
      <c r="H257" s="108" t="n">
        <v>46112</v>
      </c>
      <c r="I257" s="92" t="n">
        <v>2027</v>
      </c>
      <c r="J257" s="92" t="inlineStr">
        <is>
          <t>G.900013.8.9090</t>
        </is>
      </c>
      <c r="K257" s="92" t="inlineStr">
        <is>
          <t>G.900013</t>
        </is>
      </c>
      <c r="L257" s="92" t="inlineStr">
        <is>
          <t>Boswaard, Boskamers</t>
        </is>
      </c>
      <c r="M257" s="92" t="inlineStr">
        <is>
          <t>Opstal</t>
        </is>
      </c>
      <c r="N257" s="92" t="inlineStr">
        <is>
          <t>J</t>
        </is>
      </c>
      <c r="O257" s="92" t="inlineStr">
        <is>
          <t>BOR FY</t>
        </is>
      </c>
      <c r="P257" s="109" t="n">
        <v>1106878.5</v>
      </c>
      <c r="Q257" s="92" t="inlineStr">
        <is>
          <t>EUR</t>
        </is>
      </c>
      <c r="R257" s="92" t="inlineStr">
        <is>
          <t>Synthetische vastgelegde invoer; geen echte historie</t>
        </is>
      </c>
      <c r="S257" s="15" t="str">
        <f>IF(J257="","",J257&amp;"|"&amp;E257&amp;"|"&amp;F257&amp;"|"&amp;I257&amp;"|"&amp;O257)</f>
        <v>G.900013.8.9090|2026|Q1|2027|BOR FY</v>
      </c>
      <c r="T257" s="15">
        <f>IF(OR(S257="",D257&lt;&gt;"Vastgesteld"),"",_xlfn.MAXIFS($G$6:$G$5005,$S$6:$S$5005,S257,$D$6:$D$5005,"Vastgesteld"))</f>
        <v>0</v>
      </c>
      <c r="U257" s="15">
        <f>IF(T257="",0,IF(AND(G257=T257,COUNTIFS($S$6:S257,S257,$G$6:G257,G257,$D$6:D257,"Vastgesteld")=1),1,0))</f>
        <v>1</v>
      </c>
      <c r="V257" s="15">
        <f>IF(T257="",0,IF(AND(G257=T257,COUNTIFS($S$6:S257,S257,$G$6:G257,G257,$D$6:D257,"Vastgesteld")&gt;1),1,0))</f>
        <v>0</v>
      </c>
    </row>
    <row r="258">
      <c r="A258" s="92" t="inlineStr">
        <is>
          <t>HIST-2026-Q1</t>
        </is>
      </c>
      <c r="B258" s="92" t="inlineStr">
        <is>
          <t>RDFO_FICTIEVE_historie_en_mapping.xlsx</t>
        </is>
      </c>
      <c r="C258" s="108" t="n">
        <v>46324</v>
      </c>
      <c r="D258" s="92" t="inlineStr">
        <is>
          <t>Vastgesteld</t>
        </is>
      </c>
      <c r="E258" s="92" t="n">
        <v>2026</v>
      </c>
      <c r="F258" s="92" t="inlineStr">
        <is>
          <t>Q1</t>
        </is>
      </c>
      <c r="G258" s="92" t="n">
        <v>0</v>
      </c>
      <c r="H258" s="108" t="n">
        <v>46112</v>
      </c>
      <c r="I258" s="92" t="n">
        <v>2026</v>
      </c>
      <c r="J258" s="92" t="inlineStr">
        <is>
          <t>G.900014.8.9090</t>
        </is>
      </c>
      <c r="K258" s="92" t="inlineStr">
        <is>
          <t>G.900014</t>
        </is>
      </c>
      <c r="L258" s="92" t="inlineStr">
        <is>
          <t>Rietdam, Rietoevers</t>
        </is>
      </c>
      <c r="M258" s="92" t="inlineStr">
        <is>
          <t>Opstal</t>
        </is>
      </c>
      <c r="N258" s="92" t="inlineStr">
        <is>
          <t>J</t>
        </is>
      </c>
      <c r="O258" s="92" t="inlineStr">
        <is>
          <t>Omzet FY</t>
        </is>
      </c>
      <c r="P258" s="109" t="n">
        <v>8243424</v>
      </c>
      <c r="Q258" s="92" t="inlineStr">
        <is>
          <t>EUR</t>
        </is>
      </c>
      <c r="R258" s="92" t="inlineStr">
        <is>
          <t>Synthetische vastgelegde invoer; geen echte historie</t>
        </is>
      </c>
      <c r="S258" s="15" t="str">
        <f>IF(J258="","",J258&amp;"|"&amp;E258&amp;"|"&amp;F258&amp;"|"&amp;I258&amp;"|"&amp;O258)</f>
        <v>G.900014.8.9090|2026|Q1|2026|Omzet FY</v>
      </c>
      <c r="T258" s="15">
        <f>IF(OR(S258="",D258&lt;&gt;"Vastgesteld"),"",_xlfn.MAXIFS($G$6:$G$5005,$S$6:$S$5005,S258,$D$6:$D$5005,"Vastgesteld"))</f>
        <v>0</v>
      </c>
      <c r="U258" s="15">
        <f>IF(T258="",0,IF(AND(G258=T258,COUNTIFS($S$6:S258,S258,$G$6:G258,G258,$D$6:D258,"Vastgesteld")=1),1,0))</f>
        <v>1</v>
      </c>
      <c r="V258" s="15">
        <f>IF(T258="",0,IF(AND(G258=T258,COUNTIFS($S$6:S258,S258,$G$6:G258,G258,$D$6:D258,"Vastgesteld")&gt;1),1,0))</f>
        <v>0</v>
      </c>
    </row>
    <row r="259">
      <c r="A259" s="92" t="inlineStr">
        <is>
          <t>HIST-2026-Q1</t>
        </is>
      </c>
      <c r="B259" s="92" t="inlineStr">
        <is>
          <t>RDFO_FICTIEVE_historie_en_mapping.xlsx</t>
        </is>
      </c>
      <c r="C259" s="108" t="n">
        <v>46324</v>
      </c>
      <c r="D259" s="92" t="inlineStr">
        <is>
          <t>Vastgesteld</t>
        </is>
      </c>
      <c r="E259" s="92" t="n">
        <v>2026</v>
      </c>
      <c r="F259" s="92" t="inlineStr">
        <is>
          <t>Q1</t>
        </is>
      </c>
      <c r="G259" s="92" t="n">
        <v>0</v>
      </c>
      <c r="H259" s="108" t="n">
        <v>46112</v>
      </c>
      <c r="I259" s="92" t="n">
        <v>2026</v>
      </c>
      <c r="J259" s="92" t="inlineStr">
        <is>
          <t>G.900014.8.9090</t>
        </is>
      </c>
      <c r="K259" s="92" t="inlineStr">
        <is>
          <t>G.900014</t>
        </is>
      </c>
      <c r="L259" s="92" t="inlineStr">
        <is>
          <t>Rietdam, Rietoevers</t>
        </is>
      </c>
      <c r="M259" s="92" t="inlineStr">
        <is>
          <t>Opstal</t>
        </is>
      </c>
      <c r="N259" s="92" t="inlineStr">
        <is>
          <t>J</t>
        </is>
      </c>
      <c r="O259" s="92" t="inlineStr">
        <is>
          <t>BOR FY</t>
        </is>
      </c>
      <c r="P259" s="109" t="n">
        <v>906776.64</v>
      </c>
      <c r="Q259" s="92" t="inlineStr">
        <is>
          <t>EUR</t>
        </is>
      </c>
      <c r="R259" s="92" t="inlineStr">
        <is>
          <t>Synthetische vastgelegde invoer; geen echte historie</t>
        </is>
      </c>
      <c r="S259" s="15" t="str">
        <f>IF(J259="","",J259&amp;"|"&amp;E259&amp;"|"&amp;F259&amp;"|"&amp;I259&amp;"|"&amp;O259)</f>
        <v>G.900014.8.9090|2026|Q1|2026|BOR FY</v>
      </c>
      <c r="T259" s="15">
        <f>IF(OR(S259="",D259&lt;&gt;"Vastgesteld"),"",_xlfn.MAXIFS($G$6:$G$5005,$S$6:$S$5005,S259,$D$6:$D$5005,"Vastgesteld"))</f>
        <v>0</v>
      </c>
      <c r="U259" s="15">
        <f>IF(T259="",0,IF(AND(G259=T259,COUNTIFS($S$6:S259,S259,$G$6:G259,G259,$D$6:D259,"Vastgesteld")=1),1,0))</f>
        <v>1</v>
      </c>
      <c r="V259" s="15">
        <f>IF(T259="",0,IF(AND(G259=T259,COUNTIFS($S$6:S259,S259,$G$6:G259,G259,$D$6:D259,"Vastgesteld")&gt;1),1,0))</f>
        <v>0</v>
      </c>
    </row>
    <row r="260">
      <c r="A260" s="92" t="inlineStr">
        <is>
          <t>HIST-2026-Q1</t>
        </is>
      </c>
      <c r="B260" s="92" t="inlineStr">
        <is>
          <t>RDFO_FICTIEVE_historie_en_mapping.xlsx</t>
        </is>
      </c>
      <c r="C260" s="108" t="n">
        <v>46324</v>
      </c>
      <c r="D260" s="92" t="inlineStr">
        <is>
          <t>Vastgesteld</t>
        </is>
      </c>
      <c r="E260" s="92" t="n">
        <v>2026</v>
      </c>
      <c r="F260" s="92" t="inlineStr">
        <is>
          <t>Q1</t>
        </is>
      </c>
      <c r="G260" s="92" t="n">
        <v>0</v>
      </c>
      <c r="H260" s="108" t="n">
        <v>46112</v>
      </c>
      <c r="I260" s="92" t="n">
        <v>2027</v>
      </c>
      <c r="J260" s="92" t="inlineStr">
        <is>
          <t>G.900014.8.9090</t>
        </is>
      </c>
      <c r="K260" s="92" t="inlineStr">
        <is>
          <t>G.900014</t>
        </is>
      </c>
      <c r="L260" s="92" t="inlineStr">
        <is>
          <t>Rietdam, Rietoevers</t>
        </is>
      </c>
      <c r="M260" s="92" t="inlineStr">
        <is>
          <t>Opstal</t>
        </is>
      </c>
      <c r="N260" s="92" t="inlineStr">
        <is>
          <t>J</t>
        </is>
      </c>
      <c r="O260" s="92" t="inlineStr">
        <is>
          <t>Omzet FY</t>
        </is>
      </c>
      <c r="P260" s="109" t="n">
        <v>7399454.4</v>
      </c>
      <c r="Q260" s="92" t="inlineStr">
        <is>
          <t>EUR</t>
        </is>
      </c>
      <c r="R260" s="92" t="inlineStr">
        <is>
          <t>Synthetische vastgelegde invoer; geen echte historie</t>
        </is>
      </c>
      <c r="S260" s="15" t="str">
        <f>IF(J260="","",J260&amp;"|"&amp;E260&amp;"|"&amp;F260&amp;"|"&amp;I260&amp;"|"&amp;O260)</f>
        <v>G.900014.8.9090|2026|Q1|2027|Omzet FY</v>
      </c>
      <c r="T260" s="15">
        <f>IF(OR(S260="",D260&lt;&gt;"Vastgesteld"),"",_xlfn.MAXIFS($G$6:$G$5005,$S$6:$S$5005,S260,$D$6:$D$5005,"Vastgesteld"))</f>
        <v>0</v>
      </c>
      <c r="U260" s="15">
        <f>IF(T260="",0,IF(AND(G260=T260,COUNTIFS($S$6:S260,S260,$G$6:G260,G260,$D$6:D260,"Vastgesteld")=1),1,0))</f>
        <v>1</v>
      </c>
      <c r="V260" s="15">
        <f>IF(T260="",0,IF(AND(G260=T260,COUNTIFS($S$6:S260,S260,$G$6:G260,G260,$D$6:D260,"Vastgesteld")&gt;1),1,0))</f>
        <v>0</v>
      </c>
    </row>
    <row r="261">
      <c r="A261" s="92" t="inlineStr">
        <is>
          <t>HIST-2026-Q1</t>
        </is>
      </c>
      <c r="B261" s="92" t="inlineStr">
        <is>
          <t>RDFO_FICTIEVE_historie_en_mapping.xlsx</t>
        </is>
      </c>
      <c r="C261" s="108" t="n">
        <v>46324</v>
      </c>
      <c r="D261" s="92" t="inlineStr">
        <is>
          <t>Vastgesteld</t>
        </is>
      </c>
      <c r="E261" s="92" t="n">
        <v>2026</v>
      </c>
      <c r="F261" s="92" t="inlineStr">
        <is>
          <t>Q1</t>
        </is>
      </c>
      <c r="G261" s="92" t="n">
        <v>0</v>
      </c>
      <c r="H261" s="108" t="n">
        <v>46112</v>
      </c>
      <c r="I261" s="92" t="n">
        <v>2027</v>
      </c>
      <c r="J261" s="92" t="inlineStr">
        <is>
          <t>G.900014.8.9090</t>
        </is>
      </c>
      <c r="K261" s="92" t="inlineStr">
        <is>
          <t>G.900014</t>
        </is>
      </c>
      <c r="L261" s="92" t="inlineStr">
        <is>
          <t>Rietdam, Rietoevers</t>
        </is>
      </c>
      <c r="M261" s="92" t="inlineStr">
        <is>
          <t>Opstal</t>
        </is>
      </c>
      <c r="N261" s="92" t="inlineStr">
        <is>
          <t>J</t>
        </is>
      </c>
      <c r="O261" s="92" t="inlineStr">
        <is>
          <t>BOR FY</t>
        </is>
      </c>
      <c r="P261" s="109" t="n">
        <v>813939.98</v>
      </c>
      <c r="Q261" s="92" t="inlineStr">
        <is>
          <t>EUR</t>
        </is>
      </c>
      <c r="R261" s="92" t="inlineStr">
        <is>
          <t>Synthetische vastgelegde invoer; geen echte historie</t>
        </is>
      </c>
      <c r="S261" s="15" t="str">
        <f>IF(J261="","",J261&amp;"|"&amp;E261&amp;"|"&amp;F261&amp;"|"&amp;I261&amp;"|"&amp;O261)</f>
        <v>G.900014.8.9090|2026|Q1|2027|BOR FY</v>
      </c>
      <c r="T261" s="15">
        <f>IF(OR(S261="",D261&lt;&gt;"Vastgesteld"),"",_xlfn.MAXIFS($G$6:$G$5005,$S$6:$S$5005,S261,$D$6:$D$5005,"Vastgesteld"))</f>
        <v>0</v>
      </c>
      <c r="U261" s="15">
        <f>IF(T261="",0,IF(AND(G261=T261,COUNTIFS($S$6:S261,S261,$G$6:G261,G261,$D$6:D261,"Vastgesteld")=1),1,0))</f>
        <v>1</v>
      </c>
      <c r="V261" s="15">
        <f>IF(T261="",0,IF(AND(G261=T261,COUNTIFS($S$6:S261,S261,$G$6:G261,G261,$D$6:D261,"Vastgesteld")&gt;1),1,0))</f>
        <v>0</v>
      </c>
    </row>
    <row r="262">
      <c r="A262" s="92" t="inlineStr">
        <is>
          <t>HIST-2026-Q1</t>
        </is>
      </c>
      <c r="B262" s="92" t="inlineStr">
        <is>
          <t>RDFO_FICTIEVE_historie_en_mapping.xlsx</t>
        </is>
      </c>
      <c r="C262" s="108" t="n">
        <v>46324</v>
      </c>
      <c r="D262" s="92" t="inlineStr">
        <is>
          <t>Vastgesteld</t>
        </is>
      </c>
      <c r="E262" s="92" t="n">
        <v>2026</v>
      </c>
      <c r="F262" s="92" t="inlineStr">
        <is>
          <t>Q1</t>
        </is>
      </c>
      <c r="G262" s="92" t="n">
        <v>0</v>
      </c>
      <c r="H262" s="108" t="n">
        <v>46112</v>
      </c>
      <c r="I262" s="92" t="n">
        <v>2026</v>
      </c>
      <c r="J262" s="92" t="inlineStr">
        <is>
          <t>G.900015.8.9090</t>
        </is>
      </c>
      <c r="K262" s="92" t="inlineStr">
        <is>
          <t>G.900015</t>
        </is>
      </c>
      <c r="L262" s="92" t="inlineStr">
        <is>
          <t>Lindehaven, Parkzoom fase 2</t>
        </is>
      </c>
      <c r="M262" s="92" t="inlineStr">
        <is>
          <t>Opstal</t>
        </is>
      </c>
      <c r="N262" s="92" t="inlineStr">
        <is>
          <t>J</t>
        </is>
      </c>
      <c r="O262" s="92" t="inlineStr">
        <is>
          <t>Omzet FY</t>
        </is>
      </c>
      <c r="P262" s="109" t="n">
        <v>3498000</v>
      </c>
      <c r="Q262" s="92" t="inlineStr">
        <is>
          <t>EUR</t>
        </is>
      </c>
      <c r="R262" s="92" t="inlineStr">
        <is>
          <t>Synthetische vastgelegde invoer; geen echte historie</t>
        </is>
      </c>
      <c r="S262" s="15" t="str">
        <f>IF(J262="","",J262&amp;"|"&amp;E262&amp;"|"&amp;F262&amp;"|"&amp;I262&amp;"|"&amp;O262)</f>
        <v>G.900015.8.9090|2026|Q1|2026|Omzet FY</v>
      </c>
      <c r="T262" s="15">
        <f>IF(OR(S262="",D262&lt;&gt;"Vastgesteld"),"",_xlfn.MAXIFS($G$6:$G$5005,$S$6:$S$5005,S262,$D$6:$D$5005,"Vastgesteld"))</f>
        <v>0</v>
      </c>
      <c r="U262" s="15">
        <f>IF(T262="",0,IF(AND(G262=T262,COUNTIFS($S$6:S262,S262,$G$6:G262,G262,$D$6:D262,"Vastgesteld")=1),1,0))</f>
        <v>1</v>
      </c>
      <c r="V262" s="15">
        <f>IF(T262="",0,IF(AND(G262=T262,COUNTIFS($S$6:S262,S262,$G$6:G262,G262,$D$6:D262,"Vastgesteld")&gt;1),1,0))</f>
        <v>0</v>
      </c>
    </row>
    <row r="263">
      <c r="A263" s="92" t="inlineStr">
        <is>
          <t>HIST-2026-Q1</t>
        </is>
      </c>
      <c r="B263" s="92" t="inlineStr">
        <is>
          <t>RDFO_FICTIEVE_historie_en_mapping.xlsx</t>
        </is>
      </c>
      <c r="C263" s="108" t="n">
        <v>46324</v>
      </c>
      <c r="D263" s="92" t="inlineStr">
        <is>
          <t>Vastgesteld</t>
        </is>
      </c>
      <c r="E263" s="92" t="n">
        <v>2026</v>
      </c>
      <c r="F263" s="92" t="inlineStr">
        <is>
          <t>Q1</t>
        </is>
      </c>
      <c r="G263" s="92" t="n">
        <v>0</v>
      </c>
      <c r="H263" s="108" t="n">
        <v>46112</v>
      </c>
      <c r="I263" s="92" t="n">
        <v>2026</v>
      </c>
      <c r="J263" s="92" t="inlineStr">
        <is>
          <t>G.900015.8.9090</t>
        </is>
      </c>
      <c r="K263" s="92" t="inlineStr">
        <is>
          <t>G.900015</t>
        </is>
      </c>
      <c r="L263" s="92" t="inlineStr">
        <is>
          <t>Lindehaven, Parkzoom fase 2</t>
        </is>
      </c>
      <c r="M263" s="92" t="inlineStr">
        <is>
          <t>Opstal</t>
        </is>
      </c>
      <c r="N263" s="92" t="inlineStr">
        <is>
          <t>J</t>
        </is>
      </c>
      <c r="O263" s="92" t="inlineStr">
        <is>
          <t>BOR FY</t>
        </is>
      </c>
      <c r="P263" s="109" t="n">
        <v>227370</v>
      </c>
      <c r="Q263" s="92" t="inlineStr">
        <is>
          <t>EUR</t>
        </is>
      </c>
      <c r="R263" s="92" t="inlineStr">
        <is>
          <t>Synthetische vastgelegde invoer; geen echte historie</t>
        </is>
      </c>
      <c r="S263" s="15" t="str">
        <f>IF(J263="","",J263&amp;"|"&amp;E263&amp;"|"&amp;F263&amp;"|"&amp;I263&amp;"|"&amp;O263)</f>
        <v>G.900015.8.9090|2026|Q1|2026|BOR FY</v>
      </c>
      <c r="T263" s="15">
        <f>IF(OR(S263="",D263&lt;&gt;"Vastgesteld"),"",_xlfn.MAXIFS($G$6:$G$5005,$S$6:$S$5005,S263,$D$6:$D$5005,"Vastgesteld"))</f>
        <v>0</v>
      </c>
      <c r="U263" s="15">
        <f>IF(T263="",0,IF(AND(G263=T263,COUNTIFS($S$6:S263,S263,$G$6:G263,G263,$D$6:D263,"Vastgesteld")=1),1,0))</f>
        <v>1</v>
      </c>
      <c r="V263" s="15">
        <f>IF(T263="",0,IF(AND(G263=T263,COUNTIFS($S$6:S263,S263,$G$6:G263,G263,$D$6:D263,"Vastgesteld")&gt;1),1,0))</f>
        <v>0</v>
      </c>
    </row>
    <row r="264">
      <c r="A264" s="92" t="inlineStr">
        <is>
          <t>HIST-2026-Q1</t>
        </is>
      </c>
      <c r="B264" s="92" t="inlineStr">
        <is>
          <t>RDFO_FICTIEVE_historie_en_mapping.xlsx</t>
        </is>
      </c>
      <c r="C264" s="108" t="n">
        <v>46324</v>
      </c>
      <c r="D264" s="92" t="inlineStr">
        <is>
          <t>Vastgesteld</t>
        </is>
      </c>
      <c r="E264" s="92" t="n">
        <v>2026</v>
      </c>
      <c r="F264" s="92" t="inlineStr">
        <is>
          <t>Q1</t>
        </is>
      </c>
      <c r="G264" s="92" t="n">
        <v>0</v>
      </c>
      <c r="H264" s="108" t="n">
        <v>46112</v>
      </c>
      <c r="I264" s="92" t="n">
        <v>2027</v>
      </c>
      <c r="J264" s="92" t="inlineStr">
        <is>
          <t>G.900015.8.9090</t>
        </is>
      </c>
      <c r="K264" s="92" t="inlineStr">
        <is>
          <t>G.900015</t>
        </is>
      </c>
      <c r="L264" s="92" t="inlineStr">
        <is>
          <t>Lindehaven, Parkzoom fase 2</t>
        </is>
      </c>
      <c r="M264" s="92" t="inlineStr">
        <is>
          <t>Opstal</t>
        </is>
      </c>
      <c r="N264" s="92" t="inlineStr">
        <is>
          <t>J</t>
        </is>
      </c>
      <c r="O264" s="92" t="inlineStr">
        <is>
          <t>Omzet FY</t>
        </is>
      </c>
      <c r="P264" s="109" t="n">
        <v>20463300</v>
      </c>
      <c r="Q264" s="92" t="inlineStr">
        <is>
          <t>EUR</t>
        </is>
      </c>
      <c r="R264" s="92" t="inlineStr">
        <is>
          <t>Synthetische vastgelegde invoer; geen echte historie</t>
        </is>
      </c>
      <c r="S264" s="15" t="str">
        <f>IF(J264="","",J264&amp;"|"&amp;E264&amp;"|"&amp;F264&amp;"|"&amp;I264&amp;"|"&amp;O264)</f>
        <v>G.900015.8.9090|2026|Q1|2027|Omzet FY</v>
      </c>
      <c r="T264" s="15">
        <f>IF(OR(S264="",D264&lt;&gt;"Vastgesteld"),"",_xlfn.MAXIFS($G$6:$G$5005,$S$6:$S$5005,S264,$D$6:$D$5005,"Vastgesteld"))</f>
        <v>0</v>
      </c>
      <c r="U264" s="15">
        <f>IF(T264="",0,IF(AND(G264=T264,COUNTIFS($S$6:S264,S264,$G$6:G264,G264,$D$6:D264,"Vastgesteld")=1),1,0))</f>
        <v>1</v>
      </c>
      <c r="V264" s="15">
        <f>IF(T264="",0,IF(AND(G264=T264,COUNTIFS($S$6:S264,S264,$G$6:G264,G264,$D$6:D264,"Vastgesteld")&gt;1),1,0))</f>
        <v>0</v>
      </c>
    </row>
    <row r="265">
      <c r="A265" s="92" t="inlineStr">
        <is>
          <t>HIST-2026-Q1</t>
        </is>
      </c>
      <c r="B265" s="92" t="inlineStr">
        <is>
          <t>RDFO_FICTIEVE_historie_en_mapping.xlsx</t>
        </is>
      </c>
      <c r="C265" s="108" t="n">
        <v>46324</v>
      </c>
      <c r="D265" s="92" t="inlineStr">
        <is>
          <t>Vastgesteld</t>
        </is>
      </c>
      <c r="E265" s="92" t="n">
        <v>2026</v>
      </c>
      <c r="F265" s="92" t="inlineStr">
        <is>
          <t>Q1</t>
        </is>
      </c>
      <c r="G265" s="92" t="n">
        <v>0</v>
      </c>
      <c r="H265" s="108" t="n">
        <v>46112</v>
      </c>
      <c r="I265" s="92" t="n">
        <v>2027</v>
      </c>
      <c r="J265" s="92" t="inlineStr">
        <is>
          <t>G.900015.8.9090</t>
        </is>
      </c>
      <c r="K265" s="92" t="inlineStr">
        <is>
          <t>G.900015</t>
        </is>
      </c>
      <c r="L265" s="92" t="inlineStr">
        <is>
          <t>Lindehaven, Parkzoom fase 2</t>
        </is>
      </c>
      <c r="M265" s="92" t="inlineStr">
        <is>
          <t>Opstal</t>
        </is>
      </c>
      <c r="N265" s="92" t="inlineStr">
        <is>
          <t>J</t>
        </is>
      </c>
      <c r="O265" s="92" t="inlineStr">
        <is>
          <t>BOR FY</t>
        </is>
      </c>
      <c r="P265" s="109" t="n">
        <v>1330114.5</v>
      </c>
      <c r="Q265" s="92" t="inlineStr">
        <is>
          <t>EUR</t>
        </is>
      </c>
      <c r="R265" s="92" t="inlineStr">
        <is>
          <t>Synthetische vastgelegde invoer; geen echte historie</t>
        </is>
      </c>
      <c r="S265" s="15" t="str">
        <f>IF(J265="","",J265&amp;"|"&amp;E265&amp;"|"&amp;F265&amp;"|"&amp;I265&amp;"|"&amp;O265)</f>
        <v>G.900015.8.9090|2026|Q1|2027|BOR FY</v>
      </c>
      <c r="T265" s="15">
        <f>IF(OR(S265="",D265&lt;&gt;"Vastgesteld"),"",_xlfn.MAXIFS($G$6:$G$5005,$S$6:$S$5005,S265,$D$6:$D$5005,"Vastgesteld"))</f>
        <v>0</v>
      </c>
      <c r="U265" s="15">
        <f>IF(T265="",0,IF(AND(G265=T265,COUNTIFS($S$6:S265,S265,$G$6:G265,G265,$D$6:D265,"Vastgesteld")=1),1,0))</f>
        <v>1</v>
      </c>
      <c r="V265" s="15">
        <f>IF(T265="",0,IF(AND(G265=T265,COUNTIFS($S$6:S265,S265,$G$6:G265,G265,$D$6:D265,"Vastgesteld")&gt;1),1,0))</f>
        <v>0</v>
      </c>
    </row>
    <row r="266">
      <c r="A266" s="92" t="inlineStr">
        <is>
          <t>HIST-2026-Q1</t>
        </is>
      </c>
      <c r="B266" s="92" t="inlineStr">
        <is>
          <t>RDFO_FICTIEVE_historie_en_mapping.xlsx</t>
        </is>
      </c>
      <c r="C266" s="108" t="n">
        <v>46324</v>
      </c>
      <c r="D266" s="92" t="inlineStr">
        <is>
          <t>Vastgesteld</t>
        </is>
      </c>
      <c r="E266" s="92" t="n">
        <v>2026</v>
      </c>
      <c r="F266" s="92" t="inlineStr">
        <is>
          <t>Q1</t>
        </is>
      </c>
      <c r="G266" s="92" t="n">
        <v>0</v>
      </c>
      <c r="H266" s="108" t="n">
        <v>46112</v>
      </c>
      <c r="I266" s="92" t="n">
        <v>2026</v>
      </c>
      <c r="J266" s="92" t="inlineStr">
        <is>
          <t>G.900016.8.9090</t>
        </is>
      </c>
      <c r="K266" s="92" t="inlineStr">
        <is>
          <t>G.900016</t>
        </is>
      </c>
      <c r="L266" s="92" t="inlineStr">
        <is>
          <t>Duinwaard, De Lantaarn</t>
        </is>
      </c>
      <c r="M266" s="92" t="inlineStr">
        <is>
          <t>Opstal</t>
        </is>
      </c>
      <c r="N266" s="92" t="inlineStr">
        <is>
          <t>J</t>
        </is>
      </c>
      <c r="O266" s="92" t="inlineStr">
        <is>
          <t>Omzet FY</t>
        </is>
      </c>
      <c r="P266" s="109" t="n">
        <v>4572160</v>
      </c>
      <c r="Q266" s="92" t="inlineStr">
        <is>
          <t>EUR</t>
        </is>
      </c>
      <c r="R266" s="92" t="inlineStr">
        <is>
          <t>Synthetische vastgelegde invoer; geen echte historie</t>
        </is>
      </c>
      <c r="S266" s="15" t="str">
        <f>IF(J266="","",J266&amp;"|"&amp;E266&amp;"|"&amp;F266&amp;"|"&amp;I266&amp;"|"&amp;O266)</f>
        <v>G.900016.8.9090|2026|Q1|2026|Omzet FY</v>
      </c>
      <c r="T266" s="15">
        <f>IF(OR(S266="",D266&lt;&gt;"Vastgesteld"),"",_xlfn.MAXIFS($G$6:$G$5005,$S$6:$S$5005,S266,$D$6:$D$5005,"Vastgesteld"))</f>
        <v>0</v>
      </c>
      <c r="U266" s="15">
        <f>IF(T266="",0,IF(AND(G266=T266,COUNTIFS($S$6:S266,S266,$G$6:G266,G266,$D$6:D266,"Vastgesteld")=1),1,0))</f>
        <v>1</v>
      </c>
      <c r="V266" s="15">
        <f>IF(T266="",0,IF(AND(G266=T266,COUNTIFS($S$6:S266,S266,$G$6:G266,G266,$D$6:D266,"Vastgesteld")&gt;1),1,0))</f>
        <v>0</v>
      </c>
    </row>
    <row r="267">
      <c r="A267" s="92" t="inlineStr">
        <is>
          <t>HIST-2026-Q1</t>
        </is>
      </c>
      <c r="B267" s="92" t="inlineStr">
        <is>
          <t>RDFO_FICTIEVE_historie_en_mapping.xlsx</t>
        </is>
      </c>
      <c r="C267" s="108" t="n">
        <v>46324</v>
      </c>
      <c r="D267" s="92" t="inlineStr">
        <is>
          <t>Vastgesteld</t>
        </is>
      </c>
      <c r="E267" s="92" t="n">
        <v>2026</v>
      </c>
      <c r="F267" s="92" t="inlineStr">
        <is>
          <t>Q1</t>
        </is>
      </c>
      <c r="G267" s="92" t="n">
        <v>0</v>
      </c>
      <c r="H267" s="108" t="n">
        <v>46112</v>
      </c>
      <c r="I267" s="92" t="n">
        <v>2026</v>
      </c>
      <c r="J267" s="92" t="inlineStr">
        <is>
          <t>G.900016.8.9090</t>
        </is>
      </c>
      <c r="K267" s="92" t="inlineStr">
        <is>
          <t>G.900016</t>
        </is>
      </c>
      <c r="L267" s="92" t="inlineStr">
        <is>
          <t>Duinwaard, De Lantaarn</t>
        </is>
      </c>
      <c r="M267" s="92" t="inlineStr">
        <is>
          <t>Opstal</t>
        </is>
      </c>
      <c r="N267" s="92" t="inlineStr">
        <is>
          <t>J</t>
        </is>
      </c>
      <c r="O267" s="92" t="inlineStr">
        <is>
          <t>BOR FY</t>
        </is>
      </c>
      <c r="P267" s="109" t="n">
        <v>640102.4</v>
      </c>
      <c r="Q267" s="92" t="inlineStr">
        <is>
          <t>EUR</t>
        </is>
      </c>
      <c r="R267" s="92" t="inlineStr">
        <is>
          <t>Synthetische vastgelegde invoer; geen echte historie</t>
        </is>
      </c>
      <c r="S267" s="15" t="str">
        <f>IF(J267="","",J267&amp;"|"&amp;E267&amp;"|"&amp;F267&amp;"|"&amp;I267&amp;"|"&amp;O267)</f>
        <v>G.900016.8.9090|2026|Q1|2026|BOR FY</v>
      </c>
      <c r="T267" s="15">
        <f>IF(OR(S267="",D267&lt;&gt;"Vastgesteld"),"",_xlfn.MAXIFS($G$6:$G$5005,$S$6:$S$5005,S267,$D$6:$D$5005,"Vastgesteld"))</f>
        <v>0</v>
      </c>
      <c r="U267" s="15">
        <f>IF(T267="",0,IF(AND(G267=T267,COUNTIFS($S$6:S267,S267,$G$6:G267,G267,$D$6:D267,"Vastgesteld")=1),1,0))</f>
        <v>1</v>
      </c>
      <c r="V267" s="15">
        <f>IF(T267="",0,IF(AND(G267=T267,COUNTIFS($S$6:S267,S267,$G$6:G267,G267,$D$6:D267,"Vastgesteld")&gt;1),1,0))</f>
        <v>0</v>
      </c>
    </row>
    <row r="268">
      <c r="A268" s="92" t="inlineStr">
        <is>
          <t>HIST-2026-Q1</t>
        </is>
      </c>
      <c r="B268" s="92" t="inlineStr">
        <is>
          <t>RDFO_FICTIEVE_historie_en_mapping.xlsx</t>
        </is>
      </c>
      <c r="C268" s="108" t="n">
        <v>46324</v>
      </c>
      <c r="D268" s="92" t="inlineStr">
        <is>
          <t>Vastgesteld</t>
        </is>
      </c>
      <c r="E268" s="92" t="n">
        <v>2026</v>
      </c>
      <c r="F268" s="92" t="inlineStr">
        <is>
          <t>Q1</t>
        </is>
      </c>
      <c r="G268" s="92" t="n">
        <v>0</v>
      </c>
      <c r="H268" s="108" t="n">
        <v>46112</v>
      </c>
      <c r="I268" s="92" t="n">
        <v>2027</v>
      </c>
      <c r="J268" s="92" t="inlineStr">
        <is>
          <t>G.900016.8.9090</t>
        </is>
      </c>
      <c r="K268" s="92" t="inlineStr">
        <is>
          <t>G.900016</t>
        </is>
      </c>
      <c r="L268" s="92" t="inlineStr">
        <is>
          <t>Duinwaard, De Lantaarn</t>
        </is>
      </c>
      <c r="M268" s="92" t="inlineStr">
        <is>
          <t>Opstal</t>
        </is>
      </c>
      <c r="N268" s="92" t="inlineStr">
        <is>
          <t>J</t>
        </is>
      </c>
      <c r="O268" s="92" t="inlineStr">
        <is>
          <t>Omzet FY</t>
        </is>
      </c>
      <c r="P268" s="109" t="n">
        <v>4848896</v>
      </c>
      <c r="Q268" s="92" t="inlineStr">
        <is>
          <t>EUR</t>
        </is>
      </c>
      <c r="R268" s="92" t="inlineStr">
        <is>
          <t>Synthetische vastgelegde invoer; geen echte historie</t>
        </is>
      </c>
      <c r="S268" s="15" t="str">
        <f>IF(J268="","",J268&amp;"|"&amp;E268&amp;"|"&amp;F268&amp;"|"&amp;I268&amp;"|"&amp;O268)</f>
        <v>G.900016.8.9090|2026|Q1|2027|Omzet FY</v>
      </c>
      <c r="T268" s="15">
        <f>IF(OR(S268="",D268&lt;&gt;"Vastgesteld"),"",_xlfn.MAXIFS($G$6:$G$5005,$S$6:$S$5005,S268,$D$6:$D$5005,"Vastgesteld"))</f>
        <v>0</v>
      </c>
      <c r="U268" s="15">
        <f>IF(T268="",0,IF(AND(G268=T268,COUNTIFS($S$6:S268,S268,$G$6:G268,G268,$D$6:D268,"Vastgesteld")=1),1,0))</f>
        <v>1</v>
      </c>
      <c r="V268" s="15">
        <f>IF(T268="",0,IF(AND(G268=T268,COUNTIFS($S$6:S268,S268,$G$6:G268,G268,$D$6:D268,"Vastgesteld")&gt;1),1,0))</f>
        <v>0</v>
      </c>
    </row>
    <row r="269">
      <c r="A269" s="92" t="inlineStr">
        <is>
          <t>HIST-2026-Q1</t>
        </is>
      </c>
      <c r="B269" s="92" t="inlineStr">
        <is>
          <t>RDFO_FICTIEVE_historie_en_mapping.xlsx</t>
        </is>
      </c>
      <c r="C269" s="108" t="n">
        <v>46324</v>
      </c>
      <c r="D269" s="92" t="inlineStr">
        <is>
          <t>Vastgesteld</t>
        </is>
      </c>
      <c r="E269" s="92" t="n">
        <v>2026</v>
      </c>
      <c r="F269" s="92" t="inlineStr">
        <is>
          <t>Q1</t>
        </is>
      </c>
      <c r="G269" s="92" t="n">
        <v>0</v>
      </c>
      <c r="H269" s="108" t="n">
        <v>46112</v>
      </c>
      <c r="I269" s="92" t="n">
        <v>2027</v>
      </c>
      <c r="J269" s="92" t="inlineStr">
        <is>
          <t>G.900016.8.9090</t>
        </is>
      </c>
      <c r="K269" s="92" t="inlineStr">
        <is>
          <t>G.900016</t>
        </is>
      </c>
      <c r="L269" s="92" t="inlineStr">
        <is>
          <t>Duinwaard, De Lantaarn</t>
        </is>
      </c>
      <c r="M269" s="92" t="inlineStr">
        <is>
          <t>Opstal</t>
        </is>
      </c>
      <c r="N269" s="92" t="inlineStr">
        <is>
          <t>J</t>
        </is>
      </c>
      <c r="O269" s="92" t="inlineStr">
        <is>
          <t>BOR FY</t>
        </is>
      </c>
      <c r="P269" s="109" t="n">
        <v>678845.4399999999</v>
      </c>
      <c r="Q269" s="92" t="inlineStr">
        <is>
          <t>EUR</t>
        </is>
      </c>
      <c r="R269" s="92" t="inlineStr">
        <is>
          <t>Synthetische vastgelegde invoer; geen echte historie</t>
        </is>
      </c>
      <c r="S269" s="15" t="str">
        <f>IF(J269="","",J269&amp;"|"&amp;E269&amp;"|"&amp;F269&amp;"|"&amp;I269&amp;"|"&amp;O269)</f>
        <v>G.900016.8.9090|2026|Q1|2027|BOR FY</v>
      </c>
      <c r="T269" s="15">
        <f>IF(OR(S269="",D269&lt;&gt;"Vastgesteld"),"",_xlfn.MAXIFS($G$6:$G$5005,$S$6:$S$5005,S269,$D$6:$D$5005,"Vastgesteld"))</f>
        <v>0</v>
      </c>
      <c r="U269" s="15">
        <f>IF(T269="",0,IF(AND(G269=T269,COUNTIFS($S$6:S269,S269,$G$6:G269,G269,$D$6:D269,"Vastgesteld")=1),1,0))</f>
        <v>1</v>
      </c>
      <c r="V269" s="15">
        <f>IF(T269="",0,IF(AND(G269=T269,COUNTIFS($S$6:S269,S269,$G$6:G269,G269,$D$6:D269,"Vastgesteld")&gt;1),1,0))</f>
        <v>0</v>
      </c>
    </row>
    <row r="270">
      <c r="A270" s="92" t="inlineStr">
        <is>
          <t>HIST-2026-Q1</t>
        </is>
      </c>
      <c r="B270" s="92" t="inlineStr">
        <is>
          <t>RDFO_FICTIEVE_historie_en_mapping.xlsx</t>
        </is>
      </c>
      <c r="C270" s="108" t="n">
        <v>46324</v>
      </c>
      <c r="D270" s="92" t="inlineStr">
        <is>
          <t>Vastgesteld</t>
        </is>
      </c>
      <c r="E270" s="92" t="n">
        <v>2026</v>
      </c>
      <c r="F270" s="92" t="inlineStr">
        <is>
          <t>Q1</t>
        </is>
      </c>
      <c r="G270" s="92" t="n">
        <v>0</v>
      </c>
      <c r="H270" s="108" t="n">
        <v>46112</v>
      </c>
      <c r="I270" s="92" t="n">
        <v>2026</v>
      </c>
      <c r="J270" s="92" t="inlineStr">
        <is>
          <t>G.900017.8.9090</t>
        </is>
      </c>
      <c r="K270" s="92" t="inlineStr">
        <is>
          <t>G.900017</t>
        </is>
      </c>
      <c r="L270" s="92" t="inlineStr">
        <is>
          <t>Veldendam, Spoorpark</t>
        </is>
      </c>
      <c r="M270" s="92" t="inlineStr">
        <is>
          <t>Opstal</t>
        </is>
      </c>
      <c r="N270" s="92" t="inlineStr">
        <is>
          <t>J</t>
        </is>
      </c>
      <c r="O270" s="92" t="inlineStr">
        <is>
          <t>Omzet FY</t>
        </is>
      </c>
      <c r="P270" s="109" t="n">
        <v>12465600</v>
      </c>
      <c r="Q270" s="92" t="inlineStr">
        <is>
          <t>EUR</t>
        </is>
      </c>
      <c r="R270" s="92" t="inlineStr">
        <is>
          <t>Synthetische vastgelegde invoer; geen echte historie</t>
        </is>
      </c>
      <c r="S270" s="15" t="str">
        <f>IF(J270="","",J270&amp;"|"&amp;E270&amp;"|"&amp;F270&amp;"|"&amp;I270&amp;"|"&amp;O270)</f>
        <v>G.900017.8.9090|2026|Q1|2026|Omzet FY</v>
      </c>
      <c r="T270" s="15">
        <f>IF(OR(S270="",D270&lt;&gt;"Vastgesteld"),"",_xlfn.MAXIFS($G$6:$G$5005,$S$6:$S$5005,S270,$D$6:$D$5005,"Vastgesteld"))</f>
        <v>0</v>
      </c>
      <c r="U270" s="15">
        <f>IF(T270="",0,IF(AND(G270=T270,COUNTIFS($S$6:S270,S270,$G$6:G270,G270,$D$6:D270,"Vastgesteld")=1),1,0))</f>
        <v>1</v>
      </c>
      <c r="V270" s="15">
        <f>IF(T270="",0,IF(AND(G270=T270,COUNTIFS($S$6:S270,S270,$G$6:G270,G270,$D$6:D270,"Vastgesteld")&gt;1),1,0))</f>
        <v>0</v>
      </c>
    </row>
    <row r="271">
      <c r="A271" s="92" t="inlineStr">
        <is>
          <t>HIST-2026-Q1</t>
        </is>
      </c>
      <c r="B271" s="92" t="inlineStr">
        <is>
          <t>RDFO_FICTIEVE_historie_en_mapping.xlsx</t>
        </is>
      </c>
      <c r="C271" s="108" t="n">
        <v>46324</v>
      </c>
      <c r="D271" s="92" t="inlineStr">
        <is>
          <t>Vastgesteld</t>
        </is>
      </c>
      <c r="E271" s="92" t="n">
        <v>2026</v>
      </c>
      <c r="F271" s="92" t="inlineStr">
        <is>
          <t>Q1</t>
        </is>
      </c>
      <c r="G271" s="92" t="n">
        <v>0</v>
      </c>
      <c r="H271" s="108" t="n">
        <v>46112</v>
      </c>
      <c r="I271" s="92" t="n">
        <v>2026</v>
      </c>
      <c r="J271" s="92" t="inlineStr">
        <is>
          <t>G.900017.8.9090</t>
        </is>
      </c>
      <c r="K271" s="92" t="inlineStr">
        <is>
          <t>G.900017</t>
        </is>
      </c>
      <c r="L271" s="92" t="inlineStr">
        <is>
          <t>Veldendam, Spoorpark</t>
        </is>
      </c>
      <c r="M271" s="92" t="inlineStr">
        <is>
          <t>Opstal</t>
        </is>
      </c>
      <c r="N271" s="92" t="inlineStr">
        <is>
          <t>J</t>
        </is>
      </c>
      <c r="O271" s="92" t="inlineStr">
        <is>
          <t>BOR FY</t>
        </is>
      </c>
      <c r="P271" s="109" t="n">
        <v>1246560</v>
      </c>
      <c r="Q271" s="92" t="inlineStr">
        <is>
          <t>EUR</t>
        </is>
      </c>
      <c r="R271" s="92" t="inlineStr">
        <is>
          <t>Synthetische vastgelegde invoer; geen echte historie</t>
        </is>
      </c>
      <c r="S271" s="15" t="str">
        <f>IF(J271="","",J271&amp;"|"&amp;E271&amp;"|"&amp;F271&amp;"|"&amp;I271&amp;"|"&amp;O271)</f>
        <v>G.900017.8.9090|2026|Q1|2026|BOR FY</v>
      </c>
      <c r="T271" s="15">
        <f>IF(OR(S271="",D271&lt;&gt;"Vastgesteld"),"",_xlfn.MAXIFS($G$6:$G$5005,$S$6:$S$5005,S271,$D$6:$D$5005,"Vastgesteld"))</f>
        <v>0</v>
      </c>
      <c r="U271" s="15">
        <f>IF(T271="",0,IF(AND(G271=T271,COUNTIFS($S$6:S271,S271,$G$6:G271,G271,$D$6:D271,"Vastgesteld")=1),1,0))</f>
        <v>1</v>
      </c>
      <c r="V271" s="15">
        <f>IF(T271="",0,IF(AND(G271=T271,COUNTIFS($S$6:S271,S271,$G$6:G271,G271,$D$6:D271,"Vastgesteld")&gt;1),1,0))</f>
        <v>0</v>
      </c>
    </row>
    <row r="272">
      <c r="A272" s="92" t="inlineStr">
        <is>
          <t>HIST-2026-Q1</t>
        </is>
      </c>
      <c r="B272" s="92" t="inlineStr">
        <is>
          <t>RDFO_FICTIEVE_historie_en_mapping.xlsx</t>
        </is>
      </c>
      <c r="C272" s="108" t="n">
        <v>46324</v>
      </c>
      <c r="D272" s="92" t="inlineStr">
        <is>
          <t>Vastgesteld</t>
        </is>
      </c>
      <c r="E272" s="92" t="n">
        <v>2026</v>
      </c>
      <c r="F272" s="92" t="inlineStr">
        <is>
          <t>Q1</t>
        </is>
      </c>
      <c r="G272" s="92" t="n">
        <v>0</v>
      </c>
      <c r="H272" s="108" t="n">
        <v>46112</v>
      </c>
      <c r="I272" s="92" t="n">
        <v>2027</v>
      </c>
      <c r="J272" s="92" t="inlineStr">
        <is>
          <t>G.900017.8.9090</t>
        </is>
      </c>
      <c r="K272" s="92" t="inlineStr">
        <is>
          <t>G.900017</t>
        </is>
      </c>
      <c r="L272" s="92" t="inlineStr">
        <is>
          <t>Veldendam, Spoorpark</t>
        </is>
      </c>
      <c r="M272" s="92" t="inlineStr">
        <is>
          <t>Opstal</t>
        </is>
      </c>
      <c r="N272" s="92" t="inlineStr">
        <is>
          <t>J</t>
        </is>
      </c>
      <c r="O272" s="92" t="inlineStr">
        <is>
          <t>Omzet FY</t>
        </is>
      </c>
      <c r="P272" s="109" t="n">
        <v>24307920</v>
      </c>
      <c r="Q272" s="92" t="inlineStr">
        <is>
          <t>EUR</t>
        </is>
      </c>
      <c r="R272" s="92" t="inlineStr">
        <is>
          <t>Synthetische vastgelegde invoer; geen echte historie</t>
        </is>
      </c>
      <c r="S272" s="15" t="str">
        <f>IF(J272="","",J272&amp;"|"&amp;E272&amp;"|"&amp;F272&amp;"|"&amp;I272&amp;"|"&amp;O272)</f>
        <v>G.900017.8.9090|2026|Q1|2027|Omzet FY</v>
      </c>
      <c r="T272" s="15">
        <f>IF(OR(S272="",D272&lt;&gt;"Vastgesteld"),"",_xlfn.MAXIFS($G$6:$G$5005,$S$6:$S$5005,S272,$D$6:$D$5005,"Vastgesteld"))</f>
        <v>0</v>
      </c>
      <c r="U272" s="15">
        <f>IF(T272="",0,IF(AND(G272=T272,COUNTIFS($S$6:S272,S272,$G$6:G272,G272,$D$6:D272,"Vastgesteld")=1),1,0))</f>
        <v>1</v>
      </c>
      <c r="V272" s="15">
        <f>IF(T272="",0,IF(AND(G272=T272,COUNTIFS($S$6:S272,S272,$G$6:G272,G272,$D$6:D272,"Vastgesteld")&gt;1),1,0))</f>
        <v>0</v>
      </c>
    </row>
    <row r="273">
      <c r="A273" s="92" t="inlineStr">
        <is>
          <t>HIST-2026-Q1</t>
        </is>
      </c>
      <c r="B273" s="92" t="inlineStr">
        <is>
          <t>RDFO_FICTIEVE_historie_en_mapping.xlsx</t>
        </is>
      </c>
      <c r="C273" s="108" t="n">
        <v>46324</v>
      </c>
      <c r="D273" s="92" t="inlineStr">
        <is>
          <t>Vastgesteld</t>
        </is>
      </c>
      <c r="E273" s="92" t="n">
        <v>2026</v>
      </c>
      <c r="F273" s="92" t="inlineStr">
        <is>
          <t>Q1</t>
        </is>
      </c>
      <c r="G273" s="92" t="n">
        <v>0</v>
      </c>
      <c r="H273" s="108" t="n">
        <v>46112</v>
      </c>
      <c r="I273" s="92" t="n">
        <v>2027</v>
      </c>
      <c r="J273" s="92" t="inlineStr">
        <is>
          <t>G.900017.8.9090</t>
        </is>
      </c>
      <c r="K273" s="92" t="inlineStr">
        <is>
          <t>G.900017</t>
        </is>
      </c>
      <c r="L273" s="92" t="inlineStr">
        <is>
          <t>Veldendam, Spoorpark</t>
        </is>
      </c>
      <c r="M273" s="92" t="inlineStr">
        <is>
          <t>Opstal</t>
        </is>
      </c>
      <c r="N273" s="92" t="inlineStr">
        <is>
          <t>J</t>
        </is>
      </c>
      <c r="O273" s="92" t="inlineStr">
        <is>
          <t>BOR FY</t>
        </is>
      </c>
      <c r="P273" s="109" t="n">
        <v>2430792</v>
      </c>
      <c r="Q273" s="92" t="inlineStr">
        <is>
          <t>EUR</t>
        </is>
      </c>
      <c r="R273" s="92" t="inlineStr">
        <is>
          <t>Synthetische vastgelegde invoer; geen echte historie</t>
        </is>
      </c>
      <c r="S273" s="15" t="str">
        <f>IF(J273="","",J273&amp;"|"&amp;E273&amp;"|"&amp;F273&amp;"|"&amp;I273&amp;"|"&amp;O273)</f>
        <v>G.900017.8.9090|2026|Q1|2027|BOR FY</v>
      </c>
      <c r="T273" s="15">
        <f>IF(OR(S273="",D273&lt;&gt;"Vastgesteld"),"",_xlfn.MAXIFS($G$6:$G$5005,$S$6:$S$5005,S273,$D$6:$D$5005,"Vastgesteld"))</f>
        <v>0</v>
      </c>
      <c r="U273" s="15">
        <f>IF(T273="",0,IF(AND(G273=T273,COUNTIFS($S$6:S273,S273,$G$6:G273,G273,$D$6:D273,"Vastgesteld")=1),1,0))</f>
        <v>1</v>
      </c>
      <c r="V273" s="15">
        <f>IF(T273="",0,IF(AND(G273=T273,COUNTIFS($S$6:S273,S273,$G$6:G273,G273,$D$6:D273,"Vastgesteld")&gt;1),1,0))</f>
        <v>0</v>
      </c>
    </row>
    <row r="274">
      <c r="A274" s="92" t="inlineStr">
        <is>
          <t>HIST-2026-Q1</t>
        </is>
      </c>
      <c r="B274" s="92" t="inlineStr">
        <is>
          <t>RDFO_FICTIEVE_historie_en_mapping.xlsx</t>
        </is>
      </c>
      <c r="C274" s="108" t="n">
        <v>46324</v>
      </c>
      <c r="D274" s="92" t="inlineStr">
        <is>
          <t>Vastgesteld</t>
        </is>
      </c>
      <c r="E274" s="92" t="n">
        <v>2026</v>
      </c>
      <c r="F274" s="92" t="inlineStr">
        <is>
          <t>Q1</t>
        </is>
      </c>
      <c r="G274" s="92" t="n">
        <v>0</v>
      </c>
      <c r="H274" s="108" t="n">
        <v>46112</v>
      </c>
      <c r="I274" s="92" t="n">
        <v>2026</v>
      </c>
      <c r="J274" s="92" t="inlineStr">
        <is>
          <t>G.900018.8.9090</t>
        </is>
      </c>
      <c r="K274" s="92" t="inlineStr">
        <is>
          <t>G.900018</t>
        </is>
      </c>
      <c r="L274" s="92" t="inlineStr">
        <is>
          <t>Meerhovenstad, De Boog</t>
        </is>
      </c>
      <c r="M274" s="92" t="inlineStr">
        <is>
          <t>Deelneming</t>
        </is>
      </c>
      <c r="N274" s="92" t="inlineStr">
        <is>
          <t>N</t>
        </is>
      </c>
      <c r="O274" s="92" t="inlineStr">
        <is>
          <t>Omzet FY</t>
        </is>
      </c>
      <c r="P274" s="109" t="n">
        <v>1697640</v>
      </c>
      <c r="Q274" s="92" t="inlineStr">
        <is>
          <t>EUR</t>
        </is>
      </c>
      <c r="R274" s="92" t="inlineStr">
        <is>
          <t>Synthetische vastgelegde invoer; geen echte historie</t>
        </is>
      </c>
      <c r="S274" s="15" t="str">
        <f>IF(J274="","",J274&amp;"|"&amp;E274&amp;"|"&amp;F274&amp;"|"&amp;I274&amp;"|"&amp;O274)</f>
        <v>G.900018.8.9090|2026|Q1|2026|Omzet FY</v>
      </c>
      <c r="T274" s="15">
        <f>IF(OR(S274="",D274&lt;&gt;"Vastgesteld"),"",_xlfn.MAXIFS($G$6:$G$5005,$S$6:$S$5005,S274,$D$6:$D$5005,"Vastgesteld"))</f>
        <v>0</v>
      </c>
      <c r="U274" s="15">
        <f>IF(T274="",0,IF(AND(G274=T274,COUNTIFS($S$6:S274,S274,$G$6:G274,G274,$D$6:D274,"Vastgesteld")=1),1,0))</f>
        <v>1</v>
      </c>
      <c r="V274" s="15">
        <f>IF(T274="",0,IF(AND(G274=T274,COUNTIFS($S$6:S274,S274,$G$6:G274,G274,$D$6:D274,"Vastgesteld")&gt;1),1,0))</f>
        <v>0</v>
      </c>
    </row>
    <row r="275">
      <c r="A275" s="92" t="inlineStr">
        <is>
          <t>HIST-2026-Q1</t>
        </is>
      </c>
      <c r="B275" s="92" t="inlineStr">
        <is>
          <t>RDFO_FICTIEVE_historie_en_mapping.xlsx</t>
        </is>
      </c>
      <c r="C275" s="108" t="n">
        <v>46324</v>
      </c>
      <c r="D275" s="92" t="inlineStr">
        <is>
          <t>Vastgesteld</t>
        </is>
      </c>
      <c r="E275" s="92" t="n">
        <v>2026</v>
      </c>
      <c r="F275" s="92" t="inlineStr">
        <is>
          <t>Q1</t>
        </is>
      </c>
      <c r="G275" s="92" t="n">
        <v>0</v>
      </c>
      <c r="H275" s="108" t="n">
        <v>46112</v>
      </c>
      <c r="I275" s="92" t="n">
        <v>2026</v>
      </c>
      <c r="J275" s="92" t="inlineStr">
        <is>
          <t>G.900018.8.9090</t>
        </is>
      </c>
      <c r="K275" s="92" t="inlineStr">
        <is>
          <t>G.900018</t>
        </is>
      </c>
      <c r="L275" s="92" t="inlineStr">
        <is>
          <t>Meerhovenstad, De Boog</t>
        </is>
      </c>
      <c r="M275" s="92" t="inlineStr">
        <is>
          <t>Deelneming</t>
        </is>
      </c>
      <c r="N275" s="92" t="inlineStr">
        <is>
          <t>N</t>
        </is>
      </c>
      <c r="O275" s="92" t="inlineStr">
        <is>
          <t>BOR FY</t>
        </is>
      </c>
      <c r="P275" s="109" t="n">
        <v>-50929.2</v>
      </c>
      <c r="Q275" s="92" t="inlineStr">
        <is>
          <t>EUR</t>
        </is>
      </c>
      <c r="R275" s="92" t="inlineStr">
        <is>
          <t>Synthetische vastgelegde invoer; geen echte historie</t>
        </is>
      </c>
      <c r="S275" s="15" t="str">
        <f>IF(J275="","",J275&amp;"|"&amp;E275&amp;"|"&amp;F275&amp;"|"&amp;I275&amp;"|"&amp;O275)</f>
        <v>G.900018.8.9090|2026|Q1|2026|BOR FY</v>
      </c>
      <c r="T275" s="15">
        <f>IF(OR(S275="",D275&lt;&gt;"Vastgesteld"),"",_xlfn.MAXIFS($G$6:$G$5005,$S$6:$S$5005,S275,$D$6:$D$5005,"Vastgesteld"))</f>
        <v>0</v>
      </c>
      <c r="U275" s="15">
        <f>IF(T275="",0,IF(AND(G275=T275,COUNTIFS($S$6:S275,S275,$G$6:G275,G275,$D$6:D275,"Vastgesteld")=1),1,0))</f>
        <v>1</v>
      </c>
      <c r="V275" s="15">
        <f>IF(T275="",0,IF(AND(G275=T275,COUNTIFS($S$6:S275,S275,$G$6:G275,G275,$D$6:D275,"Vastgesteld")&gt;1),1,0))</f>
        <v>0</v>
      </c>
    </row>
    <row r="276">
      <c r="A276" s="92" t="inlineStr">
        <is>
          <t>HIST-2026-Q1</t>
        </is>
      </c>
      <c r="B276" s="92" t="inlineStr">
        <is>
          <t>RDFO_FICTIEVE_historie_en_mapping.xlsx</t>
        </is>
      </c>
      <c r="C276" s="108" t="n">
        <v>46324</v>
      </c>
      <c r="D276" s="92" t="inlineStr">
        <is>
          <t>Vastgesteld</t>
        </is>
      </c>
      <c r="E276" s="92" t="n">
        <v>2026</v>
      </c>
      <c r="F276" s="92" t="inlineStr">
        <is>
          <t>Q1</t>
        </is>
      </c>
      <c r="G276" s="92" t="n">
        <v>0</v>
      </c>
      <c r="H276" s="108" t="n">
        <v>46112</v>
      </c>
      <c r="I276" s="92" t="n">
        <v>2027</v>
      </c>
      <c r="J276" s="92" t="inlineStr">
        <is>
          <t>G.900018.8.9090</t>
        </is>
      </c>
      <c r="K276" s="92" t="inlineStr">
        <is>
          <t>G.900018</t>
        </is>
      </c>
      <c r="L276" s="92" t="inlineStr">
        <is>
          <t>Meerhovenstad, De Boog</t>
        </is>
      </c>
      <c r="M276" s="92" t="inlineStr">
        <is>
          <t>Deelneming</t>
        </is>
      </c>
      <c r="N276" s="92" t="inlineStr">
        <is>
          <t>N</t>
        </is>
      </c>
      <c r="O276" s="92" t="inlineStr">
        <is>
          <t>Omzet FY</t>
        </is>
      </c>
      <c r="P276" s="109" t="n">
        <v>6252974</v>
      </c>
      <c r="Q276" s="92" t="inlineStr">
        <is>
          <t>EUR</t>
        </is>
      </c>
      <c r="R276" s="92" t="inlineStr">
        <is>
          <t>Synthetische vastgelegde invoer; geen echte historie</t>
        </is>
      </c>
      <c r="S276" s="15" t="str">
        <f>IF(J276="","",J276&amp;"|"&amp;E276&amp;"|"&amp;F276&amp;"|"&amp;I276&amp;"|"&amp;O276)</f>
        <v>G.900018.8.9090|2026|Q1|2027|Omzet FY</v>
      </c>
      <c r="T276" s="15">
        <f>IF(OR(S276="",D276&lt;&gt;"Vastgesteld"),"",_xlfn.MAXIFS($G$6:$G$5005,$S$6:$S$5005,S276,$D$6:$D$5005,"Vastgesteld"))</f>
        <v>0</v>
      </c>
      <c r="U276" s="15">
        <f>IF(T276="",0,IF(AND(G276=T276,COUNTIFS($S$6:S276,S276,$G$6:G276,G276,$D$6:D276,"Vastgesteld")=1),1,0))</f>
        <v>1</v>
      </c>
      <c r="V276" s="15">
        <f>IF(T276="",0,IF(AND(G276=T276,COUNTIFS($S$6:S276,S276,$G$6:G276,G276,$D$6:D276,"Vastgesteld")&gt;1),1,0))</f>
        <v>0</v>
      </c>
    </row>
    <row r="277">
      <c r="A277" s="92" t="inlineStr">
        <is>
          <t>HIST-2026-Q1</t>
        </is>
      </c>
      <c r="B277" s="92" t="inlineStr">
        <is>
          <t>RDFO_FICTIEVE_historie_en_mapping.xlsx</t>
        </is>
      </c>
      <c r="C277" s="108" t="n">
        <v>46324</v>
      </c>
      <c r="D277" s="92" t="inlineStr">
        <is>
          <t>Vastgesteld</t>
        </is>
      </c>
      <c r="E277" s="92" t="n">
        <v>2026</v>
      </c>
      <c r="F277" s="92" t="inlineStr">
        <is>
          <t>Q1</t>
        </is>
      </c>
      <c r="G277" s="92" t="n">
        <v>0</v>
      </c>
      <c r="H277" s="108" t="n">
        <v>46112</v>
      </c>
      <c r="I277" s="92" t="n">
        <v>2027</v>
      </c>
      <c r="J277" s="92" t="inlineStr">
        <is>
          <t>G.900018.8.9090</t>
        </is>
      </c>
      <c r="K277" s="92" t="inlineStr">
        <is>
          <t>G.900018</t>
        </is>
      </c>
      <c r="L277" s="92" t="inlineStr">
        <is>
          <t>Meerhovenstad, De Boog</t>
        </is>
      </c>
      <c r="M277" s="92" t="inlineStr">
        <is>
          <t>Deelneming</t>
        </is>
      </c>
      <c r="N277" s="92" t="inlineStr">
        <is>
          <t>N</t>
        </is>
      </c>
      <c r="O277" s="92" t="inlineStr">
        <is>
          <t>BOR FY</t>
        </is>
      </c>
      <c r="P277" s="109" t="n">
        <v>-187589.22</v>
      </c>
      <c r="Q277" s="92" t="inlineStr">
        <is>
          <t>EUR</t>
        </is>
      </c>
      <c r="R277" s="92" t="inlineStr">
        <is>
          <t>Synthetische vastgelegde invoer; geen echte historie</t>
        </is>
      </c>
      <c r="S277" s="15" t="str">
        <f>IF(J277="","",J277&amp;"|"&amp;E277&amp;"|"&amp;F277&amp;"|"&amp;I277&amp;"|"&amp;O277)</f>
        <v>G.900018.8.9090|2026|Q1|2027|BOR FY</v>
      </c>
      <c r="T277" s="15">
        <f>IF(OR(S277="",D277&lt;&gt;"Vastgesteld"),"",_xlfn.MAXIFS($G$6:$G$5005,$S$6:$S$5005,S277,$D$6:$D$5005,"Vastgesteld"))</f>
        <v>0</v>
      </c>
      <c r="U277" s="15">
        <f>IF(T277="",0,IF(AND(G277=T277,COUNTIFS($S$6:S277,S277,$G$6:G277,G277,$D$6:D277,"Vastgesteld")=1),1,0))</f>
        <v>1</v>
      </c>
      <c r="V277" s="15">
        <f>IF(T277="",0,IF(AND(G277=T277,COUNTIFS($S$6:S277,S277,$G$6:G277,G277,$D$6:D277,"Vastgesteld")&gt;1),1,0))</f>
        <v>0</v>
      </c>
    </row>
    <row r="278">
      <c r="A278" s="92" t="inlineStr">
        <is>
          <t>HIST-2026-Q1</t>
        </is>
      </c>
      <c r="B278" s="92" t="inlineStr">
        <is>
          <t>RDFO_FICTIEVE_historie_en_mapping.xlsx</t>
        </is>
      </c>
      <c r="C278" s="108" t="n">
        <v>46324</v>
      </c>
      <c r="D278" s="92" t="inlineStr">
        <is>
          <t>Vastgesteld</t>
        </is>
      </c>
      <c r="E278" s="92" t="n">
        <v>2026</v>
      </c>
      <c r="F278" s="92" t="inlineStr">
        <is>
          <t>Q1</t>
        </is>
      </c>
      <c r="G278" s="92" t="n">
        <v>0</v>
      </c>
      <c r="H278" s="108" t="n">
        <v>46112</v>
      </c>
      <c r="I278" s="92" t="n">
        <v>2026</v>
      </c>
      <c r="J278" s="92" t="inlineStr">
        <is>
          <t>G.900019.8.9090</t>
        </is>
      </c>
      <c r="K278" s="92" t="inlineStr">
        <is>
          <t>G.900019</t>
        </is>
      </c>
      <c r="L278" s="92" t="inlineStr">
        <is>
          <t>Zilverdam, Havenlicht</t>
        </is>
      </c>
      <c r="M278" s="92" t="inlineStr">
        <is>
          <t>Opstal</t>
        </is>
      </c>
      <c r="N278" s="92" t="inlineStr">
        <is>
          <t>J</t>
        </is>
      </c>
      <c r="O278" s="92" t="inlineStr">
        <is>
          <t>Omzet FY</t>
        </is>
      </c>
      <c r="P278" s="109" t="n">
        <v>6544440</v>
      </c>
      <c r="Q278" s="92" t="inlineStr">
        <is>
          <t>EUR</t>
        </is>
      </c>
      <c r="R278" s="92" t="inlineStr">
        <is>
          <t>Synthetische vastgelegde invoer; geen echte historie</t>
        </is>
      </c>
      <c r="S278" s="15" t="str">
        <f>IF(J278="","",J278&amp;"|"&amp;E278&amp;"|"&amp;F278&amp;"|"&amp;I278&amp;"|"&amp;O278)</f>
        <v>G.900019.8.9090|2026|Q1|2026|Omzet FY</v>
      </c>
      <c r="T278" s="15">
        <f>IF(OR(S278="",D278&lt;&gt;"Vastgesteld"),"",_xlfn.MAXIFS($G$6:$G$5005,$S$6:$S$5005,S278,$D$6:$D$5005,"Vastgesteld"))</f>
        <v>0</v>
      </c>
      <c r="U278" s="15">
        <f>IF(T278="",0,IF(AND(G278=T278,COUNTIFS($S$6:S278,S278,$G$6:G278,G278,$D$6:D278,"Vastgesteld")=1),1,0))</f>
        <v>1</v>
      </c>
      <c r="V278" s="15">
        <f>IF(T278="",0,IF(AND(G278=T278,COUNTIFS($S$6:S278,S278,$G$6:G278,G278,$D$6:D278,"Vastgesteld")&gt;1),1,0))</f>
        <v>0</v>
      </c>
    </row>
    <row r="279">
      <c r="A279" s="92" t="inlineStr">
        <is>
          <t>HIST-2026-Q1</t>
        </is>
      </c>
      <c r="B279" s="92" t="inlineStr">
        <is>
          <t>RDFO_FICTIEVE_historie_en_mapping.xlsx</t>
        </is>
      </c>
      <c r="C279" s="108" t="n">
        <v>46324</v>
      </c>
      <c r="D279" s="92" t="inlineStr">
        <is>
          <t>Vastgesteld</t>
        </is>
      </c>
      <c r="E279" s="92" t="n">
        <v>2026</v>
      </c>
      <c r="F279" s="92" t="inlineStr">
        <is>
          <t>Q1</t>
        </is>
      </c>
      <c r="G279" s="92" t="n">
        <v>0</v>
      </c>
      <c r="H279" s="108" t="n">
        <v>46112</v>
      </c>
      <c r="I279" s="92" t="n">
        <v>2026</v>
      </c>
      <c r="J279" s="92" t="inlineStr">
        <is>
          <t>G.900019.8.9090</t>
        </is>
      </c>
      <c r="K279" s="92" t="inlineStr">
        <is>
          <t>G.900019</t>
        </is>
      </c>
      <c r="L279" s="92" t="inlineStr">
        <is>
          <t>Zilverdam, Havenlicht</t>
        </is>
      </c>
      <c r="M279" s="92" t="inlineStr">
        <is>
          <t>Opstal</t>
        </is>
      </c>
      <c r="N279" s="92" t="inlineStr">
        <is>
          <t>J</t>
        </is>
      </c>
      <c r="O279" s="92" t="inlineStr">
        <is>
          <t>BOR FY</t>
        </is>
      </c>
      <c r="P279" s="109" t="n">
        <v>523555.2</v>
      </c>
      <c r="Q279" s="92" t="inlineStr">
        <is>
          <t>EUR</t>
        </is>
      </c>
      <c r="R279" s="92" t="inlineStr">
        <is>
          <t>Synthetische vastgelegde invoer; geen echte historie</t>
        </is>
      </c>
      <c r="S279" s="15" t="str">
        <f>IF(J279="","",J279&amp;"|"&amp;E279&amp;"|"&amp;F279&amp;"|"&amp;I279&amp;"|"&amp;O279)</f>
        <v>G.900019.8.9090|2026|Q1|2026|BOR FY</v>
      </c>
      <c r="T279" s="15">
        <f>IF(OR(S279="",D279&lt;&gt;"Vastgesteld"),"",_xlfn.MAXIFS($G$6:$G$5005,$S$6:$S$5005,S279,$D$6:$D$5005,"Vastgesteld"))</f>
        <v>0</v>
      </c>
      <c r="U279" s="15">
        <f>IF(T279="",0,IF(AND(G279=T279,COUNTIFS($S$6:S279,S279,$G$6:G279,G279,$D$6:D279,"Vastgesteld")=1),1,0))</f>
        <v>1</v>
      </c>
      <c r="V279" s="15">
        <f>IF(T279="",0,IF(AND(G279=T279,COUNTIFS($S$6:S279,S279,$G$6:G279,G279,$D$6:D279,"Vastgesteld")&gt;1),1,0))</f>
        <v>0</v>
      </c>
    </row>
    <row r="280">
      <c r="A280" s="92" t="inlineStr">
        <is>
          <t>HIST-2026-Q1</t>
        </is>
      </c>
      <c r="B280" s="92" t="inlineStr">
        <is>
          <t>RDFO_FICTIEVE_historie_en_mapping.xlsx</t>
        </is>
      </c>
      <c r="C280" s="108" t="n">
        <v>46324</v>
      </c>
      <c r="D280" s="92" t="inlineStr">
        <is>
          <t>Vastgesteld</t>
        </is>
      </c>
      <c r="E280" s="92" t="n">
        <v>2026</v>
      </c>
      <c r="F280" s="92" t="inlineStr">
        <is>
          <t>Q1</t>
        </is>
      </c>
      <c r="G280" s="92" t="n">
        <v>0</v>
      </c>
      <c r="H280" s="108" t="n">
        <v>46112</v>
      </c>
      <c r="I280" s="92" t="n">
        <v>2027</v>
      </c>
      <c r="J280" s="92" t="inlineStr">
        <is>
          <t>G.900019.8.9090</t>
        </is>
      </c>
      <c r="K280" s="92" t="inlineStr">
        <is>
          <t>G.900019</t>
        </is>
      </c>
      <c r="L280" s="92" t="inlineStr">
        <is>
          <t>Zilverdam, Havenlicht</t>
        </is>
      </c>
      <c r="M280" s="92" t="inlineStr">
        <is>
          <t>Opstal</t>
        </is>
      </c>
      <c r="N280" s="92" t="inlineStr">
        <is>
          <t>J</t>
        </is>
      </c>
      <c r="O280" s="92" t="inlineStr">
        <is>
          <t>Omzet FY</t>
        </is>
      </c>
      <c r="P280" s="109" t="n">
        <v>5874414</v>
      </c>
      <c r="Q280" s="92" t="inlineStr">
        <is>
          <t>EUR</t>
        </is>
      </c>
      <c r="R280" s="92" t="inlineStr">
        <is>
          <t>Synthetische vastgelegde invoer; geen echte historie</t>
        </is>
      </c>
      <c r="S280" s="15" t="str">
        <f>IF(J280="","",J280&amp;"|"&amp;E280&amp;"|"&amp;F280&amp;"|"&amp;I280&amp;"|"&amp;O280)</f>
        <v>G.900019.8.9090|2026|Q1|2027|Omzet FY</v>
      </c>
      <c r="T280" s="15">
        <f>IF(OR(S280="",D280&lt;&gt;"Vastgesteld"),"",_xlfn.MAXIFS($G$6:$G$5005,$S$6:$S$5005,S280,$D$6:$D$5005,"Vastgesteld"))</f>
        <v>0</v>
      </c>
      <c r="U280" s="15">
        <f>IF(T280="",0,IF(AND(G280=T280,COUNTIFS($S$6:S280,S280,$G$6:G280,G280,$D$6:D280,"Vastgesteld")=1),1,0))</f>
        <v>1</v>
      </c>
      <c r="V280" s="15">
        <f>IF(T280="",0,IF(AND(G280=T280,COUNTIFS($S$6:S280,S280,$G$6:G280,G280,$D$6:D280,"Vastgesteld")&gt;1),1,0))</f>
        <v>0</v>
      </c>
    </row>
    <row r="281">
      <c r="A281" s="92" t="inlineStr">
        <is>
          <t>HIST-2026-Q1</t>
        </is>
      </c>
      <c r="B281" s="92" t="inlineStr">
        <is>
          <t>RDFO_FICTIEVE_historie_en_mapping.xlsx</t>
        </is>
      </c>
      <c r="C281" s="108" t="n">
        <v>46324</v>
      </c>
      <c r="D281" s="92" t="inlineStr">
        <is>
          <t>Vastgesteld</t>
        </is>
      </c>
      <c r="E281" s="92" t="n">
        <v>2026</v>
      </c>
      <c r="F281" s="92" t="inlineStr">
        <is>
          <t>Q1</t>
        </is>
      </c>
      <c r="G281" s="92" t="n">
        <v>0</v>
      </c>
      <c r="H281" s="108" t="n">
        <v>46112</v>
      </c>
      <c r="I281" s="92" t="n">
        <v>2027</v>
      </c>
      <c r="J281" s="92" t="inlineStr">
        <is>
          <t>G.900019.8.9090</t>
        </is>
      </c>
      <c r="K281" s="92" t="inlineStr">
        <is>
          <t>G.900019</t>
        </is>
      </c>
      <c r="L281" s="92" t="inlineStr">
        <is>
          <t>Zilverdam, Havenlicht</t>
        </is>
      </c>
      <c r="M281" s="92" t="inlineStr">
        <is>
          <t>Opstal</t>
        </is>
      </c>
      <c r="N281" s="92" t="inlineStr">
        <is>
          <t>J</t>
        </is>
      </c>
      <c r="O281" s="92" t="inlineStr">
        <is>
          <t>BOR FY</t>
        </is>
      </c>
      <c r="P281" s="109" t="n">
        <v>469953.12</v>
      </c>
      <c r="Q281" s="92" t="inlineStr">
        <is>
          <t>EUR</t>
        </is>
      </c>
      <c r="R281" s="92" t="inlineStr">
        <is>
          <t>Synthetische vastgelegde invoer; geen echte historie</t>
        </is>
      </c>
      <c r="S281" s="15" t="str">
        <f>IF(J281="","",J281&amp;"|"&amp;E281&amp;"|"&amp;F281&amp;"|"&amp;I281&amp;"|"&amp;O281)</f>
        <v>G.900019.8.9090|2026|Q1|2027|BOR FY</v>
      </c>
      <c r="T281" s="15">
        <f>IF(OR(S281="",D281&lt;&gt;"Vastgesteld"),"",_xlfn.MAXIFS($G$6:$G$5005,$S$6:$S$5005,S281,$D$6:$D$5005,"Vastgesteld"))</f>
        <v>0</v>
      </c>
      <c r="U281" s="15">
        <f>IF(T281="",0,IF(AND(G281=T281,COUNTIFS($S$6:S281,S281,$G$6:G281,G281,$D$6:D281,"Vastgesteld")=1),1,0))</f>
        <v>1</v>
      </c>
      <c r="V281" s="15">
        <f>IF(T281="",0,IF(AND(G281=T281,COUNTIFS($S$6:S281,S281,$G$6:G281,G281,$D$6:D281,"Vastgesteld")&gt;1),1,0))</f>
        <v>0</v>
      </c>
    </row>
    <row r="282">
      <c r="A282" s="92" t="inlineStr">
        <is>
          <t>HIST-2026-Q1</t>
        </is>
      </c>
      <c r="B282" s="92" t="inlineStr">
        <is>
          <t>RDFO_FICTIEVE_historie_en_mapping.xlsx</t>
        </is>
      </c>
      <c r="C282" s="108" t="n">
        <v>46324</v>
      </c>
      <c r="D282" s="92" t="inlineStr">
        <is>
          <t>Vastgesteld</t>
        </is>
      </c>
      <c r="E282" s="92" t="n">
        <v>2026</v>
      </c>
      <c r="F282" s="92" t="inlineStr">
        <is>
          <t>Q1</t>
        </is>
      </c>
      <c r="G282" s="92" t="n">
        <v>0</v>
      </c>
      <c r="H282" s="108" t="n">
        <v>46112</v>
      </c>
      <c r="I282" s="92" t="n">
        <v>2026</v>
      </c>
      <c r="J282" s="92" t="inlineStr">
        <is>
          <t>G.900020.8.9090</t>
        </is>
      </c>
      <c r="K282" s="92" t="inlineStr">
        <is>
          <t>G.900020</t>
        </is>
      </c>
      <c r="L282" s="92" t="inlineStr">
        <is>
          <t>Boswaard, Parkeergebouw</t>
        </is>
      </c>
      <c r="M282" s="92" t="inlineStr">
        <is>
          <t>Opstal</t>
        </is>
      </c>
      <c r="N282" s="92" t="inlineStr">
        <is>
          <t>J</t>
        </is>
      </c>
      <c r="O282" s="92" t="inlineStr">
        <is>
          <t>Omzet FY</t>
        </is>
      </c>
      <c r="P282" s="109" t="n">
        <v>225600</v>
      </c>
      <c r="Q282" s="92" t="inlineStr">
        <is>
          <t>EUR</t>
        </is>
      </c>
      <c r="R282" s="92" t="inlineStr">
        <is>
          <t>Synthetische vastgelegde invoer; geen echte historie</t>
        </is>
      </c>
      <c r="S282" s="15" t="str">
        <f>IF(J282="","",J282&amp;"|"&amp;E282&amp;"|"&amp;F282&amp;"|"&amp;I282&amp;"|"&amp;O282)</f>
        <v>G.900020.8.9090|2026|Q1|2026|Omzet FY</v>
      </c>
      <c r="T282" s="15">
        <f>IF(OR(S282="",D282&lt;&gt;"Vastgesteld"),"",_xlfn.MAXIFS($G$6:$G$5005,$S$6:$S$5005,S282,$D$6:$D$5005,"Vastgesteld"))</f>
        <v>0</v>
      </c>
      <c r="U282" s="15">
        <f>IF(T282="",0,IF(AND(G282=T282,COUNTIFS($S$6:S282,S282,$G$6:G282,G282,$D$6:D282,"Vastgesteld")=1),1,0))</f>
        <v>1</v>
      </c>
      <c r="V282" s="15">
        <f>IF(T282="",0,IF(AND(G282=T282,COUNTIFS($S$6:S282,S282,$G$6:G282,G282,$D$6:D282,"Vastgesteld")&gt;1),1,0))</f>
        <v>0</v>
      </c>
    </row>
    <row r="283">
      <c r="A283" s="92" t="inlineStr">
        <is>
          <t>HIST-2026-Q1</t>
        </is>
      </c>
      <c r="B283" s="92" t="inlineStr">
        <is>
          <t>RDFO_FICTIEVE_historie_en_mapping.xlsx</t>
        </is>
      </c>
      <c r="C283" s="108" t="n">
        <v>46324</v>
      </c>
      <c r="D283" s="92" t="inlineStr">
        <is>
          <t>Vastgesteld</t>
        </is>
      </c>
      <c r="E283" s="92" t="n">
        <v>2026</v>
      </c>
      <c r="F283" s="92" t="inlineStr">
        <is>
          <t>Q1</t>
        </is>
      </c>
      <c r="G283" s="92" t="n">
        <v>0</v>
      </c>
      <c r="H283" s="108" t="n">
        <v>46112</v>
      </c>
      <c r="I283" s="92" t="n">
        <v>2026</v>
      </c>
      <c r="J283" s="92" t="inlineStr">
        <is>
          <t>G.900020.8.9090</t>
        </is>
      </c>
      <c r="K283" s="92" t="inlineStr">
        <is>
          <t>G.900020</t>
        </is>
      </c>
      <c r="L283" s="92" t="inlineStr">
        <is>
          <t>Boswaard, Parkeergebouw</t>
        </is>
      </c>
      <c r="M283" s="92" t="inlineStr">
        <is>
          <t>Opstal</t>
        </is>
      </c>
      <c r="N283" s="92" t="inlineStr">
        <is>
          <t>J</t>
        </is>
      </c>
      <c r="O283" s="92" t="inlineStr">
        <is>
          <t>BOR FY</t>
        </is>
      </c>
      <c r="P283" s="109" t="n">
        <v>29328</v>
      </c>
      <c r="Q283" s="92" t="inlineStr">
        <is>
          <t>EUR</t>
        </is>
      </c>
      <c r="R283" s="92" t="inlineStr">
        <is>
          <t>Synthetische vastgelegde invoer; geen echte historie</t>
        </is>
      </c>
      <c r="S283" s="15" t="str">
        <f>IF(J283="","",J283&amp;"|"&amp;E283&amp;"|"&amp;F283&amp;"|"&amp;I283&amp;"|"&amp;O283)</f>
        <v>G.900020.8.9090|2026|Q1|2026|BOR FY</v>
      </c>
      <c r="T283" s="15">
        <f>IF(OR(S283="",D283&lt;&gt;"Vastgesteld"),"",_xlfn.MAXIFS($G$6:$G$5005,$S$6:$S$5005,S283,$D$6:$D$5005,"Vastgesteld"))</f>
        <v>0</v>
      </c>
      <c r="U283" s="15">
        <f>IF(T283="",0,IF(AND(G283=T283,COUNTIFS($S$6:S283,S283,$G$6:G283,G283,$D$6:D283,"Vastgesteld")=1),1,0))</f>
        <v>1</v>
      </c>
      <c r="V283" s="15">
        <f>IF(T283="",0,IF(AND(G283=T283,COUNTIFS($S$6:S283,S283,$G$6:G283,G283,$D$6:D283,"Vastgesteld")&gt;1),1,0))</f>
        <v>0</v>
      </c>
    </row>
    <row r="284">
      <c r="A284" s="92" t="inlineStr">
        <is>
          <t>HIST-2026-Q1</t>
        </is>
      </c>
      <c r="B284" s="92" t="inlineStr">
        <is>
          <t>RDFO_FICTIEVE_historie_en_mapping.xlsx</t>
        </is>
      </c>
      <c r="C284" s="108" t="n">
        <v>46324</v>
      </c>
      <c r="D284" s="92" t="inlineStr">
        <is>
          <t>Vastgesteld</t>
        </is>
      </c>
      <c r="E284" s="92" t="n">
        <v>2026</v>
      </c>
      <c r="F284" s="92" t="inlineStr">
        <is>
          <t>Q1</t>
        </is>
      </c>
      <c r="G284" s="92" t="n">
        <v>0</v>
      </c>
      <c r="H284" s="108" t="n">
        <v>46112</v>
      </c>
      <c r="I284" s="92" t="n">
        <v>2027</v>
      </c>
      <c r="J284" s="92" t="inlineStr">
        <is>
          <t>G.900020.8.9090</t>
        </is>
      </c>
      <c r="K284" s="92" t="inlineStr">
        <is>
          <t>G.900020</t>
        </is>
      </c>
      <c r="L284" s="92" t="inlineStr">
        <is>
          <t>Boswaard, Parkeergebouw</t>
        </is>
      </c>
      <c r="M284" s="92" t="inlineStr">
        <is>
          <t>Opstal</t>
        </is>
      </c>
      <c r="N284" s="92" t="inlineStr">
        <is>
          <t>J</t>
        </is>
      </c>
      <c r="O284" s="92" t="inlineStr">
        <is>
          <t>Omzet FY</t>
        </is>
      </c>
      <c r="P284" s="109" t="n">
        <v>1319760</v>
      </c>
      <c r="Q284" s="92" t="inlineStr">
        <is>
          <t>EUR</t>
        </is>
      </c>
      <c r="R284" s="92" t="inlineStr">
        <is>
          <t>Synthetische vastgelegde invoer; geen echte historie</t>
        </is>
      </c>
      <c r="S284" s="15" t="str">
        <f>IF(J284="","",J284&amp;"|"&amp;E284&amp;"|"&amp;F284&amp;"|"&amp;I284&amp;"|"&amp;O284)</f>
        <v>G.900020.8.9090|2026|Q1|2027|Omzet FY</v>
      </c>
      <c r="T284" s="15">
        <f>IF(OR(S284="",D284&lt;&gt;"Vastgesteld"),"",_xlfn.MAXIFS($G$6:$G$5005,$S$6:$S$5005,S284,$D$6:$D$5005,"Vastgesteld"))</f>
        <v>0</v>
      </c>
      <c r="U284" s="15">
        <f>IF(T284="",0,IF(AND(G284=T284,COUNTIFS($S$6:S284,S284,$G$6:G284,G284,$D$6:D284,"Vastgesteld")=1),1,0))</f>
        <v>1</v>
      </c>
      <c r="V284" s="15">
        <f>IF(T284="",0,IF(AND(G284=T284,COUNTIFS($S$6:S284,S284,$G$6:G284,G284,$D$6:D284,"Vastgesteld")&gt;1),1,0))</f>
        <v>0</v>
      </c>
    </row>
    <row r="285">
      <c r="A285" s="92" t="inlineStr">
        <is>
          <t>HIST-2026-Q1</t>
        </is>
      </c>
      <c r="B285" s="92" t="inlineStr">
        <is>
          <t>RDFO_FICTIEVE_historie_en_mapping.xlsx</t>
        </is>
      </c>
      <c r="C285" s="108" t="n">
        <v>46324</v>
      </c>
      <c r="D285" s="92" t="inlineStr">
        <is>
          <t>Vastgesteld</t>
        </is>
      </c>
      <c r="E285" s="92" t="n">
        <v>2026</v>
      </c>
      <c r="F285" s="92" t="inlineStr">
        <is>
          <t>Q1</t>
        </is>
      </c>
      <c r="G285" s="92" t="n">
        <v>0</v>
      </c>
      <c r="H285" s="108" t="n">
        <v>46112</v>
      </c>
      <c r="I285" s="92" t="n">
        <v>2027</v>
      </c>
      <c r="J285" s="92" t="inlineStr">
        <is>
          <t>G.900020.8.9090</t>
        </is>
      </c>
      <c r="K285" s="92" t="inlineStr">
        <is>
          <t>G.900020</t>
        </is>
      </c>
      <c r="L285" s="92" t="inlineStr">
        <is>
          <t>Boswaard, Parkeergebouw</t>
        </is>
      </c>
      <c r="M285" s="92" t="inlineStr">
        <is>
          <t>Opstal</t>
        </is>
      </c>
      <c r="N285" s="92" t="inlineStr">
        <is>
          <t>J</t>
        </is>
      </c>
      <c r="O285" s="92" t="inlineStr">
        <is>
          <t>BOR FY</t>
        </is>
      </c>
      <c r="P285" s="109" t="n">
        <v>171568.8</v>
      </c>
      <c r="Q285" s="92" t="inlineStr">
        <is>
          <t>EUR</t>
        </is>
      </c>
      <c r="R285" s="92" t="inlineStr">
        <is>
          <t>Synthetische vastgelegde invoer; geen echte historie</t>
        </is>
      </c>
      <c r="S285" s="15" t="str">
        <f>IF(J285="","",J285&amp;"|"&amp;E285&amp;"|"&amp;F285&amp;"|"&amp;I285&amp;"|"&amp;O285)</f>
        <v>G.900020.8.9090|2026|Q1|2027|BOR FY</v>
      </c>
      <c r="T285" s="15">
        <f>IF(OR(S285="",D285&lt;&gt;"Vastgesteld"),"",_xlfn.MAXIFS($G$6:$G$5005,$S$6:$S$5005,S285,$D$6:$D$5005,"Vastgesteld"))</f>
        <v>0</v>
      </c>
      <c r="U285" s="15">
        <f>IF(T285="",0,IF(AND(G285=T285,COUNTIFS($S$6:S285,S285,$G$6:G285,G285,$D$6:D285,"Vastgesteld")=1),1,0))</f>
        <v>1</v>
      </c>
      <c r="V285" s="15">
        <f>IF(T285="",0,IF(AND(G285=T285,COUNTIFS($S$6:S285,S285,$G$6:G285,G285,$D$6:D285,"Vastgesteld")&gt;1),1,0))</f>
        <v>0</v>
      </c>
    </row>
    <row r="286">
      <c r="A286" s="92" t="inlineStr">
        <is>
          <t>HIST-2026-Q1</t>
        </is>
      </c>
      <c r="B286" s="92" t="inlineStr">
        <is>
          <t>RDFO_FICTIEVE_historie_en_mapping.xlsx</t>
        </is>
      </c>
      <c r="C286" s="108" t="n">
        <v>46324</v>
      </c>
      <c r="D286" s="92" t="inlineStr">
        <is>
          <t>Vastgesteld</t>
        </is>
      </c>
      <c r="E286" s="92" t="n">
        <v>2026</v>
      </c>
      <c r="F286" s="92" t="inlineStr">
        <is>
          <t>Q1</t>
        </is>
      </c>
      <c r="G286" s="92" t="n">
        <v>0</v>
      </c>
      <c r="H286" s="108" t="n">
        <v>46112</v>
      </c>
      <c r="I286" s="92" t="n">
        <v>2026</v>
      </c>
      <c r="J286" s="92" t="inlineStr">
        <is>
          <t>G.900001.8.9090</t>
        </is>
      </c>
      <c r="K286" s="92" t="inlineStr">
        <is>
          <t>G.900001</t>
        </is>
      </c>
      <c r="L286" s="92" t="inlineStr">
        <is>
          <t>Lindehaven, Parkzoom fase 1</t>
        </is>
      </c>
      <c r="M286" s="92" t="inlineStr">
        <is>
          <t>Opstal</t>
        </is>
      </c>
      <c r="N286" s="92" t="inlineStr">
        <is>
          <t>J</t>
        </is>
      </c>
      <c r="O286" s="92" t="inlineStr">
        <is>
          <t>Woningverkopen FY</t>
        </is>
      </c>
      <c r="P286" s="109" t="n">
        <v>8</v>
      </c>
      <c r="Q286" s="92" t="inlineStr">
        <is>
          <t>aantal</t>
        </is>
      </c>
      <c r="R286" s="92" t="inlineStr">
        <is>
          <t>Synthetische snapshot; kwartalen zijn FY-verdeling, geen actuals</t>
        </is>
      </c>
      <c r="S286" s="15" t="str">
        <f>IF(J286="","",J286&amp;"|"&amp;E286&amp;"|"&amp;F286&amp;"|"&amp;I286&amp;"|"&amp;O286)</f>
        <v>G.900001.8.9090|2026|Q1|2026|Woningverkopen FY</v>
      </c>
      <c r="T286" s="15">
        <f>IF(OR(S286="",D286&lt;&gt;"Vastgesteld"),"",_xlfn.MAXIFS($G$6:$G$5005,$S$6:$S$5005,S286,$D$6:$D$5005,"Vastgesteld"))</f>
        <v>0</v>
      </c>
      <c r="U286" s="15">
        <f>IF(T286="",0,IF(AND(G286=T286,COUNTIFS($S$6:S286,S286,$G$6:G286,G286,$D$6:D286,"Vastgesteld")=1),1,0))</f>
        <v>1</v>
      </c>
      <c r="V286" s="15">
        <f>IF(T286="",0,IF(AND(G286=T286,COUNTIFS($S$6:S286,S286,$G$6:G286,G286,$D$6:D286,"Vastgesteld")&gt;1),1,0))</f>
        <v>0</v>
      </c>
    </row>
    <row r="287">
      <c r="A287" s="92" t="inlineStr">
        <is>
          <t>HIST-2026-Q1</t>
        </is>
      </c>
      <c r="B287" s="92" t="inlineStr">
        <is>
          <t>RDFO_FICTIEVE_historie_en_mapping.xlsx</t>
        </is>
      </c>
      <c r="C287" s="108" t="n">
        <v>46324</v>
      </c>
      <c r="D287" s="92" t="inlineStr">
        <is>
          <t>Vastgesteld</t>
        </is>
      </c>
      <c r="E287" s="92" t="n">
        <v>2026</v>
      </c>
      <c r="F287" s="92" t="inlineStr">
        <is>
          <t>Q1</t>
        </is>
      </c>
      <c r="G287" s="92" t="n">
        <v>0</v>
      </c>
      <c r="H287" s="108" t="n">
        <v>46112</v>
      </c>
      <c r="I287" s="92" t="n">
        <v>2026</v>
      </c>
      <c r="J287" s="92" t="inlineStr">
        <is>
          <t>G.900001.8.9090</t>
        </is>
      </c>
      <c r="K287" s="92" t="inlineStr">
        <is>
          <t>G.900001</t>
        </is>
      </c>
      <c r="L287" s="92" t="inlineStr">
        <is>
          <t>Lindehaven, Parkzoom fase 1</t>
        </is>
      </c>
      <c r="M287" s="92" t="inlineStr">
        <is>
          <t>Opstal</t>
        </is>
      </c>
      <c r="N287" s="92" t="inlineStr">
        <is>
          <t>J</t>
        </is>
      </c>
      <c r="O287" s="92" t="inlineStr">
        <is>
          <t>Woningen verkocht t/m vorig jaar</t>
        </is>
      </c>
      <c r="P287" s="109" t="n">
        <v>6</v>
      </c>
      <c r="Q287" s="92" t="inlineStr">
        <is>
          <t>aantal</t>
        </is>
      </c>
      <c r="R287" s="92" t="inlineStr">
        <is>
          <t>Synthetische snapshot; kwartalen zijn FY-verdeling, geen actuals</t>
        </is>
      </c>
      <c r="S287" s="15" t="str">
        <f>IF(J287="","",J287&amp;"|"&amp;E287&amp;"|"&amp;F287&amp;"|"&amp;I287&amp;"|"&amp;O287)</f>
        <v>G.900001.8.9090|2026|Q1|2026|Woningen verkocht t/m vorig jaar</v>
      </c>
      <c r="T287" s="15">
        <f>IF(OR(S287="",D287&lt;&gt;"Vastgesteld"),"",_xlfn.MAXIFS($G$6:$G$5005,$S$6:$S$5005,S287,$D$6:$D$5005,"Vastgesteld"))</f>
        <v>0</v>
      </c>
      <c r="U287" s="15">
        <f>IF(T287="",0,IF(AND(G287=T287,COUNTIFS($S$6:S287,S287,$G$6:G287,G287,$D$6:D287,"Vastgesteld")=1),1,0))</f>
        <v>1</v>
      </c>
      <c r="V287" s="15">
        <f>IF(T287="",0,IF(AND(G287=T287,COUNTIFS($S$6:S287,S287,$G$6:G287,G287,$D$6:D287,"Vastgesteld")&gt;1),1,0))</f>
        <v>0</v>
      </c>
    </row>
    <row r="288">
      <c r="A288" s="92" t="inlineStr">
        <is>
          <t>HIST-2026-Q1</t>
        </is>
      </c>
      <c r="B288" s="92" t="inlineStr">
        <is>
          <t>RDFO_FICTIEVE_historie_en_mapping.xlsx</t>
        </is>
      </c>
      <c r="C288" s="108" t="n">
        <v>46324</v>
      </c>
      <c r="D288" s="92" t="inlineStr">
        <is>
          <t>Vastgesteld</t>
        </is>
      </c>
      <c r="E288" s="92" t="n">
        <v>2026</v>
      </c>
      <c r="F288" s="92" t="inlineStr">
        <is>
          <t>Q1</t>
        </is>
      </c>
      <c r="G288" s="92" t="n">
        <v>0</v>
      </c>
      <c r="H288" s="108" t="n">
        <v>46112</v>
      </c>
      <c r="I288" s="92" t="n">
        <v>2026</v>
      </c>
      <c r="J288" s="92" t="inlineStr">
        <is>
          <t>G.900001.8.9090</t>
        </is>
      </c>
      <c r="K288" s="92" t="inlineStr">
        <is>
          <t>G.900001</t>
        </is>
      </c>
      <c r="L288" s="92" t="inlineStr">
        <is>
          <t>Lindehaven, Parkzoom fase 1</t>
        </is>
      </c>
      <c r="M288" s="92" t="inlineStr">
        <is>
          <t>Opstal</t>
        </is>
      </c>
      <c r="N288" s="92" t="inlineStr">
        <is>
          <t>J</t>
        </is>
      </c>
      <c r="O288" s="92" t="inlineStr">
        <is>
          <t>Woningverkopen Q1</t>
        </is>
      </c>
      <c r="P288" s="109" t="n">
        <v>1</v>
      </c>
      <c r="Q288" s="92" t="inlineStr">
        <is>
          <t>aantal</t>
        </is>
      </c>
      <c r="R288" s="92" t="inlineStr">
        <is>
          <t>Synthetische snapshot; kwartalen zijn FY-verdeling, geen actuals</t>
        </is>
      </c>
      <c r="S288" s="15" t="str">
        <f>IF(J288="","",J288&amp;"|"&amp;E288&amp;"|"&amp;F288&amp;"|"&amp;I288&amp;"|"&amp;O288)</f>
        <v>G.900001.8.9090|2026|Q1|2026|Woningverkopen Q1</v>
      </c>
      <c r="T288" s="15">
        <f>IF(OR(S288="",D288&lt;&gt;"Vastgesteld"),"",_xlfn.MAXIFS($G$6:$G$5005,$S$6:$S$5005,S288,$D$6:$D$5005,"Vastgesteld"))</f>
        <v>0</v>
      </c>
      <c r="U288" s="15">
        <f>IF(T288="",0,IF(AND(G288=T288,COUNTIFS($S$6:S288,S288,$G$6:G288,G288,$D$6:D288,"Vastgesteld")=1),1,0))</f>
        <v>1</v>
      </c>
      <c r="V288" s="15">
        <f>IF(T288="",0,IF(AND(G288=T288,COUNTIFS($S$6:S288,S288,$G$6:G288,G288,$D$6:D288,"Vastgesteld")&gt;1),1,0))</f>
        <v>0</v>
      </c>
    </row>
    <row r="289">
      <c r="A289" s="92" t="inlineStr">
        <is>
          <t>HIST-2026-Q1</t>
        </is>
      </c>
      <c r="B289" s="92" t="inlineStr">
        <is>
          <t>RDFO_FICTIEVE_historie_en_mapping.xlsx</t>
        </is>
      </c>
      <c r="C289" s="108" t="n">
        <v>46324</v>
      </c>
      <c r="D289" s="92" t="inlineStr">
        <is>
          <t>Vastgesteld</t>
        </is>
      </c>
      <c r="E289" s="92" t="n">
        <v>2026</v>
      </c>
      <c r="F289" s="92" t="inlineStr">
        <is>
          <t>Q1</t>
        </is>
      </c>
      <c r="G289" s="92" t="n">
        <v>0</v>
      </c>
      <c r="H289" s="108" t="n">
        <v>46112</v>
      </c>
      <c r="I289" s="92" t="n">
        <v>2026</v>
      </c>
      <c r="J289" s="92" t="inlineStr">
        <is>
          <t>G.900001.8.9090</t>
        </is>
      </c>
      <c r="K289" s="92" t="inlineStr">
        <is>
          <t>G.900001</t>
        </is>
      </c>
      <c r="L289" s="92" t="inlineStr">
        <is>
          <t>Lindehaven, Parkzoom fase 1</t>
        </is>
      </c>
      <c r="M289" s="92" t="inlineStr">
        <is>
          <t>Opstal</t>
        </is>
      </c>
      <c r="N289" s="92" t="inlineStr">
        <is>
          <t>J</t>
        </is>
      </c>
      <c r="O289" s="92" t="inlineStr">
        <is>
          <t>Woningverkopen Q2</t>
        </is>
      </c>
      <c r="P289" s="109" t="n">
        <v>2</v>
      </c>
      <c r="Q289" s="92" t="inlineStr">
        <is>
          <t>aantal</t>
        </is>
      </c>
      <c r="R289" s="92" t="inlineStr">
        <is>
          <t>Synthetische snapshot; kwartalen zijn FY-verdeling, geen actuals</t>
        </is>
      </c>
      <c r="S289" s="15" t="str">
        <f>IF(J289="","",J289&amp;"|"&amp;E289&amp;"|"&amp;F289&amp;"|"&amp;I289&amp;"|"&amp;O289)</f>
        <v>G.900001.8.9090|2026|Q1|2026|Woningverkopen Q2</v>
      </c>
      <c r="T289" s="15">
        <f>IF(OR(S289="",D289&lt;&gt;"Vastgesteld"),"",_xlfn.MAXIFS($G$6:$G$5005,$S$6:$S$5005,S289,$D$6:$D$5005,"Vastgesteld"))</f>
        <v>0</v>
      </c>
      <c r="U289" s="15">
        <f>IF(T289="",0,IF(AND(G289=T289,COUNTIFS($S$6:S289,S289,$G$6:G289,G289,$D$6:D289,"Vastgesteld")=1),1,0))</f>
        <v>1</v>
      </c>
      <c r="V289" s="15">
        <f>IF(T289="",0,IF(AND(G289=T289,COUNTIFS($S$6:S289,S289,$G$6:G289,G289,$D$6:D289,"Vastgesteld")&gt;1),1,0))</f>
        <v>0</v>
      </c>
    </row>
    <row r="290">
      <c r="A290" s="92" t="inlineStr">
        <is>
          <t>HIST-2026-Q1</t>
        </is>
      </c>
      <c r="B290" s="92" t="inlineStr">
        <is>
          <t>RDFO_FICTIEVE_historie_en_mapping.xlsx</t>
        </is>
      </c>
      <c r="C290" s="108" t="n">
        <v>46324</v>
      </c>
      <c r="D290" s="92" t="inlineStr">
        <is>
          <t>Vastgesteld</t>
        </is>
      </c>
      <c r="E290" s="92" t="n">
        <v>2026</v>
      </c>
      <c r="F290" s="92" t="inlineStr">
        <is>
          <t>Q1</t>
        </is>
      </c>
      <c r="G290" s="92" t="n">
        <v>0</v>
      </c>
      <c r="H290" s="108" t="n">
        <v>46112</v>
      </c>
      <c r="I290" s="92" t="n">
        <v>2026</v>
      </c>
      <c r="J290" s="92" t="inlineStr">
        <is>
          <t>G.900001.8.9090</t>
        </is>
      </c>
      <c r="K290" s="92" t="inlineStr">
        <is>
          <t>G.900001</t>
        </is>
      </c>
      <c r="L290" s="92" t="inlineStr">
        <is>
          <t>Lindehaven, Parkzoom fase 1</t>
        </is>
      </c>
      <c r="M290" s="92" t="inlineStr">
        <is>
          <t>Opstal</t>
        </is>
      </c>
      <c r="N290" s="92" t="inlineStr">
        <is>
          <t>J</t>
        </is>
      </c>
      <c r="O290" s="92" t="inlineStr">
        <is>
          <t>Woningverkopen Q3</t>
        </is>
      </c>
      <c r="P290" s="109" t="n">
        <v>2</v>
      </c>
      <c r="Q290" s="92" t="inlineStr">
        <is>
          <t>aantal</t>
        </is>
      </c>
      <c r="R290" s="92" t="inlineStr">
        <is>
          <t>Synthetische snapshot; kwartalen zijn FY-verdeling, geen actuals</t>
        </is>
      </c>
      <c r="S290" s="15" t="str">
        <f>IF(J290="","",J290&amp;"|"&amp;E290&amp;"|"&amp;F290&amp;"|"&amp;I290&amp;"|"&amp;O290)</f>
        <v>G.900001.8.9090|2026|Q1|2026|Woningverkopen Q3</v>
      </c>
      <c r="T290" s="15">
        <f>IF(OR(S290="",D290&lt;&gt;"Vastgesteld"),"",_xlfn.MAXIFS($G$6:$G$5005,$S$6:$S$5005,S290,$D$6:$D$5005,"Vastgesteld"))</f>
        <v>0</v>
      </c>
      <c r="U290" s="15">
        <f>IF(T290="",0,IF(AND(G290=T290,COUNTIFS($S$6:S290,S290,$G$6:G290,G290,$D$6:D290,"Vastgesteld")=1),1,0))</f>
        <v>1</v>
      </c>
      <c r="V290" s="15">
        <f>IF(T290="",0,IF(AND(G290=T290,COUNTIFS($S$6:S290,S290,$G$6:G290,G290,$D$6:D290,"Vastgesteld")&gt;1),1,0))</f>
        <v>0</v>
      </c>
    </row>
    <row r="291">
      <c r="A291" s="92" t="inlineStr">
        <is>
          <t>HIST-2026-Q1</t>
        </is>
      </c>
      <c r="B291" s="92" t="inlineStr">
        <is>
          <t>RDFO_FICTIEVE_historie_en_mapping.xlsx</t>
        </is>
      </c>
      <c r="C291" s="108" t="n">
        <v>46324</v>
      </c>
      <c r="D291" s="92" t="inlineStr">
        <is>
          <t>Vastgesteld</t>
        </is>
      </c>
      <c r="E291" s="92" t="n">
        <v>2026</v>
      </c>
      <c r="F291" s="92" t="inlineStr">
        <is>
          <t>Q1</t>
        </is>
      </c>
      <c r="G291" s="92" t="n">
        <v>0</v>
      </c>
      <c r="H291" s="108" t="n">
        <v>46112</v>
      </c>
      <c r="I291" s="92" t="n">
        <v>2026</v>
      </c>
      <c r="J291" s="92" t="inlineStr">
        <is>
          <t>G.900001.8.9090</t>
        </is>
      </c>
      <c r="K291" s="92" t="inlineStr">
        <is>
          <t>G.900001</t>
        </is>
      </c>
      <c r="L291" s="92" t="inlineStr">
        <is>
          <t>Lindehaven, Parkzoom fase 1</t>
        </is>
      </c>
      <c r="M291" s="92" t="inlineStr">
        <is>
          <t>Opstal</t>
        </is>
      </c>
      <c r="N291" s="92" t="inlineStr">
        <is>
          <t>J</t>
        </is>
      </c>
      <c r="O291" s="92" t="inlineStr">
        <is>
          <t>Woningverkopen Q4</t>
        </is>
      </c>
      <c r="P291" s="109" t="n">
        <v>3</v>
      </c>
      <c r="Q291" s="92" t="inlineStr">
        <is>
          <t>aantal</t>
        </is>
      </c>
      <c r="R291" s="92" t="inlineStr">
        <is>
          <t>Synthetische snapshot; kwartalen zijn FY-verdeling, geen actuals</t>
        </is>
      </c>
      <c r="S291" s="15" t="str">
        <f>IF(J291="","",J291&amp;"|"&amp;E291&amp;"|"&amp;F291&amp;"|"&amp;I291&amp;"|"&amp;O291)</f>
        <v>G.900001.8.9090|2026|Q1|2026|Woningverkopen Q4</v>
      </c>
      <c r="T291" s="15">
        <f>IF(OR(S291="",D291&lt;&gt;"Vastgesteld"),"",_xlfn.MAXIFS($G$6:$G$5005,$S$6:$S$5005,S291,$D$6:$D$5005,"Vastgesteld"))</f>
        <v>0</v>
      </c>
      <c r="U291" s="15">
        <f>IF(T291="",0,IF(AND(G291=T291,COUNTIFS($S$6:S291,S291,$G$6:G291,G291,$D$6:D291,"Vastgesteld")=1),1,0))</f>
        <v>1</v>
      </c>
      <c r="V291" s="15">
        <f>IF(T291="",0,IF(AND(G291=T291,COUNTIFS($S$6:S291,S291,$G$6:G291,G291,$D$6:D291,"Vastgesteld")&gt;1),1,0))</f>
        <v>0</v>
      </c>
    </row>
    <row r="292">
      <c r="A292" s="92" t="inlineStr">
        <is>
          <t>HIST-2026-Q1</t>
        </is>
      </c>
      <c r="B292" s="92" t="inlineStr">
        <is>
          <t>RDFO_FICTIEVE_historie_en_mapping.xlsx</t>
        </is>
      </c>
      <c r="C292" s="108" t="n">
        <v>46324</v>
      </c>
      <c r="D292" s="92" t="inlineStr">
        <is>
          <t>Vastgesteld</t>
        </is>
      </c>
      <c r="E292" s="92" t="n">
        <v>2026</v>
      </c>
      <c r="F292" s="92" t="inlineStr">
        <is>
          <t>Q1</t>
        </is>
      </c>
      <c r="G292" s="92" t="n">
        <v>0</v>
      </c>
      <c r="H292" s="108" t="n">
        <v>46112</v>
      </c>
      <c r="I292" s="92" t="n">
        <v>2026</v>
      </c>
      <c r="J292" s="92" t="inlineStr">
        <is>
          <t>G.900002.8.9090</t>
        </is>
      </c>
      <c r="K292" s="92" t="inlineStr">
        <is>
          <t>G.900002</t>
        </is>
      </c>
      <c r="L292" s="92" t="inlineStr">
        <is>
          <t>Duinwaard, De Watergaarde</t>
        </is>
      </c>
      <c r="M292" s="92" t="inlineStr">
        <is>
          <t>Opstal</t>
        </is>
      </c>
      <c r="N292" s="92" t="inlineStr">
        <is>
          <t>J</t>
        </is>
      </c>
      <c r="O292" s="92" t="inlineStr">
        <is>
          <t>Woningverkopen FY</t>
        </is>
      </c>
      <c r="P292" s="109" t="n">
        <v>12</v>
      </c>
      <c r="Q292" s="92" t="inlineStr">
        <is>
          <t>aantal</t>
        </is>
      </c>
      <c r="R292" s="92" t="inlineStr">
        <is>
          <t>Synthetische snapshot; kwartalen zijn FY-verdeling, geen actuals</t>
        </is>
      </c>
      <c r="S292" s="15" t="str">
        <f>IF(J292="","",J292&amp;"|"&amp;E292&amp;"|"&amp;F292&amp;"|"&amp;I292&amp;"|"&amp;O292)</f>
        <v>G.900002.8.9090|2026|Q1|2026|Woningverkopen FY</v>
      </c>
      <c r="T292" s="15">
        <f>IF(OR(S292="",D292&lt;&gt;"Vastgesteld"),"",_xlfn.MAXIFS($G$6:$G$5005,$S$6:$S$5005,S292,$D$6:$D$5005,"Vastgesteld"))</f>
        <v>0</v>
      </c>
      <c r="U292" s="15">
        <f>IF(T292="",0,IF(AND(G292=T292,COUNTIFS($S$6:S292,S292,$G$6:G292,G292,$D$6:D292,"Vastgesteld")=1),1,0))</f>
        <v>1</v>
      </c>
      <c r="V292" s="15">
        <f>IF(T292="",0,IF(AND(G292=T292,COUNTIFS($S$6:S292,S292,$G$6:G292,G292,$D$6:D292,"Vastgesteld")&gt;1),1,0))</f>
        <v>0</v>
      </c>
    </row>
    <row r="293">
      <c r="A293" s="92" t="inlineStr">
        <is>
          <t>HIST-2026-Q1</t>
        </is>
      </c>
      <c r="B293" s="92" t="inlineStr">
        <is>
          <t>RDFO_FICTIEVE_historie_en_mapping.xlsx</t>
        </is>
      </c>
      <c r="C293" s="108" t="n">
        <v>46324</v>
      </c>
      <c r="D293" s="92" t="inlineStr">
        <is>
          <t>Vastgesteld</t>
        </is>
      </c>
      <c r="E293" s="92" t="n">
        <v>2026</v>
      </c>
      <c r="F293" s="92" t="inlineStr">
        <is>
          <t>Q1</t>
        </is>
      </c>
      <c r="G293" s="92" t="n">
        <v>0</v>
      </c>
      <c r="H293" s="108" t="n">
        <v>46112</v>
      </c>
      <c r="I293" s="92" t="n">
        <v>2026</v>
      </c>
      <c r="J293" s="92" t="inlineStr">
        <is>
          <t>G.900002.8.9090</t>
        </is>
      </c>
      <c r="K293" s="92" t="inlineStr">
        <is>
          <t>G.900002</t>
        </is>
      </c>
      <c r="L293" s="92" t="inlineStr">
        <is>
          <t>Duinwaard, De Watergaarde</t>
        </is>
      </c>
      <c r="M293" s="92" t="inlineStr">
        <is>
          <t>Opstal</t>
        </is>
      </c>
      <c r="N293" s="92" t="inlineStr">
        <is>
          <t>J</t>
        </is>
      </c>
      <c r="O293" s="92" t="inlineStr">
        <is>
          <t>Woningen verkocht t/m vorig jaar</t>
        </is>
      </c>
      <c r="P293" s="109" t="n">
        <v>9</v>
      </c>
      <c r="Q293" s="92" t="inlineStr">
        <is>
          <t>aantal</t>
        </is>
      </c>
      <c r="R293" s="92" t="inlineStr">
        <is>
          <t>Synthetische snapshot; kwartalen zijn FY-verdeling, geen actuals</t>
        </is>
      </c>
      <c r="S293" s="15" t="str">
        <f>IF(J293="","",J293&amp;"|"&amp;E293&amp;"|"&amp;F293&amp;"|"&amp;I293&amp;"|"&amp;O293)</f>
        <v>G.900002.8.9090|2026|Q1|2026|Woningen verkocht t/m vorig jaar</v>
      </c>
      <c r="T293" s="15">
        <f>IF(OR(S293="",D293&lt;&gt;"Vastgesteld"),"",_xlfn.MAXIFS($G$6:$G$5005,$S$6:$S$5005,S293,$D$6:$D$5005,"Vastgesteld"))</f>
        <v>0</v>
      </c>
      <c r="U293" s="15">
        <f>IF(T293="",0,IF(AND(G293=T293,COUNTIFS($S$6:S293,S293,$G$6:G293,G293,$D$6:D293,"Vastgesteld")=1),1,0))</f>
        <v>1</v>
      </c>
      <c r="V293" s="15">
        <f>IF(T293="",0,IF(AND(G293=T293,COUNTIFS($S$6:S293,S293,$G$6:G293,G293,$D$6:D293,"Vastgesteld")&gt;1),1,0))</f>
        <v>0</v>
      </c>
    </row>
    <row r="294">
      <c r="A294" s="92" t="inlineStr">
        <is>
          <t>HIST-2026-Q1</t>
        </is>
      </c>
      <c r="B294" s="92" t="inlineStr">
        <is>
          <t>RDFO_FICTIEVE_historie_en_mapping.xlsx</t>
        </is>
      </c>
      <c r="C294" s="108" t="n">
        <v>46324</v>
      </c>
      <c r="D294" s="92" t="inlineStr">
        <is>
          <t>Vastgesteld</t>
        </is>
      </c>
      <c r="E294" s="92" t="n">
        <v>2026</v>
      </c>
      <c r="F294" s="92" t="inlineStr">
        <is>
          <t>Q1</t>
        </is>
      </c>
      <c r="G294" s="92" t="n">
        <v>0</v>
      </c>
      <c r="H294" s="108" t="n">
        <v>46112</v>
      </c>
      <c r="I294" s="92" t="n">
        <v>2026</v>
      </c>
      <c r="J294" s="92" t="inlineStr">
        <is>
          <t>G.900002.8.9090</t>
        </is>
      </c>
      <c r="K294" s="92" t="inlineStr">
        <is>
          <t>G.900002</t>
        </is>
      </c>
      <c r="L294" s="92" t="inlineStr">
        <is>
          <t>Duinwaard, De Watergaarde</t>
        </is>
      </c>
      <c r="M294" s="92" t="inlineStr">
        <is>
          <t>Opstal</t>
        </is>
      </c>
      <c r="N294" s="92" t="inlineStr">
        <is>
          <t>J</t>
        </is>
      </c>
      <c r="O294" s="92" t="inlineStr">
        <is>
          <t>Woningverkopen Q1</t>
        </is>
      </c>
      <c r="P294" s="109" t="n">
        <v>2</v>
      </c>
      <c r="Q294" s="92" t="inlineStr">
        <is>
          <t>aantal</t>
        </is>
      </c>
      <c r="R294" s="92" t="inlineStr">
        <is>
          <t>Synthetische snapshot; kwartalen zijn FY-verdeling, geen actuals</t>
        </is>
      </c>
      <c r="S294" s="15" t="str">
        <f>IF(J294="","",J294&amp;"|"&amp;E294&amp;"|"&amp;F294&amp;"|"&amp;I294&amp;"|"&amp;O294)</f>
        <v>G.900002.8.9090|2026|Q1|2026|Woningverkopen Q1</v>
      </c>
      <c r="T294" s="15">
        <f>IF(OR(S294="",D294&lt;&gt;"Vastgesteld"),"",_xlfn.MAXIFS($G$6:$G$5005,$S$6:$S$5005,S294,$D$6:$D$5005,"Vastgesteld"))</f>
        <v>0</v>
      </c>
      <c r="U294" s="15">
        <f>IF(T294="",0,IF(AND(G294=T294,COUNTIFS($S$6:S294,S294,$G$6:G294,G294,$D$6:D294,"Vastgesteld")=1),1,0))</f>
        <v>1</v>
      </c>
      <c r="V294" s="15">
        <f>IF(T294="",0,IF(AND(G294=T294,COUNTIFS($S$6:S294,S294,$G$6:G294,G294,$D$6:D294,"Vastgesteld")&gt;1),1,0))</f>
        <v>0</v>
      </c>
    </row>
    <row r="295">
      <c r="A295" s="92" t="inlineStr">
        <is>
          <t>HIST-2026-Q1</t>
        </is>
      </c>
      <c r="B295" s="92" t="inlineStr">
        <is>
          <t>RDFO_FICTIEVE_historie_en_mapping.xlsx</t>
        </is>
      </c>
      <c r="C295" s="108" t="n">
        <v>46324</v>
      </c>
      <c r="D295" s="92" t="inlineStr">
        <is>
          <t>Vastgesteld</t>
        </is>
      </c>
      <c r="E295" s="92" t="n">
        <v>2026</v>
      </c>
      <c r="F295" s="92" t="inlineStr">
        <is>
          <t>Q1</t>
        </is>
      </c>
      <c r="G295" s="92" t="n">
        <v>0</v>
      </c>
      <c r="H295" s="108" t="n">
        <v>46112</v>
      </c>
      <c r="I295" s="92" t="n">
        <v>2026</v>
      </c>
      <c r="J295" s="92" t="inlineStr">
        <is>
          <t>G.900002.8.9090</t>
        </is>
      </c>
      <c r="K295" s="92" t="inlineStr">
        <is>
          <t>G.900002</t>
        </is>
      </c>
      <c r="L295" s="92" t="inlineStr">
        <is>
          <t>Duinwaard, De Watergaarde</t>
        </is>
      </c>
      <c r="M295" s="92" t="inlineStr">
        <is>
          <t>Opstal</t>
        </is>
      </c>
      <c r="N295" s="92" t="inlineStr">
        <is>
          <t>J</t>
        </is>
      </c>
      <c r="O295" s="92" t="inlineStr">
        <is>
          <t>Woningverkopen Q2</t>
        </is>
      </c>
      <c r="P295" s="109" t="n">
        <v>3</v>
      </c>
      <c r="Q295" s="92" t="inlineStr">
        <is>
          <t>aantal</t>
        </is>
      </c>
      <c r="R295" s="92" t="inlineStr">
        <is>
          <t>Synthetische snapshot; kwartalen zijn FY-verdeling, geen actuals</t>
        </is>
      </c>
      <c r="S295" s="15" t="str">
        <f>IF(J295="","",J295&amp;"|"&amp;E295&amp;"|"&amp;F295&amp;"|"&amp;I295&amp;"|"&amp;O295)</f>
        <v>G.900002.8.9090|2026|Q1|2026|Woningverkopen Q2</v>
      </c>
      <c r="T295" s="15">
        <f>IF(OR(S295="",D295&lt;&gt;"Vastgesteld"),"",_xlfn.MAXIFS($G$6:$G$5005,$S$6:$S$5005,S295,$D$6:$D$5005,"Vastgesteld"))</f>
        <v>0</v>
      </c>
      <c r="U295" s="15">
        <f>IF(T295="",0,IF(AND(G295=T295,COUNTIFS($S$6:S295,S295,$G$6:G295,G295,$D$6:D295,"Vastgesteld")=1),1,0))</f>
        <v>1</v>
      </c>
      <c r="V295" s="15">
        <f>IF(T295="",0,IF(AND(G295=T295,COUNTIFS($S$6:S295,S295,$G$6:G295,G295,$D$6:D295,"Vastgesteld")&gt;1),1,0))</f>
        <v>0</v>
      </c>
    </row>
    <row r="296">
      <c r="A296" s="92" t="inlineStr">
        <is>
          <t>HIST-2026-Q1</t>
        </is>
      </c>
      <c r="B296" s="92" t="inlineStr">
        <is>
          <t>RDFO_FICTIEVE_historie_en_mapping.xlsx</t>
        </is>
      </c>
      <c r="C296" s="108" t="n">
        <v>46324</v>
      </c>
      <c r="D296" s="92" t="inlineStr">
        <is>
          <t>Vastgesteld</t>
        </is>
      </c>
      <c r="E296" s="92" t="n">
        <v>2026</v>
      </c>
      <c r="F296" s="92" t="inlineStr">
        <is>
          <t>Q1</t>
        </is>
      </c>
      <c r="G296" s="92" t="n">
        <v>0</v>
      </c>
      <c r="H296" s="108" t="n">
        <v>46112</v>
      </c>
      <c r="I296" s="92" t="n">
        <v>2026</v>
      </c>
      <c r="J296" s="92" t="inlineStr">
        <is>
          <t>G.900002.8.9090</t>
        </is>
      </c>
      <c r="K296" s="92" t="inlineStr">
        <is>
          <t>G.900002</t>
        </is>
      </c>
      <c r="L296" s="92" t="inlineStr">
        <is>
          <t>Duinwaard, De Watergaarde</t>
        </is>
      </c>
      <c r="M296" s="92" t="inlineStr">
        <is>
          <t>Opstal</t>
        </is>
      </c>
      <c r="N296" s="92" t="inlineStr">
        <is>
          <t>J</t>
        </is>
      </c>
      <c r="O296" s="92" t="inlineStr">
        <is>
          <t>Woningverkopen Q3</t>
        </is>
      </c>
      <c r="P296" s="109" t="n">
        <v>3</v>
      </c>
      <c r="Q296" s="92" t="inlineStr">
        <is>
          <t>aantal</t>
        </is>
      </c>
      <c r="R296" s="92" t="inlineStr">
        <is>
          <t>Synthetische snapshot; kwartalen zijn FY-verdeling, geen actuals</t>
        </is>
      </c>
      <c r="S296" s="15" t="str">
        <f>IF(J296="","",J296&amp;"|"&amp;E296&amp;"|"&amp;F296&amp;"|"&amp;I296&amp;"|"&amp;O296)</f>
        <v>G.900002.8.9090|2026|Q1|2026|Woningverkopen Q3</v>
      </c>
      <c r="T296" s="15">
        <f>IF(OR(S296="",D296&lt;&gt;"Vastgesteld"),"",_xlfn.MAXIFS($G$6:$G$5005,$S$6:$S$5005,S296,$D$6:$D$5005,"Vastgesteld"))</f>
        <v>0</v>
      </c>
      <c r="U296" s="15">
        <f>IF(T296="",0,IF(AND(G296=T296,COUNTIFS($S$6:S296,S296,$G$6:G296,G296,$D$6:D296,"Vastgesteld")=1),1,0))</f>
        <v>1</v>
      </c>
      <c r="V296" s="15">
        <f>IF(T296="",0,IF(AND(G296=T296,COUNTIFS($S$6:S296,S296,$G$6:G296,G296,$D$6:D296,"Vastgesteld")&gt;1),1,0))</f>
        <v>0</v>
      </c>
    </row>
    <row r="297">
      <c r="A297" s="92" t="inlineStr">
        <is>
          <t>HIST-2026-Q1</t>
        </is>
      </c>
      <c r="B297" s="92" t="inlineStr">
        <is>
          <t>RDFO_FICTIEVE_historie_en_mapping.xlsx</t>
        </is>
      </c>
      <c r="C297" s="108" t="n">
        <v>46324</v>
      </c>
      <c r="D297" s="92" t="inlineStr">
        <is>
          <t>Vastgesteld</t>
        </is>
      </c>
      <c r="E297" s="92" t="n">
        <v>2026</v>
      </c>
      <c r="F297" s="92" t="inlineStr">
        <is>
          <t>Q1</t>
        </is>
      </c>
      <c r="G297" s="92" t="n">
        <v>0</v>
      </c>
      <c r="H297" s="108" t="n">
        <v>46112</v>
      </c>
      <c r="I297" s="92" t="n">
        <v>2026</v>
      </c>
      <c r="J297" s="92" t="inlineStr">
        <is>
          <t>G.900002.8.9090</t>
        </is>
      </c>
      <c r="K297" s="92" t="inlineStr">
        <is>
          <t>G.900002</t>
        </is>
      </c>
      <c r="L297" s="92" t="inlineStr">
        <is>
          <t>Duinwaard, De Watergaarde</t>
        </is>
      </c>
      <c r="M297" s="92" t="inlineStr">
        <is>
          <t>Opstal</t>
        </is>
      </c>
      <c r="N297" s="92" t="inlineStr">
        <is>
          <t>J</t>
        </is>
      </c>
      <c r="O297" s="92" t="inlineStr">
        <is>
          <t>Woningverkopen Q4</t>
        </is>
      </c>
      <c r="P297" s="109" t="n">
        <v>4</v>
      </c>
      <c r="Q297" s="92" t="inlineStr">
        <is>
          <t>aantal</t>
        </is>
      </c>
      <c r="R297" s="92" t="inlineStr">
        <is>
          <t>Synthetische snapshot; kwartalen zijn FY-verdeling, geen actuals</t>
        </is>
      </c>
      <c r="S297" s="15" t="str">
        <f>IF(J297="","",J297&amp;"|"&amp;E297&amp;"|"&amp;F297&amp;"|"&amp;I297&amp;"|"&amp;O297)</f>
        <v>G.900002.8.9090|2026|Q1|2026|Woningverkopen Q4</v>
      </c>
      <c r="T297" s="15">
        <f>IF(OR(S297="",D297&lt;&gt;"Vastgesteld"),"",_xlfn.MAXIFS($G$6:$G$5005,$S$6:$S$5005,S297,$D$6:$D$5005,"Vastgesteld"))</f>
        <v>0</v>
      </c>
      <c r="U297" s="15">
        <f>IF(T297="",0,IF(AND(G297=T297,COUNTIFS($S$6:S297,S297,$G$6:G297,G297,$D$6:D297,"Vastgesteld")=1),1,0))</f>
        <v>1</v>
      </c>
      <c r="V297" s="15">
        <f>IF(T297="",0,IF(AND(G297=T297,COUNTIFS($S$6:S297,S297,$G$6:G297,G297,$D$6:D297,"Vastgesteld")&gt;1),1,0))</f>
        <v>0</v>
      </c>
    </row>
    <row r="298">
      <c r="A298" s="92" t="inlineStr">
        <is>
          <t>HIST-2026-Q1</t>
        </is>
      </c>
      <c r="B298" s="92" t="inlineStr">
        <is>
          <t>RDFO_FICTIEVE_historie_en_mapping.xlsx</t>
        </is>
      </c>
      <c r="C298" s="108" t="n">
        <v>46324</v>
      </c>
      <c r="D298" s="92" t="inlineStr">
        <is>
          <t>Vastgesteld</t>
        </is>
      </c>
      <c r="E298" s="92" t="n">
        <v>2026</v>
      </c>
      <c r="F298" s="92" t="inlineStr">
        <is>
          <t>Q1</t>
        </is>
      </c>
      <c r="G298" s="92" t="n">
        <v>0</v>
      </c>
      <c r="H298" s="108" t="n">
        <v>46112</v>
      </c>
      <c r="I298" s="92" t="n">
        <v>2026</v>
      </c>
      <c r="J298" s="92" t="inlineStr">
        <is>
          <t>G.900003.8.9090</t>
        </is>
      </c>
      <c r="K298" s="92" t="inlineStr">
        <is>
          <t>G.900003</t>
        </is>
      </c>
      <c r="L298" s="92" t="inlineStr">
        <is>
          <t>Veldendam, Stationshof</t>
        </is>
      </c>
      <c r="M298" s="92" t="inlineStr">
        <is>
          <t>Opstal</t>
        </is>
      </c>
      <c r="N298" s="92" t="inlineStr">
        <is>
          <t>J</t>
        </is>
      </c>
      <c r="O298" s="92" t="inlineStr">
        <is>
          <t>Woningverkopen FY</t>
        </is>
      </c>
      <c r="P298" s="109" t="n">
        <v>21</v>
      </c>
      <c r="Q298" s="92" t="inlineStr">
        <is>
          <t>aantal</t>
        </is>
      </c>
      <c r="R298" s="92" t="inlineStr">
        <is>
          <t>Synthetische snapshot; kwartalen zijn FY-verdeling, geen actuals</t>
        </is>
      </c>
      <c r="S298" s="15" t="str">
        <f>IF(J298="","",J298&amp;"|"&amp;E298&amp;"|"&amp;F298&amp;"|"&amp;I298&amp;"|"&amp;O298)</f>
        <v>G.900003.8.9090|2026|Q1|2026|Woningverkopen FY</v>
      </c>
      <c r="T298" s="15">
        <f>IF(OR(S298="",D298&lt;&gt;"Vastgesteld"),"",_xlfn.MAXIFS($G$6:$G$5005,$S$6:$S$5005,S298,$D$6:$D$5005,"Vastgesteld"))</f>
        <v>0</v>
      </c>
      <c r="U298" s="15">
        <f>IF(T298="",0,IF(AND(G298=T298,COUNTIFS($S$6:S298,S298,$G$6:G298,G298,$D$6:D298,"Vastgesteld")=1),1,0))</f>
        <v>1</v>
      </c>
      <c r="V298" s="15">
        <f>IF(T298="",0,IF(AND(G298=T298,COUNTIFS($S$6:S298,S298,$G$6:G298,G298,$D$6:D298,"Vastgesteld")&gt;1),1,0))</f>
        <v>0</v>
      </c>
    </row>
    <row r="299">
      <c r="A299" s="92" t="inlineStr">
        <is>
          <t>HIST-2026-Q1</t>
        </is>
      </c>
      <c r="B299" s="92" t="inlineStr">
        <is>
          <t>RDFO_FICTIEVE_historie_en_mapping.xlsx</t>
        </is>
      </c>
      <c r="C299" s="108" t="n">
        <v>46324</v>
      </c>
      <c r="D299" s="92" t="inlineStr">
        <is>
          <t>Vastgesteld</t>
        </is>
      </c>
      <c r="E299" s="92" t="n">
        <v>2026</v>
      </c>
      <c r="F299" s="92" t="inlineStr">
        <is>
          <t>Q1</t>
        </is>
      </c>
      <c r="G299" s="92" t="n">
        <v>0</v>
      </c>
      <c r="H299" s="108" t="n">
        <v>46112</v>
      </c>
      <c r="I299" s="92" t="n">
        <v>2026</v>
      </c>
      <c r="J299" s="92" t="inlineStr">
        <is>
          <t>G.900003.8.9090</t>
        </is>
      </c>
      <c r="K299" s="92" t="inlineStr">
        <is>
          <t>G.900003</t>
        </is>
      </c>
      <c r="L299" s="92" t="inlineStr">
        <is>
          <t>Veldendam, Stationshof</t>
        </is>
      </c>
      <c r="M299" s="92" t="inlineStr">
        <is>
          <t>Opstal</t>
        </is>
      </c>
      <c r="N299" s="92" t="inlineStr">
        <is>
          <t>J</t>
        </is>
      </c>
      <c r="O299" s="92" t="inlineStr">
        <is>
          <t>Woningen verkocht t/m vorig jaar</t>
        </is>
      </c>
      <c r="P299" s="109" t="n">
        <v>15</v>
      </c>
      <c r="Q299" s="92" t="inlineStr">
        <is>
          <t>aantal</t>
        </is>
      </c>
      <c r="R299" s="92" t="inlineStr">
        <is>
          <t>Synthetische snapshot; kwartalen zijn FY-verdeling, geen actuals</t>
        </is>
      </c>
      <c r="S299" s="15" t="str">
        <f>IF(J299="","",J299&amp;"|"&amp;E299&amp;"|"&amp;F299&amp;"|"&amp;I299&amp;"|"&amp;O299)</f>
        <v>G.900003.8.9090|2026|Q1|2026|Woningen verkocht t/m vorig jaar</v>
      </c>
      <c r="T299" s="15">
        <f>IF(OR(S299="",D299&lt;&gt;"Vastgesteld"),"",_xlfn.MAXIFS($G$6:$G$5005,$S$6:$S$5005,S299,$D$6:$D$5005,"Vastgesteld"))</f>
        <v>0</v>
      </c>
      <c r="U299" s="15">
        <f>IF(T299="",0,IF(AND(G299=T299,COUNTIFS($S$6:S299,S299,$G$6:G299,G299,$D$6:D299,"Vastgesteld")=1),1,0))</f>
        <v>1</v>
      </c>
      <c r="V299" s="15">
        <f>IF(T299="",0,IF(AND(G299=T299,COUNTIFS($S$6:S299,S299,$G$6:G299,G299,$D$6:D299,"Vastgesteld")&gt;1),1,0))</f>
        <v>0</v>
      </c>
    </row>
    <row r="300">
      <c r="A300" s="92" t="inlineStr">
        <is>
          <t>HIST-2026-Q1</t>
        </is>
      </c>
      <c r="B300" s="92" t="inlineStr">
        <is>
          <t>RDFO_FICTIEVE_historie_en_mapping.xlsx</t>
        </is>
      </c>
      <c r="C300" s="108" t="n">
        <v>46324</v>
      </c>
      <c r="D300" s="92" t="inlineStr">
        <is>
          <t>Vastgesteld</t>
        </is>
      </c>
      <c r="E300" s="92" t="n">
        <v>2026</v>
      </c>
      <c r="F300" s="92" t="inlineStr">
        <is>
          <t>Q1</t>
        </is>
      </c>
      <c r="G300" s="92" t="n">
        <v>0</v>
      </c>
      <c r="H300" s="108" t="n">
        <v>46112</v>
      </c>
      <c r="I300" s="92" t="n">
        <v>2026</v>
      </c>
      <c r="J300" s="92" t="inlineStr">
        <is>
          <t>G.900003.8.9090</t>
        </is>
      </c>
      <c r="K300" s="92" t="inlineStr">
        <is>
          <t>G.900003</t>
        </is>
      </c>
      <c r="L300" s="92" t="inlineStr">
        <is>
          <t>Veldendam, Stationshof</t>
        </is>
      </c>
      <c r="M300" s="92" t="inlineStr">
        <is>
          <t>Opstal</t>
        </is>
      </c>
      <c r="N300" s="92" t="inlineStr">
        <is>
          <t>J</t>
        </is>
      </c>
      <c r="O300" s="92" t="inlineStr">
        <is>
          <t>Woningverkopen Q1</t>
        </is>
      </c>
      <c r="P300" s="109" t="n">
        <v>4</v>
      </c>
      <c r="Q300" s="92" t="inlineStr">
        <is>
          <t>aantal</t>
        </is>
      </c>
      <c r="R300" s="92" t="inlineStr">
        <is>
          <t>Synthetische snapshot; kwartalen zijn FY-verdeling, geen actuals</t>
        </is>
      </c>
      <c r="S300" s="15" t="str">
        <f>IF(J300="","",J300&amp;"|"&amp;E300&amp;"|"&amp;F300&amp;"|"&amp;I300&amp;"|"&amp;O300)</f>
        <v>G.900003.8.9090|2026|Q1|2026|Woningverkopen Q1</v>
      </c>
      <c r="T300" s="15">
        <f>IF(OR(S300="",D300&lt;&gt;"Vastgesteld"),"",_xlfn.MAXIFS($G$6:$G$5005,$S$6:$S$5005,S300,$D$6:$D$5005,"Vastgesteld"))</f>
        <v>0</v>
      </c>
      <c r="U300" s="15">
        <f>IF(T300="",0,IF(AND(G300=T300,COUNTIFS($S$6:S300,S300,$G$6:G300,G300,$D$6:D300,"Vastgesteld")=1),1,0))</f>
        <v>1</v>
      </c>
      <c r="V300" s="15">
        <f>IF(T300="",0,IF(AND(G300=T300,COUNTIFS($S$6:S300,S300,$G$6:G300,G300,$D$6:D300,"Vastgesteld")&gt;1),1,0))</f>
        <v>0</v>
      </c>
    </row>
    <row r="301">
      <c r="A301" s="92" t="inlineStr">
        <is>
          <t>HIST-2026-Q1</t>
        </is>
      </c>
      <c r="B301" s="92" t="inlineStr">
        <is>
          <t>RDFO_FICTIEVE_historie_en_mapping.xlsx</t>
        </is>
      </c>
      <c r="C301" s="108" t="n">
        <v>46324</v>
      </c>
      <c r="D301" s="92" t="inlineStr">
        <is>
          <t>Vastgesteld</t>
        </is>
      </c>
      <c r="E301" s="92" t="n">
        <v>2026</v>
      </c>
      <c r="F301" s="92" t="inlineStr">
        <is>
          <t>Q1</t>
        </is>
      </c>
      <c r="G301" s="92" t="n">
        <v>0</v>
      </c>
      <c r="H301" s="108" t="n">
        <v>46112</v>
      </c>
      <c r="I301" s="92" t="n">
        <v>2026</v>
      </c>
      <c r="J301" s="92" t="inlineStr">
        <is>
          <t>G.900003.8.9090</t>
        </is>
      </c>
      <c r="K301" s="92" t="inlineStr">
        <is>
          <t>G.900003</t>
        </is>
      </c>
      <c r="L301" s="92" t="inlineStr">
        <is>
          <t>Veldendam, Stationshof</t>
        </is>
      </c>
      <c r="M301" s="92" t="inlineStr">
        <is>
          <t>Opstal</t>
        </is>
      </c>
      <c r="N301" s="92" t="inlineStr">
        <is>
          <t>J</t>
        </is>
      </c>
      <c r="O301" s="92" t="inlineStr">
        <is>
          <t>Woningverkopen Q2</t>
        </is>
      </c>
      <c r="P301" s="109" t="n">
        <v>5</v>
      </c>
      <c r="Q301" s="92" t="inlineStr">
        <is>
          <t>aantal</t>
        </is>
      </c>
      <c r="R301" s="92" t="inlineStr">
        <is>
          <t>Synthetische snapshot; kwartalen zijn FY-verdeling, geen actuals</t>
        </is>
      </c>
      <c r="S301" s="15" t="str">
        <f>IF(J301="","",J301&amp;"|"&amp;E301&amp;"|"&amp;F301&amp;"|"&amp;I301&amp;"|"&amp;O301)</f>
        <v>G.900003.8.9090|2026|Q1|2026|Woningverkopen Q2</v>
      </c>
      <c r="T301" s="15">
        <f>IF(OR(S301="",D301&lt;&gt;"Vastgesteld"),"",_xlfn.MAXIFS($G$6:$G$5005,$S$6:$S$5005,S301,$D$6:$D$5005,"Vastgesteld"))</f>
        <v>0</v>
      </c>
      <c r="U301" s="15">
        <f>IF(T301="",0,IF(AND(G301=T301,COUNTIFS($S$6:S301,S301,$G$6:G301,G301,$D$6:D301,"Vastgesteld")=1),1,0))</f>
        <v>1</v>
      </c>
      <c r="V301" s="15">
        <f>IF(T301="",0,IF(AND(G301=T301,COUNTIFS($S$6:S301,S301,$G$6:G301,G301,$D$6:D301,"Vastgesteld")&gt;1),1,0))</f>
        <v>0</v>
      </c>
    </row>
    <row r="302">
      <c r="A302" s="92" t="inlineStr">
        <is>
          <t>HIST-2026-Q1</t>
        </is>
      </c>
      <c r="B302" s="92" t="inlineStr">
        <is>
          <t>RDFO_FICTIEVE_historie_en_mapping.xlsx</t>
        </is>
      </c>
      <c r="C302" s="108" t="n">
        <v>46324</v>
      </c>
      <c r="D302" s="92" t="inlineStr">
        <is>
          <t>Vastgesteld</t>
        </is>
      </c>
      <c r="E302" s="92" t="n">
        <v>2026</v>
      </c>
      <c r="F302" s="92" t="inlineStr">
        <is>
          <t>Q1</t>
        </is>
      </c>
      <c r="G302" s="92" t="n">
        <v>0</v>
      </c>
      <c r="H302" s="108" t="n">
        <v>46112</v>
      </c>
      <c r="I302" s="92" t="n">
        <v>2026</v>
      </c>
      <c r="J302" s="92" t="inlineStr">
        <is>
          <t>G.900003.8.9090</t>
        </is>
      </c>
      <c r="K302" s="92" t="inlineStr">
        <is>
          <t>G.900003</t>
        </is>
      </c>
      <c r="L302" s="92" t="inlineStr">
        <is>
          <t>Veldendam, Stationshof</t>
        </is>
      </c>
      <c r="M302" s="92" t="inlineStr">
        <is>
          <t>Opstal</t>
        </is>
      </c>
      <c r="N302" s="92" t="inlineStr">
        <is>
          <t>J</t>
        </is>
      </c>
      <c r="O302" s="92" t="inlineStr">
        <is>
          <t>Woningverkopen Q3</t>
        </is>
      </c>
      <c r="P302" s="109" t="n">
        <v>5</v>
      </c>
      <c r="Q302" s="92" t="inlineStr">
        <is>
          <t>aantal</t>
        </is>
      </c>
      <c r="R302" s="92" t="inlineStr">
        <is>
          <t>Synthetische snapshot; kwartalen zijn FY-verdeling, geen actuals</t>
        </is>
      </c>
      <c r="S302" s="15" t="str">
        <f>IF(J302="","",J302&amp;"|"&amp;E302&amp;"|"&amp;F302&amp;"|"&amp;I302&amp;"|"&amp;O302)</f>
        <v>G.900003.8.9090|2026|Q1|2026|Woningverkopen Q3</v>
      </c>
      <c r="T302" s="15">
        <f>IF(OR(S302="",D302&lt;&gt;"Vastgesteld"),"",_xlfn.MAXIFS($G$6:$G$5005,$S$6:$S$5005,S302,$D$6:$D$5005,"Vastgesteld"))</f>
        <v>0</v>
      </c>
      <c r="U302" s="15">
        <f>IF(T302="",0,IF(AND(G302=T302,COUNTIFS($S$6:S302,S302,$G$6:G302,G302,$D$6:D302,"Vastgesteld")=1),1,0))</f>
        <v>1</v>
      </c>
      <c r="V302" s="15">
        <f>IF(T302="",0,IF(AND(G302=T302,COUNTIFS($S$6:S302,S302,$G$6:G302,G302,$D$6:D302,"Vastgesteld")&gt;1),1,0))</f>
        <v>0</v>
      </c>
    </row>
    <row r="303">
      <c r="A303" s="92" t="inlineStr">
        <is>
          <t>HIST-2026-Q1</t>
        </is>
      </c>
      <c r="B303" s="92" t="inlineStr">
        <is>
          <t>RDFO_FICTIEVE_historie_en_mapping.xlsx</t>
        </is>
      </c>
      <c r="C303" s="108" t="n">
        <v>46324</v>
      </c>
      <c r="D303" s="92" t="inlineStr">
        <is>
          <t>Vastgesteld</t>
        </is>
      </c>
      <c r="E303" s="92" t="n">
        <v>2026</v>
      </c>
      <c r="F303" s="92" t="inlineStr">
        <is>
          <t>Q1</t>
        </is>
      </c>
      <c r="G303" s="92" t="n">
        <v>0</v>
      </c>
      <c r="H303" s="108" t="n">
        <v>46112</v>
      </c>
      <c r="I303" s="92" t="n">
        <v>2026</v>
      </c>
      <c r="J303" s="92" t="inlineStr">
        <is>
          <t>G.900003.8.9090</t>
        </is>
      </c>
      <c r="K303" s="92" t="inlineStr">
        <is>
          <t>G.900003</t>
        </is>
      </c>
      <c r="L303" s="92" t="inlineStr">
        <is>
          <t>Veldendam, Stationshof</t>
        </is>
      </c>
      <c r="M303" s="92" t="inlineStr">
        <is>
          <t>Opstal</t>
        </is>
      </c>
      <c r="N303" s="92" t="inlineStr">
        <is>
          <t>J</t>
        </is>
      </c>
      <c r="O303" s="92" t="inlineStr">
        <is>
          <t>Woningverkopen Q4</t>
        </is>
      </c>
      <c r="P303" s="109" t="n">
        <v>7</v>
      </c>
      <c r="Q303" s="92" t="inlineStr">
        <is>
          <t>aantal</t>
        </is>
      </c>
      <c r="R303" s="92" t="inlineStr">
        <is>
          <t>Synthetische snapshot; kwartalen zijn FY-verdeling, geen actuals</t>
        </is>
      </c>
      <c r="S303" s="15" t="str">
        <f>IF(J303="","",J303&amp;"|"&amp;E303&amp;"|"&amp;F303&amp;"|"&amp;I303&amp;"|"&amp;O303)</f>
        <v>G.900003.8.9090|2026|Q1|2026|Woningverkopen Q4</v>
      </c>
      <c r="T303" s="15">
        <f>IF(OR(S303="",D303&lt;&gt;"Vastgesteld"),"",_xlfn.MAXIFS($G$6:$G$5005,$S$6:$S$5005,S303,$D$6:$D$5005,"Vastgesteld"))</f>
        <v>0</v>
      </c>
      <c r="U303" s="15">
        <f>IF(T303="",0,IF(AND(G303=T303,COUNTIFS($S$6:S303,S303,$G$6:G303,G303,$D$6:D303,"Vastgesteld")=1),1,0))</f>
        <v>1</v>
      </c>
      <c r="V303" s="15">
        <f>IF(T303="",0,IF(AND(G303=T303,COUNTIFS($S$6:S303,S303,$G$6:G303,G303,$D$6:D303,"Vastgesteld")&gt;1),1,0))</f>
        <v>0</v>
      </c>
    </row>
    <row r="304">
      <c r="A304" s="92" t="inlineStr">
        <is>
          <t>HIST-2026-Q1</t>
        </is>
      </c>
      <c r="B304" s="92" t="inlineStr">
        <is>
          <t>RDFO_FICTIEVE_historie_en_mapping.xlsx</t>
        </is>
      </c>
      <c r="C304" s="108" t="n">
        <v>46324</v>
      </c>
      <c r="D304" s="92" t="inlineStr">
        <is>
          <t>Vastgesteld</t>
        </is>
      </c>
      <c r="E304" s="92" t="n">
        <v>2026</v>
      </c>
      <c r="F304" s="92" t="inlineStr">
        <is>
          <t>Q1</t>
        </is>
      </c>
      <c r="G304" s="92" t="n">
        <v>0</v>
      </c>
      <c r="H304" s="108" t="n">
        <v>46112</v>
      </c>
      <c r="I304" s="92" t="n">
        <v>2026</v>
      </c>
      <c r="J304" s="92" t="inlineStr">
        <is>
          <t>G.900004.8.9090</t>
        </is>
      </c>
      <c r="K304" s="92" t="inlineStr">
        <is>
          <t>G.900004</t>
        </is>
      </c>
      <c r="L304" s="92" t="inlineStr">
        <is>
          <t>Meerhovenstad, Het Kompas</t>
        </is>
      </c>
      <c r="M304" s="92" t="inlineStr">
        <is>
          <t>Deelneming</t>
        </is>
      </c>
      <c r="N304" s="92" t="inlineStr">
        <is>
          <t>N</t>
        </is>
      </c>
      <c r="O304" s="92" t="inlineStr">
        <is>
          <t>Woningverkopen FY</t>
        </is>
      </c>
      <c r="P304" s="109" t="n">
        <v>6</v>
      </c>
      <c r="Q304" s="92" t="inlineStr">
        <is>
          <t>aantal</t>
        </is>
      </c>
      <c r="R304" s="92" t="inlineStr">
        <is>
          <t>Synthetische snapshot; kwartalen zijn FY-verdeling, geen actuals</t>
        </is>
      </c>
      <c r="S304" s="15" t="str">
        <f>IF(J304="","",J304&amp;"|"&amp;E304&amp;"|"&amp;F304&amp;"|"&amp;I304&amp;"|"&amp;O304)</f>
        <v>G.900004.8.9090|2026|Q1|2026|Woningverkopen FY</v>
      </c>
      <c r="T304" s="15">
        <f>IF(OR(S304="",D304&lt;&gt;"Vastgesteld"),"",_xlfn.MAXIFS($G$6:$G$5005,$S$6:$S$5005,S304,$D$6:$D$5005,"Vastgesteld"))</f>
        <v>0</v>
      </c>
      <c r="U304" s="15">
        <f>IF(T304="",0,IF(AND(G304=T304,COUNTIFS($S$6:S304,S304,$G$6:G304,G304,$D$6:D304,"Vastgesteld")=1),1,0))</f>
        <v>1</v>
      </c>
      <c r="V304" s="15">
        <f>IF(T304="",0,IF(AND(G304=T304,COUNTIFS($S$6:S304,S304,$G$6:G304,G304,$D$6:D304,"Vastgesteld")&gt;1),1,0))</f>
        <v>0</v>
      </c>
    </row>
    <row r="305">
      <c r="A305" s="92" t="inlineStr">
        <is>
          <t>HIST-2026-Q1</t>
        </is>
      </c>
      <c r="B305" s="92" t="inlineStr">
        <is>
          <t>RDFO_FICTIEVE_historie_en_mapping.xlsx</t>
        </is>
      </c>
      <c r="C305" s="108" t="n">
        <v>46324</v>
      </c>
      <c r="D305" s="92" t="inlineStr">
        <is>
          <t>Vastgesteld</t>
        </is>
      </c>
      <c r="E305" s="92" t="n">
        <v>2026</v>
      </c>
      <c r="F305" s="92" t="inlineStr">
        <is>
          <t>Q1</t>
        </is>
      </c>
      <c r="G305" s="92" t="n">
        <v>0</v>
      </c>
      <c r="H305" s="108" t="n">
        <v>46112</v>
      </c>
      <c r="I305" s="92" t="n">
        <v>2026</v>
      </c>
      <c r="J305" s="92" t="inlineStr">
        <is>
          <t>G.900004.8.9090</t>
        </is>
      </c>
      <c r="K305" s="92" t="inlineStr">
        <is>
          <t>G.900004</t>
        </is>
      </c>
      <c r="L305" s="92" t="inlineStr">
        <is>
          <t>Meerhovenstad, Het Kompas</t>
        </is>
      </c>
      <c r="M305" s="92" t="inlineStr">
        <is>
          <t>Deelneming</t>
        </is>
      </c>
      <c r="N305" s="92" t="inlineStr">
        <is>
          <t>N</t>
        </is>
      </c>
      <c r="O305" s="92" t="inlineStr">
        <is>
          <t>Woningen verkocht t/m vorig jaar</t>
        </is>
      </c>
      <c r="P305" s="109" t="n">
        <v>4</v>
      </c>
      <c r="Q305" s="92" t="inlineStr">
        <is>
          <t>aantal</t>
        </is>
      </c>
      <c r="R305" s="92" t="inlineStr">
        <is>
          <t>Synthetische snapshot; kwartalen zijn FY-verdeling, geen actuals</t>
        </is>
      </c>
      <c r="S305" s="15" t="str">
        <f>IF(J305="","",J305&amp;"|"&amp;E305&amp;"|"&amp;F305&amp;"|"&amp;I305&amp;"|"&amp;O305)</f>
        <v>G.900004.8.9090|2026|Q1|2026|Woningen verkocht t/m vorig jaar</v>
      </c>
      <c r="T305" s="15">
        <f>IF(OR(S305="",D305&lt;&gt;"Vastgesteld"),"",_xlfn.MAXIFS($G$6:$G$5005,$S$6:$S$5005,S305,$D$6:$D$5005,"Vastgesteld"))</f>
        <v>0</v>
      </c>
      <c r="U305" s="15">
        <f>IF(T305="",0,IF(AND(G305=T305,COUNTIFS($S$6:S305,S305,$G$6:G305,G305,$D$6:D305,"Vastgesteld")=1),1,0))</f>
        <v>1</v>
      </c>
      <c r="V305" s="15">
        <f>IF(T305="",0,IF(AND(G305=T305,COUNTIFS($S$6:S305,S305,$G$6:G305,G305,$D$6:D305,"Vastgesteld")&gt;1),1,0))</f>
        <v>0</v>
      </c>
    </row>
    <row r="306">
      <c r="A306" s="92" t="inlineStr">
        <is>
          <t>HIST-2026-Q1</t>
        </is>
      </c>
      <c r="B306" s="92" t="inlineStr">
        <is>
          <t>RDFO_FICTIEVE_historie_en_mapping.xlsx</t>
        </is>
      </c>
      <c r="C306" s="108" t="n">
        <v>46324</v>
      </c>
      <c r="D306" s="92" t="inlineStr">
        <is>
          <t>Vastgesteld</t>
        </is>
      </c>
      <c r="E306" s="92" t="n">
        <v>2026</v>
      </c>
      <c r="F306" s="92" t="inlineStr">
        <is>
          <t>Q1</t>
        </is>
      </c>
      <c r="G306" s="92" t="n">
        <v>0</v>
      </c>
      <c r="H306" s="108" t="n">
        <v>46112</v>
      </c>
      <c r="I306" s="92" t="n">
        <v>2026</v>
      </c>
      <c r="J306" s="92" t="inlineStr">
        <is>
          <t>G.900004.8.9090</t>
        </is>
      </c>
      <c r="K306" s="92" t="inlineStr">
        <is>
          <t>G.900004</t>
        </is>
      </c>
      <c r="L306" s="92" t="inlineStr">
        <is>
          <t>Meerhovenstad, Het Kompas</t>
        </is>
      </c>
      <c r="M306" s="92" t="inlineStr">
        <is>
          <t>Deelneming</t>
        </is>
      </c>
      <c r="N306" s="92" t="inlineStr">
        <is>
          <t>N</t>
        </is>
      </c>
      <c r="O306" s="92" t="inlineStr">
        <is>
          <t>Woningverkopen Q1</t>
        </is>
      </c>
      <c r="P306" s="109" t="n">
        <v>1</v>
      </c>
      <c r="Q306" s="92" t="inlineStr">
        <is>
          <t>aantal</t>
        </is>
      </c>
      <c r="R306" s="92" t="inlineStr">
        <is>
          <t>Synthetische snapshot; kwartalen zijn FY-verdeling, geen actuals</t>
        </is>
      </c>
      <c r="S306" s="15" t="str">
        <f>IF(J306="","",J306&amp;"|"&amp;E306&amp;"|"&amp;F306&amp;"|"&amp;I306&amp;"|"&amp;O306)</f>
        <v>G.900004.8.9090|2026|Q1|2026|Woningverkopen Q1</v>
      </c>
      <c r="T306" s="15">
        <f>IF(OR(S306="",D306&lt;&gt;"Vastgesteld"),"",_xlfn.MAXIFS($G$6:$G$5005,$S$6:$S$5005,S306,$D$6:$D$5005,"Vastgesteld"))</f>
        <v>0</v>
      </c>
      <c r="U306" s="15">
        <f>IF(T306="",0,IF(AND(G306=T306,COUNTIFS($S$6:S306,S306,$G$6:G306,G306,$D$6:D306,"Vastgesteld")=1),1,0))</f>
        <v>1</v>
      </c>
      <c r="V306" s="15">
        <f>IF(T306="",0,IF(AND(G306=T306,COUNTIFS($S$6:S306,S306,$G$6:G306,G306,$D$6:D306,"Vastgesteld")&gt;1),1,0))</f>
        <v>0</v>
      </c>
    </row>
    <row r="307">
      <c r="A307" s="92" t="inlineStr">
        <is>
          <t>HIST-2026-Q1</t>
        </is>
      </c>
      <c r="B307" s="92" t="inlineStr">
        <is>
          <t>RDFO_FICTIEVE_historie_en_mapping.xlsx</t>
        </is>
      </c>
      <c r="C307" s="108" t="n">
        <v>46324</v>
      </c>
      <c r="D307" s="92" t="inlineStr">
        <is>
          <t>Vastgesteld</t>
        </is>
      </c>
      <c r="E307" s="92" t="n">
        <v>2026</v>
      </c>
      <c r="F307" s="92" t="inlineStr">
        <is>
          <t>Q1</t>
        </is>
      </c>
      <c r="G307" s="92" t="n">
        <v>0</v>
      </c>
      <c r="H307" s="108" t="n">
        <v>46112</v>
      </c>
      <c r="I307" s="92" t="n">
        <v>2026</v>
      </c>
      <c r="J307" s="92" t="inlineStr">
        <is>
          <t>G.900004.8.9090</t>
        </is>
      </c>
      <c r="K307" s="92" t="inlineStr">
        <is>
          <t>G.900004</t>
        </is>
      </c>
      <c r="L307" s="92" t="inlineStr">
        <is>
          <t>Meerhovenstad, Het Kompas</t>
        </is>
      </c>
      <c r="M307" s="92" t="inlineStr">
        <is>
          <t>Deelneming</t>
        </is>
      </c>
      <c r="N307" s="92" t="inlineStr">
        <is>
          <t>N</t>
        </is>
      </c>
      <c r="O307" s="92" t="inlineStr">
        <is>
          <t>Woningverkopen Q2</t>
        </is>
      </c>
      <c r="P307" s="109" t="n">
        <v>1</v>
      </c>
      <c r="Q307" s="92" t="inlineStr">
        <is>
          <t>aantal</t>
        </is>
      </c>
      <c r="R307" s="92" t="inlineStr">
        <is>
          <t>Synthetische snapshot; kwartalen zijn FY-verdeling, geen actuals</t>
        </is>
      </c>
      <c r="S307" s="15" t="str">
        <f>IF(J307="","",J307&amp;"|"&amp;E307&amp;"|"&amp;F307&amp;"|"&amp;I307&amp;"|"&amp;O307)</f>
        <v>G.900004.8.9090|2026|Q1|2026|Woningverkopen Q2</v>
      </c>
      <c r="T307" s="15">
        <f>IF(OR(S307="",D307&lt;&gt;"Vastgesteld"),"",_xlfn.MAXIFS($G$6:$G$5005,$S$6:$S$5005,S307,$D$6:$D$5005,"Vastgesteld"))</f>
        <v>0</v>
      </c>
      <c r="U307" s="15">
        <f>IF(T307="",0,IF(AND(G307=T307,COUNTIFS($S$6:S307,S307,$G$6:G307,G307,$D$6:D307,"Vastgesteld")=1),1,0))</f>
        <v>1</v>
      </c>
      <c r="V307" s="15">
        <f>IF(T307="",0,IF(AND(G307=T307,COUNTIFS($S$6:S307,S307,$G$6:G307,G307,$D$6:D307,"Vastgesteld")&gt;1),1,0))</f>
        <v>0</v>
      </c>
    </row>
    <row r="308">
      <c r="A308" s="92" t="inlineStr">
        <is>
          <t>HIST-2026-Q1</t>
        </is>
      </c>
      <c r="B308" s="92" t="inlineStr">
        <is>
          <t>RDFO_FICTIEVE_historie_en_mapping.xlsx</t>
        </is>
      </c>
      <c r="C308" s="108" t="n">
        <v>46324</v>
      </c>
      <c r="D308" s="92" t="inlineStr">
        <is>
          <t>Vastgesteld</t>
        </is>
      </c>
      <c r="E308" s="92" t="n">
        <v>2026</v>
      </c>
      <c r="F308" s="92" t="inlineStr">
        <is>
          <t>Q1</t>
        </is>
      </c>
      <c r="G308" s="92" t="n">
        <v>0</v>
      </c>
      <c r="H308" s="108" t="n">
        <v>46112</v>
      </c>
      <c r="I308" s="92" t="n">
        <v>2026</v>
      </c>
      <c r="J308" s="92" t="inlineStr">
        <is>
          <t>G.900004.8.9090</t>
        </is>
      </c>
      <c r="K308" s="92" t="inlineStr">
        <is>
          <t>G.900004</t>
        </is>
      </c>
      <c r="L308" s="92" t="inlineStr">
        <is>
          <t>Meerhovenstad, Het Kompas</t>
        </is>
      </c>
      <c r="M308" s="92" t="inlineStr">
        <is>
          <t>Deelneming</t>
        </is>
      </c>
      <c r="N308" s="92" t="inlineStr">
        <is>
          <t>N</t>
        </is>
      </c>
      <c r="O308" s="92" t="inlineStr">
        <is>
          <t>Woningverkopen Q3</t>
        </is>
      </c>
      <c r="P308" s="109" t="n">
        <v>1</v>
      </c>
      <c r="Q308" s="92" t="inlineStr">
        <is>
          <t>aantal</t>
        </is>
      </c>
      <c r="R308" s="92" t="inlineStr">
        <is>
          <t>Synthetische snapshot; kwartalen zijn FY-verdeling, geen actuals</t>
        </is>
      </c>
      <c r="S308" s="15" t="str">
        <f>IF(J308="","",J308&amp;"|"&amp;E308&amp;"|"&amp;F308&amp;"|"&amp;I308&amp;"|"&amp;O308)</f>
        <v>G.900004.8.9090|2026|Q1|2026|Woningverkopen Q3</v>
      </c>
      <c r="T308" s="15">
        <f>IF(OR(S308="",D308&lt;&gt;"Vastgesteld"),"",_xlfn.MAXIFS($G$6:$G$5005,$S$6:$S$5005,S308,$D$6:$D$5005,"Vastgesteld"))</f>
        <v>0</v>
      </c>
      <c r="U308" s="15">
        <f>IF(T308="",0,IF(AND(G308=T308,COUNTIFS($S$6:S308,S308,$G$6:G308,G308,$D$6:D308,"Vastgesteld")=1),1,0))</f>
        <v>1</v>
      </c>
      <c r="V308" s="15">
        <f>IF(T308="",0,IF(AND(G308=T308,COUNTIFS($S$6:S308,S308,$G$6:G308,G308,$D$6:D308,"Vastgesteld")&gt;1),1,0))</f>
        <v>0</v>
      </c>
    </row>
    <row r="309">
      <c r="A309" s="92" t="inlineStr">
        <is>
          <t>HIST-2026-Q1</t>
        </is>
      </c>
      <c r="B309" s="92" t="inlineStr">
        <is>
          <t>RDFO_FICTIEVE_historie_en_mapping.xlsx</t>
        </is>
      </c>
      <c r="C309" s="108" t="n">
        <v>46324</v>
      </c>
      <c r="D309" s="92" t="inlineStr">
        <is>
          <t>Vastgesteld</t>
        </is>
      </c>
      <c r="E309" s="92" t="n">
        <v>2026</v>
      </c>
      <c r="F309" s="92" t="inlineStr">
        <is>
          <t>Q1</t>
        </is>
      </c>
      <c r="G309" s="92" t="n">
        <v>0</v>
      </c>
      <c r="H309" s="108" t="n">
        <v>46112</v>
      </c>
      <c r="I309" s="92" t="n">
        <v>2026</v>
      </c>
      <c r="J309" s="92" t="inlineStr">
        <is>
          <t>G.900004.8.9090</t>
        </is>
      </c>
      <c r="K309" s="92" t="inlineStr">
        <is>
          <t>G.900004</t>
        </is>
      </c>
      <c r="L309" s="92" t="inlineStr">
        <is>
          <t>Meerhovenstad, Het Kompas</t>
        </is>
      </c>
      <c r="M309" s="92" t="inlineStr">
        <is>
          <t>Deelneming</t>
        </is>
      </c>
      <c r="N309" s="92" t="inlineStr">
        <is>
          <t>N</t>
        </is>
      </c>
      <c r="O309" s="92" t="inlineStr">
        <is>
          <t>Woningverkopen Q4</t>
        </is>
      </c>
      <c r="P309" s="109" t="n">
        <v>3</v>
      </c>
      <c r="Q309" s="92" t="inlineStr">
        <is>
          <t>aantal</t>
        </is>
      </c>
      <c r="R309" s="92" t="inlineStr">
        <is>
          <t>Synthetische snapshot; kwartalen zijn FY-verdeling, geen actuals</t>
        </is>
      </c>
      <c r="S309" s="15" t="str">
        <f>IF(J309="","",J309&amp;"|"&amp;E309&amp;"|"&amp;F309&amp;"|"&amp;I309&amp;"|"&amp;O309)</f>
        <v>G.900004.8.9090|2026|Q1|2026|Woningverkopen Q4</v>
      </c>
      <c r="T309" s="15">
        <f>IF(OR(S309="",D309&lt;&gt;"Vastgesteld"),"",_xlfn.MAXIFS($G$6:$G$5005,$S$6:$S$5005,S309,$D$6:$D$5005,"Vastgesteld"))</f>
        <v>0</v>
      </c>
      <c r="U309" s="15">
        <f>IF(T309="",0,IF(AND(G309=T309,COUNTIFS($S$6:S309,S309,$G$6:G309,G309,$D$6:D309,"Vastgesteld")=1),1,0))</f>
        <v>1</v>
      </c>
      <c r="V309" s="15">
        <f>IF(T309="",0,IF(AND(G309=T309,COUNTIFS($S$6:S309,S309,$G$6:G309,G309,$D$6:D309,"Vastgesteld")&gt;1),1,0))</f>
        <v>0</v>
      </c>
    </row>
    <row r="310">
      <c r="A310" s="92" t="inlineStr">
        <is>
          <t>HIST-2026-Q1</t>
        </is>
      </c>
      <c r="B310" s="92" t="inlineStr">
        <is>
          <t>RDFO_FICTIEVE_historie_en_mapping.xlsx</t>
        </is>
      </c>
      <c r="C310" s="108" t="n">
        <v>46324</v>
      </c>
      <c r="D310" s="92" t="inlineStr">
        <is>
          <t>Vastgesteld</t>
        </is>
      </c>
      <c r="E310" s="92" t="n">
        <v>2026</v>
      </c>
      <c r="F310" s="92" t="inlineStr">
        <is>
          <t>Q1</t>
        </is>
      </c>
      <c r="G310" s="92" t="n">
        <v>0</v>
      </c>
      <c r="H310" s="108" t="n">
        <v>46112</v>
      </c>
      <c r="I310" s="92" t="n">
        <v>2026</v>
      </c>
      <c r="J310" s="92" t="inlineStr">
        <is>
          <t>G.900005.8.9090</t>
        </is>
      </c>
      <c r="K310" s="92" t="inlineStr">
        <is>
          <t>G.900005</t>
        </is>
      </c>
      <c r="L310" s="92" t="inlineStr">
        <is>
          <t>Zilverdam, Kadezicht</t>
        </is>
      </c>
      <c r="M310" s="92" t="inlineStr">
        <is>
          <t>Opstal</t>
        </is>
      </c>
      <c r="N310" s="92" t="inlineStr">
        <is>
          <t>J</t>
        </is>
      </c>
      <c r="O310" s="92" t="inlineStr">
        <is>
          <t>Woningverkopen FY</t>
        </is>
      </c>
      <c r="P310" s="109" t="n">
        <v>34</v>
      </c>
      <c r="Q310" s="92" t="inlineStr">
        <is>
          <t>aantal</t>
        </is>
      </c>
      <c r="R310" s="92" t="inlineStr">
        <is>
          <t>Synthetische snapshot; kwartalen zijn FY-verdeling, geen actuals</t>
        </is>
      </c>
      <c r="S310" s="15" t="str">
        <f>IF(J310="","",J310&amp;"|"&amp;E310&amp;"|"&amp;F310&amp;"|"&amp;I310&amp;"|"&amp;O310)</f>
        <v>G.900005.8.9090|2026|Q1|2026|Woningverkopen FY</v>
      </c>
      <c r="T310" s="15">
        <f>IF(OR(S310="",D310&lt;&gt;"Vastgesteld"),"",_xlfn.MAXIFS($G$6:$G$5005,$S$6:$S$5005,S310,$D$6:$D$5005,"Vastgesteld"))</f>
        <v>0</v>
      </c>
      <c r="U310" s="15">
        <f>IF(T310="",0,IF(AND(G310=T310,COUNTIFS($S$6:S310,S310,$G$6:G310,G310,$D$6:D310,"Vastgesteld")=1),1,0))</f>
        <v>1</v>
      </c>
      <c r="V310" s="15">
        <f>IF(T310="",0,IF(AND(G310=T310,COUNTIFS($S$6:S310,S310,$G$6:G310,G310,$D$6:D310,"Vastgesteld")&gt;1),1,0))</f>
        <v>0</v>
      </c>
    </row>
    <row r="311">
      <c r="A311" s="92" t="inlineStr">
        <is>
          <t>HIST-2026-Q1</t>
        </is>
      </c>
      <c r="B311" s="92" t="inlineStr">
        <is>
          <t>RDFO_FICTIEVE_historie_en_mapping.xlsx</t>
        </is>
      </c>
      <c r="C311" s="108" t="n">
        <v>46324</v>
      </c>
      <c r="D311" s="92" t="inlineStr">
        <is>
          <t>Vastgesteld</t>
        </is>
      </c>
      <c r="E311" s="92" t="n">
        <v>2026</v>
      </c>
      <c r="F311" s="92" t="inlineStr">
        <is>
          <t>Q1</t>
        </is>
      </c>
      <c r="G311" s="92" t="n">
        <v>0</v>
      </c>
      <c r="H311" s="108" t="n">
        <v>46112</v>
      </c>
      <c r="I311" s="92" t="n">
        <v>2026</v>
      </c>
      <c r="J311" s="92" t="inlineStr">
        <is>
          <t>G.900005.8.9090</t>
        </is>
      </c>
      <c r="K311" s="92" t="inlineStr">
        <is>
          <t>G.900005</t>
        </is>
      </c>
      <c r="L311" s="92" t="inlineStr">
        <is>
          <t>Zilverdam, Kadezicht</t>
        </is>
      </c>
      <c r="M311" s="92" t="inlineStr">
        <is>
          <t>Opstal</t>
        </is>
      </c>
      <c r="N311" s="92" t="inlineStr">
        <is>
          <t>J</t>
        </is>
      </c>
      <c r="O311" s="92" t="inlineStr">
        <is>
          <t>Woningen verkocht t/m vorig jaar</t>
        </is>
      </c>
      <c r="P311" s="109" t="n">
        <v>24</v>
      </c>
      <c r="Q311" s="92" t="inlineStr">
        <is>
          <t>aantal</t>
        </is>
      </c>
      <c r="R311" s="92" t="inlineStr">
        <is>
          <t>Synthetische snapshot; kwartalen zijn FY-verdeling, geen actuals</t>
        </is>
      </c>
      <c r="S311" s="15" t="str">
        <f>IF(J311="","",J311&amp;"|"&amp;E311&amp;"|"&amp;F311&amp;"|"&amp;I311&amp;"|"&amp;O311)</f>
        <v>G.900005.8.9090|2026|Q1|2026|Woningen verkocht t/m vorig jaar</v>
      </c>
      <c r="T311" s="15">
        <f>IF(OR(S311="",D311&lt;&gt;"Vastgesteld"),"",_xlfn.MAXIFS($G$6:$G$5005,$S$6:$S$5005,S311,$D$6:$D$5005,"Vastgesteld"))</f>
        <v>0</v>
      </c>
      <c r="U311" s="15">
        <f>IF(T311="",0,IF(AND(G311=T311,COUNTIFS($S$6:S311,S311,$G$6:G311,G311,$D$6:D311,"Vastgesteld")=1),1,0))</f>
        <v>1</v>
      </c>
      <c r="V311" s="15">
        <f>IF(T311="",0,IF(AND(G311=T311,COUNTIFS($S$6:S311,S311,$G$6:G311,G311,$D$6:D311,"Vastgesteld")&gt;1),1,0))</f>
        <v>0</v>
      </c>
    </row>
    <row r="312">
      <c r="A312" s="92" t="inlineStr">
        <is>
          <t>HIST-2026-Q1</t>
        </is>
      </c>
      <c r="B312" s="92" t="inlineStr">
        <is>
          <t>RDFO_FICTIEVE_historie_en_mapping.xlsx</t>
        </is>
      </c>
      <c r="C312" s="108" t="n">
        <v>46324</v>
      </c>
      <c r="D312" s="92" t="inlineStr">
        <is>
          <t>Vastgesteld</t>
        </is>
      </c>
      <c r="E312" s="92" t="n">
        <v>2026</v>
      </c>
      <c r="F312" s="92" t="inlineStr">
        <is>
          <t>Q1</t>
        </is>
      </c>
      <c r="G312" s="92" t="n">
        <v>0</v>
      </c>
      <c r="H312" s="108" t="n">
        <v>46112</v>
      </c>
      <c r="I312" s="92" t="n">
        <v>2026</v>
      </c>
      <c r="J312" s="92" t="inlineStr">
        <is>
          <t>G.900005.8.9090</t>
        </is>
      </c>
      <c r="K312" s="92" t="inlineStr">
        <is>
          <t>G.900005</t>
        </is>
      </c>
      <c r="L312" s="92" t="inlineStr">
        <is>
          <t>Zilverdam, Kadezicht</t>
        </is>
      </c>
      <c r="M312" s="92" t="inlineStr">
        <is>
          <t>Opstal</t>
        </is>
      </c>
      <c r="N312" s="92" t="inlineStr">
        <is>
          <t>J</t>
        </is>
      </c>
      <c r="O312" s="92" t="inlineStr">
        <is>
          <t>Woningverkopen Q1</t>
        </is>
      </c>
      <c r="P312" s="109" t="n">
        <v>6</v>
      </c>
      <c r="Q312" s="92" t="inlineStr">
        <is>
          <t>aantal</t>
        </is>
      </c>
      <c r="R312" s="92" t="inlineStr">
        <is>
          <t>Synthetische snapshot; kwartalen zijn FY-verdeling, geen actuals</t>
        </is>
      </c>
      <c r="S312" s="15" t="str">
        <f>IF(J312="","",J312&amp;"|"&amp;E312&amp;"|"&amp;F312&amp;"|"&amp;I312&amp;"|"&amp;O312)</f>
        <v>G.900005.8.9090|2026|Q1|2026|Woningverkopen Q1</v>
      </c>
      <c r="T312" s="15">
        <f>IF(OR(S312="",D312&lt;&gt;"Vastgesteld"),"",_xlfn.MAXIFS($G$6:$G$5005,$S$6:$S$5005,S312,$D$6:$D$5005,"Vastgesteld"))</f>
        <v>0</v>
      </c>
      <c r="U312" s="15">
        <f>IF(T312="",0,IF(AND(G312=T312,COUNTIFS($S$6:S312,S312,$G$6:G312,G312,$D$6:D312,"Vastgesteld")=1),1,0))</f>
        <v>1</v>
      </c>
      <c r="V312" s="15">
        <f>IF(T312="",0,IF(AND(G312=T312,COUNTIFS($S$6:S312,S312,$G$6:G312,G312,$D$6:D312,"Vastgesteld")&gt;1),1,0))</f>
        <v>0</v>
      </c>
    </row>
    <row r="313">
      <c r="A313" s="92" t="inlineStr">
        <is>
          <t>HIST-2026-Q1</t>
        </is>
      </c>
      <c r="B313" s="92" t="inlineStr">
        <is>
          <t>RDFO_FICTIEVE_historie_en_mapping.xlsx</t>
        </is>
      </c>
      <c r="C313" s="108" t="n">
        <v>46324</v>
      </c>
      <c r="D313" s="92" t="inlineStr">
        <is>
          <t>Vastgesteld</t>
        </is>
      </c>
      <c r="E313" s="92" t="n">
        <v>2026</v>
      </c>
      <c r="F313" s="92" t="inlineStr">
        <is>
          <t>Q1</t>
        </is>
      </c>
      <c r="G313" s="92" t="n">
        <v>0</v>
      </c>
      <c r="H313" s="108" t="n">
        <v>46112</v>
      </c>
      <c r="I313" s="92" t="n">
        <v>2026</v>
      </c>
      <c r="J313" s="92" t="inlineStr">
        <is>
          <t>G.900005.8.9090</t>
        </is>
      </c>
      <c r="K313" s="92" t="inlineStr">
        <is>
          <t>G.900005</t>
        </is>
      </c>
      <c r="L313" s="92" t="inlineStr">
        <is>
          <t>Zilverdam, Kadezicht</t>
        </is>
      </c>
      <c r="M313" s="92" t="inlineStr">
        <is>
          <t>Opstal</t>
        </is>
      </c>
      <c r="N313" s="92" t="inlineStr">
        <is>
          <t>J</t>
        </is>
      </c>
      <c r="O313" s="92" t="inlineStr">
        <is>
          <t>Woningverkopen Q2</t>
        </is>
      </c>
      <c r="P313" s="109" t="n">
        <v>8</v>
      </c>
      <c r="Q313" s="92" t="inlineStr">
        <is>
          <t>aantal</t>
        </is>
      </c>
      <c r="R313" s="92" t="inlineStr">
        <is>
          <t>Synthetische snapshot; kwartalen zijn FY-verdeling, geen actuals</t>
        </is>
      </c>
      <c r="S313" s="15" t="str">
        <f>IF(J313="","",J313&amp;"|"&amp;E313&amp;"|"&amp;F313&amp;"|"&amp;I313&amp;"|"&amp;O313)</f>
        <v>G.900005.8.9090|2026|Q1|2026|Woningverkopen Q2</v>
      </c>
      <c r="T313" s="15">
        <f>IF(OR(S313="",D313&lt;&gt;"Vastgesteld"),"",_xlfn.MAXIFS($G$6:$G$5005,$S$6:$S$5005,S313,$D$6:$D$5005,"Vastgesteld"))</f>
        <v>0</v>
      </c>
      <c r="U313" s="15">
        <f>IF(T313="",0,IF(AND(G313=T313,COUNTIFS($S$6:S313,S313,$G$6:G313,G313,$D$6:D313,"Vastgesteld")=1),1,0))</f>
        <v>1</v>
      </c>
      <c r="V313" s="15">
        <f>IF(T313="",0,IF(AND(G313=T313,COUNTIFS($S$6:S313,S313,$G$6:G313,G313,$D$6:D313,"Vastgesteld")&gt;1),1,0))</f>
        <v>0</v>
      </c>
    </row>
    <row r="314">
      <c r="A314" s="92" t="inlineStr">
        <is>
          <t>HIST-2026-Q1</t>
        </is>
      </c>
      <c r="B314" s="92" t="inlineStr">
        <is>
          <t>RDFO_FICTIEVE_historie_en_mapping.xlsx</t>
        </is>
      </c>
      <c r="C314" s="108" t="n">
        <v>46324</v>
      </c>
      <c r="D314" s="92" t="inlineStr">
        <is>
          <t>Vastgesteld</t>
        </is>
      </c>
      <c r="E314" s="92" t="n">
        <v>2026</v>
      </c>
      <c r="F314" s="92" t="inlineStr">
        <is>
          <t>Q1</t>
        </is>
      </c>
      <c r="G314" s="92" t="n">
        <v>0</v>
      </c>
      <c r="H314" s="108" t="n">
        <v>46112</v>
      </c>
      <c r="I314" s="92" t="n">
        <v>2026</v>
      </c>
      <c r="J314" s="92" t="inlineStr">
        <is>
          <t>G.900005.8.9090</t>
        </is>
      </c>
      <c r="K314" s="92" t="inlineStr">
        <is>
          <t>G.900005</t>
        </is>
      </c>
      <c r="L314" s="92" t="inlineStr">
        <is>
          <t>Zilverdam, Kadezicht</t>
        </is>
      </c>
      <c r="M314" s="92" t="inlineStr">
        <is>
          <t>Opstal</t>
        </is>
      </c>
      <c r="N314" s="92" t="inlineStr">
        <is>
          <t>J</t>
        </is>
      </c>
      <c r="O314" s="92" t="inlineStr">
        <is>
          <t>Woningverkopen Q3</t>
        </is>
      </c>
      <c r="P314" s="109" t="n">
        <v>8</v>
      </c>
      <c r="Q314" s="92" t="inlineStr">
        <is>
          <t>aantal</t>
        </is>
      </c>
      <c r="R314" s="92" t="inlineStr">
        <is>
          <t>Synthetische snapshot; kwartalen zijn FY-verdeling, geen actuals</t>
        </is>
      </c>
      <c r="S314" s="15" t="str">
        <f>IF(J314="","",J314&amp;"|"&amp;E314&amp;"|"&amp;F314&amp;"|"&amp;I314&amp;"|"&amp;O314)</f>
        <v>G.900005.8.9090|2026|Q1|2026|Woningverkopen Q3</v>
      </c>
      <c r="T314" s="15">
        <f>IF(OR(S314="",D314&lt;&gt;"Vastgesteld"),"",_xlfn.MAXIFS($G$6:$G$5005,$S$6:$S$5005,S314,$D$6:$D$5005,"Vastgesteld"))</f>
        <v>0</v>
      </c>
      <c r="U314" s="15">
        <f>IF(T314="",0,IF(AND(G314=T314,COUNTIFS($S$6:S314,S314,$G$6:G314,G314,$D$6:D314,"Vastgesteld")=1),1,0))</f>
        <v>1</v>
      </c>
      <c r="V314" s="15">
        <f>IF(T314="",0,IF(AND(G314=T314,COUNTIFS($S$6:S314,S314,$G$6:G314,G314,$D$6:D314,"Vastgesteld")&gt;1),1,0))</f>
        <v>0</v>
      </c>
    </row>
    <row r="315">
      <c r="A315" s="92" t="inlineStr">
        <is>
          <t>HIST-2026-Q1</t>
        </is>
      </c>
      <c r="B315" s="92" t="inlineStr">
        <is>
          <t>RDFO_FICTIEVE_historie_en_mapping.xlsx</t>
        </is>
      </c>
      <c r="C315" s="108" t="n">
        <v>46324</v>
      </c>
      <c r="D315" s="92" t="inlineStr">
        <is>
          <t>Vastgesteld</t>
        </is>
      </c>
      <c r="E315" s="92" t="n">
        <v>2026</v>
      </c>
      <c r="F315" s="92" t="inlineStr">
        <is>
          <t>Q1</t>
        </is>
      </c>
      <c r="G315" s="92" t="n">
        <v>0</v>
      </c>
      <c r="H315" s="108" t="n">
        <v>46112</v>
      </c>
      <c r="I315" s="92" t="n">
        <v>2026</v>
      </c>
      <c r="J315" s="92" t="inlineStr">
        <is>
          <t>G.900005.8.9090</t>
        </is>
      </c>
      <c r="K315" s="92" t="inlineStr">
        <is>
          <t>G.900005</t>
        </is>
      </c>
      <c r="L315" s="92" t="inlineStr">
        <is>
          <t>Zilverdam, Kadezicht</t>
        </is>
      </c>
      <c r="M315" s="92" t="inlineStr">
        <is>
          <t>Opstal</t>
        </is>
      </c>
      <c r="N315" s="92" t="inlineStr">
        <is>
          <t>J</t>
        </is>
      </c>
      <c r="O315" s="92" t="inlineStr">
        <is>
          <t>Woningverkopen Q4</t>
        </is>
      </c>
      <c r="P315" s="109" t="n">
        <v>12</v>
      </c>
      <c r="Q315" s="92" t="inlineStr">
        <is>
          <t>aantal</t>
        </is>
      </c>
      <c r="R315" s="92" t="inlineStr">
        <is>
          <t>Synthetische snapshot; kwartalen zijn FY-verdeling, geen actuals</t>
        </is>
      </c>
      <c r="S315" s="15" t="str">
        <f>IF(J315="","",J315&amp;"|"&amp;E315&amp;"|"&amp;F315&amp;"|"&amp;I315&amp;"|"&amp;O315)</f>
        <v>G.900005.8.9090|2026|Q1|2026|Woningverkopen Q4</v>
      </c>
      <c r="T315" s="15">
        <f>IF(OR(S315="",D315&lt;&gt;"Vastgesteld"),"",_xlfn.MAXIFS($G$6:$G$5005,$S$6:$S$5005,S315,$D$6:$D$5005,"Vastgesteld"))</f>
        <v>0</v>
      </c>
      <c r="U315" s="15">
        <f>IF(T315="",0,IF(AND(G315=T315,COUNTIFS($S$6:S315,S315,$G$6:G315,G315,$D$6:D315,"Vastgesteld")=1),1,0))</f>
        <v>1</v>
      </c>
      <c r="V315" s="15">
        <f>IF(T315="",0,IF(AND(G315=T315,COUNTIFS($S$6:S315,S315,$G$6:G315,G315,$D$6:D315,"Vastgesteld")&gt;1),1,0))</f>
        <v>0</v>
      </c>
    </row>
    <row r="316">
      <c r="A316" s="92" t="inlineStr">
        <is>
          <t>HIST-2026-Q1</t>
        </is>
      </c>
      <c r="B316" s="92" t="inlineStr">
        <is>
          <t>RDFO_FICTIEVE_historie_en_mapping.xlsx</t>
        </is>
      </c>
      <c r="C316" s="108" t="n">
        <v>46324</v>
      </c>
      <c r="D316" s="92" t="inlineStr">
        <is>
          <t>Vastgesteld</t>
        </is>
      </c>
      <c r="E316" s="92" t="n">
        <v>2026</v>
      </c>
      <c r="F316" s="92" t="inlineStr">
        <is>
          <t>Q1</t>
        </is>
      </c>
      <c r="G316" s="92" t="n">
        <v>0</v>
      </c>
      <c r="H316" s="108" t="n">
        <v>46112</v>
      </c>
      <c r="I316" s="92" t="n">
        <v>2026</v>
      </c>
      <c r="J316" s="92" t="inlineStr">
        <is>
          <t>G.900006.8.9090</t>
        </is>
      </c>
      <c r="K316" s="92" t="inlineStr">
        <is>
          <t>G.900006</t>
        </is>
      </c>
      <c r="L316" s="92" t="inlineStr">
        <is>
          <t>Boswaard, De Eiken</t>
        </is>
      </c>
      <c r="M316" s="92" t="inlineStr">
        <is>
          <t>Opstal</t>
        </is>
      </c>
      <c r="N316" s="92" t="inlineStr">
        <is>
          <t>J</t>
        </is>
      </c>
      <c r="O316" s="92" t="inlineStr">
        <is>
          <t>Woningverkopen FY</t>
        </is>
      </c>
      <c r="P316" s="109" t="n">
        <v>8</v>
      </c>
      <c r="Q316" s="92" t="inlineStr">
        <is>
          <t>aantal</t>
        </is>
      </c>
      <c r="R316" s="92" t="inlineStr">
        <is>
          <t>Synthetische snapshot; kwartalen zijn FY-verdeling, geen actuals</t>
        </is>
      </c>
      <c r="S316" s="15" t="str">
        <f>IF(J316="","",J316&amp;"|"&amp;E316&amp;"|"&amp;F316&amp;"|"&amp;I316&amp;"|"&amp;O316)</f>
        <v>G.900006.8.9090|2026|Q1|2026|Woningverkopen FY</v>
      </c>
      <c r="T316" s="15">
        <f>IF(OR(S316="",D316&lt;&gt;"Vastgesteld"),"",_xlfn.MAXIFS($G$6:$G$5005,$S$6:$S$5005,S316,$D$6:$D$5005,"Vastgesteld"))</f>
        <v>0</v>
      </c>
      <c r="U316" s="15">
        <f>IF(T316="",0,IF(AND(G316=T316,COUNTIFS($S$6:S316,S316,$G$6:G316,G316,$D$6:D316,"Vastgesteld")=1),1,0))</f>
        <v>1</v>
      </c>
      <c r="V316" s="15">
        <f>IF(T316="",0,IF(AND(G316=T316,COUNTIFS($S$6:S316,S316,$G$6:G316,G316,$D$6:D316,"Vastgesteld")&gt;1),1,0))</f>
        <v>0</v>
      </c>
    </row>
    <row r="317">
      <c r="A317" s="92" t="inlineStr">
        <is>
          <t>HIST-2026-Q1</t>
        </is>
      </c>
      <c r="B317" s="92" t="inlineStr">
        <is>
          <t>RDFO_FICTIEVE_historie_en_mapping.xlsx</t>
        </is>
      </c>
      <c r="C317" s="108" t="n">
        <v>46324</v>
      </c>
      <c r="D317" s="92" t="inlineStr">
        <is>
          <t>Vastgesteld</t>
        </is>
      </c>
      <c r="E317" s="92" t="n">
        <v>2026</v>
      </c>
      <c r="F317" s="92" t="inlineStr">
        <is>
          <t>Q1</t>
        </is>
      </c>
      <c r="G317" s="92" t="n">
        <v>0</v>
      </c>
      <c r="H317" s="108" t="n">
        <v>46112</v>
      </c>
      <c r="I317" s="92" t="n">
        <v>2026</v>
      </c>
      <c r="J317" s="92" t="inlineStr">
        <is>
          <t>G.900006.8.9090</t>
        </is>
      </c>
      <c r="K317" s="92" t="inlineStr">
        <is>
          <t>G.900006</t>
        </is>
      </c>
      <c r="L317" s="92" t="inlineStr">
        <is>
          <t>Boswaard, De Eiken</t>
        </is>
      </c>
      <c r="M317" s="92" t="inlineStr">
        <is>
          <t>Opstal</t>
        </is>
      </c>
      <c r="N317" s="92" t="inlineStr">
        <is>
          <t>J</t>
        </is>
      </c>
      <c r="O317" s="92" t="inlineStr">
        <is>
          <t>Woningen verkocht t/m vorig jaar</t>
        </is>
      </c>
      <c r="P317" s="109" t="n">
        <v>7</v>
      </c>
      <c r="Q317" s="92" t="inlineStr">
        <is>
          <t>aantal</t>
        </is>
      </c>
      <c r="R317" s="92" t="inlineStr">
        <is>
          <t>Synthetische snapshot; kwartalen zijn FY-verdeling, geen actuals</t>
        </is>
      </c>
      <c r="S317" s="15" t="str">
        <f>IF(J317="","",J317&amp;"|"&amp;E317&amp;"|"&amp;F317&amp;"|"&amp;I317&amp;"|"&amp;O317)</f>
        <v>G.900006.8.9090|2026|Q1|2026|Woningen verkocht t/m vorig jaar</v>
      </c>
      <c r="T317" s="15">
        <f>IF(OR(S317="",D317&lt;&gt;"Vastgesteld"),"",_xlfn.MAXIFS($G$6:$G$5005,$S$6:$S$5005,S317,$D$6:$D$5005,"Vastgesteld"))</f>
        <v>0</v>
      </c>
      <c r="U317" s="15">
        <f>IF(T317="",0,IF(AND(G317=T317,COUNTIFS($S$6:S317,S317,$G$6:G317,G317,$D$6:D317,"Vastgesteld")=1),1,0))</f>
        <v>1</v>
      </c>
      <c r="V317" s="15">
        <f>IF(T317="",0,IF(AND(G317=T317,COUNTIFS($S$6:S317,S317,$G$6:G317,G317,$D$6:D317,"Vastgesteld")&gt;1),1,0))</f>
        <v>0</v>
      </c>
    </row>
    <row r="318">
      <c r="A318" s="92" t="inlineStr">
        <is>
          <t>HIST-2026-Q1</t>
        </is>
      </c>
      <c r="B318" s="92" t="inlineStr">
        <is>
          <t>RDFO_FICTIEVE_historie_en_mapping.xlsx</t>
        </is>
      </c>
      <c r="C318" s="108" t="n">
        <v>46324</v>
      </c>
      <c r="D318" s="92" t="inlineStr">
        <is>
          <t>Vastgesteld</t>
        </is>
      </c>
      <c r="E318" s="92" t="n">
        <v>2026</v>
      </c>
      <c r="F318" s="92" t="inlineStr">
        <is>
          <t>Q1</t>
        </is>
      </c>
      <c r="G318" s="92" t="n">
        <v>0</v>
      </c>
      <c r="H318" s="108" t="n">
        <v>46112</v>
      </c>
      <c r="I318" s="92" t="n">
        <v>2026</v>
      </c>
      <c r="J318" s="92" t="inlineStr">
        <is>
          <t>G.900006.8.9090</t>
        </is>
      </c>
      <c r="K318" s="92" t="inlineStr">
        <is>
          <t>G.900006</t>
        </is>
      </c>
      <c r="L318" s="92" t="inlineStr">
        <is>
          <t>Boswaard, De Eiken</t>
        </is>
      </c>
      <c r="M318" s="92" t="inlineStr">
        <is>
          <t>Opstal</t>
        </is>
      </c>
      <c r="N318" s="92" t="inlineStr">
        <is>
          <t>J</t>
        </is>
      </c>
      <c r="O318" s="92" t="inlineStr">
        <is>
          <t>Woningverkopen Q1</t>
        </is>
      </c>
      <c r="P318" s="109" t="n">
        <v>1</v>
      </c>
      <c r="Q318" s="92" t="inlineStr">
        <is>
          <t>aantal</t>
        </is>
      </c>
      <c r="R318" s="92" t="inlineStr">
        <is>
          <t>Synthetische snapshot; kwartalen zijn FY-verdeling, geen actuals</t>
        </is>
      </c>
      <c r="S318" s="15" t="str">
        <f>IF(J318="","",J318&amp;"|"&amp;E318&amp;"|"&amp;F318&amp;"|"&amp;I318&amp;"|"&amp;O318)</f>
        <v>G.900006.8.9090|2026|Q1|2026|Woningverkopen Q1</v>
      </c>
      <c r="T318" s="15">
        <f>IF(OR(S318="",D318&lt;&gt;"Vastgesteld"),"",_xlfn.MAXIFS($G$6:$G$5005,$S$6:$S$5005,S318,$D$6:$D$5005,"Vastgesteld"))</f>
        <v>0</v>
      </c>
      <c r="U318" s="15">
        <f>IF(T318="",0,IF(AND(G318=T318,COUNTIFS($S$6:S318,S318,$G$6:G318,G318,$D$6:D318,"Vastgesteld")=1),1,0))</f>
        <v>1</v>
      </c>
      <c r="V318" s="15">
        <f>IF(T318="",0,IF(AND(G318=T318,COUNTIFS($S$6:S318,S318,$G$6:G318,G318,$D$6:D318,"Vastgesteld")&gt;1),1,0))</f>
        <v>0</v>
      </c>
    </row>
    <row r="319">
      <c r="A319" s="92" t="inlineStr">
        <is>
          <t>HIST-2026-Q1</t>
        </is>
      </c>
      <c r="B319" s="92" t="inlineStr">
        <is>
          <t>RDFO_FICTIEVE_historie_en_mapping.xlsx</t>
        </is>
      </c>
      <c r="C319" s="108" t="n">
        <v>46324</v>
      </c>
      <c r="D319" s="92" t="inlineStr">
        <is>
          <t>Vastgesteld</t>
        </is>
      </c>
      <c r="E319" s="92" t="n">
        <v>2026</v>
      </c>
      <c r="F319" s="92" t="inlineStr">
        <is>
          <t>Q1</t>
        </is>
      </c>
      <c r="G319" s="92" t="n">
        <v>0</v>
      </c>
      <c r="H319" s="108" t="n">
        <v>46112</v>
      </c>
      <c r="I319" s="92" t="n">
        <v>2026</v>
      </c>
      <c r="J319" s="92" t="inlineStr">
        <is>
          <t>G.900006.8.9090</t>
        </is>
      </c>
      <c r="K319" s="92" t="inlineStr">
        <is>
          <t>G.900006</t>
        </is>
      </c>
      <c r="L319" s="92" t="inlineStr">
        <is>
          <t>Boswaard, De Eiken</t>
        </is>
      </c>
      <c r="M319" s="92" t="inlineStr">
        <is>
          <t>Opstal</t>
        </is>
      </c>
      <c r="N319" s="92" t="inlineStr">
        <is>
          <t>J</t>
        </is>
      </c>
      <c r="O319" s="92" t="inlineStr">
        <is>
          <t>Woningverkopen Q2</t>
        </is>
      </c>
      <c r="P319" s="109" t="n">
        <v>2</v>
      </c>
      <c r="Q319" s="92" t="inlineStr">
        <is>
          <t>aantal</t>
        </is>
      </c>
      <c r="R319" s="92" t="inlineStr">
        <is>
          <t>Synthetische snapshot; kwartalen zijn FY-verdeling, geen actuals</t>
        </is>
      </c>
      <c r="S319" s="15" t="str">
        <f>IF(J319="","",J319&amp;"|"&amp;E319&amp;"|"&amp;F319&amp;"|"&amp;I319&amp;"|"&amp;O319)</f>
        <v>G.900006.8.9090|2026|Q1|2026|Woningverkopen Q2</v>
      </c>
      <c r="T319" s="15">
        <f>IF(OR(S319="",D319&lt;&gt;"Vastgesteld"),"",_xlfn.MAXIFS($G$6:$G$5005,$S$6:$S$5005,S319,$D$6:$D$5005,"Vastgesteld"))</f>
        <v>0</v>
      </c>
      <c r="U319" s="15">
        <f>IF(T319="",0,IF(AND(G319=T319,COUNTIFS($S$6:S319,S319,$G$6:G319,G319,$D$6:D319,"Vastgesteld")=1),1,0))</f>
        <v>1</v>
      </c>
      <c r="V319" s="15">
        <f>IF(T319="",0,IF(AND(G319=T319,COUNTIFS($S$6:S319,S319,$G$6:G319,G319,$D$6:D319,"Vastgesteld")&gt;1),1,0))</f>
        <v>0</v>
      </c>
    </row>
    <row r="320">
      <c r="A320" s="92" t="inlineStr">
        <is>
          <t>HIST-2026-Q1</t>
        </is>
      </c>
      <c r="B320" s="92" t="inlineStr">
        <is>
          <t>RDFO_FICTIEVE_historie_en_mapping.xlsx</t>
        </is>
      </c>
      <c r="C320" s="108" t="n">
        <v>46324</v>
      </c>
      <c r="D320" s="92" t="inlineStr">
        <is>
          <t>Vastgesteld</t>
        </is>
      </c>
      <c r="E320" s="92" t="n">
        <v>2026</v>
      </c>
      <c r="F320" s="92" t="inlineStr">
        <is>
          <t>Q1</t>
        </is>
      </c>
      <c r="G320" s="92" t="n">
        <v>0</v>
      </c>
      <c r="H320" s="108" t="n">
        <v>46112</v>
      </c>
      <c r="I320" s="92" t="n">
        <v>2026</v>
      </c>
      <c r="J320" s="92" t="inlineStr">
        <is>
          <t>G.900006.8.9090</t>
        </is>
      </c>
      <c r="K320" s="92" t="inlineStr">
        <is>
          <t>G.900006</t>
        </is>
      </c>
      <c r="L320" s="92" t="inlineStr">
        <is>
          <t>Boswaard, De Eiken</t>
        </is>
      </c>
      <c r="M320" s="92" t="inlineStr">
        <is>
          <t>Opstal</t>
        </is>
      </c>
      <c r="N320" s="92" t="inlineStr">
        <is>
          <t>J</t>
        </is>
      </c>
      <c r="O320" s="92" t="inlineStr">
        <is>
          <t>Woningverkopen Q3</t>
        </is>
      </c>
      <c r="P320" s="109" t="n">
        <v>2</v>
      </c>
      <c r="Q320" s="92" t="inlineStr">
        <is>
          <t>aantal</t>
        </is>
      </c>
      <c r="R320" s="92" t="inlineStr">
        <is>
          <t>Synthetische snapshot; kwartalen zijn FY-verdeling, geen actuals</t>
        </is>
      </c>
      <c r="S320" s="15" t="str">
        <f>IF(J320="","",J320&amp;"|"&amp;E320&amp;"|"&amp;F320&amp;"|"&amp;I320&amp;"|"&amp;O320)</f>
        <v>G.900006.8.9090|2026|Q1|2026|Woningverkopen Q3</v>
      </c>
      <c r="T320" s="15">
        <f>IF(OR(S320="",D320&lt;&gt;"Vastgesteld"),"",_xlfn.MAXIFS($G$6:$G$5005,$S$6:$S$5005,S320,$D$6:$D$5005,"Vastgesteld"))</f>
        <v>0</v>
      </c>
      <c r="U320" s="15">
        <f>IF(T320="",0,IF(AND(G320=T320,COUNTIFS($S$6:S320,S320,$G$6:G320,G320,$D$6:D320,"Vastgesteld")=1),1,0))</f>
        <v>1</v>
      </c>
      <c r="V320" s="15">
        <f>IF(T320="",0,IF(AND(G320=T320,COUNTIFS($S$6:S320,S320,$G$6:G320,G320,$D$6:D320,"Vastgesteld")&gt;1),1,0))</f>
        <v>0</v>
      </c>
    </row>
    <row r="321">
      <c r="A321" s="92" t="inlineStr">
        <is>
          <t>HIST-2026-Q1</t>
        </is>
      </c>
      <c r="B321" s="92" t="inlineStr">
        <is>
          <t>RDFO_FICTIEVE_historie_en_mapping.xlsx</t>
        </is>
      </c>
      <c r="C321" s="108" t="n">
        <v>46324</v>
      </c>
      <c r="D321" s="92" t="inlineStr">
        <is>
          <t>Vastgesteld</t>
        </is>
      </c>
      <c r="E321" s="92" t="n">
        <v>2026</v>
      </c>
      <c r="F321" s="92" t="inlineStr">
        <is>
          <t>Q1</t>
        </is>
      </c>
      <c r="G321" s="92" t="n">
        <v>0</v>
      </c>
      <c r="H321" s="108" t="n">
        <v>46112</v>
      </c>
      <c r="I321" s="92" t="n">
        <v>2026</v>
      </c>
      <c r="J321" s="92" t="inlineStr">
        <is>
          <t>G.900006.8.9090</t>
        </is>
      </c>
      <c r="K321" s="92" t="inlineStr">
        <is>
          <t>G.900006</t>
        </is>
      </c>
      <c r="L321" s="92" t="inlineStr">
        <is>
          <t>Boswaard, De Eiken</t>
        </is>
      </c>
      <c r="M321" s="92" t="inlineStr">
        <is>
          <t>Opstal</t>
        </is>
      </c>
      <c r="N321" s="92" t="inlineStr">
        <is>
          <t>J</t>
        </is>
      </c>
      <c r="O321" s="92" t="inlineStr">
        <is>
          <t>Woningverkopen Q4</t>
        </is>
      </c>
      <c r="P321" s="109" t="n">
        <v>3</v>
      </c>
      <c r="Q321" s="92" t="inlineStr">
        <is>
          <t>aantal</t>
        </is>
      </c>
      <c r="R321" s="92" t="inlineStr">
        <is>
          <t>Synthetische snapshot; kwartalen zijn FY-verdeling, geen actuals</t>
        </is>
      </c>
      <c r="S321" s="15" t="str">
        <f>IF(J321="","",J321&amp;"|"&amp;E321&amp;"|"&amp;F321&amp;"|"&amp;I321&amp;"|"&amp;O321)</f>
        <v>G.900006.8.9090|2026|Q1|2026|Woningverkopen Q4</v>
      </c>
      <c r="T321" s="15">
        <f>IF(OR(S321="",D321&lt;&gt;"Vastgesteld"),"",_xlfn.MAXIFS($G$6:$G$5005,$S$6:$S$5005,S321,$D$6:$D$5005,"Vastgesteld"))</f>
        <v>0</v>
      </c>
      <c r="U321" s="15">
        <f>IF(T321="",0,IF(AND(G321=T321,COUNTIFS($S$6:S321,S321,$G$6:G321,G321,$D$6:D321,"Vastgesteld")=1),1,0))</f>
        <v>1</v>
      </c>
      <c r="V321" s="15">
        <f>IF(T321="",0,IF(AND(G321=T321,COUNTIFS($S$6:S321,S321,$G$6:G321,G321,$D$6:D321,"Vastgesteld")&gt;1),1,0))</f>
        <v>0</v>
      </c>
    </row>
    <row r="322">
      <c r="A322" s="92" t="inlineStr">
        <is>
          <t>HIST-2026-Q1</t>
        </is>
      </c>
      <c r="B322" s="92" t="inlineStr">
        <is>
          <t>RDFO_FICTIEVE_historie_en_mapping.xlsx</t>
        </is>
      </c>
      <c r="C322" s="108" t="n">
        <v>46324</v>
      </c>
      <c r="D322" s="92" t="inlineStr">
        <is>
          <t>Vastgesteld</t>
        </is>
      </c>
      <c r="E322" s="92" t="n">
        <v>2026</v>
      </c>
      <c r="F322" s="92" t="inlineStr">
        <is>
          <t>Q1</t>
        </is>
      </c>
      <c r="G322" s="92" t="n">
        <v>0</v>
      </c>
      <c r="H322" s="108" t="n">
        <v>46112</v>
      </c>
      <c r="I322" s="92" t="n">
        <v>2026</v>
      </c>
      <c r="J322" s="92" t="inlineStr">
        <is>
          <t>G.900007.8.9090</t>
        </is>
      </c>
      <c r="K322" s="92" t="inlineStr">
        <is>
          <t>G.900007</t>
        </is>
      </c>
      <c r="L322" s="92" t="inlineStr">
        <is>
          <t>Rietdam, Havenkwartier</t>
        </is>
      </c>
      <c r="M322" s="92" t="inlineStr">
        <is>
          <t>Opstal</t>
        </is>
      </c>
      <c r="N322" s="92" t="inlineStr">
        <is>
          <t>J</t>
        </is>
      </c>
      <c r="O322" s="92" t="inlineStr">
        <is>
          <t>Woningverkopen FY</t>
        </is>
      </c>
      <c r="P322" s="109" t="n">
        <v>22</v>
      </c>
      <c r="Q322" s="92" t="inlineStr">
        <is>
          <t>aantal</t>
        </is>
      </c>
      <c r="R322" s="92" t="inlineStr">
        <is>
          <t>Synthetische snapshot; kwartalen zijn FY-verdeling, geen actuals</t>
        </is>
      </c>
      <c r="S322" s="15" t="str">
        <f>IF(J322="","",J322&amp;"|"&amp;E322&amp;"|"&amp;F322&amp;"|"&amp;I322&amp;"|"&amp;O322)</f>
        <v>G.900007.8.9090|2026|Q1|2026|Woningverkopen FY</v>
      </c>
      <c r="T322" s="15">
        <f>IF(OR(S322="",D322&lt;&gt;"Vastgesteld"),"",_xlfn.MAXIFS($G$6:$G$5005,$S$6:$S$5005,S322,$D$6:$D$5005,"Vastgesteld"))</f>
        <v>0</v>
      </c>
      <c r="U322" s="15">
        <f>IF(T322="",0,IF(AND(G322=T322,COUNTIFS($S$6:S322,S322,$G$6:G322,G322,$D$6:D322,"Vastgesteld")=1),1,0))</f>
        <v>1</v>
      </c>
      <c r="V322" s="15">
        <f>IF(T322="",0,IF(AND(G322=T322,COUNTIFS($S$6:S322,S322,$G$6:G322,G322,$D$6:D322,"Vastgesteld")&gt;1),1,0))</f>
        <v>0</v>
      </c>
    </row>
    <row r="323">
      <c r="A323" s="92" t="inlineStr">
        <is>
          <t>HIST-2026-Q1</t>
        </is>
      </c>
      <c r="B323" s="92" t="inlineStr">
        <is>
          <t>RDFO_FICTIEVE_historie_en_mapping.xlsx</t>
        </is>
      </c>
      <c r="C323" s="108" t="n">
        <v>46324</v>
      </c>
      <c r="D323" s="92" t="inlineStr">
        <is>
          <t>Vastgesteld</t>
        </is>
      </c>
      <c r="E323" s="92" t="n">
        <v>2026</v>
      </c>
      <c r="F323" s="92" t="inlineStr">
        <is>
          <t>Q1</t>
        </is>
      </c>
      <c r="G323" s="92" t="n">
        <v>0</v>
      </c>
      <c r="H323" s="108" t="n">
        <v>46112</v>
      </c>
      <c r="I323" s="92" t="n">
        <v>2026</v>
      </c>
      <c r="J323" s="92" t="inlineStr">
        <is>
          <t>G.900007.8.9090</t>
        </is>
      </c>
      <c r="K323" s="92" t="inlineStr">
        <is>
          <t>G.900007</t>
        </is>
      </c>
      <c r="L323" s="92" t="inlineStr">
        <is>
          <t>Rietdam, Havenkwartier</t>
        </is>
      </c>
      <c r="M323" s="92" t="inlineStr">
        <is>
          <t>Opstal</t>
        </is>
      </c>
      <c r="N323" s="92" t="inlineStr">
        <is>
          <t>J</t>
        </is>
      </c>
      <c r="O323" s="92" t="inlineStr">
        <is>
          <t>Woningen verkocht t/m vorig jaar</t>
        </is>
      </c>
      <c r="P323" s="109" t="n">
        <v>0</v>
      </c>
      <c r="Q323" s="92" t="inlineStr">
        <is>
          <t>aantal</t>
        </is>
      </c>
      <c r="R323" s="92" t="inlineStr">
        <is>
          <t>Synthetische snapshot; kwartalen zijn FY-verdeling, geen actuals</t>
        </is>
      </c>
      <c r="S323" s="15" t="str">
        <f>IF(J323="","",J323&amp;"|"&amp;E323&amp;"|"&amp;F323&amp;"|"&amp;I323&amp;"|"&amp;O323)</f>
        <v>G.900007.8.9090|2026|Q1|2026|Woningen verkocht t/m vorig jaar</v>
      </c>
      <c r="T323" s="15">
        <f>IF(OR(S323="",D323&lt;&gt;"Vastgesteld"),"",_xlfn.MAXIFS($G$6:$G$5005,$S$6:$S$5005,S323,$D$6:$D$5005,"Vastgesteld"))</f>
        <v>0</v>
      </c>
      <c r="U323" s="15">
        <f>IF(T323="",0,IF(AND(G323=T323,COUNTIFS($S$6:S323,S323,$G$6:G323,G323,$D$6:D323,"Vastgesteld")=1),1,0))</f>
        <v>1</v>
      </c>
      <c r="V323" s="15">
        <f>IF(T323="",0,IF(AND(G323=T323,COUNTIFS($S$6:S323,S323,$G$6:G323,G323,$D$6:D323,"Vastgesteld")&gt;1),1,0))</f>
        <v>0</v>
      </c>
    </row>
    <row r="324">
      <c r="A324" s="92" t="inlineStr">
        <is>
          <t>HIST-2026-Q1</t>
        </is>
      </c>
      <c r="B324" s="92" t="inlineStr">
        <is>
          <t>RDFO_FICTIEVE_historie_en_mapping.xlsx</t>
        </is>
      </c>
      <c r="C324" s="108" t="n">
        <v>46324</v>
      </c>
      <c r="D324" s="92" t="inlineStr">
        <is>
          <t>Vastgesteld</t>
        </is>
      </c>
      <c r="E324" s="92" t="n">
        <v>2026</v>
      </c>
      <c r="F324" s="92" t="inlineStr">
        <is>
          <t>Q1</t>
        </is>
      </c>
      <c r="G324" s="92" t="n">
        <v>0</v>
      </c>
      <c r="H324" s="108" t="n">
        <v>46112</v>
      </c>
      <c r="I324" s="92" t="n">
        <v>2026</v>
      </c>
      <c r="J324" s="92" t="inlineStr">
        <is>
          <t>G.900007.8.9090</t>
        </is>
      </c>
      <c r="K324" s="92" t="inlineStr">
        <is>
          <t>G.900007</t>
        </is>
      </c>
      <c r="L324" s="92" t="inlineStr">
        <is>
          <t>Rietdam, Havenkwartier</t>
        </is>
      </c>
      <c r="M324" s="92" t="inlineStr">
        <is>
          <t>Opstal</t>
        </is>
      </c>
      <c r="N324" s="92" t="inlineStr">
        <is>
          <t>J</t>
        </is>
      </c>
      <c r="O324" s="92" t="inlineStr">
        <is>
          <t>Woningverkopen Q1</t>
        </is>
      </c>
      <c r="P324" s="109" t="n">
        <v>4</v>
      </c>
      <c r="Q324" s="92" t="inlineStr">
        <is>
          <t>aantal</t>
        </is>
      </c>
      <c r="R324" s="92" t="inlineStr">
        <is>
          <t>Synthetische snapshot; kwartalen zijn FY-verdeling, geen actuals</t>
        </is>
      </c>
      <c r="S324" s="15" t="str">
        <f>IF(J324="","",J324&amp;"|"&amp;E324&amp;"|"&amp;F324&amp;"|"&amp;I324&amp;"|"&amp;O324)</f>
        <v>G.900007.8.9090|2026|Q1|2026|Woningverkopen Q1</v>
      </c>
      <c r="T324" s="15">
        <f>IF(OR(S324="",D324&lt;&gt;"Vastgesteld"),"",_xlfn.MAXIFS($G$6:$G$5005,$S$6:$S$5005,S324,$D$6:$D$5005,"Vastgesteld"))</f>
        <v>0</v>
      </c>
      <c r="U324" s="15">
        <f>IF(T324="",0,IF(AND(G324=T324,COUNTIFS($S$6:S324,S324,$G$6:G324,G324,$D$6:D324,"Vastgesteld")=1),1,0))</f>
        <v>1</v>
      </c>
      <c r="V324" s="15">
        <f>IF(T324="",0,IF(AND(G324=T324,COUNTIFS($S$6:S324,S324,$G$6:G324,G324,$D$6:D324,"Vastgesteld")&gt;1),1,0))</f>
        <v>0</v>
      </c>
    </row>
    <row r="325">
      <c r="A325" s="92" t="inlineStr">
        <is>
          <t>HIST-2026-Q1</t>
        </is>
      </c>
      <c r="B325" s="92" t="inlineStr">
        <is>
          <t>RDFO_FICTIEVE_historie_en_mapping.xlsx</t>
        </is>
      </c>
      <c r="C325" s="108" t="n">
        <v>46324</v>
      </c>
      <c r="D325" s="92" t="inlineStr">
        <is>
          <t>Vastgesteld</t>
        </is>
      </c>
      <c r="E325" s="92" t="n">
        <v>2026</v>
      </c>
      <c r="F325" s="92" t="inlineStr">
        <is>
          <t>Q1</t>
        </is>
      </c>
      <c r="G325" s="92" t="n">
        <v>0</v>
      </c>
      <c r="H325" s="108" t="n">
        <v>46112</v>
      </c>
      <c r="I325" s="92" t="n">
        <v>2026</v>
      </c>
      <c r="J325" s="92" t="inlineStr">
        <is>
          <t>G.900007.8.9090</t>
        </is>
      </c>
      <c r="K325" s="92" t="inlineStr">
        <is>
          <t>G.900007</t>
        </is>
      </c>
      <c r="L325" s="92" t="inlineStr">
        <is>
          <t>Rietdam, Havenkwartier</t>
        </is>
      </c>
      <c r="M325" s="92" t="inlineStr">
        <is>
          <t>Opstal</t>
        </is>
      </c>
      <c r="N325" s="92" t="inlineStr">
        <is>
          <t>J</t>
        </is>
      </c>
      <c r="O325" s="92" t="inlineStr">
        <is>
          <t>Woningverkopen Q2</t>
        </is>
      </c>
      <c r="P325" s="109" t="n">
        <v>5</v>
      </c>
      <c r="Q325" s="92" t="inlineStr">
        <is>
          <t>aantal</t>
        </is>
      </c>
      <c r="R325" s="92" t="inlineStr">
        <is>
          <t>Synthetische snapshot; kwartalen zijn FY-verdeling, geen actuals</t>
        </is>
      </c>
      <c r="S325" s="15" t="str">
        <f>IF(J325="","",J325&amp;"|"&amp;E325&amp;"|"&amp;F325&amp;"|"&amp;I325&amp;"|"&amp;O325)</f>
        <v>G.900007.8.9090|2026|Q1|2026|Woningverkopen Q2</v>
      </c>
      <c r="T325" s="15">
        <f>IF(OR(S325="",D325&lt;&gt;"Vastgesteld"),"",_xlfn.MAXIFS($G$6:$G$5005,$S$6:$S$5005,S325,$D$6:$D$5005,"Vastgesteld"))</f>
        <v>0</v>
      </c>
      <c r="U325" s="15">
        <f>IF(T325="",0,IF(AND(G325=T325,COUNTIFS($S$6:S325,S325,$G$6:G325,G325,$D$6:D325,"Vastgesteld")=1),1,0))</f>
        <v>1</v>
      </c>
      <c r="V325" s="15">
        <f>IF(T325="",0,IF(AND(G325=T325,COUNTIFS($S$6:S325,S325,$G$6:G325,G325,$D$6:D325,"Vastgesteld")&gt;1),1,0))</f>
        <v>0</v>
      </c>
    </row>
    <row r="326">
      <c r="A326" s="92" t="inlineStr">
        <is>
          <t>HIST-2026-Q1</t>
        </is>
      </c>
      <c r="B326" s="92" t="inlineStr">
        <is>
          <t>RDFO_FICTIEVE_historie_en_mapping.xlsx</t>
        </is>
      </c>
      <c r="C326" s="108" t="n">
        <v>46324</v>
      </c>
      <c r="D326" s="92" t="inlineStr">
        <is>
          <t>Vastgesteld</t>
        </is>
      </c>
      <c r="E326" s="92" t="n">
        <v>2026</v>
      </c>
      <c r="F326" s="92" t="inlineStr">
        <is>
          <t>Q1</t>
        </is>
      </c>
      <c r="G326" s="92" t="n">
        <v>0</v>
      </c>
      <c r="H326" s="108" t="n">
        <v>46112</v>
      </c>
      <c r="I326" s="92" t="n">
        <v>2026</v>
      </c>
      <c r="J326" s="92" t="inlineStr">
        <is>
          <t>G.900007.8.9090</t>
        </is>
      </c>
      <c r="K326" s="92" t="inlineStr">
        <is>
          <t>G.900007</t>
        </is>
      </c>
      <c r="L326" s="92" t="inlineStr">
        <is>
          <t>Rietdam, Havenkwartier</t>
        </is>
      </c>
      <c r="M326" s="92" t="inlineStr">
        <is>
          <t>Opstal</t>
        </is>
      </c>
      <c r="N326" s="92" t="inlineStr">
        <is>
          <t>J</t>
        </is>
      </c>
      <c r="O326" s="92" t="inlineStr">
        <is>
          <t>Woningverkopen Q3</t>
        </is>
      </c>
      <c r="P326" s="109" t="n">
        <v>5</v>
      </c>
      <c r="Q326" s="92" t="inlineStr">
        <is>
          <t>aantal</t>
        </is>
      </c>
      <c r="R326" s="92" t="inlineStr">
        <is>
          <t>Synthetische snapshot; kwartalen zijn FY-verdeling, geen actuals</t>
        </is>
      </c>
      <c r="S326" s="15" t="str">
        <f>IF(J326="","",J326&amp;"|"&amp;E326&amp;"|"&amp;F326&amp;"|"&amp;I326&amp;"|"&amp;O326)</f>
        <v>G.900007.8.9090|2026|Q1|2026|Woningverkopen Q3</v>
      </c>
      <c r="T326" s="15">
        <f>IF(OR(S326="",D326&lt;&gt;"Vastgesteld"),"",_xlfn.MAXIFS($G$6:$G$5005,$S$6:$S$5005,S326,$D$6:$D$5005,"Vastgesteld"))</f>
        <v>0</v>
      </c>
      <c r="U326" s="15">
        <f>IF(T326="",0,IF(AND(G326=T326,COUNTIFS($S$6:S326,S326,$G$6:G326,G326,$D$6:D326,"Vastgesteld")=1),1,0))</f>
        <v>1</v>
      </c>
      <c r="V326" s="15">
        <f>IF(T326="",0,IF(AND(G326=T326,COUNTIFS($S$6:S326,S326,$G$6:G326,G326,$D$6:D326,"Vastgesteld")&gt;1),1,0))</f>
        <v>0</v>
      </c>
    </row>
    <row r="327">
      <c r="A327" s="92" t="inlineStr">
        <is>
          <t>HIST-2026-Q1</t>
        </is>
      </c>
      <c r="B327" s="92" t="inlineStr">
        <is>
          <t>RDFO_FICTIEVE_historie_en_mapping.xlsx</t>
        </is>
      </c>
      <c r="C327" s="108" t="n">
        <v>46324</v>
      </c>
      <c r="D327" s="92" t="inlineStr">
        <is>
          <t>Vastgesteld</t>
        </is>
      </c>
      <c r="E327" s="92" t="n">
        <v>2026</v>
      </c>
      <c r="F327" s="92" t="inlineStr">
        <is>
          <t>Q1</t>
        </is>
      </c>
      <c r="G327" s="92" t="n">
        <v>0</v>
      </c>
      <c r="H327" s="108" t="n">
        <v>46112</v>
      </c>
      <c r="I327" s="92" t="n">
        <v>2026</v>
      </c>
      <c r="J327" s="92" t="inlineStr">
        <is>
          <t>G.900007.8.9090</t>
        </is>
      </c>
      <c r="K327" s="92" t="inlineStr">
        <is>
          <t>G.900007</t>
        </is>
      </c>
      <c r="L327" s="92" t="inlineStr">
        <is>
          <t>Rietdam, Havenkwartier</t>
        </is>
      </c>
      <c r="M327" s="92" t="inlineStr">
        <is>
          <t>Opstal</t>
        </is>
      </c>
      <c r="N327" s="92" t="inlineStr">
        <is>
          <t>J</t>
        </is>
      </c>
      <c r="O327" s="92" t="inlineStr">
        <is>
          <t>Woningverkopen Q4</t>
        </is>
      </c>
      <c r="P327" s="109" t="n">
        <v>8</v>
      </c>
      <c r="Q327" s="92" t="inlineStr">
        <is>
          <t>aantal</t>
        </is>
      </c>
      <c r="R327" s="92" t="inlineStr">
        <is>
          <t>Synthetische snapshot; kwartalen zijn FY-verdeling, geen actuals</t>
        </is>
      </c>
      <c r="S327" s="15" t="str">
        <f>IF(J327="","",J327&amp;"|"&amp;E327&amp;"|"&amp;F327&amp;"|"&amp;I327&amp;"|"&amp;O327)</f>
        <v>G.900007.8.9090|2026|Q1|2026|Woningverkopen Q4</v>
      </c>
      <c r="T327" s="15">
        <f>IF(OR(S327="",D327&lt;&gt;"Vastgesteld"),"",_xlfn.MAXIFS($G$6:$G$5005,$S$6:$S$5005,S327,$D$6:$D$5005,"Vastgesteld"))</f>
        <v>0</v>
      </c>
      <c r="U327" s="15">
        <f>IF(T327="",0,IF(AND(G327=T327,COUNTIFS($S$6:S327,S327,$G$6:G327,G327,$D$6:D327,"Vastgesteld")=1),1,0))</f>
        <v>1</v>
      </c>
      <c r="V327" s="15">
        <f>IF(T327="",0,IF(AND(G327=T327,COUNTIFS($S$6:S327,S327,$G$6:G327,G327,$D$6:D327,"Vastgesteld")&gt;1),1,0))</f>
        <v>0</v>
      </c>
    </row>
    <row r="328">
      <c r="A328" s="92" t="inlineStr">
        <is>
          <t>HIST-2026-Q1</t>
        </is>
      </c>
      <c r="B328" s="92" t="inlineStr">
        <is>
          <t>RDFO_FICTIEVE_historie_en_mapping.xlsx</t>
        </is>
      </c>
      <c r="C328" s="108" t="n">
        <v>46324</v>
      </c>
      <c r="D328" s="92" t="inlineStr">
        <is>
          <t>Vastgesteld</t>
        </is>
      </c>
      <c r="E328" s="92" t="n">
        <v>2026</v>
      </c>
      <c r="F328" s="92" t="inlineStr">
        <is>
          <t>Q1</t>
        </is>
      </c>
      <c r="G328" s="92" t="n">
        <v>0</v>
      </c>
      <c r="H328" s="108" t="n">
        <v>46112</v>
      </c>
      <c r="I328" s="92" t="n">
        <v>2026</v>
      </c>
      <c r="J328" s="92" t="inlineStr">
        <is>
          <t>G.900008.8.9090</t>
        </is>
      </c>
      <c r="K328" s="92" t="inlineStr">
        <is>
          <t>G.900008</t>
        </is>
      </c>
      <c r="L328" s="92" t="inlineStr">
        <is>
          <t>Lindehaven, De Brink</t>
        </is>
      </c>
      <c r="M328" s="92" t="inlineStr">
        <is>
          <t>Opstal</t>
        </is>
      </c>
      <c r="N328" s="92" t="inlineStr">
        <is>
          <t>J</t>
        </is>
      </c>
      <c r="O328" s="92" t="inlineStr">
        <is>
          <t>Woningverkopen FY</t>
        </is>
      </c>
      <c r="P328" s="109" t="n">
        <v>13</v>
      </c>
      <c r="Q328" s="92" t="inlineStr">
        <is>
          <t>aantal</t>
        </is>
      </c>
      <c r="R328" s="92" t="inlineStr">
        <is>
          <t>Synthetische snapshot; kwartalen zijn FY-verdeling, geen actuals</t>
        </is>
      </c>
      <c r="S328" s="15" t="str">
        <f>IF(J328="","",J328&amp;"|"&amp;E328&amp;"|"&amp;F328&amp;"|"&amp;I328&amp;"|"&amp;O328)</f>
        <v>G.900008.8.9090|2026|Q1|2026|Woningverkopen FY</v>
      </c>
      <c r="T328" s="15">
        <f>IF(OR(S328="",D328&lt;&gt;"Vastgesteld"),"",_xlfn.MAXIFS($G$6:$G$5005,$S$6:$S$5005,S328,$D$6:$D$5005,"Vastgesteld"))</f>
        <v>0</v>
      </c>
      <c r="U328" s="15">
        <f>IF(T328="",0,IF(AND(G328=T328,COUNTIFS($S$6:S328,S328,$G$6:G328,G328,$D$6:D328,"Vastgesteld")=1),1,0))</f>
        <v>1</v>
      </c>
      <c r="V328" s="15">
        <f>IF(T328="",0,IF(AND(G328=T328,COUNTIFS($S$6:S328,S328,$G$6:G328,G328,$D$6:D328,"Vastgesteld")&gt;1),1,0))</f>
        <v>0</v>
      </c>
    </row>
    <row r="329">
      <c r="A329" s="92" t="inlineStr">
        <is>
          <t>HIST-2026-Q1</t>
        </is>
      </c>
      <c r="B329" s="92" t="inlineStr">
        <is>
          <t>RDFO_FICTIEVE_historie_en_mapping.xlsx</t>
        </is>
      </c>
      <c r="C329" s="108" t="n">
        <v>46324</v>
      </c>
      <c r="D329" s="92" t="inlineStr">
        <is>
          <t>Vastgesteld</t>
        </is>
      </c>
      <c r="E329" s="92" t="n">
        <v>2026</v>
      </c>
      <c r="F329" s="92" t="inlineStr">
        <is>
          <t>Q1</t>
        </is>
      </c>
      <c r="G329" s="92" t="n">
        <v>0</v>
      </c>
      <c r="H329" s="108" t="n">
        <v>46112</v>
      </c>
      <c r="I329" s="92" t="n">
        <v>2026</v>
      </c>
      <c r="J329" s="92" t="inlineStr">
        <is>
          <t>G.900008.8.9090</t>
        </is>
      </c>
      <c r="K329" s="92" t="inlineStr">
        <is>
          <t>G.900008</t>
        </is>
      </c>
      <c r="L329" s="92" t="inlineStr">
        <is>
          <t>Lindehaven, De Brink</t>
        </is>
      </c>
      <c r="M329" s="92" t="inlineStr">
        <is>
          <t>Opstal</t>
        </is>
      </c>
      <c r="N329" s="92" t="inlineStr">
        <is>
          <t>J</t>
        </is>
      </c>
      <c r="O329" s="92" t="inlineStr">
        <is>
          <t>Woningen verkocht t/m vorig jaar</t>
        </is>
      </c>
      <c r="P329" s="109" t="n">
        <v>0</v>
      </c>
      <c r="Q329" s="92" t="inlineStr">
        <is>
          <t>aantal</t>
        </is>
      </c>
      <c r="R329" s="92" t="inlineStr">
        <is>
          <t>Synthetische snapshot; kwartalen zijn FY-verdeling, geen actuals</t>
        </is>
      </c>
      <c r="S329" s="15" t="str">
        <f>IF(J329="","",J329&amp;"|"&amp;E329&amp;"|"&amp;F329&amp;"|"&amp;I329&amp;"|"&amp;O329)</f>
        <v>G.900008.8.9090|2026|Q1|2026|Woningen verkocht t/m vorig jaar</v>
      </c>
      <c r="T329" s="15">
        <f>IF(OR(S329="",D329&lt;&gt;"Vastgesteld"),"",_xlfn.MAXIFS($G$6:$G$5005,$S$6:$S$5005,S329,$D$6:$D$5005,"Vastgesteld"))</f>
        <v>0</v>
      </c>
      <c r="U329" s="15">
        <f>IF(T329="",0,IF(AND(G329=T329,COUNTIFS($S$6:S329,S329,$G$6:G329,G329,$D$6:D329,"Vastgesteld")=1),1,0))</f>
        <v>1</v>
      </c>
      <c r="V329" s="15">
        <f>IF(T329="",0,IF(AND(G329=T329,COUNTIFS($S$6:S329,S329,$G$6:G329,G329,$D$6:D329,"Vastgesteld")&gt;1),1,0))</f>
        <v>0</v>
      </c>
    </row>
    <row r="330">
      <c r="A330" s="92" t="inlineStr">
        <is>
          <t>HIST-2026-Q1</t>
        </is>
      </c>
      <c r="B330" s="92" t="inlineStr">
        <is>
          <t>RDFO_FICTIEVE_historie_en_mapping.xlsx</t>
        </is>
      </c>
      <c r="C330" s="108" t="n">
        <v>46324</v>
      </c>
      <c r="D330" s="92" t="inlineStr">
        <is>
          <t>Vastgesteld</t>
        </is>
      </c>
      <c r="E330" s="92" t="n">
        <v>2026</v>
      </c>
      <c r="F330" s="92" t="inlineStr">
        <is>
          <t>Q1</t>
        </is>
      </c>
      <c r="G330" s="92" t="n">
        <v>0</v>
      </c>
      <c r="H330" s="108" t="n">
        <v>46112</v>
      </c>
      <c r="I330" s="92" t="n">
        <v>2026</v>
      </c>
      <c r="J330" s="92" t="inlineStr">
        <is>
          <t>G.900008.8.9090</t>
        </is>
      </c>
      <c r="K330" s="92" t="inlineStr">
        <is>
          <t>G.900008</t>
        </is>
      </c>
      <c r="L330" s="92" t="inlineStr">
        <is>
          <t>Lindehaven, De Brink</t>
        </is>
      </c>
      <c r="M330" s="92" t="inlineStr">
        <is>
          <t>Opstal</t>
        </is>
      </c>
      <c r="N330" s="92" t="inlineStr">
        <is>
          <t>J</t>
        </is>
      </c>
      <c r="O330" s="92" t="inlineStr">
        <is>
          <t>Woningverkopen Q1</t>
        </is>
      </c>
      <c r="P330" s="109" t="n">
        <v>2</v>
      </c>
      <c r="Q330" s="92" t="inlineStr">
        <is>
          <t>aantal</t>
        </is>
      </c>
      <c r="R330" s="92" t="inlineStr">
        <is>
          <t>Synthetische snapshot; kwartalen zijn FY-verdeling, geen actuals</t>
        </is>
      </c>
      <c r="S330" s="15" t="str">
        <f>IF(J330="","",J330&amp;"|"&amp;E330&amp;"|"&amp;F330&amp;"|"&amp;I330&amp;"|"&amp;O330)</f>
        <v>G.900008.8.9090|2026|Q1|2026|Woningverkopen Q1</v>
      </c>
      <c r="T330" s="15">
        <f>IF(OR(S330="",D330&lt;&gt;"Vastgesteld"),"",_xlfn.MAXIFS($G$6:$G$5005,$S$6:$S$5005,S330,$D$6:$D$5005,"Vastgesteld"))</f>
        <v>0</v>
      </c>
      <c r="U330" s="15">
        <f>IF(T330="",0,IF(AND(G330=T330,COUNTIFS($S$6:S330,S330,$G$6:G330,G330,$D$6:D330,"Vastgesteld")=1),1,0))</f>
        <v>1</v>
      </c>
      <c r="V330" s="15">
        <f>IF(T330="",0,IF(AND(G330=T330,COUNTIFS($S$6:S330,S330,$G$6:G330,G330,$D$6:D330,"Vastgesteld")&gt;1),1,0))</f>
        <v>0</v>
      </c>
    </row>
    <row r="331">
      <c r="A331" s="92" t="inlineStr">
        <is>
          <t>HIST-2026-Q1</t>
        </is>
      </c>
      <c r="B331" s="92" t="inlineStr">
        <is>
          <t>RDFO_FICTIEVE_historie_en_mapping.xlsx</t>
        </is>
      </c>
      <c r="C331" s="108" t="n">
        <v>46324</v>
      </c>
      <c r="D331" s="92" t="inlineStr">
        <is>
          <t>Vastgesteld</t>
        </is>
      </c>
      <c r="E331" s="92" t="n">
        <v>2026</v>
      </c>
      <c r="F331" s="92" t="inlineStr">
        <is>
          <t>Q1</t>
        </is>
      </c>
      <c r="G331" s="92" t="n">
        <v>0</v>
      </c>
      <c r="H331" s="108" t="n">
        <v>46112</v>
      </c>
      <c r="I331" s="92" t="n">
        <v>2026</v>
      </c>
      <c r="J331" s="92" t="inlineStr">
        <is>
          <t>G.900008.8.9090</t>
        </is>
      </c>
      <c r="K331" s="92" t="inlineStr">
        <is>
          <t>G.900008</t>
        </is>
      </c>
      <c r="L331" s="92" t="inlineStr">
        <is>
          <t>Lindehaven, De Brink</t>
        </is>
      </c>
      <c r="M331" s="92" t="inlineStr">
        <is>
          <t>Opstal</t>
        </is>
      </c>
      <c r="N331" s="92" t="inlineStr">
        <is>
          <t>J</t>
        </is>
      </c>
      <c r="O331" s="92" t="inlineStr">
        <is>
          <t>Woningverkopen Q2</t>
        </is>
      </c>
      <c r="P331" s="109" t="n">
        <v>3</v>
      </c>
      <c r="Q331" s="92" t="inlineStr">
        <is>
          <t>aantal</t>
        </is>
      </c>
      <c r="R331" s="92" t="inlineStr">
        <is>
          <t>Synthetische snapshot; kwartalen zijn FY-verdeling, geen actuals</t>
        </is>
      </c>
      <c r="S331" s="15" t="str">
        <f>IF(J331="","",J331&amp;"|"&amp;E331&amp;"|"&amp;F331&amp;"|"&amp;I331&amp;"|"&amp;O331)</f>
        <v>G.900008.8.9090|2026|Q1|2026|Woningverkopen Q2</v>
      </c>
      <c r="T331" s="15">
        <f>IF(OR(S331="",D331&lt;&gt;"Vastgesteld"),"",_xlfn.MAXIFS($G$6:$G$5005,$S$6:$S$5005,S331,$D$6:$D$5005,"Vastgesteld"))</f>
        <v>0</v>
      </c>
      <c r="U331" s="15">
        <f>IF(T331="",0,IF(AND(G331=T331,COUNTIFS($S$6:S331,S331,$G$6:G331,G331,$D$6:D331,"Vastgesteld")=1),1,0))</f>
        <v>1</v>
      </c>
      <c r="V331" s="15">
        <f>IF(T331="",0,IF(AND(G331=T331,COUNTIFS($S$6:S331,S331,$G$6:G331,G331,$D$6:D331,"Vastgesteld")&gt;1),1,0))</f>
        <v>0</v>
      </c>
    </row>
    <row r="332">
      <c r="A332" s="92" t="inlineStr">
        <is>
          <t>HIST-2026-Q1</t>
        </is>
      </c>
      <c r="B332" s="92" t="inlineStr">
        <is>
          <t>RDFO_FICTIEVE_historie_en_mapping.xlsx</t>
        </is>
      </c>
      <c r="C332" s="108" t="n">
        <v>46324</v>
      </c>
      <c r="D332" s="92" t="inlineStr">
        <is>
          <t>Vastgesteld</t>
        </is>
      </c>
      <c r="E332" s="92" t="n">
        <v>2026</v>
      </c>
      <c r="F332" s="92" t="inlineStr">
        <is>
          <t>Q1</t>
        </is>
      </c>
      <c r="G332" s="92" t="n">
        <v>0</v>
      </c>
      <c r="H332" s="108" t="n">
        <v>46112</v>
      </c>
      <c r="I332" s="92" t="n">
        <v>2026</v>
      </c>
      <c r="J332" s="92" t="inlineStr">
        <is>
          <t>G.900008.8.9090</t>
        </is>
      </c>
      <c r="K332" s="92" t="inlineStr">
        <is>
          <t>G.900008</t>
        </is>
      </c>
      <c r="L332" s="92" t="inlineStr">
        <is>
          <t>Lindehaven, De Brink</t>
        </is>
      </c>
      <c r="M332" s="92" t="inlineStr">
        <is>
          <t>Opstal</t>
        </is>
      </c>
      <c r="N332" s="92" t="inlineStr">
        <is>
          <t>J</t>
        </is>
      </c>
      <c r="O332" s="92" t="inlineStr">
        <is>
          <t>Woningverkopen Q3</t>
        </is>
      </c>
      <c r="P332" s="109" t="n">
        <v>3</v>
      </c>
      <c r="Q332" s="92" t="inlineStr">
        <is>
          <t>aantal</t>
        </is>
      </c>
      <c r="R332" s="92" t="inlineStr">
        <is>
          <t>Synthetische snapshot; kwartalen zijn FY-verdeling, geen actuals</t>
        </is>
      </c>
      <c r="S332" s="15" t="str">
        <f>IF(J332="","",J332&amp;"|"&amp;E332&amp;"|"&amp;F332&amp;"|"&amp;I332&amp;"|"&amp;O332)</f>
        <v>G.900008.8.9090|2026|Q1|2026|Woningverkopen Q3</v>
      </c>
      <c r="T332" s="15">
        <f>IF(OR(S332="",D332&lt;&gt;"Vastgesteld"),"",_xlfn.MAXIFS($G$6:$G$5005,$S$6:$S$5005,S332,$D$6:$D$5005,"Vastgesteld"))</f>
        <v>0</v>
      </c>
      <c r="U332" s="15">
        <f>IF(T332="",0,IF(AND(G332=T332,COUNTIFS($S$6:S332,S332,$G$6:G332,G332,$D$6:D332,"Vastgesteld")=1),1,0))</f>
        <v>1</v>
      </c>
      <c r="V332" s="15">
        <f>IF(T332="",0,IF(AND(G332=T332,COUNTIFS($S$6:S332,S332,$G$6:G332,G332,$D$6:D332,"Vastgesteld")&gt;1),1,0))</f>
        <v>0</v>
      </c>
    </row>
    <row r="333">
      <c r="A333" s="92" t="inlineStr">
        <is>
          <t>HIST-2026-Q1</t>
        </is>
      </c>
      <c r="B333" s="92" t="inlineStr">
        <is>
          <t>RDFO_FICTIEVE_historie_en_mapping.xlsx</t>
        </is>
      </c>
      <c r="C333" s="108" t="n">
        <v>46324</v>
      </c>
      <c r="D333" s="92" t="inlineStr">
        <is>
          <t>Vastgesteld</t>
        </is>
      </c>
      <c r="E333" s="92" t="n">
        <v>2026</v>
      </c>
      <c r="F333" s="92" t="inlineStr">
        <is>
          <t>Q1</t>
        </is>
      </c>
      <c r="G333" s="92" t="n">
        <v>0</v>
      </c>
      <c r="H333" s="108" t="n">
        <v>46112</v>
      </c>
      <c r="I333" s="92" t="n">
        <v>2026</v>
      </c>
      <c r="J333" s="92" t="inlineStr">
        <is>
          <t>G.900008.8.9090</t>
        </is>
      </c>
      <c r="K333" s="92" t="inlineStr">
        <is>
          <t>G.900008</t>
        </is>
      </c>
      <c r="L333" s="92" t="inlineStr">
        <is>
          <t>Lindehaven, De Brink</t>
        </is>
      </c>
      <c r="M333" s="92" t="inlineStr">
        <is>
          <t>Opstal</t>
        </is>
      </c>
      <c r="N333" s="92" t="inlineStr">
        <is>
          <t>J</t>
        </is>
      </c>
      <c r="O333" s="92" t="inlineStr">
        <is>
          <t>Woningverkopen Q4</t>
        </is>
      </c>
      <c r="P333" s="109" t="n">
        <v>5</v>
      </c>
      <c r="Q333" s="92" t="inlineStr">
        <is>
          <t>aantal</t>
        </is>
      </c>
      <c r="R333" s="92" t="inlineStr">
        <is>
          <t>Synthetische snapshot; kwartalen zijn FY-verdeling, geen actuals</t>
        </is>
      </c>
      <c r="S333" s="15" t="str">
        <f>IF(J333="","",J333&amp;"|"&amp;E333&amp;"|"&amp;F333&amp;"|"&amp;I333&amp;"|"&amp;O333)</f>
        <v>G.900008.8.9090|2026|Q1|2026|Woningverkopen Q4</v>
      </c>
      <c r="T333" s="15">
        <f>IF(OR(S333="",D333&lt;&gt;"Vastgesteld"),"",_xlfn.MAXIFS($G$6:$G$5005,$S$6:$S$5005,S333,$D$6:$D$5005,"Vastgesteld"))</f>
        <v>0</v>
      </c>
      <c r="U333" s="15">
        <f>IF(T333="",0,IF(AND(G333=T333,COUNTIFS($S$6:S333,S333,$G$6:G333,G333,$D$6:D333,"Vastgesteld")=1),1,0))</f>
        <v>1</v>
      </c>
      <c r="V333" s="15">
        <f>IF(T333="",0,IF(AND(G333=T333,COUNTIFS($S$6:S333,S333,$G$6:G333,G333,$D$6:D333,"Vastgesteld")&gt;1),1,0))</f>
        <v>0</v>
      </c>
    </row>
    <row r="334">
      <c r="A334" s="92" t="inlineStr">
        <is>
          <t>HIST-2026-Q1</t>
        </is>
      </c>
      <c r="B334" s="92" t="inlineStr">
        <is>
          <t>RDFO_FICTIEVE_historie_en_mapping.xlsx</t>
        </is>
      </c>
      <c r="C334" s="108" t="n">
        <v>46324</v>
      </c>
      <c r="D334" s="92" t="inlineStr">
        <is>
          <t>Vastgesteld</t>
        </is>
      </c>
      <c r="E334" s="92" t="n">
        <v>2026</v>
      </c>
      <c r="F334" s="92" t="inlineStr">
        <is>
          <t>Q1</t>
        </is>
      </c>
      <c r="G334" s="92" t="n">
        <v>0</v>
      </c>
      <c r="H334" s="108" t="n">
        <v>46112</v>
      </c>
      <c r="I334" s="92" t="n">
        <v>2026</v>
      </c>
      <c r="J334" s="92" t="inlineStr">
        <is>
          <t>G.900009.8.9090</t>
        </is>
      </c>
      <c r="K334" s="92" t="inlineStr">
        <is>
          <t>G.900009</t>
        </is>
      </c>
      <c r="L334" s="92" t="inlineStr">
        <is>
          <t>Duinwaard, Duinrand</t>
        </is>
      </c>
      <c r="M334" s="92" t="inlineStr">
        <is>
          <t>Opstal</t>
        </is>
      </c>
      <c r="N334" s="92" t="inlineStr">
        <is>
          <t>J</t>
        </is>
      </c>
      <c r="O334" s="92" t="inlineStr">
        <is>
          <t>Woningverkopen FY</t>
        </is>
      </c>
      <c r="P334" s="109" t="n">
        <v>31</v>
      </c>
      <c r="Q334" s="92" t="inlineStr">
        <is>
          <t>aantal</t>
        </is>
      </c>
      <c r="R334" s="92" t="inlineStr">
        <is>
          <t>Synthetische snapshot; kwartalen zijn FY-verdeling, geen actuals</t>
        </is>
      </c>
      <c r="S334" s="15" t="str">
        <f>IF(J334="","",J334&amp;"|"&amp;E334&amp;"|"&amp;F334&amp;"|"&amp;I334&amp;"|"&amp;O334)</f>
        <v>G.900009.8.9090|2026|Q1|2026|Woningverkopen FY</v>
      </c>
      <c r="T334" s="15">
        <f>IF(OR(S334="",D334&lt;&gt;"Vastgesteld"),"",_xlfn.MAXIFS($G$6:$G$5005,$S$6:$S$5005,S334,$D$6:$D$5005,"Vastgesteld"))</f>
        <v>0</v>
      </c>
      <c r="U334" s="15">
        <f>IF(T334="",0,IF(AND(G334=T334,COUNTIFS($S$6:S334,S334,$G$6:G334,G334,$D$6:D334,"Vastgesteld")=1),1,0))</f>
        <v>1</v>
      </c>
      <c r="V334" s="15">
        <f>IF(T334="",0,IF(AND(G334=T334,COUNTIFS($S$6:S334,S334,$G$6:G334,G334,$D$6:D334,"Vastgesteld")&gt;1),1,0))</f>
        <v>0</v>
      </c>
    </row>
    <row r="335">
      <c r="A335" s="92" t="inlineStr">
        <is>
          <t>HIST-2026-Q1</t>
        </is>
      </c>
      <c r="B335" s="92" t="inlineStr">
        <is>
          <t>RDFO_FICTIEVE_historie_en_mapping.xlsx</t>
        </is>
      </c>
      <c r="C335" s="108" t="n">
        <v>46324</v>
      </c>
      <c r="D335" s="92" t="inlineStr">
        <is>
          <t>Vastgesteld</t>
        </is>
      </c>
      <c r="E335" s="92" t="n">
        <v>2026</v>
      </c>
      <c r="F335" s="92" t="inlineStr">
        <is>
          <t>Q1</t>
        </is>
      </c>
      <c r="G335" s="92" t="n">
        <v>0</v>
      </c>
      <c r="H335" s="108" t="n">
        <v>46112</v>
      </c>
      <c r="I335" s="92" t="n">
        <v>2026</v>
      </c>
      <c r="J335" s="92" t="inlineStr">
        <is>
          <t>G.900009.8.9090</t>
        </is>
      </c>
      <c r="K335" s="92" t="inlineStr">
        <is>
          <t>G.900009</t>
        </is>
      </c>
      <c r="L335" s="92" t="inlineStr">
        <is>
          <t>Duinwaard, Duinrand</t>
        </is>
      </c>
      <c r="M335" s="92" t="inlineStr">
        <is>
          <t>Opstal</t>
        </is>
      </c>
      <c r="N335" s="92" t="inlineStr">
        <is>
          <t>J</t>
        </is>
      </c>
      <c r="O335" s="92" t="inlineStr">
        <is>
          <t>Woningen verkocht t/m vorig jaar</t>
        </is>
      </c>
      <c r="P335" s="109" t="n">
        <v>0</v>
      </c>
      <c r="Q335" s="92" t="inlineStr">
        <is>
          <t>aantal</t>
        </is>
      </c>
      <c r="R335" s="92" t="inlineStr">
        <is>
          <t>Synthetische snapshot; kwartalen zijn FY-verdeling, geen actuals</t>
        </is>
      </c>
      <c r="S335" s="15" t="str">
        <f>IF(J335="","",J335&amp;"|"&amp;E335&amp;"|"&amp;F335&amp;"|"&amp;I335&amp;"|"&amp;O335)</f>
        <v>G.900009.8.9090|2026|Q1|2026|Woningen verkocht t/m vorig jaar</v>
      </c>
      <c r="T335" s="15">
        <f>IF(OR(S335="",D335&lt;&gt;"Vastgesteld"),"",_xlfn.MAXIFS($G$6:$G$5005,$S$6:$S$5005,S335,$D$6:$D$5005,"Vastgesteld"))</f>
        <v>0</v>
      </c>
      <c r="U335" s="15">
        <f>IF(T335="",0,IF(AND(G335=T335,COUNTIFS($S$6:S335,S335,$G$6:G335,G335,$D$6:D335,"Vastgesteld")=1),1,0))</f>
        <v>1</v>
      </c>
      <c r="V335" s="15">
        <f>IF(T335="",0,IF(AND(G335=T335,COUNTIFS($S$6:S335,S335,$G$6:G335,G335,$D$6:D335,"Vastgesteld")&gt;1),1,0))</f>
        <v>0</v>
      </c>
    </row>
    <row r="336">
      <c r="A336" s="92" t="inlineStr">
        <is>
          <t>HIST-2026-Q1</t>
        </is>
      </c>
      <c r="B336" s="92" t="inlineStr">
        <is>
          <t>RDFO_FICTIEVE_historie_en_mapping.xlsx</t>
        </is>
      </c>
      <c r="C336" s="108" t="n">
        <v>46324</v>
      </c>
      <c r="D336" s="92" t="inlineStr">
        <is>
          <t>Vastgesteld</t>
        </is>
      </c>
      <c r="E336" s="92" t="n">
        <v>2026</v>
      </c>
      <c r="F336" s="92" t="inlineStr">
        <is>
          <t>Q1</t>
        </is>
      </c>
      <c r="G336" s="92" t="n">
        <v>0</v>
      </c>
      <c r="H336" s="108" t="n">
        <v>46112</v>
      </c>
      <c r="I336" s="92" t="n">
        <v>2026</v>
      </c>
      <c r="J336" s="92" t="inlineStr">
        <is>
          <t>G.900009.8.9090</t>
        </is>
      </c>
      <c r="K336" s="92" t="inlineStr">
        <is>
          <t>G.900009</t>
        </is>
      </c>
      <c r="L336" s="92" t="inlineStr">
        <is>
          <t>Duinwaard, Duinrand</t>
        </is>
      </c>
      <c r="M336" s="92" t="inlineStr">
        <is>
          <t>Opstal</t>
        </is>
      </c>
      <c r="N336" s="92" t="inlineStr">
        <is>
          <t>J</t>
        </is>
      </c>
      <c r="O336" s="92" t="inlineStr">
        <is>
          <t>Woningverkopen Q1</t>
        </is>
      </c>
      <c r="P336" s="109" t="n">
        <v>6</v>
      </c>
      <c r="Q336" s="92" t="inlineStr">
        <is>
          <t>aantal</t>
        </is>
      </c>
      <c r="R336" s="92" t="inlineStr">
        <is>
          <t>Synthetische snapshot; kwartalen zijn FY-verdeling, geen actuals</t>
        </is>
      </c>
      <c r="S336" s="15" t="str">
        <f>IF(J336="","",J336&amp;"|"&amp;E336&amp;"|"&amp;F336&amp;"|"&amp;I336&amp;"|"&amp;O336)</f>
        <v>G.900009.8.9090|2026|Q1|2026|Woningverkopen Q1</v>
      </c>
      <c r="T336" s="15">
        <f>IF(OR(S336="",D336&lt;&gt;"Vastgesteld"),"",_xlfn.MAXIFS($G$6:$G$5005,$S$6:$S$5005,S336,$D$6:$D$5005,"Vastgesteld"))</f>
        <v>0</v>
      </c>
      <c r="U336" s="15">
        <f>IF(T336="",0,IF(AND(G336=T336,COUNTIFS($S$6:S336,S336,$G$6:G336,G336,$D$6:D336,"Vastgesteld")=1),1,0))</f>
        <v>1</v>
      </c>
      <c r="V336" s="15">
        <f>IF(T336="",0,IF(AND(G336=T336,COUNTIFS($S$6:S336,S336,$G$6:G336,G336,$D$6:D336,"Vastgesteld")&gt;1),1,0))</f>
        <v>0</v>
      </c>
    </row>
    <row r="337">
      <c r="A337" s="92" t="inlineStr">
        <is>
          <t>HIST-2026-Q1</t>
        </is>
      </c>
      <c r="B337" s="92" t="inlineStr">
        <is>
          <t>RDFO_FICTIEVE_historie_en_mapping.xlsx</t>
        </is>
      </c>
      <c r="C337" s="108" t="n">
        <v>46324</v>
      </c>
      <c r="D337" s="92" t="inlineStr">
        <is>
          <t>Vastgesteld</t>
        </is>
      </c>
      <c r="E337" s="92" t="n">
        <v>2026</v>
      </c>
      <c r="F337" s="92" t="inlineStr">
        <is>
          <t>Q1</t>
        </is>
      </c>
      <c r="G337" s="92" t="n">
        <v>0</v>
      </c>
      <c r="H337" s="108" t="n">
        <v>46112</v>
      </c>
      <c r="I337" s="92" t="n">
        <v>2026</v>
      </c>
      <c r="J337" s="92" t="inlineStr">
        <is>
          <t>G.900009.8.9090</t>
        </is>
      </c>
      <c r="K337" s="92" t="inlineStr">
        <is>
          <t>G.900009</t>
        </is>
      </c>
      <c r="L337" s="92" t="inlineStr">
        <is>
          <t>Duinwaard, Duinrand</t>
        </is>
      </c>
      <c r="M337" s="92" t="inlineStr">
        <is>
          <t>Opstal</t>
        </is>
      </c>
      <c r="N337" s="92" t="inlineStr">
        <is>
          <t>J</t>
        </is>
      </c>
      <c r="O337" s="92" t="inlineStr">
        <is>
          <t>Woningverkopen Q2</t>
        </is>
      </c>
      <c r="P337" s="109" t="n">
        <v>7</v>
      </c>
      <c r="Q337" s="92" t="inlineStr">
        <is>
          <t>aantal</t>
        </is>
      </c>
      <c r="R337" s="92" t="inlineStr">
        <is>
          <t>Synthetische snapshot; kwartalen zijn FY-verdeling, geen actuals</t>
        </is>
      </c>
      <c r="S337" s="15" t="str">
        <f>IF(J337="","",J337&amp;"|"&amp;E337&amp;"|"&amp;F337&amp;"|"&amp;I337&amp;"|"&amp;O337)</f>
        <v>G.900009.8.9090|2026|Q1|2026|Woningverkopen Q2</v>
      </c>
      <c r="T337" s="15">
        <f>IF(OR(S337="",D337&lt;&gt;"Vastgesteld"),"",_xlfn.MAXIFS($G$6:$G$5005,$S$6:$S$5005,S337,$D$6:$D$5005,"Vastgesteld"))</f>
        <v>0</v>
      </c>
      <c r="U337" s="15">
        <f>IF(T337="",0,IF(AND(G337=T337,COUNTIFS($S$6:S337,S337,$G$6:G337,G337,$D$6:D337,"Vastgesteld")=1),1,0))</f>
        <v>1</v>
      </c>
      <c r="V337" s="15">
        <f>IF(T337="",0,IF(AND(G337=T337,COUNTIFS($S$6:S337,S337,$G$6:G337,G337,$D$6:D337,"Vastgesteld")&gt;1),1,0))</f>
        <v>0</v>
      </c>
    </row>
    <row r="338">
      <c r="A338" s="92" t="inlineStr">
        <is>
          <t>HIST-2026-Q1</t>
        </is>
      </c>
      <c r="B338" s="92" t="inlineStr">
        <is>
          <t>RDFO_FICTIEVE_historie_en_mapping.xlsx</t>
        </is>
      </c>
      <c r="C338" s="108" t="n">
        <v>46324</v>
      </c>
      <c r="D338" s="92" t="inlineStr">
        <is>
          <t>Vastgesteld</t>
        </is>
      </c>
      <c r="E338" s="92" t="n">
        <v>2026</v>
      </c>
      <c r="F338" s="92" t="inlineStr">
        <is>
          <t>Q1</t>
        </is>
      </c>
      <c r="G338" s="92" t="n">
        <v>0</v>
      </c>
      <c r="H338" s="108" t="n">
        <v>46112</v>
      </c>
      <c r="I338" s="92" t="n">
        <v>2026</v>
      </c>
      <c r="J338" s="92" t="inlineStr">
        <is>
          <t>G.900009.8.9090</t>
        </is>
      </c>
      <c r="K338" s="92" t="inlineStr">
        <is>
          <t>G.900009</t>
        </is>
      </c>
      <c r="L338" s="92" t="inlineStr">
        <is>
          <t>Duinwaard, Duinrand</t>
        </is>
      </c>
      <c r="M338" s="92" t="inlineStr">
        <is>
          <t>Opstal</t>
        </is>
      </c>
      <c r="N338" s="92" t="inlineStr">
        <is>
          <t>J</t>
        </is>
      </c>
      <c r="O338" s="92" t="inlineStr">
        <is>
          <t>Woningverkopen Q3</t>
        </is>
      </c>
      <c r="P338" s="109" t="n">
        <v>7</v>
      </c>
      <c r="Q338" s="92" t="inlineStr">
        <is>
          <t>aantal</t>
        </is>
      </c>
      <c r="R338" s="92" t="inlineStr">
        <is>
          <t>Synthetische snapshot; kwartalen zijn FY-verdeling, geen actuals</t>
        </is>
      </c>
      <c r="S338" s="15" t="str">
        <f>IF(J338="","",J338&amp;"|"&amp;E338&amp;"|"&amp;F338&amp;"|"&amp;I338&amp;"|"&amp;O338)</f>
        <v>G.900009.8.9090|2026|Q1|2026|Woningverkopen Q3</v>
      </c>
      <c r="T338" s="15">
        <f>IF(OR(S338="",D338&lt;&gt;"Vastgesteld"),"",_xlfn.MAXIFS($G$6:$G$5005,$S$6:$S$5005,S338,$D$6:$D$5005,"Vastgesteld"))</f>
        <v>0</v>
      </c>
      <c r="U338" s="15">
        <f>IF(T338="",0,IF(AND(G338=T338,COUNTIFS($S$6:S338,S338,$G$6:G338,G338,$D$6:D338,"Vastgesteld")=1),1,0))</f>
        <v>1</v>
      </c>
      <c r="V338" s="15">
        <f>IF(T338="",0,IF(AND(G338=T338,COUNTIFS($S$6:S338,S338,$G$6:G338,G338,$D$6:D338,"Vastgesteld")&gt;1),1,0))</f>
        <v>0</v>
      </c>
    </row>
    <row r="339">
      <c r="A339" s="92" t="inlineStr">
        <is>
          <t>HIST-2026-Q1</t>
        </is>
      </c>
      <c r="B339" s="92" t="inlineStr">
        <is>
          <t>RDFO_FICTIEVE_historie_en_mapping.xlsx</t>
        </is>
      </c>
      <c r="C339" s="108" t="n">
        <v>46324</v>
      </c>
      <c r="D339" s="92" t="inlineStr">
        <is>
          <t>Vastgesteld</t>
        </is>
      </c>
      <c r="E339" s="92" t="n">
        <v>2026</v>
      </c>
      <c r="F339" s="92" t="inlineStr">
        <is>
          <t>Q1</t>
        </is>
      </c>
      <c r="G339" s="92" t="n">
        <v>0</v>
      </c>
      <c r="H339" s="108" t="n">
        <v>46112</v>
      </c>
      <c r="I339" s="92" t="n">
        <v>2026</v>
      </c>
      <c r="J339" s="92" t="inlineStr">
        <is>
          <t>G.900009.8.9090</t>
        </is>
      </c>
      <c r="K339" s="92" t="inlineStr">
        <is>
          <t>G.900009</t>
        </is>
      </c>
      <c r="L339" s="92" t="inlineStr">
        <is>
          <t>Duinwaard, Duinrand</t>
        </is>
      </c>
      <c r="M339" s="92" t="inlineStr">
        <is>
          <t>Opstal</t>
        </is>
      </c>
      <c r="N339" s="92" t="inlineStr">
        <is>
          <t>J</t>
        </is>
      </c>
      <c r="O339" s="92" t="inlineStr">
        <is>
          <t>Woningverkopen Q4</t>
        </is>
      </c>
      <c r="P339" s="109" t="n">
        <v>11</v>
      </c>
      <c r="Q339" s="92" t="inlineStr">
        <is>
          <t>aantal</t>
        </is>
      </c>
      <c r="R339" s="92" t="inlineStr">
        <is>
          <t>Synthetische snapshot; kwartalen zijn FY-verdeling, geen actuals</t>
        </is>
      </c>
      <c r="S339" s="15" t="str">
        <f>IF(J339="","",J339&amp;"|"&amp;E339&amp;"|"&amp;F339&amp;"|"&amp;I339&amp;"|"&amp;O339)</f>
        <v>G.900009.8.9090|2026|Q1|2026|Woningverkopen Q4</v>
      </c>
      <c r="T339" s="15">
        <f>IF(OR(S339="",D339&lt;&gt;"Vastgesteld"),"",_xlfn.MAXIFS($G$6:$G$5005,$S$6:$S$5005,S339,$D$6:$D$5005,"Vastgesteld"))</f>
        <v>0</v>
      </c>
      <c r="U339" s="15">
        <f>IF(T339="",0,IF(AND(G339=T339,COUNTIFS($S$6:S339,S339,$G$6:G339,G339,$D$6:D339,"Vastgesteld")=1),1,0))</f>
        <v>1</v>
      </c>
      <c r="V339" s="15">
        <f>IF(T339="",0,IF(AND(G339=T339,COUNTIFS($S$6:S339,S339,$G$6:G339,G339,$D$6:D339,"Vastgesteld")&gt;1),1,0))</f>
        <v>0</v>
      </c>
    </row>
    <row r="340">
      <c r="A340" s="92" t="inlineStr">
        <is>
          <t>HIST-2026-Q1</t>
        </is>
      </c>
      <c r="B340" s="92" t="inlineStr">
        <is>
          <t>RDFO_FICTIEVE_historie_en_mapping.xlsx</t>
        </is>
      </c>
      <c r="C340" s="108" t="n">
        <v>46324</v>
      </c>
      <c r="D340" s="92" t="inlineStr">
        <is>
          <t>Vastgesteld</t>
        </is>
      </c>
      <c r="E340" s="92" t="n">
        <v>2026</v>
      </c>
      <c r="F340" s="92" t="inlineStr">
        <is>
          <t>Q1</t>
        </is>
      </c>
      <c r="G340" s="92" t="n">
        <v>0</v>
      </c>
      <c r="H340" s="108" t="n">
        <v>46112</v>
      </c>
      <c r="I340" s="92" t="n">
        <v>2026</v>
      </c>
      <c r="J340" s="92" t="inlineStr">
        <is>
          <t>G.900010.8.9090</t>
        </is>
      </c>
      <c r="K340" s="92" t="inlineStr">
        <is>
          <t>G.900010</t>
        </is>
      </c>
      <c r="L340" s="92" t="inlineStr">
        <is>
          <t>Veldendam, Groene Singel</t>
        </is>
      </c>
      <c r="M340" s="92" t="inlineStr">
        <is>
          <t>Opstal</t>
        </is>
      </c>
      <c r="N340" s="92" t="inlineStr">
        <is>
          <t>J</t>
        </is>
      </c>
      <c r="O340" s="92" t="inlineStr">
        <is>
          <t>Woningverkopen FY</t>
        </is>
      </c>
      <c r="P340" s="109" t="n">
        <v>17</v>
      </c>
      <c r="Q340" s="92" t="inlineStr">
        <is>
          <t>aantal</t>
        </is>
      </c>
      <c r="R340" s="92" t="inlineStr">
        <is>
          <t>Synthetische snapshot; kwartalen zijn FY-verdeling, geen actuals</t>
        </is>
      </c>
      <c r="S340" s="15" t="str">
        <f>IF(J340="","",J340&amp;"|"&amp;E340&amp;"|"&amp;F340&amp;"|"&amp;I340&amp;"|"&amp;O340)</f>
        <v>G.900010.8.9090|2026|Q1|2026|Woningverkopen FY</v>
      </c>
      <c r="T340" s="15">
        <f>IF(OR(S340="",D340&lt;&gt;"Vastgesteld"),"",_xlfn.MAXIFS($G$6:$G$5005,$S$6:$S$5005,S340,$D$6:$D$5005,"Vastgesteld"))</f>
        <v>0</v>
      </c>
      <c r="U340" s="15">
        <f>IF(T340="",0,IF(AND(G340=T340,COUNTIFS($S$6:S340,S340,$G$6:G340,G340,$D$6:D340,"Vastgesteld")=1),1,0))</f>
        <v>1</v>
      </c>
      <c r="V340" s="15">
        <f>IF(T340="",0,IF(AND(G340=T340,COUNTIFS($S$6:S340,S340,$G$6:G340,G340,$D$6:D340,"Vastgesteld")&gt;1),1,0))</f>
        <v>0</v>
      </c>
    </row>
    <row r="341">
      <c r="A341" s="92" t="inlineStr">
        <is>
          <t>HIST-2026-Q1</t>
        </is>
      </c>
      <c r="B341" s="92" t="inlineStr">
        <is>
          <t>RDFO_FICTIEVE_historie_en_mapping.xlsx</t>
        </is>
      </c>
      <c r="C341" s="108" t="n">
        <v>46324</v>
      </c>
      <c r="D341" s="92" t="inlineStr">
        <is>
          <t>Vastgesteld</t>
        </is>
      </c>
      <c r="E341" s="92" t="n">
        <v>2026</v>
      </c>
      <c r="F341" s="92" t="inlineStr">
        <is>
          <t>Q1</t>
        </is>
      </c>
      <c r="G341" s="92" t="n">
        <v>0</v>
      </c>
      <c r="H341" s="108" t="n">
        <v>46112</v>
      </c>
      <c r="I341" s="92" t="n">
        <v>2026</v>
      </c>
      <c r="J341" s="92" t="inlineStr">
        <is>
          <t>G.900010.8.9090</t>
        </is>
      </c>
      <c r="K341" s="92" t="inlineStr">
        <is>
          <t>G.900010</t>
        </is>
      </c>
      <c r="L341" s="92" t="inlineStr">
        <is>
          <t>Veldendam, Groene Singel</t>
        </is>
      </c>
      <c r="M341" s="92" t="inlineStr">
        <is>
          <t>Opstal</t>
        </is>
      </c>
      <c r="N341" s="92" t="inlineStr">
        <is>
          <t>J</t>
        </is>
      </c>
      <c r="O341" s="92" t="inlineStr">
        <is>
          <t>Woningen verkocht t/m vorig jaar</t>
        </is>
      </c>
      <c r="P341" s="109" t="n">
        <v>0</v>
      </c>
      <c r="Q341" s="92" t="inlineStr">
        <is>
          <t>aantal</t>
        </is>
      </c>
      <c r="R341" s="92" t="inlineStr">
        <is>
          <t>Synthetische snapshot; kwartalen zijn FY-verdeling, geen actuals</t>
        </is>
      </c>
      <c r="S341" s="15" t="str">
        <f>IF(J341="","",J341&amp;"|"&amp;E341&amp;"|"&amp;F341&amp;"|"&amp;I341&amp;"|"&amp;O341)</f>
        <v>G.900010.8.9090|2026|Q1|2026|Woningen verkocht t/m vorig jaar</v>
      </c>
      <c r="T341" s="15">
        <f>IF(OR(S341="",D341&lt;&gt;"Vastgesteld"),"",_xlfn.MAXIFS($G$6:$G$5005,$S$6:$S$5005,S341,$D$6:$D$5005,"Vastgesteld"))</f>
        <v>0</v>
      </c>
      <c r="U341" s="15">
        <f>IF(T341="",0,IF(AND(G341=T341,COUNTIFS($S$6:S341,S341,$G$6:G341,G341,$D$6:D341,"Vastgesteld")=1),1,0))</f>
        <v>1</v>
      </c>
      <c r="V341" s="15">
        <f>IF(T341="",0,IF(AND(G341=T341,COUNTIFS($S$6:S341,S341,$G$6:G341,G341,$D$6:D341,"Vastgesteld")&gt;1),1,0))</f>
        <v>0</v>
      </c>
    </row>
    <row r="342">
      <c r="A342" s="92" t="inlineStr">
        <is>
          <t>HIST-2026-Q1</t>
        </is>
      </c>
      <c r="B342" s="92" t="inlineStr">
        <is>
          <t>RDFO_FICTIEVE_historie_en_mapping.xlsx</t>
        </is>
      </c>
      <c r="C342" s="108" t="n">
        <v>46324</v>
      </c>
      <c r="D342" s="92" t="inlineStr">
        <is>
          <t>Vastgesteld</t>
        </is>
      </c>
      <c r="E342" s="92" t="n">
        <v>2026</v>
      </c>
      <c r="F342" s="92" t="inlineStr">
        <is>
          <t>Q1</t>
        </is>
      </c>
      <c r="G342" s="92" t="n">
        <v>0</v>
      </c>
      <c r="H342" s="108" t="n">
        <v>46112</v>
      </c>
      <c r="I342" s="92" t="n">
        <v>2026</v>
      </c>
      <c r="J342" s="92" t="inlineStr">
        <is>
          <t>G.900010.8.9090</t>
        </is>
      </c>
      <c r="K342" s="92" t="inlineStr">
        <is>
          <t>G.900010</t>
        </is>
      </c>
      <c r="L342" s="92" t="inlineStr">
        <is>
          <t>Veldendam, Groene Singel</t>
        </is>
      </c>
      <c r="M342" s="92" t="inlineStr">
        <is>
          <t>Opstal</t>
        </is>
      </c>
      <c r="N342" s="92" t="inlineStr">
        <is>
          <t>J</t>
        </is>
      </c>
      <c r="O342" s="92" t="inlineStr">
        <is>
          <t>Woningverkopen Q1</t>
        </is>
      </c>
      <c r="P342" s="109" t="n">
        <v>3</v>
      </c>
      <c r="Q342" s="92" t="inlineStr">
        <is>
          <t>aantal</t>
        </is>
      </c>
      <c r="R342" s="92" t="inlineStr">
        <is>
          <t>Synthetische snapshot; kwartalen zijn FY-verdeling, geen actuals</t>
        </is>
      </c>
      <c r="S342" s="15" t="str">
        <f>IF(J342="","",J342&amp;"|"&amp;E342&amp;"|"&amp;F342&amp;"|"&amp;I342&amp;"|"&amp;O342)</f>
        <v>G.900010.8.9090|2026|Q1|2026|Woningverkopen Q1</v>
      </c>
      <c r="T342" s="15">
        <f>IF(OR(S342="",D342&lt;&gt;"Vastgesteld"),"",_xlfn.MAXIFS($G$6:$G$5005,$S$6:$S$5005,S342,$D$6:$D$5005,"Vastgesteld"))</f>
        <v>0</v>
      </c>
      <c r="U342" s="15">
        <f>IF(T342="",0,IF(AND(G342=T342,COUNTIFS($S$6:S342,S342,$G$6:G342,G342,$D$6:D342,"Vastgesteld")=1),1,0))</f>
        <v>1</v>
      </c>
      <c r="V342" s="15">
        <f>IF(T342="",0,IF(AND(G342=T342,COUNTIFS($S$6:S342,S342,$G$6:G342,G342,$D$6:D342,"Vastgesteld")&gt;1),1,0))</f>
        <v>0</v>
      </c>
    </row>
    <row r="343">
      <c r="A343" s="92" t="inlineStr">
        <is>
          <t>HIST-2026-Q1</t>
        </is>
      </c>
      <c r="B343" s="92" t="inlineStr">
        <is>
          <t>RDFO_FICTIEVE_historie_en_mapping.xlsx</t>
        </is>
      </c>
      <c r="C343" s="108" t="n">
        <v>46324</v>
      </c>
      <c r="D343" s="92" t="inlineStr">
        <is>
          <t>Vastgesteld</t>
        </is>
      </c>
      <c r="E343" s="92" t="n">
        <v>2026</v>
      </c>
      <c r="F343" s="92" t="inlineStr">
        <is>
          <t>Q1</t>
        </is>
      </c>
      <c r="G343" s="92" t="n">
        <v>0</v>
      </c>
      <c r="H343" s="108" t="n">
        <v>46112</v>
      </c>
      <c r="I343" s="92" t="n">
        <v>2026</v>
      </c>
      <c r="J343" s="92" t="inlineStr">
        <is>
          <t>G.900010.8.9090</t>
        </is>
      </c>
      <c r="K343" s="92" t="inlineStr">
        <is>
          <t>G.900010</t>
        </is>
      </c>
      <c r="L343" s="92" t="inlineStr">
        <is>
          <t>Veldendam, Groene Singel</t>
        </is>
      </c>
      <c r="M343" s="92" t="inlineStr">
        <is>
          <t>Opstal</t>
        </is>
      </c>
      <c r="N343" s="92" t="inlineStr">
        <is>
          <t>J</t>
        </is>
      </c>
      <c r="O343" s="92" t="inlineStr">
        <is>
          <t>Woningverkopen Q2</t>
        </is>
      </c>
      <c r="P343" s="109" t="n">
        <v>4</v>
      </c>
      <c r="Q343" s="92" t="inlineStr">
        <is>
          <t>aantal</t>
        </is>
      </c>
      <c r="R343" s="92" t="inlineStr">
        <is>
          <t>Synthetische snapshot; kwartalen zijn FY-verdeling, geen actuals</t>
        </is>
      </c>
      <c r="S343" s="15" t="str">
        <f>IF(J343="","",J343&amp;"|"&amp;E343&amp;"|"&amp;F343&amp;"|"&amp;I343&amp;"|"&amp;O343)</f>
        <v>G.900010.8.9090|2026|Q1|2026|Woningverkopen Q2</v>
      </c>
      <c r="T343" s="15">
        <f>IF(OR(S343="",D343&lt;&gt;"Vastgesteld"),"",_xlfn.MAXIFS($G$6:$G$5005,$S$6:$S$5005,S343,$D$6:$D$5005,"Vastgesteld"))</f>
        <v>0</v>
      </c>
      <c r="U343" s="15">
        <f>IF(T343="",0,IF(AND(G343=T343,COUNTIFS($S$6:S343,S343,$G$6:G343,G343,$D$6:D343,"Vastgesteld")=1),1,0))</f>
        <v>1</v>
      </c>
      <c r="V343" s="15">
        <f>IF(T343="",0,IF(AND(G343=T343,COUNTIFS($S$6:S343,S343,$G$6:G343,G343,$D$6:D343,"Vastgesteld")&gt;1),1,0))</f>
        <v>0</v>
      </c>
    </row>
    <row r="344">
      <c r="A344" s="92" t="inlineStr">
        <is>
          <t>HIST-2026-Q1</t>
        </is>
      </c>
      <c r="B344" s="92" t="inlineStr">
        <is>
          <t>RDFO_FICTIEVE_historie_en_mapping.xlsx</t>
        </is>
      </c>
      <c r="C344" s="108" t="n">
        <v>46324</v>
      </c>
      <c r="D344" s="92" t="inlineStr">
        <is>
          <t>Vastgesteld</t>
        </is>
      </c>
      <c r="E344" s="92" t="n">
        <v>2026</v>
      </c>
      <c r="F344" s="92" t="inlineStr">
        <is>
          <t>Q1</t>
        </is>
      </c>
      <c r="G344" s="92" t="n">
        <v>0</v>
      </c>
      <c r="H344" s="108" t="n">
        <v>46112</v>
      </c>
      <c r="I344" s="92" t="n">
        <v>2026</v>
      </c>
      <c r="J344" s="92" t="inlineStr">
        <is>
          <t>G.900010.8.9090</t>
        </is>
      </c>
      <c r="K344" s="92" t="inlineStr">
        <is>
          <t>G.900010</t>
        </is>
      </c>
      <c r="L344" s="92" t="inlineStr">
        <is>
          <t>Veldendam, Groene Singel</t>
        </is>
      </c>
      <c r="M344" s="92" t="inlineStr">
        <is>
          <t>Opstal</t>
        </is>
      </c>
      <c r="N344" s="92" t="inlineStr">
        <is>
          <t>J</t>
        </is>
      </c>
      <c r="O344" s="92" t="inlineStr">
        <is>
          <t>Woningverkopen Q3</t>
        </is>
      </c>
      <c r="P344" s="109" t="n">
        <v>4</v>
      </c>
      <c r="Q344" s="92" t="inlineStr">
        <is>
          <t>aantal</t>
        </is>
      </c>
      <c r="R344" s="92" t="inlineStr">
        <is>
          <t>Synthetische snapshot; kwartalen zijn FY-verdeling, geen actuals</t>
        </is>
      </c>
      <c r="S344" s="15" t="str">
        <f>IF(J344="","",J344&amp;"|"&amp;E344&amp;"|"&amp;F344&amp;"|"&amp;I344&amp;"|"&amp;O344)</f>
        <v>G.900010.8.9090|2026|Q1|2026|Woningverkopen Q3</v>
      </c>
      <c r="T344" s="15">
        <f>IF(OR(S344="",D344&lt;&gt;"Vastgesteld"),"",_xlfn.MAXIFS($G$6:$G$5005,$S$6:$S$5005,S344,$D$6:$D$5005,"Vastgesteld"))</f>
        <v>0</v>
      </c>
      <c r="U344" s="15">
        <f>IF(T344="",0,IF(AND(G344=T344,COUNTIFS($S$6:S344,S344,$G$6:G344,G344,$D$6:D344,"Vastgesteld")=1),1,0))</f>
        <v>1</v>
      </c>
      <c r="V344" s="15">
        <f>IF(T344="",0,IF(AND(G344=T344,COUNTIFS($S$6:S344,S344,$G$6:G344,G344,$D$6:D344,"Vastgesteld")&gt;1),1,0))</f>
        <v>0</v>
      </c>
    </row>
    <row r="345">
      <c r="A345" s="92" t="inlineStr">
        <is>
          <t>HIST-2026-Q1</t>
        </is>
      </c>
      <c r="B345" s="92" t="inlineStr">
        <is>
          <t>RDFO_FICTIEVE_historie_en_mapping.xlsx</t>
        </is>
      </c>
      <c r="C345" s="108" t="n">
        <v>46324</v>
      </c>
      <c r="D345" s="92" t="inlineStr">
        <is>
          <t>Vastgesteld</t>
        </is>
      </c>
      <c r="E345" s="92" t="n">
        <v>2026</v>
      </c>
      <c r="F345" s="92" t="inlineStr">
        <is>
          <t>Q1</t>
        </is>
      </c>
      <c r="G345" s="92" t="n">
        <v>0</v>
      </c>
      <c r="H345" s="108" t="n">
        <v>46112</v>
      </c>
      <c r="I345" s="92" t="n">
        <v>2026</v>
      </c>
      <c r="J345" s="92" t="inlineStr">
        <is>
          <t>G.900010.8.9090</t>
        </is>
      </c>
      <c r="K345" s="92" t="inlineStr">
        <is>
          <t>G.900010</t>
        </is>
      </c>
      <c r="L345" s="92" t="inlineStr">
        <is>
          <t>Veldendam, Groene Singel</t>
        </is>
      </c>
      <c r="M345" s="92" t="inlineStr">
        <is>
          <t>Opstal</t>
        </is>
      </c>
      <c r="N345" s="92" t="inlineStr">
        <is>
          <t>J</t>
        </is>
      </c>
      <c r="O345" s="92" t="inlineStr">
        <is>
          <t>Woningverkopen Q4</t>
        </is>
      </c>
      <c r="P345" s="109" t="n">
        <v>6</v>
      </c>
      <c r="Q345" s="92" t="inlineStr">
        <is>
          <t>aantal</t>
        </is>
      </c>
      <c r="R345" s="92" t="inlineStr">
        <is>
          <t>Synthetische snapshot; kwartalen zijn FY-verdeling, geen actuals</t>
        </is>
      </c>
      <c r="S345" s="15" t="str">
        <f>IF(J345="","",J345&amp;"|"&amp;E345&amp;"|"&amp;F345&amp;"|"&amp;I345&amp;"|"&amp;O345)</f>
        <v>G.900010.8.9090|2026|Q1|2026|Woningverkopen Q4</v>
      </c>
      <c r="T345" s="15">
        <f>IF(OR(S345="",D345&lt;&gt;"Vastgesteld"),"",_xlfn.MAXIFS($G$6:$G$5005,$S$6:$S$5005,S345,$D$6:$D$5005,"Vastgesteld"))</f>
        <v>0</v>
      </c>
      <c r="U345" s="15">
        <f>IF(T345="",0,IF(AND(G345=T345,COUNTIFS($S$6:S345,S345,$G$6:G345,G345,$D$6:D345,"Vastgesteld")=1),1,0))</f>
        <v>1</v>
      </c>
      <c r="V345" s="15">
        <f>IF(T345="",0,IF(AND(G345=T345,COUNTIFS($S$6:S345,S345,$G$6:G345,G345,$D$6:D345,"Vastgesteld")&gt;1),1,0))</f>
        <v>0</v>
      </c>
    </row>
    <row r="346">
      <c r="A346" s="92" t="inlineStr">
        <is>
          <t>HIST-2026-Q1</t>
        </is>
      </c>
      <c r="B346" s="92" t="inlineStr">
        <is>
          <t>RDFO_FICTIEVE_historie_en_mapping.xlsx</t>
        </is>
      </c>
      <c r="C346" s="108" t="n">
        <v>46324</v>
      </c>
      <c r="D346" s="92" t="inlineStr">
        <is>
          <t>Vastgesteld</t>
        </is>
      </c>
      <c r="E346" s="92" t="n">
        <v>2026</v>
      </c>
      <c r="F346" s="92" t="inlineStr">
        <is>
          <t>Q1</t>
        </is>
      </c>
      <c r="G346" s="92" t="n">
        <v>0</v>
      </c>
      <c r="H346" s="108" t="n">
        <v>46112</v>
      </c>
      <c r="I346" s="92" t="n">
        <v>2026</v>
      </c>
      <c r="J346" s="92" t="inlineStr">
        <is>
          <t>G.900011.8.9090</t>
        </is>
      </c>
      <c r="K346" s="92" t="inlineStr">
        <is>
          <t>G.900011</t>
        </is>
      </c>
      <c r="L346" s="92" t="inlineStr">
        <is>
          <t>Meerhovenstad, Hofstaete</t>
        </is>
      </c>
      <c r="M346" s="92" t="inlineStr">
        <is>
          <t>Opstal</t>
        </is>
      </c>
      <c r="N346" s="92" t="inlineStr">
        <is>
          <t>J</t>
        </is>
      </c>
      <c r="O346" s="92" t="inlineStr">
        <is>
          <t>Woningverkopen FY</t>
        </is>
      </c>
      <c r="P346" s="109" t="n">
        <v>34</v>
      </c>
      <c r="Q346" s="92" t="inlineStr">
        <is>
          <t>aantal</t>
        </is>
      </c>
      <c r="R346" s="92" t="inlineStr">
        <is>
          <t>Synthetische snapshot; kwartalen zijn FY-verdeling, geen actuals</t>
        </is>
      </c>
      <c r="S346" s="15" t="str">
        <f>IF(J346="","",J346&amp;"|"&amp;E346&amp;"|"&amp;F346&amp;"|"&amp;I346&amp;"|"&amp;O346)</f>
        <v>G.900011.8.9090|2026|Q1|2026|Woningverkopen FY</v>
      </c>
      <c r="T346" s="15">
        <f>IF(OR(S346="",D346&lt;&gt;"Vastgesteld"),"",_xlfn.MAXIFS($G$6:$G$5005,$S$6:$S$5005,S346,$D$6:$D$5005,"Vastgesteld"))</f>
        <v>0</v>
      </c>
      <c r="U346" s="15">
        <f>IF(T346="",0,IF(AND(G346=T346,COUNTIFS($S$6:S346,S346,$G$6:G346,G346,$D$6:D346,"Vastgesteld")=1),1,0))</f>
        <v>1</v>
      </c>
      <c r="V346" s="15">
        <f>IF(T346="",0,IF(AND(G346=T346,COUNTIFS($S$6:S346,S346,$G$6:G346,G346,$D$6:D346,"Vastgesteld")&gt;1),1,0))</f>
        <v>0</v>
      </c>
    </row>
    <row r="347">
      <c r="A347" s="92" t="inlineStr">
        <is>
          <t>HIST-2026-Q1</t>
        </is>
      </c>
      <c r="B347" s="92" t="inlineStr">
        <is>
          <t>RDFO_FICTIEVE_historie_en_mapping.xlsx</t>
        </is>
      </c>
      <c r="C347" s="108" t="n">
        <v>46324</v>
      </c>
      <c r="D347" s="92" t="inlineStr">
        <is>
          <t>Vastgesteld</t>
        </is>
      </c>
      <c r="E347" s="92" t="n">
        <v>2026</v>
      </c>
      <c r="F347" s="92" t="inlineStr">
        <is>
          <t>Q1</t>
        </is>
      </c>
      <c r="G347" s="92" t="n">
        <v>0</v>
      </c>
      <c r="H347" s="108" t="n">
        <v>46112</v>
      </c>
      <c r="I347" s="92" t="n">
        <v>2026</v>
      </c>
      <c r="J347" s="92" t="inlineStr">
        <is>
          <t>G.900011.8.9090</t>
        </is>
      </c>
      <c r="K347" s="92" t="inlineStr">
        <is>
          <t>G.900011</t>
        </is>
      </c>
      <c r="L347" s="92" t="inlineStr">
        <is>
          <t>Meerhovenstad, Hofstaete</t>
        </is>
      </c>
      <c r="M347" s="92" t="inlineStr">
        <is>
          <t>Opstal</t>
        </is>
      </c>
      <c r="N347" s="92" t="inlineStr">
        <is>
          <t>J</t>
        </is>
      </c>
      <c r="O347" s="92" t="inlineStr">
        <is>
          <t>Woningen verkocht t/m vorig jaar</t>
        </is>
      </c>
      <c r="P347" s="109" t="n">
        <v>0</v>
      </c>
      <c r="Q347" s="92" t="inlineStr">
        <is>
          <t>aantal</t>
        </is>
      </c>
      <c r="R347" s="92" t="inlineStr">
        <is>
          <t>Synthetische snapshot; kwartalen zijn FY-verdeling, geen actuals</t>
        </is>
      </c>
      <c r="S347" s="15" t="str">
        <f>IF(J347="","",J347&amp;"|"&amp;E347&amp;"|"&amp;F347&amp;"|"&amp;I347&amp;"|"&amp;O347)</f>
        <v>G.900011.8.9090|2026|Q1|2026|Woningen verkocht t/m vorig jaar</v>
      </c>
      <c r="T347" s="15">
        <f>IF(OR(S347="",D347&lt;&gt;"Vastgesteld"),"",_xlfn.MAXIFS($G$6:$G$5005,$S$6:$S$5005,S347,$D$6:$D$5005,"Vastgesteld"))</f>
        <v>0</v>
      </c>
      <c r="U347" s="15">
        <f>IF(T347="",0,IF(AND(G347=T347,COUNTIFS($S$6:S347,S347,$G$6:G347,G347,$D$6:D347,"Vastgesteld")=1),1,0))</f>
        <v>1</v>
      </c>
      <c r="V347" s="15">
        <f>IF(T347="",0,IF(AND(G347=T347,COUNTIFS($S$6:S347,S347,$G$6:G347,G347,$D$6:D347,"Vastgesteld")&gt;1),1,0))</f>
        <v>0</v>
      </c>
    </row>
    <row r="348">
      <c r="A348" s="92" t="inlineStr">
        <is>
          <t>HIST-2026-Q1</t>
        </is>
      </c>
      <c r="B348" s="92" t="inlineStr">
        <is>
          <t>RDFO_FICTIEVE_historie_en_mapping.xlsx</t>
        </is>
      </c>
      <c r="C348" s="108" t="n">
        <v>46324</v>
      </c>
      <c r="D348" s="92" t="inlineStr">
        <is>
          <t>Vastgesteld</t>
        </is>
      </c>
      <c r="E348" s="92" t="n">
        <v>2026</v>
      </c>
      <c r="F348" s="92" t="inlineStr">
        <is>
          <t>Q1</t>
        </is>
      </c>
      <c r="G348" s="92" t="n">
        <v>0</v>
      </c>
      <c r="H348" s="108" t="n">
        <v>46112</v>
      </c>
      <c r="I348" s="92" t="n">
        <v>2026</v>
      </c>
      <c r="J348" s="92" t="inlineStr">
        <is>
          <t>G.900011.8.9090</t>
        </is>
      </c>
      <c r="K348" s="92" t="inlineStr">
        <is>
          <t>G.900011</t>
        </is>
      </c>
      <c r="L348" s="92" t="inlineStr">
        <is>
          <t>Meerhovenstad, Hofstaete</t>
        </is>
      </c>
      <c r="M348" s="92" t="inlineStr">
        <is>
          <t>Opstal</t>
        </is>
      </c>
      <c r="N348" s="92" t="inlineStr">
        <is>
          <t>J</t>
        </is>
      </c>
      <c r="O348" s="92" t="inlineStr">
        <is>
          <t>Woningverkopen Q1</t>
        </is>
      </c>
      <c r="P348" s="109" t="n">
        <v>6</v>
      </c>
      <c r="Q348" s="92" t="inlineStr">
        <is>
          <t>aantal</t>
        </is>
      </c>
      <c r="R348" s="92" t="inlineStr">
        <is>
          <t>Synthetische snapshot; kwartalen zijn FY-verdeling, geen actuals</t>
        </is>
      </c>
      <c r="S348" s="15" t="str">
        <f>IF(J348="","",J348&amp;"|"&amp;E348&amp;"|"&amp;F348&amp;"|"&amp;I348&amp;"|"&amp;O348)</f>
        <v>G.900011.8.9090|2026|Q1|2026|Woningverkopen Q1</v>
      </c>
      <c r="T348" s="15">
        <f>IF(OR(S348="",D348&lt;&gt;"Vastgesteld"),"",_xlfn.MAXIFS($G$6:$G$5005,$S$6:$S$5005,S348,$D$6:$D$5005,"Vastgesteld"))</f>
        <v>0</v>
      </c>
      <c r="U348" s="15">
        <f>IF(T348="",0,IF(AND(G348=T348,COUNTIFS($S$6:S348,S348,$G$6:G348,G348,$D$6:D348,"Vastgesteld")=1),1,0))</f>
        <v>1</v>
      </c>
      <c r="V348" s="15">
        <f>IF(T348="",0,IF(AND(G348=T348,COUNTIFS($S$6:S348,S348,$G$6:G348,G348,$D$6:D348,"Vastgesteld")&gt;1),1,0))</f>
        <v>0</v>
      </c>
    </row>
    <row r="349">
      <c r="A349" s="92" t="inlineStr">
        <is>
          <t>HIST-2026-Q1</t>
        </is>
      </c>
      <c r="B349" s="92" t="inlineStr">
        <is>
          <t>RDFO_FICTIEVE_historie_en_mapping.xlsx</t>
        </is>
      </c>
      <c r="C349" s="108" t="n">
        <v>46324</v>
      </c>
      <c r="D349" s="92" t="inlineStr">
        <is>
          <t>Vastgesteld</t>
        </is>
      </c>
      <c r="E349" s="92" t="n">
        <v>2026</v>
      </c>
      <c r="F349" s="92" t="inlineStr">
        <is>
          <t>Q1</t>
        </is>
      </c>
      <c r="G349" s="92" t="n">
        <v>0</v>
      </c>
      <c r="H349" s="108" t="n">
        <v>46112</v>
      </c>
      <c r="I349" s="92" t="n">
        <v>2026</v>
      </c>
      <c r="J349" s="92" t="inlineStr">
        <is>
          <t>G.900011.8.9090</t>
        </is>
      </c>
      <c r="K349" s="92" t="inlineStr">
        <is>
          <t>G.900011</t>
        </is>
      </c>
      <c r="L349" s="92" t="inlineStr">
        <is>
          <t>Meerhovenstad, Hofstaete</t>
        </is>
      </c>
      <c r="M349" s="92" t="inlineStr">
        <is>
          <t>Opstal</t>
        </is>
      </c>
      <c r="N349" s="92" t="inlineStr">
        <is>
          <t>J</t>
        </is>
      </c>
      <c r="O349" s="92" t="inlineStr">
        <is>
          <t>Woningverkopen Q2</t>
        </is>
      </c>
      <c r="P349" s="109" t="n">
        <v>8</v>
      </c>
      <c r="Q349" s="92" t="inlineStr">
        <is>
          <t>aantal</t>
        </is>
      </c>
      <c r="R349" s="92" t="inlineStr">
        <is>
          <t>Synthetische snapshot; kwartalen zijn FY-verdeling, geen actuals</t>
        </is>
      </c>
      <c r="S349" s="15" t="str">
        <f>IF(J349="","",J349&amp;"|"&amp;E349&amp;"|"&amp;F349&amp;"|"&amp;I349&amp;"|"&amp;O349)</f>
        <v>G.900011.8.9090|2026|Q1|2026|Woningverkopen Q2</v>
      </c>
      <c r="T349" s="15">
        <f>IF(OR(S349="",D349&lt;&gt;"Vastgesteld"),"",_xlfn.MAXIFS($G$6:$G$5005,$S$6:$S$5005,S349,$D$6:$D$5005,"Vastgesteld"))</f>
        <v>0</v>
      </c>
      <c r="U349" s="15">
        <f>IF(T349="",0,IF(AND(G349=T349,COUNTIFS($S$6:S349,S349,$G$6:G349,G349,$D$6:D349,"Vastgesteld")=1),1,0))</f>
        <v>1</v>
      </c>
      <c r="V349" s="15">
        <f>IF(T349="",0,IF(AND(G349=T349,COUNTIFS($S$6:S349,S349,$G$6:G349,G349,$D$6:D349,"Vastgesteld")&gt;1),1,0))</f>
        <v>0</v>
      </c>
    </row>
    <row r="350">
      <c r="A350" s="92" t="inlineStr">
        <is>
          <t>HIST-2026-Q1</t>
        </is>
      </c>
      <c r="B350" s="92" t="inlineStr">
        <is>
          <t>RDFO_FICTIEVE_historie_en_mapping.xlsx</t>
        </is>
      </c>
      <c r="C350" s="108" t="n">
        <v>46324</v>
      </c>
      <c r="D350" s="92" t="inlineStr">
        <is>
          <t>Vastgesteld</t>
        </is>
      </c>
      <c r="E350" s="92" t="n">
        <v>2026</v>
      </c>
      <c r="F350" s="92" t="inlineStr">
        <is>
          <t>Q1</t>
        </is>
      </c>
      <c r="G350" s="92" t="n">
        <v>0</v>
      </c>
      <c r="H350" s="108" t="n">
        <v>46112</v>
      </c>
      <c r="I350" s="92" t="n">
        <v>2026</v>
      </c>
      <c r="J350" s="92" t="inlineStr">
        <is>
          <t>G.900011.8.9090</t>
        </is>
      </c>
      <c r="K350" s="92" t="inlineStr">
        <is>
          <t>G.900011</t>
        </is>
      </c>
      <c r="L350" s="92" t="inlineStr">
        <is>
          <t>Meerhovenstad, Hofstaete</t>
        </is>
      </c>
      <c r="M350" s="92" t="inlineStr">
        <is>
          <t>Opstal</t>
        </is>
      </c>
      <c r="N350" s="92" t="inlineStr">
        <is>
          <t>J</t>
        </is>
      </c>
      <c r="O350" s="92" t="inlineStr">
        <is>
          <t>Woningverkopen Q3</t>
        </is>
      </c>
      <c r="P350" s="109" t="n">
        <v>8</v>
      </c>
      <c r="Q350" s="92" t="inlineStr">
        <is>
          <t>aantal</t>
        </is>
      </c>
      <c r="R350" s="92" t="inlineStr">
        <is>
          <t>Synthetische snapshot; kwartalen zijn FY-verdeling, geen actuals</t>
        </is>
      </c>
      <c r="S350" s="15" t="str">
        <f>IF(J350="","",J350&amp;"|"&amp;E350&amp;"|"&amp;F350&amp;"|"&amp;I350&amp;"|"&amp;O350)</f>
        <v>G.900011.8.9090|2026|Q1|2026|Woningverkopen Q3</v>
      </c>
      <c r="T350" s="15">
        <f>IF(OR(S350="",D350&lt;&gt;"Vastgesteld"),"",_xlfn.MAXIFS($G$6:$G$5005,$S$6:$S$5005,S350,$D$6:$D$5005,"Vastgesteld"))</f>
        <v>0</v>
      </c>
      <c r="U350" s="15">
        <f>IF(T350="",0,IF(AND(G350=T350,COUNTIFS($S$6:S350,S350,$G$6:G350,G350,$D$6:D350,"Vastgesteld")=1),1,0))</f>
        <v>1</v>
      </c>
      <c r="V350" s="15">
        <f>IF(T350="",0,IF(AND(G350=T350,COUNTIFS($S$6:S350,S350,$G$6:G350,G350,$D$6:D350,"Vastgesteld")&gt;1),1,0))</f>
        <v>0</v>
      </c>
    </row>
    <row r="351">
      <c r="A351" s="92" t="inlineStr">
        <is>
          <t>HIST-2026-Q1</t>
        </is>
      </c>
      <c r="B351" s="92" t="inlineStr">
        <is>
          <t>RDFO_FICTIEVE_historie_en_mapping.xlsx</t>
        </is>
      </c>
      <c r="C351" s="108" t="n">
        <v>46324</v>
      </c>
      <c r="D351" s="92" t="inlineStr">
        <is>
          <t>Vastgesteld</t>
        </is>
      </c>
      <c r="E351" s="92" t="n">
        <v>2026</v>
      </c>
      <c r="F351" s="92" t="inlineStr">
        <is>
          <t>Q1</t>
        </is>
      </c>
      <c r="G351" s="92" t="n">
        <v>0</v>
      </c>
      <c r="H351" s="108" t="n">
        <v>46112</v>
      </c>
      <c r="I351" s="92" t="n">
        <v>2026</v>
      </c>
      <c r="J351" s="92" t="inlineStr">
        <is>
          <t>G.900011.8.9090</t>
        </is>
      </c>
      <c r="K351" s="92" t="inlineStr">
        <is>
          <t>G.900011</t>
        </is>
      </c>
      <c r="L351" s="92" t="inlineStr">
        <is>
          <t>Meerhovenstad, Hofstaete</t>
        </is>
      </c>
      <c r="M351" s="92" t="inlineStr">
        <is>
          <t>Opstal</t>
        </is>
      </c>
      <c r="N351" s="92" t="inlineStr">
        <is>
          <t>J</t>
        </is>
      </c>
      <c r="O351" s="92" t="inlineStr">
        <is>
          <t>Woningverkopen Q4</t>
        </is>
      </c>
      <c r="P351" s="109" t="n">
        <v>12</v>
      </c>
      <c r="Q351" s="92" t="inlineStr">
        <is>
          <t>aantal</t>
        </is>
      </c>
      <c r="R351" s="92" t="inlineStr">
        <is>
          <t>Synthetische snapshot; kwartalen zijn FY-verdeling, geen actuals</t>
        </is>
      </c>
      <c r="S351" s="15" t="str">
        <f>IF(J351="","",J351&amp;"|"&amp;E351&amp;"|"&amp;F351&amp;"|"&amp;I351&amp;"|"&amp;O351)</f>
        <v>G.900011.8.9090|2026|Q1|2026|Woningverkopen Q4</v>
      </c>
      <c r="T351" s="15">
        <f>IF(OR(S351="",D351&lt;&gt;"Vastgesteld"),"",_xlfn.MAXIFS($G$6:$G$5005,$S$6:$S$5005,S351,$D$6:$D$5005,"Vastgesteld"))</f>
        <v>0</v>
      </c>
      <c r="U351" s="15">
        <f>IF(T351="",0,IF(AND(G351=T351,COUNTIFS($S$6:S351,S351,$G$6:G351,G351,$D$6:D351,"Vastgesteld")=1),1,0))</f>
        <v>1</v>
      </c>
      <c r="V351" s="15">
        <f>IF(T351="",0,IF(AND(G351=T351,COUNTIFS($S$6:S351,S351,$G$6:G351,G351,$D$6:D351,"Vastgesteld")&gt;1),1,0))</f>
        <v>0</v>
      </c>
    </row>
    <row r="352">
      <c r="A352" s="92" t="inlineStr">
        <is>
          <t>HIST-2026-Q1</t>
        </is>
      </c>
      <c r="B352" s="92" t="inlineStr">
        <is>
          <t>RDFO_FICTIEVE_historie_en_mapping.xlsx</t>
        </is>
      </c>
      <c r="C352" s="108" t="n">
        <v>46324</v>
      </c>
      <c r="D352" s="92" t="inlineStr">
        <is>
          <t>Vastgesteld</t>
        </is>
      </c>
      <c r="E352" s="92" t="n">
        <v>2026</v>
      </c>
      <c r="F352" s="92" t="inlineStr">
        <is>
          <t>Q1</t>
        </is>
      </c>
      <c r="G352" s="92" t="n">
        <v>0</v>
      </c>
      <c r="H352" s="108" t="n">
        <v>46112</v>
      </c>
      <c r="I352" s="92" t="n">
        <v>2026</v>
      </c>
      <c r="J352" s="92" t="inlineStr">
        <is>
          <t>G.900012.8.9090</t>
        </is>
      </c>
      <c r="K352" s="92" t="inlineStr">
        <is>
          <t>G.900012</t>
        </is>
      </c>
      <c r="L352" s="92" t="inlineStr">
        <is>
          <t>Zilverdam, De Werf</t>
        </is>
      </c>
      <c r="M352" s="92" t="inlineStr">
        <is>
          <t>Deelneming</t>
        </is>
      </c>
      <c r="N352" s="92" t="inlineStr">
        <is>
          <t>N</t>
        </is>
      </c>
      <c r="O352" s="92" t="inlineStr">
        <is>
          <t>Woningverkopen FY</t>
        </is>
      </c>
      <c r="P352" s="109" t="n">
        <v>8</v>
      </c>
      <c r="Q352" s="92" t="inlineStr">
        <is>
          <t>aantal</t>
        </is>
      </c>
      <c r="R352" s="92" t="inlineStr">
        <is>
          <t>Synthetische snapshot; kwartalen zijn FY-verdeling, geen actuals</t>
        </is>
      </c>
      <c r="S352" s="15" t="str">
        <f>IF(J352="","",J352&amp;"|"&amp;E352&amp;"|"&amp;F352&amp;"|"&amp;I352&amp;"|"&amp;O352)</f>
        <v>G.900012.8.9090|2026|Q1|2026|Woningverkopen FY</v>
      </c>
      <c r="T352" s="15">
        <f>IF(OR(S352="",D352&lt;&gt;"Vastgesteld"),"",_xlfn.MAXIFS($G$6:$G$5005,$S$6:$S$5005,S352,$D$6:$D$5005,"Vastgesteld"))</f>
        <v>0</v>
      </c>
      <c r="U352" s="15">
        <f>IF(T352="",0,IF(AND(G352=T352,COUNTIFS($S$6:S352,S352,$G$6:G352,G352,$D$6:D352,"Vastgesteld")=1),1,0))</f>
        <v>1</v>
      </c>
      <c r="V352" s="15">
        <f>IF(T352="",0,IF(AND(G352=T352,COUNTIFS($S$6:S352,S352,$G$6:G352,G352,$D$6:D352,"Vastgesteld")&gt;1),1,0))</f>
        <v>0</v>
      </c>
    </row>
    <row r="353">
      <c r="A353" s="92" t="inlineStr">
        <is>
          <t>HIST-2026-Q1</t>
        </is>
      </c>
      <c r="B353" s="92" t="inlineStr">
        <is>
          <t>RDFO_FICTIEVE_historie_en_mapping.xlsx</t>
        </is>
      </c>
      <c r="C353" s="108" t="n">
        <v>46324</v>
      </c>
      <c r="D353" s="92" t="inlineStr">
        <is>
          <t>Vastgesteld</t>
        </is>
      </c>
      <c r="E353" s="92" t="n">
        <v>2026</v>
      </c>
      <c r="F353" s="92" t="inlineStr">
        <is>
          <t>Q1</t>
        </is>
      </c>
      <c r="G353" s="92" t="n">
        <v>0</v>
      </c>
      <c r="H353" s="108" t="n">
        <v>46112</v>
      </c>
      <c r="I353" s="92" t="n">
        <v>2026</v>
      </c>
      <c r="J353" s="92" t="inlineStr">
        <is>
          <t>G.900012.8.9090</t>
        </is>
      </c>
      <c r="K353" s="92" t="inlineStr">
        <is>
          <t>G.900012</t>
        </is>
      </c>
      <c r="L353" s="92" t="inlineStr">
        <is>
          <t>Zilverdam, De Werf</t>
        </is>
      </c>
      <c r="M353" s="92" t="inlineStr">
        <is>
          <t>Deelneming</t>
        </is>
      </c>
      <c r="N353" s="92" t="inlineStr">
        <is>
          <t>N</t>
        </is>
      </c>
      <c r="O353" s="92" t="inlineStr">
        <is>
          <t>Woningen verkocht t/m vorig jaar</t>
        </is>
      </c>
      <c r="P353" s="109" t="n">
        <v>0</v>
      </c>
      <c r="Q353" s="92" t="inlineStr">
        <is>
          <t>aantal</t>
        </is>
      </c>
      <c r="R353" s="92" t="inlineStr">
        <is>
          <t>Synthetische snapshot; kwartalen zijn FY-verdeling, geen actuals</t>
        </is>
      </c>
      <c r="S353" s="15" t="str">
        <f>IF(J353="","",J353&amp;"|"&amp;E353&amp;"|"&amp;F353&amp;"|"&amp;I353&amp;"|"&amp;O353)</f>
        <v>G.900012.8.9090|2026|Q1|2026|Woningen verkocht t/m vorig jaar</v>
      </c>
      <c r="T353" s="15">
        <f>IF(OR(S353="",D353&lt;&gt;"Vastgesteld"),"",_xlfn.MAXIFS($G$6:$G$5005,$S$6:$S$5005,S353,$D$6:$D$5005,"Vastgesteld"))</f>
        <v>0</v>
      </c>
      <c r="U353" s="15">
        <f>IF(T353="",0,IF(AND(G353=T353,COUNTIFS($S$6:S353,S353,$G$6:G353,G353,$D$6:D353,"Vastgesteld")=1),1,0))</f>
        <v>1</v>
      </c>
      <c r="V353" s="15">
        <f>IF(T353="",0,IF(AND(G353=T353,COUNTIFS($S$6:S353,S353,$G$6:G353,G353,$D$6:D353,"Vastgesteld")&gt;1),1,0))</f>
        <v>0</v>
      </c>
    </row>
    <row r="354">
      <c r="A354" s="92" t="inlineStr">
        <is>
          <t>HIST-2026-Q1</t>
        </is>
      </c>
      <c r="B354" s="92" t="inlineStr">
        <is>
          <t>RDFO_FICTIEVE_historie_en_mapping.xlsx</t>
        </is>
      </c>
      <c r="C354" s="108" t="n">
        <v>46324</v>
      </c>
      <c r="D354" s="92" t="inlineStr">
        <is>
          <t>Vastgesteld</t>
        </is>
      </c>
      <c r="E354" s="92" t="n">
        <v>2026</v>
      </c>
      <c r="F354" s="92" t="inlineStr">
        <is>
          <t>Q1</t>
        </is>
      </c>
      <c r="G354" s="92" t="n">
        <v>0</v>
      </c>
      <c r="H354" s="108" t="n">
        <v>46112</v>
      </c>
      <c r="I354" s="92" t="n">
        <v>2026</v>
      </c>
      <c r="J354" s="92" t="inlineStr">
        <is>
          <t>G.900012.8.9090</t>
        </is>
      </c>
      <c r="K354" s="92" t="inlineStr">
        <is>
          <t>G.900012</t>
        </is>
      </c>
      <c r="L354" s="92" t="inlineStr">
        <is>
          <t>Zilverdam, De Werf</t>
        </is>
      </c>
      <c r="M354" s="92" t="inlineStr">
        <is>
          <t>Deelneming</t>
        </is>
      </c>
      <c r="N354" s="92" t="inlineStr">
        <is>
          <t>N</t>
        </is>
      </c>
      <c r="O354" s="92" t="inlineStr">
        <is>
          <t>Woningverkopen Q1</t>
        </is>
      </c>
      <c r="P354" s="109" t="n">
        <v>1</v>
      </c>
      <c r="Q354" s="92" t="inlineStr">
        <is>
          <t>aantal</t>
        </is>
      </c>
      <c r="R354" s="92" t="inlineStr">
        <is>
          <t>Synthetische snapshot; kwartalen zijn FY-verdeling, geen actuals</t>
        </is>
      </c>
      <c r="S354" s="15" t="str">
        <f>IF(J354="","",J354&amp;"|"&amp;E354&amp;"|"&amp;F354&amp;"|"&amp;I354&amp;"|"&amp;O354)</f>
        <v>G.900012.8.9090|2026|Q1|2026|Woningverkopen Q1</v>
      </c>
      <c r="T354" s="15">
        <f>IF(OR(S354="",D354&lt;&gt;"Vastgesteld"),"",_xlfn.MAXIFS($G$6:$G$5005,$S$6:$S$5005,S354,$D$6:$D$5005,"Vastgesteld"))</f>
        <v>0</v>
      </c>
      <c r="U354" s="15">
        <f>IF(T354="",0,IF(AND(G354=T354,COUNTIFS($S$6:S354,S354,$G$6:G354,G354,$D$6:D354,"Vastgesteld")=1),1,0))</f>
        <v>1</v>
      </c>
      <c r="V354" s="15">
        <f>IF(T354="",0,IF(AND(G354=T354,COUNTIFS($S$6:S354,S354,$G$6:G354,G354,$D$6:D354,"Vastgesteld")&gt;1),1,0))</f>
        <v>0</v>
      </c>
    </row>
    <row r="355">
      <c r="A355" s="92" t="inlineStr">
        <is>
          <t>HIST-2026-Q1</t>
        </is>
      </c>
      <c r="B355" s="92" t="inlineStr">
        <is>
          <t>RDFO_FICTIEVE_historie_en_mapping.xlsx</t>
        </is>
      </c>
      <c r="C355" s="108" t="n">
        <v>46324</v>
      </c>
      <c r="D355" s="92" t="inlineStr">
        <is>
          <t>Vastgesteld</t>
        </is>
      </c>
      <c r="E355" s="92" t="n">
        <v>2026</v>
      </c>
      <c r="F355" s="92" t="inlineStr">
        <is>
          <t>Q1</t>
        </is>
      </c>
      <c r="G355" s="92" t="n">
        <v>0</v>
      </c>
      <c r="H355" s="108" t="n">
        <v>46112</v>
      </c>
      <c r="I355" s="92" t="n">
        <v>2026</v>
      </c>
      <c r="J355" s="92" t="inlineStr">
        <is>
          <t>G.900012.8.9090</t>
        </is>
      </c>
      <c r="K355" s="92" t="inlineStr">
        <is>
          <t>G.900012</t>
        </is>
      </c>
      <c r="L355" s="92" t="inlineStr">
        <is>
          <t>Zilverdam, De Werf</t>
        </is>
      </c>
      <c r="M355" s="92" t="inlineStr">
        <is>
          <t>Deelneming</t>
        </is>
      </c>
      <c r="N355" s="92" t="inlineStr">
        <is>
          <t>N</t>
        </is>
      </c>
      <c r="O355" s="92" t="inlineStr">
        <is>
          <t>Woningverkopen Q2</t>
        </is>
      </c>
      <c r="P355" s="109" t="n">
        <v>2</v>
      </c>
      <c r="Q355" s="92" t="inlineStr">
        <is>
          <t>aantal</t>
        </is>
      </c>
      <c r="R355" s="92" t="inlineStr">
        <is>
          <t>Synthetische snapshot; kwartalen zijn FY-verdeling, geen actuals</t>
        </is>
      </c>
      <c r="S355" s="15" t="str">
        <f>IF(J355="","",J355&amp;"|"&amp;E355&amp;"|"&amp;F355&amp;"|"&amp;I355&amp;"|"&amp;O355)</f>
        <v>G.900012.8.9090|2026|Q1|2026|Woningverkopen Q2</v>
      </c>
      <c r="T355" s="15">
        <f>IF(OR(S355="",D355&lt;&gt;"Vastgesteld"),"",_xlfn.MAXIFS($G$6:$G$5005,$S$6:$S$5005,S355,$D$6:$D$5005,"Vastgesteld"))</f>
        <v>0</v>
      </c>
      <c r="U355" s="15">
        <f>IF(T355="",0,IF(AND(G355=T355,COUNTIFS($S$6:S355,S355,$G$6:G355,G355,$D$6:D355,"Vastgesteld")=1),1,0))</f>
        <v>1</v>
      </c>
      <c r="V355" s="15">
        <f>IF(T355="",0,IF(AND(G355=T355,COUNTIFS($S$6:S355,S355,$G$6:G355,G355,$D$6:D355,"Vastgesteld")&gt;1),1,0))</f>
        <v>0</v>
      </c>
    </row>
    <row r="356">
      <c r="A356" s="92" t="inlineStr">
        <is>
          <t>HIST-2026-Q1</t>
        </is>
      </c>
      <c r="B356" s="92" t="inlineStr">
        <is>
          <t>RDFO_FICTIEVE_historie_en_mapping.xlsx</t>
        </is>
      </c>
      <c r="C356" s="108" t="n">
        <v>46324</v>
      </c>
      <c r="D356" s="92" t="inlineStr">
        <is>
          <t>Vastgesteld</t>
        </is>
      </c>
      <c r="E356" s="92" t="n">
        <v>2026</v>
      </c>
      <c r="F356" s="92" t="inlineStr">
        <is>
          <t>Q1</t>
        </is>
      </c>
      <c r="G356" s="92" t="n">
        <v>0</v>
      </c>
      <c r="H356" s="108" t="n">
        <v>46112</v>
      </c>
      <c r="I356" s="92" t="n">
        <v>2026</v>
      </c>
      <c r="J356" s="92" t="inlineStr">
        <is>
          <t>G.900012.8.9090</t>
        </is>
      </c>
      <c r="K356" s="92" t="inlineStr">
        <is>
          <t>G.900012</t>
        </is>
      </c>
      <c r="L356" s="92" t="inlineStr">
        <is>
          <t>Zilverdam, De Werf</t>
        </is>
      </c>
      <c r="M356" s="92" t="inlineStr">
        <is>
          <t>Deelneming</t>
        </is>
      </c>
      <c r="N356" s="92" t="inlineStr">
        <is>
          <t>N</t>
        </is>
      </c>
      <c r="O356" s="92" t="inlineStr">
        <is>
          <t>Woningverkopen Q3</t>
        </is>
      </c>
      <c r="P356" s="109" t="n">
        <v>2</v>
      </c>
      <c r="Q356" s="92" t="inlineStr">
        <is>
          <t>aantal</t>
        </is>
      </c>
      <c r="R356" s="92" t="inlineStr">
        <is>
          <t>Synthetische snapshot; kwartalen zijn FY-verdeling, geen actuals</t>
        </is>
      </c>
      <c r="S356" s="15" t="str">
        <f>IF(J356="","",J356&amp;"|"&amp;E356&amp;"|"&amp;F356&amp;"|"&amp;I356&amp;"|"&amp;O356)</f>
        <v>G.900012.8.9090|2026|Q1|2026|Woningverkopen Q3</v>
      </c>
      <c r="T356" s="15">
        <f>IF(OR(S356="",D356&lt;&gt;"Vastgesteld"),"",_xlfn.MAXIFS($G$6:$G$5005,$S$6:$S$5005,S356,$D$6:$D$5005,"Vastgesteld"))</f>
        <v>0</v>
      </c>
      <c r="U356" s="15">
        <f>IF(T356="",0,IF(AND(G356=T356,COUNTIFS($S$6:S356,S356,$G$6:G356,G356,$D$6:D356,"Vastgesteld")=1),1,0))</f>
        <v>1</v>
      </c>
      <c r="V356" s="15">
        <f>IF(T356="",0,IF(AND(G356=T356,COUNTIFS($S$6:S356,S356,$G$6:G356,G356,$D$6:D356,"Vastgesteld")&gt;1),1,0))</f>
        <v>0</v>
      </c>
    </row>
    <row r="357">
      <c r="A357" s="92" t="inlineStr">
        <is>
          <t>HIST-2026-Q1</t>
        </is>
      </c>
      <c r="B357" s="92" t="inlineStr">
        <is>
          <t>RDFO_FICTIEVE_historie_en_mapping.xlsx</t>
        </is>
      </c>
      <c r="C357" s="108" t="n">
        <v>46324</v>
      </c>
      <c r="D357" s="92" t="inlineStr">
        <is>
          <t>Vastgesteld</t>
        </is>
      </c>
      <c r="E357" s="92" t="n">
        <v>2026</v>
      </c>
      <c r="F357" s="92" t="inlineStr">
        <is>
          <t>Q1</t>
        </is>
      </c>
      <c r="G357" s="92" t="n">
        <v>0</v>
      </c>
      <c r="H357" s="108" t="n">
        <v>46112</v>
      </c>
      <c r="I357" s="92" t="n">
        <v>2026</v>
      </c>
      <c r="J357" s="92" t="inlineStr">
        <is>
          <t>G.900012.8.9090</t>
        </is>
      </c>
      <c r="K357" s="92" t="inlineStr">
        <is>
          <t>G.900012</t>
        </is>
      </c>
      <c r="L357" s="92" t="inlineStr">
        <is>
          <t>Zilverdam, De Werf</t>
        </is>
      </c>
      <c r="M357" s="92" t="inlineStr">
        <is>
          <t>Deelneming</t>
        </is>
      </c>
      <c r="N357" s="92" t="inlineStr">
        <is>
          <t>N</t>
        </is>
      </c>
      <c r="O357" s="92" t="inlineStr">
        <is>
          <t>Woningverkopen Q4</t>
        </is>
      </c>
      <c r="P357" s="109" t="n">
        <v>3</v>
      </c>
      <c r="Q357" s="92" t="inlineStr">
        <is>
          <t>aantal</t>
        </is>
      </c>
      <c r="R357" s="92" t="inlineStr">
        <is>
          <t>Synthetische snapshot; kwartalen zijn FY-verdeling, geen actuals</t>
        </is>
      </c>
      <c r="S357" s="15" t="str">
        <f>IF(J357="","",J357&amp;"|"&amp;E357&amp;"|"&amp;F357&amp;"|"&amp;I357&amp;"|"&amp;O357)</f>
        <v>G.900012.8.9090|2026|Q1|2026|Woningverkopen Q4</v>
      </c>
      <c r="T357" s="15">
        <f>IF(OR(S357="",D357&lt;&gt;"Vastgesteld"),"",_xlfn.MAXIFS($G$6:$G$5005,$S$6:$S$5005,S357,$D$6:$D$5005,"Vastgesteld"))</f>
        <v>0</v>
      </c>
      <c r="U357" s="15">
        <f>IF(T357="",0,IF(AND(G357=T357,COUNTIFS($S$6:S357,S357,$G$6:G357,G357,$D$6:D357,"Vastgesteld")=1),1,0))</f>
        <v>1</v>
      </c>
      <c r="V357" s="15">
        <f>IF(T357="",0,IF(AND(G357=T357,COUNTIFS($S$6:S357,S357,$G$6:G357,G357,$D$6:D357,"Vastgesteld")&gt;1),1,0))</f>
        <v>0</v>
      </c>
    </row>
    <row r="358">
      <c r="A358" s="92" t="inlineStr">
        <is>
          <t>HIST-2026-Q1</t>
        </is>
      </c>
      <c r="B358" s="92" t="inlineStr">
        <is>
          <t>RDFO_FICTIEVE_historie_en_mapping.xlsx</t>
        </is>
      </c>
      <c r="C358" s="108" t="n">
        <v>46324</v>
      </c>
      <c r="D358" s="92" t="inlineStr">
        <is>
          <t>Vastgesteld</t>
        </is>
      </c>
      <c r="E358" s="92" t="n">
        <v>2026</v>
      </c>
      <c r="F358" s="92" t="inlineStr">
        <is>
          <t>Q1</t>
        </is>
      </c>
      <c r="G358" s="92" t="n">
        <v>0</v>
      </c>
      <c r="H358" s="108" t="n">
        <v>46112</v>
      </c>
      <c r="I358" s="92" t="n">
        <v>2026</v>
      </c>
      <c r="J358" s="92" t="inlineStr">
        <is>
          <t>G.900013.8.9090</t>
        </is>
      </c>
      <c r="K358" s="92" t="inlineStr">
        <is>
          <t>G.900013</t>
        </is>
      </c>
      <c r="L358" s="92" t="inlineStr">
        <is>
          <t>Boswaard, Boskamers</t>
        </is>
      </c>
      <c r="M358" s="92" t="inlineStr">
        <is>
          <t>Opstal</t>
        </is>
      </c>
      <c r="N358" s="92" t="inlineStr">
        <is>
          <t>J</t>
        </is>
      </c>
      <c r="O358" s="92" t="inlineStr">
        <is>
          <t>Woningverkopen FY</t>
        </is>
      </c>
      <c r="P358" s="109" t="n">
        <v>21</v>
      </c>
      <c r="Q358" s="92" t="inlineStr">
        <is>
          <t>aantal</t>
        </is>
      </c>
      <c r="R358" s="92" t="inlineStr">
        <is>
          <t>Synthetische snapshot; kwartalen zijn FY-verdeling, geen actuals</t>
        </is>
      </c>
      <c r="S358" s="15" t="str">
        <f>IF(J358="","",J358&amp;"|"&amp;E358&amp;"|"&amp;F358&amp;"|"&amp;I358&amp;"|"&amp;O358)</f>
        <v>G.900013.8.9090|2026|Q1|2026|Woningverkopen FY</v>
      </c>
      <c r="T358" s="15">
        <f>IF(OR(S358="",D358&lt;&gt;"Vastgesteld"),"",_xlfn.MAXIFS($G$6:$G$5005,$S$6:$S$5005,S358,$D$6:$D$5005,"Vastgesteld"))</f>
        <v>0</v>
      </c>
      <c r="U358" s="15">
        <f>IF(T358="",0,IF(AND(G358=T358,COUNTIFS($S$6:S358,S358,$G$6:G358,G358,$D$6:D358,"Vastgesteld")=1),1,0))</f>
        <v>1</v>
      </c>
      <c r="V358" s="15">
        <f>IF(T358="",0,IF(AND(G358=T358,COUNTIFS($S$6:S358,S358,$G$6:G358,G358,$D$6:D358,"Vastgesteld")&gt;1),1,0))</f>
        <v>0</v>
      </c>
    </row>
    <row r="359">
      <c r="A359" s="92" t="inlineStr">
        <is>
          <t>HIST-2026-Q1</t>
        </is>
      </c>
      <c r="B359" s="92" t="inlineStr">
        <is>
          <t>RDFO_FICTIEVE_historie_en_mapping.xlsx</t>
        </is>
      </c>
      <c r="C359" s="108" t="n">
        <v>46324</v>
      </c>
      <c r="D359" s="92" t="inlineStr">
        <is>
          <t>Vastgesteld</t>
        </is>
      </c>
      <c r="E359" s="92" t="n">
        <v>2026</v>
      </c>
      <c r="F359" s="92" t="inlineStr">
        <is>
          <t>Q1</t>
        </is>
      </c>
      <c r="G359" s="92" t="n">
        <v>0</v>
      </c>
      <c r="H359" s="108" t="n">
        <v>46112</v>
      </c>
      <c r="I359" s="92" t="n">
        <v>2026</v>
      </c>
      <c r="J359" s="92" t="inlineStr">
        <is>
          <t>G.900013.8.9090</t>
        </is>
      </c>
      <c r="K359" s="92" t="inlineStr">
        <is>
          <t>G.900013</t>
        </is>
      </c>
      <c r="L359" s="92" t="inlineStr">
        <is>
          <t>Boswaard, Boskamers</t>
        </is>
      </c>
      <c r="M359" s="92" t="inlineStr">
        <is>
          <t>Opstal</t>
        </is>
      </c>
      <c r="N359" s="92" t="inlineStr">
        <is>
          <t>J</t>
        </is>
      </c>
      <c r="O359" s="92" t="inlineStr">
        <is>
          <t>Woningen verkocht t/m vorig jaar</t>
        </is>
      </c>
      <c r="P359" s="109" t="n">
        <v>0</v>
      </c>
      <c r="Q359" s="92" t="inlineStr">
        <is>
          <t>aantal</t>
        </is>
      </c>
      <c r="R359" s="92" t="inlineStr">
        <is>
          <t>Synthetische snapshot; kwartalen zijn FY-verdeling, geen actuals</t>
        </is>
      </c>
      <c r="S359" s="15" t="str">
        <f>IF(J359="","",J359&amp;"|"&amp;E359&amp;"|"&amp;F359&amp;"|"&amp;I359&amp;"|"&amp;O359)</f>
        <v>G.900013.8.9090|2026|Q1|2026|Woningen verkocht t/m vorig jaar</v>
      </c>
      <c r="T359" s="15">
        <f>IF(OR(S359="",D359&lt;&gt;"Vastgesteld"),"",_xlfn.MAXIFS($G$6:$G$5005,$S$6:$S$5005,S359,$D$6:$D$5005,"Vastgesteld"))</f>
        <v>0</v>
      </c>
      <c r="U359" s="15">
        <f>IF(T359="",0,IF(AND(G359=T359,COUNTIFS($S$6:S359,S359,$G$6:G359,G359,$D$6:D359,"Vastgesteld")=1),1,0))</f>
        <v>1</v>
      </c>
      <c r="V359" s="15">
        <f>IF(T359="",0,IF(AND(G359=T359,COUNTIFS($S$6:S359,S359,$G$6:G359,G359,$D$6:D359,"Vastgesteld")&gt;1),1,0))</f>
        <v>0</v>
      </c>
    </row>
    <row r="360">
      <c r="A360" s="92" t="inlineStr">
        <is>
          <t>HIST-2026-Q1</t>
        </is>
      </c>
      <c r="B360" s="92" t="inlineStr">
        <is>
          <t>RDFO_FICTIEVE_historie_en_mapping.xlsx</t>
        </is>
      </c>
      <c r="C360" s="108" t="n">
        <v>46324</v>
      </c>
      <c r="D360" s="92" t="inlineStr">
        <is>
          <t>Vastgesteld</t>
        </is>
      </c>
      <c r="E360" s="92" t="n">
        <v>2026</v>
      </c>
      <c r="F360" s="92" t="inlineStr">
        <is>
          <t>Q1</t>
        </is>
      </c>
      <c r="G360" s="92" t="n">
        <v>0</v>
      </c>
      <c r="H360" s="108" t="n">
        <v>46112</v>
      </c>
      <c r="I360" s="92" t="n">
        <v>2026</v>
      </c>
      <c r="J360" s="92" t="inlineStr">
        <is>
          <t>G.900013.8.9090</t>
        </is>
      </c>
      <c r="K360" s="92" t="inlineStr">
        <is>
          <t>G.900013</t>
        </is>
      </c>
      <c r="L360" s="92" t="inlineStr">
        <is>
          <t>Boswaard, Boskamers</t>
        </is>
      </c>
      <c r="M360" s="92" t="inlineStr">
        <is>
          <t>Opstal</t>
        </is>
      </c>
      <c r="N360" s="92" t="inlineStr">
        <is>
          <t>J</t>
        </is>
      </c>
      <c r="O360" s="92" t="inlineStr">
        <is>
          <t>Woningverkopen Q1</t>
        </is>
      </c>
      <c r="P360" s="109" t="n">
        <v>4</v>
      </c>
      <c r="Q360" s="92" t="inlineStr">
        <is>
          <t>aantal</t>
        </is>
      </c>
      <c r="R360" s="92" t="inlineStr">
        <is>
          <t>Synthetische snapshot; kwartalen zijn FY-verdeling, geen actuals</t>
        </is>
      </c>
      <c r="S360" s="15" t="str">
        <f>IF(J360="","",J360&amp;"|"&amp;E360&amp;"|"&amp;F360&amp;"|"&amp;I360&amp;"|"&amp;O360)</f>
        <v>G.900013.8.9090|2026|Q1|2026|Woningverkopen Q1</v>
      </c>
      <c r="T360" s="15">
        <f>IF(OR(S360="",D360&lt;&gt;"Vastgesteld"),"",_xlfn.MAXIFS($G$6:$G$5005,$S$6:$S$5005,S360,$D$6:$D$5005,"Vastgesteld"))</f>
        <v>0</v>
      </c>
      <c r="U360" s="15">
        <f>IF(T360="",0,IF(AND(G360=T360,COUNTIFS($S$6:S360,S360,$G$6:G360,G360,$D$6:D360,"Vastgesteld")=1),1,0))</f>
        <v>1</v>
      </c>
      <c r="V360" s="15">
        <f>IF(T360="",0,IF(AND(G360=T360,COUNTIFS($S$6:S360,S360,$G$6:G360,G360,$D$6:D360,"Vastgesteld")&gt;1),1,0))</f>
        <v>0</v>
      </c>
    </row>
    <row r="361">
      <c r="A361" s="92" t="inlineStr">
        <is>
          <t>HIST-2026-Q1</t>
        </is>
      </c>
      <c r="B361" s="92" t="inlineStr">
        <is>
          <t>RDFO_FICTIEVE_historie_en_mapping.xlsx</t>
        </is>
      </c>
      <c r="C361" s="108" t="n">
        <v>46324</v>
      </c>
      <c r="D361" s="92" t="inlineStr">
        <is>
          <t>Vastgesteld</t>
        </is>
      </c>
      <c r="E361" s="92" t="n">
        <v>2026</v>
      </c>
      <c r="F361" s="92" t="inlineStr">
        <is>
          <t>Q1</t>
        </is>
      </c>
      <c r="G361" s="92" t="n">
        <v>0</v>
      </c>
      <c r="H361" s="108" t="n">
        <v>46112</v>
      </c>
      <c r="I361" s="92" t="n">
        <v>2026</v>
      </c>
      <c r="J361" s="92" t="inlineStr">
        <is>
          <t>G.900013.8.9090</t>
        </is>
      </c>
      <c r="K361" s="92" t="inlineStr">
        <is>
          <t>G.900013</t>
        </is>
      </c>
      <c r="L361" s="92" t="inlineStr">
        <is>
          <t>Boswaard, Boskamers</t>
        </is>
      </c>
      <c r="M361" s="92" t="inlineStr">
        <is>
          <t>Opstal</t>
        </is>
      </c>
      <c r="N361" s="92" t="inlineStr">
        <is>
          <t>J</t>
        </is>
      </c>
      <c r="O361" s="92" t="inlineStr">
        <is>
          <t>Woningverkopen Q2</t>
        </is>
      </c>
      <c r="P361" s="109" t="n">
        <v>5</v>
      </c>
      <c r="Q361" s="92" t="inlineStr">
        <is>
          <t>aantal</t>
        </is>
      </c>
      <c r="R361" s="92" t="inlineStr">
        <is>
          <t>Synthetische snapshot; kwartalen zijn FY-verdeling, geen actuals</t>
        </is>
      </c>
      <c r="S361" s="15" t="str">
        <f>IF(J361="","",J361&amp;"|"&amp;E361&amp;"|"&amp;F361&amp;"|"&amp;I361&amp;"|"&amp;O361)</f>
        <v>G.900013.8.9090|2026|Q1|2026|Woningverkopen Q2</v>
      </c>
      <c r="T361" s="15">
        <f>IF(OR(S361="",D361&lt;&gt;"Vastgesteld"),"",_xlfn.MAXIFS($G$6:$G$5005,$S$6:$S$5005,S361,$D$6:$D$5005,"Vastgesteld"))</f>
        <v>0</v>
      </c>
      <c r="U361" s="15">
        <f>IF(T361="",0,IF(AND(G361=T361,COUNTIFS($S$6:S361,S361,$G$6:G361,G361,$D$6:D361,"Vastgesteld")=1),1,0))</f>
        <v>1</v>
      </c>
      <c r="V361" s="15">
        <f>IF(T361="",0,IF(AND(G361=T361,COUNTIFS($S$6:S361,S361,$G$6:G361,G361,$D$6:D361,"Vastgesteld")&gt;1),1,0))</f>
        <v>0</v>
      </c>
    </row>
    <row r="362">
      <c r="A362" s="92" t="inlineStr">
        <is>
          <t>HIST-2026-Q1</t>
        </is>
      </c>
      <c r="B362" s="92" t="inlineStr">
        <is>
          <t>RDFO_FICTIEVE_historie_en_mapping.xlsx</t>
        </is>
      </c>
      <c r="C362" s="108" t="n">
        <v>46324</v>
      </c>
      <c r="D362" s="92" t="inlineStr">
        <is>
          <t>Vastgesteld</t>
        </is>
      </c>
      <c r="E362" s="92" t="n">
        <v>2026</v>
      </c>
      <c r="F362" s="92" t="inlineStr">
        <is>
          <t>Q1</t>
        </is>
      </c>
      <c r="G362" s="92" t="n">
        <v>0</v>
      </c>
      <c r="H362" s="108" t="n">
        <v>46112</v>
      </c>
      <c r="I362" s="92" t="n">
        <v>2026</v>
      </c>
      <c r="J362" s="92" t="inlineStr">
        <is>
          <t>G.900013.8.9090</t>
        </is>
      </c>
      <c r="K362" s="92" t="inlineStr">
        <is>
          <t>G.900013</t>
        </is>
      </c>
      <c r="L362" s="92" t="inlineStr">
        <is>
          <t>Boswaard, Boskamers</t>
        </is>
      </c>
      <c r="M362" s="92" t="inlineStr">
        <is>
          <t>Opstal</t>
        </is>
      </c>
      <c r="N362" s="92" t="inlineStr">
        <is>
          <t>J</t>
        </is>
      </c>
      <c r="O362" s="92" t="inlineStr">
        <is>
          <t>Woningverkopen Q3</t>
        </is>
      </c>
      <c r="P362" s="109" t="n">
        <v>5</v>
      </c>
      <c r="Q362" s="92" t="inlineStr">
        <is>
          <t>aantal</t>
        </is>
      </c>
      <c r="R362" s="92" t="inlineStr">
        <is>
          <t>Synthetische snapshot; kwartalen zijn FY-verdeling, geen actuals</t>
        </is>
      </c>
      <c r="S362" s="15" t="str">
        <f>IF(J362="","",J362&amp;"|"&amp;E362&amp;"|"&amp;F362&amp;"|"&amp;I362&amp;"|"&amp;O362)</f>
        <v>G.900013.8.9090|2026|Q1|2026|Woningverkopen Q3</v>
      </c>
      <c r="T362" s="15">
        <f>IF(OR(S362="",D362&lt;&gt;"Vastgesteld"),"",_xlfn.MAXIFS($G$6:$G$5005,$S$6:$S$5005,S362,$D$6:$D$5005,"Vastgesteld"))</f>
        <v>0</v>
      </c>
      <c r="U362" s="15">
        <f>IF(T362="",0,IF(AND(G362=T362,COUNTIFS($S$6:S362,S362,$G$6:G362,G362,$D$6:D362,"Vastgesteld")=1),1,0))</f>
        <v>1</v>
      </c>
      <c r="V362" s="15">
        <f>IF(T362="",0,IF(AND(G362=T362,COUNTIFS($S$6:S362,S362,$G$6:G362,G362,$D$6:D362,"Vastgesteld")&gt;1),1,0))</f>
        <v>0</v>
      </c>
    </row>
    <row r="363">
      <c r="A363" s="92" t="inlineStr">
        <is>
          <t>HIST-2026-Q1</t>
        </is>
      </c>
      <c r="B363" s="92" t="inlineStr">
        <is>
          <t>RDFO_FICTIEVE_historie_en_mapping.xlsx</t>
        </is>
      </c>
      <c r="C363" s="108" t="n">
        <v>46324</v>
      </c>
      <c r="D363" s="92" t="inlineStr">
        <is>
          <t>Vastgesteld</t>
        </is>
      </c>
      <c r="E363" s="92" t="n">
        <v>2026</v>
      </c>
      <c r="F363" s="92" t="inlineStr">
        <is>
          <t>Q1</t>
        </is>
      </c>
      <c r="G363" s="92" t="n">
        <v>0</v>
      </c>
      <c r="H363" s="108" t="n">
        <v>46112</v>
      </c>
      <c r="I363" s="92" t="n">
        <v>2026</v>
      </c>
      <c r="J363" s="92" t="inlineStr">
        <is>
          <t>G.900013.8.9090</t>
        </is>
      </c>
      <c r="K363" s="92" t="inlineStr">
        <is>
          <t>G.900013</t>
        </is>
      </c>
      <c r="L363" s="92" t="inlineStr">
        <is>
          <t>Boswaard, Boskamers</t>
        </is>
      </c>
      <c r="M363" s="92" t="inlineStr">
        <is>
          <t>Opstal</t>
        </is>
      </c>
      <c r="N363" s="92" t="inlineStr">
        <is>
          <t>J</t>
        </is>
      </c>
      <c r="O363" s="92" t="inlineStr">
        <is>
          <t>Woningverkopen Q4</t>
        </is>
      </c>
      <c r="P363" s="109" t="n">
        <v>7</v>
      </c>
      <c r="Q363" s="92" t="inlineStr">
        <is>
          <t>aantal</t>
        </is>
      </c>
      <c r="R363" s="92" t="inlineStr">
        <is>
          <t>Synthetische snapshot; kwartalen zijn FY-verdeling, geen actuals</t>
        </is>
      </c>
      <c r="S363" s="15" t="str">
        <f>IF(J363="","",J363&amp;"|"&amp;E363&amp;"|"&amp;F363&amp;"|"&amp;I363&amp;"|"&amp;O363)</f>
        <v>G.900013.8.9090|2026|Q1|2026|Woningverkopen Q4</v>
      </c>
      <c r="T363" s="15">
        <f>IF(OR(S363="",D363&lt;&gt;"Vastgesteld"),"",_xlfn.MAXIFS($G$6:$G$5005,$S$6:$S$5005,S363,$D$6:$D$5005,"Vastgesteld"))</f>
        <v>0</v>
      </c>
      <c r="U363" s="15">
        <f>IF(T363="",0,IF(AND(G363=T363,COUNTIFS($S$6:S363,S363,$G$6:G363,G363,$D$6:D363,"Vastgesteld")=1),1,0))</f>
        <v>1</v>
      </c>
      <c r="V363" s="15">
        <f>IF(T363="",0,IF(AND(G363=T363,COUNTIFS($S$6:S363,S363,$G$6:G363,G363,$D$6:D363,"Vastgesteld")&gt;1),1,0))</f>
        <v>0</v>
      </c>
    </row>
    <row r="364">
      <c r="A364" s="92" t="inlineStr">
        <is>
          <t>HIST-2026-Q1</t>
        </is>
      </c>
      <c r="B364" s="92" t="inlineStr">
        <is>
          <t>RDFO_FICTIEVE_historie_en_mapping.xlsx</t>
        </is>
      </c>
      <c r="C364" s="108" t="n">
        <v>46324</v>
      </c>
      <c r="D364" s="92" t="inlineStr">
        <is>
          <t>Vastgesteld</t>
        </is>
      </c>
      <c r="E364" s="92" t="n">
        <v>2026</v>
      </c>
      <c r="F364" s="92" t="inlineStr">
        <is>
          <t>Q1</t>
        </is>
      </c>
      <c r="G364" s="92" t="n">
        <v>0</v>
      </c>
      <c r="H364" s="108" t="n">
        <v>46112</v>
      </c>
      <c r="I364" s="92" t="n">
        <v>2026</v>
      </c>
      <c r="J364" s="92" t="inlineStr">
        <is>
          <t>G.900014.8.9090</t>
        </is>
      </c>
      <c r="K364" s="92" t="inlineStr">
        <is>
          <t>G.900014</t>
        </is>
      </c>
      <c r="L364" s="92" t="inlineStr">
        <is>
          <t>Rietdam, Rietoevers</t>
        </is>
      </c>
      <c r="M364" s="92" t="inlineStr">
        <is>
          <t>Opstal</t>
        </is>
      </c>
      <c r="N364" s="92" t="inlineStr">
        <is>
          <t>J</t>
        </is>
      </c>
      <c r="O364" s="92" t="inlineStr">
        <is>
          <t>Woningverkopen FY</t>
        </is>
      </c>
      <c r="P364" s="109" t="n">
        <v>23</v>
      </c>
      <c r="Q364" s="92" t="inlineStr">
        <is>
          <t>aantal</t>
        </is>
      </c>
      <c r="R364" s="92" t="inlineStr">
        <is>
          <t>Synthetische snapshot; kwartalen zijn FY-verdeling, geen actuals</t>
        </is>
      </c>
      <c r="S364" s="15" t="str">
        <f>IF(J364="","",J364&amp;"|"&amp;E364&amp;"|"&amp;F364&amp;"|"&amp;I364&amp;"|"&amp;O364)</f>
        <v>G.900014.8.9090|2026|Q1|2026|Woningverkopen FY</v>
      </c>
      <c r="T364" s="15">
        <f>IF(OR(S364="",D364&lt;&gt;"Vastgesteld"),"",_xlfn.MAXIFS($G$6:$G$5005,$S$6:$S$5005,S364,$D$6:$D$5005,"Vastgesteld"))</f>
        <v>0</v>
      </c>
      <c r="U364" s="15">
        <f>IF(T364="",0,IF(AND(G364=T364,COUNTIFS($S$6:S364,S364,$G$6:G364,G364,$D$6:D364,"Vastgesteld")=1),1,0))</f>
        <v>1</v>
      </c>
      <c r="V364" s="15">
        <f>IF(T364="",0,IF(AND(G364=T364,COUNTIFS($S$6:S364,S364,$G$6:G364,G364,$D$6:D364,"Vastgesteld")&gt;1),1,0))</f>
        <v>0</v>
      </c>
    </row>
    <row r="365">
      <c r="A365" s="92" t="inlineStr">
        <is>
          <t>HIST-2026-Q1</t>
        </is>
      </c>
      <c r="B365" s="92" t="inlineStr">
        <is>
          <t>RDFO_FICTIEVE_historie_en_mapping.xlsx</t>
        </is>
      </c>
      <c r="C365" s="108" t="n">
        <v>46324</v>
      </c>
      <c r="D365" s="92" t="inlineStr">
        <is>
          <t>Vastgesteld</t>
        </is>
      </c>
      <c r="E365" s="92" t="n">
        <v>2026</v>
      </c>
      <c r="F365" s="92" t="inlineStr">
        <is>
          <t>Q1</t>
        </is>
      </c>
      <c r="G365" s="92" t="n">
        <v>0</v>
      </c>
      <c r="H365" s="108" t="n">
        <v>46112</v>
      </c>
      <c r="I365" s="92" t="n">
        <v>2026</v>
      </c>
      <c r="J365" s="92" t="inlineStr">
        <is>
          <t>G.900014.8.9090</t>
        </is>
      </c>
      <c r="K365" s="92" t="inlineStr">
        <is>
          <t>G.900014</t>
        </is>
      </c>
      <c r="L365" s="92" t="inlineStr">
        <is>
          <t>Rietdam, Rietoevers</t>
        </is>
      </c>
      <c r="M365" s="92" t="inlineStr">
        <is>
          <t>Opstal</t>
        </is>
      </c>
      <c r="N365" s="92" t="inlineStr">
        <is>
          <t>J</t>
        </is>
      </c>
      <c r="O365" s="92" t="inlineStr">
        <is>
          <t>Woningen verkocht t/m vorig jaar</t>
        </is>
      </c>
      <c r="P365" s="109" t="n">
        <v>0</v>
      </c>
      <c r="Q365" s="92" t="inlineStr">
        <is>
          <t>aantal</t>
        </is>
      </c>
      <c r="R365" s="92" t="inlineStr">
        <is>
          <t>Synthetische snapshot; kwartalen zijn FY-verdeling, geen actuals</t>
        </is>
      </c>
      <c r="S365" s="15" t="str">
        <f>IF(J365="","",J365&amp;"|"&amp;E365&amp;"|"&amp;F365&amp;"|"&amp;I365&amp;"|"&amp;O365)</f>
        <v>G.900014.8.9090|2026|Q1|2026|Woningen verkocht t/m vorig jaar</v>
      </c>
      <c r="T365" s="15">
        <f>IF(OR(S365="",D365&lt;&gt;"Vastgesteld"),"",_xlfn.MAXIFS($G$6:$G$5005,$S$6:$S$5005,S365,$D$6:$D$5005,"Vastgesteld"))</f>
        <v>0</v>
      </c>
      <c r="U365" s="15">
        <f>IF(T365="",0,IF(AND(G365=T365,COUNTIFS($S$6:S365,S365,$G$6:G365,G365,$D$6:D365,"Vastgesteld")=1),1,0))</f>
        <v>1</v>
      </c>
      <c r="V365" s="15">
        <f>IF(T365="",0,IF(AND(G365=T365,COUNTIFS($S$6:S365,S365,$G$6:G365,G365,$D$6:D365,"Vastgesteld")&gt;1),1,0))</f>
        <v>0</v>
      </c>
    </row>
    <row r="366">
      <c r="A366" s="92" t="inlineStr">
        <is>
          <t>HIST-2026-Q1</t>
        </is>
      </c>
      <c r="B366" s="92" t="inlineStr">
        <is>
          <t>RDFO_FICTIEVE_historie_en_mapping.xlsx</t>
        </is>
      </c>
      <c r="C366" s="108" t="n">
        <v>46324</v>
      </c>
      <c r="D366" s="92" t="inlineStr">
        <is>
          <t>Vastgesteld</t>
        </is>
      </c>
      <c r="E366" s="92" t="n">
        <v>2026</v>
      </c>
      <c r="F366" s="92" t="inlineStr">
        <is>
          <t>Q1</t>
        </is>
      </c>
      <c r="G366" s="92" t="n">
        <v>0</v>
      </c>
      <c r="H366" s="108" t="n">
        <v>46112</v>
      </c>
      <c r="I366" s="92" t="n">
        <v>2026</v>
      </c>
      <c r="J366" s="92" t="inlineStr">
        <is>
          <t>G.900014.8.9090</t>
        </is>
      </c>
      <c r="K366" s="92" t="inlineStr">
        <is>
          <t>G.900014</t>
        </is>
      </c>
      <c r="L366" s="92" t="inlineStr">
        <is>
          <t>Rietdam, Rietoevers</t>
        </is>
      </c>
      <c r="M366" s="92" t="inlineStr">
        <is>
          <t>Opstal</t>
        </is>
      </c>
      <c r="N366" s="92" t="inlineStr">
        <is>
          <t>J</t>
        </is>
      </c>
      <c r="O366" s="92" t="inlineStr">
        <is>
          <t>Woningverkopen Q1</t>
        </is>
      </c>
      <c r="P366" s="109" t="n">
        <v>4</v>
      </c>
      <c r="Q366" s="92" t="inlineStr">
        <is>
          <t>aantal</t>
        </is>
      </c>
      <c r="R366" s="92" t="inlineStr">
        <is>
          <t>Synthetische snapshot; kwartalen zijn FY-verdeling, geen actuals</t>
        </is>
      </c>
      <c r="S366" s="15" t="str">
        <f>IF(J366="","",J366&amp;"|"&amp;E366&amp;"|"&amp;F366&amp;"|"&amp;I366&amp;"|"&amp;O366)</f>
        <v>G.900014.8.9090|2026|Q1|2026|Woningverkopen Q1</v>
      </c>
      <c r="T366" s="15">
        <f>IF(OR(S366="",D366&lt;&gt;"Vastgesteld"),"",_xlfn.MAXIFS($G$6:$G$5005,$S$6:$S$5005,S366,$D$6:$D$5005,"Vastgesteld"))</f>
        <v>0</v>
      </c>
      <c r="U366" s="15">
        <f>IF(T366="",0,IF(AND(G366=T366,COUNTIFS($S$6:S366,S366,$G$6:G366,G366,$D$6:D366,"Vastgesteld")=1),1,0))</f>
        <v>1</v>
      </c>
      <c r="V366" s="15">
        <f>IF(T366="",0,IF(AND(G366=T366,COUNTIFS($S$6:S366,S366,$G$6:G366,G366,$D$6:D366,"Vastgesteld")&gt;1),1,0))</f>
        <v>0</v>
      </c>
    </row>
    <row r="367">
      <c r="A367" s="92" t="inlineStr">
        <is>
          <t>HIST-2026-Q1</t>
        </is>
      </c>
      <c r="B367" s="92" t="inlineStr">
        <is>
          <t>RDFO_FICTIEVE_historie_en_mapping.xlsx</t>
        </is>
      </c>
      <c r="C367" s="108" t="n">
        <v>46324</v>
      </c>
      <c r="D367" s="92" t="inlineStr">
        <is>
          <t>Vastgesteld</t>
        </is>
      </c>
      <c r="E367" s="92" t="n">
        <v>2026</v>
      </c>
      <c r="F367" s="92" t="inlineStr">
        <is>
          <t>Q1</t>
        </is>
      </c>
      <c r="G367" s="92" t="n">
        <v>0</v>
      </c>
      <c r="H367" s="108" t="n">
        <v>46112</v>
      </c>
      <c r="I367" s="92" t="n">
        <v>2026</v>
      </c>
      <c r="J367" s="92" t="inlineStr">
        <is>
          <t>G.900014.8.9090</t>
        </is>
      </c>
      <c r="K367" s="92" t="inlineStr">
        <is>
          <t>G.900014</t>
        </is>
      </c>
      <c r="L367" s="92" t="inlineStr">
        <is>
          <t>Rietdam, Rietoevers</t>
        </is>
      </c>
      <c r="M367" s="92" t="inlineStr">
        <is>
          <t>Opstal</t>
        </is>
      </c>
      <c r="N367" s="92" t="inlineStr">
        <is>
          <t>J</t>
        </is>
      </c>
      <c r="O367" s="92" t="inlineStr">
        <is>
          <t>Woningverkopen Q2</t>
        </is>
      </c>
      <c r="P367" s="109" t="n">
        <v>5</v>
      </c>
      <c r="Q367" s="92" t="inlineStr">
        <is>
          <t>aantal</t>
        </is>
      </c>
      <c r="R367" s="92" t="inlineStr">
        <is>
          <t>Synthetische snapshot; kwartalen zijn FY-verdeling, geen actuals</t>
        </is>
      </c>
      <c r="S367" s="15" t="str">
        <f>IF(J367="","",J367&amp;"|"&amp;E367&amp;"|"&amp;F367&amp;"|"&amp;I367&amp;"|"&amp;O367)</f>
        <v>G.900014.8.9090|2026|Q1|2026|Woningverkopen Q2</v>
      </c>
      <c r="T367" s="15">
        <f>IF(OR(S367="",D367&lt;&gt;"Vastgesteld"),"",_xlfn.MAXIFS($G$6:$G$5005,$S$6:$S$5005,S367,$D$6:$D$5005,"Vastgesteld"))</f>
        <v>0</v>
      </c>
      <c r="U367" s="15">
        <f>IF(T367="",0,IF(AND(G367=T367,COUNTIFS($S$6:S367,S367,$G$6:G367,G367,$D$6:D367,"Vastgesteld")=1),1,0))</f>
        <v>1</v>
      </c>
      <c r="V367" s="15">
        <f>IF(T367="",0,IF(AND(G367=T367,COUNTIFS($S$6:S367,S367,$G$6:G367,G367,$D$6:D367,"Vastgesteld")&gt;1),1,0))</f>
        <v>0</v>
      </c>
    </row>
    <row r="368">
      <c r="A368" s="92" t="inlineStr">
        <is>
          <t>HIST-2026-Q1</t>
        </is>
      </c>
      <c r="B368" s="92" t="inlineStr">
        <is>
          <t>RDFO_FICTIEVE_historie_en_mapping.xlsx</t>
        </is>
      </c>
      <c r="C368" s="108" t="n">
        <v>46324</v>
      </c>
      <c r="D368" s="92" t="inlineStr">
        <is>
          <t>Vastgesteld</t>
        </is>
      </c>
      <c r="E368" s="92" t="n">
        <v>2026</v>
      </c>
      <c r="F368" s="92" t="inlineStr">
        <is>
          <t>Q1</t>
        </is>
      </c>
      <c r="G368" s="92" t="n">
        <v>0</v>
      </c>
      <c r="H368" s="108" t="n">
        <v>46112</v>
      </c>
      <c r="I368" s="92" t="n">
        <v>2026</v>
      </c>
      <c r="J368" s="92" t="inlineStr">
        <is>
          <t>G.900014.8.9090</t>
        </is>
      </c>
      <c r="K368" s="92" t="inlineStr">
        <is>
          <t>G.900014</t>
        </is>
      </c>
      <c r="L368" s="92" t="inlineStr">
        <is>
          <t>Rietdam, Rietoevers</t>
        </is>
      </c>
      <c r="M368" s="92" t="inlineStr">
        <is>
          <t>Opstal</t>
        </is>
      </c>
      <c r="N368" s="92" t="inlineStr">
        <is>
          <t>J</t>
        </is>
      </c>
      <c r="O368" s="92" t="inlineStr">
        <is>
          <t>Woningverkopen Q3</t>
        </is>
      </c>
      <c r="P368" s="109" t="n">
        <v>5</v>
      </c>
      <c r="Q368" s="92" t="inlineStr">
        <is>
          <t>aantal</t>
        </is>
      </c>
      <c r="R368" s="92" t="inlineStr">
        <is>
          <t>Synthetische snapshot; kwartalen zijn FY-verdeling, geen actuals</t>
        </is>
      </c>
      <c r="S368" s="15" t="str">
        <f>IF(J368="","",J368&amp;"|"&amp;E368&amp;"|"&amp;F368&amp;"|"&amp;I368&amp;"|"&amp;O368)</f>
        <v>G.900014.8.9090|2026|Q1|2026|Woningverkopen Q3</v>
      </c>
      <c r="T368" s="15">
        <f>IF(OR(S368="",D368&lt;&gt;"Vastgesteld"),"",_xlfn.MAXIFS($G$6:$G$5005,$S$6:$S$5005,S368,$D$6:$D$5005,"Vastgesteld"))</f>
        <v>0</v>
      </c>
      <c r="U368" s="15">
        <f>IF(T368="",0,IF(AND(G368=T368,COUNTIFS($S$6:S368,S368,$G$6:G368,G368,$D$6:D368,"Vastgesteld")=1),1,0))</f>
        <v>1</v>
      </c>
      <c r="V368" s="15">
        <f>IF(T368="",0,IF(AND(G368=T368,COUNTIFS($S$6:S368,S368,$G$6:G368,G368,$D$6:D368,"Vastgesteld")&gt;1),1,0))</f>
        <v>0</v>
      </c>
    </row>
    <row r="369">
      <c r="A369" s="92" t="inlineStr">
        <is>
          <t>HIST-2026-Q1</t>
        </is>
      </c>
      <c r="B369" s="92" t="inlineStr">
        <is>
          <t>RDFO_FICTIEVE_historie_en_mapping.xlsx</t>
        </is>
      </c>
      <c r="C369" s="108" t="n">
        <v>46324</v>
      </c>
      <c r="D369" s="92" t="inlineStr">
        <is>
          <t>Vastgesteld</t>
        </is>
      </c>
      <c r="E369" s="92" t="n">
        <v>2026</v>
      </c>
      <c r="F369" s="92" t="inlineStr">
        <is>
          <t>Q1</t>
        </is>
      </c>
      <c r="G369" s="92" t="n">
        <v>0</v>
      </c>
      <c r="H369" s="108" t="n">
        <v>46112</v>
      </c>
      <c r="I369" s="92" t="n">
        <v>2026</v>
      </c>
      <c r="J369" s="92" t="inlineStr">
        <is>
          <t>G.900014.8.9090</t>
        </is>
      </c>
      <c r="K369" s="92" t="inlineStr">
        <is>
          <t>G.900014</t>
        </is>
      </c>
      <c r="L369" s="92" t="inlineStr">
        <is>
          <t>Rietdam, Rietoevers</t>
        </is>
      </c>
      <c r="M369" s="92" t="inlineStr">
        <is>
          <t>Opstal</t>
        </is>
      </c>
      <c r="N369" s="92" t="inlineStr">
        <is>
          <t>J</t>
        </is>
      </c>
      <c r="O369" s="92" t="inlineStr">
        <is>
          <t>Woningverkopen Q4</t>
        </is>
      </c>
      <c r="P369" s="109" t="n">
        <v>9</v>
      </c>
      <c r="Q369" s="92" t="inlineStr">
        <is>
          <t>aantal</t>
        </is>
      </c>
      <c r="R369" s="92" t="inlineStr">
        <is>
          <t>Synthetische snapshot; kwartalen zijn FY-verdeling, geen actuals</t>
        </is>
      </c>
      <c r="S369" s="15" t="str">
        <f>IF(J369="","",J369&amp;"|"&amp;E369&amp;"|"&amp;F369&amp;"|"&amp;I369&amp;"|"&amp;O369)</f>
        <v>G.900014.8.9090|2026|Q1|2026|Woningverkopen Q4</v>
      </c>
      <c r="T369" s="15">
        <f>IF(OR(S369="",D369&lt;&gt;"Vastgesteld"),"",_xlfn.MAXIFS($G$6:$G$5005,$S$6:$S$5005,S369,$D$6:$D$5005,"Vastgesteld"))</f>
        <v>0</v>
      </c>
      <c r="U369" s="15">
        <f>IF(T369="",0,IF(AND(G369=T369,COUNTIFS($S$6:S369,S369,$G$6:G369,G369,$D$6:D369,"Vastgesteld")=1),1,0))</f>
        <v>1</v>
      </c>
      <c r="V369" s="15">
        <f>IF(T369="",0,IF(AND(G369=T369,COUNTIFS($S$6:S369,S369,$G$6:G369,G369,$D$6:D369,"Vastgesteld")&gt;1),1,0))</f>
        <v>0</v>
      </c>
    </row>
    <row r="370">
      <c r="A370" s="92" t="inlineStr">
        <is>
          <t>HIST-2026-Q1</t>
        </is>
      </c>
      <c r="B370" s="92" t="inlineStr">
        <is>
          <t>RDFO_FICTIEVE_historie_en_mapping.xlsx</t>
        </is>
      </c>
      <c r="C370" s="108" t="n">
        <v>46324</v>
      </c>
      <c r="D370" s="92" t="inlineStr">
        <is>
          <t>Vastgesteld</t>
        </is>
      </c>
      <c r="E370" s="92" t="n">
        <v>2026</v>
      </c>
      <c r="F370" s="92" t="inlineStr">
        <is>
          <t>Q1</t>
        </is>
      </c>
      <c r="G370" s="92" t="n">
        <v>0</v>
      </c>
      <c r="H370" s="108" t="n">
        <v>46112</v>
      </c>
      <c r="I370" s="92" t="n">
        <v>2026</v>
      </c>
      <c r="J370" s="92" t="inlineStr">
        <is>
          <t>G.900015.8.9090</t>
        </is>
      </c>
      <c r="K370" s="92" t="inlineStr">
        <is>
          <t>G.900015</t>
        </is>
      </c>
      <c r="L370" s="92" t="inlineStr">
        <is>
          <t>Lindehaven, Parkzoom fase 2</t>
        </is>
      </c>
      <c r="M370" s="92" t="inlineStr">
        <is>
          <t>Opstal</t>
        </is>
      </c>
      <c r="N370" s="92" t="inlineStr">
        <is>
          <t>J</t>
        </is>
      </c>
      <c r="O370" s="92" t="inlineStr">
        <is>
          <t>Woningverkopen FY</t>
        </is>
      </c>
      <c r="P370" s="109" t="n">
        <v>38</v>
      </c>
      <c r="Q370" s="92" t="inlineStr">
        <is>
          <t>aantal</t>
        </is>
      </c>
      <c r="R370" s="92" t="inlineStr">
        <is>
          <t>Synthetische snapshot; kwartalen zijn FY-verdeling, geen actuals</t>
        </is>
      </c>
      <c r="S370" s="15" t="str">
        <f>IF(J370="","",J370&amp;"|"&amp;E370&amp;"|"&amp;F370&amp;"|"&amp;I370&amp;"|"&amp;O370)</f>
        <v>G.900015.8.9090|2026|Q1|2026|Woningverkopen FY</v>
      </c>
      <c r="T370" s="15">
        <f>IF(OR(S370="",D370&lt;&gt;"Vastgesteld"),"",_xlfn.MAXIFS($G$6:$G$5005,$S$6:$S$5005,S370,$D$6:$D$5005,"Vastgesteld"))</f>
        <v>0</v>
      </c>
      <c r="U370" s="15">
        <f>IF(T370="",0,IF(AND(G370=T370,COUNTIFS($S$6:S370,S370,$G$6:G370,G370,$D$6:D370,"Vastgesteld")=1),1,0))</f>
        <v>1</v>
      </c>
      <c r="V370" s="15">
        <f>IF(T370="",0,IF(AND(G370=T370,COUNTIFS($S$6:S370,S370,$G$6:G370,G370,$D$6:D370,"Vastgesteld")&gt;1),1,0))</f>
        <v>0</v>
      </c>
    </row>
    <row r="371">
      <c r="A371" s="92" t="inlineStr">
        <is>
          <t>HIST-2026-Q1</t>
        </is>
      </c>
      <c r="B371" s="92" t="inlineStr">
        <is>
          <t>RDFO_FICTIEVE_historie_en_mapping.xlsx</t>
        </is>
      </c>
      <c r="C371" s="108" t="n">
        <v>46324</v>
      </c>
      <c r="D371" s="92" t="inlineStr">
        <is>
          <t>Vastgesteld</t>
        </is>
      </c>
      <c r="E371" s="92" t="n">
        <v>2026</v>
      </c>
      <c r="F371" s="92" t="inlineStr">
        <is>
          <t>Q1</t>
        </is>
      </c>
      <c r="G371" s="92" t="n">
        <v>0</v>
      </c>
      <c r="H371" s="108" t="n">
        <v>46112</v>
      </c>
      <c r="I371" s="92" t="n">
        <v>2026</v>
      </c>
      <c r="J371" s="92" t="inlineStr">
        <is>
          <t>G.900015.8.9090</t>
        </is>
      </c>
      <c r="K371" s="92" t="inlineStr">
        <is>
          <t>G.900015</t>
        </is>
      </c>
      <c r="L371" s="92" t="inlineStr">
        <is>
          <t>Lindehaven, Parkzoom fase 2</t>
        </is>
      </c>
      <c r="M371" s="92" t="inlineStr">
        <is>
          <t>Opstal</t>
        </is>
      </c>
      <c r="N371" s="92" t="inlineStr">
        <is>
          <t>J</t>
        </is>
      </c>
      <c r="O371" s="92" t="inlineStr">
        <is>
          <t>Woningen verkocht t/m vorig jaar</t>
        </is>
      </c>
      <c r="P371" s="109" t="n">
        <v>0</v>
      </c>
      <c r="Q371" s="92" t="inlineStr">
        <is>
          <t>aantal</t>
        </is>
      </c>
      <c r="R371" s="92" t="inlineStr">
        <is>
          <t>Synthetische snapshot; kwartalen zijn FY-verdeling, geen actuals</t>
        </is>
      </c>
      <c r="S371" s="15" t="str">
        <f>IF(J371="","",J371&amp;"|"&amp;E371&amp;"|"&amp;F371&amp;"|"&amp;I371&amp;"|"&amp;O371)</f>
        <v>G.900015.8.9090|2026|Q1|2026|Woningen verkocht t/m vorig jaar</v>
      </c>
      <c r="T371" s="15">
        <f>IF(OR(S371="",D371&lt;&gt;"Vastgesteld"),"",_xlfn.MAXIFS($G$6:$G$5005,$S$6:$S$5005,S371,$D$6:$D$5005,"Vastgesteld"))</f>
        <v>0</v>
      </c>
      <c r="U371" s="15">
        <f>IF(T371="",0,IF(AND(G371=T371,COUNTIFS($S$6:S371,S371,$G$6:G371,G371,$D$6:D371,"Vastgesteld")=1),1,0))</f>
        <v>1</v>
      </c>
      <c r="V371" s="15">
        <f>IF(T371="",0,IF(AND(G371=T371,COUNTIFS($S$6:S371,S371,$G$6:G371,G371,$D$6:D371,"Vastgesteld")&gt;1),1,0))</f>
        <v>0</v>
      </c>
    </row>
    <row r="372">
      <c r="A372" s="92" t="inlineStr">
        <is>
          <t>HIST-2026-Q1</t>
        </is>
      </c>
      <c r="B372" s="92" t="inlineStr">
        <is>
          <t>RDFO_FICTIEVE_historie_en_mapping.xlsx</t>
        </is>
      </c>
      <c r="C372" s="108" t="n">
        <v>46324</v>
      </c>
      <c r="D372" s="92" t="inlineStr">
        <is>
          <t>Vastgesteld</t>
        </is>
      </c>
      <c r="E372" s="92" t="n">
        <v>2026</v>
      </c>
      <c r="F372" s="92" t="inlineStr">
        <is>
          <t>Q1</t>
        </is>
      </c>
      <c r="G372" s="92" t="n">
        <v>0</v>
      </c>
      <c r="H372" s="108" t="n">
        <v>46112</v>
      </c>
      <c r="I372" s="92" t="n">
        <v>2026</v>
      </c>
      <c r="J372" s="92" t="inlineStr">
        <is>
          <t>G.900015.8.9090</t>
        </is>
      </c>
      <c r="K372" s="92" t="inlineStr">
        <is>
          <t>G.900015</t>
        </is>
      </c>
      <c r="L372" s="92" t="inlineStr">
        <is>
          <t>Lindehaven, Parkzoom fase 2</t>
        </is>
      </c>
      <c r="M372" s="92" t="inlineStr">
        <is>
          <t>Opstal</t>
        </is>
      </c>
      <c r="N372" s="92" t="inlineStr">
        <is>
          <t>J</t>
        </is>
      </c>
      <c r="O372" s="92" t="inlineStr">
        <is>
          <t>Woningverkopen Q1</t>
        </is>
      </c>
      <c r="P372" s="109" t="n">
        <v>7</v>
      </c>
      <c r="Q372" s="92" t="inlineStr">
        <is>
          <t>aantal</t>
        </is>
      </c>
      <c r="R372" s="92" t="inlineStr">
        <is>
          <t>Synthetische snapshot; kwartalen zijn FY-verdeling, geen actuals</t>
        </is>
      </c>
      <c r="S372" s="15" t="str">
        <f>IF(J372="","",J372&amp;"|"&amp;E372&amp;"|"&amp;F372&amp;"|"&amp;I372&amp;"|"&amp;O372)</f>
        <v>G.900015.8.9090|2026|Q1|2026|Woningverkopen Q1</v>
      </c>
      <c r="T372" s="15">
        <f>IF(OR(S372="",D372&lt;&gt;"Vastgesteld"),"",_xlfn.MAXIFS($G$6:$G$5005,$S$6:$S$5005,S372,$D$6:$D$5005,"Vastgesteld"))</f>
        <v>0</v>
      </c>
      <c r="U372" s="15">
        <f>IF(T372="",0,IF(AND(G372=T372,COUNTIFS($S$6:S372,S372,$G$6:G372,G372,$D$6:D372,"Vastgesteld")=1),1,0))</f>
        <v>1</v>
      </c>
      <c r="V372" s="15">
        <f>IF(T372="",0,IF(AND(G372=T372,COUNTIFS($S$6:S372,S372,$G$6:G372,G372,$D$6:D372,"Vastgesteld")&gt;1),1,0))</f>
        <v>0</v>
      </c>
    </row>
    <row r="373">
      <c r="A373" s="92" t="inlineStr">
        <is>
          <t>HIST-2026-Q1</t>
        </is>
      </c>
      <c r="B373" s="92" t="inlineStr">
        <is>
          <t>RDFO_FICTIEVE_historie_en_mapping.xlsx</t>
        </is>
      </c>
      <c r="C373" s="108" t="n">
        <v>46324</v>
      </c>
      <c r="D373" s="92" t="inlineStr">
        <is>
          <t>Vastgesteld</t>
        </is>
      </c>
      <c r="E373" s="92" t="n">
        <v>2026</v>
      </c>
      <c r="F373" s="92" t="inlineStr">
        <is>
          <t>Q1</t>
        </is>
      </c>
      <c r="G373" s="92" t="n">
        <v>0</v>
      </c>
      <c r="H373" s="108" t="n">
        <v>46112</v>
      </c>
      <c r="I373" s="92" t="n">
        <v>2026</v>
      </c>
      <c r="J373" s="92" t="inlineStr">
        <is>
          <t>G.900015.8.9090</t>
        </is>
      </c>
      <c r="K373" s="92" t="inlineStr">
        <is>
          <t>G.900015</t>
        </is>
      </c>
      <c r="L373" s="92" t="inlineStr">
        <is>
          <t>Lindehaven, Parkzoom fase 2</t>
        </is>
      </c>
      <c r="M373" s="92" t="inlineStr">
        <is>
          <t>Opstal</t>
        </is>
      </c>
      <c r="N373" s="92" t="inlineStr">
        <is>
          <t>J</t>
        </is>
      </c>
      <c r="O373" s="92" t="inlineStr">
        <is>
          <t>Woningverkopen Q2</t>
        </is>
      </c>
      <c r="P373" s="109" t="n">
        <v>9</v>
      </c>
      <c r="Q373" s="92" t="inlineStr">
        <is>
          <t>aantal</t>
        </is>
      </c>
      <c r="R373" s="92" t="inlineStr">
        <is>
          <t>Synthetische snapshot; kwartalen zijn FY-verdeling, geen actuals</t>
        </is>
      </c>
      <c r="S373" s="15" t="str">
        <f>IF(J373="","",J373&amp;"|"&amp;E373&amp;"|"&amp;F373&amp;"|"&amp;I373&amp;"|"&amp;O373)</f>
        <v>G.900015.8.9090|2026|Q1|2026|Woningverkopen Q2</v>
      </c>
      <c r="T373" s="15">
        <f>IF(OR(S373="",D373&lt;&gt;"Vastgesteld"),"",_xlfn.MAXIFS($G$6:$G$5005,$S$6:$S$5005,S373,$D$6:$D$5005,"Vastgesteld"))</f>
        <v>0</v>
      </c>
      <c r="U373" s="15">
        <f>IF(T373="",0,IF(AND(G373=T373,COUNTIFS($S$6:S373,S373,$G$6:G373,G373,$D$6:D373,"Vastgesteld")=1),1,0))</f>
        <v>1</v>
      </c>
      <c r="V373" s="15">
        <f>IF(T373="",0,IF(AND(G373=T373,COUNTIFS($S$6:S373,S373,$G$6:G373,G373,$D$6:D373,"Vastgesteld")&gt;1),1,0))</f>
        <v>0</v>
      </c>
    </row>
    <row r="374">
      <c r="A374" s="92" t="inlineStr">
        <is>
          <t>HIST-2026-Q1</t>
        </is>
      </c>
      <c r="B374" s="92" t="inlineStr">
        <is>
          <t>RDFO_FICTIEVE_historie_en_mapping.xlsx</t>
        </is>
      </c>
      <c r="C374" s="108" t="n">
        <v>46324</v>
      </c>
      <c r="D374" s="92" t="inlineStr">
        <is>
          <t>Vastgesteld</t>
        </is>
      </c>
      <c r="E374" s="92" t="n">
        <v>2026</v>
      </c>
      <c r="F374" s="92" t="inlineStr">
        <is>
          <t>Q1</t>
        </is>
      </c>
      <c r="G374" s="92" t="n">
        <v>0</v>
      </c>
      <c r="H374" s="108" t="n">
        <v>46112</v>
      </c>
      <c r="I374" s="92" t="n">
        <v>2026</v>
      </c>
      <c r="J374" s="92" t="inlineStr">
        <is>
          <t>G.900015.8.9090</t>
        </is>
      </c>
      <c r="K374" s="92" t="inlineStr">
        <is>
          <t>G.900015</t>
        </is>
      </c>
      <c r="L374" s="92" t="inlineStr">
        <is>
          <t>Lindehaven, Parkzoom fase 2</t>
        </is>
      </c>
      <c r="M374" s="92" t="inlineStr">
        <is>
          <t>Opstal</t>
        </is>
      </c>
      <c r="N374" s="92" t="inlineStr">
        <is>
          <t>J</t>
        </is>
      </c>
      <c r="O374" s="92" t="inlineStr">
        <is>
          <t>Woningverkopen Q3</t>
        </is>
      </c>
      <c r="P374" s="109" t="n">
        <v>9</v>
      </c>
      <c r="Q374" s="92" t="inlineStr">
        <is>
          <t>aantal</t>
        </is>
      </c>
      <c r="R374" s="92" t="inlineStr">
        <is>
          <t>Synthetische snapshot; kwartalen zijn FY-verdeling, geen actuals</t>
        </is>
      </c>
      <c r="S374" s="15" t="str">
        <f>IF(J374="","",J374&amp;"|"&amp;E374&amp;"|"&amp;F374&amp;"|"&amp;I374&amp;"|"&amp;O374)</f>
        <v>G.900015.8.9090|2026|Q1|2026|Woningverkopen Q3</v>
      </c>
      <c r="T374" s="15">
        <f>IF(OR(S374="",D374&lt;&gt;"Vastgesteld"),"",_xlfn.MAXIFS($G$6:$G$5005,$S$6:$S$5005,S374,$D$6:$D$5005,"Vastgesteld"))</f>
        <v>0</v>
      </c>
      <c r="U374" s="15">
        <f>IF(T374="",0,IF(AND(G374=T374,COUNTIFS($S$6:S374,S374,$G$6:G374,G374,$D$6:D374,"Vastgesteld")=1),1,0))</f>
        <v>1</v>
      </c>
      <c r="V374" s="15">
        <f>IF(T374="",0,IF(AND(G374=T374,COUNTIFS($S$6:S374,S374,$G$6:G374,G374,$D$6:D374,"Vastgesteld")&gt;1),1,0))</f>
        <v>0</v>
      </c>
    </row>
    <row r="375">
      <c r="A375" s="92" t="inlineStr">
        <is>
          <t>HIST-2026-Q1</t>
        </is>
      </c>
      <c r="B375" s="92" t="inlineStr">
        <is>
          <t>RDFO_FICTIEVE_historie_en_mapping.xlsx</t>
        </is>
      </c>
      <c r="C375" s="108" t="n">
        <v>46324</v>
      </c>
      <c r="D375" s="92" t="inlineStr">
        <is>
          <t>Vastgesteld</t>
        </is>
      </c>
      <c r="E375" s="92" t="n">
        <v>2026</v>
      </c>
      <c r="F375" s="92" t="inlineStr">
        <is>
          <t>Q1</t>
        </is>
      </c>
      <c r="G375" s="92" t="n">
        <v>0</v>
      </c>
      <c r="H375" s="108" t="n">
        <v>46112</v>
      </c>
      <c r="I375" s="92" t="n">
        <v>2026</v>
      </c>
      <c r="J375" s="92" t="inlineStr">
        <is>
          <t>G.900015.8.9090</t>
        </is>
      </c>
      <c r="K375" s="92" t="inlineStr">
        <is>
          <t>G.900015</t>
        </is>
      </c>
      <c r="L375" s="92" t="inlineStr">
        <is>
          <t>Lindehaven, Parkzoom fase 2</t>
        </is>
      </c>
      <c r="M375" s="92" t="inlineStr">
        <is>
          <t>Opstal</t>
        </is>
      </c>
      <c r="N375" s="92" t="inlineStr">
        <is>
          <t>J</t>
        </is>
      </c>
      <c r="O375" s="92" t="inlineStr">
        <is>
          <t>Woningverkopen Q4</t>
        </is>
      </c>
      <c r="P375" s="109" t="n">
        <v>13</v>
      </c>
      <c r="Q375" s="92" t="inlineStr">
        <is>
          <t>aantal</t>
        </is>
      </c>
      <c r="R375" s="92" t="inlineStr">
        <is>
          <t>Synthetische snapshot; kwartalen zijn FY-verdeling, geen actuals</t>
        </is>
      </c>
      <c r="S375" s="15" t="str">
        <f>IF(J375="","",J375&amp;"|"&amp;E375&amp;"|"&amp;F375&amp;"|"&amp;I375&amp;"|"&amp;O375)</f>
        <v>G.900015.8.9090|2026|Q1|2026|Woningverkopen Q4</v>
      </c>
      <c r="T375" s="15">
        <f>IF(OR(S375="",D375&lt;&gt;"Vastgesteld"),"",_xlfn.MAXIFS($G$6:$G$5005,$S$6:$S$5005,S375,$D$6:$D$5005,"Vastgesteld"))</f>
        <v>0</v>
      </c>
      <c r="U375" s="15">
        <f>IF(T375="",0,IF(AND(G375=T375,COUNTIFS($S$6:S375,S375,$G$6:G375,G375,$D$6:D375,"Vastgesteld")=1),1,0))</f>
        <v>1</v>
      </c>
      <c r="V375" s="15">
        <f>IF(T375="",0,IF(AND(G375=T375,COUNTIFS($S$6:S375,S375,$G$6:G375,G375,$D$6:D375,"Vastgesteld")&gt;1),1,0))</f>
        <v>0</v>
      </c>
    </row>
    <row r="376">
      <c r="A376" s="92" t="inlineStr">
        <is>
          <t>HIST-2026-Q1</t>
        </is>
      </c>
      <c r="B376" s="92" t="inlineStr">
        <is>
          <t>RDFO_FICTIEVE_historie_en_mapping.xlsx</t>
        </is>
      </c>
      <c r="C376" s="108" t="n">
        <v>46324</v>
      </c>
      <c r="D376" s="92" t="inlineStr">
        <is>
          <t>Vastgesteld</t>
        </is>
      </c>
      <c r="E376" s="92" t="n">
        <v>2026</v>
      </c>
      <c r="F376" s="92" t="inlineStr">
        <is>
          <t>Q1</t>
        </is>
      </c>
      <c r="G376" s="92" t="n">
        <v>0</v>
      </c>
      <c r="H376" s="108" t="n">
        <v>46112</v>
      </c>
      <c r="I376" s="92" t="n">
        <v>2026</v>
      </c>
      <c r="J376" s="92" t="inlineStr">
        <is>
          <t>G.900016.8.9090</t>
        </is>
      </c>
      <c r="K376" s="92" t="inlineStr">
        <is>
          <t>G.900016</t>
        </is>
      </c>
      <c r="L376" s="92" t="inlineStr">
        <is>
          <t>Duinwaard, De Lantaarn</t>
        </is>
      </c>
      <c r="M376" s="92" t="inlineStr">
        <is>
          <t>Opstal</t>
        </is>
      </c>
      <c r="N376" s="92" t="inlineStr">
        <is>
          <t>J</t>
        </is>
      </c>
      <c r="O376" s="92" t="inlineStr">
        <is>
          <t>Woningverkopen FY</t>
        </is>
      </c>
      <c r="P376" s="109" t="n">
        <v>12</v>
      </c>
      <c r="Q376" s="92" t="inlineStr">
        <is>
          <t>aantal</t>
        </is>
      </c>
      <c r="R376" s="92" t="inlineStr">
        <is>
          <t>Synthetische snapshot; kwartalen zijn FY-verdeling, geen actuals</t>
        </is>
      </c>
      <c r="S376" s="15" t="str">
        <f>IF(J376="","",J376&amp;"|"&amp;E376&amp;"|"&amp;F376&amp;"|"&amp;I376&amp;"|"&amp;O376)</f>
        <v>G.900016.8.9090|2026|Q1|2026|Woningverkopen FY</v>
      </c>
      <c r="T376" s="15">
        <f>IF(OR(S376="",D376&lt;&gt;"Vastgesteld"),"",_xlfn.MAXIFS($G$6:$G$5005,$S$6:$S$5005,S376,$D$6:$D$5005,"Vastgesteld"))</f>
        <v>0</v>
      </c>
      <c r="U376" s="15">
        <f>IF(T376="",0,IF(AND(G376=T376,COUNTIFS($S$6:S376,S376,$G$6:G376,G376,$D$6:D376,"Vastgesteld")=1),1,0))</f>
        <v>1</v>
      </c>
      <c r="V376" s="15">
        <f>IF(T376="",0,IF(AND(G376=T376,COUNTIFS($S$6:S376,S376,$G$6:G376,G376,$D$6:D376,"Vastgesteld")&gt;1),1,0))</f>
        <v>0</v>
      </c>
    </row>
    <row r="377">
      <c r="A377" s="92" t="inlineStr">
        <is>
          <t>HIST-2026-Q1</t>
        </is>
      </c>
      <c r="B377" s="92" t="inlineStr">
        <is>
          <t>RDFO_FICTIEVE_historie_en_mapping.xlsx</t>
        </is>
      </c>
      <c r="C377" s="108" t="n">
        <v>46324</v>
      </c>
      <c r="D377" s="92" t="inlineStr">
        <is>
          <t>Vastgesteld</t>
        </is>
      </c>
      <c r="E377" s="92" t="n">
        <v>2026</v>
      </c>
      <c r="F377" s="92" t="inlineStr">
        <is>
          <t>Q1</t>
        </is>
      </c>
      <c r="G377" s="92" t="n">
        <v>0</v>
      </c>
      <c r="H377" s="108" t="n">
        <v>46112</v>
      </c>
      <c r="I377" s="92" t="n">
        <v>2026</v>
      </c>
      <c r="J377" s="92" t="inlineStr">
        <is>
          <t>G.900016.8.9090</t>
        </is>
      </c>
      <c r="K377" s="92" t="inlineStr">
        <is>
          <t>G.900016</t>
        </is>
      </c>
      <c r="L377" s="92" t="inlineStr">
        <is>
          <t>Duinwaard, De Lantaarn</t>
        </is>
      </c>
      <c r="M377" s="92" t="inlineStr">
        <is>
          <t>Opstal</t>
        </is>
      </c>
      <c r="N377" s="92" t="inlineStr">
        <is>
          <t>J</t>
        </is>
      </c>
      <c r="O377" s="92" t="inlineStr">
        <is>
          <t>Woningen verkocht t/m vorig jaar</t>
        </is>
      </c>
      <c r="P377" s="109" t="n">
        <v>0</v>
      </c>
      <c r="Q377" s="92" t="inlineStr">
        <is>
          <t>aantal</t>
        </is>
      </c>
      <c r="R377" s="92" t="inlineStr">
        <is>
          <t>Synthetische snapshot; kwartalen zijn FY-verdeling, geen actuals</t>
        </is>
      </c>
      <c r="S377" s="15" t="str">
        <f>IF(J377="","",J377&amp;"|"&amp;E377&amp;"|"&amp;F377&amp;"|"&amp;I377&amp;"|"&amp;O377)</f>
        <v>G.900016.8.9090|2026|Q1|2026|Woningen verkocht t/m vorig jaar</v>
      </c>
      <c r="T377" s="15">
        <f>IF(OR(S377="",D377&lt;&gt;"Vastgesteld"),"",_xlfn.MAXIFS($G$6:$G$5005,$S$6:$S$5005,S377,$D$6:$D$5005,"Vastgesteld"))</f>
        <v>0</v>
      </c>
      <c r="U377" s="15">
        <f>IF(T377="",0,IF(AND(G377=T377,COUNTIFS($S$6:S377,S377,$G$6:G377,G377,$D$6:D377,"Vastgesteld")=1),1,0))</f>
        <v>1</v>
      </c>
      <c r="V377" s="15">
        <f>IF(T377="",0,IF(AND(G377=T377,COUNTIFS($S$6:S377,S377,$G$6:G377,G377,$D$6:D377,"Vastgesteld")&gt;1),1,0))</f>
        <v>0</v>
      </c>
    </row>
    <row r="378">
      <c r="A378" s="92" t="inlineStr">
        <is>
          <t>HIST-2026-Q1</t>
        </is>
      </c>
      <c r="B378" s="92" t="inlineStr">
        <is>
          <t>RDFO_FICTIEVE_historie_en_mapping.xlsx</t>
        </is>
      </c>
      <c r="C378" s="108" t="n">
        <v>46324</v>
      </c>
      <c r="D378" s="92" t="inlineStr">
        <is>
          <t>Vastgesteld</t>
        </is>
      </c>
      <c r="E378" s="92" t="n">
        <v>2026</v>
      </c>
      <c r="F378" s="92" t="inlineStr">
        <is>
          <t>Q1</t>
        </is>
      </c>
      <c r="G378" s="92" t="n">
        <v>0</v>
      </c>
      <c r="H378" s="108" t="n">
        <v>46112</v>
      </c>
      <c r="I378" s="92" t="n">
        <v>2026</v>
      </c>
      <c r="J378" s="92" t="inlineStr">
        <is>
          <t>G.900016.8.9090</t>
        </is>
      </c>
      <c r="K378" s="92" t="inlineStr">
        <is>
          <t>G.900016</t>
        </is>
      </c>
      <c r="L378" s="92" t="inlineStr">
        <is>
          <t>Duinwaard, De Lantaarn</t>
        </is>
      </c>
      <c r="M378" s="92" t="inlineStr">
        <is>
          <t>Opstal</t>
        </is>
      </c>
      <c r="N378" s="92" t="inlineStr">
        <is>
          <t>J</t>
        </is>
      </c>
      <c r="O378" s="92" t="inlineStr">
        <is>
          <t>Woningverkopen Q1</t>
        </is>
      </c>
      <c r="P378" s="109" t="n">
        <v>2</v>
      </c>
      <c r="Q378" s="92" t="inlineStr">
        <is>
          <t>aantal</t>
        </is>
      </c>
      <c r="R378" s="92" t="inlineStr">
        <is>
          <t>Synthetische snapshot; kwartalen zijn FY-verdeling, geen actuals</t>
        </is>
      </c>
      <c r="S378" s="15" t="str">
        <f>IF(J378="","",J378&amp;"|"&amp;E378&amp;"|"&amp;F378&amp;"|"&amp;I378&amp;"|"&amp;O378)</f>
        <v>G.900016.8.9090|2026|Q1|2026|Woningverkopen Q1</v>
      </c>
      <c r="T378" s="15">
        <f>IF(OR(S378="",D378&lt;&gt;"Vastgesteld"),"",_xlfn.MAXIFS($G$6:$G$5005,$S$6:$S$5005,S378,$D$6:$D$5005,"Vastgesteld"))</f>
        <v>0</v>
      </c>
      <c r="U378" s="15">
        <f>IF(T378="",0,IF(AND(G378=T378,COUNTIFS($S$6:S378,S378,$G$6:G378,G378,$D$6:D378,"Vastgesteld")=1),1,0))</f>
        <v>1</v>
      </c>
      <c r="V378" s="15">
        <f>IF(T378="",0,IF(AND(G378=T378,COUNTIFS($S$6:S378,S378,$G$6:G378,G378,$D$6:D378,"Vastgesteld")&gt;1),1,0))</f>
        <v>0</v>
      </c>
    </row>
    <row r="379">
      <c r="A379" s="92" t="inlineStr">
        <is>
          <t>HIST-2026-Q1</t>
        </is>
      </c>
      <c r="B379" s="92" t="inlineStr">
        <is>
          <t>RDFO_FICTIEVE_historie_en_mapping.xlsx</t>
        </is>
      </c>
      <c r="C379" s="108" t="n">
        <v>46324</v>
      </c>
      <c r="D379" s="92" t="inlineStr">
        <is>
          <t>Vastgesteld</t>
        </is>
      </c>
      <c r="E379" s="92" t="n">
        <v>2026</v>
      </c>
      <c r="F379" s="92" t="inlineStr">
        <is>
          <t>Q1</t>
        </is>
      </c>
      <c r="G379" s="92" t="n">
        <v>0</v>
      </c>
      <c r="H379" s="108" t="n">
        <v>46112</v>
      </c>
      <c r="I379" s="92" t="n">
        <v>2026</v>
      </c>
      <c r="J379" s="92" t="inlineStr">
        <is>
          <t>G.900016.8.9090</t>
        </is>
      </c>
      <c r="K379" s="92" t="inlineStr">
        <is>
          <t>G.900016</t>
        </is>
      </c>
      <c r="L379" s="92" t="inlineStr">
        <is>
          <t>Duinwaard, De Lantaarn</t>
        </is>
      </c>
      <c r="M379" s="92" t="inlineStr">
        <is>
          <t>Opstal</t>
        </is>
      </c>
      <c r="N379" s="92" t="inlineStr">
        <is>
          <t>J</t>
        </is>
      </c>
      <c r="O379" s="92" t="inlineStr">
        <is>
          <t>Woningverkopen Q2</t>
        </is>
      </c>
      <c r="P379" s="109" t="n">
        <v>3</v>
      </c>
      <c r="Q379" s="92" t="inlineStr">
        <is>
          <t>aantal</t>
        </is>
      </c>
      <c r="R379" s="92" t="inlineStr">
        <is>
          <t>Synthetische snapshot; kwartalen zijn FY-verdeling, geen actuals</t>
        </is>
      </c>
      <c r="S379" s="15" t="str">
        <f>IF(J379="","",J379&amp;"|"&amp;E379&amp;"|"&amp;F379&amp;"|"&amp;I379&amp;"|"&amp;O379)</f>
        <v>G.900016.8.9090|2026|Q1|2026|Woningverkopen Q2</v>
      </c>
      <c r="T379" s="15">
        <f>IF(OR(S379="",D379&lt;&gt;"Vastgesteld"),"",_xlfn.MAXIFS($G$6:$G$5005,$S$6:$S$5005,S379,$D$6:$D$5005,"Vastgesteld"))</f>
        <v>0</v>
      </c>
      <c r="U379" s="15">
        <f>IF(T379="",0,IF(AND(G379=T379,COUNTIFS($S$6:S379,S379,$G$6:G379,G379,$D$6:D379,"Vastgesteld")=1),1,0))</f>
        <v>1</v>
      </c>
      <c r="V379" s="15">
        <f>IF(T379="",0,IF(AND(G379=T379,COUNTIFS($S$6:S379,S379,$G$6:G379,G379,$D$6:D379,"Vastgesteld")&gt;1),1,0))</f>
        <v>0</v>
      </c>
    </row>
    <row r="380">
      <c r="A380" s="92" t="inlineStr">
        <is>
          <t>HIST-2026-Q1</t>
        </is>
      </c>
      <c r="B380" s="92" t="inlineStr">
        <is>
          <t>RDFO_FICTIEVE_historie_en_mapping.xlsx</t>
        </is>
      </c>
      <c r="C380" s="108" t="n">
        <v>46324</v>
      </c>
      <c r="D380" s="92" t="inlineStr">
        <is>
          <t>Vastgesteld</t>
        </is>
      </c>
      <c r="E380" s="92" t="n">
        <v>2026</v>
      </c>
      <c r="F380" s="92" t="inlineStr">
        <is>
          <t>Q1</t>
        </is>
      </c>
      <c r="G380" s="92" t="n">
        <v>0</v>
      </c>
      <c r="H380" s="108" t="n">
        <v>46112</v>
      </c>
      <c r="I380" s="92" t="n">
        <v>2026</v>
      </c>
      <c r="J380" s="92" t="inlineStr">
        <is>
          <t>G.900016.8.9090</t>
        </is>
      </c>
      <c r="K380" s="92" t="inlineStr">
        <is>
          <t>G.900016</t>
        </is>
      </c>
      <c r="L380" s="92" t="inlineStr">
        <is>
          <t>Duinwaard, De Lantaarn</t>
        </is>
      </c>
      <c r="M380" s="92" t="inlineStr">
        <is>
          <t>Opstal</t>
        </is>
      </c>
      <c r="N380" s="92" t="inlineStr">
        <is>
          <t>J</t>
        </is>
      </c>
      <c r="O380" s="92" t="inlineStr">
        <is>
          <t>Woningverkopen Q3</t>
        </is>
      </c>
      <c r="P380" s="109" t="n">
        <v>3</v>
      </c>
      <c r="Q380" s="92" t="inlineStr">
        <is>
          <t>aantal</t>
        </is>
      </c>
      <c r="R380" s="92" t="inlineStr">
        <is>
          <t>Synthetische snapshot; kwartalen zijn FY-verdeling, geen actuals</t>
        </is>
      </c>
      <c r="S380" s="15" t="str">
        <f>IF(J380="","",J380&amp;"|"&amp;E380&amp;"|"&amp;F380&amp;"|"&amp;I380&amp;"|"&amp;O380)</f>
        <v>G.900016.8.9090|2026|Q1|2026|Woningverkopen Q3</v>
      </c>
      <c r="T380" s="15">
        <f>IF(OR(S380="",D380&lt;&gt;"Vastgesteld"),"",_xlfn.MAXIFS($G$6:$G$5005,$S$6:$S$5005,S380,$D$6:$D$5005,"Vastgesteld"))</f>
        <v>0</v>
      </c>
      <c r="U380" s="15">
        <f>IF(T380="",0,IF(AND(G380=T380,COUNTIFS($S$6:S380,S380,$G$6:G380,G380,$D$6:D380,"Vastgesteld")=1),1,0))</f>
        <v>1</v>
      </c>
      <c r="V380" s="15">
        <f>IF(T380="",0,IF(AND(G380=T380,COUNTIFS($S$6:S380,S380,$G$6:G380,G380,$D$6:D380,"Vastgesteld")&gt;1),1,0))</f>
        <v>0</v>
      </c>
    </row>
    <row r="381">
      <c r="A381" s="92" t="inlineStr">
        <is>
          <t>HIST-2026-Q1</t>
        </is>
      </c>
      <c r="B381" s="92" t="inlineStr">
        <is>
          <t>RDFO_FICTIEVE_historie_en_mapping.xlsx</t>
        </is>
      </c>
      <c r="C381" s="108" t="n">
        <v>46324</v>
      </c>
      <c r="D381" s="92" t="inlineStr">
        <is>
          <t>Vastgesteld</t>
        </is>
      </c>
      <c r="E381" s="92" t="n">
        <v>2026</v>
      </c>
      <c r="F381" s="92" t="inlineStr">
        <is>
          <t>Q1</t>
        </is>
      </c>
      <c r="G381" s="92" t="n">
        <v>0</v>
      </c>
      <c r="H381" s="108" t="n">
        <v>46112</v>
      </c>
      <c r="I381" s="92" t="n">
        <v>2026</v>
      </c>
      <c r="J381" s="92" t="inlineStr">
        <is>
          <t>G.900016.8.9090</t>
        </is>
      </c>
      <c r="K381" s="92" t="inlineStr">
        <is>
          <t>G.900016</t>
        </is>
      </c>
      <c r="L381" s="92" t="inlineStr">
        <is>
          <t>Duinwaard, De Lantaarn</t>
        </is>
      </c>
      <c r="M381" s="92" t="inlineStr">
        <is>
          <t>Opstal</t>
        </is>
      </c>
      <c r="N381" s="92" t="inlineStr">
        <is>
          <t>J</t>
        </is>
      </c>
      <c r="O381" s="92" t="inlineStr">
        <is>
          <t>Woningverkopen Q4</t>
        </is>
      </c>
      <c r="P381" s="109" t="n">
        <v>4</v>
      </c>
      <c r="Q381" s="92" t="inlineStr">
        <is>
          <t>aantal</t>
        </is>
      </c>
      <c r="R381" s="92" t="inlineStr">
        <is>
          <t>Synthetische snapshot; kwartalen zijn FY-verdeling, geen actuals</t>
        </is>
      </c>
      <c r="S381" s="15" t="str">
        <f>IF(J381="","",J381&amp;"|"&amp;E381&amp;"|"&amp;F381&amp;"|"&amp;I381&amp;"|"&amp;O381)</f>
        <v>G.900016.8.9090|2026|Q1|2026|Woningverkopen Q4</v>
      </c>
      <c r="T381" s="15">
        <f>IF(OR(S381="",D381&lt;&gt;"Vastgesteld"),"",_xlfn.MAXIFS($G$6:$G$5005,$S$6:$S$5005,S381,$D$6:$D$5005,"Vastgesteld"))</f>
        <v>0</v>
      </c>
      <c r="U381" s="15">
        <f>IF(T381="",0,IF(AND(G381=T381,COUNTIFS($S$6:S381,S381,$G$6:G381,G381,$D$6:D381,"Vastgesteld")=1),1,0))</f>
        <v>1</v>
      </c>
      <c r="V381" s="15">
        <f>IF(T381="",0,IF(AND(G381=T381,COUNTIFS($S$6:S381,S381,$G$6:G381,G381,$D$6:D381,"Vastgesteld")&gt;1),1,0))</f>
        <v>0</v>
      </c>
    </row>
    <row r="382">
      <c r="A382" s="92" t="inlineStr">
        <is>
          <t>HIST-2026-Q1</t>
        </is>
      </c>
      <c r="B382" s="92" t="inlineStr">
        <is>
          <t>RDFO_FICTIEVE_historie_en_mapping.xlsx</t>
        </is>
      </c>
      <c r="C382" s="108" t="n">
        <v>46324</v>
      </c>
      <c r="D382" s="92" t="inlineStr">
        <is>
          <t>Vastgesteld</t>
        </is>
      </c>
      <c r="E382" s="92" t="n">
        <v>2026</v>
      </c>
      <c r="F382" s="92" t="inlineStr">
        <is>
          <t>Q1</t>
        </is>
      </c>
      <c r="G382" s="92" t="n">
        <v>0</v>
      </c>
      <c r="H382" s="108" t="n">
        <v>46112</v>
      </c>
      <c r="I382" s="92" t="n">
        <v>2026</v>
      </c>
      <c r="J382" s="92" t="inlineStr">
        <is>
          <t>G.900017.8.9090</t>
        </is>
      </c>
      <c r="K382" s="92" t="inlineStr">
        <is>
          <t>G.900017</t>
        </is>
      </c>
      <c r="L382" s="92" t="inlineStr">
        <is>
          <t>Veldendam, Spoorpark</t>
        </is>
      </c>
      <c r="M382" s="92" t="inlineStr">
        <is>
          <t>Opstal</t>
        </is>
      </c>
      <c r="N382" s="92" t="inlineStr">
        <is>
          <t>J</t>
        </is>
      </c>
      <c r="O382" s="92" t="inlineStr">
        <is>
          <t>Woningverkopen FY</t>
        </is>
      </c>
      <c r="P382" s="109" t="n">
        <v>30</v>
      </c>
      <c r="Q382" s="92" t="inlineStr">
        <is>
          <t>aantal</t>
        </is>
      </c>
      <c r="R382" s="92" t="inlineStr">
        <is>
          <t>Synthetische snapshot; kwartalen zijn FY-verdeling, geen actuals</t>
        </is>
      </c>
      <c r="S382" s="15" t="str">
        <f>IF(J382="","",J382&amp;"|"&amp;E382&amp;"|"&amp;F382&amp;"|"&amp;I382&amp;"|"&amp;O382)</f>
        <v>G.900017.8.9090|2026|Q1|2026|Woningverkopen FY</v>
      </c>
      <c r="T382" s="15">
        <f>IF(OR(S382="",D382&lt;&gt;"Vastgesteld"),"",_xlfn.MAXIFS($G$6:$G$5005,$S$6:$S$5005,S382,$D$6:$D$5005,"Vastgesteld"))</f>
        <v>0</v>
      </c>
      <c r="U382" s="15">
        <f>IF(T382="",0,IF(AND(G382=T382,COUNTIFS($S$6:S382,S382,$G$6:G382,G382,$D$6:D382,"Vastgesteld")=1),1,0))</f>
        <v>1</v>
      </c>
      <c r="V382" s="15">
        <f>IF(T382="",0,IF(AND(G382=T382,COUNTIFS($S$6:S382,S382,$G$6:G382,G382,$D$6:D382,"Vastgesteld")&gt;1),1,0))</f>
        <v>0</v>
      </c>
    </row>
    <row r="383">
      <c r="A383" s="92" t="inlineStr">
        <is>
          <t>HIST-2026-Q1</t>
        </is>
      </c>
      <c r="B383" s="92" t="inlineStr">
        <is>
          <t>RDFO_FICTIEVE_historie_en_mapping.xlsx</t>
        </is>
      </c>
      <c r="C383" s="108" t="n">
        <v>46324</v>
      </c>
      <c r="D383" s="92" t="inlineStr">
        <is>
          <t>Vastgesteld</t>
        </is>
      </c>
      <c r="E383" s="92" t="n">
        <v>2026</v>
      </c>
      <c r="F383" s="92" t="inlineStr">
        <is>
          <t>Q1</t>
        </is>
      </c>
      <c r="G383" s="92" t="n">
        <v>0</v>
      </c>
      <c r="H383" s="108" t="n">
        <v>46112</v>
      </c>
      <c r="I383" s="92" t="n">
        <v>2026</v>
      </c>
      <c r="J383" s="92" t="inlineStr">
        <is>
          <t>G.900017.8.9090</t>
        </is>
      </c>
      <c r="K383" s="92" t="inlineStr">
        <is>
          <t>G.900017</t>
        </is>
      </c>
      <c r="L383" s="92" t="inlineStr">
        <is>
          <t>Veldendam, Spoorpark</t>
        </is>
      </c>
      <c r="M383" s="92" t="inlineStr">
        <is>
          <t>Opstal</t>
        </is>
      </c>
      <c r="N383" s="92" t="inlineStr">
        <is>
          <t>J</t>
        </is>
      </c>
      <c r="O383" s="92" t="inlineStr">
        <is>
          <t>Woningen verkocht t/m vorig jaar</t>
        </is>
      </c>
      <c r="P383" s="109" t="n">
        <v>0</v>
      </c>
      <c r="Q383" s="92" t="inlineStr">
        <is>
          <t>aantal</t>
        </is>
      </c>
      <c r="R383" s="92" t="inlineStr">
        <is>
          <t>Synthetische snapshot; kwartalen zijn FY-verdeling, geen actuals</t>
        </is>
      </c>
      <c r="S383" s="15" t="str">
        <f>IF(J383="","",J383&amp;"|"&amp;E383&amp;"|"&amp;F383&amp;"|"&amp;I383&amp;"|"&amp;O383)</f>
        <v>G.900017.8.9090|2026|Q1|2026|Woningen verkocht t/m vorig jaar</v>
      </c>
      <c r="T383" s="15">
        <f>IF(OR(S383="",D383&lt;&gt;"Vastgesteld"),"",_xlfn.MAXIFS($G$6:$G$5005,$S$6:$S$5005,S383,$D$6:$D$5005,"Vastgesteld"))</f>
        <v>0</v>
      </c>
      <c r="U383" s="15">
        <f>IF(T383="",0,IF(AND(G383=T383,COUNTIFS($S$6:S383,S383,$G$6:G383,G383,$D$6:D383,"Vastgesteld")=1),1,0))</f>
        <v>1</v>
      </c>
      <c r="V383" s="15">
        <f>IF(T383="",0,IF(AND(G383=T383,COUNTIFS($S$6:S383,S383,$G$6:G383,G383,$D$6:D383,"Vastgesteld")&gt;1),1,0))</f>
        <v>0</v>
      </c>
    </row>
    <row r="384">
      <c r="A384" s="92" t="inlineStr">
        <is>
          <t>HIST-2026-Q1</t>
        </is>
      </c>
      <c r="B384" s="92" t="inlineStr">
        <is>
          <t>RDFO_FICTIEVE_historie_en_mapping.xlsx</t>
        </is>
      </c>
      <c r="C384" s="108" t="n">
        <v>46324</v>
      </c>
      <c r="D384" s="92" t="inlineStr">
        <is>
          <t>Vastgesteld</t>
        </is>
      </c>
      <c r="E384" s="92" t="n">
        <v>2026</v>
      </c>
      <c r="F384" s="92" t="inlineStr">
        <is>
          <t>Q1</t>
        </is>
      </c>
      <c r="G384" s="92" t="n">
        <v>0</v>
      </c>
      <c r="H384" s="108" t="n">
        <v>46112</v>
      </c>
      <c r="I384" s="92" t="n">
        <v>2026</v>
      </c>
      <c r="J384" s="92" t="inlineStr">
        <is>
          <t>G.900017.8.9090</t>
        </is>
      </c>
      <c r="K384" s="92" t="inlineStr">
        <is>
          <t>G.900017</t>
        </is>
      </c>
      <c r="L384" s="92" t="inlineStr">
        <is>
          <t>Veldendam, Spoorpark</t>
        </is>
      </c>
      <c r="M384" s="92" t="inlineStr">
        <is>
          <t>Opstal</t>
        </is>
      </c>
      <c r="N384" s="92" t="inlineStr">
        <is>
          <t>J</t>
        </is>
      </c>
      <c r="O384" s="92" t="inlineStr">
        <is>
          <t>Woningverkopen Q1</t>
        </is>
      </c>
      <c r="P384" s="109" t="n">
        <v>6</v>
      </c>
      <c r="Q384" s="92" t="inlineStr">
        <is>
          <t>aantal</t>
        </is>
      </c>
      <c r="R384" s="92" t="inlineStr">
        <is>
          <t>Synthetische snapshot; kwartalen zijn FY-verdeling, geen actuals</t>
        </is>
      </c>
      <c r="S384" s="15" t="str">
        <f>IF(J384="","",J384&amp;"|"&amp;E384&amp;"|"&amp;F384&amp;"|"&amp;I384&amp;"|"&amp;O384)</f>
        <v>G.900017.8.9090|2026|Q1|2026|Woningverkopen Q1</v>
      </c>
      <c r="T384" s="15">
        <f>IF(OR(S384="",D384&lt;&gt;"Vastgesteld"),"",_xlfn.MAXIFS($G$6:$G$5005,$S$6:$S$5005,S384,$D$6:$D$5005,"Vastgesteld"))</f>
        <v>0</v>
      </c>
      <c r="U384" s="15">
        <f>IF(T384="",0,IF(AND(G384=T384,COUNTIFS($S$6:S384,S384,$G$6:G384,G384,$D$6:D384,"Vastgesteld")=1),1,0))</f>
        <v>1</v>
      </c>
      <c r="V384" s="15">
        <f>IF(T384="",0,IF(AND(G384=T384,COUNTIFS($S$6:S384,S384,$G$6:G384,G384,$D$6:D384,"Vastgesteld")&gt;1),1,0))</f>
        <v>0</v>
      </c>
    </row>
    <row r="385">
      <c r="A385" s="92" t="inlineStr">
        <is>
          <t>HIST-2026-Q1</t>
        </is>
      </c>
      <c r="B385" s="92" t="inlineStr">
        <is>
          <t>RDFO_FICTIEVE_historie_en_mapping.xlsx</t>
        </is>
      </c>
      <c r="C385" s="108" t="n">
        <v>46324</v>
      </c>
      <c r="D385" s="92" t="inlineStr">
        <is>
          <t>Vastgesteld</t>
        </is>
      </c>
      <c r="E385" s="92" t="n">
        <v>2026</v>
      </c>
      <c r="F385" s="92" t="inlineStr">
        <is>
          <t>Q1</t>
        </is>
      </c>
      <c r="G385" s="92" t="n">
        <v>0</v>
      </c>
      <c r="H385" s="108" t="n">
        <v>46112</v>
      </c>
      <c r="I385" s="92" t="n">
        <v>2026</v>
      </c>
      <c r="J385" s="92" t="inlineStr">
        <is>
          <t>G.900017.8.9090</t>
        </is>
      </c>
      <c r="K385" s="92" t="inlineStr">
        <is>
          <t>G.900017</t>
        </is>
      </c>
      <c r="L385" s="92" t="inlineStr">
        <is>
          <t>Veldendam, Spoorpark</t>
        </is>
      </c>
      <c r="M385" s="92" t="inlineStr">
        <is>
          <t>Opstal</t>
        </is>
      </c>
      <c r="N385" s="92" t="inlineStr">
        <is>
          <t>J</t>
        </is>
      </c>
      <c r="O385" s="92" t="inlineStr">
        <is>
          <t>Woningverkopen Q2</t>
        </is>
      </c>
      <c r="P385" s="109" t="n">
        <v>7</v>
      </c>
      <c r="Q385" s="92" t="inlineStr">
        <is>
          <t>aantal</t>
        </is>
      </c>
      <c r="R385" s="92" t="inlineStr">
        <is>
          <t>Synthetische snapshot; kwartalen zijn FY-verdeling, geen actuals</t>
        </is>
      </c>
      <c r="S385" s="15" t="str">
        <f>IF(J385="","",J385&amp;"|"&amp;E385&amp;"|"&amp;F385&amp;"|"&amp;I385&amp;"|"&amp;O385)</f>
        <v>G.900017.8.9090|2026|Q1|2026|Woningverkopen Q2</v>
      </c>
      <c r="T385" s="15">
        <f>IF(OR(S385="",D385&lt;&gt;"Vastgesteld"),"",_xlfn.MAXIFS($G$6:$G$5005,$S$6:$S$5005,S385,$D$6:$D$5005,"Vastgesteld"))</f>
        <v>0</v>
      </c>
      <c r="U385" s="15">
        <f>IF(T385="",0,IF(AND(G385=T385,COUNTIFS($S$6:S385,S385,$G$6:G385,G385,$D$6:D385,"Vastgesteld")=1),1,0))</f>
        <v>1</v>
      </c>
      <c r="V385" s="15">
        <f>IF(T385="",0,IF(AND(G385=T385,COUNTIFS($S$6:S385,S385,$G$6:G385,G385,$D$6:D385,"Vastgesteld")&gt;1),1,0))</f>
        <v>0</v>
      </c>
    </row>
    <row r="386">
      <c r="A386" s="92" t="inlineStr">
        <is>
          <t>HIST-2026-Q1</t>
        </is>
      </c>
      <c r="B386" s="92" t="inlineStr">
        <is>
          <t>RDFO_FICTIEVE_historie_en_mapping.xlsx</t>
        </is>
      </c>
      <c r="C386" s="108" t="n">
        <v>46324</v>
      </c>
      <c r="D386" s="92" t="inlineStr">
        <is>
          <t>Vastgesteld</t>
        </is>
      </c>
      <c r="E386" s="92" t="n">
        <v>2026</v>
      </c>
      <c r="F386" s="92" t="inlineStr">
        <is>
          <t>Q1</t>
        </is>
      </c>
      <c r="G386" s="92" t="n">
        <v>0</v>
      </c>
      <c r="H386" s="108" t="n">
        <v>46112</v>
      </c>
      <c r="I386" s="92" t="n">
        <v>2026</v>
      </c>
      <c r="J386" s="92" t="inlineStr">
        <is>
          <t>G.900017.8.9090</t>
        </is>
      </c>
      <c r="K386" s="92" t="inlineStr">
        <is>
          <t>G.900017</t>
        </is>
      </c>
      <c r="L386" s="92" t="inlineStr">
        <is>
          <t>Veldendam, Spoorpark</t>
        </is>
      </c>
      <c r="M386" s="92" t="inlineStr">
        <is>
          <t>Opstal</t>
        </is>
      </c>
      <c r="N386" s="92" t="inlineStr">
        <is>
          <t>J</t>
        </is>
      </c>
      <c r="O386" s="92" t="inlineStr">
        <is>
          <t>Woningverkopen Q3</t>
        </is>
      </c>
      <c r="P386" s="109" t="n">
        <v>7</v>
      </c>
      <c r="Q386" s="92" t="inlineStr">
        <is>
          <t>aantal</t>
        </is>
      </c>
      <c r="R386" s="92" t="inlineStr">
        <is>
          <t>Synthetische snapshot; kwartalen zijn FY-verdeling, geen actuals</t>
        </is>
      </c>
      <c r="S386" s="15" t="str">
        <f>IF(J386="","",J386&amp;"|"&amp;E386&amp;"|"&amp;F386&amp;"|"&amp;I386&amp;"|"&amp;O386)</f>
        <v>G.900017.8.9090|2026|Q1|2026|Woningverkopen Q3</v>
      </c>
      <c r="T386" s="15">
        <f>IF(OR(S386="",D386&lt;&gt;"Vastgesteld"),"",_xlfn.MAXIFS($G$6:$G$5005,$S$6:$S$5005,S386,$D$6:$D$5005,"Vastgesteld"))</f>
        <v>0</v>
      </c>
      <c r="U386" s="15">
        <f>IF(T386="",0,IF(AND(G386=T386,COUNTIFS($S$6:S386,S386,$G$6:G386,G386,$D$6:D386,"Vastgesteld")=1),1,0))</f>
        <v>1</v>
      </c>
      <c r="V386" s="15">
        <f>IF(T386="",0,IF(AND(G386=T386,COUNTIFS($S$6:S386,S386,$G$6:G386,G386,$D$6:D386,"Vastgesteld")&gt;1),1,0))</f>
        <v>0</v>
      </c>
    </row>
    <row r="387">
      <c r="A387" s="92" t="inlineStr">
        <is>
          <t>HIST-2026-Q1</t>
        </is>
      </c>
      <c r="B387" s="92" t="inlineStr">
        <is>
          <t>RDFO_FICTIEVE_historie_en_mapping.xlsx</t>
        </is>
      </c>
      <c r="C387" s="108" t="n">
        <v>46324</v>
      </c>
      <c r="D387" s="92" t="inlineStr">
        <is>
          <t>Vastgesteld</t>
        </is>
      </c>
      <c r="E387" s="92" t="n">
        <v>2026</v>
      </c>
      <c r="F387" s="92" t="inlineStr">
        <is>
          <t>Q1</t>
        </is>
      </c>
      <c r="G387" s="92" t="n">
        <v>0</v>
      </c>
      <c r="H387" s="108" t="n">
        <v>46112</v>
      </c>
      <c r="I387" s="92" t="n">
        <v>2026</v>
      </c>
      <c r="J387" s="92" t="inlineStr">
        <is>
          <t>G.900017.8.9090</t>
        </is>
      </c>
      <c r="K387" s="92" t="inlineStr">
        <is>
          <t>G.900017</t>
        </is>
      </c>
      <c r="L387" s="92" t="inlineStr">
        <is>
          <t>Veldendam, Spoorpark</t>
        </is>
      </c>
      <c r="M387" s="92" t="inlineStr">
        <is>
          <t>Opstal</t>
        </is>
      </c>
      <c r="N387" s="92" t="inlineStr">
        <is>
          <t>J</t>
        </is>
      </c>
      <c r="O387" s="92" t="inlineStr">
        <is>
          <t>Woningverkopen Q4</t>
        </is>
      </c>
      <c r="P387" s="109" t="n">
        <v>10</v>
      </c>
      <c r="Q387" s="92" t="inlineStr">
        <is>
          <t>aantal</t>
        </is>
      </c>
      <c r="R387" s="92" t="inlineStr">
        <is>
          <t>Synthetische snapshot; kwartalen zijn FY-verdeling, geen actuals</t>
        </is>
      </c>
      <c r="S387" s="15" t="str">
        <f>IF(J387="","",J387&amp;"|"&amp;E387&amp;"|"&amp;F387&amp;"|"&amp;I387&amp;"|"&amp;O387)</f>
        <v>G.900017.8.9090|2026|Q1|2026|Woningverkopen Q4</v>
      </c>
      <c r="T387" s="15">
        <f>IF(OR(S387="",D387&lt;&gt;"Vastgesteld"),"",_xlfn.MAXIFS($G$6:$G$5005,$S$6:$S$5005,S387,$D$6:$D$5005,"Vastgesteld"))</f>
        <v>0</v>
      </c>
      <c r="U387" s="15">
        <f>IF(T387="",0,IF(AND(G387=T387,COUNTIFS($S$6:S387,S387,$G$6:G387,G387,$D$6:D387,"Vastgesteld")=1),1,0))</f>
        <v>1</v>
      </c>
      <c r="V387" s="15">
        <f>IF(T387="",0,IF(AND(G387=T387,COUNTIFS($S$6:S387,S387,$G$6:G387,G387,$D$6:D387,"Vastgesteld")&gt;1),1,0))</f>
        <v>0</v>
      </c>
    </row>
    <row r="388">
      <c r="A388" s="92" t="inlineStr">
        <is>
          <t>HIST-2026-Q1</t>
        </is>
      </c>
      <c r="B388" s="92" t="inlineStr">
        <is>
          <t>RDFO_FICTIEVE_historie_en_mapping.xlsx</t>
        </is>
      </c>
      <c r="C388" s="108" t="n">
        <v>46324</v>
      </c>
      <c r="D388" s="92" t="inlineStr">
        <is>
          <t>Vastgesteld</t>
        </is>
      </c>
      <c r="E388" s="92" t="n">
        <v>2026</v>
      </c>
      <c r="F388" s="92" t="inlineStr">
        <is>
          <t>Q1</t>
        </is>
      </c>
      <c r="G388" s="92" t="n">
        <v>0</v>
      </c>
      <c r="H388" s="108" t="n">
        <v>46112</v>
      </c>
      <c r="I388" s="92" t="n">
        <v>2026</v>
      </c>
      <c r="J388" s="92" t="inlineStr">
        <is>
          <t>G.900018.8.9090</t>
        </is>
      </c>
      <c r="K388" s="92" t="inlineStr">
        <is>
          <t>G.900018</t>
        </is>
      </c>
      <c r="L388" s="92" t="inlineStr">
        <is>
          <t>Meerhovenstad, De Boog</t>
        </is>
      </c>
      <c r="M388" s="92" t="inlineStr">
        <is>
          <t>Deelneming</t>
        </is>
      </c>
      <c r="N388" s="92" t="inlineStr">
        <is>
          <t>N</t>
        </is>
      </c>
      <c r="O388" s="92" t="inlineStr">
        <is>
          <t>Woningverkopen FY</t>
        </is>
      </c>
      <c r="P388" s="109" t="n">
        <v>17</v>
      </c>
      <c r="Q388" s="92" t="inlineStr">
        <is>
          <t>aantal</t>
        </is>
      </c>
      <c r="R388" s="92" t="inlineStr">
        <is>
          <t>Synthetische snapshot; kwartalen zijn FY-verdeling, geen actuals</t>
        </is>
      </c>
      <c r="S388" s="15" t="str">
        <f>IF(J388="","",J388&amp;"|"&amp;E388&amp;"|"&amp;F388&amp;"|"&amp;I388&amp;"|"&amp;O388)</f>
        <v>G.900018.8.9090|2026|Q1|2026|Woningverkopen FY</v>
      </c>
      <c r="T388" s="15">
        <f>IF(OR(S388="",D388&lt;&gt;"Vastgesteld"),"",_xlfn.MAXIFS($G$6:$G$5005,$S$6:$S$5005,S388,$D$6:$D$5005,"Vastgesteld"))</f>
        <v>0</v>
      </c>
      <c r="U388" s="15">
        <f>IF(T388="",0,IF(AND(G388=T388,COUNTIFS($S$6:S388,S388,$G$6:G388,G388,$D$6:D388,"Vastgesteld")=1),1,0))</f>
        <v>1</v>
      </c>
      <c r="V388" s="15">
        <f>IF(T388="",0,IF(AND(G388=T388,COUNTIFS($S$6:S388,S388,$G$6:G388,G388,$D$6:D388,"Vastgesteld")&gt;1),1,0))</f>
        <v>0</v>
      </c>
    </row>
    <row r="389">
      <c r="A389" s="92" t="inlineStr">
        <is>
          <t>HIST-2026-Q1</t>
        </is>
      </c>
      <c r="B389" s="92" t="inlineStr">
        <is>
          <t>RDFO_FICTIEVE_historie_en_mapping.xlsx</t>
        </is>
      </c>
      <c r="C389" s="108" t="n">
        <v>46324</v>
      </c>
      <c r="D389" s="92" t="inlineStr">
        <is>
          <t>Vastgesteld</t>
        </is>
      </c>
      <c r="E389" s="92" t="n">
        <v>2026</v>
      </c>
      <c r="F389" s="92" t="inlineStr">
        <is>
          <t>Q1</t>
        </is>
      </c>
      <c r="G389" s="92" t="n">
        <v>0</v>
      </c>
      <c r="H389" s="108" t="n">
        <v>46112</v>
      </c>
      <c r="I389" s="92" t="n">
        <v>2026</v>
      </c>
      <c r="J389" s="92" t="inlineStr">
        <is>
          <t>G.900018.8.9090</t>
        </is>
      </c>
      <c r="K389" s="92" t="inlineStr">
        <is>
          <t>G.900018</t>
        </is>
      </c>
      <c r="L389" s="92" t="inlineStr">
        <is>
          <t>Meerhovenstad, De Boog</t>
        </is>
      </c>
      <c r="M389" s="92" t="inlineStr">
        <is>
          <t>Deelneming</t>
        </is>
      </c>
      <c r="N389" s="92" t="inlineStr">
        <is>
          <t>N</t>
        </is>
      </c>
      <c r="O389" s="92" t="inlineStr">
        <is>
          <t>Woningen verkocht t/m vorig jaar</t>
        </is>
      </c>
      <c r="P389" s="109" t="n">
        <v>0</v>
      </c>
      <c r="Q389" s="92" t="inlineStr">
        <is>
          <t>aantal</t>
        </is>
      </c>
      <c r="R389" s="92" t="inlineStr">
        <is>
          <t>Synthetische snapshot; kwartalen zijn FY-verdeling, geen actuals</t>
        </is>
      </c>
      <c r="S389" s="15" t="str">
        <f>IF(J389="","",J389&amp;"|"&amp;E389&amp;"|"&amp;F389&amp;"|"&amp;I389&amp;"|"&amp;O389)</f>
        <v>G.900018.8.9090|2026|Q1|2026|Woningen verkocht t/m vorig jaar</v>
      </c>
      <c r="T389" s="15">
        <f>IF(OR(S389="",D389&lt;&gt;"Vastgesteld"),"",_xlfn.MAXIFS($G$6:$G$5005,$S$6:$S$5005,S389,$D$6:$D$5005,"Vastgesteld"))</f>
        <v>0</v>
      </c>
      <c r="U389" s="15">
        <f>IF(T389="",0,IF(AND(G389=T389,COUNTIFS($S$6:S389,S389,$G$6:G389,G389,$D$6:D389,"Vastgesteld")=1),1,0))</f>
        <v>1</v>
      </c>
      <c r="V389" s="15">
        <f>IF(T389="",0,IF(AND(G389=T389,COUNTIFS($S$6:S389,S389,$G$6:G389,G389,$D$6:D389,"Vastgesteld")&gt;1),1,0))</f>
        <v>0</v>
      </c>
    </row>
    <row r="390">
      <c r="A390" s="92" t="inlineStr">
        <is>
          <t>HIST-2026-Q1</t>
        </is>
      </c>
      <c r="B390" s="92" t="inlineStr">
        <is>
          <t>RDFO_FICTIEVE_historie_en_mapping.xlsx</t>
        </is>
      </c>
      <c r="C390" s="108" t="n">
        <v>46324</v>
      </c>
      <c r="D390" s="92" t="inlineStr">
        <is>
          <t>Vastgesteld</t>
        </is>
      </c>
      <c r="E390" s="92" t="n">
        <v>2026</v>
      </c>
      <c r="F390" s="92" t="inlineStr">
        <is>
          <t>Q1</t>
        </is>
      </c>
      <c r="G390" s="92" t="n">
        <v>0</v>
      </c>
      <c r="H390" s="108" t="n">
        <v>46112</v>
      </c>
      <c r="I390" s="92" t="n">
        <v>2026</v>
      </c>
      <c r="J390" s="92" t="inlineStr">
        <is>
          <t>G.900018.8.9090</t>
        </is>
      </c>
      <c r="K390" s="92" t="inlineStr">
        <is>
          <t>G.900018</t>
        </is>
      </c>
      <c r="L390" s="92" t="inlineStr">
        <is>
          <t>Meerhovenstad, De Boog</t>
        </is>
      </c>
      <c r="M390" s="92" t="inlineStr">
        <is>
          <t>Deelneming</t>
        </is>
      </c>
      <c r="N390" s="92" t="inlineStr">
        <is>
          <t>N</t>
        </is>
      </c>
      <c r="O390" s="92" t="inlineStr">
        <is>
          <t>Woningverkopen Q1</t>
        </is>
      </c>
      <c r="P390" s="109" t="n">
        <v>3</v>
      </c>
      <c r="Q390" s="92" t="inlineStr">
        <is>
          <t>aantal</t>
        </is>
      </c>
      <c r="R390" s="92" t="inlineStr">
        <is>
          <t>Synthetische snapshot; kwartalen zijn FY-verdeling, geen actuals</t>
        </is>
      </c>
      <c r="S390" s="15" t="str">
        <f>IF(J390="","",J390&amp;"|"&amp;E390&amp;"|"&amp;F390&amp;"|"&amp;I390&amp;"|"&amp;O390)</f>
        <v>G.900018.8.9090|2026|Q1|2026|Woningverkopen Q1</v>
      </c>
      <c r="T390" s="15">
        <f>IF(OR(S390="",D390&lt;&gt;"Vastgesteld"),"",_xlfn.MAXIFS($G$6:$G$5005,$S$6:$S$5005,S390,$D$6:$D$5005,"Vastgesteld"))</f>
        <v>0</v>
      </c>
      <c r="U390" s="15">
        <f>IF(T390="",0,IF(AND(G390=T390,COUNTIFS($S$6:S390,S390,$G$6:G390,G390,$D$6:D390,"Vastgesteld")=1),1,0))</f>
        <v>1</v>
      </c>
      <c r="V390" s="15">
        <f>IF(T390="",0,IF(AND(G390=T390,COUNTIFS($S$6:S390,S390,$G$6:G390,G390,$D$6:D390,"Vastgesteld")&gt;1),1,0))</f>
        <v>0</v>
      </c>
    </row>
    <row r="391">
      <c r="A391" s="92" t="inlineStr">
        <is>
          <t>HIST-2026-Q1</t>
        </is>
      </c>
      <c r="B391" s="92" t="inlineStr">
        <is>
          <t>RDFO_FICTIEVE_historie_en_mapping.xlsx</t>
        </is>
      </c>
      <c r="C391" s="108" t="n">
        <v>46324</v>
      </c>
      <c r="D391" s="92" t="inlineStr">
        <is>
          <t>Vastgesteld</t>
        </is>
      </c>
      <c r="E391" s="92" t="n">
        <v>2026</v>
      </c>
      <c r="F391" s="92" t="inlineStr">
        <is>
          <t>Q1</t>
        </is>
      </c>
      <c r="G391" s="92" t="n">
        <v>0</v>
      </c>
      <c r="H391" s="108" t="n">
        <v>46112</v>
      </c>
      <c r="I391" s="92" t="n">
        <v>2026</v>
      </c>
      <c r="J391" s="92" t="inlineStr">
        <is>
          <t>G.900018.8.9090</t>
        </is>
      </c>
      <c r="K391" s="92" t="inlineStr">
        <is>
          <t>G.900018</t>
        </is>
      </c>
      <c r="L391" s="92" t="inlineStr">
        <is>
          <t>Meerhovenstad, De Boog</t>
        </is>
      </c>
      <c r="M391" s="92" t="inlineStr">
        <is>
          <t>Deelneming</t>
        </is>
      </c>
      <c r="N391" s="92" t="inlineStr">
        <is>
          <t>N</t>
        </is>
      </c>
      <c r="O391" s="92" t="inlineStr">
        <is>
          <t>Woningverkopen Q2</t>
        </is>
      </c>
      <c r="P391" s="109" t="n">
        <v>4</v>
      </c>
      <c r="Q391" s="92" t="inlineStr">
        <is>
          <t>aantal</t>
        </is>
      </c>
      <c r="R391" s="92" t="inlineStr">
        <is>
          <t>Synthetische snapshot; kwartalen zijn FY-verdeling, geen actuals</t>
        </is>
      </c>
      <c r="S391" s="15" t="str">
        <f>IF(J391="","",J391&amp;"|"&amp;E391&amp;"|"&amp;F391&amp;"|"&amp;I391&amp;"|"&amp;O391)</f>
        <v>G.900018.8.9090|2026|Q1|2026|Woningverkopen Q2</v>
      </c>
      <c r="T391" s="15">
        <f>IF(OR(S391="",D391&lt;&gt;"Vastgesteld"),"",_xlfn.MAXIFS($G$6:$G$5005,$S$6:$S$5005,S391,$D$6:$D$5005,"Vastgesteld"))</f>
        <v>0</v>
      </c>
      <c r="U391" s="15">
        <f>IF(T391="",0,IF(AND(G391=T391,COUNTIFS($S$6:S391,S391,$G$6:G391,G391,$D$6:D391,"Vastgesteld")=1),1,0))</f>
        <v>1</v>
      </c>
      <c r="V391" s="15">
        <f>IF(T391="",0,IF(AND(G391=T391,COUNTIFS($S$6:S391,S391,$G$6:G391,G391,$D$6:D391,"Vastgesteld")&gt;1),1,0))</f>
        <v>0</v>
      </c>
    </row>
    <row r="392">
      <c r="A392" s="92" t="inlineStr">
        <is>
          <t>HIST-2026-Q1</t>
        </is>
      </c>
      <c r="B392" s="92" t="inlineStr">
        <is>
          <t>RDFO_FICTIEVE_historie_en_mapping.xlsx</t>
        </is>
      </c>
      <c r="C392" s="108" t="n">
        <v>46324</v>
      </c>
      <c r="D392" s="92" t="inlineStr">
        <is>
          <t>Vastgesteld</t>
        </is>
      </c>
      <c r="E392" s="92" t="n">
        <v>2026</v>
      </c>
      <c r="F392" s="92" t="inlineStr">
        <is>
          <t>Q1</t>
        </is>
      </c>
      <c r="G392" s="92" t="n">
        <v>0</v>
      </c>
      <c r="H392" s="108" t="n">
        <v>46112</v>
      </c>
      <c r="I392" s="92" t="n">
        <v>2026</v>
      </c>
      <c r="J392" s="92" t="inlineStr">
        <is>
          <t>G.900018.8.9090</t>
        </is>
      </c>
      <c r="K392" s="92" t="inlineStr">
        <is>
          <t>G.900018</t>
        </is>
      </c>
      <c r="L392" s="92" t="inlineStr">
        <is>
          <t>Meerhovenstad, De Boog</t>
        </is>
      </c>
      <c r="M392" s="92" t="inlineStr">
        <is>
          <t>Deelneming</t>
        </is>
      </c>
      <c r="N392" s="92" t="inlineStr">
        <is>
          <t>N</t>
        </is>
      </c>
      <c r="O392" s="92" t="inlineStr">
        <is>
          <t>Woningverkopen Q3</t>
        </is>
      </c>
      <c r="P392" s="109" t="n">
        <v>4</v>
      </c>
      <c r="Q392" s="92" t="inlineStr">
        <is>
          <t>aantal</t>
        </is>
      </c>
      <c r="R392" s="92" t="inlineStr">
        <is>
          <t>Synthetische snapshot; kwartalen zijn FY-verdeling, geen actuals</t>
        </is>
      </c>
      <c r="S392" s="15" t="str">
        <f>IF(J392="","",J392&amp;"|"&amp;E392&amp;"|"&amp;F392&amp;"|"&amp;I392&amp;"|"&amp;O392)</f>
        <v>G.900018.8.9090|2026|Q1|2026|Woningverkopen Q3</v>
      </c>
      <c r="T392" s="15">
        <f>IF(OR(S392="",D392&lt;&gt;"Vastgesteld"),"",_xlfn.MAXIFS($G$6:$G$5005,$S$6:$S$5005,S392,$D$6:$D$5005,"Vastgesteld"))</f>
        <v>0</v>
      </c>
      <c r="U392" s="15">
        <f>IF(T392="",0,IF(AND(G392=T392,COUNTIFS($S$6:S392,S392,$G$6:G392,G392,$D$6:D392,"Vastgesteld")=1),1,0))</f>
        <v>1</v>
      </c>
      <c r="V392" s="15">
        <f>IF(T392="",0,IF(AND(G392=T392,COUNTIFS($S$6:S392,S392,$G$6:G392,G392,$D$6:D392,"Vastgesteld")&gt;1),1,0))</f>
        <v>0</v>
      </c>
    </row>
    <row r="393">
      <c r="A393" s="92" t="inlineStr">
        <is>
          <t>HIST-2026-Q1</t>
        </is>
      </c>
      <c r="B393" s="92" t="inlineStr">
        <is>
          <t>RDFO_FICTIEVE_historie_en_mapping.xlsx</t>
        </is>
      </c>
      <c r="C393" s="108" t="n">
        <v>46324</v>
      </c>
      <c r="D393" s="92" t="inlineStr">
        <is>
          <t>Vastgesteld</t>
        </is>
      </c>
      <c r="E393" s="92" t="n">
        <v>2026</v>
      </c>
      <c r="F393" s="92" t="inlineStr">
        <is>
          <t>Q1</t>
        </is>
      </c>
      <c r="G393" s="92" t="n">
        <v>0</v>
      </c>
      <c r="H393" s="108" t="n">
        <v>46112</v>
      </c>
      <c r="I393" s="92" t="n">
        <v>2026</v>
      </c>
      <c r="J393" s="92" t="inlineStr">
        <is>
          <t>G.900018.8.9090</t>
        </is>
      </c>
      <c r="K393" s="92" t="inlineStr">
        <is>
          <t>G.900018</t>
        </is>
      </c>
      <c r="L393" s="92" t="inlineStr">
        <is>
          <t>Meerhovenstad, De Boog</t>
        </is>
      </c>
      <c r="M393" s="92" t="inlineStr">
        <is>
          <t>Deelneming</t>
        </is>
      </c>
      <c r="N393" s="92" t="inlineStr">
        <is>
          <t>N</t>
        </is>
      </c>
      <c r="O393" s="92" t="inlineStr">
        <is>
          <t>Woningverkopen Q4</t>
        </is>
      </c>
      <c r="P393" s="109" t="n">
        <v>6</v>
      </c>
      <c r="Q393" s="92" t="inlineStr">
        <is>
          <t>aantal</t>
        </is>
      </c>
      <c r="R393" s="92" t="inlineStr">
        <is>
          <t>Synthetische snapshot; kwartalen zijn FY-verdeling, geen actuals</t>
        </is>
      </c>
      <c r="S393" s="15" t="str">
        <f>IF(J393="","",J393&amp;"|"&amp;E393&amp;"|"&amp;F393&amp;"|"&amp;I393&amp;"|"&amp;O393)</f>
        <v>G.900018.8.9090|2026|Q1|2026|Woningverkopen Q4</v>
      </c>
      <c r="T393" s="15">
        <f>IF(OR(S393="",D393&lt;&gt;"Vastgesteld"),"",_xlfn.MAXIFS($G$6:$G$5005,$S$6:$S$5005,S393,$D$6:$D$5005,"Vastgesteld"))</f>
        <v>0</v>
      </c>
      <c r="U393" s="15">
        <f>IF(T393="",0,IF(AND(G393=T393,COUNTIFS($S$6:S393,S393,$G$6:G393,G393,$D$6:D393,"Vastgesteld")=1),1,0))</f>
        <v>1</v>
      </c>
      <c r="V393" s="15">
        <f>IF(T393="",0,IF(AND(G393=T393,COUNTIFS($S$6:S393,S393,$G$6:G393,G393,$D$6:D393,"Vastgesteld")&gt;1),1,0))</f>
        <v>0</v>
      </c>
    </row>
    <row r="394">
      <c r="A394" s="92" t="inlineStr">
        <is>
          <t>HIST-2026-Q1</t>
        </is>
      </c>
      <c r="B394" s="92" t="inlineStr">
        <is>
          <t>RDFO_FICTIEVE_historie_en_mapping.xlsx</t>
        </is>
      </c>
      <c r="C394" s="108" t="n">
        <v>46324</v>
      </c>
      <c r="D394" s="92" t="inlineStr">
        <is>
          <t>Vastgesteld</t>
        </is>
      </c>
      <c r="E394" s="92" t="n">
        <v>2026</v>
      </c>
      <c r="F394" s="92" t="inlineStr">
        <is>
          <t>Q1</t>
        </is>
      </c>
      <c r="G394" s="92" t="n">
        <v>0</v>
      </c>
      <c r="H394" s="108" t="n">
        <v>46112</v>
      </c>
      <c r="I394" s="92" t="n">
        <v>2026</v>
      </c>
      <c r="J394" s="92" t="inlineStr">
        <is>
          <t>G.900019.8.9090</t>
        </is>
      </c>
      <c r="K394" s="92" t="inlineStr">
        <is>
          <t>G.900019</t>
        </is>
      </c>
      <c r="L394" s="92" t="inlineStr">
        <is>
          <t>Zilverdam, Havenlicht</t>
        </is>
      </c>
      <c r="M394" s="92" t="inlineStr">
        <is>
          <t>Opstal</t>
        </is>
      </c>
      <c r="N394" s="92" t="inlineStr">
        <is>
          <t>J</t>
        </is>
      </c>
      <c r="O394" s="92" t="inlineStr">
        <is>
          <t>Woningverkopen FY</t>
        </is>
      </c>
      <c r="P394" s="109" t="n">
        <v>11</v>
      </c>
      <c r="Q394" s="92" t="inlineStr">
        <is>
          <t>aantal</t>
        </is>
      </c>
      <c r="R394" s="92" t="inlineStr">
        <is>
          <t>Synthetische snapshot; kwartalen zijn FY-verdeling, geen actuals</t>
        </is>
      </c>
      <c r="S394" s="15" t="str">
        <f>IF(J394="","",J394&amp;"|"&amp;E394&amp;"|"&amp;F394&amp;"|"&amp;I394&amp;"|"&amp;O394)</f>
        <v>G.900019.8.9090|2026|Q1|2026|Woningverkopen FY</v>
      </c>
      <c r="T394" s="15">
        <f>IF(OR(S394="",D394&lt;&gt;"Vastgesteld"),"",_xlfn.MAXIFS($G$6:$G$5005,$S$6:$S$5005,S394,$D$6:$D$5005,"Vastgesteld"))</f>
        <v>0</v>
      </c>
      <c r="U394" s="15">
        <f>IF(T394="",0,IF(AND(G394=T394,COUNTIFS($S$6:S394,S394,$G$6:G394,G394,$D$6:D394,"Vastgesteld")=1),1,0))</f>
        <v>1</v>
      </c>
      <c r="V394" s="15">
        <f>IF(T394="",0,IF(AND(G394=T394,COUNTIFS($S$6:S394,S394,$G$6:G394,G394,$D$6:D394,"Vastgesteld")&gt;1),1,0))</f>
        <v>0</v>
      </c>
    </row>
    <row r="395">
      <c r="A395" s="92" t="inlineStr">
        <is>
          <t>HIST-2026-Q1</t>
        </is>
      </c>
      <c r="B395" s="92" t="inlineStr">
        <is>
          <t>RDFO_FICTIEVE_historie_en_mapping.xlsx</t>
        </is>
      </c>
      <c r="C395" s="108" t="n">
        <v>46324</v>
      </c>
      <c r="D395" s="92" t="inlineStr">
        <is>
          <t>Vastgesteld</t>
        </is>
      </c>
      <c r="E395" s="92" t="n">
        <v>2026</v>
      </c>
      <c r="F395" s="92" t="inlineStr">
        <is>
          <t>Q1</t>
        </is>
      </c>
      <c r="G395" s="92" t="n">
        <v>0</v>
      </c>
      <c r="H395" s="108" t="n">
        <v>46112</v>
      </c>
      <c r="I395" s="92" t="n">
        <v>2026</v>
      </c>
      <c r="J395" s="92" t="inlineStr">
        <is>
          <t>G.900019.8.9090</t>
        </is>
      </c>
      <c r="K395" s="92" t="inlineStr">
        <is>
          <t>G.900019</t>
        </is>
      </c>
      <c r="L395" s="92" t="inlineStr">
        <is>
          <t>Zilverdam, Havenlicht</t>
        </is>
      </c>
      <c r="M395" s="92" t="inlineStr">
        <is>
          <t>Opstal</t>
        </is>
      </c>
      <c r="N395" s="92" t="inlineStr">
        <is>
          <t>J</t>
        </is>
      </c>
      <c r="O395" s="92" t="inlineStr">
        <is>
          <t>Woningen verkocht t/m vorig jaar</t>
        </is>
      </c>
      <c r="P395" s="109" t="n">
        <v>0</v>
      </c>
      <c r="Q395" s="92" t="inlineStr">
        <is>
          <t>aantal</t>
        </is>
      </c>
      <c r="R395" s="92" t="inlineStr">
        <is>
          <t>Synthetische snapshot; kwartalen zijn FY-verdeling, geen actuals</t>
        </is>
      </c>
      <c r="S395" s="15" t="str">
        <f>IF(J395="","",J395&amp;"|"&amp;E395&amp;"|"&amp;F395&amp;"|"&amp;I395&amp;"|"&amp;O395)</f>
        <v>G.900019.8.9090|2026|Q1|2026|Woningen verkocht t/m vorig jaar</v>
      </c>
      <c r="T395" s="15">
        <f>IF(OR(S395="",D395&lt;&gt;"Vastgesteld"),"",_xlfn.MAXIFS($G$6:$G$5005,$S$6:$S$5005,S395,$D$6:$D$5005,"Vastgesteld"))</f>
        <v>0</v>
      </c>
      <c r="U395" s="15">
        <f>IF(T395="",0,IF(AND(G395=T395,COUNTIFS($S$6:S395,S395,$G$6:G395,G395,$D$6:D395,"Vastgesteld")=1),1,0))</f>
        <v>1</v>
      </c>
      <c r="V395" s="15">
        <f>IF(T395="",0,IF(AND(G395=T395,COUNTIFS($S$6:S395,S395,$G$6:G395,G395,$D$6:D395,"Vastgesteld")&gt;1),1,0))</f>
        <v>0</v>
      </c>
    </row>
    <row r="396">
      <c r="A396" s="92" t="inlineStr">
        <is>
          <t>HIST-2026-Q1</t>
        </is>
      </c>
      <c r="B396" s="92" t="inlineStr">
        <is>
          <t>RDFO_FICTIEVE_historie_en_mapping.xlsx</t>
        </is>
      </c>
      <c r="C396" s="108" t="n">
        <v>46324</v>
      </c>
      <c r="D396" s="92" t="inlineStr">
        <is>
          <t>Vastgesteld</t>
        </is>
      </c>
      <c r="E396" s="92" t="n">
        <v>2026</v>
      </c>
      <c r="F396" s="92" t="inlineStr">
        <is>
          <t>Q1</t>
        </is>
      </c>
      <c r="G396" s="92" t="n">
        <v>0</v>
      </c>
      <c r="H396" s="108" t="n">
        <v>46112</v>
      </c>
      <c r="I396" s="92" t="n">
        <v>2026</v>
      </c>
      <c r="J396" s="92" t="inlineStr">
        <is>
          <t>G.900019.8.9090</t>
        </is>
      </c>
      <c r="K396" s="92" t="inlineStr">
        <is>
          <t>G.900019</t>
        </is>
      </c>
      <c r="L396" s="92" t="inlineStr">
        <is>
          <t>Zilverdam, Havenlicht</t>
        </is>
      </c>
      <c r="M396" s="92" t="inlineStr">
        <is>
          <t>Opstal</t>
        </is>
      </c>
      <c r="N396" s="92" t="inlineStr">
        <is>
          <t>J</t>
        </is>
      </c>
      <c r="O396" s="92" t="inlineStr">
        <is>
          <t>Woningverkopen Q1</t>
        </is>
      </c>
      <c r="P396" s="109" t="n">
        <v>2</v>
      </c>
      <c r="Q396" s="92" t="inlineStr">
        <is>
          <t>aantal</t>
        </is>
      </c>
      <c r="R396" s="92" t="inlineStr">
        <is>
          <t>Synthetische snapshot; kwartalen zijn FY-verdeling, geen actuals</t>
        </is>
      </c>
      <c r="S396" s="15" t="str">
        <f>IF(J396="","",J396&amp;"|"&amp;E396&amp;"|"&amp;F396&amp;"|"&amp;I396&amp;"|"&amp;O396)</f>
        <v>G.900019.8.9090|2026|Q1|2026|Woningverkopen Q1</v>
      </c>
      <c r="T396" s="15">
        <f>IF(OR(S396="",D396&lt;&gt;"Vastgesteld"),"",_xlfn.MAXIFS($G$6:$G$5005,$S$6:$S$5005,S396,$D$6:$D$5005,"Vastgesteld"))</f>
        <v>0</v>
      </c>
      <c r="U396" s="15">
        <f>IF(T396="",0,IF(AND(G396=T396,COUNTIFS($S$6:S396,S396,$G$6:G396,G396,$D$6:D396,"Vastgesteld")=1),1,0))</f>
        <v>1</v>
      </c>
      <c r="V396" s="15">
        <f>IF(T396="",0,IF(AND(G396=T396,COUNTIFS($S$6:S396,S396,$G$6:G396,G396,$D$6:D396,"Vastgesteld")&gt;1),1,0))</f>
        <v>0</v>
      </c>
    </row>
    <row r="397">
      <c r="A397" s="92" t="inlineStr">
        <is>
          <t>HIST-2026-Q1</t>
        </is>
      </c>
      <c r="B397" s="92" t="inlineStr">
        <is>
          <t>RDFO_FICTIEVE_historie_en_mapping.xlsx</t>
        </is>
      </c>
      <c r="C397" s="108" t="n">
        <v>46324</v>
      </c>
      <c r="D397" s="92" t="inlineStr">
        <is>
          <t>Vastgesteld</t>
        </is>
      </c>
      <c r="E397" s="92" t="n">
        <v>2026</v>
      </c>
      <c r="F397" s="92" t="inlineStr">
        <is>
          <t>Q1</t>
        </is>
      </c>
      <c r="G397" s="92" t="n">
        <v>0</v>
      </c>
      <c r="H397" s="108" t="n">
        <v>46112</v>
      </c>
      <c r="I397" s="92" t="n">
        <v>2026</v>
      </c>
      <c r="J397" s="92" t="inlineStr">
        <is>
          <t>G.900019.8.9090</t>
        </is>
      </c>
      <c r="K397" s="92" t="inlineStr">
        <is>
          <t>G.900019</t>
        </is>
      </c>
      <c r="L397" s="92" t="inlineStr">
        <is>
          <t>Zilverdam, Havenlicht</t>
        </is>
      </c>
      <c r="M397" s="92" t="inlineStr">
        <is>
          <t>Opstal</t>
        </is>
      </c>
      <c r="N397" s="92" t="inlineStr">
        <is>
          <t>J</t>
        </is>
      </c>
      <c r="O397" s="92" t="inlineStr">
        <is>
          <t>Woningverkopen Q2</t>
        </is>
      </c>
      <c r="P397" s="109" t="n">
        <v>2</v>
      </c>
      <c r="Q397" s="92" t="inlineStr">
        <is>
          <t>aantal</t>
        </is>
      </c>
      <c r="R397" s="92" t="inlineStr">
        <is>
          <t>Synthetische snapshot; kwartalen zijn FY-verdeling, geen actuals</t>
        </is>
      </c>
      <c r="S397" s="15" t="str">
        <f>IF(J397="","",J397&amp;"|"&amp;E397&amp;"|"&amp;F397&amp;"|"&amp;I397&amp;"|"&amp;O397)</f>
        <v>G.900019.8.9090|2026|Q1|2026|Woningverkopen Q2</v>
      </c>
      <c r="T397" s="15">
        <f>IF(OR(S397="",D397&lt;&gt;"Vastgesteld"),"",_xlfn.MAXIFS($G$6:$G$5005,$S$6:$S$5005,S397,$D$6:$D$5005,"Vastgesteld"))</f>
        <v>0</v>
      </c>
      <c r="U397" s="15">
        <f>IF(T397="",0,IF(AND(G397=T397,COUNTIFS($S$6:S397,S397,$G$6:G397,G397,$D$6:D397,"Vastgesteld")=1),1,0))</f>
        <v>1</v>
      </c>
      <c r="V397" s="15">
        <f>IF(T397="",0,IF(AND(G397=T397,COUNTIFS($S$6:S397,S397,$G$6:G397,G397,$D$6:D397,"Vastgesteld")&gt;1),1,0))</f>
        <v>0</v>
      </c>
    </row>
    <row r="398">
      <c r="A398" s="92" t="inlineStr">
        <is>
          <t>HIST-2026-Q1</t>
        </is>
      </c>
      <c r="B398" s="92" t="inlineStr">
        <is>
          <t>RDFO_FICTIEVE_historie_en_mapping.xlsx</t>
        </is>
      </c>
      <c r="C398" s="108" t="n">
        <v>46324</v>
      </c>
      <c r="D398" s="92" t="inlineStr">
        <is>
          <t>Vastgesteld</t>
        </is>
      </c>
      <c r="E398" s="92" t="n">
        <v>2026</v>
      </c>
      <c r="F398" s="92" t="inlineStr">
        <is>
          <t>Q1</t>
        </is>
      </c>
      <c r="G398" s="92" t="n">
        <v>0</v>
      </c>
      <c r="H398" s="108" t="n">
        <v>46112</v>
      </c>
      <c r="I398" s="92" t="n">
        <v>2026</v>
      </c>
      <c r="J398" s="92" t="inlineStr">
        <is>
          <t>G.900019.8.9090</t>
        </is>
      </c>
      <c r="K398" s="92" t="inlineStr">
        <is>
          <t>G.900019</t>
        </is>
      </c>
      <c r="L398" s="92" t="inlineStr">
        <is>
          <t>Zilverdam, Havenlicht</t>
        </is>
      </c>
      <c r="M398" s="92" t="inlineStr">
        <is>
          <t>Opstal</t>
        </is>
      </c>
      <c r="N398" s="92" t="inlineStr">
        <is>
          <t>J</t>
        </is>
      </c>
      <c r="O398" s="92" t="inlineStr">
        <is>
          <t>Woningverkopen Q3</t>
        </is>
      </c>
      <c r="P398" s="109" t="n">
        <v>2</v>
      </c>
      <c r="Q398" s="92" t="inlineStr">
        <is>
          <t>aantal</t>
        </is>
      </c>
      <c r="R398" s="92" t="inlineStr">
        <is>
          <t>Synthetische snapshot; kwartalen zijn FY-verdeling, geen actuals</t>
        </is>
      </c>
      <c r="S398" s="15" t="str">
        <f>IF(J398="","",J398&amp;"|"&amp;E398&amp;"|"&amp;F398&amp;"|"&amp;I398&amp;"|"&amp;O398)</f>
        <v>G.900019.8.9090|2026|Q1|2026|Woningverkopen Q3</v>
      </c>
      <c r="T398" s="15">
        <f>IF(OR(S398="",D398&lt;&gt;"Vastgesteld"),"",_xlfn.MAXIFS($G$6:$G$5005,$S$6:$S$5005,S398,$D$6:$D$5005,"Vastgesteld"))</f>
        <v>0</v>
      </c>
      <c r="U398" s="15">
        <f>IF(T398="",0,IF(AND(G398=T398,COUNTIFS($S$6:S398,S398,$G$6:G398,G398,$D$6:D398,"Vastgesteld")=1),1,0))</f>
        <v>1</v>
      </c>
      <c r="V398" s="15">
        <f>IF(T398="",0,IF(AND(G398=T398,COUNTIFS($S$6:S398,S398,$G$6:G398,G398,$D$6:D398,"Vastgesteld")&gt;1),1,0))</f>
        <v>0</v>
      </c>
    </row>
    <row r="399">
      <c r="A399" s="92" t="inlineStr">
        <is>
          <t>HIST-2026-Q1</t>
        </is>
      </c>
      <c r="B399" s="92" t="inlineStr">
        <is>
          <t>RDFO_FICTIEVE_historie_en_mapping.xlsx</t>
        </is>
      </c>
      <c r="C399" s="108" t="n">
        <v>46324</v>
      </c>
      <c r="D399" s="92" t="inlineStr">
        <is>
          <t>Vastgesteld</t>
        </is>
      </c>
      <c r="E399" s="92" t="n">
        <v>2026</v>
      </c>
      <c r="F399" s="92" t="inlineStr">
        <is>
          <t>Q1</t>
        </is>
      </c>
      <c r="G399" s="92" t="n">
        <v>0</v>
      </c>
      <c r="H399" s="108" t="n">
        <v>46112</v>
      </c>
      <c r="I399" s="92" t="n">
        <v>2026</v>
      </c>
      <c r="J399" s="92" t="inlineStr">
        <is>
          <t>G.900019.8.9090</t>
        </is>
      </c>
      <c r="K399" s="92" t="inlineStr">
        <is>
          <t>G.900019</t>
        </is>
      </c>
      <c r="L399" s="92" t="inlineStr">
        <is>
          <t>Zilverdam, Havenlicht</t>
        </is>
      </c>
      <c r="M399" s="92" t="inlineStr">
        <is>
          <t>Opstal</t>
        </is>
      </c>
      <c r="N399" s="92" t="inlineStr">
        <is>
          <t>J</t>
        </is>
      </c>
      <c r="O399" s="92" t="inlineStr">
        <is>
          <t>Woningverkopen Q4</t>
        </is>
      </c>
      <c r="P399" s="109" t="n">
        <v>5</v>
      </c>
      <c r="Q399" s="92" t="inlineStr">
        <is>
          <t>aantal</t>
        </is>
      </c>
      <c r="R399" s="92" t="inlineStr">
        <is>
          <t>Synthetische snapshot; kwartalen zijn FY-verdeling, geen actuals</t>
        </is>
      </c>
      <c r="S399" s="15" t="str">
        <f>IF(J399="","",J399&amp;"|"&amp;E399&amp;"|"&amp;F399&amp;"|"&amp;I399&amp;"|"&amp;O399)</f>
        <v>G.900019.8.9090|2026|Q1|2026|Woningverkopen Q4</v>
      </c>
      <c r="T399" s="15">
        <f>IF(OR(S399="",D399&lt;&gt;"Vastgesteld"),"",_xlfn.MAXIFS($G$6:$G$5005,$S$6:$S$5005,S399,$D$6:$D$5005,"Vastgesteld"))</f>
        <v>0</v>
      </c>
      <c r="U399" s="15">
        <f>IF(T399="",0,IF(AND(G399=T399,COUNTIFS($S$6:S399,S399,$G$6:G399,G399,$D$6:D399,"Vastgesteld")=1),1,0))</f>
        <v>1</v>
      </c>
      <c r="V399" s="15">
        <f>IF(T399="",0,IF(AND(G399=T399,COUNTIFS($S$6:S399,S399,$G$6:G399,G399,$D$6:D399,"Vastgesteld")&gt;1),1,0))</f>
        <v>0</v>
      </c>
    </row>
    <row r="400">
      <c r="A400" s="92" t="inlineStr">
        <is>
          <t>HIST-2026-Q1</t>
        </is>
      </c>
      <c r="B400" s="92" t="inlineStr">
        <is>
          <t>RDFO_FICTIEVE_historie_en_mapping.xlsx</t>
        </is>
      </c>
      <c r="C400" s="108" t="n">
        <v>46324</v>
      </c>
      <c r="D400" s="92" t="inlineStr">
        <is>
          <t>Vastgesteld</t>
        </is>
      </c>
      <c r="E400" s="92" t="n">
        <v>2026</v>
      </c>
      <c r="F400" s="92" t="inlineStr">
        <is>
          <t>Q1</t>
        </is>
      </c>
      <c r="G400" s="92" t="n">
        <v>0</v>
      </c>
      <c r="H400" s="108" t="n">
        <v>46112</v>
      </c>
      <c r="I400" s="92" t="n">
        <v>2026</v>
      </c>
      <c r="J400" s="92" t="inlineStr">
        <is>
          <t>G.900020.8.9090</t>
        </is>
      </c>
      <c r="K400" s="92" t="inlineStr">
        <is>
          <t>G.900020</t>
        </is>
      </c>
      <c r="L400" s="92" t="inlineStr">
        <is>
          <t>Boswaard, Parkeergebouw</t>
        </is>
      </c>
      <c r="M400" s="92" t="inlineStr">
        <is>
          <t>Opstal</t>
        </is>
      </c>
      <c r="N400" s="92" t="inlineStr">
        <is>
          <t>J</t>
        </is>
      </c>
      <c r="O400" s="92" t="inlineStr">
        <is>
          <t>Woningverkopen FY</t>
        </is>
      </c>
      <c r="P400" s="109" t="n">
        <v>0</v>
      </c>
      <c r="Q400" s="92" t="inlineStr">
        <is>
          <t>aantal</t>
        </is>
      </c>
      <c r="R400" s="92" t="inlineStr">
        <is>
          <t>Synthetische snapshot; kwartalen zijn FY-verdeling, geen actuals</t>
        </is>
      </c>
      <c r="S400" s="15" t="str">
        <f>IF(J400="","",J400&amp;"|"&amp;E400&amp;"|"&amp;F400&amp;"|"&amp;I400&amp;"|"&amp;O400)</f>
        <v>G.900020.8.9090|2026|Q1|2026|Woningverkopen FY</v>
      </c>
      <c r="T400" s="15">
        <f>IF(OR(S400="",D400&lt;&gt;"Vastgesteld"),"",_xlfn.MAXIFS($G$6:$G$5005,$S$6:$S$5005,S400,$D$6:$D$5005,"Vastgesteld"))</f>
        <v>0</v>
      </c>
      <c r="U400" s="15">
        <f>IF(T400="",0,IF(AND(G400=T400,COUNTIFS($S$6:S400,S400,$G$6:G400,G400,$D$6:D400,"Vastgesteld")=1),1,0))</f>
        <v>1</v>
      </c>
      <c r="V400" s="15">
        <f>IF(T400="",0,IF(AND(G400=T400,COUNTIFS($S$6:S400,S400,$G$6:G400,G400,$D$6:D400,"Vastgesteld")&gt;1),1,0))</f>
        <v>0</v>
      </c>
    </row>
    <row r="401">
      <c r="A401" s="92" t="inlineStr">
        <is>
          <t>HIST-2026-Q1</t>
        </is>
      </c>
      <c r="B401" s="92" t="inlineStr">
        <is>
          <t>RDFO_FICTIEVE_historie_en_mapping.xlsx</t>
        </is>
      </c>
      <c r="C401" s="108" t="n">
        <v>46324</v>
      </c>
      <c r="D401" s="92" t="inlineStr">
        <is>
          <t>Vastgesteld</t>
        </is>
      </c>
      <c r="E401" s="92" t="n">
        <v>2026</v>
      </c>
      <c r="F401" s="92" t="inlineStr">
        <is>
          <t>Q1</t>
        </is>
      </c>
      <c r="G401" s="92" t="n">
        <v>0</v>
      </c>
      <c r="H401" s="108" t="n">
        <v>46112</v>
      </c>
      <c r="I401" s="92" t="n">
        <v>2026</v>
      </c>
      <c r="J401" s="92" t="inlineStr">
        <is>
          <t>G.900020.8.9090</t>
        </is>
      </c>
      <c r="K401" s="92" t="inlineStr">
        <is>
          <t>G.900020</t>
        </is>
      </c>
      <c r="L401" s="92" t="inlineStr">
        <is>
          <t>Boswaard, Parkeergebouw</t>
        </is>
      </c>
      <c r="M401" s="92" t="inlineStr">
        <is>
          <t>Opstal</t>
        </is>
      </c>
      <c r="N401" s="92" t="inlineStr">
        <is>
          <t>J</t>
        </is>
      </c>
      <c r="O401" s="92" t="inlineStr">
        <is>
          <t>Woningen verkocht t/m vorig jaar</t>
        </is>
      </c>
      <c r="P401" s="109" t="n">
        <v>0</v>
      </c>
      <c r="Q401" s="92" t="inlineStr">
        <is>
          <t>aantal</t>
        </is>
      </c>
      <c r="R401" s="92" t="inlineStr">
        <is>
          <t>Synthetische snapshot; kwartalen zijn FY-verdeling, geen actuals</t>
        </is>
      </c>
      <c r="S401" s="15" t="str">
        <f>IF(J401="","",J401&amp;"|"&amp;E401&amp;"|"&amp;F401&amp;"|"&amp;I401&amp;"|"&amp;O401)</f>
        <v>G.900020.8.9090|2026|Q1|2026|Woningen verkocht t/m vorig jaar</v>
      </c>
      <c r="T401" s="15">
        <f>IF(OR(S401="",D401&lt;&gt;"Vastgesteld"),"",_xlfn.MAXIFS($G$6:$G$5005,$S$6:$S$5005,S401,$D$6:$D$5005,"Vastgesteld"))</f>
        <v>0</v>
      </c>
      <c r="U401" s="15">
        <f>IF(T401="",0,IF(AND(G401=T401,COUNTIFS($S$6:S401,S401,$G$6:G401,G401,$D$6:D401,"Vastgesteld")=1),1,0))</f>
        <v>1</v>
      </c>
      <c r="V401" s="15">
        <f>IF(T401="",0,IF(AND(G401=T401,COUNTIFS($S$6:S401,S401,$G$6:G401,G401,$D$6:D401,"Vastgesteld")&gt;1),1,0))</f>
        <v>0</v>
      </c>
    </row>
    <row r="402">
      <c r="A402" s="92" t="inlineStr">
        <is>
          <t>HIST-2026-Q1</t>
        </is>
      </c>
      <c r="B402" s="92" t="inlineStr">
        <is>
          <t>RDFO_FICTIEVE_historie_en_mapping.xlsx</t>
        </is>
      </c>
      <c r="C402" s="108" t="n">
        <v>46324</v>
      </c>
      <c r="D402" s="92" t="inlineStr">
        <is>
          <t>Vastgesteld</t>
        </is>
      </c>
      <c r="E402" s="92" t="n">
        <v>2026</v>
      </c>
      <c r="F402" s="92" t="inlineStr">
        <is>
          <t>Q1</t>
        </is>
      </c>
      <c r="G402" s="92" t="n">
        <v>0</v>
      </c>
      <c r="H402" s="108" t="n">
        <v>46112</v>
      </c>
      <c r="I402" s="92" t="n">
        <v>2026</v>
      </c>
      <c r="J402" s="92" t="inlineStr">
        <is>
          <t>G.900020.8.9090</t>
        </is>
      </c>
      <c r="K402" s="92" t="inlineStr">
        <is>
          <t>G.900020</t>
        </is>
      </c>
      <c r="L402" s="92" t="inlineStr">
        <is>
          <t>Boswaard, Parkeergebouw</t>
        </is>
      </c>
      <c r="M402" s="92" t="inlineStr">
        <is>
          <t>Opstal</t>
        </is>
      </c>
      <c r="N402" s="92" t="inlineStr">
        <is>
          <t>J</t>
        </is>
      </c>
      <c r="O402" s="92" t="inlineStr">
        <is>
          <t>Woningverkopen Q1</t>
        </is>
      </c>
      <c r="P402" s="109" t="n">
        <v>0</v>
      </c>
      <c r="Q402" s="92" t="inlineStr">
        <is>
          <t>aantal</t>
        </is>
      </c>
      <c r="R402" s="92" t="inlineStr">
        <is>
          <t>Synthetische snapshot; kwartalen zijn FY-verdeling, geen actuals</t>
        </is>
      </c>
      <c r="S402" s="15" t="str">
        <f>IF(J402="","",J402&amp;"|"&amp;E402&amp;"|"&amp;F402&amp;"|"&amp;I402&amp;"|"&amp;O402)</f>
        <v>G.900020.8.9090|2026|Q1|2026|Woningverkopen Q1</v>
      </c>
      <c r="T402" s="15">
        <f>IF(OR(S402="",D402&lt;&gt;"Vastgesteld"),"",_xlfn.MAXIFS($G$6:$G$5005,$S$6:$S$5005,S402,$D$6:$D$5005,"Vastgesteld"))</f>
        <v>0</v>
      </c>
      <c r="U402" s="15">
        <f>IF(T402="",0,IF(AND(G402=T402,COUNTIFS($S$6:S402,S402,$G$6:G402,G402,$D$6:D402,"Vastgesteld")=1),1,0))</f>
        <v>1</v>
      </c>
      <c r="V402" s="15">
        <f>IF(T402="",0,IF(AND(G402=T402,COUNTIFS($S$6:S402,S402,$G$6:G402,G402,$D$6:D402,"Vastgesteld")&gt;1),1,0))</f>
        <v>0</v>
      </c>
    </row>
    <row r="403">
      <c r="A403" s="92" t="inlineStr">
        <is>
          <t>HIST-2026-Q1</t>
        </is>
      </c>
      <c r="B403" s="92" t="inlineStr">
        <is>
          <t>RDFO_FICTIEVE_historie_en_mapping.xlsx</t>
        </is>
      </c>
      <c r="C403" s="108" t="n">
        <v>46324</v>
      </c>
      <c r="D403" s="92" t="inlineStr">
        <is>
          <t>Vastgesteld</t>
        </is>
      </c>
      <c r="E403" s="92" t="n">
        <v>2026</v>
      </c>
      <c r="F403" s="92" t="inlineStr">
        <is>
          <t>Q1</t>
        </is>
      </c>
      <c r="G403" s="92" t="n">
        <v>0</v>
      </c>
      <c r="H403" s="108" t="n">
        <v>46112</v>
      </c>
      <c r="I403" s="92" t="n">
        <v>2026</v>
      </c>
      <c r="J403" s="92" t="inlineStr">
        <is>
          <t>G.900020.8.9090</t>
        </is>
      </c>
      <c r="K403" s="92" t="inlineStr">
        <is>
          <t>G.900020</t>
        </is>
      </c>
      <c r="L403" s="92" t="inlineStr">
        <is>
          <t>Boswaard, Parkeergebouw</t>
        </is>
      </c>
      <c r="M403" s="92" t="inlineStr">
        <is>
          <t>Opstal</t>
        </is>
      </c>
      <c r="N403" s="92" t="inlineStr">
        <is>
          <t>J</t>
        </is>
      </c>
      <c r="O403" s="92" t="inlineStr">
        <is>
          <t>Woningverkopen Q2</t>
        </is>
      </c>
      <c r="P403" s="109" t="n">
        <v>0</v>
      </c>
      <c r="Q403" s="92" t="inlineStr">
        <is>
          <t>aantal</t>
        </is>
      </c>
      <c r="R403" s="92" t="inlineStr">
        <is>
          <t>Synthetische snapshot; kwartalen zijn FY-verdeling, geen actuals</t>
        </is>
      </c>
      <c r="S403" s="15" t="str">
        <f>IF(J403="","",J403&amp;"|"&amp;E403&amp;"|"&amp;F403&amp;"|"&amp;I403&amp;"|"&amp;O403)</f>
        <v>G.900020.8.9090|2026|Q1|2026|Woningverkopen Q2</v>
      </c>
      <c r="T403" s="15">
        <f>IF(OR(S403="",D403&lt;&gt;"Vastgesteld"),"",_xlfn.MAXIFS($G$6:$G$5005,$S$6:$S$5005,S403,$D$6:$D$5005,"Vastgesteld"))</f>
        <v>0</v>
      </c>
      <c r="U403" s="15">
        <f>IF(T403="",0,IF(AND(G403=T403,COUNTIFS($S$6:S403,S403,$G$6:G403,G403,$D$6:D403,"Vastgesteld")=1),1,0))</f>
        <v>1</v>
      </c>
      <c r="V403" s="15">
        <f>IF(T403="",0,IF(AND(G403=T403,COUNTIFS($S$6:S403,S403,$G$6:G403,G403,$D$6:D403,"Vastgesteld")&gt;1),1,0))</f>
        <v>0</v>
      </c>
    </row>
    <row r="404">
      <c r="A404" s="92" t="inlineStr">
        <is>
          <t>HIST-2026-Q1</t>
        </is>
      </c>
      <c r="B404" s="92" t="inlineStr">
        <is>
          <t>RDFO_FICTIEVE_historie_en_mapping.xlsx</t>
        </is>
      </c>
      <c r="C404" s="108" t="n">
        <v>46324</v>
      </c>
      <c r="D404" s="92" t="inlineStr">
        <is>
          <t>Vastgesteld</t>
        </is>
      </c>
      <c r="E404" s="92" t="n">
        <v>2026</v>
      </c>
      <c r="F404" s="92" t="inlineStr">
        <is>
          <t>Q1</t>
        </is>
      </c>
      <c r="G404" s="92" t="n">
        <v>0</v>
      </c>
      <c r="H404" s="108" t="n">
        <v>46112</v>
      </c>
      <c r="I404" s="92" t="n">
        <v>2026</v>
      </c>
      <c r="J404" s="92" t="inlineStr">
        <is>
          <t>G.900020.8.9090</t>
        </is>
      </c>
      <c r="K404" s="92" t="inlineStr">
        <is>
          <t>G.900020</t>
        </is>
      </c>
      <c r="L404" s="92" t="inlineStr">
        <is>
          <t>Boswaard, Parkeergebouw</t>
        </is>
      </c>
      <c r="M404" s="92" t="inlineStr">
        <is>
          <t>Opstal</t>
        </is>
      </c>
      <c r="N404" s="92" t="inlineStr">
        <is>
          <t>J</t>
        </is>
      </c>
      <c r="O404" s="92" t="inlineStr">
        <is>
          <t>Woningverkopen Q3</t>
        </is>
      </c>
      <c r="P404" s="109" t="n">
        <v>0</v>
      </c>
      <c r="Q404" s="92" t="inlineStr">
        <is>
          <t>aantal</t>
        </is>
      </c>
      <c r="R404" s="92" t="inlineStr">
        <is>
          <t>Synthetische snapshot; kwartalen zijn FY-verdeling, geen actuals</t>
        </is>
      </c>
      <c r="S404" s="15" t="str">
        <f>IF(J404="","",J404&amp;"|"&amp;E404&amp;"|"&amp;F404&amp;"|"&amp;I404&amp;"|"&amp;O404)</f>
        <v>G.900020.8.9090|2026|Q1|2026|Woningverkopen Q3</v>
      </c>
      <c r="T404" s="15">
        <f>IF(OR(S404="",D404&lt;&gt;"Vastgesteld"),"",_xlfn.MAXIFS($G$6:$G$5005,$S$6:$S$5005,S404,$D$6:$D$5005,"Vastgesteld"))</f>
        <v>0</v>
      </c>
      <c r="U404" s="15">
        <f>IF(T404="",0,IF(AND(G404=T404,COUNTIFS($S$6:S404,S404,$G$6:G404,G404,$D$6:D404,"Vastgesteld")=1),1,0))</f>
        <v>1</v>
      </c>
      <c r="V404" s="15">
        <f>IF(T404="",0,IF(AND(G404=T404,COUNTIFS($S$6:S404,S404,$G$6:G404,G404,$D$6:D404,"Vastgesteld")&gt;1),1,0))</f>
        <v>0</v>
      </c>
    </row>
    <row r="405">
      <c r="A405" s="92" t="inlineStr">
        <is>
          <t>HIST-2026-Q1</t>
        </is>
      </c>
      <c r="B405" s="92" t="inlineStr">
        <is>
          <t>RDFO_FICTIEVE_historie_en_mapping.xlsx</t>
        </is>
      </c>
      <c r="C405" s="108" t="n">
        <v>46324</v>
      </c>
      <c r="D405" s="92" t="inlineStr">
        <is>
          <t>Vastgesteld</t>
        </is>
      </c>
      <c r="E405" s="92" t="n">
        <v>2026</v>
      </c>
      <c r="F405" s="92" t="inlineStr">
        <is>
          <t>Q1</t>
        </is>
      </c>
      <c r="G405" s="92" t="n">
        <v>0</v>
      </c>
      <c r="H405" s="108" t="n">
        <v>46112</v>
      </c>
      <c r="I405" s="92" t="n">
        <v>2026</v>
      </c>
      <c r="J405" s="92" t="inlineStr">
        <is>
          <t>G.900020.8.9090</t>
        </is>
      </c>
      <c r="K405" s="92" t="inlineStr">
        <is>
          <t>G.900020</t>
        </is>
      </c>
      <c r="L405" s="92" t="inlineStr">
        <is>
          <t>Boswaard, Parkeergebouw</t>
        </is>
      </c>
      <c r="M405" s="92" t="inlineStr">
        <is>
          <t>Opstal</t>
        </is>
      </c>
      <c r="N405" s="92" t="inlineStr">
        <is>
          <t>J</t>
        </is>
      </c>
      <c r="O405" s="92" t="inlineStr">
        <is>
          <t>Woningverkopen Q4</t>
        </is>
      </c>
      <c r="P405" s="109" t="n">
        <v>0</v>
      </c>
      <c r="Q405" s="92" t="inlineStr">
        <is>
          <t>aantal</t>
        </is>
      </c>
      <c r="R405" s="92" t="inlineStr">
        <is>
          <t>Synthetische snapshot; kwartalen zijn FY-verdeling, geen actuals</t>
        </is>
      </c>
      <c r="S405" s="15" t="str">
        <f>IF(J405="","",J405&amp;"|"&amp;E405&amp;"|"&amp;F405&amp;"|"&amp;I405&amp;"|"&amp;O405)</f>
        <v>G.900020.8.9090|2026|Q1|2026|Woningverkopen Q4</v>
      </c>
      <c r="T405" s="15">
        <f>IF(OR(S405="",D405&lt;&gt;"Vastgesteld"),"",_xlfn.MAXIFS($G$6:$G$5005,$S$6:$S$5005,S405,$D$6:$D$5005,"Vastgesteld"))</f>
        <v>0</v>
      </c>
      <c r="U405" s="15">
        <f>IF(T405="",0,IF(AND(G405=T405,COUNTIFS($S$6:S405,S405,$G$6:G405,G405,$D$6:D405,"Vastgesteld")=1),1,0))</f>
        <v>1</v>
      </c>
      <c r="V405" s="15">
        <f>IF(T405="",0,IF(AND(G405=T405,COUNTIFS($S$6:S405,S405,$G$6:G405,G405,$D$6:D405,"Vastgesteld")&gt;1),1,0))</f>
        <v>0</v>
      </c>
    </row>
    <row r="406">
      <c r="A406" s="92" t="inlineStr">
        <is>
          <t>HIST-2026-Q2</t>
        </is>
      </c>
      <c r="B406" s="92" t="inlineStr">
        <is>
          <t>RDFO_FICTIEVE_historie_en_mapping.xlsx</t>
        </is>
      </c>
      <c r="C406" s="108" t="n">
        <v>46324</v>
      </c>
      <c r="D406" s="92" t="inlineStr">
        <is>
          <t>Vastgesteld</t>
        </is>
      </c>
      <c r="E406" s="92" t="n">
        <v>2026</v>
      </c>
      <c r="F406" s="92" t="inlineStr">
        <is>
          <t>Q2</t>
        </is>
      </c>
      <c r="G406" s="92" t="n">
        <v>0</v>
      </c>
      <c r="H406" s="108" t="n">
        <v>46203</v>
      </c>
      <c r="I406" s="92" t="n">
        <v>2026</v>
      </c>
      <c r="J406" s="92" t="inlineStr">
        <is>
          <t>G.900001.8.9090</t>
        </is>
      </c>
      <c r="K406" s="92" t="inlineStr">
        <is>
          <t>G.900001</t>
        </is>
      </c>
      <c r="L406" s="92" t="inlineStr">
        <is>
          <t>Lindehaven, Parkzoom fase 1</t>
        </is>
      </c>
      <c r="M406" s="92" t="inlineStr">
        <is>
          <t>Opstal</t>
        </is>
      </c>
      <c r="N406" s="92" t="inlineStr">
        <is>
          <t>J</t>
        </is>
      </c>
      <c r="O406" s="92" t="inlineStr">
        <is>
          <t>Omzet FY</t>
        </is>
      </c>
      <c r="P406" s="109" t="n">
        <v>5425792</v>
      </c>
      <c r="Q406" s="92" t="inlineStr">
        <is>
          <t>EUR</t>
        </is>
      </c>
      <c r="R406" s="92" t="inlineStr">
        <is>
          <t>Synthetische vastgelegde invoer; geen echte historie</t>
        </is>
      </c>
      <c r="S406" s="15" t="str">
        <f>IF(J406="","",J406&amp;"|"&amp;E406&amp;"|"&amp;F406&amp;"|"&amp;I406&amp;"|"&amp;O406)</f>
        <v>G.900001.8.9090|2026|Q2|2026|Omzet FY</v>
      </c>
      <c r="T406" s="15">
        <f>IF(OR(S406="",D406&lt;&gt;"Vastgesteld"),"",_xlfn.MAXIFS($G$6:$G$5005,$S$6:$S$5005,S406,$D$6:$D$5005,"Vastgesteld"))</f>
        <v>0</v>
      </c>
      <c r="U406" s="15">
        <f>IF(T406="",0,IF(AND(G406=T406,COUNTIFS($S$6:S406,S406,$G$6:G406,G406,$D$6:D406,"Vastgesteld")=1),1,0))</f>
        <v>1</v>
      </c>
      <c r="V406" s="15">
        <f>IF(T406="",0,IF(AND(G406=T406,COUNTIFS($S$6:S406,S406,$G$6:G406,G406,$D$6:D406,"Vastgesteld")&gt;1),1,0))</f>
        <v>0</v>
      </c>
    </row>
    <row r="407">
      <c r="A407" s="92" t="inlineStr">
        <is>
          <t>HIST-2026-Q2</t>
        </is>
      </c>
      <c r="B407" s="92" t="inlineStr">
        <is>
          <t>RDFO_FICTIEVE_historie_en_mapping.xlsx</t>
        </is>
      </c>
      <c r="C407" s="108" t="n">
        <v>46324</v>
      </c>
      <c r="D407" s="92" t="inlineStr">
        <is>
          <t>Vastgesteld</t>
        </is>
      </c>
      <c r="E407" s="92" t="n">
        <v>2026</v>
      </c>
      <c r="F407" s="92" t="inlineStr">
        <is>
          <t>Q2</t>
        </is>
      </c>
      <c r="G407" s="92" t="n">
        <v>0</v>
      </c>
      <c r="H407" s="108" t="n">
        <v>46203</v>
      </c>
      <c r="I407" s="92" t="n">
        <v>2026</v>
      </c>
      <c r="J407" s="92" t="inlineStr">
        <is>
          <t>G.900001.8.9090</t>
        </is>
      </c>
      <c r="K407" s="92" t="inlineStr">
        <is>
          <t>G.900001</t>
        </is>
      </c>
      <c r="L407" s="92" t="inlineStr">
        <is>
          <t>Lindehaven, Parkzoom fase 1</t>
        </is>
      </c>
      <c r="M407" s="92" t="inlineStr">
        <is>
          <t>Opstal</t>
        </is>
      </c>
      <c r="N407" s="92" t="inlineStr">
        <is>
          <t>J</t>
        </is>
      </c>
      <c r="O407" s="92" t="inlineStr">
        <is>
          <t>BOR FY</t>
        </is>
      </c>
      <c r="P407" s="109" t="n">
        <v>488321.28</v>
      </c>
      <c r="Q407" s="92" t="inlineStr">
        <is>
          <t>EUR</t>
        </is>
      </c>
      <c r="R407" s="92" t="inlineStr">
        <is>
          <t>Synthetische vastgelegde invoer; geen echte historie</t>
        </is>
      </c>
      <c r="S407" s="15" t="str">
        <f>IF(J407="","",J407&amp;"|"&amp;E407&amp;"|"&amp;F407&amp;"|"&amp;I407&amp;"|"&amp;O407)</f>
        <v>G.900001.8.9090|2026|Q2|2026|BOR FY</v>
      </c>
      <c r="T407" s="15">
        <f>IF(OR(S407="",D407&lt;&gt;"Vastgesteld"),"",_xlfn.MAXIFS($G$6:$G$5005,$S$6:$S$5005,S407,$D$6:$D$5005,"Vastgesteld"))</f>
        <v>0</v>
      </c>
      <c r="U407" s="15">
        <f>IF(T407="",0,IF(AND(G407=T407,COUNTIFS($S$6:S407,S407,$G$6:G407,G407,$D$6:D407,"Vastgesteld")=1),1,0))</f>
        <v>1</v>
      </c>
      <c r="V407" s="15">
        <f>IF(T407="",0,IF(AND(G407=T407,COUNTIFS($S$6:S407,S407,$G$6:G407,G407,$D$6:D407,"Vastgesteld")&gt;1),1,0))</f>
        <v>0</v>
      </c>
    </row>
    <row r="408">
      <c r="A408" s="92" t="inlineStr">
        <is>
          <t>HIST-2026-Q2</t>
        </is>
      </c>
      <c r="B408" s="92" t="inlineStr">
        <is>
          <t>RDFO_FICTIEVE_historie_en_mapping.xlsx</t>
        </is>
      </c>
      <c r="C408" s="108" t="n">
        <v>46324</v>
      </c>
      <c r="D408" s="92" t="inlineStr">
        <is>
          <t>Vastgesteld</t>
        </is>
      </c>
      <c r="E408" s="92" t="n">
        <v>2026</v>
      </c>
      <c r="F408" s="92" t="inlineStr">
        <is>
          <t>Q2</t>
        </is>
      </c>
      <c r="G408" s="92" t="n">
        <v>0</v>
      </c>
      <c r="H408" s="108" t="n">
        <v>46203</v>
      </c>
      <c r="I408" s="92" t="n">
        <v>2027</v>
      </c>
      <c r="J408" s="92" t="inlineStr">
        <is>
          <t>G.900001.8.9090</t>
        </is>
      </c>
      <c r="K408" s="92" t="inlineStr">
        <is>
          <t>G.900001</t>
        </is>
      </c>
      <c r="L408" s="92" t="inlineStr">
        <is>
          <t>Lindehaven, Parkzoom fase 1</t>
        </is>
      </c>
      <c r="M408" s="92" t="inlineStr">
        <is>
          <t>Opstal</t>
        </is>
      </c>
      <c r="N408" s="92" t="inlineStr">
        <is>
          <t>J</t>
        </is>
      </c>
      <c r="O408" s="92" t="inlineStr">
        <is>
          <t>Omzet FY</t>
        </is>
      </c>
      <c r="P408" s="109" t="n">
        <v>4362051.2</v>
      </c>
      <c r="Q408" s="92" t="inlineStr">
        <is>
          <t>EUR</t>
        </is>
      </c>
      <c r="R408" s="92" t="inlineStr">
        <is>
          <t>Synthetische vastgelegde invoer; geen echte historie</t>
        </is>
      </c>
      <c r="S408" s="15" t="str">
        <f>IF(J408="","",J408&amp;"|"&amp;E408&amp;"|"&amp;F408&amp;"|"&amp;I408&amp;"|"&amp;O408)</f>
        <v>G.900001.8.9090|2026|Q2|2027|Omzet FY</v>
      </c>
      <c r="T408" s="15">
        <f>IF(OR(S408="",D408&lt;&gt;"Vastgesteld"),"",_xlfn.MAXIFS($G$6:$G$5005,$S$6:$S$5005,S408,$D$6:$D$5005,"Vastgesteld"))</f>
        <v>0</v>
      </c>
      <c r="U408" s="15">
        <f>IF(T408="",0,IF(AND(G408=T408,COUNTIFS($S$6:S408,S408,$G$6:G408,G408,$D$6:D408,"Vastgesteld")=1),1,0))</f>
        <v>1</v>
      </c>
      <c r="V408" s="15">
        <f>IF(T408="",0,IF(AND(G408=T408,COUNTIFS($S$6:S408,S408,$G$6:G408,G408,$D$6:D408,"Vastgesteld")&gt;1),1,0))</f>
        <v>0</v>
      </c>
    </row>
    <row r="409">
      <c r="A409" s="92" t="inlineStr">
        <is>
          <t>HIST-2026-Q2</t>
        </is>
      </c>
      <c r="B409" s="92" t="inlineStr">
        <is>
          <t>RDFO_FICTIEVE_historie_en_mapping.xlsx</t>
        </is>
      </c>
      <c r="C409" s="108" t="n">
        <v>46324</v>
      </c>
      <c r="D409" s="92" t="inlineStr">
        <is>
          <t>Vastgesteld</t>
        </is>
      </c>
      <c r="E409" s="92" t="n">
        <v>2026</v>
      </c>
      <c r="F409" s="92" t="inlineStr">
        <is>
          <t>Q2</t>
        </is>
      </c>
      <c r="G409" s="92" t="n">
        <v>0</v>
      </c>
      <c r="H409" s="108" t="n">
        <v>46203</v>
      </c>
      <c r="I409" s="92" t="n">
        <v>2027</v>
      </c>
      <c r="J409" s="92" t="inlineStr">
        <is>
          <t>G.900001.8.9090</t>
        </is>
      </c>
      <c r="K409" s="92" t="inlineStr">
        <is>
          <t>G.900001</t>
        </is>
      </c>
      <c r="L409" s="92" t="inlineStr">
        <is>
          <t>Lindehaven, Parkzoom fase 1</t>
        </is>
      </c>
      <c r="M409" s="92" t="inlineStr">
        <is>
          <t>Opstal</t>
        </is>
      </c>
      <c r="N409" s="92" t="inlineStr">
        <is>
          <t>J</t>
        </is>
      </c>
      <c r="O409" s="92" t="inlineStr">
        <is>
          <t>BOR FY</t>
        </is>
      </c>
      <c r="P409" s="109" t="n">
        <v>392584.61</v>
      </c>
      <c r="Q409" s="92" t="inlineStr">
        <is>
          <t>EUR</t>
        </is>
      </c>
      <c r="R409" s="92" t="inlineStr">
        <is>
          <t>Synthetische vastgelegde invoer; geen echte historie</t>
        </is>
      </c>
      <c r="S409" s="15" t="str">
        <f>IF(J409="","",J409&amp;"|"&amp;E409&amp;"|"&amp;F409&amp;"|"&amp;I409&amp;"|"&amp;O409)</f>
        <v>G.900001.8.9090|2026|Q2|2027|BOR FY</v>
      </c>
      <c r="T409" s="15">
        <f>IF(OR(S409="",D409&lt;&gt;"Vastgesteld"),"",_xlfn.MAXIFS($G$6:$G$5005,$S$6:$S$5005,S409,$D$6:$D$5005,"Vastgesteld"))</f>
        <v>0</v>
      </c>
      <c r="U409" s="15">
        <f>IF(T409="",0,IF(AND(G409=T409,COUNTIFS($S$6:S409,S409,$G$6:G409,G409,$D$6:D409,"Vastgesteld")=1),1,0))</f>
        <v>1</v>
      </c>
      <c r="V409" s="15">
        <f>IF(T409="",0,IF(AND(G409=T409,COUNTIFS($S$6:S409,S409,$G$6:G409,G409,$D$6:D409,"Vastgesteld")&gt;1),1,0))</f>
        <v>0</v>
      </c>
    </row>
    <row r="410">
      <c r="A410" s="92" t="inlineStr">
        <is>
          <t>HIST-2026-Q2</t>
        </is>
      </c>
      <c r="B410" s="92" t="inlineStr">
        <is>
          <t>RDFO_FICTIEVE_historie_en_mapping.xlsx</t>
        </is>
      </c>
      <c r="C410" s="108" t="n">
        <v>46324</v>
      </c>
      <c r="D410" s="92" t="inlineStr">
        <is>
          <t>Vastgesteld</t>
        </is>
      </c>
      <c r="E410" s="92" t="n">
        <v>2026</v>
      </c>
      <c r="F410" s="92" t="inlineStr">
        <is>
          <t>Q2</t>
        </is>
      </c>
      <c r="G410" s="92" t="n">
        <v>0</v>
      </c>
      <c r="H410" s="108" t="n">
        <v>46203</v>
      </c>
      <c r="I410" s="92" t="n">
        <v>2026</v>
      </c>
      <c r="J410" s="92" t="inlineStr">
        <is>
          <t>G.900002.8.9090</t>
        </is>
      </c>
      <c r="K410" s="92" t="inlineStr">
        <is>
          <t>G.900002</t>
        </is>
      </c>
      <c r="L410" s="92" t="inlineStr">
        <is>
          <t>Duinwaard, De Watergaarde</t>
        </is>
      </c>
      <c r="M410" s="92" t="inlineStr">
        <is>
          <t>Opstal</t>
        </is>
      </c>
      <c r="N410" s="92" t="inlineStr">
        <is>
          <t>J</t>
        </is>
      </c>
      <c r="O410" s="92" t="inlineStr">
        <is>
          <t>Omzet FY</t>
        </is>
      </c>
      <c r="P410" s="109" t="n">
        <v>3831600</v>
      </c>
      <c r="Q410" s="92" t="inlineStr">
        <is>
          <t>EUR</t>
        </is>
      </c>
      <c r="R410" s="92" t="inlineStr">
        <is>
          <t>Synthetische vastgelegde invoer; geen echte historie</t>
        </is>
      </c>
      <c r="S410" s="15" t="str">
        <f>IF(J410="","",J410&amp;"|"&amp;E410&amp;"|"&amp;F410&amp;"|"&amp;I410&amp;"|"&amp;O410)</f>
        <v>G.900002.8.9090|2026|Q2|2026|Omzet FY</v>
      </c>
      <c r="T410" s="15">
        <f>IF(OR(S410="",D410&lt;&gt;"Vastgesteld"),"",_xlfn.MAXIFS($G$6:$G$5005,$S$6:$S$5005,S410,$D$6:$D$5005,"Vastgesteld"))</f>
        <v>0</v>
      </c>
      <c r="U410" s="15">
        <f>IF(T410="",0,IF(AND(G410=T410,COUNTIFS($S$6:S410,S410,$G$6:G410,G410,$D$6:D410,"Vastgesteld")=1),1,0))</f>
        <v>1</v>
      </c>
      <c r="V410" s="15">
        <f>IF(T410="",0,IF(AND(G410=T410,COUNTIFS($S$6:S410,S410,$G$6:G410,G410,$D$6:D410,"Vastgesteld")&gt;1),1,0))</f>
        <v>0</v>
      </c>
    </row>
    <row r="411">
      <c r="A411" s="92" t="inlineStr">
        <is>
          <t>HIST-2026-Q2</t>
        </is>
      </c>
      <c r="B411" s="92" t="inlineStr">
        <is>
          <t>RDFO_FICTIEVE_historie_en_mapping.xlsx</t>
        </is>
      </c>
      <c r="C411" s="108" t="n">
        <v>46324</v>
      </c>
      <c r="D411" s="92" t="inlineStr">
        <is>
          <t>Vastgesteld</t>
        </is>
      </c>
      <c r="E411" s="92" t="n">
        <v>2026</v>
      </c>
      <c r="F411" s="92" t="inlineStr">
        <is>
          <t>Q2</t>
        </is>
      </c>
      <c r="G411" s="92" t="n">
        <v>0</v>
      </c>
      <c r="H411" s="108" t="n">
        <v>46203</v>
      </c>
      <c r="I411" s="92" t="n">
        <v>2026</v>
      </c>
      <c r="J411" s="92" t="inlineStr">
        <is>
          <t>G.900002.8.9090</t>
        </is>
      </c>
      <c r="K411" s="92" t="inlineStr">
        <is>
          <t>G.900002</t>
        </is>
      </c>
      <c r="L411" s="92" t="inlineStr">
        <is>
          <t>Duinwaard, De Watergaarde</t>
        </is>
      </c>
      <c r="M411" s="92" t="inlineStr">
        <is>
          <t>Opstal</t>
        </is>
      </c>
      <c r="N411" s="92" t="inlineStr">
        <is>
          <t>J</t>
        </is>
      </c>
      <c r="O411" s="92" t="inlineStr">
        <is>
          <t>BOR FY</t>
        </is>
      </c>
      <c r="P411" s="109" t="n">
        <v>459792</v>
      </c>
      <c r="Q411" s="92" t="inlineStr">
        <is>
          <t>EUR</t>
        </is>
      </c>
      <c r="R411" s="92" t="inlineStr">
        <is>
          <t>Synthetische vastgelegde invoer; geen echte historie</t>
        </is>
      </c>
      <c r="S411" s="15" t="str">
        <f>IF(J411="","",J411&amp;"|"&amp;E411&amp;"|"&amp;F411&amp;"|"&amp;I411&amp;"|"&amp;O411)</f>
        <v>G.900002.8.9090|2026|Q2|2026|BOR FY</v>
      </c>
      <c r="T411" s="15">
        <f>IF(OR(S411="",D411&lt;&gt;"Vastgesteld"),"",_xlfn.MAXIFS($G$6:$G$5005,$S$6:$S$5005,S411,$D$6:$D$5005,"Vastgesteld"))</f>
        <v>0</v>
      </c>
      <c r="U411" s="15">
        <f>IF(T411="",0,IF(AND(G411=T411,COUNTIFS($S$6:S411,S411,$G$6:G411,G411,$D$6:D411,"Vastgesteld")=1),1,0))</f>
        <v>1</v>
      </c>
      <c r="V411" s="15">
        <f>IF(T411="",0,IF(AND(G411=T411,COUNTIFS($S$6:S411,S411,$G$6:G411,G411,$D$6:D411,"Vastgesteld")&gt;1),1,0))</f>
        <v>0</v>
      </c>
    </row>
    <row r="412">
      <c r="A412" s="92" t="inlineStr">
        <is>
          <t>HIST-2026-Q2</t>
        </is>
      </c>
      <c r="B412" s="92" t="inlineStr">
        <is>
          <t>RDFO_FICTIEVE_historie_en_mapping.xlsx</t>
        </is>
      </c>
      <c r="C412" s="108" t="n">
        <v>46324</v>
      </c>
      <c r="D412" s="92" t="inlineStr">
        <is>
          <t>Vastgesteld</t>
        </is>
      </c>
      <c r="E412" s="92" t="n">
        <v>2026</v>
      </c>
      <c r="F412" s="92" t="inlineStr">
        <is>
          <t>Q2</t>
        </is>
      </c>
      <c r="G412" s="92" t="n">
        <v>0</v>
      </c>
      <c r="H412" s="108" t="n">
        <v>46203</v>
      </c>
      <c r="I412" s="92" t="n">
        <v>2027</v>
      </c>
      <c r="J412" s="92" t="inlineStr">
        <is>
          <t>G.900002.8.9090</t>
        </is>
      </c>
      <c r="K412" s="92" t="inlineStr">
        <is>
          <t>G.900002</t>
        </is>
      </c>
      <c r="L412" s="92" t="inlineStr">
        <is>
          <t>Duinwaard, De Watergaarde</t>
        </is>
      </c>
      <c r="M412" s="92" t="inlineStr">
        <is>
          <t>Opstal</t>
        </is>
      </c>
      <c r="N412" s="92" t="inlineStr">
        <is>
          <t>J</t>
        </is>
      </c>
      <c r="O412" s="92" t="inlineStr">
        <is>
          <t>Omzet FY</t>
        </is>
      </c>
      <c r="P412" s="109" t="n">
        <v>5977296</v>
      </c>
      <c r="Q412" s="92" t="inlineStr">
        <is>
          <t>EUR</t>
        </is>
      </c>
      <c r="R412" s="92" t="inlineStr">
        <is>
          <t>Synthetische vastgelegde invoer; geen echte historie</t>
        </is>
      </c>
      <c r="S412" s="15" t="str">
        <f>IF(J412="","",J412&amp;"|"&amp;E412&amp;"|"&amp;F412&amp;"|"&amp;I412&amp;"|"&amp;O412)</f>
        <v>G.900002.8.9090|2026|Q2|2027|Omzet FY</v>
      </c>
      <c r="T412" s="15">
        <f>IF(OR(S412="",D412&lt;&gt;"Vastgesteld"),"",_xlfn.MAXIFS($G$6:$G$5005,$S$6:$S$5005,S412,$D$6:$D$5005,"Vastgesteld"))</f>
        <v>0</v>
      </c>
      <c r="U412" s="15">
        <f>IF(T412="",0,IF(AND(G412=T412,COUNTIFS($S$6:S412,S412,$G$6:G412,G412,$D$6:D412,"Vastgesteld")=1),1,0))</f>
        <v>1</v>
      </c>
      <c r="V412" s="15">
        <f>IF(T412="",0,IF(AND(G412=T412,COUNTIFS($S$6:S412,S412,$G$6:G412,G412,$D$6:D412,"Vastgesteld")&gt;1),1,0))</f>
        <v>0</v>
      </c>
    </row>
    <row r="413">
      <c r="A413" s="92" t="inlineStr">
        <is>
          <t>HIST-2026-Q2</t>
        </is>
      </c>
      <c r="B413" s="92" t="inlineStr">
        <is>
          <t>RDFO_FICTIEVE_historie_en_mapping.xlsx</t>
        </is>
      </c>
      <c r="C413" s="108" t="n">
        <v>46324</v>
      </c>
      <c r="D413" s="92" t="inlineStr">
        <is>
          <t>Vastgesteld</t>
        </is>
      </c>
      <c r="E413" s="92" t="n">
        <v>2026</v>
      </c>
      <c r="F413" s="92" t="inlineStr">
        <is>
          <t>Q2</t>
        </is>
      </c>
      <c r="G413" s="92" t="n">
        <v>0</v>
      </c>
      <c r="H413" s="108" t="n">
        <v>46203</v>
      </c>
      <c r="I413" s="92" t="n">
        <v>2027</v>
      </c>
      <c r="J413" s="92" t="inlineStr">
        <is>
          <t>G.900002.8.9090</t>
        </is>
      </c>
      <c r="K413" s="92" t="inlineStr">
        <is>
          <t>G.900002</t>
        </is>
      </c>
      <c r="L413" s="92" t="inlineStr">
        <is>
          <t>Duinwaard, De Watergaarde</t>
        </is>
      </c>
      <c r="M413" s="92" t="inlineStr">
        <is>
          <t>Opstal</t>
        </is>
      </c>
      <c r="N413" s="92" t="inlineStr">
        <is>
          <t>J</t>
        </is>
      </c>
      <c r="O413" s="92" t="inlineStr">
        <is>
          <t>BOR FY</t>
        </is>
      </c>
      <c r="P413" s="109" t="n">
        <v>717275.52</v>
      </c>
      <c r="Q413" s="92" t="inlineStr">
        <is>
          <t>EUR</t>
        </is>
      </c>
      <c r="R413" s="92" t="inlineStr">
        <is>
          <t>Synthetische vastgelegde invoer; geen echte historie</t>
        </is>
      </c>
      <c r="S413" s="15" t="str">
        <f>IF(J413="","",J413&amp;"|"&amp;E413&amp;"|"&amp;F413&amp;"|"&amp;I413&amp;"|"&amp;O413)</f>
        <v>G.900002.8.9090|2026|Q2|2027|BOR FY</v>
      </c>
      <c r="T413" s="15">
        <f>IF(OR(S413="",D413&lt;&gt;"Vastgesteld"),"",_xlfn.MAXIFS($G$6:$G$5005,$S$6:$S$5005,S413,$D$6:$D$5005,"Vastgesteld"))</f>
        <v>0</v>
      </c>
      <c r="U413" s="15">
        <f>IF(T413="",0,IF(AND(G413=T413,COUNTIFS($S$6:S413,S413,$G$6:G413,G413,$D$6:D413,"Vastgesteld")=1),1,0))</f>
        <v>1</v>
      </c>
      <c r="V413" s="15">
        <f>IF(T413="",0,IF(AND(G413=T413,COUNTIFS($S$6:S413,S413,$G$6:G413,G413,$D$6:D413,"Vastgesteld")&gt;1),1,0))</f>
        <v>0</v>
      </c>
    </row>
    <row r="414">
      <c r="A414" s="92" t="inlineStr">
        <is>
          <t>HIST-2026-Q2</t>
        </is>
      </c>
      <c r="B414" s="92" t="inlineStr">
        <is>
          <t>RDFO_FICTIEVE_historie_en_mapping.xlsx</t>
        </is>
      </c>
      <c r="C414" s="108" t="n">
        <v>46324</v>
      </c>
      <c r="D414" s="92" t="inlineStr">
        <is>
          <t>Vastgesteld</t>
        </is>
      </c>
      <c r="E414" s="92" t="n">
        <v>2026</v>
      </c>
      <c r="F414" s="92" t="inlineStr">
        <is>
          <t>Q2</t>
        </is>
      </c>
      <c r="G414" s="92" t="n">
        <v>0</v>
      </c>
      <c r="H414" s="108" t="n">
        <v>46203</v>
      </c>
      <c r="I414" s="92" t="n">
        <v>2026</v>
      </c>
      <c r="J414" s="92" t="inlineStr">
        <is>
          <t>G.900003.8.9090</t>
        </is>
      </c>
      <c r="K414" s="92" t="inlineStr">
        <is>
          <t>G.900003</t>
        </is>
      </c>
      <c r="L414" s="92" t="inlineStr">
        <is>
          <t>Veldendam, Stationshof</t>
        </is>
      </c>
      <c r="M414" s="92" t="inlineStr">
        <is>
          <t>Opstal</t>
        </is>
      </c>
      <c r="N414" s="92" t="inlineStr">
        <is>
          <t>J</t>
        </is>
      </c>
      <c r="O414" s="92" t="inlineStr">
        <is>
          <t>Omzet FY</t>
        </is>
      </c>
      <c r="P414" s="109" t="n">
        <v>4423200</v>
      </c>
      <c r="Q414" s="92" t="inlineStr">
        <is>
          <t>EUR</t>
        </is>
      </c>
      <c r="R414" s="92" t="inlineStr">
        <is>
          <t>Synthetische vastgelegde invoer; geen echte historie</t>
        </is>
      </c>
      <c r="S414" s="15" t="str">
        <f>IF(J414="","",J414&amp;"|"&amp;E414&amp;"|"&amp;F414&amp;"|"&amp;I414&amp;"|"&amp;O414)</f>
        <v>G.900003.8.9090|2026|Q2|2026|Omzet FY</v>
      </c>
      <c r="T414" s="15">
        <f>IF(OR(S414="",D414&lt;&gt;"Vastgesteld"),"",_xlfn.MAXIFS($G$6:$G$5005,$S$6:$S$5005,S414,$D$6:$D$5005,"Vastgesteld"))</f>
        <v>0</v>
      </c>
      <c r="U414" s="15">
        <f>IF(T414="",0,IF(AND(G414=T414,COUNTIFS($S$6:S414,S414,$G$6:G414,G414,$D$6:D414,"Vastgesteld")=1),1,0))</f>
        <v>1</v>
      </c>
      <c r="V414" s="15">
        <f>IF(T414="",0,IF(AND(G414=T414,COUNTIFS($S$6:S414,S414,$G$6:G414,G414,$D$6:D414,"Vastgesteld")&gt;1),1,0))</f>
        <v>0</v>
      </c>
    </row>
    <row r="415">
      <c r="A415" s="92" t="inlineStr">
        <is>
          <t>HIST-2026-Q2</t>
        </is>
      </c>
      <c r="B415" s="92" t="inlineStr">
        <is>
          <t>RDFO_FICTIEVE_historie_en_mapping.xlsx</t>
        </is>
      </c>
      <c r="C415" s="108" t="n">
        <v>46324</v>
      </c>
      <c r="D415" s="92" t="inlineStr">
        <is>
          <t>Vastgesteld</t>
        </is>
      </c>
      <c r="E415" s="92" t="n">
        <v>2026</v>
      </c>
      <c r="F415" s="92" t="inlineStr">
        <is>
          <t>Q2</t>
        </is>
      </c>
      <c r="G415" s="92" t="n">
        <v>0</v>
      </c>
      <c r="H415" s="108" t="n">
        <v>46203</v>
      </c>
      <c r="I415" s="92" t="n">
        <v>2026</v>
      </c>
      <c r="J415" s="92" t="inlineStr">
        <is>
          <t>G.900003.8.9090</t>
        </is>
      </c>
      <c r="K415" s="92" t="inlineStr">
        <is>
          <t>G.900003</t>
        </is>
      </c>
      <c r="L415" s="92" t="inlineStr">
        <is>
          <t>Veldendam, Stationshof</t>
        </is>
      </c>
      <c r="M415" s="92" t="inlineStr">
        <is>
          <t>Opstal</t>
        </is>
      </c>
      <c r="N415" s="92" t="inlineStr">
        <is>
          <t>J</t>
        </is>
      </c>
      <c r="O415" s="92" t="inlineStr">
        <is>
          <t>BOR FY</t>
        </is>
      </c>
      <c r="P415" s="109" t="n">
        <v>331740</v>
      </c>
      <c r="Q415" s="92" t="inlineStr">
        <is>
          <t>EUR</t>
        </is>
      </c>
      <c r="R415" s="92" t="inlineStr">
        <is>
          <t>Synthetische vastgelegde invoer; geen echte historie</t>
        </is>
      </c>
      <c r="S415" s="15" t="str">
        <f>IF(J415="","",J415&amp;"|"&amp;E415&amp;"|"&amp;F415&amp;"|"&amp;I415&amp;"|"&amp;O415)</f>
        <v>G.900003.8.9090|2026|Q2|2026|BOR FY</v>
      </c>
      <c r="T415" s="15">
        <f>IF(OR(S415="",D415&lt;&gt;"Vastgesteld"),"",_xlfn.MAXIFS($G$6:$G$5005,$S$6:$S$5005,S415,$D$6:$D$5005,"Vastgesteld"))</f>
        <v>0</v>
      </c>
      <c r="U415" s="15">
        <f>IF(T415="",0,IF(AND(G415=T415,COUNTIFS($S$6:S415,S415,$G$6:G415,G415,$D$6:D415,"Vastgesteld")=1),1,0))</f>
        <v>1</v>
      </c>
      <c r="V415" s="15">
        <f>IF(T415="",0,IF(AND(G415=T415,COUNTIFS($S$6:S415,S415,$G$6:G415,G415,$D$6:D415,"Vastgesteld")&gt;1),1,0))</f>
        <v>0</v>
      </c>
    </row>
    <row r="416">
      <c r="A416" s="92" t="inlineStr">
        <is>
          <t>HIST-2026-Q2</t>
        </is>
      </c>
      <c r="B416" s="92" t="inlineStr">
        <is>
          <t>RDFO_FICTIEVE_historie_en_mapping.xlsx</t>
        </is>
      </c>
      <c r="C416" s="108" t="n">
        <v>46324</v>
      </c>
      <c r="D416" s="92" t="inlineStr">
        <is>
          <t>Vastgesteld</t>
        </is>
      </c>
      <c r="E416" s="92" t="n">
        <v>2026</v>
      </c>
      <c r="F416" s="92" t="inlineStr">
        <is>
          <t>Q2</t>
        </is>
      </c>
      <c r="G416" s="92" t="n">
        <v>0</v>
      </c>
      <c r="H416" s="108" t="n">
        <v>46203</v>
      </c>
      <c r="I416" s="92" t="n">
        <v>2027</v>
      </c>
      <c r="J416" s="92" t="inlineStr">
        <is>
          <t>G.900003.8.9090</t>
        </is>
      </c>
      <c r="K416" s="92" t="inlineStr">
        <is>
          <t>G.900003</t>
        </is>
      </c>
      <c r="L416" s="92" t="inlineStr">
        <is>
          <t>Veldendam, Stationshof</t>
        </is>
      </c>
      <c r="M416" s="92" t="inlineStr">
        <is>
          <t>Opstal</t>
        </is>
      </c>
      <c r="N416" s="92" t="inlineStr">
        <is>
          <t>J</t>
        </is>
      </c>
      <c r="O416" s="92" t="inlineStr">
        <is>
          <t>Omzet FY</t>
        </is>
      </c>
      <c r="P416" s="109" t="n">
        <v>13417040</v>
      </c>
      <c r="Q416" s="92" t="inlineStr">
        <is>
          <t>EUR</t>
        </is>
      </c>
      <c r="R416" s="92" t="inlineStr">
        <is>
          <t>Synthetische vastgelegde invoer; geen echte historie</t>
        </is>
      </c>
      <c r="S416" s="15" t="str">
        <f>IF(J416="","",J416&amp;"|"&amp;E416&amp;"|"&amp;F416&amp;"|"&amp;I416&amp;"|"&amp;O416)</f>
        <v>G.900003.8.9090|2026|Q2|2027|Omzet FY</v>
      </c>
      <c r="T416" s="15">
        <f>IF(OR(S416="",D416&lt;&gt;"Vastgesteld"),"",_xlfn.MAXIFS($G$6:$G$5005,$S$6:$S$5005,S416,$D$6:$D$5005,"Vastgesteld"))</f>
        <v>0</v>
      </c>
      <c r="U416" s="15">
        <f>IF(T416="",0,IF(AND(G416=T416,COUNTIFS($S$6:S416,S416,$G$6:G416,G416,$D$6:D416,"Vastgesteld")=1),1,0))</f>
        <v>1</v>
      </c>
      <c r="V416" s="15">
        <f>IF(T416="",0,IF(AND(G416=T416,COUNTIFS($S$6:S416,S416,$G$6:G416,G416,$D$6:D416,"Vastgesteld")&gt;1),1,0))</f>
        <v>0</v>
      </c>
    </row>
    <row r="417">
      <c r="A417" s="92" t="inlineStr">
        <is>
          <t>HIST-2026-Q2</t>
        </is>
      </c>
      <c r="B417" s="92" t="inlineStr">
        <is>
          <t>RDFO_FICTIEVE_historie_en_mapping.xlsx</t>
        </is>
      </c>
      <c r="C417" s="108" t="n">
        <v>46324</v>
      </c>
      <c r="D417" s="92" t="inlineStr">
        <is>
          <t>Vastgesteld</t>
        </is>
      </c>
      <c r="E417" s="92" t="n">
        <v>2026</v>
      </c>
      <c r="F417" s="92" t="inlineStr">
        <is>
          <t>Q2</t>
        </is>
      </c>
      <c r="G417" s="92" t="n">
        <v>0</v>
      </c>
      <c r="H417" s="108" t="n">
        <v>46203</v>
      </c>
      <c r="I417" s="92" t="n">
        <v>2027</v>
      </c>
      <c r="J417" s="92" t="inlineStr">
        <is>
          <t>G.900003.8.9090</t>
        </is>
      </c>
      <c r="K417" s="92" t="inlineStr">
        <is>
          <t>G.900003</t>
        </is>
      </c>
      <c r="L417" s="92" t="inlineStr">
        <is>
          <t>Veldendam, Stationshof</t>
        </is>
      </c>
      <c r="M417" s="92" t="inlineStr">
        <is>
          <t>Opstal</t>
        </is>
      </c>
      <c r="N417" s="92" t="inlineStr">
        <is>
          <t>J</t>
        </is>
      </c>
      <c r="O417" s="92" t="inlineStr">
        <is>
          <t>BOR FY</t>
        </is>
      </c>
      <c r="P417" s="109" t="n">
        <v>1006278</v>
      </c>
      <c r="Q417" s="92" t="inlineStr">
        <is>
          <t>EUR</t>
        </is>
      </c>
      <c r="R417" s="92" t="inlineStr">
        <is>
          <t>Synthetische vastgelegde invoer; geen echte historie</t>
        </is>
      </c>
      <c r="S417" s="15" t="str">
        <f>IF(J417="","",J417&amp;"|"&amp;E417&amp;"|"&amp;F417&amp;"|"&amp;I417&amp;"|"&amp;O417)</f>
        <v>G.900003.8.9090|2026|Q2|2027|BOR FY</v>
      </c>
      <c r="T417" s="15">
        <f>IF(OR(S417="",D417&lt;&gt;"Vastgesteld"),"",_xlfn.MAXIFS($G$6:$G$5005,$S$6:$S$5005,S417,$D$6:$D$5005,"Vastgesteld"))</f>
        <v>0</v>
      </c>
      <c r="U417" s="15">
        <f>IF(T417="",0,IF(AND(G417=T417,COUNTIFS($S$6:S417,S417,$G$6:G417,G417,$D$6:D417,"Vastgesteld")=1),1,0))</f>
        <v>1</v>
      </c>
      <c r="V417" s="15">
        <f>IF(T417="",0,IF(AND(G417=T417,COUNTIFS($S$6:S417,S417,$G$6:G417,G417,$D$6:D417,"Vastgesteld")&gt;1),1,0))</f>
        <v>0</v>
      </c>
    </row>
    <row r="418">
      <c r="A418" s="92" t="inlineStr">
        <is>
          <t>HIST-2026-Q2</t>
        </is>
      </c>
      <c r="B418" s="92" t="inlineStr">
        <is>
          <t>RDFO_FICTIEVE_historie_en_mapping.xlsx</t>
        </is>
      </c>
      <c r="C418" s="108" t="n">
        <v>46324</v>
      </c>
      <c r="D418" s="92" t="inlineStr">
        <is>
          <t>Vastgesteld</t>
        </is>
      </c>
      <c r="E418" s="92" t="n">
        <v>2026</v>
      </c>
      <c r="F418" s="92" t="inlineStr">
        <is>
          <t>Q2</t>
        </is>
      </c>
      <c r="G418" s="92" t="n">
        <v>0</v>
      </c>
      <c r="H418" s="108" t="n">
        <v>46203</v>
      </c>
      <c r="I418" s="92" t="n">
        <v>2026</v>
      </c>
      <c r="J418" s="92" t="inlineStr">
        <is>
          <t>G.900004.8.9090</t>
        </is>
      </c>
      <c r="K418" s="92" t="inlineStr">
        <is>
          <t>G.900004</t>
        </is>
      </c>
      <c r="L418" s="92" t="inlineStr">
        <is>
          <t>Meerhovenstad, Het Kompas</t>
        </is>
      </c>
      <c r="M418" s="92" t="inlineStr">
        <is>
          <t>Deelneming</t>
        </is>
      </c>
      <c r="N418" s="92" t="inlineStr">
        <is>
          <t>N</t>
        </is>
      </c>
      <c r="O418" s="92" t="inlineStr">
        <is>
          <t>Omzet FY</t>
        </is>
      </c>
      <c r="P418" s="109" t="n">
        <v>2491776</v>
      </c>
      <c r="Q418" s="92" t="inlineStr">
        <is>
          <t>EUR</t>
        </is>
      </c>
      <c r="R418" s="92" t="inlineStr">
        <is>
          <t>Synthetische vastgelegde invoer; geen echte historie</t>
        </is>
      </c>
      <c r="S418" s="15" t="str">
        <f>IF(J418="","",J418&amp;"|"&amp;E418&amp;"|"&amp;F418&amp;"|"&amp;I418&amp;"|"&amp;O418)</f>
        <v>G.900004.8.9090|2026|Q2|2026|Omzet FY</v>
      </c>
      <c r="T418" s="15">
        <f>IF(OR(S418="",D418&lt;&gt;"Vastgesteld"),"",_xlfn.MAXIFS($G$6:$G$5005,$S$6:$S$5005,S418,$D$6:$D$5005,"Vastgesteld"))</f>
        <v>0</v>
      </c>
      <c r="U418" s="15">
        <f>IF(T418="",0,IF(AND(G418=T418,COUNTIFS($S$6:S418,S418,$G$6:G418,G418,$D$6:D418,"Vastgesteld")=1),1,0))</f>
        <v>1</v>
      </c>
      <c r="V418" s="15">
        <f>IF(T418="",0,IF(AND(G418=T418,COUNTIFS($S$6:S418,S418,$G$6:G418,G418,$D$6:D418,"Vastgesteld")&gt;1),1,0))</f>
        <v>0</v>
      </c>
    </row>
    <row r="419">
      <c r="A419" s="92" t="inlineStr">
        <is>
          <t>HIST-2026-Q2</t>
        </is>
      </c>
      <c r="B419" s="92" t="inlineStr">
        <is>
          <t>RDFO_FICTIEVE_historie_en_mapping.xlsx</t>
        </is>
      </c>
      <c r="C419" s="108" t="n">
        <v>46324</v>
      </c>
      <c r="D419" s="92" t="inlineStr">
        <is>
          <t>Vastgesteld</t>
        </is>
      </c>
      <c r="E419" s="92" t="n">
        <v>2026</v>
      </c>
      <c r="F419" s="92" t="inlineStr">
        <is>
          <t>Q2</t>
        </is>
      </c>
      <c r="G419" s="92" t="n">
        <v>0</v>
      </c>
      <c r="H419" s="108" t="n">
        <v>46203</v>
      </c>
      <c r="I419" s="92" t="n">
        <v>2026</v>
      </c>
      <c r="J419" s="92" t="inlineStr">
        <is>
          <t>G.900004.8.9090</t>
        </is>
      </c>
      <c r="K419" s="92" t="inlineStr">
        <is>
          <t>G.900004</t>
        </is>
      </c>
      <c r="L419" s="92" t="inlineStr">
        <is>
          <t>Meerhovenstad, Het Kompas</t>
        </is>
      </c>
      <c r="M419" s="92" t="inlineStr">
        <is>
          <t>Deelneming</t>
        </is>
      </c>
      <c r="N419" s="92" t="inlineStr">
        <is>
          <t>N</t>
        </is>
      </c>
      <c r="O419" s="92" t="inlineStr">
        <is>
          <t>BOR FY</t>
        </is>
      </c>
      <c r="P419" s="109" t="n">
        <v>274095.36</v>
      </c>
      <c r="Q419" s="92" t="inlineStr">
        <is>
          <t>EUR</t>
        </is>
      </c>
      <c r="R419" s="92" t="inlineStr">
        <is>
          <t>Synthetische vastgelegde invoer; geen echte historie</t>
        </is>
      </c>
      <c r="S419" s="15" t="str">
        <f>IF(J419="","",J419&amp;"|"&amp;E419&amp;"|"&amp;F419&amp;"|"&amp;I419&amp;"|"&amp;O419)</f>
        <v>G.900004.8.9090|2026|Q2|2026|BOR FY</v>
      </c>
      <c r="T419" s="15">
        <f>IF(OR(S419="",D419&lt;&gt;"Vastgesteld"),"",_xlfn.MAXIFS($G$6:$G$5005,$S$6:$S$5005,S419,$D$6:$D$5005,"Vastgesteld"))</f>
        <v>0</v>
      </c>
      <c r="U419" s="15">
        <f>IF(T419="",0,IF(AND(G419=T419,COUNTIFS($S$6:S419,S419,$G$6:G419,G419,$D$6:D419,"Vastgesteld")=1),1,0))</f>
        <v>1</v>
      </c>
      <c r="V419" s="15">
        <f>IF(T419="",0,IF(AND(G419=T419,COUNTIFS($S$6:S419,S419,$G$6:G419,G419,$D$6:D419,"Vastgesteld")&gt;1),1,0))</f>
        <v>0</v>
      </c>
    </row>
    <row r="420">
      <c r="A420" s="92" t="inlineStr">
        <is>
          <t>HIST-2026-Q2</t>
        </is>
      </c>
      <c r="B420" s="92" t="inlineStr">
        <is>
          <t>RDFO_FICTIEVE_historie_en_mapping.xlsx</t>
        </is>
      </c>
      <c r="C420" s="108" t="n">
        <v>46324</v>
      </c>
      <c r="D420" s="92" t="inlineStr">
        <is>
          <t>Vastgesteld</t>
        </is>
      </c>
      <c r="E420" s="92" t="n">
        <v>2026</v>
      </c>
      <c r="F420" s="92" t="inlineStr">
        <is>
          <t>Q2</t>
        </is>
      </c>
      <c r="G420" s="92" t="n">
        <v>0</v>
      </c>
      <c r="H420" s="108" t="n">
        <v>46203</v>
      </c>
      <c r="I420" s="92" t="n">
        <v>2027</v>
      </c>
      <c r="J420" s="92" t="inlineStr">
        <is>
          <t>G.900004.8.9090</t>
        </is>
      </c>
      <c r="K420" s="92" t="inlineStr">
        <is>
          <t>G.900004</t>
        </is>
      </c>
      <c r="L420" s="92" t="inlineStr">
        <is>
          <t>Meerhovenstad, Het Kompas</t>
        </is>
      </c>
      <c r="M420" s="92" t="inlineStr">
        <is>
          <t>Deelneming</t>
        </is>
      </c>
      <c r="N420" s="92" t="inlineStr">
        <is>
          <t>N</t>
        </is>
      </c>
      <c r="O420" s="92" t="inlineStr">
        <is>
          <t>Omzet FY</t>
        </is>
      </c>
      <c r="P420" s="109" t="n">
        <v>1658217.6</v>
      </c>
      <c r="Q420" s="92" t="inlineStr">
        <is>
          <t>EUR</t>
        </is>
      </c>
      <c r="R420" s="92" t="inlineStr">
        <is>
          <t>Synthetische vastgelegde invoer; geen echte historie</t>
        </is>
      </c>
      <c r="S420" s="15" t="str">
        <f>IF(J420="","",J420&amp;"|"&amp;E420&amp;"|"&amp;F420&amp;"|"&amp;I420&amp;"|"&amp;O420)</f>
        <v>G.900004.8.9090|2026|Q2|2027|Omzet FY</v>
      </c>
      <c r="T420" s="15">
        <f>IF(OR(S420="",D420&lt;&gt;"Vastgesteld"),"",_xlfn.MAXIFS($G$6:$G$5005,$S$6:$S$5005,S420,$D$6:$D$5005,"Vastgesteld"))</f>
        <v>0</v>
      </c>
      <c r="U420" s="15">
        <f>IF(T420="",0,IF(AND(G420=T420,COUNTIFS($S$6:S420,S420,$G$6:G420,G420,$D$6:D420,"Vastgesteld")=1),1,0))</f>
        <v>1</v>
      </c>
      <c r="V420" s="15">
        <f>IF(T420="",0,IF(AND(G420=T420,COUNTIFS($S$6:S420,S420,$G$6:G420,G420,$D$6:D420,"Vastgesteld")&gt;1),1,0))</f>
        <v>0</v>
      </c>
    </row>
    <row r="421">
      <c r="A421" s="92" t="inlineStr">
        <is>
          <t>HIST-2026-Q2</t>
        </is>
      </c>
      <c r="B421" s="92" t="inlineStr">
        <is>
          <t>RDFO_FICTIEVE_historie_en_mapping.xlsx</t>
        </is>
      </c>
      <c r="C421" s="108" t="n">
        <v>46324</v>
      </c>
      <c r="D421" s="92" t="inlineStr">
        <is>
          <t>Vastgesteld</t>
        </is>
      </c>
      <c r="E421" s="92" t="n">
        <v>2026</v>
      </c>
      <c r="F421" s="92" t="inlineStr">
        <is>
          <t>Q2</t>
        </is>
      </c>
      <c r="G421" s="92" t="n">
        <v>0</v>
      </c>
      <c r="H421" s="108" t="n">
        <v>46203</v>
      </c>
      <c r="I421" s="92" t="n">
        <v>2027</v>
      </c>
      <c r="J421" s="92" t="inlineStr">
        <is>
          <t>G.900004.8.9090</t>
        </is>
      </c>
      <c r="K421" s="92" t="inlineStr">
        <is>
          <t>G.900004</t>
        </is>
      </c>
      <c r="L421" s="92" t="inlineStr">
        <is>
          <t>Meerhovenstad, Het Kompas</t>
        </is>
      </c>
      <c r="M421" s="92" t="inlineStr">
        <is>
          <t>Deelneming</t>
        </is>
      </c>
      <c r="N421" s="92" t="inlineStr">
        <is>
          <t>N</t>
        </is>
      </c>
      <c r="O421" s="92" t="inlineStr">
        <is>
          <t>BOR FY</t>
        </is>
      </c>
      <c r="P421" s="109" t="n">
        <v>182403.94</v>
      </c>
      <c r="Q421" s="92" t="inlineStr">
        <is>
          <t>EUR</t>
        </is>
      </c>
      <c r="R421" s="92" t="inlineStr">
        <is>
          <t>Synthetische vastgelegde invoer; geen echte historie</t>
        </is>
      </c>
      <c r="S421" s="15" t="str">
        <f>IF(J421="","",J421&amp;"|"&amp;E421&amp;"|"&amp;F421&amp;"|"&amp;I421&amp;"|"&amp;O421)</f>
        <v>G.900004.8.9090|2026|Q2|2027|BOR FY</v>
      </c>
      <c r="T421" s="15">
        <f>IF(OR(S421="",D421&lt;&gt;"Vastgesteld"),"",_xlfn.MAXIFS($G$6:$G$5005,$S$6:$S$5005,S421,$D$6:$D$5005,"Vastgesteld"))</f>
        <v>0</v>
      </c>
      <c r="U421" s="15">
        <f>IF(T421="",0,IF(AND(G421=T421,COUNTIFS($S$6:S421,S421,$G$6:G421,G421,$D$6:D421,"Vastgesteld")=1),1,0))</f>
        <v>1</v>
      </c>
      <c r="V421" s="15">
        <f>IF(T421="",0,IF(AND(G421=T421,COUNTIFS($S$6:S421,S421,$G$6:G421,G421,$D$6:D421,"Vastgesteld")&gt;1),1,0))</f>
        <v>0</v>
      </c>
    </row>
    <row r="422">
      <c r="A422" s="92" t="inlineStr">
        <is>
          <t>HIST-2026-Q2</t>
        </is>
      </c>
      <c r="B422" s="92" t="inlineStr">
        <is>
          <t>RDFO_FICTIEVE_historie_en_mapping.xlsx</t>
        </is>
      </c>
      <c r="C422" s="108" t="n">
        <v>46324</v>
      </c>
      <c r="D422" s="92" t="inlineStr">
        <is>
          <t>Vastgesteld</t>
        </is>
      </c>
      <c r="E422" s="92" t="n">
        <v>2026</v>
      </c>
      <c r="F422" s="92" t="inlineStr">
        <is>
          <t>Q2</t>
        </is>
      </c>
      <c r="G422" s="92" t="n">
        <v>0</v>
      </c>
      <c r="H422" s="108" t="n">
        <v>46203</v>
      </c>
      <c r="I422" s="92" t="n">
        <v>2026</v>
      </c>
      <c r="J422" s="92" t="inlineStr">
        <is>
          <t>G.900005.8.9090</t>
        </is>
      </c>
      <c r="K422" s="92" t="inlineStr">
        <is>
          <t>G.900005</t>
        </is>
      </c>
      <c r="L422" s="92" t="inlineStr">
        <is>
          <t>Zilverdam, Kadezicht</t>
        </is>
      </c>
      <c r="M422" s="92" t="inlineStr">
        <is>
          <t>Opstal</t>
        </is>
      </c>
      <c r="N422" s="92" t="inlineStr">
        <is>
          <t>J</t>
        </is>
      </c>
      <c r="O422" s="92" t="inlineStr">
        <is>
          <t>Omzet FY</t>
        </is>
      </c>
      <c r="P422" s="109" t="n">
        <v>6518400</v>
      </c>
      <c r="Q422" s="92" t="inlineStr">
        <is>
          <t>EUR</t>
        </is>
      </c>
      <c r="R422" s="92" t="inlineStr">
        <is>
          <t>Synthetische vastgelegde invoer; geen echte historie</t>
        </is>
      </c>
      <c r="S422" s="15" t="str">
        <f>IF(J422="","",J422&amp;"|"&amp;E422&amp;"|"&amp;F422&amp;"|"&amp;I422&amp;"|"&amp;O422)</f>
        <v>G.900005.8.9090|2026|Q2|2026|Omzet FY</v>
      </c>
      <c r="T422" s="15">
        <f>IF(OR(S422="",D422&lt;&gt;"Vastgesteld"),"",_xlfn.MAXIFS($G$6:$G$5005,$S$6:$S$5005,S422,$D$6:$D$5005,"Vastgesteld"))</f>
        <v>0</v>
      </c>
      <c r="U422" s="15">
        <f>IF(T422="",0,IF(AND(G422=T422,COUNTIFS($S$6:S422,S422,$G$6:G422,G422,$D$6:D422,"Vastgesteld")=1),1,0))</f>
        <v>1</v>
      </c>
      <c r="V422" s="15">
        <f>IF(T422="",0,IF(AND(G422=T422,COUNTIFS($S$6:S422,S422,$G$6:G422,G422,$D$6:D422,"Vastgesteld")&gt;1),1,0))</f>
        <v>0</v>
      </c>
    </row>
    <row r="423">
      <c r="A423" s="92" t="inlineStr">
        <is>
          <t>HIST-2026-Q2</t>
        </is>
      </c>
      <c r="B423" s="92" t="inlineStr">
        <is>
          <t>RDFO_FICTIEVE_historie_en_mapping.xlsx</t>
        </is>
      </c>
      <c r="C423" s="108" t="n">
        <v>46324</v>
      </c>
      <c r="D423" s="92" t="inlineStr">
        <is>
          <t>Vastgesteld</t>
        </is>
      </c>
      <c r="E423" s="92" t="n">
        <v>2026</v>
      </c>
      <c r="F423" s="92" t="inlineStr">
        <is>
          <t>Q2</t>
        </is>
      </c>
      <c r="G423" s="92" t="n">
        <v>0</v>
      </c>
      <c r="H423" s="108" t="n">
        <v>46203</v>
      </c>
      <c r="I423" s="92" t="n">
        <v>2026</v>
      </c>
      <c r="J423" s="92" t="inlineStr">
        <is>
          <t>G.900005.8.9090</t>
        </is>
      </c>
      <c r="K423" s="92" t="inlineStr">
        <is>
          <t>G.900005</t>
        </is>
      </c>
      <c r="L423" s="92" t="inlineStr">
        <is>
          <t>Zilverdam, Kadezicht</t>
        </is>
      </c>
      <c r="M423" s="92" t="inlineStr">
        <is>
          <t>Opstal</t>
        </is>
      </c>
      <c r="N423" s="92" t="inlineStr">
        <is>
          <t>J</t>
        </is>
      </c>
      <c r="O423" s="92" t="inlineStr">
        <is>
          <t>BOR FY</t>
        </is>
      </c>
      <c r="P423" s="109" t="n">
        <v>423696</v>
      </c>
      <c r="Q423" s="92" t="inlineStr">
        <is>
          <t>EUR</t>
        </is>
      </c>
      <c r="R423" s="92" t="inlineStr">
        <is>
          <t>Synthetische vastgelegde invoer; geen echte historie</t>
        </is>
      </c>
      <c r="S423" s="15" t="str">
        <f>IF(J423="","",J423&amp;"|"&amp;E423&amp;"|"&amp;F423&amp;"|"&amp;I423&amp;"|"&amp;O423)</f>
        <v>G.900005.8.9090|2026|Q2|2026|BOR FY</v>
      </c>
      <c r="T423" s="15">
        <f>IF(OR(S423="",D423&lt;&gt;"Vastgesteld"),"",_xlfn.MAXIFS($G$6:$G$5005,$S$6:$S$5005,S423,$D$6:$D$5005,"Vastgesteld"))</f>
        <v>0</v>
      </c>
      <c r="U423" s="15">
        <f>IF(T423="",0,IF(AND(G423=T423,COUNTIFS($S$6:S423,S423,$G$6:G423,G423,$D$6:D423,"Vastgesteld")=1),1,0))</f>
        <v>1</v>
      </c>
      <c r="V423" s="15">
        <f>IF(T423="",0,IF(AND(G423=T423,COUNTIFS($S$6:S423,S423,$G$6:G423,G423,$D$6:D423,"Vastgesteld")&gt;1),1,0))</f>
        <v>0</v>
      </c>
    </row>
    <row r="424">
      <c r="A424" s="92" t="inlineStr">
        <is>
          <t>HIST-2026-Q2</t>
        </is>
      </c>
      <c r="B424" s="92" t="inlineStr">
        <is>
          <t>RDFO_FICTIEVE_historie_en_mapping.xlsx</t>
        </is>
      </c>
      <c r="C424" s="108" t="n">
        <v>46324</v>
      </c>
      <c r="D424" s="92" t="inlineStr">
        <is>
          <t>Vastgesteld</t>
        </is>
      </c>
      <c r="E424" s="92" t="n">
        <v>2026</v>
      </c>
      <c r="F424" s="92" t="inlineStr">
        <is>
          <t>Q2</t>
        </is>
      </c>
      <c r="G424" s="92" t="n">
        <v>0</v>
      </c>
      <c r="H424" s="108" t="n">
        <v>46203</v>
      </c>
      <c r="I424" s="92" t="n">
        <v>2027</v>
      </c>
      <c r="J424" s="92" t="inlineStr">
        <is>
          <t>G.900005.8.9090</t>
        </is>
      </c>
      <c r="K424" s="92" t="inlineStr">
        <is>
          <t>G.900005</t>
        </is>
      </c>
      <c r="L424" s="92" t="inlineStr">
        <is>
          <t>Zilverdam, Kadezicht</t>
        </is>
      </c>
      <c r="M424" s="92" t="inlineStr">
        <is>
          <t>Opstal</t>
        </is>
      </c>
      <c r="N424" s="92" t="inlineStr">
        <is>
          <t>J</t>
        </is>
      </c>
      <c r="O424" s="92" t="inlineStr">
        <is>
          <t>Omzet FY</t>
        </is>
      </c>
      <c r="P424" s="109" t="n">
        <v>31777200</v>
      </c>
      <c r="Q424" s="92" t="inlineStr">
        <is>
          <t>EUR</t>
        </is>
      </c>
      <c r="R424" s="92" t="inlineStr">
        <is>
          <t>Synthetische vastgelegde invoer; geen echte historie</t>
        </is>
      </c>
      <c r="S424" s="15" t="str">
        <f>IF(J424="","",J424&amp;"|"&amp;E424&amp;"|"&amp;F424&amp;"|"&amp;I424&amp;"|"&amp;O424)</f>
        <v>G.900005.8.9090|2026|Q2|2027|Omzet FY</v>
      </c>
      <c r="T424" s="15">
        <f>IF(OR(S424="",D424&lt;&gt;"Vastgesteld"),"",_xlfn.MAXIFS($G$6:$G$5005,$S$6:$S$5005,S424,$D$6:$D$5005,"Vastgesteld"))</f>
        <v>0</v>
      </c>
      <c r="U424" s="15">
        <f>IF(T424="",0,IF(AND(G424=T424,COUNTIFS($S$6:S424,S424,$G$6:G424,G424,$D$6:D424,"Vastgesteld")=1),1,0))</f>
        <v>1</v>
      </c>
      <c r="V424" s="15">
        <f>IF(T424="",0,IF(AND(G424=T424,COUNTIFS($S$6:S424,S424,$G$6:G424,G424,$D$6:D424,"Vastgesteld")&gt;1),1,0))</f>
        <v>0</v>
      </c>
    </row>
    <row r="425">
      <c r="A425" s="92" t="inlineStr">
        <is>
          <t>HIST-2026-Q2</t>
        </is>
      </c>
      <c r="B425" s="92" t="inlineStr">
        <is>
          <t>RDFO_FICTIEVE_historie_en_mapping.xlsx</t>
        </is>
      </c>
      <c r="C425" s="108" t="n">
        <v>46324</v>
      </c>
      <c r="D425" s="92" t="inlineStr">
        <is>
          <t>Vastgesteld</t>
        </is>
      </c>
      <c r="E425" s="92" t="n">
        <v>2026</v>
      </c>
      <c r="F425" s="92" t="inlineStr">
        <is>
          <t>Q2</t>
        </is>
      </c>
      <c r="G425" s="92" t="n">
        <v>0</v>
      </c>
      <c r="H425" s="108" t="n">
        <v>46203</v>
      </c>
      <c r="I425" s="92" t="n">
        <v>2027</v>
      </c>
      <c r="J425" s="92" t="inlineStr">
        <is>
          <t>G.900005.8.9090</t>
        </is>
      </c>
      <c r="K425" s="92" t="inlineStr">
        <is>
          <t>G.900005</t>
        </is>
      </c>
      <c r="L425" s="92" t="inlineStr">
        <is>
          <t>Zilverdam, Kadezicht</t>
        </is>
      </c>
      <c r="M425" s="92" t="inlineStr">
        <is>
          <t>Opstal</t>
        </is>
      </c>
      <c r="N425" s="92" t="inlineStr">
        <is>
          <t>J</t>
        </is>
      </c>
      <c r="O425" s="92" t="inlineStr">
        <is>
          <t>BOR FY</t>
        </is>
      </c>
      <c r="P425" s="109" t="n">
        <v>2065518</v>
      </c>
      <c r="Q425" s="92" t="inlineStr">
        <is>
          <t>EUR</t>
        </is>
      </c>
      <c r="R425" s="92" t="inlineStr">
        <is>
          <t>Synthetische vastgelegde invoer; geen echte historie</t>
        </is>
      </c>
      <c r="S425" s="15" t="str">
        <f>IF(J425="","",J425&amp;"|"&amp;E425&amp;"|"&amp;F425&amp;"|"&amp;I425&amp;"|"&amp;O425)</f>
        <v>G.900005.8.9090|2026|Q2|2027|BOR FY</v>
      </c>
      <c r="T425" s="15">
        <f>IF(OR(S425="",D425&lt;&gt;"Vastgesteld"),"",_xlfn.MAXIFS($G$6:$G$5005,$S$6:$S$5005,S425,$D$6:$D$5005,"Vastgesteld"))</f>
        <v>0</v>
      </c>
      <c r="U425" s="15">
        <f>IF(T425="",0,IF(AND(G425=T425,COUNTIFS($S$6:S425,S425,$G$6:G425,G425,$D$6:D425,"Vastgesteld")=1),1,0))</f>
        <v>1</v>
      </c>
      <c r="V425" s="15">
        <f>IF(T425="",0,IF(AND(G425=T425,COUNTIFS($S$6:S425,S425,$G$6:G425,G425,$D$6:D425,"Vastgesteld")&gt;1),1,0))</f>
        <v>0</v>
      </c>
    </row>
    <row r="426">
      <c r="A426" s="92" t="inlineStr">
        <is>
          <t>HIST-2026-Q2</t>
        </is>
      </c>
      <c r="B426" s="92" t="inlineStr">
        <is>
          <t>RDFO_FICTIEVE_historie_en_mapping.xlsx</t>
        </is>
      </c>
      <c r="C426" s="108" t="n">
        <v>46324</v>
      </c>
      <c r="D426" s="92" t="inlineStr">
        <is>
          <t>Vastgesteld</t>
        </is>
      </c>
      <c r="E426" s="92" t="n">
        <v>2026</v>
      </c>
      <c r="F426" s="92" t="inlineStr">
        <is>
          <t>Q2</t>
        </is>
      </c>
      <c r="G426" s="92" t="n">
        <v>0</v>
      </c>
      <c r="H426" s="108" t="n">
        <v>46203</v>
      </c>
      <c r="I426" s="92" t="n">
        <v>2026</v>
      </c>
      <c r="J426" s="92" t="inlineStr">
        <is>
          <t>G.900006.8.9090</t>
        </is>
      </c>
      <c r="K426" s="92" t="inlineStr">
        <is>
          <t>G.900006</t>
        </is>
      </c>
      <c r="L426" s="92" t="inlineStr">
        <is>
          <t>Boswaard, De Eiken</t>
        </is>
      </c>
      <c r="M426" s="92" t="inlineStr">
        <is>
          <t>Opstal</t>
        </is>
      </c>
      <c r="N426" s="92" t="inlineStr">
        <is>
          <t>J</t>
        </is>
      </c>
      <c r="O426" s="92" t="inlineStr">
        <is>
          <t>Omzet FY</t>
        </is>
      </c>
      <c r="P426" s="109" t="n">
        <v>6763392</v>
      </c>
      <c r="Q426" s="92" t="inlineStr">
        <is>
          <t>EUR</t>
        </is>
      </c>
      <c r="R426" s="92" t="inlineStr">
        <is>
          <t>Synthetische vastgelegde invoer; geen echte historie</t>
        </is>
      </c>
      <c r="S426" s="15" t="str">
        <f>IF(J426="","",J426&amp;"|"&amp;E426&amp;"|"&amp;F426&amp;"|"&amp;I426&amp;"|"&amp;O426)</f>
        <v>G.900006.8.9090|2026|Q2|2026|Omzet FY</v>
      </c>
      <c r="T426" s="15">
        <f>IF(OR(S426="",D426&lt;&gt;"Vastgesteld"),"",_xlfn.MAXIFS($G$6:$G$5005,$S$6:$S$5005,S426,$D$6:$D$5005,"Vastgesteld"))</f>
        <v>0</v>
      </c>
      <c r="U426" s="15">
        <f>IF(T426="",0,IF(AND(G426=T426,COUNTIFS($S$6:S426,S426,$G$6:G426,G426,$D$6:D426,"Vastgesteld")=1),1,0))</f>
        <v>1</v>
      </c>
      <c r="V426" s="15">
        <f>IF(T426="",0,IF(AND(G426=T426,COUNTIFS($S$6:S426,S426,$G$6:G426,G426,$D$6:D426,"Vastgesteld")&gt;1),1,0))</f>
        <v>0</v>
      </c>
    </row>
    <row r="427">
      <c r="A427" s="92" t="inlineStr">
        <is>
          <t>HIST-2026-Q2</t>
        </is>
      </c>
      <c r="B427" s="92" t="inlineStr">
        <is>
          <t>RDFO_FICTIEVE_historie_en_mapping.xlsx</t>
        </is>
      </c>
      <c r="C427" s="108" t="n">
        <v>46324</v>
      </c>
      <c r="D427" s="92" t="inlineStr">
        <is>
          <t>Vastgesteld</t>
        </is>
      </c>
      <c r="E427" s="92" t="n">
        <v>2026</v>
      </c>
      <c r="F427" s="92" t="inlineStr">
        <is>
          <t>Q2</t>
        </is>
      </c>
      <c r="G427" s="92" t="n">
        <v>0</v>
      </c>
      <c r="H427" s="108" t="n">
        <v>46203</v>
      </c>
      <c r="I427" s="92" t="n">
        <v>2026</v>
      </c>
      <c r="J427" s="92" t="inlineStr">
        <is>
          <t>G.900006.8.9090</t>
        </is>
      </c>
      <c r="K427" s="92" t="inlineStr">
        <is>
          <t>G.900006</t>
        </is>
      </c>
      <c r="L427" s="92" t="inlineStr">
        <is>
          <t>Boswaard, De Eiken</t>
        </is>
      </c>
      <c r="M427" s="92" t="inlineStr">
        <is>
          <t>Opstal</t>
        </is>
      </c>
      <c r="N427" s="92" t="inlineStr">
        <is>
          <t>J</t>
        </is>
      </c>
      <c r="O427" s="92" t="inlineStr">
        <is>
          <t>BOR FY</t>
        </is>
      </c>
      <c r="P427" s="109" t="n">
        <v>946874.88</v>
      </c>
      <c r="Q427" s="92" t="inlineStr">
        <is>
          <t>EUR</t>
        </is>
      </c>
      <c r="R427" s="92" t="inlineStr">
        <is>
          <t>Synthetische vastgelegde invoer; geen echte historie</t>
        </is>
      </c>
      <c r="S427" s="15" t="str">
        <f>IF(J427="","",J427&amp;"|"&amp;E427&amp;"|"&amp;F427&amp;"|"&amp;I427&amp;"|"&amp;O427)</f>
        <v>G.900006.8.9090|2026|Q2|2026|BOR FY</v>
      </c>
      <c r="T427" s="15">
        <f>IF(OR(S427="",D427&lt;&gt;"Vastgesteld"),"",_xlfn.MAXIFS($G$6:$G$5005,$S$6:$S$5005,S427,$D$6:$D$5005,"Vastgesteld"))</f>
        <v>0</v>
      </c>
      <c r="U427" s="15">
        <f>IF(T427="",0,IF(AND(G427=T427,COUNTIFS($S$6:S427,S427,$G$6:G427,G427,$D$6:D427,"Vastgesteld")=1),1,0))</f>
        <v>1</v>
      </c>
      <c r="V427" s="15">
        <f>IF(T427="",0,IF(AND(G427=T427,COUNTIFS($S$6:S427,S427,$G$6:G427,G427,$D$6:D427,"Vastgesteld")&gt;1),1,0))</f>
        <v>0</v>
      </c>
    </row>
    <row r="428">
      <c r="A428" s="92" t="inlineStr">
        <is>
          <t>HIST-2026-Q2</t>
        </is>
      </c>
      <c r="B428" s="92" t="inlineStr">
        <is>
          <t>RDFO_FICTIEVE_historie_en_mapping.xlsx</t>
        </is>
      </c>
      <c r="C428" s="108" t="n">
        <v>46324</v>
      </c>
      <c r="D428" s="92" t="inlineStr">
        <is>
          <t>Vastgesteld</t>
        </is>
      </c>
      <c r="E428" s="92" t="n">
        <v>2026</v>
      </c>
      <c r="F428" s="92" t="inlineStr">
        <is>
          <t>Q2</t>
        </is>
      </c>
      <c r="G428" s="92" t="n">
        <v>0</v>
      </c>
      <c r="H428" s="108" t="n">
        <v>46203</v>
      </c>
      <c r="I428" s="92" t="n">
        <v>2027</v>
      </c>
      <c r="J428" s="92" t="inlineStr">
        <is>
          <t>G.900006.8.9090</t>
        </is>
      </c>
      <c r="K428" s="92" t="inlineStr">
        <is>
          <t>G.900006</t>
        </is>
      </c>
      <c r="L428" s="92" t="inlineStr">
        <is>
          <t>Boswaard, De Eiken</t>
        </is>
      </c>
      <c r="M428" s="92" t="inlineStr">
        <is>
          <t>Opstal</t>
        </is>
      </c>
      <c r="N428" s="92" t="inlineStr">
        <is>
          <t>J</t>
        </is>
      </c>
      <c r="O428" s="92" t="inlineStr">
        <is>
          <t>Omzet FY</t>
        </is>
      </c>
      <c r="P428" s="109" t="n">
        <v>7172755.2</v>
      </c>
      <c r="Q428" s="92" t="inlineStr">
        <is>
          <t>EUR</t>
        </is>
      </c>
      <c r="R428" s="92" t="inlineStr">
        <is>
          <t>Synthetische vastgelegde invoer; geen echte historie</t>
        </is>
      </c>
      <c r="S428" s="15" t="str">
        <f>IF(J428="","",J428&amp;"|"&amp;E428&amp;"|"&amp;F428&amp;"|"&amp;I428&amp;"|"&amp;O428)</f>
        <v>G.900006.8.9090|2026|Q2|2027|Omzet FY</v>
      </c>
      <c r="T428" s="15">
        <f>IF(OR(S428="",D428&lt;&gt;"Vastgesteld"),"",_xlfn.MAXIFS($G$6:$G$5005,$S$6:$S$5005,S428,$D$6:$D$5005,"Vastgesteld"))</f>
        <v>0</v>
      </c>
      <c r="U428" s="15">
        <f>IF(T428="",0,IF(AND(G428=T428,COUNTIFS($S$6:S428,S428,$G$6:G428,G428,$D$6:D428,"Vastgesteld")=1),1,0))</f>
        <v>1</v>
      </c>
      <c r="V428" s="15">
        <f>IF(T428="",0,IF(AND(G428=T428,COUNTIFS($S$6:S428,S428,$G$6:G428,G428,$D$6:D428,"Vastgesteld")&gt;1),1,0))</f>
        <v>0</v>
      </c>
    </row>
    <row r="429">
      <c r="A429" s="92" t="inlineStr">
        <is>
          <t>HIST-2026-Q2</t>
        </is>
      </c>
      <c r="B429" s="92" t="inlineStr">
        <is>
          <t>RDFO_FICTIEVE_historie_en_mapping.xlsx</t>
        </is>
      </c>
      <c r="C429" s="108" t="n">
        <v>46324</v>
      </c>
      <c r="D429" s="92" t="inlineStr">
        <is>
          <t>Vastgesteld</t>
        </is>
      </c>
      <c r="E429" s="92" t="n">
        <v>2026</v>
      </c>
      <c r="F429" s="92" t="inlineStr">
        <is>
          <t>Q2</t>
        </is>
      </c>
      <c r="G429" s="92" t="n">
        <v>0</v>
      </c>
      <c r="H429" s="108" t="n">
        <v>46203</v>
      </c>
      <c r="I429" s="92" t="n">
        <v>2027</v>
      </c>
      <c r="J429" s="92" t="inlineStr">
        <is>
          <t>G.900006.8.9090</t>
        </is>
      </c>
      <c r="K429" s="92" t="inlineStr">
        <is>
          <t>G.900006</t>
        </is>
      </c>
      <c r="L429" s="92" t="inlineStr">
        <is>
          <t>Boswaard, De Eiken</t>
        </is>
      </c>
      <c r="M429" s="92" t="inlineStr">
        <is>
          <t>Opstal</t>
        </is>
      </c>
      <c r="N429" s="92" t="inlineStr">
        <is>
          <t>J</t>
        </is>
      </c>
      <c r="O429" s="92" t="inlineStr">
        <is>
          <t>BOR FY</t>
        </is>
      </c>
      <c r="P429" s="109" t="n">
        <v>1004185.73</v>
      </c>
      <c r="Q429" s="92" t="inlineStr">
        <is>
          <t>EUR</t>
        </is>
      </c>
      <c r="R429" s="92" t="inlineStr">
        <is>
          <t>Synthetische vastgelegde invoer; geen echte historie</t>
        </is>
      </c>
      <c r="S429" s="15" t="str">
        <f>IF(J429="","",J429&amp;"|"&amp;E429&amp;"|"&amp;F429&amp;"|"&amp;I429&amp;"|"&amp;O429)</f>
        <v>G.900006.8.9090|2026|Q2|2027|BOR FY</v>
      </c>
      <c r="T429" s="15">
        <f>IF(OR(S429="",D429&lt;&gt;"Vastgesteld"),"",_xlfn.MAXIFS($G$6:$G$5005,$S$6:$S$5005,S429,$D$6:$D$5005,"Vastgesteld"))</f>
        <v>0</v>
      </c>
      <c r="U429" s="15">
        <f>IF(T429="",0,IF(AND(G429=T429,COUNTIFS($S$6:S429,S429,$G$6:G429,G429,$D$6:D429,"Vastgesteld")=1),1,0))</f>
        <v>1</v>
      </c>
      <c r="V429" s="15">
        <f>IF(T429="",0,IF(AND(G429=T429,COUNTIFS($S$6:S429,S429,$G$6:G429,G429,$D$6:D429,"Vastgesteld")&gt;1),1,0))</f>
        <v>0</v>
      </c>
    </row>
    <row r="430">
      <c r="A430" s="92" t="inlineStr">
        <is>
          <t>HIST-2026-Q2</t>
        </is>
      </c>
      <c r="B430" s="92" t="inlineStr">
        <is>
          <t>RDFO_FICTIEVE_historie_en_mapping.xlsx</t>
        </is>
      </c>
      <c r="C430" s="108" t="n">
        <v>46324</v>
      </c>
      <c r="D430" s="92" t="inlineStr">
        <is>
          <t>Vastgesteld</t>
        </is>
      </c>
      <c r="E430" s="92" t="n">
        <v>2026</v>
      </c>
      <c r="F430" s="92" t="inlineStr">
        <is>
          <t>Q2</t>
        </is>
      </c>
      <c r="G430" s="92" t="n">
        <v>0</v>
      </c>
      <c r="H430" s="108" t="n">
        <v>46203</v>
      </c>
      <c r="I430" s="92" t="n">
        <v>2026</v>
      </c>
      <c r="J430" s="92" t="inlineStr">
        <is>
          <t>G.900007.8.9090</t>
        </is>
      </c>
      <c r="K430" s="92" t="inlineStr">
        <is>
          <t>G.900007</t>
        </is>
      </c>
      <c r="L430" s="92" t="inlineStr">
        <is>
          <t>Rietdam, Havenkwartier</t>
        </is>
      </c>
      <c r="M430" s="92" t="inlineStr">
        <is>
          <t>Opstal</t>
        </is>
      </c>
      <c r="N430" s="92" t="inlineStr">
        <is>
          <t>J</t>
        </is>
      </c>
      <c r="O430" s="92" t="inlineStr">
        <is>
          <t>Omzet FY</t>
        </is>
      </c>
      <c r="P430" s="109" t="n">
        <v>5897600</v>
      </c>
      <c r="Q430" s="92" t="inlineStr">
        <is>
          <t>EUR</t>
        </is>
      </c>
      <c r="R430" s="92" t="inlineStr">
        <is>
          <t>Synthetische vastgelegde invoer; geen echte historie</t>
        </is>
      </c>
      <c r="S430" s="15" t="str">
        <f>IF(J430="","",J430&amp;"|"&amp;E430&amp;"|"&amp;F430&amp;"|"&amp;I430&amp;"|"&amp;O430)</f>
        <v>G.900007.8.9090|2026|Q2|2026|Omzet FY</v>
      </c>
      <c r="T430" s="15">
        <f>IF(OR(S430="",D430&lt;&gt;"Vastgesteld"),"",_xlfn.MAXIFS($G$6:$G$5005,$S$6:$S$5005,S430,$D$6:$D$5005,"Vastgesteld"))</f>
        <v>0</v>
      </c>
      <c r="U430" s="15">
        <f>IF(T430="",0,IF(AND(G430=T430,COUNTIFS($S$6:S430,S430,$G$6:G430,G430,$D$6:D430,"Vastgesteld")=1),1,0))</f>
        <v>1</v>
      </c>
      <c r="V430" s="15">
        <f>IF(T430="",0,IF(AND(G430=T430,COUNTIFS($S$6:S430,S430,$G$6:G430,G430,$D$6:D430,"Vastgesteld")&gt;1),1,0))</f>
        <v>0</v>
      </c>
    </row>
    <row r="431">
      <c r="A431" s="92" t="inlineStr">
        <is>
          <t>HIST-2026-Q2</t>
        </is>
      </c>
      <c r="B431" s="92" t="inlineStr">
        <is>
          <t>RDFO_FICTIEVE_historie_en_mapping.xlsx</t>
        </is>
      </c>
      <c r="C431" s="108" t="n">
        <v>46324</v>
      </c>
      <c r="D431" s="92" t="inlineStr">
        <is>
          <t>Vastgesteld</t>
        </is>
      </c>
      <c r="E431" s="92" t="n">
        <v>2026</v>
      </c>
      <c r="F431" s="92" t="inlineStr">
        <is>
          <t>Q2</t>
        </is>
      </c>
      <c r="G431" s="92" t="n">
        <v>0</v>
      </c>
      <c r="H431" s="108" t="n">
        <v>46203</v>
      </c>
      <c r="I431" s="92" t="n">
        <v>2026</v>
      </c>
      <c r="J431" s="92" t="inlineStr">
        <is>
          <t>G.900007.8.9090</t>
        </is>
      </c>
      <c r="K431" s="92" t="inlineStr">
        <is>
          <t>G.900007</t>
        </is>
      </c>
      <c r="L431" s="92" t="inlineStr">
        <is>
          <t>Rietdam, Havenkwartier</t>
        </is>
      </c>
      <c r="M431" s="92" t="inlineStr">
        <is>
          <t>Opstal</t>
        </is>
      </c>
      <c r="N431" s="92" t="inlineStr">
        <is>
          <t>J</t>
        </is>
      </c>
      <c r="O431" s="92" t="inlineStr">
        <is>
          <t>BOR FY</t>
        </is>
      </c>
      <c r="P431" s="109" t="n">
        <v>589760</v>
      </c>
      <c r="Q431" s="92" t="inlineStr">
        <is>
          <t>EUR</t>
        </is>
      </c>
      <c r="R431" s="92" t="inlineStr">
        <is>
          <t>Synthetische vastgelegde invoer; geen echte historie</t>
        </is>
      </c>
      <c r="S431" s="15" t="str">
        <f>IF(J431="","",J431&amp;"|"&amp;E431&amp;"|"&amp;F431&amp;"|"&amp;I431&amp;"|"&amp;O431)</f>
        <v>G.900007.8.9090|2026|Q2|2026|BOR FY</v>
      </c>
      <c r="T431" s="15">
        <f>IF(OR(S431="",D431&lt;&gt;"Vastgesteld"),"",_xlfn.MAXIFS($G$6:$G$5005,$S$6:$S$5005,S431,$D$6:$D$5005,"Vastgesteld"))</f>
        <v>0</v>
      </c>
      <c r="U431" s="15">
        <f>IF(T431="",0,IF(AND(G431=T431,COUNTIFS($S$6:S431,S431,$G$6:G431,G431,$D$6:D431,"Vastgesteld")=1),1,0))</f>
        <v>1</v>
      </c>
      <c r="V431" s="15">
        <f>IF(T431="",0,IF(AND(G431=T431,COUNTIFS($S$6:S431,S431,$G$6:G431,G431,$D$6:D431,"Vastgesteld")&gt;1),1,0))</f>
        <v>0</v>
      </c>
    </row>
    <row r="432">
      <c r="A432" s="92" t="inlineStr">
        <is>
          <t>HIST-2026-Q2</t>
        </is>
      </c>
      <c r="B432" s="92" t="inlineStr">
        <is>
          <t>RDFO_FICTIEVE_historie_en_mapping.xlsx</t>
        </is>
      </c>
      <c r="C432" s="108" t="n">
        <v>46324</v>
      </c>
      <c r="D432" s="92" t="inlineStr">
        <is>
          <t>Vastgesteld</t>
        </is>
      </c>
      <c r="E432" s="92" t="n">
        <v>2026</v>
      </c>
      <c r="F432" s="92" t="inlineStr">
        <is>
          <t>Q2</t>
        </is>
      </c>
      <c r="G432" s="92" t="n">
        <v>0</v>
      </c>
      <c r="H432" s="108" t="n">
        <v>46203</v>
      </c>
      <c r="I432" s="92" t="n">
        <v>2027</v>
      </c>
      <c r="J432" s="92" t="inlineStr">
        <is>
          <t>G.900007.8.9090</t>
        </is>
      </c>
      <c r="K432" s="92" t="inlineStr">
        <is>
          <t>G.900007</t>
        </is>
      </c>
      <c r="L432" s="92" t="inlineStr">
        <is>
          <t>Rietdam, Havenkwartier</t>
        </is>
      </c>
      <c r="M432" s="92" t="inlineStr">
        <is>
          <t>Opstal</t>
        </is>
      </c>
      <c r="N432" s="92" t="inlineStr">
        <is>
          <t>J</t>
        </is>
      </c>
      <c r="O432" s="92" t="inlineStr">
        <is>
          <t>Omzet FY</t>
        </is>
      </c>
      <c r="P432" s="109" t="n">
        <v>11500320</v>
      </c>
      <c r="Q432" s="92" t="inlineStr">
        <is>
          <t>EUR</t>
        </is>
      </c>
      <c r="R432" s="92" t="inlineStr">
        <is>
          <t>Synthetische vastgelegde invoer; geen echte historie</t>
        </is>
      </c>
      <c r="S432" s="15" t="str">
        <f>IF(J432="","",J432&amp;"|"&amp;E432&amp;"|"&amp;F432&amp;"|"&amp;I432&amp;"|"&amp;O432)</f>
        <v>G.900007.8.9090|2026|Q2|2027|Omzet FY</v>
      </c>
      <c r="T432" s="15">
        <f>IF(OR(S432="",D432&lt;&gt;"Vastgesteld"),"",_xlfn.MAXIFS($G$6:$G$5005,$S$6:$S$5005,S432,$D$6:$D$5005,"Vastgesteld"))</f>
        <v>0</v>
      </c>
      <c r="U432" s="15">
        <f>IF(T432="",0,IF(AND(G432=T432,COUNTIFS($S$6:S432,S432,$G$6:G432,G432,$D$6:D432,"Vastgesteld")=1),1,0))</f>
        <v>1</v>
      </c>
      <c r="V432" s="15">
        <f>IF(T432="",0,IF(AND(G432=T432,COUNTIFS($S$6:S432,S432,$G$6:G432,G432,$D$6:D432,"Vastgesteld")&gt;1),1,0))</f>
        <v>0</v>
      </c>
    </row>
    <row r="433">
      <c r="A433" s="92" t="inlineStr">
        <is>
          <t>HIST-2026-Q2</t>
        </is>
      </c>
      <c r="B433" s="92" t="inlineStr">
        <is>
          <t>RDFO_FICTIEVE_historie_en_mapping.xlsx</t>
        </is>
      </c>
      <c r="C433" s="108" t="n">
        <v>46324</v>
      </c>
      <c r="D433" s="92" t="inlineStr">
        <is>
          <t>Vastgesteld</t>
        </is>
      </c>
      <c r="E433" s="92" t="n">
        <v>2026</v>
      </c>
      <c r="F433" s="92" t="inlineStr">
        <is>
          <t>Q2</t>
        </is>
      </c>
      <c r="G433" s="92" t="n">
        <v>0</v>
      </c>
      <c r="H433" s="108" t="n">
        <v>46203</v>
      </c>
      <c r="I433" s="92" t="n">
        <v>2027</v>
      </c>
      <c r="J433" s="92" t="inlineStr">
        <is>
          <t>G.900007.8.9090</t>
        </is>
      </c>
      <c r="K433" s="92" t="inlineStr">
        <is>
          <t>G.900007</t>
        </is>
      </c>
      <c r="L433" s="92" t="inlineStr">
        <is>
          <t>Rietdam, Havenkwartier</t>
        </is>
      </c>
      <c r="M433" s="92" t="inlineStr">
        <is>
          <t>Opstal</t>
        </is>
      </c>
      <c r="N433" s="92" t="inlineStr">
        <is>
          <t>J</t>
        </is>
      </c>
      <c r="O433" s="92" t="inlineStr">
        <is>
          <t>BOR FY</t>
        </is>
      </c>
      <c r="P433" s="109" t="n">
        <v>1150032</v>
      </c>
      <c r="Q433" s="92" t="inlineStr">
        <is>
          <t>EUR</t>
        </is>
      </c>
      <c r="R433" s="92" t="inlineStr">
        <is>
          <t>Synthetische vastgelegde invoer; geen echte historie</t>
        </is>
      </c>
      <c r="S433" s="15" t="str">
        <f>IF(J433="","",J433&amp;"|"&amp;E433&amp;"|"&amp;F433&amp;"|"&amp;I433&amp;"|"&amp;O433)</f>
        <v>G.900007.8.9090|2026|Q2|2027|BOR FY</v>
      </c>
      <c r="T433" s="15">
        <f>IF(OR(S433="",D433&lt;&gt;"Vastgesteld"),"",_xlfn.MAXIFS($G$6:$G$5005,$S$6:$S$5005,S433,$D$6:$D$5005,"Vastgesteld"))</f>
        <v>0</v>
      </c>
      <c r="U433" s="15">
        <f>IF(T433="",0,IF(AND(G433=T433,COUNTIFS($S$6:S433,S433,$G$6:G433,G433,$D$6:D433,"Vastgesteld")=1),1,0))</f>
        <v>1</v>
      </c>
      <c r="V433" s="15">
        <f>IF(T433="",0,IF(AND(G433=T433,COUNTIFS($S$6:S433,S433,$G$6:G433,G433,$D$6:D433,"Vastgesteld")&gt;1),1,0))</f>
        <v>0</v>
      </c>
    </row>
    <row r="434">
      <c r="A434" s="92" t="inlineStr">
        <is>
          <t>HIST-2026-Q2</t>
        </is>
      </c>
      <c r="B434" s="92" t="inlineStr">
        <is>
          <t>RDFO_FICTIEVE_historie_en_mapping.xlsx</t>
        </is>
      </c>
      <c r="C434" s="108" t="n">
        <v>46324</v>
      </c>
      <c r="D434" s="92" t="inlineStr">
        <is>
          <t>Vastgesteld</t>
        </is>
      </c>
      <c r="E434" s="92" t="n">
        <v>2026</v>
      </c>
      <c r="F434" s="92" t="inlineStr">
        <is>
          <t>Q2</t>
        </is>
      </c>
      <c r="G434" s="92" t="n">
        <v>0</v>
      </c>
      <c r="H434" s="108" t="n">
        <v>46203</v>
      </c>
      <c r="I434" s="92" t="n">
        <v>2026</v>
      </c>
      <c r="J434" s="92" t="inlineStr">
        <is>
          <t>G.900008.8.9090</t>
        </is>
      </c>
      <c r="K434" s="92" t="inlineStr">
        <is>
          <t>G.900008</t>
        </is>
      </c>
      <c r="L434" s="92" t="inlineStr">
        <is>
          <t>Lindehaven, De Brink</t>
        </is>
      </c>
      <c r="M434" s="92" t="inlineStr">
        <is>
          <t>Opstal</t>
        </is>
      </c>
      <c r="N434" s="92" t="inlineStr">
        <is>
          <t>J</t>
        </is>
      </c>
      <c r="O434" s="92" t="inlineStr">
        <is>
          <t>Omzet FY</t>
        </is>
      </c>
      <c r="P434" s="109" t="n">
        <v>2011590</v>
      </c>
      <c r="Q434" s="92" t="inlineStr">
        <is>
          <t>EUR</t>
        </is>
      </c>
      <c r="R434" s="92" t="inlineStr">
        <is>
          <t>Synthetische vastgelegde invoer; geen echte historie</t>
        </is>
      </c>
      <c r="S434" s="15" t="str">
        <f>IF(J434="","",J434&amp;"|"&amp;E434&amp;"|"&amp;F434&amp;"|"&amp;I434&amp;"|"&amp;O434)</f>
        <v>G.900008.8.9090|2026|Q2|2026|Omzet FY</v>
      </c>
      <c r="T434" s="15">
        <f>IF(OR(S434="",D434&lt;&gt;"Vastgesteld"),"",_xlfn.MAXIFS($G$6:$G$5005,$S$6:$S$5005,S434,$D$6:$D$5005,"Vastgesteld"))</f>
        <v>0</v>
      </c>
      <c r="U434" s="15">
        <f>IF(T434="",0,IF(AND(G434=T434,COUNTIFS($S$6:S434,S434,$G$6:G434,G434,$D$6:D434,"Vastgesteld")=1),1,0))</f>
        <v>1</v>
      </c>
      <c r="V434" s="15">
        <f>IF(T434="",0,IF(AND(G434=T434,COUNTIFS($S$6:S434,S434,$G$6:G434,G434,$D$6:D434,"Vastgesteld")&gt;1),1,0))</f>
        <v>0</v>
      </c>
    </row>
    <row r="435">
      <c r="A435" s="92" t="inlineStr">
        <is>
          <t>HIST-2026-Q2</t>
        </is>
      </c>
      <c r="B435" s="92" t="inlineStr">
        <is>
          <t>RDFO_FICTIEVE_historie_en_mapping.xlsx</t>
        </is>
      </c>
      <c r="C435" s="108" t="n">
        <v>46324</v>
      </c>
      <c r="D435" s="92" t="inlineStr">
        <is>
          <t>Vastgesteld</t>
        </is>
      </c>
      <c r="E435" s="92" t="n">
        <v>2026</v>
      </c>
      <c r="F435" s="92" t="inlineStr">
        <is>
          <t>Q2</t>
        </is>
      </c>
      <c r="G435" s="92" t="n">
        <v>0</v>
      </c>
      <c r="H435" s="108" t="n">
        <v>46203</v>
      </c>
      <c r="I435" s="92" t="n">
        <v>2026</v>
      </c>
      <c r="J435" s="92" t="inlineStr">
        <is>
          <t>G.900008.8.9090</t>
        </is>
      </c>
      <c r="K435" s="92" t="inlineStr">
        <is>
          <t>G.900008</t>
        </is>
      </c>
      <c r="L435" s="92" t="inlineStr">
        <is>
          <t>Lindehaven, De Brink</t>
        </is>
      </c>
      <c r="M435" s="92" t="inlineStr">
        <is>
          <t>Opstal</t>
        </is>
      </c>
      <c r="N435" s="92" t="inlineStr">
        <is>
          <t>J</t>
        </is>
      </c>
      <c r="O435" s="92" t="inlineStr">
        <is>
          <t>BOR FY</t>
        </is>
      </c>
      <c r="P435" s="109" t="n">
        <v>-60347.7</v>
      </c>
      <c r="Q435" s="92" t="inlineStr">
        <is>
          <t>EUR</t>
        </is>
      </c>
      <c r="R435" s="92" t="inlineStr">
        <is>
          <t>Synthetische vastgelegde invoer; geen echte historie</t>
        </is>
      </c>
      <c r="S435" s="15" t="str">
        <f>IF(J435="","",J435&amp;"|"&amp;E435&amp;"|"&amp;F435&amp;"|"&amp;I435&amp;"|"&amp;O435)</f>
        <v>G.900008.8.9090|2026|Q2|2026|BOR FY</v>
      </c>
      <c r="T435" s="15">
        <f>IF(OR(S435="",D435&lt;&gt;"Vastgesteld"),"",_xlfn.MAXIFS($G$6:$G$5005,$S$6:$S$5005,S435,$D$6:$D$5005,"Vastgesteld"))</f>
        <v>0</v>
      </c>
      <c r="U435" s="15">
        <f>IF(T435="",0,IF(AND(G435=T435,COUNTIFS($S$6:S435,S435,$G$6:G435,G435,$D$6:D435,"Vastgesteld")=1),1,0))</f>
        <v>1</v>
      </c>
      <c r="V435" s="15">
        <f>IF(T435="",0,IF(AND(G435=T435,COUNTIFS($S$6:S435,S435,$G$6:G435,G435,$D$6:D435,"Vastgesteld")&gt;1),1,0))</f>
        <v>0</v>
      </c>
    </row>
    <row r="436">
      <c r="A436" s="92" t="inlineStr">
        <is>
          <t>HIST-2026-Q2</t>
        </is>
      </c>
      <c r="B436" s="92" t="inlineStr">
        <is>
          <t>RDFO_FICTIEVE_historie_en_mapping.xlsx</t>
        </is>
      </c>
      <c r="C436" s="108" t="n">
        <v>46324</v>
      </c>
      <c r="D436" s="92" t="inlineStr">
        <is>
          <t>Vastgesteld</t>
        </is>
      </c>
      <c r="E436" s="92" t="n">
        <v>2026</v>
      </c>
      <c r="F436" s="92" t="inlineStr">
        <is>
          <t>Q2</t>
        </is>
      </c>
      <c r="G436" s="92" t="n">
        <v>0</v>
      </c>
      <c r="H436" s="108" t="n">
        <v>46203</v>
      </c>
      <c r="I436" s="92" t="n">
        <v>2027</v>
      </c>
      <c r="J436" s="92" t="inlineStr">
        <is>
          <t>G.900008.8.9090</t>
        </is>
      </c>
      <c r="K436" s="92" t="inlineStr">
        <is>
          <t>G.900008</t>
        </is>
      </c>
      <c r="L436" s="92" t="inlineStr">
        <is>
          <t>Lindehaven, De Brink</t>
        </is>
      </c>
      <c r="M436" s="92" t="inlineStr">
        <is>
          <t>Opstal</t>
        </is>
      </c>
      <c r="N436" s="92" t="inlineStr">
        <is>
          <t>J</t>
        </is>
      </c>
      <c r="O436" s="92" t="inlineStr">
        <is>
          <t>Omzet FY</t>
        </is>
      </c>
      <c r="P436" s="109" t="n">
        <v>7409356.5</v>
      </c>
      <c r="Q436" s="92" t="inlineStr">
        <is>
          <t>EUR</t>
        </is>
      </c>
      <c r="R436" s="92" t="inlineStr">
        <is>
          <t>Synthetische vastgelegde invoer; geen echte historie</t>
        </is>
      </c>
      <c r="S436" s="15" t="str">
        <f>IF(J436="","",J436&amp;"|"&amp;E436&amp;"|"&amp;F436&amp;"|"&amp;I436&amp;"|"&amp;O436)</f>
        <v>G.900008.8.9090|2026|Q2|2027|Omzet FY</v>
      </c>
      <c r="T436" s="15">
        <f>IF(OR(S436="",D436&lt;&gt;"Vastgesteld"),"",_xlfn.MAXIFS($G$6:$G$5005,$S$6:$S$5005,S436,$D$6:$D$5005,"Vastgesteld"))</f>
        <v>0</v>
      </c>
      <c r="U436" s="15">
        <f>IF(T436="",0,IF(AND(G436=T436,COUNTIFS($S$6:S436,S436,$G$6:G436,G436,$D$6:D436,"Vastgesteld")=1),1,0))</f>
        <v>1</v>
      </c>
      <c r="V436" s="15">
        <f>IF(T436="",0,IF(AND(G436=T436,COUNTIFS($S$6:S436,S436,$G$6:G436,G436,$D$6:D436,"Vastgesteld")&gt;1),1,0))</f>
        <v>0</v>
      </c>
    </row>
    <row r="437">
      <c r="A437" s="92" t="inlineStr">
        <is>
          <t>HIST-2026-Q2</t>
        </is>
      </c>
      <c r="B437" s="92" t="inlineStr">
        <is>
          <t>RDFO_FICTIEVE_historie_en_mapping.xlsx</t>
        </is>
      </c>
      <c r="C437" s="108" t="n">
        <v>46324</v>
      </c>
      <c r="D437" s="92" t="inlineStr">
        <is>
          <t>Vastgesteld</t>
        </is>
      </c>
      <c r="E437" s="92" t="n">
        <v>2026</v>
      </c>
      <c r="F437" s="92" t="inlineStr">
        <is>
          <t>Q2</t>
        </is>
      </c>
      <c r="G437" s="92" t="n">
        <v>0</v>
      </c>
      <c r="H437" s="108" t="n">
        <v>46203</v>
      </c>
      <c r="I437" s="92" t="n">
        <v>2027</v>
      </c>
      <c r="J437" s="92" t="inlineStr">
        <is>
          <t>G.900008.8.9090</t>
        </is>
      </c>
      <c r="K437" s="92" t="inlineStr">
        <is>
          <t>G.900008</t>
        </is>
      </c>
      <c r="L437" s="92" t="inlineStr">
        <is>
          <t>Lindehaven, De Brink</t>
        </is>
      </c>
      <c r="M437" s="92" t="inlineStr">
        <is>
          <t>Opstal</t>
        </is>
      </c>
      <c r="N437" s="92" t="inlineStr">
        <is>
          <t>J</t>
        </is>
      </c>
      <c r="O437" s="92" t="inlineStr">
        <is>
          <t>BOR FY</t>
        </is>
      </c>
      <c r="P437" s="109" t="n">
        <v>-222280.69</v>
      </c>
      <c r="Q437" s="92" t="inlineStr">
        <is>
          <t>EUR</t>
        </is>
      </c>
      <c r="R437" s="92" t="inlineStr">
        <is>
          <t>Synthetische vastgelegde invoer; geen echte historie</t>
        </is>
      </c>
      <c r="S437" s="15" t="str">
        <f>IF(J437="","",J437&amp;"|"&amp;E437&amp;"|"&amp;F437&amp;"|"&amp;I437&amp;"|"&amp;O437)</f>
        <v>G.900008.8.9090|2026|Q2|2027|BOR FY</v>
      </c>
      <c r="T437" s="15">
        <f>IF(OR(S437="",D437&lt;&gt;"Vastgesteld"),"",_xlfn.MAXIFS($G$6:$G$5005,$S$6:$S$5005,S437,$D$6:$D$5005,"Vastgesteld"))</f>
        <v>0</v>
      </c>
      <c r="U437" s="15">
        <f>IF(T437="",0,IF(AND(G437=T437,COUNTIFS($S$6:S437,S437,$G$6:G437,G437,$D$6:D437,"Vastgesteld")=1),1,0))</f>
        <v>1</v>
      </c>
      <c r="V437" s="15">
        <f>IF(T437="",0,IF(AND(G437=T437,COUNTIFS($S$6:S437,S437,$G$6:G437,G437,$D$6:D437,"Vastgesteld")&gt;1),1,0))</f>
        <v>0</v>
      </c>
    </row>
    <row r="438">
      <c r="A438" s="92" t="inlineStr">
        <is>
          <t>HIST-2026-Q2</t>
        </is>
      </c>
      <c r="B438" s="92" t="inlineStr">
        <is>
          <t>RDFO_FICTIEVE_historie_en_mapping.xlsx</t>
        </is>
      </c>
      <c r="C438" s="108" t="n">
        <v>46324</v>
      </c>
      <c r="D438" s="92" t="inlineStr">
        <is>
          <t>Vastgesteld</t>
        </is>
      </c>
      <c r="E438" s="92" t="n">
        <v>2026</v>
      </c>
      <c r="F438" s="92" t="inlineStr">
        <is>
          <t>Q2</t>
        </is>
      </c>
      <c r="G438" s="92" t="n">
        <v>0</v>
      </c>
      <c r="H438" s="108" t="n">
        <v>46203</v>
      </c>
      <c r="I438" s="92" t="n">
        <v>2026</v>
      </c>
      <c r="J438" s="92" t="inlineStr">
        <is>
          <t>G.900009.8.9090</t>
        </is>
      </c>
      <c r="K438" s="92" t="inlineStr">
        <is>
          <t>G.900009</t>
        </is>
      </c>
      <c r="L438" s="92" t="inlineStr">
        <is>
          <t>Duinwaard, Duinrand</t>
        </is>
      </c>
      <c r="M438" s="92" t="inlineStr">
        <is>
          <t>Opstal</t>
        </is>
      </c>
      <c r="N438" s="92" t="inlineStr">
        <is>
          <t>J</t>
        </is>
      </c>
      <c r="O438" s="92" t="inlineStr">
        <is>
          <t>Omzet FY</t>
        </is>
      </c>
      <c r="P438" s="109" t="n">
        <v>16133040</v>
      </c>
      <c r="Q438" s="92" t="inlineStr">
        <is>
          <t>EUR</t>
        </is>
      </c>
      <c r="R438" s="92" t="inlineStr">
        <is>
          <t>Synthetische vastgelegde invoer; geen echte historie</t>
        </is>
      </c>
      <c r="S438" s="15" t="str">
        <f>IF(J438="","",J438&amp;"|"&amp;E438&amp;"|"&amp;F438&amp;"|"&amp;I438&amp;"|"&amp;O438)</f>
        <v>G.900009.8.9090|2026|Q2|2026|Omzet FY</v>
      </c>
      <c r="T438" s="15">
        <f>IF(OR(S438="",D438&lt;&gt;"Vastgesteld"),"",_xlfn.MAXIFS($G$6:$G$5005,$S$6:$S$5005,S438,$D$6:$D$5005,"Vastgesteld"))</f>
        <v>0</v>
      </c>
      <c r="U438" s="15">
        <f>IF(T438="",0,IF(AND(G438=T438,COUNTIFS($S$6:S438,S438,$G$6:G438,G438,$D$6:D438,"Vastgesteld")=1),1,0))</f>
        <v>1</v>
      </c>
      <c r="V438" s="15">
        <f>IF(T438="",0,IF(AND(G438=T438,COUNTIFS($S$6:S438,S438,$G$6:G438,G438,$D$6:D438,"Vastgesteld")&gt;1),1,0))</f>
        <v>0</v>
      </c>
    </row>
    <row r="439">
      <c r="A439" s="92" t="inlineStr">
        <is>
          <t>HIST-2026-Q2</t>
        </is>
      </c>
      <c r="B439" s="92" t="inlineStr">
        <is>
          <t>RDFO_FICTIEVE_historie_en_mapping.xlsx</t>
        </is>
      </c>
      <c r="C439" s="108" t="n">
        <v>46324</v>
      </c>
      <c r="D439" s="92" t="inlineStr">
        <is>
          <t>Vastgesteld</t>
        </is>
      </c>
      <c r="E439" s="92" t="n">
        <v>2026</v>
      </c>
      <c r="F439" s="92" t="inlineStr">
        <is>
          <t>Q2</t>
        </is>
      </c>
      <c r="G439" s="92" t="n">
        <v>0</v>
      </c>
      <c r="H439" s="108" t="n">
        <v>46203</v>
      </c>
      <c r="I439" s="92" t="n">
        <v>2026</v>
      </c>
      <c r="J439" s="92" t="inlineStr">
        <is>
          <t>G.900009.8.9090</t>
        </is>
      </c>
      <c r="K439" s="92" t="inlineStr">
        <is>
          <t>G.900009</t>
        </is>
      </c>
      <c r="L439" s="92" t="inlineStr">
        <is>
          <t>Duinwaard, Duinrand</t>
        </is>
      </c>
      <c r="M439" s="92" t="inlineStr">
        <is>
          <t>Opstal</t>
        </is>
      </c>
      <c r="N439" s="92" t="inlineStr">
        <is>
          <t>J</t>
        </is>
      </c>
      <c r="O439" s="92" t="inlineStr">
        <is>
          <t>BOR FY</t>
        </is>
      </c>
      <c r="P439" s="109" t="n">
        <v>1290643.2</v>
      </c>
      <c r="Q439" s="92" t="inlineStr">
        <is>
          <t>EUR</t>
        </is>
      </c>
      <c r="R439" s="92" t="inlineStr">
        <is>
          <t>Synthetische vastgelegde invoer; geen echte historie</t>
        </is>
      </c>
      <c r="S439" s="15" t="str">
        <f>IF(J439="","",J439&amp;"|"&amp;E439&amp;"|"&amp;F439&amp;"|"&amp;I439&amp;"|"&amp;O439)</f>
        <v>G.900009.8.9090|2026|Q2|2026|BOR FY</v>
      </c>
      <c r="T439" s="15">
        <f>IF(OR(S439="",D439&lt;&gt;"Vastgesteld"),"",_xlfn.MAXIFS($G$6:$G$5005,$S$6:$S$5005,S439,$D$6:$D$5005,"Vastgesteld"))</f>
        <v>0</v>
      </c>
      <c r="U439" s="15">
        <f>IF(T439="",0,IF(AND(G439=T439,COUNTIFS($S$6:S439,S439,$G$6:G439,G439,$D$6:D439,"Vastgesteld")=1),1,0))</f>
        <v>1</v>
      </c>
      <c r="V439" s="15">
        <f>IF(T439="",0,IF(AND(G439=T439,COUNTIFS($S$6:S439,S439,$G$6:G439,G439,$D$6:D439,"Vastgesteld")&gt;1),1,0))</f>
        <v>0</v>
      </c>
    </row>
    <row r="440">
      <c r="A440" s="92" t="inlineStr">
        <is>
          <t>HIST-2026-Q2</t>
        </is>
      </c>
      <c r="B440" s="92" t="inlineStr">
        <is>
          <t>RDFO_FICTIEVE_historie_en_mapping.xlsx</t>
        </is>
      </c>
      <c r="C440" s="108" t="n">
        <v>46324</v>
      </c>
      <c r="D440" s="92" t="inlineStr">
        <is>
          <t>Vastgesteld</t>
        </is>
      </c>
      <c r="E440" s="92" t="n">
        <v>2026</v>
      </c>
      <c r="F440" s="92" t="inlineStr">
        <is>
          <t>Q2</t>
        </is>
      </c>
      <c r="G440" s="92" t="n">
        <v>0</v>
      </c>
      <c r="H440" s="108" t="n">
        <v>46203</v>
      </c>
      <c r="I440" s="92" t="n">
        <v>2027</v>
      </c>
      <c r="J440" s="92" t="inlineStr">
        <is>
          <t>G.900009.8.9090</t>
        </is>
      </c>
      <c r="K440" s="92" t="inlineStr">
        <is>
          <t>G.900009</t>
        </is>
      </c>
      <c r="L440" s="92" t="inlineStr">
        <is>
          <t>Duinwaard, Duinrand</t>
        </is>
      </c>
      <c r="M440" s="92" t="inlineStr">
        <is>
          <t>Opstal</t>
        </is>
      </c>
      <c r="N440" s="92" t="inlineStr">
        <is>
          <t>J</t>
        </is>
      </c>
      <c r="O440" s="92" t="inlineStr">
        <is>
          <t>Omzet FY</t>
        </is>
      </c>
      <c r="P440" s="109" t="n">
        <v>14481324</v>
      </c>
      <c r="Q440" s="92" t="inlineStr">
        <is>
          <t>EUR</t>
        </is>
      </c>
      <c r="R440" s="92" t="inlineStr">
        <is>
          <t>Synthetische vastgelegde invoer; geen echte historie</t>
        </is>
      </c>
      <c r="S440" s="15" t="str">
        <f>IF(J440="","",J440&amp;"|"&amp;E440&amp;"|"&amp;F440&amp;"|"&amp;I440&amp;"|"&amp;O440)</f>
        <v>G.900009.8.9090|2026|Q2|2027|Omzet FY</v>
      </c>
      <c r="T440" s="15">
        <f>IF(OR(S440="",D440&lt;&gt;"Vastgesteld"),"",_xlfn.MAXIFS($G$6:$G$5005,$S$6:$S$5005,S440,$D$6:$D$5005,"Vastgesteld"))</f>
        <v>0</v>
      </c>
      <c r="U440" s="15">
        <f>IF(T440="",0,IF(AND(G440=T440,COUNTIFS($S$6:S440,S440,$G$6:G440,G440,$D$6:D440,"Vastgesteld")=1),1,0))</f>
        <v>1</v>
      </c>
      <c r="V440" s="15">
        <f>IF(T440="",0,IF(AND(G440=T440,COUNTIFS($S$6:S440,S440,$G$6:G440,G440,$D$6:D440,"Vastgesteld")&gt;1),1,0))</f>
        <v>0</v>
      </c>
    </row>
    <row r="441">
      <c r="A441" s="92" t="inlineStr">
        <is>
          <t>HIST-2026-Q2</t>
        </is>
      </c>
      <c r="B441" s="92" t="inlineStr">
        <is>
          <t>RDFO_FICTIEVE_historie_en_mapping.xlsx</t>
        </is>
      </c>
      <c r="C441" s="108" t="n">
        <v>46324</v>
      </c>
      <c r="D441" s="92" t="inlineStr">
        <is>
          <t>Vastgesteld</t>
        </is>
      </c>
      <c r="E441" s="92" t="n">
        <v>2026</v>
      </c>
      <c r="F441" s="92" t="inlineStr">
        <is>
          <t>Q2</t>
        </is>
      </c>
      <c r="G441" s="92" t="n">
        <v>0</v>
      </c>
      <c r="H441" s="108" t="n">
        <v>46203</v>
      </c>
      <c r="I441" s="92" t="n">
        <v>2027</v>
      </c>
      <c r="J441" s="92" t="inlineStr">
        <is>
          <t>G.900009.8.9090</t>
        </is>
      </c>
      <c r="K441" s="92" t="inlineStr">
        <is>
          <t>G.900009</t>
        </is>
      </c>
      <c r="L441" s="92" t="inlineStr">
        <is>
          <t>Duinwaard, Duinrand</t>
        </is>
      </c>
      <c r="M441" s="92" t="inlineStr">
        <is>
          <t>Opstal</t>
        </is>
      </c>
      <c r="N441" s="92" t="inlineStr">
        <is>
          <t>J</t>
        </is>
      </c>
      <c r="O441" s="92" t="inlineStr">
        <is>
          <t>BOR FY</t>
        </is>
      </c>
      <c r="P441" s="109" t="n">
        <v>1158505.92</v>
      </c>
      <c r="Q441" s="92" t="inlineStr">
        <is>
          <t>EUR</t>
        </is>
      </c>
      <c r="R441" s="92" t="inlineStr">
        <is>
          <t>Synthetische vastgelegde invoer; geen echte historie</t>
        </is>
      </c>
      <c r="S441" s="15" t="str">
        <f>IF(J441="","",J441&amp;"|"&amp;E441&amp;"|"&amp;F441&amp;"|"&amp;I441&amp;"|"&amp;O441)</f>
        <v>G.900009.8.9090|2026|Q2|2027|BOR FY</v>
      </c>
      <c r="T441" s="15">
        <f>IF(OR(S441="",D441&lt;&gt;"Vastgesteld"),"",_xlfn.MAXIFS($G$6:$G$5005,$S$6:$S$5005,S441,$D$6:$D$5005,"Vastgesteld"))</f>
        <v>0</v>
      </c>
      <c r="U441" s="15">
        <f>IF(T441="",0,IF(AND(G441=T441,COUNTIFS($S$6:S441,S441,$G$6:G441,G441,$D$6:D441,"Vastgesteld")=1),1,0))</f>
        <v>1</v>
      </c>
      <c r="V441" s="15">
        <f>IF(T441="",0,IF(AND(G441=T441,COUNTIFS($S$6:S441,S441,$G$6:G441,G441,$D$6:D441,"Vastgesteld")&gt;1),1,0))</f>
        <v>0</v>
      </c>
    </row>
    <row r="442">
      <c r="A442" s="92" t="inlineStr">
        <is>
          <t>HIST-2026-Q2</t>
        </is>
      </c>
      <c r="B442" s="92" t="inlineStr">
        <is>
          <t>RDFO_FICTIEVE_historie_en_mapping.xlsx</t>
        </is>
      </c>
      <c r="C442" s="108" t="n">
        <v>46324</v>
      </c>
      <c r="D442" s="92" t="inlineStr">
        <is>
          <t>Vastgesteld</t>
        </is>
      </c>
      <c r="E442" s="92" t="n">
        <v>2026</v>
      </c>
      <c r="F442" s="92" t="inlineStr">
        <is>
          <t>Q2</t>
        </is>
      </c>
      <c r="G442" s="92" t="n">
        <v>0</v>
      </c>
      <c r="H442" s="108" t="n">
        <v>46203</v>
      </c>
      <c r="I442" s="92" t="n">
        <v>2026</v>
      </c>
      <c r="J442" s="92" t="inlineStr">
        <is>
          <t>G.900010.8.9090</t>
        </is>
      </c>
      <c r="K442" s="92" t="inlineStr">
        <is>
          <t>G.900010</t>
        </is>
      </c>
      <c r="L442" s="92" t="inlineStr">
        <is>
          <t>Veldendam, Groene Singel</t>
        </is>
      </c>
      <c r="M442" s="92" t="inlineStr">
        <is>
          <t>Opstal</t>
        </is>
      </c>
      <c r="N442" s="92" t="inlineStr">
        <is>
          <t>J</t>
        </is>
      </c>
      <c r="O442" s="92" t="inlineStr">
        <is>
          <t>Omzet FY</t>
        </is>
      </c>
      <c r="P442" s="109" t="n">
        <v>3225960</v>
      </c>
      <c r="Q442" s="92" t="inlineStr">
        <is>
          <t>EUR</t>
        </is>
      </c>
      <c r="R442" s="92" t="inlineStr">
        <is>
          <t>Synthetische vastgelegde invoer; geen echte historie</t>
        </is>
      </c>
      <c r="S442" s="15" t="str">
        <f>IF(J442="","",J442&amp;"|"&amp;E442&amp;"|"&amp;F442&amp;"|"&amp;I442&amp;"|"&amp;O442)</f>
        <v>G.900010.8.9090|2026|Q2|2026|Omzet FY</v>
      </c>
      <c r="T442" s="15">
        <f>IF(OR(S442="",D442&lt;&gt;"Vastgesteld"),"",_xlfn.MAXIFS($G$6:$G$5005,$S$6:$S$5005,S442,$D$6:$D$5005,"Vastgesteld"))</f>
        <v>0</v>
      </c>
      <c r="U442" s="15">
        <f>IF(T442="",0,IF(AND(G442=T442,COUNTIFS($S$6:S442,S442,$G$6:G442,G442,$D$6:D442,"Vastgesteld")=1),1,0))</f>
        <v>1</v>
      </c>
      <c r="V442" s="15">
        <f>IF(T442="",0,IF(AND(G442=T442,COUNTIFS($S$6:S442,S442,$G$6:G442,G442,$D$6:D442,"Vastgesteld")&gt;1),1,0))</f>
        <v>0</v>
      </c>
    </row>
    <row r="443">
      <c r="A443" s="92" t="inlineStr">
        <is>
          <t>HIST-2026-Q2</t>
        </is>
      </c>
      <c r="B443" s="92" t="inlineStr">
        <is>
          <t>RDFO_FICTIEVE_historie_en_mapping.xlsx</t>
        </is>
      </c>
      <c r="C443" s="108" t="n">
        <v>46324</v>
      </c>
      <c r="D443" s="92" t="inlineStr">
        <is>
          <t>Vastgesteld</t>
        </is>
      </c>
      <c r="E443" s="92" t="n">
        <v>2026</v>
      </c>
      <c r="F443" s="92" t="inlineStr">
        <is>
          <t>Q2</t>
        </is>
      </c>
      <c r="G443" s="92" t="n">
        <v>0</v>
      </c>
      <c r="H443" s="108" t="n">
        <v>46203</v>
      </c>
      <c r="I443" s="92" t="n">
        <v>2026</v>
      </c>
      <c r="J443" s="92" t="inlineStr">
        <is>
          <t>G.900010.8.9090</t>
        </is>
      </c>
      <c r="K443" s="92" t="inlineStr">
        <is>
          <t>G.900010</t>
        </is>
      </c>
      <c r="L443" s="92" t="inlineStr">
        <is>
          <t>Veldendam, Groene Singel</t>
        </is>
      </c>
      <c r="M443" s="92" t="inlineStr">
        <is>
          <t>Opstal</t>
        </is>
      </c>
      <c r="N443" s="92" t="inlineStr">
        <is>
          <t>J</t>
        </is>
      </c>
      <c r="O443" s="92" t="inlineStr">
        <is>
          <t>BOR FY</t>
        </is>
      </c>
      <c r="P443" s="109" t="n">
        <v>419374.8</v>
      </c>
      <c r="Q443" s="92" t="inlineStr">
        <is>
          <t>EUR</t>
        </is>
      </c>
      <c r="R443" s="92" t="inlineStr">
        <is>
          <t>Synthetische vastgelegde invoer; geen echte historie</t>
        </is>
      </c>
      <c r="S443" s="15" t="str">
        <f>IF(J443="","",J443&amp;"|"&amp;E443&amp;"|"&amp;F443&amp;"|"&amp;I443&amp;"|"&amp;O443)</f>
        <v>G.900010.8.9090|2026|Q2|2026|BOR FY</v>
      </c>
      <c r="T443" s="15">
        <f>IF(OR(S443="",D443&lt;&gt;"Vastgesteld"),"",_xlfn.MAXIFS($G$6:$G$5005,$S$6:$S$5005,S443,$D$6:$D$5005,"Vastgesteld"))</f>
        <v>0</v>
      </c>
      <c r="U443" s="15">
        <f>IF(T443="",0,IF(AND(G443=T443,COUNTIFS($S$6:S443,S443,$G$6:G443,G443,$D$6:D443,"Vastgesteld")=1),1,0))</f>
        <v>1</v>
      </c>
      <c r="V443" s="15">
        <f>IF(T443="",0,IF(AND(G443=T443,COUNTIFS($S$6:S443,S443,$G$6:G443,G443,$D$6:D443,"Vastgesteld")&gt;1),1,0))</f>
        <v>0</v>
      </c>
    </row>
    <row r="444">
      <c r="A444" s="92" t="inlineStr">
        <is>
          <t>HIST-2026-Q2</t>
        </is>
      </c>
      <c r="B444" s="92" t="inlineStr">
        <is>
          <t>RDFO_FICTIEVE_historie_en_mapping.xlsx</t>
        </is>
      </c>
      <c r="C444" s="108" t="n">
        <v>46324</v>
      </c>
      <c r="D444" s="92" t="inlineStr">
        <is>
          <t>Vastgesteld</t>
        </is>
      </c>
      <c r="E444" s="92" t="n">
        <v>2026</v>
      </c>
      <c r="F444" s="92" t="inlineStr">
        <is>
          <t>Q2</t>
        </is>
      </c>
      <c r="G444" s="92" t="n">
        <v>0</v>
      </c>
      <c r="H444" s="108" t="n">
        <v>46203</v>
      </c>
      <c r="I444" s="92" t="n">
        <v>2027</v>
      </c>
      <c r="J444" s="92" t="inlineStr">
        <is>
          <t>G.900010.8.9090</t>
        </is>
      </c>
      <c r="K444" s="92" t="inlineStr">
        <is>
          <t>G.900010</t>
        </is>
      </c>
      <c r="L444" s="92" t="inlineStr">
        <is>
          <t>Veldendam, Groene Singel</t>
        </is>
      </c>
      <c r="M444" s="92" t="inlineStr">
        <is>
          <t>Opstal</t>
        </is>
      </c>
      <c r="N444" s="92" t="inlineStr">
        <is>
          <t>J</t>
        </is>
      </c>
      <c r="O444" s="92" t="inlineStr">
        <is>
          <t>Omzet FY</t>
        </is>
      </c>
      <c r="P444" s="109" t="n">
        <v>18871866</v>
      </c>
      <c r="Q444" s="92" t="inlineStr">
        <is>
          <t>EUR</t>
        </is>
      </c>
      <c r="R444" s="92" t="inlineStr">
        <is>
          <t>Synthetische vastgelegde invoer; geen echte historie</t>
        </is>
      </c>
      <c r="S444" s="15" t="str">
        <f>IF(J444="","",J444&amp;"|"&amp;E444&amp;"|"&amp;F444&amp;"|"&amp;I444&amp;"|"&amp;O444)</f>
        <v>G.900010.8.9090|2026|Q2|2027|Omzet FY</v>
      </c>
      <c r="T444" s="15">
        <f>IF(OR(S444="",D444&lt;&gt;"Vastgesteld"),"",_xlfn.MAXIFS($G$6:$G$5005,$S$6:$S$5005,S444,$D$6:$D$5005,"Vastgesteld"))</f>
        <v>0</v>
      </c>
      <c r="U444" s="15">
        <f>IF(T444="",0,IF(AND(G444=T444,COUNTIFS($S$6:S444,S444,$G$6:G444,G444,$D$6:D444,"Vastgesteld")=1),1,0))</f>
        <v>1</v>
      </c>
      <c r="V444" s="15">
        <f>IF(T444="",0,IF(AND(G444=T444,COUNTIFS($S$6:S444,S444,$G$6:G444,G444,$D$6:D444,"Vastgesteld")&gt;1),1,0))</f>
        <v>0</v>
      </c>
    </row>
    <row r="445">
      <c r="A445" s="92" t="inlineStr">
        <is>
          <t>HIST-2026-Q2</t>
        </is>
      </c>
      <c r="B445" s="92" t="inlineStr">
        <is>
          <t>RDFO_FICTIEVE_historie_en_mapping.xlsx</t>
        </is>
      </c>
      <c r="C445" s="108" t="n">
        <v>46324</v>
      </c>
      <c r="D445" s="92" t="inlineStr">
        <is>
          <t>Vastgesteld</t>
        </is>
      </c>
      <c r="E445" s="92" t="n">
        <v>2026</v>
      </c>
      <c r="F445" s="92" t="inlineStr">
        <is>
          <t>Q2</t>
        </is>
      </c>
      <c r="G445" s="92" t="n">
        <v>0</v>
      </c>
      <c r="H445" s="108" t="n">
        <v>46203</v>
      </c>
      <c r="I445" s="92" t="n">
        <v>2027</v>
      </c>
      <c r="J445" s="92" t="inlineStr">
        <is>
          <t>G.900010.8.9090</t>
        </is>
      </c>
      <c r="K445" s="92" t="inlineStr">
        <is>
          <t>G.900010</t>
        </is>
      </c>
      <c r="L445" s="92" t="inlineStr">
        <is>
          <t>Veldendam, Groene Singel</t>
        </is>
      </c>
      <c r="M445" s="92" t="inlineStr">
        <is>
          <t>Opstal</t>
        </is>
      </c>
      <c r="N445" s="92" t="inlineStr">
        <is>
          <t>J</t>
        </is>
      </c>
      <c r="O445" s="92" t="inlineStr">
        <is>
          <t>BOR FY</t>
        </is>
      </c>
      <c r="P445" s="109" t="n">
        <v>2453342.58</v>
      </c>
      <c r="Q445" s="92" t="inlineStr">
        <is>
          <t>EUR</t>
        </is>
      </c>
      <c r="R445" s="92" t="inlineStr">
        <is>
          <t>Synthetische vastgelegde invoer; geen echte historie</t>
        </is>
      </c>
      <c r="S445" s="15" t="str">
        <f>IF(J445="","",J445&amp;"|"&amp;E445&amp;"|"&amp;F445&amp;"|"&amp;I445&amp;"|"&amp;O445)</f>
        <v>G.900010.8.9090|2026|Q2|2027|BOR FY</v>
      </c>
      <c r="T445" s="15">
        <f>IF(OR(S445="",D445&lt;&gt;"Vastgesteld"),"",_xlfn.MAXIFS($G$6:$G$5005,$S$6:$S$5005,S445,$D$6:$D$5005,"Vastgesteld"))</f>
        <v>0</v>
      </c>
      <c r="U445" s="15">
        <f>IF(T445="",0,IF(AND(G445=T445,COUNTIFS($S$6:S445,S445,$G$6:G445,G445,$D$6:D445,"Vastgesteld")=1),1,0))</f>
        <v>1</v>
      </c>
      <c r="V445" s="15">
        <f>IF(T445="",0,IF(AND(G445=T445,COUNTIFS($S$6:S445,S445,$G$6:G445,G445,$D$6:D445,"Vastgesteld")&gt;1),1,0))</f>
        <v>0</v>
      </c>
    </row>
    <row r="446">
      <c r="A446" s="92" t="inlineStr">
        <is>
          <t>HIST-2026-Q2</t>
        </is>
      </c>
      <c r="B446" s="92" t="inlineStr">
        <is>
          <t>RDFO_FICTIEVE_historie_en_mapping.xlsx</t>
        </is>
      </c>
      <c r="C446" s="108" t="n">
        <v>46324</v>
      </c>
      <c r="D446" s="92" t="inlineStr">
        <is>
          <t>Vastgesteld</t>
        </is>
      </c>
      <c r="E446" s="92" t="n">
        <v>2026</v>
      </c>
      <c r="F446" s="92" t="inlineStr">
        <is>
          <t>Q2</t>
        </is>
      </c>
      <c r="G446" s="92" t="n">
        <v>0</v>
      </c>
      <c r="H446" s="108" t="n">
        <v>46203</v>
      </c>
      <c r="I446" s="92" t="n">
        <v>2026</v>
      </c>
      <c r="J446" s="92" t="inlineStr">
        <is>
          <t>G.900011.8.9090</t>
        </is>
      </c>
      <c r="K446" s="92" t="inlineStr">
        <is>
          <t>G.900011</t>
        </is>
      </c>
      <c r="L446" s="92" t="inlineStr">
        <is>
          <t>Meerhovenstad, Hofstaete</t>
        </is>
      </c>
      <c r="M446" s="92" t="inlineStr">
        <is>
          <t>Opstal</t>
        </is>
      </c>
      <c r="N446" s="92" t="inlineStr">
        <is>
          <t>J</t>
        </is>
      </c>
      <c r="O446" s="92" t="inlineStr">
        <is>
          <t>Omzet FY</t>
        </is>
      </c>
      <c r="P446" s="109" t="n">
        <v>14154240</v>
      </c>
      <c r="Q446" s="92" t="inlineStr">
        <is>
          <t>EUR</t>
        </is>
      </c>
      <c r="R446" s="92" t="inlineStr">
        <is>
          <t>Synthetische vastgelegde invoer; geen echte historie</t>
        </is>
      </c>
      <c r="S446" s="15" t="str">
        <f>IF(J446="","",J446&amp;"|"&amp;E446&amp;"|"&amp;F446&amp;"|"&amp;I446&amp;"|"&amp;O446)</f>
        <v>G.900011.8.9090|2026|Q2|2026|Omzet FY</v>
      </c>
      <c r="T446" s="15">
        <f>IF(OR(S446="",D446&lt;&gt;"Vastgesteld"),"",_xlfn.MAXIFS($G$6:$G$5005,$S$6:$S$5005,S446,$D$6:$D$5005,"Vastgesteld"))</f>
        <v>0</v>
      </c>
      <c r="U446" s="15">
        <f>IF(T446="",0,IF(AND(G446=T446,COUNTIFS($S$6:S446,S446,$G$6:G446,G446,$D$6:D446,"Vastgesteld")=1),1,0))</f>
        <v>1</v>
      </c>
      <c r="V446" s="15">
        <f>IF(T446="",0,IF(AND(G446=T446,COUNTIFS($S$6:S446,S446,$G$6:G446,G446,$D$6:D446,"Vastgesteld")&gt;1),1,0))</f>
        <v>0</v>
      </c>
    </row>
    <row r="447">
      <c r="A447" s="92" t="inlineStr">
        <is>
          <t>HIST-2026-Q2</t>
        </is>
      </c>
      <c r="B447" s="92" t="inlineStr">
        <is>
          <t>RDFO_FICTIEVE_historie_en_mapping.xlsx</t>
        </is>
      </c>
      <c r="C447" s="108" t="n">
        <v>46324</v>
      </c>
      <c r="D447" s="92" t="inlineStr">
        <is>
          <t>Vastgesteld</t>
        </is>
      </c>
      <c r="E447" s="92" t="n">
        <v>2026</v>
      </c>
      <c r="F447" s="92" t="inlineStr">
        <is>
          <t>Q2</t>
        </is>
      </c>
      <c r="G447" s="92" t="n">
        <v>0</v>
      </c>
      <c r="H447" s="108" t="n">
        <v>46203</v>
      </c>
      <c r="I447" s="92" t="n">
        <v>2026</v>
      </c>
      <c r="J447" s="92" t="inlineStr">
        <is>
          <t>G.900011.8.9090</t>
        </is>
      </c>
      <c r="K447" s="92" t="inlineStr">
        <is>
          <t>G.900011</t>
        </is>
      </c>
      <c r="L447" s="92" t="inlineStr">
        <is>
          <t>Meerhovenstad, Hofstaete</t>
        </is>
      </c>
      <c r="M447" s="92" t="inlineStr">
        <is>
          <t>Opstal</t>
        </is>
      </c>
      <c r="N447" s="92" t="inlineStr">
        <is>
          <t>J</t>
        </is>
      </c>
      <c r="O447" s="92" t="inlineStr">
        <is>
          <t>BOR FY</t>
        </is>
      </c>
      <c r="P447" s="109" t="n">
        <v>1273881.6</v>
      </c>
      <c r="Q447" s="92" t="inlineStr">
        <is>
          <t>EUR</t>
        </is>
      </c>
      <c r="R447" s="92" t="inlineStr">
        <is>
          <t>Synthetische vastgelegde invoer; geen echte historie</t>
        </is>
      </c>
      <c r="S447" s="15" t="str">
        <f>IF(J447="","",J447&amp;"|"&amp;E447&amp;"|"&amp;F447&amp;"|"&amp;I447&amp;"|"&amp;O447)</f>
        <v>G.900011.8.9090|2026|Q2|2026|BOR FY</v>
      </c>
      <c r="T447" s="15">
        <f>IF(OR(S447="",D447&lt;&gt;"Vastgesteld"),"",_xlfn.MAXIFS($G$6:$G$5005,$S$6:$S$5005,S447,$D$6:$D$5005,"Vastgesteld"))</f>
        <v>0</v>
      </c>
      <c r="U447" s="15">
        <f>IF(T447="",0,IF(AND(G447=T447,COUNTIFS($S$6:S447,S447,$G$6:G447,G447,$D$6:D447,"Vastgesteld")=1),1,0))</f>
        <v>1</v>
      </c>
      <c r="V447" s="15">
        <f>IF(T447="",0,IF(AND(G447=T447,COUNTIFS($S$6:S447,S447,$G$6:G447,G447,$D$6:D447,"Vastgesteld")&gt;1),1,0))</f>
        <v>0</v>
      </c>
    </row>
    <row r="448">
      <c r="A448" s="92" t="inlineStr">
        <is>
          <t>HIST-2026-Q2</t>
        </is>
      </c>
      <c r="B448" s="92" t="inlineStr">
        <is>
          <t>RDFO_FICTIEVE_historie_en_mapping.xlsx</t>
        </is>
      </c>
      <c r="C448" s="108" t="n">
        <v>46324</v>
      </c>
      <c r="D448" s="92" t="inlineStr">
        <is>
          <t>Vastgesteld</t>
        </is>
      </c>
      <c r="E448" s="92" t="n">
        <v>2026</v>
      </c>
      <c r="F448" s="92" t="inlineStr">
        <is>
          <t>Q2</t>
        </is>
      </c>
      <c r="G448" s="92" t="n">
        <v>0</v>
      </c>
      <c r="H448" s="108" t="n">
        <v>46203</v>
      </c>
      <c r="I448" s="92" t="n">
        <v>2027</v>
      </c>
      <c r="J448" s="92" t="inlineStr">
        <is>
          <t>G.900011.8.9090</t>
        </is>
      </c>
      <c r="K448" s="92" t="inlineStr">
        <is>
          <t>G.900011</t>
        </is>
      </c>
      <c r="L448" s="92" t="inlineStr">
        <is>
          <t>Meerhovenstad, Hofstaete</t>
        </is>
      </c>
      <c r="M448" s="92" t="inlineStr">
        <is>
          <t>Opstal</t>
        </is>
      </c>
      <c r="N448" s="92" t="inlineStr">
        <is>
          <t>J</t>
        </is>
      </c>
      <c r="O448" s="92" t="inlineStr">
        <is>
          <t>Omzet FY</t>
        </is>
      </c>
      <c r="P448" s="109" t="n">
        <v>15010944</v>
      </c>
      <c r="Q448" s="92" t="inlineStr">
        <is>
          <t>EUR</t>
        </is>
      </c>
      <c r="R448" s="92" t="inlineStr">
        <is>
          <t>Synthetische vastgelegde invoer; geen echte historie</t>
        </is>
      </c>
      <c r="S448" s="15" t="str">
        <f>IF(J448="","",J448&amp;"|"&amp;E448&amp;"|"&amp;F448&amp;"|"&amp;I448&amp;"|"&amp;O448)</f>
        <v>G.900011.8.9090|2026|Q2|2027|Omzet FY</v>
      </c>
      <c r="T448" s="15">
        <f>IF(OR(S448="",D448&lt;&gt;"Vastgesteld"),"",_xlfn.MAXIFS($G$6:$G$5005,$S$6:$S$5005,S448,$D$6:$D$5005,"Vastgesteld"))</f>
        <v>0</v>
      </c>
      <c r="U448" s="15">
        <f>IF(T448="",0,IF(AND(G448=T448,COUNTIFS($S$6:S448,S448,$G$6:G448,G448,$D$6:D448,"Vastgesteld")=1),1,0))</f>
        <v>1</v>
      </c>
      <c r="V448" s="15">
        <f>IF(T448="",0,IF(AND(G448=T448,COUNTIFS($S$6:S448,S448,$G$6:G448,G448,$D$6:D448,"Vastgesteld")&gt;1),1,0))</f>
        <v>0</v>
      </c>
    </row>
    <row r="449">
      <c r="A449" s="92" t="inlineStr">
        <is>
          <t>HIST-2026-Q2</t>
        </is>
      </c>
      <c r="B449" s="92" t="inlineStr">
        <is>
          <t>RDFO_FICTIEVE_historie_en_mapping.xlsx</t>
        </is>
      </c>
      <c r="C449" s="108" t="n">
        <v>46324</v>
      </c>
      <c r="D449" s="92" t="inlineStr">
        <is>
          <t>Vastgesteld</t>
        </is>
      </c>
      <c r="E449" s="92" t="n">
        <v>2026</v>
      </c>
      <c r="F449" s="92" t="inlineStr">
        <is>
          <t>Q2</t>
        </is>
      </c>
      <c r="G449" s="92" t="n">
        <v>0</v>
      </c>
      <c r="H449" s="108" t="n">
        <v>46203</v>
      </c>
      <c r="I449" s="92" t="n">
        <v>2027</v>
      </c>
      <c r="J449" s="92" t="inlineStr">
        <is>
          <t>G.900011.8.9090</t>
        </is>
      </c>
      <c r="K449" s="92" t="inlineStr">
        <is>
          <t>G.900011</t>
        </is>
      </c>
      <c r="L449" s="92" t="inlineStr">
        <is>
          <t>Meerhovenstad, Hofstaete</t>
        </is>
      </c>
      <c r="M449" s="92" t="inlineStr">
        <is>
          <t>Opstal</t>
        </is>
      </c>
      <c r="N449" s="92" t="inlineStr">
        <is>
          <t>J</t>
        </is>
      </c>
      <c r="O449" s="92" t="inlineStr">
        <is>
          <t>BOR FY</t>
        </is>
      </c>
      <c r="P449" s="109" t="n">
        <v>1350984.96</v>
      </c>
      <c r="Q449" s="92" t="inlineStr">
        <is>
          <t>EUR</t>
        </is>
      </c>
      <c r="R449" s="92" t="inlineStr">
        <is>
          <t>Synthetische vastgelegde invoer; geen echte historie</t>
        </is>
      </c>
      <c r="S449" s="15" t="str">
        <f>IF(J449="","",J449&amp;"|"&amp;E449&amp;"|"&amp;F449&amp;"|"&amp;I449&amp;"|"&amp;O449)</f>
        <v>G.900011.8.9090|2026|Q2|2027|BOR FY</v>
      </c>
      <c r="T449" s="15">
        <f>IF(OR(S449="",D449&lt;&gt;"Vastgesteld"),"",_xlfn.MAXIFS($G$6:$G$5005,$S$6:$S$5005,S449,$D$6:$D$5005,"Vastgesteld"))</f>
        <v>0</v>
      </c>
      <c r="U449" s="15">
        <f>IF(T449="",0,IF(AND(G449=T449,COUNTIFS($S$6:S449,S449,$G$6:G449,G449,$D$6:D449,"Vastgesteld")=1),1,0))</f>
        <v>1</v>
      </c>
      <c r="V449" s="15">
        <f>IF(T449="",0,IF(AND(G449=T449,COUNTIFS($S$6:S449,S449,$G$6:G449,G449,$D$6:D449,"Vastgesteld")&gt;1),1,0))</f>
        <v>0</v>
      </c>
    </row>
    <row r="450">
      <c r="A450" s="92" t="inlineStr">
        <is>
          <t>HIST-2026-Q2</t>
        </is>
      </c>
      <c r="B450" s="92" t="inlineStr">
        <is>
          <t>RDFO_FICTIEVE_historie_en_mapping.xlsx</t>
        </is>
      </c>
      <c r="C450" s="108" t="n">
        <v>46324</v>
      </c>
      <c r="D450" s="92" t="inlineStr">
        <is>
          <t>Vastgesteld</t>
        </is>
      </c>
      <c r="E450" s="92" t="n">
        <v>2026</v>
      </c>
      <c r="F450" s="92" t="inlineStr">
        <is>
          <t>Q2</t>
        </is>
      </c>
      <c r="G450" s="92" t="n">
        <v>0</v>
      </c>
      <c r="H450" s="108" t="n">
        <v>46203</v>
      </c>
      <c r="I450" s="92" t="n">
        <v>2026</v>
      </c>
      <c r="J450" s="92" t="inlineStr">
        <is>
          <t>G.900012.8.9090</t>
        </is>
      </c>
      <c r="K450" s="92" t="inlineStr">
        <is>
          <t>G.900012</t>
        </is>
      </c>
      <c r="L450" s="92" t="inlineStr">
        <is>
          <t>Zilverdam, De Werf</t>
        </is>
      </c>
      <c r="M450" s="92" t="inlineStr">
        <is>
          <t>Deelneming</t>
        </is>
      </c>
      <c r="N450" s="92" t="inlineStr">
        <is>
          <t>N</t>
        </is>
      </c>
      <c r="O450" s="92" t="inlineStr">
        <is>
          <t>Omzet FY</t>
        </is>
      </c>
      <c r="P450" s="109" t="n">
        <v>1478050</v>
      </c>
      <c r="Q450" s="92" t="inlineStr">
        <is>
          <t>EUR</t>
        </is>
      </c>
      <c r="R450" s="92" t="inlineStr">
        <is>
          <t>Synthetische vastgelegde invoer; geen echte historie</t>
        </is>
      </c>
      <c r="S450" s="15" t="str">
        <f>IF(J450="","",J450&amp;"|"&amp;E450&amp;"|"&amp;F450&amp;"|"&amp;I450&amp;"|"&amp;O450)</f>
        <v>G.900012.8.9090|2026|Q2|2026|Omzet FY</v>
      </c>
      <c r="T450" s="15">
        <f>IF(OR(S450="",D450&lt;&gt;"Vastgesteld"),"",_xlfn.MAXIFS($G$6:$G$5005,$S$6:$S$5005,S450,$D$6:$D$5005,"Vastgesteld"))</f>
        <v>0</v>
      </c>
      <c r="U450" s="15">
        <f>IF(T450="",0,IF(AND(G450=T450,COUNTIFS($S$6:S450,S450,$G$6:G450,G450,$D$6:D450,"Vastgesteld")=1),1,0))</f>
        <v>1</v>
      </c>
      <c r="V450" s="15">
        <f>IF(T450="",0,IF(AND(G450=T450,COUNTIFS($S$6:S450,S450,$G$6:G450,G450,$D$6:D450,"Vastgesteld")&gt;1),1,0))</f>
        <v>0</v>
      </c>
    </row>
    <row r="451">
      <c r="A451" s="92" t="inlineStr">
        <is>
          <t>HIST-2026-Q2</t>
        </is>
      </c>
      <c r="B451" s="92" t="inlineStr">
        <is>
          <t>RDFO_FICTIEVE_historie_en_mapping.xlsx</t>
        </is>
      </c>
      <c r="C451" s="108" t="n">
        <v>46324</v>
      </c>
      <c r="D451" s="92" t="inlineStr">
        <is>
          <t>Vastgesteld</t>
        </is>
      </c>
      <c r="E451" s="92" t="n">
        <v>2026</v>
      </c>
      <c r="F451" s="92" t="inlineStr">
        <is>
          <t>Q2</t>
        </is>
      </c>
      <c r="G451" s="92" t="n">
        <v>0</v>
      </c>
      <c r="H451" s="108" t="n">
        <v>46203</v>
      </c>
      <c r="I451" s="92" t="n">
        <v>2026</v>
      </c>
      <c r="J451" s="92" t="inlineStr">
        <is>
          <t>G.900012.8.9090</t>
        </is>
      </c>
      <c r="K451" s="92" t="inlineStr">
        <is>
          <t>G.900012</t>
        </is>
      </c>
      <c r="L451" s="92" t="inlineStr">
        <is>
          <t>Zilverdam, De Werf</t>
        </is>
      </c>
      <c r="M451" s="92" t="inlineStr">
        <is>
          <t>Deelneming</t>
        </is>
      </c>
      <c r="N451" s="92" t="inlineStr">
        <is>
          <t>N</t>
        </is>
      </c>
      <c r="O451" s="92" t="inlineStr">
        <is>
          <t>BOR FY</t>
        </is>
      </c>
      <c r="P451" s="109" t="n">
        <v>177366</v>
      </c>
      <c r="Q451" s="92" t="inlineStr">
        <is>
          <t>EUR</t>
        </is>
      </c>
      <c r="R451" s="92" t="inlineStr">
        <is>
          <t>Synthetische vastgelegde invoer; geen echte historie</t>
        </is>
      </c>
      <c r="S451" s="15" t="str">
        <f>IF(J451="","",J451&amp;"|"&amp;E451&amp;"|"&amp;F451&amp;"|"&amp;I451&amp;"|"&amp;O451)</f>
        <v>G.900012.8.9090|2026|Q2|2026|BOR FY</v>
      </c>
      <c r="T451" s="15">
        <f>IF(OR(S451="",D451&lt;&gt;"Vastgesteld"),"",_xlfn.MAXIFS($G$6:$G$5005,$S$6:$S$5005,S451,$D$6:$D$5005,"Vastgesteld"))</f>
        <v>0</v>
      </c>
      <c r="U451" s="15">
        <f>IF(T451="",0,IF(AND(G451=T451,COUNTIFS($S$6:S451,S451,$G$6:G451,G451,$D$6:D451,"Vastgesteld")=1),1,0))</f>
        <v>1</v>
      </c>
      <c r="V451" s="15">
        <f>IF(T451="",0,IF(AND(G451=T451,COUNTIFS($S$6:S451,S451,$G$6:G451,G451,$D$6:D451,"Vastgesteld")&gt;1),1,0))</f>
        <v>0</v>
      </c>
    </row>
    <row r="452">
      <c r="A452" s="92" t="inlineStr">
        <is>
          <t>HIST-2026-Q2</t>
        </is>
      </c>
      <c r="B452" s="92" t="inlineStr">
        <is>
          <t>RDFO_FICTIEVE_historie_en_mapping.xlsx</t>
        </is>
      </c>
      <c r="C452" s="108" t="n">
        <v>46324</v>
      </c>
      <c r="D452" s="92" t="inlineStr">
        <is>
          <t>Vastgesteld</t>
        </is>
      </c>
      <c r="E452" s="92" t="n">
        <v>2026</v>
      </c>
      <c r="F452" s="92" t="inlineStr">
        <is>
          <t>Q2</t>
        </is>
      </c>
      <c r="G452" s="92" t="n">
        <v>0</v>
      </c>
      <c r="H452" s="108" t="n">
        <v>46203</v>
      </c>
      <c r="I452" s="92" t="n">
        <v>2027</v>
      </c>
      <c r="J452" s="92" t="inlineStr">
        <is>
          <t>G.900012.8.9090</t>
        </is>
      </c>
      <c r="K452" s="92" t="inlineStr">
        <is>
          <t>G.900012</t>
        </is>
      </c>
      <c r="L452" s="92" t="inlineStr">
        <is>
          <t>Zilverdam, De Werf</t>
        </is>
      </c>
      <c r="M452" s="92" t="inlineStr">
        <is>
          <t>Deelneming</t>
        </is>
      </c>
      <c r="N452" s="92" t="inlineStr">
        <is>
          <t>N</t>
        </is>
      </c>
      <c r="O452" s="92" t="inlineStr">
        <is>
          <t>Omzet FY</t>
        </is>
      </c>
      <c r="P452" s="109" t="n">
        <v>2882197.5</v>
      </c>
      <c r="Q452" s="92" t="inlineStr">
        <is>
          <t>EUR</t>
        </is>
      </c>
      <c r="R452" s="92" t="inlineStr">
        <is>
          <t>Synthetische vastgelegde invoer; geen echte historie</t>
        </is>
      </c>
      <c r="S452" s="15" t="str">
        <f>IF(J452="","",J452&amp;"|"&amp;E452&amp;"|"&amp;F452&amp;"|"&amp;I452&amp;"|"&amp;O452)</f>
        <v>G.900012.8.9090|2026|Q2|2027|Omzet FY</v>
      </c>
      <c r="T452" s="15">
        <f>IF(OR(S452="",D452&lt;&gt;"Vastgesteld"),"",_xlfn.MAXIFS($G$6:$G$5005,$S$6:$S$5005,S452,$D$6:$D$5005,"Vastgesteld"))</f>
        <v>0</v>
      </c>
      <c r="U452" s="15">
        <f>IF(T452="",0,IF(AND(G452=T452,COUNTIFS($S$6:S452,S452,$G$6:G452,G452,$D$6:D452,"Vastgesteld")=1),1,0))</f>
        <v>1</v>
      </c>
      <c r="V452" s="15">
        <f>IF(T452="",0,IF(AND(G452=T452,COUNTIFS($S$6:S452,S452,$G$6:G452,G452,$D$6:D452,"Vastgesteld")&gt;1),1,0))</f>
        <v>0</v>
      </c>
    </row>
    <row r="453">
      <c r="A453" s="92" t="inlineStr">
        <is>
          <t>HIST-2026-Q2</t>
        </is>
      </c>
      <c r="B453" s="92" t="inlineStr">
        <is>
          <t>RDFO_FICTIEVE_historie_en_mapping.xlsx</t>
        </is>
      </c>
      <c r="C453" s="108" t="n">
        <v>46324</v>
      </c>
      <c r="D453" s="92" t="inlineStr">
        <is>
          <t>Vastgesteld</t>
        </is>
      </c>
      <c r="E453" s="92" t="n">
        <v>2026</v>
      </c>
      <c r="F453" s="92" t="inlineStr">
        <is>
          <t>Q2</t>
        </is>
      </c>
      <c r="G453" s="92" t="n">
        <v>0</v>
      </c>
      <c r="H453" s="108" t="n">
        <v>46203</v>
      </c>
      <c r="I453" s="92" t="n">
        <v>2027</v>
      </c>
      <c r="J453" s="92" t="inlineStr">
        <is>
          <t>G.900012.8.9090</t>
        </is>
      </c>
      <c r="K453" s="92" t="inlineStr">
        <is>
          <t>G.900012</t>
        </is>
      </c>
      <c r="L453" s="92" t="inlineStr">
        <is>
          <t>Zilverdam, De Werf</t>
        </is>
      </c>
      <c r="M453" s="92" t="inlineStr">
        <is>
          <t>Deelneming</t>
        </is>
      </c>
      <c r="N453" s="92" t="inlineStr">
        <is>
          <t>N</t>
        </is>
      </c>
      <c r="O453" s="92" t="inlineStr">
        <is>
          <t>BOR FY</t>
        </is>
      </c>
      <c r="P453" s="109" t="n">
        <v>345863.7</v>
      </c>
      <c r="Q453" s="92" t="inlineStr">
        <is>
          <t>EUR</t>
        </is>
      </c>
      <c r="R453" s="92" t="inlineStr">
        <is>
          <t>Synthetische vastgelegde invoer; geen echte historie</t>
        </is>
      </c>
      <c r="S453" s="15" t="str">
        <f>IF(J453="","",J453&amp;"|"&amp;E453&amp;"|"&amp;F453&amp;"|"&amp;I453&amp;"|"&amp;O453)</f>
        <v>G.900012.8.9090|2026|Q2|2027|BOR FY</v>
      </c>
      <c r="T453" s="15">
        <f>IF(OR(S453="",D453&lt;&gt;"Vastgesteld"),"",_xlfn.MAXIFS($G$6:$G$5005,$S$6:$S$5005,S453,$D$6:$D$5005,"Vastgesteld"))</f>
        <v>0</v>
      </c>
      <c r="U453" s="15">
        <f>IF(T453="",0,IF(AND(G453=T453,COUNTIFS($S$6:S453,S453,$G$6:G453,G453,$D$6:D453,"Vastgesteld")=1),1,0))</f>
        <v>1</v>
      </c>
      <c r="V453" s="15">
        <f>IF(T453="",0,IF(AND(G453=T453,COUNTIFS($S$6:S453,S453,$G$6:G453,G453,$D$6:D453,"Vastgesteld")&gt;1),1,0))</f>
        <v>0</v>
      </c>
    </row>
    <row r="454">
      <c r="A454" s="92" t="inlineStr">
        <is>
          <t>HIST-2026-Q2</t>
        </is>
      </c>
      <c r="B454" s="92" t="inlineStr">
        <is>
          <t>RDFO_FICTIEVE_historie_en_mapping.xlsx</t>
        </is>
      </c>
      <c r="C454" s="108" t="n">
        <v>46324</v>
      </c>
      <c r="D454" s="92" t="inlineStr">
        <is>
          <t>Vastgesteld</t>
        </is>
      </c>
      <c r="E454" s="92" t="n">
        <v>2026</v>
      </c>
      <c r="F454" s="92" t="inlineStr">
        <is>
          <t>Q2</t>
        </is>
      </c>
      <c r="G454" s="92" t="n">
        <v>0</v>
      </c>
      <c r="H454" s="108" t="n">
        <v>46203</v>
      </c>
      <c r="I454" s="92" t="n">
        <v>2026</v>
      </c>
      <c r="J454" s="92" t="inlineStr">
        <is>
          <t>G.900013.8.9090</t>
        </is>
      </c>
      <c r="K454" s="92" t="inlineStr">
        <is>
          <t>G.900013</t>
        </is>
      </c>
      <c r="L454" s="92" t="inlineStr">
        <is>
          <t>Boswaard, Boskamers</t>
        </is>
      </c>
      <c r="M454" s="92" t="inlineStr">
        <is>
          <t>Opstal</t>
        </is>
      </c>
      <c r="N454" s="92" t="inlineStr">
        <is>
          <t>J</t>
        </is>
      </c>
      <c r="O454" s="92" t="inlineStr">
        <is>
          <t>Omzet FY</t>
        </is>
      </c>
      <c r="P454" s="109" t="n">
        <v>3666600</v>
      </c>
      <c r="Q454" s="92" t="inlineStr">
        <is>
          <t>EUR</t>
        </is>
      </c>
      <c r="R454" s="92" t="inlineStr">
        <is>
          <t>Synthetische vastgelegde invoer; geen echte historie</t>
        </is>
      </c>
      <c r="S454" s="15" t="str">
        <f>IF(J454="","",J454&amp;"|"&amp;E454&amp;"|"&amp;F454&amp;"|"&amp;I454&amp;"|"&amp;O454)</f>
        <v>G.900013.8.9090|2026|Q2|2026|Omzet FY</v>
      </c>
      <c r="T454" s="15">
        <f>IF(OR(S454="",D454&lt;&gt;"Vastgesteld"),"",_xlfn.MAXIFS($G$6:$G$5005,$S$6:$S$5005,S454,$D$6:$D$5005,"Vastgesteld"))</f>
        <v>0</v>
      </c>
      <c r="U454" s="15">
        <f>IF(T454="",0,IF(AND(G454=T454,COUNTIFS($S$6:S454,S454,$G$6:G454,G454,$D$6:D454,"Vastgesteld")=1),1,0))</f>
        <v>1</v>
      </c>
      <c r="V454" s="15">
        <f>IF(T454="",0,IF(AND(G454=T454,COUNTIFS($S$6:S454,S454,$G$6:G454,G454,$D$6:D454,"Vastgesteld")&gt;1),1,0))</f>
        <v>0</v>
      </c>
    </row>
    <row r="455">
      <c r="A455" s="92" t="inlineStr">
        <is>
          <t>HIST-2026-Q2</t>
        </is>
      </c>
      <c r="B455" s="92" t="inlineStr">
        <is>
          <t>RDFO_FICTIEVE_historie_en_mapping.xlsx</t>
        </is>
      </c>
      <c r="C455" s="108" t="n">
        <v>46324</v>
      </c>
      <c r="D455" s="92" t="inlineStr">
        <is>
          <t>Vastgesteld</t>
        </is>
      </c>
      <c r="E455" s="92" t="n">
        <v>2026</v>
      </c>
      <c r="F455" s="92" t="inlineStr">
        <is>
          <t>Q2</t>
        </is>
      </c>
      <c r="G455" s="92" t="n">
        <v>0</v>
      </c>
      <c r="H455" s="108" t="n">
        <v>46203</v>
      </c>
      <c r="I455" s="92" t="n">
        <v>2026</v>
      </c>
      <c r="J455" s="92" t="inlineStr">
        <is>
          <t>G.900013.8.9090</t>
        </is>
      </c>
      <c r="K455" s="92" t="inlineStr">
        <is>
          <t>G.900013</t>
        </is>
      </c>
      <c r="L455" s="92" t="inlineStr">
        <is>
          <t>Boswaard, Boskamers</t>
        </is>
      </c>
      <c r="M455" s="92" t="inlineStr">
        <is>
          <t>Opstal</t>
        </is>
      </c>
      <c r="N455" s="92" t="inlineStr">
        <is>
          <t>J</t>
        </is>
      </c>
      <c r="O455" s="92" t="inlineStr">
        <is>
          <t>BOR FY</t>
        </is>
      </c>
      <c r="P455" s="109" t="n">
        <v>274995</v>
      </c>
      <c r="Q455" s="92" t="inlineStr">
        <is>
          <t>EUR</t>
        </is>
      </c>
      <c r="R455" s="92" t="inlineStr">
        <is>
          <t>Synthetische vastgelegde invoer; geen echte historie</t>
        </is>
      </c>
      <c r="S455" s="15" t="str">
        <f>IF(J455="","",J455&amp;"|"&amp;E455&amp;"|"&amp;F455&amp;"|"&amp;I455&amp;"|"&amp;O455)</f>
        <v>G.900013.8.9090|2026|Q2|2026|BOR FY</v>
      </c>
      <c r="T455" s="15">
        <f>IF(OR(S455="",D455&lt;&gt;"Vastgesteld"),"",_xlfn.MAXIFS($G$6:$G$5005,$S$6:$S$5005,S455,$D$6:$D$5005,"Vastgesteld"))</f>
        <v>0</v>
      </c>
      <c r="U455" s="15">
        <f>IF(T455="",0,IF(AND(G455=T455,COUNTIFS($S$6:S455,S455,$G$6:G455,G455,$D$6:D455,"Vastgesteld")=1),1,0))</f>
        <v>1</v>
      </c>
      <c r="V455" s="15">
        <f>IF(T455="",0,IF(AND(G455=T455,COUNTIFS($S$6:S455,S455,$G$6:G455,G455,$D$6:D455,"Vastgesteld")&gt;1),1,0))</f>
        <v>0</v>
      </c>
    </row>
    <row r="456">
      <c r="A456" s="92" t="inlineStr">
        <is>
          <t>HIST-2026-Q2</t>
        </is>
      </c>
      <c r="B456" s="92" t="inlineStr">
        <is>
          <t>RDFO_FICTIEVE_historie_en_mapping.xlsx</t>
        </is>
      </c>
      <c r="C456" s="108" t="n">
        <v>46324</v>
      </c>
      <c r="D456" s="92" t="inlineStr">
        <is>
          <t>Vastgesteld</t>
        </is>
      </c>
      <c r="E456" s="92" t="n">
        <v>2026</v>
      </c>
      <c r="F456" s="92" t="inlineStr">
        <is>
          <t>Q2</t>
        </is>
      </c>
      <c r="G456" s="92" t="n">
        <v>0</v>
      </c>
      <c r="H456" s="108" t="n">
        <v>46203</v>
      </c>
      <c r="I456" s="92" t="n">
        <v>2027</v>
      </c>
      <c r="J456" s="92" t="inlineStr">
        <is>
          <t>G.900013.8.9090</t>
        </is>
      </c>
      <c r="K456" s="92" t="inlineStr">
        <is>
          <t>G.900013</t>
        </is>
      </c>
      <c r="L456" s="92" t="inlineStr">
        <is>
          <t>Boswaard, Boskamers</t>
        </is>
      </c>
      <c r="M456" s="92" t="inlineStr">
        <is>
          <t>Opstal</t>
        </is>
      </c>
      <c r="N456" s="92" t="inlineStr">
        <is>
          <t>J</t>
        </is>
      </c>
      <c r="O456" s="92" t="inlineStr">
        <is>
          <t>Omzet FY</t>
        </is>
      </c>
      <c r="P456" s="109" t="n">
        <v>13505310</v>
      </c>
      <c r="Q456" s="92" t="inlineStr">
        <is>
          <t>EUR</t>
        </is>
      </c>
      <c r="R456" s="92" t="inlineStr">
        <is>
          <t>Synthetische vastgelegde invoer; geen echte historie</t>
        </is>
      </c>
      <c r="S456" s="15" t="str">
        <f>IF(J456="","",J456&amp;"|"&amp;E456&amp;"|"&amp;F456&amp;"|"&amp;I456&amp;"|"&amp;O456)</f>
        <v>G.900013.8.9090|2026|Q2|2027|Omzet FY</v>
      </c>
      <c r="T456" s="15">
        <f>IF(OR(S456="",D456&lt;&gt;"Vastgesteld"),"",_xlfn.MAXIFS($G$6:$G$5005,$S$6:$S$5005,S456,$D$6:$D$5005,"Vastgesteld"))</f>
        <v>0</v>
      </c>
      <c r="U456" s="15">
        <f>IF(T456="",0,IF(AND(G456=T456,COUNTIFS($S$6:S456,S456,$G$6:G456,G456,$D$6:D456,"Vastgesteld")=1),1,0))</f>
        <v>1</v>
      </c>
      <c r="V456" s="15">
        <f>IF(T456="",0,IF(AND(G456=T456,COUNTIFS($S$6:S456,S456,$G$6:G456,G456,$D$6:D456,"Vastgesteld")&gt;1),1,0))</f>
        <v>0</v>
      </c>
    </row>
    <row r="457">
      <c r="A457" s="92" t="inlineStr">
        <is>
          <t>HIST-2026-Q2</t>
        </is>
      </c>
      <c r="B457" s="92" t="inlineStr">
        <is>
          <t>RDFO_FICTIEVE_historie_en_mapping.xlsx</t>
        </is>
      </c>
      <c r="C457" s="108" t="n">
        <v>46324</v>
      </c>
      <c r="D457" s="92" t="inlineStr">
        <is>
          <t>Vastgesteld</t>
        </is>
      </c>
      <c r="E457" s="92" t="n">
        <v>2026</v>
      </c>
      <c r="F457" s="92" t="inlineStr">
        <is>
          <t>Q2</t>
        </is>
      </c>
      <c r="G457" s="92" t="n">
        <v>0</v>
      </c>
      <c r="H457" s="108" t="n">
        <v>46203</v>
      </c>
      <c r="I457" s="92" t="n">
        <v>2027</v>
      </c>
      <c r="J457" s="92" t="inlineStr">
        <is>
          <t>G.900013.8.9090</t>
        </is>
      </c>
      <c r="K457" s="92" t="inlineStr">
        <is>
          <t>G.900013</t>
        </is>
      </c>
      <c r="L457" s="92" t="inlineStr">
        <is>
          <t>Boswaard, Boskamers</t>
        </is>
      </c>
      <c r="M457" s="92" t="inlineStr">
        <is>
          <t>Opstal</t>
        </is>
      </c>
      <c r="N457" s="92" t="inlineStr">
        <is>
          <t>J</t>
        </is>
      </c>
      <c r="O457" s="92" t="inlineStr">
        <is>
          <t>BOR FY</t>
        </is>
      </c>
      <c r="P457" s="109" t="n">
        <v>1012898.25</v>
      </c>
      <c r="Q457" s="92" t="inlineStr">
        <is>
          <t>EUR</t>
        </is>
      </c>
      <c r="R457" s="92" t="inlineStr">
        <is>
          <t>Synthetische vastgelegde invoer; geen echte historie</t>
        </is>
      </c>
      <c r="S457" s="15" t="str">
        <f>IF(J457="","",J457&amp;"|"&amp;E457&amp;"|"&amp;F457&amp;"|"&amp;I457&amp;"|"&amp;O457)</f>
        <v>G.900013.8.9090|2026|Q2|2027|BOR FY</v>
      </c>
      <c r="T457" s="15">
        <f>IF(OR(S457="",D457&lt;&gt;"Vastgesteld"),"",_xlfn.MAXIFS($G$6:$G$5005,$S$6:$S$5005,S457,$D$6:$D$5005,"Vastgesteld"))</f>
        <v>0</v>
      </c>
      <c r="U457" s="15">
        <f>IF(T457="",0,IF(AND(G457=T457,COUNTIFS($S$6:S457,S457,$G$6:G457,G457,$D$6:D457,"Vastgesteld")=1),1,0))</f>
        <v>1</v>
      </c>
      <c r="V457" s="15">
        <f>IF(T457="",0,IF(AND(G457=T457,COUNTIFS($S$6:S457,S457,$G$6:G457,G457,$D$6:D457,"Vastgesteld")&gt;1),1,0))</f>
        <v>0</v>
      </c>
    </row>
    <row r="458">
      <c r="A458" s="92" t="inlineStr">
        <is>
          <t>HIST-2026-Q2</t>
        </is>
      </c>
      <c r="B458" s="92" t="inlineStr">
        <is>
          <t>RDFO_FICTIEVE_historie_en_mapping.xlsx</t>
        </is>
      </c>
      <c r="C458" s="108" t="n">
        <v>46324</v>
      </c>
      <c r="D458" s="92" t="inlineStr">
        <is>
          <t>Vastgesteld</t>
        </is>
      </c>
      <c r="E458" s="92" t="n">
        <v>2026</v>
      </c>
      <c r="F458" s="92" t="inlineStr">
        <is>
          <t>Q2</t>
        </is>
      </c>
      <c r="G458" s="92" t="n">
        <v>0</v>
      </c>
      <c r="H458" s="108" t="n">
        <v>46203</v>
      </c>
      <c r="I458" s="92" t="n">
        <v>2026</v>
      </c>
      <c r="J458" s="92" t="inlineStr">
        <is>
          <t>G.900014.8.9090</t>
        </is>
      </c>
      <c r="K458" s="92" t="inlineStr">
        <is>
          <t>G.900014</t>
        </is>
      </c>
      <c r="L458" s="92" t="inlineStr">
        <is>
          <t>Rietdam, Rietoevers</t>
        </is>
      </c>
      <c r="M458" s="92" t="inlineStr">
        <is>
          <t>Opstal</t>
        </is>
      </c>
      <c r="N458" s="92" t="inlineStr">
        <is>
          <t>J</t>
        </is>
      </c>
      <c r="O458" s="92" t="inlineStr">
        <is>
          <t>Omzet FY</t>
        </is>
      </c>
      <c r="P458" s="109" t="n">
        <v>9032688</v>
      </c>
      <c r="Q458" s="92" t="inlineStr">
        <is>
          <t>EUR</t>
        </is>
      </c>
      <c r="R458" s="92" t="inlineStr">
        <is>
          <t>Synthetische vastgelegde invoer; geen echte historie</t>
        </is>
      </c>
      <c r="S458" s="15" t="str">
        <f>IF(J458="","",J458&amp;"|"&amp;E458&amp;"|"&amp;F458&amp;"|"&amp;I458&amp;"|"&amp;O458)</f>
        <v>G.900014.8.9090|2026|Q2|2026|Omzet FY</v>
      </c>
      <c r="T458" s="15">
        <f>IF(OR(S458="",D458&lt;&gt;"Vastgesteld"),"",_xlfn.MAXIFS($G$6:$G$5005,$S$6:$S$5005,S458,$D$6:$D$5005,"Vastgesteld"))</f>
        <v>0</v>
      </c>
      <c r="U458" s="15">
        <f>IF(T458="",0,IF(AND(G458=T458,COUNTIFS($S$6:S458,S458,$G$6:G458,G458,$D$6:D458,"Vastgesteld")=1),1,0))</f>
        <v>1</v>
      </c>
      <c r="V458" s="15">
        <f>IF(T458="",0,IF(AND(G458=T458,COUNTIFS($S$6:S458,S458,$G$6:G458,G458,$D$6:D458,"Vastgesteld")&gt;1),1,0))</f>
        <v>0</v>
      </c>
    </row>
    <row r="459">
      <c r="A459" s="92" t="inlineStr">
        <is>
          <t>HIST-2026-Q2</t>
        </is>
      </c>
      <c r="B459" s="92" t="inlineStr">
        <is>
          <t>RDFO_FICTIEVE_historie_en_mapping.xlsx</t>
        </is>
      </c>
      <c r="C459" s="108" t="n">
        <v>46324</v>
      </c>
      <c r="D459" s="92" t="inlineStr">
        <is>
          <t>Vastgesteld</t>
        </is>
      </c>
      <c r="E459" s="92" t="n">
        <v>2026</v>
      </c>
      <c r="F459" s="92" t="inlineStr">
        <is>
          <t>Q2</t>
        </is>
      </c>
      <c r="G459" s="92" t="n">
        <v>0</v>
      </c>
      <c r="H459" s="108" t="n">
        <v>46203</v>
      </c>
      <c r="I459" s="92" t="n">
        <v>2026</v>
      </c>
      <c r="J459" s="92" t="inlineStr">
        <is>
          <t>G.900014.8.9090</t>
        </is>
      </c>
      <c r="K459" s="92" t="inlineStr">
        <is>
          <t>G.900014</t>
        </is>
      </c>
      <c r="L459" s="92" t="inlineStr">
        <is>
          <t>Rietdam, Rietoevers</t>
        </is>
      </c>
      <c r="M459" s="92" t="inlineStr">
        <is>
          <t>Opstal</t>
        </is>
      </c>
      <c r="N459" s="92" t="inlineStr">
        <is>
          <t>J</t>
        </is>
      </c>
      <c r="O459" s="92" t="inlineStr">
        <is>
          <t>BOR FY</t>
        </is>
      </c>
      <c r="P459" s="109" t="n">
        <v>993595.6800000001</v>
      </c>
      <c r="Q459" s="92" t="inlineStr">
        <is>
          <t>EUR</t>
        </is>
      </c>
      <c r="R459" s="92" t="inlineStr">
        <is>
          <t>Synthetische vastgelegde invoer; geen echte historie</t>
        </is>
      </c>
      <c r="S459" s="15" t="str">
        <f>IF(J459="","",J459&amp;"|"&amp;E459&amp;"|"&amp;F459&amp;"|"&amp;I459&amp;"|"&amp;O459)</f>
        <v>G.900014.8.9090|2026|Q2|2026|BOR FY</v>
      </c>
      <c r="T459" s="15">
        <f>IF(OR(S459="",D459&lt;&gt;"Vastgesteld"),"",_xlfn.MAXIFS($G$6:$G$5005,$S$6:$S$5005,S459,$D$6:$D$5005,"Vastgesteld"))</f>
        <v>0</v>
      </c>
      <c r="U459" s="15">
        <f>IF(T459="",0,IF(AND(G459=T459,COUNTIFS($S$6:S459,S459,$G$6:G459,G459,$D$6:D459,"Vastgesteld")=1),1,0))</f>
        <v>1</v>
      </c>
      <c r="V459" s="15">
        <f>IF(T459="",0,IF(AND(G459=T459,COUNTIFS($S$6:S459,S459,$G$6:G459,G459,$D$6:D459,"Vastgesteld")&gt;1),1,0))</f>
        <v>0</v>
      </c>
    </row>
    <row r="460">
      <c r="A460" s="92" t="inlineStr">
        <is>
          <t>HIST-2026-Q2</t>
        </is>
      </c>
      <c r="B460" s="92" t="inlineStr">
        <is>
          <t>RDFO_FICTIEVE_historie_en_mapping.xlsx</t>
        </is>
      </c>
      <c r="C460" s="108" t="n">
        <v>46324</v>
      </c>
      <c r="D460" s="92" t="inlineStr">
        <is>
          <t>Vastgesteld</t>
        </is>
      </c>
      <c r="E460" s="92" t="n">
        <v>2026</v>
      </c>
      <c r="F460" s="92" t="inlineStr">
        <is>
          <t>Q2</t>
        </is>
      </c>
      <c r="G460" s="92" t="n">
        <v>0</v>
      </c>
      <c r="H460" s="108" t="n">
        <v>46203</v>
      </c>
      <c r="I460" s="92" t="n">
        <v>2027</v>
      </c>
      <c r="J460" s="92" t="inlineStr">
        <is>
          <t>G.900014.8.9090</t>
        </is>
      </c>
      <c r="K460" s="92" t="inlineStr">
        <is>
          <t>G.900014</t>
        </is>
      </c>
      <c r="L460" s="92" t="inlineStr">
        <is>
          <t>Rietdam, Rietoevers</t>
        </is>
      </c>
      <c r="M460" s="92" t="inlineStr">
        <is>
          <t>Opstal</t>
        </is>
      </c>
      <c r="N460" s="92" t="inlineStr">
        <is>
          <t>J</t>
        </is>
      </c>
      <c r="O460" s="92" t="inlineStr">
        <is>
          <t>Omzet FY</t>
        </is>
      </c>
      <c r="P460" s="109" t="n">
        <v>8107912.8</v>
      </c>
      <c r="Q460" s="92" t="inlineStr">
        <is>
          <t>EUR</t>
        </is>
      </c>
      <c r="R460" s="92" t="inlineStr">
        <is>
          <t>Synthetische vastgelegde invoer; geen echte historie</t>
        </is>
      </c>
      <c r="S460" s="15" t="str">
        <f>IF(J460="","",J460&amp;"|"&amp;E460&amp;"|"&amp;F460&amp;"|"&amp;I460&amp;"|"&amp;O460)</f>
        <v>G.900014.8.9090|2026|Q2|2027|Omzet FY</v>
      </c>
      <c r="T460" s="15">
        <f>IF(OR(S460="",D460&lt;&gt;"Vastgesteld"),"",_xlfn.MAXIFS($G$6:$G$5005,$S$6:$S$5005,S460,$D$6:$D$5005,"Vastgesteld"))</f>
        <v>0</v>
      </c>
      <c r="U460" s="15">
        <f>IF(T460="",0,IF(AND(G460=T460,COUNTIFS($S$6:S460,S460,$G$6:G460,G460,$D$6:D460,"Vastgesteld")=1),1,0))</f>
        <v>1</v>
      </c>
      <c r="V460" s="15">
        <f>IF(T460="",0,IF(AND(G460=T460,COUNTIFS($S$6:S460,S460,$G$6:G460,G460,$D$6:D460,"Vastgesteld")&gt;1),1,0))</f>
        <v>0</v>
      </c>
    </row>
    <row r="461">
      <c r="A461" s="92" t="inlineStr">
        <is>
          <t>HIST-2026-Q2</t>
        </is>
      </c>
      <c r="B461" s="92" t="inlineStr">
        <is>
          <t>RDFO_FICTIEVE_historie_en_mapping.xlsx</t>
        </is>
      </c>
      <c r="C461" s="108" t="n">
        <v>46324</v>
      </c>
      <c r="D461" s="92" t="inlineStr">
        <is>
          <t>Vastgesteld</t>
        </is>
      </c>
      <c r="E461" s="92" t="n">
        <v>2026</v>
      </c>
      <c r="F461" s="92" t="inlineStr">
        <is>
          <t>Q2</t>
        </is>
      </c>
      <c r="G461" s="92" t="n">
        <v>0</v>
      </c>
      <c r="H461" s="108" t="n">
        <v>46203</v>
      </c>
      <c r="I461" s="92" t="n">
        <v>2027</v>
      </c>
      <c r="J461" s="92" t="inlineStr">
        <is>
          <t>G.900014.8.9090</t>
        </is>
      </c>
      <c r="K461" s="92" t="inlineStr">
        <is>
          <t>G.900014</t>
        </is>
      </c>
      <c r="L461" s="92" t="inlineStr">
        <is>
          <t>Rietdam, Rietoevers</t>
        </is>
      </c>
      <c r="M461" s="92" t="inlineStr">
        <is>
          <t>Opstal</t>
        </is>
      </c>
      <c r="N461" s="92" t="inlineStr">
        <is>
          <t>J</t>
        </is>
      </c>
      <c r="O461" s="92" t="inlineStr">
        <is>
          <t>BOR FY</t>
        </is>
      </c>
      <c r="P461" s="109" t="n">
        <v>891870.41</v>
      </c>
      <c r="Q461" s="92" t="inlineStr">
        <is>
          <t>EUR</t>
        </is>
      </c>
      <c r="R461" s="92" t="inlineStr">
        <is>
          <t>Synthetische vastgelegde invoer; geen echte historie</t>
        </is>
      </c>
      <c r="S461" s="15" t="str">
        <f>IF(J461="","",J461&amp;"|"&amp;E461&amp;"|"&amp;F461&amp;"|"&amp;I461&amp;"|"&amp;O461)</f>
        <v>G.900014.8.9090|2026|Q2|2027|BOR FY</v>
      </c>
      <c r="T461" s="15">
        <f>IF(OR(S461="",D461&lt;&gt;"Vastgesteld"),"",_xlfn.MAXIFS($G$6:$G$5005,$S$6:$S$5005,S461,$D$6:$D$5005,"Vastgesteld"))</f>
        <v>0</v>
      </c>
      <c r="U461" s="15">
        <f>IF(T461="",0,IF(AND(G461=T461,COUNTIFS($S$6:S461,S461,$G$6:G461,G461,$D$6:D461,"Vastgesteld")=1),1,0))</f>
        <v>1</v>
      </c>
      <c r="V461" s="15">
        <f>IF(T461="",0,IF(AND(G461=T461,COUNTIFS($S$6:S461,S461,$G$6:G461,G461,$D$6:D461,"Vastgesteld")&gt;1),1,0))</f>
        <v>0</v>
      </c>
    </row>
    <row r="462">
      <c r="A462" s="92" t="inlineStr">
        <is>
          <t>HIST-2026-Q2</t>
        </is>
      </c>
      <c r="B462" s="92" t="inlineStr">
        <is>
          <t>RDFO_FICTIEVE_historie_en_mapping.xlsx</t>
        </is>
      </c>
      <c r="C462" s="108" t="n">
        <v>46324</v>
      </c>
      <c r="D462" s="92" t="inlineStr">
        <is>
          <t>Vastgesteld</t>
        </is>
      </c>
      <c r="E462" s="92" t="n">
        <v>2026</v>
      </c>
      <c r="F462" s="92" t="inlineStr">
        <is>
          <t>Q2</t>
        </is>
      </c>
      <c r="G462" s="92" t="n">
        <v>0</v>
      </c>
      <c r="H462" s="108" t="n">
        <v>46203</v>
      </c>
      <c r="I462" s="92" t="n">
        <v>2026</v>
      </c>
      <c r="J462" s="92" t="inlineStr">
        <is>
          <t>G.900015.8.9090</t>
        </is>
      </c>
      <c r="K462" s="92" t="inlineStr">
        <is>
          <t>G.900015</t>
        </is>
      </c>
      <c r="L462" s="92" t="inlineStr">
        <is>
          <t>Lindehaven, Parkzoom fase 2</t>
        </is>
      </c>
      <c r="M462" s="92" t="inlineStr">
        <is>
          <t>Opstal</t>
        </is>
      </c>
      <c r="N462" s="92" t="inlineStr">
        <is>
          <t>J</t>
        </is>
      </c>
      <c r="O462" s="92" t="inlineStr">
        <is>
          <t>Omzet FY</t>
        </is>
      </c>
      <c r="P462" s="109" t="n">
        <v>3201000</v>
      </c>
      <c r="Q462" s="92" t="inlineStr">
        <is>
          <t>EUR</t>
        </is>
      </c>
      <c r="R462" s="92" t="inlineStr">
        <is>
          <t>Synthetische vastgelegde invoer; geen echte historie</t>
        </is>
      </c>
      <c r="S462" s="15" t="str">
        <f>IF(J462="","",J462&amp;"|"&amp;E462&amp;"|"&amp;F462&amp;"|"&amp;I462&amp;"|"&amp;O462)</f>
        <v>G.900015.8.9090|2026|Q2|2026|Omzet FY</v>
      </c>
      <c r="T462" s="15">
        <f>IF(OR(S462="",D462&lt;&gt;"Vastgesteld"),"",_xlfn.MAXIFS($G$6:$G$5005,$S$6:$S$5005,S462,$D$6:$D$5005,"Vastgesteld"))</f>
        <v>0</v>
      </c>
      <c r="U462" s="15">
        <f>IF(T462="",0,IF(AND(G462=T462,COUNTIFS($S$6:S462,S462,$G$6:G462,G462,$D$6:D462,"Vastgesteld")=1),1,0))</f>
        <v>1</v>
      </c>
      <c r="V462" s="15">
        <f>IF(T462="",0,IF(AND(G462=T462,COUNTIFS($S$6:S462,S462,$G$6:G462,G462,$D$6:D462,"Vastgesteld")&gt;1),1,0))</f>
        <v>0</v>
      </c>
    </row>
    <row r="463">
      <c r="A463" s="92" t="inlineStr">
        <is>
          <t>HIST-2026-Q2</t>
        </is>
      </c>
      <c r="B463" s="92" t="inlineStr">
        <is>
          <t>RDFO_FICTIEVE_historie_en_mapping.xlsx</t>
        </is>
      </c>
      <c r="C463" s="108" t="n">
        <v>46324</v>
      </c>
      <c r="D463" s="92" t="inlineStr">
        <is>
          <t>Vastgesteld</t>
        </is>
      </c>
      <c r="E463" s="92" t="n">
        <v>2026</v>
      </c>
      <c r="F463" s="92" t="inlineStr">
        <is>
          <t>Q2</t>
        </is>
      </c>
      <c r="G463" s="92" t="n">
        <v>0</v>
      </c>
      <c r="H463" s="108" t="n">
        <v>46203</v>
      </c>
      <c r="I463" s="92" t="n">
        <v>2026</v>
      </c>
      <c r="J463" s="92" t="inlineStr">
        <is>
          <t>G.900015.8.9090</t>
        </is>
      </c>
      <c r="K463" s="92" t="inlineStr">
        <is>
          <t>G.900015</t>
        </is>
      </c>
      <c r="L463" s="92" t="inlineStr">
        <is>
          <t>Lindehaven, Parkzoom fase 2</t>
        </is>
      </c>
      <c r="M463" s="92" t="inlineStr">
        <is>
          <t>Opstal</t>
        </is>
      </c>
      <c r="N463" s="92" t="inlineStr">
        <is>
          <t>J</t>
        </is>
      </c>
      <c r="O463" s="92" t="inlineStr">
        <is>
          <t>BOR FY</t>
        </is>
      </c>
      <c r="P463" s="109" t="n">
        <v>208065</v>
      </c>
      <c r="Q463" s="92" t="inlineStr">
        <is>
          <t>EUR</t>
        </is>
      </c>
      <c r="R463" s="92" t="inlineStr">
        <is>
          <t>Synthetische vastgelegde invoer; geen echte historie</t>
        </is>
      </c>
      <c r="S463" s="15" t="str">
        <f>IF(J463="","",J463&amp;"|"&amp;E463&amp;"|"&amp;F463&amp;"|"&amp;I463&amp;"|"&amp;O463)</f>
        <v>G.900015.8.9090|2026|Q2|2026|BOR FY</v>
      </c>
      <c r="T463" s="15">
        <f>IF(OR(S463="",D463&lt;&gt;"Vastgesteld"),"",_xlfn.MAXIFS($G$6:$G$5005,$S$6:$S$5005,S463,$D$6:$D$5005,"Vastgesteld"))</f>
        <v>0</v>
      </c>
      <c r="U463" s="15">
        <f>IF(T463="",0,IF(AND(G463=T463,COUNTIFS($S$6:S463,S463,$G$6:G463,G463,$D$6:D463,"Vastgesteld")=1),1,0))</f>
        <v>1</v>
      </c>
      <c r="V463" s="15">
        <f>IF(T463="",0,IF(AND(G463=T463,COUNTIFS($S$6:S463,S463,$G$6:G463,G463,$D$6:D463,"Vastgesteld")&gt;1),1,0))</f>
        <v>0</v>
      </c>
    </row>
    <row r="464">
      <c r="A464" s="92" t="inlineStr">
        <is>
          <t>HIST-2026-Q2</t>
        </is>
      </c>
      <c r="B464" s="92" t="inlineStr">
        <is>
          <t>RDFO_FICTIEVE_historie_en_mapping.xlsx</t>
        </is>
      </c>
      <c r="C464" s="108" t="n">
        <v>46324</v>
      </c>
      <c r="D464" s="92" t="inlineStr">
        <is>
          <t>Vastgesteld</t>
        </is>
      </c>
      <c r="E464" s="92" t="n">
        <v>2026</v>
      </c>
      <c r="F464" s="92" t="inlineStr">
        <is>
          <t>Q2</t>
        </is>
      </c>
      <c r="G464" s="92" t="n">
        <v>0</v>
      </c>
      <c r="H464" s="108" t="n">
        <v>46203</v>
      </c>
      <c r="I464" s="92" t="n">
        <v>2027</v>
      </c>
      <c r="J464" s="92" t="inlineStr">
        <is>
          <t>G.900015.8.9090</t>
        </is>
      </c>
      <c r="K464" s="92" t="inlineStr">
        <is>
          <t>G.900015</t>
        </is>
      </c>
      <c r="L464" s="92" t="inlineStr">
        <is>
          <t>Lindehaven, Parkzoom fase 2</t>
        </is>
      </c>
      <c r="M464" s="92" t="inlineStr">
        <is>
          <t>Opstal</t>
        </is>
      </c>
      <c r="N464" s="92" t="inlineStr">
        <is>
          <t>J</t>
        </is>
      </c>
      <c r="O464" s="92" t="inlineStr">
        <is>
          <t>Omzet FY</t>
        </is>
      </c>
      <c r="P464" s="109" t="n">
        <v>18725850</v>
      </c>
      <c r="Q464" s="92" t="inlineStr">
        <is>
          <t>EUR</t>
        </is>
      </c>
      <c r="R464" s="92" t="inlineStr">
        <is>
          <t>Synthetische vastgelegde invoer; geen echte historie</t>
        </is>
      </c>
      <c r="S464" s="15" t="str">
        <f>IF(J464="","",J464&amp;"|"&amp;E464&amp;"|"&amp;F464&amp;"|"&amp;I464&amp;"|"&amp;O464)</f>
        <v>G.900015.8.9090|2026|Q2|2027|Omzet FY</v>
      </c>
      <c r="T464" s="15">
        <f>IF(OR(S464="",D464&lt;&gt;"Vastgesteld"),"",_xlfn.MAXIFS($G$6:$G$5005,$S$6:$S$5005,S464,$D$6:$D$5005,"Vastgesteld"))</f>
        <v>0</v>
      </c>
      <c r="U464" s="15">
        <f>IF(T464="",0,IF(AND(G464=T464,COUNTIFS($S$6:S464,S464,$G$6:G464,G464,$D$6:D464,"Vastgesteld")=1),1,0))</f>
        <v>1</v>
      </c>
      <c r="V464" s="15">
        <f>IF(T464="",0,IF(AND(G464=T464,COUNTIFS($S$6:S464,S464,$G$6:G464,G464,$D$6:D464,"Vastgesteld")&gt;1),1,0))</f>
        <v>0</v>
      </c>
    </row>
    <row r="465">
      <c r="A465" s="92" t="inlineStr">
        <is>
          <t>HIST-2026-Q2</t>
        </is>
      </c>
      <c r="B465" s="92" t="inlineStr">
        <is>
          <t>RDFO_FICTIEVE_historie_en_mapping.xlsx</t>
        </is>
      </c>
      <c r="C465" s="108" t="n">
        <v>46324</v>
      </c>
      <c r="D465" s="92" t="inlineStr">
        <is>
          <t>Vastgesteld</t>
        </is>
      </c>
      <c r="E465" s="92" t="n">
        <v>2026</v>
      </c>
      <c r="F465" s="92" t="inlineStr">
        <is>
          <t>Q2</t>
        </is>
      </c>
      <c r="G465" s="92" t="n">
        <v>0</v>
      </c>
      <c r="H465" s="108" t="n">
        <v>46203</v>
      </c>
      <c r="I465" s="92" t="n">
        <v>2027</v>
      </c>
      <c r="J465" s="92" t="inlineStr">
        <is>
          <t>G.900015.8.9090</t>
        </is>
      </c>
      <c r="K465" s="92" t="inlineStr">
        <is>
          <t>G.900015</t>
        </is>
      </c>
      <c r="L465" s="92" t="inlineStr">
        <is>
          <t>Lindehaven, Parkzoom fase 2</t>
        </is>
      </c>
      <c r="M465" s="92" t="inlineStr">
        <is>
          <t>Opstal</t>
        </is>
      </c>
      <c r="N465" s="92" t="inlineStr">
        <is>
          <t>J</t>
        </is>
      </c>
      <c r="O465" s="92" t="inlineStr">
        <is>
          <t>BOR FY</t>
        </is>
      </c>
      <c r="P465" s="109" t="n">
        <v>1217180.25</v>
      </c>
      <c r="Q465" s="92" t="inlineStr">
        <is>
          <t>EUR</t>
        </is>
      </c>
      <c r="R465" s="92" t="inlineStr">
        <is>
          <t>Synthetische vastgelegde invoer; geen echte historie</t>
        </is>
      </c>
      <c r="S465" s="15" t="str">
        <f>IF(J465="","",J465&amp;"|"&amp;E465&amp;"|"&amp;F465&amp;"|"&amp;I465&amp;"|"&amp;O465)</f>
        <v>G.900015.8.9090|2026|Q2|2027|BOR FY</v>
      </c>
      <c r="T465" s="15">
        <f>IF(OR(S465="",D465&lt;&gt;"Vastgesteld"),"",_xlfn.MAXIFS($G$6:$G$5005,$S$6:$S$5005,S465,$D$6:$D$5005,"Vastgesteld"))</f>
        <v>0</v>
      </c>
      <c r="U465" s="15">
        <f>IF(T465="",0,IF(AND(G465=T465,COUNTIFS($S$6:S465,S465,$G$6:G465,G465,$D$6:D465,"Vastgesteld")=1),1,0))</f>
        <v>1</v>
      </c>
      <c r="V465" s="15">
        <f>IF(T465="",0,IF(AND(G465=T465,COUNTIFS($S$6:S465,S465,$G$6:G465,G465,$D$6:D465,"Vastgesteld")&gt;1),1,0))</f>
        <v>0</v>
      </c>
    </row>
    <row r="466">
      <c r="A466" s="92" t="inlineStr">
        <is>
          <t>HIST-2026-Q2</t>
        </is>
      </c>
      <c r="B466" s="92" t="inlineStr">
        <is>
          <t>RDFO_FICTIEVE_historie_en_mapping.xlsx</t>
        </is>
      </c>
      <c r="C466" s="108" t="n">
        <v>46324</v>
      </c>
      <c r="D466" s="92" t="inlineStr">
        <is>
          <t>Vastgesteld</t>
        </is>
      </c>
      <c r="E466" s="92" t="n">
        <v>2026</v>
      </c>
      <c r="F466" s="92" t="inlineStr">
        <is>
          <t>Q2</t>
        </is>
      </c>
      <c r="G466" s="92" t="n">
        <v>0</v>
      </c>
      <c r="H466" s="108" t="n">
        <v>46203</v>
      </c>
      <c r="I466" s="92" t="n">
        <v>2026</v>
      </c>
      <c r="J466" s="92" t="inlineStr">
        <is>
          <t>G.900016.8.9090</t>
        </is>
      </c>
      <c r="K466" s="92" t="inlineStr">
        <is>
          <t>G.900016</t>
        </is>
      </c>
      <c r="L466" s="92" t="inlineStr">
        <is>
          <t>Duinwaard, De Lantaarn</t>
        </is>
      </c>
      <c r="M466" s="92" t="inlineStr">
        <is>
          <t>Opstal</t>
        </is>
      </c>
      <c r="N466" s="92" t="inlineStr">
        <is>
          <t>J</t>
        </is>
      </c>
      <c r="O466" s="92" t="inlineStr">
        <is>
          <t>Omzet FY</t>
        </is>
      </c>
      <c r="P466" s="109" t="n">
        <v>5009920</v>
      </c>
      <c r="Q466" s="92" t="inlineStr">
        <is>
          <t>EUR</t>
        </is>
      </c>
      <c r="R466" s="92" t="inlineStr">
        <is>
          <t>Synthetische vastgelegde invoer; geen echte historie</t>
        </is>
      </c>
      <c r="S466" s="15" t="str">
        <f>IF(J466="","",J466&amp;"|"&amp;E466&amp;"|"&amp;F466&amp;"|"&amp;I466&amp;"|"&amp;O466)</f>
        <v>G.900016.8.9090|2026|Q2|2026|Omzet FY</v>
      </c>
      <c r="T466" s="15">
        <f>IF(OR(S466="",D466&lt;&gt;"Vastgesteld"),"",_xlfn.MAXIFS($G$6:$G$5005,$S$6:$S$5005,S466,$D$6:$D$5005,"Vastgesteld"))</f>
        <v>0</v>
      </c>
      <c r="U466" s="15">
        <f>IF(T466="",0,IF(AND(G466=T466,COUNTIFS($S$6:S466,S466,$G$6:G466,G466,$D$6:D466,"Vastgesteld")=1),1,0))</f>
        <v>1</v>
      </c>
      <c r="V466" s="15">
        <f>IF(T466="",0,IF(AND(G466=T466,COUNTIFS($S$6:S466,S466,$G$6:G466,G466,$D$6:D466,"Vastgesteld")&gt;1),1,0))</f>
        <v>0</v>
      </c>
    </row>
    <row r="467">
      <c r="A467" s="92" t="inlineStr">
        <is>
          <t>HIST-2026-Q2</t>
        </is>
      </c>
      <c r="B467" s="92" t="inlineStr">
        <is>
          <t>RDFO_FICTIEVE_historie_en_mapping.xlsx</t>
        </is>
      </c>
      <c r="C467" s="108" t="n">
        <v>46324</v>
      </c>
      <c r="D467" s="92" t="inlineStr">
        <is>
          <t>Vastgesteld</t>
        </is>
      </c>
      <c r="E467" s="92" t="n">
        <v>2026</v>
      </c>
      <c r="F467" s="92" t="inlineStr">
        <is>
          <t>Q2</t>
        </is>
      </c>
      <c r="G467" s="92" t="n">
        <v>0</v>
      </c>
      <c r="H467" s="108" t="n">
        <v>46203</v>
      </c>
      <c r="I467" s="92" t="n">
        <v>2026</v>
      </c>
      <c r="J467" s="92" t="inlineStr">
        <is>
          <t>G.900016.8.9090</t>
        </is>
      </c>
      <c r="K467" s="92" t="inlineStr">
        <is>
          <t>G.900016</t>
        </is>
      </c>
      <c r="L467" s="92" t="inlineStr">
        <is>
          <t>Duinwaard, De Lantaarn</t>
        </is>
      </c>
      <c r="M467" s="92" t="inlineStr">
        <is>
          <t>Opstal</t>
        </is>
      </c>
      <c r="N467" s="92" t="inlineStr">
        <is>
          <t>J</t>
        </is>
      </c>
      <c r="O467" s="92" t="inlineStr">
        <is>
          <t>BOR FY</t>
        </is>
      </c>
      <c r="P467" s="109" t="n">
        <v>701388.8</v>
      </c>
      <c r="Q467" s="92" t="inlineStr">
        <is>
          <t>EUR</t>
        </is>
      </c>
      <c r="R467" s="92" t="inlineStr">
        <is>
          <t>Synthetische vastgelegde invoer; geen echte historie</t>
        </is>
      </c>
      <c r="S467" s="15" t="str">
        <f>IF(J467="","",J467&amp;"|"&amp;E467&amp;"|"&amp;F467&amp;"|"&amp;I467&amp;"|"&amp;O467)</f>
        <v>G.900016.8.9090|2026|Q2|2026|BOR FY</v>
      </c>
      <c r="T467" s="15">
        <f>IF(OR(S467="",D467&lt;&gt;"Vastgesteld"),"",_xlfn.MAXIFS($G$6:$G$5005,$S$6:$S$5005,S467,$D$6:$D$5005,"Vastgesteld"))</f>
        <v>0</v>
      </c>
      <c r="U467" s="15">
        <f>IF(T467="",0,IF(AND(G467=T467,COUNTIFS($S$6:S467,S467,$G$6:G467,G467,$D$6:D467,"Vastgesteld")=1),1,0))</f>
        <v>1</v>
      </c>
      <c r="V467" s="15">
        <f>IF(T467="",0,IF(AND(G467=T467,COUNTIFS($S$6:S467,S467,$G$6:G467,G467,$D$6:D467,"Vastgesteld")&gt;1),1,0))</f>
        <v>0</v>
      </c>
    </row>
    <row r="468">
      <c r="A468" s="92" t="inlineStr">
        <is>
          <t>HIST-2026-Q2</t>
        </is>
      </c>
      <c r="B468" s="92" t="inlineStr">
        <is>
          <t>RDFO_FICTIEVE_historie_en_mapping.xlsx</t>
        </is>
      </c>
      <c r="C468" s="108" t="n">
        <v>46324</v>
      </c>
      <c r="D468" s="92" t="inlineStr">
        <is>
          <t>Vastgesteld</t>
        </is>
      </c>
      <c r="E468" s="92" t="n">
        <v>2026</v>
      </c>
      <c r="F468" s="92" t="inlineStr">
        <is>
          <t>Q2</t>
        </is>
      </c>
      <c r="G468" s="92" t="n">
        <v>0</v>
      </c>
      <c r="H468" s="108" t="n">
        <v>46203</v>
      </c>
      <c r="I468" s="92" t="n">
        <v>2027</v>
      </c>
      <c r="J468" s="92" t="inlineStr">
        <is>
          <t>G.900016.8.9090</t>
        </is>
      </c>
      <c r="K468" s="92" t="inlineStr">
        <is>
          <t>G.900016</t>
        </is>
      </c>
      <c r="L468" s="92" t="inlineStr">
        <is>
          <t>Duinwaard, De Lantaarn</t>
        </is>
      </c>
      <c r="M468" s="92" t="inlineStr">
        <is>
          <t>Opstal</t>
        </is>
      </c>
      <c r="N468" s="92" t="inlineStr">
        <is>
          <t>J</t>
        </is>
      </c>
      <c r="O468" s="92" t="inlineStr">
        <is>
          <t>Omzet FY</t>
        </is>
      </c>
      <c r="P468" s="109" t="n">
        <v>5313152</v>
      </c>
      <c r="Q468" s="92" t="inlineStr">
        <is>
          <t>EUR</t>
        </is>
      </c>
      <c r="R468" s="92" t="inlineStr">
        <is>
          <t>Synthetische vastgelegde invoer; geen echte historie</t>
        </is>
      </c>
      <c r="S468" s="15" t="str">
        <f>IF(J468="","",J468&amp;"|"&amp;E468&amp;"|"&amp;F468&amp;"|"&amp;I468&amp;"|"&amp;O468)</f>
        <v>G.900016.8.9090|2026|Q2|2027|Omzet FY</v>
      </c>
      <c r="T468" s="15">
        <f>IF(OR(S468="",D468&lt;&gt;"Vastgesteld"),"",_xlfn.MAXIFS($G$6:$G$5005,$S$6:$S$5005,S468,$D$6:$D$5005,"Vastgesteld"))</f>
        <v>0</v>
      </c>
      <c r="U468" s="15">
        <f>IF(T468="",0,IF(AND(G468=T468,COUNTIFS($S$6:S468,S468,$G$6:G468,G468,$D$6:D468,"Vastgesteld")=1),1,0))</f>
        <v>1</v>
      </c>
      <c r="V468" s="15">
        <f>IF(T468="",0,IF(AND(G468=T468,COUNTIFS($S$6:S468,S468,$G$6:G468,G468,$D$6:D468,"Vastgesteld")&gt;1),1,0))</f>
        <v>0</v>
      </c>
    </row>
    <row r="469">
      <c r="A469" s="92" t="inlineStr">
        <is>
          <t>HIST-2026-Q2</t>
        </is>
      </c>
      <c r="B469" s="92" t="inlineStr">
        <is>
          <t>RDFO_FICTIEVE_historie_en_mapping.xlsx</t>
        </is>
      </c>
      <c r="C469" s="108" t="n">
        <v>46324</v>
      </c>
      <c r="D469" s="92" t="inlineStr">
        <is>
          <t>Vastgesteld</t>
        </is>
      </c>
      <c r="E469" s="92" t="n">
        <v>2026</v>
      </c>
      <c r="F469" s="92" t="inlineStr">
        <is>
          <t>Q2</t>
        </is>
      </c>
      <c r="G469" s="92" t="n">
        <v>0</v>
      </c>
      <c r="H469" s="108" t="n">
        <v>46203</v>
      </c>
      <c r="I469" s="92" t="n">
        <v>2027</v>
      </c>
      <c r="J469" s="92" t="inlineStr">
        <is>
          <t>G.900016.8.9090</t>
        </is>
      </c>
      <c r="K469" s="92" t="inlineStr">
        <is>
          <t>G.900016</t>
        </is>
      </c>
      <c r="L469" s="92" t="inlineStr">
        <is>
          <t>Duinwaard, De Lantaarn</t>
        </is>
      </c>
      <c r="M469" s="92" t="inlineStr">
        <is>
          <t>Opstal</t>
        </is>
      </c>
      <c r="N469" s="92" t="inlineStr">
        <is>
          <t>J</t>
        </is>
      </c>
      <c r="O469" s="92" t="inlineStr">
        <is>
          <t>BOR FY</t>
        </is>
      </c>
      <c r="P469" s="109" t="n">
        <v>743841.28</v>
      </c>
      <c r="Q469" s="92" t="inlineStr">
        <is>
          <t>EUR</t>
        </is>
      </c>
      <c r="R469" s="92" t="inlineStr">
        <is>
          <t>Synthetische vastgelegde invoer; geen echte historie</t>
        </is>
      </c>
      <c r="S469" s="15" t="str">
        <f>IF(J469="","",J469&amp;"|"&amp;E469&amp;"|"&amp;F469&amp;"|"&amp;I469&amp;"|"&amp;O469)</f>
        <v>G.900016.8.9090|2026|Q2|2027|BOR FY</v>
      </c>
      <c r="T469" s="15">
        <f>IF(OR(S469="",D469&lt;&gt;"Vastgesteld"),"",_xlfn.MAXIFS($G$6:$G$5005,$S$6:$S$5005,S469,$D$6:$D$5005,"Vastgesteld"))</f>
        <v>0</v>
      </c>
      <c r="U469" s="15">
        <f>IF(T469="",0,IF(AND(G469=T469,COUNTIFS($S$6:S469,S469,$G$6:G469,G469,$D$6:D469,"Vastgesteld")=1),1,0))</f>
        <v>1</v>
      </c>
      <c r="V469" s="15">
        <f>IF(T469="",0,IF(AND(G469=T469,COUNTIFS($S$6:S469,S469,$G$6:G469,G469,$D$6:D469,"Vastgesteld")&gt;1),1,0))</f>
        <v>0</v>
      </c>
    </row>
    <row r="470">
      <c r="A470" s="92" t="inlineStr">
        <is>
          <t>HIST-2026-Q2</t>
        </is>
      </c>
      <c r="B470" s="92" t="inlineStr">
        <is>
          <t>RDFO_FICTIEVE_historie_en_mapping.xlsx</t>
        </is>
      </c>
      <c r="C470" s="108" t="n">
        <v>46324</v>
      </c>
      <c r="D470" s="92" t="inlineStr">
        <is>
          <t>Vastgesteld</t>
        </is>
      </c>
      <c r="E470" s="92" t="n">
        <v>2026</v>
      </c>
      <c r="F470" s="92" t="inlineStr">
        <is>
          <t>Q2</t>
        </is>
      </c>
      <c r="G470" s="92" t="n">
        <v>0</v>
      </c>
      <c r="H470" s="108" t="n">
        <v>46203</v>
      </c>
      <c r="I470" s="92" t="n">
        <v>2026</v>
      </c>
      <c r="J470" s="92" t="inlineStr">
        <is>
          <t>G.900017.8.9090</t>
        </is>
      </c>
      <c r="K470" s="92" t="inlineStr">
        <is>
          <t>G.900017</t>
        </is>
      </c>
      <c r="L470" s="92" t="inlineStr">
        <is>
          <t>Veldendam, Spoorpark</t>
        </is>
      </c>
      <c r="M470" s="92" t="inlineStr">
        <is>
          <t>Opstal</t>
        </is>
      </c>
      <c r="N470" s="92" t="inlineStr">
        <is>
          <t>J</t>
        </is>
      </c>
      <c r="O470" s="92" t="inlineStr">
        <is>
          <t>Omzet FY</t>
        </is>
      </c>
      <c r="P470" s="109" t="n">
        <v>11407200</v>
      </c>
      <c r="Q470" s="92" t="inlineStr">
        <is>
          <t>EUR</t>
        </is>
      </c>
      <c r="R470" s="92" t="inlineStr">
        <is>
          <t>Synthetische vastgelegde invoer; geen echte historie</t>
        </is>
      </c>
      <c r="S470" s="15" t="str">
        <f>IF(J470="","",J470&amp;"|"&amp;E470&amp;"|"&amp;F470&amp;"|"&amp;I470&amp;"|"&amp;O470)</f>
        <v>G.900017.8.9090|2026|Q2|2026|Omzet FY</v>
      </c>
      <c r="T470" s="15">
        <f>IF(OR(S470="",D470&lt;&gt;"Vastgesteld"),"",_xlfn.MAXIFS($G$6:$G$5005,$S$6:$S$5005,S470,$D$6:$D$5005,"Vastgesteld"))</f>
        <v>0</v>
      </c>
      <c r="U470" s="15">
        <f>IF(T470="",0,IF(AND(G470=T470,COUNTIFS($S$6:S470,S470,$G$6:G470,G470,$D$6:D470,"Vastgesteld")=1),1,0))</f>
        <v>1</v>
      </c>
      <c r="V470" s="15">
        <f>IF(T470="",0,IF(AND(G470=T470,COUNTIFS($S$6:S470,S470,$G$6:G470,G470,$D$6:D470,"Vastgesteld")&gt;1),1,0))</f>
        <v>0</v>
      </c>
    </row>
    <row r="471">
      <c r="A471" s="92" t="inlineStr">
        <is>
          <t>HIST-2026-Q2</t>
        </is>
      </c>
      <c r="B471" s="92" t="inlineStr">
        <is>
          <t>RDFO_FICTIEVE_historie_en_mapping.xlsx</t>
        </is>
      </c>
      <c r="C471" s="108" t="n">
        <v>46324</v>
      </c>
      <c r="D471" s="92" t="inlineStr">
        <is>
          <t>Vastgesteld</t>
        </is>
      </c>
      <c r="E471" s="92" t="n">
        <v>2026</v>
      </c>
      <c r="F471" s="92" t="inlineStr">
        <is>
          <t>Q2</t>
        </is>
      </c>
      <c r="G471" s="92" t="n">
        <v>0</v>
      </c>
      <c r="H471" s="108" t="n">
        <v>46203</v>
      </c>
      <c r="I471" s="92" t="n">
        <v>2026</v>
      </c>
      <c r="J471" s="92" t="inlineStr">
        <is>
          <t>G.900017.8.9090</t>
        </is>
      </c>
      <c r="K471" s="92" t="inlineStr">
        <is>
          <t>G.900017</t>
        </is>
      </c>
      <c r="L471" s="92" t="inlineStr">
        <is>
          <t>Veldendam, Spoorpark</t>
        </is>
      </c>
      <c r="M471" s="92" t="inlineStr">
        <is>
          <t>Opstal</t>
        </is>
      </c>
      <c r="N471" s="92" t="inlineStr">
        <is>
          <t>J</t>
        </is>
      </c>
      <c r="O471" s="92" t="inlineStr">
        <is>
          <t>BOR FY</t>
        </is>
      </c>
      <c r="P471" s="109" t="n">
        <v>1140720</v>
      </c>
      <c r="Q471" s="92" t="inlineStr">
        <is>
          <t>EUR</t>
        </is>
      </c>
      <c r="R471" s="92" t="inlineStr">
        <is>
          <t>Synthetische vastgelegde invoer; geen echte historie</t>
        </is>
      </c>
      <c r="S471" s="15" t="str">
        <f>IF(J471="","",J471&amp;"|"&amp;E471&amp;"|"&amp;F471&amp;"|"&amp;I471&amp;"|"&amp;O471)</f>
        <v>G.900017.8.9090|2026|Q2|2026|BOR FY</v>
      </c>
      <c r="T471" s="15">
        <f>IF(OR(S471="",D471&lt;&gt;"Vastgesteld"),"",_xlfn.MAXIFS($G$6:$G$5005,$S$6:$S$5005,S471,$D$6:$D$5005,"Vastgesteld"))</f>
        <v>0</v>
      </c>
      <c r="U471" s="15">
        <f>IF(T471="",0,IF(AND(G471=T471,COUNTIFS($S$6:S471,S471,$G$6:G471,G471,$D$6:D471,"Vastgesteld")=1),1,0))</f>
        <v>1</v>
      </c>
      <c r="V471" s="15">
        <f>IF(T471="",0,IF(AND(G471=T471,COUNTIFS($S$6:S471,S471,$G$6:G471,G471,$D$6:D471,"Vastgesteld")&gt;1),1,0))</f>
        <v>0</v>
      </c>
    </row>
    <row r="472">
      <c r="A472" s="92" t="inlineStr">
        <is>
          <t>HIST-2026-Q2</t>
        </is>
      </c>
      <c r="B472" s="92" t="inlineStr">
        <is>
          <t>RDFO_FICTIEVE_historie_en_mapping.xlsx</t>
        </is>
      </c>
      <c r="C472" s="108" t="n">
        <v>46324</v>
      </c>
      <c r="D472" s="92" t="inlineStr">
        <is>
          <t>Vastgesteld</t>
        </is>
      </c>
      <c r="E472" s="92" t="n">
        <v>2026</v>
      </c>
      <c r="F472" s="92" t="inlineStr">
        <is>
          <t>Q2</t>
        </is>
      </c>
      <c r="G472" s="92" t="n">
        <v>0</v>
      </c>
      <c r="H472" s="108" t="n">
        <v>46203</v>
      </c>
      <c r="I472" s="92" t="n">
        <v>2027</v>
      </c>
      <c r="J472" s="92" t="inlineStr">
        <is>
          <t>G.900017.8.9090</t>
        </is>
      </c>
      <c r="K472" s="92" t="inlineStr">
        <is>
          <t>G.900017</t>
        </is>
      </c>
      <c r="L472" s="92" t="inlineStr">
        <is>
          <t>Veldendam, Spoorpark</t>
        </is>
      </c>
      <c r="M472" s="92" t="inlineStr">
        <is>
          <t>Opstal</t>
        </is>
      </c>
      <c r="N472" s="92" t="inlineStr">
        <is>
          <t>J</t>
        </is>
      </c>
      <c r="O472" s="92" t="inlineStr">
        <is>
          <t>Omzet FY</t>
        </is>
      </c>
      <c r="P472" s="109" t="n">
        <v>22244040</v>
      </c>
      <c r="Q472" s="92" t="inlineStr">
        <is>
          <t>EUR</t>
        </is>
      </c>
      <c r="R472" s="92" t="inlineStr">
        <is>
          <t>Synthetische vastgelegde invoer; geen echte historie</t>
        </is>
      </c>
      <c r="S472" s="15" t="str">
        <f>IF(J472="","",J472&amp;"|"&amp;E472&amp;"|"&amp;F472&amp;"|"&amp;I472&amp;"|"&amp;O472)</f>
        <v>G.900017.8.9090|2026|Q2|2027|Omzet FY</v>
      </c>
      <c r="T472" s="15">
        <f>IF(OR(S472="",D472&lt;&gt;"Vastgesteld"),"",_xlfn.MAXIFS($G$6:$G$5005,$S$6:$S$5005,S472,$D$6:$D$5005,"Vastgesteld"))</f>
        <v>0</v>
      </c>
      <c r="U472" s="15">
        <f>IF(T472="",0,IF(AND(G472=T472,COUNTIFS($S$6:S472,S472,$G$6:G472,G472,$D$6:D472,"Vastgesteld")=1),1,0))</f>
        <v>1</v>
      </c>
      <c r="V472" s="15">
        <f>IF(T472="",0,IF(AND(G472=T472,COUNTIFS($S$6:S472,S472,$G$6:G472,G472,$D$6:D472,"Vastgesteld")&gt;1),1,0))</f>
        <v>0</v>
      </c>
    </row>
    <row r="473">
      <c r="A473" s="92" t="inlineStr">
        <is>
          <t>HIST-2026-Q2</t>
        </is>
      </c>
      <c r="B473" s="92" t="inlineStr">
        <is>
          <t>RDFO_FICTIEVE_historie_en_mapping.xlsx</t>
        </is>
      </c>
      <c r="C473" s="108" t="n">
        <v>46324</v>
      </c>
      <c r="D473" s="92" t="inlineStr">
        <is>
          <t>Vastgesteld</t>
        </is>
      </c>
      <c r="E473" s="92" t="n">
        <v>2026</v>
      </c>
      <c r="F473" s="92" t="inlineStr">
        <is>
          <t>Q2</t>
        </is>
      </c>
      <c r="G473" s="92" t="n">
        <v>0</v>
      </c>
      <c r="H473" s="108" t="n">
        <v>46203</v>
      </c>
      <c r="I473" s="92" t="n">
        <v>2027</v>
      </c>
      <c r="J473" s="92" t="inlineStr">
        <is>
          <t>G.900017.8.9090</t>
        </is>
      </c>
      <c r="K473" s="92" t="inlineStr">
        <is>
          <t>G.900017</t>
        </is>
      </c>
      <c r="L473" s="92" t="inlineStr">
        <is>
          <t>Veldendam, Spoorpark</t>
        </is>
      </c>
      <c r="M473" s="92" t="inlineStr">
        <is>
          <t>Opstal</t>
        </is>
      </c>
      <c r="N473" s="92" t="inlineStr">
        <is>
          <t>J</t>
        </is>
      </c>
      <c r="O473" s="92" t="inlineStr">
        <is>
          <t>BOR FY</t>
        </is>
      </c>
      <c r="P473" s="109" t="n">
        <v>2224404</v>
      </c>
      <c r="Q473" s="92" t="inlineStr">
        <is>
          <t>EUR</t>
        </is>
      </c>
      <c r="R473" s="92" t="inlineStr">
        <is>
          <t>Synthetische vastgelegde invoer; geen echte historie</t>
        </is>
      </c>
      <c r="S473" s="15" t="str">
        <f>IF(J473="","",J473&amp;"|"&amp;E473&amp;"|"&amp;F473&amp;"|"&amp;I473&amp;"|"&amp;O473)</f>
        <v>G.900017.8.9090|2026|Q2|2027|BOR FY</v>
      </c>
      <c r="T473" s="15">
        <f>IF(OR(S473="",D473&lt;&gt;"Vastgesteld"),"",_xlfn.MAXIFS($G$6:$G$5005,$S$6:$S$5005,S473,$D$6:$D$5005,"Vastgesteld"))</f>
        <v>0</v>
      </c>
      <c r="U473" s="15">
        <f>IF(T473="",0,IF(AND(G473=T473,COUNTIFS($S$6:S473,S473,$G$6:G473,G473,$D$6:D473,"Vastgesteld")=1),1,0))</f>
        <v>1</v>
      </c>
      <c r="V473" s="15">
        <f>IF(T473="",0,IF(AND(G473=T473,COUNTIFS($S$6:S473,S473,$G$6:G473,G473,$D$6:D473,"Vastgesteld")&gt;1),1,0))</f>
        <v>0</v>
      </c>
    </row>
    <row r="474">
      <c r="A474" s="92" t="inlineStr">
        <is>
          <t>HIST-2026-Q2</t>
        </is>
      </c>
      <c r="B474" s="92" t="inlineStr">
        <is>
          <t>RDFO_FICTIEVE_historie_en_mapping.xlsx</t>
        </is>
      </c>
      <c r="C474" s="108" t="n">
        <v>46324</v>
      </c>
      <c r="D474" s="92" t="inlineStr">
        <is>
          <t>Vastgesteld</t>
        </is>
      </c>
      <c r="E474" s="92" t="n">
        <v>2026</v>
      </c>
      <c r="F474" s="92" t="inlineStr">
        <is>
          <t>Q2</t>
        </is>
      </c>
      <c r="G474" s="92" t="n">
        <v>0</v>
      </c>
      <c r="H474" s="108" t="n">
        <v>46203</v>
      </c>
      <c r="I474" s="92" t="n">
        <v>2026</v>
      </c>
      <c r="J474" s="92" t="inlineStr">
        <is>
          <t>G.900018.8.9090</t>
        </is>
      </c>
      <c r="K474" s="92" t="inlineStr">
        <is>
          <t>G.900018</t>
        </is>
      </c>
      <c r="L474" s="92" t="inlineStr">
        <is>
          <t>Meerhovenstad, De Boog</t>
        </is>
      </c>
      <c r="M474" s="92" t="inlineStr">
        <is>
          <t>Deelneming</t>
        </is>
      </c>
      <c r="N474" s="92" t="inlineStr">
        <is>
          <t>N</t>
        </is>
      </c>
      <c r="O474" s="92" t="inlineStr">
        <is>
          <t>Omzet FY</t>
        </is>
      </c>
      <c r="P474" s="109" t="n">
        <v>1860180</v>
      </c>
      <c r="Q474" s="92" t="inlineStr">
        <is>
          <t>EUR</t>
        </is>
      </c>
      <c r="R474" s="92" t="inlineStr">
        <is>
          <t>Synthetische vastgelegde invoer; geen echte historie</t>
        </is>
      </c>
      <c r="S474" s="15" t="str">
        <f>IF(J474="","",J474&amp;"|"&amp;E474&amp;"|"&amp;F474&amp;"|"&amp;I474&amp;"|"&amp;O474)</f>
        <v>G.900018.8.9090|2026|Q2|2026|Omzet FY</v>
      </c>
      <c r="T474" s="15">
        <f>IF(OR(S474="",D474&lt;&gt;"Vastgesteld"),"",_xlfn.MAXIFS($G$6:$G$5005,$S$6:$S$5005,S474,$D$6:$D$5005,"Vastgesteld"))</f>
        <v>0</v>
      </c>
      <c r="U474" s="15">
        <f>IF(T474="",0,IF(AND(G474=T474,COUNTIFS($S$6:S474,S474,$G$6:G474,G474,$D$6:D474,"Vastgesteld")=1),1,0))</f>
        <v>1</v>
      </c>
      <c r="V474" s="15">
        <f>IF(T474="",0,IF(AND(G474=T474,COUNTIFS($S$6:S474,S474,$G$6:G474,G474,$D$6:D474,"Vastgesteld")&gt;1),1,0))</f>
        <v>0</v>
      </c>
    </row>
    <row r="475">
      <c r="A475" s="92" t="inlineStr">
        <is>
          <t>HIST-2026-Q2</t>
        </is>
      </c>
      <c r="B475" s="92" t="inlineStr">
        <is>
          <t>RDFO_FICTIEVE_historie_en_mapping.xlsx</t>
        </is>
      </c>
      <c r="C475" s="108" t="n">
        <v>46324</v>
      </c>
      <c r="D475" s="92" t="inlineStr">
        <is>
          <t>Vastgesteld</t>
        </is>
      </c>
      <c r="E475" s="92" t="n">
        <v>2026</v>
      </c>
      <c r="F475" s="92" t="inlineStr">
        <is>
          <t>Q2</t>
        </is>
      </c>
      <c r="G475" s="92" t="n">
        <v>0</v>
      </c>
      <c r="H475" s="108" t="n">
        <v>46203</v>
      </c>
      <c r="I475" s="92" t="n">
        <v>2026</v>
      </c>
      <c r="J475" s="92" t="inlineStr">
        <is>
          <t>G.900018.8.9090</t>
        </is>
      </c>
      <c r="K475" s="92" t="inlineStr">
        <is>
          <t>G.900018</t>
        </is>
      </c>
      <c r="L475" s="92" t="inlineStr">
        <is>
          <t>Meerhovenstad, De Boog</t>
        </is>
      </c>
      <c r="M475" s="92" t="inlineStr">
        <is>
          <t>Deelneming</t>
        </is>
      </c>
      <c r="N475" s="92" t="inlineStr">
        <is>
          <t>N</t>
        </is>
      </c>
      <c r="O475" s="92" t="inlineStr">
        <is>
          <t>BOR FY</t>
        </is>
      </c>
      <c r="P475" s="109" t="n">
        <v>-55805.4</v>
      </c>
      <c r="Q475" s="92" t="inlineStr">
        <is>
          <t>EUR</t>
        </is>
      </c>
      <c r="R475" s="92" t="inlineStr">
        <is>
          <t>Synthetische vastgelegde invoer; geen echte historie</t>
        </is>
      </c>
      <c r="S475" s="15" t="str">
        <f>IF(J475="","",J475&amp;"|"&amp;E475&amp;"|"&amp;F475&amp;"|"&amp;I475&amp;"|"&amp;O475)</f>
        <v>G.900018.8.9090|2026|Q2|2026|BOR FY</v>
      </c>
      <c r="T475" s="15">
        <f>IF(OR(S475="",D475&lt;&gt;"Vastgesteld"),"",_xlfn.MAXIFS($G$6:$G$5005,$S$6:$S$5005,S475,$D$6:$D$5005,"Vastgesteld"))</f>
        <v>0</v>
      </c>
      <c r="U475" s="15">
        <f>IF(T475="",0,IF(AND(G475=T475,COUNTIFS($S$6:S475,S475,$G$6:G475,G475,$D$6:D475,"Vastgesteld")=1),1,0))</f>
        <v>1</v>
      </c>
      <c r="V475" s="15">
        <f>IF(T475="",0,IF(AND(G475=T475,COUNTIFS($S$6:S475,S475,$G$6:G475,G475,$D$6:D475,"Vastgesteld")&gt;1),1,0))</f>
        <v>0</v>
      </c>
    </row>
    <row r="476">
      <c r="A476" s="92" t="inlineStr">
        <is>
          <t>HIST-2026-Q2</t>
        </is>
      </c>
      <c r="B476" s="92" t="inlineStr">
        <is>
          <t>RDFO_FICTIEVE_historie_en_mapping.xlsx</t>
        </is>
      </c>
      <c r="C476" s="108" t="n">
        <v>46324</v>
      </c>
      <c r="D476" s="92" t="inlineStr">
        <is>
          <t>Vastgesteld</t>
        </is>
      </c>
      <c r="E476" s="92" t="n">
        <v>2026</v>
      </c>
      <c r="F476" s="92" t="inlineStr">
        <is>
          <t>Q2</t>
        </is>
      </c>
      <c r="G476" s="92" t="n">
        <v>0</v>
      </c>
      <c r="H476" s="108" t="n">
        <v>46203</v>
      </c>
      <c r="I476" s="92" t="n">
        <v>2027</v>
      </c>
      <c r="J476" s="92" t="inlineStr">
        <is>
          <t>G.900018.8.9090</t>
        </is>
      </c>
      <c r="K476" s="92" t="inlineStr">
        <is>
          <t>G.900018</t>
        </is>
      </c>
      <c r="L476" s="92" t="inlineStr">
        <is>
          <t>Meerhovenstad, De Boog</t>
        </is>
      </c>
      <c r="M476" s="92" t="inlineStr">
        <is>
          <t>Deelneming</t>
        </is>
      </c>
      <c r="N476" s="92" t="inlineStr">
        <is>
          <t>N</t>
        </is>
      </c>
      <c r="O476" s="92" t="inlineStr">
        <is>
          <t>Omzet FY</t>
        </is>
      </c>
      <c r="P476" s="109" t="n">
        <v>6851663</v>
      </c>
      <c r="Q476" s="92" t="inlineStr">
        <is>
          <t>EUR</t>
        </is>
      </c>
      <c r="R476" s="92" t="inlineStr">
        <is>
          <t>Synthetische vastgelegde invoer; geen echte historie</t>
        </is>
      </c>
      <c r="S476" s="15" t="str">
        <f>IF(J476="","",J476&amp;"|"&amp;E476&amp;"|"&amp;F476&amp;"|"&amp;I476&amp;"|"&amp;O476)</f>
        <v>G.900018.8.9090|2026|Q2|2027|Omzet FY</v>
      </c>
      <c r="T476" s="15">
        <f>IF(OR(S476="",D476&lt;&gt;"Vastgesteld"),"",_xlfn.MAXIFS($G$6:$G$5005,$S$6:$S$5005,S476,$D$6:$D$5005,"Vastgesteld"))</f>
        <v>0</v>
      </c>
      <c r="U476" s="15">
        <f>IF(T476="",0,IF(AND(G476=T476,COUNTIFS($S$6:S476,S476,$G$6:G476,G476,$D$6:D476,"Vastgesteld")=1),1,0))</f>
        <v>1</v>
      </c>
      <c r="V476" s="15">
        <f>IF(T476="",0,IF(AND(G476=T476,COUNTIFS($S$6:S476,S476,$G$6:G476,G476,$D$6:D476,"Vastgesteld")&gt;1),1,0))</f>
        <v>0</v>
      </c>
    </row>
    <row r="477">
      <c r="A477" s="92" t="inlineStr">
        <is>
          <t>HIST-2026-Q2</t>
        </is>
      </c>
      <c r="B477" s="92" t="inlineStr">
        <is>
          <t>RDFO_FICTIEVE_historie_en_mapping.xlsx</t>
        </is>
      </c>
      <c r="C477" s="108" t="n">
        <v>46324</v>
      </c>
      <c r="D477" s="92" t="inlineStr">
        <is>
          <t>Vastgesteld</t>
        </is>
      </c>
      <c r="E477" s="92" t="n">
        <v>2026</v>
      </c>
      <c r="F477" s="92" t="inlineStr">
        <is>
          <t>Q2</t>
        </is>
      </c>
      <c r="G477" s="92" t="n">
        <v>0</v>
      </c>
      <c r="H477" s="108" t="n">
        <v>46203</v>
      </c>
      <c r="I477" s="92" t="n">
        <v>2027</v>
      </c>
      <c r="J477" s="92" t="inlineStr">
        <is>
          <t>G.900018.8.9090</t>
        </is>
      </c>
      <c r="K477" s="92" t="inlineStr">
        <is>
          <t>G.900018</t>
        </is>
      </c>
      <c r="L477" s="92" t="inlineStr">
        <is>
          <t>Meerhovenstad, De Boog</t>
        </is>
      </c>
      <c r="M477" s="92" t="inlineStr">
        <is>
          <t>Deelneming</t>
        </is>
      </c>
      <c r="N477" s="92" t="inlineStr">
        <is>
          <t>N</t>
        </is>
      </c>
      <c r="O477" s="92" t="inlineStr">
        <is>
          <t>BOR FY</t>
        </is>
      </c>
      <c r="P477" s="109" t="n">
        <v>-205549.89</v>
      </c>
      <c r="Q477" s="92" t="inlineStr">
        <is>
          <t>EUR</t>
        </is>
      </c>
      <c r="R477" s="92" t="inlineStr">
        <is>
          <t>Synthetische vastgelegde invoer; geen echte historie</t>
        </is>
      </c>
      <c r="S477" s="15" t="str">
        <f>IF(J477="","",J477&amp;"|"&amp;E477&amp;"|"&amp;F477&amp;"|"&amp;I477&amp;"|"&amp;O477)</f>
        <v>G.900018.8.9090|2026|Q2|2027|BOR FY</v>
      </c>
      <c r="T477" s="15">
        <f>IF(OR(S477="",D477&lt;&gt;"Vastgesteld"),"",_xlfn.MAXIFS($G$6:$G$5005,$S$6:$S$5005,S477,$D$6:$D$5005,"Vastgesteld"))</f>
        <v>0</v>
      </c>
      <c r="U477" s="15">
        <f>IF(T477="",0,IF(AND(G477=T477,COUNTIFS($S$6:S477,S477,$G$6:G477,G477,$D$6:D477,"Vastgesteld")=1),1,0))</f>
        <v>1</v>
      </c>
      <c r="V477" s="15">
        <f>IF(T477="",0,IF(AND(G477=T477,COUNTIFS($S$6:S477,S477,$G$6:G477,G477,$D$6:D477,"Vastgesteld")&gt;1),1,0))</f>
        <v>0</v>
      </c>
    </row>
    <row r="478">
      <c r="A478" s="92" t="inlineStr">
        <is>
          <t>HIST-2026-Q2</t>
        </is>
      </c>
      <c r="B478" s="92" t="inlineStr">
        <is>
          <t>RDFO_FICTIEVE_historie_en_mapping.xlsx</t>
        </is>
      </c>
      <c r="C478" s="108" t="n">
        <v>46324</v>
      </c>
      <c r="D478" s="92" t="inlineStr">
        <is>
          <t>Vastgesteld</t>
        </is>
      </c>
      <c r="E478" s="92" t="n">
        <v>2026</v>
      </c>
      <c r="F478" s="92" t="inlineStr">
        <is>
          <t>Q2</t>
        </is>
      </c>
      <c r="G478" s="92" t="n">
        <v>0</v>
      </c>
      <c r="H478" s="108" t="n">
        <v>46203</v>
      </c>
      <c r="I478" s="92" t="n">
        <v>2026</v>
      </c>
      <c r="J478" s="92" t="inlineStr">
        <is>
          <t>G.900019.8.9090</t>
        </is>
      </c>
      <c r="K478" s="92" t="inlineStr">
        <is>
          <t>G.900019</t>
        </is>
      </c>
      <c r="L478" s="92" t="inlineStr">
        <is>
          <t>Zilverdam, Havenlicht</t>
        </is>
      </c>
      <c r="M478" s="92" t="inlineStr">
        <is>
          <t>Opstal</t>
        </is>
      </c>
      <c r="N478" s="92" t="inlineStr">
        <is>
          <t>J</t>
        </is>
      </c>
      <c r="O478" s="92" t="inlineStr">
        <is>
          <t>Omzet FY</t>
        </is>
      </c>
      <c r="P478" s="109" t="n">
        <v>5988780</v>
      </c>
      <c r="Q478" s="92" t="inlineStr">
        <is>
          <t>EUR</t>
        </is>
      </c>
      <c r="R478" s="92" t="inlineStr">
        <is>
          <t>Synthetische vastgelegde invoer; geen echte historie</t>
        </is>
      </c>
      <c r="S478" s="15" t="str">
        <f>IF(J478="","",J478&amp;"|"&amp;E478&amp;"|"&amp;F478&amp;"|"&amp;I478&amp;"|"&amp;O478)</f>
        <v>G.900019.8.9090|2026|Q2|2026|Omzet FY</v>
      </c>
      <c r="T478" s="15">
        <f>IF(OR(S478="",D478&lt;&gt;"Vastgesteld"),"",_xlfn.MAXIFS($G$6:$G$5005,$S$6:$S$5005,S478,$D$6:$D$5005,"Vastgesteld"))</f>
        <v>0</v>
      </c>
      <c r="U478" s="15">
        <f>IF(T478="",0,IF(AND(G478=T478,COUNTIFS($S$6:S478,S478,$G$6:G478,G478,$D$6:D478,"Vastgesteld")=1),1,0))</f>
        <v>1</v>
      </c>
      <c r="V478" s="15">
        <f>IF(T478="",0,IF(AND(G478=T478,COUNTIFS($S$6:S478,S478,$G$6:G478,G478,$D$6:D478,"Vastgesteld")&gt;1),1,0))</f>
        <v>0</v>
      </c>
    </row>
    <row r="479">
      <c r="A479" s="92" t="inlineStr">
        <is>
          <t>HIST-2026-Q2</t>
        </is>
      </c>
      <c r="B479" s="92" t="inlineStr">
        <is>
          <t>RDFO_FICTIEVE_historie_en_mapping.xlsx</t>
        </is>
      </c>
      <c r="C479" s="108" t="n">
        <v>46324</v>
      </c>
      <c r="D479" s="92" t="inlineStr">
        <is>
          <t>Vastgesteld</t>
        </is>
      </c>
      <c r="E479" s="92" t="n">
        <v>2026</v>
      </c>
      <c r="F479" s="92" t="inlineStr">
        <is>
          <t>Q2</t>
        </is>
      </c>
      <c r="G479" s="92" t="n">
        <v>0</v>
      </c>
      <c r="H479" s="108" t="n">
        <v>46203</v>
      </c>
      <c r="I479" s="92" t="n">
        <v>2026</v>
      </c>
      <c r="J479" s="92" t="inlineStr">
        <is>
          <t>G.900019.8.9090</t>
        </is>
      </c>
      <c r="K479" s="92" t="inlineStr">
        <is>
          <t>G.900019</t>
        </is>
      </c>
      <c r="L479" s="92" t="inlineStr">
        <is>
          <t>Zilverdam, Havenlicht</t>
        </is>
      </c>
      <c r="M479" s="92" t="inlineStr">
        <is>
          <t>Opstal</t>
        </is>
      </c>
      <c r="N479" s="92" t="inlineStr">
        <is>
          <t>J</t>
        </is>
      </c>
      <c r="O479" s="92" t="inlineStr">
        <is>
          <t>BOR FY</t>
        </is>
      </c>
      <c r="P479" s="109" t="n">
        <v>479102.4</v>
      </c>
      <c r="Q479" s="92" t="inlineStr">
        <is>
          <t>EUR</t>
        </is>
      </c>
      <c r="R479" s="92" t="inlineStr">
        <is>
          <t>Synthetische vastgelegde invoer; geen echte historie</t>
        </is>
      </c>
      <c r="S479" s="15" t="str">
        <f>IF(J479="","",J479&amp;"|"&amp;E479&amp;"|"&amp;F479&amp;"|"&amp;I479&amp;"|"&amp;O479)</f>
        <v>G.900019.8.9090|2026|Q2|2026|BOR FY</v>
      </c>
      <c r="T479" s="15">
        <f>IF(OR(S479="",D479&lt;&gt;"Vastgesteld"),"",_xlfn.MAXIFS($G$6:$G$5005,$S$6:$S$5005,S479,$D$6:$D$5005,"Vastgesteld"))</f>
        <v>0</v>
      </c>
      <c r="U479" s="15">
        <f>IF(T479="",0,IF(AND(G479=T479,COUNTIFS($S$6:S479,S479,$G$6:G479,G479,$D$6:D479,"Vastgesteld")=1),1,0))</f>
        <v>1</v>
      </c>
      <c r="V479" s="15">
        <f>IF(T479="",0,IF(AND(G479=T479,COUNTIFS($S$6:S479,S479,$G$6:G479,G479,$D$6:D479,"Vastgesteld")&gt;1),1,0))</f>
        <v>0</v>
      </c>
    </row>
    <row r="480">
      <c r="A480" s="92" t="inlineStr">
        <is>
          <t>HIST-2026-Q2</t>
        </is>
      </c>
      <c r="B480" s="92" t="inlineStr">
        <is>
          <t>RDFO_FICTIEVE_historie_en_mapping.xlsx</t>
        </is>
      </c>
      <c r="C480" s="108" t="n">
        <v>46324</v>
      </c>
      <c r="D480" s="92" t="inlineStr">
        <is>
          <t>Vastgesteld</t>
        </is>
      </c>
      <c r="E480" s="92" t="n">
        <v>2026</v>
      </c>
      <c r="F480" s="92" t="inlineStr">
        <is>
          <t>Q2</t>
        </is>
      </c>
      <c r="G480" s="92" t="n">
        <v>0</v>
      </c>
      <c r="H480" s="108" t="n">
        <v>46203</v>
      </c>
      <c r="I480" s="92" t="n">
        <v>2027</v>
      </c>
      <c r="J480" s="92" t="inlineStr">
        <is>
          <t>G.900019.8.9090</t>
        </is>
      </c>
      <c r="K480" s="92" t="inlineStr">
        <is>
          <t>G.900019</t>
        </is>
      </c>
      <c r="L480" s="92" t="inlineStr">
        <is>
          <t>Zilverdam, Havenlicht</t>
        </is>
      </c>
      <c r="M480" s="92" t="inlineStr">
        <is>
          <t>Opstal</t>
        </is>
      </c>
      <c r="N480" s="92" t="inlineStr">
        <is>
          <t>J</t>
        </is>
      </c>
      <c r="O480" s="92" t="inlineStr">
        <is>
          <t>Omzet FY</t>
        </is>
      </c>
      <c r="P480" s="109" t="n">
        <v>5375643</v>
      </c>
      <c r="Q480" s="92" t="inlineStr">
        <is>
          <t>EUR</t>
        </is>
      </c>
      <c r="R480" s="92" t="inlineStr">
        <is>
          <t>Synthetische vastgelegde invoer; geen echte historie</t>
        </is>
      </c>
      <c r="S480" s="15" t="str">
        <f>IF(J480="","",J480&amp;"|"&amp;E480&amp;"|"&amp;F480&amp;"|"&amp;I480&amp;"|"&amp;O480)</f>
        <v>G.900019.8.9090|2026|Q2|2027|Omzet FY</v>
      </c>
      <c r="T480" s="15">
        <f>IF(OR(S480="",D480&lt;&gt;"Vastgesteld"),"",_xlfn.MAXIFS($G$6:$G$5005,$S$6:$S$5005,S480,$D$6:$D$5005,"Vastgesteld"))</f>
        <v>0</v>
      </c>
      <c r="U480" s="15">
        <f>IF(T480="",0,IF(AND(G480=T480,COUNTIFS($S$6:S480,S480,$G$6:G480,G480,$D$6:D480,"Vastgesteld")=1),1,0))</f>
        <v>1</v>
      </c>
      <c r="V480" s="15">
        <f>IF(T480="",0,IF(AND(G480=T480,COUNTIFS($S$6:S480,S480,$G$6:G480,G480,$D$6:D480,"Vastgesteld")&gt;1),1,0))</f>
        <v>0</v>
      </c>
    </row>
    <row r="481">
      <c r="A481" s="92" t="inlineStr">
        <is>
          <t>HIST-2026-Q2</t>
        </is>
      </c>
      <c r="B481" s="92" t="inlineStr">
        <is>
          <t>RDFO_FICTIEVE_historie_en_mapping.xlsx</t>
        </is>
      </c>
      <c r="C481" s="108" t="n">
        <v>46324</v>
      </c>
      <c r="D481" s="92" t="inlineStr">
        <is>
          <t>Vastgesteld</t>
        </is>
      </c>
      <c r="E481" s="92" t="n">
        <v>2026</v>
      </c>
      <c r="F481" s="92" t="inlineStr">
        <is>
          <t>Q2</t>
        </is>
      </c>
      <c r="G481" s="92" t="n">
        <v>0</v>
      </c>
      <c r="H481" s="108" t="n">
        <v>46203</v>
      </c>
      <c r="I481" s="92" t="n">
        <v>2027</v>
      </c>
      <c r="J481" s="92" t="inlineStr">
        <is>
          <t>G.900019.8.9090</t>
        </is>
      </c>
      <c r="K481" s="92" t="inlineStr">
        <is>
          <t>G.900019</t>
        </is>
      </c>
      <c r="L481" s="92" t="inlineStr">
        <is>
          <t>Zilverdam, Havenlicht</t>
        </is>
      </c>
      <c r="M481" s="92" t="inlineStr">
        <is>
          <t>Opstal</t>
        </is>
      </c>
      <c r="N481" s="92" t="inlineStr">
        <is>
          <t>J</t>
        </is>
      </c>
      <c r="O481" s="92" t="inlineStr">
        <is>
          <t>BOR FY</t>
        </is>
      </c>
      <c r="P481" s="109" t="n">
        <v>430051.44</v>
      </c>
      <c r="Q481" s="92" t="inlineStr">
        <is>
          <t>EUR</t>
        </is>
      </c>
      <c r="R481" s="92" t="inlineStr">
        <is>
          <t>Synthetische vastgelegde invoer; geen echte historie</t>
        </is>
      </c>
      <c r="S481" s="15" t="str">
        <f>IF(J481="","",J481&amp;"|"&amp;E481&amp;"|"&amp;F481&amp;"|"&amp;I481&amp;"|"&amp;O481)</f>
        <v>G.900019.8.9090|2026|Q2|2027|BOR FY</v>
      </c>
      <c r="T481" s="15">
        <f>IF(OR(S481="",D481&lt;&gt;"Vastgesteld"),"",_xlfn.MAXIFS($G$6:$G$5005,$S$6:$S$5005,S481,$D$6:$D$5005,"Vastgesteld"))</f>
        <v>0</v>
      </c>
      <c r="U481" s="15">
        <f>IF(T481="",0,IF(AND(G481=T481,COUNTIFS($S$6:S481,S481,$G$6:G481,G481,$D$6:D481,"Vastgesteld")=1),1,0))</f>
        <v>1</v>
      </c>
      <c r="V481" s="15">
        <f>IF(T481="",0,IF(AND(G481=T481,COUNTIFS($S$6:S481,S481,$G$6:G481,G481,$D$6:D481,"Vastgesteld")&gt;1),1,0))</f>
        <v>0</v>
      </c>
    </row>
    <row r="482">
      <c r="A482" s="92" t="inlineStr">
        <is>
          <t>HIST-2026-Q2</t>
        </is>
      </c>
      <c r="B482" s="92" t="inlineStr">
        <is>
          <t>RDFO_FICTIEVE_historie_en_mapping.xlsx</t>
        </is>
      </c>
      <c r="C482" s="108" t="n">
        <v>46324</v>
      </c>
      <c r="D482" s="92" t="inlineStr">
        <is>
          <t>Vastgesteld</t>
        </is>
      </c>
      <c r="E482" s="92" t="n">
        <v>2026</v>
      </c>
      <c r="F482" s="92" t="inlineStr">
        <is>
          <t>Q2</t>
        </is>
      </c>
      <c r="G482" s="92" t="n">
        <v>0</v>
      </c>
      <c r="H482" s="108" t="n">
        <v>46203</v>
      </c>
      <c r="I482" s="92" t="n">
        <v>2026</v>
      </c>
      <c r="J482" s="92" t="inlineStr">
        <is>
          <t>G.900020.8.9090</t>
        </is>
      </c>
      <c r="K482" s="92" t="inlineStr">
        <is>
          <t>G.900020</t>
        </is>
      </c>
      <c r="L482" s="92" t="inlineStr">
        <is>
          <t>Boswaard, Parkeergebouw</t>
        </is>
      </c>
      <c r="M482" s="92" t="inlineStr">
        <is>
          <t>Opstal</t>
        </is>
      </c>
      <c r="N482" s="92" t="inlineStr">
        <is>
          <t>J</t>
        </is>
      </c>
      <c r="O482" s="92" t="inlineStr">
        <is>
          <t>Omzet FY</t>
        </is>
      </c>
      <c r="P482" s="109" t="n">
        <v>247200</v>
      </c>
      <c r="Q482" s="92" t="inlineStr">
        <is>
          <t>EUR</t>
        </is>
      </c>
      <c r="R482" s="92" t="inlineStr">
        <is>
          <t>Synthetische vastgelegde invoer; geen echte historie</t>
        </is>
      </c>
      <c r="S482" s="15" t="str">
        <f>IF(J482="","",J482&amp;"|"&amp;E482&amp;"|"&amp;F482&amp;"|"&amp;I482&amp;"|"&amp;O482)</f>
        <v>G.900020.8.9090|2026|Q2|2026|Omzet FY</v>
      </c>
      <c r="T482" s="15">
        <f>IF(OR(S482="",D482&lt;&gt;"Vastgesteld"),"",_xlfn.MAXIFS($G$6:$G$5005,$S$6:$S$5005,S482,$D$6:$D$5005,"Vastgesteld"))</f>
        <v>0</v>
      </c>
      <c r="U482" s="15">
        <f>IF(T482="",0,IF(AND(G482=T482,COUNTIFS($S$6:S482,S482,$G$6:G482,G482,$D$6:D482,"Vastgesteld")=1),1,0))</f>
        <v>1</v>
      </c>
      <c r="V482" s="15">
        <f>IF(T482="",0,IF(AND(G482=T482,COUNTIFS($S$6:S482,S482,$G$6:G482,G482,$D$6:D482,"Vastgesteld")&gt;1),1,0))</f>
        <v>0</v>
      </c>
    </row>
    <row r="483">
      <c r="A483" s="92" t="inlineStr">
        <is>
          <t>HIST-2026-Q2</t>
        </is>
      </c>
      <c r="B483" s="92" t="inlineStr">
        <is>
          <t>RDFO_FICTIEVE_historie_en_mapping.xlsx</t>
        </is>
      </c>
      <c r="C483" s="108" t="n">
        <v>46324</v>
      </c>
      <c r="D483" s="92" t="inlineStr">
        <is>
          <t>Vastgesteld</t>
        </is>
      </c>
      <c r="E483" s="92" t="n">
        <v>2026</v>
      </c>
      <c r="F483" s="92" t="inlineStr">
        <is>
          <t>Q2</t>
        </is>
      </c>
      <c r="G483" s="92" t="n">
        <v>0</v>
      </c>
      <c r="H483" s="108" t="n">
        <v>46203</v>
      </c>
      <c r="I483" s="92" t="n">
        <v>2026</v>
      </c>
      <c r="J483" s="92" t="inlineStr">
        <is>
          <t>G.900020.8.9090</t>
        </is>
      </c>
      <c r="K483" s="92" t="inlineStr">
        <is>
          <t>G.900020</t>
        </is>
      </c>
      <c r="L483" s="92" t="inlineStr">
        <is>
          <t>Boswaard, Parkeergebouw</t>
        </is>
      </c>
      <c r="M483" s="92" t="inlineStr">
        <is>
          <t>Opstal</t>
        </is>
      </c>
      <c r="N483" s="92" t="inlineStr">
        <is>
          <t>J</t>
        </is>
      </c>
      <c r="O483" s="92" t="inlineStr">
        <is>
          <t>BOR FY</t>
        </is>
      </c>
      <c r="P483" s="109" t="n">
        <v>32136</v>
      </c>
      <c r="Q483" s="92" t="inlineStr">
        <is>
          <t>EUR</t>
        </is>
      </c>
      <c r="R483" s="92" t="inlineStr">
        <is>
          <t>Synthetische vastgelegde invoer; geen echte historie</t>
        </is>
      </c>
      <c r="S483" s="15" t="str">
        <f>IF(J483="","",J483&amp;"|"&amp;E483&amp;"|"&amp;F483&amp;"|"&amp;I483&amp;"|"&amp;O483)</f>
        <v>G.900020.8.9090|2026|Q2|2026|BOR FY</v>
      </c>
      <c r="T483" s="15">
        <f>IF(OR(S483="",D483&lt;&gt;"Vastgesteld"),"",_xlfn.MAXIFS($G$6:$G$5005,$S$6:$S$5005,S483,$D$6:$D$5005,"Vastgesteld"))</f>
        <v>0</v>
      </c>
      <c r="U483" s="15">
        <f>IF(T483="",0,IF(AND(G483=T483,COUNTIFS($S$6:S483,S483,$G$6:G483,G483,$D$6:D483,"Vastgesteld")=1),1,0))</f>
        <v>1</v>
      </c>
      <c r="V483" s="15">
        <f>IF(T483="",0,IF(AND(G483=T483,COUNTIFS($S$6:S483,S483,$G$6:G483,G483,$D$6:D483,"Vastgesteld")&gt;1),1,0))</f>
        <v>0</v>
      </c>
    </row>
    <row r="484">
      <c r="A484" s="92" t="inlineStr">
        <is>
          <t>HIST-2026-Q2</t>
        </is>
      </c>
      <c r="B484" s="92" t="inlineStr">
        <is>
          <t>RDFO_FICTIEVE_historie_en_mapping.xlsx</t>
        </is>
      </c>
      <c r="C484" s="108" t="n">
        <v>46324</v>
      </c>
      <c r="D484" s="92" t="inlineStr">
        <is>
          <t>Vastgesteld</t>
        </is>
      </c>
      <c r="E484" s="92" t="n">
        <v>2026</v>
      </c>
      <c r="F484" s="92" t="inlineStr">
        <is>
          <t>Q2</t>
        </is>
      </c>
      <c r="G484" s="92" t="n">
        <v>0</v>
      </c>
      <c r="H484" s="108" t="n">
        <v>46203</v>
      </c>
      <c r="I484" s="92" t="n">
        <v>2027</v>
      </c>
      <c r="J484" s="92" t="inlineStr">
        <is>
          <t>G.900020.8.9090</t>
        </is>
      </c>
      <c r="K484" s="92" t="inlineStr">
        <is>
          <t>G.900020</t>
        </is>
      </c>
      <c r="L484" s="92" t="inlineStr">
        <is>
          <t>Boswaard, Parkeergebouw</t>
        </is>
      </c>
      <c r="M484" s="92" t="inlineStr">
        <is>
          <t>Opstal</t>
        </is>
      </c>
      <c r="N484" s="92" t="inlineStr">
        <is>
          <t>J</t>
        </is>
      </c>
      <c r="O484" s="92" t="inlineStr">
        <is>
          <t>Omzet FY</t>
        </is>
      </c>
      <c r="P484" s="109" t="n">
        <v>1446120</v>
      </c>
      <c r="Q484" s="92" t="inlineStr">
        <is>
          <t>EUR</t>
        </is>
      </c>
      <c r="R484" s="92" t="inlineStr">
        <is>
          <t>Synthetische vastgelegde invoer; geen echte historie</t>
        </is>
      </c>
      <c r="S484" s="15" t="str">
        <f>IF(J484="","",J484&amp;"|"&amp;E484&amp;"|"&amp;F484&amp;"|"&amp;I484&amp;"|"&amp;O484)</f>
        <v>G.900020.8.9090|2026|Q2|2027|Omzet FY</v>
      </c>
      <c r="T484" s="15">
        <f>IF(OR(S484="",D484&lt;&gt;"Vastgesteld"),"",_xlfn.MAXIFS($G$6:$G$5005,$S$6:$S$5005,S484,$D$6:$D$5005,"Vastgesteld"))</f>
        <v>0</v>
      </c>
      <c r="U484" s="15">
        <f>IF(T484="",0,IF(AND(G484=T484,COUNTIFS($S$6:S484,S484,$G$6:G484,G484,$D$6:D484,"Vastgesteld")=1),1,0))</f>
        <v>1</v>
      </c>
      <c r="V484" s="15">
        <f>IF(T484="",0,IF(AND(G484=T484,COUNTIFS($S$6:S484,S484,$G$6:G484,G484,$D$6:D484,"Vastgesteld")&gt;1),1,0))</f>
        <v>0</v>
      </c>
    </row>
    <row r="485">
      <c r="A485" s="92" t="inlineStr">
        <is>
          <t>HIST-2026-Q2</t>
        </is>
      </c>
      <c r="B485" s="92" t="inlineStr">
        <is>
          <t>RDFO_FICTIEVE_historie_en_mapping.xlsx</t>
        </is>
      </c>
      <c r="C485" s="108" t="n">
        <v>46324</v>
      </c>
      <c r="D485" s="92" t="inlineStr">
        <is>
          <t>Vastgesteld</t>
        </is>
      </c>
      <c r="E485" s="92" t="n">
        <v>2026</v>
      </c>
      <c r="F485" s="92" t="inlineStr">
        <is>
          <t>Q2</t>
        </is>
      </c>
      <c r="G485" s="92" t="n">
        <v>0</v>
      </c>
      <c r="H485" s="108" t="n">
        <v>46203</v>
      </c>
      <c r="I485" s="92" t="n">
        <v>2027</v>
      </c>
      <c r="J485" s="92" t="inlineStr">
        <is>
          <t>G.900020.8.9090</t>
        </is>
      </c>
      <c r="K485" s="92" t="inlineStr">
        <is>
          <t>G.900020</t>
        </is>
      </c>
      <c r="L485" s="92" t="inlineStr">
        <is>
          <t>Boswaard, Parkeergebouw</t>
        </is>
      </c>
      <c r="M485" s="92" t="inlineStr">
        <is>
          <t>Opstal</t>
        </is>
      </c>
      <c r="N485" s="92" t="inlineStr">
        <is>
          <t>J</t>
        </is>
      </c>
      <c r="O485" s="92" t="inlineStr">
        <is>
          <t>BOR FY</t>
        </is>
      </c>
      <c r="P485" s="109" t="n">
        <v>187995.6</v>
      </c>
      <c r="Q485" s="92" t="inlineStr">
        <is>
          <t>EUR</t>
        </is>
      </c>
      <c r="R485" s="92" t="inlineStr">
        <is>
          <t>Synthetische vastgelegde invoer; geen echte historie</t>
        </is>
      </c>
      <c r="S485" s="15" t="str">
        <f>IF(J485="","",J485&amp;"|"&amp;E485&amp;"|"&amp;F485&amp;"|"&amp;I485&amp;"|"&amp;O485)</f>
        <v>G.900020.8.9090|2026|Q2|2027|BOR FY</v>
      </c>
      <c r="T485" s="15">
        <f>IF(OR(S485="",D485&lt;&gt;"Vastgesteld"),"",_xlfn.MAXIFS($G$6:$G$5005,$S$6:$S$5005,S485,$D$6:$D$5005,"Vastgesteld"))</f>
        <v>0</v>
      </c>
      <c r="U485" s="15">
        <f>IF(T485="",0,IF(AND(G485=T485,COUNTIFS($S$6:S485,S485,$G$6:G485,G485,$D$6:D485,"Vastgesteld")=1),1,0))</f>
        <v>1</v>
      </c>
      <c r="V485" s="15">
        <f>IF(T485="",0,IF(AND(G485=T485,COUNTIFS($S$6:S485,S485,$G$6:G485,G485,$D$6:D485,"Vastgesteld")&gt;1),1,0))</f>
        <v>0</v>
      </c>
    </row>
    <row r="486">
      <c r="A486" s="92" t="inlineStr">
        <is>
          <t>HIST-2026-Q2</t>
        </is>
      </c>
      <c r="B486" s="92" t="inlineStr">
        <is>
          <t>RDFO_FICTIEVE_historie_en_mapping.xlsx</t>
        </is>
      </c>
      <c r="C486" s="108" t="n">
        <v>46324</v>
      </c>
      <c r="D486" s="92" t="inlineStr">
        <is>
          <t>Vastgesteld</t>
        </is>
      </c>
      <c r="E486" s="92" t="n">
        <v>2026</v>
      </c>
      <c r="F486" s="92" t="inlineStr">
        <is>
          <t>Q2</t>
        </is>
      </c>
      <c r="G486" s="92" t="n">
        <v>0</v>
      </c>
      <c r="H486" s="108" t="n">
        <v>46203</v>
      </c>
      <c r="I486" s="92" t="n">
        <v>2026</v>
      </c>
      <c r="J486" s="92" t="inlineStr">
        <is>
          <t>G.900001.8.9090</t>
        </is>
      </c>
      <c r="K486" s="92" t="inlineStr">
        <is>
          <t>G.900001</t>
        </is>
      </c>
      <c r="L486" s="92" t="inlineStr">
        <is>
          <t>Lindehaven, Parkzoom fase 1</t>
        </is>
      </c>
      <c r="M486" s="92" t="inlineStr">
        <is>
          <t>Opstal</t>
        </is>
      </c>
      <c r="N486" s="92" t="inlineStr">
        <is>
          <t>J</t>
        </is>
      </c>
      <c r="O486" s="92" t="inlineStr">
        <is>
          <t>Woningverkopen FY</t>
        </is>
      </c>
      <c r="P486" s="109" t="n">
        <v>8</v>
      </c>
      <c r="Q486" s="92" t="inlineStr">
        <is>
          <t>aantal</t>
        </is>
      </c>
      <c r="R486" s="92" t="inlineStr">
        <is>
          <t>Synthetische snapshot; kwartalen zijn FY-verdeling, geen actuals</t>
        </is>
      </c>
      <c r="S486" s="15" t="str">
        <f>IF(J486="","",J486&amp;"|"&amp;E486&amp;"|"&amp;F486&amp;"|"&amp;I486&amp;"|"&amp;O486)</f>
        <v>G.900001.8.9090|2026|Q2|2026|Woningverkopen FY</v>
      </c>
      <c r="T486" s="15">
        <f>IF(OR(S486="",D486&lt;&gt;"Vastgesteld"),"",_xlfn.MAXIFS($G$6:$G$5005,$S$6:$S$5005,S486,$D$6:$D$5005,"Vastgesteld"))</f>
        <v>0</v>
      </c>
      <c r="U486" s="15">
        <f>IF(T486="",0,IF(AND(G486=T486,COUNTIFS($S$6:S486,S486,$G$6:G486,G486,$D$6:D486,"Vastgesteld")=1),1,0))</f>
        <v>1</v>
      </c>
      <c r="V486" s="15">
        <f>IF(T486="",0,IF(AND(G486=T486,COUNTIFS($S$6:S486,S486,$G$6:G486,G486,$D$6:D486,"Vastgesteld")&gt;1),1,0))</f>
        <v>0</v>
      </c>
    </row>
    <row r="487">
      <c r="A487" s="92" t="inlineStr">
        <is>
          <t>HIST-2026-Q2</t>
        </is>
      </c>
      <c r="B487" s="92" t="inlineStr">
        <is>
          <t>RDFO_FICTIEVE_historie_en_mapping.xlsx</t>
        </is>
      </c>
      <c r="C487" s="108" t="n">
        <v>46324</v>
      </c>
      <c r="D487" s="92" t="inlineStr">
        <is>
          <t>Vastgesteld</t>
        </is>
      </c>
      <c r="E487" s="92" t="n">
        <v>2026</v>
      </c>
      <c r="F487" s="92" t="inlineStr">
        <is>
          <t>Q2</t>
        </is>
      </c>
      <c r="G487" s="92" t="n">
        <v>0</v>
      </c>
      <c r="H487" s="108" t="n">
        <v>46203</v>
      </c>
      <c r="I487" s="92" t="n">
        <v>2026</v>
      </c>
      <c r="J487" s="92" t="inlineStr">
        <is>
          <t>G.900001.8.9090</t>
        </is>
      </c>
      <c r="K487" s="92" t="inlineStr">
        <is>
          <t>G.900001</t>
        </is>
      </c>
      <c r="L487" s="92" t="inlineStr">
        <is>
          <t>Lindehaven, Parkzoom fase 1</t>
        </is>
      </c>
      <c r="M487" s="92" t="inlineStr">
        <is>
          <t>Opstal</t>
        </is>
      </c>
      <c r="N487" s="92" t="inlineStr">
        <is>
          <t>J</t>
        </is>
      </c>
      <c r="O487" s="92" t="inlineStr">
        <is>
          <t>Woningen verkocht t/m vorig jaar</t>
        </is>
      </c>
      <c r="P487" s="109" t="n">
        <v>6</v>
      </c>
      <c r="Q487" s="92" t="inlineStr">
        <is>
          <t>aantal</t>
        </is>
      </c>
      <c r="R487" s="92" t="inlineStr">
        <is>
          <t>Synthetische snapshot; kwartalen zijn FY-verdeling, geen actuals</t>
        </is>
      </c>
      <c r="S487" s="15" t="str">
        <f>IF(J487="","",J487&amp;"|"&amp;E487&amp;"|"&amp;F487&amp;"|"&amp;I487&amp;"|"&amp;O487)</f>
        <v>G.900001.8.9090|2026|Q2|2026|Woningen verkocht t/m vorig jaar</v>
      </c>
      <c r="T487" s="15">
        <f>IF(OR(S487="",D487&lt;&gt;"Vastgesteld"),"",_xlfn.MAXIFS($G$6:$G$5005,$S$6:$S$5005,S487,$D$6:$D$5005,"Vastgesteld"))</f>
        <v>0</v>
      </c>
      <c r="U487" s="15">
        <f>IF(T487="",0,IF(AND(G487=T487,COUNTIFS($S$6:S487,S487,$G$6:G487,G487,$D$6:D487,"Vastgesteld")=1),1,0))</f>
        <v>1</v>
      </c>
      <c r="V487" s="15">
        <f>IF(T487="",0,IF(AND(G487=T487,COUNTIFS($S$6:S487,S487,$G$6:G487,G487,$D$6:D487,"Vastgesteld")&gt;1),1,0))</f>
        <v>0</v>
      </c>
    </row>
    <row r="488">
      <c r="A488" s="92" t="inlineStr">
        <is>
          <t>HIST-2026-Q2</t>
        </is>
      </c>
      <c r="B488" s="92" t="inlineStr">
        <is>
          <t>RDFO_FICTIEVE_historie_en_mapping.xlsx</t>
        </is>
      </c>
      <c r="C488" s="108" t="n">
        <v>46324</v>
      </c>
      <c r="D488" s="92" t="inlineStr">
        <is>
          <t>Vastgesteld</t>
        </is>
      </c>
      <c r="E488" s="92" t="n">
        <v>2026</v>
      </c>
      <c r="F488" s="92" t="inlineStr">
        <is>
          <t>Q2</t>
        </is>
      </c>
      <c r="G488" s="92" t="n">
        <v>0</v>
      </c>
      <c r="H488" s="108" t="n">
        <v>46203</v>
      </c>
      <c r="I488" s="92" t="n">
        <v>2026</v>
      </c>
      <c r="J488" s="92" t="inlineStr">
        <is>
          <t>G.900001.8.9090</t>
        </is>
      </c>
      <c r="K488" s="92" t="inlineStr">
        <is>
          <t>G.900001</t>
        </is>
      </c>
      <c r="L488" s="92" t="inlineStr">
        <is>
          <t>Lindehaven, Parkzoom fase 1</t>
        </is>
      </c>
      <c r="M488" s="92" t="inlineStr">
        <is>
          <t>Opstal</t>
        </is>
      </c>
      <c r="N488" s="92" t="inlineStr">
        <is>
          <t>J</t>
        </is>
      </c>
      <c r="O488" s="92" t="inlineStr">
        <is>
          <t>Woningverkopen Q1</t>
        </is>
      </c>
      <c r="P488" s="109" t="n">
        <v>1</v>
      </c>
      <c r="Q488" s="92" t="inlineStr">
        <is>
          <t>aantal</t>
        </is>
      </c>
      <c r="R488" s="92" t="inlineStr">
        <is>
          <t>Synthetische snapshot; kwartalen zijn FY-verdeling, geen actuals</t>
        </is>
      </c>
      <c r="S488" s="15" t="str">
        <f>IF(J488="","",J488&amp;"|"&amp;E488&amp;"|"&amp;F488&amp;"|"&amp;I488&amp;"|"&amp;O488)</f>
        <v>G.900001.8.9090|2026|Q2|2026|Woningverkopen Q1</v>
      </c>
      <c r="T488" s="15">
        <f>IF(OR(S488="",D488&lt;&gt;"Vastgesteld"),"",_xlfn.MAXIFS($G$6:$G$5005,$S$6:$S$5005,S488,$D$6:$D$5005,"Vastgesteld"))</f>
        <v>0</v>
      </c>
      <c r="U488" s="15">
        <f>IF(T488="",0,IF(AND(G488=T488,COUNTIFS($S$6:S488,S488,$G$6:G488,G488,$D$6:D488,"Vastgesteld")=1),1,0))</f>
        <v>1</v>
      </c>
      <c r="V488" s="15">
        <f>IF(T488="",0,IF(AND(G488=T488,COUNTIFS($S$6:S488,S488,$G$6:G488,G488,$D$6:D488,"Vastgesteld")&gt;1),1,0))</f>
        <v>0</v>
      </c>
    </row>
    <row r="489">
      <c r="A489" s="92" t="inlineStr">
        <is>
          <t>HIST-2026-Q2</t>
        </is>
      </c>
      <c r="B489" s="92" t="inlineStr">
        <is>
          <t>RDFO_FICTIEVE_historie_en_mapping.xlsx</t>
        </is>
      </c>
      <c r="C489" s="108" t="n">
        <v>46324</v>
      </c>
      <c r="D489" s="92" t="inlineStr">
        <is>
          <t>Vastgesteld</t>
        </is>
      </c>
      <c r="E489" s="92" t="n">
        <v>2026</v>
      </c>
      <c r="F489" s="92" t="inlineStr">
        <is>
          <t>Q2</t>
        </is>
      </c>
      <c r="G489" s="92" t="n">
        <v>0</v>
      </c>
      <c r="H489" s="108" t="n">
        <v>46203</v>
      </c>
      <c r="I489" s="92" t="n">
        <v>2026</v>
      </c>
      <c r="J489" s="92" t="inlineStr">
        <is>
          <t>G.900001.8.9090</t>
        </is>
      </c>
      <c r="K489" s="92" t="inlineStr">
        <is>
          <t>G.900001</t>
        </is>
      </c>
      <c r="L489" s="92" t="inlineStr">
        <is>
          <t>Lindehaven, Parkzoom fase 1</t>
        </is>
      </c>
      <c r="M489" s="92" t="inlineStr">
        <is>
          <t>Opstal</t>
        </is>
      </c>
      <c r="N489" s="92" t="inlineStr">
        <is>
          <t>J</t>
        </is>
      </c>
      <c r="O489" s="92" t="inlineStr">
        <is>
          <t>Woningverkopen Q2</t>
        </is>
      </c>
      <c r="P489" s="109" t="n">
        <v>2</v>
      </c>
      <c r="Q489" s="92" t="inlineStr">
        <is>
          <t>aantal</t>
        </is>
      </c>
      <c r="R489" s="92" t="inlineStr">
        <is>
          <t>Synthetische snapshot; kwartalen zijn FY-verdeling, geen actuals</t>
        </is>
      </c>
      <c r="S489" s="15" t="str">
        <f>IF(J489="","",J489&amp;"|"&amp;E489&amp;"|"&amp;F489&amp;"|"&amp;I489&amp;"|"&amp;O489)</f>
        <v>G.900001.8.9090|2026|Q2|2026|Woningverkopen Q2</v>
      </c>
      <c r="T489" s="15">
        <f>IF(OR(S489="",D489&lt;&gt;"Vastgesteld"),"",_xlfn.MAXIFS($G$6:$G$5005,$S$6:$S$5005,S489,$D$6:$D$5005,"Vastgesteld"))</f>
        <v>0</v>
      </c>
      <c r="U489" s="15">
        <f>IF(T489="",0,IF(AND(G489=T489,COUNTIFS($S$6:S489,S489,$G$6:G489,G489,$D$6:D489,"Vastgesteld")=1),1,0))</f>
        <v>1</v>
      </c>
      <c r="V489" s="15">
        <f>IF(T489="",0,IF(AND(G489=T489,COUNTIFS($S$6:S489,S489,$G$6:G489,G489,$D$6:D489,"Vastgesteld")&gt;1),1,0))</f>
        <v>0</v>
      </c>
    </row>
    <row r="490">
      <c r="A490" s="92" t="inlineStr">
        <is>
          <t>HIST-2026-Q2</t>
        </is>
      </c>
      <c r="B490" s="92" t="inlineStr">
        <is>
          <t>RDFO_FICTIEVE_historie_en_mapping.xlsx</t>
        </is>
      </c>
      <c r="C490" s="108" t="n">
        <v>46324</v>
      </c>
      <c r="D490" s="92" t="inlineStr">
        <is>
          <t>Vastgesteld</t>
        </is>
      </c>
      <c r="E490" s="92" t="n">
        <v>2026</v>
      </c>
      <c r="F490" s="92" t="inlineStr">
        <is>
          <t>Q2</t>
        </is>
      </c>
      <c r="G490" s="92" t="n">
        <v>0</v>
      </c>
      <c r="H490" s="108" t="n">
        <v>46203</v>
      </c>
      <c r="I490" s="92" t="n">
        <v>2026</v>
      </c>
      <c r="J490" s="92" t="inlineStr">
        <is>
          <t>G.900001.8.9090</t>
        </is>
      </c>
      <c r="K490" s="92" t="inlineStr">
        <is>
          <t>G.900001</t>
        </is>
      </c>
      <c r="L490" s="92" t="inlineStr">
        <is>
          <t>Lindehaven, Parkzoom fase 1</t>
        </is>
      </c>
      <c r="M490" s="92" t="inlineStr">
        <is>
          <t>Opstal</t>
        </is>
      </c>
      <c r="N490" s="92" t="inlineStr">
        <is>
          <t>J</t>
        </is>
      </c>
      <c r="O490" s="92" t="inlineStr">
        <is>
          <t>Woningverkopen Q3</t>
        </is>
      </c>
      <c r="P490" s="109" t="n">
        <v>2</v>
      </c>
      <c r="Q490" s="92" t="inlineStr">
        <is>
          <t>aantal</t>
        </is>
      </c>
      <c r="R490" s="92" t="inlineStr">
        <is>
          <t>Synthetische snapshot; kwartalen zijn FY-verdeling, geen actuals</t>
        </is>
      </c>
      <c r="S490" s="15" t="str">
        <f>IF(J490="","",J490&amp;"|"&amp;E490&amp;"|"&amp;F490&amp;"|"&amp;I490&amp;"|"&amp;O490)</f>
        <v>G.900001.8.9090|2026|Q2|2026|Woningverkopen Q3</v>
      </c>
      <c r="T490" s="15">
        <f>IF(OR(S490="",D490&lt;&gt;"Vastgesteld"),"",_xlfn.MAXIFS($G$6:$G$5005,$S$6:$S$5005,S490,$D$6:$D$5005,"Vastgesteld"))</f>
        <v>0</v>
      </c>
      <c r="U490" s="15">
        <f>IF(T490="",0,IF(AND(G490=T490,COUNTIFS($S$6:S490,S490,$G$6:G490,G490,$D$6:D490,"Vastgesteld")=1),1,0))</f>
        <v>1</v>
      </c>
      <c r="V490" s="15">
        <f>IF(T490="",0,IF(AND(G490=T490,COUNTIFS($S$6:S490,S490,$G$6:G490,G490,$D$6:D490,"Vastgesteld")&gt;1),1,0))</f>
        <v>0</v>
      </c>
    </row>
    <row r="491">
      <c r="A491" s="92" t="inlineStr">
        <is>
          <t>HIST-2026-Q2</t>
        </is>
      </c>
      <c r="B491" s="92" t="inlineStr">
        <is>
          <t>RDFO_FICTIEVE_historie_en_mapping.xlsx</t>
        </is>
      </c>
      <c r="C491" s="108" t="n">
        <v>46324</v>
      </c>
      <c r="D491" s="92" t="inlineStr">
        <is>
          <t>Vastgesteld</t>
        </is>
      </c>
      <c r="E491" s="92" t="n">
        <v>2026</v>
      </c>
      <c r="F491" s="92" t="inlineStr">
        <is>
          <t>Q2</t>
        </is>
      </c>
      <c r="G491" s="92" t="n">
        <v>0</v>
      </c>
      <c r="H491" s="108" t="n">
        <v>46203</v>
      </c>
      <c r="I491" s="92" t="n">
        <v>2026</v>
      </c>
      <c r="J491" s="92" t="inlineStr">
        <is>
          <t>G.900001.8.9090</t>
        </is>
      </c>
      <c r="K491" s="92" t="inlineStr">
        <is>
          <t>G.900001</t>
        </is>
      </c>
      <c r="L491" s="92" t="inlineStr">
        <is>
          <t>Lindehaven, Parkzoom fase 1</t>
        </is>
      </c>
      <c r="M491" s="92" t="inlineStr">
        <is>
          <t>Opstal</t>
        </is>
      </c>
      <c r="N491" s="92" t="inlineStr">
        <is>
          <t>J</t>
        </is>
      </c>
      <c r="O491" s="92" t="inlineStr">
        <is>
          <t>Woningverkopen Q4</t>
        </is>
      </c>
      <c r="P491" s="109" t="n">
        <v>3</v>
      </c>
      <c r="Q491" s="92" t="inlineStr">
        <is>
          <t>aantal</t>
        </is>
      </c>
      <c r="R491" s="92" t="inlineStr">
        <is>
          <t>Synthetische snapshot; kwartalen zijn FY-verdeling, geen actuals</t>
        </is>
      </c>
      <c r="S491" s="15" t="str">
        <f>IF(J491="","",J491&amp;"|"&amp;E491&amp;"|"&amp;F491&amp;"|"&amp;I491&amp;"|"&amp;O491)</f>
        <v>G.900001.8.9090|2026|Q2|2026|Woningverkopen Q4</v>
      </c>
      <c r="T491" s="15">
        <f>IF(OR(S491="",D491&lt;&gt;"Vastgesteld"),"",_xlfn.MAXIFS($G$6:$G$5005,$S$6:$S$5005,S491,$D$6:$D$5005,"Vastgesteld"))</f>
        <v>0</v>
      </c>
      <c r="U491" s="15">
        <f>IF(T491="",0,IF(AND(G491=T491,COUNTIFS($S$6:S491,S491,$G$6:G491,G491,$D$6:D491,"Vastgesteld")=1),1,0))</f>
        <v>1</v>
      </c>
      <c r="V491" s="15">
        <f>IF(T491="",0,IF(AND(G491=T491,COUNTIFS($S$6:S491,S491,$G$6:G491,G491,$D$6:D491,"Vastgesteld")&gt;1),1,0))</f>
        <v>0</v>
      </c>
    </row>
    <row r="492">
      <c r="A492" s="92" t="inlineStr">
        <is>
          <t>HIST-2026-Q2</t>
        </is>
      </c>
      <c r="B492" s="92" t="inlineStr">
        <is>
          <t>RDFO_FICTIEVE_historie_en_mapping.xlsx</t>
        </is>
      </c>
      <c r="C492" s="108" t="n">
        <v>46324</v>
      </c>
      <c r="D492" s="92" t="inlineStr">
        <is>
          <t>Vastgesteld</t>
        </is>
      </c>
      <c r="E492" s="92" t="n">
        <v>2026</v>
      </c>
      <c r="F492" s="92" t="inlineStr">
        <is>
          <t>Q2</t>
        </is>
      </c>
      <c r="G492" s="92" t="n">
        <v>0</v>
      </c>
      <c r="H492" s="108" t="n">
        <v>46203</v>
      </c>
      <c r="I492" s="92" t="n">
        <v>2026</v>
      </c>
      <c r="J492" s="92" t="inlineStr">
        <is>
          <t>G.900002.8.9090</t>
        </is>
      </c>
      <c r="K492" s="92" t="inlineStr">
        <is>
          <t>G.900002</t>
        </is>
      </c>
      <c r="L492" s="92" t="inlineStr">
        <is>
          <t>Duinwaard, De Watergaarde</t>
        </is>
      </c>
      <c r="M492" s="92" t="inlineStr">
        <is>
          <t>Opstal</t>
        </is>
      </c>
      <c r="N492" s="92" t="inlineStr">
        <is>
          <t>J</t>
        </is>
      </c>
      <c r="O492" s="92" t="inlineStr">
        <is>
          <t>Woningverkopen FY</t>
        </is>
      </c>
      <c r="P492" s="109" t="n">
        <v>13</v>
      </c>
      <c r="Q492" s="92" t="inlineStr">
        <is>
          <t>aantal</t>
        </is>
      </c>
      <c r="R492" s="92" t="inlineStr">
        <is>
          <t>Synthetische snapshot; kwartalen zijn FY-verdeling, geen actuals</t>
        </is>
      </c>
      <c r="S492" s="15" t="str">
        <f>IF(J492="","",J492&amp;"|"&amp;E492&amp;"|"&amp;F492&amp;"|"&amp;I492&amp;"|"&amp;O492)</f>
        <v>G.900002.8.9090|2026|Q2|2026|Woningverkopen FY</v>
      </c>
      <c r="T492" s="15">
        <f>IF(OR(S492="",D492&lt;&gt;"Vastgesteld"),"",_xlfn.MAXIFS($G$6:$G$5005,$S$6:$S$5005,S492,$D$6:$D$5005,"Vastgesteld"))</f>
        <v>0</v>
      </c>
      <c r="U492" s="15">
        <f>IF(T492="",0,IF(AND(G492=T492,COUNTIFS($S$6:S492,S492,$G$6:G492,G492,$D$6:D492,"Vastgesteld")=1),1,0))</f>
        <v>1</v>
      </c>
      <c r="V492" s="15">
        <f>IF(T492="",0,IF(AND(G492=T492,COUNTIFS($S$6:S492,S492,$G$6:G492,G492,$D$6:D492,"Vastgesteld")&gt;1),1,0))</f>
        <v>0</v>
      </c>
    </row>
    <row r="493">
      <c r="A493" s="92" t="inlineStr">
        <is>
          <t>HIST-2026-Q2</t>
        </is>
      </c>
      <c r="B493" s="92" t="inlineStr">
        <is>
          <t>RDFO_FICTIEVE_historie_en_mapping.xlsx</t>
        </is>
      </c>
      <c r="C493" s="108" t="n">
        <v>46324</v>
      </c>
      <c r="D493" s="92" t="inlineStr">
        <is>
          <t>Vastgesteld</t>
        </is>
      </c>
      <c r="E493" s="92" t="n">
        <v>2026</v>
      </c>
      <c r="F493" s="92" t="inlineStr">
        <is>
          <t>Q2</t>
        </is>
      </c>
      <c r="G493" s="92" t="n">
        <v>0</v>
      </c>
      <c r="H493" s="108" t="n">
        <v>46203</v>
      </c>
      <c r="I493" s="92" t="n">
        <v>2026</v>
      </c>
      <c r="J493" s="92" t="inlineStr">
        <is>
          <t>G.900002.8.9090</t>
        </is>
      </c>
      <c r="K493" s="92" t="inlineStr">
        <is>
          <t>G.900002</t>
        </is>
      </c>
      <c r="L493" s="92" t="inlineStr">
        <is>
          <t>Duinwaard, De Watergaarde</t>
        </is>
      </c>
      <c r="M493" s="92" t="inlineStr">
        <is>
          <t>Opstal</t>
        </is>
      </c>
      <c r="N493" s="92" t="inlineStr">
        <is>
          <t>J</t>
        </is>
      </c>
      <c r="O493" s="92" t="inlineStr">
        <is>
          <t>Woningen verkocht t/m vorig jaar</t>
        </is>
      </c>
      <c r="P493" s="109" t="n">
        <v>9</v>
      </c>
      <c r="Q493" s="92" t="inlineStr">
        <is>
          <t>aantal</t>
        </is>
      </c>
      <c r="R493" s="92" t="inlineStr">
        <is>
          <t>Synthetische snapshot; kwartalen zijn FY-verdeling, geen actuals</t>
        </is>
      </c>
      <c r="S493" s="15" t="str">
        <f>IF(J493="","",J493&amp;"|"&amp;E493&amp;"|"&amp;F493&amp;"|"&amp;I493&amp;"|"&amp;O493)</f>
        <v>G.900002.8.9090|2026|Q2|2026|Woningen verkocht t/m vorig jaar</v>
      </c>
      <c r="T493" s="15">
        <f>IF(OR(S493="",D493&lt;&gt;"Vastgesteld"),"",_xlfn.MAXIFS($G$6:$G$5005,$S$6:$S$5005,S493,$D$6:$D$5005,"Vastgesteld"))</f>
        <v>0</v>
      </c>
      <c r="U493" s="15">
        <f>IF(T493="",0,IF(AND(G493=T493,COUNTIFS($S$6:S493,S493,$G$6:G493,G493,$D$6:D493,"Vastgesteld")=1),1,0))</f>
        <v>1</v>
      </c>
      <c r="V493" s="15">
        <f>IF(T493="",0,IF(AND(G493=T493,COUNTIFS($S$6:S493,S493,$G$6:G493,G493,$D$6:D493,"Vastgesteld")&gt;1),1,0))</f>
        <v>0</v>
      </c>
    </row>
    <row r="494">
      <c r="A494" s="92" t="inlineStr">
        <is>
          <t>HIST-2026-Q2</t>
        </is>
      </c>
      <c r="B494" s="92" t="inlineStr">
        <is>
          <t>RDFO_FICTIEVE_historie_en_mapping.xlsx</t>
        </is>
      </c>
      <c r="C494" s="108" t="n">
        <v>46324</v>
      </c>
      <c r="D494" s="92" t="inlineStr">
        <is>
          <t>Vastgesteld</t>
        </is>
      </c>
      <c r="E494" s="92" t="n">
        <v>2026</v>
      </c>
      <c r="F494" s="92" t="inlineStr">
        <is>
          <t>Q2</t>
        </is>
      </c>
      <c r="G494" s="92" t="n">
        <v>0</v>
      </c>
      <c r="H494" s="108" t="n">
        <v>46203</v>
      </c>
      <c r="I494" s="92" t="n">
        <v>2026</v>
      </c>
      <c r="J494" s="92" t="inlineStr">
        <is>
          <t>G.900002.8.9090</t>
        </is>
      </c>
      <c r="K494" s="92" t="inlineStr">
        <is>
          <t>G.900002</t>
        </is>
      </c>
      <c r="L494" s="92" t="inlineStr">
        <is>
          <t>Duinwaard, De Watergaarde</t>
        </is>
      </c>
      <c r="M494" s="92" t="inlineStr">
        <is>
          <t>Opstal</t>
        </is>
      </c>
      <c r="N494" s="92" t="inlineStr">
        <is>
          <t>J</t>
        </is>
      </c>
      <c r="O494" s="92" t="inlineStr">
        <is>
          <t>Woningverkopen Q1</t>
        </is>
      </c>
      <c r="P494" s="109" t="n">
        <v>2</v>
      </c>
      <c r="Q494" s="92" t="inlineStr">
        <is>
          <t>aantal</t>
        </is>
      </c>
      <c r="R494" s="92" t="inlineStr">
        <is>
          <t>Synthetische snapshot; kwartalen zijn FY-verdeling, geen actuals</t>
        </is>
      </c>
      <c r="S494" s="15" t="str">
        <f>IF(J494="","",J494&amp;"|"&amp;E494&amp;"|"&amp;F494&amp;"|"&amp;I494&amp;"|"&amp;O494)</f>
        <v>G.900002.8.9090|2026|Q2|2026|Woningverkopen Q1</v>
      </c>
      <c r="T494" s="15">
        <f>IF(OR(S494="",D494&lt;&gt;"Vastgesteld"),"",_xlfn.MAXIFS($G$6:$G$5005,$S$6:$S$5005,S494,$D$6:$D$5005,"Vastgesteld"))</f>
        <v>0</v>
      </c>
      <c r="U494" s="15">
        <f>IF(T494="",0,IF(AND(G494=T494,COUNTIFS($S$6:S494,S494,$G$6:G494,G494,$D$6:D494,"Vastgesteld")=1),1,0))</f>
        <v>1</v>
      </c>
      <c r="V494" s="15">
        <f>IF(T494="",0,IF(AND(G494=T494,COUNTIFS($S$6:S494,S494,$G$6:G494,G494,$D$6:D494,"Vastgesteld")&gt;1),1,0))</f>
        <v>0</v>
      </c>
    </row>
    <row r="495">
      <c r="A495" s="92" t="inlineStr">
        <is>
          <t>HIST-2026-Q2</t>
        </is>
      </c>
      <c r="B495" s="92" t="inlineStr">
        <is>
          <t>RDFO_FICTIEVE_historie_en_mapping.xlsx</t>
        </is>
      </c>
      <c r="C495" s="108" t="n">
        <v>46324</v>
      </c>
      <c r="D495" s="92" t="inlineStr">
        <is>
          <t>Vastgesteld</t>
        </is>
      </c>
      <c r="E495" s="92" t="n">
        <v>2026</v>
      </c>
      <c r="F495" s="92" t="inlineStr">
        <is>
          <t>Q2</t>
        </is>
      </c>
      <c r="G495" s="92" t="n">
        <v>0</v>
      </c>
      <c r="H495" s="108" t="n">
        <v>46203</v>
      </c>
      <c r="I495" s="92" t="n">
        <v>2026</v>
      </c>
      <c r="J495" s="92" t="inlineStr">
        <is>
          <t>G.900002.8.9090</t>
        </is>
      </c>
      <c r="K495" s="92" t="inlineStr">
        <is>
          <t>G.900002</t>
        </is>
      </c>
      <c r="L495" s="92" t="inlineStr">
        <is>
          <t>Duinwaard, De Watergaarde</t>
        </is>
      </c>
      <c r="M495" s="92" t="inlineStr">
        <is>
          <t>Opstal</t>
        </is>
      </c>
      <c r="N495" s="92" t="inlineStr">
        <is>
          <t>J</t>
        </is>
      </c>
      <c r="O495" s="92" t="inlineStr">
        <is>
          <t>Woningverkopen Q2</t>
        </is>
      </c>
      <c r="P495" s="109" t="n">
        <v>3</v>
      </c>
      <c r="Q495" s="92" t="inlineStr">
        <is>
          <t>aantal</t>
        </is>
      </c>
      <c r="R495" s="92" t="inlineStr">
        <is>
          <t>Synthetische snapshot; kwartalen zijn FY-verdeling, geen actuals</t>
        </is>
      </c>
      <c r="S495" s="15" t="str">
        <f>IF(J495="","",J495&amp;"|"&amp;E495&amp;"|"&amp;F495&amp;"|"&amp;I495&amp;"|"&amp;O495)</f>
        <v>G.900002.8.9090|2026|Q2|2026|Woningverkopen Q2</v>
      </c>
      <c r="T495" s="15">
        <f>IF(OR(S495="",D495&lt;&gt;"Vastgesteld"),"",_xlfn.MAXIFS($G$6:$G$5005,$S$6:$S$5005,S495,$D$6:$D$5005,"Vastgesteld"))</f>
        <v>0</v>
      </c>
      <c r="U495" s="15">
        <f>IF(T495="",0,IF(AND(G495=T495,COUNTIFS($S$6:S495,S495,$G$6:G495,G495,$D$6:D495,"Vastgesteld")=1),1,0))</f>
        <v>1</v>
      </c>
      <c r="V495" s="15">
        <f>IF(T495="",0,IF(AND(G495=T495,COUNTIFS($S$6:S495,S495,$G$6:G495,G495,$D$6:D495,"Vastgesteld")&gt;1),1,0))</f>
        <v>0</v>
      </c>
    </row>
    <row r="496">
      <c r="A496" s="92" t="inlineStr">
        <is>
          <t>HIST-2026-Q2</t>
        </is>
      </c>
      <c r="B496" s="92" t="inlineStr">
        <is>
          <t>RDFO_FICTIEVE_historie_en_mapping.xlsx</t>
        </is>
      </c>
      <c r="C496" s="108" t="n">
        <v>46324</v>
      </c>
      <c r="D496" s="92" t="inlineStr">
        <is>
          <t>Vastgesteld</t>
        </is>
      </c>
      <c r="E496" s="92" t="n">
        <v>2026</v>
      </c>
      <c r="F496" s="92" t="inlineStr">
        <is>
          <t>Q2</t>
        </is>
      </c>
      <c r="G496" s="92" t="n">
        <v>0</v>
      </c>
      <c r="H496" s="108" t="n">
        <v>46203</v>
      </c>
      <c r="I496" s="92" t="n">
        <v>2026</v>
      </c>
      <c r="J496" s="92" t="inlineStr">
        <is>
          <t>G.900002.8.9090</t>
        </is>
      </c>
      <c r="K496" s="92" t="inlineStr">
        <is>
          <t>G.900002</t>
        </is>
      </c>
      <c r="L496" s="92" t="inlineStr">
        <is>
          <t>Duinwaard, De Watergaarde</t>
        </is>
      </c>
      <c r="M496" s="92" t="inlineStr">
        <is>
          <t>Opstal</t>
        </is>
      </c>
      <c r="N496" s="92" t="inlineStr">
        <is>
          <t>J</t>
        </is>
      </c>
      <c r="O496" s="92" t="inlineStr">
        <is>
          <t>Woningverkopen Q3</t>
        </is>
      </c>
      <c r="P496" s="109" t="n">
        <v>3</v>
      </c>
      <c r="Q496" s="92" t="inlineStr">
        <is>
          <t>aantal</t>
        </is>
      </c>
      <c r="R496" s="92" t="inlineStr">
        <is>
          <t>Synthetische snapshot; kwartalen zijn FY-verdeling, geen actuals</t>
        </is>
      </c>
      <c r="S496" s="15" t="str">
        <f>IF(J496="","",J496&amp;"|"&amp;E496&amp;"|"&amp;F496&amp;"|"&amp;I496&amp;"|"&amp;O496)</f>
        <v>G.900002.8.9090|2026|Q2|2026|Woningverkopen Q3</v>
      </c>
      <c r="T496" s="15">
        <f>IF(OR(S496="",D496&lt;&gt;"Vastgesteld"),"",_xlfn.MAXIFS($G$6:$G$5005,$S$6:$S$5005,S496,$D$6:$D$5005,"Vastgesteld"))</f>
        <v>0</v>
      </c>
      <c r="U496" s="15">
        <f>IF(T496="",0,IF(AND(G496=T496,COUNTIFS($S$6:S496,S496,$G$6:G496,G496,$D$6:D496,"Vastgesteld")=1),1,0))</f>
        <v>1</v>
      </c>
      <c r="V496" s="15">
        <f>IF(T496="",0,IF(AND(G496=T496,COUNTIFS($S$6:S496,S496,$G$6:G496,G496,$D$6:D496,"Vastgesteld")&gt;1),1,0))</f>
        <v>0</v>
      </c>
    </row>
    <row r="497">
      <c r="A497" s="92" t="inlineStr">
        <is>
          <t>HIST-2026-Q2</t>
        </is>
      </c>
      <c r="B497" s="92" t="inlineStr">
        <is>
          <t>RDFO_FICTIEVE_historie_en_mapping.xlsx</t>
        </is>
      </c>
      <c r="C497" s="108" t="n">
        <v>46324</v>
      </c>
      <c r="D497" s="92" t="inlineStr">
        <is>
          <t>Vastgesteld</t>
        </is>
      </c>
      <c r="E497" s="92" t="n">
        <v>2026</v>
      </c>
      <c r="F497" s="92" t="inlineStr">
        <is>
          <t>Q2</t>
        </is>
      </c>
      <c r="G497" s="92" t="n">
        <v>0</v>
      </c>
      <c r="H497" s="108" t="n">
        <v>46203</v>
      </c>
      <c r="I497" s="92" t="n">
        <v>2026</v>
      </c>
      <c r="J497" s="92" t="inlineStr">
        <is>
          <t>G.900002.8.9090</t>
        </is>
      </c>
      <c r="K497" s="92" t="inlineStr">
        <is>
          <t>G.900002</t>
        </is>
      </c>
      <c r="L497" s="92" t="inlineStr">
        <is>
          <t>Duinwaard, De Watergaarde</t>
        </is>
      </c>
      <c r="M497" s="92" t="inlineStr">
        <is>
          <t>Opstal</t>
        </is>
      </c>
      <c r="N497" s="92" t="inlineStr">
        <is>
          <t>J</t>
        </is>
      </c>
      <c r="O497" s="92" t="inlineStr">
        <is>
          <t>Woningverkopen Q4</t>
        </is>
      </c>
      <c r="P497" s="109" t="n">
        <v>5</v>
      </c>
      <c r="Q497" s="92" t="inlineStr">
        <is>
          <t>aantal</t>
        </is>
      </c>
      <c r="R497" s="92" t="inlineStr">
        <is>
          <t>Synthetische snapshot; kwartalen zijn FY-verdeling, geen actuals</t>
        </is>
      </c>
      <c r="S497" s="15" t="str">
        <f>IF(J497="","",J497&amp;"|"&amp;E497&amp;"|"&amp;F497&amp;"|"&amp;I497&amp;"|"&amp;O497)</f>
        <v>G.900002.8.9090|2026|Q2|2026|Woningverkopen Q4</v>
      </c>
      <c r="T497" s="15">
        <f>IF(OR(S497="",D497&lt;&gt;"Vastgesteld"),"",_xlfn.MAXIFS($G$6:$G$5005,$S$6:$S$5005,S497,$D$6:$D$5005,"Vastgesteld"))</f>
        <v>0</v>
      </c>
      <c r="U497" s="15">
        <f>IF(T497="",0,IF(AND(G497=T497,COUNTIFS($S$6:S497,S497,$G$6:G497,G497,$D$6:D497,"Vastgesteld")=1),1,0))</f>
        <v>1</v>
      </c>
      <c r="V497" s="15">
        <f>IF(T497="",0,IF(AND(G497=T497,COUNTIFS($S$6:S497,S497,$G$6:G497,G497,$D$6:D497,"Vastgesteld")&gt;1),1,0))</f>
        <v>0</v>
      </c>
    </row>
    <row r="498">
      <c r="A498" s="92" t="inlineStr">
        <is>
          <t>HIST-2026-Q2</t>
        </is>
      </c>
      <c r="B498" s="92" t="inlineStr">
        <is>
          <t>RDFO_FICTIEVE_historie_en_mapping.xlsx</t>
        </is>
      </c>
      <c r="C498" s="108" t="n">
        <v>46324</v>
      </c>
      <c r="D498" s="92" t="inlineStr">
        <is>
          <t>Vastgesteld</t>
        </is>
      </c>
      <c r="E498" s="92" t="n">
        <v>2026</v>
      </c>
      <c r="F498" s="92" t="inlineStr">
        <is>
          <t>Q2</t>
        </is>
      </c>
      <c r="G498" s="92" t="n">
        <v>0</v>
      </c>
      <c r="H498" s="108" t="n">
        <v>46203</v>
      </c>
      <c r="I498" s="92" t="n">
        <v>2026</v>
      </c>
      <c r="J498" s="92" t="inlineStr">
        <is>
          <t>G.900003.8.9090</t>
        </is>
      </c>
      <c r="K498" s="92" t="inlineStr">
        <is>
          <t>G.900003</t>
        </is>
      </c>
      <c r="L498" s="92" t="inlineStr">
        <is>
          <t>Veldendam, Stationshof</t>
        </is>
      </c>
      <c r="M498" s="92" t="inlineStr">
        <is>
          <t>Opstal</t>
        </is>
      </c>
      <c r="N498" s="92" t="inlineStr">
        <is>
          <t>J</t>
        </is>
      </c>
      <c r="O498" s="92" t="inlineStr">
        <is>
          <t>Woningverkopen FY</t>
        </is>
      </c>
      <c r="P498" s="109" t="n">
        <v>19</v>
      </c>
      <c r="Q498" s="92" t="inlineStr">
        <is>
          <t>aantal</t>
        </is>
      </c>
      <c r="R498" s="92" t="inlineStr">
        <is>
          <t>Synthetische snapshot; kwartalen zijn FY-verdeling, geen actuals</t>
        </is>
      </c>
      <c r="S498" s="15" t="str">
        <f>IF(J498="","",J498&amp;"|"&amp;E498&amp;"|"&amp;F498&amp;"|"&amp;I498&amp;"|"&amp;O498)</f>
        <v>G.900003.8.9090|2026|Q2|2026|Woningverkopen FY</v>
      </c>
      <c r="T498" s="15">
        <f>IF(OR(S498="",D498&lt;&gt;"Vastgesteld"),"",_xlfn.MAXIFS($G$6:$G$5005,$S$6:$S$5005,S498,$D$6:$D$5005,"Vastgesteld"))</f>
        <v>0</v>
      </c>
      <c r="U498" s="15">
        <f>IF(T498="",0,IF(AND(G498=T498,COUNTIFS($S$6:S498,S498,$G$6:G498,G498,$D$6:D498,"Vastgesteld")=1),1,0))</f>
        <v>1</v>
      </c>
      <c r="V498" s="15">
        <f>IF(T498="",0,IF(AND(G498=T498,COUNTIFS($S$6:S498,S498,$G$6:G498,G498,$D$6:D498,"Vastgesteld")&gt;1),1,0))</f>
        <v>0</v>
      </c>
    </row>
    <row r="499">
      <c r="A499" s="92" t="inlineStr">
        <is>
          <t>HIST-2026-Q2</t>
        </is>
      </c>
      <c r="B499" s="92" t="inlineStr">
        <is>
          <t>RDFO_FICTIEVE_historie_en_mapping.xlsx</t>
        </is>
      </c>
      <c r="C499" s="108" t="n">
        <v>46324</v>
      </c>
      <c r="D499" s="92" t="inlineStr">
        <is>
          <t>Vastgesteld</t>
        </is>
      </c>
      <c r="E499" s="92" t="n">
        <v>2026</v>
      </c>
      <c r="F499" s="92" t="inlineStr">
        <is>
          <t>Q2</t>
        </is>
      </c>
      <c r="G499" s="92" t="n">
        <v>0</v>
      </c>
      <c r="H499" s="108" t="n">
        <v>46203</v>
      </c>
      <c r="I499" s="92" t="n">
        <v>2026</v>
      </c>
      <c r="J499" s="92" t="inlineStr">
        <is>
          <t>G.900003.8.9090</t>
        </is>
      </c>
      <c r="K499" s="92" t="inlineStr">
        <is>
          <t>G.900003</t>
        </is>
      </c>
      <c r="L499" s="92" t="inlineStr">
        <is>
          <t>Veldendam, Stationshof</t>
        </is>
      </c>
      <c r="M499" s="92" t="inlineStr">
        <is>
          <t>Opstal</t>
        </is>
      </c>
      <c r="N499" s="92" t="inlineStr">
        <is>
          <t>J</t>
        </is>
      </c>
      <c r="O499" s="92" t="inlineStr">
        <is>
          <t>Woningen verkocht t/m vorig jaar</t>
        </is>
      </c>
      <c r="P499" s="109" t="n">
        <v>15</v>
      </c>
      <c r="Q499" s="92" t="inlineStr">
        <is>
          <t>aantal</t>
        </is>
      </c>
      <c r="R499" s="92" t="inlineStr">
        <is>
          <t>Synthetische snapshot; kwartalen zijn FY-verdeling, geen actuals</t>
        </is>
      </c>
      <c r="S499" s="15" t="str">
        <f>IF(J499="","",J499&amp;"|"&amp;E499&amp;"|"&amp;F499&amp;"|"&amp;I499&amp;"|"&amp;O499)</f>
        <v>G.900003.8.9090|2026|Q2|2026|Woningen verkocht t/m vorig jaar</v>
      </c>
      <c r="T499" s="15">
        <f>IF(OR(S499="",D499&lt;&gt;"Vastgesteld"),"",_xlfn.MAXIFS($G$6:$G$5005,$S$6:$S$5005,S499,$D$6:$D$5005,"Vastgesteld"))</f>
        <v>0</v>
      </c>
      <c r="U499" s="15">
        <f>IF(T499="",0,IF(AND(G499=T499,COUNTIFS($S$6:S499,S499,$G$6:G499,G499,$D$6:D499,"Vastgesteld")=1),1,0))</f>
        <v>1</v>
      </c>
      <c r="V499" s="15">
        <f>IF(T499="",0,IF(AND(G499=T499,COUNTIFS($S$6:S499,S499,$G$6:G499,G499,$D$6:D499,"Vastgesteld")&gt;1),1,0))</f>
        <v>0</v>
      </c>
    </row>
    <row r="500">
      <c r="A500" s="92" t="inlineStr">
        <is>
          <t>HIST-2026-Q2</t>
        </is>
      </c>
      <c r="B500" s="92" t="inlineStr">
        <is>
          <t>RDFO_FICTIEVE_historie_en_mapping.xlsx</t>
        </is>
      </c>
      <c r="C500" s="108" t="n">
        <v>46324</v>
      </c>
      <c r="D500" s="92" t="inlineStr">
        <is>
          <t>Vastgesteld</t>
        </is>
      </c>
      <c r="E500" s="92" t="n">
        <v>2026</v>
      </c>
      <c r="F500" s="92" t="inlineStr">
        <is>
          <t>Q2</t>
        </is>
      </c>
      <c r="G500" s="92" t="n">
        <v>0</v>
      </c>
      <c r="H500" s="108" t="n">
        <v>46203</v>
      </c>
      <c r="I500" s="92" t="n">
        <v>2026</v>
      </c>
      <c r="J500" s="92" t="inlineStr">
        <is>
          <t>G.900003.8.9090</t>
        </is>
      </c>
      <c r="K500" s="92" t="inlineStr">
        <is>
          <t>G.900003</t>
        </is>
      </c>
      <c r="L500" s="92" t="inlineStr">
        <is>
          <t>Veldendam, Stationshof</t>
        </is>
      </c>
      <c r="M500" s="92" t="inlineStr">
        <is>
          <t>Opstal</t>
        </is>
      </c>
      <c r="N500" s="92" t="inlineStr">
        <is>
          <t>J</t>
        </is>
      </c>
      <c r="O500" s="92" t="inlineStr">
        <is>
          <t>Woningverkopen Q1</t>
        </is>
      </c>
      <c r="P500" s="109" t="n">
        <v>3</v>
      </c>
      <c r="Q500" s="92" t="inlineStr">
        <is>
          <t>aantal</t>
        </is>
      </c>
      <c r="R500" s="92" t="inlineStr">
        <is>
          <t>Synthetische snapshot; kwartalen zijn FY-verdeling, geen actuals</t>
        </is>
      </c>
      <c r="S500" s="15" t="str">
        <f>IF(J500="","",J500&amp;"|"&amp;E500&amp;"|"&amp;F500&amp;"|"&amp;I500&amp;"|"&amp;O500)</f>
        <v>G.900003.8.9090|2026|Q2|2026|Woningverkopen Q1</v>
      </c>
      <c r="T500" s="15">
        <f>IF(OR(S500="",D500&lt;&gt;"Vastgesteld"),"",_xlfn.MAXIFS($G$6:$G$5005,$S$6:$S$5005,S500,$D$6:$D$5005,"Vastgesteld"))</f>
        <v>0</v>
      </c>
      <c r="U500" s="15">
        <f>IF(T500="",0,IF(AND(G500=T500,COUNTIFS($S$6:S500,S500,$G$6:G500,G500,$D$6:D500,"Vastgesteld")=1),1,0))</f>
        <v>1</v>
      </c>
      <c r="V500" s="15">
        <f>IF(T500="",0,IF(AND(G500=T500,COUNTIFS($S$6:S500,S500,$G$6:G500,G500,$D$6:D500,"Vastgesteld")&gt;1),1,0))</f>
        <v>0</v>
      </c>
    </row>
    <row r="501">
      <c r="A501" s="92" t="inlineStr">
        <is>
          <t>HIST-2026-Q2</t>
        </is>
      </c>
      <c r="B501" s="92" t="inlineStr">
        <is>
          <t>RDFO_FICTIEVE_historie_en_mapping.xlsx</t>
        </is>
      </c>
      <c r="C501" s="108" t="n">
        <v>46324</v>
      </c>
      <c r="D501" s="92" t="inlineStr">
        <is>
          <t>Vastgesteld</t>
        </is>
      </c>
      <c r="E501" s="92" t="n">
        <v>2026</v>
      </c>
      <c r="F501" s="92" t="inlineStr">
        <is>
          <t>Q2</t>
        </is>
      </c>
      <c r="G501" s="92" t="n">
        <v>0</v>
      </c>
      <c r="H501" s="108" t="n">
        <v>46203</v>
      </c>
      <c r="I501" s="92" t="n">
        <v>2026</v>
      </c>
      <c r="J501" s="92" t="inlineStr">
        <is>
          <t>G.900003.8.9090</t>
        </is>
      </c>
      <c r="K501" s="92" t="inlineStr">
        <is>
          <t>G.900003</t>
        </is>
      </c>
      <c r="L501" s="92" t="inlineStr">
        <is>
          <t>Veldendam, Stationshof</t>
        </is>
      </c>
      <c r="M501" s="92" t="inlineStr">
        <is>
          <t>Opstal</t>
        </is>
      </c>
      <c r="N501" s="92" t="inlineStr">
        <is>
          <t>J</t>
        </is>
      </c>
      <c r="O501" s="92" t="inlineStr">
        <is>
          <t>Woningverkopen Q2</t>
        </is>
      </c>
      <c r="P501" s="109" t="n">
        <v>4</v>
      </c>
      <c r="Q501" s="92" t="inlineStr">
        <is>
          <t>aantal</t>
        </is>
      </c>
      <c r="R501" s="92" t="inlineStr">
        <is>
          <t>Synthetische snapshot; kwartalen zijn FY-verdeling, geen actuals</t>
        </is>
      </c>
      <c r="S501" s="15" t="str">
        <f>IF(J501="","",J501&amp;"|"&amp;E501&amp;"|"&amp;F501&amp;"|"&amp;I501&amp;"|"&amp;O501)</f>
        <v>G.900003.8.9090|2026|Q2|2026|Woningverkopen Q2</v>
      </c>
      <c r="T501" s="15">
        <f>IF(OR(S501="",D501&lt;&gt;"Vastgesteld"),"",_xlfn.MAXIFS($G$6:$G$5005,$S$6:$S$5005,S501,$D$6:$D$5005,"Vastgesteld"))</f>
        <v>0</v>
      </c>
      <c r="U501" s="15">
        <f>IF(T501="",0,IF(AND(G501=T501,COUNTIFS($S$6:S501,S501,$G$6:G501,G501,$D$6:D501,"Vastgesteld")=1),1,0))</f>
        <v>1</v>
      </c>
      <c r="V501" s="15">
        <f>IF(T501="",0,IF(AND(G501=T501,COUNTIFS($S$6:S501,S501,$G$6:G501,G501,$D$6:D501,"Vastgesteld")&gt;1),1,0))</f>
        <v>0</v>
      </c>
    </row>
    <row r="502">
      <c r="A502" s="92" t="inlineStr">
        <is>
          <t>HIST-2026-Q2</t>
        </is>
      </c>
      <c r="B502" s="92" t="inlineStr">
        <is>
          <t>RDFO_FICTIEVE_historie_en_mapping.xlsx</t>
        </is>
      </c>
      <c r="C502" s="108" t="n">
        <v>46324</v>
      </c>
      <c r="D502" s="92" t="inlineStr">
        <is>
          <t>Vastgesteld</t>
        </is>
      </c>
      <c r="E502" s="92" t="n">
        <v>2026</v>
      </c>
      <c r="F502" s="92" t="inlineStr">
        <is>
          <t>Q2</t>
        </is>
      </c>
      <c r="G502" s="92" t="n">
        <v>0</v>
      </c>
      <c r="H502" s="108" t="n">
        <v>46203</v>
      </c>
      <c r="I502" s="92" t="n">
        <v>2026</v>
      </c>
      <c r="J502" s="92" t="inlineStr">
        <is>
          <t>G.900003.8.9090</t>
        </is>
      </c>
      <c r="K502" s="92" t="inlineStr">
        <is>
          <t>G.900003</t>
        </is>
      </c>
      <c r="L502" s="92" t="inlineStr">
        <is>
          <t>Veldendam, Stationshof</t>
        </is>
      </c>
      <c r="M502" s="92" t="inlineStr">
        <is>
          <t>Opstal</t>
        </is>
      </c>
      <c r="N502" s="92" t="inlineStr">
        <is>
          <t>J</t>
        </is>
      </c>
      <c r="O502" s="92" t="inlineStr">
        <is>
          <t>Woningverkopen Q3</t>
        </is>
      </c>
      <c r="P502" s="109" t="n">
        <v>4</v>
      </c>
      <c r="Q502" s="92" t="inlineStr">
        <is>
          <t>aantal</t>
        </is>
      </c>
      <c r="R502" s="92" t="inlineStr">
        <is>
          <t>Synthetische snapshot; kwartalen zijn FY-verdeling, geen actuals</t>
        </is>
      </c>
      <c r="S502" s="15" t="str">
        <f>IF(J502="","",J502&amp;"|"&amp;E502&amp;"|"&amp;F502&amp;"|"&amp;I502&amp;"|"&amp;O502)</f>
        <v>G.900003.8.9090|2026|Q2|2026|Woningverkopen Q3</v>
      </c>
      <c r="T502" s="15">
        <f>IF(OR(S502="",D502&lt;&gt;"Vastgesteld"),"",_xlfn.MAXIFS($G$6:$G$5005,$S$6:$S$5005,S502,$D$6:$D$5005,"Vastgesteld"))</f>
        <v>0</v>
      </c>
      <c r="U502" s="15">
        <f>IF(T502="",0,IF(AND(G502=T502,COUNTIFS($S$6:S502,S502,$G$6:G502,G502,$D$6:D502,"Vastgesteld")=1),1,0))</f>
        <v>1</v>
      </c>
      <c r="V502" s="15">
        <f>IF(T502="",0,IF(AND(G502=T502,COUNTIFS($S$6:S502,S502,$G$6:G502,G502,$D$6:D502,"Vastgesteld")&gt;1),1,0))</f>
        <v>0</v>
      </c>
    </row>
    <row r="503">
      <c r="A503" s="92" t="inlineStr">
        <is>
          <t>HIST-2026-Q2</t>
        </is>
      </c>
      <c r="B503" s="92" t="inlineStr">
        <is>
          <t>RDFO_FICTIEVE_historie_en_mapping.xlsx</t>
        </is>
      </c>
      <c r="C503" s="108" t="n">
        <v>46324</v>
      </c>
      <c r="D503" s="92" t="inlineStr">
        <is>
          <t>Vastgesteld</t>
        </is>
      </c>
      <c r="E503" s="92" t="n">
        <v>2026</v>
      </c>
      <c r="F503" s="92" t="inlineStr">
        <is>
          <t>Q2</t>
        </is>
      </c>
      <c r="G503" s="92" t="n">
        <v>0</v>
      </c>
      <c r="H503" s="108" t="n">
        <v>46203</v>
      </c>
      <c r="I503" s="92" t="n">
        <v>2026</v>
      </c>
      <c r="J503" s="92" t="inlineStr">
        <is>
          <t>G.900003.8.9090</t>
        </is>
      </c>
      <c r="K503" s="92" t="inlineStr">
        <is>
          <t>G.900003</t>
        </is>
      </c>
      <c r="L503" s="92" t="inlineStr">
        <is>
          <t>Veldendam, Stationshof</t>
        </is>
      </c>
      <c r="M503" s="92" t="inlineStr">
        <is>
          <t>Opstal</t>
        </is>
      </c>
      <c r="N503" s="92" t="inlineStr">
        <is>
          <t>J</t>
        </is>
      </c>
      <c r="O503" s="92" t="inlineStr">
        <is>
          <t>Woningverkopen Q4</t>
        </is>
      </c>
      <c r="P503" s="109" t="n">
        <v>8</v>
      </c>
      <c r="Q503" s="92" t="inlineStr">
        <is>
          <t>aantal</t>
        </is>
      </c>
      <c r="R503" s="92" t="inlineStr">
        <is>
          <t>Synthetische snapshot; kwartalen zijn FY-verdeling, geen actuals</t>
        </is>
      </c>
      <c r="S503" s="15" t="str">
        <f>IF(J503="","",J503&amp;"|"&amp;E503&amp;"|"&amp;F503&amp;"|"&amp;I503&amp;"|"&amp;O503)</f>
        <v>G.900003.8.9090|2026|Q2|2026|Woningverkopen Q4</v>
      </c>
      <c r="T503" s="15">
        <f>IF(OR(S503="",D503&lt;&gt;"Vastgesteld"),"",_xlfn.MAXIFS($G$6:$G$5005,$S$6:$S$5005,S503,$D$6:$D$5005,"Vastgesteld"))</f>
        <v>0</v>
      </c>
      <c r="U503" s="15">
        <f>IF(T503="",0,IF(AND(G503=T503,COUNTIFS($S$6:S503,S503,$G$6:G503,G503,$D$6:D503,"Vastgesteld")=1),1,0))</f>
        <v>1</v>
      </c>
      <c r="V503" s="15">
        <f>IF(T503="",0,IF(AND(G503=T503,COUNTIFS($S$6:S503,S503,$G$6:G503,G503,$D$6:D503,"Vastgesteld")&gt;1),1,0))</f>
        <v>0</v>
      </c>
    </row>
    <row r="504">
      <c r="A504" s="92" t="inlineStr">
        <is>
          <t>HIST-2026-Q2</t>
        </is>
      </c>
      <c r="B504" s="92" t="inlineStr">
        <is>
          <t>RDFO_FICTIEVE_historie_en_mapping.xlsx</t>
        </is>
      </c>
      <c r="C504" s="108" t="n">
        <v>46324</v>
      </c>
      <c r="D504" s="92" t="inlineStr">
        <is>
          <t>Vastgesteld</t>
        </is>
      </c>
      <c r="E504" s="92" t="n">
        <v>2026</v>
      </c>
      <c r="F504" s="92" t="inlineStr">
        <is>
          <t>Q2</t>
        </is>
      </c>
      <c r="G504" s="92" t="n">
        <v>0</v>
      </c>
      <c r="H504" s="108" t="n">
        <v>46203</v>
      </c>
      <c r="I504" s="92" t="n">
        <v>2026</v>
      </c>
      <c r="J504" s="92" t="inlineStr">
        <is>
          <t>G.900004.8.9090</t>
        </is>
      </c>
      <c r="K504" s="92" t="inlineStr">
        <is>
          <t>G.900004</t>
        </is>
      </c>
      <c r="L504" s="92" t="inlineStr">
        <is>
          <t>Meerhovenstad, Het Kompas</t>
        </is>
      </c>
      <c r="M504" s="92" t="inlineStr">
        <is>
          <t>Deelneming</t>
        </is>
      </c>
      <c r="N504" s="92" t="inlineStr">
        <is>
          <t>N</t>
        </is>
      </c>
      <c r="O504" s="92" t="inlineStr">
        <is>
          <t>Woningverkopen FY</t>
        </is>
      </c>
      <c r="P504" s="109" t="n">
        <v>6</v>
      </c>
      <c r="Q504" s="92" t="inlineStr">
        <is>
          <t>aantal</t>
        </is>
      </c>
      <c r="R504" s="92" t="inlineStr">
        <is>
          <t>Synthetische snapshot; kwartalen zijn FY-verdeling, geen actuals</t>
        </is>
      </c>
      <c r="S504" s="15" t="str">
        <f>IF(J504="","",J504&amp;"|"&amp;E504&amp;"|"&amp;F504&amp;"|"&amp;I504&amp;"|"&amp;O504)</f>
        <v>G.900004.8.9090|2026|Q2|2026|Woningverkopen FY</v>
      </c>
      <c r="T504" s="15">
        <f>IF(OR(S504="",D504&lt;&gt;"Vastgesteld"),"",_xlfn.MAXIFS($G$6:$G$5005,$S$6:$S$5005,S504,$D$6:$D$5005,"Vastgesteld"))</f>
        <v>0</v>
      </c>
      <c r="U504" s="15">
        <f>IF(T504="",0,IF(AND(G504=T504,COUNTIFS($S$6:S504,S504,$G$6:G504,G504,$D$6:D504,"Vastgesteld")=1),1,0))</f>
        <v>1</v>
      </c>
      <c r="V504" s="15">
        <f>IF(T504="",0,IF(AND(G504=T504,COUNTIFS($S$6:S504,S504,$G$6:G504,G504,$D$6:D504,"Vastgesteld")&gt;1),1,0))</f>
        <v>0</v>
      </c>
    </row>
    <row r="505">
      <c r="A505" s="92" t="inlineStr">
        <is>
          <t>HIST-2026-Q2</t>
        </is>
      </c>
      <c r="B505" s="92" t="inlineStr">
        <is>
          <t>RDFO_FICTIEVE_historie_en_mapping.xlsx</t>
        </is>
      </c>
      <c r="C505" s="108" t="n">
        <v>46324</v>
      </c>
      <c r="D505" s="92" t="inlineStr">
        <is>
          <t>Vastgesteld</t>
        </is>
      </c>
      <c r="E505" s="92" t="n">
        <v>2026</v>
      </c>
      <c r="F505" s="92" t="inlineStr">
        <is>
          <t>Q2</t>
        </is>
      </c>
      <c r="G505" s="92" t="n">
        <v>0</v>
      </c>
      <c r="H505" s="108" t="n">
        <v>46203</v>
      </c>
      <c r="I505" s="92" t="n">
        <v>2026</v>
      </c>
      <c r="J505" s="92" t="inlineStr">
        <is>
          <t>G.900004.8.9090</t>
        </is>
      </c>
      <c r="K505" s="92" t="inlineStr">
        <is>
          <t>G.900004</t>
        </is>
      </c>
      <c r="L505" s="92" t="inlineStr">
        <is>
          <t>Meerhovenstad, Het Kompas</t>
        </is>
      </c>
      <c r="M505" s="92" t="inlineStr">
        <is>
          <t>Deelneming</t>
        </is>
      </c>
      <c r="N505" s="92" t="inlineStr">
        <is>
          <t>N</t>
        </is>
      </c>
      <c r="O505" s="92" t="inlineStr">
        <is>
          <t>Woningen verkocht t/m vorig jaar</t>
        </is>
      </c>
      <c r="P505" s="109" t="n">
        <v>4</v>
      </c>
      <c r="Q505" s="92" t="inlineStr">
        <is>
          <t>aantal</t>
        </is>
      </c>
      <c r="R505" s="92" t="inlineStr">
        <is>
          <t>Synthetische snapshot; kwartalen zijn FY-verdeling, geen actuals</t>
        </is>
      </c>
      <c r="S505" s="15" t="str">
        <f>IF(J505="","",J505&amp;"|"&amp;E505&amp;"|"&amp;F505&amp;"|"&amp;I505&amp;"|"&amp;O505)</f>
        <v>G.900004.8.9090|2026|Q2|2026|Woningen verkocht t/m vorig jaar</v>
      </c>
      <c r="T505" s="15">
        <f>IF(OR(S505="",D505&lt;&gt;"Vastgesteld"),"",_xlfn.MAXIFS($G$6:$G$5005,$S$6:$S$5005,S505,$D$6:$D$5005,"Vastgesteld"))</f>
        <v>0</v>
      </c>
      <c r="U505" s="15">
        <f>IF(T505="",0,IF(AND(G505=T505,COUNTIFS($S$6:S505,S505,$G$6:G505,G505,$D$6:D505,"Vastgesteld")=1),1,0))</f>
        <v>1</v>
      </c>
      <c r="V505" s="15">
        <f>IF(T505="",0,IF(AND(G505=T505,COUNTIFS($S$6:S505,S505,$G$6:G505,G505,$D$6:D505,"Vastgesteld")&gt;1),1,0))</f>
        <v>0</v>
      </c>
    </row>
    <row r="506">
      <c r="A506" s="92" t="inlineStr">
        <is>
          <t>HIST-2026-Q2</t>
        </is>
      </c>
      <c r="B506" s="92" t="inlineStr">
        <is>
          <t>RDFO_FICTIEVE_historie_en_mapping.xlsx</t>
        </is>
      </c>
      <c r="C506" s="108" t="n">
        <v>46324</v>
      </c>
      <c r="D506" s="92" t="inlineStr">
        <is>
          <t>Vastgesteld</t>
        </is>
      </c>
      <c r="E506" s="92" t="n">
        <v>2026</v>
      </c>
      <c r="F506" s="92" t="inlineStr">
        <is>
          <t>Q2</t>
        </is>
      </c>
      <c r="G506" s="92" t="n">
        <v>0</v>
      </c>
      <c r="H506" s="108" t="n">
        <v>46203</v>
      </c>
      <c r="I506" s="92" t="n">
        <v>2026</v>
      </c>
      <c r="J506" s="92" t="inlineStr">
        <is>
          <t>G.900004.8.9090</t>
        </is>
      </c>
      <c r="K506" s="92" t="inlineStr">
        <is>
          <t>G.900004</t>
        </is>
      </c>
      <c r="L506" s="92" t="inlineStr">
        <is>
          <t>Meerhovenstad, Het Kompas</t>
        </is>
      </c>
      <c r="M506" s="92" t="inlineStr">
        <is>
          <t>Deelneming</t>
        </is>
      </c>
      <c r="N506" s="92" t="inlineStr">
        <is>
          <t>N</t>
        </is>
      </c>
      <c r="O506" s="92" t="inlineStr">
        <is>
          <t>Woningverkopen Q1</t>
        </is>
      </c>
      <c r="P506" s="109" t="n">
        <v>1</v>
      </c>
      <c r="Q506" s="92" t="inlineStr">
        <is>
          <t>aantal</t>
        </is>
      </c>
      <c r="R506" s="92" t="inlineStr">
        <is>
          <t>Synthetische snapshot; kwartalen zijn FY-verdeling, geen actuals</t>
        </is>
      </c>
      <c r="S506" s="15" t="str">
        <f>IF(J506="","",J506&amp;"|"&amp;E506&amp;"|"&amp;F506&amp;"|"&amp;I506&amp;"|"&amp;O506)</f>
        <v>G.900004.8.9090|2026|Q2|2026|Woningverkopen Q1</v>
      </c>
      <c r="T506" s="15">
        <f>IF(OR(S506="",D506&lt;&gt;"Vastgesteld"),"",_xlfn.MAXIFS($G$6:$G$5005,$S$6:$S$5005,S506,$D$6:$D$5005,"Vastgesteld"))</f>
        <v>0</v>
      </c>
      <c r="U506" s="15">
        <f>IF(T506="",0,IF(AND(G506=T506,COUNTIFS($S$6:S506,S506,$G$6:G506,G506,$D$6:D506,"Vastgesteld")=1),1,0))</f>
        <v>1</v>
      </c>
      <c r="V506" s="15">
        <f>IF(T506="",0,IF(AND(G506=T506,COUNTIFS($S$6:S506,S506,$G$6:G506,G506,$D$6:D506,"Vastgesteld")&gt;1),1,0))</f>
        <v>0</v>
      </c>
    </row>
    <row r="507">
      <c r="A507" s="92" t="inlineStr">
        <is>
          <t>HIST-2026-Q2</t>
        </is>
      </c>
      <c r="B507" s="92" t="inlineStr">
        <is>
          <t>RDFO_FICTIEVE_historie_en_mapping.xlsx</t>
        </is>
      </c>
      <c r="C507" s="108" t="n">
        <v>46324</v>
      </c>
      <c r="D507" s="92" t="inlineStr">
        <is>
          <t>Vastgesteld</t>
        </is>
      </c>
      <c r="E507" s="92" t="n">
        <v>2026</v>
      </c>
      <c r="F507" s="92" t="inlineStr">
        <is>
          <t>Q2</t>
        </is>
      </c>
      <c r="G507" s="92" t="n">
        <v>0</v>
      </c>
      <c r="H507" s="108" t="n">
        <v>46203</v>
      </c>
      <c r="I507" s="92" t="n">
        <v>2026</v>
      </c>
      <c r="J507" s="92" t="inlineStr">
        <is>
          <t>G.900004.8.9090</t>
        </is>
      </c>
      <c r="K507" s="92" t="inlineStr">
        <is>
          <t>G.900004</t>
        </is>
      </c>
      <c r="L507" s="92" t="inlineStr">
        <is>
          <t>Meerhovenstad, Het Kompas</t>
        </is>
      </c>
      <c r="M507" s="92" t="inlineStr">
        <is>
          <t>Deelneming</t>
        </is>
      </c>
      <c r="N507" s="92" t="inlineStr">
        <is>
          <t>N</t>
        </is>
      </c>
      <c r="O507" s="92" t="inlineStr">
        <is>
          <t>Woningverkopen Q2</t>
        </is>
      </c>
      <c r="P507" s="109" t="n">
        <v>1</v>
      </c>
      <c r="Q507" s="92" t="inlineStr">
        <is>
          <t>aantal</t>
        </is>
      </c>
      <c r="R507" s="92" t="inlineStr">
        <is>
          <t>Synthetische snapshot; kwartalen zijn FY-verdeling, geen actuals</t>
        </is>
      </c>
      <c r="S507" s="15" t="str">
        <f>IF(J507="","",J507&amp;"|"&amp;E507&amp;"|"&amp;F507&amp;"|"&amp;I507&amp;"|"&amp;O507)</f>
        <v>G.900004.8.9090|2026|Q2|2026|Woningverkopen Q2</v>
      </c>
      <c r="T507" s="15">
        <f>IF(OR(S507="",D507&lt;&gt;"Vastgesteld"),"",_xlfn.MAXIFS($G$6:$G$5005,$S$6:$S$5005,S507,$D$6:$D$5005,"Vastgesteld"))</f>
        <v>0</v>
      </c>
      <c r="U507" s="15">
        <f>IF(T507="",0,IF(AND(G507=T507,COUNTIFS($S$6:S507,S507,$G$6:G507,G507,$D$6:D507,"Vastgesteld")=1),1,0))</f>
        <v>1</v>
      </c>
      <c r="V507" s="15">
        <f>IF(T507="",0,IF(AND(G507=T507,COUNTIFS($S$6:S507,S507,$G$6:G507,G507,$D$6:D507,"Vastgesteld")&gt;1),1,0))</f>
        <v>0</v>
      </c>
    </row>
    <row r="508">
      <c r="A508" s="92" t="inlineStr">
        <is>
          <t>HIST-2026-Q2</t>
        </is>
      </c>
      <c r="B508" s="92" t="inlineStr">
        <is>
          <t>RDFO_FICTIEVE_historie_en_mapping.xlsx</t>
        </is>
      </c>
      <c r="C508" s="108" t="n">
        <v>46324</v>
      </c>
      <c r="D508" s="92" t="inlineStr">
        <is>
          <t>Vastgesteld</t>
        </is>
      </c>
      <c r="E508" s="92" t="n">
        <v>2026</v>
      </c>
      <c r="F508" s="92" t="inlineStr">
        <is>
          <t>Q2</t>
        </is>
      </c>
      <c r="G508" s="92" t="n">
        <v>0</v>
      </c>
      <c r="H508" s="108" t="n">
        <v>46203</v>
      </c>
      <c r="I508" s="92" t="n">
        <v>2026</v>
      </c>
      <c r="J508" s="92" t="inlineStr">
        <is>
          <t>G.900004.8.9090</t>
        </is>
      </c>
      <c r="K508" s="92" t="inlineStr">
        <is>
          <t>G.900004</t>
        </is>
      </c>
      <c r="L508" s="92" t="inlineStr">
        <is>
          <t>Meerhovenstad, Het Kompas</t>
        </is>
      </c>
      <c r="M508" s="92" t="inlineStr">
        <is>
          <t>Deelneming</t>
        </is>
      </c>
      <c r="N508" s="92" t="inlineStr">
        <is>
          <t>N</t>
        </is>
      </c>
      <c r="O508" s="92" t="inlineStr">
        <is>
          <t>Woningverkopen Q3</t>
        </is>
      </c>
      <c r="P508" s="109" t="n">
        <v>1</v>
      </c>
      <c r="Q508" s="92" t="inlineStr">
        <is>
          <t>aantal</t>
        </is>
      </c>
      <c r="R508" s="92" t="inlineStr">
        <is>
          <t>Synthetische snapshot; kwartalen zijn FY-verdeling, geen actuals</t>
        </is>
      </c>
      <c r="S508" s="15" t="str">
        <f>IF(J508="","",J508&amp;"|"&amp;E508&amp;"|"&amp;F508&amp;"|"&amp;I508&amp;"|"&amp;O508)</f>
        <v>G.900004.8.9090|2026|Q2|2026|Woningverkopen Q3</v>
      </c>
      <c r="T508" s="15">
        <f>IF(OR(S508="",D508&lt;&gt;"Vastgesteld"),"",_xlfn.MAXIFS($G$6:$G$5005,$S$6:$S$5005,S508,$D$6:$D$5005,"Vastgesteld"))</f>
        <v>0</v>
      </c>
      <c r="U508" s="15">
        <f>IF(T508="",0,IF(AND(G508=T508,COUNTIFS($S$6:S508,S508,$G$6:G508,G508,$D$6:D508,"Vastgesteld")=1),1,0))</f>
        <v>1</v>
      </c>
      <c r="V508" s="15">
        <f>IF(T508="",0,IF(AND(G508=T508,COUNTIFS($S$6:S508,S508,$G$6:G508,G508,$D$6:D508,"Vastgesteld")&gt;1),1,0))</f>
        <v>0</v>
      </c>
    </row>
    <row r="509">
      <c r="A509" s="92" t="inlineStr">
        <is>
          <t>HIST-2026-Q2</t>
        </is>
      </c>
      <c r="B509" s="92" t="inlineStr">
        <is>
          <t>RDFO_FICTIEVE_historie_en_mapping.xlsx</t>
        </is>
      </c>
      <c r="C509" s="108" t="n">
        <v>46324</v>
      </c>
      <c r="D509" s="92" t="inlineStr">
        <is>
          <t>Vastgesteld</t>
        </is>
      </c>
      <c r="E509" s="92" t="n">
        <v>2026</v>
      </c>
      <c r="F509" s="92" t="inlineStr">
        <is>
          <t>Q2</t>
        </is>
      </c>
      <c r="G509" s="92" t="n">
        <v>0</v>
      </c>
      <c r="H509" s="108" t="n">
        <v>46203</v>
      </c>
      <c r="I509" s="92" t="n">
        <v>2026</v>
      </c>
      <c r="J509" s="92" t="inlineStr">
        <is>
          <t>G.900004.8.9090</t>
        </is>
      </c>
      <c r="K509" s="92" t="inlineStr">
        <is>
          <t>G.900004</t>
        </is>
      </c>
      <c r="L509" s="92" t="inlineStr">
        <is>
          <t>Meerhovenstad, Het Kompas</t>
        </is>
      </c>
      <c r="M509" s="92" t="inlineStr">
        <is>
          <t>Deelneming</t>
        </is>
      </c>
      <c r="N509" s="92" t="inlineStr">
        <is>
          <t>N</t>
        </is>
      </c>
      <c r="O509" s="92" t="inlineStr">
        <is>
          <t>Woningverkopen Q4</t>
        </is>
      </c>
      <c r="P509" s="109" t="n">
        <v>3</v>
      </c>
      <c r="Q509" s="92" t="inlineStr">
        <is>
          <t>aantal</t>
        </is>
      </c>
      <c r="R509" s="92" t="inlineStr">
        <is>
          <t>Synthetische snapshot; kwartalen zijn FY-verdeling, geen actuals</t>
        </is>
      </c>
      <c r="S509" s="15" t="str">
        <f>IF(J509="","",J509&amp;"|"&amp;E509&amp;"|"&amp;F509&amp;"|"&amp;I509&amp;"|"&amp;O509)</f>
        <v>G.900004.8.9090|2026|Q2|2026|Woningverkopen Q4</v>
      </c>
      <c r="T509" s="15">
        <f>IF(OR(S509="",D509&lt;&gt;"Vastgesteld"),"",_xlfn.MAXIFS($G$6:$G$5005,$S$6:$S$5005,S509,$D$6:$D$5005,"Vastgesteld"))</f>
        <v>0</v>
      </c>
      <c r="U509" s="15">
        <f>IF(T509="",0,IF(AND(G509=T509,COUNTIFS($S$6:S509,S509,$G$6:G509,G509,$D$6:D509,"Vastgesteld")=1),1,0))</f>
        <v>1</v>
      </c>
      <c r="V509" s="15">
        <f>IF(T509="",0,IF(AND(G509=T509,COUNTIFS($S$6:S509,S509,$G$6:G509,G509,$D$6:D509,"Vastgesteld")&gt;1),1,0))</f>
        <v>0</v>
      </c>
    </row>
    <row r="510">
      <c r="A510" s="92" t="inlineStr">
        <is>
          <t>HIST-2026-Q2</t>
        </is>
      </c>
      <c r="B510" s="92" t="inlineStr">
        <is>
          <t>RDFO_FICTIEVE_historie_en_mapping.xlsx</t>
        </is>
      </c>
      <c r="C510" s="108" t="n">
        <v>46324</v>
      </c>
      <c r="D510" s="92" t="inlineStr">
        <is>
          <t>Vastgesteld</t>
        </is>
      </c>
      <c r="E510" s="92" t="n">
        <v>2026</v>
      </c>
      <c r="F510" s="92" t="inlineStr">
        <is>
          <t>Q2</t>
        </is>
      </c>
      <c r="G510" s="92" t="n">
        <v>0</v>
      </c>
      <c r="H510" s="108" t="n">
        <v>46203</v>
      </c>
      <c r="I510" s="92" t="n">
        <v>2026</v>
      </c>
      <c r="J510" s="92" t="inlineStr">
        <is>
          <t>G.900005.8.9090</t>
        </is>
      </c>
      <c r="K510" s="92" t="inlineStr">
        <is>
          <t>G.900005</t>
        </is>
      </c>
      <c r="L510" s="92" t="inlineStr">
        <is>
          <t>Zilverdam, Kadezicht</t>
        </is>
      </c>
      <c r="M510" s="92" t="inlineStr">
        <is>
          <t>Opstal</t>
        </is>
      </c>
      <c r="N510" s="92" t="inlineStr">
        <is>
          <t>J</t>
        </is>
      </c>
      <c r="O510" s="92" t="inlineStr">
        <is>
          <t>Woningverkopen FY</t>
        </is>
      </c>
      <c r="P510" s="109" t="n">
        <v>31</v>
      </c>
      <c r="Q510" s="92" t="inlineStr">
        <is>
          <t>aantal</t>
        </is>
      </c>
      <c r="R510" s="92" t="inlineStr">
        <is>
          <t>Synthetische snapshot; kwartalen zijn FY-verdeling, geen actuals</t>
        </is>
      </c>
      <c r="S510" s="15" t="str">
        <f>IF(J510="","",J510&amp;"|"&amp;E510&amp;"|"&amp;F510&amp;"|"&amp;I510&amp;"|"&amp;O510)</f>
        <v>G.900005.8.9090|2026|Q2|2026|Woningverkopen FY</v>
      </c>
      <c r="T510" s="15">
        <f>IF(OR(S510="",D510&lt;&gt;"Vastgesteld"),"",_xlfn.MAXIFS($G$6:$G$5005,$S$6:$S$5005,S510,$D$6:$D$5005,"Vastgesteld"))</f>
        <v>0</v>
      </c>
      <c r="U510" s="15">
        <f>IF(T510="",0,IF(AND(G510=T510,COUNTIFS($S$6:S510,S510,$G$6:G510,G510,$D$6:D510,"Vastgesteld")=1),1,0))</f>
        <v>1</v>
      </c>
      <c r="V510" s="15">
        <f>IF(T510="",0,IF(AND(G510=T510,COUNTIFS($S$6:S510,S510,$G$6:G510,G510,$D$6:D510,"Vastgesteld")&gt;1),1,0))</f>
        <v>0</v>
      </c>
    </row>
    <row r="511">
      <c r="A511" s="92" t="inlineStr">
        <is>
          <t>HIST-2026-Q2</t>
        </is>
      </c>
      <c r="B511" s="92" t="inlineStr">
        <is>
          <t>RDFO_FICTIEVE_historie_en_mapping.xlsx</t>
        </is>
      </c>
      <c r="C511" s="108" t="n">
        <v>46324</v>
      </c>
      <c r="D511" s="92" t="inlineStr">
        <is>
          <t>Vastgesteld</t>
        </is>
      </c>
      <c r="E511" s="92" t="n">
        <v>2026</v>
      </c>
      <c r="F511" s="92" t="inlineStr">
        <is>
          <t>Q2</t>
        </is>
      </c>
      <c r="G511" s="92" t="n">
        <v>0</v>
      </c>
      <c r="H511" s="108" t="n">
        <v>46203</v>
      </c>
      <c r="I511" s="92" t="n">
        <v>2026</v>
      </c>
      <c r="J511" s="92" t="inlineStr">
        <is>
          <t>G.900005.8.9090</t>
        </is>
      </c>
      <c r="K511" s="92" t="inlineStr">
        <is>
          <t>G.900005</t>
        </is>
      </c>
      <c r="L511" s="92" t="inlineStr">
        <is>
          <t>Zilverdam, Kadezicht</t>
        </is>
      </c>
      <c r="M511" s="92" t="inlineStr">
        <is>
          <t>Opstal</t>
        </is>
      </c>
      <c r="N511" s="92" t="inlineStr">
        <is>
          <t>J</t>
        </is>
      </c>
      <c r="O511" s="92" t="inlineStr">
        <is>
          <t>Woningen verkocht t/m vorig jaar</t>
        </is>
      </c>
      <c r="P511" s="109" t="n">
        <v>24</v>
      </c>
      <c r="Q511" s="92" t="inlineStr">
        <is>
          <t>aantal</t>
        </is>
      </c>
      <c r="R511" s="92" t="inlineStr">
        <is>
          <t>Synthetische snapshot; kwartalen zijn FY-verdeling, geen actuals</t>
        </is>
      </c>
      <c r="S511" s="15" t="str">
        <f>IF(J511="","",J511&amp;"|"&amp;E511&amp;"|"&amp;F511&amp;"|"&amp;I511&amp;"|"&amp;O511)</f>
        <v>G.900005.8.9090|2026|Q2|2026|Woningen verkocht t/m vorig jaar</v>
      </c>
      <c r="T511" s="15">
        <f>IF(OR(S511="",D511&lt;&gt;"Vastgesteld"),"",_xlfn.MAXIFS($G$6:$G$5005,$S$6:$S$5005,S511,$D$6:$D$5005,"Vastgesteld"))</f>
        <v>0</v>
      </c>
      <c r="U511" s="15">
        <f>IF(T511="",0,IF(AND(G511=T511,COUNTIFS($S$6:S511,S511,$G$6:G511,G511,$D$6:D511,"Vastgesteld")=1),1,0))</f>
        <v>1</v>
      </c>
      <c r="V511" s="15">
        <f>IF(T511="",0,IF(AND(G511=T511,COUNTIFS($S$6:S511,S511,$G$6:G511,G511,$D$6:D511,"Vastgesteld")&gt;1),1,0))</f>
        <v>0</v>
      </c>
    </row>
    <row r="512">
      <c r="A512" s="92" t="inlineStr">
        <is>
          <t>HIST-2026-Q2</t>
        </is>
      </c>
      <c r="B512" s="92" t="inlineStr">
        <is>
          <t>RDFO_FICTIEVE_historie_en_mapping.xlsx</t>
        </is>
      </c>
      <c r="C512" s="108" t="n">
        <v>46324</v>
      </c>
      <c r="D512" s="92" t="inlineStr">
        <is>
          <t>Vastgesteld</t>
        </is>
      </c>
      <c r="E512" s="92" t="n">
        <v>2026</v>
      </c>
      <c r="F512" s="92" t="inlineStr">
        <is>
          <t>Q2</t>
        </is>
      </c>
      <c r="G512" s="92" t="n">
        <v>0</v>
      </c>
      <c r="H512" s="108" t="n">
        <v>46203</v>
      </c>
      <c r="I512" s="92" t="n">
        <v>2026</v>
      </c>
      <c r="J512" s="92" t="inlineStr">
        <is>
          <t>G.900005.8.9090</t>
        </is>
      </c>
      <c r="K512" s="92" t="inlineStr">
        <is>
          <t>G.900005</t>
        </is>
      </c>
      <c r="L512" s="92" t="inlineStr">
        <is>
          <t>Zilverdam, Kadezicht</t>
        </is>
      </c>
      <c r="M512" s="92" t="inlineStr">
        <is>
          <t>Opstal</t>
        </is>
      </c>
      <c r="N512" s="92" t="inlineStr">
        <is>
          <t>J</t>
        </is>
      </c>
      <c r="O512" s="92" t="inlineStr">
        <is>
          <t>Woningverkopen Q1</t>
        </is>
      </c>
      <c r="P512" s="109" t="n">
        <v>6</v>
      </c>
      <c r="Q512" s="92" t="inlineStr">
        <is>
          <t>aantal</t>
        </is>
      </c>
      <c r="R512" s="92" t="inlineStr">
        <is>
          <t>Synthetische snapshot; kwartalen zijn FY-verdeling, geen actuals</t>
        </is>
      </c>
      <c r="S512" s="15" t="str">
        <f>IF(J512="","",J512&amp;"|"&amp;E512&amp;"|"&amp;F512&amp;"|"&amp;I512&amp;"|"&amp;O512)</f>
        <v>G.900005.8.9090|2026|Q2|2026|Woningverkopen Q1</v>
      </c>
      <c r="T512" s="15">
        <f>IF(OR(S512="",D512&lt;&gt;"Vastgesteld"),"",_xlfn.MAXIFS($G$6:$G$5005,$S$6:$S$5005,S512,$D$6:$D$5005,"Vastgesteld"))</f>
        <v>0</v>
      </c>
      <c r="U512" s="15">
        <f>IF(T512="",0,IF(AND(G512=T512,COUNTIFS($S$6:S512,S512,$G$6:G512,G512,$D$6:D512,"Vastgesteld")=1),1,0))</f>
        <v>1</v>
      </c>
      <c r="V512" s="15">
        <f>IF(T512="",0,IF(AND(G512=T512,COUNTIFS($S$6:S512,S512,$G$6:G512,G512,$D$6:D512,"Vastgesteld")&gt;1),1,0))</f>
        <v>0</v>
      </c>
    </row>
    <row r="513">
      <c r="A513" s="92" t="inlineStr">
        <is>
          <t>HIST-2026-Q2</t>
        </is>
      </c>
      <c r="B513" s="92" t="inlineStr">
        <is>
          <t>RDFO_FICTIEVE_historie_en_mapping.xlsx</t>
        </is>
      </c>
      <c r="C513" s="108" t="n">
        <v>46324</v>
      </c>
      <c r="D513" s="92" t="inlineStr">
        <is>
          <t>Vastgesteld</t>
        </is>
      </c>
      <c r="E513" s="92" t="n">
        <v>2026</v>
      </c>
      <c r="F513" s="92" t="inlineStr">
        <is>
          <t>Q2</t>
        </is>
      </c>
      <c r="G513" s="92" t="n">
        <v>0</v>
      </c>
      <c r="H513" s="108" t="n">
        <v>46203</v>
      </c>
      <c r="I513" s="92" t="n">
        <v>2026</v>
      </c>
      <c r="J513" s="92" t="inlineStr">
        <is>
          <t>G.900005.8.9090</t>
        </is>
      </c>
      <c r="K513" s="92" t="inlineStr">
        <is>
          <t>G.900005</t>
        </is>
      </c>
      <c r="L513" s="92" t="inlineStr">
        <is>
          <t>Zilverdam, Kadezicht</t>
        </is>
      </c>
      <c r="M513" s="92" t="inlineStr">
        <is>
          <t>Opstal</t>
        </is>
      </c>
      <c r="N513" s="92" t="inlineStr">
        <is>
          <t>J</t>
        </is>
      </c>
      <c r="O513" s="92" t="inlineStr">
        <is>
          <t>Woningverkopen Q2</t>
        </is>
      </c>
      <c r="P513" s="109" t="n">
        <v>7</v>
      </c>
      <c r="Q513" s="92" t="inlineStr">
        <is>
          <t>aantal</t>
        </is>
      </c>
      <c r="R513" s="92" t="inlineStr">
        <is>
          <t>Synthetische snapshot; kwartalen zijn FY-verdeling, geen actuals</t>
        </is>
      </c>
      <c r="S513" s="15" t="str">
        <f>IF(J513="","",J513&amp;"|"&amp;E513&amp;"|"&amp;F513&amp;"|"&amp;I513&amp;"|"&amp;O513)</f>
        <v>G.900005.8.9090|2026|Q2|2026|Woningverkopen Q2</v>
      </c>
      <c r="T513" s="15">
        <f>IF(OR(S513="",D513&lt;&gt;"Vastgesteld"),"",_xlfn.MAXIFS($G$6:$G$5005,$S$6:$S$5005,S513,$D$6:$D$5005,"Vastgesteld"))</f>
        <v>0</v>
      </c>
      <c r="U513" s="15">
        <f>IF(T513="",0,IF(AND(G513=T513,COUNTIFS($S$6:S513,S513,$G$6:G513,G513,$D$6:D513,"Vastgesteld")=1),1,0))</f>
        <v>1</v>
      </c>
      <c r="V513" s="15">
        <f>IF(T513="",0,IF(AND(G513=T513,COUNTIFS($S$6:S513,S513,$G$6:G513,G513,$D$6:D513,"Vastgesteld")&gt;1),1,0))</f>
        <v>0</v>
      </c>
    </row>
    <row r="514">
      <c r="A514" s="92" t="inlineStr">
        <is>
          <t>HIST-2026-Q2</t>
        </is>
      </c>
      <c r="B514" s="92" t="inlineStr">
        <is>
          <t>RDFO_FICTIEVE_historie_en_mapping.xlsx</t>
        </is>
      </c>
      <c r="C514" s="108" t="n">
        <v>46324</v>
      </c>
      <c r="D514" s="92" t="inlineStr">
        <is>
          <t>Vastgesteld</t>
        </is>
      </c>
      <c r="E514" s="92" t="n">
        <v>2026</v>
      </c>
      <c r="F514" s="92" t="inlineStr">
        <is>
          <t>Q2</t>
        </is>
      </c>
      <c r="G514" s="92" t="n">
        <v>0</v>
      </c>
      <c r="H514" s="108" t="n">
        <v>46203</v>
      </c>
      <c r="I514" s="92" t="n">
        <v>2026</v>
      </c>
      <c r="J514" s="92" t="inlineStr">
        <is>
          <t>G.900005.8.9090</t>
        </is>
      </c>
      <c r="K514" s="92" t="inlineStr">
        <is>
          <t>G.900005</t>
        </is>
      </c>
      <c r="L514" s="92" t="inlineStr">
        <is>
          <t>Zilverdam, Kadezicht</t>
        </is>
      </c>
      <c r="M514" s="92" t="inlineStr">
        <is>
          <t>Opstal</t>
        </is>
      </c>
      <c r="N514" s="92" t="inlineStr">
        <is>
          <t>J</t>
        </is>
      </c>
      <c r="O514" s="92" t="inlineStr">
        <is>
          <t>Woningverkopen Q3</t>
        </is>
      </c>
      <c r="P514" s="109" t="n">
        <v>7</v>
      </c>
      <c r="Q514" s="92" t="inlineStr">
        <is>
          <t>aantal</t>
        </is>
      </c>
      <c r="R514" s="92" t="inlineStr">
        <is>
          <t>Synthetische snapshot; kwartalen zijn FY-verdeling, geen actuals</t>
        </is>
      </c>
      <c r="S514" s="15" t="str">
        <f>IF(J514="","",J514&amp;"|"&amp;E514&amp;"|"&amp;F514&amp;"|"&amp;I514&amp;"|"&amp;O514)</f>
        <v>G.900005.8.9090|2026|Q2|2026|Woningverkopen Q3</v>
      </c>
      <c r="T514" s="15">
        <f>IF(OR(S514="",D514&lt;&gt;"Vastgesteld"),"",_xlfn.MAXIFS($G$6:$G$5005,$S$6:$S$5005,S514,$D$6:$D$5005,"Vastgesteld"))</f>
        <v>0</v>
      </c>
      <c r="U514" s="15">
        <f>IF(T514="",0,IF(AND(G514=T514,COUNTIFS($S$6:S514,S514,$G$6:G514,G514,$D$6:D514,"Vastgesteld")=1),1,0))</f>
        <v>1</v>
      </c>
      <c r="V514" s="15">
        <f>IF(T514="",0,IF(AND(G514=T514,COUNTIFS($S$6:S514,S514,$G$6:G514,G514,$D$6:D514,"Vastgesteld")&gt;1),1,0))</f>
        <v>0</v>
      </c>
    </row>
    <row r="515">
      <c r="A515" s="92" t="inlineStr">
        <is>
          <t>HIST-2026-Q2</t>
        </is>
      </c>
      <c r="B515" s="92" t="inlineStr">
        <is>
          <t>RDFO_FICTIEVE_historie_en_mapping.xlsx</t>
        </is>
      </c>
      <c r="C515" s="108" t="n">
        <v>46324</v>
      </c>
      <c r="D515" s="92" t="inlineStr">
        <is>
          <t>Vastgesteld</t>
        </is>
      </c>
      <c r="E515" s="92" t="n">
        <v>2026</v>
      </c>
      <c r="F515" s="92" t="inlineStr">
        <is>
          <t>Q2</t>
        </is>
      </c>
      <c r="G515" s="92" t="n">
        <v>0</v>
      </c>
      <c r="H515" s="108" t="n">
        <v>46203</v>
      </c>
      <c r="I515" s="92" t="n">
        <v>2026</v>
      </c>
      <c r="J515" s="92" t="inlineStr">
        <is>
          <t>G.900005.8.9090</t>
        </is>
      </c>
      <c r="K515" s="92" t="inlineStr">
        <is>
          <t>G.900005</t>
        </is>
      </c>
      <c r="L515" s="92" t="inlineStr">
        <is>
          <t>Zilverdam, Kadezicht</t>
        </is>
      </c>
      <c r="M515" s="92" t="inlineStr">
        <is>
          <t>Opstal</t>
        </is>
      </c>
      <c r="N515" s="92" t="inlineStr">
        <is>
          <t>J</t>
        </is>
      </c>
      <c r="O515" s="92" t="inlineStr">
        <is>
          <t>Woningverkopen Q4</t>
        </is>
      </c>
      <c r="P515" s="109" t="n">
        <v>11</v>
      </c>
      <c r="Q515" s="92" t="inlineStr">
        <is>
          <t>aantal</t>
        </is>
      </c>
      <c r="R515" s="92" t="inlineStr">
        <is>
          <t>Synthetische snapshot; kwartalen zijn FY-verdeling, geen actuals</t>
        </is>
      </c>
      <c r="S515" s="15" t="str">
        <f>IF(J515="","",J515&amp;"|"&amp;E515&amp;"|"&amp;F515&amp;"|"&amp;I515&amp;"|"&amp;O515)</f>
        <v>G.900005.8.9090|2026|Q2|2026|Woningverkopen Q4</v>
      </c>
      <c r="T515" s="15">
        <f>IF(OR(S515="",D515&lt;&gt;"Vastgesteld"),"",_xlfn.MAXIFS($G$6:$G$5005,$S$6:$S$5005,S515,$D$6:$D$5005,"Vastgesteld"))</f>
        <v>0</v>
      </c>
      <c r="U515" s="15">
        <f>IF(T515="",0,IF(AND(G515=T515,COUNTIFS($S$6:S515,S515,$G$6:G515,G515,$D$6:D515,"Vastgesteld")=1),1,0))</f>
        <v>1</v>
      </c>
      <c r="V515" s="15">
        <f>IF(T515="",0,IF(AND(G515=T515,COUNTIFS($S$6:S515,S515,$G$6:G515,G515,$D$6:D515,"Vastgesteld")&gt;1),1,0))</f>
        <v>0</v>
      </c>
    </row>
    <row r="516">
      <c r="A516" s="92" t="inlineStr">
        <is>
          <t>HIST-2026-Q2</t>
        </is>
      </c>
      <c r="B516" s="92" t="inlineStr">
        <is>
          <t>RDFO_FICTIEVE_historie_en_mapping.xlsx</t>
        </is>
      </c>
      <c r="C516" s="108" t="n">
        <v>46324</v>
      </c>
      <c r="D516" s="92" t="inlineStr">
        <is>
          <t>Vastgesteld</t>
        </is>
      </c>
      <c r="E516" s="92" t="n">
        <v>2026</v>
      </c>
      <c r="F516" s="92" t="inlineStr">
        <is>
          <t>Q2</t>
        </is>
      </c>
      <c r="G516" s="92" t="n">
        <v>0</v>
      </c>
      <c r="H516" s="108" t="n">
        <v>46203</v>
      </c>
      <c r="I516" s="92" t="n">
        <v>2026</v>
      </c>
      <c r="J516" s="92" t="inlineStr">
        <is>
          <t>G.900006.8.9090</t>
        </is>
      </c>
      <c r="K516" s="92" t="inlineStr">
        <is>
          <t>G.900006</t>
        </is>
      </c>
      <c r="L516" s="92" t="inlineStr">
        <is>
          <t>Boswaard, De Eiken</t>
        </is>
      </c>
      <c r="M516" s="92" t="inlineStr">
        <is>
          <t>Opstal</t>
        </is>
      </c>
      <c r="N516" s="92" t="inlineStr">
        <is>
          <t>J</t>
        </is>
      </c>
      <c r="O516" s="92" t="inlineStr">
        <is>
          <t>Woningverkopen FY</t>
        </is>
      </c>
      <c r="P516" s="109" t="n">
        <v>9</v>
      </c>
      <c r="Q516" s="92" t="inlineStr">
        <is>
          <t>aantal</t>
        </is>
      </c>
      <c r="R516" s="92" t="inlineStr">
        <is>
          <t>Synthetische snapshot; kwartalen zijn FY-verdeling, geen actuals</t>
        </is>
      </c>
      <c r="S516" s="15" t="str">
        <f>IF(J516="","",J516&amp;"|"&amp;E516&amp;"|"&amp;F516&amp;"|"&amp;I516&amp;"|"&amp;O516)</f>
        <v>G.900006.8.9090|2026|Q2|2026|Woningverkopen FY</v>
      </c>
      <c r="T516" s="15">
        <f>IF(OR(S516="",D516&lt;&gt;"Vastgesteld"),"",_xlfn.MAXIFS($G$6:$G$5005,$S$6:$S$5005,S516,$D$6:$D$5005,"Vastgesteld"))</f>
        <v>0</v>
      </c>
      <c r="U516" s="15">
        <f>IF(T516="",0,IF(AND(G516=T516,COUNTIFS($S$6:S516,S516,$G$6:G516,G516,$D$6:D516,"Vastgesteld")=1),1,0))</f>
        <v>1</v>
      </c>
      <c r="V516" s="15">
        <f>IF(T516="",0,IF(AND(G516=T516,COUNTIFS($S$6:S516,S516,$G$6:G516,G516,$D$6:D516,"Vastgesteld")&gt;1),1,0))</f>
        <v>0</v>
      </c>
    </row>
    <row r="517">
      <c r="A517" s="92" t="inlineStr">
        <is>
          <t>HIST-2026-Q2</t>
        </is>
      </c>
      <c r="B517" s="92" t="inlineStr">
        <is>
          <t>RDFO_FICTIEVE_historie_en_mapping.xlsx</t>
        </is>
      </c>
      <c r="C517" s="108" t="n">
        <v>46324</v>
      </c>
      <c r="D517" s="92" t="inlineStr">
        <is>
          <t>Vastgesteld</t>
        </is>
      </c>
      <c r="E517" s="92" t="n">
        <v>2026</v>
      </c>
      <c r="F517" s="92" t="inlineStr">
        <is>
          <t>Q2</t>
        </is>
      </c>
      <c r="G517" s="92" t="n">
        <v>0</v>
      </c>
      <c r="H517" s="108" t="n">
        <v>46203</v>
      </c>
      <c r="I517" s="92" t="n">
        <v>2026</v>
      </c>
      <c r="J517" s="92" t="inlineStr">
        <is>
          <t>G.900006.8.9090</t>
        </is>
      </c>
      <c r="K517" s="92" t="inlineStr">
        <is>
          <t>G.900006</t>
        </is>
      </c>
      <c r="L517" s="92" t="inlineStr">
        <is>
          <t>Boswaard, De Eiken</t>
        </is>
      </c>
      <c r="M517" s="92" t="inlineStr">
        <is>
          <t>Opstal</t>
        </is>
      </c>
      <c r="N517" s="92" t="inlineStr">
        <is>
          <t>J</t>
        </is>
      </c>
      <c r="O517" s="92" t="inlineStr">
        <is>
          <t>Woningen verkocht t/m vorig jaar</t>
        </is>
      </c>
      <c r="P517" s="109" t="n">
        <v>7</v>
      </c>
      <c r="Q517" s="92" t="inlineStr">
        <is>
          <t>aantal</t>
        </is>
      </c>
      <c r="R517" s="92" t="inlineStr">
        <is>
          <t>Synthetische snapshot; kwartalen zijn FY-verdeling, geen actuals</t>
        </is>
      </c>
      <c r="S517" s="15" t="str">
        <f>IF(J517="","",J517&amp;"|"&amp;E517&amp;"|"&amp;F517&amp;"|"&amp;I517&amp;"|"&amp;O517)</f>
        <v>G.900006.8.9090|2026|Q2|2026|Woningen verkocht t/m vorig jaar</v>
      </c>
      <c r="T517" s="15">
        <f>IF(OR(S517="",D517&lt;&gt;"Vastgesteld"),"",_xlfn.MAXIFS($G$6:$G$5005,$S$6:$S$5005,S517,$D$6:$D$5005,"Vastgesteld"))</f>
        <v>0</v>
      </c>
      <c r="U517" s="15">
        <f>IF(T517="",0,IF(AND(G517=T517,COUNTIFS($S$6:S517,S517,$G$6:G517,G517,$D$6:D517,"Vastgesteld")=1),1,0))</f>
        <v>1</v>
      </c>
      <c r="V517" s="15">
        <f>IF(T517="",0,IF(AND(G517=T517,COUNTIFS($S$6:S517,S517,$G$6:G517,G517,$D$6:D517,"Vastgesteld")&gt;1),1,0))</f>
        <v>0</v>
      </c>
    </row>
    <row r="518">
      <c r="A518" s="92" t="inlineStr">
        <is>
          <t>HIST-2026-Q2</t>
        </is>
      </c>
      <c r="B518" s="92" t="inlineStr">
        <is>
          <t>RDFO_FICTIEVE_historie_en_mapping.xlsx</t>
        </is>
      </c>
      <c r="C518" s="108" t="n">
        <v>46324</v>
      </c>
      <c r="D518" s="92" t="inlineStr">
        <is>
          <t>Vastgesteld</t>
        </is>
      </c>
      <c r="E518" s="92" t="n">
        <v>2026</v>
      </c>
      <c r="F518" s="92" t="inlineStr">
        <is>
          <t>Q2</t>
        </is>
      </c>
      <c r="G518" s="92" t="n">
        <v>0</v>
      </c>
      <c r="H518" s="108" t="n">
        <v>46203</v>
      </c>
      <c r="I518" s="92" t="n">
        <v>2026</v>
      </c>
      <c r="J518" s="92" t="inlineStr">
        <is>
          <t>G.900006.8.9090</t>
        </is>
      </c>
      <c r="K518" s="92" t="inlineStr">
        <is>
          <t>G.900006</t>
        </is>
      </c>
      <c r="L518" s="92" t="inlineStr">
        <is>
          <t>Boswaard, De Eiken</t>
        </is>
      </c>
      <c r="M518" s="92" t="inlineStr">
        <is>
          <t>Opstal</t>
        </is>
      </c>
      <c r="N518" s="92" t="inlineStr">
        <is>
          <t>J</t>
        </is>
      </c>
      <c r="O518" s="92" t="inlineStr">
        <is>
          <t>Woningverkopen Q1</t>
        </is>
      </c>
      <c r="P518" s="109" t="n">
        <v>1</v>
      </c>
      <c r="Q518" s="92" t="inlineStr">
        <is>
          <t>aantal</t>
        </is>
      </c>
      <c r="R518" s="92" t="inlineStr">
        <is>
          <t>Synthetische snapshot; kwartalen zijn FY-verdeling, geen actuals</t>
        </is>
      </c>
      <c r="S518" s="15" t="str">
        <f>IF(J518="","",J518&amp;"|"&amp;E518&amp;"|"&amp;F518&amp;"|"&amp;I518&amp;"|"&amp;O518)</f>
        <v>G.900006.8.9090|2026|Q2|2026|Woningverkopen Q1</v>
      </c>
      <c r="T518" s="15">
        <f>IF(OR(S518="",D518&lt;&gt;"Vastgesteld"),"",_xlfn.MAXIFS($G$6:$G$5005,$S$6:$S$5005,S518,$D$6:$D$5005,"Vastgesteld"))</f>
        <v>0</v>
      </c>
      <c r="U518" s="15">
        <f>IF(T518="",0,IF(AND(G518=T518,COUNTIFS($S$6:S518,S518,$G$6:G518,G518,$D$6:D518,"Vastgesteld")=1),1,0))</f>
        <v>1</v>
      </c>
      <c r="V518" s="15">
        <f>IF(T518="",0,IF(AND(G518=T518,COUNTIFS($S$6:S518,S518,$G$6:G518,G518,$D$6:D518,"Vastgesteld")&gt;1),1,0))</f>
        <v>0</v>
      </c>
    </row>
    <row r="519">
      <c r="A519" s="92" t="inlineStr">
        <is>
          <t>HIST-2026-Q2</t>
        </is>
      </c>
      <c r="B519" s="92" t="inlineStr">
        <is>
          <t>RDFO_FICTIEVE_historie_en_mapping.xlsx</t>
        </is>
      </c>
      <c r="C519" s="108" t="n">
        <v>46324</v>
      </c>
      <c r="D519" s="92" t="inlineStr">
        <is>
          <t>Vastgesteld</t>
        </is>
      </c>
      <c r="E519" s="92" t="n">
        <v>2026</v>
      </c>
      <c r="F519" s="92" t="inlineStr">
        <is>
          <t>Q2</t>
        </is>
      </c>
      <c r="G519" s="92" t="n">
        <v>0</v>
      </c>
      <c r="H519" s="108" t="n">
        <v>46203</v>
      </c>
      <c r="I519" s="92" t="n">
        <v>2026</v>
      </c>
      <c r="J519" s="92" t="inlineStr">
        <is>
          <t>G.900006.8.9090</t>
        </is>
      </c>
      <c r="K519" s="92" t="inlineStr">
        <is>
          <t>G.900006</t>
        </is>
      </c>
      <c r="L519" s="92" t="inlineStr">
        <is>
          <t>Boswaard, De Eiken</t>
        </is>
      </c>
      <c r="M519" s="92" t="inlineStr">
        <is>
          <t>Opstal</t>
        </is>
      </c>
      <c r="N519" s="92" t="inlineStr">
        <is>
          <t>J</t>
        </is>
      </c>
      <c r="O519" s="92" t="inlineStr">
        <is>
          <t>Woningverkopen Q2</t>
        </is>
      </c>
      <c r="P519" s="109" t="n">
        <v>2</v>
      </c>
      <c r="Q519" s="92" t="inlineStr">
        <is>
          <t>aantal</t>
        </is>
      </c>
      <c r="R519" s="92" t="inlineStr">
        <is>
          <t>Synthetische snapshot; kwartalen zijn FY-verdeling, geen actuals</t>
        </is>
      </c>
      <c r="S519" s="15" t="str">
        <f>IF(J519="","",J519&amp;"|"&amp;E519&amp;"|"&amp;F519&amp;"|"&amp;I519&amp;"|"&amp;O519)</f>
        <v>G.900006.8.9090|2026|Q2|2026|Woningverkopen Q2</v>
      </c>
      <c r="T519" s="15">
        <f>IF(OR(S519="",D519&lt;&gt;"Vastgesteld"),"",_xlfn.MAXIFS($G$6:$G$5005,$S$6:$S$5005,S519,$D$6:$D$5005,"Vastgesteld"))</f>
        <v>0</v>
      </c>
      <c r="U519" s="15">
        <f>IF(T519="",0,IF(AND(G519=T519,COUNTIFS($S$6:S519,S519,$G$6:G519,G519,$D$6:D519,"Vastgesteld")=1),1,0))</f>
        <v>1</v>
      </c>
      <c r="V519" s="15">
        <f>IF(T519="",0,IF(AND(G519=T519,COUNTIFS($S$6:S519,S519,$G$6:G519,G519,$D$6:D519,"Vastgesteld")&gt;1),1,0))</f>
        <v>0</v>
      </c>
    </row>
    <row r="520">
      <c r="A520" s="92" t="inlineStr">
        <is>
          <t>HIST-2026-Q2</t>
        </is>
      </c>
      <c r="B520" s="92" t="inlineStr">
        <is>
          <t>RDFO_FICTIEVE_historie_en_mapping.xlsx</t>
        </is>
      </c>
      <c r="C520" s="108" t="n">
        <v>46324</v>
      </c>
      <c r="D520" s="92" t="inlineStr">
        <is>
          <t>Vastgesteld</t>
        </is>
      </c>
      <c r="E520" s="92" t="n">
        <v>2026</v>
      </c>
      <c r="F520" s="92" t="inlineStr">
        <is>
          <t>Q2</t>
        </is>
      </c>
      <c r="G520" s="92" t="n">
        <v>0</v>
      </c>
      <c r="H520" s="108" t="n">
        <v>46203</v>
      </c>
      <c r="I520" s="92" t="n">
        <v>2026</v>
      </c>
      <c r="J520" s="92" t="inlineStr">
        <is>
          <t>G.900006.8.9090</t>
        </is>
      </c>
      <c r="K520" s="92" t="inlineStr">
        <is>
          <t>G.900006</t>
        </is>
      </c>
      <c r="L520" s="92" t="inlineStr">
        <is>
          <t>Boswaard, De Eiken</t>
        </is>
      </c>
      <c r="M520" s="92" t="inlineStr">
        <is>
          <t>Opstal</t>
        </is>
      </c>
      <c r="N520" s="92" t="inlineStr">
        <is>
          <t>J</t>
        </is>
      </c>
      <c r="O520" s="92" t="inlineStr">
        <is>
          <t>Woningverkopen Q3</t>
        </is>
      </c>
      <c r="P520" s="109" t="n">
        <v>2</v>
      </c>
      <c r="Q520" s="92" t="inlineStr">
        <is>
          <t>aantal</t>
        </is>
      </c>
      <c r="R520" s="92" t="inlineStr">
        <is>
          <t>Synthetische snapshot; kwartalen zijn FY-verdeling, geen actuals</t>
        </is>
      </c>
      <c r="S520" s="15" t="str">
        <f>IF(J520="","",J520&amp;"|"&amp;E520&amp;"|"&amp;F520&amp;"|"&amp;I520&amp;"|"&amp;O520)</f>
        <v>G.900006.8.9090|2026|Q2|2026|Woningverkopen Q3</v>
      </c>
      <c r="T520" s="15">
        <f>IF(OR(S520="",D520&lt;&gt;"Vastgesteld"),"",_xlfn.MAXIFS($G$6:$G$5005,$S$6:$S$5005,S520,$D$6:$D$5005,"Vastgesteld"))</f>
        <v>0</v>
      </c>
      <c r="U520" s="15">
        <f>IF(T520="",0,IF(AND(G520=T520,COUNTIFS($S$6:S520,S520,$G$6:G520,G520,$D$6:D520,"Vastgesteld")=1),1,0))</f>
        <v>1</v>
      </c>
      <c r="V520" s="15">
        <f>IF(T520="",0,IF(AND(G520=T520,COUNTIFS($S$6:S520,S520,$G$6:G520,G520,$D$6:D520,"Vastgesteld")&gt;1),1,0))</f>
        <v>0</v>
      </c>
    </row>
    <row r="521">
      <c r="A521" s="92" t="inlineStr">
        <is>
          <t>HIST-2026-Q2</t>
        </is>
      </c>
      <c r="B521" s="92" t="inlineStr">
        <is>
          <t>RDFO_FICTIEVE_historie_en_mapping.xlsx</t>
        </is>
      </c>
      <c r="C521" s="108" t="n">
        <v>46324</v>
      </c>
      <c r="D521" s="92" t="inlineStr">
        <is>
          <t>Vastgesteld</t>
        </is>
      </c>
      <c r="E521" s="92" t="n">
        <v>2026</v>
      </c>
      <c r="F521" s="92" t="inlineStr">
        <is>
          <t>Q2</t>
        </is>
      </c>
      <c r="G521" s="92" t="n">
        <v>0</v>
      </c>
      <c r="H521" s="108" t="n">
        <v>46203</v>
      </c>
      <c r="I521" s="92" t="n">
        <v>2026</v>
      </c>
      <c r="J521" s="92" t="inlineStr">
        <is>
          <t>G.900006.8.9090</t>
        </is>
      </c>
      <c r="K521" s="92" t="inlineStr">
        <is>
          <t>G.900006</t>
        </is>
      </c>
      <c r="L521" s="92" t="inlineStr">
        <is>
          <t>Boswaard, De Eiken</t>
        </is>
      </c>
      <c r="M521" s="92" t="inlineStr">
        <is>
          <t>Opstal</t>
        </is>
      </c>
      <c r="N521" s="92" t="inlineStr">
        <is>
          <t>J</t>
        </is>
      </c>
      <c r="O521" s="92" t="inlineStr">
        <is>
          <t>Woningverkopen Q4</t>
        </is>
      </c>
      <c r="P521" s="109" t="n">
        <v>4</v>
      </c>
      <c r="Q521" s="92" t="inlineStr">
        <is>
          <t>aantal</t>
        </is>
      </c>
      <c r="R521" s="92" t="inlineStr">
        <is>
          <t>Synthetische snapshot; kwartalen zijn FY-verdeling, geen actuals</t>
        </is>
      </c>
      <c r="S521" s="15" t="str">
        <f>IF(J521="","",J521&amp;"|"&amp;E521&amp;"|"&amp;F521&amp;"|"&amp;I521&amp;"|"&amp;O521)</f>
        <v>G.900006.8.9090|2026|Q2|2026|Woningverkopen Q4</v>
      </c>
      <c r="T521" s="15">
        <f>IF(OR(S521="",D521&lt;&gt;"Vastgesteld"),"",_xlfn.MAXIFS($G$6:$G$5005,$S$6:$S$5005,S521,$D$6:$D$5005,"Vastgesteld"))</f>
        <v>0</v>
      </c>
      <c r="U521" s="15">
        <f>IF(T521="",0,IF(AND(G521=T521,COUNTIFS($S$6:S521,S521,$G$6:G521,G521,$D$6:D521,"Vastgesteld")=1),1,0))</f>
        <v>1</v>
      </c>
      <c r="V521" s="15">
        <f>IF(T521="",0,IF(AND(G521=T521,COUNTIFS($S$6:S521,S521,$G$6:G521,G521,$D$6:D521,"Vastgesteld")&gt;1),1,0))</f>
        <v>0</v>
      </c>
    </row>
    <row r="522">
      <c r="A522" s="92" t="inlineStr">
        <is>
          <t>HIST-2026-Q2</t>
        </is>
      </c>
      <c r="B522" s="92" t="inlineStr">
        <is>
          <t>RDFO_FICTIEVE_historie_en_mapping.xlsx</t>
        </is>
      </c>
      <c r="C522" s="108" t="n">
        <v>46324</v>
      </c>
      <c r="D522" s="92" t="inlineStr">
        <is>
          <t>Vastgesteld</t>
        </is>
      </c>
      <c r="E522" s="92" t="n">
        <v>2026</v>
      </c>
      <c r="F522" s="92" t="inlineStr">
        <is>
          <t>Q2</t>
        </is>
      </c>
      <c r="G522" s="92" t="n">
        <v>0</v>
      </c>
      <c r="H522" s="108" t="n">
        <v>46203</v>
      </c>
      <c r="I522" s="92" t="n">
        <v>2026</v>
      </c>
      <c r="J522" s="92" t="inlineStr">
        <is>
          <t>G.900007.8.9090</t>
        </is>
      </c>
      <c r="K522" s="92" t="inlineStr">
        <is>
          <t>G.900007</t>
        </is>
      </c>
      <c r="L522" s="92" t="inlineStr">
        <is>
          <t>Rietdam, Havenkwartier</t>
        </is>
      </c>
      <c r="M522" s="92" t="inlineStr">
        <is>
          <t>Opstal</t>
        </is>
      </c>
      <c r="N522" s="92" t="inlineStr">
        <is>
          <t>J</t>
        </is>
      </c>
      <c r="O522" s="92" t="inlineStr">
        <is>
          <t>Woningverkopen FY</t>
        </is>
      </c>
      <c r="P522" s="109" t="n">
        <v>20</v>
      </c>
      <c r="Q522" s="92" t="inlineStr">
        <is>
          <t>aantal</t>
        </is>
      </c>
      <c r="R522" s="92" t="inlineStr">
        <is>
          <t>Synthetische snapshot; kwartalen zijn FY-verdeling, geen actuals</t>
        </is>
      </c>
      <c r="S522" s="15" t="str">
        <f>IF(J522="","",J522&amp;"|"&amp;E522&amp;"|"&amp;F522&amp;"|"&amp;I522&amp;"|"&amp;O522)</f>
        <v>G.900007.8.9090|2026|Q2|2026|Woningverkopen FY</v>
      </c>
      <c r="T522" s="15">
        <f>IF(OR(S522="",D522&lt;&gt;"Vastgesteld"),"",_xlfn.MAXIFS($G$6:$G$5005,$S$6:$S$5005,S522,$D$6:$D$5005,"Vastgesteld"))</f>
        <v>0</v>
      </c>
      <c r="U522" s="15">
        <f>IF(T522="",0,IF(AND(G522=T522,COUNTIFS($S$6:S522,S522,$G$6:G522,G522,$D$6:D522,"Vastgesteld")=1),1,0))</f>
        <v>1</v>
      </c>
      <c r="V522" s="15">
        <f>IF(T522="",0,IF(AND(G522=T522,COUNTIFS($S$6:S522,S522,$G$6:G522,G522,$D$6:D522,"Vastgesteld")&gt;1),1,0))</f>
        <v>0</v>
      </c>
    </row>
    <row r="523">
      <c r="A523" s="92" t="inlineStr">
        <is>
          <t>HIST-2026-Q2</t>
        </is>
      </c>
      <c r="B523" s="92" t="inlineStr">
        <is>
          <t>RDFO_FICTIEVE_historie_en_mapping.xlsx</t>
        </is>
      </c>
      <c r="C523" s="108" t="n">
        <v>46324</v>
      </c>
      <c r="D523" s="92" t="inlineStr">
        <is>
          <t>Vastgesteld</t>
        </is>
      </c>
      <c r="E523" s="92" t="n">
        <v>2026</v>
      </c>
      <c r="F523" s="92" t="inlineStr">
        <is>
          <t>Q2</t>
        </is>
      </c>
      <c r="G523" s="92" t="n">
        <v>0</v>
      </c>
      <c r="H523" s="108" t="n">
        <v>46203</v>
      </c>
      <c r="I523" s="92" t="n">
        <v>2026</v>
      </c>
      <c r="J523" s="92" t="inlineStr">
        <is>
          <t>G.900007.8.9090</t>
        </is>
      </c>
      <c r="K523" s="92" t="inlineStr">
        <is>
          <t>G.900007</t>
        </is>
      </c>
      <c r="L523" s="92" t="inlineStr">
        <is>
          <t>Rietdam, Havenkwartier</t>
        </is>
      </c>
      <c r="M523" s="92" t="inlineStr">
        <is>
          <t>Opstal</t>
        </is>
      </c>
      <c r="N523" s="92" t="inlineStr">
        <is>
          <t>J</t>
        </is>
      </c>
      <c r="O523" s="92" t="inlineStr">
        <is>
          <t>Woningen verkocht t/m vorig jaar</t>
        </is>
      </c>
      <c r="P523" s="109" t="n">
        <v>0</v>
      </c>
      <c r="Q523" s="92" t="inlineStr">
        <is>
          <t>aantal</t>
        </is>
      </c>
      <c r="R523" s="92" t="inlineStr">
        <is>
          <t>Synthetische snapshot; kwartalen zijn FY-verdeling, geen actuals</t>
        </is>
      </c>
      <c r="S523" s="15" t="str">
        <f>IF(J523="","",J523&amp;"|"&amp;E523&amp;"|"&amp;F523&amp;"|"&amp;I523&amp;"|"&amp;O523)</f>
        <v>G.900007.8.9090|2026|Q2|2026|Woningen verkocht t/m vorig jaar</v>
      </c>
      <c r="T523" s="15">
        <f>IF(OR(S523="",D523&lt;&gt;"Vastgesteld"),"",_xlfn.MAXIFS($G$6:$G$5005,$S$6:$S$5005,S523,$D$6:$D$5005,"Vastgesteld"))</f>
        <v>0</v>
      </c>
      <c r="U523" s="15">
        <f>IF(T523="",0,IF(AND(G523=T523,COUNTIFS($S$6:S523,S523,$G$6:G523,G523,$D$6:D523,"Vastgesteld")=1),1,0))</f>
        <v>1</v>
      </c>
      <c r="V523" s="15">
        <f>IF(T523="",0,IF(AND(G523=T523,COUNTIFS($S$6:S523,S523,$G$6:G523,G523,$D$6:D523,"Vastgesteld")&gt;1),1,0))</f>
        <v>0</v>
      </c>
    </row>
    <row r="524">
      <c r="A524" s="92" t="inlineStr">
        <is>
          <t>HIST-2026-Q2</t>
        </is>
      </c>
      <c r="B524" s="92" t="inlineStr">
        <is>
          <t>RDFO_FICTIEVE_historie_en_mapping.xlsx</t>
        </is>
      </c>
      <c r="C524" s="108" t="n">
        <v>46324</v>
      </c>
      <c r="D524" s="92" t="inlineStr">
        <is>
          <t>Vastgesteld</t>
        </is>
      </c>
      <c r="E524" s="92" t="n">
        <v>2026</v>
      </c>
      <c r="F524" s="92" t="inlineStr">
        <is>
          <t>Q2</t>
        </is>
      </c>
      <c r="G524" s="92" t="n">
        <v>0</v>
      </c>
      <c r="H524" s="108" t="n">
        <v>46203</v>
      </c>
      <c r="I524" s="92" t="n">
        <v>2026</v>
      </c>
      <c r="J524" s="92" t="inlineStr">
        <is>
          <t>G.900007.8.9090</t>
        </is>
      </c>
      <c r="K524" s="92" t="inlineStr">
        <is>
          <t>G.900007</t>
        </is>
      </c>
      <c r="L524" s="92" t="inlineStr">
        <is>
          <t>Rietdam, Havenkwartier</t>
        </is>
      </c>
      <c r="M524" s="92" t="inlineStr">
        <is>
          <t>Opstal</t>
        </is>
      </c>
      <c r="N524" s="92" t="inlineStr">
        <is>
          <t>J</t>
        </is>
      </c>
      <c r="O524" s="92" t="inlineStr">
        <is>
          <t>Woningverkopen Q1</t>
        </is>
      </c>
      <c r="P524" s="109" t="n">
        <v>4</v>
      </c>
      <c r="Q524" s="92" t="inlineStr">
        <is>
          <t>aantal</t>
        </is>
      </c>
      <c r="R524" s="92" t="inlineStr">
        <is>
          <t>Synthetische snapshot; kwartalen zijn FY-verdeling, geen actuals</t>
        </is>
      </c>
      <c r="S524" s="15" t="str">
        <f>IF(J524="","",J524&amp;"|"&amp;E524&amp;"|"&amp;F524&amp;"|"&amp;I524&amp;"|"&amp;O524)</f>
        <v>G.900007.8.9090|2026|Q2|2026|Woningverkopen Q1</v>
      </c>
      <c r="T524" s="15">
        <f>IF(OR(S524="",D524&lt;&gt;"Vastgesteld"),"",_xlfn.MAXIFS($G$6:$G$5005,$S$6:$S$5005,S524,$D$6:$D$5005,"Vastgesteld"))</f>
        <v>0</v>
      </c>
      <c r="U524" s="15">
        <f>IF(T524="",0,IF(AND(G524=T524,COUNTIFS($S$6:S524,S524,$G$6:G524,G524,$D$6:D524,"Vastgesteld")=1),1,0))</f>
        <v>1</v>
      </c>
      <c r="V524" s="15">
        <f>IF(T524="",0,IF(AND(G524=T524,COUNTIFS($S$6:S524,S524,$G$6:G524,G524,$D$6:D524,"Vastgesteld")&gt;1),1,0))</f>
        <v>0</v>
      </c>
    </row>
    <row r="525">
      <c r="A525" s="92" t="inlineStr">
        <is>
          <t>HIST-2026-Q2</t>
        </is>
      </c>
      <c r="B525" s="92" t="inlineStr">
        <is>
          <t>RDFO_FICTIEVE_historie_en_mapping.xlsx</t>
        </is>
      </c>
      <c r="C525" s="108" t="n">
        <v>46324</v>
      </c>
      <c r="D525" s="92" t="inlineStr">
        <is>
          <t>Vastgesteld</t>
        </is>
      </c>
      <c r="E525" s="92" t="n">
        <v>2026</v>
      </c>
      <c r="F525" s="92" t="inlineStr">
        <is>
          <t>Q2</t>
        </is>
      </c>
      <c r="G525" s="92" t="n">
        <v>0</v>
      </c>
      <c r="H525" s="108" t="n">
        <v>46203</v>
      </c>
      <c r="I525" s="92" t="n">
        <v>2026</v>
      </c>
      <c r="J525" s="92" t="inlineStr">
        <is>
          <t>G.900007.8.9090</t>
        </is>
      </c>
      <c r="K525" s="92" t="inlineStr">
        <is>
          <t>G.900007</t>
        </is>
      </c>
      <c r="L525" s="92" t="inlineStr">
        <is>
          <t>Rietdam, Havenkwartier</t>
        </is>
      </c>
      <c r="M525" s="92" t="inlineStr">
        <is>
          <t>Opstal</t>
        </is>
      </c>
      <c r="N525" s="92" t="inlineStr">
        <is>
          <t>J</t>
        </is>
      </c>
      <c r="O525" s="92" t="inlineStr">
        <is>
          <t>Woningverkopen Q2</t>
        </is>
      </c>
      <c r="P525" s="109" t="n">
        <v>5</v>
      </c>
      <c r="Q525" s="92" t="inlineStr">
        <is>
          <t>aantal</t>
        </is>
      </c>
      <c r="R525" s="92" t="inlineStr">
        <is>
          <t>Synthetische snapshot; kwartalen zijn FY-verdeling, geen actuals</t>
        </is>
      </c>
      <c r="S525" s="15" t="str">
        <f>IF(J525="","",J525&amp;"|"&amp;E525&amp;"|"&amp;F525&amp;"|"&amp;I525&amp;"|"&amp;O525)</f>
        <v>G.900007.8.9090|2026|Q2|2026|Woningverkopen Q2</v>
      </c>
      <c r="T525" s="15">
        <f>IF(OR(S525="",D525&lt;&gt;"Vastgesteld"),"",_xlfn.MAXIFS($G$6:$G$5005,$S$6:$S$5005,S525,$D$6:$D$5005,"Vastgesteld"))</f>
        <v>0</v>
      </c>
      <c r="U525" s="15">
        <f>IF(T525="",0,IF(AND(G525=T525,COUNTIFS($S$6:S525,S525,$G$6:G525,G525,$D$6:D525,"Vastgesteld")=1),1,0))</f>
        <v>1</v>
      </c>
      <c r="V525" s="15">
        <f>IF(T525="",0,IF(AND(G525=T525,COUNTIFS($S$6:S525,S525,$G$6:G525,G525,$D$6:D525,"Vastgesteld")&gt;1),1,0))</f>
        <v>0</v>
      </c>
    </row>
    <row r="526">
      <c r="A526" s="92" t="inlineStr">
        <is>
          <t>HIST-2026-Q2</t>
        </is>
      </c>
      <c r="B526" s="92" t="inlineStr">
        <is>
          <t>RDFO_FICTIEVE_historie_en_mapping.xlsx</t>
        </is>
      </c>
      <c r="C526" s="108" t="n">
        <v>46324</v>
      </c>
      <c r="D526" s="92" t="inlineStr">
        <is>
          <t>Vastgesteld</t>
        </is>
      </c>
      <c r="E526" s="92" t="n">
        <v>2026</v>
      </c>
      <c r="F526" s="92" t="inlineStr">
        <is>
          <t>Q2</t>
        </is>
      </c>
      <c r="G526" s="92" t="n">
        <v>0</v>
      </c>
      <c r="H526" s="108" t="n">
        <v>46203</v>
      </c>
      <c r="I526" s="92" t="n">
        <v>2026</v>
      </c>
      <c r="J526" s="92" t="inlineStr">
        <is>
          <t>G.900007.8.9090</t>
        </is>
      </c>
      <c r="K526" s="92" t="inlineStr">
        <is>
          <t>G.900007</t>
        </is>
      </c>
      <c r="L526" s="92" t="inlineStr">
        <is>
          <t>Rietdam, Havenkwartier</t>
        </is>
      </c>
      <c r="M526" s="92" t="inlineStr">
        <is>
          <t>Opstal</t>
        </is>
      </c>
      <c r="N526" s="92" t="inlineStr">
        <is>
          <t>J</t>
        </is>
      </c>
      <c r="O526" s="92" t="inlineStr">
        <is>
          <t>Woningverkopen Q3</t>
        </is>
      </c>
      <c r="P526" s="109" t="n">
        <v>5</v>
      </c>
      <c r="Q526" s="92" t="inlineStr">
        <is>
          <t>aantal</t>
        </is>
      </c>
      <c r="R526" s="92" t="inlineStr">
        <is>
          <t>Synthetische snapshot; kwartalen zijn FY-verdeling, geen actuals</t>
        </is>
      </c>
      <c r="S526" s="15" t="str">
        <f>IF(J526="","",J526&amp;"|"&amp;E526&amp;"|"&amp;F526&amp;"|"&amp;I526&amp;"|"&amp;O526)</f>
        <v>G.900007.8.9090|2026|Q2|2026|Woningverkopen Q3</v>
      </c>
      <c r="T526" s="15">
        <f>IF(OR(S526="",D526&lt;&gt;"Vastgesteld"),"",_xlfn.MAXIFS($G$6:$G$5005,$S$6:$S$5005,S526,$D$6:$D$5005,"Vastgesteld"))</f>
        <v>0</v>
      </c>
      <c r="U526" s="15">
        <f>IF(T526="",0,IF(AND(G526=T526,COUNTIFS($S$6:S526,S526,$G$6:G526,G526,$D$6:D526,"Vastgesteld")=1),1,0))</f>
        <v>1</v>
      </c>
      <c r="V526" s="15">
        <f>IF(T526="",0,IF(AND(G526=T526,COUNTIFS($S$6:S526,S526,$G$6:G526,G526,$D$6:D526,"Vastgesteld")&gt;1),1,0))</f>
        <v>0</v>
      </c>
    </row>
    <row r="527">
      <c r="A527" s="92" t="inlineStr">
        <is>
          <t>HIST-2026-Q2</t>
        </is>
      </c>
      <c r="B527" s="92" t="inlineStr">
        <is>
          <t>RDFO_FICTIEVE_historie_en_mapping.xlsx</t>
        </is>
      </c>
      <c r="C527" s="108" t="n">
        <v>46324</v>
      </c>
      <c r="D527" s="92" t="inlineStr">
        <is>
          <t>Vastgesteld</t>
        </is>
      </c>
      <c r="E527" s="92" t="n">
        <v>2026</v>
      </c>
      <c r="F527" s="92" t="inlineStr">
        <is>
          <t>Q2</t>
        </is>
      </c>
      <c r="G527" s="92" t="n">
        <v>0</v>
      </c>
      <c r="H527" s="108" t="n">
        <v>46203</v>
      </c>
      <c r="I527" s="92" t="n">
        <v>2026</v>
      </c>
      <c r="J527" s="92" t="inlineStr">
        <is>
          <t>G.900007.8.9090</t>
        </is>
      </c>
      <c r="K527" s="92" t="inlineStr">
        <is>
          <t>G.900007</t>
        </is>
      </c>
      <c r="L527" s="92" t="inlineStr">
        <is>
          <t>Rietdam, Havenkwartier</t>
        </is>
      </c>
      <c r="M527" s="92" t="inlineStr">
        <is>
          <t>Opstal</t>
        </is>
      </c>
      <c r="N527" s="92" t="inlineStr">
        <is>
          <t>J</t>
        </is>
      </c>
      <c r="O527" s="92" t="inlineStr">
        <is>
          <t>Woningverkopen Q4</t>
        </is>
      </c>
      <c r="P527" s="109" t="n">
        <v>6</v>
      </c>
      <c r="Q527" s="92" t="inlineStr">
        <is>
          <t>aantal</t>
        </is>
      </c>
      <c r="R527" s="92" t="inlineStr">
        <is>
          <t>Synthetische snapshot; kwartalen zijn FY-verdeling, geen actuals</t>
        </is>
      </c>
      <c r="S527" s="15" t="str">
        <f>IF(J527="","",J527&amp;"|"&amp;E527&amp;"|"&amp;F527&amp;"|"&amp;I527&amp;"|"&amp;O527)</f>
        <v>G.900007.8.9090|2026|Q2|2026|Woningverkopen Q4</v>
      </c>
      <c r="T527" s="15">
        <f>IF(OR(S527="",D527&lt;&gt;"Vastgesteld"),"",_xlfn.MAXIFS($G$6:$G$5005,$S$6:$S$5005,S527,$D$6:$D$5005,"Vastgesteld"))</f>
        <v>0</v>
      </c>
      <c r="U527" s="15">
        <f>IF(T527="",0,IF(AND(G527=T527,COUNTIFS($S$6:S527,S527,$G$6:G527,G527,$D$6:D527,"Vastgesteld")=1),1,0))</f>
        <v>1</v>
      </c>
      <c r="V527" s="15">
        <f>IF(T527="",0,IF(AND(G527=T527,COUNTIFS($S$6:S527,S527,$G$6:G527,G527,$D$6:D527,"Vastgesteld")&gt;1),1,0))</f>
        <v>0</v>
      </c>
    </row>
    <row r="528">
      <c r="A528" s="92" t="inlineStr">
        <is>
          <t>HIST-2026-Q2</t>
        </is>
      </c>
      <c r="B528" s="92" t="inlineStr">
        <is>
          <t>RDFO_FICTIEVE_historie_en_mapping.xlsx</t>
        </is>
      </c>
      <c r="C528" s="108" t="n">
        <v>46324</v>
      </c>
      <c r="D528" s="92" t="inlineStr">
        <is>
          <t>Vastgesteld</t>
        </is>
      </c>
      <c r="E528" s="92" t="n">
        <v>2026</v>
      </c>
      <c r="F528" s="92" t="inlineStr">
        <is>
          <t>Q2</t>
        </is>
      </c>
      <c r="G528" s="92" t="n">
        <v>0</v>
      </c>
      <c r="H528" s="108" t="n">
        <v>46203</v>
      </c>
      <c r="I528" s="92" t="n">
        <v>2026</v>
      </c>
      <c r="J528" s="92" t="inlineStr">
        <is>
          <t>G.900008.8.9090</t>
        </is>
      </c>
      <c r="K528" s="92" t="inlineStr">
        <is>
          <t>G.900008</t>
        </is>
      </c>
      <c r="L528" s="92" t="inlineStr">
        <is>
          <t>Lindehaven, De Brink</t>
        </is>
      </c>
      <c r="M528" s="92" t="inlineStr">
        <is>
          <t>Opstal</t>
        </is>
      </c>
      <c r="N528" s="92" t="inlineStr">
        <is>
          <t>J</t>
        </is>
      </c>
      <c r="O528" s="92" t="inlineStr">
        <is>
          <t>Woningverkopen FY</t>
        </is>
      </c>
      <c r="P528" s="109" t="n">
        <v>14</v>
      </c>
      <c r="Q528" s="92" t="inlineStr">
        <is>
          <t>aantal</t>
        </is>
      </c>
      <c r="R528" s="92" t="inlineStr">
        <is>
          <t>Synthetische snapshot; kwartalen zijn FY-verdeling, geen actuals</t>
        </is>
      </c>
      <c r="S528" s="15" t="str">
        <f>IF(J528="","",J528&amp;"|"&amp;E528&amp;"|"&amp;F528&amp;"|"&amp;I528&amp;"|"&amp;O528)</f>
        <v>G.900008.8.9090|2026|Q2|2026|Woningverkopen FY</v>
      </c>
      <c r="T528" s="15">
        <f>IF(OR(S528="",D528&lt;&gt;"Vastgesteld"),"",_xlfn.MAXIFS($G$6:$G$5005,$S$6:$S$5005,S528,$D$6:$D$5005,"Vastgesteld"))</f>
        <v>0</v>
      </c>
      <c r="U528" s="15">
        <f>IF(T528="",0,IF(AND(G528=T528,COUNTIFS($S$6:S528,S528,$G$6:G528,G528,$D$6:D528,"Vastgesteld")=1),1,0))</f>
        <v>1</v>
      </c>
      <c r="V528" s="15">
        <f>IF(T528="",0,IF(AND(G528=T528,COUNTIFS($S$6:S528,S528,$G$6:G528,G528,$D$6:D528,"Vastgesteld")&gt;1),1,0))</f>
        <v>0</v>
      </c>
    </row>
    <row r="529">
      <c r="A529" s="92" t="inlineStr">
        <is>
          <t>HIST-2026-Q2</t>
        </is>
      </c>
      <c r="B529" s="92" t="inlineStr">
        <is>
          <t>RDFO_FICTIEVE_historie_en_mapping.xlsx</t>
        </is>
      </c>
      <c r="C529" s="108" t="n">
        <v>46324</v>
      </c>
      <c r="D529" s="92" t="inlineStr">
        <is>
          <t>Vastgesteld</t>
        </is>
      </c>
      <c r="E529" s="92" t="n">
        <v>2026</v>
      </c>
      <c r="F529" s="92" t="inlineStr">
        <is>
          <t>Q2</t>
        </is>
      </c>
      <c r="G529" s="92" t="n">
        <v>0</v>
      </c>
      <c r="H529" s="108" t="n">
        <v>46203</v>
      </c>
      <c r="I529" s="92" t="n">
        <v>2026</v>
      </c>
      <c r="J529" s="92" t="inlineStr">
        <is>
          <t>G.900008.8.9090</t>
        </is>
      </c>
      <c r="K529" s="92" t="inlineStr">
        <is>
          <t>G.900008</t>
        </is>
      </c>
      <c r="L529" s="92" t="inlineStr">
        <is>
          <t>Lindehaven, De Brink</t>
        </is>
      </c>
      <c r="M529" s="92" t="inlineStr">
        <is>
          <t>Opstal</t>
        </is>
      </c>
      <c r="N529" s="92" t="inlineStr">
        <is>
          <t>J</t>
        </is>
      </c>
      <c r="O529" s="92" t="inlineStr">
        <is>
          <t>Woningen verkocht t/m vorig jaar</t>
        </is>
      </c>
      <c r="P529" s="109" t="n">
        <v>0</v>
      </c>
      <c r="Q529" s="92" t="inlineStr">
        <is>
          <t>aantal</t>
        </is>
      </c>
      <c r="R529" s="92" t="inlineStr">
        <is>
          <t>Synthetische snapshot; kwartalen zijn FY-verdeling, geen actuals</t>
        </is>
      </c>
      <c r="S529" s="15" t="str">
        <f>IF(J529="","",J529&amp;"|"&amp;E529&amp;"|"&amp;F529&amp;"|"&amp;I529&amp;"|"&amp;O529)</f>
        <v>G.900008.8.9090|2026|Q2|2026|Woningen verkocht t/m vorig jaar</v>
      </c>
      <c r="T529" s="15">
        <f>IF(OR(S529="",D529&lt;&gt;"Vastgesteld"),"",_xlfn.MAXIFS($G$6:$G$5005,$S$6:$S$5005,S529,$D$6:$D$5005,"Vastgesteld"))</f>
        <v>0</v>
      </c>
      <c r="U529" s="15">
        <f>IF(T529="",0,IF(AND(G529=T529,COUNTIFS($S$6:S529,S529,$G$6:G529,G529,$D$6:D529,"Vastgesteld")=1),1,0))</f>
        <v>1</v>
      </c>
      <c r="V529" s="15">
        <f>IF(T529="",0,IF(AND(G529=T529,COUNTIFS($S$6:S529,S529,$G$6:G529,G529,$D$6:D529,"Vastgesteld")&gt;1),1,0))</f>
        <v>0</v>
      </c>
    </row>
    <row r="530">
      <c r="A530" s="92" t="inlineStr">
        <is>
          <t>HIST-2026-Q2</t>
        </is>
      </c>
      <c r="B530" s="92" t="inlineStr">
        <is>
          <t>RDFO_FICTIEVE_historie_en_mapping.xlsx</t>
        </is>
      </c>
      <c r="C530" s="108" t="n">
        <v>46324</v>
      </c>
      <c r="D530" s="92" t="inlineStr">
        <is>
          <t>Vastgesteld</t>
        </is>
      </c>
      <c r="E530" s="92" t="n">
        <v>2026</v>
      </c>
      <c r="F530" s="92" t="inlineStr">
        <is>
          <t>Q2</t>
        </is>
      </c>
      <c r="G530" s="92" t="n">
        <v>0</v>
      </c>
      <c r="H530" s="108" t="n">
        <v>46203</v>
      </c>
      <c r="I530" s="92" t="n">
        <v>2026</v>
      </c>
      <c r="J530" s="92" t="inlineStr">
        <is>
          <t>G.900008.8.9090</t>
        </is>
      </c>
      <c r="K530" s="92" t="inlineStr">
        <is>
          <t>G.900008</t>
        </is>
      </c>
      <c r="L530" s="92" t="inlineStr">
        <is>
          <t>Lindehaven, De Brink</t>
        </is>
      </c>
      <c r="M530" s="92" t="inlineStr">
        <is>
          <t>Opstal</t>
        </is>
      </c>
      <c r="N530" s="92" t="inlineStr">
        <is>
          <t>J</t>
        </is>
      </c>
      <c r="O530" s="92" t="inlineStr">
        <is>
          <t>Woningverkopen Q1</t>
        </is>
      </c>
      <c r="P530" s="109" t="n">
        <v>2</v>
      </c>
      <c r="Q530" s="92" t="inlineStr">
        <is>
          <t>aantal</t>
        </is>
      </c>
      <c r="R530" s="92" t="inlineStr">
        <is>
          <t>Synthetische snapshot; kwartalen zijn FY-verdeling, geen actuals</t>
        </is>
      </c>
      <c r="S530" s="15" t="str">
        <f>IF(J530="","",J530&amp;"|"&amp;E530&amp;"|"&amp;F530&amp;"|"&amp;I530&amp;"|"&amp;O530)</f>
        <v>G.900008.8.9090|2026|Q2|2026|Woningverkopen Q1</v>
      </c>
      <c r="T530" s="15">
        <f>IF(OR(S530="",D530&lt;&gt;"Vastgesteld"),"",_xlfn.MAXIFS($G$6:$G$5005,$S$6:$S$5005,S530,$D$6:$D$5005,"Vastgesteld"))</f>
        <v>0</v>
      </c>
      <c r="U530" s="15">
        <f>IF(T530="",0,IF(AND(G530=T530,COUNTIFS($S$6:S530,S530,$G$6:G530,G530,$D$6:D530,"Vastgesteld")=1),1,0))</f>
        <v>1</v>
      </c>
      <c r="V530" s="15">
        <f>IF(T530="",0,IF(AND(G530=T530,COUNTIFS($S$6:S530,S530,$G$6:G530,G530,$D$6:D530,"Vastgesteld")&gt;1),1,0))</f>
        <v>0</v>
      </c>
    </row>
    <row r="531">
      <c r="A531" s="92" t="inlineStr">
        <is>
          <t>HIST-2026-Q2</t>
        </is>
      </c>
      <c r="B531" s="92" t="inlineStr">
        <is>
          <t>RDFO_FICTIEVE_historie_en_mapping.xlsx</t>
        </is>
      </c>
      <c r="C531" s="108" t="n">
        <v>46324</v>
      </c>
      <c r="D531" s="92" t="inlineStr">
        <is>
          <t>Vastgesteld</t>
        </is>
      </c>
      <c r="E531" s="92" t="n">
        <v>2026</v>
      </c>
      <c r="F531" s="92" t="inlineStr">
        <is>
          <t>Q2</t>
        </is>
      </c>
      <c r="G531" s="92" t="n">
        <v>0</v>
      </c>
      <c r="H531" s="108" t="n">
        <v>46203</v>
      </c>
      <c r="I531" s="92" t="n">
        <v>2026</v>
      </c>
      <c r="J531" s="92" t="inlineStr">
        <is>
          <t>G.900008.8.9090</t>
        </is>
      </c>
      <c r="K531" s="92" t="inlineStr">
        <is>
          <t>G.900008</t>
        </is>
      </c>
      <c r="L531" s="92" t="inlineStr">
        <is>
          <t>Lindehaven, De Brink</t>
        </is>
      </c>
      <c r="M531" s="92" t="inlineStr">
        <is>
          <t>Opstal</t>
        </is>
      </c>
      <c r="N531" s="92" t="inlineStr">
        <is>
          <t>J</t>
        </is>
      </c>
      <c r="O531" s="92" t="inlineStr">
        <is>
          <t>Woningverkopen Q2</t>
        </is>
      </c>
      <c r="P531" s="109" t="n">
        <v>3</v>
      </c>
      <c r="Q531" s="92" t="inlineStr">
        <is>
          <t>aantal</t>
        </is>
      </c>
      <c r="R531" s="92" t="inlineStr">
        <is>
          <t>Synthetische snapshot; kwartalen zijn FY-verdeling, geen actuals</t>
        </is>
      </c>
      <c r="S531" s="15" t="str">
        <f>IF(J531="","",J531&amp;"|"&amp;E531&amp;"|"&amp;F531&amp;"|"&amp;I531&amp;"|"&amp;O531)</f>
        <v>G.900008.8.9090|2026|Q2|2026|Woningverkopen Q2</v>
      </c>
      <c r="T531" s="15">
        <f>IF(OR(S531="",D531&lt;&gt;"Vastgesteld"),"",_xlfn.MAXIFS($G$6:$G$5005,$S$6:$S$5005,S531,$D$6:$D$5005,"Vastgesteld"))</f>
        <v>0</v>
      </c>
      <c r="U531" s="15">
        <f>IF(T531="",0,IF(AND(G531=T531,COUNTIFS($S$6:S531,S531,$G$6:G531,G531,$D$6:D531,"Vastgesteld")=1),1,0))</f>
        <v>1</v>
      </c>
      <c r="V531" s="15">
        <f>IF(T531="",0,IF(AND(G531=T531,COUNTIFS($S$6:S531,S531,$G$6:G531,G531,$D$6:D531,"Vastgesteld")&gt;1),1,0))</f>
        <v>0</v>
      </c>
    </row>
    <row r="532">
      <c r="A532" s="92" t="inlineStr">
        <is>
          <t>HIST-2026-Q2</t>
        </is>
      </c>
      <c r="B532" s="92" t="inlineStr">
        <is>
          <t>RDFO_FICTIEVE_historie_en_mapping.xlsx</t>
        </is>
      </c>
      <c r="C532" s="108" t="n">
        <v>46324</v>
      </c>
      <c r="D532" s="92" t="inlineStr">
        <is>
          <t>Vastgesteld</t>
        </is>
      </c>
      <c r="E532" s="92" t="n">
        <v>2026</v>
      </c>
      <c r="F532" s="92" t="inlineStr">
        <is>
          <t>Q2</t>
        </is>
      </c>
      <c r="G532" s="92" t="n">
        <v>0</v>
      </c>
      <c r="H532" s="108" t="n">
        <v>46203</v>
      </c>
      <c r="I532" s="92" t="n">
        <v>2026</v>
      </c>
      <c r="J532" s="92" t="inlineStr">
        <is>
          <t>G.900008.8.9090</t>
        </is>
      </c>
      <c r="K532" s="92" t="inlineStr">
        <is>
          <t>G.900008</t>
        </is>
      </c>
      <c r="L532" s="92" t="inlineStr">
        <is>
          <t>Lindehaven, De Brink</t>
        </is>
      </c>
      <c r="M532" s="92" t="inlineStr">
        <is>
          <t>Opstal</t>
        </is>
      </c>
      <c r="N532" s="92" t="inlineStr">
        <is>
          <t>J</t>
        </is>
      </c>
      <c r="O532" s="92" t="inlineStr">
        <is>
          <t>Woningverkopen Q3</t>
        </is>
      </c>
      <c r="P532" s="109" t="n">
        <v>3</v>
      </c>
      <c r="Q532" s="92" t="inlineStr">
        <is>
          <t>aantal</t>
        </is>
      </c>
      <c r="R532" s="92" t="inlineStr">
        <is>
          <t>Synthetische snapshot; kwartalen zijn FY-verdeling, geen actuals</t>
        </is>
      </c>
      <c r="S532" s="15" t="str">
        <f>IF(J532="","",J532&amp;"|"&amp;E532&amp;"|"&amp;F532&amp;"|"&amp;I532&amp;"|"&amp;O532)</f>
        <v>G.900008.8.9090|2026|Q2|2026|Woningverkopen Q3</v>
      </c>
      <c r="T532" s="15">
        <f>IF(OR(S532="",D532&lt;&gt;"Vastgesteld"),"",_xlfn.MAXIFS($G$6:$G$5005,$S$6:$S$5005,S532,$D$6:$D$5005,"Vastgesteld"))</f>
        <v>0</v>
      </c>
      <c r="U532" s="15">
        <f>IF(T532="",0,IF(AND(G532=T532,COUNTIFS($S$6:S532,S532,$G$6:G532,G532,$D$6:D532,"Vastgesteld")=1),1,0))</f>
        <v>1</v>
      </c>
      <c r="V532" s="15">
        <f>IF(T532="",0,IF(AND(G532=T532,COUNTIFS($S$6:S532,S532,$G$6:G532,G532,$D$6:D532,"Vastgesteld")&gt;1),1,0))</f>
        <v>0</v>
      </c>
    </row>
    <row r="533">
      <c r="A533" s="92" t="inlineStr">
        <is>
          <t>HIST-2026-Q2</t>
        </is>
      </c>
      <c r="B533" s="92" t="inlineStr">
        <is>
          <t>RDFO_FICTIEVE_historie_en_mapping.xlsx</t>
        </is>
      </c>
      <c r="C533" s="108" t="n">
        <v>46324</v>
      </c>
      <c r="D533" s="92" t="inlineStr">
        <is>
          <t>Vastgesteld</t>
        </is>
      </c>
      <c r="E533" s="92" t="n">
        <v>2026</v>
      </c>
      <c r="F533" s="92" t="inlineStr">
        <is>
          <t>Q2</t>
        </is>
      </c>
      <c r="G533" s="92" t="n">
        <v>0</v>
      </c>
      <c r="H533" s="108" t="n">
        <v>46203</v>
      </c>
      <c r="I533" s="92" t="n">
        <v>2026</v>
      </c>
      <c r="J533" s="92" t="inlineStr">
        <is>
          <t>G.900008.8.9090</t>
        </is>
      </c>
      <c r="K533" s="92" t="inlineStr">
        <is>
          <t>G.900008</t>
        </is>
      </c>
      <c r="L533" s="92" t="inlineStr">
        <is>
          <t>Lindehaven, De Brink</t>
        </is>
      </c>
      <c r="M533" s="92" t="inlineStr">
        <is>
          <t>Opstal</t>
        </is>
      </c>
      <c r="N533" s="92" t="inlineStr">
        <is>
          <t>J</t>
        </is>
      </c>
      <c r="O533" s="92" t="inlineStr">
        <is>
          <t>Woningverkopen Q4</t>
        </is>
      </c>
      <c r="P533" s="109" t="n">
        <v>6</v>
      </c>
      <c r="Q533" s="92" t="inlineStr">
        <is>
          <t>aantal</t>
        </is>
      </c>
      <c r="R533" s="92" t="inlineStr">
        <is>
          <t>Synthetische snapshot; kwartalen zijn FY-verdeling, geen actuals</t>
        </is>
      </c>
      <c r="S533" s="15" t="str">
        <f>IF(J533="","",J533&amp;"|"&amp;E533&amp;"|"&amp;F533&amp;"|"&amp;I533&amp;"|"&amp;O533)</f>
        <v>G.900008.8.9090|2026|Q2|2026|Woningverkopen Q4</v>
      </c>
      <c r="T533" s="15">
        <f>IF(OR(S533="",D533&lt;&gt;"Vastgesteld"),"",_xlfn.MAXIFS($G$6:$G$5005,$S$6:$S$5005,S533,$D$6:$D$5005,"Vastgesteld"))</f>
        <v>0</v>
      </c>
      <c r="U533" s="15">
        <f>IF(T533="",0,IF(AND(G533=T533,COUNTIFS($S$6:S533,S533,$G$6:G533,G533,$D$6:D533,"Vastgesteld")=1),1,0))</f>
        <v>1</v>
      </c>
      <c r="V533" s="15">
        <f>IF(T533="",0,IF(AND(G533=T533,COUNTIFS($S$6:S533,S533,$G$6:G533,G533,$D$6:D533,"Vastgesteld")&gt;1),1,0))</f>
        <v>0</v>
      </c>
    </row>
    <row r="534">
      <c r="A534" s="92" t="inlineStr">
        <is>
          <t>HIST-2026-Q2</t>
        </is>
      </c>
      <c r="B534" s="92" t="inlineStr">
        <is>
          <t>RDFO_FICTIEVE_historie_en_mapping.xlsx</t>
        </is>
      </c>
      <c r="C534" s="108" t="n">
        <v>46324</v>
      </c>
      <c r="D534" s="92" t="inlineStr">
        <is>
          <t>Vastgesteld</t>
        </is>
      </c>
      <c r="E534" s="92" t="n">
        <v>2026</v>
      </c>
      <c r="F534" s="92" t="inlineStr">
        <is>
          <t>Q2</t>
        </is>
      </c>
      <c r="G534" s="92" t="n">
        <v>0</v>
      </c>
      <c r="H534" s="108" t="n">
        <v>46203</v>
      </c>
      <c r="I534" s="92" t="n">
        <v>2026</v>
      </c>
      <c r="J534" s="92" t="inlineStr">
        <is>
          <t>G.900009.8.9090</t>
        </is>
      </c>
      <c r="K534" s="92" t="inlineStr">
        <is>
          <t>G.900009</t>
        </is>
      </c>
      <c r="L534" s="92" t="inlineStr">
        <is>
          <t>Duinwaard, Duinrand</t>
        </is>
      </c>
      <c r="M534" s="92" t="inlineStr">
        <is>
          <t>Opstal</t>
        </is>
      </c>
      <c r="N534" s="92" t="inlineStr">
        <is>
          <t>J</t>
        </is>
      </c>
      <c r="O534" s="92" t="inlineStr">
        <is>
          <t>Woningverkopen FY</t>
        </is>
      </c>
      <c r="P534" s="109" t="n">
        <v>28</v>
      </c>
      <c r="Q534" s="92" t="inlineStr">
        <is>
          <t>aantal</t>
        </is>
      </c>
      <c r="R534" s="92" t="inlineStr">
        <is>
          <t>Synthetische snapshot; kwartalen zijn FY-verdeling, geen actuals</t>
        </is>
      </c>
      <c r="S534" s="15" t="str">
        <f>IF(J534="","",J534&amp;"|"&amp;E534&amp;"|"&amp;F534&amp;"|"&amp;I534&amp;"|"&amp;O534)</f>
        <v>G.900009.8.9090|2026|Q2|2026|Woningverkopen FY</v>
      </c>
      <c r="T534" s="15">
        <f>IF(OR(S534="",D534&lt;&gt;"Vastgesteld"),"",_xlfn.MAXIFS($G$6:$G$5005,$S$6:$S$5005,S534,$D$6:$D$5005,"Vastgesteld"))</f>
        <v>0</v>
      </c>
      <c r="U534" s="15">
        <f>IF(T534="",0,IF(AND(G534=T534,COUNTIFS($S$6:S534,S534,$G$6:G534,G534,$D$6:D534,"Vastgesteld")=1),1,0))</f>
        <v>1</v>
      </c>
      <c r="V534" s="15">
        <f>IF(T534="",0,IF(AND(G534=T534,COUNTIFS($S$6:S534,S534,$G$6:G534,G534,$D$6:D534,"Vastgesteld")&gt;1),1,0))</f>
        <v>0</v>
      </c>
    </row>
    <row r="535">
      <c r="A535" s="92" t="inlineStr">
        <is>
          <t>HIST-2026-Q2</t>
        </is>
      </c>
      <c r="B535" s="92" t="inlineStr">
        <is>
          <t>RDFO_FICTIEVE_historie_en_mapping.xlsx</t>
        </is>
      </c>
      <c r="C535" s="108" t="n">
        <v>46324</v>
      </c>
      <c r="D535" s="92" t="inlineStr">
        <is>
          <t>Vastgesteld</t>
        </is>
      </c>
      <c r="E535" s="92" t="n">
        <v>2026</v>
      </c>
      <c r="F535" s="92" t="inlineStr">
        <is>
          <t>Q2</t>
        </is>
      </c>
      <c r="G535" s="92" t="n">
        <v>0</v>
      </c>
      <c r="H535" s="108" t="n">
        <v>46203</v>
      </c>
      <c r="I535" s="92" t="n">
        <v>2026</v>
      </c>
      <c r="J535" s="92" t="inlineStr">
        <is>
          <t>G.900009.8.9090</t>
        </is>
      </c>
      <c r="K535" s="92" t="inlineStr">
        <is>
          <t>G.900009</t>
        </is>
      </c>
      <c r="L535" s="92" t="inlineStr">
        <is>
          <t>Duinwaard, Duinrand</t>
        </is>
      </c>
      <c r="M535" s="92" t="inlineStr">
        <is>
          <t>Opstal</t>
        </is>
      </c>
      <c r="N535" s="92" t="inlineStr">
        <is>
          <t>J</t>
        </is>
      </c>
      <c r="O535" s="92" t="inlineStr">
        <is>
          <t>Woningen verkocht t/m vorig jaar</t>
        </is>
      </c>
      <c r="P535" s="109" t="n">
        <v>0</v>
      </c>
      <c r="Q535" s="92" t="inlineStr">
        <is>
          <t>aantal</t>
        </is>
      </c>
      <c r="R535" s="92" t="inlineStr">
        <is>
          <t>Synthetische snapshot; kwartalen zijn FY-verdeling, geen actuals</t>
        </is>
      </c>
      <c r="S535" s="15" t="str">
        <f>IF(J535="","",J535&amp;"|"&amp;E535&amp;"|"&amp;F535&amp;"|"&amp;I535&amp;"|"&amp;O535)</f>
        <v>G.900009.8.9090|2026|Q2|2026|Woningen verkocht t/m vorig jaar</v>
      </c>
      <c r="T535" s="15">
        <f>IF(OR(S535="",D535&lt;&gt;"Vastgesteld"),"",_xlfn.MAXIFS($G$6:$G$5005,$S$6:$S$5005,S535,$D$6:$D$5005,"Vastgesteld"))</f>
        <v>0</v>
      </c>
      <c r="U535" s="15">
        <f>IF(T535="",0,IF(AND(G535=T535,COUNTIFS($S$6:S535,S535,$G$6:G535,G535,$D$6:D535,"Vastgesteld")=1),1,0))</f>
        <v>1</v>
      </c>
      <c r="V535" s="15">
        <f>IF(T535="",0,IF(AND(G535=T535,COUNTIFS($S$6:S535,S535,$G$6:G535,G535,$D$6:D535,"Vastgesteld")&gt;1),1,0))</f>
        <v>0</v>
      </c>
    </row>
    <row r="536">
      <c r="A536" s="92" t="inlineStr">
        <is>
          <t>HIST-2026-Q2</t>
        </is>
      </c>
      <c r="B536" s="92" t="inlineStr">
        <is>
          <t>RDFO_FICTIEVE_historie_en_mapping.xlsx</t>
        </is>
      </c>
      <c r="C536" s="108" t="n">
        <v>46324</v>
      </c>
      <c r="D536" s="92" t="inlineStr">
        <is>
          <t>Vastgesteld</t>
        </is>
      </c>
      <c r="E536" s="92" t="n">
        <v>2026</v>
      </c>
      <c r="F536" s="92" t="inlineStr">
        <is>
          <t>Q2</t>
        </is>
      </c>
      <c r="G536" s="92" t="n">
        <v>0</v>
      </c>
      <c r="H536" s="108" t="n">
        <v>46203</v>
      </c>
      <c r="I536" s="92" t="n">
        <v>2026</v>
      </c>
      <c r="J536" s="92" t="inlineStr">
        <is>
          <t>G.900009.8.9090</t>
        </is>
      </c>
      <c r="K536" s="92" t="inlineStr">
        <is>
          <t>G.900009</t>
        </is>
      </c>
      <c r="L536" s="92" t="inlineStr">
        <is>
          <t>Duinwaard, Duinrand</t>
        </is>
      </c>
      <c r="M536" s="92" t="inlineStr">
        <is>
          <t>Opstal</t>
        </is>
      </c>
      <c r="N536" s="92" t="inlineStr">
        <is>
          <t>J</t>
        </is>
      </c>
      <c r="O536" s="92" t="inlineStr">
        <is>
          <t>Woningverkopen Q1</t>
        </is>
      </c>
      <c r="P536" s="109" t="n">
        <v>5</v>
      </c>
      <c r="Q536" s="92" t="inlineStr">
        <is>
          <t>aantal</t>
        </is>
      </c>
      <c r="R536" s="92" t="inlineStr">
        <is>
          <t>Synthetische snapshot; kwartalen zijn FY-verdeling, geen actuals</t>
        </is>
      </c>
      <c r="S536" s="15" t="str">
        <f>IF(J536="","",J536&amp;"|"&amp;E536&amp;"|"&amp;F536&amp;"|"&amp;I536&amp;"|"&amp;O536)</f>
        <v>G.900009.8.9090|2026|Q2|2026|Woningverkopen Q1</v>
      </c>
      <c r="T536" s="15">
        <f>IF(OR(S536="",D536&lt;&gt;"Vastgesteld"),"",_xlfn.MAXIFS($G$6:$G$5005,$S$6:$S$5005,S536,$D$6:$D$5005,"Vastgesteld"))</f>
        <v>0</v>
      </c>
      <c r="U536" s="15">
        <f>IF(T536="",0,IF(AND(G536=T536,COUNTIFS($S$6:S536,S536,$G$6:G536,G536,$D$6:D536,"Vastgesteld")=1),1,0))</f>
        <v>1</v>
      </c>
      <c r="V536" s="15">
        <f>IF(T536="",0,IF(AND(G536=T536,COUNTIFS($S$6:S536,S536,$G$6:G536,G536,$D$6:D536,"Vastgesteld")&gt;1),1,0))</f>
        <v>0</v>
      </c>
    </row>
    <row r="537">
      <c r="A537" s="92" t="inlineStr">
        <is>
          <t>HIST-2026-Q2</t>
        </is>
      </c>
      <c r="B537" s="92" t="inlineStr">
        <is>
          <t>RDFO_FICTIEVE_historie_en_mapping.xlsx</t>
        </is>
      </c>
      <c r="C537" s="108" t="n">
        <v>46324</v>
      </c>
      <c r="D537" s="92" t="inlineStr">
        <is>
          <t>Vastgesteld</t>
        </is>
      </c>
      <c r="E537" s="92" t="n">
        <v>2026</v>
      </c>
      <c r="F537" s="92" t="inlineStr">
        <is>
          <t>Q2</t>
        </is>
      </c>
      <c r="G537" s="92" t="n">
        <v>0</v>
      </c>
      <c r="H537" s="108" t="n">
        <v>46203</v>
      </c>
      <c r="I537" s="92" t="n">
        <v>2026</v>
      </c>
      <c r="J537" s="92" t="inlineStr">
        <is>
          <t>G.900009.8.9090</t>
        </is>
      </c>
      <c r="K537" s="92" t="inlineStr">
        <is>
          <t>G.900009</t>
        </is>
      </c>
      <c r="L537" s="92" t="inlineStr">
        <is>
          <t>Duinwaard, Duinrand</t>
        </is>
      </c>
      <c r="M537" s="92" t="inlineStr">
        <is>
          <t>Opstal</t>
        </is>
      </c>
      <c r="N537" s="92" t="inlineStr">
        <is>
          <t>J</t>
        </is>
      </c>
      <c r="O537" s="92" t="inlineStr">
        <is>
          <t>Woningverkopen Q2</t>
        </is>
      </c>
      <c r="P537" s="109" t="n">
        <v>7</v>
      </c>
      <c r="Q537" s="92" t="inlineStr">
        <is>
          <t>aantal</t>
        </is>
      </c>
      <c r="R537" s="92" t="inlineStr">
        <is>
          <t>Synthetische snapshot; kwartalen zijn FY-verdeling, geen actuals</t>
        </is>
      </c>
      <c r="S537" s="15" t="str">
        <f>IF(J537="","",J537&amp;"|"&amp;E537&amp;"|"&amp;F537&amp;"|"&amp;I537&amp;"|"&amp;O537)</f>
        <v>G.900009.8.9090|2026|Q2|2026|Woningverkopen Q2</v>
      </c>
      <c r="T537" s="15">
        <f>IF(OR(S537="",D537&lt;&gt;"Vastgesteld"),"",_xlfn.MAXIFS($G$6:$G$5005,$S$6:$S$5005,S537,$D$6:$D$5005,"Vastgesteld"))</f>
        <v>0</v>
      </c>
      <c r="U537" s="15">
        <f>IF(T537="",0,IF(AND(G537=T537,COUNTIFS($S$6:S537,S537,$G$6:G537,G537,$D$6:D537,"Vastgesteld")=1),1,0))</f>
        <v>1</v>
      </c>
      <c r="V537" s="15">
        <f>IF(T537="",0,IF(AND(G537=T537,COUNTIFS($S$6:S537,S537,$G$6:G537,G537,$D$6:D537,"Vastgesteld")&gt;1),1,0))</f>
        <v>0</v>
      </c>
    </row>
    <row r="538">
      <c r="A538" s="92" t="inlineStr">
        <is>
          <t>HIST-2026-Q2</t>
        </is>
      </c>
      <c r="B538" s="92" t="inlineStr">
        <is>
          <t>RDFO_FICTIEVE_historie_en_mapping.xlsx</t>
        </is>
      </c>
      <c r="C538" s="108" t="n">
        <v>46324</v>
      </c>
      <c r="D538" s="92" t="inlineStr">
        <is>
          <t>Vastgesteld</t>
        </is>
      </c>
      <c r="E538" s="92" t="n">
        <v>2026</v>
      </c>
      <c r="F538" s="92" t="inlineStr">
        <is>
          <t>Q2</t>
        </is>
      </c>
      <c r="G538" s="92" t="n">
        <v>0</v>
      </c>
      <c r="H538" s="108" t="n">
        <v>46203</v>
      </c>
      <c r="I538" s="92" t="n">
        <v>2026</v>
      </c>
      <c r="J538" s="92" t="inlineStr">
        <is>
          <t>G.900009.8.9090</t>
        </is>
      </c>
      <c r="K538" s="92" t="inlineStr">
        <is>
          <t>G.900009</t>
        </is>
      </c>
      <c r="L538" s="92" t="inlineStr">
        <is>
          <t>Duinwaard, Duinrand</t>
        </is>
      </c>
      <c r="M538" s="92" t="inlineStr">
        <is>
          <t>Opstal</t>
        </is>
      </c>
      <c r="N538" s="92" t="inlineStr">
        <is>
          <t>J</t>
        </is>
      </c>
      <c r="O538" s="92" t="inlineStr">
        <is>
          <t>Woningverkopen Q3</t>
        </is>
      </c>
      <c r="P538" s="109" t="n">
        <v>7</v>
      </c>
      <c r="Q538" s="92" t="inlineStr">
        <is>
          <t>aantal</t>
        </is>
      </c>
      <c r="R538" s="92" t="inlineStr">
        <is>
          <t>Synthetische snapshot; kwartalen zijn FY-verdeling, geen actuals</t>
        </is>
      </c>
      <c r="S538" s="15" t="str">
        <f>IF(J538="","",J538&amp;"|"&amp;E538&amp;"|"&amp;F538&amp;"|"&amp;I538&amp;"|"&amp;O538)</f>
        <v>G.900009.8.9090|2026|Q2|2026|Woningverkopen Q3</v>
      </c>
      <c r="T538" s="15">
        <f>IF(OR(S538="",D538&lt;&gt;"Vastgesteld"),"",_xlfn.MAXIFS($G$6:$G$5005,$S$6:$S$5005,S538,$D$6:$D$5005,"Vastgesteld"))</f>
        <v>0</v>
      </c>
      <c r="U538" s="15">
        <f>IF(T538="",0,IF(AND(G538=T538,COUNTIFS($S$6:S538,S538,$G$6:G538,G538,$D$6:D538,"Vastgesteld")=1),1,0))</f>
        <v>1</v>
      </c>
      <c r="V538" s="15">
        <f>IF(T538="",0,IF(AND(G538=T538,COUNTIFS($S$6:S538,S538,$G$6:G538,G538,$D$6:D538,"Vastgesteld")&gt;1),1,0))</f>
        <v>0</v>
      </c>
    </row>
    <row r="539">
      <c r="A539" s="92" t="inlineStr">
        <is>
          <t>HIST-2026-Q2</t>
        </is>
      </c>
      <c r="B539" s="92" t="inlineStr">
        <is>
          <t>RDFO_FICTIEVE_historie_en_mapping.xlsx</t>
        </is>
      </c>
      <c r="C539" s="108" t="n">
        <v>46324</v>
      </c>
      <c r="D539" s="92" t="inlineStr">
        <is>
          <t>Vastgesteld</t>
        </is>
      </c>
      <c r="E539" s="92" t="n">
        <v>2026</v>
      </c>
      <c r="F539" s="92" t="inlineStr">
        <is>
          <t>Q2</t>
        </is>
      </c>
      <c r="G539" s="92" t="n">
        <v>0</v>
      </c>
      <c r="H539" s="108" t="n">
        <v>46203</v>
      </c>
      <c r="I539" s="92" t="n">
        <v>2026</v>
      </c>
      <c r="J539" s="92" t="inlineStr">
        <is>
          <t>G.900009.8.9090</t>
        </is>
      </c>
      <c r="K539" s="92" t="inlineStr">
        <is>
          <t>G.900009</t>
        </is>
      </c>
      <c r="L539" s="92" t="inlineStr">
        <is>
          <t>Duinwaard, Duinrand</t>
        </is>
      </c>
      <c r="M539" s="92" t="inlineStr">
        <is>
          <t>Opstal</t>
        </is>
      </c>
      <c r="N539" s="92" t="inlineStr">
        <is>
          <t>J</t>
        </is>
      </c>
      <c r="O539" s="92" t="inlineStr">
        <is>
          <t>Woningverkopen Q4</t>
        </is>
      </c>
      <c r="P539" s="109" t="n">
        <v>9</v>
      </c>
      <c r="Q539" s="92" t="inlineStr">
        <is>
          <t>aantal</t>
        </is>
      </c>
      <c r="R539" s="92" t="inlineStr">
        <is>
          <t>Synthetische snapshot; kwartalen zijn FY-verdeling, geen actuals</t>
        </is>
      </c>
      <c r="S539" s="15" t="str">
        <f>IF(J539="","",J539&amp;"|"&amp;E539&amp;"|"&amp;F539&amp;"|"&amp;I539&amp;"|"&amp;O539)</f>
        <v>G.900009.8.9090|2026|Q2|2026|Woningverkopen Q4</v>
      </c>
      <c r="T539" s="15">
        <f>IF(OR(S539="",D539&lt;&gt;"Vastgesteld"),"",_xlfn.MAXIFS($G$6:$G$5005,$S$6:$S$5005,S539,$D$6:$D$5005,"Vastgesteld"))</f>
        <v>0</v>
      </c>
      <c r="U539" s="15">
        <f>IF(T539="",0,IF(AND(G539=T539,COUNTIFS($S$6:S539,S539,$G$6:G539,G539,$D$6:D539,"Vastgesteld")=1),1,0))</f>
        <v>1</v>
      </c>
      <c r="V539" s="15">
        <f>IF(T539="",0,IF(AND(G539=T539,COUNTIFS($S$6:S539,S539,$G$6:G539,G539,$D$6:D539,"Vastgesteld")&gt;1),1,0))</f>
        <v>0</v>
      </c>
    </row>
    <row r="540">
      <c r="A540" s="92" t="inlineStr">
        <is>
          <t>HIST-2026-Q2</t>
        </is>
      </c>
      <c r="B540" s="92" t="inlineStr">
        <is>
          <t>RDFO_FICTIEVE_historie_en_mapping.xlsx</t>
        </is>
      </c>
      <c r="C540" s="108" t="n">
        <v>46324</v>
      </c>
      <c r="D540" s="92" t="inlineStr">
        <is>
          <t>Vastgesteld</t>
        </is>
      </c>
      <c r="E540" s="92" t="n">
        <v>2026</v>
      </c>
      <c r="F540" s="92" t="inlineStr">
        <is>
          <t>Q2</t>
        </is>
      </c>
      <c r="G540" s="92" t="n">
        <v>0</v>
      </c>
      <c r="H540" s="108" t="n">
        <v>46203</v>
      </c>
      <c r="I540" s="92" t="n">
        <v>2026</v>
      </c>
      <c r="J540" s="92" t="inlineStr">
        <is>
          <t>G.900010.8.9090</t>
        </is>
      </c>
      <c r="K540" s="92" t="inlineStr">
        <is>
          <t>G.900010</t>
        </is>
      </c>
      <c r="L540" s="92" t="inlineStr">
        <is>
          <t>Veldendam, Groene Singel</t>
        </is>
      </c>
      <c r="M540" s="92" t="inlineStr">
        <is>
          <t>Opstal</t>
        </is>
      </c>
      <c r="N540" s="92" t="inlineStr">
        <is>
          <t>J</t>
        </is>
      </c>
      <c r="O540" s="92" t="inlineStr">
        <is>
          <t>Woningverkopen FY</t>
        </is>
      </c>
      <c r="P540" s="109" t="n">
        <v>19</v>
      </c>
      <c r="Q540" s="92" t="inlineStr">
        <is>
          <t>aantal</t>
        </is>
      </c>
      <c r="R540" s="92" t="inlineStr">
        <is>
          <t>Synthetische snapshot; kwartalen zijn FY-verdeling, geen actuals</t>
        </is>
      </c>
      <c r="S540" s="15" t="str">
        <f>IF(J540="","",J540&amp;"|"&amp;E540&amp;"|"&amp;F540&amp;"|"&amp;I540&amp;"|"&amp;O540)</f>
        <v>G.900010.8.9090|2026|Q2|2026|Woningverkopen FY</v>
      </c>
      <c r="T540" s="15">
        <f>IF(OR(S540="",D540&lt;&gt;"Vastgesteld"),"",_xlfn.MAXIFS($G$6:$G$5005,$S$6:$S$5005,S540,$D$6:$D$5005,"Vastgesteld"))</f>
        <v>0</v>
      </c>
      <c r="U540" s="15">
        <f>IF(T540="",0,IF(AND(G540=T540,COUNTIFS($S$6:S540,S540,$G$6:G540,G540,$D$6:D540,"Vastgesteld")=1),1,0))</f>
        <v>1</v>
      </c>
      <c r="V540" s="15">
        <f>IF(T540="",0,IF(AND(G540=T540,COUNTIFS($S$6:S540,S540,$G$6:G540,G540,$D$6:D540,"Vastgesteld")&gt;1),1,0))</f>
        <v>0</v>
      </c>
    </row>
    <row r="541">
      <c r="A541" s="92" t="inlineStr">
        <is>
          <t>HIST-2026-Q2</t>
        </is>
      </c>
      <c r="B541" s="92" t="inlineStr">
        <is>
          <t>RDFO_FICTIEVE_historie_en_mapping.xlsx</t>
        </is>
      </c>
      <c r="C541" s="108" t="n">
        <v>46324</v>
      </c>
      <c r="D541" s="92" t="inlineStr">
        <is>
          <t>Vastgesteld</t>
        </is>
      </c>
      <c r="E541" s="92" t="n">
        <v>2026</v>
      </c>
      <c r="F541" s="92" t="inlineStr">
        <is>
          <t>Q2</t>
        </is>
      </c>
      <c r="G541" s="92" t="n">
        <v>0</v>
      </c>
      <c r="H541" s="108" t="n">
        <v>46203</v>
      </c>
      <c r="I541" s="92" t="n">
        <v>2026</v>
      </c>
      <c r="J541" s="92" t="inlineStr">
        <is>
          <t>G.900010.8.9090</t>
        </is>
      </c>
      <c r="K541" s="92" t="inlineStr">
        <is>
          <t>G.900010</t>
        </is>
      </c>
      <c r="L541" s="92" t="inlineStr">
        <is>
          <t>Veldendam, Groene Singel</t>
        </is>
      </c>
      <c r="M541" s="92" t="inlineStr">
        <is>
          <t>Opstal</t>
        </is>
      </c>
      <c r="N541" s="92" t="inlineStr">
        <is>
          <t>J</t>
        </is>
      </c>
      <c r="O541" s="92" t="inlineStr">
        <is>
          <t>Woningen verkocht t/m vorig jaar</t>
        </is>
      </c>
      <c r="P541" s="109" t="n">
        <v>0</v>
      </c>
      <c r="Q541" s="92" t="inlineStr">
        <is>
          <t>aantal</t>
        </is>
      </c>
      <c r="R541" s="92" t="inlineStr">
        <is>
          <t>Synthetische snapshot; kwartalen zijn FY-verdeling, geen actuals</t>
        </is>
      </c>
      <c r="S541" s="15" t="str">
        <f>IF(J541="","",J541&amp;"|"&amp;E541&amp;"|"&amp;F541&amp;"|"&amp;I541&amp;"|"&amp;O541)</f>
        <v>G.900010.8.9090|2026|Q2|2026|Woningen verkocht t/m vorig jaar</v>
      </c>
      <c r="T541" s="15">
        <f>IF(OR(S541="",D541&lt;&gt;"Vastgesteld"),"",_xlfn.MAXIFS($G$6:$G$5005,$S$6:$S$5005,S541,$D$6:$D$5005,"Vastgesteld"))</f>
        <v>0</v>
      </c>
      <c r="U541" s="15">
        <f>IF(T541="",0,IF(AND(G541=T541,COUNTIFS($S$6:S541,S541,$G$6:G541,G541,$D$6:D541,"Vastgesteld")=1),1,0))</f>
        <v>1</v>
      </c>
      <c r="V541" s="15">
        <f>IF(T541="",0,IF(AND(G541=T541,COUNTIFS($S$6:S541,S541,$G$6:G541,G541,$D$6:D541,"Vastgesteld")&gt;1),1,0))</f>
        <v>0</v>
      </c>
    </row>
    <row r="542">
      <c r="A542" s="92" t="inlineStr">
        <is>
          <t>HIST-2026-Q2</t>
        </is>
      </c>
      <c r="B542" s="92" t="inlineStr">
        <is>
          <t>RDFO_FICTIEVE_historie_en_mapping.xlsx</t>
        </is>
      </c>
      <c r="C542" s="108" t="n">
        <v>46324</v>
      </c>
      <c r="D542" s="92" t="inlineStr">
        <is>
          <t>Vastgesteld</t>
        </is>
      </c>
      <c r="E542" s="92" t="n">
        <v>2026</v>
      </c>
      <c r="F542" s="92" t="inlineStr">
        <is>
          <t>Q2</t>
        </is>
      </c>
      <c r="G542" s="92" t="n">
        <v>0</v>
      </c>
      <c r="H542" s="108" t="n">
        <v>46203</v>
      </c>
      <c r="I542" s="92" t="n">
        <v>2026</v>
      </c>
      <c r="J542" s="92" t="inlineStr">
        <is>
          <t>G.900010.8.9090</t>
        </is>
      </c>
      <c r="K542" s="92" t="inlineStr">
        <is>
          <t>G.900010</t>
        </is>
      </c>
      <c r="L542" s="92" t="inlineStr">
        <is>
          <t>Veldendam, Groene Singel</t>
        </is>
      </c>
      <c r="M542" s="92" t="inlineStr">
        <is>
          <t>Opstal</t>
        </is>
      </c>
      <c r="N542" s="92" t="inlineStr">
        <is>
          <t>J</t>
        </is>
      </c>
      <c r="O542" s="92" t="inlineStr">
        <is>
          <t>Woningverkopen Q1</t>
        </is>
      </c>
      <c r="P542" s="109" t="n">
        <v>3</v>
      </c>
      <c r="Q542" s="92" t="inlineStr">
        <is>
          <t>aantal</t>
        </is>
      </c>
      <c r="R542" s="92" t="inlineStr">
        <is>
          <t>Synthetische snapshot; kwartalen zijn FY-verdeling, geen actuals</t>
        </is>
      </c>
      <c r="S542" s="15" t="str">
        <f>IF(J542="","",J542&amp;"|"&amp;E542&amp;"|"&amp;F542&amp;"|"&amp;I542&amp;"|"&amp;O542)</f>
        <v>G.900010.8.9090|2026|Q2|2026|Woningverkopen Q1</v>
      </c>
      <c r="T542" s="15">
        <f>IF(OR(S542="",D542&lt;&gt;"Vastgesteld"),"",_xlfn.MAXIFS($G$6:$G$5005,$S$6:$S$5005,S542,$D$6:$D$5005,"Vastgesteld"))</f>
        <v>0</v>
      </c>
      <c r="U542" s="15">
        <f>IF(T542="",0,IF(AND(G542=T542,COUNTIFS($S$6:S542,S542,$G$6:G542,G542,$D$6:D542,"Vastgesteld")=1),1,0))</f>
        <v>1</v>
      </c>
      <c r="V542" s="15">
        <f>IF(T542="",0,IF(AND(G542=T542,COUNTIFS($S$6:S542,S542,$G$6:G542,G542,$D$6:D542,"Vastgesteld")&gt;1),1,0))</f>
        <v>0</v>
      </c>
    </row>
    <row r="543">
      <c r="A543" s="92" t="inlineStr">
        <is>
          <t>HIST-2026-Q2</t>
        </is>
      </c>
      <c r="B543" s="92" t="inlineStr">
        <is>
          <t>RDFO_FICTIEVE_historie_en_mapping.xlsx</t>
        </is>
      </c>
      <c r="C543" s="108" t="n">
        <v>46324</v>
      </c>
      <c r="D543" s="92" t="inlineStr">
        <is>
          <t>Vastgesteld</t>
        </is>
      </c>
      <c r="E543" s="92" t="n">
        <v>2026</v>
      </c>
      <c r="F543" s="92" t="inlineStr">
        <is>
          <t>Q2</t>
        </is>
      </c>
      <c r="G543" s="92" t="n">
        <v>0</v>
      </c>
      <c r="H543" s="108" t="n">
        <v>46203</v>
      </c>
      <c r="I543" s="92" t="n">
        <v>2026</v>
      </c>
      <c r="J543" s="92" t="inlineStr">
        <is>
          <t>G.900010.8.9090</t>
        </is>
      </c>
      <c r="K543" s="92" t="inlineStr">
        <is>
          <t>G.900010</t>
        </is>
      </c>
      <c r="L543" s="92" t="inlineStr">
        <is>
          <t>Veldendam, Groene Singel</t>
        </is>
      </c>
      <c r="M543" s="92" t="inlineStr">
        <is>
          <t>Opstal</t>
        </is>
      </c>
      <c r="N543" s="92" t="inlineStr">
        <is>
          <t>J</t>
        </is>
      </c>
      <c r="O543" s="92" t="inlineStr">
        <is>
          <t>Woningverkopen Q2</t>
        </is>
      </c>
      <c r="P543" s="109" t="n">
        <v>4</v>
      </c>
      <c r="Q543" s="92" t="inlineStr">
        <is>
          <t>aantal</t>
        </is>
      </c>
      <c r="R543" s="92" t="inlineStr">
        <is>
          <t>Synthetische snapshot; kwartalen zijn FY-verdeling, geen actuals</t>
        </is>
      </c>
      <c r="S543" s="15" t="str">
        <f>IF(J543="","",J543&amp;"|"&amp;E543&amp;"|"&amp;F543&amp;"|"&amp;I543&amp;"|"&amp;O543)</f>
        <v>G.900010.8.9090|2026|Q2|2026|Woningverkopen Q2</v>
      </c>
      <c r="T543" s="15">
        <f>IF(OR(S543="",D543&lt;&gt;"Vastgesteld"),"",_xlfn.MAXIFS($G$6:$G$5005,$S$6:$S$5005,S543,$D$6:$D$5005,"Vastgesteld"))</f>
        <v>0</v>
      </c>
      <c r="U543" s="15">
        <f>IF(T543="",0,IF(AND(G543=T543,COUNTIFS($S$6:S543,S543,$G$6:G543,G543,$D$6:D543,"Vastgesteld")=1),1,0))</f>
        <v>1</v>
      </c>
      <c r="V543" s="15">
        <f>IF(T543="",0,IF(AND(G543=T543,COUNTIFS($S$6:S543,S543,$G$6:G543,G543,$D$6:D543,"Vastgesteld")&gt;1),1,0))</f>
        <v>0</v>
      </c>
    </row>
    <row r="544">
      <c r="A544" s="92" t="inlineStr">
        <is>
          <t>HIST-2026-Q2</t>
        </is>
      </c>
      <c r="B544" s="92" t="inlineStr">
        <is>
          <t>RDFO_FICTIEVE_historie_en_mapping.xlsx</t>
        </is>
      </c>
      <c r="C544" s="108" t="n">
        <v>46324</v>
      </c>
      <c r="D544" s="92" t="inlineStr">
        <is>
          <t>Vastgesteld</t>
        </is>
      </c>
      <c r="E544" s="92" t="n">
        <v>2026</v>
      </c>
      <c r="F544" s="92" t="inlineStr">
        <is>
          <t>Q2</t>
        </is>
      </c>
      <c r="G544" s="92" t="n">
        <v>0</v>
      </c>
      <c r="H544" s="108" t="n">
        <v>46203</v>
      </c>
      <c r="I544" s="92" t="n">
        <v>2026</v>
      </c>
      <c r="J544" s="92" t="inlineStr">
        <is>
          <t>G.900010.8.9090</t>
        </is>
      </c>
      <c r="K544" s="92" t="inlineStr">
        <is>
          <t>G.900010</t>
        </is>
      </c>
      <c r="L544" s="92" t="inlineStr">
        <is>
          <t>Veldendam, Groene Singel</t>
        </is>
      </c>
      <c r="M544" s="92" t="inlineStr">
        <is>
          <t>Opstal</t>
        </is>
      </c>
      <c r="N544" s="92" t="inlineStr">
        <is>
          <t>J</t>
        </is>
      </c>
      <c r="O544" s="92" t="inlineStr">
        <is>
          <t>Woningverkopen Q3</t>
        </is>
      </c>
      <c r="P544" s="109" t="n">
        <v>4</v>
      </c>
      <c r="Q544" s="92" t="inlineStr">
        <is>
          <t>aantal</t>
        </is>
      </c>
      <c r="R544" s="92" t="inlineStr">
        <is>
          <t>Synthetische snapshot; kwartalen zijn FY-verdeling, geen actuals</t>
        </is>
      </c>
      <c r="S544" s="15" t="str">
        <f>IF(J544="","",J544&amp;"|"&amp;E544&amp;"|"&amp;F544&amp;"|"&amp;I544&amp;"|"&amp;O544)</f>
        <v>G.900010.8.9090|2026|Q2|2026|Woningverkopen Q3</v>
      </c>
      <c r="T544" s="15">
        <f>IF(OR(S544="",D544&lt;&gt;"Vastgesteld"),"",_xlfn.MAXIFS($G$6:$G$5005,$S$6:$S$5005,S544,$D$6:$D$5005,"Vastgesteld"))</f>
        <v>0</v>
      </c>
      <c r="U544" s="15">
        <f>IF(T544="",0,IF(AND(G544=T544,COUNTIFS($S$6:S544,S544,$G$6:G544,G544,$D$6:D544,"Vastgesteld")=1),1,0))</f>
        <v>1</v>
      </c>
      <c r="V544" s="15">
        <f>IF(T544="",0,IF(AND(G544=T544,COUNTIFS($S$6:S544,S544,$G$6:G544,G544,$D$6:D544,"Vastgesteld")&gt;1),1,0))</f>
        <v>0</v>
      </c>
    </row>
    <row r="545">
      <c r="A545" s="92" t="inlineStr">
        <is>
          <t>HIST-2026-Q2</t>
        </is>
      </c>
      <c r="B545" s="92" t="inlineStr">
        <is>
          <t>RDFO_FICTIEVE_historie_en_mapping.xlsx</t>
        </is>
      </c>
      <c r="C545" s="108" t="n">
        <v>46324</v>
      </c>
      <c r="D545" s="92" t="inlineStr">
        <is>
          <t>Vastgesteld</t>
        </is>
      </c>
      <c r="E545" s="92" t="n">
        <v>2026</v>
      </c>
      <c r="F545" s="92" t="inlineStr">
        <is>
          <t>Q2</t>
        </is>
      </c>
      <c r="G545" s="92" t="n">
        <v>0</v>
      </c>
      <c r="H545" s="108" t="n">
        <v>46203</v>
      </c>
      <c r="I545" s="92" t="n">
        <v>2026</v>
      </c>
      <c r="J545" s="92" t="inlineStr">
        <is>
          <t>G.900010.8.9090</t>
        </is>
      </c>
      <c r="K545" s="92" t="inlineStr">
        <is>
          <t>G.900010</t>
        </is>
      </c>
      <c r="L545" s="92" t="inlineStr">
        <is>
          <t>Veldendam, Groene Singel</t>
        </is>
      </c>
      <c r="M545" s="92" t="inlineStr">
        <is>
          <t>Opstal</t>
        </is>
      </c>
      <c r="N545" s="92" t="inlineStr">
        <is>
          <t>J</t>
        </is>
      </c>
      <c r="O545" s="92" t="inlineStr">
        <is>
          <t>Woningverkopen Q4</t>
        </is>
      </c>
      <c r="P545" s="109" t="n">
        <v>8</v>
      </c>
      <c r="Q545" s="92" t="inlineStr">
        <is>
          <t>aantal</t>
        </is>
      </c>
      <c r="R545" s="92" t="inlineStr">
        <is>
          <t>Synthetische snapshot; kwartalen zijn FY-verdeling, geen actuals</t>
        </is>
      </c>
      <c r="S545" s="15" t="str">
        <f>IF(J545="","",J545&amp;"|"&amp;E545&amp;"|"&amp;F545&amp;"|"&amp;I545&amp;"|"&amp;O545)</f>
        <v>G.900010.8.9090|2026|Q2|2026|Woningverkopen Q4</v>
      </c>
      <c r="T545" s="15">
        <f>IF(OR(S545="",D545&lt;&gt;"Vastgesteld"),"",_xlfn.MAXIFS($G$6:$G$5005,$S$6:$S$5005,S545,$D$6:$D$5005,"Vastgesteld"))</f>
        <v>0</v>
      </c>
      <c r="U545" s="15">
        <f>IF(T545="",0,IF(AND(G545=T545,COUNTIFS($S$6:S545,S545,$G$6:G545,G545,$D$6:D545,"Vastgesteld")=1),1,0))</f>
        <v>1</v>
      </c>
      <c r="V545" s="15">
        <f>IF(T545="",0,IF(AND(G545=T545,COUNTIFS($S$6:S545,S545,$G$6:G545,G545,$D$6:D545,"Vastgesteld")&gt;1),1,0))</f>
        <v>0</v>
      </c>
    </row>
    <row r="546">
      <c r="A546" s="92" t="inlineStr">
        <is>
          <t>HIST-2026-Q2</t>
        </is>
      </c>
      <c r="B546" s="92" t="inlineStr">
        <is>
          <t>RDFO_FICTIEVE_historie_en_mapping.xlsx</t>
        </is>
      </c>
      <c r="C546" s="108" t="n">
        <v>46324</v>
      </c>
      <c r="D546" s="92" t="inlineStr">
        <is>
          <t>Vastgesteld</t>
        </is>
      </c>
      <c r="E546" s="92" t="n">
        <v>2026</v>
      </c>
      <c r="F546" s="92" t="inlineStr">
        <is>
          <t>Q2</t>
        </is>
      </c>
      <c r="G546" s="92" t="n">
        <v>0</v>
      </c>
      <c r="H546" s="108" t="n">
        <v>46203</v>
      </c>
      <c r="I546" s="92" t="n">
        <v>2026</v>
      </c>
      <c r="J546" s="92" t="inlineStr">
        <is>
          <t>G.900011.8.9090</t>
        </is>
      </c>
      <c r="K546" s="92" t="inlineStr">
        <is>
          <t>G.900011</t>
        </is>
      </c>
      <c r="L546" s="92" t="inlineStr">
        <is>
          <t>Meerhovenstad, Hofstaete</t>
        </is>
      </c>
      <c r="M546" s="92" t="inlineStr">
        <is>
          <t>Opstal</t>
        </is>
      </c>
      <c r="N546" s="92" t="inlineStr">
        <is>
          <t>J</t>
        </is>
      </c>
      <c r="O546" s="92" t="inlineStr">
        <is>
          <t>Woningverkopen FY</t>
        </is>
      </c>
      <c r="P546" s="109" t="n">
        <v>31</v>
      </c>
      <c r="Q546" s="92" t="inlineStr">
        <is>
          <t>aantal</t>
        </is>
      </c>
      <c r="R546" s="92" t="inlineStr">
        <is>
          <t>Synthetische snapshot; kwartalen zijn FY-verdeling, geen actuals</t>
        </is>
      </c>
      <c r="S546" s="15" t="str">
        <f>IF(J546="","",J546&amp;"|"&amp;E546&amp;"|"&amp;F546&amp;"|"&amp;I546&amp;"|"&amp;O546)</f>
        <v>G.900011.8.9090|2026|Q2|2026|Woningverkopen FY</v>
      </c>
      <c r="T546" s="15">
        <f>IF(OR(S546="",D546&lt;&gt;"Vastgesteld"),"",_xlfn.MAXIFS($G$6:$G$5005,$S$6:$S$5005,S546,$D$6:$D$5005,"Vastgesteld"))</f>
        <v>0</v>
      </c>
      <c r="U546" s="15">
        <f>IF(T546="",0,IF(AND(G546=T546,COUNTIFS($S$6:S546,S546,$G$6:G546,G546,$D$6:D546,"Vastgesteld")=1),1,0))</f>
        <v>1</v>
      </c>
      <c r="V546" s="15">
        <f>IF(T546="",0,IF(AND(G546=T546,COUNTIFS($S$6:S546,S546,$G$6:G546,G546,$D$6:D546,"Vastgesteld")&gt;1),1,0))</f>
        <v>0</v>
      </c>
    </row>
    <row r="547">
      <c r="A547" s="92" t="inlineStr">
        <is>
          <t>HIST-2026-Q2</t>
        </is>
      </c>
      <c r="B547" s="92" t="inlineStr">
        <is>
          <t>RDFO_FICTIEVE_historie_en_mapping.xlsx</t>
        </is>
      </c>
      <c r="C547" s="108" t="n">
        <v>46324</v>
      </c>
      <c r="D547" s="92" t="inlineStr">
        <is>
          <t>Vastgesteld</t>
        </is>
      </c>
      <c r="E547" s="92" t="n">
        <v>2026</v>
      </c>
      <c r="F547" s="92" t="inlineStr">
        <is>
          <t>Q2</t>
        </is>
      </c>
      <c r="G547" s="92" t="n">
        <v>0</v>
      </c>
      <c r="H547" s="108" t="n">
        <v>46203</v>
      </c>
      <c r="I547" s="92" t="n">
        <v>2026</v>
      </c>
      <c r="J547" s="92" t="inlineStr">
        <is>
          <t>G.900011.8.9090</t>
        </is>
      </c>
      <c r="K547" s="92" t="inlineStr">
        <is>
          <t>G.900011</t>
        </is>
      </c>
      <c r="L547" s="92" t="inlineStr">
        <is>
          <t>Meerhovenstad, Hofstaete</t>
        </is>
      </c>
      <c r="M547" s="92" t="inlineStr">
        <is>
          <t>Opstal</t>
        </is>
      </c>
      <c r="N547" s="92" t="inlineStr">
        <is>
          <t>J</t>
        </is>
      </c>
      <c r="O547" s="92" t="inlineStr">
        <is>
          <t>Woningen verkocht t/m vorig jaar</t>
        </is>
      </c>
      <c r="P547" s="109" t="n">
        <v>0</v>
      </c>
      <c r="Q547" s="92" t="inlineStr">
        <is>
          <t>aantal</t>
        </is>
      </c>
      <c r="R547" s="92" t="inlineStr">
        <is>
          <t>Synthetische snapshot; kwartalen zijn FY-verdeling, geen actuals</t>
        </is>
      </c>
      <c r="S547" s="15" t="str">
        <f>IF(J547="","",J547&amp;"|"&amp;E547&amp;"|"&amp;F547&amp;"|"&amp;I547&amp;"|"&amp;O547)</f>
        <v>G.900011.8.9090|2026|Q2|2026|Woningen verkocht t/m vorig jaar</v>
      </c>
      <c r="T547" s="15">
        <f>IF(OR(S547="",D547&lt;&gt;"Vastgesteld"),"",_xlfn.MAXIFS($G$6:$G$5005,$S$6:$S$5005,S547,$D$6:$D$5005,"Vastgesteld"))</f>
        <v>0</v>
      </c>
      <c r="U547" s="15">
        <f>IF(T547="",0,IF(AND(G547=T547,COUNTIFS($S$6:S547,S547,$G$6:G547,G547,$D$6:D547,"Vastgesteld")=1),1,0))</f>
        <v>1</v>
      </c>
      <c r="V547" s="15">
        <f>IF(T547="",0,IF(AND(G547=T547,COUNTIFS($S$6:S547,S547,$G$6:G547,G547,$D$6:D547,"Vastgesteld")&gt;1),1,0))</f>
        <v>0</v>
      </c>
    </row>
    <row r="548">
      <c r="A548" s="92" t="inlineStr">
        <is>
          <t>HIST-2026-Q2</t>
        </is>
      </c>
      <c r="B548" s="92" t="inlineStr">
        <is>
          <t>RDFO_FICTIEVE_historie_en_mapping.xlsx</t>
        </is>
      </c>
      <c r="C548" s="108" t="n">
        <v>46324</v>
      </c>
      <c r="D548" s="92" t="inlineStr">
        <is>
          <t>Vastgesteld</t>
        </is>
      </c>
      <c r="E548" s="92" t="n">
        <v>2026</v>
      </c>
      <c r="F548" s="92" t="inlineStr">
        <is>
          <t>Q2</t>
        </is>
      </c>
      <c r="G548" s="92" t="n">
        <v>0</v>
      </c>
      <c r="H548" s="108" t="n">
        <v>46203</v>
      </c>
      <c r="I548" s="92" t="n">
        <v>2026</v>
      </c>
      <c r="J548" s="92" t="inlineStr">
        <is>
          <t>G.900011.8.9090</t>
        </is>
      </c>
      <c r="K548" s="92" t="inlineStr">
        <is>
          <t>G.900011</t>
        </is>
      </c>
      <c r="L548" s="92" t="inlineStr">
        <is>
          <t>Meerhovenstad, Hofstaete</t>
        </is>
      </c>
      <c r="M548" s="92" t="inlineStr">
        <is>
          <t>Opstal</t>
        </is>
      </c>
      <c r="N548" s="92" t="inlineStr">
        <is>
          <t>J</t>
        </is>
      </c>
      <c r="O548" s="92" t="inlineStr">
        <is>
          <t>Woningverkopen Q1</t>
        </is>
      </c>
      <c r="P548" s="109" t="n">
        <v>6</v>
      </c>
      <c r="Q548" s="92" t="inlineStr">
        <is>
          <t>aantal</t>
        </is>
      </c>
      <c r="R548" s="92" t="inlineStr">
        <is>
          <t>Synthetische snapshot; kwartalen zijn FY-verdeling, geen actuals</t>
        </is>
      </c>
      <c r="S548" s="15" t="str">
        <f>IF(J548="","",J548&amp;"|"&amp;E548&amp;"|"&amp;F548&amp;"|"&amp;I548&amp;"|"&amp;O548)</f>
        <v>G.900011.8.9090|2026|Q2|2026|Woningverkopen Q1</v>
      </c>
      <c r="T548" s="15">
        <f>IF(OR(S548="",D548&lt;&gt;"Vastgesteld"),"",_xlfn.MAXIFS($G$6:$G$5005,$S$6:$S$5005,S548,$D$6:$D$5005,"Vastgesteld"))</f>
        <v>0</v>
      </c>
      <c r="U548" s="15">
        <f>IF(T548="",0,IF(AND(G548=T548,COUNTIFS($S$6:S548,S548,$G$6:G548,G548,$D$6:D548,"Vastgesteld")=1),1,0))</f>
        <v>1</v>
      </c>
      <c r="V548" s="15">
        <f>IF(T548="",0,IF(AND(G548=T548,COUNTIFS($S$6:S548,S548,$G$6:G548,G548,$D$6:D548,"Vastgesteld")&gt;1),1,0))</f>
        <v>0</v>
      </c>
    </row>
    <row r="549">
      <c r="A549" s="92" t="inlineStr">
        <is>
          <t>HIST-2026-Q2</t>
        </is>
      </c>
      <c r="B549" s="92" t="inlineStr">
        <is>
          <t>RDFO_FICTIEVE_historie_en_mapping.xlsx</t>
        </is>
      </c>
      <c r="C549" s="108" t="n">
        <v>46324</v>
      </c>
      <c r="D549" s="92" t="inlineStr">
        <is>
          <t>Vastgesteld</t>
        </is>
      </c>
      <c r="E549" s="92" t="n">
        <v>2026</v>
      </c>
      <c r="F549" s="92" t="inlineStr">
        <is>
          <t>Q2</t>
        </is>
      </c>
      <c r="G549" s="92" t="n">
        <v>0</v>
      </c>
      <c r="H549" s="108" t="n">
        <v>46203</v>
      </c>
      <c r="I549" s="92" t="n">
        <v>2026</v>
      </c>
      <c r="J549" s="92" t="inlineStr">
        <is>
          <t>G.900011.8.9090</t>
        </is>
      </c>
      <c r="K549" s="92" t="inlineStr">
        <is>
          <t>G.900011</t>
        </is>
      </c>
      <c r="L549" s="92" t="inlineStr">
        <is>
          <t>Meerhovenstad, Hofstaete</t>
        </is>
      </c>
      <c r="M549" s="92" t="inlineStr">
        <is>
          <t>Opstal</t>
        </is>
      </c>
      <c r="N549" s="92" t="inlineStr">
        <is>
          <t>J</t>
        </is>
      </c>
      <c r="O549" s="92" t="inlineStr">
        <is>
          <t>Woningverkopen Q2</t>
        </is>
      </c>
      <c r="P549" s="109" t="n">
        <v>7</v>
      </c>
      <c r="Q549" s="92" t="inlineStr">
        <is>
          <t>aantal</t>
        </is>
      </c>
      <c r="R549" s="92" t="inlineStr">
        <is>
          <t>Synthetische snapshot; kwartalen zijn FY-verdeling, geen actuals</t>
        </is>
      </c>
      <c r="S549" s="15" t="str">
        <f>IF(J549="","",J549&amp;"|"&amp;E549&amp;"|"&amp;F549&amp;"|"&amp;I549&amp;"|"&amp;O549)</f>
        <v>G.900011.8.9090|2026|Q2|2026|Woningverkopen Q2</v>
      </c>
      <c r="T549" s="15">
        <f>IF(OR(S549="",D549&lt;&gt;"Vastgesteld"),"",_xlfn.MAXIFS($G$6:$G$5005,$S$6:$S$5005,S549,$D$6:$D$5005,"Vastgesteld"))</f>
        <v>0</v>
      </c>
      <c r="U549" s="15">
        <f>IF(T549="",0,IF(AND(G549=T549,COUNTIFS($S$6:S549,S549,$G$6:G549,G549,$D$6:D549,"Vastgesteld")=1),1,0))</f>
        <v>1</v>
      </c>
      <c r="V549" s="15">
        <f>IF(T549="",0,IF(AND(G549=T549,COUNTIFS($S$6:S549,S549,$G$6:G549,G549,$D$6:D549,"Vastgesteld")&gt;1),1,0))</f>
        <v>0</v>
      </c>
    </row>
    <row r="550">
      <c r="A550" s="92" t="inlineStr">
        <is>
          <t>HIST-2026-Q2</t>
        </is>
      </c>
      <c r="B550" s="92" t="inlineStr">
        <is>
          <t>RDFO_FICTIEVE_historie_en_mapping.xlsx</t>
        </is>
      </c>
      <c r="C550" s="108" t="n">
        <v>46324</v>
      </c>
      <c r="D550" s="92" t="inlineStr">
        <is>
          <t>Vastgesteld</t>
        </is>
      </c>
      <c r="E550" s="92" t="n">
        <v>2026</v>
      </c>
      <c r="F550" s="92" t="inlineStr">
        <is>
          <t>Q2</t>
        </is>
      </c>
      <c r="G550" s="92" t="n">
        <v>0</v>
      </c>
      <c r="H550" s="108" t="n">
        <v>46203</v>
      </c>
      <c r="I550" s="92" t="n">
        <v>2026</v>
      </c>
      <c r="J550" s="92" t="inlineStr">
        <is>
          <t>G.900011.8.9090</t>
        </is>
      </c>
      <c r="K550" s="92" t="inlineStr">
        <is>
          <t>G.900011</t>
        </is>
      </c>
      <c r="L550" s="92" t="inlineStr">
        <is>
          <t>Meerhovenstad, Hofstaete</t>
        </is>
      </c>
      <c r="M550" s="92" t="inlineStr">
        <is>
          <t>Opstal</t>
        </is>
      </c>
      <c r="N550" s="92" t="inlineStr">
        <is>
          <t>J</t>
        </is>
      </c>
      <c r="O550" s="92" t="inlineStr">
        <is>
          <t>Woningverkopen Q3</t>
        </is>
      </c>
      <c r="P550" s="109" t="n">
        <v>7</v>
      </c>
      <c r="Q550" s="92" t="inlineStr">
        <is>
          <t>aantal</t>
        </is>
      </c>
      <c r="R550" s="92" t="inlineStr">
        <is>
          <t>Synthetische snapshot; kwartalen zijn FY-verdeling, geen actuals</t>
        </is>
      </c>
      <c r="S550" s="15" t="str">
        <f>IF(J550="","",J550&amp;"|"&amp;E550&amp;"|"&amp;F550&amp;"|"&amp;I550&amp;"|"&amp;O550)</f>
        <v>G.900011.8.9090|2026|Q2|2026|Woningverkopen Q3</v>
      </c>
      <c r="T550" s="15">
        <f>IF(OR(S550="",D550&lt;&gt;"Vastgesteld"),"",_xlfn.MAXIFS($G$6:$G$5005,$S$6:$S$5005,S550,$D$6:$D$5005,"Vastgesteld"))</f>
        <v>0</v>
      </c>
      <c r="U550" s="15">
        <f>IF(T550="",0,IF(AND(G550=T550,COUNTIFS($S$6:S550,S550,$G$6:G550,G550,$D$6:D550,"Vastgesteld")=1),1,0))</f>
        <v>1</v>
      </c>
      <c r="V550" s="15">
        <f>IF(T550="",0,IF(AND(G550=T550,COUNTIFS($S$6:S550,S550,$G$6:G550,G550,$D$6:D550,"Vastgesteld")&gt;1),1,0))</f>
        <v>0</v>
      </c>
    </row>
    <row r="551">
      <c r="A551" s="92" t="inlineStr">
        <is>
          <t>HIST-2026-Q2</t>
        </is>
      </c>
      <c r="B551" s="92" t="inlineStr">
        <is>
          <t>RDFO_FICTIEVE_historie_en_mapping.xlsx</t>
        </is>
      </c>
      <c r="C551" s="108" t="n">
        <v>46324</v>
      </c>
      <c r="D551" s="92" t="inlineStr">
        <is>
          <t>Vastgesteld</t>
        </is>
      </c>
      <c r="E551" s="92" t="n">
        <v>2026</v>
      </c>
      <c r="F551" s="92" t="inlineStr">
        <is>
          <t>Q2</t>
        </is>
      </c>
      <c r="G551" s="92" t="n">
        <v>0</v>
      </c>
      <c r="H551" s="108" t="n">
        <v>46203</v>
      </c>
      <c r="I551" s="92" t="n">
        <v>2026</v>
      </c>
      <c r="J551" s="92" t="inlineStr">
        <is>
          <t>G.900011.8.9090</t>
        </is>
      </c>
      <c r="K551" s="92" t="inlineStr">
        <is>
          <t>G.900011</t>
        </is>
      </c>
      <c r="L551" s="92" t="inlineStr">
        <is>
          <t>Meerhovenstad, Hofstaete</t>
        </is>
      </c>
      <c r="M551" s="92" t="inlineStr">
        <is>
          <t>Opstal</t>
        </is>
      </c>
      <c r="N551" s="92" t="inlineStr">
        <is>
          <t>J</t>
        </is>
      </c>
      <c r="O551" s="92" t="inlineStr">
        <is>
          <t>Woningverkopen Q4</t>
        </is>
      </c>
      <c r="P551" s="109" t="n">
        <v>11</v>
      </c>
      <c r="Q551" s="92" t="inlineStr">
        <is>
          <t>aantal</t>
        </is>
      </c>
      <c r="R551" s="92" t="inlineStr">
        <is>
          <t>Synthetische snapshot; kwartalen zijn FY-verdeling, geen actuals</t>
        </is>
      </c>
      <c r="S551" s="15" t="str">
        <f>IF(J551="","",J551&amp;"|"&amp;E551&amp;"|"&amp;F551&amp;"|"&amp;I551&amp;"|"&amp;O551)</f>
        <v>G.900011.8.9090|2026|Q2|2026|Woningverkopen Q4</v>
      </c>
      <c r="T551" s="15">
        <f>IF(OR(S551="",D551&lt;&gt;"Vastgesteld"),"",_xlfn.MAXIFS($G$6:$G$5005,$S$6:$S$5005,S551,$D$6:$D$5005,"Vastgesteld"))</f>
        <v>0</v>
      </c>
      <c r="U551" s="15">
        <f>IF(T551="",0,IF(AND(G551=T551,COUNTIFS($S$6:S551,S551,$G$6:G551,G551,$D$6:D551,"Vastgesteld")=1),1,0))</f>
        <v>1</v>
      </c>
      <c r="V551" s="15">
        <f>IF(T551="",0,IF(AND(G551=T551,COUNTIFS($S$6:S551,S551,$G$6:G551,G551,$D$6:D551,"Vastgesteld")&gt;1),1,0))</f>
        <v>0</v>
      </c>
    </row>
    <row r="552">
      <c r="A552" s="92" t="inlineStr">
        <is>
          <t>HIST-2026-Q2</t>
        </is>
      </c>
      <c r="B552" s="92" t="inlineStr">
        <is>
          <t>RDFO_FICTIEVE_historie_en_mapping.xlsx</t>
        </is>
      </c>
      <c r="C552" s="108" t="n">
        <v>46324</v>
      </c>
      <c r="D552" s="92" t="inlineStr">
        <is>
          <t>Vastgesteld</t>
        </is>
      </c>
      <c r="E552" s="92" t="n">
        <v>2026</v>
      </c>
      <c r="F552" s="92" t="inlineStr">
        <is>
          <t>Q2</t>
        </is>
      </c>
      <c r="G552" s="92" t="n">
        <v>0</v>
      </c>
      <c r="H552" s="108" t="n">
        <v>46203</v>
      </c>
      <c r="I552" s="92" t="n">
        <v>2026</v>
      </c>
      <c r="J552" s="92" t="inlineStr">
        <is>
          <t>G.900012.8.9090</t>
        </is>
      </c>
      <c r="K552" s="92" t="inlineStr">
        <is>
          <t>G.900012</t>
        </is>
      </c>
      <c r="L552" s="92" t="inlineStr">
        <is>
          <t>Zilverdam, De Werf</t>
        </is>
      </c>
      <c r="M552" s="92" t="inlineStr">
        <is>
          <t>Deelneming</t>
        </is>
      </c>
      <c r="N552" s="92" t="inlineStr">
        <is>
          <t>N</t>
        </is>
      </c>
      <c r="O552" s="92" t="inlineStr">
        <is>
          <t>Woningverkopen FY</t>
        </is>
      </c>
      <c r="P552" s="109" t="n">
        <v>9</v>
      </c>
      <c r="Q552" s="92" t="inlineStr">
        <is>
          <t>aantal</t>
        </is>
      </c>
      <c r="R552" s="92" t="inlineStr">
        <is>
          <t>Synthetische snapshot; kwartalen zijn FY-verdeling, geen actuals</t>
        </is>
      </c>
      <c r="S552" s="15" t="str">
        <f>IF(J552="","",J552&amp;"|"&amp;E552&amp;"|"&amp;F552&amp;"|"&amp;I552&amp;"|"&amp;O552)</f>
        <v>G.900012.8.9090|2026|Q2|2026|Woningverkopen FY</v>
      </c>
      <c r="T552" s="15">
        <f>IF(OR(S552="",D552&lt;&gt;"Vastgesteld"),"",_xlfn.MAXIFS($G$6:$G$5005,$S$6:$S$5005,S552,$D$6:$D$5005,"Vastgesteld"))</f>
        <v>0</v>
      </c>
      <c r="U552" s="15">
        <f>IF(T552="",0,IF(AND(G552=T552,COUNTIFS($S$6:S552,S552,$G$6:G552,G552,$D$6:D552,"Vastgesteld")=1),1,0))</f>
        <v>1</v>
      </c>
      <c r="V552" s="15">
        <f>IF(T552="",0,IF(AND(G552=T552,COUNTIFS($S$6:S552,S552,$G$6:G552,G552,$D$6:D552,"Vastgesteld")&gt;1),1,0))</f>
        <v>0</v>
      </c>
    </row>
    <row r="553">
      <c r="A553" s="92" t="inlineStr">
        <is>
          <t>HIST-2026-Q2</t>
        </is>
      </c>
      <c r="B553" s="92" t="inlineStr">
        <is>
          <t>RDFO_FICTIEVE_historie_en_mapping.xlsx</t>
        </is>
      </c>
      <c r="C553" s="108" t="n">
        <v>46324</v>
      </c>
      <c r="D553" s="92" t="inlineStr">
        <is>
          <t>Vastgesteld</t>
        </is>
      </c>
      <c r="E553" s="92" t="n">
        <v>2026</v>
      </c>
      <c r="F553" s="92" t="inlineStr">
        <is>
          <t>Q2</t>
        </is>
      </c>
      <c r="G553" s="92" t="n">
        <v>0</v>
      </c>
      <c r="H553" s="108" t="n">
        <v>46203</v>
      </c>
      <c r="I553" s="92" t="n">
        <v>2026</v>
      </c>
      <c r="J553" s="92" t="inlineStr">
        <is>
          <t>G.900012.8.9090</t>
        </is>
      </c>
      <c r="K553" s="92" t="inlineStr">
        <is>
          <t>G.900012</t>
        </is>
      </c>
      <c r="L553" s="92" t="inlineStr">
        <is>
          <t>Zilverdam, De Werf</t>
        </is>
      </c>
      <c r="M553" s="92" t="inlineStr">
        <is>
          <t>Deelneming</t>
        </is>
      </c>
      <c r="N553" s="92" t="inlineStr">
        <is>
          <t>N</t>
        </is>
      </c>
      <c r="O553" s="92" t="inlineStr">
        <is>
          <t>Woningen verkocht t/m vorig jaar</t>
        </is>
      </c>
      <c r="P553" s="109" t="n">
        <v>0</v>
      </c>
      <c r="Q553" s="92" t="inlineStr">
        <is>
          <t>aantal</t>
        </is>
      </c>
      <c r="R553" s="92" t="inlineStr">
        <is>
          <t>Synthetische snapshot; kwartalen zijn FY-verdeling, geen actuals</t>
        </is>
      </c>
      <c r="S553" s="15" t="str">
        <f>IF(J553="","",J553&amp;"|"&amp;E553&amp;"|"&amp;F553&amp;"|"&amp;I553&amp;"|"&amp;O553)</f>
        <v>G.900012.8.9090|2026|Q2|2026|Woningen verkocht t/m vorig jaar</v>
      </c>
      <c r="T553" s="15">
        <f>IF(OR(S553="",D553&lt;&gt;"Vastgesteld"),"",_xlfn.MAXIFS($G$6:$G$5005,$S$6:$S$5005,S553,$D$6:$D$5005,"Vastgesteld"))</f>
        <v>0</v>
      </c>
      <c r="U553" s="15">
        <f>IF(T553="",0,IF(AND(G553=T553,COUNTIFS($S$6:S553,S553,$G$6:G553,G553,$D$6:D553,"Vastgesteld")=1),1,0))</f>
        <v>1</v>
      </c>
      <c r="V553" s="15">
        <f>IF(T553="",0,IF(AND(G553=T553,COUNTIFS($S$6:S553,S553,$G$6:G553,G553,$D$6:D553,"Vastgesteld")&gt;1),1,0))</f>
        <v>0</v>
      </c>
    </row>
    <row r="554">
      <c r="A554" s="92" t="inlineStr">
        <is>
          <t>HIST-2026-Q2</t>
        </is>
      </c>
      <c r="B554" s="92" t="inlineStr">
        <is>
          <t>RDFO_FICTIEVE_historie_en_mapping.xlsx</t>
        </is>
      </c>
      <c r="C554" s="108" t="n">
        <v>46324</v>
      </c>
      <c r="D554" s="92" t="inlineStr">
        <is>
          <t>Vastgesteld</t>
        </is>
      </c>
      <c r="E554" s="92" t="n">
        <v>2026</v>
      </c>
      <c r="F554" s="92" t="inlineStr">
        <is>
          <t>Q2</t>
        </is>
      </c>
      <c r="G554" s="92" t="n">
        <v>0</v>
      </c>
      <c r="H554" s="108" t="n">
        <v>46203</v>
      </c>
      <c r="I554" s="92" t="n">
        <v>2026</v>
      </c>
      <c r="J554" s="92" t="inlineStr">
        <is>
          <t>G.900012.8.9090</t>
        </is>
      </c>
      <c r="K554" s="92" t="inlineStr">
        <is>
          <t>G.900012</t>
        </is>
      </c>
      <c r="L554" s="92" t="inlineStr">
        <is>
          <t>Zilverdam, De Werf</t>
        </is>
      </c>
      <c r="M554" s="92" t="inlineStr">
        <is>
          <t>Deelneming</t>
        </is>
      </c>
      <c r="N554" s="92" t="inlineStr">
        <is>
          <t>N</t>
        </is>
      </c>
      <c r="O554" s="92" t="inlineStr">
        <is>
          <t>Woningverkopen Q1</t>
        </is>
      </c>
      <c r="P554" s="109" t="n">
        <v>1</v>
      </c>
      <c r="Q554" s="92" t="inlineStr">
        <is>
          <t>aantal</t>
        </is>
      </c>
      <c r="R554" s="92" t="inlineStr">
        <is>
          <t>Synthetische snapshot; kwartalen zijn FY-verdeling, geen actuals</t>
        </is>
      </c>
      <c r="S554" s="15" t="str">
        <f>IF(J554="","",J554&amp;"|"&amp;E554&amp;"|"&amp;F554&amp;"|"&amp;I554&amp;"|"&amp;O554)</f>
        <v>G.900012.8.9090|2026|Q2|2026|Woningverkopen Q1</v>
      </c>
      <c r="T554" s="15">
        <f>IF(OR(S554="",D554&lt;&gt;"Vastgesteld"),"",_xlfn.MAXIFS($G$6:$G$5005,$S$6:$S$5005,S554,$D$6:$D$5005,"Vastgesteld"))</f>
        <v>0</v>
      </c>
      <c r="U554" s="15">
        <f>IF(T554="",0,IF(AND(G554=T554,COUNTIFS($S$6:S554,S554,$G$6:G554,G554,$D$6:D554,"Vastgesteld")=1),1,0))</f>
        <v>1</v>
      </c>
      <c r="V554" s="15">
        <f>IF(T554="",0,IF(AND(G554=T554,COUNTIFS($S$6:S554,S554,$G$6:G554,G554,$D$6:D554,"Vastgesteld")&gt;1),1,0))</f>
        <v>0</v>
      </c>
    </row>
    <row r="555">
      <c r="A555" s="92" t="inlineStr">
        <is>
          <t>HIST-2026-Q2</t>
        </is>
      </c>
      <c r="B555" s="92" t="inlineStr">
        <is>
          <t>RDFO_FICTIEVE_historie_en_mapping.xlsx</t>
        </is>
      </c>
      <c r="C555" s="108" t="n">
        <v>46324</v>
      </c>
      <c r="D555" s="92" t="inlineStr">
        <is>
          <t>Vastgesteld</t>
        </is>
      </c>
      <c r="E555" s="92" t="n">
        <v>2026</v>
      </c>
      <c r="F555" s="92" t="inlineStr">
        <is>
          <t>Q2</t>
        </is>
      </c>
      <c r="G555" s="92" t="n">
        <v>0</v>
      </c>
      <c r="H555" s="108" t="n">
        <v>46203</v>
      </c>
      <c r="I555" s="92" t="n">
        <v>2026</v>
      </c>
      <c r="J555" s="92" t="inlineStr">
        <is>
          <t>G.900012.8.9090</t>
        </is>
      </c>
      <c r="K555" s="92" t="inlineStr">
        <is>
          <t>G.900012</t>
        </is>
      </c>
      <c r="L555" s="92" t="inlineStr">
        <is>
          <t>Zilverdam, De Werf</t>
        </is>
      </c>
      <c r="M555" s="92" t="inlineStr">
        <is>
          <t>Deelneming</t>
        </is>
      </c>
      <c r="N555" s="92" t="inlineStr">
        <is>
          <t>N</t>
        </is>
      </c>
      <c r="O555" s="92" t="inlineStr">
        <is>
          <t>Woningverkopen Q2</t>
        </is>
      </c>
      <c r="P555" s="109" t="n">
        <v>2</v>
      </c>
      <c r="Q555" s="92" t="inlineStr">
        <is>
          <t>aantal</t>
        </is>
      </c>
      <c r="R555" s="92" t="inlineStr">
        <is>
          <t>Synthetische snapshot; kwartalen zijn FY-verdeling, geen actuals</t>
        </is>
      </c>
      <c r="S555" s="15" t="str">
        <f>IF(J555="","",J555&amp;"|"&amp;E555&amp;"|"&amp;F555&amp;"|"&amp;I555&amp;"|"&amp;O555)</f>
        <v>G.900012.8.9090|2026|Q2|2026|Woningverkopen Q2</v>
      </c>
      <c r="T555" s="15">
        <f>IF(OR(S555="",D555&lt;&gt;"Vastgesteld"),"",_xlfn.MAXIFS($G$6:$G$5005,$S$6:$S$5005,S555,$D$6:$D$5005,"Vastgesteld"))</f>
        <v>0</v>
      </c>
      <c r="U555" s="15">
        <f>IF(T555="",0,IF(AND(G555=T555,COUNTIFS($S$6:S555,S555,$G$6:G555,G555,$D$6:D555,"Vastgesteld")=1),1,0))</f>
        <v>1</v>
      </c>
      <c r="V555" s="15">
        <f>IF(T555="",0,IF(AND(G555=T555,COUNTIFS($S$6:S555,S555,$G$6:G555,G555,$D$6:D555,"Vastgesteld")&gt;1),1,0))</f>
        <v>0</v>
      </c>
    </row>
    <row r="556">
      <c r="A556" s="92" t="inlineStr">
        <is>
          <t>HIST-2026-Q2</t>
        </is>
      </c>
      <c r="B556" s="92" t="inlineStr">
        <is>
          <t>RDFO_FICTIEVE_historie_en_mapping.xlsx</t>
        </is>
      </c>
      <c r="C556" s="108" t="n">
        <v>46324</v>
      </c>
      <c r="D556" s="92" t="inlineStr">
        <is>
          <t>Vastgesteld</t>
        </is>
      </c>
      <c r="E556" s="92" t="n">
        <v>2026</v>
      </c>
      <c r="F556" s="92" t="inlineStr">
        <is>
          <t>Q2</t>
        </is>
      </c>
      <c r="G556" s="92" t="n">
        <v>0</v>
      </c>
      <c r="H556" s="108" t="n">
        <v>46203</v>
      </c>
      <c r="I556" s="92" t="n">
        <v>2026</v>
      </c>
      <c r="J556" s="92" t="inlineStr">
        <is>
          <t>G.900012.8.9090</t>
        </is>
      </c>
      <c r="K556" s="92" t="inlineStr">
        <is>
          <t>G.900012</t>
        </is>
      </c>
      <c r="L556" s="92" t="inlineStr">
        <is>
          <t>Zilverdam, De Werf</t>
        </is>
      </c>
      <c r="M556" s="92" t="inlineStr">
        <is>
          <t>Deelneming</t>
        </is>
      </c>
      <c r="N556" s="92" t="inlineStr">
        <is>
          <t>N</t>
        </is>
      </c>
      <c r="O556" s="92" t="inlineStr">
        <is>
          <t>Woningverkopen Q3</t>
        </is>
      </c>
      <c r="P556" s="109" t="n">
        <v>2</v>
      </c>
      <c r="Q556" s="92" t="inlineStr">
        <is>
          <t>aantal</t>
        </is>
      </c>
      <c r="R556" s="92" t="inlineStr">
        <is>
          <t>Synthetische snapshot; kwartalen zijn FY-verdeling, geen actuals</t>
        </is>
      </c>
      <c r="S556" s="15" t="str">
        <f>IF(J556="","",J556&amp;"|"&amp;E556&amp;"|"&amp;F556&amp;"|"&amp;I556&amp;"|"&amp;O556)</f>
        <v>G.900012.8.9090|2026|Q2|2026|Woningverkopen Q3</v>
      </c>
      <c r="T556" s="15">
        <f>IF(OR(S556="",D556&lt;&gt;"Vastgesteld"),"",_xlfn.MAXIFS($G$6:$G$5005,$S$6:$S$5005,S556,$D$6:$D$5005,"Vastgesteld"))</f>
        <v>0</v>
      </c>
      <c r="U556" s="15">
        <f>IF(T556="",0,IF(AND(G556=T556,COUNTIFS($S$6:S556,S556,$G$6:G556,G556,$D$6:D556,"Vastgesteld")=1),1,0))</f>
        <v>1</v>
      </c>
      <c r="V556" s="15">
        <f>IF(T556="",0,IF(AND(G556=T556,COUNTIFS($S$6:S556,S556,$G$6:G556,G556,$D$6:D556,"Vastgesteld")&gt;1),1,0))</f>
        <v>0</v>
      </c>
    </row>
    <row r="557">
      <c r="A557" s="92" t="inlineStr">
        <is>
          <t>HIST-2026-Q2</t>
        </is>
      </c>
      <c r="B557" s="92" t="inlineStr">
        <is>
          <t>RDFO_FICTIEVE_historie_en_mapping.xlsx</t>
        </is>
      </c>
      <c r="C557" s="108" t="n">
        <v>46324</v>
      </c>
      <c r="D557" s="92" t="inlineStr">
        <is>
          <t>Vastgesteld</t>
        </is>
      </c>
      <c r="E557" s="92" t="n">
        <v>2026</v>
      </c>
      <c r="F557" s="92" t="inlineStr">
        <is>
          <t>Q2</t>
        </is>
      </c>
      <c r="G557" s="92" t="n">
        <v>0</v>
      </c>
      <c r="H557" s="108" t="n">
        <v>46203</v>
      </c>
      <c r="I557" s="92" t="n">
        <v>2026</v>
      </c>
      <c r="J557" s="92" t="inlineStr">
        <is>
          <t>G.900012.8.9090</t>
        </is>
      </c>
      <c r="K557" s="92" t="inlineStr">
        <is>
          <t>G.900012</t>
        </is>
      </c>
      <c r="L557" s="92" t="inlineStr">
        <is>
          <t>Zilverdam, De Werf</t>
        </is>
      </c>
      <c r="M557" s="92" t="inlineStr">
        <is>
          <t>Deelneming</t>
        </is>
      </c>
      <c r="N557" s="92" t="inlineStr">
        <is>
          <t>N</t>
        </is>
      </c>
      <c r="O557" s="92" t="inlineStr">
        <is>
          <t>Woningverkopen Q4</t>
        </is>
      </c>
      <c r="P557" s="109" t="n">
        <v>4</v>
      </c>
      <c r="Q557" s="92" t="inlineStr">
        <is>
          <t>aantal</t>
        </is>
      </c>
      <c r="R557" s="92" t="inlineStr">
        <is>
          <t>Synthetische snapshot; kwartalen zijn FY-verdeling, geen actuals</t>
        </is>
      </c>
      <c r="S557" s="15" t="str">
        <f>IF(J557="","",J557&amp;"|"&amp;E557&amp;"|"&amp;F557&amp;"|"&amp;I557&amp;"|"&amp;O557)</f>
        <v>G.900012.8.9090|2026|Q2|2026|Woningverkopen Q4</v>
      </c>
      <c r="T557" s="15">
        <f>IF(OR(S557="",D557&lt;&gt;"Vastgesteld"),"",_xlfn.MAXIFS($G$6:$G$5005,$S$6:$S$5005,S557,$D$6:$D$5005,"Vastgesteld"))</f>
        <v>0</v>
      </c>
      <c r="U557" s="15">
        <f>IF(T557="",0,IF(AND(G557=T557,COUNTIFS($S$6:S557,S557,$G$6:G557,G557,$D$6:D557,"Vastgesteld")=1),1,0))</f>
        <v>1</v>
      </c>
      <c r="V557" s="15">
        <f>IF(T557="",0,IF(AND(G557=T557,COUNTIFS($S$6:S557,S557,$G$6:G557,G557,$D$6:D557,"Vastgesteld")&gt;1),1,0))</f>
        <v>0</v>
      </c>
    </row>
    <row r="558">
      <c r="A558" s="92" t="inlineStr">
        <is>
          <t>HIST-2026-Q2</t>
        </is>
      </c>
      <c r="B558" s="92" t="inlineStr">
        <is>
          <t>RDFO_FICTIEVE_historie_en_mapping.xlsx</t>
        </is>
      </c>
      <c r="C558" s="108" t="n">
        <v>46324</v>
      </c>
      <c r="D558" s="92" t="inlineStr">
        <is>
          <t>Vastgesteld</t>
        </is>
      </c>
      <c r="E558" s="92" t="n">
        <v>2026</v>
      </c>
      <c r="F558" s="92" t="inlineStr">
        <is>
          <t>Q2</t>
        </is>
      </c>
      <c r="G558" s="92" t="n">
        <v>0</v>
      </c>
      <c r="H558" s="108" t="n">
        <v>46203</v>
      </c>
      <c r="I558" s="92" t="n">
        <v>2026</v>
      </c>
      <c r="J558" s="92" t="inlineStr">
        <is>
          <t>G.900013.8.9090</t>
        </is>
      </c>
      <c r="K558" s="92" t="inlineStr">
        <is>
          <t>G.900013</t>
        </is>
      </c>
      <c r="L558" s="92" t="inlineStr">
        <is>
          <t>Boswaard, Boskamers</t>
        </is>
      </c>
      <c r="M558" s="92" t="inlineStr">
        <is>
          <t>Opstal</t>
        </is>
      </c>
      <c r="N558" s="92" t="inlineStr">
        <is>
          <t>J</t>
        </is>
      </c>
      <c r="O558" s="92" t="inlineStr">
        <is>
          <t>Woningverkopen FY</t>
        </is>
      </c>
      <c r="P558" s="109" t="n">
        <v>19</v>
      </c>
      <c r="Q558" s="92" t="inlineStr">
        <is>
          <t>aantal</t>
        </is>
      </c>
      <c r="R558" s="92" t="inlineStr">
        <is>
          <t>Synthetische snapshot; kwartalen zijn FY-verdeling, geen actuals</t>
        </is>
      </c>
      <c r="S558" s="15" t="str">
        <f>IF(J558="","",J558&amp;"|"&amp;E558&amp;"|"&amp;F558&amp;"|"&amp;I558&amp;"|"&amp;O558)</f>
        <v>G.900013.8.9090|2026|Q2|2026|Woningverkopen FY</v>
      </c>
      <c r="T558" s="15">
        <f>IF(OR(S558="",D558&lt;&gt;"Vastgesteld"),"",_xlfn.MAXIFS($G$6:$G$5005,$S$6:$S$5005,S558,$D$6:$D$5005,"Vastgesteld"))</f>
        <v>0</v>
      </c>
      <c r="U558" s="15">
        <f>IF(T558="",0,IF(AND(G558=T558,COUNTIFS($S$6:S558,S558,$G$6:G558,G558,$D$6:D558,"Vastgesteld")=1),1,0))</f>
        <v>1</v>
      </c>
      <c r="V558" s="15">
        <f>IF(T558="",0,IF(AND(G558=T558,COUNTIFS($S$6:S558,S558,$G$6:G558,G558,$D$6:D558,"Vastgesteld")&gt;1),1,0))</f>
        <v>0</v>
      </c>
    </row>
    <row r="559">
      <c r="A559" s="92" t="inlineStr">
        <is>
          <t>HIST-2026-Q2</t>
        </is>
      </c>
      <c r="B559" s="92" t="inlineStr">
        <is>
          <t>RDFO_FICTIEVE_historie_en_mapping.xlsx</t>
        </is>
      </c>
      <c r="C559" s="108" t="n">
        <v>46324</v>
      </c>
      <c r="D559" s="92" t="inlineStr">
        <is>
          <t>Vastgesteld</t>
        </is>
      </c>
      <c r="E559" s="92" t="n">
        <v>2026</v>
      </c>
      <c r="F559" s="92" t="inlineStr">
        <is>
          <t>Q2</t>
        </is>
      </c>
      <c r="G559" s="92" t="n">
        <v>0</v>
      </c>
      <c r="H559" s="108" t="n">
        <v>46203</v>
      </c>
      <c r="I559" s="92" t="n">
        <v>2026</v>
      </c>
      <c r="J559" s="92" t="inlineStr">
        <is>
          <t>G.900013.8.9090</t>
        </is>
      </c>
      <c r="K559" s="92" t="inlineStr">
        <is>
          <t>G.900013</t>
        </is>
      </c>
      <c r="L559" s="92" t="inlineStr">
        <is>
          <t>Boswaard, Boskamers</t>
        </is>
      </c>
      <c r="M559" s="92" t="inlineStr">
        <is>
          <t>Opstal</t>
        </is>
      </c>
      <c r="N559" s="92" t="inlineStr">
        <is>
          <t>J</t>
        </is>
      </c>
      <c r="O559" s="92" t="inlineStr">
        <is>
          <t>Woningen verkocht t/m vorig jaar</t>
        </is>
      </c>
      <c r="P559" s="109" t="n">
        <v>0</v>
      </c>
      <c r="Q559" s="92" t="inlineStr">
        <is>
          <t>aantal</t>
        </is>
      </c>
      <c r="R559" s="92" t="inlineStr">
        <is>
          <t>Synthetische snapshot; kwartalen zijn FY-verdeling, geen actuals</t>
        </is>
      </c>
      <c r="S559" s="15" t="str">
        <f>IF(J559="","",J559&amp;"|"&amp;E559&amp;"|"&amp;F559&amp;"|"&amp;I559&amp;"|"&amp;O559)</f>
        <v>G.900013.8.9090|2026|Q2|2026|Woningen verkocht t/m vorig jaar</v>
      </c>
      <c r="T559" s="15">
        <f>IF(OR(S559="",D559&lt;&gt;"Vastgesteld"),"",_xlfn.MAXIFS($G$6:$G$5005,$S$6:$S$5005,S559,$D$6:$D$5005,"Vastgesteld"))</f>
        <v>0</v>
      </c>
      <c r="U559" s="15">
        <f>IF(T559="",0,IF(AND(G559=T559,COUNTIFS($S$6:S559,S559,$G$6:G559,G559,$D$6:D559,"Vastgesteld")=1),1,0))</f>
        <v>1</v>
      </c>
      <c r="V559" s="15">
        <f>IF(T559="",0,IF(AND(G559=T559,COUNTIFS($S$6:S559,S559,$G$6:G559,G559,$D$6:D559,"Vastgesteld")&gt;1),1,0))</f>
        <v>0</v>
      </c>
    </row>
    <row r="560">
      <c r="A560" s="92" t="inlineStr">
        <is>
          <t>HIST-2026-Q2</t>
        </is>
      </c>
      <c r="B560" s="92" t="inlineStr">
        <is>
          <t>RDFO_FICTIEVE_historie_en_mapping.xlsx</t>
        </is>
      </c>
      <c r="C560" s="108" t="n">
        <v>46324</v>
      </c>
      <c r="D560" s="92" t="inlineStr">
        <is>
          <t>Vastgesteld</t>
        </is>
      </c>
      <c r="E560" s="92" t="n">
        <v>2026</v>
      </c>
      <c r="F560" s="92" t="inlineStr">
        <is>
          <t>Q2</t>
        </is>
      </c>
      <c r="G560" s="92" t="n">
        <v>0</v>
      </c>
      <c r="H560" s="108" t="n">
        <v>46203</v>
      </c>
      <c r="I560" s="92" t="n">
        <v>2026</v>
      </c>
      <c r="J560" s="92" t="inlineStr">
        <is>
          <t>G.900013.8.9090</t>
        </is>
      </c>
      <c r="K560" s="92" t="inlineStr">
        <is>
          <t>G.900013</t>
        </is>
      </c>
      <c r="L560" s="92" t="inlineStr">
        <is>
          <t>Boswaard, Boskamers</t>
        </is>
      </c>
      <c r="M560" s="92" t="inlineStr">
        <is>
          <t>Opstal</t>
        </is>
      </c>
      <c r="N560" s="92" t="inlineStr">
        <is>
          <t>J</t>
        </is>
      </c>
      <c r="O560" s="92" t="inlineStr">
        <is>
          <t>Woningverkopen Q1</t>
        </is>
      </c>
      <c r="P560" s="109" t="n">
        <v>3</v>
      </c>
      <c r="Q560" s="92" t="inlineStr">
        <is>
          <t>aantal</t>
        </is>
      </c>
      <c r="R560" s="92" t="inlineStr">
        <is>
          <t>Synthetische snapshot; kwartalen zijn FY-verdeling, geen actuals</t>
        </is>
      </c>
      <c r="S560" s="15" t="str">
        <f>IF(J560="","",J560&amp;"|"&amp;E560&amp;"|"&amp;F560&amp;"|"&amp;I560&amp;"|"&amp;O560)</f>
        <v>G.900013.8.9090|2026|Q2|2026|Woningverkopen Q1</v>
      </c>
      <c r="T560" s="15">
        <f>IF(OR(S560="",D560&lt;&gt;"Vastgesteld"),"",_xlfn.MAXIFS($G$6:$G$5005,$S$6:$S$5005,S560,$D$6:$D$5005,"Vastgesteld"))</f>
        <v>0</v>
      </c>
      <c r="U560" s="15">
        <f>IF(T560="",0,IF(AND(G560=T560,COUNTIFS($S$6:S560,S560,$G$6:G560,G560,$D$6:D560,"Vastgesteld")=1),1,0))</f>
        <v>1</v>
      </c>
      <c r="V560" s="15">
        <f>IF(T560="",0,IF(AND(G560=T560,COUNTIFS($S$6:S560,S560,$G$6:G560,G560,$D$6:D560,"Vastgesteld")&gt;1),1,0))</f>
        <v>0</v>
      </c>
    </row>
    <row r="561">
      <c r="A561" s="92" t="inlineStr">
        <is>
          <t>HIST-2026-Q2</t>
        </is>
      </c>
      <c r="B561" s="92" t="inlineStr">
        <is>
          <t>RDFO_FICTIEVE_historie_en_mapping.xlsx</t>
        </is>
      </c>
      <c r="C561" s="108" t="n">
        <v>46324</v>
      </c>
      <c r="D561" s="92" t="inlineStr">
        <is>
          <t>Vastgesteld</t>
        </is>
      </c>
      <c r="E561" s="92" t="n">
        <v>2026</v>
      </c>
      <c r="F561" s="92" t="inlineStr">
        <is>
          <t>Q2</t>
        </is>
      </c>
      <c r="G561" s="92" t="n">
        <v>0</v>
      </c>
      <c r="H561" s="108" t="n">
        <v>46203</v>
      </c>
      <c r="I561" s="92" t="n">
        <v>2026</v>
      </c>
      <c r="J561" s="92" t="inlineStr">
        <is>
          <t>G.900013.8.9090</t>
        </is>
      </c>
      <c r="K561" s="92" t="inlineStr">
        <is>
          <t>G.900013</t>
        </is>
      </c>
      <c r="L561" s="92" t="inlineStr">
        <is>
          <t>Boswaard, Boskamers</t>
        </is>
      </c>
      <c r="M561" s="92" t="inlineStr">
        <is>
          <t>Opstal</t>
        </is>
      </c>
      <c r="N561" s="92" t="inlineStr">
        <is>
          <t>J</t>
        </is>
      </c>
      <c r="O561" s="92" t="inlineStr">
        <is>
          <t>Woningverkopen Q2</t>
        </is>
      </c>
      <c r="P561" s="109" t="n">
        <v>4</v>
      </c>
      <c r="Q561" s="92" t="inlineStr">
        <is>
          <t>aantal</t>
        </is>
      </c>
      <c r="R561" s="92" t="inlineStr">
        <is>
          <t>Synthetische snapshot; kwartalen zijn FY-verdeling, geen actuals</t>
        </is>
      </c>
      <c r="S561" s="15" t="str">
        <f>IF(J561="","",J561&amp;"|"&amp;E561&amp;"|"&amp;F561&amp;"|"&amp;I561&amp;"|"&amp;O561)</f>
        <v>G.900013.8.9090|2026|Q2|2026|Woningverkopen Q2</v>
      </c>
      <c r="T561" s="15">
        <f>IF(OR(S561="",D561&lt;&gt;"Vastgesteld"),"",_xlfn.MAXIFS($G$6:$G$5005,$S$6:$S$5005,S561,$D$6:$D$5005,"Vastgesteld"))</f>
        <v>0</v>
      </c>
      <c r="U561" s="15">
        <f>IF(T561="",0,IF(AND(G561=T561,COUNTIFS($S$6:S561,S561,$G$6:G561,G561,$D$6:D561,"Vastgesteld")=1),1,0))</f>
        <v>1</v>
      </c>
      <c r="V561" s="15">
        <f>IF(T561="",0,IF(AND(G561=T561,COUNTIFS($S$6:S561,S561,$G$6:G561,G561,$D$6:D561,"Vastgesteld")&gt;1),1,0))</f>
        <v>0</v>
      </c>
    </row>
    <row r="562">
      <c r="A562" s="92" t="inlineStr">
        <is>
          <t>HIST-2026-Q2</t>
        </is>
      </c>
      <c r="B562" s="92" t="inlineStr">
        <is>
          <t>RDFO_FICTIEVE_historie_en_mapping.xlsx</t>
        </is>
      </c>
      <c r="C562" s="108" t="n">
        <v>46324</v>
      </c>
      <c r="D562" s="92" t="inlineStr">
        <is>
          <t>Vastgesteld</t>
        </is>
      </c>
      <c r="E562" s="92" t="n">
        <v>2026</v>
      </c>
      <c r="F562" s="92" t="inlineStr">
        <is>
          <t>Q2</t>
        </is>
      </c>
      <c r="G562" s="92" t="n">
        <v>0</v>
      </c>
      <c r="H562" s="108" t="n">
        <v>46203</v>
      </c>
      <c r="I562" s="92" t="n">
        <v>2026</v>
      </c>
      <c r="J562" s="92" t="inlineStr">
        <is>
          <t>G.900013.8.9090</t>
        </is>
      </c>
      <c r="K562" s="92" t="inlineStr">
        <is>
          <t>G.900013</t>
        </is>
      </c>
      <c r="L562" s="92" t="inlineStr">
        <is>
          <t>Boswaard, Boskamers</t>
        </is>
      </c>
      <c r="M562" s="92" t="inlineStr">
        <is>
          <t>Opstal</t>
        </is>
      </c>
      <c r="N562" s="92" t="inlineStr">
        <is>
          <t>J</t>
        </is>
      </c>
      <c r="O562" s="92" t="inlineStr">
        <is>
          <t>Woningverkopen Q3</t>
        </is>
      </c>
      <c r="P562" s="109" t="n">
        <v>4</v>
      </c>
      <c r="Q562" s="92" t="inlineStr">
        <is>
          <t>aantal</t>
        </is>
      </c>
      <c r="R562" s="92" t="inlineStr">
        <is>
          <t>Synthetische snapshot; kwartalen zijn FY-verdeling, geen actuals</t>
        </is>
      </c>
      <c r="S562" s="15" t="str">
        <f>IF(J562="","",J562&amp;"|"&amp;E562&amp;"|"&amp;F562&amp;"|"&amp;I562&amp;"|"&amp;O562)</f>
        <v>G.900013.8.9090|2026|Q2|2026|Woningverkopen Q3</v>
      </c>
      <c r="T562" s="15">
        <f>IF(OR(S562="",D562&lt;&gt;"Vastgesteld"),"",_xlfn.MAXIFS($G$6:$G$5005,$S$6:$S$5005,S562,$D$6:$D$5005,"Vastgesteld"))</f>
        <v>0</v>
      </c>
      <c r="U562" s="15">
        <f>IF(T562="",0,IF(AND(G562=T562,COUNTIFS($S$6:S562,S562,$G$6:G562,G562,$D$6:D562,"Vastgesteld")=1),1,0))</f>
        <v>1</v>
      </c>
      <c r="V562" s="15">
        <f>IF(T562="",0,IF(AND(G562=T562,COUNTIFS($S$6:S562,S562,$G$6:G562,G562,$D$6:D562,"Vastgesteld")&gt;1),1,0))</f>
        <v>0</v>
      </c>
    </row>
    <row r="563">
      <c r="A563" s="92" t="inlineStr">
        <is>
          <t>HIST-2026-Q2</t>
        </is>
      </c>
      <c r="B563" s="92" t="inlineStr">
        <is>
          <t>RDFO_FICTIEVE_historie_en_mapping.xlsx</t>
        </is>
      </c>
      <c r="C563" s="108" t="n">
        <v>46324</v>
      </c>
      <c r="D563" s="92" t="inlineStr">
        <is>
          <t>Vastgesteld</t>
        </is>
      </c>
      <c r="E563" s="92" t="n">
        <v>2026</v>
      </c>
      <c r="F563" s="92" t="inlineStr">
        <is>
          <t>Q2</t>
        </is>
      </c>
      <c r="G563" s="92" t="n">
        <v>0</v>
      </c>
      <c r="H563" s="108" t="n">
        <v>46203</v>
      </c>
      <c r="I563" s="92" t="n">
        <v>2026</v>
      </c>
      <c r="J563" s="92" t="inlineStr">
        <is>
          <t>G.900013.8.9090</t>
        </is>
      </c>
      <c r="K563" s="92" t="inlineStr">
        <is>
          <t>G.900013</t>
        </is>
      </c>
      <c r="L563" s="92" t="inlineStr">
        <is>
          <t>Boswaard, Boskamers</t>
        </is>
      </c>
      <c r="M563" s="92" t="inlineStr">
        <is>
          <t>Opstal</t>
        </is>
      </c>
      <c r="N563" s="92" t="inlineStr">
        <is>
          <t>J</t>
        </is>
      </c>
      <c r="O563" s="92" t="inlineStr">
        <is>
          <t>Woningverkopen Q4</t>
        </is>
      </c>
      <c r="P563" s="109" t="n">
        <v>8</v>
      </c>
      <c r="Q563" s="92" t="inlineStr">
        <is>
          <t>aantal</t>
        </is>
      </c>
      <c r="R563" s="92" t="inlineStr">
        <is>
          <t>Synthetische snapshot; kwartalen zijn FY-verdeling, geen actuals</t>
        </is>
      </c>
      <c r="S563" s="15" t="str">
        <f>IF(J563="","",J563&amp;"|"&amp;E563&amp;"|"&amp;F563&amp;"|"&amp;I563&amp;"|"&amp;O563)</f>
        <v>G.900013.8.9090|2026|Q2|2026|Woningverkopen Q4</v>
      </c>
      <c r="T563" s="15">
        <f>IF(OR(S563="",D563&lt;&gt;"Vastgesteld"),"",_xlfn.MAXIFS($G$6:$G$5005,$S$6:$S$5005,S563,$D$6:$D$5005,"Vastgesteld"))</f>
        <v>0</v>
      </c>
      <c r="U563" s="15">
        <f>IF(T563="",0,IF(AND(G563=T563,COUNTIFS($S$6:S563,S563,$G$6:G563,G563,$D$6:D563,"Vastgesteld")=1),1,0))</f>
        <v>1</v>
      </c>
      <c r="V563" s="15">
        <f>IF(T563="",0,IF(AND(G563=T563,COUNTIFS($S$6:S563,S563,$G$6:G563,G563,$D$6:D563,"Vastgesteld")&gt;1),1,0))</f>
        <v>0</v>
      </c>
    </row>
    <row r="564">
      <c r="A564" s="92" t="inlineStr">
        <is>
          <t>HIST-2026-Q2</t>
        </is>
      </c>
      <c r="B564" s="92" t="inlineStr">
        <is>
          <t>RDFO_FICTIEVE_historie_en_mapping.xlsx</t>
        </is>
      </c>
      <c r="C564" s="108" t="n">
        <v>46324</v>
      </c>
      <c r="D564" s="92" t="inlineStr">
        <is>
          <t>Vastgesteld</t>
        </is>
      </c>
      <c r="E564" s="92" t="n">
        <v>2026</v>
      </c>
      <c r="F564" s="92" t="inlineStr">
        <is>
          <t>Q2</t>
        </is>
      </c>
      <c r="G564" s="92" t="n">
        <v>0</v>
      </c>
      <c r="H564" s="108" t="n">
        <v>46203</v>
      </c>
      <c r="I564" s="92" t="n">
        <v>2026</v>
      </c>
      <c r="J564" s="92" t="inlineStr">
        <is>
          <t>G.900014.8.9090</t>
        </is>
      </c>
      <c r="K564" s="92" t="inlineStr">
        <is>
          <t>G.900014</t>
        </is>
      </c>
      <c r="L564" s="92" t="inlineStr">
        <is>
          <t>Rietdam, Rietoevers</t>
        </is>
      </c>
      <c r="M564" s="92" t="inlineStr">
        <is>
          <t>Opstal</t>
        </is>
      </c>
      <c r="N564" s="92" t="inlineStr">
        <is>
          <t>J</t>
        </is>
      </c>
      <c r="O564" s="92" t="inlineStr">
        <is>
          <t>Woningverkopen FY</t>
        </is>
      </c>
      <c r="P564" s="109" t="n">
        <v>25</v>
      </c>
      <c r="Q564" s="92" t="inlineStr">
        <is>
          <t>aantal</t>
        </is>
      </c>
      <c r="R564" s="92" t="inlineStr">
        <is>
          <t>Synthetische snapshot; kwartalen zijn FY-verdeling, geen actuals</t>
        </is>
      </c>
      <c r="S564" s="15" t="str">
        <f>IF(J564="","",J564&amp;"|"&amp;E564&amp;"|"&amp;F564&amp;"|"&amp;I564&amp;"|"&amp;O564)</f>
        <v>G.900014.8.9090|2026|Q2|2026|Woningverkopen FY</v>
      </c>
      <c r="T564" s="15">
        <f>IF(OR(S564="",D564&lt;&gt;"Vastgesteld"),"",_xlfn.MAXIFS($G$6:$G$5005,$S$6:$S$5005,S564,$D$6:$D$5005,"Vastgesteld"))</f>
        <v>0</v>
      </c>
      <c r="U564" s="15">
        <f>IF(T564="",0,IF(AND(G564=T564,COUNTIFS($S$6:S564,S564,$G$6:G564,G564,$D$6:D564,"Vastgesteld")=1),1,0))</f>
        <v>1</v>
      </c>
      <c r="V564" s="15">
        <f>IF(T564="",0,IF(AND(G564=T564,COUNTIFS($S$6:S564,S564,$G$6:G564,G564,$D$6:D564,"Vastgesteld")&gt;1),1,0))</f>
        <v>0</v>
      </c>
    </row>
    <row r="565">
      <c r="A565" s="92" t="inlineStr">
        <is>
          <t>HIST-2026-Q2</t>
        </is>
      </c>
      <c r="B565" s="92" t="inlineStr">
        <is>
          <t>RDFO_FICTIEVE_historie_en_mapping.xlsx</t>
        </is>
      </c>
      <c r="C565" s="108" t="n">
        <v>46324</v>
      </c>
      <c r="D565" s="92" t="inlineStr">
        <is>
          <t>Vastgesteld</t>
        </is>
      </c>
      <c r="E565" s="92" t="n">
        <v>2026</v>
      </c>
      <c r="F565" s="92" t="inlineStr">
        <is>
          <t>Q2</t>
        </is>
      </c>
      <c r="G565" s="92" t="n">
        <v>0</v>
      </c>
      <c r="H565" s="108" t="n">
        <v>46203</v>
      </c>
      <c r="I565" s="92" t="n">
        <v>2026</v>
      </c>
      <c r="J565" s="92" t="inlineStr">
        <is>
          <t>G.900014.8.9090</t>
        </is>
      </c>
      <c r="K565" s="92" t="inlineStr">
        <is>
          <t>G.900014</t>
        </is>
      </c>
      <c r="L565" s="92" t="inlineStr">
        <is>
          <t>Rietdam, Rietoevers</t>
        </is>
      </c>
      <c r="M565" s="92" t="inlineStr">
        <is>
          <t>Opstal</t>
        </is>
      </c>
      <c r="N565" s="92" t="inlineStr">
        <is>
          <t>J</t>
        </is>
      </c>
      <c r="O565" s="92" t="inlineStr">
        <is>
          <t>Woningen verkocht t/m vorig jaar</t>
        </is>
      </c>
      <c r="P565" s="109" t="n">
        <v>0</v>
      </c>
      <c r="Q565" s="92" t="inlineStr">
        <is>
          <t>aantal</t>
        </is>
      </c>
      <c r="R565" s="92" t="inlineStr">
        <is>
          <t>Synthetische snapshot; kwartalen zijn FY-verdeling, geen actuals</t>
        </is>
      </c>
      <c r="S565" s="15" t="str">
        <f>IF(J565="","",J565&amp;"|"&amp;E565&amp;"|"&amp;F565&amp;"|"&amp;I565&amp;"|"&amp;O565)</f>
        <v>G.900014.8.9090|2026|Q2|2026|Woningen verkocht t/m vorig jaar</v>
      </c>
      <c r="T565" s="15">
        <f>IF(OR(S565="",D565&lt;&gt;"Vastgesteld"),"",_xlfn.MAXIFS($G$6:$G$5005,$S$6:$S$5005,S565,$D$6:$D$5005,"Vastgesteld"))</f>
        <v>0</v>
      </c>
      <c r="U565" s="15">
        <f>IF(T565="",0,IF(AND(G565=T565,COUNTIFS($S$6:S565,S565,$G$6:G565,G565,$D$6:D565,"Vastgesteld")=1),1,0))</f>
        <v>1</v>
      </c>
      <c r="V565" s="15">
        <f>IF(T565="",0,IF(AND(G565=T565,COUNTIFS($S$6:S565,S565,$G$6:G565,G565,$D$6:D565,"Vastgesteld")&gt;1),1,0))</f>
        <v>0</v>
      </c>
    </row>
    <row r="566">
      <c r="A566" s="92" t="inlineStr">
        <is>
          <t>HIST-2026-Q2</t>
        </is>
      </c>
      <c r="B566" s="92" t="inlineStr">
        <is>
          <t>RDFO_FICTIEVE_historie_en_mapping.xlsx</t>
        </is>
      </c>
      <c r="C566" s="108" t="n">
        <v>46324</v>
      </c>
      <c r="D566" s="92" t="inlineStr">
        <is>
          <t>Vastgesteld</t>
        </is>
      </c>
      <c r="E566" s="92" t="n">
        <v>2026</v>
      </c>
      <c r="F566" s="92" t="inlineStr">
        <is>
          <t>Q2</t>
        </is>
      </c>
      <c r="G566" s="92" t="n">
        <v>0</v>
      </c>
      <c r="H566" s="108" t="n">
        <v>46203</v>
      </c>
      <c r="I566" s="92" t="n">
        <v>2026</v>
      </c>
      <c r="J566" s="92" t="inlineStr">
        <is>
          <t>G.900014.8.9090</t>
        </is>
      </c>
      <c r="K566" s="92" t="inlineStr">
        <is>
          <t>G.900014</t>
        </is>
      </c>
      <c r="L566" s="92" t="inlineStr">
        <is>
          <t>Rietdam, Rietoevers</t>
        </is>
      </c>
      <c r="M566" s="92" t="inlineStr">
        <is>
          <t>Opstal</t>
        </is>
      </c>
      <c r="N566" s="92" t="inlineStr">
        <is>
          <t>J</t>
        </is>
      </c>
      <c r="O566" s="92" t="inlineStr">
        <is>
          <t>Woningverkopen Q1</t>
        </is>
      </c>
      <c r="P566" s="109" t="n">
        <v>5</v>
      </c>
      <c r="Q566" s="92" t="inlineStr">
        <is>
          <t>aantal</t>
        </is>
      </c>
      <c r="R566" s="92" t="inlineStr">
        <is>
          <t>Synthetische snapshot; kwartalen zijn FY-verdeling, geen actuals</t>
        </is>
      </c>
      <c r="S566" s="15" t="str">
        <f>IF(J566="","",J566&amp;"|"&amp;E566&amp;"|"&amp;F566&amp;"|"&amp;I566&amp;"|"&amp;O566)</f>
        <v>G.900014.8.9090|2026|Q2|2026|Woningverkopen Q1</v>
      </c>
      <c r="T566" s="15">
        <f>IF(OR(S566="",D566&lt;&gt;"Vastgesteld"),"",_xlfn.MAXIFS($G$6:$G$5005,$S$6:$S$5005,S566,$D$6:$D$5005,"Vastgesteld"))</f>
        <v>0</v>
      </c>
      <c r="U566" s="15">
        <f>IF(T566="",0,IF(AND(G566=T566,COUNTIFS($S$6:S566,S566,$G$6:G566,G566,$D$6:D566,"Vastgesteld")=1),1,0))</f>
        <v>1</v>
      </c>
      <c r="V566" s="15">
        <f>IF(T566="",0,IF(AND(G566=T566,COUNTIFS($S$6:S566,S566,$G$6:G566,G566,$D$6:D566,"Vastgesteld")&gt;1),1,0))</f>
        <v>0</v>
      </c>
    </row>
    <row r="567">
      <c r="A567" s="92" t="inlineStr">
        <is>
          <t>HIST-2026-Q2</t>
        </is>
      </c>
      <c r="B567" s="92" t="inlineStr">
        <is>
          <t>RDFO_FICTIEVE_historie_en_mapping.xlsx</t>
        </is>
      </c>
      <c r="C567" s="108" t="n">
        <v>46324</v>
      </c>
      <c r="D567" s="92" t="inlineStr">
        <is>
          <t>Vastgesteld</t>
        </is>
      </c>
      <c r="E567" s="92" t="n">
        <v>2026</v>
      </c>
      <c r="F567" s="92" t="inlineStr">
        <is>
          <t>Q2</t>
        </is>
      </c>
      <c r="G567" s="92" t="n">
        <v>0</v>
      </c>
      <c r="H567" s="108" t="n">
        <v>46203</v>
      </c>
      <c r="I567" s="92" t="n">
        <v>2026</v>
      </c>
      <c r="J567" s="92" t="inlineStr">
        <is>
          <t>G.900014.8.9090</t>
        </is>
      </c>
      <c r="K567" s="92" t="inlineStr">
        <is>
          <t>G.900014</t>
        </is>
      </c>
      <c r="L567" s="92" t="inlineStr">
        <is>
          <t>Rietdam, Rietoevers</t>
        </is>
      </c>
      <c r="M567" s="92" t="inlineStr">
        <is>
          <t>Opstal</t>
        </is>
      </c>
      <c r="N567" s="92" t="inlineStr">
        <is>
          <t>J</t>
        </is>
      </c>
      <c r="O567" s="92" t="inlineStr">
        <is>
          <t>Woningverkopen Q2</t>
        </is>
      </c>
      <c r="P567" s="109" t="n">
        <v>6</v>
      </c>
      <c r="Q567" s="92" t="inlineStr">
        <is>
          <t>aantal</t>
        </is>
      </c>
      <c r="R567" s="92" t="inlineStr">
        <is>
          <t>Synthetische snapshot; kwartalen zijn FY-verdeling, geen actuals</t>
        </is>
      </c>
      <c r="S567" s="15" t="str">
        <f>IF(J567="","",J567&amp;"|"&amp;E567&amp;"|"&amp;F567&amp;"|"&amp;I567&amp;"|"&amp;O567)</f>
        <v>G.900014.8.9090|2026|Q2|2026|Woningverkopen Q2</v>
      </c>
      <c r="T567" s="15">
        <f>IF(OR(S567="",D567&lt;&gt;"Vastgesteld"),"",_xlfn.MAXIFS($G$6:$G$5005,$S$6:$S$5005,S567,$D$6:$D$5005,"Vastgesteld"))</f>
        <v>0</v>
      </c>
      <c r="U567" s="15">
        <f>IF(T567="",0,IF(AND(G567=T567,COUNTIFS($S$6:S567,S567,$G$6:G567,G567,$D$6:D567,"Vastgesteld")=1),1,0))</f>
        <v>1</v>
      </c>
      <c r="V567" s="15">
        <f>IF(T567="",0,IF(AND(G567=T567,COUNTIFS($S$6:S567,S567,$G$6:G567,G567,$D$6:D567,"Vastgesteld")&gt;1),1,0))</f>
        <v>0</v>
      </c>
    </row>
    <row r="568">
      <c r="A568" s="92" t="inlineStr">
        <is>
          <t>HIST-2026-Q2</t>
        </is>
      </c>
      <c r="B568" s="92" t="inlineStr">
        <is>
          <t>RDFO_FICTIEVE_historie_en_mapping.xlsx</t>
        </is>
      </c>
      <c r="C568" s="108" t="n">
        <v>46324</v>
      </c>
      <c r="D568" s="92" t="inlineStr">
        <is>
          <t>Vastgesteld</t>
        </is>
      </c>
      <c r="E568" s="92" t="n">
        <v>2026</v>
      </c>
      <c r="F568" s="92" t="inlineStr">
        <is>
          <t>Q2</t>
        </is>
      </c>
      <c r="G568" s="92" t="n">
        <v>0</v>
      </c>
      <c r="H568" s="108" t="n">
        <v>46203</v>
      </c>
      <c r="I568" s="92" t="n">
        <v>2026</v>
      </c>
      <c r="J568" s="92" t="inlineStr">
        <is>
          <t>G.900014.8.9090</t>
        </is>
      </c>
      <c r="K568" s="92" t="inlineStr">
        <is>
          <t>G.900014</t>
        </is>
      </c>
      <c r="L568" s="92" t="inlineStr">
        <is>
          <t>Rietdam, Rietoevers</t>
        </is>
      </c>
      <c r="M568" s="92" t="inlineStr">
        <is>
          <t>Opstal</t>
        </is>
      </c>
      <c r="N568" s="92" t="inlineStr">
        <is>
          <t>J</t>
        </is>
      </c>
      <c r="O568" s="92" t="inlineStr">
        <is>
          <t>Woningverkopen Q3</t>
        </is>
      </c>
      <c r="P568" s="109" t="n">
        <v>6</v>
      </c>
      <c r="Q568" s="92" t="inlineStr">
        <is>
          <t>aantal</t>
        </is>
      </c>
      <c r="R568" s="92" t="inlineStr">
        <is>
          <t>Synthetische snapshot; kwartalen zijn FY-verdeling, geen actuals</t>
        </is>
      </c>
      <c r="S568" s="15" t="str">
        <f>IF(J568="","",J568&amp;"|"&amp;E568&amp;"|"&amp;F568&amp;"|"&amp;I568&amp;"|"&amp;O568)</f>
        <v>G.900014.8.9090|2026|Q2|2026|Woningverkopen Q3</v>
      </c>
      <c r="T568" s="15">
        <f>IF(OR(S568="",D568&lt;&gt;"Vastgesteld"),"",_xlfn.MAXIFS($G$6:$G$5005,$S$6:$S$5005,S568,$D$6:$D$5005,"Vastgesteld"))</f>
        <v>0</v>
      </c>
      <c r="U568" s="15">
        <f>IF(T568="",0,IF(AND(G568=T568,COUNTIFS($S$6:S568,S568,$G$6:G568,G568,$D$6:D568,"Vastgesteld")=1),1,0))</f>
        <v>1</v>
      </c>
      <c r="V568" s="15">
        <f>IF(T568="",0,IF(AND(G568=T568,COUNTIFS($S$6:S568,S568,$G$6:G568,G568,$D$6:D568,"Vastgesteld")&gt;1),1,0))</f>
        <v>0</v>
      </c>
    </row>
    <row r="569">
      <c r="A569" s="92" t="inlineStr">
        <is>
          <t>HIST-2026-Q2</t>
        </is>
      </c>
      <c r="B569" s="92" t="inlineStr">
        <is>
          <t>RDFO_FICTIEVE_historie_en_mapping.xlsx</t>
        </is>
      </c>
      <c r="C569" s="108" t="n">
        <v>46324</v>
      </c>
      <c r="D569" s="92" t="inlineStr">
        <is>
          <t>Vastgesteld</t>
        </is>
      </c>
      <c r="E569" s="92" t="n">
        <v>2026</v>
      </c>
      <c r="F569" s="92" t="inlineStr">
        <is>
          <t>Q2</t>
        </is>
      </c>
      <c r="G569" s="92" t="n">
        <v>0</v>
      </c>
      <c r="H569" s="108" t="n">
        <v>46203</v>
      </c>
      <c r="I569" s="92" t="n">
        <v>2026</v>
      </c>
      <c r="J569" s="92" t="inlineStr">
        <is>
          <t>G.900014.8.9090</t>
        </is>
      </c>
      <c r="K569" s="92" t="inlineStr">
        <is>
          <t>G.900014</t>
        </is>
      </c>
      <c r="L569" s="92" t="inlineStr">
        <is>
          <t>Rietdam, Rietoevers</t>
        </is>
      </c>
      <c r="M569" s="92" t="inlineStr">
        <is>
          <t>Opstal</t>
        </is>
      </c>
      <c r="N569" s="92" t="inlineStr">
        <is>
          <t>J</t>
        </is>
      </c>
      <c r="O569" s="92" t="inlineStr">
        <is>
          <t>Woningverkopen Q4</t>
        </is>
      </c>
      <c r="P569" s="109" t="n">
        <v>8</v>
      </c>
      <c r="Q569" s="92" t="inlineStr">
        <is>
          <t>aantal</t>
        </is>
      </c>
      <c r="R569" s="92" t="inlineStr">
        <is>
          <t>Synthetische snapshot; kwartalen zijn FY-verdeling, geen actuals</t>
        </is>
      </c>
      <c r="S569" s="15" t="str">
        <f>IF(J569="","",J569&amp;"|"&amp;E569&amp;"|"&amp;F569&amp;"|"&amp;I569&amp;"|"&amp;O569)</f>
        <v>G.900014.8.9090|2026|Q2|2026|Woningverkopen Q4</v>
      </c>
      <c r="T569" s="15">
        <f>IF(OR(S569="",D569&lt;&gt;"Vastgesteld"),"",_xlfn.MAXIFS($G$6:$G$5005,$S$6:$S$5005,S569,$D$6:$D$5005,"Vastgesteld"))</f>
        <v>0</v>
      </c>
      <c r="U569" s="15">
        <f>IF(T569="",0,IF(AND(G569=T569,COUNTIFS($S$6:S569,S569,$G$6:G569,G569,$D$6:D569,"Vastgesteld")=1),1,0))</f>
        <v>1</v>
      </c>
      <c r="V569" s="15">
        <f>IF(T569="",0,IF(AND(G569=T569,COUNTIFS($S$6:S569,S569,$G$6:G569,G569,$D$6:D569,"Vastgesteld")&gt;1),1,0))</f>
        <v>0</v>
      </c>
    </row>
    <row r="570">
      <c r="A570" s="92" t="inlineStr">
        <is>
          <t>HIST-2026-Q2</t>
        </is>
      </c>
      <c r="B570" s="92" t="inlineStr">
        <is>
          <t>RDFO_FICTIEVE_historie_en_mapping.xlsx</t>
        </is>
      </c>
      <c r="C570" s="108" t="n">
        <v>46324</v>
      </c>
      <c r="D570" s="92" t="inlineStr">
        <is>
          <t>Vastgesteld</t>
        </is>
      </c>
      <c r="E570" s="92" t="n">
        <v>2026</v>
      </c>
      <c r="F570" s="92" t="inlineStr">
        <is>
          <t>Q2</t>
        </is>
      </c>
      <c r="G570" s="92" t="n">
        <v>0</v>
      </c>
      <c r="H570" s="108" t="n">
        <v>46203</v>
      </c>
      <c r="I570" s="92" t="n">
        <v>2026</v>
      </c>
      <c r="J570" s="92" t="inlineStr">
        <is>
          <t>G.900015.8.9090</t>
        </is>
      </c>
      <c r="K570" s="92" t="inlineStr">
        <is>
          <t>G.900015</t>
        </is>
      </c>
      <c r="L570" s="92" t="inlineStr">
        <is>
          <t>Lindehaven, Parkzoom fase 2</t>
        </is>
      </c>
      <c r="M570" s="92" t="inlineStr">
        <is>
          <t>Opstal</t>
        </is>
      </c>
      <c r="N570" s="92" t="inlineStr">
        <is>
          <t>J</t>
        </is>
      </c>
      <c r="O570" s="92" t="inlineStr">
        <is>
          <t>Woningverkopen FY</t>
        </is>
      </c>
      <c r="P570" s="109" t="n">
        <v>35</v>
      </c>
      <c r="Q570" s="92" t="inlineStr">
        <is>
          <t>aantal</t>
        </is>
      </c>
      <c r="R570" s="92" t="inlineStr">
        <is>
          <t>Synthetische snapshot; kwartalen zijn FY-verdeling, geen actuals</t>
        </is>
      </c>
      <c r="S570" s="15" t="str">
        <f>IF(J570="","",J570&amp;"|"&amp;E570&amp;"|"&amp;F570&amp;"|"&amp;I570&amp;"|"&amp;O570)</f>
        <v>G.900015.8.9090|2026|Q2|2026|Woningverkopen FY</v>
      </c>
      <c r="T570" s="15">
        <f>IF(OR(S570="",D570&lt;&gt;"Vastgesteld"),"",_xlfn.MAXIFS($G$6:$G$5005,$S$6:$S$5005,S570,$D$6:$D$5005,"Vastgesteld"))</f>
        <v>0</v>
      </c>
      <c r="U570" s="15">
        <f>IF(T570="",0,IF(AND(G570=T570,COUNTIFS($S$6:S570,S570,$G$6:G570,G570,$D$6:D570,"Vastgesteld")=1),1,0))</f>
        <v>1</v>
      </c>
      <c r="V570" s="15">
        <f>IF(T570="",0,IF(AND(G570=T570,COUNTIFS($S$6:S570,S570,$G$6:G570,G570,$D$6:D570,"Vastgesteld")&gt;1),1,0))</f>
        <v>0</v>
      </c>
    </row>
    <row r="571">
      <c r="A571" s="92" t="inlineStr">
        <is>
          <t>HIST-2026-Q2</t>
        </is>
      </c>
      <c r="B571" s="92" t="inlineStr">
        <is>
          <t>RDFO_FICTIEVE_historie_en_mapping.xlsx</t>
        </is>
      </c>
      <c r="C571" s="108" t="n">
        <v>46324</v>
      </c>
      <c r="D571" s="92" t="inlineStr">
        <is>
          <t>Vastgesteld</t>
        </is>
      </c>
      <c r="E571" s="92" t="n">
        <v>2026</v>
      </c>
      <c r="F571" s="92" t="inlineStr">
        <is>
          <t>Q2</t>
        </is>
      </c>
      <c r="G571" s="92" t="n">
        <v>0</v>
      </c>
      <c r="H571" s="108" t="n">
        <v>46203</v>
      </c>
      <c r="I571" s="92" t="n">
        <v>2026</v>
      </c>
      <c r="J571" s="92" t="inlineStr">
        <is>
          <t>G.900015.8.9090</t>
        </is>
      </c>
      <c r="K571" s="92" t="inlineStr">
        <is>
          <t>G.900015</t>
        </is>
      </c>
      <c r="L571" s="92" t="inlineStr">
        <is>
          <t>Lindehaven, Parkzoom fase 2</t>
        </is>
      </c>
      <c r="M571" s="92" t="inlineStr">
        <is>
          <t>Opstal</t>
        </is>
      </c>
      <c r="N571" s="92" t="inlineStr">
        <is>
          <t>J</t>
        </is>
      </c>
      <c r="O571" s="92" t="inlineStr">
        <is>
          <t>Woningen verkocht t/m vorig jaar</t>
        </is>
      </c>
      <c r="P571" s="109" t="n">
        <v>0</v>
      </c>
      <c r="Q571" s="92" t="inlineStr">
        <is>
          <t>aantal</t>
        </is>
      </c>
      <c r="R571" s="92" t="inlineStr">
        <is>
          <t>Synthetische snapshot; kwartalen zijn FY-verdeling, geen actuals</t>
        </is>
      </c>
      <c r="S571" s="15" t="str">
        <f>IF(J571="","",J571&amp;"|"&amp;E571&amp;"|"&amp;F571&amp;"|"&amp;I571&amp;"|"&amp;O571)</f>
        <v>G.900015.8.9090|2026|Q2|2026|Woningen verkocht t/m vorig jaar</v>
      </c>
      <c r="T571" s="15">
        <f>IF(OR(S571="",D571&lt;&gt;"Vastgesteld"),"",_xlfn.MAXIFS($G$6:$G$5005,$S$6:$S$5005,S571,$D$6:$D$5005,"Vastgesteld"))</f>
        <v>0</v>
      </c>
      <c r="U571" s="15">
        <f>IF(T571="",0,IF(AND(G571=T571,COUNTIFS($S$6:S571,S571,$G$6:G571,G571,$D$6:D571,"Vastgesteld")=1),1,0))</f>
        <v>1</v>
      </c>
      <c r="V571" s="15">
        <f>IF(T571="",0,IF(AND(G571=T571,COUNTIFS($S$6:S571,S571,$G$6:G571,G571,$D$6:D571,"Vastgesteld")&gt;1),1,0))</f>
        <v>0</v>
      </c>
    </row>
    <row r="572">
      <c r="A572" s="92" t="inlineStr">
        <is>
          <t>HIST-2026-Q2</t>
        </is>
      </c>
      <c r="B572" s="92" t="inlineStr">
        <is>
          <t>RDFO_FICTIEVE_historie_en_mapping.xlsx</t>
        </is>
      </c>
      <c r="C572" s="108" t="n">
        <v>46324</v>
      </c>
      <c r="D572" s="92" t="inlineStr">
        <is>
          <t>Vastgesteld</t>
        </is>
      </c>
      <c r="E572" s="92" t="n">
        <v>2026</v>
      </c>
      <c r="F572" s="92" t="inlineStr">
        <is>
          <t>Q2</t>
        </is>
      </c>
      <c r="G572" s="92" t="n">
        <v>0</v>
      </c>
      <c r="H572" s="108" t="n">
        <v>46203</v>
      </c>
      <c r="I572" s="92" t="n">
        <v>2026</v>
      </c>
      <c r="J572" s="92" t="inlineStr">
        <is>
          <t>G.900015.8.9090</t>
        </is>
      </c>
      <c r="K572" s="92" t="inlineStr">
        <is>
          <t>G.900015</t>
        </is>
      </c>
      <c r="L572" s="92" t="inlineStr">
        <is>
          <t>Lindehaven, Parkzoom fase 2</t>
        </is>
      </c>
      <c r="M572" s="92" t="inlineStr">
        <is>
          <t>Opstal</t>
        </is>
      </c>
      <c r="N572" s="92" t="inlineStr">
        <is>
          <t>J</t>
        </is>
      </c>
      <c r="O572" s="92" t="inlineStr">
        <is>
          <t>Woningverkopen Q1</t>
        </is>
      </c>
      <c r="P572" s="109" t="n">
        <v>7</v>
      </c>
      <c r="Q572" s="92" t="inlineStr">
        <is>
          <t>aantal</t>
        </is>
      </c>
      <c r="R572" s="92" t="inlineStr">
        <is>
          <t>Synthetische snapshot; kwartalen zijn FY-verdeling, geen actuals</t>
        </is>
      </c>
      <c r="S572" s="15" t="str">
        <f>IF(J572="","",J572&amp;"|"&amp;E572&amp;"|"&amp;F572&amp;"|"&amp;I572&amp;"|"&amp;O572)</f>
        <v>G.900015.8.9090|2026|Q2|2026|Woningverkopen Q1</v>
      </c>
      <c r="T572" s="15">
        <f>IF(OR(S572="",D572&lt;&gt;"Vastgesteld"),"",_xlfn.MAXIFS($G$6:$G$5005,$S$6:$S$5005,S572,$D$6:$D$5005,"Vastgesteld"))</f>
        <v>0</v>
      </c>
      <c r="U572" s="15">
        <f>IF(T572="",0,IF(AND(G572=T572,COUNTIFS($S$6:S572,S572,$G$6:G572,G572,$D$6:D572,"Vastgesteld")=1),1,0))</f>
        <v>1</v>
      </c>
      <c r="V572" s="15">
        <f>IF(T572="",0,IF(AND(G572=T572,COUNTIFS($S$6:S572,S572,$G$6:G572,G572,$D$6:D572,"Vastgesteld")&gt;1),1,0))</f>
        <v>0</v>
      </c>
    </row>
    <row r="573">
      <c r="A573" s="92" t="inlineStr">
        <is>
          <t>HIST-2026-Q2</t>
        </is>
      </c>
      <c r="B573" s="92" t="inlineStr">
        <is>
          <t>RDFO_FICTIEVE_historie_en_mapping.xlsx</t>
        </is>
      </c>
      <c r="C573" s="108" t="n">
        <v>46324</v>
      </c>
      <c r="D573" s="92" t="inlineStr">
        <is>
          <t>Vastgesteld</t>
        </is>
      </c>
      <c r="E573" s="92" t="n">
        <v>2026</v>
      </c>
      <c r="F573" s="92" t="inlineStr">
        <is>
          <t>Q2</t>
        </is>
      </c>
      <c r="G573" s="92" t="n">
        <v>0</v>
      </c>
      <c r="H573" s="108" t="n">
        <v>46203</v>
      </c>
      <c r="I573" s="92" t="n">
        <v>2026</v>
      </c>
      <c r="J573" s="92" t="inlineStr">
        <is>
          <t>G.900015.8.9090</t>
        </is>
      </c>
      <c r="K573" s="92" t="inlineStr">
        <is>
          <t>G.900015</t>
        </is>
      </c>
      <c r="L573" s="92" t="inlineStr">
        <is>
          <t>Lindehaven, Parkzoom fase 2</t>
        </is>
      </c>
      <c r="M573" s="92" t="inlineStr">
        <is>
          <t>Opstal</t>
        </is>
      </c>
      <c r="N573" s="92" t="inlineStr">
        <is>
          <t>J</t>
        </is>
      </c>
      <c r="O573" s="92" t="inlineStr">
        <is>
          <t>Woningverkopen Q2</t>
        </is>
      </c>
      <c r="P573" s="109" t="n">
        <v>8</v>
      </c>
      <c r="Q573" s="92" t="inlineStr">
        <is>
          <t>aantal</t>
        </is>
      </c>
      <c r="R573" s="92" t="inlineStr">
        <is>
          <t>Synthetische snapshot; kwartalen zijn FY-verdeling, geen actuals</t>
        </is>
      </c>
      <c r="S573" s="15" t="str">
        <f>IF(J573="","",J573&amp;"|"&amp;E573&amp;"|"&amp;F573&amp;"|"&amp;I573&amp;"|"&amp;O573)</f>
        <v>G.900015.8.9090|2026|Q2|2026|Woningverkopen Q2</v>
      </c>
      <c r="T573" s="15">
        <f>IF(OR(S573="",D573&lt;&gt;"Vastgesteld"),"",_xlfn.MAXIFS($G$6:$G$5005,$S$6:$S$5005,S573,$D$6:$D$5005,"Vastgesteld"))</f>
        <v>0</v>
      </c>
      <c r="U573" s="15">
        <f>IF(T573="",0,IF(AND(G573=T573,COUNTIFS($S$6:S573,S573,$G$6:G573,G573,$D$6:D573,"Vastgesteld")=1),1,0))</f>
        <v>1</v>
      </c>
      <c r="V573" s="15">
        <f>IF(T573="",0,IF(AND(G573=T573,COUNTIFS($S$6:S573,S573,$G$6:G573,G573,$D$6:D573,"Vastgesteld")&gt;1),1,0))</f>
        <v>0</v>
      </c>
    </row>
    <row r="574">
      <c r="A574" s="92" t="inlineStr">
        <is>
          <t>HIST-2026-Q2</t>
        </is>
      </c>
      <c r="B574" s="92" t="inlineStr">
        <is>
          <t>RDFO_FICTIEVE_historie_en_mapping.xlsx</t>
        </is>
      </c>
      <c r="C574" s="108" t="n">
        <v>46324</v>
      </c>
      <c r="D574" s="92" t="inlineStr">
        <is>
          <t>Vastgesteld</t>
        </is>
      </c>
      <c r="E574" s="92" t="n">
        <v>2026</v>
      </c>
      <c r="F574" s="92" t="inlineStr">
        <is>
          <t>Q2</t>
        </is>
      </c>
      <c r="G574" s="92" t="n">
        <v>0</v>
      </c>
      <c r="H574" s="108" t="n">
        <v>46203</v>
      </c>
      <c r="I574" s="92" t="n">
        <v>2026</v>
      </c>
      <c r="J574" s="92" t="inlineStr">
        <is>
          <t>G.900015.8.9090</t>
        </is>
      </c>
      <c r="K574" s="92" t="inlineStr">
        <is>
          <t>G.900015</t>
        </is>
      </c>
      <c r="L574" s="92" t="inlineStr">
        <is>
          <t>Lindehaven, Parkzoom fase 2</t>
        </is>
      </c>
      <c r="M574" s="92" t="inlineStr">
        <is>
          <t>Opstal</t>
        </is>
      </c>
      <c r="N574" s="92" t="inlineStr">
        <is>
          <t>J</t>
        </is>
      </c>
      <c r="O574" s="92" t="inlineStr">
        <is>
          <t>Woningverkopen Q3</t>
        </is>
      </c>
      <c r="P574" s="109" t="n">
        <v>8</v>
      </c>
      <c r="Q574" s="92" t="inlineStr">
        <is>
          <t>aantal</t>
        </is>
      </c>
      <c r="R574" s="92" t="inlineStr">
        <is>
          <t>Synthetische snapshot; kwartalen zijn FY-verdeling, geen actuals</t>
        </is>
      </c>
      <c r="S574" s="15" t="str">
        <f>IF(J574="","",J574&amp;"|"&amp;E574&amp;"|"&amp;F574&amp;"|"&amp;I574&amp;"|"&amp;O574)</f>
        <v>G.900015.8.9090|2026|Q2|2026|Woningverkopen Q3</v>
      </c>
      <c r="T574" s="15">
        <f>IF(OR(S574="",D574&lt;&gt;"Vastgesteld"),"",_xlfn.MAXIFS($G$6:$G$5005,$S$6:$S$5005,S574,$D$6:$D$5005,"Vastgesteld"))</f>
        <v>0</v>
      </c>
      <c r="U574" s="15">
        <f>IF(T574="",0,IF(AND(G574=T574,COUNTIFS($S$6:S574,S574,$G$6:G574,G574,$D$6:D574,"Vastgesteld")=1),1,0))</f>
        <v>1</v>
      </c>
      <c r="V574" s="15">
        <f>IF(T574="",0,IF(AND(G574=T574,COUNTIFS($S$6:S574,S574,$G$6:G574,G574,$D$6:D574,"Vastgesteld")&gt;1),1,0))</f>
        <v>0</v>
      </c>
    </row>
    <row r="575">
      <c r="A575" s="92" t="inlineStr">
        <is>
          <t>HIST-2026-Q2</t>
        </is>
      </c>
      <c r="B575" s="92" t="inlineStr">
        <is>
          <t>RDFO_FICTIEVE_historie_en_mapping.xlsx</t>
        </is>
      </c>
      <c r="C575" s="108" t="n">
        <v>46324</v>
      </c>
      <c r="D575" s="92" t="inlineStr">
        <is>
          <t>Vastgesteld</t>
        </is>
      </c>
      <c r="E575" s="92" t="n">
        <v>2026</v>
      </c>
      <c r="F575" s="92" t="inlineStr">
        <is>
          <t>Q2</t>
        </is>
      </c>
      <c r="G575" s="92" t="n">
        <v>0</v>
      </c>
      <c r="H575" s="108" t="n">
        <v>46203</v>
      </c>
      <c r="I575" s="92" t="n">
        <v>2026</v>
      </c>
      <c r="J575" s="92" t="inlineStr">
        <is>
          <t>G.900015.8.9090</t>
        </is>
      </c>
      <c r="K575" s="92" t="inlineStr">
        <is>
          <t>G.900015</t>
        </is>
      </c>
      <c r="L575" s="92" t="inlineStr">
        <is>
          <t>Lindehaven, Parkzoom fase 2</t>
        </is>
      </c>
      <c r="M575" s="92" t="inlineStr">
        <is>
          <t>Opstal</t>
        </is>
      </c>
      <c r="N575" s="92" t="inlineStr">
        <is>
          <t>J</t>
        </is>
      </c>
      <c r="O575" s="92" t="inlineStr">
        <is>
          <t>Woningverkopen Q4</t>
        </is>
      </c>
      <c r="P575" s="109" t="n">
        <v>12</v>
      </c>
      <c r="Q575" s="92" t="inlineStr">
        <is>
          <t>aantal</t>
        </is>
      </c>
      <c r="R575" s="92" t="inlineStr">
        <is>
          <t>Synthetische snapshot; kwartalen zijn FY-verdeling, geen actuals</t>
        </is>
      </c>
      <c r="S575" s="15" t="str">
        <f>IF(J575="","",J575&amp;"|"&amp;E575&amp;"|"&amp;F575&amp;"|"&amp;I575&amp;"|"&amp;O575)</f>
        <v>G.900015.8.9090|2026|Q2|2026|Woningverkopen Q4</v>
      </c>
      <c r="T575" s="15">
        <f>IF(OR(S575="",D575&lt;&gt;"Vastgesteld"),"",_xlfn.MAXIFS($G$6:$G$5005,$S$6:$S$5005,S575,$D$6:$D$5005,"Vastgesteld"))</f>
        <v>0</v>
      </c>
      <c r="U575" s="15">
        <f>IF(T575="",0,IF(AND(G575=T575,COUNTIFS($S$6:S575,S575,$G$6:G575,G575,$D$6:D575,"Vastgesteld")=1),1,0))</f>
        <v>1</v>
      </c>
      <c r="V575" s="15">
        <f>IF(T575="",0,IF(AND(G575=T575,COUNTIFS($S$6:S575,S575,$G$6:G575,G575,$D$6:D575,"Vastgesteld")&gt;1),1,0))</f>
        <v>0</v>
      </c>
    </row>
    <row r="576">
      <c r="A576" s="92" t="inlineStr">
        <is>
          <t>HIST-2026-Q2</t>
        </is>
      </c>
      <c r="B576" s="92" t="inlineStr">
        <is>
          <t>RDFO_FICTIEVE_historie_en_mapping.xlsx</t>
        </is>
      </c>
      <c r="C576" s="108" t="n">
        <v>46324</v>
      </c>
      <c r="D576" s="92" t="inlineStr">
        <is>
          <t>Vastgesteld</t>
        </is>
      </c>
      <c r="E576" s="92" t="n">
        <v>2026</v>
      </c>
      <c r="F576" s="92" t="inlineStr">
        <is>
          <t>Q2</t>
        </is>
      </c>
      <c r="G576" s="92" t="n">
        <v>0</v>
      </c>
      <c r="H576" s="108" t="n">
        <v>46203</v>
      </c>
      <c r="I576" s="92" t="n">
        <v>2026</v>
      </c>
      <c r="J576" s="92" t="inlineStr">
        <is>
          <t>G.900016.8.9090</t>
        </is>
      </c>
      <c r="K576" s="92" t="inlineStr">
        <is>
          <t>G.900016</t>
        </is>
      </c>
      <c r="L576" s="92" t="inlineStr">
        <is>
          <t>Duinwaard, De Lantaarn</t>
        </is>
      </c>
      <c r="M576" s="92" t="inlineStr">
        <is>
          <t>Opstal</t>
        </is>
      </c>
      <c r="N576" s="92" t="inlineStr">
        <is>
          <t>J</t>
        </is>
      </c>
      <c r="O576" s="92" t="inlineStr">
        <is>
          <t>Woningverkopen FY</t>
        </is>
      </c>
      <c r="P576" s="109" t="n">
        <v>13</v>
      </c>
      <c r="Q576" s="92" t="inlineStr">
        <is>
          <t>aantal</t>
        </is>
      </c>
      <c r="R576" s="92" t="inlineStr">
        <is>
          <t>Synthetische snapshot; kwartalen zijn FY-verdeling, geen actuals</t>
        </is>
      </c>
      <c r="S576" s="15" t="str">
        <f>IF(J576="","",J576&amp;"|"&amp;E576&amp;"|"&amp;F576&amp;"|"&amp;I576&amp;"|"&amp;O576)</f>
        <v>G.900016.8.9090|2026|Q2|2026|Woningverkopen FY</v>
      </c>
      <c r="T576" s="15">
        <f>IF(OR(S576="",D576&lt;&gt;"Vastgesteld"),"",_xlfn.MAXIFS($G$6:$G$5005,$S$6:$S$5005,S576,$D$6:$D$5005,"Vastgesteld"))</f>
        <v>0</v>
      </c>
      <c r="U576" s="15">
        <f>IF(T576="",0,IF(AND(G576=T576,COUNTIFS($S$6:S576,S576,$G$6:G576,G576,$D$6:D576,"Vastgesteld")=1),1,0))</f>
        <v>1</v>
      </c>
      <c r="V576" s="15">
        <f>IF(T576="",0,IF(AND(G576=T576,COUNTIFS($S$6:S576,S576,$G$6:G576,G576,$D$6:D576,"Vastgesteld")&gt;1),1,0))</f>
        <v>0</v>
      </c>
    </row>
    <row r="577">
      <c r="A577" s="92" t="inlineStr">
        <is>
          <t>HIST-2026-Q2</t>
        </is>
      </c>
      <c r="B577" s="92" t="inlineStr">
        <is>
          <t>RDFO_FICTIEVE_historie_en_mapping.xlsx</t>
        </is>
      </c>
      <c r="C577" s="108" t="n">
        <v>46324</v>
      </c>
      <c r="D577" s="92" t="inlineStr">
        <is>
          <t>Vastgesteld</t>
        </is>
      </c>
      <c r="E577" s="92" t="n">
        <v>2026</v>
      </c>
      <c r="F577" s="92" t="inlineStr">
        <is>
          <t>Q2</t>
        </is>
      </c>
      <c r="G577" s="92" t="n">
        <v>0</v>
      </c>
      <c r="H577" s="108" t="n">
        <v>46203</v>
      </c>
      <c r="I577" s="92" t="n">
        <v>2026</v>
      </c>
      <c r="J577" s="92" t="inlineStr">
        <is>
          <t>G.900016.8.9090</t>
        </is>
      </c>
      <c r="K577" s="92" t="inlineStr">
        <is>
          <t>G.900016</t>
        </is>
      </c>
      <c r="L577" s="92" t="inlineStr">
        <is>
          <t>Duinwaard, De Lantaarn</t>
        </is>
      </c>
      <c r="M577" s="92" t="inlineStr">
        <is>
          <t>Opstal</t>
        </is>
      </c>
      <c r="N577" s="92" t="inlineStr">
        <is>
          <t>J</t>
        </is>
      </c>
      <c r="O577" s="92" t="inlineStr">
        <is>
          <t>Woningen verkocht t/m vorig jaar</t>
        </is>
      </c>
      <c r="P577" s="109" t="n">
        <v>0</v>
      </c>
      <c r="Q577" s="92" t="inlineStr">
        <is>
          <t>aantal</t>
        </is>
      </c>
      <c r="R577" s="92" t="inlineStr">
        <is>
          <t>Synthetische snapshot; kwartalen zijn FY-verdeling, geen actuals</t>
        </is>
      </c>
      <c r="S577" s="15" t="str">
        <f>IF(J577="","",J577&amp;"|"&amp;E577&amp;"|"&amp;F577&amp;"|"&amp;I577&amp;"|"&amp;O577)</f>
        <v>G.900016.8.9090|2026|Q2|2026|Woningen verkocht t/m vorig jaar</v>
      </c>
      <c r="T577" s="15">
        <f>IF(OR(S577="",D577&lt;&gt;"Vastgesteld"),"",_xlfn.MAXIFS($G$6:$G$5005,$S$6:$S$5005,S577,$D$6:$D$5005,"Vastgesteld"))</f>
        <v>0</v>
      </c>
      <c r="U577" s="15">
        <f>IF(T577="",0,IF(AND(G577=T577,COUNTIFS($S$6:S577,S577,$G$6:G577,G577,$D$6:D577,"Vastgesteld")=1),1,0))</f>
        <v>1</v>
      </c>
      <c r="V577" s="15">
        <f>IF(T577="",0,IF(AND(G577=T577,COUNTIFS($S$6:S577,S577,$G$6:G577,G577,$D$6:D577,"Vastgesteld")&gt;1),1,0))</f>
        <v>0</v>
      </c>
    </row>
    <row r="578">
      <c r="A578" s="92" t="inlineStr">
        <is>
          <t>HIST-2026-Q2</t>
        </is>
      </c>
      <c r="B578" s="92" t="inlineStr">
        <is>
          <t>RDFO_FICTIEVE_historie_en_mapping.xlsx</t>
        </is>
      </c>
      <c r="C578" s="108" t="n">
        <v>46324</v>
      </c>
      <c r="D578" s="92" t="inlineStr">
        <is>
          <t>Vastgesteld</t>
        </is>
      </c>
      <c r="E578" s="92" t="n">
        <v>2026</v>
      </c>
      <c r="F578" s="92" t="inlineStr">
        <is>
          <t>Q2</t>
        </is>
      </c>
      <c r="G578" s="92" t="n">
        <v>0</v>
      </c>
      <c r="H578" s="108" t="n">
        <v>46203</v>
      </c>
      <c r="I578" s="92" t="n">
        <v>2026</v>
      </c>
      <c r="J578" s="92" t="inlineStr">
        <is>
          <t>G.900016.8.9090</t>
        </is>
      </c>
      <c r="K578" s="92" t="inlineStr">
        <is>
          <t>G.900016</t>
        </is>
      </c>
      <c r="L578" s="92" t="inlineStr">
        <is>
          <t>Duinwaard, De Lantaarn</t>
        </is>
      </c>
      <c r="M578" s="92" t="inlineStr">
        <is>
          <t>Opstal</t>
        </is>
      </c>
      <c r="N578" s="92" t="inlineStr">
        <is>
          <t>J</t>
        </is>
      </c>
      <c r="O578" s="92" t="inlineStr">
        <is>
          <t>Woningverkopen Q1</t>
        </is>
      </c>
      <c r="P578" s="109" t="n">
        <v>2</v>
      </c>
      <c r="Q578" s="92" t="inlineStr">
        <is>
          <t>aantal</t>
        </is>
      </c>
      <c r="R578" s="92" t="inlineStr">
        <is>
          <t>Synthetische snapshot; kwartalen zijn FY-verdeling, geen actuals</t>
        </is>
      </c>
      <c r="S578" s="15" t="str">
        <f>IF(J578="","",J578&amp;"|"&amp;E578&amp;"|"&amp;F578&amp;"|"&amp;I578&amp;"|"&amp;O578)</f>
        <v>G.900016.8.9090|2026|Q2|2026|Woningverkopen Q1</v>
      </c>
      <c r="T578" s="15">
        <f>IF(OR(S578="",D578&lt;&gt;"Vastgesteld"),"",_xlfn.MAXIFS($G$6:$G$5005,$S$6:$S$5005,S578,$D$6:$D$5005,"Vastgesteld"))</f>
        <v>0</v>
      </c>
      <c r="U578" s="15">
        <f>IF(T578="",0,IF(AND(G578=T578,COUNTIFS($S$6:S578,S578,$G$6:G578,G578,$D$6:D578,"Vastgesteld")=1),1,0))</f>
        <v>1</v>
      </c>
      <c r="V578" s="15">
        <f>IF(T578="",0,IF(AND(G578=T578,COUNTIFS($S$6:S578,S578,$G$6:G578,G578,$D$6:D578,"Vastgesteld")&gt;1),1,0))</f>
        <v>0</v>
      </c>
    </row>
    <row r="579">
      <c r="A579" s="92" t="inlineStr">
        <is>
          <t>HIST-2026-Q2</t>
        </is>
      </c>
      <c r="B579" s="92" t="inlineStr">
        <is>
          <t>RDFO_FICTIEVE_historie_en_mapping.xlsx</t>
        </is>
      </c>
      <c r="C579" s="108" t="n">
        <v>46324</v>
      </c>
      <c r="D579" s="92" t="inlineStr">
        <is>
          <t>Vastgesteld</t>
        </is>
      </c>
      <c r="E579" s="92" t="n">
        <v>2026</v>
      </c>
      <c r="F579" s="92" t="inlineStr">
        <is>
          <t>Q2</t>
        </is>
      </c>
      <c r="G579" s="92" t="n">
        <v>0</v>
      </c>
      <c r="H579" s="108" t="n">
        <v>46203</v>
      </c>
      <c r="I579" s="92" t="n">
        <v>2026</v>
      </c>
      <c r="J579" s="92" t="inlineStr">
        <is>
          <t>G.900016.8.9090</t>
        </is>
      </c>
      <c r="K579" s="92" t="inlineStr">
        <is>
          <t>G.900016</t>
        </is>
      </c>
      <c r="L579" s="92" t="inlineStr">
        <is>
          <t>Duinwaard, De Lantaarn</t>
        </is>
      </c>
      <c r="M579" s="92" t="inlineStr">
        <is>
          <t>Opstal</t>
        </is>
      </c>
      <c r="N579" s="92" t="inlineStr">
        <is>
          <t>J</t>
        </is>
      </c>
      <c r="O579" s="92" t="inlineStr">
        <is>
          <t>Woningverkopen Q2</t>
        </is>
      </c>
      <c r="P579" s="109" t="n">
        <v>3</v>
      </c>
      <c r="Q579" s="92" t="inlineStr">
        <is>
          <t>aantal</t>
        </is>
      </c>
      <c r="R579" s="92" t="inlineStr">
        <is>
          <t>Synthetische snapshot; kwartalen zijn FY-verdeling, geen actuals</t>
        </is>
      </c>
      <c r="S579" s="15" t="str">
        <f>IF(J579="","",J579&amp;"|"&amp;E579&amp;"|"&amp;F579&amp;"|"&amp;I579&amp;"|"&amp;O579)</f>
        <v>G.900016.8.9090|2026|Q2|2026|Woningverkopen Q2</v>
      </c>
      <c r="T579" s="15">
        <f>IF(OR(S579="",D579&lt;&gt;"Vastgesteld"),"",_xlfn.MAXIFS($G$6:$G$5005,$S$6:$S$5005,S579,$D$6:$D$5005,"Vastgesteld"))</f>
        <v>0</v>
      </c>
      <c r="U579" s="15">
        <f>IF(T579="",0,IF(AND(G579=T579,COUNTIFS($S$6:S579,S579,$G$6:G579,G579,$D$6:D579,"Vastgesteld")=1),1,0))</f>
        <v>1</v>
      </c>
      <c r="V579" s="15">
        <f>IF(T579="",0,IF(AND(G579=T579,COUNTIFS($S$6:S579,S579,$G$6:G579,G579,$D$6:D579,"Vastgesteld")&gt;1),1,0))</f>
        <v>0</v>
      </c>
    </row>
    <row r="580">
      <c r="A580" s="92" t="inlineStr">
        <is>
          <t>HIST-2026-Q2</t>
        </is>
      </c>
      <c r="B580" s="92" t="inlineStr">
        <is>
          <t>RDFO_FICTIEVE_historie_en_mapping.xlsx</t>
        </is>
      </c>
      <c r="C580" s="108" t="n">
        <v>46324</v>
      </c>
      <c r="D580" s="92" t="inlineStr">
        <is>
          <t>Vastgesteld</t>
        </is>
      </c>
      <c r="E580" s="92" t="n">
        <v>2026</v>
      </c>
      <c r="F580" s="92" t="inlineStr">
        <is>
          <t>Q2</t>
        </is>
      </c>
      <c r="G580" s="92" t="n">
        <v>0</v>
      </c>
      <c r="H580" s="108" t="n">
        <v>46203</v>
      </c>
      <c r="I580" s="92" t="n">
        <v>2026</v>
      </c>
      <c r="J580" s="92" t="inlineStr">
        <is>
          <t>G.900016.8.9090</t>
        </is>
      </c>
      <c r="K580" s="92" t="inlineStr">
        <is>
          <t>G.900016</t>
        </is>
      </c>
      <c r="L580" s="92" t="inlineStr">
        <is>
          <t>Duinwaard, De Lantaarn</t>
        </is>
      </c>
      <c r="M580" s="92" t="inlineStr">
        <is>
          <t>Opstal</t>
        </is>
      </c>
      <c r="N580" s="92" t="inlineStr">
        <is>
          <t>J</t>
        </is>
      </c>
      <c r="O580" s="92" t="inlineStr">
        <is>
          <t>Woningverkopen Q3</t>
        </is>
      </c>
      <c r="P580" s="109" t="n">
        <v>3</v>
      </c>
      <c r="Q580" s="92" t="inlineStr">
        <is>
          <t>aantal</t>
        </is>
      </c>
      <c r="R580" s="92" t="inlineStr">
        <is>
          <t>Synthetische snapshot; kwartalen zijn FY-verdeling, geen actuals</t>
        </is>
      </c>
      <c r="S580" s="15" t="str">
        <f>IF(J580="","",J580&amp;"|"&amp;E580&amp;"|"&amp;F580&amp;"|"&amp;I580&amp;"|"&amp;O580)</f>
        <v>G.900016.8.9090|2026|Q2|2026|Woningverkopen Q3</v>
      </c>
      <c r="T580" s="15">
        <f>IF(OR(S580="",D580&lt;&gt;"Vastgesteld"),"",_xlfn.MAXIFS($G$6:$G$5005,$S$6:$S$5005,S580,$D$6:$D$5005,"Vastgesteld"))</f>
        <v>0</v>
      </c>
      <c r="U580" s="15">
        <f>IF(T580="",0,IF(AND(G580=T580,COUNTIFS($S$6:S580,S580,$G$6:G580,G580,$D$6:D580,"Vastgesteld")=1),1,0))</f>
        <v>1</v>
      </c>
      <c r="V580" s="15">
        <f>IF(T580="",0,IF(AND(G580=T580,COUNTIFS($S$6:S580,S580,$G$6:G580,G580,$D$6:D580,"Vastgesteld")&gt;1),1,0))</f>
        <v>0</v>
      </c>
    </row>
    <row r="581">
      <c r="A581" s="92" t="inlineStr">
        <is>
          <t>HIST-2026-Q2</t>
        </is>
      </c>
      <c r="B581" s="92" t="inlineStr">
        <is>
          <t>RDFO_FICTIEVE_historie_en_mapping.xlsx</t>
        </is>
      </c>
      <c r="C581" s="108" t="n">
        <v>46324</v>
      </c>
      <c r="D581" s="92" t="inlineStr">
        <is>
          <t>Vastgesteld</t>
        </is>
      </c>
      <c r="E581" s="92" t="n">
        <v>2026</v>
      </c>
      <c r="F581" s="92" t="inlineStr">
        <is>
          <t>Q2</t>
        </is>
      </c>
      <c r="G581" s="92" t="n">
        <v>0</v>
      </c>
      <c r="H581" s="108" t="n">
        <v>46203</v>
      </c>
      <c r="I581" s="92" t="n">
        <v>2026</v>
      </c>
      <c r="J581" s="92" t="inlineStr">
        <is>
          <t>G.900016.8.9090</t>
        </is>
      </c>
      <c r="K581" s="92" t="inlineStr">
        <is>
          <t>G.900016</t>
        </is>
      </c>
      <c r="L581" s="92" t="inlineStr">
        <is>
          <t>Duinwaard, De Lantaarn</t>
        </is>
      </c>
      <c r="M581" s="92" t="inlineStr">
        <is>
          <t>Opstal</t>
        </is>
      </c>
      <c r="N581" s="92" t="inlineStr">
        <is>
          <t>J</t>
        </is>
      </c>
      <c r="O581" s="92" t="inlineStr">
        <is>
          <t>Woningverkopen Q4</t>
        </is>
      </c>
      <c r="P581" s="109" t="n">
        <v>5</v>
      </c>
      <c r="Q581" s="92" t="inlineStr">
        <is>
          <t>aantal</t>
        </is>
      </c>
      <c r="R581" s="92" t="inlineStr">
        <is>
          <t>Synthetische snapshot; kwartalen zijn FY-verdeling, geen actuals</t>
        </is>
      </c>
      <c r="S581" s="15" t="str">
        <f>IF(J581="","",J581&amp;"|"&amp;E581&amp;"|"&amp;F581&amp;"|"&amp;I581&amp;"|"&amp;O581)</f>
        <v>G.900016.8.9090|2026|Q2|2026|Woningverkopen Q4</v>
      </c>
      <c r="T581" s="15">
        <f>IF(OR(S581="",D581&lt;&gt;"Vastgesteld"),"",_xlfn.MAXIFS($G$6:$G$5005,$S$6:$S$5005,S581,$D$6:$D$5005,"Vastgesteld"))</f>
        <v>0</v>
      </c>
      <c r="U581" s="15">
        <f>IF(T581="",0,IF(AND(G581=T581,COUNTIFS($S$6:S581,S581,$G$6:G581,G581,$D$6:D581,"Vastgesteld")=1),1,0))</f>
        <v>1</v>
      </c>
      <c r="V581" s="15">
        <f>IF(T581="",0,IF(AND(G581=T581,COUNTIFS($S$6:S581,S581,$G$6:G581,G581,$D$6:D581,"Vastgesteld")&gt;1),1,0))</f>
        <v>0</v>
      </c>
    </row>
    <row r="582">
      <c r="A582" s="92" t="inlineStr">
        <is>
          <t>HIST-2026-Q2</t>
        </is>
      </c>
      <c r="B582" s="92" t="inlineStr">
        <is>
          <t>RDFO_FICTIEVE_historie_en_mapping.xlsx</t>
        </is>
      </c>
      <c r="C582" s="108" t="n">
        <v>46324</v>
      </c>
      <c r="D582" s="92" t="inlineStr">
        <is>
          <t>Vastgesteld</t>
        </is>
      </c>
      <c r="E582" s="92" t="n">
        <v>2026</v>
      </c>
      <c r="F582" s="92" t="inlineStr">
        <is>
          <t>Q2</t>
        </is>
      </c>
      <c r="G582" s="92" t="n">
        <v>0</v>
      </c>
      <c r="H582" s="108" t="n">
        <v>46203</v>
      </c>
      <c r="I582" s="92" t="n">
        <v>2026</v>
      </c>
      <c r="J582" s="92" t="inlineStr">
        <is>
          <t>G.900017.8.9090</t>
        </is>
      </c>
      <c r="K582" s="92" t="inlineStr">
        <is>
          <t>G.900017</t>
        </is>
      </c>
      <c r="L582" s="92" t="inlineStr">
        <is>
          <t>Veldendam, Spoorpark</t>
        </is>
      </c>
      <c r="M582" s="92" t="inlineStr">
        <is>
          <t>Opstal</t>
        </is>
      </c>
      <c r="N582" s="92" t="inlineStr">
        <is>
          <t>J</t>
        </is>
      </c>
      <c r="O582" s="92" t="inlineStr">
        <is>
          <t>Woningverkopen FY</t>
        </is>
      </c>
      <c r="P582" s="109" t="n">
        <v>27</v>
      </c>
      <c r="Q582" s="92" t="inlineStr">
        <is>
          <t>aantal</t>
        </is>
      </c>
      <c r="R582" s="92" t="inlineStr">
        <is>
          <t>Synthetische snapshot; kwartalen zijn FY-verdeling, geen actuals</t>
        </is>
      </c>
      <c r="S582" s="15" t="str">
        <f>IF(J582="","",J582&amp;"|"&amp;E582&amp;"|"&amp;F582&amp;"|"&amp;I582&amp;"|"&amp;O582)</f>
        <v>G.900017.8.9090|2026|Q2|2026|Woningverkopen FY</v>
      </c>
      <c r="T582" s="15">
        <f>IF(OR(S582="",D582&lt;&gt;"Vastgesteld"),"",_xlfn.MAXIFS($G$6:$G$5005,$S$6:$S$5005,S582,$D$6:$D$5005,"Vastgesteld"))</f>
        <v>0</v>
      </c>
      <c r="U582" s="15">
        <f>IF(T582="",0,IF(AND(G582=T582,COUNTIFS($S$6:S582,S582,$G$6:G582,G582,$D$6:D582,"Vastgesteld")=1),1,0))</f>
        <v>1</v>
      </c>
      <c r="V582" s="15">
        <f>IF(T582="",0,IF(AND(G582=T582,COUNTIFS($S$6:S582,S582,$G$6:G582,G582,$D$6:D582,"Vastgesteld")&gt;1),1,0))</f>
        <v>0</v>
      </c>
    </row>
    <row r="583">
      <c r="A583" s="92" t="inlineStr">
        <is>
          <t>HIST-2026-Q2</t>
        </is>
      </c>
      <c r="B583" s="92" t="inlineStr">
        <is>
          <t>RDFO_FICTIEVE_historie_en_mapping.xlsx</t>
        </is>
      </c>
      <c r="C583" s="108" t="n">
        <v>46324</v>
      </c>
      <c r="D583" s="92" t="inlineStr">
        <is>
          <t>Vastgesteld</t>
        </is>
      </c>
      <c r="E583" s="92" t="n">
        <v>2026</v>
      </c>
      <c r="F583" s="92" t="inlineStr">
        <is>
          <t>Q2</t>
        </is>
      </c>
      <c r="G583" s="92" t="n">
        <v>0</v>
      </c>
      <c r="H583" s="108" t="n">
        <v>46203</v>
      </c>
      <c r="I583" s="92" t="n">
        <v>2026</v>
      </c>
      <c r="J583" s="92" t="inlineStr">
        <is>
          <t>G.900017.8.9090</t>
        </is>
      </c>
      <c r="K583" s="92" t="inlineStr">
        <is>
          <t>G.900017</t>
        </is>
      </c>
      <c r="L583" s="92" t="inlineStr">
        <is>
          <t>Veldendam, Spoorpark</t>
        </is>
      </c>
      <c r="M583" s="92" t="inlineStr">
        <is>
          <t>Opstal</t>
        </is>
      </c>
      <c r="N583" s="92" t="inlineStr">
        <is>
          <t>J</t>
        </is>
      </c>
      <c r="O583" s="92" t="inlineStr">
        <is>
          <t>Woningen verkocht t/m vorig jaar</t>
        </is>
      </c>
      <c r="P583" s="109" t="n">
        <v>0</v>
      </c>
      <c r="Q583" s="92" t="inlineStr">
        <is>
          <t>aantal</t>
        </is>
      </c>
      <c r="R583" s="92" t="inlineStr">
        <is>
          <t>Synthetische snapshot; kwartalen zijn FY-verdeling, geen actuals</t>
        </is>
      </c>
      <c r="S583" s="15" t="str">
        <f>IF(J583="","",J583&amp;"|"&amp;E583&amp;"|"&amp;F583&amp;"|"&amp;I583&amp;"|"&amp;O583)</f>
        <v>G.900017.8.9090|2026|Q2|2026|Woningen verkocht t/m vorig jaar</v>
      </c>
      <c r="T583" s="15">
        <f>IF(OR(S583="",D583&lt;&gt;"Vastgesteld"),"",_xlfn.MAXIFS($G$6:$G$5005,$S$6:$S$5005,S583,$D$6:$D$5005,"Vastgesteld"))</f>
        <v>0</v>
      </c>
      <c r="U583" s="15">
        <f>IF(T583="",0,IF(AND(G583=T583,COUNTIFS($S$6:S583,S583,$G$6:G583,G583,$D$6:D583,"Vastgesteld")=1),1,0))</f>
        <v>1</v>
      </c>
      <c r="V583" s="15">
        <f>IF(T583="",0,IF(AND(G583=T583,COUNTIFS($S$6:S583,S583,$G$6:G583,G583,$D$6:D583,"Vastgesteld")&gt;1),1,0))</f>
        <v>0</v>
      </c>
    </row>
    <row r="584">
      <c r="A584" s="92" t="inlineStr">
        <is>
          <t>HIST-2026-Q2</t>
        </is>
      </c>
      <c r="B584" s="92" t="inlineStr">
        <is>
          <t>RDFO_FICTIEVE_historie_en_mapping.xlsx</t>
        </is>
      </c>
      <c r="C584" s="108" t="n">
        <v>46324</v>
      </c>
      <c r="D584" s="92" t="inlineStr">
        <is>
          <t>Vastgesteld</t>
        </is>
      </c>
      <c r="E584" s="92" t="n">
        <v>2026</v>
      </c>
      <c r="F584" s="92" t="inlineStr">
        <is>
          <t>Q2</t>
        </is>
      </c>
      <c r="G584" s="92" t="n">
        <v>0</v>
      </c>
      <c r="H584" s="108" t="n">
        <v>46203</v>
      </c>
      <c r="I584" s="92" t="n">
        <v>2026</v>
      </c>
      <c r="J584" s="92" t="inlineStr">
        <is>
          <t>G.900017.8.9090</t>
        </is>
      </c>
      <c r="K584" s="92" t="inlineStr">
        <is>
          <t>G.900017</t>
        </is>
      </c>
      <c r="L584" s="92" t="inlineStr">
        <is>
          <t>Veldendam, Spoorpark</t>
        </is>
      </c>
      <c r="M584" s="92" t="inlineStr">
        <is>
          <t>Opstal</t>
        </is>
      </c>
      <c r="N584" s="92" t="inlineStr">
        <is>
          <t>J</t>
        </is>
      </c>
      <c r="O584" s="92" t="inlineStr">
        <is>
          <t>Woningverkopen Q1</t>
        </is>
      </c>
      <c r="P584" s="109" t="n">
        <v>5</v>
      </c>
      <c r="Q584" s="92" t="inlineStr">
        <is>
          <t>aantal</t>
        </is>
      </c>
      <c r="R584" s="92" t="inlineStr">
        <is>
          <t>Synthetische snapshot; kwartalen zijn FY-verdeling, geen actuals</t>
        </is>
      </c>
      <c r="S584" s="15" t="str">
        <f>IF(J584="","",J584&amp;"|"&amp;E584&amp;"|"&amp;F584&amp;"|"&amp;I584&amp;"|"&amp;O584)</f>
        <v>G.900017.8.9090|2026|Q2|2026|Woningverkopen Q1</v>
      </c>
      <c r="T584" s="15">
        <f>IF(OR(S584="",D584&lt;&gt;"Vastgesteld"),"",_xlfn.MAXIFS($G$6:$G$5005,$S$6:$S$5005,S584,$D$6:$D$5005,"Vastgesteld"))</f>
        <v>0</v>
      </c>
      <c r="U584" s="15">
        <f>IF(T584="",0,IF(AND(G584=T584,COUNTIFS($S$6:S584,S584,$G$6:G584,G584,$D$6:D584,"Vastgesteld")=1),1,0))</f>
        <v>1</v>
      </c>
      <c r="V584" s="15">
        <f>IF(T584="",0,IF(AND(G584=T584,COUNTIFS($S$6:S584,S584,$G$6:G584,G584,$D$6:D584,"Vastgesteld")&gt;1),1,0))</f>
        <v>0</v>
      </c>
    </row>
    <row r="585">
      <c r="A585" s="92" t="inlineStr">
        <is>
          <t>HIST-2026-Q2</t>
        </is>
      </c>
      <c r="B585" s="92" t="inlineStr">
        <is>
          <t>RDFO_FICTIEVE_historie_en_mapping.xlsx</t>
        </is>
      </c>
      <c r="C585" s="108" t="n">
        <v>46324</v>
      </c>
      <c r="D585" s="92" t="inlineStr">
        <is>
          <t>Vastgesteld</t>
        </is>
      </c>
      <c r="E585" s="92" t="n">
        <v>2026</v>
      </c>
      <c r="F585" s="92" t="inlineStr">
        <is>
          <t>Q2</t>
        </is>
      </c>
      <c r="G585" s="92" t="n">
        <v>0</v>
      </c>
      <c r="H585" s="108" t="n">
        <v>46203</v>
      </c>
      <c r="I585" s="92" t="n">
        <v>2026</v>
      </c>
      <c r="J585" s="92" t="inlineStr">
        <is>
          <t>G.900017.8.9090</t>
        </is>
      </c>
      <c r="K585" s="92" t="inlineStr">
        <is>
          <t>G.900017</t>
        </is>
      </c>
      <c r="L585" s="92" t="inlineStr">
        <is>
          <t>Veldendam, Spoorpark</t>
        </is>
      </c>
      <c r="M585" s="92" t="inlineStr">
        <is>
          <t>Opstal</t>
        </is>
      </c>
      <c r="N585" s="92" t="inlineStr">
        <is>
          <t>J</t>
        </is>
      </c>
      <c r="O585" s="92" t="inlineStr">
        <is>
          <t>Woningverkopen Q2</t>
        </is>
      </c>
      <c r="P585" s="109" t="n">
        <v>6</v>
      </c>
      <c r="Q585" s="92" t="inlineStr">
        <is>
          <t>aantal</t>
        </is>
      </c>
      <c r="R585" s="92" t="inlineStr">
        <is>
          <t>Synthetische snapshot; kwartalen zijn FY-verdeling, geen actuals</t>
        </is>
      </c>
      <c r="S585" s="15" t="str">
        <f>IF(J585="","",J585&amp;"|"&amp;E585&amp;"|"&amp;F585&amp;"|"&amp;I585&amp;"|"&amp;O585)</f>
        <v>G.900017.8.9090|2026|Q2|2026|Woningverkopen Q2</v>
      </c>
      <c r="T585" s="15">
        <f>IF(OR(S585="",D585&lt;&gt;"Vastgesteld"),"",_xlfn.MAXIFS($G$6:$G$5005,$S$6:$S$5005,S585,$D$6:$D$5005,"Vastgesteld"))</f>
        <v>0</v>
      </c>
      <c r="U585" s="15">
        <f>IF(T585="",0,IF(AND(G585=T585,COUNTIFS($S$6:S585,S585,$G$6:G585,G585,$D$6:D585,"Vastgesteld")=1),1,0))</f>
        <v>1</v>
      </c>
      <c r="V585" s="15">
        <f>IF(T585="",0,IF(AND(G585=T585,COUNTIFS($S$6:S585,S585,$G$6:G585,G585,$D$6:D585,"Vastgesteld")&gt;1),1,0))</f>
        <v>0</v>
      </c>
    </row>
    <row r="586">
      <c r="A586" s="92" t="inlineStr">
        <is>
          <t>HIST-2026-Q2</t>
        </is>
      </c>
      <c r="B586" s="92" t="inlineStr">
        <is>
          <t>RDFO_FICTIEVE_historie_en_mapping.xlsx</t>
        </is>
      </c>
      <c r="C586" s="108" t="n">
        <v>46324</v>
      </c>
      <c r="D586" s="92" t="inlineStr">
        <is>
          <t>Vastgesteld</t>
        </is>
      </c>
      <c r="E586" s="92" t="n">
        <v>2026</v>
      </c>
      <c r="F586" s="92" t="inlineStr">
        <is>
          <t>Q2</t>
        </is>
      </c>
      <c r="G586" s="92" t="n">
        <v>0</v>
      </c>
      <c r="H586" s="108" t="n">
        <v>46203</v>
      </c>
      <c r="I586" s="92" t="n">
        <v>2026</v>
      </c>
      <c r="J586" s="92" t="inlineStr">
        <is>
          <t>G.900017.8.9090</t>
        </is>
      </c>
      <c r="K586" s="92" t="inlineStr">
        <is>
          <t>G.900017</t>
        </is>
      </c>
      <c r="L586" s="92" t="inlineStr">
        <is>
          <t>Veldendam, Spoorpark</t>
        </is>
      </c>
      <c r="M586" s="92" t="inlineStr">
        <is>
          <t>Opstal</t>
        </is>
      </c>
      <c r="N586" s="92" t="inlineStr">
        <is>
          <t>J</t>
        </is>
      </c>
      <c r="O586" s="92" t="inlineStr">
        <is>
          <t>Woningverkopen Q3</t>
        </is>
      </c>
      <c r="P586" s="109" t="n">
        <v>6</v>
      </c>
      <c r="Q586" s="92" t="inlineStr">
        <is>
          <t>aantal</t>
        </is>
      </c>
      <c r="R586" s="92" t="inlineStr">
        <is>
          <t>Synthetische snapshot; kwartalen zijn FY-verdeling, geen actuals</t>
        </is>
      </c>
      <c r="S586" s="15" t="str">
        <f>IF(J586="","",J586&amp;"|"&amp;E586&amp;"|"&amp;F586&amp;"|"&amp;I586&amp;"|"&amp;O586)</f>
        <v>G.900017.8.9090|2026|Q2|2026|Woningverkopen Q3</v>
      </c>
      <c r="T586" s="15">
        <f>IF(OR(S586="",D586&lt;&gt;"Vastgesteld"),"",_xlfn.MAXIFS($G$6:$G$5005,$S$6:$S$5005,S586,$D$6:$D$5005,"Vastgesteld"))</f>
        <v>0</v>
      </c>
      <c r="U586" s="15">
        <f>IF(T586="",0,IF(AND(G586=T586,COUNTIFS($S$6:S586,S586,$G$6:G586,G586,$D$6:D586,"Vastgesteld")=1),1,0))</f>
        <v>1</v>
      </c>
      <c r="V586" s="15">
        <f>IF(T586="",0,IF(AND(G586=T586,COUNTIFS($S$6:S586,S586,$G$6:G586,G586,$D$6:D586,"Vastgesteld")&gt;1),1,0))</f>
        <v>0</v>
      </c>
    </row>
    <row r="587">
      <c r="A587" s="92" t="inlineStr">
        <is>
          <t>HIST-2026-Q2</t>
        </is>
      </c>
      <c r="B587" s="92" t="inlineStr">
        <is>
          <t>RDFO_FICTIEVE_historie_en_mapping.xlsx</t>
        </is>
      </c>
      <c r="C587" s="108" t="n">
        <v>46324</v>
      </c>
      <c r="D587" s="92" t="inlineStr">
        <is>
          <t>Vastgesteld</t>
        </is>
      </c>
      <c r="E587" s="92" t="n">
        <v>2026</v>
      </c>
      <c r="F587" s="92" t="inlineStr">
        <is>
          <t>Q2</t>
        </is>
      </c>
      <c r="G587" s="92" t="n">
        <v>0</v>
      </c>
      <c r="H587" s="108" t="n">
        <v>46203</v>
      </c>
      <c r="I587" s="92" t="n">
        <v>2026</v>
      </c>
      <c r="J587" s="92" t="inlineStr">
        <is>
          <t>G.900017.8.9090</t>
        </is>
      </c>
      <c r="K587" s="92" t="inlineStr">
        <is>
          <t>G.900017</t>
        </is>
      </c>
      <c r="L587" s="92" t="inlineStr">
        <is>
          <t>Veldendam, Spoorpark</t>
        </is>
      </c>
      <c r="M587" s="92" t="inlineStr">
        <is>
          <t>Opstal</t>
        </is>
      </c>
      <c r="N587" s="92" t="inlineStr">
        <is>
          <t>J</t>
        </is>
      </c>
      <c r="O587" s="92" t="inlineStr">
        <is>
          <t>Woningverkopen Q4</t>
        </is>
      </c>
      <c r="P587" s="109" t="n">
        <v>10</v>
      </c>
      <c r="Q587" s="92" t="inlineStr">
        <is>
          <t>aantal</t>
        </is>
      </c>
      <c r="R587" s="92" t="inlineStr">
        <is>
          <t>Synthetische snapshot; kwartalen zijn FY-verdeling, geen actuals</t>
        </is>
      </c>
      <c r="S587" s="15" t="str">
        <f>IF(J587="","",J587&amp;"|"&amp;E587&amp;"|"&amp;F587&amp;"|"&amp;I587&amp;"|"&amp;O587)</f>
        <v>G.900017.8.9090|2026|Q2|2026|Woningverkopen Q4</v>
      </c>
      <c r="T587" s="15">
        <f>IF(OR(S587="",D587&lt;&gt;"Vastgesteld"),"",_xlfn.MAXIFS($G$6:$G$5005,$S$6:$S$5005,S587,$D$6:$D$5005,"Vastgesteld"))</f>
        <v>0</v>
      </c>
      <c r="U587" s="15">
        <f>IF(T587="",0,IF(AND(G587=T587,COUNTIFS($S$6:S587,S587,$G$6:G587,G587,$D$6:D587,"Vastgesteld")=1),1,0))</f>
        <v>1</v>
      </c>
      <c r="V587" s="15">
        <f>IF(T587="",0,IF(AND(G587=T587,COUNTIFS($S$6:S587,S587,$G$6:G587,G587,$D$6:D587,"Vastgesteld")&gt;1),1,0))</f>
        <v>0</v>
      </c>
    </row>
    <row r="588">
      <c r="A588" s="92" t="inlineStr">
        <is>
          <t>HIST-2026-Q2</t>
        </is>
      </c>
      <c r="B588" s="92" t="inlineStr">
        <is>
          <t>RDFO_FICTIEVE_historie_en_mapping.xlsx</t>
        </is>
      </c>
      <c r="C588" s="108" t="n">
        <v>46324</v>
      </c>
      <c r="D588" s="92" t="inlineStr">
        <is>
          <t>Vastgesteld</t>
        </is>
      </c>
      <c r="E588" s="92" t="n">
        <v>2026</v>
      </c>
      <c r="F588" s="92" t="inlineStr">
        <is>
          <t>Q2</t>
        </is>
      </c>
      <c r="G588" s="92" t="n">
        <v>0</v>
      </c>
      <c r="H588" s="108" t="n">
        <v>46203</v>
      </c>
      <c r="I588" s="92" t="n">
        <v>2026</v>
      </c>
      <c r="J588" s="92" t="inlineStr">
        <is>
          <t>G.900018.8.9090</t>
        </is>
      </c>
      <c r="K588" s="92" t="inlineStr">
        <is>
          <t>G.900018</t>
        </is>
      </c>
      <c r="L588" s="92" t="inlineStr">
        <is>
          <t>Meerhovenstad, De Boog</t>
        </is>
      </c>
      <c r="M588" s="92" t="inlineStr">
        <is>
          <t>Deelneming</t>
        </is>
      </c>
      <c r="N588" s="92" t="inlineStr">
        <is>
          <t>N</t>
        </is>
      </c>
      <c r="O588" s="92" t="inlineStr">
        <is>
          <t>Woningverkopen FY</t>
        </is>
      </c>
      <c r="P588" s="109" t="n">
        <v>19</v>
      </c>
      <c r="Q588" s="92" t="inlineStr">
        <is>
          <t>aantal</t>
        </is>
      </c>
      <c r="R588" s="92" t="inlineStr">
        <is>
          <t>Synthetische snapshot; kwartalen zijn FY-verdeling, geen actuals</t>
        </is>
      </c>
      <c r="S588" s="15" t="str">
        <f>IF(J588="","",J588&amp;"|"&amp;E588&amp;"|"&amp;F588&amp;"|"&amp;I588&amp;"|"&amp;O588)</f>
        <v>G.900018.8.9090|2026|Q2|2026|Woningverkopen FY</v>
      </c>
      <c r="T588" s="15">
        <f>IF(OR(S588="",D588&lt;&gt;"Vastgesteld"),"",_xlfn.MAXIFS($G$6:$G$5005,$S$6:$S$5005,S588,$D$6:$D$5005,"Vastgesteld"))</f>
        <v>0</v>
      </c>
      <c r="U588" s="15">
        <f>IF(T588="",0,IF(AND(G588=T588,COUNTIFS($S$6:S588,S588,$G$6:G588,G588,$D$6:D588,"Vastgesteld")=1),1,0))</f>
        <v>1</v>
      </c>
      <c r="V588" s="15">
        <f>IF(T588="",0,IF(AND(G588=T588,COUNTIFS($S$6:S588,S588,$G$6:G588,G588,$D$6:D588,"Vastgesteld")&gt;1),1,0))</f>
        <v>0</v>
      </c>
    </row>
    <row r="589">
      <c r="A589" s="92" t="inlineStr">
        <is>
          <t>HIST-2026-Q2</t>
        </is>
      </c>
      <c r="B589" s="92" t="inlineStr">
        <is>
          <t>RDFO_FICTIEVE_historie_en_mapping.xlsx</t>
        </is>
      </c>
      <c r="C589" s="108" t="n">
        <v>46324</v>
      </c>
      <c r="D589" s="92" t="inlineStr">
        <is>
          <t>Vastgesteld</t>
        </is>
      </c>
      <c r="E589" s="92" t="n">
        <v>2026</v>
      </c>
      <c r="F589" s="92" t="inlineStr">
        <is>
          <t>Q2</t>
        </is>
      </c>
      <c r="G589" s="92" t="n">
        <v>0</v>
      </c>
      <c r="H589" s="108" t="n">
        <v>46203</v>
      </c>
      <c r="I589" s="92" t="n">
        <v>2026</v>
      </c>
      <c r="J589" s="92" t="inlineStr">
        <is>
          <t>G.900018.8.9090</t>
        </is>
      </c>
      <c r="K589" s="92" t="inlineStr">
        <is>
          <t>G.900018</t>
        </is>
      </c>
      <c r="L589" s="92" t="inlineStr">
        <is>
          <t>Meerhovenstad, De Boog</t>
        </is>
      </c>
      <c r="M589" s="92" t="inlineStr">
        <is>
          <t>Deelneming</t>
        </is>
      </c>
      <c r="N589" s="92" t="inlineStr">
        <is>
          <t>N</t>
        </is>
      </c>
      <c r="O589" s="92" t="inlineStr">
        <is>
          <t>Woningen verkocht t/m vorig jaar</t>
        </is>
      </c>
      <c r="P589" s="109" t="n">
        <v>0</v>
      </c>
      <c r="Q589" s="92" t="inlineStr">
        <is>
          <t>aantal</t>
        </is>
      </c>
      <c r="R589" s="92" t="inlineStr">
        <is>
          <t>Synthetische snapshot; kwartalen zijn FY-verdeling, geen actuals</t>
        </is>
      </c>
      <c r="S589" s="15" t="str">
        <f>IF(J589="","",J589&amp;"|"&amp;E589&amp;"|"&amp;F589&amp;"|"&amp;I589&amp;"|"&amp;O589)</f>
        <v>G.900018.8.9090|2026|Q2|2026|Woningen verkocht t/m vorig jaar</v>
      </c>
      <c r="T589" s="15">
        <f>IF(OR(S589="",D589&lt;&gt;"Vastgesteld"),"",_xlfn.MAXIFS($G$6:$G$5005,$S$6:$S$5005,S589,$D$6:$D$5005,"Vastgesteld"))</f>
        <v>0</v>
      </c>
      <c r="U589" s="15">
        <f>IF(T589="",0,IF(AND(G589=T589,COUNTIFS($S$6:S589,S589,$G$6:G589,G589,$D$6:D589,"Vastgesteld")=1),1,0))</f>
        <v>1</v>
      </c>
      <c r="V589" s="15">
        <f>IF(T589="",0,IF(AND(G589=T589,COUNTIFS($S$6:S589,S589,$G$6:G589,G589,$D$6:D589,"Vastgesteld")&gt;1),1,0))</f>
        <v>0</v>
      </c>
    </row>
    <row r="590">
      <c r="A590" s="92" t="inlineStr">
        <is>
          <t>HIST-2026-Q2</t>
        </is>
      </c>
      <c r="B590" s="92" t="inlineStr">
        <is>
          <t>RDFO_FICTIEVE_historie_en_mapping.xlsx</t>
        </is>
      </c>
      <c r="C590" s="108" t="n">
        <v>46324</v>
      </c>
      <c r="D590" s="92" t="inlineStr">
        <is>
          <t>Vastgesteld</t>
        </is>
      </c>
      <c r="E590" s="92" t="n">
        <v>2026</v>
      </c>
      <c r="F590" s="92" t="inlineStr">
        <is>
          <t>Q2</t>
        </is>
      </c>
      <c r="G590" s="92" t="n">
        <v>0</v>
      </c>
      <c r="H590" s="108" t="n">
        <v>46203</v>
      </c>
      <c r="I590" s="92" t="n">
        <v>2026</v>
      </c>
      <c r="J590" s="92" t="inlineStr">
        <is>
          <t>G.900018.8.9090</t>
        </is>
      </c>
      <c r="K590" s="92" t="inlineStr">
        <is>
          <t>G.900018</t>
        </is>
      </c>
      <c r="L590" s="92" t="inlineStr">
        <is>
          <t>Meerhovenstad, De Boog</t>
        </is>
      </c>
      <c r="M590" s="92" t="inlineStr">
        <is>
          <t>Deelneming</t>
        </is>
      </c>
      <c r="N590" s="92" t="inlineStr">
        <is>
          <t>N</t>
        </is>
      </c>
      <c r="O590" s="92" t="inlineStr">
        <is>
          <t>Woningverkopen Q1</t>
        </is>
      </c>
      <c r="P590" s="109" t="n">
        <v>3</v>
      </c>
      <c r="Q590" s="92" t="inlineStr">
        <is>
          <t>aantal</t>
        </is>
      </c>
      <c r="R590" s="92" t="inlineStr">
        <is>
          <t>Synthetische snapshot; kwartalen zijn FY-verdeling, geen actuals</t>
        </is>
      </c>
      <c r="S590" s="15" t="str">
        <f>IF(J590="","",J590&amp;"|"&amp;E590&amp;"|"&amp;F590&amp;"|"&amp;I590&amp;"|"&amp;O590)</f>
        <v>G.900018.8.9090|2026|Q2|2026|Woningverkopen Q1</v>
      </c>
      <c r="T590" s="15">
        <f>IF(OR(S590="",D590&lt;&gt;"Vastgesteld"),"",_xlfn.MAXIFS($G$6:$G$5005,$S$6:$S$5005,S590,$D$6:$D$5005,"Vastgesteld"))</f>
        <v>0</v>
      </c>
      <c r="U590" s="15">
        <f>IF(T590="",0,IF(AND(G590=T590,COUNTIFS($S$6:S590,S590,$G$6:G590,G590,$D$6:D590,"Vastgesteld")=1),1,0))</f>
        <v>1</v>
      </c>
      <c r="V590" s="15">
        <f>IF(T590="",0,IF(AND(G590=T590,COUNTIFS($S$6:S590,S590,$G$6:G590,G590,$D$6:D590,"Vastgesteld")&gt;1),1,0))</f>
        <v>0</v>
      </c>
    </row>
    <row r="591">
      <c r="A591" s="92" t="inlineStr">
        <is>
          <t>HIST-2026-Q2</t>
        </is>
      </c>
      <c r="B591" s="92" t="inlineStr">
        <is>
          <t>RDFO_FICTIEVE_historie_en_mapping.xlsx</t>
        </is>
      </c>
      <c r="C591" s="108" t="n">
        <v>46324</v>
      </c>
      <c r="D591" s="92" t="inlineStr">
        <is>
          <t>Vastgesteld</t>
        </is>
      </c>
      <c r="E591" s="92" t="n">
        <v>2026</v>
      </c>
      <c r="F591" s="92" t="inlineStr">
        <is>
          <t>Q2</t>
        </is>
      </c>
      <c r="G591" s="92" t="n">
        <v>0</v>
      </c>
      <c r="H591" s="108" t="n">
        <v>46203</v>
      </c>
      <c r="I591" s="92" t="n">
        <v>2026</v>
      </c>
      <c r="J591" s="92" t="inlineStr">
        <is>
          <t>G.900018.8.9090</t>
        </is>
      </c>
      <c r="K591" s="92" t="inlineStr">
        <is>
          <t>G.900018</t>
        </is>
      </c>
      <c r="L591" s="92" t="inlineStr">
        <is>
          <t>Meerhovenstad, De Boog</t>
        </is>
      </c>
      <c r="M591" s="92" t="inlineStr">
        <is>
          <t>Deelneming</t>
        </is>
      </c>
      <c r="N591" s="92" t="inlineStr">
        <is>
          <t>N</t>
        </is>
      </c>
      <c r="O591" s="92" t="inlineStr">
        <is>
          <t>Woningverkopen Q2</t>
        </is>
      </c>
      <c r="P591" s="109" t="n">
        <v>4</v>
      </c>
      <c r="Q591" s="92" t="inlineStr">
        <is>
          <t>aantal</t>
        </is>
      </c>
      <c r="R591" s="92" t="inlineStr">
        <is>
          <t>Synthetische snapshot; kwartalen zijn FY-verdeling, geen actuals</t>
        </is>
      </c>
      <c r="S591" s="15" t="str">
        <f>IF(J591="","",J591&amp;"|"&amp;E591&amp;"|"&amp;F591&amp;"|"&amp;I591&amp;"|"&amp;O591)</f>
        <v>G.900018.8.9090|2026|Q2|2026|Woningverkopen Q2</v>
      </c>
      <c r="T591" s="15">
        <f>IF(OR(S591="",D591&lt;&gt;"Vastgesteld"),"",_xlfn.MAXIFS($G$6:$G$5005,$S$6:$S$5005,S591,$D$6:$D$5005,"Vastgesteld"))</f>
        <v>0</v>
      </c>
      <c r="U591" s="15">
        <f>IF(T591="",0,IF(AND(G591=T591,COUNTIFS($S$6:S591,S591,$G$6:G591,G591,$D$6:D591,"Vastgesteld")=1),1,0))</f>
        <v>1</v>
      </c>
      <c r="V591" s="15">
        <f>IF(T591="",0,IF(AND(G591=T591,COUNTIFS($S$6:S591,S591,$G$6:G591,G591,$D$6:D591,"Vastgesteld")&gt;1),1,0))</f>
        <v>0</v>
      </c>
    </row>
    <row r="592">
      <c r="A592" s="92" t="inlineStr">
        <is>
          <t>HIST-2026-Q2</t>
        </is>
      </c>
      <c r="B592" s="92" t="inlineStr">
        <is>
          <t>RDFO_FICTIEVE_historie_en_mapping.xlsx</t>
        </is>
      </c>
      <c r="C592" s="108" t="n">
        <v>46324</v>
      </c>
      <c r="D592" s="92" t="inlineStr">
        <is>
          <t>Vastgesteld</t>
        </is>
      </c>
      <c r="E592" s="92" t="n">
        <v>2026</v>
      </c>
      <c r="F592" s="92" t="inlineStr">
        <is>
          <t>Q2</t>
        </is>
      </c>
      <c r="G592" s="92" t="n">
        <v>0</v>
      </c>
      <c r="H592" s="108" t="n">
        <v>46203</v>
      </c>
      <c r="I592" s="92" t="n">
        <v>2026</v>
      </c>
      <c r="J592" s="92" t="inlineStr">
        <is>
          <t>G.900018.8.9090</t>
        </is>
      </c>
      <c r="K592" s="92" t="inlineStr">
        <is>
          <t>G.900018</t>
        </is>
      </c>
      <c r="L592" s="92" t="inlineStr">
        <is>
          <t>Meerhovenstad, De Boog</t>
        </is>
      </c>
      <c r="M592" s="92" t="inlineStr">
        <is>
          <t>Deelneming</t>
        </is>
      </c>
      <c r="N592" s="92" t="inlineStr">
        <is>
          <t>N</t>
        </is>
      </c>
      <c r="O592" s="92" t="inlineStr">
        <is>
          <t>Woningverkopen Q3</t>
        </is>
      </c>
      <c r="P592" s="109" t="n">
        <v>4</v>
      </c>
      <c r="Q592" s="92" t="inlineStr">
        <is>
          <t>aantal</t>
        </is>
      </c>
      <c r="R592" s="92" t="inlineStr">
        <is>
          <t>Synthetische snapshot; kwartalen zijn FY-verdeling, geen actuals</t>
        </is>
      </c>
      <c r="S592" s="15" t="str">
        <f>IF(J592="","",J592&amp;"|"&amp;E592&amp;"|"&amp;F592&amp;"|"&amp;I592&amp;"|"&amp;O592)</f>
        <v>G.900018.8.9090|2026|Q2|2026|Woningverkopen Q3</v>
      </c>
      <c r="T592" s="15">
        <f>IF(OR(S592="",D592&lt;&gt;"Vastgesteld"),"",_xlfn.MAXIFS($G$6:$G$5005,$S$6:$S$5005,S592,$D$6:$D$5005,"Vastgesteld"))</f>
        <v>0</v>
      </c>
      <c r="U592" s="15">
        <f>IF(T592="",0,IF(AND(G592=T592,COUNTIFS($S$6:S592,S592,$G$6:G592,G592,$D$6:D592,"Vastgesteld")=1),1,0))</f>
        <v>1</v>
      </c>
      <c r="V592" s="15">
        <f>IF(T592="",0,IF(AND(G592=T592,COUNTIFS($S$6:S592,S592,$G$6:G592,G592,$D$6:D592,"Vastgesteld")&gt;1),1,0))</f>
        <v>0</v>
      </c>
    </row>
    <row r="593">
      <c r="A593" s="92" t="inlineStr">
        <is>
          <t>HIST-2026-Q2</t>
        </is>
      </c>
      <c r="B593" s="92" t="inlineStr">
        <is>
          <t>RDFO_FICTIEVE_historie_en_mapping.xlsx</t>
        </is>
      </c>
      <c r="C593" s="108" t="n">
        <v>46324</v>
      </c>
      <c r="D593" s="92" t="inlineStr">
        <is>
          <t>Vastgesteld</t>
        </is>
      </c>
      <c r="E593" s="92" t="n">
        <v>2026</v>
      </c>
      <c r="F593" s="92" t="inlineStr">
        <is>
          <t>Q2</t>
        </is>
      </c>
      <c r="G593" s="92" t="n">
        <v>0</v>
      </c>
      <c r="H593" s="108" t="n">
        <v>46203</v>
      </c>
      <c r="I593" s="92" t="n">
        <v>2026</v>
      </c>
      <c r="J593" s="92" t="inlineStr">
        <is>
          <t>G.900018.8.9090</t>
        </is>
      </c>
      <c r="K593" s="92" t="inlineStr">
        <is>
          <t>G.900018</t>
        </is>
      </c>
      <c r="L593" s="92" t="inlineStr">
        <is>
          <t>Meerhovenstad, De Boog</t>
        </is>
      </c>
      <c r="M593" s="92" t="inlineStr">
        <is>
          <t>Deelneming</t>
        </is>
      </c>
      <c r="N593" s="92" t="inlineStr">
        <is>
          <t>N</t>
        </is>
      </c>
      <c r="O593" s="92" t="inlineStr">
        <is>
          <t>Woningverkopen Q4</t>
        </is>
      </c>
      <c r="P593" s="109" t="n">
        <v>8</v>
      </c>
      <c r="Q593" s="92" t="inlineStr">
        <is>
          <t>aantal</t>
        </is>
      </c>
      <c r="R593" s="92" t="inlineStr">
        <is>
          <t>Synthetische snapshot; kwartalen zijn FY-verdeling, geen actuals</t>
        </is>
      </c>
      <c r="S593" s="15" t="str">
        <f>IF(J593="","",J593&amp;"|"&amp;E593&amp;"|"&amp;F593&amp;"|"&amp;I593&amp;"|"&amp;O593)</f>
        <v>G.900018.8.9090|2026|Q2|2026|Woningverkopen Q4</v>
      </c>
      <c r="T593" s="15">
        <f>IF(OR(S593="",D593&lt;&gt;"Vastgesteld"),"",_xlfn.MAXIFS($G$6:$G$5005,$S$6:$S$5005,S593,$D$6:$D$5005,"Vastgesteld"))</f>
        <v>0</v>
      </c>
      <c r="U593" s="15">
        <f>IF(T593="",0,IF(AND(G593=T593,COUNTIFS($S$6:S593,S593,$G$6:G593,G593,$D$6:D593,"Vastgesteld")=1),1,0))</f>
        <v>1</v>
      </c>
      <c r="V593" s="15">
        <f>IF(T593="",0,IF(AND(G593=T593,COUNTIFS($S$6:S593,S593,$G$6:G593,G593,$D$6:D593,"Vastgesteld")&gt;1),1,0))</f>
        <v>0</v>
      </c>
    </row>
    <row r="594">
      <c r="A594" s="92" t="inlineStr">
        <is>
          <t>HIST-2026-Q2</t>
        </is>
      </c>
      <c r="B594" s="92" t="inlineStr">
        <is>
          <t>RDFO_FICTIEVE_historie_en_mapping.xlsx</t>
        </is>
      </c>
      <c r="C594" s="108" t="n">
        <v>46324</v>
      </c>
      <c r="D594" s="92" t="inlineStr">
        <is>
          <t>Vastgesteld</t>
        </is>
      </c>
      <c r="E594" s="92" t="n">
        <v>2026</v>
      </c>
      <c r="F594" s="92" t="inlineStr">
        <is>
          <t>Q2</t>
        </is>
      </c>
      <c r="G594" s="92" t="n">
        <v>0</v>
      </c>
      <c r="H594" s="108" t="n">
        <v>46203</v>
      </c>
      <c r="I594" s="92" t="n">
        <v>2026</v>
      </c>
      <c r="J594" s="92" t="inlineStr">
        <is>
          <t>G.900019.8.9090</t>
        </is>
      </c>
      <c r="K594" s="92" t="inlineStr">
        <is>
          <t>G.900019</t>
        </is>
      </c>
      <c r="L594" s="92" t="inlineStr">
        <is>
          <t>Zilverdam, Havenlicht</t>
        </is>
      </c>
      <c r="M594" s="92" t="inlineStr">
        <is>
          <t>Opstal</t>
        </is>
      </c>
      <c r="N594" s="92" t="inlineStr">
        <is>
          <t>J</t>
        </is>
      </c>
      <c r="O594" s="92" t="inlineStr">
        <is>
          <t>Woningverkopen FY</t>
        </is>
      </c>
      <c r="P594" s="109" t="n">
        <v>10</v>
      </c>
      <c r="Q594" s="92" t="inlineStr">
        <is>
          <t>aantal</t>
        </is>
      </c>
      <c r="R594" s="92" t="inlineStr">
        <is>
          <t>Synthetische snapshot; kwartalen zijn FY-verdeling, geen actuals</t>
        </is>
      </c>
      <c r="S594" s="15" t="str">
        <f>IF(J594="","",J594&amp;"|"&amp;E594&amp;"|"&amp;F594&amp;"|"&amp;I594&amp;"|"&amp;O594)</f>
        <v>G.900019.8.9090|2026|Q2|2026|Woningverkopen FY</v>
      </c>
      <c r="T594" s="15">
        <f>IF(OR(S594="",D594&lt;&gt;"Vastgesteld"),"",_xlfn.MAXIFS($G$6:$G$5005,$S$6:$S$5005,S594,$D$6:$D$5005,"Vastgesteld"))</f>
        <v>0</v>
      </c>
      <c r="U594" s="15">
        <f>IF(T594="",0,IF(AND(G594=T594,COUNTIFS($S$6:S594,S594,$G$6:G594,G594,$D$6:D594,"Vastgesteld")=1),1,0))</f>
        <v>1</v>
      </c>
      <c r="V594" s="15">
        <f>IF(T594="",0,IF(AND(G594=T594,COUNTIFS($S$6:S594,S594,$G$6:G594,G594,$D$6:D594,"Vastgesteld")&gt;1),1,0))</f>
        <v>0</v>
      </c>
    </row>
    <row r="595">
      <c r="A595" s="92" t="inlineStr">
        <is>
          <t>HIST-2026-Q2</t>
        </is>
      </c>
      <c r="B595" s="92" t="inlineStr">
        <is>
          <t>RDFO_FICTIEVE_historie_en_mapping.xlsx</t>
        </is>
      </c>
      <c r="C595" s="108" t="n">
        <v>46324</v>
      </c>
      <c r="D595" s="92" t="inlineStr">
        <is>
          <t>Vastgesteld</t>
        </is>
      </c>
      <c r="E595" s="92" t="n">
        <v>2026</v>
      </c>
      <c r="F595" s="92" t="inlineStr">
        <is>
          <t>Q2</t>
        </is>
      </c>
      <c r="G595" s="92" t="n">
        <v>0</v>
      </c>
      <c r="H595" s="108" t="n">
        <v>46203</v>
      </c>
      <c r="I595" s="92" t="n">
        <v>2026</v>
      </c>
      <c r="J595" s="92" t="inlineStr">
        <is>
          <t>G.900019.8.9090</t>
        </is>
      </c>
      <c r="K595" s="92" t="inlineStr">
        <is>
          <t>G.900019</t>
        </is>
      </c>
      <c r="L595" s="92" t="inlineStr">
        <is>
          <t>Zilverdam, Havenlicht</t>
        </is>
      </c>
      <c r="M595" s="92" t="inlineStr">
        <is>
          <t>Opstal</t>
        </is>
      </c>
      <c r="N595" s="92" t="inlineStr">
        <is>
          <t>J</t>
        </is>
      </c>
      <c r="O595" s="92" t="inlineStr">
        <is>
          <t>Woningen verkocht t/m vorig jaar</t>
        </is>
      </c>
      <c r="P595" s="109" t="n">
        <v>0</v>
      </c>
      <c r="Q595" s="92" t="inlineStr">
        <is>
          <t>aantal</t>
        </is>
      </c>
      <c r="R595" s="92" t="inlineStr">
        <is>
          <t>Synthetische snapshot; kwartalen zijn FY-verdeling, geen actuals</t>
        </is>
      </c>
      <c r="S595" s="15" t="str">
        <f>IF(J595="","",J595&amp;"|"&amp;E595&amp;"|"&amp;F595&amp;"|"&amp;I595&amp;"|"&amp;O595)</f>
        <v>G.900019.8.9090|2026|Q2|2026|Woningen verkocht t/m vorig jaar</v>
      </c>
      <c r="T595" s="15">
        <f>IF(OR(S595="",D595&lt;&gt;"Vastgesteld"),"",_xlfn.MAXIFS($G$6:$G$5005,$S$6:$S$5005,S595,$D$6:$D$5005,"Vastgesteld"))</f>
        <v>0</v>
      </c>
      <c r="U595" s="15">
        <f>IF(T595="",0,IF(AND(G595=T595,COUNTIFS($S$6:S595,S595,$G$6:G595,G595,$D$6:D595,"Vastgesteld")=1),1,0))</f>
        <v>1</v>
      </c>
      <c r="V595" s="15">
        <f>IF(T595="",0,IF(AND(G595=T595,COUNTIFS($S$6:S595,S595,$G$6:G595,G595,$D$6:D595,"Vastgesteld")&gt;1),1,0))</f>
        <v>0</v>
      </c>
    </row>
    <row r="596">
      <c r="A596" s="92" t="inlineStr">
        <is>
          <t>HIST-2026-Q2</t>
        </is>
      </c>
      <c r="B596" s="92" t="inlineStr">
        <is>
          <t>RDFO_FICTIEVE_historie_en_mapping.xlsx</t>
        </is>
      </c>
      <c r="C596" s="108" t="n">
        <v>46324</v>
      </c>
      <c r="D596" s="92" t="inlineStr">
        <is>
          <t>Vastgesteld</t>
        </is>
      </c>
      <c r="E596" s="92" t="n">
        <v>2026</v>
      </c>
      <c r="F596" s="92" t="inlineStr">
        <is>
          <t>Q2</t>
        </is>
      </c>
      <c r="G596" s="92" t="n">
        <v>0</v>
      </c>
      <c r="H596" s="108" t="n">
        <v>46203</v>
      </c>
      <c r="I596" s="92" t="n">
        <v>2026</v>
      </c>
      <c r="J596" s="92" t="inlineStr">
        <is>
          <t>G.900019.8.9090</t>
        </is>
      </c>
      <c r="K596" s="92" t="inlineStr">
        <is>
          <t>G.900019</t>
        </is>
      </c>
      <c r="L596" s="92" t="inlineStr">
        <is>
          <t>Zilverdam, Havenlicht</t>
        </is>
      </c>
      <c r="M596" s="92" t="inlineStr">
        <is>
          <t>Opstal</t>
        </is>
      </c>
      <c r="N596" s="92" t="inlineStr">
        <is>
          <t>J</t>
        </is>
      </c>
      <c r="O596" s="92" t="inlineStr">
        <is>
          <t>Woningverkopen Q1</t>
        </is>
      </c>
      <c r="P596" s="109" t="n">
        <v>2</v>
      </c>
      <c r="Q596" s="92" t="inlineStr">
        <is>
          <t>aantal</t>
        </is>
      </c>
      <c r="R596" s="92" t="inlineStr">
        <is>
          <t>Synthetische snapshot; kwartalen zijn FY-verdeling, geen actuals</t>
        </is>
      </c>
      <c r="S596" s="15" t="str">
        <f>IF(J596="","",J596&amp;"|"&amp;E596&amp;"|"&amp;F596&amp;"|"&amp;I596&amp;"|"&amp;O596)</f>
        <v>G.900019.8.9090|2026|Q2|2026|Woningverkopen Q1</v>
      </c>
      <c r="T596" s="15">
        <f>IF(OR(S596="",D596&lt;&gt;"Vastgesteld"),"",_xlfn.MAXIFS($G$6:$G$5005,$S$6:$S$5005,S596,$D$6:$D$5005,"Vastgesteld"))</f>
        <v>0</v>
      </c>
      <c r="U596" s="15">
        <f>IF(T596="",0,IF(AND(G596=T596,COUNTIFS($S$6:S596,S596,$G$6:G596,G596,$D$6:D596,"Vastgesteld")=1),1,0))</f>
        <v>1</v>
      </c>
      <c r="V596" s="15">
        <f>IF(T596="",0,IF(AND(G596=T596,COUNTIFS($S$6:S596,S596,$G$6:G596,G596,$D$6:D596,"Vastgesteld")&gt;1),1,0))</f>
        <v>0</v>
      </c>
    </row>
    <row r="597">
      <c r="A597" s="92" t="inlineStr">
        <is>
          <t>HIST-2026-Q2</t>
        </is>
      </c>
      <c r="B597" s="92" t="inlineStr">
        <is>
          <t>RDFO_FICTIEVE_historie_en_mapping.xlsx</t>
        </is>
      </c>
      <c r="C597" s="108" t="n">
        <v>46324</v>
      </c>
      <c r="D597" s="92" t="inlineStr">
        <is>
          <t>Vastgesteld</t>
        </is>
      </c>
      <c r="E597" s="92" t="n">
        <v>2026</v>
      </c>
      <c r="F597" s="92" t="inlineStr">
        <is>
          <t>Q2</t>
        </is>
      </c>
      <c r="G597" s="92" t="n">
        <v>0</v>
      </c>
      <c r="H597" s="108" t="n">
        <v>46203</v>
      </c>
      <c r="I597" s="92" t="n">
        <v>2026</v>
      </c>
      <c r="J597" s="92" t="inlineStr">
        <is>
          <t>G.900019.8.9090</t>
        </is>
      </c>
      <c r="K597" s="92" t="inlineStr">
        <is>
          <t>G.900019</t>
        </is>
      </c>
      <c r="L597" s="92" t="inlineStr">
        <is>
          <t>Zilverdam, Havenlicht</t>
        </is>
      </c>
      <c r="M597" s="92" t="inlineStr">
        <is>
          <t>Opstal</t>
        </is>
      </c>
      <c r="N597" s="92" t="inlineStr">
        <is>
          <t>J</t>
        </is>
      </c>
      <c r="O597" s="92" t="inlineStr">
        <is>
          <t>Woningverkopen Q2</t>
        </is>
      </c>
      <c r="P597" s="109" t="n">
        <v>2</v>
      </c>
      <c r="Q597" s="92" t="inlineStr">
        <is>
          <t>aantal</t>
        </is>
      </c>
      <c r="R597" s="92" t="inlineStr">
        <is>
          <t>Synthetische snapshot; kwartalen zijn FY-verdeling, geen actuals</t>
        </is>
      </c>
      <c r="S597" s="15" t="str">
        <f>IF(J597="","",J597&amp;"|"&amp;E597&amp;"|"&amp;F597&amp;"|"&amp;I597&amp;"|"&amp;O597)</f>
        <v>G.900019.8.9090|2026|Q2|2026|Woningverkopen Q2</v>
      </c>
      <c r="T597" s="15">
        <f>IF(OR(S597="",D597&lt;&gt;"Vastgesteld"),"",_xlfn.MAXIFS($G$6:$G$5005,$S$6:$S$5005,S597,$D$6:$D$5005,"Vastgesteld"))</f>
        <v>0</v>
      </c>
      <c r="U597" s="15">
        <f>IF(T597="",0,IF(AND(G597=T597,COUNTIFS($S$6:S597,S597,$G$6:G597,G597,$D$6:D597,"Vastgesteld")=1),1,0))</f>
        <v>1</v>
      </c>
      <c r="V597" s="15">
        <f>IF(T597="",0,IF(AND(G597=T597,COUNTIFS($S$6:S597,S597,$G$6:G597,G597,$D$6:D597,"Vastgesteld")&gt;1),1,0))</f>
        <v>0</v>
      </c>
    </row>
    <row r="598">
      <c r="A598" s="92" t="inlineStr">
        <is>
          <t>HIST-2026-Q2</t>
        </is>
      </c>
      <c r="B598" s="92" t="inlineStr">
        <is>
          <t>RDFO_FICTIEVE_historie_en_mapping.xlsx</t>
        </is>
      </c>
      <c r="C598" s="108" t="n">
        <v>46324</v>
      </c>
      <c r="D598" s="92" t="inlineStr">
        <is>
          <t>Vastgesteld</t>
        </is>
      </c>
      <c r="E598" s="92" t="n">
        <v>2026</v>
      </c>
      <c r="F598" s="92" t="inlineStr">
        <is>
          <t>Q2</t>
        </is>
      </c>
      <c r="G598" s="92" t="n">
        <v>0</v>
      </c>
      <c r="H598" s="108" t="n">
        <v>46203</v>
      </c>
      <c r="I598" s="92" t="n">
        <v>2026</v>
      </c>
      <c r="J598" s="92" t="inlineStr">
        <is>
          <t>G.900019.8.9090</t>
        </is>
      </c>
      <c r="K598" s="92" t="inlineStr">
        <is>
          <t>G.900019</t>
        </is>
      </c>
      <c r="L598" s="92" t="inlineStr">
        <is>
          <t>Zilverdam, Havenlicht</t>
        </is>
      </c>
      <c r="M598" s="92" t="inlineStr">
        <is>
          <t>Opstal</t>
        </is>
      </c>
      <c r="N598" s="92" t="inlineStr">
        <is>
          <t>J</t>
        </is>
      </c>
      <c r="O598" s="92" t="inlineStr">
        <is>
          <t>Woningverkopen Q3</t>
        </is>
      </c>
      <c r="P598" s="109" t="n">
        <v>2</v>
      </c>
      <c r="Q598" s="92" t="inlineStr">
        <is>
          <t>aantal</t>
        </is>
      </c>
      <c r="R598" s="92" t="inlineStr">
        <is>
          <t>Synthetische snapshot; kwartalen zijn FY-verdeling, geen actuals</t>
        </is>
      </c>
      <c r="S598" s="15" t="str">
        <f>IF(J598="","",J598&amp;"|"&amp;E598&amp;"|"&amp;F598&amp;"|"&amp;I598&amp;"|"&amp;O598)</f>
        <v>G.900019.8.9090|2026|Q2|2026|Woningverkopen Q3</v>
      </c>
      <c r="T598" s="15">
        <f>IF(OR(S598="",D598&lt;&gt;"Vastgesteld"),"",_xlfn.MAXIFS($G$6:$G$5005,$S$6:$S$5005,S598,$D$6:$D$5005,"Vastgesteld"))</f>
        <v>0</v>
      </c>
      <c r="U598" s="15">
        <f>IF(T598="",0,IF(AND(G598=T598,COUNTIFS($S$6:S598,S598,$G$6:G598,G598,$D$6:D598,"Vastgesteld")=1),1,0))</f>
        <v>1</v>
      </c>
      <c r="V598" s="15">
        <f>IF(T598="",0,IF(AND(G598=T598,COUNTIFS($S$6:S598,S598,$G$6:G598,G598,$D$6:D598,"Vastgesteld")&gt;1),1,0))</f>
        <v>0</v>
      </c>
    </row>
    <row r="599">
      <c r="A599" s="92" t="inlineStr">
        <is>
          <t>HIST-2026-Q2</t>
        </is>
      </c>
      <c r="B599" s="92" t="inlineStr">
        <is>
          <t>RDFO_FICTIEVE_historie_en_mapping.xlsx</t>
        </is>
      </c>
      <c r="C599" s="108" t="n">
        <v>46324</v>
      </c>
      <c r="D599" s="92" t="inlineStr">
        <is>
          <t>Vastgesteld</t>
        </is>
      </c>
      <c r="E599" s="92" t="n">
        <v>2026</v>
      </c>
      <c r="F599" s="92" t="inlineStr">
        <is>
          <t>Q2</t>
        </is>
      </c>
      <c r="G599" s="92" t="n">
        <v>0</v>
      </c>
      <c r="H599" s="108" t="n">
        <v>46203</v>
      </c>
      <c r="I599" s="92" t="n">
        <v>2026</v>
      </c>
      <c r="J599" s="92" t="inlineStr">
        <is>
          <t>G.900019.8.9090</t>
        </is>
      </c>
      <c r="K599" s="92" t="inlineStr">
        <is>
          <t>G.900019</t>
        </is>
      </c>
      <c r="L599" s="92" t="inlineStr">
        <is>
          <t>Zilverdam, Havenlicht</t>
        </is>
      </c>
      <c r="M599" s="92" t="inlineStr">
        <is>
          <t>Opstal</t>
        </is>
      </c>
      <c r="N599" s="92" t="inlineStr">
        <is>
          <t>J</t>
        </is>
      </c>
      <c r="O599" s="92" t="inlineStr">
        <is>
          <t>Woningverkopen Q4</t>
        </is>
      </c>
      <c r="P599" s="109" t="n">
        <v>4</v>
      </c>
      <c r="Q599" s="92" t="inlineStr">
        <is>
          <t>aantal</t>
        </is>
      </c>
      <c r="R599" s="92" t="inlineStr">
        <is>
          <t>Synthetische snapshot; kwartalen zijn FY-verdeling, geen actuals</t>
        </is>
      </c>
      <c r="S599" s="15" t="str">
        <f>IF(J599="","",J599&amp;"|"&amp;E599&amp;"|"&amp;F599&amp;"|"&amp;I599&amp;"|"&amp;O599)</f>
        <v>G.900019.8.9090|2026|Q2|2026|Woningverkopen Q4</v>
      </c>
      <c r="T599" s="15">
        <f>IF(OR(S599="",D599&lt;&gt;"Vastgesteld"),"",_xlfn.MAXIFS($G$6:$G$5005,$S$6:$S$5005,S599,$D$6:$D$5005,"Vastgesteld"))</f>
        <v>0</v>
      </c>
      <c r="U599" s="15">
        <f>IF(T599="",0,IF(AND(G599=T599,COUNTIFS($S$6:S599,S599,$G$6:G599,G599,$D$6:D599,"Vastgesteld")=1),1,0))</f>
        <v>1</v>
      </c>
      <c r="V599" s="15">
        <f>IF(T599="",0,IF(AND(G599=T599,COUNTIFS($S$6:S599,S599,$G$6:G599,G599,$D$6:D599,"Vastgesteld")&gt;1),1,0))</f>
        <v>0</v>
      </c>
    </row>
    <row r="600">
      <c r="A600" s="92" t="inlineStr">
        <is>
          <t>HIST-2026-Q2</t>
        </is>
      </c>
      <c r="B600" s="92" t="inlineStr">
        <is>
          <t>RDFO_FICTIEVE_historie_en_mapping.xlsx</t>
        </is>
      </c>
      <c r="C600" s="108" t="n">
        <v>46324</v>
      </c>
      <c r="D600" s="92" t="inlineStr">
        <is>
          <t>Vastgesteld</t>
        </is>
      </c>
      <c r="E600" s="92" t="n">
        <v>2026</v>
      </c>
      <c r="F600" s="92" t="inlineStr">
        <is>
          <t>Q2</t>
        </is>
      </c>
      <c r="G600" s="92" t="n">
        <v>0</v>
      </c>
      <c r="H600" s="108" t="n">
        <v>46203</v>
      </c>
      <c r="I600" s="92" t="n">
        <v>2026</v>
      </c>
      <c r="J600" s="92" t="inlineStr">
        <is>
          <t>G.900020.8.9090</t>
        </is>
      </c>
      <c r="K600" s="92" t="inlineStr">
        <is>
          <t>G.900020</t>
        </is>
      </c>
      <c r="L600" s="92" t="inlineStr">
        <is>
          <t>Boswaard, Parkeergebouw</t>
        </is>
      </c>
      <c r="M600" s="92" t="inlineStr">
        <is>
          <t>Opstal</t>
        </is>
      </c>
      <c r="N600" s="92" t="inlineStr">
        <is>
          <t>J</t>
        </is>
      </c>
      <c r="O600" s="92" t="inlineStr">
        <is>
          <t>Woningverkopen FY</t>
        </is>
      </c>
      <c r="P600" s="109" t="n">
        <v>0</v>
      </c>
      <c r="Q600" s="92" t="inlineStr">
        <is>
          <t>aantal</t>
        </is>
      </c>
      <c r="R600" s="92" t="inlineStr">
        <is>
          <t>Synthetische snapshot; kwartalen zijn FY-verdeling, geen actuals</t>
        </is>
      </c>
      <c r="S600" s="15" t="str">
        <f>IF(J600="","",J600&amp;"|"&amp;E600&amp;"|"&amp;F600&amp;"|"&amp;I600&amp;"|"&amp;O600)</f>
        <v>G.900020.8.9090|2026|Q2|2026|Woningverkopen FY</v>
      </c>
      <c r="T600" s="15">
        <f>IF(OR(S600="",D600&lt;&gt;"Vastgesteld"),"",_xlfn.MAXIFS($G$6:$G$5005,$S$6:$S$5005,S600,$D$6:$D$5005,"Vastgesteld"))</f>
        <v>0</v>
      </c>
      <c r="U600" s="15">
        <f>IF(T600="",0,IF(AND(G600=T600,COUNTIFS($S$6:S600,S600,$G$6:G600,G600,$D$6:D600,"Vastgesteld")=1),1,0))</f>
        <v>1</v>
      </c>
      <c r="V600" s="15">
        <f>IF(T600="",0,IF(AND(G600=T600,COUNTIFS($S$6:S600,S600,$G$6:G600,G600,$D$6:D600,"Vastgesteld")&gt;1),1,0))</f>
        <v>0</v>
      </c>
    </row>
    <row r="601">
      <c r="A601" s="92" t="inlineStr">
        <is>
          <t>HIST-2026-Q2</t>
        </is>
      </c>
      <c r="B601" s="92" t="inlineStr">
        <is>
          <t>RDFO_FICTIEVE_historie_en_mapping.xlsx</t>
        </is>
      </c>
      <c r="C601" s="108" t="n">
        <v>46324</v>
      </c>
      <c r="D601" s="92" t="inlineStr">
        <is>
          <t>Vastgesteld</t>
        </is>
      </c>
      <c r="E601" s="92" t="n">
        <v>2026</v>
      </c>
      <c r="F601" s="92" t="inlineStr">
        <is>
          <t>Q2</t>
        </is>
      </c>
      <c r="G601" s="92" t="n">
        <v>0</v>
      </c>
      <c r="H601" s="108" t="n">
        <v>46203</v>
      </c>
      <c r="I601" s="92" t="n">
        <v>2026</v>
      </c>
      <c r="J601" s="92" t="inlineStr">
        <is>
          <t>G.900020.8.9090</t>
        </is>
      </c>
      <c r="K601" s="92" t="inlineStr">
        <is>
          <t>G.900020</t>
        </is>
      </c>
      <c r="L601" s="92" t="inlineStr">
        <is>
          <t>Boswaard, Parkeergebouw</t>
        </is>
      </c>
      <c r="M601" s="92" t="inlineStr">
        <is>
          <t>Opstal</t>
        </is>
      </c>
      <c r="N601" s="92" t="inlineStr">
        <is>
          <t>J</t>
        </is>
      </c>
      <c r="O601" s="92" t="inlineStr">
        <is>
          <t>Woningen verkocht t/m vorig jaar</t>
        </is>
      </c>
      <c r="P601" s="109" t="n">
        <v>0</v>
      </c>
      <c r="Q601" s="92" t="inlineStr">
        <is>
          <t>aantal</t>
        </is>
      </c>
      <c r="R601" s="92" t="inlineStr">
        <is>
          <t>Synthetische snapshot; kwartalen zijn FY-verdeling, geen actuals</t>
        </is>
      </c>
      <c r="S601" s="15" t="str">
        <f>IF(J601="","",J601&amp;"|"&amp;E601&amp;"|"&amp;F601&amp;"|"&amp;I601&amp;"|"&amp;O601)</f>
        <v>G.900020.8.9090|2026|Q2|2026|Woningen verkocht t/m vorig jaar</v>
      </c>
      <c r="T601" s="15">
        <f>IF(OR(S601="",D601&lt;&gt;"Vastgesteld"),"",_xlfn.MAXIFS($G$6:$G$5005,$S$6:$S$5005,S601,$D$6:$D$5005,"Vastgesteld"))</f>
        <v>0</v>
      </c>
      <c r="U601" s="15">
        <f>IF(T601="",0,IF(AND(G601=T601,COUNTIFS($S$6:S601,S601,$G$6:G601,G601,$D$6:D601,"Vastgesteld")=1),1,0))</f>
        <v>1</v>
      </c>
      <c r="V601" s="15">
        <f>IF(T601="",0,IF(AND(G601=T601,COUNTIFS($S$6:S601,S601,$G$6:G601,G601,$D$6:D601,"Vastgesteld")&gt;1),1,0))</f>
        <v>0</v>
      </c>
    </row>
    <row r="602">
      <c r="A602" s="92" t="inlineStr">
        <is>
          <t>HIST-2026-Q2</t>
        </is>
      </c>
      <c r="B602" s="92" t="inlineStr">
        <is>
          <t>RDFO_FICTIEVE_historie_en_mapping.xlsx</t>
        </is>
      </c>
      <c r="C602" s="108" t="n">
        <v>46324</v>
      </c>
      <c r="D602" s="92" t="inlineStr">
        <is>
          <t>Vastgesteld</t>
        </is>
      </c>
      <c r="E602" s="92" t="n">
        <v>2026</v>
      </c>
      <c r="F602" s="92" t="inlineStr">
        <is>
          <t>Q2</t>
        </is>
      </c>
      <c r="G602" s="92" t="n">
        <v>0</v>
      </c>
      <c r="H602" s="108" t="n">
        <v>46203</v>
      </c>
      <c r="I602" s="92" t="n">
        <v>2026</v>
      </c>
      <c r="J602" s="92" t="inlineStr">
        <is>
          <t>G.900020.8.9090</t>
        </is>
      </c>
      <c r="K602" s="92" t="inlineStr">
        <is>
          <t>G.900020</t>
        </is>
      </c>
      <c r="L602" s="92" t="inlineStr">
        <is>
          <t>Boswaard, Parkeergebouw</t>
        </is>
      </c>
      <c r="M602" s="92" t="inlineStr">
        <is>
          <t>Opstal</t>
        </is>
      </c>
      <c r="N602" s="92" t="inlineStr">
        <is>
          <t>J</t>
        </is>
      </c>
      <c r="O602" s="92" t="inlineStr">
        <is>
          <t>Woningverkopen Q1</t>
        </is>
      </c>
      <c r="P602" s="109" t="n">
        <v>0</v>
      </c>
      <c r="Q602" s="92" t="inlineStr">
        <is>
          <t>aantal</t>
        </is>
      </c>
      <c r="R602" s="92" t="inlineStr">
        <is>
          <t>Synthetische snapshot; kwartalen zijn FY-verdeling, geen actuals</t>
        </is>
      </c>
      <c r="S602" s="15" t="str">
        <f>IF(J602="","",J602&amp;"|"&amp;E602&amp;"|"&amp;F602&amp;"|"&amp;I602&amp;"|"&amp;O602)</f>
        <v>G.900020.8.9090|2026|Q2|2026|Woningverkopen Q1</v>
      </c>
      <c r="T602" s="15">
        <f>IF(OR(S602="",D602&lt;&gt;"Vastgesteld"),"",_xlfn.MAXIFS($G$6:$G$5005,$S$6:$S$5005,S602,$D$6:$D$5005,"Vastgesteld"))</f>
        <v>0</v>
      </c>
      <c r="U602" s="15">
        <f>IF(T602="",0,IF(AND(G602=T602,COUNTIFS($S$6:S602,S602,$G$6:G602,G602,$D$6:D602,"Vastgesteld")=1),1,0))</f>
        <v>1</v>
      </c>
      <c r="V602" s="15">
        <f>IF(T602="",0,IF(AND(G602=T602,COUNTIFS($S$6:S602,S602,$G$6:G602,G602,$D$6:D602,"Vastgesteld")&gt;1),1,0))</f>
        <v>0</v>
      </c>
    </row>
    <row r="603">
      <c r="A603" s="92" t="inlineStr">
        <is>
          <t>HIST-2026-Q2</t>
        </is>
      </c>
      <c r="B603" s="92" t="inlineStr">
        <is>
          <t>RDFO_FICTIEVE_historie_en_mapping.xlsx</t>
        </is>
      </c>
      <c r="C603" s="108" t="n">
        <v>46324</v>
      </c>
      <c r="D603" s="92" t="inlineStr">
        <is>
          <t>Vastgesteld</t>
        </is>
      </c>
      <c r="E603" s="92" t="n">
        <v>2026</v>
      </c>
      <c r="F603" s="92" t="inlineStr">
        <is>
          <t>Q2</t>
        </is>
      </c>
      <c r="G603" s="92" t="n">
        <v>0</v>
      </c>
      <c r="H603" s="108" t="n">
        <v>46203</v>
      </c>
      <c r="I603" s="92" t="n">
        <v>2026</v>
      </c>
      <c r="J603" s="92" t="inlineStr">
        <is>
          <t>G.900020.8.9090</t>
        </is>
      </c>
      <c r="K603" s="92" t="inlineStr">
        <is>
          <t>G.900020</t>
        </is>
      </c>
      <c r="L603" s="92" t="inlineStr">
        <is>
          <t>Boswaard, Parkeergebouw</t>
        </is>
      </c>
      <c r="M603" s="92" t="inlineStr">
        <is>
          <t>Opstal</t>
        </is>
      </c>
      <c r="N603" s="92" t="inlineStr">
        <is>
          <t>J</t>
        </is>
      </c>
      <c r="O603" s="92" t="inlineStr">
        <is>
          <t>Woningverkopen Q2</t>
        </is>
      </c>
      <c r="P603" s="109" t="n">
        <v>0</v>
      </c>
      <c r="Q603" s="92" t="inlineStr">
        <is>
          <t>aantal</t>
        </is>
      </c>
      <c r="R603" s="92" t="inlineStr">
        <is>
          <t>Synthetische snapshot; kwartalen zijn FY-verdeling, geen actuals</t>
        </is>
      </c>
      <c r="S603" s="15" t="str">
        <f>IF(J603="","",J603&amp;"|"&amp;E603&amp;"|"&amp;F603&amp;"|"&amp;I603&amp;"|"&amp;O603)</f>
        <v>G.900020.8.9090|2026|Q2|2026|Woningverkopen Q2</v>
      </c>
      <c r="T603" s="15">
        <f>IF(OR(S603="",D603&lt;&gt;"Vastgesteld"),"",_xlfn.MAXIFS($G$6:$G$5005,$S$6:$S$5005,S603,$D$6:$D$5005,"Vastgesteld"))</f>
        <v>0</v>
      </c>
      <c r="U603" s="15">
        <f>IF(T603="",0,IF(AND(G603=T603,COUNTIFS($S$6:S603,S603,$G$6:G603,G603,$D$6:D603,"Vastgesteld")=1),1,0))</f>
        <v>1</v>
      </c>
      <c r="V603" s="15">
        <f>IF(T603="",0,IF(AND(G603=T603,COUNTIFS($S$6:S603,S603,$G$6:G603,G603,$D$6:D603,"Vastgesteld")&gt;1),1,0))</f>
        <v>0</v>
      </c>
    </row>
    <row r="604">
      <c r="A604" s="92" t="inlineStr">
        <is>
          <t>HIST-2026-Q2</t>
        </is>
      </c>
      <c r="B604" s="92" t="inlineStr">
        <is>
          <t>RDFO_FICTIEVE_historie_en_mapping.xlsx</t>
        </is>
      </c>
      <c r="C604" s="108" t="n">
        <v>46324</v>
      </c>
      <c r="D604" s="92" t="inlineStr">
        <is>
          <t>Vastgesteld</t>
        </is>
      </c>
      <c r="E604" s="92" t="n">
        <v>2026</v>
      </c>
      <c r="F604" s="92" t="inlineStr">
        <is>
          <t>Q2</t>
        </is>
      </c>
      <c r="G604" s="92" t="n">
        <v>0</v>
      </c>
      <c r="H604" s="108" t="n">
        <v>46203</v>
      </c>
      <c r="I604" s="92" t="n">
        <v>2026</v>
      </c>
      <c r="J604" s="92" t="inlineStr">
        <is>
          <t>G.900020.8.9090</t>
        </is>
      </c>
      <c r="K604" s="92" t="inlineStr">
        <is>
          <t>G.900020</t>
        </is>
      </c>
      <c r="L604" s="92" t="inlineStr">
        <is>
          <t>Boswaard, Parkeergebouw</t>
        </is>
      </c>
      <c r="M604" s="92" t="inlineStr">
        <is>
          <t>Opstal</t>
        </is>
      </c>
      <c r="N604" s="92" t="inlineStr">
        <is>
          <t>J</t>
        </is>
      </c>
      <c r="O604" s="92" t="inlineStr">
        <is>
          <t>Woningverkopen Q3</t>
        </is>
      </c>
      <c r="P604" s="109" t="n">
        <v>0</v>
      </c>
      <c r="Q604" s="92" t="inlineStr">
        <is>
          <t>aantal</t>
        </is>
      </c>
      <c r="R604" s="92" t="inlineStr">
        <is>
          <t>Synthetische snapshot; kwartalen zijn FY-verdeling, geen actuals</t>
        </is>
      </c>
      <c r="S604" s="15" t="str">
        <f>IF(J604="","",J604&amp;"|"&amp;E604&amp;"|"&amp;F604&amp;"|"&amp;I604&amp;"|"&amp;O604)</f>
        <v>G.900020.8.9090|2026|Q2|2026|Woningverkopen Q3</v>
      </c>
      <c r="T604" s="15">
        <f>IF(OR(S604="",D604&lt;&gt;"Vastgesteld"),"",_xlfn.MAXIFS($G$6:$G$5005,$S$6:$S$5005,S604,$D$6:$D$5005,"Vastgesteld"))</f>
        <v>0</v>
      </c>
      <c r="U604" s="15">
        <f>IF(T604="",0,IF(AND(G604=T604,COUNTIFS($S$6:S604,S604,$G$6:G604,G604,$D$6:D604,"Vastgesteld")=1),1,0))</f>
        <v>1</v>
      </c>
      <c r="V604" s="15">
        <f>IF(T604="",0,IF(AND(G604=T604,COUNTIFS($S$6:S604,S604,$G$6:G604,G604,$D$6:D604,"Vastgesteld")&gt;1),1,0))</f>
        <v>0</v>
      </c>
    </row>
    <row r="605">
      <c r="A605" s="92" t="inlineStr">
        <is>
          <t>HIST-2026-Q2</t>
        </is>
      </c>
      <c r="B605" s="92" t="inlineStr">
        <is>
          <t>RDFO_FICTIEVE_historie_en_mapping.xlsx</t>
        </is>
      </c>
      <c r="C605" s="108" t="n">
        <v>46324</v>
      </c>
      <c r="D605" s="92" t="inlineStr">
        <is>
          <t>Vastgesteld</t>
        </is>
      </c>
      <c r="E605" s="92" t="n">
        <v>2026</v>
      </c>
      <c r="F605" s="92" t="inlineStr">
        <is>
          <t>Q2</t>
        </is>
      </c>
      <c r="G605" s="92" t="n">
        <v>0</v>
      </c>
      <c r="H605" s="108" t="n">
        <v>46203</v>
      </c>
      <c r="I605" s="92" t="n">
        <v>2026</v>
      </c>
      <c r="J605" s="92" t="inlineStr">
        <is>
          <t>G.900020.8.9090</t>
        </is>
      </c>
      <c r="K605" s="92" t="inlineStr">
        <is>
          <t>G.900020</t>
        </is>
      </c>
      <c r="L605" s="92" t="inlineStr">
        <is>
          <t>Boswaard, Parkeergebouw</t>
        </is>
      </c>
      <c r="M605" s="92" t="inlineStr">
        <is>
          <t>Opstal</t>
        </is>
      </c>
      <c r="N605" s="92" t="inlineStr">
        <is>
          <t>J</t>
        </is>
      </c>
      <c r="O605" s="92" t="inlineStr">
        <is>
          <t>Woningverkopen Q4</t>
        </is>
      </c>
      <c r="P605" s="109" t="n">
        <v>0</v>
      </c>
      <c r="Q605" s="92" t="inlineStr">
        <is>
          <t>aantal</t>
        </is>
      </c>
      <c r="R605" s="92" t="inlineStr">
        <is>
          <t>Synthetische snapshot; kwartalen zijn FY-verdeling, geen actuals</t>
        </is>
      </c>
      <c r="S605" s="15" t="str">
        <f>IF(J605="","",J605&amp;"|"&amp;E605&amp;"|"&amp;F605&amp;"|"&amp;I605&amp;"|"&amp;O605)</f>
        <v>G.900020.8.9090|2026|Q2|2026|Woningverkopen Q4</v>
      </c>
      <c r="T605" s="15">
        <f>IF(OR(S605="",D605&lt;&gt;"Vastgesteld"),"",_xlfn.MAXIFS($G$6:$G$5005,$S$6:$S$5005,S605,$D$6:$D$5005,"Vastgesteld"))</f>
        <v>0</v>
      </c>
      <c r="U605" s="15">
        <f>IF(T605="",0,IF(AND(G605=T605,COUNTIFS($S$6:S605,S605,$G$6:G605,G605,$D$6:D605,"Vastgesteld")=1),1,0))</f>
        <v>1</v>
      </c>
      <c r="V605" s="15">
        <f>IF(T605="",0,IF(AND(G605=T605,COUNTIFS($S$6:S605,S605,$G$6:G605,G605,$D$6:D605,"Vastgesteld")&gt;1),1,0))</f>
        <v>0</v>
      </c>
    </row>
    <row r="606">
      <c r="A606" s="92" t="inlineStr">
        <is>
          <t>HIST-2026-Q3</t>
        </is>
      </c>
      <c r="B606" s="92" t="inlineStr">
        <is>
          <t>RDFO_FICTIEVE_historie_en_mapping.xlsx</t>
        </is>
      </c>
      <c r="C606" s="108" t="n">
        <v>46324</v>
      </c>
      <c r="D606" s="92" t="inlineStr">
        <is>
          <t>Vastgesteld</t>
        </is>
      </c>
      <c r="E606" s="92" t="n">
        <v>2026</v>
      </c>
      <c r="F606" s="92" t="inlineStr">
        <is>
          <t>Q3</t>
        </is>
      </c>
      <c r="G606" s="92" t="n">
        <v>0</v>
      </c>
      <c r="H606" s="108" t="n">
        <v>46295</v>
      </c>
      <c r="I606" s="92" t="n">
        <v>2026</v>
      </c>
      <c r="J606" s="92" t="inlineStr">
        <is>
          <t>G.900001.8.9090</t>
        </is>
      </c>
      <c r="K606" s="92" t="inlineStr">
        <is>
          <t>G.900001</t>
        </is>
      </c>
      <c r="L606" s="92" t="inlineStr">
        <is>
          <t>Lindehaven, Parkzoom fase 1</t>
        </is>
      </c>
      <c r="M606" s="92" t="inlineStr">
        <is>
          <t>Opstal</t>
        </is>
      </c>
      <c r="N606" s="92" t="inlineStr">
        <is>
          <t>J</t>
        </is>
      </c>
      <c r="O606" s="92" t="inlineStr">
        <is>
          <t>Omzet FY</t>
        </is>
      </c>
      <c r="P606" s="109" t="n">
        <v>5593600</v>
      </c>
      <c r="Q606" s="92" t="inlineStr">
        <is>
          <t>EUR</t>
        </is>
      </c>
      <c r="R606" s="92" t="inlineStr">
        <is>
          <t>Synthetische vastgelegde invoer; geen echte historie</t>
        </is>
      </c>
      <c r="S606" s="15" t="str">
        <f>IF(J606="","",J606&amp;"|"&amp;E606&amp;"|"&amp;F606&amp;"|"&amp;I606&amp;"|"&amp;O606)</f>
        <v>G.900001.8.9090|2026|Q3|2026|Omzet FY</v>
      </c>
      <c r="T606" s="15">
        <f>IF(OR(S606="",D606&lt;&gt;"Vastgesteld"),"",_xlfn.MAXIFS($G$6:$G$5005,$S$6:$S$5005,S606,$D$6:$D$5005,"Vastgesteld"))</f>
        <v>0</v>
      </c>
      <c r="U606" s="15">
        <f>IF(T606="",0,IF(AND(G606=T606,COUNTIFS($S$6:S606,S606,$G$6:G606,G606,$D$6:D606,"Vastgesteld")=1),1,0))</f>
        <v>1</v>
      </c>
      <c r="V606" s="15">
        <f>IF(T606="",0,IF(AND(G606=T606,COUNTIFS($S$6:S606,S606,$G$6:G606,G606,$D$6:D606,"Vastgesteld")&gt;1),1,0))</f>
        <v>0</v>
      </c>
    </row>
    <row r="607">
      <c r="A607" s="92" t="inlineStr">
        <is>
          <t>HIST-2026-Q3</t>
        </is>
      </c>
      <c r="B607" s="92" t="inlineStr">
        <is>
          <t>RDFO_FICTIEVE_historie_en_mapping.xlsx</t>
        </is>
      </c>
      <c r="C607" s="108" t="n">
        <v>46324</v>
      </c>
      <c r="D607" s="92" t="inlineStr">
        <is>
          <t>Vastgesteld</t>
        </is>
      </c>
      <c r="E607" s="92" t="n">
        <v>2026</v>
      </c>
      <c r="F607" s="92" t="inlineStr">
        <is>
          <t>Q3</t>
        </is>
      </c>
      <c r="G607" s="92" t="n">
        <v>0</v>
      </c>
      <c r="H607" s="108" t="n">
        <v>46295</v>
      </c>
      <c r="I607" s="92" t="n">
        <v>2026</v>
      </c>
      <c r="J607" s="92" t="inlineStr">
        <is>
          <t>G.900001.8.9090</t>
        </is>
      </c>
      <c r="K607" s="92" t="inlineStr">
        <is>
          <t>G.900001</t>
        </is>
      </c>
      <c r="L607" s="92" t="inlineStr">
        <is>
          <t>Lindehaven, Parkzoom fase 1</t>
        </is>
      </c>
      <c r="M607" s="92" t="inlineStr">
        <is>
          <t>Opstal</t>
        </is>
      </c>
      <c r="N607" s="92" t="inlineStr">
        <is>
          <t>J</t>
        </is>
      </c>
      <c r="O607" s="92" t="inlineStr">
        <is>
          <t>BOR FY</t>
        </is>
      </c>
      <c r="P607" s="109" t="n">
        <v>503424</v>
      </c>
      <c r="Q607" s="92" t="inlineStr">
        <is>
          <t>EUR</t>
        </is>
      </c>
      <c r="R607" s="92" t="inlineStr">
        <is>
          <t>Synthetische vastgelegde invoer; geen echte historie</t>
        </is>
      </c>
      <c r="S607" s="15" t="str">
        <f>IF(J607="","",J607&amp;"|"&amp;E607&amp;"|"&amp;F607&amp;"|"&amp;I607&amp;"|"&amp;O607)</f>
        <v>G.900001.8.9090|2026|Q3|2026|BOR FY</v>
      </c>
      <c r="T607" s="15">
        <f>IF(OR(S607="",D607&lt;&gt;"Vastgesteld"),"",_xlfn.MAXIFS($G$6:$G$5005,$S$6:$S$5005,S607,$D$6:$D$5005,"Vastgesteld"))</f>
        <v>0</v>
      </c>
      <c r="U607" s="15">
        <f>IF(T607="",0,IF(AND(G607=T607,COUNTIFS($S$6:S607,S607,$G$6:G607,G607,$D$6:D607,"Vastgesteld")=1),1,0))</f>
        <v>1</v>
      </c>
      <c r="V607" s="15">
        <f>IF(T607="",0,IF(AND(G607=T607,COUNTIFS($S$6:S607,S607,$G$6:G607,G607,$D$6:D607,"Vastgesteld")&gt;1),1,0))</f>
        <v>0</v>
      </c>
    </row>
    <row r="608">
      <c r="A608" s="92" t="inlineStr">
        <is>
          <t>HIST-2026-Q3</t>
        </is>
      </c>
      <c r="B608" s="92" t="inlineStr">
        <is>
          <t>RDFO_FICTIEVE_historie_en_mapping.xlsx</t>
        </is>
      </c>
      <c r="C608" s="108" t="n">
        <v>46324</v>
      </c>
      <c r="D608" s="92" t="inlineStr">
        <is>
          <t>Vastgesteld</t>
        </is>
      </c>
      <c r="E608" s="92" t="n">
        <v>2026</v>
      </c>
      <c r="F608" s="92" t="inlineStr">
        <is>
          <t>Q3</t>
        </is>
      </c>
      <c r="G608" s="92" t="n">
        <v>0</v>
      </c>
      <c r="H608" s="108" t="n">
        <v>46295</v>
      </c>
      <c r="I608" s="92" t="n">
        <v>2026</v>
      </c>
      <c r="J608" s="92" t="inlineStr">
        <is>
          <t>G.900001.8.9090</t>
        </is>
      </c>
      <c r="K608" s="92" t="inlineStr">
        <is>
          <t>G.900001</t>
        </is>
      </c>
      <c r="L608" s="92" t="inlineStr">
        <is>
          <t>Lindehaven, Parkzoom fase 1</t>
        </is>
      </c>
      <c r="M608" s="92" t="inlineStr">
        <is>
          <t>Opstal</t>
        </is>
      </c>
      <c r="N608" s="92" t="inlineStr">
        <is>
          <t>J</t>
        </is>
      </c>
      <c r="O608" s="92" t="inlineStr">
        <is>
          <t>Omzet actual YTD</t>
        </is>
      </c>
      <c r="P608" s="109" t="n">
        <v>3635840</v>
      </c>
      <c r="Q608" s="92" t="inlineStr">
        <is>
          <t>EUR</t>
        </is>
      </c>
      <c r="R608" s="92" t="inlineStr">
        <is>
          <t>Synthetische vastgelegde invoer; geen echte historie</t>
        </is>
      </c>
      <c r="S608" s="15" t="str">
        <f>IF(J608="","",J608&amp;"|"&amp;E608&amp;"|"&amp;F608&amp;"|"&amp;I608&amp;"|"&amp;O608)</f>
        <v>G.900001.8.9090|2026|Q3|2026|Omzet actual YTD</v>
      </c>
      <c r="T608" s="15">
        <f>IF(OR(S608="",D608&lt;&gt;"Vastgesteld"),"",_xlfn.MAXIFS($G$6:$G$5005,$S$6:$S$5005,S608,$D$6:$D$5005,"Vastgesteld"))</f>
        <v>0</v>
      </c>
      <c r="U608" s="15">
        <f>IF(T608="",0,IF(AND(G608=T608,COUNTIFS($S$6:S608,S608,$G$6:G608,G608,$D$6:D608,"Vastgesteld")=1),1,0))</f>
        <v>1</v>
      </c>
      <c r="V608" s="15">
        <f>IF(T608="",0,IF(AND(G608=T608,COUNTIFS($S$6:S608,S608,$G$6:G608,G608,$D$6:D608,"Vastgesteld")&gt;1),1,0))</f>
        <v>0</v>
      </c>
    </row>
    <row r="609">
      <c r="A609" s="92" t="inlineStr">
        <is>
          <t>HIST-2026-Q3</t>
        </is>
      </c>
      <c r="B609" s="92" t="inlineStr">
        <is>
          <t>RDFO_FICTIEVE_historie_en_mapping.xlsx</t>
        </is>
      </c>
      <c r="C609" s="108" t="n">
        <v>46324</v>
      </c>
      <c r="D609" s="92" t="inlineStr">
        <is>
          <t>Vastgesteld</t>
        </is>
      </c>
      <c r="E609" s="92" t="n">
        <v>2026</v>
      </c>
      <c r="F609" s="92" t="inlineStr">
        <is>
          <t>Q3</t>
        </is>
      </c>
      <c r="G609" s="92" t="n">
        <v>0</v>
      </c>
      <c r="H609" s="108" t="n">
        <v>46295</v>
      </c>
      <c r="I609" s="92" t="n">
        <v>2026</v>
      </c>
      <c r="J609" s="92" t="inlineStr">
        <is>
          <t>G.900001.8.9090</t>
        </is>
      </c>
      <c r="K609" s="92" t="inlineStr">
        <is>
          <t>G.900001</t>
        </is>
      </c>
      <c r="L609" s="92" t="inlineStr">
        <is>
          <t>Lindehaven, Parkzoom fase 1</t>
        </is>
      </c>
      <c r="M609" s="92" t="inlineStr">
        <is>
          <t>Opstal</t>
        </is>
      </c>
      <c r="N609" s="92" t="inlineStr">
        <is>
          <t>J</t>
        </is>
      </c>
      <c r="O609" s="92" t="inlineStr">
        <is>
          <t>BOR actual YTD</t>
        </is>
      </c>
      <c r="P609" s="109" t="n">
        <v>327225.6</v>
      </c>
      <c r="Q609" s="92" t="inlineStr">
        <is>
          <t>EUR</t>
        </is>
      </c>
      <c r="R609" s="92" t="inlineStr">
        <is>
          <t>Synthetische vastgelegde invoer; geen echte historie</t>
        </is>
      </c>
      <c r="S609" s="15" t="str">
        <f>IF(J609="","",J609&amp;"|"&amp;E609&amp;"|"&amp;F609&amp;"|"&amp;I609&amp;"|"&amp;O609)</f>
        <v>G.900001.8.9090|2026|Q3|2026|BOR actual YTD</v>
      </c>
      <c r="T609" s="15">
        <f>IF(OR(S609="",D609&lt;&gt;"Vastgesteld"),"",_xlfn.MAXIFS($G$6:$G$5005,$S$6:$S$5005,S609,$D$6:$D$5005,"Vastgesteld"))</f>
        <v>0</v>
      </c>
      <c r="U609" s="15">
        <f>IF(T609="",0,IF(AND(G609=T609,COUNTIFS($S$6:S609,S609,$G$6:G609,G609,$D$6:D609,"Vastgesteld")=1),1,0))</f>
        <v>1</v>
      </c>
      <c r="V609" s="15">
        <f>IF(T609="",0,IF(AND(G609=T609,COUNTIFS($S$6:S609,S609,$G$6:G609,G609,$D$6:D609,"Vastgesteld")&gt;1),1,0))</f>
        <v>0</v>
      </c>
    </row>
    <row r="610">
      <c r="A610" s="92" t="inlineStr">
        <is>
          <t>HIST-2026-Q3</t>
        </is>
      </c>
      <c r="B610" s="92" t="inlineStr">
        <is>
          <t>RDFO_FICTIEVE_historie_en_mapping.xlsx</t>
        </is>
      </c>
      <c r="C610" s="108" t="n">
        <v>46324</v>
      </c>
      <c r="D610" s="92" t="inlineStr">
        <is>
          <t>Vastgesteld</t>
        </is>
      </c>
      <c r="E610" s="92" t="n">
        <v>2026</v>
      </c>
      <c r="F610" s="92" t="inlineStr">
        <is>
          <t>Q3</t>
        </is>
      </c>
      <c r="G610" s="92" t="n">
        <v>0</v>
      </c>
      <c r="H610" s="108" t="n">
        <v>46295</v>
      </c>
      <c r="I610" s="92" t="n">
        <v>2027</v>
      </c>
      <c r="J610" s="92" t="inlineStr">
        <is>
          <t>G.900001.8.9090</t>
        </is>
      </c>
      <c r="K610" s="92" t="inlineStr">
        <is>
          <t>G.900001</t>
        </is>
      </c>
      <c r="L610" s="92" t="inlineStr">
        <is>
          <t>Lindehaven, Parkzoom fase 1</t>
        </is>
      </c>
      <c r="M610" s="92" t="inlineStr">
        <is>
          <t>Opstal</t>
        </is>
      </c>
      <c r="N610" s="92" t="inlineStr">
        <is>
          <t>J</t>
        </is>
      </c>
      <c r="O610" s="92" t="inlineStr">
        <is>
          <t>Omzet FY</t>
        </is>
      </c>
      <c r="P610" s="109" t="n">
        <v>4496960</v>
      </c>
      <c r="Q610" s="92" t="inlineStr">
        <is>
          <t>EUR</t>
        </is>
      </c>
      <c r="R610" s="92" t="inlineStr">
        <is>
          <t>Synthetische vastgelegde invoer; geen echte historie</t>
        </is>
      </c>
      <c r="S610" s="15" t="str">
        <f>IF(J610="","",J610&amp;"|"&amp;E610&amp;"|"&amp;F610&amp;"|"&amp;I610&amp;"|"&amp;O610)</f>
        <v>G.900001.8.9090|2026|Q3|2027|Omzet FY</v>
      </c>
      <c r="T610" s="15">
        <f>IF(OR(S610="",D610&lt;&gt;"Vastgesteld"),"",_xlfn.MAXIFS($G$6:$G$5005,$S$6:$S$5005,S610,$D$6:$D$5005,"Vastgesteld"))</f>
        <v>0</v>
      </c>
      <c r="U610" s="15">
        <f>IF(T610="",0,IF(AND(G610=T610,COUNTIFS($S$6:S610,S610,$G$6:G610,G610,$D$6:D610,"Vastgesteld")=1),1,0))</f>
        <v>1</v>
      </c>
      <c r="V610" s="15">
        <f>IF(T610="",0,IF(AND(G610=T610,COUNTIFS($S$6:S610,S610,$G$6:G610,G610,$D$6:D610,"Vastgesteld")&gt;1),1,0))</f>
        <v>0</v>
      </c>
    </row>
    <row r="611">
      <c r="A611" s="92" t="inlineStr">
        <is>
          <t>HIST-2026-Q3</t>
        </is>
      </c>
      <c r="B611" s="92" t="inlineStr">
        <is>
          <t>RDFO_FICTIEVE_historie_en_mapping.xlsx</t>
        </is>
      </c>
      <c r="C611" s="108" t="n">
        <v>46324</v>
      </c>
      <c r="D611" s="92" t="inlineStr">
        <is>
          <t>Vastgesteld</t>
        </is>
      </c>
      <c r="E611" s="92" t="n">
        <v>2026</v>
      </c>
      <c r="F611" s="92" t="inlineStr">
        <is>
          <t>Q3</t>
        </is>
      </c>
      <c r="G611" s="92" t="n">
        <v>0</v>
      </c>
      <c r="H611" s="108" t="n">
        <v>46295</v>
      </c>
      <c r="I611" s="92" t="n">
        <v>2027</v>
      </c>
      <c r="J611" s="92" t="inlineStr">
        <is>
          <t>G.900001.8.9090</t>
        </is>
      </c>
      <c r="K611" s="92" t="inlineStr">
        <is>
          <t>G.900001</t>
        </is>
      </c>
      <c r="L611" s="92" t="inlineStr">
        <is>
          <t>Lindehaven, Parkzoom fase 1</t>
        </is>
      </c>
      <c r="M611" s="92" t="inlineStr">
        <is>
          <t>Opstal</t>
        </is>
      </c>
      <c r="N611" s="92" t="inlineStr">
        <is>
          <t>J</t>
        </is>
      </c>
      <c r="O611" s="92" t="inlineStr">
        <is>
          <t>BOR FY</t>
        </is>
      </c>
      <c r="P611" s="109" t="n">
        <v>404726.4</v>
      </c>
      <c r="Q611" s="92" t="inlineStr">
        <is>
          <t>EUR</t>
        </is>
      </c>
      <c r="R611" s="92" t="inlineStr">
        <is>
          <t>Synthetische vastgelegde invoer; geen echte historie</t>
        </is>
      </c>
      <c r="S611" s="15" t="str">
        <f>IF(J611="","",J611&amp;"|"&amp;E611&amp;"|"&amp;F611&amp;"|"&amp;I611&amp;"|"&amp;O611)</f>
        <v>G.900001.8.9090|2026|Q3|2027|BOR FY</v>
      </c>
      <c r="T611" s="15">
        <f>IF(OR(S611="",D611&lt;&gt;"Vastgesteld"),"",_xlfn.MAXIFS($G$6:$G$5005,$S$6:$S$5005,S611,$D$6:$D$5005,"Vastgesteld"))</f>
        <v>0</v>
      </c>
      <c r="U611" s="15">
        <f>IF(T611="",0,IF(AND(G611=T611,COUNTIFS($S$6:S611,S611,$G$6:G611,G611,$D$6:D611,"Vastgesteld")=1),1,0))</f>
        <v>1</v>
      </c>
      <c r="V611" s="15">
        <f>IF(T611="",0,IF(AND(G611=T611,COUNTIFS($S$6:S611,S611,$G$6:G611,G611,$D$6:D611,"Vastgesteld")&gt;1),1,0))</f>
        <v>0</v>
      </c>
    </row>
    <row r="612">
      <c r="A612" s="92" t="inlineStr">
        <is>
          <t>HIST-2026-Q3</t>
        </is>
      </c>
      <c r="B612" s="92" t="inlineStr">
        <is>
          <t>RDFO_FICTIEVE_historie_en_mapping.xlsx</t>
        </is>
      </c>
      <c r="C612" s="108" t="n">
        <v>46324</v>
      </c>
      <c r="D612" s="92" t="inlineStr">
        <is>
          <t>Vastgesteld</t>
        </is>
      </c>
      <c r="E612" s="92" t="n">
        <v>2026</v>
      </c>
      <c r="F612" s="92" t="inlineStr">
        <is>
          <t>Q3</t>
        </is>
      </c>
      <c r="G612" s="92" t="n">
        <v>0</v>
      </c>
      <c r="H612" s="108" t="n">
        <v>46295</v>
      </c>
      <c r="I612" s="92" t="n">
        <v>2026</v>
      </c>
      <c r="J612" s="92" t="inlineStr">
        <is>
          <t>G.900002.8.9090</t>
        </is>
      </c>
      <c r="K612" s="92" t="inlineStr">
        <is>
          <t>G.900002</t>
        </is>
      </c>
      <c r="L612" s="92" t="inlineStr">
        <is>
          <t>Duinwaard, De Watergaarde</t>
        </is>
      </c>
      <c r="M612" s="92" t="inlineStr">
        <is>
          <t>Opstal</t>
        </is>
      </c>
      <c r="N612" s="92" t="inlineStr">
        <is>
          <t>J</t>
        </is>
      </c>
      <c r="O612" s="92" t="inlineStr">
        <is>
          <t>Omzet FY</t>
        </is>
      </c>
      <c r="P612" s="109" t="n">
        <v>3720000</v>
      </c>
      <c r="Q612" s="92" t="inlineStr">
        <is>
          <t>EUR</t>
        </is>
      </c>
      <c r="R612" s="92" t="inlineStr">
        <is>
          <t>Synthetische vastgelegde invoer; geen echte historie</t>
        </is>
      </c>
      <c r="S612" s="15" t="str">
        <f>IF(J612="","",J612&amp;"|"&amp;E612&amp;"|"&amp;F612&amp;"|"&amp;I612&amp;"|"&amp;O612)</f>
        <v>G.900002.8.9090|2026|Q3|2026|Omzet FY</v>
      </c>
      <c r="T612" s="15">
        <f>IF(OR(S612="",D612&lt;&gt;"Vastgesteld"),"",_xlfn.MAXIFS($G$6:$G$5005,$S$6:$S$5005,S612,$D$6:$D$5005,"Vastgesteld"))</f>
        <v>0</v>
      </c>
      <c r="U612" s="15">
        <f>IF(T612="",0,IF(AND(G612=T612,COUNTIFS($S$6:S612,S612,$G$6:G612,G612,$D$6:D612,"Vastgesteld")=1),1,0))</f>
        <v>1</v>
      </c>
      <c r="V612" s="15">
        <f>IF(T612="",0,IF(AND(G612=T612,COUNTIFS($S$6:S612,S612,$G$6:G612,G612,$D$6:D612,"Vastgesteld")&gt;1),1,0))</f>
        <v>0</v>
      </c>
    </row>
    <row r="613">
      <c r="A613" s="92" t="inlineStr">
        <is>
          <t>HIST-2026-Q3</t>
        </is>
      </c>
      <c r="B613" s="92" t="inlineStr">
        <is>
          <t>RDFO_FICTIEVE_historie_en_mapping.xlsx</t>
        </is>
      </c>
      <c r="C613" s="108" t="n">
        <v>46324</v>
      </c>
      <c r="D613" s="92" t="inlineStr">
        <is>
          <t>Vastgesteld</t>
        </is>
      </c>
      <c r="E613" s="92" t="n">
        <v>2026</v>
      </c>
      <c r="F613" s="92" t="inlineStr">
        <is>
          <t>Q3</t>
        </is>
      </c>
      <c r="G613" s="92" t="n">
        <v>0</v>
      </c>
      <c r="H613" s="108" t="n">
        <v>46295</v>
      </c>
      <c r="I613" s="92" t="n">
        <v>2026</v>
      </c>
      <c r="J613" s="92" t="inlineStr">
        <is>
          <t>G.900002.8.9090</t>
        </is>
      </c>
      <c r="K613" s="92" t="inlineStr">
        <is>
          <t>G.900002</t>
        </is>
      </c>
      <c r="L613" s="92" t="inlineStr">
        <is>
          <t>Duinwaard, De Watergaarde</t>
        </is>
      </c>
      <c r="M613" s="92" t="inlineStr">
        <is>
          <t>Opstal</t>
        </is>
      </c>
      <c r="N613" s="92" t="inlineStr">
        <is>
          <t>J</t>
        </is>
      </c>
      <c r="O613" s="92" t="inlineStr">
        <is>
          <t>BOR FY</t>
        </is>
      </c>
      <c r="P613" s="109" t="n">
        <v>446400</v>
      </c>
      <c r="Q613" s="92" t="inlineStr">
        <is>
          <t>EUR</t>
        </is>
      </c>
      <c r="R613" s="92" t="inlineStr">
        <is>
          <t>Synthetische vastgelegde invoer; geen echte historie</t>
        </is>
      </c>
      <c r="S613" s="15" t="str">
        <f>IF(J613="","",J613&amp;"|"&amp;E613&amp;"|"&amp;F613&amp;"|"&amp;I613&amp;"|"&amp;O613)</f>
        <v>G.900002.8.9090|2026|Q3|2026|BOR FY</v>
      </c>
      <c r="T613" s="15">
        <f>IF(OR(S613="",D613&lt;&gt;"Vastgesteld"),"",_xlfn.MAXIFS($G$6:$G$5005,$S$6:$S$5005,S613,$D$6:$D$5005,"Vastgesteld"))</f>
        <v>0</v>
      </c>
      <c r="U613" s="15">
        <f>IF(T613="",0,IF(AND(G613=T613,COUNTIFS($S$6:S613,S613,$G$6:G613,G613,$D$6:D613,"Vastgesteld")=1),1,0))</f>
        <v>1</v>
      </c>
      <c r="V613" s="15">
        <f>IF(T613="",0,IF(AND(G613=T613,COUNTIFS($S$6:S613,S613,$G$6:G613,G613,$D$6:D613,"Vastgesteld")&gt;1),1,0))</f>
        <v>0</v>
      </c>
    </row>
    <row r="614">
      <c r="A614" s="92" t="inlineStr">
        <is>
          <t>HIST-2026-Q3</t>
        </is>
      </c>
      <c r="B614" s="92" t="inlineStr">
        <is>
          <t>RDFO_FICTIEVE_historie_en_mapping.xlsx</t>
        </is>
      </c>
      <c r="C614" s="108" t="n">
        <v>46324</v>
      </c>
      <c r="D614" s="92" t="inlineStr">
        <is>
          <t>Vastgesteld</t>
        </is>
      </c>
      <c r="E614" s="92" t="n">
        <v>2026</v>
      </c>
      <c r="F614" s="92" t="inlineStr">
        <is>
          <t>Q3</t>
        </is>
      </c>
      <c r="G614" s="92" t="n">
        <v>0</v>
      </c>
      <c r="H614" s="108" t="n">
        <v>46295</v>
      </c>
      <c r="I614" s="92" t="n">
        <v>2026</v>
      </c>
      <c r="J614" s="92" t="inlineStr">
        <is>
          <t>G.900002.8.9090</t>
        </is>
      </c>
      <c r="K614" s="92" t="inlineStr">
        <is>
          <t>G.900002</t>
        </is>
      </c>
      <c r="L614" s="92" t="inlineStr">
        <is>
          <t>Duinwaard, De Watergaarde</t>
        </is>
      </c>
      <c r="M614" s="92" t="inlineStr">
        <is>
          <t>Opstal</t>
        </is>
      </c>
      <c r="N614" s="92" t="inlineStr">
        <is>
          <t>J</t>
        </is>
      </c>
      <c r="O614" s="92" t="inlineStr">
        <is>
          <t>Omzet actual YTD</t>
        </is>
      </c>
      <c r="P614" s="109" t="n">
        <v>2418000</v>
      </c>
      <c r="Q614" s="92" t="inlineStr">
        <is>
          <t>EUR</t>
        </is>
      </c>
      <c r="R614" s="92" t="inlineStr">
        <is>
          <t>Synthetische vastgelegde invoer; geen echte historie</t>
        </is>
      </c>
      <c r="S614" s="15" t="str">
        <f>IF(J614="","",J614&amp;"|"&amp;E614&amp;"|"&amp;F614&amp;"|"&amp;I614&amp;"|"&amp;O614)</f>
        <v>G.900002.8.9090|2026|Q3|2026|Omzet actual YTD</v>
      </c>
      <c r="T614" s="15">
        <f>IF(OR(S614="",D614&lt;&gt;"Vastgesteld"),"",_xlfn.MAXIFS($G$6:$G$5005,$S$6:$S$5005,S614,$D$6:$D$5005,"Vastgesteld"))</f>
        <v>0</v>
      </c>
      <c r="U614" s="15">
        <f>IF(T614="",0,IF(AND(G614=T614,COUNTIFS($S$6:S614,S614,$G$6:G614,G614,$D$6:D614,"Vastgesteld")=1),1,0))</f>
        <v>1</v>
      </c>
      <c r="V614" s="15">
        <f>IF(T614="",0,IF(AND(G614=T614,COUNTIFS($S$6:S614,S614,$G$6:G614,G614,$D$6:D614,"Vastgesteld")&gt;1),1,0))</f>
        <v>0</v>
      </c>
    </row>
    <row r="615">
      <c r="A615" s="92" t="inlineStr">
        <is>
          <t>HIST-2026-Q3</t>
        </is>
      </c>
      <c r="B615" s="92" t="inlineStr">
        <is>
          <t>RDFO_FICTIEVE_historie_en_mapping.xlsx</t>
        </is>
      </c>
      <c r="C615" s="108" t="n">
        <v>46324</v>
      </c>
      <c r="D615" s="92" t="inlineStr">
        <is>
          <t>Vastgesteld</t>
        </is>
      </c>
      <c r="E615" s="92" t="n">
        <v>2026</v>
      </c>
      <c r="F615" s="92" t="inlineStr">
        <is>
          <t>Q3</t>
        </is>
      </c>
      <c r="G615" s="92" t="n">
        <v>0</v>
      </c>
      <c r="H615" s="108" t="n">
        <v>46295</v>
      </c>
      <c r="I615" s="92" t="n">
        <v>2026</v>
      </c>
      <c r="J615" s="92" t="inlineStr">
        <is>
          <t>G.900002.8.9090</t>
        </is>
      </c>
      <c r="K615" s="92" t="inlineStr">
        <is>
          <t>G.900002</t>
        </is>
      </c>
      <c r="L615" s="92" t="inlineStr">
        <is>
          <t>Duinwaard, De Watergaarde</t>
        </is>
      </c>
      <c r="M615" s="92" t="inlineStr">
        <is>
          <t>Opstal</t>
        </is>
      </c>
      <c r="N615" s="92" t="inlineStr">
        <is>
          <t>J</t>
        </is>
      </c>
      <c r="O615" s="92" t="inlineStr">
        <is>
          <t>BOR actual YTD</t>
        </is>
      </c>
      <c r="P615" s="109" t="n">
        <v>290160</v>
      </c>
      <c r="Q615" s="92" t="inlineStr">
        <is>
          <t>EUR</t>
        </is>
      </c>
      <c r="R615" s="92" t="inlineStr">
        <is>
          <t>Synthetische vastgelegde invoer; geen echte historie</t>
        </is>
      </c>
      <c r="S615" s="15" t="str">
        <f>IF(J615="","",J615&amp;"|"&amp;E615&amp;"|"&amp;F615&amp;"|"&amp;I615&amp;"|"&amp;O615)</f>
        <v>G.900002.8.9090|2026|Q3|2026|BOR actual YTD</v>
      </c>
      <c r="T615" s="15">
        <f>IF(OR(S615="",D615&lt;&gt;"Vastgesteld"),"",_xlfn.MAXIFS($G$6:$G$5005,$S$6:$S$5005,S615,$D$6:$D$5005,"Vastgesteld"))</f>
        <v>0</v>
      </c>
      <c r="U615" s="15">
        <f>IF(T615="",0,IF(AND(G615=T615,COUNTIFS($S$6:S615,S615,$G$6:G615,G615,$D$6:D615,"Vastgesteld")=1),1,0))</f>
        <v>1</v>
      </c>
      <c r="V615" s="15">
        <f>IF(T615="",0,IF(AND(G615=T615,COUNTIFS($S$6:S615,S615,$G$6:G615,G615,$D$6:D615,"Vastgesteld")&gt;1),1,0))</f>
        <v>0</v>
      </c>
    </row>
    <row r="616">
      <c r="A616" s="92" t="inlineStr">
        <is>
          <t>HIST-2026-Q3</t>
        </is>
      </c>
      <c r="B616" s="92" t="inlineStr">
        <is>
          <t>RDFO_FICTIEVE_historie_en_mapping.xlsx</t>
        </is>
      </c>
      <c r="C616" s="108" t="n">
        <v>46324</v>
      </c>
      <c r="D616" s="92" t="inlineStr">
        <is>
          <t>Vastgesteld</t>
        </is>
      </c>
      <c r="E616" s="92" t="n">
        <v>2026</v>
      </c>
      <c r="F616" s="92" t="inlineStr">
        <is>
          <t>Q3</t>
        </is>
      </c>
      <c r="G616" s="92" t="n">
        <v>0</v>
      </c>
      <c r="H616" s="108" t="n">
        <v>46295</v>
      </c>
      <c r="I616" s="92" t="n">
        <v>2027</v>
      </c>
      <c r="J616" s="92" t="inlineStr">
        <is>
          <t>G.900002.8.9090</t>
        </is>
      </c>
      <c r="K616" s="92" t="inlineStr">
        <is>
          <t>G.900002</t>
        </is>
      </c>
      <c r="L616" s="92" t="inlineStr">
        <is>
          <t>Duinwaard, De Watergaarde</t>
        </is>
      </c>
      <c r="M616" s="92" t="inlineStr">
        <is>
          <t>Opstal</t>
        </is>
      </c>
      <c r="N616" s="92" t="inlineStr">
        <is>
          <t>J</t>
        </is>
      </c>
      <c r="O616" s="92" t="inlineStr">
        <is>
          <t>Omzet FY</t>
        </is>
      </c>
      <c r="P616" s="109" t="n">
        <v>5803200</v>
      </c>
      <c r="Q616" s="92" t="inlineStr">
        <is>
          <t>EUR</t>
        </is>
      </c>
      <c r="R616" s="92" t="inlineStr">
        <is>
          <t>Synthetische vastgelegde invoer; geen echte historie</t>
        </is>
      </c>
      <c r="S616" s="15" t="str">
        <f>IF(J616="","",J616&amp;"|"&amp;E616&amp;"|"&amp;F616&amp;"|"&amp;I616&amp;"|"&amp;O616)</f>
        <v>G.900002.8.9090|2026|Q3|2027|Omzet FY</v>
      </c>
      <c r="T616" s="15">
        <f>IF(OR(S616="",D616&lt;&gt;"Vastgesteld"),"",_xlfn.MAXIFS($G$6:$G$5005,$S$6:$S$5005,S616,$D$6:$D$5005,"Vastgesteld"))</f>
        <v>0</v>
      </c>
      <c r="U616" s="15">
        <f>IF(T616="",0,IF(AND(G616=T616,COUNTIFS($S$6:S616,S616,$G$6:G616,G616,$D$6:D616,"Vastgesteld")=1),1,0))</f>
        <v>1</v>
      </c>
      <c r="V616" s="15">
        <f>IF(T616="",0,IF(AND(G616=T616,COUNTIFS($S$6:S616,S616,$G$6:G616,G616,$D$6:D616,"Vastgesteld")&gt;1),1,0))</f>
        <v>0</v>
      </c>
    </row>
    <row r="617">
      <c r="A617" s="92" t="inlineStr">
        <is>
          <t>HIST-2026-Q3</t>
        </is>
      </c>
      <c r="B617" s="92" t="inlineStr">
        <is>
          <t>RDFO_FICTIEVE_historie_en_mapping.xlsx</t>
        </is>
      </c>
      <c r="C617" s="108" t="n">
        <v>46324</v>
      </c>
      <c r="D617" s="92" t="inlineStr">
        <is>
          <t>Vastgesteld</t>
        </is>
      </c>
      <c r="E617" s="92" t="n">
        <v>2026</v>
      </c>
      <c r="F617" s="92" t="inlineStr">
        <is>
          <t>Q3</t>
        </is>
      </c>
      <c r="G617" s="92" t="n">
        <v>0</v>
      </c>
      <c r="H617" s="108" t="n">
        <v>46295</v>
      </c>
      <c r="I617" s="92" t="n">
        <v>2027</v>
      </c>
      <c r="J617" s="92" t="inlineStr">
        <is>
          <t>G.900002.8.9090</t>
        </is>
      </c>
      <c r="K617" s="92" t="inlineStr">
        <is>
          <t>G.900002</t>
        </is>
      </c>
      <c r="L617" s="92" t="inlineStr">
        <is>
          <t>Duinwaard, De Watergaarde</t>
        </is>
      </c>
      <c r="M617" s="92" t="inlineStr">
        <is>
          <t>Opstal</t>
        </is>
      </c>
      <c r="N617" s="92" t="inlineStr">
        <is>
          <t>J</t>
        </is>
      </c>
      <c r="O617" s="92" t="inlineStr">
        <is>
          <t>BOR FY</t>
        </is>
      </c>
      <c r="P617" s="109" t="n">
        <v>696384</v>
      </c>
      <c r="Q617" s="92" t="inlineStr">
        <is>
          <t>EUR</t>
        </is>
      </c>
      <c r="R617" s="92" t="inlineStr">
        <is>
          <t>Synthetische vastgelegde invoer; geen echte historie</t>
        </is>
      </c>
      <c r="S617" s="15" t="str">
        <f>IF(J617="","",J617&amp;"|"&amp;E617&amp;"|"&amp;F617&amp;"|"&amp;I617&amp;"|"&amp;O617)</f>
        <v>G.900002.8.9090|2026|Q3|2027|BOR FY</v>
      </c>
      <c r="T617" s="15">
        <f>IF(OR(S617="",D617&lt;&gt;"Vastgesteld"),"",_xlfn.MAXIFS($G$6:$G$5005,$S$6:$S$5005,S617,$D$6:$D$5005,"Vastgesteld"))</f>
        <v>0</v>
      </c>
      <c r="U617" s="15">
        <f>IF(T617="",0,IF(AND(G617=T617,COUNTIFS($S$6:S617,S617,$G$6:G617,G617,$D$6:D617,"Vastgesteld")=1),1,0))</f>
        <v>1</v>
      </c>
      <c r="V617" s="15">
        <f>IF(T617="",0,IF(AND(G617=T617,COUNTIFS($S$6:S617,S617,$G$6:G617,G617,$D$6:D617,"Vastgesteld")&gt;1),1,0))</f>
        <v>0</v>
      </c>
    </row>
    <row r="618">
      <c r="A618" s="92" t="inlineStr">
        <is>
          <t>HIST-2026-Q3</t>
        </is>
      </c>
      <c r="B618" s="92" t="inlineStr">
        <is>
          <t>RDFO_FICTIEVE_historie_en_mapping.xlsx</t>
        </is>
      </c>
      <c r="C618" s="108" t="n">
        <v>46324</v>
      </c>
      <c r="D618" s="92" t="inlineStr">
        <is>
          <t>Vastgesteld</t>
        </is>
      </c>
      <c r="E618" s="92" t="n">
        <v>2026</v>
      </c>
      <c r="F618" s="92" t="inlineStr">
        <is>
          <t>Q3</t>
        </is>
      </c>
      <c r="G618" s="92" t="n">
        <v>0</v>
      </c>
      <c r="H618" s="108" t="n">
        <v>46295</v>
      </c>
      <c r="I618" s="92" t="n">
        <v>2026</v>
      </c>
      <c r="J618" s="92" t="inlineStr">
        <is>
          <t>G.900003.8.9090</t>
        </is>
      </c>
      <c r="K618" s="92" t="inlineStr">
        <is>
          <t>G.900003</t>
        </is>
      </c>
      <c r="L618" s="92" t="inlineStr">
        <is>
          <t>Veldendam, Stationshof</t>
        </is>
      </c>
      <c r="M618" s="92" t="inlineStr">
        <is>
          <t>Opstal</t>
        </is>
      </c>
      <c r="N618" s="92" t="inlineStr">
        <is>
          <t>J</t>
        </is>
      </c>
      <c r="O618" s="92" t="inlineStr">
        <is>
          <t>Omzet FY</t>
        </is>
      </c>
      <c r="P618" s="109" t="n">
        <v>4560000</v>
      </c>
      <c r="Q618" s="92" t="inlineStr">
        <is>
          <t>EUR</t>
        </is>
      </c>
      <c r="R618" s="92" t="inlineStr">
        <is>
          <t>Synthetische vastgelegde invoer; geen echte historie</t>
        </is>
      </c>
      <c r="S618" s="15" t="str">
        <f>IF(J618="","",J618&amp;"|"&amp;E618&amp;"|"&amp;F618&amp;"|"&amp;I618&amp;"|"&amp;O618)</f>
        <v>G.900003.8.9090|2026|Q3|2026|Omzet FY</v>
      </c>
      <c r="T618" s="15">
        <f>IF(OR(S618="",D618&lt;&gt;"Vastgesteld"),"",_xlfn.MAXIFS($G$6:$G$5005,$S$6:$S$5005,S618,$D$6:$D$5005,"Vastgesteld"))</f>
        <v>0</v>
      </c>
      <c r="U618" s="15">
        <f>IF(T618="",0,IF(AND(G618=T618,COUNTIFS($S$6:S618,S618,$G$6:G618,G618,$D$6:D618,"Vastgesteld")=1),1,0))</f>
        <v>1</v>
      </c>
      <c r="V618" s="15">
        <f>IF(T618="",0,IF(AND(G618=T618,COUNTIFS($S$6:S618,S618,$G$6:G618,G618,$D$6:D618,"Vastgesteld")&gt;1),1,0))</f>
        <v>0</v>
      </c>
    </row>
    <row r="619">
      <c r="A619" s="92" t="inlineStr">
        <is>
          <t>HIST-2026-Q3</t>
        </is>
      </c>
      <c r="B619" s="92" t="inlineStr">
        <is>
          <t>RDFO_FICTIEVE_historie_en_mapping.xlsx</t>
        </is>
      </c>
      <c r="C619" s="108" t="n">
        <v>46324</v>
      </c>
      <c r="D619" s="92" t="inlineStr">
        <is>
          <t>Vastgesteld</t>
        </is>
      </c>
      <c r="E619" s="92" t="n">
        <v>2026</v>
      </c>
      <c r="F619" s="92" t="inlineStr">
        <is>
          <t>Q3</t>
        </is>
      </c>
      <c r="G619" s="92" t="n">
        <v>0</v>
      </c>
      <c r="H619" s="108" t="n">
        <v>46295</v>
      </c>
      <c r="I619" s="92" t="n">
        <v>2026</v>
      </c>
      <c r="J619" s="92" t="inlineStr">
        <is>
          <t>G.900003.8.9090</t>
        </is>
      </c>
      <c r="K619" s="92" t="inlineStr">
        <is>
          <t>G.900003</t>
        </is>
      </c>
      <c r="L619" s="92" t="inlineStr">
        <is>
          <t>Veldendam, Stationshof</t>
        </is>
      </c>
      <c r="M619" s="92" t="inlineStr">
        <is>
          <t>Opstal</t>
        </is>
      </c>
      <c r="N619" s="92" t="inlineStr">
        <is>
          <t>J</t>
        </is>
      </c>
      <c r="O619" s="92" t="inlineStr">
        <is>
          <t>BOR FY</t>
        </is>
      </c>
      <c r="P619" s="109" t="n">
        <v>342000</v>
      </c>
      <c r="Q619" s="92" t="inlineStr">
        <is>
          <t>EUR</t>
        </is>
      </c>
      <c r="R619" s="92" t="inlineStr">
        <is>
          <t>Synthetische vastgelegde invoer; geen echte historie</t>
        </is>
      </c>
      <c r="S619" s="15" t="str">
        <f>IF(J619="","",J619&amp;"|"&amp;E619&amp;"|"&amp;F619&amp;"|"&amp;I619&amp;"|"&amp;O619)</f>
        <v>G.900003.8.9090|2026|Q3|2026|BOR FY</v>
      </c>
      <c r="T619" s="15">
        <f>IF(OR(S619="",D619&lt;&gt;"Vastgesteld"),"",_xlfn.MAXIFS($G$6:$G$5005,$S$6:$S$5005,S619,$D$6:$D$5005,"Vastgesteld"))</f>
        <v>0</v>
      </c>
      <c r="U619" s="15">
        <f>IF(T619="",0,IF(AND(G619=T619,COUNTIFS($S$6:S619,S619,$G$6:G619,G619,$D$6:D619,"Vastgesteld")=1),1,0))</f>
        <v>1</v>
      </c>
      <c r="V619" s="15">
        <f>IF(T619="",0,IF(AND(G619=T619,COUNTIFS($S$6:S619,S619,$G$6:G619,G619,$D$6:D619,"Vastgesteld")&gt;1),1,0))</f>
        <v>0</v>
      </c>
    </row>
    <row r="620">
      <c r="A620" s="92" t="inlineStr">
        <is>
          <t>HIST-2026-Q3</t>
        </is>
      </c>
      <c r="B620" s="92" t="inlineStr">
        <is>
          <t>RDFO_FICTIEVE_historie_en_mapping.xlsx</t>
        </is>
      </c>
      <c r="C620" s="108" t="n">
        <v>46324</v>
      </c>
      <c r="D620" s="92" t="inlineStr">
        <is>
          <t>Vastgesteld</t>
        </is>
      </c>
      <c r="E620" s="92" t="n">
        <v>2026</v>
      </c>
      <c r="F620" s="92" t="inlineStr">
        <is>
          <t>Q3</t>
        </is>
      </c>
      <c r="G620" s="92" t="n">
        <v>0</v>
      </c>
      <c r="H620" s="108" t="n">
        <v>46295</v>
      </c>
      <c r="I620" s="92" t="n">
        <v>2026</v>
      </c>
      <c r="J620" s="92" t="inlineStr">
        <is>
          <t>G.900003.8.9090</t>
        </is>
      </c>
      <c r="K620" s="92" t="inlineStr">
        <is>
          <t>G.900003</t>
        </is>
      </c>
      <c r="L620" s="92" t="inlineStr">
        <is>
          <t>Veldendam, Stationshof</t>
        </is>
      </c>
      <c r="M620" s="92" t="inlineStr">
        <is>
          <t>Opstal</t>
        </is>
      </c>
      <c r="N620" s="92" t="inlineStr">
        <is>
          <t>J</t>
        </is>
      </c>
      <c r="O620" s="92" t="inlineStr">
        <is>
          <t>Omzet actual YTD</t>
        </is>
      </c>
      <c r="P620" s="109" t="n">
        <v>2964000</v>
      </c>
      <c r="Q620" s="92" t="inlineStr">
        <is>
          <t>EUR</t>
        </is>
      </c>
      <c r="R620" s="92" t="inlineStr">
        <is>
          <t>Synthetische vastgelegde invoer; geen echte historie</t>
        </is>
      </c>
      <c r="S620" s="15" t="str">
        <f>IF(J620="","",J620&amp;"|"&amp;E620&amp;"|"&amp;F620&amp;"|"&amp;I620&amp;"|"&amp;O620)</f>
        <v>G.900003.8.9090|2026|Q3|2026|Omzet actual YTD</v>
      </c>
      <c r="T620" s="15">
        <f>IF(OR(S620="",D620&lt;&gt;"Vastgesteld"),"",_xlfn.MAXIFS($G$6:$G$5005,$S$6:$S$5005,S620,$D$6:$D$5005,"Vastgesteld"))</f>
        <v>0</v>
      </c>
      <c r="U620" s="15">
        <f>IF(T620="",0,IF(AND(G620=T620,COUNTIFS($S$6:S620,S620,$G$6:G620,G620,$D$6:D620,"Vastgesteld")=1),1,0))</f>
        <v>1</v>
      </c>
      <c r="V620" s="15">
        <f>IF(T620="",0,IF(AND(G620=T620,COUNTIFS($S$6:S620,S620,$G$6:G620,G620,$D$6:D620,"Vastgesteld")&gt;1),1,0))</f>
        <v>0</v>
      </c>
    </row>
    <row r="621">
      <c r="A621" s="92" t="inlineStr">
        <is>
          <t>HIST-2026-Q3</t>
        </is>
      </c>
      <c r="B621" s="92" t="inlineStr">
        <is>
          <t>RDFO_FICTIEVE_historie_en_mapping.xlsx</t>
        </is>
      </c>
      <c r="C621" s="108" t="n">
        <v>46324</v>
      </c>
      <c r="D621" s="92" t="inlineStr">
        <is>
          <t>Vastgesteld</t>
        </is>
      </c>
      <c r="E621" s="92" t="n">
        <v>2026</v>
      </c>
      <c r="F621" s="92" t="inlineStr">
        <is>
          <t>Q3</t>
        </is>
      </c>
      <c r="G621" s="92" t="n">
        <v>0</v>
      </c>
      <c r="H621" s="108" t="n">
        <v>46295</v>
      </c>
      <c r="I621" s="92" t="n">
        <v>2026</v>
      </c>
      <c r="J621" s="92" t="inlineStr">
        <is>
          <t>G.900003.8.9090</t>
        </is>
      </c>
      <c r="K621" s="92" t="inlineStr">
        <is>
          <t>G.900003</t>
        </is>
      </c>
      <c r="L621" s="92" t="inlineStr">
        <is>
          <t>Veldendam, Stationshof</t>
        </is>
      </c>
      <c r="M621" s="92" t="inlineStr">
        <is>
          <t>Opstal</t>
        </is>
      </c>
      <c r="N621" s="92" t="inlineStr">
        <is>
          <t>J</t>
        </is>
      </c>
      <c r="O621" s="92" t="inlineStr">
        <is>
          <t>BOR actual YTD</t>
        </is>
      </c>
      <c r="P621" s="109" t="n">
        <v>222300</v>
      </c>
      <c r="Q621" s="92" t="inlineStr">
        <is>
          <t>EUR</t>
        </is>
      </c>
      <c r="R621" s="92" t="inlineStr">
        <is>
          <t>Synthetische vastgelegde invoer; geen echte historie</t>
        </is>
      </c>
      <c r="S621" s="15" t="str">
        <f>IF(J621="","",J621&amp;"|"&amp;E621&amp;"|"&amp;F621&amp;"|"&amp;I621&amp;"|"&amp;O621)</f>
        <v>G.900003.8.9090|2026|Q3|2026|BOR actual YTD</v>
      </c>
      <c r="T621" s="15">
        <f>IF(OR(S621="",D621&lt;&gt;"Vastgesteld"),"",_xlfn.MAXIFS($G$6:$G$5005,$S$6:$S$5005,S621,$D$6:$D$5005,"Vastgesteld"))</f>
        <v>0</v>
      </c>
      <c r="U621" s="15">
        <f>IF(T621="",0,IF(AND(G621=T621,COUNTIFS($S$6:S621,S621,$G$6:G621,G621,$D$6:D621,"Vastgesteld")=1),1,0))</f>
        <v>1</v>
      </c>
      <c r="V621" s="15">
        <f>IF(T621="",0,IF(AND(G621=T621,COUNTIFS($S$6:S621,S621,$G$6:G621,G621,$D$6:D621,"Vastgesteld")&gt;1),1,0))</f>
        <v>0</v>
      </c>
    </row>
    <row r="622">
      <c r="A622" s="92" t="inlineStr">
        <is>
          <t>HIST-2026-Q3</t>
        </is>
      </c>
      <c r="B622" s="92" t="inlineStr">
        <is>
          <t>RDFO_FICTIEVE_historie_en_mapping.xlsx</t>
        </is>
      </c>
      <c r="C622" s="108" t="n">
        <v>46324</v>
      </c>
      <c r="D622" s="92" t="inlineStr">
        <is>
          <t>Vastgesteld</t>
        </is>
      </c>
      <c r="E622" s="92" t="n">
        <v>2026</v>
      </c>
      <c r="F622" s="92" t="inlineStr">
        <is>
          <t>Q3</t>
        </is>
      </c>
      <c r="G622" s="92" t="n">
        <v>0</v>
      </c>
      <c r="H622" s="108" t="n">
        <v>46295</v>
      </c>
      <c r="I622" s="92" t="n">
        <v>2027</v>
      </c>
      <c r="J622" s="92" t="inlineStr">
        <is>
          <t>G.900003.8.9090</t>
        </is>
      </c>
      <c r="K622" s="92" t="inlineStr">
        <is>
          <t>G.900003</t>
        </is>
      </c>
      <c r="L622" s="92" t="inlineStr">
        <is>
          <t>Veldendam, Stationshof</t>
        </is>
      </c>
      <c r="M622" s="92" t="inlineStr">
        <is>
          <t>Opstal</t>
        </is>
      </c>
      <c r="N622" s="92" t="inlineStr">
        <is>
          <t>J</t>
        </is>
      </c>
      <c r="O622" s="92" t="inlineStr">
        <is>
          <t>Omzet FY</t>
        </is>
      </c>
      <c r="P622" s="109" t="n">
        <v>13832000</v>
      </c>
      <c r="Q622" s="92" t="inlineStr">
        <is>
          <t>EUR</t>
        </is>
      </c>
      <c r="R622" s="92" t="inlineStr">
        <is>
          <t>Synthetische vastgelegde invoer; geen echte historie</t>
        </is>
      </c>
      <c r="S622" s="15" t="str">
        <f>IF(J622="","",J622&amp;"|"&amp;E622&amp;"|"&amp;F622&amp;"|"&amp;I622&amp;"|"&amp;O622)</f>
        <v>G.900003.8.9090|2026|Q3|2027|Omzet FY</v>
      </c>
      <c r="T622" s="15">
        <f>IF(OR(S622="",D622&lt;&gt;"Vastgesteld"),"",_xlfn.MAXIFS($G$6:$G$5005,$S$6:$S$5005,S622,$D$6:$D$5005,"Vastgesteld"))</f>
        <v>0</v>
      </c>
      <c r="U622" s="15">
        <f>IF(T622="",0,IF(AND(G622=T622,COUNTIFS($S$6:S622,S622,$G$6:G622,G622,$D$6:D622,"Vastgesteld")=1),1,0))</f>
        <v>1</v>
      </c>
      <c r="V622" s="15">
        <f>IF(T622="",0,IF(AND(G622=T622,COUNTIFS($S$6:S622,S622,$G$6:G622,G622,$D$6:D622,"Vastgesteld")&gt;1),1,0))</f>
        <v>0</v>
      </c>
    </row>
    <row r="623">
      <c r="A623" s="92" t="inlineStr">
        <is>
          <t>HIST-2026-Q3</t>
        </is>
      </c>
      <c r="B623" s="92" t="inlineStr">
        <is>
          <t>RDFO_FICTIEVE_historie_en_mapping.xlsx</t>
        </is>
      </c>
      <c r="C623" s="108" t="n">
        <v>46324</v>
      </c>
      <c r="D623" s="92" t="inlineStr">
        <is>
          <t>Vastgesteld</t>
        </is>
      </c>
      <c r="E623" s="92" t="n">
        <v>2026</v>
      </c>
      <c r="F623" s="92" t="inlineStr">
        <is>
          <t>Q3</t>
        </is>
      </c>
      <c r="G623" s="92" t="n">
        <v>0</v>
      </c>
      <c r="H623" s="108" t="n">
        <v>46295</v>
      </c>
      <c r="I623" s="92" t="n">
        <v>2027</v>
      </c>
      <c r="J623" s="92" t="inlineStr">
        <is>
          <t>G.900003.8.9090</t>
        </is>
      </c>
      <c r="K623" s="92" t="inlineStr">
        <is>
          <t>G.900003</t>
        </is>
      </c>
      <c r="L623" s="92" t="inlineStr">
        <is>
          <t>Veldendam, Stationshof</t>
        </is>
      </c>
      <c r="M623" s="92" t="inlineStr">
        <is>
          <t>Opstal</t>
        </is>
      </c>
      <c r="N623" s="92" t="inlineStr">
        <is>
          <t>J</t>
        </is>
      </c>
      <c r="O623" s="92" t="inlineStr">
        <is>
          <t>BOR FY</t>
        </is>
      </c>
      <c r="P623" s="109" t="n">
        <v>1037400</v>
      </c>
      <c r="Q623" s="92" t="inlineStr">
        <is>
          <t>EUR</t>
        </is>
      </c>
      <c r="R623" s="92" t="inlineStr">
        <is>
          <t>Synthetische vastgelegde invoer; geen echte historie</t>
        </is>
      </c>
      <c r="S623" s="15" t="str">
        <f>IF(J623="","",J623&amp;"|"&amp;E623&amp;"|"&amp;F623&amp;"|"&amp;I623&amp;"|"&amp;O623)</f>
        <v>G.900003.8.9090|2026|Q3|2027|BOR FY</v>
      </c>
      <c r="T623" s="15">
        <f>IF(OR(S623="",D623&lt;&gt;"Vastgesteld"),"",_xlfn.MAXIFS($G$6:$G$5005,$S$6:$S$5005,S623,$D$6:$D$5005,"Vastgesteld"))</f>
        <v>0</v>
      </c>
      <c r="U623" s="15">
        <f>IF(T623="",0,IF(AND(G623=T623,COUNTIFS($S$6:S623,S623,$G$6:G623,G623,$D$6:D623,"Vastgesteld")=1),1,0))</f>
        <v>1</v>
      </c>
      <c r="V623" s="15">
        <f>IF(T623="",0,IF(AND(G623=T623,COUNTIFS($S$6:S623,S623,$G$6:G623,G623,$D$6:D623,"Vastgesteld")&gt;1),1,0))</f>
        <v>0</v>
      </c>
    </row>
    <row r="624">
      <c r="A624" s="92" t="inlineStr">
        <is>
          <t>HIST-2026-Q3</t>
        </is>
      </c>
      <c r="B624" s="92" t="inlineStr">
        <is>
          <t>RDFO_FICTIEVE_historie_en_mapping.xlsx</t>
        </is>
      </c>
      <c r="C624" s="108" t="n">
        <v>46324</v>
      </c>
      <c r="D624" s="92" t="inlineStr">
        <is>
          <t>Vastgesteld</t>
        </is>
      </c>
      <c r="E624" s="92" t="n">
        <v>2026</v>
      </c>
      <c r="F624" s="92" t="inlineStr">
        <is>
          <t>Q3</t>
        </is>
      </c>
      <c r="G624" s="92" t="n">
        <v>0</v>
      </c>
      <c r="H624" s="108" t="n">
        <v>46295</v>
      </c>
      <c r="I624" s="92" t="n">
        <v>2026</v>
      </c>
      <c r="J624" s="92" t="inlineStr">
        <is>
          <t>G.900004.8.9090</t>
        </is>
      </c>
      <c r="K624" s="92" t="inlineStr">
        <is>
          <t>G.900004</t>
        </is>
      </c>
      <c r="L624" s="92" t="inlineStr">
        <is>
          <t>Meerhovenstad, Het Kompas</t>
        </is>
      </c>
      <c r="M624" s="92" t="inlineStr">
        <is>
          <t>Deelneming</t>
        </is>
      </c>
      <c r="N624" s="92" t="inlineStr">
        <is>
          <t>N</t>
        </is>
      </c>
      <c r="O624" s="92" t="inlineStr">
        <is>
          <t>Omzet FY</t>
        </is>
      </c>
      <c r="P624" s="109" t="n">
        <v>2419200</v>
      </c>
      <c r="Q624" s="92" t="inlineStr">
        <is>
          <t>EUR</t>
        </is>
      </c>
      <c r="R624" s="92" t="inlineStr">
        <is>
          <t>Synthetische vastgelegde invoer; geen echte historie</t>
        </is>
      </c>
      <c r="S624" s="15" t="str">
        <f>IF(J624="","",J624&amp;"|"&amp;E624&amp;"|"&amp;F624&amp;"|"&amp;I624&amp;"|"&amp;O624)</f>
        <v>G.900004.8.9090|2026|Q3|2026|Omzet FY</v>
      </c>
      <c r="T624" s="15">
        <f>IF(OR(S624="",D624&lt;&gt;"Vastgesteld"),"",_xlfn.MAXIFS($G$6:$G$5005,$S$6:$S$5005,S624,$D$6:$D$5005,"Vastgesteld"))</f>
        <v>0</v>
      </c>
      <c r="U624" s="15">
        <f>IF(T624="",0,IF(AND(G624=T624,COUNTIFS($S$6:S624,S624,$G$6:G624,G624,$D$6:D624,"Vastgesteld")=1),1,0))</f>
        <v>1</v>
      </c>
      <c r="V624" s="15">
        <f>IF(T624="",0,IF(AND(G624=T624,COUNTIFS($S$6:S624,S624,$G$6:G624,G624,$D$6:D624,"Vastgesteld")&gt;1),1,0))</f>
        <v>0</v>
      </c>
    </row>
    <row r="625">
      <c r="A625" s="92" t="inlineStr">
        <is>
          <t>HIST-2026-Q3</t>
        </is>
      </c>
      <c r="B625" s="92" t="inlineStr">
        <is>
          <t>RDFO_FICTIEVE_historie_en_mapping.xlsx</t>
        </is>
      </c>
      <c r="C625" s="108" t="n">
        <v>46324</v>
      </c>
      <c r="D625" s="92" t="inlineStr">
        <is>
          <t>Vastgesteld</t>
        </is>
      </c>
      <c r="E625" s="92" t="n">
        <v>2026</v>
      </c>
      <c r="F625" s="92" t="inlineStr">
        <is>
          <t>Q3</t>
        </is>
      </c>
      <c r="G625" s="92" t="n">
        <v>0</v>
      </c>
      <c r="H625" s="108" t="n">
        <v>46295</v>
      </c>
      <c r="I625" s="92" t="n">
        <v>2026</v>
      </c>
      <c r="J625" s="92" t="inlineStr">
        <is>
          <t>G.900004.8.9090</t>
        </is>
      </c>
      <c r="K625" s="92" t="inlineStr">
        <is>
          <t>G.900004</t>
        </is>
      </c>
      <c r="L625" s="92" t="inlineStr">
        <is>
          <t>Meerhovenstad, Het Kompas</t>
        </is>
      </c>
      <c r="M625" s="92" t="inlineStr">
        <is>
          <t>Deelneming</t>
        </is>
      </c>
      <c r="N625" s="92" t="inlineStr">
        <is>
          <t>N</t>
        </is>
      </c>
      <c r="O625" s="92" t="inlineStr">
        <is>
          <t>BOR FY</t>
        </is>
      </c>
      <c r="P625" s="109" t="n">
        <v>266112</v>
      </c>
      <c r="Q625" s="92" t="inlineStr">
        <is>
          <t>EUR</t>
        </is>
      </c>
      <c r="R625" s="92" t="inlineStr">
        <is>
          <t>Synthetische vastgelegde invoer; geen echte historie</t>
        </is>
      </c>
      <c r="S625" s="15" t="str">
        <f>IF(J625="","",J625&amp;"|"&amp;E625&amp;"|"&amp;F625&amp;"|"&amp;I625&amp;"|"&amp;O625)</f>
        <v>G.900004.8.9090|2026|Q3|2026|BOR FY</v>
      </c>
      <c r="T625" s="15">
        <f>IF(OR(S625="",D625&lt;&gt;"Vastgesteld"),"",_xlfn.MAXIFS($G$6:$G$5005,$S$6:$S$5005,S625,$D$6:$D$5005,"Vastgesteld"))</f>
        <v>0</v>
      </c>
      <c r="U625" s="15">
        <f>IF(T625="",0,IF(AND(G625=T625,COUNTIFS($S$6:S625,S625,$G$6:G625,G625,$D$6:D625,"Vastgesteld")=1),1,0))</f>
        <v>1</v>
      </c>
      <c r="V625" s="15">
        <f>IF(T625="",0,IF(AND(G625=T625,COUNTIFS($S$6:S625,S625,$G$6:G625,G625,$D$6:D625,"Vastgesteld")&gt;1),1,0))</f>
        <v>0</v>
      </c>
    </row>
    <row r="626">
      <c r="A626" s="92" t="inlineStr">
        <is>
          <t>HIST-2026-Q3</t>
        </is>
      </c>
      <c r="B626" s="92" t="inlineStr">
        <is>
          <t>RDFO_FICTIEVE_historie_en_mapping.xlsx</t>
        </is>
      </c>
      <c r="C626" s="108" t="n">
        <v>46324</v>
      </c>
      <c r="D626" s="92" t="inlineStr">
        <is>
          <t>Vastgesteld</t>
        </is>
      </c>
      <c r="E626" s="92" t="n">
        <v>2026</v>
      </c>
      <c r="F626" s="92" t="inlineStr">
        <is>
          <t>Q3</t>
        </is>
      </c>
      <c r="G626" s="92" t="n">
        <v>0</v>
      </c>
      <c r="H626" s="108" t="n">
        <v>46295</v>
      </c>
      <c r="I626" s="92" t="n">
        <v>2026</v>
      </c>
      <c r="J626" s="92" t="inlineStr">
        <is>
          <t>G.900004.8.9090</t>
        </is>
      </c>
      <c r="K626" s="92" t="inlineStr">
        <is>
          <t>G.900004</t>
        </is>
      </c>
      <c r="L626" s="92" t="inlineStr">
        <is>
          <t>Meerhovenstad, Het Kompas</t>
        </is>
      </c>
      <c r="M626" s="92" t="inlineStr">
        <is>
          <t>Deelneming</t>
        </is>
      </c>
      <c r="N626" s="92" t="inlineStr">
        <is>
          <t>N</t>
        </is>
      </c>
      <c r="O626" s="92" t="inlineStr">
        <is>
          <t>Omzet actual YTD</t>
        </is>
      </c>
      <c r="P626" s="109" t="n">
        <v>1572480</v>
      </c>
      <c r="Q626" s="92" t="inlineStr">
        <is>
          <t>EUR</t>
        </is>
      </c>
      <c r="R626" s="92" t="inlineStr">
        <is>
          <t>Synthetische vastgelegde invoer; geen echte historie</t>
        </is>
      </c>
      <c r="S626" s="15" t="str">
        <f>IF(J626="","",J626&amp;"|"&amp;E626&amp;"|"&amp;F626&amp;"|"&amp;I626&amp;"|"&amp;O626)</f>
        <v>G.900004.8.9090|2026|Q3|2026|Omzet actual YTD</v>
      </c>
      <c r="T626" s="15">
        <f>IF(OR(S626="",D626&lt;&gt;"Vastgesteld"),"",_xlfn.MAXIFS($G$6:$G$5005,$S$6:$S$5005,S626,$D$6:$D$5005,"Vastgesteld"))</f>
        <v>0</v>
      </c>
      <c r="U626" s="15">
        <f>IF(T626="",0,IF(AND(G626=T626,COUNTIFS($S$6:S626,S626,$G$6:G626,G626,$D$6:D626,"Vastgesteld")=1),1,0))</f>
        <v>1</v>
      </c>
      <c r="V626" s="15">
        <f>IF(T626="",0,IF(AND(G626=T626,COUNTIFS($S$6:S626,S626,$G$6:G626,G626,$D$6:D626,"Vastgesteld")&gt;1),1,0))</f>
        <v>0</v>
      </c>
    </row>
    <row r="627">
      <c r="A627" s="92" t="inlineStr">
        <is>
          <t>HIST-2026-Q3</t>
        </is>
      </c>
      <c r="B627" s="92" t="inlineStr">
        <is>
          <t>RDFO_FICTIEVE_historie_en_mapping.xlsx</t>
        </is>
      </c>
      <c r="C627" s="108" t="n">
        <v>46324</v>
      </c>
      <c r="D627" s="92" t="inlineStr">
        <is>
          <t>Vastgesteld</t>
        </is>
      </c>
      <c r="E627" s="92" t="n">
        <v>2026</v>
      </c>
      <c r="F627" s="92" t="inlineStr">
        <is>
          <t>Q3</t>
        </is>
      </c>
      <c r="G627" s="92" t="n">
        <v>0</v>
      </c>
      <c r="H627" s="108" t="n">
        <v>46295</v>
      </c>
      <c r="I627" s="92" t="n">
        <v>2026</v>
      </c>
      <c r="J627" s="92" t="inlineStr">
        <is>
          <t>G.900004.8.9090</t>
        </is>
      </c>
      <c r="K627" s="92" t="inlineStr">
        <is>
          <t>G.900004</t>
        </is>
      </c>
      <c r="L627" s="92" t="inlineStr">
        <is>
          <t>Meerhovenstad, Het Kompas</t>
        </is>
      </c>
      <c r="M627" s="92" t="inlineStr">
        <is>
          <t>Deelneming</t>
        </is>
      </c>
      <c r="N627" s="92" t="inlineStr">
        <is>
          <t>N</t>
        </is>
      </c>
      <c r="O627" s="92" t="inlineStr">
        <is>
          <t>BOR actual YTD</t>
        </is>
      </c>
      <c r="P627" s="109" t="n">
        <v>172972.8</v>
      </c>
      <c r="Q627" s="92" t="inlineStr">
        <is>
          <t>EUR</t>
        </is>
      </c>
      <c r="R627" s="92" t="inlineStr">
        <is>
          <t>Synthetische vastgelegde invoer; geen echte historie</t>
        </is>
      </c>
      <c r="S627" s="15" t="str">
        <f>IF(J627="","",J627&amp;"|"&amp;E627&amp;"|"&amp;F627&amp;"|"&amp;I627&amp;"|"&amp;O627)</f>
        <v>G.900004.8.9090|2026|Q3|2026|BOR actual YTD</v>
      </c>
      <c r="T627" s="15">
        <f>IF(OR(S627="",D627&lt;&gt;"Vastgesteld"),"",_xlfn.MAXIFS($G$6:$G$5005,$S$6:$S$5005,S627,$D$6:$D$5005,"Vastgesteld"))</f>
        <v>0</v>
      </c>
      <c r="U627" s="15">
        <f>IF(T627="",0,IF(AND(G627=T627,COUNTIFS($S$6:S627,S627,$G$6:G627,G627,$D$6:D627,"Vastgesteld")=1),1,0))</f>
        <v>1</v>
      </c>
      <c r="V627" s="15">
        <f>IF(T627="",0,IF(AND(G627=T627,COUNTIFS($S$6:S627,S627,$G$6:G627,G627,$D$6:D627,"Vastgesteld")&gt;1),1,0))</f>
        <v>0</v>
      </c>
    </row>
    <row r="628">
      <c r="A628" s="92" t="inlineStr">
        <is>
          <t>HIST-2026-Q3</t>
        </is>
      </c>
      <c r="B628" s="92" t="inlineStr">
        <is>
          <t>RDFO_FICTIEVE_historie_en_mapping.xlsx</t>
        </is>
      </c>
      <c r="C628" s="108" t="n">
        <v>46324</v>
      </c>
      <c r="D628" s="92" t="inlineStr">
        <is>
          <t>Vastgesteld</t>
        </is>
      </c>
      <c r="E628" s="92" t="n">
        <v>2026</v>
      </c>
      <c r="F628" s="92" t="inlineStr">
        <is>
          <t>Q3</t>
        </is>
      </c>
      <c r="G628" s="92" t="n">
        <v>0</v>
      </c>
      <c r="H628" s="108" t="n">
        <v>46295</v>
      </c>
      <c r="I628" s="92" t="n">
        <v>2027</v>
      </c>
      <c r="J628" s="92" t="inlineStr">
        <is>
          <t>G.900004.8.9090</t>
        </is>
      </c>
      <c r="K628" s="92" t="inlineStr">
        <is>
          <t>G.900004</t>
        </is>
      </c>
      <c r="L628" s="92" t="inlineStr">
        <is>
          <t>Meerhovenstad, Het Kompas</t>
        </is>
      </c>
      <c r="M628" s="92" t="inlineStr">
        <is>
          <t>Deelneming</t>
        </is>
      </c>
      <c r="N628" s="92" t="inlineStr">
        <is>
          <t>N</t>
        </is>
      </c>
      <c r="O628" s="92" t="inlineStr">
        <is>
          <t>Omzet FY</t>
        </is>
      </c>
      <c r="P628" s="109" t="n">
        <v>1609920</v>
      </c>
      <c r="Q628" s="92" t="inlineStr">
        <is>
          <t>EUR</t>
        </is>
      </c>
      <c r="R628" s="92" t="inlineStr">
        <is>
          <t>Synthetische vastgelegde invoer; geen echte historie</t>
        </is>
      </c>
      <c r="S628" s="15" t="str">
        <f>IF(J628="","",J628&amp;"|"&amp;E628&amp;"|"&amp;F628&amp;"|"&amp;I628&amp;"|"&amp;O628)</f>
        <v>G.900004.8.9090|2026|Q3|2027|Omzet FY</v>
      </c>
      <c r="T628" s="15">
        <f>IF(OR(S628="",D628&lt;&gt;"Vastgesteld"),"",_xlfn.MAXIFS($G$6:$G$5005,$S$6:$S$5005,S628,$D$6:$D$5005,"Vastgesteld"))</f>
        <v>0</v>
      </c>
      <c r="U628" s="15">
        <f>IF(T628="",0,IF(AND(G628=T628,COUNTIFS($S$6:S628,S628,$G$6:G628,G628,$D$6:D628,"Vastgesteld")=1),1,0))</f>
        <v>1</v>
      </c>
      <c r="V628" s="15">
        <f>IF(T628="",0,IF(AND(G628=T628,COUNTIFS($S$6:S628,S628,$G$6:G628,G628,$D$6:D628,"Vastgesteld")&gt;1),1,0))</f>
        <v>0</v>
      </c>
    </row>
    <row r="629">
      <c r="A629" s="92" t="inlineStr">
        <is>
          <t>HIST-2026-Q3</t>
        </is>
      </c>
      <c r="B629" s="92" t="inlineStr">
        <is>
          <t>RDFO_FICTIEVE_historie_en_mapping.xlsx</t>
        </is>
      </c>
      <c r="C629" s="108" t="n">
        <v>46324</v>
      </c>
      <c r="D629" s="92" t="inlineStr">
        <is>
          <t>Vastgesteld</t>
        </is>
      </c>
      <c r="E629" s="92" t="n">
        <v>2026</v>
      </c>
      <c r="F629" s="92" t="inlineStr">
        <is>
          <t>Q3</t>
        </is>
      </c>
      <c r="G629" s="92" t="n">
        <v>0</v>
      </c>
      <c r="H629" s="108" t="n">
        <v>46295</v>
      </c>
      <c r="I629" s="92" t="n">
        <v>2027</v>
      </c>
      <c r="J629" s="92" t="inlineStr">
        <is>
          <t>G.900004.8.9090</t>
        </is>
      </c>
      <c r="K629" s="92" t="inlineStr">
        <is>
          <t>G.900004</t>
        </is>
      </c>
      <c r="L629" s="92" t="inlineStr">
        <is>
          <t>Meerhovenstad, Het Kompas</t>
        </is>
      </c>
      <c r="M629" s="92" t="inlineStr">
        <is>
          <t>Deelneming</t>
        </is>
      </c>
      <c r="N629" s="92" t="inlineStr">
        <is>
          <t>N</t>
        </is>
      </c>
      <c r="O629" s="92" t="inlineStr">
        <is>
          <t>BOR FY</t>
        </is>
      </c>
      <c r="P629" s="109" t="n">
        <v>177091.2</v>
      </c>
      <c r="Q629" s="92" t="inlineStr">
        <is>
          <t>EUR</t>
        </is>
      </c>
      <c r="R629" s="92" t="inlineStr">
        <is>
          <t>Synthetische vastgelegde invoer; geen echte historie</t>
        </is>
      </c>
      <c r="S629" s="15" t="str">
        <f>IF(J629="","",J629&amp;"|"&amp;E629&amp;"|"&amp;F629&amp;"|"&amp;I629&amp;"|"&amp;O629)</f>
        <v>G.900004.8.9090|2026|Q3|2027|BOR FY</v>
      </c>
      <c r="T629" s="15">
        <f>IF(OR(S629="",D629&lt;&gt;"Vastgesteld"),"",_xlfn.MAXIFS($G$6:$G$5005,$S$6:$S$5005,S629,$D$6:$D$5005,"Vastgesteld"))</f>
        <v>0</v>
      </c>
      <c r="U629" s="15">
        <f>IF(T629="",0,IF(AND(G629=T629,COUNTIFS($S$6:S629,S629,$G$6:G629,G629,$D$6:D629,"Vastgesteld")=1),1,0))</f>
        <v>1</v>
      </c>
      <c r="V629" s="15">
        <f>IF(T629="",0,IF(AND(G629=T629,COUNTIFS($S$6:S629,S629,$G$6:G629,G629,$D$6:D629,"Vastgesteld")&gt;1),1,0))</f>
        <v>0</v>
      </c>
    </row>
    <row r="630">
      <c r="A630" s="92" t="inlineStr">
        <is>
          <t>HIST-2026-Q3</t>
        </is>
      </c>
      <c r="B630" s="92" t="inlineStr">
        <is>
          <t>RDFO_FICTIEVE_historie_en_mapping.xlsx</t>
        </is>
      </c>
      <c r="C630" s="108" t="n">
        <v>46324</v>
      </c>
      <c r="D630" s="92" t="inlineStr">
        <is>
          <t>Vastgesteld</t>
        </is>
      </c>
      <c r="E630" s="92" t="n">
        <v>2026</v>
      </c>
      <c r="F630" s="92" t="inlineStr">
        <is>
          <t>Q3</t>
        </is>
      </c>
      <c r="G630" s="92" t="n">
        <v>0</v>
      </c>
      <c r="H630" s="108" t="n">
        <v>46295</v>
      </c>
      <c r="I630" s="92" t="n">
        <v>2026</v>
      </c>
      <c r="J630" s="92" t="inlineStr">
        <is>
          <t>G.900005.8.9090</t>
        </is>
      </c>
      <c r="K630" s="92" t="inlineStr">
        <is>
          <t>G.900005</t>
        </is>
      </c>
      <c r="L630" s="92" t="inlineStr">
        <is>
          <t>Zilverdam, Kadezicht</t>
        </is>
      </c>
      <c r="M630" s="92" t="inlineStr">
        <is>
          <t>Opstal</t>
        </is>
      </c>
      <c r="N630" s="92" t="inlineStr">
        <is>
          <t>J</t>
        </is>
      </c>
      <c r="O630" s="92" t="inlineStr">
        <is>
          <t>Omzet FY</t>
        </is>
      </c>
      <c r="P630" s="109" t="n">
        <v>6720000</v>
      </c>
      <c r="Q630" s="92" t="inlineStr">
        <is>
          <t>EUR</t>
        </is>
      </c>
      <c r="R630" s="92" t="inlineStr">
        <is>
          <t>Synthetische vastgelegde invoer; geen echte historie</t>
        </is>
      </c>
      <c r="S630" s="15" t="str">
        <f>IF(J630="","",J630&amp;"|"&amp;E630&amp;"|"&amp;F630&amp;"|"&amp;I630&amp;"|"&amp;O630)</f>
        <v>G.900005.8.9090|2026|Q3|2026|Omzet FY</v>
      </c>
      <c r="T630" s="15">
        <f>IF(OR(S630="",D630&lt;&gt;"Vastgesteld"),"",_xlfn.MAXIFS($G$6:$G$5005,$S$6:$S$5005,S630,$D$6:$D$5005,"Vastgesteld"))</f>
        <v>0</v>
      </c>
      <c r="U630" s="15">
        <f>IF(T630="",0,IF(AND(G630=T630,COUNTIFS($S$6:S630,S630,$G$6:G630,G630,$D$6:D630,"Vastgesteld")=1),1,0))</f>
        <v>1</v>
      </c>
      <c r="V630" s="15">
        <f>IF(T630="",0,IF(AND(G630=T630,COUNTIFS($S$6:S630,S630,$G$6:G630,G630,$D$6:D630,"Vastgesteld")&gt;1),1,0))</f>
        <v>0</v>
      </c>
    </row>
    <row r="631">
      <c r="A631" s="92" t="inlineStr">
        <is>
          <t>HIST-2026-Q3</t>
        </is>
      </c>
      <c r="B631" s="92" t="inlineStr">
        <is>
          <t>RDFO_FICTIEVE_historie_en_mapping.xlsx</t>
        </is>
      </c>
      <c r="C631" s="108" t="n">
        <v>46324</v>
      </c>
      <c r="D631" s="92" t="inlineStr">
        <is>
          <t>Vastgesteld</t>
        </is>
      </c>
      <c r="E631" s="92" t="n">
        <v>2026</v>
      </c>
      <c r="F631" s="92" t="inlineStr">
        <is>
          <t>Q3</t>
        </is>
      </c>
      <c r="G631" s="92" t="n">
        <v>0</v>
      </c>
      <c r="H631" s="108" t="n">
        <v>46295</v>
      </c>
      <c r="I631" s="92" t="n">
        <v>2026</v>
      </c>
      <c r="J631" s="92" t="inlineStr">
        <is>
          <t>G.900005.8.9090</t>
        </is>
      </c>
      <c r="K631" s="92" t="inlineStr">
        <is>
          <t>G.900005</t>
        </is>
      </c>
      <c r="L631" s="92" t="inlineStr">
        <is>
          <t>Zilverdam, Kadezicht</t>
        </is>
      </c>
      <c r="M631" s="92" t="inlineStr">
        <is>
          <t>Opstal</t>
        </is>
      </c>
      <c r="N631" s="92" t="inlineStr">
        <is>
          <t>J</t>
        </is>
      </c>
      <c r="O631" s="92" t="inlineStr">
        <is>
          <t>BOR FY</t>
        </is>
      </c>
      <c r="P631" s="109" t="n">
        <v>436800</v>
      </c>
      <c r="Q631" s="92" t="inlineStr">
        <is>
          <t>EUR</t>
        </is>
      </c>
      <c r="R631" s="92" t="inlineStr">
        <is>
          <t>Synthetische vastgelegde invoer; geen echte historie</t>
        </is>
      </c>
      <c r="S631" s="15" t="str">
        <f>IF(J631="","",J631&amp;"|"&amp;E631&amp;"|"&amp;F631&amp;"|"&amp;I631&amp;"|"&amp;O631)</f>
        <v>G.900005.8.9090|2026|Q3|2026|BOR FY</v>
      </c>
      <c r="T631" s="15">
        <f>IF(OR(S631="",D631&lt;&gt;"Vastgesteld"),"",_xlfn.MAXIFS($G$6:$G$5005,$S$6:$S$5005,S631,$D$6:$D$5005,"Vastgesteld"))</f>
        <v>0</v>
      </c>
      <c r="U631" s="15">
        <f>IF(T631="",0,IF(AND(G631=T631,COUNTIFS($S$6:S631,S631,$G$6:G631,G631,$D$6:D631,"Vastgesteld")=1),1,0))</f>
        <v>1</v>
      </c>
      <c r="V631" s="15">
        <f>IF(T631="",0,IF(AND(G631=T631,COUNTIFS($S$6:S631,S631,$G$6:G631,G631,$D$6:D631,"Vastgesteld")&gt;1),1,0))</f>
        <v>0</v>
      </c>
    </row>
    <row r="632">
      <c r="A632" s="92" t="inlineStr">
        <is>
          <t>HIST-2026-Q3</t>
        </is>
      </c>
      <c r="B632" s="92" t="inlineStr">
        <is>
          <t>RDFO_FICTIEVE_historie_en_mapping.xlsx</t>
        </is>
      </c>
      <c r="C632" s="108" t="n">
        <v>46324</v>
      </c>
      <c r="D632" s="92" t="inlineStr">
        <is>
          <t>Vastgesteld</t>
        </is>
      </c>
      <c r="E632" s="92" t="n">
        <v>2026</v>
      </c>
      <c r="F632" s="92" t="inlineStr">
        <is>
          <t>Q3</t>
        </is>
      </c>
      <c r="G632" s="92" t="n">
        <v>0</v>
      </c>
      <c r="H632" s="108" t="n">
        <v>46295</v>
      </c>
      <c r="I632" s="92" t="n">
        <v>2026</v>
      </c>
      <c r="J632" s="92" t="inlineStr">
        <is>
          <t>G.900005.8.9090</t>
        </is>
      </c>
      <c r="K632" s="92" t="inlineStr">
        <is>
          <t>G.900005</t>
        </is>
      </c>
      <c r="L632" s="92" t="inlineStr">
        <is>
          <t>Zilverdam, Kadezicht</t>
        </is>
      </c>
      <c r="M632" s="92" t="inlineStr">
        <is>
          <t>Opstal</t>
        </is>
      </c>
      <c r="N632" s="92" t="inlineStr">
        <is>
          <t>J</t>
        </is>
      </c>
      <c r="O632" s="92" t="inlineStr">
        <is>
          <t>Omzet actual YTD</t>
        </is>
      </c>
      <c r="P632" s="109" t="n">
        <v>4368000</v>
      </c>
      <c r="Q632" s="92" t="inlineStr">
        <is>
          <t>EUR</t>
        </is>
      </c>
      <c r="R632" s="92" t="inlineStr">
        <is>
          <t>Synthetische vastgelegde invoer; geen echte historie</t>
        </is>
      </c>
      <c r="S632" s="15" t="str">
        <f>IF(J632="","",J632&amp;"|"&amp;E632&amp;"|"&amp;F632&amp;"|"&amp;I632&amp;"|"&amp;O632)</f>
        <v>G.900005.8.9090|2026|Q3|2026|Omzet actual YTD</v>
      </c>
      <c r="T632" s="15">
        <f>IF(OR(S632="",D632&lt;&gt;"Vastgesteld"),"",_xlfn.MAXIFS($G$6:$G$5005,$S$6:$S$5005,S632,$D$6:$D$5005,"Vastgesteld"))</f>
        <v>0</v>
      </c>
      <c r="U632" s="15">
        <f>IF(T632="",0,IF(AND(G632=T632,COUNTIFS($S$6:S632,S632,$G$6:G632,G632,$D$6:D632,"Vastgesteld")=1),1,0))</f>
        <v>1</v>
      </c>
      <c r="V632" s="15">
        <f>IF(T632="",0,IF(AND(G632=T632,COUNTIFS($S$6:S632,S632,$G$6:G632,G632,$D$6:D632,"Vastgesteld")&gt;1),1,0))</f>
        <v>0</v>
      </c>
    </row>
    <row r="633">
      <c r="A633" s="92" t="inlineStr">
        <is>
          <t>HIST-2026-Q3</t>
        </is>
      </c>
      <c r="B633" s="92" t="inlineStr">
        <is>
          <t>RDFO_FICTIEVE_historie_en_mapping.xlsx</t>
        </is>
      </c>
      <c r="C633" s="108" t="n">
        <v>46324</v>
      </c>
      <c r="D633" s="92" t="inlineStr">
        <is>
          <t>Vastgesteld</t>
        </is>
      </c>
      <c r="E633" s="92" t="n">
        <v>2026</v>
      </c>
      <c r="F633" s="92" t="inlineStr">
        <is>
          <t>Q3</t>
        </is>
      </c>
      <c r="G633" s="92" t="n">
        <v>0</v>
      </c>
      <c r="H633" s="108" t="n">
        <v>46295</v>
      </c>
      <c r="I633" s="92" t="n">
        <v>2026</v>
      </c>
      <c r="J633" s="92" t="inlineStr">
        <is>
          <t>G.900005.8.9090</t>
        </is>
      </c>
      <c r="K633" s="92" t="inlineStr">
        <is>
          <t>G.900005</t>
        </is>
      </c>
      <c r="L633" s="92" t="inlineStr">
        <is>
          <t>Zilverdam, Kadezicht</t>
        </is>
      </c>
      <c r="M633" s="92" t="inlineStr">
        <is>
          <t>Opstal</t>
        </is>
      </c>
      <c r="N633" s="92" t="inlineStr">
        <is>
          <t>J</t>
        </is>
      </c>
      <c r="O633" s="92" t="inlineStr">
        <is>
          <t>BOR actual YTD</t>
        </is>
      </c>
      <c r="P633" s="109" t="n">
        <v>283920</v>
      </c>
      <c r="Q633" s="92" t="inlineStr">
        <is>
          <t>EUR</t>
        </is>
      </c>
      <c r="R633" s="92" t="inlineStr">
        <is>
          <t>Synthetische vastgelegde invoer; geen echte historie</t>
        </is>
      </c>
      <c r="S633" s="15" t="str">
        <f>IF(J633="","",J633&amp;"|"&amp;E633&amp;"|"&amp;F633&amp;"|"&amp;I633&amp;"|"&amp;O633)</f>
        <v>G.900005.8.9090|2026|Q3|2026|BOR actual YTD</v>
      </c>
      <c r="T633" s="15">
        <f>IF(OR(S633="",D633&lt;&gt;"Vastgesteld"),"",_xlfn.MAXIFS($G$6:$G$5005,$S$6:$S$5005,S633,$D$6:$D$5005,"Vastgesteld"))</f>
        <v>0</v>
      </c>
      <c r="U633" s="15">
        <f>IF(T633="",0,IF(AND(G633=T633,COUNTIFS($S$6:S633,S633,$G$6:G633,G633,$D$6:D633,"Vastgesteld")=1),1,0))</f>
        <v>1</v>
      </c>
      <c r="V633" s="15">
        <f>IF(T633="",0,IF(AND(G633=T633,COUNTIFS($S$6:S633,S633,$G$6:G633,G633,$D$6:D633,"Vastgesteld")&gt;1),1,0))</f>
        <v>0</v>
      </c>
    </row>
    <row r="634">
      <c r="A634" s="92" t="inlineStr">
        <is>
          <t>HIST-2026-Q3</t>
        </is>
      </c>
      <c r="B634" s="92" t="inlineStr">
        <is>
          <t>RDFO_FICTIEVE_historie_en_mapping.xlsx</t>
        </is>
      </c>
      <c r="C634" s="108" t="n">
        <v>46324</v>
      </c>
      <c r="D634" s="92" t="inlineStr">
        <is>
          <t>Vastgesteld</t>
        </is>
      </c>
      <c r="E634" s="92" t="n">
        <v>2026</v>
      </c>
      <c r="F634" s="92" t="inlineStr">
        <is>
          <t>Q3</t>
        </is>
      </c>
      <c r="G634" s="92" t="n">
        <v>0</v>
      </c>
      <c r="H634" s="108" t="n">
        <v>46295</v>
      </c>
      <c r="I634" s="92" t="n">
        <v>2027</v>
      </c>
      <c r="J634" s="92" t="inlineStr">
        <is>
          <t>G.900005.8.9090</t>
        </is>
      </c>
      <c r="K634" s="92" t="inlineStr">
        <is>
          <t>G.900005</t>
        </is>
      </c>
      <c r="L634" s="92" t="inlineStr">
        <is>
          <t>Zilverdam, Kadezicht</t>
        </is>
      </c>
      <c r="M634" s="92" t="inlineStr">
        <is>
          <t>Opstal</t>
        </is>
      </c>
      <c r="N634" s="92" t="inlineStr">
        <is>
          <t>J</t>
        </is>
      </c>
      <c r="O634" s="92" t="inlineStr">
        <is>
          <t>Omzet FY</t>
        </is>
      </c>
      <c r="P634" s="109" t="n">
        <v>32760000</v>
      </c>
      <c r="Q634" s="92" t="inlineStr">
        <is>
          <t>EUR</t>
        </is>
      </c>
      <c r="R634" s="92" t="inlineStr">
        <is>
          <t>Synthetische vastgelegde invoer; geen echte historie</t>
        </is>
      </c>
      <c r="S634" s="15" t="str">
        <f>IF(J634="","",J634&amp;"|"&amp;E634&amp;"|"&amp;F634&amp;"|"&amp;I634&amp;"|"&amp;O634)</f>
        <v>G.900005.8.9090|2026|Q3|2027|Omzet FY</v>
      </c>
      <c r="T634" s="15">
        <f>IF(OR(S634="",D634&lt;&gt;"Vastgesteld"),"",_xlfn.MAXIFS($G$6:$G$5005,$S$6:$S$5005,S634,$D$6:$D$5005,"Vastgesteld"))</f>
        <v>0</v>
      </c>
      <c r="U634" s="15">
        <f>IF(T634="",0,IF(AND(G634=T634,COUNTIFS($S$6:S634,S634,$G$6:G634,G634,$D$6:D634,"Vastgesteld")=1),1,0))</f>
        <v>1</v>
      </c>
      <c r="V634" s="15">
        <f>IF(T634="",0,IF(AND(G634=T634,COUNTIFS($S$6:S634,S634,$G$6:G634,G634,$D$6:D634,"Vastgesteld")&gt;1),1,0))</f>
        <v>0</v>
      </c>
    </row>
    <row r="635">
      <c r="A635" s="92" t="inlineStr">
        <is>
          <t>HIST-2026-Q3</t>
        </is>
      </c>
      <c r="B635" s="92" t="inlineStr">
        <is>
          <t>RDFO_FICTIEVE_historie_en_mapping.xlsx</t>
        </is>
      </c>
      <c r="C635" s="108" t="n">
        <v>46324</v>
      </c>
      <c r="D635" s="92" t="inlineStr">
        <is>
          <t>Vastgesteld</t>
        </is>
      </c>
      <c r="E635" s="92" t="n">
        <v>2026</v>
      </c>
      <c r="F635" s="92" t="inlineStr">
        <is>
          <t>Q3</t>
        </is>
      </c>
      <c r="G635" s="92" t="n">
        <v>0</v>
      </c>
      <c r="H635" s="108" t="n">
        <v>46295</v>
      </c>
      <c r="I635" s="92" t="n">
        <v>2027</v>
      </c>
      <c r="J635" s="92" t="inlineStr">
        <is>
          <t>G.900005.8.9090</t>
        </is>
      </c>
      <c r="K635" s="92" t="inlineStr">
        <is>
          <t>G.900005</t>
        </is>
      </c>
      <c r="L635" s="92" t="inlineStr">
        <is>
          <t>Zilverdam, Kadezicht</t>
        </is>
      </c>
      <c r="M635" s="92" t="inlineStr">
        <is>
          <t>Opstal</t>
        </is>
      </c>
      <c r="N635" s="92" t="inlineStr">
        <is>
          <t>J</t>
        </is>
      </c>
      <c r="O635" s="92" t="inlineStr">
        <is>
          <t>BOR FY</t>
        </is>
      </c>
      <c r="P635" s="109" t="n">
        <v>2129400</v>
      </c>
      <c r="Q635" s="92" t="inlineStr">
        <is>
          <t>EUR</t>
        </is>
      </c>
      <c r="R635" s="92" t="inlineStr">
        <is>
          <t>Synthetische vastgelegde invoer; geen echte historie</t>
        </is>
      </c>
      <c r="S635" s="15" t="str">
        <f>IF(J635="","",J635&amp;"|"&amp;E635&amp;"|"&amp;F635&amp;"|"&amp;I635&amp;"|"&amp;O635)</f>
        <v>G.900005.8.9090|2026|Q3|2027|BOR FY</v>
      </c>
      <c r="T635" s="15">
        <f>IF(OR(S635="",D635&lt;&gt;"Vastgesteld"),"",_xlfn.MAXIFS($G$6:$G$5005,$S$6:$S$5005,S635,$D$6:$D$5005,"Vastgesteld"))</f>
        <v>0</v>
      </c>
      <c r="U635" s="15">
        <f>IF(T635="",0,IF(AND(G635=T635,COUNTIFS($S$6:S635,S635,$G$6:G635,G635,$D$6:D635,"Vastgesteld")=1),1,0))</f>
        <v>1</v>
      </c>
      <c r="V635" s="15">
        <f>IF(T635="",0,IF(AND(G635=T635,COUNTIFS($S$6:S635,S635,$G$6:G635,G635,$D$6:D635,"Vastgesteld")&gt;1),1,0))</f>
        <v>0</v>
      </c>
    </row>
    <row r="636">
      <c r="A636" s="92" t="inlineStr">
        <is>
          <t>HIST-2026-Q3</t>
        </is>
      </c>
      <c r="B636" s="92" t="inlineStr">
        <is>
          <t>RDFO_FICTIEVE_historie_en_mapping.xlsx</t>
        </is>
      </c>
      <c r="C636" s="108" t="n">
        <v>46324</v>
      </c>
      <c r="D636" s="92" t="inlineStr">
        <is>
          <t>Vastgesteld</t>
        </is>
      </c>
      <c r="E636" s="92" t="n">
        <v>2026</v>
      </c>
      <c r="F636" s="92" t="inlineStr">
        <is>
          <t>Q3</t>
        </is>
      </c>
      <c r="G636" s="92" t="n">
        <v>0</v>
      </c>
      <c r="H636" s="108" t="n">
        <v>46295</v>
      </c>
      <c r="I636" s="92" t="n">
        <v>2026</v>
      </c>
      <c r="J636" s="92" t="inlineStr">
        <is>
          <t>G.900006.8.9090</t>
        </is>
      </c>
      <c r="K636" s="92" t="inlineStr">
        <is>
          <t>G.900006</t>
        </is>
      </c>
      <c r="L636" s="92" t="inlineStr">
        <is>
          <t>Boswaard, De Eiken</t>
        </is>
      </c>
      <c r="M636" s="92" t="inlineStr">
        <is>
          <t>Opstal</t>
        </is>
      </c>
      <c r="N636" s="92" t="inlineStr">
        <is>
          <t>J</t>
        </is>
      </c>
      <c r="O636" s="92" t="inlineStr">
        <is>
          <t>Omzet FY</t>
        </is>
      </c>
      <c r="P636" s="109" t="n">
        <v>6566400</v>
      </c>
      <c r="Q636" s="92" t="inlineStr">
        <is>
          <t>EUR</t>
        </is>
      </c>
      <c r="R636" s="92" t="inlineStr">
        <is>
          <t>Synthetische vastgelegde invoer; geen echte historie</t>
        </is>
      </c>
      <c r="S636" s="15" t="str">
        <f>IF(J636="","",J636&amp;"|"&amp;E636&amp;"|"&amp;F636&amp;"|"&amp;I636&amp;"|"&amp;O636)</f>
        <v>G.900006.8.9090|2026|Q3|2026|Omzet FY</v>
      </c>
      <c r="T636" s="15">
        <f>IF(OR(S636="",D636&lt;&gt;"Vastgesteld"),"",_xlfn.MAXIFS($G$6:$G$5005,$S$6:$S$5005,S636,$D$6:$D$5005,"Vastgesteld"))</f>
        <v>0</v>
      </c>
      <c r="U636" s="15">
        <f>IF(T636="",0,IF(AND(G636=T636,COUNTIFS($S$6:S636,S636,$G$6:G636,G636,$D$6:D636,"Vastgesteld")=1),1,0))</f>
        <v>1</v>
      </c>
      <c r="V636" s="15">
        <f>IF(T636="",0,IF(AND(G636=T636,COUNTIFS($S$6:S636,S636,$G$6:G636,G636,$D$6:D636,"Vastgesteld")&gt;1),1,0))</f>
        <v>0</v>
      </c>
    </row>
    <row r="637">
      <c r="A637" s="92" t="inlineStr">
        <is>
          <t>HIST-2026-Q3</t>
        </is>
      </c>
      <c r="B637" s="92" t="inlineStr">
        <is>
          <t>RDFO_FICTIEVE_historie_en_mapping.xlsx</t>
        </is>
      </c>
      <c r="C637" s="108" t="n">
        <v>46324</v>
      </c>
      <c r="D637" s="92" t="inlineStr">
        <is>
          <t>Vastgesteld</t>
        </is>
      </c>
      <c r="E637" s="92" t="n">
        <v>2026</v>
      </c>
      <c r="F637" s="92" t="inlineStr">
        <is>
          <t>Q3</t>
        </is>
      </c>
      <c r="G637" s="92" t="n">
        <v>0</v>
      </c>
      <c r="H637" s="108" t="n">
        <v>46295</v>
      </c>
      <c r="I637" s="92" t="n">
        <v>2026</v>
      </c>
      <c r="J637" s="92" t="inlineStr">
        <is>
          <t>G.900006.8.9090</t>
        </is>
      </c>
      <c r="K637" s="92" t="inlineStr">
        <is>
          <t>G.900006</t>
        </is>
      </c>
      <c r="L637" s="92" t="inlineStr">
        <is>
          <t>Boswaard, De Eiken</t>
        </is>
      </c>
      <c r="M637" s="92" t="inlineStr">
        <is>
          <t>Opstal</t>
        </is>
      </c>
      <c r="N637" s="92" t="inlineStr">
        <is>
          <t>J</t>
        </is>
      </c>
      <c r="O637" s="92" t="inlineStr">
        <is>
          <t>BOR FY</t>
        </is>
      </c>
      <c r="P637" s="109" t="n">
        <v>919296</v>
      </c>
      <c r="Q637" s="92" t="inlineStr">
        <is>
          <t>EUR</t>
        </is>
      </c>
      <c r="R637" s="92" t="inlineStr">
        <is>
          <t>Synthetische vastgelegde invoer; geen echte historie</t>
        </is>
      </c>
      <c r="S637" s="15" t="str">
        <f>IF(J637="","",J637&amp;"|"&amp;E637&amp;"|"&amp;F637&amp;"|"&amp;I637&amp;"|"&amp;O637)</f>
        <v>G.900006.8.9090|2026|Q3|2026|BOR FY</v>
      </c>
      <c r="T637" s="15">
        <f>IF(OR(S637="",D637&lt;&gt;"Vastgesteld"),"",_xlfn.MAXIFS($G$6:$G$5005,$S$6:$S$5005,S637,$D$6:$D$5005,"Vastgesteld"))</f>
        <v>0</v>
      </c>
      <c r="U637" s="15">
        <f>IF(T637="",0,IF(AND(G637=T637,COUNTIFS($S$6:S637,S637,$G$6:G637,G637,$D$6:D637,"Vastgesteld")=1),1,0))</f>
        <v>1</v>
      </c>
      <c r="V637" s="15">
        <f>IF(T637="",0,IF(AND(G637=T637,COUNTIFS($S$6:S637,S637,$G$6:G637,G637,$D$6:D637,"Vastgesteld")&gt;1),1,0))</f>
        <v>0</v>
      </c>
    </row>
    <row r="638">
      <c r="A638" s="92" t="inlineStr">
        <is>
          <t>HIST-2026-Q3</t>
        </is>
      </c>
      <c r="B638" s="92" t="inlineStr">
        <is>
          <t>RDFO_FICTIEVE_historie_en_mapping.xlsx</t>
        </is>
      </c>
      <c r="C638" s="108" t="n">
        <v>46324</v>
      </c>
      <c r="D638" s="92" t="inlineStr">
        <is>
          <t>Vastgesteld</t>
        </is>
      </c>
      <c r="E638" s="92" t="n">
        <v>2026</v>
      </c>
      <c r="F638" s="92" t="inlineStr">
        <is>
          <t>Q3</t>
        </is>
      </c>
      <c r="G638" s="92" t="n">
        <v>0</v>
      </c>
      <c r="H638" s="108" t="n">
        <v>46295</v>
      </c>
      <c r="I638" s="92" t="n">
        <v>2026</v>
      </c>
      <c r="J638" s="92" t="inlineStr">
        <is>
          <t>G.900006.8.9090</t>
        </is>
      </c>
      <c r="K638" s="92" t="inlineStr">
        <is>
          <t>G.900006</t>
        </is>
      </c>
      <c r="L638" s="92" t="inlineStr">
        <is>
          <t>Boswaard, De Eiken</t>
        </is>
      </c>
      <c r="M638" s="92" t="inlineStr">
        <is>
          <t>Opstal</t>
        </is>
      </c>
      <c r="N638" s="92" t="inlineStr">
        <is>
          <t>J</t>
        </is>
      </c>
      <c r="O638" s="92" t="inlineStr">
        <is>
          <t>Omzet actual YTD</t>
        </is>
      </c>
      <c r="P638" s="109" t="n">
        <v>4268160</v>
      </c>
      <c r="Q638" s="92" t="inlineStr">
        <is>
          <t>EUR</t>
        </is>
      </c>
      <c r="R638" s="92" t="inlineStr">
        <is>
          <t>Synthetische vastgelegde invoer; geen echte historie</t>
        </is>
      </c>
      <c r="S638" s="15" t="str">
        <f>IF(J638="","",J638&amp;"|"&amp;E638&amp;"|"&amp;F638&amp;"|"&amp;I638&amp;"|"&amp;O638)</f>
        <v>G.900006.8.9090|2026|Q3|2026|Omzet actual YTD</v>
      </c>
      <c r="T638" s="15">
        <f>IF(OR(S638="",D638&lt;&gt;"Vastgesteld"),"",_xlfn.MAXIFS($G$6:$G$5005,$S$6:$S$5005,S638,$D$6:$D$5005,"Vastgesteld"))</f>
        <v>0</v>
      </c>
      <c r="U638" s="15">
        <f>IF(T638="",0,IF(AND(G638=T638,COUNTIFS($S$6:S638,S638,$G$6:G638,G638,$D$6:D638,"Vastgesteld")=1),1,0))</f>
        <v>1</v>
      </c>
      <c r="V638" s="15">
        <f>IF(T638="",0,IF(AND(G638=T638,COUNTIFS($S$6:S638,S638,$G$6:G638,G638,$D$6:D638,"Vastgesteld")&gt;1),1,0))</f>
        <v>0</v>
      </c>
    </row>
    <row r="639">
      <c r="A639" s="92" t="inlineStr">
        <is>
          <t>HIST-2026-Q3</t>
        </is>
      </c>
      <c r="B639" s="92" t="inlineStr">
        <is>
          <t>RDFO_FICTIEVE_historie_en_mapping.xlsx</t>
        </is>
      </c>
      <c r="C639" s="108" t="n">
        <v>46324</v>
      </c>
      <c r="D639" s="92" t="inlineStr">
        <is>
          <t>Vastgesteld</t>
        </is>
      </c>
      <c r="E639" s="92" t="n">
        <v>2026</v>
      </c>
      <c r="F639" s="92" t="inlineStr">
        <is>
          <t>Q3</t>
        </is>
      </c>
      <c r="G639" s="92" t="n">
        <v>0</v>
      </c>
      <c r="H639" s="108" t="n">
        <v>46295</v>
      </c>
      <c r="I639" s="92" t="n">
        <v>2026</v>
      </c>
      <c r="J639" s="92" t="inlineStr">
        <is>
          <t>G.900006.8.9090</t>
        </is>
      </c>
      <c r="K639" s="92" t="inlineStr">
        <is>
          <t>G.900006</t>
        </is>
      </c>
      <c r="L639" s="92" t="inlineStr">
        <is>
          <t>Boswaard, De Eiken</t>
        </is>
      </c>
      <c r="M639" s="92" t="inlineStr">
        <is>
          <t>Opstal</t>
        </is>
      </c>
      <c r="N639" s="92" t="inlineStr">
        <is>
          <t>J</t>
        </is>
      </c>
      <c r="O639" s="92" t="inlineStr">
        <is>
          <t>BOR actual YTD</t>
        </is>
      </c>
      <c r="P639" s="109" t="n">
        <v>597542.4</v>
      </c>
      <c r="Q639" s="92" t="inlineStr">
        <is>
          <t>EUR</t>
        </is>
      </c>
      <c r="R639" s="92" t="inlineStr">
        <is>
          <t>Synthetische vastgelegde invoer; geen echte historie</t>
        </is>
      </c>
      <c r="S639" s="15" t="str">
        <f>IF(J639="","",J639&amp;"|"&amp;E639&amp;"|"&amp;F639&amp;"|"&amp;I639&amp;"|"&amp;O639)</f>
        <v>G.900006.8.9090|2026|Q3|2026|BOR actual YTD</v>
      </c>
      <c r="T639" s="15">
        <f>IF(OR(S639="",D639&lt;&gt;"Vastgesteld"),"",_xlfn.MAXIFS($G$6:$G$5005,$S$6:$S$5005,S639,$D$6:$D$5005,"Vastgesteld"))</f>
        <v>0</v>
      </c>
      <c r="U639" s="15">
        <f>IF(T639="",0,IF(AND(G639=T639,COUNTIFS($S$6:S639,S639,$G$6:G639,G639,$D$6:D639,"Vastgesteld")=1),1,0))</f>
        <v>1</v>
      </c>
      <c r="V639" s="15">
        <f>IF(T639="",0,IF(AND(G639=T639,COUNTIFS($S$6:S639,S639,$G$6:G639,G639,$D$6:D639,"Vastgesteld")&gt;1),1,0))</f>
        <v>0</v>
      </c>
    </row>
    <row r="640">
      <c r="A640" s="92" t="inlineStr">
        <is>
          <t>HIST-2026-Q3</t>
        </is>
      </c>
      <c r="B640" s="92" t="inlineStr">
        <is>
          <t>RDFO_FICTIEVE_historie_en_mapping.xlsx</t>
        </is>
      </c>
      <c r="C640" s="108" t="n">
        <v>46324</v>
      </c>
      <c r="D640" s="92" t="inlineStr">
        <is>
          <t>Vastgesteld</t>
        </is>
      </c>
      <c r="E640" s="92" t="n">
        <v>2026</v>
      </c>
      <c r="F640" s="92" t="inlineStr">
        <is>
          <t>Q3</t>
        </is>
      </c>
      <c r="G640" s="92" t="n">
        <v>0</v>
      </c>
      <c r="H640" s="108" t="n">
        <v>46295</v>
      </c>
      <c r="I640" s="92" t="n">
        <v>2027</v>
      </c>
      <c r="J640" s="92" t="inlineStr">
        <is>
          <t>G.900006.8.9090</t>
        </is>
      </c>
      <c r="K640" s="92" t="inlineStr">
        <is>
          <t>G.900006</t>
        </is>
      </c>
      <c r="L640" s="92" t="inlineStr">
        <is>
          <t>Boswaard, De Eiken</t>
        </is>
      </c>
      <c r="M640" s="92" t="inlineStr">
        <is>
          <t>Opstal</t>
        </is>
      </c>
      <c r="N640" s="92" t="inlineStr">
        <is>
          <t>J</t>
        </is>
      </c>
      <c r="O640" s="92" t="inlineStr">
        <is>
          <t>Omzet FY</t>
        </is>
      </c>
      <c r="P640" s="109" t="n">
        <v>6963840</v>
      </c>
      <c r="Q640" s="92" t="inlineStr">
        <is>
          <t>EUR</t>
        </is>
      </c>
      <c r="R640" s="92" t="inlineStr">
        <is>
          <t>Synthetische vastgelegde invoer; geen echte historie</t>
        </is>
      </c>
      <c r="S640" s="15" t="str">
        <f>IF(J640="","",J640&amp;"|"&amp;E640&amp;"|"&amp;F640&amp;"|"&amp;I640&amp;"|"&amp;O640)</f>
        <v>G.900006.8.9090|2026|Q3|2027|Omzet FY</v>
      </c>
      <c r="T640" s="15">
        <f>IF(OR(S640="",D640&lt;&gt;"Vastgesteld"),"",_xlfn.MAXIFS($G$6:$G$5005,$S$6:$S$5005,S640,$D$6:$D$5005,"Vastgesteld"))</f>
        <v>0</v>
      </c>
      <c r="U640" s="15">
        <f>IF(T640="",0,IF(AND(G640=T640,COUNTIFS($S$6:S640,S640,$G$6:G640,G640,$D$6:D640,"Vastgesteld")=1),1,0))</f>
        <v>1</v>
      </c>
      <c r="V640" s="15">
        <f>IF(T640="",0,IF(AND(G640=T640,COUNTIFS($S$6:S640,S640,$G$6:G640,G640,$D$6:D640,"Vastgesteld")&gt;1),1,0))</f>
        <v>0</v>
      </c>
    </row>
    <row r="641">
      <c r="A641" s="92" t="inlineStr">
        <is>
          <t>HIST-2026-Q3</t>
        </is>
      </c>
      <c r="B641" s="92" t="inlineStr">
        <is>
          <t>RDFO_FICTIEVE_historie_en_mapping.xlsx</t>
        </is>
      </c>
      <c r="C641" s="108" t="n">
        <v>46324</v>
      </c>
      <c r="D641" s="92" t="inlineStr">
        <is>
          <t>Vastgesteld</t>
        </is>
      </c>
      <c r="E641" s="92" t="n">
        <v>2026</v>
      </c>
      <c r="F641" s="92" t="inlineStr">
        <is>
          <t>Q3</t>
        </is>
      </c>
      <c r="G641" s="92" t="n">
        <v>0</v>
      </c>
      <c r="H641" s="108" t="n">
        <v>46295</v>
      </c>
      <c r="I641" s="92" t="n">
        <v>2027</v>
      </c>
      <c r="J641" s="92" t="inlineStr">
        <is>
          <t>G.900006.8.9090</t>
        </is>
      </c>
      <c r="K641" s="92" t="inlineStr">
        <is>
          <t>G.900006</t>
        </is>
      </c>
      <c r="L641" s="92" t="inlineStr">
        <is>
          <t>Boswaard, De Eiken</t>
        </is>
      </c>
      <c r="M641" s="92" t="inlineStr">
        <is>
          <t>Opstal</t>
        </is>
      </c>
      <c r="N641" s="92" t="inlineStr">
        <is>
          <t>J</t>
        </is>
      </c>
      <c r="O641" s="92" t="inlineStr">
        <is>
          <t>BOR FY</t>
        </is>
      </c>
      <c r="P641" s="109" t="n">
        <v>974937.6</v>
      </c>
      <c r="Q641" s="92" t="inlineStr">
        <is>
          <t>EUR</t>
        </is>
      </c>
      <c r="R641" s="92" t="inlineStr">
        <is>
          <t>Synthetische vastgelegde invoer; geen echte historie</t>
        </is>
      </c>
      <c r="S641" s="15" t="str">
        <f>IF(J641="","",J641&amp;"|"&amp;E641&amp;"|"&amp;F641&amp;"|"&amp;I641&amp;"|"&amp;O641)</f>
        <v>G.900006.8.9090|2026|Q3|2027|BOR FY</v>
      </c>
      <c r="T641" s="15">
        <f>IF(OR(S641="",D641&lt;&gt;"Vastgesteld"),"",_xlfn.MAXIFS($G$6:$G$5005,$S$6:$S$5005,S641,$D$6:$D$5005,"Vastgesteld"))</f>
        <v>0</v>
      </c>
      <c r="U641" s="15">
        <f>IF(T641="",0,IF(AND(G641=T641,COUNTIFS($S$6:S641,S641,$G$6:G641,G641,$D$6:D641,"Vastgesteld")=1),1,0))</f>
        <v>1</v>
      </c>
      <c r="V641" s="15">
        <f>IF(T641="",0,IF(AND(G641=T641,COUNTIFS($S$6:S641,S641,$G$6:G641,G641,$D$6:D641,"Vastgesteld")&gt;1),1,0))</f>
        <v>0</v>
      </c>
    </row>
    <row r="642">
      <c r="A642" s="92" t="inlineStr">
        <is>
          <t>HIST-2026-Q3</t>
        </is>
      </c>
      <c r="B642" s="92" t="inlineStr">
        <is>
          <t>RDFO_FICTIEVE_historie_en_mapping.xlsx</t>
        </is>
      </c>
      <c r="C642" s="108" t="n">
        <v>46324</v>
      </c>
      <c r="D642" s="92" t="inlineStr">
        <is>
          <t>Vastgesteld</t>
        </is>
      </c>
      <c r="E642" s="92" t="n">
        <v>2026</v>
      </c>
      <c r="F642" s="92" t="inlineStr">
        <is>
          <t>Q3</t>
        </is>
      </c>
      <c r="G642" s="92" t="n">
        <v>0</v>
      </c>
      <c r="H642" s="108" t="n">
        <v>46295</v>
      </c>
      <c r="I642" s="92" t="n">
        <v>2026</v>
      </c>
      <c r="J642" s="92" t="inlineStr">
        <is>
          <t>G.900007.8.9090</t>
        </is>
      </c>
      <c r="K642" s="92" t="inlineStr">
        <is>
          <t>G.900007</t>
        </is>
      </c>
      <c r="L642" s="92" t="inlineStr">
        <is>
          <t>Rietdam, Havenkwartier</t>
        </is>
      </c>
      <c r="M642" s="92" t="inlineStr">
        <is>
          <t>Opstal</t>
        </is>
      </c>
      <c r="N642" s="92" t="inlineStr">
        <is>
          <t>J</t>
        </is>
      </c>
      <c r="O642" s="92" t="inlineStr">
        <is>
          <t>Omzet FY</t>
        </is>
      </c>
      <c r="P642" s="109" t="n">
        <v>6080000</v>
      </c>
      <c r="Q642" s="92" t="inlineStr">
        <is>
          <t>EUR</t>
        </is>
      </c>
      <c r="R642" s="92" t="inlineStr">
        <is>
          <t>Synthetische vastgelegde invoer; geen echte historie</t>
        </is>
      </c>
      <c r="S642" s="15" t="str">
        <f>IF(J642="","",J642&amp;"|"&amp;E642&amp;"|"&amp;F642&amp;"|"&amp;I642&amp;"|"&amp;O642)</f>
        <v>G.900007.8.9090|2026|Q3|2026|Omzet FY</v>
      </c>
      <c r="T642" s="15">
        <f>IF(OR(S642="",D642&lt;&gt;"Vastgesteld"),"",_xlfn.MAXIFS($G$6:$G$5005,$S$6:$S$5005,S642,$D$6:$D$5005,"Vastgesteld"))</f>
        <v>0</v>
      </c>
      <c r="U642" s="15">
        <f>IF(T642="",0,IF(AND(G642=T642,COUNTIFS($S$6:S642,S642,$G$6:G642,G642,$D$6:D642,"Vastgesteld")=1),1,0))</f>
        <v>1</v>
      </c>
      <c r="V642" s="15">
        <f>IF(T642="",0,IF(AND(G642=T642,COUNTIFS($S$6:S642,S642,$G$6:G642,G642,$D$6:D642,"Vastgesteld")&gt;1),1,0))</f>
        <v>0</v>
      </c>
    </row>
    <row r="643">
      <c r="A643" s="92" t="inlineStr">
        <is>
          <t>HIST-2026-Q3</t>
        </is>
      </c>
      <c r="B643" s="92" t="inlineStr">
        <is>
          <t>RDFO_FICTIEVE_historie_en_mapping.xlsx</t>
        </is>
      </c>
      <c r="C643" s="108" t="n">
        <v>46324</v>
      </c>
      <c r="D643" s="92" t="inlineStr">
        <is>
          <t>Vastgesteld</t>
        </is>
      </c>
      <c r="E643" s="92" t="n">
        <v>2026</v>
      </c>
      <c r="F643" s="92" t="inlineStr">
        <is>
          <t>Q3</t>
        </is>
      </c>
      <c r="G643" s="92" t="n">
        <v>0</v>
      </c>
      <c r="H643" s="108" t="n">
        <v>46295</v>
      </c>
      <c r="I643" s="92" t="n">
        <v>2026</v>
      </c>
      <c r="J643" s="92" t="inlineStr">
        <is>
          <t>G.900007.8.9090</t>
        </is>
      </c>
      <c r="K643" s="92" t="inlineStr">
        <is>
          <t>G.900007</t>
        </is>
      </c>
      <c r="L643" s="92" t="inlineStr">
        <is>
          <t>Rietdam, Havenkwartier</t>
        </is>
      </c>
      <c r="M643" s="92" t="inlineStr">
        <is>
          <t>Opstal</t>
        </is>
      </c>
      <c r="N643" s="92" t="inlineStr">
        <is>
          <t>J</t>
        </is>
      </c>
      <c r="O643" s="92" t="inlineStr">
        <is>
          <t>BOR FY</t>
        </is>
      </c>
      <c r="P643" s="109" t="n">
        <v>608000</v>
      </c>
      <c r="Q643" s="92" t="inlineStr">
        <is>
          <t>EUR</t>
        </is>
      </c>
      <c r="R643" s="92" t="inlineStr">
        <is>
          <t>Synthetische vastgelegde invoer; geen echte historie</t>
        </is>
      </c>
      <c r="S643" s="15" t="str">
        <f>IF(J643="","",J643&amp;"|"&amp;E643&amp;"|"&amp;F643&amp;"|"&amp;I643&amp;"|"&amp;O643)</f>
        <v>G.900007.8.9090|2026|Q3|2026|BOR FY</v>
      </c>
      <c r="T643" s="15">
        <f>IF(OR(S643="",D643&lt;&gt;"Vastgesteld"),"",_xlfn.MAXIFS($G$6:$G$5005,$S$6:$S$5005,S643,$D$6:$D$5005,"Vastgesteld"))</f>
        <v>0</v>
      </c>
      <c r="U643" s="15">
        <f>IF(T643="",0,IF(AND(G643=T643,COUNTIFS($S$6:S643,S643,$G$6:G643,G643,$D$6:D643,"Vastgesteld")=1),1,0))</f>
        <v>1</v>
      </c>
      <c r="V643" s="15">
        <f>IF(T643="",0,IF(AND(G643=T643,COUNTIFS($S$6:S643,S643,$G$6:G643,G643,$D$6:D643,"Vastgesteld")&gt;1),1,0))</f>
        <v>0</v>
      </c>
    </row>
    <row r="644">
      <c r="A644" s="92" t="inlineStr">
        <is>
          <t>HIST-2026-Q3</t>
        </is>
      </c>
      <c r="B644" s="92" t="inlineStr">
        <is>
          <t>RDFO_FICTIEVE_historie_en_mapping.xlsx</t>
        </is>
      </c>
      <c r="C644" s="108" t="n">
        <v>46324</v>
      </c>
      <c r="D644" s="92" t="inlineStr">
        <is>
          <t>Vastgesteld</t>
        </is>
      </c>
      <c r="E644" s="92" t="n">
        <v>2026</v>
      </c>
      <c r="F644" s="92" t="inlineStr">
        <is>
          <t>Q3</t>
        </is>
      </c>
      <c r="G644" s="92" t="n">
        <v>0</v>
      </c>
      <c r="H644" s="108" t="n">
        <v>46295</v>
      </c>
      <c r="I644" s="92" t="n">
        <v>2026</v>
      </c>
      <c r="J644" s="92" t="inlineStr">
        <is>
          <t>G.900007.8.9090</t>
        </is>
      </c>
      <c r="K644" s="92" t="inlineStr">
        <is>
          <t>G.900007</t>
        </is>
      </c>
      <c r="L644" s="92" t="inlineStr">
        <is>
          <t>Rietdam, Havenkwartier</t>
        </is>
      </c>
      <c r="M644" s="92" t="inlineStr">
        <is>
          <t>Opstal</t>
        </is>
      </c>
      <c r="N644" s="92" t="inlineStr">
        <is>
          <t>J</t>
        </is>
      </c>
      <c r="O644" s="92" t="inlineStr">
        <is>
          <t>Omzet actual YTD</t>
        </is>
      </c>
      <c r="P644" s="109" t="n">
        <v>3952000</v>
      </c>
      <c r="Q644" s="92" t="inlineStr">
        <is>
          <t>EUR</t>
        </is>
      </c>
      <c r="R644" s="92" t="inlineStr">
        <is>
          <t>Synthetische vastgelegde invoer; geen echte historie</t>
        </is>
      </c>
      <c r="S644" s="15" t="str">
        <f>IF(J644="","",J644&amp;"|"&amp;E644&amp;"|"&amp;F644&amp;"|"&amp;I644&amp;"|"&amp;O644)</f>
        <v>G.900007.8.9090|2026|Q3|2026|Omzet actual YTD</v>
      </c>
      <c r="T644" s="15">
        <f>IF(OR(S644="",D644&lt;&gt;"Vastgesteld"),"",_xlfn.MAXIFS($G$6:$G$5005,$S$6:$S$5005,S644,$D$6:$D$5005,"Vastgesteld"))</f>
        <v>0</v>
      </c>
      <c r="U644" s="15">
        <f>IF(T644="",0,IF(AND(G644=T644,COUNTIFS($S$6:S644,S644,$G$6:G644,G644,$D$6:D644,"Vastgesteld")=1),1,0))</f>
        <v>1</v>
      </c>
      <c r="V644" s="15">
        <f>IF(T644="",0,IF(AND(G644=T644,COUNTIFS($S$6:S644,S644,$G$6:G644,G644,$D$6:D644,"Vastgesteld")&gt;1),1,0))</f>
        <v>0</v>
      </c>
    </row>
    <row r="645">
      <c r="A645" s="92" t="inlineStr">
        <is>
          <t>HIST-2026-Q3</t>
        </is>
      </c>
      <c r="B645" s="92" t="inlineStr">
        <is>
          <t>RDFO_FICTIEVE_historie_en_mapping.xlsx</t>
        </is>
      </c>
      <c r="C645" s="108" t="n">
        <v>46324</v>
      </c>
      <c r="D645" s="92" t="inlineStr">
        <is>
          <t>Vastgesteld</t>
        </is>
      </c>
      <c r="E645" s="92" t="n">
        <v>2026</v>
      </c>
      <c r="F645" s="92" t="inlineStr">
        <is>
          <t>Q3</t>
        </is>
      </c>
      <c r="G645" s="92" t="n">
        <v>0</v>
      </c>
      <c r="H645" s="108" t="n">
        <v>46295</v>
      </c>
      <c r="I645" s="92" t="n">
        <v>2026</v>
      </c>
      <c r="J645" s="92" t="inlineStr">
        <is>
          <t>G.900007.8.9090</t>
        </is>
      </c>
      <c r="K645" s="92" t="inlineStr">
        <is>
          <t>G.900007</t>
        </is>
      </c>
      <c r="L645" s="92" t="inlineStr">
        <is>
          <t>Rietdam, Havenkwartier</t>
        </is>
      </c>
      <c r="M645" s="92" t="inlineStr">
        <is>
          <t>Opstal</t>
        </is>
      </c>
      <c r="N645" s="92" t="inlineStr">
        <is>
          <t>J</t>
        </is>
      </c>
      <c r="O645" s="92" t="inlineStr">
        <is>
          <t>BOR actual YTD</t>
        </is>
      </c>
      <c r="P645" s="109" t="n">
        <v>395200</v>
      </c>
      <c r="Q645" s="92" t="inlineStr">
        <is>
          <t>EUR</t>
        </is>
      </c>
      <c r="R645" s="92" t="inlineStr">
        <is>
          <t>Synthetische vastgelegde invoer; geen echte historie</t>
        </is>
      </c>
      <c r="S645" s="15" t="str">
        <f>IF(J645="","",J645&amp;"|"&amp;E645&amp;"|"&amp;F645&amp;"|"&amp;I645&amp;"|"&amp;O645)</f>
        <v>G.900007.8.9090|2026|Q3|2026|BOR actual YTD</v>
      </c>
      <c r="T645" s="15">
        <f>IF(OR(S645="",D645&lt;&gt;"Vastgesteld"),"",_xlfn.MAXIFS($G$6:$G$5005,$S$6:$S$5005,S645,$D$6:$D$5005,"Vastgesteld"))</f>
        <v>0</v>
      </c>
      <c r="U645" s="15">
        <f>IF(T645="",0,IF(AND(G645=T645,COUNTIFS($S$6:S645,S645,$G$6:G645,G645,$D$6:D645,"Vastgesteld")=1),1,0))</f>
        <v>1</v>
      </c>
      <c r="V645" s="15">
        <f>IF(T645="",0,IF(AND(G645=T645,COUNTIFS($S$6:S645,S645,$G$6:G645,G645,$D$6:D645,"Vastgesteld")&gt;1),1,0))</f>
        <v>0</v>
      </c>
    </row>
    <row r="646">
      <c r="A646" s="92" t="inlineStr">
        <is>
          <t>HIST-2026-Q3</t>
        </is>
      </c>
      <c r="B646" s="92" t="inlineStr">
        <is>
          <t>RDFO_FICTIEVE_historie_en_mapping.xlsx</t>
        </is>
      </c>
      <c r="C646" s="108" t="n">
        <v>46324</v>
      </c>
      <c r="D646" s="92" t="inlineStr">
        <is>
          <t>Vastgesteld</t>
        </is>
      </c>
      <c r="E646" s="92" t="n">
        <v>2026</v>
      </c>
      <c r="F646" s="92" t="inlineStr">
        <is>
          <t>Q3</t>
        </is>
      </c>
      <c r="G646" s="92" t="n">
        <v>0</v>
      </c>
      <c r="H646" s="108" t="n">
        <v>46295</v>
      </c>
      <c r="I646" s="92" t="n">
        <v>2027</v>
      </c>
      <c r="J646" s="92" t="inlineStr">
        <is>
          <t>G.900007.8.9090</t>
        </is>
      </c>
      <c r="K646" s="92" t="inlineStr">
        <is>
          <t>G.900007</t>
        </is>
      </c>
      <c r="L646" s="92" t="inlineStr">
        <is>
          <t>Rietdam, Havenkwartier</t>
        </is>
      </c>
      <c r="M646" s="92" t="inlineStr">
        <is>
          <t>Opstal</t>
        </is>
      </c>
      <c r="N646" s="92" t="inlineStr">
        <is>
          <t>J</t>
        </is>
      </c>
      <c r="O646" s="92" t="inlineStr">
        <is>
          <t>Omzet FY</t>
        </is>
      </c>
      <c r="P646" s="109" t="n">
        <v>11856000</v>
      </c>
      <c r="Q646" s="92" t="inlineStr">
        <is>
          <t>EUR</t>
        </is>
      </c>
      <c r="R646" s="92" t="inlineStr">
        <is>
          <t>Synthetische vastgelegde invoer; geen echte historie</t>
        </is>
      </c>
      <c r="S646" s="15" t="str">
        <f>IF(J646="","",J646&amp;"|"&amp;E646&amp;"|"&amp;F646&amp;"|"&amp;I646&amp;"|"&amp;O646)</f>
        <v>G.900007.8.9090|2026|Q3|2027|Omzet FY</v>
      </c>
      <c r="T646" s="15">
        <f>IF(OR(S646="",D646&lt;&gt;"Vastgesteld"),"",_xlfn.MAXIFS($G$6:$G$5005,$S$6:$S$5005,S646,$D$6:$D$5005,"Vastgesteld"))</f>
        <v>0</v>
      </c>
      <c r="U646" s="15">
        <f>IF(T646="",0,IF(AND(G646=T646,COUNTIFS($S$6:S646,S646,$G$6:G646,G646,$D$6:D646,"Vastgesteld")=1),1,0))</f>
        <v>1</v>
      </c>
      <c r="V646" s="15">
        <f>IF(T646="",0,IF(AND(G646=T646,COUNTIFS($S$6:S646,S646,$G$6:G646,G646,$D$6:D646,"Vastgesteld")&gt;1),1,0))</f>
        <v>0</v>
      </c>
    </row>
    <row r="647">
      <c r="A647" s="92" t="inlineStr">
        <is>
          <t>HIST-2026-Q3</t>
        </is>
      </c>
      <c r="B647" s="92" t="inlineStr">
        <is>
          <t>RDFO_FICTIEVE_historie_en_mapping.xlsx</t>
        </is>
      </c>
      <c r="C647" s="108" t="n">
        <v>46324</v>
      </c>
      <c r="D647" s="92" t="inlineStr">
        <is>
          <t>Vastgesteld</t>
        </is>
      </c>
      <c r="E647" s="92" t="n">
        <v>2026</v>
      </c>
      <c r="F647" s="92" t="inlineStr">
        <is>
          <t>Q3</t>
        </is>
      </c>
      <c r="G647" s="92" t="n">
        <v>0</v>
      </c>
      <c r="H647" s="108" t="n">
        <v>46295</v>
      </c>
      <c r="I647" s="92" t="n">
        <v>2027</v>
      </c>
      <c r="J647" s="92" t="inlineStr">
        <is>
          <t>G.900007.8.9090</t>
        </is>
      </c>
      <c r="K647" s="92" t="inlineStr">
        <is>
          <t>G.900007</t>
        </is>
      </c>
      <c r="L647" s="92" t="inlineStr">
        <is>
          <t>Rietdam, Havenkwartier</t>
        </is>
      </c>
      <c r="M647" s="92" t="inlineStr">
        <is>
          <t>Opstal</t>
        </is>
      </c>
      <c r="N647" s="92" t="inlineStr">
        <is>
          <t>J</t>
        </is>
      </c>
      <c r="O647" s="92" t="inlineStr">
        <is>
          <t>BOR FY</t>
        </is>
      </c>
      <c r="P647" s="109" t="n">
        <v>1185600</v>
      </c>
      <c r="Q647" s="92" t="inlineStr">
        <is>
          <t>EUR</t>
        </is>
      </c>
      <c r="R647" s="92" t="inlineStr">
        <is>
          <t>Synthetische vastgelegde invoer; geen echte historie</t>
        </is>
      </c>
      <c r="S647" s="15" t="str">
        <f>IF(J647="","",J647&amp;"|"&amp;E647&amp;"|"&amp;F647&amp;"|"&amp;I647&amp;"|"&amp;O647)</f>
        <v>G.900007.8.9090|2026|Q3|2027|BOR FY</v>
      </c>
      <c r="T647" s="15">
        <f>IF(OR(S647="",D647&lt;&gt;"Vastgesteld"),"",_xlfn.MAXIFS($G$6:$G$5005,$S$6:$S$5005,S647,$D$6:$D$5005,"Vastgesteld"))</f>
        <v>0</v>
      </c>
      <c r="U647" s="15">
        <f>IF(T647="",0,IF(AND(G647=T647,COUNTIFS($S$6:S647,S647,$G$6:G647,G647,$D$6:D647,"Vastgesteld")=1),1,0))</f>
        <v>1</v>
      </c>
      <c r="V647" s="15">
        <f>IF(T647="",0,IF(AND(G647=T647,COUNTIFS($S$6:S647,S647,$G$6:G647,G647,$D$6:D647,"Vastgesteld")&gt;1),1,0))</f>
        <v>0</v>
      </c>
    </row>
    <row r="648">
      <c r="A648" s="92" t="inlineStr">
        <is>
          <t>HIST-2026-Q3</t>
        </is>
      </c>
      <c r="B648" s="92" t="inlineStr">
        <is>
          <t>RDFO_FICTIEVE_historie_en_mapping.xlsx</t>
        </is>
      </c>
      <c r="C648" s="108" t="n">
        <v>46324</v>
      </c>
      <c r="D648" s="92" t="inlineStr">
        <is>
          <t>Vastgesteld</t>
        </is>
      </c>
      <c r="E648" s="92" t="n">
        <v>2026</v>
      </c>
      <c r="F648" s="92" t="inlineStr">
        <is>
          <t>Q3</t>
        </is>
      </c>
      <c r="G648" s="92" t="n">
        <v>0</v>
      </c>
      <c r="H648" s="108" t="n">
        <v>46295</v>
      </c>
      <c r="I648" s="92" t="n">
        <v>2026</v>
      </c>
      <c r="J648" s="92" t="inlineStr">
        <is>
          <t>G.900008.8.9090</t>
        </is>
      </c>
      <c r="K648" s="92" t="inlineStr">
        <is>
          <t>G.900008</t>
        </is>
      </c>
      <c r="L648" s="92" t="inlineStr">
        <is>
          <t>Lindehaven, De Brink</t>
        </is>
      </c>
      <c r="M648" s="92" t="inlineStr">
        <is>
          <t>Opstal</t>
        </is>
      </c>
      <c r="N648" s="92" t="inlineStr">
        <is>
          <t>J</t>
        </is>
      </c>
      <c r="O648" s="92" t="inlineStr">
        <is>
          <t>Omzet FY</t>
        </is>
      </c>
      <c r="P648" s="109" t="n">
        <v>1953000</v>
      </c>
      <c r="Q648" s="92" t="inlineStr">
        <is>
          <t>EUR</t>
        </is>
      </c>
      <c r="R648" s="92" t="inlineStr">
        <is>
          <t>Synthetische vastgelegde invoer; geen echte historie</t>
        </is>
      </c>
      <c r="S648" s="15" t="str">
        <f>IF(J648="","",J648&amp;"|"&amp;E648&amp;"|"&amp;F648&amp;"|"&amp;I648&amp;"|"&amp;O648)</f>
        <v>G.900008.8.9090|2026|Q3|2026|Omzet FY</v>
      </c>
      <c r="T648" s="15">
        <f>IF(OR(S648="",D648&lt;&gt;"Vastgesteld"),"",_xlfn.MAXIFS($G$6:$G$5005,$S$6:$S$5005,S648,$D$6:$D$5005,"Vastgesteld"))</f>
        <v>0</v>
      </c>
      <c r="U648" s="15">
        <f>IF(T648="",0,IF(AND(G648=T648,COUNTIFS($S$6:S648,S648,$G$6:G648,G648,$D$6:D648,"Vastgesteld")=1),1,0))</f>
        <v>1</v>
      </c>
      <c r="V648" s="15">
        <f>IF(T648="",0,IF(AND(G648=T648,COUNTIFS($S$6:S648,S648,$G$6:G648,G648,$D$6:D648,"Vastgesteld")&gt;1),1,0))</f>
        <v>0</v>
      </c>
    </row>
    <row r="649">
      <c r="A649" s="92" t="inlineStr">
        <is>
          <t>HIST-2026-Q3</t>
        </is>
      </c>
      <c r="B649" s="92" t="inlineStr">
        <is>
          <t>RDFO_FICTIEVE_historie_en_mapping.xlsx</t>
        </is>
      </c>
      <c r="C649" s="108" t="n">
        <v>46324</v>
      </c>
      <c r="D649" s="92" t="inlineStr">
        <is>
          <t>Vastgesteld</t>
        </is>
      </c>
      <c r="E649" s="92" t="n">
        <v>2026</v>
      </c>
      <c r="F649" s="92" t="inlineStr">
        <is>
          <t>Q3</t>
        </is>
      </c>
      <c r="G649" s="92" t="n">
        <v>0</v>
      </c>
      <c r="H649" s="108" t="n">
        <v>46295</v>
      </c>
      <c r="I649" s="92" t="n">
        <v>2026</v>
      </c>
      <c r="J649" s="92" t="inlineStr">
        <is>
          <t>G.900008.8.9090</t>
        </is>
      </c>
      <c r="K649" s="92" t="inlineStr">
        <is>
          <t>G.900008</t>
        </is>
      </c>
      <c r="L649" s="92" t="inlineStr">
        <is>
          <t>Lindehaven, De Brink</t>
        </is>
      </c>
      <c r="M649" s="92" t="inlineStr">
        <is>
          <t>Opstal</t>
        </is>
      </c>
      <c r="N649" s="92" t="inlineStr">
        <is>
          <t>J</t>
        </is>
      </c>
      <c r="O649" s="92" t="inlineStr">
        <is>
          <t>BOR FY</t>
        </is>
      </c>
      <c r="P649" s="109" t="n">
        <v>-58590</v>
      </c>
      <c r="Q649" s="92" t="inlineStr">
        <is>
          <t>EUR</t>
        </is>
      </c>
      <c r="R649" s="92" t="inlineStr">
        <is>
          <t>Synthetische vastgelegde invoer; geen echte historie</t>
        </is>
      </c>
      <c r="S649" s="15" t="str">
        <f>IF(J649="","",J649&amp;"|"&amp;E649&amp;"|"&amp;F649&amp;"|"&amp;I649&amp;"|"&amp;O649)</f>
        <v>G.900008.8.9090|2026|Q3|2026|BOR FY</v>
      </c>
      <c r="T649" s="15">
        <f>IF(OR(S649="",D649&lt;&gt;"Vastgesteld"),"",_xlfn.MAXIFS($G$6:$G$5005,$S$6:$S$5005,S649,$D$6:$D$5005,"Vastgesteld"))</f>
        <v>0</v>
      </c>
      <c r="U649" s="15">
        <f>IF(T649="",0,IF(AND(G649=T649,COUNTIFS($S$6:S649,S649,$G$6:G649,G649,$D$6:D649,"Vastgesteld")=1),1,0))</f>
        <v>1</v>
      </c>
      <c r="V649" s="15">
        <f>IF(T649="",0,IF(AND(G649=T649,COUNTIFS($S$6:S649,S649,$G$6:G649,G649,$D$6:D649,"Vastgesteld")&gt;1),1,0))</f>
        <v>0</v>
      </c>
    </row>
    <row r="650">
      <c r="A650" s="92" t="inlineStr">
        <is>
          <t>HIST-2026-Q3</t>
        </is>
      </c>
      <c r="B650" s="92" t="inlineStr">
        <is>
          <t>RDFO_FICTIEVE_historie_en_mapping.xlsx</t>
        </is>
      </c>
      <c r="C650" s="108" t="n">
        <v>46324</v>
      </c>
      <c r="D650" s="92" t="inlineStr">
        <is>
          <t>Vastgesteld</t>
        </is>
      </c>
      <c r="E650" s="92" t="n">
        <v>2026</v>
      </c>
      <c r="F650" s="92" t="inlineStr">
        <is>
          <t>Q3</t>
        </is>
      </c>
      <c r="G650" s="92" t="n">
        <v>0</v>
      </c>
      <c r="H650" s="108" t="n">
        <v>46295</v>
      </c>
      <c r="I650" s="92" t="n">
        <v>2026</v>
      </c>
      <c r="J650" s="92" t="inlineStr">
        <is>
          <t>G.900008.8.9090</t>
        </is>
      </c>
      <c r="K650" s="92" t="inlineStr">
        <is>
          <t>G.900008</t>
        </is>
      </c>
      <c r="L650" s="92" t="inlineStr">
        <is>
          <t>Lindehaven, De Brink</t>
        </is>
      </c>
      <c r="M650" s="92" t="inlineStr">
        <is>
          <t>Opstal</t>
        </is>
      </c>
      <c r="N650" s="92" t="inlineStr">
        <is>
          <t>J</t>
        </is>
      </c>
      <c r="O650" s="92" t="inlineStr">
        <is>
          <t>Omzet actual YTD</t>
        </is>
      </c>
      <c r="P650" s="109" t="n">
        <v>1269450</v>
      </c>
      <c r="Q650" s="92" t="inlineStr">
        <is>
          <t>EUR</t>
        </is>
      </c>
      <c r="R650" s="92" t="inlineStr">
        <is>
          <t>Synthetische vastgelegde invoer; geen echte historie</t>
        </is>
      </c>
      <c r="S650" s="15" t="str">
        <f>IF(J650="","",J650&amp;"|"&amp;E650&amp;"|"&amp;F650&amp;"|"&amp;I650&amp;"|"&amp;O650)</f>
        <v>G.900008.8.9090|2026|Q3|2026|Omzet actual YTD</v>
      </c>
      <c r="T650" s="15">
        <f>IF(OR(S650="",D650&lt;&gt;"Vastgesteld"),"",_xlfn.MAXIFS($G$6:$G$5005,$S$6:$S$5005,S650,$D$6:$D$5005,"Vastgesteld"))</f>
        <v>0</v>
      </c>
      <c r="U650" s="15">
        <f>IF(T650="",0,IF(AND(G650=T650,COUNTIFS($S$6:S650,S650,$G$6:G650,G650,$D$6:D650,"Vastgesteld")=1),1,0))</f>
        <v>1</v>
      </c>
      <c r="V650" s="15">
        <f>IF(T650="",0,IF(AND(G650=T650,COUNTIFS($S$6:S650,S650,$G$6:G650,G650,$D$6:D650,"Vastgesteld")&gt;1),1,0))</f>
        <v>0</v>
      </c>
    </row>
    <row r="651">
      <c r="A651" s="92" t="inlineStr">
        <is>
          <t>HIST-2026-Q3</t>
        </is>
      </c>
      <c r="B651" s="92" t="inlineStr">
        <is>
          <t>RDFO_FICTIEVE_historie_en_mapping.xlsx</t>
        </is>
      </c>
      <c r="C651" s="108" t="n">
        <v>46324</v>
      </c>
      <c r="D651" s="92" t="inlineStr">
        <is>
          <t>Vastgesteld</t>
        </is>
      </c>
      <c r="E651" s="92" t="n">
        <v>2026</v>
      </c>
      <c r="F651" s="92" t="inlineStr">
        <is>
          <t>Q3</t>
        </is>
      </c>
      <c r="G651" s="92" t="n">
        <v>0</v>
      </c>
      <c r="H651" s="108" t="n">
        <v>46295</v>
      </c>
      <c r="I651" s="92" t="n">
        <v>2026</v>
      </c>
      <c r="J651" s="92" t="inlineStr">
        <is>
          <t>G.900008.8.9090</t>
        </is>
      </c>
      <c r="K651" s="92" t="inlineStr">
        <is>
          <t>G.900008</t>
        </is>
      </c>
      <c r="L651" s="92" t="inlineStr">
        <is>
          <t>Lindehaven, De Brink</t>
        </is>
      </c>
      <c r="M651" s="92" t="inlineStr">
        <is>
          <t>Opstal</t>
        </is>
      </c>
      <c r="N651" s="92" t="inlineStr">
        <is>
          <t>J</t>
        </is>
      </c>
      <c r="O651" s="92" t="inlineStr">
        <is>
          <t>BOR actual YTD</t>
        </is>
      </c>
      <c r="P651" s="109" t="n">
        <v>-38083.5</v>
      </c>
      <c r="Q651" s="92" t="inlineStr">
        <is>
          <t>EUR</t>
        </is>
      </c>
      <c r="R651" s="92" t="inlineStr">
        <is>
          <t>Synthetische vastgelegde invoer; geen echte historie</t>
        </is>
      </c>
      <c r="S651" s="15" t="str">
        <f>IF(J651="","",J651&amp;"|"&amp;E651&amp;"|"&amp;F651&amp;"|"&amp;I651&amp;"|"&amp;O651)</f>
        <v>G.900008.8.9090|2026|Q3|2026|BOR actual YTD</v>
      </c>
      <c r="T651" s="15">
        <f>IF(OR(S651="",D651&lt;&gt;"Vastgesteld"),"",_xlfn.MAXIFS($G$6:$G$5005,$S$6:$S$5005,S651,$D$6:$D$5005,"Vastgesteld"))</f>
        <v>0</v>
      </c>
      <c r="U651" s="15">
        <f>IF(T651="",0,IF(AND(G651=T651,COUNTIFS($S$6:S651,S651,$G$6:G651,G651,$D$6:D651,"Vastgesteld")=1),1,0))</f>
        <v>1</v>
      </c>
      <c r="V651" s="15">
        <f>IF(T651="",0,IF(AND(G651=T651,COUNTIFS($S$6:S651,S651,$G$6:G651,G651,$D$6:D651,"Vastgesteld")&gt;1),1,0))</f>
        <v>0</v>
      </c>
    </row>
    <row r="652">
      <c r="A652" s="92" t="inlineStr">
        <is>
          <t>HIST-2026-Q3</t>
        </is>
      </c>
      <c r="B652" s="92" t="inlineStr">
        <is>
          <t>RDFO_FICTIEVE_historie_en_mapping.xlsx</t>
        </is>
      </c>
      <c r="C652" s="108" t="n">
        <v>46324</v>
      </c>
      <c r="D652" s="92" t="inlineStr">
        <is>
          <t>Vastgesteld</t>
        </is>
      </c>
      <c r="E652" s="92" t="n">
        <v>2026</v>
      </c>
      <c r="F652" s="92" t="inlineStr">
        <is>
          <t>Q3</t>
        </is>
      </c>
      <c r="G652" s="92" t="n">
        <v>0</v>
      </c>
      <c r="H652" s="108" t="n">
        <v>46295</v>
      </c>
      <c r="I652" s="92" t="n">
        <v>2027</v>
      </c>
      <c r="J652" s="92" t="inlineStr">
        <is>
          <t>G.900008.8.9090</t>
        </is>
      </c>
      <c r="K652" s="92" t="inlineStr">
        <is>
          <t>G.900008</t>
        </is>
      </c>
      <c r="L652" s="92" t="inlineStr">
        <is>
          <t>Lindehaven, De Brink</t>
        </is>
      </c>
      <c r="M652" s="92" t="inlineStr">
        <is>
          <t>Opstal</t>
        </is>
      </c>
      <c r="N652" s="92" t="inlineStr">
        <is>
          <t>J</t>
        </is>
      </c>
      <c r="O652" s="92" t="inlineStr">
        <is>
          <t>Omzet FY</t>
        </is>
      </c>
      <c r="P652" s="109" t="n">
        <v>7193550</v>
      </c>
      <c r="Q652" s="92" t="inlineStr">
        <is>
          <t>EUR</t>
        </is>
      </c>
      <c r="R652" s="92" t="inlineStr">
        <is>
          <t>Synthetische vastgelegde invoer; geen echte historie</t>
        </is>
      </c>
      <c r="S652" s="15" t="str">
        <f>IF(J652="","",J652&amp;"|"&amp;E652&amp;"|"&amp;F652&amp;"|"&amp;I652&amp;"|"&amp;O652)</f>
        <v>G.900008.8.9090|2026|Q3|2027|Omzet FY</v>
      </c>
      <c r="T652" s="15">
        <f>IF(OR(S652="",D652&lt;&gt;"Vastgesteld"),"",_xlfn.MAXIFS($G$6:$G$5005,$S$6:$S$5005,S652,$D$6:$D$5005,"Vastgesteld"))</f>
        <v>0</v>
      </c>
      <c r="U652" s="15">
        <f>IF(T652="",0,IF(AND(G652=T652,COUNTIFS($S$6:S652,S652,$G$6:G652,G652,$D$6:D652,"Vastgesteld")=1),1,0))</f>
        <v>1</v>
      </c>
      <c r="V652" s="15">
        <f>IF(T652="",0,IF(AND(G652=T652,COUNTIFS($S$6:S652,S652,$G$6:G652,G652,$D$6:D652,"Vastgesteld")&gt;1),1,0))</f>
        <v>0</v>
      </c>
    </row>
    <row r="653">
      <c r="A653" s="92" t="inlineStr">
        <is>
          <t>HIST-2026-Q3</t>
        </is>
      </c>
      <c r="B653" s="92" t="inlineStr">
        <is>
          <t>RDFO_FICTIEVE_historie_en_mapping.xlsx</t>
        </is>
      </c>
      <c r="C653" s="108" t="n">
        <v>46324</v>
      </c>
      <c r="D653" s="92" t="inlineStr">
        <is>
          <t>Vastgesteld</t>
        </is>
      </c>
      <c r="E653" s="92" t="n">
        <v>2026</v>
      </c>
      <c r="F653" s="92" t="inlineStr">
        <is>
          <t>Q3</t>
        </is>
      </c>
      <c r="G653" s="92" t="n">
        <v>0</v>
      </c>
      <c r="H653" s="108" t="n">
        <v>46295</v>
      </c>
      <c r="I653" s="92" t="n">
        <v>2027</v>
      </c>
      <c r="J653" s="92" t="inlineStr">
        <is>
          <t>G.900008.8.9090</t>
        </is>
      </c>
      <c r="K653" s="92" t="inlineStr">
        <is>
          <t>G.900008</t>
        </is>
      </c>
      <c r="L653" s="92" t="inlineStr">
        <is>
          <t>Lindehaven, De Brink</t>
        </is>
      </c>
      <c r="M653" s="92" t="inlineStr">
        <is>
          <t>Opstal</t>
        </is>
      </c>
      <c r="N653" s="92" t="inlineStr">
        <is>
          <t>J</t>
        </is>
      </c>
      <c r="O653" s="92" t="inlineStr">
        <is>
          <t>BOR FY</t>
        </is>
      </c>
      <c r="P653" s="109" t="n">
        <v>-215806.5</v>
      </c>
      <c r="Q653" s="92" t="inlineStr">
        <is>
          <t>EUR</t>
        </is>
      </c>
      <c r="R653" s="92" t="inlineStr">
        <is>
          <t>Synthetische vastgelegde invoer; geen echte historie</t>
        </is>
      </c>
      <c r="S653" s="15" t="str">
        <f>IF(J653="","",J653&amp;"|"&amp;E653&amp;"|"&amp;F653&amp;"|"&amp;I653&amp;"|"&amp;O653)</f>
        <v>G.900008.8.9090|2026|Q3|2027|BOR FY</v>
      </c>
      <c r="T653" s="15">
        <f>IF(OR(S653="",D653&lt;&gt;"Vastgesteld"),"",_xlfn.MAXIFS($G$6:$G$5005,$S$6:$S$5005,S653,$D$6:$D$5005,"Vastgesteld"))</f>
        <v>0</v>
      </c>
      <c r="U653" s="15">
        <f>IF(T653="",0,IF(AND(G653=T653,COUNTIFS($S$6:S653,S653,$G$6:G653,G653,$D$6:D653,"Vastgesteld")=1),1,0))</f>
        <v>1</v>
      </c>
      <c r="V653" s="15">
        <f>IF(T653="",0,IF(AND(G653=T653,COUNTIFS($S$6:S653,S653,$G$6:G653,G653,$D$6:D653,"Vastgesteld")&gt;1),1,0))</f>
        <v>0</v>
      </c>
    </row>
    <row r="654">
      <c r="A654" s="92" t="inlineStr">
        <is>
          <t>HIST-2026-Q3</t>
        </is>
      </c>
      <c r="B654" s="92" t="inlineStr">
        <is>
          <t>RDFO_FICTIEVE_historie_en_mapping.xlsx</t>
        </is>
      </c>
      <c r="C654" s="108" t="n">
        <v>46324</v>
      </c>
      <c r="D654" s="92" t="inlineStr">
        <is>
          <t>Vastgesteld</t>
        </is>
      </c>
      <c r="E654" s="92" t="n">
        <v>2026</v>
      </c>
      <c r="F654" s="92" t="inlineStr">
        <is>
          <t>Q3</t>
        </is>
      </c>
      <c r="G654" s="92" t="n">
        <v>0</v>
      </c>
      <c r="H654" s="108" t="n">
        <v>46295</v>
      </c>
      <c r="I654" s="92" t="n">
        <v>2026</v>
      </c>
      <c r="J654" s="92" t="inlineStr">
        <is>
          <t>G.900009.8.9090</t>
        </is>
      </c>
      <c r="K654" s="92" t="inlineStr">
        <is>
          <t>G.900009</t>
        </is>
      </c>
      <c r="L654" s="92" t="inlineStr">
        <is>
          <t>Duinwaard, Duinrand</t>
        </is>
      </c>
      <c r="M654" s="92" t="inlineStr">
        <is>
          <t>Opstal</t>
        </is>
      </c>
      <c r="N654" s="92" t="inlineStr">
        <is>
          <t>J</t>
        </is>
      </c>
      <c r="O654" s="92" t="inlineStr">
        <is>
          <t>Omzet FY</t>
        </is>
      </c>
      <c r="P654" s="109" t="n">
        <v>16632000</v>
      </c>
      <c r="Q654" s="92" t="inlineStr">
        <is>
          <t>EUR</t>
        </is>
      </c>
      <c r="R654" s="92" t="inlineStr">
        <is>
          <t>Synthetische vastgelegde invoer; geen echte historie</t>
        </is>
      </c>
      <c r="S654" s="15" t="str">
        <f>IF(J654="","",J654&amp;"|"&amp;E654&amp;"|"&amp;F654&amp;"|"&amp;I654&amp;"|"&amp;O654)</f>
        <v>G.900009.8.9090|2026|Q3|2026|Omzet FY</v>
      </c>
      <c r="T654" s="15">
        <f>IF(OR(S654="",D654&lt;&gt;"Vastgesteld"),"",_xlfn.MAXIFS($G$6:$G$5005,$S$6:$S$5005,S654,$D$6:$D$5005,"Vastgesteld"))</f>
        <v>0</v>
      </c>
      <c r="U654" s="15">
        <f>IF(T654="",0,IF(AND(G654=T654,COUNTIFS($S$6:S654,S654,$G$6:G654,G654,$D$6:D654,"Vastgesteld")=1),1,0))</f>
        <v>1</v>
      </c>
      <c r="V654" s="15">
        <f>IF(T654="",0,IF(AND(G654=T654,COUNTIFS($S$6:S654,S654,$G$6:G654,G654,$D$6:D654,"Vastgesteld")&gt;1),1,0))</f>
        <v>0</v>
      </c>
    </row>
    <row r="655">
      <c r="A655" s="92" t="inlineStr">
        <is>
          <t>HIST-2026-Q3</t>
        </is>
      </c>
      <c r="B655" s="92" t="inlineStr">
        <is>
          <t>RDFO_FICTIEVE_historie_en_mapping.xlsx</t>
        </is>
      </c>
      <c r="C655" s="108" t="n">
        <v>46324</v>
      </c>
      <c r="D655" s="92" t="inlineStr">
        <is>
          <t>Vastgesteld</t>
        </is>
      </c>
      <c r="E655" s="92" t="n">
        <v>2026</v>
      </c>
      <c r="F655" s="92" t="inlineStr">
        <is>
          <t>Q3</t>
        </is>
      </c>
      <c r="G655" s="92" t="n">
        <v>0</v>
      </c>
      <c r="H655" s="108" t="n">
        <v>46295</v>
      </c>
      <c r="I655" s="92" t="n">
        <v>2026</v>
      </c>
      <c r="J655" s="92" t="inlineStr">
        <is>
          <t>G.900009.8.9090</t>
        </is>
      </c>
      <c r="K655" s="92" t="inlineStr">
        <is>
          <t>G.900009</t>
        </is>
      </c>
      <c r="L655" s="92" t="inlineStr">
        <is>
          <t>Duinwaard, Duinrand</t>
        </is>
      </c>
      <c r="M655" s="92" t="inlineStr">
        <is>
          <t>Opstal</t>
        </is>
      </c>
      <c r="N655" s="92" t="inlineStr">
        <is>
          <t>J</t>
        </is>
      </c>
      <c r="O655" s="92" t="inlineStr">
        <is>
          <t>BOR FY</t>
        </is>
      </c>
      <c r="P655" s="109" t="n">
        <v>1330560</v>
      </c>
      <c r="Q655" s="92" t="inlineStr">
        <is>
          <t>EUR</t>
        </is>
      </c>
      <c r="R655" s="92" t="inlineStr">
        <is>
          <t>Synthetische vastgelegde invoer; geen echte historie</t>
        </is>
      </c>
      <c r="S655" s="15" t="str">
        <f>IF(J655="","",J655&amp;"|"&amp;E655&amp;"|"&amp;F655&amp;"|"&amp;I655&amp;"|"&amp;O655)</f>
        <v>G.900009.8.9090|2026|Q3|2026|BOR FY</v>
      </c>
      <c r="T655" s="15">
        <f>IF(OR(S655="",D655&lt;&gt;"Vastgesteld"),"",_xlfn.MAXIFS($G$6:$G$5005,$S$6:$S$5005,S655,$D$6:$D$5005,"Vastgesteld"))</f>
        <v>0</v>
      </c>
      <c r="U655" s="15">
        <f>IF(T655="",0,IF(AND(G655=T655,COUNTIFS($S$6:S655,S655,$G$6:G655,G655,$D$6:D655,"Vastgesteld")=1),1,0))</f>
        <v>1</v>
      </c>
      <c r="V655" s="15">
        <f>IF(T655="",0,IF(AND(G655=T655,COUNTIFS($S$6:S655,S655,$G$6:G655,G655,$D$6:D655,"Vastgesteld")&gt;1),1,0))</f>
        <v>0</v>
      </c>
    </row>
    <row r="656">
      <c r="A656" s="92" t="inlineStr">
        <is>
          <t>HIST-2026-Q3</t>
        </is>
      </c>
      <c r="B656" s="92" t="inlineStr">
        <is>
          <t>RDFO_FICTIEVE_historie_en_mapping.xlsx</t>
        </is>
      </c>
      <c r="C656" s="108" t="n">
        <v>46324</v>
      </c>
      <c r="D656" s="92" t="inlineStr">
        <is>
          <t>Vastgesteld</t>
        </is>
      </c>
      <c r="E656" s="92" t="n">
        <v>2026</v>
      </c>
      <c r="F656" s="92" t="inlineStr">
        <is>
          <t>Q3</t>
        </is>
      </c>
      <c r="G656" s="92" t="n">
        <v>0</v>
      </c>
      <c r="H656" s="108" t="n">
        <v>46295</v>
      </c>
      <c r="I656" s="92" t="n">
        <v>2026</v>
      </c>
      <c r="J656" s="92" t="inlineStr">
        <is>
          <t>G.900009.8.9090</t>
        </is>
      </c>
      <c r="K656" s="92" t="inlineStr">
        <is>
          <t>G.900009</t>
        </is>
      </c>
      <c r="L656" s="92" t="inlineStr">
        <is>
          <t>Duinwaard, Duinrand</t>
        </is>
      </c>
      <c r="M656" s="92" t="inlineStr">
        <is>
          <t>Opstal</t>
        </is>
      </c>
      <c r="N656" s="92" t="inlineStr">
        <is>
          <t>J</t>
        </is>
      </c>
      <c r="O656" s="92" t="inlineStr">
        <is>
          <t>Omzet actual YTD</t>
        </is>
      </c>
      <c r="P656" s="109" t="n">
        <v>10810800</v>
      </c>
      <c r="Q656" s="92" t="inlineStr">
        <is>
          <t>EUR</t>
        </is>
      </c>
      <c r="R656" s="92" t="inlineStr">
        <is>
          <t>Synthetische vastgelegde invoer; geen echte historie</t>
        </is>
      </c>
      <c r="S656" s="15" t="str">
        <f>IF(J656="","",J656&amp;"|"&amp;E656&amp;"|"&amp;F656&amp;"|"&amp;I656&amp;"|"&amp;O656)</f>
        <v>G.900009.8.9090|2026|Q3|2026|Omzet actual YTD</v>
      </c>
      <c r="T656" s="15">
        <f>IF(OR(S656="",D656&lt;&gt;"Vastgesteld"),"",_xlfn.MAXIFS($G$6:$G$5005,$S$6:$S$5005,S656,$D$6:$D$5005,"Vastgesteld"))</f>
        <v>0</v>
      </c>
      <c r="U656" s="15">
        <f>IF(T656="",0,IF(AND(G656=T656,COUNTIFS($S$6:S656,S656,$G$6:G656,G656,$D$6:D656,"Vastgesteld")=1),1,0))</f>
        <v>1</v>
      </c>
      <c r="V656" s="15">
        <f>IF(T656="",0,IF(AND(G656=T656,COUNTIFS($S$6:S656,S656,$G$6:G656,G656,$D$6:D656,"Vastgesteld")&gt;1),1,0))</f>
        <v>0</v>
      </c>
    </row>
    <row r="657">
      <c r="A657" s="92" t="inlineStr">
        <is>
          <t>HIST-2026-Q3</t>
        </is>
      </c>
      <c r="B657" s="92" t="inlineStr">
        <is>
          <t>RDFO_FICTIEVE_historie_en_mapping.xlsx</t>
        </is>
      </c>
      <c r="C657" s="108" t="n">
        <v>46324</v>
      </c>
      <c r="D657" s="92" t="inlineStr">
        <is>
          <t>Vastgesteld</t>
        </is>
      </c>
      <c r="E657" s="92" t="n">
        <v>2026</v>
      </c>
      <c r="F657" s="92" t="inlineStr">
        <is>
          <t>Q3</t>
        </is>
      </c>
      <c r="G657" s="92" t="n">
        <v>0</v>
      </c>
      <c r="H657" s="108" t="n">
        <v>46295</v>
      </c>
      <c r="I657" s="92" t="n">
        <v>2026</v>
      </c>
      <c r="J657" s="92" t="inlineStr">
        <is>
          <t>G.900009.8.9090</t>
        </is>
      </c>
      <c r="K657" s="92" t="inlineStr">
        <is>
          <t>G.900009</t>
        </is>
      </c>
      <c r="L657" s="92" t="inlineStr">
        <is>
          <t>Duinwaard, Duinrand</t>
        </is>
      </c>
      <c r="M657" s="92" t="inlineStr">
        <is>
          <t>Opstal</t>
        </is>
      </c>
      <c r="N657" s="92" t="inlineStr">
        <is>
          <t>J</t>
        </is>
      </c>
      <c r="O657" s="92" t="inlineStr">
        <is>
          <t>BOR actual YTD</t>
        </is>
      </c>
      <c r="P657" s="109" t="n">
        <v>864864</v>
      </c>
      <c r="Q657" s="92" t="inlineStr">
        <is>
          <t>EUR</t>
        </is>
      </c>
      <c r="R657" s="92" t="inlineStr">
        <is>
          <t>Synthetische vastgelegde invoer; geen echte historie</t>
        </is>
      </c>
      <c r="S657" s="15" t="str">
        <f>IF(J657="","",J657&amp;"|"&amp;E657&amp;"|"&amp;F657&amp;"|"&amp;I657&amp;"|"&amp;O657)</f>
        <v>G.900009.8.9090|2026|Q3|2026|BOR actual YTD</v>
      </c>
      <c r="T657" s="15">
        <f>IF(OR(S657="",D657&lt;&gt;"Vastgesteld"),"",_xlfn.MAXIFS($G$6:$G$5005,$S$6:$S$5005,S657,$D$6:$D$5005,"Vastgesteld"))</f>
        <v>0</v>
      </c>
      <c r="U657" s="15">
        <f>IF(T657="",0,IF(AND(G657=T657,COUNTIFS($S$6:S657,S657,$G$6:G657,G657,$D$6:D657,"Vastgesteld")=1),1,0))</f>
        <v>1</v>
      </c>
      <c r="V657" s="15">
        <f>IF(T657="",0,IF(AND(G657=T657,COUNTIFS($S$6:S657,S657,$G$6:G657,G657,$D$6:D657,"Vastgesteld")&gt;1),1,0))</f>
        <v>0</v>
      </c>
    </row>
    <row r="658">
      <c r="A658" s="92" t="inlineStr">
        <is>
          <t>HIST-2026-Q3</t>
        </is>
      </c>
      <c r="B658" s="92" t="inlineStr">
        <is>
          <t>RDFO_FICTIEVE_historie_en_mapping.xlsx</t>
        </is>
      </c>
      <c r="C658" s="108" t="n">
        <v>46324</v>
      </c>
      <c r="D658" s="92" t="inlineStr">
        <is>
          <t>Vastgesteld</t>
        </is>
      </c>
      <c r="E658" s="92" t="n">
        <v>2026</v>
      </c>
      <c r="F658" s="92" t="inlineStr">
        <is>
          <t>Q3</t>
        </is>
      </c>
      <c r="G658" s="92" t="n">
        <v>0</v>
      </c>
      <c r="H658" s="108" t="n">
        <v>46295</v>
      </c>
      <c r="I658" s="92" t="n">
        <v>2027</v>
      </c>
      <c r="J658" s="92" t="inlineStr">
        <is>
          <t>G.900009.8.9090</t>
        </is>
      </c>
      <c r="K658" s="92" t="inlineStr">
        <is>
          <t>G.900009</t>
        </is>
      </c>
      <c r="L658" s="92" t="inlineStr">
        <is>
          <t>Duinwaard, Duinrand</t>
        </is>
      </c>
      <c r="M658" s="92" t="inlineStr">
        <is>
          <t>Opstal</t>
        </is>
      </c>
      <c r="N658" s="92" t="inlineStr">
        <is>
          <t>J</t>
        </is>
      </c>
      <c r="O658" s="92" t="inlineStr">
        <is>
          <t>Omzet FY</t>
        </is>
      </c>
      <c r="P658" s="109" t="n">
        <v>14929200</v>
      </c>
      <c r="Q658" s="92" t="inlineStr">
        <is>
          <t>EUR</t>
        </is>
      </c>
      <c r="R658" s="92" t="inlineStr">
        <is>
          <t>Synthetische vastgelegde invoer; geen echte historie</t>
        </is>
      </c>
      <c r="S658" s="15" t="str">
        <f>IF(J658="","",J658&amp;"|"&amp;E658&amp;"|"&amp;F658&amp;"|"&amp;I658&amp;"|"&amp;O658)</f>
        <v>G.900009.8.9090|2026|Q3|2027|Omzet FY</v>
      </c>
      <c r="T658" s="15">
        <f>IF(OR(S658="",D658&lt;&gt;"Vastgesteld"),"",_xlfn.MAXIFS($G$6:$G$5005,$S$6:$S$5005,S658,$D$6:$D$5005,"Vastgesteld"))</f>
        <v>0</v>
      </c>
      <c r="U658" s="15">
        <f>IF(T658="",0,IF(AND(G658=T658,COUNTIFS($S$6:S658,S658,$G$6:G658,G658,$D$6:D658,"Vastgesteld")=1),1,0))</f>
        <v>1</v>
      </c>
      <c r="V658" s="15">
        <f>IF(T658="",0,IF(AND(G658=T658,COUNTIFS($S$6:S658,S658,$G$6:G658,G658,$D$6:D658,"Vastgesteld")&gt;1),1,0))</f>
        <v>0</v>
      </c>
    </row>
    <row r="659">
      <c r="A659" s="92" t="inlineStr">
        <is>
          <t>HIST-2026-Q3</t>
        </is>
      </c>
      <c r="B659" s="92" t="inlineStr">
        <is>
          <t>RDFO_FICTIEVE_historie_en_mapping.xlsx</t>
        </is>
      </c>
      <c r="C659" s="108" t="n">
        <v>46324</v>
      </c>
      <c r="D659" s="92" t="inlineStr">
        <is>
          <t>Vastgesteld</t>
        </is>
      </c>
      <c r="E659" s="92" t="n">
        <v>2026</v>
      </c>
      <c r="F659" s="92" t="inlineStr">
        <is>
          <t>Q3</t>
        </is>
      </c>
      <c r="G659" s="92" t="n">
        <v>0</v>
      </c>
      <c r="H659" s="108" t="n">
        <v>46295</v>
      </c>
      <c r="I659" s="92" t="n">
        <v>2027</v>
      </c>
      <c r="J659" s="92" t="inlineStr">
        <is>
          <t>G.900009.8.9090</t>
        </is>
      </c>
      <c r="K659" s="92" t="inlineStr">
        <is>
          <t>G.900009</t>
        </is>
      </c>
      <c r="L659" s="92" t="inlineStr">
        <is>
          <t>Duinwaard, Duinrand</t>
        </is>
      </c>
      <c r="M659" s="92" t="inlineStr">
        <is>
          <t>Opstal</t>
        </is>
      </c>
      <c r="N659" s="92" t="inlineStr">
        <is>
          <t>J</t>
        </is>
      </c>
      <c r="O659" s="92" t="inlineStr">
        <is>
          <t>BOR FY</t>
        </is>
      </c>
      <c r="P659" s="109" t="n">
        <v>1194336</v>
      </c>
      <c r="Q659" s="92" t="inlineStr">
        <is>
          <t>EUR</t>
        </is>
      </c>
      <c r="R659" s="92" t="inlineStr">
        <is>
          <t>Synthetische vastgelegde invoer; geen echte historie</t>
        </is>
      </c>
      <c r="S659" s="15" t="str">
        <f>IF(J659="","",J659&amp;"|"&amp;E659&amp;"|"&amp;F659&amp;"|"&amp;I659&amp;"|"&amp;O659)</f>
        <v>G.900009.8.9090|2026|Q3|2027|BOR FY</v>
      </c>
      <c r="T659" s="15">
        <f>IF(OR(S659="",D659&lt;&gt;"Vastgesteld"),"",_xlfn.MAXIFS($G$6:$G$5005,$S$6:$S$5005,S659,$D$6:$D$5005,"Vastgesteld"))</f>
        <v>0</v>
      </c>
      <c r="U659" s="15">
        <f>IF(T659="",0,IF(AND(G659=T659,COUNTIFS($S$6:S659,S659,$G$6:G659,G659,$D$6:D659,"Vastgesteld")=1),1,0))</f>
        <v>1</v>
      </c>
      <c r="V659" s="15">
        <f>IF(T659="",0,IF(AND(G659=T659,COUNTIFS($S$6:S659,S659,$G$6:G659,G659,$D$6:D659,"Vastgesteld")&gt;1),1,0))</f>
        <v>0</v>
      </c>
    </row>
    <row r="660">
      <c r="A660" s="92" t="inlineStr">
        <is>
          <t>HIST-2026-Q3</t>
        </is>
      </c>
      <c r="B660" s="92" t="inlineStr">
        <is>
          <t>RDFO_FICTIEVE_historie_en_mapping.xlsx</t>
        </is>
      </c>
      <c r="C660" s="108" t="n">
        <v>46324</v>
      </c>
      <c r="D660" s="92" t="inlineStr">
        <is>
          <t>Vastgesteld</t>
        </is>
      </c>
      <c r="E660" s="92" t="n">
        <v>2026</v>
      </c>
      <c r="F660" s="92" t="inlineStr">
        <is>
          <t>Q3</t>
        </is>
      </c>
      <c r="G660" s="92" t="n">
        <v>0</v>
      </c>
      <c r="H660" s="108" t="n">
        <v>46295</v>
      </c>
      <c r="I660" s="92" t="n">
        <v>2026</v>
      </c>
      <c r="J660" s="92" t="inlineStr">
        <is>
          <t>G.900010.8.9090</t>
        </is>
      </c>
      <c r="K660" s="92" t="inlineStr">
        <is>
          <t>G.900010</t>
        </is>
      </c>
      <c r="L660" s="92" t="inlineStr">
        <is>
          <t>Veldendam, Groene Singel</t>
        </is>
      </c>
      <c r="M660" s="92" t="inlineStr">
        <is>
          <t>Opstal</t>
        </is>
      </c>
      <c r="N660" s="92" t="inlineStr">
        <is>
          <t>J</t>
        </is>
      </c>
      <c r="O660" s="92" t="inlineStr">
        <is>
          <t>Omzet FY</t>
        </is>
      </c>
      <c r="P660" s="109" t="n">
        <v>3132000</v>
      </c>
      <c r="Q660" s="92" t="inlineStr">
        <is>
          <t>EUR</t>
        </is>
      </c>
      <c r="R660" s="92" t="inlineStr">
        <is>
          <t>Synthetische vastgelegde invoer; geen echte historie</t>
        </is>
      </c>
      <c r="S660" s="15" t="str">
        <f>IF(J660="","",J660&amp;"|"&amp;E660&amp;"|"&amp;F660&amp;"|"&amp;I660&amp;"|"&amp;O660)</f>
        <v>G.900010.8.9090|2026|Q3|2026|Omzet FY</v>
      </c>
      <c r="T660" s="15">
        <f>IF(OR(S660="",D660&lt;&gt;"Vastgesteld"),"",_xlfn.MAXIFS($G$6:$G$5005,$S$6:$S$5005,S660,$D$6:$D$5005,"Vastgesteld"))</f>
        <v>0</v>
      </c>
      <c r="U660" s="15">
        <f>IF(T660="",0,IF(AND(G660=T660,COUNTIFS($S$6:S660,S660,$G$6:G660,G660,$D$6:D660,"Vastgesteld")=1),1,0))</f>
        <v>1</v>
      </c>
      <c r="V660" s="15">
        <f>IF(T660="",0,IF(AND(G660=T660,COUNTIFS($S$6:S660,S660,$G$6:G660,G660,$D$6:D660,"Vastgesteld")&gt;1),1,0))</f>
        <v>0</v>
      </c>
    </row>
    <row r="661">
      <c r="A661" s="92" t="inlineStr">
        <is>
          <t>HIST-2026-Q3</t>
        </is>
      </c>
      <c r="B661" s="92" t="inlineStr">
        <is>
          <t>RDFO_FICTIEVE_historie_en_mapping.xlsx</t>
        </is>
      </c>
      <c r="C661" s="108" t="n">
        <v>46324</v>
      </c>
      <c r="D661" s="92" t="inlineStr">
        <is>
          <t>Vastgesteld</t>
        </is>
      </c>
      <c r="E661" s="92" t="n">
        <v>2026</v>
      </c>
      <c r="F661" s="92" t="inlineStr">
        <is>
          <t>Q3</t>
        </is>
      </c>
      <c r="G661" s="92" t="n">
        <v>0</v>
      </c>
      <c r="H661" s="108" t="n">
        <v>46295</v>
      </c>
      <c r="I661" s="92" t="n">
        <v>2026</v>
      </c>
      <c r="J661" s="92" t="inlineStr">
        <is>
          <t>G.900010.8.9090</t>
        </is>
      </c>
      <c r="K661" s="92" t="inlineStr">
        <is>
          <t>G.900010</t>
        </is>
      </c>
      <c r="L661" s="92" t="inlineStr">
        <is>
          <t>Veldendam, Groene Singel</t>
        </is>
      </c>
      <c r="M661" s="92" t="inlineStr">
        <is>
          <t>Opstal</t>
        </is>
      </c>
      <c r="N661" s="92" t="inlineStr">
        <is>
          <t>J</t>
        </is>
      </c>
      <c r="O661" s="92" t="inlineStr">
        <is>
          <t>BOR FY</t>
        </is>
      </c>
      <c r="P661" s="109" t="n">
        <v>407160</v>
      </c>
      <c r="Q661" s="92" t="inlineStr">
        <is>
          <t>EUR</t>
        </is>
      </c>
      <c r="R661" s="92" t="inlineStr">
        <is>
          <t>Synthetische vastgelegde invoer; geen echte historie</t>
        </is>
      </c>
      <c r="S661" s="15" t="str">
        <f>IF(J661="","",J661&amp;"|"&amp;E661&amp;"|"&amp;F661&amp;"|"&amp;I661&amp;"|"&amp;O661)</f>
        <v>G.900010.8.9090|2026|Q3|2026|BOR FY</v>
      </c>
      <c r="T661" s="15">
        <f>IF(OR(S661="",D661&lt;&gt;"Vastgesteld"),"",_xlfn.MAXIFS($G$6:$G$5005,$S$6:$S$5005,S661,$D$6:$D$5005,"Vastgesteld"))</f>
        <v>0</v>
      </c>
      <c r="U661" s="15">
        <f>IF(T661="",0,IF(AND(G661=T661,COUNTIFS($S$6:S661,S661,$G$6:G661,G661,$D$6:D661,"Vastgesteld")=1),1,0))</f>
        <v>1</v>
      </c>
      <c r="V661" s="15">
        <f>IF(T661="",0,IF(AND(G661=T661,COUNTIFS($S$6:S661,S661,$G$6:G661,G661,$D$6:D661,"Vastgesteld")&gt;1),1,0))</f>
        <v>0</v>
      </c>
    </row>
    <row r="662">
      <c r="A662" s="92" t="inlineStr">
        <is>
          <t>HIST-2026-Q3</t>
        </is>
      </c>
      <c r="B662" s="92" t="inlineStr">
        <is>
          <t>RDFO_FICTIEVE_historie_en_mapping.xlsx</t>
        </is>
      </c>
      <c r="C662" s="108" t="n">
        <v>46324</v>
      </c>
      <c r="D662" s="92" t="inlineStr">
        <is>
          <t>Vastgesteld</t>
        </is>
      </c>
      <c r="E662" s="92" t="n">
        <v>2026</v>
      </c>
      <c r="F662" s="92" t="inlineStr">
        <is>
          <t>Q3</t>
        </is>
      </c>
      <c r="G662" s="92" t="n">
        <v>0</v>
      </c>
      <c r="H662" s="108" t="n">
        <v>46295</v>
      </c>
      <c r="I662" s="92" t="n">
        <v>2026</v>
      </c>
      <c r="J662" s="92" t="inlineStr">
        <is>
          <t>G.900010.8.9090</t>
        </is>
      </c>
      <c r="K662" s="92" t="inlineStr">
        <is>
          <t>G.900010</t>
        </is>
      </c>
      <c r="L662" s="92" t="inlineStr">
        <is>
          <t>Veldendam, Groene Singel</t>
        </is>
      </c>
      <c r="M662" s="92" t="inlineStr">
        <is>
          <t>Opstal</t>
        </is>
      </c>
      <c r="N662" s="92" t="inlineStr">
        <is>
          <t>J</t>
        </is>
      </c>
      <c r="O662" s="92" t="inlineStr">
        <is>
          <t>Omzet actual YTD</t>
        </is>
      </c>
      <c r="P662" s="109" t="n">
        <v>2035800</v>
      </c>
      <c r="Q662" s="92" t="inlineStr">
        <is>
          <t>EUR</t>
        </is>
      </c>
      <c r="R662" s="92" t="inlineStr">
        <is>
          <t>Synthetische vastgelegde invoer; geen echte historie</t>
        </is>
      </c>
      <c r="S662" s="15" t="str">
        <f>IF(J662="","",J662&amp;"|"&amp;E662&amp;"|"&amp;F662&amp;"|"&amp;I662&amp;"|"&amp;O662)</f>
        <v>G.900010.8.9090|2026|Q3|2026|Omzet actual YTD</v>
      </c>
      <c r="T662" s="15">
        <f>IF(OR(S662="",D662&lt;&gt;"Vastgesteld"),"",_xlfn.MAXIFS($G$6:$G$5005,$S$6:$S$5005,S662,$D$6:$D$5005,"Vastgesteld"))</f>
        <v>0</v>
      </c>
      <c r="U662" s="15">
        <f>IF(T662="",0,IF(AND(G662=T662,COUNTIFS($S$6:S662,S662,$G$6:G662,G662,$D$6:D662,"Vastgesteld")=1),1,0))</f>
        <v>1</v>
      </c>
      <c r="V662" s="15">
        <f>IF(T662="",0,IF(AND(G662=T662,COUNTIFS($S$6:S662,S662,$G$6:G662,G662,$D$6:D662,"Vastgesteld")&gt;1),1,0))</f>
        <v>0</v>
      </c>
    </row>
    <row r="663">
      <c r="A663" s="92" t="inlineStr">
        <is>
          <t>HIST-2026-Q3</t>
        </is>
      </c>
      <c r="B663" s="92" t="inlineStr">
        <is>
          <t>RDFO_FICTIEVE_historie_en_mapping.xlsx</t>
        </is>
      </c>
      <c r="C663" s="108" t="n">
        <v>46324</v>
      </c>
      <c r="D663" s="92" t="inlineStr">
        <is>
          <t>Vastgesteld</t>
        </is>
      </c>
      <c r="E663" s="92" t="n">
        <v>2026</v>
      </c>
      <c r="F663" s="92" t="inlineStr">
        <is>
          <t>Q3</t>
        </is>
      </c>
      <c r="G663" s="92" t="n">
        <v>0</v>
      </c>
      <c r="H663" s="108" t="n">
        <v>46295</v>
      </c>
      <c r="I663" s="92" t="n">
        <v>2026</v>
      </c>
      <c r="J663" s="92" t="inlineStr">
        <is>
          <t>G.900010.8.9090</t>
        </is>
      </c>
      <c r="K663" s="92" t="inlineStr">
        <is>
          <t>G.900010</t>
        </is>
      </c>
      <c r="L663" s="92" t="inlineStr">
        <is>
          <t>Veldendam, Groene Singel</t>
        </is>
      </c>
      <c r="M663" s="92" t="inlineStr">
        <is>
          <t>Opstal</t>
        </is>
      </c>
      <c r="N663" s="92" t="inlineStr">
        <is>
          <t>J</t>
        </is>
      </c>
      <c r="O663" s="92" t="inlineStr">
        <is>
          <t>BOR actual YTD</t>
        </is>
      </c>
      <c r="P663" s="109" t="n">
        <v>264654</v>
      </c>
      <c r="Q663" s="92" t="inlineStr">
        <is>
          <t>EUR</t>
        </is>
      </c>
      <c r="R663" s="92" t="inlineStr">
        <is>
          <t>Synthetische vastgelegde invoer; geen echte historie</t>
        </is>
      </c>
      <c r="S663" s="15" t="str">
        <f>IF(J663="","",J663&amp;"|"&amp;E663&amp;"|"&amp;F663&amp;"|"&amp;I663&amp;"|"&amp;O663)</f>
        <v>G.900010.8.9090|2026|Q3|2026|BOR actual YTD</v>
      </c>
      <c r="T663" s="15">
        <f>IF(OR(S663="",D663&lt;&gt;"Vastgesteld"),"",_xlfn.MAXIFS($G$6:$G$5005,$S$6:$S$5005,S663,$D$6:$D$5005,"Vastgesteld"))</f>
        <v>0</v>
      </c>
      <c r="U663" s="15">
        <f>IF(T663="",0,IF(AND(G663=T663,COUNTIFS($S$6:S663,S663,$G$6:G663,G663,$D$6:D663,"Vastgesteld")=1),1,0))</f>
        <v>1</v>
      </c>
      <c r="V663" s="15">
        <f>IF(T663="",0,IF(AND(G663=T663,COUNTIFS($S$6:S663,S663,$G$6:G663,G663,$D$6:D663,"Vastgesteld")&gt;1),1,0))</f>
        <v>0</v>
      </c>
    </row>
    <row r="664">
      <c r="A664" s="92" t="inlineStr">
        <is>
          <t>HIST-2026-Q3</t>
        </is>
      </c>
      <c r="B664" s="92" t="inlineStr">
        <is>
          <t>RDFO_FICTIEVE_historie_en_mapping.xlsx</t>
        </is>
      </c>
      <c r="C664" s="108" t="n">
        <v>46324</v>
      </c>
      <c r="D664" s="92" t="inlineStr">
        <is>
          <t>Vastgesteld</t>
        </is>
      </c>
      <c r="E664" s="92" t="n">
        <v>2026</v>
      </c>
      <c r="F664" s="92" t="inlineStr">
        <is>
          <t>Q3</t>
        </is>
      </c>
      <c r="G664" s="92" t="n">
        <v>0</v>
      </c>
      <c r="H664" s="108" t="n">
        <v>46295</v>
      </c>
      <c r="I664" s="92" t="n">
        <v>2027</v>
      </c>
      <c r="J664" s="92" t="inlineStr">
        <is>
          <t>G.900010.8.9090</t>
        </is>
      </c>
      <c r="K664" s="92" t="inlineStr">
        <is>
          <t>G.900010</t>
        </is>
      </c>
      <c r="L664" s="92" t="inlineStr">
        <is>
          <t>Veldendam, Groene Singel</t>
        </is>
      </c>
      <c r="M664" s="92" t="inlineStr">
        <is>
          <t>Opstal</t>
        </is>
      </c>
      <c r="N664" s="92" t="inlineStr">
        <is>
          <t>J</t>
        </is>
      </c>
      <c r="O664" s="92" t="inlineStr">
        <is>
          <t>Omzet FY</t>
        </is>
      </c>
      <c r="P664" s="109" t="n">
        <v>18322200</v>
      </c>
      <c r="Q664" s="92" t="inlineStr">
        <is>
          <t>EUR</t>
        </is>
      </c>
      <c r="R664" s="92" t="inlineStr">
        <is>
          <t>Synthetische vastgelegde invoer; geen echte historie</t>
        </is>
      </c>
      <c r="S664" s="15" t="str">
        <f>IF(J664="","",J664&amp;"|"&amp;E664&amp;"|"&amp;F664&amp;"|"&amp;I664&amp;"|"&amp;O664)</f>
        <v>G.900010.8.9090|2026|Q3|2027|Omzet FY</v>
      </c>
      <c r="T664" s="15">
        <f>IF(OR(S664="",D664&lt;&gt;"Vastgesteld"),"",_xlfn.MAXIFS($G$6:$G$5005,$S$6:$S$5005,S664,$D$6:$D$5005,"Vastgesteld"))</f>
        <v>0</v>
      </c>
      <c r="U664" s="15">
        <f>IF(T664="",0,IF(AND(G664=T664,COUNTIFS($S$6:S664,S664,$G$6:G664,G664,$D$6:D664,"Vastgesteld")=1),1,0))</f>
        <v>1</v>
      </c>
      <c r="V664" s="15">
        <f>IF(T664="",0,IF(AND(G664=T664,COUNTIFS($S$6:S664,S664,$G$6:G664,G664,$D$6:D664,"Vastgesteld")&gt;1),1,0))</f>
        <v>0</v>
      </c>
    </row>
    <row r="665">
      <c r="A665" s="92" t="inlineStr">
        <is>
          <t>HIST-2026-Q3</t>
        </is>
      </c>
      <c r="B665" s="92" t="inlineStr">
        <is>
          <t>RDFO_FICTIEVE_historie_en_mapping.xlsx</t>
        </is>
      </c>
      <c r="C665" s="108" t="n">
        <v>46324</v>
      </c>
      <c r="D665" s="92" t="inlineStr">
        <is>
          <t>Vastgesteld</t>
        </is>
      </c>
      <c r="E665" s="92" t="n">
        <v>2026</v>
      </c>
      <c r="F665" s="92" t="inlineStr">
        <is>
          <t>Q3</t>
        </is>
      </c>
      <c r="G665" s="92" t="n">
        <v>0</v>
      </c>
      <c r="H665" s="108" t="n">
        <v>46295</v>
      </c>
      <c r="I665" s="92" t="n">
        <v>2027</v>
      </c>
      <c r="J665" s="92" t="inlineStr">
        <is>
          <t>G.900010.8.9090</t>
        </is>
      </c>
      <c r="K665" s="92" t="inlineStr">
        <is>
          <t>G.900010</t>
        </is>
      </c>
      <c r="L665" s="92" t="inlineStr">
        <is>
          <t>Veldendam, Groene Singel</t>
        </is>
      </c>
      <c r="M665" s="92" t="inlineStr">
        <is>
          <t>Opstal</t>
        </is>
      </c>
      <c r="N665" s="92" t="inlineStr">
        <is>
          <t>J</t>
        </is>
      </c>
      <c r="O665" s="92" t="inlineStr">
        <is>
          <t>BOR FY</t>
        </is>
      </c>
      <c r="P665" s="109" t="n">
        <v>2381886</v>
      </c>
      <c r="Q665" s="92" t="inlineStr">
        <is>
          <t>EUR</t>
        </is>
      </c>
      <c r="R665" s="92" t="inlineStr">
        <is>
          <t>Synthetische vastgelegde invoer; geen echte historie</t>
        </is>
      </c>
      <c r="S665" s="15" t="str">
        <f>IF(J665="","",J665&amp;"|"&amp;E665&amp;"|"&amp;F665&amp;"|"&amp;I665&amp;"|"&amp;O665)</f>
        <v>G.900010.8.9090|2026|Q3|2027|BOR FY</v>
      </c>
      <c r="T665" s="15">
        <f>IF(OR(S665="",D665&lt;&gt;"Vastgesteld"),"",_xlfn.MAXIFS($G$6:$G$5005,$S$6:$S$5005,S665,$D$6:$D$5005,"Vastgesteld"))</f>
        <v>0</v>
      </c>
      <c r="U665" s="15">
        <f>IF(T665="",0,IF(AND(G665=T665,COUNTIFS($S$6:S665,S665,$G$6:G665,G665,$D$6:D665,"Vastgesteld")=1),1,0))</f>
        <v>1</v>
      </c>
      <c r="V665" s="15">
        <f>IF(T665="",0,IF(AND(G665=T665,COUNTIFS($S$6:S665,S665,$G$6:G665,G665,$D$6:D665,"Vastgesteld")&gt;1),1,0))</f>
        <v>0</v>
      </c>
    </row>
    <row r="666">
      <c r="A666" s="92" t="inlineStr">
        <is>
          <t>HIST-2026-Q3</t>
        </is>
      </c>
      <c r="B666" s="92" t="inlineStr">
        <is>
          <t>RDFO_FICTIEVE_historie_en_mapping.xlsx</t>
        </is>
      </c>
      <c r="C666" s="108" t="n">
        <v>46324</v>
      </c>
      <c r="D666" s="92" t="inlineStr">
        <is>
          <t>Vastgesteld</t>
        </is>
      </c>
      <c r="E666" s="92" t="n">
        <v>2026</v>
      </c>
      <c r="F666" s="92" t="inlineStr">
        <is>
          <t>Q3</t>
        </is>
      </c>
      <c r="G666" s="92" t="n">
        <v>0</v>
      </c>
      <c r="H666" s="108" t="n">
        <v>46295</v>
      </c>
      <c r="I666" s="92" t="n">
        <v>2026</v>
      </c>
      <c r="J666" s="92" t="inlineStr">
        <is>
          <t>G.900011.8.9090</t>
        </is>
      </c>
      <c r="K666" s="92" t="inlineStr">
        <is>
          <t>G.900011</t>
        </is>
      </c>
      <c r="L666" s="92" t="inlineStr">
        <is>
          <t>Meerhovenstad, Hofstaete</t>
        </is>
      </c>
      <c r="M666" s="92" t="inlineStr">
        <is>
          <t>Opstal</t>
        </is>
      </c>
      <c r="N666" s="92" t="inlineStr">
        <is>
          <t>J</t>
        </is>
      </c>
      <c r="O666" s="92" t="inlineStr">
        <is>
          <t>Omzet FY</t>
        </is>
      </c>
      <c r="P666" s="109" t="n">
        <v>14592000</v>
      </c>
      <c r="Q666" s="92" t="inlineStr">
        <is>
          <t>EUR</t>
        </is>
      </c>
      <c r="R666" s="92" t="inlineStr">
        <is>
          <t>Synthetische vastgelegde invoer; geen echte historie</t>
        </is>
      </c>
      <c r="S666" s="15" t="str">
        <f>IF(J666="","",J666&amp;"|"&amp;E666&amp;"|"&amp;F666&amp;"|"&amp;I666&amp;"|"&amp;O666)</f>
        <v>G.900011.8.9090|2026|Q3|2026|Omzet FY</v>
      </c>
      <c r="T666" s="15">
        <f>IF(OR(S666="",D666&lt;&gt;"Vastgesteld"),"",_xlfn.MAXIFS($G$6:$G$5005,$S$6:$S$5005,S666,$D$6:$D$5005,"Vastgesteld"))</f>
        <v>0</v>
      </c>
      <c r="U666" s="15">
        <f>IF(T666="",0,IF(AND(G666=T666,COUNTIFS($S$6:S666,S666,$G$6:G666,G666,$D$6:D666,"Vastgesteld")=1),1,0))</f>
        <v>1</v>
      </c>
      <c r="V666" s="15">
        <f>IF(T666="",0,IF(AND(G666=T666,COUNTIFS($S$6:S666,S666,$G$6:G666,G666,$D$6:D666,"Vastgesteld")&gt;1),1,0))</f>
        <v>0</v>
      </c>
    </row>
    <row r="667">
      <c r="A667" s="92" t="inlineStr">
        <is>
          <t>HIST-2026-Q3</t>
        </is>
      </c>
      <c r="B667" s="92" t="inlineStr">
        <is>
          <t>RDFO_FICTIEVE_historie_en_mapping.xlsx</t>
        </is>
      </c>
      <c r="C667" s="108" t="n">
        <v>46324</v>
      </c>
      <c r="D667" s="92" t="inlineStr">
        <is>
          <t>Vastgesteld</t>
        </is>
      </c>
      <c r="E667" s="92" t="n">
        <v>2026</v>
      </c>
      <c r="F667" s="92" t="inlineStr">
        <is>
          <t>Q3</t>
        </is>
      </c>
      <c r="G667" s="92" t="n">
        <v>0</v>
      </c>
      <c r="H667" s="108" t="n">
        <v>46295</v>
      </c>
      <c r="I667" s="92" t="n">
        <v>2026</v>
      </c>
      <c r="J667" s="92" t="inlineStr">
        <is>
          <t>G.900011.8.9090</t>
        </is>
      </c>
      <c r="K667" s="92" t="inlineStr">
        <is>
          <t>G.900011</t>
        </is>
      </c>
      <c r="L667" s="92" t="inlineStr">
        <is>
          <t>Meerhovenstad, Hofstaete</t>
        </is>
      </c>
      <c r="M667" s="92" t="inlineStr">
        <is>
          <t>Opstal</t>
        </is>
      </c>
      <c r="N667" s="92" t="inlineStr">
        <is>
          <t>J</t>
        </is>
      </c>
      <c r="O667" s="92" t="inlineStr">
        <is>
          <t>BOR FY</t>
        </is>
      </c>
      <c r="P667" s="109" t="n">
        <v>1313280</v>
      </c>
      <c r="Q667" s="92" t="inlineStr">
        <is>
          <t>EUR</t>
        </is>
      </c>
      <c r="R667" s="92" t="inlineStr">
        <is>
          <t>Synthetische vastgelegde invoer; geen echte historie</t>
        </is>
      </c>
      <c r="S667" s="15" t="str">
        <f>IF(J667="","",J667&amp;"|"&amp;E667&amp;"|"&amp;F667&amp;"|"&amp;I667&amp;"|"&amp;O667)</f>
        <v>G.900011.8.9090|2026|Q3|2026|BOR FY</v>
      </c>
      <c r="T667" s="15">
        <f>IF(OR(S667="",D667&lt;&gt;"Vastgesteld"),"",_xlfn.MAXIFS($G$6:$G$5005,$S$6:$S$5005,S667,$D$6:$D$5005,"Vastgesteld"))</f>
        <v>0</v>
      </c>
      <c r="U667" s="15">
        <f>IF(T667="",0,IF(AND(G667=T667,COUNTIFS($S$6:S667,S667,$G$6:G667,G667,$D$6:D667,"Vastgesteld")=1),1,0))</f>
        <v>1</v>
      </c>
      <c r="V667" s="15">
        <f>IF(T667="",0,IF(AND(G667=T667,COUNTIFS($S$6:S667,S667,$G$6:G667,G667,$D$6:D667,"Vastgesteld")&gt;1),1,0))</f>
        <v>0</v>
      </c>
    </row>
    <row r="668">
      <c r="A668" s="92" t="inlineStr">
        <is>
          <t>HIST-2026-Q3</t>
        </is>
      </c>
      <c r="B668" s="92" t="inlineStr">
        <is>
          <t>RDFO_FICTIEVE_historie_en_mapping.xlsx</t>
        </is>
      </c>
      <c r="C668" s="108" t="n">
        <v>46324</v>
      </c>
      <c r="D668" s="92" t="inlineStr">
        <is>
          <t>Vastgesteld</t>
        </is>
      </c>
      <c r="E668" s="92" t="n">
        <v>2026</v>
      </c>
      <c r="F668" s="92" t="inlineStr">
        <is>
          <t>Q3</t>
        </is>
      </c>
      <c r="G668" s="92" t="n">
        <v>0</v>
      </c>
      <c r="H668" s="108" t="n">
        <v>46295</v>
      </c>
      <c r="I668" s="92" t="n">
        <v>2026</v>
      </c>
      <c r="J668" s="92" t="inlineStr">
        <is>
          <t>G.900011.8.9090</t>
        </is>
      </c>
      <c r="K668" s="92" t="inlineStr">
        <is>
          <t>G.900011</t>
        </is>
      </c>
      <c r="L668" s="92" t="inlineStr">
        <is>
          <t>Meerhovenstad, Hofstaete</t>
        </is>
      </c>
      <c r="M668" s="92" t="inlineStr">
        <is>
          <t>Opstal</t>
        </is>
      </c>
      <c r="N668" s="92" t="inlineStr">
        <is>
          <t>J</t>
        </is>
      </c>
      <c r="O668" s="92" t="inlineStr">
        <is>
          <t>Omzet actual YTD</t>
        </is>
      </c>
      <c r="P668" s="109" t="n">
        <v>9484800</v>
      </c>
      <c r="Q668" s="92" t="inlineStr">
        <is>
          <t>EUR</t>
        </is>
      </c>
      <c r="R668" s="92" t="inlineStr">
        <is>
          <t>Synthetische vastgelegde invoer; geen echte historie</t>
        </is>
      </c>
      <c r="S668" s="15" t="str">
        <f>IF(J668="","",J668&amp;"|"&amp;E668&amp;"|"&amp;F668&amp;"|"&amp;I668&amp;"|"&amp;O668)</f>
        <v>G.900011.8.9090|2026|Q3|2026|Omzet actual YTD</v>
      </c>
      <c r="T668" s="15">
        <f>IF(OR(S668="",D668&lt;&gt;"Vastgesteld"),"",_xlfn.MAXIFS($G$6:$G$5005,$S$6:$S$5005,S668,$D$6:$D$5005,"Vastgesteld"))</f>
        <v>0</v>
      </c>
      <c r="U668" s="15">
        <f>IF(T668="",0,IF(AND(G668=T668,COUNTIFS($S$6:S668,S668,$G$6:G668,G668,$D$6:D668,"Vastgesteld")=1),1,0))</f>
        <v>1</v>
      </c>
      <c r="V668" s="15">
        <f>IF(T668="",0,IF(AND(G668=T668,COUNTIFS($S$6:S668,S668,$G$6:G668,G668,$D$6:D668,"Vastgesteld")&gt;1),1,0))</f>
        <v>0</v>
      </c>
    </row>
    <row r="669">
      <c r="A669" s="92" t="inlineStr">
        <is>
          <t>HIST-2026-Q3</t>
        </is>
      </c>
      <c r="B669" s="92" t="inlineStr">
        <is>
          <t>RDFO_FICTIEVE_historie_en_mapping.xlsx</t>
        </is>
      </c>
      <c r="C669" s="108" t="n">
        <v>46324</v>
      </c>
      <c r="D669" s="92" t="inlineStr">
        <is>
          <t>Vastgesteld</t>
        </is>
      </c>
      <c r="E669" s="92" t="n">
        <v>2026</v>
      </c>
      <c r="F669" s="92" t="inlineStr">
        <is>
          <t>Q3</t>
        </is>
      </c>
      <c r="G669" s="92" t="n">
        <v>0</v>
      </c>
      <c r="H669" s="108" t="n">
        <v>46295</v>
      </c>
      <c r="I669" s="92" t="n">
        <v>2026</v>
      </c>
      <c r="J669" s="92" t="inlineStr">
        <is>
          <t>G.900011.8.9090</t>
        </is>
      </c>
      <c r="K669" s="92" t="inlineStr">
        <is>
          <t>G.900011</t>
        </is>
      </c>
      <c r="L669" s="92" t="inlineStr">
        <is>
          <t>Meerhovenstad, Hofstaete</t>
        </is>
      </c>
      <c r="M669" s="92" t="inlineStr">
        <is>
          <t>Opstal</t>
        </is>
      </c>
      <c r="N669" s="92" t="inlineStr">
        <is>
          <t>J</t>
        </is>
      </c>
      <c r="O669" s="92" t="inlineStr">
        <is>
          <t>BOR actual YTD</t>
        </is>
      </c>
      <c r="P669" s="109" t="n">
        <v>853632</v>
      </c>
      <c r="Q669" s="92" t="inlineStr">
        <is>
          <t>EUR</t>
        </is>
      </c>
      <c r="R669" s="92" t="inlineStr">
        <is>
          <t>Synthetische vastgelegde invoer; geen echte historie</t>
        </is>
      </c>
      <c r="S669" s="15" t="str">
        <f>IF(J669="","",J669&amp;"|"&amp;E669&amp;"|"&amp;F669&amp;"|"&amp;I669&amp;"|"&amp;O669)</f>
        <v>G.900011.8.9090|2026|Q3|2026|BOR actual YTD</v>
      </c>
      <c r="T669" s="15">
        <f>IF(OR(S669="",D669&lt;&gt;"Vastgesteld"),"",_xlfn.MAXIFS($G$6:$G$5005,$S$6:$S$5005,S669,$D$6:$D$5005,"Vastgesteld"))</f>
        <v>0</v>
      </c>
      <c r="U669" s="15">
        <f>IF(T669="",0,IF(AND(G669=T669,COUNTIFS($S$6:S669,S669,$G$6:G669,G669,$D$6:D669,"Vastgesteld")=1),1,0))</f>
        <v>1</v>
      </c>
      <c r="V669" s="15">
        <f>IF(T669="",0,IF(AND(G669=T669,COUNTIFS($S$6:S669,S669,$G$6:G669,G669,$D$6:D669,"Vastgesteld")&gt;1),1,0))</f>
        <v>0</v>
      </c>
    </row>
    <row r="670">
      <c r="A670" s="92" t="inlineStr">
        <is>
          <t>HIST-2026-Q3</t>
        </is>
      </c>
      <c r="B670" s="92" t="inlineStr">
        <is>
          <t>RDFO_FICTIEVE_historie_en_mapping.xlsx</t>
        </is>
      </c>
      <c r="C670" s="108" t="n">
        <v>46324</v>
      </c>
      <c r="D670" s="92" t="inlineStr">
        <is>
          <t>Vastgesteld</t>
        </is>
      </c>
      <c r="E670" s="92" t="n">
        <v>2026</v>
      </c>
      <c r="F670" s="92" t="inlineStr">
        <is>
          <t>Q3</t>
        </is>
      </c>
      <c r="G670" s="92" t="n">
        <v>0</v>
      </c>
      <c r="H670" s="108" t="n">
        <v>46295</v>
      </c>
      <c r="I670" s="92" t="n">
        <v>2027</v>
      </c>
      <c r="J670" s="92" t="inlineStr">
        <is>
          <t>G.900011.8.9090</t>
        </is>
      </c>
      <c r="K670" s="92" t="inlineStr">
        <is>
          <t>G.900011</t>
        </is>
      </c>
      <c r="L670" s="92" t="inlineStr">
        <is>
          <t>Meerhovenstad, Hofstaete</t>
        </is>
      </c>
      <c r="M670" s="92" t="inlineStr">
        <is>
          <t>Opstal</t>
        </is>
      </c>
      <c r="N670" s="92" t="inlineStr">
        <is>
          <t>J</t>
        </is>
      </c>
      <c r="O670" s="92" t="inlineStr">
        <is>
          <t>Omzet FY</t>
        </is>
      </c>
      <c r="P670" s="109" t="n">
        <v>15475200</v>
      </c>
      <c r="Q670" s="92" t="inlineStr">
        <is>
          <t>EUR</t>
        </is>
      </c>
      <c r="R670" s="92" t="inlineStr">
        <is>
          <t>Synthetische vastgelegde invoer; geen echte historie</t>
        </is>
      </c>
      <c r="S670" s="15" t="str">
        <f>IF(J670="","",J670&amp;"|"&amp;E670&amp;"|"&amp;F670&amp;"|"&amp;I670&amp;"|"&amp;O670)</f>
        <v>G.900011.8.9090|2026|Q3|2027|Omzet FY</v>
      </c>
      <c r="T670" s="15">
        <f>IF(OR(S670="",D670&lt;&gt;"Vastgesteld"),"",_xlfn.MAXIFS($G$6:$G$5005,$S$6:$S$5005,S670,$D$6:$D$5005,"Vastgesteld"))</f>
        <v>0</v>
      </c>
      <c r="U670" s="15">
        <f>IF(T670="",0,IF(AND(G670=T670,COUNTIFS($S$6:S670,S670,$G$6:G670,G670,$D$6:D670,"Vastgesteld")=1),1,0))</f>
        <v>1</v>
      </c>
      <c r="V670" s="15">
        <f>IF(T670="",0,IF(AND(G670=T670,COUNTIFS($S$6:S670,S670,$G$6:G670,G670,$D$6:D670,"Vastgesteld")&gt;1),1,0))</f>
        <v>0</v>
      </c>
    </row>
    <row r="671">
      <c r="A671" s="92" t="inlineStr">
        <is>
          <t>HIST-2026-Q3</t>
        </is>
      </c>
      <c r="B671" s="92" t="inlineStr">
        <is>
          <t>RDFO_FICTIEVE_historie_en_mapping.xlsx</t>
        </is>
      </c>
      <c r="C671" s="108" t="n">
        <v>46324</v>
      </c>
      <c r="D671" s="92" t="inlineStr">
        <is>
          <t>Vastgesteld</t>
        </is>
      </c>
      <c r="E671" s="92" t="n">
        <v>2026</v>
      </c>
      <c r="F671" s="92" t="inlineStr">
        <is>
          <t>Q3</t>
        </is>
      </c>
      <c r="G671" s="92" t="n">
        <v>0</v>
      </c>
      <c r="H671" s="108" t="n">
        <v>46295</v>
      </c>
      <c r="I671" s="92" t="n">
        <v>2027</v>
      </c>
      <c r="J671" s="92" t="inlineStr">
        <is>
          <t>G.900011.8.9090</t>
        </is>
      </c>
      <c r="K671" s="92" t="inlineStr">
        <is>
          <t>G.900011</t>
        </is>
      </c>
      <c r="L671" s="92" t="inlineStr">
        <is>
          <t>Meerhovenstad, Hofstaete</t>
        </is>
      </c>
      <c r="M671" s="92" t="inlineStr">
        <is>
          <t>Opstal</t>
        </is>
      </c>
      <c r="N671" s="92" t="inlineStr">
        <is>
          <t>J</t>
        </is>
      </c>
      <c r="O671" s="92" t="inlineStr">
        <is>
          <t>BOR FY</t>
        </is>
      </c>
      <c r="P671" s="109" t="n">
        <v>1392768</v>
      </c>
      <c r="Q671" s="92" t="inlineStr">
        <is>
          <t>EUR</t>
        </is>
      </c>
      <c r="R671" s="92" t="inlineStr">
        <is>
          <t>Synthetische vastgelegde invoer; geen echte historie</t>
        </is>
      </c>
      <c r="S671" s="15" t="str">
        <f>IF(J671="","",J671&amp;"|"&amp;E671&amp;"|"&amp;F671&amp;"|"&amp;I671&amp;"|"&amp;O671)</f>
        <v>G.900011.8.9090|2026|Q3|2027|BOR FY</v>
      </c>
      <c r="T671" s="15">
        <f>IF(OR(S671="",D671&lt;&gt;"Vastgesteld"),"",_xlfn.MAXIFS($G$6:$G$5005,$S$6:$S$5005,S671,$D$6:$D$5005,"Vastgesteld"))</f>
        <v>0</v>
      </c>
      <c r="U671" s="15">
        <f>IF(T671="",0,IF(AND(G671=T671,COUNTIFS($S$6:S671,S671,$G$6:G671,G671,$D$6:D671,"Vastgesteld")=1),1,0))</f>
        <v>1</v>
      </c>
      <c r="V671" s="15">
        <f>IF(T671="",0,IF(AND(G671=T671,COUNTIFS($S$6:S671,S671,$G$6:G671,G671,$D$6:D671,"Vastgesteld")&gt;1),1,0))</f>
        <v>0</v>
      </c>
    </row>
    <row r="672">
      <c r="A672" s="92" t="inlineStr">
        <is>
          <t>HIST-2026-Q3</t>
        </is>
      </c>
      <c r="B672" s="92" t="inlineStr">
        <is>
          <t>RDFO_FICTIEVE_historie_en_mapping.xlsx</t>
        </is>
      </c>
      <c r="C672" s="108" t="n">
        <v>46324</v>
      </c>
      <c r="D672" s="92" t="inlineStr">
        <is>
          <t>Vastgesteld</t>
        </is>
      </c>
      <c r="E672" s="92" t="n">
        <v>2026</v>
      </c>
      <c r="F672" s="92" t="inlineStr">
        <is>
          <t>Q3</t>
        </is>
      </c>
      <c r="G672" s="92" t="n">
        <v>0</v>
      </c>
      <c r="H672" s="108" t="n">
        <v>46295</v>
      </c>
      <c r="I672" s="92" t="n">
        <v>2026</v>
      </c>
      <c r="J672" s="92" t="inlineStr">
        <is>
          <t>G.900012.8.9090</t>
        </is>
      </c>
      <c r="K672" s="92" t="inlineStr">
        <is>
          <t>G.900012</t>
        </is>
      </c>
      <c r="L672" s="92" t="inlineStr">
        <is>
          <t>Zilverdam, De Werf</t>
        </is>
      </c>
      <c r="M672" s="92" t="inlineStr">
        <is>
          <t>Deelneming</t>
        </is>
      </c>
      <c r="N672" s="92" t="inlineStr">
        <is>
          <t>N</t>
        </is>
      </c>
      <c r="O672" s="92" t="inlineStr">
        <is>
          <t>Omzet FY</t>
        </is>
      </c>
      <c r="P672" s="109" t="n">
        <v>1435000</v>
      </c>
      <c r="Q672" s="92" t="inlineStr">
        <is>
          <t>EUR</t>
        </is>
      </c>
      <c r="R672" s="92" t="inlineStr">
        <is>
          <t>Synthetische vastgelegde invoer; geen echte historie</t>
        </is>
      </c>
      <c r="S672" s="15" t="str">
        <f>IF(J672="","",J672&amp;"|"&amp;E672&amp;"|"&amp;F672&amp;"|"&amp;I672&amp;"|"&amp;O672)</f>
        <v>G.900012.8.9090|2026|Q3|2026|Omzet FY</v>
      </c>
      <c r="T672" s="15">
        <f>IF(OR(S672="",D672&lt;&gt;"Vastgesteld"),"",_xlfn.MAXIFS($G$6:$G$5005,$S$6:$S$5005,S672,$D$6:$D$5005,"Vastgesteld"))</f>
        <v>0</v>
      </c>
      <c r="U672" s="15">
        <f>IF(T672="",0,IF(AND(G672=T672,COUNTIFS($S$6:S672,S672,$G$6:G672,G672,$D$6:D672,"Vastgesteld")=1),1,0))</f>
        <v>1</v>
      </c>
      <c r="V672" s="15">
        <f>IF(T672="",0,IF(AND(G672=T672,COUNTIFS($S$6:S672,S672,$G$6:G672,G672,$D$6:D672,"Vastgesteld")&gt;1),1,0))</f>
        <v>0</v>
      </c>
    </row>
    <row r="673">
      <c r="A673" s="92" t="inlineStr">
        <is>
          <t>HIST-2026-Q3</t>
        </is>
      </c>
      <c r="B673" s="92" t="inlineStr">
        <is>
          <t>RDFO_FICTIEVE_historie_en_mapping.xlsx</t>
        </is>
      </c>
      <c r="C673" s="108" t="n">
        <v>46324</v>
      </c>
      <c r="D673" s="92" t="inlineStr">
        <is>
          <t>Vastgesteld</t>
        </is>
      </c>
      <c r="E673" s="92" t="n">
        <v>2026</v>
      </c>
      <c r="F673" s="92" t="inlineStr">
        <is>
          <t>Q3</t>
        </is>
      </c>
      <c r="G673" s="92" t="n">
        <v>0</v>
      </c>
      <c r="H673" s="108" t="n">
        <v>46295</v>
      </c>
      <c r="I673" s="92" t="n">
        <v>2026</v>
      </c>
      <c r="J673" s="92" t="inlineStr">
        <is>
          <t>G.900012.8.9090</t>
        </is>
      </c>
      <c r="K673" s="92" t="inlineStr">
        <is>
          <t>G.900012</t>
        </is>
      </c>
      <c r="L673" s="92" t="inlineStr">
        <is>
          <t>Zilverdam, De Werf</t>
        </is>
      </c>
      <c r="M673" s="92" t="inlineStr">
        <is>
          <t>Deelneming</t>
        </is>
      </c>
      <c r="N673" s="92" t="inlineStr">
        <is>
          <t>N</t>
        </is>
      </c>
      <c r="O673" s="92" t="inlineStr">
        <is>
          <t>BOR FY</t>
        </is>
      </c>
      <c r="P673" s="109" t="n">
        <v>172200</v>
      </c>
      <c r="Q673" s="92" t="inlineStr">
        <is>
          <t>EUR</t>
        </is>
      </c>
      <c r="R673" s="92" t="inlineStr">
        <is>
          <t>Synthetische vastgelegde invoer; geen echte historie</t>
        </is>
      </c>
      <c r="S673" s="15" t="str">
        <f>IF(J673="","",J673&amp;"|"&amp;E673&amp;"|"&amp;F673&amp;"|"&amp;I673&amp;"|"&amp;O673)</f>
        <v>G.900012.8.9090|2026|Q3|2026|BOR FY</v>
      </c>
      <c r="T673" s="15">
        <f>IF(OR(S673="",D673&lt;&gt;"Vastgesteld"),"",_xlfn.MAXIFS($G$6:$G$5005,$S$6:$S$5005,S673,$D$6:$D$5005,"Vastgesteld"))</f>
        <v>0</v>
      </c>
      <c r="U673" s="15">
        <f>IF(T673="",0,IF(AND(G673=T673,COUNTIFS($S$6:S673,S673,$G$6:G673,G673,$D$6:D673,"Vastgesteld")=1),1,0))</f>
        <v>1</v>
      </c>
      <c r="V673" s="15">
        <f>IF(T673="",0,IF(AND(G673=T673,COUNTIFS($S$6:S673,S673,$G$6:G673,G673,$D$6:D673,"Vastgesteld")&gt;1),1,0))</f>
        <v>0</v>
      </c>
    </row>
    <row r="674">
      <c r="A674" s="92" t="inlineStr">
        <is>
          <t>HIST-2026-Q3</t>
        </is>
      </c>
      <c r="B674" s="92" t="inlineStr">
        <is>
          <t>RDFO_FICTIEVE_historie_en_mapping.xlsx</t>
        </is>
      </c>
      <c r="C674" s="108" t="n">
        <v>46324</v>
      </c>
      <c r="D674" s="92" t="inlineStr">
        <is>
          <t>Vastgesteld</t>
        </is>
      </c>
      <c r="E674" s="92" t="n">
        <v>2026</v>
      </c>
      <c r="F674" s="92" t="inlineStr">
        <is>
          <t>Q3</t>
        </is>
      </c>
      <c r="G674" s="92" t="n">
        <v>0</v>
      </c>
      <c r="H674" s="108" t="n">
        <v>46295</v>
      </c>
      <c r="I674" s="92" t="n">
        <v>2026</v>
      </c>
      <c r="J674" s="92" t="inlineStr">
        <is>
          <t>G.900012.8.9090</t>
        </is>
      </c>
      <c r="K674" s="92" t="inlineStr">
        <is>
          <t>G.900012</t>
        </is>
      </c>
      <c r="L674" s="92" t="inlineStr">
        <is>
          <t>Zilverdam, De Werf</t>
        </is>
      </c>
      <c r="M674" s="92" t="inlineStr">
        <is>
          <t>Deelneming</t>
        </is>
      </c>
      <c r="N674" s="92" t="inlineStr">
        <is>
          <t>N</t>
        </is>
      </c>
      <c r="O674" s="92" t="inlineStr">
        <is>
          <t>Omzet actual YTD</t>
        </is>
      </c>
      <c r="P674" s="109" t="n">
        <v>932750</v>
      </c>
      <c r="Q674" s="92" t="inlineStr">
        <is>
          <t>EUR</t>
        </is>
      </c>
      <c r="R674" s="92" t="inlineStr">
        <is>
          <t>Synthetische vastgelegde invoer; geen echte historie</t>
        </is>
      </c>
      <c r="S674" s="15" t="str">
        <f>IF(J674="","",J674&amp;"|"&amp;E674&amp;"|"&amp;F674&amp;"|"&amp;I674&amp;"|"&amp;O674)</f>
        <v>G.900012.8.9090|2026|Q3|2026|Omzet actual YTD</v>
      </c>
      <c r="T674" s="15">
        <f>IF(OR(S674="",D674&lt;&gt;"Vastgesteld"),"",_xlfn.MAXIFS($G$6:$G$5005,$S$6:$S$5005,S674,$D$6:$D$5005,"Vastgesteld"))</f>
        <v>0</v>
      </c>
      <c r="U674" s="15">
        <f>IF(T674="",0,IF(AND(G674=T674,COUNTIFS($S$6:S674,S674,$G$6:G674,G674,$D$6:D674,"Vastgesteld")=1),1,0))</f>
        <v>1</v>
      </c>
      <c r="V674" s="15">
        <f>IF(T674="",0,IF(AND(G674=T674,COUNTIFS($S$6:S674,S674,$G$6:G674,G674,$D$6:D674,"Vastgesteld")&gt;1),1,0))</f>
        <v>0</v>
      </c>
    </row>
    <row r="675">
      <c r="A675" s="92" t="inlineStr">
        <is>
          <t>HIST-2026-Q3</t>
        </is>
      </c>
      <c r="B675" s="92" t="inlineStr">
        <is>
          <t>RDFO_FICTIEVE_historie_en_mapping.xlsx</t>
        </is>
      </c>
      <c r="C675" s="108" t="n">
        <v>46324</v>
      </c>
      <c r="D675" s="92" t="inlineStr">
        <is>
          <t>Vastgesteld</t>
        </is>
      </c>
      <c r="E675" s="92" t="n">
        <v>2026</v>
      </c>
      <c r="F675" s="92" t="inlineStr">
        <is>
          <t>Q3</t>
        </is>
      </c>
      <c r="G675" s="92" t="n">
        <v>0</v>
      </c>
      <c r="H675" s="108" t="n">
        <v>46295</v>
      </c>
      <c r="I675" s="92" t="n">
        <v>2026</v>
      </c>
      <c r="J675" s="92" t="inlineStr">
        <is>
          <t>G.900012.8.9090</t>
        </is>
      </c>
      <c r="K675" s="92" t="inlineStr">
        <is>
          <t>G.900012</t>
        </is>
      </c>
      <c r="L675" s="92" t="inlineStr">
        <is>
          <t>Zilverdam, De Werf</t>
        </is>
      </c>
      <c r="M675" s="92" t="inlineStr">
        <is>
          <t>Deelneming</t>
        </is>
      </c>
      <c r="N675" s="92" t="inlineStr">
        <is>
          <t>N</t>
        </is>
      </c>
      <c r="O675" s="92" t="inlineStr">
        <is>
          <t>BOR actual YTD</t>
        </is>
      </c>
      <c r="P675" s="109" t="n">
        <v>111930</v>
      </c>
      <c r="Q675" s="92" t="inlineStr">
        <is>
          <t>EUR</t>
        </is>
      </c>
      <c r="R675" s="92" t="inlineStr">
        <is>
          <t>Synthetische vastgelegde invoer; geen echte historie</t>
        </is>
      </c>
      <c r="S675" s="15" t="str">
        <f>IF(J675="","",J675&amp;"|"&amp;E675&amp;"|"&amp;F675&amp;"|"&amp;I675&amp;"|"&amp;O675)</f>
        <v>G.900012.8.9090|2026|Q3|2026|BOR actual YTD</v>
      </c>
      <c r="T675" s="15">
        <f>IF(OR(S675="",D675&lt;&gt;"Vastgesteld"),"",_xlfn.MAXIFS($G$6:$G$5005,$S$6:$S$5005,S675,$D$6:$D$5005,"Vastgesteld"))</f>
        <v>0</v>
      </c>
      <c r="U675" s="15">
        <f>IF(T675="",0,IF(AND(G675=T675,COUNTIFS($S$6:S675,S675,$G$6:G675,G675,$D$6:D675,"Vastgesteld")=1),1,0))</f>
        <v>1</v>
      </c>
      <c r="V675" s="15">
        <f>IF(T675="",0,IF(AND(G675=T675,COUNTIFS($S$6:S675,S675,$G$6:G675,G675,$D$6:D675,"Vastgesteld")&gt;1),1,0))</f>
        <v>0</v>
      </c>
    </row>
    <row r="676">
      <c r="A676" s="92" t="inlineStr">
        <is>
          <t>HIST-2026-Q3</t>
        </is>
      </c>
      <c r="B676" s="92" t="inlineStr">
        <is>
          <t>RDFO_FICTIEVE_historie_en_mapping.xlsx</t>
        </is>
      </c>
      <c r="C676" s="108" t="n">
        <v>46324</v>
      </c>
      <c r="D676" s="92" t="inlineStr">
        <is>
          <t>Vastgesteld</t>
        </is>
      </c>
      <c r="E676" s="92" t="n">
        <v>2026</v>
      </c>
      <c r="F676" s="92" t="inlineStr">
        <is>
          <t>Q3</t>
        </is>
      </c>
      <c r="G676" s="92" t="n">
        <v>0</v>
      </c>
      <c r="H676" s="108" t="n">
        <v>46295</v>
      </c>
      <c r="I676" s="92" t="n">
        <v>2027</v>
      </c>
      <c r="J676" s="92" t="inlineStr">
        <is>
          <t>G.900012.8.9090</t>
        </is>
      </c>
      <c r="K676" s="92" t="inlineStr">
        <is>
          <t>G.900012</t>
        </is>
      </c>
      <c r="L676" s="92" t="inlineStr">
        <is>
          <t>Zilverdam, De Werf</t>
        </is>
      </c>
      <c r="M676" s="92" t="inlineStr">
        <is>
          <t>Deelneming</t>
        </is>
      </c>
      <c r="N676" s="92" t="inlineStr">
        <is>
          <t>N</t>
        </is>
      </c>
      <c r="O676" s="92" t="inlineStr">
        <is>
          <t>Omzet FY</t>
        </is>
      </c>
      <c r="P676" s="109" t="n">
        <v>2798250</v>
      </c>
      <c r="Q676" s="92" t="inlineStr">
        <is>
          <t>EUR</t>
        </is>
      </c>
      <c r="R676" s="92" t="inlineStr">
        <is>
          <t>Synthetische vastgelegde invoer; geen echte historie</t>
        </is>
      </c>
      <c r="S676" s="15" t="str">
        <f>IF(J676="","",J676&amp;"|"&amp;E676&amp;"|"&amp;F676&amp;"|"&amp;I676&amp;"|"&amp;O676)</f>
        <v>G.900012.8.9090|2026|Q3|2027|Omzet FY</v>
      </c>
      <c r="T676" s="15">
        <f>IF(OR(S676="",D676&lt;&gt;"Vastgesteld"),"",_xlfn.MAXIFS($G$6:$G$5005,$S$6:$S$5005,S676,$D$6:$D$5005,"Vastgesteld"))</f>
        <v>0</v>
      </c>
      <c r="U676" s="15">
        <f>IF(T676="",0,IF(AND(G676=T676,COUNTIFS($S$6:S676,S676,$G$6:G676,G676,$D$6:D676,"Vastgesteld")=1),1,0))</f>
        <v>1</v>
      </c>
      <c r="V676" s="15">
        <f>IF(T676="",0,IF(AND(G676=T676,COUNTIFS($S$6:S676,S676,$G$6:G676,G676,$D$6:D676,"Vastgesteld")&gt;1),1,0))</f>
        <v>0</v>
      </c>
    </row>
    <row r="677">
      <c r="A677" s="92" t="inlineStr">
        <is>
          <t>HIST-2026-Q3</t>
        </is>
      </c>
      <c r="B677" s="92" t="inlineStr">
        <is>
          <t>RDFO_FICTIEVE_historie_en_mapping.xlsx</t>
        </is>
      </c>
      <c r="C677" s="108" t="n">
        <v>46324</v>
      </c>
      <c r="D677" s="92" t="inlineStr">
        <is>
          <t>Vastgesteld</t>
        </is>
      </c>
      <c r="E677" s="92" t="n">
        <v>2026</v>
      </c>
      <c r="F677" s="92" t="inlineStr">
        <is>
          <t>Q3</t>
        </is>
      </c>
      <c r="G677" s="92" t="n">
        <v>0</v>
      </c>
      <c r="H677" s="108" t="n">
        <v>46295</v>
      </c>
      <c r="I677" s="92" t="n">
        <v>2027</v>
      </c>
      <c r="J677" s="92" t="inlineStr">
        <is>
          <t>G.900012.8.9090</t>
        </is>
      </c>
      <c r="K677" s="92" t="inlineStr">
        <is>
          <t>G.900012</t>
        </is>
      </c>
      <c r="L677" s="92" t="inlineStr">
        <is>
          <t>Zilverdam, De Werf</t>
        </is>
      </c>
      <c r="M677" s="92" t="inlineStr">
        <is>
          <t>Deelneming</t>
        </is>
      </c>
      <c r="N677" s="92" t="inlineStr">
        <is>
          <t>N</t>
        </is>
      </c>
      <c r="O677" s="92" t="inlineStr">
        <is>
          <t>BOR FY</t>
        </is>
      </c>
      <c r="P677" s="109" t="n">
        <v>335790</v>
      </c>
      <c r="Q677" s="92" t="inlineStr">
        <is>
          <t>EUR</t>
        </is>
      </c>
      <c r="R677" s="92" t="inlineStr">
        <is>
          <t>Synthetische vastgelegde invoer; geen echte historie</t>
        </is>
      </c>
      <c r="S677" s="15" t="str">
        <f>IF(J677="","",J677&amp;"|"&amp;E677&amp;"|"&amp;F677&amp;"|"&amp;I677&amp;"|"&amp;O677)</f>
        <v>G.900012.8.9090|2026|Q3|2027|BOR FY</v>
      </c>
      <c r="T677" s="15">
        <f>IF(OR(S677="",D677&lt;&gt;"Vastgesteld"),"",_xlfn.MAXIFS($G$6:$G$5005,$S$6:$S$5005,S677,$D$6:$D$5005,"Vastgesteld"))</f>
        <v>0</v>
      </c>
      <c r="U677" s="15">
        <f>IF(T677="",0,IF(AND(G677=T677,COUNTIFS($S$6:S677,S677,$G$6:G677,G677,$D$6:D677,"Vastgesteld")=1),1,0))</f>
        <v>1</v>
      </c>
      <c r="V677" s="15">
        <f>IF(T677="",0,IF(AND(G677=T677,COUNTIFS($S$6:S677,S677,$G$6:G677,G677,$D$6:D677,"Vastgesteld")&gt;1),1,0))</f>
        <v>0</v>
      </c>
    </row>
    <row r="678">
      <c r="A678" s="92" t="inlineStr">
        <is>
          <t>HIST-2026-Q3</t>
        </is>
      </c>
      <c r="B678" s="92" t="inlineStr">
        <is>
          <t>RDFO_FICTIEVE_historie_en_mapping.xlsx</t>
        </is>
      </c>
      <c r="C678" s="108" t="n">
        <v>46324</v>
      </c>
      <c r="D678" s="92" t="inlineStr">
        <is>
          <t>Vastgesteld</t>
        </is>
      </c>
      <c r="E678" s="92" t="n">
        <v>2026</v>
      </c>
      <c r="F678" s="92" t="inlineStr">
        <is>
          <t>Q3</t>
        </is>
      </c>
      <c r="G678" s="92" t="n">
        <v>0</v>
      </c>
      <c r="H678" s="108" t="n">
        <v>46295</v>
      </c>
      <c r="I678" s="92" t="n">
        <v>2026</v>
      </c>
      <c r="J678" s="92" t="inlineStr">
        <is>
          <t>G.900013.8.9090</t>
        </is>
      </c>
      <c r="K678" s="92" t="inlineStr">
        <is>
          <t>G.900013</t>
        </is>
      </c>
      <c r="L678" s="92" t="inlineStr">
        <is>
          <t>Boswaard, Boskamers</t>
        </is>
      </c>
      <c r="M678" s="92" t="inlineStr">
        <is>
          <t>Opstal</t>
        </is>
      </c>
      <c r="N678" s="92" t="inlineStr">
        <is>
          <t>J</t>
        </is>
      </c>
      <c r="O678" s="92" t="inlineStr">
        <is>
          <t>Omzet FY</t>
        </is>
      </c>
      <c r="P678" s="109" t="n">
        <v>3780000</v>
      </c>
      <c r="Q678" s="92" t="inlineStr">
        <is>
          <t>EUR</t>
        </is>
      </c>
      <c r="R678" s="92" t="inlineStr">
        <is>
          <t>Synthetische vastgelegde invoer; geen echte historie</t>
        </is>
      </c>
      <c r="S678" s="15" t="str">
        <f>IF(J678="","",J678&amp;"|"&amp;E678&amp;"|"&amp;F678&amp;"|"&amp;I678&amp;"|"&amp;O678)</f>
        <v>G.900013.8.9090|2026|Q3|2026|Omzet FY</v>
      </c>
      <c r="T678" s="15">
        <f>IF(OR(S678="",D678&lt;&gt;"Vastgesteld"),"",_xlfn.MAXIFS($G$6:$G$5005,$S$6:$S$5005,S678,$D$6:$D$5005,"Vastgesteld"))</f>
        <v>0</v>
      </c>
      <c r="U678" s="15">
        <f>IF(T678="",0,IF(AND(G678=T678,COUNTIFS($S$6:S678,S678,$G$6:G678,G678,$D$6:D678,"Vastgesteld")=1),1,0))</f>
        <v>1</v>
      </c>
      <c r="V678" s="15">
        <f>IF(T678="",0,IF(AND(G678=T678,COUNTIFS($S$6:S678,S678,$G$6:G678,G678,$D$6:D678,"Vastgesteld")&gt;1),1,0))</f>
        <v>0</v>
      </c>
    </row>
    <row r="679">
      <c r="A679" s="92" t="inlineStr">
        <is>
          <t>HIST-2026-Q3</t>
        </is>
      </c>
      <c r="B679" s="92" t="inlineStr">
        <is>
          <t>RDFO_FICTIEVE_historie_en_mapping.xlsx</t>
        </is>
      </c>
      <c r="C679" s="108" t="n">
        <v>46324</v>
      </c>
      <c r="D679" s="92" t="inlineStr">
        <is>
          <t>Vastgesteld</t>
        </is>
      </c>
      <c r="E679" s="92" t="n">
        <v>2026</v>
      </c>
      <c r="F679" s="92" t="inlineStr">
        <is>
          <t>Q3</t>
        </is>
      </c>
      <c r="G679" s="92" t="n">
        <v>0</v>
      </c>
      <c r="H679" s="108" t="n">
        <v>46295</v>
      </c>
      <c r="I679" s="92" t="n">
        <v>2026</v>
      </c>
      <c r="J679" s="92" t="inlineStr">
        <is>
          <t>G.900013.8.9090</t>
        </is>
      </c>
      <c r="K679" s="92" t="inlineStr">
        <is>
          <t>G.900013</t>
        </is>
      </c>
      <c r="L679" s="92" t="inlineStr">
        <is>
          <t>Boswaard, Boskamers</t>
        </is>
      </c>
      <c r="M679" s="92" t="inlineStr">
        <is>
          <t>Opstal</t>
        </is>
      </c>
      <c r="N679" s="92" t="inlineStr">
        <is>
          <t>J</t>
        </is>
      </c>
      <c r="O679" s="92" t="inlineStr">
        <is>
          <t>BOR FY</t>
        </is>
      </c>
      <c r="P679" s="109" t="n">
        <v>283500</v>
      </c>
      <c r="Q679" s="92" t="inlineStr">
        <is>
          <t>EUR</t>
        </is>
      </c>
      <c r="R679" s="92" t="inlineStr">
        <is>
          <t>Synthetische vastgelegde invoer; geen echte historie</t>
        </is>
      </c>
      <c r="S679" s="15" t="str">
        <f>IF(J679="","",J679&amp;"|"&amp;E679&amp;"|"&amp;F679&amp;"|"&amp;I679&amp;"|"&amp;O679)</f>
        <v>G.900013.8.9090|2026|Q3|2026|BOR FY</v>
      </c>
      <c r="T679" s="15">
        <f>IF(OR(S679="",D679&lt;&gt;"Vastgesteld"),"",_xlfn.MAXIFS($G$6:$G$5005,$S$6:$S$5005,S679,$D$6:$D$5005,"Vastgesteld"))</f>
        <v>0</v>
      </c>
      <c r="U679" s="15">
        <f>IF(T679="",0,IF(AND(G679=T679,COUNTIFS($S$6:S679,S679,$G$6:G679,G679,$D$6:D679,"Vastgesteld")=1),1,0))</f>
        <v>1</v>
      </c>
      <c r="V679" s="15">
        <f>IF(T679="",0,IF(AND(G679=T679,COUNTIFS($S$6:S679,S679,$G$6:G679,G679,$D$6:D679,"Vastgesteld")&gt;1),1,0))</f>
        <v>0</v>
      </c>
    </row>
    <row r="680">
      <c r="A680" s="92" t="inlineStr">
        <is>
          <t>HIST-2026-Q3</t>
        </is>
      </c>
      <c r="B680" s="92" t="inlineStr">
        <is>
          <t>RDFO_FICTIEVE_historie_en_mapping.xlsx</t>
        </is>
      </c>
      <c r="C680" s="108" t="n">
        <v>46324</v>
      </c>
      <c r="D680" s="92" t="inlineStr">
        <is>
          <t>Vastgesteld</t>
        </is>
      </c>
      <c r="E680" s="92" t="n">
        <v>2026</v>
      </c>
      <c r="F680" s="92" t="inlineStr">
        <is>
          <t>Q3</t>
        </is>
      </c>
      <c r="G680" s="92" t="n">
        <v>0</v>
      </c>
      <c r="H680" s="108" t="n">
        <v>46295</v>
      </c>
      <c r="I680" s="92" t="n">
        <v>2026</v>
      </c>
      <c r="J680" s="92" t="inlineStr">
        <is>
          <t>G.900013.8.9090</t>
        </is>
      </c>
      <c r="K680" s="92" t="inlineStr">
        <is>
          <t>G.900013</t>
        </is>
      </c>
      <c r="L680" s="92" t="inlineStr">
        <is>
          <t>Boswaard, Boskamers</t>
        </is>
      </c>
      <c r="M680" s="92" t="inlineStr">
        <is>
          <t>Opstal</t>
        </is>
      </c>
      <c r="N680" s="92" t="inlineStr">
        <is>
          <t>J</t>
        </is>
      </c>
      <c r="O680" s="92" t="inlineStr">
        <is>
          <t>Omzet actual YTD</t>
        </is>
      </c>
      <c r="P680" s="109" t="n">
        <v>2457000</v>
      </c>
      <c r="Q680" s="92" t="inlineStr">
        <is>
          <t>EUR</t>
        </is>
      </c>
      <c r="R680" s="92" t="inlineStr">
        <is>
          <t>Synthetische vastgelegde invoer; geen echte historie</t>
        </is>
      </c>
      <c r="S680" s="15" t="str">
        <f>IF(J680="","",J680&amp;"|"&amp;E680&amp;"|"&amp;F680&amp;"|"&amp;I680&amp;"|"&amp;O680)</f>
        <v>G.900013.8.9090|2026|Q3|2026|Omzet actual YTD</v>
      </c>
      <c r="T680" s="15">
        <f>IF(OR(S680="",D680&lt;&gt;"Vastgesteld"),"",_xlfn.MAXIFS($G$6:$G$5005,$S$6:$S$5005,S680,$D$6:$D$5005,"Vastgesteld"))</f>
        <v>0</v>
      </c>
      <c r="U680" s="15">
        <f>IF(T680="",0,IF(AND(G680=T680,COUNTIFS($S$6:S680,S680,$G$6:G680,G680,$D$6:D680,"Vastgesteld")=1),1,0))</f>
        <v>1</v>
      </c>
      <c r="V680" s="15">
        <f>IF(T680="",0,IF(AND(G680=T680,COUNTIFS($S$6:S680,S680,$G$6:G680,G680,$D$6:D680,"Vastgesteld")&gt;1),1,0))</f>
        <v>0</v>
      </c>
    </row>
    <row r="681">
      <c r="A681" s="92" t="inlineStr">
        <is>
          <t>HIST-2026-Q3</t>
        </is>
      </c>
      <c r="B681" s="92" t="inlineStr">
        <is>
          <t>RDFO_FICTIEVE_historie_en_mapping.xlsx</t>
        </is>
      </c>
      <c r="C681" s="108" t="n">
        <v>46324</v>
      </c>
      <c r="D681" s="92" t="inlineStr">
        <is>
          <t>Vastgesteld</t>
        </is>
      </c>
      <c r="E681" s="92" t="n">
        <v>2026</v>
      </c>
      <c r="F681" s="92" t="inlineStr">
        <is>
          <t>Q3</t>
        </is>
      </c>
      <c r="G681" s="92" t="n">
        <v>0</v>
      </c>
      <c r="H681" s="108" t="n">
        <v>46295</v>
      </c>
      <c r="I681" s="92" t="n">
        <v>2026</v>
      </c>
      <c r="J681" s="92" t="inlineStr">
        <is>
          <t>G.900013.8.9090</t>
        </is>
      </c>
      <c r="K681" s="92" t="inlineStr">
        <is>
          <t>G.900013</t>
        </is>
      </c>
      <c r="L681" s="92" t="inlineStr">
        <is>
          <t>Boswaard, Boskamers</t>
        </is>
      </c>
      <c r="M681" s="92" t="inlineStr">
        <is>
          <t>Opstal</t>
        </is>
      </c>
      <c r="N681" s="92" t="inlineStr">
        <is>
          <t>J</t>
        </is>
      </c>
      <c r="O681" s="92" t="inlineStr">
        <is>
          <t>BOR actual YTD</t>
        </is>
      </c>
      <c r="P681" s="109" t="n">
        <v>184275</v>
      </c>
      <c r="Q681" s="92" t="inlineStr">
        <is>
          <t>EUR</t>
        </is>
      </c>
      <c r="R681" s="92" t="inlineStr">
        <is>
          <t>Synthetische vastgelegde invoer; geen echte historie</t>
        </is>
      </c>
      <c r="S681" s="15" t="str">
        <f>IF(J681="","",J681&amp;"|"&amp;E681&amp;"|"&amp;F681&amp;"|"&amp;I681&amp;"|"&amp;O681)</f>
        <v>G.900013.8.9090|2026|Q3|2026|BOR actual YTD</v>
      </c>
      <c r="T681" s="15">
        <f>IF(OR(S681="",D681&lt;&gt;"Vastgesteld"),"",_xlfn.MAXIFS($G$6:$G$5005,$S$6:$S$5005,S681,$D$6:$D$5005,"Vastgesteld"))</f>
        <v>0</v>
      </c>
      <c r="U681" s="15">
        <f>IF(T681="",0,IF(AND(G681=T681,COUNTIFS($S$6:S681,S681,$G$6:G681,G681,$D$6:D681,"Vastgesteld")=1),1,0))</f>
        <v>1</v>
      </c>
      <c r="V681" s="15">
        <f>IF(T681="",0,IF(AND(G681=T681,COUNTIFS($S$6:S681,S681,$G$6:G681,G681,$D$6:D681,"Vastgesteld")&gt;1),1,0))</f>
        <v>0</v>
      </c>
    </row>
    <row r="682">
      <c r="A682" s="92" t="inlineStr">
        <is>
          <t>HIST-2026-Q3</t>
        </is>
      </c>
      <c r="B682" s="92" t="inlineStr">
        <is>
          <t>RDFO_FICTIEVE_historie_en_mapping.xlsx</t>
        </is>
      </c>
      <c r="C682" s="108" t="n">
        <v>46324</v>
      </c>
      <c r="D682" s="92" t="inlineStr">
        <is>
          <t>Vastgesteld</t>
        </is>
      </c>
      <c r="E682" s="92" t="n">
        <v>2026</v>
      </c>
      <c r="F682" s="92" t="inlineStr">
        <is>
          <t>Q3</t>
        </is>
      </c>
      <c r="G682" s="92" t="n">
        <v>0</v>
      </c>
      <c r="H682" s="108" t="n">
        <v>46295</v>
      </c>
      <c r="I682" s="92" t="n">
        <v>2027</v>
      </c>
      <c r="J682" s="92" t="inlineStr">
        <is>
          <t>G.900013.8.9090</t>
        </is>
      </c>
      <c r="K682" s="92" t="inlineStr">
        <is>
          <t>G.900013</t>
        </is>
      </c>
      <c r="L682" s="92" t="inlineStr">
        <is>
          <t>Boswaard, Boskamers</t>
        </is>
      </c>
      <c r="M682" s="92" t="inlineStr">
        <is>
          <t>Opstal</t>
        </is>
      </c>
      <c r="N682" s="92" t="inlineStr">
        <is>
          <t>J</t>
        </is>
      </c>
      <c r="O682" s="92" t="inlineStr">
        <is>
          <t>Omzet FY</t>
        </is>
      </c>
      <c r="P682" s="109" t="n">
        <v>13923000</v>
      </c>
      <c r="Q682" s="92" t="inlineStr">
        <is>
          <t>EUR</t>
        </is>
      </c>
      <c r="R682" s="92" t="inlineStr">
        <is>
          <t>Synthetische vastgelegde invoer; geen echte historie</t>
        </is>
      </c>
      <c r="S682" s="15" t="str">
        <f>IF(J682="","",J682&amp;"|"&amp;E682&amp;"|"&amp;F682&amp;"|"&amp;I682&amp;"|"&amp;O682)</f>
        <v>G.900013.8.9090|2026|Q3|2027|Omzet FY</v>
      </c>
      <c r="T682" s="15">
        <f>IF(OR(S682="",D682&lt;&gt;"Vastgesteld"),"",_xlfn.MAXIFS($G$6:$G$5005,$S$6:$S$5005,S682,$D$6:$D$5005,"Vastgesteld"))</f>
        <v>0</v>
      </c>
      <c r="U682" s="15">
        <f>IF(T682="",0,IF(AND(G682=T682,COUNTIFS($S$6:S682,S682,$G$6:G682,G682,$D$6:D682,"Vastgesteld")=1),1,0))</f>
        <v>1</v>
      </c>
      <c r="V682" s="15">
        <f>IF(T682="",0,IF(AND(G682=T682,COUNTIFS($S$6:S682,S682,$G$6:G682,G682,$D$6:D682,"Vastgesteld")&gt;1),1,0))</f>
        <v>0</v>
      </c>
    </row>
    <row r="683">
      <c r="A683" s="92" t="inlineStr">
        <is>
          <t>HIST-2026-Q3</t>
        </is>
      </c>
      <c r="B683" s="92" t="inlineStr">
        <is>
          <t>RDFO_FICTIEVE_historie_en_mapping.xlsx</t>
        </is>
      </c>
      <c r="C683" s="108" t="n">
        <v>46324</v>
      </c>
      <c r="D683" s="92" t="inlineStr">
        <is>
          <t>Vastgesteld</t>
        </is>
      </c>
      <c r="E683" s="92" t="n">
        <v>2026</v>
      </c>
      <c r="F683" s="92" t="inlineStr">
        <is>
          <t>Q3</t>
        </is>
      </c>
      <c r="G683" s="92" t="n">
        <v>0</v>
      </c>
      <c r="H683" s="108" t="n">
        <v>46295</v>
      </c>
      <c r="I683" s="92" t="n">
        <v>2027</v>
      </c>
      <c r="J683" s="92" t="inlineStr">
        <is>
          <t>G.900013.8.9090</t>
        </is>
      </c>
      <c r="K683" s="92" t="inlineStr">
        <is>
          <t>G.900013</t>
        </is>
      </c>
      <c r="L683" s="92" t="inlineStr">
        <is>
          <t>Boswaard, Boskamers</t>
        </is>
      </c>
      <c r="M683" s="92" t="inlineStr">
        <is>
          <t>Opstal</t>
        </is>
      </c>
      <c r="N683" s="92" t="inlineStr">
        <is>
          <t>J</t>
        </is>
      </c>
      <c r="O683" s="92" t="inlineStr">
        <is>
          <t>BOR FY</t>
        </is>
      </c>
      <c r="P683" s="109" t="n">
        <v>1044225</v>
      </c>
      <c r="Q683" s="92" t="inlineStr">
        <is>
          <t>EUR</t>
        </is>
      </c>
      <c r="R683" s="92" t="inlineStr">
        <is>
          <t>Synthetische vastgelegde invoer; geen echte historie</t>
        </is>
      </c>
      <c r="S683" s="15" t="str">
        <f>IF(J683="","",J683&amp;"|"&amp;E683&amp;"|"&amp;F683&amp;"|"&amp;I683&amp;"|"&amp;O683)</f>
        <v>G.900013.8.9090|2026|Q3|2027|BOR FY</v>
      </c>
      <c r="T683" s="15">
        <f>IF(OR(S683="",D683&lt;&gt;"Vastgesteld"),"",_xlfn.MAXIFS($G$6:$G$5005,$S$6:$S$5005,S683,$D$6:$D$5005,"Vastgesteld"))</f>
        <v>0</v>
      </c>
      <c r="U683" s="15">
        <f>IF(T683="",0,IF(AND(G683=T683,COUNTIFS($S$6:S683,S683,$G$6:G683,G683,$D$6:D683,"Vastgesteld")=1),1,0))</f>
        <v>1</v>
      </c>
      <c r="V683" s="15">
        <f>IF(T683="",0,IF(AND(G683=T683,COUNTIFS($S$6:S683,S683,$G$6:G683,G683,$D$6:D683,"Vastgesteld")&gt;1),1,0))</f>
        <v>0</v>
      </c>
    </row>
    <row r="684">
      <c r="A684" s="92" t="inlineStr">
        <is>
          <t>HIST-2026-Q3</t>
        </is>
      </c>
      <c r="B684" s="92" t="inlineStr">
        <is>
          <t>RDFO_FICTIEVE_historie_en_mapping.xlsx</t>
        </is>
      </c>
      <c r="C684" s="108" t="n">
        <v>46324</v>
      </c>
      <c r="D684" s="92" t="inlineStr">
        <is>
          <t>Vastgesteld</t>
        </is>
      </c>
      <c r="E684" s="92" t="n">
        <v>2026</v>
      </c>
      <c r="F684" s="92" t="inlineStr">
        <is>
          <t>Q3</t>
        </is>
      </c>
      <c r="G684" s="92" t="n">
        <v>0</v>
      </c>
      <c r="H684" s="108" t="n">
        <v>46295</v>
      </c>
      <c r="I684" s="92" t="n">
        <v>2026</v>
      </c>
      <c r="J684" s="92" t="inlineStr">
        <is>
          <t>G.900014.8.9090</t>
        </is>
      </c>
      <c r="K684" s="92" t="inlineStr">
        <is>
          <t>G.900014</t>
        </is>
      </c>
      <c r="L684" s="92" t="inlineStr">
        <is>
          <t>Rietdam, Rietoevers</t>
        </is>
      </c>
      <c r="M684" s="92" t="inlineStr">
        <is>
          <t>Opstal</t>
        </is>
      </c>
      <c r="N684" s="92" t="inlineStr">
        <is>
          <t>J</t>
        </is>
      </c>
      <c r="O684" s="92" t="inlineStr">
        <is>
          <t>Omzet FY</t>
        </is>
      </c>
      <c r="P684" s="109" t="n">
        <v>8769600</v>
      </c>
      <c r="Q684" s="92" t="inlineStr">
        <is>
          <t>EUR</t>
        </is>
      </c>
      <c r="R684" s="92" t="inlineStr">
        <is>
          <t>Synthetische vastgelegde invoer; geen echte historie</t>
        </is>
      </c>
      <c r="S684" s="15" t="str">
        <f>IF(J684="","",J684&amp;"|"&amp;E684&amp;"|"&amp;F684&amp;"|"&amp;I684&amp;"|"&amp;O684)</f>
        <v>G.900014.8.9090|2026|Q3|2026|Omzet FY</v>
      </c>
      <c r="T684" s="15">
        <f>IF(OR(S684="",D684&lt;&gt;"Vastgesteld"),"",_xlfn.MAXIFS($G$6:$G$5005,$S$6:$S$5005,S684,$D$6:$D$5005,"Vastgesteld"))</f>
        <v>0</v>
      </c>
      <c r="U684" s="15">
        <f>IF(T684="",0,IF(AND(G684=T684,COUNTIFS($S$6:S684,S684,$G$6:G684,G684,$D$6:D684,"Vastgesteld")=1),1,0))</f>
        <v>1</v>
      </c>
      <c r="V684" s="15">
        <f>IF(T684="",0,IF(AND(G684=T684,COUNTIFS($S$6:S684,S684,$G$6:G684,G684,$D$6:D684,"Vastgesteld")&gt;1),1,0))</f>
        <v>0</v>
      </c>
    </row>
    <row r="685">
      <c r="A685" s="92" t="inlineStr">
        <is>
          <t>HIST-2026-Q3</t>
        </is>
      </c>
      <c r="B685" s="92" t="inlineStr">
        <is>
          <t>RDFO_FICTIEVE_historie_en_mapping.xlsx</t>
        </is>
      </c>
      <c r="C685" s="108" t="n">
        <v>46324</v>
      </c>
      <c r="D685" s="92" t="inlineStr">
        <is>
          <t>Vastgesteld</t>
        </is>
      </c>
      <c r="E685" s="92" t="n">
        <v>2026</v>
      </c>
      <c r="F685" s="92" t="inlineStr">
        <is>
          <t>Q3</t>
        </is>
      </c>
      <c r="G685" s="92" t="n">
        <v>0</v>
      </c>
      <c r="H685" s="108" t="n">
        <v>46295</v>
      </c>
      <c r="I685" s="92" t="n">
        <v>2026</v>
      </c>
      <c r="J685" s="92" t="inlineStr">
        <is>
          <t>G.900014.8.9090</t>
        </is>
      </c>
      <c r="K685" s="92" t="inlineStr">
        <is>
          <t>G.900014</t>
        </is>
      </c>
      <c r="L685" s="92" t="inlineStr">
        <is>
          <t>Rietdam, Rietoevers</t>
        </is>
      </c>
      <c r="M685" s="92" t="inlineStr">
        <is>
          <t>Opstal</t>
        </is>
      </c>
      <c r="N685" s="92" t="inlineStr">
        <is>
          <t>J</t>
        </is>
      </c>
      <c r="O685" s="92" t="inlineStr">
        <is>
          <t>BOR FY</t>
        </is>
      </c>
      <c r="P685" s="109" t="n">
        <v>964656</v>
      </c>
      <c r="Q685" s="92" t="inlineStr">
        <is>
          <t>EUR</t>
        </is>
      </c>
      <c r="R685" s="92" t="inlineStr">
        <is>
          <t>Synthetische vastgelegde invoer; geen echte historie</t>
        </is>
      </c>
      <c r="S685" s="15" t="str">
        <f>IF(J685="","",J685&amp;"|"&amp;E685&amp;"|"&amp;F685&amp;"|"&amp;I685&amp;"|"&amp;O685)</f>
        <v>G.900014.8.9090|2026|Q3|2026|BOR FY</v>
      </c>
      <c r="T685" s="15">
        <f>IF(OR(S685="",D685&lt;&gt;"Vastgesteld"),"",_xlfn.MAXIFS($G$6:$G$5005,$S$6:$S$5005,S685,$D$6:$D$5005,"Vastgesteld"))</f>
        <v>0</v>
      </c>
      <c r="U685" s="15">
        <f>IF(T685="",0,IF(AND(G685=T685,COUNTIFS($S$6:S685,S685,$G$6:G685,G685,$D$6:D685,"Vastgesteld")=1),1,0))</f>
        <v>1</v>
      </c>
      <c r="V685" s="15">
        <f>IF(T685="",0,IF(AND(G685=T685,COUNTIFS($S$6:S685,S685,$G$6:G685,G685,$D$6:D685,"Vastgesteld")&gt;1),1,0))</f>
        <v>0</v>
      </c>
    </row>
    <row r="686">
      <c r="A686" s="92" t="inlineStr">
        <is>
          <t>HIST-2026-Q3</t>
        </is>
      </c>
      <c r="B686" s="92" t="inlineStr">
        <is>
          <t>RDFO_FICTIEVE_historie_en_mapping.xlsx</t>
        </is>
      </c>
      <c r="C686" s="108" t="n">
        <v>46324</v>
      </c>
      <c r="D686" s="92" t="inlineStr">
        <is>
          <t>Vastgesteld</t>
        </is>
      </c>
      <c r="E686" s="92" t="n">
        <v>2026</v>
      </c>
      <c r="F686" s="92" t="inlineStr">
        <is>
          <t>Q3</t>
        </is>
      </c>
      <c r="G686" s="92" t="n">
        <v>0</v>
      </c>
      <c r="H686" s="108" t="n">
        <v>46295</v>
      </c>
      <c r="I686" s="92" t="n">
        <v>2026</v>
      </c>
      <c r="J686" s="92" t="inlineStr">
        <is>
          <t>G.900014.8.9090</t>
        </is>
      </c>
      <c r="K686" s="92" t="inlineStr">
        <is>
          <t>G.900014</t>
        </is>
      </c>
      <c r="L686" s="92" t="inlineStr">
        <is>
          <t>Rietdam, Rietoevers</t>
        </is>
      </c>
      <c r="M686" s="92" t="inlineStr">
        <is>
          <t>Opstal</t>
        </is>
      </c>
      <c r="N686" s="92" t="inlineStr">
        <is>
          <t>J</t>
        </is>
      </c>
      <c r="O686" s="92" t="inlineStr">
        <is>
          <t>Omzet actual YTD</t>
        </is>
      </c>
      <c r="P686" s="109" t="n">
        <v>5700240</v>
      </c>
      <c r="Q686" s="92" t="inlineStr">
        <is>
          <t>EUR</t>
        </is>
      </c>
      <c r="R686" s="92" t="inlineStr">
        <is>
          <t>Synthetische vastgelegde invoer; geen echte historie</t>
        </is>
      </c>
      <c r="S686" s="15" t="str">
        <f>IF(J686="","",J686&amp;"|"&amp;E686&amp;"|"&amp;F686&amp;"|"&amp;I686&amp;"|"&amp;O686)</f>
        <v>G.900014.8.9090|2026|Q3|2026|Omzet actual YTD</v>
      </c>
      <c r="T686" s="15">
        <f>IF(OR(S686="",D686&lt;&gt;"Vastgesteld"),"",_xlfn.MAXIFS($G$6:$G$5005,$S$6:$S$5005,S686,$D$6:$D$5005,"Vastgesteld"))</f>
        <v>0</v>
      </c>
      <c r="U686" s="15">
        <f>IF(T686="",0,IF(AND(G686=T686,COUNTIFS($S$6:S686,S686,$G$6:G686,G686,$D$6:D686,"Vastgesteld")=1),1,0))</f>
        <v>1</v>
      </c>
      <c r="V686" s="15">
        <f>IF(T686="",0,IF(AND(G686=T686,COUNTIFS($S$6:S686,S686,$G$6:G686,G686,$D$6:D686,"Vastgesteld")&gt;1),1,0))</f>
        <v>0</v>
      </c>
    </row>
    <row r="687">
      <c r="A687" s="92" t="inlineStr">
        <is>
          <t>HIST-2026-Q3</t>
        </is>
      </c>
      <c r="B687" s="92" t="inlineStr">
        <is>
          <t>RDFO_FICTIEVE_historie_en_mapping.xlsx</t>
        </is>
      </c>
      <c r="C687" s="108" t="n">
        <v>46324</v>
      </c>
      <c r="D687" s="92" t="inlineStr">
        <is>
          <t>Vastgesteld</t>
        </is>
      </c>
      <c r="E687" s="92" t="n">
        <v>2026</v>
      </c>
      <c r="F687" s="92" t="inlineStr">
        <is>
          <t>Q3</t>
        </is>
      </c>
      <c r="G687" s="92" t="n">
        <v>0</v>
      </c>
      <c r="H687" s="108" t="n">
        <v>46295</v>
      </c>
      <c r="I687" s="92" t="n">
        <v>2026</v>
      </c>
      <c r="J687" s="92" t="inlineStr">
        <is>
          <t>G.900014.8.9090</t>
        </is>
      </c>
      <c r="K687" s="92" t="inlineStr">
        <is>
          <t>G.900014</t>
        </is>
      </c>
      <c r="L687" s="92" t="inlineStr">
        <is>
          <t>Rietdam, Rietoevers</t>
        </is>
      </c>
      <c r="M687" s="92" t="inlineStr">
        <is>
          <t>Opstal</t>
        </is>
      </c>
      <c r="N687" s="92" t="inlineStr">
        <is>
          <t>J</t>
        </is>
      </c>
      <c r="O687" s="92" t="inlineStr">
        <is>
          <t>BOR actual YTD</t>
        </is>
      </c>
      <c r="P687" s="109" t="n">
        <v>627026.4</v>
      </c>
      <c r="Q687" s="92" t="inlineStr">
        <is>
          <t>EUR</t>
        </is>
      </c>
      <c r="R687" s="92" t="inlineStr">
        <is>
          <t>Synthetische vastgelegde invoer; geen echte historie</t>
        </is>
      </c>
      <c r="S687" s="15" t="str">
        <f>IF(J687="","",J687&amp;"|"&amp;E687&amp;"|"&amp;F687&amp;"|"&amp;I687&amp;"|"&amp;O687)</f>
        <v>G.900014.8.9090|2026|Q3|2026|BOR actual YTD</v>
      </c>
      <c r="T687" s="15">
        <f>IF(OR(S687="",D687&lt;&gt;"Vastgesteld"),"",_xlfn.MAXIFS($G$6:$G$5005,$S$6:$S$5005,S687,$D$6:$D$5005,"Vastgesteld"))</f>
        <v>0</v>
      </c>
      <c r="U687" s="15">
        <f>IF(T687="",0,IF(AND(G687=T687,COUNTIFS($S$6:S687,S687,$G$6:G687,G687,$D$6:D687,"Vastgesteld")=1),1,0))</f>
        <v>1</v>
      </c>
      <c r="V687" s="15">
        <f>IF(T687="",0,IF(AND(G687=T687,COUNTIFS($S$6:S687,S687,$G$6:G687,G687,$D$6:D687,"Vastgesteld")&gt;1),1,0))</f>
        <v>0</v>
      </c>
    </row>
    <row r="688">
      <c r="A688" s="92" t="inlineStr">
        <is>
          <t>HIST-2026-Q3</t>
        </is>
      </c>
      <c r="B688" s="92" t="inlineStr">
        <is>
          <t>RDFO_FICTIEVE_historie_en_mapping.xlsx</t>
        </is>
      </c>
      <c r="C688" s="108" t="n">
        <v>46324</v>
      </c>
      <c r="D688" s="92" t="inlineStr">
        <is>
          <t>Vastgesteld</t>
        </is>
      </c>
      <c r="E688" s="92" t="n">
        <v>2026</v>
      </c>
      <c r="F688" s="92" t="inlineStr">
        <is>
          <t>Q3</t>
        </is>
      </c>
      <c r="G688" s="92" t="n">
        <v>0</v>
      </c>
      <c r="H688" s="108" t="n">
        <v>46295</v>
      </c>
      <c r="I688" s="92" t="n">
        <v>2027</v>
      </c>
      <c r="J688" s="92" t="inlineStr">
        <is>
          <t>G.900014.8.9090</t>
        </is>
      </c>
      <c r="K688" s="92" t="inlineStr">
        <is>
          <t>G.900014</t>
        </is>
      </c>
      <c r="L688" s="92" t="inlineStr">
        <is>
          <t>Rietdam, Rietoevers</t>
        </is>
      </c>
      <c r="M688" s="92" t="inlineStr">
        <is>
          <t>Opstal</t>
        </is>
      </c>
      <c r="N688" s="92" t="inlineStr">
        <is>
          <t>J</t>
        </is>
      </c>
      <c r="O688" s="92" t="inlineStr">
        <is>
          <t>Omzet FY</t>
        </is>
      </c>
      <c r="P688" s="109" t="n">
        <v>7871760</v>
      </c>
      <c r="Q688" s="92" t="inlineStr">
        <is>
          <t>EUR</t>
        </is>
      </c>
      <c r="R688" s="92" t="inlineStr">
        <is>
          <t>Synthetische vastgelegde invoer; geen echte historie</t>
        </is>
      </c>
      <c r="S688" s="15" t="str">
        <f>IF(J688="","",J688&amp;"|"&amp;E688&amp;"|"&amp;F688&amp;"|"&amp;I688&amp;"|"&amp;O688)</f>
        <v>G.900014.8.9090|2026|Q3|2027|Omzet FY</v>
      </c>
      <c r="T688" s="15">
        <f>IF(OR(S688="",D688&lt;&gt;"Vastgesteld"),"",_xlfn.MAXIFS($G$6:$G$5005,$S$6:$S$5005,S688,$D$6:$D$5005,"Vastgesteld"))</f>
        <v>0</v>
      </c>
      <c r="U688" s="15">
        <f>IF(T688="",0,IF(AND(G688=T688,COUNTIFS($S$6:S688,S688,$G$6:G688,G688,$D$6:D688,"Vastgesteld")=1),1,0))</f>
        <v>1</v>
      </c>
      <c r="V688" s="15">
        <f>IF(T688="",0,IF(AND(G688=T688,COUNTIFS($S$6:S688,S688,$G$6:G688,G688,$D$6:D688,"Vastgesteld")&gt;1),1,0))</f>
        <v>0</v>
      </c>
    </row>
    <row r="689">
      <c r="A689" s="92" t="inlineStr">
        <is>
          <t>HIST-2026-Q3</t>
        </is>
      </c>
      <c r="B689" s="92" t="inlineStr">
        <is>
          <t>RDFO_FICTIEVE_historie_en_mapping.xlsx</t>
        </is>
      </c>
      <c r="C689" s="108" t="n">
        <v>46324</v>
      </c>
      <c r="D689" s="92" t="inlineStr">
        <is>
          <t>Vastgesteld</t>
        </is>
      </c>
      <c r="E689" s="92" t="n">
        <v>2026</v>
      </c>
      <c r="F689" s="92" t="inlineStr">
        <is>
          <t>Q3</t>
        </is>
      </c>
      <c r="G689" s="92" t="n">
        <v>0</v>
      </c>
      <c r="H689" s="108" t="n">
        <v>46295</v>
      </c>
      <c r="I689" s="92" t="n">
        <v>2027</v>
      </c>
      <c r="J689" s="92" t="inlineStr">
        <is>
          <t>G.900014.8.9090</t>
        </is>
      </c>
      <c r="K689" s="92" t="inlineStr">
        <is>
          <t>G.900014</t>
        </is>
      </c>
      <c r="L689" s="92" t="inlineStr">
        <is>
          <t>Rietdam, Rietoevers</t>
        </is>
      </c>
      <c r="M689" s="92" t="inlineStr">
        <is>
          <t>Opstal</t>
        </is>
      </c>
      <c r="N689" s="92" t="inlineStr">
        <is>
          <t>J</t>
        </is>
      </c>
      <c r="O689" s="92" t="inlineStr">
        <is>
          <t>BOR FY</t>
        </is>
      </c>
      <c r="P689" s="109" t="n">
        <v>865893.6</v>
      </c>
      <c r="Q689" s="92" t="inlineStr">
        <is>
          <t>EUR</t>
        </is>
      </c>
      <c r="R689" s="92" t="inlineStr">
        <is>
          <t>Synthetische vastgelegde invoer; geen echte historie</t>
        </is>
      </c>
      <c r="S689" s="15" t="str">
        <f>IF(J689="","",J689&amp;"|"&amp;E689&amp;"|"&amp;F689&amp;"|"&amp;I689&amp;"|"&amp;O689)</f>
        <v>G.900014.8.9090|2026|Q3|2027|BOR FY</v>
      </c>
      <c r="T689" s="15">
        <f>IF(OR(S689="",D689&lt;&gt;"Vastgesteld"),"",_xlfn.MAXIFS($G$6:$G$5005,$S$6:$S$5005,S689,$D$6:$D$5005,"Vastgesteld"))</f>
        <v>0</v>
      </c>
      <c r="U689" s="15">
        <f>IF(T689="",0,IF(AND(G689=T689,COUNTIFS($S$6:S689,S689,$G$6:G689,G689,$D$6:D689,"Vastgesteld")=1),1,0))</f>
        <v>1</v>
      </c>
      <c r="V689" s="15">
        <f>IF(T689="",0,IF(AND(G689=T689,COUNTIFS($S$6:S689,S689,$G$6:G689,G689,$D$6:D689,"Vastgesteld")&gt;1),1,0))</f>
        <v>0</v>
      </c>
    </row>
    <row r="690">
      <c r="A690" s="92" t="inlineStr">
        <is>
          <t>HIST-2026-Q3</t>
        </is>
      </c>
      <c r="B690" s="92" t="inlineStr">
        <is>
          <t>RDFO_FICTIEVE_historie_en_mapping.xlsx</t>
        </is>
      </c>
      <c r="C690" s="108" t="n">
        <v>46324</v>
      </c>
      <c r="D690" s="92" t="inlineStr">
        <is>
          <t>Vastgesteld</t>
        </is>
      </c>
      <c r="E690" s="92" t="n">
        <v>2026</v>
      </c>
      <c r="F690" s="92" t="inlineStr">
        <is>
          <t>Q3</t>
        </is>
      </c>
      <c r="G690" s="92" t="n">
        <v>0</v>
      </c>
      <c r="H690" s="108" t="n">
        <v>46295</v>
      </c>
      <c r="I690" s="92" t="n">
        <v>2026</v>
      </c>
      <c r="J690" s="92" t="inlineStr">
        <is>
          <t>G.900015.8.9090</t>
        </is>
      </c>
      <c r="K690" s="92" t="inlineStr">
        <is>
          <t>G.900015</t>
        </is>
      </c>
      <c r="L690" s="92" t="inlineStr">
        <is>
          <t>Lindehaven, Parkzoom fase 2</t>
        </is>
      </c>
      <c r="M690" s="92" t="inlineStr">
        <is>
          <t>Opstal</t>
        </is>
      </c>
      <c r="N690" s="92" t="inlineStr">
        <is>
          <t>J</t>
        </is>
      </c>
      <c r="O690" s="92" t="inlineStr">
        <is>
          <t>Omzet FY</t>
        </is>
      </c>
      <c r="P690" s="109" t="n">
        <v>3300000</v>
      </c>
      <c r="Q690" s="92" t="inlineStr">
        <is>
          <t>EUR</t>
        </is>
      </c>
      <c r="R690" s="92" t="inlineStr">
        <is>
          <t>Synthetische vastgelegde invoer; geen echte historie</t>
        </is>
      </c>
      <c r="S690" s="15" t="str">
        <f>IF(J690="","",J690&amp;"|"&amp;E690&amp;"|"&amp;F690&amp;"|"&amp;I690&amp;"|"&amp;O690)</f>
        <v>G.900015.8.9090|2026|Q3|2026|Omzet FY</v>
      </c>
      <c r="T690" s="15">
        <f>IF(OR(S690="",D690&lt;&gt;"Vastgesteld"),"",_xlfn.MAXIFS($G$6:$G$5005,$S$6:$S$5005,S690,$D$6:$D$5005,"Vastgesteld"))</f>
        <v>0</v>
      </c>
      <c r="U690" s="15">
        <f>IF(T690="",0,IF(AND(G690=T690,COUNTIFS($S$6:S690,S690,$G$6:G690,G690,$D$6:D690,"Vastgesteld")=1),1,0))</f>
        <v>1</v>
      </c>
      <c r="V690" s="15">
        <f>IF(T690="",0,IF(AND(G690=T690,COUNTIFS($S$6:S690,S690,$G$6:G690,G690,$D$6:D690,"Vastgesteld")&gt;1),1,0))</f>
        <v>0</v>
      </c>
    </row>
    <row r="691">
      <c r="A691" s="92" t="inlineStr">
        <is>
          <t>HIST-2026-Q3</t>
        </is>
      </c>
      <c r="B691" s="92" t="inlineStr">
        <is>
          <t>RDFO_FICTIEVE_historie_en_mapping.xlsx</t>
        </is>
      </c>
      <c r="C691" s="108" t="n">
        <v>46324</v>
      </c>
      <c r="D691" s="92" t="inlineStr">
        <is>
          <t>Vastgesteld</t>
        </is>
      </c>
      <c r="E691" s="92" t="n">
        <v>2026</v>
      </c>
      <c r="F691" s="92" t="inlineStr">
        <is>
          <t>Q3</t>
        </is>
      </c>
      <c r="G691" s="92" t="n">
        <v>0</v>
      </c>
      <c r="H691" s="108" t="n">
        <v>46295</v>
      </c>
      <c r="I691" s="92" t="n">
        <v>2026</v>
      </c>
      <c r="J691" s="92" t="inlineStr">
        <is>
          <t>G.900015.8.9090</t>
        </is>
      </c>
      <c r="K691" s="92" t="inlineStr">
        <is>
          <t>G.900015</t>
        </is>
      </c>
      <c r="L691" s="92" t="inlineStr">
        <is>
          <t>Lindehaven, Parkzoom fase 2</t>
        </is>
      </c>
      <c r="M691" s="92" t="inlineStr">
        <is>
          <t>Opstal</t>
        </is>
      </c>
      <c r="N691" s="92" t="inlineStr">
        <is>
          <t>J</t>
        </is>
      </c>
      <c r="O691" s="92" t="inlineStr">
        <is>
          <t>BOR FY</t>
        </is>
      </c>
      <c r="P691" s="109" t="n">
        <v>214500</v>
      </c>
      <c r="Q691" s="92" t="inlineStr">
        <is>
          <t>EUR</t>
        </is>
      </c>
      <c r="R691" s="92" t="inlineStr">
        <is>
          <t>Synthetische vastgelegde invoer; geen echte historie</t>
        </is>
      </c>
      <c r="S691" s="15" t="str">
        <f>IF(J691="","",J691&amp;"|"&amp;E691&amp;"|"&amp;F691&amp;"|"&amp;I691&amp;"|"&amp;O691)</f>
        <v>G.900015.8.9090|2026|Q3|2026|BOR FY</v>
      </c>
      <c r="T691" s="15">
        <f>IF(OR(S691="",D691&lt;&gt;"Vastgesteld"),"",_xlfn.MAXIFS($G$6:$G$5005,$S$6:$S$5005,S691,$D$6:$D$5005,"Vastgesteld"))</f>
        <v>0</v>
      </c>
      <c r="U691" s="15">
        <f>IF(T691="",0,IF(AND(G691=T691,COUNTIFS($S$6:S691,S691,$G$6:G691,G691,$D$6:D691,"Vastgesteld")=1),1,0))</f>
        <v>1</v>
      </c>
      <c r="V691" s="15">
        <f>IF(T691="",0,IF(AND(G691=T691,COUNTIFS($S$6:S691,S691,$G$6:G691,G691,$D$6:D691,"Vastgesteld")&gt;1),1,0))</f>
        <v>0</v>
      </c>
    </row>
    <row r="692">
      <c r="A692" s="92" t="inlineStr">
        <is>
          <t>HIST-2026-Q3</t>
        </is>
      </c>
      <c r="B692" s="92" t="inlineStr">
        <is>
          <t>RDFO_FICTIEVE_historie_en_mapping.xlsx</t>
        </is>
      </c>
      <c r="C692" s="108" t="n">
        <v>46324</v>
      </c>
      <c r="D692" s="92" t="inlineStr">
        <is>
          <t>Vastgesteld</t>
        </is>
      </c>
      <c r="E692" s="92" t="n">
        <v>2026</v>
      </c>
      <c r="F692" s="92" t="inlineStr">
        <is>
          <t>Q3</t>
        </is>
      </c>
      <c r="G692" s="92" t="n">
        <v>0</v>
      </c>
      <c r="H692" s="108" t="n">
        <v>46295</v>
      </c>
      <c r="I692" s="92" t="n">
        <v>2026</v>
      </c>
      <c r="J692" s="92" t="inlineStr">
        <is>
          <t>G.900015.8.9090</t>
        </is>
      </c>
      <c r="K692" s="92" t="inlineStr">
        <is>
          <t>G.900015</t>
        </is>
      </c>
      <c r="L692" s="92" t="inlineStr">
        <is>
          <t>Lindehaven, Parkzoom fase 2</t>
        </is>
      </c>
      <c r="M692" s="92" t="inlineStr">
        <is>
          <t>Opstal</t>
        </is>
      </c>
      <c r="N692" s="92" t="inlineStr">
        <is>
          <t>J</t>
        </is>
      </c>
      <c r="O692" s="92" t="inlineStr">
        <is>
          <t>Omzet actual YTD</t>
        </is>
      </c>
      <c r="P692" s="109" t="n">
        <v>2145000</v>
      </c>
      <c r="Q692" s="92" t="inlineStr">
        <is>
          <t>EUR</t>
        </is>
      </c>
      <c r="R692" s="92" t="inlineStr">
        <is>
          <t>Synthetische vastgelegde invoer; geen echte historie</t>
        </is>
      </c>
      <c r="S692" s="15" t="str">
        <f>IF(J692="","",J692&amp;"|"&amp;E692&amp;"|"&amp;F692&amp;"|"&amp;I692&amp;"|"&amp;O692)</f>
        <v>G.900015.8.9090|2026|Q3|2026|Omzet actual YTD</v>
      </c>
      <c r="T692" s="15">
        <f>IF(OR(S692="",D692&lt;&gt;"Vastgesteld"),"",_xlfn.MAXIFS($G$6:$G$5005,$S$6:$S$5005,S692,$D$6:$D$5005,"Vastgesteld"))</f>
        <v>0</v>
      </c>
      <c r="U692" s="15">
        <f>IF(T692="",0,IF(AND(G692=T692,COUNTIFS($S$6:S692,S692,$G$6:G692,G692,$D$6:D692,"Vastgesteld")=1),1,0))</f>
        <v>1</v>
      </c>
      <c r="V692" s="15">
        <f>IF(T692="",0,IF(AND(G692=T692,COUNTIFS($S$6:S692,S692,$G$6:G692,G692,$D$6:D692,"Vastgesteld")&gt;1),1,0))</f>
        <v>0</v>
      </c>
    </row>
    <row r="693">
      <c r="A693" s="92" t="inlineStr">
        <is>
          <t>HIST-2026-Q3</t>
        </is>
      </c>
      <c r="B693" s="92" t="inlineStr">
        <is>
          <t>RDFO_FICTIEVE_historie_en_mapping.xlsx</t>
        </is>
      </c>
      <c r="C693" s="108" t="n">
        <v>46324</v>
      </c>
      <c r="D693" s="92" t="inlineStr">
        <is>
          <t>Vastgesteld</t>
        </is>
      </c>
      <c r="E693" s="92" t="n">
        <v>2026</v>
      </c>
      <c r="F693" s="92" t="inlineStr">
        <is>
          <t>Q3</t>
        </is>
      </c>
      <c r="G693" s="92" t="n">
        <v>0</v>
      </c>
      <c r="H693" s="108" t="n">
        <v>46295</v>
      </c>
      <c r="I693" s="92" t="n">
        <v>2026</v>
      </c>
      <c r="J693" s="92" t="inlineStr">
        <is>
          <t>G.900015.8.9090</t>
        </is>
      </c>
      <c r="K693" s="92" t="inlineStr">
        <is>
          <t>G.900015</t>
        </is>
      </c>
      <c r="L693" s="92" t="inlineStr">
        <is>
          <t>Lindehaven, Parkzoom fase 2</t>
        </is>
      </c>
      <c r="M693" s="92" t="inlineStr">
        <is>
          <t>Opstal</t>
        </is>
      </c>
      <c r="N693" s="92" t="inlineStr">
        <is>
          <t>J</t>
        </is>
      </c>
      <c r="O693" s="92" t="inlineStr">
        <is>
          <t>BOR actual YTD</t>
        </is>
      </c>
      <c r="P693" s="109" t="n">
        <v>139425</v>
      </c>
      <c r="Q693" s="92" t="inlineStr">
        <is>
          <t>EUR</t>
        </is>
      </c>
      <c r="R693" s="92" t="inlineStr">
        <is>
          <t>Synthetische vastgelegde invoer; geen echte historie</t>
        </is>
      </c>
      <c r="S693" s="15" t="str">
        <f>IF(J693="","",J693&amp;"|"&amp;E693&amp;"|"&amp;F693&amp;"|"&amp;I693&amp;"|"&amp;O693)</f>
        <v>G.900015.8.9090|2026|Q3|2026|BOR actual YTD</v>
      </c>
      <c r="T693" s="15">
        <f>IF(OR(S693="",D693&lt;&gt;"Vastgesteld"),"",_xlfn.MAXIFS($G$6:$G$5005,$S$6:$S$5005,S693,$D$6:$D$5005,"Vastgesteld"))</f>
        <v>0</v>
      </c>
      <c r="U693" s="15">
        <f>IF(T693="",0,IF(AND(G693=T693,COUNTIFS($S$6:S693,S693,$G$6:G693,G693,$D$6:D693,"Vastgesteld")=1),1,0))</f>
        <v>1</v>
      </c>
      <c r="V693" s="15">
        <f>IF(T693="",0,IF(AND(G693=T693,COUNTIFS($S$6:S693,S693,$G$6:G693,G693,$D$6:D693,"Vastgesteld")&gt;1),1,0))</f>
        <v>0</v>
      </c>
    </row>
    <row r="694">
      <c r="A694" s="92" t="inlineStr">
        <is>
          <t>HIST-2026-Q3</t>
        </is>
      </c>
      <c r="B694" s="92" t="inlineStr">
        <is>
          <t>RDFO_FICTIEVE_historie_en_mapping.xlsx</t>
        </is>
      </c>
      <c r="C694" s="108" t="n">
        <v>46324</v>
      </c>
      <c r="D694" s="92" t="inlineStr">
        <is>
          <t>Vastgesteld</t>
        </is>
      </c>
      <c r="E694" s="92" t="n">
        <v>2026</v>
      </c>
      <c r="F694" s="92" t="inlineStr">
        <is>
          <t>Q3</t>
        </is>
      </c>
      <c r="G694" s="92" t="n">
        <v>0</v>
      </c>
      <c r="H694" s="108" t="n">
        <v>46295</v>
      </c>
      <c r="I694" s="92" t="n">
        <v>2027</v>
      </c>
      <c r="J694" s="92" t="inlineStr">
        <is>
          <t>G.900015.8.9090</t>
        </is>
      </c>
      <c r="K694" s="92" t="inlineStr">
        <is>
          <t>G.900015</t>
        </is>
      </c>
      <c r="L694" s="92" t="inlineStr">
        <is>
          <t>Lindehaven, Parkzoom fase 2</t>
        </is>
      </c>
      <c r="M694" s="92" t="inlineStr">
        <is>
          <t>Opstal</t>
        </is>
      </c>
      <c r="N694" s="92" t="inlineStr">
        <is>
          <t>J</t>
        </is>
      </c>
      <c r="O694" s="92" t="inlineStr">
        <is>
          <t>Omzet FY</t>
        </is>
      </c>
      <c r="P694" s="109" t="n">
        <v>19305000</v>
      </c>
      <c r="Q694" s="92" t="inlineStr">
        <is>
          <t>EUR</t>
        </is>
      </c>
      <c r="R694" s="92" t="inlineStr">
        <is>
          <t>Synthetische vastgelegde invoer; geen echte historie</t>
        </is>
      </c>
      <c r="S694" s="15" t="str">
        <f>IF(J694="","",J694&amp;"|"&amp;E694&amp;"|"&amp;F694&amp;"|"&amp;I694&amp;"|"&amp;O694)</f>
        <v>G.900015.8.9090|2026|Q3|2027|Omzet FY</v>
      </c>
      <c r="T694" s="15">
        <f>IF(OR(S694="",D694&lt;&gt;"Vastgesteld"),"",_xlfn.MAXIFS($G$6:$G$5005,$S$6:$S$5005,S694,$D$6:$D$5005,"Vastgesteld"))</f>
        <v>0</v>
      </c>
      <c r="U694" s="15">
        <f>IF(T694="",0,IF(AND(G694=T694,COUNTIFS($S$6:S694,S694,$G$6:G694,G694,$D$6:D694,"Vastgesteld")=1),1,0))</f>
        <v>1</v>
      </c>
      <c r="V694" s="15">
        <f>IF(T694="",0,IF(AND(G694=T694,COUNTIFS($S$6:S694,S694,$G$6:G694,G694,$D$6:D694,"Vastgesteld")&gt;1),1,0))</f>
        <v>0</v>
      </c>
    </row>
    <row r="695">
      <c r="A695" s="92" t="inlineStr">
        <is>
          <t>HIST-2026-Q3</t>
        </is>
      </c>
      <c r="B695" s="92" t="inlineStr">
        <is>
          <t>RDFO_FICTIEVE_historie_en_mapping.xlsx</t>
        </is>
      </c>
      <c r="C695" s="108" t="n">
        <v>46324</v>
      </c>
      <c r="D695" s="92" t="inlineStr">
        <is>
          <t>Vastgesteld</t>
        </is>
      </c>
      <c r="E695" s="92" t="n">
        <v>2026</v>
      </c>
      <c r="F695" s="92" t="inlineStr">
        <is>
          <t>Q3</t>
        </is>
      </c>
      <c r="G695" s="92" t="n">
        <v>0</v>
      </c>
      <c r="H695" s="108" t="n">
        <v>46295</v>
      </c>
      <c r="I695" s="92" t="n">
        <v>2027</v>
      </c>
      <c r="J695" s="92" t="inlineStr">
        <is>
          <t>G.900015.8.9090</t>
        </is>
      </c>
      <c r="K695" s="92" t="inlineStr">
        <is>
          <t>G.900015</t>
        </is>
      </c>
      <c r="L695" s="92" t="inlineStr">
        <is>
          <t>Lindehaven, Parkzoom fase 2</t>
        </is>
      </c>
      <c r="M695" s="92" t="inlineStr">
        <is>
          <t>Opstal</t>
        </is>
      </c>
      <c r="N695" s="92" t="inlineStr">
        <is>
          <t>J</t>
        </is>
      </c>
      <c r="O695" s="92" t="inlineStr">
        <is>
          <t>BOR FY</t>
        </is>
      </c>
      <c r="P695" s="109" t="n">
        <v>1254825</v>
      </c>
      <c r="Q695" s="92" t="inlineStr">
        <is>
          <t>EUR</t>
        </is>
      </c>
      <c r="R695" s="92" t="inlineStr">
        <is>
          <t>Synthetische vastgelegde invoer; geen echte historie</t>
        </is>
      </c>
      <c r="S695" s="15" t="str">
        <f>IF(J695="","",J695&amp;"|"&amp;E695&amp;"|"&amp;F695&amp;"|"&amp;I695&amp;"|"&amp;O695)</f>
        <v>G.900015.8.9090|2026|Q3|2027|BOR FY</v>
      </c>
      <c r="T695" s="15">
        <f>IF(OR(S695="",D695&lt;&gt;"Vastgesteld"),"",_xlfn.MAXIFS($G$6:$G$5005,$S$6:$S$5005,S695,$D$6:$D$5005,"Vastgesteld"))</f>
        <v>0</v>
      </c>
      <c r="U695" s="15">
        <f>IF(T695="",0,IF(AND(G695=T695,COUNTIFS($S$6:S695,S695,$G$6:G695,G695,$D$6:D695,"Vastgesteld")=1),1,0))</f>
        <v>1</v>
      </c>
      <c r="V695" s="15">
        <f>IF(T695="",0,IF(AND(G695=T695,COUNTIFS($S$6:S695,S695,$G$6:G695,G695,$D$6:D695,"Vastgesteld")&gt;1),1,0))</f>
        <v>0</v>
      </c>
    </row>
    <row r="696">
      <c r="A696" s="92" t="inlineStr">
        <is>
          <t>HIST-2026-Q3</t>
        </is>
      </c>
      <c r="B696" s="92" t="inlineStr">
        <is>
          <t>RDFO_FICTIEVE_historie_en_mapping.xlsx</t>
        </is>
      </c>
      <c r="C696" s="108" t="n">
        <v>46324</v>
      </c>
      <c r="D696" s="92" t="inlineStr">
        <is>
          <t>Vastgesteld</t>
        </is>
      </c>
      <c r="E696" s="92" t="n">
        <v>2026</v>
      </c>
      <c r="F696" s="92" t="inlineStr">
        <is>
          <t>Q3</t>
        </is>
      </c>
      <c r="G696" s="92" t="n">
        <v>0</v>
      </c>
      <c r="H696" s="108" t="n">
        <v>46295</v>
      </c>
      <c r="I696" s="92" t="n">
        <v>2026</v>
      </c>
      <c r="J696" s="92" t="inlineStr">
        <is>
          <t>G.900016.8.9090</t>
        </is>
      </c>
      <c r="K696" s="92" t="inlineStr">
        <is>
          <t>G.900016</t>
        </is>
      </c>
      <c r="L696" s="92" t="inlineStr">
        <is>
          <t>Duinwaard, De Lantaarn</t>
        </is>
      </c>
      <c r="M696" s="92" t="inlineStr">
        <is>
          <t>Opstal</t>
        </is>
      </c>
      <c r="N696" s="92" t="inlineStr">
        <is>
          <t>J</t>
        </is>
      </c>
      <c r="O696" s="92" t="inlineStr">
        <is>
          <t>Omzet FY</t>
        </is>
      </c>
      <c r="P696" s="109" t="n">
        <v>4864000</v>
      </c>
      <c r="Q696" s="92" t="inlineStr">
        <is>
          <t>EUR</t>
        </is>
      </c>
      <c r="R696" s="92" t="inlineStr">
        <is>
          <t>Synthetische vastgelegde invoer; geen echte historie</t>
        </is>
      </c>
      <c r="S696" s="15" t="str">
        <f>IF(J696="","",J696&amp;"|"&amp;E696&amp;"|"&amp;F696&amp;"|"&amp;I696&amp;"|"&amp;O696)</f>
        <v>G.900016.8.9090|2026|Q3|2026|Omzet FY</v>
      </c>
      <c r="T696" s="15">
        <f>IF(OR(S696="",D696&lt;&gt;"Vastgesteld"),"",_xlfn.MAXIFS($G$6:$G$5005,$S$6:$S$5005,S696,$D$6:$D$5005,"Vastgesteld"))</f>
        <v>0</v>
      </c>
      <c r="U696" s="15">
        <f>IF(T696="",0,IF(AND(G696=T696,COUNTIFS($S$6:S696,S696,$G$6:G696,G696,$D$6:D696,"Vastgesteld")=1),1,0))</f>
        <v>1</v>
      </c>
      <c r="V696" s="15">
        <f>IF(T696="",0,IF(AND(G696=T696,COUNTIFS($S$6:S696,S696,$G$6:G696,G696,$D$6:D696,"Vastgesteld")&gt;1),1,0))</f>
        <v>0</v>
      </c>
    </row>
    <row r="697">
      <c r="A697" s="92" t="inlineStr">
        <is>
          <t>HIST-2026-Q3</t>
        </is>
      </c>
      <c r="B697" s="92" t="inlineStr">
        <is>
          <t>RDFO_FICTIEVE_historie_en_mapping.xlsx</t>
        </is>
      </c>
      <c r="C697" s="108" t="n">
        <v>46324</v>
      </c>
      <c r="D697" s="92" t="inlineStr">
        <is>
          <t>Vastgesteld</t>
        </is>
      </c>
      <c r="E697" s="92" t="n">
        <v>2026</v>
      </c>
      <c r="F697" s="92" t="inlineStr">
        <is>
          <t>Q3</t>
        </is>
      </c>
      <c r="G697" s="92" t="n">
        <v>0</v>
      </c>
      <c r="H697" s="108" t="n">
        <v>46295</v>
      </c>
      <c r="I697" s="92" t="n">
        <v>2026</v>
      </c>
      <c r="J697" s="92" t="inlineStr">
        <is>
          <t>G.900016.8.9090</t>
        </is>
      </c>
      <c r="K697" s="92" t="inlineStr">
        <is>
          <t>G.900016</t>
        </is>
      </c>
      <c r="L697" s="92" t="inlineStr">
        <is>
          <t>Duinwaard, De Lantaarn</t>
        </is>
      </c>
      <c r="M697" s="92" t="inlineStr">
        <is>
          <t>Opstal</t>
        </is>
      </c>
      <c r="N697" s="92" t="inlineStr">
        <is>
          <t>J</t>
        </is>
      </c>
      <c r="O697" s="92" t="inlineStr">
        <is>
          <t>BOR FY</t>
        </is>
      </c>
      <c r="P697" s="109" t="n">
        <v>680960</v>
      </c>
      <c r="Q697" s="92" t="inlineStr">
        <is>
          <t>EUR</t>
        </is>
      </c>
      <c r="R697" s="92" t="inlineStr">
        <is>
          <t>Synthetische vastgelegde invoer; geen echte historie</t>
        </is>
      </c>
      <c r="S697" s="15" t="str">
        <f>IF(J697="","",J697&amp;"|"&amp;E697&amp;"|"&amp;F697&amp;"|"&amp;I697&amp;"|"&amp;O697)</f>
        <v>G.900016.8.9090|2026|Q3|2026|BOR FY</v>
      </c>
      <c r="T697" s="15">
        <f>IF(OR(S697="",D697&lt;&gt;"Vastgesteld"),"",_xlfn.MAXIFS($G$6:$G$5005,$S$6:$S$5005,S697,$D$6:$D$5005,"Vastgesteld"))</f>
        <v>0</v>
      </c>
      <c r="U697" s="15">
        <f>IF(T697="",0,IF(AND(G697=T697,COUNTIFS($S$6:S697,S697,$G$6:G697,G697,$D$6:D697,"Vastgesteld")=1),1,0))</f>
        <v>1</v>
      </c>
      <c r="V697" s="15">
        <f>IF(T697="",0,IF(AND(G697=T697,COUNTIFS($S$6:S697,S697,$G$6:G697,G697,$D$6:D697,"Vastgesteld")&gt;1),1,0))</f>
        <v>0</v>
      </c>
    </row>
    <row r="698">
      <c r="A698" s="92" t="inlineStr">
        <is>
          <t>HIST-2026-Q3</t>
        </is>
      </c>
      <c r="B698" s="92" t="inlineStr">
        <is>
          <t>RDFO_FICTIEVE_historie_en_mapping.xlsx</t>
        </is>
      </c>
      <c r="C698" s="108" t="n">
        <v>46324</v>
      </c>
      <c r="D698" s="92" t="inlineStr">
        <is>
          <t>Vastgesteld</t>
        </is>
      </c>
      <c r="E698" s="92" t="n">
        <v>2026</v>
      </c>
      <c r="F698" s="92" t="inlineStr">
        <is>
          <t>Q3</t>
        </is>
      </c>
      <c r="G698" s="92" t="n">
        <v>0</v>
      </c>
      <c r="H698" s="108" t="n">
        <v>46295</v>
      </c>
      <c r="I698" s="92" t="n">
        <v>2026</v>
      </c>
      <c r="J698" s="92" t="inlineStr">
        <is>
          <t>G.900016.8.9090</t>
        </is>
      </c>
      <c r="K698" s="92" t="inlineStr">
        <is>
          <t>G.900016</t>
        </is>
      </c>
      <c r="L698" s="92" t="inlineStr">
        <is>
          <t>Duinwaard, De Lantaarn</t>
        </is>
      </c>
      <c r="M698" s="92" t="inlineStr">
        <is>
          <t>Opstal</t>
        </is>
      </c>
      <c r="N698" s="92" t="inlineStr">
        <is>
          <t>J</t>
        </is>
      </c>
      <c r="O698" s="92" t="inlineStr">
        <is>
          <t>Omzet actual YTD</t>
        </is>
      </c>
      <c r="P698" s="109" t="n">
        <v>3161600</v>
      </c>
      <c r="Q698" s="92" t="inlineStr">
        <is>
          <t>EUR</t>
        </is>
      </c>
      <c r="R698" s="92" t="inlineStr">
        <is>
          <t>Synthetische vastgelegde invoer; geen echte historie</t>
        </is>
      </c>
      <c r="S698" s="15" t="str">
        <f>IF(J698="","",J698&amp;"|"&amp;E698&amp;"|"&amp;F698&amp;"|"&amp;I698&amp;"|"&amp;O698)</f>
        <v>G.900016.8.9090|2026|Q3|2026|Omzet actual YTD</v>
      </c>
      <c r="T698" s="15">
        <f>IF(OR(S698="",D698&lt;&gt;"Vastgesteld"),"",_xlfn.MAXIFS($G$6:$G$5005,$S$6:$S$5005,S698,$D$6:$D$5005,"Vastgesteld"))</f>
        <v>0</v>
      </c>
      <c r="U698" s="15">
        <f>IF(T698="",0,IF(AND(G698=T698,COUNTIFS($S$6:S698,S698,$G$6:G698,G698,$D$6:D698,"Vastgesteld")=1),1,0))</f>
        <v>1</v>
      </c>
      <c r="V698" s="15">
        <f>IF(T698="",0,IF(AND(G698=T698,COUNTIFS($S$6:S698,S698,$G$6:G698,G698,$D$6:D698,"Vastgesteld")&gt;1),1,0))</f>
        <v>0</v>
      </c>
    </row>
    <row r="699">
      <c r="A699" s="92" t="inlineStr">
        <is>
          <t>HIST-2026-Q3</t>
        </is>
      </c>
      <c r="B699" s="92" t="inlineStr">
        <is>
          <t>RDFO_FICTIEVE_historie_en_mapping.xlsx</t>
        </is>
      </c>
      <c r="C699" s="108" t="n">
        <v>46324</v>
      </c>
      <c r="D699" s="92" t="inlineStr">
        <is>
          <t>Vastgesteld</t>
        </is>
      </c>
      <c r="E699" s="92" t="n">
        <v>2026</v>
      </c>
      <c r="F699" s="92" t="inlineStr">
        <is>
          <t>Q3</t>
        </is>
      </c>
      <c r="G699" s="92" t="n">
        <v>0</v>
      </c>
      <c r="H699" s="108" t="n">
        <v>46295</v>
      </c>
      <c r="I699" s="92" t="n">
        <v>2026</v>
      </c>
      <c r="J699" s="92" t="inlineStr">
        <is>
          <t>G.900016.8.9090</t>
        </is>
      </c>
      <c r="K699" s="92" t="inlineStr">
        <is>
          <t>G.900016</t>
        </is>
      </c>
      <c r="L699" s="92" t="inlineStr">
        <is>
          <t>Duinwaard, De Lantaarn</t>
        </is>
      </c>
      <c r="M699" s="92" t="inlineStr">
        <is>
          <t>Opstal</t>
        </is>
      </c>
      <c r="N699" s="92" t="inlineStr">
        <is>
          <t>J</t>
        </is>
      </c>
      <c r="O699" s="92" t="inlineStr">
        <is>
          <t>BOR actual YTD</t>
        </is>
      </c>
      <c r="P699" s="109" t="n">
        <v>442624</v>
      </c>
      <c r="Q699" s="92" t="inlineStr">
        <is>
          <t>EUR</t>
        </is>
      </c>
      <c r="R699" s="92" t="inlineStr">
        <is>
          <t>Synthetische vastgelegde invoer; geen echte historie</t>
        </is>
      </c>
      <c r="S699" s="15" t="str">
        <f>IF(J699="","",J699&amp;"|"&amp;E699&amp;"|"&amp;F699&amp;"|"&amp;I699&amp;"|"&amp;O699)</f>
        <v>G.900016.8.9090|2026|Q3|2026|BOR actual YTD</v>
      </c>
      <c r="T699" s="15">
        <f>IF(OR(S699="",D699&lt;&gt;"Vastgesteld"),"",_xlfn.MAXIFS($G$6:$G$5005,$S$6:$S$5005,S699,$D$6:$D$5005,"Vastgesteld"))</f>
        <v>0</v>
      </c>
      <c r="U699" s="15">
        <f>IF(T699="",0,IF(AND(G699=T699,COUNTIFS($S$6:S699,S699,$G$6:G699,G699,$D$6:D699,"Vastgesteld")=1),1,0))</f>
        <v>1</v>
      </c>
      <c r="V699" s="15">
        <f>IF(T699="",0,IF(AND(G699=T699,COUNTIFS($S$6:S699,S699,$G$6:G699,G699,$D$6:D699,"Vastgesteld")&gt;1),1,0))</f>
        <v>0</v>
      </c>
    </row>
    <row r="700">
      <c r="A700" s="92" t="inlineStr">
        <is>
          <t>HIST-2026-Q3</t>
        </is>
      </c>
      <c r="B700" s="92" t="inlineStr">
        <is>
          <t>RDFO_FICTIEVE_historie_en_mapping.xlsx</t>
        </is>
      </c>
      <c r="C700" s="108" t="n">
        <v>46324</v>
      </c>
      <c r="D700" s="92" t="inlineStr">
        <is>
          <t>Vastgesteld</t>
        </is>
      </c>
      <c r="E700" s="92" t="n">
        <v>2026</v>
      </c>
      <c r="F700" s="92" t="inlineStr">
        <is>
          <t>Q3</t>
        </is>
      </c>
      <c r="G700" s="92" t="n">
        <v>0</v>
      </c>
      <c r="H700" s="108" t="n">
        <v>46295</v>
      </c>
      <c r="I700" s="92" t="n">
        <v>2027</v>
      </c>
      <c r="J700" s="92" t="inlineStr">
        <is>
          <t>G.900016.8.9090</t>
        </is>
      </c>
      <c r="K700" s="92" t="inlineStr">
        <is>
          <t>G.900016</t>
        </is>
      </c>
      <c r="L700" s="92" t="inlineStr">
        <is>
          <t>Duinwaard, De Lantaarn</t>
        </is>
      </c>
      <c r="M700" s="92" t="inlineStr">
        <is>
          <t>Opstal</t>
        </is>
      </c>
      <c r="N700" s="92" t="inlineStr">
        <is>
          <t>J</t>
        </is>
      </c>
      <c r="O700" s="92" t="inlineStr">
        <is>
          <t>Omzet FY</t>
        </is>
      </c>
      <c r="P700" s="109" t="n">
        <v>5158400</v>
      </c>
      <c r="Q700" s="92" t="inlineStr">
        <is>
          <t>EUR</t>
        </is>
      </c>
      <c r="R700" s="92" t="inlineStr">
        <is>
          <t>Synthetische vastgelegde invoer; geen echte historie</t>
        </is>
      </c>
      <c r="S700" s="15" t="str">
        <f>IF(J700="","",J700&amp;"|"&amp;E700&amp;"|"&amp;F700&amp;"|"&amp;I700&amp;"|"&amp;O700)</f>
        <v>G.900016.8.9090|2026|Q3|2027|Omzet FY</v>
      </c>
      <c r="T700" s="15">
        <f>IF(OR(S700="",D700&lt;&gt;"Vastgesteld"),"",_xlfn.MAXIFS($G$6:$G$5005,$S$6:$S$5005,S700,$D$6:$D$5005,"Vastgesteld"))</f>
        <v>0</v>
      </c>
      <c r="U700" s="15">
        <f>IF(T700="",0,IF(AND(G700=T700,COUNTIFS($S$6:S700,S700,$G$6:G700,G700,$D$6:D700,"Vastgesteld")=1),1,0))</f>
        <v>1</v>
      </c>
      <c r="V700" s="15">
        <f>IF(T700="",0,IF(AND(G700=T700,COUNTIFS($S$6:S700,S700,$G$6:G700,G700,$D$6:D700,"Vastgesteld")&gt;1),1,0))</f>
        <v>0</v>
      </c>
    </row>
    <row r="701">
      <c r="A701" s="92" t="inlineStr">
        <is>
          <t>HIST-2026-Q3</t>
        </is>
      </c>
      <c r="B701" s="92" t="inlineStr">
        <is>
          <t>RDFO_FICTIEVE_historie_en_mapping.xlsx</t>
        </is>
      </c>
      <c r="C701" s="108" t="n">
        <v>46324</v>
      </c>
      <c r="D701" s="92" t="inlineStr">
        <is>
          <t>Vastgesteld</t>
        </is>
      </c>
      <c r="E701" s="92" t="n">
        <v>2026</v>
      </c>
      <c r="F701" s="92" t="inlineStr">
        <is>
          <t>Q3</t>
        </is>
      </c>
      <c r="G701" s="92" t="n">
        <v>0</v>
      </c>
      <c r="H701" s="108" t="n">
        <v>46295</v>
      </c>
      <c r="I701" s="92" t="n">
        <v>2027</v>
      </c>
      <c r="J701" s="92" t="inlineStr">
        <is>
          <t>G.900016.8.9090</t>
        </is>
      </c>
      <c r="K701" s="92" t="inlineStr">
        <is>
          <t>G.900016</t>
        </is>
      </c>
      <c r="L701" s="92" t="inlineStr">
        <is>
          <t>Duinwaard, De Lantaarn</t>
        </is>
      </c>
      <c r="M701" s="92" t="inlineStr">
        <is>
          <t>Opstal</t>
        </is>
      </c>
      <c r="N701" s="92" t="inlineStr">
        <is>
          <t>J</t>
        </is>
      </c>
      <c r="O701" s="92" t="inlineStr">
        <is>
          <t>BOR FY</t>
        </is>
      </c>
      <c r="P701" s="109" t="n">
        <v>722176</v>
      </c>
      <c r="Q701" s="92" t="inlineStr">
        <is>
          <t>EUR</t>
        </is>
      </c>
      <c r="R701" s="92" t="inlineStr">
        <is>
          <t>Synthetische vastgelegde invoer; geen echte historie</t>
        </is>
      </c>
      <c r="S701" s="15" t="str">
        <f>IF(J701="","",J701&amp;"|"&amp;E701&amp;"|"&amp;F701&amp;"|"&amp;I701&amp;"|"&amp;O701)</f>
        <v>G.900016.8.9090|2026|Q3|2027|BOR FY</v>
      </c>
      <c r="T701" s="15">
        <f>IF(OR(S701="",D701&lt;&gt;"Vastgesteld"),"",_xlfn.MAXIFS($G$6:$G$5005,$S$6:$S$5005,S701,$D$6:$D$5005,"Vastgesteld"))</f>
        <v>0</v>
      </c>
      <c r="U701" s="15">
        <f>IF(T701="",0,IF(AND(G701=T701,COUNTIFS($S$6:S701,S701,$G$6:G701,G701,$D$6:D701,"Vastgesteld")=1),1,0))</f>
        <v>1</v>
      </c>
      <c r="V701" s="15">
        <f>IF(T701="",0,IF(AND(G701=T701,COUNTIFS($S$6:S701,S701,$G$6:G701,G701,$D$6:D701,"Vastgesteld")&gt;1),1,0))</f>
        <v>0</v>
      </c>
    </row>
    <row r="702">
      <c r="A702" s="92" t="inlineStr">
        <is>
          <t>HIST-2026-Q3</t>
        </is>
      </c>
      <c r="B702" s="92" t="inlineStr">
        <is>
          <t>RDFO_FICTIEVE_historie_en_mapping.xlsx</t>
        </is>
      </c>
      <c r="C702" s="108" t="n">
        <v>46324</v>
      </c>
      <c r="D702" s="92" t="inlineStr">
        <is>
          <t>Vastgesteld</t>
        </is>
      </c>
      <c r="E702" s="92" t="n">
        <v>2026</v>
      </c>
      <c r="F702" s="92" t="inlineStr">
        <is>
          <t>Q3</t>
        </is>
      </c>
      <c r="G702" s="92" t="n">
        <v>0</v>
      </c>
      <c r="H702" s="108" t="n">
        <v>46295</v>
      </c>
      <c r="I702" s="92" t="n">
        <v>2026</v>
      </c>
      <c r="J702" s="92" t="inlineStr">
        <is>
          <t>G.900017.8.9090</t>
        </is>
      </c>
      <c r="K702" s="92" t="inlineStr">
        <is>
          <t>G.900017</t>
        </is>
      </c>
      <c r="L702" s="92" t="inlineStr">
        <is>
          <t>Veldendam, Spoorpark</t>
        </is>
      </c>
      <c r="M702" s="92" t="inlineStr">
        <is>
          <t>Opstal</t>
        </is>
      </c>
      <c r="N702" s="92" t="inlineStr">
        <is>
          <t>J</t>
        </is>
      </c>
      <c r="O702" s="92" t="inlineStr">
        <is>
          <t>Omzet FY</t>
        </is>
      </c>
      <c r="P702" s="109" t="n">
        <v>11760000</v>
      </c>
      <c r="Q702" s="92" t="inlineStr">
        <is>
          <t>EUR</t>
        </is>
      </c>
      <c r="R702" s="92" t="inlineStr">
        <is>
          <t>Synthetische vastgelegde invoer; geen echte historie</t>
        </is>
      </c>
      <c r="S702" s="15" t="str">
        <f>IF(J702="","",J702&amp;"|"&amp;E702&amp;"|"&amp;F702&amp;"|"&amp;I702&amp;"|"&amp;O702)</f>
        <v>G.900017.8.9090|2026|Q3|2026|Omzet FY</v>
      </c>
      <c r="T702" s="15">
        <f>IF(OR(S702="",D702&lt;&gt;"Vastgesteld"),"",_xlfn.MAXIFS($G$6:$G$5005,$S$6:$S$5005,S702,$D$6:$D$5005,"Vastgesteld"))</f>
        <v>0</v>
      </c>
      <c r="U702" s="15">
        <f>IF(T702="",0,IF(AND(G702=T702,COUNTIFS($S$6:S702,S702,$G$6:G702,G702,$D$6:D702,"Vastgesteld")=1),1,0))</f>
        <v>1</v>
      </c>
      <c r="V702" s="15">
        <f>IF(T702="",0,IF(AND(G702=T702,COUNTIFS($S$6:S702,S702,$G$6:G702,G702,$D$6:D702,"Vastgesteld")&gt;1),1,0))</f>
        <v>0</v>
      </c>
    </row>
    <row r="703">
      <c r="A703" s="92" t="inlineStr">
        <is>
          <t>HIST-2026-Q3</t>
        </is>
      </c>
      <c r="B703" s="92" t="inlineStr">
        <is>
          <t>RDFO_FICTIEVE_historie_en_mapping.xlsx</t>
        </is>
      </c>
      <c r="C703" s="108" t="n">
        <v>46324</v>
      </c>
      <c r="D703" s="92" t="inlineStr">
        <is>
          <t>Vastgesteld</t>
        </is>
      </c>
      <c r="E703" s="92" t="n">
        <v>2026</v>
      </c>
      <c r="F703" s="92" t="inlineStr">
        <is>
          <t>Q3</t>
        </is>
      </c>
      <c r="G703" s="92" t="n">
        <v>0</v>
      </c>
      <c r="H703" s="108" t="n">
        <v>46295</v>
      </c>
      <c r="I703" s="92" t="n">
        <v>2026</v>
      </c>
      <c r="J703" s="92" t="inlineStr">
        <is>
          <t>G.900017.8.9090</t>
        </is>
      </c>
      <c r="K703" s="92" t="inlineStr">
        <is>
          <t>G.900017</t>
        </is>
      </c>
      <c r="L703" s="92" t="inlineStr">
        <is>
          <t>Veldendam, Spoorpark</t>
        </is>
      </c>
      <c r="M703" s="92" t="inlineStr">
        <is>
          <t>Opstal</t>
        </is>
      </c>
      <c r="N703" s="92" t="inlineStr">
        <is>
          <t>J</t>
        </is>
      </c>
      <c r="O703" s="92" t="inlineStr">
        <is>
          <t>BOR FY</t>
        </is>
      </c>
      <c r="P703" s="109" t="n">
        <v>1176000</v>
      </c>
      <c r="Q703" s="92" t="inlineStr">
        <is>
          <t>EUR</t>
        </is>
      </c>
      <c r="R703" s="92" t="inlineStr">
        <is>
          <t>Synthetische vastgelegde invoer; geen echte historie</t>
        </is>
      </c>
      <c r="S703" s="15" t="str">
        <f>IF(J703="","",J703&amp;"|"&amp;E703&amp;"|"&amp;F703&amp;"|"&amp;I703&amp;"|"&amp;O703)</f>
        <v>G.900017.8.9090|2026|Q3|2026|BOR FY</v>
      </c>
      <c r="T703" s="15">
        <f>IF(OR(S703="",D703&lt;&gt;"Vastgesteld"),"",_xlfn.MAXIFS($G$6:$G$5005,$S$6:$S$5005,S703,$D$6:$D$5005,"Vastgesteld"))</f>
        <v>0</v>
      </c>
      <c r="U703" s="15">
        <f>IF(T703="",0,IF(AND(G703=T703,COUNTIFS($S$6:S703,S703,$G$6:G703,G703,$D$6:D703,"Vastgesteld")=1),1,0))</f>
        <v>1</v>
      </c>
      <c r="V703" s="15">
        <f>IF(T703="",0,IF(AND(G703=T703,COUNTIFS($S$6:S703,S703,$G$6:G703,G703,$D$6:D703,"Vastgesteld")&gt;1),1,0))</f>
        <v>0</v>
      </c>
    </row>
    <row r="704">
      <c r="A704" s="92" t="inlineStr">
        <is>
          <t>HIST-2026-Q3</t>
        </is>
      </c>
      <c r="B704" s="92" t="inlineStr">
        <is>
          <t>RDFO_FICTIEVE_historie_en_mapping.xlsx</t>
        </is>
      </c>
      <c r="C704" s="108" t="n">
        <v>46324</v>
      </c>
      <c r="D704" s="92" t="inlineStr">
        <is>
          <t>Vastgesteld</t>
        </is>
      </c>
      <c r="E704" s="92" t="n">
        <v>2026</v>
      </c>
      <c r="F704" s="92" t="inlineStr">
        <is>
          <t>Q3</t>
        </is>
      </c>
      <c r="G704" s="92" t="n">
        <v>0</v>
      </c>
      <c r="H704" s="108" t="n">
        <v>46295</v>
      </c>
      <c r="I704" s="92" t="n">
        <v>2026</v>
      </c>
      <c r="J704" s="92" t="inlineStr">
        <is>
          <t>G.900017.8.9090</t>
        </is>
      </c>
      <c r="K704" s="92" t="inlineStr">
        <is>
          <t>G.900017</t>
        </is>
      </c>
      <c r="L704" s="92" t="inlineStr">
        <is>
          <t>Veldendam, Spoorpark</t>
        </is>
      </c>
      <c r="M704" s="92" t="inlineStr">
        <is>
          <t>Opstal</t>
        </is>
      </c>
      <c r="N704" s="92" t="inlineStr">
        <is>
          <t>J</t>
        </is>
      </c>
      <c r="O704" s="92" t="inlineStr">
        <is>
          <t>Omzet actual YTD</t>
        </is>
      </c>
      <c r="P704" s="109" t="n">
        <v>7644000</v>
      </c>
      <c r="Q704" s="92" t="inlineStr">
        <is>
          <t>EUR</t>
        </is>
      </c>
      <c r="R704" s="92" t="inlineStr">
        <is>
          <t>Synthetische vastgelegde invoer; geen echte historie</t>
        </is>
      </c>
      <c r="S704" s="15" t="str">
        <f>IF(J704="","",J704&amp;"|"&amp;E704&amp;"|"&amp;F704&amp;"|"&amp;I704&amp;"|"&amp;O704)</f>
        <v>G.900017.8.9090|2026|Q3|2026|Omzet actual YTD</v>
      </c>
      <c r="T704" s="15">
        <f>IF(OR(S704="",D704&lt;&gt;"Vastgesteld"),"",_xlfn.MAXIFS($G$6:$G$5005,$S$6:$S$5005,S704,$D$6:$D$5005,"Vastgesteld"))</f>
        <v>0</v>
      </c>
      <c r="U704" s="15">
        <f>IF(T704="",0,IF(AND(G704=T704,COUNTIFS($S$6:S704,S704,$G$6:G704,G704,$D$6:D704,"Vastgesteld")=1),1,0))</f>
        <v>1</v>
      </c>
      <c r="V704" s="15">
        <f>IF(T704="",0,IF(AND(G704=T704,COUNTIFS($S$6:S704,S704,$G$6:G704,G704,$D$6:D704,"Vastgesteld")&gt;1),1,0))</f>
        <v>0</v>
      </c>
    </row>
    <row r="705">
      <c r="A705" s="92" t="inlineStr">
        <is>
          <t>HIST-2026-Q3</t>
        </is>
      </c>
      <c r="B705" s="92" t="inlineStr">
        <is>
          <t>RDFO_FICTIEVE_historie_en_mapping.xlsx</t>
        </is>
      </c>
      <c r="C705" s="108" t="n">
        <v>46324</v>
      </c>
      <c r="D705" s="92" t="inlineStr">
        <is>
          <t>Vastgesteld</t>
        </is>
      </c>
      <c r="E705" s="92" t="n">
        <v>2026</v>
      </c>
      <c r="F705" s="92" t="inlineStr">
        <is>
          <t>Q3</t>
        </is>
      </c>
      <c r="G705" s="92" t="n">
        <v>0</v>
      </c>
      <c r="H705" s="108" t="n">
        <v>46295</v>
      </c>
      <c r="I705" s="92" t="n">
        <v>2026</v>
      </c>
      <c r="J705" s="92" t="inlineStr">
        <is>
          <t>G.900017.8.9090</t>
        </is>
      </c>
      <c r="K705" s="92" t="inlineStr">
        <is>
          <t>G.900017</t>
        </is>
      </c>
      <c r="L705" s="92" t="inlineStr">
        <is>
          <t>Veldendam, Spoorpark</t>
        </is>
      </c>
      <c r="M705" s="92" t="inlineStr">
        <is>
          <t>Opstal</t>
        </is>
      </c>
      <c r="N705" s="92" t="inlineStr">
        <is>
          <t>J</t>
        </is>
      </c>
      <c r="O705" s="92" t="inlineStr">
        <is>
          <t>BOR actual YTD</t>
        </is>
      </c>
      <c r="P705" s="109" t="n">
        <v>764400</v>
      </c>
      <c r="Q705" s="92" t="inlineStr">
        <is>
          <t>EUR</t>
        </is>
      </c>
      <c r="R705" s="92" t="inlineStr">
        <is>
          <t>Synthetische vastgelegde invoer; geen echte historie</t>
        </is>
      </c>
      <c r="S705" s="15" t="str">
        <f>IF(J705="","",J705&amp;"|"&amp;E705&amp;"|"&amp;F705&amp;"|"&amp;I705&amp;"|"&amp;O705)</f>
        <v>G.900017.8.9090|2026|Q3|2026|BOR actual YTD</v>
      </c>
      <c r="T705" s="15">
        <f>IF(OR(S705="",D705&lt;&gt;"Vastgesteld"),"",_xlfn.MAXIFS($G$6:$G$5005,$S$6:$S$5005,S705,$D$6:$D$5005,"Vastgesteld"))</f>
        <v>0</v>
      </c>
      <c r="U705" s="15">
        <f>IF(T705="",0,IF(AND(G705=T705,COUNTIFS($S$6:S705,S705,$G$6:G705,G705,$D$6:D705,"Vastgesteld")=1),1,0))</f>
        <v>1</v>
      </c>
      <c r="V705" s="15">
        <f>IF(T705="",0,IF(AND(G705=T705,COUNTIFS($S$6:S705,S705,$G$6:G705,G705,$D$6:D705,"Vastgesteld")&gt;1),1,0))</f>
        <v>0</v>
      </c>
    </row>
    <row r="706">
      <c r="A706" s="92" t="inlineStr">
        <is>
          <t>HIST-2026-Q3</t>
        </is>
      </c>
      <c r="B706" s="92" t="inlineStr">
        <is>
          <t>RDFO_FICTIEVE_historie_en_mapping.xlsx</t>
        </is>
      </c>
      <c r="C706" s="108" t="n">
        <v>46324</v>
      </c>
      <c r="D706" s="92" t="inlineStr">
        <is>
          <t>Vastgesteld</t>
        </is>
      </c>
      <c r="E706" s="92" t="n">
        <v>2026</v>
      </c>
      <c r="F706" s="92" t="inlineStr">
        <is>
          <t>Q3</t>
        </is>
      </c>
      <c r="G706" s="92" t="n">
        <v>0</v>
      </c>
      <c r="H706" s="108" t="n">
        <v>46295</v>
      </c>
      <c r="I706" s="92" t="n">
        <v>2027</v>
      </c>
      <c r="J706" s="92" t="inlineStr">
        <is>
          <t>G.900017.8.9090</t>
        </is>
      </c>
      <c r="K706" s="92" t="inlineStr">
        <is>
          <t>G.900017</t>
        </is>
      </c>
      <c r="L706" s="92" t="inlineStr">
        <is>
          <t>Veldendam, Spoorpark</t>
        </is>
      </c>
      <c r="M706" s="92" t="inlineStr">
        <is>
          <t>Opstal</t>
        </is>
      </c>
      <c r="N706" s="92" t="inlineStr">
        <is>
          <t>J</t>
        </is>
      </c>
      <c r="O706" s="92" t="inlineStr">
        <is>
          <t>Omzet FY</t>
        </is>
      </c>
      <c r="P706" s="109" t="n">
        <v>22932000</v>
      </c>
      <c r="Q706" s="92" t="inlineStr">
        <is>
          <t>EUR</t>
        </is>
      </c>
      <c r="R706" s="92" t="inlineStr">
        <is>
          <t>Synthetische vastgelegde invoer; geen echte historie</t>
        </is>
      </c>
      <c r="S706" s="15" t="str">
        <f>IF(J706="","",J706&amp;"|"&amp;E706&amp;"|"&amp;F706&amp;"|"&amp;I706&amp;"|"&amp;O706)</f>
        <v>G.900017.8.9090|2026|Q3|2027|Omzet FY</v>
      </c>
      <c r="T706" s="15">
        <f>IF(OR(S706="",D706&lt;&gt;"Vastgesteld"),"",_xlfn.MAXIFS($G$6:$G$5005,$S$6:$S$5005,S706,$D$6:$D$5005,"Vastgesteld"))</f>
        <v>0</v>
      </c>
      <c r="U706" s="15">
        <f>IF(T706="",0,IF(AND(G706=T706,COUNTIFS($S$6:S706,S706,$G$6:G706,G706,$D$6:D706,"Vastgesteld")=1),1,0))</f>
        <v>1</v>
      </c>
      <c r="V706" s="15">
        <f>IF(T706="",0,IF(AND(G706=T706,COUNTIFS($S$6:S706,S706,$G$6:G706,G706,$D$6:D706,"Vastgesteld")&gt;1),1,0))</f>
        <v>0</v>
      </c>
    </row>
    <row r="707">
      <c r="A707" s="92" t="inlineStr">
        <is>
          <t>HIST-2026-Q3</t>
        </is>
      </c>
      <c r="B707" s="92" t="inlineStr">
        <is>
          <t>RDFO_FICTIEVE_historie_en_mapping.xlsx</t>
        </is>
      </c>
      <c r="C707" s="108" t="n">
        <v>46324</v>
      </c>
      <c r="D707" s="92" t="inlineStr">
        <is>
          <t>Vastgesteld</t>
        </is>
      </c>
      <c r="E707" s="92" t="n">
        <v>2026</v>
      </c>
      <c r="F707" s="92" t="inlineStr">
        <is>
          <t>Q3</t>
        </is>
      </c>
      <c r="G707" s="92" t="n">
        <v>0</v>
      </c>
      <c r="H707" s="108" t="n">
        <v>46295</v>
      </c>
      <c r="I707" s="92" t="n">
        <v>2027</v>
      </c>
      <c r="J707" s="92" t="inlineStr">
        <is>
          <t>G.900017.8.9090</t>
        </is>
      </c>
      <c r="K707" s="92" t="inlineStr">
        <is>
          <t>G.900017</t>
        </is>
      </c>
      <c r="L707" s="92" t="inlineStr">
        <is>
          <t>Veldendam, Spoorpark</t>
        </is>
      </c>
      <c r="M707" s="92" t="inlineStr">
        <is>
          <t>Opstal</t>
        </is>
      </c>
      <c r="N707" s="92" t="inlineStr">
        <is>
          <t>J</t>
        </is>
      </c>
      <c r="O707" s="92" t="inlineStr">
        <is>
          <t>BOR FY</t>
        </is>
      </c>
      <c r="P707" s="109" t="n">
        <v>2293200</v>
      </c>
      <c r="Q707" s="92" t="inlineStr">
        <is>
          <t>EUR</t>
        </is>
      </c>
      <c r="R707" s="92" t="inlineStr">
        <is>
          <t>Synthetische vastgelegde invoer; geen echte historie</t>
        </is>
      </c>
      <c r="S707" s="15" t="str">
        <f>IF(J707="","",J707&amp;"|"&amp;E707&amp;"|"&amp;F707&amp;"|"&amp;I707&amp;"|"&amp;O707)</f>
        <v>G.900017.8.9090|2026|Q3|2027|BOR FY</v>
      </c>
      <c r="T707" s="15">
        <f>IF(OR(S707="",D707&lt;&gt;"Vastgesteld"),"",_xlfn.MAXIFS($G$6:$G$5005,$S$6:$S$5005,S707,$D$6:$D$5005,"Vastgesteld"))</f>
        <v>0</v>
      </c>
      <c r="U707" s="15">
        <f>IF(T707="",0,IF(AND(G707=T707,COUNTIFS($S$6:S707,S707,$G$6:G707,G707,$D$6:D707,"Vastgesteld")=1),1,0))</f>
        <v>1</v>
      </c>
      <c r="V707" s="15">
        <f>IF(T707="",0,IF(AND(G707=T707,COUNTIFS($S$6:S707,S707,$G$6:G707,G707,$D$6:D707,"Vastgesteld")&gt;1),1,0))</f>
        <v>0</v>
      </c>
    </row>
    <row r="708">
      <c r="A708" s="92" t="inlineStr">
        <is>
          <t>HIST-2026-Q3</t>
        </is>
      </c>
      <c r="B708" s="92" t="inlineStr">
        <is>
          <t>RDFO_FICTIEVE_historie_en_mapping.xlsx</t>
        </is>
      </c>
      <c r="C708" s="108" t="n">
        <v>46324</v>
      </c>
      <c r="D708" s="92" t="inlineStr">
        <is>
          <t>Vastgesteld</t>
        </is>
      </c>
      <c r="E708" s="92" t="n">
        <v>2026</v>
      </c>
      <c r="F708" s="92" t="inlineStr">
        <is>
          <t>Q3</t>
        </is>
      </c>
      <c r="G708" s="92" t="n">
        <v>0</v>
      </c>
      <c r="H708" s="108" t="n">
        <v>46295</v>
      </c>
      <c r="I708" s="92" t="n">
        <v>2026</v>
      </c>
      <c r="J708" s="92" t="inlineStr">
        <is>
          <t>G.900018.8.9090</t>
        </is>
      </c>
      <c r="K708" s="92" t="inlineStr">
        <is>
          <t>G.900018</t>
        </is>
      </c>
      <c r="L708" s="92" t="inlineStr">
        <is>
          <t>Meerhovenstad, De Boog</t>
        </is>
      </c>
      <c r="M708" s="92" t="inlineStr">
        <is>
          <t>Deelneming</t>
        </is>
      </c>
      <c r="N708" s="92" t="inlineStr">
        <is>
          <t>N</t>
        </is>
      </c>
      <c r="O708" s="92" t="inlineStr">
        <is>
          <t>Omzet FY</t>
        </is>
      </c>
      <c r="P708" s="109" t="n">
        <v>1806000</v>
      </c>
      <c r="Q708" s="92" t="inlineStr">
        <is>
          <t>EUR</t>
        </is>
      </c>
      <c r="R708" s="92" t="inlineStr">
        <is>
          <t>Synthetische vastgelegde invoer; geen echte historie</t>
        </is>
      </c>
      <c r="S708" s="15" t="str">
        <f>IF(J708="","",J708&amp;"|"&amp;E708&amp;"|"&amp;F708&amp;"|"&amp;I708&amp;"|"&amp;O708)</f>
        <v>G.900018.8.9090|2026|Q3|2026|Omzet FY</v>
      </c>
      <c r="T708" s="15">
        <f>IF(OR(S708="",D708&lt;&gt;"Vastgesteld"),"",_xlfn.MAXIFS($G$6:$G$5005,$S$6:$S$5005,S708,$D$6:$D$5005,"Vastgesteld"))</f>
        <v>0</v>
      </c>
      <c r="U708" s="15">
        <f>IF(T708="",0,IF(AND(G708=T708,COUNTIFS($S$6:S708,S708,$G$6:G708,G708,$D$6:D708,"Vastgesteld")=1),1,0))</f>
        <v>1</v>
      </c>
      <c r="V708" s="15">
        <f>IF(T708="",0,IF(AND(G708=T708,COUNTIFS($S$6:S708,S708,$G$6:G708,G708,$D$6:D708,"Vastgesteld")&gt;1),1,0))</f>
        <v>0</v>
      </c>
    </row>
    <row r="709">
      <c r="A709" s="92" t="inlineStr">
        <is>
          <t>HIST-2026-Q3</t>
        </is>
      </c>
      <c r="B709" s="92" t="inlineStr">
        <is>
          <t>RDFO_FICTIEVE_historie_en_mapping.xlsx</t>
        </is>
      </c>
      <c r="C709" s="108" t="n">
        <v>46324</v>
      </c>
      <c r="D709" s="92" t="inlineStr">
        <is>
          <t>Vastgesteld</t>
        </is>
      </c>
      <c r="E709" s="92" t="n">
        <v>2026</v>
      </c>
      <c r="F709" s="92" t="inlineStr">
        <is>
          <t>Q3</t>
        </is>
      </c>
      <c r="G709" s="92" t="n">
        <v>0</v>
      </c>
      <c r="H709" s="108" t="n">
        <v>46295</v>
      </c>
      <c r="I709" s="92" t="n">
        <v>2026</v>
      </c>
      <c r="J709" s="92" t="inlineStr">
        <is>
          <t>G.900018.8.9090</t>
        </is>
      </c>
      <c r="K709" s="92" t="inlineStr">
        <is>
          <t>G.900018</t>
        </is>
      </c>
      <c r="L709" s="92" t="inlineStr">
        <is>
          <t>Meerhovenstad, De Boog</t>
        </is>
      </c>
      <c r="M709" s="92" t="inlineStr">
        <is>
          <t>Deelneming</t>
        </is>
      </c>
      <c r="N709" s="92" t="inlineStr">
        <is>
          <t>N</t>
        </is>
      </c>
      <c r="O709" s="92" t="inlineStr">
        <is>
          <t>BOR FY</t>
        </is>
      </c>
      <c r="P709" s="109" t="n">
        <v>-54180</v>
      </c>
      <c r="Q709" s="92" t="inlineStr">
        <is>
          <t>EUR</t>
        </is>
      </c>
      <c r="R709" s="92" t="inlineStr">
        <is>
          <t>Synthetische vastgelegde invoer; geen echte historie</t>
        </is>
      </c>
      <c r="S709" s="15" t="str">
        <f>IF(J709="","",J709&amp;"|"&amp;E709&amp;"|"&amp;F709&amp;"|"&amp;I709&amp;"|"&amp;O709)</f>
        <v>G.900018.8.9090|2026|Q3|2026|BOR FY</v>
      </c>
      <c r="T709" s="15">
        <f>IF(OR(S709="",D709&lt;&gt;"Vastgesteld"),"",_xlfn.MAXIFS($G$6:$G$5005,$S$6:$S$5005,S709,$D$6:$D$5005,"Vastgesteld"))</f>
        <v>0</v>
      </c>
      <c r="U709" s="15">
        <f>IF(T709="",0,IF(AND(G709=T709,COUNTIFS($S$6:S709,S709,$G$6:G709,G709,$D$6:D709,"Vastgesteld")=1),1,0))</f>
        <v>1</v>
      </c>
      <c r="V709" s="15">
        <f>IF(T709="",0,IF(AND(G709=T709,COUNTIFS($S$6:S709,S709,$G$6:G709,G709,$D$6:D709,"Vastgesteld")&gt;1),1,0))</f>
        <v>0</v>
      </c>
    </row>
    <row r="710">
      <c r="A710" s="92" t="inlineStr">
        <is>
          <t>HIST-2026-Q3</t>
        </is>
      </c>
      <c r="B710" s="92" t="inlineStr">
        <is>
          <t>RDFO_FICTIEVE_historie_en_mapping.xlsx</t>
        </is>
      </c>
      <c r="C710" s="108" t="n">
        <v>46324</v>
      </c>
      <c r="D710" s="92" t="inlineStr">
        <is>
          <t>Vastgesteld</t>
        </is>
      </c>
      <c r="E710" s="92" t="n">
        <v>2026</v>
      </c>
      <c r="F710" s="92" t="inlineStr">
        <is>
          <t>Q3</t>
        </is>
      </c>
      <c r="G710" s="92" t="n">
        <v>0</v>
      </c>
      <c r="H710" s="108" t="n">
        <v>46295</v>
      </c>
      <c r="I710" s="92" t="n">
        <v>2026</v>
      </c>
      <c r="J710" s="92" t="inlineStr">
        <is>
          <t>G.900018.8.9090</t>
        </is>
      </c>
      <c r="K710" s="92" t="inlineStr">
        <is>
          <t>G.900018</t>
        </is>
      </c>
      <c r="L710" s="92" t="inlineStr">
        <is>
          <t>Meerhovenstad, De Boog</t>
        </is>
      </c>
      <c r="M710" s="92" t="inlineStr">
        <is>
          <t>Deelneming</t>
        </is>
      </c>
      <c r="N710" s="92" t="inlineStr">
        <is>
          <t>N</t>
        </is>
      </c>
      <c r="O710" s="92" t="inlineStr">
        <is>
          <t>Omzet actual YTD</t>
        </is>
      </c>
      <c r="P710" s="109" t="n">
        <v>1173900</v>
      </c>
      <c r="Q710" s="92" t="inlineStr">
        <is>
          <t>EUR</t>
        </is>
      </c>
      <c r="R710" s="92" t="inlineStr">
        <is>
          <t>Synthetische vastgelegde invoer; geen echte historie</t>
        </is>
      </c>
      <c r="S710" s="15" t="str">
        <f>IF(J710="","",J710&amp;"|"&amp;E710&amp;"|"&amp;F710&amp;"|"&amp;I710&amp;"|"&amp;O710)</f>
        <v>G.900018.8.9090|2026|Q3|2026|Omzet actual YTD</v>
      </c>
      <c r="T710" s="15">
        <f>IF(OR(S710="",D710&lt;&gt;"Vastgesteld"),"",_xlfn.MAXIFS($G$6:$G$5005,$S$6:$S$5005,S710,$D$6:$D$5005,"Vastgesteld"))</f>
        <v>0</v>
      </c>
      <c r="U710" s="15">
        <f>IF(T710="",0,IF(AND(G710=T710,COUNTIFS($S$6:S710,S710,$G$6:G710,G710,$D$6:D710,"Vastgesteld")=1),1,0))</f>
        <v>1</v>
      </c>
      <c r="V710" s="15">
        <f>IF(T710="",0,IF(AND(G710=T710,COUNTIFS($S$6:S710,S710,$G$6:G710,G710,$D$6:D710,"Vastgesteld")&gt;1),1,0))</f>
        <v>0</v>
      </c>
    </row>
    <row r="711">
      <c r="A711" s="92" t="inlineStr">
        <is>
          <t>HIST-2026-Q3</t>
        </is>
      </c>
      <c r="B711" s="92" t="inlineStr">
        <is>
          <t>RDFO_FICTIEVE_historie_en_mapping.xlsx</t>
        </is>
      </c>
      <c r="C711" s="108" t="n">
        <v>46324</v>
      </c>
      <c r="D711" s="92" t="inlineStr">
        <is>
          <t>Vastgesteld</t>
        </is>
      </c>
      <c r="E711" s="92" t="n">
        <v>2026</v>
      </c>
      <c r="F711" s="92" t="inlineStr">
        <is>
          <t>Q3</t>
        </is>
      </c>
      <c r="G711" s="92" t="n">
        <v>0</v>
      </c>
      <c r="H711" s="108" t="n">
        <v>46295</v>
      </c>
      <c r="I711" s="92" t="n">
        <v>2026</v>
      </c>
      <c r="J711" s="92" t="inlineStr">
        <is>
          <t>G.900018.8.9090</t>
        </is>
      </c>
      <c r="K711" s="92" t="inlineStr">
        <is>
          <t>G.900018</t>
        </is>
      </c>
      <c r="L711" s="92" t="inlineStr">
        <is>
          <t>Meerhovenstad, De Boog</t>
        </is>
      </c>
      <c r="M711" s="92" t="inlineStr">
        <is>
          <t>Deelneming</t>
        </is>
      </c>
      <c r="N711" s="92" t="inlineStr">
        <is>
          <t>N</t>
        </is>
      </c>
      <c r="O711" s="92" t="inlineStr">
        <is>
          <t>BOR actual YTD</t>
        </is>
      </c>
      <c r="P711" s="109" t="n">
        <v>-35217</v>
      </c>
      <c r="Q711" s="92" t="inlineStr">
        <is>
          <t>EUR</t>
        </is>
      </c>
      <c r="R711" s="92" t="inlineStr">
        <is>
          <t>Synthetische vastgelegde invoer; geen echte historie</t>
        </is>
      </c>
      <c r="S711" s="15" t="str">
        <f>IF(J711="","",J711&amp;"|"&amp;E711&amp;"|"&amp;F711&amp;"|"&amp;I711&amp;"|"&amp;O711)</f>
        <v>G.900018.8.9090|2026|Q3|2026|BOR actual YTD</v>
      </c>
      <c r="T711" s="15">
        <f>IF(OR(S711="",D711&lt;&gt;"Vastgesteld"),"",_xlfn.MAXIFS($G$6:$G$5005,$S$6:$S$5005,S711,$D$6:$D$5005,"Vastgesteld"))</f>
        <v>0</v>
      </c>
      <c r="U711" s="15">
        <f>IF(T711="",0,IF(AND(G711=T711,COUNTIFS($S$6:S711,S711,$G$6:G711,G711,$D$6:D711,"Vastgesteld")=1),1,0))</f>
        <v>1</v>
      </c>
      <c r="V711" s="15">
        <f>IF(T711="",0,IF(AND(G711=T711,COUNTIFS($S$6:S711,S711,$G$6:G711,G711,$D$6:D711,"Vastgesteld")&gt;1),1,0))</f>
        <v>0</v>
      </c>
    </row>
    <row r="712">
      <c r="A712" s="92" t="inlineStr">
        <is>
          <t>HIST-2026-Q3</t>
        </is>
      </c>
      <c r="B712" s="92" t="inlineStr">
        <is>
          <t>RDFO_FICTIEVE_historie_en_mapping.xlsx</t>
        </is>
      </c>
      <c r="C712" s="108" t="n">
        <v>46324</v>
      </c>
      <c r="D712" s="92" t="inlineStr">
        <is>
          <t>Vastgesteld</t>
        </is>
      </c>
      <c r="E712" s="92" t="n">
        <v>2026</v>
      </c>
      <c r="F712" s="92" t="inlineStr">
        <is>
          <t>Q3</t>
        </is>
      </c>
      <c r="G712" s="92" t="n">
        <v>0</v>
      </c>
      <c r="H712" s="108" t="n">
        <v>46295</v>
      </c>
      <c r="I712" s="92" t="n">
        <v>2027</v>
      </c>
      <c r="J712" s="92" t="inlineStr">
        <is>
          <t>G.900018.8.9090</t>
        </is>
      </c>
      <c r="K712" s="92" t="inlineStr">
        <is>
          <t>G.900018</t>
        </is>
      </c>
      <c r="L712" s="92" t="inlineStr">
        <is>
          <t>Meerhovenstad, De Boog</t>
        </is>
      </c>
      <c r="M712" s="92" t="inlineStr">
        <is>
          <t>Deelneming</t>
        </is>
      </c>
      <c r="N712" s="92" t="inlineStr">
        <is>
          <t>N</t>
        </is>
      </c>
      <c r="O712" s="92" t="inlineStr">
        <is>
          <t>Omzet FY</t>
        </is>
      </c>
      <c r="P712" s="109" t="n">
        <v>6652100</v>
      </c>
      <c r="Q712" s="92" t="inlineStr">
        <is>
          <t>EUR</t>
        </is>
      </c>
      <c r="R712" s="92" t="inlineStr">
        <is>
          <t>Synthetische vastgelegde invoer; geen echte historie</t>
        </is>
      </c>
      <c r="S712" s="15" t="str">
        <f>IF(J712="","",J712&amp;"|"&amp;E712&amp;"|"&amp;F712&amp;"|"&amp;I712&amp;"|"&amp;O712)</f>
        <v>G.900018.8.9090|2026|Q3|2027|Omzet FY</v>
      </c>
      <c r="T712" s="15">
        <f>IF(OR(S712="",D712&lt;&gt;"Vastgesteld"),"",_xlfn.MAXIFS($G$6:$G$5005,$S$6:$S$5005,S712,$D$6:$D$5005,"Vastgesteld"))</f>
        <v>0</v>
      </c>
      <c r="U712" s="15">
        <f>IF(T712="",0,IF(AND(G712=T712,COUNTIFS($S$6:S712,S712,$G$6:G712,G712,$D$6:D712,"Vastgesteld")=1),1,0))</f>
        <v>1</v>
      </c>
      <c r="V712" s="15">
        <f>IF(T712="",0,IF(AND(G712=T712,COUNTIFS($S$6:S712,S712,$G$6:G712,G712,$D$6:D712,"Vastgesteld")&gt;1),1,0))</f>
        <v>0</v>
      </c>
    </row>
    <row r="713">
      <c r="A713" s="92" t="inlineStr">
        <is>
          <t>HIST-2026-Q3</t>
        </is>
      </c>
      <c r="B713" s="92" t="inlineStr">
        <is>
          <t>RDFO_FICTIEVE_historie_en_mapping.xlsx</t>
        </is>
      </c>
      <c r="C713" s="108" t="n">
        <v>46324</v>
      </c>
      <c r="D713" s="92" t="inlineStr">
        <is>
          <t>Vastgesteld</t>
        </is>
      </c>
      <c r="E713" s="92" t="n">
        <v>2026</v>
      </c>
      <c r="F713" s="92" t="inlineStr">
        <is>
          <t>Q3</t>
        </is>
      </c>
      <c r="G713" s="92" t="n">
        <v>0</v>
      </c>
      <c r="H713" s="108" t="n">
        <v>46295</v>
      </c>
      <c r="I713" s="92" t="n">
        <v>2027</v>
      </c>
      <c r="J713" s="92" t="inlineStr">
        <is>
          <t>G.900018.8.9090</t>
        </is>
      </c>
      <c r="K713" s="92" t="inlineStr">
        <is>
          <t>G.900018</t>
        </is>
      </c>
      <c r="L713" s="92" t="inlineStr">
        <is>
          <t>Meerhovenstad, De Boog</t>
        </is>
      </c>
      <c r="M713" s="92" t="inlineStr">
        <is>
          <t>Deelneming</t>
        </is>
      </c>
      <c r="N713" s="92" t="inlineStr">
        <is>
          <t>N</t>
        </is>
      </c>
      <c r="O713" s="92" t="inlineStr">
        <is>
          <t>BOR FY</t>
        </is>
      </c>
      <c r="P713" s="109" t="n">
        <v>-199563</v>
      </c>
      <c r="Q713" s="92" t="inlineStr">
        <is>
          <t>EUR</t>
        </is>
      </c>
      <c r="R713" s="92" t="inlineStr">
        <is>
          <t>Synthetische vastgelegde invoer; geen echte historie</t>
        </is>
      </c>
      <c r="S713" s="15" t="str">
        <f>IF(J713="","",J713&amp;"|"&amp;E713&amp;"|"&amp;F713&amp;"|"&amp;I713&amp;"|"&amp;O713)</f>
        <v>G.900018.8.9090|2026|Q3|2027|BOR FY</v>
      </c>
      <c r="T713" s="15">
        <f>IF(OR(S713="",D713&lt;&gt;"Vastgesteld"),"",_xlfn.MAXIFS($G$6:$G$5005,$S$6:$S$5005,S713,$D$6:$D$5005,"Vastgesteld"))</f>
        <v>0</v>
      </c>
      <c r="U713" s="15">
        <f>IF(T713="",0,IF(AND(G713=T713,COUNTIFS($S$6:S713,S713,$G$6:G713,G713,$D$6:D713,"Vastgesteld")=1),1,0))</f>
        <v>1</v>
      </c>
      <c r="V713" s="15">
        <f>IF(T713="",0,IF(AND(G713=T713,COUNTIFS($S$6:S713,S713,$G$6:G713,G713,$D$6:D713,"Vastgesteld")&gt;1),1,0))</f>
        <v>0</v>
      </c>
    </row>
    <row r="714">
      <c r="A714" s="92" t="inlineStr">
        <is>
          <t>HIST-2026-Q3</t>
        </is>
      </c>
      <c r="B714" s="92" t="inlineStr">
        <is>
          <t>RDFO_FICTIEVE_historie_en_mapping.xlsx</t>
        </is>
      </c>
      <c r="C714" s="108" t="n">
        <v>46324</v>
      </c>
      <c r="D714" s="92" t="inlineStr">
        <is>
          <t>Vastgesteld</t>
        </is>
      </c>
      <c r="E714" s="92" t="n">
        <v>2026</v>
      </c>
      <c r="F714" s="92" t="inlineStr">
        <is>
          <t>Q3</t>
        </is>
      </c>
      <c r="G714" s="92" t="n">
        <v>0</v>
      </c>
      <c r="H714" s="108" t="n">
        <v>46295</v>
      </c>
      <c r="I714" s="92" t="n">
        <v>2026</v>
      </c>
      <c r="J714" s="92" t="inlineStr">
        <is>
          <t>G.900019.8.9090</t>
        </is>
      </c>
      <c r="K714" s="92" t="inlineStr">
        <is>
          <t>G.900019</t>
        </is>
      </c>
      <c r="L714" s="92" t="inlineStr">
        <is>
          <t>Zilverdam, Havenlicht</t>
        </is>
      </c>
      <c r="M714" s="92" t="inlineStr">
        <is>
          <t>Opstal</t>
        </is>
      </c>
      <c r="N714" s="92" t="inlineStr">
        <is>
          <t>J</t>
        </is>
      </c>
      <c r="O714" s="92" t="inlineStr">
        <is>
          <t>Omzet FY</t>
        </is>
      </c>
      <c r="P714" s="109" t="n">
        <v>6174000</v>
      </c>
      <c r="Q714" s="92" t="inlineStr">
        <is>
          <t>EUR</t>
        </is>
      </c>
      <c r="R714" s="92" t="inlineStr">
        <is>
          <t>Synthetische vastgelegde invoer; geen echte historie</t>
        </is>
      </c>
      <c r="S714" s="15" t="str">
        <f>IF(J714="","",J714&amp;"|"&amp;E714&amp;"|"&amp;F714&amp;"|"&amp;I714&amp;"|"&amp;O714)</f>
        <v>G.900019.8.9090|2026|Q3|2026|Omzet FY</v>
      </c>
      <c r="T714" s="15">
        <f>IF(OR(S714="",D714&lt;&gt;"Vastgesteld"),"",_xlfn.MAXIFS($G$6:$G$5005,$S$6:$S$5005,S714,$D$6:$D$5005,"Vastgesteld"))</f>
        <v>0</v>
      </c>
      <c r="U714" s="15">
        <f>IF(T714="",0,IF(AND(G714=T714,COUNTIFS($S$6:S714,S714,$G$6:G714,G714,$D$6:D714,"Vastgesteld")=1),1,0))</f>
        <v>1</v>
      </c>
      <c r="V714" s="15">
        <f>IF(T714="",0,IF(AND(G714=T714,COUNTIFS($S$6:S714,S714,$G$6:G714,G714,$D$6:D714,"Vastgesteld")&gt;1),1,0))</f>
        <v>0</v>
      </c>
    </row>
    <row r="715">
      <c r="A715" s="92" t="inlineStr">
        <is>
          <t>HIST-2026-Q3</t>
        </is>
      </c>
      <c r="B715" s="92" t="inlineStr">
        <is>
          <t>RDFO_FICTIEVE_historie_en_mapping.xlsx</t>
        </is>
      </c>
      <c r="C715" s="108" t="n">
        <v>46324</v>
      </c>
      <c r="D715" s="92" t="inlineStr">
        <is>
          <t>Vastgesteld</t>
        </is>
      </c>
      <c r="E715" s="92" t="n">
        <v>2026</v>
      </c>
      <c r="F715" s="92" t="inlineStr">
        <is>
          <t>Q3</t>
        </is>
      </c>
      <c r="G715" s="92" t="n">
        <v>0</v>
      </c>
      <c r="H715" s="108" t="n">
        <v>46295</v>
      </c>
      <c r="I715" s="92" t="n">
        <v>2026</v>
      </c>
      <c r="J715" s="92" t="inlineStr">
        <is>
          <t>G.900019.8.9090</t>
        </is>
      </c>
      <c r="K715" s="92" t="inlineStr">
        <is>
          <t>G.900019</t>
        </is>
      </c>
      <c r="L715" s="92" t="inlineStr">
        <is>
          <t>Zilverdam, Havenlicht</t>
        </is>
      </c>
      <c r="M715" s="92" t="inlineStr">
        <is>
          <t>Opstal</t>
        </is>
      </c>
      <c r="N715" s="92" t="inlineStr">
        <is>
          <t>J</t>
        </is>
      </c>
      <c r="O715" s="92" t="inlineStr">
        <is>
          <t>BOR FY</t>
        </is>
      </c>
      <c r="P715" s="109" t="n">
        <v>493920</v>
      </c>
      <c r="Q715" s="92" t="inlineStr">
        <is>
          <t>EUR</t>
        </is>
      </c>
      <c r="R715" s="92" t="inlineStr">
        <is>
          <t>Synthetische vastgelegde invoer; geen echte historie</t>
        </is>
      </c>
      <c r="S715" s="15" t="str">
        <f>IF(J715="","",J715&amp;"|"&amp;E715&amp;"|"&amp;F715&amp;"|"&amp;I715&amp;"|"&amp;O715)</f>
        <v>G.900019.8.9090|2026|Q3|2026|BOR FY</v>
      </c>
      <c r="T715" s="15">
        <f>IF(OR(S715="",D715&lt;&gt;"Vastgesteld"),"",_xlfn.MAXIFS($G$6:$G$5005,$S$6:$S$5005,S715,$D$6:$D$5005,"Vastgesteld"))</f>
        <v>0</v>
      </c>
      <c r="U715" s="15">
        <f>IF(T715="",0,IF(AND(G715=T715,COUNTIFS($S$6:S715,S715,$G$6:G715,G715,$D$6:D715,"Vastgesteld")=1),1,0))</f>
        <v>1</v>
      </c>
      <c r="V715" s="15">
        <f>IF(T715="",0,IF(AND(G715=T715,COUNTIFS($S$6:S715,S715,$G$6:G715,G715,$D$6:D715,"Vastgesteld")&gt;1),1,0))</f>
        <v>0</v>
      </c>
    </row>
    <row r="716">
      <c r="A716" s="92" t="inlineStr">
        <is>
          <t>HIST-2026-Q3</t>
        </is>
      </c>
      <c r="B716" s="92" t="inlineStr">
        <is>
          <t>RDFO_FICTIEVE_historie_en_mapping.xlsx</t>
        </is>
      </c>
      <c r="C716" s="108" t="n">
        <v>46324</v>
      </c>
      <c r="D716" s="92" t="inlineStr">
        <is>
          <t>Vastgesteld</t>
        </is>
      </c>
      <c r="E716" s="92" t="n">
        <v>2026</v>
      </c>
      <c r="F716" s="92" t="inlineStr">
        <is>
          <t>Q3</t>
        </is>
      </c>
      <c r="G716" s="92" t="n">
        <v>0</v>
      </c>
      <c r="H716" s="108" t="n">
        <v>46295</v>
      </c>
      <c r="I716" s="92" t="n">
        <v>2026</v>
      </c>
      <c r="J716" s="92" t="inlineStr">
        <is>
          <t>G.900019.8.9090</t>
        </is>
      </c>
      <c r="K716" s="92" t="inlineStr">
        <is>
          <t>G.900019</t>
        </is>
      </c>
      <c r="L716" s="92" t="inlineStr">
        <is>
          <t>Zilverdam, Havenlicht</t>
        </is>
      </c>
      <c r="M716" s="92" t="inlineStr">
        <is>
          <t>Opstal</t>
        </is>
      </c>
      <c r="N716" s="92" t="inlineStr">
        <is>
          <t>J</t>
        </is>
      </c>
      <c r="O716" s="92" t="inlineStr">
        <is>
          <t>Omzet actual YTD</t>
        </is>
      </c>
      <c r="P716" s="109" t="n">
        <v>4013100</v>
      </c>
      <c r="Q716" s="92" t="inlineStr">
        <is>
          <t>EUR</t>
        </is>
      </c>
      <c r="R716" s="92" t="inlineStr">
        <is>
          <t>Synthetische vastgelegde invoer; geen echte historie</t>
        </is>
      </c>
      <c r="S716" s="15" t="str">
        <f>IF(J716="","",J716&amp;"|"&amp;E716&amp;"|"&amp;F716&amp;"|"&amp;I716&amp;"|"&amp;O716)</f>
        <v>G.900019.8.9090|2026|Q3|2026|Omzet actual YTD</v>
      </c>
      <c r="T716" s="15">
        <f>IF(OR(S716="",D716&lt;&gt;"Vastgesteld"),"",_xlfn.MAXIFS($G$6:$G$5005,$S$6:$S$5005,S716,$D$6:$D$5005,"Vastgesteld"))</f>
        <v>0</v>
      </c>
      <c r="U716" s="15">
        <f>IF(T716="",0,IF(AND(G716=T716,COUNTIFS($S$6:S716,S716,$G$6:G716,G716,$D$6:D716,"Vastgesteld")=1),1,0))</f>
        <v>1</v>
      </c>
      <c r="V716" s="15">
        <f>IF(T716="",0,IF(AND(G716=T716,COUNTIFS($S$6:S716,S716,$G$6:G716,G716,$D$6:D716,"Vastgesteld")&gt;1),1,0))</f>
        <v>0</v>
      </c>
    </row>
    <row r="717">
      <c r="A717" s="92" t="inlineStr">
        <is>
          <t>HIST-2026-Q3</t>
        </is>
      </c>
      <c r="B717" s="92" t="inlineStr">
        <is>
          <t>RDFO_FICTIEVE_historie_en_mapping.xlsx</t>
        </is>
      </c>
      <c r="C717" s="108" t="n">
        <v>46324</v>
      </c>
      <c r="D717" s="92" t="inlineStr">
        <is>
          <t>Vastgesteld</t>
        </is>
      </c>
      <c r="E717" s="92" t="n">
        <v>2026</v>
      </c>
      <c r="F717" s="92" t="inlineStr">
        <is>
          <t>Q3</t>
        </is>
      </c>
      <c r="G717" s="92" t="n">
        <v>0</v>
      </c>
      <c r="H717" s="108" t="n">
        <v>46295</v>
      </c>
      <c r="I717" s="92" t="n">
        <v>2026</v>
      </c>
      <c r="J717" s="92" t="inlineStr">
        <is>
          <t>G.900019.8.9090</t>
        </is>
      </c>
      <c r="K717" s="92" t="inlineStr">
        <is>
          <t>G.900019</t>
        </is>
      </c>
      <c r="L717" s="92" t="inlineStr">
        <is>
          <t>Zilverdam, Havenlicht</t>
        </is>
      </c>
      <c r="M717" s="92" t="inlineStr">
        <is>
          <t>Opstal</t>
        </is>
      </c>
      <c r="N717" s="92" t="inlineStr">
        <is>
          <t>J</t>
        </is>
      </c>
      <c r="O717" s="92" t="inlineStr">
        <is>
          <t>BOR actual YTD</t>
        </is>
      </c>
      <c r="P717" s="109" t="n">
        <v>321048</v>
      </c>
      <c r="Q717" s="92" t="inlineStr">
        <is>
          <t>EUR</t>
        </is>
      </c>
      <c r="R717" s="92" t="inlineStr">
        <is>
          <t>Synthetische vastgelegde invoer; geen echte historie</t>
        </is>
      </c>
      <c r="S717" s="15" t="str">
        <f>IF(J717="","",J717&amp;"|"&amp;E717&amp;"|"&amp;F717&amp;"|"&amp;I717&amp;"|"&amp;O717)</f>
        <v>G.900019.8.9090|2026|Q3|2026|BOR actual YTD</v>
      </c>
      <c r="T717" s="15">
        <f>IF(OR(S717="",D717&lt;&gt;"Vastgesteld"),"",_xlfn.MAXIFS($G$6:$G$5005,$S$6:$S$5005,S717,$D$6:$D$5005,"Vastgesteld"))</f>
        <v>0</v>
      </c>
      <c r="U717" s="15">
        <f>IF(T717="",0,IF(AND(G717=T717,COUNTIFS($S$6:S717,S717,$G$6:G717,G717,$D$6:D717,"Vastgesteld")=1),1,0))</f>
        <v>1</v>
      </c>
      <c r="V717" s="15">
        <f>IF(T717="",0,IF(AND(G717=T717,COUNTIFS($S$6:S717,S717,$G$6:G717,G717,$D$6:D717,"Vastgesteld")&gt;1),1,0))</f>
        <v>0</v>
      </c>
    </row>
    <row r="718">
      <c r="A718" s="92" t="inlineStr">
        <is>
          <t>HIST-2026-Q3</t>
        </is>
      </c>
      <c r="B718" s="92" t="inlineStr">
        <is>
          <t>RDFO_FICTIEVE_historie_en_mapping.xlsx</t>
        </is>
      </c>
      <c r="C718" s="108" t="n">
        <v>46324</v>
      </c>
      <c r="D718" s="92" t="inlineStr">
        <is>
          <t>Vastgesteld</t>
        </is>
      </c>
      <c r="E718" s="92" t="n">
        <v>2026</v>
      </c>
      <c r="F718" s="92" t="inlineStr">
        <is>
          <t>Q3</t>
        </is>
      </c>
      <c r="G718" s="92" t="n">
        <v>0</v>
      </c>
      <c r="H718" s="108" t="n">
        <v>46295</v>
      </c>
      <c r="I718" s="92" t="n">
        <v>2027</v>
      </c>
      <c r="J718" s="92" t="inlineStr">
        <is>
          <t>G.900019.8.9090</t>
        </is>
      </c>
      <c r="K718" s="92" t="inlineStr">
        <is>
          <t>G.900019</t>
        </is>
      </c>
      <c r="L718" s="92" t="inlineStr">
        <is>
          <t>Zilverdam, Havenlicht</t>
        </is>
      </c>
      <c r="M718" s="92" t="inlineStr">
        <is>
          <t>Opstal</t>
        </is>
      </c>
      <c r="N718" s="92" t="inlineStr">
        <is>
          <t>J</t>
        </is>
      </c>
      <c r="O718" s="92" t="inlineStr">
        <is>
          <t>Omzet FY</t>
        </is>
      </c>
      <c r="P718" s="109" t="n">
        <v>5541900</v>
      </c>
      <c r="Q718" s="92" t="inlineStr">
        <is>
          <t>EUR</t>
        </is>
      </c>
      <c r="R718" s="92" t="inlineStr">
        <is>
          <t>Synthetische vastgelegde invoer; geen echte historie</t>
        </is>
      </c>
      <c r="S718" s="15" t="str">
        <f>IF(J718="","",J718&amp;"|"&amp;E718&amp;"|"&amp;F718&amp;"|"&amp;I718&amp;"|"&amp;O718)</f>
        <v>G.900019.8.9090|2026|Q3|2027|Omzet FY</v>
      </c>
      <c r="T718" s="15">
        <f>IF(OR(S718="",D718&lt;&gt;"Vastgesteld"),"",_xlfn.MAXIFS($G$6:$G$5005,$S$6:$S$5005,S718,$D$6:$D$5005,"Vastgesteld"))</f>
        <v>0</v>
      </c>
      <c r="U718" s="15">
        <f>IF(T718="",0,IF(AND(G718=T718,COUNTIFS($S$6:S718,S718,$G$6:G718,G718,$D$6:D718,"Vastgesteld")=1),1,0))</f>
        <v>1</v>
      </c>
      <c r="V718" s="15">
        <f>IF(T718="",0,IF(AND(G718=T718,COUNTIFS($S$6:S718,S718,$G$6:G718,G718,$D$6:D718,"Vastgesteld")&gt;1),1,0))</f>
        <v>0</v>
      </c>
    </row>
    <row r="719">
      <c r="A719" s="92" t="inlineStr">
        <is>
          <t>HIST-2026-Q3</t>
        </is>
      </c>
      <c r="B719" s="92" t="inlineStr">
        <is>
          <t>RDFO_FICTIEVE_historie_en_mapping.xlsx</t>
        </is>
      </c>
      <c r="C719" s="108" t="n">
        <v>46324</v>
      </c>
      <c r="D719" s="92" t="inlineStr">
        <is>
          <t>Vastgesteld</t>
        </is>
      </c>
      <c r="E719" s="92" t="n">
        <v>2026</v>
      </c>
      <c r="F719" s="92" t="inlineStr">
        <is>
          <t>Q3</t>
        </is>
      </c>
      <c r="G719" s="92" t="n">
        <v>0</v>
      </c>
      <c r="H719" s="108" t="n">
        <v>46295</v>
      </c>
      <c r="I719" s="92" t="n">
        <v>2027</v>
      </c>
      <c r="J719" s="92" t="inlineStr">
        <is>
          <t>G.900019.8.9090</t>
        </is>
      </c>
      <c r="K719" s="92" t="inlineStr">
        <is>
          <t>G.900019</t>
        </is>
      </c>
      <c r="L719" s="92" t="inlineStr">
        <is>
          <t>Zilverdam, Havenlicht</t>
        </is>
      </c>
      <c r="M719" s="92" t="inlineStr">
        <is>
          <t>Opstal</t>
        </is>
      </c>
      <c r="N719" s="92" t="inlineStr">
        <is>
          <t>J</t>
        </is>
      </c>
      <c r="O719" s="92" t="inlineStr">
        <is>
          <t>BOR FY</t>
        </is>
      </c>
      <c r="P719" s="109" t="n">
        <v>443352</v>
      </c>
      <c r="Q719" s="92" t="inlineStr">
        <is>
          <t>EUR</t>
        </is>
      </c>
      <c r="R719" s="92" t="inlineStr">
        <is>
          <t>Synthetische vastgelegde invoer; geen echte historie</t>
        </is>
      </c>
      <c r="S719" s="15" t="str">
        <f>IF(J719="","",J719&amp;"|"&amp;E719&amp;"|"&amp;F719&amp;"|"&amp;I719&amp;"|"&amp;O719)</f>
        <v>G.900019.8.9090|2026|Q3|2027|BOR FY</v>
      </c>
      <c r="T719" s="15">
        <f>IF(OR(S719="",D719&lt;&gt;"Vastgesteld"),"",_xlfn.MAXIFS($G$6:$G$5005,$S$6:$S$5005,S719,$D$6:$D$5005,"Vastgesteld"))</f>
        <v>0</v>
      </c>
      <c r="U719" s="15">
        <f>IF(T719="",0,IF(AND(G719=T719,COUNTIFS($S$6:S719,S719,$G$6:G719,G719,$D$6:D719,"Vastgesteld")=1),1,0))</f>
        <v>1</v>
      </c>
      <c r="V719" s="15">
        <f>IF(T719="",0,IF(AND(G719=T719,COUNTIFS($S$6:S719,S719,$G$6:G719,G719,$D$6:D719,"Vastgesteld")&gt;1),1,0))</f>
        <v>0</v>
      </c>
    </row>
    <row r="720">
      <c r="A720" s="92" t="inlineStr">
        <is>
          <t>HIST-2026-Q3</t>
        </is>
      </c>
      <c r="B720" s="92" t="inlineStr">
        <is>
          <t>RDFO_FICTIEVE_historie_en_mapping.xlsx</t>
        </is>
      </c>
      <c r="C720" s="108" t="n">
        <v>46324</v>
      </c>
      <c r="D720" s="92" t="inlineStr">
        <is>
          <t>Vastgesteld</t>
        </is>
      </c>
      <c r="E720" s="92" t="n">
        <v>2026</v>
      </c>
      <c r="F720" s="92" t="inlineStr">
        <is>
          <t>Q3</t>
        </is>
      </c>
      <c r="G720" s="92" t="n">
        <v>0</v>
      </c>
      <c r="H720" s="108" t="n">
        <v>46295</v>
      </c>
      <c r="I720" s="92" t="n">
        <v>2026</v>
      </c>
      <c r="J720" s="92" t="inlineStr">
        <is>
          <t>G.900020.8.9090</t>
        </is>
      </c>
      <c r="K720" s="92" t="inlineStr">
        <is>
          <t>G.900020</t>
        </is>
      </c>
      <c r="L720" s="92" t="inlineStr">
        <is>
          <t>Boswaard, Parkeergebouw</t>
        </is>
      </c>
      <c r="M720" s="92" t="inlineStr">
        <is>
          <t>Opstal</t>
        </is>
      </c>
      <c r="N720" s="92" t="inlineStr">
        <is>
          <t>J</t>
        </is>
      </c>
      <c r="O720" s="92" t="inlineStr">
        <is>
          <t>Omzet FY</t>
        </is>
      </c>
      <c r="P720" s="109" t="n">
        <v>240000</v>
      </c>
      <c r="Q720" s="92" t="inlineStr">
        <is>
          <t>EUR</t>
        </is>
      </c>
      <c r="R720" s="92" t="inlineStr">
        <is>
          <t>Synthetische vastgelegde invoer; geen echte historie</t>
        </is>
      </c>
      <c r="S720" s="15" t="str">
        <f>IF(J720="","",J720&amp;"|"&amp;E720&amp;"|"&amp;F720&amp;"|"&amp;I720&amp;"|"&amp;O720)</f>
        <v>G.900020.8.9090|2026|Q3|2026|Omzet FY</v>
      </c>
      <c r="T720" s="15">
        <f>IF(OR(S720="",D720&lt;&gt;"Vastgesteld"),"",_xlfn.MAXIFS($G$6:$G$5005,$S$6:$S$5005,S720,$D$6:$D$5005,"Vastgesteld"))</f>
        <v>0</v>
      </c>
      <c r="U720" s="15">
        <f>IF(T720="",0,IF(AND(G720=T720,COUNTIFS($S$6:S720,S720,$G$6:G720,G720,$D$6:D720,"Vastgesteld")=1),1,0))</f>
        <v>1</v>
      </c>
      <c r="V720" s="15">
        <f>IF(T720="",0,IF(AND(G720=T720,COUNTIFS($S$6:S720,S720,$G$6:G720,G720,$D$6:D720,"Vastgesteld")&gt;1),1,0))</f>
        <v>0</v>
      </c>
    </row>
    <row r="721">
      <c r="A721" s="92" t="inlineStr">
        <is>
          <t>HIST-2026-Q3</t>
        </is>
      </c>
      <c r="B721" s="92" t="inlineStr">
        <is>
          <t>RDFO_FICTIEVE_historie_en_mapping.xlsx</t>
        </is>
      </c>
      <c r="C721" s="108" t="n">
        <v>46324</v>
      </c>
      <c r="D721" s="92" t="inlineStr">
        <is>
          <t>Vastgesteld</t>
        </is>
      </c>
      <c r="E721" s="92" t="n">
        <v>2026</v>
      </c>
      <c r="F721" s="92" t="inlineStr">
        <is>
          <t>Q3</t>
        </is>
      </c>
      <c r="G721" s="92" t="n">
        <v>0</v>
      </c>
      <c r="H721" s="108" t="n">
        <v>46295</v>
      </c>
      <c r="I721" s="92" t="n">
        <v>2026</v>
      </c>
      <c r="J721" s="92" t="inlineStr">
        <is>
          <t>G.900020.8.9090</t>
        </is>
      </c>
      <c r="K721" s="92" t="inlineStr">
        <is>
          <t>G.900020</t>
        </is>
      </c>
      <c r="L721" s="92" t="inlineStr">
        <is>
          <t>Boswaard, Parkeergebouw</t>
        </is>
      </c>
      <c r="M721" s="92" t="inlineStr">
        <is>
          <t>Opstal</t>
        </is>
      </c>
      <c r="N721" s="92" t="inlineStr">
        <is>
          <t>J</t>
        </is>
      </c>
      <c r="O721" s="92" t="inlineStr">
        <is>
          <t>BOR FY</t>
        </is>
      </c>
      <c r="P721" s="109" t="n">
        <v>31200</v>
      </c>
      <c r="Q721" s="92" t="inlineStr">
        <is>
          <t>EUR</t>
        </is>
      </c>
      <c r="R721" s="92" t="inlineStr">
        <is>
          <t>Synthetische vastgelegde invoer; geen echte historie</t>
        </is>
      </c>
      <c r="S721" s="15" t="str">
        <f>IF(J721="","",J721&amp;"|"&amp;E721&amp;"|"&amp;F721&amp;"|"&amp;I721&amp;"|"&amp;O721)</f>
        <v>G.900020.8.9090|2026|Q3|2026|BOR FY</v>
      </c>
      <c r="T721" s="15">
        <f>IF(OR(S721="",D721&lt;&gt;"Vastgesteld"),"",_xlfn.MAXIFS($G$6:$G$5005,$S$6:$S$5005,S721,$D$6:$D$5005,"Vastgesteld"))</f>
        <v>0</v>
      </c>
      <c r="U721" s="15">
        <f>IF(T721="",0,IF(AND(G721=T721,COUNTIFS($S$6:S721,S721,$G$6:G721,G721,$D$6:D721,"Vastgesteld")=1),1,0))</f>
        <v>1</v>
      </c>
      <c r="V721" s="15">
        <f>IF(T721="",0,IF(AND(G721=T721,COUNTIFS($S$6:S721,S721,$G$6:G721,G721,$D$6:D721,"Vastgesteld")&gt;1),1,0))</f>
        <v>0</v>
      </c>
    </row>
    <row r="722">
      <c r="A722" s="92" t="inlineStr">
        <is>
          <t>HIST-2026-Q3</t>
        </is>
      </c>
      <c r="B722" s="92" t="inlineStr">
        <is>
          <t>RDFO_FICTIEVE_historie_en_mapping.xlsx</t>
        </is>
      </c>
      <c r="C722" s="108" t="n">
        <v>46324</v>
      </c>
      <c r="D722" s="92" t="inlineStr">
        <is>
          <t>Vastgesteld</t>
        </is>
      </c>
      <c r="E722" s="92" t="n">
        <v>2026</v>
      </c>
      <c r="F722" s="92" t="inlineStr">
        <is>
          <t>Q3</t>
        </is>
      </c>
      <c r="G722" s="92" t="n">
        <v>0</v>
      </c>
      <c r="H722" s="108" t="n">
        <v>46295</v>
      </c>
      <c r="I722" s="92" t="n">
        <v>2026</v>
      </c>
      <c r="J722" s="92" t="inlineStr">
        <is>
          <t>G.900020.8.9090</t>
        </is>
      </c>
      <c r="K722" s="92" t="inlineStr">
        <is>
          <t>G.900020</t>
        </is>
      </c>
      <c r="L722" s="92" t="inlineStr">
        <is>
          <t>Boswaard, Parkeergebouw</t>
        </is>
      </c>
      <c r="M722" s="92" t="inlineStr">
        <is>
          <t>Opstal</t>
        </is>
      </c>
      <c r="N722" s="92" t="inlineStr">
        <is>
          <t>J</t>
        </is>
      </c>
      <c r="O722" s="92" t="inlineStr">
        <is>
          <t>Omzet actual YTD</t>
        </is>
      </c>
      <c r="P722" s="109" t="n">
        <v>156000</v>
      </c>
      <c r="Q722" s="92" t="inlineStr">
        <is>
          <t>EUR</t>
        </is>
      </c>
      <c r="R722" s="92" t="inlineStr">
        <is>
          <t>Synthetische vastgelegde invoer; geen echte historie</t>
        </is>
      </c>
      <c r="S722" s="15" t="str">
        <f>IF(J722="","",J722&amp;"|"&amp;E722&amp;"|"&amp;F722&amp;"|"&amp;I722&amp;"|"&amp;O722)</f>
        <v>G.900020.8.9090|2026|Q3|2026|Omzet actual YTD</v>
      </c>
      <c r="T722" s="15">
        <f>IF(OR(S722="",D722&lt;&gt;"Vastgesteld"),"",_xlfn.MAXIFS($G$6:$G$5005,$S$6:$S$5005,S722,$D$6:$D$5005,"Vastgesteld"))</f>
        <v>0</v>
      </c>
      <c r="U722" s="15">
        <f>IF(T722="",0,IF(AND(G722=T722,COUNTIFS($S$6:S722,S722,$G$6:G722,G722,$D$6:D722,"Vastgesteld")=1),1,0))</f>
        <v>1</v>
      </c>
      <c r="V722" s="15">
        <f>IF(T722="",0,IF(AND(G722=T722,COUNTIFS($S$6:S722,S722,$G$6:G722,G722,$D$6:D722,"Vastgesteld")&gt;1),1,0))</f>
        <v>0</v>
      </c>
    </row>
    <row r="723">
      <c r="A723" s="92" t="inlineStr">
        <is>
          <t>HIST-2026-Q3</t>
        </is>
      </c>
      <c r="B723" s="92" t="inlineStr">
        <is>
          <t>RDFO_FICTIEVE_historie_en_mapping.xlsx</t>
        </is>
      </c>
      <c r="C723" s="108" t="n">
        <v>46324</v>
      </c>
      <c r="D723" s="92" t="inlineStr">
        <is>
          <t>Vastgesteld</t>
        </is>
      </c>
      <c r="E723" s="92" t="n">
        <v>2026</v>
      </c>
      <c r="F723" s="92" t="inlineStr">
        <is>
          <t>Q3</t>
        </is>
      </c>
      <c r="G723" s="92" t="n">
        <v>0</v>
      </c>
      <c r="H723" s="108" t="n">
        <v>46295</v>
      </c>
      <c r="I723" s="92" t="n">
        <v>2026</v>
      </c>
      <c r="J723" s="92" t="inlineStr">
        <is>
          <t>G.900020.8.9090</t>
        </is>
      </c>
      <c r="K723" s="92" t="inlineStr">
        <is>
          <t>G.900020</t>
        </is>
      </c>
      <c r="L723" s="92" t="inlineStr">
        <is>
          <t>Boswaard, Parkeergebouw</t>
        </is>
      </c>
      <c r="M723" s="92" t="inlineStr">
        <is>
          <t>Opstal</t>
        </is>
      </c>
      <c r="N723" s="92" t="inlineStr">
        <is>
          <t>J</t>
        </is>
      </c>
      <c r="O723" s="92" t="inlineStr">
        <is>
          <t>BOR actual YTD</t>
        </is>
      </c>
      <c r="P723" s="109" t="n">
        <v>20280</v>
      </c>
      <c r="Q723" s="92" t="inlineStr">
        <is>
          <t>EUR</t>
        </is>
      </c>
      <c r="R723" s="92" t="inlineStr">
        <is>
          <t>Synthetische vastgelegde invoer; geen echte historie</t>
        </is>
      </c>
      <c r="S723" s="15" t="str">
        <f>IF(J723="","",J723&amp;"|"&amp;E723&amp;"|"&amp;F723&amp;"|"&amp;I723&amp;"|"&amp;O723)</f>
        <v>G.900020.8.9090|2026|Q3|2026|BOR actual YTD</v>
      </c>
      <c r="T723" s="15">
        <f>IF(OR(S723="",D723&lt;&gt;"Vastgesteld"),"",_xlfn.MAXIFS($G$6:$G$5005,$S$6:$S$5005,S723,$D$6:$D$5005,"Vastgesteld"))</f>
        <v>0</v>
      </c>
      <c r="U723" s="15">
        <f>IF(T723="",0,IF(AND(G723=T723,COUNTIFS($S$6:S723,S723,$G$6:G723,G723,$D$6:D723,"Vastgesteld")=1),1,0))</f>
        <v>1</v>
      </c>
      <c r="V723" s="15">
        <f>IF(T723="",0,IF(AND(G723=T723,COUNTIFS($S$6:S723,S723,$G$6:G723,G723,$D$6:D723,"Vastgesteld")&gt;1),1,0))</f>
        <v>0</v>
      </c>
    </row>
    <row r="724">
      <c r="A724" s="92" t="inlineStr">
        <is>
          <t>HIST-2026-Q3</t>
        </is>
      </c>
      <c r="B724" s="92" t="inlineStr">
        <is>
          <t>RDFO_FICTIEVE_historie_en_mapping.xlsx</t>
        </is>
      </c>
      <c r="C724" s="108" t="n">
        <v>46324</v>
      </c>
      <c r="D724" s="92" t="inlineStr">
        <is>
          <t>Vastgesteld</t>
        </is>
      </c>
      <c r="E724" s="92" t="n">
        <v>2026</v>
      </c>
      <c r="F724" s="92" t="inlineStr">
        <is>
          <t>Q3</t>
        </is>
      </c>
      <c r="G724" s="92" t="n">
        <v>0</v>
      </c>
      <c r="H724" s="108" t="n">
        <v>46295</v>
      </c>
      <c r="I724" s="92" t="n">
        <v>2027</v>
      </c>
      <c r="J724" s="92" t="inlineStr">
        <is>
          <t>G.900020.8.9090</t>
        </is>
      </c>
      <c r="K724" s="92" t="inlineStr">
        <is>
          <t>G.900020</t>
        </is>
      </c>
      <c r="L724" s="92" t="inlineStr">
        <is>
          <t>Boswaard, Parkeergebouw</t>
        </is>
      </c>
      <c r="M724" s="92" t="inlineStr">
        <is>
          <t>Opstal</t>
        </is>
      </c>
      <c r="N724" s="92" t="inlineStr">
        <is>
          <t>J</t>
        </is>
      </c>
      <c r="O724" s="92" t="inlineStr">
        <is>
          <t>Omzet FY</t>
        </is>
      </c>
      <c r="P724" s="109" t="n">
        <v>1404000</v>
      </c>
      <c r="Q724" s="92" t="inlineStr">
        <is>
          <t>EUR</t>
        </is>
      </c>
      <c r="R724" s="92" t="inlineStr">
        <is>
          <t>Synthetische vastgelegde invoer; geen echte historie</t>
        </is>
      </c>
      <c r="S724" s="15" t="str">
        <f>IF(J724="","",J724&amp;"|"&amp;E724&amp;"|"&amp;F724&amp;"|"&amp;I724&amp;"|"&amp;O724)</f>
        <v>G.900020.8.9090|2026|Q3|2027|Omzet FY</v>
      </c>
      <c r="T724" s="15">
        <f>IF(OR(S724="",D724&lt;&gt;"Vastgesteld"),"",_xlfn.MAXIFS($G$6:$G$5005,$S$6:$S$5005,S724,$D$6:$D$5005,"Vastgesteld"))</f>
        <v>0</v>
      </c>
      <c r="U724" s="15">
        <f>IF(T724="",0,IF(AND(G724=T724,COUNTIFS($S$6:S724,S724,$G$6:G724,G724,$D$6:D724,"Vastgesteld")=1),1,0))</f>
        <v>1</v>
      </c>
      <c r="V724" s="15">
        <f>IF(T724="",0,IF(AND(G724=T724,COUNTIFS($S$6:S724,S724,$G$6:G724,G724,$D$6:D724,"Vastgesteld")&gt;1),1,0))</f>
        <v>0</v>
      </c>
    </row>
    <row r="725">
      <c r="A725" s="92" t="inlineStr">
        <is>
          <t>HIST-2026-Q3</t>
        </is>
      </c>
      <c r="B725" s="92" t="inlineStr">
        <is>
          <t>RDFO_FICTIEVE_historie_en_mapping.xlsx</t>
        </is>
      </c>
      <c r="C725" s="108" t="n">
        <v>46324</v>
      </c>
      <c r="D725" s="92" t="inlineStr">
        <is>
          <t>Vastgesteld</t>
        </is>
      </c>
      <c r="E725" s="92" t="n">
        <v>2026</v>
      </c>
      <c r="F725" s="92" t="inlineStr">
        <is>
          <t>Q3</t>
        </is>
      </c>
      <c r="G725" s="92" t="n">
        <v>0</v>
      </c>
      <c r="H725" s="108" t="n">
        <v>46295</v>
      </c>
      <c r="I725" s="92" t="n">
        <v>2027</v>
      </c>
      <c r="J725" s="92" t="inlineStr">
        <is>
          <t>G.900020.8.9090</t>
        </is>
      </c>
      <c r="K725" s="92" t="inlineStr">
        <is>
          <t>G.900020</t>
        </is>
      </c>
      <c r="L725" s="92" t="inlineStr">
        <is>
          <t>Boswaard, Parkeergebouw</t>
        </is>
      </c>
      <c r="M725" s="92" t="inlineStr">
        <is>
          <t>Opstal</t>
        </is>
      </c>
      <c r="N725" s="92" t="inlineStr">
        <is>
          <t>J</t>
        </is>
      </c>
      <c r="O725" s="92" t="inlineStr">
        <is>
          <t>BOR FY</t>
        </is>
      </c>
      <c r="P725" s="109" t="n">
        <v>182520</v>
      </c>
      <c r="Q725" s="92" t="inlineStr">
        <is>
          <t>EUR</t>
        </is>
      </c>
      <c r="R725" s="92" t="inlineStr">
        <is>
          <t>Synthetische vastgelegde invoer; geen echte historie</t>
        </is>
      </c>
      <c r="S725" s="15" t="str">
        <f>IF(J725="","",J725&amp;"|"&amp;E725&amp;"|"&amp;F725&amp;"|"&amp;I725&amp;"|"&amp;O725)</f>
        <v>G.900020.8.9090|2026|Q3|2027|BOR FY</v>
      </c>
      <c r="T725" s="15">
        <f>IF(OR(S725="",D725&lt;&gt;"Vastgesteld"),"",_xlfn.MAXIFS($G$6:$G$5005,$S$6:$S$5005,S725,$D$6:$D$5005,"Vastgesteld"))</f>
        <v>0</v>
      </c>
      <c r="U725" s="15">
        <f>IF(T725="",0,IF(AND(G725=T725,COUNTIFS($S$6:S725,S725,$G$6:G725,G725,$D$6:D725,"Vastgesteld")=1),1,0))</f>
        <v>1</v>
      </c>
      <c r="V725" s="15">
        <f>IF(T725="",0,IF(AND(G725=T725,COUNTIFS($S$6:S725,S725,$G$6:G725,G725,$D$6:D725,"Vastgesteld")&gt;1),1,0))</f>
        <v>0</v>
      </c>
    </row>
    <row r="726">
      <c r="A726" s="92" t="inlineStr">
        <is>
          <t>HIST-2026-Q3</t>
        </is>
      </c>
      <c r="B726" s="92" t="inlineStr">
        <is>
          <t>RDFO_FICTIEVE_historie_en_mapping.xlsx</t>
        </is>
      </c>
      <c r="C726" s="108" t="n">
        <v>46324</v>
      </c>
      <c r="D726" s="92" t="inlineStr">
        <is>
          <t>Vastgesteld</t>
        </is>
      </c>
      <c r="E726" s="92" t="n">
        <v>2026</v>
      </c>
      <c r="F726" s="92" t="inlineStr">
        <is>
          <t>Q3</t>
        </is>
      </c>
      <c r="G726" s="92" t="n">
        <v>0</v>
      </c>
      <c r="H726" s="108" t="n">
        <v>46295</v>
      </c>
      <c r="I726" s="92" t="n">
        <v>2026</v>
      </c>
      <c r="J726" s="92" t="inlineStr">
        <is>
          <t>G.900001.8.9090</t>
        </is>
      </c>
      <c r="K726" s="92" t="inlineStr">
        <is>
          <t>G.900001</t>
        </is>
      </c>
      <c r="L726" s="92" t="inlineStr">
        <is>
          <t>Lindehaven, Parkzoom fase 1</t>
        </is>
      </c>
      <c r="M726" s="92" t="inlineStr">
        <is>
          <t>Opstal</t>
        </is>
      </c>
      <c r="N726" s="92" t="inlineStr">
        <is>
          <t>J</t>
        </is>
      </c>
      <c r="O726" s="92" t="inlineStr">
        <is>
          <t>Woningverkopen FY</t>
        </is>
      </c>
      <c r="P726" s="109" t="n">
        <v>8</v>
      </c>
      <c r="Q726" s="92" t="inlineStr">
        <is>
          <t>aantal</t>
        </is>
      </c>
      <c r="R726" s="92" t="inlineStr">
        <is>
          <t>Synthetische snapshot; kwartalen zijn FY-verdeling, geen actuals</t>
        </is>
      </c>
      <c r="S726" s="15" t="str">
        <f>IF(J726="","",J726&amp;"|"&amp;E726&amp;"|"&amp;F726&amp;"|"&amp;I726&amp;"|"&amp;O726)</f>
        <v>G.900001.8.9090|2026|Q3|2026|Woningverkopen FY</v>
      </c>
      <c r="T726" s="15">
        <f>IF(OR(S726="",D726&lt;&gt;"Vastgesteld"),"",_xlfn.MAXIFS($G$6:$G$5005,$S$6:$S$5005,S726,$D$6:$D$5005,"Vastgesteld"))</f>
        <v>0</v>
      </c>
      <c r="U726" s="15">
        <f>IF(T726="",0,IF(AND(G726=T726,COUNTIFS($S$6:S726,S726,$G$6:G726,G726,$D$6:D726,"Vastgesteld")=1),1,0))</f>
        <v>1</v>
      </c>
      <c r="V726" s="15">
        <f>IF(T726="",0,IF(AND(G726=T726,COUNTIFS($S$6:S726,S726,$G$6:G726,G726,$D$6:D726,"Vastgesteld")&gt;1),1,0))</f>
        <v>0</v>
      </c>
    </row>
    <row r="727">
      <c r="A727" s="92" t="inlineStr">
        <is>
          <t>HIST-2026-Q3</t>
        </is>
      </c>
      <c r="B727" s="92" t="inlineStr">
        <is>
          <t>RDFO_FICTIEVE_historie_en_mapping.xlsx</t>
        </is>
      </c>
      <c r="C727" s="108" t="n">
        <v>46324</v>
      </c>
      <c r="D727" s="92" t="inlineStr">
        <is>
          <t>Vastgesteld</t>
        </is>
      </c>
      <c r="E727" s="92" t="n">
        <v>2026</v>
      </c>
      <c r="F727" s="92" t="inlineStr">
        <is>
          <t>Q3</t>
        </is>
      </c>
      <c r="G727" s="92" t="n">
        <v>0</v>
      </c>
      <c r="H727" s="108" t="n">
        <v>46295</v>
      </c>
      <c r="I727" s="92" t="n">
        <v>2026</v>
      </c>
      <c r="J727" s="92" t="inlineStr">
        <is>
          <t>G.900001.8.9090</t>
        </is>
      </c>
      <c r="K727" s="92" t="inlineStr">
        <is>
          <t>G.900001</t>
        </is>
      </c>
      <c r="L727" s="92" t="inlineStr">
        <is>
          <t>Lindehaven, Parkzoom fase 1</t>
        </is>
      </c>
      <c r="M727" s="92" t="inlineStr">
        <is>
          <t>Opstal</t>
        </is>
      </c>
      <c r="N727" s="92" t="inlineStr">
        <is>
          <t>J</t>
        </is>
      </c>
      <c r="O727" s="92" t="inlineStr">
        <is>
          <t>Woningen verkocht t/m vorig jaar</t>
        </is>
      </c>
      <c r="P727" s="109" t="n">
        <v>6</v>
      </c>
      <c r="Q727" s="92" t="inlineStr">
        <is>
          <t>aantal</t>
        </is>
      </c>
      <c r="R727" s="92" t="inlineStr">
        <is>
          <t>Synthetische snapshot; kwartalen zijn FY-verdeling, geen actuals</t>
        </is>
      </c>
      <c r="S727" s="15" t="str">
        <f>IF(J727="","",J727&amp;"|"&amp;E727&amp;"|"&amp;F727&amp;"|"&amp;I727&amp;"|"&amp;O727)</f>
        <v>G.900001.8.9090|2026|Q3|2026|Woningen verkocht t/m vorig jaar</v>
      </c>
      <c r="T727" s="15">
        <f>IF(OR(S727="",D727&lt;&gt;"Vastgesteld"),"",_xlfn.MAXIFS($G$6:$G$5005,$S$6:$S$5005,S727,$D$6:$D$5005,"Vastgesteld"))</f>
        <v>0</v>
      </c>
      <c r="U727" s="15">
        <f>IF(T727="",0,IF(AND(G727=T727,COUNTIFS($S$6:S727,S727,$G$6:G727,G727,$D$6:D727,"Vastgesteld")=1),1,0))</f>
        <v>1</v>
      </c>
      <c r="V727" s="15">
        <f>IF(T727="",0,IF(AND(G727=T727,COUNTIFS($S$6:S727,S727,$G$6:G727,G727,$D$6:D727,"Vastgesteld")&gt;1),1,0))</f>
        <v>0</v>
      </c>
    </row>
    <row r="728">
      <c r="A728" s="92" t="inlineStr">
        <is>
          <t>HIST-2026-Q3</t>
        </is>
      </c>
      <c r="B728" s="92" t="inlineStr">
        <is>
          <t>RDFO_FICTIEVE_historie_en_mapping.xlsx</t>
        </is>
      </c>
      <c r="C728" s="108" t="n">
        <v>46324</v>
      </c>
      <c r="D728" s="92" t="inlineStr">
        <is>
          <t>Vastgesteld</t>
        </is>
      </c>
      <c r="E728" s="92" t="n">
        <v>2026</v>
      </c>
      <c r="F728" s="92" t="inlineStr">
        <is>
          <t>Q3</t>
        </is>
      </c>
      <c r="G728" s="92" t="n">
        <v>0</v>
      </c>
      <c r="H728" s="108" t="n">
        <v>46295</v>
      </c>
      <c r="I728" s="92" t="n">
        <v>2026</v>
      </c>
      <c r="J728" s="92" t="inlineStr">
        <is>
          <t>G.900001.8.9090</t>
        </is>
      </c>
      <c r="K728" s="92" t="inlineStr">
        <is>
          <t>G.900001</t>
        </is>
      </c>
      <c r="L728" s="92" t="inlineStr">
        <is>
          <t>Lindehaven, Parkzoom fase 1</t>
        </is>
      </c>
      <c r="M728" s="92" t="inlineStr">
        <is>
          <t>Opstal</t>
        </is>
      </c>
      <c r="N728" s="92" t="inlineStr">
        <is>
          <t>J</t>
        </is>
      </c>
      <c r="O728" s="92" t="inlineStr">
        <is>
          <t>Woningverkopen Q1</t>
        </is>
      </c>
      <c r="P728" s="109" t="n">
        <v>0</v>
      </c>
      <c r="Q728" s="92" t="inlineStr">
        <is>
          <t>aantal</t>
        </is>
      </c>
      <c r="R728" s="92" t="inlineStr">
        <is>
          <t>Synthetische snapshot; kwartalen zijn FY-verdeling, geen actuals</t>
        </is>
      </c>
      <c r="S728" s="15" t="str">
        <f>IF(J728="","",J728&amp;"|"&amp;E728&amp;"|"&amp;F728&amp;"|"&amp;I728&amp;"|"&amp;O728)</f>
        <v>G.900001.8.9090|2026|Q3|2026|Woningverkopen Q1</v>
      </c>
      <c r="T728" s="15">
        <f>IF(OR(S728="",D728&lt;&gt;"Vastgesteld"),"",_xlfn.MAXIFS($G$6:$G$5005,$S$6:$S$5005,S728,$D$6:$D$5005,"Vastgesteld"))</f>
        <v>0</v>
      </c>
      <c r="U728" s="15">
        <f>IF(T728="",0,IF(AND(G728=T728,COUNTIFS($S$6:S728,S728,$G$6:G728,G728,$D$6:D728,"Vastgesteld")=1),1,0))</f>
        <v>1</v>
      </c>
      <c r="V728" s="15">
        <f>IF(T728="",0,IF(AND(G728=T728,COUNTIFS($S$6:S728,S728,$G$6:G728,G728,$D$6:D728,"Vastgesteld")&gt;1),1,0))</f>
        <v>0</v>
      </c>
    </row>
    <row r="729">
      <c r="A729" s="92" t="inlineStr">
        <is>
          <t>HIST-2026-Q3</t>
        </is>
      </c>
      <c r="B729" s="92" t="inlineStr">
        <is>
          <t>RDFO_FICTIEVE_historie_en_mapping.xlsx</t>
        </is>
      </c>
      <c r="C729" s="108" t="n">
        <v>46324</v>
      </c>
      <c r="D729" s="92" t="inlineStr">
        <is>
          <t>Vastgesteld</t>
        </is>
      </c>
      <c r="E729" s="92" t="n">
        <v>2026</v>
      </c>
      <c r="F729" s="92" t="inlineStr">
        <is>
          <t>Q3</t>
        </is>
      </c>
      <c r="G729" s="92" t="n">
        <v>0</v>
      </c>
      <c r="H729" s="108" t="n">
        <v>46295</v>
      </c>
      <c r="I729" s="92" t="n">
        <v>2026</v>
      </c>
      <c r="J729" s="92" t="inlineStr">
        <is>
          <t>G.900001.8.9090</t>
        </is>
      </c>
      <c r="K729" s="92" t="inlineStr">
        <is>
          <t>G.900001</t>
        </is>
      </c>
      <c r="L729" s="92" t="inlineStr">
        <is>
          <t>Lindehaven, Parkzoom fase 1</t>
        </is>
      </c>
      <c r="M729" s="92" t="inlineStr">
        <is>
          <t>Opstal</t>
        </is>
      </c>
      <c r="N729" s="92" t="inlineStr">
        <is>
          <t>J</t>
        </is>
      </c>
      <c r="O729" s="92" t="inlineStr">
        <is>
          <t>Woningverkopen Q2</t>
        </is>
      </c>
      <c r="P729" s="109" t="n">
        <v>1</v>
      </c>
      <c r="Q729" s="92" t="inlineStr">
        <is>
          <t>aantal</t>
        </is>
      </c>
      <c r="R729" s="92" t="inlineStr">
        <is>
          <t>Synthetische snapshot; kwartalen zijn FY-verdeling, geen actuals</t>
        </is>
      </c>
      <c r="S729" s="15" t="str">
        <f>IF(J729="","",J729&amp;"|"&amp;E729&amp;"|"&amp;F729&amp;"|"&amp;I729&amp;"|"&amp;O729)</f>
        <v>G.900001.8.9090|2026|Q3|2026|Woningverkopen Q2</v>
      </c>
      <c r="T729" s="15">
        <f>IF(OR(S729="",D729&lt;&gt;"Vastgesteld"),"",_xlfn.MAXIFS($G$6:$G$5005,$S$6:$S$5005,S729,$D$6:$D$5005,"Vastgesteld"))</f>
        <v>0</v>
      </c>
      <c r="U729" s="15">
        <f>IF(T729="",0,IF(AND(G729=T729,COUNTIFS($S$6:S729,S729,$G$6:G729,G729,$D$6:D729,"Vastgesteld")=1),1,0))</f>
        <v>1</v>
      </c>
      <c r="V729" s="15">
        <f>IF(T729="",0,IF(AND(G729=T729,COUNTIFS($S$6:S729,S729,$G$6:G729,G729,$D$6:D729,"Vastgesteld")&gt;1),1,0))</f>
        <v>0</v>
      </c>
    </row>
    <row r="730">
      <c r="A730" s="92" t="inlineStr">
        <is>
          <t>HIST-2026-Q3</t>
        </is>
      </c>
      <c r="B730" s="92" t="inlineStr">
        <is>
          <t>RDFO_FICTIEVE_historie_en_mapping.xlsx</t>
        </is>
      </c>
      <c r="C730" s="108" t="n">
        <v>46324</v>
      </c>
      <c r="D730" s="92" t="inlineStr">
        <is>
          <t>Vastgesteld</t>
        </is>
      </c>
      <c r="E730" s="92" t="n">
        <v>2026</v>
      </c>
      <c r="F730" s="92" t="inlineStr">
        <is>
          <t>Q3</t>
        </is>
      </c>
      <c r="G730" s="92" t="n">
        <v>0</v>
      </c>
      <c r="H730" s="108" t="n">
        <v>46295</v>
      </c>
      <c r="I730" s="92" t="n">
        <v>2026</v>
      </c>
      <c r="J730" s="92" t="inlineStr">
        <is>
          <t>G.900001.8.9090</t>
        </is>
      </c>
      <c r="K730" s="92" t="inlineStr">
        <is>
          <t>G.900001</t>
        </is>
      </c>
      <c r="L730" s="92" t="inlineStr">
        <is>
          <t>Lindehaven, Parkzoom fase 1</t>
        </is>
      </c>
      <c r="M730" s="92" t="inlineStr">
        <is>
          <t>Opstal</t>
        </is>
      </c>
      <c r="N730" s="92" t="inlineStr">
        <is>
          <t>J</t>
        </is>
      </c>
      <c r="O730" s="92" t="inlineStr">
        <is>
          <t>Woningverkopen Q3</t>
        </is>
      </c>
      <c r="P730" s="109" t="n">
        <v>1</v>
      </c>
      <c r="Q730" s="92" t="inlineStr">
        <is>
          <t>aantal</t>
        </is>
      </c>
      <c r="R730" s="92" t="inlineStr">
        <is>
          <t>Synthetische snapshot; kwartalen zijn FY-verdeling, geen actuals</t>
        </is>
      </c>
      <c r="S730" s="15" t="str">
        <f>IF(J730="","",J730&amp;"|"&amp;E730&amp;"|"&amp;F730&amp;"|"&amp;I730&amp;"|"&amp;O730)</f>
        <v>G.900001.8.9090|2026|Q3|2026|Woningverkopen Q3</v>
      </c>
      <c r="T730" s="15">
        <f>IF(OR(S730="",D730&lt;&gt;"Vastgesteld"),"",_xlfn.MAXIFS($G$6:$G$5005,$S$6:$S$5005,S730,$D$6:$D$5005,"Vastgesteld"))</f>
        <v>0</v>
      </c>
      <c r="U730" s="15">
        <f>IF(T730="",0,IF(AND(G730=T730,COUNTIFS($S$6:S730,S730,$G$6:G730,G730,$D$6:D730,"Vastgesteld")=1),1,0))</f>
        <v>1</v>
      </c>
      <c r="V730" s="15">
        <f>IF(T730="",0,IF(AND(G730=T730,COUNTIFS($S$6:S730,S730,$G$6:G730,G730,$D$6:D730,"Vastgesteld")&gt;1),1,0))</f>
        <v>0</v>
      </c>
    </row>
    <row r="731">
      <c r="A731" s="92" t="inlineStr">
        <is>
          <t>HIST-2026-Q3</t>
        </is>
      </c>
      <c r="B731" s="92" t="inlineStr">
        <is>
          <t>RDFO_FICTIEVE_historie_en_mapping.xlsx</t>
        </is>
      </c>
      <c r="C731" s="108" t="n">
        <v>46324</v>
      </c>
      <c r="D731" s="92" t="inlineStr">
        <is>
          <t>Vastgesteld</t>
        </is>
      </c>
      <c r="E731" s="92" t="n">
        <v>2026</v>
      </c>
      <c r="F731" s="92" t="inlineStr">
        <is>
          <t>Q3</t>
        </is>
      </c>
      <c r="G731" s="92" t="n">
        <v>0</v>
      </c>
      <c r="H731" s="108" t="n">
        <v>46295</v>
      </c>
      <c r="I731" s="92" t="n">
        <v>2026</v>
      </c>
      <c r="J731" s="92" t="inlineStr">
        <is>
          <t>G.900001.8.9090</t>
        </is>
      </c>
      <c r="K731" s="92" t="inlineStr">
        <is>
          <t>G.900001</t>
        </is>
      </c>
      <c r="L731" s="92" t="inlineStr">
        <is>
          <t>Lindehaven, Parkzoom fase 1</t>
        </is>
      </c>
      <c r="M731" s="92" t="inlineStr">
        <is>
          <t>Opstal</t>
        </is>
      </c>
      <c r="N731" s="92" t="inlineStr">
        <is>
          <t>J</t>
        </is>
      </c>
      <c r="O731" s="92" t="inlineStr">
        <is>
          <t>Woningverkopen Q4</t>
        </is>
      </c>
      <c r="P731" s="109" t="n">
        <v>6</v>
      </c>
      <c r="Q731" s="92" t="inlineStr">
        <is>
          <t>aantal</t>
        </is>
      </c>
      <c r="R731" s="92" t="inlineStr">
        <is>
          <t>Synthetische snapshot; kwartalen zijn FY-verdeling, geen actuals</t>
        </is>
      </c>
      <c r="S731" s="15" t="str">
        <f>IF(J731="","",J731&amp;"|"&amp;E731&amp;"|"&amp;F731&amp;"|"&amp;I731&amp;"|"&amp;O731)</f>
        <v>G.900001.8.9090|2026|Q3|2026|Woningverkopen Q4</v>
      </c>
      <c r="T731" s="15">
        <f>IF(OR(S731="",D731&lt;&gt;"Vastgesteld"),"",_xlfn.MAXIFS($G$6:$G$5005,$S$6:$S$5005,S731,$D$6:$D$5005,"Vastgesteld"))</f>
        <v>0</v>
      </c>
      <c r="U731" s="15">
        <f>IF(T731="",0,IF(AND(G731=T731,COUNTIFS($S$6:S731,S731,$G$6:G731,G731,$D$6:D731,"Vastgesteld")=1),1,0))</f>
        <v>1</v>
      </c>
      <c r="V731" s="15">
        <f>IF(T731="",0,IF(AND(G731=T731,COUNTIFS($S$6:S731,S731,$G$6:G731,G731,$D$6:D731,"Vastgesteld")&gt;1),1,0))</f>
        <v>0</v>
      </c>
    </row>
    <row r="732">
      <c r="A732" s="92" t="inlineStr">
        <is>
          <t>HIST-2026-Q3</t>
        </is>
      </c>
      <c r="B732" s="92" t="inlineStr">
        <is>
          <t>RDFO_FICTIEVE_historie_en_mapping.xlsx</t>
        </is>
      </c>
      <c r="C732" s="108" t="n">
        <v>46324</v>
      </c>
      <c r="D732" s="92" t="inlineStr">
        <is>
          <t>Vastgesteld</t>
        </is>
      </c>
      <c r="E732" s="92" t="n">
        <v>2026</v>
      </c>
      <c r="F732" s="92" t="inlineStr">
        <is>
          <t>Q3</t>
        </is>
      </c>
      <c r="G732" s="92" t="n">
        <v>0</v>
      </c>
      <c r="H732" s="108" t="n">
        <v>46295</v>
      </c>
      <c r="I732" s="92" t="n">
        <v>2026</v>
      </c>
      <c r="J732" s="92" t="inlineStr">
        <is>
          <t>G.900001.8.9090</t>
        </is>
      </c>
      <c r="K732" s="92" t="inlineStr">
        <is>
          <t>G.900001</t>
        </is>
      </c>
      <c r="L732" s="92" t="inlineStr">
        <is>
          <t>Lindehaven, Parkzoom fase 1</t>
        </is>
      </c>
      <c r="M732" s="92" t="inlineStr">
        <is>
          <t>Opstal</t>
        </is>
      </c>
      <c r="N732" s="92" t="inlineStr">
        <is>
          <t>J</t>
        </is>
      </c>
      <c r="O732" s="92" t="inlineStr">
        <is>
          <t>Woningverkopen actual YTD</t>
        </is>
      </c>
      <c r="P732" s="109" t="n">
        <v>2</v>
      </c>
      <c r="Q732" s="92" t="inlineStr">
        <is>
          <t>aantal</t>
        </is>
      </c>
      <c r="R732" s="92" t="inlineStr">
        <is>
          <t>Synthetische snapshot; kwartalen zijn FY-verdeling, geen actuals</t>
        </is>
      </c>
      <c r="S732" s="15" t="str">
        <f>IF(J732="","",J732&amp;"|"&amp;E732&amp;"|"&amp;F732&amp;"|"&amp;I732&amp;"|"&amp;O732)</f>
        <v>G.900001.8.9090|2026|Q3|2026|Woningverkopen actual YTD</v>
      </c>
      <c r="T732" s="15">
        <f>IF(OR(S732="",D732&lt;&gt;"Vastgesteld"),"",_xlfn.MAXIFS($G$6:$G$5005,$S$6:$S$5005,S732,$D$6:$D$5005,"Vastgesteld"))</f>
        <v>0</v>
      </c>
      <c r="U732" s="15">
        <f>IF(T732="",0,IF(AND(G732=T732,COUNTIFS($S$6:S732,S732,$G$6:G732,G732,$D$6:D732,"Vastgesteld")=1),1,0))</f>
        <v>1</v>
      </c>
      <c r="V732" s="15">
        <f>IF(T732="",0,IF(AND(G732=T732,COUNTIFS($S$6:S732,S732,$G$6:G732,G732,$D$6:D732,"Vastgesteld")&gt;1),1,0))</f>
        <v>0</v>
      </c>
    </row>
    <row r="733">
      <c r="A733" s="92" t="inlineStr">
        <is>
          <t>HIST-2026-Q3</t>
        </is>
      </c>
      <c r="B733" s="92" t="inlineStr">
        <is>
          <t>RDFO_FICTIEVE_historie_en_mapping.xlsx</t>
        </is>
      </c>
      <c r="C733" s="108" t="n">
        <v>46324</v>
      </c>
      <c r="D733" s="92" t="inlineStr">
        <is>
          <t>Vastgesteld</t>
        </is>
      </c>
      <c r="E733" s="92" t="n">
        <v>2026</v>
      </c>
      <c r="F733" s="92" t="inlineStr">
        <is>
          <t>Q3</t>
        </is>
      </c>
      <c r="G733" s="92" t="n">
        <v>0</v>
      </c>
      <c r="H733" s="108" t="n">
        <v>46295</v>
      </c>
      <c r="I733" s="92" t="n">
        <v>2026</v>
      </c>
      <c r="J733" s="92" t="inlineStr">
        <is>
          <t>G.900002.8.9090</t>
        </is>
      </c>
      <c r="K733" s="92" t="inlineStr">
        <is>
          <t>G.900002</t>
        </is>
      </c>
      <c r="L733" s="92" t="inlineStr">
        <is>
          <t>Duinwaard, De Watergaarde</t>
        </is>
      </c>
      <c r="M733" s="92" t="inlineStr">
        <is>
          <t>Opstal</t>
        </is>
      </c>
      <c r="N733" s="92" t="inlineStr">
        <is>
          <t>J</t>
        </is>
      </c>
      <c r="O733" s="92" t="inlineStr">
        <is>
          <t>Woningverkopen FY</t>
        </is>
      </c>
      <c r="P733" s="109" t="n">
        <v>13</v>
      </c>
      <c r="Q733" s="92" t="inlineStr">
        <is>
          <t>aantal</t>
        </is>
      </c>
      <c r="R733" s="92" t="inlineStr">
        <is>
          <t>Synthetische snapshot; kwartalen zijn FY-verdeling, geen actuals</t>
        </is>
      </c>
      <c r="S733" s="15" t="str">
        <f>IF(J733="","",J733&amp;"|"&amp;E733&amp;"|"&amp;F733&amp;"|"&amp;I733&amp;"|"&amp;O733)</f>
        <v>G.900002.8.9090|2026|Q3|2026|Woningverkopen FY</v>
      </c>
      <c r="T733" s="15">
        <f>IF(OR(S733="",D733&lt;&gt;"Vastgesteld"),"",_xlfn.MAXIFS($G$6:$G$5005,$S$6:$S$5005,S733,$D$6:$D$5005,"Vastgesteld"))</f>
        <v>0</v>
      </c>
      <c r="U733" s="15">
        <f>IF(T733="",0,IF(AND(G733=T733,COUNTIFS($S$6:S733,S733,$G$6:G733,G733,$D$6:D733,"Vastgesteld")=1),1,0))</f>
        <v>1</v>
      </c>
      <c r="V733" s="15">
        <f>IF(T733="",0,IF(AND(G733=T733,COUNTIFS($S$6:S733,S733,$G$6:G733,G733,$D$6:D733,"Vastgesteld")&gt;1),1,0))</f>
        <v>0</v>
      </c>
    </row>
    <row r="734">
      <c r="A734" s="92" t="inlineStr">
        <is>
          <t>HIST-2026-Q3</t>
        </is>
      </c>
      <c r="B734" s="92" t="inlineStr">
        <is>
          <t>RDFO_FICTIEVE_historie_en_mapping.xlsx</t>
        </is>
      </c>
      <c r="C734" s="108" t="n">
        <v>46324</v>
      </c>
      <c r="D734" s="92" t="inlineStr">
        <is>
          <t>Vastgesteld</t>
        </is>
      </c>
      <c r="E734" s="92" t="n">
        <v>2026</v>
      </c>
      <c r="F734" s="92" t="inlineStr">
        <is>
          <t>Q3</t>
        </is>
      </c>
      <c r="G734" s="92" t="n">
        <v>0</v>
      </c>
      <c r="H734" s="108" t="n">
        <v>46295</v>
      </c>
      <c r="I734" s="92" t="n">
        <v>2026</v>
      </c>
      <c r="J734" s="92" t="inlineStr">
        <is>
          <t>G.900002.8.9090</t>
        </is>
      </c>
      <c r="K734" s="92" t="inlineStr">
        <is>
          <t>G.900002</t>
        </is>
      </c>
      <c r="L734" s="92" t="inlineStr">
        <is>
          <t>Duinwaard, De Watergaarde</t>
        </is>
      </c>
      <c r="M734" s="92" t="inlineStr">
        <is>
          <t>Opstal</t>
        </is>
      </c>
      <c r="N734" s="92" t="inlineStr">
        <is>
          <t>J</t>
        </is>
      </c>
      <c r="O734" s="92" t="inlineStr">
        <is>
          <t>Woningen verkocht t/m vorig jaar</t>
        </is>
      </c>
      <c r="P734" s="109" t="n">
        <v>9</v>
      </c>
      <c r="Q734" s="92" t="inlineStr">
        <is>
          <t>aantal</t>
        </is>
      </c>
      <c r="R734" s="92" t="inlineStr">
        <is>
          <t>Synthetische snapshot; kwartalen zijn FY-verdeling, geen actuals</t>
        </is>
      </c>
      <c r="S734" s="15" t="str">
        <f>IF(J734="","",J734&amp;"|"&amp;E734&amp;"|"&amp;F734&amp;"|"&amp;I734&amp;"|"&amp;O734)</f>
        <v>G.900002.8.9090|2026|Q3|2026|Woningen verkocht t/m vorig jaar</v>
      </c>
      <c r="T734" s="15">
        <f>IF(OR(S734="",D734&lt;&gt;"Vastgesteld"),"",_xlfn.MAXIFS($G$6:$G$5005,$S$6:$S$5005,S734,$D$6:$D$5005,"Vastgesteld"))</f>
        <v>0</v>
      </c>
      <c r="U734" s="15">
        <f>IF(T734="",0,IF(AND(G734=T734,COUNTIFS($S$6:S734,S734,$G$6:G734,G734,$D$6:D734,"Vastgesteld")=1),1,0))</f>
        <v>1</v>
      </c>
      <c r="V734" s="15">
        <f>IF(T734="",0,IF(AND(G734=T734,COUNTIFS($S$6:S734,S734,$G$6:G734,G734,$D$6:D734,"Vastgesteld")&gt;1),1,0))</f>
        <v>0</v>
      </c>
    </row>
    <row r="735">
      <c r="A735" s="92" t="inlineStr">
        <is>
          <t>HIST-2026-Q3</t>
        </is>
      </c>
      <c r="B735" s="92" t="inlineStr">
        <is>
          <t>RDFO_FICTIEVE_historie_en_mapping.xlsx</t>
        </is>
      </c>
      <c r="C735" s="108" t="n">
        <v>46324</v>
      </c>
      <c r="D735" s="92" t="inlineStr">
        <is>
          <t>Vastgesteld</t>
        </is>
      </c>
      <c r="E735" s="92" t="n">
        <v>2026</v>
      </c>
      <c r="F735" s="92" t="inlineStr">
        <is>
          <t>Q3</t>
        </is>
      </c>
      <c r="G735" s="92" t="n">
        <v>0</v>
      </c>
      <c r="H735" s="108" t="n">
        <v>46295</v>
      </c>
      <c r="I735" s="92" t="n">
        <v>2026</v>
      </c>
      <c r="J735" s="92" t="inlineStr">
        <is>
          <t>G.900002.8.9090</t>
        </is>
      </c>
      <c r="K735" s="92" t="inlineStr">
        <is>
          <t>G.900002</t>
        </is>
      </c>
      <c r="L735" s="92" t="inlineStr">
        <is>
          <t>Duinwaard, De Watergaarde</t>
        </is>
      </c>
      <c r="M735" s="92" t="inlineStr">
        <is>
          <t>Opstal</t>
        </is>
      </c>
      <c r="N735" s="92" t="inlineStr">
        <is>
          <t>J</t>
        </is>
      </c>
      <c r="O735" s="92" t="inlineStr">
        <is>
          <t>Woningverkopen Q1</t>
        </is>
      </c>
      <c r="P735" s="109" t="n">
        <v>1</v>
      </c>
      <c r="Q735" s="92" t="inlineStr">
        <is>
          <t>aantal</t>
        </is>
      </c>
      <c r="R735" s="92" t="inlineStr">
        <is>
          <t>Synthetische snapshot; kwartalen zijn FY-verdeling, geen actuals</t>
        </is>
      </c>
      <c r="S735" s="15" t="str">
        <f>IF(J735="","",J735&amp;"|"&amp;E735&amp;"|"&amp;F735&amp;"|"&amp;I735&amp;"|"&amp;O735)</f>
        <v>G.900002.8.9090|2026|Q3|2026|Woningverkopen Q1</v>
      </c>
      <c r="T735" s="15">
        <f>IF(OR(S735="",D735&lt;&gt;"Vastgesteld"),"",_xlfn.MAXIFS($G$6:$G$5005,$S$6:$S$5005,S735,$D$6:$D$5005,"Vastgesteld"))</f>
        <v>0</v>
      </c>
      <c r="U735" s="15">
        <f>IF(T735="",0,IF(AND(G735=T735,COUNTIFS($S$6:S735,S735,$G$6:G735,G735,$D$6:D735,"Vastgesteld")=1),1,0))</f>
        <v>1</v>
      </c>
      <c r="V735" s="15">
        <f>IF(T735="",0,IF(AND(G735=T735,COUNTIFS($S$6:S735,S735,$G$6:G735,G735,$D$6:D735,"Vastgesteld")&gt;1),1,0))</f>
        <v>0</v>
      </c>
    </row>
    <row r="736">
      <c r="A736" s="92" t="inlineStr">
        <is>
          <t>HIST-2026-Q3</t>
        </is>
      </c>
      <c r="B736" s="92" t="inlineStr">
        <is>
          <t>RDFO_FICTIEVE_historie_en_mapping.xlsx</t>
        </is>
      </c>
      <c r="C736" s="108" t="n">
        <v>46324</v>
      </c>
      <c r="D736" s="92" t="inlineStr">
        <is>
          <t>Vastgesteld</t>
        </is>
      </c>
      <c r="E736" s="92" t="n">
        <v>2026</v>
      </c>
      <c r="F736" s="92" t="inlineStr">
        <is>
          <t>Q3</t>
        </is>
      </c>
      <c r="G736" s="92" t="n">
        <v>0</v>
      </c>
      <c r="H736" s="108" t="n">
        <v>46295</v>
      </c>
      <c r="I736" s="92" t="n">
        <v>2026</v>
      </c>
      <c r="J736" s="92" t="inlineStr">
        <is>
          <t>G.900002.8.9090</t>
        </is>
      </c>
      <c r="K736" s="92" t="inlineStr">
        <is>
          <t>G.900002</t>
        </is>
      </c>
      <c r="L736" s="92" t="inlineStr">
        <is>
          <t>Duinwaard, De Watergaarde</t>
        </is>
      </c>
      <c r="M736" s="92" t="inlineStr">
        <is>
          <t>Opstal</t>
        </is>
      </c>
      <c r="N736" s="92" t="inlineStr">
        <is>
          <t>J</t>
        </is>
      </c>
      <c r="O736" s="92" t="inlineStr">
        <is>
          <t>Woningverkopen Q2</t>
        </is>
      </c>
      <c r="P736" s="109" t="n">
        <v>3</v>
      </c>
      <c r="Q736" s="92" t="inlineStr">
        <is>
          <t>aantal</t>
        </is>
      </c>
      <c r="R736" s="92" t="inlineStr">
        <is>
          <t>Synthetische snapshot; kwartalen zijn FY-verdeling, geen actuals</t>
        </is>
      </c>
      <c r="S736" s="15" t="str">
        <f>IF(J736="","",J736&amp;"|"&amp;E736&amp;"|"&amp;F736&amp;"|"&amp;I736&amp;"|"&amp;O736)</f>
        <v>G.900002.8.9090|2026|Q3|2026|Woningverkopen Q2</v>
      </c>
      <c r="T736" s="15">
        <f>IF(OR(S736="",D736&lt;&gt;"Vastgesteld"),"",_xlfn.MAXIFS($G$6:$G$5005,$S$6:$S$5005,S736,$D$6:$D$5005,"Vastgesteld"))</f>
        <v>0</v>
      </c>
      <c r="U736" s="15">
        <f>IF(T736="",0,IF(AND(G736=T736,COUNTIFS($S$6:S736,S736,$G$6:G736,G736,$D$6:D736,"Vastgesteld")=1),1,0))</f>
        <v>1</v>
      </c>
      <c r="V736" s="15">
        <f>IF(T736="",0,IF(AND(G736=T736,COUNTIFS($S$6:S736,S736,$G$6:G736,G736,$D$6:D736,"Vastgesteld")&gt;1),1,0))</f>
        <v>0</v>
      </c>
    </row>
    <row r="737">
      <c r="A737" s="92" t="inlineStr">
        <is>
          <t>HIST-2026-Q3</t>
        </is>
      </c>
      <c r="B737" s="92" t="inlineStr">
        <is>
          <t>RDFO_FICTIEVE_historie_en_mapping.xlsx</t>
        </is>
      </c>
      <c r="C737" s="108" t="n">
        <v>46324</v>
      </c>
      <c r="D737" s="92" t="inlineStr">
        <is>
          <t>Vastgesteld</t>
        </is>
      </c>
      <c r="E737" s="92" t="n">
        <v>2026</v>
      </c>
      <c r="F737" s="92" t="inlineStr">
        <is>
          <t>Q3</t>
        </is>
      </c>
      <c r="G737" s="92" t="n">
        <v>0</v>
      </c>
      <c r="H737" s="108" t="n">
        <v>46295</v>
      </c>
      <c r="I737" s="92" t="n">
        <v>2026</v>
      </c>
      <c r="J737" s="92" t="inlineStr">
        <is>
          <t>G.900002.8.9090</t>
        </is>
      </c>
      <c r="K737" s="92" t="inlineStr">
        <is>
          <t>G.900002</t>
        </is>
      </c>
      <c r="L737" s="92" t="inlineStr">
        <is>
          <t>Duinwaard, De Watergaarde</t>
        </is>
      </c>
      <c r="M737" s="92" t="inlineStr">
        <is>
          <t>Opstal</t>
        </is>
      </c>
      <c r="N737" s="92" t="inlineStr">
        <is>
          <t>J</t>
        </is>
      </c>
      <c r="O737" s="92" t="inlineStr">
        <is>
          <t>Woningverkopen Q3</t>
        </is>
      </c>
      <c r="P737" s="109" t="n">
        <v>3</v>
      </c>
      <c r="Q737" s="92" t="inlineStr">
        <is>
          <t>aantal</t>
        </is>
      </c>
      <c r="R737" s="92" t="inlineStr">
        <is>
          <t>Synthetische snapshot; kwartalen zijn FY-verdeling, geen actuals</t>
        </is>
      </c>
      <c r="S737" s="15" t="str">
        <f>IF(J737="","",J737&amp;"|"&amp;E737&amp;"|"&amp;F737&amp;"|"&amp;I737&amp;"|"&amp;O737)</f>
        <v>G.900002.8.9090|2026|Q3|2026|Woningverkopen Q3</v>
      </c>
      <c r="T737" s="15">
        <f>IF(OR(S737="",D737&lt;&gt;"Vastgesteld"),"",_xlfn.MAXIFS($G$6:$G$5005,$S$6:$S$5005,S737,$D$6:$D$5005,"Vastgesteld"))</f>
        <v>0</v>
      </c>
      <c r="U737" s="15">
        <f>IF(T737="",0,IF(AND(G737=T737,COUNTIFS($S$6:S737,S737,$G$6:G737,G737,$D$6:D737,"Vastgesteld")=1),1,0))</f>
        <v>1</v>
      </c>
      <c r="V737" s="15">
        <f>IF(T737="",0,IF(AND(G737=T737,COUNTIFS($S$6:S737,S737,$G$6:G737,G737,$D$6:D737,"Vastgesteld")&gt;1),1,0))</f>
        <v>0</v>
      </c>
    </row>
    <row r="738">
      <c r="A738" s="92" t="inlineStr">
        <is>
          <t>HIST-2026-Q3</t>
        </is>
      </c>
      <c r="B738" s="92" t="inlineStr">
        <is>
          <t>RDFO_FICTIEVE_historie_en_mapping.xlsx</t>
        </is>
      </c>
      <c r="C738" s="108" t="n">
        <v>46324</v>
      </c>
      <c r="D738" s="92" t="inlineStr">
        <is>
          <t>Vastgesteld</t>
        </is>
      </c>
      <c r="E738" s="92" t="n">
        <v>2026</v>
      </c>
      <c r="F738" s="92" t="inlineStr">
        <is>
          <t>Q3</t>
        </is>
      </c>
      <c r="G738" s="92" t="n">
        <v>0</v>
      </c>
      <c r="H738" s="108" t="n">
        <v>46295</v>
      </c>
      <c r="I738" s="92" t="n">
        <v>2026</v>
      </c>
      <c r="J738" s="92" t="inlineStr">
        <is>
          <t>G.900002.8.9090</t>
        </is>
      </c>
      <c r="K738" s="92" t="inlineStr">
        <is>
          <t>G.900002</t>
        </is>
      </c>
      <c r="L738" s="92" t="inlineStr">
        <is>
          <t>Duinwaard, De Watergaarde</t>
        </is>
      </c>
      <c r="M738" s="92" t="inlineStr">
        <is>
          <t>Opstal</t>
        </is>
      </c>
      <c r="N738" s="92" t="inlineStr">
        <is>
          <t>J</t>
        </is>
      </c>
      <c r="O738" s="92" t="inlineStr">
        <is>
          <t>Woningverkopen Q4</t>
        </is>
      </c>
      <c r="P738" s="109" t="n">
        <v>6</v>
      </c>
      <c r="Q738" s="92" t="inlineStr">
        <is>
          <t>aantal</t>
        </is>
      </c>
      <c r="R738" s="92" t="inlineStr">
        <is>
          <t>Synthetische snapshot; kwartalen zijn FY-verdeling, geen actuals</t>
        </is>
      </c>
      <c r="S738" s="15" t="str">
        <f>IF(J738="","",J738&amp;"|"&amp;E738&amp;"|"&amp;F738&amp;"|"&amp;I738&amp;"|"&amp;O738)</f>
        <v>G.900002.8.9090|2026|Q3|2026|Woningverkopen Q4</v>
      </c>
      <c r="T738" s="15">
        <f>IF(OR(S738="",D738&lt;&gt;"Vastgesteld"),"",_xlfn.MAXIFS($G$6:$G$5005,$S$6:$S$5005,S738,$D$6:$D$5005,"Vastgesteld"))</f>
        <v>0</v>
      </c>
      <c r="U738" s="15">
        <f>IF(T738="",0,IF(AND(G738=T738,COUNTIFS($S$6:S738,S738,$G$6:G738,G738,$D$6:D738,"Vastgesteld")=1),1,0))</f>
        <v>1</v>
      </c>
      <c r="V738" s="15">
        <f>IF(T738="",0,IF(AND(G738=T738,COUNTIFS($S$6:S738,S738,$G$6:G738,G738,$D$6:D738,"Vastgesteld")&gt;1),1,0))</f>
        <v>0</v>
      </c>
    </row>
    <row r="739">
      <c r="A739" s="92" t="inlineStr">
        <is>
          <t>HIST-2026-Q3</t>
        </is>
      </c>
      <c r="B739" s="92" t="inlineStr">
        <is>
          <t>RDFO_FICTIEVE_historie_en_mapping.xlsx</t>
        </is>
      </c>
      <c r="C739" s="108" t="n">
        <v>46324</v>
      </c>
      <c r="D739" s="92" t="inlineStr">
        <is>
          <t>Vastgesteld</t>
        </is>
      </c>
      <c r="E739" s="92" t="n">
        <v>2026</v>
      </c>
      <c r="F739" s="92" t="inlineStr">
        <is>
          <t>Q3</t>
        </is>
      </c>
      <c r="G739" s="92" t="n">
        <v>0</v>
      </c>
      <c r="H739" s="108" t="n">
        <v>46295</v>
      </c>
      <c r="I739" s="92" t="n">
        <v>2026</v>
      </c>
      <c r="J739" s="92" t="inlineStr">
        <is>
          <t>G.900002.8.9090</t>
        </is>
      </c>
      <c r="K739" s="92" t="inlineStr">
        <is>
          <t>G.900002</t>
        </is>
      </c>
      <c r="L739" s="92" t="inlineStr">
        <is>
          <t>Duinwaard, De Watergaarde</t>
        </is>
      </c>
      <c r="M739" s="92" t="inlineStr">
        <is>
          <t>Opstal</t>
        </is>
      </c>
      <c r="N739" s="92" t="inlineStr">
        <is>
          <t>J</t>
        </is>
      </c>
      <c r="O739" s="92" t="inlineStr">
        <is>
          <t>Woningverkopen actual YTD</t>
        </is>
      </c>
      <c r="P739" s="109" t="n">
        <v>7</v>
      </c>
      <c r="Q739" s="92" t="inlineStr">
        <is>
          <t>aantal</t>
        </is>
      </c>
      <c r="R739" s="92" t="inlineStr">
        <is>
          <t>Synthetische snapshot; kwartalen zijn FY-verdeling, geen actuals</t>
        </is>
      </c>
      <c r="S739" s="15" t="str">
        <f>IF(J739="","",J739&amp;"|"&amp;E739&amp;"|"&amp;F739&amp;"|"&amp;I739&amp;"|"&amp;O739)</f>
        <v>G.900002.8.9090|2026|Q3|2026|Woningverkopen actual YTD</v>
      </c>
      <c r="T739" s="15">
        <f>IF(OR(S739="",D739&lt;&gt;"Vastgesteld"),"",_xlfn.MAXIFS($G$6:$G$5005,$S$6:$S$5005,S739,$D$6:$D$5005,"Vastgesteld"))</f>
        <v>0</v>
      </c>
      <c r="U739" s="15">
        <f>IF(T739="",0,IF(AND(G739=T739,COUNTIFS($S$6:S739,S739,$G$6:G739,G739,$D$6:D739,"Vastgesteld")=1),1,0))</f>
        <v>1</v>
      </c>
      <c r="V739" s="15">
        <f>IF(T739="",0,IF(AND(G739=T739,COUNTIFS($S$6:S739,S739,$G$6:G739,G739,$D$6:D739,"Vastgesteld")&gt;1),1,0))</f>
        <v>0</v>
      </c>
    </row>
    <row r="740">
      <c r="A740" s="92" t="inlineStr">
        <is>
          <t>HIST-2026-Q3</t>
        </is>
      </c>
      <c r="B740" s="92" t="inlineStr">
        <is>
          <t>RDFO_FICTIEVE_historie_en_mapping.xlsx</t>
        </is>
      </c>
      <c r="C740" s="108" t="n">
        <v>46324</v>
      </c>
      <c r="D740" s="92" t="inlineStr">
        <is>
          <t>Vastgesteld</t>
        </is>
      </c>
      <c r="E740" s="92" t="n">
        <v>2026</v>
      </c>
      <c r="F740" s="92" t="inlineStr">
        <is>
          <t>Q3</t>
        </is>
      </c>
      <c r="G740" s="92" t="n">
        <v>0</v>
      </c>
      <c r="H740" s="108" t="n">
        <v>46295</v>
      </c>
      <c r="I740" s="92" t="n">
        <v>2026</v>
      </c>
      <c r="J740" s="92" t="inlineStr">
        <is>
          <t>G.900003.8.9090</t>
        </is>
      </c>
      <c r="K740" s="92" t="inlineStr">
        <is>
          <t>G.900003</t>
        </is>
      </c>
      <c r="L740" s="92" t="inlineStr">
        <is>
          <t>Veldendam, Stationshof</t>
        </is>
      </c>
      <c r="M740" s="92" t="inlineStr">
        <is>
          <t>Opstal</t>
        </is>
      </c>
      <c r="N740" s="92" t="inlineStr">
        <is>
          <t>J</t>
        </is>
      </c>
      <c r="O740" s="92" t="inlineStr">
        <is>
          <t>Woningverkopen FY</t>
        </is>
      </c>
      <c r="P740" s="109" t="n">
        <v>20</v>
      </c>
      <c r="Q740" s="92" t="inlineStr">
        <is>
          <t>aantal</t>
        </is>
      </c>
      <c r="R740" s="92" t="inlineStr">
        <is>
          <t>Synthetische snapshot; kwartalen zijn FY-verdeling, geen actuals</t>
        </is>
      </c>
      <c r="S740" s="15" t="str">
        <f>IF(J740="","",J740&amp;"|"&amp;E740&amp;"|"&amp;F740&amp;"|"&amp;I740&amp;"|"&amp;O740)</f>
        <v>G.900003.8.9090|2026|Q3|2026|Woningverkopen FY</v>
      </c>
      <c r="T740" s="15">
        <f>IF(OR(S740="",D740&lt;&gt;"Vastgesteld"),"",_xlfn.MAXIFS($G$6:$G$5005,$S$6:$S$5005,S740,$D$6:$D$5005,"Vastgesteld"))</f>
        <v>0</v>
      </c>
      <c r="U740" s="15">
        <f>IF(T740="",0,IF(AND(G740=T740,COUNTIFS($S$6:S740,S740,$G$6:G740,G740,$D$6:D740,"Vastgesteld")=1),1,0))</f>
        <v>1</v>
      </c>
      <c r="V740" s="15">
        <f>IF(T740="",0,IF(AND(G740=T740,COUNTIFS($S$6:S740,S740,$G$6:G740,G740,$D$6:D740,"Vastgesteld")&gt;1),1,0))</f>
        <v>0</v>
      </c>
    </row>
    <row r="741">
      <c r="A741" s="92" t="inlineStr">
        <is>
          <t>HIST-2026-Q3</t>
        </is>
      </c>
      <c r="B741" s="92" t="inlineStr">
        <is>
          <t>RDFO_FICTIEVE_historie_en_mapping.xlsx</t>
        </is>
      </c>
      <c r="C741" s="108" t="n">
        <v>46324</v>
      </c>
      <c r="D741" s="92" t="inlineStr">
        <is>
          <t>Vastgesteld</t>
        </is>
      </c>
      <c r="E741" s="92" t="n">
        <v>2026</v>
      </c>
      <c r="F741" s="92" t="inlineStr">
        <is>
          <t>Q3</t>
        </is>
      </c>
      <c r="G741" s="92" t="n">
        <v>0</v>
      </c>
      <c r="H741" s="108" t="n">
        <v>46295</v>
      </c>
      <c r="I741" s="92" t="n">
        <v>2026</v>
      </c>
      <c r="J741" s="92" t="inlineStr">
        <is>
          <t>G.900003.8.9090</t>
        </is>
      </c>
      <c r="K741" s="92" t="inlineStr">
        <is>
          <t>G.900003</t>
        </is>
      </c>
      <c r="L741" s="92" t="inlineStr">
        <is>
          <t>Veldendam, Stationshof</t>
        </is>
      </c>
      <c r="M741" s="92" t="inlineStr">
        <is>
          <t>Opstal</t>
        </is>
      </c>
      <c r="N741" s="92" t="inlineStr">
        <is>
          <t>J</t>
        </is>
      </c>
      <c r="O741" s="92" t="inlineStr">
        <is>
          <t>Woningen verkocht t/m vorig jaar</t>
        </is>
      </c>
      <c r="P741" s="109" t="n">
        <v>15</v>
      </c>
      <c r="Q741" s="92" t="inlineStr">
        <is>
          <t>aantal</t>
        </is>
      </c>
      <c r="R741" s="92" t="inlineStr">
        <is>
          <t>Synthetische snapshot; kwartalen zijn FY-verdeling, geen actuals</t>
        </is>
      </c>
      <c r="S741" s="15" t="str">
        <f>IF(J741="","",J741&amp;"|"&amp;E741&amp;"|"&amp;F741&amp;"|"&amp;I741&amp;"|"&amp;O741)</f>
        <v>G.900003.8.9090|2026|Q3|2026|Woningen verkocht t/m vorig jaar</v>
      </c>
      <c r="T741" s="15">
        <f>IF(OR(S741="",D741&lt;&gt;"Vastgesteld"),"",_xlfn.MAXIFS($G$6:$G$5005,$S$6:$S$5005,S741,$D$6:$D$5005,"Vastgesteld"))</f>
        <v>0</v>
      </c>
      <c r="U741" s="15">
        <f>IF(T741="",0,IF(AND(G741=T741,COUNTIFS($S$6:S741,S741,$G$6:G741,G741,$D$6:D741,"Vastgesteld")=1),1,0))</f>
        <v>1</v>
      </c>
      <c r="V741" s="15">
        <f>IF(T741="",0,IF(AND(G741=T741,COUNTIFS($S$6:S741,S741,$G$6:G741,G741,$D$6:D741,"Vastgesteld")&gt;1),1,0))</f>
        <v>0</v>
      </c>
    </row>
    <row r="742">
      <c r="A742" s="92" t="inlineStr">
        <is>
          <t>HIST-2026-Q3</t>
        </is>
      </c>
      <c r="B742" s="92" t="inlineStr">
        <is>
          <t>RDFO_FICTIEVE_historie_en_mapping.xlsx</t>
        </is>
      </c>
      <c r="C742" s="108" t="n">
        <v>46324</v>
      </c>
      <c r="D742" s="92" t="inlineStr">
        <is>
          <t>Vastgesteld</t>
        </is>
      </c>
      <c r="E742" s="92" t="n">
        <v>2026</v>
      </c>
      <c r="F742" s="92" t="inlineStr">
        <is>
          <t>Q3</t>
        </is>
      </c>
      <c r="G742" s="92" t="n">
        <v>0</v>
      </c>
      <c r="H742" s="108" t="n">
        <v>46295</v>
      </c>
      <c r="I742" s="92" t="n">
        <v>2026</v>
      </c>
      <c r="J742" s="92" t="inlineStr">
        <is>
          <t>G.900003.8.9090</t>
        </is>
      </c>
      <c r="K742" s="92" t="inlineStr">
        <is>
          <t>G.900003</t>
        </is>
      </c>
      <c r="L742" s="92" t="inlineStr">
        <is>
          <t>Veldendam, Stationshof</t>
        </is>
      </c>
      <c r="M742" s="92" t="inlineStr">
        <is>
          <t>Opstal</t>
        </is>
      </c>
      <c r="N742" s="92" t="inlineStr">
        <is>
          <t>J</t>
        </is>
      </c>
      <c r="O742" s="92" t="inlineStr">
        <is>
          <t>Woningverkopen Q1</t>
        </is>
      </c>
      <c r="P742" s="109" t="n">
        <v>1</v>
      </c>
      <c r="Q742" s="92" t="inlineStr">
        <is>
          <t>aantal</t>
        </is>
      </c>
      <c r="R742" s="92" t="inlineStr">
        <is>
          <t>Synthetische snapshot; kwartalen zijn FY-verdeling, geen actuals</t>
        </is>
      </c>
      <c r="S742" s="15" t="str">
        <f>IF(J742="","",J742&amp;"|"&amp;E742&amp;"|"&amp;F742&amp;"|"&amp;I742&amp;"|"&amp;O742)</f>
        <v>G.900003.8.9090|2026|Q3|2026|Woningverkopen Q1</v>
      </c>
      <c r="T742" s="15">
        <f>IF(OR(S742="",D742&lt;&gt;"Vastgesteld"),"",_xlfn.MAXIFS($G$6:$G$5005,$S$6:$S$5005,S742,$D$6:$D$5005,"Vastgesteld"))</f>
        <v>0</v>
      </c>
      <c r="U742" s="15">
        <f>IF(T742="",0,IF(AND(G742=T742,COUNTIFS($S$6:S742,S742,$G$6:G742,G742,$D$6:D742,"Vastgesteld")=1),1,0))</f>
        <v>1</v>
      </c>
      <c r="V742" s="15">
        <f>IF(T742="",0,IF(AND(G742=T742,COUNTIFS($S$6:S742,S742,$G$6:G742,G742,$D$6:D742,"Vastgesteld")&gt;1),1,0))</f>
        <v>0</v>
      </c>
    </row>
    <row r="743">
      <c r="A743" s="92" t="inlineStr">
        <is>
          <t>HIST-2026-Q3</t>
        </is>
      </c>
      <c r="B743" s="92" t="inlineStr">
        <is>
          <t>RDFO_FICTIEVE_historie_en_mapping.xlsx</t>
        </is>
      </c>
      <c r="C743" s="108" t="n">
        <v>46324</v>
      </c>
      <c r="D743" s="92" t="inlineStr">
        <is>
          <t>Vastgesteld</t>
        </is>
      </c>
      <c r="E743" s="92" t="n">
        <v>2026</v>
      </c>
      <c r="F743" s="92" t="inlineStr">
        <is>
          <t>Q3</t>
        </is>
      </c>
      <c r="G743" s="92" t="n">
        <v>0</v>
      </c>
      <c r="H743" s="108" t="n">
        <v>46295</v>
      </c>
      <c r="I743" s="92" t="n">
        <v>2026</v>
      </c>
      <c r="J743" s="92" t="inlineStr">
        <is>
          <t>G.900003.8.9090</t>
        </is>
      </c>
      <c r="K743" s="92" t="inlineStr">
        <is>
          <t>G.900003</t>
        </is>
      </c>
      <c r="L743" s="92" t="inlineStr">
        <is>
          <t>Veldendam, Stationshof</t>
        </is>
      </c>
      <c r="M743" s="92" t="inlineStr">
        <is>
          <t>Opstal</t>
        </is>
      </c>
      <c r="N743" s="92" t="inlineStr">
        <is>
          <t>J</t>
        </is>
      </c>
      <c r="O743" s="92" t="inlineStr">
        <is>
          <t>Woningverkopen Q2</t>
        </is>
      </c>
      <c r="P743" s="109" t="n">
        <v>4</v>
      </c>
      <c r="Q743" s="92" t="inlineStr">
        <is>
          <t>aantal</t>
        </is>
      </c>
      <c r="R743" s="92" t="inlineStr">
        <is>
          <t>Synthetische snapshot; kwartalen zijn FY-verdeling, geen actuals</t>
        </is>
      </c>
      <c r="S743" s="15" t="str">
        <f>IF(J743="","",J743&amp;"|"&amp;E743&amp;"|"&amp;F743&amp;"|"&amp;I743&amp;"|"&amp;O743)</f>
        <v>G.900003.8.9090|2026|Q3|2026|Woningverkopen Q2</v>
      </c>
      <c r="T743" s="15">
        <f>IF(OR(S743="",D743&lt;&gt;"Vastgesteld"),"",_xlfn.MAXIFS($G$6:$G$5005,$S$6:$S$5005,S743,$D$6:$D$5005,"Vastgesteld"))</f>
        <v>0</v>
      </c>
      <c r="U743" s="15">
        <f>IF(T743="",0,IF(AND(G743=T743,COUNTIFS($S$6:S743,S743,$G$6:G743,G743,$D$6:D743,"Vastgesteld")=1),1,0))</f>
        <v>1</v>
      </c>
      <c r="V743" s="15">
        <f>IF(T743="",0,IF(AND(G743=T743,COUNTIFS($S$6:S743,S743,$G$6:G743,G743,$D$6:D743,"Vastgesteld")&gt;1),1,0))</f>
        <v>0</v>
      </c>
    </row>
    <row r="744">
      <c r="A744" s="92" t="inlineStr">
        <is>
          <t>HIST-2026-Q3</t>
        </is>
      </c>
      <c r="B744" s="92" t="inlineStr">
        <is>
          <t>RDFO_FICTIEVE_historie_en_mapping.xlsx</t>
        </is>
      </c>
      <c r="C744" s="108" t="n">
        <v>46324</v>
      </c>
      <c r="D744" s="92" t="inlineStr">
        <is>
          <t>Vastgesteld</t>
        </is>
      </c>
      <c r="E744" s="92" t="n">
        <v>2026</v>
      </c>
      <c r="F744" s="92" t="inlineStr">
        <is>
          <t>Q3</t>
        </is>
      </c>
      <c r="G744" s="92" t="n">
        <v>0</v>
      </c>
      <c r="H744" s="108" t="n">
        <v>46295</v>
      </c>
      <c r="I744" s="92" t="n">
        <v>2026</v>
      </c>
      <c r="J744" s="92" t="inlineStr">
        <is>
          <t>G.900003.8.9090</t>
        </is>
      </c>
      <c r="K744" s="92" t="inlineStr">
        <is>
          <t>G.900003</t>
        </is>
      </c>
      <c r="L744" s="92" t="inlineStr">
        <is>
          <t>Veldendam, Stationshof</t>
        </is>
      </c>
      <c r="M744" s="92" t="inlineStr">
        <is>
          <t>Opstal</t>
        </is>
      </c>
      <c r="N744" s="92" t="inlineStr">
        <is>
          <t>J</t>
        </is>
      </c>
      <c r="O744" s="92" t="inlineStr">
        <is>
          <t>Woningverkopen Q3</t>
        </is>
      </c>
      <c r="P744" s="109" t="n">
        <v>4</v>
      </c>
      <c r="Q744" s="92" t="inlineStr">
        <is>
          <t>aantal</t>
        </is>
      </c>
      <c r="R744" s="92" t="inlineStr">
        <is>
          <t>Synthetische snapshot; kwartalen zijn FY-verdeling, geen actuals</t>
        </is>
      </c>
      <c r="S744" s="15" t="str">
        <f>IF(J744="","",J744&amp;"|"&amp;E744&amp;"|"&amp;F744&amp;"|"&amp;I744&amp;"|"&amp;O744)</f>
        <v>G.900003.8.9090|2026|Q3|2026|Woningverkopen Q3</v>
      </c>
      <c r="T744" s="15">
        <f>IF(OR(S744="",D744&lt;&gt;"Vastgesteld"),"",_xlfn.MAXIFS($G$6:$G$5005,$S$6:$S$5005,S744,$D$6:$D$5005,"Vastgesteld"))</f>
        <v>0</v>
      </c>
      <c r="U744" s="15">
        <f>IF(T744="",0,IF(AND(G744=T744,COUNTIFS($S$6:S744,S744,$G$6:G744,G744,$D$6:D744,"Vastgesteld")=1),1,0))</f>
        <v>1</v>
      </c>
      <c r="V744" s="15">
        <f>IF(T744="",0,IF(AND(G744=T744,COUNTIFS($S$6:S744,S744,$G$6:G744,G744,$D$6:D744,"Vastgesteld")&gt;1),1,0))</f>
        <v>0</v>
      </c>
    </row>
    <row r="745">
      <c r="A745" s="92" t="inlineStr">
        <is>
          <t>HIST-2026-Q3</t>
        </is>
      </c>
      <c r="B745" s="92" t="inlineStr">
        <is>
          <t>RDFO_FICTIEVE_historie_en_mapping.xlsx</t>
        </is>
      </c>
      <c r="C745" s="108" t="n">
        <v>46324</v>
      </c>
      <c r="D745" s="92" t="inlineStr">
        <is>
          <t>Vastgesteld</t>
        </is>
      </c>
      <c r="E745" s="92" t="n">
        <v>2026</v>
      </c>
      <c r="F745" s="92" t="inlineStr">
        <is>
          <t>Q3</t>
        </is>
      </c>
      <c r="G745" s="92" t="n">
        <v>0</v>
      </c>
      <c r="H745" s="108" t="n">
        <v>46295</v>
      </c>
      <c r="I745" s="92" t="n">
        <v>2026</v>
      </c>
      <c r="J745" s="92" t="inlineStr">
        <is>
          <t>G.900003.8.9090</t>
        </is>
      </c>
      <c r="K745" s="92" t="inlineStr">
        <is>
          <t>G.900003</t>
        </is>
      </c>
      <c r="L745" s="92" t="inlineStr">
        <is>
          <t>Veldendam, Stationshof</t>
        </is>
      </c>
      <c r="M745" s="92" t="inlineStr">
        <is>
          <t>Opstal</t>
        </is>
      </c>
      <c r="N745" s="92" t="inlineStr">
        <is>
          <t>J</t>
        </is>
      </c>
      <c r="O745" s="92" t="inlineStr">
        <is>
          <t>Woningverkopen Q4</t>
        </is>
      </c>
      <c r="P745" s="109" t="n">
        <v>11</v>
      </c>
      <c r="Q745" s="92" t="inlineStr">
        <is>
          <t>aantal</t>
        </is>
      </c>
      <c r="R745" s="92" t="inlineStr">
        <is>
          <t>Synthetische snapshot; kwartalen zijn FY-verdeling, geen actuals</t>
        </is>
      </c>
      <c r="S745" s="15" t="str">
        <f>IF(J745="","",J745&amp;"|"&amp;E745&amp;"|"&amp;F745&amp;"|"&amp;I745&amp;"|"&amp;O745)</f>
        <v>G.900003.8.9090|2026|Q3|2026|Woningverkopen Q4</v>
      </c>
      <c r="T745" s="15">
        <f>IF(OR(S745="",D745&lt;&gt;"Vastgesteld"),"",_xlfn.MAXIFS($G$6:$G$5005,$S$6:$S$5005,S745,$D$6:$D$5005,"Vastgesteld"))</f>
        <v>0</v>
      </c>
      <c r="U745" s="15">
        <f>IF(T745="",0,IF(AND(G745=T745,COUNTIFS($S$6:S745,S745,$G$6:G745,G745,$D$6:D745,"Vastgesteld")=1),1,0))</f>
        <v>1</v>
      </c>
      <c r="V745" s="15">
        <f>IF(T745="",0,IF(AND(G745=T745,COUNTIFS($S$6:S745,S745,$G$6:G745,G745,$D$6:D745,"Vastgesteld")&gt;1),1,0))</f>
        <v>0</v>
      </c>
    </row>
    <row r="746">
      <c r="A746" s="92" t="inlineStr">
        <is>
          <t>HIST-2026-Q3</t>
        </is>
      </c>
      <c r="B746" s="92" t="inlineStr">
        <is>
          <t>RDFO_FICTIEVE_historie_en_mapping.xlsx</t>
        </is>
      </c>
      <c r="C746" s="108" t="n">
        <v>46324</v>
      </c>
      <c r="D746" s="92" t="inlineStr">
        <is>
          <t>Vastgesteld</t>
        </is>
      </c>
      <c r="E746" s="92" t="n">
        <v>2026</v>
      </c>
      <c r="F746" s="92" t="inlineStr">
        <is>
          <t>Q3</t>
        </is>
      </c>
      <c r="G746" s="92" t="n">
        <v>0</v>
      </c>
      <c r="H746" s="108" t="n">
        <v>46295</v>
      </c>
      <c r="I746" s="92" t="n">
        <v>2026</v>
      </c>
      <c r="J746" s="92" t="inlineStr">
        <is>
          <t>G.900003.8.9090</t>
        </is>
      </c>
      <c r="K746" s="92" t="inlineStr">
        <is>
          <t>G.900003</t>
        </is>
      </c>
      <c r="L746" s="92" t="inlineStr">
        <is>
          <t>Veldendam, Stationshof</t>
        </is>
      </c>
      <c r="M746" s="92" t="inlineStr">
        <is>
          <t>Opstal</t>
        </is>
      </c>
      <c r="N746" s="92" t="inlineStr">
        <is>
          <t>J</t>
        </is>
      </c>
      <c r="O746" s="92" t="inlineStr">
        <is>
          <t>Woningverkopen actual YTD</t>
        </is>
      </c>
      <c r="P746" s="109" t="n">
        <v>9</v>
      </c>
      <c r="Q746" s="92" t="inlineStr">
        <is>
          <t>aantal</t>
        </is>
      </c>
      <c r="R746" s="92" t="inlineStr">
        <is>
          <t>Synthetische snapshot; kwartalen zijn FY-verdeling, geen actuals</t>
        </is>
      </c>
      <c r="S746" s="15" t="str">
        <f>IF(J746="","",J746&amp;"|"&amp;E746&amp;"|"&amp;F746&amp;"|"&amp;I746&amp;"|"&amp;O746)</f>
        <v>G.900003.8.9090|2026|Q3|2026|Woningverkopen actual YTD</v>
      </c>
      <c r="T746" s="15">
        <f>IF(OR(S746="",D746&lt;&gt;"Vastgesteld"),"",_xlfn.MAXIFS($G$6:$G$5005,$S$6:$S$5005,S746,$D$6:$D$5005,"Vastgesteld"))</f>
        <v>0</v>
      </c>
      <c r="U746" s="15">
        <f>IF(T746="",0,IF(AND(G746=T746,COUNTIFS($S$6:S746,S746,$G$6:G746,G746,$D$6:D746,"Vastgesteld")=1),1,0))</f>
        <v>1</v>
      </c>
      <c r="V746" s="15">
        <f>IF(T746="",0,IF(AND(G746=T746,COUNTIFS($S$6:S746,S746,$G$6:G746,G746,$D$6:D746,"Vastgesteld")&gt;1),1,0))</f>
        <v>0</v>
      </c>
    </row>
    <row r="747">
      <c r="A747" s="92" t="inlineStr">
        <is>
          <t>HIST-2026-Q3</t>
        </is>
      </c>
      <c r="B747" s="92" t="inlineStr">
        <is>
          <t>RDFO_FICTIEVE_historie_en_mapping.xlsx</t>
        </is>
      </c>
      <c r="C747" s="108" t="n">
        <v>46324</v>
      </c>
      <c r="D747" s="92" t="inlineStr">
        <is>
          <t>Vastgesteld</t>
        </is>
      </c>
      <c r="E747" s="92" t="n">
        <v>2026</v>
      </c>
      <c r="F747" s="92" t="inlineStr">
        <is>
          <t>Q3</t>
        </is>
      </c>
      <c r="G747" s="92" t="n">
        <v>0</v>
      </c>
      <c r="H747" s="108" t="n">
        <v>46295</v>
      </c>
      <c r="I747" s="92" t="n">
        <v>2026</v>
      </c>
      <c r="J747" s="92" t="inlineStr">
        <is>
          <t>G.900004.8.9090</t>
        </is>
      </c>
      <c r="K747" s="92" t="inlineStr">
        <is>
          <t>G.900004</t>
        </is>
      </c>
      <c r="L747" s="92" t="inlineStr">
        <is>
          <t>Meerhovenstad, Het Kompas</t>
        </is>
      </c>
      <c r="M747" s="92" t="inlineStr">
        <is>
          <t>Deelneming</t>
        </is>
      </c>
      <c r="N747" s="92" t="inlineStr">
        <is>
          <t>N</t>
        </is>
      </c>
      <c r="O747" s="92" t="inlineStr">
        <is>
          <t>Woningverkopen FY</t>
        </is>
      </c>
      <c r="P747" s="109" t="n">
        <v>6</v>
      </c>
      <c r="Q747" s="92" t="inlineStr">
        <is>
          <t>aantal</t>
        </is>
      </c>
      <c r="R747" s="92" t="inlineStr">
        <is>
          <t>Synthetische snapshot; kwartalen zijn FY-verdeling, geen actuals</t>
        </is>
      </c>
      <c r="S747" s="15" t="str">
        <f>IF(J747="","",J747&amp;"|"&amp;E747&amp;"|"&amp;F747&amp;"|"&amp;I747&amp;"|"&amp;O747)</f>
        <v>G.900004.8.9090|2026|Q3|2026|Woningverkopen FY</v>
      </c>
      <c r="T747" s="15">
        <f>IF(OR(S747="",D747&lt;&gt;"Vastgesteld"),"",_xlfn.MAXIFS($G$6:$G$5005,$S$6:$S$5005,S747,$D$6:$D$5005,"Vastgesteld"))</f>
        <v>0</v>
      </c>
      <c r="U747" s="15">
        <f>IF(T747="",0,IF(AND(G747=T747,COUNTIFS($S$6:S747,S747,$G$6:G747,G747,$D$6:D747,"Vastgesteld")=1),1,0))</f>
        <v>1</v>
      </c>
      <c r="V747" s="15">
        <f>IF(T747="",0,IF(AND(G747=T747,COUNTIFS($S$6:S747,S747,$G$6:G747,G747,$D$6:D747,"Vastgesteld")&gt;1),1,0))</f>
        <v>0</v>
      </c>
    </row>
    <row r="748">
      <c r="A748" s="92" t="inlineStr">
        <is>
          <t>HIST-2026-Q3</t>
        </is>
      </c>
      <c r="B748" s="92" t="inlineStr">
        <is>
          <t>RDFO_FICTIEVE_historie_en_mapping.xlsx</t>
        </is>
      </c>
      <c r="C748" s="108" t="n">
        <v>46324</v>
      </c>
      <c r="D748" s="92" t="inlineStr">
        <is>
          <t>Vastgesteld</t>
        </is>
      </c>
      <c r="E748" s="92" t="n">
        <v>2026</v>
      </c>
      <c r="F748" s="92" t="inlineStr">
        <is>
          <t>Q3</t>
        </is>
      </c>
      <c r="G748" s="92" t="n">
        <v>0</v>
      </c>
      <c r="H748" s="108" t="n">
        <v>46295</v>
      </c>
      <c r="I748" s="92" t="n">
        <v>2026</v>
      </c>
      <c r="J748" s="92" t="inlineStr">
        <is>
          <t>G.900004.8.9090</t>
        </is>
      </c>
      <c r="K748" s="92" t="inlineStr">
        <is>
          <t>G.900004</t>
        </is>
      </c>
      <c r="L748" s="92" t="inlineStr">
        <is>
          <t>Meerhovenstad, Het Kompas</t>
        </is>
      </c>
      <c r="M748" s="92" t="inlineStr">
        <is>
          <t>Deelneming</t>
        </is>
      </c>
      <c r="N748" s="92" t="inlineStr">
        <is>
          <t>N</t>
        </is>
      </c>
      <c r="O748" s="92" t="inlineStr">
        <is>
          <t>Woningen verkocht t/m vorig jaar</t>
        </is>
      </c>
      <c r="P748" s="109" t="n">
        <v>4</v>
      </c>
      <c r="Q748" s="92" t="inlineStr">
        <is>
          <t>aantal</t>
        </is>
      </c>
      <c r="R748" s="92" t="inlineStr">
        <is>
          <t>Synthetische snapshot; kwartalen zijn FY-verdeling, geen actuals</t>
        </is>
      </c>
      <c r="S748" s="15" t="str">
        <f>IF(J748="","",J748&amp;"|"&amp;E748&amp;"|"&amp;F748&amp;"|"&amp;I748&amp;"|"&amp;O748)</f>
        <v>G.900004.8.9090|2026|Q3|2026|Woningen verkocht t/m vorig jaar</v>
      </c>
      <c r="T748" s="15">
        <f>IF(OR(S748="",D748&lt;&gt;"Vastgesteld"),"",_xlfn.MAXIFS($G$6:$G$5005,$S$6:$S$5005,S748,$D$6:$D$5005,"Vastgesteld"))</f>
        <v>0</v>
      </c>
      <c r="U748" s="15">
        <f>IF(T748="",0,IF(AND(G748=T748,COUNTIFS($S$6:S748,S748,$G$6:G748,G748,$D$6:D748,"Vastgesteld")=1),1,0))</f>
        <v>1</v>
      </c>
      <c r="V748" s="15">
        <f>IF(T748="",0,IF(AND(G748=T748,COUNTIFS($S$6:S748,S748,$G$6:G748,G748,$D$6:D748,"Vastgesteld")&gt;1),1,0))</f>
        <v>0</v>
      </c>
    </row>
    <row r="749">
      <c r="A749" s="92" t="inlineStr">
        <is>
          <t>HIST-2026-Q3</t>
        </is>
      </c>
      <c r="B749" s="92" t="inlineStr">
        <is>
          <t>RDFO_FICTIEVE_historie_en_mapping.xlsx</t>
        </is>
      </c>
      <c r="C749" s="108" t="n">
        <v>46324</v>
      </c>
      <c r="D749" s="92" t="inlineStr">
        <is>
          <t>Vastgesteld</t>
        </is>
      </c>
      <c r="E749" s="92" t="n">
        <v>2026</v>
      </c>
      <c r="F749" s="92" t="inlineStr">
        <is>
          <t>Q3</t>
        </is>
      </c>
      <c r="G749" s="92" t="n">
        <v>0</v>
      </c>
      <c r="H749" s="108" t="n">
        <v>46295</v>
      </c>
      <c r="I749" s="92" t="n">
        <v>2026</v>
      </c>
      <c r="J749" s="92" t="inlineStr">
        <is>
          <t>G.900004.8.9090</t>
        </is>
      </c>
      <c r="K749" s="92" t="inlineStr">
        <is>
          <t>G.900004</t>
        </is>
      </c>
      <c r="L749" s="92" t="inlineStr">
        <is>
          <t>Meerhovenstad, Het Kompas</t>
        </is>
      </c>
      <c r="M749" s="92" t="inlineStr">
        <is>
          <t>Deelneming</t>
        </is>
      </c>
      <c r="N749" s="92" t="inlineStr">
        <is>
          <t>N</t>
        </is>
      </c>
      <c r="O749" s="92" t="inlineStr">
        <is>
          <t>Woningverkopen Q1</t>
        </is>
      </c>
      <c r="P749" s="109" t="n">
        <v>0</v>
      </c>
      <c r="Q749" s="92" t="inlineStr">
        <is>
          <t>aantal</t>
        </is>
      </c>
      <c r="R749" s="92" t="inlineStr">
        <is>
          <t>Synthetische snapshot; kwartalen zijn FY-verdeling, geen actuals</t>
        </is>
      </c>
      <c r="S749" s="15" t="str">
        <f>IF(J749="","",J749&amp;"|"&amp;E749&amp;"|"&amp;F749&amp;"|"&amp;I749&amp;"|"&amp;O749)</f>
        <v>G.900004.8.9090|2026|Q3|2026|Woningverkopen Q1</v>
      </c>
      <c r="T749" s="15">
        <f>IF(OR(S749="",D749&lt;&gt;"Vastgesteld"),"",_xlfn.MAXIFS($G$6:$G$5005,$S$6:$S$5005,S749,$D$6:$D$5005,"Vastgesteld"))</f>
        <v>0</v>
      </c>
      <c r="U749" s="15">
        <f>IF(T749="",0,IF(AND(G749=T749,COUNTIFS($S$6:S749,S749,$G$6:G749,G749,$D$6:D749,"Vastgesteld")=1),1,0))</f>
        <v>1</v>
      </c>
      <c r="V749" s="15">
        <f>IF(T749="",0,IF(AND(G749=T749,COUNTIFS($S$6:S749,S749,$G$6:G749,G749,$D$6:D749,"Vastgesteld")&gt;1),1,0))</f>
        <v>0</v>
      </c>
    </row>
    <row r="750">
      <c r="A750" s="92" t="inlineStr">
        <is>
          <t>HIST-2026-Q3</t>
        </is>
      </c>
      <c r="B750" s="92" t="inlineStr">
        <is>
          <t>RDFO_FICTIEVE_historie_en_mapping.xlsx</t>
        </is>
      </c>
      <c r="C750" s="108" t="n">
        <v>46324</v>
      </c>
      <c r="D750" s="92" t="inlineStr">
        <is>
          <t>Vastgesteld</t>
        </is>
      </c>
      <c r="E750" s="92" t="n">
        <v>2026</v>
      </c>
      <c r="F750" s="92" t="inlineStr">
        <is>
          <t>Q3</t>
        </is>
      </c>
      <c r="G750" s="92" t="n">
        <v>0</v>
      </c>
      <c r="H750" s="108" t="n">
        <v>46295</v>
      </c>
      <c r="I750" s="92" t="n">
        <v>2026</v>
      </c>
      <c r="J750" s="92" t="inlineStr">
        <is>
          <t>G.900004.8.9090</t>
        </is>
      </c>
      <c r="K750" s="92" t="inlineStr">
        <is>
          <t>G.900004</t>
        </is>
      </c>
      <c r="L750" s="92" t="inlineStr">
        <is>
          <t>Meerhovenstad, Het Kompas</t>
        </is>
      </c>
      <c r="M750" s="92" t="inlineStr">
        <is>
          <t>Deelneming</t>
        </is>
      </c>
      <c r="N750" s="92" t="inlineStr">
        <is>
          <t>N</t>
        </is>
      </c>
      <c r="O750" s="92" t="inlineStr">
        <is>
          <t>Woningverkopen Q2</t>
        </is>
      </c>
      <c r="P750" s="109" t="n">
        <v>0</v>
      </c>
      <c r="Q750" s="92" t="inlineStr">
        <is>
          <t>aantal</t>
        </is>
      </c>
      <c r="R750" s="92" t="inlineStr">
        <is>
          <t>Synthetische snapshot; kwartalen zijn FY-verdeling, geen actuals</t>
        </is>
      </c>
      <c r="S750" s="15" t="str">
        <f>IF(J750="","",J750&amp;"|"&amp;E750&amp;"|"&amp;F750&amp;"|"&amp;I750&amp;"|"&amp;O750)</f>
        <v>G.900004.8.9090|2026|Q3|2026|Woningverkopen Q2</v>
      </c>
      <c r="T750" s="15">
        <f>IF(OR(S750="",D750&lt;&gt;"Vastgesteld"),"",_xlfn.MAXIFS($G$6:$G$5005,$S$6:$S$5005,S750,$D$6:$D$5005,"Vastgesteld"))</f>
        <v>0</v>
      </c>
      <c r="U750" s="15">
        <f>IF(T750="",0,IF(AND(G750=T750,COUNTIFS($S$6:S750,S750,$G$6:G750,G750,$D$6:D750,"Vastgesteld")=1),1,0))</f>
        <v>1</v>
      </c>
      <c r="V750" s="15">
        <f>IF(T750="",0,IF(AND(G750=T750,COUNTIFS($S$6:S750,S750,$G$6:G750,G750,$D$6:D750,"Vastgesteld")&gt;1),1,0))</f>
        <v>0</v>
      </c>
    </row>
    <row r="751">
      <c r="A751" s="92" t="inlineStr">
        <is>
          <t>HIST-2026-Q3</t>
        </is>
      </c>
      <c r="B751" s="92" t="inlineStr">
        <is>
          <t>RDFO_FICTIEVE_historie_en_mapping.xlsx</t>
        </is>
      </c>
      <c r="C751" s="108" t="n">
        <v>46324</v>
      </c>
      <c r="D751" s="92" t="inlineStr">
        <is>
          <t>Vastgesteld</t>
        </is>
      </c>
      <c r="E751" s="92" t="n">
        <v>2026</v>
      </c>
      <c r="F751" s="92" t="inlineStr">
        <is>
          <t>Q3</t>
        </is>
      </c>
      <c r="G751" s="92" t="n">
        <v>0</v>
      </c>
      <c r="H751" s="108" t="n">
        <v>46295</v>
      </c>
      <c r="I751" s="92" t="n">
        <v>2026</v>
      </c>
      <c r="J751" s="92" t="inlineStr">
        <is>
          <t>G.900004.8.9090</t>
        </is>
      </c>
      <c r="K751" s="92" t="inlineStr">
        <is>
          <t>G.900004</t>
        </is>
      </c>
      <c r="L751" s="92" t="inlineStr">
        <is>
          <t>Meerhovenstad, Het Kompas</t>
        </is>
      </c>
      <c r="M751" s="92" t="inlineStr">
        <is>
          <t>Deelneming</t>
        </is>
      </c>
      <c r="N751" s="92" t="inlineStr">
        <is>
          <t>N</t>
        </is>
      </c>
      <c r="O751" s="92" t="inlineStr">
        <is>
          <t>Woningverkopen Q3</t>
        </is>
      </c>
      <c r="P751" s="109" t="n">
        <v>0</v>
      </c>
      <c r="Q751" s="92" t="inlineStr">
        <is>
          <t>aantal</t>
        </is>
      </c>
      <c r="R751" s="92" t="inlineStr">
        <is>
          <t>Synthetische snapshot; kwartalen zijn FY-verdeling, geen actuals</t>
        </is>
      </c>
      <c r="S751" s="15" t="str">
        <f>IF(J751="","",J751&amp;"|"&amp;E751&amp;"|"&amp;F751&amp;"|"&amp;I751&amp;"|"&amp;O751)</f>
        <v>G.900004.8.9090|2026|Q3|2026|Woningverkopen Q3</v>
      </c>
      <c r="T751" s="15">
        <f>IF(OR(S751="",D751&lt;&gt;"Vastgesteld"),"",_xlfn.MAXIFS($G$6:$G$5005,$S$6:$S$5005,S751,$D$6:$D$5005,"Vastgesteld"))</f>
        <v>0</v>
      </c>
      <c r="U751" s="15">
        <f>IF(T751="",0,IF(AND(G751=T751,COUNTIFS($S$6:S751,S751,$G$6:G751,G751,$D$6:D751,"Vastgesteld")=1),1,0))</f>
        <v>1</v>
      </c>
      <c r="V751" s="15">
        <f>IF(T751="",0,IF(AND(G751=T751,COUNTIFS($S$6:S751,S751,$G$6:G751,G751,$D$6:D751,"Vastgesteld")&gt;1),1,0))</f>
        <v>0</v>
      </c>
    </row>
    <row r="752">
      <c r="A752" s="92" t="inlineStr">
        <is>
          <t>HIST-2026-Q3</t>
        </is>
      </c>
      <c r="B752" s="92" t="inlineStr">
        <is>
          <t>RDFO_FICTIEVE_historie_en_mapping.xlsx</t>
        </is>
      </c>
      <c r="C752" s="108" t="n">
        <v>46324</v>
      </c>
      <c r="D752" s="92" t="inlineStr">
        <is>
          <t>Vastgesteld</t>
        </is>
      </c>
      <c r="E752" s="92" t="n">
        <v>2026</v>
      </c>
      <c r="F752" s="92" t="inlineStr">
        <is>
          <t>Q3</t>
        </is>
      </c>
      <c r="G752" s="92" t="n">
        <v>0</v>
      </c>
      <c r="H752" s="108" t="n">
        <v>46295</v>
      </c>
      <c r="I752" s="92" t="n">
        <v>2026</v>
      </c>
      <c r="J752" s="92" t="inlineStr">
        <is>
          <t>G.900004.8.9090</t>
        </is>
      </c>
      <c r="K752" s="92" t="inlineStr">
        <is>
          <t>G.900004</t>
        </is>
      </c>
      <c r="L752" s="92" t="inlineStr">
        <is>
          <t>Meerhovenstad, Het Kompas</t>
        </is>
      </c>
      <c r="M752" s="92" t="inlineStr">
        <is>
          <t>Deelneming</t>
        </is>
      </c>
      <c r="N752" s="92" t="inlineStr">
        <is>
          <t>N</t>
        </is>
      </c>
      <c r="O752" s="92" t="inlineStr">
        <is>
          <t>Woningverkopen Q4</t>
        </is>
      </c>
      <c r="P752" s="109" t="n">
        <v>6</v>
      </c>
      <c r="Q752" s="92" t="inlineStr">
        <is>
          <t>aantal</t>
        </is>
      </c>
      <c r="R752" s="92" t="inlineStr">
        <is>
          <t>Synthetische snapshot; kwartalen zijn FY-verdeling, geen actuals</t>
        </is>
      </c>
      <c r="S752" s="15" t="str">
        <f>IF(J752="","",J752&amp;"|"&amp;E752&amp;"|"&amp;F752&amp;"|"&amp;I752&amp;"|"&amp;O752)</f>
        <v>G.900004.8.9090|2026|Q3|2026|Woningverkopen Q4</v>
      </c>
      <c r="T752" s="15">
        <f>IF(OR(S752="",D752&lt;&gt;"Vastgesteld"),"",_xlfn.MAXIFS($G$6:$G$5005,$S$6:$S$5005,S752,$D$6:$D$5005,"Vastgesteld"))</f>
        <v>0</v>
      </c>
      <c r="U752" s="15">
        <f>IF(T752="",0,IF(AND(G752=T752,COUNTIFS($S$6:S752,S752,$G$6:G752,G752,$D$6:D752,"Vastgesteld")=1),1,0))</f>
        <v>1</v>
      </c>
      <c r="V752" s="15">
        <f>IF(T752="",0,IF(AND(G752=T752,COUNTIFS($S$6:S752,S752,$G$6:G752,G752,$D$6:D752,"Vastgesteld")&gt;1),1,0))</f>
        <v>0</v>
      </c>
    </row>
    <row r="753">
      <c r="A753" s="92" t="inlineStr">
        <is>
          <t>HIST-2026-Q3</t>
        </is>
      </c>
      <c r="B753" s="92" t="inlineStr">
        <is>
          <t>RDFO_FICTIEVE_historie_en_mapping.xlsx</t>
        </is>
      </c>
      <c r="C753" s="108" t="n">
        <v>46324</v>
      </c>
      <c r="D753" s="92" t="inlineStr">
        <is>
          <t>Vastgesteld</t>
        </is>
      </c>
      <c r="E753" s="92" t="n">
        <v>2026</v>
      </c>
      <c r="F753" s="92" t="inlineStr">
        <is>
          <t>Q3</t>
        </is>
      </c>
      <c r="G753" s="92" t="n">
        <v>0</v>
      </c>
      <c r="H753" s="108" t="n">
        <v>46295</v>
      </c>
      <c r="I753" s="92" t="n">
        <v>2026</v>
      </c>
      <c r="J753" s="92" t="inlineStr">
        <is>
          <t>G.900004.8.9090</t>
        </is>
      </c>
      <c r="K753" s="92" t="inlineStr">
        <is>
          <t>G.900004</t>
        </is>
      </c>
      <c r="L753" s="92" t="inlineStr">
        <is>
          <t>Meerhovenstad, Het Kompas</t>
        </is>
      </c>
      <c r="M753" s="92" t="inlineStr">
        <is>
          <t>Deelneming</t>
        </is>
      </c>
      <c r="N753" s="92" t="inlineStr">
        <is>
          <t>N</t>
        </is>
      </c>
      <c r="O753" s="92" t="inlineStr">
        <is>
          <t>Woningverkopen actual YTD</t>
        </is>
      </c>
      <c r="P753" s="109" t="n">
        <v>0</v>
      </c>
      <c r="Q753" s="92" t="inlineStr">
        <is>
          <t>aantal</t>
        </is>
      </c>
      <c r="R753" s="92" t="inlineStr">
        <is>
          <t>Synthetische snapshot; kwartalen zijn FY-verdeling, geen actuals</t>
        </is>
      </c>
      <c r="S753" s="15" t="str">
        <f>IF(J753="","",J753&amp;"|"&amp;E753&amp;"|"&amp;F753&amp;"|"&amp;I753&amp;"|"&amp;O753)</f>
        <v>G.900004.8.9090|2026|Q3|2026|Woningverkopen actual YTD</v>
      </c>
      <c r="T753" s="15">
        <f>IF(OR(S753="",D753&lt;&gt;"Vastgesteld"),"",_xlfn.MAXIFS($G$6:$G$5005,$S$6:$S$5005,S753,$D$6:$D$5005,"Vastgesteld"))</f>
        <v>0</v>
      </c>
      <c r="U753" s="15">
        <f>IF(T753="",0,IF(AND(G753=T753,COUNTIFS($S$6:S753,S753,$G$6:G753,G753,$D$6:D753,"Vastgesteld")=1),1,0))</f>
        <v>1</v>
      </c>
      <c r="V753" s="15">
        <f>IF(T753="",0,IF(AND(G753=T753,COUNTIFS($S$6:S753,S753,$G$6:G753,G753,$D$6:D753,"Vastgesteld")&gt;1),1,0))</f>
        <v>0</v>
      </c>
    </row>
    <row r="754">
      <c r="A754" s="92" t="inlineStr">
        <is>
          <t>HIST-2026-Q3</t>
        </is>
      </c>
      <c r="B754" s="92" t="inlineStr">
        <is>
          <t>RDFO_FICTIEVE_historie_en_mapping.xlsx</t>
        </is>
      </c>
      <c r="C754" s="108" t="n">
        <v>46324</v>
      </c>
      <c r="D754" s="92" t="inlineStr">
        <is>
          <t>Vastgesteld</t>
        </is>
      </c>
      <c r="E754" s="92" t="n">
        <v>2026</v>
      </c>
      <c r="F754" s="92" t="inlineStr">
        <is>
          <t>Q3</t>
        </is>
      </c>
      <c r="G754" s="92" t="n">
        <v>0</v>
      </c>
      <c r="H754" s="108" t="n">
        <v>46295</v>
      </c>
      <c r="I754" s="92" t="n">
        <v>2026</v>
      </c>
      <c r="J754" s="92" t="inlineStr">
        <is>
          <t>G.900005.8.9090</t>
        </is>
      </c>
      <c r="K754" s="92" t="inlineStr">
        <is>
          <t>G.900005</t>
        </is>
      </c>
      <c r="L754" s="92" t="inlineStr">
        <is>
          <t>Zilverdam, Kadezicht</t>
        </is>
      </c>
      <c r="M754" s="92" t="inlineStr">
        <is>
          <t>Opstal</t>
        </is>
      </c>
      <c r="N754" s="92" t="inlineStr">
        <is>
          <t>J</t>
        </is>
      </c>
      <c r="O754" s="92" t="inlineStr">
        <is>
          <t>Woningverkopen FY</t>
        </is>
      </c>
      <c r="P754" s="109" t="n">
        <v>32</v>
      </c>
      <c r="Q754" s="92" t="inlineStr">
        <is>
          <t>aantal</t>
        </is>
      </c>
      <c r="R754" s="92" t="inlineStr">
        <is>
          <t>Synthetische snapshot; kwartalen zijn FY-verdeling, geen actuals</t>
        </is>
      </c>
      <c r="S754" s="15" t="str">
        <f>IF(J754="","",J754&amp;"|"&amp;E754&amp;"|"&amp;F754&amp;"|"&amp;I754&amp;"|"&amp;O754)</f>
        <v>G.900005.8.9090|2026|Q3|2026|Woningverkopen FY</v>
      </c>
      <c r="T754" s="15">
        <f>IF(OR(S754="",D754&lt;&gt;"Vastgesteld"),"",_xlfn.MAXIFS($G$6:$G$5005,$S$6:$S$5005,S754,$D$6:$D$5005,"Vastgesteld"))</f>
        <v>0</v>
      </c>
      <c r="U754" s="15">
        <f>IF(T754="",0,IF(AND(G754=T754,COUNTIFS($S$6:S754,S754,$G$6:G754,G754,$D$6:D754,"Vastgesteld")=1),1,0))</f>
        <v>1</v>
      </c>
      <c r="V754" s="15">
        <f>IF(T754="",0,IF(AND(G754=T754,COUNTIFS($S$6:S754,S754,$G$6:G754,G754,$D$6:D754,"Vastgesteld")&gt;1),1,0))</f>
        <v>0</v>
      </c>
    </row>
    <row r="755">
      <c r="A755" s="92" t="inlineStr">
        <is>
          <t>HIST-2026-Q3</t>
        </is>
      </c>
      <c r="B755" s="92" t="inlineStr">
        <is>
          <t>RDFO_FICTIEVE_historie_en_mapping.xlsx</t>
        </is>
      </c>
      <c r="C755" s="108" t="n">
        <v>46324</v>
      </c>
      <c r="D755" s="92" t="inlineStr">
        <is>
          <t>Vastgesteld</t>
        </is>
      </c>
      <c r="E755" s="92" t="n">
        <v>2026</v>
      </c>
      <c r="F755" s="92" t="inlineStr">
        <is>
          <t>Q3</t>
        </is>
      </c>
      <c r="G755" s="92" t="n">
        <v>0</v>
      </c>
      <c r="H755" s="108" t="n">
        <v>46295</v>
      </c>
      <c r="I755" s="92" t="n">
        <v>2026</v>
      </c>
      <c r="J755" s="92" t="inlineStr">
        <is>
          <t>G.900005.8.9090</t>
        </is>
      </c>
      <c r="K755" s="92" t="inlineStr">
        <is>
          <t>G.900005</t>
        </is>
      </c>
      <c r="L755" s="92" t="inlineStr">
        <is>
          <t>Zilverdam, Kadezicht</t>
        </is>
      </c>
      <c r="M755" s="92" t="inlineStr">
        <is>
          <t>Opstal</t>
        </is>
      </c>
      <c r="N755" s="92" t="inlineStr">
        <is>
          <t>J</t>
        </is>
      </c>
      <c r="O755" s="92" t="inlineStr">
        <is>
          <t>Woningen verkocht t/m vorig jaar</t>
        </is>
      </c>
      <c r="P755" s="109" t="n">
        <v>24</v>
      </c>
      <c r="Q755" s="92" t="inlineStr">
        <is>
          <t>aantal</t>
        </is>
      </c>
      <c r="R755" s="92" t="inlineStr">
        <is>
          <t>Synthetische snapshot; kwartalen zijn FY-verdeling, geen actuals</t>
        </is>
      </c>
      <c r="S755" s="15" t="str">
        <f>IF(J755="","",J755&amp;"|"&amp;E755&amp;"|"&amp;F755&amp;"|"&amp;I755&amp;"|"&amp;O755)</f>
        <v>G.900005.8.9090|2026|Q3|2026|Woningen verkocht t/m vorig jaar</v>
      </c>
      <c r="T755" s="15">
        <f>IF(OR(S755="",D755&lt;&gt;"Vastgesteld"),"",_xlfn.MAXIFS($G$6:$G$5005,$S$6:$S$5005,S755,$D$6:$D$5005,"Vastgesteld"))</f>
        <v>0</v>
      </c>
      <c r="U755" s="15">
        <f>IF(T755="",0,IF(AND(G755=T755,COUNTIFS($S$6:S755,S755,$G$6:G755,G755,$D$6:D755,"Vastgesteld")=1),1,0))</f>
        <v>1</v>
      </c>
      <c r="V755" s="15">
        <f>IF(T755="",0,IF(AND(G755=T755,COUNTIFS($S$6:S755,S755,$G$6:G755,G755,$D$6:D755,"Vastgesteld")&gt;1),1,0))</f>
        <v>0</v>
      </c>
    </row>
    <row r="756">
      <c r="A756" s="92" t="inlineStr">
        <is>
          <t>HIST-2026-Q3</t>
        </is>
      </c>
      <c r="B756" s="92" t="inlineStr">
        <is>
          <t>RDFO_FICTIEVE_historie_en_mapping.xlsx</t>
        </is>
      </c>
      <c r="C756" s="108" t="n">
        <v>46324</v>
      </c>
      <c r="D756" s="92" t="inlineStr">
        <is>
          <t>Vastgesteld</t>
        </is>
      </c>
      <c r="E756" s="92" t="n">
        <v>2026</v>
      </c>
      <c r="F756" s="92" t="inlineStr">
        <is>
          <t>Q3</t>
        </is>
      </c>
      <c r="G756" s="92" t="n">
        <v>0</v>
      </c>
      <c r="H756" s="108" t="n">
        <v>46295</v>
      </c>
      <c r="I756" s="92" t="n">
        <v>2026</v>
      </c>
      <c r="J756" s="92" t="inlineStr">
        <is>
          <t>G.900005.8.9090</t>
        </is>
      </c>
      <c r="K756" s="92" t="inlineStr">
        <is>
          <t>G.900005</t>
        </is>
      </c>
      <c r="L756" s="92" t="inlineStr">
        <is>
          <t>Zilverdam, Kadezicht</t>
        </is>
      </c>
      <c r="M756" s="92" t="inlineStr">
        <is>
          <t>Opstal</t>
        </is>
      </c>
      <c r="N756" s="92" t="inlineStr">
        <is>
          <t>J</t>
        </is>
      </c>
      <c r="O756" s="92" t="inlineStr">
        <is>
          <t>Woningverkopen Q1</t>
        </is>
      </c>
      <c r="P756" s="109" t="n">
        <v>4</v>
      </c>
      <c r="Q756" s="92" t="inlineStr">
        <is>
          <t>aantal</t>
        </is>
      </c>
      <c r="R756" s="92" t="inlineStr">
        <is>
          <t>Synthetische snapshot; kwartalen zijn FY-verdeling, geen actuals</t>
        </is>
      </c>
      <c r="S756" s="15" t="str">
        <f>IF(J756="","",J756&amp;"|"&amp;E756&amp;"|"&amp;F756&amp;"|"&amp;I756&amp;"|"&amp;O756)</f>
        <v>G.900005.8.9090|2026|Q3|2026|Woningverkopen Q1</v>
      </c>
      <c r="T756" s="15">
        <f>IF(OR(S756="",D756&lt;&gt;"Vastgesteld"),"",_xlfn.MAXIFS($G$6:$G$5005,$S$6:$S$5005,S756,$D$6:$D$5005,"Vastgesteld"))</f>
        <v>0</v>
      </c>
      <c r="U756" s="15">
        <f>IF(T756="",0,IF(AND(G756=T756,COUNTIFS($S$6:S756,S756,$G$6:G756,G756,$D$6:D756,"Vastgesteld")=1),1,0))</f>
        <v>1</v>
      </c>
      <c r="V756" s="15">
        <f>IF(T756="",0,IF(AND(G756=T756,COUNTIFS($S$6:S756,S756,$G$6:G756,G756,$D$6:D756,"Vastgesteld")&gt;1),1,0))</f>
        <v>0</v>
      </c>
    </row>
    <row r="757">
      <c r="A757" s="92" t="inlineStr">
        <is>
          <t>HIST-2026-Q3</t>
        </is>
      </c>
      <c r="B757" s="92" t="inlineStr">
        <is>
          <t>RDFO_FICTIEVE_historie_en_mapping.xlsx</t>
        </is>
      </c>
      <c r="C757" s="108" t="n">
        <v>46324</v>
      </c>
      <c r="D757" s="92" t="inlineStr">
        <is>
          <t>Vastgesteld</t>
        </is>
      </c>
      <c r="E757" s="92" t="n">
        <v>2026</v>
      </c>
      <c r="F757" s="92" t="inlineStr">
        <is>
          <t>Q3</t>
        </is>
      </c>
      <c r="G757" s="92" t="n">
        <v>0</v>
      </c>
      <c r="H757" s="108" t="n">
        <v>46295</v>
      </c>
      <c r="I757" s="92" t="n">
        <v>2026</v>
      </c>
      <c r="J757" s="92" t="inlineStr">
        <is>
          <t>G.900005.8.9090</t>
        </is>
      </c>
      <c r="K757" s="92" t="inlineStr">
        <is>
          <t>G.900005</t>
        </is>
      </c>
      <c r="L757" s="92" t="inlineStr">
        <is>
          <t>Zilverdam, Kadezicht</t>
        </is>
      </c>
      <c r="M757" s="92" t="inlineStr">
        <is>
          <t>Opstal</t>
        </is>
      </c>
      <c r="N757" s="92" t="inlineStr">
        <is>
          <t>J</t>
        </is>
      </c>
      <c r="O757" s="92" t="inlineStr">
        <is>
          <t>Woningverkopen Q2</t>
        </is>
      </c>
      <c r="P757" s="109" t="n">
        <v>8</v>
      </c>
      <c r="Q757" s="92" t="inlineStr">
        <is>
          <t>aantal</t>
        </is>
      </c>
      <c r="R757" s="92" t="inlineStr">
        <is>
          <t>Synthetische snapshot; kwartalen zijn FY-verdeling, geen actuals</t>
        </is>
      </c>
      <c r="S757" s="15" t="str">
        <f>IF(J757="","",J757&amp;"|"&amp;E757&amp;"|"&amp;F757&amp;"|"&amp;I757&amp;"|"&amp;O757)</f>
        <v>G.900005.8.9090|2026|Q3|2026|Woningverkopen Q2</v>
      </c>
      <c r="T757" s="15">
        <f>IF(OR(S757="",D757&lt;&gt;"Vastgesteld"),"",_xlfn.MAXIFS($G$6:$G$5005,$S$6:$S$5005,S757,$D$6:$D$5005,"Vastgesteld"))</f>
        <v>0</v>
      </c>
      <c r="U757" s="15">
        <f>IF(T757="",0,IF(AND(G757=T757,COUNTIFS($S$6:S757,S757,$G$6:G757,G757,$D$6:D757,"Vastgesteld")=1),1,0))</f>
        <v>1</v>
      </c>
      <c r="V757" s="15">
        <f>IF(T757="",0,IF(AND(G757=T757,COUNTIFS($S$6:S757,S757,$G$6:G757,G757,$D$6:D757,"Vastgesteld")&gt;1),1,0))</f>
        <v>0</v>
      </c>
    </row>
    <row r="758">
      <c r="A758" s="92" t="inlineStr">
        <is>
          <t>HIST-2026-Q3</t>
        </is>
      </c>
      <c r="B758" s="92" t="inlineStr">
        <is>
          <t>RDFO_FICTIEVE_historie_en_mapping.xlsx</t>
        </is>
      </c>
      <c r="C758" s="108" t="n">
        <v>46324</v>
      </c>
      <c r="D758" s="92" t="inlineStr">
        <is>
          <t>Vastgesteld</t>
        </is>
      </c>
      <c r="E758" s="92" t="n">
        <v>2026</v>
      </c>
      <c r="F758" s="92" t="inlineStr">
        <is>
          <t>Q3</t>
        </is>
      </c>
      <c r="G758" s="92" t="n">
        <v>0</v>
      </c>
      <c r="H758" s="108" t="n">
        <v>46295</v>
      </c>
      <c r="I758" s="92" t="n">
        <v>2026</v>
      </c>
      <c r="J758" s="92" t="inlineStr">
        <is>
          <t>G.900005.8.9090</t>
        </is>
      </c>
      <c r="K758" s="92" t="inlineStr">
        <is>
          <t>G.900005</t>
        </is>
      </c>
      <c r="L758" s="92" t="inlineStr">
        <is>
          <t>Zilverdam, Kadezicht</t>
        </is>
      </c>
      <c r="M758" s="92" t="inlineStr">
        <is>
          <t>Opstal</t>
        </is>
      </c>
      <c r="N758" s="92" t="inlineStr">
        <is>
          <t>J</t>
        </is>
      </c>
      <c r="O758" s="92" t="inlineStr">
        <is>
          <t>Woningverkopen Q3</t>
        </is>
      </c>
      <c r="P758" s="109" t="n">
        <v>8</v>
      </c>
      <c r="Q758" s="92" t="inlineStr">
        <is>
          <t>aantal</t>
        </is>
      </c>
      <c r="R758" s="92" t="inlineStr">
        <is>
          <t>Synthetische snapshot; kwartalen zijn FY-verdeling, geen actuals</t>
        </is>
      </c>
      <c r="S758" s="15" t="str">
        <f>IF(J758="","",J758&amp;"|"&amp;E758&amp;"|"&amp;F758&amp;"|"&amp;I758&amp;"|"&amp;O758)</f>
        <v>G.900005.8.9090|2026|Q3|2026|Woningverkopen Q3</v>
      </c>
      <c r="T758" s="15">
        <f>IF(OR(S758="",D758&lt;&gt;"Vastgesteld"),"",_xlfn.MAXIFS($G$6:$G$5005,$S$6:$S$5005,S758,$D$6:$D$5005,"Vastgesteld"))</f>
        <v>0</v>
      </c>
      <c r="U758" s="15">
        <f>IF(T758="",0,IF(AND(G758=T758,COUNTIFS($S$6:S758,S758,$G$6:G758,G758,$D$6:D758,"Vastgesteld")=1),1,0))</f>
        <v>1</v>
      </c>
      <c r="V758" s="15">
        <f>IF(T758="",0,IF(AND(G758=T758,COUNTIFS($S$6:S758,S758,$G$6:G758,G758,$D$6:D758,"Vastgesteld")&gt;1),1,0))</f>
        <v>0</v>
      </c>
    </row>
    <row r="759">
      <c r="A759" s="92" t="inlineStr">
        <is>
          <t>HIST-2026-Q3</t>
        </is>
      </c>
      <c r="B759" s="92" t="inlineStr">
        <is>
          <t>RDFO_FICTIEVE_historie_en_mapping.xlsx</t>
        </is>
      </c>
      <c r="C759" s="108" t="n">
        <v>46324</v>
      </c>
      <c r="D759" s="92" t="inlineStr">
        <is>
          <t>Vastgesteld</t>
        </is>
      </c>
      <c r="E759" s="92" t="n">
        <v>2026</v>
      </c>
      <c r="F759" s="92" t="inlineStr">
        <is>
          <t>Q3</t>
        </is>
      </c>
      <c r="G759" s="92" t="n">
        <v>0</v>
      </c>
      <c r="H759" s="108" t="n">
        <v>46295</v>
      </c>
      <c r="I759" s="92" t="n">
        <v>2026</v>
      </c>
      <c r="J759" s="92" t="inlineStr">
        <is>
          <t>G.900005.8.9090</t>
        </is>
      </c>
      <c r="K759" s="92" t="inlineStr">
        <is>
          <t>G.900005</t>
        </is>
      </c>
      <c r="L759" s="92" t="inlineStr">
        <is>
          <t>Zilverdam, Kadezicht</t>
        </is>
      </c>
      <c r="M759" s="92" t="inlineStr">
        <is>
          <t>Opstal</t>
        </is>
      </c>
      <c r="N759" s="92" t="inlineStr">
        <is>
          <t>J</t>
        </is>
      </c>
      <c r="O759" s="92" t="inlineStr">
        <is>
          <t>Woningverkopen Q4</t>
        </is>
      </c>
      <c r="P759" s="109" t="n">
        <v>12</v>
      </c>
      <c r="Q759" s="92" t="inlineStr">
        <is>
          <t>aantal</t>
        </is>
      </c>
      <c r="R759" s="92" t="inlineStr">
        <is>
          <t>Synthetische snapshot; kwartalen zijn FY-verdeling, geen actuals</t>
        </is>
      </c>
      <c r="S759" s="15" t="str">
        <f>IF(J759="","",J759&amp;"|"&amp;E759&amp;"|"&amp;F759&amp;"|"&amp;I759&amp;"|"&amp;O759)</f>
        <v>G.900005.8.9090|2026|Q3|2026|Woningverkopen Q4</v>
      </c>
      <c r="T759" s="15">
        <f>IF(OR(S759="",D759&lt;&gt;"Vastgesteld"),"",_xlfn.MAXIFS($G$6:$G$5005,$S$6:$S$5005,S759,$D$6:$D$5005,"Vastgesteld"))</f>
        <v>0</v>
      </c>
      <c r="U759" s="15">
        <f>IF(T759="",0,IF(AND(G759=T759,COUNTIFS($S$6:S759,S759,$G$6:G759,G759,$D$6:D759,"Vastgesteld")=1),1,0))</f>
        <v>1</v>
      </c>
      <c r="V759" s="15">
        <f>IF(T759="",0,IF(AND(G759=T759,COUNTIFS($S$6:S759,S759,$G$6:G759,G759,$D$6:D759,"Vastgesteld")&gt;1),1,0))</f>
        <v>0</v>
      </c>
    </row>
    <row r="760">
      <c r="A760" s="92" t="inlineStr">
        <is>
          <t>HIST-2026-Q3</t>
        </is>
      </c>
      <c r="B760" s="92" t="inlineStr">
        <is>
          <t>RDFO_FICTIEVE_historie_en_mapping.xlsx</t>
        </is>
      </c>
      <c r="C760" s="108" t="n">
        <v>46324</v>
      </c>
      <c r="D760" s="92" t="inlineStr">
        <is>
          <t>Vastgesteld</t>
        </is>
      </c>
      <c r="E760" s="92" t="n">
        <v>2026</v>
      </c>
      <c r="F760" s="92" t="inlineStr">
        <is>
          <t>Q3</t>
        </is>
      </c>
      <c r="G760" s="92" t="n">
        <v>0</v>
      </c>
      <c r="H760" s="108" t="n">
        <v>46295</v>
      </c>
      <c r="I760" s="92" t="n">
        <v>2026</v>
      </c>
      <c r="J760" s="92" t="inlineStr">
        <is>
          <t>G.900005.8.9090</t>
        </is>
      </c>
      <c r="K760" s="92" t="inlineStr">
        <is>
          <t>G.900005</t>
        </is>
      </c>
      <c r="L760" s="92" t="inlineStr">
        <is>
          <t>Zilverdam, Kadezicht</t>
        </is>
      </c>
      <c r="M760" s="92" t="inlineStr">
        <is>
          <t>Opstal</t>
        </is>
      </c>
      <c r="N760" s="92" t="inlineStr">
        <is>
          <t>J</t>
        </is>
      </c>
      <c r="O760" s="92" t="inlineStr">
        <is>
          <t>Woningverkopen actual YTD</t>
        </is>
      </c>
      <c r="P760" s="109" t="n">
        <v>20</v>
      </c>
      <c r="Q760" s="92" t="inlineStr">
        <is>
          <t>aantal</t>
        </is>
      </c>
      <c r="R760" s="92" t="inlineStr">
        <is>
          <t>Synthetische snapshot; kwartalen zijn FY-verdeling, geen actuals</t>
        </is>
      </c>
      <c r="S760" s="15" t="str">
        <f>IF(J760="","",J760&amp;"|"&amp;E760&amp;"|"&amp;F760&amp;"|"&amp;I760&amp;"|"&amp;O760)</f>
        <v>G.900005.8.9090|2026|Q3|2026|Woningverkopen actual YTD</v>
      </c>
      <c r="T760" s="15">
        <f>IF(OR(S760="",D760&lt;&gt;"Vastgesteld"),"",_xlfn.MAXIFS($G$6:$G$5005,$S$6:$S$5005,S760,$D$6:$D$5005,"Vastgesteld"))</f>
        <v>0</v>
      </c>
      <c r="U760" s="15">
        <f>IF(T760="",0,IF(AND(G760=T760,COUNTIFS($S$6:S760,S760,$G$6:G760,G760,$D$6:D760,"Vastgesteld")=1),1,0))</f>
        <v>1</v>
      </c>
      <c r="V760" s="15">
        <f>IF(T760="",0,IF(AND(G760=T760,COUNTIFS($S$6:S760,S760,$G$6:G760,G760,$D$6:D760,"Vastgesteld")&gt;1),1,0))</f>
        <v>0</v>
      </c>
    </row>
    <row r="761">
      <c r="A761" s="92" t="inlineStr">
        <is>
          <t>HIST-2026-Q3</t>
        </is>
      </c>
      <c r="B761" s="92" t="inlineStr">
        <is>
          <t>RDFO_FICTIEVE_historie_en_mapping.xlsx</t>
        </is>
      </c>
      <c r="C761" s="108" t="n">
        <v>46324</v>
      </c>
      <c r="D761" s="92" t="inlineStr">
        <is>
          <t>Vastgesteld</t>
        </is>
      </c>
      <c r="E761" s="92" t="n">
        <v>2026</v>
      </c>
      <c r="F761" s="92" t="inlineStr">
        <is>
          <t>Q3</t>
        </is>
      </c>
      <c r="G761" s="92" t="n">
        <v>0</v>
      </c>
      <c r="H761" s="108" t="n">
        <v>46295</v>
      </c>
      <c r="I761" s="92" t="n">
        <v>2026</v>
      </c>
      <c r="J761" s="92" t="inlineStr">
        <is>
          <t>G.900006.8.9090</t>
        </is>
      </c>
      <c r="K761" s="92" t="inlineStr">
        <is>
          <t>G.900006</t>
        </is>
      </c>
      <c r="L761" s="92" t="inlineStr">
        <is>
          <t>Boswaard, De Eiken</t>
        </is>
      </c>
      <c r="M761" s="92" t="inlineStr">
        <is>
          <t>Opstal</t>
        </is>
      </c>
      <c r="N761" s="92" t="inlineStr">
        <is>
          <t>J</t>
        </is>
      </c>
      <c r="O761" s="92" t="inlineStr">
        <is>
          <t>Woningverkopen FY</t>
        </is>
      </c>
      <c r="P761" s="109" t="n">
        <v>9</v>
      </c>
      <c r="Q761" s="92" t="inlineStr">
        <is>
          <t>aantal</t>
        </is>
      </c>
      <c r="R761" s="92" t="inlineStr">
        <is>
          <t>Synthetische snapshot; kwartalen zijn FY-verdeling, geen actuals</t>
        </is>
      </c>
      <c r="S761" s="15" t="str">
        <f>IF(J761="","",J761&amp;"|"&amp;E761&amp;"|"&amp;F761&amp;"|"&amp;I761&amp;"|"&amp;O761)</f>
        <v>G.900006.8.9090|2026|Q3|2026|Woningverkopen FY</v>
      </c>
      <c r="T761" s="15">
        <f>IF(OR(S761="",D761&lt;&gt;"Vastgesteld"),"",_xlfn.MAXIFS($G$6:$G$5005,$S$6:$S$5005,S761,$D$6:$D$5005,"Vastgesteld"))</f>
        <v>0</v>
      </c>
      <c r="U761" s="15">
        <f>IF(T761="",0,IF(AND(G761=T761,COUNTIFS($S$6:S761,S761,$G$6:G761,G761,$D$6:D761,"Vastgesteld")=1),1,0))</f>
        <v>1</v>
      </c>
      <c r="V761" s="15">
        <f>IF(T761="",0,IF(AND(G761=T761,COUNTIFS($S$6:S761,S761,$G$6:G761,G761,$D$6:D761,"Vastgesteld")&gt;1),1,0))</f>
        <v>0</v>
      </c>
    </row>
    <row r="762">
      <c r="A762" s="92" t="inlineStr">
        <is>
          <t>HIST-2026-Q3</t>
        </is>
      </c>
      <c r="B762" s="92" t="inlineStr">
        <is>
          <t>RDFO_FICTIEVE_historie_en_mapping.xlsx</t>
        </is>
      </c>
      <c r="C762" s="108" t="n">
        <v>46324</v>
      </c>
      <c r="D762" s="92" t="inlineStr">
        <is>
          <t>Vastgesteld</t>
        </is>
      </c>
      <c r="E762" s="92" t="n">
        <v>2026</v>
      </c>
      <c r="F762" s="92" t="inlineStr">
        <is>
          <t>Q3</t>
        </is>
      </c>
      <c r="G762" s="92" t="n">
        <v>0</v>
      </c>
      <c r="H762" s="108" t="n">
        <v>46295</v>
      </c>
      <c r="I762" s="92" t="n">
        <v>2026</v>
      </c>
      <c r="J762" s="92" t="inlineStr">
        <is>
          <t>G.900006.8.9090</t>
        </is>
      </c>
      <c r="K762" s="92" t="inlineStr">
        <is>
          <t>G.900006</t>
        </is>
      </c>
      <c r="L762" s="92" t="inlineStr">
        <is>
          <t>Boswaard, De Eiken</t>
        </is>
      </c>
      <c r="M762" s="92" t="inlineStr">
        <is>
          <t>Opstal</t>
        </is>
      </c>
      <c r="N762" s="92" t="inlineStr">
        <is>
          <t>J</t>
        </is>
      </c>
      <c r="O762" s="92" t="inlineStr">
        <is>
          <t>Woningen verkocht t/m vorig jaar</t>
        </is>
      </c>
      <c r="P762" s="109" t="n">
        <v>7</v>
      </c>
      <c r="Q762" s="92" t="inlineStr">
        <is>
          <t>aantal</t>
        </is>
      </c>
      <c r="R762" s="92" t="inlineStr">
        <is>
          <t>Synthetische snapshot; kwartalen zijn FY-verdeling, geen actuals</t>
        </is>
      </c>
      <c r="S762" s="15" t="str">
        <f>IF(J762="","",J762&amp;"|"&amp;E762&amp;"|"&amp;F762&amp;"|"&amp;I762&amp;"|"&amp;O762)</f>
        <v>G.900006.8.9090|2026|Q3|2026|Woningen verkocht t/m vorig jaar</v>
      </c>
      <c r="T762" s="15">
        <f>IF(OR(S762="",D762&lt;&gt;"Vastgesteld"),"",_xlfn.MAXIFS($G$6:$G$5005,$S$6:$S$5005,S762,$D$6:$D$5005,"Vastgesteld"))</f>
        <v>0</v>
      </c>
      <c r="U762" s="15">
        <f>IF(T762="",0,IF(AND(G762=T762,COUNTIFS($S$6:S762,S762,$G$6:G762,G762,$D$6:D762,"Vastgesteld")=1),1,0))</f>
        <v>1</v>
      </c>
      <c r="V762" s="15">
        <f>IF(T762="",0,IF(AND(G762=T762,COUNTIFS($S$6:S762,S762,$G$6:G762,G762,$D$6:D762,"Vastgesteld")&gt;1),1,0))</f>
        <v>0</v>
      </c>
    </row>
    <row r="763">
      <c r="A763" s="92" t="inlineStr">
        <is>
          <t>HIST-2026-Q3</t>
        </is>
      </c>
      <c r="B763" s="92" t="inlineStr">
        <is>
          <t>RDFO_FICTIEVE_historie_en_mapping.xlsx</t>
        </is>
      </c>
      <c r="C763" s="108" t="n">
        <v>46324</v>
      </c>
      <c r="D763" s="92" t="inlineStr">
        <is>
          <t>Vastgesteld</t>
        </is>
      </c>
      <c r="E763" s="92" t="n">
        <v>2026</v>
      </c>
      <c r="F763" s="92" t="inlineStr">
        <is>
          <t>Q3</t>
        </is>
      </c>
      <c r="G763" s="92" t="n">
        <v>0</v>
      </c>
      <c r="H763" s="108" t="n">
        <v>46295</v>
      </c>
      <c r="I763" s="92" t="n">
        <v>2026</v>
      </c>
      <c r="J763" s="92" t="inlineStr">
        <is>
          <t>G.900006.8.9090</t>
        </is>
      </c>
      <c r="K763" s="92" t="inlineStr">
        <is>
          <t>G.900006</t>
        </is>
      </c>
      <c r="L763" s="92" t="inlineStr">
        <is>
          <t>Boswaard, De Eiken</t>
        </is>
      </c>
      <c r="M763" s="92" t="inlineStr">
        <is>
          <t>Opstal</t>
        </is>
      </c>
      <c r="N763" s="92" t="inlineStr">
        <is>
          <t>J</t>
        </is>
      </c>
      <c r="O763" s="92" t="inlineStr">
        <is>
          <t>Woningverkopen Q1</t>
        </is>
      </c>
      <c r="P763" s="109" t="n">
        <v>0</v>
      </c>
      <c r="Q763" s="92" t="inlineStr">
        <is>
          <t>aantal</t>
        </is>
      </c>
      <c r="R763" s="92" t="inlineStr">
        <is>
          <t>Synthetische snapshot; kwartalen zijn FY-verdeling, geen actuals</t>
        </is>
      </c>
      <c r="S763" s="15" t="str">
        <f>IF(J763="","",J763&amp;"|"&amp;E763&amp;"|"&amp;F763&amp;"|"&amp;I763&amp;"|"&amp;O763)</f>
        <v>G.900006.8.9090|2026|Q3|2026|Woningverkopen Q1</v>
      </c>
      <c r="T763" s="15">
        <f>IF(OR(S763="",D763&lt;&gt;"Vastgesteld"),"",_xlfn.MAXIFS($G$6:$G$5005,$S$6:$S$5005,S763,$D$6:$D$5005,"Vastgesteld"))</f>
        <v>0</v>
      </c>
      <c r="U763" s="15">
        <f>IF(T763="",0,IF(AND(G763=T763,COUNTIFS($S$6:S763,S763,$G$6:G763,G763,$D$6:D763,"Vastgesteld")=1),1,0))</f>
        <v>1</v>
      </c>
      <c r="V763" s="15">
        <f>IF(T763="",0,IF(AND(G763=T763,COUNTIFS($S$6:S763,S763,$G$6:G763,G763,$D$6:D763,"Vastgesteld")&gt;1),1,0))</f>
        <v>0</v>
      </c>
    </row>
    <row r="764">
      <c r="A764" s="92" t="inlineStr">
        <is>
          <t>HIST-2026-Q3</t>
        </is>
      </c>
      <c r="B764" s="92" t="inlineStr">
        <is>
          <t>RDFO_FICTIEVE_historie_en_mapping.xlsx</t>
        </is>
      </c>
      <c r="C764" s="108" t="n">
        <v>46324</v>
      </c>
      <c r="D764" s="92" t="inlineStr">
        <is>
          <t>Vastgesteld</t>
        </is>
      </c>
      <c r="E764" s="92" t="n">
        <v>2026</v>
      </c>
      <c r="F764" s="92" t="inlineStr">
        <is>
          <t>Q3</t>
        </is>
      </c>
      <c r="G764" s="92" t="n">
        <v>0</v>
      </c>
      <c r="H764" s="108" t="n">
        <v>46295</v>
      </c>
      <c r="I764" s="92" t="n">
        <v>2026</v>
      </c>
      <c r="J764" s="92" t="inlineStr">
        <is>
          <t>G.900006.8.9090</t>
        </is>
      </c>
      <c r="K764" s="92" t="inlineStr">
        <is>
          <t>G.900006</t>
        </is>
      </c>
      <c r="L764" s="92" t="inlineStr">
        <is>
          <t>Boswaard, De Eiken</t>
        </is>
      </c>
      <c r="M764" s="92" t="inlineStr">
        <is>
          <t>Opstal</t>
        </is>
      </c>
      <c r="N764" s="92" t="inlineStr">
        <is>
          <t>J</t>
        </is>
      </c>
      <c r="O764" s="92" t="inlineStr">
        <is>
          <t>Woningverkopen Q2</t>
        </is>
      </c>
      <c r="P764" s="109" t="n">
        <v>1</v>
      </c>
      <c r="Q764" s="92" t="inlineStr">
        <is>
          <t>aantal</t>
        </is>
      </c>
      <c r="R764" s="92" t="inlineStr">
        <is>
          <t>Synthetische snapshot; kwartalen zijn FY-verdeling, geen actuals</t>
        </is>
      </c>
      <c r="S764" s="15" t="str">
        <f>IF(J764="","",J764&amp;"|"&amp;E764&amp;"|"&amp;F764&amp;"|"&amp;I764&amp;"|"&amp;O764)</f>
        <v>G.900006.8.9090|2026|Q3|2026|Woningverkopen Q2</v>
      </c>
      <c r="T764" s="15">
        <f>IF(OR(S764="",D764&lt;&gt;"Vastgesteld"),"",_xlfn.MAXIFS($G$6:$G$5005,$S$6:$S$5005,S764,$D$6:$D$5005,"Vastgesteld"))</f>
        <v>0</v>
      </c>
      <c r="U764" s="15">
        <f>IF(T764="",0,IF(AND(G764=T764,COUNTIFS($S$6:S764,S764,$G$6:G764,G764,$D$6:D764,"Vastgesteld")=1),1,0))</f>
        <v>1</v>
      </c>
      <c r="V764" s="15">
        <f>IF(T764="",0,IF(AND(G764=T764,COUNTIFS($S$6:S764,S764,$G$6:G764,G764,$D$6:D764,"Vastgesteld")&gt;1),1,0))</f>
        <v>0</v>
      </c>
    </row>
    <row r="765">
      <c r="A765" s="92" t="inlineStr">
        <is>
          <t>HIST-2026-Q3</t>
        </is>
      </c>
      <c r="B765" s="92" t="inlineStr">
        <is>
          <t>RDFO_FICTIEVE_historie_en_mapping.xlsx</t>
        </is>
      </c>
      <c r="C765" s="108" t="n">
        <v>46324</v>
      </c>
      <c r="D765" s="92" t="inlineStr">
        <is>
          <t>Vastgesteld</t>
        </is>
      </c>
      <c r="E765" s="92" t="n">
        <v>2026</v>
      </c>
      <c r="F765" s="92" t="inlineStr">
        <is>
          <t>Q3</t>
        </is>
      </c>
      <c r="G765" s="92" t="n">
        <v>0</v>
      </c>
      <c r="H765" s="108" t="n">
        <v>46295</v>
      </c>
      <c r="I765" s="92" t="n">
        <v>2026</v>
      </c>
      <c r="J765" s="92" t="inlineStr">
        <is>
          <t>G.900006.8.9090</t>
        </is>
      </c>
      <c r="K765" s="92" t="inlineStr">
        <is>
          <t>G.900006</t>
        </is>
      </c>
      <c r="L765" s="92" t="inlineStr">
        <is>
          <t>Boswaard, De Eiken</t>
        </is>
      </c>
      <c r="M765" s="92" t="inlineStr">
        <is>
          <t>Opstal</t>
        </is>
      </c>
      <c r="N765" s="92" t="inlineStr">
        <is>
          <t>J</t>
        </is>
      </c>
      <c r="O765" s="92" t="inlineStr">
        <is>
          <t>Woningverkopen Q3</t>
        </is>
      </c>
      <c r="P765" s="109" t="n">
        <v>1</v>
      </c>
      <c r="Q765" s="92" t="inlineStr">
        <is>
          <t>aantal</t>
        </is>
      </c>
      <c r="R765" s="92" t="inlineStr">
        <is>
          <t>Synthetische snapshot; kwartalen zijn FY-verdeling, geen actuals</t>
        </is>
      </c>
      <c r="S765" s="15" t="str">
        <f>IF(J765="","",J765&amp;"|"&amp;E765&amp;"|"&amp;F765&amp;"|"&amp;I765&amp;"|"&amp;O765)</f>
        <v>G.900006.8.9090|2026|Q3|2026|Woningverkopen Q3</v>
      </c>
      <c r="T765" s="15">
        <f>IF(OR(S765="",D765&lt;&gt;"Vastgesteld"),"",_xlfn.MAXIFS($G$6:$G$5005,$S$6:$S$5005,S765,$D$6:$D$5005,"Vastgesteld"))</f>
        <v>0</v>
      </c>
      <c r="U765" s="15">
        <f>IF(T765="",0,IF(AND(G765=T765,COUNTIFS($S$6:S765,S765,$G$6:G765,G765,$D$6:D765,"Vastgesteld")=1),1,0))</f>
        <v>1</v>
      </c>
      <c r="V765" s="15">
        <f>IF(T765="",0,IF(AND(G765=T765,COUNTIFS($S$6:S765,S765,$G$6:G765,G765,$D$6:D765,"Vastgesteld")&gt;1),1,0))</f>
        <v>0</v>
      </c>
    </row>
    <row r="766">
      <c r="A766" s="92" t="inlineStr">
        <is>
          <t>HIST-2026-Q3</t>
        </is>
      </c>
      <c r="B766" s="92" t="inlineStr">
        <is>
          <t>RDFO_FICTIEVE_historie_en_mapping.xlsx</t>
        </is>
      </c>
      <c r="C766" s="108" t="n">
        <v>46324</v>
      </c>
      <c r="D766" s="92" t="inlineStr">
        <is>
          <t>Vastgesteld</t>
        </is>
      </c>
      <c r="E766" s="92" t="n">
        <v>2026</v>
      </c>
      <c r="F766" s="92" t="inlineStr">
        <is>
          <t>Q3</t>
        </is>
      </c>
      <c r="G766" s="92" t="n">
        <v>0</v>
      </c>
      <c r="H766" s="108" t="n">
        <v>46295</v>
      </c>
      <c r="I766" s="92" t="n">
        <v>2026</v>
      </c>
      <c r="J766" s="92" t="inlineStr">
        <is>
          <t>G.900006.8.9090</t>
        </is>
      </c>
      <c r="K766" s="92" t="inlineStr">
        <is>
          <t>G.900006</t>
        </is>
      </c>
      <c r="L766" s="92" t="inlineStr">
        <is>
          <t>Boswaard, De Eiken</t>
        </is>
      </c>
      <c r="M766" s="92" t="inlineStr">
        <is>
          <t>Opstal</t>
        </is>
      </c>
      <c r="N766" s="92" t="inlineStr">
        <is>
          <t>J</t>
        </is>
      </c>
      <c r="O766" s="92" t="inlineStr">
        <is>
          <t>Woningverkopen Q4</t>
        </is>
      </c>
      <c r="P766" s="109" t="n">
        <v>7</v>
      </c>
      <c r="Q766" s="92" t="inlineStr">
        <is>
          <t>aantal</t>
        </is>
      </c>
      <c r="R766" s="92" t="inlineStr">
        <is>
          <t>Synthetische snapshot; kwartalen zijn FY-verdeling, geen actuals</t>
        </is>
      </c>
      <c r="S766" s="15" t="str">
        <f>IF(J766="","",J766&amp;"|"&amp;E766&amp;"|"&amp;F766&amp;"|"&amp;I766&amp;"|"&amp;O766)</f>
        <v>G.900006.8.9090|2026|Q3|2026|Woningverkopen Q4</v>
      </c>
      <c r="T766" s="15">
        <f>IF(OR(S766="",D766&lt;&gt;"Vastgesteld"),"",_xlfn.MAXIFS($G$6:$G$5005,$S$6:$S$5005,S766,$D$6:$D$5005,"Vastgesteld"))</f>
        <v>0</v>
      </c>
      <c r="U766" s="15">
        <f>IF(T766="",0,IF(AND(G766=T766,COUNTIFS($S$6:S766,S766,$G$6:G766,G766,$D$6:D766,"Vastgesteld")=1),1,0))</f>
        <v>1</v>
      </c>
      <c r="V766" s="15">
        <f>IF(T766="",0,IF(AND(G766=T766,COUNTIFS($S$6:S766,S766,$G$6:G766,G766,$D$6:D766,"Vastgesteld")&gt;1),1,0))</f>
        <v>0</v>
      </c>
    </row>
    <row r="767">
      <c r="A767" s="92" t="inlineStr">
        <is>
          <t>HIST-2026-Q3</t>
        </is>
      </c>
      <c r="B767" s="92" t="inlineStr">
        <is>
          <t>RDFO_FICTIEVE_historie_en_mapping.xlsx</t>
        </is>
      </c>
      <c r="C767" s="108" t="n">
        <v>46324</v>
      </c>
      <c r="D767" s="92" t="inlineStr">
        <is>
          <t>Vastgesteld</t>
        </is>
      </c>
      <c r="E767" s="92" t="n">
        <v>2026</v>
      </c>
      <c r="F767" s="92" t="inlineStr">
        <is>
          <t>Q3</t>
        </is>
      </c>
      <c r="G767" s="92" t="n">
        <v>0</v>
      </c>
      <c r="H767" s="108" t="n">
        <v>46295</v>
      </c>
      <c r="I767" s="92" t="n">
        <v>2026</v>
      </c>
      <c r="J767" s="92" t="inlineStr">
        <is>
          <t>G.900006.8.9090</t>
        </is>
      </c>
      <c r="K767" s="92" t="inlineStr">
        <is>
          <t>G.900006</t>
        </is>
      </c>
      <c r="L767" s="92" t="inlineStr">
        <is>
          <t>Boswaard, De Eiken</t>
        </is>
      </c>
      <c r="M767" s="92" t="inlineStr">
        <is>
          <t>Opstal</t>
        </is>
      </c>
      <c r="N767" s="92" t="inlineStr">
        <is>
          <t>J</t>
        </is>
      </c>
      <c r="O767" s="92" t="inlineStr">
        <is>
          <t>Woningverkopen actual YTD</t>
        </is>
      </c>
      <c r="P767" s="109" t="n">
        <v>2</v>
      </c>
      <c r="Q767" s="92" t="inlineStr">
        <is>
          <t>aantal</t>
        </is>
      </c>
      <c r="R767" s="92" t="inlineStr">
        <is>
          <t>Synthetische snapshot; kwartalen zijn FY-verdeling, geen actuals</t>
        </is>
      </c>
      <c r="S767" s="15" t="str">
        <f>IF(J767="","",J767&amp;"|"&amp;E767&amp;"|"&amp;F767&amp;"|"&amp;I767&amp;"|"&amp;O767)</f>
        <v>G.900006.8.9090|2026|Q3|2026|Woningverkopen actual YTD</v>
      </c>
      <c r="T767" s="15">
        <f>IF(OR(S767="",D767&lt;&gt;"Vastgesteld"),"",_xlfn.MAXIFS($G$6:$G$5005,$S$6:$S$5005,S767,$D$6:$D$5005,"Vastgesteld"))</f>
        <v>0</v>
      </c>
      <c r="U767" s="15">
        <f>IF(T767="",0,IF(AND(G767=T767,COUNTIFS($S$6:S767,S767,$G$6:G767,G767,$D$6:D767,"Vastgesteld")=1),1,0))</f>
        <v>1</v>
      </c>
      <c r="V767" s="15">
        <f>IF(T767="",0,IF(AND(G767=T767,COUNTIFS($S$6:S767,S767,$G$6:G767,G767,$D$6:D767,"Vastgesteld")&gt;1),1,0))</f>
        <v>0</v>
      </c>
    </row>
    <row r="768">
      <c r="A768" s="92" t="inlineStr">
        <is>
          <t>HIST-2026-Q3</t>
        </is>
      </c>
      <c r="B768" s="92" t="inlineStr">
        <is>
          <t>RDFO_FICTIEVE_historie_en_mapping.xlsx</t>
        </is>
      </c>
      <c r="C768" s="108" t="n">
        <v>46324</v>
      </c>
      <c r="D768" s="92" t="inlineStr">
        <is>
          <t>Vastgesteld</t>
        </is>
      </c>
      <c r="E768" s="92" t="n">
        <v>2026</v>
      </c>
      <c r="F768" s="92" t="inlineStr">
        <is>
          <t>Q3</t>
        </is>
      </c>
      <c r="G768" s="92" t="n">
        <v>0</v>
      </c>
      <c r="H768" s="108" t="n">
        <v>46295</v>
      </c>
      <c r="I768" s="92" t="n">
        <v>2026</v>
      </c>
      <c r="J768" s="92" t="inlineStr">
        <is>
          <t>G.900007.8.9090</t>
        </is>
      </c>
      <c r="K768" s="92" t="inlineStr">
        <is>
          <t>G.900007</t>
        </is>
      </c>
      <c r="L768" s="92" t="inlineStr">
        <is>
          <t>Rietdam, Havenkwartier</t>
        </is>
      </c>
      <c r="M768" s="92" t="inlineStr">
        <is>
          <t>Opstal</t>
        </is>
      </c>
      <c r="N768" s="92" t="inlineStr">
        <is>
          <t>J</t>
        </is>
      </c>
      <c r="O768" s="92" t="inlineStr">
        <is>
          <t>Woningverkopen FY</t>
        </is>
      </c>
      <c r="P768" s="109" t="n">
        <v>21</v>
      </c>
      <c r="Q768" s="92" t="inlineStr">
        <is>
          <t>aantal</t>
        </is>
      </c>
      <c r="R768" s="92" t="inlineStr">
        <is>
          <t>Synthetische snapshot; kwartalen zijn FY-verdeling, geen actuals</t>
        </is>
      </c>
      <c r="S768" s="15" t="str">
        <f>IF(J768="","",J768&amp;"|"&amp;E768&amp;"|"&amp;F768&amp;"|"&amp;I768&amp;"|"&amp;O768)</f>
        <v>G.900007.8.9090|2026|Q3|2026|Woningverkopen FY</v>
      </c>
      <c r="T768" s="15">
        <f>IF(OR(S768="",D768&lt;&gt;"Vastgesteld"),"",_xlfn.MAXIFS($G$6:$G$5005,$S$6:$S$5005,S768,$D$6:$D$5005,"Vastgesteld"))</f>
        <v>0</v>
      </c>
      <c r="U768" s="15">
        <f>IF(T768="",0,IF(AND(G768=T768,COUNTIFS($S$6:S768,S768,$G$6:G768,G768,$D$6:D768,"Vastgesteld")=1),1,0))</f>
        <v>1</v>
      </c>
      <c r="V768" s="15">
        <f>IF(T768="",0,IF(AND(G768=T768,COUNTIFS($S$6:S768,S768,$G$6:G768,G768,$D$6:D768,"Vastgesteld")&gt;1),1,0))</f>
        <v>0</v>
      </c>
    </row>
    <row r="769">
      <c r="A769" s="92" t="inlineStr">
        <is>
          <t>HIST-2026-Q3</t>
        </is>
      </c>
      <c r="B769" s="92" t="inlineStr">
        <is>
          <t>RDFO_FICTIEVE_historie_en_mapping.xlsx</t>
        </is>
      </c>
      <c r="C769" s="108" t="n">
        <v>46324</v>
      </c>
      <c r="D769" s="92" t="inlineStr">
        <is>
          <t>Vastgesteld</t>
        </is>
      </c>
      <c r="E769" s="92" t="n">
        <v>2026</v>
      </c>
      <c r="F769" s="92" t="inlineStr">
        <is>
          <t>Q3</t>
        </is>
      </c>
      <c r="G769" s="92" t="n">
        <v>0</v>
      </c>
      <c r="H769" s="108" t="n">
        <v>46295</v>
      </c>
      <c r="I769" s="92" t="n">
        <v>2026</v>
      </c>
      <c r="J769" s="92" t="inlineStr">
        <is>
          <t>G.900007.8.9090</t>
        </is>
      </c>
      <c r="K769" s="92" t="inlineStr">
        <is>
          <t>G.900007</t>
        </is>
      </c>
      <c r="L769" s="92" t="inlineStr">
        <is>
          <t>Rietdam, Havenkwartier</t>
        </is>
      </c>
      <c r="M769" s="92" t="inlineStr">
        <is>
          <t>Opstal</t>
        </is>
      </c>
      <c r="N769" s="92" t="inlineStr">
        <is>
          <t>J</t>
        </is>
      </c>
      <c r="O769" s="92" t="inlineStr">
        <is>
          <t>Woningen verkocht t/m vorig jaar</t>
        </is>
      </c>
      <c r="P769" s="109" t="n">
        <v>0</v>
      </c>
      <c r="Q769" s="92" t="inlineStr">
        <is>
          <t>aantal</t>
        </is>
      </c>
      <c r="R769" s="92" t="inlineStr">
        <is>
          <t>Synthetische snapshot; kwartalen zijn FY-verdeling, geen actuals</t>
        </is>
      </c>
      <c r="S769" s="15" t="str">
        <f>IF(J769="","",J769&amp;"|"&amp;E769&amp;"|"&amp;F769&amp;"|"&amp;I769&amp;"|"&amp;O769)</f>
        <v>G.900007.8.9090|2026|Q3|2026|Woningen verkocht t/m vorig jaar</v>
      </c>
      <c r="T769" s="15">
        <f>IF(OR(S769="",D769&lt;&gt;"Vastgesteld"),"",_xlfn.MAXIFS($G$6:$G$5005,$S$6:$S$5005,S769,$D$6:$D$5005,"Vastgesteld"))</f>
        <v>0</v>
      </c>
      <c r="U769" s="15">
        <f>IF(T769="",0,IF(AND(G769=T769,COUNTIFS($S$6:S769,S769,$G$6:G769,G769,$D$6:D769,"Vastgesteld")=1),1,0))</f>
        <v>1</v>
      </c>
      <c r="V769" s="15">
        <f>IF(T769="",0,IF(AND(G769=T769,COUNTIFS($S$6:S769,S769,$G$6:G769,G769,$D$6:D769,"Vastgesteld")&gt;1),1,0))</f>
        <v>0</v>
      </c>
    </row>
    <row r="770">
      <c r="A770" s="92" t="inlineStr">
        <is>
          <t>HIST-2026-Q3</t>
        </is>
      </c>
      <c r="B770" s="92" t="inlineStr">
        <is>
          <t>RDFO_FICTIEVE_historie_en_mapping.xlsx</t>
        </is>
      </c>
      <c r="C770" s="108" t="n">
        <v>46324</v>
      </c>
      <c r="D770" s="92" t="inlineStr">
        <is>
          <t>Vastgesteld</t>
        </is>
      </c>
      <c r="E770" s="92" t="n">
        <v>2026</v>
      </c>
      <c r="F770" s="92" t="inlineStr">
        <is>
          <t>Q3</t>
        </is>
      </c>
      <c r="G770" s="92" t="n">
        <v>0</v>
      </c>
      <c r="H770" s="108" t="n">
        <v>46295</v>
      </c>
      <c r="I770" s="92" t="n">
        <v>2026</v>
      </c>
      <c r="J770" s="92" t="inlineStr">
        <is>
          <t>G.900007.8.9090</t>
        </is>
      </c>
      <c r="K770" s="92" t="inlineStr">
        <is>
          <t>G.900007</t>
        </is>
      </c>
      <c r="L770" s="92" t="inlineStr">
        <is>
          <t>Rietdam, Havenkwartier</t>
        </is>
      </c>
      <c r="M770" s="92" t="inlineStr">
        <is>
          <t>Opstal</t>
        </is>
      </c>
      <c r="N770" s="92" t="inlineStr">
        <is>
          <t>J</t>
        </is>
      </c>
      <c r="O770" s="92" t="inlineStr">
        <is>
          <t>Woningverkopen Q1</t>
        </is>
      </c>
      <c r="P770" s="109" t="n">
        <v>1</v>
      </c>
      <c r="Q770" s="92" t="inlineStr">
        <is>
          <t>aantal</t>
        </is>
      </c>
      <c r="R770" s="92" t="inlineStr">
        <is>
          <t>Synthetische snapshot; kwartalen zijn FY-verdeling, geen actuals</t>
        </is>
      </c>
      <c r="S770" s="15" t="str">
        <f>IF(J770="","",J770&amp;"|"&amp;E770&amp;"|"&amp;F770&amp;"|"&amp;I770&amp;"|"&amp;O770)</f>
        <v>G.900007.8.9090|2026|Q3|2026|Woningverkopen Q1</v>
      </c>
      <c r="T770" s="15">
        <f>IF(OR(S770="",D770&lt;&gt;"Vastgesteld"),"",_xlfn.MAXIFS($G$6:$G$5005,$S$6:$S$5005,S770,$D$6:$D$5005,"Vastgesteld"))</f>
        <v>0</v>
      </c>
      <c r="U770" s="15">
        <f>IF(T770="",0,IF(AND(G770=T770,COUNTIFS($S$6:S770,S770,$G$6:G770,G770,$D$6:D770,"Vastgesteld")=1),1,0))</f>
        <v>1</v>
      </c>
      <c r="V770" s="15">
        <f>IF(T770="",0,IF(AND(G770=T770,COUNTIFS($S$6:S770,S770,$G$6:G770,G770,$D$6:D770,"Vastgesteld")&gt;1),1,0))</f>
        <v>0</v>
      </c>
    </row>
    <row r="771">
      <c r="A771" s="92" t="inlineStr">
        <is>
          <t>HIST-2026-Q3</t>
        </is>
      </c>
      <c r="B771" s="92" t="inlineStr">
        <is>
          <t>RDFO_FICTIEVE_historie_en_mapping.xlsx</t>
        </is>
      </c>
      <c r="C771" s="108" t="n">
        <v>46324</v>
      </c>
      <c r="D771" s="92" t="inlineStr">
        <is>
          <t>Vastgesteld</t>
        </is>
      </c>
      <c r="E771" s="92" t="n">
        <v>2026</v>
      </c>
      <c r="F771" s="92" t="inlineStr">
        <is>
          <t>Q3</t>
        </is>
      </c>
      <c r="G771" s="92" t="n">
        <v>0</v>
      </c>
      <c r="H771" s="108" t="n">
        <v>46295</v>
      </c>
      <c r="I771" s="92" t="n">
        <v>2026</v>
      </c>
      <c r="J771" s="92" t="inlineStr">
        <is>
          <t>G.900007.8.9090</t>
        </is>
      </c>
      <c r="K771" s="92" t="inlineStr">
        <is>
          <t>G.900007</t>
        </is>
      </c>
      <c r="L771" s="92" t="inlineStr">
        <is>
          <t>Rietdam, Havenkwartier</t>
        </is>
      </c>
      <c r="M771" s="92" t="inlineStr">
        <is>
          <t>Opstal</t>
        </is>
      </c>
      <c r="N771" s="92" t="inlineStr">
        <is>
          <t>J</t>
        </is>
      </c>
      <c r="O771" s="92" t="inlineStr">
        <is>
          <t>Woningverkopen Q2</t>
        </is>
      </c>
      <c r="P771" s="109" t="n">
        <v>4</v>
      </c>
      <c r="Q771" s="92" t="inlineStr">
        <is>
          <t>aantal</t>
        </is>
      </c>
      <c r="R771" s="92" t="inlineStr">
        <is>
          <t>Synthetische snapshot; kwartalen zijn FY-verdeling, geen actuals</t>
        </is>
      </c>
      <c r="S771" s="15" t="str">
        <f>IF(J771="","",J771&amp;"|"&amp;E771&amp;"|"&amp;F771&amp;"|"&amp;I771&amp;"|"&amp;O771)</f>
        <v>G.900007.8.9090|2026|Q3|2026|Woningverkopen Q2</v>
      </c>
      <c r="T771" s="15">
        <f>IF(OR(S771="",D771&lt;&gt;"Vastgesteld"),"",_xlfn.MAXIFS($G$6:$G$5005,$S$6:$S$5005,S771,$D$6:$D$5005,"Vastgesteld"))</f>
        <v>0</v>
      </c>
      <c r="U771" s="15">
        <f>IF(T771="",0,IF(AND(G771=T771,COUNTIFS($S$6:S771,S771,$G$6:G771,G771,$D$6:D771,"Vastgesteld")=1),1,0))</f>
        <v>1</v>
      </c>
      <c r="V771" s="15">
        <f>IF(T771="",0,IF(AND(G771=T771,COUNTIFS($S$6:S771,S771,$G$6:G771,G771,$D$6:D771,"Vastgesteld")&gt;1),1,0))</f>
        <v>0</v>
      </c>
    </row>
    <row r="772">
      <c r="A772" s="92" t="inlineStr">
        <is>
          <t>HIST-2026-Q3</t>
        </is>
      </c>
      <c r="B772" s="92" t="inlineStr">
        <is>
          <t>RDFO_FICTIEVE_historie_en_mapping.xlsx</t>
        </is>
      </c>
      <c r="C772" s="108" t="n">
        <v>46324</v>
      </c>
      <c r="D772" s="92" t="inlineStr">
        <is>
          <t>Vastgesteld</t>
        </is>
      </c>
      <c r="E772" s="92" t="n">
        <v>2026</v>
      </c>
      <c r="F772" s="92" t="inlineStr">
        <is>
          <t>Q3</t>
        </is>
      </c>
      <c r="G772" s="92" t="n">
        <v>0</v>
      </c>
      <c r="H772" s="108" t="n">
        <v>46295</v>
      </c>
      <c r="I772" s="92" t="n">
        <v>2026</v>
      </c>
      <c r="J772" s="92" t="inlineStr">
        <is>
          <t>G.900007.8.9090</t>
        </is>
      </c>
      <c r="K772" s="92" t="inlineStr">
        <is>
          <t>G.900007</t>
        </is>
      </c>
      <c r="L772" s="92" t="inlineStr">
        <is>
          <t>Rietdam, Havenkwartier</t>
        </is>
      </c>
      <c r="M772" s="92" t="inlineStr">
        <is>
          <t>Opstal</t>
        </is>
      </c>
      <c r="N772" s="92" t="inlineStr">
        <is>
          <t>J</t>
        </is>
      </c>
      <c r="O772" s="92" t="inlineStr">
        <is>
          <t>Woningverkopen Q3</t>
        </is>
      </c>
      <c r="P772" s="109" t="n">
        <v>4</v>
      </c>
      <c r="Q772" s="92" t="inlineStr">
        <is>
          <t>aantal</t>
        </is>
      </c>
      <c r="R772" s="92" t="inlineStr">
        <is>
          <t>Synthetische snapshot; kwartalen zijn FY-verdeling, geen actuals</t>
        </is>
      </c>
      <c r="S772" s="15" t="str">
        <f>IF(J772="","",J772&amp;"|"&amp;E772&amp;"|"&amp;F772&amp;"|"&amp;I772&amp;"|"&amp;O772)</f>
        <v>G.900007.8.9090|2026|Q3|2026|Woningverkopen Q3</v>
      </c>
      <c r="T772" s="15">
        <f>IF(OR(S772="",D772&lt;&gt;"Vastgesteld"),"",_xlfn.MAXIFS($G$6:$G$5005,$S$6:$S$5005,S772,$D$6:$D$5005,"Vastgesteld"))</f>
        <v>0</v>
      </c>
      <c r="U772" s="15">
        <f>IF(T772="",0,IF(AND(G772=T772,COUNTIFS($S$6:S772,S772,$G$6:G772,G772,$D$6:D772,"Vastgesteld")=1),1,0))</f>
        <v>1</v>
      </c>
      <c r="V772" s="15">
        <f>IF(T772="",0,IF(AND(G772=T772,COUNTIFS($S$6:S772,S772,$G$6:G772,G772,$D$6:D772,"Vastgesteld")&gt;1),1,0))</f>
        <v>0</v>
      </c>
    </row>
    <row r="773">
      <c r="A773" s="92" t="inlineStr">
        <is>
          <t>HIST-2026-Q3</t>
        </is>
      </c>
      <c r="B773" s="92" t="inlineStr">
        <is>
          <t>RDFO_FICTIEVE_historie_en_mapping.xlsx</t>
        </is>
      </c>
      <c r="C773" s="108" t="n">
        <v>46324</v>
      </c>
      <c r="D773" s="92" t="inlineStr">
        <is>
          <t>Vastgesteld</t>
        </is>
      </c>
      <c r="E773" s="92" t="n">
        <v>2026</v>
      </c>
      <c r="F773" s="92" t="inlineStr">
        <is>
          <t>Q3</t>
        </is>
      </c>
      <c r="G773" s="92" t="n">
        <v>0</v>
      </c>
      <c r="H773" s="108" t="n">
        <v>46295</v>
      </c>
      <c r="I773" s="92" t="n">
        <v>2026</v>
      </c>
      <c r="J773" s="92" t="inlineStr">
        <is>
          <t>G.900007.8.9090</t>
        </is>
      </c>
      <c r="K773" s="92" t="inlineStr">
        <is>
          <t>G.900007</t>
        </is>
      </c>
      <c r="L773" s="92" t="inlineStr">
        <is>
          <t>Rietdam, Havenkwartier</t>
        </is>
      </c>
      <c r="M773" s="92" t="inlineStr">
        <is>
          <t>Opstal</t>
        </is>
      </c>
      <c r="N773" s="92" t="inlineStr">
        <is>
          <t>J</t>
        </is>
      </c>
      <c r="O773" s="92" t="inlineStr">
        <is>
          <t>Woningverkopen Q4</t>
        </is>
      </c>
      <c r="P773" s="109" t="n">
        <v>12</v>
      </c>
      <c r="Q773" s="92" t="inlineStr">
        <is>
          <t>aantal</t>
        </is>
      </c>
      <c r="R773" s="92" t="inlineStr">
        <is>
          <t>Synthetische snapshot; kwartalen zijn FY-verdeling, geen actuals</t>
        </is>
      </c>
      <c r="S773" s="15" t="str">
        <f>IF(J773="","",J773&amp;"|"&amp;E773&amp;"|"&amp;F773&amp;"|"&amp;I773&amp;"|"&amp;O773)</f>
        <v>G.900007.8.9090|2026|Q3|2026|Woningverkopen Q4</v>
      </c>
      <c r="T773" s="15">
        <f>IF(OR(S773="",D773&lt;&gt;"Vastgesteld"),"",_xlfn.MAXIFS($G$6:$G$5005,$S$6:$S$5005,S773,$D$6:$D$5005,"Vastgesteld"))</f>
        <v>0</v>
      </c>
      <c r="U773" s="15">
        <f>IF(T773="",0,IF(AND(G773=T773,COUNTIFS($S$6:S773,S773,$G$6:G773,G773,$D$6:D773,"Vastgesteld")=1),1,0))</f>
        <v>1</v>
      </c>
      <c r="V773" s="15">
        <f>IF(T773="",0,IF(AND(G773=T773,COUNTIFS($S$6:S773,S773,$G$6:G773,G773,$D$6:D773,"Vastgesteld")&gt;1),1,0))</f>
        <v>0</v>
      </c>
    </row>
    <row r="774">
      <c r="A774" s="92" t="inlineStr">
        <is>
          <t>HIST-2026-Q3</t>
        </is>
      </c>
      <c r="B774" s="92" t="inlineStr">
        <is>
          <t>RDFO_FICTIEVE_historie_en_mapping.xlsx</t>
        </is>
      </c>
      <c r="C774" s="108" t="n">
        <v>46324</v>
      </c>
      <c r="D774" s="92" t="inlineStr">
        <is>
          <t>Vastgesteld</t>
        </is>
      </c>
      <c r="E774" s="92" t="n">
        <v>2026</v>
      </c>
      <c r="F774" s="92" t="inlineStr">
        <is>
          <t>Q3</t>
        </is>
      </c>
      <c r="G774" s="92" t="n">
        <v>0</v>
      </c>
      <c r="H774" s="108" t="n">
        <v>46295</v>
      </c>
      <c r="I774" s="92" t="n">
        <v>2026</v>
      </c>
      <c r="J774" s="92" t="inlineStr">
        <is>
          <t>G.900007.8.9090</t>
        </is>
      </c>
      <c r="K774" s="92" t="inlineStr">
        <is>
          <t>G.900007</t>
        </is>
      </c>
      <c r="L774" s="92" t="inlineStr">
        <is>
          <t>Rietdam, Havenkwartier</t>
        </is>
      </c>
      <c r="M774" s="92" t="inlineStr">
        <is>
          <t>Opstal</t>
        </is>
      </c>
      <c r="N774" s="92" t="inlineStr">
        <is>
          <t>J</t>
        </is>
      </c>
      <c r="O774" s="92" t="inlineStr">
        <is>
          <t>Woningverkopen actual YTD</t>
        </is>
      </c>
      <c r="P774" s="109" t="n">
        <v>9</v>
      </c>
      <c r="Q774" s="92" t="inlineStr">
        <is>
          <t>aantal</t>
        </is>
      </c>
      <c r="R774" s="92" t="inlineStr">
        <is>
          <t>Synthetische snapshot; kwartalen zijn FY-verdeling, geen actuals</t>
        </is>
      </c>
      <c r="S774" s="15" t="str">
        <f>IF(J774="","",J774&amp;"|"&amp;E774&amp;"|"&amp;F774&amp;"|"&amp;I774&amp;"|"&amp;O774)</f>
        <v>G.900007.8.9090|2026|Q3|2026|Woningverkopen actual YTD</v>
      </c>
      <c r="T774" s="15">
        <f>IF(OR(S774="",D774&lt;&gt;"Vastgesteld"),"",_xlfn.MAXIFS($G$6:$G$5005,$S$6:$S$5005,S774,$D$6:$D$5005,"Vastgesteld"))</f>
        <v>0</v>
      </c>
      <c r="U774" s="15">
        <f>IF(T774="",0,IF(AND(G774=T774,COUNTIFS($S$6:S774,S774,$G$6:G774,G774,$D$6:D774,"Vastgesteld")=1),1,0))</f>
        <v>1</v>
      </c>
      <c r="V774" s="15">
        <f>IF(T774="",0,IF(AND(G774=T774,COUNTIFS($S$6:S774,S774,$G$6:G774,G774,$D$6:D774,"Vastgesteld")&gt;1),1,0))</f>
        <v>0</v>
      </c>
    </row>
    <row r="775">
      <c r="A775" s="92" t="inlineStr">
        <is>
          <t>HIST-2026-Q3</t>
        </is>
      </c>
      <c r="B775" s="92" t="inlineStr">
        <is>
          <t>RDFO_FICTIEVE_historie_en_mapping.xlsx</t>
        </is>
      </c>
      <c r="C775" s="108" t="n">
        <v>46324</v>
      </c>
      <c r="D775" s="92" t="inlineStr">
        <is>
          <t>Vastgesteld</t>
        </is>
      </c>
      <c r="E775" s="92" t="n">
        <v>2026</v>
      </c>
      <c r="F775" s="92" t="inlineStr">
        <is>
          <t>Q3</t>
        </is>
      </c>
      <c r="G775" s="92" t="n">
        <v>0</v>
      </c>
      <c r="H775" s="108" t="n">
        <v>46295</v>
      </c>
      <c r="I775" s="92" t="n">
        <v>2026</v>
      </c>
      <c r="J775" s="92" t="inlineStr">
        <is>
          <t>G.900008.8.9090</t>
        </is>
      </c>
      <c r="K775" s="92" t="inlineStr">
        <is>
          <t>G.900008</t>
        </is>
      </c>
      <c r="L775" s="92" t="inlineStr">
        <is>
          <t>Lindehaven, De Brink</t>
        </is>
      </c>
      <c r="M775" s="92" t="inlineStr">
        <is>
          <t>Opstal</t>
        </is>
      </c>
      <c r="N775" s="92" t="inlineStr">
        <is>
          <t>J</t>
        </is>
      </c>
      <c r="O775" s="92" t="inlineStr">
        <is>
          <t>Woningverkopen FY</t>
        </is>
      </c>
      <c r="P775" s="109" t="n">
        <v>14</v>
      </c>
      <c r="Q775" s="92" t="inlineStr">
        <is>
          <t>aantal</t>
        </is>
      </c>
      <c r="R775" s="92" t="inlineStr">
        <is>
          <t>Synthetische snapshot; kwartalen zijn FY-verdeling, geen actuals</t>
        </is>
      </c>
      <c r="S775" s="15" t="str">
        <f>IF(J775="","",J775&amp;"|"&amp;E775&amp;"|"&amp;F775&amp;"|"&amp;I775&amp;"|"&amp;O775)</f>
        <v>G.900008.8.9090|2026|Q3|2026|Woningverkopen FY</v>
      </c>
      <c r="T775" s="15">
        <f>IF(OR(S775="",D775&lt;&gt;"Vastgesteld"),"",_xlfn.MAXIFS($G$6:$G$5005,$S$6:$S$5005,S775,$D$6:$D$5005,"Vastgesteld"))</f>
        <v>0</v>
      </c>
      <c r="U775" s="15">
        <f>IF(T775="",0,IF(AND(G775=T775,COUNTIFS($S$6:S775,S775,$G$6:G775,G775,$D$6:D775,"Vastgesteld")=1),1,0))</f>
        <v>1</v>
      </c>
      <c r="V775" s="15">
        <f>IF(T775="",0,IF(AND(G775=T775,COUNTIFS($S$6:S775,S775,$G$6:G775,G775,$D$6:D775,"Vastgesteld")&gt;1),1,0))</f>
        <v>0</v>
      </c>
    </row>
    <row r="776">
      <c r="A776" s="92" t="inlineStr">
        <is>
          <t>HIST-2026-Q3</t>
        </is>
      </c>
      <c r="B776" s="92" t="inlineStr">
        <is>
          <t>RDFO_FICTIEVE_historie_en_mapping.xlsx</t>
        </is>
      </c>
      <c r="C776" s="108" t="n">
        <v>46324</v>
      </c>
      <c r="D776" s="92" t="inlineStr">
        <is>
          <t>Vastgesteld</t>
        </is>
      </c>
      <c r="E776" s="92" t="n">
        <v>2026</v>
      </c>
      <c r="F776" s="92" t="inlineStr">
        <is>
          <t>Q3</t>
        </is>
      </c>
      <c r="G776" s="92" t="n">
        <v>0</v>
      </c>
      <c r="H776" s="108" t="n">
        <v>46295</v>
      </c>
      <c r="I776" s="92" t="n">
        <v>2026</v>
      </c>
      <c r="J776" s="92" t="inlineStr">
        <is>
          <t>G.900008.8.9090</t>
        </is>
      </c>
      <c r="K776" s="92" t="inlineStr">
        <is>
          <t>G.900008</t>
        </is>
      </c>
      <c r="L776" s="92" t="inlineStr">
        <is>
          <t>Lindehaven, De Brink</t>
        </is>
      </c>
      <c r="M776" s="92" t="inlineStr">
        <is>
          <t>Opstal</t>
        </is>
      </c>
      <c r="N776" s="92" t="inlineStr">
        <is>
          <t>J</t>
        </is>
      </c>
      <c r="O776" s="92" t="inlineStr">
        <is>
          <t>Woningen verkocht t/m vorig jaar</t>
        </is>
      </c>
      <c r="P776" s="109" t="n">
        <v>0</v>
      </c>
      <c r="Q776" s="92" t="inlineStr">
        <is>
          <t>aantal</t>
        </is>
      </c>
      <c r="R776" s="92" t="inlineStr">
        <is>
          <t>Synthetische snapshot; kwartalen zijn FY-verdeling, geen actuals</t>
        </is>
      </c>
      <c r="S776" s="15" t="str">
        <f>IF(J776="","",J776&amp;"|"&amp;E776&amp;"|"&amp;F776&amp;"|"&amp;I776&amp;"|"&amp;O776)</f>
        <v>G.900008.8.9090|2026|Q3|2026|Woningen verkocht t/m vorig jaar</v>
      </c>
      <c r="T776" s="15">
        <f>IF(OR(S776="",D776&lt;&gt;"Vastgesteld"),"",_xlfn.MAXIFS($G$6:$G$5005,$S$6:$S$5005,S776,$D$6:$D$5005,"Vastgesteld"))</f>
        <v>0</v>
      </c>
      <c r="U776" s="15">
        <f>IF(T776="",0,IF(AND(G776=T776,COUNTIFS($S$6:S776,S776,$G$6:G776,G776,$D$6:D776,"Vastgesteld")=1),1,0))</f>
        <v>1</v>
      </c>
      <c r="V776" s="15">
        <f>IF(T776="",0,IF(AND(G776=T776,COUNTIFS($S$6:S776,S776,$G$6:G776,G776,$D$6:D776,"Vastgesteld")&gt;1),1,0))</f>
        <v>0</v>
      </c>
    </row>
    <row r="777">
      <c r="A777" s="92" t="inlineStr">
        <is>
          <t>HIST-2026-Q3</t>
        </is>
      </c>
      <c r="B777" s="92" t="inlineStr">
        <is>
          <t>RDFO_FICTIEVE_historie_en_mapping.xlsx</t>
        </is>
      </c>
      <c r="C777" s="108" t="n">
        <v>46324</v>
      </c>
      <c r="D777" s="92" t="inlineStr">
        <is>
          <t>Vastgesteld</t>
        </is>
      </c>
      <c r="E777" s="92" t="n">
        <v>2026</v>
      </c>
      <c r="F777" s="92" t="inlineStr">
        <is>
          <t>Q3</t>
        </is>
      </c>
      <c r="G777" s="92" t="n">
        <v>0</v>
      </c>
      <c r="H777" s="108" t="n">
        <v>46295</v>
      </c>
      <c r="I777" s="92" t="n">
        <v>2026</v>
      </c>
      <c r="J777" s="92" t="inlineStr">
        <is>
          <t>G.900008.8.9090</t>
        </is>
      </c>
      <c r="K777" s="92" t="inlineStr">
        <is>
          <t>G.900008</t>
        </is>
      </c>
      <c r="L777" s="92" t="inlineStr">
        <is>
          <t>Lindehaven, De Brink</t>
        </is>
      </c>
      <c r="M777" s="92" t="inlineStr">
        <is>
          <t>Opstal</t>
        </is>
      </c>
      <c r="N777" s="92" t="inlineStr">
        <is>
          <t>J</t>
        </is>
      </c>
      <c r="O777" s="92" t="inlineStr">
        <is>
          <t>Woningverkopen Q1</t>
        </is>
      </c>
      <c r="P777" s="109" t="n">
        <v>1</v>
      </c>
      <c r="Q777" s="92" t="inlineStr">
        <is>
          <t>aantal</t>
        </is>
      </c>
      <c r="R777" s="92" t="inlineStr">
        <is>
          <t>Synthetische snapshot; kwartalen zijn FY-verdeling, geen actuals</t>
        </is>
      </c>
      <c r="S777" s="15" t="str">
        <f>IF(J777="","",J777&amp;"|"&amp;E777&amp;"|"&amp;F777&amp;"|"&amp;I777&amp;"|"&amp;O777)</f>
        <v>G.900008.8.9090|2026|Q3|2026|Woningverkopen Q1</v>
      </c>
      <c r="T777" s="15">
        <f>IF(OR(S777="",D777&lt;&gt;"Vastgesteld"),"",_xlfn.MAXIFS($G$6:$G$5005,$S$6:$S$5005,S777,$D$6:$D$5005,"Vastgesteld"))</f>
        <v>0</v>
      </c>
      <c r="U777" s="15">
        <f>IF(T777="",0,IF(AND(G777=T777,COUNTIFS($S$6:S777,S777,$G$6:G777,G777,$D$6:D777,"Vastgesteld")=1),1,0))</f>
        <v>1</v>
      </c>
      <c r="V777" s="15">
        <f>IF(T777="",0,IF(AND(G777=T777,COUNTIFS($S$6:S777,S777,$G$6:G777,G777,$D$6:D777,"Vastgesteld")&gt;1),1,0))</f>
        <v>0</v>
      </c>
    </row>
    <row r="778">
      <c r="A778" s="92" t="inlineStr">
        <is>
          <t>HIST-2026-Q3</t>
        </is>
      </c>
      <c r="B778" s="92" t="inlineStr">
        <is>
          <t>RDFO_FICTIEVE_historie_en_mapping.xlsx</t>
        </is>
      </c>
      <c r="C778" s="108" t="n">
        <v>46324</v>
      </c>
      <c r="D778" s="92" t="inlineStr">
        <is>
          <t>Vastgesteld</t>
        </is>
      </c>
      <c r="E778" s="92" t="n">
        <v>2026</v>
      </c>
      <c r="F778" s="92" t="inlineStr">
        <is>
          <t>Q3</t>
        </is>
      </c>
      <c r="G778" s="92" t="n">
        <v>0</v>
      </c>
      <c r="H778" s="108" t="n">
        <v>46295</v>
      </c>
      <c r="I778" s="92" t="n">
        <v>2026</v>
      </c>
      <c r="J778" s="92" t="inlineStr">
        <is>
          <t>G.900008.8.9090</t>
        </is>
      </c>
      <c r="K778" s="92" t="inlineStr">
        <is>
          <t>G.900008</t>
        </is>
      </c>
      <c r="L778" s="92" t="inlineStr">
        <is>
          <t>Lindehaven, De Brink</t>
        </is>
      </c>
      <c r="M778" s="92" t="inlineStr">
        <is>
          <t>Opstal</t>
        </is>
      </c>
      <c r="N778" s="92" t="inlineStr">
        <is>
          <t>J</t>
        </is>
      </c>
      <c r="O778" s="92" t="inlineStr">
        <is>
          <t>Woningverkopen Q2</t>
        </is>
      </c>
      <c r="P778" s="109" t="n">
        <v>3</v>
      </c>
      <c r="Q778" s="92" t="inlineStr">
        <is>
          <t>aantal</t>
        </is>
      </c>
      <c r="R778" s="92" t="inlineStr">
        <is>
          <t>Synthetische snapshot; kwartalen zijn FY-verdeling, geen actuals</t>
        </is>
      </c>
      <c r="S778" s="15" t="str">
        <f>IF(J778="","",J778&amp;"|"&amp;E778&amp;"|"&amp;F778&amp;"|"&amp;I778&amp;"|"&amp;O778)</f>
        <v>G.900008.8.9090|2026|Q3|2026|Woningverkopen Q2</v>
      </c>
      <c r="T778" s="15">
        <f>IF(OR(S778="",D778&lt;&gt;"Vastgesteld"),"",_xlfn.MAXIFS($G$6:$G$5005,$S$6:$S$5005,S778,$D$6:$D$5005,"Vastgesteld"))</f>
        <v>0</v>
      </c>
      <c r="U778" s="15">
        <f>IF(T778="",0,IF(AND(G778=T778,COUNTIFS($S$6:S778,S778,$G$6:G778,G778,$D$6:D778,"Vastgesteld")=1),1,0))</f>
        <v>1</v>
      </c>
      <c r="V778" s="15">
        <f>IF(T778="",0,IF(AND(G778=T778,COUNTIFS($S$6:S778,S778,$G$6:G778,G778,$D$6:D778,"Vastgesteld")&gt;1),1,0))</f>
        <v>0</v>
      </c>
    </row>
    <row r="779">
      <c r="A779" s="92" t="inlineStr">
        <is>
          <t>HIST-2026-Q3</t>
        </is>
      </c>
      <c r="B779" s="92" t="inlineStr">
        <is>
          <t>RDFO_FICTIEVE_historie_en_mapping.xlsx</t>
        </is>
      </c>
      <c r="C779" s="108" t="n">
        <v>46324</v>
      </c>
      <c r="D779" s="92" t="inlineStr">
        <is>
          <t>Vastgesteld</t>
        </is>
      </c>
      <c r="E779" s="92" t="n">
        <v>2026</v>
      </c>
      <c r="F779" s="92" t="inlineStr">
        <is>
          <t>Q3</t>
        </is>
      </c>
      <c r="G779" s="92" t="n">
        <v>0</v>
      </c>
      <c r="H779" s="108" t="n">
        <v>46295</v>
      </c>
      <c r="I779" s="92" t="n">
        <v>2026</v>
      </c>
      <c r="J779" s="92" t="inlineStr">
        <is>
          <t>G.900008.8.9090</t>
        </is>
      </c>
      <c r="K779" s="92" t="inlineStr">
        <is>
          <t>G.900008</t>
        </is>
      </c>
      <c r="L779" s="92" t="inlineStr">
        <is>
          <t>Lindehaven, De Brink</t>
        </is>
      </c>
      <c r="M779" s="92" t="inlineStr">
        <is>
          <t>Opstal</t>
        </is>
      </c>
      <c r="N779" s="92" t="inlineStr">
        <is>
          <t>J</t>
        </is>
      </c>
      <c r="O779" s="92" t="inlineStr">
        <is>
          <t>Woningverkopen Q3</t>
        </is>
      </c>
      <c r="P779" s="109" t="n">
        <v>3</v>
      </c>
      <c r="Q779" s="92" t="inlineStr">
        <is>
          <t>aantal</t>
        </is>
      </c>
      <c r="R779" s="92" t="inlineStr">
        <is>
          <t>Synthetische snapshot; kwartalen zijn FY-verdeling, geen actuals</t>
        </is>
      </c>
      <c r="S779" s="15" t="str">
        <f>IF(J779="","",J779&amp;"|"&amp;E779&amp;"|"&amp;F779&amp;"|"&amp;I779&amp;"|"&amp;O779)</f>
        <v>G.900008.8.9090|2026|Q3|2026|Woningverkopen Q3</v>
      </c>
      <c r="T779" s="15">
        <f>IF(OR(S779="",D779&lt;&gt;"Vastgesteld"),"",_xlfn.MAXIFS($G$6:$G$5005,$S$6:$S$5005,S779,$D$6:$D$5005,"Vastgesteld"))</f>
        <v>0</v>
      </c>
      <c r="U779" s="15">
        <f>IF(T779="",0,IF(AND(G779=T779,COUNTIFS($S$6:S779,S779,$G$6:G779,G779,$D$6:D779,"Vastgesteld")=1),1,0))</f>
        <v>1</v>
      </c>
      <c r="V779" s="15">
        <f>IF(T779="",0,IF(AND(G779=T779,COUNTIFS($S$6:S779,S779,$G$6:G779,G779,$D$6:D779,"Vastgesteld")&gt;1),1,0))</f>
        <v>0</v>
      </c>
    </row>
    <row r="780">
      <c r="A780" s="92" t="inlineStr">
        <is>
          <t>HIST-2026-Q3</t>
        </is>
      </c>
      <c r="B780" s="92" t="inlineStr">
        <is>
          <t>RDFO_FICTIEVE_historie_en_mapping.xlsx</t>
        </is>
      </c>
      <c r="C780" s="108" t="n">
        <v>46324</v>
      </c>
      <c r="D780" s="92" t="inlineStr">
        <is>
          <t>Vastgesteld</t>
        </is>
      </c>
      <c r="E780" s="92" t="n">
        <v>2026</v>
      </c>
      <c r="F780" s="92" t="inlineStr">
        <is>
          <t>Q3</t>
        </is>
      </c>
      <c r="G780" s="92" t="n">
        <v>0</v>
      </c>
      <c r="H780" s="108" t="n">
        <v>46295</v>
      </c>
      <c r="I780" s="92" t="n">
        <v>2026</v>
      </c>
      <c r="J780" s="92" t="inlineStr">
        <is>
          <t>G.900008.8.9090</t>
        </is>
      </c>
      <c r="K780" s="92" t="inlineStr">
        <is>
          <t>G.900008</t>
        </is>
      </c>
      <c r="L780" s="92" t="inlineStr">
        <is>
          <t>Lindehaven, De Brink</t>
        </is>
      </c>
      <c r="M780" s="92" t="inlineStr">
        <is>
          <t>Opstal</t>
        </is>
      </c>
      <c r="N780" s="92" t="inlineStr">
        <is>
          <t>J</t>
        </is>
      </c>
      <c r="O780" s="92" t="inlineStr">
        <is>
          <t>Woningverkopen Q4</t>
        </is>
      </c>
      <c r="P780" s="109" t="n">
        <v>7</v>
      </c>
      <c r="Q780" s="92" t="inlineStr">
        <is>
          <t>aantal</t>
        </is>
      </c>
      <c r="R780" s="92" t="inlineStr">
        <is>
          <t>Synthetische snapshot; kwartalen zijn FY-verdeling, geen actuals</t>
        </is>
      </c>
      <c r="S780" s="15" t="str">
        <f>IF(J780="","",J780&amp;"|"&amp;E780&amp;"|"&amp;F780&amp;"|"&amp;I780&amp;"|"&amp;O780)</f>
        <v>G.900008.8.9090|2026|Q3|2026|Woningverkopen Q4</v>
      </c>
      <c r="T780" s="15">
        <f>IF(OR(S780="",D780&lt;&gt;"Vastgesteld"),"",_xlfn.MAXIFS($G$6:$G$5005,$S$6:$S$5005,S780,$D$6:$D$5005,"Vastgesteld"))</f>
        <v>0</v>
      </c>
      <c r="U780" s="15">
        <f>IF(T780="",0,IF(AND(G780=T780,COUNTIFS($S$6:S780,S780,$G$6:G780,G780,$D$6:D780,"Vastgesteld")=1),1,0))</f>
        <v>1</v>
      </c>
      <c r="V780" s="15">
        <f>IF(T780="",0,IF(AND(G780=T780,COUNTIFS($S$6:S780,S780,$G$6:G780,G780,$D$6:D780,"Vastgesteld")&gt;1),1,0))</f>
        <v>0</v>
      </c>
    </row>
    <row r="781">
      <c r="A781" s="92" t="inlineStr">
        <is>
          <t>HIST-2026-Q3</t>
        </is>
      </c>
      <c r="B781" s="92" t="inlineStr">
        <is>
          <t>RDFO_FICTIEVE_historie_en_mapping.xlsx</t>
        </is>
      </c>
      <c r="C781" s="108" t="n">
        <v>46324</v>
      </c>
      <c r="D781" s="92" t="inlineStr">
        <is>
          <t>Vastgesteld</t>
        </is>
      </c>
      <c r="E781" s="92" t="n">
        <v>2026</v>
      </c>
      <c r="F781" s="92" t="inlineStr">
        <is>
          <t>Q3</t>
        </is>
      </c>
      <c r="G781" s="92" t="n">
        <v>0</v>
      </c>
      <c r="H781" s="108" t="n">
        <v>46295</v>
      </c>
      <c r="I781" s="92" t="n">
        <v>2026</v>
      </c>
      <c r="J781" s="92" t="inlineStr">
        <is>
          <t>G.900008.8.9090</t>
        </is>
      </c>
      <c r="K781" s="92" t="inlineStr">
        <is>
          <t>G.900008</t>
        </is>
      </c>
      <c r="L781" s="92" t="inlineStr">
        <is>
          <t>Lindehaven, De Brink</t>
        </is>
      </c>
      <c r="M781" s="92" t="inlineStr">
        <is>
          <t>Opstal</t>
        </is>
      </c>
      <c r="N781" s="92" t="inlineStr">
        <is>
          <t>J</t>
        </is>
      </c>
      <c r="O781" s="92" t="inlineStr">
        <is>
          <t>Woningverkopen actual YTD</t>
        </is>
      </c>
      <c r="P781" s="109" t="n">
        <v>7</v>
      </c>
      <c r="Q781" s="92" t="inlineStr">
        <is>
          <t>aantal</t>
        </is>
      </c>
      <c r="R781" s="92" t="inlineStr">
        <is>
          <t>Synthetische snapshot; kwartalen zijn FY-verdeling, geen actuals</t>
        </is>
      </c>
      <c r="S781" s="15" t="str">
        <f>IF(J781="","",J781&amp;"|"&amp;E781&amp;"|"&amp;F781&amp;"|"&amp;I781&amp;"|"&amp;O781)</f>
        <v>G.900008.8.9090|2026|Q3|2026|Woningverkopen actual YTD</v>
      </c>
      <c r="T781" s="15">
        <f>IF(OR(S781="",D781&lt;&gt;"Vastgesteld"),"",_xlfn.MAXIFS($G$6:$G$5005,$S$6:$S$5005,S781,$D$6:$D$5005,"Vastgesteld"))</f>
        <v>0</v>
      </c>
      <c r="U781" s="15">
        <f>IF(T781="",0,IF(AND(G781=T781,COUNTIFS($S$6:S781,S781,$G$6:G781,G781,$D$6:D781,"Vastgesteld")=1),1,0))</f>
        <v>1</v>
      </c>
      <c r="V781" s="15">
        <f>IF(T781="",0,IF(AND(G781=T781,COUNTIFS($S$6:S781,S781,$G$6:G781,G781,$D$6:D781,"Vastgesteld")&gt;1),1,0))</f>
        <v>0</v>
      </c>
    </row>
    <row r="782">
      <c r="A782" s="92" t="inlineStr">
        <is>
          <t>HIST-2026-Q3</t>
        </is>
      </c>
      <c r="B782" s="92" t="inlineStr">
        <is>
          <t>RDFO_FICTIEVE_historie_en_mapping.xlsx</t>
        </is>
      </c>
      <c r="C782" s="108" t="n">
        <v>46324</v>
      </c>
      <c r="D782" s="92" t="inlineStr">
        <is>
          <t>Vastgesteld</t>
        </is>
      </c>
      <c r="E782" s="92" t="n">
        <v>2026</v>
      </c>
      <c r="F782" s="92" t="inlineStr">
        <is>
          <t>Q3</t>
        </is>
      </c>
      <c r="G782" s="92" t="n">
        <v>0</v>
      </c>
      <c r="H782" s="108" t="n">
        <v>46295</v>
      </c>
      <c r="I782" s="92" t="n">
        <v>2026</v>
      </c>
      <c r="J782" s="92" t="inlineStr">
        <is>
          <t>G.900009.8.9090</t>
        </is>
      </c>
      <c r="K782" s="92" t="inlineStr">
        <is>
          <t>G.900009</t>
        </is>
      </c>
      <c r="L782" s="92" t="inlineStr">
        <is>
          <t>Duinwaard, Duinrand</t>
        </is>
      </c>
      <c r="M782" s="92" t="inlineStr">
        <is>
          <t>Opstal</t>
        </is>
      </c>
      <c r="N782" s="92" t="inlineStr">
        <is>
          <t>J</t>
        </is>
      </c>
      <c r="O782" s="92" t="inlineStr">
        <is>
          <t>Woningverkopen FY</t>
        </is>
      </c>
      <c r="P782" s="109" t="n">
        <v>29</v>
      </c>
      <c r="Q782" s="92" t="inlineStr">
        <is>
          <t>aantal</t>
        </is>
      </c>
      <c r="R782" s="92" t="inlineStr">
        <is>
          <t>Synthetische snapshot; kwartalen zijn FY-verdeling, geen actuals</t>
        </is>
      </c>
      <c r="S782" s="15" t="str">
        <f>IF(J782="","",J782&amp;"|"&amp;E782&amp;"|"&amp;F782&amp;"|"&amp;I782&amp;"|"&amp;O782)</f>
        <v>G.900009.8.9090|2026|Q3|2026|Woningverkopen FY</v>
      </c>
      <c r="T782" s="15">
        <f>IF(OR(S782="",D782&lt;&gt;"Vastgesteld"),"",_xlfn.MAXIFS($G$6:$G$5005,$S$6:$S$5005,S782,$D$6:$D$5005,"Vastgesteld"))</f>
        <v>0</v>
      </c>
      <c r="U782" s="15">
        <f>IF(T782="",0,IF(AND(G782=T782,COUNTIFS($S$6:S782,S782,$G$6:G782,G782,$D$6:D782,"Vastgesteld")=1),1,0))</f>
        <v>1</v>
      </c>
      <c r="V782" s="15">
        <f>IF(T782="",0,IF(AND(G782=T782,COUNTIFS($S$6:S782,S782,$G$6:G782,G782,$D$6:D782,"Vastgesteld")&gt;1),1,0))</f>
        <v>0</v>
      </c>
    </row>
    <row r="783">
      <c r="A783" s="92" t="inlineStr">
        <is>
          <t>HIST-2026-Q3</t>
        </is>
      </c>
      <c r="B783" s="92" t="inlineStr">
        <is>
          <t>RDFO_FICTIEVE_historie_en_mapping.xlsx</t>
        </is>
      </c>
      <c r="C783" s="108" t="n">
        <v>46324</v>
      </c>
      <c r="D783" s="92" t="inlineStr">
        <is>
          <t>Vastgesteld</t>
        </is>
      </c>
      <c r="E783" s="92" t="n">
        <v>2026</v>
      </c>
      <c r="F783" s="92" t="inlineStr">
        <is>
          <t>Q3</t>
        </is>
      </c>
      <c r="G783" s="92" t="n">
        <v>0</v>
      </c>
      <c r="H783" s="108" t="n">
        <v>46295</v>
      </c>
      <c r="I783" s="92" t="n">
        <v>2026</v>
      </c>
      <c r="J783" s="92" t="inlineStr">
        <is>
          <t>G.900009.8.9090</t>
        </is>
      </c>
      <c r="K783" s="92" t="inlineStr">
        <is>
          <t>G.900009</t>
        </is>
      </c>
      <c r="L783" s="92" t="inlineStr">
        <is>
          <t>Duinwaard, Duinrand</t>
        </is>
      </c>
      <c r="M783" s="92" t="inlineStr">
        <is>
          <t>Opstal</t>
        </is>
      </c>
      <c r="N783" s="92" t="inlineStr">
        <is>
          <t>J</t>
        </is>
      </c>
      <c r="O783" s="92" t="inlineStr">
        <is>
          <t>Woningen verkocht t/m vorig jaar</t>
        </is>
      </c>
      <c r="P783" s="109" t="n">
        <v>0</v>
      </c>
      <c r="Q783" s="92" t="inlineStr">
        <is>
          <t>aantal</t>
        </is>
      </c>
      <c r="R783" s="92" t="inlineStr">
        <is>
          <t>Synthetische snapshot; kwartalen zijn FY-verdeling, geen actuals</t>
        </is>
      </c>
      <c r="S783" s="15" t="str">
        <f>IF(J783="","",J783&amp;"|"&amp;E783&amp;"|"&amp;F783&amp;"|"&amp;I783&amp;"|"&amp;O783)</f>
        <v>G.900009.8.9090|2026|Q3|2026|Woningen verkocht t/m vorig jaar</v>
      </c>
      <c r="T783" s="15">
        <f>IF(OR(S783="",D783&lt;&gt;"Vastgesteld"),"",_xlfn.MAXIFS($G$6:$G$5005,$S$6:$S$5005,S783,$D$6:$D$5005,"Vastgesteld"))</f>
        <v>0</v>
      </c>
      <c r="U783" s="15">
        <f>IF(T783="",0,IF(AND(G783=T783,COUNTIFS($S$6:S783,S783,$G$6:G783,G783,$D$6:D783,"Vastgesteld")=1),1,0))</f>
        <v>1</v>
      </c>
      <c r="V783" s="15">
        <f>IF(T783="",0,IF(AND(G783=T783,COUNTIFS($S$6:S783,S783,$G$6:G783,G783,$D$6:D783,"Vastgesteld")&gt;1),1,0))</f>
        <v>0</v>
      </c>
    </row>
    <row r="784">
      <c r="A784" s="92" t="inlineStr">
        <is>
          <t>HIST-2026-Q3</t>
        </is>
      </c>
      <c r="B784" s="92" t="inlineStr">
        <is>
          <t>RDFO_FICTIEVE_historie_en_mapping.xlsx</t>
        </is>
      </c>
      <c r="C784" s="108" t="n">
        <v>46324</v>
      </c>
      <c r="D784" s="92" t="inlineStr">
        <is>
          <t>Vastgesteld</t>
        </is>
      </c>
      <c r="E784" s="92" t="n">
        <v>2026</v>
      </c>
      <c r="F784" s="92" t="inlineStr">
        <is>
          <t>Q3</t>
        </is>
      </c>
      <c r="G784" s="92" t="n">
        <v>0</v>
      </c>
      <c r="H784" s="108" t="n">
        <v>46295</v>
      </c>
      <c r="I784" s="92" t="n">
        <v>2026</v>
      </c>
      <c r="J784" s="92" t="inlineStr">
        <is>
          <t>G.900009.8.9090</t>
        </is>
      </c>
      <c r="K784" s="92" t="inlineStr">
        <is>
          <t>G.900009</t>
        </is>
      </c>
      <c r="L784" s="92" t="inlineStr">
        <is>
          <t>Duinwaard, Duinrand</t>
        </is>
      </c>
      <c r="M784" s="92" t="inlineStr">
        <is>
          <t>Opstal</t>
        </is>
      </c>
      <c r="N784" s="92" t="inlineStr">
        <is>
          <t>J</t>
        </is>
      </c>
      <c r="O784" s="92" t="inlineStr">
        <is>
          <t>Woningverkopen Q1</t>
        </is>
      </c>
      <c r="P784" s="109" t="n">
        <v>4</v>
      </c>
      <c r="Q784" s="92" t="inlineStr">
        <is>
          <t>aantal</t>
        </is>
      </c>
      <c r="R784" s="92" t="inlineStr">
        <is>
          <t>Synthetische snapshot; kwartalen zijn FY-verdeling, geen actuals</t>
        </is>
      </c>
      <c r="S784" s="15" t="str">
        <f>IF(J784="","",J784&amp;"|"&amp;E784&amp;"|"&amp;F784&amp;"|"&amp;I784&amp;"|"&amp;O784)</f>
        <v>G.900009.8.9090|2026|Q3|2026|Woningverkopen Q1</v>
      </c>
      <c r="T784" s="15">
        <f>IF(OR(S784="",D784&lt;&gt;"Vastgesteld"),"",_xlfn.MAXIFS($G$6:$G$5005,$S$6:$S$5005,S784,$D$6:$D$5005,"Vastgesteld"))</f>
        <v>0</v>
      </c>
      <c r="U784" s="15">
        <f>IF(T784="",0,IF(AND(G784=T784,COUNTIFS($S$6:S784,S784,$G$6:G784,G784,$D$6:D784,"Vastgesteld")=1),1,0))</f>
        <v>1</v>
      </c>
      <c r="V784" s="15">
        <f>IF(T784="",0,IF(AND(G784=T784,COUNTIFS($S$6:S784,S784,$G$6:G784,G784,$D$6:D784,"Vastgesteld")&gt;1),1,0))</f>
        <v>0</v>
      </c>
    </row>
    <row r="785">
      <c r="A785" s="92" t="inlineStr">
        <is>
          <t>HIST-2026-Q3</t>
        </is>
      </c>
      <c r="B785" s="92" t="inlineStr">
        <is>
          <t>RDFO_FICTIEVE_historie_en_mapping.xlsx</t>
        </is>
      </c>
      <c r="C785" s="108" t="n">
        <v>46324</v>
      </c>
      <c r="D785" s="92" t="inlineStr">
        <is>
          <t>Vastgesteld</t>
        </is>
      </c>
      <c r="E785" s="92" t="n">
        <v>2026</v>
      </c>
      <c r="F785" s="92" t="inlineStr">
        <is>
          <t>Q3</t>
        </is>
      </c>
      <c r="G785" s="92" t="n">
        <v>0</v>
      </c>
      <c r="H785" s="108" t="n">
        <v>46295</v>
      </c>
      <c r="I785" s="92" t="n">
        <v>2026</v>
      </c>
      <c r="J785" s="92" t="inlineStr">
        <is>
          <t>G.900009.8.9090</t>
        </is>
      </c>
      <c r="K785" s="92" t="inlineStr">
        <is>
          <t>G.900009</t>
        </is>
      </c>
      <c r="L785" s="92" t="inlineStr">
        <is>
          <t>Duinwaard, Duinrand</t>
        </is>
      </c>
      <c r="M785" s="92" t="inlineStr">
        <is>
          <t>Opstal</t>
        </is>
      </c>
      <c r="N785" s="92" t="inlineStr">
        <is>
          <t>J</t>
        </is>
      </c>
      <c r="O785" s="92" t="inlineStr">
        <is>
          <t>Woningverkopen Q2</t>
        </is>
      </c>
      <c r="P785" s="109" t="n">
        <v>7</v>
      </c>
      <c r="Q785" s="92" t="inlineStr">
        <is>
          <t>aantal</t>
        </is>
      </c>
      <c r="R785" s="92" t="inlineStr">
        <is>
          <t>Synthetische snapshot; kwartalen zijn FY-verdeling, geen actuals</t>
        </is>
      </c>
      <c r="S785" s="15" t="str">
        <f>IF(J785="","",J785&amp;"|"&amp;E785&amp;"|"&amp;F785&amp;"|"&amp;I785&amp;"|"&amp;O785)</f>
        <v>G.900009.8.9090|2026|Q3|2026|Woningverkopen Q2</v>
      </c>
      <c r="T785" s="15">
        <f>IF(OR(S785="",D785&lt;&gt;"Vastgesteld"),"",_xlfn.MAXIFS($G$6:$G$5005,$S$6:$S$5005,S785,$D$6:$D$5005,"Vastgesteld"))</f>
        <v>0</v>
      </c>
      <c r="U785" s="15">
        <f>IF(T785="",0,IF(AND(G785=T785,COUNTIFS($S$6:S785,S785,$G$6:G785,G785,$D$6:D785,"Vastgesteld")=1),1,0))</f>
        <v>1</v>
      </c>
      <c r="V785" s="15">
        <f>IF(T785="",0,IF(AND(G785=T785,COUNTIFS($S$6:S785,S785,$G$6:G785,G785,$D$6:D785,"Vastgesteld")&gt;1),1,0))</f>
        <v>0</v>
      </c>
    </row>
    <row r="786">
      <c r="A786" s="92" t="inlineStr">
        <is>
          <t>HIST-2026-Q3</t>
        </is>
      </c>
      <c r="B786" s="92" t="inlineStr">
        <is>
          <t>RDFO_FICTIEVE_historie_en_mapping.xlsx</t>
        </is>
      </c>
      <c r="C786" s="108" t="n">
        <v>46324</v>
      </c>
      <c r="D786" s="92" t="inlineStr">
        <is>
          <t>Vastgesteld</t>
        </is>
      </c>
      <c r="E786" s="92" t="n">
        <v>2026</v>
      </c>
      <c r="F786" s="92" t="inlineStr">
        <is>
          <t>Q3</t>
        </is>
      </c>
      <c r="G786" s="92" t="n">
        <v>0</v>
      </c>
      <c r="H786" s="108" t="n">
        <v>46295</v>
      </c>
      <c r="I786" s="92" t="n">
        <v>2026</v>
      </c>
      <c r="J786" s="92" t="inlineStr">
        <is>
          <t>G.900009.8.9090</t>
        </is>
      </c>
      <c r="K786" s="92" t="inlineStr">
        <is>
          <t>G.900009</t>
        </is>
      </c>
      <c r="L786" s="92" t="inlineStr">
        <is>
          <t>Duinwaard, Duinrand</t>
        </is>
      </c>
      <c r="M786" s="92" t="inlineStr">
        <is>
          <t>Opstal</t>
        </is>
      </c>
      <c r="N786" s="92" t="inlineStr">
        <is>
          <t>J</t>
        </is>
      </c>
      <c r="O786" s="92" t="inlineStr">
        <is>
          <t>Woningverkopen Q3</t>
        </is>
      </c>
      <c r="P786" s="109" t="n">
        <v>7</v>
      </c>
      <c r="Q786" s="92" t="inlineStr">
        <is>
          <t>aantal</t>
        </is>
      </c>
      <c r="R786" s="92" t="inlineStr">
        <is>
          <t>Synthetische snapshot; kwartalen zijn FY-verdeling, geen actuals</t>
        </is>
      </c>
      <c r="S786" s="15" t="str">
        <f>IF(J786="","",J786&amp;"|"&amp;E786&amp;"|"&amp;F786&amp;"|"&amp;I786&amp;"|"&amp;O786)</f>
        <v>G.900009.8.9090|2026|Q3|2026|Woningverkopen Q3</v>
      </c>
      <c r="T786" s="15">
        <f>IF(OR(S786="",D786&lt;&gt;"Vastgesteld"),"",_xlfn.MAXIFS($G$6:$G$5005,$S$6:$S$5005,S786,$D$6:$D$5005,"Vastgesteld"))</f>
        <v>0</v>
      </c>
      <c r="U786" s="15">
        <f>IF(T786="",0,IF(AND(G786=T786,COUNTIFS($S$6:S786,S786,$G$6:G786,G786,$D$6:D786,"Vastgesteld")=1),1,0))</f>
        <v>1</v>
      </c>
      <c r="V786" s="15">
        <f>IF(T786="",0,IF(AND(G786=T786,COUNTIFS($S$6:S786,S786,$G$6:G786,G786,$D$6:D786,"Vastgesteld")&gt;1),1,0))</f>
        <v>0</v>
      </c>
    </row>
    <row r="787">
      <c r="A787" s="92" t="inlineStr">
        <is>
          <t>HIST-2026-Q3</t>
        </is>
      </c>
      <c r="B787" s="92" t="inlineStr">
        <is>
          <t>RDFO_FICTIEVE_historie_en_mapping.xlsx</t>
        </is>
      </c>
      <c r="C787" s="108" t="n">
        <v>46324</v>
      </c>
      <c r="D787" s="92" t="inlineStr">
        <is>
          <t>Vastgesteld</t>
        </is>
      </c>
      <c r="E787" s="92" t="n">
        <v>2026</v>
      </c>
      <c r="F787" s="92" t="inlineStr">
        <is>
          <t>Q3</t>
        </is>
      </c>
      <c r="G787" s="92" t="n">
        <v>0</v>
      </c>
      <c r="H787" s="108" t="n">
        <v>46295</v>
      </c>
      <c r="I787" s="92" t="n">
        <v>2026</v>
      </c>
      <c r="J787" s="92" t="inlineStr">
        <is>
          <t>G.900009.8.9090</t>
        </is>
      </c>
      <c r="K787" s="92" t="inlineStr">
        <is>
          <t>G.900009</t>
        </is>
      </c>
      <c r="L787" s="92" t="inlineStr">
        <is>
          <t>Duinwaard, Duinrand</t>
        </is>
      </c>
      <c r="M787" s="92" t="inlineStr">
        <is>
          <t>Opstal</t>
        </is>
      </c>
      <c r="N787" s="92" t="inlineStr">
        <is>
          <t>J</t>
        </is>
      </c>
      <c r="O787" s="92" t="inlineStr">
        <is>
          <t>Woningverkopen Q4</t>
        </is>
      </c>
      <c r="P787" s="109" t="n">
        <v>11</v>
      </c>
      <c r="Q787" s="92" t="inlineStr">
        <is>
          <t>aantal</t>
        </is>
      </c>
      <c r="R787" s="92" t="inlineStr">
        <is>
          <t>Synthetische snapshot; kwartalen zijn FY-verdeling, geen actuals</t>
        </is>
      </c>
      <c r="S787" s="15" t="str">
        <f>IF(J787="","",J787&amp;"|"&amp;E787&amp;"|"&amp;F787&amp;"|"&amp;I787&amp;"|"&amp;O787)</f>
        <v>G.900009.8.9090|2026|Q3|2026|Woningverkopen Q4</v>
      </c>
      <c r="T787" s="15">
        <f>IF(OR(S787="",D787&lt;&gt;"Vastgesteld"),"",_xlfn.MAXIFS($G$6:$G$5005,$S$6:$S$5005,S787,$D$6:$D$5005,"Vastgesteld"))</f>
        <v>0</v>
      </c>
      <c r="U787" s="15">
        <f>IF(T787="",0,IF(AND(G787=T787,COUNTIFS($S$6:S787,S787,$G$6:G787,G787,$D$6:D787,"Vastgesteld")=1),1,0))</f>
        <v>1</v>
      </c>
      <c r="V787" s="15">
        <f>IF(T787="",0,IF(AND(G787=T787,COUNTIFS($S$6:S787,S787,$G$6:G787,G787,$D$6:D787,"Vastgesteld")&gt;1),1,0))</f>
        <v>0</v>
      </c>
    </row>
    <row r="788">
      <c r="A788" s="92" t="inlineStr">
        <is>
          <t>HIST-2026-Q3</t>
        </is>
      </c>
      <c r="B788" s="92" t="inlineStr">
        <is>
          <t>RDFO_FICTIEVE_historie_en_mapping.xlsx</t>
        </is>
      </c>
      <c r="C788" s="108" t="n">
        <v>46324</v>
      </c>
      <c r="D788" s="92" t="inlineStr">
        <is>
          <t>Vastgesteld</t>
        </is>
      </c>
      <c r="E788" s="92" t="n">
        <v>2026</v>
      </c>
      <c r="F788" s="92" t="inlineStr">
        <is>
          <t>Q3</t>
        </is>
      </c>
      <c r="G788" s="92" t="n">
        <v>0</v>
      </c>
      <c r="H788" s="108" t="n">
        <v>46295</v>
      </c>
      <c r="I788" s="92" t="n">
        <v>2026</v>
      </c>
      <c r="J788" s="92" t="inlineStr">
        <is>
          <t>G.900009.8.9090</t>
        </is>
      </c>
      <c r="K788" s="92" t="inlineStr">
        <is>
          <t>G.900009</t>
        </is>
      </c>
      <c r="L788" s="92" t="inlineStr">
        <is>
          <t>Duinwaard, Duinrand</t>
        </is>
      </c>
      <c r="M788" s="92" t="inlineStr">
        <is>
          <t>Opstal</t>
        </is>
      </c>
      <c r="N788" s="92" t="inlineStr">
        <is>
          <t>J</t>
        </is>
      </c>
      <c r="O788" s="92" t="inlineStr">
        <is>
          <t>Woningverkopen actual YTD</t>
        </is>
      </c>
      <c r="P788" s="109" t="n">
        <v>18</v>
      </c>
      <c r="Q788" s="92" t="inlineStr">
        <is>
          <t>aantal</t>
        </is>
      </c>
      <c r="R788" s="92" t="inlineStr">
        <is>
          <t>Synthetische snapshot; kwartalen zijn FY-verdeling, geen actuals</t>
        </is>
      </c>
      <c r="S788" s="15" t="str">
        <f>IF(J788="","",J788&amp;"|"&amp;E788&amp;"|"&amp;F788&amp;"|"&amp;I788&amp;"|"&amp;O788)</f>
        <v>G.900009.8.9090|2026|Q3|2026|Woningverkopen actual YTD</v>
      </c>
      <c r="T788" s="15">
        <f>IF(OR(S788="",D788&lt;&gt;"Vastgesteld"),"",_xlfn.MAXIFS($G$6:$G$5005,$S$6:$S$5005,S788,$D$6:$D$5005,"Vastgesteld"))</f>
        <v>0</v>
      </c>
      <c r="U788" s="15">
        <f>IF(T788="",0,IF(AND(G788=T788,COUNTIFS($S$6:S788,S788,$G$6:G788,G788,$D$6:D788,"Vastgesteld")=1),1,0))</f>
        <v>1</v>
      </c>
      <c r="V788" s="15">
        <f>IF(T788="",0,IF(AND(G788=T788,COUNTIFS($S$6:S788,S788,$G$6:G788,G788,$D$6:D788,"Vastgesteld")&gt;1),1,0))</f>
        <v>0</v>
      </c>
    </row>
    <row r="789">
      <c r="A789" s="92" t="inlineStr">
        <is>
          <t>HIST-2026-Q3</t>
        </is>
      </c>
      <c r="B789" s="92" t="inlineStr">
        <is>
          <t>RDFO_FICTIEVE_historie_en_mapping.xlsx</t>
        </is>
      </c>
      <c r="C789" s="108" t="n">
        <v>46324</v>
      </c>
      <c r="D789" s="92" t="inlineStr">
        <is>
          <t>Vastgesteld</t>
        </is>
      </c>
      <c r="E789" s="92" t="n">
        <v>2026</v>
      </c>
      <c r="F789" s="92" t="inlineStr">
        <is>
          <t>Q3</t>
        </is>
      </c>
      <c r="G789" s="92" t="n">
        <v>0</v>
      </c>
      <c r="H789" s="108" t="n">
        <v>46295</v>
      </c>
      <c r="I789" s="92" t="n">
        <v>2026</v>
      </c>
      <c r="J789" s="92" t="inlineStr">
        <is>
          <t>G.900010.8.9090</t>
        </is>
      </c>
      <c r="K789" s="92" t="inlineStr">
        <is>
          <t>G.900010</t>
        </is>
      </c>
      <c r="L789" s="92" t="inlineStr">
        <is>
          <t>Veldendam, Groene Singel</t>
        </is>
      </c>
      <c r="M789" s="92" t="inlineStr">
        <is>
          <t>Opstal</t>
        </is>
      </c>
      <c r="N789" s="92" t="inlineStr">
        <is>
          <t>J</t>
        </is>
      </c>
      <c r="O789" s="92" t="inlineStr">
        <is>
          <t>Woningverkopen FY</t>
        </is>
      </c>
      <c r="P789" s="109" t="n">
        <v>18</v>
      </c>
      <c r="Q789" s="92" t="inlineStr">
        <is>
          <t>aantal</t>
        </is>
      </c>
      <c r="R789" s="92" t="inlineStr">
        <is>
          <t>Synthetische snapshot; kwartalen zijn FY-verdeling, geen actuals</t>
        </is>
      </c>
      <c r="S789" s="15" t="str">
        <f>IF(J789="","",J789&amp;"|"&amp;E789&amp;"|"&amp;F789&amp;"|"&amp;I789&amp;"|"&amp;O789)</f>
        <v>G.900010.8.9090|2026|Q3|2026|Woningverkopen FY</v>
      </c>
      <c r="T789" s="15">
        <f>IF(OR(S789="",D789&lt;&gt;"Vastgesteld"),"",_xlfn.MAXIFS($G$6:$G$5005,$S$6:$S$5005,S789,$D$6:$D$5005,"Vastgesteld"))</f>
        <v>0</v>
      </c>
      <c r="U789" s="15">
        <f>IF(T789="",0,IF(AND(G789=T789,COUNTIFS($S$6:S789,S789,$G$6:G789,G789,$D$6:D789,"Vastgesteld")=1),1,0))</f>
        <v>1</v>
      </c>
      <c r="V789" s="15">
        <f>IF(T789="",0,IF(AND(G789=T789,COUNTIFS($S$6:S789,S789,$G$6:G789,G789,$D$6:D789,"Vastgesteld")&gt;1),1,0))</f>
        <v>0</v>
      </c>
    </row>
    <row r="790">
      <c r="A790" s="92" t="inlineStr">
        <is>
          <t>HIST-2026-Q3</t>
        </is>
      </c>
      <c r="B790" s="92" t="inlineStr">
        <is>
          <t>RDFO_FICTIEVE_historie_en_mapping.xlsx</t>
        </is>
      </c>
      <c r="C790" s="108" t="n">
        <v>46324</v>
      </c>
      <c r="D790" s="92" t="inlineStr">
        <is>
          <t>Vastgesteld</t>
        </is>
      </c>
      <c r="E790" s="92" t="n">
        <v>2026</v>
      </c>
      <c r="F790" s="92" t="inlineStr">
        <is>
          <t>Q3</t>
        </is>
      </c>
      <c r="G790" s="92" t="n">
        <v>0</v>
      </c>
      <c r="H790" s="108" t="n">
        <v>46295</v>
      </c>
      <c r="I790" s="92" t="n">
        <v>2026</v>
      </c>
      <c r="J790" s="92" t="inlineStr">
        <is>
          <t>G.900010.8.9090</t>
        </is>
      </c>
      <c r="K790" s="92" t="inlineStr">
        <is>
          <t>G.900010</t>
        </is>
      </c>
      <c r="L790" s="92" t="inlineStr">
        <is>
          <t>Veldendam, Groene Singel</t>
        </is>
      </c>
      <c r="M790" s="92" t="inlineStr">
        <is>
          <t>Opstal</t>
        </is>
      </c>
      <c r="N790" s="92" t="inlineStr">
        <is>
          <t>J</t>
        </is>
      </c>
      <c r="O790" s="92" t="inlineStr">
        <is>
          <t>Woningen verkocht t/m vorig jaar</t>
        </is>
      </c>
      <c r="P790" s="109" t="n">
        <v>0</v>
      </c>
      <c r="Q790" s="92" t="inlineStr">
        <is>
          <t>aantal</t>
        </is>
      </c>
      <c r="R790" s="92" t="inlineStr">
        <is>
          <t>Synthetische snapshot; kwartalen zijn FY-verdeling, geen actuals</t>
        </is>
      </c>
      <c r="S790" s="15" t="str">
        <f>IF(J790="","",J790&amp;"|"&amp;E790&amp;"|"&amp;F790&amp;"|"&amp;I790&amp;"|"&amp;O790)</f>
        <v>G.900010.8.9090|2026|Q3|2026|Woningen verkocht t/m vorig jaar</v>
      </c>
      <c r="T790" s="15">
        <f>IF(OR(S790="",D790&lt;&gt;"Vastgesteld"),"",_xlfn.MAXIFS($G$6:$G$5005,$S$6:$S$5005,S790,$D$6:$D$5005,"Vastgesteld"))</f>
        <v>0</v>
      </c>
      <c r="U790" s="15">
        <f>IF(T790="",0,IF(AND(G790=T790,COUNTIFS($S$6:S790,S790,$G$6:G790,G790,$D$6:D790,"Vastgesteld")=1),1,0))</f>
        <v>1</v>
      </c>
      <c r="V790" s="15">
        <f>IF(T790="",0,IF(AND(G790=T790,COUNTIFS($S$6:S790,S790,$G$6:G790,G790,$D$6:D790,"Vastgesteld")&gt;1),1,0))</f>
        <v>0</v>
      </c>
    </row>
    <row r="791">
      <c r="A791" s="92" t="inlineStr">
        <is>
          <t>HIST-2026-Q3</t>
        </is>
      </c>
      <c r="B791" s="92" t="inlineStr">
        <is>
          <t>RDFO_FICTIEVE_historie_en_mapping.xlsx</t>
        </is>
      </c>
      <c r="C791" s="108" t="n">
        <v>46324</v>
      </c>
      <c r="D791" s="92" t="inlineStr">
        <is>
          <t>Vastgesteld</t>
        </is>
      </c>
      <c r="E791" s="92" t="n">
        <v>2026</v>
      </c>
      <c r="F791" s="92" t="inlineStr">
        <is>
          <t>Q3</t>
        </is>
      </c>
      <c r="G791" s="92" t="n">
        <v>0</v>
      </c>
      <c r="H791" s="108" t="n">
        <v>46295</v>
      </c>
      <c r="I791" s="92" t="n">
        <v>2026</v>
      </c>
      <c r="J791" s="92" t="inlineStr">
        <is>
          <t>G.900010.8.9090</t>
        </is>
      </c>
      <c r="K791" s="92" t="inlineStr">
        <is>
          <t>G.900010</t>
        </is>
      </c>
      <c r="L791" s="92" t="inlineStr">
        <is>
          <t>Veldendam, Groene Singel</t>
        </is>
      </c>
      <c r="M791" s="92" t="inlineStr">
        <is>
          <t>Opstal</t>
        </is>
      </c>
      <c r="N791" s="92" t="inlineStr">
        <is>
          <t>J</t>
        </is>
      </c>
      <c r="O791" s="92" t="inlineStr">
        <is>
          <t>Woningverkopen Q1</t>
        </is>
      </c>
      <c r="P791" s="109" t="n">
        <v>1</v>
      </c>
      <c r="Q791" s="92" t="inlineStr">
        <is>
          <t>aantal</t>
        </is>
      </c>
      <c r="R791" s="92" t="inlineStr">
        <is>
          <t>Synthetische snapshot; kwartalen zijn FY-verdeling, geen actuals</t>
        </is>
      </c>
      <c r="S791" s="15" t="str">
        <f>IF(J791="","",J791&amp;"|"&amp;E791&amp;"|"&amp;F791&amp;"|"&amp;I791&amp;"|"&amp;O791)</f>
        <v>G.900010.8.9090|2026|Q3|2026|Woningverkopen Q1</v>
      </c>
      <c r="T791" s="15">
        <f>IF(OR(S791="",D791&lt;&gt;"Vastgesteld"),"",_xlfn.MAXIFS($G$6:$G$5005,$S$6:$S$5005,S791,$D$6:$D$5005,"Vastgesteld"))</f>
        <v>0</v>
      </c>
      <c r="U791" s="15">
        <f>IF(T791="",0,IF(AND(G791=T791,COUNTIFS($S$6:S791,S791,$G$6:G791,G791,$D$6:D791,"Vastgesteld")=1),1,0))</f>
        <v>1</v>
      </c>
      <c r="V791" s="15">
        <f>IF(T791="",0,IF(AND(G791=T791,COUNTIFS($S$6:S791,S791,$G$6:G791,G791,$D$6:D791,"Vastgesteld")&gt;1),1,0))</f>
        <v>0</v>
      </c>
    </row>
    <row r="792">
      <c r="A792" s="92" t="inlineStr">
        <is>
          <t>HIST-2026-Q3</t>
        </is>
      </c>
      <c r="B792" s="92" t="inlineStr">
        <is>
          <t>RDFO_FICTIEVE_historie_en_mapping.xlsx</t>
        </is>
      </c>
      <c r="C792" s="108" t="n">
        <v>46324</v>
      </c>
      <c r="D792" s="92" t="inlineStr">
        <is>
          <t>Vastgesteld</t>
        </is>
      </c>
      <c r="E792" s="92" t="n">
        <v>2026</v>
      </c>
      <c r="F792" s="92" t="inlineStr">
        <is>
          <t>Q3</t>
        </is>
      </c>
      <c r="G792" s="92" t="n">
        <v>0</v>
      </c>
      <c r="H792" s="108" t="n">
        <v>46295</v>
      </c>
      <c r="I792" s="92" t="n">
        <v>2026</v>
      </c>
      <c r="J792" s="92" t="inlineStr">
        <is>
          <t>G.900010.8.9090</t>
        </is>
      </c>
      <c r="K792" s="92" t="inlineStr">
        <is>
          <t>G.900010</t>
        </is>
      </c>
      <c r="L792" s="92" t="inlineStr">
        <is>
          <t>Veldendam, Groene Singel</t>
        </is>
      </c>
      <c r="M792" s="92" t="inlineStr">
        <is>
          <t>Opstal</t>
        </is>
      </c>
      <c r="N792" s="92" t="inlineStr">
        <is>
          <t>J</t>
        </is>
      </c>
      <c r="O792" s="92" t="inlineStr">
        <is>
          <t>Woningverkopen Q2</t>
        </is>
      </c>
      <c r="P792" s="109" t="n">
        <v>4</v>
      </c>
      <c r="Q792" s="92" t="inlineStr">
        <is>
          <t>aantal</t>
        </is>
      </c>
      <c r="R792" s="92" t="inlineStr">
        <is>
          <t>Synthetische snapshot; kwartalen zijn FY-verdeling, geen actuals</t>
        </is>
      </c>
      <c r="S792" s="15" t="str">
        <f>IF(J792="","",J792&amp;"|"&amp;E792&amp;"|"&amp;F792&amp;"|"&amp;I792&amp;"|"&amp;O792)</f>
        <v>G.900010.8.9090|2026|Q3|2026|Woningverkopen Q2</v>
      </c>
      <c r="T792" s="15">
        <f>IF(OR(S792="",D792&lt;&gt;"Vastgesteld"),"",_xlfn.MAXIFS($G$6:$G$5005,$S$6:$S$5005,S792,$D$6:$D$5005,"Vastgesteld"))</f>
        <v>0</v>
      </c>
      <c r="U792" s="15">
        <f>IF(T792="",0,IF(AND(G792=T792,COUNTIFS($S$6:S792,S792,$G$6:G792,G792,$D$6:D792,"Vastgesteld")=1),1,0))</f>
        <v>1</v>
      </c>
      <c r="V792" s="15">
        <f>IF(T792="",0,IF(AND(G792=T792,COUNTIFS($S$6:S792,S792,$G$6:G792,G792,$D$6:D792,"Vastgesteld")&gt;1),1,0))</f>
        <v>0</v>
      </c>
    </row>
    <row r="793">
      <c r="A793" s="92" t="inlineStr">
        <is>
          <t>HIST-2026-Q3</t>
        </is>
      </c>
      <c r="B793" s="92" t="inlineStr">
        <is>
          <t>RDFO_FICTIEVE_historie_en_mapping.xlsx</t>
        </is>
      </c>
      <c r="C793" s="108" t="n">
        <v>46324</v>
      </c>
      <c r="D793" s="92" t="inlineStr">
        <is>
          <t>Vastgesteld</t>
        </is>
      </c>
      <c r="E793" s="92" t="n">
        <v>2026</v>
      </c>
      <c r="F793" s="92" t="inlineStr">
        <is>
          <t>Q3</t>
        </is>
      </c>
      <c r="G793" s="92" t="n">
        <v>0</v>
      </c>
      <c r="H793" s="108" t="n">
        <v>46295</v>
      </c>
      <c r="I793" s="92" t="n">
        <v>2026</v>
      </c>
      <c r="J793" s="92" t="inlineStr">
        <is>
          <t>G.900010.8.9090</t>
        </is>
      </c>
      <c r="K793" s="92" t="inlineStr">
        <is>
          <t>G.900010</t>
        </is>
      </c>
      <c r="L793" s="92" t="inlineStr">
        <is>
          <t>Veldendam, Groene Singel</t>
        </is>
      </c>
      <c r="M793" s="92" t="inlineStr">
        <is>
          <t>Opstal</t>
        </is>
      </c>
      <c r="N793" s="92" t="inlineStr">
        <is>
          <t>J</t>
        </is>
      </c>
      <c r="O793" s="92" t="inlineStr">
        <is>
          <t>Woningverkopen Q3</t>
        </is>
      </c>
      <c r="P793" s="109" t="n">
        <v>4</v>
      </c>
      <c r="Q793" s="92" t="inlineStr">
        <is>
          <t>aantal</t>
        </is>
      </c>
      <c r="R793" s="92" t="inlineStr">
        <is>
          <t>Synthetische snapshot; kwartalen zijn FY-verdeling, geen actuals</t>
        </is>
      </c>
      <c r="S793" s="15" t="str">
        <f>IF(J793="","",J793&amp;"|"&amp;E793&amp;"|"&amp;F793&amp;"|"&amp;I793&amp;"|"&amp;O793)</f>
        <v>G.900010.8.9090|2026|Q3|2026|Woningverkopen Q3</v>
      </c>
      <c r="T793" s="15">
        <f>IF(OR(S793="",D793&lt;&gt;"Vastgesteld"),"",_xlfn.MAXIFS($G$6:$G$5005,$S$6:$S$5005,S793,$D$6:$D$5005,"Vastgesteld"))</f>
        <v>0</v>
      </c>
      <c r="U793" s="15">
        <f>IF(T793="",0,IF(AND(G793=T793,COUNTIFS($S$6:S793,S793,$G$6:G793,G793,$D$6:D793,"Vastgesteld")=1),1,0))</f>
        <v>1</v>
      </c>
      <c r="V793" s="15">
        <f>IF(T793="",0,IF(AND(G793=T793,COUNTIFS($S$6:S793,S793,$G$6:G793,G793,$D$6:D793,"Vastgesteld")&gt;1),1,0))</f>
        <v>0</v>
      </c>
    </row>
    <row r="794">
      <c r="A794" s="92" t="inlineStr">
        <is>
          <t>HIST-2026-Q3</t>
        </is>
      </c>
      <c r="B794" s="92" t="inlineStr">
        <is>
          <t>RDFO_FICTIEVE_historie_en_mapping.xlsx</t>
        </is>
      </c>
      <c r="C794" s="108" t="n">
        <v>46324</v>
      </c>
      <c r="D794" s="92" t="inlineStr">
        <is>
          <t>Vastgesteld</t>
        </is>
      </c>
      <c r="E794" s="92" t="n">
        <v>2026</v>
      </c>
      <c r="F794" s="92" t="inlineStr">
        <is>
          <t>Q3</t>
        </is>
      </c>
      <c r="G794" s="92" t="n">
        <v>0</v>
      </c>
      <c r="H794" s="108" t="n">
        <v>46295</v>
      </c>
      <c r="I794" s="92" t="n">
        <v>2026</v>
      </c>
      <c r="J794" s="92" t="inlineStr">
        <is>
          <t>G.900010.8.9090</t>
        </is>
      </c>
      <c r="K794" s="92" t="inlineStr">
        <is>
          <t>G.900010</t>
        </is>
      </c>
      <c r="L794" s="92" t="inlineStr">
        <is>
          <t>Veldendam, Groene Singel</t>
        </is>
      </c>
      <c r="M794" s="92" t="inlineStr">
        <is>
          <t>Opstal</t>
        </is>
      </c>
      <c r="N794" s="92" t="inlineStr">
        <is>
          <t>J</t>
        </is>
      </c>
      <c r="O794" s="92" t="inlineStr">
        <is>
          <t>Woningverkopen Q4</t>
        </is>
      </c>
      <c r="P794" s="109" t="n">
        <v>9</v>
      </c>
      <c r="Q794" s="92" t="inlineStr">
        <is>
          <t>aantal</t>
        </is>
      </c>
      <c r="R794" s="92" t="inlineStr">
        <is>
          <t>Synthetische snapshot; kwartalen zijn FY-verdeling, geen actuals</t>
        </is>
      </c>
      <c r="S794" s="15" t="str">
        <f>IF(J794="","",J794&amp;"|"&amp;E794&amp;"|"&amp;F794&amp;"|"&amp;I794&amp;"|"&amp;O794)</f>
        <v>G.900010.8.9090|2026|Q3|2026|Woningverkopen Q4</v>
      </c>
      <c r="T794" s="15">
        <f>IF(OR(S794="",D794&lt;&gt;"Vastgesteld"),"",_xlfn.MAXIFS($G$6:$G$5005,$S$6:$S$5005,S794,$D$6:$D$5005,"Vastgesteld"))</f>
        <v>0</v>
      </c>
      <c r="U794" s="15">
        <f>IF(T794="",0,IF(AND(G794=T794,COUNTIFS($S$6:S794,S794,$G$6:G794,G794,$D$6:D794,"Vastgesteld")=1),1,0))</f>
        <v>1</v>
      </c>
      <c r="V794" s="15">
        <f>IF(T794="",0,IF(AND(G794=T794,COUNTIFS($S$6:S794,S794,$G$6:G794,G794,$D$6:D794,"Vastgesteld")&gt;1),1,0))</f>
        <v>0</v>
      </c>
    </row>
    <row r="795">
      <c r="A795" s="92" t="inlineStr">
        <is>
          <t>HIST-2026-Q3</t>
        </is>
      </c>
      <c r="B795" s="92" t="inlineStr">
        <is>
          <t>RDFO_FICTIEVE_historie_en_mapping.xlsx</t>
        </is>
      </c>
      <c r="C795" s="108" t="n">
        <v>46324</v>
      </c>
      <c r="D795" s="92" t="inlineStr">
        <is>
          <t>Vastgesteld</t>
        </is>
      </c>
      <c r="E795" s="92" t="n">
        <v>2026</v>
      </c>
      <c r="F795" s="92" t="inlineStr">
        <is>
          <t>Q3</t>
        </is>
      </c>
      <c r="G795" s="92" t="n">
        <v>0</v>
      </c>
      <c r="H795" s="108" t="n">
        <v>46295</v>
      </c>
      <c r="I795" s="92" t="n">
        <v>2026</v>
      </c>
      <c r="J795" s="92" t="inlineStr">
        <is>
          <t>G.900010.8.9090</t>
        </is>
      </c>
      <c r="K795" s="92" t="inlineStr">
        <is>
          <t>G.900010</t>
        </is>
      </c>
      <c r="L795" s="92" t="inlineStr">
        <is>
          <t>Veldendam, Groene Singel</t>
        </is>
      </c>
      <c r="M795" s="92" t="inlineStr">
        <is>
          <t>Opstal</t>
        </is>
      </c>
      <c r="N795" s="92" t="inlineStr">
        <is>
          <t>J</t>
        </is>
      </c>
      <c r="O795" s="92" t="inlineStr">
        <is>
          <t>Woningverkopen actual YTD</t>
        </is>
      </c>
      <c r="P795" s="109" t="n">
        <v>9</v>
      </c>
      <c r="Q795" s="92" t="inlineStr">
        <is>
          <t>aantal</t>
        </is>
      </c>
      <c r="R795" s="92" t="inlineStr">
        <is>
          <t>Synthetische snapshot; kwartalen zijn FY-verdeling, geen actuals</t>
        </is>
      </c>
      <c r="S795" s="15" t="str">
        <f>IF(J795="","",J795&amp;"|"&amp;E795&amp;"|"&amp;F795&amp;"|"&amp;I795&amp;"|"&amp;O795)</f>
        <v>G.900010.8.9090|2026|Q3|2026|Woningverkopen actual YTD</v>
      </c>
      <c r="T795" s="15">
        <f>IF(OR(S795="",D795&lt;&gt;"Vastgesteld"),"",_xlfn.MAXIFS($G$6:$G$5005,$S$6:$S$5005,S795,$D$6:$D$5005,"Vastgesteld"))</f>
        <v>0</v>
      </c>
      <c r="U795" s="15">
        <f>IF(T795="",0,IF(AND(G795=T795,COUNTIFS($S$6:S795,S795,$G$6:G795,G795,$D$6:D795,"Vastgesteld")=1),1,0))</f>
        <v>1</v>
      </c>
      <c r="V795" s="15">
        <f>IF(T795="",0,IF(AND(G795=T795,COUNTIFS($S$6:S795,S795,$G$6:G795,G795,$D$6:D795,"Vastgesteld")&gt;1),1,0))</f>
        <v>0</v>
      </c>
    </row>
    <row r="796">
      <c r="A796" s="92" t="inlineStr">
        <is>
          <t>HIST-2026-Q3</t>
        </is>
      </c>
      <c r="B796" s="92" t="inlineStr">
        <is>
          <t>RDFO_FICTIEVE_historie_en_mapping.xlsx</t>
        </is>
      </c>
      <c r="C796" s="108" t="n">
        <v>46324</v>
      </c>
      <c r="D796" s="92" t="inlineStr">
        <is>
          <t>Vastgesteld</t>
        </is>
      </c>
      <c r="E796" s="92" t="n">
        <v>2026</v>
      </c>
      <c r="F796" s="92" t="inlineStr">
        <is>
          <t>Q3</t>
        </is>
      </c>
      <c r="G796" s="92" t="n">
        <v>0</v>
      </c>
      <c r="H796" s="108" t="n">
        <v>46295</v>
      </c>
      <c r="I796" s="92" t="n">
        <v>2026</v>
      </c>
      <c r="J796" s="92" t="inlineStr">
        <is>
          <t>G.900011.8.9090</t>
        </is>
      </c>
      <c r="K796" s="92" t="inlineStr">
        <is>
          <t>G.900011</t>
        </is>
      </c>
      <c r="L796" s="92" t="inlineStr">
        <is>
          <t>Meerhovenstad, Hofstaete</t>
        </is>
      </c>
      <c r="M796" s="92" t="inlineStr">
        <is>
          <t>Opstal</t>
        </is>
      </c>
      <c r="N796" s="92" t="inlineStr">
        <is>
          <t>J</t>
        </is>
      </c>
      <c r="O796" s="92" t="inlineStr">
        <is>
          <t>Woningverkopen FY</t>
        </is>
      </c>
      <c r="P796" s="109" t="n">
        <v>32</v>
      </c>
      <c r="Q796" s="92" t="inlineStr">
        <is>
          <t>aantal</t>
        </is>
      </c>
      <c r="R796" s="92" t="inlineStr">
        <is>
          <t>Synthetische snapshot; kwartalen zijn FY-verdeling, geen actuals</t>
        </is>
      </c>
      <c r="S796" s="15" t="str">
        <f>IF(J796="","",J796&amp;"|"&amp;E796&amp;"|"&amp;F796&amp;"|"&amp;I796&amp;"|"&amp;O796)</f>
        <v>G.900011.8.9090|2026|Q3|2026|Woningverkopen FY</v>
      </c>
      <c r="T796" s="15">
        <f>IF(OR(S796="",D796&lt;&gt;"Vastgesteld"),"",_xlfn.MAXIFS($G$6:$G$5005,$S$6:$S$5005,S796,$D$6:$D$5005,"Vastgesteld"))</f>
        <v>0</v>
      </c>
      <c r="U796" s="15">
        <f>IF(T796="",0,IF(AND(G796=T796,COUNTIFS($S$6:S796,S796,$G$6:G796,G796,$D$6:D796,"Vastgesteld")=1),1,0))</f>
        <v>1</v>
      </c>
      <c r="V796" s="15">
        <f>IF(T796="",0,IF(AND(G796=T796,COUNTIFS($S$6:S796,S796,$G$6:G796,G796,$D$6:D796,"Vastgesteld")&gt;1),1,0))</f>
        <v>0</v>
      </c>
    </row>
    <row r="797">
      <c r="A797" s="92" t="inlineStr">
        <is>
          <t>HIST-2026-Q3</t>
        </is>
      </c>
      <c r="B797" s="92" t="inlineStr">
        <is>
          <t>RDFO_FICTIEVE_historie_en_mapping.xlsx</t>
        </is>
      </c>
      <c r="C797" s="108" t="n">
        <v>46324</v>
      </c>
      <c r="D797" s="92" t="inlineStr">
        <is>
          <t>Vastgesteld</t>
        </is>
      </c>
      <c r="E797" s="92" t="n">
        <v>2026</v>
      </c>
      <c r="F797" s="92" t="inlineStr">
        <is>
          <t>Q3</t>
        </is>
      </c>
      <c r="G797" s="92" t="n">
        <v>0</v>
      </c>
      <c r="H797" s="108" t="n">
        <v>46295</v>
      </c>
      <c r="I797" s="92" t="n">
        <v>2026</v>
      </c>
      <c r="J797" s="92" t="inlineStr">
        <is>
          <t>G.900011.8.9090</t>
        </is>
      </c>
      <c r="K797" s="92" t="inlineStr">
        <is>
          <t>G.900011</t>
        </is>
      </c>
      <c r="L797" s="92" t="inlineStr">
        <is>
          <t>Meerhovenstad, Hofstaete</t>
        </is>
      </c>
      <c r="M797" s="92" t="inlineStr">
        <is>
          <t>Opstal</t>
        </is>
      </c>
      <c r="N797" s="92" t="inlineStr">
        <is>
          <t>J</t>
        </is>
      </c>
      <c r="O797" s="92" t="inlineStr">
        <is>
          <t>Woningen verkocht t/m vorig jaar</t>
        </is>
      </c>
      <c r="P797" s="109" t="n">
        <v>0</v>
      </c>
      <c r="Q797" s="92" t="inlineStr">
        <is>
          <t>aantal</t>
        </is>
      </c>
      <c r="R797" s="92" t="inlineStr">
        <is>
          <t>Synthetische snapshot; kwartalen zijn FY-verdeling, geen actuals</t>
        </is>
      </c>
      <c r="S797" s="15" t="str">
        <f>IF(J797="","",J797&amp;"|"&amp;E797&amp;"|"&amp;F797&amp;"|"&amp;I797&amp;"|"&amp;O797)</f>
        <v>G.900011.8.9090|2026|Q3|2026|Woningen verkocht t/m vorig jaar</v>
      </c>
      <c r="T797" s="15">
        <f>IF(OR(S797="",D797&lt;&gt;"Vastgesteld"),"",_xlfn.MAXIFS($G$6:$G$5005,$S$6:$S$5005,S797,$D$6:$D$5005,"Vastgesteld"))</f>
        <v>0</v>
      </c>
      <c r="U797" s="15">
        <f>IF(T797="",0,IF(AND(G797=T797,COUNTIFS($S$6:S797,S797,$G$6:G797,G797,$D$6:D797,"Vastgesteld")=1),1,0))</f>
        <v>1</v>
      </c>
      <c r="V797" s="15">
        <f>IF(T797="",0,IF(AND(G797=T797,COUNTIFS($S$6:S797,S797,$G$6:G797,G797,$D$6:D797,"Vastgesteld")&gt;1),1,0))</f>
        <v>0</v>
      </c>
    </row>
    <row r="798">
      <c r="A798" s="92" t="inlineStr">
        <is>
          <t>HIST-2026-Q3</t>
        </is>
      </c>
      <c r="B798" s="92" t="inlineStr">
        <is>
          <t>RDFO_FICTIEVE_historie_en_mapping.xlsx</t>
        </is>
      </c>
      <c r="C798" s="108" t="n">
        <v>46324</v>
      </c>
      <c r="D798" s="92" t="inlineStr">
        <is>
          <t>Vastgesteld</t>
        </is>
      </c>
      <c r="E798" s="92" t="n">
        <v>2026</v>
      </c>
      <c r="F798" s="92" t="inlineStr">
        <is>
          <t>Q3</t>
        </is>
      </c>
      <c r="G798" s="92" t="n">
        <v>0</v>
      </c>
      <c r="H798" s="108" t="n">
        <v>46295</v>
      </c>
      <c r="I798" s="92" t="n">
        <v>2026</v>
      </c>
      <c r="J798" s="92" t="inlineStr">
        <is>
          <t>G.900011.8.9090</t>
        </is>
      </c>
      <c r="K798" s="92" t="inlineStr">
        <is>
          <t>G.900011</t>
        </is>
      </c>
      <c r="L798" s="92" t="inlineStr">
        <is>
          <t>Meerhovenstad, Hofstaete</t>
        </is>
      </c>
      <c r="M798" s="92" t="inlineStr">
        <is>
          <t>Opstal</t>
        </is>
      </c>
      <c r="N798" s="92" t="inlineStr">
        <is>
          <t>J</t>
        </is>
      </c>
      <c r="O798" s="92" t="inlineStr">
        <is>
          <t>Woningverkopen Q1</t>
        </is>
      </c>
      <c r="P798" s="109" t="n">
        <v>4</v>
      </c>
      <c r="Q798" s="92" t="inlineStr">
        <is>
          <t>aantal</t>
        </is>
      </c>
      <c r="R798" s="92" t="inlineStr">
        <is>
          <t>Synthetische snapshot; kwartalen zijn FY-verdeling, geen actuals</t>
        </is>
      </c>
      <c r="S798" s="15" t="str">
        <f>IF(J798="","",J798&amp;"|"&amp;E798&amp;"|"&amp;F798&amp;"|"&amp;I798&amp;"|"&amp;O798)</f>
        <v>G.900011.8.9090|2026|Q3|2026|Woningverkopen Q1</v>
      </c>
      <c r="T798" s="15">
        <f>IF(OR(S798="",D798&lt;&gt;"Vastgesteld"),"",_xlfn.MAXIFS($G$6:$G$5005,$S$6:$S$5005,S798,$D$6:$D$5005,"Vastgesteld"))</f>
        <v>0</v>
      </c>
      <c r="U798" s="15">
        <f>IF(T798="",0,IF(AND(G798=T798,COUNTIFS($S$6:S798,S798,$G$6:G798,G798,$D$6:D798,"Vastgesteld")=1),1,0))</f>
        <v>1</v>
      </c>
      <c r="V798" s="15">
        <f>IF(T798="",0,IF(AND(G798=T798,COUNTIFS($S$6:S798,S798,$G$6:G798,G798,$D$6:D798,"Vastgesteld")&gt;1),1,0))</f>
        <v>0</v>
      </c>
    </row>
    <row r="799">
      <c r="A799" s="92" t="inlineStr">
        <is>
          <t>HIST-2026-Q3</t>
        </is>
      </c>
      <c r="B799" s="92" t="inlineStr">
        <is>
          <t>RDFO_FICTIEVE_historie_en_mapping.xlsx</t>
        </is>
      </c>
      <c r="C799" s="108" t="n">
        <v>46324</v>
      </c>
      <c r="D799" s="92" t="inlineStr">
        <is>
          <t>Vastgesteld</t>
        </is>
      </c>
      <c r="E799" s="92" t="n">
        <v>2026</v>
      </c>
      <c r="F799" s="92" t="inlineStr">
        <is>
          <t>Q3</t>
        </is>
      </c>
      <c r="G799" s="92" t="n">
        <v>0</v>
      </c>
      <c r="H799" s="108" t="n">
        <v>46295</v>
      </c>
      <c r="I799" s="92" t="n">
        <v>2026</v>
      </c>
      <c r="J799" s="92" t="inlineStr">
        <is>
          <t>G.900011.8.9090</t>
        </is>
      </c>
      <c r="K799" s="92" t="inlineStr">
        <is>
          <t>G.900011</t>
        </is>
      </c>
      <c r="L799" s="92" t="inlineStr">
        <is>
          <t>Meerhovenstad, Hofstaete</t>
        </is>
      </c>
      <c r="M799" s="92" t="inlineStr">
        <is>
          <t>Opstal</t>
        </is>
      </c>
      <c r="N799" s="92" t="inlineStr">
        <is>
          <t>J</t>
        </is>
      </c>
      <c r="O799" s="92" t="inlineStr">
        <is>
          <t>Woningverkopen Q2</t>
        </is>
      </c>
      <c r="P799" s="109" t="n">
        <v>8</v>
      </c>
      <c r="Q799" s="92" t="inlineStr">
        <is>
          <t>aantal</t>
        </is>
      </c>
      <c r="R799" s="92" t="inlineStr">
        <is>
          <t>Synthetische snapshot; kwartalen zijn FY-verdeling, geen actuals</t>
        </is>
      </c>
      <c r="S799" s="15" t="str">
        <f>IF(J799="","",J799&amp;"|"&amp;E799&amp;"|"&amp;F799&amp;"|"&amp;I799&amp;"|"&amp;O799)</f>
        <v>G.900011.8.9090|2026|Q3|2026|Woningverkopen Q2</v>
      </c>
      <c r="T799" s="15">
        <f>IF(OR(S799="",D799&lt;&gt;"Vastgesteld"),"",_xlfn.MAXIFS($G$6:$G$5005,$S$6:$S$5005,S799,$D$6:$D$5005,"Vastgesteld"))</f>
        <v>0</v>
      </c>
      <c r="U799" s="15">
        <f>IF(T799="",0,IF(AND(G799=T799,COUNTIFS($S$6:S799,S799,$G$6:G799,G799,$D$6:D799,"Vastgesteld")=1),1,0))</f>
        <v>1</v>
      </c>
      <c r="V799" s="15">
        <f>IF(T799="",0,IF(AND(G799=T799,COUNTIFS($S$6:S799,S799,$G$6:G799,G799,$D$6:D799,"Vastgesteld")&gt;1),1,0))</f>
        <v>0</v>
      </c>
    </row>
    <row r="800">
      <c r="A800" s="92" t="inlineStr">
        <is>
          <t>HIST-2026-Q3</t>
        </is>
      </c>
      <c r="B800" s="92" t="inlineStr">
        <is>
          <t>RDFO_FICTIEVE_historie_en_mapping.xlsx</t>
        </is>
      </c>
      <c r="C800" s="108" t="n">
        <v>46324</v>
      </c>
      <c r="D800" s="92" t="inlineStr">
        <is>
          <t>Vastgesteld</t>
        </is>
      </c>
      <c r="E800" s="92" t="n">
        <v>2026</v>
      </c>
      <c r="F800" s="92" t="inlineStr">
        <is>
          <t>Q3</t>
        </is>
      </c>
      <c r="G800" s="92" t="n">
        <v>0</v>
      </c>
      <c r="H800" s="108" t="n">
        <v>46295</v>
      </c>
      <c r="I800" s="92" t="n">
        <v>2026</v>
      </c>
      <c r="J800" s="92" t="inlineStr">
        <is>
          <t>G.900011.8.9090</t>
        </is>
      </c>
      <c r="K800" s="92" t="inlineStr">
        <is>
          <t>G.900011</t>
        </is>
      </c>
      <c r="L800" s="92" t="inlineStr">
        <is>
          <t>Meerhovenstad, Hofstaete</t>
        </is>
      </c>
      <c r="M800" s="92" t="inlineStr">
        <is>
          <t>Opstal</t>
        </is>
      </c>
      <c r="N800" s="92" t="inlineStr">
        <is>
          <t>J</t>
        </is>
      </c>
      <c r="O800" s="92" t="inlineStr">
        <is>
          <t>Woningverkopen Q3</t>
        </is>
      </c>
      <c r="P800" s="109" t="n">
        <v>8</v>
      </c>
      <c r="Q800" s="92" t="inlineStr">
        <is>
          <t>aantal</t>
        </is>
      </c>
      <c r="R800" s="92" t="inlineStr">
        <is>
          <t>Synthetische snapshot; kwartalen zijn FY-verdeling, geen actuals</t>
        </is>
      </c>
      <c r="S800" s="15" t="str">
        <f>IF(J800="","",J800&amp;"|"&amp;E800&amp;"|"&amp;F800&amp;"|"&amp;I800&amp;"|"&amp;O800)</f>
        <v>G.900011.8.9090|2026|Q3|2026|Woningverkopen Q3</v>
      </c>
      <c r="T800" s="15">
        <f>IF(OR(S800="",D800&lt;&gt;"Vastgesteld"),"",_xlfn.MAXIFS($G$6:$G$5005,$S$6:$S$5005,S800,$D$6:$D$5005,"Vastgesteld"))</f>
        <v>0</v>
      </c>
      <c r="U800" s="15">
        <f>IF(T800="",0,IF(AND(G800=T800,COUNTIFS($S$6:S800,S800,$G$6:G800,G800,$D$6:D800,"Vastgesteld")=1),1,0))</f>
        <v>1</v>
      </c>
      <c r="V800" s="15">
        <f>IF(T800="",0,IF(AND(G800=T800,COUNTIFS($S$6:S800,S800,$G$6:G800,G800,$D$6:D800,"Vastgesteld")&gt;1),1,0))</f>
        <v>0</v>
      </c>
    </row>
    <row r="801">
      <c r="A801" s="92" t="inlineStr">
        <is>
          <t>HIST-2026-Q3</t>
        </is>
      </c>
      <c r="B801" s="92" t="inlineStr">
        <is>
          <t>RDFO_FICTIEVE_historie_en_mapping.xlsx</t>
        </is>
      </c>
      <c r="C801" s="108" t="n">
        <v>46324</v>
      </c>
      <c r="D801" s="92" t="inlineStr">
        <is>
          <t>Vastgesteld</t>
        </is>
      </c>
      <c r="E801" s="92" t="n">
        <v>2026</v>
      </c>
      <c r="F801" s="92" t="inlineStr">
        <is>
          <t>Q3</t>
        </is>
      </c>
      <c r="G801" s="92" t="n">
        <v>0</v>
      </c>
      <c r="H801" s="108" t="n">
        <v>46295</v>
      </c>
      <c r="I801" s="92" t="n">
        <v>2026</v>
      </c>
      <c r="J801" s="92" t="inlineStr">
        <is>
          <t>G.900011.8.9090</t>
        </is>
      </c>
      <c r="K801" s="92" t="inlineStr">
        <is>
          <t>G.900011</t>
        </is>
      </c>
      <c r="L801" s="92" t="inlineStr">
        <is>
          <t>Meerhovenstad, Hofstaete</t>
        </is>
      </c>
      <c r="M801" s="92" t="inlineStr">
        <is>
          <t>Opstal</t>
        </is>
      </c>
      <c r="N801" s="92" t="inlineStr">
        <is>
          <t>J</t>
        </is>
      </c>
      <c r="O801" s="92" t="inlineStr">
        <is>
          <t>Woningverkopen Q4</t>
        </is>
      </c>
      <c r="P801" s="109" t="n">
        <v>12</v>
      </c>
      <c r="Q801" s="92" t="inlineStr">
        <is>
          <t>aantal</t>
        </is>
      </c>
      <c r="R801" s="92" t="inlineStr">
        <is>
          <t>Synthetische snapshot; kwartalen zijn FY-verdeling, geen actuals</t>
        </is>
      </c>
      <c r="S801" s="15" t="str">
        <f>IF(J801="","",J801&amp;"|"&amp;E801&amp;"|"&amp;F801&amp;"|"&amp;I801&amp;"|"&amp;O801)</f>
        <v>G.900011.8.9090|2026|Q3|2026|Woningverkopen Q4</v>
      </c>
      <c r="T801" s="15">
        <f>IF(OR(S801="",D801&lt;&gt;"Vastgesteld"),"",_xlfn.MAXIFS($G$6:$G$5005,$S$6:$S$5005,S801,$D$6:$D$5005,"Vastgesteld"))</f>
        <v>0</v>
      </c>
      <c r="U801" s="15">
        <f>IF(T801="",0,IF(AND(G801=T801,COUNTIFS($S$6:S801,S801,$G$6:G801,G801,$D$6:D801,"Vastgesteld")=1),1,0))</f>
        <v>1</v>
      </c>
      <c r="V801" s="15">
        <f>IF(T801="",0,IF(AND(G801=T801,COUNTIFS($S$6:S801,S801,$G$6:G801,G801,$D$6:D801,"Vastgesteld")&gt;1),1,0))</f>
        <v>0</v>
      </c>
    </row>
    <row r="802">
      <c r="A802" s="92" t="inlineStr">
        <is>
          <t>HIST-2026-Q3</t>
        </is>
      </c>
      <c r="B802" s="92" t="inlineStr">
        <is>
          <t>RDFO_FICTIEVE_historie_en_mapping.xlsx</t>
        </is>
      </c>
      <c r="C802" s="108" t="n">
        <v>46324</v>
      </c>
      <c r="D802" s="92" t="inlineStr">
        <is>
          <t>Vastgesteld</t>
        </is>
      </c>
      <c r="E802" s="92" t="n">
        <v>2026</v>
      </c>
      <c r="F802" s="92" t="inlineStr">
        <is>
          <t>Q3</t>
        </is>
      </c>
      <c r="G802" s="92" t="n">
        <v>0</v>
      </c>
      <c r="H802" s="108" t="n">
        <v>46295</v>
      </c>
      <c r="I802" s="92" t="n">
        <v>2026</v>
      </c>
      <c r="J802" s="92" t="inlineStr">
        <is>
          <t>G.900011.8.9090</t>
        </is>
      </c>
      <c r="K802" s="92" t="inlineStr">
        <is>
          <t>G.900011</t>
        </is>
      </c>
      <c r="L802" s="92" t="inlineStr">
        <is>
          <t>Meerhovenstad, Hofstaete</t>
        </is>
      </c>
      <c r="M802" s="92" t="inlineStr">
        <is>
          <t>Opstal</t>
        </is>
      </c>
      <c r="N802" s="92" t="inlineStr">
        <is>
          <t>J</t>
        </is>
      </c>
      <c r="O802" s="92" t="inlineStr">
        <is>
          <t>Woningverkopen actual YTD</t>
        </is>
      </c>
      <c r="P802" s="109" t="n">
        <v>20</v>
      </c>
      <c r="Q802" s="92" t="inlineStr">
        <is>
          <t>aantal</t>
        </is>
      </c>
      <c r="R802" s="92" t="inlineStr">
        <is>
          <t>Synthetische snapshot; kwartalen zijn FY-verdeling, geen actuals</t>
        </is>
      </c>
      <c r="S802" s="15" t="str">
        <f>IF(J802="","",J802&amp;"|"&amp;E802&amp;"|"&amp;F802&amp;"|"&amp;I802&amp;"|"&amp;O802)</f>
        <v>G.900011.8.9090|2026|Q3|2026|Woningverkopen actual YTD</v>
      </c>
      <c r="T802" s="15">
        <f>IF(OR(S802="",D802&lt;&gt;"Vastgesteld"),"",_xlfn.MAXIFS($G$6:$G$5005,$S$6:$S$5005,S802,$D$6:$D$5005,"Vastgesteld"))</f>
        <v>0</v>
      </c>
      <c r="U802" s="15">
        <f>IF(T802="",0,IF(AND(G802=T802,COUNTIFS($S$6:S802,S802,$G$6:G802,G802,$D$6:D802,"Vastgesteld")=1),1,0))</f>
        <v>1</v>
      </c>
      <c r="V802" s="15">
        <f>IF(T802="",0,IF(AND(G802=T802,COUNTIFS($S$6:S802,S802,$G$6:G802,G802,$D$6:D802,"Vastgesteld")&gt;1),1,0))</f>
        <v>0</v>
      </c>
    </row>
    <row r="803">
      <c r="A803" s="92" t="inlineStr">
        <is>
          <t>HIST-2026-Q3</t>
        </is>
      </c>
      <c r="B803" s="92" t="inlineStr">
        <is>
          <t>RDFO_FICTIEVE_historie_en_mapping.xlsx</t>
        </is>
      </c>
      <c r="C803" s="108" t="n">
        <v>46324</v>
      </c>
      <c r="D803" s="92" t="inlineStr">
        <is>
          <t>Vastgesteld</t>
        </is>
      </c>
      <c r="E803" s="92" t="n">
        <v>2026</v>
      </c>
      <c r="F803" s="92" t="inlineStr">
        <is>
          <t>Q3</t>
        </is>
      </c>
      <c r="G803" s="92" t="n">
        <v>0</v>
      </c>
      <c r="H803" s="108" t="n">
        <v>46295</v>
      </c>
      <c r="I803" s="92" t="n">
        <v>2026</v>
      </c>
      <c r="J803" s="92" t="inlineStr">
        <is>
          <t>G.900012.8.9090</t>
        </is>
      </c>
      <c r="K803" s="92" t="inlineStr">
        <is>
          <t>G.900012</t>
        </is>
      </c>
      <c r="L803" s="92" t="inlineStr">
        <is>
          <t>Zilverdam, De Werf</t>
        </is>
      </c>
      <c r="M803" s="92" t="inlineStr">
        <is>
          <t>Deelneming</t>
        </is>
      </c>
      <c r="N803" s="92" t="inlineStr">
        <is>
          <t>N</t>
        </is>
      </c>
      <c r="O803" s="92" t="inlineStr">
        <is>
          <t>Woningverkopen FY</t>
        </is>
      </c>
      <c r="P803" s="109" t="n">
        <v>9</v>
      </c>
      <c r="Q803" s="92" t="inlineStr">
        <is>
          <t>aantal</t>
        </is>
      </c>
      <c r="R803" s="92" t="inlineStr">
        <is>
          <t>Synthetische snapshot; kwartalen zijn FY-verdeling, geen actuals</t>
        </is>
      </c>
      <c r="S803" s="15" t="str">
        <f>IF(J803="","",J803&amp;"|"&amp;E803&amp;"|"&amp;F803&amp;"|"&amp;I803&amp;"|"&amp;O803)</f>
        <v>G.900012.8.9090|2026|Q3|2026|Woningverkopen FY</v>
      </c>
      <c r="T803" s="15">
        <f>IF(OR(S803="",D803&lt;&gt;"Vastgesteld"),"",_xlfn.MAXIFS($G$6:$G$5005,$S$6:$S$5005,S803,$D$6:$D$5005,"Vastgesteld"))</f>
        <v>0</v>
      </c>
      <c r="U803" s="15">
        <f>IF(T803="",0,IF(AND(G803=T803,COUNTIFS($S$6:S803,S803,$G$6:G803,G803,$D$6:D803,"Vastgesteld")=1),1,0))</f>
        <v>1</v>
      </c>
      <c r="V803" s="15">
        <f>IF(T803="",0,IF(AND(G803=T803,COUNTIFS($S$6:S803,S803,$G$6:G803,G803,$D$6:D803,"Vastgesteld")&gt;1),1,0))</f>
        <v>0</v>
      </c>
    </row>
    <row r="804">
      <c r="A804" s="92" t="inlineStr">
        <is>
          <t>HIST-2026-Q3</t>
        </is>
      </c>
      <c r="B804" s="92" t="inlineStr">
        <is>
          <t>RDFO_FICTIEVE_historie_en_mapping.xlsx</t>
        </is>
      </c>
      <c r="C804" s="108" t="n">
        <v>46324</v>
      </c>
      <c r="D804" s="92" t="inlineStr">
        <is>
          <t>Vastgesteld</t>
        </is>
      </c>
      <c r="E804" s="92" t="n">
        <v>2026</v>
      </c>
      <c r="F804" s="92" t="inlineStr">
        <is>
          <t>Q3</t>
        </is>
      </c>
      <c r="G804" s="92" t="n">
        <v>0</v>
      </c>
      <c r="H804" s="108" t="n">
        <v>46295</v>
      </c>
      <c r="I804" s="92" t="n">
        <v>2026</v>
      </c>
      <c r="J804" s="92" t="inlineStr">
        <is>
          <t>G.900012.8.9090</t>
        </is>
      </c>
      <c r="K804" s="92" t="inlineStr">
        <is>
          <t>G.900012</t>
        </is>
      </c>
      <c r="L804" s="92" t="inlineStr">
        <is>
          <t>Zilverdam, De Werf</t>
        </is>
      </c>
      <c r="M804" s="92" t="inlineStr">
        <is>
          <t>Deelneming</t>
        </is>
      </c>
      <c r="N804" s="92" t="inlineStr">
        <is>
          <t>N</t>
        </is>
      </c>
      <c r="O804" s="92" t="inlineStr">
        <is>
          <t>Woningen verkocht t/m vorig jaar</t>
        </is>
      </c>
      <c r="P804" s="109" t="n">
        <v>0</v>
      </c>
      <c r="Q804" s="92" t="inlineStr">
        <is>
          <t>aantal</t>
        </is>
      </c>
      <c r="R804" s="92" t="inlineStr">
        <is>
          <t>Synthetische snapshot; kwartalen zijn FY-verdeling, geen actuals</t>
        </is>
      </c>
      <c r="S804" s="15" t="str">
        <f>IF(J804="","",J804&amp;"|"&amp;E804&amp;"|"&amp;F804&amp;"|"&amp;I804&amp;"|"&amp;O804)</f>
        <v>G.900012.8.9090|2026|Q3|2026|Woningen verkocht t/m vorig jaar</v>
      </c>
      <c r="T804" s="15">
        <f>IF(OR(S804="",D804&lt;&gt;"Vastgesteld"),"",_xlfn.MAXIFS($G$6:$G$5005,$S$6:$S$5005,S804,$D$6:$D$5005,"Vastgesteld"))</f>
        <v>0</v>
      </c>
      <c r="U804" s="15">
        <f>IF(T804="",0,IF(AND(G804=T804,COUNTIFS($S$6:S804,S804,$G$6:G804,G804,$D$6:D804,"Vastgesteld")=1),1,0))</f>
        <v>1</v>
      </c>
      <c r="V804" s="15">
        <f>IF(T804="",0,IF(AND(G804=T804,COUNTIFS($S$6:S804,S804,$G$6:G804,G804,$D$6:D804,"Vastgesteld")&gt;1),1,0))</f>
        <v>0</v>
      </c>
    </row>
    <row r="805">
      <c r="A805" s="92" t="inlineStr">
        <is>
          <t>HIST-2026-Q3</t>
        </is>
      </c>
      <c r="B805" s="92" t="inlineStr">
        <is>
          <t>RDFO_FICTIEVE_historie_en_mapping.xlsx</t>
        </is>
      </c>
      <c r="C805" s="108" t="n">
        <v>46324</v>
      </c>
      <c r="D805" s="92" t="inlineStr">
        <is>
          <t>Vastgesteld</t>
        </is>
      </c>
      <c r="E805" s="92" t="n">
        <v>2026</v>
      </c>
      <c r="F805" s="92" t="inlineStr">
        <is>
          <t>Q3</t>
        </is>
      </c>
      <c r="G805" s="92" t="n">
        <v>0</v>
      </c>
      <c r="H805" s="108" t="n">
        <v>46295</v>
      </c>
      <c r="I805" s="92" t="n">
        <v>2026</v>
      </c>
      <c r="J805" s="92" t="inlineStr">
        <is>
          <t>G.900012.8.9090</t>
        </is>
      </c>
      <c r="K805" s="92" t="inlineStr">
        <is>
          <t>G.900012</t>
        </is>
      </c>
      <c r="L805" s="92" t="inlineStr">
        <is>
          <t>Zilverdam, De Werf</t>
        </is>
      </c>
      <c r="M805" s="92" t="inlineStr">
        <is>
          <t>Deelneming</t>
        </is>
      </c>
      <c r="N805" s="92" t="inlineStr">
        <is>
          <t>N</t>
        </is>
      </c>
      <c r="O805" s="92" t="inlineStr">
        <is>
          <t>Woningverkopen Q1</t>
        </is>
      </c>
      <c r="P805" s="109" t="n">
        <v>0</v>
      </c>
      <c r="Q805" s="92" t="inlineStr">
        <is>
          <t>aantal</t>
        </is>
      </c>
      <c r="R805" s="92" t="inlineStr">
        <is>
          <t>Synthetische snapshot; kwartalen zijn FY-verdeling, geen actuals</t>
        </is>
      </c>
      <c r="S805" s="15" t="str">
        <f>IF(J805="","",J805&amp;"|"&amp;E805&amp;"|"&amp;F805&amp;"|"&amp;I805&amp;"|"&amp;O805)</f>
        <v>G.900012.8.9090|2026|Q3|2026|Woningverkopen Q1</v>
      </c>
      <c r="T805" s="15">
        <f>IF(OR(S805="",D805&lt;&gt;"Vastgesteld"),"",_xlfn.MAXIFS($G$6:$G$5005,$S$6:$S$5005,S805,$D$6:$D$5005,"Vastgesteld"))</f>
        <v>0</v>
      </c>
      <c r="U805" s="15">
        <f>IF(T805="",0,IF(AND(G805=T805,COUNTIFS($S$6:S805,S805,$G$6:G805,G805,$D$6:D805,"Vastgesteld")=1),1,0))</f>
        <v>1</v>
      </c>
      <c r="V805" s="15">
        <f>IF(T805="",0,IF(AND(G805=T805,COUNTIFS($S$6:S805,S805,$G$6:G805,G805,$D$6:D805,"Vastgesteld")&gt;1),1,0))</f>
        <v>0</v>
      </c>
    </row>
    <row r="806">
      <c r="A806" s="92" t="inlineStr">
        <is>
          <t>HIST-2026-Q3</t>
        </is>
      </c>
      <c r="B806" s="92" t="inlineStr">
        <is>
          <t>RDFO_FICTIEVE_historie_en_mapping.xlsx</t>
        </is>
      </c>
      <c r="C806" s="108" t="n">
        <v>46324</v>
      </c>
      <c r="D806" s="92" t="inlineStr">
        <is>
          <t>Vastgesteld</t>
        </is>
      </c>
      <c r="E806" s="92" t="n">
        <v>2026</v>
      </c>
      <c r="F806" s="92" t="inlineStr">
        <is>
          <t>Q3</t>
        </is>
      </c>
      <c r="G806" s="92" t="n">
        <v>0</v>
      </c>
      <c r="H806" s="108" t="n">
        <v>46295</v>
      </c>
      <c r="I806" s="92" t="n">
        <v>2026</v>
      </c>
      <c r="J806" s="92" t="inlineStr">
        <is>
          <t>G.900012.8.9090</t>
        </is>
      </c>
      <c r="K806" s="92" t="inlineStr">
        <is>
          <t>G.900012</t>
        </is>
      </c>
      <c r="L806" s="92" t="inlineStr">
        <is>
          <t>Zilverdam, De Werf</t>
        </is>
      </c>
      <c r="M806" s="92" t="inlineStr">
        <is>
          <t>Deelneming</t>
        </is>
      </c>
      <c r="N806" s="92" t="inlineStr">
        <is>
          <t>N</t>
        </is>
      </c>
      <c r="O806" s="92" t="inlineStr">
        <is>
          <t>Woningverkopen Q2</t>
        </is>
      </c>
      <c r="P806" s="109" t="n">
        <v>1</v>
      </c>
      <c r="Q806" s="92" t="inlineStr">
        <is>
          <t>aantal</t>
        </is>
      </c>
      <c r="R806" s="92" t="inlineStr">
        <is>
          <t>Synthetische snapshot; kwartalen zijn FY-verdeling, geen actuals</t>
        </is>
      </c>
      <c r="S806" s="15" t="str">
        <f>IF(J806="","",J806&amp;"|"&amp;E806&amp;"|"&amp;F806&amp;"|"&amp;I806&amp;"|"&amp;O806)</f>
        <v>G.900012.8.9090|2026|Q3|2026|Woningverkopen Q2</v>
      </c>
      <c r="T806" s="15">
        <f>IF(OR(S806="",D806&lt;&gt;"Vastgesteld"),"",_xlfn.MAXIFS($G$6:$G$5005,$S$6:$S$5005,S806,$D$6:$D$5005,"Vastgesteld"))</f>
        <v>0</v>
      </c>
      <c r="U806" s="15">
        <f>IF(T806="",0,IF(AND(G806=T806,COUNTIFS($S$6:S806,S806,$G$6:G806,G806,$D$6:D806,"Vastgesteld")=1),1,0))</f>
        <v>1</v>
      </c>
      <c r="V806" s="15">
        <f>IF(T806="",0,IF(AND(G806=T806,COUNTIFS($S$6:S806,S806,$G$6:G806,G806,$D$6:D806,"Vastgesteld")&gt;1),1,0))</f>
        <v>0</v>
      </c>
    </row>
    <row r="807">
      <c r="A807" s="92" t="inlineStr">
        <is>
          <t>HIST-2026-Q3</t>
        </is>
      </c>
      <c r="B807" s="92" t="inlineStr">
        <is>
          <t>RDFO_FICTIEVE_historie_en_mapping.xlsx</t>
        </is>
      </c>
      <c r="C807" s="108" t="n">
        <v>46324</v>
      </c>
      <c r="D807" s="92" t="inlineStr">
        <is>
          <t>Vastgesteld</t>
        </is>
      </c>
      <c r="E807" s="92" t="n">
        <v>2026</v>
      </c>
      <c r="F807" s="92" t="inlineStr">
        <is>
          <t>Q3</t>
        </is>
      </c>
      <c r="G807" s="92" t="n">
        <v>0</v>
      </c>
      <c r="H807" s="108" t="n">
        <v>46295</v>
      </c>
      <c r="I807" s="92" t="n">
        <v>2026</v>
      </c>
      <c r="J807" s="92" t="inlineStr">
        <is>
          <t>G.900012.8.9090</t>
        </is>
      </c>
      <c r="K807" s="92" t="inlineStr">
        <is>
          <t>G.900012</t>
        </is>
      </c>
      <c r="L807" s="92" t="inlineStr">
        <is>
          <t>Zilverdam, De Werf</t>
        </is>
      </c>
      <c r="M807" s="92" t="inlineStr">
        <is>
          <t>Deelneming</t>
        </is>
      </c>
      <c r="N807" s="92" t="inlineStr">
        <is>
          <t>N</t>
        </is>
      </c>
      <c r="O807" s="92" t="inlineStr">
        <is>
          <t>Woningverkopen Q3</t>
        </is>
      </c>
      <c r="P807" s="109" t="n">
        <v>1</v>
      </c>
      <c r="Q807" s="92" t="inlineStr">
        <is>
          <t>aantal</t>
        </is>
      </c>
      <c r="R807" s="92" t="inlineStr">
        <is>
          <t>Synthetische snapshot; kwartalen zijn FY-verdeling, geen actuals</t>
        </is>
      </c>
      <c r="S807" s="15" t="str">
        <f>IF(J807="","",J807&amp;"|"&amp;E807&amp;"|"&amp;F807&amp;"|"&amp;I807&amp;"|"&amp;O807)</f>
        <v>G.900012.8.9090|2026|Q3|2026|Woningverkopen Q3</v>
      </c>
      <c r="T807" s="15">
        <f>IF(OR(S807="",D807&lt;&gt;"Vastgesteld"),"",_xlfn.MAXIFS($G$6:$G$5005,$S$6:$S$5005,S807,$D$6:$D$5005,"Vastgesteld"))</f>
        <v>0</v>
      </c>
      <c r="U807" s="15">
        <f>IF(T807="",0,IF(AND(G807=T807,COUNTIFS($S$6:S807,S807,$G$6:G807,G807,$D$6:D807,"Vastgesteld")=1),1,0))</f>
        <v>1</v>
      </c>
      <c r="V807" s="15">
        <f>IF(T807="",0,IF(AND(G807=T807,COUNTIFS($S$6:S807,S807,$G$6:G807,G807,$D$6:D807,"Vastgesteld")&gt;1),1,0))</f>
        <v>0</v>
      </c>
    </row>
    <row r="808">
      <c r="A808" s="92" t="inlineStr">
        <is>
          <t>HIST-2026-Q3</t>
        </is>
      </c>
      <c r="B808" s="92" t="inlineStr">
        <is>
          <t>RDFO_FICTIEVE_historie_en_mapping.xlsx</t>
        </is>
      </c>
      <c r="C808" s="108" t="n">
        <v>46324</v>
      </c>
      <c r="D808" s="92" t="inlineStr">
        <is>
          <t>Vastgesteld</t>
        </is>
      </c>
      <c r="E808" s="92" t="n">
        <v>2026</v>
      </c>
      <c r="F808" s="92" t="inlineStr">
        <is>
          <t>Q3</t>
        </is>
      </c>
      <c r="G808" s="92" t="n">
        <v>0</v>
      </c>
      <c r="H808" s="108" t="n">
        <v>46295</v>
      </c>
      <c r="I808" s="92" t="n">
        <v>2026</v>
      </c>
      <c r="J808" s="92" t="inlineStr">
        <is>
          <t>G.900012.8.9090</t>
        </is>
      </c>
      <c r="K808" s="92" t="inlineStr">
        <is>
          <t>G.900012</t>
        </is>
      </c>
      <c r="L808" s="92" t="inlineStr">
        <is>
          <t>Zilverdam, De Werf</t>
        </is>
      </c>
      <c r="M808" s="92" t="inlineStr">
        <is>
          <t>Deelneming</t>
        </is>
      </c>
      <c r="N808" s="92" t="inlineStr">
        <is>
          <t>N</t>
        </is>
      </c>
      <c r="O808" s="92" t="inlineStr">
        <is>
          <t>Woningverkopen Q4</t>
        </is>
      </c>
      <c r="P808" s="109" t="n">
        <v>7</v>
      </c>
      <c r="Q808" s="92" t="inlineStr">
        <is>
          <t>aantal</t>
        </is>
      </c>
      <c r="R808" s="92" t="inlineStr">
        <is>
          <t>Synthetische snapshot; kwartalen zijn FY-verdeling, geen actuals</t>
        </is>
      </c>
      <c r="S808" s="15" t="str">
        <f>IF(J808="","",J808&amp;"|"&amp;E808&amp;"|"&amp;F808&amp;"|"&amp;I808&amp;"|"&amp;O808)</f>
        <v>G.900012.8.9090|2026|Q3|2026|Woningverkopen Q4</v>
      </c>
      <c r="T808" s="15">
        <f>IF(OR(S808="",D808&lt;&gt;"Vastgesteld"),"",_xlfn.MAXIFS($G$6:$G$5005,$S$6:$S$5005,S808,$D$6:$D$5005,"Vastgesteld"))</f>
        <v>0</v>
      </c>
      <c r="U808" s="15">
        <f>IF(T808="",0,IF(AND(G808=T808,COUNTIFS($S$6:S808,S808,$G$6:G808,G808,$D$6:D808,"Vastgesteld")=1),1,0))</f>
        <v>1</v>
      </c>
      <c r="V808" s="15">
        <f>IF(T808="",0,IF(AND(G808=T808,COUNTIFS($S$6:S808,S808,$G$6:G808,G808,$D$6:D808,"Vastgesteld")&gt;1),1,0))</f>
        <v>0</v>
      </c>
    </row>
    <row r="809">
      <c r="A809" s="92" t="inlineStr">
        <is>
          <t>HIST-2026-Q3</t>
        </is>
      </c>
      <c r="B809" s="92" t="inlineStr">
        <is>
          <t>RDFO_FICTIEVE_historie_en_mapping.xlsx</t>
        </is>
      </c>
      <c r="C809" s="108" t="n">
        <v>46324</v>
      </c>
      <c r="D809" s="92" t="inlineStr">
        <is>
          <t>Vastgesteld</t>
        </is>
      </c>
      <c r="E809" s="92" t="n">
        <v>2026</v>
      </c>
      <c r="F809" s="92" t="inlineStr">
        <is>
          <t>Q3</t>
        </is>
      </c>
      <c r="G809" s="92" t="n">
        <v>0</v>
      </c>
      <c r="H809" s="108" t="n">
        <v>46295</v>
      </c>
      <c r="I809" s="92" t="n">
        <v>2026</v>
      </c>
      <c r="J809" s="92" t="inlineStr">
        <is>
          <t>G.900012.8.9090</t>
        </is>
      </c>
      <c r="K809" s="92" t="inlineStr">
        <is>
          <t>G.900012</t>
        </is>
      </c>
      <c r="L809" s="92" t="inlineStr">
        <is>
          <t>Zilverdam, De Werf</t>
        </is>
      </c>
      <c r="M809" s="92" t="inlineStr">
        <is>
          <t>Deelneming</t>
        </is>
      </c>
      <c r="N809" s="92" t="inlineStr">
        <is>
          <t>N</t>
        </is>
      </c>
      <c r="O809" s="92" t="inlineStr">
        <is>
          <t>Woningverkopen actual YTD</t>
        </is>
      </c>
      <c r="P809" s="109" t="n">
        <v>2</v>
      </c>
      <c r="Q809" s="92" t="inlineStr">
        <is>
          <t>aantal</t>
        </is>
      </c>
      <c r="R809" s="92" t="inlineStr">
        <is>
          <t>Synthetische snapshot; kwartalen zijn FY-verdeling, geen actuals</t>
        </is>
      </c>
      <c r="S809" s="15" t="str">
        <f>IF(J809="","",J809&amp;"|"&amp;E809&amp;"|"&amp;F809&amp;"|"&amp;I809&amp;"|"&amp;O809)</f>
        <v>G.900012.8.9090|2026|Q3|2026|Woningverkopen actual YTD</v>
      </c>
      <c r="T809" s="15">
        <f>IF(OR(S809="",D809&lt;&gt;"Vastgesteld"),"",_xlfn.MAXIFS($G$6:$G$5005,$S$6:$S$5005,S809,$D$6:$D$5005,"Vastgesteld"))</f>
        <v>0</v>
      </c>
      <c r="U809" s="15">
        <f>IF(T809="",0,IF(AND(G809=T809,COUNTIFS($S$6:S809,S809,$G$6:G809,G809,$D$6:D809,"Vastgesteld")=1),1,0))</f>
        <v>1</v>
      </c>
      <c r="V809" s="15">
        <f>IF(T809="",0,IF(AND(G809=T809,COUNTIFS($S$6:S809,S809,$G$6:G809,G809,$D$6:D809,"Vastgesteld")&gt;1),1,0))</f>
        <v>0</v>
      </c>
    </row>
    <row r="810">
      <c r="A810" s="92" t="inlineStr">
        <is>
          <t>HIST-2026-Q3</t>
        </is>
      </c>
      <c r="B810" s="92" t="inlineStr">
        <is>
          <t>RDFO_FICTIEVE_historie_en_mapping.xlsx</t>
        </is>
      </c>
      <c r="C810" s="108" t="n">
        <v>46324</v>
      </c>
      <c r="D810" s="92" t="inlineStr">
        <is>
          <t>Vastgesteld</t>
        </is>
      </c>
      <c r="E810" s="92" t="n">
        <v>2026</v>
      </c>
      <c r="F810" s="92" t="inlineStr">
        <is>
          <t>Q3</t>
        </is>
      </c>
      <c r="G810" s="92" t="n">
        <v>0</v>
      </c>
      <c r="H810" s="108" t="n">
        <v>46295</v>
      </c>
      <c r="I810" s="92" t="n">
        <v>2026</v>
      </c>
      <c r="J810" s="92" t="inlineStr">
        <is>
          <t>G.900013.8.9090</t>
        </is>
      </c>
      <c r="K810" s="92" t="inlineStr">
        <is>
          <t>G.900013</t>
        </is>
      </c>
      <c r="L810" s="92" t="inlineStr">
        <is>
          <t>Boswaard, Boskamers</t>
        </is>
      </c>
      <c r="M810" s="92" t="inlineStr">
        <is>
          <t>Opstal</t>
        </is>
      </c>
      <c r="N810" s="92" t="inlineStr">
        <is>
          <t>J</t>
        </is>
      </c>
      <c r="O810" s="92" t="inlineStr">
        <is>
          <t>Woningverkopen FY</t>
        </is>
      </c>
      <c r="P810" s="109" t="n">
        <v>20</v>
      </c>
      <c r="Q810" s="92" t="inlineStr">
        <is>
          <t>aantal</t>
        </is>
      </c>
      <c r="R810" s="92" t="inlineStr">
        <is>
          <t>Synthetische snapshot; kwartalen zijn FY-verdeling, geen actuals</t>
        </is>
      </c>
      <c r="S810" s="15" t="str">
        <f>IF(J810="","",J810&amp;"|"&amp;E810&amp;"|"&amp;F810&amp;"|"&amp;I810&amp;"|"&amp;O810)</f>
        <v>G.900013.8.9090|2026|Q3|2026|Woningverkopen FY</v>
      </c>
      <c r="T810" s="15">
        <f>IF(OR(S810="",D810&lt;&gt;"Vastgesteld"),"",_xlfn.MAXIFS($G$6:$G$5005,$S$6:$S$5005,S810,$D$6:$D$5005,"Vastgesteld"))</f>
        <v>0</v>
      </c>
      <c r="U810" s="15">
        <f>IF(T810="",0,IF(AND(G810=T810,COUNTIFS($S$6:S810,S810,$G$6:G810,G810,$D$6:D810,"Vastgesteld")=1),1,0))</f>
        <v>1</v>
      </c>
      <c r="V810" s="15">
        <f>IF(T810="",0,IF(AND(G810=T810,COUNTIFS($S$6:S810,S810,$G$6:G810,G810,$D$6:D810,"Vastgesteld")&gt;1),1,0))</f>
        <v>0</v>
      </c>
    </row>
    <row r="811">
      <c r="A811" s="92" t="inlineStr">
        <is>
          <t>HIST-2026-Q3</t>
        </is>
      </c>
      <c r="B811" s="92" t="inlineStr">
        <is>
          <t>RDFO_FICTIEVE_historie_en_mapping.xlsx</t>
        </is>
      </c>
      <c r="C811" s="108" t="n">
        <v>46324</v>
      </c>
      <c r="D811" s="92" t="inlineStr">
        <is>
          <t>Vastgesteld</t>
        </is>
      </c>
      <c r="E811" s="92" t="n">
        <v>2026</v>
      </c>
      <c r="F811" s="92" t="inlineStr">
        <is>
          <t>Q3</t>
        </is>
      </c>
      <c r="G811" s="92" t="n">
        <v>0</v>
      </c>
      <c r="H811" s="108" t="n">
        <v>46295</v>
      </c>
      <c r="I811" s="92" t="n">
        <v>2026</v>
      </c>
      <c r="J811" s="92" t="inlineStr">
        <is>
          <t>G.900013.8.9090</t>
        </is>
      </c>
      <c r="K811" s="92" t="inlineStr">
        <is>
          <t>G.900013</t>
        </is>
      </c>
      <c r="L811" s="92" t="inlineStr">
        <is>
          <t>Boswaard, Boskamers</t>
        </is>
      </c>
      <c r="M811" s="92" t="inlineStr">
        <is>
          <t>Opstal</t>
        </is>
      </c>
      <c r="N811" s="92" t="inlineStr">
        <is>
          <t>J</t>
        </is>
      </c>
      <c r="O811" s="92" t="inlineStr">
        <is>
          <t>Woningen verkocht t/m vorig jaar</t>
        </is>
      </c>
      <c r="P811" s="109" t="n">
        <v>0</v>
      </c>
      <c r="Q811" s="92" t="inlineStr">
        <is>
          <t>aantal</t>
        </is>
      </c>
      <c r="R811" s="92" t="inlineStr">
        <is>
          <t>Synthetische snapshot; kwartalen zijn FY-verdeling, geen actuals</t>
        </is>
      </c>
      <c r="S811" s="15" t="str">
        <f>IF(J811="","",J811&amp;"|"&amp;E811&amp;"|"&amp;F811&amp;"|"&amp;I811&amp;"|"&amp;O811)</f>
        <v>G.900013.8.9090|2026|Q3|2026|Woningen verkocht t/m vorig jaar</v>
      </c>
      <c r="T811" s="15">
        <f>IF(OR(S811="",D811&lt;&gt;"Vastgesteld"),"",_xlfn.MAXIFS($G$6:$G$5005,$S$6:$S$5005,S811,$D$6:$D$5005,"Vastgesteld"))</f>
        <v>0</v>
      </c>
      <c r="U811" s="15">
        <f>IF(T811="",0,IF(AND(G811=T811,COUNTIFS($S$6:S811,S811,$G$6:G811,G811,$D$6:D811,"Vastgesteld")=1),1,0))</f>
        <v>1</v>
      </c>
      <c r="V811" s="15">
        <f>IF(T811="",0,IF(AND(G811=T811,COUNTIFS($S$6:S811,S811,$G$6:G811,G811,$D$6:D811,"Vastgesteld")&gt;1),1,0))</f>
        <v>0</v>
      </c>
    </row>
    <row r="812">
      <c r="A812" s="92" t="inlineStr">
        <is>
          <t>HIST-2026-Q3</t>
        </is>
      </c>
      <c r="B812" s="92" t="inlineStr">
        <is>
          <t>RDFO_FICTIEVE_historie_en_mapping.xlsx</t>
        </is>
      </c>
      <c r="C812" s="108" t="n">
        <v>46324</v>
      </c>
      <c r="D812" s="92" t="inlineStr">
        <is>
          <t>Vastgesteld</t>
        </is>
      </c>
      <c r="E812" s="92" t="n">
        <v>2026</v>
      </c>
      <c r="F812" s="92" t="inlineStr">
        <is>
          <t>Q3</t>
        </is>
      </c>
      <c r="G812" s="92" t="n">
        <v>0</v>
      </c>
      <c r="H812" s="108" t="n">
        <v>46295</v>
      </c>
      <c r="I812" s="92" t="n">
        <v>2026</v>
      </c>
      <c r="J812" s="92" t="inlineStr">
        <is>
          <t>G.900013.8.9090</t>
        </is>
      </c>
      <c r="K812" s="92" t="inlineStr">
        <is>
          <t>G.900013</t>
        </is>
      </c>
      <c r="L812" s="92" t="inlineStr">
        <is>
          <t>Boswaard, Boskamers</t>
        </is>
      </c>
      <c r="M812" s="92" t="inlineStr">
        <is>
          <t>Opstal</t>
        </is>
      </c>
      <c r="N812" s="92" t="inlineStr">
        <is>
          <t>J</t>
        </is>
      </c>
      <c r="O812" s="92" t="inlineStr">
        <is>
          <t>Woningverkopen Q1</t>
        </is>
      </c>
      <c r="P812" s="109" t="n">
        <v>1</v>
      </c>
      <c r="Q812" s="92" t="inlineStr">
        <is>
          <t>aantal</t>
        </is>
      </c>
      <c r="R812" s="92" t="inlineStr">
        <is>
          <t>Synthetische snapshot; kwartalen zijn FY-verdeling, geen actuals</t>
        </is>
      </c>
      <c r="S812" s="15" t="str">
        <f>IF(J812="","",J812&amp;"|"&amp;E812&amp;"|"&amp;F812&amp;"|"&amp;I812&amp;"|"&amp;O812)</f>
        <v>G.900013.8.9090|2026|Q3|2026|Woningverkopen Q1</v>
      </c>
      <c r="T812" s="15">
        <f>IF(OR(S812="",D812&lt;&gt;"Vastgesteld"),"",_xlfn.MAXIFS($G$6:$G$5005,$S$6:$S$5005,S812,$D$6:$D$5005,"Vastgesteld"))</f>
        <v>0</v>
      </c>
      <c r="U812" s="15">
        <f>IF(T812="",0,IF(AND(G812=T812,COUNTIFS($S$6:S812,S812,$G$6:G812,G812,$D$6:D812,"Vastgesteld")=1),1,0))</f>
        <v>1</v>
      </c>
      <c r="V812" s="15">
        <f>IF(T812="",0,IF(AND(G812=T812,COUNTIFS($S$6:S812,S812,$G$6:G812,G812,$D$6:D812,"Vastgesteld")&gt;1),1,0))</f>
        <v>0</v>
      </c>
    </row>
    <row r="813">
      <c r="A813" s="92" t="inlineStr">
        <is>
          <t>HIST-2026-Q3</t>
        </is>
      </c>
      <c r="B813" s="92" t="inlineStr">
        <is>
          <t>RDFO_FICTIEVE_historie_en_mapping.xlsx</t>
        </is>
      </c>
      <c r="C813" s="108" t="n">
        <v>46324</v>
      </c>
      <c r="D813" s="92" t="inlineStr">
        <is>
          <t>Vastgesteld</t>
        </is>
      </c>
      <c r="E813" s="92" t="n">
        <v>2026</v>
      </c>
      <c r="F813" s="92" t="inlineStr">
        <is>
          <t>Q3</t>
        </is>
      </c>
      <c r="G813" s="92" t="n">
        <v>0</v>
      </c>
      <c r="H813" s="108" t="n">
        <v>46295</v>
      </c>
      <c r="I813" s="92" t="n">
        <v>2026</v>
      </c>
      <c r="J813" s="92" t="inlineStr">
        <is>
          <t>G.900013.8.9090</t>
        </is>
      </c>
      <c r="K813" s="92" t="inlineStr">
        <is>
          <t>G.900013</t>
        </is>
      </c>
      <c r="L813" s="92" t="inlineStr">
        <is>
          <t>Boswaard, Boskamers</t>
        </is>
      </c>
      <c r="M813" s="92" t="inlineStr">
        <is>
          <t>Opstal</t>
        </is>
      </c>
      <c r="N813" s="92" t="inlineStr">
        <is>
          <t>J</t>
        </is>
      </c>
      <c r="O813" s="92" t="inlineStr">
        <is>
          <t>Woningverkopen Q2</t>
        </is>
      </c>
      <c r="P813" s="109" t="n">
        <v>4</v>
      </c>
      <c r="Q813" s="92" t="inlineStr">
        <is>
          <t>aantal</t>
        </is>
      </c>
      <c r="R813" s="92" t="inlineStr">
        <is>
          <t>Synthetische snapshot; kwartalen zijn FY-verdeling, geen actuals</t>
        </is>
      </c>
      <c r="S813" s="15" t="str">
        <f>IF(J813="","",J813&amp;"|"&amp;E813&amp;"|"&amp;F813&amp;"|"&amp;I813&amp;"|"&amp;O813)</f>
        <v>G.900013.8.9090|2026|Q3|2026|Woningverkopen Q2</v>
      </c>
      <c r="T813" s="15">
        <f>IF(OR(S813="",D813&lt;&gt;"Vastgesteld"),"",_xlfn.MAXIFS($G$6:$G$5005,$S$6:$S$5005,S813,$D$6:$D$5005,"Vastgesteld"))</f>
        <v>0</v>
      </c>
      <c r="U813" s="15">
        <f>IF(T813="",0,IF(AND(G813=T813,COUNTIFS($S$6:S813,S813,$G$6:G813,G813,$D$6:D813,"Vastgesteld")=1),1,0))</f>
        <v>1</v>
      </c>
      <c r="V813" s="15">
        <f>IF(T813="",0,IF(AND(G813=T813,COUNTIFS($S$6:S813,S813,$G$6:G813,G813,$D$6:D813,"Vastgesteld")&gt;1),1,0))</f>
        <v>0</v>
      </c>
    </row>
    <row r="814">
      <c r="A814" s="92" t="inlineStr">
        <is>
          <t>HIST-2026-Q3</t>
        </is>
      </c>
      <c r="B814" s="92" t="inlineStr">
        <is>
          <t>RDFO_FICTIEVE_historie_en_mapping.xlsx</t>
        </is>
      </c>
      <c r="C814" s="108" t="n">
        <v>46324</v>
      </c>
      <c r="D814" s="92" t="inlineStr">
        <is>
          <t>Vastgesteld</t>
        </is>
      </c>
      <c r="E814" s="92" t="n">
        <v>2026</v>
      </c>
      <c r="F814" s="92" t="inlineStr">
        <is>
          <t>Q3</t>
        </is>
      </c>
      <c r="G814" s="92" t="n">
        <v>0</v>
      </c>
      <c r="H814" s="108" t="n">
        <v>46295</v>
      </c>
      <c r="I814" s="92" t="n">
        <v>2026</v>
      </c>
      <c r="J814" s="92" t="inlineStr">
        <is>
          <t>G.900013.8.9090</t>
        </is>
      </c>
      <c r="K814" s="92" t="inlineStr">
        <is>
          <t>G.900013</t>
        </is>
      </c>
      <c r="L814" s="92" t="inlineStr">
        <is>
          <t>Boswaard, Boskamers</t>
        </is>
      </c>
      <c r="M814" s="92" t="inlineStr">
        <is>
          <t>Opstal</t>
        </is>
      </c>
      <c r="N814" s="92" t="inlineStr">
        <is>
          <t>J</t>
        </is>
      </c>
      <c r="O814" s="92" t="inlineStr">
        <is>
          <t>Woningverkopen Q3</t>
        </is>
      </c>
      <c r="P814" s="109" t="n">
        <v>4</v>
      </c>
      <c r="Q814" s="92" t="inlineStr">
        <is>
          <t>aantal</t>
        </is>
      </c>
      <c r="R814" s="92" t="inlineStr">
        <is>
          <t>Synthetische snapshot; kwartalen zijn FY-verdeling, geen actuals</t>
        </is>
      </c>
      <c r="S814" s="15" t="str">
        <f>IF(J814="","",J814&amp;"|"&amp;E814&amp;"|"&amp;F814&amp;"|"&amp;I814&amp;"|"&amp;O814)</f>
        <v>G.900013.8.9090|2026|Q3|2026|Woningverkopen Q3</v>
      </c>
      <c r="T814" s="15">
        <f>IF(OR(S814="",D814&lt;&gt;"Vastgesteld"),"",_xlfn.MAXIFS($G$6:$G$5005,$S$6:$S$5005,S814,$D$6:$D$5005,"Vastgesteld"))</f>
        <v>0</v>
      </c>
      <c r="U814" s="15">
        <f>IF(T814="",0,IF(AND(G814=T814,COUNTIFS($S$6:S814,S814,$G$6:G814,G814,$D$6:D814,"Vastgesteld")=1),1,0))</f>
        <v>1</v>
      </c>
      <c r="V814" s="15">
        <f>IF(T814="",0,IF(AND(G814=T814,COUNTIFS($S$6:S814,S814,$G$6:G814,G814,$D$6:D814,"Vastgesteld")&gt;1),1,0))</f>
        <v>0</v>
      </c>
    </row>
    <row r="815">
      <c r="A815" s="92" t="inlineStr">
        <is>
          <t>HIST-2026-Q3</t>
        </is>
      </c>
      <c r="B815" s="92" t="inlineStr">
        <is>
          <t>RDFO_FICTIEVE_historie_en_mapping.xlsx</t>
        </is>
      </c>
      <c r="C815" s="108" t="n">
        <v>46324</v>
      </c>
      <c r="D815" s="92" t="inlineStr">
        <is>
          <t>Vastgesteld</t>
        </is>
      </c>
      <c r="E815" s="92" t="n">
        <v>2026</v>
      </c>
      <c r="F815" s="92" t="inlineStr">
        <is>
          <t>Q3</t>
        </is>
      </c>
      <c r="G815" s="92" t="n">
        <v>0</v>
      </c>
      <c r="H815" s="108" t="n">
        <v>46295</v>
      </c>
      <c r="I815" s="92" t="n">
        <v>2026</v>
      </c>
      <c r="J815" s="92" t="inlineStr">
        <is>
          <t>G.900013.8.9090</t>
        </is>
      </c>
      <c r="K815" s="92" t="inlineStr">
        <is>
          <t>G.900013</t>
        </is>
      </c>
      <c r="L815" s="92" t="inlineStr">
        <is>
          <t>Boswaard, Boskamers</t>
        </is>
      </c>
      <c r="M815" s="92" t="inlineStr">
        <is>
          <t>Opstal</t>
        </is>
      </c>
      <c r="N815" s="92" t="inlineStr">
        <is>
          <t>J</t>
        </is>
      </c>
      <c r="O815" s="92" t="inlineStr">
        <is>
          <t>Woningverkopen Q4</t>
        </is>
      </c>
      <c r="P815" s="109" t="n">
        <v>11</v>
      </c>
      <c r="Q815" s="92" t="inlineStr">
        <is>
          <t>aantal</t>
        </is>
      </c>
      <c r="R815" s="92" t="inlineStr">
        <is>
          <t>Synthetische snapshot; kwartalen zijn FY-verdeling, geen actuals</t>
        </is>
      </c>
      <c r="S815" s="15" t="str">
        <f>IF(J815="","",J815&amp;"|"&amp;E815&amp;"|"&amp;F815&amp;"|"&amp;I815&amp;"|"&amp;O815)</f>
        <v>G.900013.8.9090|2026|Q3|2026|Woningverkopen Q4</v>
      </c>
      <c r="T815" s="15">
        <f>IF(OR(S815="",D815&lt;&gt;"Vastgesteld"),"",_xlfn.MAXIFS($G$6:$G$5005,$S$6:$S$5005,S815,$D$6:$D$5005,"Vastgesteld"))</f>
        <v>0</v>
      </c>
      <c r="U815" s="15">
        <f>IF(T815="",0,IF(AND(G815=T815,COUNTIFS($S$6:S815,S815,$G$6:G815,G815,$D$6:D815,"Vastgesteld")=1),1,0))</f>
        <v>1</v>
      </c>
      <c r="V815" s="15">
        <f>IF(T815="",0,IF(AND(G815=T815,COUNTIFS($S$6:S815,S815,$G$6:G815,G815,$D$6:D815,"Vastgesteld")&gt;1),1,0))</f>
        <v>0</v>
      </c>
    </row>
    <row r="816">
      <c r="A816" s="92" t="inlineStr">
        <is>
          <t>HIST-2026-Q3</t>
        </is>
      </c>
      <c r="B816" s="92" t="inlineStr">
        <is>
          <t>RDFO_FICTIEVE_historie_en_mapping.xlsx</t>
        </is>
      </c>
      <c r="C816" s="108" t="n">
        <v>46324</v>
      </c>
      <c r="D816" s="92" t="inlineStr">
        <is>
          <t>Vastgesteld</t>
        </is>
      </c>
      <c r="E816" s="92" t="n">
        <v>2026</v>
      </c>
      <c r="F816" s="92" t="inlineStr">
        <is>
          <t>Q3</t>
        </is>
      </c>
      <c r="G816" s="92" t="n">
        <v>0</v>
      </c>
      <c r="H816" s="108" t="n">
        <v>46295</v>
      </c>
      <c r="I816" s="92" t="n">
        <v>2026</v>
      </c>
      <c r="J816" s="92" t="inlineStr">
        <is>
          <t>G.900013.8.9090</t>
        </is>
      </c>
      <c r="K816" s="92" t="inlineStr">
        <is>
          <t>G.900013</t>
        </is>
      </c>
      <c r="L816" s="92" t="inlineStr">
        <is>
          <t>Boswaard, Boskamers</t>
        </is>
      </c>
      <c r="M816" s="92" t="inlineStr">
        <is>
          <t>Opstal</t>
        </is>
      </c>
      <c r="N816" s="92" t="inlineStr">
        <is>
          <t>J</t>
        </is>
      </c>
      <c r="O816" s="92" t="inlineStr">
        <is>
          <t>Woningverkopen actual YTD</t>
        </is>
      </c>
      <c r="P816" s="109" t="n">
        <v>9</v>
      </c>
      <c r="Q816" s="92" t="inlineStr">
        <is>
          <t>aantal</t>
        </is>
      </c>
      <c r="R816" s="92" t="inlineStr">
        <is>
          <t>Synthetische snapshot; kwartalen zijn FY-verdeling, geen actuals</t>
        </is>
      </c>
      <c r="S816" s="15" t="str">
        <f>IF(J816="","",J816&amp;"|"&amp;E816&amp;"|"&amp;F816&amp;"|"&amp;I816&amp;"|"&amp;O816)</f>
        <v>G.900013.8.9090|2026|Q3|2026|Woningverkopen actual YTD</v>
      </c>
      <c r="T816" s="15">
        <f>IF(OR(S816="",D816&lt;&gt;"Vastgesteld"),"",_xlfn.MAXIFS($G$6:$G$5005,$S$6:$S$5005,S816,$D$6:$D$5005,"Vastgesteld"))</f>
        <v>0</v>
      </c>
      <c r="U816" s="15">
        <f>IF(T816="",0,IF(AND(G816=T816,COUNTIFS($S$6:S816,S816,$G$6:G816,G816,$D$6:D816,"Vastgesteld")=1),1,0))</f>
        <v>1</v>
      </c>
      <c r="V816" s="15">
        <f>IF(T816="",0,IF(AND(G816=T816,COUNTIFS($S$6:S816,S816,$G$6:G816,G816,$D$6:D816,"Vastgesteld")&gt;1),1,0))</f>
        <v>0</v>
      </c>
    </row>
    <row r="817">
      <c r="A817" s="92" t="inlineStr">
        <is>
          <t>HIST-2026-Q3</t>
        </is>
      </c>
      <c r="B817" s="92" t="inlineStr">
        <is>
          <t>RDFO_FICTIEVE_historie_en_mapping.xlsx</t>
        </is>
      </c>
      <c r="C817" s="108" t="n">
        <v>46324</v>
      </c>
      <c r="D817" s="92" t="inlineStr">
        <is>
          <t>Vastgesteld</t>
        </is>
      </c>
      <c r="E817" s="92" t="n">
        <v>2026</v>
      </c>
      <c r="F817" s="92" t="inlineStr">
        <is>
          <t>Q3</t>
        </is>
      </c>
      <c r="G817" s="92" t="n">
        <v>0</v>
      </c>
      <c r="H817" s="108" t="n">
        <v>46295</v>
      </c>
      <c r="I817" s="92" t="n">
        <v>2026</v>
      </c>
      <c r="J817" s="92" t="inlineStr">
        <is>
          <t>G.900014.8.9090</t>
        </is>
      </c>
      <c r="K817" s="92" t="inlineStr">
        <is>
          <t>G.900014</t>
        </is>
      </c>
      <c r="L817" s="92" t="inlineStr">
        <is>
          <t>Rietdam, Rietoevers</t>
        </is>
      </c>
      <c r="M817" s="92" t="inlineStr">
        <is>
          <t>Opstal</t>
        </is>
      </c>
      <c r="N817" s="92" t="inlineStr">
        <is>
          <t>J</t>
        </is>
      </c>
      <c r="O817" s="92" t="inlineStr">
        <is>
          <t>Woningverkopen FY</t>
        </is>
      </c>
      <c r="P817" s="109" t="n">
        <v>24</v>
      </c>
      <c r="Q817" s="92" t="inlineStr">
        <is>
          <t>aantal</t>
        </is>
      </c>
      <c r="R817" s="92" t="inlineStr">
        <is>
          <t>Synthetische snapshot; kwartalen zijn FY-verdeling, geen actuals</t>
        </is>
      </c>
      <c r="S817" s="15" t="str">
        <f>IF(J817="","",J817&amp;"|"&amp;E817&amp;"|"&amp;F817&amp;"|"&amp;I817&amp;"|"&amp;O817)</f>
        <v>G.900014.8.9090|2026|Q3|2026|Woningverkopen FY</v>
      </c>
      <c r="T817" s="15">
        <f>IF(OR(S817="",D817&lt;&gt;"Vastgesteld"),"",_xlfn.MAXIFS($G$6:$G$5005,$S$6:$S$5005,S817,$D$6:$D$5005,"Vastgesteld"))</f>
        <v>0</v>
      </c>
      <c r="U817" s="15">
        <f>IF(T817="",0,IF(AND(G817=T817,COUNTIFS($S$6:S817,S817,$G$6:G817,G817,$D$6:D817,"Vastgesteld")=1),1,0))</f>
        <v>1</v>
      </c>
      <c r="V817" s="15">
        <f>IF(T817="",0,IF(AND(G817=T817,COUNTIFS($S$6:S817,S817,$G$6:G817,G817,$D$6:D817,"Vastgesteld")&gt;1),1,0))</f>
        <v>0</v>
      </c>
    </row>
    <row r="818">
      <c r="A818" s="92" t="inlineStr">
        <is>
          <t>HIST-2026-Q3</t>
        </is>
      </c>
      <c r="B818" s="92" t="inlineStr">
        <is>
          <t>RDFO_FICTIEVE_historie_en_mapping.xlsx</t>
        </is>
      </c>
      <c r="C818" s="108" t="n">
        <v>46324</v>
      </c>
      <c r="D818" s="92" t="inlineStr">
        <is>
          <t>Vastgesteld</t>
        </is>
      </c>
      <c r="E818" s="92" t="n">
        <v>2026</v>
      </c>
      <c r="F818" s="92" t="inlineStr">
        <is>
          <t>Q3</t>
        </is>
      </c>
      <c r="G818" s="92" t="n">
        <v>0</v>
      </c>
      <c r="H818" s="108" t="n">
        <v>46295</v>
      </c>
      <c r="I818" s="92" t="n">
        <v>2026</v>
      </c>
      <c r="J818" s="92" t="inlineStr">
        <is>
          <t>G.900014.8.9090</t>
        </is>
      </c>
      <c r="K818" s="92" t="inlineStr">
        <is>
          <t>G.900014</t>
        </is>
      </c>
      <c r="L818" s="92" t="inlineStr">
        <is>
          <t>Rietdam, Rietoevers</t>
        </is>
      </c>
      <c r="M818" s="92" t="inlineStr">
        <is>
          <t>Opstal</t>
        </is>
      </c>
      <c r="N818" s="92" t="inlineStr">
        <is>
          <t>J</t>
        </is>
      </c>
      <c r="O818" s="92" t="inlineStr">
        <is>
          <t>Woningen verkocht t/m vorig jaar</t>
        </is>
      </c>
      <c r="P818" s="109" t="n">
        <v>0</v>
      </c>
      <c r="Q818" s="92" t="inlineStr">
        <is>
          <t>aantal</t>
        </is>
      </c>
      <c r="R818" s="92" t="inlineStr">
        <is>
          <t>Synthetische snapshot; kwartalen zijn FY-verdeling, geen actuals</t>
        </is>
      </c>
      <c r="S818" s="15" t="str">
        <f>IF(J818="","",J818&amp;"|"&amp;E818&amp;"|"&amp;F818&amp;"|"&amp;I818&amp;"|"&amp;O818)</f>
        <v>G.900014.8.9090|2026|Q3|2026|Woningen verkocht t/m vorig jaar</v>
      </c>
      <c r="T818" s="15">
        <f>IF(OR(S818="",D818&lt;&gt;"Vastgesteld"),"",_xlfn.MAXIFS($G$6:$G$5005,$S$6:$S$5005,S818,$D$6:$D$5005,"Vastgesteld"))</f>
        <v>0</v>
      </c>
      <c r="U818" s="15">
        <f>IF(T818="",0,IF(AND(G818=T818,COUNTIFS($S$6:S818,S818,$G$6:G818,G818,$D$6:D818,"Vastgesteld")=1),1,0))</f>
        <v>1</v>
      </c>
      <c r="V818" s="15">
        <f>IF(T818="",0,IF(AND(G818=T818,COUNTIFS($S$6:S818,S818,$G$6:G818,G818,$D$6:D818,"Vastgesteld")&gt;1),1,0))</f>
        <v>0</v>
      </c>
    </row>
    <row r="819">
      <c r="A819" s="92" t="inlineStr">
        <is>
          <t>HIST-2026-Q3</t>
        </is>
      </c>
      <c r="B819" s="92" t="inlineStr">
        <is>
          <t>RDFO_FICTIEVE_historie_en_mapping.xlsx</t>
        </is>
      </c>
      <c r="C819" s="108" t="n">
        <v>46324</v>
      </c>
      <c r="D819" s="92" t="inlineStr">
        <is>
          <t>Vastgesteld</t>
        </is>
      </c>
      <c r="E819" s="92" t="n">
        <v>2026</v>
      </c>
      <c r="F819" s="92" t="inlineStr">
        <is>
          <t>Q3</t>
        </is>
      </c>
      <c r="G819" s="92" t="n">
        <v>0</v>
      </c>
      <c r="H819" s="108" t="n">
        <v>46295</v>
      </c>
      <c r="I819" s="92" t="n">
        <v>2026</v>
      </c>
      <c r="J819" s="92" t="inlineStr">
        <is>
          <t>G.900014.8.9090</t>
        </is>
      </c>
      <c r="K819" s="92" t="inlineStr">
        <is>
          <t>G.900014</t>
        </is>
      </c>
      <c r="L819" s="92" t="inlineStr">
        <is>
          <t>Rietdam, Rietoevers</t>
        </is>
      </c>
      <c r="M819" s="92" t="inlineStr">
        <is>
          <t>Opstal</t>
        </is>
      </c>
      <c r="N819" s="92" t="inlineStr">
        <is>
          <t>J</t>
        </is>
      </c>
      <c r="O819" s="92" t="inlineStr">
        <is>
          <t>Woningverkopen Q1</t>
        </is>
      </c>
      <c r="P819" s="109" t="n">
        <v>4</v>
      </c>
      <c r="Q819" s="92" t="inlineStr">
        <is>
          <t>aantal</t>
        </is>
      </c>
      <c r="R819" s="92" t="inlineStr">
        <is>
          <t>Synthetische snapshot; kwartalen zijn FY-verdeling, geen actuals</t>
        </is>
      </c>
      <c r="S819" s="15" t="str">
        <f>IF(J819="","",J819&amp;"|"&amp;E819&amp;"|"&amp;F819&amp;"|"&amp;I819&amp;"|"&amp;O819)</f>
        <v>G.900014.8.9090|2026|Q3|2026|Woningverkopen Q1</v>
      </c>
      <c r="T819" s="15">
        <f>IF(OR(S819="",D819&lt;&gt;"Vastgesteld"),"",_xlfn.MAXIFS($G$6:$G$5005,$S$6:$S$5005,S819,$D$6:$D$5005,"Vastgesteld"))</f>
        <v>0</v>
      </c>
      <c r="U819" s="15">
        <f>IF(T819="",0,IF(AND(G819=T819,COUNTIFS($S$6:S819,S819,$G$6:G819,G819,$D$6:D819,"Vastgesteld")=1),1,0))</f>
        <v>1</v>
      </c>
      <c r="V819" s="15">
        <f>IF(T819="",0,IF(AND(G819=T819,COUNTIFS($S$6:S819,S819,$G$6:G819,G819,$D$6:D819,"Vastgesteld")&gt;1),1,0))</f>
        <v>0</v>
      </c>
    </row>
    <row r="820">
      <c r="A820" s="92" t="inlineStr">
        <is>
          <t>HIST-2026-Q3</t>
        </is>
      </c>
      <c r="B820" s="92" t="inlineStr">
        <is>
          <t>RDFO_FICTIEVE_historie_en_mapping.xlsx</t>
        </is>
      </c>
      <c r="C820" s="108" t="n">
        <v>46324</v>
      </c>
      <c r="D820" s="92" t="inlineStr">
        <is>
          <t>Vastgesteld</t>
        </is>
      </c>
      <c r="E820" s="92" t="n">
        <v>2026</v>
      </c>
      <c r="F820" s="92" t="inlineStr">
        <is>
          <t>Q3</t>
        </is>
      </c>
      <c r="G820" s="92" t="n">
        <v>0</v>
      </c>
      <c r="H820" s="108" t="n">
        <v>46295</v>
      </c>
      <c r="I820" s="92" t="n">
        <v>2026</v>
      </c>
      <c r="J820" s="92" t="inlineStr">
        <is>
          <t>G.900014.8.9090</t>
        </is>
      </c>
      <c r="K820" s="92" t="inlineStr">
        <is>
          <t>G.900014</t>
        </is>
      </c>
      <c r="L820" s="92" t="inlineStr">
        <is>
          <t>Rietdam, Rietoevers</t>
        </is>
      </c>
      <c r="M820" s="92" t="inlineStr">
        <is>
          <t>Opstal</t>
        </is>
      </c>
      <c r="N820" s="92" t="inlineStr">
        <is>
          <t>J</t>
        </is>
      </c>
      <c r="O820" s="92" t="inlineStr">
        <is>
          <t>Woningverkopen Q2</t>
        </is>
      </c>
      <c r="P820" s="109" t="n">
        <v>7</v>
      </c>
      <c r="Q820" s="92" t="inlineStr">
        <is>
          <t>aantal</t>
        </is>
      </c>
      <c r="R820" s="92" t="inlineStr">
        <is>
          <t>Synthetische snapshot; kwartalen zijn FY-verdeling, geen actuals</t>
        </is>
      </c>
      <c r="S820" s="15" t="str">
        <f>IF(J820="","",J820&amp;"|"&amp;E820&amp;"|"&amp;F820&amp;"|"&amp;I820&amp;"|"&amp;O820)</f>
        <v>G.900014.8.9090|2026|Q3|2026|Woningverkopen Q2</v>
      </c>
      <c r="T820" s="15">
        <f>IF(OR(S820="",D820&lt;&gt;"Vastgesteld"),"",_xlfn.MAXIFS($G$6:$G$5005,$S$6:$S$5005,S820,$D$6:$D$5005,"Vastgesteld"))</f>
        <v>0</v>
      </c>
      <c r="U820" s="15">
        <f>IF(T820="",0,IF(AND(G820=T820,COUNTIFS($S$6:S820,S820,$G$6:G820,G820,$D$6:D820,"Vastgesteld")=1),1,0))</f>
        <v>1</v>
      </c>
      <c r="V820" s="15">
        <f>IF(T820="",0,IF(AND(G820=T820,COUNTIFS($S$6:S820,S820,$G$6:G820,G820,$D$6:D820,"Vastgesteld")&gt;1),1,0))</f>
        <v>0</v>
      </c>
    </row>
    <row r="821">
      <c r="A821" s="92" t="inlineStr">
        <is>
          <t>HIST-2026-Q3</t>
        </is>
      </c>
      <c r="B821" s="92" t="inlineStr">
        <is>
          <t>RDFO_FICTIEVE_historie_en_mapping.xlsx</t>
        </is>
      </c>
      <c r="C821" s="108" t="n">
        <v>46324</v>
      </c>
      <c r="D821" s="92" t="inlineStr">
        <is>
          <t>Vastgesteld</t>
        </is>
      </c>
      <c r="E821" s="92" t="n">
        <v>2026</v>
      </c>
      <c r="F821" s="92" t="inlineStr">
        <is>
          <t>Q3</t>
        </is>
      </c>
      <c r="G821" s="92" t="n">
        <v>0</v>
      </c>
      <c r="H821" s="108" t="n">
        <v>46295</v>
      </c>
      <c r="I821" s="92" t="n">
        <v>2026</v>
      </c>
      <c r="J821" s="92" t="inlineStr">
        <is>
          <t>G.900014.8.9090</t>
        </is>
      </c>
      <c r="K821" s="92" t="inlineStr">
        <is>
          <t>G.900014</t>
        </is>
      </c>
      <c r="L821" s="92" t="inlineStr">
        <is>
          <t>Rietdam, Rietoevers</t>
        </is>
      </c>
      <c r="M821" s="92" t="inlineStr">
        <is>
          <t>Opstal</t>
        </is>
      </c>
      <c r="N821" s="92" t="inlineStr">
        <is>
          <t>J</t>
        </is>
      </c>
      <c r="O821" s="92" t="inlineStr">
        <is>
          <t>Woningverkopen Q3</t>
        </is>
      </c>
      <c r="P821" s="109" t="n">
        <v>7</v>
      </c>
      <c r="Q821" s="92" t="inlineStr">
        <is>
          <t>aantal</t>
        </is>
      </c>
      <c r="R821" s="92" t="inlineStr">
        <is>
          <t>Synthetische snapshot; kwartalen zijn FY-verdeling, geen actuals</t>
        </is>
      </c>
      <c r="S821" s="15" t="str">
        <f>IF(J821="","",J821&amp;"|"&amp;E821&amp;"|"&amp;F821&amp;"|"&amp;I821&amp;"|"&amp;O821)</f>
        <v>G.900014.8.9090|2026|Q3|2026|Woningverkopen Q3</v>
      </c>
      <c r="T821" s="15">
        <f>IF(OR(S821="",D821&lt;&gt;"Vastgesteld"),"",_xlfn.MAXIFS($G$6:$G$5005,$S$6:$S$5005,S821,$D$6:$D$5005,"Vastgesteld"))</f>
        <v>0</v>
      </c>
      <c r="U821" s="15">
        <f>IF(T821="",0,IF(AND(G821=T821,COUNTIFS($S$6:S821,S821,$G$6:G821,G821,$D$6:D821,"Vastgesteld")=1),1,0))</f>
        <v>1</v>
      </c>
      <c r="V821" s="15">
        <f>IF(T821="",0,IF(AND(G821=T821,COUNTIFS($S$6:S821,S821,$G$6:G821,G821,$D$6:D821,"Vastgesteld")&gt;1),1,0))</f>
        <v>0</v>
      </c>
    </row>
    <row r="822">
      <c r="A822" s="92" t="inlineStr">
        <is>
          <t>HIST-2026-Q3</t>
        </is>
      </c>
      <c r="B822" s="92" t="inlineStr">
        <is>
          <t>RDFO_FICTIEVE_historie_en_mapping.xlsx</t>
        </is>
      </c>
      <c r="C822" s="108" t="n">
        <v>46324</v>
      </c>
      <c r="D822" s="92" t="inlineStr">
        <is>
          <t>Vastgesteld</t>
        </is>
      </c>
      <c r="E822" s="92" t="n">
        <v>2026</v>
      </c>
      <c r="F822" s="92" t="inlineStr">
        <is>
          <t>Q3</t>
        </is>
      </c>
      <c r="G822" s="92" t="n">
        <v>0</v>
      </c>
      <c r="H822" s="108" t="n">
        <v>46295</v>
      </c>
      <c r="I822" s="92" t="n">
        <v>2026</v>
      </c>
      <c r="J822" s="92" t="inlineStr">
        <is>
          <t>G.900014.8.9090</t>
        </is>
      </c>
      <c r="K822" s="92" t="inlineStr">
        <is>
          <t>G.900014</t>
        </is>
      </c>
      <c r="L822" s="92" t="inlineStr">
        <is>
          <t>Rietdam, Rietoevers</t>
        </is>
      </c>
      <c r="M822" s="92" t="inlineStr">
        <is>
          <t>Opstal</t>
        </is>
      </c>
      <c r="N822" s="92" t="inlineStr">
        <is>
          <t>J</t>
        </is>
      </c>
      <c r="O822" s="92" t="inlineStr">
        <is>
          <t>Woningverkopen Q4</t>
        </is>
      </c>
      <c r="P822" s="109" t="n">
        <v>6</v>
      </c>
      <c r="Q822" s="92" t="inlineStr">
        <is>
          <t>aantal</t>
        </is>
      </c>
      <c r="R822" s="92" t="inlineStr">
        <is>
          <t>Synthetische snapshot; kwartalen zijn FY-verdeling, geen actuals</t>
        </is>
      </c>
      <c r="S822" s="15" t="str">
        <f>IF(J822="","",J822&amp;"|"&amp;E822&amp;"|"&amp;F822&amp;"|"&amp;I822&amp;"|"&amp;O822)</f>
        <v>G.900014.8.9090|2026|Q3|2026|Woningverkopen Q4</v>
      </c>
      <c r="T822" s="15">
        <f>IF(OR(S822="",D822&lt;&gt;"Vastgesteld"),"",_xlfn.MAXIFS($G$6:$G$5005,$S$6:$S$5005,S822,$D$6:$D$5005,"Vastgesteld"))</f>
        <v>0</v>
      </c>
      <c r="U822" s="15">
        <f>IF(T822="",0,IF(AND(G822=T822,COUNTIFS($S$6:S822,S822,$G$6:G822,G822,$D$6:D822,"Vastgesteld")=1),1,0))</f>
        <v>1</v>
      </c>
      <c r="V822" s="15">
        <f>IF(T822="",0,IF(AND(G822=T822,COUNTIFS($S$6:S822,S822,$G$6:G822,G822,$D$6:D822,"Vastgesteld")&gt;1),1,0))</f>
        <v>0</v>
      </c>
    </row>
    <row r="823">
      <c r="A823" s="92" t="inlineStr">
        <is>
          <t>HIST-2026-Q3</t>
        </is>
      </c>
      <c r="B823" s="92" t="inlineStr">
        <is>
          <t>RDFO_FICTIEVE_historie_en_mapping.xlsx</t>
        </is>
      </c>
      <c r="C823" s="108" t="n">
        <v>46324</v>
      </c>
      <c r="D823" s="92" t="inlineStr">
        <is>
          <t>Vastgesteld</t>
        </is>
      </c>
      <c r="E823" s="92" t="n">
        <v>2026</v>
      </c>
      <c r="F823" s="92" t="inlineStr">
        <is>
          <t>Q3</t>
        </is>
      </c>
      <c r="G823" s="92" t="n">
        <v>0</v>
      </c>
      <c r="H823" s="108" t="n">
        <v>46295</v>
      </c>
      <c r="I823" s="92" t="n">
        <v>2026</v>
      </c>
      <c r="J823" s="92" t="inlineStr">
        <is>
          <t>G.900014.8.9090</t>
        </is>
      </c>
      <c r="K823" s="92" t="inlineStr">
        <is>
          <t>G.900014</t>
        </is>
      </c>
      <c r="L823" s="92" t="inlineStr">
        <is>
          <t>Rietdam, Rietoevers</t>
        </is>
      </c>
      <c r="M823" s="92" t="inlineStr">
        <is>
          <t>Opstal</t>
        </is>
      </c>
      <c r="N823" s="92" t="inlineStr">
        <is>
          <t>J</t>
        </is>
      </c>
      <c r="O823" s="92" t="inlineStr">
        <is>
          <t>Woningverkopen actual YTD</t>
        </is>
      </c>
      <c r="P823" s="109" t="n">
        <v>18</v>
      </c>
      <c r="Q823" s="92" t="inlineStr">
        <is>
          <t>aantal</t>
        </is>
      </c>
      <c r="R823" s="92" t="inlineStr">
        <is>
          <t>Synthetische snapshot; kwartalen zijn FY-verdeling, geen actuals</t>
        </is>
      </c>
      <c r="S823" s="15" t="str">
        <f>IF(J823="","",J823&amp;"|"&amp;E823&amp;"|"&amp;F823&amp;"|"&amp;I823&amp;"|"&amp;O823)</f>
        <v>G.900014.8.9090|2026|Q3|2026|Woningverkopen actual YTD</v>
      </c>
      <c r="T823" s="15">
        <f>IF(OR(S823="",D823&lt;&gt;"Vastgesteld"),"",_xlfn.MAXIFS($G$6:$G$5005,$S$6:$S$5005,S823,$D$6:$D$5005,"Vastgesteld"))</f>
        <v>0</v>
      </c>
      <c r="U823" s="15">
        <f>IF(T823="",0,IF(AND(G823=T823,COUNTIFS($S$6:S823,S823,$G$6:G823,G823,$D$6:D823,"Vastgesteld")=1),1,0))</f>
        <v>1</v>
      </c>
      <c r="V823" s="15">
        <f>IF(T823="",0,IF(AND(G823=T823,COUNTIFS($S$6:S823,S823,$G$6:G823,G823,$D$6:D823,"Vastgesteld")&gt;1),1,0))</f>
        <v>0</v>
      </c>
    </row>
    <row r="824">
      <c r="A824" s="92" t="inlineStr">
        <is>
          <t>HIST-2026-Q3</t>
        </is>
      </c>
      <c r="B824" s="92" t="inlineStr">
        <is>
          <t>RDFO_FICTIEVE_historie_en_mapping.xlsx</t>
        </is>
      </c>
      <c r="C824" s="108" t="n">
        <v>46324</v>
      </c>
      <c r="D824" s="92" t="inlineStr">
        <is>
          <t>Vastgesteld</t>
        </is>
      </c>
      <c r="E824" s="92" t="n">
        <v>2026</v>
      </c>
      <c r="F824" s="92" t="inlineStr">
        <is>
          <t>Q3</t>
        </is>
      </c>
      <c r="G824" s="92" t="n">
        <v>0</v>
      </c>
      <c r="H824" s="108" t="n">
        <v>46295</v>
      </c>
      <c r="I824" s="92" t="n">
        <v>2026</v>
      </c>
      <c r="J824" s="92" t="inlineStr">
        <is>
          <t>G.900015.8.9090</t>
        </is>
      </c>
      <c r="K824" s="92" t="inlineStr">
        <is>
          <t>G.900015</t>
        </is>
      </c>
      <c r="L824" s="92" t="inlineStr">
        <is>
          <t>Lindehaven, Parkzoom fase 2</t>
        </is>
      </c>
      <c r="M824" s="92" t="inlineStr">
        <is>
          <t>Opstal</t>
        </is>
      </c>
      <c r="N824" s="92" t="inlineStr">
        <is>
          <t>J</t>
        </is>
      </c>
      <c r="O824" s="92" t="inlineStr">
        <is>
          <t>Woningverkopen FY</t>
        </is>
      </c>
      <c r="P824" s="109" t="n">
        <v>36</v>
      </c>
      <c r="Q824" s="92" t="inlineStr">
        <is>
          <t>aantal</t>
        </is>
      </c>
      <c r="R824" s="92" t="inlineStr">
        <is>
          <t>Synthetische snapshot; kwartalen zijn FY-verdeling, geen actuals</t>
        </is>
      </c>
      <c r="S824" s="15" t="str">
        <f>IF(J824="","",J824&amp;"|"&amp;E824&amp;"|"&amp;F824&amp;"|"&amp;I824&amp;"|"&amp;O824)</f>
        <v>G.900015.8.9090|2026|Q3|2026|Woningverkopen FY</v>
      </c>
      <c r="T824" s="15">
        <f>IF(OR(S824="",D824&lt;&gt;"Vastgesteld"),"",_xlfn.MAXIFS($G$6:$G$5005,$S$6:$S$5005,S824,$D$6:$D$5005,"Vastgesteld"))</f>
        <v>0</v>
      </c>
      <c r="U824" s="15">
        <f>IF(T824="",0,IF(AND(G824=T824,COUNTIFS($S$6:S824,S824,$G$6:G824,G824,$D$6:D824,"Vastgesteld")=1),1,0))</f>
        <v>1</v>
      </c>
      <c r="V824" s="15">
        <f>IF(T824="",0,IF(AND(G824=T824,COUNTIFS($S$6:S824,S824,$G$6:G824,G824,$D$6:D824,"Vastgesteld")&gt;1),1,0))</f>
        <v>0</v>
      </c>
    </row>
    <row r="825">
      <c r="A825" s="92" t="inlineStr">
        <is>
          <t>HIST-2026-Q3</t>
        </is>
      </c>
      <c r="B825" s="92" t="inlineStr">
        <is>
          <t>RDFO_FICTIEVE_historie_en_mapping.xlsx</t>
        </is>
      </c>
      <c r="C825" s="108" t="n">
        <v>46324</v>
      </c>
      <c r="D825" s="92" t="inlineStr">
        <is>
          <t>Vastgesteld</t>
        </is>
      </c>
      <c r="E825" s="92" t="n">
        <v>2026</v>
      </c>
      <c r="F825" s="92" t="inlineStr">
        <is>
          <t>Q3</t>
        </is>
      </c>
      <c r="G825" s="92" t="n">
        <v>0</v>
      </c>
      <c r="H825" s="108" t="n">
        <v>46295</v>
      </c>
      <c r="I825" s="92" t="n">
        <v>2026</v>
      </c>
      <c r="J825" s="92" t="inlineStr">
        <is>
          <t>G.900015.8.9090</t>
        </is>
      </c>
      <c r="K825" s="92" t="inlineStr">
        <is>
          <t>G.900015</t>
        </is>
      </c>
      <c r="L825" s="92" t="inlineStr">
        <is>
          <t>Lindehaven, Parkzoom fase 2</t>
        </is>
      </c>
      <c r="M825" s="92" t="inlineStr">
        <is>
          <t>Opstal</t>
        </is>
      </c>
      <c r="N825" s="92" t="inlineStr">
        <is>
          <t>J</t>
        </is>
      </c>
      <c r="O825" s="92" t="inlineStr">
        <is>
          <t>Woningen verkocht t/m vorig jaar</t>
        </is>
      </c>
      <c r="P825" s="109" t="n">
        <v>0</v>
      </c>
      <c r="Q825" s="92" t="inlineStr">
        <is>
          <t>aantal</t>
        </is>
      </c>
      <c r="R825" s="92" t="inlineStr">
        <is>
          <t>Synthetische snapshot; kwartalen zijn FY-verdeling, geen actuals</t>
        </is>
      </c>
      <c r="S825" s="15" t="str">
        <f>IF(J825="","",J825&amp;"|"&amp;E825&amp;"|"&amp;F825&amp;"|"&amp;I825&amp;"|"&amp;O825)</f>
        <v>G.900015.8.9090|2026|Q3|2026|Woningen verkocht t/m vorig jaar</v>
      </c>
      <c r="T825" s="15">
        <f>IF(OR(S825="",D825&lt;&gt;"Vastgesteld"),"",_xlfn.MAXIFS($G$6:$G$5005,$S$6:$S$5005,S825,$D$6:$D$5005,"Vastgesteld"))</f>
        <v>0</v>
      </c>
      <c r="U825" s="15">
        <f>IF(T825="",0,IF(AND(G825=T825,COUNTIFS($S$6:S825,S825,$G$6:G825,G825,$D$6:D825,"Vastgesteld")=1),1,0))</f>
        <v>1</v>
      </c>
      <c r="V825" s="15">
        <f>IF(T825="",0,IF(AND(G825=T825,COUNTIFS($S$6:S825,S825,$G$6:G825,G825,$D$6:D825,"Vastgesteld")&gt;1),1,0))</f>
        <v>0</v>
      </c>
    </row>
    <row r="826">
      <c r="A826" s="92" t="inlineStr">
        <is>
          <t>HIST-2026-Q3</t>
        </is>
      </c>
      <c r="B826" s="92" t="inlineStr">
        <is>
          <t>RDFO_FICTIEVE_historie_en_mapping.xlsx</t>
        </is>
      </c>
      <c r="C826" s="108" t="n">
        <v>46324</v>
      </c>
      <c r="D826" s="92" t="inlineStr">
        <is>
          <t>Vastgesteld</t>
        </is>
      </c>
      <c r="E826" s="92" t="n">
        <v>2026</v>
      </c>
      <c r="F826" s="92" t="inlineStr">
        <is>
          <t>Q3</t>
        </is>
      </c>
      <c r="G826" s="92" t="n">
        <v>0</v>
      </c>
      <c r="H826" s="108" t="n">
        <v>46295</v>
      </c>
      <c r="I826" s="92" t="n">
        <v>2026</v>
      </c>
      <c r="J826" s="92" t="inlineStr">
        <is>
          <t>G.900015.8.9090</t>
        </is>
      </c>
      <c r="K826" s="92" t="inlineStr">
        <is>
          <t>G.900015</t>
        </is>
      </c>
      <c r="L826" s="92" t="inlineStr">
        <is>
          <t>Lindehaven, Parkzoom fase 2</t>
        </is>
      </c>
      <c r="M826" s="92" t="inlineStr">
        <is>
          <t>Opstal</t>
        </is>
      </c>
      <c r="N826" s="92" t="inlineStr">
        <is>
          <t>J</t>
        </is>
      </c>
      <c r="O826" s="92" t="inlineStr">
        <is>
          <t>Woningverkopen Q1</t>
        </is>
      </c>
      <c r="P826" s="109" t="n">
        <v>5</v>
      </c>
      <c r="Q826" s="92" t="inlineStr">
        <is>
          <t>aantal</t>
        </is>
      </c>
      <c r="R826" s="92" t="inlineStr">
        <is>
          <t>Synthetische snapshot; kwartalen zijn FY-verdeling, geen actuals</t>
        </is>
      </c>
      <c r="S826" s="15" t="str">
        <f>IF(J826="","",J826&amp;"|"&amp;E826&amp;"|"&amp;F826&amp;"|"&amp;I826&amp;"|"&amp;O826)</f>
        <v>G.900015.8.9090|2026|Q3|2026|Woningverkopen Q1</v>
      </c>
      <c r="T826" s="15">
        <f>IF(OR(S826="",D826&lt;&gt;"Vastgesteld"),"",_xlfn.MAXIFS($G$6:$G$5005,$S$6:$S$5005,S826,$D$6:$D$5005,"Vastgesteld"))</f>
        <v>0</v>
      </c>
      <c r="U826" s="15">
        <f>IF(T826="",0,IF(AND(G826=T826,COUNTIFS($S$6:S826,S826,$G$6:G826,G826,$D$6:D826,"Vastgesteld")=1),1,0))</f>
        <v>1</v>
      </c>
      <c r="V826" s="15">
        <f>IF(T826="",0,IF(AND(G826=T826,COUNTIFS($S$6:S826,S826,$G$6:G826,G826,$D$6:D826,"Vastgesteld")&gt;1),1,0))</f>
        <v>0</v>
      </c>
    </row>
    <row r="827">
      <c r="A827" s="92" t="inlineStr">
        <is>
          <t>HIST-2026-Q3</t>
        </is>
      </c>
      <c r="B827" s="92" t="inlineStr">
        <is>
          <t>RDFO_FICTIEVE_historie_en_mapping.xlsx</t>
        </is>
      </c>
      <c r="C827" s="108" t="n">
        <v>46324</v>
      </c>
      <c r="D827" s="92" t="inlineStr">
        <is>
          <t>Vastgesteld</t>
        </is>
      </c>
      <c r="E827" s="92" t="n">
        <v>2026</v>
      </c>
      <c r="F827" s="92" t="inlineStr">
        <is>
          <t>Q3</t>
        </is>
      </c>
      <c r="G827" s="92" t="n">
        <v>0</v>
      </c>
      <c r="H827" s="108" t="n">
        <v>46295</v>
      </c>
      <c r="I827" s="92" t="n">
        <v>2026</v>
      </c>
      <c r="J827" s="92" t="inlineStr">
        <is>
          <t>G.900015.8.9090</t>
        </is>
      </c>
      <c r="K827" s="92" t="inlineStr">
        <is>
          <t>G.900015</t>
        </is>
      </c>
      <c r="L827" s="92" t="inlineStr">
        <is>
          <t>Lindehaven, Parkzoom fase 2</t>
        </is>
      </c>
      <c r="M827" s="92" t="inlineStr">
        <is>
          <t>Opstal</t>
        </is>
      </c>
      <c r="N827" s="92" t="inlineStr">
        <is>
          <t>J</t>
        </is>
      </c>
      <c r="O827" s="92" t="inlineStr">
        <is>
          <t>Woningverkopen Q2</t>
        </is>
      </c>
      <c r="P827" s="109" t="n">
        <v>10</v>
      </c>
      <c r="Q827" s="92" t="inlineStr">
        <is>
          <t>aantal</t>
        </is>
      </c>
      <c r="R827" s="92" t="inlineStr">
        <is>
          <t>Synthetische snapshot; kwartalen zijn FY-verdeling, geen actuals</t>
        </is>
      </c>
      <c r="S827" s="15" t="str">
        <f>IF(J827="","",J827&amp;"|"&amp;E827&amp;"|"&amp;F827&amp;"|"&amp;I827&amp;"|"&amp;O827)</f>
        <v>G.900015.8.9090|2026|Q3|2026|Woningverkopen Q2</v>
      </c>
      <c r="T827" s="15">
        <f>IF(OR(S827="",D827&lt;&gt;"Vastgesteld"),"",_xlfn.MAXIFS($G$6:$G$5005,$S$6:$S$5005,S827,$D$6:$D$5005,"Vastgesteld"))</f>
        <v>0</v>
      </c>
      <c r="U827" s="15">
        <f>IF(T827="",0,IF(AND(G827=T827,COUNTIFS($S$6:S827,S827,$G$6:G827,G827,$D$6:D827,"Vastgesteld")=1),1,0))</f>
        <v>1</v>
      </c>
      <c r="V827" s="15">
        <f>IF(T827="",0,IF(AND(G827=T827,COUNTIFS($S$6:S827,S827,$G$6:G827,G827,$D$6:D827,"Vastgesteld")&gt;1),1,0))</f>
        <v>0</v>
      </c>
    </row>
    <row r="828">
      <c r="A828" s="92" t="inlineStr">
        <is>
          <t>HIST-2026-Q3</t>
        </is>
      </c>
      <c r="B828" s="92" t="inlineStr">
        <is>
          <t>RDFO_FICTIEVE_historie_en_mapping.xlsx</t>
        </is>
      </c>
      <c r="C828" s="108" t="n">
        <v>46324</v>
      </c>
      <c r="D828" s="92" t="inlineStr">
        <is>
          <t>Vastgesteld</t>
        </is>
      </c>
      <c r="E828" s="92" t="n">
        <v>2026</v>
      </c>
      <c r="F828" s="92" t="inlineStr">
        <is>
          <t>Q3</t>
        </is>
      </c>
      <c r="G828" s="92" t="n">
        <v>0</v>
      </c>
      <c r="H828" s="108" t="n">
        <v>46295</v>
      </c>
      <c r="I828" s="92" t="n">
        <v>2026</v>
      </c>
      <c r="J828" s="92" t="inlineStr">
        <is>
          <t>G.900015.8.9090</t>
        </is>
      </c>
      <c r="K828" s="92" t="inlineStr">
        <is>
          <t>G.900015</t>
        </is>
      </c>
      <c r="L828" s="92" t="inlineStr">
        <is>
          <t>Lindehaven, Parkzoom fase 2</t>
        </is>
      </c>
      <c r="M828" s="92" t="inlineStr">
        <is>
          <t>Opstal</t>
        </is>
      </c>
      <c r="N828" s="92" t="inlineStr">
        <is>
          <t>J</t>
        </is>
      </c>
      <c r="O828" s="92" t="inlineStr">
        <is>
          <t>Woningverkopen Q3</t>
        </is>
      </c>
      <c r="P828" s="109" t="n">
        <v>10</v>
      </c>
      <c r="Q828" s="92" t="inlineStr">
        <is>
          <t>aantal</t>
        </is>
      </c>
      <c r="R828" s="92" t="inlineStr">
        <is>
          <t>Synthetische snapshot; kwartalen zijn FY-verdeling, geen actuals</t>
        </is>
      </c>
      <c r="S828" s="15" t="str">
        <f>IF(J828="","",J828&amp;"|"&amp;E828&amp;"|"&amp;F828&amp;"|"&amp;I828&amp;"|"&amp;O828)</f>
        <v>G.900015.8.9090|2026|Q3|2026|Woningverkopen Q3</v>
      </c>
      <c r="T828" s="15">
        <f>IF(OR(S828="",D828&lt;&gt;"Vastgesteld"),"",_xlfn.MAXIFS($G$6:$G$5005,$S$6:$S$5005,S828,$D$6:$D$5005,"Vastgesteld"))</f>
        <v>0</v>
      </c>
      <c r="U828" s="15">
        <f>IF(T828="",0,IF(AND(G828=T828,COUNTIFS($S$6:S828,S828,$G$6:G828,G828,$D$6:D828,"Vastgesteld")=1),1,0))</f>
        <v>1</v>
      </c>
      <c r="V828" s="15">
        <f>IF(T828="",0,IF(AND(G828=T828,COUNTIFS($S$6:S828,S828,$G$6:G828,G828,$D$6:D828,"Vastgesteld")&gt;1),1,0))</f>
        <v>0</v>
      </c>
    </row>
    <row r="829">
      <c r="A829" s="92" t="inlineStr">
        <is>
          <t>HIST-2026-Q3</t>
        </is>
      </c>
      <c r="B829" s="92" t="inlineStr">
        <is>
          <t>RDFO_FICTIEVE_historie_en_mapping.xlsx</t>
        </is>
      </c>
      <c r="C829" s="108" t="n">
        <v>46324</v>
      </c>
      <c r="D829" s="92" t="inlineStr">
        <is>
          <t>Vastgesteld</t>
        </is>
      </c>
      <c r="E829" s="92" t="n">
        <v>2026</v>
      </c>
      <c r="F829" s="92" t="inlineStr">
        <is>
          <t>Q3</t>
        </is>
      </c>
      <c r="G829" s="92" t="n">
        <v>0</v>
      </c>
      <c r="H829" s="108" t="n">
        <v>46295</v>
      </c>
      <c r="I829" s="92" t="n">
        <v>2026</v>
      </c>
      <c r="J829" s="92" t="inlineStr">
        <is>
          <t>G.900015.8.9090</t>
        </is>
      </c>
      <c r="K829" s="92" t="inlineStr">
        <is>
          <t>G.900015</t>
        </is>
      </c>
      <c r="L829" s="92" t="inlineStr">
        <is>
          <t>Lindehaven, Parkzoom fase 2</t>
        </is>
      </c>
      <c r="M829" s="92" t="inlineStr">
        <is>
          <t>Opstal</t>
        </is>
      </c>
      <c r="N829" s="92" t="inlineStr">
        <is>
          <t>J</t>
        </is>
      </c>
      <c r="O829" s="92" t="inlineStr">
        <is>
          <t>Woningverkopen Q4</t>
        </is>
      </c>
      <c r="P829" s="109" t="n">
        <v>11</v>
      </c>
      <c r="Q829" s="92" t="inlineStr">
        <is>
          <t>aantal</t>
        </is>
      </c>
      <c r="R829" s="92" t="inlineStr">
        <is>
          <t>Synthetische snapshot; kwartalen zijn FY-verdeling, geen actuals</t>
        </is>
      </c>
      <c r="S829" s="15" t="str">
        <f>IF(J829="","",J829&amp;"|"&amp;E829&amp;"|"&amp;F829&amp;"|"&amp;I829&amp;"|"&amp;O829)</f>
        <v>G.900015.8.9090|2026|Q3|2026|Woningverkopen Q4</v>
      </c>
      <c r="T829" s="15">
        <f>IF(OR(S829="",D829&lt;&gt;"Vastgesteld"),"",_xlfn.MAXIFS($G$6:$G$5005,$S$6:$S$5005,S829,$D$6:$D$5005,"Vastgesteld"))</f>
        <v>0</v>
      </c>
      <c r="U829" s="15">
        <f>IF(T829="",0,IF(AND(G829=T829,COUNTIFS($S$6:S829,S829,$G$6:G829,G829,$D$6:D829,"Vastgesteld")=1),1,0))</f>
        <v>1</v>
      </c>
      <c r="V829" s="15">
        <f>IF(T829="",0,IF(AND(G829=T829,COUNTIFS($S$6:S829,S829,$G$6:G829,G829,$D$6:D829,"Vastgesteld")&gt;1),1,0))</f>
        <v>0</v>
      </c>
    </row>
    <row r="830">
      <c r="A830" s="92" t="inlineStr">
        <is>
          <t>HIST-2026-Q3</t>
        </is>
      </c>
      <c r="B830" s="92" t="inlineStr">
        <is>
          <t>RDFO_FICTIEVE_historie_en_mapping.xlsx</t>
        </is>
      </c>
      <c r="C830" s="108" t="n">
        <v>46324</v>
      </c>
      <c r="D830" s="92" t="inlineStr">
        <is>
          <t>Vastgesteld</t>
        </is>
      </c>
      <c r="E830" s="92" t="n">
        <v>2026</v>
      </c>
      <c r="F830" s="92" t="inlineStr">
        <is>
          <t>Q3</t>
        </is>
      </c>
      <c r="G830" s="92" t="n">
        <v>0</v>
      </c>
      <c r="H830" s="108" t="n">
        <v>46295</v>
      </c>
      <c r="I830" s="92" t="n">
        <v>2026</v>
      </c>
      <c r="J830" s="92" t="inlineStr">
        <is>
          <t>G.900015.8.9090</t>
        </is>
      </c>
      <c r="K830" s="92" t="inlineStr">
        <is>
          <t>G.900015</t>
        </is>
      </c>
      <c r="L830" s="92" t="inlineStr">
        <is>
          <t>Lindehaven, Parkzoom fase 2</t>
        </is>
      </c>
      <c r="M830" s="92" t="inlineStr">
        <is>
          <t>Opstal</t>
        </is>
      </c>
      <c r="N830" s="92" t="inlineStr">
        <is>
          <t>J</t>
        </is>
      </c>
      <c r="O830" s="92" t="inlineStr">
        <is>
          <t>Woningverkopen actual YTD</t>
        </is>
      </c>
      <c r="P830" s="109" t="n">
        <v>25</v>
      </c>
      <c r="Q830" s="92" t="inlineStr">
        <is>
          <t>aantal</t>
        </is>
      </c>
      <c r="R830" s="92" t="inlineStr">
        <is>
          <t>Synthetische snapshot; kwartalen zijn FY-verdeling, geen actuals</t>
        </is>
      </c>
      <c r="S830" s="15" t="str">
        <f>IF(J830="","",J830&amp;"|"&amp;E830&amp;"|"&amp;F830&amp;"|"&amp;I830&amp;"|"&amp;O830)</f>
        <v>G.900015.8.9090|2026|Q3|2026|Woningverkopen actual YTD</v>
      </c>
      <c r="T830" s="15">
        <f>IF(OR(S830="",D830&lt;&gt;"Vastgesteld"),"",_xlfn.MAXIFS($G$6:$G$5005,$S$6:$S$5005,S830,$D$6:$D$5005,"Vastgesteld"))</f>
        <v>0</v>
      </c>
      <c r="U830" s="15">
        <f>IF(T830="",0,IF(AND(G830=T830,COUNTIFS($S$6:S830,S830,$G$6:G830,G830,$D$6:D830,"Vastgesteld")=1),1,0))</f>
        <v>1</v>
      </c>
      <c r="V830" s="15">
        <f>IF(T830="",0,IF(AND(G830=T830,COUNTIFS($S$6:S830,S830,$G$6:G830,G830,$D$6:D830,"Vastgesteld")&gt;1),1,0))</f>
        <v>0</v>
      </c>
    </row>
    <row r="831">
      <c r="A831" s="92" t="inlineStr">
        <is>
          <t>HIST-2026-Q3</t>
        </is>
      </c>
      <c r="B831" s="92" t="inlineStr">
        <is>
          <t>RDFO_FICTIEVE_historie_en_mapping.xlsx</t>
        </is>
      </c>
      <c r="C831" s="108" t="n">
        <v>46324</v>
      </c>
      <c r="D831" s="92" t="inlineStr">
        <is>
          <t>Vastgesteld</t>
        </is>
      </c>
      <c r="E831" s="92" t="n">
        <v>2026</v>
      </c>
      <c r="F831" s="92" t="inlineStr">
        <is>
          <t>Q3</t>
        </is>
      </c>
      <c r="G831" s="92" t="n">
        <v>0</v>
      </c>
      <c r="H831" s="108" t="n">
        <v>46295</v>
      </c>
      <c r="I831" s="92" t="n">
        <v>2026</v>
      </c>
      <c r="J831" s="92" t="inlineStr">
        <is>
          <t>G.900016.8.9090</t>
        </is>
      </c>
      <c r="K831" s="92" t="inlineStr">
        <is>
          <t>G.900016</t>
        </is>
      </c>
      <c r="L831" s="92" t="inlineStr">
        <is>
          <t>Duinwaard, De Lantaarn</t>
        </is>
      </c>
      <c r="M831" s="92" t="inlineStr">
        <is>
          <t>Opstal</t>
        </is>
      </c>
      <c r="N831" s="92" t="inlineStr">
        <is>
          <t>J</t>
        </is>
      </c>
      <c r="O831" s="92" t="inlineStr">
        <is>
          <t>Woningverkopen FY</t>
        </is>
      </c>
      <c r="P831" s="109" t="n">
        <v>13</v>
      </c>
      <c r="Q831" s="92" t="inlineStr">
        <is>
          <t>aantal</t>
        </is>
      </c>
      <c r="R831" s="92" t="inlineStr">
        <is>
          <t>Synthetische snapshot; kwartalen zijn FY-verdeling, geen actuals</t>
        </is>
      </c>
      <c r="S831" s="15" t="str">
        <f>IF(J831="","",J831&amp;"|"&amp;E831&amp;"|"&amp;F831&amp;"|"&amp;I831&amp;"|"&amp;O831)</f>
        <v>G.900016.8.9090|2026|Q3|2026|Woningverkopen FY</v>
      </c>
      <c r="T831" s="15">
        <f>IF(OR(S831="",D831&lt;&gt;"Vastgesteld"),"",_xlfn.MAXIFS($G$6:$G$5005,$S$6:$S$5005,S831,$D$6:$D$5005,"Vastgesteld"))</f>
        <v>0</v>
      </c>
      <c r="U831" s="15">
        <f>IF(T831="",0,IF(AND(G831=T831,COUNTIFS($S$6:S831,S831,$G$6:G831,G831,$D$6:D831,"Vastgesteld")=1),1,0))</f>
        <v>1</v>
      </c>
      <c r="V831" s="15">
        <f>IF(T831="",0,IF(AND(G831=T831,COUNTIFS($S$6:S831,S831,$G$6:G831,G831,$D$6:D831,"Vastgesteld")&gt;1),1,0))</f>
        <v>0</v>
      </c>
    </row>
    <row r="832">
      <c r="A832" s="92" t="inlineStr">
        <is>
          <t>HIST-2026-Q3</t>
        </is>
      </c>
      <c r="B832" s="92" t="inlineStr">
        <is>
          <t>RDFO_FICTIEVE_historie_en_mapping.xlsx</t>
        </is>
      </c>
      <c r="C832" s="108" t="n">
        <v>46324</v>
      </c>
      <c r="D832" s="92" t="inlineStr">
        <is>
          <t>Vastgesteld</t>
        </is>
      </c>
      <c r="E832" s="92" t="n">
        <v>2026</v>
      </c>
      <c r="F832" s="92" t="inlineStr">
        <is>
          <t>Q3</t>
        </is>
      </c>
      <c r="G832" s="92" t="n">
        <v>0</v>
      </c>
      <c r="H832" s="108" t="n">
        <v>46295</v>
      </c>
      <c r="I832" s="92" t="n">
        <v>2026</v>
      </c>
      <c r="J832" s="92" t="inlineStr">
        <is>
          <t>G.900016.8.9090</t>
        </is>
      </c>
      <c r="K832" s="92" t="inlineStr">
        <is>
          <t>G.900016</t>
        </is>
      </c>
      <c r="L832" s="92" t="inlineStr">
        <is>
          <t>Duinwaard, De Lantaarn</t>
        </is>
      </c>
      <c r="M832" s="92" t="inlineStr">
        <is>
          <t>Opstal</t>
        </is>
      </c>
      <c r="N832" s="92" t="inlineStr">
        <is>
          <t>J</t>
        </is>
      </c>
      <c r="O832" s="92" t="inlineStr">
        <is>
          <t>Woningen verkocht t/m vorig jaar</t>
        </is>
      </c>
      <c r="P832" s="109" t="n">
        <v>0</v>
      </c>
      <c r="Q832" s="92" t="inlineStr">
        <is>
          <t>aantal</t>
        </is>
      </c>
      <c r="R832" s="92" t="inlineStr">
        <is>
          <t>Synthetische snapshot; kwartalen zijn FY-verdeling, geen actuals</t>
        </is>
      </c>
      <c r="S832" s="15" t="str">
        <f>IF(J832="","",J832&amp;"|"&amp;E832&amp;"|"&amp;F832&amp;"|"&amp;I832&amp;"|"&amp;O832)</f>
        <v>G.900016.8.9090|2026|Q3|2026|Woningen verkocht t/m vorig jaar</v>
      </c>
      <c r="T832" s="15">
        <f>IF(OR(S832="",D832&lt;&gt;"Vastgesteld"),"",_xlfn.MAXIFS($G$6:$G$5005,$S$6:$S$5005,S832,$D$6:$D$5005,"Vastgesteld"))</f>
        <v>0</v>
      </c>
      <c r="U832" s="15">
        <f>IF(T832="",0,IF(AND(G832=T832,COUNTIFS($S$6:S832,S832,$G$6:G832,G832,$D$6:D832,"Vastgesteld")=1),1,0))</f>
        <v>1</v>
      </c>
      <c r="V832" s="15">
        <f>IF(T832="",0,IF(AND(G832=T832,COUNTIFS($S$6:S832,S832,$G$6:G832,G832,$D$6:D832,"Vastgesteld")&gt;1),1,0))</f>
        <v>0</v>
      </c>
    </row>
    <row r="833">
      <c r="A833" s="92" t="inlineStr">
        <is>
          <t>HIST-2026-Q3</t>
        </is>
      </c>
      <c r="B833" s="92" t="inlineStr">
        <is>
          <t>RDFO_FICTIEVE_historie_en_mapping.xlsx</t>
        </is>
      </c>
      <c r="C833" s="108" t="n">
        <v>46324</v>
      </c>
      <c r="D833" s="92" t="inlineStr">
        <is>
          <t>Vastgesteld</t>
        </is>
      </c>
      <c r="E833" s="92" t="n">
        <v>2026</v>
      </c>
      <c r="F833" s="92" t="inlineStr">
        <is>
          <t>Q3</t>
        </is>
      </c>
      <c r="G833" s="92" t="n">
        <v>0</v>
      </c>
      <c r="H833" s="108" t="n">
        <v>46295</v>
      </c>
      <c r="I833" s="92" t="n">
        <v>2026</v>
      </c>
      <c r="J833" s="92" t="inlineStr">
        <is>
          <t>G.900016.8.9090</t>
        </is>
      </c>
      <c r="K833" s="92" t="inlineStr">
        <is>
          <t>G.900016</t>
        </is>
      </c>
      <c r="L833" s="92" t="inlineStr">
        <is>
          <t>Duinwaard, De Lantaarn</t>
        </is>
      </c>
      <c r="M833" s="92" t="inlineStr">
        <is>
          <t>Opstal</t>
        </is>
      </c>
      <c r="N833" s="92" t="inlineStr">
        <is>
          <t>J</t>
        </is>
      </c>
      <c r="O833" s="92" t="inlineStr">
        <is>
          <t>Woningverkopen Q1</t>
        </is>
      </c>
      <c r="P833" s="109" t="n">
        <v>1</v>
      </c>
      <c r="Q833" s="92" t="inlineStr">
        <is>
          <t>aantal</t>
        </is>
      </c>
      <c r="R833" s="92" t="inlineStr">
        <is>
          <t>Synthetische snapshot; kwartalen zijn FY-verdeling, geen actuals</t>
        </is>
      </c>
      <c r="S833" s="15" t="str">
        <f>IF(J833="","",J833&amp;"|"&amp;E833&amp;"|"&amp;F833&amp;"|"&amp;I833&amp;"|"&amp;O833)</f>
        <v>G.900016.8.9090|2026|Q3|2026|Woningverkopen Q1</v>
      </c>
      <c r="T833" s="15">
        <f>IF(OR(S833="",D833&lt;&gt;"Vastgesteld"),"",_xlfn.MAXIFS($G$6:$G$5005,$S$6:$S$5005,S833,$D$6:$D$5005,"Vastgesteld"))</f>
        <v>0</v>
      </c>
      <c r="U833" s="15">
        <f>IF(T833="",0,IF(AND(G833=T833,COUNTIFS($S$6:S833,S833,$G$6:G833,G833,$D$6:D833,"Vastgesteld")=1),1,0))</f>
        <v>1</v>
      </c>
      <c r="V833" s="15">
        <f>IF(T833="",0,IF(AND(G833=T833,COUNTIFS($S$6:S833,S833,$G$6:G833,G833,$D$6:D833,"Vastgesteld")&gt;1),1,0))</f>
        <v>0</v>
      </c>
    </row>
    <row r="834">
      <c r="A834" s="92" t="inlineStr">
        <is>
          <t>HIST-2026-Q3</t>
        </is>
      </c>
      <c r="B834" s="92" t="inlineStr">
        <is>
          <t>RDFO_FICTIEVE_historie_en_mapping.xlsx</t>
        </is>
      </c>
      <c r="C834" s="108" t="n">
        <v>46324</v>
      </c>
      <c r="D834" s="92" t="inlineStr">
        <is>
          <t>Vastgesteld</t>
        </is>
      </c>
      <c r="E834" s="92" t="n">
        <v>2026</v>
      </c>
      <c r="F834" s="92" t="inlineStr">
        <is>
          <t>Q3</t>
        </is>
      </c>
      <c r="G834" s="92" t="n">
        <v>0</v>
      </c>
      <c r="H834" s="108" t="n">
        <v>46295</v>
      </c>
      <c r="I834" s="92" t="n">
        <v>2026</v>
      </c>
      <c r="J834" s="92" t="inlineStr">
        <is>
          <t>G.900016.8.9090</t>
        </is>
      </c>
      <c r="K834" s="92" t="inlineStr">
        <is>
          <t>G.900016</t>
        </is>
      </c>
      <c r="L834" s="92" t="inlineStr">
        <is>
          <t>Duinwaard, De Lantaarn</t>
        </is>
      </c>
      <c r="M834" s="92" t="inlineStr">
        <is>
          <t>Opstal</t>
        </is>
      </c>
      <c r="N834" s="92" t="inlineStr">
        <is>
          <t>J</t>
        </is>
      </c>
      <c r="O834" s="92" t="inlineStr">
        <is>
          <t>Woningverkopen Q2</t>
        </is>
      </c>
      <c r="P834" s="109" t="n">
        <v>3</v>
      </c>
      <c r="Q834" s="92" t="inlineStr">
        <is>
          <t>aantal</t>
        </is>
      </c>
      <c r="R834" s="92" t="inlineStr">
        <is>
          <t>Synthetische snapshot; kwartalen zijn FY-verdeling, geen actuals</t>
        </is>
      </c>
      <c r="S834" s="15" t="str">
        <f>IF(J834="","",J834&amp;"|"&amp;E834&amp;"|"&amp;F834&amp;"|"&amp;I834&amp;"|"&amp;O834)</f>
        <v>G.900016.8.9090|2026|Q3|2026|Woningverkopen Q2</v>
      </c>
      <c r="T834" s="15">
        <f>IF(OR(S834="",D834&lt;&gt;"Vastgesteld"),"",_xlfn.MAXIFS($G$6:$G$5005,$S$6:$S$5005,S834,$D$6:$D$5005,"Vastgesteld"))</f>
        <v>0</v>
      </c>
      <c r="U834" s="15">
        <f>IF(T834="",0,IF(AND(G834=T834,COUNTIFS($S$6:S834,S834,$G$6:G834,G834,$D$6:D834,"Vastgesteld")=1),1,0))</f>
        <v>1</v>
      </c>
      <c r="V834" s="15">
        <f>IF(T834="",0,IF(AND(G834=T834,COUNTIFS($S$6:S834,S834,$G$6:G834,G834,$D$6:D834,"Vastgesteld")&gt;1),1,0))</f>
        <v>0</v>
      </c>
    </row>
    <row r="835">
      <c r="A835" s="92" t="inlineStr">
        <is>
          <t>HIST-2026-Q3</t>
        </is>
      </c>
      <c r="B835" s="92" t="inlineStr">
        <is>
          <t>RDFO_FICTIEVE_historie_en_mapping.xlsx</t>
        </is>
      </c>
      <c r="C835" s="108" t="n">
        <v>46324</v>
      </c>
      <c r="D835" s="92" t="inlineStr">
        <is>
          <t>Vastgesteld</t>
        </is>
      </c>
      <c r="E835" s="92" t="n">
        <v>2026</v>
      </c>
      <c r="F835" s="92" t="inlineStr">
        <is>
          <t>Q3</t>
        </is>
      </c>
      <c r="G835" s="92" t="n">
        <v>0</v>
      </c>
      <c r="H835" s="108" t="n">
        <v>46295</v>
      </c>
      <c r="I835" s="92" t="n">
        <v>2026</v>
      </c>
      <c r="J835" s="92" t="inlineStr">
        <is>
          <t>G.900016.8.9090</t>
        </is>
      </c>
      <c r="K835" s="92" t="inlineStr">
        <is>
          <t>G.900016</t>
        </is>
      </c>
      <c r="L835" s="92" t="inlineStr">
        <is>
          <t>Duinwaard, De Lantaarn</t>
        </is>
      </c>
      <c r="M835" s="92" t="inlineStr">
        <is>
          <t>Opstal</t>
        </is>
      </c>
      <c r="N835" s="92" t="inlineStr">
        <is>
          <t>J</t>
        </is>
      </c>
      <c r="O835" s="92" t="inlineStr">
        <is>
          <t>Woningverkopen Q3</t>
        </is>
      </c>
      <c r="P835" s="109" t="n">
        <v>3</v>
      </c>
      <c r="Q835" s="92" t="inlineStr">
        <is>
          <t>aantal</t>
        </is>
      </c>
      <c r="R835" s="92" t="inlineStr">
        <is>
          <t>Synthetische snapshot; kwartalen zijn FY-verdeling, geen actuals</t>
        </is>
      </c>
      <c r="S835" s="15" t="str">
        <f>IF(J835="","",J835&amp;"|"&amp;E835&amp;"|"&amp;F835&amp;"|"&amp;I835&amp;"|"&amp;O835)</f>
        <v>G.900016.8.9090|2026|Q3|2026|Woningverkopen Q3</v>
      </c>
      <c r="T835" s="15">
        <f>IF(OR(S835="",D835&lt;&gt;"Vastgesteld"),"",_xlfn.MAXIFS($G$6:$G$5005,$S$6:$S$5005,S835,$D$6:$D$5005,"Vastgesteld"))</f>
        <v>0</v>
      </c>
      <c r="U835" s="15">
        <f>IF(T835="",0,IF(AND(G835=T835,COUNTIFS($S$6:S835,S835,$G$6:G835,G835,$D$6:D835,"Vastgesteld")=1),1,0))</f>
        <v>1</v>
      </c>
      <c r="V835" s="15">
        <f>IF(T835="",0,IF(AND(G835=T835,COUNTIFS($S$6:S835,S835,$G$6:G835,G835,$D$6:D835,"Vastgesteld")&gt;1),1,0))</f>
        <v>0</v>
      </c>
    </row>
    <row r="836">
      <c r="A836" s="92" t="inlineStr">
        <is>
          <t>HIST-2026-Q3</t>
        </is>
      </c>
      <c r="B836" s="92" t="inlineStr">
        <is>
          <t>RDFO_FICTIEVE_historie_en_mapping.xlsx</t>
        </is>
      </c>
      <c r="C836" s="108" t="n">
        <v>46324</v>
      </c>
      <c r="D836" s="92" t="inlineStr">
        <is>
          <t>Vastgesteld</t>
        </is>
      </c>
      <c r="E836" s="92" t="n">
        <v>2026</v>
      </c>
      <c r="F836" s="92" t="inlineStr">
        <is>
          <t>Q3</t>
        </is>
      </c>
      <c r="G836" s="92" t="n">
        <v>0</v>
      </c>
      <c r="H836" s="108" t="n">
        <v>46295</v>
      </c>
      <c r="I836" s="92" t="n">
        <v>2026</v>
      </c>
      <c r="J836" s="92" t="inlineStr">
        <is>
          <t>G.900016.8.9090</t>
        </is>
      </c>
      <c r="K836" s="92" t="inlineStr">
        <is>
          <t>G.900016</t>
        </is>
      </c>
      <c r="L836" s="92" t="inlineStr">
        <is>
          <t>Duinwaard, De Lantaarn</t>
        </is>
      </c>
      <c r="M836" s="92" t="inlineStr">
        <is>
          <t>Opstal</t>
        </is>
      </c>
      <c r="N836" s="92" t="inlineStr">
        <is>
          <t>J</t>
        </is>
      </c>
      <c r="O836" s="92" t="inlineStr">
        <is>
          <t>Woningverkopen Q4</t>
        </is>
      </c>
      <c r="P836" s="109" t="n">
        <v>6</v>
      </c>
      <c r="Q836" s="92" t="inlineStr">
        <is>
          <t>aantal</t>
        </is>
      </c>
      <c r="R836" s="92" t="inlineStr">
        <is>
          <t>Synthetische snapshot; kwartalen zijn FY-verdeling, geen actuals</t>
        </is>
      </c>
      <c r="S836" s="15" t="str">
        <f>IF(J836="","",J836&amp;"|"&amp;E836&amp;"|"&amp;F836&amp;"|"&amp;I836&amp;"|"&amp;O836)</f>
        <v>G.900016.8.9090|2026|Q3|2026|Woningverkopen Q4</v>
      </c>
      <c r="T836" s="15">
        <f>IF(OR(S836="",D836&lt;&gt;"Vastgesteld"),"",_xlfn.MAXIFS($G$6:$G$5005,$S$6:$S$5005,S836,$D$6:$D$5005,"Vastgesteld"))</f>
        <v>0</v>
      </c>
      <c r="U836" s="15">
        <f>IF(T836="",0,IF(AND(G836=T836,COUNTIFS($S$6:S836,S836,$G$6:G836,G836,$D$6:D836,"Vastgesteld")=1),1,0))</f>
        <v>1</v>
      </c>
      <c r="V836" s="15">
        <f>IF(T836="",0,IF(AND(G836=T836,COUNTIFS($S$6:S836,S836,$G$6:G836,G836,$D$6:D836,"Vastgesteld")&gt;1),1,0))</f>
        <v>0</v>
      </c>
    </row>
    <row r="837">
      <c r="A837" s="92" t="inlineStr">
        <is>
          <t>HIST-2026-Q3</t>
        </is>
      </c>
      <c r="B837" s="92" t="inlineStr">
        <is>
          <t>RDFO_FICTIEVE_historie_en_mapping.xlsx</t>
        </is>
      </c>
      <c r="C837" s="108" t="n">
        <v>46324</v>
      </c>
      <c r="D837" s="92" t="inlineStr">
        <is>
          <t>Vastgesteld</t>
        </is>
      </c>
      <c r="E837" s="92" t="n">
        <v>2026</v>
      </c>
      <c r="F837" s="92" t="inlineStr">
        <is>
          <t>Q3</t>
        </is>
      </c>
      <c r="G837" s="92" t="n">
        <v>0</v>
      </c>
      <c r="H837" s="108" t="n">
        <v>46295</v>
      </c>
      <c r="I837" s="92" t="n">
        <v>2026</v>
      </c>
      <c r="J837" s="92" t="inlineStr">
        <is>
          <t>G.900016.8.9090</t>
        </is>
      </c>
      <c r="K837" s="92" t="inlineStr">
        <is>
          <t>G.900016</t>
        </is>
      </c>
      <c r="L837" s="92" t="inlineStr">
        <is>
          <t>Duinwaard, De Lantaarn</t>
        </is>
      </c>
      <c r="M837" s="92" t="inlineStr">
        <is>
          <t>Opstal</t>
        </is>
      </c>
      <c r="N837" s="92" t="inlineStr">
        <is>
          <t>J</t>
        </is>
      </c>
      <c r="O837" s="92" t="inlineStr">
        <is>
          <t>Woningverkopen actual YTD</t>
        </is>
      </c>
      <c r="P837" s="109" t="n">
        <v>7</v>
      </c>
      <c r="Q837" s="92" t="inlineStr">
        <is>
          <t>aantal</t>
        </is>
      </c>
      <c r="R837" s="92" t="inlineStr">
        <is>
          <t>Synthetische snapshot; kwartalen zijn FY-verdeling, geen actuals</t>
        </is>
      </c>
      <c r="S837" s="15" t="str">
        <f>IF(J837="","",J837&amp;"|"&amp;E837&amp;"|"&amp;F837&amp;"|"&amp;I837&amp;"|"&amp;O837)</f>
        <v>G.900016.8.9090|2026|Q3|2026|Woningverkopen actual YTD</v>
      </c>
      <c r="T837" s="15">
        <f>IF(OR(S837="",D837&lt;&gt;"Vastgesteld"),"",_xlfn.MAXIFS($G$6:$G$5005,$S$6:$S$5005,S837,$D$6:$D$5005,"Vastgesteld"))</f>
        <v>0</v>
      </c>
      <c r="U837" s="15">
        <f>IF(T837="",0,IF(AND(G837=T837,COUNTIFS($S$6:S837,S837,$G$6:G837,G837,$D$6:D837,"Vastgesteld")=1),1,0))</f>
        <v>1</v>
      </c>
      <c r="V837" s="15">
        <f>IF(T837="",0,IF(AND(G837=T837,COUNTIFS($S$6:S837,S837,$G$6:G837,G837,$D$6:D837,"Vastgesteld")&gt;1),1,0))</f>
        <v>0</v>
      </c>
    </row>
    <row r="838">
      <c r="A838" s="92" t="inlineStr">
        <is>
          <t>HIST-2026-Q3</t>
        </is>
      </c>
      <c r="B838" s="92" t="inlineStr">
        <is>
          <t>RDFO_FICTIEVE_historie_en_mapping.xlsx</t>
        </is>
      </c>
      <c r="C838" s="108" t="n">
        <v>46324</v>
      </c>
      <c r="D838" s="92" t="inlineStr">
        <is>
          <t>Vastgesteld</t>
        </is>
      </c>
      <c r="E838" s="92" t="n">
        <v>2026</v>
      </c>
      <c r="F838" s="92" t="inlineStr">
        <is>
          <t>Q3</t>
        </is>
      </c>
      <c r="G838" s="92" t="n">
        <v>0</v>
      </c>
      <c r="H838" s="108" t="n">
        <v>46295</v>
      </c>
      <c r="I838" s="92" t="n">
        <v>2026</v>
      </c>
      <c r="J838" s="92" t="inlineStr">
        <is>
          <t>G.900017.8.9090</t>
        </is>
      </c>
      <c r="K838" s="92" t="inlineStr">
        <is>
          <t>G.900017</t>
        </is>
      </c>
      <c r="L838" s="92" t="inlineStr">
        <is>
          <t>Veldendam, Spoorpark</t>
        </is>
      </c>
      <c r="M838" s="92" t="inlineStr">
        <is>
          <t>Opstal</t>
        </is>
      </c>
      <c r="N838" s="92" t="inlineStr">
        <is>
          <t>J</t>
        </is>
      </c>
      <c r="O838" s="92" t="inlineStr">
        <is>
          <t>Woningverkopen FY</t>
        </is>
      </c>
      <c r="P838" s="109" t="n">
        <v>28</v>
      </c>
      <c r="Q838" s="92" t="inlineStr">
        <is>
          <t>aantal</t>
        </is>
      </c>
      <c r="R838" s="92" t="inlineStr">
        <is>
          <t>Synthetische snapshot; kwartalen zijn FY-verdeling, geen actuals</t>
        </is>
      </c>
      <c r="S838" s="15" t="str">
        <f>IF(J838="","",J838&amp;"|"&amp;E838&amp;"|"&amp;F838&amp;"|"&amp;I838&amp;"|"&amp;O838)</f>
        <v>G.900017.8.9090|2026|Q3|2026|Woningverkopen FY</v>
      </c>
      <c r="T838" s="15">
        <f>IF(OR(S838="",D838&lt;&gt;"Vastgesteld"),"",_xlfn.MAXIFS($G$6:$G$5005,$S$6:$S$5005,S838,$D$6:$D$5005,"Vastgesteld"))</f>
        <v>0</v>
      </c>
      <c r="U838" s="15">
        <f>IF(T838="",0,IF(AND(G838=T838,COUNTIFS($S$6:S838,S838,$G$6:G838,G838,$D$6:D838,"Vastgesteld")=1),1,0))</f>
        <v>1</v>
      </c>
      <c r="V838" s="15">
        <f>IF(T838="",0,IF(AND(G838=T838,COUNTIFS($S$6:S838,S838,$G$6:G838,G838,$D$6:D838,"Vastgesteld")&gt;1),1,0))</f>
        <v>0</v>
      </c>
    </row>
    <row r="839">
      <c r="A839" s="92" t="inlineStr">
        <is>
          <t>HIST-2026-Q3</t>
        </is>
      </c>
      <c r="B839" s="92" t="inlineStr">
        <is>
          <t>RDFO_FICTIEVE_historie_en_mapping.xlsx</t>
        </is>
      </c>
      <c r="C839" s="108" t="n">
        <v>46324</v>
      </c>
      <c r="D839" s="92" t="inlineStr">
        <is>
          <t>Vastgesteld</t>
        </is>
      </c>
      <c r="E839" s="92" t="n">
        <v>2026</v>
      </c>
      <c r="F839" s="92" t="inlineStr">
        <is>
          <t>Q3</t>
        </is>
      </c>
      <c r="G839" s="92" t="n">
        <v>0</v>
      </c>
      <c r="H839" s="108" t="n">
        <v>46295</v>
      </c>
      <c r="I839" s="92" t="n">
        <v>2026</v>
      </c>
      <c r="J839" s="92" t="inlineStr">
        <is>
          <t>G.900017.8.9090</t>
        </is>
      </c>
      <c r="K839" s="92" t="inlineStr">
        <is>
          <t>G.900017</t>
        </is>
      </c>
      <c r="L839" s="92" t="inlineStr">
        <is>
          <t>Veldendam, Spoorpark</t>
        </is>
      </c>
      <c r="M839" s="92" t="inlineStr">
        <is>
          <t>Opstal</t>
        </is>
      </c>
      <c r="N839" s="92" t="inlineStr">
        <is>
          <t>J</t>
        </is>
      </c>
      <c r="O839" s="92" t="inlineStr">
        <is>
          <t>Woningen verkocht t/m vorig jaar</t>
        </is>
      </c>
      <c r="P839" s="109" t="n">
        <v>0</v>
      </c>
      <c r="Q839" s="92" t="inlineStr">
        <is>
          <t>aantal</t>
        </is>
      </c>
      <c r="R839" s="92" t="inlineStr">
        <is>
          <t>Synthetische snapshot; kwartalen zijn FY-verdeling, geen actuals</t>
        </is>
      </c>
      <c r="S839" s="15" t="str">
        <f>IF(J839="","",J839&amp;"|"&amp;E839&amp;"|"&amp;F839&amp;"|"&amp;I839&amp;"|"&amp;O839)</f>
        <v>G.900017.8.9090|2026|Q3|2026|Woningen verkocht t/m vorig jaar</v>
      </c>
      <c r="T839" s="15">
        <f>IF(OR(S839="",D839&lt;&gt;"Vastgesteld"),"",_xlfn.MAXIFS($G$6:$G$5005,$S$6:$S$5005,S839,$D$6:$D$5005,"Vastgesteld"))</f>
        <v>0</v>
      </c>
      <c r="U839" s="15">
        <f>IF(T839="",0,IF(AND(G839=T839,COUNTIFS($S$6:S839,S839,$G$6:G839,G839,$D$6:D839,"Vastgesteld")=1),1,0))</f>
        <v>1</v>
      </c>
      <c r="V839" s="15">
        <f>IF(T839="",0,IF(AND(G839=T839,COUNTIFS($S$6:S839,S839,$G$6:G839,G839,$D$6:D839,"Vastgesteld")&gt;1),1,0))</f>
        <v>0</v>
      </c>
    </row>
    <row r="840">
      <c r="A840" s="92" t="inlineStr">
        <is>
          <t>HIST-2026-Q3</t>
        </is>
      </c>
      <c r="B840" s="92" t="inlineStr">
        <is>
          <t>RDFO_FICTIEVE_historie_en_mapping.xlsx</t>
        </is>
      </c>
      <c r="C840" s="108" t="n">
        <v>46324</v>
      </c>
      <c r="D840" s="92" t="inlineStr">
        <is>
          <t>Vastgesteld</t>
        </is>
      </c>
      <c r="E840" s="92" t="n">
        <v>2026</v>
      </c>
      <c r="F840" s="92" t="inlineStr">
        <is>
          <t>Q3</t>
        </is>
      </c>
      <c r="G840" s="92" t="n">
        <v>0</v>
      </c>
      <c r="H840" s="108" t="n">
        <v>46295</v>
      </c>
      <c r="I840" s="92" t="n">
        <v>2026</v>
      </c>
      <c r="J840" s="92" t="inlineStr">
        <is>
          <t>G.900017.8.9090</t>
        </is>
      </c>
      <c r="K840" s="92" t="inlineStr">
        <is>
          <t>G.900017</t>
        </is>
      </c>
      <c r="L840" s="92" t="inlineStr">
        <is>
          <t>Veldendam, Spoorpark</t>
        </is>
      </c>
      <c r="M840" s="92" t="inlineStr">
        <is>
          <t>Opstal</t>
        </is>
      </c>
      <c r="N840" s="92" t="inlineStr">
        <is>
          <t>J</t>
        </is>
      </c>
      <c r="O840" s="92" t="inlineStr">
        <is>
          <t>Woningverkopen Q1</t>
        </is>
      </c>
      <c r="P840" s="109" t="n">
        <v>4</v>
      </c>
      <c r="Q840" s="92" t="inlineStr">
        <is>
          <t>aantal</t>
        </is>
      </c>
      <c r="R840" s="92" t="inlineStr">
        <is>
          <t>Synthetische snapshot; kwartalen zijn FY-verdeling, geen actuals</t>
        </is>
      </c>
      <c r="S840" s="15" t="str">
        <f>IF(J840="","",J840&amp;"|"&amp;E840&amp;"|"&amp;F840&amp;"|"&amp;I840&amp;"|"&amp;O840)</f>
        <v>G.900017.8.9090|2026|Q3|2026|Woningverkopen Q1</v>
      </c>
      <c r="T840" s="15">
        <f>IF(OR(S840="",D840&lt;&gt;"Vastgesteld"),"",_xlfn.MAXIFS($G$6:$G$5005,$S$6:$S$5005,S840,$D$6:$D$5005,"Vastgesteld"))</f>
        <v>0</v>
      </c>
      <c r="U840" s="15">
        <f>IF(T840="",0,IF(AND(G840=T840,COUNTIFS($S$6:S840,S840,$G$6:G840,G840,$D$6:D840,"Vastgesteld")=1),1,0))</f>
        <v>1</v>
      </c>
      <c r="V840" s="15">
        <f>IF(T840="",0,IF(AND(G840=T840,COUNTIFS($S$6:S840,S840,$G$6:G840,G840,$D$6:D840,"Vastgesteld")&gt;1),1,0))</f>
        <v>0</v>
      </c>
    </row>
    <row r="841">
      <c r="A841" s="92" t="inlineStr">
        <is>
          <t>HIST-2026-Q3</t>
        </is>
      </c>
      <c r="B841" s="92" t="inlineStr">
        <is>
          <t>RDFO_FICTIEVE_historie_en_mapping.xlsx</t>
        </is>
      </c>
      <c r="C841" s="108" t="n">
        <v>46324</v>
      </c>
      <c r="D841" s="92" t="inlineStr">
        <is>
          <t>Vastgesteld</t>
        </is>
      </c>
      <c r="E841" s="92" t="n">
        <v>2026</v>
      </c>
      <c r="F841" s="92" t="inlineStr">
        <is>
          <t>Q3</t>
        </is>
      </c>
      <c r="G841" s="92" t="n">
        <v>0</v>
      </c>
      <c r="H841" s="108" t="n">
        <v>46295</v>
      </c>
      <c r="I841" s="92" t="n">
        <v>2026</v>
      </c>
      <c r="J841" s="92" t="inlineStr">
        <is>
          <t>G.900017.8.9090</t>
        </is>
      </c>
      <c r="K841" s="92" t="inlineStr">
        <is>
          <t>G.900017</t>
        </is>
      </c>
      <c r="L841" s="92" t="inlineStr">
        <is>
          <t>Veldendam, Spoorpark</t>
        </is>
      </c>
      <c r="M841" s="92" t="inlineStr">
        <is>
          <t>Opstal</t>
        </is>
      </c>
      <c r="N841" s="92" t="inlineStr">
        <is>
          <t>J</t>
        </is>
      </c>
      <c r="O841" s="92" t="inlineStr">
        <is>
          <t>Woningverkopen Q2</t>
        </is>
      </c>
      <c r="P841" s="109" t="n">
        <v>7</v>
      </c>
      <c r="Q841" s="92" t="inlineStr">
        <is>
          <t>aantal</t>
        </is>
      </c>
      <c r="R841" s="92" t="inlineStr">
        <is>
          <t>Synthetische snapshot; kwartalen zijn FY-verdeling, geen actuals</t>
        </is>
      </c>
      <c r="S841" s="15" t="str">
        <f>IF(J841="","",J841&amp;"|"&amp;E841&amp;"|"&amp;F841&amp;"|"&amp;I841&amp;"|"&amp;O841)</f>
        <v>G.900017.8.9090|2026|Q3|2026|Woningverkopen Q2</v>
      </c>
      <c r="T841" s="15">
        <f>IF(OR(S841="",D841&lt;&gt;"Vastgesteld"),"",_xlfn.MAXIFS($G$6:$G$5005,$S$6:$S$5005,S841,$D$6:$D$5005,"Vastgesteld"))</f>
        <v>0</v>
      </c>
      <c r="U841" s="15">
        <f>IF(T841="",0,IF(AND(G841=T841,COUNTIFS($S$6:S841,S841,$G$6:G841,G841,$D$6:D841,"Vastgesteld")=1),1,0))</f>
        <v>1</v>
      </c>
      <c r="V841" s="15">
        <f>IF(T841="",0,IF(AND(G841=T841,COUNTIFS($S$6:S841,S841,$G$6:G841,G841,$D$6:D841,"Vastgesteld")&gt;1),1,0))</f>
        <v>0</v>
      </c>
    </row>
    <row r="842">
      <c r="A842" s="92" t="inlineStr">
        <is>
          <t>HIST-2026-Q3</t>
        </is>
      </c>
      <c r="B842" s="92" t="inlineStr">
        <is>
          <t>RDFO_FICTIEVE_historie_en_mapping.xlsx</t>
        </is>
      </c>
      <c r="C842" s="108" t="n">
        <v>46324</v>
      </c>
      <c r="D842" s="92" t="inlineStr">
        <is>
          <t>Vastgesteld</t>
        </is>
      </c>
      <c r="E842" s="92" t="n">
        <v>2026</v>
      </c>
      <c r="F842" s="92" t="inlineStr">
        <is>
          <t>Q3</t>
        </is>
      </c>
      <c r="G842" s="92" t="n">
        <v>0</v>
      </c>
      <c r="H842" s="108" t="n">
        <v>46295</v>
      </c>
      <c r="I842" s="92" t="n">
        <v>2026</v>
      </c>
      <c r="J842" s="92" t="inlineStr">
        <is>
          <t>G.900017.8.9090</t>
        </is>
      </c>
      <c r="K842" s="92" t="inlineStr">
        <is>
          <t>G.900017</t>
        </is>
      </c>
      <c r="L842" s="92" t="inlineStr">
        <is>
          <t>Veldendam, Spoorpark</t>
        </is>
      </c>
      <c r="M842" s="92" t="inlineStr">
        <is>
          <t>Opstal</t>
        </is>
      </c>
      <c r="N842" s="92" t="inlineStr">
        <is>
          <t>J</t>
        </is>
      </c>
      <c r="O842" s="92" t="inlineStr">
        <is>
          <t>Woningverkopen Q3</t>
        </is>
      </c>
      <c r="P842" s="109" t="n">
        <v>7</v>
      </c>
      <c r="Q842" s="92" t="inlineStr">
        <is>
          <t>aantal</t>
        </is>
      </c>
      <c r="R842" s="92" t="inlineStr">
        <is>
          <t>Synthetische snapshot; kwartalen zijn FY-verdeling, geen actuals</t>
        </is>
      </c>
      <c r="S842" s="15" t="str">
        <f>IF(J842="","",J842&amp;"|"&amp;E842&amp;"|"&amp;F842&amp;"|"&amp;I842&amp;"|"&amp;O842)</f>
        <v>G.900017.8.9090|2026|Q3|2026|Woningverkopen Q3</v>
      </c>
      <c r="T842" s="15">
        <f>IF(OR(S842="",D842&lt;&gt;"Vastgesteld"),"",_xlfn.MAXIFS($G$6:$G$5005,$S$6:$S$5005,S842,$D$6:$D$5005,"Vastgesteld"))</f>
        <v>0</v>
      </c>
      <c r="U842" s="15">
        <f>IF(T842="",0,IF(AND(G842=T842,COUNTIFS($S$6:S842,S842,$G$6:G842,G842,$D$6:D842,"Vastgesteld")=1),1,0))</f>
        <v>1</v>
      </c>
      <c r="V842" s="15">
        <f>IF(T842="",0,IF(AND(G842=T842,COUNTIFS($S$6:S842,S842,$G$6:G842,G842,$D$6:D842,"Vastgesteld")&gt;1),1,0))</f>
        <v>0</v>
      </c>
    </row>
    <row r="843">
      <c r="A843" s="92" t="inlineStr">
        <is>
          <t>HIST-2026-Q3</t>
        </is>
      </c>
      <c r="B843" s="92" t="inlineStr">
        <is>
          <t>RDFO_FICTIEVE_historie_en_mapping.xlsx</t>
        </is>
      </c>
      <c r="C843" s="108" t="n">
        <v>46324</v>
      </c>
      <c r="D843" s="92" t="inlineStr">
        <is>
          <t>Vastgesteld</t>
        </is>
      </c>
      <c r="E843" s="92" t="n">
        <v>2026</v>
      </c>
      <c r="F843" s="92" t="inlineStr">
        <is>
          <t>Q3</t>
        </is>
      </c>
      <c r="G843" s="92" t="n">
        <v>0</v>
      </c>
      <c r="H843" s="108" t="n">
        <v>46295</v>
      </c>
      <c r="I843" s="92" t="n">
        <v>2026</v>
      </c>
      <c r="J843" s="92" t="inlineStr">
        <is>
          <t>G.900017.8.9090</t>
        </is>
      </c>
      <c r="K843" s="92" t="inlineStr">
        <is>
          <t>G.900017</t>
        </is>
      </c>
      <c r="L843" s="92" t="inlineStr">
        <is>
          <t>Veldendam, Spoorpark</t>
        </is>
      </c>
      <c r="M843" s="92" t="inlineStr">
        <is>
          <t>Opstal</t>
        </is>
      </c>
      <c r="N843" s="92" t="inlineStr">
        <is>
          <t>J</t>
        </is>
      </c>
      <c r="O843" s="92" t="inlineStr">
        <is>
          <t>Woningverkopen Q4</t>
        </is>
      </c>
      <c r="P843" s="109" t="n">
        <v>10</v>
      </c>
      <c r="Q843" s="92" t="inlineStr">
        <is>
          <t>aantal</t>
        </is>
      </c>
      <c r="R843" s="92" t="inlineStr">
        <is>
          <t>Synthetische snapshot; kwartalen zijn FY-verdeling, geen actuals</t>
        </is>
      </c>
      <c r="S843" s="15" t="str">
        <f>IF(J843="","",J843&amp;"|"&amp;E843&amp;"|"&amp;F843&amp;"|"&amp;I843&amp;"|"&amp;O843)</f>
        <v>G.900017.8.9090|2026|Q3|2026|Woningverkopen Q4</v>
      </c>
      <c r="T843" s="15">
        <f>IF(OR(S843="",D843&lt;&gt;"Vastgesteld"),"",_xlfn.MAXIFS($G$6:$G$5005,$S$6:$S$5005,S843,$D$6:$D$5005,"Vastgesteld"))</f>
        <v>0</v>
      </c>
      <c r="U843" s="15">
        <f>IF(T843="",0,IF(AND(G843=T843,COUNTIFS($S$6:S843,S843,$G$6:G843,G843,$D$6:D843,"Vastgesteld")=1),1,0))</f>
        <v>1</v>
      </c>
      <c r="V843" s="15">
        <f>IF(T843="",0,IF(AND(G843=T843,COUNTIFS($S$6:S843,S843,$G$6:G843,G843,$D$6:D843,"Vastgesteld")&gt;1),1,0))</f>
        <v>0</v>
      </c>
    </row>
    <row r="844">
      <c r="A844" s="92" t="inlineStr">
        <is>
          <t>HIST-2026-Q3</t>
        </is>
      </c>
      <c r="B844" s="92" t="inlineStr">
        <is>
          <t>RDFO_FICTIEVE_historie_en_mapping.xlsx</t>
        </is>
      </c>
      <c r="C844" s="108" t="n">
        <v>46324</v>
      </c>
      <c r="D844" s="92" t="inlineStr">
        <is>
          <t>Vastgesteld</t>
        </is>
      </c>
      <c r="E844" s="92" t="n">
        <v>2026</v>
      </c>
      <c r="F844" s="92" t="inlineStr">
        <is>
          <t>Q3</t>
        </is>
      </c>
      <c r="G844" s="92" t="n">
        <v>0</v>
      </c>
      <c r="H844" s="108" t="n">
        <v>46295</v>
      </c>
      <c r="I844" s="92" t="n">
        <v>2026</v>
      </c>
      <c r="J844" s="92" t="inlineStr">
        <is>
          <t>G.900017.8.9090</t>
        </is>
      </c>
      <c r="K844" s="92" t="inlineStr">
        <is>
          <t>G.900017</t>
        </is>
      </c>
      <c r="L844" s="92" t="inlineStr">
        <is>
          <t>Veldendam, Spoorpark</t>
        </is>
      </c>
      <c r="M844" s="92" t="inlineStr">
        <is>
          <t>Opstal</t>
        </is>
      </c>
      <c r="N844" s="92" t="inlineStr">
        <is>
          <t>J</t>
        </is>
      </c>
      <c r="O844" s="92" t="inlineStr">
        <is>
          <t>Woningverkopen actual YTD</t>
        </is>
      </c>
      <c r="P844" s="109" t="n">
        <v>18</v>
      </c>
      <c r="Q844" s="92" t="inlineStr">
        <is>
          <t>aantal</t>
        </is>
      </c>
      <c r="R844" s="92" t="inlineStr">
        <is>
          <t>Synthetische snapshot; kwartalen zijn FY-verdeling, geen actuals</t>
        </is>
      </c>
      <c r="S844" s="15" t="str">
        <f>IF(J844="","",J844&amp;"|"&amp;E844&amp;"|"&amp;F844&amp;"|"&amp;I844&amp;"|"&amp;O844)</f>
        <v>G.900017.8.9090|2026|Q3|2026|Woningverkopen actual YTD</v>
      </c>
      <c r="T844" s="15">
        <f>IF(OR(S844="",D844&lt;&gt;"Vastgesteld"),"",_xlfn.MAXIFS($G$6:$G$5005,$S$6:$S$5005,S844,$D$6:$D$5005,"Vastgesteld"))</f>
        <v>0</v>
      </c>
      <c r="U844" s="15">
        <f>IF(T844="",0,IF(AND(G844=T844,COUNTIFS($S$6:S844,S844,$G$6:G844,G844,$D$6:D844,"Vastgesteld")=1),1,0))</f>
        <v>1</v>
      </c>
      <c r="V844" s="15">
        <f>IF(T844="",0,IF(AND(G844=T844,COUNTIFS($S$6:S844,S844,$G$6:G844,G844,$D$6:D844,"Vastgesteld")&gt;1),1,0))</f>
        <v>0</v>
      </c>
    </row>
    <row r="845">
      <c r="A845" s="92" t="inlineStr">
        <is>
          <t>HIST-2026-Q3</t>
        </is>
      </c>
      <c r="B845" s="92" t="inlineStr">
        <is>
          <t>RDFO_FICTIEVE_historie_en_mapping.xlsx</t>
        </is>
      </c>
      <c r="C845" s="108" t="n">
        <v>46324</v>
      </c>
      <c r="D845" s="92" t="inlineStr">
        <is>
          <t>Vastgesteld</t>
        </is>
      </c>
      <c r="E845" s="92" t="n">
        <v>2026</v>
      </c>
      <c r="F845" s="92" t="inlineStr">
        <is>
          <t>Q3</t>
        </is>
      </c>
      <c r="G845" s="92" t="n">
        <v>0</v>
      </c>
      <c r="H845" s="108" t="n">
        <v>46295</v>
      </c>
      <c r="I845" s="92" t="n">
        <v>2026</v>
      </c>
      <c r="J845" s="92" t="inlineStr">
        <is>
          <t>G.900018.8.9090</t>
        </is>
      </c>
      <c r="K845" s="92" t="inlineStr">
        <is>
          <t>G.900018</t>
        </is>
      </c>
      <c r="L845" s="92" t="inlineStr">
        <is>
          <t>Meerhovenstad, De Boog</t>
        </is>
      </c>
      <c r="M845" s="92" t="inlineStr">
        <is>
          <t>Deelneming</t>
        </is>
      </c>
      <c r="N845" s="92" t="inlineStr">
        <is>
          <t>N</t>
        </is>
      </c>
      <c r="O845" s="92" t="inlineStr">
        <is>
          <t>Woningverkopen FY</t>
        </is>
      </c>
      <c r="P845" s="109" t="n">
        <v>18</v>
      </c>
      <c r="Q845" s="92" t="inlineStr">
        <is>
          <t>aantal</t>
        </is>
      </c>
      <c r="R845" s="92" t="inlineStr">
        <is>
          <t>Synthetische snapshot; kwartalen zijn FY-verdeling, geen actuals</t>
        </is>
      </c>
      <c r="S845" s="15" t="str">
        <f>IF(J845="","",J845&amp;"|"&amp;E845&amp;"|"&amp;F845&amp;"|"&amp;I845&amp;"|"&amp;O845)</f>
        <v>G.900018.8.9090|2026|Q3|2026|Woningverkopen FY</v>
      </c>
      <c r="T845" s="15">
        <f>IF(OR(S845="",D845&lt;&gt;"Vastgesteld"),"",_xlfn.MAXIFS($G$6:$G$5005,$S$6:$S$5005,S845,$D$6:$D$5005,"Vastgesteld"))</f>
        <v>0</v>
      </c>
      <c r="U845" s="15">
        <f>IF(T845="",0,IF(AND(G845=T845,COUNTIFS($S$6:S845,S845,$G$6:G845,G845,$D$6:D845,"Vastgesteld")=1),1,0))</f>
        <v>1</v>
      </c>
      <c r="V845" s="15">
        <f>IF(T845="",0,IF(AND(G845=T845,COUNTIFS($S$6:S845,S845,$G$6:G845,G845,$D$6:D845,"Vastgesteld")&gt;1),1,0))</f>
        <v>0</v>
      </c>
    </row>
    <row r="846">
      <c r="A846" s="92" t="inlineStr">
        <is>
          <t>HIST-2026-Q3</t>
        </is>
      </c>
      <c r="B846" s="92" t="inlineStr">
        <is>
          <t>RDFO_FICTIEVE_historie_en_mapping.xlsx</t>
        </is>
      </c>
      <c r="C846" s="108" t="n">
        <v>46324</v>
      </c>
      <c r="D846" s="92" t="inlineStr">
        <is>
          <t>Vastgesteld</t>
        </is>
      </c>
      <c r="E846" s="92" t="n">
        <v>2026</v>
      </c>
      <c r="F846" s="92" t="inlineStr">
        <is>
          <t>Q3</t>
        </is>
      </c>
      <c r="G846" s="92" t="n">
        <v>0</v>
      </c>
      <c r="H846" s="108" t="n">
        <v>46295</v>
      </c>
      <c r="I846" s="92" t="n">
        <v>2026</v>
      </c>
      <c r="J846" s="92" t="inlineStr">
        <is>
          <t>G.900018.8.9090</t>
        </is>
      </c>
      <c r="K846" s="92" t="inlineStr">
        <is>
          <t>G.900018</t>
        </is>
      </c>
      <c r="L846" s="92" t="inlineStr">
        <is>
          <t>Meerhovenstad, De Boog</t>
        </is>
      </c>
      <c r="M846" s="92" t="inlineStr">
        <is>
          <t>Deelneming</t>
        </is>
      </c>
      <c r="N846" s="92" t="inlineStr">
        <is>
          <t>N</t>
        </is>
      </c>
      <c r="O846" s="92" t="inlineStr">
        <is>
          <t>Woningen verkocht t/m vorig jaar</t>
        </is>
      </c>
      <c r="P846" s="109" t="n">
        <v>0</v>
      </c>
      <c r="Q846" s="92" t="inlineStr">
        <is>
          <t>aantal</t>
        </is>
      </c>
      <c r="R846" s="92" t="inlineStr">
        <is>
          <t>Synthetische snapshot; kwartalen zijn FY-verdeling, geen actuals</t>
        </is>
      </c>
      <c r="S846" s="15" t="str">
        <f>IF(J846="","",J846&amp;"|"&amp;E846&amp;"|"&amp;F846&amp;"|"&amp;I846&amp;"|"&amp;O846)</f>
        <v>G.900018.8.9090|2026|Q3|2026|Woningen verkocht t/m vorig jaar</v>
      </c>
      <c r="T846" s="15">
        <f>IF(OR(S846="",D846&lt;&gt;"Vastgesteld"),"",_xlfn.MAXIFS($G$6:$G$5005,$S$6:$S$5005,S846,$D$6:$D$5005,"Vastgesteld"))</f>
        <v>0</v>
      </c>
      <c r="U846" s="15">
        <f>IF(T846="",0,IF(AND(G846=T846,COUNTIFS($S$6:S846,S846,$G$6:G846,G846,$D$6:D846,"Vastgesteld")=1),1,0))</f>
        <v>1</v>
      </c>
      <c r="V846" s="15">
        <f>IF(T846="",0,IF(AND(G846=T846,COUNTIFS($S$6:S846,S846,$G$6:G846,G846,$D$6:D846,"Vastgesteld")&gt;1),1,0))</f>
        <v>0</v>
      </c>
    </row>
    <row r="847">
      <c r="A847" s="92" t="inlineStr">
        <is>
          <t>HIST-2026-Q3</t>
        </is>
      </c>
      <c r="B847" s="92" t="inlineStr">
        <is>
          <t>RDFO_FICTIEVE_historie_en_mapping.xlsx</t>
        </is>
      </c>
      <c r="C847" s="108" t="n">
        <v>46324</v>
      </c>
      <c r="D847" s="92" t="inlineStr">
        <is>
          <t>Vastgesteld</t>
        </is>
      </c>
      <c r="E847" s="92" t="n">
        <v>2026</v>
      </c>
      <c r="F847" s="92" t="inlineStr">
        <is>
          <t>Q3</t>
        </is>
      </c>
      <c r="G847" s="92" t="n">
        <v>0</v>
      </c>
      <c r="H847" s="108" t="n">
        <v>46295</v>
      </c>
      <c r="I847" s="92" t="n">
        <v>2026</v>
      </c>
      <c r="J847" s="92" t="inlineStr">
        <is>
          <t>G.900018.8.9090</t>
        </is>
      </c>
      <c r="K847" s="92" t="inlineStr">
        <is>
          <t>G.900018</t>
        </is>
      </c>
      <c r="L847" s="92" t="inlineStr">
        <is>
          <t>Meerhovenstad, De Boog</t>
        </is>
      </c>
      <c r="M847" s="92" t="inlineStr">
        <is>
          <t>Deelneming</t>
        </is>
      </c>
      <c r="N847" s="92" t="inlineStr">
        <is>
          <t>N</t>
        </is>
      </c>
      <c r="O847" s="92" t="inlineStr">
        <is>
          <t>Woningverkopen Q1</t>
        </is>
      </c>
      <c r="P847" s="109" t="n">
        <v>1</v>
      </c>
      <c r="Q847" s="92" t="inlineStr">
        <is>
          <t>aantal</t>
        </is>
      </c>
      <c r="R847" s="92" t="inlineStr">
        <is>
          <t>Synthetische snapshot; kwartalen zijn FY-verdeling, geen actuals</t>
        </is>
      </c>
      <c r="S847" s="15" t="str">
        <f>IF(J847="","",J847&amp;"|"&amp;E847&amp;"|"&amp;F847&amp;"|"&amp;I847&amp;"|"&amp;O847)</f>
        <v>G.900018.8.9090|2026|Q3|2026|Woningverkopen Q1</v>
      </c>
      <c r="T847" s="15">
        <f>IF(OR(S847="",D847&lt;&gt;"Vastgesteld"),"",_xlfn.MAXIFS($G$6:$G$5005,$S$6:$S$5005,S847,$D$6:$D$5005,"Vastgesteld"))</f>
        <v>0</v>
      </c>
      <c r="U847" s="15">
        <f>IF(T847="",0,IF(AND(G847=T847,COUNTIFS($S$6:S847,S847,$G$6:G847,G847,$D$6:D847,"Vastgesteld")=1),1,0))</f>
        <v>1</v>
      </c>
      <c r="V847" s="15">
        <f>IF(T847="",0,IF(AND(G847=T847,COUNTIFS($S$6:S847,S847,$G$6:G847,G847,$D$6:D847,"Vastgesteld")&gt;1),1,0))</f>
        <v>0</v>
      </c>
    </row>
    <row r="848">
      <c r="A848" s="92" t="inlineStr">
        <is>
          <t>HIST-2026-Q3</t>
        </is>
      </c>
      <c r="B848" s="92" t="inlineStr">
        <is>
          <t>RDFO_FICTIEVE_historie_en_mapping.xlsx</t>
        </is>
      </c>
      <c r="C848" s="108" t="n">
        <v>46324</v>
      </c>
      <c r="D848" s="92" t="inlineStr">
        <is>
          <t>Vastgesteld</t>
        </is>
      </c>
      <c r="E848" s="92" t="n">
        <v>2026</v>
      </c>
      <c r="F848" s="92" t="inlineStr">
        <is>
          <t>Q3</t>
        </is>
      </c>
      <c r="G848" s="92" t="n">
        <v>0</v>
      </c>
      <c r="H848" s="108" t="n">
        <v>46295</v>
      </c>
      <c r="I848" s="92" t="n">
        <v>2026</v>
      </c>
      <c r="J848" s="92" t="inlineStr">
        <is>
          <t>G.900018.8.9090</t>
        </is>
      </c>
      <c r="K848" s="92" t="inlineStr">
        <is>
          <t>G.900018</t>
        </is>
      </c>
      <c r="L848" s="92" t="inlineStr">
        <is>
          <t>Meerhovenstad, De Boog</t>
        </is>
      </c>
      <c r="M848" s="92" t="inlineStr">
        <is>
          <t>Deelneming</t>
        </is>
      </c>
      <c r="N848" s="92" t="inlineStr">
        <is>
          <t>N</t>
        </is>
      </c>
      <c r="O848" s="92" t="inlineStr">
        <is>
          <t>Woningverkopen Q2</t>
        </is>
      </c>
      <c r="P848" s="109" t="n">
        <v>4</v>
      </c>
      <c r="Q848" s="92" t="inlineStr">
        <is>
          <t>aantal</t>
        </is>
      </c>
      <c r="R848" s="92" t="inlineStr">
        <is>
          <t>Synthetische snapshot; kwartalen zijn FY-verdeling, geen actuals</t>
        </is>
      </c>
      <c r="S848" s="15" t="str">
        <f>IF(J848="","",J848&amp;"|"&amp;E848&amp;"|"&amp;F848&amp;"|"&amp;I848&amp;"|"&amp;O848)</f>
        <v>G.900018.8.9090|2026|Q3|2026|Woningverkopen Q2</v>
      </c>
      <c r="T848" s="15">
        <f>IF(OR(S848="",D848&lt;&gt;"Vastgesteld"),"",_xlfn.MAXIFS($G$6:$G$5005,$S$6:$S$5005,S848,$D$6:$D$5005,"Vastgesteld"))</f>
        <v>0</v>
      </c>
      <c r="U848" s="15">
        <f>IF(T848="",0,IF(AND(G848=T848,COUNTIFS($S$6:S848,S848,$G$6:G848,G848,$D$6:D848,"Vastgesteld")=1),1,0))</f>
        <v>1</v>
      </c>
      <c r="V848" s="15">
        <f>IF(T848="",0,IF(AND(G848=T848,COUNTIFS($S$6:S848,S848,$G$6:G848,G848,$D$6:D848,"Vastgesteld")&gt;1),1,0))</f>
        <v>0</v>
      </c>
    </row>
    <row r="849">
      <c r="A849" s="92" t="inlineStr">
        <is>
          <t>HIST-2026-Q3</t>
        </is>
      </c>
      <c r="B849" s="92" t="inlineStr">
        <is>
          <t>RDFO_FICTIEVE_historie_en_mapping.xlsx</t>
        </is>
      </c>
      <c r="C849" s="108" t="n">
        <v>46324</v>
      </c>
      <c r="D849" s="92" t="inlineStr">
        <is>
          <t>Vastgesteld</t>
        </is>
      </c>
      <c r="E849" s="92" t="n">
        <v>2026</v>
      </c>
      <c r="F849" s="92" t="inlineStr">
        <is>
          <t>Q3</t>
        </is>
      </c>
      <c r="G849" s="92" t="n">
        <v>0</v>
      </c>
      <c r="H849" s="108" t="n">
        <v>46295</v>
      </c>
      <c r="I849" s="92" t="n">
        <v>2026</v>
      </c>
      <c r="J849" s="92" t="inlineStr">
        <is>
          <t>G.900018.8.9090</t>
        </is>
      </c>
      <c r="K849" s="92" t="inlineStr">
        <is>
          <t>G.900018</t>
        </is>
      </c>
      <c r="L849" s="92" t="inlineStr">
        <is>
          <t>Meerhovenstad, De Boog</t>
        </is>
      </c>
      <c r="M849" s="92" t="inlineStr">
        <is>
          <t>Deelneming</t>
        </is>
      </c>
      <c r="N849" s="92" t="inlineStr">
        <is>
          <t>N</t>
        </is>
      </c>
      <c r="O849" s="92" t="inlineStr">
        <is>
          <t>Woningverkopen Q3</t>
        </is>
      </c>
      <c r="P849" s="109" t="n">
        <v>4</v>
      </c>
      <c r="Q849" s="92" t="inlineStr">
        <is>
          <t>aantal</t>
        </is>
      </c>
      <c r="R849" s="92" t="inlineStr">
        <is>
          <t>Synthetische snapshot; kwartalen zijn FY-verdeling, geen actuals</t>
        </is>
      </c>
      <c r="S849" s="15" t="str">
        <f>IF(J849="","",J849&amp;"|"&amp;E849&amp;"|"&amp;F849&amp;"|"&amp;I849&amp;"|"&amp;O849)</f>
        <v>G.900018.8.9090|2026|Q3|2026|Woningverkopen Q3</v>
      </c>
      <c r="T849" s="15">
        <f>IF(OR(S849="",D849&lt;&gt;"Vastgesteld"),"",_xlfn.MAXIFS($G$6:$G$5005,$S$6:$S$5005,S849,$D$6:$D$5005,"Vastgesteld"))</f>
        <v>0</v>
      </c>
      <c r="U849" s="15">
        <f>IF(T849="",0,IF(AND(G849=T849,COUNTIFS($S$6:S849,S849,$G$6:G849,G849,$D$6:D849,"Vastgesteld")=1),1,0))</f>
        <v>1</v>
      </c>
      <c r="V849" s="15">
        <f>IF(T849="",0,IF(AND(G849=T849,COUNTIFS($S$6:S849,S849,$G$6:G849,G849,$D$6:D849,"Vastgesteld")&gt;1),1,0))</f>
        <v>0</v>
      </c>
    </row>
    <row r="850">
      <c r="A850" s="92" t="inlineStr">
        <is>
          <t>HIST-2026-Q3</t>
        </is>
      </c>
      <c r="B850" s="92" t="inlineStr">
        <is>
          <t>RDFO_FICTIEVE_historie_en_mapping.xlsx</t>
        </is>
      </c>
      <c r="C850" s="108" t="n">
        <v>46324</v>
      </c>
      <c r="D850" s="92" t="inlineStr">
        <is>
          <t>Vastgesteld</t>
        </is>
      </c>
      <c r="E850" s="92" t="n">
        <v>2026</v>
      </c>
      <c r="F850" s="92" t="inlineStr">
        <is>
          <t>Q3</t>
        </is>
      </c>
      <c r="G850" s="92" t="n">
        <v>0</v>
      </c>
      <c r="H850" s="108" t="n">
        <v>46295</v>
      </c>
      <c r="I850" s="92" t="n">
        <v>2026</v>
      </c>
      <c r="J850" s="92" t="inlineStr">
        <is>
          <t>G.900018.8.9090</t>
        </is>
      </c>
      <c r="K850" s="92" t="inlineStr">
        <is>
          <t>G.900018</t>
        </is>
      </c>
      <c r="L850" s="92" t="inlineStr">
        <is>
          <t>Meerhovenstad, De Boog</t>
        </is>
      </c>
      <c r="M850" s="92" t="inlineStr">
        <is>
          <t>Deelneming</t>
        </is>
      </c>
      <c r="N850" s="92" t="inlineStr">
        <is>
          <t>N</t>
        </is>
      </c>
      <c r="O850" s="92" t="inlineStr">
        <is>
          <t>Woningverkopen Q4</t>
        </is>
      </c>
      <c r="P850" s="109" t="n">
        <v>9</v>
      </c>
      <c r="Q850" s="92" t="inlineStr">
        <is>
          <t>aantal</t>
        </is>
      </c>
      <c r="R850" s="92" t="inlineStr">
        <is>
          <t>Synthetische snapshot; kwartalen zijn FY-verdeling, geen actuals</t>
        </is>
      </c>
      <c r="S850" s="15" t="str">
        <f>IF(J850="","",J850&amp;"|"&amp;E850&amp;"|"&amp;F850&amp;"|"&amp;I850&amp;"|"&amp;O850)</f>
        <v>G.900018.8.9090|2026|Q3|2026|Woningverkopen Q4</v>
      </c>
      <c r="T850" s="15">
        <f>IF(OR(S850="",D850&lt;&gt;"Vastgesteld"),"",_xlfn.MAXIFS($G$6:$G$5005,$S$6:$S$5005,S850,$D$6:$D$5005,"Vastgesteld"))</f>
        <v>0</v>
      </c>
      <c r="U850" s="15">
        <f>IF(T850="",0,IF(AND(G850=T850,COUNTIFS($S$6:S850,S850,$G$6:G850,G850,$D$6:D850,"Vastgesteld")=1),1,0))</f>
        <v>1</v>
      </c>
      <c r="V850" s="15">
        <f>IF(T850="",0,IF(AND(G850=T850,COUNTIFS($S$6:S850,S850,$G$6:G850,G850,$D$6:D850,"Vastgesteld")&gt;1),1,0))</f>
        <v>0</v>
      </c>
    </row>
    <row r="851">
      <c r="A851" s="92" t="inlineStr">
        <is>
          <t>HIST-2026-Q3</t>
        </is>
      </c>
      <c r="B851" s="92" t="inlineStr">
        <is>
          <t>RDFO_FICTIEVE_historie_en_mapping.xlsx</t>
        </is>
      </c>
      <c r="C851" s="108" t="n">
        <v>46324</v>
      </c>
      <c r="D851" s="92" t="inlineStr">
        <is>
          <t>Vastgesteld</t>
        </is>
      </c>
      <c r="E851" s="92" t="n">
        <v>2026</v>
      </c>
      <c r="F851" s="92" t="inlineStr">
        <is>
          <t>Q3</t>
        </is>
      </c>
      <c r="G851" s="92" t="n">
        <v>0</v>
      </c>
      <c r="H851" s="108" t="n">
        <v>46295</v>
      </c>
      <c r="I851" s="92" t="n">
        <v>2026</v>
      </c>
      <c r="J851" s="92" t="inlineStr">
        <is>
          <t>G.900018.8.9090</t>
        </is>
      </c>
      <c r="K851" s="92" t="inlineStr">
        <is>
          <t>G.900018</t>
        </is>
      </c>
      <c r="L851" s="92" t="inlineStr">
        <is>
          <t>Meerhovenstad, De Boog</t>
        </is>
      </c>
      <c r="M851" s="92" t="inlineStr">
        <is>
          <t>Deelneming</t>
        </is>
      </c>
      <c r="N851" s="92" t="inlineStr">
        <is>
          <t>N</t>
        </is>
      </c>
      <c r="O851" s="92" t="inlineStr">
        <is>
          <t>Woningverkopen actual YTD</t>
        </is>
      </c>
      <c r="P851" s="109" t="n">
        <v>9</v>
      </c>
      <c r="Q851" s="92" t="inlineStr">
        <is>
          <t>aantal</t>
        </is>
      </c>
      <c r="R851" s="92" t="inlineStr">
        <is>
          <t>Synthetische snapshot; kwartalen zijn FY-verdeling, geen actuals</t>
        </is>
      </c>
      <c r="S851" s="15" t="str">
        <f>IF(J851="","",J851&amp;"|"&amp;E851&amp;"|"&amp;F851&amp;"|"&amp;I851&amp;"|"&amp;O851)</f>
        <v>G.900018.8.9090|2026|Q3|2026|Woningverkopen actual YTD</v>
      </c>
      <c r="T851" s="15">
        <f>IF(OR(S851="",D851&lt;&gt;"Vastgesteld"),"",_xlfn.MAXIFS($G$6:$G$5005,$S$6:$S$5005,S851,$D$6:$D$5005,"Vastgesteld"))</f>
        <v>0</v>
      </c>
      <c r="U851" s="15">
        <f>IF(T851="",0,IF(AND(G851=T851,COUNTIFS($S$6:S851,S851,$G$6:G851,G851,$D$6:D851,"Vastgesteld")=1),1,0))</f>
        <v>1</v>
      </c>
      <c r="V851" s="15">
        <f>IF(T851="",0,IF(AND(G851=T851,COUNTIFS($S$6:S851,S851,$G$6:G851,G851,$D$6:D851,"Vastgesteld")&gt;1),1,0))</f>
        <v>0</v>
      </c>
    </row>
    <row r="852">
      <c r="A852" s="92" t="inlineStr">
        <is>
          <t>HIST-2026-Q3</t>
        </is>
      </c>
      <c r="B852" s="92" t="inlineStr">
        <is>
          <t>RDFO_FICTIEVE_historie_en_mapping.xlsx</t>
        </is>
      </c>
      <c r="C852" s="108" t="n">
        <v>46324</v>
      </c>
      <c r="D852" s="92" t="inlineStr">
        <is>
          <t>Vastgesteld</t>
        </is>
      </c>
      <c r="E852" s="92" t="n">
        <v>2026</v>
      </c>
      <c r="F852" s="92" t="inlineStr">
        <is>
          <t>Q3</t>
        </is>
      </c>
      <c r="G852" s="92" t="n">
        <v>0</v>
      </c>
      <c r="H852" s="108" t="n">
        <v>46295</v>
      </c>
      <c r="I852" s="92" t="n">
        <v>2026</v>
      </c>
      <c r="J852" s="92" t="inlineStr">
        <is>
          <t>G.900019.8.9090</t>
        </is>
      </c>
      <c r="K852" s="92" t="inlineStr">
        <is>
          <t>G.900019</t>
        </is>
      </c>
      <c r="L852" s="92" t="inlineStr">
        <is>
          <t>Zilverdam, Havenlicht</t>
        </is>
      </c>
      <c r="M852" s="92" t="inlineStr">
        <is>
          <t>Opstal</t>
        </is>
      </c>
      <c r="N852" s="92" t="inlineStr">
        <is>
          <t>J</t>
        </is>
      </c>
      <c r="O852" s="92" t="inlineStr">
        <is>
          <t>Woningverkopen FY</t>
        </is>
      </c>
      <c r="P852" s="109" t="n">
        <v>10</v>
      </c>
      <c r="Q852" s="92" t="inlineStr">
        <is>
          <t>aantal</t>
        </is>
      </c>
      <c r="R852" s="92" t="inlineStr">
        <is>
          <t>Synthetische snapshot; kwartalen zijn FY-verdeling, geen actuals</t>
        </is>
      </c>
      <c r="S852" s="15" t="str">
        <f>IF(J852="","",J852&amp;"|"&amp;E852&amp;"|"&amp;F852&amp;"|"&amp;I852&amp;"|"&amp;O852)</f>
        <v>G.900019.8.9090|2026|Q3|2026|Woningverkopen FY</v>
      </c>
      <c r="T852" s="15">
        <f>IF(OR(S852="",D852&lt;&gt;"Vastgesteld"),"",_xlfn.MAXIFS($G$6:$G$5005,$S$6:$S$5005,S852,$D$6:$D$5005,"Vastgesteld"))</f>
        <v>0</v>
      </c>
      <c r="U852" s="15">
        <f>IF(T852="",0,IF(AND(G852=T852,COUNTIFS($S$6:S852,S852,$G$6:G852,G852,$D$6:D852,"Vastgesteld")=1),1,0))</f>
        <v>1</v>
      </c>
      <c r="V852" s="15">
        <f>IF(T852="",0,IF(AND(G852=T852,COUNTIFS($S$6:S852,S852,$G$6:G852,G852,$D$6:D852,"Vastgesteld")&gt;1),1,0))</f>
        <v>0</v>
      </c>
    </row>
    <row r="853">
      <c r="A853" s="92" t="inlineStr">
        <is>
          <t>HIST-2026-Q3</t>
        </is>
      </c>
      <c r="B853" s="92" t="inlineStr">
        <is>
          <t>RDFO_FICTIEVE_historie_en_mapping.xlsx</t>
        </is>
      </c>
      <c r="C853" s="108" t="n">
        <v>46324</v>
      </c>
      <c r="D853" s="92" t="inlineStr">
        <is>
          <t>Vastgesteld</t>
        </is>
      </c>
      <c r="E853" s="92" t="n">
        <v>2026</v>
      </c>
      <c r="F853" s="92" t="inlineStr">
        <is>
          <t>Q3</t>
        </is>
      </c>
      <c r="G853" s="92" t="n">
        <v>0</v>
      </c>
      <c r="H853" s="108" t="n">
        <v>46295</v>
      </c>
      <c r="I853" s="92" t="n">
        <v>2026</v>
      </c>
      <c r="J853" s="92" t="inlineStr">
        <is>
          <t>G.900019.8.9090</t>
        </is>
      </c>
      <c r="K853" s="92" t="inlineStr">
        <is>
          <t>G.900019</t>
        </is>
      </c>
      <c r="L853" s="92" t="inlineStr">
        <is>
          <t>Zilverdam, Havenlicht</t>
        </is>
      </c>
      <c r="M853" s="92" t="inlineStr">
        <is>
          <t>Opstal</t>
        </is>
      </c>
      <c r="N853" s="92" t="inlineStr">
        <is>
          <t>J</t>
        </is>
      </c>
      <c r="O853" s="92" t="inlineStr">
        <is>
          <t>Woningen verkocht t/m vorig jaar</t>
        </is>
      </c>
      <c r="P853" s="109" t="n">
        <v>0</v>
      </c>
      <c r="Q853" s="92" t="inlineStr">
        <is>
          <t>aantal</t>
        </is>
      </c>
      <c r="R853" s="92" t="inlineStr">
        <is>
          <t>Synthetische snapshot; kwartalen zijn FY-verdeling, geen actuals</t>
        </is>
      </c>
      <c r="S853" s="15" t="str">
        <f>IF(J853="","",J853&amp;"|"&amp;E853&amp;"|"&amp;F853&amp;"|"&amp;I853&amp;"|"&amp;O853)</f>
        <v>G.900019.8.9090|2026|Q3|2026|Woningen verkocht t/m vorig jaar</v>
      </c>
      <c r="T853" s="15">
        <f>IF(OR(S853="",D853&lt;&gt;"Vastgesteld"),"",_xlfn.MAXIFS($G$6:$G$5005,$S$6:$S$5005,S853,$D$6:$D$5005,"Vastgesteld"))</f>
        <v>0</v>
      </c>
      <c r="U853" s="15">
        <f>IF(T853="",0,IF(AND(G853=T853,COUNTIFS($S$6:S853,S853,$G$6:G853,G853,$D$6:D853,"Vastgesteld")=1),1,0))</f>
        <v>1</v>
      </c>
      <c r="V853" s="15">
        <f>IF(T853="",0,IF(AND(G853=T853,COUNTIFS($S$6:S853,S853,$G$6:G853,G853,$D$6:D853,"Vastgesteld")&gt;1),1,0))</f>
        <v>0</v>
      </c>
    </row>
    <row r="854">
      <c r="A854" s="92" t="inlineStr">
        <is>
          <t>HIST-2026-Q3</t>
        </is>
      </c>
      <c r="B854" s="92" t="inlineStr">
        <is>
          <t>RDFO_FICTIEVE_historie_en_mapping.xlsx</t>
        </is>
      </c>
      <c r="C854" s="108" t="n">
        <v>46324</v>
      </c>
      <c r="D854" s="92" t="inlineStr">
        <is>
          <t>Vastgesteld</t>
        </is>
      </c>
      <c r="E854" s="92" t="n">
        <v>2026</v>
      </c>
      <c r="F854" s="92" t="inlineStr">
        <is>
          <t>Q3</t>
        </is>
      </c>
      <c r="G854" s="92" t="n">
        <v>0</v>
      </c>
      <c r="H854" s="108" t="n">
        <v>46295</v>
      </c>
      <c r="I854" s="92" t="n">
        <v>2026</v>
      </c>
      <c r="J854" s="92" t="inlineStr">
        <is>
          <t>G.900019.8.9090</t>
        </is>
      </c>
      <c r="K854" s="92" t="inlineStr">
        <is>
          <t>G.900019</t>
        </is>
      </c>
      <c r="L854" s="92" t="inlineStr">
        <is>
          <t>Zilverdam, Havenlicht</t>
        </is>
      </c>
      <c r="M854" s="92" t="inlineStr">
        <is>
          <t>Opstal</t>
        </is>
      </c>
      <c r="N854" s="92" t="inlineStr">
        <is>
          <t>J</t>
        </is>
      </c>
      <c r="O854" s="92" t="inlineStr">
        <is>
          <t>Woningverkopen Q1</t>
        </is>
      </c>
      <c r="P854" s="109" t="n">
        <v>0</v>
      </c>
      <c r="Q854" s="92" t="inlineStr">
        <is>
          <t>aantal</t>
        </is>
      </c>
      <c r="R854" s="92" t="inlineStr">
        <is>
          <t>Synthetische snapshot; kwartalen zijn FY-verdeling, geen actuals</t>
        </is>
      </c>
      <c r="S854" s="15" t="str">
        <f>IF(J854="","",J854&amp;"|"&amp;E854&amp;"|"&amp;F854&amp;"|"&amp;I854&amp;"|"&amp;O854)</f>
        <v>G.900019.8.9090|2026|Q3|2026|Woningverkopen Q1</v>
      </c>
      <c r="T854" s="15">
        <f>IF(OR(S854="",D854&lt;&gt;"Vastgesteld"),"",_xlfn.MAXIFS($G$6:$G$5005,$S$6:$S$5005,S854,$D$6:$D$5005,"Vastgesteld"))</f>
        <v>0</v>
      </c>
      <c r="U854" s="15">
        <f>IF(T854="",0,IF(AND(G854=T854,COUNTIFS($S$6:S854,S854,$G$6:G854,G854,$D$6:D854,"Vastgesteld")=1),1,0))</f>
        <v>1</v>
      </c>
      <c r="V854" s="15">
        <f>IF(T854="",0,IF(AND(G854=T854,COUNTIFS($S$6:S854,S854,$G$6:G854,G854,$D$6:D854,"Vastgesteld")&gt;1),1,0))</f>
        <v>0</v>
      </c>
    </row>
    <row r="855">
      <c r="A855" s="92" t="inlineStr">
        <is>
          <t>HIST-2026-Q3</t>
        </is>
      </c>
      <c r="B855" s="92" t="inlineStr">
        <is>
          <t>RDFO_FICTIEVE_historie_en_mapping.xlsx</t>
        </is>
      </c>
      <c r="C855" s="108" t="n">
        <v>46324</v>
      </c>
      <c r="D855" s="92" t="inlineStr">
        <is>
          <t>Vastgesteld</t>
        </is>
      </c>
      <c r="E855" s="92" t="n">
        <v>2026</v>
      </c>
      <c r="F855" s="92" t="inlineStr">
        <is>
          <t>Q3</t>
        </is>
      </c>
      <c r="G855" s="92" t="n">
        <v>0</v>
      </c>
      <c r="H855" s="108" t="n">
        <v>46295</v>
      </c>
      <c r="I855" s="92" t="n">
        <v>2026</v>
      </c>
      <c r="J855" s="92" t="inlineStr">
        <is>
          <t>G.900019.8.9090</t>
        </is>
      </c>
      <c r="K855" s="92" t="inlineStr">
        <is>
          <t>G.900019</t>
        </is>
      </c>
      <c r="L855" s="92" t="inlineStr">
        <is>
          <t>Zilverdam, Havenlicht</t>
        </is>
      </c>
      <c r="M855" s="92" t="inlineStr">
        <is>
          <t>Opstal</t>
        </is>
      </c>
      <c r="N855" s="92" t="inlineStr">
        <is>
          <t>J</t>
        </is>
      </c>
      <c r="O855" s="92" t="inlineStr">
        <is>
          <t>Woningverkopen Q2</t>
        </is>
      </c>
      <c r="P855" s="109" t="n">
        <v>1</v>
      </c>
      <c r="Q855" s="92" t="inlineStr">
        <is>
          <t>aantal</t>
        </is>
      </c>
      <c r="R855" s="92" t="inlineStr">
        <is>
          <t>Synthetische snapshot; kwartalen zijn FY-verdeling, geen actuals</t>
        </is>
      </c>
      <c r="S855" s="15" t="str">
        <f>IF(J855="","",J855&amp;"|"&amp;E855&amp;"|"&amp;F855&amp;"|"&amp;I855&amp;"|"&amp;O855)</f>
        <v>G.900019.8.9090|2026|Q3|2026|Woningverkopen Q2</v>
      </c>
      <c r="T855" s="15">
        <f>IF(OR(S855="",D855&lt;&gt;"Vastgesteld"),"",_xlfn.MAXIFS($G$6:$G$5005,$S$6:$S$5005,S855,$D$6:$D$5005,"Vastgesteld"))</f>
        <v>0</v>
      </c>
      <c r="U855" s="15">
        <f>IF(T855="",0,IF(AND(G855=T855,COUNTIFS($S$6:S855,S855,$G$6:G855,G855,$D$6:D855,"Vastgesteld")=1),1,0))</f>
        <v>1</v>
      </c>
      <c r="V855" s="15">
        <f>IF(T855="",0,IF(AND(G855=T855,COUNTIFS($S$6:S855,S855,$G$6:G855,G855,$D$6:D855,"Vastgesteld")&gt;1),1,0))</f>
        <v>0</v>
      </c>
    </row>
    <row r="856">
      <c r="A856" s="92" t="inlineStr">
        <is>
          <t>HIST-2026-Q3</t>
        </is>
      </c>
      <c r="B856" s="92" t="inlineStr">
        <is>
          <t>RDFO_FICTIEVE_historie_en_mapping.xlsx</t>
        </is>
      </c>
      <c r="C856" s="108" t="n">
        <v>46324</v>
      </c>
      <c r="D856" s="92" t="inlineStr">
        <is>
          <t>Vastgesteld</t>
        </is>
      </c>
      <c r="E856" s="92" t="n">
        <v>2026</v>
      </c>
      <c r="F856" s="92" t="inlineStr">
        <is>
          <t>Q3</t>
        </is>
      </c>
      <c r="G856" s="92" t="n">
        <v>0</v>
      </c>
      <c r="H856" s="108" t="n">
        <v>46295</v>
      </c>
      <c r="I856" s="92" t="n">
        <v>2026</v>
      </c>
      <c r="J856" s="92" t="inlineStr">
        <is>
          <t>G.900019.8.9090</t>
        </is>
      </c>
      <c r="K856" s="92" t="inlineStr">
        <is>
          <t>G.900019</t>
        </is>
      </c>
      <c r="L856" s="92" t="inlineStr">
        <is>
          <t>Zilverdam, Havenlicht</t>
        </is>
      </c>
      <c r="M856" s="92" t="inlineStr">
        <is>
          <t>Opstal</t>
        </is>
      </c>
      <c r="N856" s="92" t="inlineStr">
        <is>
          <t>J</t>
        </is>
      </c>
      <c r="O856" s="92" t="inlineStr">
        <is>
          <t>Woningverkopen Q3</t>
        </is>
      </c>
      <c r="P856" s="109" t="n">
        <v>1</v>
      </c>
      <c r="Q856" s="92" t="inlineStr">
        <is>
          <t>aantal</t>
        </is>
      </c>
      <c r="R856" s="92" t="inlineStr">
        <is>
          <t>Synthetische snapshot; kwartalen zijn FY-verdeling, geen actuals</t>
        </is>
      </c>
      <c r="S856" s="15" t="str">
        <f>IF(J856="","",J856&amp;"|"&amp;E856&amp;"|"&amp;F856&amp;"|"&amp;I856&amp;"|"&amp;O856)</f>
        <v>G.900019.8.9090|2026|Q3|2026|Woningverkopen Q3</v>
      </c>
      <c r="T856" s="15">
        <f>IF(OR(S856="",D856&lt;&gt;"Vastgesteld"),"",_xlfn.MAXIFS($G$6:$G$5005,$S$6:$S$5005,S856,$D$6:$D$5005,"Vastgesteld"))</f>
        <v>0</v>
      </c>
      <c r="U856" s="15">
        <f>IF(T856="",0,IF(AND(G856=T856,COUNTIFS($S$6:S856,S856,$G$6:G856,G856,$D$6:D856,"Vastgesteld")=1),1,0))</f>
        <v>1</v>
      </c>
      <c r="V856" s="15">
        <f>IF(T856="",0,IF(AND(G856=T856,COUNTIFS($S$6:S856,S856,$G$6:G856,G856,$D$6:D856,"Vastgesteld")&gt;1),1,0))</f>
        <v>0</v>
      </c>
    </row>
    <row r="857">
      <c r="A857" s="92" t="inlineStr">
        <is>
          <t>HIST-2026-Q3</t>
        </is>
      </c>
      <c r="B857" s="92" t="inlineStr">
        <is>
          <t>RDFO_FICTIEVE_historie_en_mapping.xlsx</t>
        </is>
      </c>
      <c r="C857" s="108" t="n">
        <v>46324</v>
      </c>
      <c r="D857" s="92" t="inlineStr">
        <is>
          <t>Vastgesteld</t>
        </is>
      </c>
      <c r="E857" s="92" t="n">
        <v>2026</v>
      </c>
      <c r="F857" s="92" t="inlineStr">
        <is>
          <t>Q3</t>
        </is>
      </c>
      <c r="G857" s="92" t="n">
        <v>0</v>
      </c>
      <c r="H857" s="108" t="n">
        <v>46295</v>
      </c>
      <c r="I857" s="92" t="n">
        <v>2026</v>
      </c>
      <c r="J857" s="92" t="inlineStr">
        <is>
          <t>G.900019.8.9090</t>
        </is>
      </c>
      <c r="K857" s="92" t="inlineStr">
        <is>
          <t>G.900019</t>
        </is>
      </c>
      <c r="L857" s="92" t="inlineStr">
        <is>
          <t>Zilverdam, Havenlicht</t>
        </is>
      </c>
      <c r="M857" s="92" t="inlineStr">
        <is>
          <t>Opstal</t>
        </is>
      </c>
      <c r="N857" s="92" t="inlineStr">
        <is>
          <t>J</t>
        </is>
      </c>
      <c r="O857" s="92" t="inlineStr">
        <is>
          <t>Woningverkopen Q4</t>
        </is>
      </c>
      <c r="P857" s="109" t="n">
        <v>8</v>
      </c>
      <c r="Q857" s="92" t="inlineStr">
        <is>
          <t>aantal</t>
        </is>
      </c>
      <c r="R857" s="92" t="inlineStr">
        <is>
          <t>Synthetische snapshot; kwartalen zijn FY-verdeling, geen actuals</t>
        </is>
      </c>
      <c r="S857" s="15" t="str">
        <f>IF(J857="","",J857&amp;"|"&amp;E857&amp;"|"&amp;F857&amp;"|"&amp;I857&amp;"|"&amp;O857)</f>
        <v>G.900019.8.9090|2026|Q3|2026|Woningverkopen Q4</v>
      </c>
      <c r="T857" s="15">
        <f>IF(OR(S857="",D857&lt;&gt;"Vastgesteld"),"",_xlfn.MAXIFS($G$6:$G$5005,$S$6:$S$5005,S857,$D$6:$D$5005,"Vastgesteld"))</f>
        <v>0</v>
      </c>
      <c r="U857" s="15">
        <f>IF(T857="",0,IF(AND(G857=T857,COUNTIFS($S$6:S857,S857,$G$6:G857,G857,$D$6:D857,"Vastgesteld")=1),1,0))</f>
        <v>1</v>
      </c>
      <c r="V857" s="15">
        <f>IF(T857="",0,IF(AND(G857=T857,COUNTIFS($S$6:S857,S857,$G$6:G857,G857,$D$6:D857,"Vastgesteld")&gt;1),1,0))</f>
        <v>0</v>
      </c>
    </row>
    <row r="858">
      <c r="A858" s="92" t="inlineStr">
        <is>
          <t>HIST-2026-Q3</t>
        </is>
      </c>
      <c r="B858" s="92" t="inlineStr">
        <is>
          <t>RDFO_FICTIEVE_historie_en_mapping.xlsx</t>
        </is>
      </c>
      <c r="C858" s="108" t="n">
        <v>46324</v>
      </c>
      <c r="D858" s="92" t="inlineStr">
        <is>
          <t>Vastgesteld</t>
        </is>
      </c>
      <c r="E858" s="92" t="n">
        <v>2026</v>
      </c>
      <c r="F858" s="92" t="inlineStr">
        <is>
          <t>Q3</t>
        </is>
      </c>
      <c r="G858" s="92" t="n">
        <v>0</v>
      </c>
      <c r="H858" s="108" t="n">
        <v>46295</v>
      </c>
      <c r="I858" s="92" t="n">
        <v>2026</v>
      </c>
      <c r="J858" s="92" t="inlineStr">
        <is>
          <t>G.900019.8.9090</t>
        </is>
      </c>
      <c r="K858" s="92" t="inlineStr">
        <is>
          <t>G.900019</t>
        </is>
      </c>
      <c r="L858" s="92" t="inlineStr">
        <is>
          <t>Zilverdam, Havenlicht</t>
        </is>
      </c>
      <c r="M858" s="92" t="inlineStr">
        <is>
          <t>Opstal</t>
        </is>
      </c>
      <c r="N858" s="92" t="inlineStr">
        <is>
          <t>J</t>
        </is>
      </c>
      <c r="O858" s="92" t="inlineStr">
        <is>
          <t>Woningverkopen actual YTD</t>
        </is>
      </c>
      <c r="P858" s="109" t="n">
        <v>2</v>
      </c>
      <c r="Q858" s="92" t="inlineStr">
        <is>
          <t>aantal</t>
        </is>
      </c>
      <c r="R858" s="92" t="inlineStr">
        <is>
          <t>Synthetische snapshot; kwartalen zijn FY-verdeling, geen actuals</t>
        </is>
      </c>
      <c r="S858" s="15" t="str">
        <f>IF(J858="","",J858&amp;"|"&amp;E858&amp;"|"&amp;F858&amp;"|"&amp;I858&amp;"|"&amp;O858)</f>
        <v>G.900019.8.9090|2026|Q3|2026|Woningverkopen actual YTD</v>
      </c>
      <c r="T858" s="15">
        <f>IF(OR(S858="",D858&lt;&gt;"Vastgesteld"),"",_xlfn.MAXIFS($G$6:$G$5005,$S$6:$S$5005,S858,$D$6:$D$5005,"Vastgesteld"))</f>
        <v>0</v>
      </c>
      <c r="U858" s="15">
        <f>IF(T858="",0,IF(AND(G858=T858,COUNTIFS($S$6:S858,S858,$G$6:G858,G858,$D$6:D858,"Vastgesteld")=1),1,0))</f>
        <v>1</v>
      </c>
      <c r="V858" s="15">
        <f>IF(T858="",0,IF(AND(G858=T858,COUNTIFS($S$6:S858,S858,$G$6:G858,G858,$D$6:D858,"Vastgesteld")&gt;1),1,0))</f>
        <v>0</v>
      </c>
    </row>
    <row r="859">
      <c r="A859" s="92" t="inlineStr">
        <is>
          <t>HIST-2026-Q3</t>
        </is>
      </c>
      <c r="B859" s="92" t="inlineStr">
        <is>
          <t>RDFO_FICTIEVE_historie_en_mapping.xlsx</t>
        </is>
      </c>
      <c r="C859" s="108" t="n">
        <v>46324</v>
      </c>
      <c r="D859" s="92" t="inlineStr">
        <is>
          <t>Vastgesteld</t>
        </is>
      </c>
      <c r="E859" s="92" t="n">
        <v>2026</v>
      </c>
      <c r="F859" s="92" t="inlineStr">
        <is>
          <t>Q3</t>
        </is>
      </c>
      <c r="G859" s="92" t="n">
        <v>0</v>
      </c>
      <c r="H859" s="108" t="n">
        <v>46295</v>
      </c>
      <c r="I859" s="92" t="n">
        <v>2026</v>
      </c>
      <c r="J859" s="92" t="inlineStr">
        <is>
          <t>G.900020.8.9090</t>
        </is>
      </c>
      <c r="K859" s="92" t="inlineStr">
        <is>
          <t>G.900020</t>
        </is>
      </c>
      <c r="L859" s="92" t="inlineStr">
        <is>
          <t>Boswaard, Parkeergebouw</t>
        </is>
      </c>
      <c r="M859" s="92" t="inlineStr">
        <is>
          <t>Opstal</t>
        </is>
      </c>
      <c r="N859" s="92" t="inlineStr">
        <is>
          <t>J</t>
        </is>
      </c>
      <c r="O859" s="92" t="inlineStr">
        <is>
          <t>Woningverkopen FY</t>
        </is>
      </c>
      <c r="P859" s="109" t="n">
        <v>0</v>
      </c>
      <c r="Q859" s="92" t="inlineStr">
        <is>
          <t>aantal</t>
        </is>
      </c>
      <c r="R859" s="92" t="inlineStr">
        <is>
          <t>Synthetische snapshot; kwartalen zijn FY-verdeling, geen actuals</t>
        </is>
      </c>
      <c r="S859" s="15" t="str">
        <f>IF(J859="","",J859&amp;"|"&amp;E859&amp;"|"&amp;F859&amp;"|"&amp;I859&amp;"|"&amp;O859)</f>
        <v>G.900020.8.9090|2026|Q3|2026|Woningverkopen FY</v>
      </c>
      <c r="T859" s="15">
        <f>IF(OR(S859="",D859&lt;&gt;"Vastgesteld"),"",_xlfn.MAXIFS($G$6:$G$5005,$S$6:$S$5005,S859,$D$6:$D$5005,"Vastgesteld"))</f>
        <v>0</v>
      </c>
      <c r="U859" s="15">
        <f>IF(T859="",0,IF(AND(G859=T859,COUNTIFS($S$6:S859,S859,$G$6:G859,G859,$D$6:D859,"Vastgesteld")=1),1,0))</f>
        <v>1</v>
      </c>
      <c r="V859" s="15">
        <f>IF(T859="",0,IF(AND(G859=T859,COUNTIFS($S$6:S859,S859,$G$6:G859,G859,$D$6:D859,"Vastgesteld")&gt;1),1,0))</f>
        <v>0</v>
      </c>
    </row>
    <row r="860">
      <c r="A860" s="92" t="inlineStr">
        <is>
          <t>HIST-2026-Q3</t>
        </is>
      </c>
      <c r="B860" s="92" t="inlineStr">
        <is>
          <t>RDFO_FICTIEVE_historie_en_mapping.xlsx</t>
        </is>
      </c>
      <c r="C860" s="108" t="n">
        <v>46324</v>
      </c>
      <c r="D860" s="92" t="inlineStr">
        <is>
          <t>Vastgesteld</t>
        </is>
      </c>
      <c r="E860" s="92" t="n">
        <v>2026</v>
      </c>
      <c r="F860" s="92" t="inlineStr">
        <is>
          <t>Q3</t>
        </is>
      </c>
      <c r="G860" s="92" t="n">
        <v>0</v>
      </c>
      <c r="H860" s="108" t="n">
        <v>46295</v>
      </c>
      <c r="I860" s="92" t="n">
        <v>2026</v>
      </c>
      <c r="J860" s="92" t="inlineStr">
        <is>
          <t>G.900020.8.9090</t>
        </is>
      </c>
      <c r="K860" s="92" t="inlineStr">
        <is>
          <t>G.900020</t>
        </is>
      </c>
      <c r="L860" s="92" t="inlineStr">
        <is>
          <t>Boswaard, Parkeergebouw</t>
        </is>
      </c>
      <c r="M860" s="92" t="inlineStr">
        <is>
          <t>Opstal</t>
        </is>
      </c>
      <c r="N860" s="92" t="inlineStr">
        <is>
          <t>J</t>
        </is>
      </c>
      <c r="O860" s="92" t="inlineStr">
        <is>
          <t>Woningen verkocht t/m vorig jaar</t>
        </is>
      </c>
      <c r="P860" s="109" t="n">
        <v>0</v>
      </c>
      <c r="Q860" s="92" t="inlineStr">
        <is>
          <t>aantal</t>
        </is>
      </c>
      <c r="R860" s="92" t="inlineStr">
        <is>
          <t>Synthetische snapshot; kwartalen zijn FY-verdeling, geen actuals</t>
        </is>
      </c>
      <c r="S860" s="15" t="str">
        <f>IF(J860="","",J860&amp;"|"&amp;E860&amp;"|"&amp;F860&amp;"|"&amp;I860&amp;"|"&amp;O860)</f>
        <v>G.900020.8.9090|2026|Q3|2026|Woningen verkocht t/m vorig jaar</v>
      </c>
      <c r="T860" s="15">
        <f>IF(OR(S860="",D860&lt;&gt;"Vastgesteld"),"",_xlfn.MAXIFS($G$6:$G$5005,$S$6:$S$5005,S860,$D$6:$D$5005,"Vastgesteld"))</f>
        <v>0</v>
      </c>
      <c r="U860" s="15">
        <f>IF(T860="",0,IF(AND(G860=T860,COUNTIFS($S$6:S860,S860,$G$6:G860,G860,$D$6:D860,"Vastgesteld")=1),1,0))</f>
        <v>1</v>
      </c>
      <c r="V860" s="15">
        <f>IF(T860="",0,IF(AND(G860=T860,COUNTIFS($S$6:S860,S860,$G$6:G860,G860,$D$6:D860,"Vastgesteld")&gt;1),1,0))</f>
        <v>0</v>
      </c>
    </row>
    <row r="861">
      <c r="A861" s="92" t="inlineStr">
        <is>
          <t>HIST-2026-Q3</t>
        </is>
      </c>
      <c r="B861" s="92" t="inlineStr">
        <is>
          <t>RDFO_FICTIEVE_historie_en_mapping.xlsx</t>
        </is>
      </c>
      <c r="C861" s="108" t="n">
        <v>46324</v>
      </c>
      <c r="D861" s="92" t="inlineStr">
        <is>
          <t>Vastgesteld</t>
        </is>
      </c>
      <c r="E861" s="92" t="n">
        <v>2026</v>
      </c>
      <c r="F861" s="92" t="inlineStr">
        <is>
          <t>Q3</t>
        </is>
      </c>
      <c r="G861" s="92" t="n">
        <v>0</v>
      </c>
      <c r="H861" s="108" t="n">
        <v>46295</v>
      </c>
      <c r="I861" s="92" t="n">
        <v>2026</v>
      </c>
      <c r="J861" s="92" t="inlineStr">
        <is>
          <t>G.900020.8.9090</t>
        </is>
      </c>
      <c r="K861" s="92" t="inlineStr">
        <is>
          <t>G.900020</t>
        </is>
      </c>
      <c r="L861" s="92" t="inlineStr">
        <is>
          <t>Boswaard, Parkeergebouw</t>
        </is>
      </c>
      <c r="M861" s="92" t="inlineStr">
        <is>
          <t>Opstal</t>
        </is>
      </c>
      <c r="N861" s="92" t="inlineStr">
        <is>
          <t>J</t>
        </is>
      </c>
      <c r="O861" s="92" t="inlineStr">
        <is>
          <t>Woningverkopen Q1</t>
        </is>
      </c>
      <c r="P861" s="109" t="n">
        <v>0</v>
      </c>
      <c r="Q861" s="92" t="inlineStr">
        <is>
          <t>aantal</t>
        </is>
      </c>
      <c r="R861" s="92" t="inlineStr">
        <is>
          <t>Synthetische snapshot; kwartalen zijn FY-verdeling, geen actuals</t>
        </is>
      </c>
      <c r="S861" s="15" t="str">
        <f>IF(J861="","",J861&amp;"|"&amp;E861&amp;"|"&amp;F861&amp;"|"&amp;I861&amp;"|"&amp;O861)</f>
        <v>G.900020.8.9090|2026|Q3|2026|Woningverkopen Q1</v>
      </c>
      <c r="T861" s="15">
        <f>IF(OR(S861="",D861&lt;&gt;"Vastgesteld"),"",_xlfn.MAXIFS($G$6:$G$5005,$S$6:$S$5005,S861,$D$6:$D$5005,"Vastgesteld"))</f>
        <v>0</v>
      </c>
      <c r="U861" s="15">
        <f>IF(T861="",0,IF(AND(G861=T861,COUNTIFS($S$6:S861,S861,$G$6:G861,G861,$D$6:D861,"Vastgesteld")=1),1,0))</f>
        <v>1</v>
      </c>
      <c r="V861" s="15">
        <f>IF(T861="",0,IF(AND(G861=T861,COUNTIFS($S$6:S861,S861,$G$6:G861,G861,$D$6:D861,"Vastgesteld")&gt;1),1,0))</f>
        <v>0</v>
      </c>
    </row>
    <row r="862">
      <c r="A862" s="92" t="inlineStr">
        <is>
          <t>HIST-2026-Q3</t>
        </is>
      </c>
      <c r="B862" s="92" t="inlineStr">
        <is>
          <t>RDFO_FICTIEVE_historie_en_mapping.xlsx</t>
        </is>
      </c>
      <c r="C862" s="108" t="n">
        <v>46324</v>
      </c>
      <c r="D862" s="92" t="inlineStr">
        <is>
          <t>Vastgesteld</t>
        </is>
      </c>
      <c r="E862" s="92" t="n">
        <v>2026</v>
      </c>
      <c r="F862" s="92" t="inlineStr">
        <is>
          <t>Q3</t>
        </is>
      </c>
      <c r="G862" s="92" t="n">
        <v>0</v>
      </c>
      <c r="H862" s="108" t="n">
        <v>46295</v>
      </c>
      <c r="I862" s="92" t="n">
        <v>2026</v>
      </c>
      <c r="J862" s="92" t="inlineStr">
        <is>
          <t>G.900020.8.9090</t>
        </is>
      </c>
      <c r="K862" s="92" t="inlineStr">
        <is>
          <t>G.900020</t>
        </is>
      </c>
      <c r="L862" s="92" t="inlineStr">
        <is>
          <t>Boswaard, Parkeergebouw</t>
        </is>
      </c>
      <c r="M862" s="92" t="inlineStr">
        <is>
          <t>Opstal</t>
        </is>
      </c>
      <c r="N862" s="92" t="inlineStr">
        <is>
          <t>J</t>
        </is>
      </c>
      <c r="O862" s="92" t="inlineStr">
        <is>
          <t>Woningverkopen Q2</t>
        </is>
      </c>
      <c r="P862" s="109" t="n">
        <v>0</v>
      </c>
      <c r="Q862" s="92" t="inlineStr">
        <is>
          <t>aantal</t>
        </is>
      </c>
      <c r="R862" s="92" t="inlineStr">
        <is>
          <t>Synthetische snapshot; kwartalen zijn FY-verdeling, geen actuals</t>
        </is>
      </c>
      <c r="S862" s="15" t="str">
        <f>IF(J862="","",J862&amp;"|"&amp;E862&amp;"|"&amp;F862&amp;"|"&amp;I862&amp;"|"&amp;O862)</f>
        <v>G.900020.8.9090|2026|Q3|2026|Woningverkopen Q2</v>
      </c>
      <c r="T862" s="15">
        <f>IF(OR(S862="",D862&lt;&gt;"Vastgesteld"),"",_xlfn.MAXIFS($G$6:$G$5005,$S$6:$S$5005,S862,$D$6:$D$5005,"Vastgesteld"))</f>
        <v>0</v>
      </c>
      <c r="U862" s="15">
        <f>IF(T862="",0,IF(AND(G862=T862,COUNTIFS($S$6:S862,S862,$G$6:G862,G862,$D$6:D862,"Vastgesteld")=1),1,0))</f>
        <v>1</v>
      </c>
      <c r="V862" s="15">
        <f>IF(T862="",0,IF(AND(G862=T862,COUNTIFS($S$6:S862,S862,$G$6:G862,G862,$D$6:D862,"Vastgesteld")&gt;1),1,0))</f>
        <v>0</v>
      </c>
    </row>
    <row r="863">
      <c r="A863" s="92" t="inlineStr">
        <is>
          <t>HIST-2026-Q3</t>
        </is>
      </c>
      <c r="B863" s="92" t="inlineStr">
        <is>
          <t>RDFO_FICTIEVE_historie_en_mapping.xlsx</t>
        </is>
      </c>
      <c r="C863" s="108" t="n">
        <v>46324</v>
      </c>
      <c r="D863" s="92" t="inlineStr">
        <is>
          <t>Vastgesteld</t>
        </is>
      </c>
      <c r="E863" s="92" t="n">
        <v>2026</v>
      </c>
      <c r="F863" s="92" t="inlineStr">
        <is>
          <t>Q3</t>
        </is>
      </c>
      <c r="G863" s="92" t="n">
        <v>0</v>
      </c>
      <c r="H863" s="108" t="n">
        <v>46295</v>
      </c>
      <c r="I863" s="92" t="n">
        <v>2026</v>
      </c>
      <c r="J863" s="92" t="inlineStr">
        <is>
          <t>G.900020.8.9090</t>
        </is>
      </c>
      <c r="K863" s="92" t="inlineStr">
        <is>
          <t>G.900020</t>
        </is>
      </c>
      <c r="L863" s="92" t="inlineStr">
        <is>
          <t>Boswaard, Parkeergebouw</t>
        </is>
      </c>
      <c r="M863" s="92" t="inlineStr">
        <is>
          <t>Opstal</t>
        </is>
      </c>
      <c r="N863" s="92" t="inlineStr">
        <is>
          <t>J</t>
        </is>
      </c>
      <c r="O863" s="92" t="inlineStr">
        <is>
          <t>Woningverkopen Q3</t>
        </is>
      </c>
      <c r="P863" s="109" t="n">
        <v>0</v>
      </c>
      <c r="Q863" s="92" t="inlineStr">
        <is>
          <t>aantal</t>
        </is>
      </c>
      <c r="R863" s="92" t="inlineStr">
        <is>
          <t>Synthetische snapshot; kwartalen zijn FY-verdeling, geen actuals</t>
        </is>
      </c>
      <c r="S863" s="15" t="str">
        <f>IF(J863="","",J863&amp;"|"&amp;E863&amp;"|"&amp;F863&amp;"|"&amp;I863&amp;"|"&amp;O863)</f>
        <v>G.900020.8.9090|2026|Q3|2026|Woningverkopen Q3</v>
      </c>
      <c r="T863" s="15">
        <f>IF(OR(S863="",D863&lt;&gt;"Vastgesteld"),"",_xlfn.MAXIFS($G$6:$G$5005,$S$6:$S$5005,S863,$D$6:$D$5005,"Vastgesteld"))</f>
        <v>0</v>
      </c>
      <c r="U863" s="15">
        <f>IF(T863="",0,IF(AND(G863=T863,COUNTIFS($S$6:S863,S863,$G$6:G863,G863,$D$6:D863,"Vastgesteld")=1),1,0))</f>
        <v>1</v>
      </c>
      <c r="V863" s="15">
        <f>IF(T863="",0,IF(AND(G863=T863,COUNTIFS($S$6:S863,S863,$G$6:G863,G863,$D$6:D863,"Vastgesteld")&gt;1),1,0))</f>
        <v>0</v>
      </c>
    </row>
    <row r="864">
      <c r="A864" s="92" t="inlineStr">
        <is>
          <t>HIST-2026-Q3</t>
        </is>
      </c>
      <c r="B864" s="92" t="inlineStr">
        <is>
          <t>RDFO_FICTIEVE_historie_en_mapping.xlsx</t>
        </is>
      </c>
      <c r="C864" s="108" t="n">
        <v>46324</v>
      </c>
      <c r="D864" s="92" t="inlineStr">
        <is>
          <t>Vastgesteld</t>
        </is>
      </c>
      <c r="E864" s="92" t="n">
        <v>2026</v>
      </c>
      <c r="F864" s="92" t="inlineStr">
        <is>
          <t>Q3</t>
        </is>
      </c>
      <c r="G864" s="92" t="n">
        <v>0</v>
      </c>
      <c r="H864" s="108" t="n">
        <v>46295</v>
      </c>
      <c r="I864" s="92" t="n">
        <v>2026</v>
      </c>
      <c r="J864" s="92" t="inlineStr">
        <is>
          <t>G.900020.8.9090</t>
        </is>
      </c>
      <c r="K864" s="92" t="inlineStr">
        <is>
          <t>G.900020</t>
        </is>
      </c>
      <c r="L864" s="92" t="inlineStr">
        <is>
          <t>Boswaard, Parkeergebouw</t>
        </is>
      </c>
      <c r="M864" s="92" t="inlineStr">
        <is>
          <t>Opstal</t>
        </is>
      </c>
      <c r="N864" s="92" t="inlineStr">
        <is>
          <t>J</t>
        </is>
      </c>
      <c r="O864" s="92" t="inlineStr">
        <is>
          <t>Woningverkopen Q4</t>
        </is>
      </c>
      <c r="P864" s="109" t="n">
        <v>0</v>
      </c>
      <c r="Q864" s="92" t="inlineStr">
        <is>
          <t>aantal</t>
        </is>
      </c>
      <c r="R864" s="92" t="inlineStr">
        <is>
          <t>Synthetische snapshot; kwartalen zijn FY-verdeling, geen actuals</t>
        </is>
      </c>
      <c r="S864" s="15" t="str">
        <f>IF(J864="","",J864&amp;"|"&amp;E864&amp;"|"&amp;F864&amp;"|"&amp;I864&amp;"|"&amp;O864)</f>
        <v>G.900020.8.9090|2026|Q3|2026|Woningverkopen Q4</v>
      </c>
      <c r="T864" s="15">
        <f>IF(OR(S864="",D864&lt;&gt;"Vastgesteld"),"",_xlfn.MAXIFS($G$6:$G$5005,$S$6:$S$5005,S864,$D$6:$D$5005,"Vastgesteld"))</f>
        <v>0</v>
      </c>
      <c r="U864" s="15">
        <f>IF(T864="",0,IF(AND(G864=T864,COUNTIFS($S$6:S864,S864,$G$6:G864,G864,$D$6:D864,"Vastgesteld")=1),1,0))</f>
        <v>1</v>
      </c>
      <c r="V864" s="15">
        <f>IF(T864="",0,IF(AND(G864=T864,COUNTIFS($S$6:S864,S864,$G$6:G864,G864,$D$6:D864,"Vastgesteld")&gt;1),1,0))</f>
        <v>0</v>
      </c>
    </row>
    <row r="865">
      <c r="A865" s="92" t="inlineStr">
        <is>
          <t>HIST-2026-Q3</t>
        </is>
      </c>
      <c r="B865" s="92" t="inlineStr">
        <is>
          <t>RDFO_FICTIEVE_historie_en_mapping.xlsx</t>
        </is>
      </c>
      <c r="C865" s="108" t="n">
        <v>46324</v>
      </c>
      <c r="D865" s="92" t="inlineStr">
        <is>
          <t>Vastgesteld</t>
        </is>
      </c>
      <c r="E865" s="92" t="n">
        <v>2026</v>
      </c>
      <c r="F865" s="92" t="inlineStr">
        <is>
          <t>Q3</t>
        </is>
      </c>
      <c r="G865" s="92" t="n">
        <v>0</v>
      </c>
      <c r="H865" s="108" t="n">
        <v>46295</v>
      </c>
      <c r="I865" s="92" t="n">
        <v>2026</v>
      </c>
      <c r="J865" s="92" t="inlineStr">
        <is>
          <t>G.900020.8.9090</t>
        </is>
      </c>
      <c r="K865" s="92" t="inlineStr">
        <is>
          <t>G.900020</t>
        </is>
      </c>
      <c r="L865" s="92" t="inlineStr">
        <is>
          <t>Boswaard, Parkeergebouw</t>
        </is>
      </c>
      <c r="M865" s="92" t="inlineStr">
        <is>
          <t>Opstal</t>
        </is>
      </c>
      <c r="N865" s="92" t="inlineStr">
        <is>
          <t>J</t>
        </is>
      </c>
      <c r="O865" s="92" t="inlineStr">
        <is>
          <t>Woningverkopen actual YTD</t>
        </is>
      </c>
      <c r="P865" s="109" t="n">
        <v>0</v>
      </c>
      <c r="Q865" s="92" t="inlineStr">
        <is>
          <t>aantal</t>
        </is>
      </c>
      <c r="R865" s="92" t="inlineStr">
        <is>
          <t>Synthetische snapshot; kwartalen zijn FY-verdeling, geen actuals</t>
        </is>
      </c>
      <c r="S865" s="15" t="str">
        <f>IF(J865="","",J865&amp;"|"&amp;E865&amp;"|"&amp;F865&amp;"|"&amp;I865&amp;"|"&amp;O865)</f>
        <v>G.900020.8.9090|2026|Q3|2026|Woningverkopen actual YTD</v>
      </c>
      <c r="T865" s="15">
        <f>IF(OR(S865="",D865&lt;&gt;"Vastgesteld"),"",_xlfn.MAXIFS($G$6:$G$5005,$S$6:$S$5005,S865,$D$6:$D$5005,"Vastgesteld"))</f>
        <v>0</v>
      </c>
      <c r="U865" s="15">
        <f>IF(T865="",0,IF(AND(G865=T865,COUNTIFS($S$6:S865,S865,$G$6:G865,G865,$D$6:D865,"Vastgesteld")=1),1,0))</f>
        <v>1</v>
      </c>
      <c r="V865" s="15">
        <f>IF(T865="",0,IF(AND(G865=T865,COUNTIFS($S$6:S865,S865,$G$6:G865,G865,$D$6:D865,"Vastgesteld")&gt;1),1,0))</f>
        <v>0</v>
      </c>
    </row>
    <row r="866">
      <c r="S866" s="15" t="str">
        <f>IF(J866="","",J866&amp;"|"&amp;E866&amp;"|"&amp;F866&amp;"|"&amp;I866&amp;"|"&amp;O866)</f>
        <v/>
      </c>
      <c r="T866" s="15" t="str">
        <f>IF(OR(S866="",D866&lt;&gt;"Vastgesteld"),"",_xlfn.MAXIFS($G$6:$G$5005,$S$6:$S$5005,S866,$D$6:$D$5005,"Vastgesteld"))</f>
        <v/>
      </c>
      <c r="U866" s="15">
        <f>IF(T866="",0,IF(AND(G866=T866,COUNTIFS($S$6:S866,S866,$G$6:G866,G866,$D$6:D866,"Vastgesteld")=1),1,0))</f>
        <v>0</v>
      </c>
      <c r="V866" s="15">
        <f>IF(T866="",0,IF(AND(G866=T866,COUNTIFS($S$6:S866,S866,$G$6:G866,G866,$D$6:D866,"Vastgesteld")&gt;1),1,0))</f>
        <v>0</v>
      </c>
    </row>
    <row r="867">
      <c r="S867" s="15" t="str">
        <f>IF(J867="","",J867&amp;"|"&amp;E867&amp;"|"&amp;F867&amp;"|"&amp;I867&amp;"|"&amp;O867)</f>
        <v/>
      </c>
      <c r="T867" s="15" t="str">
        <f>IF(OR(S867="",D867&lt;&gt;"Vastgesteld"),"",_xlfn.MAXIFS($G$6:$G$5005,$S$6:$S$5005,S867,$D$6:$D$5005,"Vastgesteld"))</f>
        <v/>
      </c>
      <c r="U867" s="15">
        <f>IF(T867="",0,IF(AND(G867=T867,COUNTIFS($S$6:S867,S867,$G$6:G867,G867,$D$6:D867,"Vastgesteld")=1),1,0))</f>
        <v>0</v>
      </c>
      <c r="V867" s="15">
        <f>IF(T867="",0,IF(AND(G867=T867,COUNTIFS($S$6:S867,S867,$G$6:G867,G867,$D$6:D867,"Vastgesteld")&gt;1),1,0))</f>
        <v>0</v>
      </c>
    </row>
    <row r="868">
      <c r="S868" s="15" t="str">
        <f>IF(J868="","",J868&amp;"|"&amp;E868&amp;"|"&amp;F868&amp;"|"&amp;I868&amp;"|"&amp;O868)</f>
        <v/>
      </c>
      <c r="T868" s="15" t="str">
        <f>IF(OR(S868="",D868&lt;&gt;"Vastgesteld"),"",_xlfn.MAXIFS($G$6:$G$5005,$S$6:$S$5005,S868,$D$6:$D$5005,"Vastgesteld"))</f>
        <v/>
      </c>
      <c r="U868" s="15">
        <f>IF(T868="",0,IF(AND(G868=T868,COUNTIFS($S$6:S868,S868,$G$6:G868,G868,$D$6:D868,"Vastgesteld")=1),1,0))</f>
        <v>0</v>
      </c>
      <c r="V868" s="15">
        <f>IF(T868="",0,IF(AND(G868=T868,COUNTIFS($S$6:S868,S868,$G$6:G868,G868,$D$6:D868,"Vastgesteld")&gt;1),1,0))</f>
        <v>0</v>
      </c>
    </row>
    <row r="869">
      <c r="S869" s="15" t="str">
        <f>IF(J869="","",J869&amp;"|"&amp;E869&amp;"|"&amp;F869&amp;"|"&amp;I869&amp;"|"&amp;O869)</f>
        <v/>
      </c>
      <c r="T869" s="15" t="str">
        <f>IF(OR(S869="",D869&lt;&gt;"Vastgesteld"),"",_xlfn.MAXIFS($G$6:$G$5005,$S$6:$S$5005,S869,$D$6:$D$5005,"Vastgesteld"))</f>
        <v/>
      </c>
      <c r="U869" s="15">
        <f>IF(T869="",0,IF(AND(G869=T869,COUNTIFS($S$6:S869,S869,$G$6:G869,G869,$D$6:D869,"Vastgesteld")=1),1,0))</f>
        <v>0</v>
      </c>
      <c r="V869" s="15">
        <f>IF(T869="",0,IF(AND(G869=T869,COUNTIFS($S$6:S869,S869,$G$6:G869,G869,$D$6:D869,"Vastgesteld")&gt;1),1,0))</f>
        <v>0</v>
      </c>
    </row>
    <row r="870">
      <c r="S870" s="15" t="str">
        <f>IF(J870="","",J870&amp;"|"&amp;E870&amp;"|"&amp;F870&amp;"|"&amp;I870&amp;"|"&amp;O870)</f>
        <v/>
      </c>
      <c r="T870" s="15" t="str">
        <f>IF(OR(S870="",D870&lt;&gt;"Vastgesteld"),"",_xlfn.MAXIFS($G$6:$G$5005,$S$6:$S$5005,S870,$D$6:$D$5005,"Vastgesteld"))</f>
        <v/>
      </c>
      <c r="U870" s="15">
        <f>IF(T870="",0,IF(AND(G870=T870,COUNTIFS($S$6:S870,S870,$G$6:G870,G870,$D$6:D870,"Vastgesteld")=1),1,0))</f>
        <v>0</v>
      </c>
      <c r="V870" s="15">
        <f>IF(T870="",0,IF(AND(G870=T870,COUNTIFS($S$6:S870,S870,$G$6:G870,G870,$D$6:D870,"Vastgesteld")&gt;1),1,0))</f>
        <v>0</v>
      </c>
    </row>
    <row r="871">
      <c r="S871" s="15" t="str">
        <f>IF(J871="","",J871&amp;"|"&amp;E871&amp;"|"&amp;F871&amp;"|"&amp;I871&amp;"|"&amp;O871)</f>
        <v/>
      </c>
      <c r="T871" s="15" t="str">
        <f>IF(OR(S871="",D871&lt;&gt;"Vastgesteld"),"",_xlfn.MAXIFS($G$6:$G$5005,$S$6:$S$5005,S871,$D$6:$D$5005,"Vastgesteld"))</f>
        <v/>
      </c>
      <c r="U871" s="15">
        <f>IF(T871="",0,IF(AND(G871=T871,COUNTIFS($S$6:S871,S871,$G$6:G871,G871,$D$6:D871,"Vastgesteld")=1),1,0))</f>
        <v>0</v>
      </c>
      <c r="V871" s="15">
        <f>IF(T871="",0,IF(AND(G871=T871,COUNTIFS($S$6:S871,S871,$G$6:G871,G871,$D$6:D871,"Vastgesteld")&gt;1),1,0))</f>
        <v>0</v>
      </c>
    </row>
    <row r="872">
      <c r="S872" s="15" t="str">
        <f>IF(J872="","",J872&amp;"|"&amp;E872&amp;"|"&amp;F872&amp;"|"&amp;I872&amp;"|"&amp;O872)</f>
        <v/>
      </c>
      <c r="T872" s="15" t="str">
        <f>IF(OR(S872="",D872&lt;&gt;"Vastgesteld"),"",_xlfn.MAXIFS($G$6:$G$5005,$S$6:$S$5005,S872,$D$6:$D$5005,"Vastgesteld"))</f>
        <v/>
      </c>
      <c r="U872" s="15">
        <f>IF(T872="",0,IF(AND(G872=T872,COUNTIFS($S$6:S872,S872,$G$6:G872,G872,$D$6:D872,"Vastgesteld")=1),1,0))</f>
        <v>0</v>
      </c>
      <c r="V872" s="15">
        <f>IF(T872="",0,IF(AND(G872=T872,COUNTIFS($S$6:S872,S872,$G$6:G872,G872,$D$6:D872,"Vastgesteld")&gt;1),1,0))</f>
        <v>0</v>
      </c>
    </row>
    <row r="873">
      <c r="S873" s="15" t="str">
        <f>IF(J873="","",J873&amp;"|"&amp;E873&amp;"|"&amp;F873&amp;"|"&amp;I873&amp;"|"&amp;O873)</f>
        <v/>
      </c>
      <c r="T873" s="15" t="str">
        <f>IF(OR(S873="",D873&lt;&gt;"Vastgesteld"),"",_xlfn.MAXIFS($G$6:$G$5005,$S$6:$S$5005,S873,$D$6:$D$5005,"Vastgesteld"))</f>
        <v/>
      </c>
      <c r="U873" s="15">
        <f>IF(T873="",0,IF(AND(G873=T873,COUNTIFS($S$6:S873,S873,$G$6:G873,G873,$D$6:D873,"Vastgesteld")=1),1,0))</f>
        <v>0</v>
      </c>
      <c r="V873" s="15">
        <f>IF(T873="",0,IF(AND(G873=T873,COUNTIFS($S$6:S873,S873,$G$6:G873,G873,$D$6:D873,"Vastgesteld")&gt;1),1,0))</f>
        <v>0</v>
      </c>
    </row>
    <row r="874">
      <c r="S874" s="15" t="str">
        <f>IF(J874="","",J874&amp;"|"&amp;E874&amp;"|"&amp;F874&amp;"|"&amp;I874&amp;"|"&amp;O874)</f>
        <v/>
      </c>
      <c r="T874" s="15" t="str">
        <f>IF(OR(S874="",D874&lt;&gt;"Vastgesteld"),"",_xlfn.MAXIFS($G$6:$G$5005,$S$6:$S$5005,S874,$D$6:$D$5005,"Vastgesteld"))</f>
        <v/>
      </c>
      <c r="U874" s="15">
        <f>IF(T874="",0,IF(AND(G874=T874,COUNTIFS($S$6:S874,S874,$G$6:G874,G874,$D$6:D874,"Vastgesteld")=1),1,0))</f>
        <v>0</v>
      </c>
      <c r="V874" s="15">
        <f>IF(T874="",0,IF(AND(G874=T874,COUNTIFS($S$6:S874,S874,$G$6:G874,G874,$D$6:D874,"Vastgesteld")&gt;1),1,0))</f>
        <v>0</v>
      </c>
    </row>
    <row r="875">
      <c r="S875" s="15" t="str">
        <f>IF(J875="","",J875&amp;"|"&amp;E875&amp;"|"&amp;F875&amp;"|"&amp;I875&amp;"|"&amp;O875)</f>
        <v/>
      </c>
      <c r="T875" s="15" t="str">
        <f>IF(OR(S875="",D875&lt;&gt;"Vastgesteld"),"",_xlfn.MAXIFS($G$6:$G$5005,$S$6:$S$5005,S875,$D$6:$D$5005,"Vastgesteld"))</f>
        <v/>
      </c>
      <c r="U875" s="15">
        <f>IF(T875="",0,IF(AND(G875=T875,COUNTIFS($S$6:S875,S875,$G$6:G875,G875,$D$6:D875,"Vastgesteld")=1),1,0))</f>
        <v>0</v>
      </c>
      <c r="V875" s="15">
        <f>IF(T875="",0,IF(AND(G875=T875,COUNTIFS($S$6:S875,S875,$G$6:G875,G875,$D$6:D875,"Vastgesteld")&gt;1),1,0))</f>
        <v>0</v>
      </c>
    </row>
    <row r="876">
      <c r="S876" s="15" t="str">
        <f>IF(J876="","",J876&amp;"|"&amp;E876&amp;"|"&amp;F876&amp;"|"&amp;I876&amp;"|"&amp;O876)</f>
        <v/>
      </c>
      <c r="T876" s="15" t="str">
        <f>IF(OR(S876="",D876&lt;&gt;"Vastgesteld"),"",_xlfn.MAXIFS($G$6:$G$5005,$S$6:$S$5005,S876,$D$6:$D$5005,"Vastgesteld"))</f>
        <v/>
      </c>
      <c r="U876" s="15">
        <f>IF(T876="",0,IF(AND(G876=T876,COUNTIFS($S$6:S876,S876,$G$6:G876,G876,$D$6:D876,"Vastgesteld")=1),1,0))</f>
        <v>0</v>
      </c>
      <c r="V876" s="15">
        <f>IF(T876="",0,IF(AND(G876=T876,COUNTIFS($S$6:S876,S876,$G$6:G876,G876,$D$6:D876,"Vastgesteld")&gt;1),1,0))</f>
        <v>0</v>
      </c>
    </row>
    <row r="877">
      <c r="S877" s="15" t="str">
        <f>IF(J877="","",J877&amp;"|"&amp;E877&amp;"|"&amp;F877&amp;"|"&amp;I877&amp;"|"&amp;O877)</f>
        <v/>
      </c>
      <c r="T877" s="15" t="str">
        <f>IF(OR(S877="",D877&lt;&gt;"Vastgesteld"),"",_xlfn.MAXIFS($G$6:$G$5005,$S$6:$S$5005,S877,$D$6:$D$5005,"Vastgesteld"))</f>
        <v/>
      </c>
      <c r="U877" s="15">
        <f>IF(T877="",0,IF(AND(G877=T877,COUNTIFS($S$6:S877,S877,$G$6:G877,G877,$D$6:D877,"Vastgesteld")=1),1,0))</f>
        <v>0</v>
      </c>
      <c r="V877" s="15">
        <f>IF(T877="",0,IF(AND(G877=T877,COUNTIFS($S$6:S877,S877,$G$6:G877,G877,$D$6:D877,"Vastgesteld")&gt;1),1,0))</f>
        <v>0</v>
      </c>
    </row>
    <row r="878">
      <c r="S878" s="15" t="str">
        <f>IF(J878="","",J878&amp;"|"&amp;E878&amp;"|"&amp;F878&amp;"|"&amp;I878&amp;"|"&amp;O878)</f>
        <v/>
      </c>
      <c r="T878" s="15" t="str">
        <f>IF(OR(S878="",D878&lt;&gt;"Vastgesteld"),"",_xlfn.MAXIFS($G$6:$G$5005,$S$6:$S$5005,S878,$D$6:$D$5005,"Vastgesteld"))</f>
        <v/>
      </c>
      <c r="U878" s="15">
        <f>IF(T878="",0,IF(AND(G878=T878,COUNTIFS($S$6:S878,S878,$G$6:G878,G878,$D$6:D878,"Vastgesteld")=1),1,0))</f>
        <v>0</v>
      </c>
      <c r="V878" s="15">
        <f>IF(T878="",0,IF(AND(G878=T878,COUNTIFS($S$6:S878,S878,$G$6:G878,G878,$D$6:D878,"Vastgesteld")&gt;1),1,0))</f>
        <v>0</v>
      </c>
    </row>
    <row r="879">
      <c r="S879" s="15" t="str">
        <f>IF(J879="","",J879&amp;"|"&amp;E879&amp;"|"&amp;F879&amp;"|"&amp;I879&amp;"|"&amp;O879)</f>
        <v/>
      </c>
      <c r="T879" s="15" t="str">
        <f>IF(OR(S879="",D879&lt;&gt;"Vastgesteld"),"",_xlfn.MAXIFS($G$6:$G$5005,$S$6:$S$5005,S879,$D$6:$D$5005,"Vastgesteld"))</f>
        <v/>
      </c>
      <c r="U879" s="15">
        <f>IF(T879="",0,IF(AND(G879=T879,COUNTIFS($S$6:S879,S879,$G$6:G879,G879,$D$6:D879,"Vastgesteld")=1),1,0))</f>
        <v>0</v>
      </c>
      <c r="V879" s="15">
        <f>IF(T879="",0,IF(AND(G879=T879,COUNTIFS($S$6:S879,S879,$G$6:G879,G879,$D$6:D879,"Vastgesteld")&gt;1),1,0))</f>
        <v>0</v>
      </c>
    </row>
    <row r="880">
      <c r="S880" s="15" t="str">
        <f>IF(J880="","",J880&amp;"|"&amp;E880&amp;"|"&amp;F880&amp;"|"&amp;I880&amp;"|"&amp;O880)</f>
        <v/>
      </c>
      <c r="T880" s="15" t="str">
        <f>IF(OR(S880="",D880&lt;&gt;"Vastgesteld"),"",_xlfn.MAXIFS($G$6:$G$5005,$S$6:$S$5005,S880,$D$6:$D$5005,"Vastgesteld"))</f>
        <v/>
      </c>
      <c r="U880" s="15">
        <f>IF(T880="",0,IF(AND(G880=T880,COUNTIFS($S$6:S880,S880,$G$6:G880,G880,$D$6:D880,"Vastgesteld")=1),1,0))</f>
        <v>0</v>
      </c>
      <c r="V880" s="15">
        <f>IF(T880="",0,IF(AND(G880=T880,COUNTIFS($S$6:S880,S880,$G$6:G880,G880,$D$6:D880,"Vastgesteld")&gt;1),1,0))</f>
        <v>0</v>
      </c>
    </row>
    <row r="881">
      <c r="S881" s="15" t="str">
        <f>IF(J881="","",J881&amp;"|"&amp;E881&amp;"|"&amp;F881&amp;"|"&amp;I881&amp;"|"&amp;O881)</f>
        <v/>
      </c>
      <c r="T881" s="15" t="str">
        <f>IF(OR(S881="",D881&lt;&gt;"Vastgesteld"),"",_xlfn.MAXIFS($G$6:$G$5005,$S$6:$S$5005,S881,$D$6:$D$5005,"Vastgesteld"))</f>
        <v/>
      </c>
      <c r="U881" s="15">
        <f>IF(T881="",0,IF(AND(G881=T881,COUNTIFS($S$6:S881,S881,$G$6:G881,G881,$D$6:D881,"Vastgesteld")=1),1,0))</f>
        <v>0</v>
      </c>
      <c r="V881" s="15">
        <f>IF(T881="",0,IF(AND(G881=T881,COUNTIFS($S$6:S881,S881,$G$6:G881,G881,$D$6:D881,"Vastgesteld")&gt;1),1,0))</f>
        <v>0</v>
      </c>
    </row>
    <row r="882">
      <c r="S882" s="15" t="str">
        <f>IF(J882="","",J882&amp;"|"&amp;E882&amp;"|"&amp;F882&amp;"|"&amp;I882&amp;"|"&amp;O882)</f>
        <v/>
      </c>
      <c r="T882" s="15" t="str">
        <f>IF(OR(S882="",D882&lt;&gt;"Vastgesteld"),"",_xlfn.MAXIFS($G$6:$G$5005,$S$6:$S$5005,S882,$D$6:$D$5005,"Vastgesteld"))</f>
        <v/>
      </c>
      <c r="U882" s="15">
        <f>IF(T882="",0,IF(AND(G882=T882,COUNTIFS($S$6:S882,S882,$G$6:G882,G882,$D$6:D882,"Vastgesteld")=1),1,0))</f>
        <v>0</v>
      </c>
      <c r="V882" s="15">
        <f>IF(T882="",0,IF(AND(G882=T882,COUNTIFS($S$6:S882,S882,$G$6:G882,G882,$D$6:D882,"Vastgesteld")&gt;1),1,0))</f>
        <v>0</v>
      </c>
    </row>
    <row r="883">
      <c r="S883" s="15" t="str">
        <f>IF(J883="","",J883&amp;"|"&amp;E883&amp;"|"&amp;F883&amp;"|"&amp;I883&amp;"|"&amp;O883)</f>
        <v/>
      </c>
      <c r="T883" s="15" t="str">
        <f>IF(OR(S883="",D883&lt;&gt;"Vastgesteld"),"",_xlfn.MAXIFS($G$6:$G$5005,$S$6:$S$5005,S883,$D$6:$D$5005,"Vastgesteld"))</f>
        <v/>
      </c>
      <c r="U883" s="15">
        <f>IF(T883="",0,IF(AND(G883=T883,COUNTIFS($S$6:S883,S883,$G$6:G883,G883,$D$6:D883,"Vastgesteld")=1),1,0))</f>
        <v>0</v>
      </c>
      <c r="V883" s="15">
        <f>IF(T883="",0,IF(AND(G883=T883,COUNTIFS($S$6:S883,S883,$G$6:G883,G883,$D$6:D883,"Vastgesteld")&gt;1),1,0))</f>
        <v>0</v>
      </c>
    </row>
    <row r="884">
      <c r="S884" s="15" t="str">
        <f>IF(J884="","",J884&amp;"|"&amp;E884&amp;"|"&amp;F884&amp;"|"&amp;I884&amp;"|"&amp;O884)</f>
        <v/>
      </c>
      <c r="T884" s="15" t="str">
        <f>IF(OR(S884="",D884&lt;&gt;"Vastgesteld"),"",_xlfn.MAXIFS($G$6:$G$5005,$S$6:$S$5005,S884,$D$6:$D$5005,"Vastgesteld"))</f>
        <v/>
      </c>
      <c r="U884" s="15">
        <f>IF(T884="",0,IF(AND(G884=T884,COUNTIFS($S$6:S884,S884,$G$6:G884,G884,$D$6:D884,"Vastgesteld")=1),1,0))</f>
        <v>0</v>
      </c>
      <c r="V884" s="15">
        <f>IF(T884="",0,IF(AND(G884=T884,COUNTIFS($S$6:S884,S884,$G$6:G884,G884,$D$6:D884,"Vastgesteld")&gt;1),1,0))</f>
        <v>0</v>
      </c>
    </row>
    <row r="885">
      <c r="S885" s="15" t="str">
        <f>IF(J885="","",J885&amp;"|"&amp;E885&amp;"|"&amp;F885&amp;"|"&amp;I885&amp;"|"&amp;O885)</f>
        <v/>
      </c>
      <c r="T885" s="15" t="str">
        <f>IF(OR(S885="",D885&lt;&gt;"Vastgesteld"),"",_xlfn.MAXIFS($G$6:$G$5005,$S$6:$S$5005,S885,$D$6:$D$5005,"Vastgesteld"))</f>
        <v/>
      </c>
      <c r="U885" s="15">
        <f>IF(T885="",0,IF(AND(G885=T885,COUNTIFS($S$6:S885,S885,$G$6:G885,G885,$D$6:D885,"Vastgesteld")=1),1,0))</f>
        <v>0</v>
      </c>
      <c r="V885" s="15">
        <f>IF(T885="",0,IF(AND(G885=T885,COUNTIFS($S$6:S885,S885,$G$6:G885,G885,$D$6:D885,"Vastgesteld")&gt;1),1,0))</f>
        <v>0</v>
      </c>
    </row>
    <row r="886">
      <c r="S886" s="15" t="str">
        <f>IF(J886="","",J886&amp;"|"&amp;E886&amp;"|"&amp;F886&amp;"|"&amp;I886&amp;"|"&amp;O886)</f>
        <v/>
      </c>
      <c r="T886" s="15" t="str">
        <f>IF(OR(S886="",D886&lt;&gt;"Vastgesteld"),"",_xlfn.MAXIFS($G$6:$G$5005,$S$6:$S$5005,S886,$D$6:$D$5005,"Vastgesteld"))</f>
        <v/>
      </c>
      <c r="U886" s="15">
        <f>IF(T886="",0,IF(AND(G886=T886,COUNTIFS($S$6:S886,S886,$G$6:G886,G886,$D$6:D886,"Vastgesteld")=1),1,0))</f>
        <v>0</v>
      </c>
      <c r="V886" s="15">
        <f>IF(T886="",0,IF(AND(G886=T886,COUNTIFS($S$6:S886,S886,$G$6:G886,G886,$D$6:D886,"Vastgesteld")&gt;1),1,0))</f>
        <v>0</v>
      </c>
    </row>
    <row r="887">
      <c r="S887" s="15" t="str">
        <f>IF(J887="","",J887&amp;"|"&amp;E887&amp;"|"&amp;F887&amp;"|"&amp;I887&amp;"|"&amp;O887)</f>
        <v/>
      </c>
      <c r="T887" s="15" t="str">
        <f>IF(OR(S887="",D887&lt;&gt;"Vastgesteld"),"",_xlfn.MAXIFS($G$6:$G$5005,$S$6:$S$5005,S887,$D$6:$D$5005,"Vastgesteld"))</f>
        <v/>
      </c>
      <c r="U887" s="15">
        <f>IF(T887="",0,IF(AND(G887=T887,COUNTIFS($S$6:S887,S887,$G$6:G887,G887,$D$6:D887,"Vastgesteld")=1),1,0))</f>
        <v>0</v>
      </c>
      <c r="V887" s="15">
        <f>IF(T887="",0,IF(AND(G887=T887,COUNTIFS($S$6:S887,S887,$G$6:G887,G887,$D$6:D887,"Vastgesteld")&gt;1),1,0))</f>
        <v>0</v>
      </c>
    </row>
    <row r="888">
      <c r="S888" s="15" t="str">
        <f>IF(J888="","",J888&amp;"|"&amp;E888&amp;"|"&amp;F888&amp;"|"&amp;I888&amp;"|"&amp;O888)</f>
        <v/>
      </c>
      <c r="T888" s="15" t="str">
        <f>IF(OR(S888="",D888&lt;&gt;"Vastgesteld"),"",_xlfn.MAXIFS($G$6:$G$5005,$S$6:$S$5005,S888,$D$6:$D$5005,"Vastgesteld"))</f>
        <v/>
      </c>
      <c r="U888" s="15">
        <f>IF(T888="",0,IF(AND(G888=T888,COUNTIFS($S$6:S888,S888,$G$6:G888,G888,$D$6:D888,"Vastgesteld")=1),1,0))</f>
        <v>0</v>
      </c>
      <c r="V888" s="15">
        <f>IF(T888="",0,IF(AND(G888=T888,COUNTIFS($S$6:S888,S888,$G$6:G888,G888,$D$6:D888,"Vastgesteld")&gt;1),1,0))</f>
        <v>0</v>
      </c>
    </row>
    <row r="889">
      <c r="S889" s="15" t="str">
        <f>IF(J889="","",J889&amp;"|"&amp;E889&amp;"|"&amp;F889&amp;"|"&amp;I889&amp;"|"&amp;O889)</f>
        <v/>
      </c>
      <c r="T889" s="15" t="str">
        <f>IF(OR(S889="",D889&lt;&gt;"Vastgesteld"),"",_xlfn.MAXIFS($G$6:$G$5005,$S$6:$S$5005,S889,$D$6:$D$5005,"Vastgesteld"))</f>
        <v/>
      </c>
      <c r="U889" s="15">
        <f>IF(T889="",0,IF(AND(G889=T889,COUNTIFS($S$6:S889,S889,$G$6:G889,G889,$D$6:D889,"Vastgesteld")=1),1,0))</f>
        <v>0</v>
      </c>
      <c r="V889" s="15">
        <f>IF(T889="",0,IF(AND(G889=T889,COUNTIFS($S$6:S889,S889,$G$6:G889,G889,$D$6:D889,"Vastgesteld")&gt;1),1,0))</f>
        <v>0</v>
      </c>
    </row>
    <row r="890">
      <c r="S890" s="15" t="str">
        <f>IF(J890="","",J890&amp;"|"&amp;E890&amp;"|"&amp;F890&amp;"|"&amp;I890&amp;"|"&amp;O890)</f>
        <v/>
      </c>
      <c r="T890" s="15" t="str">
        <f>IF(OR(S890="",D890&lt;&gt;"Vastgesteld"),"",_xlfn.MAXIFS($G$6:$G$5005,$S$6:$S$5005,S890,$D$6:$D$5005,"Vastgesteld"))</f>
        <v/>
      </c>
      <c r="U890" s="15">
        <f>IF(T890="",0,IF(AND(G890=T890,COUNTIFS($S$6:S890,S890,$G$6:G890,G890,$D$6:D890,"Vastgesteld")=1),1,0))</f>
        <v>0</v>
      </c>
      <c r="V890" s="15">
        <f>IF(T890="",0,IF(AND(G890=T890,COUNTIFS($S$6:S890,S890,$G$6:G890,G890,$D$6:D890,"Vastgesteld")&gt;1),1,0))</f>
        <v>0</v>
      </c>
    </row>
    <row r="891">
      <c r="S891" s="15" t="str">
        <f>IF(J891="","",J891&amp;"|"&amp;E891&amp;"|"&amp;F891&amp;"|"&amp;I891&amp;"|"&amp;O891)</f>
        <v/>
      </c>
      <c r="T891" s="15" t="str">
        <f>IF(OR(S891="",D891&lt;&gt;"Vastgesteld"),"",_xlfn.MAXIFS($G$6:$G$5005,$S$6:$S$5005,S891,$D$6:$D$5005,"Vastgesteld"))</f>
        <v/>
      </c>
      <c r="U891" s="15">
        <f>IF(T891="",0,IF(AND(G891=T891,COUNTIFS($S$6:S891,S891,$G$6:G891,G891,$D$6:D891,"Vastgesteld")=1),1,0))</f>
        <v>0</v>
      </c>
      <c r="V891" s="15">
        <f>IF(T891="",0,IF(AND(G891=T891,COUNTIFS($S$6:S891,S891,$G$6:G891,G891,$D$6:D891,"Vastgesteld")&gt;1),1,0))</f>
        <v>0</v>
      </c>
    </row>
    <row r="892">
      <c r="S892" s="15" t="str">
        <f>IF(J892="","",J892&amp;"|"&amp;E892&amp;"|"&amp;F892&amp;"|"&amp;I892&amp;"|"&amp;O892)</f>
        <v/>
      </c>
      <c r="T892" s="15" t="str">
        <f>IF(OR(S892="",D892&lt;&gt;"Vastgesteld"),"",_xlfn.MAXIFS($G$6:$G$5005,$S$6:$S$5005,S892,$D$6:$D$5005,"Vastgesteld"))</f>
        <v/>
      </c>
      <c r="U892" s="15">
        <f>IF(T892="",0,IF(AND(G892=T892,COUNTIFS($S$6:S892,S892,$G$6:G892,G892,$D$6:D892,"Vastgesteld")=1),1,0))</f>
        <v>0</v>
      </c>
      <c r="V892" s="15">
        <f>IF(T892="",0,IF(AND(G892=T892,COUNTIFS($S$6:S892,S892,$G$6:G892,G892,$D$6:D892,"Vastgesteld")&gt;1),1,0))</f>
        <v>0</v>
      </c>
    </row>
    <row r="893">
      <c r="S893" s="15" t="str">
        <f>IF(J893="","",J893&amp;"|"&amp;E893&amp;"|"&amp;F893&amp;"|"&amp;I893&amp;"|"&amp;O893)</f>
        <v/>
      </c>
      <c r="T893" s="15" t="str">
        <f>IF(OR(S893="",D893&lt;&gt;"Vastgesteld"),"",_xlfn.MAXIFS($G$6:$G$5005,$S$6:$S$5005,S893,$D$6:$D$5005,"Vastgesteld"))</f>
        <v/>
      </c>
      <c r="U893" s="15">
        <f>IF(T893="",0,IF(AND(G893=T893,COUNTIFS($S$6:S893,S893,$G$6:G893,G893,$D$6:D893,"Vastgesteld")=1),1,0))</f>
        <v>0</v>
      </c>
      <c r="V893" s="15">
        <f>IF(T893="",0,IF(AND(G893=T893,COUNTIFS($S$6:S893,S893,$G$6:G893,G893,$D$6:D893,"Vastgesteld")&gt;1),1,0))</f>
        <v>0</v>
      </c>
    </row>
    <row r="894">
      <c r="S894" s="15" t="str">
        <f>IF(J894="","",J894&amp;"|"&amp;E894&amp;"|"&amp;F894&amp;"|"&amp;I894&amp;"|"&amp;O894)</f>
        <v/>
      </c>
      <c r="T894" s="15" t="str">
        <f>IF(OR(S894="",D894&lt;&gt;"Vastgesteld"),"",_xlfn.MAXIFS($G$6:$G$5005,$S$6:$S$5005,S894,$D$6:$D$5005,"Vastgesteld"))</f>
        <v/>
      </c>
      <c r="U894" s="15">
        <f>IF(T894="",0,IF(AND(G894=T894,COUNTIFS($S$6:S894,S894,$G$6:G894,G894,$D$6:D894,"Vastgesteld")=1),1,0))</f>
        <v>0</v>
      </c>
      <c r="V894" s="15">
        <f>IF(T894="",0,IF(AND(G894=T894,COUNTIFS($S$6:S894,S894,$G$6:G894,G894,$D$6:D894,"Vastgesteld")&gt;1),1,0))</f>
        <v>0</v>
      </c>
    </row>
    <row r="895">
      <c r="S895" s="15" t="str">
        <f>IF(J895="","",J895&amp;"|"&amp;E895&amp;"|"&amp;F895&amp;"|"&amp;I895&amp;"|"&amp;O895)</f>
        <v/>
      </c>
      <c r="T895" s="15" t="str">
        <f>IF(OR(S895="",D895&lt;&gt;"Vastgesteld"),"",_xlfn.MAXIFS($G$6:$G$5005,$S$6:$S$5005,S895,$D$6:$D$5005,"Vastgesteld"))</f>
        <v/>
      </c>
      <c r="U895" s="15">
        <f>IF(T895="",0,IF(AND(G895=T895,COUNTIFS($S$6:S895,S895,$G$6:G895,G895,$D$6:D895,"Vastgesteld")=1),1,0))</f>
        <v>0</v>
      </c>
      <c r="V895" s="15">
        <f>IF(T895="",0,IF(AND(G895=T895,COUNTIFS($S$6:S895,S895,$G$6:G895,G895,$D$6:D895,"Vastgesteld")&gt;1),1,0))</f>
        <v>0</v>
      </c>
    </row>
    <row r="896">
      <c r="S896" s="15" t="str">
        <f>IF(J896="","",J896&amp;"|"&amp;E896&amp;"|"&amp;F896&amp;"|"&amp;I896&amp;"|"&amp;O896)</f>
        <v/>
      </c>
      <c r="T896" s="15" t="str">
        <f>IF(OR(S896="",D896&lt;&gt;"Vastgesteld"),"",_xlfn.MAXIFS($G$6:$G$5005,$S$6:$S$5005,S896,$D$6:$D$5005,"Vastgesteld"))</f>
        <v/>
      </c>
      <c r="U896" s="15">
        <f>IF(T896="",0,IF(AND(G896=T896,COUNTIFS($S$6:S896,S896,$G$6:G896,G896,$D$6:D896,"Vastgesteld")=1),1,0))</f>
        <v>0</v>
      </c>
      <c r="V896" s="15">
        <f>IF(T896="",0,IF(AND(G896=T896,COUNTIFS($S$6:S896,S896,$G$6:G896,G896,$D$6:D896,"Vastgesteld")&gt;1),1,0))</f>
        <v>0</v>
      </c>
    </row>
    <row r="897">
      <c r="S897" s="15" t="str">
        <f>IF(J897="","",J897&amp;"|"&amp;E897&amp;"|"&amp;F897&amp;"|"&amp;I897&amp;"|"&amp;O897)</f>
        <v/>
      </c>
      <c r="T897" s="15" t="str">
        <f>IF(OR(S897="",D897&lt;&gt;"Vastgesteld"),"",_xlfn.MAXIFS($G$6:$G$5005,$S$6:$S$5005,S897,$D$6:$D$5005,"Vastgesteld"))</f>
        <v/>
      </c>
      <c r="U897" s="15">
        <f>IF(T897="",0,IF(AND(G897=T897,COUNTIFS($S$6:S897,S897,$G$6:G897,G897,$D$6:D897,"Vastgesteld")=1),1,0))</f>
        <v>0</v>
      </c>
      <c r="V897" s="15">
        <f>IF(T897="",0,IF(AND(G897=T897,COUNTIFS($S$6:S897,S897,$G$6:G897,G897,$D$6:D897,"Vastgesteld")&gt;1),1,0))</f>
        <v>0</v>
      </c>
    </row>
    <row r="898">
      <c r="S898" s="15" t="str">
        <f>IF(J898="","",J898&amp;"|"&amp;E898&amp;"|"&amp;F898&amp;"|"&amp;I898&amp;"|"&amp;O898)</f>
        <v/>
      </c>
      <c r="T898" s="15" t="str">
        <f>IF(OR(S898="",D898&lt;&gt;"Vastgesteld"),"",_xlfn.MAXIFS($G$6:$G$5005,$S$6:$S$5005,S898,$D$6:$D$5005,"Vastgesteld"))</f>
        <v/>
      </c>
      <c r="U898" s="15">
        <f>IF(T898="",0,IF(AND(G898=T898,COUNTIFS($S$6:S898,S898,$G$6:G898,G898,$D$6:D898,"Vastgesteld")=1),1,0))</f>
        <v>0</v>
      </c>
      <c r="V898" s="15">
        <f>IF(T898="",0,IF(AND(G898=T898,COUNTIFS($S$6:S898,S898,$G$6:G898,G898,$D$6:D898,"Vastgesteld")&gt;1),1,0))</f>
        <v>0</v>
      </c>
    </row>
    <row r="899">
      <c r="S899" s="15" t="str">
        <f>IF(J899="","",J899&amp;"|"&amp;E899&amp;"|"&amp;F899&amp;"|"&amp;I899&amp;"|"&amp;O899)</f>
        <v/>
      </c>
      <c r="T899" s="15" t="str">
        <f>IF(OR(S899="",D899&lt;&gt;"Vastgesteld"),"",_xlfn.MAXIFS($G$6:$G$5005,$S$6:$S$5005,S899,$D$6:$D$5005,"Vastgesteld"))</f>
        <v/>
      </c>
      <c r="U899" s="15">
        <f>IF(T899="",0,IF(AND(G899=T899,COUNTIFS($S$6:S899,S899,$G$6:G899,G899,$D$6:D899,"Vastgesteld")=1),1,0))</f>
        <v>0</v>
      </c>
      <c r="V899" s="15">
        <f>IF(T899="",0,IF(AND(G899=T899,COUNTIFS($S$6:S899,S899,$G$6:G899,G899,$D$6:D899,"Vastgesteld")&gt;1),1,0))</f>
        <v>0</v>
      </c>
    </row>
    <row r="900">
      <c r="S900" s="15" t="str">
        <f>IF(J900="","",J900&amp;"|"&amp;E900&amp;"|"&amp;F900&amp;"|"&amp;I900&amp;"|"&amp;O900)</f>
        <v/>
      </c>
      <c r="T900" s="15" t="str">
        <f>IF(OR(S900="",D900&lt;&gt;"Vastgesteld"),"",_xlfn.MAXIFS($G$6:$G$5005,$S$6:$S$5005,S900,$D$6:$D$5005,"Vastgesteld"))</f>
        <v/>
      </c>
      <c r="U900" s="15">
        <f>IF(T900="",0,IF(AND(G900=T900,COUNTIFS($S$6:S900,S900,$G$6:G900,G900,$D$6:D900,"Vastgesteld")=1),1,0))</f>
        <v>0</v>
      </c>
      <c r="V900" s="15">
        <f>IF(T900="",0,IF(AND(G900=T900,COUNTIFS($S$6:S900,S900,$G$6:G900,G900,$D$6:D900,"Vastgesteld")&gt;1),1,0))</f>
        <v>0</v>
      </c>
    </row>
    <row r="901">
      <c r="S901" s="15" t="str">
        <f>IF(J901="","",J901&amp;"|"&amp;E901&amp;"|"&amp;F901&amp;"|"&amp;I901&amp;"|"&amp;O901)</f>
        <v/>
      </c>
      <c r="T901" s="15" t="str">
        <f>IF(OR(S901="",D901&lt;&gt;"Vastgesteld"),"",_xlfn.MAXIFS($G$6:$G$5005,$S$6:$S$5005,S901,$D$6:$D$5005,"Vastgesteld"))</f>
        <v/>
      </c>
      <c r="U901" s="15">
        <f>IF(T901="",0,IF(AND(G901=T901,COUNTIFS($S$6:S901,S901,$G$6:G901,G901,$D$6:D901,"Vastgesteld")=1),1,0))</f>
        <v>0</v>
      </c>
      <c r="V901" s="15">
        <f>IF(T901="",0,IF(AND(G901=T901,COUNTIFS($S$6:S901,S901,$G$6:G901,G901,$D$6:D901,"Vastgesteld")&gt;1),1,0))</f>
        <v>0</v>
      </c>
    </row>
    <row r="902">
      <c r="S902" s="15" t="str">
        <f>IF(J902="","",J902&amp;"|"&amp;E902&amp;"|"&amp;F902&amp;"|"&amp;I902&amp;"|"&amp;O902)</f>
        <v/>
      </c>
      <c r="T902" s="15" t="str">
        <f>IF(OR(S902="",D902&lt;&gt;"Vastgesteld"),"",_xlfn.MAXIFS($G$6:$G$5005,$S$6:$S$5005,S902,$D$6:$D$5005,"Vastgesteld"))</f>
        <v/>
      </c>
      <c r="U902" s="15">
        <f>IF(T902="",0,IF(AND(G902=T902,COUNTIFS($S$6:S902,S902,$G$6:G902,G902,$D$6:D902,"Vastgesteld")=1),1,0))</f>
        <v>0</v>
      </c>
      <c r="V902" s="15">
        <f>IF(T902="",0,IF(AND(G902=T902,COUNTIFS($S$6:S902,S902,$G$6:G902,G902,$D$6:D902,"Vastgesteld")&gt;1),1,0))</f>
        <v>0</v>
      </c>
    </row>
    <row r="903">
      <c r="S903" s="15" t="str">
        <f>IF(J903="","",J903&amp;"|"&amp;E903&amp;"|"&amp;F903&amp;"|"&amp;I903&amp;"|"&amp;O903)</f>
        <v/>
      </c>
      <c r="T903" s="15" t="str">
        <f>IF(OR(S903="",D903&lt;&gt;"Vastgesteld"),"",_xlfn.MAXIFS($G$6:$G$5005,$S$6:$S$5005,S903,$D$6:$D$5005,"Vastgesteld"))</f>
        <v/>
      </c>
      <c r="U903" s="15">
        <f>IF(T903="",0,IF(AND(G903=T903,COUNTIFS($S$6:S903,S903,$G$6:G903,G903,$D$6:D903,"Vastgesteld")=1),1,0))</f>
        <v>0</v>
      </c>
      <c r="V903" s="15">
        <f>IF(T903="",0,IF(AND(G903=T903,COUNTIFS($S$6:S903,S903,$G$6:G903,G903,$D$6:D903,"Vastgesteld")&gt;1),1,0))</f>
        <v>0</v>
      </c>
    </row>
    <row r="904">
      <c r="S904" s="15" t="str">
        <f>IF(J904="","",J904&amp;"|"&amp;E904&amp;"|"&amp;F904&amp;"|"&amp;I904&amp;"|"&amp;O904)</f>
        <v/>
      </c>
      <c r="T904" s="15" t="str">
        <f>IF(OR(S904="",D904&lt;&gt;"Vastgesteld"),"",_xlfn.MAXIFS($G$6:$G$5005,$S$6:$S$5005,S904,$D$6:$D$5005,"Vastgesteld"))</f>
        <v/>
      </c>
      <c r="U904" s="15">
        <f>IF(T904="",0,IF(AND(G904=T904,COUNTIFS($S$6:S904,S904,$G$6:G904,G904,$D$6:D904,"Vastgesteld")=1),1,0))</f>
        <v>0</v>
      </c>
      <c r="V904" s="15">
        <f>IF(T904="",0,IF(AND(G904=T904,COUNTIFS($S$6:S904,S904,$G$6:G904,G904,$D$6:D904,"Vastgesteld")&gt;1),1,0))</f>
        <v>0</v>
      </c>
    </row>
    <row r="905">
      <c r="S905" s="15" t="str">
        <f>IF(J905="","",J905&amp;"|"&amp;E905&amp;"|"&amp;F905&amp;"|"&amp;I905&amp;"|"&amp;O905)</f>
        <v/>
      </c>
      <c r="T905" s="15" t="str">
        <f>IF(OR(S905="",D905&lt;&gt;"Vastgesteld"),"",_xlfn.MAXIFS($G$6:$G$5005,$S$6:$S$5005,S905,$D$6:$D$5005,"Vastgesteld"))</f>
        <v/>
      </c>
      <c r="U905" s="15">
        <f>IF(T905="",0,IF(AND(G905=T905,COUNTIFS($S$6:S905,S905,$G$6:G905,G905,$D$6:D905,"Vastgesteld")=1),1,0))</f>
        <v>0</v>
      </c>
      <c r="V905" s="15">
        <f>IF(T905="",0,IF(AND(G905=T905,COUNTIFS($S$6:S905,S905,$G$6:G905,G905,$D$6:D905,"Vastgesteld")&gt;1),1,0))</f>
        <v>0</v>
      </c>
    </row>
    <row r="906">
      <c r="S906" s="15" t="str">
        <f>IF(J906="","",J906&amp;"|"&amp;E906&amp;"|"&amp;F906&amp;"|"&amp;I906&amp;"|"&amp;O906)</f>
        <v/>
      </c>
      <c r="T906" s="15" t="str">
        <f>IF(OR(S906="",D906&lt;&gt;"Vastgesteld"),"",_xlfn.MAXIFS($G$6:$G$5005,$S$6:$S$5005,S906,$D$6:$D$5005,"Vastgesteld"))</f>
        <v/>
      </c>
      <c r="U906" s="15">
        <f>IF(T906="",0,IF(AND(G906=T906,COUNTIFS($S$6:S906,S906,$G$6:G906,G906,$D$6:D906,"Vastgesteld")=1),1,0))</f>
        <v>0</v>
      </c>
      <c r="V906" s="15">
        <f>IF(T906="",0,IF(AND(G906=T906,COUNTIFS($S$6:S906,S906,$G$6:G906,G906,$D$6:D906,"Vastgesteld")&gt;1),1,0))</f>
        <v>0</v>
      </c>
    </row>
    <row r="907">
      <c r="S907" s="15" t="str">
        <f>IF(J907="","",J907&amp;"|"&amp;E907&amp;"|"&amp;F907&amp;"|"&amp;I907&amp;"|"&amp;O907)</f>
        <v/>
      </c>
      <c r="T907" s="15" t="str">
        <f>IF(OR(S907="",D907&lt;&gt;"Vastgesteld"),"",_xlfn.MAXIFS($G$6:$G$5005,$S$6:$S$5005,S907,$D$6:$D$5005,"Vastgesteld"))</f>
        <v/>
      </c>
      <c r="U907" s="15">
        <f>IF(T907="",0,IF(AND(G907=T907,COUNTIFS($S$6:S907,S907,$G$6:G907,G907,$D$6:D907,"Vastgesteld")=1),1,0))</f>
        <v>0</v>
      </c>
      <c r="V907" s="15">
        <f>IF(T907="",0,IF(AND(G907=T907,COUNTIFS($S$6:S907,S907,$G$6:G907,G907,$D$6:D907,"Vastgesteld")&gt;1),1,0))</f>
        <v>0</v>
      </c>
    </row>
    <row r="908">
      <c r="S908" s="15" t="str">
        <f>IF(J908="","",J908&amp;"|"&amp;E908&amp;"|"&amp;F908&amp;"|"&amp;I908&amp;"|"&amp;O908)</f>
        <v/>
      </c>
      <c r="T908" s="15" t="str">
        <f>IF(OR(S908="",D908&lt;&gt;"Vastgesteld"),"",_xlfn.MAXIFS($G$6:$G$5005,$S$6:$S$5005,S908,$D$6:$D$5005,"Vastgesteld"))</f>
        <v/>
      </c>
      <c r="U908" s="15">
        <f>IF(T908="",0,IF(AND(G908=T908,COUNTIFS($S$6:S908,S908,$G$6:G908,G908,$D$6:D908,"Vastgesteld")=1),1,0))</f>
        <v>0</v>
      </c>
      <c r="V908" s="15">
        <f>IF(T908="",0,IF(AND(G908=T908,COUNTIFS($S$6:S908,S908,$G$6:G908,G908,$D$6:D908,"Vastgesteld")&gt;1),1,0))</f>
        <v>0</v>
      </c>
    </row>
    <row r="909">
      <c r="S909" s="15" t="str">
        <f>IF(J909="","",J909&amp;"|"&amp;E909&amp;"|"&amp;F909&amp;"|"&amp;I909&amp;"|"&amp;O909)</f>
        <v/>
      </c>
      <c r="T909" s="15" t="str">
        <f>IF(OR(S909="",D909&lt;&gt;"Vastgesteld"),"",_xlfn.MAXIFS($G$6:$G$5005,$S$6:$S$5005,S909,$D$6:$D$5005,"Vastgesteld"))</f>
        <v/>
      </c>
      <c r="U909" s="15">
        <f>IF(T909="",0,IF(AND(G909=T909,COUNTIFS($S$6:S909,S909,$G$6:G909,G909,$D$6:D909,"Vastgesteld")=1),1,0))</f>
        <v>0</v>
      </c>
      <c r="V909" s="15">
        <f>IF(T909="",0,IF(AND(G909=T909,COUNTIFS($S$6:S909,S909,$G$6:G909,G909,$D$6:D909,"Vastgesteld")&gt;1),1,0))</f>
        <v>0</v>
      </c>
    </row>
    <row r="910">
      <c r="S910" s="15" t="str">
        <f>IF(J910="","",J910&amp;"|"&amp;E910&amp;"|"&amp;F910&amp;"|"&amp;I910&amp;"|"&amp;O910)</f>
        <v/>
      </c>
      <c r="T910" s="15" t="str">
        <f>IF(OR(S910="",D910&lt;&gt;"Vastgesteld"),"",_xlfn.MAXIFS($G$6:$G$5005,$S$6:$S$5005,S910,$D$6:$D$5005,"Vastgesteld"))</f>
        <v/>
      </c>
      <c r="U910" s="15">
        <f>IF(T910="",0,IF(AND(G910=T910,COUNTIFS($S$6:S910,S910,$G$6:G910,G910,$D$6:D910,"Vastgesteld")=1),1,0))</f>
        <v>0</v>
      </c>
      <c r="V910" s="15">
        <f>IF(T910="",0,IF(AND(G910=T910,COUNTIFS($S$6:S910,S910,$G$6:G910,G910,$D$6:D910,"Vastgesteld")&gt;1),1,0))</f>
        <v>0</v>
      </c>
    </row>
    <row r="911">
      <c r="S911" s="15" t="str">
        <f>IF(J911="","",J911&amp;"|"&amp;E911&amp;"|"&amp;F911&amp;"|"&amp;I911&amp;"|"&amp;O911)</f>
        <v/>
      </c>
      <c r="T911" s="15" t="str">
        <f>IF(OR(S911="",D911&lt;&gt;"Vastgesteld"),"",_xlfn.MAXIFS($G$6:$G$5005,$S$6:$S$5005,S911,$D$6:$D$5005,"Vastgesteld"))</f>
        <v/>
      </c>
      <c r="U911" s="15">
        <f>IF(T911="",0,IF(AND(G911=T911,COUNTIFS($S$6:S911,S911,$G$6:G911,G911,$D$6:D911,"Vastgesteld")=1),1,0))</f>
        <v>0</v>
      </c>
      <c r="V911" s="15">
        <f>IF(T911="",0,IF(AND(G911=T911,COUNTIFS($S$6:S911,S911,$G$6:G911,G911,$D$6:D911,"Vastgesteld")&gt;1),1,0))</f>
        <v>0</v>
      </c>
    </row>
    <row r="912">
      <c r="S912" s="15" t="str">
        <f>IF(J912="","",J912&amp;"|"&amp;E912&amp;"|"&amp;F912&amp;"|"&amp;I912&amp;"|"&amp;O912)</f>
        <v/>
      </c>
      <c r="T912" s="15" t="str">
        <f>IF(OR(S912="",D912&lt;&gt;"Vastgesteld"),"",_xlfn.MAXIFS($G$6:$G$5005,$S$6:$S$5005,S912,$D$6:$D$5005,"Vastgesteld"))</f>
        <v/>
      </c>
      <c r="U912" s="15">
        <f>IF(T912="",0,IF(AND(G912=T912,COUNTIFS($S$6:S912,S912,$G$6:G912,G912,$D$6:D912,"Vastgesteld")=1),1,0))</f>
        <v>0</v>
      </c>
      <c r="V912" s="15">
        <f>IF(T912="",0,IF(AND(G912=T912,COUNTIFS($S$6:S912,S912,$G$6:G912,G912,$D$6:D912,"Vastgesteld")&gt;1),1,0))</f>
        <v>0</v>
      </c>
    </row>
    <row r="913">
      <c r="S913" s="15" t="str">
        <f>IF(J913="","",J913&amp;"|"&amp;E913&amp;"|"&amp;F913&amp;"|"&amp;I913&amp;"|"&amp;O913)</f>
        <v/>
      </c>
      <c r="T913" s="15" t="str">
        <f>IF(OR(S913="",D913&lt;&gt;"Vastgesteld"),"",_xlfn.MAXIFS($G$6:$G$5005,$S$6:$S$5005,S913,$D$6:$D$5005,"Vastgesteld"))</f>
        <v/>
      </c>
      <c r="U913" s="15">
        <f>IF(T913="",0,IF(AND(G913=T913,COUNTIFS($S$6:S913,S913,$G$6:G913,G913,$D$6:D913,"Vastgesteld")=1),1,0))</f>
        <v>0</v>
      </c>
      <c r="V913" s="15">
        <f>IF(T913="",0,IF(AND(G913=T913,COUNTIFS($S$6:S913,S913,$G$6:G913,G913,$D$6:D913,"Vastgesteld")&gt;1),1,0))</f>
        <v>0</v>
      </c>
    </row>
    <row r="914">
      <c r="S914" s="15" t="str">
        <f>IF(J914="","",J914&amp;"|"&amp;E914&amp;"|"&amp;F914&amp;"|"&amp;I914&amp;"|"&amp;O914)</f>
        <v/>
      </c>
      <c r="T914" s="15" t="str">
        <f>IF(OR(S914="",D914&lt;&gt;"Vastgesteld"),"",_xlfn.MAXIFS($G$6:$G$5005,$S$6:$S$5005,S914,$D$6:$D$5005,"Vastgesteld"))</f>
        <v/>
      </c>
      <c r="U914" s="15">
        <f>IF(T914="",0,IF(AND(G914=T914,COUNTIFS($S$6:S914,S914,$G$6:G914,G914,$D$6:D914,"Vastgesteld")=1),1,0))</f>
        <v>0</v>
      </c>
      <c r="V914" s="15">
        <f>IF(T914="",0,IF(AND(G914=T914,COUNTIFS($S$6:S914,S914,$G$6:G914,G914,$D$6:D914,"Vastgesteld")&gt;1),1,0))</f>
        <v>0</v>
      </c>
    </row>
    <row r="915">
      <c r="S915" s="15" t="str">
        <f>IF(J915="","",J915&amp;"|"&amp;E915&amp;"|"&amp;F915&amp;"|"&amp;I915&amp;"|"&amp;O915)</f>
        <v/>
      </c>
      <c r="T915" s="15" t="str">
        <f>IF(OR(S915="",D915&lt;&gt;"Vastgesteld"),"",_xlfn.MAXIFS($G$6:$G$5005,$S$6:$S$5005,S915,$D$6:$D$5005,"Vastgesteld"))</f>
        <v/>
      </c>
      <c r="U915" s="15">
        <f>IF(T915="",0,IF(AND(G915=T915,COUNTIFS($S$6:S915,S915,$G$6:G915,G915,$D$6:D915,"Vastgesteld")=1),1,0))</f>
        <v>0</v>
      </c>
      <c r="V915" s="15">
        <f>IF(T915="",0,IF(AND(G915=T915,COUNTIFS($S$6:S915,S915,$G$6:G915,G915,$D$6:D915,"Vastgesteld")&gt;1),1,0))</f>
        <v>0</v>
      </c>
    </row>
    <row r="916">
      <c r="S916" s="15" t="str">
        <f>IF(J916="","",J916&amp;"|"&amp;E916&amp;"|"&amp;F916&amp;"|"&amp;I916&amp;"|"&amp;O916)</f>
        <v/>
      </c>
      <c r="T916" s="15" t="str">
        <f>IF(OR(S916="",D916&lt;&gt;"Vastgesteld"),"",_xlfn.MAXIFS($G$6:$G$5005,$S$6:$S$5005,S916,$D$6:$D$5005,"Vastgesteld"))</f>
        <v/>
      </c>
      <c r="U916" s="15">
        <f>IF(T916="",0,IF(AND(G916=T916,COUNTIFS($S$6:S916,S916,$G$6:G916,G916,$D$6:D916,"Vastgesteld")=1),1,0))</f>
        <v>0</v>
      </c>
      <c r="V916" s="15">
        <f>IF(T916="",0,IF(AND(G916=T916,COUNTIFS($S$6:S916,S916,$G$6:G916,G916,$D$6:D916,"Vastgesteld")&gt;1),1,0))</f>
        <v>0</v>
      </c>
    </row>
    <row r="917">
      <c r="S917" s="15" t="str">
        <f>IF(J917="","",J917&amp;"|"&amp;E917&amp;"|"&amp;F917&amp;"|"&amp;I917&amp;"|"&amp;O917)</f>
        <v/>
      </c>
      <c r="T917" s="15" t="str">
        <f>IF(OR(S917="",D917&lt;&gt;"Vastgesteld"),"",_xlfn.MAXIFS($G$6:$G$5005,$S$6:$S$5005,S917,$D$6:$D$5005,"Vastgesteld"))</f>
        <v/>
      </c>
      <c r="U917" s="15">
        <f>IF(T917="",0,IF(AND(G917=T917,COUNTIFS($S$6:S917,S917,$G$6:G917,G917,$D$6:D917,"Vastgesteld")=1),1,0))</f>
        <v>0</v>
      </c>
      <c r="V917" s="15">
        <f>IF(T917="",0,IF(AND(G917=T917,COUNTIFS($S$6:S917,S917,$G$6:G917,G917,$D$6:D917,"Vastgesteld")&gt;1),1,0))</f>
        <v>0</v>
      </c>
    </row>
    <row r="918">
      <c r="S918" s="15" t="str">
        <f>IF(J918="","",J918&amp;"|"&amp;E918&amp;"|"&amp;F918&amp;"|"&amp;I918&amp;"|"&amp;O918)</f>
        <v/>
      </c>
      <c r="T918" s="15" t="str">
        <f>IF(OR(S918="",D918&lt;&gt;"Vastgesteld"),"",_xlfn.MAXIFS($G$6:$G$5005,$S$6:$S$5005,S918,$D$6:$D$5005,"Vastgesteld"))</f>
        <v/>
      </c>
      <c r="U918" s="15">
        <f>IF(T918="",0,IF(AND(G918=T918,COUNTIFS($S$6:S918,S918,$G$6:G918,G918,$D$6:D918,"Vastgesteld")=1),1,0))</f>
        <v>0</v>
      </c>
      <c r="V918" s="15">
        <f>IF(T918="",0,IF(AND(G918=T918,COUNTIFS($S$6:S918,S918,$G$6:G918,G918,$D$6:D918,"Vastgesteld")&gt;1),1,0))</f>
        <v>0</v>
      </c>
    </row>
    <row r="919">
      <c r="S919" s="15" t="str">
        <f>IF(J919="","",J919&amp;"|"&amp;E919&amp;"|"&amp;F919&amp;"|"&amp;I919&amp;"|"&amp;O919)</f>
        <v/>
      </c>
      <c r="T919" s="15" t="str">
        <f>IF(OR(S919="",D919&lt;&gt;"Vastgesteld"),"",_xlfn.MAXIFS($G$6:$G$5005,$S$6:$S$5005,S919,$D$6:$D$5005,"Vastgesteld"))</f>
        <v/>
      </c>
      <c r="U919" s="15">
        <f>IF(T919="",0,IF(AND(G919=T919,COUNTIFS($S$6:S919,S919,$G$6:G919,G919,$D$6:D919,"Vastgesteld")=1),1,0))</f>
        <v>0</v>
      </c>
      <c r="V919" s="15">
        <f>IF(T919="",0,IF(AND(G919=T919,COUNTIFS($S$6:S919,S919,$G$6:G919,G919,$D$6:D919,"Vastgesteld")&gt;1),1,0))</f>
        <v>0</v>
      </c>
    </row>
    <row r="920">
      <c r="S920" s="15" t="str">
        <f>IF(J920="","",J920&amp;"|"&amp;E920&amp;"|"&amp;F920&amp;"|"&amp;I920&amp;"|"&amp;O920)</f>
        <v/>
      </c>
      <c r="T920" s="15" t="str">
        <f>IF(OR(S920="",D920&lt;&gt;"Vastgesteld"),"",_xlfn.MAXIFS($G$6:$G$5005,$S$6:$S$5005,S920,$D$6:$D$5005,"Vastgesteld"))</f>
        <v/>
      </c>
      <c r="U920" s="15">
        <f>IF(T920="",0,IF(AND(G920=T920,COUNTIFS($S$6:S920,S920,$G$6:G920,G920,$D$6:D920,"Vastgesteld")=1),1,0))</f>
        <v>0</v>
      </c>
      <c r="V920" s="15">
        <f>IF(T920="",0,IF(AND(G920=T920,COUNTIFS($S$6:S920,S920,$G$6:G920,G920,$D$6:D920,"Vastgesteld")&gt;1),1,0))</f>
        <v>0</v>
      </c>
    </row>
    <row r="921">
      <c r="S921" s="15" t="str">
        <f>IF(J921="","",J921&amp;"|"&amp;E921&amp;"|"&amp;F921&amp;"|"&amp;I921&amp;"|"&amp;O921)</f>
        <v/>
      </c>
      <c r="T921" s="15" t="str">
        <f>IF(OR(S921="",D921&lt;&gt;"Vastgesteld"),"",_xlfn.MAXIFS($G$6:$G$5005,$S$6:$S$5005,S921,$D$6:$D$5005,"Vastgesteld"))</f>
        <v/>
      </c>
      <c r="U921" s="15">
        <f>IF(T921="",0,IF(AND(G921=T921,COUNTIFS($S$6:S921,S921,$G$6:G921,G921,$D$6:D921,"Vastgesteld")=1),1,0))</f>
        <v>0</v>
      </c>
      <c r="V921" s="15">
        <f>IF(T921="",0,IF(AND(G921=T921,COUNTIFS($S$6:S921,S921,$G$6:G921,G921,$D$6:D921,"Vastgesteld")&gt;1),1,0))</f>
        <v>0</v>
      </c>
    </row>
    <row r="922">
      <c r="S922" s="15" t="str">
        <f>IF(J922="","",J922&amp;"|"&amp;E922&amp;"|"&amp;F922&amp;"|"&amp;I922&amp;"|"&amp;O922)</f>
        <v/>
      </c>
      <c r="T922" s="15" t="str">
        <f>IF(OR(S922="",D922&lt;&gt;"Vastgesteld"),"",_xlfn.MAXIFS($G$6:$G$5005,$S$6:$S$5005,S922,$D$6:$D$5005,"Vastgesteld"))</f>
        <v/>
      </c>
      <c r="U922" s="15">
        <f>IF(T922="",0,IF(AND(G922=T922,COUNTIFS($S$6:S922,S922,$G$6:G922,G922,$D$6:D922,"Vastgesteld")=1),1,0))</f>
        <v>0</v>
      </c>
      <c r="V922" s="15">
        <f>IF(T922="",0,IF(AND(G922=T922,COUNTIFS($S$6:S922,S922,$G$6:G922,G922,$D$6:D922,"Vastgesteld")&gt;1),1,0))</f>
        <v>0</v>
      </c>
    </row>
    <row r="923">
      <c r="S923" s="15" t="str">
        <f>IF(J923="","",J923&amp;"|"&amp;E923&amp;"|"&amp;F923&amp;"|"&amp;I923&amp;"|"&amp;O923)</f>
        <v/>
      </c>
      <c r="T923" s="15" t="str">
        <f>IF(OR(S923="",D923&lt;&gt;"Vastgesteld"),"",_xlfn.MAXIFS($G$6:$G$5005,$S$6:$S$5005,S923,$D$6:$D$5005,"Vastgesteld"))</f>
        <v/>
      </c>
      <c r="U923" s="15">
        <f>IF(T923="",0,IF(AND(G923=T923,COUNTIFS($S$6:S923,S923,$G$6:G923,G923,$D$6:D923,"Vastgesteld")=1),1,0))</f>
        <v>0</v>
      </c>
      <c r="V923" s="15">
        <f>IF(T923="",0,IF(AND(G923=T923,COUNTIFS($S$6:S923,S923,$G$6:G923,G923,$D$6:D923,"Vastgesteld")&gt;1),1,0))</f>
        <v>0</v>
      </c>
    </row>
    <row r="924">
      <c r="S924" s="15" t="str">
        <f>IF(J924="","",J924&amp;"|"&amp;E924&amp;"|"&amp;F924&amp;"|"&amp;I924&amp;"|"&amp;O924)</f>
        <v/>
      </c>
      <c r="T924" s="15" t="str">
        <f>IF(OR(S924="",D924&lt;&gt;"Vastgesteld"),"",_xlfn.MAXIFS($G$6:$G$5005,$S$6:$S$5005,S924,$D$6:$D$5005,"Vastgesteld"))</f>
        <v/>
      </c>
      <c r="U924" s="15">
        <f>IF(T924="",0,IF(AND(G924=T924,COUNTIFS($S$6:S924,S924,$G$6:G924,G924,$D$6:D924,"Vastgesteld")=1),1,0))</f>
        <v>0</v>
      </c>
      <c r="V924" s="15">
        <f>IF(T924="",0,IF(AND(G924=T924,COUNTIFS($S$6:S924,S924,$G$6:G924,G924,$D$6:D924,"Vastgesteld")&gt;1),1,0))</f>
        <v>0</v>
      </c>
    </row>
    <row r="925">
      <c r="S925" s="15" t="str">
        <f>IF(J925="","",J925&amp;"|"&amp;E925&amp;"|"&amp;F925&amp;"|"&amp;I925&amp;"|"&amp;O925)</f>
        <v/>
      </c>
      <c r="T925" s="15" t="str">
        <f>IF(OR(S925="",D925&lt;&gt;"Vastgesteld"),"",_xlfn.MAXIFS($G$6:$G$5005,$S$6:$S$5005,S925,$D$6:$D$5005,"Vastgesteld"))</f>
        <v/>
      </c>
      <c r="U925" s="15">
        <f>IF(T925="",0,IF(AND(G925=T925,COUNTIFS($S$6:S925,S925,$G$6:G925,G925,$D$6:D925,"Vastgesteld")=1),1,0))</f>
        <v>0</v>
      </c>
      <c r="V925" s="15">
        <f>IF(T925="",0,IF(AND(G925=T925,COUNTIFS($S$6:S925,S925,$G$6:G925,G925,$D$6:D925,"Vastgesteld")&gt;1),1,0))</f>
        <v>0</v>
      </c>
    </row>
    <row r="926">
      <c r="S926" s="15" t="str">
        <f>IF(J926="","",J926&amp;"|"&amp;E926&amp;"|"&amp;F926&amp;"|"&amp;I926&amp;"|"&amp;O926)</f>
        <v/>
      </c>
      <c r="T926" s="15" t="str">
        <f>IF(OR(S926="",D926&lt;&gt;"Vastgesteld"),"",_xlfn.MAXIFS($G$6:$G$5005,$S$6:$S$5005,S926,$D$6:$D$5005,"Vastgesteld"))</f>
        <v/>
      </c>
      <c r="U926" s="15">
        <f>IF(T926="",0,IF(AND(G926=T926,COUNTIFS($S$6:S926,S926,$G$6:G926,G926,$D$6:D926,"Vastgesteld")=1),1,0))</f>
        <v>0</v>
      </c>
      <c r="V926" s="15">
        <f>IF(T926="",0,IF(AND(G926=T926,COUNTIFS($S$6:S926,S926,$G$6:G926,G926,$D$6:D926,"Vastgesteld")&gt;1),1,0))</f>
        <v>0</v>
      </c>
    </row>
    <row r="927">
      <c r="S927" s="15" t="str">
        <f>IF(J927="","",J927&amp;"|"&amp;E927&amp;"|"&amp;F927&amp;"|"&amp;I927&amp;"|"&amp;O927)</f>
        <v/>
      </c>
      <c r="T927" s="15" t="str">
        <f>IF(OR(S927="",D927&lt;&gt;"Vastgesteld"),"",_xlfn.MAXIFS($G$6:$G$5005,$S$6:$S$5005,S927,$D$6:$D$5005,"Vastgesteld"))</f>
        <v/>
      </c>
      <c r="U927" s="15">
        <f>IF(T927="",0,IF(AND(G927=T927,COUNTIFS($S$6:S927,S927,$G$6:G927,G927,$D$6:D927,"Vastgesteld")=1),1,0))</f>
        <v>0</v>
      </c>
      <c r="V927" s="15">
        <f>IF(T927="",0,IF(AND(G927=T927,COUNTIFS($S$6:S927,S927,$G$6:G927,G927,$D$6:D927,"Vastgesteld")&gt;1),1,0))</f>
        <v>0</v>
      </c>
    </row>
    <row r="928">
      <c r="S928" s="15" t="str">
        <f>IF(J928="","",J928&amp;"|"&amp;E928&amp;"|"&amp;F928&amp;"|"&amp;I928&amp;"|"&amp;O928)</f>
        <v/>
      </c>
      <c r="T928" s="15" t="str">
        <f>IF(OR(S928="",D928&lt;&gt;"Vastgesteld"),"",_xlfn.MAXIFS($G$6:$G$5005,$S$6:$S$5005,S928,$D$6:$D$5005,"Vastgesteld"))</f>
        <v/>
      </c>
      <c r="U928" s="15">
        <f>IF(T928="",0,IF(AND(G928=T928,COUNTIFS($S$6:S928,S928,$G$6:G928,G928,$D$6:D928,"Vastgesteld")=1),1,0))</f>
        <v>0</v>
      </c>
      <c r="V928" s="15">
        <f>IF(T928="",0,IF(AND(G928=T928,COUNTIFS($S$6:S928,S928,$G$6:G928,G928,$D$6:D928,"Vastgesteld")&gt;1),1,0))</f>
        <v>0</v>
      </c>
    </row>
    <row r="929">
      <c r="S929" s="15" t="str">
        <f>IF(J929="","",J929&amp;"|"&amp;E929&amp;"|"&amp;F929&amp;"|"&amp;I929&amp;"|"&amp;O929)</f>
        <v/>
      </c>
      <c r="T929" s="15" t="str">
        <f>IF(OR(S929="",D929&lt;&gt;"Vastgesteld"),"",_xlfn.MAXIFS($G$6:$G$5005,$S$6:$S$5005,S929,$D$6:$D$5005,"Vastgesteld"))</f>
        <v/>
      </c>
      <c r="U929" s="15">
        <f>IF(T929="",0,IF(AND(G929=T929,COUNTIFS($S$6:S929,S929,$G$6:G929,G929,$D$6:D929,"Vastgesteld")=1),1,0))</f>
        <v>0</v>
      </c>
      <c r="V929" s="15">
        <f>IF(T929="",0,IF(AND(G929=T929,COUNTIFS($S$6:S929,S929,$G$6:G929,G929,$D$6:D929,"Vastgesteld")&gt;1),1,0))</f>
        <v>0</v>
      </c>
    </row>
    <row r="930">
      <c r="S930" s="15" t="str">
        <f>IF(J930="","",J930&amp;"|"&amp;E930&amp;"|"&amp;F930&amp;"|"&amp;I930&amp;"|"&amp;O930)</f>
        <v/>
      </c>
      <c r="T930" s="15" t="str">
        <f>IF(OR(S930="",D930&lt;&gt;"Vastgesteld"),"",_xlfn.MAXIFS($G$6:$G$5005,$S$6:$S$5005,S930,$D$6:$D$5005,"Vastgesteld"))</f>
        <v/>
      </c>
      <c r="U930" s="15">
        <f>IF(T930="",0,IF(AND(G930=T930,COUNTIFS($S$6:S930,S930,$G$6:G930,G930,$D$6:D930,"Vastgesteld")=1),1,0))</f>
        <v>0</v>
      </c>
      <c r="V930" s="15">
        <f>IF(T930="",0,IF(AND(G930=T930,COUNTIFS($S$6:S930,S930,$G$6:G930,G930,$D$6:D930,"Vastgesteld")&gt;1),1,0))</f>
        <v>0</v>
      </c>
    </row>
    <row r="931">
      <c r="S931" s="15" t="str">
        <f>IF(J931="","",J931&amp;"|"&amp;E931&amp;"|"&amp;F931&amp;"|"&amp;I931&amp;"|"&amp;O931)</f>
        <v/>
      </c>
      <c r="T931" s="15" t="str">
        <f>IF(OR(S931="",D931&lt;&gt;"Vastgesteld"),"",_xlfn.MAXIFS($G$6:$G$5005,$S$6:$S$5005,S931,$D$6:$D$5005,"Vastgesteld"))</f>
        <v/>
      </c>
      <c r="U931" s="15">
        <f>IF(T931="",0,IF(AND(G931=T931,COUNTIFS($S$6:S931,S931,$G$6:G931,G931,$D$6:D931,"Vastgesteld")=1),1,0))</f>
        <v>0</v>
      </c>
      <c r="V931" s="15">
        <f>IF(T931="",0,IF(AND(G931=T931,COUNTIFS($S$6:S931,S931,$G$6:G931,G931,$D$6:D931,"Vastgesteld")&gt;1),1,0))</f>
        <v>0</v>
      </c>
    </row>
    <row r="932">
      <c r="S932" s="15" t="str">
        <f>IF(J932="","",J932&amp;"|"&amp;E932&amp;"|"&amp;F932&amp;"|"&amp;I932&amp;"|"&amp;O932)</f>
        <v/>
      </c>
      <c r="T932" s="15" t="str">
        <f>IF(OR(S932="",D932&lt;&gt;"Vastgesteld"),"",_xlfn.MAXIFS($G$6:$G$5005,$S$6:$S$5005,S932,$D$6:$D$5005,"Vastgesteld"))</f>
        <v/>
      </c>
      <c r="U932" s="15">
        <f>IF(T932="",0,IF(AND(G932=T932,COUNTIFS($S$6:S932,S932,$G$6:G932,G932,$D$6:D932,"Vastgesteld")=1),1,0))</f>
        <v>0</v>
      </c>
      <c r="V932" s="15">
        <f>IF(T932="",0,IF(AND(G932=T932,COUNTIFS($S$6:S932,S932,$G$6:G932,G932,$D$6:D932,"Vastgesteld")&gt;1),1,0))</f>
        <v>0</v>
      </c>
    </row>
    <row r="933">
      <c r="S933" s="15" t="str">
        <f>IF(J933="","",J933&amp;"|"&amp;E933&amp;"|"&amp;F933&amp;"|"&amp;I933&amp;"|"&amp;O933)</f>
        <v/>
      </c>
      <c r="T933" s="15" t="str">
        <f>IF(OR(S933="",D933&lt;&gt;"Vastgesteld"),"",_xlfn.MAXIFS($G$6:$G$5005,$S$6:$S$5005,S933,$D$6:$D$5005,"Vastgesteld"))</f>
        <v/>
      </c>
      <c r="U933" s="15">
        <f>IF(T933="",0,IF(AND(G933=T933,COUNTIFS($S$6:S933,S933,$G$6:G933,G933,$D$6:D933,"Vastgesteld")=1),1,0))</f>
        <v>0</v>
      </c>
      <c r="V933" s="15">
        <f>IF(T933="",0,IF(AND(G933=T933,COUNTIFS($S$6:S933,S933,$G$6:G933,G933,$D$6:D933,"Vastgesteld")&gt;1),1,0))</f>
        <v>0</v>
      </c>
    </row>
    <row r="934">
      <c r="S934" s="15" t="str">
        <f>IF(J934="","",J934&amp;"|"&amp;E934&amp;"|"&amp;F934&amp;"|"&amp;I934&amp;"|"&amp;O934)</f>
        <v/>
      </c>
      <c r="T934" s="15" t="str">
        <f>IF(OR(S934="",D934&lt;&gt;"Vastgesteld"),"",_xlfn.MAXIFS($G$6:$G$5005,$S$6:$S$5005,S934,$D$6:$D$5005,"Vastgesteld"))</f>
        <v/>
      </c>
      <c r="U934" s="15">
        <f>IF(T934="",0,IF(AND(G934=T934,COUNTIFS($S$6:S934,S934,$G$6:G934,G934,$D$6:D934,"Vastgesteld")=1),1,0))</f>
        <v>0</v>
      </c>
      <c r="V934" s="15">
        <f>IF(T934="",0,IF(AND(G934=T934,COUNTIFS($S$6:S934,S934,$G$6:G934,G934,$D$6:D934,"Vastgesteld")&gt;1),1,0))</f>
        <v>0</v>
      </c>
    </row>
    <row r="935">
      <c r="S935" s="15" t="str">
        <f>IF(J935="","",J935&amp;"|"&amp;E935&amp;"|"&amp;F935&amp;"|"&amp;I935&amp;"|"&amp;O935)</f>
        <v/>
      </c>
      <c r="T935" s="15" t="str">
        <f>IF(OR(S935="",D935&lt;&gt;"Vastgesteld"),"",_xlfn.MAXIFS($G$6:$G$5005,$S$6:$S$5005,S935,$D$6:$D$5005,"Vastgesteld"))</f>
        <v/>
      </c>
      <c r="U935" s="15">
        <f>IF(T935="",0,IF(AND(G935=T935,COUNTIFS($S$6:S935,S935,$G$6:G935,G935,$D$6:D935,"Vastgesteld")=1),1,0))</f>
        <v>0</v>
      </c>
      <c r="V935" s="15">
        <f>IF(T935="",0,IF(AND(G935=T935,COUNTIFS($S$6:S935,S935,$G$6:G935,G935,$D$6:D935,"Vastgesteld")&gt;1),1,0))</f>
        <v>0</v>
      </c>
    </row>
    <row r="936">
      <c r="S936" s="15" t="str">
        <f>IF(J936="","",J936&amp;"|"&amp;E936&amp;"|"&amp;F936&amp;"|"&amp;I936&amp;"|"&amp;O936)</f>
        <v/>
      </c>
      <c r="T936" s="15" t="str">
        <f>IF(OR(S936="",D936&lt;&gt;"Vastgesteld"),"",_xlfn.MAXIFS($G$6:$G$5005,$S$6:$S$5005,S936,$D$6:$D$5005,"Vastgesteld"))</f>
        <v/>
      </c>
      <c r="U936" s="15">
        <f>IF(T936="",0,IF(AND(G936=T936,COUNTIFS($S$6:S936,S936,$G$6:G936,G936,$D$6:D936,"Vastgesteld")=1),1,0))</f>
        <v>0</v>
      </c>
      <c r="V936" s="15">
        <f>IF(T936="",0,IF(AND(G936=T936,COUNTIFS($S$6:S936,S936,$G$6:G936,G936,$D$6:D936,"Vastgesteld")&gt;1),1,0))</f>
        <v>0</v>
      </c>
    </row>
    <row r="937">
      <c r="S937" s="15" t="str">
        <f>IF(J937="","",J937&amp;"|"&amp;E937&amp;"|"&amp;F937&amp;"|"&amp;I937&amp;"|"&amp;O937)</f>
        <v/>
      </c>
      <c r="T937" s="15" t="str">
        <f>IF(OR(S937="",D937&lt;&gt;"Vastgesteld"),"",_xlfn.MAXIFS($G$6:$G$5005,$S$6:$S$5005,S937,$D$6:$D$5005,"Vastgesteld"))</f>
        <v/>
      </c>
      <c r="U937" s="15">
        <f>IF(T937="",0,IF(AND(G937=T937,COUNTIFS($S$6:S937,S937,$G$6:G937,G937,$D$6:D937,"Vastgesteld")=1),1,0))</f>
        <v>0</v>
      </c>
      <c r="V937" s="15">
        <f>IF(T937="",0,IF(AND(G937=T937,COUNTIFS($S$6:S937,S937,$G$6:G937,G937,$D$6:D937,"Vastgesteld")&gt;1),1,0))</f>
        <v>0</v>
      </c>
    </row>
    <row r="938">
      <c r="S938" s="15" t="str">
        <f>IF(J938="","",J938&amp;"|"&amp;E938&amp;"|"&amp;F938&amp;"|"&amp;I938&amp;"|"&amp;O938)</f>
        <v/>
      </c>
      <c r="T938" s="15" t="str">
        <f>IF(OR(S938="",D938&lt;&gt;"Vastgesteld"),"",_xlfn.MAXIFS($G$6:$G$5005,$S$6:$S$5005,S938,$D$6:$D$5005,"Vastgesteld"))</f>
        <v/>
      </c>
      <c r="U938" s="15">
        <f>IF(T938="",0,IF(AND(G938=T938,COUNTIFS($S$6:S938,S938,$G$6:G938,G938,$D$6:D938,"Vastgesteld")=1),1,0))</f>
        <v>0</v>
      </c>
      <c r="V938" s="15">
        <f>IF(T938="",0,IF(AND(G938=T938,COUNTIFS($S$6:S938,S938,$G$6:G938,G938,$D$6:D938,"Vastgesteld")&gt;1),1,0))</f>
        <v>0</v>
      </c>
    </row>
    <row r="939">
      <c r="S939" s="15" t="str">
        <f>IF(J939="","",J939&amp;"|"&amp;E939&amp;"|"&amp;F939&amp;"|"&amp;I939&amp;"|"&amp;O939)</f>
        <v/>
      </c>
      <c r="T939" s="15" t="str">
        <f>IF(OR(S939="",D939&lt;&gt;"Vastgesteld"),"",_xlfn.MAXIFS($G$6:$G$5005,$S$6:$S$5005,S939,$D$6:$D$5005,"Vastgesteld"))</f>
        <v/>
      </c>
      <c r="U939" s="15">
        <f>IF(T939="",0,IF(AND(G939=T939,COUNTIFS($S$6:S939,S939,$G$6:G939,G939,$D$6:D939,"Vastgesteld")=1),1,0))</f>
        <v>0</v>
      </c>
      <c r="V939" s="15">
        <f>IF(T939="",0,IF(AND(G939=T939,COUNTIFS($S$6:S939,S939,$G$6:G939,G939,$D$6:D939,"Vastgesteld")&gt;1),1,0))</f>
        <v>0</v>
      </c>
    </row>
    <row r="940">
      <c r="S940" s="15" t="str">
        <f>IF(J940="","",J940&amp;"|"&amp;E940&amp;"|"&amp;F940&amp;"|"&amp;I940&amp;"|"&amp;O940)</f>
        <v/>
      </c>
      <c r="T940" s="15" t="str">
        <f>IF(OR(S940="",D940&lt;&gt;"Vastgesteld"),"",_xlfn.MAXIFS($G$6:$G$5005,$S$6:$S$5005,S940,$D$6:$D$5005,"Vastgesteld"))</f>
        <v/>
      </c>
      <c r="U940" s="15">
        <f>IF(T940="",0,IF(AND(G940=T940,COUNTIFS($S$6:S940,S940,$G$6:G940,G940,$D$6:D940,"Vastgesteld")=1),1,0))</f>
        <v>0</v>
      </c>
      <c r="V940" s="15">
        <f>IF(T940="",0,IF(AND(G940=T940,COUNTIFS($S$6:S940,S940,$G$6:G940,G940,$D$6:D940,"Vastgesteld")&gt;1),1,0))</f>
        <v>0</v>
      </c>
    </row>
    <row r="941">
      <c r="S941" s="15" t="str">
        <f>IF(J941="","",J941&amp;"|"&amp;E941&amp;"|"&amp;F941&amp;"|"&amp;I941&amp;"|"&amp;O941)</f>
        <v/>
      </c>
      <c r="T941" s="15" t="str">
        <f>IF(OR(S941="",D941&lt;&gt;"Vastgesteld"),"",_xlfn.MAXIFS($G$6:$G$5005,$S$6:$S$5005,S941,$D$6:$D$5005,"Vastgesteld"))</f>
        <v/>
      </c>
      <c r="U941" s="15">
        <f>IF(T941="",0,IF(AND(G941=T941,COUNTIFS($S$6:S941,S941,$G$6:G941,G941,$D$6:D941,"Vastgesteld")=1),1,0))</f>
        <v>0</v>
      </c>
      <c r="V941" s="15">
        <f>IF(T941="",0,IF(AND(G941=T941,COUNTIFS($S$6:S941,S941,$G$6:G941,G941,$D$6:D941,"Vastgesteld")&gt;1),1,0))</f>
        <v>0</v>
      </c>
    </row>
    <row r="942">
      <c r="S942" s="15" t="str">
        <f>IF(J942="","",J942&amp;"|"&amp;E942&amp;"|"&amp;F942&amp;"|"&amp;I942&amp;"|"&amp;O942)</f>
        <v/>
      </c>
      <c r="T942" s="15" t="str">
        <f>IF(OR(S942="",D942&lt;&gt;"Vastgesteld"),"",_xlfn.MAXIFS($G$6:$G$5005,$S$6:$S$5005,S942,$D$6:$D$5005,"Vastgesteld"))</f>
        <v/>
      </c>
      <c r="U942" s="15">
        <f>IF(T942="",0,IF(AND(G942=T942,COUNTIFS($S$6:S942,S942,$G$6:G942,G942,$D$6:D942,"Vastgesteld")=1),1,0))</f>
        <v>0</v>
      </c>
      <c r="V942" s="15">
        <f>IF(T942="",0,IF(AND(G942=T942,COUNTIFS($S$6:S942,S942,$G$6:G942,G942,$D$6:D942,"Vastgesteld")&gt;1),1,0))</f>
        <v>0</v>
      </c>
    </row>
    <row r="943">
      <c r="S943" s="15" t="str">
        <f>IF(J943="","",J943&amp;"|"&amp;E943&amp;"|"&amp;F943&amp;"|"&amp;I943&amp;"|"&amp;O943)</f>
        <v/>
      </c>
      <c r="T943" s="15" t="str">
        <f>IF(OR(S943="",D943&lt;&gt;"Vastgesteld"),"",_xlfn.MAXIFS($G$6:$G$5005,$S$6:$S$5005,S943,$D$6:$D$5005,"Vastgesteld"))</f>
        <v/>
      </c>
      <c r="U943" s="15">
        <f>IF(T943="",0,IF(AND(G943=T943,COUNTIFS($S$6:S943,S943,$G$6:G943,G943,$D$6:D943,"Vastgesteld")=1),1,0))</f>
        <v>0</v>
      </c>
      <c r="V943" s="15">
        <f>IF(T943="",0,IF(AND(G943=T943,COUNTIFS($S$6:S943,S943,$G$6:G943,G943,$D$6:D943,"Vastgesteld")&gt;1),1,0))</f>
        <v>0</v>
      </c>
    </row>
    <row r="944">
      <c r="S944" s="15" t="str">
        <f>IF(J944="","",J944&amp;"|"&amp;E944&amp;"|"&amp;F944&amp;"|"&amp;I944&amp;"|"&amp;O944)</f>
        <v/>
      </c>
      <c r="T944" s="15" t="str">
        <f>IF(OR(S944="",D944&lt;&gt;"Vastgesteld"),"",_xlfn.MAXIFS($G$6:$G$5005,$S$6:$S$5005,S944,$D$6:$D$5005,"Vastgesteld"))</f>
        <v/>
      </c>
      <c r="U944" s="15">
        <f>IF(T944="",0,IF(AND(G944=T944,COUNTIFS($S$6:S944,S944,$G$6:G944,G944,$D$6:D944,"Vastgesteld")=1),1,0))</f>
        <v>0</v>
      </c>
      <c r="V944" s="15">
        <f>IF(T944="",0,IF(AND(G944=T944,COUNTIFS($S$6:S944,S944,$G$6:G944,G944,$D$6:D944,"Vastgesteld")&gt;1),1,0))</f>
        <v>0</v>
      </c>
    </row>
    <row r="945">
      <c r="S945" s="15" t="str">
        <f>IF(J945="","",J945&amp;"|"&amp;E945&amp;"|"&amp;F945&amp;"|"&amp;I945&amp;"|"&amp;O945)</f>
        <v/>
      </c>
      <c r="T945" s="15" t="str">
        <f>IF(OR(S945="",D945&lt;&gt;"Vastgesteld"),"",_xlfn.MAXIFS($G$6:$G$5005,$S$6:$S$5005,S945,$D$6:$D$5005,"Vastgesteld"))</f>
        <v/>
      </c>
      <c r="U945" s="15">
        <f>IF(T945="",0,IF(AND(G945=T945,COUNTIFS($S$6:S945,S945,$G$6:G945,G945,$D$6:D945,"Vastgesteld")=1),1,0))</f>
        <v>0</v>
      </c>
      <c r="V945" s="15">
        <f>IF(T945="",0,IF(AND(G945=T945,COUNTIFS($S$6:S945,S945,$G$6:G945,G945,$D$6:D945,"Vastgesteld")&gt;1),1,0))</f>
        <v>0</v>
      </c>
    </row>
    <row r="946">
      <c r="S946" s="15" t="str">
        <f>IF(J946="","",J946&amp;"|"&amp;E946&amp;"|"&amp;F946&amp;"|"&amp;I946&amp;"|"&amp;O946)</f>
        <v/>
      </c>
      <c r="T946" s="15" t="str">
        <f>IF(OR(S946="",D946&lt;&gt;"Vastgesteld"),"",_xlfn.MAXIFS($G$6:$G$5005,$S$6:$S$5005,S946,$D$6:$D$5005,"Vastgesteld"))</f>
        <v/>
      </c>
      <c r="U946" s="15">
        <f>IF(T946="",0,IF(AND(G946=T946,COUNTIFS($S$6:S946,S946,$G$6:G946,G946,$D$6:D946,"Vastgesteld")=1),1,0))</f>
        <v>0</v>
      </c>
      <c r="V946" s="15">
        <f>IF(T946="",0,IF(AND(G946=T946,COUNTIFS($S$6:S946,S946,$G$6:G946,G946,$D$6:D946,"Vastgesteld")&gt;1),1,0))</f>
        <v>0</v>
      </c>
    </row>
    <row r="947">
      <c r="S947" s="15" t="str">
        <f>IF(J947="","",J947&amp;"|"&amp;E947&amp;"|"&amp;F947&amp;"|"&amp;I947&amp;"|"&amp;O947)</f>
        <v/>
      </c>
      <c r="T947" s="15" t="str">
        <f>IF(OR(S947="",D947&lt;&gt;"Vastgesteld"),"",_xlfn.MAXIFS($G$6:$G$5005,$S$6:$S$5005,S947,$D$6:$D$5005,"Vastgesteld"))</f>
        <v/>
      </c>
      <c r="U947" s="15">
        <f>IF(T947="",0,IF(AND(G947=T947,COUNTIFS($S$6:S947,S947,$G$6:G947,G947,$D$6:D947,"Vastgesteld")=1),1,0))</f>
        <v>0</v>
      </c>
      <c r="V947" s="15">
        <f>IF(T947="",0,IF(AND(G947=T947,COUNTIFS($S$6:S947,S947,$G$6:G947,G947,$D$6:D947,"Vastgesteld")&gt;1),1,0))</f>
        <v>0</v>
      </c>
    </row>
    <row r="948">
      <c r="S948" s="15" t="str">
        <f>IF(J948="","",J948&amp;"|"&amp;E948&amp;"|"&amp;F948&amp;"|"&amp;I948&amp;"|"&amp;O948)</f>
        <v/>
      </c>
      <c r="T948" s="15" t="str">
        <f>IF(OR(S948="",D948&lt;&gt;"Vastgesteld"),"",_xlfn.MAXIFS($G$6:$G$5005,$S$6:$S$5005,S948,$D$6:$D$5005,"Vastgesteld"))</f>
        <v/>
      </c>
      <c r="U948" s="15">
        <f>IF(T948="",0,IF(AND(G948=T948,COUNTIFS($S$6:S948,S948,$G$6:G948,G948,$D$6:D948,"Vastgesteld")=1),1,0))</f>
        <v>0</v>
      </c>
      <c r="V948" s="15">
        <f>IF(T948="",0,IF(AND(G948=T948,COUNTIFS($S$6:S948,S948,$G$6:G948,G948,$D$6:D948,"Vastgesteld")&gt;1),1,0))</f>
        <v>0</v>
      </c>
    </row>
    <row r="949">
      <c r="S949" s="15" t="str">
        <f>IF(J949="","",J949&amp;"|"&amp;E949&amp;"|"&amp;F949&amp;"|"&amp;I949&amp;"|"&amp;O949)</f>
        <v/>
      </c>
      <c r="T949" s="15" t="str">
        <f>IF(OR(S949="",D949&lt;&gt;"Vastgesteld"),"",_xlfn.MAXIFS($G$6:$G$5005,$S$6:$S$5005,S949,$D$6:$D$5005,"Vastgesteld"))</f>
        <v/>
      </c>
      <c r="U949" s="15">
        <f>IF(T949="",0,IF(AND(G949=T949,COUNTIFS($S$6:S949,S949,$G$6:G949,G949,$D$6:D949,"Vastgesteld")=1),1,0))</f>
        <v>0</v>
      </c>
      <c r="V949" s="15">
        <f>IF(T949="",0,IF(AND(G949=T949,COUNTIFS($S$6:S949,S949,$G$6:G949,G949,$D$6:D949,"Vastgesteld")&gt;1),1,0))</f>
        <v>0</v>
      </c>
    </row>
    <row r="950">
      <c r="S950" s="15" t="str">
        <f>IF(J950="","",J950&amp;"|"&amp;E950&amp;"|"&amp;F950&amp;"|"&amp;I950&amp;"|"&amp;O950)</f>
        <v/>
      </c>
      <c r="T950" s="15" t="str">
        <f>IF(OR(S950="",D950&lt;&gt;"Vastgesteld"),"",_xlfn.MAXIFS($G$6:$G$5005,$S$6:$S$5005,S950,$D$6:$D$5005,"Vastgesteld"))</f>
        <v/>
      </c>
      <c r="U950" s="15">
        <f>IF(T950="",0,IF(AND(G950=T950,COUNTIFS($S$6:S950,S950,$G$6:G950,G950,$D$6:D950,"Vastgesteld")=1),1,0))</f>
        <v>0</v>
      </c>
      <c r="V950" s="15">
        <f>IF(T950="",0,IF(AND(G950=T950,COUNTIFS($S$6:S950,S950,$G$6:G950,G950,$D$6:D950,"Vastgesteld")&gt;1),1,0))</f>
        <v>0</v>
      </c>
    </row>
    <row r="951">
      <c r="S951" s="15" t="str">
        <f>IF(J951="","",J951&amp;"|"&amp;E951&amp;"|"&amp;F951&amp;"|"&amp;I951&amp;"|"&amp;O951)</f>
        <v/>
      </c>
      <c r="T951" s="15" t="str">
        <f>IF(OR(S951="",D951&lt;&gt;"Vastgesteld"),"",_xlfn.MAXIFS($G$6:$G$5005,$S$6:$S$5005,S951,$D$6:$D$5005,"Vastgesteld"))</f>
        <v/>
      </c>
      <c r="U951" s="15">
        <f>IF(T951="",0,IF(AND(G951=T951,COUNTIFS($S$6:S951,S951,$G$6:G951,G951,$D$6:D951,"Vastgesteld")=1),1,0))</f>
        <v>0</v>
      </c>
      <c r="V951" s="15">
        <f>IF(T951="",0,IF(AND(G951=T951,COUNTIFS($S$6:S951,S951,$G$6:G951,G951,$D$6:D951,"Vastgesteld")&gt;1),1,0))</f>
        <v>0</v>
      </c>
    </row>
    <row r="952">
      <c r="S952" s="15" t="str">
        <f>IF(J952="","",J952&amp;"|"&amp;E952&amp;"|"&amp;F952&amp;"|"&amp;I952&amp;"|"&amp;O952)</f>
        <v/>
      </c>
      <c r="T952" s="15" t="str">
        <f>IF(OR(S952="",D952&lt;&gt;"Vastgesteld"),"",_xlfn.MAXIFS($G$6:$G$5005,$S$6:$S$5005,S952,$D$6:$D$5005,"Vastgesteld"))</f>
        <v/>
      </c>
      <c r="U952" s="15">
        <f>IF(T952="",0,IF(AND(G952=T952,COUNTIFS($S$6:S952,S952,$G$6:G952,G952,$D$6:D952,"Vastgesteld")=1),1,0))</f>
        <v>0</v>
      </c>
      <c r="V952" s="15">
        <f>IF(T952="",0,IF(AND(G952=T952,COUNTIFS($S$6:S952,S952,$G$6:G952,G952,$D$6:D952,"Vastgesteld")&gt;1),1,0))</f>
        <v>0</v>
      </c>
    </row>
    <row r="953">
      <c r="S953" s="15" t="str">
        <f>IF(J953="","",J953&amp;"|"&amp;E953&amp;"|"&amp;F953&amp;"|"&amp;I953&amp;"|"&amp;O953)</f>
        <v/>
      </c>
      <c r="T953" s="15" t="str">
        <f>IF(OR(S953="",D953&lt;&gt;"Vastgesteld"),"",_xlfn.MAXIFS($G$6:$G$5005,$S$6:$S$5005,S953,$D$6:$D$5005,"Vastgesteld"))</f>
        <v/>
      </c>
      <c r="U953" s="15">
        <f>IF(T953="",0,IF(AND(G953=T953,COUNTIFS($S$6:S953,S953,$G$6:G953,G953,$D$6:D953,"Vastgesteld")=1),1,0))</f>
        <v>0</v>
      </c>
      <c r="V953" s="15">
        <f>IF(T953="",0,IF(AND(G953=T953,COUNTIFS($S$6:S953,S953,$G$6:G953,G953,$D$6:D953,"Vastgesteld")&gt;1),1,0))</f>
        <v>0</v>
      </c>
    </row>
    <row r="954">
      <c r="S954" s="15" t="str">
        <f>IF(J954="","",J954&amp;"|"&amp;E954&amp;"|"&amp;F954&amp;"|"&amp;I954&amp;"|"&amp;O954)</f>
        <v/>
      </c>
      <c r="T954" s="15" t="str">
        <f>IF(OR(S954="",D954&lt;&gt;"Vastgesteld"),"",_xlfn.MAXIFS($G$6:$G$5005,$S$6:$S$5005,S954,$D$6:$D$5005,"Vastgesteld"))</f>
        <v/>
      </c>
      <c r="U954" s="15">
        <f>IF(T954="",0,IF(AND(G954=T954,COUNTIFS($S$6:S954,S954,$G$6:G954,G954,$D$6:D954,"Vastgesteld")=1),1,0))</f>
        <v>0</v>
      </c>
      <c r="V954" s="15">
        <f>IF(T954="",0,IF(AND(G954=T954,COUNTIFS($S$6:S954,S954,$G$6:G954,G954,$D$6:D954,"Vastgesteld")&gt;1),1,0))</f>
        <v>0</v>
      </c>
    </row>
    <row r="955">
      <c r="S955" s="15" t="str">
        <f>IF(J955="","",J955&amp;"|"&amp;E955&amp;"|"&amp;F955&amp;"|"&amp;I955&amp;"|"&amp;O955)</f>
        <v/>
      </c>
      <c r="T955" s="15" t="str">
        <f>IF(OR(S955="",D955&lt;&gt;"Vastgesteld"),"",_xlfn.MAXIFS($G$6:$G$5005,$S$6:$S$5005,S955,$D$6:$D$5005,"Vastgesteld"))</f>
        <v/>
      </c>
      <c r="U955" s="15">
        <f>IF(T955="",0,IF(AND(G955=T955,COUNTIFS($S$6:S955,S955,$G$6:G955,G955,$D$6:D955,"Vastgesteld")=1),1,0))</f>
        <v>0</v>
      </c>
      <c r="V955" s="15">
        <f>IF(T955="",0,IF(AND(G955=T955,COUNTIFS($S$6:S955,S955,$G$6:G955,G955,$D$6:D955,"Vastgesteld")&gt;1),1,0))</f>
        <v>0</v>
      </c>
    </row>
    <row r="956">
      <c r="S956" s="15" t="str">
        <f>IF(J956="","",J956&amp;"|"&amp;E956&amp;"|"&amp;F956&amp;"|"&amp;I956&amp;"|"&amp;O956)</f>
        <v/>
      </c>
      <c r="T956" s="15" t="str">
        <f>IF(OR(S956="",D956&lt;&gt;"Vastgesteld"),"",_xlfn.MAXIFS($G$6:$G$5005,$S$6:$S$5005,S956,$D$6:$D$5005,"Vastgesteld"))</f>
        <v/>
      </c>
      <c r="U956" s="15">
        <f>IF(T956="",0,IF(AND(G956=T956,COUNTIFS($S$6:S956,S956,$G$6:G956,G956,$D$6:D956,"Vastgesteld")=1),1,0))</f>
        <v>0</v>
      </c>
      <c r="V956" s="15">
        <f>IF(T956="",0,IF(AND(G956=T956,COUNTIFS($S$6:S956,S956,$G$6:G956,G956,$D$6:D956,"Vastgesteld")&gt;1),1,0))</f>
        <v>0</v>
      </c>
    </row>
    <row r="957">
      <c r="S957" s="15" t="str">
        <f>IF(J957="","",J957&amp;"|"&amp;E957&amp;"|"&amp;F957&amp;"|"&amp;I957&amp;"|"&amp;O957)</f>
        <v/>
      </c>
      <c r="T957" s="15" t="str">
        <f>IF(OR(S957="",D957&lt;&gt;"Vastgesteld"),"",_xlfn.MAXIFS($G$6:$G$5005,$S$6:$S$5005,S957,$D$6:$D$5005,"Vastgesteld"))</f>
        <v/>
      </c>
      <c r="U957" s="15">
        <f>IF(T957="",0,IF(AND(G957=T957,COUNTIFS($S$6:S957,S957,$G$6:G957,G957,$D$6:D957,"Vastgesteld")=1),1,0))</f>
        <v>0</v>
      </c>
      <c r="V957" s="15">
        <f>IF(T957="",0,IF(AND(G957=T957,COUNTIFS($S$6:S957,S957,$G$6:G957,G957,$D$6:D957,"Vastgesteld")&gt;1),1,0))</f>
        <v>0</v>
      </c>
    </row>
    <row r="958">
      <c r="S958" s="15" t="str">
        <f>IF(J958="","",J958&amp;"|"&amp;E958&amp;"|"&amp;F958&amp;"|"&amp;I958&amp;"|"&amp;O958)</f>
        <v/>
      </c>
      <c r="T958" s="15" t="str">
        <f>IF(OR(S958="",D958&lt;&gt;"Vastgesteld"),"",_xlfn.MAXIFS($G$6:$G$5005,$S$6:$S$5005,S958,$D$6:$D$5005,"Vastgesteld"))</f>
        <v/>
      </c>
      <c r="U958" s="15">
        <f>IF(T958="",0,IF(AND(G958=T958,COUNTIFS($S$6:S958,S958,$G$6:G958,G958,$D$6:D958,"Vastgesteld")=1),1,0))</f>
        <v>0</v>
      </c>
      <c r="V958" s="15">
        <f>IF(T958="",0,IF(AND(G958=T958,COUNTIFS($S$6:S958,S958,$G$6:G958,G958,$D$6:D958,"Vastgesteld")&gt;1),1,0))</f>
        <v>0</v>
      </c>
    </row>
    <row r="959">
      <c r="S959" s="15" t="str">
        <f>IF(J959="","",J959&amp;"|"&amp;E959&amp;"|"&amp;F959&amp;"|"&amp;I959&amp;"|"&amp;O959)</f>
        <v/>
      </c>
      <c r="T959" s="15" t="str">
        <f>IF(OR(S959="",D959&lt;&gt;"Vastgesteld"),"",_xlfn.MAXIFS($G$6:$G$5005,$S$6:$S$5005,S959,$D$6:$D$5005,"Vastgesteld"))</f>
        <v/>
      </c>
      <c r="U959" s="15">
        <f>IF(T959="",0,IF(AND(G959=T959,COUNTIFS($S$6:S959,S959,$G$6:G959,G959,$D$6:D959,"Vastgesteld")=1),1,0))</f>
        <v>0</v>
      </c>
      <c r="V959" s="15">
        <f>IF(T959="",0,IF(AND(G959=T959,COUNTIFS($S$6:S959,S959,$G$6:G959,G959,$D$6:D959,"Vastgesteld")&gt;1),1,0))</f>
        <v>0</v>
      </c>
    </row>
    <row r="960">
      <c r="S960" s="15" t="str">
        <f>IF(J960="","",J960&amp;"|"&amp;E960&amp;"|"&amp;F960&amp;"|"&amp;I960&amp;"|"&amp;O960)</f>
        <v/>
      </c>
      <c r="T960" s="15" t="str">
        <f>IF(OR(S960="",D960&lt;&gt;"Vastgesteld"),"",_xlfn.MAXIFS($G$6:$G$5005,$S$6:$S$5005,S960,$D$6:$D$5005,"Vastgesteld"))</f>
        <v/>
      </c>
      <c r="U960" s="15">
        <f>IF(T960="",0,IF(AND(G960=T960,COUNTIFS($S$6:S960,S960,$G$6:G960,G960,$D$6:D960,"Vastgesteld")=1),1,0))</f>
        <v>0</v>
      </c>
      <c r="V960" s="15">
        <f>IF(T960="",0,IF(AND(G960=T960,COUNTIFS($S$6:S960,S960,$G$6:G960,G960,$D$6:D960,"Vastgesteld")&gt;1),1,0))</f>
        <v>0</v>
      </c>
    </row>
    <row r="961">
      <c r="S961" s="15" t="str">
        <f>IF(J961="","",J961&amp;"|"&amp;E961&amp;"|"&amp;F961&amp;"|"&amp;I961&amp;"|"&amp;O961)</f>
        <v/>
      </c>
      <c r="T961" s="15" t="str">
        <f>IF(OR(S961="",D961&lt;&gt;"Vastgesteld"),"",_xlfn.MAXIFS($G$6:$G$5005,$S$6:$S$5005,S961,$D$6:$D$5005,"Vastgesteld"))</f>
        <v/>
      </c>
      <c r="U961" s="15">
        <f>IF(T961="",0,IF(AND(G961=T961,COUNTIFS($S$6:S961,S961,$G$6:G961,G961,$D$6:D961,"Vastgesteld")=1),1,0))</f>
        <v>0</v>
      </c>
      <c r="V961" s="15">
        <f>IF(T961="",0,IF(AND(G961=T961,COUNTIFS($S$6:S961,S961,$G$6:G961,G961,$D$6:D961,"Vastgesteld")&gt;1),1,0))</f>
        <v>0</v>
      </c>
    </row>
    <row r="962">
      <c r="S962" s="15" t="str">
        <f>IF(J962="","",J962&amp;"|"&amp;E962&amp;"|"&amp;F962&amp;"|"&amp;I962&amp;"|"&amp;O962)</f>
        <v/>
      </c>
      <c r="T962" s="15" t="str">
        <f>IF(OR(S962="",D962&lt;&gt;"Vastgesteld"),"",_xlfn.MAXIFS($G$6:$G$5005,$S$6:$S$5005,S962,$D$6:$D$5005,"Vastgesteld"))</f>
        <v/>
      </c>
      <c r="U962" s="15">
        <f>IF(T962="",0,IF(AND(G962=T962,COUNTIFS($S$6:S962,S962,$G$6:G962,G962,$D$6:D962,"Vastgesteld")=1),1,0))</f>
        <v>0</v>
      </c>
      <c r="V962" s="15">
        <f>IF(T962="",0,IF(AND(G962=T962,COUNTIFS($S$6:S962,S962,$G$6:G962,G962,$D$6:D962,"Vastgesteld")&gt;1),1,0))</f>
        <v>0</v>
      </c>
    </row>
    <row r="963">
      <c r="S963" s="15" t="str">
        <f>IF(J963="","",J963&amp;"|"&amp;E963&amp;"|"&amp;F963&amp;"|"&amp;I963&amp;"|"&amp;O963)</f>
        <v/>
      </c>
      <c r="T963" s="15" t="str">
        <f>IF(OR(S963="",D963&lt;&gt;"Vastgesteld"),"",_xlfn.MAXIFS($G$6:$G$5005,$S$6:$S$5005,S963,$D$6:$D$5005,"Vastgesteld"))</f>
        <v/>
      </c>
      <c r="U963" s="15">
        <f>IF(T963="",0,IF(AND(G963=T963,COUNTIFS($S$6:S963,S963,$G$6:G963,G963,$D$6:D963,"Vastgesteld")=1),1,0))</f>
        <v>0</v>
      </c>
      <c r="V963" s="15">
        <f>IF(T963="",0,IF(AND(G963=T963,COUNTIFS($S$6:S963,S963,$G$6:G963,G963,$D$6:D963,"Vastgesteld")&gt;1),1,0))</f>
        <v>0</v>
      </c>
    </row>
    <row r="964">
      <c r="S964" s="15" t="str">
        <f>IF(J964="","",J964&amp;"|"&amp;E964&amp;"|"&amp;F964&amp;"|"&amp;I964&amp;"|"&amp;O964)</f>
        <v/>
      </c>
      <c r="T964" s="15" t="str">
        <f>IF(OR(S964="",D964&lt;&gt;"Vastgesteld"),"",_xlfn.MAXIFS($G$6:$G$5005,$S$6:$S$5005,S964,$D$6:$D$5005,"Vastgesteld"))</f>
        <v/>
      </c>
      <c r="U964" s="15">
        <f>IF(T964="",0,IF(AND(G964=T964,COUNTIFS($S$6:S964,S964,$G$6:G964,G964,$D$6:D964,"Vastgesteld")=1),1,0))</f>
        <v>0</v>
      </c>
      <c r="V964" s="15">
        <f>IF(T964="",0,IF(AND(G964=T964,COUNTIFS($S$6:S964,S964,$G$6:G964,G964,$D$6:D964,"Vastgesteld")&gt;1),1,0))</f>
        <v>0</v>
      </c>
    </row>
    <row r="965">
      <c r="S965" s="15" t="str">
        <f>IF(J965="","",J965&amp;"|"&amp;E965&amp;"|"&amp;F965&amp;"|"&amp;I965&amp;"|"&amp;O965)</f>
        <v/>
      </c>
      <c r="T965" s="15" t="str">
        <f>IF(OR(S965="",D965&lt;&gt;"Vastgesteld"),"",_xlfn.MAXIFS($G$6:$G$5005,$S$6:$S$5005,S965,$D$6:$D$5005,"Vastgesteld"))</f>
        <v/>
      </c>
      <c r="U965" s="15">
        <f>IF(T965="",0,IF(AND(G965=T965,COUNTIFS($S$6:S965,S965,$G$6:G965,G965,$D$6:D965,"Vastgesteld")=1),1,0))</f>
        <v>0</v>
      </c>
      <c r="V965" s="15">
        <f>IF(T965="",0,IF(AND(G965=T965,COUNTIFS($S$6:S965,S965,$G$6:G965,G965,$D$6:D965,"Vastgesteld")&gt;1),1,0))</f>
        <v>0</v>
      </c>
    </row>
    <row r="966">
      <c r="S966" s="15" t="str">
        <f>IF(J966="","",J966&amp;"|"&amp;E966&amp;"|"&amp;F966&amp;"|"&amp;I966&amp;"|"&amp;O966)</f>
        <v/>
      </c>
      <c r="T966" s="15" t="str">
        <f>IF(OR(S966="",D966&lt;&gt;"Vastgesteld"),"",_xlfn.MAXIFS($G$6:$G$5005,$S$6:$S$5005,S966,$D$6:$D$5005,"Vastgesteld"))</f>
        <v/>
      </c>
      <c r="U966" s="15">
        <f>IF(T966="",0,IF(AND(G966=T966,COUNTIFS($S$6:S966,S966,$G$6:G966,G966,$D$6:D966,"Vastgesteld")=1),1,0))</f>
        <v>0</v>
      </c>
      <c r="V966" s="15">
        <f>IF(T966="",0,IF(AND(G966=T966,COUNTIFS($S$6:S966,S966,$G$6:G966,G966,$D$6:D966,"Vastgesteld")&gt;1),1,0))</f>
        <v>0</v>
      </c>
    </row>
    <row r="967">
      <c r="S967" s="15" t="str">
        <f>IF(J967="","",J967&amp;"|"&amp;E967&amp;"|"&amp;F967&amp;"|"&amp;I967&amp;"|"&amp;O967)</f>
        <v/>
      </c>
      <c r="T967" s="15" t="str">
        <f>IF(OR(S967="",D967&lt;&gt;"Vastgesteld"),"",_xlfn.MAXIFS($G$6:$G$5005,$S$6:$S$5005,S967,$D$6:$D$5005,"Vastgesteld"))</f>
        <v/>
      </c>
      <c r="U967" s="15">
        <f>IF(T967="",0,IF(AND(G967=T967,COUNTIFS($S$6:S967,S967,$G$6:G967,G967,$D$6:D967,"Vastgesteld")=1),1,0))</f>
        <v>0</v>
      </c>
      <c r="V967" s="15">
        <f>IF(T967="",0,IF(AND(G967=T967,COUNTIFS($S$6:S967,S967,$G$6:G967,G967,$D$6:D967,"Vastgesteld")&gt;1),1,0))</f>
        <v>0</v>
      </c>
    </row>
    <row r="968">
      <c r="S968" s="15" t="str">
        <f>IF(J968="","",J968&amp;"|"&amp;E968&amp;"|"&amp;F968&amp;"|"&amp;I968&amp;"|"&amp;O968)</f>
        <v/>
      </c>
      <c r="T968" s="15" t="str">
        <f>IF(OR(S968="",D968&lt;&gt;"Vastgesteld"),"",_xlfn.MAXIFS($G$6:$G$5005,$S$6:$S$5005,S968,$D$6:$D$5005,"Vastgesteld"))</f>
        <v/>
      </c>
      <c r="U968" s="15">
        <f>IF(T968="",0,IF(AND(G968=T968,COUNTIFS($S$6:S968,S968,$G$6:G968,G968,$D$6:D968,"Vastgesteld")=1),1,0))</f>
        <v>0</v>
      </c>
      <c r="V968" s="15">
        <f>IF(T968="",0,IF(AND(G968=T968,COUNTIFS($S$6:S968,S968,$G$6:G968,G968,$D$6:D968,"Vastgesteld")&gt;1),1,0))</f>
        <v>0</v>
      </c>
    </row>
    <row r="969">
      <c r="S969" s="15" t="str">
        <f>IF(J969="","",J969&amp;"|"&amp;E969&amp;"|"&amp;F969&amp;"|"&amp;I969&amp;"|"&amp;O969)</f>
        <v/>
      </c>
      <c r="T969" s="15" t="str">
        <f>IF(OR(S969="",D969&lt;&gt;"Vastgesteld"),"",_xlfn.MAXIFS($G$6:$G$5005,$S$6:$S$5005,S969,$D$6:$D$5005,"Vastgesteld"))</f>
        <v/>
      </c>
      <c r="U969" s="15">
        <f>IF(T969="",0,IF(AND(G969=T969,COUNTIFS($S$6:S969,S969,$G$6:G969,G969,$D$6:D969,"Vastgesteld")=1),1,0))</f>
        <v>0</v>
      </c>
      <c r="V969" s="15">
        <f>IF(T969="",0,IF(AND(G969=T969,COUNTIFS($S$6:S969,S969,$G$6:G969,G969,$D$6:D969,"Vastgesteld")&gt;1),1,0))</f>
        <v>0</v>
      </c>
    </row>
    <row r="970">
      <c r="S970" s="15" t="str">
        <f>IF(J970="","",J970&amp;"|"&amp;E970&amp;"|"&amp;F970&amp;"|"&amp;I970&amp;"|"&amp;O970)</f>
        <v/>
      </c>
      <c r="T970" s="15" t="str">
        <f>IF(OR(S970="",D970&lt;&gt;"Vastgesteld"),"",_xlfn.MAXIFS($G$6:$G$5005,$S$6:$S$5005,S970,$D$6:$D$5005,"Vastgesteld"))</f>
        <v/>
      </c>
      <c r="U970" s="15">
        <f>IF(T970="",0,IF(AND(G970=T970,COUNTIFS($S$6:S970,S970,$G$6:G970,G970,$D$6:D970,"Vastgesteld")=1),1,0))</f>
        <v>0</v>
      </c>
      <c r="V970" s="15">
        <f>IF(T970="",0,IF(AND(G970=T970,COUNTIFS($S$6:S970,S970,$G$6:G970,G970,$D$6:D970,"Vastgesteld")&gt;1),1,0))</f>
        <v>0</v>
      </c>
    </row>
    <row r="971">
      <c r="S971" s="15" t="str">
        <f>IF(J971="","",J971&amp;"|"&amp;E971&amp;"|"&amp;F971&amp;"|"&amp;I971&amp;"|"&amp;O971)</f>
        <v/>
      </c>
      <c r="T971" s="15" t="str">
        <f>IF(OR(S971="",D971&lt;&gt;"Vastgesteld"),"",_xlfn.MAXIFS($G$6:$G$5005,$S$6:$S$5005,S971,$D$6:$D$5005,"Vastgesteld"))</f>
        <v/>
      </c>
      <c r="U971" s="15">
        <f>IF(T971="",0,IF(AND(G971=T971,COUNTIFS($S$6:S971,S971,$G$6:G971,G971,$D$6:D971,"Vastgesteld")=1),1,0))</f>
        <v>0</v>
      </c>
      <c r="V971" s="15">
        <f>IF(T971="",0,IF(AND(G971=T971,COUNTIFS($S$6:S971,S971,$G$6:G971,G971,$D$6:D971,"Vastgesteld")&gt;1),1,0))</f>
        <v>0</v>
      </c>
    </row>
    <row r="972">
      <c r="S972" s="15" t="str">
        <f>IF(J972="","",J972&amp;"|"&amp;E972&amp;"|"&amp;F972&amp;"|"&amp;I972&amp;"|"&amp;O972)</f>
        <v/>
      </c>
      <c r="T972" s="15" t="str">
        <f>IF(OR(S972="",D972&lt;&gt;"Vastgesteld"),"",_xlfn.MAXIFS($G$6:$G$5005,$S$6:$S$5005,S972,$D$6:$D$5005,"Vastgesteld"))</f>
        <v/>
      </c>
      <c r="U972" s="15">
        <f>IF(T972="",0,IF(AND(G972=T972,COUNTIFS($S$6:S972,S972,$G$6:G972,G972,$D$6:D972,"Vastgesteld")=1),1,0))</f>
        <v>0</v>
      </c>
      <c r="V972" s="15">
        <f>IF(T972="",0,IF(AND(G972=T972,COUNTIFS($S$6:S972,S972,$G$6:G972,G972,$D$6:D972,"Vastgesteld")&gt;1),1,0))</f>
        <v>0</v>
      </c>
    </row>
    <row r="973">
      <c r="S973" s="15" t="str">
        <f>IF(J973="","",J973&amp;"|"&amp;E973&amp;"|"&amp;F973&amp;"|"&amp;I973&amp;"|"&amp;O973)</f>
        <v/>
      </c>
      <c r="T973" s="15" t="str">
        <f>IF(OR(S973="",D973&lt;&gt;"Vastgesteld"),"",_xlfn.MAXIFS($G$6:$G$5005,$S$6:$S$5005,S973,$D$6:$D$5005,"Vastgesteld"))</f>
        <v/>
      </c>
      <c r="U973" s="15">
        <f>IF(T973="",0,IF(AND(G973=T973,COUNTIFS($S$6:S973,S973,$G$6:G973,G973,$D$6:D973,"Vastgesteld")=1),1,0))</f>
        <v>0</v>
      </c>
      <c r="V973" s="15">
        <f>IF(T973="",0,IF(AND(G973=T973,COUNTIFS($S$6:S973,S973,$G$6:G973,G973,$D$6:D973,"Vastgesteld")&gt;1),1,0))</f>
        <v>0</v>
      </c>
    </row>
    <row r="974">
      <c r="S974" s="15" t="str">
        <f>IF(J974="","",J974&amp;"|"&amp;E974&amp;"|"&amp;F974&amp;"|"&amp;I974&amp;"|"&amp;O974)</f>
        <v/>
      </c>
      <c r="T974" s="15" t="str">
        <f>IF(OR(S974="",D974&lt;&gt;"Vastgesteld"),"",_xlfn.MAXIFS($G$6:$G$5005,$S$6:$S$5005,S974,$D$6:$D$5005,"Vastgesteld"))</f>
        <v/>
      </c>
      <c r="U974" s="15">
        <f>IF(T974="",0,IF(AND(G974=T974,COUNTIFS($S$6:S974,S974,$G$6:G974,G974,$D$6:D974,"Vastgesteld")=1),1,0))</f>
        <v>0</v>
      </c>
      <c r="V974" s="15">
        <f>IF(T974="",0,IF(AND(G974=T974,COUNTIFS($S$6:S974,S974,$G$6:G974,G974,$D$6:D974,"Vastgesteld")&gt;1),1,0))</f>
        <v>0</v>
      </c>
    </row>
    <row r="975">
      <c r="S975" s="15" t="str">
        <f>IF(J975="","",J975&amp;"|"&amp;E975&amp;"|"&amp;F975&amp;"|"&amp;I975&amp;"|"&amp;O975)</f>
        <v/>
      </c>
      <c r="T975" s="15" t="str">
        <f>IF(OR(S975="",D975&lt;&gt;"Vastgesteld"),"",_xlfn.MAXIFS($G$6:$G$5005,$S$6:$S$5005,S975,$D$6:$D$5005,"Vastgesteld"))</f>
        <v/>
      </c>
      <c r="U975" s="15">
        <f>IF(T975="",0,IF(AND(G975=T975,COUNTIFS($S$6:S975,S975,$G$6:G975,G975,$D$6:D975,"Vastgesteld")=1),1,0))</f>
        <v>0</v>
      </c>
      <c r="V975" s="15">
        <f>IF(T975="",0,IF(AND(G975=T975,COUNTIFS($S$6:S975,S975,$G$6:G975,G975,$D$6:D975,"Vastgesteld")&gt;1),1,0))</f>
        <v>0</v>
      </c>
    </row>
    <row r="976">
      <c r="S976" s="15" t="str">
        <f>IF(J976="","",J976&amp;"|"&amp;E976&amp;"|"&amp;F976&amp;"|"&amp;I976&amp;"|"&amp;O976)</f>
        <v/>
      </c>
      <c r="T976" s="15" t="str">
        <f>IF(OR(S976="",D976&lt;&gt;"Vastgesteld"),"",_xlfn.MAXIFS($G$6:$G$5005,$S$6:$S$5005,S976,$D$6:$D$5005,"Vastgesteld"))</f>
        <v/>
      </c>
      <c r="U976" s="15">
        <f>IF(T976="",0,IF(AND(G976=T976,COUNTIFS($S$6:S976,S976,$G$6:G976,G976,$D$6:D976,"Vastgesteld")=1),1,0))</f>
        <v>0</v>
      </c>
      <c r="V976" s="15">
        <f>IF(T976="",0,IF(AND(G976=T976,COUNTIFS($S$6:S976,S976,$G$6:G976,G976,$D$6:D976,"Vastgesteld")&gt;1),1,0))</f>
        <v>0</v>
      </c>
    </row>
    <row r="977">
      <c r="S977" s="15" t="str">
        <f>IF(J977="","",J977&amp;"|"&amp;E977&amp;"|"&amp;F977&amp;"|"&amp;I977&amp;"|"&amp;O977)</f>
        <v/>
      </c>
      <c r="T977" s="15" t="str">
        <f>IF(OR(S977="",D977&lt;&gt;"Vastgesteld"),"",_xlfn.MAXIFS($G$6:$G$5005,$S$6:$S$5005,S977,$D$6:$D$5005,"Vastgesteld"))</f>
        <v/>
      </c>
      <c r="U977" s="15">
        <f>IF(T977="",0,IF(AND(G977=T977,COUNTIFS($S$6:S977,S977,$G$6:G977,G977,$D$6:D977,"Vastgesteld")=1),1,0))</f>
        <v>0</v>
      </c>
      <c r="V977" s="15">
        <f>IF(T977="",0,IF(AND(G977=T977,COUNTIFS($S$6:S977,S977,$G$6:G977,G977,$D$6:D977,"Vastgesteld")&gt;1),1,0))</f>
        <v>0</v>
      </c>
    </row>
    <row r="978">
      <c r="S978" s="15" t="str">
        <f>IF(J978="","",J978&amp;"|"&amp;E978&amp;"|"&amp;F978&amp;"|"&amp;I978&amp;"|"&amp;O978)</f>
        <v/>
      </c>
      <c r="T978" s="15" t="str">
        <f>IF(OR(S978="",D978&lt;&gt;"Vastgesteld"),"",_xlfn.MAXIFS($G$6:$G$5005,$S$6:$S$5005,S978,$D$6:$D$5005,"Vastgesteld"))</f>
        <v/>
      </c>
      <c r="U978" s="15">
        <f>IF(T978="",0,IF(AND(G978=T978,COUNTIFS($S$6:S978,S978,$G$6:G978,G978,$D$6:D978,"Vastgesteld")=1),1,0))</f>
        <v>0</v>
      </c>
      <c r="V978" s="15">
        <f>IF(T978="",0,IF(AND(G978=T978,COUNTIFS($S$6:S978,S978,$G$6:G978,G978,$D$6:D978,"Vastgesteld")&gt;1),1,0))</f>
        <v>0</v>
      </c>
    </row>
    <row r="979">
      <c r="S979" s="15" t="str">
        <f>IF(J979="","",J979&amp;"|"&amp;E979&amp;"|"&amp;F979&amp;"|"&amp;I979&amp;"|"&amp;O979)</f>
        <v/>
      </c>
      <c r="T979" s="15" t="str">
        <f>IF(OR(S979="",D979&lt;&gt;"Vastgesteld"),"",_xlfn.MAXIFS($G$6:$G$5005,$S$6:$S$5005,S979,$D$6:$D$5005,"Vastgesteld"))</f>
        <v/>
      </c>
      <c r="U979" s="15">
        <f>IF(T979="",0,IF(AND(G979=T979,COUNTIFS($S$6:S979,S979,$G$6:G979,G979,$D$6:D979,"Vastgesteld")=1),1,0))</f>
        <v>0</v>
      </c>
      <c r="V979" s="15">
        <f>IF(T979="",0,IF(AND(G979=T979,COUNTIFS($S$6:S979,S979,$G$6:G979,G979,$D$6:D979,"Vastgesteld")&gt;1),1,0))</f>
        <v>0</v>
      </c>
    </row>
    <row r="980">
      <c r="S980" s="15" t="str">
        <f>IF(J980="","",J980&amp;"|"&amp;E980&amp;"|"&amp;F980&amp;"|"&amp;I980&amp;"|"&amp;O980)</f>
        <v/>
      </c>
      <c r="T980" s="15" t="str">
        <f>IF(OR(S980="",D980&lt;&gt;"Vastgesteld"),"",_xlfn.MAXIFS($G$6:$G$5005,$S$6:$S$5005,S980,$D$6:$D$5005,"Vastgesteld"))</f>
        <v/>
      </c>
      <c r="U980" s="15">
        <f>IF(T980="",0,IF(AND(G980=T980,COUNTIFS($S$6:S980,S980,$G$6:G980,G980,$D$6:D980,"Vastgesteld")=1),1,0))</f>
        <v>0</v>
      </c>
      <c r="V980" s="15">
        <f>IF(T980="",0,IF(AND(G980=T980,COUNTIFS($S$6:S980,S980,$G$6:G980,G980,$D$6:D980,"Vastgesteld")&gt;1),1,0))</f>
        <v>0</v>
      </c>
    </row>
    <row r="981">
      <c r="S981" s="15" t="str">
        <f>IF(J981="","",J981&amp;"|"&amp;E981&amp;"|"&amp;F981&amp;"|"&amp;I981&amp;"|"&amp;O981)</f>
        <v/>
      </c>
      <c r="T981" s="15" t="str">
        <f>IF(OR(S981="",D981&lt;&gt;"Vastgesteld"),"",_xlfn.MAXIFS($G$6:$G$5005,$S$6:$S$5005,S981,$D$6:$D$5005,"Vastgesteld"))</f>
        <v/>
      </c>
      <c r="U981" s="15">
        <f>IF(T981="",0,IF(AND(G981=T981,COUNTIFS($S$6:S981,S981,$G$6:G981,G981,$D$6:D981,"Vastgesteld")=1),1,0))</f>
        <v>0</v>
      </c>
      <c r="V981" s="15">
        <f>IF(T981="",0,IF(AND(G981=T981,COUNTIFS($S$6:S981,S981,$G$6:G981,G981,$D$6:D981,"Vastgesteld")&gt;1),1,0))</f>
        <v>0</v>
      </c>
    </row>
    <row r="982">
      <c r="S982" s="15" t="str">
        <f>IF(J982="","",J982&amp;"|"&amp;E982&amp;"|"&amp;F982&amp;"|"&amp;I982&amp;"|"&amp;O982)</f>
        <v/>
      </c>
      <c r="T982" s="15" t="str">
        <f>IF(OR(S982="",D982&lt;&gt;"Vastgesteld"),"",_xlfn.MAXIFS($G$6:$G$5005,$S$6:$S$5005,S982,$D$6:$D$5005,"Vastgesteld"))</f>
        <v/>
      </c>
      <c r="U982" s="15">
        <f>IF(T982="",0,IF(AND(G982=T982,COUNTIFS($S$6:S982,S982,$G$6:G982,G982,$D$6:D982,"Vastgesteld")=1),1,0))</f>
        <v>0</v>
      </c>
      <c r="V982" s="15">
        <f>IF(T982="",0,IF(AND(G982=T982,COUNTIFS($S$6:S982,S982,$G$6:G982,G982,$D$6:D982,"Vastgesteld")&gt;1),1,0))</f>
        <v>0</v>
      </c>
    </row>
    <row r="983">
      <c r="S983" s="15" t="str">
        <f>IF(J983="","",J983&amp;"|"&amp;E983&amp;"|"&amp;F983&amp;"|"&amp;I983&amp;"|"&amp;O983)</f>
        <v/>
      </c>
      <c r="T983" s="15" t="str">
        <f>IF(OR(S983="",D983&lt;&gt;"Vastgesteld"),"",_xlfn.MAXIFS($G$6:$G$5005,$S$6:$S$5005,S983,$D$6:$D$5005,"Vastgesteld"))</f>
        <v/>
      </c>
      <c r="U983" s="15">
        <f>IF(T983="",0,IF(AND(G983=T983,COUNTIFS($S$6:S983,S983,$G$6:G983,G983,$D$6:D983,"Vastgesteld")=1),1,0))</f>
        <v>0</v>
      </c>
      <c r="V983" s="15">
        <f>IF(T983="",0,IF(AND(G983=T983,COUNTIFS($S$6:S983,S983,$G$6:G983,G983,$D$6:D983,"Vastgesteld")&gt;1),1,0))</f>
        <v>0</v>
      </c>
    </row>
    <row r="984">
      <c r="S984" s="15" t="str">
        <f>IF(J984="","",J984&amp;"|"&amp;E984&amp;"|"&amp;F984&amp;"|"&amp;I984&amp;"|"&amp;O984)</f>
        <v/>
      </c>
      <c r="T984" s="15" t="str">
        <f>IF(OR(S984="",D984&lt;&gt;"Vastgesteld"),"",_xlfn.MAXIFS($G$6:$G$5005,$S$6:$S$5005,S984,$D$6:$D$5005,"Vastgesteld"))</f>
        <v/>
      </c>
      <c r="U984" s="15">
        <f>IF(T984="",0,IF(AND(G984=T984,COUNTIFS($S$6:S984,S984,$G$6:G984,G984,$D$6:D984,"Vastgesteld")=1),1,0))</f>
        <v>0</v>
      </c>
      <c r="V984" s="15">
        <f>IF(T984="",0,IF(AND(G984=T984,COUNTIFS($S$6:S984,S984,$G$6:G984,G984,$D$6:D984,"Vastgesteld")&gt;1),1,0))</f>
        <v>0</v>
      </c>
    </row>
    <row r="985">
      <c r="S985" s="15" t="str">
        <f>IF(J985="","",J985&amp;"|"&amp;E985&amp;"|"&amp;F985&amp;"|"&amp;I985&amp;"|"&amp;O985)</f>
        <v/>
      </c>
      <c r="T985" s="15" t="str">
        <f>IF(OR(S985="",D985&lt;&gt;"Vastgesteld"),"",_xlfn.MAXIFS($G$6:$G$5005,$S$6:$S$5005,S985,$D$6:$D$5005,"Vastgesteld"))</f>
        <v/>
      </c>
      <c r="U985" s="15">
        <f>IF(T985="",0,IF(AND(G985=T985,COUNTIFS($S$6:S985,S985,$G$6:G985,G985,$D$6:D985,"Vastgesteld")=1),1,0))</f>
        <v>0</v>
      </c>
      <c r="V985" s="15">
        <f>IF(T985="",0,IF(AND(G985=T985,COUNTIFS($S$6:S985,S985,$G$6:G985,G985,$D$6:D985,"Vastgesteld")&gt;1),1,0))</f>
        <v>0</v>
      </c>
    </row>
    <row r="986">
      <c r="S986" s="15" t="str">
        <f>IF(J986="","",J986&amp;"|"&amp;E986&amp;"|"&amp;F986&amp;"|"&amp;I986&amp;"|"&amp;O986)</f>
        <v/>
      </c>
      <c r="T986" s="15" t="str">
        <f>IF(OR(S986="",D986&lt;&gt;"Vastgesteld"),"",_xlfn.MAXIFS($G$6:$G$5005,$S$6:$S$5005,S986,$D$6:$D$5005,"Vastgesteld"))</f>
        <v/>
      </c>
      <c r="U986" s="15">
        <f>IF(T986="",0,IF(AND(G986=T986,COUNTIFS($S$6:S986,S986,$G$6:G986,G986,$D$6:D986,"Vastgesteld")=1),1,0))</f>
        <v>0</v>
      </c>
      <c r="V986" s="15">
        <f>IF(T986="",0,IF(AND(G986=T986,COUNTIFS($S$6:S986,S986,$G$6:G986,G986,$D$6:D986,"Vastgesteld")&gt;1),1,0))</f>
        <v>0</v>
      </c>
    </row>
    <row r="987">
      <c r="S987" s="15" t="str">
        <f>IF(J987="","",J987&amp;"|"&amp;E987&amp;"|"&amp;F987&amp;"|"&amp;I987&amp;"|"&amp;O987)</f>
        <v/>
      </c>
      <c r="T987" s="15" t="str">
        <f>IF(OR(S987="",D987&lt;&gt;"Vastgesteld"),"",_xlfn.MAXIFS($G$6:$G$5005,$S$6:$S$5005,S987,$D$6:$D$5005,"Vastgesteld"))</f>
        <v/>
      </c>
      <c r="U987" s="15">
        <f>IF(T987="",0,IF(AND(G987=T987,COUNTIFS($S$6:S987,S987,$G$6:G987,G987,$D$6:D987,"Vastgesteld")=1),1,0))</f>
        <v>0</v>
      </c>
      <c r="V987" s="15">
        <f>IF(T987="",0,IF(AND(G987=T987,COUNTIFS($S$6:S987,S987,$G$6:G987,G987,$D$6:D987,"Vastgesteld")&gt;1),1,0))</f>
        <v>0</v>
      </c>
    </row>
    <row r="988">
      <c r="S988" s="15" t="str">
        <f>IF(J988="","",J988&amp;"|"&amp;E988&amp;"|"&amp;F988&amp;"|"&amp;I988&amp;"|"&amp;O988)</f>
        <v/>
      </c>
      <c r="T988" s="15" t="str">
        <f>IF(OR(S988="",D988&lt;&gt;"Vastgesteld"),"",_xlfn.MAXIFS($G$6:$G$5005,$S$6:$S$5005,S988,$D$6:$D$5005,"Vastgesteld"))</f>
        <v/>
      </c>
      <c r="U988" s="15">
        <f>IF(T988="",0,IF(AND(G988=T988,COUNTIFS($S$6:S988,S988,$G$6:G988,G988,$D$6:D988,"Vastgesteld")=1),1,0))</f>
        <v>0</v>
      </c>
      <c r="V988" s="15">
        <f>IF(T988="",0,IF(AND(G988=T988,COUNTIFS($S$6:S988,S988,$G$6:G988,G988,$D$6:D988,"Vastgesteld")&gt;1),1,0))</f>
        <v>0</v>
      </c>
    </row>
    <row r="989">
      <c r="S989" s="15" t="str">
        <f>IF(J989="","",J989&amp;"|"&amp;E989&amp;"|"&amp;F989&amp;"|"&amp;I989&amp;"|"&amp;O989)</f>
        <v/>
      </c>
      <c r="T989" s="15" t="str">
        <f>IF(OR(S989="",D989&lt;&gt;"Vastgesteld"),"",_xlfn.MAXIFS($G$6:$G$5005,$S$6:$S$5005,S989,$D$6:$D$5005,"Vastgesteld"))</f>
        <v/>
      </c>
      <c r="U989" s="15">
        <f>IF(T989="",0,IF(AND(G989=T989,COUNTIFS($S$6:S989,S989,$G$6:G989,G989,$D$6:D989,"Vastgesteld")=1),1,0))</f>
        <v>0</v>
      </c>
      <c r="V989" s="15">
        <f>IF(T989="",0,IF(AND(G989=T989,COUNTIFS($S$6:S989,S989,$G$6:G989,G989,$D$6:D989,"Vastgesteld")&gt;1),1,0))</f>
        <v>0</v>
      </c>
    </row>
    <row r="990">
      <c r="S990" s="15" t="str">
        <f>IF(J990="","",J990&amp;"|"&amp;E990&amp;"|"&amp;F990&amp;"|"&amp;I990&amp;"|"&amp;O990)</f>
        <v/>
      </c>
      <c r="T990" s="15" t="str">
        <f>IF(OR(S990="",D990&lt;&gt;"Vastgesteld"),"",_xlfn.MAXIFS($G$6:$G$5005,$S$6:$S$5005,S990,$D$6:$D$5005,"Vastgesteld"))</f>
        <v/>
      </c>
      <c r="U990" s="15">
        <f>IF(T990="",0,IF(AND(G990=T990,COUNTIFS($S$6:S990,S990,$G$6:G990,G990,$D$6:D990,"Vastgesteld")=1),1,0))</f>
        <v>0</v>
      </c>
      <c r="V990" s="15">
        <f>IF(T990="",0,IF(AND(G990=T990,COUNTIFS($S$6:S990,S990,$G$6:G990,G990,$D$6:D990,"Vastgesteld")&gt;1),1,0))</f>
        <v>0</v>
      </c>
    </row>
    <row r="991">
      <c r="S991" s="15" t="str">
        <f>IF(J991="","",J991&amp;"|"&amp;E991&amp;"|"&amp;F991&amp;"|"&amp;I991&amp;"|"&amp;O991)</f>
        <v/>
      </c>
      <c r="T991" s="15" t="str">
        <f>IF(OR(S991="",D991&lt;&gt;"Vastgesteld"),"",_xlfn.MAXIFS($G$6:$G$5005,$S$6:$S$5005,S991,$D$6:$D$5005,"Vastgesteld"))</f>
        <v/>
      </c>
      <c r="U991" s="15">
        <f>IF(T991="",0,IF(AND(G991=T991,COUNTIFS($S$6:S991,S991,$G$6:G991,G991,$D$6:D991,"Vastgesteld")=1),1,0))</f>
        <v>0</v>
      </c>
      <c r="V991" s="15">
        <f>IF(T991="",0,IF(AND(G991=T991,COUNTIFS($S$6:S991,S991,$G$6:G991,G991,$D$6:D991,"Vastgesteld")&gt;1),1,0))</f>
        <v>0</v>
      </c>
    </row>
    <row r="992">
      <c r="S992" s="15" t="str">
        <f>IF(J992="","",J992&amp;"|"&amp;E992&amp;"|"&amp;F992&amp;"|"&amp;I992&amp;"|"&amp;O992)</f>
        <v/>
      </c>
      <c r="T992" s="15" t="str">
        <f>IF(OR(S992="",D992&lt;&gt;"Vastgesteld"),"",_xlfn.MAXIFS($G$6:$G$5005,$S$6:$S$5005,S992,$D$6:$D$5005,"Vastgesteld"))</f>
        <v/>
      </c>
      <c r="U992" s="15">
        <f>IF(T992="",0,IF(AND(G992=T992,COUNTIFS($S$6:S992,S992,$G$6:G992,G992,$D$6:D992,"Vastgesteld")=1),1,0))</f>
        <v>0</v>
      </c>
      <c r="V992" s="15">
        <f>IF(T992="",0,IF(AND(G992=T992,COUNTIFS($S$6:S992,S992,$G$6:G992,G992,$D$6:D992,"Vastgesteld")&gt;1),1,0))</f>
        <v>0</v>
      </c>
    </row>
    <row r="993">
      <c r="S993" s="15" t="str">
        <f>IF(J993="","",J993&amp;"|"&amp;E993&amp;"|"&amp;F993&amp;"|"&amp;I993&amp;"|"&amp;O993)</f>
        <v/>
      </c>
      <c r="T993" s="15" t="str">
        <f>IF(OR(S993="",D993&lt;&gt;"Vastgesteld"),"",_xlfn.MAXIFS($G$6:$G$5005,$S$6:$S$5005,S993,$D$6:$D$5005,"Vastgesteld"))</f>
        <v/>
      </c>
      <c r="U993" s="15">
        <f>IF(T993="",0,IF(AND(G993=T993,COUNTIFS($S$6:S993,S993,$G$6:G993,G993,$D$6:D993,"Vastgesteld")=1),1,0))</f>
        <v>0</v>
      </c>
      <c r="V993" s="15">
        <f>IF(T993="",0,IF(AND(G993=T993,COUNTIFS($S$6:S993,S993,$G$6:G993,G993,$D$6:D993,"Vastgesteld")&gt;1),1,0))</f>
        <v>0</v>
      </c>
    </row>
    <row r="994">
      <c r="S994" s="15" t="str">
        <f>IF(J994="","",J994&amp;"|"&amp;E994&amp;"|"&amp;F994&amp;"|"&amp;I994&amp;"|"&amp;O994)</f>
        <v/>
      </c>
      <c r="T994" s="15" t="str">
        <f>IF(OR(S994="",D994&lt;&gt;"Vastgesteld"),"",_xlfn.MAXIFS($G$6:$G$5005,$S$6:$S$5005,S994,$D$6:$D$5005,"Vastgesteld"))</f>
        <v/>
      </c>
      <c r="U994" s="15">
        <f>IF(T994="",0,IF(AND(G994=T994,COUNTIFS($S$6:S994,S994,$G$6:G994,G994,$D$6:D994,"Vastgesteld")=1),1,0))</f>
        <v>0</v>
      </c>
      <c r="V994" s="15">
        <f>IF(T994="",0,IF(AND(G994=T994,COUNTIFS($S$6:S994,S994,$G$6:G994,G994,$D$6:D994,"Vastgesteld")&gt;1),1,0))</f>
        <v>0</v>
      </c>
    </row>
    <row r="995">
      <c r="S995" s="15" t="str">
        <f>IF(J995="","",J995&amp;"|"&amp;E995&amp;"|"&amp;F995&amp;"|"&amp;I995&amp;"|"&amp;O995)</f>
        <v/>
      </c>
      <c r="T995" s="15" t="str">
        <f>IF(OR(S995="",D995&lt;&gt;"Vastgesteld"),"",_xlfn.MAXIFS($G$6:$G$5005,$S$6:$S$5005,S995,$D$6:$D$5005,"Vastgesteld"))</f>
        <v/>
      </c>
      <c r="U995" s="15">
        <f>IF(T995="",0,IF(AND(G995=T995,COUNTIFS($S$6:S995,S995,$G$6:G995,G995,$D$6:D995,"Vastgesteld")=1),1,0))</f>
        <v>0</v>
      </c>
      <c r="V995" s="15">
        <f>IF(T995="",0,IF(AND(G995=T995,COUNTIFS($S$6:S995,S995,$G$6:G995,G995,$D$6:D995,"Vastgesteld")&gt;1),1,0))</f>
        <v>0</v>
      </c>
    </row>
    <row r="996">
      <c r="S996" s="15" t="str">
        <f>IF(J996="","",J996&amp;"|"&amp;E996&amp;"|"&amp;F996&amp;"|"&amp;I996&amp;"|"&amp;O996)</f>
        <v/>
      </c>
      <c r="T996" s="15" t="str">
        <f>IF(OR(S996="",D996&lt;&gt;"Vastgesteld"),"",_xlfn.MAXIFS($G$6:$G$5005,$S$6:$S$5005,S996,$D$6:$D$5005,"Vastgesteld"))</f>
        <v/>
      </c>
      <c r="U996" s="15">
        <f>IF(T996="",0,IF(AND(G996=T996,COUNTIFS($S$6:S996,S996,$G$6:G996,G996,$D$6:D996,"Vastgesteld")=1),1,0))</f>
        <v>0</v>
      </c>
      <c r="V996" s="15">
        <f>IF(T996="",0,IF(AND(G996=T996,COUNTIFS($S$6:S996,S996,$G$6:G996,G996,$D$6:D996,"Vastgesteld")&gt;1),1,0))</f>
        <v>0</v>
      </c>
    </row>
    <row r="997">
      <c r="S997" s="15" t="str">
        <f>IF(J997="","",J997&amp;"|"&amp;E997&amp;"|"&amp;F997&amp;"|"&amp;I997&amp;"|"&amp;O997)</f>
        <v/>
      </c>
      <c r="T997" s="15" t="str">
        <f>IF(OR(S997="",D997&lt;&gt;"Vastgesteld"),"",_xlfn.MAXIFS($G$6:$G$5005,$S$6:$S$5005,S997,$D$6:$D$5005,"Vastgesteld"))</f>
        <v/>
      </c>
      <c r="U997" s="15">
        <f>IF(T997="",0,IF(AND(G997=T997,COUNTIFS($S$6:S997,S997,$G$6:G997,G997,$D$6:D997,"Vastgesteld")=1),1,0))</f>
        <v>0</v>
      </c>
      <c r="V997" s="15">
        <f>IF(T997="",0,IF(AND(G997=T997,COUNTIFS($S$6:S997,S997,$G$6:G997,G997,$D$6:D997,"Vastgesteld")&gt;1),1,0))</f>
        <v>0</v>
      </c>
    </row>
    <row r="998">
      <c r="S998" s="15" t="str">
        <f>IF(J998="","",J998&amp;"|"&amp;E998&amp;"|"&amp;F998&amp;"|"&amp;I998&amp;"|"&amp;O998)</f>
        <v/>
      </c>
      <c r="T998" s="15" t="str">
        <f>IF(OR(S998="",D998&lt;&gt;"Vastgesteld"),"",_xlfn.MAXIFS($G$6:$G$5005,$S$6:$S$5005,S998,$D$6:$D$5005,"Vastgesteld"))</f>
        <v/>
      </c>
      <c r="U998" s="15">
        <f>IF(T998="",0,IF(AND(G998=T998,COUNTIFS($S$6:S998,S998,$G$6:G998,G998,$D$6:D998,"Vastgesteld")=1),1,0))</f>
        <v>0</v>
      </c>
      <c r="V998" s="15">
        <f>IF(T998="",0,IF(AND(G998=T998,COUNTIFS($S$6:S998,S998,$G$6:G998,G998,$D$6:D998,"Vastgesteld")&gt;1),1,0))</f>
        <v>0</v>
      </c>
    </row>
    <row r="999">
      <c r="S999" s="15" t="str">
        <f>IF(J999="","",J999&amp;"|"&amp;E999&amp;"|"&amp;F999&amp;"|"&amp;I999&amp;"|"&amp;O999)</f>
        <v/>
      </c>
      <c r="T999" s="15" t="str">
        <f>IF(OR(S999="",D999&lt;&gt;"Vastgesteld"),"",_xlfn.MAXIFS($G$6:$G$5005,$S$6:$S$5005,S999,$D$6:$D$5005,"Vastgesteld"))</f>
        <v/>
      </c>
      <c r="U999" s="15">
        <f>IF(T999="",0,IF(AND(G999=T999,COUNTIFS($S$6:S999,S999,$G$6:G999,G999,$D$6:D999,"Vastgesteld")=1),1,0))</f>
        <v>0</v>
      </c>
      <c r="V999" s="15">
        <f>IF(T999="",0,IF(AND(G999=T999,COUNTIFS($S$6:S999,S999,$G$6:G999,G999,$D$6:D999,"Vastgesteld")&gt;1),1,0))</f>
        <v>0</v>
      </c>
    </row>
    <row r="1000">
      <c r="S1000" s="15" t="str">
        <f>IF(J1000="","",J1000&amp;"|"&amp;E1000&amp;"|"&amp;F1000&amp;"|"&amp;I1000&amp;"|"&amp;O1000)</f>
        <v/>
      </c>
      <c r="T1000" s="15" t="str">
        <f>IF(OR(S1000="",D1000&lt;&gt;"Vastgesteld"),"",_xlfn.MAXIFS($G$6:$G$5005,$S$6:$S$5005,S1000,$D$6:$D$5005,"Vastgesteld"))</f>
        <v/>
      </c>
      <c r="U1000" s="15">
        <f>IF(T1000="",0,IF(AND(G1000=T1000,COUNTIFS($S$6:S1000,S1000,$G$6:G1000,G1000,$D$6:D1000,"Vastgesteld")=1),1,0))</f>
        <v>0</v>
      </c>
      <c r="V1000" s="15">
        <f>IF(T1000="",0,IF(AND(G1000=T1000,COUNTIFS($S$6:S1000,S1000,$G$6:G1000,G1000,$D$6:D1000,"Vastgesteld")&gt;1),1,0))</f>
        <v>0</v>
      </c>
    </row>
    <row r="1001">
      <c r="S1001" s="15" t="str">
        <f>IF(J1001="","",J1001&amp;"|"&amp;E1001&amp;"|"&amp;F1001&amp;"|"&amp;I1001&amp;"|"&amp;O1001)</f>
        <v/>
      </c>
      <c r="T1001" s="15" t="str">
        <f>IF(OR(S1001="",D1001&lt;&gt;"Vastgesteld"),"",_xlfn.MAXIFS($G$6:$G$5005,$S$6:$S$5005,S1001,$D$6:$D$5005,"Vastgesteld"))</f>
        <v/>
      </c>
      <c r="U1001" s="15">
        <f>IF(T1001="",0,IF(AND(G1001=T1001,COUNTIFS($S$6:S1001,S1001,$G$6:G1001,G1001,$D$6:D1001,"Vastgesteld")=1),1,0))</f>
        <v>0</v>
      </c>
      <c r="V1001" s="15">
        <f>IF(T1001="",0,IF(AND(G1001=T1001,COUNTIFS($S$6:S1001,S1001,$G$6:G1001,G1001,$D$6:D1001,"Vastgesteld")&gt;1),1,0))</f>
        <v>0</v>
      </c>
    </row>
    <row r="1002">
      <c r="S1002" s="15" t="str">
        <f>IF(J1002="","",J1002&amp;"|"&amp;E1002&amp;"|"&amp;F1002&amp;"|"&amp;I1002&amp;"|"&amp;O1002)</f>
        <v/>
      </c>
      <c r="T1002" s="15" t="str">
        <f>IF(OR(S1002="",D1002&lt;&gt;"Vastgesteld"),"",_xlfn.MAXIFS($G$6:$G$5005,$S$6:$S$5005,S1002,$D$6:$D$5005,"Vastgesteld"))</f>
        <v/>
      </c>
      <c r="U1002" s="15">
        <f>IF(T1002="",0,IF(AND(G1002=T1002,COUNTIFS($S$6:S1002,S1002,$G$6:G1002,G1002,$D$6:D1002,"Vastgesteld")=1),1,0))</f>
        <v>0</v>
      </c>
      <c r="V1002" s="15">
        <f>IF(T1002="",0,IF(AND(G1002=T1002,COUNTIFS($S$6:S1002,S1002,$G$6:G1002,G1002,$D$6:D1002,"Vastgesteld")&gt;1),1,0))</f>
        <v>0</v>
      </c>
    </row>
    <row r="1003">
      <c r="S1003" s="15" t="str">
        <f>IF(J1003="","",J1003&amp;"|"&amp;E1003&amp;"|"&amp;F1003&amp;"|"&amp;I1003&amp;"|"&amp;O1003)</f>
        <v/>
      </c>
      <c r="T1003" s="15" t="str">
        <f>IF(OR(S1003="",D1003&lt;&gt;"Vastgesteld"),"",_xlfn.MAXIFS($G$6:$G$5005,$S$6:$S$5005,S1003,$D$6:$D$5005,"Vastgesteld"))</f>
        <v/>
      </c>
      <c r="U1003" s="15">
        <f>IF(T1003="",0,IF(AND(G1003=T1003,COUNTIFS($S$6:S1003,S1003,$G$6:G1003,G1003,$D$6:D1003,"Vastgesteld")=1),1,0))</f>
        <v>0</v>
      </c>
      <c r="V1003" s="15">
        <f>IF(T1003="",0,IF(AND(G1003=T1003,COUNTIFS($S$6:S1003,S1003,$G$6:G1003,G1003,$D$6:D1003,"Vastgesteld")&gt;1),1,0))</f>
        <v>0</v>
      </c>
    </row>
    <row r="1004">
      <c r="S1004" s="15" t="str">
        <f>IF(J1004="","",J1004&amp;"|"&amp;E1004&amp;"|"&amp;F1004&amp;"|"&amp;I1004&amp;"|"&amp;O1004)</f>
        <v/>
      </c>
      <c r="T1004" s="15" t="str">
        <f>IF(OR(S1004="",D1004&lt;&gt;"Vastgesteld"),"",_xlfn.MAXIFS($G$6:$G$5005,$S$6:$S$5005,S1004,$D$6:$D$5005,"Vastgesteld"))</f>
        <v/>
      </c>
      <c r="U1004" s="15">
        <f>IF(T1004="",0,IF(AND(G1004=T1004,COUNTIFS($S$6:S1004,S1004,$G$6:G1004,G1004,$D$6:D1004,"Vastgesteld")=1),1,0))</f>
        <v>0</v>
      </c>
      <c r="V1004" s="15">
        <f>IF(T1004="",0,IF(AND(G1004=T1004,COUNTIFS($S$6:S1004,S1004,$G$6:G1004,G1004,$D$6:D1004,"Vastgesteld")&gt;1),1,0))</f>
        <v>0</v>
      </c>
    </row>
    <row r="1005">
      <c r="S1005" s="15" t="str">
        <f>IF(J1005="","",J1005&amp;"|"&amp;E1005&amp;"|"&amp;F1005&amp;"|"&amp;I1005&amp;"|"&amp;O1005)</f>
        <v/>
      </c>
      <c r="T1005" s="15" t="str">
        <f>IF(OR(S1005="",D1005&lt;&gt;"Vastgesteld"),"",_xlfn.MAXIFS($G$6:$G$5005,$S$6:$S$5005,S1005,$D$6:$D$5005,"Vastgesteld"))</f>
        <v/>
      </c>
      <c r="U1005" s="15">
        <f>IF(T1005="",0,IF(AND(G1005=T1005,COUNTIFS($S$6:S1005,S1005,$G$6:G1005,G1005,$D$6:D1005,"Vastgesteld")=1),1,0))</f>
        <v>0</v>
      </c>
      <c r="V1005" s="15">
        <f>IF(T1005="",0,IF(AND(G1005=T1005,COUNTIFS($S$6:S1005,S1005,$G$6:G1005,G1005,$D$6:D1005,"Vastgesteld")&gt;1),1,0))</f>
        <v>0</v>
      </c>
    </row>
    <row r="1006">
      <c r="S1006" s="15" t="str">
        <f>IF(J1006="","",J1006&amp;"|"&amp;E1006&amp;"|"&amp;F1006&amp;"|"&amp;I1006&amp;"|"&amp;O1006)</f>
        <v/>
      </c>
      <c r="T1006" s="15" t="str">
        <f>IF(OR(S1006="",D1006&lt;&gt;"Vastgesteld"),"",_xlfn.MAXIFS($G$6:$G$5005,$S$6:$S$5005,S1006,$D$6:$D$5005,"Vastgesteld"))</f>
        <v/>
      </c>
      <c r="U1006" s="15">
        <f>IF(T1006="",0,IF(AND(G1006=T1006,COUNTIFS($S$6:S1006,S1006,$G$6:G1006,G1006,$D$6:D1006,"Vastgesteld")=1),1,0))</f>
        <v>0</v>
      </c>
      <c r="V1006" s="15">
        <f>IF(T1006="",0,IF(AND(G1006=T1006,COUNTIFS($S$6:S1006,S1006,$G$6:G1006,G1006,$D$6:D1006,"Vastgesteld")&gt;1),1,0))</f>
        <v>0</v>
      </c>
    </row>
    <row r="1007">
      <c r="S1007" s="15" t="str">
        <f>IF(J1007="","",J1007&amp;"|"&amp;E1007&amp;"|"&amp;F1007&amp;"|"&amp;I1007&amp;"|"&amp;O1007)</f>
        <v/>
      </c>
      <c r="T1007" s="15" t="str">
        <f>IF(OR(S1007="",D1007&lt;&gt;"Vastgesteld"),"",_xlfn.MAXIFS($G$6:$G$5005,$S$6:$S$5005,S1007,$D$6:$D$5005,"Vastgesteld"))</f>
        <v/>
      </c>
      <c r="U1007" s="15">
        <f>IF(T1007="",0,IF(AND(G1007=T1007,COUNTIFS($S$6:S1007,S1007,$G$6:G1007,G1007,$D$6:D1007,"Vastgesteld")=1),1,0))</f>
        <v>0</v>
      </c>
      <c r="V1007" s="15">
        <f>IF(T1007="",0,IF(AND(G1007=T1007,COUNTIFS($S$6:S1007,S1007,$G$6:G1007,G1007,$D$6:D1007,"Vastgesteld")&gt;1),1,0))</f>
        <v>0</v>
      </c>
    </row>
    <row r="1008">
      <c r="S1008" s="15" t="str">
        <f>IF(J1008="","",J1008&amp;"|"&amp;E1008&amp;"|"&amp;F1008&amp;"|"&amp;I1008&amp;"|"&amp;O1008)</f>
        <v/>
      </c>
      <c r="T1008" s="15" t="str">
        <f>IF(OR(S1008="",D1008&lt;&gt;"Vastgesteld"),"",_xlfn.MAXIFS($G$6:$G$5005,$S$6:$S$5005,S1008,$D$6:$D$5005,"Vastgesteld"))</f>
        <v/>
      </c>
      <c r="U1008" s="15">
        <f>IF(T1008="",0,IF(AND(G1008=T1008,COUNTIFS($S$6:S1008,S1008,$G$6:G1008,G1008,$D$6:D1008,"Vastgesteld")=1),1,0))</f>
        <v>0</v>
      </c>
      <c r="V1008" s="15">
        <f>IF(T1008="",0,IF(AND(G1008=T1008,COUNTIFS($S$6:S1008,S1008,$G$6:G1008,G1008,$D$6:D1008,"Vastgesteld")&gt;1),1,0))</f>
        <v>0</v>
      </c>
    </row>
    <row r="1009">
      <c r="S1009" s="15" t="str">
        <f>IF(J1009="","",J1009&amp;"|"&amp;E1009&amp;"|"&amp;F1009&amp;"|"&amp;I1009&amp;"|"&amp;O1009)</f>
        <v/>
      </c>
      <c r="T1009" s="15" t="str">
        <f>IF(OR(S1009="",D1009&lt;&gt;"Vastgesteld"),"",_xlfn.MAXIFS($G$6:$G$5005,$S$6:$S$5005,S1009,$D$6:$D$5005,"Vastgesteld"))</f>
        <v/>
      </c>
      <c r="U1009" s="15">
        <f>IF(T1009="",0,IF(AND(G1009=T1009,COUNTIFS($S$6:S1009,S1009,$G$6:G1009,G1009,$D$6:D1009,"Vastgesteld")=1),1,0))</f>
        <v>0</v>
      </c>
      <c r="V1009" s="15">
        <f>IF(T1009="",0,IF(AND(G1009=T1009,COUNTIFS($S$6:S1009,S1009,$G$6:G1009,G1009,$D$6:D1009,"Vastgesteld")&gt;1),1,0))</f>
        <v>0</v>
      </c>
    </row>
    <row r="1010">
      <c r="S1010" s="15" t="str">
        <f>IF(J1010="","",J1010&amp;"|"&amp;E1010&amp;"|"&amp;F1010&amp;"|"&amp;I1010&amp;"|"&amp;O1010)</f>
        <v/>
      </c>
      <c r="T1010" s="15" t="str">
        <f>IF(OR(S1010="",D1010&lt;&gt;"Vastgesteld"),"",_xlfn.MAXIFS($G$6:$G$5005,$S$6:$S$5005,S1010,$D$6:$D$5005,"Vastgesteld"))</f>
        <v/>
      </c>
      <c r="U1010" s="15">
        <f>IF(T1010="",0,IF(AND(G1010=T1010,COUNTIFS($S$6:S1010,S1010,$G$6:G1010,G1010,$D$6:D1010,"Vastgesteld")=1),1,0))</f>
        <v>0</v>
      </c>
      <c r="V1010" s="15">
        <f>IF(T1010="",0,IF(AND(G1010=T1010,COUNTIFS($S$6:S1010,S1010,$G$6:G1010,G1010,$D$6:D1010,"Vastgesteld")&gt;1),1,0))</f>
        <v>0</v>
      </c>
    </row>
    <row r="1011">
      <c r="S1011" s="15" t="str">
        <f>IF(J1011="","",J1011&amp;"|"&amp;E1011&amp;"|"&amp;F1011&amp;"|"&amp;I1011&amp;"|"&amp;O1011)</f>
        <v/>
      </c>
      <c r="T1011" s="15" t="str">
        <f>IF(OR(S1011="",D1011&lt;&gt;"Vastgesteld"),"",_xlfn.MAXIFS($G$6:$G$5005,$S$6:$S$5005,S1011,$D$6:$D$5005,"Vastgesteld"))</f>
        <v/>
      </c>
      <c r="U1011" s="15">
        <f>IF(T1011="",0,IF(AND(G1011=T1011,COUNTIFS($S$6:S1011,S1011,$G$6:G1011,G1011,$D$6:D1011,"Vastgesteld")=1),1,0))</f>
        <v>0</v>
      </c>
      <c r="V1011" s="15">
        <f>IF(T1011="",0,IF(AND(G1011=T1011,COUNTIFS($S$6:S1011,S1011,$G$6:G1011,G1011,$D$6:D1011,"Vastgesteld")&gt;1),1,0))</f>
        <v>0</v>
      </c>
    </row>
    <row r="1012">
      <c r="S1012" s="15" t="str">
        <f>IF(J1012="","",J1012&amp;"|"&amp;E1012&amp;"|"&amp;F1012&amp;"|"&amp;I1012&amp;"|"&amp;O1012)</f>
        <v/>
      </c>
      <c r="T1012" s="15" t="str">
        <f>IF(OR(S1012="",D1012&lt;&gt;"Vastgesteld"),"",_xlfn.MAXIFS($G$6:$G$5005,$S$6:$S$5005,S1012,$D$6:$D$5005,"Vastgesteld"))</f>
        <v/>
      </c>
      <c r="U1012" s="15">
        <f>IF(T1012="",0,IF(AND(G1012=T1012,COUNTIFS($S$6:S1012,S1012,$G$6:G1012,G1012,$D$6:D1012,"Vastgesteld")=1),1,0))</f>
        <v>0</v>
      </c>
      <c r="V1012" s="15">
        <f>IF(T1012="",0,IF(AND(G1012=T1012,COUNTIFS($S$6:S1012,S1012,$G$6:G1012,G1012,$D$6:D1012,"Vastgesteld")&gt;1),1,0))</f>
        <v>0</v>
      </c>
    </row>
    <row r="1013">
      <c r="S1013" s="15" t="str">
        <f>IF(J1013="","",J1013&amp;"|"&amp;E1013&amp;"|"&amp;F1013&amp;"|"&amp;I1013&amp;"|"&amp;O1013)</f>
        <v/>
      </c>
      <c r="T1013" s="15" t="str">
        <f>IF(OR(S1013="",D1013&lt;&gt;"Vastgesteld"),"",_xlfn.MAXIFS($G$6:$G$5005,$S$6:$S$5005,S1013,$D$6:$D$5005,"Vastgesteld"))</f>
        <v/>
      </c>
      <c r="U1013" s="15">
        <f>IF(T1013="",0,IF(AND(G1013=T1013,COUNTIFS($S$6:S1013,S1013,$G$6:G1013,G1013,$D$6:D1013,"Vastgesteld")=1),1,0))</f>
        <v>0</v>
      </c>
      <c r="V1013" s="15">
        <f>IF(T1013="",0,IF(AND(G1013=T1013,COUNTIFS($S$6:S1013,S1013,$G$6:G1013,G1013,$D$6:D1013,"Vastgesteld")&gt;1),1,0))</f>
        <v>0</v>
      </c>
    </row>
    <row r="1014">
      <c r="S1014" s="15" t="str">
        <f>IF(J1014="","",J1014&amp;"|"&amp;E1014&amp;"|"&amp;F1014&amp;"|"&amp;I1014&amp;"|"&amp;O1014)</f>
        <v/>
      </c>
      <c r="T1014" s="15" t="str">
        <f>IF(OR(S1014="",D1014&lt;&gt;"Vastgesteld"),"",_xlfn.MAXIFS($G$6:$G$5005,$S$6:$S$5005,S1014,$D$6:$D$5005,"Vastgesteld"))</f>
        <v/>
      </c>
      <c r="U1014" s="15">
        <f>IF(T1014="",0,IF(AND(G1014=T1014,COUNTIFS($S$6:S1014,S1014,$G$6:G1014,G1014,$D$6:D1014,"Vastgesteld")=1),1,0))</f>
        <v>0</v>
      </c>
      <c r="V1014" s="15">
        <f>IF(T1014="",0,IF(AND(G1014=T1014,COUNTIFS($S$6:S1014,S1014,$G$6:G1014,G1014,$D$6:D1014,"Vastgesteld")&gt;1),1,0))</f>
        <v>0</v>
      </c>
    </row>
    <row r="1015">
      <c r="S1015" s="15" t="str">
        <f>IF(J1015="","",J1015&amp;"|"&amp;E1015&amp;"|"&amp;F1015&amp;"|"&amp;I1015&amp;"|"&amp;O1015)</f>
        <v/>
      </c>
      <c r="T1015" s="15" t="str">
        <f>IF(OR(S1015="",D1015&lt;&gt;"Vastgesteld"),"",_xlfn.MAXIFS($G$6:$G$5005,$S$6:$S$5005,S1015,$D$6:$D$5005,"Vastgesteld"))</f>
        <v/>
      </c>
      <c r="U1015" s="15">
        <f>IF(T1015="",0,IF(AND(G1015=T1015,COUNTIFS($S$6:S1015,S1015,$G$6:G1015,G1015,$D$6:D1015,"Vastgesteld")=1),1,0))</f>
        <v>0</v>
      </c>
      <c r="V1015" s="15">
        <f>IF(T1015="",0,IF(AND(G1015=T1015,COUNTIFS($S$6:S1015,S1015,$G$6:G1015,G1015,$D$6:D1015,"Vastgesteld")&gt;1),1,0))</f>
        <v>0</v>
      </c>
    </row>
    <row r="1016">
      <c r="S1016" s="15" t="str">
        <f>IF(J1016="","",J1016&amp;"|"&amp;E1016&amp;"|"&amp;F1016&amp;"|"&amp;I1016&amp;"|"&amp;O1016)</f>
        <v/>
      </c>
      <c r="T1016" s="15" t="str">
        <f>IF(OR(S1016="",D1016&lt;&gt;"Vastgesteld"),"",_xlfn.MAXIFS($G$6:$G$5005,$S$6:$S$5005,S1016,$D$6:$D$5005,"Vastgesteld"))</f>
        <v/>
      </c>
      <c r="U1016" s="15">
        <f>IF(T1016="",0,IF(AND(G1016=T1016,COUNTIFS($S$6:S1016,S1016,$G$6:G1016,G1016,$D$6:D1016,"Vastgesteld")=1),1,0))</f>
        <v>0</v>
      </c>
      <c r="V1016" s="15">
        <f>IF(T1016="",0,IF(AND(G1016=T1016,COUNTIFS($S$6:S1016,S1016,$G$6:G1016,G1016,$D$6:D1016,"Vastgesteld")&gt;1),1,0))</f>
        <v>0</v>
      </c>
    </row>
    <row r="1017">
      <c r="S1017" s="15" t="str">
        <f>IF(J1017="","",J1017&amp;"|"&amp;E1017&amp;"|"&amp;F1017&amp;"|"&amp;I1017&amp;"|"&amp;O1017)</f>
        <v/>
      </c>
      <c r="T1017" s="15" t="str">
        <f>IF(OR(S1017="",D1017&lt;&gt;"Vastgesteld"),"",_xlfn.MAXIFS($G$6:$G$5005,$S$6:$S$5005,S1017,$D$6:$D$5005,"Vastgesteld"))</f>
        <v/>
      </c>
      <c r="U1017" s="15">
        <f>IF(T1017="",0,IF(AND(G1017=T1017,COUNTIFS($S$6:S1017,S1017,$G$6:G1017,G1017,$D$6:D1017,"Vastgesteld")=1),1,0))</f>
        <v>0</v>
      </c>
      <c r="V1017" s="15">
        <f>IF(T1017="",0,IF(AND(G1017=T1017,COUNTIFS($S$6:S1017,S1017,$G$6:G1017,G1017,$D$6:D1017,"Vastgesteld")&gt;1),1,0))</f>
        <v>0</v>
      </c>
    </row>
    <row r="1018">
      <c r="S1018" s="15" t="str">
        <f>IF(J1018="","",J1018&amp;"|"&amp;E1018&amp;"|"&amp;F1018&amp;"|"&amp;I1018&amp;"|"&amp;O1018)</f>
        <v/>
      </c>
      <c r="T1018" s="15" t="str">
        <f>IF(OR(S1018="",D1018&lt;&gt;"Vastgesteld"),"",_xlfn.MAXIFS($G$6:$G$5005,$S$6:$S$5005,S1018,$D$6:$D$5005,"Vastgesteld"))</f>
        <v/>
      </c>
      <c r="U1018" s="15">
        <f>IF(T1018="",0,IF(AND(G1018=T1018,COUNTIFS($S$6:S1018,S1018,$G$6:G1018,G1018,$D$6:D1018,"Vastgesteld")=1),1,0))</f>
        <v>0</v>
      </c>
      <c r="V1018" s="15">
        <f>IF(T1018="",0,IF(AND(G1018=T1018,COUNTIFS($S$6:S1018,S1018,$G$6:G1018,G1018,$D$6:D1018,"Vastgesteld")&gt;1),1,0))</f>
        <v>0</v>
      </c>
    </row>
    <row r="1019">
      <c r="S1019" s="15" t="str">
        <f>IF(J1019="","",J1019&amp;"|"&amp;E1019&amp;"|"&amp;F1019&amp;"|"&amp;I1019&amp;"|"&amp;O1019)</f>
        <v/>
      </c>
      <c r="T1019" s="15" t="str">
        <f>IF(OR(S1019="",D1019&lt;&gt;"Vastgesteld"),"",_xlfn.MAXIFS($G$6:$G$5005,$S$6:$S$5005,S1019,$D$6:$D$5005,"Vastgesteld"))</f>
        <v/>
      </c>
      <c r="U1019" s="15">
        <f>IF(T1019="",0,IF(AND(G1019=T1019,COUNTIFS($S$6:S1019,S1019,$G$6:G1019,G1019,$D$6:D1019,"Vastgesteld")=1),1,0))</f>
        <v>0</v>
      </c>
      <c r="V1019" s="15">
        <f>IF(T1019="",0,IF(AND(G1019=T1019,COUNTIFS($S$6:S1019,S1019,$G$6:G1019,G1019,$D$6:D1019,"Vastgesteld")&gt;1),1,0))</f>
        <v>0</v>
      </c>
    </row>
    <row r="1020">
      <c r="S1020" s="15" t="str">
        <f>IF(J1020="","",J1020&amp;"|"&amp;E1020&amp;"|"&amp;F1020&amp;"|"&amp;I1020&amp;"|"&amp;O1020)</f>
        <v/>
      </c>
      <c r="T1020" s="15" t="str">
        <f>IF(OR(S1020="",D1020&lt;&gt;"Vastgesteld"),"",_xlfn.MAXIFS($G$6:$G$5005,$S$6:$S$5005,S1020,$D$6:$D$5005,"Vastgesteld"))</f>
        <v/>
      </c>
      <c r="U1020" s="15">
        <f>IF(T1020="",0,IF(AND(G1020=T1020,COUNTIFS($S$6:S1020,S1020,$G$6:G1020,G1020,$D$6:D1020,"Vastgesteld")=1),1,0))</f>
        <v>0</v>
      </c>
      <c r="V1020" s="15">
        <f>IF(T1020="",0,IF(AND(G1020=T1020,COUNTIFS($S$6:S1020,S1020,$G$6:G1020,G1020,$D$6:D1020,"Vastgesteld")&gt;1),1,0))</f>
        <v>0</v>
      </c>
    </row>
    <row r="1021">
      <c r="S1021" s="15" t="str">
        <f>IF(J1021="","",J1021&amp;"|"&amp;E1021&amp;"|"&amp;F1021&amp;"|"&amp;I1021&amp;"|"&amp;O1021)</f>
        <v/>
      </c>
      <c r="T1021" s="15" t="str">
        <f>IF(OR(S1021="",D1021&lt;&gt;"Vastgesteld"),"",_xlfn.MAXIFS($G$6:$G$5005,$S$6:$S$5005,S1021,$D$6:$D$5005,"Vastgesteld"))</f>
        <v/>
      </c>
      <c r="U1021" s="15">
        <f>IF(T1021="",0,IF(AND(G1021=T1021,COUNTIFS($S$6:S1021,S1021,$G$6:G1021,G1021,$D$6:D1021,"Vastgesteld")=1),1,0))</f>
        <v>0</v>
      </c>
      <c r="V1021" s="15">
        <f>IF(T1021="",0,IF(AND(G1021=T1021,COUNTIFS($S$6:S1021,S1021,$G$6:G1021,G1021,$D$6:D1021,"Vastgesteld")&gt;1),1,0))</f>
        <v>0</v>
      </c>
    </row>
    <row r="1022">
      <c r="S1022" s="15" t="str">
        <f>IF(J1022="","",J1022&amp;"|"&amp;E1022&amp;"|"&amp;F1022&amp;"|"&amp;I1022&amp;"|"&amp;O1022)</f>
        <v/>
      </c>
      <c r="T1022" s="15" t="str">
        <f>IF(OR(S1022="",D1022&lt;&gt;"Vastgesteld"),"",_xlfn.MAXIFS($G$6:$G$5005,$S$6:$S$5005,S1022,$D$6:$D$5005,"Vastgesteld"))</f>
        <v/>
      </c>
      <c r="U1022" s="15">
        <f>IF(T1022="",0,IF(AND(G1022=T1022,COUNTIFS($S$6:S1022,S1022,$G$6:G1022,G1022,$D$6:D1022,"Vastgesteld")=1),1,0))</f>
        <v>0</v>
      </c>
      <c r="V1022" s="15">
        <f>IF(T1022="",0,IF(AND(G1022=T1022,COUNTIFS($S$6:S1022,S1022,$G$6:G1022,G1022,$D$6:D1022,"Vastgesteld")&gt;1),1,0))</f>
        <v>0</v>
      </c>
    </row>
    <row r="1023">
      <c r="S1023" s="15" t="str">
        <f>IF(J1023="","",J1023&amp;"|"&amp;E1023&amp;"|"&amp;F1023&amp;"|"&amp;I1023&amp;"|"&amp;O1023)</f>
        <v/>
      </c>
      <c r="T1023" s="15" t="str">
        <f>IF(OR(S1023="",D1023&lt;&gt;"Vastgesteld"),"",_xlfn.MAXIFS($G$6:$G$5005,$S$6:$S$5005,S1023,$D$6:$D$5005,"Vastgesteld"))</f>
        <v/>
      </c>
      <c r="U1023" s="15">
        <f>IF(T1023="",0,IF(AND(G1023=T1023,COUNTIFS($S$6:S1023,S1023,$G$6:G1023,G1023,$D$6:D1023,"Vastgesteld")=1),1,0))</f>
        <v>0</v>
      </c>
      <c r="V1023" s="15">
        <f>IF(T1023="",0,IF(AND(G1023=T1023,COUNTIFS($S$6:S1023,S1023,$G$6:G1023,G1023,$D$6:D1023,"Vastgesteld")&gt;1),1,0))</f>
        <v>0</v>
      </c>
    </row>
    <row r="1024">
      <c r="S1024" s="15" t="str">
        <f>IF(J1024="","",J1024&amp;"|"&amp;E1024&amp;"|"&amp;F1024&amp;"|"&amp;I1024&amp;"|"&amp;O1024)</f>
        <v/>
      </c>
      <c r="T1024" s="15" t="str">
        <f>IF(OR(S1024="",D1024&lt;&gt;"Vastgesteld"),"",_xlfn.MAXIFS($G$6:$G$5005,$S$6:$S$5005,S1024,$D$6:$D$5005,"Vastgesteld"))</f>
        <v/>
      </c>
      <c r="U1024" s="15">
        <f>IF(T1024="",0,IF(AND(G1024=T1024,COUNTIFS($S$6:S1024,S1024,$G$6:G1024,G1024,$D$6:D1024,"Vastgesteld")=1),1,0))</f>
        <v>0</v>
      </c>
      <c r="V1024" s="15">
        <f>IF(T1024="",0,IF(AND(G1024=T1024,COUNTIFS($S$6:S1024,S1024,$G$6:G1024,G1024,$D$6:D1024,"Vastgesteld")&gt;1),1,0))</f>
        <v>0</v>
      </c>
    </row>
    <row r="1025">
      <c r="S1025" s="15" t="str">
        <f>IF(J1025="","",J1025&amp;"|"&amp;E1025&amp;"|"&amp;F1025&amp;"|"&amp;I1025&amp;"|"&amp;O1025)</f>
        <v/>
      </c>
      <c r="T1025" s="15" t="str">
        <f>IF(OR(S1025="",D1025&lt;&gt;"Vastgesteld"),"",_xlfn.MAXIFS($G$6:$G$5005,$S$6:$S$5005,S1025,$D$6:$D$5005,"Vastgesteld"))</f>
        <v/>
      </c>
      <c r="U1025" s="15">
        <f>IF(T1025="",0,IF(AND(G1025=T1025,COUNTIFS($S$6:S1025,S1025,$G$6:G1025,G1025,$D$6:D1025,"Vastgesteld")=1),1,0))</f>
        <v>0</v>
      </c>
      <c r="V1025" s="15">
        <f>IF(T1025="",0,IF(AND(G1025=T1025,COUNTIFS($S$6:S1025,S1025,$G$6:G1025,G1025,$D$6:D1025,"Vastgesteld")&gt;1),1,0))</f>
        <v>0</v>
      </c>
    </row>
    <row r="1026">
      <c r="S1026" s="15" t="str">
        <f>IF(J1026="","",J1026&amp;"|"&amp;E1026&amp;"|"&amp;F1026&amp;"|"&amp;I1026&amp;"|"&amp;O1026)</f>
        <v/>
      </c>
      <c r="T1026" s="15" t="str">
        <f>IF(OR(S1026="",D1026&lt;&gt;"Vastgesteld"),"",_xlfn.MAXIFS($G$6:$G$5005,$S$6:$S$5005,S1026,$D$6:$D$5005,"Vastgesteld"))</f>
        <v/>
      </c>
      <c r="U1026" s="15">
        <f>IF(T1026="",0,IF(AND(G1026=T1026,COUNTIFS($S$6:S1026,S1026,$G$6:G1026,G1026,$D$6:D1026,"Vastgesteld")=1),1,0))</f>
        <v>0</v>
      </c>
      <c r="V1026" s="15">
        <f>IF(T1026="",0,IF(AND(G1026=T1026,COUNTIFS($S$6:S1026,S1026,$G$6:G1026,G1026,$D$6:D1026,"Vastgesteld")&gt;1),1,0))</f>
        <v>0</v>
      </c>
    </row>
    <row r="1027">
      <c r="S1027" s="15" t="str">
        <f>IF(J1027="","",J1027&amp;"|"&amp;E1027&amp;"|"&amp;F1027&amp;"|"&amp;I1027&amp;"|"&amp;O1027)</f>
        <v/>
      </c>
      <c r="T1027" s="15" t="str">
        <f>IF(OR(S1027="",D1027&lt;&gt;"Vastgesteld"),"",_xlfn.MAXIFS($G$6:$G$5005,$S$6:$S$5005,S1027,$D$6:$D$5005,"Vastgesteld"))</f>
        <v/>
      </c>
      <c r="U1027" s="15">
        <f>IF(T1027="",0,IF(AND(G1027=T1027,COUNTIFS($S$6:S1027,S1027,$G$6:G1027,G1027,$D$6:D1027,"Vastgesteld")=1),1,0))</f>
        <v>0</v>
      </c>
      <c r="V1027" s="15">
        <f>IF(T1027="",0,IF(AND(G1027=T1027,COUNTIFS($S$6:S1027,S1027,$G$6:G1027,G1027,$D$6:D1027,"Vastgesteld")&gt;1),1,0))</f>
        <v>0</v>
      </c>
    </row>
    <row r="1028">
      <c r="S1028" s="15" t="str">
        <f>IF(J1028="","",J1028&amp;"|"&amp;E1028&amp;"|"&amp;F1028&amp;"|"&amp;I1028&amp;"|"&amp;O1028)</f>
        <v/>
      </c>
      <c r="T1028" s="15" t="str">
        <f>IF(OR(S1028="",D1028&lt;&gt;"Vastgesteld"),"",_xlfn.MAXIFS($G$6:$G$5005,$S$6:$S$5005,S1028,$D$6:$D$5005,"Vastgesteld"))</f>
        <v/>
      </c>
      <c r="U1028" s="15">
        <f>IF(T1028="",0,IF(AND(G1028=T1028,COUNTIFS($S$6:S1028,S1028,$G$6:G1028,G1028,$D$6:D1028,"Vastgesteld")=1),1,0))</f>
        <v>0</v>
      </c>
      <c r="V1028" s="15">
        <f>IF(T1028="",0,IF(AND(G1028=T1028,COUNTIFS($S$6:S1028,S1028,$G$6:G1028,G1028,$D$6:D1028,"Vastgesteld")&gt;1),1,0))</f>
        <v>0</v>
      </c>
    </row>
    <row r="1029">
      <c r="S1029" s="15" t="str">
        <f>IF(J1029="","",J1029&amp;"|"&amp;E1029&amp;"|"&amp;F1029&amp;"|"&amp;I1029&amp;"|"&amp;O1029)</f>
        <v/>
      </c>
      <c r="T1029" s="15" t="str">
        <f>IF(OR(S1029="",D1029&lt;&gt;"Vastgesteld"),"",_xlfn.MAXIFS($G$6:$G$5005,$S$6:$S$5005,S1029,$D$6:$D$5005,"Vastgesteld"))</f>
        <v/>
      </c>
      <c r="U1029" s="15">
        <f>IF(T1029="",0,IF(AND(G1029=T1029,COUNTIFS($S$6:S1029,S1029,$G$6:G1029,G1029,$D$6:D1029,"Vastgesteld")=1),1,0))</f>
        <v>0</v>
      </c>
      <c r="V1029" s="15">
        <f>IF(T1029="",0,IF(AND(G1029=T1029,COUNTIFS($S$6:S1029,S1029,$G$6:G1029,G1029,$D$6:D1029,"Vastgesteld")&gt;1),1,0))</f>
        <v>0</v>
      </c>
    </row>
    <row r="1030">
      <c r="S1030" s="15" t="str">
        <f>IF(J1030="","",J1030&amp;"|"&amp;E1030&amp;"|"&amp;F1030&amp;"|"&amp;I1030&amp;"|"&amp;O1030)</f>
        <v/>
      </c>
      <c r="T1030" s="15" t="str">
        <f>IF(OR(S1030="",D1030&lt;&gt;"Vastgesteld"),"",_xlfn.MAXIFS($G$6:$G$5005,$S$6:$S$5005,S1030,$D$6:$D$5005,"Vastgesteld"))</f>
        <v/>
      </c>
      <c r="U1030" s="15">
        <f>IF(T1030="",0,IF(AND(G1030=T1030,COUNTIFS($S$6:S1030,S1030,$G$6:G1030,G1030,$D$6:D1030,"Vastgesteld")=1),1,0))</f>
        <v>0</v>
      </c>
      <c r="V1030" s="15">
        <f>IF(T1030="",0,IF(AND(G1030=T1030,COUNTIFS($S$6:S1030,S1030,$G$6:G1030,G1030,$D$6:D1030,"Vastgesteld")&gt;1),1,0))</f>
        <v>0</v>
      </c>
    </row>
    <row r="1031">
      <c r="S1031" s="15" t="str">
        <f>IF(J1031="","",J1031&amp;"|"&amp;E1031&amp;"|"&amp;F1031&amp;"|"&amp;I1031&amp;"|"&amp;O1031)</f>
        <v/>
      </c>
      <c r="T1031" s="15" t="str">
        <f>IF(OR(S1031="",D1031&lt;&gt;"Vastgesteld"),"",_xlfn.MAXIFS($G$6:$G$5005,$S$6:$S$5005,S1031,$D$6:$D$5005,"Vastgesteld"))</f>
        <v/>
      </c>
      <c r="U1031" s="15">
        <f>IF(T1031="",0,IF(AND(G1031=T1031,COUNTIFS($S$6:S1031,S1031,$G$6:G1031,G1031,$D$6:D1031,"Vastgesteld")=1),1,0))</f>
        <v>0</v>
      </c>
      <c r="V1031" s="15">
        <f>IF(T1031="",0,IF(AND(G1031=T1031,COUNTIFS($S$6:S1031,S1031,$G$6:G1031,G1031,$D$6:D1031,"Vastgesteld")&gt;1),1,0))</f>
        <v>0</v>
      </c>
    </row>
    <row r="1032">
      <c r="S1032" s="15" t="str">
        <f>IF(J1032="","",J1032&amp;"|"&amp;E1032&amp;"|"&amp;F1032&amp;"|"&amp;I1032&amp;"|"&amp;O1032)</f>
        <v/>
      </c>
      <c r="T1032" s="15" t="str">
        <f>IF(OR(S1032="",D1032&lt;&gt;"Vastgesteld"),"",_xlfn.MAXIFS($G$6:$G$5005,$S$6:$S$5005,S1032,$D$6:$D$5005,"Vastgesteld"))</f>
        <v/>
      </c>
      <c r="U1032" s="15">
        <f>IF(T1032="",0,IF(AND(G1032=T1032,COUNTIFS($S$6:S1032,S1032,$G$6:G1032,G1032,$D$6:D1032,"Vastgesteld")=1),1,0))</f>
        <v>0</v>
      </c>
      <c r="V1032" s="15">
        <f>IF(T1032="",0,IF(AND(G1032=T1032,COUNTIFS($S$6:S1032,S1032,$G$6:G1032,G1032,$D$6:D1032,"Vastgesteld")&gt;1),1,0))</f>
        <v>0</v>
      </c>
    </row>
    <row r="1033">
      <c r="S1033" s="15" t="str">
        <f>IF(J1033="","",J1033&amp;"|"&amp;E1033&amp;"|"&amp;F1033&amp;"|"&amp;I1033&amp;"|"&amp;O1033)</f>
        <v/>
      </c>
      <c r="T1033" s="15" t="str">
        <f>IF(OR(S1033="",D1033&lt;&gt;"Vastgesteld"),"",_xlfn.MAXIFS($G$6:$G$5005,$S$6:$S$5005,S1033,$D$6:$D$5005,"Vastgesteld"))</f>
        <v/>
      </c>
      <c r="U1033" s="15">
        <f>IF(T1033="",0,IF(AND(G1033=T1033,COUNTIFS($S$6:S1033,S1033,$G$6:G1033,G1033,$D$6:D1033,"Vastgesteld")=1),1,0))</f>
        <v>0</v>
      </c>
      <c r="V1033" s="15">
        <f>IF(T1033="",0,IF(AND(G1033=T1033,COUNTIFS($S$6:S1033,S1033,$G$6:G1033,G1033,$D$6:D1033,"Vastgesteld")&gt;1),1,0))</f>
        <v>0</v>
      </c>
    </row>
    <row r="1034">
      <c r="S1034" s="15" t="str">
        <f>IF(J1034="","",J1034&amp;"|"&amp;E1034&amp;"|"&amp;F1034&amp;"|"&amp;I1034&amp;"|"&amp;O1034)</f>
        <v/>
      </c>
      <c r="T1034" s="15" t="str">
        <f>IF(OR(S1034="",D1034&lt;&gt;"Vastgesteld"),"",_xlfn.MAXIFS($G$6:$G$5005,$S$6:$S$5005,S1034,$D$6:$D$5005,"Vastgesteld"))</f>
        <v/>
      </c>
      <c r="U1034" s="15">
        <f>IF(T1034="",0,IF(AND(G1034=T1034,COUNTIFS($S$6:S1034,S1034,$G$6:G1034,G1034,$D$6:D1034,"Vastgesteld")=1),1,0))</f>
        <v>0</v>
      </c>
      <c r="V1034" s="15">
        <f>IF(T1034="",0,IF(AND(G1034=T1034,COUNTIFS($S$6:S1034,S1034,$G$6:G1034,G1034,$D$6:D1034,"Vastgesteld")&gt;1),1,0))</f>
        <v>0</v>
      </c>
    </row>
    <row r="1035">
      <c r="S1035" s="15" t="str">
        <f>IF(J1035="","",J1035&amp;"|"&amp;E1035&amp;"|"&amp;F1035&amp;"|"&amp;I1035&amp;"|"&amp;O1035)</f>
        <v/>
      </c>
      <c r="T1035" s="15" t="str">
        <f>IF(OR(S1035="",D1035&lt;&gt;"Vastgesteld"),"",_xlfn.MAXIFS($G$6:$G$5005,$S$6:$S$5005,S1035,$D$6:$D$5005,"Vastgesteld"))</f>
        <v/>
      </c>
      <c r="U1035" s="15">
        <f>IF(T1035="",0,IF(AND(G1035=T1035,COUNTIFS($S$6:S1035,S1035,$G$6:G1035,G1035,$D$6:D1035,"Vastgesteld")=1),1,0))</f>
        <v>0</v>
      </c>
      <c r="V1035" s="15">
        <f>IF(T1035="",0,IF(AND(G1035=T1035,COUNTIFS($S$6:S1035,S1035,$G$6:G1035,G1035,$D$6:D1035,"Vastgesteld")&gt;1),1,0))</f>
        <v>0</v>
      </c>
    </row>
    <row r="1036">
      <c r="S1036" s="15" t="str">
        <f>IF(J1036="","",J1036&amp;"|"&amp;E1036&amp;"|"&amp;F1036&amp;"|"&amp;I1036&amp;"|"&amp;O1036)</f>
        <v/>
      </c>
      <c r="T1036" s="15" t="str">
        <f>IF(OR(S1036="",D1036&lt;&gt;"Vastgesteld"),"",_xlfn.MAXIFS($G$6:$G$5005,$S$6:$S$5005,S1036,$D$6:$D$5005,"Vastgesteld"))</f>
        <v/>
      </c>
      <c r="U1036" s="15">
        <f>IF(T1036="",0,IF(AND(G1036=T1036,COUNTIFS($S$6:S1036,S1036,$G$6:G1036,G1036,$D$6:D1036,"Vastgesteld")=1),1,0))</f>
        <v>0</v>
      </c>
      <c r="V1036" s="15">
        <f>IF(T1036="",0,IF(AND(G1036=T1036,COUNTIFS($S$6:S1036,S1036,$G$6:G1036,G1036,$D$6:D1036,"Vastgesteld")&gt;1),1,0))</f>
        <v>0</v>
      </c>
    </row>
    <row r="1037">
      <c r="S1037" s="15" t="str">
        <f>IF(J1037="","",J1037&amp;"|"&amp;E1037&amp;"|"&amp;F1037&amp;"|"&amp;I1037&amp;"|"&amp;O1037)</f>
        <v/>
      </c>
      <c r="T1037" s="15" t="str">
        <f>IF(OR(S1037="",D1037&lt;&gt;"Vastgesteld"),"",_xlfn.MAXIFS($G$6:$G$5005,$S$6:$S$5005,S1037,$D$6:$D$5005,"Vastgesteld"))</f>
        <v/>
      </c>
      <c r="U1037" s="15">
        <f>IF(T1037="",0,IF(AND(G1037=T1037,COUNTIFS($S$6:S1037,S1037,$G$6:G1037,G1037,$D$6:D1037,"Vastgesteld")=1),1,0))</f>
        <v>0</v>
      </c>
      <c r="V1037" s="15">
        <f>IF(T1037="",0,IF(AND(G1037=T1037,COUNTIFS($S$6:S1037,S1037,$G$6:G1037,G1037,$D$6:D1037,"Vastgesteld")&gt;1),1,0))</f>
        <v>0</v>
      </c>
    </row>
    <row r="1038">
      <c r="S1038" s="15" t="str">
        <f>IF(J1038="","",J1038&amp;"|"&amp;E1038&amp;"|"&amp;F1038&amp;"|"&amp;I1038&amp;"|"&amp;O1038)</f>
        <v/>
      </c>
      <c r="T1038" s="15" t="str">
        <f>IF(OR(S1038="",D1038&lt;&gt;"Vastgesteld"),"",_xlfn.MAXIFS($G$6:$G$5005,$S$6:$S$5005,S1038,$D$6:$D$5005,"Vastgesteld"))</f>
        <v/>
      </c>
      <c r="U1038" s="15">
        <f>IF(T1038="",0,IF(AND(G1038=T1038,COUNTIFS($S$6:S1038,S1038,$G$6:G1038,G1038,$D$6:D1038,"Vastgesteld")=1),1,0))</f>
        <v>0</v>
      </c>
      <c r="V1038" s="15">
        <f>IF(T1038="",0,IF(AND(G1038=T1038,COUNTIFS($S$6:S1038,S1038,$G$6:G1038,G1038,$D$6:D1038,"Vastgesteld")&gt;1),1,0))</f>
        <v>0</v>
      </c>
    </row>
    <row r="1039">
      <c r="S1039" s="15" t="str">
        <f>IF(J1039="","",J1039&amp;"|"&amp;E1039&amp;"|"&amp;F1039&amp;"|"&amp;I1039&amp;"|"&amp;O1039)</f>
        <v/>
      </c>
      <c r="T1039" s="15" t="str">
        <f>IF(OR(S1039="",D1039&lt;&gt;"Vastgesteld"),"",_xlfn.MAXIFS($G$6:$G$5005,$S$6:$S$5005,S1039,$D$6:$D$5005,"Vastgesteld"))</f>
        <v/>
      </c>
      <c r="U1039" s="15">
        <f>IF(T1039="",0,IF(AND(G1039=T1039,COUNTIFS($S$6:S1039,S1039,$G$6:G1039,G1039,$D$6:D1039,"Vastgesteld")=1),1,0))</f>
        <v>0</v>
      </c>
      <c r="V1039" s="15">
        <f>IF(T1039="",0,IF(AND(G1039=T1039,COUNTIFS($S$6:S1039,S1039,$G$6:G1039,G1039,$D$6:D1039,"Vastgesteld")&gt;1),1,0))</f>
        <v>0</v>
      </c>
    </row>
    <row r="1040">
      <c r="S1040" s="15" t="str">
        <f>IF(J1040="","",J1040&amp;"|"&amp;E1040&amp;"|"&amp;F1040&amp;"|"&amp;I1040&amp;"|"&amp;O1040)</f>
        <v/>
      </c>
      <c r="T1040" s="15" t="str">
        <f>IF(OR(S1040="",D1040&lt;&gt;"Vastgesteld"),"",_xlfn.MAXIFS($G$6:$G$5005,$S$6:$S$5005,S1040,$D$6:$D$5005,"Vastgesteld"))</f>
        <v/>
      </c>
      <c r="U1040" s="15">
        <f>IF(T1040="",0,IF(AND(G1040=T1040,COUNTIFS($S$6:S1040,S1040,$G$6:G1040,G1040,$D$6:D1040,"Vastgesteld")=1),1,0))</f>
        <v>0</v>
      </c>
      <c r="V1040" s="15">
        <f>IF(T1040="",0,IF(AND(G1040=T1040,COUNTIFS($S$6:S1040,S1040,$G$6:G1040,G1040,$D$6:D1040,"Vastgesteld")&gt;1),1,0))</f>
        <v>0</v>
      </c>
    </row>
    <row r="1041">
      <c r="S1041" s="15" t="str">
        <f>IF(J1041="","",J1041&amp;"|"&amp;E1041&amp;"|"&amp;F1041&amp;"|"&amp;I1041&amp;"|"&amp;O1041)</f>
        <v/>
      </c>
      <c r="T1041" s="15" t="str">
        <f>IF(OR(S1041="",D1041&lt;&gt;"Vastgesteld"),"",_xlfn.MAXIFS($G$6:$G$5005,$S$6:$S$5005,S1041,$D$6:$D$5005,"Vastgesteld"))</f>
        <v/>
      </c>
      <c r="U1041" s="15">
        <f>IF(T1041="",0,IF(AND(G1041=T1041,COUNTIFS($S$6:S1041,S1041,$G$6:G1041,G1041,$D$6:D1041,"Vastgesteld")=1),1,0))</f>
        <v>0</v>
      </c>
      <c r="V1041" s="15">
        <f>IF(T1041="",0,IF(AND(G1041=T1041,COUNTIFS($S$6:S1041,S1041,$G$6:G1041,G1041,$D$6:D1041,"Vastgesteld")&gt;1),1,0))</f>
        <v>0</v>
      </c>
    </row>
    <row r="1042">
      <c r="S1042" s="15" t="str">
        <f>IF(J1042="","",J1042&amp;"|"&amp;E1042&amp;"|"&amp;F1042&amp;"|"&amp;I1042&amp;"|"&amp;O1042)</f>
        <v/>
      </c>
      <c r="T1042" s="15" t="str">
        <f>IF(OR(S1042="",D1042&lt;&gt;"Vastgesteld"),"",_xlfn.MAXIFS($G$6:$G$5005,$S$6:$S$5005,S1042,$D$6:$D$5005,"Vastgesteld"))</f>
        <v/>
      </c>
      <c r="U1042" s="15">
        <f>IF(T1042="",0,IF(AND(G1042=T1042,COUNTIFS($S$6:S1042,S1042,$G$6:G1042,G1042,$D$6:D1042,"Vastgesteld")=1),1,0))</f>
        <v>0</v>
      </c>
      <c r="V1042" s="15">
        <f>IF(T1042="",0,IF(AND(G1042=T1042,COUNTIFS($S$6:S1042,S1042,$G$6:G1042,G1042,$D$6:D1042,"Vastgesteld")&gt;1),1,0))</f>
        <v>0</v>
      </c>
    </row>
    <row r="1043">
      <c r="S1043" s="15" t="str">
        <f>IF(J1043="","",J1043&amp;"|"&amp;E1043&amp;"|"&amp;F1043&amp;"|"&amp;I1043&amp;"|"&amp;O1043)</f>
        <v/>
      </c>
      <c r="T1043" s="15" t="str">
        <f>IF(OR(S1043="",D1043&lt;&gt;"Vastgesteld"),"",_xlfn.MAXIFS($G$6:$G$5005,$S$6:$S$5005,S1043,$D$6:$D$5005,"Vastgesteld"))</f>
        <v/>
      </c>
      <c r="U1043" s="15">
        <f>IF(T1043="",0,IF(AND(G1043=T1043,COUNTIFS($S$6:S1043,S1043,$G$6:G1043,G1043,$D$6:D1043,"Vastgesteld")=1),1,0))</f>
        <v>0</v>
      </c>
      <c r="V1043" s="15">
        <f>IF(T1043="",0,IF(AND(G1043=T1043,COUNTIFS($S$6:S1043,S1043,$G$6:G1043,G1043,$D$6:D1043,"Vastgesteld")&gt;1),1,0))</f>
        <v>0</v>
      </c>
    </row>
    <row r="1044">
      <c r="S1044" s="15" t="str">
        <f>IF(J1044="","",J1044&amp;"|"&amp;E1044&amp;"|"&amp;F1044&amp;"|"&amp;I1044&amp;"|"&amp;O1044)</f>
        <v/>
      </c>
      <c r="T1044" s="15" t="str">
        <f>IF(OR(S1044="",D1044&lt;&gt;"Vastgesteld"),"",_xlfn.MAXIFS($G$6:$G$5005,$S$6:$S$5005,S1044,$D$6:$D$5005,"Vastgesteld"))</f>
        <v/>
      </c>
      <c r="U1044" s="15">
        <f>IF(T1044="",0,IF(AND(G1044=T1044,COUNTIFS($S$6:S1044,S1044,$G$6:G1044,G1044,$D$6:D1044,"Vastgesteld")=1),1,0))</f>
        <v>0</v>
      </c>
      <c r="V1044" s="15">
        <f>IF(T1044="",0,IF(AND(G1044=T1044,COUNTIFS($S$6:S1044,S1044,$G$6:G1044,G1044,$D$6:D1044,"Vastgesteld")&gt;1),1,0))</f>
        <v>0</v>
      </c>
    </row>
    <row r="1045">
      <c r="S1045" s="15" t="str">
        <f>IF(J1045="","",J1045&amp;"|"&amp;E1045&amp;"|"&amp;F1045&amp;"|"&amp;I1045&amp;"|"&amp;O1045)</f>
        <v/>
      </c>
      <c r="T1045" s="15" t="str">
        <f>IF(OR(S1045="",D1045&lt;&gt;"Vastgesteld"),"",_xlfn.MAXIFS($G$6:$G$5005,$S$6:$S$5005,S1045,$D$6:$D$5005,"Vastgesteld"))</f>
        <v/>
      </c>
      <c r="U1045" s="15">
        <f>IF(T1045="",0,IF(AND(G1045=T1045,COUNTIFS($S$6:S1045,S1045,$G$6:G1045,G1045,$D$6:D1045,"Vastgesteld")=1),1,0))</f>
        <v>0</v>
      </c>
      <c r="V1045" s="15">
        <f>IF(T1045="",0,IF(AND(G1045=T1045,COUNTIFS($S$6:S1045,S1045,$G$6:G1045,G1045,$D$6:D1045,"Vastgesteld")&gt;1),1,0))</f>
        <v>0</v>
      </c>
    </row>
    <row r="1046">
      <c r="S1046" s="15" t="str">
        <f>IF(J1046="","",J1046&amp;"|"&amp;E1046&amp;"|"&amp;F1046&amp;"|"&amp;I1046&amp;"|"&amp;O1046)</f>
        <v/>
      </c>
      <c r="T1046" s="15" t="str">
        <f>IF(OR(S1046="",D1046&lt;&gt;"Vastgesteld"),"",_xlfn.MAXIFS($G$6:$G$5005,$S$6:$S$5005,S1046,$D$6:$D$5005,"Vastgesteld"))</f>
        <v/>
      </c>
      <c r="U1046" s="15">
        <f>IF(T1046="",0,IF(AND(G1046=T1046,COUNTIFS($S$6:S1046,S1046,$G$6:G1046,G1046,$D$6:D1046,"Vastgesteld")=1),1,0))</f>
        <v>0</v>
      </c>
      <c r="V1046" s="15">
        <f>IF(T1046="",0,IF(AND(G1046=T1046,COUNTIFS($S$6:S1046,S1046,$G$6:G1046,G1046,$D$6:D1046,"Vastgesteld")&gt;1),1,0))</f>
        <v>0</v>
      </c>
    </row>
    <row r="1047">
      <c r="S1047" s="15" t="str">
        <f>IF(J1047="","",J1047&amp;"|"&amp;E1047&amp;"|"&amp;F1047&amp;"|"&amp;I1047&amp;"|"&amp;O1047)</f>
        <v/>
      </c>
      <c r="T1047" s="15" t="str">
        <f>IF(OR(S1047="",D1047&lt;&gt;"Vastgesteld"),"",_xlfn.MAXIFS($G$6:$G$5005,$S$6:$S$5005,S1047,$D$6:$D$5005,"Vastgesteld"))</f>
        <v/>
      </c>
      <c r="U1047" s="15">
        <f>IF(T1047="",0,IF(AND(G1047=T1047,COUNTIFS($S$6:S1047,S1047,$G$6:G1047,G1047,$D$6:D1047,"Vastgesteld")=1),1,0))</f>
        <v>0</v>
      </c>
      <c r="V1047" s="15">
        <f>IF(T1047="",0,IF(AND(G1047=T1047,COUNTIFS($S$6:S1047,S1047,$G$6:G1047,G1047,$D$6:D1047,"Vastgesteld")&gt;1),1,0))</f>
        <v>0</v>
      </c>
    </row>
    <row r="1048">
      <c r="S1048" s="15" t="str">
        <f>IF(J1048="","",J1048&amp;"|"&amp;E1048&amp;"|"&amp;F1048&amp;"|"&amp;I1048&amp;"|"&amp;O1048)</f>
        <v/>
      </c>
      <c r="T1048" s="15" t="str">
        <f>IF(OR(S1048="",D1048&lt;&gt;"Vastgesteld"),"",_xlfn.MAXIFS($G$6:$G$5005,$S$6:$S$5005,S1048,$D$6:$D$5005,"Vastgesteld"))</f>
        <v/>
      </c>
      <c r="U1048" s="15">
        <f>IF(T1048="",0,IF(AND(G1048=T1048,COUNTIFS($S$6:S1048,S1048,$G$6:G1048,G1048,$D$6:D1048,"Vastgesteld")=1),1,0))</f>
        <v>0</v>
      </c>
      <c r="V1048" s="15">
        <f>IF(T1048="",0,IF(AND(G1048=T1048,COUNTIFS($S$6:S1048,S1048,$G$6:G1048,G1048,$D$6:D1048,"Vastgesteld")&gt;1),1,0))</f>
        <v>0</v>
      </c>
    </row>
    <row r="1049">
      <c r="S1049" s="15" t="str">
        <f>IF(J1049="","",J1049&amp;"|"&amp;E1049&amp;"|"&amp;F1049&amp;"|"&amp;I1049&amp;"|"&amp;O1049)</f>
        <v/>
      </c>
      <c r="T1049" s="15" t="str">
        <f>IF(OR(S1049="",D1049&lt;&gt;"Vastgesteld"),"",_xlfn.MAXIFS($G$6:$G$5005,$S$6:$S$5005,S1049,$D$6:$D$5005,"Vastgesteld"))</f>
        <v/>
      </c>
      <c r="U1049" s="15">
        <f>IF(T1049="",0,IF(AND(G1049=T1049,COUNTIFS($S$6:S1049,S1049,$G$6:G1049,G1049,$D$6:D1049,"Vastgesteld")=1),1,0))</f>
        <v>0</v>
      </c>
      <c r="V1049" s="15">
        <f>IF(T1049="",0,IF(AND(G1049=T1049,COUNTIFS($S$6:S1049,S1049,$G$6:G1049,G1049,$D$6:D1049,"Vastgesteld")&gt;1),1,0))</f>
        <v>0</v>
      </c>
    </row>
    <row r="1050">
      <c r="S1050" s="15" t="str">
        <f>IF(J1050="","",J1050&amp;"|"&amp;E1050&amp;"|"&amp;F1050&amp;"|"&amp;I1050&amp;"|"&amp;O1050)</f>
        <v/>
      </c>
      <c r="T1050" s="15" t="str">
        <f>IF(OR(S1050="",D1050&lt;&gt;"Vastgesteld"),"",_xlfn.MAXIFS($G$6:$G$5005,$S$6:$S$5005,S1050,$D$6:$D$5005,"Vastgesteld"))</f>
        <v/>
      </c>
      <c r="U1050" s="15">
        <f>IF(T1050="",0,IF(AND(G1050=T1050,COUNTIFS($S$6:S1050,S1050,$G$6:G1050,G1050,$D$6:D1050,"Vastgesteld")=1),1,0))</f>
        <v>0</v>
      </c>
      <c r="V1050" s="15">
        <f>IF(T1050="",0,IF(AND(G1050=T1050,COUNTIFS($S$6:S1050,S1050,$G$6:G1050,G1050,$D$6:D1050,"Vastgesteld")&gt;1),1,0))</f>
        <v>0</v>
      </c>
    </row>
    <row r="1051">
      <c r="S1051" s="15" t="str">
        <f>IF(J1051="","",J1051&amp;"|"&amp;E1051&amp;"|"&amp;F1051&amp;"|"&amp;I1051&amp;"|"&amp;O1051)</f>
        <v/>
      </c>
      <c r="T1051" s="15" t="str">
        <f>IF(OR(S1051="",D1051&lt;&gt;"Vastgesteld"),"",_xlfn.MAXIFS($G$6:$G$5005,$S$6:$S$5005,S1051,$D$6:$D$5005,"Vastgesteld"))</f>
        <v/>
      </c>
      <c r="U1051" s="15">
        <f>IF(T1051="",0,IF(AND(G1051=T1051,COUNTIFS($S$6:S1051,S1051,$G$6:G1051,G1051,$D$6:D1051,"Vastgesteld")=1),1,0))</f>
        <v>0</v>
      </c>
      <c r="V1051" s="15">
        <f>IF(T1051="",0,IF(AND(G1051=T1051,COUNTIFS($S$6:S1051,S1051,$G$6:G1051,G1051,$D$6:D1051,"Vastgesteld")&gt;1),1,0))</f>
        <v>0</v>
      </c>
    </row>
    <row r="1052">
      <c r="S1052" s="15" t="str">
        <f>IF(J1052="","",J1052&amp;"|"&amp;E1052&amp;"|"&amp;F1052&amp;"|"&amp;I1052&amp;"|"&amp;O1052)</f>
        <v/>
      </c>
      <c r="T1052" s="15" t="str">
        <f>IF(OR(S1052="",D1052&lt;&gt;"Vastgesteld"),"",_xlfn.MAXIFS($G$6:$G$5005,$S$6:$S$5005,S1052,$D$6:$D$5005,"Vastgesteld"))</f>
        <v/>
      </c>
      <c r="U1052" s="15">
        <f>IF(T1052="",0,IF(AND(G1052=T1052,COUNTIFS($S$6:S1052,S1052,$G$6:G1052,G1052,$D$6:D1052,"Vastgesteld")=1),1,0))</f>
        <v>0</v>
      </c>
      <c r="V1052" s="15">
        <f>IF(T1052="",0,IF(AND(G1052=T1052,COUNTIFS($S$6:S1052,S1052,$G$6:G1052,G1052,$D$6:D1052,"Vastgesteld")&gt;1),1,0))</f>
        <v>0</v>
      </c>
    </row>
    <row r="1053">
      <c r="S1053" s="15" t="str">
        <f>IF(J1053="","",J1053&amp;"|"&amp;E1053&amp;"|"&amp;F1053&amp;"|"&amp;I1053&amp;"|"&amp;O1053)</f>
        <v/>
      </c>
      <c r="T1053" s="15" t="str">
        <f>IF(OR(S1053="",D1053&lt;&gt;"Vastgesteld"),"",_xlfn.MAXIFS($G$6:$G$5005,$S$6:$S$5005,S1053,$D$6:$D$5005,"Vastgesteld"))</f>
        <v/>
      </c>
      <c r="U1053" s="15">
        <f>IF(T1053="",0,IF(AND(G1053=T1053,COUNTIFS($S$6:S1053,S1053,$G$6:G1053,G1053,$D$6:D1053,"Vastgesteld")=1),1,0))</f>
        <v>0</v>
      </c>
      <c r="V1053" s="15">
        <f>IF(T1053="",0,IF(AND(G1053=T1053,COUNTIFS($S$6:S1053,S1053,$G$6:G1053,G1053,$D$6:D1053,"Vastgesteld")&gt;1),1,0))</f>
        <v>0</v>
      </c>
    </row>
    <row r="1054">
      <c r="S1054" s="15" t="str">
        <f>IF(J1054="","",J1054&amp;"|"&amp;E1054&amp;"|"&amp;F1054&amp;"|"&amp;I1054&amp;"|"&amp;O1054)</f>
        <v/>
      </c>
      <c r="T1054" s="15" t="str">
        <f>IF(OR(S1054="",D1054&lt;&gt;"Vastgesteld"),"",_xlfn.MAXIFS($G$6:$G$5005,$S$6:$S$5005,S1054,$D$6:$D$5005,"Vastgesteld"))</f>
        <v/>
      </c>
      <c r="U1054" s="15">
        <f>IF(T1054="",0,IF(AND(G1054=T1054,COUNTIFS($S$6:S1054,S1054,$G$6:G1054,G1054,$D$6:D1054,"Vastgesteld")=1),1,0))</f>
        <v>0</v>
      </c>
      <c r="V1054" s="15">
        <f>IF(T1054="",0,IF(AND(G1054=T1054,COUNTIFS($S$6:S1054,S1054,$G$6:G1054,G1054,$D$6:D1054,"Vastgesteld")&gt;1),1,0))</f>
        <v>0</v>
      </c>
    </row>
    <row r="1055">
      <c r="S1055" s="15" t="str">
        <f>IF(J1055="","",J1055&amp;"|"&amp;E1055&amp;"|"&amp;F1055&amp;"|"&amp;I1055&amp;"|"&amp;O1055)</f>
        <v/>
      </c>
      <c r="T1055" s="15" t="str">
        <f>IF(OR(S1055="",D1055&lt;&gt;"Vastgesteld"),"",_xlfn.MAXIFS($G$6:$G$5005,$S$6:$S$5005,S1055,$D$6:$D$5005,"Vastgesteld"))</f>
        <v/>
      </c>
      <c r="U1055" s="15">
        <f>IF(T1055="",0,IF(AND(G1055=T1055,COUNTIFS($S$6:S1055,S1055,$G$6:G1055,G1055,$D$6:D1055,"Vastgesteld")=1),1,0))</f>
        <v>0</v>
      </c>
      <c r="V1055" s="15">
        <f>IF(T1055="",0,IF(AND(G1055=T1055,COUNTIFS($S$6:S1055,S1055,$G$6:G1055,G1055,$D$6:D1055,"Vastgesteld")&gt;1),1,0))</f>
        <v>0</v>
      </c>
    </row>
    <row r="1056">
      <c r="S1056" s="15" t="str">
        <f>IF(J1056="","",J1056&amp;"|"&amp;E1056&amp;"|"&amp;F1056&amp;"|"&amp;I1056&amp;"|"&amp;O1056)</f>
        <v/>
      </c>
      <c r="T1056" s="15" t="str">
        <f>IF(OR(S1056="",D1056&lt;&gt;"Vastgesteld"),"",_xlfn.MAXIFS($G$6:$G$5005,$S$6:$S$5005,S1056,$D$6:$D$5005,"Vastgesteld"))</f>
        <v/>
      </c>
      <c r="U1056" s="15">
        <f>IF(T1056="",0,IF(AND(G1056=T1056,COUNTIFS($S$6:S1056,S1056,$G$6:G1056,G1056,$D$6:D1056,"Vastgesteld")=1),1,0))</f>
        <v>0</v>
      </c>
      <c r="V1056" s="15">
        <f>IF(T1056="",0,IF(AND(G1056=T1056,COUNTIFS($S$6:S1056,S1056,$G$6:G1056,G1056,$D$6:D1056,"Vastgesteld")&gt;1),1,0))</f>
        <v>0</v>
      </c>
    </row>
    <row r="1057">
      <c r="S1057" s="15" t="str">
        <f>IF(J1057="","",J1057&amp;"|"&amp;E1057&amp;"|"&amp;F1057&amp;"|"&amp;I1057&amp;"|"&amp;O1057)</f>
        <v/>
      </c>
      <c r="T1057" s="15" t="str">
        <f>IF(OR(S1057="",D1057&lt;&gt;"Vastgesteld"),"",_xlfn.MAXIFS($G$6:$G$5005,$S$6:$S$5005,S1057,$D$6:$D$5005,"Vastgesteld"))</f>
        <v/>
      </c>
      <c r="U1057" s="15">
        <f>IF(T1057="",0,IF(AND(G1057=T1057,COUNTIFS($S$6:S1057,S1057,$G$6:G1057,G1057,$D$6:D1057,"Vastgesteld")=1),1,0))</f>
        <v>0</v>
      </c>
      <c r="V1057" s="15">
        <f>IF(T1057="",0,IF(AND(G1057=T1057,COUNTIFS($S$6:S1057,S1057,$G$6:G1057,G1057,$D$6:D1057,"Vastgesteld")&gt;1),1,0))</f>
        <v>0</v>
      </c>
    </row>
    <row r="1058">
      <c r="S1058" s="15" t="str">
        <f>IF(J1058="","",J1058&amp;"|"&amp;E1058&amp;"|"&amp;F1058&amp;"|"&amp;I1058&amp;"|"&amp;O1058)</f>
        <v/>
      </c>
      <c r="T1058" s="15" t="str">
        <f>IF(OR(S1058="",D1058&lt;&gt;"Vastgesteld"),"",_xlfn.MAXIFS($G$6:$G$5005,$S$6:$S$5005,S1058,$D$6:$D$5005,"Vastgesteld"))</f>
        <v/>
      </c>
      <c r="U1058" s="15">
        <f>IF(T1058="",0,IF(AND(G1058=T1058,COUNTIFS($S$6:S1058,S1058,$G$6:G1058,G1058,$D$6:D1058,"Vastgesteld")=1),1,0))</f>
        <v>0</v>
      </c>
      <c r="V1058" s="15">
        <f>IF(T1058="",0,IF(AND(G1058=T1058,COUNTIFS($S$6:S1058,S1058,$G$6:G1058,G1058,$D$6:D1058,"Vastgesteld")&gt;1),1,0))</f>
        <v>0</v>
      </c>
    </row>
    <row r="1059">
      <c r="S1059" s="15" t="str">
        <f>IF(J1059="","",J1059&amp;"|"&amp;E1059&amp;"|"&amp;F1059&amp;"|"&amp;I1059&amp;"|"&amp;O1059)</f>
        <v/>
      </c>
      <c r="T1059" s="15" t="str">
        <f>IF(OR(S1059="",D1059&lt;&gt;"Vastgesteld"),"",_xlfn.MAXIFS($G$6:$G$5005,$S$6:$S$5005,S1059,$D$6:$D$5005,"Vastgesteld"))</f>
        <v/>
      </c>
      <c r="U1059" s="15">
        <f>IF(T1059="",0,IF(AND(G1059=T1059,COUNTIFS($S$6:S1059,S1059,$G$6:G1059,G1059,$D$6:D1059,"Vastgesteld")=1),1,0))</f>
        <v>0</v>
      </c>
      <c r="V1059" s="15">
        <f>IF(T1059="",0,IF(AND(G1059=T1059,COUNTIFS($S$6:S1059,S1059,$G$6:G1059,G1059,$D$6:D1059,"Vastgesteld")&gt;1),1,0))</f>
        <v>0</v>
      </c>
    </row>
    <row r="1060">
      <c r="S1060" s="15" t="str">
        <f>IF(J1060="","",J1060&amp;"|"&amp;E1060&amp;"|"&amp;F1060&amp;"|"&amp;I1060&amp;"|"&amp;O1060)</f>
        <v/>
      </c>
      <c r="T1060" s="15" t="str">
        <f>IF(OR(S1060="",D1060&lt;&gt;"Vastgesteld"),"",_xlfn.MAXIFS($G$6:$G$5005,$S$6:$S$5005,S1060,$D$6:$D$5005,"Vastgesteld"))</f>
        <v/>
      </c>
      <c r="U1060" s="15">
        <f>IF(T1060="",0,IF(AND(G1060=T1060,COUNTIFS($S$6:S1060,S1060,$G$6:G1060,G1060,$D$6:D1060,"Vastgesteld")=1),1,0))</f>
        <v>0</v>
      </c>
      <c r="V1060" s="15">
        <f>IF(T1060="",0,IF(AND(G1060=T1060,COUNTIFS($S$6:S1060,S1060,$G$6:G1060,G1060,$D$6:D1060,"Vastgesteld")&gt;1),1,0))</f>
        <v>0</v>
      </c>
    </row>
    <row r="1061">
      <c r="S1061" s="15" t="str">
        <f>IF(J1061="","",J1061&amp;"|"&amp;E1061&amp;"|"&amp;F1061&amp;"|"&amp;I1061&amp;"|"&amp;O1061)</f>
        <v/>
      </c>
      <c r="T1061" s="15" t="str">
        <f>IF(OR(S1061="",D1061&lt;&gt;"Vastgesteld"),"",_xlfn.MAXIFS($G$6:$G$5005,$S$6:$S$5005,S1061,$D$6:$D$5005,"Vastgesteld"))</f>
        <v/>
      </c>
      <c r="U1061" s="15">
        <f>IF(T1061="",0,IF(AND(G1061=T1061,COUNTIFS($S$6:S1061,S1061,$G$6:G1061,G1061,$D$6:D1061,"Vastgesteld")=1),1,0))</f>
        <v>0</v>
      </c>
      <c r="V1061" s="15">
        <f>IF(T1061="",0,IF(AND(G1061=T1061,COUNTIFS($S$6:S1061,S1061,$G$6:G1061,G1061,$D$6:D1061,"Vastgesteld")&gt;1),1,0))</f>
        <v>0</v>
      </c>
    </row>
    <row r="1062">
      <c r="S1062" s="15" t="str">
        <f>IF(J1062="","",J1062&amp;"|"&amp;E1062&amp;"|"&amp;F1062&amp;"|"&amp;I1062&amp;"|"&amp;O1062)</f>
        <v/>
      </c>
      <c r="T1062" s="15" t="str">
        <f>IF(OR(S1062="",D1062&lt;&gt;"Vastgesteld"),"",_xlfn.MAXIFS($G$6:$G$5005,$S$6:$S$5005,S1062,$D$6:$D$5005,"Vastgesteld"))</f>
        <v/>
      </c>
      <c r="U1062" s="15">
        <f>IF(T1062="",0,IF(AND(G1062=T1062,COUNTIFS($S$6:S1062,S1062,$G$6:G1062,G1062,$D$6:D1062,"Vastgesteld")=1),1,0))</f>
        <v>0</v>
      </c>
      <c r="V1062" s="15">
        <f>IF(T1062="",0,IF(AND(G1062=T1062,COUNTIFS($S$6:S1062,S1062,$G$6:G1062,G1062,$D$6:D1062,"Vastgesteld")&gt;1),1,0))</f>
        <v>0</v>
      </c>
    </row>
    <row r="1063">
      <c r="S1063" s="15" t="str">
        <f>IF(J1063="","",J1063&amp;"|"&amp;E1063&amp;"|"&amp;F1063&amp;"|"&amp;I1063&amp;"|"&amp;O1063)</f>
        <v/>
      </c>
      <c r="T1063" s="15" t="str">
        <f>IF(OR(S1063="",D1063&lt;&gt;"Vastgesteld"),"",_xlfn.MAXIFS($G$6:$G$5005,$S$6:$S$5005,S1063,$D$6:$D$5005,"Vastgesteld"))</f>
        <v/>
      </c>
      <c r="U1063" s="15">
        <f>IF(T1063="",0,IF(AND(G1063=T1063,COUNTIFS($S$6:S1063,S1063,$G$6:G1063,G1063,$D$6:D1063,"Vastgesteld")=1),1,0))</f>
        <v>0</v>
      </c>
      <c r="V1063" s="15">
        <f>IF(T1063="",0,IF(AND(G1063=T1063,COUNTIFS($S$6:S1063,S1063,$G$6:G1063,G1063,$D$6:D1063,"Vastgesteld")&gt;1),1,0))</f>
        <v>0</v>
      </c>
    </row>
    <row r="1064">
      <c r="S1064" s="15" t="str">
        <f>IF(J1064="","",J1064&amp;"|"&amp;E1064&amp;"|"&amp;F1064&amp;"|"&amp;I1064&amp;"|"&amp;O1064)</f>
        <v/>
      </c>
      <c r="T1064" s="15" t="str">
        <f>IF(OR(S1064="",D1064&lt;&gt;"Vastgesteld"),"",_xlfn.MAXIFS($G$6:$G$5005,$S$6:$S$5005,S1064,$D$6:$D$5005,"Vastgesteld"))</f>
        <v/>
      </c>
      <c r="U1064" s="15">
        <f>IF(T1064="",0,IF(AND(G1064=T1064,COUNTIFS($S$6:S1064,S1064,$G$6:G1064,G1064,$D$6:D1064,"Vastgesteld")=1),1,0))</f>
        <v>0</v>
      </c>
      <c r="V1064" s="15">
        <f>IF(T1064="",0,IF(AND(G1064=T1064,COUNTIFS($S$6:S1064,S1064,$G$6:G1064,G1064,$D$6:D1064,"Vastgesteld")&gt;1),1,0))</f>
        <v>0</v>
      </c>
    </row>
    <row r="1065">
      <c r="S1065" s="15" t="str">
        <f>IF(J1065="","",J1065&amp;"|"&amp;E1065&amp;"|"&amp;F1065&amp;"|"&amp;I1065&amp;"|"&amp;O1065)</f>
        <v/>
      </c>
      <c r="T1065" s="15" t="str">
        <f>IF(OR(S1065="",D1065&lt;&gt;"Vastgesteld"),"",_xlfn.MAXIFS($G$6:$G$5005,$S$6:$S$5005,S1065,$D$6:$D$5005,"Vastgesteld"))</f>
        <v/>
      </c>
      <c r="U1065" s="15">
        <f>IF(T1065="",0,IF(AND(G1065=T1065,COUNTIFS($S$6:S1065,S1065,$G$6:G1065,G1065,$D$6:D1065,"Vastgesteld")=1),1,0))</f>
        <v>0</v>
      </c>
      <c r="V1065" s="15">
        <f>IF(T1065="",0,IF(AND(G1065=T1065,COUNTIFS($S$6:S1065,S1065,$G$6:G1065,G1065,$D$6:D1065,"Vastgesteld")&gt;1),1,0))</f>
        <v>0</v>
      </c>
    </row>
    <row r="1066">
      <c r="S1066" s="15" t="str">
        <f>IF(J1066="","",J1066&amp;"|"&amp;E1066&amp;"|"&amp;F1066&amp;"|"&amp;I1066&amp;"|"&amp;O1066)</f>
        <v/>
      </c>
      <c r="T1066" s="15" t="str">
        <f>IF(OR(S1066="",D1066&lt;&gt;"Vastgesteld"),"",_xlfn.MAXIFS($G$6:$G$5005,$S$6:$S$5005,S1066,$D$6:$D$5005,"Vastgesteld"))</f>
        <v/>
      </c>
      <c r="U1066" s="15">
        <f>IF(T1066="",0,IF(AND(G1066=T1066,COUNTIFS($S$6:S1066,S1066,$G$6:G1066,G1066,$D$6:D1066,"Vastgesteld")=1),1,0))</f>
        <v>0</v>
      </c>
      <c r="V1066" s="15">
        <f>IF(T1066="",0,IF(AND(G1066=T1066,COUNTIFS($S$6:S1066,S1066,$G$6:G1066,G1066,$D$6:D1066,"Vastgesteld")&gt;1),1,0))</f>
        <v>0</v>
      </c>
    </row>
    <row r="1067">
      <c r="S1067" s="15" t="str">
        <f>IF(J1067="","",J1067&amp;"|"&amp;E1067&amp;"|"&amp;F1067&amp;"|"&amp;I1067&amp;"|"&amp;O1067)</f>
        <v/>
      </c>
      <c r="T1067" s="15" t="str">
        <f>IF(OR(S1067="",D1067&lt;&gt;"Vastgesteld"),"",_xlfn.MAXIFS($G$6:$G$5005,$S$6:$S$5005,S1067,$D$6:$D$5005,"Vastgesteld"))</f>
        <v/>
      </c>
      <c r="U1067" s="15">
        <f>IF(T1067="",0,IF(AND(G1067=T1067,COUNTIFS($S$6:S1067,S1067,$G$6:G1067,G1067,$D$6:D1067,"Vastgesteld")=1),1,0))</f>
        <v>0</v>
      </c>
      <c r="V1067" s="15">
        <f>IF(T1067="",0,IF(AND(G1067=T1067,COUNTIFS($S$6:S1067,S1067,$G$6:G1067,G1067,$D$6:D1067,"Vastgesteld")&gt;1),1,0))</f>
        <v>0</v>
      </c>
    </row>
    <row r="1068">
      <c r="S1068" s="15" t="str">
        <f>IF(J1068="","",J1068&amp;"|"&amp;E1068&amp;"|"&amp;F1068&amp;"|"&amp;I1068&amp;"|"&amp;O1068)</f>
        <v/>
      </c>
      <c r="T1068" s="15" t="str">
        <f>IF(OR(S1068="",D1068&lt;&gt;"Vastgesteld"),"",_xlfn.MAXIFS($G$6:$G$5005,$S$6:$S$5005,S1068,$D$6:$D$5005,"Vastgesteld"))</f>
        <v/>
      </c>
      <c r="U1068" s="15">
        <f>IF(T1068="",0,IF(AND(G1068=T1068,COUNTIFS($S$6:S1068,S1068,$G$6:G1068,G1068,$D$6:D1068,"Vastgesteld")=1),1,0))</f>
        <v>0</v>
      </c>
      <c r="V1068" s="15">
        <f>IF(T1068="",0,IF(AND(G1068=T1068,COUNTIFS($S$6:S1068,S1068,$G$6:G1068,G1068,$D$6:D1068,"Vastgesteld")&gt;1),1,0))</f>
        <v>0</v>
      </c>
    </row>
    <row r="1069">
      <c r="S1069" s="15" t="str">
        <f>IF(J1069="","",J1069&amp;"|"&amp;E1069&amp;"|"&amp;F1069&amp;"|"&amp;I1069&amp;"|"&amp;O1069)</f>
        <v/>
      </c>
      <c r="T1069" s="15" t="str">
        <f>IF(OR(S1069="",D1069&lt;&gt;"Vastgesteld"),"",_xlfn.MAXIFS($G$6:$G$5005,$S$6:$S$5005,S1069,$D$6:$D$5005,"Vastgesteld"))</f>
        <v/>
      </c>
      <c r="U1069" s="15">
        <f>IF(T1069="",0,IF(AND(G1069=T1069,COUNTIFS($S$6:S1069,S1069,$G$6:G1069,G1069,$D$6:D1069,"Vastgesteld")=1),1,0))</f>
        <v>0</v>
      </c>
      <c r="V1069" s="15">
        <f>IF(T1069="",0,IF(AND(G1069=T1069,COUNTIFS($S$6:S1069,S1069,$G$6:G1069,G1069,$D$6:D1069,"Vastgesteld")&gt;1),1,0))</f>
        <v>0</v>
      </c>
    </row>
    <row r="1070">
      <c r="S1070" s="15" t="str">
        <f>IF(J1070="","",J1070&amp;"|"&amp;E1070&amp;"|"&amp;F1070&amp;"|"&amp;I1070&amp;"|"&amp;O1070)</f>
        <v/>
      </c>
      <c r="T1070" s="15" t="str">
        <f>IF(OR(S1070="",D1070&lt;&gt;"Vastgesteld"),"",_xlfn.MAXIFS($G$6:$G$5005,$S$6:$S$5005,S1070,$D$6:$D$5005,"Vastgesteld"))</f>
        <v/>
      </c>
      <c r="U1070" s="15">
        <f>IF(T1070="",0,IF(AND(G1070=T1070,COUNTIFS($S$6:S1070,S1070,$G$6:G1070,G1070,$D$6:D1070,"Vastgesteld")=1),1,0))</f>
        <v>0</v>
      </c>
      <c r="V1070" s="15">
        <f>IF(T1070="",0,IF(AND(G1070=T1070,COUNTIFS($S$6:S1070,S1070,$G$6:G1070,G1070,$D$6:D1070,"Vastgesteld")&gt;1),1,0))</f>
        <v>0</v>
      </c>
    </row>
    <row r="1071">
      <c r="S1071" s="15" t="str">
        <f>IF(J1071="","",J1071&amp;"|"&amp;E1071&amp;"|"&amp;F1071&amp;"|"&amp;I1071&amp;"|"&amp;O1071)</f>
        <v/>
      </c>
      <c r="T1071" s="15" t="str">
        <f>IF(OR(S1071="",D1071&lt;&gt;"Vastgesteld"),"",_xlfn.MAXIFS($G$6:$G$5005,$S$6:$S$5005,S1071,$D$6:$D$5005,"Vastgesteld"))</f>
        <v/>
      </c>
      <c r="U1071" s="15">
        <f>IF(T1071="",0,IF(AND(G1071=T1071,COUNTIFS($S$6:S1071,S1071,$G$6:G1071,G1071,$D$6:D1071,"Vastgesteld")=1),1,0))</f>
        <v>0</v>
      </c>
      <c r="V1071" s="15">
        <f>IF(T1071="",0,IF(AND(G1071=T1071,COUNTIFS($S$6:S1071,S1071,$G$6:G1071,G1071,$D$6:D1071,"Vastgesteld")&gt;1),1,0))</f>
        <v>0</v>
      </c>
    </row>
    <row r="1072">
      <c r="S1072" s="15" t="str">
        <f>IF(J1072="","",J1072&amp;"|"&amp;E1072&amp;"|"&amp;F1072&amp;"|"&amp;I1072&amp;"|"&amp;O1072)</f>
        <v/>
      </c>
      <c r="T1072" s="15" t="str">
        <f>IF(OR(S1072="",D1072&lt;&gt;"Vastgesteld"),"",_xlfn.MAXIFS($G$6:$G$5005,$S$6:$S$5005,S1072,$D$6:$D$5005,"Vastgesteld"))</f>
        <v/>
      </c>
      <c r="U1072" s="15">
        <f>IF(T1072="",0,IF(AND(G1072=T1072,COUNTIFS($S$6:S1072,S1072,$G$6:G1072,G1072,$D$6:D1072,"Vastgesteld")=1),1,0))</f>
        <v>0</v>
      </c>
      <c r="V1072" s="15">
        <f>IF(T1072="",0,IF(AND(G1072=T1072,COUNTIFS($S$6:S1072,S1072,$G$6:G1072,G1072,$D$6:D1072,"Vastgesteld")&gt;1),1,0))</f>
        <v>0</v>
      </c>
    </row>
    <row r="1073">
      <c r="S1073" s="15" t="str">
        <f>IF(J1073="","",J1073&amp;"|"&amp;E1073&amp;"|"&amp;F1073&amp;"|"&amp;I1073&amp;"|"&amp;O1073)</f>
        <v/>
      </c>
      <c r="T1073" s="15" t="str">
        <f>IF(OR(S1073="",D1073&lt;&gt;"Vastgesteld"),"",_xlfn.MAXIFS($G$6:$G$5005,$S$6:$S$5005,S1073,$D$6:$D$5005,"Vastgesteld"))</f>
        <v/>
      </c>
      <c r="U1073" s="15">
        <f>IF(T1073="",0,IF(AND(G1073=T1073,COUNTIFS($S$6:S1073,S1073,$G$6:G1073,G1073,$D$6:D1073,"Vastgesteld")=1),1,0))</f>
        <v>0</v>
      </c>
      <c r="V1073" s="15">
        <f>IF(T1073="",0,IF(AND(G1073=T1073,COUNTIFS($S$6:S1073,S1073,$G$6:G1073,G1073,$D$6:D1073,"Vastgesteld")&gt;1),1,0))</f>
        <v>0</v>
      </c>
    </row>
    <row r="1074">
      <c r="S1074" s="15" t="str">
        <f>IF(J1074="","",J1074&amp;"|"&amp;E1074&amp;"|"&amp;F1074&amp;"|"&amp;I1074&amp;"|"&amp;O1074)</f>
        <v/>
      </c>
      <c r="T1074" s="15" t="str">
        <f>IF(OR(S1074="",D1074&lt;&gt;"Vastgesteld"),"",_xlfn.MAXIFS($G$6:$G$5005,$S$6:$S$5005,S1074,$D$6:$D$5005,"Vastgesteld"))</f>
        <v/>
      </c>
      <c r="U1074" s="15">
        <f>IF(T1074="",0,IF(AND(G1074=T1074,COUNTIFS($S$6:S1074,S1074,$G$6:G1074,G1074,$D$6:D1074,"Vastgesteld")=1),1,0))</f>
        <v>0</v>
      </c>
      <c r="V1074" s="15">
        <f>IF(T1074="",0,IF(AND(G1074=T1074,COUNTIFS($S$6:S1074,S1074,$G$6:G1074,G1074,$D$6:D1074,"Vastgesteld")&gt;1),1,0))</f>
        <v>0</v>
      </c>
    </row>
    <row r="1075">
      <c r="S1075" s="15" t="str">
        <f>IF(J1075="","",J1075&amp;"|"&amp;E1075&amp;"|"&amp;F1075&amp;"|"&amp;I1075&amp;"|"&amp;O1075)</f>
        <v/>
      </c>
      <c r="T1075" s="15" t="str">
        <f>IF(OR(S1075="",D1075&lt;&gt;"Vastgesteld"),"",_xlfn.MAXIFS($G$6:$G$5005,$S$6:$S$5005,S1075,$D$6:$D$5005,"Vastgesteld"))</f>
        <v/>
      </c>
      <c r="U1075" s="15">
        <f>IF(T1075="",0,IF(AND(G1075=T1075,COUNTIFS($S$6:S1075,S1075,$G$6:G1075,G1075,$D$6:D1075,"Vastgesteld")=1),1,0))</f>
        <v>0</v>
      </c>
      <c r="V1075" s="15">
        <f>IF(T1075="",0,IF(AND(G1075=T1075,COUNTIFS($S$6:S1075,S1075,$G$6:G1075,G1075,$D$6:D1075,"Vastgesteld")&gt;1),1,0))</f>
        <v>0</v>
      </c>
    </row>
    <row r="1076">
      <c r="S1076" s="15" t="str">
        <f>IF(J1076="","",J1076&amp;"|"&amp;E1076&amp;"|"&amp;F1076&amp;"|"&amp;I1076&amp;"|"&amp;O1076)</f>
        <v/>
      </c>
      <c r="T1076" s="15" t="str">
        <f>IF(OR(S1076="",D1076&lt;&gt;"Vastgesteld"),"",_xlfn.MAXIFS($G$6:$G$5005,$S$6:$S$5005,S1076,$D$6:$D$5005,"Vastgesteld"))</f>
        <v/>
      </c>
      <c r="U1076" s="15">
        <f>IF(T1076="",0,IF(AND(G1076=T1076,COUNTIFS($S$6:S1076,S1076,$G$6:G1076,G1076,$D$6:D1076,"Vastgesteld")=1),1,0))</f>
        <v>0</v>
      </c>
      <c r="V1076" s="15">
        <f>IF(T1076="",0,IF(AND(G1076=T1076,COUNTIFS($S$6:S1076,S1076,$G$6:G1076,G1076,$D$6:D1076,"Vastgesteld")&gt;1),1,0))</f>
        <v>0</v>
      </c>
    </row>
    <row r="1077">
      <c r="S1077" s="15" t="str">
        <f>IF(J1077="","",J1077&amp;"|"&amp;E1077&amp;"|"&amp;F1077&amp;"|"&amp;I1077&amp;"|"&amp;O1077)</f>
        <v/>
      </c>
      <c r="T1077" s="15" t="str">
        <f>IF(OR(S1077="",D1077&lt;&gt;"Vastgesteld"),"",_xlfn.MAXIFS($G$6:$G$5005,$S$6:$S$5005,S1077,$D$6:$D$5005,"Vastgesteld"))</f>
        <v/>
      </c>
      <c r="U1077" s="15">
        <f>IF(T1077="",0,IF(AND(G1077=T1077,COUNTIFS($S$6:S1077,S1077,$G$6:G1077,G1077,$D$6:D1077,"Vastgesteld")=1),1,0))</f>
        <v>0</v>
      </c>
      <c r="V1077" s="15">
        <f>IF(T1077="",0,IF(AND(G1077=T1077,COUNTIFS($S$6:S1077,S1077,$G$6:G1077,G1077,$D$6:D1077,"Vastgesteld")&gt;1),1,0))</f>
        <v>0</v>
      </c>
    </row>
    <row r="1078">
      <c r="S1078" s="15" t="str">
        <f>IF(J1078="","",J1078&amp;"|"&amp;E1078&amp;"|"&amp;F1078&amp;"|"&amp;I1078&amp;"|"&amp;O1078)</f>
        <v/>
      </c>
      <c r="T1078" s="15" t="str">
        <f>IF(OR(S1078="",D1078&lt;&gt;"Vastgesteld"),"",_xlfn.MAXIFS($G$6:$G$5005,$S$6:$S$5005,S1078,$D$6:$D$5005,"Vastgesteld"))</f>
        <v/>
      </c>
      <c r="U1078" s="15">
        <f>IF(T1078="",0,IF(AND(G1078=T1078,COUNTIFS($S$6:S1078,S1078,$G$6:G1078,G1078,$D$6:D1078,"Vastgesteld")=1),1,0))</f>
        <v>0</v>
      </c>
      <c r="V1078" s="15">
        <f>IF(T1078="",0,IF(AND(G1078=T1078,COUNTIFS($S$6:S1078,S1078,$G$6:G1078,G1078,$D$6:D1078,"Vastgesteld")&gt;1),1,0))</f>
        <v>0</v>
      </c>
    </row>
    <row r="1079">
      <c r="S1079" s="15" t="str">
        <f>IF(J1079="","",J1079&amp;"|"&amp;E1079&amp;"|"&amp;F1079&amp;"|"&amp;I1079&amp;"|"&amp;O1079)</f>
        <v/>
      </c>
      <c r="T1079" s="15" t="str">
        <f>IF(OR(S1079="",D1079&lt;&gt;"Vastgesteld"),"",_xlfn.MAXIFS($G$6:$G$5005,$S$6:$S$5005,S1079,$D$6:$D$5005,"Vastgesteld"))</f>
        <v/>
      </c>
      <c r="U1079" s="15">
        <f>IF(T1079="",0,IF(AND(G1079=T1079,COUNTIFS($S$6:S1079,S1079,$G$6:G1079,G1079,$D$6:D1079,"Vastgesteld")=1),1,0))</f>
        <v>0</v>
      </c>
      <c r="V1079" s="15">
        <f>IF(T1079="",0,IF(AND(G1079=T1079,COUNTIFS($S$6:S1079,S1079,$G$6:G1079,G1079,$D$6:D1079,"Vastgesteld")&gt;1),1,0))</f>
        <v>0</v>
      </c>
    </row>
    <row r="1080">
      <c r="S1080" s="15" t="str">
        <f>IF(J1080="","",J1080&amp;"|"&amp;E1080&amp;"|"&amp;F1080&amp;"|"&amp;I1080&amp;"|"&amp;O1080)</f>
        <v/>
      </c>
      <c r="T1080" s="15" t="str">
        <f>IF(OR(S1080="",D1080&lt;&gt;"Vastgesteld"),"",_xlfn.MAXIFS($G$6:$G$5005,$S$6:$S$5005,S1080,$D$6:$D$5005,"Vastgesteld"))</f>
        <v/>
      </c>
      <c r="U1080" s="15">
        <f>IF(T1080="",0,IF(AND(G1080=T1080,COUNTIFS($S$6:S1080,S1080,$G$6:G1080,G1080,$D$6:D1080,"Vastgesteld")=1),1,0))</f>
        <v>0</v>
      </c>
      <c r="V1080" s="15">
        <f>IF(T1080="",0,IF(AND(G1080=T1080,COUNTIFS($S$6:S1080,S1080,$G$6:G1080,G1080,$D$6:D1080,"Vastgesteld")&gt;1),1,0))</f>
        <v>0</v>
      </c>
    </row>
    <row r="1081">
      <c r="S1081" s="15" t="str">
        <f>IF(J1081="","",J1081&amp;"|"&amp;E1081&amp;"|"&amp;F1081&amp;"|"&amp;I1081&amp;"|"&amp;O1081)</f>
        <v/>
      </c>
      <c r="T1081" s="15" t="str">
        <f>IF(OR(S1081="",D1081&lt;&gt;"Vastgesteld"),"",_xlfn.MAXIFS($G$6:$G$5005,$S$6:$S$5005,S1081,$D$6:$D$5005,"Vastgesteld"))</f>
        <v/>
      </c>
      <c r="U1081" s="15">
        <f>IF(T1081="",0,IF(AND(G1081=T1081,COUNTIFS($S$6:S1081,S1081,$G$6:G1081,G1081,$D$6:D1081,"Vastgesteld")=1),1,0))</f>
        <v>0</v>
      </c>
      <c r="V1081" s="15">
        <f>IF(T1081="",0,IF(AND(G1081=T1081,COUNTIFS($S$6:S1081,S1081,$G$6:G1081,G1081,$D$6:D1081,"Vastgesteld")&gt;1),1,0))</f>
        <v>0</v>
      </c>
    </row>
    <row r="1082">
      <c r="S1082" s="15" t="str">
        <f>IF(J1082="","",J1082&amp;"|"&amp;E1082&amp;"|"&amp;F1082&amp;"|"&amp;I1082&amp;"|"&amp;O1082)</f>
        <v/>
      </c>
      <c r="T1082" s="15" t="str">
        <f>IF(OR(S1082="",D1082&lt;&gt;"Vastgesteld"),"",_xlfn.MAXIFS($G$6:$G$5005,$S$6:$S$5005,S1082,$D$6:$D$5005,"Vastgesteld"))</f>
        <v/>
      </c>
      <c r="U1082" s="15">
        <f>IF(T1082="",0,IF(AND(G1082=T1082,COUNTIFS($S$6:S1082,S1082,$G$6:G1082,G1082,$D$6:D1082,"Vastgesteld")=1),1,0))</f>
        <v>0</v>
      </c>
      <c r="V1082" s="15">
        <f>IF(T1082="",0,IF(AND(G1082=T1082,COUNTIFS($S$6:S1082,S1082,$G$6:G1082,G1082,$D$6:D1082,"Vastgesteld")&gt;1),1,0))</f>
        <v>0</v>
      </c>
    </row>
    <row r="1083">
      <c r="S1083" s="15" t="str">
        <f>IF(J1083="","",J1083&amp;"|"&amp;E1083&amp;"|"&amp;F1083&amp;"|"&amp;I1083&amp;"|"&amp;O1083)</f>
        <v/>
      </c>
      <c r="T1083" s="15" t="str">
        <f>IF(OR(S1083="",D1083&lt;&gt;"Vastgesteld"),"",_xlfn.MAXIFS($G$6:$G$5005,$S$6:$S$5005,S1083,$D$6:$D$5005,"Vastgesteld"))</f>
        <v/>
      </c>
      <c r="U1083" s="15">
        <f>IF(T1083="",0,IF(AND(G1083=T1083,COUNTIFS($S$6:S1083,S1083,$G$6:G1083,G1083,$D$6:D1083,"Vastgesteld")=1),1,0))</f>
        <v>0</v>
      </c>
      <c r="V1083" s="15">
        <f>IF(T1083="",0,IF(AND(G1083=T1083,COUNTIFS($S$6:S1083,S1083,$G$6:G1083,G1083,$D$6:D1083,"Vastgesteld")&gt;1),1,0))</f>
        <v>0</v>
      </c>
    </row>
    <row r="1084">
      <c r="S1084" s="15" t="str">
        <f>IF(J1084="","",J1084&amp;"|"&amp;E1084&amp;"|"&amp;F1084&amp;"|"&amp;I1084&amp;"|"&amp;O1084)</f>
        <v/>
      </c>
      <c r="T1084" s="15" t="str">
        <f>IF(OR(S1084="",D1084&lt;&gt;"Vastgesteld"),"",_xlfn.MAXIFS($G$6:$G$5005,$S$6:$S$5005,S1084,$D$6:$D$5005,"Vastgesteld"))</f>
        <v/>
      </c>
      <c r="U1084" s="15">
        <f>IF(T1084="",0,IF(AND(G1084=T1084,COUNTIFS($S$6:S1084,S1084,$G$6:G1084,G1084,$D$6:D1084,"Vastgesteld")=1),1,0))</f>
        <v>0</v>
      </c>
      <c r="V1084" s="15">
        <f>IF(T1084="",0,IF(AND(G1084=T1084,COUNTIFS($S$6:S1084,S1084,$G$6:G1084,G1084,$D$6:D1084,"Vastgesteld")&gt;1),1,0))</f>
        <v>0</v>
      </c>
    </row>
    <row r="1085">
      <c r="S1085" s="15" t="str">
        <f>IF(J1085="","",J1085&amp;"|"&amp;E1085&amp;"|"&amp;F1085&amp;"|"&amp;I1085&amp;"|"&amp;O1085)</f>
        <v/>
      </c>
      <c r="T1085" s="15" t="str">
        <f>IF(OR(S1085="",D1085&lt;&gt;"Vastgesteld"),"",_xlfn.MAXIFS($G$6:$G$5005,$S$6:$S$5005,S1085,$D$6:$D$5005,"Vastgesteld"))</f>
        <v/>
      </c>
      <c r="U1085" s="15">
        <f>IF(T1085="",0,IF(AND(G1085=T1085,COUNTIFS($S$6:S1085,S1085,$G$6:G1085,G1085,$D$6:D1085,"Vastgesteld")=1),1,0))</f>
        <v>0</v>
      </c>
      <c r="V1085" s="15">
        <f>IF(T1085="",0,IF(AND(G1085=T1085,COUNTIFS($S$6:S1085,S1085,$G$6:G1085,G1085,$D$6:D1085,"Vastgesteld")&gt;1),1,0))</f>
        <v>0</v>
      </c>
    </row>
    <row r="1086">
      <c r="S1086" s="15" t="str">
        <f>IF(J1086="","",J1086&amp;"|"&amp;E1086&amp;"|"&amp;F1086&amp;"|"&amp;I1086&amp;"|"&amp;O1086)</f>
        <v/>
      </c>
      <c r="T1086" s="15" t="str">
        <f>IF(OR(S1086="",D1086&lt;&gt;"Vastgesteld"),"",_xlfn.MAXIFS($G$6:$G$5005,$S$6:$S$5005,S1086,$D$6:$D$5005,"Vastgesteld"))</f>
        <v/>
      </c>
      <c r="U1086" s="15">
        <f>IF(T1086="",0,IF(AND(G1086=T1086,COUNTIFS($S$6:S1086,S1086,$G$6:G1086,G1086,$D$6:D1086,"Vastgesteld")=1),1,0))</f>
        <v>0</v>
      </c>
      <c r="V1086" s="15">
        <f>IF(T1086="",0,IF(AND(G1086=T1086,COUNTIFS($S$6:S1086,S1086,$G$6:G1086,G1086,$D$6:D1086,"Vastgesteld")&gt;1),1,0))</f>
        <v>0</v>
      </c>
    </row>
    <row r="1087">
      <c r="S1087" s="15" t="str">
        <f>IF(J1087="","",J1087&amp;"|"&amp;E1087&amp;"|"&amp;F1087&amp;"|"&amp;I1087&amp;"|"&amp;O1087)</f>
        <v/>
      </c>
      <c r="T1087" s="15" t="str">
        <f>IF(OR(S1087="",D1087&lt;&gt;"Vastgesteld"),"",_xlfn.MAXIFS($G$6:$G$5005,$S$6:$S$5005,S1087,$D$6:$D$5005,"Vastgesteld"))</f>
        <v/>
      </c>
      <c r="U1087" s="15">
        <f>IF(T1087="",0,IF(AND(G1087=T1087,COUNTIFS($S$6:S1087,S1087,$G$6:G1087,G1087,$D$6:D1087,"Vastgesteld")=1),1,0))</f>
        <v>0</v>
      </c>
      <c r="V1087" s="15">
        <f>IF(T1087="",0,IF(AND(G1087=T1087,COUNTIFS($S$6:S1087,S1087,$G$6:G1087,G1087,$D$6:D1087,"Vastgesteld")&gt;1),1,0))</f>
        <v>0</v>
      </c>
    </row>
    <row r="1088">
      <c r="S1088" s="15" t="str">
        <f>IF(J1088="","",J1088&amp;"|"&amp;E1088&amp;"|"&amp;F1088&amp;"|"&amp;I1088&amp;"|"&amp;O1088)</f>
        <v/>
      </c>
      <c r="T1088" s="15" t="str">
        <f>IF(OR(S1088="",D1088&lt;&gt;"Vastgesteld"),"",_xlfn.MAXIFS($G$6:$G$5005,$S$6:$S$5005,S1088,$D$6:$D$5005,"Vastgesteld"))</f>
        <v/>
      </c>
      <c r="U1088" s="15">
        <f>IF(T1088="",0,IF(AND(G1088=T1088,COUNTIFS($S$6:S1088,S1088,$G$6:G1088,G1088,$D$6:D1088,"Vastgesteld")=1),1,0))</f>
        <v>0</v>
      </c>
      <c r="V1088" s="15">
        <f>IF(T1088="",0,IF(AND(G1088=T1088,COUNTIFS($S$6:S1088,S1088,$G$6:G1088,G1088,$D$6:D1088,"Vastgesteld")&gt;1),1,0))</f>
        <v>0</v>
      </c>
    </row>
    <row r="1089">
      <c r="S1089" s="15" t="str">
        <f>IF(J1089="","",J1089&amp;"|"&amp;E1089&amp;"|"&amp;F1089&amp;"|"&amp;I1089&amp;"|"&amp;O1089)</f>
        <v/>
      </c>
      <c r="T1089" s="15" t="str">
        <f>IF(OR(S1089="",D1089&lt;&gt;"Vastgesteld"),"",_xlfn.MAXIFS($G$6:$G$5005,$S$6:$S$5005,S1089,$D$6:$D$5005,"Vastgesteld"))</f>
        <v/>
      </c>
      <c r="U1089" s="15">
        <f>IF(T1089="",0,IF(AND(G1089=T1089,COUNTIFS($S$6:S1089,S1089,$G$6:G1089,G1089,$D$6:D1089,"Vastgesteld")=1),1,0))</f>
        <v>0</v>
      </c>
      <c r="V1089" s="15">
        <f>IF(T1089="",0,IF(AND(G1089=T1089,COUNTIFS($S$6:S1089,S1089,$G$6:G1089,G1089,$D$6:D1089,"Vastgesteld")&gt;1),1,0))</f>
        <v>0</v>
      </c>
    </row>
    <row r="1090">
      <c r="S1090" s="15" t="str">
        <f>IF(J1090="","",J1090&amp;"|"&amp;E1090&amp;"|"&amp;F1090&amp;"|"&amp;I1090&amp;"|"&amp;O1090)</f>
        <v/>
      </c>
      <c r="T1090" s="15" t="str">
        <f>IF(OR(S1090="",D1090&lt;&gt;"Vastgesteld"),"",_xlfn.MAXIFS($G$6:$G$5005,$S$6:$S$5005,S1090,$D$6:$D$5005,"Vastgesteld"))</f>
        <v/>
      </c>
      <c r="U1090" s="15">
        <f>IF(T1090="",0,IF(AND(G1090=T1090,COUNTIFS($S$6:S1090,S1090,$G$6:G1090,G1090,$D$6:D1090,"Vastgesteld")=1),1,0))</f>
        <v>0</v>
      </c>
      <c r="V1090" s="15">
        <f>IF(T1090="",0,IF(AND(G1090=T1090,COUNTIFS($S$6:S1090,S1090,$G$6:G1090,G1090,$D$6:D1090,"Vastgesteld")&gt;1),1,0))</f>
        <v>0</v>
      </c>
    </row>
    <row r="1091">
      <c r="S1091" s="15" t="str">
        <f>IF(J1091="","",J1091&amp;"|"&amp;E1091&amp;"|"&amp;F1091&amp;"|"&amp;I1091&amp;"|"&amp;O1091)</f>
        <v/>
      </c>
      <c r="T1091" s="15" t="str">
        <f>IF(OR(S1091="",D1091&lt;&gt;"Vastgesteld"),"",_xlfn.MAXIFS($G$6:$G$5005,$S$6:$S$5005,S1091,$D$6:$D$5005,"Vastgesteld"))</f>
        <v/>
      </c>
      <c r="U1091" s="15">
        <f>IF(T1091="",0,IF(AND(G1091=T1091,COUNTIFS($S$6:S1091,S1091,$G$6:G1091,G1091,$D$6:D1091,"Vastgesteld")=1),1,0))</f>
        <v>0</v>
      </c>
      <c r="V1091" s="15">
        <f>IF(T1091="",0,IF(AND(G1091=T1091,COUNTIFS($S$6:S1091,S1091,$G$6:G1091,G1091,$D$6:D1091,"Vastgesteld")&gt;1),1,0))</f>
        <v>0</v>
      </c>
    </row>
    <row r="1092">
      <c r="S1092" s="15" t="str">
        <f>IF(J1092="","",J1092&amp;"|"&amp;E1092&amp;"|"&amp;F1092&amp;"|"&amp;I1092&amp;"|"&amp;O1092)</f>
        <v/>
      </c>
      <c r="T1092" s="15" t="str">
        <f>IF(OR(S1092="",D1092&lt;&gt;"Vastgesteld"),"",_xlfn.MAXIFS($G$6:$G$5005,$S$6:$S$5005,S1092,$D$6:$D$5005,"Vastgesteld"))</f>
        <v/>
      </c>
      <c r="U1092" s="15">
        <f>IF(T1092="",0,IF(AND(G1092=T1092,COUNTIFS($S$6:S1092,S1092,$G$6:G1092,G1092,$D$6:D1092,"Vastgesteld")=1),1,0))</f>
        <v>0</v>
      </c>
      <c r="V1092" s="15">
        <f>IF(T1092="",0,IF(AND(G1092=T1092,COUNTIFS($S$6:S1092,S1092,$G$6:G1092,G1092,$D$6:D1092,"Vastgesteld")&gt;1),1,0))</f>
        <v>0</v>
      </c>
    </row>
    <row r="1093">
      <c r="S1093" s="15" t="str">
        <f>IF(J1093="","",J1093&amp;"|"&amp;E1093&amp;"|"&amp;F1093&amp;"|"&amp;I1093&amp;"|"&amp;O1093)</f>
        <v/>
      </c>
      <c r="T1093" s="15" t="str">
        <f>IF(OR(S1093="",D1093&lt;&gt;"Vastgesteld"),"",_xlfn.MAXIFS($G$6:$G$5005,$S$6:$S$5005,S1093,$D$6:$D$5005,"Vastgesteld"))</f>
        <v/>
      </c>
      <c r="U1093" s="15">
        <f>IF(T1093="",0,IF(AND(G1093=T1093,COUNTIFS($S$6:S1093,S1093,$G$6:G1093,G1093,$D$6:D1093,"Vastgesteld")=1),1,0))</f>
        <v>0</v>
      </c>
      <c r="V1093" s="15">
        <f>IF(T1093="",0,IF(AND(G1093=T1093,COUNTIFS($S$6:S1093,S1093,$G$6:G1093,G1093,$D$6:D1093,"Vastgesteld")&gt;1),1,0))</f>
        <v>0</v>
      </c>
    </row>
    <row r="1094">
      <c r="S1094" s="15" t="str">
        <f>IF(J1094="","",J1094&amp;"|"&amp;E1094&amp;"|"&amp;F1094&amp;"|"&amp;I1094&amp;"|"&amp;O1094)</f>
        <v/>
      </c>
      <c r="T1094" s="15" t="str">
        <f>IF(OR(S1094="",D1094&lt;&gt;"Vastgesteld"),"",_xlfn.MAXIFS($G$6:$G$5005,$S$6:$S$5005,S1094,$D$6:$D$5005,"Vastgesteld"))</f>
        <v/>
      </c>
      <c r="U1094" s="15">
        <f>IF(T1094="",0,IF(AND(G1094=T1094,COUNTIFS($S$6:S1094,S1094,$G$6:G1094,G1094,$D$6:D1094,"Vastgesteld")=1),1,0))</f>
        <v>0</v>
      </c>
      <c r="V1094" s="15">
        <f>IF(T1094="",0,IF(AND(G1094=T1094,COUNTIFS($S$6:S1094,S1094,$G$6:G1094,G1094,$D$6:D1094,"Vastgesteld")&gt;1),1,0))</f>
        <v>0</v>
      </c>
    </row>
    <row r="1095">
      <c r="S1095" s="15" t="str">
        <f>IF(J1095="","",J1095&amp;"|"&amp;E1095&amp;"|"&amp;F1095&amp;"|"&amp;I1095&amp;"|"&amp;O1095)</f>
        <v/>
      </c>
      <c r="T1095" s="15" t="str">
        <f>IF(OR(S1095="",D1095&lt;&gt;"Vastgesteld"),"",_xlfn.MAXIFS($G$6:$G$5005,$S$6:$S$5005,S1095,$D$6:$D$5005,"Vastgesteld"))</f>
        <v/>
      </c>
      <c r="U1095" s="15">
        <f>IF(T1095="",0,IF(AND(G1095=T1095,COUNTIFS($S$6:S1095,S1095,$G$6:G1095,G1095,$D$6:D1095,"Vastgesteld")=1),1,0))</f>
        <v>0</v>
      </c>
      <c r="V1095" s="15">
        <f>IF(T1095="",0,IF(AND(G1095=T1095,COUNTIFS($S$6:S1095,S1095,$G$6:G1095,G1095,$D$6:D1095,"Vastgesteld")&gt;1),1,0))</f>
        <v>0</v>
      </c>
    </row>
    <row r="1096">
      <c r="S1096" s="15" t="str">
        <f>IF(J1096="","",J1096&amp;"|"&amp;E1096&amp;"|"&amp;F1096&amp;"|"&amp;I1096&amp;"|"&amp;O1096)</f>
        <v/>
      </c>
      <c r="T1096" s="15" t="str">
        <f>IF(OR(S1096="",D1096&lt;&gt;"Vastgesteld"),"",_xlfn.MAXIFS($G$6:$G$5005,$S$6:$S$5005,S1096,$D$6:$D$5005,"Vastgesteld"))</f>
        <v/>
      </c>
      <c r="U1096" s="15">
        <f>IF(T1096="",0,IF(AND(G1096=T1096,COUNTIFS($S$6:S1096,S1096,$G$6:G1096,G1096,$D$6:D1096,"Vastgesteld")=1),1,0))</f>
        <v>0</v>
      </c>
      <c r="V1096" s="15">
        <f>IF(T1096="",0,IF(AND(G1096=T1096,COUNTIFS($S$6:S1096,S1096,$G$6:G1096,G1096,$D$6:D1096,"Vastgesteld")&gt;1),1,0))</f>
        <v>0</v>
      </c>
    </row>
    <row r="1097">
      <c r="S1097" s="15" t="str">
        <f>IF(J1097="","",J1097&amp;"|"&amp;E1097&amp;"|"&amp;F1097&amp;"|"&amp;I1097&amp;"|"&amp;O1097)</f>
        <v/>
      </c>
      <c r="T1097" s="15" t="str">
        <f>IF(OR(S1097="",D1097&lt;&gt;"Vastgesteld"),"",_xlfn.MAXIFS($G$6:$G$5005,$S$6:$S$5005,S1097,$D$6:$D$5005,"Vastgesteld"))</f>
        <v/>
      </c>
      <c r="U1097" s="15">
        <f>IF(T1097="",0,IF(AND(G1097=T1097,COUNTIFS($S$6:S1097,S1097,$G$6:G1097,G1097,$D$6:D1097,"Vastgesteld")=1),1,0))</f>
        <v>0</v>
      </c>
      <c r="V1097" s="15">
        <f>IF(T1097="",0,IF(AND(G1097=T1097,COUNTIFS($S$6:S1097,S1097,$G$6:G1097,G1097,$D$6:D1097,"Vastgesteld")&gt;1),1,0))</f>
        <v>0</v>
      </c>
    </row>
    <row r="1098">
      <c r="S1098" s="15" t="str">
        <f>IF(J1098="","",J1098&amp;"|"&amp;E1098&amp;"|"&amp;F1098&amp;"|"&amp;I1098&amp;"|"&amp;O1098)</f>
        <v/>
      </c>
      <c r="T1098" s="15" t="str">
        <f>IF(OR(S1098="",D1098&lt;&gt;"Vastgesteld"),"",_xlfn.MAXIFS($G$6:$G$5005,$S$6:$S$5005,S1098,$D$6:$D$5005,"Vastgesteld"))</f>
        <v/>
      </c>
      <c r="U1098" s="15">
        <f>IF(T1098="",0,IF(AND(G1098=T1098,COUNTIFS($S$6:S1098,S1098,$G$6:G1098,G1098,$D$6:D1098,"Vastgesteld")=1),1,0))</f>
        <v>0</v>
      </c>
      <c r="V1098" s="15">
        <f>IF(T1098="",0,IF(AND(G1098=T1098,COUNTIFS($S$6:S1098,S1098,$G$6:G1098,G1098,$D$6:D1098,"Vastgesteld")&gt;1),1,0))</f>
        <v>0</v>
      </c>
    </row>
    <row r="1099">
      <c r="S1099" s="15" t="str">
        <f>IF(J1099="","",J1099&amp;"|"&amp;E1099&amp;"|"&amp;F1099&amp;"|"&amp;I1099&amp;"|"&amp;O1099)</f>
        <v/>
      </c>
      <c r="T1099" s="15" t="str">
        <f>IF(OR(S1099="",D1099&lt;&gt;"Vastgesteld"),"",_xlfn.MAXIFS($G$6:$G$5005,$S$6:$S$5005,S1099,$D$6:$D$5005,"Vastgesteld"))</f>
        <v/>
      </c>
      <c r="U1099" s="15">
        <f>IF(T1099="",0,IF(AND(G1099=T1099,COUNTIFS($S$6:S1099,S1099,$G$6:G1099,G1099,$D$6:D1099,"Vastgesteld")=1),1,0))</f>
        <v>0</v>
      </c>
      <c r="V1099" s="15">
        <f>IF(T1099="",0,IF(AND(G1099=T1099,COUNTIFS($S$6:S1099,S1099,$G$6:G1099,G1099,$D$6:D1099,"Vastgesteld")&gt;1),1,0))</f>
        <v>0</v>
      </c>
    </row>
    <row r="1100">
      <c r="S1100" s="15" t="str">
        <f>IF(J1100="","",J1100&amp;"|"&amp;E1100&amp;"|"&amp;F1100&amp;"|"&amp;I1100&amp;"|"&amp;O1100)</f>
        <v/>
      </c>
      <c r="T1100" s="15" t="str">
        <f>IF(OR(S1100="",D1100&lt;&gt;"Vastgesteld"),"",_xlfn.MAXIFS($G$6:$G$5005,$S$6:$S$5005,S1100,$D$6:$D$5005,"Vastgesteld"))</f>
        <v/>
      </c>
      <c r="U1100" s="15">
        <f>IF(T1100="",0,IF(AND(G1100=T1100,COUNTIFS($S$6:S1100,S1100,$G$6:G1100,G1100,$D$6:D1100,"Vastgesteld")=1),1,0))</f>
        <v>0</v>
      </c>
      <c r="V1100" s="15">
        <f>IF(T1100="",0,IF(AND(G1100=T1100,COUNTIFS($S$6:S1100,S1100,$G$6:G1100,G1100,$D$6:D1100,"Vastgesteld")&gt;1),1,0))</f>
        <v>0</v>
      </c>
    </row>
    <row r="1101">
      <c r="S1101" s="15" t="str">
        <f>IF(J1101="","",J1101&amp;"|"&amp;E1101&amp;"|"&amp;F1101&amp;"|"&amp;I1101&amp;"|"&amp;O1101)</f>
        <v/>
      </c>
      <c r="T1101" s="15" t="str">
        <f>IF(OR(S1101="",D1101&lt;&gt;"Vastgesteld"),"",_xlfn.MAXIFS($G$6:$G$5005,$S$6:$S$5005,S1101,$D$6:$D$5005,"Vastgesteld"))</f>
        <v/>
      </c>
      <c r="U1101" s="15">
        <f>IF(T1101="",0,IF(AND(G1101=T1101,COUNTIFS($S$6:S1101,S1101,$G$6:G1101,G1101,$D$6:D1101,"Vastgesteld")=1),1,0))</f>
        <v>0</v>
      </c>
      <c r="V1101" s="15">
        <f>IF(T1101="",0,IF(AND(G1101=T1101,COUNTIFS($S$6:S1101,S1101,$G$6:G1101,G1101,$D$6:D1101,"Vastgesteld")&gt;1),1,0))</f>
        <v>0</v>
      </c>
    </row>
    <row r="1102">
      <c r="S1102" s="15" t="str">
        <f>IF(J1102="","",J1102&amp;"|"&amp;E1102&amp;"|"&amp;F1102&amp;"|"&amp;I1102&amp;"|"&amp;O1102)</f>
        <v/>
      </c>
      <c r="T1102" s="15" t="str">
        <f>IF(OR(S1102="",D1102&lt;&gt;"Vastgesteld"),"",_xlfn.MAXIFS($G$6:$G$5005,$S$6:$S$5005,S1102,$D$6:$D$5005,"Vastgesteld"))</f>
        <v/>
      </c>
      <c r="U1102" s="15">
        <f>IF(T1102="",0,IF(AND(G1102=T1102,COUNTIFS($S$6:S1102,S1102,$G$6:G1102,G1102,$D$6:D1102,"Vastgesteld")=1),1,0))</f>
        <v>0</v>
      </c>
      <c r="V1102" s="15">
        <f>IF(T1102="",0,IF(AND(G1102=T1102,COUNTIFS($S$6:S1102,S1102,$G$6:G1102,G1102,$D$6:D1102,"Vastgesteld")&gt;1),1,0))</f>
        <v>0</v>
      </c>
    </row>
    <row r="1103">
      <c r="S1103" s="15" t="str">
        <f>IF(J1103="","",J1103&amp;"|"&amp;E1103&amp;"|"&amp;F1103&amp;"|"&amp;I1103&amp;"|"&amp;O1103)</f>
        <v/>
      </c>
      <c r="T1103" s="15" t="str">
        <f>IF(OR(S1103="",D1103&lt;&gt;"Vastgesteld"),"",_xlfn.MAXIFS($G$6:$G$5005,$S$6:$S$5005,S1103,$D$6:$D$5005,"Vastgesteld"))</f>
        <v/>
      </c>
      <c r="U1103" s="15">
        <f>IF(T1103="",0,IF(AND(G1103=T1103,COUNTIFS($S$6:S1103,S1103,$G$6:G1103,G1103,$D$6:D1103,"Vastgesteld")=1),1,0))</f>
        <v>0</v>
      </c>
      <c r="V1103" s="15">
        <f>IF(T1103="",0,IF(AND(G1103=T1103,COUNTIFS($S$6:S1103,S1103,$G$6:G1103,G1103,$D$6:D1103,"Vastgesteld")&gt;1),1,0))</f>
        <v>0</v>
      </c>
    </row>
    <row r="1104">
      <c r="S1104" s="15" t="str">
        <f>IF(J1104="","",J1104&amp;"|"&amp;E1104&amp;"|"&amp;F1104&amp;"|"&amp;I1104&amp;"|"&amp;O1104)</f>
        <v/>
      </c>
      <c r="T1104" s="15" t="str">
        <f>IF(OR(S1104="",D1104&lt;&gt;"Vastgesteld"),"",_xlfn.MAXIFS($G$6:$G$5005,$S$6:$S$5005,S1104,$D$6:$D$5005,"Vastgesteld"))</f>
        <v/>
      </c>
      <c r="U1104" s="15">
        <f>IF(T1104="",0,IF(AND(G1104=T1104,COUNTIFS($S$6:S1104,S1104,$G$6:G1104,G1104,$D$6:D1104,"Vastgesteld")=1),1,0))</f>
        <v>0</v>
      </c>
      <c r="V1104" s="15">
        <f>IF(T1104="",0,IF(AND(G1104=T1104,COUNTIFS($S$6:S1104,S1104,$G$6:G1104,G1104,$D$6:D1104,"Vastgesteld")&gt;1),1,0))</f>
        <v>0</v>
      </c>
    </row>
    <row r="1105">
      <c r="S1105" s="15" t="str">
        <f>IF(J1105="","",J1105&amp;"|"&amp;E1105&amp;"|"&amp;F1105&amp;"|"&amp;I1105&amp;"|"&amp;O1105)</f>
        <v/>
      </c>
      <c r="T1105" s="15" t="str">
        <f>IF(OR(S1105="",D1105&lt;&gt;"Vastgesteld"),"",_xlfn.MAXIFS($G$6:$G$5005,$S$6:$S$5005,S1105,$D$6:$D$5005,"Vastgesteld"))</f>
        <v/>
      </c>
      <c r="U1105" s="15">
        <f>IF(T1105="",0,IF(AND(G1105=T1105,COUNTIFS($S$6:S1105,S1105,$G$6:G1105,G1105,$D$6:D1105,"Vastgesteld")=1),1,0))</f>
        <v>0</v>
      </c>
      <c r="V1105" s="15">
        <f>IF(T1105="",0,IF(AND(G1105=T1105,COUNTIFS($S$6:S1105,S1105,$G$6:G1105,G1105,$D$6:D1105,"Vastgesteld")&gt;1),1,0))</f>
        <v>0</v>
      </c>
    </row>
    <row r="1106">
      <c r="S1106" s="15" t="str">
        <f>IF(J1106="","",J1106&amp;"|"&amp;E1106&amp;"|"&amp;F1106&amp;"|"&amp;I1106&amp;"|"&amp;O1106)</f>
        <v/>
      </c>
      <c r="T1106" s="15" t="str">
        <f>IF(OR(S1106="",D1106&lt;&gt;"Vastgesteld"),"",_xlfn.MAXIFS($G$6:$G$5005,$S$6:$S$5005,S1106,$D$6:$D$5005,"Vastgesteld"))</f>
        <v/>
      </c>
      <c r="U1106" s="15">
        <f>IF(T1106="",0,IF(AND(G1106=T1106,COUNTIFS($S$6:S1106,S1106,$G$6:G1106,G1106,$D$6:D1106,"Vastgesteld")=1),1,0))</f>
        <v>0</v>
      </c>
      <c r="V1106" s="15">
        <f>IF(T1106="",0,IF(AND(G1106=T1106,COUNTIFS($S$6:S1106,S1106,$G$6:G1106,G1106,$D$6:D1106,"Vastgesteld")&gt;1),1,0))</f>
        <v>0</v>
      </c>
    </row>
    <row r="1107">
      <c r="S1107" s="15" t="str">
        <f>IF(J1107="","",J1107&amp;"|"&amp;E1107&amp;"|"&amp;F1107&amp;"|"&amp;I1107&amp;"|"&amp;O1107)</f>
        <v/>
      </c>
      <c r="T1107" s="15" t="str">
        <f>IF(OR(S1107="",D1107&lt;&gt;"Vastgesteld"),"",_xlfn.MAXIFS($G$6:$G$5005,$S$6:$S$5005,S1107,$D$6:$D$5005,"Vastgesteld"))</f>
        <v/>
      </c>
      <c r="U1107" s="15">
        <f>IF(T1107="",0,IF(AND(G1107=T1107,COUNTIFS($S$6:S1107,S1107,$G$6:G1107,G1107,$D$6:D1107,"Vastgesteld")=1),1,0))</f>
        <v>0</v>
      </c>
      <c r="V1107" s="15">
        <f>IF(T1107="",0,IF(AND(G1107=T1107,COUNTIFS($S$6:S1107,S1107,$G$6:G1107,G1107,$D$6:D1107,"Vastgesteld")&gt;1),1,0))</f>
        <v>0</v>
      </c>
    </row>
    <row r="1108">
      <c r="S1108" s="15" t="str">
        <f>IF(J1108="","",J1108&amp;"|"&amp;E1108&amp;"|"&amp;F1108&amp;"|"&amp;I1108&amp;"|"&amp;O1108)</f>
        <v/>
      </c>
      <c r="T1108" s="15" t="str">
        <f>IF(OR(S1108="",D1108&lt;&gt;"Vastgesteld"),"",_xlfn.MAXIFS($G$6:$G$5005,$S$6:$S$5005,S1108,$D$6:$D$5005,"Vastgesteld"))</f>
        <v/>
      </c>
      <c r="U1108" s="15">
        <f>IF(T1108="",0,IF(AND(G1108=T1108,COUNTIFS($S$6:S1108,S1108,$G$6:G1108,G1108,$D$6:D1108,"Vastgesteld")=1),1,0))</f>
        <v>0</v>
      </c>
      <c r="V1108" s="15">
        <f>IF(T1108="",0,IF(AND(G1108=T1108,COUNTIFS($S$6:S1108,S1108,$G$6:G1108,G1108,$D$6:D1108,"Vastgesteld")&gt;1),1,0))</f>
        <v>0</v>
      </c>
    </row>
    <row r="1109">
      <c r="S1109" s="15" t="str">
        <f>IF(J1109="","",J1109&amp;"|"&amp;E1109&amp;"|"&amp;F1109&amp;"|"&amp;I1109&amp;"|"&amp;O1109)</f>
        <v/>
      </c>
      <c r="T1109" s="15" t="str">
        <f>IF(OR(S1109="",D1109&lt;&gt;"Vastgesteld"),"",_xlfn.MAXIFS($G$6:$G$5005,$S$6:$S$5005,S1109,$D$6:$D$5005,"Vastgesteld"))</f>
        <v/>
      </c>
      <c r="U1109" s="15">
        <f>IF(T1109="",0,IF(AND(G1109=T1109,COUNTIFS($S$6:S1109,S1109,$G$6:G1109,G1109,$D$6:D1109,"Vastgesteld")=1),1,0))</f>
        <v>0</v>
      </c>
      <c r="V1109" s="15">
        <f>IF(T1109="",0,IF(AND(G1109=T1109,COUNTIFS($S$6:S1109,S1109,$G$6:G1109,G1109,$D$6:D1109,"Vastgesteld")&gt;1),1,0))</f>
        <v>0</v>
      </c>
    </row>
    <row r="1110">
      <c r="S1110" s="15" t="str">
        <f>IF(J1110="","",J1110&amp;"|"&amp;E1110&amp;"|"&amp;F1110&amp;"|"&amp;I1110&amp;"|"&amp;O1110)</f>
        <v/>
      </c>
      <c r="T1110" s="15" t="str">
        <f>IF(OR(S1110="",D1110&lt;&gt;"Vastgesteld"),"",_xlfn.MAXIFS($G$6:$G$5005,$S$6:$S$5005,S1110,$D$6:$D$5005,"Vastgesteld"))</f>
        <v/>
      </c>
      <c r="U1110" s="15">
        <f>IF(T1110="",0,IF(AND(G1110=T1110,COUNTIFS($S$6:S1110,S1110,$G$6:G1110,G1110,$D$6:D1110,"Vastgesteld")=1),1,0))</f>
        <v>0</v>
      </c>
      <c r="V1110" s="15">
        <f>IF(T1110="",0,IF(AND(G1110=T1110,COUNTIFS($S$6:S1110,S1110,$G$6:G1110,G1110,$D$6:D1110,"Vastgesteld")&gt;1),1,0))</f>
        <v>0</v>
      </c>
    </row>
    <row r="1111">
      <c r="S1111" s="15" t="str">
        <f>IF(J1111="","",J1111&amp;"|"&amp;E1111&amp;"|"&amp;F1111&amp;"|"&amp;I1111&amp;"|"&amp;O1111)</f>
        <v/>
      </c>
      <c r="T1111" s="15" t="str">
        <f>IF(OR(S1111="",D1111&lt;&gt;"Vastgesteld"),"",_xlfn.MAXIFS($G$6:$G$5005,$S$6:$S$5005,S1111,$D$6:$D$5005,"Vastgesteld"))</f>
        <v/>
      </c>
      <c r="U1111" s="15">
        <f>IF(T1111="",0,IF(AND(G1111=T1111,COUNTIFS($S$6:S1111,S1111,$G$6:G1111,G1111,$D$6:D1111,"Vastgesteld")=1),1,0))</f>
        <v>0</v>
      </c>
      <c r="V1111" s="15">
        <f>IF(T1111="",0,IF(AND(G1111=T1111,COUNTIFS($S$6:S1111,S1111,$G$6:G1111,G1111,$D$6:D1111,"Vastgesteld")&gt;1),1,0))</f>
        <v>0</v>
      </c>
    </row>
    <row r="1112">
      <c r="S1112" s="15" t="str">
        <f>IF(J1112="","",J1112&amp;"|"&amp;E1112&amp;"|"&amp;F1112&amp;"|"&amp;I1112&amp;"|"&amp;O1112)</f>
        <v/>
      </c>
      <c r="T1112" s="15" t="str">
        <f>IF(OR(S1112="",D1112&lt;&gt;"Vastgesteld"),"",_xlfn.MAXIFS($G$6:$G$5005,$S$6:$S$5005,S1112,$D$6:$D$5005,"Vastgesteld"))</f>
        <v/>
      </c>
      <c r="U1112" s="15">
        <f>IF(T1112="",0,IF(AND(G1112=T1112,COUNTIFS($S$6:S1112,S1112,$G$6:G1112,G1112,$D$6:D1112,"Vastgesteld")=1),1,0))</f>
        <v>0</v>
      </c>
      <c r="V1112" s="15">
        <f>IF(T1112="",0,IF(AND(G1112=T1112,COUNTIFS($S$6:S1112,S1112,$G$6:G1112,G1112,$D$6:D1112,"Vastgesteld")&gt;1),1,0))</f>
        <v>0</v>
      </c>
    </row>
    <row r="1113">
      <c r="S1113" s="15" t="str">
        <f>IF(J1113="","",J1113&amp;"|"&amp;E1113&amp;"|"&amp;F1113&amp;"|"&amp;I1113&amp;"|"&amp;O1113)</f>
        <v/>
      </c>
      <c r="T1113" s="15" t="str">
        <f>IF(OR(S1113="",D1113&lt;&gt;"Vastgesteld"),"",_xlfn.MAXIFS($G$6:$G$5005,$S$6:$S$5005,S1113,$D$6:$D$5005,"Vastgesteld"))</f>
        <v/>
      </c>
      <c r="U1113" s="15">
        <f>IF(T1113="",0,IF(AND(G1113=T1113,COUNTIFS($S$6:S1113,S1113,$G$6:G1113,G1113,$D$6:D1113,"Vastgesteld")=1),1,0))</f>
        <v>0</v>
      </c>
      <c r="V1113" s="15">
        <f>IF(T1113="",0,IF(AND(G1113=T1113,COUNTIFS($S$6:S1113,S1113,$G$6:G1113,G1113,$D$6:D1113,"Vastgesteld")&gt;1),1,0))</f>
        <v>0</v>
      </c>
    </row>
    <row r="1114">
      <c r="S1114" s="15" t="str">
        <f>IF(J1114="","",J1114&amp;"|"&amp;E1114&amp;"|"&amp;F1114&amp;"|"&amp;I1114&amp;"|"&amp;O1114)</f>
        <v/>
      </c>
      <c r="T1114" s="15" t="str">
        <f>IF(OR(S1114="",D1114&lt;&gt;"Vastgesteld"),"",_xlfn.MAXIFS($G$6:$G$5005,$S$6:$S$5005,S1114,$D$6:$D$5005,"Vastgesteld"))</f>
        <v/>
      </c>
      <c r="U1114" s="15">
        <f>IF(T1114="",0,IF(AND(G1114=T1114,COUNTIFS($S$6:S1114,S1114,$G$6:G1114,G1114,$D$6:D1114,"Vastgesteld")=1),1,0))</f>
        <v>0</v>
      </c>
      <c r="V1114" s="15">
        <f>IF(T1114="",0,IF(AND(G1114=T1114,COUNTIFS($S$6:S1114,S1114,$G$6:G1114,G1114,$D$6:D1114,"Vastgesteld")&gt;1),1,0))</f>
        <v>0</v>
      </c>
    </row>
    <row r="1115">
      <c r="S1115" s="15" t="str">
        <f>IF(J1115="","",J1115&amp;"|"&amp;E1115&amp;"|"&amp;F1115&amp;"|"&amp;I1115&amp;"|"&amp;O1115)</f>
        <v/>
      </c>
      <c r="T1115" s="15" t="str">
        <f>IF(OR(S1115="",D1115&lt;&gt;"Vastgesteld"),"",_xlfn.MAXIFS($G$6:$G$5005,$S$6:$S$5005,S1115,$D$6:$D$5005,"Vastgesteld"))</f>
        <v/>
      </c>
      <c r="U1115" s="15">
        <f>IF(T1115="",0,IF(AND(G1115=T1115,COUNTIFS($S$6:S1115,S1115,$G$6:G1115,G1115,$D$6:D1115,"Vastgesteld")=1),1,0))</f>
        <v>0</v>
      </c>
      <c r="V1115" s="15">
        <f>IF(T1115="",0,IF(AND(G1115=T1115,COUNTIFS($S$6:S1115,S1115,$G$6:G1115,G1115,$D$6:D1115,"Vastgesteld")&gt;1),1,0))</f>
        <v>0</v>
      </c>
    </row>
    <row r="1116">
      <c r="S1116" s="15" t="str">
        <f>IF(J1116="","",J1116&amp;"|"&amp;E1116&amp;"|"&amp;F1116&amp;"|"&amp;I1116&amp;"|"&amp;O1116)</f>
        <v/>
      </c>
      <c r="T1116" s="15" t="str">
        <f>IF(OR(S1116="",D1116&lt;&gt;"Vastgesteld"),"",_xlfn.MAXIFS($G$6:$G$5005,$S$6:$S$5005,S1116,$D$6:$D$5005,"Vastgesteld"))</f>
        <v/>
      </c>
      <c r="U1116" s="15">
        <f>IF(T1116="",0,IF(AND(G1116=T1116,COUNTIFS($S$6:S1116,S1116,$G$6:G1116,G1116,$D$6:D1116,"Vastgesteld")=1),1,0))</f>
        <v>0</v>
      </c>
      <c r="V1116" s="15">
        <f>IF(T1116="",0,IF(AND(G1116=T1116,COUNTIFS($S$6:S1116,S1116,$G$6:G1116,G1116,$D$6:D1116,"Vastgesteld")&gt;1),1,0))</f>
        <v>0</v>
      </c>
    </row>
    <row r="1117">
      <c r="S1117" s="15" t="str">
        <f>IF(J1117="","",J1117&amp;"|"&amp;E1117&amp;"|"&amp;F1117&amp;"|"&amp;I1117&amp;"|"&amp;O1117)</f>
        <v/>
      </c>
      <c r="T1117" s="15" t="str">
        <f>IF(OR(S1117="",D1117&lt;&gt;"Vastgesteld"),"",_xlfn.MAXIFS($G$6:$G$5005,$S$6:$S$5005,S1117,$D$6:$D$5005,"Vastgesteld"))</f>
        <v/>
      </c>
      <c r="U1117" s="15">
        <f>IF(T1117="",0,IF(AND(G1117=T1117,COUNTIFS($S$6:S1117,S1117,$G$6:G1117,G1117,$D$6:D1117,"Vastgesteld")=1),1,0))</f>
        <v>0</v>
      </c>
      <c r="V1117" s="15">
        <f>IF(T1117="",0,IF(AND(G1117=T1117,COUNTIFS($S$6:S1117,S1117,$G$6:G1117,G1117,$D$6:D1117,"Vastgesteld")&gt;1),1,0))</f>
        <v>0</v>
      </c>
    </row>
    <row r="1118">
      <c r="S1118" s="15" t="str">
        <f>IF(J1118="","",J1118&amp;"|"&amp;E1118&amp;"|"&amp;F1118&amp;"|"&amp;I1118&amp;"|"&amp;O1118)</f>
        <v/>
      </c>
      <c r="T1118" s="15" t="str">
        <f>IF(OR(S1118="",D1118&lt;&gt;"Vastgesteld"),"",_xlfn.MAXIFS($G$6:$G$5005,$S$6:$S$5005,S1118,$D$6:$D$5005,"Vastgesteld"))</f>
        <v/>
      </c>
      <c r="U1118" s="15">
        <f>IF(T1118="",0,IF(AND(G1118=T1118,COUNTIFS($S$6:S1118,S1118,$G$6:G1118,G1118,$D$6:D1118,"Vastgesteld")=1),1,0))</f>
        <v>0</v>
      </c>
      <c r="V1118" s="15">
        <f>IF(T1118="",0,IF(AND(G1118=T1118,COUNTIFS($S$6:S1118,S1118,$G$6:G1118,G1118,$D$6:D1118,"Vastgesteld")&gt;1),1,0))</f>
        <v>0</v>
      </c>
    </row>
    <row r="1119">
      <c r="S1119" s="15" t="str">
        <f>IF(J1119="","",J1119&amp;"|"&amp;E1119&amp;"|"&amp;F1119&amp;"|"&amp;I1119&amp;"|"&amp;O1119)</f>
        <v/>
      </c>
      <c r="T1119" s="15" t="str">
        <f>IF(OR(S1119="",D1119&lt;&gt;"Vastgesteld"),"",_xlfn.MAXIFS($G$6:$G$5005,$S$6:$S$5005,S1119,$D$6:$D$5005,"Vastgesteld"))</f>
        <v/>
      </c>
      <c r="U1119" s="15">
        <f>IF(T1119="",0,IF(AND(G1119=T1119,COUNTIFS($S$6:S1119,S1119,$G$6:G1119,G1119,$D$6:D1119,"Vastgesteld")=1),1,0))</f>
        <v>0</v>
      </c>
      <c r="V1119" s="15">
        <f>IF(T1119="",0,IF(AND(G1119=T1119,COUNTIFS($S$6:S1119,S1119,$G$6:G1119,G1119,$D$6:D1119,"Vastgesteld")&gt;1),1,0))</f>
        <v>0</v>
      </c>
    </row>
    <row r="1120">
      <c r="S1120" s="15" t="str">
        <f>IF(J1120="","",J1120&amp;"|"&amp;E1120&amp;"|"&amp;F1120&amp;"|"&amp;I1120&amp;"|"&amp;O1120)</f>
        <v/>
      </c>
      <c r="T1120" s="15" t="str">
        <f>IF(OR(S1120="",D1120&lt;&gt;"Vastgesteld"),"",_xlfn.MAXIFS($G$6:$G$5005,$S$6:$S$5005,S1120,$D$6:$D$5005,"Vastgesteld"))</f>
        <v/>
      </c>
      <c r="U1120" s="15">
        <f>IF(T1120="",0,IF(AND(G1120=T1120,COUNTIFS($S$6:S1120,S1120,$G$6:G1120,G1120,$D$6:D1120,"Vastgesteld")=1),1,0))</f>
        <v>0</v>
      </c>
      <c r="V1120" s="15">
        <f>IF(T1120="",0,IF(AND(G1120=T1120,COUNTIFS($S$6:S1120,S1120,$G$6:G1120,G1120,$D$6:D1120,"Vastgesteld")&gt;1),1,0))</f>
        <v>0</v>
      </c>
    </row>
    <row r="1121">
      <c r="S1121" s="15" t="str">
        <f>IF(J1121="","",J1121&amp;"|"&amp;E1121&amp;"|"&amp;F1121&amp;"|"&amp;I1121&amp;"|"&amp;O1121)</f>
        <v/>
      </c>
      <c r="T1121" s="15" t="str">
        <f>IF(OR(S1121="",D1121&lt;&gt;"Vastgesteld"),"",_xlfn.MAXIFS($G$6:$G$5005,$S$6:$S$5005,S1121,$D$6:$D$5005,"Vastgesteld"))</f>
        <v/>
      </c>
      <c r="U1121" s="15">
        <f>IF(T1121="",0,IF(AND(G1121=T1121,COUNTIFS($S$6:S1121,S1121,$G$6:G1121,G1121,$D$6:D1121,"Vastgesteld")=1),1,0))</f>
        <v>0</v>
      </c>
      <c r="V1121" s="15">
        <f>IF(T1121="",0,IF(AND(G1121=T1121,COUNTIFS($S$6:S1121,S1121,$G$6:G1121,G1121,$D$6:D1121,"Vastgesteld")&gt;1),1,0))</f>
        <v>0</v>
      </c>
    </row>
    <row r="1122">
      <c r="S1122" s="15" t="str">
        <f>IF(J1122="","",J1122&amp;"|"&amp;E1122&amp;"|"&amp;F1122&amp;"|"&amp;I1122&amp;"|"&amp;O1122)</f>
        <v/>
      </c>
      <c r="T1122" s="15" t="str">
        <f>IF(OR(S1122="",D1122&lt;&gt;"Vastgesteld"),"",_xlfn.MAXIFS($G$6:$G$5005,$S$6:$S$5005,S1122,$D$6:$D$5005,"Vastgesteld"))</f>
        <v/>
      </c>
      <c r="U1122" s="15">
        <f>IF(T1122="",0,IF(AND(G1122=T1122,COUNTIFS($S$6:S1122,S1122,$G$6:G1122,G1122,$D$6:D1122,"Vastgesteld")=1),1,0))</f>
        <v>0</v>
      </c>
      <c r="V1122" s="15">
        <f>IF(T1122="",0,IF(AND(G1122=T1122,COUNTIFS($S$6:S1122,S1122,$G$6:G1122,G1122,$D$6:D1122,"Vastgesteld")&gt;1),1,0))</f>
        <v>0</v>
      </c>
    </row>
    <row r="1123">
      <c r="S1123" s="15" t="str">
        <f>IF(J1123="","",J1123&amp;"|"&amp;E1123&amp;"|"&amp;F1123&amp;"|"&amp;I1123&amp;"|"&amp;O1123)</f>
        <v/>
      </c>
      <c r="T1123" s="15" t="str">
        <f>IF(OR(S1123="",D1123&lt;&gt;"Vastgesteld"),"",_xlfn.MAXIFS($G$6:$G$5005,$S$6:$S$5005,S1123,$D$6:$D$5005,"Vastgesteld"))</f>
        <v/>
      </c>
      <c r="U1123" s="15">
        <f>IF(T1123="",0,IF(AND(G1123=T1123,COUNTIFS($S$6:S1123,S1123,$G$6:G1123,G1123,$D$6:D1123,"Vastgesteld")=1),1,0))</f>
        <v>0</v>
      </c>
      <c r="V1123" s="15">
        <f>IF(T1123="",0,IF(AND(G1123=T1123,COUNTIFS($S$6:S1123,S1123,$G$6:G1123,G1123,$D$6:D1123,"Vastgesteld")&gt;1),1,0))</f>
        <v>0</v>
      </c>
    </row>
    <row r="1124">
      <c r="S1124" s="15" t="str">
        <f>IF(J1124="","",J1124&amp;"|"&amp;E1124&amp;"|"&amp;F1124&amp;"|"&amp;I1124&amp;"|"&amp;O1124)</f>
        <v/>
      </c>
      <c r="T1124" s="15" t="str">
        <f>IF(OR(S1124="",D1124&lt;&gt;"Vastgesteld"),"",_xlfn.MAXIFS($G$6:$G$5005,$S$6:$S$5005,S1124,$D$6:$D$5005,"Vastgesteld"))</f>
        <v/>
      </c>
      <c r="U1124" s="15">
        <f>IF(T1124="",0,IF(AND(G1124=T1124,COUNTIFS($S$6:S1124,S1124,$G$6:G1124,G1124,$D$6:D1124,"Vastgesteld")=1),1,0))</f>
        <v>0</v>
      </c>
      <c r="V1124" s="15">
        <f>IF(T1124="",0,IF(AND(G1124=T1124,COUNTIFS($S$6:S1124,S1124,$G$6:G1124,G1124,$D$6:D1124,"Vastgesteld")&gt;1),1,0))</f>
        <v>0</v>
      </c>
    </row>
    <row r="1125">
      <c r="S1125" s="15" t="str">
        <f>IF(J1125="","",J1125&amp;"|"&amp;E1125&amp;"|"&amp;F1125&amp;"|"&amp;I1125&amp;"|"&amp;O1125)</f>
        <v/>
      </c>
      <c r="T1125" s="15" t="str">
        <f>IF(OR(S1125="",D1125&lt;&gt;"Vastgesteld"),"",_xlfn.MAXIFS($G$6:$G$5005,$S$6:$S$5005,S1125,$D$6:$D$5005,"Vastgesteld"))</f>
        <v/>
      </c>
      <c r="U1125" s="15">
        <f>IF(T1125="",0,IF(AND(G1125=T1125,COUNTIFS($S$6:S1125,S1125,$G$6:G1125,G1125,$D$6:D1125,"Vastgesteld")=1),1,0))</f>
        <v>0</v>
      </c>
      <c r="V1125" s="15">
        <f>IF(T1125="",0,IF(AND(G1125=T1125,COUNTIFS($S$6:S1125,S1125,$G$6:G1125,G1125,$D$6:D1125,"Vastgesteld")&gt;1),1,0))</f>
        <v>0</v>
      </c>
    </row>
    <row r="1126">
      <c r="S1126" s="15" t="str">
        <f>IF(J1126="","",J1126&amp;"|"&amp;E1126&amp;"|"&amp;F1126&amp;"|"&amp;I1126&amp;"|"&amp;O1126)</f>
        <v/>
      </c>
      <c r="T1126" s="15" t="str">
        <f>IF(OR(S1126="",D1126&lt;&gt;"Vastgesteld"),"",_xlfn.MAXIFS($G$6:$G$5005,$S$6:$S$5005,S1126,$D$6:$D$5005,"Vastgesteld"))</f>
        <v/>
      </c>
      <c r="U1126" s="15">
        <f>IF(T1126="",0,IF(AND(G1126=T1126,COUNTIFS($S$6:S1126,S1126,$G$6:G1126,G1126,$D$6:D1126,"Vastgesteld")=1),1,0))</f>
        <v>0</v>
      </c>
      <c r="V1126" s="15">
        <f>IF(T1126="",0,IF(AND(G1126=T1126,COUNTIFS($S$6:S1126,S1126,$G$6:G1126,G1126,$D$6:D1126,"Vastgesteld")&gt;1),1,0))</f>
        <v>0</v>
      </c>
    </row>
    <row r="1127">
      <c r="S1127" s="15" t="str">
        <f>IF(J1127="","",J1127&amp;"|"&amp;E1127&amp;"|"&amp;F1127&amp;"|"&amp;I1127&amp;"|"&amp;O1127)</f>
        <v/>
      </c>
      <c r="T1127" s="15" t="str">
        <f>IF(OR(S1127="",D1127&lt;&gt;"Vastgesteld"),"",_xlfn.MAXIFS($G$6:$G$5005,$S$6:$S$5005,S1127,$D$6:$D$5005,"Vastgesteld"))</f>
        <v/>
      </c>
      <c r="U1127" s="15">
        <f>IF(T1127="",0,IF(AND(G1127=T1127,COUNTIFS($S$6:S1127,S1127,$G$6:G1127,G1127,$D$6:D1127,"Vastgesteld")=1),1,0))</f>
        <v>0</v>
      </c>
      <c r="V1127" s="15">
        <f>IF(T1127="",0,IF(AND(G1127=T1127,COUNTIFS($S$6:S1127,S1127,$G$6:G1127,G1127,$D$6:D1127,"Vastgesteld")&gt;1),1,0))</f>
        <v>0</v>
      </c>
    </row>
    <row r="1128">
      <c r="S1128" s="15" t="str">
        <f>IF(J1128="","",J1128&amp;"|"&amp;E1128&amp;"|"&amp;F1128&amp;"|"&amp;I1128&amp;"|"&amp;O1128)</f>
        <v/>
      </c>
      <c r="T1128" s="15" t="str">
        <f>IF(OR(S1128="",D1128&lt;&gt;"Vastgesteld"),"",_xlfn.MAXIFS($G$6:$G$5005,$S$6:$S$5005,S1128,$D$6:$D$5005,"Vastgesteld"))</f>
        <v/>
      </c>
      <c r="U1128" s="15">
        <f>IF(T1128="",0,IF(AND(G1128=T1128,COUNTIFS($S$6:S1128,S1128,$G$6:G1128,G1128,$D$6:D1128,"Vastgesteld")=1),1,0))</f>
        <v>0</v>
      </c>
      <c r="V1128" s="15">
        <f>IF(T1128="",0,IF(AND(G1128=T1128,COUNTIFS($S$6:S1128,S1128,$G$6:G1128,G1128,$D$6:D1128,"Vastgesteld")&gt;1),1,0))</f>
        <v>0</v>
      </c>
    </row>
    <row r="1129">
      <c r="S1129" s="15" t="str">
        <f>IF(J1129="","",J1129&amp;"|"&amp;E1129&amp;"|"&amp;F1129&amp;"|"&amp;I1129&amp;"|"&amp;O1129)</f>
        <v/>
      </c>
      <c r="T1129" s="15" t="str">
        <f>IF(OR(S1129="",D1129&lt;&gt;"Vastgesteld"),"",_xlfn.MAXIFS($G$6:$G$5005,$S$6:$S$5005,S1129,$D$6:$D$5005,"Vastgesteld"))</f>
        <v/>
      </c>
      <c r="U1129" s="15">
        <f>IF(T1129="",0,IF(AND(G1129=T1129,COUNTIFS($S$6:S1129,S1129,$G$6:G1129,G1129,$D$6:D1129,"Vastgesteld")=1),1,0))</f>
        <v>0</v>
      </c>
      <c r="V1129" s="15">
        <f>IF(T1129="",0,IF(AND(G1129=T1129,COUNTIFS($S$6:S1129,S1129,$G$6:G1129,G1129,$D$6:D1129,"Vastgesteld")&gt;1),1,0))</f>
        <v>0</v>
      </c>
    </row>
    <row r="1130">
      <c r="S1130" s="15" t="str">
        <f>IF(J1130="","",J1130&amp;"|"&amp;E1130&amp;"|"&amp;F1130&amp;"|"&amp;I1130&amp;"|"&amp;O1130)</f>
        <v/>
      </c>
      <c r="T1130" s="15" t="str">
        <f>IF(OR(S1130="",D1130&lt;&gt;"Vastgesteld"),"",_xlfn.MAXIFS($G$6:$G$5005,$S$6:$S$5005,S1130,$D$6:$D$5005,"Vastgesteld"))</f>
        <v/>
      </c>
      <c r="U1130" s="15">
        <f>IF(T1130="",0,IF(AND(G1130=T1130,COUNTIFS($S$6:S1130,S1130,$G$6:G1130,G1130,$D$6:D1130,"Vastgesteld")=1),1,0))</f>
        <v>0</v>
      </c>
      <c r="V1130" s="15">
        <f>IF(T1130="",0,IF(AND(G1130=T1130,COUNTIFS($S$6:S1130,S1130,$G$6:G1130,G1130,$D$6:D1130,"Vastgesteld")&gt;1),1,0))</f>
        <v>0</v>
      </c>
    </row>
    <row r="1131">
      <c r="S1131" s="15" t="str">
        <f>IF(J1131="","",J1131&amp;"|"&amp;E1131&amp;"|"&amp;F1131&amp;"|"&amp;I1131&amp;"|"&amp;O1131)</f>
        <v/>
      </c>
      <c r="T1131" s="15" t="str">
        <f>IF(OR(S1131="",D1131&lt;&gt;"Vastgesteld"),"",_xlfn.MAXIFS($G$6:$G$5005,$S$6:$S$5005,S1131,$D$6:$D$5005,"Vastgesteld"))</f>
        <v/>
      </c>
      <c r="U1131" s="15">
        <f>IF(T1131="",0,IF(AND(G1131=T1131,COUNTIFS($S$6:S1131,S1131,$G$6:G1131,G1131,$D$6:D1131,"Vastgesteld")=1),1,0))</f>
        <v>0</v>
      </c>
      <c r="V1131" s="15">
        <f>IF(T1131="",0,IF(AND(G1131=T1131,COUNTIFS($S$6:S1131,S1131,$G$6:G1131,G1131,$D$6:D1131,"Vastgesteld")&gt;1),1,0))</f>
        <v>0</v>
      </c>
    </row>
    <row r="1132">
      <c r="S1132" s="15" t="str">
        <f>IF(J1132="","",J1132&amp;"|"&amp;E1132&amp;"|"&amp;F1132&amp;"|"&amp;I1132&amp;"|"&amp;O1132)</f>
        <v/>
      </c>
      <c r="T1132" s="15" t="str">
        <f>IF(OR(S1132="",D1132&lt;&gt;"Vastgesteld"),"",_xlfn.MAXIFS($G$6:$G$5005,$S$6:$S$5005,S1132,$D$6:$D$5005,"Vastgesteld"))</f>
        <v/>
      </c>
      <c r="U1132" s="15">
        <f>IF(T1132="",0,IF(AND(G1132=T1132,COUNTIFS($S$6:S1132,S1132,$G$6:G1132,G1132,$D$6:D1132,"Vastgesteld")=1),1,0))</f>
        <v>0</v>
      </c>
      <c r="V1132" s="15">
        <f>IF(T1132="",0,IF(AND(G1132=T1132,COUNTIFS($S$6:S1132,S1132,$G$6:G1132,G1132,$D$6:D1132,"Vastgesteld")&gt;1),1,0))</f>
        <v>0</v>
      </c>
    </row>
    <row r="1133">
      <c r="S1133" s="15" t="str">
        <f>IF(J1133="","",J1133&amp;"|"&amp;E1133&amp;"|"&amp;F1133&amp;"|"&amp;I1133&amp;"|"&amp;O1133)</f>
        <v/>
      </c>
      <c r="T1133" s="15" t="str">
        <f>IF(OR(S1133="",D1133&lt;&gt;"Vastgesteld"),"",_xlfn.MAXIFS($G$6:$G$5005,$S$6:$S$5005,S1133,$D$6:$D$5005,"Vastgesteld"))</f>
        <v/>
      </c>
      <c r="U1133" s="15">
        <f>IF(T1133="",0,IF(AND(G1133=T1133,COUNTIFS($S$6:S1133,S1133,$G$6:G1133,G1133,$D$6:D1133,"Vastgesteld")=1),1,0))</f>
        <v>0</v>
      </c>
      <c r="V1133" s="15">
        <f>IF(T1133="",0,IF(AND(G1133=T1133,COUNTIFS($S$6:S1133,S1133,$G$6:G1133,G1133,$D$6:D1133,"Vastgesteld")&gt;1),1,0))</f>
        <v>0</v>
      </c>
    </row>
    <row r="1134">
      <c r="S1134" s="15" t="str">
        <f>IF(J1134="","",J1134&amp;"|"&amp;E1134&amp;"|"&amp;F1134&amp;"|"&amp;I1134&amp;"|"&amp;O1134)</f>
        <v/>
      </c>
      <c r="T1134" s="15" t="str">
        <f>IF(OR(S1134="",D1134&lt;&gt;"Vastgesteld"),"",_xlfn.MAXIFS($G$6:$G$5005,$S$6:$S$5005,S1134,$D$6:$D$5005,"Vastgesteld"))</f>
        <v/>
      </c>
      <c r="U1134" s="15">
        <f>IF(T1134="",0,IF(AND(G1134=T1134,COUNTIFS($S$6:S1134,S1134,$G$6:G1134,G1134,$D$6:D1134,"Vastgesteld")=1),1,0))</f>
        <v>0</v>
      </c>
      <c r="V1134" s="15">
        <f>IF(T1134="",0,IF(AND(G1134=T1134,COUNTIFS($S$6:S1134,S1134,$G$6:G1134,G1134,$D$6:D1134,"Vastgesteld")&gt;1),1,0))</f>
        <v>0</v>
      </c>
    </row>
    <row r="1135">
      <c r="S1135" s="15" t="str">
        <f>IF(J1135="","",J1135&amp;"|"&amp;E1135&amp;"|"&amp;F1135&amp;"|"&amp;I1135&amp;"|"&amp;O1135)</f>
        <v/>
      </c>
      <c r="T1135" s="15" t="str">
        <f>IF(OR(S1135="",D1135&lt;&gt;"Vastgesteld"),"",_xlfn.MAXIFS($G$6:$G$5005,$S$6:$S$5005,S1135,$D$6:$D$5005,"Vastgesteld"))</f>
        <v/>
      </c>
      <c r="U1135" s="15">
        <f>IF(T1135="",0,IF(AND(G1135=T1135,COUNTIFS($S$6:S1135,S1135,$G$6:G1135,G1135,$D$6:D1135,"Vastgesteld")=1),1,0))</f>
        <v>0</v>
      </c>
      <c r="V1135" s="15">
        <f>IF(T1135="",0,IF(AND(G1135=T1135,COUNTIFS($S$6:S1135,S1135,$G$6:G1135,G1135,$D$6:D1135,"Vastgesteld")&gt;1),1,0))</f>
        <v>0</v>
      </c>
    </row>
    <row r="1136">
      <c r="S1136" s="15" t="str">
        <f>IF(J1136="","",J1136&amp;"|"&amp;E1136&amp;"|"&amp;F1136&amp;"|"&amp;I1136&amp;"|"&amp;O1136)</f>
        <v/>
      </c>
      <c r="T1136" s="15" t="str">
        <f>IF(OR(S1136="",D1136&lt;&gt;"Vastgesteld"),"",_xlfn.MAXIFS($G$6:$G$5005,$S$6:$S$5005,S1136,$D$6:$D$5005,"Vastgesteld"))</f>
        <v/>
      </c>
      <c r="U1136" s="15">
        <f>IF(T1136="",0,IF(AND(G1136=T1136,COUNTIFS($S$6:S1136,S1136,$G$6:G1136,G1136,$D$6:D1136,"Vastgesteld")=1),1,0))</f>
        <v>0</v>
      </c>
      <c r="V1136" s="15">
        <f>IF(T1136="",0,IF(AND(G1136=T1136,COUNTIFS($S$6:S1136,S1136,$G$6:G1136,G1136,$D$6:D1136,"Vastgesteld")&gt;1),1,0))</f>
        <v>0</v>
      </c>
    </row>
    <row r="1137">
      <c r="S1137" s="15" t="str">
        <f>IF(J1137="","",J1137&amp;"|"&amp;E1137&amp;"|"&amp;F1137&amp;"|"&amp;I1137&amp;"|"&amp;O1137)</f>
        <v/>
      </c>
      <c r="T1137" s="15" t="str">
        <f>IF(OR(S1137="",D1137&lt;&gt;"Vastgesteld"),"",_xlfn.MAXIFS($G$6:$G$5005,$S$6:$S$5005,S1137,$D$6:$D$5005,"Vastgesteld"))</f>
        <v/>
      </c>
      <c r="U1137" s="15">
        <f>IF(T1137="",0,IF(AND(G1137=T1137,COUNTIFS($S$6:S1137,S1137,$G$6:G1137,G1137,$D$6:D1137,"Vastgesteld")=1),1,0))</f>
        <v>0</v>
      </c>
      <c r="V1137" s="15">
        <f>IF(T1137="",0,IF(AND(G1137=T1137,COUNTIFS($S$6:S1137,S1137,$G$6:G1137,G1137,$D$6:D1137,"Vastgesteld")&gt;1),1,0))</f>
        <v>0</v>
      </c>
    </row>
    <row r="1138">
      <c r="S1138" s="15" t="str">
        <f>IF(J1138="","",J1138&amp;"|"&amp;E1138&amp;"|"&amp;F1138&amp;"|"&amp;I1138&amp;"|"&amp;O1138)</f>
        <v/>
      </c>
      <c r="T1138" s="15" t="str">
        <f>IF(OR(S1138="",D1138&lt;&gt;"Vastgesteld"),"",_xlfn.MAXIFS($G$6:$G$5005,$S$6:$S$5005,S1138,$D$6:$D$5005,"Vastgesteld"))</f>
        <v/>
      </c>
      <c r="U1138" s="15">
        <f>IF(T1138="",0,IF(AND(G1138=T1138,COUNTIFS($S$6:S1138,S1138,$G$6:G1138,G1138,$D$6:D1138,"Vastgesteld")=1),1,0))</f>
        <v>0</v>
      </c>
      <c r="V1138" s="15">
        <f>IF(T1138="",0,IF(AND(G1138=T1138,COUNTIFS($S$6:S1138,S1138,$G$6:G1138,G1138,$D$6:D1138,"Vastgesteld")&gt;1),1,0))</f>
        <v>0</v>
      </c>
    </row>
    <row r="1139">
      <c r="S1139" s="15" t="str">
        <f>IF(J1139="","",J1139&amp;"|"&amp;E1139&amp;"|"&amp;F1139&amp;"|"&amp;I1139&amp;"|"&amp;O1139)</f>
        <v/>
      </c>
      <c r="T1139" s="15" t="str">
        <f>IF(OR(S1139="",D1139&lt;&gt;"Vastgesteld"),"",_xlfn.MAXIFS($G$6:$G$5005,$S$6:$S$5005,S1139,$D$6:$D$5005,"Vastgesteld"))</f>
        <v/>
      </c>
      <c r="U1139" s="15">
        <f>IF(T1139="",0,IF(AND(G1139=T1139,COUNTIFS($S$6:S1139,S1139,$G$6:G1139,G1139,$D$6:D1139,"Vastgesteld")=1),1,0))</f>
        <v>0</v>
      </c>
      <c r="V1139" s="15">
        <f>IF(T1139="",0,IF(AND(G1139=T1139,COUNTIFS($S$6:S1139,S1139,$G$6:G1139,G1139,$D$6:D1139,"Vastgesteld")&gt;1),1,0))</f>
        <v>0</v>
      </c>
    </row>
    <row r="1140">
      <c r="S1140" s="15" t="str">
        <f>IF(J1140="","",J1140&amp;"|"&amp;E1140&amp;"|"&amp;F1140&amp;"|"&amp;I1140&amp;"|"&amp;O1140)</f>
        <v/>
      </c>
      <c r="T1140" s="15" t="str">
        <f>IF(OR(S1140="",D1140&lt;&gt;"Vastgesteld"),"",_xlfn.MAXIFS($G$6:$G$5005,$S$6:$S$5005,S1140,$D$6:$D$5005,"Vastgesteld"))</f>
        <v/>
      </c>
      <c r="U1140" s="15">
        <f>IF(T1140="",0,IF(AND(G1140=T1140,COUNTIFS($S$6:S1140,S1140,$G$6:G1140,G1140,$D$6:D1140,"Vastgesteld")=1),1,0))</f>
        <v>0</v>
      </c>
      <c r="V1140" s="15">
        <f>IF(T1140="",0,IF(AND(G1140=T1140,COUNTIFS($S$6:S1140,S1140,$G$6:G1140,G1140,$D$6:D1140,"Vastgesteld")&gt;1),1,0))</f>
        <v>0</v>
      </c>
    </row>
    <row r="1141">
      <c r="S1141" s="15" t="str">
        <f>IF(J1141="","",J1141&amp;"|"&amp;E1141&amp;"|"&amp;F1141&amp;"|"&amp;I1141&amp;"|"&amp;O1141)</f>
        <v/>
      </c>
      <c r="T1141" s="15" t="str">
        <f>IF(OR(S1141="",D1141&lt;&gt;"Vastgesteld"),"",_xlfn.MAXIFS($G$6:$G$5005,$S$6:$S$5005,S1141,$D$6:$D$5005,"Vastgesteld"))</f>
        <v/>
      </c>
      <c r="U1141" s="15">
        <f>IF(T1141="",0,IF(AND(G1141=T1141,COUNTIFS($S$6:S1141,S1141,$G$6:G1141,G1141,$D$6:D1141,"Vastgesteld")=1),1,0))</f>
        <v>0</v>
      </c>
      <c r="V1141" s="15">
        <f>IF(T1141="",0,IF(AND(G1141=T1141,COUNTIFS($S$6:S1141,S1141,$G$6:G1141,G1141,$D$6:D1141,"Vastgesteld")&gt;1),1,0))</f>
        <v>0</v>
      </c>
    </row>
    <row r="1142">
      <c r="S1142" s="15" t="str">
        <f>IF(J1142="","",J1142&amp;"|"&amp;E1142&amp;"|"&amp;F1142&amp;"|"&amp;I1142&amp;"|"&amp;O1142)</f>
        <v/>
      </c>
      <c r="T1142" s="15" t="str">
        <f>IF(OR(S1142="",D1142&lt;&gt;"Vastgesteld"),"",_xlfn.MAXIFS($G$6:$G$5005,$S$6:$S$5005,S1142,$D$6:$D$5005,"Vastgesteld"))</f>
        <v/>
      </c>
      <c r="U1142" s="15">
        <f>IF(T1142="",0,IF(AND(G1142=T1142,COUNTIFS($S$6:S1142,S1142,$G$6:G1142,G1142,$D$6:D1142,"Vastgesteld")=1),1,0))</f>
        <v>0</v>
      </c>
      <c r="V1142" s="15">
        <f>IF(T1142="",0,IF(AND(G1142=T1142,COUNTIFS($S$6:S1142,S1142,$G$6:G1142,G1142,$D$6:D1142,"Vastgesteld")&gt;1),1,0))</f>
        <v>0</v>
      </c>
    </row>
    <row r="1143">
      <c r="S1143" s="15" t="str">
        <f>IF(J1143="","",J1143&amp;"|"&amp;E1143&amp;"|"&amp;F1143&amp;"|"&amp;I1143&amp;"|"&amp;O1143)</f>
        <v/>
      </c>
      <c r="T1143" s="15" t="str">
        <f>IF(OR(S1143="",D1143&lt;&gt;"Vastgesteld"),"",_xlfn.MAXIFS($G$6:$G$5005,$S$6:$S$5005,S1143,$D$6:$D$5005,"Vastgesteld"))</f>
        <v/>
      </c>
      <c r="U1143" s="15">
        <f>IF(T1143="",0,IF(AND(G1143=T1143,COUNTIFS($S$6:S1143,S1143,$G$6:G1143,G1143,$D$6:D1143,"Vastgesteld")=1),1,0))</f>
        <v>0</v>
      </c>
      <c r="V1143" s="15">
        <f>IF(T1143="",0,IF(AND(G1143=T1143,COUNTIFS($S$6:S1143,S1143,$G$6:G1143,G1143,$D$6:D1143,"Vastgesteld")&gt;1),1,0))</f>
        <v>0</v>
      </c>
    </row>
    <row r="1144">
      <c r="S1144" s="15" t="str">
        <f>IF(J1144="","",J1144&amp;"|"&amp;E1144&amp;"|"&amp;F1144&amp;"|"&amp;I1144&amp;"|"&amp;O1144)</f>
        <v/>
      </c>
      <c r="T1144" s="15" t="str">
        <f>IF(OR(S1144="",D1144&lt;&gt;"Vastgesteld"),"",_xlfn.MAXIFS($G$6:$G$5005,$S$6:$S$5005,S1144,$D$6:$D$5005,"Vastgesteld"))</f>
        <v/>
      </c>
      <c r="U1144" s="15">
        <f>IF(T1144="",0,IF(AND(G1144=T1144,COUNTIFS($S$6:S1144,S1144,$G$6:G1144,G1144,$D$6:D1144,"Vastgesteld")=1),1,0))</f>
        <v>0</v>
      </c>
      <c r="V1144" s="15">
        <f>IF(T1144="",0,IF(AND(G1144=T1144,COUNTIFS($S$6:S1144,S1144,$G$6:G1144,G1144,$D$6:D1144,"Vastgesteld")&gt;1),1,0))</f>
        <v>0</v>
      </c>
    </row>
    <row r="1145">
      <c r="S1145" s="15" t="str">
        <f>IF(J1145="","",J1145&amp;"|"&amp;E1145&amp;"|"&amp;F1145&amp;"|"&amp;I1145&amp;"|"&amp;O1145)</f>
        <v/>
      </c>
      <c r="T1145" s="15" t="str">
        <f>IF(OR(S1145="",D1145&lt;&gt;"Vastgesteld"),"",_xlfn.MAXIFS($G$6:$G$5005,$S$6:$S$5005,S1145,$D$6:$D$5005,"Vastgesteld"))</f>
        <v/>
      </c>
      <c r="U1145" s="15">
        <f>IF(T1145="",0,IF(AND(G1145=T1145,COUNTIFS($S$6:S1145,S1145,$G$6:G1145,G1145,$D$6:D1145,"Vastgesteld")=1),1,0))</f>
        <v>0</v>
      </c>
      <c r="V1145" s="15">
        <f>IF(T1145="",0,IF(AND(G1145=T1145,COUNTIFS($S$6:S1145,S1145,$G$6:G1145,G1145,$D$6:D1145,"Vastgesteld")&gt;1),1,0))</f>
        <v>0</v>
      </c>
    </row>
    <row r="1146">
      <c r="S1146" s="15" t="str">
        <f>IF(J1146="","",J1146&amp;"|"&amp;E1146&amp;"|"&amp;F1146&amp;"|"&amp;I1146&amp;"|"&amp;O1146)</f>
        <v/>
      </c>
      <c r="T1146" s="15" t="str">
        <f>IF(OR(S1146="",D1146&lt;&gt;"Vastgesteld"),"",_xlfn.MAXIFS($G$6:$G$5005,$S$6:$S$5005,S1146,$D$6:$D$5005,"Vastgesteld"))</f>
        <v/>
      </c>
      <c r="U1146" s="15">
        <f>IF(T1146="",0,IF(AND(G1146=T1146,COUNTIFS($S$6:S1146,S1146,$G$6:G1146,G1146,$D$6:D1146,"Vastgesteld")=1),1,0))</f>
        <v>0</v>
      </c>
      <c r="V1146" s="15">
        <f>IF(T1146="",0,IF(AND(G1146=T1146,COUNTIFS($S$6:S1146,S1146,$G$6:G1146,G1146,$D$6:D1146,"Vastgesteld")&gt;1),1,0))</f>
        <v>0</v>
      </c>
    </row>
    <row r="1147">
      <c r="S1147" s="15" t="str">
        <f>IF(J1147="","",J1147&amp;"|"&amp;E1147&amp;"|"&amp;F1147&amp;"|"&amp;I1147&amp;"|"&amp;O1147)</f>
        <v/>
      </c>
      <c r="T1147" s="15" t="str">
        <f>IF(OR(S1147="",D1147&lt;&gt;"Vastgesteld"),"",_xlfn.MAXIFS($G$6:$G$5005,$S$6:$S$5005,S1147,$D$6:$D$5005,"Vastgesteld"))</f>
        <v/>
      </c>
      <c r="U1147" s="15">
        <f>IF(T1147="",0,IF(AND(G1147=T1147,COUNTIFS($S$6:S1147,S1147,$G$6:G1147,G1147,$D$6:D1147,"Vastgesteld")=1),1,0))</f>
        <v>0</v>
      </c>
      <c r="V1147" s="15">
        <f>IF(T1147="",0,IF(AND(G1147=T1147,COUNTIFS($S$6:S1147,S1147,$G$6:G1147,G1147,$D$6:D1147,"Vastgesteld")&gt;1),1,0))</f>
        <v>0</v>
      </c>
    </row>
    <row r="1148">
      <c r="S1148" s="15" t="str">
        <f>IF(J1148="","",J1148&amp;"|"&amp;E1148&amp;"|"&amp;F1148&amp;"|"&amp;I1148&amp;"|"&amp;O1148)</f>
        <v/>
      </c>
      <c r="T1148" s="15" t="str">
        <f>IF(OR(S1148="",D1148&lt;&gt;"Vastgesteld"),"",_xlfn.MAXIFS($G$6:$G$5005,$S$6:$S$5005,S1148,$D$6:$D$5005,"Vastgesteld"))</f>
        <v/>
      </c>
      <c r="U1148" s="15">
        <f>IF(T1148="",0,IF(AND(G1148=T1148,COUNTIFS($S$6:S1148,S1148,$G$6:G1148,G1148,$D$6:D1148,"Vastgesteld")=1),1,0))</f>
        <v>0</v>
      </c>
      <c r="V1148" s="15">
        <f>IF(T1148="",0,IF(AND(G1148=T1148,COUNTIFS($S$6:S1148,S1148,$G$6:G1148,G1148,$D$6:D1148,"Vastgesteld")&gt;1),1,0))</f>
        <v>0</v>
      </c>
    </row>
    <row r="1149">
      <c r="S1149" s="15" t="str">
        <f>IF(J1149="","",J1149&amp;"|"&amp;E1149&amp;"|"&amp;F1149&amp;"|"&amp;I1149&amp;"|"&amp;O1149)</f>
        <v/>
      </c>
      <c r="T1149" s="15" t="str">
        <f>IF(OR(S1149="",D1149&lt;&gt;"Vastgesteld"),"",_xlfn.MAXIFS($G$6:$G$5005,$S$6:$S$5005,S1149,$D$6:$D$5005,"Vastgesteld"))</f>
        <v/>
      </c>
      <c r="U1149" s="15">
        <f>IF(T1149="",0,IF(AND(G1149=T1149,COUNTIFS($S$6:S1149,S1149,$G$6:G1149,G1149,$D$6:D1149,"Vastgesteld")=1),1,0))</f>
        <v>0</v>
      </c>
      <c r="V1149" s="15">
        <f>IF(T1149="",0,IF(AND(G1149=T1149,COUNTIFS($S$6:S1149,S1149,$G$6:G1149,G1149,$D$6:D1149,"Vastgesteld")&gt;1),1,0))</f>
        <v>0</v>
      </c>
    </row>
    <row r="1150">
      <c r="S1150" s="15" t="str">
        <f>IF(J1150="","",J1150&amp;"|"&amp;E1150&amp;"|"&amp;F1150&amp;"|"&amp;I1150&amp;"|"&amp;O1150)</f>
        <v/>
      </c>
      <c r="T1150" s="15" t="str">
        <f>IF(OR(S1150="",D1150&lt;&gt;"Vastgesteld"),"",_xlfn.MAXIFS($G$6:$G$5005,$S$6:$S$5005,S1150,$D$6:$D$5005,"Vastgesteld"))</f>
        <v/>
      </c>
      <c r="U1150" s="15">
        <f>IF(T1150="",0,IF(AND(G1150=T1150,COUNTIFS($S$6:S1150,S1150,$G$6:G1150,G1150,$D$6:D1150,"Vastgesteld")=1),1,0))</f>
        <v>0</v>
      </c>
      <c r="V1150" s="15">
        <f>IF(T1150="",0,IF(AND(G1150=T1150,COUNTIFS($S$6:S1150,S1150,$G$6:G1150,G1150,$D$6:D1150,"Vastgesteld")&gt;1),1,0))</f>
        <v>0</v>
      </c>
    </row>
    <row r="1151">
      <c r="S1151" s="15" t="str">
        <f>IF(J1151="","",J1151&amp;"|"&amp;E1151&amp;"|"&amp;F1151&amp;"|"&amp;I1151&amp;"|"&amp;O1151)</f>
        <v/>
      </c>
      <c r="T1151" s="15" t="str">
        <f>IF(OR(S1151="",D1151&lt;&gt;"Vastgesteld"),"",_xlfn.MAXIFS($G$6:$G$5005,$S$6:$S$5005,S1151,$D$6:$D$5005,"Vastgesteld"))</f>
        <v/>
      </c>
      <c r="U1151" s="15">
        <f>IF(T1151="",0,IF(AND(G1151=T1151,COUNTIFS($S$6:S1151,S1151,$G$6:G1151,G1151,$D$6:D1151,"Vastgesteld")=1),1,0))</f>
        <v>0</v>
      </c>
      <c r="V1151" s="15">
        <f>IF(T1151="",0,IF(AND(G1151=T1151,COUNTIFS($S$6:S1151,S1151,$G$6:G1151,G1151,$D$6:D1151,"Vastgesteld")&gt;1),1,0))</f>
        <v>0</v>
      </c>
    </row>
    <row r="1152">
      <c r="S1152" s="15" t="str">
        <f>IF(J1152="","",J1152&amp;"|"&amp;E1152&amp;"|"&amp;F1152&amp;"|"&amp;I1152&amp;"|"&amp;O1152)</f>
        <v/>
      </c>
      <c r="T1152" s="15" t="str">
        <f>IF(OR(S1152="",D1152&lt;&gt;"Vastgesteld"),"",_xlfn.MAXIFS($G$6:$G$5005,$S$6:$S$5005,S1152,$D$6:$D$5005,"Vastgesteld"))</f>
        <v/>
      </c>
      <c r="U1152" s="15">
        <f>IF(T1152="",0,IF(AND(G1152=T1152,COUNTIFS($S$6:S1152,S1152,$G$6:G1152,G1152,$D$6:D1152,"Vastgesteld")=1),1,0))</f>
        <v>0</v>
      </c>
      <c r="V1152" s="15">
        <f>IF(T1152="",0,IF(AND(G1152=T1152,COUNTIFS($S$6:S1152,S1152,$G$6:G1152,G1152,$D$6:D1152,"Vastgesteld")&gt;1),1,0))</f>
        <v>0</v>
      </c>
    </row>
    <row r="1153">
      <c r="S1153" s="15" t="str">
        <f>IF(J1153="","",J1153&amp;"|"&amp;E1153&amp;"|"&amp;F1153&amp;"|"&amp;I1153&amp;"|"&amp;O1153)</f>
        <v/>
      </c>
      <c r="T1153" s="15" t="str">
        <f>IF(OR(S1153="",D1153&lt;&gt;"Vastgesteld"),"",_xlfn.MAXIFS($G$6:$G$5005,$S$6:$S$5005,S1153,$D$6:$D$5005,"Vastgesteld"))</f>
        <v/>
      </c>
      <c r="U1153" s="15">
        <f>IF(T1153="",0,IF(AND(G1153=T1153,COUNTIFS($S$6:S1153,S1153,$G$6:G1153,G1153,$D$6:D1153,"Vastgesteld")=1),1,0))</f>
        <v>0</v>
      </c>
      <c r="V1153" s="15">
        <f>IF(T1153="",0,IF(AND(G1153=T1153,COUNTIFS($S$6:S1153,S1153,$G$6:G1153,G1153,$D$6:D1153,"Vastgesteld")&gt;1),1,0))</f>
        <v>0</v>
      </c>
    </row>
    <row r="1154">
      <c r="S1154" s="15" t="str">
        <f>IF(J1154="","",J1154&amp;"|"&amp;E1154&amp;"|"&amp;F1154&amp;"|"&amp;I1154&amp;"|"&amp;O1154)</f>
        <v/>
      </c>
      <c r="T1154" s="15" t="str">
        <f>IF(OR(S1154="",D1154&lt;&gt;"Vastgesteld"),"",_xlfn.MAXIFS($G$6:$G$5005,$S$6:$S$5005,S1154,$D$6:$D$5005,"Vastgesteld"))</f>
        <v/>
      </c>
      <c r="U1154" s="15">
        <f>IF(T1154="",0,IF(AND(G1154=T1154,COUNTIFS($S$6:S1154,S1154,$G$6:G1154,G1154,$D$6:D1154,"Vastgesteld")=1),1,0))</f>
        <v>0</v>
      </c>
      <c r="V1154" s="15">
        <f>IF(T1154="",0,IF(AND(G1154=T1154,COUNTIFS($S$6:S1154,S1154,$G$6:G1154,G1154,$D$6:D1154,"Vastgesteld")&gt;1),1,0))</f>
        <v>0</v>
      </c>
    </row>
    <row r="1155">
      <c r="S1155" s="15" t="str">
        <f>IF(J1155="","",J1155&amp;"|"&amp;E1155&amp;"|"&amp;F1155&amp;"|"&amp;I1155&amp;"|"&amp;O1155)</f>
        <v/>
      </c>
      <c r="T1155" s="15" t="str">
        <f>IF(OR(S1155="",D1155&lt;&gt;"Vastgesteld"),"",_xlfn.MAXIFS($G$6:$G$5005,$S$6:$S$5005,S1155,$D$6:$D$5005,"Vastgesteld"))</f>
        <v/>
      </c>
      <c r="U1155" s="15">
        <f>IF(T1155="",0,IF(AND(G1155=T1155,COUNTIFS($S$6:S1155,S1155,$G$6:G1155,G1155,$D$6:D1155,"Vastgesteld")=1),1,0))</f>
        <v>0</v>
      </c>
      <c r="V1155" s="15">
        <f>IF(T1155="",0,IF(AND(G1155=T1155,COUNTIFS($S$6:S1155,S1155,$G$6:G1155,G1155,$D$6:D1155,"Vastgesteld")&gt;1),1,0))</f>
        <v>0</v>
      </c>
    </row>
    <row r="1156">
      <c r="S1156" s="15" t="str">
        <f>IF(J1156="","",J1156&amp;"|"&amp;E1156&amp;"|"&amp;F1156&amp;"|"&amp;I1156&amp;"|"&amp;O1156)</f>
        <v/>
      </c>
      <c r="T1156" s="15" t="str">
        <f>IF(OR(S1156="",D1156&lt;&gt;"Vastgesteld"),"",_xlfn.MAXIFS($G$6:$G$5005,$S$6:$S$5005,S1156,$D$6:$D$5005,"Vastgesteld"))</f>
        <v/>
      </c>
      <c r="U1156" s="15">
        <f>IF(T1156="",0,IF(AND(G1156=T1156,COUNTIFS($S$6:S1156,S1156,$G$6:G1156,G1156,$D$6:D1156,"Vastgesteld")=1),1,0))</f>
        <v>0</v>
      </c>
      <c r="V1156" s="15">
        <f>IF(T1156="",0,IF(AND(G1156=T1156,COUNTIFS($S$6:S1156,S1156,$G$6:G1156,G1156,$D$6:D1156,"Vastgesteld")&gt;1),1,0))</f>
        <v>0</v>
      </c>
    </row>
    <row r="1157">
      <c r="S1157" s="15" t="str">
        <f>IF(J1157="","",J1157&amp;"|"&amp;E1157&amp;"|"&amp;F1157&amp;"|"&amp;I1157&amp;"|"&amp;O1157)</f>
        <v/>
      </c>
      <c r="T1157" s="15" t="str">
        <f>IF(OR(S1157="",D1157&lt;&gt;"Vastgesteld"),"",_xlfn.MAXIFS($G$6:$G$5005,$S$6:$S$5005,S1157,$D$6:$D$5005,"Vastgesteld"))</f>
        <v/>
      </c>
      <c r="U1157" s="15">
        <f>IF(T1157="",0,IF(AND(G1157=T1157,COUNTIFS($S$6:S1157,S1157,$G$6:G1157,G1157,$D$6:D1157,"Vastgesteld")=1),1,0))</f>
        <v>0</v>
      </c>
      <c r="V1157" s="15">
        <f>IF(T1157="",0,IF(AND(G1157=T1157,COUNTIFS($S$6:S1157,S1157,$G$6:G1157,G1157,$D$6:D1157,"Vastgesteld")&gt;1),1,0))</f>
        <v>0</v>
      </c>
    </row>
    <row r="1158">
      <c r="S1158" s="15" t="str">
        <f>IF(J1158="","",J1158&amp;"|"&amp;E1158&amp;"|"&amp;F1158&amp;"|"&amp;I1158&amp;"|"&amp;O1158)</f>
        <v/>
      </c>
      <c r="T1158" s="15" t="str">
        <f>IF(OR(S1158="",D1158&lt;&gt;"Vastgesteld"),"",_xlfn.MAXIFS($G$6:$G$5005,$S$6:$S$5005,S1158,$D$6:$D$5005,"Vastgesteld"))</f>
        <v/>
      </c>
      <c r="U1158" s="15">
        <f>IF(T1158="",0,IF(AND(G1158=T1158,COUNTIFS($S$6:S1158,S1158,$G$6:G1158,G1158,$D$6:D1158,"Vastgesteld")=1),1,0))</f>
        <v>0</v>
      </c>
      <c r="V1158" s="15">
        <f>IF(T1158="",0,IF(AND(G1158=T1158,COUNTIFS($S$6:S1158,S1158,$G$6:G1158,G1158,$D$6:D1158,"Vastgesteld")&gt;1),1,0))</f>
        <v>0</v>
      </c>
    </row>
    <row r="1159">
      <c r="S1159" s="15" t="str">
        <f>IF(J1159="","",J1159&amp;"|"&amp;E1159&amp;"|"&amp;F1159&amp;"|"&amp;I1159&amp;"|"&amp;O1159)</f>
        <v/>
      </c>
      <c r="T1159" s="15" t="str">
        <f>IF(OR(S1159="",D1159&lt;&gt;"Vastgesteld"),"",_xlfn.MAXIFS($G$6:$G$5005,$S$6:$S$5005,S1159,$D$6:$D$5005,"Vastgesteld"))</f>
        <v/>
      </c>
      <c r="U1159" s="15">
        <f>IF(T1159="",0,IF(AND(G1159=T1159,COUNTIFS($S$6:S1159,S1159,$G$6:G1159,G1159,$D$6:D1159,"Vastgesteld")=1),1,0))</f>
        <v>0</v>
      </c>
      <c r="V1159" s="15">
        <f>IF(T1159="",0,IF(AND(G1159=T1159,COUNTIFS($S$6:S1159,S1159,$G$6:G1159,G1159,$D$6:D1159,"Vastgesteld")&gt;1),1,0))</f>
        <v>0</v>
      </c>
    </row>
    <row r="1160">
      <c r="S1160" s="15" t="str">
        <f>IF(J1160="","",J1160&amp;"|"&amp;E1160&amp;"|"&amp;F1160&amp;"|"&amp;I1160&amp;"|"&amp;O1160)</f>
        <v/>
      </c>
      <c r="T1160" s="15" t="str">
        <f>IF(OR(S1160="",D1160&lt;&gt;"Vastgesteld"),"",_xlfn.MAXIFS($G$6:$G$5005,$S$6:$S$5005,S1160,$D$6:$D$5005,"Vastgesteld"))</f>
        <v/>
      </c>
      <c r="U1160" s="15">
        <f>IF(T1160="",0,IF(AND(G1160=T1160,COUNTIFS($S$6:S1160,S1160,$G$6:G1160,G1160,$D$6:D1160,"Vastgesteld")=1),1,0))</f>
        <v>0</v>
      </c>
      <c r="V1160" s="15">
        <f>IF(T1160="",0,IF(AND(G1160=T1160,COUNTIFS($S$6:S1160,S1160,$G$6:G1160,G1160,$D$6:D1160,"Vastgesteld")&gt;1),1,0))</f>
        <v>0</v>
      </c>
    </row>
    <row r="1161">
      <c r="S1161" s="15" t="str">
        <f>IF(J1161="","",J1161&amp;"|"&amp;E1161&amp;"|"&amp;F1161&amp;"|"&amp;I1161&amp;"|"&amp;O1161)</f>
        <v/>
      </c>
      <c r="T1161" s="15" t="str">
        <f>IF(OR(S1161="",D1161&lt;&gt;"Vastgesteld"),"",_xlfn.MAXIFS($G$6:$G$5005,$S$6:$S$5005,S1161,$D$6:$D$5005,"Vastgesteld"))</f>
        <v/>
      </c>
      <c r="U1161" s="15">
        <f>IF(T1161="",0,IF(AND(G1161=T1161,COUNTIFS($S$6:S1161,S1161,$G$6:G1161,G1161,$D$6:D1161,"Vastgesteld")=1),1,0))</f>
        <v>0</v>
      </c>
      <c r="V1161" s="15">
        <f>IF(T1161="",0,IF(AND(G1161=T1161,COUNTIFS($S$6:S1161,S1161,$G$6:G1161,G1161,$D$6:D1161,"Vastgesteld")&gt;1),1,0))</f>
        <v>0</v>
      </c>
    </row>
    <row r="1162">
      <c r="S1162" s="15" t="str">
        <f>IF(J1162="","",J1162&amp;"|"&amp;E1162&amp;"|"&amp;F1162&amp;"|"&amp;I1162&amp;"|"&amp;O1162)</f>
        <v/>
      </c>
      <c r="T1162" s="15" t="str">
        <f>IF(OR(S1162="",D1162&lt;&gt;"Vastgesteld"),"",_xlfn.MAXIFS($G$6:$G$5005,$S$6:$S$5005,S1162,$D$6:$D$5005,"Vastgesteld"))</f>
        <v/>
      </c>
      <c r="U1162" s="15">
        <f>IF(T1162="",0,IF(AND(G1162=T1162,COUNTIFS($S$6:S1162,S1162,$G$6:G1162,G1162,$D$6:D1162,"Vastgesteld")=1),1,0))</f>
        <v>0</v>
      </c>
      <c r="V1162" s="15">
        <f>IF(T1162="",0,IF(AND(G1162=T1162,COUNTIFS($S$6:S1162,S1162,$G$6:G1162,G1162,$D$6:D1162,"Vastgesteld")&gt;1),1,0))</f>
        <v>0</v>
      </c>
    </row>
    <row r="1163">
      <c r="S1163" s="15" t="str">
        <f>IF(J1163="","",J1163&amp;"|"&amp;E1163&amp;"|"&amp;F1163&amp;"|"&amp;I1163&amp;"|"&amp;O1163)</f>
        <v/>
      </c>
      <c r="T1163" s="15" t="str">
        <f>IF(OR(S1163="",D1163&lt;&gt;"Vastgesteld"),"",_xlfn.MAXIFS($G$6:$G$5005,$S$6:$S$5005,S1163,$D$6:$D$5005,"Vastgesteld"))</f>
        <v/>
      </c>
      <c r="U1163" s="15">
        <f>IF(T1163="",0,IF(AND(G1163=T1163,COUNTIFS($S$6:S1163,S1163,$G$6:G1163,G1163,$D$6:D1163,"Vastgesteld")=1),1,0))</f>
        <v>0</v>
      </c>
      <c r="V1163" s="15">
        <f>IF(T1163="",0,IF(AND(G1163=T1163,COUNTIFS($S$6:S1163,S1163,$G$6:G1163,G1163,$D$6:D1163,"Vastgesteld")&gt;1),1,0))</f>
        <v>0</v>
      </c>
    </row>
    <row r="1164">
      <c r="S1164" s="15" t="str">
        <f>IF(J1164="","",J1164&amp;"|"&amp;E1164&amp;"|"&amp;F1164&amp;"|"&amp;I1164&amp;"|"&amp;O1164)</f>
        <v/>
      </c>
      <c r="T1164" s="15" t="str">
        <f>IF(OR(S1164="",D1164&lt;&gt;"Vastgesteld"),"",_xlfn.MAXIFS($G$6:$G$5005,$S$6:$S$5005,S1164,$D$6:$D$5005,"Vastgesteld"))</f>
        <v/>
      </c>
      <c r="U1164" s="15">
        <f>IF(T1164="",0,IF(AND(G1164=T1164,COUNTIFS($S$6:S1164,S1164,$G$6:G1164,G1164,$D$6:D1164,"Vastgesteld")=1),1,0))</f>
        <v>0</v>
      </c>
      <c r="V1164" s="15">
        <f>IF(T1164="",0,IF(AND(G1164=T1164,COUNTIFS($S$6:S1164,S1164,$G$6:G1164,G1164,$D$6:D1164,"Vastgesteld")&gt;1),1,0))</f>
        <v>0</v>
      </c>
    </row>
    <row r="1165">
      <c r="S1165" s="15" t="str">
        <f>IF(J1165="","",J1165&amp;"|"&amp;E1165&amp;"|"&amp;F1165&amp;"|"&amp;I1165&amp;"|"&amp;O1165)</f>
        <v/>
      </c>
      <c r="T1165" s="15" t="str">
        <f>IF(OR(S1165="",D1165&lt;&gt;"Vastgesteld"),"",_xlfn.MAXIFS($G$6:$G$5005,$S$6:$S$5005,S1165,$D$6:$D$5005,"Vastgesteld"))</f>
        <v/>
      </c>
      <c r="U1165" s="15">
        <f>IF(T1165="",0,IF(AND(G1165=T1165,COUNTIFS($S$6:S1165,S1165,$G$6:G1165,G1165,$D$6:D1165,"Vastgesteld")=1),1,0))</f>
        <v>0</v>
      </c>
      <c r="V1165" s="15">
        <f>IF(T1165="",0,IF(AND(G1165=T1165,COUNTIFS($S$6:S1165,S1165,$G$6:G1165,G1165,$D$6:D1165,"Vastgesteld")&gt;1),1,0))</f>
        <v>0</v>
      </c>
    </row>
    <row r="1166">
      <c r="S1166" s="15" t="str">
        <f>IF(J1166="","",J1166&amp;"|"&amp;E1166&amp;"|"&amp;F1166&amp;"|"&amp;I1166&amp;"|"&amp;O1166)</f>
        <v/>
      </c>
      <c r="T1166" s="15" t="str">
        <f>IF(OR(S1166="",D1166&lt;&gt;"Vastgesteld"),"",_xlfn.MAXIFS($G$6:$G$5005,$S$6:$S$5005,S1166,$D$6:$D$5005,"Vastgesteld"))</f>
        <v/>
      </c>
      <c r="U1166" s="15">
        <f>IF(T1166="",0,IF(AND(G1166=T1166,COUNTIFS($S$6:S1166,S1166,$G$6:G1166,G1166,$D$6:D1166,"Vastgesteld")=1),1,0))</f>
        <v>0</v>
      </c>
      <c r="V1166" s="15">
        <f>IF(T1166="",0,IF(AND(G1166=T1166,COUNTIFS($S$6:S1166,S1166,$G$6:G1166,G1166,$D$6:D1166,"Vastgesteld")&gt;1),1,0))</f>
        <v>0</v>
      </c>
    </row>
    <row r="1167">
      <c r="S1167" s="15" t="str">
        <f>IF(J1167="","",J1167&amp;"|"&amp;E1167&amp;"|"&amp;F1167&amp;"|"&amp;I1167&amp;"|"&amp;O1167)</f>
        <v/>
      </c>
      <c r="T1167" s="15" t="str">
        <f>IF(OR(S1167="",D1167&lt;&gt;"Vastgesteld"),"",_xlfn.MAXIFS($G$6:$G$5005,$S$6:$S$5005,S1167,$D$6:$D$5005,"Vastgesteld"))</f>
        <v/>
      </c>
      <c r="U1167" s="15">
        <f>IF(T1167="",0,IF(AND(G1167=T1167,COUNTIFS($S$6:S1167,S1167,$G$6:G1167,G1167,$D$6:D1167,"Vastgesteld")=1),1,0))</f>
        <v>0</v>
      </c>
      <c r="V1167" s="15">
        <f>IF(T1167="",0,IF(AND(G1167=T1167,COUNTIFS($S$6:S1167,S1167,$G$6:G1167,G1167,$D$6:D1167,"Vastgesteld")&gt;1),1,0))</f>
        <v>0</v>
      </c>
    </row>
    <row r="1168">
      <c r="S1168" s="15" t="str">
        <f>IF(J1168="","",J1168&amp;"|"&amp;E1168&amp;"|"&amp;F1168&amp;"|"&amp;I1168&amp;"|"&amp;O1168)</f>
        <v/>
      </c>
      <c r="T1168" s="15" t="str">
        <f>IF(OR(S1168="",D1168&lt;&gt;"Vastgesteld"),"",_xlfn.MAXIFS($G$6:$G$5005,$S$6:$S$5005,S1168,$D$6:$D$5005,"Vastgesteld"))</f>
        <v/>
      </c>
      <c r="U1168" s="15">
        <f>IF(T1168="",0,IF(AND(G1168=T1168,COUNTIFS($S$6:S1168,S1168,$G$6:G1168,G1168,$D$6:D1168,"Vastgesteld")=1),1,0))</f>
        <v>0</v>
      </c>
      <c r="V1168" s="15">
        <f>IF(T1168="",0,IF(AND(G1168=T1168,COUNTIFS($S$6:S1168,S1168,$G$6:G1168,G1168,$D$6:D1168,"Vastgesteld")&gt;1),1,0))</f>
        <v>0</v>
      </c>
    </row>
    <row r="1169">
      <c r="S1169" s="15" t="str">
        <f>IF(J1169="","",J1169&amp;"|"&amp;E1169&amp;"|"&amp;F1169&amp;"|"&amp;I1169&amp;"|"&amp;O1169)</f>
        <v/>
      </c>
      <c r="T1169" s="15" t="str">
        <f>IF(OR(S1169="",D1169&lt;&gt;"Vastgesteld"),"",_xlfn.MAXIFS($G$6:$G$5005,$S$6:$S$5005,S1169,$D$6:$D$5005,"Vastgesteld"))</f>
        <v/>
      </c>
      <c r="U1169" s="15">
        <f>IF(T1169="",0,IF(AND(G1169=T1169,COUNTIFS($S$6:S1169,S1169,$G$6:G1169,G1169,$D$6:D1169,"Vastgesteld")=1),1,0))</f>
        <v>0</v>
      </c>
      <c r="V1169" s="15">
        <f>IF(T1169="",0,IF(AND(G1169=T1169,COUNTIFS($S$6:S1169,S1169,$G$6:G1169,G1169,$D$6:D1169,"Vastgesteld")&gt;1),1,0))</f>
        <v>0</v>
      </c>
    </row>
    <row r="1170">
      <c r="S1170" s="15" t="str">
        <f>IF(J1170="","",J1170&amp;"|"&amp;E1170&amp;"|"&amp;F1170&amp;"|"&amp;I1170&amp;"|"&amp;O1170)</f>
        <v/>
      </c>
      <c r="T1170" s="15" t="str">
        <f>IF(OR(S1170="",D1170&lt;&gt;"Vastgesteld"),"",_xlfn.MAXIFS($G$6:$G$5005,$S$6:$S$5005,S1170,$D$6:$D$5005,"Vastgesteld"))</f>
        <v/>
      </c>
      <c r="U1170" s="15">
        <f>IF(T1170="",0,IF(AND(G1170=T1170,COUNTIFS($S$6:S1170,S1170,$G$6:G1170,G1170,$D$6:D1170,"Vastgesteld")=1),1,0))</f>
        <v>0</v>
      </c>
      <c r="V1170" s="15">
        <f>IF(T1170="",0,IF(AND(G1170=T1170,COUNTIFS($S$6:S1170,S1170,$G$6:G1170,G1170,$D$6:D1170,"Vastgesteld")&gt;1),1,0))</f>
        <v>0</v>
      </c>
    </row>
    <row r="1171">
      <c r="S1171" s="15" t="str">
        <f>IF(J1171="","",J1171&amp;"|"&amp;E1171&amp;"|"&amp;F1171&amp;"|"&amp;I1171&amp;"|"&amp;O1171)</f>
        <v/>
      </c>
      <c r="T1171" s="15" t="str">
        <f>IF(OR(S1171="",D1171&lt;&gt;"Vastgesteld"),"",_xlfn.MAXIFS($G$6:$G$5005,$S$6:$S$5005,S1171,$D$6:$D$5005,"Vastgesteld"))</f>
        <v/>
      </c>
      <c r="U1171" s="15">
        <f>IF(T1171="",0,IF(AND(G1171=T1171,COUNTIFS($S$6:S1171,S1171,$G$6:G1171,G1171,$D$6:D1171,"Vastgesteld")=1),1,0))</f>
        <v>0</v>
      </c>
      <c r="V1171" s="15">
        <f>IF(T1171="",0,IF(AND(G1171=T1171,COUNTIFS($S$6:S1171,S1171,$G$6:G1171,G1171,$D$6:D1171,"Vastgesteld")&gt;1),1,0))</f>
        <v>0</v>
      </c>
    </row>
    <row r="1172">
      <c r="S1172" s="15" t="str">
        <f>IF(J1172="","",J1172&amp;"|"&amp;E1172&amp;"|"&amp;F1172&amp;"|"&amp;I1172&amp;"|"&amp;O1172)</f>
        <v/>
      </c>
      <c r="T1172" s="15" t="str">
        <f>IF(OR(S1172="",D1172&lt;&gt;"Vastgesteld"),"",_xlfn.MAXIFS($G$6:$G$5005,$S$6:$S$5005,S1172,$D$6:$D$5005,"Vastgesteld"))</f>
        <v/>
      </c>
      <c r="U1172" s="15">
        <f>IF(T1172="",0,IF(AND(G1172=T1172,COUNTIFS($S$6:S1172,S1172,$G$6:G1172,G1172,$D$6:D1172,"Vastgesteld")=1),1,0))</f>
        <v>0</v>
      </c>
      <c r="V1172" s="15">
        <f>IF(T1172="",0,IF(AND(G1172=T1172,COUNTIFS($S$6:S1172,S1172,$G$6:G1172,G1172,$D$6:D1172,"Vastgesteld")&gt;1),1,0))</f>
        <v>0</v>
      </c>
    </row>
    <row r="1173">
      <c r="S1173" s="15" t="str">
        <f>IF(J1173="","",J1173&amp;"|"&amp;E1173&amp;"|"&amp;F1173&amp;"|"&amp;I1173&amp;"|"&amp;O1173)</f>
        <v/>
      </c>
      <c r="T1173" s="15" t="str">
        <f>IF(OR(S1173="",D1173&lt;&gt;"Vastgesteld"),"",_xlfn.MAXIFS($G$6:$G$5005,$S$6:$S$5005,S1173,$D$6:$D$5005,"Vastgesteld"))</f>
        <v/>
      </c>
      <c r="U1173" s="15">
        <f>IF(T1173="",0,IF(AND(G1173=T1173,COUNTIFS($S$6:S1173,S1173,$G$6:G1173,G1173,$D$6:D1173,"Vastgesteld")=1),1,0))</f>
        <v>0</v>
      </c>
      <c r="V1173" s="15">
        <f>IF(T1173="",0,IF(AND(G1173=T1173,COUNTIFS($S$6:S1173,S1173,$G$6:G1173,G1173,$D$6:D1173,"Vastgesteld")&gt;1),1,0))</f>
        <v>0</v>
      </c>
    </row>
    <row r="1174">
      <c r="S1174" s="15" t="str">
        <f>IF(J1174="","",J1174&amp;"|"&amp;E1174&amp;"|"&amp;F1174&amp;"|"&amp;I1174&amp;"|"&amp;O1174)</f>
        <v/>
      </c>
      <c r="T1174" s="15" t="str">
        <f>IF(OR(S1174="",D1174&lt;&gt;"Vastgesteld"),"",_xlfn.MAXIFS($G$6:$G$5005,$S$6:$S$5005,S1174,$D$6:$D$5005,"Vastgesteld"))</f>
        <v/>
      </c>
      <c r="U1174" s="15">
        <f>IF(T1174="",0,IF(AND(G1174=T1174,COUNTIFS($S$6:S1174,S1174,$G$6:G1174,G1174,$D$6:D1174,"Vastgesteld")=1),1,0))</f>
        <v>0</v>
      </c>
      <c r="V1174" s="15">
        <f>IF(T1174="",0,IF(AND(G1174=T1174,COUNTIFS($S$6:S1174,S1174,$G$6:G1174,G1174,$D$6:D1174,"Vastgesteld")&gt;1),1,0))</f>
        <v>0</v>
      </c>
    </row>
    <row r="1175">
      <c r="S1175" s="15" t="str">
        <f>IF(J1175="","",J1175&amp;"|"&amp;E1175&amp;"|"&amp;F1175&amp;"|"&amp;I1175&amp;"|"&amp;O1175)</f>
        <v/>
      </c>
      <c r="T1175" s="15" t="str">
        <f>IF(OR(S1175="",D1175&lt;&gt;"Vastgesteld"),"",_xlfn.MAXIFS($G$6:$G$5005,$S$6:$S$5005,S1175,$D$6:$D$5005,"Vastgesteld"))</f>
        <v/>
      </c>
      <c r="U1175" s="15">
        <f>IF(T1175="",0,IF(AND(G1175=T1175,COUNTIFS($S$6:S1175,S1175,$G$6:G1175,G1175,$D$6:D1175,"Vastgesteld")=1),1,0))</f>
        <v>0</v>
      </c>
      <c r="V1175" s="15">
        <f>IF(T1175="",0,IF(AND(G1175=T1175,COUNTIFS($S$6:S1175,S1175,$G$6:G1175,G1175,$D$6:D1175,"Vastgesteld")&gt;1),1,0))</f>
        <v>0</v>
      </c>
    </row>
    <row r="1176">
      <c r="S1176" s="15" t="str">
        <f>IF(J1176="","",J1176&amp;"|"&amp;E1176&amp;"|"&amp;F1176&amp;"|"&amp;I1176&amp;"|"&amp;O1176)</f>
        <v/>
      </c>
      <c r="T1176" s="15" t="str">
        <f>IF(OR(S1176="",D1176&lt;&gt;"Vastgesteld"),"",_xlfn.MAXIFS($G$6:$G$5005,$S$6:$S$5005,S1176,$D$6:$D$5005,"Vastgesteld"))</f>
        <v/>
      </c>
      <c r="U1176" s="15">
        <f>IF(T1176="",0,IF(AND(G1176=T1176,COUNTIFS($S$6:S1176,S1176,$G$6:G1176,G1176,$D$6:D1176,"Vastgesteld")=1),1,0))</f>
        <v>0</v>
      </c>
      <c r="V1176" s="15">
        <f>IF(T1176="",0,IF(AND(G1176=T1176,COUNTIFS($S$6:S1176,S1176,$G$6:G1176,G1176,$D$6:D1176,"Vastgesteld")&gt;1),1,0))</f>
        <v>0</v>
      </c>
    </row>
    <row r="1177">
      <c r="S1177" s="15" t="str">
        <f>IF(J1177="","",J1177&amp;"|"&amp;E1177&amp;"|"&amp;F1177&amp;"|"&amp;I1177&amp;"|"&amp;O1177)</f>
        <v/>
      </c>
      <c r="T1177" s="15" t="str">
        <f>IF(OR(S1177="",D1177&lt;&gt;"Vastgesteld"),"",_xlfn.MAXIFS($G$6:$G$5005,$S$6:$S$5005,S1177,$D$6:$D$5005,"Vastgesteld"))</f>
        <v/>
      </c>
      <c r="U1177" s="15">
        <f>IF(T1177="",0,IF(AND(G1177=T1177,COUNTIFS($S$6:S1177,S1177,$G$6:G1177,G1177,$D$6:D1177,"Vastgesteld")=1),1,0))</f>
        <v>0</v>
      </c>
      <c r="V1177" s="15">
        <f>IF(T1177="",0,IF(AND(G1177=T1177,COUNTIFS($S$6:S1177,S1177,$G$6:G1177,G1177,$D$6:D1177,"Vastgesteld")&gt;1),1,0))</f>
        <v>0</v>
      </c>
    </row>
    <row r="1178">
      <c r="S1178" s="15" t="str">
        <f>IF(J1178="","",J1178&amp;"|"&amp;E1178&amp;"|"&amp;F1178&amp;"|"&amp;I1178&amp;"|"&amp;O1178)</f>
        <v/>
      </c>
      <c r="T1178" s="15" t="str">
        <f>IF(OR(S1178="",D1178&lt;&gt;"Vastgesteld"),"",_xlfn.MAXIFS($G$6:$G$5005,$S$6:$S$5005,S1178,$D$6:$D$5005,"Vastgesteld"))</f>
        <v/>
      </c>
      <c r="U1178" s="15">
        <f>IF(T1178="",0,IF(AND(G1178=T1178,COUNTIFS($S$6:S1178,S1178,$G$6:G1178,G1178,$D$6:D1178,"Vastgesteld")=1),1,0))</f>
        <v>0</v>
      </c>
      <c r="V1178" s="15">
        <f>IF(T1178="",0,IF(AND(G1178=T1178,COUNTIFS($S$6:S1178,S1178,$G$6:G1178,G1178,$D$6:D1178,"Vastgesteld")&gt;1),1,0))</f>
        <v>0</v>
      </c>
    </row>
    <row r="1179">
      <c r="S1179" s="15" t="str">
        <f>IF(J1179="","",J1179&amp;"|"&amp;E1179&amp;"|"&amp;F1179&amp;"|"&amp;I1179&amp;"|"&amp;O1179)</f>
        <v/>
      </c>
      <c r="T1179" s="15" t="str">
        <f>IF(OR(S1179="",D1179&lt;&gt;"Vastgesteld"),"",_xlfn.MAXIFS($G$6:$G$5005,$S$6:$S$5005,S1179,$D$6:$D$5005,"Vastgesteld"))</f>
        <v/>
      </c>
      <c r="U1179" s="15">
        <f>IF(T1179="",0,IF(AND(G1179=T1179,COUNTIFS($S$6:S1179,S1179,$G$6:G1179,G1179,$D$6:D1179,"Vastgesteld")=1),1,0))</f>
        <v>0</v>
      </c>
      <c r="V1179" s="15">
        <f>IF(T1179="",0,IF(AND(G1179=T1179,COUNTIFS($S$6:S1179,S1179,$G$6:G1179,G1179,$D$6:D1179,"Vastgesteld")&gt;1),1,0))</f>
        <v>0</v>
      </c>
    </row>
    <row r="1180">
      <c r="S1180" s="15" t="str">
        <f>IF(J1180="","",J1180&amp;"|"&amp;E1180&amp;"|"&amp;F1180&amp;"|"&amp;I1180&amp;"|"&amp;O1180)</f>
        <v/>
      </c>
      <c r="T1180" s="15" t="str">
        <f>IF(OR(S1180="",D1180&lt;&gt;"Vastgesteld"),"",_xlfn.MAXIFS($G$6:$G$5005,$S$6:$S$5005,S1180,$D$6:$D$5005,"Vastgesteld"))</f>
        <v/>
      </c>
      <c r="U1180" s="15">
        <f>IF(T1180="",0,IF(AND(G1180=T1180,COUNTIFS($S$6:S1180,S1180,$G$6:G1180,G1180,$D$6:D1180,"Vastgesteld")=1),1,0))</f>
        <v>0</v>
      </c>
      <c r="V1180" s="15">
        <f>IF(T1180="",0,IF(AND(G1180=T1180,COUNTIFS($S$6:S1180,S1180,$G$6:G1180,G1180,$D$6:D1180,"Vastgesteld")&gt;1),1,0))</f>
        <v>0</v>
      </c>
    </row>
    <row r="1181">
      <c r="S1181" s="15" t="str">
        <f>IF(J1181="","",J1181&amp;"|"&amp;E1181&amp;"|"&amp;F1181&amp;"|"&amp;I1181&amp;"|"&amp;O1181)</f>
        <v/>
      </c>
      <c r="T1181" s="15" t="str">
        <f>IF(OR(S1181="",D1181&lt;&gt;"Vastgesteld"),"",_xlfn.MAXIFS($G$6:$G$5005,$S$6:$S$5005,S1181,$D$6:$D$5005,"Vastgesteld"))</f>
        <v/>
      </c>
      <c r="U1181" s="15">
        <f>IF(T1181="",0,IF(AND(G1181=T1181,COUNTIFS($S$6:S1181,S1181,$G$6:G1181,G1181,$D$6:D1181,"Vastgesteld")=1),1,0))</f>
        <v>0</v>
      </c>
      <c r="V1181" s="15">
        <f>IF(T1181="",0,IF(AND(G1181=T1181,COUNTIFS($S$6:S1181,S1181,$G$6:G1181,G1181,$D$6:D1181,"Vastgesteld")&gt;1),1,0))</f>
        <v>0</v>
      </c>
    </row>
    <row r="1182">
      <c r="S1182" s="15" t="str">
        <f>IF(J1182="","",J1182&amp;"|"&amp;E1182&amp;"|"&amp;F1182&amp;"|"&amp;I1182&amp;"|"&amp;O1182)</f>
        <v/>
      </c>
      <c r="T1182" s="15" t="str">
        <f>IF(OR(S1182="",D1182&lt;&gt;"Vastgesteld"),"",_xlfn.MAXIFS($G$6:$G$5005,$S$6:$S$5005,S1182,$D$6:$D$5005,"Vastgesteld"))</f>
        <v/>
      </c>
      <c r="U1182" s="15">
        <f>IF(T1182="",0,IF(AND(G1182=T1182,COUNTIFS($S$6:S1182,S1182,$G$6:G1182,G1182,$D$6:D1182,"Vastgesteld")=1),1,0))</f>
        <v>0</v>
      </c>
      <c r="V1182" s="15">
        <f>IF(T1182="",0,IF(AND(G1182=T1182,COUNTIFS($S$6:S1182,S1182,$G$6:G1182,G1182,$D$6:D1182,"Vastgesteld")&gt;1),1,0))</f>
        <v>0</v>
      </c>
    </row>
    <row r="1183">
      <c r="S1183" s="15" t="str">
        <f>IF(J1183="","",J1183&amp;"|"&amp;E1183&amp;"|"&amp;F1183&amp;"|"&amp;I1183&amp;"|"&amp;O1183)</f>
        <v/>
      </c>
      <c r="T1183" s="15" t="str">
        <f>IF(OR(S1183="",D1183&lt;&gt;"Vastgesteld"),"",_xlfn.MAXIFS($G$6:$G$5005,$S$6:$S$5005,S1183,$D$6:$D$5005,"Vastgesteld"))</f>
        <v/>
      </c>
      <c r="U1183" s="15">
        <f>IF(T1183="",0,IF(AND(G1183=T1183,COUNTIFS($S$6:S1183,S1183,$G$6:G1183,G1183,$D$6:D1183,"Vastgesteld")=1),1,0))</f>
        <v>0</v>
      </c>
      <c r="V1183" s="15">
        <f>IF(T1183="",0,IF(AND(G1183=T1183,COUNTIFS($S$6:S1183,S1183,$G$6:G1183,G1183,$D$6:D1183,"Vastgesteld")&gt;1),1,0))</f>
        <v>0</v>
      </c>
    </row>
    <row r="1184">
      <c r="S1184" s="15" t="str">
        <f>IF(J1184="","",J1184&amp;"|"&amp;E1184&amp;"|"&amp;F1184&amp;"|"&amp;I1184&amp;"|"&amp;O1184)</f>
        <v/>
      </c>
      <c r="T1184" s="15" t="str">
        <f>IF(OR(S1184="",D1184&lt;&gt;"Vastgesteld"),"",_xlfn.MAXIFS($G$6:$G$5005,$S$6:$S$5005,S1184,$D$6:$D$5005,"Vastgesteld"))</f>
        <v/>
      </c>
      <c r="U1184" s="15">
        <f>IF(T1184="",0,IF(AND(G1184=T1184,COUNTIFS($S$6:S1184,S1184,$G$6:G1184,G1184,$D$6:D1184,"Vastgesteld")=1),1,0))</f>
        <v>0</v>
      </c>
      <c r="V1184" s="15">
        <f>IF(T1184="",0,IF(AND(G1184=T1184,COUNTIFS($S$6:S1184,S1184,$G$6:G1184,G1184,$D$6:D1184,"Vastgesteld")&gt;1),1,0))</f>
        <v>0</v>
      </c>
    </row>
    <row r="1185">
      <c r="S1185" s="15" t="str">
        <f>IF(J1185="","",J1185&amp;"|"&amp;E1185&amp;"|"&amp;F1185&amp;"|"&amp;I1185&amp;"|"&amp;O1185)</f>
        <v/>
      </c>
      <c r="T1185" s="15" t="str">
        <f>IF(OR(S1185="",D1185&lt;&gt;"Vastgesteld"),"",_xlfn.MAXIFS($G$6:$G$5005,$S$6:$S$5005,S1185,$D$6:$D$5005,"Vastgesteld"))</f>
        <v/>
      </c>
      <c r="U1185" s="15">
        <f>IF(T1185="",0,IF(AND(G1185=T1185,COUNTIFS($S$6:S1185,S1185,$G$6:G1185,G1185,$D$6:D1185,"Vastgesteld")=1),1,0))</f>
        <v>0</v>
      </c>
      <c r="V1185" s="15">
        <f>IF(T1185="",0,IF(AND(G1185=T1185,COUNTIFS($S$6:S1185,S1185,$G$6:G1185,G1185,$D$6:D1185,"Vastgesteld")&gt;1),1,0))</f>
        <v>0</v>
      </c>
    </row>
    <row r="1186">
      <c r="S1186" s="15" t="str">
        <f>IF(J1186="","",J1186&amp;"|"&amp;E1186&amp;"|"&amp;F1186&amp;"|"&amp;I1186&amp;"|"&amp;O1186)</f>
        <v/>
      </c>
      <c r="T1186" s="15" t="str">
        <f>IF(OR(S1186="",D1186&lt;&gt;"Vastgesteld"),"",_xlfn.MAXIFS($G$6:$G$5005,$S$6:$S$5005,S1186,$D$6:$D$5005,"Vastgesteld"))</f>
        <v/>
      </c>
      <c r="U1186" s="15">
        <f>IF(T1186="",0,IF(AND(G1186=T1186,COUNTIFS($S$6:S1186,S1186,$G$6:G1186,G1186,$D$6:D1186,"Vastgesteld")=1),1,0))</f>
        <v>0</v>
      </c>
      <c r="V1186" s="15">
        <f>IF(T1186="",0,IF(AND(G1186=T1186,COUNTIFS($S$6:S1186,S1186,$G$6:G1186,G1186,$D$6:D1186,"Vastgesteld")&gt;1),1,0))</f>
        <v>0</v>
      </c>
    </row>
    <row r="1187">
      <c r="S1187" s="15" t="str">
        <f>IF(J1187="","",J1187&amp;"|"&amp;E1187&amp;"|"&amp;F1187&amp;"|"&amp;I1187&amp;"|"&amp;O1187)</f>
        <v/>
      </c>
      <c r="T1187" s="15" t="str">
        <f>IF(OR(S1187="",D1187&lt;&gt;"Vastgesteld"),"",_xlfn.MAXIFS($G$6:$G$5005,$S$6:$S$5005,S1187,$D$6:$D$5005,"Vastgesteld"))</f>
        <v/>
      </c>
      <c r="U1187" s="15">
        <f>IF(T1187="",0,IF(AND(G1187=T1187,COUNTIFS($S$6:S1187,S1187,$G$6:G1187,G1187,$D$6:D1187,"Vastgesteld")=1),1,0))</f>
        <v>0</v>
      </c>
      <c r="V1187" s="15">
        <f>IF(T1187="",0,IF(AND(G1187=T1187,COUNTIFS($S$6:S1187,S1187,$G$6:G1187,G1187,$D$6:D1187,"Vastgesteld")&gt;1),1,0))</f>
        <v>0</v>
      </c>
    </row>
    <row r="1188">
      <c r="S1188" s="15" t="str">
        <f>IF(J1188="","",J1188&amp;"|"&amp;E1188&amp;"|"&amp;F1188&amp;"|"&amp;I1188&amp;"|"&amp;O1188)</f>
        <v/>
      </c>
      <c r="T1188" s="15" t="str">
        <f>IF(OR(S1188="",D1188&lt;&gt;"Vastgesteld"),"",_xlfn.MAXIFS($G$6:$G$5005,$S$6:$S$5005,S1188,$D$6:$D$5005,"Vastgesteld"))</f>
        <v/>
      </c>
      <c r="U1188" s="15">
        <f>IF(T1188="",0,IF(AND(G1188=T1188,COUNTIFS($S$6:S1188,S1188,$G$6:G1188,G1188,$D$6:D1188,"Vastgesteld")=1),1,0))</f>
        <v>0</v>
      </c>
      <c r="V1188" s="15">
        <f>IF(T1188="",0,IF(AND(G1188=T1188,COUNTIFS($S$6:S1188,S1188,$G$6:G1188,G1188,$D$6:D1188,"Vastgesteld")&gt;1),1,0))</f>
        <v>0</v>
      </c>
    </row>
    <row r="1189">
      <c r="S1189" s="15" t="str">
        <f>IF(J1189="","",J1189&amp;"|"&amp;E1189&amp;"|"&amp;F1189&amp;"|"&amp;I1189&amp;"|"&amp;O1189)</f>
        <v/>
      </c>
      <c r="T1189" s="15" t="str">
        <f>IF(OR(S1189="",D1189&lt;&gt;"Vastgesteld"),"",_xlfn.MAXIFS($G$6:$G$5005,$S$6:$S$5005,S1189,$D$6:$D$5005,"Vastgesteld"))</f>
        <v/>
      </c>
      <c r="U1189" s="15">
        <f>IF(T1189="",0,IF(AND(G1189=T1189,COUNTIFS($S$6:S1189,S1189,$G$6:G1189,G1189,$D$6:D1189,"Vastgesteld")=1),1,0))</f>
        <v>0</v>
      </c>
      <c r="V1189" s="15">
        <f>IF(T1189="",0,IF(AND(G1189=T1189,COUNTIFS($S$6:S1189,S1189,$G$6:G1189,G1189,$D$6:D1189,"Vastgesteld")&gt;1),1,0))</f>
        <v>0</v>
      </c>
    </row>
    <row r="1190">
      <c r="S1190" s="15" t="str">
        <f>IF(J1190="","",J1190&amp;"|"&amp;E1190&amp;"|"&amp;F1190&amp;"|"&amp;I1190&amp;"|"&amp;O1190)</f>
        <v/>
      </c>
      <c r="T1190" s="15" t="str">
        <f>IF(OR(S1190="",D1190&lt;&gt;"Vastgesteld"),"",_xlfn.MAXIFS($G$6:$G$5005,$S$6:$S$5005,S1190,$D$6:$D$5005,"Vastgesteld"))</f>
        <v/>
      </c>
      <c r="U1190" s="15">
        <f>IF(T1190="",0,IF(AND(G1190=T1190,COUNTIFS($S$6:S1190,S1190,$G$6:G1190,G1190,$D$6:D1190,"Vastgesteld")=1),1,0))</f>
        <v>0</v>
      </c>
      <c r="V1190" s="15">
        <f>IF(T1190="",0,IF(AND(G1190=T1190,COUNTIFS($S$6:S1190,S1190,$G$6:G1190,G1190,$D$6:D1190,"Vastgesteld")&gt;1),1,0))</f>
        <v>0</v>
      </c>
    </row>
    <row r="1191">
      <c r="S1191" s="15" t="str">
        <f>IF(J1191="","",J1191&amp;"|"&amp;E1191&amp;"|"&amp;F1191&amp;"|"&amp;I1191&amp;"|"&amp;O1191)</f>
        <v/>
      </c>
      <c r="T1191" s="15" t="str">
        <f>IF(OR(S1191="",D1191&lt;&gt;"Vastgesteld"),"",_xlfn.MAXIFS($G$6:$G$5005,$S$6:$S$5005,S1191,$D$6:$D$5005,"Vastgesteld"))</f>
        <v/>
      </c>
      <c r="U1191" s="15">
        <f>IF(T1191="",0,IF(AND(G1191=T1191,COUNTIFS($S$6:S1191,S1191,$G$6:G1191,G1191,$D$6:D1191,"Vastgesteld")=1),1,0))</f>
        <v>0</v>
      </c>
      <c r="V1191" s="15">
        <f>IF(T1191="",0,IF(AND(G1191=T1191,COUNTIFS($S$6:S1191,S1191,$G$6:G1191,G1191,$D$6:D1191,"Vastgesteld")&gt;1),1,0))</f>
        <v>0</v>
      </c>
    </row>
    <row r="1192">
      <c r="S1192" s="15" t="str">
        <f>IF(J1192="","",J1192&amp;"|"&amp;E1192&amp;"|"&amp;F1192&amp;"|"&amp;I1192&amp;"|"&amp;O1192)</f>
        <v/>
      </c>
      <c r="T1192" s="15" t="str">
        <f>IF(OR(S1192="",D1192&lt;&gt;"Vastgesteld"),"",_xlfn.MAXIFS($G$6:$G$5005,$S$6:$S$5005,S1192,$D$6:$D$5005,"Vastgesteld"))</f>
        <v/>
      </c>
      <c r="U1192" s="15">
        <f>IF(T1192="",0,IF(AND(G1192=T1192,COUNTIFS($S$6:S1192,S1192,$G$6:G1192,G1192,$D$6:D1192,"Vastgesteld")=1),1,0))</f>
        <v>0</v>
      </c>
      <c r="V1192" s="15">
        <f>IF(T1192="",0,IF(AND(G1192=T1192,COUNTIFS($S$6:S1192,S1192,$G$6:G1192,G1192,$D$6:D1192,"Vastgesteld")&gt;1),1,0))</f>
        <v>0</v>
      </c>
    </row>
    <row r="1193">
      <c r="S1193" s="15" t="str">
        <f>IF(J1193="","",J1193&amp;"|"&amp;E1193&amp;"|"&amp;F1193&amp;"|"&amp;I1193&amp;"|"&amp;O1193)</f>
        <v/>
      </c>
      <c r="T1193" s="15" t="str">
        <f>IF(OR(S1193="",D1193&lt;&gt;"Vastgesteld"),"",_xlfn.MAXIFS($G$6:$G$5005,$S$6:$S$5005,S1193,$D$6:$D$5005,"Vastgesteld"))</f>
        <v/>
      </c>
      <c r="U1193" s="15">
        <f>IF(T1193="",0,IF(AND(G1193=T1193,COUNTIFS($S$6:S1193,S1193,$G$6:G1193,G1193,$D$6:D1193,"Vastgesteld")=1),1,0))</f>
        <v>0</v>
      </c>
      <c r="V1193" s="15">
        <f>IF(T1193="",0,IF(AND(G1193=T1193,COUNTIFS($S$6:S1193,S1193,$G$6:G1193,G1193,$D$6:D1193,"Vastgesteld")&gt;1),1,0))</f>
        <v>0</v>
      </c>
    </row>
    <row r="1194">
      <c r="S1194" s="15" t="str">
        <f>IF(J1194="","",J1194&amp;"|"&amp;E1194&amp;"|"&amp;F1194&amp;"|"&amp;I1194&amp;"|"&amp;O1194)</f>
        <v/>
      </c>
      <c r="T1194" s="15" t="str">
        <f>IF(OR(S1194="",D1194&lt;&gt;"Vastgesteld"),"",_xlfn.MAXIFS($G$6:$G$5005,$S$6:$S$5005,S1194,$D$6:$D$5005,"Vastgesteld"))</f>
        <v/>
      </c>
      <c r="U1194" s="15">
        <f>IF(T1194="",0,IF(AND(G1194=T1194,COUNTIFS($S$6:S1194,S1194,$G$6:G1194,G1194,$D$6:D1194,"Vastgesteld")=1),1,0))</f>
        <v>0</v>
      </c>
      <c r="V1194" s="15">
        <f>IF(T1194="",0,IF(AND(G1194=T1194,COUNTIFS($S$6:S1194,S1194,$G$6:G1194,G1194,$D$6:D1194,"Vastgesteld")&gt;1),1,0))</f>
        <v>0</v>
      </c>
    </row>
    <row r="1195">
      <c r="S1195" s="15" t="str">
        <f>IF(J1195="","",J1195&amp;"|"&amp;E1195&amp;"|"&amp;F1195&amp;"|"&amp;I1195&amp;"|"&amp;O1195)</f>
        <v/>
      </c>
      <c r="T1195" s="15" t="str">
        <f>IF(OR(S1195="",D1195&lt;&gt;"Vastgesteld"),"",_xlfn.MAXIFS($G$6:$G$5005,$S$6:$S$5005,S1195,$D$6:$D$5005,"Vastgesteld"))</f>
        <v/>
      </c>
      <c r="U1195" s="15">
        <f>IF(T1195="",0,IF(AND(G1195=T1195,COUNTIFS($S$6:S1195,S1195,$G$6:G1195,G1195,$D$6:D1195,"Vastgesteld")=1),1,0))</f>
        <v>0</v>
      </c>
      <c r="V1195" s="15">
        <f>IF(T1195="",0,IF(AND(G1195=T1195,COUNTIFS($S$6:S1195,S1195,$G$6:G1195,G1195,$D$6:D1195,"Vastgesteld")&gt;1),1,0))</f>
        <v>0</v>
      </c>
    </row>
    <row r="1196">
      <c r="S1196" s="15" t="str">
        <f>IF(J1196="","",J1196&amp;"|"&amp;E1196&amp;"|"&amp;F1196&amp;"|"&amp;I1196&amp;"|"&amp;O1196)</f>
        <v/>
      </c>
      <c r="T1196" s="15" t="str">
        <f>IF(OR(S1196="",D1196&lt;&gt;"Vastgesteld"),"",_xlfn.MAXIFS($G$6:$G$5005,$S$6:$S$5005,S1196,$D$6:$D$5005,"Vastgesteld"))</f>
        <v/>
      </c>
      <c r="U1196" s="15">
        <f>IF(T1196="",0,IF(AND(G1196=T1196,COUNTIFS($S$6:S1196,S1196,$G$6:G1196,G1196,$D$6:D1196,"Vastgesteld")=1),1,0))</f>
        <v>0</v>
      </c>
      <c r="V1196" s="15">
        <f>IF(T1196="",0,IF(AND(G1196=T1196,COUNTIFS($S$6:S1196,S1196,$G$6:G1196,G1196,$D$6:D1196,"Vastgesteld")&gt;1),1,0))</f>
        <v>0</v>
      </c>
    </row>
    <row r="1197">
      <c r="S1197" s="15" t="str">
        <f>IF(J1197="","",J1197&amp;"|"&amp;E1197&amp;"|"&amp;F1197&amp;"|"&amp;I1197&amp;"|"&amp;O1197)</f>
        <v/>
      </c>
      <c r="T1197" s="15" t="str">
        <f>IF(OR(S1197="",D1197&lt;&gt;"Vastgesteld"),"",_xlfn.MAXIFS($G$6:$G$5005,$S$6:$S$5005,S1197,$D$6:$D$5005,"Vastgesteld"))</f>
        <v/>
      </c>
      <c r="U1197" s="15">
        <f>IF(T1197="",0,IF(AND(G1197=T1197,COUNTIFS($S$6:S1197,S1197,$G$6:G1197,G1197,$D$6:D1197,"Vastgesteld")=1),1,0))</f>
        <v>0</v>
      </c>
      <c r="V1197" s="15">
        <f>IF(T1197="",0,IF(AND(G1197=T1197,COUNTIFS($S$6:S1197,S1197,$G$6:G1197,G1197,$D$6:D1197,"Vastgesteld")&gt;1),1,0))</f>
        <v>0</v>
      </c>
    </row>
    <row r="1198">
      <c r="S1198" s="15" t="str">
        <f>IF(J1198="","",J1198&amp;"|"&amp;E1198&amp;"|"&amp;F1198&amp;"|"&amp;I1198&amp;"|"&amp;O1198)</f>
        <v/>
      </c>
      <c r="T1198" s="15" t="str">
        <f>IF(OR(S1198="",D1198&lt;&gt;"Vastgesteld"),"",_xlfn.MAXIFS($G$6:$G$5005,$S$6:$S$5005,S1198,$D$6:$D$5005,"Vastgesteld"))</f>
        <v/>
      </c>
      <c r="U1198" s="15">
        <f>IF(T1198="",0,IF(AND(G1198=T1198,COUNTIFS($S$6:S1198,S1198,$G$6:G1198,G1198,$D$6:D1198,"Vastgesteld")=1),1,0))</f>
        <v>0</v>
      </c>
      <c r="V1198" s="15">
        <f>IF(T1198="",0,IF(AND(G1198=T1198,COUNTIFS($S$6:S1198,S1198,$G$6:G1198,G1198,$D$6:D1198,"Vastgesteld")&gt;1),1,0))</f>
        <v>0</v>
      </c>
    </row>
    <row r="1199">
      <c r="S1199" s="15" t="str">
        <f>IF(J1199="","",J1199&amp;"|"&amp;E1199&amp;"|"&amp;F1199&amp;"|"&amp;I1199&amp;"|"&amp;O1199)</f>
        <v/>
      </c>
      <c r="T1199" s="15" t="str">
        <f>IF(OR(S1199="",D1199&lt;&gt;"Vastgesteld"),"",_xlfn.MAXIFS($G$6:$G$5005,$S$6:$S$5005,S1199,$D$6:$D$5005,"Vastgesteld"))</f>
        <v/>
      </c>
      <c r="U1199" s="15">
        <f>IF(T1199="",0,IF(AND(G1199=T1199,COUNTIFS($S$6:S1199,S1199,$G$6:G1199,G1199,$D$6:D1199,"Vastgesteld")=1),1,0))</f>
        <v>0</v>
      </c>
      <c r="V1199" s="15">
        <f>IF(T1199="",0,IF(AND(G1199=T1199,COUNTIFS($S$6:S1199,S1199,$G$6:G1199,G1199,$D$6:D1199,"Vastgesteld")&gt;1),1,0))</f>
        <v>0</v>
      </c>
    </row>
    <row r="1200">
      <c r="S1200" s="15" t="str">
        <f>IF(J1200="","",J1200&amp;"|"&amp;E1200&amp;"|"&amp;F1200&amp;"|"&amp;I1200&amp;"|"&amp;O1200)</f>
        <v/>
      </c>
      <c r="T1200" s="15" t="str">
        <f>IF(OR(S1200="",D1200&lt;&gt;"Vastgesteld"),"",_xlfn.MAXIFS($G$6:$G$5005,$S$6:$S$5005,S1200,$D$6:$D$5005,"Vastgesteld"))</f>
        <v/>
      </c>
      <c r="U1200" s="15">
        <f>IF(T1200="",0,IF(AND(G1200=T1200,COUNTIFS($S$6:S1200,S1200,$G$6:G1200,G1200,$D$6:D1200,"Vastgesteld")=1),1,0))</f>
        <v>0</v>
      </c>
      <c r="V1200" s="15">
        <f>IF(T1200="",0,IF(AND(G1200=T1200,COUNTIFS($S$6:S1200,S1200,$G$6:G1200,G1200,$D$6:D1200,"Vastgesteld")&gt;1),1,0))</f>
        <v>0</v>
      </c>
    </row>
    <row r="1201">
      <c r="S1201" s="15" t="str">
        <f>IF(J1201="","",J1201&amp;"|"&amp;E1201&amp;"|"&amp;F1201&amp;"|"&amp;I1201&amp;"|"&amp;O1201)</f>
        <v/>
      </c>
      <c r="T1201" s="15" t="str">
        <f>IF(OR(S1201="",D1201&lt;&gt;"Vastgesteld"),"",_xlfn.MAXIFS($G$6:$G$5005,$S$6:$S$5005,S1201,$D$6:$D$5005,"Vastgesteld"))</f>
        <v/>
      </c>
      <c r="U1201" s="15">
        <f>IF(T1201="",0,IF(AND(G1201=T1201,COUNTIFS($S$6:S1201,S1201,$G$6:G1201,G1201,$D$6:D1201,"Vastgesteld")=1),1,0))</f>
        <v>0</v>
      </c>
      <c r="V1201" s="15">
        <f>IF(T1201="",0,IF(AND(G1201=T1201,COUNTIFS($S$6:S1201,S1201,$G$6:G1201,G1201,$D$6:D1201,"Vastgesteld")&gt;1),1,0))</f>
        <v>0</v>
      </c>
    </row>
    <row r="1202">
      <c r="S1202" s="15" t="str">
        <f>IF(J1202="","",J1202&amp;"|"&amp;E1202&amp;"|"&amp;F1202&amp;"|"&amp;I1202&amp;"|"&amp;O1202)</f>
        <v/>
      </c>
      <c r="T1202" s="15" t="str">
        <f>IF(OR(S1202="",D1202&lt;&gt;"Vastgesteld"),"",_xlfn.MAXIFS($G$6:$G$5005,$S$6:$S$5005,S1202,$D$6:$D$5005,"Vastgesteld"))</f>
        <v/>
      </c>
      <c r="U1202" s="15">
        <f>IF(T1202="",0,IF(AND(G1202=T1202,COUNTIFS($S$6:S1202,S1202,$G$6:G1202,G1202,$D$6:D1202,"Vastgesteld")=1),1,0))</f>
        <v>0</v>
      </c>
      <c r="V1202" s="15">
        <f>IF(T1202="",0,IF(AND(G1202=T1202,COUNTIFS($S$6:S1202,S1202,$G$6:G1202,G1202,$D$6:D1202,"Vastgesteld")&gt;1),1,0))</f>
        <v>0</v>
      </c>
    </row>
    <row r="1203">
      <c r="S1203" s="15" t="str">
        <f>IF(J1203="","",J1203&amp;"|"&amp;E1203&amp;"|"&amp;F1203&amp;"|"&amp;I1203&amp;"|"&amp;O1203)</f>
        <v/>
      </c>
      <c r="T1203" s="15" t="str">
        <f>IF(OR(S1203="",D1203&lt;&gt;"Vastgesteld"),"",_xlfn.MAXIFS($G$6:$G$5005,$S$6:$S$5005,S1203,$D$6:$D$5005,"Vastgesteld"))</f>
        <v/>
      </c>
      <c r="U1203" s="15">
        <f>IF(T1203="",0,IF(AND(G1203=T1203,COUNTIFS($S$6:S1203,S1203,$G$6:G1203,G1203,$D$6:D1203,"Vastgesteld")=1),1,0))</f>
        <v>0</v>
      </c>
      <c r="V1203" s="15">
        <f>IF(T1203="",0,IF(AND(G1203=T1203,COUNTIFS($S$6:S1203,S1203,$G$6:G1203,G1203,$D$6:D1203,"Vastgesteld")&gt;1),1,0))</f>
        <v>0</v>
      </c>
    </row>
    <row r="1204">
      <c r="S1204" s="15" t="str">
        <f>IF(J1204="","",J1204&amp;"|"&amp;E1204&amp;"|"&amp;F1204&amp;"|"&amp;I1204&amp;"|"&amp;O1204)</f>
        <v/>
      </c>
      <c r="T1204" s="15" t="str">
        <f>IF(OR(S1204="",D1204&lt;&gt;"Vastgesteld"),"",_xlfn.MAXIFS($G$6:$G$5005,$S$6:$S$5005,S1204,$D$6:$D$5005,"Vastgesteld"))</f>
        <v/>
      </c>
      <c r="U1204" s="15">
        <f>IF(T1204="",0,IF(AND(G1204=T1204,COUNTIFS($S$6:S1204,S1204,$G$6:G1204,G1204,$D$6:D1204,"Vastgesteld")=1),1,0))</f>
        <v>0</v>
      </c>
      <c r="V1204" s="15">
        <f>IF(T1204="",0,IF(AND(G1204=T1204,COUNTIFS($S$6:S1204,S1204,$G$6:G1204,G1204,$D$6:D1204,"Vastgesteld")&gt;1),1,0))</f>
        <v>0</v>
      </c>
    </row>
    <row r="1205">
      <c r="S1205" s="15" t="str">
        <f>IF(J1205="","",J1205&amp;"|"&amp;E1205&amp;"|"&amp;F1205&amp;"|"&amp;I1205&amp;"|"&amp;O1205)</f>
        <v/>
      </c>
      <c r="T1205" s="15" t="str">
        <f>IF(OR(S1205="",D1205&lt;&gt;"Vastgesteld"),"",_xlfn.MAXIFS($G$6:$G$5005,$S$6:$S$5005,S1205,$D$6:$D$5005,"Vastgesteld"))</f>
        <v/>
      </c>
      <c r="U1205" s="15">
        <f>IF(T1205="",0,IF(AND(G1205=T1205,COUNTIFS($S$6:S1205,S1205,$G$6:G1205,G1205,$D$6:D1205,"Vastgesteld")=1),1,0))</f>
        <v>0</v>
      </c>
      <c r="V1205" s="15">
        <f>IF(T1205="",0,IF(AND(G1205=T1205,COUNTIFS($S$6:S1205,S1205,$G$6:G1205,G1205,$D$6:D1205,"Vastgesteld")&gt;1),1,0))</f>
        <v>0</v>
      </c>
    </row>
    <row r="1206">
      <c r="S1206" s="15" t="str">
        <f>IF(J1206="","",J1206&amp;"|"&amp;E1206&amp;"|"&amp;F1206&amp;"|"&amp;I1206&amp;"|"&amp;O1206)</f>
        <v/>
      </c>
      <c r="T1206" s="15" t="str">
        <f>IF(OR(S1206="",D1206&lt;&gt;"Vastgesteld"),"",_xlfn.MAXIFS($G$6:$G$5005,$S$6:$S$5005,S1206,$D$6:$D$5005,"Vastgesteld"))</f>
        <v/>
      </c>
      <c r="U1206" s="15">
        <f>IF(T1206="",0,IF(AND(G1206=T1206,COUNTIFS($S$6:S1206,S1206,$G$6:G1206,G1206,$D$6:D1206,"Vastgesteld")=1),1,0))</f>
        <v>0</v>
      </c>
      <c r="V1206" s="15">
        <f>IF(T1206="",0,IF(AND(G1206=T1206,COUNTIFS($S$6:S1206,S1206,$G$6:G1206,G1206,$D$6:D1206,"Vastgesteld")&gt;1),1,0))</f>
        <v>0</v>
      </c>
    </row>
    <row r="1207">
      <c r="S1207" s="15" t="str">
        <f>IF(J1207="","",J1207&amp;"|"&amp;E1207&amp;"|"&amp;F1207&amp;"|"&amp;I1207&amp;"|"&amp;O1207)</f>
        <v/>
      </c>
      <c r="T1207" s="15" t="str">
        <f>IF(OR(S1207="",D1207&lt;&gt;"Vastgesteld"),"",_xlfn.MAXIFS($G$6:$G$5005,$S$6:$S$5005,S1207,$D$6:$D$5005,"Vastgesteld"))</f>
        <v/>
      </c>
      <c r="U1207" s="15">
        <f>IF(T1207="",0,IF(AND(G1207=T1207,COUNTIFS($S$6:S1207,S1207,$G$6:G1207,G1207,$D$6:D1207,"Vastgesteld")=1),1,0))</f>
        <v>0</v>
      </c>
      <c r="V1207" s="15">
        <f>IF(T1207="",0,IF(AND(G1207=T1207,COUNTIFS($S$6:S1207,S1207,$G$6:G1207,G1207,$D$6:D1207,"Vastgesteld")&gt;1),1,0))</f>
        <v>0</v>
      </c>
    </row>
    <row r="1208">
      <c r="S1208" s="15" t="str">
        <f>IF(J1208="","",J1208&amp;"|"&amp;E1208&amp;"|"&amp;F1208&amp;"|"&amp;I1208&amp;"|"&amp;O1208)</f>
        <v/>
      </c>
      <c r="T1208" s="15" t="str">
        <f>IF(OR(S1208="",D1208&lt;&gt;"Vastgesteld"),"",_xlfn.MAXIFS($G$6:$G$5005,$S$6:$S$5005,S1208,$D$6:$D$5005,"Vastgesteld"))</f>
        <v/>
      </c>
      <c r="U1208" s="15">
        <f>IF(T1208="",0,IF(AND(G1208=T1208,COUNTIFS($S$6:S1208,S1208,$G$6:G1208,G1208,$D$6:D1208,"Vastgesteld")=1),1,0))</f>
        <v>0</v>
      </c>
      <c r="V1208" s="15">
        <f>IF(T1208="",0,IF(AND(G1208=T1208,COUNTIFS($S$6:S1208,S1208,$G$6:G1208,G1208,$D$6:D1208,"Vastgesteld")&gt;1),1,0))</f>
        <v>0</v>
      </c>
    </row>
    <row r="1209">
      <c r="S1209" s="15" t="str">
        <f>IF(J1209="","",J1209&amp;"|"&amp;E1209&amp;"|"&amp;F1209&amp;"|"&amp;I1209&amp;"|"&amp;O1209)</f>
        <v/>
      </c>
      <c r="T1209" s="15" t="str">
        <f>IF(OR(S1209="",D1209&lt;&gt;"Vastgesteld"),"",_xlfn.MAXIFS($G$6:$G$5005,$S$6:$S$5005,S1209,$D$6:$D$5005,"Vastgesteld"))</f>
        <v/>
      </c>
      <c r="U1209" s="15">
        <f>IF(T1209="",0,IF(AND(G1209=T1209,COUNTIFS($S$6:S1209,S1209,$G$6:G1209,G1209,$D$6:D1209,"Vastgesteld")=1),1,0))</f>
        <v>0</v>
      </c>
      <c r="V1209" s="15">
        <f>IF(T1209="",0,IF(AND(G1209=T1209,COUNTIFS($S$6:S1209,S1209,$G$6:G1209,G1209,$D$6:D1209,"Vastgesteld")&gt;1),1,0))</f>
        <v>0</v>
      </c>
    </row>
    <row r="1210">
      <c r="S1210" s="15" t="str">
        <f>IF(J1210="","",J1210&amp;"|"&amp;E1210&amp;"|"&amp;F1210&amp;"|"&amp;I1210&amp;"|"&amp;O1210)</f>
        <v/>
      </c>
      <c r="T1210" s="15" t="str">
        <f>IF(OR(S1210="",D1210&lt;&gt;"Vastgesteld"),"",_xlfn.MAXIFS($G$6:$G$5005,$S$6:$S$5005,S1210,$D$6:$D$5005,"Vastgesteld"))</f>
        <v/>
      </c>
      <c r="U1210" s="15">
        <f>IF(T1210="",0,IF(AND(G1210=T1210,COUNTIFS($S$6:S1210,S1210,$G$6:G1210,G1210,$D$6:D1210,"Vastgesteld")=1),1,0))</f>
        <v>0</v>
      </c>
      <c r="V1210" s="15">
        <f>IF(T1210="",0,IF(AND(G1210=T1210,COUNTIFS($S$6:S1210,S1210,$G$6:G1210,G1210,$D$6:D1210,"Vastgesteld")&gt;1),1,0))</f>
        <v>0</v>
      </c>
    </row>
    <row r="1211">
      <c r="S1211" s="15" t="str">
        <f>IF(J1211="","",J1211&amp;"|"&amp;E1211&amp;"|"&amp;F1211&amp;"|"&amp;I1211&amp;"|"&amp;O1211)</f>
        <v/>
      </c>
      <c r="T1211" s="15" t="str">
        <f>IF(OR(S1211="",D1211&lt;&gt;"Vastgesteld"),"",_xlfn.MAXIFS($G$6:$G$5005,$S$6:$S$5005,S1211,$D$6:$D$5005,"Vastgesteld"))</f>
        <v/>
      </c>
      <c r="U1211" s="15">
        <f>IF(T1211="",0,IF(AND(G1211=T1211,COUNTIFS($S$6:S1211,S1211,$G$6:G1211,G1211,$D$6:D1211,"Vastgesteld")=1),1,0))</f>
        <v>0</v>
      </c>
      <c r="V1211" s="15">
        <f>IF(T1211="",0,IF(AND(G1211=T1211,COUNTIFS($S$6:S1211,S1211,$G$6:G1211,G1211,$D$6:D1211,"Vastgesteld")&gt;1),1,0))</f>
        <v>0</v>
      </c>
    </row>
    <row r="1212">
      <c r="S1212" s="15" t="str">
        <f>IF(J1212="","",J1212&amp;"|"&amp;E1212&amp;"|"&amp;F1212&amp;"|"&amp;I1212&amp;"|"&amp;O1212)</f>
        <v/>
      </c>
      <c r="T1212" s="15" t="str">
        <f>IF(OR(S1212="",D1212&lt;&gt;"Vastgesteld"),"",_xlfn.MAXIFS($G$6:$G$5005,$S$6:$S$5005,S1212,$D$6:$D$5005,"Vastgesteld"))</f>
        <v/>
      </c>
      <c r="U1212" s="15">
        <f>IF(T1212="",0,IF(AND(G1212=T1212,COUNTIFS($S$6:S1212,S1212,$G$6:G1212,G1212,$D$6:D1212,"Vastgesteld")=1),1,0))</f>
        <v>0</v>
      </c>
      <c r="V1212" s="15">
        <f>IF(T1212="",0,IF(AND(G1212=T1212,COUNTIFS($S$6:S1212,S1212,$G$6:G1212,G1212,$D$6:D1212,"Vastgesteld")&gt;1),1,0))</f>
        <v>0</v>
      </c>
    </row>
    <row r="1213">
      <c r="S1213" s="15" t="str">
        <f>IF(J1213="","",J1213&amp;"|"&amp;E1213&amp;"|"&amp;F1213&amp;"|"&amp;I1213&amp;"|"&amp;O1213)</f>
        <v/>
      </c>
      <c r="T1213" s="15" t="str">
        <f>IF(OR(S1213="",D1213&lt;&gt;"Vastgesteld"),"",_xlfn.MAXIFS($G$6:$G$5005,$S$6:$S$5005,S1213,$D$6:$D$5005,"Vastgesteld"))</f>
        <v/>
      </c>
      <c r="U1213" s="15">
        <f>IF(T1213="",0,IF(AND(G1213=T1213,COUNTIFS($S$6:S1213,S1213,$G$6:G1213,G1213,$D$6:D1213,"Vastgesteld")=1),1,0))</f>
        <v>0</v>
      </c>
      <c r="V1213" s="15">
        <f>IF(T1213="",0,IF(AND(G1213=T1213,COUNTIFS($S$6:S1213,S1213,$G$6:G1213,G1213,$D$6:D1213,"Vastgesteld")&gt;1),1,0))</f>
        <v>0</v>
      </c>
    </row>
    <row r="1214">
      <c r="S1214" s="15" t="str">
        <f>IF(J1214="","",J1214&amp;"|"&amp;E1214&amp;"|"&amp;F1214&amp;"|"&amp;I1214&amp;"|"&amp;O1214)</f>
        <v/>
      </c>
      <c r="T1214" s="15" t="str">
        <f>IF(OR(S1214="",D1214&lt;&gt;"Vastgesteld"),"",_xlfn.MAXIFS($G$6:$G$5005,$S$6:$S$5005,S1214,$D$6:$D$5005,"Vastgesteld"))</f>
        <v/>
      </c>
      <c r="U1214" s="15">
        <f>IF(T1214="",0,IF(AND(G1214=T1214,COUNTIFS($S$6:S1214,S1214,$G$6:G1214,G1214,$D$6:D1214,"Vastgesteld")=1),1,0))</f>
        <v>0</v>
      </c>
      <c r="V1214" s="15">
        <f>IF(T1214="",0,IF(AND(G1214=T1214,COUNTIFS($S$6:S1214,S1214,$G$6:G1214,G1214,$D$6:D1214,"Vastgesteld")&gt;1),1,0))</f>
        <v>0</v>
      </c>
    </row>
    <row r="1215">
      <c r="S1215" s="15" t="str">
        <f>IF(J1215="","",J1215&amp;"|"&amp;E1215&amp;"|"&amp;F1215&amp;"|"&amp;I1215&amp;"|"&amp;O1215)</f>
        <v/>
      </c>
      <c r="T1215" s="15" t="str">
        <f>IF(OR(S1215="",D1215&lt;&gt;"Vastgesteld"),"",_xlfn.MAXIFS($G$6:$G$5005,$S$6:$S$5005,S1215,$D$6:$D$5005,"Vastgesteld"))</f>
        <v/>
      </c>
      <c r="U1215" s="15">
        <f>IF(T1215="",0,IF(AND(G1215=T1215,COUNTIFS($S$6:S1215,S1215,$G$6:G1215,G1215,$D$6:D1215,"Vastgesteld")=1),1,0))</f>
        <v>0</v>
      </c>
      <c r="V1215" s="15">
        <f>IF(T1215="",0,IF(AND(G1215=T1215,COUNTIFS($S$6:S1215,S1215,$G$6:G1215,G1215,$D$6:D1215,"Vastgesteld")&gt;1),1,0))</f>
        <v>0</v>
      </c>
    </row>
    <row r="1216">
      <c r="S1216" s="15" t="str">
        <f>IF(J1216="","",J1216&amp;"|"&amp;E1216&amp;"|"&amp;F1216&amp;"|"&amp;I1216&amp;"|"&amp;O1216)</f>
        <v/>
      </c>
      <c r="T1216" s="15" t="str">
        <f>IF(OR(S1216="",D1216&lt;&gt;"Vastgesteld"),"",_xlfn.MAXIFS($G$6:$G$5005,$S$6:$S$5005,S1216,$D$6:$D$5005,"Vastgesteld"))</f>
        <v/>
      </c>
      <c r="U1216" s="15">
        <f>IF(T1216="",0,IF(AND(G1216=T1216,COUNTIFS($S$6:S1216,S1216,$G$6:G1216,G1216,$D$6:D1216,"Vastgesteld")=1),1,0))</f>
        <v>0</v>
      </c>
      <c r="V1216" s="15">
        <f>IF(T1216="",0,IF(AND(G1216=T1216,COUNTIFS($S$6:S1216,S1216,$G$6:G1216,G1216,$D$6:D1216,"Vastgesteld")&gt;1),1,0))</f>
        <v>0</v>
      </c>
    </row>
    <row r="1217">
      <c r="S1217" s="15" t="str">
        <f>IF(J1217="","",J1217&amp;"|"&amp;E1217&amp;"|"&amp;F1217&amp;"|"&amp;I1217&amp;"|"&amp;O1217)</f>
        <v/>
      </c>
      <c r="T1217" s="15" t="str">
        <f>IF(OR(S1217="",D1217&lt;&gt;"Vastgesteld"),"",_xlfn.MAXIFS($G$6:$G$5005,$S$6:$S$5005,S1217,$D$6:$D$5005,"Vastgesteld"))</f>
        <v/>
      </c>
      <c r="U1217" s="15">
        <f>IF(T1217="",0,IF(AND(G1217=T1217,COUNTIFS($S$6:S1217,S1217,$G$6:G1217,G1217,$D$6:D1217,"Vastgesteld")=1),1,0))</f>
        <v>0</v>
      </c>
      <c r="V1217" s="15">
        <f>IF(T1217="",0,IF(AND(G1217=T1217,COUNTIFS($S$6:S1217,S1217,$G$6:G1217,G1217,$D$6:D1217,"Vastgesteld")&gt;1),1,0))</f>
        <v>0</v>
      </c>
    </row>
    <row r="1218">
      <c r="S1218" s="15" t="str">
        <f>IF(J1218="","",J1218&amp;"|"&amp;E1218&amp;"|"&amp;F1218&amp;"|"&amp;I1218&amp;"|"&amp;O1218)</f>
        <v/>
      </c>
      <c r="T1218" s="15" t="str">
        <f>IF(OR(S1218="",D1218&lt;&gt;"Vastgesteld"),"",_xlfn.MAXIFS($G$6:$G$5005,$S$6:$S$5005,S1218,$D$6:$D$5005,"Vastgesteld"))</f>
        <v/>
      </c>
      <c r="U1218" s="15">
        <f>IF(T1218="",0,IF(AND(G1218=T1218,COUNTIFS($S$6:S1218,S1218,$G$6:G1218,G1218,$D$6:D1218,"Vastgesteld")=1),1,0))</f>
        <v>0</v>
      </c>
      <c r="V1218" s="15">
        <f>IF(T1218="",0,IF(AND(G1218=T1218,COUNTIFS($S$6:S1218,S1218,$G$6:G1218,G1218,$D$6:D1218,"Vastgesteld")&gt;1),1,0))</f>
        <v>0</v>
      </c>
    </row>
    <row r="1219">
      <c r="S1219" s="15" t="str">
        <f>IF(J1219="","",J1219&amp;"|"&amp;E1219&amp;"|"&amp;F1219&amp;"|"&amp;I1219&amp;"|"&amp;O1219)</f>
        <v/>
      </c>
      <c r="T1219" s="15" t="str">
        <f>IF(OR(S1219="",D1219&lt;&gt;"Vastgesteld"),"",_xlfn.MAXIFS($G$6:$G$5005,$S$6:$S$5005,S1219,$D$6:$D$5005,"Vastgesteld"))</f>
        <v/>
      </c>
      <c r="U1219" s="15">
        <f>IF(T1219="",0,IF(AND(G1219=T1219,COUNTIFS($S$6:S1219,S1219,$G$6:G1219,G1219,$D$6:D1219,"Vastgesteld")=1),1,0))</f>
        <v>0</v>
      </c>
      <c r="V1219" s="15">
        <f>IF(T1219="",0,IF(AND(G1219=T1219,COUNTIFS($S$6:S1219,S1219,$G$6:G1219,G1219,$D$6:D1219,"Vastgesteld")&gt;1),1,0))</f>
        <v>0</v>
      </c>
    </row>
    <row r="1220">
      <c r="S1220" s="15" t="str">
        <f>IF(J1220="","",J1220&amp;"|"&amp;E1220&amp;"|"&amp;F1220&amp;"|"&amp;I1220&amp;"|"&amp;O1220)</f>
        <v/>
      </c>
      <c r="T1220" s="15" t="str">
        <f>IF(OR(S1220="",D1220&lt;&gt;"Vastgesteld"),"",_xlfn.MAXIFS($G$6:$G$5005,$S$6:$S$5005,S1220,$D$6:$D$5005,"Vastgesteld"))</f>
        <v/>
      </c>
      <c r="U1220" s="15">
        <f>IF(T1220="",0,IF(AND(G1220=T1220,COUNTIFS($S$6:S1220,S1220,$G$6:G1220,G1220,$D$6:D1220,"Vastgesteld")=1),1,0))</f>
        <v>0</v>
      </c>
      <c r="V1220" s="15">
        <f>IF(T1220="",0,IF(AND(G1220=T1220,COUNTIFS($S$6:S1220,S1220,$G$6:G1220,G1220,$D$6:D1220,"Vastgesteld")&gt;1),1,0))</f>
        <v>0</v>
      </c>
    </row>
    <row r="1221">
      <c r="S1221" s="15" t="str">
        <f>IF(J1221="","",J1221&amp;"|"&amp;E1221&amp;"|"&amp;F1221&amp;"|"&amp;I1221&amp;"|"&amp;O1221)</f>
        <v/>
      </c>
      <c r="T1221" s="15" t="str">
        <f>IF(OR(S1221="",D1221&lt;&gt;"Vastgesteld"),"",_xlfn.MAXIFS($G$6:$G$5005,$S$6:$S$5005,S1221,$D$6:$D$5005,"Vastgesteld"))</f>
        <v/>
      </c>
      <c r="U1221" s="15">
        <f>IF(T1221="",0,IF(AND(G1221=T1221,COUNTIFS($S$6:S1221,S1221,$G$6:G1221,G1221,$D$6:D1221,"Vastgesteld")=1),1,0))</f>
        <v>0</v>
      </c>
      <c r="V1221" s="15">
        <f>IF(T1221="",0,IF(AND(G1221=T1221,COUNTIFS($S$6:S1221,S1221,$G$6:G1221,G1221,$D$6:D1221,"Vastgesteld")&gt;1),1,0))</f>
        <v>0</v>
      </c>
    </row>
    <row r="1222">
      <c r="S1222" s="15" t="str">
        <f>IF(J1222="","",J1222&amp;"|"&amp;E1222&amp;"|"&amp;F1222&amp;"|"&amp;I1222&amp;"|"&amp;O1222)</f>
        <v/>
      </c>
      <c r="T1222" s="15" t="str">
        <f>IF(OR(S1222="",D1222&lt;&gt;"Vastgesteld"),"",_xlfn.MAXIFS($G$6:$G$5005,$S$6:$S$5005,S1222,$D$6:$D$5005,"Vastgesteld"))</f>
        <v/>
      </c>
      <c r="U1222" s="15">
        <f>IF(T1222="",0,IF(AND(G1222=T1222,COUNTIFS($S$6:S1222,S1222,$G$6:G1222,G1222,$D$6:D1222,"Vastgesteld")=1),1,0))</f>
        <v>0</v>
      </c>
      <c r="V1222" s="15">
        <f>IF(T1222="",0,IF(AND(G1222=T1222,COUNTIFS($S$6:S1222,S1222,$G$6:G1222,G1222,$D$6:D1222,"Vastgesteld")&gt;1),1,0))</f>
        <v>0</v>
      </c>
    </row>
    <row r="1223">
      <c r="S1223" s="15" t="str">
        <f>IF(J1223="","",J1223&amp;"|"&amp;E1223&amp;"|"&amp;F1223&amp;"|"&amp;I1223&amp;"|"&amp;O1223)</f>
        <v/>
      </c>
      <c r="T1223" s="15" t="str">
        <f>IF(OR(S1223="",D1223&lt;&gt;"Vastgesteld"),"",_xlfn.MAXIFS($G$6:$G$5005,$S$6:$S$5005,S1223,$D$6:$D$5005,"Vastgesteld"))</f>
        <v/>
      </c>
      <c r="U1223" s="15">
        <f>IF(T1223="",0,IF(AND(G1223=T1223,COUNTIFS($S$6:S1223,S1223,$G$6:G1223,G1223,$D$6:D1223,"Vastgesteld")=1),1,0))</f>
        <v>0</v>
      </c>
      <c r="V1223" s="15">
        <f>IF(T1223="",0,IF(AND(G1223=T1223,COUNTIFS($S$6:S1223,S1223,$G$6:G1223,G1223,$D$6:D1223,"Vastgesteld")&gt;1),1,0))</f>
        <v>0</v>
      </c>
    </row>
    <row r="1224">
      <c r="S1224" s="15" t="str">
        <f>IF(J1224="","",J1224&amp;"|"&amp;E1224&amp;"|"&amp;F1224&amp;"|"&amp;I1224&amp;"|"&amp;O1224)</f>
        <v/>
      </c>
      <c r="T1224" s="15" t="str">
        <f>IF(OR(S1224="",D1224&lt;&gt;"Vastgesteld"),"",_xlfn.MAXIFS($G$6:$G$5005,$S$6:$S$5005,S1224,$D$6:$D$5005,"Vastgesteld"))</f>
        <v/>
      </c>
      <c r="U1224" s="15">
        <f>IF(T1224="",0,IF(AND(G1224=T1224,COUNTIFS($S$6:S1224,S1224,$G$6:G1224,G1224,$D$6:D1224,"Vastgesteld")=1),1,0))</f>
        <v>0</v>
      </c>
      <c r="V1224" s="15">
        <f>IF(T1224="",0,IF(AND(G1224=T1224,COUNTIFS($S$6:S1224,S1224,$G$6:G1224,G1224,$D$6:D1224,"Vastgesteld")&gt;1),1,0))</f>
        <v>0</v>
      </c>
    </row>
    <row r="1225">
      <c r="S1225" s="15" t="str">
        <f>IF(J1225="","",J1225&amp;"|"&amp;E1225&amp;"|"&amp;F1225&amp;"|"&amp;I1225&amp;"|"&amp;O1225)</f>
        <v/>
      </c>
      <c r="T1225" s="15" t="str">
        <f>IF(OR(S1225="",D1225&lt;&gt;"Vastgesteld"),"",_xlfn.MAXIFS($G$6:$G$5005,$S$6:$S$5005,S1225,$D$6:$D$5005,"Vastgesteld"))</f>
        <v/>
      </c>
      <c r="U1225" s="15">
        <f>IF(T1225="",0,IF(AND(G1225=T1225,COUNTIFS($S$6:S1225,S1225,$G$6:G1225,G1225,$D$6:D1225,"Vastgesteld")=1),1,0))</f>
        <v>0</v>
      </c>
      <c r="V1225" s="15">
        <f>IF(T1225="",0,IF(AND(G1225=T1225,COUNTIFS($S$6:S1225,S1225,$G$6:G1225,G1225,$D$6:D1225,"Vastgesteld")&gt;1),1,0))</f>
        <v>0</v>
      </c>
    </row>
    <row r="1226">
      <c r="S1226" s="15" t="str">
        <f>IF(J1226="","",J1226&amp;"|"&amp;E1226&amp;"|"&amp;F1226&amp;"|"&amp;I1226&amp;"|"&amp;O1226)</f>
        <v/>
      </c>
      <c r="T1226" s="15" t="str">
        <f>IF(OR(S1226="",D1226&lt;&gt;"Vastgesteld"),"",_xlfn.MAXIFS($G$6:$G$5005,$S$6:$S$5005,S1226,$D$6:$D$5005,"Vastgesteld"))</f>
        <v/>
      </c>
      <c r="U1226" s="15">
        <f>IF(T1226="",0,IF(AND(G1226=T1226,COUNTIFS($S$6:S1226,S1226,$G$6:G1226,G1226,$D$6:D1226,"Vastgesteld")=1),1,0))</f>
        <v>0</v>
      </c>
      <c r="V1226" s="15">
        <f>IF(T1226="",0,IF(AND(G1226=T1226,COUNTIFS($S$6:S1226,S1226,$G$6:G1226,G1226,$D$6:D1226,"Vastgesteld")&gt;1),1,0))</f>
        <v>0</v>
      </c>
    </row>
    <row r="1227">
      <c r="S1227" s="15" t="str">
        <f>IF(J1227="","",J1227&amp;"|"&amp;E1227&amp;"|"&amp;F1227&amp;"|"&amp;I1227&amp;"|"&amp;O1227)</f>
        <v/>
      </c>
      <c r="T1227" s="15" t="str">
        <f>IF(OR(S1227="",D1227&lt;&gt;"Vastgesteld"),"",_xlfn.MAXIFS($G$6:$G$5005,$S$6:$S$5005,S1227,$D$6:$D$5005,"Vastgesteld"))</f>
        <v/>
      </c>
      <c r="U1227" s="15">
        <f>IF(T1227="",0,IF(AND(G1227=T1227,COUNTIFS($S$6:S1227,S1227,$G$6:G1227,G1227,$D$6:D1227,"Vastgesteld")=1),1,0))</f>
        <v>0</v>
      </c>
      <c r="V1227" s="15">
        <f>IF(T1227="",0,IF(AND(G1227=T1227,COUNTIFS($S$6:S1227,S1227,$G$6:G1227,G1227,$D$6:D1227,"Vastgesteld")&gt;1),1,0))</f>
        <v>0</v>
      </c>
    </row>
    <row r="1228">
      <c r="S1228" s="15" t="str">
        <f>IF(J1228="","",J1228&amp;"|"&amp;E1228&amp;"|"&amp;F1228&amp;"|"&amp;I1228&amp;"|"&amp;O1228)</f>
        <v/>
      </c>
      <c r="T1228" s="15" t="str">
        <f>IF(OR(S1228="",D1228&lt;&gt;"Vastgesteld"),"",_xlfn.MAXIFS($G$6:$G$5005,$S$6:$S$5005,S1228,$D$6:$D$5005,"Vastgesteld"))</f>
        <v/>
      </c>
      <c r="U1228" s="15">
        <f>IF(T1228="",0,IF(AND(G1228=T1228,COUNTIFS($S$6:S1228,S1228,$G$6:G1228,G1228,$D$6:D1228,"Vastgesteld")=1),1,0))</f>
        <v>0</v>
      </c>
      <c r="V1228" s="15">
        <f>IF(T1228="",0,IF(AND(G1228=T1228,COUNTIFS($S$6:S1228,S1228,$G$6:G1228,G1228,$D$6:D1228,"Vastgesteld")&gt;1),1,0))</f>
        <v>0</v>
      </c>
    </row>
    <row r="1229">
      <c r="S1229" s="15" t="str">
        <f>IF(J1229="","",J1229&amp;"|"&amp;E1229&amp;"|"&amp;F1229&amp;"|"&amp;I1229&amp;"|"&amp;O1229)</f>
        <v/>
      </c>
      <c r="T1229" s="15" t="str">
        <f>IF(OR(S1229="",D1229&lt;&gt;"Vastgesteld"),"",_xlfn.MAXIFS($G$6:$G$5005,$S$6:$S$5005,S1229,$D$6:$D$5005,"Vastgesteld"))</f>
        <v/>
      </c>
      <c r="U1229" s="15">
        <f>IF(T1229="",0,IF(AND(G1229=T1229,COUNTIFS($S$6:S1229,S1229,$G$6:G1229,G1229,$D$6:D1229,"Vastgesteld")=1),1,0))</f>
        <v>0</v>
      </c>
      <c r="V1229" s="15">
        <f>IF(T1229="",0,IF(AND(G1229=T1229,COUNTIFS($S$6:S1229,S1229,$G$6:G1229,G1229,$D$6:D1229,"Vastgesteld")&gt;1),1,0))</f>
        <v>0</v>
      </c>
    </row>
    <row r="1230">
      <c r="S1230" s="15" t="str">
        <f>IF(J1230="","",J1230&amp;"|"&amp;E1230&amp;"|"&amp;F1230&amp;"|"&amp;I1230&amp;"|"&amp;O1230)</f>
        <v/>
      </c>
      <c r="T1230" s="15" t="str">
        <f>IF(OR(S1230="",D1230&lt;&gt;"Vastgesteld"),"",_xlfn.MAXIFS($G$6:$G$5005,$S$6:$S$5005,S1230,$D$6:$D$5005,"Vastgesteld"))</f>
        <v/>
      </c>
      <c r="U1230" s="15">
        <f>IF(T1230="",0,IF(AND(G1230=T1230,COUNTIFS($S$6:S1230,S1230,$G$6:G1230,G1230,$D$6:D1230,"Vastgesteld")=1),1,0))</f>
        <v>0</v>
      </c>
      <c r="V1230" s="15">
        <f>IF(T1230="",0,IF(AND(G1230=T1230,COUNTIFS($S$6:S1230,S1230,$G$6:G1230,G1230,$D$6:D1230,"Vastgesteld")&gt;1),1,0))</f>
        <v>0</v>
      </c>
    </row>
    <row r="1231">
      <c r="S1231" s="15" t="str">
        <f>IF(J1231="","",J1231&amp;"|"&amp;E1231&amp;"|"&amp;F1231&amp;"|"&amp;I1231&amp;"|"&amp;O1231)</f>
        <v/>
      </c>
      <c r="T1231" s="15" t="str">
        <f>IF(OR(S1231="",D1231&lt;&gt;"Vastgesteld"),"",_xlfn.MAXIFS($G$6:$G$5005,$S$6:$S$5005,S1231,$D$6:$D$5005,"Vastgesteld"))</f>
        <v/>
      </c>
      <c r="U1231" s="15">
        <f>IF(T1231="",0,IF(AND(G1231=T1231,COUNTIFS($S$6:S1231,S1231,$G$6:G1231,G1231,$D$6:D1231,"Vastgesteld")=1),1,0))</f>
        <v>0</v>
      </c>
      <c r="V1231" s="15">
        <f>IF(T1231="",0,IF(AND(G1231=T1231,COUNTIFS($S$6:S1231,S1231,$G$6:G1231,G1231,$D$6:D1231,"Vastgesteld")&gt;1),1,0))</f>
        <v>0</v>
      </c>
    </row>
    <row r="1232">
      <c r="S1232" s="15" t="str">
        <f>IF(J1232="","",J1232&amp;"|"&amp;E1232&amp;"|"&amp;F1232&amp;"|"&amp;I1232&amp;"|"&amp;O1232)</f>
        <v/>
      </c>
      <c r="T1232" s="15" t="str">
        <f>IF(OR(S1232="",D1232&lt;&gt;"Vastgesteld"),"",_xlfn.MAXIFS($G$6:$G$5005,$S$6:$S$5005,S1232,$D$6:$D$5005,"Vastgesteld"))</f>
        <v/>
      </c>
      <c r="U1232" s="15">
        <f>IF(T1232="",0,IF(AND(G1232=T1232,COUNTIFS($S$6:S1232,S1232,$G$6:G1232,G1232,$D$6:D1232,"Vastgesteld")=1),1,0))</f>
        <v>0</v>
      </c>
      <c r="V1232" s="15">
        <f>IF(T1232="",0,IF(AND(G1232=T1232,COUNTIFS($S$6:S1232,S1232,$G$6:G1232,G1232,$D$6:D1232,"Vastgesteld")&gt;1),1,0))</f>
        <v>0</v>
      </c>
    </row>
    <row r="1233">
      <c r="S1233" s="15" t="str">
        <f>IF(J1233="","",J1233&amp;"|"&amp;E1233&amp;"|"&amp;F1233&amp;"|"&amp;I1233&amp;"|"&amp;O1233)</f>
        <v/>
      </c>
      <c r="T1233" s="15" t="str">
        <f>IF(OR(S1233="",D1233&lt;&gt;"Vastgesteld"),"",_xlfn.MAXIFS($G$6:$G$5005,$S$6:$S$5005,S1233,$D$6:$D$5005,"Vastgesteld"))</f>
        <v/>
      </c>
      <c r="U1233" s="15">
        <f>IF(T1233="",0,IF(AND(G1233=T1233,COUNTIFS($S$6:S1233,S1233,$G$6:G1233,G1233,$D$6:D1233,"Vastgesteld")=1),1,0))</f>
        <v>0</v>
      </c>
      <c r="V1233" s="15">
        <f>IF(T1233="",0,IF(AND(G1233=T1233,COUNTIFS($S$6:S1233,S1233,$G$6:G1233,G1233,$D$6:D1233,"Vastgesteld")&gt;1),1,0))</f>
        <v>0</v>
      </c>
    </row>
    <row r="1234">
      <c r="S1234" s="15" t="str">
        <f>IF(J1234="","",J1234&amp;"|"&amp;E1234&amp;"|"&amp;F1234&amp;"|"&amp;I1234&amp;"|"&amp;O1234)</f>
        <v/>
      </c>
      <c r="T1234" s="15" t="str">
        <f>IF(OR(S1234="",D1234&lt;&gt;"Vastgesteld"),"",_xlfn.MAXIFS($G$6:$G$5005,$S$6:$S$5005,S1234,$D$6:$D$5005,"Vastgesteld"))</f>
        <v/>
      </c>
      <c r="U1234" s="15">
        <f>IF(T1234="",0,IF(AND(G1234=T1234,COUNTIFS($S$6:S1234,S1234,$G$6:G1234,G1234,$D$6:D1234,"Vastgesteld")=1),1,0))</f>
        <v>0</v>
      </c>
      <c r="V1234" s="15">
        <f>IF(T1234="",0,IF(AND(G1234=T1234,COUNTIFS($S$6:S1234,S1234,$G$6:G1234,G1234,$D$6:D1234,"Vastgesteld")&gt;1),1,0))</f>
        <v>0</v>
      </c>
    </row>
    <row r="1235">
      <c r="S1235" s="15" t="str">
        <f>IF(J1235="","",J1235&amp;"|"&amp;E1235&amp;"|"&amp;F1235&amp;"|"&amp;I1235&amp;"|"&amp;O1235)</f>
        <v/>
      </c>
      <c r="T1235" s="15" t="str">
        <f>IF(OR(S1235="",D1235&lt;&gt;"Vastgesteld"),"",_xlfn.MAXIFS($G$6:$G$5005,$S$6:$S$5005,S1235,$D$6:$D$5005,"Vastgesteld"))</f>
        <v/>
      </c>
      <c r="U1235" s="15">
        <f>IF(T1235="",0,IF(AND(G1235=T1235,COUNTIFS($S$6:S1235,S1235,$G$6:G1235,G1235,$D$6:D1235,"Vastgesteld")=1),1,0))</f>
        <v>0</v>
      </c>
      <c r="V1235" s="15">
        <f>IF(T1235="",0,IF(AND(G1235=T1235,COUNTIFS($S$6:S1235,S1235,$G$6:G1235,G1235,$D$6:D1235,"Vastgesteld")&gt;1),1,0))</f>
        <v>0</v>
      </c>
    </row>
    <row r="1236">
      <c r="S1236" s="15" t="str">
        <f>IF(J1236="","",J1236&amp;"|"&amp;E1236&amp;"|"&amp;F1236&amp;"|"&amp;I1236&amp;"|"&amp;O1236)</f>
        <v/>
      </c>
      <c r="T1236" s="15" t="str">
        <f>IF(OR(S1236="",D1236&lt;&gt;"Vastgesteld"),"",_xlfn.MAXIFS($G$6:$G$5005,$S$6:$S$5005,S1236,$D$6:$D$5005,"Vastgesteld"))</f>
        <v/>
      </c>
      <c r="U1236" s="15">
        <f>IF(T1236="",0,IF(AND(G1236=T1236,COUNTIFS($S$6:S1236,S1236,$G$6:G1236,G1236,$D$6:D1236,"Vastgesteld")=1),1,0))</f>
        <v>0</v>
      </c>
      <c r="V1236" s="15">
        <f>IF(T1236="",0,IF(AND(G1236=T1236,COUNTIFS($S$6:S1236,S1236,$G$6:G1236,G1236,$D$6:D1236,"Vastgesteld")&gt;1),1,0))</f>
        <v>0</v>
      </c>
    </row>
    <row r="1237">
      <c r="S1237" s="15" t="str">
        <f>IF(J1237="","",J1237&amp;"|"&amp;E1237&amp;"|"&amp;F1237&amp;"|"&amp;I1237&amp;"|"&amp;O1237)</f>
        <v/>
      </c>
      <c r="T1237" s="15" t="str">
        <f>IF(OR(S1237="",D1237&lt;&gt;"Vastgesteld"),"",_xlfn.MAXIFS($G$6:$G$5005,$S$6:$S$5005,S1237,$D$6:$D$5005,"Vastgesteld"))</f>
        <v/>
      </c>
      <c r="U1237" s="15">
        <f>IF(T1237="",0,IF(AND(G1237=T1237,COUNTIFS($S$6:S1237,S1237,$G$6:G1237,G1237,$D$6:D1237,"Vastgesteld")=1),1,0))</f>
        <v>0</v>
      </c>
      <c r="V1237" s="15">
        <f>IF(T1237="",0,IF(AND(G1237=T1237,COUNTIFS($S$6:S1237,S1237,$G$6:G1237,G1237,$D$6:D1237,"Vastgesteld")&gt;1),1,0))</f>
        <v>0</v>
      </c>
    </row>
    <row r="1238">
      <c r="S1238" s="15" t="str">
        <f>IF(J1238="","",J1238&amp;"|"&amp;E1238&amp;"|"&amp;F1238&amp;"|"&amp;I1238&amp;"|"&amp;O1238)</f>
        <v/>
      </c>
      <c r="T1238" s="15" t="str">
        <f>IF(OR(S1238="",D1238&lt;&gt;"Vastgesteld"),"",_xlfn.MAXIFS($G$6:$G$5005,$S$6:$S$5005,S1238,$D$6:$D$5005,"Vastgesteld"))</f>
        <v/>
      </c>
      <c r="U1238" s="15">
        <f>IF(T1238="",0,IF(AND(G1238=T1238,COUNTIFS($S$6:S1238,S1238,$G$6:G1238,G1238,$D$6:D1238,"Vastgesteld")=1),1,0))</f>
        <v>0</v>
      </c>
      <c r="V1238" s="15">
        <f>IF(T1238="",0,IF(AND(G1238=T1238,COUNTIFS($S$6:S1238,S1238,$G$6:G1238,G1238,$D$6:D1238,"Vastgesteld")&gt;1),1,0))</f>
        <v>0</v>
      </c>
    </row>
    <row r="1239">
      <c r="S1239" s="15" t="str">
        <f>IF(J1239="","",J1239&amp;"|"&amp;E1239&amp;"|"&amp;F1239&amp;"|"&amp;I1239&amp;"|"&amp;O1239)</f>
        <v/>
      </c>
      <c r="T1239" s="15" t="str">
        <f>IF(OR(S1239="",D1239&lt;&gt;"Vastgesteld"),"",_xlfn.MAXIFS($G$6:$G$5005,$S$6:$S$5005,S1239,$D$6:$D$5005,"Vastgesteld"))</f>
        <v/>
      </c>
      <c r="U1239" s="15">
        <f>IF(T1239="",0,IF(AND(G1239=T1239,COUNTIFS($S$6:S1239,S1239,$G$6:G1239,G1239,$D$6:D1239,"Vastgesteld")=1),1,0))</f>
        <v>0</v>
      </c>
      <c r="V1239" s="15">
        <f>IF(T1239="",0,IF(AND(G1239=T1239,COUNTIFS($S$6:S1239,S1239,$G$6:G1239,G1239,$D$6:D1239,"Vastgesteld")&gt;1),1,0))</f>
        <v>0</v>
      </c>
    </row>
    <row r="1240">
      <c r="S1240" s="15" t="str">
        <f>IF(J1240="","",J1240&amp;"|"&amp;E1240&amp;"|"&amp;F1240&amp;"|"&amp;I1240&amp;"|"&amp;O1240)</f>
        <v/>
      </c>
      <c r="T1240" s="15" t="str">
        <f>IF(OR(S1240="",D1240&lt;&gt;"Vastgesteld"),"",_xlfn.MAXIFS($G$6:$G$5005,$S$6:$S$5005,S1240,$D$6:$D$5005,"Vastgesteld"))</f>
        <v/>
      </c>
      <c r="U1240" s="15">
        <f>IF(T1240="",0,IF(AND(G1240=T1240,COUNTIFS($S$6:S1240,S1240,$G$6:G1240,G1240,$D$6:D1240,"Vastgesteld")=1),1,0))</f>
        <v>0</v>
      </c>
      <c r="V1240" s="15">
        <f>IF(T1240="",0,IF(AND(G1240=T1240,COUNTIFS($S$6:S1240,S1240,$G$6:G1240,G1240,$D$6:D1240,"Vastgesteld")&gt;1),1,0))</f>
        <v>0</v>
      </c>
    </row>
    <row r="1241">
      <c r="S1241" s="15" t="str">
        <f>IF(J1241="","",J1241&amp;"|"&amp;E1241&amp;"|"&amp;F1241&amp;"|"&amp;I1241&amp;"|"&amp;O1241)</f>
        <v/>
      </c>
      <c r="T1241" s="15" t="str">
        <f>IF(OR(S1241="",D1241&lt;&gt;"Vastgesteld"),"",_xlfn.MAXIFS($G$6:$G$5005,$S$6:$S$5005,S1241,$D$6:$D$5005,"Vastgesteld"))</f>
        <v/>
      </c>
      <c r="U1241" s="15">
        <f>IF(T1241="",0,IF(AND(G1241=T1241,COUNTIFS($S$6:S1241,S1241,$G$6:G1241,G1241,$D$6:D1241,"Vastgesteld")=1),1,0))</f>
        <v>0</v>
      </c>
      <c r="V1241" s="15">
        <f>IF(T1241="",0,IF(AND(G1241=T1241,COUNTIFS($S$6:S1241,S1241,$G$6:G1241,G1241,$D$6:D1241,"Vastgesteld")&gt;1),1,0))</f>
        <v>0</v>
      </c>
    </row>
    <row r="1242">
      <c r="S1242" s="15" t="str">
        <f>IF(J1242="","",J1242&amp;"|"&amp;E1242&amp;"|"&amp;F1242&amp;"|"&amp;I1242&amp;"|"&amp;O1242)</f>
        <v/>
      </c>
      <c r="T1242" s="15" t="str">
        <f>IF(OR(S1242="",D1242&lt;&gt;"Vastgesteld"),"",_xlfn.MAXIFS($G$6:$G$5005,$S$6:$S$5005,S1242,$D$6:$D$5005,"Vastgesteld"))</f>
        <v/>
      </c>
      <c r="U1242" s="15">
        <f>IF(T1242="",0,IF(AND(G1242=T1242,COUNTIFS($S$6:S1242,S1242,$G$6:G1242,G1242,$D$6:D1242,"Vastgesteld")=1),1,0))</f>
        <v>0</v>
      </c>
      <c r="V1242" s="15">
        <f>IF(T1242="",0,IF(AND(G1242=T1242,COUNTIFS($S$6:S1242,S1242,$G$6:G1242,G1242,$D$6:D1242,"Vastgesteld")&gt;1),1,0))</f>
        <v>0</v>
      </c>
    </row>
    <row r="1243">
      <c r="S1243" s="15" t="str">
        <f>IF(J1243="","",J1243&amp;"|"&amp;E1243&amp;"|"&amp;F1243&amp;"|"&amp;I1243&amp;"|"&amp;O1243)</f>
        <v/>
      </c>
      <c r="T1243" s="15" t="str">
        <f>IF(OR(S1243="",D1243&lt;&gt;"Vastgesteld"),"",_xlfn.MAXIFS($G$6:$G$5005,$S$6:$S$5005,S1243,$D$6:$D$5005,"Vastgesteld"))</f>
        <v/>
      </c>
      <c r="U1243" s="15">
        <f>IF(T1243="",0,IF(AND(G1243=T1243,COUNTIFS($S$6:S1243,S1243,$G$6:G1243,G1243,$D$6:D1243,"Vastgesteld")=1),1,0))</f>
        <v>0</v>
      </c>
      <c r="V1243" s="15">
        <f>IF(T1243="",0,IF(AND(G1243=T1243,COUNTIFS($S$6:S1243,S1243,$G$6:G1243,G1243,$D$6:D1243,"Vastgesteld")&gt;1),1,0))</f>
        <v>0</v>
      </c>
    </row>
    <row r="1244">
      <c r="S1244" s="15" t="str">
        <f>IF(J1244="","",J1244&amp;"|"&amp;E1244&amp;"|"&amp;F1244&amp;"|"&amp;I1244&amp;"|"&amp;O1244)</f>
        <v/>
      </c>
      <c r="T1244" s="15" t="str">
        <f>IF(OR(S1244="",D1244&lt;&gt;"Vastgesteld"),"",_xlfn.MAXIFS($G$6:$G$5005,$S$6:$S$5005,S1244,$D$6:$D$5005,"Vastgesteld"))</f>
        <v/>
      </c>
      <c r="U1244" s="15">
        <f>IF(T1244="",0,IF(AND(G1244=T1244,COUNTIFS($S$6:S1244,S1244,$G$6:G1244,G1244,$D$6:D1244,"Vastgesteld")=1),1,0))</f>
        <v>0</v>
      </c>
      <c r="V1244" s="15">
        <f>IF(T1244="",0,IF(AND(G1244=T1244,COUNTIFS($S$6:S1244,S1244,$G$6:G1244,G1244,$D$6:D1244,"Vastgesteld")&gt;1),1,0))</f>
        <v>0</v>
      </c>
    </row>
    <row r="1245">
      <c r="S1245" s="15" t="str">
        <f>IF(J1245="","",J1245&amp;"|"&amp;E1245&amp;"|"&amp;F1245&amp;"|"&amp;I1245&amp;"|"&amp;O1245)</f>
        <v/>
      </c>
      <c r="T1245" s="15" t="str">
        <f>IF(OR(S1245="",D1245&lt;&gt;"Vastgesteld"),"",_xlfn.MAXIFS($G$6:$G$5005,$S$6:$S$5005,S1245,$D$6:$D$5005,"Vastgesteld"))</f>
        <v/>
      </c>
      <c r="U1245" s="15">
        <f>IF(T1245="",0,IF(AND(G1245=T1245,COUNTIFS($S$6:S1245,S1245,$G$6:G1245,G1245,$D$6:D1245,"Vastgesteld")=1),1,0))</f>
        <v>0</v>
      </c>
      <c r="V1245" s="15">
        <f>IF(T1245="",0,IF(AND(G1245=T1245,COUNTIFS($S$6:S1245,S1245,$G$6:G1245,G1245,$D$6:D1245,"Vastgesteld")&gt;1),1,0))</f>
        <v>0</v>
      </c>
    </row>
    <row r="1246">
      <c r="S1246" s="15" t="str">
        <f>IF(J1246="","",J1246&amp;"|"&amp;E1246&amp;"|"&amp;F1246&amp;"|"&amp;I1246&amp;"|"&amp;O1246)</f>
        <v/>
      </c>
      <c r="T1246" s="15" t="str">
        <f>IF(OR(S1246="",D1246&lt;&gt;"Vastgesteld"),"",_xlfn.MAXIFS($G$6:$G$5005,$S$6:$S$5005,S1246,$D$6:$D$5005,"Vastgesteld"))</f>
        <v/>
      </c>
      <c r="U1246" s="15">
        <f>IF(T1246="",0,IF(AND(G1246=T1246,COUNTIFS($S$6:S1246,S1246,$G$6:G1246,G1246,$D$6:D1246,"Vastgesteld")=1),1,0))</f>
        <v>0</v>
      </c>
      <c r="V1246" s="15">
        <f>IF(T1246="",0,IF(AND(G1246=T1246,COUNTIFS($S$6:S1246,S1246,$G$6:G1246,G1246,$D$6:D1246,"Vastgesteld")&gt;1),1,0))</f>
        <v>0</v>
      </c>
    </row>
    <row r="1247">
      <c r="S1247" s="15" t="str">
        <f>IF(J1247="","",J1247&amp;"|"&amp;E1247&amp;"|"&amp;F1247&amp;"|"&amp;I1247&amp;"|"&amp;O1247)</f>
        <v/>
      </c>
      <c r="T1247" s="15" t="str">
        <f>IF(OR(S1247="",D1247&lt;&gt;"Vastgesteld"),"",_xlfn.MAXIFS($G$6:$G$5005,$S$6:$S$5005,S1247,$D$6:$D$5005,"Vastgesteld"))</f>
        <v/>
      </c>
      <c r="U1247" s="15">
        <f>IF(T1247="",0,IF(AND(G1247=T1247,COUNTIFS($S$6:S1247,S1247,$G$6:G1247,G1247,$D$6:D1247,"Vastgesteld")=1),1,0))</f>
        <v>0</v>
      </c>
      <c r="V1247" s="15">
        <f>IF(T1247="",0,IF(AND(G1247=T1247,COUNTIFS($S$6:S1247,S1247,$G$6:G1247,G1247,$D$6:D1247,"Vastgesteld")&gt;1),1,0))</f>
        <v>0</v>
      </c>
    </row>
    <row r="1248">
      <c r="S1248" s="15" t="str">
        <f>IF(J1248="","",J1248&amp;"|"&amp;E1248&amp;"|"&amp;F1248&amp;"|"&amp;I1248&amp;"|"&amp;O1248)</f>
        <v/>
      </c>
      <c r="T1248" s="15" t="str">
        <f>IF(OR(S1248="",D1248&lt;&gt;"Vastgesteld"),"",_xlfn.MAXIFS($G$6:$G$5005,$S$6:$S$5005,S1248,$D$6:$D$5005,"Vastgesteld"))</f>
        <v/>
      </c>
      <c r="U1248" s="15">
        <f>IF(T1248="",0,IF(AND(G1248=T1248,COUNTIFS($S$6:S1248,S1248,$G$6:G1248,G1248,$D$6:D1248,"Vastgesteld")=1),1,0))</f>
        <v>0</v>
      </c>
      <c r="V1248" s="15">
        <f>IF(T1248="",0,IF(AND(G1248=T1248,COUNTIFS($S$6:S1248,S1248,$G$6:G1248,G1248,$D$6:D1248,"Vastgesteld")&gt;1),1,0))</f>
        <v>0</v>
      </c>
    </row>
    <row r="1249">
      <c r="S1249" s="15" t="str">
        <f>IF(J1249="","",J1249&amp;"|"&amp;E1249&amp;"|"&amp;F1249&amp;"|"&amp;I1249&amp;"|"&amp;O1249)</f>
        <v/>
      </c>
      <c r="T1249" s="15" t="str">
        <f>IF(OR(S1249="",D1249&lt;&gt;"Vastgesteld"),"",_xlfn.MAXIFS($G$6:$G$5005,$S$6:$S$5005,S1249,$D$6:$D$5005,"Vastgesteld"))</f>
        <v/>
      </c>
      <c r="U1249" s="15">
        <f>IF(T1249="",0,IF(AND(G1249=T1249,COUNTIFS($S$6:S1249,S1249,$G$6:G1249,G1249,$D$6:D1249,"Vastgesteld")=1),1,0))</f>
        <v>0</v>
      </c>
      <c r="V1249" s="15">
        <f>IF(T1249="",0,IF(AND(G1249=T1249,COUNTIFS($S$6:S1249,S1249,$G$6:G1249,G1249,$D$6:D1249,"Vastgesteld")&gt;1),1,0))</f>
        <v>0</v>
      </c>
    </row>
    <row r="1250">
      <c r="S1250" s="15" t="str">
        <f>IF(J1250="","",J1250&amp;"|"&amp;E1250&amp;"|"&amp;F1250&amp;"|"&amp;I1250&amp;"|"&amp;O1250)</f>
        <v/>
      </c>
      <c r="T1250" s="15" t="str">
        <f>IF(OR(S1250="",D1250&lt;&gt;"Vastgesteld"),"",_xlfn.MAXIFS($G$6:$G$5005,$S$6:$S$5005,S1250,$D$6:$D$5005,"Vastgesteld"))</f>
        <v/>
      </c>
      <c r="U1250" s="15">
        <f>IF(T1250="",0,IF(AND(G1250=T1250,COUNTIFS($S$6:S1250,S1250,$G$6:G1250,G1250,$D$6:D1250,"Vastgesteld")=1),1,0))</f>
        <v>0</v>
      </c>
      <c r="V1250" s="15">
        <f>IF(T1250="",0,IF(AND(G1250=T1250,COUNTIFS($S$6:S1250,S1250,$G$6:G1250,G1250,$D$6:D1250,"Vastgesteld")&gt;1),1,0))</f>
        <v>0</v>
      </c>
    </row>
    <row r="1251">
      <c r="S1251" s="15" t="str">
        <f>IF(J1251="","",J1251&amp;"|"&amp;E1251&amp;"|"&amp;F1251&amp;"|"&amp;I1251&amp;"|"&amp;O1251)</f>
        <v/>
      </c>
      <c r="T1251" s="15" t="str">
        <f>IF(OR(S1251="",D1251&lt;&gt;"Vastgesteld"),"",_xlfn.MAXIFS($G$6:$G$5005,$S$6:$S$5005,S1251,$D$6:$D$5005,"Vastgesteld"))</f>
        <v/>
      </c>
      <c r="U1251" s="15">
        <f>IF(T1251="",0,IF(AND(G1251=T1251,COUNTIFS($S$6:S1251,S1251,$G$6:G1251,G1251,$D$6:D1251,"Vastgesteld")=1),1,0))</f>
        <v>0</v>
      </c>
      <c r="V1251" s="15">
        <f>IF(T1251="",0,IF(AND(G1251=T1251,COUNTIFS($S$6:S1251,S1251,$G$6:G1251,G1251,$D$6:D1251,"Vastgesteld")&gt;1),1,0))</f>
        <v>0</v>
      </c>
    </row>
    <row r="1252">
      <c r="S1252" s="15" t="str">
        <f>IF(J1252="","",J1252&amp;"|"&amp;E1252&amp;"|"&amp;F1252&amp;"|"&amp;I1252&amp;"|"&amp;O1252)</f>
        <v/>
      </c>
      <c r="T1252" s="15" t="str">
        <f>IF(OR(S1252="",D1252&lt;&gt;"Vastgesteld"),"",_xlfn.MAXIFS($G$6:$G$5005,$S$6:$S$5005,S1252,$D$6:$D$5005,"Vastgesteld"))</f>
        <v/>
      </c>
      <c r="U1252" s="15">
        <f>IF(T1252="",0,IF(AND(G1252=T1252,COUNTIFS($S$6:S1252,S1252,$G$6:G1252,G1252,$D$6:D1252,"Vastgesteld")=1),1,0))</f>
        <v>0</v>
      </c>
      <c r="V1252" s="15">
        <f>IF(T1252="",0,IF(AND(G1252=T1252,COUNTIFS($S$6:S1252,S1252,$G$6:G1252,G1252,$D$6:D1252,"Vastgesteld")&gt;1),1,0))</f>
        <v>0</v>
      </c>
    </row>
    <row r="1253">
      <c r="S1253" s="15" t="str">
        <f>IF(J1253="","",J1253&amp;"|"&amp;E1253&amp;"|"&amp;F1253&amp;"|"&amp;I1253&amp;"|"&amp;O1253)</f>
        <v/>
      </c>
      <c r="T1253" s="15" t="str">
        <f>IF(OR(S1253="",D1253&lt;&gt;"Vastgesteld"),"",_xlfn.MAXIFS($G$6:$G$5005,$S$6:$S$5005,S1253,$D$6:$D$5005,"Vastgesteld"))</f>
        <v/>
      </c>
      <c r="U1253" s="15">
        <f>IF(T1253="",0,IF(AND(G1253=T1253,COUNTIFS($S$6:S1253,S1253,$G$6:G1253,G1253,$D$6:D1253,"Vastgesteld")=1),1,0))</f>
        <v>0</v>
      </c>
      <c r="V1253" s="15">
        <f>IF(T1253="",0,IF(AND(G1253=T1253,COUNTIFS($S$6:S1253,S1253,$G$6:G1253,G1253,$D$6:D1253,"Vastgesteld")&gt;1),1,0))</f>
        <v>0</v>
      </c>
    </row>
    <row r="1254">
      <c r="S1254" s="15" t="str">
        <f>IF(J1254="","",J1254&amp;"|"&amp;E1254&amp;"|"&amp;F1254&amp;"|"&amp;I1254&amp;"|"&amp;O1254)</f>
        <v/>
      </c>
      <c r="T1254" s="15" t="str">
        <f>IF(OR(S1254="",D1254&lt;&gt;"Vastgesteld"),"",_xlfn.MAXIFS($G$6:$G$5005,$S$6:$S$5005,S1254,$D$6:$D$5005,"Vastgesteld"))</f>
        <v/>
      </c>
      <c r="U1254" s="15">
        <f>IF(T1254="",0,IF(AND(G1254=T1254,COUNTIFS($S$6:S1254,S1254,$G$6:G1254,G1254,$D$6:D1254,"Vastgesteld")=1),1,0))</f>
        <v>0</v>
      </c>
      <c r="V1254" s="15">
        <f>IF(T1254="",0,IF(AND(G1254=T1254,COUNTIFS($S$6:S1254,S1254,$G$6:G1254,G1254,$D$6:D1254,"Vastgesteld")&gt;1),1,0))</f>
        <v>0</v>
      </c>
    </row>
    <row r="1255">
      <c r="S1255" s="15" t="str">
        <f>IF(J1255="","",J1255&amp;"|"&amp;E1255&amp;"|"&amp;F1255&amp;"|"&amp;I1255&amp;"|"&amp;O1255)</f>
        <v/>
      </c>
      <c r="T1255" s="15" t="str">
        <f>IF(OR(S1255="",D1255&lt;&gt;"Vastgesteld"),"",_xlfn.MAXIFS($G$6:$G$5005,$S$6:$S$5005,S1255,$D$6:$D$5005,"Vastgesteld"))</f>
        <v/>
      </c>
      <c r="U1255" s="15">
        <f>IF(T1255="",0,IF(AND(G1255=T1255,COUNTIFS($S$6:S1255,S1255,$G$6:G1255,G1255,$D$6:D1255,"Vastgesteld")=1),1,0))</f>
        <v>0</v>
      </c>
      <c r="V1255" s="15">
        <f>IF(T1255="",0,IF(AND(G1255=T1255,COUNTIFS($S$6:S1255,S1255,$G$6:G1255,G1255,$D$6:D1255,"Vastgesteld")&gt;1),1,0))</f>
        <v>0</v>
      </c>
    </row>
    <row r="1256">
      <c r="S1256" s="15" t="str">
        <f>IF(J1256="","",J1256&amp;"|"&amp;E1256&amp;"|"&amp;F1256&amp;"|"&amp;I1256&amp;"|"&amp;O1256)</f>
        <v/>
      </c>
      <c r="T1256" s="15" t="str">
        <f>IF(OR(S1256="",D1256&lt;&gt;"Vastgesteld"),"",_xlfn.MAXIFS($G$6:$G$5005,$S$6:$S$5005,S1256,$D$6:$D$5005,"Vastgesteld"))</f>
        <v/>
      </c>
      <c r="U1256" s="15">
        <f>IF(T1256="",0,IF(AND(G1256=T1256,COUNTIFS($S$6:S1256,S1256,$G$6:G1256,G1256,$D$6:D1256,"Vastgesteld")=1),1,0))</f>
        <v>0</v>
      </c>
      <c r="V1256" s="15">
        <f>IF(T1256="",0,IF(AND(G1256=T1256,COUNTIFS($S$6:S1256,S1256,$G$6:G1256,G1256,$D$6:D1256,"Vastgesteld")&gt;1),1,0))</f>
        <v>0</v>
      </c>
    </row>
    <row r="1257">
      <c r="S1257" s="15" t="str">
        <f>IF(J1257="","",J1257&amp;"|"&amp;E1257&amp;"|"&amp;F1257&amp;"|"&amp;I1257&amp;"|"&amp;O1257)</f>
        <v/>
      </c>
      <c r="T1257" s="15" t="str">
        <f>IF(OR(S1257="",D1257&lt;&gt;"Vastgesteld"),"",_xlfn.MAXIFS($G$6:$G$5005,$S$6:$S$5005,S1257,$D$6:$D$5005,"Vastgesteld"))</f>
        <v/>
      </c>
      <c r="U1257" s="15">
        <f>IF(T1257="",0,IF(AND(G1257=T1257,COUNTIFS($S$6:S1257,S1257,$G$6:G1257,G1257,$D$6:D1257,"Vastgesteld")=1),1,0))</f>
        <v>0</v>
      </c>
      <c r="V1257" s="15">
        <f>IF(T1257="",0,IF(AND(G1257=T1257,COUNTIFS($S$6:S1257,S1257,$G$6:G1257,G1257,$D$6:D1257,"Vastgesteld")&gt;1),1,0))</f>
        <v>0</v>
      </c>
    </row>
    <row r="1258">
      <c r="S1258" s="15" t="str">
        <f>IF(J1258="","",J1258&amp;"|"&amp;E1258&amp;"|"&amp;F1258&amp;"|"&amp;I1258&amp;"|"&amp;O1258)</f>
        <v/>
      </c>
      <c r="T1258" s="15" t="str">
        <f>IF(OR(S1258="",D1258&lt;&gt;"Vastgesteld"),"",_xlfn.MAXIFS($G$6:$G$5005,$S$6:$S$5005,S1258,$D$6:$D$5005,"Vastgesteld"))</f>
        <v/>
      </c>
      <c r="U1258" s="15">
        <f>IF(T1258="",0,IF(AND(G1258=T1258,COUNTIFS($S$6:S1258,S1258,$G$6:G1258,G1258,$D$6:D1258,"Vastgesteld")=1),1,0))</f>
        <v>0</v>
      </c>
      <c r="V1258" s="15">
        <f>IF(T1258="",0,IF(AND(G1258=T1258,COUNTIFS($S$6:S1258,S1258,$G$6:G1258,G1258,$D$6:D1258,"Vastgesteld")&gt;1),1,0))</f>
        <v>0</v>
      </c>
    </row>
    <row r="1259">
      <c r="S1259" s="15" t="str">
        <f>IF(J1259="","",J1259&amp;"|"&amp;E1259&amp;"|"&amp;F1259&amp;"|"&amp;I1259&amp;"|"&amp;O1259)</f>
        <v/>
      </c>
      <c r="T1259" s="15" t="str">
        <f>IF(OR(S1259="",D1259&lt;&gt;"Vastgesteld"),"",_xlfn.MAXIFS($G$6:$G$5005,$S$6:$S$5005,S1259,$D$6:$D$5005,"Vastgesteld"))</f>
        <v/>
      </c>
      <c r="U1259" s="15">
        <f>IF(T1259="",0,IF(AND(G1259=T1259,COUNTIFS($S$6:S1259,S1259,$G$6:G1259,G1259,$D$6:D1259,"Vastgesteld")=1),1,0))</f>
        <v>0</v>
      </c>
      <c r="V1259" s="15">
        <f>IF(T1259="",0,IF(AND(G1259=T1259,COUNTIFS($S$6:S1259,S1259,$G$6:G1259,G1259,$D$6:D1259,"Vastgesteld")&gt;1),1,0))</f>
        <v>0</v>
      </c>
    </row>
    <row r="1260">
      <c r="S1260" s="15" t="str">
        <f>IF(J1260="","",J1260&amp;"|"&amp;E1260&amp;"|"&amp;F1260&amp;"|"&amp;I1260&amp;"|"&amp;O1260)</f>
        <v/>
      </c>
      <c r="T1260" s="15" t="str">
        <f>IF(OR(S1260="",D1260&lt;&gt;"Vastgesteld"),"",_xlfn.MAXIFS($G$6:$G$5005,$S$6:$S$5005,S1260,$D$6:$D$5005,"Vastgesteld"))</f>
        <v/>
      </c>
      <c r="U1260" s="15">
        <f>IF(T1260="",0,IF(AND(G1260=T1260,COUNTIFS($S$6:S1260,S1260,$G$6:G1260,G1260,$D$6:D1260,"Vastgesteld")=1),1,0))</f>
        <v>0</v>
      </c>
      <c r="V1260" s="15">
        <f>IF(T1260="",0,IF(AND(G1260=T1260,COUNTIFS($S$6:S1260,S1260,$G$6:G1260,G1260,$D$6:D1260,"Vastgesteld")&gt;1),1,0))</f>
        <v>0</v>
      </c>
    </row>
    <row r="1261">
      <c r="S1261" s="15" t="str">
        <f>IF(J1261="","",J1261&amp;"|"&amp;E1261&amp;"|"&amp;F1261&amp;"|"&amp;I1261&amp;"|"&amp;O1261)</f>
        <v/>
      </c>
      <c r="T1261" s="15" t="str">
        <f>IF(OR(S1261="",D1261&lt;&gt;"Vastgesteld"),"",_xlfn.MAXIFS($G$6:$G$5005,$S$6:$S$5005,S1261,$D$6:$D$5005,"Vastgesteld"))</f>
        <v/>
      </c>
      <c r="U1261" s="15">
        <f>IF(T1261="",0,IF(AND(G1261=T1261,COUNTIFS($S$6:S1261,S1261,$G$6:G1261,G1261,$D$6:D1261,"Vastgesteld")=1),1,0))</f>
        <v>0</v>
      </c>
      <c r="V1261" s="15">
        <f>IF(T1261="",0,IF(AND(G1261=T1261,COUNTIFS($S$6:S1261,S1261,$G$6:G1261,G1261,$D$6:D1261,"Vastgesteld")&gt;1),1,0))</f>
        <v>0</v>
      </c>
    </row>
    <row r="1262">
      <c r="S1262" s="15" t="str">
        <f>IF(J1262="","",J1262&amp;"|"&amp;E1262&amp;"|"&amp;F1262&amp;"|"&amp;I1262&amp;"|"&amp;O1262)</f>
        <v/>
      </c>
      <c r="T1262" s="15" t="str">
        <f>IF(OR(S1262="",D1262&lt;&gt;"Vastgesteld"),"",_xlfn.MAXIFS($G$6:$G$5005,$S$6:$S$5005,S1262,$D$6:$D$5005,"Vastgesteld"))</f>
        <v/>
      </c>
      <c r="U1262" s="15">
        <f>IF(T1262="",0,IF(AND(G1262=T1262,COUNTIFS($S$6:S1262,S1262,$G$6:G1262,G1262,$D$6:D1262,"Vastgesteld")=1),1,0))</f>
        <v>0</v>
      </c>
      <c r="V1262" s="15">
        <f>IF(T1262="",0,IF(AND(G1262=T1262,COUNTIFS($S$6:S1262,S1262,$G$6:G1262,G1262,$D$6:D1262,"Vastgesteld")&gt;1),1,0))</f>
        <v>0</v>
      </c>
    </row>
    <row r="1263">
      <c r="S1263" s="15" t="str">
        <f>IF(J1263="","",J1263&amp;"|"&amp;E1263&amp;"|"&amp;F1263&amp;"|"&amp;I1263&amp;"|"&amp;O1263)</f>
        <v/>
      </c>
      <c r="T1263" s="15" t="str">
        <f>IF(OR(S1263="",D1263&lt;&gt;"Vastgesteld"),"",_xlfn.MAXIFS($G$6:$G$5005,$S$6:$S$5005,S1263,$D$6:$D$5005,"Vastgesteld"))</f>
        <v/>
      </c>
      <c r="U1263" s="15">
        <f>IF(T1263="",0,IF(AND(G1263=T1263,COUNTIFS($S$6:S1263,S1263,$G$6:G1263,G1263,$D$6:D1263,"Vastgesteld")=1),1,0))</f>
        <v>0</v>
      </c>
      <c r="V1263" s="15">
        <f>IF(T1263="",0,IF(AND(G1263=T1263,COUNTIFS($S$6:S1263,S1263,$G$6:G1263,G1263,$D$6:D1263,"Vastgesteld")&gt;1),1,0))</f>
        <v>0</v>
      </c>
    </row>
    <row r="1264">
      <c r="S1264" s="15" t="str">
        <f>IF(J1264="","",J1264&amp;"|"&amp;E1264&amp;"|"&amp;F1264&amp;"|"&amp;I1264&amp;"|"&amp;O1264)</f>
        <v/>
      </c>
      <c r="T1264" s="15" t="str">
        <f>IF(OR(S1264="",D1264&lt;&gt;"Vastgesteld"),"",_xlfn.MAXIFS($G$6:$G$5005,$S$6:$S$5005,S1264,$D$6:$D$5005,"Vastgesteld"))</f>
        <v/>
      </c>
      <c r="U1264" s="15">
        <f>IF(T1264="",0,IF(AND(G1264=T1264,COUNTIFS($S$6:S1264,S1264,$G$6:G1264,G1264,$D$6:D1264,"Vastgesteld")=1),1,0))</f>
        <v>0</v>
      </c>
      <c r="V1264" s="15">
        <f>IF(T1264="",0,IF(AND(G1264=T1264,COUNTIFS($S$6:S1264,S1264,$G$6:G1264,G1264,$D$6:D1264,"Vastgesteld")&gt;1),1,0))</f>
        <v>0</v>
      </c>
    </row>
    <row r="1265">
      <c r="S1265" s="15" t="str">
        <f>IF(J1265="","",J1265&amp;"|"&amp;E1265&amp;"|"&amp;F1265&amp;"|"&amp;I1265&amp;"|"&amp;O1265)</f>
        <v/>
      </c>
      <c r="T1265" s="15" t="str">
        <f>IF(OR(S1265="",D1265&lt;&gt;"Vastgesteld"),"",_xlfn.MAXIFS($G$6:$G$5005,$S$6:$S$5005,S1265,$D$6:$D$5005,"Vastgesteld"))</f>
        <v/>
      </c>
      <c r="U1265" s="15">
        <f>IF(T1265="",0,IF(AND(G1265=T1265,COUNTIFS($S$6:S1265,S1265,$G$6:G1265,G1265,$D$6:D1265,"Vastgesteld")=1),1,0))</f>
        <v>0</v>
      </c>
      <c r="V1265" s="15">
        <f>IF(T1265="",0,IF(AND(G1265=T1265,COUNTIFS($S$6:S1265,S1265,$G$6:G1265,G1265,$D$6:D1265,"Vastgesteld")&gt;1),1,0))</f>
        <v>0</v>
      </c>
    </row>
    <row r="1266">
      <c r="S1266" s="15" t="str">
        <f>IF(J1266="","",J1266&amp;"|"&amp;E1266&amp;"|"&amp;F1266&amp;"|"&amp;I1266&amp;"|"&amp;O1266)</f>
        <v/>
      </c>
      <c r="T1266" s="15" t="str">
        <f>IF(OR(S1266="",D1266&lt;&gt;"Vastgesteld"),"",_xlfn.MAXIFS($G$6:$G$5005,$S$6:$S$5005,S1266,$D$6:$D$5005,"Vastgesteld"))</f>
        <v/>
      </c>
      <c r="U1266" s="15">
        <f>IF(T1266="",0,IF(AND(G1266=T1266,COUNTIFS($S$6:S1266,S1266,$G$6:G1266,G1266,$D$6:D1266,"Vastgesteld")=1),1,0))</f>
        <v>0</v>
      </c>
      <c r="V1266" s="15">
        <f>IF(T1266="",0,IF(AND(G1266=T1266,COUNTIFS($S$6:S1266,S1266,$G$6:G1266,G1266,$D$6:D1266,"Vastgesteld")&gt;1),1,0))</f>
        <v>0</v>
      </c>
    </row>
    <row r="1267">
      <c r="S1267" s="15" t="str">
        <f>IF(J1267="","",J1267&amp;"|"&amp;E1267&amp;"|"&amp;F1267&amp;"|"&amp;I1267&amp;"|"&amp;O1267)</f>
        <v/>
      </c>
      <c r="T1267" s="15" t="str">
        <f>IF(OR(S1267="",D1267&lt;&gt;"Vastgesteld"),"",_xlfn.MAXIFS($G$6:$G$5005,$S$6:$S$5005,S1267,$D$6:$D$5005,"Vastgesteld"))</f>
        <v/>
      </c>
      <c r="U1267" s="15">
        <f>IF(T1267="",0,IF(AND(G1267=T1267,COUNTIFS($S$6:S1267,S1267,$G$6:G1267,G1267,$D$6:D1267,"Vastgesteld")=1),1,0))</f>
        <v>0</v>
      </c>
      <c r="V1267" s="15">
        <f>IF(T1267="",0,IF(AND(G1267=T1267,COUNTIFS($S$6:S1267,S1267,$G$6:G1267,G1267,$D$6:D1267,"Vastgesteld")&gt;1),1,0))</f>
        <v>0</v>
      </c>
    </row>
    <row r="1268">
      <c r="S1268" s="15" t="str">
        <f>IF(J1268="","",J1268&amp;"|"&amp;E1268&amp;"|"&amp;F1268&amp;"|"&amp;I1268&amp;"|"&amp;O1268)</f>
        <v/>
      </c>
      <c r="T1268" s="15" t="str">
        <f>IF(OR(S1268="",D1268&lt;&gt;"Vastgesteld"),"",_xlfn.MAXIFS($G$6:$G$5005,$S$6:$S$5005,S1268,$D$6:$D$5005,"Vastgesteld"))</f>
        <v/>
      </c>
      <c r="U1268" s="15">
        <f>IF(T1268="",0,IF(AND(G1268=T1268,COUNTIFS($S$6:S1268,S1268,$G$6:G1268,G1268,$D$6:D1268,"Vastgesteld")=1),1,0))</f>
        <v>0</v>
      </c>
      <c r="V1268" s="15">
        <f>IF(T1268="",0,IF(AND(G1268=T1268,COUNTIFS($S$6:S1268,S1268,$G$6:G1268,G1268,$D$6:D1268,"Vastgesteld")&gt;1),1,0))</f>
        <v>0</v>
      </c>
    </row>
    <row r="1269">
      <c r="S1269" s="15" t="str">
        <f>IF(J1269="","",J1269&amp;"|"&amp;E1269&amp;"|"&amp;F1269&amp;"|"&amp;I1269&amp;"|"&amp;O1269)</f>
        <v/>
      </c>
      <c r="T1269" s="15" t="str">
        <f>IF(OR(S1269="",D1269&lt;&gt;"Vastgesteld"),"",_xlfn.MAXIFS($G$6:$G$5005,$S$6:$S$5005,S1269,$D$6:$D$5005,"Vastgesteld"))</f>
        <v/>
      </c>
      <c r="U1269" s="15">
        <f>IF(T1269="",0,IF(AND(G1269=T1269,COUNTIFS($S$6:S1269,S1269,$G$6:G1269,G1269,$D$6:D1269,"Vastgesteld")=1),1,0))</f>
        <v>0</v>
      </c>
      <c r="V1269" s="15">
        <f>IF(T1269="",0,IF(AND(G1269=T1269,COUNTIFS($S$6:S1269,S1269,$G$6:G1269,G1269,$D$6:D1269,"Vastgesteld")&gt;1),1,0))</f>
        <v>0</v>
      </c>
    </row>
    <row r="1270">
      <c r="S1270" s="15" t="str">
        <f>IF(J1270="","",J1270&amp;"|"&amp;E1270&amp;"|"&amp;F1270&amp;"|"&amp;I1270&amp;"|"&amp;O1270)</f>
        <v/>
      </c>
      <c r="T1270" s="15" t="str">
        <f>IF(OR(S1270="",D1270&lt;&gt;"Vastgesteld"),"",_xlfn.MAXIFS($G$6:$G$5005,$S$6:$S$5005,S1270,$D$6:$D$5005,"Vastgesteld"))</f>
        <v/>
      </c>
      <c r="U1270" s="15">
        <f>IF(T1270="",0,IF(AND(G1270=T1270,COUNTIFS($S$6:S1270,S1270,$G$6:G1270,G1270,$D$6:D1270,"Vastgesteld")=1),1,0))</f>
        <v>0</v>
      </c>
      <c r="V1270" s="15">
        <f>IF(T1270="",0,IF(AND(G1270=T1270,COUNTIFS($S$6:S1270,S1270,$G$6:G1270,G1270,$D$6:D1270,"Vastgesteld")&gt;1),1,0))</f>
        <v>0</v>
      </c>
    </row>
    <row r="1271">
      <c r="S1271" s="15" t="str">
        <f>IF(J1271="","",J1271&amp;"|"&amp;E1271&amp;"|"&amp;F1271&amp;"|"&amp;I1271&amp;"|"&amp;O1271)</f>
        <v/>
      </c>
      <c r="T1271" s="15" t="str">
        <f>IF(OR(S1271="",D1271&lt;&gt;"Vastgesteld"),"",_xlfn.MAXIFS($G$6:$G$5005,$S$6:$S$5005,S1271,$D$6:$D$5005,"Vastgesteld"))</f>
        <v/>
      </c>
      <c r="U1271" s="15">
        <f>IF(T1271="",0,IF(AND(G1271=T1271,COUNTIFS($S$6:S1271,S1271,$G$6:G1271,G1271,$D$6:D1271,"Vastgesteld")=1),1,0))</f>
        <v>0</v>
      </c>
      <c r="V1271" s="15">
        <f>IF(T1271="",0,IF(AND(G1271=T1271,COUNTIFS($S$6:S1271,S1271,$G$6:G1271,G1271,$D$6:D1271,"Vastgesteld")&gt;1),1,0))</f>
        <v>0</v>
      </c>
    </row>
    <row r="1272">
      <c r="S1272" s="15" t="str">
        <f>IF(J1272="","",J1272&amp;"|"&amp;E1272&amp;"|"&amp;F1272&amp;"|"&amp;I1272&amp;"|"&amp;O1272)</f>
        <v/>
      </c>
      <c r="T1272" s="15" t="str">
        <f>IF(OR(S1272="",D1272&lt;&gt;"Vastgesteld"),"",_xlfn.MAXIFS($G$6:$G$5005,$S$6:$S$5005,S1272,$D$6:$D$5005,"Vastgesteld"))</f>
        <v/>
      </c>
      <c r="U1272" s="15">
        <f>IF(T1272="",0,IF(AND(G1272=T1272,COUNTIFS($S$6:S1272,S1272,$G$6:G1272,G1272,$D$6:D1272,"Vastgesteld")=1),1,0))</f>
        <v>0</v>
      </c>
      <c r="V1272" s="15">
        <f>IF(T1272="",0,IF(AND(G1272=T1272,COUNTIFS($S$6:S1272,S1272,$G$6:G1272,G1272,$D$6:D1272,"Vastgesteld")&gt;1),1,0))</f>
        <v>0</v>
      </c>
    </row>
    <row r="1273">
      <c r="S1273" s="15" t="str">
        <f>IF(J1273="","",J1273&amp;"|"&amp;E1273&amp;"|"&amp;F1273&amp;"|"&amp;I1273&amp;"|"&amp;O1273)</f>
        <v/>
      </c>
      <c r="T1273" s="15" t="str">
        <f>IF(OR(S1273="",D1273&lt;&gt;"Vastgesteld"),"",_xlfn.MAXIFS($G$6:$G$5005,$S$6:$S$5005,S1273,$D$6:$D$5005,"Vastgesteld"))</f>
        <v/>
      </c>
      <c r="U1273" s="15">
        <f>IF(T1273="",0,IF(AND(G1273=T1273,COUNTIFS($S$6:S1273,S1273,$G$6:G1273,G1273,$D$6:D1273,"Vastgesteld")=1),1,0))</f>
        <v>0</v>
      </c>
      <c r="V1273" s="15">
        <f>IF(T1273="",0,IF(AND(G1273=T1273,COUNTIFS($S$6:S1273,S1273,$G$6:G1273,G1273,$D$6:D1273,"Vastgesteld")&gt;1),1,0))</f>
        <v>0</v>
      </c>
    </row>
    <row r="1274">
      <c r="S1274" s="15" t="str">
        <f>IF(J1274="","",J1274&amp;"|"&amp;E1274&amp;"|"&amp;F1274&amp;"|"&amp;I1274&amp;"|"&amp;O1274)</f>
        <v/>
      </c>
      <c r="T1274" s="15" t="str">
        <f>IF(OR(S1274="",D1274&lt;&gt;"Vastgesteld"),"",_xlfn.MAXIFS($G$6:$G$5005,$S$6:$S$5005,S1274,$D$6:$D$5005,"Vastgesteld"))</f>
        <v/>
      </c>
      <c r="U1274" s="15">
        <f>IF(T1274="",0,IF(AND(G1274=T1274,COUNTIFS($S$6:S1274,S1274,$G$6:G1274,G1274,$D$6:D1274,"Vastgesteld")=1),1,0))</f>
        <v>0</v>
      </c>
      <c r="V1274" s="15">
        <f>IF(T1274="",0,IF(AND(G1274=T1274,COUNTIFS($S$6:S1274,S1274,$G$6:G1274,G1274,$D$6:D1274,"Vastgesteld")&gt;1),1,0))</f>
        <v>0</v>
      </c>
    </row>
    <row r="1275">
      <c r="S1275" s="15" t="str">
        <f>IF(J1275="","",J1275&amp;"|"&amp;E1275&amp;"|"&amp;F1275&amp;"|"&amp;I1275&amp;"|"&amp;O1275)</f>
        <v/>
      </c>
      <c r="T1275" s="15" t="str">
        <f>IF(OR(S1275="",D1275&lt;&gt;"Vastgesteld"),"",_xlfn.MAXIFS($G$6:$G$5005,$S$6:$S$5005,S1275,$D$6:$D$5005,"Vastgesteld"))</f>
        <v/>
      </c>
      <c r="U1275" s="15">
        <f>IF(T1275="",0,IF(AND(G1275=T1275,COUNTIFS($S$6:S1275,S1275,$G$6:G1275,G1275,$D$6:D1275,"Vastgesteld")=1),1,0))</f>
        <v>0</v>
      </c>
      <c r="V1275" s="15">
        <f>IF(T1275="",0,IF(AND(G1275=T1275,COUNTIFS($S$6:S1275,S1275,$G$6:G1275,G1275,$D$6:D1275,"Vastgesteld")&gt;1),1,0))</f>
        <v>0</v>
      </c>
    </row>
    <row r="1276">
      <c r="S1276" s="15" t="str">
        <f>IF(J1276="","",J1276&amp;"|"&amp;E1276&amp;"|"&amp;F1276&amp;"|"&amp;I1276&amp;"|"&amp;O1276)</f>
        <v/>
      </c>
      <c r="T1276" s="15" t="str">
        <f>IF(OR(S1276="",D1276&lt;&gt;"Vastgesteld"),"",_xlfn.MAXIFS($G$6:$G$5005,$S$6:$S$5005,S1276,$D$6:$D$5005,"Vastgesteld"))</f>
        <v/>
      </c>
      <c r="U1276" s="15">
        <f>IF(T1276="",0,IF(AND(G1276=T1276,COUNTIFS($S$6:S1276,S1276,$G$6:G1276,G1276,$D$6:D1276,"Vastgesteld")=1),1,0))</f>
        <v>0</v>
      </c>
      <c r="V1276" s="15">
        <f>IF(T1276="",0,IF(AND(G1276=T1276,COUNTIFS($S$6:S1276,S1276,$G$6:G1276,G1276,$D$6:D1276,"Vastgesteld")&gt;1),1,0))</f>
        <v>0</v>
      </c>
    </row>
    <row r="1277">
      <c r="S1277" s="15" t="str">
        <f>IF(J1277="","",J1277&amp;"|"&amp;E1277&amp;"|"&amp;F1277&amp;"|"&amp;I1277&amp;"|"&amp;O1277)</f>
        <v/>
      </c>
      <c r="T1277" s="15" t="str">
        <f>IF(OR(S1277="",D1277&lt;&gt;"Vastgesteld"),"",_xlfn.MAXIFS($G$6:$G$5005,$S$6:$S$5005,S1277,$D$6:$D$5005,"Vastgesteld"))</f>
        <v/>
      </c>
      <c r="U1277" s="15">
        <f>IF(T1277="",0,IF(AND(G1277=T1277,COUNTIFS($S$6:S1277,S1277,$G$6:G1277,G1277,$D$6:D1277,"Vastgesteld")=1),1,0))</f>
        <v>0</v>
      </c>
      <c r="V1277" s="15">
        <f>IF(T1277="",0,IF(AND(G1277=T1277,COUNTIFS($S$6:S1277,S1277,$G$6:G1277,G1277,$D$6:D1277,"Vastgesteld")&gt;1),1,0))</f>
        <v>0</v>
      </c>
    </row>
    <row r="1278">
      <c r="S1278" s="15" t="str">
        <f>IF(J1278="","",J1278&amp;"|"&amp;E1278&amp;"|"&amp;F1278&amp;"|"&amp;I1278&amp;"|"&amp;O1278)</f>
        <v/>
      </c>
      <c r="T1278" s="15" t="str">
        <f>IF(OR(S1278="",D1278&lt;&gt;"Vastgesteld"),"",_xlfn.MAXIFS($G$6:$G$5005,$S$6:$S$5005,S1278,$D$6:$D$5005,"Vastgesteld"))</f>
        <v/>
      </c>
      <c r="U1278" s="15">
        <f>IF(T1278="",0,IF(AND(G1278=T1278,COUNTIFS($S$6:S1278,S1278,$G$6:G1278,G1278,$D$6:D1278,"Vastgesteld")=1),1,0))</f>
        <v>0</v>
      </c>
      <c r="V1278" s="15">
        <f>IF(T1278="",0,IF(AND(G1278=T1278,COUNTIFS($S$6:S1278,S1278,$G$6:G1278,G1278,$D$6:D1278,"Vastgesteld")&gt;1),1,0))</f>
        <v>0</v>
      </c>
    </row>
    <row r="1279">
      <c r="S1279" s="15" t="str">
        <f>IF(J1279="","",J1279&amp;"|"&amp;E1279&amp;"|"&amp;F1279&amp;"|"&amp;I1279&amp;"|"&amp;O1279)</f>
        <v/>
      </c>
      <c r="T1279" s="15" t="str">
        <f>IF(OR(S1279="",D1279&lt;&gt;"Vastgesteld"),"",_xlfn.MAXIFS($G$6:$G$5005,$S$6:$S$5005,S1279,$D$6:$D$5005,"Vastgesteld"))</f>
        <v/>
      </c>
      <c r="U1279" s="15">
        <f>IF(T1279="",0,IF(AND(G1279=T1279,COUNTIFS($S$6:S1279,S1279,$G$6:G1279,G1279,$D$6:D1279,"Vastgesteld")=1),1,0))</f>
        <v>0</v>
      </c>
      <c r="V1279" s="15">
        <f>IF(T1279="",0,IF(AND(G1279=T1279,COUNTIFS($S$6:S1279,S1279,$G$6:G1279,G1279,$D$6:D1279,"Vastgesteld")&gt;1),1,0))</f>
        <v>0</v>
      </c>
    </row>
    <row r="1280">
      <c r="S1280" s="15" t="str">
        <f>IF(J1280="","",J1280&amp;"|"&amp;E1280&amp;"|"&amp;F1280&amp;"|"&amp;I1280&amp;"|"&amp;O1280)</f>
        <v/>
      </c>
      <c r="T1280" s="15" t="str">
        <f>IF(OR(S1280="",D1280&lt;&gt;"Vastgesteld"),"",_xlfn.MAXIFS($G$6:$G$5005,$S$6:$S$5005,S1280,$D$6:$D$5005,"Vastgesteld"))</f>
        <v/>
      </c>
      <c r="U1280" s="15">
        <f>IF(T1280="",0,IF(AND(G1280=T1280,COUNTIFS($S$6:S1280,S1280,$G$6:G1280,G1280,$D$6:D1280,"Vastgesteld")=1),1,0))</f>
        <v>0</v>
      </c>
      <c r="V1280" s="15">
        <f>IF(T1280="",0,IF(AND(G1280=T1280,COUNTIFS($S$6:S1280,S1280,$G$6:G1280,G1280,$D$6:D1280,"Vastgesteld")&gt;1),1,0))</f>
        <v>0</v>
      </c>
    </row>
    <row r="1281">
      <c r="S1281" s="15" t="str">
        <f>IF(J1281="","",J1281&amp;"|"&amp;E1281&amp;"|"&amp;F1281&amp;"|"&amp;I1281&amp;"|"&amp;O1281)</f>
        <v/>
      </c>
      <c r="T1281" s="15" t="str">
        <f>IF(OR(S1281="",D1281&lt;&gt;"Vastgesteld"),"",_xlfn.MAXIFS($G$6:$G$5005,$S$6:$S$5005,S1281,$D$6:$D$5005,"Vastgesteld"))</f>
        <v/>
      </c>
      <c r="U1281" s="15">
        <f>IF(T1281="",0,IF(AND(G1281=T1281,COUNTIFS($S$6:S1281,S1281,$G$6:G1281,G1281,$D$6:D1281,"Vastgesteld")=1),1,0))</f>
        <v>0</v>
      </c>
      <c r="V1281" s="15">
        <f>IF(T1281="",0,IF(AND(G1281=T1281,COUNTIFS($S$6:S1281,S1281,$G$6:G1281,G1281,$D$6:D1281,"Vastgesteld")&gt;1),1,0))</f>
        <v>0</v>
      </c>
    </row>
    <row r="1282">
      <c r="S1282" s="15" t="str">
        <f>IF(J1282="","",J1282&amp;"|"&amp;E1282&amp;"|"&amp;F1282&amp;"|"&amp;I1282&amp;"|"&amp;O1282)</f>
        <v/>
      </c>
      <c r="T1282" s="15" t="str">
        <f>IF(OR(S1282="",D1282&lt;&gt;"Vastgesteld"),"",_xlfn.MAXIFS($G$6:$G$5005,$S$6:$S$5005,S1282,$D$6:$D$5005,"Vastgesteld"))</f>
        <v/>
      </c>
      <c r="U1282" s="15">
        <f>IF(T1282="",0,IF(AND(G1282=T1282,COUNTIFS($S$6:S1282,S1282,$G$6:G1282,G1282,$D$6:D1282,"Vastgesteld")=1),1,0))</f>
        <v>0</v>
      </c>
      <c r="V1282" s="15">
        <f>IF(T1282="",0,IF(AND(G1282=T1282,COUNTIFS($S$6:S1282,S1282,$G$6:G1282,G1282,$D$6:D1282,"Vastgesteld")&gt;1),1,0))</f>
        <v>0</v>
      </c>
    </row>
    <row r="1283">
      <c r="S1283" s="15" t="str">
        <f>IF(J1283="","",J1283&amp;"|"&amp;E1283&amp;"|"&amp;F1283&amp;"|"&amp;I1283&amp;"|"&amp;O1283)</f>
        <v/>
      </c>
      <c r="T1283" s="15" t="str">
        <f>IF(OR(S1283="",D1283&lt;&gt;"Vastgesteld"),"",_xlfn.MAXIFS($G$6:$G$5005,$S$6:$S$5005,S1283,$D$6:$D$5005,"Vastgesteld"))</f>
        <v/>
      </c>
      <c r="U1283" s="15">
        <f>IF(T1283="",0,IF(AND(G1283=T1283,COUNTIFS($S$6:S1283,S1283,$G$6:G1283,G1283,$D$6:D1283,"Vastgesteld")=1),1,0))</f>
        <v>0</v>
      </c>
      <c r="V1283" s="15">
        <f>IF(T1283="",0,IF(AND(G1283=T1283,COUNTIFS($S$6:S1283,S1283,$G$6:G1283,G1283,$D$6:D1283,"Vastgesteld")&gt;1),1,0))</f>
        <v>0</v>
      </c>
    </row>
    <row r="1284">
      <c r="S1284" s="15" t="str">
        <f>IF(J1284="","",J1284&amp;"|"&amp;E1284&amp;"|"&amp;F1284&amp;"|"&amp;I1284&amp;"|"&amp;O1284)</f>
        <v/>
      </c>
      <c r="T1284" s="15" t="str">
        <f>IF(OR(S1284="",D1284&lt;&gt;"Vastgesteld"),"",_xlfn.MAXIFS($G$6:$G$5005,$S$6:$S$5005,S1284,$D$6:$D$5005,"Vastgesteld"))</f>
        <v/>
      </c>
      <c r="U1284" s="15">
        <f>IF(T1284="",0,IF(AND(G1284=T1284,COUNTIFS($S$6:S1284,S1284,$G$6:G1284,G1284,$D$6:D1284,"Vastgesteld")=1),1,0))</f>
        <v>0</v>
      </c>
      <c r="V1284" s="15">
        <f>IF(T1284="",0,IF(AND(G1284=T1284,COUNTIFS($S$6:S1284,S1284,$G$6:G1284,G1284,$D$6:D1284,"Vastgesteld")&gt;1),1,0))</f>
        <v>0</v>
      </c>
    </row>
    <row r="1285">
      <c r="S1285" s="15" t="str">
        <f>IF(J1285="","",J1285&amp;"|"&amp;E1285&amp;"|"&amp;F1285&amp;"|"&amp;I1285&amp;"|"&amp;O1285)</f>
        <v/>
      </c>
      <c r="T1285" s="15" t="str">
        <f>IF(OR(S1285="",D1285&lt;&gt;"Vastgesteld"),"",_xlfn.MAXIFS($G$6:$G$5005,$S$6:$S$5005,S1285,$D$6:$D$5005,"Vastgesteld"))</f>
        <v/>
      </c>
      <c r="U1285" s="15">
        <f>IF(T1285="",0,IF(AND(G1285=T1285,COUNTIFS($S$6:S1285,S1285,$G$6:G1285,G1285,$D$6:D1285,"Vastgesteld")=1),1,0))</f>
        <v>0</v>
      </c>
      <c r="V1285" s="15">
        <f>IF(T1285="",0,IF(AND(G1285=T1285,COUNTIFS($S$6:S1285,S1285,$G$6:G1285,G1285,$D$6:D1285,"Vastgesteld")&gt;1),1,0))</f>
        <v>0</v>
      </c>
    </row>
    <row r="1286">
      <c r="S1286" s="15" t="str">
        <f>IF(J1286="","",J1286&amp;"|"&amp;E1286&amp;"|"&amp;F1286&amp;"|"&amp;I1286&amp;"|"&amp;O1286)</f>
        <v/>
      </c>
      <c r="T1286" s="15" t="str">
        <f>IF(OR(S1286="",D1286&lt;&gt;"Vastgesteld"),"",_xlfn.MAXIFS($G$6:$G$5005,$S$6:$S$5005,S1286,$D$6:$D$5005,"Vastgesteld"))</f>
        <v/>
      </c>
      <c r="U1286" s="15">
        <f>IF(T1286="",0,IF(AND(G1286=T1286,COUNTIFS($S$6:S1286,S1286,$G$6:G1286,G1286,$D$6:D1286,"Vastgesteld")=1),1,0))</f>
        <v>0</v>
      </c>
      <c r="V1286" s="15">
        <f>IF(T1286="",0,IF(AND(G1286=T1286,COUNTIFS($S$6:S1286,S1286,$G$6:G1286,G1286,$D$6:D1286,"Vastgesteld")&gt;1),1,0))</f>
        <v>0</v>
      </c>
    </row>
    <row r="1287">
      <c r="S1287" s="15" t="str">
        <f>IF(J1287="","",J1287&amp;"|"&amp;E1287&amp;"|"&amp;F1287&amp;"|"&amp;I1287&amp;"|"&amp;O1287)</f>
        <v/>
      </c>
      <c r="T1287" s="15" t="str">
        <f>IF(OR(S1287="",D1287&lt;&gt;"Vastgesteld"),"",_xlfn.MAXIFS($G$6:$G$5005,$S$6:$S$5005,S1287,$D$6:$D$5005,"Vastgesteld"))</f>
        <v/>
      </c>
      <c r="U1287" s="15">
        <f>IF(T1287="",0,IF(AND(G1287=T1287,COUNTIFS($S$6:S1287,S1287,$G$6:G1287,G1287,$D$6:D1287,"Vastgesteld")=1),1,0))</f>
        <v>0</v>
      </c>
      <c r="V1287" s="15">
        <f>IF(T1287="",0,IF(AND(G1287=T1287,COUNTIFS($S$6:S1287,S1287,$G$6:G1287,G1287,$D$6:D1287,"Vastgesteld")&gt;1),1,0))</f>
        <v>0</v>
      </c>
    </row>
    <row r="1288">
      <c r="S1288" s="15" t="str">
        <f>IF(J1288="","",J1288&amp;"|"&amp;E1288&amp;"|"&amp;F1288&amp;"|"&amp;I1288&amp;"|"&amp;O1288)</f>
        <v/>
      </c>
      <c r="T1288" s="15" t="str">
        <f>IF(OR(S1288="",D1288&lt;&gt;"Vastgesteld"),"",_xlfn.MAXIFS($G$6:$G$5005,$S$6:$S$5005,S1288,$D$6:$D$5005,"Vastgesteld"))</f>
        <v/>
      </c>
      <c r="U1288" s="15">
        <f>IF(T1288="",0,IF(AND(G1288=T1288,COUNTIFS($S$6:S1288,S1288,$G$6:G1288,G1288,$D$6:D1288,"Vastgesteld")=1),1,0))</f>
        <v>0</v>
      </c>
      <c r="V1288" s="15">
        <f>IF(T1288="",0,IF(AND(G1288=T1288,COUNTIFS($S$6:S1288,S1288,$G$6:G1288,G1288,$D$6:D1288,"Vastgesteld")&gt;1),1,0))</f>
        <v>0</v>
      </c>
    </row>
    <row r="1289">
      <c r="S1289" s="15" t="str">
        <f>IF(J1289="","",J1289&amp;"|"&amp;E1289&amp;"|"&amp;F1289&amp;"|"&amp;I1289&amp;"|"&amp;O1289)</f>
        <v/>
      </c>
      <c r="T1289" s="15" t="str">
        <f>IF(OR(S1289="",D1289&lt;&gt;"Vastgesteld"),"",_xlfn.MAXIFS($G$6:$G$5005,$S$6:$S$5005,S1289,$D$6:$D$5005,"Vastgesteld"))</f>
        <v/>
      </c>
      <c r="U1289" s="15">
        <f>IF(T1289="",0,IF(AND(G1289=T1289,COUNTIFS($S$6:S1289,S1289,$G$6:G1289,G1289,$D$6:D1289,"Vastgesteld")=1),1,0))</f>
        <v>0</v>
      </c>
      <c r="V1289" s="15">
        <f>IF(T1289="",0,IF(AND(G1289=T1289,COUNTIFS($S$6:S1289,S1289,$G$6:G1289,G1289,$D$6:D1289,"Vastgesteld")&gt;1),1,0))</f>
        <v>0</v>
      </c>
    </row>
    <row r="1290">
      <c r="S1290" s="15" t="str">
        <f>IF(J1290="","",J1290&amp;"|"&amp;E1290&amp;"|"&amp;F1290&amp;"|"&amp;I1290&amp;"|"&amp;O1290)</f>
        <v/>
      </c>
      <c r="T1290" s="15" t="str">
        <f>IF(OR(S1290="",D1290&lt;&gt;"Vastgesteld"),"",_xlfn.MAXIFS($G$6:$G$5005,$S$6:$S$5005,S1290,$D$6:$D$5005,"Vastgesteld"))</f>
        <v/>
      </c>
      <c r="U1290" s="15">
        <f>IF(T1290="",0,IF(AND(G1290=T1290,COUNTIFS($S$6:S1290,S1290,$G$6:G1290,G1290,$D$6:D1290,"Vastgesteld")=1),1,0))</f>
        <v>0</v>
      </c>
      <c r="V1290" s="15">
        <f>IF(T1290="",0,IF(AND(G1290=T1290,COUNTIFS($S$6:S1290,S1290,$G$6:G1290,G1290,$D$6:D1290,"Vastgesteld")&gt;1),1,0))</f>
        <v>0</v>
      </c>
    </row>
    <row r="1291">
      <c r="S1291" s="15" t="str">
        <f>IF(J1291="","",J1291&amp;"|"&amp;E1291&amp;"|"&amp;F1291&amp;"|"&amp;I1291&amp;"|"&amp;O1291)</f>
        <v/>
      </c>
      <c r="T1291" s="15" t="str">
        <f>IF(OR(S1291="",D1291&lt;&gt;"Vastgesteld"),"",_xlfn.MAXIFS($G$6:$G$5005,$S$6:$S$5005,S1291,$D$6:$D$5005,"Vastgesteld"))</f>
        <v/>
      </c>
      <c r="U1291" s="15">
        <f>IF(T1291="",0,IF(AND(G1291=T1291,COUNTIFS($S$6:S1291,S1291,$G$6:G1291,G1291,$D$6:D1291,"Vastgesteld")=1),1,0))</f>
        <v>0</v>
      </c>
      <c r="V1291" s="15">
        <f>IF(T1291="",0,IF(AND(G1291=T1291,COUNTIFS($S$6:S1291,S1291,$G$6:G1291,G1291,$D$6:D1291,"Vastgesteld")&gt;1),1,0))</f>
        <v>0</v>
      </c>
    </row>
    <row r="1292">
      <c r="S1292" s="15" t="str">
        <f>IF(J1292="","",J1292&amp;"|"&amp;E1292&amp;"|"&amp;F1292&amp;"|"&amp;I1292&amp;"|"&amp;O1292)</f>
        <v/>
      </c>
      <c r="T1292" s="15" t="str">
        <f>IF(OR(S1292="",D1292&lt;&gt;"Vastgesteld"),"",_xlfn.MAXIFS($G$6:$G$5005,$S$6:$S$5005,S1292,$D$6:$D$5005,"Vastgesteld"))</f>
        <v/>
      </c>
      <c r="U1292" s="15">
        <f>IF(T1292="",0,IF(AND(G1292=T1292,COUNTIFS($S$6:S1292,S1292,$G$6:G1292,G1292,$D$6:D1292,"Vastgesteld")=1),1,0))</f>
        <v>0</v>
      </c>
      <c r="V1292" s="15">
        <f>IF(T1292="",0,IF(AND(G1292=T1292,COUNTIFS($S$6:S1292,S1292,$G$6:G1292,G1292,$D$6:D1292,"Vastgesteld")&gt;1),1,0))</f>
        <v>0</v>
      </c>
    </row>
    <row r="1293">
      <c r="S1293" s="15" t="str">
        <f>IF(J1293="","",J1293&amp;"|"&amp;E1293&amp;"|"&amp;F1293&amp;"|"&amp;I1293&amp;"|"&amp;O1293)</f>
        <v/>
      </c>
      <c r="T1293" s="15" t="str">
        <f>IF(OR(S1293="",D1293&lt;&gt;"Vastgesteld"),"",_xlfn.MAXIFS($G$6:$G$5005,$S$6:$S$5005,S1293,$D$6:$D$5005,"Vastgesteld"))</f>
        <v/>
      </c>
      <c r="U1293" s="15">
        <f>IF(T1293="",0,IF(AND(G1293=T1293,COUNTIFS($S$6:S1293,S1293,$G$6:G1293,G1293,$D$6:D1293,"Vastgesteld")=1),1,0))</f>
        <v>0</v>
      </c>
      <c r="V1293" s="15">
        <f>IF(T1293="",0,IF(AND(G1293=T1293,COUNTIFS($S$6:S1293,S1293,$G$6:G1293,G1293,$D$6:D1293,"Vastgesteld")&gt;1),1,0))</f>
        <v>0</v>
      </c>
    </row>
    <row r="1294">
      <c r="S1294" s="15" t="str">
        <f>IF(J1294="","",J1294&amp;"|"&amp;E1294&amp;"|"&amp;F1294&amp;"|"&amp;I1294&amp;"|"&amp;O1294)</f>
        <v/>
      </c>
      <c r="T1294" s="15" t="str">
        <f>IF(OR(S1294="",D1294&lt;&gt;"Vastgesteld"),"",_xlfn.MAXIFS($G$6:$G$5005,$S$6:$S$5005,S1294,$D$6:$D$5005,"Vastgesteld"))</f>
        <v/>
      </c>
      <c r="U1294" s="15">
        <f>IF(T1294="",0,IF(AND(G1294=T1294,COUNTIFS($S$6:S1294,S1294,$G$6:G1294,G1294,$D$6:D1294,"Vastgesteld")=1),1,0))</f>
        <v>0</v>
      </c>
      <c r="V1294" s="15">
        <f>IF(T1294="",0,IF(AND(G1294=T1294,COUNTIFS($S$6:S1294,S1294,$G$6:G1294,G1294,$D$6:D1294,"Vastgesteld")&gt;1),1,0))</f>
        <v>0</v>
      </c>
    </row>
    <row r="1295">
      <c r="S1295" s="15" t="str">
        <f>IF(J1295="","",J1295&amp;"|"&amp;E1295&amp;"|"&amp;F1295&amp;"|"&amp;I1295&amp;"|"&amp;O1295)</f>
        <v/>
      </c>
      <c r="T1295" s="15" t="str">
        <f>IF(OR(S1295="",D1295&lt;&gt;"Vastgesteld"),"",_xlfn.MAXIFS($G$6:$G$5005,$S$6:$S$5005,S1295,$D$6:$D$5005,"Vastgesteld"))</f>
        <v/>
      </c>
      <c r="U1295" s="15">
        <f>IF(T1295="",0,IF(AND(G1295=T1295,COUNTIFS($S$6:S1295,S1295,$G$6:G1295,G1295,$D$6:D1295,"Vastgesteld")=1),1,0))</f>
        <v>0</v>
      </c>
      <c r="V1295" s="15">
        <f>IF(T1295="",0,IF(AND(G1295=T1295,COUNTIFS($S$6:S1295,S1295,$G$6:G1295,G1295,$D$6:D1295,"Vastgesteld")&gt;1),1,0))</f>
        <v>0</v>
      </c>
    </row>
    <row r="1296">
      <c r="S1296" s="15" t="str">
        <f>IF(J1296="","",J1296&amp;"|"&amp;E1296&amp;"|"&amp;F1296&amp;"|"&amp;I1296&amp;"|"&amp;O1296)</f>
        <v/>
      </c>
      <c r="T1296" s="15" t="str">
        <f>IF(OR(S1296="",D1296&lt;&gt;"Vastgesteld"),"",_xlfn.MAXIFS($G$6:$G$5005,$S$6:$S$5005,S1296,$D$6:$D$5005,"Vastgesteld"))</f>
        <v/>
      </c>
      <c r="U1296" s="15">
        <f>IF(T1296="",0,IF(AND(G1296=T1296,COUNTIFS($S$6:S1296,S1296,$G$6:G1296,G1296,$D$6:D1296,"Vastgesteld")=1),1,0))</f>
        <v>0</v>
      </c>
      <c r="V1296" s="15">
        <f>IF(T1296="",0,IF(AND(G1296=T1296,COUNTIFS($S$6:S1296,S1296,$G$6:G1296,G1296,$D$6:D1296,"Vastgesteld")&gt;1),1,0))</f>
        <v>0</v>
      </c>
    </row>
    <row r="1297">
      <c r="S1297" s="15" t="str">
        <f>IF(J1297="","",J1297&amp;"|"&amp;E1297&amp;"|"&amp;F1297&amp;"|"&amp;I1297&amp;"|"&amp;O1297)</f>
        <v/>
      </c>
      <c r="T1297" s="15" t="str">
        <f>IF(OR(S1297="",D1297&lt;&gt;"Vastgesteld"),"",_xlfn.MAXIFS($G$6:$G$5005,$S$6:$S$5005,S1297,$D$6:$D$5005,"Vastgesteld"))</f>
        <v/>
      </c>
      <c r="U1297" s="15">
        <f>IF(T1297="",0,IF(AND(G1297=T1297,COUNTIFS($S$6:S1297,S1297,$G$6:G1297,G1297,$D$6:D1297,"Vastgesteld")=1),1,0))</f>
        <v>0</v>
      </c>
      <c r="V1297" s="15">
        <f>IF(T1297="",0,IF(AND(G1297=T1297,COUNTIFS($S$6:S1297,S1297,$G$6:G1297,G1297,$D$6:D1297,"Vastgesteld")&gt;1),1,0))</f>
        <v>0</v>
      </c>
    </row>
    <row r="1298">
      <c r="S1298" s="15" t="str">
        <f>IF(J1298="","",J1298&amp;"|"&amp;E1298&amp;"|"&amp;F1298&amp;"|"&amp;I1298&amp;"|"&amp;O1298)</f>
        <v/>
      </c>
      <c r="T1298" s="15" t="str">
        <f>IF(OR(S1298="",D1298&lt;&gt;"Vastgesteld"),"",_xlfn.MAXIFS($G$6:$G$5005,$S$6:$S$5005,S1298,$D$6:$D$5005,"Vastgesteld"))</f>
        <v/>
      </c>
      <c r="U1298" s="15">
        <f>IF(T1298="",0,IF(AND(G1298=T1298,COUNTIFS($S$6:S1298,S1298,$G$6:G1298,G1298,$D$6:D1298,"Vastgesteld")=1),1,0))</f>
        <v>0</v>
      </c>
      <c r="V1298" s="15">
        <f>IF(T1298="",0,IF(AND(G1298=T1298,COUNTIFS($S$6:S1298,S1298,$G$6:G1298,G1298,$D$6:D1298,"Vastgesteld")&gt;1),1,0))</f>
        <v>0</v>
      </c>
    </row>
    <row r="1299">
      <c r="S1299" s="15" t="str">
        <f>IF(J1299="","",J1299&amp;"|"&amp;E1299&amp;"|"&amp;F1299&amp;"|"&amp;I1299&amp;"|"&amp;O1299)</f>
        <v/>
      </c>
      <c r="T1299" s="15" t="str">
        <f>IF(OR(S1299="",D1299&lt;&gt;"Vastgesteld"),"",_xlfn.MAXIFS($G$6:$G$5005,$S$6:$S$5005,S1299,$D$6:$D$5005,"Vastgesteld"))</f>
        <v/>
      </c>
      <c r="U1299" s="15">
        <f>IF(T1299="",0,IF(AND(G1299=T1299,COUNTIFS($S$6:S1299,S1299,$G$6:G1299,G1299,$D$6:D1299,"Vastgesteld")=1),1,0))</f>
        <v>0</v>
      </c>
      <c r="V1299" s="15">
        <f>IF(T1299="",0,IF(AND(G1299=T1299,COUNTIFS($S$6:S1299,S1299,$G$6:G1299,G1299,$D$6:D1299,"Vastgesteld")&gt;1),1,0))</f>
        <v>0</v>
      </c>
    </row>
    <row r="1300">
      <c r="S1300" s="15" t="str">
        <f>IF(J1300="","",J1300&amp;"|"&amp;E1300&amp;"|"&amp;F1300&amp;"|"&amp;I1300&amp;"|"&amp;O1300)</f>
        <v/>
      </c>
      <c r="T1300" s="15" t="str">
        <f>IF(OR(S1300="",D1300&lt;&gt;"Vastgesteld"),"",_xlfn.MAXIFS($G$6:$G$5005,$S$6:$S$5005,S1300,$D$6:$D$5005,"Vastgesteld"))</f>
        <v/>
      </c>
      <c r="U1300" s="15">
        <f>IF(T1300="",0,IF(AND(G1300=T1300,COUNTIFS($S$6:S1300,S1300,$G$6:G1300,G1300,$D$6:D1300,"Vastgesteld")=1),1,0))</f>
        <v>0</v>
      </c>
      <c r="V1300" s="15">
        <f>IF(T1300="",0,IF(AND(G1300=T1300,COUNTIFS($S$6:S1300,S1300,$G$6:G1300,G1300,$D$6:D1300,"Vastgesteld")&gt;1),1,0))</f>
        <v>0</v>
      </c>
    </row>
    <row r="1301">
      <c r="S1301" s="15" t="str">
        <f>IF(J1301="","",J1301&amp;"|"&amp;E1301&amp;"|"&amp;F1301&amp;"|"&amp;I1301&amp;"|"&amp;O1301)</f>
        <v/>
      </c>
      <c r="T1301" s="15" t="str">
        <f>IF(OR(S1301="",D1301&lt;&gt;"Vastgesteld"),"",_xlfn.MAXIFS($G$6:$G$5005,$S$6:$S$5005,S1301,$D$6:$D$5005,"Vastgesteld"))</f>
        <v/>
      </c>
      <c r="U1301" s="15">
        <f>IF(T1301="",0,IF(AND(G1301=T1301,COUNTIFS($S$6:S1301,S1301,$G$6:G1301,G1301,$D$6:D1301,"Vastgesteld")=1),1,0))</f>
        <v>0</v>
      </c>
      <c r="V1301" s="15">
        <f>IF(T1301="",0,IF(AND(G1301=T1301,COUNTIFS($S$6:S1301,S1301,$G$6:G1301,G1301,$D$6:D1301,"Vastgesteld")&gt;1),1,0))</f>
        <v>0</v>
      </c>
    </row>
    <row r="1302">
      <c r="S1302" s="15" t="str">
        <f>IF(J1302="","",J1302&amp;"|"&amp;E1302&amp;"|"&amp;F1302&amp;"|"&amp;I1302&amp;"|"&amp;O1302)</f>
        <v/>
      </c>
      <c r="T1302" s="15" t="str">
        <f>IF(OR(S1302="",D1302&lt;&gt;"Vastgesteld"),"",_xlfn.MAXIFS($G$6:$G$5005,$S$6:$S$5005,S1302,$D$6:$D$5005,"Vastgesteld"))</f>
        <v/>
      </c>
      <c r="U1302" s="15">
        <f>IF(T1302="",0,IF(AND(G1302=T1302,COUNTIFS($S$6:S1302,S1302,$G$6:G1302,G1302,$D$6:D1302,"Vastgesteld")=1),1,0))</f>
        <v>0</v>
      </c>
      <c r="V1302" s="15">
        <f>IF(T1302="",0,IF(AND(G1302=T1302,COUNTIFS($S$6:S1302,S1302,$G$6:G1302,G1302,$D$6:D1302,"Vastgesteld")&gt;1),1,0))</f>
        <v>0</v>
      </c>
    </row>
    <row r="1303">
      <c r="S1303" s="15" t="str">
        <f>IF(J1303="","",J1303&amp;"|"&amp;E1303&amp;"|"&amp;F1303&amp;"|"&amp;I1303&amp;"|"&amp;O1303)</f>
        <v/>
      </c>
      <c r="T1303" s="15" t="str">
        <f>IF(OR(S1303="",D1303&lt;&gt;"Vastgesteld"),"",_xlfn.MAXIFS($G$6:$G$5005,$S$6:$S$5005,S1303,$D$6:$D$5005,"Vastgesteld"))</f>
        <v/>
      </c>
      <c r="U1303" s="15">
        <f>IF(T1303="",0,IF(AND(G1303=T1303,COUNTIFS($S$6:S1303,S1303,$G$6:G1303,G1303,$D$6:D1303,"Vastgesteld")=1),1,0))</f>
        <v>0</v>
      </c>
      <c r="V1303" s="15">
        <f>IF(T1303="",0,IF(AND(G1303=T1303,COUNTIFS($S$6:S1303,S1303,$G$6:G1303,G1303,$D$6:D1303,"Vastgesteld")&gt;1),1,0))</f>
        <v>0</v>
      </c>
    </row>
    <row r="1304">
      <c r="S1304" s="15" t="str">
        <f>IF(J1304="","",J1304&amp;"|"&amp;E1304&amp;"|"&amp;F1304&amp;"|"&amp;I1304&amp;"|"&amp;O1304)</f>
        <v/>
      </c>
      <c r="T1304" s="15" t="str">
        <f>IF(OR(S1304="",D1304&lt;&gt;"Vastgesteld"),"",_xlfn.MAXIFS($G$6:$G$5005,$S$6:$S$5005,S1304,$D$6:$D$5005,"Vastgesteld"))</f>
        <v/>
      </c>
      <c r="U1304" s="15">
        <f>IF(T1304="",0,IF(AND(G1304=T1304,COUNTIFS($S$6:S1304,S1304,$G$6:G1304,G1304,$D$6:D1304,"Vastgesteld")=1),1,0))</f>
        <v>0</v>
      </c>
      <c r="V1304" s="15">
        <f>IF(T1304="",0,IF(AND(G1304=T1304,COUNTIFS($S$6:S1304,S1304,$G$6:G1304,G1304,$D$6:D1304,"Vastgesteld")&gt;1),1,0))</f>
        <v>0</v>
      </c>
    </row>
    <row r="1305">
      <c r="S1305" s="15" t="str">
        <f>IF(J1305="","",J1305&amp;"|"&amp;E1305&amp;"|"&amp;F1305&amp;"|"&amp;I1305&amp;"|"&amp;O1305)</f>
        <v/>
      </c>
      <c r="T1305" s="15" t="str">
        <f>IF(OR(S1305="",D1305&lt;&gt;"Vastgesteld"),"",_xlfn.MAXIFS($G$6:$G$5005,$S$6:$S$5005,S1305,$D$6:$D$5005,"Vastgesteld"))</f>
        <v/>
      </c>
      <c r="U1305" s="15">
        <f>IF(T1305="",0,IF(AND(G1305=T1305,COUNTIFS($S$6:S1305,S1305,$G$6:G1305,G1305,$D$6:D1305,"Vastgesteld")=1),1,0))</f>
        <v>0</v>
      </c>
      <c r="V1305" s="15">
        <f>IF(T1305="",0,IF(AND(G1305=T1305,COUNTIFS($S$6:S1305,S1305,$G$6:G1305,G1305,$D$6:D1305,"Vastgesteld")&gt;1),1,0))</f>
        <v>0</v>
      </c>
    </row>
    <row r="1306">
      <c r="S1306" s="15" t="str">
        <f>IF(J1306="","",J1306&amp;"|"&amp;E1306&amp;"|"&amp;F1306&amp;"|"&amp;I1306&amp;"|"&amp;O1306)</f>
        <v/>
      </c>
      <c r="T1306" s="15" t="str">
        <f>IF(OR(S1306="",D1306&lt;&gt;"Vastgesteld"),"",_xlfn.MAXIFS($G$6:$G$5005,$S$6:$S$5005,S1306,$D$6:$D$5005,"Vastgesteld"))</f>
        <v/>
      </c>
      <c r="U1306" s="15">
        <f>IF(T1306="",0,IF(AND(G1306=T1306,COUNTIFS($S$6:S1306,S1306,$G$6:G1306,G1306,$D$6:D1306,"Vastgesteld")=1),1,0))</f>
        <v>0</v>
      </c>
      <c r="V1306" s="15">
        <f>IF(T1306="",0,IF(AND(G1306=T1306,COUNTIFS($S$6:S1306,S1306,$G$6:G1306,G1306,$D$6:D1306,"Vastgesteld")&gt;1),1,0))</f>
        <v>0</v>
      </c>
    </row>
    <row r="1307">
      <c r="S1307" s="15" t="str">
        <f>IF(J1307="","",J1307&amp;"|"&amp;E1307&amp;"|"&amp;F1307&amp;"|"&amp;I1307&amp;"|"&amp;O1307)</f>
        <v/>
      </c>
      <c r="T1307" s="15" t="str">
        <f>IF(OR(S1307="",D1307&lt;&gt;"Vastgesteld"),"",_xlfn.MAXIFS($G$6:$G$5005,$S$6:$S$5005,S1307,$D$6:$D$5005,"Vastgesteld"))</f>
        <v/>
      </c>
      <c r="U1307" s="15">
        <f>IF(T1307="",0,IF(AND(G1307=T1307,COUNTIFS($S$6:S1307,S1307,$G$6:G1307,G1307,$D$6:D1307,"Vastgesteld")=1),1,0))</f>
        <v>0</v>
      </c>
      <c r="V1307" s="15">
        <f>IF(T1307="",0,IF(AND(G1307=T1307,COUNTIFS($S$6:S1307,S1307,$G$6:G1307,G1307,$D$6:D1307,"Vastgesteld")&gt;1),1,0))</f>
        <v>0</v>
      </c>
    </row>
    <row r="1308">
      <c r="S1308" s="15" t="str">
        <f>IF(J1308="","",J1308&amp;"|"&amp;E1308&amp;"|"&amp;F1308&amp;"|"&amp;I1308&amp;"|"&amp;O1308)</f>
        <v/>
      </c>
      <c r="T1308" s="15" t="str">
        <f>IF(OR(S1308="",D1308&lt;&gt;"Vastgesteld"),"",_xlfn.MAXIFS($G$6:$G$5005,$S$6:$S$5005,S1308,$D$6:$D$5005,"Vastgesteld"))</f>
        <v/>
      </c>
      <c r="U1308" s="15">
        <f>IF(T1308="",0,IF(AND(G1308=T1308,COUNTIFS($S$6:S1308,S1308,$G$6:G1308,G1308,$D$6:D1308,"Vastgesteld")=1),1,0))</f>
        <v>0</v>
      </c>
      <c r="V1308" s="15">
        <f>IF(T1308="",0,IF(AND(G1308=T1308,COUNTIFS($S$6:S1308,S1308,$G$6:G1308,G1308,$D$6:D1308,"Vastgesteld")&gt;1),1,0))</f>
        <v>0</v>
      </c>
    </row>
    <row r="1309">
      <c r="S1309" s="15" t="str">
        <f>IF(J1309="","",J1309&amp;"|"&amp;E1309&amp;"|"&amp;F1309&amp;"|"&amp;I1309&amp;"|"&amp;O1309)</f>
        <v/>
      </c>
      <c r="T1309" s="15" t="str">
        <f>IF(OR(S1309="",D1309&lt;&gt;"Vastgesteld"),"",_xlfn.MAXIFS($G$6:$G$5005,$S$6:$S$5005,S1309,$D$6:$D$5005,"Vastgesteld"))</f>
        <v/>
      </c>
      <c r="U1309" s="15">
        <f>IF(T1309="",0,IF(AND(G1309=T1309,COUNTIFS($S$6:S1309,S1309,$G$6:G1309,G1309,$D$6:D1309,"Vastgesteld")=1),1,0))</f>
        <v>0</v>
      </c>
      <c r="V1309" s="15">
        <f>IF(T1309="",0,IF(AND(G1309=T1309,COUNTIFS($S$6:S1309,S1309,$G$6:G1309,G1309,$D$6:D1309,"Vastgesteld")&gt;1),1,0))</f>
        <v>0</v>
      </c>
    </row>
    <row r="1310">
      <c r="S1310" s="15" t="str">
        <f>IF(J1310="","",J1310&amp;"|"&amp;E1310&amp;"|"&amp;F1310&amp;"|"&amp;I1310&amp;"|"&amp;O1310)</f>
        <v/>
      </c>
      <c r="T1310" s="15" t="str">
        <f>IF(OR(S1310="",D1310&lt;&gt;"Vastgesteld"),"",_xlfn.MAXIFS($G$6:$G$5005,$S$6:$S$5005,S1310,$D$6:$D$5005,"Vastgesteld"))</f>
        <v/>
      </c>
      <c r="U1310" s="15">
        <f>IF(T1310="",0,IF(AND(G1310=T1310,COUNTIFS($S$6:S1310,S1310,$G$6:G1310,G1310,$D$6:D1310,"Vastgesteld")=1),1,0))</f>
        <v>0</v>
      </c>
      <c r="V1310" s="15">
        <f>IF(T1310="",0,IF(AND(G1310=T1310,COUNTIFS($S$6:S1310,S1310,$G$6:G1310,G1310,$D$6:D1310,"Vastgesteld")&gt;1),1,0))</f>
        <v>0</v>
      </c>
    </row>
    <row r="1311">
      <c r="S1311" s="15" t="str">
        <f>IF(J1311="","",J1311&amp;"|"&amp;E1311&amp;"|"&amp;F1311&amp;"|"&amp;I1311&amp;"|"&amp;O1311)</f>
        <v/>
      </c>
      <c r="T1311" s="15" t="str">
        <f>IF(OR(S1311="",D1311&lt;&gt;"Vastgesteld"),"",_xlfn.MAXIFS($G$6:$G$5005,$S$6:$S$5005,S1311,$D$6:$D$5005,"Vastgesteld"))</f>
        <v/>
      </c>
      <c r="U1311" s="15">
        <f>IF(T1311="",0,IF(AND(G1311=T1311,COUNTIFS($S$6:S1311,S1311,$G$6:G1311,G1311,$D$6:D1311,"Vastgesteld")=1),1,0))</f>
        <v>0</v>
      </c>
      <c r="V1311" s="15">
        <f>IF(T1311="",0,IF(AND(G1311=T1311,COUNTIFS($S$6:S1311,S1311,$G$6:G1311,G1311,$D$6:D1311,"Vastgesteld")&gt;1),1,0))</f>
        <v>0</v>
      </c>
    </row>
    <row r="1312">
      <c r="S1312" s="15" t="str">
        <f>IF(J1312="","",J1312&amp;"|"&amp;E1312&amp;"|"&amp;F1312&amp;"|"&amp;I1312&amp;"|"&amp;O1312)</f>
        <v/>
      </c>
      <c r="T1312" s="15" t="str">
        <f>IF(OR(S1312="",D1312&lt;&gt;"Vastgesteld"),"",_xlfn.MAXIFS($G$6:$G$5005,$S$6:$S$5005,S1312,$D$6:$D$5005,"Vastgesteld"))</f>
        <v/>
      </c>
      <c r="U1312" s="15">
        <f>IF(T1312="",0,IF(AND(G1312=T1312,COUNTIFS($S$6:S1312,S1312,$G$6:G1312,G1312,$D$6:D1312,"Vastgesteld")=1),1,0))</f>
        <v>0</v>
      </c>
      <c r="V1312" s="15">
        <f>IF(T1312="",0,IF(AND(G1312=T1312,COUNTIFS($S$6:S1312,S1312,$G$6:G1312,G1312,$D$6:D1312,"Vastgesteld")&gt;1),1,0))</f>
        <v>0</v>
      </c>
    </row>
    <row r="1313">
      <c r="S1313" s="15" t="str">
        <f>IF(J1313="","",J1313&amp;"|"&amp;E1313&amp;"|"&amp;F1313&amp;"|"&amp;I1313&amp;"|"&amp;O1313)</f>
        <v/>
      </c>
      <c r="T1313" s="15" t="str">
        <f>IF(OR(S1313="",D1313&lt;&gt;"Vastgesteld"),"",_xlfn.MAXIFS($G$6:$G$5005,$S$6:$S$5005,S1313,$D$6:$D$5005,"Vastgesteld"))</f>
        <v/>
      </c>
      <c r="U1313" s="15">
        <f>IF(T1313="",0,IF(AND(G1313=T1313,COUNTIFS($S$6:S1313,S1313,$G$6:G1313,G1313,$D$6:D1313,"Vastgesteld")=1),1,0))</f>
        <v>0</v>
      </c>
      <c r="V1313" s="15">
        <f>IF(T1313="",0,IF(AND(G1313=T1313,COUNTIFS($S$6:S1313,S1313,$G$6:G1313,G1313,$D$6:D1313,"Vastgesteld")&gt;1),1,0))</f>
        <v>0</v>
      </c>
    </row>
    <row r="1314">
      <c r="S1314" s="15" t="str">
        <f>IF(J1314="","",J1314&amp;"|"&amp;E1314&amp;"|"&amp;F1314&amp;"|"&amp;I1314&amp;"|"&amp;O1314)</f>
        <v/>
      </c>
      <c r="T1314" s="15" t="str">
        <f>IF(OR(S1314="",D1314&lt;&gt;"Vastgesteld"),"",_xlfn.MAXIFS($G$6:$G$5005,$S$6:$S$5005,S1314,$D$6:$D$5005,"Vastgesteld"))</f>
        <v/>
      </c>
      <c r="U1314" s="15">
        <f>IF(T1314="",0,IF(AND(G1314=T1314,COUNTIFS($S$6:S1314,S1314,$G$6:G1314,G1314,$D$6:D1314,"Vastgesteld")=1),1,0))</f>
        <v>0</v>
      </c>
      <c r="V1314" s="15">
        <f>IF(T1314="",0,IF(AND(G1314=T1314,COUNTIFS($S$6:S1314,S1314,$G$6:G1314,G1314,$D$6:D1314,"Vastgesteld")&gt;1),1,0))</f>
        <v>0</v>
      </c>
    </row>
    <row r="1315">
      <c r="S1315" s="15" t="str">
        <f>IF(J1315="","",J1315&amp;"|"&amp;E1315&amp;"|"&amp;F1315&amp;"|"&amp;I1315&amp;"|"&amp;O1315)</f>
        <v/>
      </c>
      <c r="T1315" s="15" t="str">
        <f>IF(OR(S1315="",D1315&lt;&gt;"Vastgesteld"),"",_xlfn.MAXIFS($G$6:$G$5005,$S$6:$S$5005,S1315,$D$6:$D$5005,"Vastgesteld"))</f>
        <v/>
      </c>
      <c r="U1315" s="15">
        <f>IF(T1315="",0,IF(AND(G1315=T1315,COUNTIFS($S$6:S1315,S1315,$G$6:G1315,G1315,$D$6:D1315,"Vastgesteld")=1),1,0))</f>
        <v>0</v>
      </c>
      <c r="V1315" s="15">
        <f>IF(T1315="",0,IF(AND(G1315=T1315,COUNTIFS($S$6:S1315,S1315,$G$6:G1315,G1315,$D$6:D1315,"Vastgesteld")&gt;1),1,0))</f>
        <v>0</v>
      </c>
    </row>
    <row r="1316">
      <c r="S1316" s="15" t="str">
        <f>IF(J1316="","",J1316&amp;"|"&amp;E1316&amp;"|"&amp;F1316&amp;"|"&amp;I1316&amp;"|"&amp;O1316)</f>
        <v/>
      </c>
      <c r="T1316" s="15" t="str">
        <f>IF(OR(S1316="",D1316&lt;&gt;"Vastgesteld"),"",_xlfn.MAXIFS($G$6:$G$5005,$S$6:$S$5005,S1316,$D$6:$D$5005,"Vastgesteld"))</f>
        <v/>
      </c>
      <c r="U1316" s="15">
        <f>IF(T1316="",0,IF(AND(G1316=T1316,COUNTIFS($S$6:S1316,S1316,$G$6:G1316,G1316,$D$6:D1316,"Vastgesteld")=1),1,0))</f>
        <v>0</v>
      </c>
      <c r="V1316" s="15">
        <f>IF(T1316="",0,IF(AND(G1316=T1316,COUNTIFS($S$6:S1316,S1316,$G$6:G1316,G1316,$D$6:D1316,"Vastgesteld")&gt;1),1,0))</f>
        <v>0</v>
      </c>
    </row>
    <row r="1317">
      <c r="S1317" s="15" t="str">
        <f>IF(J1317="","",J1317&amp;"|"&amp;E1317&amp;"|"&amp;F1317&amp;"|"&amp;I1317&amp;"|"&amp;O1317)</f>
        <v/>
      </c>
      <c r="T1317" s="15" t="str">
        <f>IF(OR(S1317="",D1317&lt;&gt;"Vastgesteld"),"",_xlfn.MAXIFS($G$6:$G$5005,$S$6:$S$5005,S1317,$D$6:$D$5005,"Vastgesteld"))</f>
        <v/>
      </c>
      <c r="U1317" s="15">
        <f>IF(T1317="",0,IF(AND(G1317=T1317,COUNTIFS($S$6:S1317,S1317,$G$6:G1317,G1317,$D$6:D1317,"Vastgesteld")=1),1,0))</f>
        <v>0</v>
      </c>
      <c r="V1317" s="15">
        <f>IF(T1317="",0,IF(AND(G1317=T1317,COUNTIFS($S$6:S1317,S1317,$G$6:G1317,G1317,$D$6:D1317,"Vastgesteld")&gt;1),1,0))</f>
        <v>0</v>
      </c>
    </row>
    <row r="1318">
      <c r="S1318" s="15" t="str">
        <f>IF(J1318="","",J1318&amp;"|"&amp;E1318&amp;"|"&amp;F1318&amp;"|"&amp;I1318&amp;"|"&amp;O1318)</f>
        <v/>
      </c>
      <c r="T1318" s="15" t="str">
        <f>IF(OR(S1318="",D1318&lt;&gt;"Vastgesteld"),"",_xlfn.MAXIFS($G$6:$G$5005,$S$6:$S$5005,S1318,$D$6:$D$5005,"Vastgesteld"))</f>
        <v/>
      </c>
      <c r="U1318" s="15">
        <f>IF(T1318="",0,IF(AND(G1318=T1318,COUNTIFS($S$6:S1318,S1318,$G$6:G1318,G1318,$D$6:D1318,"Vastgesteld")=1),1,0))</f>
        <v>0</v>
      </c>
      <c r="V1318" s="15">
        <f>IF(T1318="",0,IF(AND(G1318=T1318,COUNTIFS($S$6:S1318,S1318,$G$6:G1318,G1318,$D$6:D1318,"Vastgesteld")&gt;1),1,0))</f>
        <v>0</v>
      </c>
    </row>
    <row r="1319">
      <c r="S1319" s="15" t="str">
        <f>IF(J1319="","",J1319&amp;"|"&amp;E1319&amp;"|"&amp;F1319&amp;"|"&amp;I1319&amp;"|"&amp;O1319)</f>
        <v/>
      </c>
      <c r="T1319" s="15" t="str">
        <f>IF(OR(S1319="",D1319&lt;&gt;"Vastgesteld"),"",_xlfn.MAXIFS($G$6:$G$5005,$S$6:$S$5005,S1319,$D$6:$D$5005,"Vastgesteld"))</f>
        <v/>
      </c>
      <c r="U1319" s="15">
        <f>IF(T1319="",0,IF(AND(G1319=T1319,COUNTIFS($S$6:S1319,S1319,$G$6:G1319,G1319,$D$6:D1319,"Vastgesteld")=1),1,0))</f>
        <v>0</v>
      </c>
      <c r="V1319" s="15">
        <f>IF(T1319="",0,IF(AND(G1319=T1319,COUNTIFS($S$6:S1319,S1319,$G$6:G1319,G1319,$D$6:D1319,"Vastgesteld")&gt;1),1,0))</f>
        <v>0</v>
      </c>
    </row>
    <row r="1320">
      <c r="S1320" s="15" t="str">
        <f>IF(J1320="","",J1320&amp;"|"&amp;E1320&amp;"|"&amp;F1320&amp;"|"&amp;I1320&amp;"|"&amp;O1320)</f>
        <v/>
      </c>
      <c r="T1320" s="15" t="str">
        <f>IF(OR(S1320="",D1320&lt;&gt;"Vastgesteld"),"",_xlfn.MAXIFS($G$6:$G$5005,$S$6:$S$5005,S1320,$D$6:$D$5005,"Vastgesteld"))</f>
        <v/>
      </c>
      <c r="U1320" s="15">
        <f>IF(T1320="",0,IF(AND(G1320=T1320,COUNTIFS($S$6:S1320,S1320,$G$6:G1320,G1320,$D$6:D1320,"Vastgesteld")=1),1,0))</f>
        <v>0</v>
      </c>
      <c r="V1320" s="15">
        <f>IF(T1320="",0,IF(AND(G1320=T1320,COUNTIFS($S$6:S1320,S1320,$G$6:G1320,G1320,$D$6:D1320,"Vastgesteld")&gt;1),1,0))</f>
        <v>0</v>
      </c>
    </row>
    <row r="1321">
      <c r="S1321" s="15" t="str">
        <f>IF(J1321="","",J1321&amp;"|"&amp;E1321&amp;"|"&amp;F1321&amp;"|"&amp;I1321&amp;"|"&amp;O1321)</f>
        <v/>
      </c>
      <c r="T1321" s="15" t="str">
        <f>IF(OR(S1321="",D1321&lt;&gt;"Vastgesteld"),"",_xlfn.MAXIFS($G$6:$G$5005,$S$6:$S$5005,S1321,$D$6:$D$5005,"Vastgesteld"))</f>
        <v/>
      </c>
      <c r="U1321" s="15">
        <f>IF(T1321="",0,IF(AND(G1321=T1321,COUNTIFS($S$6:S1321,S1321,$G$6:G1321,G1321,$D$6:D1321,"Vastgesteld")=1),1,0))</f>
        <v>0</v>
      </c>
      <c r="V1321" s="15">
        <f>IF(T1321="",0,IF(AND(G1321=T1321,COUNTIFS($S$6:S1321,S1321,$G$6:G1321,G1321,$D$6:D1321,"Vastgesteld")&gt;1),1,0))</f>
        <v>0</v>
      </c>
    </row>
    <row r="1322">
      <c r="S1322" s="15" t="str">
        <f>IF(J1322="","",J1322&amp;"|"&amp;E1322&amp;"|"&amp;F1322&amp;"|"&amp;I1322&amp;"|"&amp;O1322)</f>
        <v/>
      </c>
      <c r="T1322" s="15" t="str">
        <f>IF(OR(S1322="",D1322&lt;&gt;"Vastgesteld"),"",_xlfn.MAXIFS($G$6:$G$5005,$S$6:$S$5005,S1322,$D$6:$D$5005,"Vastgesteld"))</f>
        <v/>
      </c>
      <c r="U1322" s="15">
        <f>IF(T1322="",0,IF(AND(G1322=T1322,COUNTIFS($S$6:S1322,S1322,$G$6:G1322,G1322,$D$6:D1322,"Vastgesteld")=1),1,0))</f>
        <v>0</v>
      </c>
      <c r="V1322" s="15">
        <f>IF(T1322="",0,IF(AND(G1322=T1322,COUNTIFS($S$6:S1322,S1322,$G$6:G1322,G1322,$D$6:D1322,"Vastgesteld")&gt;1),1,0))</f>
        <v>0</v>
      </c>
    </row>
    <row r="1323">
      <c r="S1323" s="15" t="str">
        <f>IF(J1323="","",J1323&amp;"|"&amp;E1323&amp;"|"&amp;F1323&amp;"|"&amp;I1323&amp;"|"&amp;O1323)</f>
        <v/>
      </c>
      <c r="T1323" s="15" t="str">
        <f>IF(OR(S1323="",D1323&lt;&gt;"Vastgesteld"),"",_xlfn.MAXIFS($G$6:$G$5005,$S$6:$S$5005,S1323,$D$6:$D$5005,"Vastgesteld"))</f>
        <v/>
      </c>
      <c r="U1323" s="15">
        <f>IF(T1323="",0,IF(AND(G1323=T1323,COUNTIFS($S$6:S1323,S1323,$G$6:G1323,G1323,$D$6:D1323,"Vastgesteld")=1),1,0))</f>
        <v>0</v>
      </c>
      <c r="V1323" s="15">
        <f>IF(T1323="",0,IF(AND(G1323=T1323,COUNTIFS($S$6:S1323,S1323,$G$6:G1323,G1323,$D$6:D1323,"Vastgesteld")&gt;1),1,0))</f>
        <v>0</v>
      </c>
    </row>
    <row r="1324">
      <c r="S1324" s="15" t="str">
        <f>IF(J1324="","",J1324&amp;"|"&amp;E1324&amp;"|"&amp;F1324&amp;"|"&amp;I1324&amp;"|"&amp;O1324)</f>
        <v/>
      </c>
      <c r="T1324" s="15" t="str">
        <f>IF(OR(S1324="",D1324&lt;&gt;"Vastgesteld"),"",_xlfn.MAXIFS($G$6:$G$5005,$S$6:$S$5005,S1324,$D$6:$D$5005,"Vastgesteld"))</f>
        <v/>
      </c>
      <c r="U1324" s="15">
        <f>IF(T1324="",0,IF(AND(G1324=T1324,COUNTIFS($S$6:S1324,S1324,$G$6:G1324,G1324,$D$6:D1324,"Vastgesteld")=1),1,0))</f>
        <v>0</v>
      </c>
      <c r="V1324" s="15">
        <f>IF(T1324="",0,IF(AND(G1324=T1324,COUNTIFS($S$6:S1324,S1324,$G$6:G1324,G1324,$D$6:D1324,"Vastgesteld")&gt;1),1,0))</f>
        <v>0</v>
      </c>
    </row>
    <row r="1325">
      <c r="S1325" s="15" t="str">
        <f>IF(J1325="","",J1325&amp;"|"&amp;E1325&amp;"|"&amp;F1325&amp;"|"&amp;I1325&amp;"|"&amp;O1325)</f>
        <v/>
      </c>
      <c r="T1325" s="15" t="str">
        <f>IF(OR(S1325="",D1325&lt;&gt;"Vastgesteld"),"",_xlfn.MAXIFS($G$6:$G$5005,$S$6:$S$5005,S1325,$D$6:$D$5005,"Vastgesteld"))</f>
        <v/>
      </c>
      <c r="U1325" s="15">
        <f>IF(T1325="",0,IF(AND(G1325=T1325,COUNTIFS($S$6:S1325,S1325,$G$6:G1325,G1325,$D$6:D1325,"Vastgesteld")=1),1,0))</f>
        <v>0</v>
      </c>
      <c r="V1325" s="15">
        <f>IF(T1325="",0,IF(AND(G1325=T1325,COUNTIFS($S$6:S1325,S1325,$G$6:G1325,G1325,$D$6:D1325,"Vastgesteld")&gt;1),1,0))</f>
        <v>0</v>
      </c>
    </row>
    <row r="1326">
      <c r="S1326" s="15" t="str">
        <f>IF(J1326="","",J1326&amp;"|"&amp;E1326&amp;"|"&amp;F1326&amp;"|"&amp;I1326&amp;"|"&amp;O1326)</f>
        <v/>
      </c>
      <c r="T1326" s="15" t="str">
        <f>IF(OR(S1326="",D1326&lt;&gt;"Vastgesteld"),"",_xlfn.MAXIFS($G$6:$G$5005,$S$6:$S$5005,S1326,$D$6:$D$5005,"Vastgesteld"))</f>
        <v/>
      </c>
      <c r="U1326" s="15">
        <f>IF(T1326="",0,IF(AND(G1326=T1326,COUNTIFS($S$6:S1326,S1326,$G$6:G1326,G1326,$D$6:D1326,"Vastgesteld")=1),1,0))</f>
        <v>0</v>
      </c>
      <c r="V1326" s="15">
        <f>IF(T1326="",0,IF(AND(G1326=T1326,COUNTIFS($S$6:S1326,S1326,$G$6:G1326,G1326,$D$6:D1326,"Vastgesteld")&gt;1),1,0))</f>
        <v>0</v>
      </c>
    </row>
    <row r="1327">
      <c r="S1327" s="15" t="str">
        <f>IF(J1327="","",J1327&amp;"|"&amp;E1327&amp;"|"&amp;F1327&amp;"|"&amp;I1327&amp;"|"&amp;O1327)</f>
        <v/>
      </c>
      <c r="T1327" s="15" t="str">
        <f>IF(OR(S1327="",D1327&lt;&gt;"Vastgesteld"),"",_xlfn.MAXIFS($G$6:$G$5005,$S$6:$S$5005,S1327,$D$6:$D$5005,"Vastgesteld"))</f>
        <v/>
      </c>
      <c r="U1327" s="15">
        <f>IF(T1327="",0,IF(AND(G1327=T1327,COUNTIFS($S$6:S1327,S1327,$G$6:G1327,G1327,$D$6:D1327,"Vastgesteld")=1),1,0))</f>
        <v>0</v>
      </c>
      <c r="V1327" s="15">
        <f>IF(T1327="",0,IF(AND(G1327=T1327,COUNTIFS($S$6:S1327,S1327,$G$6:G1327,G1327,$D$6:D1327,"Vastgesteld")&gt;1),1,0))</f>
        <v>0</v>
      </c>
    </row>
    <row r="1328">
      <c r="S1328" s="15" t="str">
        <f>IF(J1328="","",J1328&amp;"|"&amp;E1328&amp;"|"&amp;F1328&amp;"|"&amp;I1328&amp;"|"&amp;O1328)</f>
        <v/>
      </c>
      <c r="T1328" s="15" t="str">
        <f>IF(OR(S1328="",D1328&lt;&gt;"Vastgesteld"),"",_xlfn.MAXIFS($G$6:$G$5005,$S$6:$S$5005,S1328,$D$6:$D$5005,"Vastgesteld"))</f>
        <v/>
      </c>
      <c r="U1328" s="15">
        <f>IF(T1328="",0,IF(AND(G1328=T1328,COUNTIFS($S$6:S1328,S1328,$G$6:G1328,G1328,$D$6:D1328,"Vastgesteld")=1),1,0))</f>
        <v>0</v>
      </c>
      <c r="V1328" s="15">
        <f>IF(T1328="",0,IF(AND(G1328=T1328,COUNTIFS($S$6:S1328,S1328,$G$6:G1328,G1328,$D$6:D1328,"Vastgesteld")&gt;1),1,0))</f>
        <v>0</v>
      </c>
    </row>
    <row r="1329">
      <c r="S1329" s="15" t="str">
        <f>IF(J1329="","",J1329&amp;"|"&amp;E1329&amp;"|"&amp;F1329&amp;"|"&amp;I1329&amp;"|"&amp;O1329)</f>
        <v/>
      </c>
      <c r="T1329" s="15" t="str">
        <f>IF(OR(S1329="",D1329&lt;&gt;"Vastgesteld"),"",_xlfn.MAXIFS($G$6:$G$5005,$S$6:$S$5005,S1329,$D$6:$D$5005,"Vastgesteld"))</f>
        <v/>
      </c>
      <c r="U1329" s="15">
        <f>IF(T1329="",0,IF(AND(G1329=T1329,COUNTIFS($S$6:S1329,S1329,$G$6:G1329,G1329,$D$6:D1329,"Vastgesteld")=1),1,0))</f>
        <v>0</v>
      </c>
      <c r="V1329" s="15">
        <f>IF(T1329="",0,IF(AND(G1329=T1329,COUNTIFS($S$6:S1329,S1329,$G$6:G1329,G1329,$D$6:D1329,"Vastgesteld")&gt;1),1,0))</f>
        <v>0</v>
      </c>
    </row>
    <row r="1330">
      <c r="S1330" s="15" t="str">
        <f>IF(J1330="","",J1330&amp;"|"&amp;E1330&amp;"|"&amp;F1330&amp;"|"&amp;I1330&amp;"|"&amp;O1330)</f>
        <v/>
      </c>
      <c r="T1330" s="15" t="str">
        <f>IF(OR(S1330="",D1330&lt;&gt;"Vastgesteld"),"",_xlfn.MAXIFS($G$6:$G$5005,$S$6:$S$5005,S1330,$D$6:$D$5005,"Vastgesteld"))</f>
        <v/>
      </c>
      <c r="U1330" s="15">
        <f>IF(T1330="",0,IF(AND(G1330=T1330,COUNTIFS($S$6:S1330,S1330,$G$6:G1330,G1330,$D$6:D1330,"Vastgesteld")=1),1,0))</f>
        <v>0</v>
      </c>
      <c r="V1330" s="15">
        <f>IF(T1330="",0,IF(AND(G1330=T1330,COUNTIFS($S$6:S1330,S1330,$G$6:G1330,G1330,$D$6:D1330,"Vastgesteld")&gt;1),1,0))</f>
        <v>0</v>
      </c>
    </row>
    <row r="1331">
      <c r="S1331" s="15" t="str">
        <f>IF(J1331="","",J1331&amp;"|"&amp;E1331&amp;"|"&amp;F1331&amp;"|"&amp;I1331&amp;"|"&amp;O1331)</f>
        <v/>
      </c>
      <c r="T1331" s="15" t="str">
        <f>IF(OR(S1331="",D1331&lt;&gt;"Vastgesteld"),"",_xlfn.MAXIFS($G$6:$G$5005,$S$6:$S$5005,S1331,$D$6:$D$5005,"Vastgesteld"))</f>
        <v/>
      </c>
      <c r="U1331" s="15">
        <f>IF(T1331="",0,IF(AND(G1331=T1331,COUNTIFS($S$6:S1331,S1331,$G$6:G1331,G1331,$D$6:D1331,"Vastgesteld")=1),1,0))</f>
        <v>0</v>
      </c>
      <c r="V1331" s="15">
        <f>IF(T1331="",0,IF(AND(G1331=T1331,COUNTIFS($S$6:S1331,S1331,$G$6:G1331,G1331,$D$6:D1331,"Vastgesteld")&gt;1),1,0))</f>
        <v>0</v>
      </c>
    </row>
    <row r="1332">
      <c r="S1332" s="15" t="str">
        <f>IF(J1332="","",J1332&amp;"|"&amp;E1332&amp;"|"&amp;F1332&amp;"|"&amp;I1332&amp;"|"&amp;O1332)</f>
        <v/>
      </c>
      <c r="T1332" s="15" t="str">
        <f>IF(OR(S1332="",D1332&lt;&gt;"Vastgesteld"),"",_xlfn.MAXIFS($G$6:$G$5005,$S$6:$S$5005,S1332,$D$6:$D$5005,"Vastgesteld"))</f>
        <v/>
      </c>
      <c r="U1332" s="15">
        <f>IF(T1332="",0,IF(AND(G1332=T1332,COUNTIFS($S$6:S1332,S1332,$G$6:G1332,G1332,$D$6:D1332,"Vastgesteld")=1),1,0))</f>
        <v>0</v>
      </c>
      <c r="V1332" s="15">
        <f>IF(T1332="",0,IF(AND(G1332=T1332,COUNTIFS($S$6:S1332,S1332,$G$6:G1332,G1332,$D$6:D1332,"Vastgesteld")&gt;1),1,0))</f>
        <v>0</v>
      </c>
    </row>
    <row r="1333">
      <c r="S1333" s="15" t="str">
        <f>IF(J1333="","",J1333&amp;"|"&amp;E1333&amp;"|"&amp;F1333&amp;"|"&amp;I1333&amp;"|"&amp;O1333)</f>
        <v/>
      </c>
      <c r="T1333" s="15" t="str">
        <f>IF(OR(S1333="",D1333&lt;&gt;"Vastgesteld"),"",_xlfn.MAXIFS($G$6:$G$5005,$S$6:$S$5005,S1333,$D$6:$D$5005,"Vastgesteld"))</f>
        <v/>
      </c>
      <c r="U1333" s="15">
        <f>IF(T1333="",0,IF(AND(G1333=T1333,COUNTIFS($S$6:S1333,S1333,$G$6:G1333,G1333,$D$6:D1333,"Vastgesteld")=1),1,0))</f>
        <v>0</v>
      </c>
      <c r="V1333" s="15">
        <f>IF(T1333="",0,IF(AND(G1333=T1333,COUNTIFS($S$6:S1333,S1333,$G$6:G1333,G1333,$D$6:D1333,"Vastgesteld")&gt;1),1,0))</f>
        <v>0</v>
      </c>
    </row>
    <row r="1334">
      <c r="S1334" s="15" t="str">
        <f>IF(J1334="","",J1334&amp;"|"&amp;E1334&amp;"|"&amp;F1334&amp;"|"&amp;I1334&amp;"|"&amp;O1334)</f>
        <v/>
      </c>
      <c r="T1334" s="15" t="str">
        <f>IF(OR(S1334="",D1334&lt;&gt;"Vastgesteld"),"",_xlfn.MAXIFS($G$6:$G$5005,$S$6:$S$5005,S1334,$D$6:$D$5005,"Vastgesteld"))</f>
        <v/>
      </c>
      <c r="U1334" s="15">
        <f>IF(T1334="",0,IF(AND(G1334=T1334,COUNTIFS($S$6:S1334,S1334,$G$6:G1334,G1334,$D$6:D1334,"Vastgesteld")=1),1,0))</f>
        <v>0</v>
      </c>
      <c r="V1334" s="15">
        <f>IF(T1334="",0,IF(AND(G1334=T1334,COUNTIFS($S$6:S1334,S1334,$G$6:G1334,G1334,$D$6:D1334,"Vastgesteld")&gt;1),1,0))</f>
        <v>0</v>
      </c>
    </row>
    <row r="1335">
      <c r="S1335" s="15" t="str">
        <f>IF(J1335="","",J1335&amp;"|"&amp;E1335&amp;"|"&amp;F1335&amp;"|"&amp;I1335&amp;"|"&amp;O1335)</f>
        <v/>
      </c>
      <c r="T1335" s="15" t="str">
        <f>IF(OR(S1335="",D1335&lt;&gt;"Vastgesteld"),"",_xlfn.MAXIFS($G$6:$G$5005,$S$6:$S$5005,S1335,$D$6:$D$5005,"Vastgesteld"))</f>
        <v/>
      </c>
      <c r="U1335" s="15">
        <f>IF(T1335="",0,IF(AND(G1335=T1335,COUNTIFS($S$6:S1335,S1335,$G$6:G1335,G1335,$D$6:D1335,"Vastgesteld")=1),1,0))</f>
        <v>0</v>
      </c>
      <c r="V1335" s="15">
        <f>IF(T1335="",0,IF(AND(G1335=T1335,COUNTIFS($S$6:S1335,S1335,$G$6:G1335,G1335,$D$6:D1335,"Vastgesteld")&gt;1),1,0))</f>
        <v>0</v>
      </c>
    </row>
    <row r="1336">
      <c r="S1336" s="15" t="str">
        <f>IF(J1336="","",J1336&amp;"|"&amp;E1336&amp;"|"&amp;F1336&amp;"|"&amp;I1336&amp;"|"&amp;O1336)</f>
        <v/>
      </c>
      <c r="T1336" s="15" t="str">
        <f>IF(OR(S1336="",D1336&lt;&gt;"Vastgesteld"),"",_xlfn.MAXIFS($G$6:$G$5005,$S$6:$S$5005,S1336,$D$6:$D$5005,"Vastgesteld"))</f>
        <v/>
      </c>
      <c r="U1336" s="15">
        <f>IF(T1336="",0,IF(AND(G1336=T1336,COUNTIFS($S$6:S1336,S1336,$G$6:G1336,G1336,$D$6:D1336,"Vastgesteld")=1),1,0))</f>
        <v>0</v>
      </c>
      <c r="V1336" s="15">
        <f>IF(T1336="",0,IF(AND(G1336=T1336,COUNTIFS($S$6:S1336,S1336,$G$6:G1336,G1336,$D$6:D1336,"Vastgesteld")&gt;1),1,0))</f>
        <v>0</v>
      </c>
    </row>
    <row r="1337">
      <c r="S1337" s="15" t="str">
        <f>IF(J1337="","",J1337&amp;"|"&amp;E1337&amp;"|"&amp;F1337&amp;"|"&amp;I1337&amp;"|"&amp;O1337)</f>
        <v/>
      </c>
      <c r="T1337" s="15" t="str">
        <f>IF(OR(S1337="",D1337&lt;&gt;"Vastgesteld"),"",_xlfn.MAXIFS($G$6:$G$5005,$S$6:$S$5005,S1337,$D$6:$D$5005,"Vastgesteld"))</f>
        <v/>
      </c>
      <c r="U1337" s="15">
        <f>IF(T1337="",0,IF(AND(G1337=T1337,COUNTIFS($S$6:S1337,S1337,$G$6:G1337,G1337,$D$6:D1337,"Vastgesteld")=1),1,0))</f>
        <v>0</v>
      </c>
      <c r="V1337" s="15">
        <f>IF(T1337="",0,IF(AND(G1337=T1337,COUNTIFS($S$6:S1337,S1337,$G$6:G1337,G1337,$D$6:D1337,"Vastgesteld")&gt;1),1,0))</f>
        <v>0</v>
      </c>
    </row>
    <row r="1338">
      <c r="S1338" s="15" t="str">
        <f>IF(J1338="","",J1338&amp;"|"&amp;E1338&amp;"|"&amp;F1338&amp;"|"&amp;I1338&amp;"|"&amp;O1338)</f>
        <v/>
      </c>
      <c r="T1338" s="15" t="str">
        <f>IF(OR(S1338="",D1338&lt;&gt;"Vastgesteld"),"",_xlfn.MAXIFS($G$6:$G$5005,$S$6:$S$5005,S1338,$D$6:$D$5005,"Vastgesteld"))</f>
        <v/>
      </c>
      <c r="U1338" s="15">
        <f>IF(T1338="",0,IF(AND(G1338=T1338,COUNTIFS($S$6:S1338,S1338,$G$6:G1338,G1338,$D$6:D1338,"Vastgesteld")=1),1,0))</f>
        <v>0</v>
      </c>
      <c r="V1338" s="15">
        <f>IF(T1338="",0,IF(AND(G1338=T1338,COUNTIFS($S$6:S1338,S1338,$G$6:G1338,G1338,$D$6:D1338,"Vastgesteld")&gt;1),1,0))</f>
        <v>0</v>
      </c>
    </row>
    <row r="1339">
      <c r="S1339" s="15" t="str">
        <f>IF(J1339="","",J1339&amp;"|"&amp;E1339&amp;"|"&amp;F1339&amp;"|"&amp;I1339&amp;"|"&amp;O1339)</f>
        <v/>
      </c>
      <c r="T1339" s="15" t="str">
        <f>IF(OR(S1339="",D1339&lt;&gt;"Vastgesteld"),"",_xlfn.MAXIFS($G$6:$G$5005,$S$6:$S$5005,S1339,$D$6:$D$5005,"Vastgesteld"))</f>
        <v/>
      </c>
      <c r="U1339" s="15">
        <f>IF(T1339="",0,IF(AND(G1339=T1339,COUNTIFS($S$6:S1339,S1339,$G$6:G1339,G1339,$D$6:D1339,"Vastgesteld")=1),1,0))</f>
        <v>0</v>
      </c>
      <c r="V1339" s="15">
        <f>IF(T1339="",0,IF(AND(G1339=T1339,COUNTIFS($S$6:S1339,S1339,$G$6:G1339,G1339,$D$6:D1339,"Vastgesteld")&gt;1),1,0))</f>
        <v>0</v>
      </c>
    </row>
    <row r="1340">
      <c r="S1340" s="15" t="str">
        <f>IF(J1340="","",J1340&amp;"|"&amp;E1340&amp;"|"&amp;F1340&amp;"|"&amp;I1340&amp;"|"&amp;O1340)</f>
        <v/>
      </c>
      <c r="T1340" s="15" t="str">
        <f>IF(OR(S1340="",D1340&lt;&gt;"Vastgesteld"),"",_xlfn.MAXIFS($G$6:$G$5005,$S$6:$S$5005,S1340,$D$6:$D$5005,"Vastgesteld"))</f>
        <v/>
      </c>
      <c r="U1340" s="15">
        <f>IF(T1340="",0,IF(AND(G1340=T1340,COUNTIFS($S$6:S1340,S1340,$G$6:G1340,G1340,$D$6:D1340,"Vastgesteld")=1),1,0))</f>
        <v>0</v>
      </c>
      <c r="V1340" s="15">
        <f>IF(T1340="",0,IF(AND(G1340=T1340,COUNTIFS($S$6:S1340,S1340,$G$6:G1340,G1340,$D$6:D1340,"Vastgesteld")&gt;1),1,0))</f>
        <v>0</v>
      </c>
    </row>
    <row r="1341">
      <c r="S1341" s="15" t="str">
        <f>IF(J1341="","",J1341&amp;"|"&amp;E1341&amp;"|"&amp;F1341&amp;"|"&amp;I1341&amp;"|"&amp;O1341)</f>
        <v/>
      </c>
      <c r="T1341" s="15" t="str">
        <f>IF(OR(S1341="",D1341&lt;&gt;"Vastgesteld"),"",_xlfn.MAXIFS($G$6:$G$5005,$S$6:$S$5005,S1341,$D$6:$D$5005,"Vastgesteld"))</f>
        <v/>
      </c>
      <c r="U1341" s="15">
        <f>IF(T1341="",0,IF(AND(G1341=T1341,COUNTIFS($S$6:S1341,S1341,$G$6:G1341,G1341,$D$6:D1341,"Vastgesteld")=1),1,0))</f>
        <v>0</v>
      </c>
      <c r="V1341" s="15">
        <f>IF(T1341="",0,IF(AND(G1341=T1341,COUNTIFS($S$6:S1341,S1341,$G$6:G1341,G1341,$D$6:D1341,"Vastgesteld")&gt;1),1,0))</f>
        <v>0</v>
      </c>
    </row>
    <row r="1342">
      <c r="S1342" s="15" t="str">
        <f>IF(J1342="","",J1342&amp;"|"&amp;E1342&amp;"|"&amp;F1342&amp;"|"&amp;I1342&amp;"|"&amp;O1342)</f>
        <v/>
      </c>
      <c r="T1342" s="15" t="str">
        <f>IF(OR(S1342="",D1342&lt;&gt;"Vastgesteld"),"",_xlfn.MAXIFS($G$6:$G$5005,$S$6:$S$5005,S1342,$D$6:$D$5005,"Vastgesteld"))</f>
        <v/>
      </c>
      <c r="U1342" s="15">
        <f>IF(T1342="",0,IF(AND(G1342=T1342,COUNTIFS($S$6:S1342,S1342,$G$6:G1342,G1342,$D$6:D1342,"Vastgesteld")=1),1,0))</f>
        <v>0</v>
      </c>
      <c r="V1342" s="15">
        <f>IF(T1342="",0,IF(AND(G1342=T1342,COUNTIFS($S$6:S1342,S1342,$G$6:G1342,G1342,$D$6:D1342,"Vastgesteld")&gt;1),1,0))</f>
        <v>0</v>
      </c>
    </row>
    <row r="1343">
      <c r="S1343" s="15" t="str">
        <f>IF(J1343="","",J1343&amp;"|"&amp;E1343&amp;"|"&amp;F1343&amp;"|"&amp;I1343&amp;"|"&amp;O1343)</f>
        <v/>
      </c>
      <c r="T1343" s="15" t="str">
        <f>IF(OR(S1343="",D1343&lt;&gt;"Vastgesteld"),"",_xlfn.MAXIFS($G$6:$G$5005,$S$6:$S$5005,S1343,$D$6:$D$5005,"Vastgesteld"))</f>
        <v/>
      </c>
      <c r="U1343" s="15">
        <f>IF(T1343="",0,IF(AND(G1343=T1343,COUNTIFS($S$6:S1343,S1343,$G$6:G1343,G1343,$D$6:D1343,"Vastgesteld")=1),1,0))</f>
        <v>0</v>
      </c>
      <c r="V1343" s="15">
        <f>IF(T1343="",0,IF(AND(G1343=T1343,COUNTIFS($S$6:S1343,S1343,$G$6:G1343,G1343,$D$6:D1343,"Vastgesteld")&gt;1),1,0))</f>
        <v>0</v>
      </c>
    </row>
    <row r="1344">
      <c r="S1344" s="15" t="str">
        <f>IF(J1344="","",J1344&amp;"|"&amp;E1344&amp;"|"&amp;F1344&amp;"|"&amp;I1344&amp;"|"&amp;O1344)</f>
        <v/>
      </c>
      <c r="T1344" s="15" t="str">
        <f>IF(OR(S1344="",D1344&lt;&gt;"Vastgesteld"),"",_xlfn.MAXIFS($G$6:$G$5005,$S$6:$S$5005,S1344,$D$6:$D$5005,"Vastgesteld"))</f>
        <v/>
      </c>
      <c r="U1344" s="15">
        <f>IF(T1344="",0,IF(AND(G1344=T1344,COUNTIFS($S$6:S1344,S1344,$G$6:G1344,G1344,$D$6:D1344,"Vastgesteld")=1),1,0))</f>
        <v>0</v>
      </c>
      <c r="V1344" s="15">
        <f>IF(T1344="",0,IF(AND(G1344=T1344,COUNTIFS($S$6:S1344,S1344,$G$6:G1344,G1344,$D$6:D1344,"Vastgesteld")&gt;1),1,0))</f>
        <v>0</v>
      </c>
    </row>
    <row r="1345">
      <c r="S1345" s="15" t="str">
        <f>IF(J1345="","",J1345&amp;"|"&amp;E1345&amp;"|"&amp;F1345&amp;"|"&amp;I1345&amp;"|"&amp;O1345)</f>
        <v/>
      </c>
      <c r="T1345" s="15" t="str">
        <f>IF(OR(S1345="",D1345&lt;&gt;"Vastgesteld"),"",_xlfn.MAXIFS($G$6:$G$5005,$S$6:$S$5005,S1345,$D$6:$D$5005,"Vastgesteld"))</f>
        <v/>
      </c>
      <c r="U1345" s="15">
        <f>IF(T1345="",0,IF(AND(G1345=T1345,COUNTIFS($S$6:S1345,S1345,$G$6:G1345,G1345,$D$6:D1345,"Vastgesteld")=1),1,0))</f>
        <v>0</v>
      </c>
      <c r="V1345" s="15">
        <f>IF(T1345="",0,IF(AND(G1345=T1345,COUNTIFS($S$6:S1345,S1345,$G$6:G1345,G1345,$D$6:D1345,"Vastgesteld")&gt;1),1,0))</f>
        <v>0</v>
      </c>
    </row>
    <row r="1346">
      <c r="S1346" s="15" t="str">
        <f>IF(J1346="","",J1346&amp;"|"&amp;E1346&amp;"|"&amp;F1346&amp;"|"&amp;I1346&amp;"|"&amp;O1346)</f>
        <v/>
      </c>
      <c r="T1346" s="15" t="str">
        <f>IF(OR(S1346="",D1346&lt;&gt;"Vastgesteld"),"",_xlfn.MAXIFS($G$6:$G$5005,$S$6:$S$5005,S1346,$D$6:$D$5005,"Vastgesteld"))</f>
        <v/>
      </c>
      <c r="U1346" s="15">
        <f>IF(T1346="",0,IF(AND(G1346=T1346,COUNTIFS($S$6:S1346,S1346,$G$6:G1346,G1346,$D$6:D1346,"Vastgesteld")=1),1,0))</f>
        <v>0</v>
      </c>
      <c r="V1346" s="15">
        <f>IF(T1346="",0,IF(AND(G1346=T1346,COUNTIFS($S$6:S1346,S1346,$G$6:G1346,G1346,$D$6:D1346,"Vastgesteld")&gt;1),1,0))</f>
        <v>0</v>
      </c>
    </row>
    <row r="1347">
      <c r="S1347" s="15" t="str">
        <f>IF(J1347="","",J1347&amp;"|"&amp;E1347&amp;"|"&amp;F1347&amp;"|"&amp;I1347&amp;"|"&amp;O1347)</f>
        <v/>
      </c>
      <c r="T1347" s="15" t="str">
        <f>IF(OR(S1347="",D1347&lt;&gt;"Vastgesteld"),"",_xlfn.MAXIFS($G$6:$G$5005,$S$6:$S$5005,S1347,$D$6:$D$5005,"Vastgesteld"))</f>
        <v/>
      </c>
      <c r="U1347" s="15">
        <f>IF(T1347="",0,IF(AND(G1347=T1347,COUNTIFS($S$6:S1347,S1347,$G$6:G1347,G1347,$D$6:D1347,"Vastgesteld")=1),1,0))</f>
        <v>0</v>
      </c>
      <c r="V1347" s="15">
        <f>IF(T1347="",0,IF(AND(G1347=T1347,COUNTIFS($S$6:S1347,S1347,$G$6:G1347,G1347,$D$6:D1347,"Vastgesteld")&gt;1),1,0))</f>
        <v>0</v>
      </c>
    </row>
    <row r="1348">
      <c r="S1348" s="15" t="str">
        <f>IF(J1348="","",J1348&amp;"|"&amp;E1348&amp;"|"&amp;F1348&amp;"|"&amp;I1348&amp;"|"&amp;O1348)</f>
        <v/>
      </c>
      <c r="T1348" s="15" t="str">
        <f>IF(OR(S1348="",D1348&lt;&gt;"Vastgesteld"),"",_xlfn.MAXIFS($G$6:$G$5005,$S$6:$S$5005,S1348,$D$6:$D$5005,"Vastgesteld"))</f>
        <v/>
      </c>
      <c r="U1348" s="15">
        <f>IF(T1348="",0,IF(AND(G1348=T1348,COUNTIFS($S$6:S1348,S1348,$G$6:G1348,G1348,$D$6:D1348,"Vastgesteld")=1),1,0))</f>
        <v>0</v>
      </c>
      <c r="V1348" s="15">
        <f>IF(T1348="",0,IF(AND(G1348=T1348,COUNTIFS($S$6:S1348,S1348,$G$6:G1348,G1348,$D$6:D1348,"Vastgesteld")&gt;1),1,0))</f>
        <v>0</v>
      </c>
    </row>
    <row r="1349">
      <c r="S1349" s="15" t="str">
        <f>IF(J1349="","",J1349&amp;"|"&amp;E1349&amp;"|"&amp;F1349&amp;"|"&amp;I1349&amp;"|"&amp;O1349)</f>
        <v/>
      </c>
      <c r="T1349" s="15" t="str">
        <f>IF(OR(S1349="",D1349&lt;&gt;"Vastgesteld"),"",_xlfn.MAXIFS($G$6:$G$5005,$S$6:$S$5005,S1349,$D$6:$D$5005,"Vastgesteld"))</f>
        <v/>
      </c>
      <c r="U1349" s="15">
        <f>IF(T1349="",0,IF(AND(G1349=T1349,COUNTIFS($S$6:S1349,S1349,$G$6:G1349,G1349,$D$6:D1349,"Vastgesteld")=1),1,0))</f>
        <v>0</v>
      </c>
      <c r="V1349" s="15">
        <f>IF(T1349="",0,IF(AND(G1349=T1349,COUNTIFS($S$6:S1349,S1349,$G$6:G1349,G1349,$D$6:D1349,"Vastgesteld")&gt;1),1,0))</f>
        <v>0</v>
      </c>
    </row>
    <row r="1350">
      <c r="S1350" s="15" t="str">
        <f>IF(J1350="","",J1350&amp;"|"&amp;E1350&amp;"|"&amp;F1350&amp;"|"&amp;I1350&amp;"|"&amp;O1350)</f>
        <v/>
      </c>
      <c r="T1350" s="15" t="str">
        <f>IF(OR(S1350="",D1350&lt;&gt;"Vastgesteld"),"",_xlfn.MAXIFS($G$6:$G$5005,$S$6:$S$5005,S1350,$D$6:$D$5005,"Vastgesteld"))</f>
        <v/>
      </c>
      <c r="U1350" s="15">
        <f>IF(T1350="",0,IF(AND(G1350=T1350,COUNTIFS($S$6:S1350,S1350,$G$6:G1350,G1350,$D$6:D1350,"Vastgesteld")=1),1,0))</f>
        <v>0</v>
      </c>
      <c r="V1350" s="15">
        <f>IF(T1350="",0,IF(AND(G1350=T1350,COUNTIFS($S$6:S1350,S1350,$G$6:G1350,G1350,$D$6:D1350,"Vastgesteld")&gt;1),1,0))</f>
        <v>0</v>
      </c>
    </row>
    <row r="1351">
      <c r="S1351" s="15" t="str">
        <f>IF(J1351="","",J1351&amp;"|"&amp;E1351&amp;"|"&amp;F1351&amp;"|"&amp;I1351&amp;"|"&amp;O1351)</f>
        <v/>
      </c>
      <c r="T1351" s="15" t="str">
        <f>IF(OR(S1351="",D1351&lt;&gt;"Vastgesteld"),"",_xlfn.MAXIFS($G$6:$G$5005,$S$6:$S$5005,S1351,$D$6:$D$5005,"Vastgesteld"))</f>
        <v/>
      </c>
      <c r="U1351" s="15">
        <f>IF(T1351="",0,IF(AND(G1351=T1351,COUNTIFS($S$6:S1351,S1351,$G$6:G1351,G1351,$D$6:D1351,"Vastgesteld")=1),1,0))</f>
        <v>0</v>
      </c>
      <c r="V1351" s="15">
        <f>IF(T1351="",0,IF(AND(G1351=T1351,COUNTIFS($S$6:S1351,S1351,$G$6:G1351,G1351,$D$6:D1351,"Vastgesteld")&gt;1),1,0))</f>
        <v>0</v>
      </c>
    </row>
    <row r="1352">
      <c r="S1352" s="15" t="str">
        <f>IF(J1352="","",J1352&amp;"|"&amp;E1352&amp;"|"&amp;F1352&amp;"|"&amp;I1352&amp;"|"&amp;O1352)</f>
        <v/>
      </c>
      <c r="T1352" s="15" t="str">
        <f>IF(OR(S1352="",D1352&lt;&gt;"Vastgesteld"),"",_xlfn.MAXIFS($G$6:$G$5005,$S$6:$S$5005,S1352,$D$6:$D$5005,"Vastgesteld"))</f>
        <v/>
      </c>
      <c r="U1352" s="15">
        <f>IF(T1352="",0,IF(AND(G1352=T1352,COUNTIFS($S$6:S1352,S1352,$G$6:G1352,G1352,$D$6:D1352,"Vastgesteld")=1),1,0))</f>
        <v>0</v>
      </c>
      <c r="V1352" s="15">
        <f>IF(T1352="",0,IF(AND(G1352=T1352,COUNTIFS($S$6:S1352,S1352,$G$6:G1352,G1352,$D$6:D1352,"Vastgesteld")&gt;1),1,0))</f>
        <v>0</v>
      </c>
    </row>
    <row r="1353">
      <c r="S1353" s="15" t="str">
        <f>IF(J1353="","",J1353&amp;"|"&amp;E1353&amp;"|"&amp;F1353&amp;"|"&amp;I1353&amp;"|"&amp;O1353)</f>
        <v/>
      </c>
      <c r="T1353" s="15" t="str">
        <f>IF(OR(S1353="",D1353&lt;&gt;"Vastgesteld"),"",_xlfn.MAXIFS($G$6:$G$5005,$S$6:$S$5005,S1353,$D$6:$D$5005,"Vastgesteld"))</f>
        <v/>
      </c>
      <c r="U1353" s="15">
        <f>IF(T1353="",0,IF(AND(G1353=T1353,COUNTIFS($S$6:S1353,S1353,$G$6:G1353,G1353,$D$6:D1353,"Vastgesteld")=1),1,0))</f>
        <v>0</v>
      </c>
      <c r="V1353" s="15">
        <f>IF(T1353="",0,IF(AND(G1353=T1353,COUNTIFS($S$6:S1353,S1353,$G$6:G1353,G1353,$D$6:D1353,"Vastgesteld")&gt;1),1,0))</f>
        <v>0</v>
      </c>
    </row>
    <row r="1354">
      <c r="S1354" s="15" t="str">
        <f>IF(J1354="","",J1354&amp;"|"&amp;E1354&amp;"|"&amp;F1354&amp;"|"&amp;I1354&amp;"|"&amp;O1354)</f>
        <v/>
      </c>
      <c r="T1354" s="15" t="str">
        <f>IF(OR(S1354="",D1354&lt;&gt;"Vastgesteld"),"",_xlfn.MAXIFS($G$6:$G$5005,$S$6:$S$5005,S1354,$D$6:$D$5005,"Vastgesteld"))</f>
        <v/>
      </c>
      <c r="U1354" s="15">
        <f>IF(T1354="",0,IF(AND(G1354=T1354,COUNTIFS($S$6:S1354,S1354,$G$6:G1354,G1354,$D$6:D1354,"Vastgesteld")=1),1,0))</f>
        <v>0</v>
      </c>
      <c r="V1354" s="15">
        <f>IF(T1354="",0,IF(AND(G1354=T1354,COUNTIFS($S$6:S1354,S1354,$G$6:G1354,G1354,$D$6:D1354,"Vastgesteld")&gt;1),1,0))</f>
        <v>0</v>
      </c>
    </row>
    <row r="1355">
      <c r="S1355" s="15" t="str">
        <f>IF(J1355="","",J1355&amp;"|"&amp;E1355&amp;"|"&amp;F1355&amp;"|"&amp;I1355&amp;"|"&amp;O1355)</f>
        <v/>
      </c>
      <c r="T1355" s="15" t="str">
        <f>IF(OR(S1355="",D1355&lt;&gt;"Vastgesteld"),"",_xlfn.MAXIFS($G$6:$G$5005,$S$6:$S$5005,S1355,$D$6:$D$5005,"Vastgesteld"))</f>
        <v/>
      </c>
      <c r="U1355" s="15">
        <f>IF(T1355="",0,IF(AND(G1355=T1355,COUNTIFS($S$6:S1355,S1355,$G$6:G1355,G1355,$D$6:D1355,"Vastgesteld")=1),1,0))</f>
        <v>0</v>
      </c>
      <c r="V1355" s="15">
        <f>IF(T1355="",0,IF(AND(G1355=T1355,COUNTIFS($S$6:S1355,S1355,$G$6:G1355,G1355,$D$6:D1355,"Vastgesteld")&gt;1),1,0))</f>
        <v>0</v>
      </c>
    </row>
    <row r="1356">
      <c r="S1356" s="15" t="str">
        <f>IF(J1356="","",J1356&amp;"|"&amp;E1356&amp;"|"&amp;F1356&amp;"|"&amp;I1356&amp;"|"&amp;O1356)</f>
        <v/>
      </c>
      <c r="T1356" s="15" t="str">
        <f>IF(OR(S1356="",D1356&lt;&gt;"Vastgesteld"),"",_xlfn.MAXIFS($G$6:$G$5005,$S$6:$S$5005,S1356,$D$6:$D$5005,"Vastgesteld"))</f>
        <v/>
      </c>
      <c r="U1356" s="15">
        <f>IF(T1356="",0,IF(AND(G1356=T1356,COUNTIFS($S$6:S1356,S1356,$G$6:G1356,G1356,$D$6:D1356,"Vastgesteld")=1),1,0))</f>
        <v>0</v>
      </c>
      <c r="V1356" s="15">
        <f>IF(T1356="",0,IF(AND(G1356=T1356,COUNTIFS($S$6:S1356,S1356,$G$6:G1356,G1356,$D$6:D1356,"Vastgesteld")&gt;1),1,0))</f>
        <v>0</v>
      </c>
    </row>
    <row r="1357">
      <c r="S1357" s="15" t="str">
        <f>IF(J1357="","",J1357&amp;"|"&amp;E1357&amp;"|"&amp;F1357&amp;"|"&amp;I1357&amp;"|"&amp;O1357)</f>
        <v/>
      </c>
      <c r="T1357" s="15" t="str">
        <f>IF(OR(S1357="",D1357&lt;&gt;"Vastgesteld"),"",_xlfn.MAXIFS($G$6:$G$5005,$S$6:$S$5005,S1357,$D$6:$D$5005,"Vastgesteld"))</f>
        <v/>
      </c>
      <c r="U1357" s="15">
        <f>IF(T1357="",0,IF(AND(G1357=T1357,COUNTIFS($S$6:S1357,S1357,$G$6:G1357,G1357,$D$6:D1357,"Vastgesteld")=1),1,0))</f>
        <v>0</v>
      </c>
      <c r="V1357" s="15">
        <f>IF(T1357="",0,IF(AND(G1357=T1357,COUNTIFS($S$6:S1357,S1357,$G$6:G1357,G1357,$D$6:D1357,"Vastgesteld")&gt;1),1,0))</f>
        <v>0</v>
      </c>
    </row>
    <row r="1358">
      <c r="S1358" s="15" t="str">
        <f>IF(J1358="","",J1358&amp;"|"&amp;E1358&amp;"|"&amp;F1358&amp;"|"&amp;I1358&amp;"|"&amp;O1358)</f>
        <v/>
      </c>
      <c r="T1358" s="15" t="str">
        <f>IF(OR(S1358="",D1358&lt;&gt;"Vastgesteld"),"",_xlfn.MAXIFS($G$6:$G$5005,$S$6:$S$5005,S1358,$D$6:$D$5005,"Vastgesteld"))</f>
        <v/>
      </c>
      <c r="U1358" s="15">
        <f>IF(T1358="",0,IF(AND(G1358=T1358,COUNTIFS($S$6:S1358,S1358,$G$6:G1358,G1358,$D$6:D1358,"Vastgesteld")=1),1,0))</f>
        <v>0</v>
      </c>
      <c r="V1358" s="15">
        <f>IF(T1358="",0,IF(AND(G1358=T1358,COUNTIFS($S$6:S1358,S1358,$G$6:G1358,G1358,$D$6:D1358,"Vastgesteld")&gt;1),1,0))</f>
        <v>0</v>
      </c>
    </row>
    <row r="1359">
      <c r="S1359" s="15" t="str">
        <f>IF(J1359="","",J1359&amp;"|"&amp;E1359&amp;"|"&amp;F1359&amp;"|"&amp;I1359&amp;"|"&amp;O1359)</f>
        <v/>
      </c>
      <c r="T1359" s="15" t="str">
        <f>IF(OR(S1359="",D1359&lt;&gt;"Vastgesteld"),"",_xlfn.MAXIFS($G$6:$G$5005,$S$6:$S$5005,S1359,$D$6:$D$5005,"Vastgesteld"))</f>
        <v/>
      </c>
      <c r="U1359" s="15">
        <f>IF(T1359="",0,IF(AND(G1359=T1359,COUNTIFS($S$6:S1359,S1359,$G$6:G1359,G1359,$D$6:D1359,"Vastgesteld")=1),1,0))</f>
        <v>0</v>
      </c>
      <c r="V1359" s="15">
        <f>IF(T1359="",0,IF(AND(G1359=T1359,COUNTIFS($S$6:S1359,S1359,$G$6:G1359,G1359,$D$6:D1359,"Vastgesteld")&gt;1),1,0))</f>
        <v>0</v>
      </c>
    </row>
    <row r="1360">
      <c r="S1360" s="15" t="str">
        <f>IF(J1360="","",J1360&amp;"|"&amp;E1360&amp;"|"&amp;F1360&amp;"|"&amp;I1360&amp;"|"&amp;O1360)</f>
        <v/>
      </c>
      <c r="T1360" s="15" t="str">
        <f>IF(OR(S1360="",D1360&lt;&gt;"Vastgesteld"),"",_xlfn.MAXIFS($G$6:$G$5005,$S$6:$S$5005,S1360,$D$6:$D$5005,"Vastgesteld"))</f>
        <v/>
      </c>
      <c r="U1360" s="15">
        <f>IF(T1360="",0,IF(AND(G1360=T1360,COUNTIFS($S$6:S1360,S1360,$G$6:G1360,G1360,$D$6:D1360,"Vastgesteld")=1),1,0))</f>
        <v>0</v>
      </c>
      <c r="V1360" s="15">
        <f>IF(T1360="",0,IF(AND(G1360=T1360,COUNTIFS($S$6:S1360,S1360,$G$6:G1360,G1360,$D$6:D1360,"Vastgesteld")&gt;1),1,0))</f>
        <v>0</v>
      </c>
    </row>
    <row r="1361">
      <c r="S1361" s="15" t="str">
        <f>IF(J1361="","",J1361&amp;"|"&amp;E1361&amp;"|"&amp;F1361&amp;"|"&amp;I1361&amp;"|"&amp;O1361)</f>
        <v/>
      </c>
      <c r="T1361" s="15" t="str">
        <f>IF(OR(S1361="",D1361&lt;&gt;"Vastgesteld"),"",_xlfn.MAXIFS($G$6:$G$5005,$S$6:$S$5005,S1361,$D$6:$D$5005,"Vastgesteld"))</f>
        <v/>
      </c>
      <c r="U1361" s="15">
        <f>IF(T1361="",0,IF(AND(G1361=T1361,COUNTIFS($S$6:S1361,S1361,$G$6:G1361,G1361,$D$6:D1361,"Vastgesteld")=1),1,0))</f>
        <v>0</v>
      </c>
      <c r="V1361" s="15">
        <f>IF(T1361="",0,IF(AND(G1361=T1361,COUNTIFS($S$6:S1361,S1361,$G$6:G1361,G1361,$D$6:D1361,"Vastgesteld")&gt;1),1,0))</f>
        <v>0</v>
      </c>
    </row>
    <row r="1362">
      <c r="S1362" s="15" t="str">
        <f>IF(J1362="","",J1362&amp;"|"&amp;E1362&amp;"|"&amp;F1362&amp;"|"&amp;I1362&amp;"|"&amp;O1362)</f>
        <v/>
      </c>
      <c r="T1362" s="15" t="str">
        <f>IF(OR(S1362="",D1362&lt;&gt;"Vastgesteld"),"",_xlfn.MAXIFS($G$6:$G$5005,$S$6:$S$5005,S1362,$D$6:$D$5005,"Vastgesteld"))</f>
        <v/>
      </c>
      <c r="U1362" s="15">
        <f>IF(T1362="",0,IF(AND(G1362=T1362,COUNTIFS($S$6:S1362,S1362,$G$6:G1362,G1362,$D$6:D1362,"Vastgesteld")=1),1,0))</f>
        <v>0</v>
      </c>
      <c r="V1362" s="15">
        <f>IF(T1362="",0,IF(AND(G1362=T1362,COUNTIFS($S$6:S1362,S1362,$G$6:G1362,G1362,$D$6:D1362,"Vastgesteld")&gt;1),1,0))</f>
        <v>0</v>
      </c>
    </row>
    <row r="1363">
      <c r="S1363" s="15" t="str">
        <f>IF(J1363="","",J1363&amp;"|"&amp;E1363&amp;"|"&amp;F1363&amp;"|"&amp;I1363&amp;"|"&amp;O1363)</f>
        <v/>
      </c>
      <c r="T1363" s="15" t="str">
        <f>IF(OR(S1363="",D1363&lt;&gt;"Vastgesteld"),"",_xlfn.MAXIFS($G$6:$G$5005,$S$6:$S$5005,S1363,$D$6:$D$5005,"Vastgesteld"))</f>
        <v/>
      </c>
      <c r="U1363" s="15">
        <f>IF(T1363="",0,IF(AND(G1363=T1363,COUNTIFS($S$6:S1363,S1363,$G$6:G1363,G1363,$D$6:D1363,"Vastgesteld")=1),1,0))</f>
        <v>0</v>
      </c>
      <c r="V1363" s="15">
        <f>IF(T1363="",0,IF(AND(G1363=T1363,COUNTIFS($S$6:S1363,S1363,$G$6:G1363,G1363,$D$6:D1363,"Vastgesteld")&gt;1),1,0))</f>
        <v>0</v>
      </c>
    </row>
    <row r="1364">
      <c r="S1364" s="15" t="str">
        <f>IF(J1364="","",J1364&amp;"|"&amp;E1364&amp;"|"&amp;F1364&amp;"|"&amp;I1364&amp;"|"&amp;O1364)</f>
        <v/>
      </c>
      <c r="T1364" s="15" t="str">
        <f>IF(OR(S1364="",D1364&lt;&gt;"Vastgesteld"),"",_xlfn.MAXIFS($G$6:$G$5005,$S$6:$S$5005,S1364,$D$6:$D$5005,"Vastgesteld"))</f>
        <v/>
      </c>
      <c r="U1364" s="15">
        <f>IF(T1364="",0,IF(AND(G1364=T1364,COUNTIFS($S$6:S1364,S1364,$G$6:G1364,G1364,$D$6:D1364,"Vastgesteld")=1),1,0))</f>
        <v>0</v>
      </c>
      <c r="V1364" s="15">
        <f>IF(T1364="",0,IF(AND(G1364=T1364,COUNTIFS($S$6:S1364,S1364,$G$6:G1364,G1364,$D$6:D1364,"Vastgesteld")&gt;1),1,0))</f>
        <v>0</v>
      </c>
    </row>
    <row r="1365">
      <c r="S1365" s="15" t="str">
        <f>IF(J1365="","",J1365&amp;"|"&amp;E1365&amp;"|"&amp;F1365&amp;"|"&amp;I1365&amp;"|"&amp;O1365)</f>
        <v/>
      </c>
      <c r="T1365" s="15" t="str">
        <f>IF(OR(S1365="",D1365&lt;&gt;"Vastgesteld"),"",_xlfn.MAXIFS($G$6:$G$5005,$S$6:$S$5005,S1365,$D$6:$D$5005,"Vastgesteld"))</f>
        <v/>
      </c>
      <c r="U1365" s="15">
        <f>IF(T1365="",0,IF(AND(G1365=T1365,COUNTIFS($S$6:S1365,S1365,$G$6:G1365,G1365,$D$6:D1365,"Vastgesteld")=1),1,0))</f>
        <v>0</v>
      </c>
      <c r="V1365" s="15">
        <f>IF(T1365="",0,IF(AND(G1365=T1365,COUNTIFS($S$6:S1365,S1365,$G$6:G1365,G1365,$D$6:D1365,"Vastgesteld")&gt;1),1,0))</f>
        <v>0</v>
      </c>
    </row>
    <row r="1366">
      <c r="S1366" s="15" t="str">
        <f>IF(J1366="","",J1366&amp;"|"&amp;E1366&amp;"|"&amp;F1366&amp;"|"&amp;I1366&amp;"|"&amp;O1366)</f>
        <v/>
      </c>
      <c r="T1366" s="15" t="str">
        <f>IF(OR(S1366="",D1366&lt;&gt;"Vastgesteld"),"",_xlfn.MAXIFS($G$6:$G$5005,$S$6:$S$5005,S1366,$D$6:$D$5005,"Vastgesteld"))</f>
        <v/>
      </c>
      <c r="U1366" s="15">
        <f>IF(T1366="",0,IF(AND(G1366=T1366,COUNTIFS($S$6:S1366,S1366,$G$6:G1366,G1366,$D$6:D1366,"Vastgesteld")=1),1,0))</f>
        <v>0</v>
      </c>
      <c r="V1366" s="15">
        <f>IF(T1366="",0,IF(AND(G1366=T1366,COUNTIFS($S$6:S1366,S1366,$G$6:G1366,G1366,$D$6:D1366,"Vastgesteld")&gt;1),1,0))</f>
        <v>0</v>
      </c>
    </row>
    <row r="1367">
      <c r="S1367" s="15" t="str">
        <f>IF(J1367="","",J1367&amp;"|"&amp;E1367&amp;"|"&amp;F1367&amp;"|"&amp;I1367&amp;"|"&amp;O1367)</f>
        <v/>
      </c>
      <c r="T1367" s="15" t="str">
        <f>IF(OR(S1367="",D1367&lt;&gt;"Vastgesteld"),"",_xlfn.MAXIFS($G$6:$G$5005,$S$6:$S$5005,S1367,$D$6:$D$5005,"Vastgesteld"))</f>
        <v/>
      </c>
      <c r="U1367" s="15">
        <f>IF(T1367="",0,IF(AND(G1367=T1367,COUNTIFS($S$6:S1367,S1367,$G$6:G1367,G1367,$D$6:D1367,"Vastgesteld")=1),1,0))</f>
        <v>0</v>
      </c>
      <c r="V1367" s="15">
        <f>IF(T1367="",0,IF(AND(G1367=T1367,COUNTIFS($S$6:S1367,S1367,$G$6:G1367,G1367,$D$6:D1367,"Vastgesteld")&gt;1),1,0))</f>
        <v>0</v>
      </c>
    </row>
    <row r="1368">
      <c r="S1368" s="15" t="str">
        <f>IF(J1368="","",J1368&amp;"|"&amp;E1368&amp;"|"&amp;F1368&amp;"|"&amp;I1368&amp;"|"&amp;O1368)</f>
        <v/>
      </c>
      <c r="T1368" s="15" t="str">
        <f>IF(OR(S1368="",D1368&lt;&gt;"Vastgesteld"),"",_xlfn.MAXIFS($G$6:$G$5005,$S$6:$S$5005,S1368,$D$6:$D$5005,"Vastgesteld"))</f>
        <v/>
      </c>
      <c r="U1368" s="15">
        <f>IF(T1368="",0,IF(AND(G1368=T1368,COUNTIFS($S$6:S1368,S1368,$G$6:G1368,G1368,$D$6:D1368,"Vastgesteld")=1),1,0))</f>
        <v>0</v>
      </c>
      <c r="V1368" s="15">
        <f>IF(T1368="",0,IF(AND(G1368=T1368,COUNTIFS($S$6:S1368,S1368,$G$6:G1368,G1368,$D$6:D1368,"Vastgesteld")&gt;1),1,0))</f>
        <v>0</v>
      </c>
    </row>
    <row r="1369">
      <c r="S1369" s="15" t="str">
        <f>IF(J1369="","",J1369&amp;"|"&amp;E1369&amp;"|"&amp;F1369&amp;"|"&amp;I1369&amp;"|"&amp;O1369)</f>
        <v/>
      </c>
      <c r="T1369" s="15" t="str">
        <f>IF(OR(S1369="",D1369&lt;&gt;"Vastgesteld"),"",_xlfn.MAXIFS($G$6:$G$5005,$S$6:$S$5005,S1369,$D$6:$D$5005,"Vastgesteld"))</f>
        <v/>
      </c>
      <c r="U1369" s="15">
        <f>IF(T1369="",0,IF(AND(G1369=T1369,COUNTIFS($S$6:S1369,S1369,$G$6:G1369,G1369,$D$6:D1369,"Vastgesteld")=1),1,0))</f>
        <v>0</v>
      </c>
      <c r="V1369" s="15">
        <f>IF(T1369="",0,IF(AND(G1369=T1369,COUNTIFS($S$6:S1369,S1369,$G$6:G1369,G1369,$D$6:D1369,"Vastgesteld")&gt;1),1,0))</f>
        <v>0</v>
      </c>
    </row>
    <row r="1370">
      <c r="S1370" s="15" t="str">
        <f>IF(J1370="","",J1370&amp;"|"&amp;E1370&amp;"|"&amp;F1370&amp;"|"&amp;I1370&amp;"|"&amp;O1370)</f>
        <v/>
      </c>
      <c r="T1370" s="15" t="str">
        <f>IF(OR(S1370="",D1370&lt;&gt;"Vastgesteld"),"",_xlfn.MAXIFS($G$6:$G$5005,$S$6:$S$5005,S1370,$D$6:$D$5005,"Vastgesteld"))</f>
        <v/>
      </c>
      <c r="U1370" s="15">
        <f>IF(T1370="",0,IF(AND(G1370=T1370,COUNTIFS($S$6:S1370,S1370,$G$6:G1370,G1370,$D$6:D1370,"Vastgesteld")=1),1,0))</f>
        <v>0</v>
      </c>
      <c r="V1370" s="15">
        <f>IF(T1370="",0,IF(AND(G1370=T1370,COUNTIFS($S$6:S1370,S1370,$G$6:G1370,G1370,$D$6:D1370,"Vastgesteld")&gt;1),1,0))</f>
        <v>0</v>
      </c>
    </row>
    <row r="1371">
      <c r="S1371" s="15" t="str">
        <f>IF(J1371="","",J1371&amp;"|"&amp;E1371&amp;"|"&amp;F1371&amp;"|"&amp;I1371&amp;"|"&amp;O1371)</f>
        <v/>
      </c>
      <c r="T1371" s="15" t="str">
        <f>IF(OR(S1371="",D1371&lt;&gt;"Vastgesteld"),"",_xlfn.MAXIFS($G$6:$G$5005,$S$6:$S$5005,S1371,$D$6:$D$5005,"Vastgesteld"))</f>
        <v/>
      </c>
      <c r="U1371" s="15">
        <f>IF(T1371="",0,IF(AND(G1371=T1371,COUNTIFS($S$6:S1371,S1371,$G$6:G1371,G1371,$D$6:D1371,"Vastgesteld")=1),1,0))</f>
        <v>0</v>
      </c>
      <c r="V1371" s="15">
        <f>IF(T1371="",0,IF(AND(G1371=T1371,COUNTIFS($S$6:S1371,S1371,$G$6:G1371,G1371,$D$6:D1371,"Vastgesteld")&gt;1),1,0))</f>
        <v>0</v>
      </c>
    </row>
    <row r="1372">
      <c r="S1372" s="15" t="str">
        <f>IF(J1372="","",J1372&amp;"|"&amp;E1372&amp;"|"&amp;F1372&amp;"|"&amp;I1372&amp;"|"&amp;O1372)</f>
        <v/>
      </c>
      <c r="T1372" s="15" t="str">
        <f>IF(OR(S1372="",D1372&lt;&gt;"Vastgesteld"),"",_xlfn.MAXIFS($G$6:$G$5005,$S$6:$S$5005,S1372,$D$6:$D$5005,"Vastgesteld"))</f>
        <v/>
      </c>
      <c r="U1372" s="15">
        <f>IF(T1372="",0,IF(AND(G1372=T1372,COUNTIFS($S$6:S1372,S1372,$G$6:G1372,G1372,$D$6:D1372,"Vastgesteld")=1),1,0))</f>
        <v>0</v>
      </c>
      <c r="V1372" s="15">
        <f>IF(T1372="",0,IF(AND(G1372=T1372,COUNTIFS($S$6:S1372,S1372,$G$6:G1372,G1372,$D$6:D1372,"Vastgesteld")&gt;1),1,0))</f>
        <v>0</v>
      </c>
    </row>
    <row r="1373">
      <c r="S1373" s="15" t="str">
        <f>IF(J1373="","",J1373&amp;"|"&amp;E1373&amp;"|"&amp;F1373&amp;"|"&amp;I1373&amp;"|"&amp;O1373)</f>
        <v/>
      </c>
      <c r="T1373" s="15" t="str">
        <f>IF(OR(S1373="",D1373&lt;&gt;"Vastgesteld"),"",_xlfn.MAXIFS($G$6:$G$5005,$S$6:$S$5005,S1373,$D$6:$D$5005,"Vastgesteld"))</f>
        <v/>
      </c>
      <c r="U1373" s="15">
        <f>IF(T1373="",0,IF(AND(G1373=T1373,COUNTIFS($S$6:S1373,S1373,$G$6:G1373,G1373,$D$6:D1373,"Vastgesteld")=1),1,0))</f>
        <v>0</v>
      </c>
      <c r="V1373" s="15">
        <f>IF(T1373="",0,IF(AND(G1373=T1373,COUNTIFS($S$6:S1373,S1373,$G$6:G1373,G1373,$D$6:D1373,"Vastgesteld")&gt;1),1,0))</f>
        <v>0</v>
      </c>
    </row>
    <row r="1374">
      <c r="S1374" s="15" t="str">
        <f>IF(J1374="","",J1374&amp;"|"&amp;E1374&amp;"|"&amp;F1374&amp;"|"&amp;I1374&amp;"|"&amp;O1374)</f>
        <v/>
      </c>
      <c r="T1374" s="15" t="str">
        <f>IF(OR(S1374="",D1374&lt;&gt;"Vastgesteld"),"",_xlfn.MAXIFS($G$6:$G$5005,$S$6:$S$5005,S1374,$D$6:$D$5005,"Vastgesteld"))</f>
        <v/>
      </c>
      <c r="U1374" s="15">
        <f>IF(T1374="",0,IF(AND(G1374=T1374,COUNTIFS($S$6:S1374,S1374,$G$6:G1374,G1374,$D$6:D1374,"Vastgesteld")=1),1,0))</f>
        <v>0</v>
      </c>
      <c r="V1374" s="15">
        <f>IF(T1374="",0,IF(AND(G1374=T1374,COUNTIFS($S$6:S1374,S1374,$G$6:G1374,G1374,$D$6:D1374,"Vastgesteld")&gt;1),1,0))</f>
        <v>0</v>
      </c>
    </row>
    <row r="1375">
      <c r="S1375" s="15" t="str">
        <f>IF(J1375="","",J1375&amp;"|"&amp;E1375&amp;"|"&amp;F1375&amp;"|"&amp;I1375&amp;"|"&amp;O1375)</f>
        <v/>
      </c>
      <c r="T1375" s="15" t="str">
        <f>IF(OR(S1375="",D1375&lt;&gt;"Vastgesteld"),"",_xlfn.MAXIFS($G$6:$G$5005,$S$6:$S$5005,S1375,$D$6:$D$5005,"Vastgesteld"))</f>
        <v/>
      </c>
      <c r="U1375" s="15">
        <f>IF(T1375="",0,IF(AND(G1375=T1375,COUNTIFS($S$6:S1375,S1375,$G$6:G1375,G1375,$D$6:D1375,"Vastgesteld")=1),1,0))</f>
        <v>0</v>
      </c>
      <c r="V1375" s="15">
        <f>IF(T1375="",0,IF(AND(G1375=T1375,COUNTIFS($S$6:S1375,S1375,$G$6:G1375,G1375,$D$6:D1375,"Vastgesteld")&gt;1),1,0))</f>
        <v>0</v>
      </c>
    </row>
    <row r="1376">
      <c r="S1376" s="15" t="str">
        <f>IF(J1376="","",J1376&amp;"|"&amp;E1376&amp;"|"&amp;F1376&amp;"|"&amp;I1376&amp;"|"&amp;O1376)</f>
        <v/>
      </c>
      <c r="T1376" s="15" t="str">
        <f>IF(OR(S1376="",D1376&lt;&gt;"Vastgesteld"),"",_xlfn.MAXIFS($G$6:$G$5005,$S$6:$S$5005,S1376,$D$6:$D$5005,"Vastgesteld"))</f>
        <v/>
      </c>
      <c r="U1376" s="15">
        <f>IF(T1376="",0,IF(AND(G1376=T1376,COUNTIFS($S$6:S1376,S1376,$G$6:G1376,G1376,$D$6:D1376,"Vastgesteld")=1),1,0))</f>
        <v>0</v>
      </c>
      <c r="V1376" s="15">
        <f>IF(T1376="",0,IF(AND(G1376=T1376,COUNTIFS($S$6:S1376,S1376,$G$6:G1376,G1376,$D$6:D1376,"Vastgesteld")&gt;1),1,0))</f>
        <v>0</v>
      </c>
    </row>
    <row r="1377">
      <c r="S1377" s="15" t="str">
        <f>IF(J1377="","",J1377&amp;"|"&amp;E1377&amp;"|"&amp;F1377&amp;"|"&amp;I1377&amp;"|"&amp;O1377)</f>
        <v/>
      </c>
      <c r="T1377" s="15" t="str">
        <f>IF(OR(S1377="",D1377&lt;&gt;"Vastgesteld"),"",_xlfn.MAXIFS($G$6:$G$5005,$S$6:$S$5005,S1377,$D$6:$D$5005,"Vastgesteld"))</f>
        <v/>
      </c>
      <c r="U1377" s="15">
        <f>IF(T1377="",0,IF(AND(G1377=T1377,COUNTIFS($S$6:S1377,S1377,$G$6:G1377,G1377,$D$6:D1377,"Vastgesteld")=1),1,0))</f>
        <v>0</v>
      </c>
      <c r="V1377" s="15">
        <f>IF(T1377="",0,IF(AND(G1377=T1377,COUNTIFS($S$6:S1377,S1377,$G$6:G1377,G1377,$D$6:D1377,"Vastgesteld")&gt;1),1,0))</f>
        <v>0</v>
      </c>
    </row>
    <row r="1378">
      <c r="S1378" s="15" t="str">
        <f>IF(J1378="","",J1378&amp;"|"&amp;E1378&amp;"|"&amp;F1378&amp;"|"&amp;I1378&amp;"|"&amp;O1378)</f>
        <v/>
      </c>
      <c r="T1378" s="15" t="str">
        <f>IF(OR(S1378="",D1378&lt;&gt;"Vastgesteld"),"",_xlfn.MAXIFS($G$6:$G$5005,$S$6:$S$5005,S1378,$D$6:$D$5005,"Vastgesteld"))</f>
        <v/>
      </c>
      <c r="U1378" s="15">
        <f>IF(T1378="",0,IF(AND(G1378=T1378,COUNTIFS($S$6:S1378,S1378,$G$6:G1378,G1378,$D$6:D1378,"Vastgesteld")=1),1,0))</f>
        <v>0</v>
      </c>
      <c r="V1378" s="15">
        <f>IF(T1378="",0,IF(AND(G1378=T1378,COUNTIFS($S$6:S1378,S1378,$G$6:G1378,G1378,$D$6:D1378,"Vastgesteld")&gt;1),1,0))</f>
        <v>0</v>
      </c>
    </row>
    <row r="1379">
      <c r="S1379" s="15" t="str">
        <f>IF(J1379="","",J1379&amp;"|"&amp;E1379&amp;"|"&amp;F1379&amp;"|"&amp;I1379&amp;"|"&amp;O1379)</f>
        <v/>
      </c>
      <c r="T1379" s="15" t="str">
        <f>IF(OR(S1379="",D1379&lt;&gt;"Vastgesteld"),"",_xlfn.MAXIFS($G$6:$G$5005,$S$6:$S$5005,S1379,$D$6:$D$5005,"Vastgesteld"))</f>
        <v/>
      </c>
      <c r="U1379" s="15">
        <f>IF(T1379="",0,IF(AND(G1379=T1379,COUNTIFS($S$6:S1379,S1379,$G$6:G1379,G1379,$D$6:D1379,"Vastgesteld")=1),1,0))</f>
        <v>0</v>
      </c>
      <c r="V1379" s="15">
        <f>IF(T1379="",0,IF(AND(G1379=T1379,COUNTIFS($S$6:S1379,S1379,$G$6:G1379,G1379,$D$6:D1379,"Vastgesteld")&gt;1),1,0))</f>
        <v>0</v>
      </c>
    </row>
    <row r="1380">
      <c r="S1380" s="15" t="str">
        <f>IF(J1380="","",J1380&amp;"|"&amp;E1380&amp;"|"&amp;F1380&amp;"|"&amp;I1380&amp;"|"&amp;O1380)</f>
        <v/>
      </c>
      <c r="T1380" s="15" t="str">
        <f>IF(OR(S1380="",D1380&lt;&gt;"Vastgesteld"),"",_xlfn.MAXIFS($G$6:$G$5005,$S$6:$S$5005,S1380,$D$6:$D$5005,"Vastgesteld"))</f>
        <v/>
      </c>
      <c r="U1380" s="15">
        <f>IF(T1380="",0,IF(AND(G1380=T1380,COUNTIFS($S$6:S1380,S1380,$G$6:G1380,G1380,$D$6:D1380,"Vastgesteld")=1),1,0))</f>
        <v>0</v>
      </c>
      <c r="V1380" s="15">
        <f>IF(T1380="",0,IF(AND(G1380=T1380,COUNTIFS($S$6:S1380,S1380,$G$6:G1380,G1380,$D$6:D1380,"Vastgesteld")&gt;1),1,0))</f>
        <v>0</v>
      </c>
    </row>
    <row r="1381">
      <c r="S1381" s="15" t="str">
        <f>IF(J1381="","",J1381&amp;"|"&amp;E1381&amp;"|"&amp;F1381&amp;"|"&amp;I1381&amp;"|"&amp;O1381)</f>
        <v/>
      </c>
      <c r="T1381" s="15" t="str">
        <f>IF(OR(S1381="",D1381&lt;&gt;"Vastgesteld"),"",_xlfn.MAXIFS($G$6:$G$5005,$S$6:$S$5005,S1381,$D$6:$D$5005,"Vastgesteld"))</f>
        <v/>
      </c>
      <c r="U1381" s="15">
        <f>IF(T1381="",0,IF(AND(G1381=T1381,COUNTIFS($S$6:S1381,S1381,$G$6:G1381,G1381,$D$6:D1381,"Vastgesteld")=1),1,0))</f>
        <v>0</v>
      </c>
      <c r="V1381" s="15">
        <f>IF(T1381="",0,IF(AND(G1381=T1381,COUNTIFS($S$6:S1381,S1381,$G$6:G1381,G1381,$D$6:D1381,"Vastgesteld")&gt;1),1,0))</f>
        <v>0</v>
      </c>
    </row>
    <row r="1382">
      <c r="S1382" s="15" t="str">
        <f>IF(J1382="","",J1382&amp;"|"&amp;E1382&amp;"|"&amp;F1382&amp;"|"&amp;I1382&amp;"|"&amp;O1382)</f>
        <v/>
      </c>
      <c r="T1382" s="15" t="str">
        <f>IF(OR(S1382="",D1382&lt;&gt;"Vastgesteld"),"",_xlfn.MAXIFS($G$6:$G$5005,$S$6:$S$5005,S1382,$D$6:$D$5005,"Vastgesteld"))</f>
        <v/>
      </c>
      <c r="U1382" s="15">
        <f>IF(T1382="",0,IF(AND(G1382=T1382,COUNTIFS($S$6:S1382,S1382,$G$6:G1382,G1382,$D$6:D1382,"Vastgesteld")=1),1,0))</f>
        <v>0</v>
      </c>
      <c r="V1382" s="15">
        <f>IF(T1382="",0,IF(AND(G1382=T1382,COUNTIFS($S$6:S1382,S1382,$G$6:G1382,G1382,$D$6:D1382,"Vastgesteld")&gt;1),1,0))</f>
        <v>0</v>
      </c>
    </row>
    <row r="1383">
      <c r="S1383" s="15" t="str">
        <f>IF(J1383="","",J1383&amp;"|"&amp;E1383&amp;"|"&amp;F1383&amp;"|"&amp;I1383&amp;"|"&amp;O1383)</f>
        <v/>
      </c>
      <c r="T1383" s="15" t="str">
        <f>IF(OR(S1383="",D1383&lt;&gt;"Vastgesteld"),"",_xlfn.MAXIFS($G$6:$G$5005,$S$6:$S$5005,S1383,$D$6:$D$5005,"Vastgesteld"))</f>
        <v/>
      </c>
      <c r="U1383" s="15">
        <f>IF(T1383="",0,IF(AND(G1383=T1383,COUNTIFS($S$6:S1383,S1383,$G$6:G1383,G1383,$D$6:D1383,"Vastgesteld")=1),1,0))</f>
        <v>0</v>
      </c>
      <c r="V1383" s="15">
        <f>IF(T1383="",0,IF(AND(G1383=T1383,COUNTIFS($S$6:S1383,S1383,$G$6:G1383,G1383,$D$6:D1383,"Vastgesteld")&gt;1),1,0))</f>
        <v>0</v>
      </c>
    </row>
    <row r="1384">
      <c r="S1384" s="15" t="str">
        <f>IF(J1384="","",J1384&amp;"|"&amp;E1384&amp;"|"&amp;F1384&amp;"|"&amp;I1384&amp;"|"&amp;O1384)</f>
        <v/>
      </c>
      <c r="T1384" s="15" t="str">
        <f>IF(OR(S1384="",D1384&lt;&gt;"Vastgesteld"),"",_xlfn.MAXIFS($G$6:$G$5005,$S$6:$S$5005,S1384,$D$6:$D$5005,"Vastgesteld"))</f>
        <v/>
      </c>
      <c r="U1384" s="15">
        <f>IF(T1384="",0,IF(AND(G1384=T1384,COUNTIFS($S$6:S1384,S1384,$G$6:G1384,G1384,$D$6:D1384,"Vastgesteld")=1),1,0))</f>
        <v>0</v>
      </c>
      <c r="V1384" s="15">
        <f>IF(T1384="",0,IF(AND(G1384=T1384,COUNTIFS($S$6:S1384,S1384,$G$6:G1384,G1384,$D$6:D1384,"Vastgesteld")&gt;1),1,0))</f>
        <v>0</v>
      </c>
    </row>
    <row r="1385">
      <c r="S1385" s="15" t="str">
        <f>IF(J1385="","",J1385&amp;"|"&amp;E1385&amp;"|"&amp;F1385&amp;"|"&amp;I1385&amp;"|"&amp;O1385)</f>
        <v/>
      </c>
      <c r="T1385" s="15" t="str">
        <f>IF(OR(S1385="",D1385&lt;&gt;"Vastgesteld"),"",_xlfn.MAXIFS($G$6:$G$5005,$S$6:$S$5005,S1385,$D$6:$D$5005,"Vastgesteld"))</f>
        <v/>
      </c>
      <c r="U1385" s="15">
        <f>IF(T1385="",0,IF(AND(G1385=T1385,COUNTIFS($S$6:S1385,S1385,$G$6:G1385,G1385,$D$6:D1385,"Vastgesteld")=1),1,0))</f>
        <v>0</v>
      </c>
      <c r="V1385" s="15">
        <f>IF(T1385="",0,IF(AND(G1385=T1385,COUNTIFS($S$6:S1385,S1385,$G$6:G1385,G1385,$D$6:D1385,"Vastgesteld")&gt;1),1,0))</f>
        <v>0</v>
      </c>
    </row>
    <row r="1386">
      <c r="S1386" s="15" t="str">
        <f>IF(J1386="","",J1386&amp;"|"&amp;E1386&amp;"|"&amp;F1386&amp;"|"&amp;I1386&amp;"|"&amp;O1386)</f>
        <v/>
      </c>
      <c r="T1386" s="15" t="str">
        <f>IF(OR(S1386="",D1386&lt;&gt;"Vastgesteld"),"",_xlfn.MAXIFS($G$6:$G$5005,$S$6:$S$5005,S1386,$D$6:$D$5005,"Vastgesteld"))</f>
        <v/>
      </c>
      <c r="U1386" s="15">
        <f>IF(T1386="",0,IF(AND(G1386=T1386,COUNTIFS($S$6:S1386,S1386,$G$6:G1386,G1386,$D$6:D1386,"Vastgesteld")=1),1,0))</f>
        <v>0</v>
      </c>
      <c r="V1386" s="15">
        <f>IF(T1386="",0,IF(AND(G1386=T1386,COUNTIFS($S$6:S1386,S1386,$G$6:G1386,G1386,$D$6:D1386,"Vastgesteld")&gt;1),1,0))</f>
        <v>0</v>
      </c>
    </row>
    <row r="1387">
      <c r="S1387" s="15" t="str">
        <f>IF(J1387="","",J1387&amp;"|"&amp;E1387&amp;"|"&amp;F1387&amp;"|"&amp;I1387&amp;"|"&amp;O1387)</f>
        <v/>
      </c>
      <c r="T1387" s="15" t="str">
        <f>IF(OR(S1387="",D1387&lt;&gt;"Vastgesteld"),"",_xlfn.MAXIFS($G$6:$G$5005,$S$6:$S$5005,S1387,$D$6:$D$5005,"Vastgesteld"))</f>
        <v/>
      </c>
      <c r="U1387" s="15">
        <f>IF(T1387="",0,IF(AND(G1387=T1387,COUNTIFS($S$6:S1387,S1387,$G$6:G1387,G1387,$D$6:D1387,"Vastgesteld")=1),1,0))</f>
        <v>0</v>
      </c>
      <c r="V1387" s="15">
        <f>IF(T1387="",0,IF(AND(G1387=T1387,COUNTIFS($S$6:S1387,S1387,$G$6:G1387,G1387,$D$6:D1387,"Vastgesteld")&gt;1),1,0))</f>
        <v>0</v>
      </c>
    </row>
    <row r="1388">
      <c r="S1388" s="15" t="str">
        <f>IF(J1388="","",J1388&amp;"|"&amp;E1388&amp;"|"&amp;F1388&amp;"|"&amp;I1388&amp;"|"&amp;O1388)</f>
        <v/>
      </c>
      <c r="T1388" s="15" t="str">
        <f>IF(OR(S1388="",D1388&lt;&gt;"Vastgesteld"),"",_xlfn.MAXIFS($G$6:$G$5005,$S$6:$S$5005,S1388,$D$6:$D$5005,"Vastgesteld"))</f>
        <v/>
      </c>
      <c r="U1388" s="15">
        <f>IF(T1388="",0,IF(AND(G1388=T1388,COUNTIFS($S$6:S1388,S1388,$G$6:G1388,G1388,$D$6:D1388,"Vastgesteld")=1),1,0))</f>
        <v>0</v>
      </c>
      <c r="V1388" s="15">
        <f>IF(T1388="",0,IF(AND(G1388=T1388,COUNTIFS($S$6:S1388,S1388,$G$6:G1388,G1388,$D$6:D1388,"Vastgesteld")&gt;1),1,0))</f>
        <v>0</v>
      </c>
    </row>
    <row r="1389">
      <c r="S1389" s="15" t="str">
        <f>IF(J1389="","",J1389&amp;"|"&amp;E1389&amp;"|"&amp;F1389&amp;"|"&amp;I1389&amp;"|"&amp;O1389)</f>
        <v/>
      </c>
      <c r="T1389" s="15" t="str">
        <f>IF(OR(S1389="",D1389&lt;&gt;"Vastgesteld"),"",_xlfn.MAXIFS($G$6:$G$5005,$S$6:$S$5005,S1389,$D$6:$D$5005,"Vastgesteld"))</f>
        <v/>
      </c>
      <c r="U1389" s="15">
        <f>IF(T1389="",0,IF(AND(G1389=T1389,COUNTIFS($S$6:S1389,S1389,$G$6:G1389,G1389,$D$6:D1389,"Vastgesteld")=1),1,0))</f>
        <v>0</v>
      </c>
      <c r="V1389" s="15">
        <f>IF(T1389="",0,IF(AND(G1389=T1389,COUNTIFS($S$6:S1389,S1389,$G$6:G1389,G1389,$D$6:D1389,"Vastgesteld")&gt;1),1,0))</f>
        <v>0</v>
      </c>
    </row>
    <row r="1390">
      <c r="S1390" s="15" t="str">
        <f>IF(J1390="","",J1390&amp;"|"&amp;E1390&amp;"|"&amp;F1390&amp;"|"&amp;I1390&amp;"|"&amp;O1390)</f>
        <v/>
      </c>
      <c r="T1390" s="15" t="str">
        <f>IF(OR(S1390="",D1390&lt;&gt;"Vastgesteld"),"",_xlfn.MAXIFS($G$6:$G$5005,$S$6:$S$5005,S1390,$D$6:$D$5005,"Vastgesteld"))</f>
        <v/>
      </c>
      <c r="U1390" s="15">
        <f>IF(T1390="",0,IF(AND(G1390=T1390,COUNTIFS($S$6:S1390,S1390,$G$6:G1390,G1390,$D$6:D1390,"Vastgesteld")=1),1,0))</f>
        <v>0</v>
      </c>
      <c r="V1390" s="15">
        <f>IF(T1390="",0,IF(AND(G1390=T1390,COUNTIFS($S$6:S1390,S1390,$G$6:G1390,G1390,$D$6:D1390,"Vastgesteld")&gt;1),1,0))</f>
        <v>0</v>
      </c>
    </row>
    <row r="1391">
      <c r="S1391" s="15" t="str">
        <f>IF(J1391="","",J1391&amp;"|"&amp;E1391&amp;"|"&amp;F1391&amp;"|"&amp;I1391&amp;"|"&amp;O1391)</f>
        <v/>
      </c>
      <c r="T1391" s="15" t="str">
        <f>IF(OR(S1391="",D1391&lt;&gt;"Vastgesteld"),"",_xlfn.MAXIFS($G$6:$G$5005,$S$6:$S$5005,S1391,$D$6:$D$5005,"Vastgesteld"))</f>
        <v/>
      </c>
      <c r="U1391" s="15">
        <f>IF(T1391="",0,IF(AND(G1391=T1391,COUNTIFS($S$6:S1391,S1391,$G$6:G1391,G1391,$D$6:D1391,"Vastgesteld")=1),1,0))</f>
        <v>0</v>
      </c>
      <c r="V1391" s="15">
        <f>IF(T1391="",0,IF(AND(G1391=T1391,COUNTIFS($S$6:S1391,S1391,$G$6:G1391,G1391,$D$6:D1391,"Vastgesteld")&gt;1),1,0))</f>
        <v>0</v>
      </c>
    </row>
    <row r="1392">
      <c r="S1392" s="15" t="str">
        <f>IF(J1392="","",J1392&amp;"|"&amp;E1392&amp;"|"&amp;F1392&amp;"|"&amp;I1392&amp;"|"&amp;O1392)</f>
        <v/>
      </c>
      <c r="T1392" s="15" t="str">
        <f>IF(OR(S1392="",D1392&lt;&gt;"Vastgesteld"),"",_xlfn.MAXIFS($G$6:$G$5005,$S$6:$S$5005,S1392,$D$6:$D$5005,"Vastgesteld"))</f>
        <v/>
      </c>
      <c r="U1392" s="15">
        <f>IF(T1392="",0,IF(AND(G1392=T1392,COUNTIFS($S$6:S1392,S1392,$G$6:G1392,G1392,$D$6:D1392,"Vastgesteld")=1),1,0))</f>
        <v>0</v>
      </c>
      <c r="V1392" s="15">
        <f>IF(T1392="",0,IF(AND(G1392=T1392,COUNTIFS($S$6:S1392,S1392,$G$6:G1392,G1392,$D$6:D1392,"Vastgesteld")&gt;1),1,0))</f>
        <v>0</v>
      </c>
    </row>
    <row r="1393">
      <c r="S1393" s="15" t="str">
        <f>IF(J1393="","",J1393&amp;"|"&amp;E1393&amp;"|"&amp;F1393&amp;"|"&amp;I1393&amp;"|"&amp;O1393)</f>
        <v/>
      </c>
      <c r="T1393" s="15" t="str">
        <f>IF(OR(S1393="",D1393&lt;&gt;"Vastgesteld"),"",_xlfn.MAXIFS($G$6:$G$5005,$S$6:$S$5005,S1393,$D$6:$D$5005,"Vastgesteld"))</f>
        <v/>
      </c>
      <c r="U1393" s="15">
        <f>IF(T1393="",0,IF(AND(G1393=T1393,COUNTIFS($S$6:S1393,S1393,$G$6:G1393,G1393,$D$6:D1393,"Vastgesteld")=1),1,0))</f>
        <v>0</v>
      </c>
      <c r="V1393" s="15">
        <f>IF(T1393="",0,IF(AND(G1393=T1393,COUNTIFS($S$6:S1393,S1393,$G$6:G1393,G1393,$D$6:D1393,"Vastgesteld")&gt;1),1,0))</f>
        <v>0</v>
      </c>
    </row>
    <row r="1394">
      <c r="S1394" s="15" t="str">
        <f>IF(J1394="","",J1394&amp;"|"&amp;E1394&amp;"|"&amp;F1394&amp;"|"&amp;I1394&amp;"|"&amp;O1394)</f>
        <v/>
      </c>
      <c r="T1394" s="15" t="str">
        <f>IF(OR(S1394="",D1394&lt;&gt;"Vastgesteld"),"",_xlfn.MAXIFS($G$6:$G$5005,$S$6:$S$5005,S1394,$D$6:$D$5005,"Vastgesteld"))</f>
        <v/>
      </c>
      <c r="U1394" s="15">
        <f>IF(T1394="",0,IF(AND(G1394=T1394,COUNTIFS($S$6:S1394,S1394,$G$6:G1394,G1394,$D$6:D1394,"Vastgesteld")=1),1,0))</f>
        <v>0</v>
      </c>
      <c r="V1394" s="15">
        <f>IF(T1394="",0,IF(AND(G1394=T1394,COUNTIFS($S$6:S1394,S1394,$G$6:G1394,G1394,$D$6:D1394,"Vastgesteld")&gt;1),1,0))</f>
        <v>0</v>
      </c>
    </row>
    <row r="1395">
      <c r="S1395" s="15" t="str">
        <f>IF(J1395="","",J1395&amp;"|"&amp;E1395&amp;"|"&amp;F1395&amp;"|"&amp;I1395&amp;"|"&amp;O1395)</f>
        <v/>
      </c>
      <c r="T1395" s="15" t="str">
        <f>IF(OR(S1395="",D1395&lt;&gt;"Vastgesteld"),"",_xlfn.MAXIFS($G$6:$G$5005,$S$6:$S$5005,S1395,$D$6:$D$5005,"Vastgesteld"))</f>
        <v/>
      </c>
      <c r="U1395" s="15">
        <f>IF(T1395="",0,IF(AND(G1395=T1395,COUNTIFS($S$6:S1395,S1395,$G$6:G1395,G1395,$D$6:D1395,"Vastgesteld")=1),1,0))</f>
        <v>0</v>
      </c>
      <c r="V1395" s="15">
        <f>IF(T1395="",0,IF(AND(G1395=T1395,COUNTIFS($S$6:S1395,S1395,$G$6:G1395,G1395,$D$6:D1395,"Vastgesteld")&gt;1),1,0))</f>
        <v>0</v>
      </c>
    </row>
    <row r="1396">
      <c r="S1396" s="15" t="str">
        <f>IF(J1396="","",J1396&amp;"|"&amp;E1396&amp;"|"&amp;F1396&amp;"|"&amp;I1396&amp;"|"&amp;O1396)</f>
        <v/>
      </c>
      <c r="T1396" s="15" t="str">
        <f>IF(OR(S1396="",D1396&lt;&gt;"Vastgesteld"),"",_xlfn.MAXIFS($G$6:$G$5005,$S$6:$S$5005,S1396,$D$6:$D$5005,"Vastgesteld"))</f>
        <v/>
      </c>
      <c r="U1396" s="15">
        <f>IF(T1396="",0,IF(AND(G1396=T1396,COUNTIFS($S$6:S1396,S1396,$G$6:G1396,G1396,$D$6:D1396,"Vastgesteld")=1),1,0))</f>
        <v>0</v>
      </c>
      <c r="V1396" s="15">
        <f>IF(T1396="",0,IF(AND(G1396=T1396,COUNTIFS($S$6:S1396,S1396,$G$6:G1396,G1396,$D$6:D1396,"Vastgesteld")&gt;1),1,0))</f>
        <v>0</v>
      </c>
    </row>
    <row r="1397">
      <c r="S1397" s="15" t="str">
        <f>IF(J1397="","",J1397&amp;"|"&amp;E1397&amp;"|"&amp;F1397&amp;"|"&amp;I1397&amp;"|"&amp;O1397)</f>
        <v/>
      </c>
      <c r="T1397" s="15" t="str">
        <f>IF(OR(S1397="",D1397&lt;&gt;"Vastgesteld"),"",_xlfn.MAXIFS($G$6:$G$5005,$S$6:$S$5005,S1397,$D$6:$D$5005,"Vastgesteld"))</f>
        <v/>
      </c>
      <c r="U1397" s="15">
        <f>IF(T1397="",0,IF(AND(G1397=T1397,COUNTIFS($S$6:S1397,S1397,$G$6:G1397,G1397,$D$6:D1397,"Vastgesteld")=1),1,0))</f>
        <v>0</v>
      </c>
      <c r="V1397" s="15">
        <f>IF(T1397="",0,IF(AND(G1397=T1397,COUNTIFS($S$6:S1397,S1397,$G$6:G1397,G1397,$D$6:D1397,"Vastgesteld")&gt;1),1,0))</f>
        <v>0</v>
      </c>
    </row>
    <row r="1398">
      <c r="S1398" s="15" t="str">
        <f>IF(J1398="","",J1398&amp;"|"&amp;E1398&amp;"|"&amp;F1398&amp;"|"&amp;I1398&amp;"|"&amp;O1398)</f>
        <v/>
      </c>
      <c r="T1398" s="15" t="str">
        <f>IF(OR(S1398="",D1398&lt;&gt;"Vastgesteld"),"",_xlfn.MAXIFS($G$6:$G$5005,$S$6:$S$5005,S1398,$D$6:$D$5005,"Vastgesteld"))</f>
        <v/>
      </c>
      <c r="U1398" s="15">
        <f>IF(T1398="",0,IF(AND(G1398=T1398,COUNTIFS($S$6:S1398,S1398,$G$6:G1398,G1398,$D$6:D1398,"Vastgesteld")=1),1,0))</f>
        <v>0</v>
      </c>
      <c r="V1398" s="15">
        <f>IF(T1398="",0,IF(AND(G1398=T1398,COUNTIFS($S$6:S1398,S1398,$G$6:G1398,G1398,$D$6:D1398,"Vastgesteld")&gt;1),1,0))</f>
        <v>0</v>
      </c>
    </row>
    <row r="1399">
      <c r="S1399" s="15" t="str">
        <f>IF(J1399="","",J1399&amp;"|"&amp;E1399&amp;"|"&amp;F1399&amp;"|"&amp;I1399&amp;"|"&amp;O1399)</f>
        <v/>
      </c>
      <c r="T1399" s="15" t="str">
        <f>IF(OR(S1399="",D1399&lt;&gt;"Vastgesteld"),"",_xlfn.MAXIFS($G$6:$G$5005,$S$6:$S$5005,S1399,$D$6:$D$5005,"Vastgesteld"))</f>
        <v/>
      </c>
      <c r="U1399" s="15">
        <f>IF(T1399="",0,IF(AND(G1399=T1399,COUNTIFS($S$6:S1399,S1399,$G$6:G1399,G1399,$D$6:D1399,"Vastgesteld")=1),1,0))</f>
        <v>0</v>
      </c>
      <c r="V1399" s="15">
        <f>IF(T1399="",0,IF(AND(G1399=T1399,COUNTIFS($S$6:S1399,S1399,$G$6:G1399,G1399,$D$6:D1399,"Vastgesteld")&gt;1),1,0))</f>
        <v>0</v>
      </c>
    </row>
    <row r="1400">
      <c r="S1400" s="15" t="str">
        <f>IF(J1400="","",J1400&amp;"|"&amp;E1400&amp;"|"&amp;F1400&amp;"|"&amp;I1400&amp;"|"&amp;O1400)</f>
        <v/>
      </c>
      <c r="T1400" s="15" t="str">
        <f>IF(OR(S1400="",D1400&lt;&gt;"Vastgesteld"),"",_xlfn.MAXIFS($G$6:$G$5005,$S$6:$S$5005,S1400,$D$6:$D$5005,"Vastgesteld"))</f>
        <v/>
      </c>
      <c r="U1400" s="15">
        <f>IF(T1400="",0,IF(AND(G1400=T1400,COUNTIFS($S$6:S1400,S1400,$G$6:G1400,G1400,$D$6:D1400,"Vastgesteld")=1),1,0))</f>
        <v>0</v>
      </c>
      <c r="V1400" s="15">
        <f>IF(T1400="",0,IF(AND(G1400=T1400,COUNTIFS($S$6:S1400,S1400,$G$6:G1400,G1400,$D$6:D1400,"Vastgesteld")&gt;1),1,0))</f>
        <v>0</v>
      </c>
    </row>
    <row r="1401">
      <c r="S1401" s="15" t="str">
        <f>IF(J1401="","",J1401&amp;"|"&amp;E1401&amp;"|"&amp;F1401&amp;"|"&amp;I1401&amp;"|"&amp;O1401)</f>
        <v/>
      </c>
      <c r="T1401" s="15" t="str">
        <f>IF(OR(S1401="",D1401&lt;&gt;"Vastgesteld"),"",_xlfn.MAXIFS($G$6:$G$5005,$S$6:$S$5005,S1401,$D$6:$D$5005,"Vastgesteld"))</f>
        <v/>
      </c>
      <c r="U1401" s="15">
        <f>IF(T1401="",0,IF(AND(G1401=T1401,COUNTIFS($S$6:S1401,S1401,$G$6:G1401,G1401,$D$6:D1401,"Vastgesteld")=1),1,0))</f>
        <v>0</v>
      </c>
      <c r="V1401" s="15">
        <f>IF(T1401="",0,IF(AND(G1401=T1401,COUNTIFS($S$6:S1401,S1401,$G$6:G1401,G1401,$D$6:D1401,"Vastgesteld")&gt;1),1,0))</f>
        <v>0</v>
      </c>
    </row>
    <row r="1402">
      <c r="S1402" s="15" t="str">
        <f>IF(J1402="","",J1402&amp;"|"&amp;E1402&amp;"|"&amp;F1402&amp;"|"&amp;I1402&amp;"|"&amp;O1402)</f>
        <v/>
      </c>
      <c r="T1402" s="15" t="str">
        <f>IF(OR(S1402="",D1402&lt;&gt;"Vastgesteld"),"",_xlfn.MAXIFS($G$6:$G$5005,$S$6:$S$5005,S1402,$D$6:$D$5005,"Vastgesteld"))</f>
        <v/>
      </c>
      <c r="U1402" s="15">
        <f>IF(T1402="",0,IF(AND(G1402=T1402,COUNTIFS($S$6:S1402,S1402,$G$6:G1402,G1402,$D$6:D1402,"Vastgesteld")=1),1,0))</f>
        <v>0</v>
      </c>
      <c r="V1402" s="15">
        <f>IF(T1402="",0,IF(AND(G1402=T1402,COUNTIFS($S$6:S1402,S1402,$G$6:G1402,G1402,$D$6:D1402,"Vastgesteld")&gt;1),1,0))</f>
        <v>0</v>
      </c>
    </row>
    <row r="1403">
      <c r="S1403" s="15" t="str">
        <f>IF(J1403="","",J1403&amp;"|"&amp;E1403&amp;"|"&amp;F1403&amp;"|"&amp;I1403&amp;"|"&amp;O1403)</f>
        <v/>
      </c>
      <c r="T1403" s="15" t="str">
        <f>IF(OR(S1403="",D1403&lt;&gt;"Vastgesteld"),"",_xlfn.MAXIFS($G$6:$G$5005,$S$6:$S$5005,S1403,$D$6:$D$5005,"Vastgesteld"))</f>
        <v/>
      </c>
      <c r="U1403" s="15">
        <f>IF(T1403="",0,IF(AND(G1403=T1403,COUNTIFS($S$6:S1403,S1403,$G$6:G1403,G1403,$D$6:D1403,"Vastgesteld")=1),1,0))</f>
        <v>0</v>
      </c>
      <c r="V1403" s="15">
        <f>IF(T1403="",0,IF(AND(G1403=T1403,COUNTIFS($S$6:S1403,S1403,$G$6:G1403,G1403,$D$6:D1403,"Vastgesteld")&gt;1),1,0))</f>
        <v>0</v>
      </c>
    </row>
    <row r="1404">
      <c r="S1404" s="15" t="str">
        <f>IF(J1404="","",J1404&amp;"|"&amp;E1404&amp;"|"&amp;F1404&amp;"|"&amp;I1404&amp;"|"&amp;O1404)</f>
        <v/>
      </c>
      <c r="T1404" s="15" t="str">
        <f>IF(OR(S1404="",D1404&lt;&gt;"Vastgesteld"),"",_xlfn.MAXIFS($G$6:$G$5005,$S$6:$S$5005,S1404,$D$6:$D$5005,"Vastgesteld"))</f>
        <v/>
      </c>
      <c r="U1404" s="15">
        <f>IF(T1404="",0,IF(AND(G1404=T1404,COUNTIFS($S$6:S1404,S1404,$G$6:G1404,G1404,$D$6:D1404,"Vastgesteld")=1),1,0))</f>
        <v>0</v>
      </c>
      <c r="V1404" s="15">
        <f>IF(T1404="",0,IF(AND(G1404=T1404,COUNTIFS($S$6:S1404,S1404,$G$6:G1404,G1404,$D$6:D1404,"Vastgesteld")&gt;1),1,0))</f>
        <v>0</v>
      </c>
    </row>
    <row r="1405">
      <c r="S1405" s="15" t="str">
        <f>IF(J1405="","",J1405&amp;"|"&amp;E1405&amp;"|"&amp;F1405&amp;"|"&amp;I1405&amp;"|"&amp;O1405)</f>
        <v/>
      </c>
      <c r="T1405" s="15" t="str">
        <f>IF(OR(S1405="",D1405&lt;&gt;"Vastgesteld"),"",_xlfn.MAXIFS($G$6:$G$5005,$S$6:$S$5005,S1405,$D$6:$D$5005,"Vastgesteld"))</f>
        <v/>
      </c>
      <c r="U1405" s="15">
        <f>IF(T1405="",0,IF(AND(G1405=T1405,COUNTIFS($S$6:S1405,S1405,$G$6:G1405,G1405,$D$6:D1405,"Vastgesteld")=1),1,0))</f>
        <v>0</v>
      </c>
      <c r="V1405" s="15">
        <f>IF(T1405="",0,IF(AND(G1405=T1405,COUNTIFS($S$6:S1405,S1405,$G$6:G1405,G1405,$D$6:D1405,"Vastgesteld")&gt;1),1,0))</f>
        <v>0</v>
      </c>
    </row>
    <row r="1406">
      <c r="S1406" s="15" t="str">
        <f>IF(J1406="","",J1406&amp;"|"&amp;E1406&amp;"|"&amp;F1406&amp;"|"&amp;I1406&amp;"|"&amp;O1406)</f>
        <v/>
      </c>
      <c r="T1406" s="15" t="str">
        <f>IF(OR(S1406="",D1406&lt;&gt;"Vastgesteld"),"",_xlfn.MAXIFS($G$6:$G$5005,$S$6:$S$5005,S1406,$D$6:$D$5005,"Vastgesteld"))</f>
        <v/>
      </c>
      <c r="U1406" s="15">
        <f>IF(T1406="",0,IF(AND(G1406=T1406,COUNTIFS($S$6:S1406,S1406,$G$6:G1406,G1406,$D$6:D1406,"Vastgesteld")=1),1,0))</f>
        <v>0</v>
      </c>
      <c r="V1406" s="15">
        <f>IF(T1406="",0,IF(AND(G1406=T1406,COUNTIFS($S$6:S1406,S1406,$G$6:G1406,G1406,$D$6:D1406,"Vastgesteld")&gt;1),1,0))</f>
        <v>0</v>
      </c>
    </row>
    <row r="1407">
      <c r="S1407" s="15" t="str">
        <f>IF(J1407="","",J1407&amp;"|"&amp;E1407&amp;"|"&amp;F1407&amp;"|"&amp;I1407&amp;"|"&amp;O1407)</f>
        <v/>
      </c>
      <c r="T1407" s="15" t="str">
        <f>IF(OR(S1407="",D1407&lt;&gt;"Vastgesteld"),"",_xlfn.MAXIFS($G$6:$G$5005,$S$6:$S$5005,S1407,$D$6:$D$5005,"Vastgesteld"))</f>
        <v/>
      </c>
      <c r="U1407" s="15">
        <f>IF(T1407="",0,IF(AND(G1407=T1407,COUNTIFS($S$6:S1407,S1407,$G$6:G1407,G1407,$D$6:D1407,"Vastgesteld")=1),1,0))</f>
        <v>0</v>
      </c>
      <c r="V1407" s="15">
        <f>IF(T1407="",0,IF(AND(G1407=T1407,COUNTIFS($S$6:S1407,S1407,$G$6:G1407,G1407,$D$6:D1407,"Vastgesteld")&gt;1),1,0))</f>
        <v>0</v>
      </c>
    </row>
    <row r="1408">
      <c r="S1408" s="15" t="str">
        <f>IF(J1408="","",J1408&amp;"|"&amp;E1408&amp;"|"&amp;F1408&amp;"|"&amp;I1408&amp;"|"&amp;O1408)</f>
        <v/>
      </c>
      <c r="T1408" s="15" t="str">
        <f>IF(OR(S1408="",D1408&lt;&gt;"Vastgesteld"),"",_xlfn.MAXIFS($G$6:$G$5005,$S$6:$S$5005,S1408,$D$6:$D$5005,"Vastgesteld"))</f>
        <v/>
      </c>
      <c r="U1408" s="15">
        <f>IF(T1408="",0,IF(AND(G1408=T1408,COUNTIFS($S$6:S1408,S1408,$G$6:G1408,G1408,$D$6:D1408,"Vastgesteld")=1),1,0))</f>
        <v>0</v>
      </c>
      <c r="V1408" s="15">
        <f>IF(T1408="",0,IF(AND(G1408=T1408,COUNTIFS($S$6:S1408,S1408,$G$6:G1408,G1408,$D$6:D1408,"Vastgesteld")&gt;1),1,0))</f>
        <v>0</v>
      </c>
    </row>
    <row r="1409">
      <c r="S1409" s="15" t="str">
        <f>IF(J1409="","",J1409&amp;"|"&amp;E1409&amp;"|"&amp;F1409&amp;"|"&amp;I1409&amp;"|"&amp;O1409)</f>
        <v/>
      </c>
      <c r="T1409" s="15" t="str">
        <f>IF(OR(S1409="",D1409&lt;&gt;"Vastgesteld"),"",_xlfn.MAXIFS($G$6:$G$5005,$S$6:$S$5005,S1409,$D$6:$D$5005,"Vastgesteld"))</f>
        <v/>
      </c>
      <c r="U1409" s="15">
        <f>IF(T1409="",0,IF(AND(G1409=T1409,COUNTIFS($S$6:S1409,S1409,$G$6:G1409,G1409,$D$6:D1409,"Vastgesteld")=1),1,0))</f>
        <v>0</v>
      </c>
      <c r="V1409" s="15">
        <f>IF(T1409="",0,IF(AND(G1409=T1409,COUNTIFS($S$6:S1409,S1409,$G$6:G1409,G1409,$D$6:D1409,"Vastgesteld")&gt;1),1,0))</f>
        <v>0</v>
      </c>
    </row>
    <row r="1410">
      <c r="S1410" s="15" t="str">
        <f>IF(J1410="","",J1410&amp;"|"&amp;E1410&amp;"|"&amp;F1410&amp;"|"&amp;I1410&amp;"|"&amp;O1410)</f>
        <v/>
      </c>
      <c r="T1410" s="15" t="str">
        <f>IF(OR(S1410="",D1410&lt;&gt;"Vastgesteld"),"",_xlfn.MAXIFS($G$6:$G$5005,$S$6:$S$5005,S1410,$D$6:$D$5005,"Vastgesteld"))</f>
        <v/>
      </c>
      <c r="U1410" s="15">
        <f>IF(T1410="",0,IF(AND(G1410=T1410,COUNTIFS($S$6:S1410,S1410,$G$6:G1410,G1410,$D$6:D1410,"Vastgesteld")=1),1,0))</f>
        <v>0</v>
      </c>
      <c r="V1410" s="15">
        <f>IF(T1410="",0,IF(AND(G1410=T1410,COUNTIFS($S$6:S1410,S1410,$G$6:G1410,G1410,$D$6:D1410,"Vastgesteld")&gt;1),1,0))</f>
        <v>0</v>
      </c>
    </row>
    <row r="1411">
      <c r="S1411" s="15" t="str">
        <f>IF(J1411="","",J1411&amp;"|"&amp;E1411&amp;"|"&amp;F1411&amp;"|"&amp;I1411&amp;"|"&amp;O1411)</f>
        <v/>
      </c>
      <c r="T1411" s="15" t="str">
        <f>IF(OR(S1411="",D1411&lt;&gt;"Vastgesteld"),"",_xlfn.MAXIFS($G$6:$G$5005,$S$6:$S$5005,S1411,$D$6:$D$5005,"Vastgesteld"))</f>
        <v/>
      </c>
      <c r="U1411" s="15">
        <f>IF(T1411="",0,IF(AND(G1411=T1411,COUNTIFS($S$6:S1411,S1411,$G$6:G1411,G1411,$D$6:D1411,"Vastgesteld")=1),1,0))</f>
        <v>0</v>
      </c>
      <c r="V1411" s="15">
        <f>IF(T1411="",0,IF(AND(G1411=T1411,COUNTIFS($S$6:S1411,S1411,$G$6:G1411,G1411,$D$6:D1411,"Vastgesteld")&gt;1),1,0))</f>
        <v>0</v>
      </c>
    </row>
    <row r="1412">
      <c r="S1412" s="15" t="str">
        <f>IF(J1412="","",J1412&amp;"|"&amp;E1412&amp;"|"&amp;F1412&amp;"|"&amp;I1412&amp;"|"&amp;O1412)</f>
        <v/>
      </c>
      <c r="T1412" s="15" t="str">
        <f>IF(OR(S1412="",D1412&lt;&gt;"Vastgesteld"),"",_xlfn.MAXIFS($G$6:$G$5005,$S$6:$S$5005,S1412,$D$6:$D$5005,"Vastgesteld"))</f>
        <v/>
      </c>
      <c r="U1412" s="15">
        <f>IF(T1412="",0,IF(AND(G1412=T1412,COUNTIFS($S$6:S1412,S1412,$G$6:G1412,G1412,$D$6:D1412,"Vastgesteld")=1),1,0))</f>
        <v>0</v>
      </c>
      <c r="V1412" s="15">
        <f>IF(T1412="",0,IF(AND(G1412=T1412,COUNTIFS($S$6:S1412,S1412,$G$6:G1412,G1412,$D$6:D1412,"Vastgesteld")&gt;1),1,0))</f>
        <v>0</v>
      </c>
    </row>
    <row r="1413">
      <c r="S1413" s="15" t="str">
        <f>IF(J1413="","",J1413&amp;"|"&amp;E1413&amp;"|"&amp;F1413&amp;"|"&amp;I1413&amp;"|"&amp;O1413)</f>
        <v/>
      </c>
      <c r="T1413" s="15" t="str">
        <f>IF(OR(S1413="",D1413&lt;&gt;"Vastgesteld"),"",_xlfn.MAXIFS($G$6:$G$5005,$S$6:$S$5005,S1413,$D$6:$D$5005,"Vastgesteld"))</f>
        <v/>
      </c>
      <c r="U1413" s="15">
        <f>IF(T1413="",0,IF(AND(G1413=T1413,COUNTIFS($S$6:S1413,S1413,$G$6:G1413,G1413,$D$6:D1413,"Vastgesteld")=1),1,0))</f>
        <v>0</v>
      </c>
      <c r="V1413" s="15">
        <f>IF(T1413="",0,IF(AND(G1413=T1413,COUNTIFS($S$6:S1413,S1413,$G$6:G1413,G1413,$D$6:D1413,"Vastgesteld")&gt;1),1,0))</f>
        <v>0</v>
      </c>
    </row>
    <row r="1414">
      <c r="S1414" s="15" t="str">
        <f>IF(J1414="","",J1414&amp;"|"&amp;E1414&amp;"|"&amp;F1414&amp;"|"&amp;I1414&amp;"|"&amp;O1414)</f>
        <v/>
      </c>
      <c r="T1414" s="15" t="str">
        <f>IF(OR(S1414="",D1414&lt;&gt;"Vastgesteld"),"",_xlfn.MAXIFS($G$6:$G$5005,$S$6:$S$5005,S1414,$D$6:$D$5005,"Vastgesteld"))</f>
        <v/>
      </c>
      <c r="U1414" s="15">
        <f>IF(T1414="",0,IF(AND(G1414=T1414,COUNTIFS($S$6:S1414,S1414,$G$6:G1414,G1414,$D$6:D1414,"Vastgesteld")=1),1,0))</f>
        <v>0</v>
      </c>
      <c r="V1414" s="15">
        <f>IF(T1414="",0,IF(AND(G1414=T1414,COUNTIFS($S$6:S1414,S1414,$G$6:G1414,G1414,$D$6:D1414,"Vastgesteld")&gt;1),1,0))</f>
        <v>0</v>
      </c>
    </row>
    <row r="1415">
      <c r="S1415" s="15" t="str">
        <f>IF(J1415="","",J1415&amp;"|"&amp;E1415&amp;"|"&amp;F1415&amp;"|"&amp;I1415&amp;"|"&amp;O1415)</f>
        <v/>
      </c>
      <c r="T1415" s="15" t="str">
        <f>IF(OR(S1415="",D1415&lt;&gt;"Vastgesteld"),"",_xlfn.MAXIFS($G$6:$G$5005,$S$6:$S$5005,S1415,$D$6:$D$5005,"Vastgesteld"))</f>
        <v/>
      </c>
      <c r="U1415" s="15">
        <f>IF(T1415="",0,IF(AND(G1415=T1415,COUNTIFS($S$6:S1415,S1415,$G$6:G1415,G1415,$D$6:D1415,"Vastgesteld")=1),1,0))</f>
        <v>0</v>
      </c>
      <c r="V1415" s="15">
        <f>IF(T1415="",0,IF(AND(G1415=T1415,COUNTIFS($S$6:S1415,S1415,$G$6:G1415,G1415,$D$6:D1415,"Vastgesteld")&gt;1),1,0))</f>
        <v>0</v>
      </c>
    </row>
    <row r="1416">
      <c r="S1416" s="15" t="str">
        <f>IF(J1416="","",J1416&amp;"|"&amp;E1416&amp;"|"&amp;F1416&amp;"|"&amp;I1416&amp;"|"&amp;O1416)</f>
        <v/>
      </c>
      <c r="T1416" s="15" t="str">
        <f>IF(OR(S1416="",D1416&lt;&gt;"Vastgesteld"),"",_xlfn.MAXIFS($G$6:$G$5005,$S$6:$S$5005,S1416,$D$6:$D$5005,"Vastgesteld"))</f>
        <v/>
      </c>
      <c r="U1416" s="15">
        <f>IF(T1416="",0,IF(AND(G1416=T1416,COUNTIFS($S$6:S1416,S1416,$G$6:G1416,G1416,$D$6:D1416,"Vastgesteld")=1),1,0))</f>
        <v>0</v>
      </c>
      <c r="V1416" s="15">
        <f>IF(T1416="",0,IF(AND(G1416=T1416,COUNTIFS($S$6:S1416,S1416,$G$6:G1416,G1416,$D$6:D1416,"Vastgesteld")&gt;1),1,0))</f>
        <v>0</v>
      </c>
    </row>
    <row r="1417">
      <c r="S1417" s="15" t="str">
        <f>IF(J1417="","",J1417&amp;"|"&amp;E1417&amp;"|"&amp;F1417&amp;"|"&amp;I1417&amp;"|"&amp;O1417)</f>
        <v/>
      </c>
      <c r="T1417" s="15" t="str">
        <f>IF(OR(S1417="",D1417&lt;&gt;"Vastgesteld"),"",_xlfn.MAXIFS($G$6:$G$5005,$S$6:$S$5005,S1417,$D$6:$D$5005,"Vastgesteld"))</f>
        <v/>
      </c>
      <c r="U1417" s="15">
        <f>IF(T1417="",0,IF(AND(G1417=T1417,COUNTIFS($S$6:S1417,S1417,$G$6:G1417,G1417,$D$6:D1417,"Vastgesteld")=1),1,0))</f>
        <v>0</v>
      </c>
      <c r="V1417" s="15">
        <f>IF(T1417="",0,IF(AND(G1417=T1417,COUNTIFS($S$6:S1417,S1417,$G$6:G1417,G1417,$D$6:D1417,"Vastgesteld")&gt;1),1,0))</f>
        <v>0</v>
      </c>
    </row>
    <row r="1418">
      <c r="S1418" s="15" t="str">
        <f>IF(J1418="","",J1418&amp;"|"&amp;E1418&amp;"|"&amp;F1418&amp;"|"&amp;I1418&amp;"|"&amp;O1418)</f>
        <v/>
      </c>
      <c r="T1418" s="15" t="str">
        <f>IF(OR(S1418="",D1418&lt;&gt;"Vastgesteld"),"",_xlfn.MAXIFS($G$6:$G$5005,$S$6:$S$5005,S1418,$D$6:$D$5005,"Vastgesteld"))</f>
        <v/>
      </c>
      <c r="U1418" s="15">
        <f>IF(T1418="",0,IF(AND(G1418=T1418,COUNTIFS($S$6:S1418,S1418,$G$6:G1418,G1418,$D$6:D1418,"Vastgesteld")=1),1,0))</f>
        <v>0</v>
      </c>
      <c r="V1418" s="15">
        <f>IF(T1418="",0,IF(AND(G1418=T1418,COUNTIFS($S$6:S1418,S1418,$G$6:G1418,G1418,$D$6:D1418,"Vastgesteld")&gt;1),1,0))</f>
        <v>0</v>
      </c>
    </row>
    <row r="1419">
      <c r="S1419" s="15" t="str">
        <f>IF(J1419="","",J1419&amp;"|"&amp;E1419&amp;"|"&amp;F1419&amp;"|"&amp;I1419&amp;"|"&amp;O1419)</f>
        <v/>
      </c>
      <c r="T1419" s="15" t="str">
        <f>IF(OR(S1419="",D1419&lt;&gt;"Vastgesteld"),"",_xlfn.MAXIFS($G$6:$G$5005,$S$6:$S$5005,S1419,$D$6:$D$5005,"Vastgesteld"))</f>
        <v/>
      </c>
      <c r="U1419" s="15">
        <f>IF(T1419="",0,IF(AND(G1419=T1419,COUNTIFS($S$6:S1419,S1419,$G$6:G1419,G1419,$D$6:D1419,"Vastgesteld")=1),1,0))</f>
        <v>0</v>
      </c>
      <c r="V1419" s="15">
        <f>IF(T1419="",0,IF(AND(G1419=T1419,COUNTIFS($S$6:S1419,S1419,$G$6:G1419,G1419,$D$6:D1419,"Vastgesteld")&gt;1),1,0))</f>
        <v>0</v>
      </c>
    </row>
    <row r="1420">
      <c r="S1420" s="15" t="str">
        <f>IF(J1420="","",J1420&amp;"|"&amp;E1420&amp;"|"&amp;F1420&amp;"|"&amp;I1420&amp;"|"&amp;O1420)</f>
        <v/>
      </c>
      <c r="T1420" s="15" t="str">
        <f>IF(OR(S1420="",D1420&lt;&gt;"Vastgesteld"),"",_xlfn.MAXIFS($G$6:$G$5005,$S$6:$S$5005,S1420,$D$6:$D$5005,"Vastgesteld"))</f>
        <v/>
      </c>
      <c r="U1420" s="15">
        <f>IF(T1420="",0,IF(AND(G1420=T1420,COUNTIFS($S$6:S1420,S1420,$G$6:G1420,G1420,$D$6:D1420,"Vastgesteld")=1),1,0))</f>
        <v>0</v>
      </c>
      <c r="V1420" s="15">
        <f>IF(T1420="",0,IF(AND(G1420=T1420,COUNTIFS($S$6:S1420,S1420,$G$6:G1420,G1420,$D$6:D1420,"Vastgesteld")&gt;1),1,0))</f>
        <v>0</v>
      </c>
    </row>
    <row r="1421">
      <c r="S1421" s="15" t="str">
        <f>IF(J1421="","",J1421&amp;"|"&amp;E1421&amp;"|"&amp;F1421&amp;"|"&amp;I1421&amp;"|"&amp;O1421)</f>
        <v/>
      </c>
      <c r="T1421" s="15" t="str">
        <f>IF(OR(S1421="",D1421&lt;&gt;"Vastgesteld"),"",_xlfn.MAXIFS($G$6:$G$5005,$S$6:$S$5005,S1421,$D$6:$D$5005,"Vastgesteld"))</f>
        <v/>
      </c>
      <c r="U1421" s="15">
        <f>IF(T1421="",0,IF(AND(G1421=T1421,COUNTIFS($S$6:S1421,S1421,$G$6:G1421,G1421,$D$6:D1421,"Vastgesteld")=1),1,0))</f>
        <v>0</v>
      </c>
      <c r="V1421" s="15">
        <f>IF(T1421="",0,IF(AND(G1421=T1421,COUNTIFS($S$6:S1421,S1421,$G$6:G1421,G1421,$D$6:D1421,"Vastgesteld")&gt;1),1,0))</f>
        <v>0</v>
      </c>
    </row>
    <row r="1422">
      <c r="S1422" s="15" t="str">
        <f>IF(J1422="","",J1422&amp;"|"&amp;E1422&amp;"|"&amp;F1422&amp;"|"&amp;I1422&amp;"|"&amp;O1422)</f>
        <v/>
      </c>
      <c r="T1422" s="15" t="str">
        <f>IF(OR(S1422="",D1422&lt;&gt;"Vastgesteld"),"",_xlfn.MAXIFS($G$6:$G$5005,$S$6:$S$5005,S1422,$D$6:$D$5005,"Vastgesteld"))</f>
        <v/>
      </c>
      <c r="U1422" s="15">
        <f>IF(T1422="",0,IF(AND(G1422=T1422,COUNTIFS($S$6:S1422,S1422,$G$6:G1422,G1422,$D$6:D1422,"Vastgesteld")=1),1,0))</f>
        <v>0</v>
      </c>
      <c r="V1422" s="15">
        <f>IF(T1422="",0,IF(AND(G1422=T1422,COUNTIFS($S$6:S1422,S1422,$G$6:G1422,G1422,$D$6:D1422,"Vastgesteld")&gt;1),1,0))</f>
        <v>0</v>
      </c>
    </row>
    <row r="1423">
      <c r="S1423" s="15" t="str">
        <f>IF(J1423="","",J1423&amp;"|"&amp;E1423&amp;"|"&amp;F1423&amp;"|"&amp;I1423&amp;"|"&amp;O1423)</f>
        <v/>
      </c>
      <c r="T1423" s="15" t="str">
        <f>IF(OR(S1423="",D1423&lt;&gt;"Vastgesteld"),"",_xlfn.MAXIFS($G$6:$G$5005,$S$6:$S$5005,S1423,$D$6:$D$5005,"Vastgesteld"))</f>
        <v/>
      </c>
      <c r="U1423" s="15">
        <f>IF(T1423="",0,IF(AND(G1423=T1423,COUNTIFS($S$6:S1423,S1423,$G$6:G1423,G1423,$D$6:D1423,"Vastgesteld")=1),1,0))</f>
        <v>0</v>
      </c>
      <c r="V1423" s="15">
        <f>IF(T1423="",0,IF(AND(G1423=T1423,COUNTIFS($S$6:S1423,S1423,$G$6:G1423,G1423,$D$6:D1423,"Vastgesteld")&gt;1),1,0))</f>
        <v>0</v>
      </c>
    </row>
    <row r="1424">
      <c r="S1424" s="15" t="str">
        <f>IF(J1424="","",J1424&amp;"|"&amp;E1424&amp;"|"&amp;F1424&amp;"|"&amp;I1424&amp;"|"&amp;O1424)</f>
        <v/>
      </c>
      <c r="T1424" s="15" t="str">
        <f>IF(OR(S1424="",D1424&lt;&gt;"Vastgesteld"),"",_xlfn.MAXIFS($G$6:$G$5005,$S$6:$S$5005,S1424,$D$6:$D$5005,"Vastgesteld"))</f>
        <v/>
      </c>
      <c r="U1424" s="15">
        <f>IF(T1424="",0,IF(AND(G1424=T1424,COUNTIFS($S$6:S1424,S1424,$G$6:G1424,G1424,$D$6:D1424,"Vastgesteld")=1),1,0))</f>
        <v>0</v>
      </c>
      <c r="V1424" s="15">
        <f>IF(T1424="",0,IF(AND(G1424=T1424,COUNTIFS($S$6:S1424,S1424,$G$6:G1424,G1424,$D$6:D1424,"Vastgesteld")&gt;1),1,0))</f>
        <v>0</v>
      </c>
    </row>
    <row r="1425">
      <c r="S1425" s="15" t="str">
        <f>IF(J1425="","",J1425&amp;"|"&amp;E1425&amp;"|"&amp;F1425&amp;"|"&amp;I1425&amp;"|"&amp;O1425)</f>
        <v/>
      </c>
      <c r="T1425" s="15" t="str">
        <f>IF(OR(S1425="",D1425&lt;&gt;"Vastgesteld"),"",_xlfn.MAXIFS($G$6:$G$5005,$S$6:$S$5005,S1425,$D$6:$D$5005,"Vastgesteld"))</f>
        <v/>
      </c>
      <c r="U1425" s="15">
        <f>IF(T1425="",0,IF(AND(G1425=T1425,COUNTIFS($S$6:S1425,S1425,$G$6:G1425,G1425,$D$6:D1425,"Vastgesteld")=1),1,0))</f>
        <v>0</v>
      </c>
      <c r="V1425" s="15">
        <f>IF(T1425="",0,IF(AND(G1425=T1425,COUNTIFS($S$6:S1425,S1425,$G$6:G1425,G1425,$D$6:D1425,"Vastgesteld")&gt;1),1,0))</f>
        <v>0</v>
      </c>
    </row>
    <row r="1426">
      <c r="S1426" s="15" t="str">
        <f>IF(J1426="","",J1426&amp;"|"&amp;E1426&amp;"|"&amp;F1426&amp;"|"&amp;I1426&amp;"|"&amp;O1426)</f>
        <v/>
      </c>
      <c r="T1426" s="15" t="str">
        <f>IF(OR(S1426="",D1426&lt;&gt;"Vastgesteld"),"",_xlfn.MAXIFS($G$6:$G$5005,$S$6:$S$5005,S1426,$D$6:$D$5005,"Vastgesteld"))</f>
        <v/>
      </c>
      <c r="U1426" s="15">
        <f>IF(T1426="",0,IF(AND(G1426=T1426,COUNTIFS($S$6:S1426,S1426,$G$6:G1426,G1426,$D$6:D1426,"Vastgesteld")=1),1,0))</f>
        <v>0</v>
      </c>
      <c r="V1426" s="15">
        <f>IF(T1426="",0,IF(AND(G1426=T1426,COUNTIFS($S$6:S1426,S1426,$G$6:G1426,G1426,$D$6:D1426,"Vastgesteld")&gt;1),1,0))</f>
        <v>0</v>
      </c>
    </row>
    <row r="1427">
      <c r="S1427" s="15" t="str">
        <f>IF(J1427="","",J1427&amp;"|"&amp;E1427&amp;"|"&amp;F1427&amp;"|"&amp;I1427&amp;"|"&amp;O1427)</f>
        <v/>
      </c>
      <c r="T1427" s="15" t="str">
        <f>IF(OR(S1427="",D1427&lt;&gt;"Vastgesteld"),"",_xlfn.MAXIFS($G$6:$G$5005,$S$6:$S$5005,S1427,$D$6:$D$5005,"Vastgesteld"))</f>
        <v/>
      </c>
      <c r="U1427" s="15">
        <f>IF(T1427="",0,IF(AND(G1427=T1427,COUNTIFS($S$6:S1427,S1427,$G$6:G1427,G1427,$D$6:D1427,"Vastgesteld")=1),1,0))</f>
        <v>0</v>
      </c>
      <c r="V1427" s="15">
        <f>IF(T1427="",0,IF(AND(G1427=T1427,COUNTIFS($S$6:S1427,S1427,$G$6:G1427,G1427,$D$6:D1427,"Vastgesteld")&gt;1),1,0))</f>
        <v>0</v>
      </c>
    </row>
    <row r="1428">
      <c r="S1428" s="15" t="str">
        <f>IF(J1428="","",J1428&amp;"|"&amp;E1428&amp;"|"&amp;F1428&amp;"|"&amp;I1428&amp;"|"&amp;O1428)</f>
        <v/>
      </c>
      <c r="T1428" s="15" t="str">
        <f>IF(OR(S1428="",D1428&lt;&gt;"Vastgesteld"),"",_xlfn.MAXIFS($G$6:$G$5005,$S$6:$S$5005,S1428,$D$6:$D$5005,"Vastgesteld"))</f>
        <v/>
      </c>
      <c r="U1428" s="15">
        <f>IF(T1428="",0,IF(AND(G1428=T1428,COUNTIFS($S$6:S1428,S1428,$G$6:G1428,G1428,$D$6:D1428,"Vastgesteld")=1),1,0))</f>
        <v>0</v>
      </c>
      <c r="V1428" s="15">
        <f>IF(T1428="",0,IF(AND(G1428=T1428,COUNTIFS($S$6:S1428,S1428,$G$6:G1428,G1428,$D$6:D1428,"Vastgesteld")&gt;1),1,0))</f>
        <v>0</v>
      </c>
    </row>
    <row r="1429">
      <c r="S1429" s="15" t="str">
        <f>IF(J1429="","",J1429&amp;"|"&amp;E1429&amp;"|"&amp;F1429&amp;"|"&amp;I1429&amp;"|"&amp;O1429)</f>
        <v/>
      </c>
      <c r="T1429" s="15" t="str">
        <f>IF(OR(S1429="",D1429&lt;&gt;"Vastgesteld"),"",_xlfn.MAXIFS($G$6:$G$5005,$S$6:$S$5005,S1429,$D$6:$D$5005,"Vastgesteld"))</f>
        <v/>
      </c>
      <c r="U1429" s="15">
        <f>IF(T1429="",0,IF(AND(G1429=T1429,COUNTIFS($S$6:S1429,S1429,$G$6:G1429,G1429,$D$6:D1429,"Vastgesteld")=1),1,0))</f>
        <v>0</v>
      </c>
      <c r="V1429" s="15">
        <f>IF(T1429="",0,IF(AND(G1429=T1429,COUNTIFS($S$6:S1429,S1429,$G$6:G1429,G1429,$D$6:D1429,"Vastgesteld")&gt;1),1,0))</f>
        <v>0</v>
      </c>
    </row>
    <row r="1430">
      <c r="S1430" s="15" t="str">
        <f>IF(J1430="","",J1430&amp;"|"&amp;E1430&amp;"|"&amp;F1430&amp;"|"&amp;I1430&amp;"|"&amp;O1430)</f>
        <v/>
      </c>
      <c r="T1430" s="15" t="str">
        <f>IF(OR(S1430="",D1430&lt;&gt;"Vastgesteld"),"",_xlfn.MAXIFS($G$6:$G$5005,$S$6:$S$5005,S1430,$D$6:$D$5005,"Vastgesteld"))</f>
        <v/>
      </c>
      <c r="U1430" s="15">
        <f>IF(T1430="",0,IF(AND(G1430=T1430,COUNTIFS($S$6:S1430,S1430,$G$6:G1430,G1430,$D$6:D1430,"Vastgesteld")=1),1,0))</f>
        <v>0</v>
      </c>
      <c r="V1430" s="15">
        <f>IF(T1430="",0,IF(AND(G1430=T1430,COUNTIFS($S$6:S1430,S1430,$G$6:G1430,G1430,$D$6:D1430,"Vastgesteld")&gt;1),1,0))</f>
        <v>0</v>
      </c>
    </row>
    <row r="1431">
      <c r="S1431" s="15" t="str">
        <f>IF(J1431="","",J1431&amp;"|"&amp;E1431&amp;"|"&amp;F1431&amp;"|"&amp;I1431&amp;"|"&amp;O1431)</f>
        <v/>
      </c>
      <c r="T1431" s="15" t="str">
        <f>IF(OR(S1431="",D1431&lt;&gt;"Vastgesteld"),"",_xlfn.MAXIFS($G$6:$G$5005,$S$6:$S$5005,S1431,$D$6:$D$5005,"Vastgesteld"))</f>
        <v/>
      </c>
      <c r="U1431" s="15">
        <f>IF(T1431="",0,IF(AND(G1431=T1431,COUNTIFS($S$6:S1431,S1431,$G$6:G1431,G1431,$D$6:D1431,"Vastgesteld")=1),1,0))</f>
        <v>0</v>
      </c>
      <c r="V1431" s="15">
        <f>IF(T1431="",0,IF(AND(G1431=T1431,COUNTIFS($S$6:S1431,S1431,$G$6:G1431,G1431,$D$6:D1431,"Vastgesteld")&gt;1),1,0))</f>
        <v>0</v>
      </c>
    </row>
    <row r="1432">
      <c r="S1432" s="15" t="str">
        <f>IF(J1432="","",J1432&amp;"|"&amp;E1432&amp;"|"&amp;F1432&amp;"|"&amp;I1432&amp;"|"&amp;O1432)</f>
        <v/>
      </c>
      <c r="T1432" s="15" t="str">
        <f>IF(OR(S1432="",D1432&lt;&gt;"Vastgesteld"),"",_xlfn.MAXIFS($G$6:$G$5005,$S$6:$S$5005,S1432,$D$6:$D$5005,"Vastgesteld"))</f>
        <v/>
      </c>
      <c r="U1432" s="15">
        <f>IF(T1432="",0,IF(AND(G1432=T1432,COUNTIFS($S$6:S1432,S1432,$G$6:G1432,G1432,$D$6:D1432,"Vastgesteld")=1),1,0))</f>
        <v>0</v>
      </c>
      <c r="V1432" s="15">
        <f>IF(T1432="",0,IF(AND(G1432=T1432,COUNTIFS($S$6:S1432,S1432,$G$6:G1432,G1432,$D$6:D1432,"Vastgesteld")&gt;1),1,0))</f>
        <v>0</v>
      </c>
    </row>
    <row r="1433">
      <c r="S1433" s="15" t="str">
        <f>IF(J1433="","",J1433&amp;"|"&amp;E1433&amp;"|"&amp;F1433&amp;"|"&amp;I1433&amp;"|"&amp;O1433)</f>
        <v/>
      </c>
      <c r="T1433" s="15" t="str">
        <f>IF(OR(S1433="",D1433&lt;&gt;"Vastgesteld"),"",_xlfn.MAXIFS($G$6:$G$5005,$S$6:$S$5005,S1433,$D$6:$D$5005,"Vastgesteld"))</f>
        <v/>
      </c>
      <c r="U1433" s="15">
        <f>IF(T1433="",0,IF(AND(G1433=T1433,COUNTIFS($S$6:S1433,S1433,$G$6:G1433,G1433,$D$6:D1433,"Vastgesteld")=1),1,0))</f>
        <v>0</v>
      </c>
      <c r="V1433" s="15">
        <f>IF(T1433="",0,IF(AND(G1433=T1433,COUNTIFS($S$6:S1433,S1433,$G$6:G1433,G1433,$D$6:D1433,"Vastgesteld")&gt;1),1,0))</f>
        <v>0</v>
      </c>
    </row>
    <row r="1434">
      <c r="S1434" s="15" t="str">
        <f>IF(J1434="","",J1434&amp;"|"&amp;E1434&amp;"|"&amp;F1434&amp;"|"&amp;I1434&amp;"|"&amp;O1434)</f>
        <v/>
      </c>
      <c r="T1434" s="15" t="str">
        <f>IF(OR(S1434="",D1434&lt;&gt;"Vastgesteld"),"",_xlfn.MAXIFS($G$6:$G$5005,$S$6:$S$5005,S1434,$D$6:$D$5005,"Vastgesteld"))</f>
        <v/>
      </c>
      <c r="U1434" s="15">
        <f>IF(T1434="",0,IF(AND(G1434=T1434,COUNTIFS($S$6:S1434,S1434,$G$6:G1434,G1434,$D$6:D1434,"Vastgesteld")=1),1,0))</f>
        <v>0</v>
      </c>
      <c r="V1434" s="15">
        <f>IF(T1434="",0,IF(AND(G1434=T1434,COUNTIFS($S$6:S1434,S1434,$G$6:G1434,G1434,$D$6:D1434,"Vastgesteld")&gt;1),1,0))</f>
        <v>0</v>
      </c>
    </row>
    <row r="1435">
      <c r="S1435" s="15" t="str">
        <f>IF(J1435="","",J1435&amp;"|"&amp;E1435&amp;"|"&amp;F1435&amp;"|"&amp;I1435&amp;"|"&amp;O1435)</f>
        <v/>
      </c>
      <c r="T1435" s="15" t="str">
        <f>IF(OR(S1435="",D1435&lt;&gt;"Vastgesteld"),"",_xlfn.MAXIFS($G$6:$G$5005,$S$6:$S$5005,S1435,$D$6:$D$5005,"Vastgesteld"))</f>
        <v/>
      </c>
      <c r="U1435" s="15">
        <f>IF(T1435="",0,IF(AND(G1435=T1435,COUNTIFS($S$6:S1435,S1435,$G$6:G1435,G1435,$D$6:D1435,"Vastgesteld")=1),1,0))</f>
        <v>0</v>
      </c>
      <c r="V1435" s="15">
        <f>IF(T1435="",0,IF(AND(G1435=T1435,COUNTIFS($S$6:S1435,S1435,$G$6:G1435,G1435,$D$6:D1435,"Vastgesteld")&gt;1),1,0))</f>
        <v>0</v>
      </c>
    </row>
    <row r="1436">
      <c r="S1436" s="15" t="str">
        <f>IF(J1436="","",J1436&amp;"|"&amp;E1436&amp;"|"&amp;F1436&amp;"|"&amp;I1436&amp;"|"&amp;O1436)</f>
        <v/>
      </c>
      <c r="T1436" s="15" t="str">
        <f>IF(OR(S1436="",D1436&lt;&gt;"Vastgesteld"),"",_xlfn.MAXIFS($G$6:$G$5005,$S$6:$S$5005,S1436,$D$6:$D$5005,"Vastgesteld"))</f>
        <v/>
      </c>
      <c r="U1436" s="15">
        <f>IF(T1436="",0,IF(AND(G1436=T1436,COUNTIFS($S$6:S1436,S1436,$G$6:G1436,G1436,$D$6:D1436,"Vastgesteld")=1),1,0))</f>
        <v>0</v>
      </c>
      <c r="V1436" s="15">
        <f>IF(T1436="",0,IF(AND(G1436=T1436,COUNTIFS($S$6:S1436,S1436,$G$6:G1436,G1436,$D$6:D1436,"Vastgesteld")&gt;1),1,0))</f>
        <v>0</v>
      </c>
    </row>
    <row r="1437">
      <c r="S1437" s="15" t="str">
        <f>IF(J1437="","",J1437&amp;"|"&amp;E1437&amp;"|"&amp;F1437&amp;"|"&amp;I1437&amp;"|"&amp;O1437)</f>
        <v/>
      </c>
      <c r="T1437" s="15" t="str">
        <f>IF(OR(S1437="",D1437&lt;&gt;"Vastgesteld"),"",_xlfn.MAXIFS($G$6:$G$5005,$S$6:$S$5005,S1437,$D$6:$D$5005,"Vastgesteld"))</f>
        <v/>
      </c>
      <c r="U1437" s="15">
        <f>IF(T1437="",0,IF(AND(G1437=T1437,COUNTIFS($S$6:S1437,S1437,$G$6:G1437,G1437,$D$6:D1437,"Vastgesteld")=1),1,0))</f>
        <v>0</v>
      </c>
      <c r="V1437" s="15">
        <f>IF(T1437="",0,IF(AND(G1437=T1437,COUNTIFS($S$6:S1437,S1437,$G$6:G1437,G1437,$D$6:D1437,"Vastgesteld")&gt;1),1,0))</f>
        <v>0</v>
      </c>
    </row>
    <row r="1438">
      <c r="S1438" s="15" t="str">
        <f>IF(J1438="","",J1438&amp;"|"&amp;E1438&amp;"|"&amp;F1438&amp;"|"&amp;I1438&amp;"|"&amp;O1438)</f>
        <v/>
      </c>
      <c r="T1438" s="15" t="str">
        <f>IF(OR(S1438="",D1438&lt;&gt;"Vastgesteld"),"",_xlfn.MAXIFS($G$6:$G$5005,$S$6:$S$5005,S1438,$D$6:$D$5005,"Vastgesteld"))</f>
        <v/>
      </c>
      <c r="U1438" s="15">
        <f>IF(T1438="",0,IF(AND(G1438=T1438,COUNTIFS($S$6:S1438,S1438,$G$6:G1438,G1438,$D$6:D1438,"Vastgesteld")=1),1,0))</f>
        <v>0</v>
      </c>
      <c r="V1438" s="15">
        <f>IF(T1438="",0,IF(AND(G1438=T1438,COUNTIFS($S$6:S1438,S1438,$G$6:G1438,G1438,$D$6:D1438,"Vastgesteld")&gt;1),1,0))</f>
        <v>0</v>
      </c>
    </row>
    <row r="1439">
      <c r="S1439" s="15" t="str">
        <f>IF(J1439="","",J1439&amp;"|"&amp;E1439&amp;"|"&amp;F1439&amp;"|"&amp;I1439&amp;"|"&amp;O1439)</f>
        <v/>
      </c>
      <c r="T1439" s="15" t="str">
        <f>IF(OR(S1439="",D1439&lt;&gt;"Vastgesteld"),"",_xlfn.MAXIFS($G$6:$G$5005,$S$6:$S$5005,S1439,$D$6:$D$5005,"Vastgesteld"))</f>
        <v/>
      </c>
      <c r="U1439" s="15">
        <f>IF(T1439="",0,IF(AND(G1439=T1439,COUNTIFS($S$6:S1439,S1439,$G$6:G1439,G1439,$D$6:D1439,"Vastgesteld")=1),1,0))</f>
        <v>0</v>
      </c>
      <c r="V1439" s="15">
        <f>IF(T1439="",0,IF(AND(G1439=T1439,COUNTIFS($S$6:S1439,S1439,$G$6:G1439,G1439,$D$6:D1439,"Vastgesteld")&gt;1),1,0))</f>
        <v>0</v>
      </c>
    </row>
    <row r="1440">
      <c r="S1440" s="15" t="str">
        <f>IF(J1440="","",J1440&amp;"|"&amp;E1440&amp;"|"&amp;F1440&amp;"|"&amp;I1440&amp;"|"&amp;O1440)</f>
        <v/>
      </c>
      <c r="T1440" s="15" t="str">
        <f>IF(OR(S1440="",D1440&lt;&gt;"Vastgesteld"),"",_xlfn.MAXIFS($G$6:$G$5005,$S$6:$S$5005,S1440,$D$6:$D$5005,"Vastgesteld"))</f>
        <v/>
      </c>
      <c r="U1440" s="15">
        <f>IF(T1440="",0,IF(AND(G1440=T1440,COUNTIFS($S$6:S1440,S1440,$G$6:G1440,G1440,$D$6:D1440,"Vastgesteld")=1),1,0))</f>
        <v>0</v>
      </c>
      <c r="V1440" s="15">
        <f>IF(T1440="",0,IF(AND(G1440=T1440,COUNTIFS($S$6:S1440,S1440,$G$6:G1440,G1440,$D$6:D1440,"Vastgesteld")&gt;1),1,0))</f>
        <v>0</v>
      </c>
    </row>
    <row r="1441">
      <c r="S1441" s="15" t="str">
        <f>IF(J1441="","",J1441&amp;"|"&amp;E1441&amp;"|"&amp;F1441&amp;"|"&amp;I1441&amp;"|"&amp;O1441)</f>
        <v/>
      </c>
      <c r="T1441" s="15" t="str">
        <f>IF(OR(S1441="",D1441&lt;&gt;"Vastgesteld"),"",_xlfn.MAXIFS($G$6:$G$5005,$S$6:$S$5005,S1441,$D$6:$D$5005,"Vastgesteld"))</f>
        <v/>
      </c>
      <c r="U1441" s="15">
        <f>IF(T1441="",0,IF(AND(G1441=T1441,COUNTIFS($S$6:S1441,S1441,$G$6:G1441,G1441,$D$6:D1441,"Vastgesteld")=1),1,0))</f>
        <v>0</v>
      </c>
      <c r="V1441" s="15">
        <f>IF(T1441="",0,IF(AND(G1441=T1441,COUNTIFS($S$6:S1441,S1441,$G$6:G1441,G1441,$D$6:D1441,"Vastgesteld")&gt;1),1,0))</f>
        <v>0</v>
      </c>
    </row>
    <row r="1442">
      <c r="S1442" s="15" t="str">
        <f>IF(J1442="","",J1442&amp;"|"&amp;E1442&amp;"|"&amp;F1442&amp;"|"&amp;I1442&amp;"|"&amp;O1442)</f>
        <v/>
      </c>
      <c r="T1442" s="15" t="str">
        <f>IF(OR(S1442="",D1442&lt;&gt;"Vastgesteld"),"",_xlfn.MAXIFS($G$6:$G$5005,$S$6:$S$5005,S1442,$D$6:$D$5005,"Vastgesteld"))</f>
        <v/>
      </c>
      <c r="U1442" s="15">
        <f>IF(T1442="",0,IF(AND(G1442=T1442,COUNTIFS($S$6:S1442,S1442,$G$6:G1442,G1442,$D$6:D1442,"Vastgesteld")=1),1,0))</f>
        <v>0</v>
      </c>
      <c r="V1442" s="15">
        <f>IF(T1442="",0,IF(AND(G1442=T1442,COUNTIFS($S$6:S1442,S1442,$G$6:G1442,G1442,$D$6:D1442,"Vastgesteld")&gt;1),1,0))</f>
        <v>0</v>
      </c>
    </row>
    <row r="1443">
      <c r="S1443" s="15" t="str">
        <f>IF(J1443="","",J1443&amp;"|"&amp;E1443&amp;"|"&amp;F1443&amp;"|"&amp;I1443&amp;"|"&amp;O1443)</f>
        <v/>
      </c>
      <c r="T1443" s="15" t="str">
        <f>IF(OR(S1443="",D1443&lt;&gt;"Vastgesteld"),"",_xlfn.MAXIFS($G$6:$G$5005,$S$6:$S$5005,S1443,$D$6:$D$5005,"Vastgesteld"))</f>
        <v/>
      </c>
      <c r="U1443" s="15">
        <f>IF(T1443="",0,IF(AND(G1443=T1443,COUNTIFS($S$6:S1443,S1443,$G$6:G1443,G1443,$D$6:D1443,"Vastgesteld")=1),1,0))</f>
        <v>0</v>
      </c>
      <c r="V1443" s="15">
        <f>IF(T1443="",0,IF(AND(G1443=T1443,COUNTIFS($S$6:S1443,S1443,$G$6:G1443,G1443,$D$6:D1443,"Vastgesteld")&gt;1),1,0))</f>
        <v>0</v>
      </c>
    </row>
    <row r="1444">
      <c r="S1444" s="15" t="str">
        <f>IF(J1444="","",J1444&amp;"|"&amp;E1444&amp;"|"&amp;F1444&amp;"|"&amp;I1444&amp;"|"&amp;O1444)</f>
        <v/>
      </c>
      <c r="T1444" s="15" t="str">
        <f>IF(OR(S1444="",D1444&lt;&gt;"Vastgesteld"),"",_xlfn.MAXIFS($G$6:$G$5005,$S$6:$S$5005,S1444,$D$6:$D$5005,"Vastgesteld"))</f>
        <v/>
      </c>
      <c r="U1444" s="15">
        <f>IF(T1444="",0,IF(AND(G1444=T1444,COUNTIFS($S$6:S1444,S1444,$G$6:G1444,G1444,$D$6:D1444,"Vastgesteld")=1),1,0))</f>
        <v>0</v>
      </c>
      <c r="V1444" s="15">
        <f>IF(T1444="",0,IF(AND(G1444=T1444,COUNTIFS($S$6:S1444,S1444,$G$6:G1444,G1444,$D$6:D1444,"Vastgesteld")&gt;1),1,0))</f>
        <v>0</v>
      </c>
    </row>
    <row r="1445">
      <c r="S1445" s="15" t="str">
        <f>IF(J1445="","",J1445&amp;"|"&amp;E1445&amp;"|"&amp;F1445&amp;"|"&amp;I1445&amp;"|"&amp;O1445)</f>
        <v/>
      </c>
      <c r="T1445" s="15" t="str">
        <f>IF(OR(S1445="",D1445&lt;&gt;"Vastgesteld"),"",_xlfn.MAXIFS($G$6:$G$5005,$S$6:$S$5005,S1445,$D$6:$D$5005,"Vastgesteld"))</f>
        <v/>
      </c>
      <c r="U1445" s="15">
        <f>IF(T1445="",0,IF(AND(G1445=T1445,COUNTIFS($S$6:S1445,S1445,$G$6:G1445,G1445,$D$6:D1445,"Vastgesteld")=1),1,0))</f>
        <v>0</v>
      </c>
      <c r="V1445" s="15">
        <f>IF(T1445="",0,IF(AND(G1445=T1445,COUNTIFS($S$6:S1445,S1445,$G$6:G1445,G1445,$D$6:D1445,"Vastgesteld")&gt;1),1,0))</f>
        <v>0</v>
      </c>
    </row>
    <row r="1446">
      <c r="S1446" s="15" t="str">
        <f>IF(J1446="","",J1446&amp;"|"&amp;E1446&amp;"|"&amp;F1446&amp;"|"&amp;I1446&amp;"|"&amp;O1446)</f>
        <v/>
      </c>
      <c r="T1446" s="15" t="str">
        <f>IF(OR(S1446="",D1446&lt;&gt;"Vastgesteld"),"",_xlfn.MAXIFS($G$6:$G$5005,$S$6:$S$5005,S1446,$D$6:$D$5005,"Vastgesteld"))</f>
        <v/>
      </c>
      <c r="U1446" s="15">
        <f>IF(T1446="",0,IF(AND(G1446=T1446,COUNTIFS($S$6:S1446,S1446,$G$6:G1446,G1446,$D$6:D1446,"Vastgesteld")=1),1,0))</f>
        <v>0</v>
      </c>
      <c r="V1446" s="15">
        <f>IF(T1446="",0,IF(AND(G1446=T1446,COUNTIFS($S$6:S1446,S1446,$G$6:G1446,G1446,$D$6:D1446,"Vastgesteld")&gt;1),1,0))</f>
        <v>0</v>
      </c>
    </row>
    <row r="1447">
      <c r="S1447" s="15" t="str">
        <f>IF(J1447="","",J1447&amp;"|"&amp;E1447&amp;"|"&amp;F1447&amp;"|"&amp;I1447&amp;"|"&amp;O1447)</f>
        <v/>
      </c>
      <c r="T1447" s="15" t="str">
        <f>IF(OR(S1447="",D1447&lt;&gt;"Vastgesteld"),"",_xlfn.MAXIFS($G$6:$G$5005,$S$6:$S$5005,S1447,$D$6:$D$5005,"Vastgesteld"))</f>
        <v/>
      </c>
      <c r="U1447" s="15">
        <f>IF(T1447="",0,IF(AND(G1447=T1447,COUNTIFS($S$6:S1447,S1447,$G$6:G1447,G1447,$D$6:D1447,"Vastgesteld")=1),1,0))</f>
        <v>0</v>
      </c>
      <c r="V1447" s="15">
        <f>IF(T1447="",0,IF(AND(G1447=T1447,COUNTIFS($S$6:S1447,S1447,$G$6:G1447,G1447,$D$6:D1447,"Vastgesteld")&gt;1),1,0))</f>
        <v>0</v>
      </c>
    </row>
    <row r="1448">
      <c r="S1448" s="15" t="str">
        <f>IF(J1448="","",J1448&amp;"|"&amp;E1448&amp;"|"&amp;F1448&amp;"|"&amp;I1448&amp;"|"&amp;O1448)</f>
        <v/>
      </c>
      <c r="T1448" s="15" t="str">
        <f>IF(OR(S1448="",D1448&lt;&gt;"Vastgesteld"),"",_xlfn.MAXIFS($G$6:$G$5005,$S$6:$S$5005,S1448,$D$6:$D$5005,"Vastgesteld"))</f>
        <v/>
      </c>
      <c r="U1448" s="15">
        <f>IF(T1448="",0,IF(AND(G1448=T1448,COUNTIFS($S$6:S1448,S1448,$G$6:G1448,G1448,$D$6:D1448,"Vastgesteld")=1),1,0))</f>
        <v>0</v>
      </c>
      <c r="V1448" s="15">
        <f>IF(T1448="",0,IF(AND(G1448=T1448,COUNTIFS($S$6:S1448,S1448,$G$6:G1448,G1448,$D$6:D1448,"Vastgesteld")&gt;1),1,0))</f>
        <v>0</v>
      </c>
    </row>
    <row r="1449">
      <c r="S1449" s="15" t="str">
        <f>IF(J1449="","",J1449&amp;"|"&amp;E1449&amp;"|"&amp;F1449&amp;"|"&amp;I1449&amp;"|"&amp;O1449)</f>
        <v/>
      </c>
      <c r="T1449" s="15" t="str">
        <f>IF(OR(S1449="",D1449&lt;&gt;"Vastgesteld"),"",_xlfn.MAXIFS($G$6:$G$5005,$S$6:$S$5005,S1449,$D$6:$D$5005,"Vastgesteld"))</f>
        <v/>
      </c>
      <c r="U1449" s="15">
        <f>IF(T1449="",0,IF(AND(G1449=T1449,COUNTIFS($S$6:S1449,S1449,$G$6:G1449,G1449,$D$6:D1449,"Vastgesteld")=1),1,0))</f>
        <v>0</v>
      </c>
      <c r="V1449" s="15">
        <f>IF(T1449="",0,IF(AND(G1449=T1449,COUNTIFS($S$6:S1449,S1449,$G$6:G1449,G1449,$D$6:D1449,"Vastgesteld")&gt;1),1,0))</f>
        <v>0</v>
      </c>
    </row>
    <row r="1450">
      <c r="S1450" s="15" t="str">
        <f>IF(J1450="","",J1450&amp;"|"&amp;E1450&amp;"|"&amp;F1450&amp;"|"&amp;I1450&amp;"|"&amp;O1450)</f>
        <v/>
      </c>
      <c r="T1450" s="15" t="str">
        <f>IF(OR(S1450="",D1450&lt;&gt;"Vastgesteld"),"",_xlfn.MAXIFS($G$6:$G$5005,$S$6:$S$5005,S1450,$D$6:$D$5005,"Vastgesteld"))</f>
        <v/>
      </c>
      <c r="U1450" s="15">
        <f>IF(T1450="",0,IF(AND(G1450=T1450,COUNTIFS($S$6:S1450,S1450,$G$6:G1450,G1450,$D$6:D1450,"Vastgesteld")=1),1,0))</f>
        <v>0</v>
      </c>
      <c r="V1450" s="15">
        <f>IF(T1450="",0,IF(AND(G1450=T1450,COUNTIFS($S$6:S1450,S1450,$G$6:G1450,G1450,$D$6:D1450,"Vastgesteld")&gt;1),1,0))</f>
        <v>0</v>
      </c>
    </row>
    <row r="1451">
      <c r="S1451" s="15" t="str">
        <f>IF(J1451="","",J1451&amp;"|"&amp;E1451&amp;"|"&amp;F1451&amp;"|"&amp;I1451&amp;"|"&amp;O1451)</f>
        <v/>
      </c>
      <c r="T1451" s="15" t="str">
        <f>IF(OR(S1451="",D1451&lt;&gt;"Vastgesteld"),"",_xlfn.MAXIFS($G$6:$G$5005,$S$6:$S$5005,S1451,$D$6:$D$5005,"Vastgesteld"))</f>
        <v/>
      </c>
      <c r="U1451" s="15">
        <f>IF(T1451="",0,IF(AND(G1451=T1451,COUNTIFS($S$6:S1451,S1451,$G$6:G1451,G1451,$D$6:D1451,"Vastgesteld")=1),1,0))</f>
        <v>0</v>
      </c>
      <c r="V1451" s="15">
        <f>IF(T1451="",0,IF(AND(G1451=T1451,COUNTIFS($S$6:S1451,S1451,$G$6:G1451,G1451,$D$6:D1451,"Vastgesteld")&gt;1),1,0))</f>
        <v>0</v>
      </c>
    </row>
    <row r="1452">
      <c r="S1452" s="15" t="str">
        <f>IF(J1452="","",J1452&amp;"|"&amp;E1452&amp;"|"&amp;F1452&amp;"|"&amp;I1452&amp;"|"&amp;O1452)</f>
        <v/>
      </c>
      <c r="T1452" s="15" t="str">
        <f>IF(OR(S1452="",D1452&lt;&gt;"Vastgesteld"),"",_xlfn.MAXIFS($G$6:$G$5005,$S$6:$S$5005,S1452,$D$6:$D$5005,"Vastgesteld"))</f>
        <v/>
      </c>
      <c r="U1452" s="15">
        <f>IF(T1452="",0,IF(AND(G1452=T1452,COUNTIFS($S$6:S1452,S1452,$G$6:G1452,G1452,$D$6:D1452,"Vastgesteld")=1),1,0))</f>
        <v>0</v>
      </c>
      <c r="V1452" s="15">
        <f>IF(T1452="",0,IF(AND(G1452=T1452,COUNTIFS($S$6:S1452,S1452,$G$6:G1452,G1452,$D$6:D1452,"Vastgesteld")&gt;1),1,0))</f>
        <v>0</v>
      </c>
    </row>
    <row r="1453">
      <c r="S1453" s="15" t="str">
        <f>IF(J1453="","",J1453&amp;"|"&amp;E1453&amp;"|"&amp;F1453&amp;"|"&amp;I1453&amp;"|"&amp;O1453)</f>
        <v/>
      </c>
      <c r="T1453" s="15" t="str">
        <f>IF(OR(S1453="",D1453&lt;&gt;"Vastgesteld"),"",_xlfn.MAXIFS($G$6:$G$5005,$S$6:$S$5005,S1453,$D$6:$D$5005,"Vastgesteld"))</f>
        <v/>
      </c>
      <c r="U1453" s="15">
        <f>IF(T1453="",0,IF(AND(G1453=T1453,COUNTIFS($S$6:S1453,S1453,$G$6:G1453,G1453,$D$6:D1453,"Vastgesteld")=1),1,0))</f>
        <v>0</v>
      </c>
      <c r="V1453" s="15">
        <f>IF(T1453="",0,IF(AND(G1453=T1453,COUNTIFS($S$6:S1453,S1453,$G$6:G1453,G1453,$D$6:D1453,"Vastgesteld")&gt;1),1,0))</f>
        <v>0</v>
      </c>
    </row>
    <row r="1454">
      <c r="S1454" s="15" t="str">
        <f>IF(J1454="","",J1454&amp;"|"&amp;E1454&amp;"|"&amp;F1454&amp;"|"&amp;I1454&amp;"|"&amp;O1454)</f>
        <v/>
      </c>
      <c r="T1454" s="15" t="str">
        <f>IF(OR(S1454="",D1454&lt;&gt;"Vastgesteld"),"",_xlfn.MAXIFS($G$6:$G$5005,$S$6:$S$5005,S1454,$D$6:$D$5005,"Vastgesteld"))</f>
        <v/>
      </c>
      <c r="U1454" s="15">
        <f>IF(T1454="",0,IF(AND(G1454=T1454,COUNTIFS($S$6:S1454,S1454,$G$6:G1454,G1454,$D$6:D1454,"Vastgesteld")=1),1,0))</f>
        <v>0</v>
      </c>
      <c r="V1454" s="15">
        <f>IF(T1454="",0,IF(AND(G1454=T1454,COUNTIFS($S$6:S1454,S1454,$G$6:G1454,G1454,$D$6:D1454,"Vastgesteld")&gt;1),1,0))</f>
        <v>0</v>
      </c>
    </row>
    <row r="1455">
      <c r="S1455" s="15" t="str">
        <f>IF(J1455="","",J1455&amp;"|"&amp;E1455&amp;"|"&amp;F1455&amp;"|"&amp;I1455&amp;"|"&amp;O1455)</f>
        <v/>
      </c>
      <c r="T1455" s="15" t="str">
        <f>IF(OR(S1455="",D1455&lt;&gt;"Vastgesteld"),"",_xlfn.MAXIFS($G$6:$G$5005,$S$6:$S$5005,S1455,$D$6:$D$5005,"Vastgesteld"))</f>
        <v/>
      </c>
      <c r="U1455" s="15">
        <f>IF(T1455="",0,IF(AND(G1455=T1455,COUNTIFS($S$6:S1455,S1455,$G$6:G1455,G1455,$D$6:D1455,"Vastgesteld")=1),1,0))</f>
        <v>0</v>
      </c>
      <c r="V1455" s="15">
        <f>IF(T1455="",0,IF(AND(G1455=T1455,COUNTIFS($S$6:S1455,S1455,$G$6:G1455,G1455,$D$6:D1455,"Vastgesteld")&gt;1),1,0))</f>
        <v>0</v>
      </c>
    </row>
    <row r="1456">
      <c r="S1456" s="15" t="str">
        <f>IF(J1456="","",J1456&amp;"|"&amp;E1456&amp;"|"&amp;F1456&amp;"|"&amp;I1456&amp;"|"&amp;O1456)</f>
        <v/>
      </c>
      <c r="T1456" s="15" t="str">
        <f>IF(OR(S1456="",D1456&lt;&gt;"Vastgesteld"),"",_xlfn.MAXIFS($G$6:$G$5005,$S$6:$S$5005,S1456,$D$6:$D$5005,"Vastgesteld"))</f>
        <v/>
      </c>
      <c r="U1456" s="15">
        <f>IF(T1456="",0,IF(AND(G1456=T1456,COUNTIFS($S$6:S1456,S1456,$G$6:G1456,G1456,$D$6:D1456,"Vastgesteld")=1),1,0))</f>
        <v>0</v>
      </c>
      <c r="V1456" s="15">
        <f>IF(T1456="",0,IF(AND(G1456=T1456,COUNTIFS($S$6:S1456,S1456,$G$6:G1456,G1456,$D$6:D1456,"Vastgesteld")&gt;1),1,0))</f>
        <v>0</v>
      </c>
    </row>
    <row r="1457">
      <c r="S1457" s="15" t="str">
        <f>IF(J1457="","",J1457&amp;"|"&amp;E1457&amp;"|"&amp;F1457&amp;"|"&amp;I1457&amp;"|"&amp;O1457)</f>
        <v/>
      </c>
      <c r="T1457" s="15" t="str">
        <f>IF(OR(S1457="",D1457&lt;&gt;"Vastgesteld"),"",_xlfn.MAXIFS($G$6:$G$5005,$S$6:$S$5005,S1457,$D$6:$D$5005,"Vastgesteld"))</f>
        <v/>
      </c>
      <c r="U1457" s="15">
        <f>IF(T1457="",0,IF(AND(G1457=T1457,COUNTIFS($S$6:S1457,S1457,$G$6:G1457,G1457,$D$6:D1457,"Vastgesteld")=1),1,0))</f>
        <v>0</v>
      </c>
      <c r="V1457" s="15">
        <f>IF(T1457="",0,IF(AND(G1457=T1457,COUNTIFS($S$6:S1457,S1457,$G$6:G1457,G1457,$D$6:D1457,"Vastgesteld")&gt;1),1,0))</f>
        <v>0</v>
      </c>
    </row>
    <row r="1458">
      <c r="S1458" s="15" t="str">
        <f>IF(J1458="","",J1458&amp;"|"&amp;E1458&amp;"|"&amp;F1458&amp;"|"&amp;I1458&amp;"|"&amp;O1458)</f>
        <v/>
      </c>
      <c r="T1458" s="15" t="str">
        <f>IF(OR(S1458="",D1458&lt;&gt;"Vastgesteld"),"",_xlfn.MAXIFS($G$6:$G$5005,$S$6:$S$5005,S1458,$D$6:$D$5005,"Vastgesteld"))</f>
        <v/>
      </c>
      <c r="U1458" s="15">
        <f>IF(T1458="",0,IF(AND(G1458=T1458,COUNTIFS($S$6:S1458,S1458,$G$6:G1458,G1458,$D$6:D1458,"Vastgesteld")=1),1,0))</f>
        <v>0</v>
      </c>
      <c r="V1458" s="15">
        <f>IF(T1458="",0,IF(AND(G1458=T1458,COUNTIFS($S$6:S1458,S1458,$G$6:G1458,G1458,$D$6:D1458,"Vastgesteld")&gt;1),1,0))</f>
        <v>0</v>
      </c>
    </row>
    <row r="1459">
      <c r="S1459" s="15" t="str">
        <f>IF(J1459="","",J1459&amp;"|"&amp;E1459&amp;"|"&amp;F1459&amp;"|"&amp;I1459&amp;"|"&amp;O1459)</f>
        <v/>
      </c>
      <c r="T1459" s="15" t="str">
        <f>IF(OR(S1459="",D1459&lt;&gt;"Vastgesteld"),"",_xlfn.MAXIFS($G$6:$G$5005,$S$6:$S$5005,S1459,$D$6:$D$5005,"Vastgesteld"))</f>
        <v/>
      </c>
      <c r="U1459" s="15">
        <f>IF(T1459="",0,IF(AND(G1459=T1459,COUNTIFS($S$6:S1459,S1459,$G$6:G1459,G1459,$D$6:D1459,"Vastgesteld")=1),1,0))</f>
        <v>0</v>
      </c>
      <c r="V1459" s="15">
        <f>IF(T1459="",0,IF(AND(G1459=T1459,COUNTIFS($S$6:S1459,S1459,$G$6:G1459,G1459,$D$6:D1459,"Vastgesteld")&gt;1),1,0))</f>
        <v>0</v>
      </c>
    </row>
    <row r="1460">
      <c r="S1460" s="15" t="str">
        <f>IF(J1460="","",J1460&amp;"|"&amp;E1460&amp;"|"&amp;F1460&amp;"|"&amp;I1460&amp;"|"&amp;O1460)</f>
        <v/>
      </c>
      <c r="T1460" s="15" t="str">
        <f>IF(OR(S1460="",D1460&lt;&gt;"Vastgesteld"),"",_xlfn.MAXIFS($G$6:$G$5005,$S$6:$S$5005,S1460,$D$6:$D$5005,"Vastgesteld"))</f>
        <v/>
      </c>
      <c r="U1460" s="15">
        <f>IF(T1460="",0,IF(AND(G1460=T1460,COUNTIFS($S$6:S1460,S1460,$G$6:G1460,G1460,$D$6:D1460,"Vastgesteld")=1),1,0))</f>
        <v>0</v>
      </c>
      <c r="V1460" s="15">
        <f>IF(T1460="",0,IF(AND(G1460=T1460,COUNTIFS($S$6:S1460,S1460,$G$6:G1460,G1460,$D$6:D1460,"Vastgesteld")&gt;1),1,0))</f>
        <v>0</v>
      </c>
    </row>
    <row r="1461">
      <c r="S1461" s="15" t="str">
        <f>IF(J1461="","",J1461&amp;"|"&amp;E1461&amp;"|"&amp;F1461&amp;"|"&amp;I1461&amp;"|"&amp;O1461)</f>
        <v/>
      </c>
      <c r="T1461" s="15" t="str">
        <f>IF(OR(S1461="",D1461&lt;&gt;"Vastgesteld"),"",_xlfn.MAXIFS($G$6:$G$5005,$S$6:$S$5005,S1461,$D$6:$D$5005,"Vastgesteld"))</f>
        <v/>
      </c>
      <c r="U1461" s="15">
        <f>IF(T1461="",0,IF(AND(G1461=T1461,COUNTIFS($S$6:S1461,S1461,$G$6:G1461,G1461,$D$6:D1461,"Vastgesteld")=1),1,0))</f>
        <v>0</v>
      </c>
      <c r="V1461" s="15">
        <f>IF(T1461="",0,IF(AND(G1461=T1461,COUNTIFS($S$6:S1461,S1461,$G$6:G1461,G1461,$D$6:D1461,"Vastgesteld")&gt;1),1,0))</f>
        <v>0</v>
      </c>
    </row>
    <row r="1462">
      <c r="S1462" s="15" t="str">
        <f>IF(J1462="","",J1462&amp;"|"&amp;E1462&amp;"|"&amp;F1462&amp;"|"&amp;I1462&amp;"|"&amp;O1462)</f>
        <v/>
      </c>
      <c r="T1462" s="15" t="str">
        <f>IF(OR(S1462="",D1462&lt;&gt;"Vastgesteld"),"",_xlfn.MAXIFS($G$6:$G$5005,$S$6:$S$5005,S1462,$D$6:$D$5005,"Vastgesteld"))</f>
        <v/>
      </c>
      <c r="U1462" s="15">
        <f>IF(T1462="",0,IF(AND(G1462=T1462,COUNTIFS($S$6:S1462,S1462,$G$6:G1462,G1462,$D$6:D1462,"Vastgesteld")=1),1,0))</f>
        <v>0</v>
      </c>
      <c r="V1462" s="15">
        <f>IF(T1462="",0,IF(AND(G1462=T1462,COUNTIFS($S$6:S1462,S1462,$G$6:G1462,G1462,$D$6:D1462,"Vastgesteld")&gt;1),1,0))</f>
        <v>0</v>
      </c>
    </row>
    <row r="1463">
      <c r="S1463" s="15" t="str">
        <f>IF(J1463="","",J1463&amp;"|"&amp;E1463&amp;"|"&amp;F1463&amp;"|"&amp;I1463&amp;"|"&amp;O1463)</f>
        <v/>
      </c>
      <c r="T1463" s="15" t="str">
        <f>IF(OR(S1463="",D1463&lt;&gt;"Vastgesteld"),"",_xlfn.MAXIFS($G$6:$G$5005,$S$6:$S$5005,S1463,$D$6:$D$5005,"Vastgesteld"))</f>
        <v/>
      </c>
      <c r="U1463" s="15">
        <f>IF(T1463="",0,IF(AND(G1463=T1463,COUNTIFS($S$6:S1463,S1463,$G$6:G1463,G1463,$D$6:D1463,"Vastgesteld")=1),1,0))</f>
        <v>0</v>
      </c>
      <c r="V1463" s="15">
        <f>IF(T1463="",0,IF(AND(G1463=T1463,COUNTIFS($S$6:S1463,S1463,$G$6:G1463,G1463,$D$6:D1463,"Vastgesteld")&gt;1),1,0))</f>
        <v>0</v>
      </c>
    </row>
    <row r="1464">
      <c r="S1464" s="15" t="str">
        <f>IF(J1464="","",J1464&amp;"|"&amp;E1464&amp;"|"&amp;F1464&amp;"|"&amp;I1464&amp;"|"&amp;O1464)</f>
        <v/>
      </c>
      <c r="T1464" s="15" t="str">
        <f>IF(OR(S1464="",D1464&lt;&gt;"Vastgesteld"),"",_xlfn.MAXIFS($G$6:$G$5005,$S$6:$S$5005,S1464,$D$6:$D$5005,"Vastgesteld"))</f>
        <v/>
      </c>
      <c r="U1464" s="15">
        <f>IF(T1464="",0,IF(AND(G1464=T1464,COUNTIFS($S$6:S1464,S1464,$G$6:G1464,G1464,$D$6:D1464,"Vastgesteld")=1),1,0))</f>
        <v>0</v>
      </c>
      <c r="V1464" s="15">
        <f>IF(T1464="",0,IF(AND(G1464=T1464,COUNTIFS($S$6:S1464,S1464,$G$6:G1464,G1464,$D$6:D1464,"Vastgesteld")&gt;1),1,0))</f>
        <v>0</v>
      </c>
    </row>
    <row r="1465">
      <c r="S1465" s="15" t="str">
        <f>IF(J1465="","",J1465&amp;"|"&amp;E1465&amp;"|"&amp;F1465&amp;"|"&amp;I1465&amp;"|"&amp;O1465)</f>
        <v/>
      </c>
      <c r="T1465" s="15" t="str">
        <f>IF(OR(S1465="",D1465&lt;&gt;"Vastgesteld"),"",_xlfn.MAXIFS($G$6:$G$5005,$S$6:$S$5005,S1465,$D$6:$D$5005,"Vastgesteld"))</f>
        <v/>
      </c>
      <c r="U1465" s="15">
        <f>IF(T1465="",0,IF(AND(G1465=T1465,COUNTIFS($S$6:S1465,S1465,$G$6:G1465,G1465,$D$6:D1465,"Vastgesteld")=1),1,0))</f>
        <v>0</v>
      </c>
      <c r="V1465" s="15">
        <f>IF(T1465="",0,IF(AND(G1465=T1465,COUNTIFS($S$6:S1465,S1465,$G$6:G1465,G1465,$D$6:D1465,"Vastgesteld")&gt;1),1,0))</f>
        <v>0</v>
      </c>
    </row>
    <row r="1466">
      <c r="S1466" s="15" t="str">
        <f>IF(J1466="","",J1466&amp;"|"&amp;E1466&amp;"|"&amp;F1466&amp;"|"&amp;I1466&amp;"|"&amp;O1466)</f>
        <v/>
      </c>
      <c r="T1466" s="15" t="str">
        <f>IF(OR(S1466="",D1466&lt;&gt;"Vastgesteld"),"",_xlfn.MAXIFS($G$6:$G$5005,$S$6:$S$5005,S1466,$D$6:$D$5005,"Vastgesteld"))</f>
        <v/>
      </c>
      <c r="U1466" s="15">
        <f>IF(T1466="",0,IF(AND(G1466=T1466,COUNTIFS($S$6:S1466,S1466,$G$6:G1466,G1466,$D$6:D1466,"Vastgesteld")=1),1,0))</f>
        <v>0</v>
      </c>
      <c r="V1466" s="15">
        <f>IF(T1466="",0,IF(AND(G1466=T1466,COUNTIFS($S$6:S1466,S1466,$G$6:G1466,G1466,$D$6:D1466,"Vastgesteld")&gt;1),1,0))</f>
        <v>0</v>
      </c>
    </row>
    <row r="1467">
      <c r="S1467" s="15" t="str">
        <f>IF(J1467="","",J1467&amp;"|"&amp;E1467&amp;"|"&amp;F1467&amp;"|"&amp;I1467&amp;"|"&amp;O1467)</f>
        <v/>
      </c>
      <c r="T1467" s="15" t="str">
        <f>IF(OR(S1467="",D1467&lt;&gt;"Vastgesteld"),"",_xlfn.MAXIFS($G$6:$G$5005,$S$6:$S$5005,S1467,$D$6:$D$5005,"Vastgesteld"))</f>
        <v/>
      </c>
      <c r="U1467" s="15">
        <f>IF(T1467="",0,IF(AND(G1467=T1467,COUNTIFS($S$6:S1467,S1467,$G$6:G1467,G1467,$D$6:D1467,"Vastgesteld")=1),1,0))</f>
        <v>0</v>
      </c>
      <c r="V1467" s="15">
        <f>IF(T1467="",0,IF(AND(G1467=T1467,COUNTIFS($S$6:S1467,S1467,$G$6:G1467,G1467,$D$6:D1467,"Vastgesteld")&gt;1),1,0))</f>
        <v>0</v>
      </c>
    </row>
    <row r="1468">
      <c r="S1468" s="15" t="str">
        <f>IF(J1468="","",J1468&amp;"|"&amp;E1468&amp;"|"&amp;F1468&amp;"|"&amp;I1468&amp;"|"&amp;O1468)</f>
        <v/>
      </c>
      <c r="T1468" s="15" t="str">
        <f>IF(OR(S1468="",D1468&lt;&gt;"Vastgesteld"),"",_xlfn.MAXIFS($G$6:$G$5005,$S$6:$S$5005,S1468,$D$6:$D$5005,"Vastgesteld"))</f>
        <v/>
      </c>
      <c r="U1468" s="15">
        <f>IF(T1468="",0,IF(AND(G1468=T1468,COUNTIFS($S$6:S1468,S1468,$G$6:G1468,G1468,$D$6:D1468,"Vastgesteld")=1),1,0))</f>
        <v>0</v>
      </c>
      <c r="V1468" s="15">
        <f>IF(T1468="",0,IF(AND(G1468=T1468,COUNTIFS($S$6:S1468,S1468,$G$6:G1468,G1468,$D$6:D1468,"Vastgesteld")&gt;1),1,0))</f>
        <v>0</v>
      </c>
    </row>
    <row r="1469">
      <c r="S1469" s="15" t="str">
        <f>IF(J1469="","",J1469&amp;"|"&amp;E1469&amp;"|"&amp;F1469&amp;"|"&amp;I1469&amp;"|"&amp;O1469)</f>
        <v/>
      </c>
      <c r="T1469" s="15" t="str">
        <f>IF(OR(S1469="",D1469&lt;&gt;"Vastgesteld"),"",_xlfn.MAXIFS($G$6:$G$5005,$S$6:$S$5005,S1469,$D$6:$D$5005,"Vastgesteld"))</f>
        <v/>
      </c>
      <c r="U1469" s="15">
        <f>IF(T1469="",0,IF(AND(G1469=T1469,COUNTIFS($S$6:S1469,S1469,$G$6:G1469,G1469,$D$6:D1469,"Vastgesteld")=1),1,0))</f>
        <v>0</v>
      </c>
      <c r="V1469" s="15">
        <f>IF(T1469="",0,IF(AND(G1469=T1469,COUNTIFS($S$6:S1469,S1469,$G$6:G1469,G1469,$D$6:D1469,"Vastgesteld")&gt;1),1,0))</f>
        <v>0</v>
      </c>
    </row>
    <row r="1470">
      <c r="S1470" s="15" t="str">
        <f>IF(J1470="","",J1470&amp;"|"&amp;E1470&amp;"|"&amp;F1470&amp;"|"&amp;I1470&amp;"|"&amp;O1470)</f>
        <v/>
      </c>
      <c r="T1470" s="15" t="str">
        <f>IF(OR(S1470="",D1470&lt;&gt;"Vastgesteld"),"",_xlfn.MAXIFS($G$6:$G$5005,$S$6:$S$5005,S1470,$D$6:$D$5005,"Vastgesteld"))</f>
        <v/>
      </c>
      <c r="U1470" s="15">
        <f>IF(T1470="",0,IF(AND(G1470=T1470,COUNTIFS($S$6:S1470,S1470,$G$6:G1470,G1470,$D$6:D1470,"Vastgesteld")=1),1,0))</f>
        <v>0</v>
      </c>
      <c r="V1470" s="15">
        <f>IF(T1470="",0,IF(AND(G1470=T1470,COUNTIFS($S$6:S1470,S1470,$G$6:G1470,G1470,$D$6:D1470,"Vastgesteld")&gt;1),1,0))</f>
        <v>0</v>
      </c>
    </row>
    <row r="1471">
      <c r="S1471" s="15" t="str">
        <f>IF(J1471="","",J1471&amp;"|"&amp;E1471&amp;"|"&amp;F1471&amp;"|"&amp;I1471&amp;"|"&amp;O1471)</f>
        <v/>
      </c>
      <c r="T1471" s="15" t="str">
        <f>IF(OR(S1471="",D1471&lt;&gt;"Vastgesteld"),"",_xlfn.MAXIFS($G$6:$G$5005,$S$6:$S$5005,S1471,$D$6:$D$5005,"Vastgesteld"))</f>
        <v/>
      </c>
      <c r="U1471" s="15">
        <f>IF(T1471="",0,IF(AND(G1471=T1471,COUNTIFS($S$6:S1471,S1471,$G$6:G1471,G1471,$D$6:D1471,"Vastgesteld")=1),1,0))</f>
        <v>0</v>
      </c>
      <c r="V1471" s="15">
        <f>IF(T1471="",0,IF(AND(G1471=T1471,COUNTIFS($S$6:S1471,S1471,$G$6:G1471,G1471,$D$6:D1471,"Vastgesteld")&gt;1),1,0))</f>
        <v>0</v>
      </c>
    </row>
    <row r="1472">
      <c r="S1472" s="15" t="str">
        <f>IF(J1472="","",J1472&amp;"|"&amp;E1472&amp;"|"&amp;F1472&amp;"|"&amp;I1472&amp;"|"&amp;O1472)</f>
        <v/>
      </c>
      <c r="T1472" s="15" t="str">
        <f>IF(OR(S1472="",D1472&lt;&gt;"Vastgesteld"),"",_xlfn.MAXIFS($G$6:$G$5005,$S$6:$S$5005,S1472,$D$6:$D$5005,"Vastgesteld"))</f>
        <v/>
      </c>
      <c r="U1472" s="15">
        <f>IF(T1472="",0,IF(AND(G1472=T1472,COUNTIFS($S$6:S1472,S1472,$G$6:G1472,G1472,$D$6:D1472,"Vastgesteld")=1),1,0))</f>
        <v>0</v>
      </c>
      <c r="V1472" s="15">
        <f>IF(T1472="",0,IF(AND(G1472=T1472,COUNTIFS($S$6:S1472,S1472,$G$6:G1472,G1472,$D$6:D1472,"Vastgesteld")&gt;1),1,0))</f>
        <v>0</v>
      </c>
    </row>
    <row r="1473">
      <c r="S1473" s="15" t="str">
        <f>IF(J1473="","",J1473&amp;"|"&amp;E1473&amp;"|"&amp;F1473&amp;"|"&amp;I1473&amp;"|"&amp;O1473)</f>
        <v/>
      </c>
      <c r="T1473" s="15" t="str">
        <f>IF(OR(S1473="",D1473&lt;&gt;"Vastgesteld"),"",_xlfn.MAXIFS($G$6:$G$5005,$S$6:$S$5005,S1473,$D$6:$D$5005,"Vastgesteld"))</f>
        <v/>
      </c>
      <c r="U1473" s="15">
        <f>IF(T1473="",0,IF(AND(G1473=T1473,COUNTIFS($S$6:S1473,S1473,$G$6:G1473,G1473,$D$6:D1473,"Vastgesteld")=1),1,0))</f>
        <v>0</v>
      </c>
      <c r="V1473" s="15">
        <f>IF(T1473="",0,IF(AND(G1473=T1473,COUNTIFS($S$6:S1473,S1473,$G$6:G1473,G1473,$D$6:D1473,"Vastgesteld")&gt;1),1,0))</f>
        <v>0</v>
      </c>
    </row>
    <row r="1474">
      <c r="S1474" s="15" t="str">
        <f>IF(J1474="","",J1474&amp;"|"&amp;E1474&amp;"|"&amp;F1474&amp;"|"&amp;I1474&amp;"|"&amp;O1474)</f>
        <v/>
      </c>
      <c r="T1474" s="15" t="str">
        <f>IF(OR(S1474="",D1474&lt;&gt;"Vastgesteld"),"",_xlfn.MAXIFS($G$6:$G$5005,$S$6:$S$5005,S1474,$D$6:$D$5005,"Vastgesteld"))</f>
        <v/>
      </c>
      <c r="U1474" s="15">
        <f>IF(T1474="",0,IF(AND(G1474=T1474,COUNTIFS($S$6:S1474,S1474,$G$6:G1474,G1474,$D$6:D1474,"Vastgesteld")=1),1,0))</f>
        <v>0</v>
      </c>
      <c r="V1474" s="15">
        <f>IF(T1474="",0,IF(AND(G1474=T1474,COUNTIFS($S$6:S1474,S1474,$G$6:G1474,G1474,$D$6:D1474,"Vastgesteld")&gt;1),1,0))</f>
        <v>0</v>
      </c>
    </row>
    <row r="1475">
      <c r="S1475" s="15" t="str">
        <f>IF(J1475="","",J1475&amp;"|"&amp;E1475&amp;"|"&amp;F1475&amp;"|"&amp;I1475&amp;"|"&amp;O1475)</f>
        <v/>
      </c>
      <c r="T1475" s="15" t="str">
        <f>IF(OR(S1475="",D1475&lt;&gt;"Vastgesteld"),"",_xlfn.MAXIFS($G$6:$G$5005,$S$6:$S$5005,S1475,$D$6:$D$5005,"Vastgesteld"))</f>
        <v/>
      </c>
      <c r="U1475" s="15">
        <f>IF(T1475="",0,IF(AND(G1475=T1475,COUNTIFS($S$6:S1475,S1475,$G$6:G1475,G1475,$D$6:D1475,"Vastgesteld")=1),1,0))</f>
        <v>0</v>
      </c>
      <c r="V1475" s="15">
        <f>IF(T1475="",0,IF(AND(G1475=T1475,COUNTIFS($S$6:S1475,S1475,$G$6:G1475,G1475,$D$6:D1475,"Vastgesteld")&gt;1),1,0))</f>
        <v>0</v>
      </c>
    </row>
    <row r="1476">
      <c r="S1476" s="15" t="str">
        <f>IF(J1476="","",J1476&amp;"|"&amp;E1476&amp;"|"&amp;F1476&amp;"|"&amp;I1476&amp;"|"&amp;O1476)</f>
        <v/>
      </c>
      <c r="T1476" s="15" t="str">
        <f>IF(OR(S1476="",D1476&lt;&gt;"Vastgesteld"),"",_xlfn.MAXIFS($G$6:$G$5005,$S$6:$S$5005,S1476,$D$6:$D$5005,"Vastgesteld"))</f>
        <v/>
      </c>
      <c r="U1476" s="15">
        <f>IF(T1476="",0,IF(AND(G1476=T1476,COUNTIFS($S$6:S1476,S1476,$G$6:G1476,G1476,$D$6:D1476,"Vastgesteld")=1),1,0))</f>
        <v>0</v>
      </c>
      <c r="V1476" s="15">
        <f>IF(T1476="",0,IF(AND(G1476=T1476,COUNTIFS($S$6:S1476,S1476,$G$6:G1476,G1476,$D$6:D1476,"Vastgesteld")&gt;1),1,0))</f>
        <v>0</v>
      </c>
    </row>
    <row r="1477">
      <c r="S1477" s="15" t="str">
        <f>IF(J1477="","",J1477&amp;"|"&amp;E1477&amp;"|"&amp;F1477&amp;"|"&amp;I1477&amp;"|"&amp;O1477)</f>
        <v/>
      </c>
      <c r="T1477" s="15" t="str">
        <f>IF(OR(S1477="",D1477&lt;&gt;"Vastgesteld"),"",_xlfn.MAXIFS($G$6:$G$5005,$S$6:$S$5005,S1477,$D$6:$D$5005,"Vastgesteld"))</f>
        <v/>
      </c>
      <c r="U1477" s="15">
        <f>IF(T1477="",0,IF(AND(G1477=T1477,COUNTIFS($S$6:S1477,S1477,$G$6:G1477,G1477,$D$6:D1477,"Vastgesteld")=1),1,0))</f>
        <v>0</v>
      </c>
      <c r="V1477" s="15">
        <f>IF(T1477="",0,IF(AND(G1477=T1477,COUNTIFS($S$6:S1477,S1477,$G$6:G1477,G1477,$D$6:D1477,"Vastgesteld")&gt;1),1,0))</f>
        <v>0</v>
      </c>
    </row>
    <row r="1478">
      <c r="S1478" s="15" t="str">
        <f>IF(J1478="","",J1478&amp;"|"&amp;E1478&amp;"|"&amp;F1478&amp;"|"&amp;I1478&amp;"|"&amp;O1478)</f>
        <v/>
      </c>
      <c r="T1478" s="15" t="str">
        <f>IF(OR(S1478="",D1478&lt;&gt;"Vastgesteld"),"",_xlfn.MAXIFS($G$6:$G$5005,$S$6:$S$5005,S1478,$D$6:$D$5005,"Vastgesteld"))</f>
        <v/>
      </c>
      <c r="U1478" s="15">
        <f>IF(T1478="",0,IF(AND(G1478=T1478,COUNTIFS($S$6:S1478,S1478,$G$6:G1478,G1478,$D$6:D1478,"Vastgesteld")=1),1,0))</f>
        <v>0</v>
      </c>
      <c r="V1478" s="15">
        <f>IF(T1478="",0,IF(AND(G1478=T1478,COUNTIFS($S$6:S1478,S1478,$G$6:G1478,G1478,$D$6:D1478,"Vastgesteld")&gt;1),1,0))</f>
        <v>0</v>
      </c>
    </row>
    <row r="1479">
      <c r="S1479" s="15" t="str">
        <f>IF(J1479="","",J1479&amp;"|"&amp;E1479&amp;"|"&amp;F1479&amp;"|"&amp;I1479&amp;"|"&amp;O1479)</f>
        <v/>
      </c>
      <c r="T1479" s="15" t="str">
        <f>IF(OR(S1479="",D1479&lt;&gt;"Vastgesteld"),"",_xlfn.MAXIFS($G$6:$G$5005,$S$6:$S$5005,S1479,$D$6:$D$5005,"Vastgesteld"))</f>
        <v/>
      </c>
      <c r="U1479" s="15">
        <f>IF(T1479="",0,IF(AND(G1479=T1479,COUNTIFS($S$6:S1479,S1479,$G$6:G1479,G1479,$D$6:D1479,"Vastgesteld")=1),1,0))</f>
        <v>0</v>
      </c>
      <c r="V1479" s="15">
        <f>IF(T1479="",0,IF(AND(G1479=T1479,COUNTIFS($S$6:S1479,S1479,$G$6:G1479,G1479,$D$6:D1479,"Vastgesteld")&gt;1),1,0))</f>
        <v>0</v>
      </c>
    </row>
    <row r="1480">
      <c r="S1480" s="15" t="str">
        <f>IF(J1480="","",J1480&amp;"|"&amp;E1480&amp;"|"&amp;F1480&amp;"|"&amp;I1480&amp;"|"&amp;O1480)</f>
        <v/>
      </c>
      <c r="T1480" s="15" t="str">
        <f>IF(OR(S1480="",D1480&lt;&gt;"Vastgesteld"),"",_xlfn.MAXIFS($G$6:$G$5005,$S$6:$S$5005,S1480,$D$6:$D$5005,"Vastgesteld"))</f>
        <v/>
      </c>
      <c r="U1480" s="15">
        <f>IF(T1480="",0,IF(AND(G1480=T1480,COUNTIFS($S$6:S1480,S1480,$G$6:G1480,G1480,$D$6:D1480,"Vastgesteld")=1),1,0))</f>
        <v>0</v>
      </c>
      <c r="V1480" s="15">
        <f>IF(T1480="",0,IF(AND(G1480=T1480,COUNTIFS($S$6:S1480,S1480,$G$6:G1480,G1480,$D$6:D1480,"Vastgesteld")&gt;1),1,0))</f>
        <v>0</v>
      </c>
    </row>
    <row r="1481">
      <c r="S1481" s="15" t="str">
        <f>IF(J1481="","",J1481&amp;"|"&amp;E1481&amp;"|"&amp;F1481&amp;"|"&amp;I1481&amp;"|"&amp;O1481)</f>
        <v/>
      </c>
      <c r="T1481" s="15" t="str">
        <f>IF(OR(S1481="",D1481&lt;&gt;"Vastgesteld"),"",_xlfn.MAXIFS($G$6:$G$5005,$S$6:$S$5005,S1481,$D$6:$D$5005,"Vastgesteld"))</f>
        <v/>
      </c>
      <c r="U1481" s="15">
        <f>IF(T1481="",0,IF(AND(G1481=T1481,COUNTIFS($S$6:S1481,S1481,$G$6:G1481,G1481,$D$6:D1481,"Vastgesteld")=1),1,0))</f>
        <v>0</v>
      </c>
      <c r="V1481" s="15">
        <f>IF(T1481="",0,IF(AND(G1481=T1481,COUNTIFS($S$6:S1481,S1481,$G$6:G1481,G1481,$D$6:D1481,"Vastgesteld")&gt;1),1,0))</f>
        <v>0</v>
      </c>
    </row>
    <row r="1482">
      <c r="S1482" s="15" t="str">
        <f>IF(J1482="","",J1482&amp;"|"&amp;E1482&amp;"|"&amp;F1482&amp;"|"&amp;I1482&amp;"|"&amp;O1482)</f>
        <v/>
      </c>
      <c r="T1482" s="15" t="str">
        <f>IF(OR(S1482="",D1482&lt;&gt;"Vastgesteld"),"",_xlfn.MAXIFS($G$6:$G$5005,$S$6:$S$5005,S1482,$D$6:$D$5005,"Vastgesteld"))</f>
        <v/>
      </c>
      <c r="U1482" s="15">
        <f>IF(T1482="",0,IF(AND(G1482=T1482,COUNTIFS($S$6:S1482,S1482,$G$6:G1482,G1482,$D$6:D1482,"Vastgesteld")=1),1,0))</f>
        <v>0</v>
      </c>
      <c r="V1482" s="15">
        <f>IF(T1482="",0,IF(AND(G1482=T1482,COUNTIFS($S$6:S1482,S1482,$G$6:G1482,G1482,$D$6:D1482,"Vastgesteld")&gt;1),1,0))</f>
        <v>0</v>
      </c>
    </row>
    <row r="1483">
      <c r="S1483" s="15" t="str">
        <f>IF(J1483="","",J1483&amp;"|"&amp;E1483&amp;"|"&amp;F1483&amp;"|"&amp;I1483&amp;"|"&amp;O1483)</f>
        <v/>
      </c>
      <c r="T1483" s="15" t="str">
        <f>IF(OR(S1483="",D1483&lt;&gt;"Vastgesteld"),"",_xlfn.MAXIFS($G$6:$G$5005,$S$6:$S$5005,S1483,$D$6:$D$5005,"Vastgesteld"))</f>
        <v/>
      </c>
      <c r="U1483" s="15">
        <f>IF(T1483="",0,IF(AND(G1483=T1483,COUNTIFS($S$6:S1483,S1483,$G$6:G1483,G1483,$D$6:D1483,"Vastgesteld")=1),1,0))</f>
        <v>0</v>
      </c>
      <c r="V1483" s="15">
        <f>IF(T1483="",0,IF(AND(G1483=T1483,COUNTIFS($S$6:S1483,S1483,$G$6:G1483,G1483,$D$6:D1483,"Vastgesteld")&gt;1),1,0))</f>
        <v>0</v>
      </c>
    </row>
    <row r="1484">
      <c r="S1484" s="15" t="str">
        <f>IF(J1484="","",J1484&amp;"|"&amp;E1484&amp;"|"&amp;F1484&amp;"|"&amp;I1484&amp;"|"&amp;O1484)</f>
        <v/>
      </c>
      <c r="T1484" s="15" t="str">
        <f>IF(OR(S1484="",D1484&lt;&gt;"Vastgesteld"),"",_xlfn.MAXIFS($G$6:$G$5005,$S$6:$S$5005,S1484,$D$6:$D$5005,"Vastgesteld"))</f>
        <v/>
      </c>
      <c r="U1484" s="15">
        <f>IF(T1484="",0,IF(AND(G1484=T1484,COUNTIFS($S$6:S1484,S1484,$G$6:G1484,G1484,$D$6:D1484,"Vastgesteld")=1),1,0))</f>
        <v>0</v>
      </c>
      <c r="V1484" s="15">
        <f>IF(T1484="",0,IF(AND(G1484=T1484,COUNTIFS($S$6:S1484,S1484,$G$6:G1484,G1484,$D$6:D1484,"Vastgesteld")&gt;1),1,0))</f>
        <v>0</v>
      </c>
    </row>
    <row r="1485">
      <c r="S1485" s="15" t="str">
        <f>IF(J1485="","",J1485&amp;"|"&amp;E1485&amp;"|"&amp;F1485&amp;"|"&amp;I1485&amp;"|"&amp;O1485)</f>
        <v/>
      </c>
      <c r="T1485" s="15" t="str">
        <f>IF(OR(S1485="",D1485&lt;&gt;"Vastgesteld"),"",_xlfn.MAXIFS($G$6:$G$5005,$S$6:$S$5005,S1485,$D$6:$D$5005,"Vastgesteld"))</f>
        <v/>
      </c>
      <c r="U1485" s="15">
        <f>IF(T1485="",0,IF(AND(G1485=T1485,COUNTIFS($S$6:S1485,S1485,$G$6:G1485,G1485,$D$6:D1485,"Vastgesteld")=1),1,0))</f>
        <v>0</v>
      </c>
      <c r="V1485" s="15">
        <f>IF(T1485="",0,IF(AND(G1485=T1485,COUNTIFS($S$6:S1485,S1485,$G$6:G1485,G1485,$D$6:D1485,"Vastgesteld")&gt;1),1,0))</f>
        <v>0</v>
      </c>
    </row>
    <row r="1486">
      <c r="S1486" s="15" t="str">
        <f>IF(J1486="","",J1486&amp;"|"&amp;E1486&amp;"|"&amp;F1486&amp;"|"&amp;I1486&amp;"|"&amp;O1486)</f>
        <v/>
      </c>
      <c r="T1486" s="15" t="str">
        <f>IF(OR(S1486="",D1486&lt;&gt;"Vastgesteld"),"",_xlfn.MAXIFS($G$6:$G$5005,$S$6:$S$5005,S1486,$D$6:$D$5005,"Vastgesteld"))</f>
        <v/>
      </c>
      <c r="U1486" s="15">
        <f>IF(T1486="",0,IF(AND(G1486=T1486,COUNTIFS($S$6:S1486,S1486,$G$6:G1486,G1486,$D$6:D1486,"Vastgesteld")=1),1,0))</f>
        <v>0</v>
      </c>
      <c r="V1486" s="15">
        <f>IF(T1486="",0,IF(AND(G1486=T1486,COUNTIFS($S$6:S1486,S1486,$G$6:G1486,G1486,$D$6:D1486,"Vastgesteld")&gt;1),1,0))</f>
        <v>0</v>
      </c>
    </row>
    <row r="1487">
      <c r="S1487" s="15" t="str">
        <f>IF(J1487="","",J1487&amp;"|"&amp;E1487&amp;"|"&amp;F1487&amp;"|"&amp;I1487&amp;"|"&amp;O1487)</f>
        <v/>
      </c>
      <c r="T1487" s="15" t="str">
        <f>IF(OR(S1487="",D1487&lt;&gt;"Vastgesteld"),"",_xlfn.MAXIFS($G$6:$G$5005,$S$6:$S$5005,S1487,$D$6:$D$5005,"Vastgesteld"))</f>
        <v/>
      </c>
      <c r="U1487" s="15">
        <f>IF(T1487="",0,IF(AND(G1487=T1487,COUNTIFS($S$6:S1487,S1487,$G$6:G1487,G1487,$D$6:D1487,"Vastgesteld")=1),1,0))</f>
        <v>0</v>
      </c>
      <c r="V1487" s="15">
        <f>IF(T1487="",0,IF(AND(G1487=T1487,COUNTIFS($S$6:S1487,S1487,$G$6:G1487,G1487,$D$6:D1487,"Vastgesteld")&gt;1),1,0))</f>
        <v>0</v>
      </c>
    </row>
    <row r="1488">
      <c r="S1488" s="15" t="str">
        <f>IF(J1488="","",J1488&amp;"|"&amp;E1488&amp;"|"&amp;F1488&amp;"|"&amp;I1488&amp;"|"&amp;O1488)</f>
        <v/>
      </c>
      <c r="T1488" s="15" t="str">
        <f>IF(OR(S1488="",D1488&lt;&gt;"Vastgesteld"),"",_xlfn.MAXIFS($G$6:$G$5005,$S$6:$S$5005,S1488,$D$6:$D$5005,"Vastgesteld"))</f>
        <v/>
      </c>
      <c r="U1488" s="15">
        <f>IF(T1488="",0,IF(AND(G1488=T1488,COUNTIFS($S$6:S1488,S1488,$G$6:G1488,G1488,$D$6:D1488,"Vastgesteld")=1),1,0))</f>
        <v>0</v>
      </c>
      <c r="V1488" s="15">
        <f>IF(T1488="",0,IF(AND(G1488=T1488,COUNTIFS($S$6:S1488,S1488,$G$6:G1488,G1488,$D$6:D1488,"Vastgesteld")&gt;1),1,0))</f>
        <v>0</v>
      </c>
    </row>
    <row r="1489">
      <c r="S1489" s="15" t="str">
        <f>IF(J1489="","",J1489&amp;"|"&amp;E1489&amp;"|"&amp;F1489&amp;"|"&amp;I1489&amp;"|"&amp;O1489)</f>
        <v/>
      </c>
      <c r="T1489" s="15" t="str">
        <f>IF(OR(S1489="",D1489&lt;&gt;"Vastgesteld"),"",_xlfn.MAXIFS($G$6:$G$5005,$S$6:$S$5005,S1489,$D$6:$D$5005,"Vastgesteld"))</f>
        <v/>
      </c>
      <c r="U1489" s="15">
        <f>IF(T1489="",0,IF(AND(G1489=T1489,COUNTIFS($S$6:S1489,S1489,$G$6:G1489,G1489,$D$6:D1489,"Vastgesteld")=1),1,0))</f>
        <v>0</v>
      </c>
      <c r="V1489" s="15">
        <f>IF(T1489="",0,IF(AND(G1489=T1489,COUNTIFS($S$6:S1489,S1489,$G$6:G1489,G1489,$D$6:D1489,"Vastgesteld")&gt;1),1,0))</f>
        <v>0</v>
      </c>
    </row>
    <row r="1490">
      <c r="S1490" s="15" t="str">
        <f>IF(J1490="","",J1490&amp;"|"&amp;E1490&amp;"|"&amp;F1490&amp;"|"&amp;I1490&amp;"|"&amp;O1490)</f>
        <v/>
      </c>
      <c r="T1490" s="15" t="str">
        <f>IF(OR(S1490="",D1490&lt;&gt;"Vastgesteld"),"",_xlfn.MAXIFS($G$6:$G$5005,$S$6:$S$5005,S1490,$D$6:$D$5005,"Vastgesteld"))</f>
        <v/>
      </c>
      <c r="U1490" s="15">
        <f>IF(T1490="",0,IF(AND(G1490=T1490,COUNTIFS($S$6:S1490,S1490,$G$6:G1490,G1490,$D$6:D1490,"Vastgesteld")=1),1,0))</f>
        <v>0</v>
      </c>
      <c r="V1490" s="15">
        <f>IF(T1490="",0,IF(AND(G1490=T1490,COUNTIFS($S$6:S1490,S1490,$G$6:G1490,G1490,$D$6:D1490,"Vastgesteld")&gt;1),1,0))</f>
        <v>0</v>
      </c>
    </row>
    <row r="1491">
      <c r="S1491" s="15" t="str">
        <f>IF(J1491="","",J1491&amp;"|"&amp;E1491&amp;"|"&amp;F1491&amp;"|"&amp;I1491&amp;"|"&amp;O1491)</f>
        <v/>
      </c>
      <c r="T1491" s="15" t="str">
        <f>IF(OR(S1491="",D1491&lt;&gt;"Vastgesteld"),"",_xlfn.MAXIFS($G$6:$G$5005,$S$6:$S$5005,S1491,$D$6:$D$5005,"Vastgesteld"))</f>
        <v/>
      </c>
      <c r="U1491" s="15">
        <f>IF(T1491="",0,IF(AND(G1491=T1491,COUNTIFS($S$6:S1491,S1491,$G$6:G1491,G1491,$D$6:D1491,"Vastgesteld")=1),1,0))</f>
        <v>0</v>
      </c>
      <c r="V1491" s="15">
        <f>IF(T1491="",0,IF(AND(G1491=T1491,COUNTIFS($S$6:S1491,S1491,$G$6:G1491,G1491,$D$6:D1491,"Vastgesteld")&gt;1),1,0))</f>
        <v>0</v>
      </c>
    </row>
    <row r="1492">
      <c r="S1492" s="15" t="str">
        <f>IF(J1492="","",J1492&amp;"|"&amp;E1492&amp;"|"&amp;F1492&amp;"|"&amp;I1492&amp;"|"&amp;O1492)</f>
        <v/>
      </c>
      <c r="T1492" s="15" t="str">
        <f>IF(OR(S1492="",D1492&lt;&gt;"Vastgesteld"),"",_xlfn.MAXIFS($G$6:$G$5005,$S$6:$S$5005,S1492,$D$6:$D$5005,"Vastgesteld"))</f>
        <v/>
      </c>
      <c r="U1492" s="15">
        <f>IF(T1492="",0,IF(AND(G1492=T1492,COUNTIFS($S$6:S1492,S1492,$G$6:G1492,G1492,$D$6:D1492,"Vastgesteld")=1),1,0))</f>
        <v>0</v>
      </c>
      <c r="V1492" s="15">
        <f>IF(T1492="",0,IF(AND(G1492=T1492,COUNTIFS($S$6:S1492,S1492,$G$6:G1492,G1492,$D$6:D1492,"Vastgesteld")&gt;1),1,0))</f>
        <v>0</v>
      </c>
    </row>
    <row r="1493">
      <c r="S1493" s="15" t="str">
        <f>IF(J1493="","",J1493&amp;"|"&amp;E1493&amp;"|"&amp;F1493&amp;"|"&amp;I1493&amp;"|"&amp;O1493)</f>
        <v/>
      </c>
      <c r="T1493" s="15" t="str">
        <f>IF(OR(S1493="",D1493&lt;&gt;"Vastgesteld"),"",_xlfn.MAXIFS($G$6:$G$5005,$S$6:$S$5005,S1493,$D$6:$D$5005,"Vastgesteld"))</f>
        <v/>
      </c>
      <c r="U1493" s="15">
        <f>IF(T1493="",0,IF(AND(G1493=T1493,COUNTIFS($S$6:S1493,S1493,$G$6:G1493,G1493,$D$6:D1493,"Vastgesteld")=1),1,0))</f>
        <v>0</v>
      </c>
      <c r="V1493" s="15">
        <f>IF(T1493="",0,IF(AND(G1493=T1493,COUNTIFS($S$6:S1493,S1493,$G$6:G1493,G1493,$D$6:D1493,"Vastgesteld")&gt;1),1,0))</f>
        <v>0</v>
      </c>
    </row>
    <row r="1494">
      <c r="S1494" s="15" t="str">
        <f>IF(J1494="","",J1494&amp;"|"&amp;E1494&amp;"|"&amp;F1494&amp;"|"&amp;I1494&amp;"|"&amp;O1494)</f>
        <v/>
      </c>
      <c r="T1494" s="15" t="str">
        <f>IF(OR(S1494="",D1494&lt;&gt;"Vastgesteld"),"",_xlfn.MAXIFS($G$6:$G$5005,$S$6:$S$5005,S1494,$D$6:$D$5005,"Vastgesteld"))</f>
        <v/>
      </c>
      <c r="U1494" s="15">
        <f>IF(T1494="",0,IF(AND(G1494=T1494,COUNTIFS($S$6:S1494,S1494,$G$6:G1494,G1494,$D$6:D1494,"Vastgesteld")=1),1,0))</f>
        <v>0</v>
      </c>
      <c r="V1494" s="15">
        <f>IF(T1494="",0,IF(AND(G1494=T1494,COUNTIFS($S$6:S1494,S1494,$G$6:G1494,G1494,$D$6:D1494,"Vastgesteld")&gt;1),1,0))</f>
        <v>0</v>
      </c>
    </row>
    <row r="1495">
      <c r="S1495" s="15" t="str">
        <f>IF(J1495="","",J1495&amp;"|"&amp;E1495&amp;"|"&amp;F1495&amp;"|"&amp;I1495&amp;"|"&amp;O1495)</f>
        <v/>
      </c>
      <c r="T1495" s="15" t="str">
        <f>IF(OR(S1495="",D1495&lt;&gt;"Vastgesteld"),"",_xlfn.MAXIFS($G$6:$G$5005,$S$6:$S$5005,S1495,$D$6:$D$5005,"Vastgesteld"))</f>
        <v/>
      </c>
      <c r="U1495" s="15">
        <f>IF(T1495="",0,IF(AND(G1495=T1495,COUNTIFS($S$6:S1495,S1495,$G$6:G1495,G1495,$D$6:D1495,"Vastgesteld")=1),1,0))</f>
        <v>0</v>
      </c>
      <c r="V1495" s="15">
        <f>IF(T1495="",0,IF(AND(G1495=T1495,COUNTIFS($S$6:S1495,S1495,$G$6:G1495,G1495,$D$6:D1495,"Vastgesteld")&gt;1),1,0))</f>
        <v>0</v>
      </c>
    </row>
    <row r="1496">
      <c r="S1496" s="15" t="str">
        <f>IF(J1496="","",J1496&amp;"|"&amp;E1496&amp;"|"&amp;F1496&amp;"|"&amp;I1496&amp;"|"&amp;O1496)</f>
        <v/>
      </c>
      <c r="T1496" s="15" t="str">
        <f>IF(OR(S1496="",D1496&lt;&gt;"Vastgesteld"),"",_xlfn.MAXIFS($G$6:$G$5005,$S$6:$S$5005,S1496,$D$6:$D$5005,"Vastgesteld"))</f>
        <v/>
      </c>
      <c r="U1496" s="15">
        <f>IF(T1496="",0,IF(AND(G1496=T1496,COUNTIFS($S$6:S1496,S1496,$G$6:G1496,G1496,$D$6:D1496,"Vastgesteld")=1),1,0))</f>
        <v>0</v>
      </c>
      <c r="V1496" s="15">
        <f>IF(T1496="",0,IF(AND(G1496=T1496,COUNTIFS($S$6:S1496,S1496,$G$6:G1496,G1496,$D$6:D1496,"Vastgesteld")&gt;1),1,0))</f>
        <v>0</v>
      </c>
    </row>
    <row r="1497">
      <c r="S1497" s="15" t="str">
        <f>IF(J1497="","",J1497&amp;"|"&amp;E1497&amp;"|"&amp;F1497&amp;"|"&amp;I1497&amp;"|"&amp;O1497)</f>
        <v/>
      </c>
      <c r="T1497" s="15" t="str">
        <f>IF(OR(S1497="",D1497&lt;&gt;"Vastgesteld"),"",_xlfn.MAXIFS($G$6:$G$5005,$S$6:$S$5005,S1497,$D$6:$D$5005,"Vastgesteld"))</f>
        <v/>
      </c>
      <c r="U1497" s="15">
        <f>IF(T1497="",0,IF(AND(G1497=T1497,COUNTIFS($S$6:S1497,S1497,$G$6:G1497,G1497,$D$6:D1497,"Vastgesteld")=1),1,0))</f>
        <v>0</v>
      </c>
      <c r="V1497" s="15">
        <f>IF(T1497="",0,IF(AND(G1497=T1497,COUNTIFS($S$6:S1497,S1497,$G$6:G1497,G1497,$D$6:D1497,"Vastgesteld")&gt;1),1,0))</f>
        <v>0</v>
      </c>
    </row>
    <row r="1498">
      <c r="S1498" s="15" t="str">
        <f>IF(J1498="","",J1498&amp;"|"&amp;E1498&amp;"|"&amp;F1498&amp;"|"&amp;I1498&amp;"|"&amp;O1498)</f>
        <v/>
      </c>
      <c r="T1498" s="15" t="str">
        <f>IF(OR(S1498="",D1498&lt;&gt;"Vastgesteld"),"",_xlfn.MAXIFS($G$6:$G$5005,$S$6:$S$5005,S1498,$D$6:$D$5005,"Vastgesteld"))</f>
        <v/>
      </c>
      <c r="U1498" s="15">
        <f>IF(T1498="",0,IF(AND(G1498=T1498,COUNTIFS($S$6:S1498,S1498,$G$6:G1498,G1498,$D$6:D1498,"Vastgesteld")=1),1,0))</f>
        <v>0</v>
      </c>
      <c r="V1498" s="15">
        <f>IF(T1498="",0,IF(AND(G1498=T1498,COUNTIFS($S$6:S1498,S1498,$G$6:G1498,G1498,$D$6:D1498,"Vastgesteld")&gt;1),1,0))</f>
        <v>0</v>
      </c>
    </row>
    <row r="1499">
      <c r="S1499" s="15" t="str">
        <f>IF(J1499="","",J1499&amp;"|"&amp;E1499&amp;"|"&amp;F1499&amp;"|"&amp;I1499&amp;"|"&amp;O1499)</f>
        <v/>
      </c>
      <c r="T1499" s="15" t="str">
        <f>IF(OR(S1499="",D1499&lt;&gt;"Vastgesteld"),"",_xlfn.MAXIFS($G$6:$G$5005,$S$6:$S$5005,S1499,$D$6:$D$5005,"Vastgesteld"))</f>
        <v/>
      </c>
      <c r="U1499" s="15">
        <f>IF(T1499="",0,IF(AND(G1499=T1499,COUNTIFS($S$6:S1499,S1499,$G$6:G1499,G1499,$D$6:D1499,"Vastgesteld")=1),1,0))</f>
        <v>0</v>
      </c>
      <c r="V1499" s="15">
        <f>IF(T1499="",0,IF(AND(G1499=T1499,COUNTIFS($S$6:S1499,S1499,$G$6:G1499,G1499,$D$6:D1499,"Vastgesteld")&gt;1),1,0))</f>
        <v>0</v>
      </c>
    </row>
    <row r="1500">
      <c r="S1500" s="15" t="str">
        <f>IF(J1500="","",J1500&amp;"|"&amp;E1500&amp;"|"&amp;F1500&amp;"|"&amp;I1500&amp;"|"&amp;O1500)</f>
        <v/>
      </c>
      <c r="T1500" s="15" t="str">
        <f>IF(OR(S1500="",D1500&lt;&gt;"Vastgesteld"),"",_xlfn.MAXIFS($G$6:$G$5005,$S$6:$S$5005,S1500,$D$6:$D$5005,"Vastgesteld"))</f>
        <v/>
      </c>
      <c r="U1500" s="15">
        <f>IF(T1500="",0,IF(AND(G1500=T1500,COUNTIFS($S$6:S1500,S1500,$G$6:G1500,G1500,$D$6:D1500,"Vastgesteld")=1),1,0))</f>
        <v>0</v>
      </c>
      <c r="V1500" s="15">
        <f>IF(T1500="",0,IF(AND(G1500=T1500,COUNTIFS($S$6:S1500,S1500,$G$6:G1500,G1500,$D$6:D1500,"Vastgesteld")&gt;1),1,0))</f>
        <v>0</v>
      </c>
    </row>
    <row r="1501">
      <c r="S1501" s="15" t="str">
        <f>IF(J1501="","",J1501&amp;"|"&amp;E1501&amp;"|"&amp;F1501&amp;"|"&amp;I1501&amp;"|"&amp;O1501)</f>
        <v/>
      </c>
      <c r="T1501" s="15" t="str">
        <f>IF(OR(S1501="",D1501&lt;&gt;"Vastgesteld"),"",_xlfn.MAXIFS($G$6:$G$5005,$S$6:$S$5005,S1501,$D$6:$D$5005,"Vastgesteld"))</f>
        <v/>
      </c>
      <c r="U1501" s="15">
        <f>IF(T1501="",0,IF(AND(G1501=T1501,COUNTIFS($S$6:S1501,S1501,$G$6:G1501,G1501,$D$6:D1501,"Vastgesteld")=1),1,0))</f>
        <v>0</v>
      </c>
      <c r="V1501" s="15">
        <f>IF(T1501="",0,IF(AND(G1501=T1501,COUNTIFS($S$6:S1501,S1501,$G$6:G1501,G1501,$D$6:D1501,"Vastgesteld")&gt;1),1,0))</f>
        <v>0</v>
      </c>
    </row>
    <row r="1502">
      <c r="S1502" s="15" t="str">
        <f>IF(J1502="","",J1502&amp;"|"&amp;E1502&amp;"|"&amp;F1502&amp;"|"&amp;I1502&amp;"|"&amp;O1502)</f>
        <v/>
      </c>
      <c r="T1502" s="15" t="str">
        <f>IF(OR(S1502="",D1502&lt;&gt;"Vastgesteld"),"",_xlfn.MAXIFS($G$6:$G$5005,$S$6:$S$5005,S1502,$D$6:$D$5005,"Vastgesteld"))</f>
        <v/>
      </c>
      <c r="U1502" s="15">
        <f>IF(T1502="",0,IF(AND(G1502=T1502,COUNTIFS($S$6:S1502,S1502,$G$6:G1502,G1502,$D$6:D1502,"Vastgesteld")=1),1,0))</f>
        <v>0</v>
      </c>
      <c r="V1502" s="15">
        <f>IF(T1502="",0,IF(AND(G1502=T1502,COUNTIFS($S$6:S1502,S1502,$G$6:G1502,G1502,$D$6:D1502,"Vastgesteld")&gt;1),1,0))</f>
        <v>0</v>
      </c>
    </row>
    <row r="1503">
      <c r="S1503" s="15" t="str">
        <f>IF(J1503="","",J1503&amp;"|"&amp;E1503&amp;"|"&amp;F1503&amp;"|"&amp;I1503&amp;"|"&amp;O1503)</f>
        <v/>
      </c>
      <c r="T1503" s="15" t="str">
        <f>IF(OR(S1503="",D1503&lt;&gt;"Vastgesteld"),"",_xlfn.MAXIFS($G$6:$G$5005,$S$6:$S$5005,S1503,$D$6:$D$5005,"Vastgesteld"))</f>
        <v/>
      </c>
      <c r="U1503" s="15">
        <f>IF(T1503="",0,IF(AND(G1503=T1503,COUNTIFS($S$6:S1503,S1503,$G$6:G1503,G1503,$D$6:D1503,"Vastgesteld")=1),1,0))</f>
        <v>0</v>
      </c>
      <c r="V1503" s="15">
        <f>IF(T1503="",0,IF(AND(G1503=T1503,COUNTIFS($S$6:S1503,S1503,$G$6:G1503,G1503,$D$6:D1503,"Vastgesteld")&gt;1),1,0))</f>
        <v>0</v>
      </c>
    </row>
    <row r="1504">
      <c r="S1504" s="15" t="str">
        <f>IF(J1504="","",J1504&amp;"|"&amp;E1504&amp;"|"&amp;F1504&amp;"|"&amp;I1504&amp;"|"&amp;O1504)</f>
        <v/>
      </c>
      <c r="T1504" s="15" t="str">
        <f>IF(OR(S1504="",D1504&lt;&gt;"Vastgesteld"),"",_xlfn.MAXIFS($G$6:$G$5005,$S$6:$S$5005,S1504,$D$6:$D$5005,"Vastgesteld"))</f>
        <v/>
      </c>
      <c r="U1504" s="15">
        <f>IF(T1504="",0,IF(AND(G1504=T1504,COUNTIFS($S$6:S1504,S1504,$G$6:G1504,G1504,$D$6:D1504,"Vastgesteld")=1),1,0))</f>
        <v>0</v>
      </c>
      <c r="V1504" s="15">
        <f>IF(T1504="",0,IF(AND(G1504=T1504,COUNTIFS($S$6:S1504,S1504,$G$6:G1504,G1504,$D$6:D1504,"Vastgesteld")&gt;1),1,0))</f>
        <v>0</v>
      </c>
    </row>
    <row r="1505">
      <c r="S1505" s="15" t="str">
        <f>IF(J1505="","",J1505&amp;"|"&amp;E1505&amp;"|"&amp;F1505&amp;"|"&amp;I1505&amp;"|"&amp;O1505)</f>
        <v/>
      </c>
      <c r="T1505" s="15" t="str">
        <f>IF(OR(S1505="",D1505&lt;&gt;"Vastgesteld"),"",_xlfn.MAXIFS($G$6:$G$5005,$S$6:$S$5005,S1505,$D$6:$D$5005,"Vastgesteld"))</f>
        <v/>
      </c>
      <c r="U1505" s="15">
        <f>IF(T1505="",0,IF(AND(G1505=T1505,COUNTIFS($S$6:S1505,S1505,$G$6:G1505,G1505,$D$6:D1505,"Vastgesteld")=1),1,0))</f>
        <v>0</v>
      </c>
      <c r="V1505" s="15">
        <f>IF(T1505="",0,IF(AND(G1505=T1505,COUNTIFS($S$6:S1505,S1505,$G$6:G1505,G1505,$D$6:D1505,"Vastgesteld")&gt;1),1,0))</f>
        <v>0</v>
      </c>
    </row>
    <row r="1506">
      <c r="S1506" s="15" t="str">
        <f>IF(J1506="","",J1506&amp;"|"&amp;E1506&amp;"|"&amp;F1506&amp;"|"&amp;I1506&amp;"|"&amp;O1506)</f>
        <v/>
      </c>
      <c r="T1506" s="15" t="str">
        <f>IF(OR(S1506="",D1506&lt;&gt;"Vastgesteld"),"",_xlfn.MAXIFS($G$6:$G$5005,$S$6:$S$5005,S1506,$D$6:$D$5005,"Vastgesteld"))</f>
        <v/>
      </c>
      <c r="U1506" s="15">
        <f>IF(T1506="",0,IF(AND(G1506=T1506,COUNTIFS($S$6:S1506,S1506,$G$6:G1506,G1506,$D$6:D1506,"Vastgesteld")=1),1,0))</f>
        <v>0</v>
      </c>
      <c r="V1506" s="15">
        <f>IF(T1506="",0,IF(AND(G1506=T1506,COUNTIFS($S$6:S1506,S1506,$G$6:G1506,G1506,$D$6:D1506,"Vastgesteld")&gt;1),1,0))</f>
        <v>0</v>
      </c>
    </row>
    <row r="1507">
      <c r="S1507" s="15" t="str">
        <f>IF(J1507="","",J1507&amp;"|"&amp;E1507&amp;"|"&amp;F1507&amp;"|"&amp;I1507&amp;"|"&amp;O1507)</f>
        <v/>
      </c>
      <c r="T1507" s="15" t="str">
        <f>IF(OR(S1507="",D1507&lt;&gt;"Vastgesteld"),"",_xlfn.MAXIFS($G$6:$G$5005,$S$6:$S$5005,S1507,$D$6:$D$5005,"Vastgesteld"))</f>
        <v/>
      </c>
      <c r="U1507" s="15">
        <f>IF(T1507="",0,IF(AND(G1507=T1507,COUNTIFS($S$6:S1507,S1507,$G$6:G1507,G1507,$D$6:D1507,"Vastgesteld")=1),1,0))</f>
        <v>0</v>
      </c>
      <c r="V1507" s="15">
        <f>IF(T1507="",0,IF(AND(G1507=T1507,COUNTIFS($S$6:S1507,S1507,$G$6:G1507,G1507,$D$6:D1507,"Vastgesteld")&gt;1),1,0))</f>
        <v>0</v>
      </c>
    </row>
    <row r="1508">
      <c r="S1508" s="15" t="str">
        <f>IF(J1508="","",J1508&amp;"|"&amp;E1508&amp;"|"&amp;F1508&amp;"|"&amp;I1508&amp;"|"&amp;O1508)</f>
        <v/>
      </c>
      <c r="T1508" s="15" t="str">
        <f>IF(OR(S1508="",D1508&lt;&gt;"Vastgesteld"),"",_xlfn.MAXIFS($G$6:$G$5005,$S$6:$S$5005,S1508,$D$6:$D$5005,"Vastgesteld"))</f>
        <v/>
      </c>
      <c r="U1508" s="15">
        <f>IF(T1508="",0,IF(AND(G1508=T1508,COUNTIFS($S$6:S1508,S1508,$G$6:G1508,G1508,$D$6:D1508,"Vastgesteld")=1),1,0))</f>
        <v>0</v>
      </c>
      <c r="V1508" s="15">
        <f>IF(T1508="",0,IF(AND(G1508=T1508,COUNTIFS($S$6:S1508,S1508,$G$6:G1508,G1508,$D$6:D1508,"Vastgesteld")&gt;1),1,0))</f>
        <v>0</v>
      </c>
    </row>
    <row r="1509">
      <c r="S1509" s="15" t="str">
        <f>IF(J1509="","",J1509&amp;"|"&amp;E1509&amp;"|"&amp;F1509&amp;"|"&amp;I1509&amp;"|"&amp;O1509)</f>
        <v/>
      </c>
      <c r="T1509" s="15" t="str">
        <f>IF(OR(S1509="",D1509&lt;&gt;"Vastgesteld"),"",_xlfn.MAXIFS($G$6:$G$5005,$S$6:$S$5005,S1509,$D$6:$D$5005,"Vastgesteld"))</f>
        <v/>
      </c>
      <c r="U1509" s="15">
        <f>IF(T1509="",0,IF(AND(G1509=T1509,COUNTIFS($S$6:S1509,S1509,$G$6:G1509,G1509,$D$6:D1509,"Vastgesteld")=1),1,0))</f>
        <v>0</v>
      </c>
      <c r="V1509" s="15">
        <f>IF(T1509="",0,IF(AND(G1509=T1509,COUNTIFS($S$6:S1509,S1509,$G$6:G1509,G1509,$D$6:D1509,"Vastgesteld")&gt;1),1,0))</f>
        <v>0</v>
      </c>
    </row>
    <row r="1510">
      <c r="S1510" s="15" t="str">
        <f>IF(J1510="","",J1510&amp;"|"&amp;E1510&amp;"|"&amp;F1510&amp;"|"&amp;I1510&amp;"|"&amp;O1510)</f>
        <v/>
      </c>
      <c r="T1510" s="15" t="str">
        <f>IF(OR(S1510="",D1510&lt;&gt;"Vastgesteld"),"",_xlfn.MAXIFS($G$6:$G$5005,$S$6:$S$5005,S1510,$D$6:$D$5005,"Vastgesteld"))</f>
        <v/>
      </c>
      <c r="U1510" s="15">
        <f>IF(T1510="",0,IF(AND(G1510=T1510,COUNTIFS($S$6:S1510,S1510,$G$6:G1510,G1510,$D$6:D1510,"Vastgesteld")=1),1,0))</f>
        <v>0</v>
      </c>
      <c r="V1510" s="15">
        <f>IF(T1510="",0,IF(AND(G1510=T1510,COUNTIFS($S$6:S1510,S1510,$G$6:G1510,G1510,$D$6:D1510,"Vastgesteld")&gt;1),1,0))</f>
        <v>0</v>
      </c>
    </row>
    <row r="1511">
      <c r="S1511" s="15" t="str">
        <f>IF(J1511="","",J1511&amp;"|"&amp;E1511&amp;"|"&amp;F1511&amp;"|"&amp;I1511&amp;"|"&amp;O1511)</f>
        <v/>
      </c>
      <c r="T1511" s="15" t="str">
        <f>IF(OR(S1511="",D1511&lt;&gt;"Vastgesteld"),"",_xlfn.MAXIFS($G$6:$G$5005,$S$6:$S$5005,S1511,$D$6:$D$5005,"Vastgesteld"))</f>
        <v/>
      </c>
      <c r="U1511" s="15">
        <f>IF(T1511="",0,IF(AND(G1511=T1511,COUNTIFS($S$6:S1511,S1511,$G$6:G1511,G1511,$D$6:D1511,"Vastgesteld")=1),1,0))</f>
        <v>0</v>
      </c>
      <c r="V1511" s="15">
        <f>IF(T1511="",0,IF(AND(G1511=T1511,COUNTIFS($S$6:S1511,S1511,$G$6:G1511,G1511,$D$6:D1511,"Vastgesteld")&gt;1),1,0))</f>
        <v>0</v>
      </c>
    </row>
    <row r="1512">
      <c r="S1512" s="15" t="str">
        <f>IF(J1512="","",J1512&amp;"|"&amp;E1512&amp;"|"&amp;F1512&amp;"|"&amp;I1512&amp;"|"&amp;O1512)</f>
        <v/>
      </c>
      <c r="T1512" s="15" t="str">
        <f>IF(OR(S1512="",D1512&lt;&gt;"Vastgesteld"),"",_xlfn.MAXIFS($G$6:$G$5005,$S$6:$S$5005,S1512,$D$6:$D$5005,"Vastgesteld"))</f>
        <v/>
      </c>
      <c r="U1512" s="15">
        <f>IF(T1512="",0,IF(AND(G1512=T1512,COUNTIFS($S$6:S1512,S1512,$G$6:G1512,G1512,$D$6:D1512,"Vastgesteld")=1),1,0))</f>
        <v>0</v>
      </c>
      <c r="V1512" s="15">
        <f>IF(T1512="",0,IF(AND(G1512=T1512,COUNTIFS($S$6:S1512,S1512,$G$6:G1512,G1512,$D$6:D1512,"Vastgesteld")&gt;1),1,0))</f>
        <v>0</v>
      </c>
    </row>
    <row r="1513">
      <c r="S1513" s="15" t="str">
        <f>IF(J1513="","",J1513&amp;"|"&amp;E1513&amp;"|"&amp;F1513&amp;"|"&amp;I1513&amp;"|"&amp;O1513)</f>
        <v/>
      </c>
      <c r="T1513" s="15" t="str">
        <f>IF(OR(S1513="",D1513&lt;&gt;"Vastgesteld"),"",_xlfn.MAXIFS($G$6:$G$5005,$S$6:$S$5005,S1513,$D$6:$D$5005,"Vastgesteld"))</f>
        <v/>
      </c>
      <c r="U1513" s="15">
        <f>IF(T1513="",0,IF(AND(G1513=T1513,COUNTIFS($S$6:S1513,S1513,$G$6:G1513,G1513,$D$6:D1513,"Vastgesteld")=1),1,0))</f>
        <v>0</v>
      </c>
      <c r="V1513" s="15">
        <f>IF(T1513="",0,IF(AND(G1513=T1513,COUNTIFS($S$6:S1513,S1513,$G$6:G1513,G1513,$D$6:D1513,"Vastgesteld")&gt;1),1,0))</f>
        <v>0</v>
      </c>
    </row>
    <row r="1514">
      <c r="S1514" s="15" t="str">
        <f>IF(J1514="","",J1514&amp;"|"&amp;E1514&amp;"|"&amp;F1514&amp;"|"&amp;I1514&amp;"|"&amp;O1514)</f>
        <v/>
      </c>
      <c r="T1514" s="15" t="str">
        <f>IF(OR(S1514="",D1514&lt;&gt;"Vastgesteld"),"",_xlfn.MAXIFS($G$6:$G$5005,$S$6:$S$5005,S1514,$D$6:$D$5005,"Vastgesteld"))</f>
        <v/>
      </c>
      <c r="U1514" s="15">
        <f>IF(T1514="",0,IF(AND(G1514=T1514,COUNTIFS($S$6:S1514,S1514,$G$6:G1514,G1514,$D$6:D1514,"Vastgesteld")=1),1,0))</f>
        <v>0</v>
      </c>
      <c r="V1514" s="15">
        <f>IF(T1514="",0,IF(AND(G1514=T1514,COUNTIFS($S$6:S1514,S1514,$G$6:G1514,G1514,$D$6:D1514,"Vastgesteld")&gt;1),1,0))</f>
        <v>0</v>
      </c>
    </row>
    <row r="1515">
      <c r="S1515" s="15" t="str">
        <f>IF(J1515="","",J1515&amp;"|"&amp;E1515&amp;"|"&amp;F1515&amp;"|"&amp;I1515&amp;"|"&amp;O1515)</f>
        <v/>
      </c>
      <c r="T1515" s="15" t="str">
        <f>IF(OR(S1515="",D1515&lt;&gt;"Vastgesteld"),"",_xlfn.MAXIFS($G$6:$G$5005,$S$6:$S$5005,S1515,$D$6:$D$5005,"Vastgesteld"))</f>
        <v/>
      </c>
      <c r="U1515" s="15">
        <f>IF(T1515="",0,IF(AND(G1515=T1515,COUNTIFS($S$6:S1515,S1515,$G$6:G1515,G1515,$D$6:D1515,"Vastgesteld")=1),1,0))</f>
        <v>0</v>
      </c>
      <c r="V1515" s="15">
        <f>IF(T1515="",0,IF(AND(G1515=T1515,COUNTIFS($S$6:S1515,S1515,$G$6:G1515,G1515,$D$6:D1515,"Vastgesteld")&gt;1),1,0))</f>
        <v>0</v>
      </c>
    </row>
    <row r="1516">
      <c r="S1516" s="15" t="str">
        <f>IF(J1516="","",J1516&amp;"|"&amp;E1516&amp;"|"&amp;F1516&amp;"|"&amp;I1516&amp;"|"&amp;O1516)</f>
        <v/>
      </c>
      <c r="T1516" s="15" t="str">
        <f>IF(OR(S1516="",D1516&lt;&gt;"Vastgesteld"),"",_xlfn.MAXIFS($G$6:$G$5005,$S$6:$S$5005,S1516,$D$6:$D$5005,"Vastgesteld"))</f>
        <v/>
      </c>
      <c r="U1516" s="15">
        <f>IF(T1516="",0,IF(AND(G1516=T1516,COUNTIFS($S$6:S1516,S1516,$G$6:G1516,G1516,$D$6:D1516,"Vastgesteld")=1),1,0))</f>
        <v>0</v>
      </c>
      <c r="V1516" s="15">
        <f>IF(T1516="",0,IF(AND(G1516=T1516,COUNTIFS($S$6:S1516,S1516,$G$6:G1516,G1516,$D$6:D1516,"Vastgesteld")&gt;1),1,0))</f>
        <v>0</v>
      </c>
    </row>
    <row r="1517">
      <c r="S1517" s="15" t="str">
        <f>IF(J1517="","",J1517&amp;"|"&amp;E1517&amp;"|"&amp;F1517&amp;"|"&amp;I1517&amp;"|"&amp;O1517)</f>
        <v/>
      </c>
      <c r="T1517" s="15" t="str">
        <f>IF(OR(S1517="",D1517&lt;&gt;"Vastgesteld"),"",_xlfn.MAXIFS($G$6:$G$5005,$S$6:$S$5005,S1517,$D$6:$D$5005,"Vastgesteld"))</f>
        <v/>
      </c>
      <c r="U1517" s="15">
        <f>IF(T1517="",0,IF(AND(G1517=T1517,COUNTIFS($S$6:S1517,S1517,$G$6:G1517,G1517,$D$6:D1517,"Vastgesteld")=1),1,0))</f>
        <v>0</v>
      </c>
      <c r="V1517" s="15">
        <f>IF(T1517="",0,IF(AND(G1517=T1517,COUNTIFS($S$6:S1517,S1517,$G$6:G1517,G1517,$D$6:D1517,"Vastgesteld")&gt;1),1,0))</f>
        <v>0</v>
      </c>
    </row>
    <row r="1518">
      <c r="S1518" s="15" t="str">
        <f>IF(J1518="","",J1518&amp;"|"&amp;E1518&amp;"|"&amp;F1518&amp;"|"&amp;I1518&amp;"|"&amp;O1518)</f>
        <v/>
      </c>
      <c r="T1518" s="15" t="str">
        <f>IF(OR(S1518="",D1518&lt;&gt;"Vastgesteld"),"",_xlfn.MAXIFS($G$6:$G$5005,$S$6:$S$5005,S1518,$D$6:$D$5005,"Vastgesteld"))</f>
        <v/>
      </c>
      <c r="U1518" s="15">
        <f>IF(T1518="",0,IF(AND(G1518=T1518,COUNTIFS($S$6:S1518,S1518,$G$6:G1518,G1518,$D$6:D1518,"Vastgesteld")=1),1,0))</f>
        <v>0</v>
      </c>
      <c r="V1518" s="15">
        <f>IF(T1518="",0,IF(AND(G1518=T1518,COUNTIFS($S$6:S1518,S1518,$G$6:G1518,G1518,$D$6:D1518,"Vastgesteld")&gt;1),1,0))</f>
        <v>0</v>
      </c>
    </row>
    <row r="1519">
      <c r="S1519" s="15" t="str">
        <f>IF(J1519="","",J1519&amp;"|"&amp;E1519&amp;"|"&amp;F1519&amp;"|"&amp;I1519&amp;"|"&amp;O1519)</f>
        <v/>
      </c>
      <c r="T1519" s="15" t="str">
        <f>IF(OR(S1519="",D1519&lt;&gt;"Vastgesteld"),"",_xlfn.MAXIFS($G$6:$G$5005,$S$6:$S$5005,S1519,$D$6:$D$5005,"Vastgesteld"))</f>
        <v/>
      </c>
      <c r="U1519" s="15">
        <f>IF(T1519="",0,IF(AND(G1519=T1519,COUNTIFS($S$6:S1519,S1519,$G$6:G1519,G1519,$D$6:D1519,"Vastgesteld")=1),1,0))</f>
        <v>0</v>
      </c>
      <c r="V1519" s="15">
        <f>IF(T1519="",0,IF(AND(G1519=T1519,COUNTIFS($S$6:S1519,S1519,$G$6:G1519,G1519,$D$6:D1519,"Vastgesteld")&gt;1),1,0))</f>
        <v>0</v>
      </c>
    </row>
    <row r="1520">
      <c r="S1520" s="15" t="str">
        <f>IF(J1520="","",J1520&amp;"|"&amp;E1520&amp;"|"&amp;F1520&amp;"|"&amp;I1520&amp;"|"&amp;O1520)</f>
        <v/>
      </c>
      <c r="T1520" s="15" t="str">
        <f>IF(OR(S1520="",D1520&lt;&gt;"Vastgesteld"),"",_xlfn.MAXIFS($G$6:$G$5005,$S$6:$S$5005,S1520,$D$6:$D$5005,"Vastgesteld"))</f>
        <v/>
      </c>
      <c r="U1520" s="15">
        <f>IF(T1520="",0,IF(AND(G1520=T1520,COUNTIFS($S$6:S1520,S1520,$G$6:G1520,G1520,$D$6:D1520,"Vastgesteld")=1),1,0))</f>
        <v>0</v>
      </c>
      <c r="V1520" s="15">
        <f>IF(T1520="",0,IF(AND(G1520=T1520,COUNTIFS($S$6:S1520,S1520,$G$6:G1520,G1520,$D$6:D1520,"Vastgesteld")&gt;1),1,0))</f>
        <v>0</v>
      </c>
    </row>
    <row r="1521">
      <c r="S1521" s="15" t="str">
        <f>IF(J1521="","",J1521&amp;"|"&amp;E1521&amp;"|"&amp;F1521&amp;"|"&amp;I1521&amp;"|"&amp;O1521)</f>
        <v/>
      </c>
      <c r="T1521" s="15" t="str">
        <f>IF(OR(S1521="",D1521&lt;&gt;"Vastgesteld"),"",_xlfn.MAXIFS($G$6:$G$5005,$S$6:$S$5005,S1521,$D$6:$D$5005,"Vastgesteld"))</f>
        <v/>
      </c>
      <c r="U1521" s="15">
        <f>IF(T1521="",0,IF(AND(G1521=T1521,COUNTIFS($S$6:S1521,S1521,$G$6:G1521,G1521,$D$6:D1521,"Vastgesteld")=1),1,0))</f>
        <v>0</v>
      </c>
      <c r="V1521" s="15">
        <f>IF(T1521="",0,IF(AND(G1521=T1521,COUNTIFS($S$6:S1521,S1521,$G$6:G1521,G1521,$D$6:D1521,"Vastgesteld")&gt;1),1,0))</f>
        <v>0</v>
      </c>
    </row>
    <row r="1522">
      <c r="S1522" s="15" t="str">
        <f>IF(J1522="","",J1522&amp;"|"&amp;E1522&amp;"|"&amp;F1522&amp;"|"&amp;I1522&amp;"|"&amp;O1522)</f>
        <v/>
      </c>
      <c r="T1522" s="15" t="str">
        <f>IF(OR(S1522="",D1522&lt;&gt;"Vastgesteld"),"",_xlfn.MAXIFS($G$6:$G$5005,$S$6:$S$5005,S1522,$D$6:$D$5005,"Vastgesteld"))</f>
        <v/>
      </c>
      <c r="U1522" s="15">
        <f>IF(T1522="",0,IF(AND(G1522=T1522,COUNTIFS($S$6:S1522,S1522,$G$6:G1522,G1522,$D$6:D1522,"Vastgesteld")=1),1,0))</f>
        <v>0</v>
      </c>
      <c r="V1522" s="15">
        <f>IF(T1522="",0,IF(AND(G1522=T1522,COUNTIFS($S$6:S1522,S1522,$G$6:G1522,G1522,$D$6:D1522,"Vastgesteld")&gt;1),1,0))</f>
        <v>0</v>
      </c>
    </row>
    <row r="1523">
      <c r="S1523" s="15" t="str">
        <f>IF(J1523="","",J1523&amp;"|"&amp;E1523&amp;"|"&amp;F1523&amp;"|"&amp;I1523&amp;"|"&amp;O1523)</f>
        <v/>
      </c>
      <c r="T1523" s="15" t="str">
        <f>IF(OR(S1523="",D1523&lt;&gt;"Vastgesteld"),"",_xlfn.MAXIFS($G$6:$G$5005,$S$6:$S$5005,S1523,$D$6:$D$5005,"Vastgesteld"))</f>
        <v/>
      </c>
      <c r="U1523" s="15">
        <f>IF(T1523="",0,IF(AND(G1523=T1523,COUNTIFS($S$6:S1523,S1523,$G$6:G1523,G1523,$D$6:D1523,"Vastgesteld")=1),1,0))</f>
        <v>0</v>
      </c>
      <c r="V1523" s="15">
        <f>IF(T1523="",0,IF(AND(G1523=T1523,COUNTIFS($S$6:S1523,S1523,$G$6:G1523,G1523,$D$6:D1523,"Vastgesteld")&gt;1),1,0))</f>
        <v>0</v>
      </c>
    </row>
    <row r="1524">
      <c r="S1524" s="15" t="str">
        <f>IF(J1524="","",J1524&amp;"|"&amp;E1524&amp;"|"&amp;F1524&amp;"|"&amp;I1524&amp;"|"&amp;O1524)</f>
        <v/>
      </c>
      <c r="T1524" s="15" t="str">
        <f>IF(OR(S1524="",D1524&lt;&gt;"Vastgesteld"),"",_xlfn.MAXIFS($G$6:$G$5005,$S$6:$S$5005,S1524,$D$6:$D$5005,"Vastgesteld"))</f>
        <v/>
      </c>
      <c r="U1524" s="15">
        <f>IF(T1524="",0,IF(AND(G1524=T1524,COUNTIFS($S$6:S1524,S1524,$G$6:G1524,G1524,$D$6:D1524,"Vastgesteld")=1),1,0))</f>
        <v>0</v>
      </c>
      <c r="V1524" s="15">
        <f>IF(T1524="",0,IF(AND(G1524=T1524,COUNTIFS($S$6:S1524,S1524,$G$6:G1524,G1524,$D$6:D1524,"Vastgesteld")&gt;1),1,0))</f>
        <v>0</v>
      </c>
    </row>
    <row r="1525">
      <c r="S1525" s="15" t="str">
        <f>IF(J1525="","",J1525&amp;"|"&amp;E1525&amp;"|"&amp;F1525&amp;"|"&amp;I1525&amp;"|"&amp;O1525)</f>
        <v/>
      </c>
      <c r="T1525" s="15" t="str">
        <f>IF(OR(S1525="",D1525&lt;&gt;"Vastgesteld"),"",_xlfn.MAXIFS($G$6:$G$5005,$S$6:$S$5005,S1525,$D$6:$D$5005,"Vastgesteld"))</f>
        <v/>
      </c>
      <c r="U1525" s="15">
        <f>IF(T1525="",0,IF(AND(G1525=T1525,COUNTIFS($S$6:S1525,S1525,$G$6:G1525,G1525,$D$6:D1525,"Vastgesteld")=1),1,0))</f>
        <v>0</v>
      </c>
      <c r="V1525" s="15">
        <f>IF(T1525="",0,IF(AND(G1525=T1525,COUNTIFS($S$6:S1525,S1525,$G$6:G1525,G1525,$D$6:D1525,"Vastgesteld")&gt;1),1,0))</f>
        <v>0</v>
      </c>
    </row>
    <row r="1526">
      <c r="S1526" s="15" t="str">
        <f>IF(J1526="","",J1526&amp;"|"&amp;E1526&amp;"|"&amp;F1526&amp;"|"&amp;I1526&amp;"|"&amp;O1526)</f>
        <v/>
      </c>
      <c r="T1526" s="15" t="str">
        <f>IF(OR(S1526="",D1526&lt;&gt;"Vastgesteld"),"",_xlfn.MAXIFS($G$6:$G$5005,$S$6:$S$5005,S1526,$D$6:$D$5005,"Vastgesteld"))</f>
        <v/>
      </c>
      <c r="U1526" s="15">
        <f>IF(T1526="",0,IF(AND(G1526=T1526,COUNTIFS($S$6:S1526,S1526,$G$6:G1526,G1526,$D$6:D1526,"Vastgesteld")=1),1,0))</f>
        <v>0</v>
      </c>
      <c r="V1526" s="15">
        <f>IF(T1526="",0,IF(AND(G1526=T1526,COUNTIFS($S$6:S1526,S1526,$G$6:G1526,G1526,$D$6:D1526,"Vastgesteld")&gt;1),1,0))</f>
        <v>0</v>
      </c>
    </row>
    <row r="1527">
      <c r="S1527" s="15" t="str">
        <f>IF(J1527="","",J1527&amp;"|"&amp;E1527&amp;"|"&amp;F1527&amp;"|"&amp;I1527&amp;"|"&amp;O1527)</f>
        <v/>
      </c>
      <c r="T1527" s="15" t="str">
        <f>IF(OR(S1527="",D1527&lt;&gt;"Vastgesteld"),"",_xlfn.MAXIFS($G$6:$G$5005,$S$6:$S$5005,S1527,$D$6:$D$5005,"Vastgesteld"))</f>
        <v/>
      </c>
      <c r="U1527" s="15">
        <f>IF(T1527="",0,IF(AND(G1527=T1527,COUNTIFS($S$6:S1527,S1527,$G$6:G1527,G1527,$D$6:D1527,"Vastgesteld")=1),1,0))</f>
        <v>0</v>
      </c>
      <c r="V1527" s="15">
        <f>IF(T1527="",0,IF(AND(G1527=T1527,COUNTIFS($S$6:S1527,S1527,$G$6:G1527,G1527,$D$6:D1527,"Vastgesteld")&gt;1),1,0))</f>
        <v>0</v>
      </c>
    </row>
    <row r="1528">
      <c r="S1528" s="15" t="str">
        <f>IF(J1528="","",J1528&amp;"|"&amp;E1528&amp;"|"&amp;F1528&amp;"|"&amp;I1528&amp;"|"&amp;O1528)</f>
        <v/>
      </c>
      <c r="T1528" s="15" t="str">
        <f>IF(OR(S1528="",D1528&lt;&gt;"Vastgesteld"),"",_xlfn.MAXIFS($G$6:$G$5005,$S$6:$S$5005,S1528,$D$6:$D$5005,"Vastgesteld"))</f>
        <v/>
      </c>
      <c r="U1528" s="15">
        <f>IF(T1528="",0,IF(AND(G1528=T1528,COUNTIFS($S$6:S1528,S1528,$G$6:G1528,G1528,$D$6:D1528,"Vastgesteld")=1),1,0))</f>
        <v>0</v>
      </c>
      <c r="V1528" s="15">
        <f>IF(T1528="",0,IF(AND(G1528=T1528,COUNTIFS($S$6:S1528,S1528,$G$6:G1528,G1528,$D$6:D1528,"Vastgesteld")&gt;1),1,0))</f>
        <v>0</v>
      </c>
    </row>
    <row r="1529">
      <c r="S1529" s="15" t="str">
        <f>IF(J1529="","",J1529&amp;"|"&amp;E1529&amp;"|"&amp;F1529&amp;"|"&amp;I1529&amp;"|"&amp;O1529)</f>
        <v/>
      </c>
      <c r="T1529" s="15" t="str">
        <f>IF(OR(S1529="",D1529&lt;&gt;"Vastgesteld"),"",_xlfn.MAXIFS($G$6:$G$5005,$S$6:$S$5005,S1529,$D$6:$D$5005,"Vastgesteld"))</f>
        <v/>
      </c>
      <c r="U1529" s="15">
        <f>IF(T1529="",0,IF(AND(G1529=T1529,COUNTIFS($S$6:S1529,S1529,$G$6:G1529,G1529,$D$6:D1529,"Vastgesteld")=1),1,0))</f>
        <v>0</v>
      </c>
      <c r="V1529" s="15">
        <f>IF(T1529="",0,IF(AND(G1529=T1529,COUNTIFS($S$6:S1529,S1529,$G$6:G1529,G1529,$D$6:D1529,"Vastgesteld")&gt;1),1,0))</f>
        <v>0</v>
      </c>
    </row>
    <row r="1530">
      <c r="S1530" s="15" t="str">
        <f>IF(J1530="","",J1530&amp;"|"&amp;E1530&amp;"|"&amp;F1530&amp;"|"&amp;I1530&amp;"|"&amp;O1530)</f>
        <v/>
      </c>
      <c r="T1530" s="15" t="str">
        <f>IF(OR(S1530="",D1530&lt;&gt;"Vastgesteld"),"",_xlfn.MAXIFS($G$6:$G$5005,$S$6:$S$5005,S1530,$D$6:$D$5005,"Vastgesteld"))</f>
        <v/>
      </c>
      <c r="U1530" s="15">
        <f>IF(T1530="",0,IF(AND(G1530=T1530,COUNTIFS($S$6:S1530,S1530,$G$6:G1530,G1530,$D$6:D1530,"Vastgesteld")=1),1,0))</f>
        <v>0</v>
      </c>
      <c r="V1530" s="15">
        <f>IF(T1530="",0,IF(AND(G1530=T1530,COUNTIFS($S$6:S1530,S1530,$G$6:G1530,G1530,$D$6:D1530,"Vastgesteld")&gt;1),1,0))</f>
        <v>0</v>
      </c>
    </row>
    <row r="1531">
      <c r="S1531" s="15" t="str">
        <f>IF(J1531="","",J1531&amp;"|"&amp;E1531&amp;"|"&amp;F1531&amp;"|"&amp;I1531&amp;"|"&amp;O1531)</f>
        <v/>
      </c>
      <c r="T1531" s="15" t="str">
        <f>IF(OR(S1531="",D1531&lt;&gt;"Vastgesteld"),"",_xlfn.MAXIFS($G$6:$G$5005,$S$6:$S$5005,S1531,$D$6:$D$5005,"Vastgesteld"))</f>
        <v/>
      </c>
      <c r="U1531" s="15">
        <f>IF(T1531="",0,IF(AND(G1531=T1531,COUNTIFS($S$6:S1531,S1531,$G$6:G1531,G1531,$D$6:D1531,"Vastgesteld")=1),1,0))</f>
        <v>0</v>
      </c>
      <c r="V1531" s="15">
        <f>IF(T1531="",0,IF(AND(G1531=T1531,COUNTIFS($S$6:S1531,S1531,$G$6:G1531,G1531,$D$6:D1531,"Vastgesteld")&gt;1),1,0))</f>
        <v>0</v>
      </c>
    </row>
    <row r="1532">
      <c r="S1532" s="15" t="str">
        <f>IF(J1532="","",J1532&amp;"|"&amp;E1532&amp;"|"&amp;F1532&amp;"|"&amp;I1532&amp;"|"&amp;O1532)</f>
        <v/>
      </c>
      <c r="T1532" s="15" t="str">
        <f>IF(OR(S1532="",D1532&lt;&gt;"Vastgesteld"),"",_xlfn.MAXIFS($G$6:$G$5005,$S$6:$S$5005,S1532,$D$6:$D$5005,"Vastgesteld"))</f>
        <v/>
      </c>
      <c r="U1532" s="15">
        <f>IF(T1532="",0,IF(AND(G1532=T1532,COUNTIFS($S$6:S1532,S1532,$G$6:G1532,G1532,$D$6:D1532,"Vastgesteld")=1),1,0))</f>
        <v>0</v>
      </c>
      <c r="V1532" s="15">
        <f>IF(T1532="",0,IF(AND(G1532=T1532,COUNTIFS($S$6:S1532,S1532,$G$6:G1532,G1532,$D$6:D1532,"Vastgesteld")&gt;1),1,0))</f>
        <v>0</v>
      </c>
    </row>
    <row r="1533">
      <c r="S1533" s="15" t="str">
        <f>IF(J1533="","",J1533&amp;"|"&amp;E1533&amp;"|"&amp;F1533&amp;"|"&amp;I1533&amp;"|"&amp;O1533)</f>
        <v/>
      </c>
      <c r="T1533" s="15" t="str">
        <f>IF(OR(S1533="",D1533&lt;&gt;"Vastgesteld"),"",_xlfn.MAXIFS($G$6:$G$5005,$S$6:$S$5005,S1533,$D$6:$D$5005,"Vastgesteld"))</f>
        <v/>
      </c>
      <c r="U1533" s="15">
        <f>IF(T1533="",0,IF(AND(G1533=T1533,COUNTIFS($S$6:S1533,S1533,$G$6:G1533,G1533,$D$6:D1533,"Vastgesteld")=1),1,0))</f>
        <v>0</v>
      </c>
      <c r="V1533" s="15">
        <f>IF(T1533="",0,IF(AND(G1533=T1533,COUNTIFS($S$6:S1533,S1533,$G$6:G1533,G1533,$D$6:D1533,"Vastgesteld")&gt;1),1,0))</f>
        <v>0</v>
      </c>
    </row>
    <row r="1534">
      <c r="S1534" s="15" t="str">
        <f>IF(J1534="","",J1534&amp;"|"&amp;E1534&amp;"|"&amp;F1534&amp;"|"&amp;I1534&amp;"|"&amp;O1534)</f>
        <v/>
      </c>
      <c r="T1534" s="15" t="str">
        <f>IF(OR(S1534="",D1534&lt;&gt;"Vastgesteld"),"",_xlfn.MAXIFS($G$6:$G$5005,$S$6:$S$5005,S1534,$D$6:$D$5005,"Vastgesteld"))</f>
        <v/>
      </c>
      <c r="U1534" s="15">
        <f>IF(T1534="",0,IF(AND(G1534=T1534,COUNTIFS($S$6:S1534,S1534,$G$6:G1534,G1534,$D$6:D1534,"Vastgesteld")=1),1,0))</f>
        <v>0</v>
      </c>
      <c r="V1534" s="15">
        <f>IF(T1534="",0,IF(AND(G1534=T1534,COUNTIFS($S$6:S1534,S1534,$G$6:G1534,G1534,$D$6:D1534,"Vastgesteld")&gt;1),1,0))</f>
        <v>0</v>
      </c>
    </row>
    <row r="1535">
      <c r="S1535" s="15" t="str">
        <f>IF(J1535="","",J1535&amp;"|"&amp;E1535&amp;"|"&amp;F1535&amp;"|"&amp;I1535&amp;"|"&amp;O1535)</f>
        <v/>
      </c>
      <c r="T1535" s="15" t="str">
        <f>IF(OR(S1535="",D1535&lt;&gt;"Vastgesteld"),"",_xlfn.MAXIFS($G$6:$G$5005,$S$6:$S$5005,S1535,$D$6:$D$5005,"Vastgesteld"))</f>
        <v/>
      </c>
      <c r="U1535" s="15">
        <f>IF(T1535="",0,IF(AND(G1535=T1535,COUNTIFS($S$6:S1535,S1535,$G$6:G1535,G1535,$D$6:D1535,"Vastgesteld")=1),1,0))</f>
        <v>0</v>
      </c>
      <c r="V1535" s="15">
        <f>IF(T1535="",0,IF(AND(G1535=T1535,COUNTIFS($S$6:S1535,S1535,$G$6:G1535,G1535,$D$6:D1535,"Vastgesteld")&gt;1),1,0))</f>
        <v>0</v>
      </c>
    </row>
    <row r="1536">
      <c r="S1536" s="15" t="str">
        <f>IF(J1536="","",J1536&amp;"|"&amp;E1536&amp;"|"&amp;F1536&amp;"|"&amp;I1536&amp;"|"&amp;O1536)</f>
        <v/>
      </c>
      <c r="T1536" s="15" t="str">
        <f>IF(OR(S1536="",D1536&lt;&gt;"Vastgesteld"),"",_xlfn.MAXIFS($G$6:$G$5005,$S$6:$S$5005,S1536,$D$6:$D$5005,"Vastgesteld"))</f>
        <v/>
      </c>
      <c r="U1536" s="15">
        <f>IF(T1536="",0,IF(AND(G1536=T1536,COUNTIFS($S$6:S1536,S1536,$G$6:G1536,G1536,$D$6:D1536,"Vastgesteld")=1),1,0))</f>
        <v>0</v>
      </c>
      <c r="V1536" s="15">
        <f>IF(T1536="",0,IF(AND(G1536=T1536,COUNTIFS($S$6:S1536,S1536,$G$6:G1536,G1536,$D$6:D1536,"Vastgesteld")&gt;1),1,0))</f>
        <v>0</v>
      </c>
    </row>
    <row r="1537">
      <c r="S1537" s="15" t="str">
        <f>IF(J1537="","",J1537&amp;"|"&amp;E1537&amp;"|"&amp;F1537&amp;"|"&amp;I1537&amp;"|"&amp;O1537)</f>
        <v/>
      </c>
      <c r="T1537" s="15" t="str">
        <f>IF(OR(S1537="",D1537&lt;&gt;"Vastgesteld"),"",_xlfn.MAXIFS($G$6:$G$5005,$S$6:$S$5005,S1537,$D$6:$D$5005,"Vastgesteld"))</f>
        <v/>
      </c>
      <c r="U1537" s="15">
        <f>IF(T1537="",0,IF(AND(G1537=T1537,COUNTIFS($S$6:S1537,S1537,$G$6:G1537,G1537,$D$6:D1537,"Vastgesteld")=1),1,0))</f>
        <v>0</v>
      </c>
      <c r="V1537" s="15">
        <f>IF(T1537="",0,IF(AND(G1537=T1537,COUNTIFS($S$6:S1537,S1537,$G$6:G1537,G1537,$D$6:D1537,"Vastgesteld")&gt;1),1,0))</f>
        <v>0</v>
      </c>
    </row>
    <row r="1538">
      <c r="S1538" s="15" t="str">
        <f>IF(J1538="","",J1538&amp;"|"&amp;E1538&amp;"|"&amp;F1538&amp;"|"&amp;I1538&amp;"|"&amp;O1538)</f>
        <v/>
      </c>
      <c r="T1538" s="15" t="str">
        <f>IF(OR(S1538="",D1538&lt;&gt;"Vastgesteld"),"",_xlfn.MAXIFS($G$6:$G$5005,$S$6:$S$5005,S1538,$D$6:$D$5005,"Vastgesteld"))</f>
        <v/>
      </c>
      <c r="U1538" s="15">
        <f>IF(T1538="",0,IF(AND(G1538=T1538,COUNTIFS($S$6:S1538,S1538,$G$6:G1538,G1538,$D$6:D1538,"Vastgesteld")=1),1,0))</f>
        <v>0</v>
      </c>
      <c r="V1538" s="15">
        <f>IF(T1538="",0,IF(AND(G1538=T1538,COUNTIFS($S$6:S1538,S1538,$G$6:G1538,G1538,$D$6:D1538,"Vastgesteld")&gt;1),1,0))</f>
        <v>0</v>
      </c>
    </row>
    <row r="1539">
      <c r="S1539" s="15" t="str">
        <f>IF(J1539="","",J1539&amp;"|"&amp;E1539&amp;"|"&amp;F1539&amp;"|"&amp;I1539&amp;"|"&amp;O1539)</f>
        <v/>
      </c>
      <c r="T1539" s="15" t="str">
        <f>IF(OR(S1539="",D1539&lt;&gt;"Vastgesteld"),"",_xlfn.MAXIFS($G$6:$G$5005,$S$6:$S$5005,S1539,$D$6:$D$5005,"Vastgesteld"))</f>
        <v/>
      </c>
      <c r="U1539" s="15">
        <f>IF(T1539="",0,IF(AND(G1539=T1539,COUNTIFS($S$6:S1539,S1539,$G$6:G1539,G1539,$D$6:D1539,"Vastgesteld")=1),1,0))</f>
        <v>0</v>
      </c>
      <c r="V1539" s="15">
        <f>IF(T1539="",0,IF(AND(G1539=T1539,COUNTIFS($S$6:S1539,S1539,$G$6:G1539,G1539,$D$6:D1539,"Vastgesteld")&gt;1),1,0))</f>
        <v>0</v>
      </c>
    </row>
    <row r="1540">
      <c r="S1540" s="15" t="str">
        <f>IF(J1540="","",J1540&amp;"|"&amp;E1540&amp;"|"&amp;F1540&amp;"|"&amp;I1540&amp;"|"&amp;O1540)</f>
        <v/>
      </c>
      <c r="T1540" s="15" t="str">
        <f>IF(OR(S1540="",D1540&lt;&gt;"Vastgesteld"),"",_xlfn.MAXIFS($G$6:$G$5005,$S$6:$S$5005,S1540,$D$6:$D$5005,"Vastgesteld"))</f>
        <v/>
      </c>
      <c r="U1540" s="15">
        <f>IF(T1540="",0,IF(AND(G1540=T1540,COUNTIFS($S$6:S1540,S1540,$G$6:G1540,G1540,$D$6:D1540,"Vastgesteld")=1),1,0))</f>
        <v>0</v>
      </c>
      <c r="V1540" s="15">
        <f>IF(T1540="",0,IF(AND(G1540=T1540,COUNTIFS($S$6:S1540,S1540,$G$6:G1540,G1540,$D$6:D1540,"Vastgesteld")&gt;1),1,0))</f>
        <v>0</v>
      </c>
    </row>
    <row r="1541">
      <c r="S1541" s="15" t="str">
        <f>IF(J1541="","",J1541&amp;"|"&amp;E1541&amp;"|"&amp;F1541&amp;"|"&amp;I1541&amp;"|"&amp;O1541)</f>
        <v/>
      </c>
      <c r="T1541" s="15" t="str">
        <f>IF(OR(S1541="",D1541&lt;&gt;"Vastgesteld"),"",_xlfn.MAXIFS($G$6:$G$5005,$S$6:$S$5005,S1541,$D$6:$D$5005,"Vastgesteld"))</f>
        <v/>
      </c>
      <c r="U1541" s="15">
        <f>IF(T1541="",0,IF(AND(G1541=T1541,COUNTIFS($S$6:S1541,S1541,$G$6:G1541,G1541,$D$6:D1541,"Vastgesteld")=1),1,0))</f>
        <v>0</v>
      </c>
      <c r="V1541" s="15">
        <f>IF(T1541="",0,IF(AND(G1541=T1541,COUNTIFS($S$6:S1541,S1541,$G$6:G1541,G1541,$D$6:D1541,"Vastgesteld")&gt;1),1,0))</f>
        <v>0</v>
      </c>
    </row>
    <row r="1542">
      <c r="S1542" s="15" t="str">
        <f>IF(J1542="","",J1542&amp;"|"&amp;E1542&amp;"|"&amp;F1542&amp;"|"&amp;I1542&amp;"|"&amp;O1542)</f>
        <v/>
      </c>
      <c r="T1542" s="15" t="str">
        <f>IF(OR(S1542="",D1542&lt;&gt;"Vastgesteld"),"",_xlfn.MAXIFS($G$6:$G$5005,$S$6:$S$5005,S1542,$D$6:$D$5005,"Vastgesteld"))</f>
        <v/>
      </c>
      <c r="U1542" s="15">
        <f>IF(T1542="",0,IF(AND(G1542=T1542,COUNTIFS($S$6:S1542,S1542,$G$6:G1542,G1542,$D$6:D1542,"Vastgesteld")=1),1,0))</f>
        <v>0</v>
      </c>
      <c r="V1542" s="15">
        <f>IF(T1542="",0,IF(AND(G1542=T1542,COUNTIFS($S$6:S1542,S1542,$G$6:G1542,G1542,$D$6:D1542,"Vastgesteld")&gt;1),1,0))</f>
        <v>0</v>
      </c>
    </row>
    <row r="1543">
      <c r="S1543" s="15" t="str">
        <f>IF(J1543="","",J1543&amp;"|"&amp;E1543&amp;"|"&amp;F1543&amp;"|"&amp;I1543&amp;"|"&amp;O1543)</f>
        <v/>
      </c>
      <c r="T1543" s="15" t="str">
        <f>IF(OR(S1543="",D1543&lt;&gt;"Vastgesteld"),"",_xlfn.MAXIFS($G$6:$G$5005,$S$6:$S$5005,S1543,$D$6:$D$5005,"Vastgesteld"))</f>
        <v/>
      </c>
      <c r="U1543" s="15">
        <f>IF(T1543="",0,IF(AND(G1543=T1543,COUNTIFS($S$6:S1543,S1543,$G$6:G1543,G1543,$D$6:D1543,"Vastgesteld")=1),1,0))</f>
        <v>0</v>
      </c>
      <c r="V1543" s="15">
        <f>IF(T1543="",0,IF(AND(G1543=T1543,COUNTIFS($S$6:S1543,S1543,$G$6:G1543,G1543,$D$6:D1543,"Vastgesteld")&gt;1),1,0))</f>
        <v>0</v>
      </c>
    </row>
    <row r="1544">
      <c r="S1544" s="15" t="str">
        <f>IF(J1544="","",J1544&amp;"|"&amp;E1544&amp;"|"&amp;F1544&amp;"|"&amp;I1544&amp;"|"&amp;O1544)</f>
        <v/>
      </c>
      <c r="T1544" s="15" t="str">
        <f>IF(OR(S1544="",D1544&lt;&gt;"Vastgesteld"),"",_xlfn.MAXIFS($G$6:$G$5005,$S$6:$S$5005,S1544,$D$6:$D$5005,"Vastgesteld"))</f>
        <v/>
      </c>
      <c r="U1544" s="15">
        <f>IF(T1544="",0,IF(AND(G1544=T1544,COUNTIFS($S$6:S1544,S1544,$G$6:G1544,G1544,$D$6:D1544,"Vastgesteld")=1),1,0))</f>
        <v>0</v>
      </c>
      <c r="V1544" s="15">
        <f>IF(T1544="",0,IF(AND(G1544=T1544,COUNTIFS($S$6:S1544,S1544,$G$6:G1544,G1544,$D$6:D1544,"Vastgesteld")&gt;1),1,0))</f>
        <v>0</v>
      </c>
    </row>
    <row r="1545">
      <c r="S1545" s="15" t="str">
        <f>IF(J1545="","",J1545&amp;"|"&amp;E1545&amp;"|"&amp;F1545&amp;"|"&amp;I1545&amp;"|"&amp;O1545)</f>
        <v/>
      </c>
      <c r="T1545" s="15" t="str">
        <f>IF(OR(S1545="",D1545&lt;&gt;"Vastgesteld"),"",_xlfn.MAXIFS($G$6:$G$5005,$S$6:$S$5005,S1545,$D$6:$D$5005,"Vastgesteld"))</f>
        <v/>
      </c>
      <c r="U1545" s="15">
        <f>IF(T1545="",0,IF(AND(G1545=T1545,COUNTIFS($S$6:S1545,S1545,$G$6:G1545,G1545,$D$6:D1545,"Vastgesteld")=1),1,0))</f>
        <v>0</v>
      </c>
      <c r="V1545" s="15">
        <f>IF(T1545="",0,IF(AND(G1545=T1545,COUNTIFS($S$6:S1545,S1545,$G$6:G1545,G1545,$D$6:D1545,"Vastgesteld")&gt;1),1,0))</f>
        <v>0</v>
      </c>
    </row>
    <row r="1546">
      <c r="S1546" s="15" t="str">
        <f>IF(J1546="","",J1546&amp;"|"&amp;E1546&amp;"|"&amp;F1546&amp;"|"&amp;I1546&amp;"|"&amp;O1546)</f>
        <v/>
      </c>
      <c r="T1546" s="15" t="str">
        <f>IF(OR(S1546="",D1546&lt;&gt;"Vastgesteld"),"",_xlfn.MAXIFS($G$6:$G$5005,$S$6:$S$5005,S1546,$D$6:$D$5005,"Vastgesteld"))</f>
        <v/>
      </c>
      <c r="U1546" s="15">
        <f>IF(T1546="",0,IF(AND(G1546=T1546,COUNTIFS($S$6:S1546,S1546,$G$6:G1546,G1546,$D$6:D1546,"Vastgesteld")=1),1,0))</f>
        <v>0</v>
      </c>
      <c r="V1546" s="15">
        <f>IF(T1546="",0,IF(AND(G1546=T1546,COUNTIFS($S$6:S1546,S1546,$G$6:G1546,G1546,$D$6:D1546,"Vastgesteld")&gt;1),1,0))</f>
        <v>0</v>
      </c>
    </row>
    <row r="1547">
      <c r="S1547" s="15" t="str">
        <f>IF(J1547="","",J1547&amp;"|"&amp;E1547&amp;"|"&amp;F1547&amp;"|"&amp;I1547&amp;"|"&amp;O1547)</f>
        <v/>
      </c>
      <c r="T1547" s="15" t="str">
        <f>IF(OR(S1547="",D1547&lt;&gt;"Vastgesteld"),"",_xlfn.MAXIFS($G$6:$G$5005,$S$6:$S$5005,S1547,$D$6:$D$5005,"Vastgesteld"))</f>
        <v/>
      </c>
      <c r="U1547" s="15">
        <f>IF(T1547="",0,IF(AND(G1547=T1547,COUNTIFS($S$6:S1547,S1547,$G$6:G1547,G1547,$D$6:D1547,"Vastgesteld")=1),1,0))</f>
        <v>0</v>
      </c>
      <c r="V1547" s="15">
        <f>IF(T1547="",0,IF(AND(G1547=T1547,COUNTIFS($S$6:S1547,S1547,$G$6:G1547,G1547,$D$6:D1547,"Vastgesteld")&gt;1),1,0))</f>
        <v>0</v>
      </c>
    </row>
    <row r="1548">
      <c r="S1548" s="15" t="str">
        <f>IF(J1548="","",J1548&amp;"|"&amp;E1548&amp;"|"&amp;F1548&amp;"|"&amp;I1548&amp;"|"&amp;O1548)</f>
        <v/>
      </c>
      <c r="T1548" s="15" t="str">
        <f>IF(OR(S1548="",D1548&lt;&gt;"Vastgesteld"),"",_xlfn.MAXIFS($G$6:$G$5005,$S$6:$S$5005,S1548,$D$6:$D$5005,"Vastgesteld"))</f>
        <v/>
      </c>
      <c r="U1548" s="15">
        <f>IF(T1548="",0,IF(AND(G1548=T1548,COUNTIFS($S$6:S1548,S1548,$G$6:G1548,G1548,$D$6:D1548,"Vastgesteld")=1),1,0))</f>
        <v>0</v>
      </c>
      <c r="V1548" s="15">
        <f>IF(T1548="",0,IF(AND(G1548=T1548,COUNTIFS($S$6:S1548,S1548,$G$6:G1548,G1548,$D$6:D1548,"Vastgesteld")&gt;1),1,0))</f>
        <v>0</v>
      </c>
    </row>
    <row r="1549">
      <c r="S1549" s="15" t="str">
        <f>IF(J1549="","",J1549&amp;"|"&amp;E1549&amp;"|"&amp;F1549&amp;"|"&amp;I1549&amp;"|"&amp;O1549)</f>
        <v/>
      </c>
      <c r="T1549" s="15" t="str">
        <f>IF(OR(S1549="",D1549&lt;&gt;"Vastgesteld"),"",_xlfn.MAXIFS($G$6:$G$5005,$S$6:$S$5005,S1549,$D$6:$D$5005,"Vastgesteld"))</f>
        <v/>
      </c>
      <c r="U1549" s="15">
        <f>IF(T1549="",0,IF(AND(G1549=T1549,COUNTIFS($S$6:S1549,S1549,$G$6:G1549,G1549,$D$6:D1549,"Vastgesteld")=1),1,0))</f>
        <v>0</v>
      </c>
      <c r="V1549" s="15">
        <f>IF(T1549="",0,IF(AND(G1549=T1549,COUNTIFS($S$6:S1549,S1549,$G$6:G1549,G1549,$D$6:D1549,"Vastgesteld")&gt;1),1,0))</f>
        <v>0</v>
      </c>
    </row>
    <row r="1550">
      <c r="S1550" s="15" t="str">
        <f>IF(J1550="","",J1550&amp;"|"&amp;E1550&amp;"|"&amp;F1550&amp;"|"&amp;I1550&amp;"|"&amp;O1550)</f>
        <v/>
      </c>
      <c r="T1550" s="15" t="str">
        <f>IF(OR(S1550="",D1550&lt;&gt;"Vastgesteld"),"",_xlfn.MAXIFS($G$6:$G$5005,$S$6:$S$5005,S1550,$D$6:$D$5005,"Vastgesteld"))</f>
        <v/>
      </c>
      <c r="U1550" s="15">
        <f>IF(T1550="",0,IF(AND(G1550=T1550,COUNTIFS($S$6:S1550,S1550,$G$6:G1550,G1550,$D$6:D1550,"Vastgesteld")=1),1,0))</f>
        <v>0</v>
      </c>
      <c r="V1550" s="15">
        <f>IF(T1550="",0,IF(AND(G1550=T1550,COUNTIFS($S$6:S1550,S1550,$G$6:G1550,G1550,$D$6:D1550,"Vastgesteld")&gt;1),1,0))</f>
        <v>0</v>
      </c>
    </row>
    <row r="1551">
      <c r="S1551" s="15" t="str">
        <f>IF(J1551="","",J1551&amp;"|"&amp;E1551&amp;"|"&amp;F1551&amp;"|"&amp;I1551&amp;"|"&amp;O1551)</f>
        <v/>
      </c>
      <c r="T1551" s="15" t="str">
        <f>IF(OR(S1551="",D1551&lt;&gt;"Vastgesteld"),"",_xlfn.MAXIFS($G$6:$G$5005,$S$6:$S$5005,S1551,$D$6:$D$5005,"Vastgesteld"))</f>
        <v/>
      </c>
      <c r="U1551" s="15">
        <f>IF(T1551="",0,IF(AND(G1551=T1551,COUNTIFS($S$6:S1551,S1551,$G$6:G1551,G1551,$D$6:D1551,"Vastgesteld")=1),1,0))</f>
        <v>0</v>
      </c>
      <c r="V1551" s="15">
        <f>IF(T1551="",0,IF(AND(G1551=T1551,COUNTIFS($S$6:S1551,S1551,$G$6:G1551,G1551,$D$6:D1551,"Vastgesteld")&gt;1),1,0))</f>
        <v>0</v>
      </c>
    </row>
    <row r="1552">
      <c r="S1552" s="15" t="str">
        <f>IF(J1552="","",J1552&amp;"|"&amp;E1552&amp;"|"&amp;F1552&amp;"|"&amp;I1552&amp;"|"&amp;O1552)</f>
        <v/>
      </c>
      <c r="T1552" s="15" t="str">
        <f>IF(OR(S1552="",D1552&lt;&gt;"Vastgesteld"),"",_xlfn.MAXIFS($G$6:$G$5005,$S$6:$S$5005,S1552,$D$6:$D$5005,"Vastgesteld"))</f>
        <v/>
      </c>
      <c r="U1552" s="15">
        <f>IF(T1552="",0,IF(AND(G1552=T1552,COUNTIFS($S$6:S1552,S1552,$G$6:G1552,G1552,$D$6:D1552,"Vastgesteld")=1),1,0))</f>
        <v>0</v>
      </c>
      <c r="V1552" s="15">
        <f>IF(T1552="",0,IF(AND(G1552=T1552,COUNTIFS($S$6:S1552,S1552,$G$6:G1552,G1552,$D$6:D1552,"Vastgesteld")&gt;1),1,0))</f>
        <v>0</v>
      </c>
    </row>
    <row r="1553">
      <c r="S1553" s="15" t="str">
        <f>IF(J1553="","",J1553&amp;"|"&amp;E1553&amp;"|"&amp;F1553&amp;"|"&amp;I1553&amp;"|"&amp;O1553)</f>
        <v/>
      </c>
      <c r="T1553" s="15" t="str">
        <f>IF(OR(S1553="",D1553&lt;&gt;"Vastgesteld"),"",_xlfn.MAXIFS($G$6:$G$5005,$S$6:$S$5005,S1553,$D$6:$D$5005,"Vastgesteld"))</f>
        <v/>
      </c>
      <c r="U1553" s="15">
        <f>IF(T1553="",0,IF(AND(G1553=T1553,COUNTIFS($S$6:S1553,S1553,$G$6:G1553,G1553,$D$6:D1553,"Vastgesteld")=1),1,0))</f>
        <v>0</v>
      </c>
      <c r="V1553" s="15">
        <f>IF(T1553="",0,IF(AND(G1553=T1553,COUNTIFS($S$6:S1553,S1553,$G$6:G1553,G1553,$D$6:D1553,"Vastgesteld")&gt;1),1,0))</f>
        <v>0</v>
      </c>
    </row>
    <row r="1554">
      <c r="S1554" s="15" t="str">
        <f>IF(J1554="","",J1554&amp;"|"&amp;E1554&amp;"|"&amp;F1554&amp;"|"&amp;I1554&amp;"|"&amp;O1554)</f>
        <v/>
      </c>
      <c r="T1554" s="15" t="str">
        <f>IF(OR(S1554="",D1554&lt;&gt;"Vastgesteld"),"",_xlfn.MAXIFS($G$6:$G$5005,$S$6:$S$5005,S1554,$D$6:$D$5005,"Vastgesteld"))</f>
        <v/>
      </c>
      <c r="U1554" s="15">
        <f>IF(T1554="",0,IF(AND(G1554=T1554,COUNTIFS($S$6:S1554,S1554,$G$6:G1554,G1554,$D$6:D1554,"Vastgesteld")=1),1,0))</f>
        <v>0</v>
      </c>
      <c r="V1554" s="15">
        <f>IF(T1554="",0,IF(AND(G1554=T1554,COUNTIFS($S$6:S1554,S1554,$G$6:G1554,G1554,$D$6:D1554,"Vastgesteld")&gt;1),1,0))</f>
        <v>0</v>
      </c>
    </row>
    <row r="1555">
      <c r="S1555" s="15" t="str">
        <f>IF(J1555="","",J1555&amp;"|"&amp;E1555&amp;"|"&amp;F1555&amp;"|"&amp;I1555&amp;"|"&amp;O1555)</f>
        <v/>
      </c>
      <c r="T1555" s="15" t="str">
        <f>IF(OR(S1555="",D1555&lt;&gt;"Vastgesteld"),"",_xlfn.MAXIFS($G$6:$G$5005,$S$6:$S$5005,S1555,$D$6:$D$5005,"Vastgesteld"))</f>
        <v/>
      </c>
      <c r="U1555" s="15">
        <f>IF(T1555="",0,IF(AND(G1555=T1555,COUNTIFS($S$6:S1555,S1555,$G$6:G1555,G1555,$D$6:D1555,"Vastgesteld")=1),1,0))</f>
        <v>0</v>
      </c>
      <c r="V1555" s="15">
        <f>IF(T1555="",0,IF(AND(G1555=T1555,COUNTIFS($S$6:S1555,S1555,$G$6:G1555,G1555,$D$6:D1555,"Vastgesteld")&gt;1),1,0))</f>
        <v>0</v>
      </c>
    </row>
    <row r="1556">
      <c r="S1556" s="15" t="str">
        <f>IF(J1556="","",J1556&amp;"|"&amp;E1556&amp;"|"&amp;F1556&amp;"|"&amp;I1556&amp;"|"&amp;O1556)</f>
        <v/>
      </c>
      <c r="T1556" s="15" t="str">
        <f>IF(OR(S1556="",D1556&lt;&gt;"Vastgesteld"),"",_xlfn.MAXIFS($G$6:$G$5005,$S$6:$S$5005,S1556,$D$6:$D$5005,"Vastgesteld"))</f>
        <v/>
      </c>
      <c r="U1556" s="15">
        <f>IF(T1556="",0,IF(AND(G1556=T1556,COUNTIFS($S$6:S1556,S1556,$G$6:G1556,G1556,$D$6:D1556,"Vastgesteld")=1),1,0))</f>
        <v>0</v>
      </c>
      <c r="V1556" s="15">
        <f>IF(T1556="",0,IF(AND(G1556=T1556,COUNTIFS($S$6:S1556,S1556,$G$6:G1556,G1556,$D$6:D1556,"Vastgesteld")&gt;1),1,0))</f>
        <v>0</v>
      </c>
    </row>
    <row r="1557">
      <c r="S1557" s="15" t="str">
        <f>IF(J1557="","",J1557&amp;"|"&amp;E1557&amp;"|"&amp;F1557&amp;"|"&amp;I1557&amp;"|"&amp;O1557)</f>
        <v/>
      </c>
      <c r="T1557" s="15" t="str">
        <f>IF(OR(S1557="",D1557&lt;&gt;"Vastgesteld"),"",_xlfn.MAXIFS($G$6:$G$5005,$S$6:$S$5005,S1557,$D$6:$D$5005,"Vastgesteld"))</f>
        <v/>
      </c>
      <c r="U1557" s="15">
        <f>IF(T1557="",0,IF(AND(G1557=T1557,COUNTIFS($S$6:S1557,S1557,$G$6:G1557,G1557,$D$6:D1557,"Vastgesteld")=1),1,0))</f>
        <v>0</v>
      </c>
      <c r="V1557" s="15">
        <f>IF(T1557="",0,IF(AND(G1557=T1557,COUNTIFS($S$6:S1557,S1557,$G$6:G1557,G1557,$D$6:D1557,"Vastgesteld")&gt;1),1,0))</f>
        <v>0</v>
      </c>
    </row>
    <row r="1558">
      <c r="S1558" s="15" t="str">
        <f>IF(J1558="","",J1558&amp;"|"&amp;E1558&amp;"|"&amp;F1558&amp;"|"&amp;I1558&amp;"|"&amp;O1558)</f>
        <v/>
      </c>
      <c r="T1558" s="15" t="str">
        <f>IF(OR(S1558="",D1558&lt;&gt;"Vastgesteld"),"",_xlfn.MAXIFS($G$6:$G$5005,$S$6:$S$5005,S1558,$D$6:$D$5005,"Vastgesteld"))</f>
        <v/>
      </c>
      <c r="U1558" s="15">
        <f>IF(T1558="",0,IF(AND(G1558=T1558,COUNTIFS($S$6:S1558,S1558,$G$6:G1558,G1558,$D$6:D1558,"Vastgesteld")=1),1,0))</f>
        <v>0</v>
      </c>
      <c r="V1558" s="15">
        <f>IF(T1558="",0,IF(AND(G1558=T1558,COUNTIFS($S$6:S1558,S1558,$G$6:G1558,G1558,$D$6:D1558,"Vastgesteld")&gt;1),1,0))</f>
        <v>0</v>
      </c>
    </row>
    <row r="1559">
      <c r="S1559" s="15" t="str">
        <f>IF(J1559="","",J1559&amp;"|"&amp;E1559&amp;"|"&amp;F1559&amp;"|"&amp;I1559&amp;"|"&amp;O1559)</f>
        <v/>
      </c>
      <c r="T1559" s="15" t="str">
        <f>IF(OR(S1559="",D1559&lt;&gt;"Vastgesteld"),"",_xlfn.MAXIFS($G$6:$G$5005,$S$6:$S$5005,S1559,$D$6:$D$5005,"Vastgesteld"))</f>
        <v/>
      </c>
      <c r="U1559" s="15">
        <f>IF(T1559="",0,IF(AND(G1559=T1559,COUNTIFS($S$6:S1559,S1559,$G$6:G1559,G1559,$D$6:D1559,"Vastgesteld")=1),1,0))</f>
        <v>0</v>
      </c>
      <c r="V1559" s="15">
        <f>IF(T1559="",0,IF(AND(G1559=T1559,COUNTIFS($S$6:S1559,S1559,$G$6:G1559,G1559,$D$6:D1559,"Vastgesteld")&gt;1),1,0))</f>
        <v>0</v>
      </c>
    </row>
    <row r="1560">
      <c r="S1560" s="15" t="str">
        <f>IF(J1560="","",J1560&amp;"|"&amp;E1560&amp;"|"&amp;F1560&amp;"|"&amp;I1560&amp;"|"&amp;O1560)</f>
        <v/>
      </c>
      <c r="T1560" s="15" t="str">
        <f>IF(OR(S1560="",D1560&lt;&gt;"Vastgesteld"),"",_xlfn.MAXIFS($G$6:$G$5005,$S$6:$S$5005,S1560,$D$6:$D$5005,"Vastgesteld"))</f>
        <v/>
      </c>
      <c r="U1560" s="15">
        <f>IF(T1560="",0,IF(AND(G1560=T1560,COUNTIFS($S$6:S1560,S1560,$G$6:G1560,G1560,$D$6:D1560,"Vastgesteld")=1),1,0))</f>
        <v>0</v>
      </c>
      <c r="V1560" s="15">
        <f>IF(T1560="",0,IF(AND(G1560=T1560,COUNTIFS($S$6:S1560,S1560,$G$6:G1560,G1560,$D$6:D1560,"Vastgesteld")&gt;1),1,0))</f>
        <v>0</v>
      </c>
    </row>
    <row r="1561">
      <c r="S1561" s="15" t="str">
        <f>IF(J1561="","",J1561&amp;"|"&amp;E1561&amp;"|"&amp;F1561&amp;"|"&amp;I1561&amp;"|"&amp;O1561)</f>
        <v/>
      </c>
      <c r="T1561" s="15" t="str">
        <f>IF(OR(S1561="",D1561&lt;&gt;"Vastgesteld"),"",_xlfn.MAXIFS($G$6:$G$5005,$S$6:$S$5005,S1561,$D$6:$D$5005,"Vastgesteld"))</f>
        <v/>
      </c>
      <c r="U1561" s="15">
        <f>IF(T1561="",0,IF(AND(G1561=T1561,COUNTIFS($S$6:S1561,S1561,$G$6:G1561,G1561,$D$6:D1561,"Vastgesteld")=1),1,0))</f>
        <v>0</v>
      </c>
      <c r="V1561" s="15">
        <f>IF(T1561="",0,IF(AND(G1561=T1561,COUNTIFS($S$6:S1561,S1561,$G$6:G1561,G1561,$D$6:D1561,"Vastgesteld")&gt;1),1,0))</f>
        <v>0</v>
      </c>
    </row>
    <row r="1562">
      <c r="S1562" s="15" t="str">
        <f>IF(J1562="","",J1562&amp;"|"&amp;E1562&amp;"|"&amp;F1562&amp;"|"&amp;I1562&amp;"|"&amp;O1562)</f>
        <v/>
      </c>
      <c r="T1562" s="15" t="str">
        <f>IF(OR(S1562="",D1562&lt;&gt;"Vastgesteld"),"",_xlfn.MAXIFS($G$6:$G$5005,$S$6:$S$5005,S1562,$D$6:$D$5005,"Vastgesteld"))</f>
        <v/>
      </c>
      <c r="U1562" s="15">
        <f>IF(T1562="",0,IF(AND(G1562=T1562,COUNTIFS($S$6:S1562,S1562,$G$6:G1562,G1562,$D$6:D1562,"Vastgesteld")=1),1,0))</f>
        <v>0</v>
      </c>
      <c r="V1562" s="15">
        <f>IF(T1562="",0,IF(AND(G1562=T1562,COUNTIFS($S$6:S1562,S1562,$G$6:G1562,G1562,$D$6:D1562,"Vastgesteld")&gt;1),1,0))</f>
        <v>0</v>
      </c>
    </row>
    <row r="1563">
      <c r="S1563" s="15" t="str">
        <f>IF(J1563="","",J1563&amp;"|"&amp;E1563&amp;"|"&amp;F1563&amp;"|"&amp;I1563&amp;"|"&amp;O1563)</f>
        <v/>
      </c>
      <c r="T1563" s="15" t="str">
        <f>IF(OR(S1563="",D1563&lt;&gt;"Vastgesteld"),"",_xlfn.MAXIFS($G$6:$G$5005,$S$6:$S$5005,S1563,$D$6:$D$5005,"Vastgesteld"))</f>
        <v/>
      </c>
      <c r="U1563" s="15">
        <f>IF(T1563="",0,IF(AND(G1563=T1563,COUNTIFS($S$6:S1563,S1563,$G$6:G1563,G1563,$D$6:D1563,"Vastgesteld")=1),1,0))</f>
        <v>0</v>
      </c>
      <c r="V1563" s="15">
        <f>IF(T1563="",0,IF(AND(G1563=T1563,COUNTIFS($S$6:S1563,S1563,$G$6:G1563,G1563,$D$6:D1563,"Vastgesteld")&gt;1),1,0))</f>
        <v>0</v>
      </c>
    </row>
    <row r="1564">
      <c r="S1564" s="15" t="str">
        <f>IF(J1564="","",J1564&amp;"|"&amp;E1564&amp;"|"&amp;F1564&amp;"|"&amp;I1564&amp;"|"&amp;O1564)</f>
        <v/>
      </c>
      <c r="T1564" s="15" t="str">
        <f>IF(OR(S1564="",D1564&lt;&gt;"Vastgesteld"),"",_xlfn.MAXIFS($G$6:$G$5005,$S$6:$S$5005,S1564,$D$6:$D$5005,"Vastgesteld"))</f>
        <v/>
      </c>
      <c r="U1564" s="15">
        <f>IF(T1564="",0,IF(AND(G1564=T1564,COUNTIFS($S$6:S1564,S1564,$G$6:G1564,G1564,$D$6:D1564,"Vastgesteld")=1),1,0))</f>
        <v>0</v>
      </c>
      <c r="V1564" s="15">
        <f>IF(T1564="",0,IF(AND(G1564=T1564,COUNTIFS($S$6:S1564,S1564,$G$6:G1564,G1564,$D$6:D1564,"Vastgesteld")&gt;1),1,0))</f>
        <v>0</v>
      </c>
    </row>
    <row r="1565">
      <c r="S1565" s="15" t="str">
        <f>IF(J1565="","",J1565&amp;"|"&amp;E1565&amp;"|"&amp;F1565&amp;"|"&amp;I1565&amp;"|"&amp;O1565)</f>
        <v/>
      </c>
      <c r="T1565" s="15" t="str">
        <f>IF(OR(S1565="",D1565&lt;&gt;"Vastgesteld"),"",_xlfn.MAXIFS($G$6:$G$5005,$S$6:$S$5005,S1565,$D$6:$D$5005,"Vastgesteld"))</f>
        <v/>
      </c>
      <c r="U1565" s="15">
        <f>IF(T1565="",0,IF(AND(G1565=T1565,COUNTIFS($S$6:S1565,S1565,$G$6:G1565,G1565,$D$6:D1565,"Vastgesteld")=1),1,0))</f>
        <v>0</v>
      </c>
      <c r="V1565" s="15">
        <f>IF(T1565="",0,IF(AND(G1565=T1565,COUNTIFS($S$6:S1565,S1565,$G$6:G1565,G1565,$D$6:D1565,"Vastgesteld")&gt;1),1,0))</f>
        <v>0</v>
      </c>
    </row>
    <row r="1566">
      <c r="S1566" s="15" t="str">
        <f>IF(J1566="","",J1566&amp;"|"&amp;E1566&amp;"|"&amp;F1566&amp;"|"&amp;I1566&amp;"|"&amp;O1566)</f>
        <v/>
      </c>
      <c r="T1566" s="15" t="str">
        <f>IF(OR(S1566="",D1566&lt;&gt;"Vastgesteld"),"",_xlfn.MAXIFS($G$6:$G$5005,$S$6:$S$5005,S1566,$D$6:$D$5005,"Vastgesteld"))</f>
        <v/>
      </c>
      <c r="U1566" s="15">
        <f>IF(T1566="",0,IF(AND(G1566=T1566,COUNTIFS($S$6:S1566,S1566,$G$6:G1566,G1566,$D$6:D1566,"Vastgesteld")=1),1,0))</f>
        <v>0</v>
      </c>
      <c r="V1566" s="15">
        <f>IF(T1566="",0,IF(AND(G1566=T1566,COUNTIFS($S$6:S1566,S1566,$G$6:G1566,G1566,$D$6:D1566,"Vastgesteld")&gt;1),1,0))</f>
        <v>0</v>
      </c>
    </row>
    <row r="1567">
      <c r="S1567" s="15" t="str">
        <f>IF(J1567="","",J1567&amp;"|"&amp;E1567&amp;"|"&amp;F1567&amp;"|"&amp;I1567&amp;"|"&amp;O1567)</f>
        <v/>
      </c>
      <c r="T1567" s="15" t="str">
        <f>IF(OR(S1567="",D1567&lt;&gt;"Vastgesteld"),"",_xlfn.MAXIFS($G$6:$G$5005,$S$6:$S$5005,S1567,$D$6:$D$5005,"Vastgesteld"))</f>
        <v/>
      </c>
      <c r="U1567" s="15">
        <f>IF(T1567="",0,IF(AND(G1567=T1567,COUNTIFS($S$6:S1567,S1567,$G$6:G1567,G1567,$D$6:D1567,"Vastgesteld")=1),1,0))</f>
        <v>0</v>
      </c>
      <c r="V1567" s="15">
        <f>IF(T1567="",0,IF(AND(G1567=T1567,COUNTIFS($S$6:S1567,S1567,$G$6:G1567,G1567,$D$6:D1567,"Vastgesteld")&gt;1),1,0))</f>
        <v>0</v>
      </c>
    </row>
    <row r="1568">
      <c r="S1568" s="15" t="str">
        <f>IF(J1568="","",J1568&amp;"|"&amp;E1568&amp;"|"&amp;F1568&amp;"|"&amp;I1568&amp;"|"&amp;O1568)</f>
        <v/>
      </c>
      <c r="T1568" s="15" t="str">
        <f>IF(OR(S1568="",D1568&lt;&gt;"Vastgesteld"),"",_xlfn.MAXIFS($G$6:$G$5005,$S$6:$S$5005,S1568,$D$6:$D$5005,"Vastgesteld"))</f>
        <v/>
      </c>
      <c r="U1568" s="15">
        <f>IF(T1568="",0,IF(AND(G1568=T1568,COUNTIFS($S$6:S1568,S1568,$G$6:G1568,G1568,$D$6:D1568,"Vastgesteld")=1),1,0))</f>
        <v>0</v>
      </c>
      <c r="V1568" s="15">
        <f>IF(T1568="",0,IF(AND(G1568=T1568,COUNTIFS($S$6:S1568,S1568,$G$6:G1568,G1568,$D$6:D1568,"Vastgesteld")&gt;1),1,0))</f>
        <v>0</v>
      </c>
    </row>
    <row r="1569">
      <c r="S1569" s="15" t="str">
        <f>IF(J1569="","",J1569&amp;"|"&amp;E1569&amp;"|"&amp;F1569&amp;"|"&amp;I1569&amp;"|"&amp;O1569)</f>
        <v/>
      </c>
      <c r="T1569" s="15" t="str">
        <f>IF(OR(S1569="",D1569&lt;&gt;"Vastgesteld"),"",_xlfn.MAXIFS($G$6:$G$5005,$S$6:$S$5005,S1569,$D$6:$D$5005,"Vastgesteld"))</f>
        <v/>
      </c>
      <c r="U1569" s="15">
        <f>IF(T1569="",0,IF(AND(G1569=T1569,COUNTIFS($S$6:S1569,S1569,$G$6:G1569,G1569,$D$6:D1569,"Vastgesteld")=1),1,0))</f>
        <v>0</v>
      </c>
      <c r="V1569" s="15">
        <f>IF(T1569="",0,IF(AND(G1569=T1569,COUNTIFS($S$6:S1569,S1569,$G$6:G1569,G1569,$D$6:D1569,"Vastgesteld")&gt;1),1,0))</f>
        <v>0</v>
      </c>
    </row>
    <row r="1570">
      <c r="S1570" s="15" t="str">
        <f>IF(J1570="","",J1570&amp;"|"&amp;E1570&amp;"|"&amp;F1570&amp;"|"&amp;I1570&amp;"|"&amp;O1570)</f>
        <v/>
      </c>
      <c r="T1570" s="15" t="str">
        <f>IF(OR(S1570="",D1570&lt;&gt;"Vastgesteld"),"",_xlfn.MAXIFS($G$6:$G$5005,$S$6:$S$5005,S1570,$D$6:$D$5005,"Vastgesteld"))</f>
        <v/>
      </c>
      <c r="U1570" s="15">
        <f>IF(T1570="",0,IF(AND(G1570=T1570,COUNTIFS($S$6:S1570,S1570,$G$6:G1570,G1570,$D$6:D1570,"Vastgesteld")=1),1,0))</f>
        <v>0</v>
      </c>
      <c r="V1570" s="15">
        <f>IF(T1570="",0,IF(AND(G1570=T1570,COUNTIFS($S$6:S1570,S1570,$G$6:G1570,G1570,$D$6:D1570,"Vastgesteld")&gt;1),1,0))</f>
        <v>0</v>
      </c>
    </row>
    <row r="1571">
      <c r="S1571" s="15" t="str">
        <f>IF(J1571="","",J1571&amp;"|"&amp;E1571&amp;"|"&amp;F1571&amp;"|"&amp;I1571&amp;"|"&amp;O1571)</f>
        <v/>
      </c>
      <c r="T1571" s="15" t="str">
        <f>IF(OR(S1571="",D1571&lt;&gt;"Vastgesteld"),"",_xlfn.MAXIFS($G$6:$G$5005,$S$6:$S$5005,S1571,$D$6:$D$5005,"Vastgesteld"))</f>
        <v/>
      </c>
      <c r="U1571" s="15">
        <f>IF(T1571="",0,IF(AND(G1571=T1571,COUNTIFS($S$6:S1571,S1571,$G$6:G1571,G1571,$D$6:D1571,"Vastgesteld")=1),1,0))</f>
        <v>0</v>
      </c>
      <c r="V1571" s="15">
        <f>IF(T1571="",0,IF(AND(G1571=T1571,COUNTIFS($S$6:S1571,S1571,$G$6:G1571,G1571,$D$6:D1571,"Vastgesteld")&gt;1),1,0))</f>
        <v>0</v>
      </c>
    </row>
    <row r="1572">
      <c r="S1572" s="15" t="str">
        <f>IF(J1572="","",J1572&amp;"|"&amp;E1572&amp;"|"&amp;F1572&amp;"|"&amp;I1572&amp;"|"&amp;O1572)</f>
        <v/>
      </c>
      <c r="T1572" s="15" t="str">
        <f>IF(OR(S1572="",D1572&lt;&gt;"Vastgesteld"),"",_xlfn.MAXIFS($G$6:$G$5005,$S$6:$S$5005,S1572,$D$6:$D$5005,"Vastgesteld"))</f>
        <v/>
      </c>
      <c r="U1572" s="15">
        <f>IF(T1572="",0,IF(AND(G1572=T1572,COUNTIFS($S$6:S1572,S1572,$G$6:G1572,G1572,$D$6:D1572,"Vastgesteld")=1),1,0))</f>
        <v>0</v>
      </c>
      <c r="V1572" s="15">
        <f>IF(T1572="",0,IF(AND(G1572=T1572,COUNTIFS($S$6:S1572,S1572,$G$6:G1572,G1572,$D$6:D1572,"Vastgesteld")&gt;1),1,0))</f>
        <v>0</v>
      </c>
    </row>
    <row r="1573">
      <c r="S1573" s="15" t="str">
        <f>IF(J1573="","",J1573&amp;"|"&amp;E1573&amp;"|"&amp;F1573&amp;"|"&amp;I1573&amp;"|"&amp;O1573)</f>
        <v/>
      </c>
      <c r="T1573" s="15" t="str">
        <f>IF(OR(S1573="",D1573&lt;&gt;"Vastgesteld"),"",_xlfn.MAXIFS($G$6:$G$5005,$S$6:$S$5005,S1573,$D$6:$D$5005,"Vastgesteld"))</f>
        <v/>
      </c>
      <c r="U1573" s="15">
        <f>IF(T1573="",0,IF(AND(G1573=T1573,COUNTIFS($S$6:S1573,S1573,$G$6:G1573,G1573,$D$6:D1573,"Vastgesteld")=1),1,0))</f>
        <v>0</v>
      </c>
      <c r="V1573" s="15">
        <f>IF(T1573="",0,IF(AND(G1573=T1573,COUNTIFS($S$6:S1573,S1573,$G$6:G1573,G1573,$D$6:D1573,"Vastgesteld")&gt;1),1,0))</f>
        <v>0</v>
      </c>
    </row>
    <row r="1574">
      <c r="S1574" s="15" t="str">
        <f>IF(J1574="","",J1574&amp;"|"&amp;E1574&amp;"|"&amp;F1574&amp;"|"&amp;I1574&amp;"|"&amp;O1574)</f>
        <v/>
      </c>
      <c r="T1574" s="15" t="str">
        <f>IF(OR(S1574="",D1574&lt;&gt;"Vastgesteld"),"",_xlfn.MAXIFS($G$6:$G$5005,$S$6:$S$5005,S1574,$D$6:$D$5005,"Vastgesteld"))</f>
        <v/>
      </c>
      <c r="U1574" s="15">
        <f>IF(T1574="",0,IF(AND(G1574=T1574,COUNTIFS($S$6:S1574,S1574,$G$6:G1574,G1574,$D$6:D1574,"Vastgesteld")=1),1,0))</f>
        <v>0</v>
      </c>
      <c r="V1574" s="15">
        <f>IF(T1574="",0,IF(AND(G1574=T1574,COUNTIFS($S$6:S1574,S1574,$G$6:G1574,G1574,$D$6:D1574,"Vastgesteld")&gt;1),1,0))</f>
        <v>0</v>
      </c>
    </row>
    <row r="1575">
      <c r="S1575" s="15" t="str">
        <f>IF(J1575="","",J1575&amp;"|"&amp;E1575&amp;"|"&amp;F1575&amp;"|"&amp;I1575&amp;"|"&amp;O1575)</f>
        <v/>
      </c>
      <c r="T1575" s="15" t="str">
        <f>IF(OR(S1575="",D1575&lt;&gt;"Vastgesteld"),"",_xlfn.MAXIFS($G$6:$G$5005,$S$6:$S$5005,S1575,$D$6:$D$5005,"Vastgesteld"))</f>
        <v/>
      </c>
      <c r="U1575" s="15">
        <f>IF(T1575="",0,IF(AND(G1575=T1575,COUNTIFS($S$6:S1575,S1575,$G$6:G1575,G1575,$D$6:D1575,"Vastgesteld")=1),1,0))</f>
        <v>0</v>
      </c>
      <c r="V1575" s="15">
        <f>IF(T1575="",0,IF(AND(G1575=T1575,COUNTIFS($S$6:S1575,S1575,$G$6:G1575,G1575,$D$6:D1575,"Vastgesteld")&gt;1),1,0))</f>
        <v>0</v>
      </c>
    </row>
    <row r="1576">
      <c r="S1576" s="15" t="str">
        <f>IF(J1576="","",J1576&amp;"|"&amp;E1576&amp;"|"&amp;F1576&amp;"|"&amp;I1576&amp;"|"&amp;O1576)</f>
        <v/>
      </c>
      <c r="T1576" s="15" t="str">
        <f>IF(OR(S1576="",D1576&lt;&gt;"Vastgesteld"),"",_xlfn.MAXIFS($G$6:$G$5005,$S$6:$S$5005,S1576,$D$6:$D$5005,"Vastgesteld"))</f>
        <v/>
      </c>
      <c r="U1576" s="15">
        <f>IF(T1576="",0,IF(AND(G1576=T1576,COUNTIFS($S$6:S1576,S1576,$G$6:G1576,G1576,$D$6:D1576,"Vastgesteld")=1),1,0))</f>
        <v>0</v>
      </c>
      <c r="V1576" s="15">
        <f>IF(T1576="",0,IF(AND(G1576=T1576,COUNTIFS($S$6:S1576,S1576,$G$6:G1576,G1576,$D$6:D1576,"Vastgesteld")&gt;1),1,0))</f>
        <v>0</v>
      </c>
    </row>
    <row r="1577">
      <c r="S1577" s="15" t="str">
        <f>IF(J1577="","",J1577&amp;"|"&amp;E1577&amp;"|"&amp;F1577&amp;"|"&amp;I1577&amp;"|"&amp;O1577)</f>
        <v/>
      </c>
      <c r="T1577" s="15" t="str">
        <f>IF(OR(S1577="",D1577&lt;&gt;"Vastgesteld"),"",_xlfn.MAXIFS($G$6:$G$5005,$S$6:$S$5005,S1577,$D$6:$D$5005,"Vastgesteld"))</f>
        <v/>
      </c>
      <c r="U1577" s="15">
        <f>IF(T1577="",0,IF(AND(G1577=T1577,COUNTIFS($S$6:S1577,S1577,$G$6:G1577,G1577,$D$6:D1577,"Vastgesteld")=1),1,0))</f>
        <v>0</v>
      </c>
      <c r="V1577" s="15">
        <f>IF(T1577="",0,IF(AND(G1577=T1577,COUNTIFS($S$6:S1577,S1577,$G$6:G1577,G1577,$D$6:D1577,"Vastgesteld")&gt;1),1,0))</f>
        <v>0</v>
      </c>
    </row>
    <row r="1578">
      <c r="S1578" s="15" t="str">
        <f>IF(J1578="","",J1578&amp;"|"&amp;E1578&amp;"|"&amp;F1578&amp;"|"&amp;I1578&amp;"|"&amp;O1578)</f>
        <v/>
      </c>
      <c r="T1578" s="15" t="str">
        <f>IF(OR(S1578="",D1578&lt;&gt;"Vastgesteld"),"",_xlfn.MAXIFS($G$6:$G$5005,$S$6:$S$5005,S1578,$D$6:$D$5005,"Vastgesteld"))</f>
        <v/>
      </c>
      <c r="U1578" s="15">
        <f>IF(T1578="",0,IF(AND(G1578=T1578,COUNTIFS($S$6:S1578,S1578,$G$6:G1578,G1578,$D$6:D1578,"Vastgesteld")=1),1,0))</f>
        <v>0</v>
      </c>
      <c r="V1578" s="15">
        <f>IF(T1578="",0,IF(AND(G1578=T1578,COUNTIFS($S$6:S1578,S1578,$G$6:G1578,G1578,$D$6:D1578,"Vastgesteld")&gt;1),1,0))</f>
        <v>0</v>
      </c>
    </row>
    <row r="1579">
      <c r="S1579" s="15" t="str">
        <f>IF(J1579="","",J1579&amp;"|"&amp;E1579&amp;"|"&amp;F1579&amp;"|"&amp;I1579&amp;"|"&amp;O1579)</f>
        <v/>
      </c>
      <c r="T1579" s="15" t="str">
        <f>IF(OR(S1579="",D1579&lt;&gt;"Vastgesteld"),"",_xlfn.MAXIFS($G$6:$G$5005,$S$6:$S$5005,S1579,$D$6:$D$5005,"Vastgesteld"))</f>
        <v/>
      </c>
      <c r="U1579" s="15">
        <f>IF(T1579="",0,IF(AND(G1579=T1579,COUNTIFS($S$6:S1579,S1579,$G$6:G1579,G1579,$D$6:D1579,"Vastgesteld")=1),1,0))</f>
        <v>0</v>
      </c>
      <c r="V1579" s="15">
        <f>IF(T1579="",0,IF(AND(G1579=T1579,COUNTIFS($S$6:S1579,S1579,$G$6:G1579,G1579,$D$6:D1579,"Vastgesteld")&gt;1),1,0))</f>
        <v>0</v>
      </c>
    </row>
    <row r="1580">
      <c r="S1580" s="15" t="str">
        <f>IF(J1580="","",J1580&amp;"|"&amp;E1580&amp;"|"&amp;F1580&amp;"|"&amp;I1580&amp;"|"&amp;O1580)</f>
        <v/>
      </c>
      <c r="T1580" s="15" t="str">
        <f>IF(OR(S1580="",D1580&lt;&gt;"Vastgesteld"),"",_xlfn.MAXIFS($G$6:$G$5005,$S$6:$S$5005,S1580,$D$6:$D$5005,"Vastgesteld"))</f>
        <v/>
      </c>
      <c r="U1580" s="15">
        <f>IF(T1580="",0,IF(AND(G1580=T1580,COUNTIFS($S$6:S1580,S1580,$G$6:G1580,G1580,$D$6:D1580,"Vastgesteld")=1),1,0))</f>
        <v>0</v>
      </c>
      <c r="V1580" s="15">
        <f>IF(T1580="",0,IF(AND(G1580=T1580,COUNTIFS($S$6:S1580,S1580,$G$6:G1580,G1580,$D$6:D1580,"Vastgesteld")&gt;1),1,0))</f>
        <v>0</v>
      </c>
    </row>
    <row r="1581">
      <c r="S1581" s="15" t="str">
        <f>IF(J1581="","",J1581&amp;"|"&amp;E1581&amp;"|"&amp;F1581&amp;"|"&amp;I1581&amp;"|"&amp;O1581)</f>
        <v/>
      </c>
      <c r="T1581" s="15" t="str">
        <f>IF(OR(S1581="",D1581&lt;&gt;"Vastgesteld"),"",_xlfn.MAXIFS($G$6:$G$5005,$S$6:$S$5005,S1581,$D$6:$D$5005,"Vastgesteld"))</f>
        <v/>
      </c>
      <c r="U1581" s="15">
        <f>IF(T1581="",0,IF(AND(G1581=T1581,COUNTIFS($S$6:S1581,S1581,$G$6:G1581,G1581,$D$6:D1581,"Vastgesteld")=1),1,0))</f>
        <v>0</v>
      </c>
      <c r="V1581" s="15">
        <f>IF(T1581="",0,IF(AND(G1581=T1581,COUNTIFS($S$6:S1581,S1581,$G$6:G1581,G1581,$D$6:D1581,"Vastgesteld")&gt;1),1,0))</f>
        <v>0</v>
      </c>
    </row>
    <row r="1582">
      <c r="S1582" s="15" t="str">
        <f>IF(J1582="","",J1582&amp;"|"&amp;E1582&amp;"|"&amp;F1582&amp;"|"&amp;I1582&amp;"|"&amp;O1582)</f>
        <v/>
      </c>
      <c r="T1582" s="15" t="str">
        <f>IF(OR(S1582="",D1582&lt;&gt;"Vastgesteld"),"",_xlfn.MAXIFS($G$6:$G$5005,$S$6:$S$5005,S1582,$D$6:$D$5005,"Vastgesteld"))</f>
        <v/>
      </c>
      <c r="U1582" s="15">
        <f>IF(T1582="",0,IF(AND(G1582=T1582,COUNTIFS($S$6:S1582,S1582,$G$6:G1582,G1582,$D$6:D1582,"Vastgesteld")=1),1,0))</f>
        <v>0</v>
      </c>
      <c r="V1582" s="15">
        <f>IF(T1582="",0,IF(AND(G1582=T1582,COUNTIFS($S$6:S1582,S1582,$G$6:G1582,G1582,$D$6:D1582,"Vastgesteld")&gt;1),1,0))</f>
        <v>0</v>
      </c>
    </row>
    <row r="1583">
      <c r="S1583" s="15" t="str">
        <f>IF(J1583="","",J1583&amp;"|"&amp;E1583&amp;"|"&amp;F1583&amp;"|"&amp;I1583&amp;"|"&amp;O1583)</f>
        <v/>
      </c>
      <c r="T1583" s="15" t="str">
        <f>IF(OR(S1583="",D1583&lt;&gt;"Vastgesteld"),"",_xlfn.MAXIFS($G$6:$G$5005,$S$6:$S$5005,S1583,$D$6:$D$5005,"Vastgesteld"))</f>
        <v/>
      </c>
      <c r="U1583" s="15">
        <f>IF(T1583="",0,IF(AND(G1583=T1583,COUNTIFS($S$6:S1583,S1583,$G$6:G1583,G1583,$D$6:D1583,"Vastgesteld")=1),1,0))</f>
        <v>0</v>
      </c>
      <c r="V1583" s="15">
        <f>IF(T1583="",0,IF(AND(G1583=T1583,COUNTIFS($S$6:S1583,S1583,$G$6:G1583,G1583,$D$6:D1583,"Vastgesteld")&gt;1),1,0))</f>
        <v>0</v>
      </c>
    </row>
    <row r="1584">
      <c r="S1584" s="15" t="str">
        <f>IF(J1584="","",J1584&amp;"|"&amp;E1584&amp;"|"&amp;F1584&amp;"|"&amp;I1584&amp;"|"&amp;O1584)</f>
        <v/>
      </c>
      <c r="T1584" s="15" t="str">
        <f>IF(OR(S1584="",D1584&lt;&gt;"Vastgesteld"),"",_xlfn.MAXIFS($G$6:$G$5005,$S$6:$S$5005,S1584,$D$6:$D$5005,"Vastgesteld"))</f>
        <v/>
      </c>
      <c r="U1584" s="15">
        <f>IF(T1584="",0,IF(AND(G1584=T1584,COUNTIFS($S$6:S1584,S1584,$G$6:G1584,G1584,$D$6:D1584,"Vastgesteld")=1),1,0))</f>
        <v>0</v>
      </c>
      <c r="V1584" s="15">
        <f>IF(T1584="",0,IF(AND(G1584=T1584,COUNTIFS($S$6:S1584,S1584,$G$6:G1584,G1584,$D$6:D1584,"Vastgesteld")&gt;1),1,0))</f>
        <v>0</v>
      </c>
    </row>
    <row r="1585">
      <c r="S1585" s="15" t="str">
        <f>IF(J1585="","",J1585&amp;"|"&amp;E1585&amp;"|"&amp;F1585&amp;"|"&amp;I1585&amp;"|"&amp;O1585)</f>
        <v/>
      </c>
      <c r="T1585" s="15" t="str">
        <f>IF(OR(S1585="",D1585&lt;&gt;"Vastgesteld"),"",_xlfn.MAXIFS($G$6:$G$5005,$S$6:$S$5005,S1585,$D$6:$D$5005,"Vastgesteld"))</f>
        <v/>
      </c>
      <c r="U1585" s="15">
        <f>IF(T1585="",0,IF(AND(G1585=T1585,COUNTIFS($S$6:S1585,S1585,$G$6:G1585,G1585,$D$6:D1585,"Vastgesteld")=1),1,0))</f>
        <v>0</v>
      </c>
      <c r="V1585" s="15">
        <f>IF(T1585="",0,IF(AND(G1585=T1585,COUNTIFS($S$6:S1585,S1585,$G$6:G1585,G1585,$D$6:D1585,"Vastgesteld")&gt;1),1,0))</f>
        <v>0</v>
      </c>
    </row>
    <row r="1586">
      <c r="S1586" s="15" t="str">
        <f>IF(J1586="","",J1586&amp;"|"&amp;E1586&amp;"|"&amp;F1586&amp;"|"&amp;I1586&amp;"|"&amp;O1586)</f>
        <v/>
      </c>
      <c r="T1586" s="15" t="str">
        <f>IF(OR(S1586="",D1586&lt;&gt;"Vastgesteld"),"",_xlfn.MAXIFS($G$6:$G$5005,$S$6:$S$5005,S1586,$D$6:$D$5005,"Vastgesteld"))</f>
        <v/>
      </c>
      <c r="U1586" s="15">
        <f>IF(T1586="",0,IF(AND(G1586=T1586,COUNTIFS($S$6:S1586,S1586,$G$6:G1586,G1586,$D$6:D1586,"Vastgesteld")=1),1,0))</f>
        <v>0</v>
      </c>
      <c r="V1586" s="15">
        <f>IF(T1586="",0,IF(AND(G1586=T1586,COUNTIFS($S$6:S1586,S1586,$G$6:G1586,G1586,$D$6:D1586,"Vastgesteld")&gt;1),1,0))</f>
        <v>0</v>
      </c>
    </row>
    <row r="1587">
      <c r="S1587" s="15" t="str">
        <f>IF(J1587="","",J1587&amp;"|"&amp;E1587&amp;"|"&amp;F1587&amp;"|"&amp;I1587&amp;"|"&amp;O1587)</f>
        <v/>
      </c>
      <c r="T1587" s="15" t="str">
        <f>IF(OR(S1587="",D1587&lt;&gt;"Vastgesteld"),"",_xlfn.MAXIFS($G$6:$G$5005,$S$6:$S$5005,S1587,$D$6:$D$5005,"Vastgesteld"))</f>
        <v/>
      </c>
      <c r="U1587" s="15">
        <f>IF(T1587="",0,IF(AND(G1587=T1587,COUNTIFS($S$6:S1587,S1587,$G$6:G1587,G1587,$D$6:D1587,"Vastgesteld")=1),1,0))</f>
        <v>0</v>
      </c>
      <c r="V1587" s="15">
        <f>IF(T1587="",0,IF(AND(G1587=T1587,COUNTIFS($S$6:S1587,S1587,$G$6:G1587,G1587,$D$6:D1587,"Vastgesteld")&gt;1),1,0))</f>
        <v>0</v>
      </c>
    </row>
    <row r="1588">
      <c r="S1588" s="15" t="str">
        <f>IF(J1588="","",J1588&amp;"|"&amp;E1588&amp;"|"&amp;F1588&amp;"|"&amp;I1588&amp;"|"&amp;O1588)</f>
        <v/>
      </c>
      <c r="T1588" s="15" t="str">
        <f>IF(OR(S1588="",D1588&lt;&gt;"Vastgesteld"),"",_xlfn.MAXIFS($G$6:$G$5005,$S$6:$S$5005,S1588,$D$6:$D$5005,"Vastgesteld"))</f>
        <v/>
      </c>
      <c r="U1588" s="15">
        <f>IF(T1588="",0,IF(AND(G1588=T1588,COUNTIFS($S$6:S1588,S1588,$G$6:G1588,G1588,$D$6:D1588,"Vastgesteld")=1),1,0))</f>
        <v>0</v>
      </c>
      <c r="V1588" s="15">
        <f>IF(T1588="",0,IF(AND(G1588=T1588,COUNTIFS($S$6:S1588,S1588,$G$6:G1588,G1588,$D$6:D1588,"Vastgesteld")&gt;1),1,0))</f>
        <v>0</v>
      </c>
    </row>
    <row r="1589">
      <c r="S1589" s="15" t="str">
        <f>IF(J1589="","",J1589&amp;"|"&amp;E1589&amp;"|"&amp;F1589&amp;"|"&amp;I1589&amp;"|"&amp;O1589)</f>
        <v/>
      </c>
      <c r="T1589" s="15" t="str">
        <f>IF(OR(S1589="",D1589&lt;&gt;"Vastgesteld"),"",_xlfn.MAXIFS($G$6:$G$5005,$S$6:$S$5005,S1589,$D$6:$D$5005,"Vastgesteld"))</f>
        <v/>
      </c>
      <c r="U1589" s="15">
        <f>IF(T1589="",0,IF(AND(G1589=T1589,COUNTIFS($S$6:S1589,S1589,$G$6:G1589,G1589,$D$6:D1589,"Vastgesteld")=1),1,0))</f>
        <v>0</v>
      </c>
      <c r="V1589" s="15">
        <f>IF(T1589="",0,IF(AND(G1589=T1589,COUNTIFS($S$6:S1589,S1589,$G$6:G1589,G1589,$D$6:D1589,"Vastgesteld")&gt;1),1,0))</f>
        <v>0</v>
      </c>
    </row>
    <row r="1590">
      <c r="S1590" s="15" t="str">
        <f>IF(J1590="","",J1590&amp;"|"&amp;E1590&amp;"|"&amp;F1590&amp;"|"&amp;I1590&amp;"|"&amp;O1590)</f>
        <v/>
      </c>
      <c r="T1590" s="15" t="str">
        <f>IF(OR(S1590="",D1590&lt;&gt;"Vastgesteld"),"",_xlfn.MAXIFS($G$6:$G$5005,$S$6:$S$5005,S1590,$D$6:$D$5005,"Vastgesteld"))</f>
        <v/>
      </c>
      <c r="U1590" s="15">
        <f>IF(T1590="",0,IF(AND(G1590=T1590,COUNTIFS($S$6:S1590,S1590,$G$6:G1590,G1590,$D$6:D1590,"Vastgesteld")=1),1,0))</f>
        <v>0</v>
      </c>
      <c r="V1590" s="15">
        <f>IF(T1590="",0,IF(AND(G1590=T1590,COUNTIFS($S$6:S1590,S1590,$G$6:G1590,G1590,$D$6:D1590,"Vastgesteld")&gt;1),1,0))</f>
        <v>0</v>
      </c>
    </row>
    <row r="1591">
      <c r="S1591" s="15" t="str">
        <f>IF(J1591="","",J1591&amp;"|"&amp;E1591&amp;"|"&amp;F1591&amp;"|"&amp;I1591&amp;"|"&amp;O1591)</f>
        <v/>
      </c>
      <c r="T1591" s="15" t="str">
        <f>IF(OR(S1591="",D1591&lt;&gt;"Vastgesteld"),"",_xlfn.MAXIFS($G$6:$G$5005,$S$6:$S$5005,S1591,$D$6:$D$5005,"Vastgesteld"))</f>
        <v/>
      </c>
      <c r="U1591" s="15">
        <f>IF(T1591="",0,IF(AND(G1591=T1591,COUNTIFS($S$6:S1591,S1591,$G$6:G1591,G1591,$D$6:D1591,"Vastgesteld")=1),1,0))</f>
        <v>0</v>
      </c>
      <c r="V1591" s="15">
        <f>IF(T1591="",0,IF(AND(G1591=T1591,COUNTIFS($S$6:S1591,S1591,$G$6:G1591,G1591,$D$6:D1591,"Vastgesteld")&gt;1),1,0))</f>
        <v>0</v>
      </c>
    </row>
    <row r="1592">
      <c r="S1592" s="15" t="str">
        <f>IF(J1592="","",J1592&amp;"|"&amp;E1592&amp;"|"&amp;F1592&amp;"|"&amp;I1592&amp;"|"&amp;O1592)</f>
        <v/>
      </c>
      <c r="T1592" s="15" t="str">
        <f>IF(OR(S1592="",D1592&lt;&gt;"Vastgesteld"),"",_xlfn.MAXIFS($G$6:$G$5005,$S$6:$S$5005,S1592,$D$6:$D$5005,"Vastgesteld"))</f>
        <v/>
      </c>
      <c r="U1592" s="15">
        <f>IF(T1592="",0,IF(AND(G1592=T1592,COUNTIFS($S$6:S1592,S1592,$G$6:G1592,G1592,$D$6:D1592,"Vastgesteld")=1),1,0))</f>
        <v>0</v>
      </c>
      <c r="V1592" s="15">
        <f>IF(T1592="",0,IF(AND(G1592=T1592,COUNTIFS($S$6:S1592,S1592,$G$6:G1592,G1592,$D$6:D1592,"Vastgesteld")&gt;1),1,0))</f>
        <v>0</v>
      </c>
    </row>
    <row r="1593">
      <c r="S1593" s="15" t="str">
        <f>IF(J1593="","",J1593&amp;"|"&amp;E1593&amp;"|"&amp;F1593&amp;"|"&amp;I1593&amp;"|"&amp;O1593)</f>
        <v/>
      </c>
      <c r="T1593" s="15" t="str">
        <f>IF(OR(S1593="",D1593&lt;&gt;"Vastgesteld"),"",_xlfn.MAXIFS($G$6:$G$5005,$S$6:$S$5005,S1593,$D$6:$D$5005,"Vastgesteld"))</f>
        <v/>
      </c>
      <c r="U1593" s="15">
        <f>IF(T1593="",0,IF(AND(G1593=T1593,COUNTIFS($S$6:S1593,S1593,$G$6:G1593,G1593,$D$6:D1593,"Vastgesteld")=1),1,0))</f>
        <v>0</v>
      </c>
      <c r="V1593" s="15">
        <f>IF(T1593="",0,IF(AND(G1593=T1593,COUNTIFS($S$6:S1593,S1593,$G$6:G1593,G1593,$D$6:D1593,"Vastgesteld")&gt;1),1,0))</f>
        <v>0</v>
      </c>
    </row>
    <row r="1594">
      <c r="S1594" s="15" t="str">
        <f>IF(J1594="","",J1594&amp;"|"&amp;E1594&amp;"|"&amp;F1594&amp;"|"&amp;I1594&amp;"|"&amp;O1594)</f>
        <v/>
      </c>
      <c r="T1594" s="15" t="str">
        <f>IF(OR(S1594="",D1594&lt;&gt;"Vastgesteld"),"",_xlfn.MAXIFS($G$6:$G$5005,$S$6:$S$5005,S1594,$D$6:$D$5005,"Vastgesteld"))</f>
        <v/>
      </c>
      <c r="U1594" s="15">
        <f>IF(T1594="",0,IF(AND(G1594=T1594,COUNTIFS($S$6:S1594,S1594,$G$6:G1594,G1594,$D$6:D1594,"Vastgesteld")=1),1,0))</f>
        <v>0</v>
      </c>
      <c r="V1594" s="15">
        <f>IF(T1594="",0,IF(AND(G1594=T1594,COUNTIFS($S$6:S1594,S1594,$G$6:G1594,G1594,$D$6:D1594,"Vastgesteld")&gt;1),1,0))</f>
        <v>0</v>
      </c>
    </row>
    <row r="1595">
      <c r="S1595" s="15" t="str">
        <f>IF(J1595="","",J1595&amp;"|"&amp;E1595&amp;"|"&amp;F1595&amp;"|"&amp;I1595&amp;"|"&amp;O1595)</f>
        <v/>
      </c>
      <c r="T1595" s="15" t="str">
        <f>IF(OR(S1595="",D1595&lt;&gt;"Vastgesteld"),"",_xlfn.MAXIFS($G$6:$G$5005,$S$6:$S$5005,S1595,$D$6:$D$5005,"Vastgesteld"))</f>
        <v/>
      </c>
      <c r="U1595" s="15">
        <f>IF(T1595="",0,IF(AND(G1595=T1595,COUNTIFS($S$6:S1595,S1595,$G$6:G1595,G1595,$D$6:D1595,"Vastgesteld")=1),1,0))</f>
        <v>0</v>
      </c>
      <c r="V1595" s="15">
        <f>IF(T1595="",0,IF(AND(G1595=T1595,COUNTIFS($S$6:S1595,S1595,$G$6:G1595,G1595,$D$6:D1595,"Vastgesteld")&gt;1),1,0))</f>
        <v>0</v>
      </c>
    </row>
    <row r="1596">
      <c r="S1596" s="15" t="str">
        <f>IF(J1596="","",J1596&amp;"|"&amp;E1596&amp;"|"&amp;F1596&amp;"|"&amp;I1596&amp;"|"&amp;O1596)</f>
        <v/>
      </c>
      <c r="T1596" s="15" t="str">
        <f>IF(OR(S1596="",D1596&lt;&gt;"Vastgesteld"),"",_xlfn.MAXIFS($G$6:$G$5005,$S$6:$S$5005,S1596,$D$6:$D$5005,"Vastgesteld"))</f>
        <v/>
      </c>
      <c r="U1596" s="15">
        <f>IF(T1596="",0,IF(AND(G1596=T1596,COUNTIFS($S$6:S1596,S1596,$G$6:G1596,G1596,$D$6:D1596,"Vastgesteld")=1),1,0))</f>
        <v>0</v>
      </c>
      <c r="V1596" s="15">
        <f>IF(T1596="",0,IF(AND(G1596=T1596,COUNTIFS($S$6:S1596,S1596,$G$6:G1596,G1596,$D$6:D1596,"Vastgesteld")&gt;1),1,0))</f>
        <v>0</v>
      </c>
    </row>
    <row r="1597">
      <c r="S1597" s="15" t="str">
        <f>IF(J1597="","",J1597&amp;"|"&amp;E1597&amp;"|"&amp;F1597&amp;"|"&amp;I1597&amp;"|"&amp;O1597)</f>
        <v/>
      </c>
      <c r="T1597" s="15" t="str">
        <f>IF(OR(S1597="",D1597&lt;&gt;"Vastgesteld"),"",_xlfn.MAXIFS($G$6:$G$5005,$S$6:$S$5005,S1597,$D$6:$D$5005,"Vastgesteld"))</f>
        <v/>
      </c>
      <c r="U1597" s="15">
        <f>IF(T1597="",0,IF(AND(G1597=T1597,COUNTIFS($S$6:S1597,S1597,$G$6:G1597,G1597,$D$6:D1597,"Vastgesteld")=1),1,0))</f>
        <v>0</v>
      </c>
      <c r="V1597" s="15">
        <f>IF(T1597="",0,IF(AND(G1597=T1597,COUNTIFS($S$6:S1597,S1597,$G$6:G1597,G1597,$D$6:D1597,"Vastgesteld")&gt;1),1,0))</f>
        <v>0</v>
      </c>
    </row>
    <row r="1598">
      <c r="S1598" s="15" t="str">
        <f>IF(J1598="","",J1598&amp;"|"&amp;E1598&amp;"|"&amp;F1598&amp;"|"&amp;I1598&amp;"|"&amp;O1598)</f>
        <v/>
      </c>
      <c r="T1598" s="15" t="str">
        <f>IF(OR(S1598="",D1598&lt;&gt;"Vastgesteld"),"",_xlfn.MAXIFS($G$6:$G$5005,$S$6:$S$5005,S1598,$D$6:$D$5005,"Vastgesteld"))</f>
        <v/>
      </c>
      <c r="U1598" s="15">
        <f>IF(T1598="",0,IF(AND(G1598=T1598,COUNTIFS($S$6:S1598,S1598,$G$6:G1598,G1598,$D$6:D1598,"Vastgesteld")=1),1,0))</f>
        <v>0</v>
      </c>
      <c r="V1598" s="15">
        <f>IF(T1598="",0,IF(AND(G1598=T1598,COUNTIFS($S$6:S1598,S1598,$G$6:G1598,G1598,$D$6:D1598,"Vastgesteld")&gt;1),1,0))</f>
        <v>0</v>
      </c>
    </row>
    <row r="1599">
      <c r="S1599" s="15" t="str">
        <f>IF(J1599="","",J1599&amp;"|"&amp;E1599&amp;"|"&amp;F1599&amp;"|"&amp;I1599&amp;"|"&amp;O1599)</f>
        <v/>
      </c>
      <c r="T1599" s="15" t="str">
        <f>IF(OR(S1599="",D1599&lt;&gt;"Vastgesteld"),"",_xlfn.MAXIFS($G$6:$G$5005,$S$6:$S$5005,S1599,$D$6:$D$5005,"Vastgesteld"))</f>
        <v/>
      </c>
      <c r="U1599" s="15">
        <f>IF(T1599="",0,IF(AND(G1599=T1599,COUNTIFS($S$6:S1599,S1599,$G$6:G1599,G1599,$D$6:D1599,"Vastgesteld")=1),1,0))</f>
        <v>0</v>
      </c>
      <c r="V1599" s="15">
        <f>IF(T1599="",0,IF(AND(G1599=T1599,COUNTIFS($S$6:S1599,S1599,$G$6:G1599,G1599,$D$6:D1599,"Vastgesteld")&gt;1),1,0))</f>
        <v>0</v>
      </c>
    </row>
    <row r="1600">
      <c r="S1600" s="15" t="str">
        <f>IF(J1600="","",J1600&amp;"|"&amp;E1600&amp;"|"&amp;F1600&amp;"|"&amp;I1600&amp;"|"&amp;O1600)</f>
        <v/>
      </c>
      <c r="T1600" s="15" t="str">
        <f>IF(OR(S1600="",D1600&lt;&gt;"Vastgesteld"),"",_xlfn.MAXIFS($G$6:$G$5005,$S$6:$S$5005,S1600,$D$6:$D$5005,"Vastgesteld"))</f>
        <v/>
      </c>
      <c r="U1600" s="15">
        <f>IF(T1600="",0,IF(AND(G1600=T1600,COUNTIFS($S$6:S1600,S1600,$G$6:G1600,G1600,$D$6:D1600,"Vastgesteld")=1),1,0))</f>
        <v>0</v>
      </c>
      <c r="V1600" s="15">
        <f>IF(T1600="",0,IF(AND(G1600=T1600,COUNTIFS($S$6:S1600,S1600,$G$6:G1600,G1600,$D$6:D1600,"Vastgesteld")&gt;1),1,0))</f>
        <v>0</v>
      </c>
    </row>
    <row r="1601">
      <c r="S1601" s="15" t="str">
        <f>IF(J1601="","",J1601&amp;"|"&amp;E1601&amp;"|"&amp;F1601&amp;"|"&amp;I1601&amp;"|"&amp;O1601)</f>
        <v/>
      </c>
      <c r="T1601" s="15" t="str">
        <f>IF(OR(S1601="",D1601&lt;&gt;"Vastgesteld"),"",_xlfn.MAXIFS($G$6:$G$5005,$S$6:$S$5005,S1601,$D$6:$D$5005,"Vastgesteld"))</f>
        <v/>
      </c>
      <c r="U1601" s="15">
        <f>IF(T1601="",0,IF(AND(G1601=T1601,COUNTIFS($S$6:S1601,S1601,$G$6:G1601,G1601,$D$6:D1601,"Vastgesteld")=1),1,0))</f>
        <v>0</v>
      </c>
      <c r="V1601" s="15">
        <f>IF(T1601="",0,IF(AND(G1601=T1601,COUNTIFS($S$6:S1601,S1601,$G$6:G1601,G1601,$D$6:D1601,"Vastgesteld")&gt;1),1,0))</f>
        <v>0</v>
      </c>
    </row>
    <row r="1602">
      <c r="S1602" s="15" t="str">
        <f>IF(J1602="","",J1602&amp;"|"&amp;E1602&amp;"|"&amp;F1602&amp;"|"&amp;I1602&amp;"|"&amp;O1602)</f>
        <v/>
      </c>
      <c r="T1602" s="15" t="str">
        <f>IF(OR(S1602="",D1602&lt;&gt;"Vastgesteld"),"",_xlfn.MAXIFS($G$6:$G$5005,$S$6:$S$5005,S1602,$D$6:$D$5005,"Vastgesteld"))</f>
        <v/>
      </c>
      <c r="U1602" s="15">
        <f>IF(T1602="",0,IF(AND(G1602=T1602,COUNTIFS($S$6:S1602,S1602,$G$6:G1602,G1602,$D$6:D1602,"Vastgesteld")=1),1,0))</f>
        <v>0</v>
      </c>
      <c r="V1602" s="15">
        <f>IF(T1602="",0,IF(AND(G1602=T1602,COUNTIFS($S$6:S1602,S1602,$G$6:G1602,G1602,$D$6:D1602,"Vastgesteld")&gt;1),1,0))</f>
        <v>0</v>
      </c>
    </row>
    <row r="1603">
      <c r="S1603" s="15" t="str">
        <f>IF(J1603="","",J1603&amp;"|"&amp;E1603&amp;"|"&amp;F1603&amp;"|"&amp;I1603&amp;"|"&amp;O1603)</f>
        <v/>
      </c>
      <c r="T1603" s="15" t="str">
        <f>IF(OR(S1603="",D1603&lt;&gt;"Vastgesteld"),"",_xlfn.MAXIFS($G$6:$G$5005,$S$6:$S$5005,S1603,$D$6:$D$5005,"Vastgesteld"))</f>
        <v/>
      </c>
      <c r="U1603" s="15">
        <f>IF(T1603="",0,IF(AND(G1603=T1603,COUNTIFS($S$6:S1603,S1603,$G$6:G1603,G1603,$D$6:D1603,"Vastgesteld")=1),1,0))</f>
        <v>0</v>
      </c>
      <c r="V1603" s="15">
        <f>IF(T1603="",0,IF(AND(G1603=T1603,COUNTIFS($S$6:S1603,S1603,$G$6:G1603,G1603,$D$6:D1603,"Vastgesteld")&gt;1),1,0))</f>
        <v>0</v>
      </c>
    </row>
    <row r="1604">
      <c r="S1604" s="15" t="str">
        <f>IF(J1604="","",J1604&amp;"|"&amp;E1604&amp;"|"&amp;F1604&amp;"|"&amp;I1604&amp;"|"&amp;O1604)</f>
        <v/>
      </c>
      <c r="T1604" s="15" t="str">
        <f>IF(OR(S1604="",D1604&lt;&gt;"Vastgesteld"),"",_xlfn.MAXIFS($G$6:$G$5005,$S$6:$S$5005,S1604,$D$6:$D$5005,"Vastgesteld"))</f>
        <v/>
      </c>
      <c r="U1604" s="15">
        <f>IF(T1604="",0,IF(AND(G1604=T1604,COUNTIFS($S$6:S1604,S1604,$G$6:G1604,G1604,$D$6:D1604,"Vastgesteld")=1),1,0))</f>
        <v>0</v>
      </c>
      <c r="V1604" s="15">
        <f>IF(T1604="",0,IF(AND(G1604=T1604,COUNTIFS($S$6:S1604,S1604,$G$6:G1604,G1604,$D$6:D1604,"Vastgesteld")&gt;1),1,0))</f>
        <v>0</v>
      </c>
    </row>
    <row r="1605">
      <c r="S1605" s="15" t="str">
        <f>IF(J1605="","",J1605&amp;"|"&amp;E1605&amp;"|"&amp;F1605&amp;"|"&amp;I1605&amp;"|"&amp;O1605)</f>
        <v/>
      </c>
      <c r="T1605" s="15" t="str">
        <f>IF(OR(S1605="",D1605&lt;&gt;"Vastgesteld"),"",_xlfn.MAXIFS($G$6:$G$5005,$S$6:$S$5005,S1605,$D$6:$D$5005,"Vastgesteld"))</f>
        <v/>
      </c>
      <c r="U1605" s="15">
        <f>IF(T1605="",0,IF(AND(G1605=T1605,COUNTIFS($S$6:S1605,S1605,$G$6:G1605,G1605,$D$6:D1605,"Vastgesteld")=1),1,0))</f>
        <v>0</v>
      </c>
      <c r="V1605" s="15">
        <f>IF(T1605="",0,IF(AND(G1605=T1605,COUNTIFS($S$6:S1605,S1605,$G$6:G1605,G1605,$D$6:D1605,"Vastgesteld")&gt;1),1,0))</f>
        <v>0</v>
      </c>
    </row>
    <row r="1606">
      <c r="S1606" s="15" t="str">
        <f>IF(J1606="","",J1606&amp;"|"&amp;E1606&amp;"|"&amp;F1606&amp;"|"&amp;I1606&amp;"|"&amp;O1606)</f>
        <v/>
      </c>
      <c r="T1606" s="15" t="str">
        <f>IF(OR(S1606="",D1606&lt;&gt;"Vastgesteld"),"",_xlfn.MAXIFS($G$6:$G$5005,$S$6:$S$5005,S1606,$D$6:$D$5005,"Vastgesteld"))</f>
        <v/>
      </c>
      <c r="U1606" s="15">
        <f>IF(T1606="",0,IF(AND(G1606=T1606,COUNTIFS($S$6:S1606,S1606,$G$6:G1606,G1606,$D$6:D1606,"Vastgesteld")=1),1,0))</f>
        <v>0</v>
      </c>
      <c r="V1606" s="15">
        <f>IF(T1606="",0,IF(AND(G1606=T1606,COUNTIFS($S$6:S1606,S1606,$G$6:G1606,G1606,$D$6:D1606,"Vastgesteld")&gt;1),1,0))</f>
        <v>0</v>
      </c>
    </row>
    <row r="1607">
      <c r="S1607" s="15" t="str">
        <f>IF(J1607="","",J1607&amp;"|"&amp;E1607&amp;"|"&amp;F1607&amp;"|"&amp;I1607&amp;"|"&amp;O1607)</f>
        <v/>
      </c>
      <c r="T1607" s="15" t="str">
        <f>IF(OR(S1607="",D1607&lt;&gt;"Vastgesteld"),"",_xlfn.MAXIFS($G$6:$G$5005,$S$6:$S$5005,S1607,$D$6:$D$5005,"Vastgesteld"))</f>
        <v/>
      </c>
      <c r="U1607" s="15">
        <f>IF(T1607="",0,IF(AND(G1607=T1607,COUNTIFS($S$6:S1607,S1607,$G$6:G1607,G1607,$D$6:D1607,"Vastgesteld")=1),1,0))</f>
        <v>0</v>
      </c>
      <c r="V1607" s="15">
        <f>IF(T1607="",0,IF(AND(G1607=T1607,COUNTIFS($S$6:S1607,S1607,$G$6:G1607,G1607,$D$6:D1607,"Vastgesteld")&gt;1),1,0))</f>
        <v>0</v>
      </c>
    </row>
    <row r="1608">
      <c r="S1608" s="15" t="str">
        <f>IF(J1608="","",J1608&amp;"|"&amp;E1608&amp;"|"&amp;F1608&amp;"|"&amp;I1608&amp;"|"&amp;O1608)</f>
        <v/>
      </c>
      <c r="T1608" s="15" t="str">
        <f>IF(OR(S1608="",D1608&lt;&gt;"Vastgesteld"),"",_xlfn.MAXIFS($G$6:$G$5005,$S$6:$S$5005,S1608,$D$6:$D$5005,"Vastgesteld"))</f>
        <v/>
      </c>
      <c r="U1608" s="15">
        <f>IF(T1608="",0,IF(AND(G1608=T1608,COUNTIFS($S$6:S1608,S1608,$G$6:G1608,G1608,$D$6:D1608,"Vastgesteld")=1),1,0))</f>
        <v>0</v>
      </c>
      <c r="V1608" s="15">
        <f>IF(T1608="",0,IF(AND(G1608=T1608,COUNTIFS($S$6:S1608,S1608,$G$6:G1608,G1608,$D$6:D1608,"Vastgesteld")&gt;1),1,0))</f>
        <v>0</v>
      </c>
    </row>
    <row r="1609">
      <c r="S1609" s="15" t="str">
        <f>IF(J1609="","",J1609&amp;"|"&amp;E1609&amp;"|"&amp;F1609&amp;"|"&amp;I1609&amp;"|"&amp;O1609)</f>
        <v/>
      </c>
      <c r="T1609" s="15" t="str">
        <f>IF(OR(S1609="",D1609&lt;&gt;"Vastgesteld"),"",_xlfn.MAXIFS($G$6:$G$5005,$S$6:$S$5005,S1609,$D$6:$D$5005,"Vastgesteld"))</f>
        <v/>
      </c>
      <c r="U1609" s="15">
        <f>IF(T1609="",0,IF(AND(G1609=T1609,COUNTIFS($S$6:S1609,S1609,$G$6:G1609,G1609,$D$6:D1609,"Vastgesteld")=1),1,0))</f>
        <v>0</v>
      </c>
      <c r="V1609" s="15">
        <f>IF(T1609="",0,IF(AND(G1609=T1609,COUNTIFS($S$6:S1609,S1609,$G$6:G1609,G1609,$D$6:D1609,"Vastgesteld")&gt;1),1,0))</f>
        <v>0</v>
      </c>
    </row>
    <row r="1610">
      <c r="S1610" s="15" t="str">
        <f>IF(J1610="","",J1610&amp;"|"&amp;E1610&amp;"|"&amp;F1610&amp;"|"&amp;I1610&amp;"|"&amp;O1610)</f>
        <v/>
      </c>
      <c r="T1610" s="15" t="str">
        <f>IF(OR(S1610="",D1610&lt;&gt;"Vastgesteld"),"",_xlfn.MAXIFS($G$6:$G$5005,$S$6:$S$5005,S1610,$D$6:$D$5005,"Vastgesteld"))</f>
        <v/>
      </c>
      <c r="U1610" s="15">
        <f>IF(T1610="",0,IF(AND(G1610=T1610,COUNTIFS($S$6:S1610,S1610,$G$6:G1610,G1610,$D$6:D1610,"Vastgesteld")=1),1,0))</f>
        <v>0</v>
      </c>
      <c r="V1610" s="15">
        <f>IF(T1610="",0,IF(AND(G1610=T1610,COUNTIFS($S$6:S1610,S1610,$G$6:G1610,G1610,$D$6:D1610,"Vastgesteld")&gt;1),1,0))</f>
        <v>0</v>
      </c>
    </row>
    <row r="1611">
      <c r="S1611" s="15" t="str">
        <f>IF(J1611="","",J1611&amp;"|"&amp;E1611&amp;"|"&amp;F1611&amp;"|"&amp;I1611&amp;"|"&amp;O1611)</f>
        <v/>
      </c>
      <c r="T1611" s="15" t="str">
        <f>IF(OR(S1611="",D1611&lt;&gt;"Vastgesteld"),"",_xlfn.MAXIFS($G$6:$G$5005,$S$6:$S$5005,S1611,$D$6:$D$5005,"Vastgesteld"))</f>
        <v/>
      </c>
      <c r="U1611" s="15">
        <f>IF(T1611="",0,IF(AND(G1611=T1611,COUNTIFS($S$6:S1611,S1611,$G$6:G1611,G1611,$D$6:D1611,"Vastgesteld")=1),1,0))</f>
        <v>0</v>
      </c>
      <c r="V1611" s="15">
        <f>IF(T1611="",0,IF(AND(G1611=T1611,COUNTIFS($S$6:S1611,S1611,$G$6:G1611,G1611,$D$6:D1611,"Vastgesteld")&gt;1),1,0))</f>
        <v>0</v>
      </c>
    </row>
    <row r="1612">
      <c r="S1612" s="15" t="str">
        <f>IF(J1612="","",J1612&amp;"|"&amp;E1612&amp;"|"&amp;F1612&amp;"|"&amp;I1612&amp;"|"&amp;O1612)</f>
        <v/>
      </c>
      <c r="T1612" s="15" t="str">
        <f>IF(OR(S1612="",D1612&lt;&gt;"Vastgesteld"),"",_xlfn.MAXIFS($G$6:$G$5005,$S$6:$S$5005,S1612,$D$6:$D$5005,"Vastgesteld"))</f>
        <v/>
      </c>
      <c r="U1612" s="15">
        <f>IF(T1612="",0,IF(AND(G1612=T1612,COUNTIFS($S$6:S1612,S1612,$G$6:G1612,G1612,$D$6:D1612,"Vastgesteld")=1),1,0))</f>
        <v>0</v>
      </c>
      <c r="V1612" s="15">
        <f>IF(T1612="",0,IF(AND(G1612=T1612,COUNTIFS($S$6:S1612,S1612,$G$6:G1612,G1612,$D$6:D1612,"Vastgesteld")&gt;1),1,0))</f>
        <v>0</v>
      </c>
    </row>
    <row r="1613">
      <c r="S1613" s="15" t="str">
        <f>IF(J1613="","",J1613&amp;"|"&amp;E1613&amp;"|"&amp;F1613&amp;"|"&amp;I1613&amp;"|"&amp;O1613)</f>
        <v/>
      </c>
      <c r="T1613" s="15" t="str">
        <f>IF(OR(S1613="",D1613&lt;&gt;"Vastgesteld"),"",_xlfn.MAXIFS($G$6:$G$5005,$S$6:$S$5005,S1613,$D$6:$D$5005,"Vastgesteld"))</f>
        <v/>
      </c>
      <c r="U1613" s="15">
        <f>IF(T1613="",0,IF(AND(G1613=T1613,COUNTIFS($S$6:S1613,S1613,$G$6:G1613,G1613,$D$6:D1613,"Vastgesteld")=1),1,0))</f>
        <v>0</v>
      </c>
      <c r="V1613" s="15">
        <f>IF(T1613="",0,IF(AND(G1613=T1613,COUNTIFS($S$6:S1613,S1613,$G$6:G1613,G1613,$D$6:D1613,"Vastgesteld")&gt;1),1,0))</f>
        <v>0</v>
      </c>
    </row>
    <row r="1614">
      <c r="S1614" s="15" t="str">
        <f>IF(J1614="","",J1614&amp;"|"&amp;E1614&amp;"|"&amp;F1614&amp;"|"&amp;I1614&amp;"|"&amp;O1614)</f>
        <v/>
      </c>
      <c r="T1614" s="15" t="str">
        <f>IF(OR(S1614="",D1614&lt;&gt;"Vastgesteld"),"",_xlfn.MAXIFS($G$6:$G$5005,$S$6:$S$5005,S1614,$D$6:$D$5005,"Vastgesteld"))</f>
        <v/>
      </c>
      <c r="U1614" s="15">
        <f>IF(T1614="",0,IF(AND(G1614=T1614,COUNTIFS($S$6:S1614,S1614,$G$6:G1614,G1614,$D$6:D1614,"Vastgesteld")=1),1,0))</f>
        <v>0</v>
      </c>
      <c r="V1614" s="15">
        <f>IF(T1614="",0,IF(AND(G1614=T1614,COUNTIFS($S$6:S1614,S1614,$G$6:G1614,G1614,$D$6:D1614,"Vastgesteld")&gt;1),1,0))</f>
        <v>0</v>
      </c>
    </row>
    <row r="1615">
      <c r="S1615" s="15" t="str">
        <f>IF(J1615="","",J1615&amp;"|"&amp;E1615&amp;"|"&amp;F1615&amp;"|"&amp;I1615&amp;"|"&amp;O1615)</f>
        <v/>
      </c>
      <c r="T1615" s="15" t="str">
        <f>IF(OR(S1615="",D1615&lt;&gt;"Vastgesteld"),"",_xlfn.MAXIFS($G$6:$G$5005,$S$6:$S$5005,S1615,$D$6:$D$5005,"Vastgesteld"))</f>
        <v/>
      </c>
      <c r="U1615" s="15">
        <f>IF(T1615="",0,IF(AND(G1615=T1615,COUNTIFS($S$6:S1615,S1615,$G$6:G1615,G1615,$D$6:D1615,"Vastgesteld")=1),1,0))</f>
        <v>0</v>
      </c>
      <c r="V1615" s="15">
        <f>IF(T1615="",0,IF(AND(G1615=T1615,COUNTIFS($S$6:S1615,S1615,$G$6:G1615,G1615,$D$6:D1615,"Vastgesteld")&gt;1),1,0))</f>
        <v>0</v>
      </c>
    </row>
    <row r="1616">
      <c r="S1616" s="15" t="str">
        <f>IF(J1616="","",J1616&amp;"|"&amp;E1616&amp;"|"&amp;F1616&amp;"|"&amp;I1616&amp;"|"&amp;O1616)</f>
        <v/>
      </c>
      <c r="T1616" s="15" t="str">
        <f>IF(OR(S1616="",D1616&lt;&gt;"Vastgesteld"),"",_xlfn.MAXIFS($G$6:$G$5005,$S$6:$S$5005,S1616,$D$6:$D$5005,"Vastgesteld"))</f>
        <v/>
      </c>
      <c r="U1616" s="15">
        <f>IF(T1616="",0,IF(AND(G1616=T1616,COUNTIFS($S$6:S1616,S1616,$G$6:G1616,G1616,$D$6:D1616,"Vastgesteld")=1),1,0))</f>
        <v>0</v>
      </c>
      <c r="V1616" s="15">
        <f>IF(T1616="",0,IF(AND(G1616=T1616,COUNTIFS($S$6:S1616,S1616,$G$6:G1616,G1616,$D$6:D1616,"Vastgesteld")&gt;1),1,0))</f>
        <v>0</v>
      </c>
    </row>
    <row r="1617">
      <c r="S1617" s="15" t="str">
        <f>IF(J1617="","",J1617&amp;"|"&amp;E1617&amp;"|"&amp;F1617&amp;"|"&amp;I1617&amp;"|"&amp;O1617)</f>
        <v/>
      </c>
      <c r="T1617" s="15" t="str">
        <f>IF(OR(S1617="",D1617&lt;&gt;"Vastgesteld"),"",_xlfn.MAXIFS($G$6:$G$5005,$S$6:$S$5005,S1617,$D$6:$D$5005,"Vastgesteld"))</f>
        <v/>
      </c>
      <c r="U1617" s="15">
        <f>IF(T1617="",0,IF(AND(G1617=T1617,COUNTIFS($S$6:S1617,S1617,$G$6:G1617,G1617,$D$6:D1617,"Vastgesteld")=1),1,0))</f>
        <v>0</v>
      </c>
      <c r="V1617" s="15">
        <f>IF(T1617="",0,IF(AND(G1617=T1617,COUNTIFS($S$6:S1617,S1617,$G$6:G1617,G1617,$D$6:D1617,"Vastgesteld")&gt;1),1,0))</f>
        <v>0</v>
      </c>
    </row>
    <row r="1618">
      <c r="S1618" s="15" t="str">
        <f>IF(J1618="","",J1618&amp;"|"&amp;E1618&amp;"|"&amp;F1618&amp;"|"&amp;I1618&amp;"|"&amp;O1618)</f>
        <v/>
      </c>
      <c r="T1618" s="15" t="str">
        <f>IF(OR(S1618="",D1618&lt;&gt;"Vastgesteld"),"",_xlfn.MAXIFS($G$6:$G$5005,$S$6:$S$5005,S1618,$D$6:$D$5005,"Vastgesteld"))</f>
        <v/>
      </c>
      <c r="U1618" s="15">
        <f>IF(T1618="",0,IF(AND(G1618=T1618,COUNTIFS($S$6:S1618,S1618,$G$6:G1618,G1618,$D$6:D1618,"Vastgesteld")=1),1,0))</f>
        <v>0</v>
      </c>
      <c r="V1618" s="15">
        <f>IF(T1618="",0,IF(AND(G1618=T1618,COUNTIFS($S$6:S1618,S1618,$G$6:G1618,G1618,$D$6:D1618,"Vastgesteld")&gt;1),1,0))</f>
        <v>0</v>
      </c>
    </row>
    <row r="1619">
      <c r="S1619" s="15" t="str">
        <f>IF(J1619="","",J1619&amp;"|"&amp;E1619&amp;"|"&amp;F1619&amp;"|"&amp;I1619&amp;"|"&amp;O1619)</f>
        <v/>
      </c>
      <c r="T1619" s="15" t="str">
        <f>IF(OR(S1619="",D1619&lt;&gt;"Vastgesteld"),"",_xlfn.MAXIFS($G$6:$G$5005,$S$6:$S$5005,S1619,$D$6:$D$5005,"Vastgesteld"))</f>
        <v/>
      </c>
      <c r="U1619" s="15">
        <f>IF(T1619="",0,IF(AND(G1619=T1619,COUNTIFS($S$6:S1619,S1619,$G$6:G1619,G1619,$D$6:D1619,"Vastgesteld")=1),1,0))</f>
        <v>0</v>
      </c>
      <c r="V1619" s="15">
        <f>IF(T1619="",0,IF(AND(G1619=T1619,COUNTIFS($S$6:S1619,S1619,$G$6:G1619,G1619,$D$6:D1619,"Vastgesteld")&gt;1),1,0))</f>
        <v>0</v>
      </c>
    </row>
    <row r="1620">
      <c r="S1620" s="15" t="str">
        <f>IF(J1620="","",J1620&amp;"|"&amp;E1620&amp;"|"&amp;F1620&amp;"|"&amp;I1620&amp;"|"&amp;O1620)</f>
        <v/>
      </c>
      <c r="T1620" s="15" t="str">
        <f>IF(OR(S1620="",D1620&lt;&gt;"Vastgesteld"),"",_xlfn.MAXIFS($G$6:$G$5005,$S$6:$S$5005,S1620,$D$6:$D$5005,"Vastgesteld"))</f>
        <v/>
      </c>
      <c r="U1620" s="15">
        <f>IF(T1620="",0,IF(AND(G1620=T1620,COUNTIFS($S$6:S1620,S1620,$G$6:G1620,G1620,$D$6:D1620,"Vastgesteld")=1),1,0))</f>
        <v>0</v>
      </c>
      <c r="V1620" s="15">
        <f>IF(T1620="",0,IF(AND(G1620=T1620,COUNTIFS($S$6:S1620,S1620,$G$6:G1620,G1620,$D$6:D1620,"Vastgesteld")&gt;1),1,0))</f>
        <v>0</v>
      </c>
    </row>
    <row r="1621">
      <c r="S1621" s="15" t="str">
        <f>IF(J1621="","",J1621&amp;"|"&amp;E1621&amp;"|"&amp;F1621&amp;"|"&amp;I1621&amp;"|"&amp;O1621)</f>
        <v/>
      </c>
      <c r="T1621" s="15" t="str">
        <f>IF(OR(S1621="",D1621&lt;&gt;"Vastgesteld"),"",_xlfn.MAXIFS($G$6:$G$5005,$S$6:$S$5005,S1621,$D$6:$D$5005,"Vastgesteld"))</f>
        <v/>
      </c>
      <c r="U1621" s="15">
        <f>IF(T1621="",0,IF(AND(G1621=T1621,COUNTIFS($S$6:S1621,S1621,$G$6:G1621,G1621,$D$6:D1621,"Vastgesteld")=1),1,0))</f>
        <v>0</v>
      </c>
      <c r="V1621" s="15">
        <f>IF(T1621="",0,IF(AND(G1621=T1621,COUNTIFS($S$6:S1621,S1621,$G$6:G1621,G1621,$D$6:D1621,"Vastgesteld")&gt;1),1,0))</f>
        <v>0</v>
      </c>
    </row>
    <row r="1622">
      <c r="S1622" s="15" t="str">
        <f>IF(J1622="","",J1622&amp;"|"&amp;E1622&amp;"|"&amp;F1622&amp;"|"&amp;I1622&amp;"|"&amp;O1622)</f>
        <v/>
      </c>
      <c r="T1622" s="15" t="str">
        <f>IF(OR(S1622="",D1622&lt;&gt;"Vastgesteld"),"",_xlfn.MAXIFS($G$6:$G$5005,$S$6:$S$5005,S1622,$D$6:$D$5005,"Vastgesteld"))</f>
        <v/>
      </c>
      <c r="U1622" s="15">
        <f>IF(T1622="",0,IF(AND(G1622=T1622,COUNTIFS($S$6:S1622,S1622,$G$6:G1622,G1622,$D$6:D1622,"Vastgesteld")=1),1,0))</f>
        <v>0</v>
      </c>
      <c r="V1622" s="15">
        <f>IF(T1622="",0,IF(AND(G1622=T1622,COUNTIFS($S$6:S1622,S1622,$G$6:G1622,G1622,$D$6:D1622,"Vastgesteld")&gt;1),1,0))</f>
        <v>0</v>
      </c>
    </row>
    <row r="1623">
      <c r="S1623" s="15" t="str">
        <f>IF(J1623="","",J1623&amp;"|"&amp;E1623&amp;"|"&amp;F1623&amp;"|"&amp;I1623&amp;"|"&amp;O1623)</f>
        <v/>
      </c>
      <c r="T1623" s="15" t="str">
        <f>IF(OR(S1623="",D1623&lt;&gt;"Vastgesteld"),"",_xlfn.MAXIFS($G$6:$G$5005,$S$6:$S$5005,S1623,$D$6:$D$5005,"Vastgesteld"))</f>
        <v/>
      </c>
      <c r="U1623" s="15">
        <f>IF(T1623="",0,IF(AND(G1623=T1623,COUNTIFS($S$6:S1623,S1623,$G$6:G1623,G1623,$D$6:D1623,"Vastgesteld")=1),1,0))</f>
        <v>0</v>
      </c>
      <c r="V1623" s="15">
        <f>IF(T1623="",0,IF(AND(G1623=T1623,COUNTIFS($S$6:S1623,S1623,$G$6:G1623,G1623,$D$6:D1623,"Vastgesteld")&gt;1),1,0))</f>
        <v>0</v>
      </c>
    </row>
    <row r="1624">
      <c r="S1624" s="15" t="str">
        <f>IF(J1624="","",J1624&amp;"|"&amp;E1624&amp;"|"&amp;F1624&amp;"|"&amp;I1624&amp;"|"&amp;O1624)</f>
        <v/>
      </c>
      <c r="T1624" s="15" t="str">
        <f>IF(OR(S1624="",D1624&lt;&gt;"Vastgesteld"),"",_xlfn.MAXIFS($G$6:$G$5005,$S$6:$S$5005,S1624,$D$6:$D$5005,"Vastgesteld"))</f>
        <v/>
      </c>
      <c r="U1624" s="15">
        <f>IF(T1624="",0,IF(AND(G1624=T1624,COUNTIFS($S$6:S1624,S1624,$G$6:G1624,G1624,$D$6:D1624,"Vastgesteld")=1),1,0))</f>
        <v>0</v>
      </c>
      <c r="V1624" s="15">
        <f>IF(T1624="",0,IF(AND(G1624=T1624,COUNTIFS($S$6:S1624,S1624,$G$6:G1624,G1624,$D$6:D1624,"Vastgesteld")&gt;1),1,0))</f>
        <v>0</v>
      </c>
    </row>
    <row r="1625">
      <c r="S1625" s="15" t="str">
        <f>IF(J1625="","",J1625&amp;"|"&amp;E1625&amp;"|"&amp;F1625&amp;"|"&amp;I1625&amp;"|"&amp;O1625)</f>
        <v/>
      </c>
      <c r="T1625" s="15" t="str">
        <f>IF(OR(S1625="",D1625&lt;&gt;"Vastgesteld"),"",_xlfn.MAXIFS($G$6:$G$5005,$S$6:$S$5005,S1625,$D$6:$D$5005,"Vastgesteld"))</f>
        <v/>
      </c>
      <c r="U1625" s="15">
        <f>IF(T1625="",0,IF(AND(G1625=T1625,COUNTIFS($S$6:S1625,S1625,$G$6:G1625,G1625,$D$6:D1625,"Vastgesteld")=1),1,0))</f>
        <v>0</v>
      </c>
      <c r="V1625" s="15">
        <f>IF(T1625="",0,IF(AND(G1625=T1625,COUNTIFS($S$6:S1625,S1625,$G$6:G1625,G1625,$D$6:D1625,"Vastgesteld")&gt;1),1,0))</f>
        <v>0</v>
      </c>
    </row>
    <row r="1626">
      <c r="S1626" s="15" t="str">
        <f>IF(J1626="","",J1626&amp;"|"&amp;E1626&amp;"|"&amp;F1626&amp;"|"&amp;I1626&amp;"|"&amp;O1626)</f>
        <v/>
      </c>
      <c r="T1626" s="15" t="str">
        <f>IF(OR(S1626="",D1626&lt;&gt;"Vastgesteld"),"",_xlfn.MAXIFS($G$6:$G$5005,$S$6:$S$5005,S1626,$D$6:$D$5005,"Vastgesteld"))</f>
        <v/>
      </c>
      <c r="U1626" s="15">
        <f>IF(T1626="",0,IF(AND(G1626=T1626,COUNTIFS($S$6:S1626,S1626,$G$6:G1626,G1626,$D$6:D1626,"Vastgesteld")=1),1,0))</f>
        <v>0</v>
      </c>
      <c r="V1626" s="15">
        <f>IF(T1626="",0,IF(AND(G1626=T1626,COUNTIFS($S$6:S1626,S1626,$G$6:G1626,G1626,$D$6:D1626,"Vastgesteld")&gt;1),1,0))</f>
        <v>0</v>
      </c>
    </row>
    <row r="1627">
      <c r="S1627" s="15" t="str">
        <f>IF(J1627="","",J1627&amp;"|"&amp;E1627&amp;"|"&amp;F1627&amp;"|"&amp;I1627&amp;"|"&amp;O1627)</f>
        <v/>
      </c>
      <c r="T1627" s="15" t="str">
        <f>IF(OR(S1627="",D1627&lt;&gt;"Vastgesteld"),"",_xlfn.MAXIFS($G$6:$G$5005,$S$6:$S$5005,S1627,$D$6:$D$5005,"Vastgesteld"))</f>
        <v/>
      </c>
      <c r="U1627" s="15">
        <f>IF(T1627="",0,IF(AND(G1627=T1627,COUNTIFS($S$6:S1627,S1627,$G$6:G1627,G1627,$D$6:D1627,"Vastgesteld")=1),1,0))</f>
        <v>0</v>
      </c>
      <c r="V1627" s="15">
        <f>IF(T1627="",0,IF(AND(G1627=T1627,COUNTIFS($S$6:S1627,S1627,$G$6:G1627,G1627,$D$6:D1627,"Vastgesteld")&gt;1),1,0))</f>
        <v>0</v>
      </c>
    </row>
    <row r="1628">
      <c r="S1628" s="15" t="str">
        <f>IF(J1628="","",J1628&amp;"|"&amp;E1628&amp;"|"&amp;F1628&amp;"|"&amp;I1628&amp;"|"&amp;O1628)</f>
        <v/>
      </c>
      <c r="T1628" s="15" t="str">
        <f>IF(OR(S1628="",D1628&lt;&gt;"Vastgesteld"),"",_xlfn.MAXIFS($G$6:$G$5005,$S$6:$S$5005,S1628,$D$6:$D$5005,"Vastgesteld"))</f>
        <v/>
      </c>
      <c r="U1628" s="15">
        <f>IF(T1628="",0,IF(AND(G1628=T1628,COUNTIFS($S$6:S1628,S1628,$G$6:G1628,G1628,$D$6:D1628,"Vastgesteld")=1),1,0))</f>
        <v>0</v>
      </c>
      <c r="V1628" s="15">
        <f>IF(T1628="",0,IF(AND(G1628=T1628,COUNTIFS($S$6:S1628,S1628,$G$6:G1628,G1628,$D$6:D1628,"Vastgesteld")&gt;1),1,0))</f>
        <v>0</v>
      </c>
    </row>
    <row r="1629">
      <c r="S1629" s="15" t="str">
        <f>IF(J1629="","",J1629&amp;"|"&amp;E1629&amp;"|"&amp;F1629&amp;"|"&amp;I1629&amp;"|"&amp;O1629)</f>
        <v/>
      </c>
      <c r="T1629" s="15" t="str">
        <f>IF(OR(S1629="",D1629&lt;&gt;"Vastgesteld"),"",_xlfn.MAXIFS($G$6:$G$5005,$S$6:$S$5005,S1629,$D$6:$D$5005,"Vastgesteld"))</f>
        <v/>
      </c>
      <c r="U1629" s="15">
        <f>IF(T1629="",0,IF(AND(G1629=T1629,COUNTIFS($S$6:S1629,S1629,$G$6:G1629,G1629,$D$6:D1629,"Vastgesteld")=1),1,0))</f>
        <v>0</v>
      </c>
      <c r="V1629" s="15">
        <f>IF(T1629="",0,IF(AND(G1629=T1629,COUNTIFS($S$6:S1629,S1629,$G$6:G1629,G1629,$D$6:D1629,"Vastgesteld")&gt;1),1,0))</f>
        <v>0</v>
      </c>
    </row>
    <row r="1630">
      <c r="S1630" s="15" t="str">
        <f>IF(J1630="","",J1630&amp;"|"&amp;E1630&amp;"|"&amp;F1630&amp;"|"&amp;I1630&amp;"|"&amp;O1630)</f>
        <v/>
      </c>
      <c r="T1630" s="15" t="str">
        <f>IF(OR(S1630="",D1630&lt;&gt;"Vastgesteld"),"",_xlfn.MAXIFS($G$6:$G$5005,$S$6:$S$5005,S1630,$D$6:$D$5005,"Vastgesteld"))</f>
        <v/>
      </c>
      <c r="U1630" s="15">
        <f>IF(T1630="",0,IF(AND(G1630=T1630,COUNTIFS($S$6:S1630,S1630,$G$6:G1630,G1630,$D$6:D1630,"Vastgesteld")=1),1,0))</f>
        <v>0</v>
      </c>
      <c r="V1630" s="15">
        <f>IF(T1630="",0,IF(AND(G1630=T1630,COUNTIFS($S$6:S1630,S1630,$G$6:G1630,G1630,$D$6:D1630,"Vastgesteld")&gt;1),1,0))</f>
        <v>0</v>
      </c>
    </row>
    <row r="1631">
      <c r="S1631" s="15" t="str">
        <f>IF(J1631="","",J1631&amp;"|"&amp;E1631&amp;"|"&amp;F1631&amp;"|"&amp;I1631&amp;"|"&amp;O1631)</f>
        <v/>
      </c>
      <c r="T1631" s="15" t="str">
        <f>IF(OR(S1631="",D1631&lt;&gt;"Vastgesteld"),"",_xlfn.MAXIFS($G$6:$G$5005,$S$6:$S$5005,S1631,$D$6:$D$5005,"Vastgesteld"))</f>
        <v/>
      </c>
      <c r="U1631" s="15">
        <f>IF(T1631="",0,IF(AND(G1631=T1631,COUNTIFS($S$6:S1631,S1631,$G$6:G1631,G1631,$D$6:D1631,"Vastgesteld")=1),1,0))</f>
        <v>0</v>
      </c>
      <c r="V1631" s="15">
        <f>IF(T1631="",0,IF(AND(G1631=T1631,COUNTIFS($S$6:S1631,S1631,$G$6:G1631,G1631,$D$6:D1631,"Vastgesteld")&gt;1),1,0))</f>
        <v>0</v>
      </c>
    </row>
    <row r="1632">
      <c r="S1632" s="15" t="str">
        <f>IF(J1632="","",J1632&amp;"|"&amp;E1632&amp;"|"&amp;F1632&amp;"|"&amp;I1632&amp;"|"&amp;O1632)</f>
        <v/>
      </c>
      <c r="T1632" s="15" t="str">
        <f>IF(OR(S1632="",D1632&lt;&gt;"Vastgesteld"),"",_xlfn.MAXIFS($G$6:$G$5005,$S$6:$S$5005,S1632,$D$6:$D$5005,"Vastgesteld"))</f>
        <v/>
      </c>
      <c r="U1632" s="15">
        <f>IF(T1632="",0,IF(AND(G1632=T1632,COUNTIFS($S$6:S1632,S1632,$G$6:G1632,G1632,$D$6:D1632,"Vastgesteld")=1),1,0))</f>
        <v>0</v>
      </c>
      <c r="V1632" s="15">
        <f>IF(T1632="",0,IF(AND(G1632=T1632,COUNTIFS($S$6:S1632,S1632,$G$6:G1632,G1632,$D$6:D1632,"Vastgesteld")&gt;1),1,0))</f>
        <v>0</v>
      </c>
    </row>
    <row r="1633">
      <c r="S1633" s="15" t="str">
        <f>IF(J1633="","",J1633&amp;"|"&amp;E1633&amp;"|"&amp;F1633&amp;"|"&amp;I1633&amp;"|"&amp;O1633)</f>
        <v/>
      </c>
      <c r="T1633" s="15" t="str">
        <f>IF(OR(S1633="",D1633&lt;&gt;"Vastgesteld"),"",_xlfn.MAXIFS($G$6:$G$5005,$S$6:$S$5005,S1633,$D$6:$D$5005,"Vastgesteld"))</f>
        <v/>
      </c>
      <c r="U1633" s="15">
        <f>IF(T1633="",0,IF(AND(G1633=T1633,COUNTIFS($S$6:S1633,S1633,$G$6:G1633,G1633,$D$6:D1633,"Vastgesteld")=1),1,0))</f>
        <v>0</v>
      </c>
      <c r="V1633" s="15">
        <f>IF(T1633="",0,IF(AND(G1633=T1633,COUNTIFS($S$6:S1633,S1633,$G$6:G1633,G1633,$D$6:D1633,"Vastgesteld")&gt;1),1,0))</f>
        <v>0</v>
      </c>
    </row>
    <row r="1634">
      <c r="S1634" s="15" t="str">
        <f>IF(J1634="","",J1634&amp;"|"&amp;E1634&amp;"|"&amp;F1634&amp;"|"&amp;I1634&amp;"|"&amp;O1634)</f>
        <v/>
      </c>
      <c r="T1634" s="15" t="str">
        <f>IF(OR(S1634="",D1634&lt;&gt;"Vastgesteld"),"",_xlfn.MAXIFS($G$6:$G$5005,$S$6:$S$5005,S1634,$D$6:$D$5005,"Vastgesteld"))</f>
        <v/>
      </c>
      <c r="U1634" s="15">
        <f>IF(T1634="",0,IF(AND(G1634=T1634,COUNTIFS($S$6:S1634,S1634,$G$6:G1634,G1634,$D$6:D1634,"Vastgesteld")=1),1,0))</f>
        <v>0</v>
      </c>
      <c r="V1634" s="15">
        <f>IF(T1634="",0,IF(AND(G1634=T1634,COUNTIFS($S$6:S1634,S1634,$G$6:G1634,G1634,$D$6:D1634,"Vastgesteld")&gt;1),1,0))</f>
        <v>0</v>
      </c>
    </row>
    <row r="1635">
      <c r="S1635" s="15" t="str">
        <f>IF(J1635="","",J1635&amp;"|"&amp;E1635&amp;"|"&amp;F1635&amp;"|"&amp;I1635&amp;"|"&amp;O1635)</f>
        <v/>
      </c>
      <c r="T1635" s="15" t="str">
        <f>IF(OR(S1635="",D1635&lt;&gt;"Vastgesteld"),"",_xlfn.MAXIFS($G$6:$G$5005,$S$6:$S$5005,S1635,$D$6:$D$5005,"Vastgesteld"))</f>
        <v/>
      </c>
      <c r="U1635" s="15">
        <f>IF(T1635="",0,IF(AND(G1635=T1635,COUNTIFS($S$6:S1635,S1635,$G$6:G1635,G1635,$D$6:D1635,"Vastgesteld")=1),1,0))</f>
        <v>0</v>
      </c>
      <c r="V1635" s="15">
        <f>IF(T1635="",0,IF(AND(G1635=T1635,COUNTIFS($S$6:S1635,S1635,$G$6:G1635,G1635,$D$6:D1635,"Vastgesteld")&gt;1),1,0))</f>
        <v>0</v>
      </c>
    </row>
    <row r="1636">
      <c r="S1636" s="15" t="str">
        <f>IF(J1636="","",J1636&amp;"|"&amp;E1636&amp;"|"&amp;F1636&amp;"|"&amp;I1636&amp;"|"&amp;O1636)</f>
        <v/>
      </c>
      <c r="T1636" s="15" t="str">
        <f>IF(OR(S1636="",D1636&lt;&gt;"Vastgesteld"),"",_xlfn.MAXIFS($G$6:$G$5005,$S$6:$S$5005,S1636,$D$6:$D$5005,"Vastgesteld"))</f>
        <v/>
      </c>
      <c r="U1636" s="15">
        <f>IF(T1636="",0,IF(AND(G1636=T1636,COUNTIFS($S$6:S1636,S1636,$G$6:G1636,G1636,$D$6:D1636,"Vastgesteld")=1),1,0))</f>
        <v>0</v>
      </c>
      <c r="V1636" s="15">
        <f>IF(T1636="",0,IF(AND(G1636=T1636,COUNTIFS($S$6:S1636,S1636,$G$6:G1636,G1636,$D$6:D1636,"Vastgesteld")&gt;1),1,0))</f>
        <v>0</v>
      </c>
    </row>
    <row r="1637">
      <c r="S1637" s="15" t="str">
        <f>IF(J1637="","",J1637&amp;"|"&amp;E1637&amp;"|"&amp;F1637&amp;"|"&amp;I1637&amp;"|"&amp;O1637)</f>
        <v/>
      </c>
      <c r="T1637" s="15" t="str">
        <f>IF(OR(S1637="",D1637&lt;&gt;"Vastgesteld"),"",_xlfn.MAXIFS($G$6:$G$5005,$S$6:$S$5005,S1637,$D$6:$D$5005,"Vastgesteld"))</f>
        <v/>
      </c>
      <c r="U1637" s="15">
        <f>IF(T1637="",0,IF(AND(G1637=T1637,COUNTIFS($S$6:S1637,S1637,$G$6:G1637,G1637,$D$6:D1637,"Vastgesteld")=1),1,0))</f>
        <v>0</v>
      </c>
      <c r="V1637" s="15">
        <f>IF(T1637="",0,IF(AND(G1637=T1637,COUNTIFS($S$6:S1637,S1637,$G$6:G1637,G1637,$D$6:D1637,"Vastgesteld")&gt;1),1,0))</f>
        <v>0</v>
      </c>
    </row>
    <row r="1638">
      <c r="S1638" s="15" t="str">
        <f>IF(J1638="","",J1638&amp;"|"&amp;E1638&amp;"|"&amp;F1638&amp;"|"&amp;I1638&amp;"|"&amp;O1638)</f>
        <v/>
      </c>
      <c r="T1638" s="15" t="str">
        <f>IF(OR(S1638="",D1638&lt;&gt;"Vastgesteld"),"",_xlfn.MAXIFS($G$6:$G$5005,$S$6:$S$5005,S1638,$D$6:$D$5005,"Vastgesteld"))</f>
        <v/>
      </c>
      <c r="U1638" s="15">
        <f>IF(T1638="",0,IF(AND(G1638=T1638,COUNTIFS($S$6:S1638,S1638,$G$6:G1638,G1638,$D$6:D1638,"Vastgesteld")=1),1,0))</f>
        <v>0</v>
      </c>
      <c r="V1638" s="15">
        <f>IF(T1638="",0,IF(AND(G1638=T1638,COUNTIFS($S$6:S1638,S1638,$G$6:G1638,G1638,$D$6:D1638,"Vastgesteld")&gt;1),1,0))</f>
        <v>0</v>
      </c>
    </row>
    <row r="1639">
      <c r="S1639" s="15" t="str">
        <f>IF(J1639="","",J1639&amp;"|"&amp;E1639&amp;"|"&amp;F1639&amp;"|"&amp;I1639&amp;"|"&amp;O1639)</f>
        <v/>
      </c>
      <c r="T1639" s="15" t="str">
        <f>IF(OR(S1639="",D1639&lt;&gt;"Vastgesteld"),"",_xlfn.MAXIFS($G$6:$G$5005,$S$6:$S$5005,S1639,$D$6:$D$5005,"Vastgesteld"))</f>
        <v/>
      </c>
      <c r="U1639" s="15">
        <f>IF(T1639="",0,IF(AND(G1639=T1639,COUNTIFS($S$6:S1639,S1639,$G$6:G1639,G1639,$D$6:D1639,"Vastgesteld")=1),1,0))</f>
        <v>0</v>
      </c>
      <c r="V1639" s="15">
        <f>IF(T1639="",0,IF(AND(G1639=T1639,COUNTIFS($S$6:S1639,S1639,$G$6:G1639,G1639,$D$6:D1639,"Vastgesteld")&gt;1),1,0))</f>
        <v>0</v>
      </c>
    </row>
    <row r="1640">
      <c r="S1640" s="15" t="str">
        <f>IF(J1640="","",J1640&amp;"|"&amp;E1640&amp;"|"&amp;F1640&amp;"|"&amp;I1640&amp;"|"&amp;O1640)</f>
        <v/>
      </c>
      <c r="T1640" s="15" t="str">
        <f>IF(OR(S1640="",D1640&lt;&gt;"Vastgesteld"),"",_xlfn.MAXIFS($G$6:$G$5005,$S$6:$S$5005,S1640,$D$6:$D$5005,"Vastgesteld"))</f>
        <v/>
      </c>
      <c r="U1640" s="15">
        <f>IF(T1640="",0,IF(AND(G1640=T1640,COUNTIFS($S$6:S1640,S1640,$G$6:G1640,G1640,$D$6:D1640,"Vastgesteld")=1),1,0))</f>
        <v>0</v>
      </c>
      <c r="V1640" s="15">
        <f>IF(T1640="",0,IF(AND(G1640=T1640,COUNTIFS($S$6:S1640,S1640,$G$6:G1640,G1640,$D$6:D1640,"Vastgesteld")&gt;1),1,0))</f>
        <v>0</v>
      </c>
    </row>
    <row r="1641">
      <c r="S1641" s="15" t="str">
        <f>IF(J1641="","",J1641&amp;"|"&amp;E1641&amp;"|"&amp;F1641&amp;"|"&amp;I1641&amp;"|"&amp;O1641)</f>
        <v/>
      </c>
      <c r="T1641" s="15" t="str">
        <f>IF(OR(S1641="",D1641&lt;&gt;"Vastgesteld"),"",_xlfn.MAXIFS($G$6:$G$5005,$S$6:$S$5005,S1641,$D$6:$D$5005,"Vastgesteld"))</f>
        <v/>
      </c>
      <c r="U1641" s="15">
        <f>IF(T1641="",0,IF(AND(G1641=T1641,COUNTIFS($S$6:S1641,S1641,$G$6:G1641,G1641,$D$6:D1641,"Vastgesteld")=1),1,0))</f>
        <v>0</v>
      </c>
      <c r="V1641" s="15">
        <f>IF(T1641="",0,IF(AND(G1641=T1641,COUNTIFS($S$6:S1641,S1641,$G$6:G1641,G1641,$D$6:D1641,"Vastgesteld")&gt;1),1,0))</f>
        <v>0</v>
      </c>
    </row>
    <row r="1642">
      <c r="S1642" s="15" t="str">
        <f>IF(J1642="","",J1642&amp;"|"&amp;E1642&amp;"|"&amp;F1642&amp;"|"&amp;I1642&amp;"|"&amp;O1642)</f>
        <v/>
      </c>
      <c r="T1642" s="15" t="str">
        <f>IF(OR(S1642="",D1642&lt;&gt;"Vastgesteld"),"",_xlfn.MAXIFS($G$6:$G$5005,$S$6:$S$5005,S1642,$D$6:$D$5005,"Vastgesteld"))</f>
        <v/>
      </c>
      <c r="U1642" s="15">
        <f>IF(T1642="",0,IF(AND(G1642=T1642,COUNTIFS($S$6:S1642,S1642,$G$6:G1642,G1642,$D$6:D1642,"Vastgesteld")=1),1,0))</f>
        <v>0</v>
      </c>
      <c r="V1642" s="15">
        <f>IF(T1642="",0,IF(AND(G1642=T1642,COUNTIFS($S$6:S1642,S1642,$G$6:G1642,G1642,$D$6:D1642,"Vastgesteld")&gt;1),1,0))</f>
        <v>0</v>
      </c>
    </row>
    <row r="1643">
      <c r="S1643" s="15" t="str">
        <f>IF(J1643="","",J1643&amp;"|"&amp;E1643&amp;"|"&amp;F1643&amp;"|"&amp;I1643&amp;"|"&amp;O1643)</f>
        <v/>
      </c>
      <c r="T1643" s="15" t="str">
        <f>IF(OR(S1643="",D1643&lt;&gt;"Vastgesteld"),"",_xlfn.MAXIFS($G$6:$G$5005,$S$6:$S$5005,S1643,$D$6:$D$5005,"Vastgesteld"))</f>
        <v/>
      </c>
      <c r="U1643" s="15">
        <f>IF(T1643="",0,IF(AND(G1643=T1643,COUNTIFS($S$6:S1643,S1643,$G$6:G1643,G1643,$D$6:D1643,"Vastgesteld")=1),1,0))</f>
        <v>0</v>
      </c>
      <c r="V1643" s="15">
        <f>IF(T1643="",0,IF(AND(G1643=T1643,COUNTIFS($S$6:S1643,S1643,$G$6:G1643,G1643,$D$6:D1643,"Vastgesteld")&gt;1),1,0))</f>
        <v>0</v>
      </c>
    </row>
    <row r="1644">
      <c r="S1644" s="15" t="str">
        <f>IF(J1644="","",J1644&amp;"|"&amp;E1644&amp;"|"&amp;F1644&amp;"|"&amp;I1644&amp;"|"&amp;O1644)</f>
        <v/>
      </c>
      <c r="T1644" s="15" t="str">
        <f>IF(OR(S1644="",D1644&lt;&gt;"Vastgesteld"),"",_xlfn.MAXIFS($G$6:$G$5005,$S$6:$S$5005,S1644,$D$6:$D$5005,"Vastgesteld"))</f>
        <v/>
      </c>
      <c r="U1644" s="15">
        <f>IF(T1644="",0,IF(AND(G1644=T1644,COUNTIFS($S$6:S1644,S1644,$G$6:G1644,G1644,$D$6:D1644,"Vastgesteld")=1),1,0))</f>
        <v>0</v>
      </c>
      <c r="V1644" s="15">
        <f>IF(T1644="",0,IF(AND(G1644=T1644,COUNTIFS($S$6:S1644,S1644,$G$6:G1644,G1644,$D$6:D1644,"Vastgesteld")&gt;1),1,0))</f>
        <v>0</v>
      </c>
    </row>
    <row r="1645">
      <c r="S1645" s="15" t="str">
        <f>IF(J1645="","",J1645&amp;"|"&amp;E1645&amp;"|"&amp;F1645&amp;"|"&amp;I1645&amp;"|"&amp;O1645)</f>
        <v/>
      </c>
      <c r="T1645" s="15" t="str">
        <f>IF(OR(S1645="",D1645&lt;&gt;"Vastgesteld"),"",_xlfn.MAXIFS($G$6:$G$5005,$S$6:$S$5005,S1645,$D$6:$D$5005,"Vastgesteld"))</f>
        <v/>
      </c>
      <c r="U1645" s="15">
        <f>IF(T1645="",0,IF(AND(G1645=T1645,COUNTIFS($S$6:S1645,S1645,$G$6:G1645,G1645,$D$6:D1645,"Vastgesteld")=1),1,0))</f>
        <v>0</v>
      </c>
      <c r="V1645" s="15">
        <f>IF(T1645="",0,IF(AND(G1645=T1645,COUNTIFS($S$6:S1645,S1645,$G$6:G1645,G1645,$D$6:D1645,"Vastgesteld")&gt;1),1,0))</f>
        <v>0</v>
      </c>
    </row>
    <row r="1646">
      <c r="S1646" s="15" t="str">
        <f>IF(J1646="","",J1646&amp;"|"&amp;E1646&amp;"|"&amp;F1646&amp;"|"&amp;I1646&amp;"|"&amp;O1646)</f>
        <v/>
      </c>
      <c r="T1646" s="15" t="str">
        <f>IF(OR(S1646="",D1646&lt;&gt;"Vastgesteld"),"",_xlfn.MAXIFS($G$6:$G$5005,$S$6:$S$5005,S1646,$D$6:$D$5005,"Vastgesteld"))</f>
        <v/>
      </c>
      <c r="U1646" s="15">
        <f>IF(T1646="",0,IF(AND(G1646=T1646,COUNTIFS($S$6:S1646,S1646,$G$6:G1646,G1646,$D$6:D1646,"Vastgesteld")=1),1,0))</f>
        <v>0</v>
      </c>
      <c r="V1646" s="15">
        <f>IF(T1646="",0,IF(AND(G1646=T1646,COUNTIFS($S$6:S1646,S1646,$G$6:G1646,G1646,$D$6:D1646,"Vastgesteld")&gt;1),1,0))</f>
        <v>0</v>
      </c>
    </row>
    <row r="1647">
      <c r="S1647" s="15" t="str">
        <f>IF(J1647="","",J1647&amp;"|"&amp;E1647&amp;"|"&amp;F1647&amp;"|"&amp;I1647&amp;"|"&amp;O1647)</f>
        <v/>
      </c>
      <c r="T1647" s="15" t="str">
        <f>IF(OR(S1647="",D1647&lt;&gt;"Vastgesteld"),"",_xlfn.MAXIFS($G$6:$G$5005,$S$6:$S$5005,S1647,$D$6:$D$5005,"Vastgesteld"))</f>
        <v/>
      </c>
      <c r="U1647" s="15">
        <f>IF(T1647="",0,IF(AND(G1647=T1647,COUNTIFS($S$6:S1647,S1647,$G$6:G1647,G1647,$D$6:D1647,"Vastgesteld")=1),1,0))</f>
        <v>0</v>
      </c>
      <c r="V1647" s="15">
        <f>IF(T1647="",0,IF(AND(G1647=T1647,COUNTIFS($S$6:S1647,S1647,$G$6:G1647,G1647,$D$6:D1647,"Vastgesteld")&gt;1),1,0))</f>
        <v>0</v>
      </c>
    </row>
    <row r="1648">
      <c r="S1648" s="15" t="str">
        <f>IF(J1648="","",J1648&amp;"|"&amp;E1648&amp;"|"&amp;F1648&amp;"|"&amp;I1648&amp;"|"&amp;O1648)</f>
        <v/>
      </c>
      <c r="T1648" s="15" t="str">
        <f>IF(OR(S1648="",D1648&lt;&gt;"Vastgesteld"),"",_xlfn.MAXIFS($G$6:$G$5005,$S$6:$S$5005,S1648,$D$6:$D$5005,"Vastgesteld"))</f>
        <v/>
      </c>
      <c r="U1648" s="15">
        <f>IF(T1648="",0,IF(AND(G1648=T1648,COUNTIFS($S$6:S1648,S1648,$G$6:G1648,G1648,$D$6:D1648,"Vastgesteld")=1),1,0))</f>
        <v>0</v>
      </c>
      <c r="V1648" s="15">
        <f>IF(T1648="",0,IF(AND(G1648=T1648,COUNTIFS($S$6:S1648,S1648,$G$6:G1648,G1648,$D$6:D1648,"Vastgesteld")&gt;1),1,0))</f>
        <v>0</v>
      </c>
    </row>
    <row r="1649">
      <c r="S1649" s="15" t="str">
        <f>IF(J1649="","",J1649&amp;"|"&amp;E1649&amp;"|"&amp;F1649&amp;"|"&amp;I1649&amp;"|"&amp;O1649)</f>
        <v/>
      </c>
      <c r="T1649" s="15" t="str">
        <f>IF(OR(S1649="",D1649&lt;&gt;"Vastgesteld"),"",_xlfn.MAXIFS($G$6:$G$5005,$S$6:$S$5005,S1649,$D$6:$D$5005,"Vastgesteld"))</f>
        <v/>
      </c>
      <c r="U1649" s="15">
        <f>IF(T1649="",0,IF(AND(G1649=T1649,COUNTIFS($S$6:S1649,S1649,$G$6:G1649,G1649,$D$6:D1649,"Vastgesteld")=1),1,0))</f>
        <v>0</v>
      </c>
      <c r="V1649" s="15">
        <f>IF(T1649="",0,IF(AND(G1649=T1649,COUNTIFS($S$6:S1649,S1649,$G$6:G1649,G1649,$D$6:D1649,"Vastgesteld")&gt;1),1,0))</f>
        <v>0</v>
      </c>
    </row>
    <row r="1650">
      <c r="S1650" s="15" t="str">
        <f>IF(J1650="","",J1650&amp;"|"&amp;E1650&amp;"|"&amp;F1650&amp;"|"&amp;I1650&amp;"|"&amp;O1650)</f>
        <v/>
      </c>
      <c r="T1650" s="15" t="str">
        <f>IF(OR(S1650="",D1650&lt;&gt;"Vastgesteld"),"",_xlfn.MAXIFS($G$6:$G$5005,$S$6:$S$5005,S1650,$D$6:$D$5005,"Vastgesteld"))</f>
        <v/>
      </c>
      <c r="U1650" s="15">
        <f>IF(T1650="",0,IF(AND(G1650=T1650,COUNTIFS($S$6:S1650,S1650,$G$6:G1650,G1650,$D$6:D1650,"Vastgesteld")=1),1,0))</f>
        <v>0</v>
      </c>
      <c r="V1650" s="15">
        <f>IF(T1650="",0,IF(AND(G1650=T1650,COUNTIFS($S$6:S1650,S1650,$G$6:G1650,G1650,$D$6:D1650,"Vastgesteld")&gt;1),1,0))</f>
        <v>0</v>
      </c>
    </row>
    <row r="1651">
      <c r="S1651" s="15" t="str">
        <f>IF(J1651="","",J1651&amp;"|"&amp;E1651&amp;"|"&amp;F1651&amp;"|"&amp;I1651&amp;"|"&amp;O1651)</f>
        <v/>
      </c>
      <c r="T1651" s="15" t="str">
        <f>IF(OR(S1651="",D1651&lt;&gt;"Vastgesteld"),"",_xlfn.MAXIFS($G$6:$G$5005,$S$6:$S$5005,S1651,$D$6:$D$5005,"Vastgesteld"))</f>
        <v/>
      </c>
      <c r="U1651" s="15">
        <f>IF(T1651="",0,IF(AND(G1651=T1651,COUNTIFS($S$6:S1651,S1651,$G$6:G1651,G1651,$D$6:D1651,"Vastgesteld")=1),1,0))</f>
        <v>0</v>
      </c>
      <c r="V1651" s="15">
        <f>IF(T1651="",0,IF(AND(G1651=T1651,COUNTIFS($S$6:S1651,S1651,$G$6:G1651,G1651,$D$6:D1651,"Vastgesteld")&gt;1),1,0))</f>
        <v>0</v>
      </c>
    </row>
    <row r="1652">
      <c r="S1652" s="15" t="str">
        <f>IF(J1652="","",J1652&amp;"|"&amp;E1652&amp;"|"&amp;F1652&amp;"|"&amp;I1652&amp;"|"&amp;O1652)</f>
        <v/>
      </c>
      <c r="T1652" s="15" t="str">
        <f>IF(OR(S1652="",D1652&lt;&gt;"Vastgesteld"),"",_xlfn.MAXIFS($G$6:$G$5005,$S$6:$S$5005,S1652,$D$6:$D$5005,"Vastgesteld"))</f>
        <v/>
      </c>
      <c r="U1652" s="15">
        <f>IF(T1652="",0,IF(AND(G1652=T1652,COUNTIFS($S$6:S1652,S1652,$G$6:G1652,G1652,$D$6:D1652,"Vastgesteld")=1),1,0))</f>
        <v>0</v>
      </c>
      <c r="V1652" s="15">
        <f>IF(T1652="",0,IF(AND(G1652=T1652,COUNTIFS($S$6:S1652,S1652,$G$6:G1652,G1652,$D$6:D1652,"Vastgesteld")&gt;1),1,0))</f>
        <v>0</v>
      </c>
    </row>
    <row r="1653">
      <c r="S1653" s="15" t="str">
        <f>IF(J1653="","",J1653&amp;"|"&amp;E1653&amp;"|"&amp;F1653&amp;"|"&amp;I1653&amp;"|"&amp;O1653)</f>
        <v/>
      </c>
      <c r="T1653" s="15" t="str">
        <f>IF(OR(S1653="",D1653&lt;&gt;"Vastgesteld"),"",_xlfn.MAXIFS($G$6:$G$5005,$S$6:$S$5005,S1653,$D$6:$D$5005,"Vastgesteld"))</f>
        <v/>
      </c>
      <c r="U1653" s="15">
        <f>IF(T1653="",0,IF(AND(G1653=T1653,COUNTIFS($S$6:S1653,S1653,$G$6:G1653,G1653,$D$6:D1653,"Vastgesteld")=1),1,0))</f>
        <v>0</v>
      </c>
      <c r="V1653" s="15">
        <f>IF(T1653="",0,IF(AND(G1653=T1653,COUNTIFS($S$6:S1653,S1653,$G$6:G1653,G1653,$D$6:D1653,"Vastgesteld")&gt;1),1,0))</f>
        <v>0</v>
      </c>
    </row>
    <row r="1654">
      <c r="S1654" s="15" t="str">
        <f>IF(J1654="","",J1654&amp;"|"&amp;E1654&amp;"|"&amp;F1654&amp;"|"&amp;I1654&amp;"|"&amp;O1654)</f>
        <v/>
      </c>
      <c r="T1654" s="15" t="str">
        <f>IF(OR(S1654="",D1654&lt;&gt;"Vastgesteld"),"",_xlfn.MAXIFS($G$6:$G$5005,$S$6:$S$5005,S1654,$D$6:$D$5005,"Vastgesteld"))</f>
        <v/>
      </c>
      <c r="U1654" s="15">
        <f>IF(T1654="",0,IF(AND(G1654=T1654,COUNTIFS($S$6:S1654,S1654,$G$6:G1654,G1654,$D$6:D1654,"Vastgesteld")=1),1,0))</f>
        <v>0</v>
      </c>
      <c r="V1654" s="15">
        <f>IF(T1654="",0,IF(AND(G1654=T1654,COUNTIFS($S$6:S1654,S1654,$G$6:G1654,G1654,$D$6:D1654,"Vastgesteld")&gt;1),1,0))</f>
        <v>0</v>
      </c>
    </row>
    <row r="1655">
      <c r="S1655" s="15" t="str">
        <f>IF(J1655="","",J1655&amp;"|"&amp;E1655&amp;"|"&amp;F1655&amp;"|"&amp;I1655&amp;"|"&amp;O1655)</f>
        <v/>
      </c>
      <c r="T1655" s="15" t="str">
        <f>IF(OR(S1655="",D1655&lt;&gt;"Vastgesteld"),"",_xlfn.MAXIFS($G$6:$G$5005,$S$6:$S$5005,S1655,$D$6:$D$5005,"Vastgesteld"))</f>
        <v/>
      </c>
      <c r="U1655" s="15">
        <f>IF(T1655="",0,IF(AND(G1655=T1655,COUNTIFS($S$6:S1655,S1655,$G$6:G1655,G1655,$D$6:D1655,"Vastgesteld")=1),1,0))</f>
        <v>0</v>
      </c>
      <c r="V1655" s="15">
        <f>IF(T1655="",0,IF(AND(G1655=T1655,COUNTIFS($S$6:S1655,S1655,$G$6:G1655,G1655,$D$6:D1655,"Vastgesteld")&gt;1),1,0))</f>
        <v>0</v>
      </c>
    </row>
    <row r="1656">
      <c r="S1656" s="15" t="str">
        <f>IF(J1656="","",J1656&amp;"|"&amp;E1656&amp;"|"&amp;F1656&amp;"|"&amp;I1656&amp;"|"&amp;O1656)</f>
        <v/>
      </c>
      <c r="T1656" s="15" t="str">
        <f>IF(OR(S1656="",D1656&lt;&gt;"Vastgesteld"),"",_xlfn.MAXIFS($G$6:$G$5005,$S$6:$S$5005,S1656,$D$6:$D$5005,"Vastgesteld"))</f>
        <v/>
      </c>
      <c r="U1656" s="15">
        <f>IF(T1656="",0,IF(AND(G1656=T1656,COUNTIFS($S$6:S1656,S1656,$G$6:G1656,G1656,$D$6:D1656,"Vastgesteld")=1),1,0))</f>
        <v>0</v>
      </c>
      <c r="V1656" s="15">
        <f>IF(T1656="",0,IF(AND(G1656=T1656,COUNTIFS($S$6:S1656,S1656,$G$6:G1656,G1656,$D$6:D1656,"Vastgesteld")&gt;1),1,0))</f>
        <v>0</v>
      </c>
    </row>
    <row r="1657">
      <c r="S1657" s="15" t="str">
        <f>IF(J1657="","",J1657&amp;"|"&amp;E1657&amp;"|"&amp;F1657&amp;"|"&amp;I1657&amp;"|"&amp;O1657)</f>
        <v/>
      </c>
      <c r="T1657" s="15" t="str">
        <f>IF(OR(S1657="",D1657&lt;&gt;"Vastgesteld"),"",_xlfn.MAXIFS($G$6:$G$5005,$S$6:$S$5005,S1657,$D$6:$D$5005,"Vastgesteld"))</f>
        <v/>
      </c>
      <c r="U1657" s="15">
        <f>IF(T1657="",0,IF(AND(G1657=T1657,COUNTIFS($S$6:S1657,S1657,$G$6:G1657,G1657,$D$6:D1657,"Vastgesteld")=1),1,0))</f>
        <v>0</v>
      </c>
      <c r="V1657" s="15">
        <f>IF(T1657="",0,IF(AND(G1657=T1657,COUNTIFS($S$6:S1657,S1657,$G$6:G1657,G1657,$D$6:D1657,"Vastgesteld")&gt;1),1,0))</f>
        <v>0</v>
      </c>
    </row>
    <row r="1658">
      <c r="S1658" s="15" t="str">
        <f>IF(J1658="","",J1658&amp;"|"&amp;E1658&amp;"|"&amp;F1658&amp;"|"&amp;I1658&amp;"|"&amp;O1658)</f>
        <v/>
      </c>
      <c r="T1658" s="15" t="str">
        <f>IF(OR(S1658="",D1658&lt;&gt;"Vastgesteld"),"",_xlfn.MAXIFS($G$6:$G$5005,$S$6:$S$5005,S1658,$D$6:$D$5005,"Vastgesteld"))</f>
        <v/>
      </c>
      <c r="U1658" s="15">
        <f>IF(T1658="",0,IF(AND(G1658=T1658,COUNTIFS($S$6:S1658,S1658,$G$6:G1658,G1658,$D$6:D1658,"Vastgesteld")=1),1,0))</f>
        <v>0</v>
      </c>
      <c r="V1658" s="15">
        <f>IF(T1658="",0,IF(AND(G1658=T1658,COUNTIFS($S$6:S1658,S1658,$G$6:G1658,G1658,$D$6:D1658,"Vastgesteld")&gt;1),1,0))</f>
        <v>0</v>
      </c>
    </row>
    <row r="1659">
      <c r="S1659" s="15" t="str">
        <f>IF(J1659="","",J1659&amp;"|"&amp;E1659&amp;"|"&amp;F1659&amp;"|"&amp;I1659&amp;"|"&amp;O1659)</f>
        <v/>
      </c>
      <c r="T1659" s="15" t="str">
        <f>IF(OR(S1659="",D1659&lt;&gt;"Vastgesteld"),"",_xlfn.MAXIFS($G$6:$G$5005,$S$6:$S$5005,S1659,$D$6:$D$5005,"Vastgesteld"))</f>
        <v/>
      </c>
      <c r="U1659" s="15">
        <f>IF(T1659="",0,IF(AND(G1659=T1659,COUNTIFS($S$6:S1659,S1659,$G$6:G1659,G1659,$D$6:D1659,"Vastgesteld")=1),1,0))</f>
        <v>0</v>
      </c>
      <c r="V1659" s="15">
        <f>IF(T1659="",0,IF(AND(G1659=T1659,COUNTIFS($S$6:S1659,S1659,$G$6:G1659,G1659,$D$6:D1659,"Vastgesteld")&gt;1),1,0))</f>
        <v>0</v>
      </c>
    </row>
    <row r="1660">
      <c r="S1660" s="15" t="str">
        <f>IF(J1660="","",J1660&amp;"|"&amp;E1660&amp;"|"&amp;F1660&amp;"|"&amp;I1660&amp;"|"&amp;O1660)</f>
        <v/>
      </c>
      <c r="T1660" s="15" t="str">
        <f>IF(OR(S1660="",D1660&lt;&gt;"Vastgesteld"),"",_xlfn.MAXIFS($G$6:$G$5005,$S$6:$S$5005,S1660,$D$6:$D$5005,"Vastgesteld"))</f>
        <v/>
      </c>
      <c r="U1660" s="15">
        <f>IF(T1660="",0,IF(AND(G1660=T1660,COUNTIFS($S$6:S1660,S1660,$G$6:G1660,G1660,$D$6:D1660,"Vastgesteld")=1),1,0))</f>
        <v>0</v>
      </c>
      <c r="V1660" s="15">
        <f>IF(T1660="",0,IF(AND(G1660=T1660,COUNTIFS($S$6:S1660,S1660,$G$6:G1660,G1660,$D$6:D1660,"Vastgesteld")&gt;1),1,0))</f>
        <v>0</v>
      </c>
    </row>
    <row r="1661">
      <c r="S1661" s="15" t="str">
        <f>IF(J1661="","",J1661&amp;"|"&amp;E1661&amp;"|"&amp;F1661&amp;"|"&amp;I1661&amp;"|"&amp;O1661)</f>
        <v/>
      </c>
      <c r="T1661" s="15" t="str">
        <f>IF(OR(S1661="",D1661&lt;&gt;"Vastgesteld"),"",_xlfn.MAXIFS($G$6:$G$5005,$S$6:$S$5005,S1661,$D$6:$D$5005,"Vastgesteld"))</f>
        <v/>
      </c>
      <c r="U1661" s="15">
        <f>IF(T1661="",0,IF(AND(G1661=T1661,COUNTIFS($S$6:S1661,S1661,$G$6:G1661,G1661,$D$6:D1661,"Vastgesteld")=1),1,0))</f>
        <v>0</v>
      </c>
      <c r="V1661" s="15">
        <f>IF(T1661="",0,IF(AND(G1661=T1661,COUNTIFS($S$6:S1661,S1661,$G$6:G1661,G1661,$D$6:D1661,"Vastgesteld")&gt;1),1,0))</f>
        <v>0</v>
      </c>
    </row>
    <row r="1662">
      <c r="S1662" s="15" t="str">
        <f>IF(J1662="","",J1662&amp;"|"&amp;E1662&amp;"|"&amp;F1662&amp;"|"&amp;I1662&amp;"|"&amp;O1662)</f>
        <v/>
      </c>
      <c r="T1662" s="15" t="str">
        <f>IF(OR(S1662="",D1662&lt;&gt;"Vastgesteld"),"",_xlfn.MAXIFS($G$6:$G$5005,$S$6:$S$5005,S1662,$D$6:$D$5005,"Vastgesteld"))</f>
        <v/>
      </c>
      <c r="U1662" s="15">
        <f>IF(T1662="",0,IF(AND(G1662=T1662,COUNTIFS($S$6:S1662,S1662,$G$6:G1662,G1662,$D$6:D1662,"Vastgesteld")=1),1,0))</f>
        <v>0</v>
      </c>
      <c r="V1662" s="15">
        <f>IF(T1662="",0,IF(AND(G1662=T1662,COUNTIFS($S$6:S1662,S1662,$G$6:G1662,G1662,$D$6:D1662,"Vastgesteld")&gt;1),1,0))</f>
        <v>0</v>
      </c>
    </row>
    <row r="1663">
      <c r="S1663" s="15" t="str">
        <f>IF(J1663="","",J1663&amp;"|"&amp;E1663&amp;"|"&amp;F1663&amp;"|"&amp;I1663&amp;"|"&amp;O1663)</f>
        <v/>
      </c>
      <c r="T1663" s="15" t="str">
        <f>IF(OR(S1663="",D1663&lt;&gt;"Vastgesteld"),"",_xlfn.MAXIFS($G$6:$G$5005,$S$6:$S$5005,S1663,$D$6:$D$5005,"Vastgesteld"))</f>
        <v/>
      </c>
      <c r="U1663" s="15">
        <f>IF(T1663="",0,IF(AND(G1663=T1663,COUNTIFS($S$6:S1663,S1663,$G$6:G1663,G1663,$D$6:D1663,"Vastgesteld")=1),1,0))</f>
        <v>0</v>
      </c>
      <c r="V1663" s="15">
        <f>IF(T1663="",0,IF(AND(G1663=T1663,COUNTIFS($S$6:S1663,S1663,$G$6:G1663,G1663,$D$6:D1663,"Vastgesteld")&gt;1),1,0))</f>
        <v>0</v>
      </c>
    </row>
    <row r="1664">
      <c r="S1664" s="15" t="str">
        <f>IF(J1664="","",J1664&amp;"|"&amp;E1664&amp;"|"&amp;F1664&amp;"|"&amp;I1664&amp;"|"&amp;O1664)</f>
        <v/>
      </c>
      <c r="T1664" s="15" t="str">
        <f>IF(OR(S1664="",D1664&lt;&gt;"Vastgesteld"),"",_xlfn.MAXIFS($G$6:$G$5005,$S$6:$S$5005,S1664,$D$6:$D$5005,"Vastgesteld"))</f>
        <v/>
      </c>
      <c r="U1664" s="15">
        <f>IF(T1664="",0,IF(AND(G1664=T1664,COUNTIFS($S$6:S1664,S1664,$G$6:G1664,G1664,$D$6:D1664,"Vastgesteld")=1),1,0))</f>
        <v>0</v>
      </c>
      <c r="V1664" s="15">
        <f>IF(T1664="",0,IF(AND(G1664=T1664,COUNTIFS($S$6:S1664,S1664,$G$6:G1664,G1664,$D$6:D1664,"Vastgesteld")&gt;1),1,0))</f>
        <v>0</v>
      </c>
    </row>
    <row r="1665">
      <c r="S1665" s="15" t="str">
        <f>IF(J1665="","",J1665&amp;"|"&amp;E1665&amp;"|"&amp;F1665&amp;"|"&amp;I1665&amp;"|"&amp;O1665)</f>
        <v/>
      </c>
      <c r="T1665" s="15" t="str">
        <f>IF(OR(S1665="",D1665&lt;&gt;"Vastgesteld"),"",_xlfn.MAXIFS($G$6:$G$5005,$S$6:$S$5005,S1665,$D$6:$D$5005,"Vastgesteld"))</f>
        <v/>
      </c>
      <c r="U1665" s="15">
        <f>IF(T1665="",0,IF(AND(G1665=T1665,COUNTIFS($S$6:S1665,S1665,$G$6:G1665,G1665,$D$6:D1665,"Vastgesteld")=1),1,0))</f>
        <v>0</v>
      </c>
      <c r="V1665" s="15">
        <f>IF(T1665="",0,IF(AND(G1665=T1665,COUNTIFS($S$6:S1665,S1665,$G$6:G1665,G1665,$D$6:D1665,"Vastgesteld")&gt;1),1,0))</f>
        <v>0</v>
      </c>
    </row>
    <row r="1666">
      <c r="S1666" s="15" t="str">
        <f>IF(J1666="","",J1666&amp;"|"&amp;E1666&amp;"|"&amp;F1666&amp;"|"&amp;I1666&amp;"|"&amp;O1666)</f>
        <v/>
      </c>
      <c r="T1666" s="15" t="str">
        <f>IF(OR(S1666="",D1666&lt;&gt;"Vastgesteld"),"",_xlfn.MAXIFS($G$6:$G$5005,$S$6:$S$5005,S1666,$D$6:$D$5005,"Vastgesteld"))</f>
        <v/>
      </c>
      <c r="U1666" s="15">
        <f>IF(T1666="",0,IF(AND(G1666=T1666,COUNTIFS($S$6:S1666,S1666,$G$6:G1666,G1666,$D$6:D1666,"Vastgesteld")=1),1,0))</f>
        <v>0</v>
      </c>
      <c r="V1666" s="15">
        <f>IF(T1666="",0,IF(AND(G1666=T1666,COUNTIFS($S$6:S1666,S1666,$G$6:G1666,G1666,$D$6:D1666,"Vastgesteld")&gt;1),1,0))</f>
        <v>0</v>
      </c>
    </row>
    <row r="1667">
      <c r="S1667" s="15" t="str">
        <f>IF(J1667="","",J1667&amp;"|"&amp;E1667&amp;"|"&amp;F1667&amp;"|"&amp;I1667&amp;"|"&amp;O1667)</f>
        <v/>
      </c>
      <c r="T1667" s="15" t="str">
        <f>IF(OR(S1667="",D1667&lt;&gt;"Vastgesteld"),"",_xlfn.MAXIFS($G$6:$G$5005,$S$6:$S$5005,S1667,$D$6:$D$5005,"Vastgesteld"))</f>
        <v/>
      </c>
      <c r="U1667" s="15">
        <f>IF(T1667="",0,IF(AND(G1667=T1667,COUNTIFS($S$6:S1667,S1667,$G$6:G1667,G1667,$D$6:D1667,"Vastgesteld")=1),1,0))</f>
        <v>0</v>
      </c>
      <c r="V1667" s="15">
        <f>IF(T1667="",0,IF(AND(G1667=T1667,COUNTIFS($S$6:S1667,S1667,$G$6:G1667,G1667,$D$6:D1667,"Vastgesteld")&gt;1),1,0))</f>
        <v>0</v>
      </c>
    </row>
    <row r="1668">
      <c r="S1668" s="15" t="str">
        <f>IF(J1668="","",J1668&amp;"|"&amp;E1668&amp;"|"&amp;F1668&amp;"|"&amp;I1668&amp;"|"&amp;O1668)</f>
        <v/>
      </c>
      <c r="T1668" s="15" t="str">
        <f>IF(OR(S1668="",D1668&lt;&gt;"Vastgesteld"),"",_xlfn.MAXIFS($G$6:$G$5005,$S$6:$S$5005,S1668,$D$6:$D$5005,"Vastgesteld"))</f>
        <v/>
      </c>
      <c r="U1668" s="15">
        <f>IF(T1668="",0,IF(AND(G1668=T1668,COUNTIFS($S$6:S1668,S1668,$G$6:G1668,G1668,$D$6:D1668,"Vastgesteld")=1),1,0))</f>
        <v>0</v>
      </c>
      <c r="V1668" s="15">
        <f>IF(T1668="",0,IF(AND(G1668=T1668,COUNTIFS($S$6:S1668,S1668,$G$6:G1668,G1668,$D$6:D1668,"Vastgesteld")&gt;1),1,0))</f>
        <v>0</v>
      </c>
    </row>
    <row r="1669">
      <c r="S1669" s="15" t="str">
        <f>IF(J1669="","",J1669&amp;"|"&amp;E1669&amp;"|"&amp;F1669&amp;"|"&amp;I1669&amp;"|"&amp;O1669)</f>
        <v/>
      </c>
      <c r="T1669" s="15" t="str">
        <f>IF(OR(S1669="",D1669&lt;&gt;"Vastgesteld"),"",_xlfn.MAXIFS($G$6:$G$5005,$S$6:$S$5005,S1669,$D$6:$D$5005,"Vastgesteld"))</f>
        <v/>
      </c>
      <c r="U1669" s="15">
        <f>IF(T1669="",0,IF(AND(G1669=T1669,COUNTIFS($S$6:S1669,S1669,$G$6:G1669,G1669,$D$6:D1669,"Vastgesteld")=1),1,0))</f>
        <v>0</v>
      </c>
      <c r="V1669" s="15">
        <f>IF(T1669="",0,IF(AND(G1669=T1669,COUNTIFS($S$6:S1669,S1669,$G$6:G1669,G1669,$D$6:D1669,"Vastgesteld")&gt;1),1,0))</f>
        <v>0</v>
      </c>
    </row>
    <row r="1670">
      <c r="S1670" s="15" t="str">
        <f>IF(J1670="","",J1670&amp;"|"&amp;E1670&amp;"|"&amp;F1670&amp;"|"&amp;I1670&amp;"|"&amp;O1670)</f>
        <v/>
      </c>
      <c r="T1670" s="15" t="str">
        <f>IF(OR(S1670="",D1670&lt;&gt;"Vastgesteld"),"",_xlfn.MAXIFS($G$6:$G$5005,$S$6:$S$5005,S1670,$D$6:$D$5005,"Vastgesteld"))</f>
        <v/>
      </c>
      <c r="U1670" s="15">
        <f>IF(T1670="",0,IF(AND(G1670=T1670,COUNTIFS($S$6:S1670,S1670,$G$6:G1670,G1670,$D$6:D1670,"Vastgesteld")=1),1,0))</f>
        <v>0</v>
      </c>
      <c r="V1670" s="15">
        <f>IF(T1670="",0,IF(AND(G1670=T1670,COUNTIFS($S$6:S1670,S1670,$G$6:G1670,G1670,$D$6:D1670,"Vastgesteld")&gt;1),1,0))</f>
        <v>0</v>
      </c>
    </row>
    <row r="1671">
      <c r="S1671" s="15" t="str">
        <f>IF(J1671="","",J1671&amp;"|"&amp;E1671&amp;"|"&amp;F1671&amp;"|"&amp;I1671&amp;"|"&amp;O1671)</f>
        <v/>
      </c>
      <c r="T1671" s="15" t="str">
        <f>IF(OR(S1671="",D1671&lt;&gt;"Vastgesteld"),"",_xlfn.MAXIFS($G$6:$G$5005,$S$6:$S$5005,S1671,$D$6:$D$5005,"Vastgesteld"))</f>
        <v/>
      </c>
      <c r="U1671" s="15">
        <f>IF(T1671="",0,IF(AND(G1671=T1671,COUNTIFS($S$6:S1671,S1671,$G$6:G1671,G1671,$D$6:D1671,"Vastgesteld")=1),1,0))</f>
        <v>0</v>
      </c>
      <c r="V1671" s="15">
        <f>IF(T1671="",0,IF(AND(G1671=T1671,COUNTIFS($S$6:S1671,S1671,$G$6:G1671,G1671,$D$6:D1671,"Vastgesteld")&gt;1),1,0))</f>
        <v>0</v>
      </c>
    </row>
    <row r="1672">
      <c r="S1672" s="15" t="str">
        <f>IF(J1672="","",J1672&amp;"|"&amp;E1672&amp;"|"&amp;F1672&amp;"|"&amp;I1672&amp;"|"&amp;O1672)</f>
        <v/>
      </c>
      <c r="T1672" s="15" t="str">
        <f>IF(OR(S1672="",D1672&lt;&gt;"Vastgesteld"),"",_xlfn.MAXIFS($G$6:$G$5005,$S$6:$S$5005,S1672,$D$6:$D$5005,"Vastgesteld"))</f>
        <v/>
      </c>
      <c r="U1672" s="15">
        <f>IF(T1672="",0,IF(AND(G1672=T1672,COUNTIFS($S$6:S1672,S1672,$G$6:G1672,G1672,$D$6:D1672,"Vastgesteld")=1),1,0))</f>
        <v>0</v>
      </c>
      <c r="V1672" s="15">
        <f>IF(T1672="",0,IF(AND(G1672=T1672,COUNTIFS($S$6:S1672,S1672,$G$6:G1672,G1672,$D$6:D1672,"Vastgesteld")&gt;1),1,0))</f>
        <v>0</v>
      </c>
    </row>
    <row r="1673">
      <c r="S1673" s="15" t="str">
        <f>IF(J1673="","",J1673&amp;"|"&amp;E1673&amp;"|"&amp;F1673&amp;"|"&amp;I1673&amp;"|"&amp;O1673)</f>
        <v/>
      </c>
      <c r="T1673" s="15" t="str">
        <f>IF(OR(S1673="",D1673&lt;&gt;"Vastgesteld"),"",_xlfn.MAXIFS($G$6:$G$5005,$S$6:$S$5005,S1673,$D$6:$D$5005,"Vastgesteld"))</f>
        <v/>
      </c>
      <c r="U1673" s="15">
        <f>IF(T1673="",0,IF(AND(G1673=T1673,COUNTIFS($S$6:S1673,S1673,$G$6:G1673,G1673,$D$6:D1673,"Vastgesteld")=1),1,0))</f>
        <v>0</v>
      </c>
      <c r="V1673" s="15">
        <f>IF(T1673="",0,IF(AND(G1673=T1673,COUNTIFS($S$6:S1673,S1673,$G$6:G1673,G1673,$D$6:D1673,"Vastgesteld")&gt;1),1,0))</f>
        <v>0</v>
      </c>
    </row>
    <row r="1674">
      <c r="S1674" s="15" t="str">
        <f>IF(J1674="","",J1674&amp;"|"&amp;E1674&amp;"|"&amp;F1674&amp;"|"&amp;I1674&amp;"|"&amp;O1674)</f>
        <v/>
      </c>
      <c r="T1674" s="15" t="str">
        <f>IF(OR(S1674="",D1674&lt;&gt;"Vastgesteld"),"",_xlfn.MAXIFS($G$6:$G$5005,$S$6:$S$5005,S1674,$D$6:$D$5005,"Vastgesteld"))</f>
        <v/>
      </c>
      <c r="U1674" s="15">
        <f>IF(T1674="",0,IF(AND(G1674=T1674,COUNTIFS($S$6:S1674,S1674,$G$6:G1674,G1674,$D$6:D1674,"Vastgesteld")=1),1,0))</f>
        <v>0</v>
      </c>
      <c r="V1674" s="15">
        <f>IF(T1674="",0,IF(AND(G1674=T1674,COUNTIFS($S$6:S1674,S1674,$G$6:G1674,G1674,$D$6:D1674,"Vastgesteld")&gt;1),1,0))</f>
        <v>0</v>
      </c>
    </row>
    <row r="1675">
      <c r="S1675" s="15" t="str">
        <f>IF(J1675="","",J1675&amp;"|"&amp;E1675&amp;"|"&amp;F1675&amp;"|"&amp;I1675&amp;"|"&amp;O1675)</f>
        <v/>
      </c>
      <c r="T1675" s="15" t="str">
        <f>IF(OR(S1675="",D1675&lt;&gt;"Vastgesteld"),"",_xlfn.MAXIFS($G$6:$G$5005,$S$6:$S$5005,S1675,$D$6:$D$5005,"Vastgesteld"))</f>
        <v/>
      </c>
      <c r="U1675" s="15">
        <f>IF(T1675="",0,IF(AND(G1675=T1675,COUNTIFS($S$6:S1675,S1675,$G$6:G1675,G1675,$D$6:D1675,"Vastgesteld")=1),1,0))</f>
        <v>0</v>
      </c>
      <c r="V1675" s="15">
        <f>IF(T1675="",0,IF(AND(G1675=T1675,COUNTIFS($S$6:S1675,S1675,$G$6:G1675,G1675,$D$6:D1675,"Vastgesteld")&gt;1),1,0))</f>
        <v>0</v>
      </c>
    </row>
    <row r="1676">
      <c r="S1676" s="15" t="str">
        <f>IF(J1676="","",J1676&amp;"|"&amp;E1676&amp;"|"&amp;F1676&amp;"|"&amp;I1676&amp;"|"&amp;O1676)</f>
        <v/>
      </c>
      <c r="T1676" s="15" t="str">
        <f>IF(OR(S1676="",D1676&lt;&gt;"Vastgesteld"),"",_xlfn.MAXIFS($G$6:$G$5005,$S$6:$S$5005,S1676,$D$6:$D$5005,"Vastgesteld"))</f>
        <v/>
      </c>
      <c r="U1676" s="15">
        <f>IF(T1676="",0,IF(AND(G1676=T1676,COUNTIFS($S$6:S1676,S1676,$G$6:G1676,G1676,$D$6:D1676,"Vastgesteld")=1),1,0))</f>
        <v>0</v>
      </c>
      <c r="V1676" s="15">
        <f>IF(T1676="",0,IF(AND(G1676=T1676,COUNTIFS($S$6:S1676,S1676,$G$6:G1676,G1676,$D$6:D1676,"Vastgesteld")&gt;1),1,0))</f>
        <v>0</v>
      </c>
    </row>
    <row r="1677">
      <c r="S1677" s="15" t="str">
        <f>IF(J1677="","",J1677&amp;"|"&amp;E1677&amp;"|"&amp;F1677&amp;"|"&amp;I1677&amp;"|"&amp;O1677)</f>
        <v/>
      </c>
      <c r="T1677" s="15" t="str">
        <f>IF(OR(S1677="",D1677&lt;&gt;"Vastgesteld"),"",_xlfn.MAXIFS($G$6:$G$5005,$S$6:$S$5005,S1677,$D$6:$D$5005,"Vastgesteld"))</f>
        <v/>
      </c>
      <c r="U1677" s="15">
        <f>IF(T1677="",0,IF(AND(G1677=T1677,COUNTIFS($S$6:S1677,S1677,$G$6:G1677,G1677,$D$6:D1677,"Vastgesteld")=1),1,0))</f>
        <v>0</v>
      </c>
      <c r="V1677" s="15">
        <f>IF(T1677="",0,IF(AND(G1677=T1677,COUNTIFS($S$6:S1677,S1677,$G$6:G1677,G1677,$D$6:D1677,"Vastgesteld")&gt;1),1,0))</f>
        <v>0</v>
      </c>
    </row>
    <row r="1678">
      <c r="S1678" s="15" t="str">
        <f>IF(J1678="","",J1678&amp;"|"&amp;E1678&amp;"|"&amp;F1678&amp;"|"&amp;I1678&amp;"|"&amp;O1678)</f>
        <v/>
      </c>
      <c r="T1678" s="15" t="str">
        <f>IF(OR(S1678="",D1678&lt;&gt;"Vastgesteld"),"",_xlfn.MAXIFS($G$6:$G$5005,$S$6:$S$5005,S1678,$D$6:$D$5005,"Vastgesteld"))</f>
        <v/>
      </c>
      <c r="U1678" s="15">
        <f>IF(T1678="",0,IF(AND(G1678=T1678,COUNTIFS($S$6:S1678,S1678,$G$6:G1678,G1678,$D$6:D1678,"Vastgesteld")=1),1,0))</f>
        <v>0</v>
      </c>
      <c r="V1678" s="15">
        <f>IF(T1678="",0,IF(AND(G1678=T1678,COUNTIFS($S$6:S1678,S1678,$G$6:G1678,G1678,$D$6:D1678,"Vastgesteld")&gt;1),1,0))</f>
        <v>0</v>
      </c>
    </row>
    <row r="1679">
      <c r="S1679" s="15" t="str">
        <f>IF(J1679="","",J1679&amp;"|"&amp;E1679&amp;"|"&amp;F1679&amp;"|"&amp;I1679&amp;"|"&amp;O1679)</f>
        <v/>
      </c>
      <c r="T1679" s="15" t="str">
        <f>IF(OR(S1679="",D1679&lt;&gt;"Vastgesteld"),"",_xlfn.MAXIFS($G$6:$G$5005,$S$6:$S$5005,S1679,$D$6:$D$5005,"Vastgesteld"))</f>
        <v/>
      </c>
      <c r="U1679" s="15">
        <f>IF(T1679="",0,IF(AND(G1679=T1679,COUNTIFS($S$6:S1679,S1679,$G$6:G1679,G1679,$D$6:D1679,"Vastgesteld")=1),1,0))</f>
        <v>0</v>
      </c>
      <c r="V1679" s="15">
        <f>IF(T1679="",0,IF(AND(G1679=T1679,COUNTIFS($S$6:S1679,S1679,$G$6:G1679,G1679,$D$6:D1679,"Vastgesteld")&gt;1),1,0))</f>
        <v>0</v>
      </c>
    </row>
    <row r="1680">
      <c r="S1680" s="15" t="str">
        <f>IF(J1680="","",J1680&amp;"|"&amp;E1680&amp;"|"&amp;F1680&amp;"|"&amp;I1680&amp;"|"&amp;O1680)</f>
        <v/>
      </c>
      <c r="T1680" s="15" t="str">
        <f>IF(OR(S1680="",D1680&lt;&gt;"Vastgesteld"),"",_xlfn.MAXIFS($G$6:$G$5005,$S$6:$S$5005,S1680,$D$6:$D$5005,"Vastgesteld"))</f>
        <v/>
      </c>
      <c r="U1680" s="15">
        <f>IF(T1680="",0,IF(AND(G1680=T1680,COUNTIFS($S$6:S1680,S1680,$G$6:G1680,G1680,$D$6:D1680,"Vastgesteld")=1),1,0))</f>
        <v>0</v>
      </c>
      <c r="V1680" s="15">
        <f>IF(T1680="",0,IF(AND(G1680=T1680,COUNTIFS($S$6:S1680,S1680,$G$6:G1680,G1680,$D$6:D1680,"Vastgesteld")&gt;1),1,0))</f>
        <v>0</v>
      </c>
    </row>
    <row r="1681">
      <c r="S1681" s="15" t="str">
        <f>IF(J1681="","",J1681&amp;"|"&amp;E1681&amp;"|"&amp;F1681&amp;"|"&amp;I1681&amp;"|"&amp;O1681)</f>
        <v/>
      </c>
      <c r="T1681" s="15" t="str">
        <f>IF(OR(S1681="",D1681&lt;&gt;"Vastgesteld"),"",_xlfn.MAXIFS($G$6:$G$5005,$S$6:$S$5005,S1681,$D$6:$D$5005,"Vastgesteld"))</f>
        <v/>
      </c>
      <c r="U1681" s="15">
        <f>IF(T1681="",0,IF(AND(G1681=T1681,COUNTIFS($S$6:S1681,S1681,$G$6:G1681,G1681,$D$6:D1681,"Vastgesteld")=1),1,0))</f>
        <v>0</v>
      </c>
      <c r="V1681" s="15">
        <f>IF(T1681="",0,IF(AND(G1681=T1681,COUNTIFS($S$6:S1681,S1681,$G$6:G1681,G1681,$D$6:D1681,"Vastgesteld")&gt;1),1,0))</f>
        <v>0</v>
      </c>
    </row>
    <row r="1682">
      <c r="S1682" s="15" t="str">
        <f>IF(J1682="","",J1682&amp;"|"&amp;E1682&amp;"|"&amp;F1682&amp;"|"&amp;I1682&amp;"|"&amp;O1682)</f>
        <v/>
      </c>
      <c r="T1682" s="15" t="str">
        <f>IF(OR(S1682="",D1682&lt;&gt;"Vastgesteld"),"",_xlfn.MAXIFS($G$6:$G$5005,$S$6:$S$5005,S1682,$D$6:$D$5005,"Vastgesteld"))</f>
        <v/>
      </c>
      <c r="U1682" s="15">
        <f>IF(T1682="",0,IF(AND(G1682=T1682,COUNTIFS($S$6:S1682,S1682,$G$6:G1682,G1682,$D$6:D1682,"Vastgesteld")=1),1,0))</f>
        <v>0</v>
      </c>
      <c r="V1682" s="15">
        <f>IF(T1682="",0,IF(AND(G1682=T1682,COUNTIFS($S$6:S1682,S1682,$G$6:G1682,G1682,$D$6:D1682,"Vastgesteld")&gt;1),1,0))</f>
        <v>0</v>
      </c>
    </row>
    <row r="1683">
      <c r="S1683" s="15" t="str">
        <f>IF(J1683="","",J1683&amp;"|"&amp;E1683&amp;"|"&amp;F1683&amp;"|"&amp;I1683&amp;"|"&amp;O1683)</f>
        <v/>
      </c>
      <c r="T1683" s="15" t="str">
        <f>IF(OR(S1683="",D1683&lt;&gt;"Vastgesteld"),"",_xlfn.MAXIFS($G$6:$G$5005,$S$6:$S$5005,S1683,$D$6:$D$5005,"Vastgesteld"))</f>
        <v/>
      </c>
      <c r="U1683" s="15">
        <f>IF(T1683="",0,IF(AND(G1683=T1683,COUNTIFS($S$6:S1683,S1683,$G$6:G1683,G1683,$D$6:D1683,"Vastgesteld")=1),1,0))</f>
        <v>0</v>
      </c>
      <c r="V1683" s="15">
        <f>IF(T1683="",0,IF(AND(G1683=T1683,COUNTIFS($S$6:S1683,S1683,$G$6:G1683,G1683,$D$6:D1683,"Vastgesteld")&gt;1),1,0))</f>
        <v>0</v>
      </c>
    </row>
    <row r="1684">
      <c r="S1684" s="15" t="str">
        <f>IF(J1684="","",J1684&amp;"|"&amp;E1684&amp;"|"&amp;F1684&amp;"|"&amp;I1684&amp;"|"&amp;O1684)</f>
        <v/>
      </c>
      <c r="T1684" s="15" t="str">
        <f>IF(OR(S1684="",D1684&lt;&gt;"Vastgesteld"),"",_xlfn.MAXIFS($G$6:$G$5005,$S$6:$S$5005,S1684,$D$6:$D$5005,"Vastgesteld"))</f>
        <v/>
      </c>
      <c r="U1684" s="15">
        <f>IF(T1684="",0,IF(AND(G1684=T1684,COUNTIFS($S$6:S1684,S1684,$G$6:G1684,G1684,$D$6:D1684,"Vastgesteld")=1),1,0))</f>
        <v>0</v>
      </c>
      <c r="V1684" s="15">
        <f>IF(T1684="",0,IF(AND(G1684=T1684,COUNTIFS($S$6:S1684,S1684,$G$6:G1684,G1684,$D$6:D1684,"Vastgesteld")&gt;1),1,0))</f>
        <v>0</v>
      </c>
    </row>
    <row r="1685">
      <c r="S1685" s="15" t="str">
        <f>IF(J1685="","",J1685&amp;"|"&amp;E1685&amp;"|"&amp;F1685&amp;"|"&amp;I1685&amp;"|"&amp;O1685)</f>
        <v/>
      </c>
      <c r="T1685" s="15" t="str">
        <f>IF(OR(S1685="",D1685&lt;&gt;"Vastgesteld"),"",_xlfn.MAXIFS($G$6:$G$5005,$S$6:$S$5005,S1685,$D$6:$D$5005,"Vastgesteld"))</f>
        <v/>
      </c>
      <c r="U1685" s="15">
        <f>IF(T1685="",0,IF(AND(G1685=T1685,COUNTIFS($S$6:S1685,S1685,$G$6:G1685,G1685,$D$6:D1685,"Vastgesteld")=1),1,0))</f>
        <v>0</v>
      </c>
      <c r="V1685" s="15">
        <f>IF(T1685="",0,IF(AND(G1685=T1685,COUNTIFS($S$6:S1685,S1685,$G$6:G1685,G1685,$D$6:D1685,"Vastgesteld")&gt;1),1,0))</f>
        <v>0</v>
      </c>
    </row>
    <row r="1686">
      <c r="S1686" s="15" t="str">
        <f>IF(J1686="","",J1686&amp;"|"&amp;E1686&amp;"|"&amp;F1686&amp;"|"&amp;I1686&amp;"|"&amp;O1686)</f>
        <v/>
      </c>
      <c r="T1686" s="15" t="str">
        <f>IF(OR(S1686="",D1686&lt;&gt;"Vastgesteld"),"",_xlfn.MAXIFS($G$6:$G$5005,$S$6:$S$5005,S1686,$D$6:$D$5005,"Vastgesteld"))</f>
        <v/>
      </c>
      <c r="U1686" s="15">
        <f>IF(T1686="",0,IF(AND(G1686=T1686,COUNTIFS($S$6:S1686,S1686,$G$6:G1686,G1686,$D$6:D1686,"Vastgesteld")=1),1,0))</f>
        <v>0</v>
      </c>
      <c r="V1686" s="15">
        <f>IF(T1686="",0,IF(AND(G1686=T1686,COUNTIFS($S$6:S1686,S1686,$G$6:G1686,G1686,$D$6:D1686,"Vastgesteld")&gt;1),1,0))</f>
        <v>0</v>
      </c>
    </row>
    <row r="1687">
      <c r="S1687" s="15" t="str">
        <f>IF(J1687="","",J1687&amp;"|"&amp;E1687&amp;"|"&amp;F1687&amp;"|"&amp;I1687&amp;"|"&amp;O1687)</f>
        <v/>
      </c>
      <c r="T1687" s="15" t="str">
        <f>IF(OR(S1687="",D1687&lt;&gt;"Vastgesteld"),"",_xlfn.MAXIFS($G$6:$G$5005,$S$6:$S$5005,S1687,$D$6:$D$5005,"Vastgesteld"))</f>
        <v/>
      </c>
      <c r="U1687" s="15">
        <f>IF(T1687="",0,IF(AND(G1687=T1687,COUNTIFS($S$6:S1687,S1687,$G$6:G1687,G1687,$D$6:D1687,"Vastgesteld")=1),1,0))</f>
        <v>0</v>
      </c>
      <c r="V1687" s="15">
        <f>IF(T1687="",0,IF(AND(G1687=T1687,COUNTIFS($S$6:S1687,S1687,$G$6:G1687,G1687,$D$6:D1687,"Vastgesteld")&gt;1),1,0))</f>
        <v>0</v>
      </c>
    </row>
    <row r="1688">
      <c r="S1688" s="15" t="str">
        <f>IF(J1688="","",J1688&amp;"|"&amp;E1688&amp;"|"&amp;F1688&amp;"|"&amp;I1688&amp;"|"&amp;O1688)</f>
        <v/>
      </c>
      <c r="T1688" s="15" t="str">
        <f>IF(OR(S1688="",D1688&lt;&gt;"Vastgesteld"),"",_xlfn.MAXIFS($G$6:$G$5005,$S$6:$S$5005,S1688,$D$6:$D$5005,"Vastgesteld"))</f>
        <v/>
      </c>
      <c r="U1688" s="15">
        <f>IF(T1688="",0,IF(AND(G1688=T1688,COUNTIFS($S$6:S1688,S1688,$G$6:G1688,G1688,$D$6:D1688,"Vastgesteld")=1),1,0))</f>
        <v>0</v>
      </c>
      <c r="V1688" s="15">
        <f>IF(T1688="",0,IF(AND(G1688=T1688,COUNTIFS($S$6:S1688,S1688,$G$6:G1688,G1688,$D$6:D1688,"Vastgesteld")&gt;1),1,0))</f>
        <v>0</v>
      </c>
    </row>
    <row r="1689">
      <c r="S1689" s="15" t="str">
        <f>IF(J1689="","",J1689&amp;"|"&amp;E1689&amp;"|"&amp;F1689&amp;"|"&amp;I1689&amp;"|"&amp;O1689)</f>
        <v/>
      </c>
      <c r="T1689" s="15" t="str">
        <f>IF(OR(S1689="",D1689&lt;&gt;"Vastgesteld"),"",_xlfn.MAXIFS($G$6:$G$5005,$S$6:$S$5005,S1689,$D$6:$D$5005,"Vastgesteld"))</f>
        <v/>
      </c>
      <c r="U1689" s="15">
        <f>IF(T1689="",0,IF(AND(G1689=T1689,COUNTIFS($S$6:S1689,S1689,$G$6:G1689,G1689,$D$6:D1689,"Vastgesteld")=1),1,0))</f>
        <v>0</v>
      </c>
      <c r="V1689" s="15">
        <f>IF(T1689="",0,IF(AND(G1689=T1689,COUNTIFS($S$6:S1689,S1689,$G$6:G1689,G1689,$D$6:D1689,"Vastgesteld")&gt;1),1,0))</f>
        <v>0</v>
      </c>
    </row>
    <row r="1690">
      <c r="S1690" s="15" t="str">
        <f>IF(J1690="","",J1690&amp;"|"&amp;E1690&amp;"|"&amp;F1690&amp;"|"&amp;I1690&amp;"|"&amp;O1690)</f>
        <v/>
      </c>
      <c r="T1690" s="15" t="str">
        <f>IF(OR(S1690="",D1690&lt;&gt;"Vastgesteld"),"",_xlfn.MAXIFS($G$6:$G$5005,$S$6:$S$5005,S1690,$D$6:$D$5005,"Vastgesteld"))</f>
        <v/>
      </c>
      <c r="U1690" s="15">
        <f>IF(T1690="",0,IF(AND(G1690=T1690,COUNTIFS($S$6:S1690,S1690,$G$6:G1690,G1690,$D$6:D1690,"Vastgesteld")=1),1,0))</f>
        <v>0</v>
      </c>
      <c r="V1690" s="15">
        <f>IF(T1690="",0,IF(AND(G1690=T1690,COUNTIFS($S$6:S1690,S1690,$G$6:G1690,G1690,$D$6:D1690,"Vastgesteld")&gt;1),1,0))</f>
        <v>0</v>
      </c>
    </row>
    <row r="1691">
      <c r="S1691" s="15" t="str">
        <f>IF(J1691="","",J1691&amp;"|"&amp;E1691&amp;"|"&amp;F1691&amp;"|"&amp;I1691&amp;"|"&amp;O1691)</f>
        <v/>
      </c>
      <c r="T1691" s="15" t="str">
        <f>IF(OR(S1691="",D1691&lt;&gt;"Vastgesteld"),"",_xlfn.MAXIFS($G$6:$G$5005,$S$6:$S$5005,S1691,$D$6:$D$5005,"Vastgesteld"))</f>
        <v/>
      </c>
      <c r="U1691" s="15">
        <f>IF(T1691="",0,IF(AND(G1691=T1691,COUNTIFS($S$6:S1691,S1691,$G$6:G1691,G1691,$D$6:D1691,"Vastgesteld")=1),1,0))</f>
        <v>0</v>
      </c>
      <c r="V1691" s="15">
        <f>IF(T1691="",0,IF(AND(G1691=T1691,COUNTIFS($S$6:S1691,S1691,$G$6:G1691,G1691,$D$6:D1691,"Vastgesteld")&gt;1),1,0))</f>
        <v>0</v>
      </c>
    </row>
    <row r="1692">
      <c r="S1692" s="15" t="str">
        <f>IF(J1692="","",J1692&amp;"|"&amp;E1692&amp;"|"&amp;F1692&amp;"|"&amp;I1692&amp;"|"&amp;O1692)</f>
        <v/>
      </c>
      <c r="T1692" s="15" t="str">
        <f>IF(OR(S1692="",D1692&lt;&gt;"Vastgesteld"),"",_xlfn.MAXIFS($G$6:$G$5005,$S$6:$S$5005,S1692,$D$6:$D$5005,"Vastgesteld"))</f>
        <v/>
      </c>
      <c r="U1692" s="15">
        <f>IF(T1692="",0,IF(AND(G1692=T1692,COUNTIFS($S$6:S1692,S1692,$G$6:G1692,G1692,$D$6:D1692,"Vastgesteld")=1),1,0))</f>
        <v>0</v>
      </c>
      <c r="V1692" s="15">
        <f>IF(T1692="",0,IF(AND(G1692=T1692,COUNTIFS($S$6:S1692,S1692,$G$6:G1692,G1692,$D$6:D1692,"Vastgesteld")&gt;1),1,0))</f>
        <v>0</v>
      </c>
    </row>
    <row r="1693">
      <c r="S1693" s="15" t="str">
        <f>IF(J1693="","",J1693&amp;"|"&amp;E1693&amp;"|"&amp;F1693&amp;"|"&amp;I1693&amp;"|"&amp;O1693)</f>
        <v/>
      </c>
      <c r="T1693" s="15" t="str">
        <f>IF(OR(S1693="",D1693&lt;&gt;"Vastgesteld"),"",_xlfn.MAXIFS($G$6:$G$5005,$S$6:$S$5005,S1693,$D$6:$D$5005,"Vastgesteld"))</f>
        <v/>
      </c>
      <c r="U1693" s="15">
        <f>IF(T1693="",0,IF(AND(G1693=T1693,COUNTIFS($S$6:S1693,S1693,$G$6:G1693,G1693,$D$6:D1693,"Vastgesteld")=1),1,0))</f>
        <v>0</v>
      </c>
      <c r="V1693" s="15">
        <f>IF(T1693="",0,IF(AND(G1693=T1693,COUNTIFS($S$6:S1693,S1693,$G$6:G1693,G1693,$D$6:D1693,"Vastgesteld")&gt;1),1,0))</f>
        <v>0</v>
      </c>
    </row>
    <row r="1694">
      <c r="S1694" s="15" t="str">
        <f>IF(J1694="","",J1694&amp;"|"&amp;E1694&amp;"|"&amp;F1694&amp;"|"&amp;I1694&amp;"|"&amp;O1694)</f>
        <v/>
      </c>
      <c r="T1694" s="15" t="str">
        <f>IF(OR(S1694="",D1694&lt;&gt;"Vastgesteld"),"",_xlfn.MAXIFS($G$6:$G$5005,$S$6:$S$5005,S1694,$D$6:$D$5005,"Vastgesteld"))</f>
        <v/>
      </c>
      <c r="U1694" s="15">
        <f>IF(T1694="",0,IF(AND(G1694=T1694,COUNTIFS($S$6:S1694,S1694,$G$6:G1694,G1694,$D$6:D1694,"Vastgesteld")=1),1,0))</f>
        <v>0</v>
      </c>
      <c r="V1694" s="15">
        <f>IF(T1694="",0,IF(AND(G1694=T1694,COUNTIFS($S$6:S1694,S1694,$G$6:G1694,G1694,$D$6:D1694,"Vastgesteld")&gt;1),1,0))</f>
        <v>0</v>
      </c>
    </row>
    <row r="1695">
      <c r="S1695" s="15" t="str">
        <f>IF(J1695="","",J1695&amp;"|"&amp;E1695&amp;"|"&amp;F1695&amp;"|"&amp;I1695&amp;"|"&amp;O1695)</f>
        <v/>
      </c>
      <c r="T1695" s="15" t="str">
        <f>IF(OR(S1695="",D1695&lt;&gt;"Vastgesteld"),"",_xlfn.MAXIFS($G$6:$G$5005,$S$6:$S$5005,S1695,$D$6:$D$5005,"Vastgesteld"))</f>
        <v/>
      </c>
      <c r="U1695" s="15">
        <f>IF(T1695="",0,IF(AND(G1695=T1695,COUNTIFS($S$6:S1695,S1695,$G$6:G1695,G1695,$D$6:D1695,"Vastgesteld")=1),1,0))</f>
        <v>0</v>
      </c>
      <c r="V1695" s="15">
        <f>IF(T1695="",0,IF(AND(G1695=T1695,COUNTIFS($S$6:S1695,S1695,$G$6:G1695,G1695,$D$6:D1695,"Vastgesteld")&gt;1),1,0))</f>
        <v>0</v>
      </c>
    </row>
    <row r="1696">
      <c r="S1696" s="15" t="str">
        <f>IF(J1696="","",J1696&amp;"|"&amp;E1696&amp;"|"&amp;F1696&amp;"|"&amp;I1696&amp;"|"&amp;O1696)</f>
        <v/>
      </c>
      <c r="T1696" s="15" t="str">
        <f>IF(OR(S1696="",D1696&lt;&gt;"Vastgesteld"),"",_xlfn.MAXIFS($G$6:$G$5005,$S$6:$S$5005,S1696,$D$6:$D$5005,"Vastgesteld"))</f>
        <v/>
      </c>
      <c r="U1696" s="15">
        <f>IF(T1696="",0,IF(AND(G1696=T1696,COUNTIFS($S$6:S1696,S1696,$G$6:G1696,G1696,$D$6:D1696,"Vastgesteld")=1),1,0))</f>
        <v>0</v>
      </c>
      <c r="V1696" s="15">
        <f>IF(T1696="",0,IF(AND(G1696=T1696,COUNTIFS($S$6:S1696,S1696,$G$6:G1696,G1696,$D$6:D1696,"Vastgesteld")&gt;1),1,0))</f>
        <v>0</v>
      </c>
    </row>
    <row r="1697">
      <c r="S1697" s="15" t="str">
        <f>IF(J1697="","",J1697&amp;"|"&amp;E1697&amp;"|"&amp;F1697&amp;"|"&amp;I1697&amp;"|"&amp;O1697)</f>
        <v/>
      </c>
      <c r="T1697" s="15" t="str">
        <f>IF(OR(S1697="",D1697&lt;&gt;"Vastgesteld"),"",_xlfn.MAXIFS($G$6:$G$5005,$S$6:$S$5005,S1697,$D$6:$D$5005,"Vastgesteld"))</f>
        <v/>
      </c>
      <c r="U1697" s="15">
        <f>IF(T1697="",0,IF(AND(G1697=T1697,COUNTIFS($S$6:S1697,S1697,$G$6:G1697,G1697,$D$6:D1697,"Vastgesteld")=1),1,0))</f>
        <v>0</v>
      </c>
      <c r="V1697" s="15">
        <f>IF(T1697="",0,IF(AND(G1697=T1697,COUNTIFS($S$6:S1697,S1697,$G$6:G1697,G1697,$D$6:D1697,"Vastgesteld")&gt;1),1,0))</f>
        <v>0</v>
      </c>
    </row>
    <row r="1698">
      <c r="S1698" s="15" t="str">
        <f>IF(J1698="","",J1698&amp;"|"&amp;E1698&amp;"|"&amp;F1698&amp;"|"&amp;I1698&amp;"|"&amp;O1698)</f>
        <v/>
      </c>
      <c r="T1698" s="15" t="str">
        <f>IF(OR(S1698="",D1698&lt;&gt;"Vastgesteld"),"",_xlfn.MAXIFS($G$6:$G$5005,$S$6:$S$5005,S1698,$D$6:$D$5005,"Vastgesteld"))</f>
        <v/>
      </c>
      <c r="U1698" s="15">
        <f>IF(T1698="",0,IF(AND(G1698=T1698,COUNTIFS($S$6:S1698,S1698,$G$6:G1698,G1698,$D$6:D1698,"Vastgesteld")=1),1,0))</f>
        <v>0</v>
      </c>
      <c r="V1698" s="15">
        <f>IF(T1698="",0,IF(AND(G1698=T1698,COUNTIFS($S$6:S1698,S1698,$G$6:G1698,G1698,$D$6:D1698,"Vastgesteld")&gt;1),1,0))</f>
        <v>0</v>
      </c>
    </row>
    <row r="1699">
      <c r="S1699" s="15" t="str">
        <f>IF(J1699="","",J1699&amp;"|"&amp;E1699&amp;"|"&amp;F1699&amp;"|"&amp;I1699&amp;"|"&amp;O1699)</f>
        <v/>
      </c>
      <c r="T1699" s="15" t="str">
        <f>IF(OR(S1699="",D1699&lt;&gt;"Vastgesteld"),"",_xlfn.MAXIFS($G$6:$G$5005,$S$6:$S$5005,S1699,$D$6:$D$5005,"Vastgesteld"))</f>
        <v/>
      </c>
      <c r="U1699" s="15">
        <f>IF(T1699="",0,IF(AND(G1699=T1699,COUNTIFS($S$6:S1699,S1699,$G$6:G1699,G1699,$D$6:D1699,"Vastgesteld")=1),1,0))</f>
        <v>0</v>
      </c>
      <c r="V1699" s="15">
        <f>IF(T1699="",0,IF(AND(G1699=T1699,COUNTIFS($S$6:S1699,S1699,$G$6:G1699,G1699,$D$6:D1699,"Vastgesteld")&gt;1),1,0))</f>
        <v>0</v>
      </c>
    </row>
    <row r="1700">
      <c r="S1700" s="15" t="str">
        <f>IF(J1700="","",J1700&amp;"|"&amp;E1700&amp;"|"&amp;F1700&amp;"|"&amp;I1700&amp;"|"&amp;O1700)</f>
        <v/>
      </c>
      <c r="T1700" s="15" t="str">
        <f>IF(OR(S1700="",D1700&lt;&gt;"Vastgesteld"),"",_xlfn.MAXIFS($G$6:$G$5005,$S$6:$S$5005,S1700,$D$6:$D$5005,"Vastgesteld"))</f>
        <v/>
      </c>
      <c r="U1700" s="15">
        <f>IF(T1700="",0,IF(AND(G1700=T1700,COUNTIFS($S$6:S1700,S1700,$G$6:G1700,G1700,$D$6:D1700,"Vastgesteld")=1),1,0))</f>
        <v>0</v>
      </c>
      <c r="V1700" s="15">
        <f>IF(T1700="",0,IF(AND(G1700=T1700,COUNTIFS($S$6:S1700,S1700,$G$6:G1700,G1700,$D$6:D1700,"Vastgesteld")&gt;1),1,0))</f>
        <v>0</v>
      </c>
    </row>
    <row r="1701">
      <c r="S1701" s="15" t="str">
        <f>IF(J1701="","",J1701&amp;"|"&amp;E1701&amp;"|"&amp;F1701&amp;"|"&amp;I1701&amp;"|"&amp;O1701)</f>
        <v/>
      </c>
      <c r="T1701" s="15" t="str">
        <f>IF(OR(S1701="",D1701&lt;&gt;"Vastgesteld"),"",_xlfn.MAXIFS($G$6:$G$5005,$S$6:$S$5005,S1701,$D$6:$D$5005,"Vastgesteld"))</f>
        <v/>
      </c>
      <c r="U1701" s="15">
        <f>IF(T1701="",0,IF(AND(G1701=T1701,COUNTIFS($S$6:S1701,S1701,$G$6:G1701,G1701,$D$6:D1701,"Vastgesteld")=1),1,0))</f>
        <v>0</v>
      </c>
      <c r="V1701" s="15">
        <f>IF(T1701="",0,IF(AND(G1701=T1701,COUNTIFS($S$6:S1701,S1701,$G$6:G1701,G1701,$D$6:D1701,"Vastgesteld")&gt;1),1,0))</f>
        <v>0</v>
      </c>
    </row>
    <row r="1702">
      <c r="S1702" s="15" t="str">
        <f>IF(J1702="","",J1702&amp;"|"&amp;E1702&amp;"|"&amp;F1702&amp;"|"&amp;I1702&amp;"|"&amp;O1702)</f>
        <v/>
      </c>
      <c r="T1702" s="15" t="str">
        <f>IF(OR(S1702="",D1702&lt;&gt;"Vastgesteld"),"",_xlfn.MAXIFS($G$6:$G$5005,$S$6:$S$5005,S1702,$D$6:$D$5005,"Vastgesteld"))</f>
        <v/>
      </c>
      <c r="U1702" s="15">
        <f>IF(T1702="",0,IF(AND(G1702=T1702,COUNTIFS($S$6:S1702,S1702,$G$6:G1702,G1702,$D$6:D1702,"Vastgesteld")=1),1,0))</f>
        <v>0</v>
      </c>
      <c r="V1702" s="15">
        <f>IF(T1702="",0,IF(AND(G1702=T1702,COUNTIFS($S$6:S1702,S1702,$G$6:G1702,G1702,$D$6:D1702,"Vastgesteld")&gt;1),1,0))</f>
        <v>0</v>
      </c>
    </row>
    <row r="1703">
      <c r="S1703" s="15" t="str">
        <f>IF(J1703="","",J1703&amp;"|"&amp;E1703&amp;"|"&amp;F1703&amp;"|"&amp;I1703&amp;"|"&amp;O1703)</f>
        <v/>
      </c>
      <c r="T1703" s="15" t="str">
        <f>IF(OR(S1703="",D1703&lt;&gt;"Vastgesteld"),"",_xlfn.MAXIFS($G$6:$G$5005,$S$6:$S$5005,S1703,$D$6:$D$5005,"Vastgesteld"))</f>
        <v/>
      </c>
      <c r="U1703" s="15">
        <f>IF(T1703="",0,IF(AND(G1703=T1703,COUNTIFS($S$6:S1703,S1703,$G$6:G1703,G1703,$D$6:D1703,"Vastgesteld")=1),1,0))</f>
        <v>0</v>
      </c>
      <c r="V1703" s="15">
        <f>IF(T1703="",0,IF(AND(G1703=T1703,COUNTIFS($S$6:S1703,S1703,$G$6:G1703,G1703,$D$6:D1703,"Vastgesteld")&gt;1),1,0))</f>
        <v>0</v>
      </c>
    </row>
    <row r="1704">
      <c r="S1704" s="15" t="str">
        <f>IF(J1704="","",J1704&amp;"|"&amp;E1704&amp;"|"&amp;F1704&amp;"|"&amp;I1704&amp;"|"&amp;O1704)</f>
        <v/>
      </c>
      <c r="T1704" s="15" t="str">
        <f>IF(OR(S1704="",D1704&lt;&gt;"Vastgesteld"),"",_xlfn.MAXIFS($G$6:$G$5005,$S$6:$S$5005,S1704,$D$6:$D$5005,"Vastgesteld"))</f>
        <v/>
      </c>
      <c r="U1704" s="15">
        <f>IF(T1704="",0,IF(AND(G1704=T1704,COUNTIFS($S$6:S1704,S1704,$G$6:G1704,G1704,$D$6:D1704,"Vastgesteld")=1),1,0))</f>
        <v>0</v>
      </c>
      <c r="V1704" s="15">
        <f>IF(T1704="",0,IF(AND(G1704=T1704,COUNTIFS($S$6:S1704,S1704,$G$6:G1704,G1704,$D$6:D1704,"Vastgesteld")&gt;1),1,0))</f>
        <v>0</v>
      </c>
    </row>
    <row r="1705">
      <c r="S1705" s="15" t="str">
        <f>IF(J1705="","",J1705&amp;"|"&amp;E1705&amp;"|"&amp;F1705&amp;"|"&amp;I1705&amp;"|"&amp;O1705)</f>
        <v/>
      </c>
      <c r="T1705" s="15" t="str">
        <f>IF(OR(S1705="",D1705&lt;&gt;"Vastgesteld"),"",_xlfn.MAXIFS($G$6:$G$5005,$S$6:$S$5005,S1705,$D$6:$D$5005,"Vastgesteld"))</f>
        <v/>
      </c>
      <c r="U1705" s="15">
        <f>IF(T1705="",0,IF(AND(G1705=T1705,COUNTIFS($S$6:S1705,S1705,$G$6:G1705,G1705,$D$6:D1705,"Vastgesteld")=1),1,0))</f>
        <v>0</v>
      </c>
      <c r="V1705" s="15">
        <f>IF(T1705="",0,IF(AND(G1705=T1705,COUNTIFS($S$6:S1705,S1705,$G$6:G1705,G1705,$D$6:D1705,"Vastgesteld")&gt;1),1,0))</f>
        <v>0</v>
      </c>
    </row>
    <row r="1706">
      <c r="S1706" s="15" t="str">
        <f>IF(J1706="","",J1706&amp;"|"&amp;E1706&amp;"|"&amp;F1706&amp;"|"&amp;I1706&amp;"|"&amp;O1706)</f>
        <v/>
      </c>
      <c r="T1706" s="15" t="str">
        <f>IF(OR(S1706="",D1706&lt;&gt;"Vastgesteld"),"",_xlfn.MAXIFS($G$6:$G$5005,$S$6:$S$5005,S1706,$D$6:$D$5005,"Vastgesteld"))</f>
        <v/>
      </c>
      <c r="U1706" s="15">
        <f>IF(T1706="",0,IF(AND(G1706=T1706,COUNTIFS($S$6:S1706,S1706,$G$6:G1706,G1706,$D$6:D1706,"Vastgesteld")=1),1,0))</f>
        <v>0</v>
      </c>
      <c r="V1706" s="15">
        <f>IF(T1706="",0,IF(AND(G1706=T1706,COUNTIFS($S$6:S1706,S1706,$G$6:G1706,G1706,$D$6:D1706,"Vastgesteld")&gt;1),1,0))</f>
        <v>0</v>
      </c>
    </row>
    <row r="1707">
      <c r="S1707" s="15" t="str">
        <f>IF(J1707="","",J1707&amp;"|"&amp;E1707&amp;"|"&amp;F1707&amp;"|"&amp;I1707&amp;"|"&amp;O1707)</f>
        <v/>
      </c>
      <c r="T1707" s="15" t="str">
        <f>IF(OR(S1707="",D1707&lt;&gt;"Vastgesteld"),"",_xlfn.MAXIFS($G$6:$G$5005,$S$6:$S$5005,S1707,$D$6:$D$5005,"Vastgesteld"))</f>
        <v/>
      </c>
      <c r="U1707" s="15">
        <f>IF(T1707="",0,IF(AND(G1707=T1707,COUNTIFS($S$6:S1707,S1707,$G$6:G1707,G1707,$D$6:D1707,"Vastgesteld")=1),1,0))</f>
        <v>0</v>
      </c>
      <c r="V1707" s="15">
        <f>IF(T1707="",0,IF(AND(G1707=T1707,COUNTIFS($S$6:S1707,S1707,$G$6:G1707,G1707,$D$6:D1707,"Vastgesteld")&gt;1),1,0))</f>
        <v>0</v>
      </c>
    </row>
    <row r="1708">
      <c r="S1708" s="15" t="str">
        <f>IF(J1708="","",J1708&amp;"|"&amp;E1708&amp;"|"&amp;F1708&amp;"|"&amp;I1708&amp;"|"&amp;O1708)</f>
        <v/>
      </c>
      <c r="T1708" s="15" t="str">
        <f>IF(OR(S1708="",D1708&lt;&gt;"Vastgesteld"),"",_xlfn.MAXIFS($G$6:$G$5005,$S$6:$S$5005,S1708,$D$6:$D$5005,"Vastgesteld"))</f>
        <v/>
      </c>
      <c r="U1708" s="15">
        <f>IF(T1708="",0,IF(AND(G1708=T1708,COUNTIFS($S$6:S1708,S1708,$G$6:G1708,G1708,$D$6:D1708,"Vastgesteld")=1),1,0))</f>
        <v>0</v>
      </c>
      <c r="V1708" s="15">
        <f>IF(T1708="",0,IF(AND(G1708=T1708,COUNTIFS($S$6:S1708,S1708,$G$6:G1708,G1708,$D$6:D1708,"Vastgesteld")&gt;1),1,0))</f>
        <v>0</v>
      </c>
    </row>
    <row r="1709">
      <c r="S1709" s="15" t="str">
        <f>IF(J1709="","",J1709&amp;"|"&amp;E1709&amp;"|"&amp;F1709&amp;"|"&amp;I1709&amp;"|"&amp;O1709)</f>
        <v/>
      </c>
      <c r="T1709" s="15" t="str">
        <f>IF(OR(S1709="",D1709&lt;&gt;"Vastgesteld"),"",_xlfn.MAXIFS($G$6:$G$5005,$S$6:$S$5005,S1709,$D$6:$D$5005,"Vastgesteld"))</f>
        <v/>
      </c>
      <c r="U1709" s="15">
        <f>IF(T1709="",0,IF(AND(G1709=T1709,COUNTIFS($S$6:S1709,S1709,$G$6:G1709,G1709,$D$6:D1709,"Vastgesteld")=1),1,0))</f>
        <v>0</v>
      </c>
      <c r="V1709" s="15">
        <f>IF(T1709="",0,IF(AND(G1709=T1709,COUNTIFS($S$6:S1709,S1709,$G$6:G1709,G1709,$D$6:D1709,"Vastgesteld")&gt;1),1,0))</f>
        <v>0</v>
      </c>
    </row>
    <row r="1710">
      <c r="S1710" s="15" t="str">
        <f>IF(J1710="","",J1710&amp;"|"&amp;E1710&amp;"|"&amp;F1710&amp;"|"&amp;I1710&amp;"|"&amp;O1710)</f>
        <v/>
      </c>
      <c r="T1710" s="15" t="str">
        <f>IF(OR(S1710="",D1710&lt;&gt;"Vastgesteld"),"",_xlfn.MAXIFS($G$6:$G$5005,$S$6:$S$5005,S1710,$D$6:$D$5005,"Vastgesteld"))</f>
        <v/>
      </c>
      <c r="U1710" s="15">
        <f>IF(T1710="",0,IF(AND(G1710=T1710,COUNTIFS($S$6:S1710,S1710,$G$6:G1710,G1710,$D$6:D1710,"Vastgesteld")=1),1,0))</f>
        <v>0</v>
      </c>
      <c r="V1710" s="15">
        <f>IF(T1710="",0,IF(AND(G1710=T1710,COUNTIFS($S$6:S1710,S1710,$G$6:G1710,G1710,$D$6:D1710,"Vastgesteld")&gt;1),1,0))</f>
        <v>0</v>
      </c>
    </row>
    <row r="1711">
      <c r="S1711" s="15" t="str">
        <f>IF(J1711="","",J1711&amp;"|"&amp;E1711&amp;"|"&amp;F1711&amp;"|"&amp;I1711&amp;"|"&amp;O1711)</f>
        <v/>
      </c>
      <c r="T1711" s="15" t="str">
        <f>IF(OR(S1711="",D1711&lt;&gt;"Vastgesteld"),"",_xlfn.MAXIFS($G$6:$G$5005,$S$6:$S$5005,S1711,$D$6:$D$5005,"Vastgesteld"))</f>
        <v/>
      </c>
      <c r="U1711" s="15">
        <f>IF(T1711="",0,IF(AND(G1711=T1711,COUNTIFS($S$6:S1711,S1711,$G$6:G1711,G1711,$D$6:D1711,"Vastgesteld")=1),1,0))</f>
        <v>0</v>
      </c>
      <c r="V1711" s="15">
        <f>IF(T1711="",0,IF(AND(G1711=T1711,COUNTIFS($S$6:S1711,S1711,$G$6:G1711,G1711,$D$6:D1711,"Vastgesteld")&gt;1),1,0))</f>
        <v>0</v>
      </c>
    </row>
    <row r="1712">
      <c r="S1712" s="15" t="str">
        <f>IF(J1712="","",J1712&amp;"|"&amp;E1712&amp;"|"&amp;F1712&amp;"|"&amp;I1712&amp;"|"&amp;O1712)</f>
        <v/>
      </c>
      <c r="T1712" s="15" t="str">
        <f>IF(OR(S1712="",D1712&lt;&gt;"Vastgesteld"),"",_xlfn.MAXIFS($G$6:$G$5005,$S$6:$S$5005,S1712,$D$6:$D$5005,"Vastgesteld"))</f>
        <v/>
      </c>
      <c r="U1712" s="15">
        <f>IF(T1712="",0,IF(AND(G1712=T1712,COUNTIFS($S$6:S1712,S1712,$G$6:G1712,G1712,$D$6:D1712,"Vastgesteld")=1),1,0))</f>
        <v>0</v>
      </c>
      <c r="V1712" s="15">
        <f>IF(T1712="",0,IF(AND(G1712=T1712,COUNTIFS($S$6:S1712,S1712,$G$6:G1712,G1712,$D$6:D1712,"Vastgesteld")&gt;1),1,0))</f>
        <v>0</v>
      </c>
    </row>
    <row r="1713">
      <c r="S1713" s="15" t="str">
        <f>IF(J1713="","",J1713&amp;"|"&amp;E1713&amp;"|"&amp;F1713&amp;"|"&amp;I1713&amp;"|"&amp;O1713)</f>
        <v/>
      </c>
      <c r="T1713" s="15" t="str">
        <f>IF(OR(S1713="",D1713&lt;&gt;"Vastgesteld"),"",_xlfn.MAXIFS($G$6:$G$5005,$S$6:$S$5005,S1713,$D$6:$D$5005,"Vastgesteld"))</f>
        <v/>
      </c>
      <c r="U1713" s="15">
        <f>IF(T1713="",0,IF(AND(G1713=T1713,COUNTIFS($S$6:S1713,S1713,$G$6:G1713,G1713,$D$6:D1713,"Vastgesteld")=1),1,0))</f>
        <v>0</v>
      </c>
      <c r="V1713" s="15">
        <f>IF(T1713="",0,IF(AND(G1713=T1713,COUNTIFS($S$6:S1713,S1713,$G$6:G1713,G1713,$D$6:D1713,"Vastgesteld")&gt;1),1,0))</f>
        <v>0</v>
      </c>
    </row>
    <row r="1714">
      <c r="S1714" s="15" t="str">
        <f>IF(J1714="","",J1714&amp;"|"&amp;E1714&amp;"|"&amp;F1714&amp;"|"&amp;I1714&amp;"|"&amp;O1714)</f>
        <v/>
      </c>
      <c r="T1714" s="15" t="str">
        <f>IF(OR(S1714="",D1714&lt;&gt;"Vastgesteld"),"",_xlfn.MAXIFS($G$6:$G$5005,$S$6:$S$5005,S1714,$D$6:$D$5005,"Vastgesteld"))</f>
        <v/>
      </c>
      <c r="U1714" s="15">
        <f>IF(T1714="",0,IF(AND(G1714=T1714,COUNTIFS($S$6:S1714,S1714,$G$6:G1714,G1714,$D$6:D1714,"Vastgesteld")=1),1,0))</f>
        <v>0</v>
      </c>
      <c r="V1714" s="15">
        <f>IF(T1714="",0,IF(AND(G1714=T1714,COUNTIFS($S$6:S1714,S1714,$G$6:G1714,G1714,$D$6:D1714,"Vastgesteld")&gt;1),1,0))</f>
        <v>0</v>
      </c>
    </row>
    <row r="1715">
      <c r="S1715" s="15" t="str">
        <f>IF(J1715="","",J1715&amp;"|"&amp;E1715&amp;"|"&amp;F1715&amp;"|"&amp;I1715&amp;"|"&amp;O1715)</f>
        <v/>
      </c>
      <c r="T1715" s="15" t="str">
        <f>IF(OR(S1715="",D1715&lt;&gt;"Vastgesteld"),"",_xlfn.MAXIFS($G$6:$G$5005,$S$6:$S$5005,S1715,$D$6:$D$5005,"Vastgesteld"))</f>
        <v/>
      </c>
      <c r="U1715" s="15">
        <f>IF(T1715="",0,IF(AND(G1715=T1715,COUNTIFS($S$6:S1715,S1715,$G$6:G1715,G1715,$D$6:D1715,"Vastgesteld")=1),1,0))</f>
        <v>0</v>
      </c>
      <c r="V1715" s="15">
        <f>IF(T1715="",0,IF(AND(G1715=T1715,COUNTIFS($S$6:S1715,S1715,$G$6:G1715,G1715,$D$6:D1715,"Vastgesteld")&gt;1),1,0))</f>
        <v>0</v>
      </c>
    </row>
    <row r="1716">
      <c r="S1716" s="15" t="str">
        <f>IF(J1716="","",J1716&amp;"|"&amp;E1716&amp;"|"&amp;F1716&amp;"|"&amp;I1716&amp;"|"&amp;O1716)</f>
        <v/>
      </c>
      <c r="T1716" s="15" t="str">
        <f>IF(OR(S1716="",D1716&lt;&gt;"Vastgesteld"),"",_xlfn.MAXIFS($G$6:$G$5005,$S$6:$S$5005,S1716,$D$6:$D$5005,"Vastgesteld"))</f>
        <v/>
      </c>
      <c r="U1716" s="15">
        <f>IF(T1716="",0,IF(AND(G1716=T1716,COUNTIFS($S$6:S1716,S1716,$G$6:G1716,G1716,$D$6:D1716,"Vastgesteld")=1),1,0))</f>
        <v>0</v>
      </c>
      <c r="V1716" s="15">
        <f>IF(T1716="",0,IF(AND(G1716=T1716,COUNTIFS($S$6:S1716,S1716,$G$6:G1716,G1716,$D$6:D1716,"Vastgesteld")&gt;1),1,0))</f>
        <v>0</v>
      </c>
    </row>
    <row r="1717">
      <c r="S1717" s="15" t="str">
        <f>IF(J1717="","",J1717&amp;"|"&amp;E1717&amp;"|"&amp;F1717&amp;"|"&amp;I1717&amp;"|"&amp;O1717)</f>
        <v/>
      </c>
      <c r="T1717" s="15" t="str">
        <f>IF(OR(S1717="",D1717&lt;&gt;"Vastgesteld"),"",_xlfn.MAXIFS($G$6:$G$5005,$S$6:$S$5005,S1717,$D$6:$D$5005,"Vastgesteld"))</f>
        <v/>
      </c>
      <c r="U1717" s="15">
        <f>IF(T1717="",0,IF(AND(G1717=T1717,COUNTIFS($S$6:S1717,S1717,$G$6:G1717,G1717,$D$6:D1717,"Vastgesteld")=1),1,0))</f>
        <v>0</v>
      </c>
      <c r="V1717" s="15">
        <f>IF(T1717="",0,IF(AND(G1717=T1717,COUNTIFS($S$6:S1717,S1717,$G$6:G1717,G1717,$D$6:D1717,"Vastgesteld")&gt;1),1,0))</f>
        <v>0</v>
      </c>
    </row>
    <row r="1718">
      <c r="S1718" s="15" t="str">
        <f>IF(J1718="","",J1718&amp;"|"&amp;E1718&amp;"|"&amp;F1718&amp;"|"&amp;I1718&amp;"|"&amp;O1718)</f>
        <v/>
      </c>
      <c r="T1718" s="15" t="str">
        <f>IF(OR(S1718="",D1718&lt;&gt;"Vastgesteld"),"",_xlfn.MAXIFS($G$6:$G$5005,$S$6:$S$5005,S1718,$D$6:$D$5005,"Vastgesteld"))</f>
        <v/>
      </c>
      <c r="U1718" s="15">
        <f>IF(T1718="",0,IF(AND(G1718=T1718,COUNTIFS($S$6:S1718,S1718,$G$6:G1718,G1718,$D$6:D1718,"Vastgesteld")=1),1,0))</f>
        <v>0</v>
      </c>
      <c r="V1718" s="15">
        <f>IF(T1718="",0,IF(AND(G1718=T1718,COUNTIFS($S$6:S1718,S1718,$G$6:G1718,G1718,$D$6:D1718,"Vastgesteld")&gt;1),1,0))</f>
        <v>0</v>
      </c>
    </row>
    <row r="1719">
      <c r="S1719" s="15" t="str">
        <f>IF(J1719="","",J1719&amp;"|"&amp;E1719&amp;"|"&amp;F1719&amp;"|"&amp;I1719&amp;"|"&amp;O1719)</f>
        <v/>
      </c>
      <c r="T1719" s="15" t="str">
        <f>IF(OR(S1719="",D1719&lt;&gt;"Vastgesteld"),"",_xlfn.MAXIFS($G$6:$G$5005,$S$6:$S$5005,S1719,$D$6:$D$5005,"Vastgesteld"))</f>
        <v/>
      </c>
      <c r="U1719" s="15">
        <f>IF(T1719="",0,IF(AND(G1719=T1719,COUNTIFS($S$6:S1719,S1719,$G$6:G1719,G1719,$D$6:D1719,"Vastgesteld")=1),1,0))</f>
        <v>0</v>
      </c>
      <c r="V1719" s="15">
        <f>IF(T1719="",0,IF(AND(G1719=T1719,COUNTIFS($S$6:S1719,S1719,$G$6:G1719,G1719,$D$6:D1719,"Vastgesteld")&gt;1),1,0))</f>
        <v>0</v>
      </c>
    </row>
    <row r="1720">
      <c r="S1720" s="15" t="str">
        <f>IF(J1720="","",J1720&amp;"|"&amp;E1720&amp;"|"&amp;F1720&amp;"|"&amp;I1720&amp;"|"&amp;O1720)</f>
        <v/>
      </c>
      <c r="T1720" s="15" t="str">
        <f>IF(OR(S1720="",D1720&lt;&gt;"Vastgesteld"),"",_xlfn.MAXIFS($G$6:$G$5005,$S$6:$S$5005,S1720,$D$6:$D$5005,"Vastgesteld"))</f>
        <v/>
      </c>
      <c r="U1720" s="15">
        <f>IF(T1720="",0,IF(AND(G1720=T1720,COUNTIFS($S$6:S1720,S1720,$G$6:G1720,G1720,$D$6:D1720,"Vastgesteld")=1),1,0))</f>
        <v>0</v>
      </c>
      <c r="V1720" s="15">
        <f>IF(T1720="",0,IF(AND(G1720=T1720,COUNTIFS($S$6:S1720,S1720,$G$6:G1720,G1720,$D$6:D1720,"Vastgesteld")&gt;1),1,0))</f>
        <v>0</v>
      </c>
    </row>
    <row r="1721">
      <c r="S1721" s="15" t="str">
        <f>IF(J1721="","",J1721&amp;"|"&amp;E1721&amp;"|"&amp;F1721&amp;"|"&amp;I1721&amp;"|"&amp;O1721)</f>
        <v/>
      </c>
      <c r="T1721" s="15" t="str">
        <f>IF(OR(S1721="",D1721&lt;&gt;"Vastgesteld"),"",_xlfn.MAXIFS($G$6:$G$5005,$S$6:$S$5005,S1721,$D$6:$D$5005,"Vastgesteld"))</f>
        <v/>
      </c>
      <c r="U1721" s="15">
        <f>IF(T1721="",0,IF(AND(G1721=T1721,COUNTIFS($S$6:S1721,S1721,$G$6:G1721,G1721,$D$6:D1721,"Vastgesteld")=1),1,0))</f>
        <v>0</v>
      </c>
      <c r="V1721" s="15">
        <f>IF(T1721="",0,IF(AND(G1721=T1721,COUNTIFS($S$6:S1721,S1721,$G$6:G1721,G1721,$D$6:D1721,"Vastgesteld")&gt;1),1,0))</f>
        <v>0</v>
      </c>
    </row>
    <row r="1722">
      <c r="S1722" s="15" t="str">
        <f>IF(J1722="","",J1722&amp;"|"&amp;E1722&amp;"|"&amp;F1722&amp;"|"&amp;I1722&amp;"|"&amp;O1722)</f>
        <v/>
      </c>
      <c r="T1722" s="15" t="str">
        <f>IF(OR(S1722="",D1722&lt;&gt;"Vastgesteld"),"",_xlfn.MAXIFS($G$6:$G$5005,$S$6:$S$5005,S1722,$D$6:$D$5005,"Vastgesteld"))</f>
        <v/>
      </c>
      <c r="U1722" s="15">
        <f>IF(T1722="",0,IF(AND(G1722=T1722,COUNTIFS($S$6:S1722,S1722,$G$6:G1722,G1722,$D$6:D1722,"Vastgesteld")=1),1,0))</f>
        <v>0</v>
      </c>
      <c r="V1722" s="15">
        <f>IF(T1722="",0,IF(AND(G1722=T1722,COUNTIFS($S$6:S1722,S1722,$G$6:G1722,G1722,$D$6:D1722,"Vastgesteld")&gt;1),1,0))</f>
        <v>0</v>
      </c>
    </row>
    <row r="1723">
      <c r="S1723" s="15" t="str">
        <f>IF(J1723="","",J1723&amp;"|"&amp;E1723&amp;"|"&amp;F1723&amp;"|"&amp;I1723&amp;"|"&amp;O1723)</f>
        <v/>
      </c>
      <c r="T1723" s="15" t="str">
        <f>IF(OR(S1723="",D1723&lt;&gt;"Vastgesteld"),"",_xlfn.MAXIFS($G$6:$G$5005,$S$6:$S$5005,S1723,$D$6:$D$5005,"Vastgesteld"))</f>
        <v/>
      </c>
      <c r="U1723" s="15">
        <f>IF(T1723="",0,IF(AND(G1723=T1723,COUNTIFS($S$6:S1723,S1723,$G$6:G1723,G1723,$D$6:D1723,"Vastgesteld")=1),1,0))</f>
        <v>0</v>
      </c>
      <c r="V1723" s="15">
        <f>IF(T1723="",0,IF(AND(G1723=T1723,COUNTIFS($S$6:S1723,S1723,$G$6:G1723,G1723,$D$6:D1723,"Vastgesteld")&gt;1),1,0))</f>
        <v>0</v>
      </c>
    </row>
    <row r="1724">
      <c r="S1724" s="15" t="str">
        <f>IF(J1724="","",J1724&amp;"|"&amp;E1724&amp;"|"&amp;F1724&amp;"|"&amp;I1724&amp;"|"&amp;O1724)</f>
        <v/>
      </c>
      <c r="T1724" s="15" t="str">
        <f>IF(OR(S1724="",D1724&lt;&gt;"Vastgesteld"),"",_xlfn.MAXIFS($G$6:$G$5005,$S$6:$S$5005,S1724,$D$6:$D$5005,"Vastgesteld"))</f>
        <v/>
      </c>
      <c r="U1724" s="15">
        <f>IF(T1724="",0,IF(AND(G1724=T1724,COUNTIFS($S$6:S1724,S1724,$G$6:G1724,G1724,$D$6:D1724,"Vastgesteld")=1),1,0))</f>
        <v>0</v>
      </c>
      <c r="V1724" s="15">
        <f>IF(T1724="",0,IF(AND(G1724=T1724,COUNTIFS($S$6:S1724,S1724,$G$6:G1724,G1724,$D$6:D1724,"Vastgesteld")&gt;1),1,0))</f>
        <v>0</v>
      </c>
    </row>
    <row r="1725">
      <c r="S1725" s="15" t="str">
        <f>IF(J1725="","",J1725&amp;"|"&amp;E1725&amp;"|"&amp;F1725&amp;"|"&amp;I1725&amp;"|"&amp;O1725)</f>
        <v/>
      </c>
      <c r="T1725" s="15" t="str">
        <f>IF(OR(S1725="",D1725&lt;&gt;"Vastgesteld"),"",_xlfn.MAXIFS($G$6:$G$5005,$S$6:$S$5005,S1725,$D$6:$D$5005,"Vastgesteld"))</f>
        <v/>
      </c>
      <c r="U1725" s="15">
        <f>IF(T1725="",0,IF(AND(G1725=T1725,COUNTIFS($S$6:S1725,S1725,$G$6:G1725,G1725,$D$6:D1725,"Vastgesteld")=1),1,0))</f>
        <v>0</v>
      </c>
      <c r="V1725" s="15">
        <f>IF(T1725="",0,IF(AND(G1725=T1725,COUNTIFS($S$6:S1725,S1725,$G$6:G1725,G1725,$D$6:D1725,"Vastgesteld")&gt;1),1,0))</f>
        <v>0</v>
      </c>
    </row>
    <row r="1726">
      <c r="S1726" s="15" t="str">
        <f>IF(J1726="","",J1726&amp;"|"&amp;E1726&amp;"|"&amp;F1726&amp;"|"&amp;I1726&amp;"|"&amp;O1726)</f>
        <v/>
      </c>
      <c r="T1726" s="15" t="str">
        <f>IF(OR(S1726="",D1726&lt;&gt;"Vastgesteld"),"",_xlfn.MAXIFS($G$6:$G$5005,$S$6:$S$5005,S1726,$D$6:$D$5005,"Vastgesteld"))</f>
        <v/>
      </c>
      <c r="U1726" s="15">
        <f>IF(T1726="",0,IF(AND(G1726=T1726,COUNTIFS($S$6:S1726,S1726,$G$6:G1726,G1726,$D$6:D1726,"Vastgesteld")=1),1,0))</f>
        <v>0</v>
      </c>
      <c r="V1726" s="15">
        <f>IF(T1726="",0,IF(AND(G1726=T1726,COUNTIFS($S$6:S1726,S1726,$G$6:G1726,G1726,$D$6:D1726,"Vastgesteld")&gt;1),1,0))</f>
        <v>0</v>
      </c>
    </row>
    <row r="1727">
      <c r="S1727" s="15" t="str">
        <f>IF(J1727="","",J1727&amp;"|"&amp;E1727&amp;"|"&amp;F1727&amp;"|"&amp;I1727&amp;"|"&amp;O1727)</f>
        <v/>
      </c>
      <c r="T1727" s="15" t="str">
        <f>IF(OR(S1727="",D1727&lt;&gt;"Vastgesteld"),"",_xlfn.MAXIFS($G$6:$G$5005,$S$6:$S$5005,S1727,$D$6:$D$5005,"Vastgesteld"))</f>
        <v/>
      </c>
      <c r="U1727" s="15">
        <f>IF(T1727="",0,IF(AND(G1727=T1727,COUNTIFS($S$6:S1727,S1727,$G$6:G1727,G1727,$D$6:D1727,"Vastgesteld")=1),1,0))</f>
        <v>0</v>
      </c>
      <c r="V1727" s="15">
        <f>IF(T1727="",0,IF(AND(G1727=T1727,COUNTIFS($S$6:S1727,S1727,$G$6:G1727,G1727,$D$6:D1727,"Vastgesteld")&gt;1),1,0))</f>
        <v>0</v>
      </c>
    </row>
    <row r="1728">
      <c r="S1728" s="15" t="str">
        <f>IF(J1728="","",J1728&amp;"|"&amp;E1728&amp;"|"&amp;F1728&amp;"|"&amp;I1728&amp;"|"&amp;O1728)</f>
        <v/>
      </c>
      <c r="T1728" s="15" t="str">
        <f>IF(OR(S1728="",D1728&lt;&gt;"Vastgesteld"),"",_xlfn.MAXIFS($G$6:$G$5005,$S$6:$S$5005,S1728,$D$6:$D$5005,"Vastgesteld"))</f>
        <v/>
      </c>
      <c r="U1728" s="15">
        <f>IF(T1728="",0,IF(AND(G1728=T1728,COUNTIFS($S$6:S1728,S1728,$G$6:G1728,G1728,$D$6:D1728,"Vastgesteld")=1),1,0))</f>
        <v>0</v>
      </c>
      <c r="V1728" s="15">
        <f>IF(T1728="",0,IF(AND(G1728=T1728,COUNTIFS($S$6:S1728,S1728,$G$6:G1728,G1728,$D$6:D1728,"Vastgesteld")&gt;1),1,0))</f>
        <v>0</v>
      </c>
    </row>
    <row r="1729">
      <c r="S1729" s="15" t="str">
        <f>IF(J1729="","",J1729&amp;"|"&amp;E1729&amp;"|"&amp;F1729&amp;"|"&amp;I1729&amp;"|"&amp;O1729)</f>
        <v/>
      </c>
      <c r="T1729" s="15" t="str">
        <f>IF(OR(S1729="",D1729&lt;&gt;"Vastgesteld"),"",_xlfn.MAXIFS($G$6:$G$5005,$S$6:$S$5005,S1729,$D$6:$D$5005,"Vastgesteld"))</f>
        <v/>
      </c>
      <c r="U1729" s="15">
        <f>IF(T1729="",0,IF(AND(G1729=T1729,COUNTIFS($S$6:S1729,S1729,$G$6:G1729,G1729,$D$6:D1729,"Vastgesteld")=1),1,0))</f>
        <v>0</v>
      </c>
      <c r="V1729" s="15">
        <f>IF(T1729="",0,IF(AND(G1729=T1729,COUNTIFS($S$6:S1729,S1729,$G$6:G1729,G1729,$D$6:D1729,"Vastgesteld")&gt;1),1,0))</f>
        <v>0</v>
      </c>
    </row>
    <row r="1730">
      <c r="S1730" s="15" t="str">
        <f>IF(J1730="","",J1730&amp;"|"&amp;E1730&amp;"|"&amp;F1730&amp;"|"&amp;I1730&amp;"|"&amp;O1730)</f>
        <v/>
      </c>
      <c r="T1730" s="15" t="str">
        <f>IF(OR(S1730="",D1730&lt;&gt;"Vastgesteld"),"",_xlfn.MAXIFS($G$6:$G$5005,$S$6:$S$5005,S1730,$D$6:$D$5005,"Vastgesteld"))</f>
        <v/>
      </c>
      <c r="U1730" s="15">
        <f>IF(T1730="",0,IF(AND(G1730=T1730,COUNTIFS($S$6:S1730,S1730,$G$6:G1730,G1730,$D$6:D1730,"Vastgesteld")=1),1,0))</f>
        <v>0</v>
      </c>
      <c r="V1730" s="15">
        <f>IF(T1730="",0,IF(AND(G1730=T1730,COUNTIFS($S$6:S1730,S1730,$G$6:G1730,G1730,$D$6:D1730,"Vastgesteld")&gt;1),1,0))</f>
        <v>0</v>
      </c>
    </row>
    <row r="1731">
      <c r="S1731" s="15" t="str">
        <f>IF(J1731="","",J1731&amp;"|"&amp;E1731&amp;"|"&amp;F1731&amp;"|"&amp;I1731&amp;"|"&amp;O1731)</f>
        <v/>
      </c>
      <c r="T1731" s="15" t="str">
        <f>IF(OR(S1731="",D1731&lt;&gt;"Vastgesteld"),"",_xlfn.MAXIFS($G$6:$G$5005,$S$6:$S$5005,S1731,$D$6:$D$5005,"Vastgesteld"))</f>
        <v/>
      </c>
      <c r="U1731" s="15">
        <f>IF(T1731="",0,IF(AND(G1731=T1731,COUNTIFS($S$6:S1731,S1731,$G$6:G1731,G1731,$D$6:D1731,"Vastgesteld")=1),1,0))</f>
        <v>0</v>
      </c>
      <c r="V1731" s="15">
        <f>IF(T1731="",0,IF(AND(G1731=T1731,COUNTIFS($S$6:S1731,S1731,$G$6:G1731,G1731,$D$6:D1731,"Vastgesteld")&gt;1),1,0))</f>
        <v>0</v>
      </c>
    </row>
    <row r="1732">
      <c r="S1732" s="15" t="str">
        <f>IF(J1732="","",J1732&amp;"|"&amp;E1732&amp;"|"&amp;F1732&amp;"|"&amp;I1732&amp;"|"&amp;O1732)</f>
        <v/>
      </c>
      <c r="T1732" s="15" t="str">
        <f>IF(OR(S1732="",D1732&lt;&gt;"Vastgesteld"),"",_xlfn.MAXIFS($G$6:$G$5005,$S$6:$S$5005,S1732,$D$6:$D$5005,"Vastgesteld"))</f>
        <v/>
      </c>
      <c r="U1732" s="15">
        <f>IF(T1732="",0,IF(AND(G1732=T1732,COUNTIFS($S$6:S1732,S1732,$G$6:G1732,G1732,$D$6:D1732,"Vastgesteld")=1),1,0))</f>
        <v>0</v>
      </c>
      <c r="V1732" s="15">
        <f>IF(T1732="",0,IF(AND(G1732=T1732,COUNTIFS($S$6:S1732,S1732,$G$6:G1732,G1732,$D$6:D1732,"Vastgesteld")&gt;1),1,0))</f>
        <v>0</v>
      </c>
    </row>
    <row r="1733">
      <c r="S1733" s="15" t="str">
        <f>IF(J1733="","",J1733&amp;"|"&amp;E1733&amp;"|"&amp;F1733&amp;"|"&amp;I1733&amp;"|"&amp;O1733)</f>
        <v/>
      </c>
      <c r="T1733" s="15" t="str">
        <f>IF(OR(S1733="",D1733&lt;&gt;"Vastgesteld"),"",_xlfn.MAXIFS($G$6:$G$5005,$S$6:$S$5005,S1733,$D$6:$D$5005,"Vastgesteld"))</f>
        <v/>
      </c>
      <c r="U1733" s="15">
        <f>IF(T1733="",0,IF(AND(G1733=T1733,COUNTIFS($S$6:S1733,S1733,$G$6:G1733,G1733,$D$6:D1733,"Vastgesteld")=1),1,0))</f>
        <v>0</v>
      </c>
      <c r="V1733" s="15">
        <f>IF(T1733="",0,IF(AND(G1733=T1733,COUNTIFS($S$6:S1733,S1733,$G$6:G1733,G1733,$D$6:D1733,"Vastgesteld")&gt;1),1,0))</f>
        <v>0</v>
      </c>
    </row>
    <row r="1734">
      <c r="S1734" s="15" t="str">
        <f>IF(J1734="","",J1734&amp;"|"&amp;E1734&amp;"|"&amp;F1734&amp;"|"&amp;I1734&amp;"|"&amp;O1734)</f>
        <v/>
      </c>
      <c r="T1734" s="15" t="str">
        <f>IF(OR(S1734="",D1734&lt;&gt;"Vastgesteld"),"",_xlfn.MAXIFS($G$6:$G$5005,$S$6:$S$5005,S1734,$D$6:$D$5005,"Vastgesteld"))</f>
        <v/>
      </c>
      <c r="U1734" s="15">
        <f>IF(T1734="",0,IF(AND(G1734=T1734,COUNTIFS($S$6:S1734,S1734,$G$6:G1734,G1734,$D$6:D1734,"Vastgesteld")=1),1,0))</f>
        <v>0</v>
      </c>
      <c r="V1734" s="15">
        <f>IF(T1734="",0,IF(AND(G1734=T1734,COUNTIFS($S$6:S1734,S1734,$G$6:G1734,G1734,$D$6:D1734,"Vastgesteld")&gt;1),1,0))</f>
        <v>0</v>
      </c>
    </row>
    <row r="1735">
      <c r="S1735" s="15" t="str">
        <f>IF(J1735="","",J1735&amp;"|"&amp;E1735&amp;"|"&amp;F1735&amp;"|"&amp;I1735&amp;"|"&amp;O1735)</f>
        <v/>
      </c>
      <c r="T1735" s="15" t="str">
        <f>IF(OR(S1735="",D1735&lt;&gt;"Vastgesteld"),"",_xlfn.MAXIFS($G$6:$G$5005,$S$6:$S$5005,S1735,$D$6:$D$5005,"Vastgesteld"))</f>
        <v/>
      </c>
      <c r="U1735" s="15">
        <f>IF(T1735="",0,IF(AND(G1735=T1735,COUNTIFS($S$6:S1735,S1735,$G$6:G1735,G1735,$D$6:D1735,"Vastgesteld")=1),1,0))</f>
        <v>0</v>
      </c>
      <c r="V1735" s="15">
        <f>IF(T1735="",0,IF(AND(G1735=T1735,COUNTIFS($S$6:S1735,S1735,$G$6:G1735,G1735,$D$6:D1735,"Vastgesteld")&gt;1),1,0))</f>
        <v>0</v>
      </c>
    </row>
    <row r="1736">
      <c r="S1736" s="15" t="str">
        <f>IF(J1736="","",J1736&amp;"|"&amp;E1736&amp;"|"&amp;F1736&amp;"|"&amp;I1736&amp;"|"&amp;O1736)</f>
        <v/>
      </c>
      <c r="T1736" s="15" t="str">
        <f>IF(OR(S1736="",D1736&lt;&gt;"Vastgesteld"),"",_xlfn.MAXIFS($G$6:$G$5005,$S$6:$S$5005,S1736,$D$6:$D$5005,"Vastgesteld"))</f>
        <v/>
      </c>
      <c r="U1736" s="15">
        <f>IF(T1736="",0,IF(AND(G1736=T1736,COUNTIFS($S$6:S1736,S1736,$G$6:G1736,G1736,$D$6:D1736,"Vastgesteld")=1),1,0))</f>
        <v>0</v>
      </c>
      <c r="V1736" s="15">
        <f>IF(T1736="",0,IF(AND(G1736=T1736,COUNTIFS($S$6:S1736,S1736,$G$6:G1736,G1736,$D$6:D1736,"Vastgesteld")&gt;1),1,0))</f>
        <v>0</v>
      </c>
    </row>
    <row r="1737">
      <c r="S1737" s="15" t="str">
        <f>IF(J1737="","",J1737&amp;"|"&amp;E1737&amp;"|"&amp;F1737&amp;"|"&amp;I1737&amp;"|"&amp;O1737)</f>
        <v/>
      </c>
      <c r="T1737" s="15" t="str">
        <f>IF(OR(S1737="",D1737&lt;&gt;"Vastgesteld"),"",_xlfn.MAXIFS($G$6:$G$5005,$S$6:$S$5005,S1737,$D$6:$D$5005,"Vastgesteld"))</f>
        <v/>
      </c>
      <c r="U1737" s="15">
        <f>IF(T1737="",0,IF(AND(G1737=T1737,COUNTIFS($S$6:S1737,S1737,$G$6:G1737,G1737,$D$6:D1737,"Vastgesteld")=1),1,0))</f>
        <v>0</v>
      </c>
      <c r="V1737" s="15">
        <f>IF(T1737="",0,IF(AND(G1737=T1737,COUNTIFS($S$6:S1737,S1737,$G$6:G1737,G1737,$D$6:D1737,"Vastgesteld")&gt;1),1,0))</f>
        <v>0</v>
      </c>
    </row>
    <row r="1738">
      <c r="S1738" s="15" t="str">
        <f>IF(J1738="","",J1738&amp;"|"&amp;E1738&amp;"|"&amp;F1738&amp;"|"&amp;I1738&amp;"|"&amp;O1738)</f>
        <v/>
      </c>
      <c r="T1738" s="15" t="str">
        <f>IF(OR(S1738="",D1738&lt;&gt;"Vastgesteld"),"",_xlfn.MAXIFS($G$6:$G$5005,$S$6:$S$5005,S1738,$D$6:$D$5005,"Vastgesteld"))</f>
        <v/>
      </c>
      <c r="U1738" s="15">
        <f>IF(T1738="",0,IF(AND(G1738=T1738,COUNTIFS($S$6:S1738,S1738,$G$6:G1738,G1738,$D$6:D1738,"Vastgesteld")=1),1,0))</f>
        <v>0</v>
      </c>
      <c r="V1738" s="15">
        <f>IF(T1738="",0,IF(AND(G1738=T1738,COUNTIFS($S$6:S1738,S1738,$G$6:G1738,G1738,$D$6:D1738,"Vastgesteld")&gt;1),1,0))</f>
        <v>0</v>
      </c>
    </row>
    <row r="1739">
      <c r="S1739" s="15" t="str">
        <f>IF(J1739="","",J1739&amp;"|"&amp;E1739&amp;"|"&amp;F1739&amp;"|"&amp;I1739&amp;"|"&amp;O1739)</f>
        <v/>
      </c>
      <c r="T1739" s="15" t="str">
        <f>IF(OR(S1739="",D1739&lt;&gt;"Vastgesteld"),"",_xlfn.MAXIFS($G$6:$G$5005,$S$6:$S$5005,S1739,$D$6:$D$5005,"Vastgesteld"))</f>
        <v/>
      </c>
      <c r="U1739" s="15">
        <f>IF(T1739="",0,IF(AND(G1739=T1739,COUNTIFS($S$6:S1739,S1739,$G$6:G1739,G1739,$D$6:D1739,"Vastgesteld")=1),1,0))</f>
        <v>0</v>
      </c>
      <c r="V1739" s="15">
        <f>IF(T1739="",0,IF(AND(G1739=T1739,COUNTIFS($S$6:S1739,S1739,$G$6:G1739,G1739,$D$6:D1739,"Vastgesteld")&gt;1),1,0))</f>
        <v>0</v>
      </c>
    </row>
    <row r="1740">
      <c r="S1740" s="15" t="str">
        <f>IF(J1740="","",J1740&amp;"|"&amp;E1740&amp;"|"&amp;F1740&amp;"|"&amp;I1740&amp;"|"&amp;O1740)</f>
        <v/>
      </c>
      <c r="T1740" s="15" t="str">
        <f>IF(OR(S1740="",D1740&lt;&gt;"Vastgesteld"),"",_xlfn.MAXIFS($G$6:$G$5005,$S$6:$S$5005,S1740,$D$6:$D$5005,"Vastgesteld"))</f>
        <v/>
      </c>
      <c r="U1740" s="15">
        <f>IF(T1740="",0,IF(AND(G1740=T1740,COUNTIFS($S$6:S1740,S1740,$G$6:G1740,G1740,$D$6:D1740,"Vastgesteld")=1),1,0))</f>
        <v>0</v>
      </c>
      <c r="V1740" s="15">
        <f>IF(T1740="",0,IF(AND(G1740=T1740,COUNTIFS($S$6:S1740,S1740,$G$6:G1740,G1740,$D$6:D1740,"Vastgesteld")&gt;1),1,0))</f>
        <v>0</v>
      </c>
    </row>
    <row r="1741">
      <c r="S1741" s="15" t="str">
        <f>IF(J1741="","",J1741&amp;"|"&amp;E1741&amp;"|"&amp;F1741&amp;"|"&amp;I1741&amp;"|"&amp;O1741)</f>
        <v/>
      </c>
      <c r="T1741" s="15" t="str">
        <f>IF(OR(S1741="",D1741&lt;&gt;"Vastgesteld"),"",_xlfn.MAXIFS($G$6:$G$5005,$S$6:$S$5005,S1741,$D$6:$D$5005,"Vastgesteld"))</f>
        <v/>
      </c>
      <c r="U1741" s="15">
        <f>IF(T1741="",0,IF(AND(G1741=T1741,COUNTIFS($S$6:S1741,S1741,$G$6:G1741,G1741,$D$6:D1741,"Vastgesteld")=1),1,0))</f>
        <v>0</v>
      </c>
      <c r="V1741" s="15">
        <f>IF(T1741="",0,IF(AND(G1741=T1741,COUNTIFS($S$6:S1741,S1741,$G$6:G1741,G1741,$D$6:D1741,"Vastgesteld")&gt;1),1,0))</f>
        <v>0</v>
      </c>
    </row>
    <row r="1742">
      <c r="S1742" s="15" t="str">
        <f>IF(J1742="","",J1742&amp;"|"&amp;E1742&amp;"|"&amp;F1742&amp;"|"&amp;I1742&amp;"|"&amp;O1742)</f>
        <v/>
      </c>
      <c r="T1742" s="15" t="str">
        <f>IF(OR(S1742="",D1742&lt;&gt;"Vastgesteld"),"",_xlfn.MAXIFS($G$6:$G$5005,$S$6:$S$5005,S1742,$D$6:$D$5005,"Vastgesteld"))</f>
        <v/>
      </c>
      <c r="U1742" s="15">
        <f>IF(T1742="",0,IF(AND(G1742=T1742,COUNTIFS($S$6:S1742,S1742,$G$6:G1742,G1742,$D$6:D1742,"Vastgesteld")=1),1,0))</f>
        <v>0</v>
      </c>
      <c r="V1742" s="15">
        <f>IF(T1742="",0,IF(AND(G1742=T1742,COUNTIFS($S$6:S1742,S1742,$G$6:G1742,G1742,$D$6:D1742,"Vastgesteld")&gt;1),1,0))</f>
        <v>0</v>
      </c>
    </row>
    <row r="1743">
      <c r="S1743" s="15" t="str">
        <f>IF(J1743="","",J1743&amp;"|"&amp;E1743&amp;"|"&amp;F1743&amp;"|"&amp;I1743&amp;"|"&amp;O1743)</f>
        <v/>
      </c>
      <c r="T1743" s="15" t="str">
        <f>IF(OR(S1743="",D1743&lt;&gt;"Vastgesteld"),"",_xlfn.MAXIFS($G$6:$G$5005,$S$6:$S$5005,S1743,$D$6:$D$5005,"Vastgesteld"))</f>
        <v/>
      </c>
      <c r="U1743" s="15">
        <f>IF(T1743="",0,IF(AND(G1743=T1743,COUNTIFS($S$6:S1743,S1743,$G$6:G1743,G1743,$D$6:D1743,"Vastgesteld")=1),1,0))</f>
        <v>0</v>
      </c>
      <c r="V1743" s="15">
        <f>IF(T1743="",0,IF(AND(G1743=T1743,COUNTIFS($S$6:S1743,S1743,$G$6:G1743,G1743,$D$6:D1743,"Vastgesteld")&gt;1),1,0))</f>
        <v>0</v>
      </c>
    </row>
    <row r="1744">
      <c r="S1744" s="15" t="str">
        <f>IF(J1744="","",J1744&amp;"|"&amp;E1744&amp;"|"&amp;F1744&amp;"|"&amp;I1744&amp;"|"&amp;O1744)</f>
        <v/>
      </c>
      <c r="T1744" s="15" t="str">
        <f>IF(OR(S1744="",D1744&lt;&gt;"Vastgesteld"),"",_xlfn.MAXIFS($G$6:$G$5005,$S$6:$S$5005,S1744,$D$6:$D$5005,"Vastgesteld"))</f>
        <v/>
      </c>
      <c r="U1744" s="15">
        <f>IF(T1744="",0,IF(AND(G1744=T1744,COUNTIFS($S$6:S1744,S1744,$G$6:G1744,G1744,$D$6:D1744,"Vastgesteld")=1),1,0))</f>
        <v>0</v>
      </c>
      <c r="V1744" s="15">
        <f>IF(T1744="",0,IF(AND(G1744=T1744,COUNTIFS($S$6:S1744,S1744,$G$6:G1744,G1744,$D$6:D1744,"Vastgesteld")&gt;1),1,0))</f>
        <v>0</v>
      </c>
    </row>
    <row r="1745">
      <c r="S1745" s="15" t="str">
        <f>IF(J1745="","",J1745&amp;"|"&amp;E1745&amp;"|"&amp;F1745&amp;"|"&amp;I1745&amp;"|"&amp;O1745)</f>
        <v/>
      </c>
      <c r="T1745" s="15" t="str">
        <f>IF(OR(S1745="",D1745&lt;&gt;"Vastgesteld"),"",_xlfn.MAXIFS($G$6:$G$5005,$S$6:$S$5005,S1745,$D$6:$D$5005,"Vastgesteld"))</f>
        <v/>
      </c>
      <c r="U1745" s="15">
        <f>IF(T1745="",0,IF(AND(G1745=T1745,COUNTIFS($S$6:S1745,S1745,$G$6:G1745,G1745,$D$6:D1745,"Vastgesteld")=1),1,0))</f>
        <v>0</v>
      </c>
      <c r="V1745" s="15">
        <f>IF(T1745="",0,IF(AND(G1745=T1745,COUNTIFS($S$6:S1745,S1745,$G$6:G1745,G1745,$D$6:D1745,"Vastgesteld")&gt;1),1,0))</f>
        <v>0</v>
      </c>
    </row>
    <row r="1746">
      <c r="S1746" s="15" t="str">
        <f>IF(J1746="","",J1746&amp;"|"&amp;E1746&amp;"|"&amp;F1746&amp;"|"&amp;I1746&amp;"|"&amp;O1746)</f>
        <v/>
      </c>
      <c r="T1746" s="15" t="str">
        <f>IF(OR(S1746="",D1746&lt;&gt;"Vastgesteld"),"",_xlfn.MAXIFS($G$6:$G$5005,$S$6:$S$5005,S1746,$D$6:$D$5005,"Vastgesteld"))</f>
        <v/>
      </c>
      <c r="U1746" s="15">
        <f>IF(T1746="",0,IF(AND(G1746=T1746,COUNTIFS($S$6:S1746,S1746,$G$6:G1746,G1746,$D$6:D1746,"Vastgesteld")=1),1,0))</f>
        <v>0</v>
      </c>
      <c r="V1746" s="15">
        <f>IF(T1746="",0,IF(AND(G1746=T1746,COUNTIFS($S$6:S1746,S1746,$G$6:G1746,G1746,$D$6:D1746,"Vastgesteld")&gt;1),1,0))</f>
        <v>0</v>
      </c>
    </row>
    <row r="1747">
      <c r="S1747" s="15" t="str">
        <f>IF(J1747="","",J1747&amp;"|"&amp;E1747&amp;"|"&amp;F1747&amp;"|"&amp;I1747&amp;"|"&amp;O1747)</f>
        <v/>
      </c>
      <c r="T1747" s="15" t="str">
        <f>IF(OR(S1747="",D1747&lt;&gt;"Vastgesteld"),"",_xlfn.MAXIFS($G$6:$G$5005,$S$6:$S$5005,S1747,$D$6:$D$5005,"Vastgesteld"))</f>
        <v/>
      </c>
      <c r="U1747" s="15">
        <f>IF(T1747="",0,IF(AND(G1747=T1747,COUNTIFS($S$6:S1747,S1747,$G$6:G1747,G1747,$D$6:D1747,"Vastgesteld")=1),1,0))</f>
        <v>0</v>
      </c>
      <c r="V1747" s="15">
        <f>IF(T1747="",0,IF(AND(G1747=T1747,COUNTIFS($S$6:S1747,S1747,$G$6:G1747,G1747,$D$6:D1747,"Vastgesteld")&gt;1),1,0))</f>
        <v>0</v>
      </c>
    </row>
    <row r="1748">
      <c r="S1748" s="15" t="str">
        <f>IF(J1748="","",J1748&amp;"|"&amp;E1748&amp;"|"&amp;F1748&amp;"|"&amp;I1748&amp;"|"&amp;O1748)</f>
        <v/>
      </c>
      <c r="T1748" s="15" t="str">
        <f>IF(OR(S1748="",D1748&lt;&gt;"Vastgesteld"),"",_xlfn.MAXIFS($G$6:$G$5005,$S$6:$S$5005,S1748,$D$6:$D$5005,"Vastgesteld"))</f>
        <v/>
      </c>
      <c r="U1748" s="15">
        <f>IF(T1748="",0,IF(AND(G1748=T1748,COUNTIFS($S$6:S1748,S1748,$G$6:G1748,G1748,$D$6:D1748,"Vastgesteld")=1),1,0))</f>
        <v>0</v>
      </c>
      <c r="V1748" s="15">
        <f>IF(T1748="",0,IF(AND(G1748=T1748,COUNTIFS($S$6:S1748,S1748,$G$6:G1748,G1748,$D$6:D1748,"Vastgesteld")&gt;1),1,0))</f>
        <v>0</v>
      </c>
    </row>
    <row r="1749">
      <c r="S1749" s="15" t="str">
        <f>IF(J1749="","",J1749&amp;"|"&amp;E1749&amp;"|"&amp;F1749&amp;"|"&amp;I1749&amp;"|"&amp;O1749)</f>
        <v/>
      </c>
      <c r="T1749" s="15" t="str">
        <f>IF(OR(S1749="",D1749&lt;&gt;"Vastgesteld"),"",_xlfn.MAXIFS($G$6:$G$5005,$S$6:$S$5005,S1749,$D$6:$D$5005,"Vastgesteld"))</f>
        <v/>
      </c>
      <c r="U1749" s="15">
        <f>IF(T1749="",0,IF(AND(G1749=T1749,COUNTIFS($S$6:S1749,S1749,$G$6:G1749,G1749,$D$6:D1749,"Vastgesteld")=1),1,0))</f>
        <v>0</v>
      </c>
      <c r="V1749" s="15">
        <f>IF(T1749="",0,IF(AND(G1749=T1749,COUNTIFS($S$6:S1749,S1749,$G$6:G1749,G1749,$D$6:D1749,"Vastgesteld")&gt;1),1,0))</f>
        <v>0</v>
      </c>
    </row>
    <row r="1750">
      <c r="S1750" s="15" t="str">
        <f>IF(J1750="","",J1750&amp;"|"&amp;E1750&amp;"|"&amp;F1750&amp;"|"&amp;I1750&amp;"|"&amp;O1750)</f>
        <v/>
      </c>
      <c r="T1750" s="15" t="str">
        <f>IF(OR(S1750="",D1750&lt;&gt;"Vastgesteld"),"",_xlfn.MAXIFS($G$6:$G$5005,$S$6:$S$5005,S1750,$D$6:$D$5005,"Vastgesteld"))</f>
        <v/>
      </c>
      <c r="U1750" s="15">
        <f>IF(T1750="",0,IF(AND(G1750=T1750,COUNTIFS($S$6:S1750,S1750,$G$6:G1750,G1750,$D$6:D1750,"Vastgesteld")=1),1,0))</f>
        <v>0</v>
      </c>
      <c r="V1750" s="15">
        <f>IF(T1750="",0,IF(AND(G1750=T1750,COUNTIFS($S$6:S1750,S1750,$G$6:G1750,G1750,$D$6:D1750,"Vastgesteld")&gt;1),1,0))</f>
        <v>0</v>
      </c>
    </row>
    <row r="1751">
      <c r="S1751" s="15" t="str">
        <f>IF(J1751="","",J1751&amp;"|"&amp;E1751&amp;"|"&amp;F1751&amp;"|"&amp;I1751&amp;"|"&amp;O1751)</f>
        <v/>
      </c>
      <c r="T1751" s="15" t="str">
        <f>IF(OR(S1751="",D1751&lt;&gt;"Vastgesteld"),"",_xlfn.MAXIFS($G$6:$G$5005,$S$6:$S$5005,S1751,$D$6:$D$5005,"Vastgesteld"))</f>
        <v/>
      </c>
      <c r="U1751" s="15">
        <f>IF(T1751="",0,IF(AND(G1751=T1751,COUNTIFS($S$6:S1751,S1751,$G$6:G1751,G1751,$D$6:D1751,"Vastgesteld")=1),1,0))</f>
        <v>0</v>
      </c>
      <c r="V1751" s="15">
        <f>IF(T1751="",0,IF(AND(G1751=T1751,COUNTIFS($S$6:S1751,S1751,$G$6:G1751,G1751,$D$6:D1751,"Vastgesteld")&gt;1),1,0))</f>
        <v>0</v>
      </c>
    </row>
    <row r="1752">
      <c r="S1752" s="15" t="str">
        <f>IF(J1752="","",J1752&amp;"|"&amp;E1752&amp;"|"&amp;F1752&amp;"|"&amp;I1752&amp;"|"&amp;O1752)</f>
        <v/>
      </c>
      <c r="T1752" s="15" t="str">
        <f>IF(OR(S1752="",D1752&lt;&gt;"Vastgesteld"),"",_xlfn.MAXIFS($G$6:$G$5005,$S$6:$S$5005,S1752,$D$6:$D$5005,"Vastgesteld"))</f>
        <v/>
      </c>
      <c r="U1752" s="15">
        <f>IF(T1752="",0,IF(AND(G1752=T1752,COUNTIFS($S$6:S1752,S1752,$G$6:G1752,G1752,$D$6:D1752,"Vastgesteld")=1),1,0))</f>
        <v>0</v>
      </c>
      <c r="V1752" s="15">
        <f>IF(T1752="",0,IF(AND(G1752=T1752,COUNTIFS($S$6:S1752,S1752,$G$6:G1752,G1752,$D$6:D1752,"Vastgesteld")&gt;1),1,0))</f>
        <v>0</v>
      </c>
    </row>
    <row r="1753">
      <c r="S1753" s="15" t="str">
        <f>IF(J1753="","",J1753&amp;"|"&amp;E1753&amp;"|"&amp;F1753&amp;"|"&amp;I1753&amp;"|"&amp;O1753)</f>
        <v/>
      </c>
      <c r="T1753" s="15" t="str">
        <f>IF(OR(S1753="",D1753&lt;&gt;"Vastgesteld"),"",_xlfn.MAXIFS($G$6:$G$5005,$S$6:$S$5005,S1753,$D$6:$D$5005,"Vastgesteld"))</f>
        <v/>
      </c>
      <c r="U1753" s="15">
        <f>IF(T1753="",0,IF(AND(G1753=T1753,COUNTIFS($S$6:S1753,S1753,$G$6:G1753,G1753,$D$6:D1753,"Vastgesteld")=1),1,0))</f>
        <v>0</v>
      </c>
      <c r="V1753" s="15">
        <f>IF(T1753="",0,IF(AND(G1753=T1753,COUNTIFS($S$6:S1753,S1753,$G$6:G1753,G1753,$D$6:D1753,"Vastgesteld")&gt;1),1,0))</f>
        <v>0</v>
      </c>
    </row>
    <row r="1754">
      <c r="S1754" s="15" t="str">
        <f>IF(J1754="","",J1754&amp;"|"&amp;E1754&amp;"|"&amp;F1754&amp;"|"&amp;I1754&amp;"|"&amp;O1754)</f>
        <v/>
      </c>
      <c r="T1754" s="15" t="str">
        <f>IF(OR(S1754="",D1754&lt;&gt;"Vastgesteld"),"",_xlfn.MAXIFS($G$6:$G$5005,$S$6:$S$5005,S1754,$D$6:$D$5005,"Vastgesteld"))</f>
        <v/>
      </c>
      <c r="U1754" s="15">
        <f>IF(T1754="",0,IF(AND(G1754=T1754,COUNTIFS($S$6:S1754,S1754,$G$6:G1754,G1754,$D$6:D1754,"Vastgesteld")=1),1,0))</f>
        <v>0</v>
      </c>
      <c r="V1754" s="15">
        <f>IF(T1754="",0,IF(AND(G1754=T1754,COUNTIFS($S$6:S1754,S1754,$G$6:G1754,G1754,$D$6:D1754,"Vastgesteld")&gt;1),1,0))</f>
        <v>0</v>
      </c>
    </row>
    <row r="1755">
      <c r="S1755" s="15" t="str">
        <f>IF(J1755="","",J1755&amp;"|"&amp;E1755&amp;"|"&amp;F1755&amp;"|"&amp;I1755&amp;"|"&amp;O1755)</f>
        <v/>
      </c>
      <c r="T1755" s="15" t="str">
        <f>IF(OR(S1755="",D1755&lt;&gt;"Vastgesteld"),"",_xlfn.MAXIFS($G$6:$G$5005,$S$6:$S$5005,S1755,$D$6:$D$5005,"Vastgesteld"))</f>
        <v/>
      </c>
      <c r="U1755" s="15">
        <f>IF(T1755="",0,IF(AND(G1755=T1755,COUNTIFS($S$6:S1755,S1755,$G$6:G1755,G1755,$D$6:D1755,"Vastgesteld")=1),1,0))</f>
        <v>0</v>
      </c>
      <c r="V1755" s="15">
        <f>IF(T1755="",0,IF(AND(G1755=T1755,COUNTIFS($S$6:S1755,S1755,$G$6:G1755,G1755,$D$6:D1755,"Vastgesteld")&gt;1),1,0))</f>
        <v>0</v>
      </c>
    </row>
    <row r="1756">
      <c r="S1756" s="15" t="str">
        <f>IF(J1756="","",J1756&amp;"|"&amp;E1756&amp;"|"&amp;F1756&amp;"|"&amp;I1756&amp;"|"&amp;O1756)</f>
        <v/>
      </c>
      <c r="T1756" s="15" t="str">
        <f>IF(OR(S1756="",D1756&lt;&gt;"Vastgesteld"),"",_xlfn.MAXIFS($G$6:$G$5005,$S$6:$S$5005,S1756,$D$6:$D$5005,"Vastgesteld"))</f>
        <v/>
      </c>
      <c r="U1756" s="15">
        <f>IF(T1756="",0,IF(AND(G1756=T1756,COUNTIFS($S$6:S1756,S1756,$G$6:G1756,G1756,$D$6:D1756,"Vastgesteld")=1),1,0))</f>
        <v>0</v>
      </c>
      <c r="V1756" s="15">
        <f>IF(T1756="",0,IF(AND(G1756=T1756,COUNTIFS($S$6:S1756,S1756,$G$6:G1756,G1756,$D$6:D1756,"Vastgesteld")&gt;1),1,0))</f>
        <v>0</v>
      </c>
    </row>
    <row r="1757">
      <c r="S1757" s="15" t="str">
        <f>IF(J1757="","",J1757&amp;"|"&amp;E1757&amp;"|"&amp;F1757&amp;"|"&amp;I1757&amp;"|"&amp;O1757)</f>
        <v/>
      </c>
      <c r="T1757" s="15" t="str">
        <f>IF(OR(S1757="",D1757&lt;&gt;"Vastgesteld"),"",_xlfn.MAXIFS($G$6:$G$5005,$S$6:$S$5005,S1757,$D$6:$D$5005,"Vastgesteld"))</f>
        <v/>
      </c>
      <c r="U1757" s="15">
        <f>IF(T1757="",0,IF(AND(G1757=T1757,COUNTIFS($S$6:S1757,S1757,$G$6:G1757,G1757,$D$6:D1757,"Vastgesteld")=1),1,0))</f>
        <v>0</v>
      </c>
      <c r="V1757" s="15">
        <f>IF(T1757="",0,IF(AND(G1757=T1757,COUNTIFS($S$6:S1757,S1757,$G$6:G1757,G1757,$D$6:D1757,"Vastgesteld")&gt;1),1,0))</f>
        <v>0</v>
      </c>
    </row>
    <row r="1758">
      <c r="S1758" s="15" t="str">
        <f>IF(J1758="","",J1758&amp;"|"&amp;E1758&amp;"|"&amp;F1758&amp;"|"&amp;I1758&amp;"|"&amp;O1758)</f>
        <v/>
      </c>
      <c r="T1758" s="15" t="str">
        <f>IF(OR(S1758="",D1758&lt;&gt;"Vastgesteld"),"",_xlfn.MAXIFS($G$6:$G$5005,$S$6:$S$5005,S1758,$D$6:$D$5005,"Vastgesteld"))</f>
        <v/>
      </c>
      <c r="U1758" s="15">
        <f>IF(T1758="",0,IF(AND(G1758=T1758,COUNTIFS($S$6:S1758,S1758,$G$6:G1758,G1758,$D$6:D1758,"Vastgesteld")=1),1,0))</f>
        <v>0</v>
      </c>
      <c r="V1758" s="15">
        <f>IF(T1758="",0,IF(AND(G1758=T1758,COUNTIFS($S$6:S1758,S1758,$G$6:G1758,G1758,$D$6:D1758,"Vastgesteld")&gt;1),1,0))</f>
        <v>0</v>
      </c>
    </row>
    <row r="1759">
      <c r="S1759" s="15" t="str">
        <f>IF(J1759="","",J1759&amp;"|"&amp;E1759&amp;"|"&amp;F1759&amp;"|"&amp;I1759&amp;"|"&amp;O1759)</f>
        <v/>
      </c>
      <c r="T1759" s="15" t="str">
        <f>IF(OR(S1759="",D1759&lt;&gt;"Vastgesteld"),"",_xlfn.MAXIFS($G$6:$G$5005,$S$6:$S$5005,S1759,$D$6:$D$5005,"Vastgesteld"))</f>
        <v/>
      </c>
      <c r="U1759" s="15">
        <f>IF(T1759="",0,IF(AND(G1759=T1759,COUNTIFS($S$6:S1759,S1759,$G$6:G1759,G1759,$D$6:D1759,"Vastgesteld")=1),1,0))</f>
        <v>0</v>
      </c>
      <c r="V1759" s="15">
        <f>IF(T1759="",0,IF(AND(G1759=T1759,COUNTIFS($S$6:S1759,S1759,$G$6:G1759,G1759,$D$6:D1759,"Vastgesteld")&gt;1),1,0))</f>
        <v>0</v>
      </c>
    </row>
    <row r="1760">
      <c r="S1760" s="15" t="str">
        <f>IF(J1760="","",J1760&amp;"|"&amp;E1760&amp;"|"&amp;F1760&amp;"|"&amp;I1760&amp;"|"&amp;O1760)</f>
        <v/>
      </c>
      <c r="T1760" s="15" t="str">
        <f>IF(OR(S1760="",D1760&lt;&gt;"Vastgesteld"),"",_xlfn.MAXIFS($G$6:$G$5005,$S$6:$S$5005,S1760,$D$6:$D$5005,"Vastgesteld"))</f>
        <v/>
      </c>
      <c r="U1760" s="15">
        <f>IF(T1760="",0,IF(AND(G1760=T1760,COUNTIFS($S$6:S1760,S1760,$G$6:G1760,G1760,$D$6:D1760,"Vastgesteld")=1),1,0))</f>
        <v>0</v>
      </c>
      <c r="V1760" s="15">
        <f>IF(T1760="",0,IF(AND(G1760=T1760,COUNTIFS($S$6:S1760,S1760,$G$6:G1760,G1760,$D$6:D1760,"Vastgesteld")&gt;1),1,0))</f>
        <v>0</v>
      </c>
    </row>
    <row r="1761">
      <c r="S1761" s="15" t="str">
        <f>IF(J1761="","",J1761&amp;"|"&amp;E1761&amp;"|"&amp;F1761&amp;"|"&amp;I1761&amp;"|"&amp;O1761)</f>
        <v/>
      </c>
      <c r="T1761" s="15" t="str">
        <f>IF(OR(S1761="",D1761&lt;&gt;"Vastgesteld"),"",_xlfn.MAXIFS($G$6:$G$5005,$S$6:$S$5005,S1761,$D$6:$D$5005,"Vastgesteld"))</f>
        <v/>
      </c>
      <c r="U1761" s="15">
        <f>IF(T1761="",0,IF(AND(G1761=T1761,COUNTIFS($S$6:S1761,S1761,$G$6:G1761,G1761,$D$6:D1761,"Vastgesteld")=1),1,0))</f>
        <v>0</v>
      </c>
      <c r="V1761" s="15">
        <f>IF(T1761="",0,IF(AND(G1761=T1761,COUNTIFS($S$6:S1761,S1761,$G$6:G1761,G1761,$D$6:D1761,"Vastgesteld")&gt;1),1,0))</f>
        <v>0</v>
      </c>
    </row>
    <row r="1762">
      <c r="S1762" s="15" t="str">
        <f>IF(J1762="","",J1762&amp;"|"&amp;E1762&amp;"|"&amp;F1762&amp;"|"&amp;I1762&amp;"|"&amp;O1762)</f>
        <v/>
      </c>
      <c r="T1762" s="15" t="str">
        <f>IF(OR(S1762="",D1762&lt;&gt;"Vastgesteld"),"",_xlfn.MAXIFS($G$6:$G$5005,$S$6:$S$5005,S1762,$D$6:$D$5005,"Vastgesteld"))</f>
        <v/>
      </c>
      <c r="U1762" s="15">
        <f>IF(T1762="",0,IF(AND(G1762=T1762,COUNTIFS($S$6:S1762,S1762,$G$6:G1762,G1762,$D$6:D1762,"Vastgesteld")=1),1,0))</f>
        <v>0</v>
      </c>
      <c r="V1762" s="15">
        <f>IF(T1762="",0,IF(AND(G1762=T1762,COUNTIFS($S$6:S1762,S1762,$G$6:G1762,G1762,$D$6:D1762,"Vastgesteld")&gt;1),1,0))</f>
        <v>0</v>
      </c>
    </row>
    <row r="1763">
      <c r="S1763" s="15" t="str">
        <f>IF(J1763="","",J1763&amp;"|"&amp;E1763&amp;"|"&amp;F1763&amp;"|"&amp;I1763&amp;"|"&amp;O1763)</f>
        <v/>
      </c>
      <c r="T1763" s="15" t="str">
        <f>IF(OR(S1763="",D1763&lt;&gt;"Vastgesteld"),"",_xlfn.MAXIFS($G$6:$G$5005,$S$6:$S$5005,S1763,$D$6:$D$5005,"Vastgesteld"))</f>
        <v/>
      </c>
      <c r="U1763" s="15">
        <f>IF(T1763="",0,IF(AND(G1763=T1763,COUNTIFS($S$6:S1763,S1763,$G$6:G1763,G1763,$D$6:D1763,"Vastgesteld")=1),1,0))</f>
        <v>0</v>
      </c>
      <c r="V1763" s="15">
        <f>IF(T1763="",0,IF(AND(G1763=T1763,COUNTIFS($S$6:S1763,S1763,$G$6:G1763,G1763,$D$6:D1763,"Vastgesteld")&gt;1),1,0))</f>
        <v>0</v>
      </c>
    </row>
    <row r="1764">
      <c r="S1764" s="15" t="str">
        <f>IF(J1764="","",J1764&amp;"|"&amp;E1764&amp;"|"&amp;F1764&amp;"|"&amp;I1764&amp;"|"&amp;O1764)</f>
        <v/>
      </c>
      <c r="T1764" s="15" t="str">
        <f>IF(OR(S1764="",D1764&lt;&gt;"Vastgesteld"),"",_xlfn.MAXIFS($G$6:$G$5005,$S$6:$S$5005,S1764,$D$6:$D$5005,"Vastgesteld"))</f>
        <v/>
      </c>
      <c r="U1764" s="15">
        <f>IF(T1764="",0,IF(AND(G1764=T1764,COUNTIFS($S$6:S1764,S1764,$G$6:G1764,G1764,$D$6:D1764,"Vastgesteld")=1),1,0))</f>
        <v>0</v>
      </c>
      <c r="V1764" s="15">
        <f>IF(T1764="",0,IF(AND(G1764=T1764,COUNTIFS($S$6:S1764,S1764,$G$6:G1764,G1764,$D$6:D1764,"Vastgesteld")&gt;1),1,0))</f>
        <v>0</v>
      </c>
    </row>
    <row r="1765">
      <c r="S1765" s="15" t="str">
        <f>IF(J1765="","",J1765&amp;"|"&amp;E1765&amp;"|"&amp;F1765&amp;"|"&amp;I1765&amp;"|"&amp;O1765)</f>
        <v/>
      </c>
      <c r="T1765" s="15" t="str">
        <f>IF(OR(S1765="",D1765&lt;&gt;"Vastgesteld"),"",_xlfn.MAXIFS($G$6:$G$5005,$S$6:$S$5005,S1765,$D$6:$D$5005,"Vastgesteld"))</f>
        <v/>
      </c>
      <c r="U1765" s="15">
        <f>IF(T1765="",0,IF(AND(G1765=T1765,COUNTIFS($S$6:S1765,S1765,$G$6:G1765,G1765,$D$6:D1765,"Vastgesteld")=1),1,0))</f>
        <v>0</v>
      </c>
      <c r="V1765" s="15">
        <f>IF(T1765="",0,IF(AND(G1765=T1765,COUNTIFS($S$6:S1765,S1765,$G$6:G1765,G1765,$D$6:D1765,"Vastgesteld")&gt;1),1,0))</f>
        <v>0</v>
      </c>
    </row>
    <row r="1766">
      <c r="S1766" s="15" t="str">
        <f>IF(J1766="","",J1766&amp;"|"&amp;E1766&amp;"|"&amp;F1766&amp;"|"&amp;I1766&amp;"|"&amp;O1766)</f>
        <v/>
      </c>
      <c r="T1766" s="15" t="str">
        <f>IF(OR(S1766="",D1766&lt;&gt;"Vastgesteld"),"",_xlfn.MAXIFS($G$6:$G$5005,$S$6:$S$5005,S1766,$D$6:$D$5005,"Vastgesteld"))</f>
        <v/>
      </c>
      <c r="U1766" s="15">
        <f>IF(T1766="",0,IF(AND(G1766=T1766,COUNTIFS($S$6:S1766,S1766,$G$6:G1766,G1766,$D$6:D1766,"Vastgesteld")=1),1,0))</f>
        <v>0</v>
      </c>
      <c r="V1766" s="15">
        <f>IF(T1766="",0,IF(AND(G1766=T1766,COUNTIFS($S$6:S1766,S1766,$G$6:G1766,G1766,$D$6:D1766,"Vastgesteld")&gt;1),1,0))</f>
        <v>0</v>
      </c>
    </row>
    <row r="1767">
      <c r="S1767" s="15" t="str">
        <f>IF(J1767="","",J1767&amp;"|"&amp;E1767&amp;"|"&amp;F1767&amp;"|"&amp;I1767&amp;"|"&amp;O1767)</f>
        <v/>
      </c>
      <c r="T1767" s="15" t="str">
        <f>IF(OR(S1767="",D1767&lt;&gt;"Vastgesteld"),"",_xlfn.MAXIFS($G$6:$G$5005,$S$6:$S$5005,S1767,$D$6:$D$5005,"Vastgesteld"))</f>
        <v/>
      </c>
      <c r="U1767" s="15">
        <f>IF(T1767="",0,IF(AND(G1767=T1767,COUNTIFS($S$6:S1767,S1767,$G$6:G1767,G1767,$D$6:D1767,"Vastgesteld")=1),1,0))</f>
        <v>0</v>
      </c>
      <c r="V1767" s="15">
        <f>IF(T1767="",0,IF(AND(G1767=T1767,COUNTIFS($S$6:S1767,S1767,$G$6:G1767,G1767,$D$6:D1767,"Vastgesteld")&gt;1),1,0))</f>
        <v>0</v>
      </c>
    </row>
    <row r="1768">
      <c r="S1768" s="15" t="str">
        <f>IF(J1768="","",J1768&amp;"|"&amp;E1768&amp;"|"&amp;F1768&amp;"|"&amp;I1768&amp;"|"&amp;O1768)</f>
        <v/>
      </c>
      <c r="T1768" s="15" t="str">
        <f>IF(OR(S1768="",D1768&lt;&gt;"Vastgesteld"),"",_xlfn.MAXIFS($G$6:$G$5005,$S$6:$S$5005,S1768,$D$6:$D$5005,"Vastgesteld"))</f>
        <v/>
      </c>
      <c r="U1768" s="15">
        <f>IF(T1768="",0,IF(AND(G1768=T1768,COUNTIFS($S$6:S1768,S1768,$G$6:G1768,G1768,$D$6:D1768,"Vastgesteld")=1),1,0))</f>
        <v>0</v>
      </c>
      <c r="V1768" s="15">
        <f>IF(T1768="",0,IF(AND(G1768=T1768,COUNTIFS($S$6:S1768,S1768,$G$6:G1768,G1768,$D$6:D1768,"Vastgesteld")&gt;1),1,0))</f>
        <v>0</v>
      </c>
    </row>
    <row r="1769">
      <c r="S1769" s="15" t="str">
        <f>IF(J1769="","",J1769&amp;"|"&amp;E1769&amp;"|"&amp;F1769&amp;"|"&amp;I1769&amp;"|"&amp;O1769)</f>
        <v/>
      </c>
      <c r="T1769" s="15" t="str">
        <f>IF(OR(S1769="",D1769&lt;&gt;"Vastgesteld"),"",_xlfn.MAXIFS($G$6:$G$5005,$S$6:$S$5005,S1769,$D$6:$D$5005,"Vastgesteld"))</f>
        <v/>
      </c>
      <c r="U1769" s="15">
        <f>IF(T1769="",0,IF(AND(G1769=T1769,COUNTIFS($S$6:S1769,S1769,$G$6:G1769,G1769,$D$6:D1769,"Vastgesteld")=1),1,0))</f>
        <v>0</v>
      </c>
      <c r="V1769" s="15">
        <f>IF(T1769="",0,IF(AND(G1769=T1769,COUNTIFS($S$6:S1769,S1769,$G$6:G1769,G1769,$D$6:D1769,"Vastgesteld")&gt;1),1,0))</f>
        <v>0</v>
      </c>
    </row>
    <row r="1770">
      <c r="S1770" s="15" t="str">
        <f>IF(J1770="","",J1770&amp;"|"&amp;E1770&amp;"|"&amp;F1770&amp;"|"&amp;I1770&amp;"|"&amp;O1770)</f>
        <v/>
      </c>
      <c r="T1770" s="15" t="str">
        <f>IF(OR(S1770="",D1770&lt;&gt;"Vastgesteld"),"",_xlfn.MAXIFS($G$6:$G$5005,$S$6:$S$5005,S1770,$D$6:$D$5005,"Vastgesteld"))</f>
        <v/>
      </c>
      <c r="U1770" s="15">
        <f>IF(T1770="",0,IF(AND(G1770=T1770,COUNTIFS($S$6:S1770,S1770,$G$6:G1770,G1770,$D$6:D1770,"Vastgesteld")=1),1,0))</f>
        <v>0</v>
      </c>
      <c r="V1770" s="15">
        <f>IF(T1770="",0,IF(AND(G1770=T1770,COUNTIFS($S$6:S1770,S1770,$G$6:G1770,G1770,$D$6:D1770,"Vastgesteld")&gt;1),1,0))</f>
        <v>0</v>
      </c>
    </row>
    <row r="1771">
      <c r="S1771" s="15" t="str">
        <f>IF(J1771="","",J1771&amp;"|"&amp;E1771&amp;"|"&amp;F1771&amp;"|"&amp;I1771&amp;"|"&amp;O1771)</f>
        <v/>
      </c>
      <c r="T1771" s="15" t="str">
        <f>IF(OR(S1771="",D1771&lt;&gt;"Vastgesteld"),"",_xlfn.MAXIFS($G$6:$G$5005,$S$6:$S$5005,S1771,$D$6:$D$5005,"Vastgesteld"))</f>
        <v/>
      </c>
      <c r="U1771" s="15">
        <f>IF(T1771="",0,IF(AND(G1771=T1771,COUNTIFS($S$6:S1771,S1771,$G$6:G1771,G1771,$D$6:D1771,"Vastgesteld")=1),1,0))</f>
        <v>0</v>
      </c>
      <c r="V1771" s="15">
        <f>IF(T1771="",0,IF(AND(G1771=T1771,COUNTIFS($S$6:S1771,S1771,$G$6:G1771,G1771,$D$6:D1771,"Vastgesteld")&gt;1),1,0))</f>
        <v>0</v>
      </c>
    </row>
    <row r="1772">
      <c r="S1772" s="15" t="str">
        <f>IF(J1772="","",J1772&amp;"|"&amp;E1772&amp;"|"&amp;F1772&amp;"|"&amp;I1772&amp;"|"&amp;O1772)</f>
        <v/>
      </c>
      <c r="T1772" s="15" t="str">
        <f>IF(OR(S1772="",D1772&lt;&gt;"Vastgesteld"),"",_xlfn.MAXIFS($G$6:$G$5005,$S$6:$S$5005,S1772,$D$6:$D$5005,"Vastgesteld"))</f>
        <v/>
      </c>
      <c r="U1772" s="15">
        <f>IF(T1772="",0,IF(AND(G1772=T1772,COUNTIFS($S$6:S1772,S1772,$G$6:G1772,G1772,$D$6:D1772,"Vastgesteld")=1),1,0))</f>
        <v>0</v>
      </c>
      <c r="V1772" s="15">
        <f>IF(T1772="",0,IF(AND(G1772=T1772,COUNTIFS($S$6:S1772,S1772,$G$6:G1772,G1772,$D$6:D1772,"Vastgesteld")&gt;1),1,0))</f>
        <v>0</v>
      </c>
    </row>
    <row r="1773">
      <c r="S1773" s="15" t="str">
        <f>IF(J1773="","",J1773&amp;"|"&amp;E1773&amp;"|"&amp;F1773&amp;"|"&amp;I1773&amp;"|"&amp;O1773)</f>
        <v/>
      </c>
      <c r="T1773" s="15" t="str">
        <f>IF(OR(S1773="",D1773&lt;&gt;"Vastgesteld"),"",_xlfn.MAXIFS($G$6:$G$5005,$S$6:$S$5005,S1773,$D$6:$D$5005,"Vastgesteld"))</f>
        <v/>
      </c>
      <c r="U1773" s="15">
        <f>IF(T1773="",0,IF(AND(G1773=T1773,COUNTIFS($S$6:S1773,S1773,$G$6:G1773,G1773,$D$6:D1773,"Vastgesteld")=1),1,0))</f>
        <v>0</v>
      </c>
      <c r="V1773" s="15">
        <f>IF(T1773="",0,IF(AND(G1773=T1773,COUNTIFS($S$6:S1773,S1773,$G$6:G1773,G1773,$D$6:D1773,"Vastgesteld")&gt;1),1,0))</f>
        <v>0</v>
      </c>
    </row>
    <row r="1774">
      <c r="S1774" s="15" t="str">
        <f>IF(J1774="","",J1774&amp;"|"&amp;E1774&amp;"|"&amp;F1774&amp;"|"&amp;I1774&amp;"|"&amp;O1774)</f>
        <v/>
      </c>
      <c r="T1774" s="15" t="str">
        <f>IF(OR(S1774="",D1774&lt;&gt;"Vastgesteld"),"",_xlfn.MAXIFS($G$6:$G$5005,$S$6:$S$5005,S1774,$D$6:$D$5005,"Vastgesteld"))</f>
        <v/>
      </c>
      <c r="U1774" s="15">
        <f>IF(T1774="",0,IF(AND(G1774=T1774,COUNTIFS($S$6:S1774,S1774,$G$6:G1774,G1774,$D$6:D1774,"Vastgesteld")=1),1,0))</f>
        <v>0</v>
      </c>
      <c r="V1774" s="15">
        <f>IF(T1774="",0,IF(AND(G1774=T1774,COUNTIFS($S$6:S1774,S1774,$G$6:G1774,G1774,$D$6:D1774,"Vastgesteld")&gt;1),1,0))</f>
        <v>0</v>
      </c>
    </row>
    <row r="1775">
      <c r="S1775" s="15" t="str">
        <f>IF(J1775="","",J1775&amp;"|"&amp;E1775&amp;"|"&amp;F1775&amp;"|"&amp;I1775&amp;"|"&amp;O1775)</f>
        <v/>
      </c>
      <c r="T1775" s="15" t="str">
        <f>IF(OR(S1775="",D1775&lt;&gt;"Vastgesteld"),"",_xlfn.MAXIFS($G$6:$G$5005,$S$6:$S$5005,S1775,$D$6:$D$5005,"Vastgesteld"))</f>
        <v/>
      </c>
      <c r="U1775" s="15">
        <f>IF(T1775="",0,IF(AND(G1775=T1775,COUNTIFS($S$6:S1775,S1775,$G$6:G1775,G1775,$D$6:D1775,"Vastgesteld")=1),1,0))</f>
        <v>0</v>
      </c>
      <c r="V1775" s="15">
        <f>IF(T1775="",0,IF(AND(G1775=T1775,COUNTIFS($S$6:S1775,S1775,$G$6:G1775,G1775,$D$6:D1775,"Vastgesteld")&gt;1),1,0))</f>
        <v>0</v>
      </c>
    </row>
    <row r="1776">
      <c r="S1776" s="15" t="str">
        <f>IF(J1776="","",J1776&amp;"|"&amp;E1776&amp;"|"&amp;F1776&amp;"|"&amp;I1776&amp;"|"&amp;O1776)</f>
        <v/>
      </c>
      <c r="T1776" s="15" t="str">
        <f>IF(OR(S1776="",D1776&lt;&gt;"Vastgesteld"),"",_xlfn.MAXIFS($G$6:$G$5005,$S$6:$S$5005,S1776,$D$6:$D$5005,"Vastgesteld"))</f>
        <v/>
      </c>
      <c r="U1776" s="15">
        <f>IF(T1776="",0,IF(AND(G1776=T1776,COUNTIFS($S$6:S1776,S1776,$G$6:G1776,G1776,$D$6:D1776,"Vastgesteld")=1),1,0))</f>
        <v>0</v>
      </c>
      <c r="V1776" s="15">
        <f>IF(T1776="",0,IF(AND(G1776=T1776,COUNTIFS($S$6:S1776,S1776,$G$6:G1776,G1776,$D$6:D1776,"Vastgesteld")&gt;1),1,0))</f>
        <v>0</v>
      </c>
    </row>
    <row r="1777">
      <c r="S1777" s="15" t="str">
        <f>IF(J1777="","",J1777&amp;"|"&amp;E1777&amp;"|"&amp;F1777&amp;"|"&amp;I1777&amp;"|"&amp;O1777)</f>
        <v/>
      </c>
      <c r="T1777" s="15" t="str">
        <f>IF(OR(S1777="",D1777&lt;&gt;"Vastgesteld"),"",_xlfn.MAXIFS($G$6:$G$5005,$S$6:$S$5005,S1777,$D$6:$D$5005,"Vastgesteld"))</f>
        <v/>
      </c>
      <c r="U1777" s="15">
        <f>IF(T1777="",0,IF(AND(G1777=T1777,COUNTIFS($S$6:S1777,S1777,$G$6:G1777,G1777,$D$6:D1777,"Vastgesteld")=1),1,0))</f>
        <v>0</v>
      </c>
      <c r="V1777" s="15">
        <f>IF(T1777="",0,IF(AND(G1777=T1777,COUNTIFS($S$6:S1777,S1777,$G$6:G1777,G1777,$D$6:D1777,"Vastgesteld")&gt;1),1,0))</f>
        <v>0</v>
      </c>
    </row>
    <row r="1778">
      <c r="S1778" s="15" t="str">
        <f>IF(J1778="","",J1778&amp;"|"&amp;E1778&amp;"|"&amp;F1778&amp;"|"&amp;I1778&amp;"|"&amp;O1778)</f>
        <v/>
      </c>
      <c r="T1778" s="15" t="str">
        <f>IF(OR(S1778="",D1778&lt;&gt;"Vastgesteld"),"",_xlfn.MAXIFS($G$6:$G$5005,$S$6:$S$5005,S1778,$D$6:$D$5005,"Vastgesteld"))</f>
        <v/>
      </c>
      <c r="U1778" s="15">
        <f>IF(T1778="",0,IF(AND(G1778=T1778,COUNTIFS($S$6:S1778,S1778,$G$6:G1778,G1778,$D$6:D1778,"Vastgesteld")=1),1,0))</f>
        <v>0</v>
      </c>
      <c r="V1778" s="15">
        <f>IF(T1778="",0,IF(AND(G1778=T1778,COUNTIFS($S$6:S1778,S1778,$G$6:G1778,G1778,$D$6:D1778,"Vastgesteld")&gt;1),1,0))</f>
        <v>0</v>
      </c>
    </row>
    <row r="1779">
      <c r="S1779" s="15" t="str">
        <f>IF(J1779="","",J1779&amp;"|"&amp;E1779&amp;"|"&amp;F1779&amp;"|"&amp;I1779&amp;"|"&amp;O1779)</f>
        <v/>
      </c>
      <c r="T1779" s="15" t="str">
        <f>IF(OR(S1779="",D1779&lt;&gt;"Vastgesteld"),"",_xlfn.MAXIFS($G$6:$G$5005,$S$6:$S$5005,S1779,$D$6:$D$5005,"Vastgesteld"))</f>
        <v/>
      </c>
      <c r="U1779" s="15">
        <f>IF(T1779="",0,IF(AND(G1779=T1779,COUNTIFS($S$6:S1779,S1779,$G$6:G1779,G1779,$D$6:D1779,"Vastgesteld")=1),1,0))</f>
        <v>0</v>
      </c>
      <c r="V1779" s="15">
        <f>IF(T1779="",0,IF(AND(G1779=T1779,COUNTIFS($S$6:S1779,S1779,$G$6:G1779,G1779,$D$6:D1779,"Vastgesteld")&gt;1),1,0))</f>
        <v>0</v>
      </c>
    </row>
    <row r="1780">
      <c r="S1780" s="15" t="str">
        <f>IF(J1780="","",J1780&amp;"|"&amp;E1780&amp;"|"&amp;F1780&amp;"|"&amp;I1780&amp;"|"&amp;O1780)</f>
        <v/>
      </c>
      <c r="T1780" s="15" t="str">
        <f>IF(OR(S1780="",D1780&lt;&gt;"Vastgesteld"),"",_xlfn.MAXIFS($G$6:$G$5005,$S$6:$S$5005,S1780,$D$6:$D$5005,"Vastgesteld"))</f>
        <v/>
      </c>
      <c r="U1780" s="15">
        <f>IF(T1780="",0,IF(AND(G1780=T1780,COUNTIFS($S$6:S1780,S1780,$G$6:G1780,G1780,$D$6:D1780,"Vastgesteld")=1),1,0))</f>
        <v>0</v>
      </c>
      <c r="V1780" s="15">
        <f>IF(T1780="",0,IF(AND(G1780=T1780,COUNTIFS($S$6:S1780,S1780,$G$6:G1780,G1780,$D$6:D1780,"Vastgesteld")&gt;1),1,0))</f>
        <v>0</v>
      </c>
    </row>
    <row r="1781">
      <c r="S1781" s="15" t="str">
        <f>IF(J1781="","",J1781&amp;"|"&amp;E1781&amp;"|"&amp;F1781&amp;"|"&amp;I1781&amp;"|"&amp;O1781)</f>
        <v/>
      </c>
      <c r="T1781" s="15" t="str">
        <f>IF(OR(S1781="",D1781&lt;&gt;"Vastgesteld"),"",_xlfn.MAXIFS($G$6:$G$5005,$S$6:$S$5005,S1781,$D$6:$D$5005,"Vastgesteld"))</f>
        <v/>
      </c>
      <c r="U1781" s="15">
        <f>IF(T1781="",0,IF(AND(G1781=T1781,COUNTIFS($S$6:S1781,S1781,$G$6:G1781,G1781,$D$6:D1781,"Vastgesteld")=1),1,0))</f>
        <v>0</v>
      </c>
      <c r="V1781" s="15">
        <f>IF(T1781="",0,IF(AND(G1781=T1781,COUNTIFS($S$6:S1781,S1781,$G$6:G1781,G1781,$D$6:D1781,"Vastgesteld")&gt;1),1,0))</f>
        <v>0</v>
      </c>
    </row>
    <row r="1782">
      <c r="S1782" s="15" t="str">
        <f>IF(J1782="","",J1782&amp;"|"&amp;E1782&amp;"|"&amp;F1782&amp;"|"&amp;I1782&amp;"|"&amp;O1782)</f>
        <v/>
      </c>
      <c r="T1782" s="15" t="str">
        <f>IF(OR(S1782="",D1782&lt;&gt;"Vastgesteld"),"",_xlfn.MAXIFS($G$6:$G$5005,$S$6:$S$5005,S1782,$D$6:$D$5005,"Vastgesteld"))</f>
        <v/>
      </c>
      <c r="U1782" s="15">
        <f>IF(T1782="",0,IF(AND(G1782=T1782,COUNTIFS($S$6:S1782,S1782,$G$6:G1782,G1782,$D$6:D1782,"Vastgesteld")=1),1,0))</f>
        <v>0</v>
      </c>
      <c r="V1782" s="15">
        <f>IF(T1782="",0,IF(AND(G1782=T1782,COUNTIFS($S$6:S1782,S1782,$G$6:G1782,G1782,$D$6:D1782,"Vastgesteld")&gt;1),1,0))</f>
        <v>0</v>
      </c>
    </row>
    <row r="1783">
      <c r="S1783" s="15" t="str">
        <f>IF(J1783="","",J1783&amp;"|"&amp;E1783&amp;"|"&amp;F1783&amp;"|"&amp;I1783&amp;"|"&amp;O1783)</f>
        <v/>
      </c>
      <c r="T1783" s="15" t="str">
        <f>IF(OR(S1783="",D1783&lt;&gt;"Vastgesteld"),"",_xlfn.MAXIFS($G$6:$G$5005,$S$6:$S$5005,S1783,$D$6:$D$5005,"Vastgesteld"))</f>
        <v/>
      </c>
      <c r="U1783" s="15">
        <f>IF(T1783="",0,IF(AND(G1783=T1783,COUNTIFS($S$6:S1783,S1783,$G$6:G1783,G1783,$D$6:D1783,"Vastgesteld")=1),1,0))</f>
        <v>0</v>
      </c>
      <c r="V1783" s="15">
        <f>IF(T1783="",0,IF(AND(G1783=T1783,COUNTIFS($S$6:S1783,S1783,$G$6:G1783,G1783,$D$6:D1783,"Vastgesteld")&gt;1),1,0))</f>
        <v>0</v>
      </c>
    </row>
    <row r="1784">
      <c r="S1784" s="15" t="str">
        <f>IF(J1784="","",J1784&amp;"|"&amp;E1784&amp;"|"&amp;F1784&amp;"|"&amp;I1784&amp;"|"&amp;O1784)</f>
        <v/>
      </c>
      <c r="T1784" s="15" t="str">
        <f>IF(OR(S1784="",D1784&lt;&gt;"Vastgesteld"),"",_xlfn.MAXIFS($G$6:$G$5005,$S$6:$S$5005,S1784,$D$6:$D$5005,"Vastgesteld"))</f>
        <v/>
      </c>
      <c r="U1784" s="15">
        <f>IF(T1784="",0,IF(AND(G1784=T1784,COUNTIFS($S$6:S1784,S1784,$G$6:G1784,G1784,$D$6:D1784,"Vastgesteld")=1),1,0))</f>
        <v>0</v>
      </c>
      <c r="V1784" s="15">
        <f>IF(T1784="",0,IF(AND(G1784=T1784,COUNTIFS($S$6:S1784,S1784,$G$6:G1784,G1784,$D$6:D1784,"Vastgesteld")&gt;1),1,0))</f>
        <v>0</v>
      </c>
    </row>
    <row r="1785">
      <c r="S1785" s="15" t="str">
        <f>IF(J1785="","",J1785&amp;"|"&amp;E1785&amp;"|"&amp;F1785&amp;"|"&amp;I1785&amp;"|"&amp;O1785)</f>
        <v/>
      </c>
      <c r="T1785" s="15" t="str">
        <f>IF(OR(S1785="",D1785&lt;&gt;"Vastgesteld"),"",_xlfn.MAXIFS($G$6:$G$5005,$S$6:$S$5005,S1785,$D$6:$D$5005,"Vastgesteld"))</f>
        <v/>
      </c>
      <c r="U1785" s="15">
        <f>IF(T1785="",0,IF(AND(G1785=T1785,COUNTIFS($S$6:S1785,S1785,$G$6:G1785,G1785,$D$6:D1785,"Vastgesteld")=1),1,0))</f>
        <v>0</v>
      </c>
      <c r="V1785" s="15">
        <f>IF(T1785="",0,IF(AND(G1785=T1785,COUNTIFS($S$6:S1785,S1785,$G$6:G1785,G1785,$D$6:D1785,"Vastgesteld")&gt;1),1,0))</f>
        <v>0</v>
      </c>
    </row>
    <row r="1786">
      <c r="S1786" s="15" t="str">
        <f>IF(J1786="","",J1786&amp;"|"&amp;E1786&amp;"|"&amp;F1786&amp;"|"&amp;I1786&amp;"|"&amp;O1786)</f>
        <v/>
      </c>
      <c r="T1786" s="15" t="str">
        <f>IF(OR(S1786="",D1786&lt;&gt;"Vastgesteld"),"",_xlfn.MAXIFS($G$6:$G$5005,$S$6:$S$5005,S1786,$D$6:$D$5005,"Vastgesteld"))</f>
        <v/>
      </c>
      <c r="U1786" s="15">
        <f>IF(T1786="",0,IF(AND(G1786=T1786,COUNTIFS($S$6:S1786,S1786,$G$6:G1786,G1786,$D$6:D1786,"Vastgesteld")=1),1,0))</f>
        <v>0</v>
      </c>
      <c r="V1786" s="15">
        <f>IF(T1786="",0,IF(AND(G1786=T1786,COUNTIFS($S$6:S1786,S1786,$G$6:G1786,G1786,$D$6:D1786,"Vastgesteld")&gt;1),1,0))</f>
        <v>0</v>
      </c>
    </row>
    <row r="1787">
      <c r="S1787" s="15" t="str">
        <f>IF(J1787="","",J1787&amp;"|"&amp;E1787&amp;"|"&amp;F1787&amp;"|"&amp;I1787&amp;"|"&amp;O1787)</f>
        <v/>
      </c>
      <c r="T1787" s="15" t="str">
        <f>IF(OR(S1787="",D1787&lt;&gt;"Vastgesteld"),"",_xlfn.MAXIFS($G$6:$G$5005,$S$6:$S$5005,S1787,$D$6:$D$5005,"Vastgesteld"))</f>
        <v/>
      </c>
      <c r="U1787" s="15">
        <f>IF(T1787="",0,IF(AND(G1787=T1787,COUNTIFS($S$6:S1787,S1787,$G$6:G1787,G1787,$D$6:D1787,"Vastgesteld")=1),1,0))</f>
        <v>0</v>
      </c>
      <c r="V1787" s="15">
        <f>IF(T1787="",0,IF(AND(G1787=T1787,COUNTIFS($S$6:S1787,S1787,$G$6:G1787,G1787,$D$6:D1787,"Vastgesteld")&gt;1),1,0))</f>
        <v>0</v>
      </c>
    </row>
    <row r="1788">
      <c r="S1788" s="15" t="str">
        <f>IF(J1788="","",J1788&amp;"|"&amp;E1788&amp;"|"&amp;F1788&amp;"|"&amp;I1788&amp;"|"&amp;O1788)</f>
        <v/>
      </c>
      <c r="T1788" s="15" t="str">
        <f>IF(OR(S1788="",D1788&lt;&gt;"Vastgesteld"),"",_xlfn.MAXIFS($G$6:$G$5005,$S$6:$S$5005,S1788,$D$6:$D$5005,"Vastgesteld"))</f>
        <v/>
      </c>
      <c r="U1788" s="15">
        <f>IF(T1788="",0,IF(AND(G1788=T1788,COUNTIFS($S$6:S1788,S1788,$G$6:G1788,G1788,$D$6:D1788,"Vastgesteld")=1),1,0))</f>
        <v>0</v>
      </c>
      <c r="V1788" s="15">
        <f>IF(T1788="",0,IF(AND(G1788=T1788,COUNTIFS($S$6:S1788,S1788,$G$6:G1788,G1788,$D$6:D1788,"Vastgesteld")&gt;1),1,0))</f>
        <v>0</v>
      </c>
    </row>
    <row r="1789">
      <c r="S1789" s="15" t="str">
        <f>IF(J1789="","",J1789&amp;"|"&amp;E1789&amp;"|"&amp;F1789&amp;"|"&amp;I1789&amp;"|"&amp;O1789)</f>
        <v/>
      </c>
      <c r="T1789" s="15" t="str">
        <f>IF(OR(S1789="",D1789&lt;&gt;"Vastgesteld"),"",_xlfn.MAXIFS($G$6:$G$5005,$S$6:$S$5005,S1789,$D$6:$D$5005,"Vastgesteld"))</f>
        <v/>
      </c>
      <c r="U1789" s="15">
        <f>IF(T1789="",0,IF(AND(G1789=T1789,COUNTIFS($S$6:S1789,S1789,$G$6:G1789,G1789,$D$6:D1789,"Vastgesteld")=1),1,0))</f>
        <v>0</v>
      </c>
      <c r="V1789" s="15">
        <f>IF(T1789="",0,IF(AND(G1789=T1789,COUNTIFS($S$6:S1789,S1789,$G$6:G1789,G1789,$D$6:D1789,"Vastgesteld")&gt;1),1,0))</f>
        <v>0</v>
      </c>
    </row>
    <row r="1790">
      <c r="S1790" s="15" t="str">
        <f>IF(J1790="","",J1790&amp;"|"&amp;E1790&amp;"|"&amp;F1790&amp;"|"&amp;I1790&amp;"|"&amp;O1790)</f>
        <v/>
      </c>
      <c r="T1790" s="15" t="str">
        <f>IF(OR(S1790="",D1790&lt;&gt;"Vastgesteld"),"",_xlfn.MAXIFS($G$6:$G$5005,$S$6:$S$5005,S1790,$D$6:$D$5005,"Vastgesteld"))</f>
        <v/>
      </c>
      <c r="U1790" s="15">
        <f>IF(T1790="",0,IF(AND(G1790=T1790,COUNTIFS($S$6:S1790,S1790,$G$6:G1790,G1790,$D$6:D1790,"Vastgesteld")=1),1,0))</f>
        <v>0</v>
      </c>
      <c r="V1790" s="15">
        <f>IF(T1790="",0,IF(AND(G1790=T1790,COUNTIFS($S$6:S1790,S1790,$G$6:G1790,G1790,$D$6:D1790,"Vastgesteld")&gt;1),1,0))</f>
        <v>0</v>
      </c>
    </row>
    <row r="1791">
      <c r="S1791" s="15" t="str">
        <f>IF(J1791="","",J1791&amp;"|"&amp;E1791&amp;"|"&amp;F1791&amp;"|"&amp;I1791&amp;"|"&amp;O1791)</f>
        <v/>
      </c>
      <c r="T1791" s="15" t="str">
        <f>IF(OR(S1791="",D1791&lt;&gt;"Vastgesteld"),"",_xlfn.MAXIFS($G$6:$G$5005,$S$6:$S$5005,S1791,$D$6:$D$5005,"Vastgesteld"))</f>
        <v/>
      </c>
      <c r="U1791" s="15">
        <f>IF(T1791="",0,IF(AND(G1791=T1791,COUNTIFS($S$6:S1791,S1791,$G$6:G1791,G1791,$D$6:D1791,"Vastgesteld")=1),1,0))</f>
        <v>0</v>
      </c>
      <c r="V1791" s="15">
        <f>IF(T1791="",0,IF(AND(G1791=T1791,COUNTIFS($S$6:S1791,S1791,$G$6:G1791,G1791,$D$6:D1791,"Vastgesteld")&gt;1),1,0))</f>
        <v>0</v>
      </c>
    </row>
    <row r="1792">
      <c r="S1792" s="15" t="str">
        <f>IF(J1792="","",J1792&amp;"|"&amp;E1792&amp;"|"&amp;F1792&amp;"|"&amp;I1792&amp;"|"&amp;O1792)</f>
        <v/>
      </c>
      <c r="T1792" s="15" t="str">
        <f>IF(OR(S1792="",D1792&lt;&gt;"Vastgesteld"),"",_xlfn.MAXIFS($G$6:$G$5005,$S$6:$S$5005,S1792,$D$6:$D$5005,"Vastgesteld"))</f>
        <v/>
      </c>
      <c r="U1792" s="15">
        <f>IF(T1792="",0,IF(AND(G1792=T1792,COUNTIFS($S$6:S1792,S1792,$G$6:G1792,G1792,$D$6:D1792,"Vastgesteld")=1),1,0))</f>
        <v>0</v>
      </c>
      <c r="V1792" s="15">
        <f>IF(T1792="",0,IF(AND(G1792=T1792,COUNTIFS($S$6:S1792,S1792,$G$6:G1792,G1792,$D$6:D1792,"Vastgesteld")&gt;1),1,0))</f>
        <v>0</v>
      </c>
    </row>
    <row r="1793">
      <c r="S1793" s="15" t="str">
        <f>IF(J1793="","",J1793&amp;"|"&amp;E1793&amp;"|"&amp;F1793&amp;"|"&amp;I1793&amp;"|"&amp;O1793)</f>
        <v/>
      </c>
      <c r="T1793" s="15" t="str">
        <f>IF(OR(S1793="",D1793&lt;&gt;"Vastgesteld"),"",_xlfn.MAXIFS($G$6:$G$5005,$S$6:$S$5005,S1793,$D$6:$D$5005,"Vastgesteld"))</f>
        <v/>
      </c>
      <c r="U1793" s="15">
        <f>IF(T1793="",0,IF(AND(G1793=T1793,COUNTIFS($S$6:S1793,S1793,$G$6:G1793,G1793,$D$6:D1793,"Vastgesteld")=1),1,0))</f>
        <v>0</v>
      </c>
      <c r="V1793" s="15">
        <f>IF(T1793="",0,IF(AND(G1793=T1793,COUNTIFS($S$6:S1793,S1793,$G$6:G1793,G1793,$D$6:D1793,"Vastgesteld")&gt;1),1,0))</f>
        <v>0</v>
      </c>
    </row>
    <row r="1794">
      <c r="S1794" s="15" t="str">
        <f>IF(J1794="","",J1794&amp;"|"&amp;E1794&amp;"|"&amp;F1794&amp;"|"&amp;I1794&amp;"|"&amp;O1794)</f>
        <v/>
      </c>
      <c r="T1794" s="15" t="str">
        <f>IF(OR(S1794="",D1794&lt;&gt;"Vastgesteld"),"",_xlfn.MAXIFS($G$6:$G$5005,$S$6:$S$5005,S1794,$D$6:$D$5005,"Vastgesteld"))</f>
        <v/>
      </c>
      <c r="U1794" s="15">
        <f>IF(T1794="",0,IF(AND(G1794=T1794,COUNTIFS($S$6:S1794,S1794,$G$6:G1794,G1794,$D$6:D1794,"Vastgesteld")=1),1,0))</f>
        <v>0</v>
      </c>
      <c r="V1794" s="15">
        <f>IF(T1794="",0,IF(AND(G1794=T1794,COUNTIFS($S$6:S1794,S1794,$G$6:G1794,G1794,$D$6:D1794,"Vastgesteld")&gt;1),1,0))</f>
        <v>0</v>
      </c>
    </row>
    <row r="1795">
      <c r="S1795" s="15" t="str">
        <f>IF(J1795="","",J1795&amp;"|"&amp;E1795&amp;"|"&amp;F1795&amp;"|"&amp;I1795&amp;"|"&amp;O1795)</f>
        <v/>
      </c>
      <c r="T1795" s="15" t="str">
        <f>IF(OR(S1795="",D1795&lt;&gt;"Vastgesteld"),"",_xlfn.MAXIFS($G$6:$G$5005,$S$6:$S$5005,S1795,$D$6:$D$5005,"Vastgesteld"))</f>
        <v/>
      </c>
      <c r="U1795" s="15">
        <f>IF(T1795="",0,IF(AND(G1795=T1795,COUNTIFS($S$6:S1795,S1795,$G$6:G1795,G1795,$D$6:D1795,"Vastgesteld")=1),1,0))</f>
        <v>0</v>
      </c>
      <c r="V1795" s="15">
        <f>IF(T1795="",0,IF(AND(G1795=T1795,COUNTIFS($S$6:S1795,S1795,$G$6:G1795,G1795,$D$6:D1795,"Vastgesteld")&gt;1),1,0))</f>
        <v>0</v>
      </c>
    </row>
    <row r="1796">
      <c r="S1796" s="15" t="str">
        <f>IF(J1796="","",J1796&amp;"|"&amp;E1796&amp;"|"&amp;F1796&amp;"|"&amp;I1796&amp;"|"&amp;O1796)</f>
        <v/>
      </c>
      <c r="T1796" s="15" t="str">
        <f>IF(OR(S1796="",D1796&lt;&gt;"Vastgesteld"),"",_xlfn.MAXIFS($G$6:$G$5005,$S$6:$S$5005,S1796,$D$6:$D$5005,"Vastgesteld"))</f>
        <v/>
      </c>
      <c r="U1796" s="15">
        <f>IF(T1796="",0,IF(AND(G1796=T1796,COUNTIFS($S$6:S1796,S1796,$G$6:G1796,G1796,$D$6:D1796,"Vastgesteld")=1),1,0))</f>
        <v>0</v>
      </c>
      <c r="V1796" s="15">
        <f>IF(T1796="",0,IF(AND(G1796=T1796,COUNTIFS($S$6:S1796,S1796,$G$6:G1796,G1796,$D$6:D1796,"Vastgesteld")&gt;1),1,0))</f>
        <v>0</v>
      </c>
    </row>
    <row r="1797">
      <c r="S1797" s="15" t="str">
        <f>IF(J1797="","",J1797&amp;"|"&amp;E1797&amp;"|"&amp;F1797&amp;"|"&amp;I1797&amp;"|"&amp;O1797)</f>
        <v/>
      </c>
      <c r="T1797" s="15" t="str">
        <f>IF(OR(S1797="",D1797&lt;&gt;"Vastgesteld"),"",_xlfn.MAXIFS($G$6:$G$5005,$S$6:$S$5005,S1797,$D$6:$D$5005,"Vastgesteld"))</f>
        <v/>
      </c>
      <c r="U1797" s="15">
        <f>IF(T1797="",0,IF(AND(G1797=T1797,COUNTIFS($S$6:S1797,S1797,$G$6:G1797,G1797,$D$6:D1797,"Vastgesteld")=1),1,0))</f>
        <v>0</v>
      </c>
      <c r="V1797" s="15">
        <f>IF(T1797="",0,IF(AND(G1797=T1797,COUNTIFS($S$6:S1797,S1797,$G$6:G1797,G1797,$D$6:D1797,"Vastgesteld")&gt;1),1,0))</f>
        <v>0</v>
      </c>
    </row>
    <row r="1798">
      <c r="S1798" s="15" t="str">
        <f>IF(J1798="","",J1798&amp;"|"&amp;E1798&amp;"|"&amp;F1798&amp;"|"&amp;I1798&amp;"|"&amp;O1798)</f>
        <v/>
      </c>
      <c r="T1798" s="15" t="str">
        <f>IF(OR(S1798="",D1798&lt;&gt;"Vastgesteld"),"",_xlfn.MAXIFS($G$6:$G$5005,$S$6:$S$5005,S1798,$D$6:$D$5005,"Vastgesteld"))</f>
        <v/>
      </c>
      <c r="U1798" s="15">
        <f>IF(T1798="",0,IF(AND(G1798=T1798,COUNTIFS($S$6:S1798,S1798,$G$6:G1798,G1798,$D$6:D1798,"Vastgesteld")=1),1,0))</f>
        <v>0</v>
      </c>
      <c r="V1798" s="15">
        <f>IF(T1798="",0,IF(AND(G1798=T1798,COUNTIFS($S$6:S1798,S1798,$G$6:G1798,G1798,$D$6:D1798,"Vastgesteld")&gt;1),1,0))</f>
        <v>0</v>
      </c>
    </row>
    <row r="1799">
      <c r="S1799" s="15" t="str">
        <f>IF(J1799="","",J1799&amp;"|"&amp;E1799&amp;"|"&amp;F1799&amp;"|"&amp;I1799&amp;"|"&amp;O1799)</f>
        <v/>
      </c>
      <c r="T1799" s="15" t="str">
        <f>IF(OR(S1799="",D1799&lt;&gt;"Vastgesteld"),"",_xlfn.MAXIFS($G$6:$G$5005,$S$6:$S$5005,S1799,$D$6:$D$5005,"Vastgesteld"))</f>
        <v/>
      </c>
      <c r="U1799" s="15">
        <f>IF(T1799="",0,IF(AND(G1799=T1799,COUNTIFS($S$6:S1799,S1799,$G$6:G1799,G1799,$D$6:D1799,"Vastgesteld")=1),1,0))</f>
        <v>0</v>
      </c>
      <c r="V1799" s="15">
        <f>IF(T1799="",0,IF(AND(G1799=T1799,COUNTIFS($S$6:S1799,S1799,$G$6:G1799,G1799,$D$6:D1799,"Vastgesteld")&gt;1),1,0))</f>
        <v>0</v>
      </c>
    </row>
    <row r="1800">
      <c r="S1800" s="15" t="str">
        <f>IF(J1800="","",J1800&amp;"|"&amp;E1800&amp;"|"&amp;F1800&amp;"|"&amp;I1800&amp;"|"&amp;O1800)</f>
        <v/>
      </c>
      <c r="T1800" s="15" t="str">
        <f>IF(OR(S1800="",D1800&lt;&gt;"Vastgesteld"),"",_xlfn.MAXIFS($G$6:$G$5005,$S$6:$S$5005,S1800,$D$6:$D$5005,"Vastgesteld"))</f>
        <v/>
      </c>
      <c r="U1800" s="15">
        <f>IF(T1800="",0,IF(AND(G1800=T1800,COUNTIFS($S$6:S1800,S1800,$G$6:G1800,G1800,$D$6:D1800,"Vastgesteld")=1),1,0))</f>
        <v>0</v>
      </c>
      <c r="V1800" s="15">
        <f>IF(T1800="",0,IF(AND(G1800=T1800,COUNTIFS($S$6:S1800,S1800,$G$6:G1800,G1800,$D$6:D1800,"Vastgesteld")&gt;1),1,0))</f>
        <v>0</v>
      </c>
    </row>
    <row r="1801">
      <c r="S1801" s="15" t="str">
        <f>IF(J1801="","",J1801&amp;"|"&amp;E1801&amp;"|"&amp;F1801&amp;"|"&amp;I1801&amp;"|"&amp;O1801)</f>
        <v/>
      </c>
      <c r="T1801" s="15" t="str">
        <f>IF(OR(S1801="",D1801&lt;&gt;"Vastgesteld"),"",_xlfn.MAXIFS($G$6:$G$5005,$S$6:$S$5005,S1801,$D$6:$D$5005,"Vastgesteld"))</f>
        <v/>
      </c>
      <c r="U1801" s="15">
        <f>IF(T1801="",0,IF(AND(G1801=T1801,COUNTIFS($S$6:S1801,S1801,$G$6:G1801,G1801,$D$6:D1801,"Vastgesteld")=1),1,0))</f>
        <v>0</v>
      </c>
      <c r="V1801" s="15">
        <f>IF(T1801="",0,IF(AND(G1801=T1801,COUNTIFS($S$6:S1801,S1801,$G$6:G1801,G1801,$D$6:D1801,"Vastgesteld")&gt;1),1,0))</f>
        <v>0</v>
      </c>
    </row>
    <row r="1802">
      <c r="S1802" s="15" t="str">
        <f>IF(J1802="","",J1802&amp;"|"&amp;E1802&amp;"|"&amp;F1802&amp;"|"&amp;I1802&amp;"|"&amp;O1802)</f>
        <v/>
      </c>
      <c r="T1802" s="15" t="str">
        <f>IF(OR(S1802="",D1802&lt;&gt;"Vastgesteld"),"",_xlfn.MAXIFS($G$6:$G$5005,$S$6:$S$5005,S1802,$D$6:$D$5005,"Vastgesteld"))</f>
        <v/>
      </c>
      <c r="U1802" s="15">
        <f>IF(T1802="",0,IF(AND(G1802=T1802,COUNTIFS($S$6:S1802,S1802,$G$6:G1802,G1802,$D$6:D1802,"Vastgesteld")=1),1,0))</f>
        <v>0</v>
      </c>
      <c r="V1802" s="15">
        <f>IF(T1802="",0,IF(AND(G1802=T1802,COUNTIFS($S$6:S1802,S1802,$G$6:G1802,G1802,$D$6:D1802,"Vastgesteld")&gt;1),1,0))</f>
        <v>0</v>
      </c>
    </row>
    <row r="1803">
      <c r="S1803" s="15" t="str">
        <f>IF(J1803="","",J1803&amp;"|"&amp;E1803&amp;"|"&amp;F1803&amp;"|"&amp;I1803&amp;"|"&amp;O1803)</f>
        <v/>
      </c>
      <c r="T1803" s="15" t="str">
        <f>IF(OR(S1803="",D1803&lt;&gt;"Vastgesteld"),"",_xlfn.MAXIFS($G$6:$G$5005,$S$6:$S$5005,S1803,$D$6:$D$5005,"Vastgesteld"))</f>
        <v/>
      </c>
      <c r="U1803" s="15">
        <f>IF(T1803="",0,IF(AND(G1803=T1803,COUNTIFS($S$6:S1803,S1803,$G$6:G1803,G1803,$D$6:D1803,"Vastgesteld")=1),1,0))</f>
        <v>0</v>
      </c>
      <c r="V1803" s="15">
        <f>IF(T1803="",0,IF(AND(G1803=T1803,COUNTIFS($S$6:S1803,S1803,$G$6:G1803,G1803,$D$6:D1803,"Vastgesteld")&gt;1),1,0))</f>
        <v>0</v>
      </c>
    </row>
    <row r="1804">
      <c r="S1804" s="15" t="str">
        <f>IF(J1804="","",J1804&amp;"|"&amp;E1804&amp;"|"&amp;F1804&amp;"|"&amp;I1804&amp;"|"&amp;O1804)</f>
        <v/>
      </c>
      <c r="T1804" s="15" t="str">
        <f>IF(OR(S1804="",D1804&lt;&gt;"Vastgesteld"),"",_xlfn.MAXIFS($G$6:$G$5005,$S$6:$S$5005,S1804,$D$6:$D$5005,"Vastgesteld"))</f>
        <v/>
      </c>
      <c r="U1804" s="15">
        <f>IF(T1804="",0,IF(AND(G1804=T1804,COUNTIFS($S$6:S1804,S1804,$G$6:G1804,G1804,$D$6:D1804,"Vastgesteld")=1),1,0))</f>
        <v>0</v>
      </c>
      <c r="V1804" s="15">
        <f>IF(T1804="",0,IF(AND(G1804=T1804,COUNTIFS($S$6:S1804,S1804,$G$6:G1804,G1804,$D$6:D1804,"Vastgesteld")&gt;1),1,0))</f>
        <v>0</v>
      </c>
    </row>
    <row r="1805">
      <c r="S1805" s="15" t="str">
        <f>IF(J1805="","",J1805&amp;"|"&amp;E1805&amp;"|"&amp;F1805&amp;"|"&amp;I1805&amp;"|"&amp;O1805)</f>
        <v/>
      </c>
      <c r="T1805" s="15" t="str">
        <f>IF(OR(S1805="",D1805&lt;&gt;"Vastgesteld"),"",_xlfn.MAXIFS($G$6:$G$5005,$S$6:$S$5005,S1805,$D$6:$D$5005,"Vastgesteld"))</f>
        <v/>
      </c>
      <c r="U1805" s="15">
        <f>IF(T1805="",0,IF(AND(G1805=T1805,COUNTIFS($S$6:S1805,S1805,$G$6:G1805,G1805,$D$6:D1805,"Vastgesteld")=1),1,0))</f>
        <v>0</v>
      </c>
      <c r="V1805" s="15">
        <f>IF(T1805="",0,IF(AND(G1805=T1805,COUNTIFS($S$6:S1805,S1805,$G$6:G1805,G1805,$D$6:D1805,"Vastgesteld")&gt;1),1,0))</f>
        <v>0</v>
      </c>
    </row>
    <row r="1806">
      <c r="S1806" s="15" t="str">
        <f>IF(J1806="","",J1806&amp;"|"&amp;E1806&amp;"|"&amp;F1806&amp;"|"&amp;I1806&amp;"|"&amp;O1806)</f>
        <v/>
      </c>
      <c r="T1806" s="15" t="str">
        <f>IF(OR(S1806="",D1806&lt;&gt;"Vastgesteld"),"",_xlfn.MAXIFS($G$6:$G$5005,$S$6:$S$5005,S1806,$D$6:$D$5005,"Vastgesteld"))</f>
        <v/>
      </c>
      <c r="U1806" s="15">
        <f>IF(T1806="",0,IF(AND(G1806=T1806,COUNTIFS($S$6:S1806,S1806,$G$6:G1806,G1806,$D$6:D1806,"Vastgesteld")=1),1,0))</f>
        <v>0</v>
      </c>
      <c r="V1806" s="15">
        <f>IF(T1806="",0,IF(AND(G1806=T1806,COUNTIFS($S$6:S1806,S1806,$G$6:G1806,G1806,$D$6:D1806,"Vastgesteld")&gt;1),1,0))</f>
        <v>0</v>
      </c>
    </row>
    <row r="1807">
      <c r="S1807" s="15" t="str">
        <f>IF(J1807="","",J1807&amp;"|"&amp;E1807&amp;"|"&amp;F1807&amp;"|"&amp;I1807&amp;"|"&amp;O1807)</f>
        <v/>
      </c>
      <c r="T1807" s="15" t="str">
        <f>IF(OR(S1807="",D1807&lt;&gt;"Vastgesteld"),"",_xlfn.MAXIFS($G$6:$G$5005,$S$6:$S$5005,S1807,$D$6:$D$5005,"Vastgesteld"))</f>
        <v/>
      </c>
      <c r="U1807" s="15">
        <f>IF(T1807="",0,IF(AND(G1807=T1807,COUNTIFS($S$6:S1807,S1807,$G$6:G1807,G1807,$D$6:D1807,"Vastgesteld")=1),1,0))</f>
        <v>0</v>
      </c>
      <c r="V1807" s="15">
        <f>IF(T1807="",0,IF(AND(G1807=T1807,COUNTIFS($S$6:S1807,S1807,$G$6:G1807,G1807,$D$6:D1807,"Vastgesteld")&gt;1),1,0))</f>
        <v>0</v>
      </c>
    </row>
    <row r="1808">
      <c r="S1808" s="15" t="str">
        <f>IF(J1808="","",J1808&amp;"|"&amp;E1808&amp;"|"&amp;F1808&amp;"|"&amp;I1808&amp;"|"&amp;O1808)</f>
        <v/>
      </c>
      <c r="T1808" s="15" t="str">
        <f>IF(OR(S1808="",D1808&lt;&gt;"Vastgesteld"),"",_xlfn.MAXIFS($G$6:$G$5005,$S$6:$S$5005,S1808,$D$6:$D$5005,"Vastgesteld"))</f>
        <v/>
      </c>
      <c r="U1808" s="15">
        <f>IF(T1808="",0,IF(AND(G1808=T1808,COUNTIFS($S$6:S1808,S1808,$G$6:G1808,G1808,$D$6:D1808,"Vastgesteld")=1),1,0))</f>
        <v>0</v>
      </c>
      <c r="V1808" s="15">
        <f>IF(T1808="",0,IF(AND(G1808=T1808,COUNTIFS($S$6:S1808,S1808,$G$6:G1808,G1808,$D$6:D1808,"Vastgesteld")&gt;1),1,0))</f>
        <v>0</v>
      </c>
    </row>
    <row r="1809">
      <c r="S1809" s="15" t="str">
        <f>IF(J1809="","",J1809&amp;"|"&amp;E1809&amp;"|"&amp;F1809&amp;"|"&amp;I1809&amp;"|"&amp;O1809)</f>
        <v/>
      </c>
      <c r="T1809" s="15" t="str">
        <f>IF(OR(S1809="",D1809&lt;&gt;"Vastgesteld"),"",_xlfn.MAXIFS($G$6:$G$5005,$S$6:$S$5005,S1809,$D$6:$D$5005,"Vastgesteld"))</f>
        <v/>
      </c>
      <c r="U1809" s="15">
        <f>IF(T1809="",0,IF(AND(G1809=T1809,COUNTIFS($S$6:S1809,S1809,$G$6:G1809,G1809,$D$6:D1809,"Vastgesteld")=1),1,0))</f>
        <v>0</v>
      </c>
      <c r="V1809" s="15">
        <f>IF(T1809="",0,IF(AND(G1809=T1809,COUNTIFS($S$6:S1809,S1809,$G$6:G1809,G1809,$D$6:D1809,"Vastgesteld")&gt;1),1,0))</f>
        <v>0</v>
      </c>
    </row>
    <row r="1810">
      <c r="S1810" s="15" t="str">
        <f>IF(J1810="","",J1810&amp;"|"&amp;E1810&amp;"|"&amp;F1810&amp;"|"&amp;I1810&amp;"|"&amp;O1810)</f>
        <v/>
      </c>
      <c r="T1810" s="15" t="str">
        <f>IF(OR(S1810="",D1810&lt;&gt;"Vastgesteld"),"",_xlfn.MAXIFS($G$6:$G$5005,$S$6:$S$5005,S1810,$D$6:$D$5005,"Vastgesteld"))</f>
        <v/>
      </c>
      <c r="U1810" s="15">
        <f>IF(T1810="",0,IF(AND(G1810=T1810,COUNTIFS($S$6:S1810,S1810,$G$6:G1810,G1810,$D$6:D1810,"Vastgesteld")=1),1,0))</f>
        <v>0</v>
      </c>
      <c r="V1810" s="15">
        <f>IF(T1810="",0,IF(AND(G1810=T1810,COUNTIFS($S$6:S1810,S1810,$G$6:G1810,G1810,$D$6:D1810,"Vastgesteld")&gt;1),1,0))</f>
        <v>0</v>
      </c>
    </row>
    <row r="1811">
      <c r="S1811" s="15" t="str">
        <f>IF(J1811="","",J1811&amp;"|"&amp;E1811&amp;"|"&amp;F1811&amp;"|"&amp;I1811&amp;"|"&amp;O1811)</f>
        <v/>
      </c>
      <c r="T1811" s="15" t="str">
        <f>IF(OR(S1811="",D1811&lt;&gt;"Vastgesteld"),"",_xlfn.MAXIFS($G$6:$G$5005,$S$6:$S$5005,S1811,$D$6:$D$5005,"Vastgesteld"))</f>
        <v/>
      </c>
      <c r="U1811" s="15">
        <f>IF(T1811="",0,IF(AND(G1811=T1811,COUNTIFS($S$6:S1811,S1811,$G$6:G1811,G1811,$D$6:D1811,"Vastgesteld")=1),1,0))</f>
        <v>0</v>
      </c>
      <c r="V1811" s="15">
        <f>IF(T1811="",0,IF(AND(G1811=T1811,COUNTIFS($S$6:S1811,S1811,$G$6:G1811,G1811,$D$6:D1811,"Vastgesteld")&gt;1),1,0))</f>
        <v>0</v>
      </c>
    </row>
    <row r="1812">
      <c r="S1812" s="15" t="str">
        <f>IF(J1812="","",J1812&amp;"|"&amp;E1812&amp;"|"&amp;F1812&amp;"|"&amp;I1812&amp;"|"&amp;O1812)</f>
        <v/>
      </c>
      <c r="T1812" s="15" t="str">
        <f>IF(OR(S1812="",D1812&lt;&gt;"Vastgesteld"),"",_xlfn.MAXIFS($G$6:$G$5005,$S$6:$S$5005,S1812,$D$6:$D$5005,"Vastgesteld"))</f>
        <v/>
      </c>
      <c r="U1812" s="15">
        <f>IF(T1812="",0,IF(AND(G1812=T1812,COUNTIFS($S$6:S1812,S1812,$G$6:G1812,G1812,$D$6:D1812,"Vastgesteld")=1),1,0))</f>
        <v>0</v>
      </c>
      <c r="V1812" s="15">
        <f>IF(T1812="",0,IF(AND(G1812=T1812,COUNTIFS($S$6:S1812,S1812,$G$6:G1812,G1812,$D$6:D1812,"Vastgesteld")&gt;1),1,0))</f>
        <v>0</v>
      </c>
    </row>
    <row r="1813">
      <c r="S1813" s="15" t="str">
        <f>IF(J1813="","",J1813&amp;"|"&amp;E1813&amp;"|"&amp;F1813&amp;"|"&amp;I1813&amp;"|"&amp;O1813)</f>
        <v/>
      </c>
      <c r="T1813" s="15" t="str">
        <f>IF(OR(S1813="",D1813&lt;&gt;"Vastgesteld"),"",_xlfn.MAXIFS($G$6:$G$5005,$S$6:$S$5005,S1813,$D$6:$D$5005,"Vastgesteld"))</f>
        <v/>
      </c>
      <c r="U1813" s="15">
        <f>IF(T1813="",0,IF(AND(G1813=T1813,COUNTIFS($S$6:S1813,S1813,$G$6:G1813,G1813,$D$6:D1813,"Vastgesteld")=1),1,0))</f>
        <v>0</v>
      </c>
      <c r="V1813" s="15">
        <f>IF(T1813="",0,IF(AND(G1813=T1813,COUNTIFS($S$6:S1813,S1813,$G$6:G1813,G1813,$D$6:D1813,"Vastgesteld")&gt;1),1,0))</f>
        <v>0</v>
      </c>
    </row>
    <row r="1814">
      <c r="S1814" s="15" t="str">
        <f>IF(J1814="","",J1814&amp;"|"&amp;E1814&amp;"|"&amp;F1814&amp;"|"&amp;I1814&amp;"|"&amp;O1814)</f>
        <v/>
      </c>
      <c r="T1814" s="15" t="str">
        <f>IF(OR(S1814="",D1814&lt;&gt;"Vastgesteld"),"",_xlfn.MAXIFS($G$6:$G$5005,$S$6:$S$5005,S1814,$D$6:$D$5005,"Vastgesteld"))</f>
        <v/>
      </c>
      <c r="U1814" s="15">
        <f>IF(T1814="",0,IF(AND(G1814=T1814,COUNTIFS($S$6:S1814,S1814,$G$6:G1814,G1814,$D$6:D1814,"Vastgesteld")=1),1,0))</f>
        <v>0</v>
      </c>
      <c r="V1814" s="15">
        <f>IF(T1814="",0,IF(AND(G1814=T1814,COUNTIFS($S$6:S1814,S1814,$G$6:G1814,G1814,$D$6:D1814,"Vastgesteld")&gt;1),1,0))</f>
        <v>0</v>
      </c>
    </row>
    <row r="1815">
      <c r="S1815" s="15" t="str">
        <f>IF(J1815="","",J1815&amp;"|"&amp;E1815&amp;"|"&amp;F1815&amp;"|"&amp;I1815&amp;"|"&amp;O1815)</f>
        <v/>
      </c>
      <c r="T1815" s="15" t="str">
        <f>IF(OR(S1815="",D1815&lt;&gt;"Vastgesteld"),"",_xlfn.MAXIFS($G$6:$G$5005,$S$6:$S$5005,S1815,$D$6:$D$5005,"Vastgesteld"))</f>
        <v/>
      </c>
      <c r="U1815" s="15">
        <f>IF(T1815="",0,IF(AND(G1815=T1815,COUNTIFS($S$6:S1815,S1815,$G$6:G1815,G1815,$D$6:D1815,"Vastgesteld")=1),1,0))</f>
        <v>0</v>
      </c>
      <c r="V1815" s="15">
        <f>IF(T1815="",0,IF(AND(G1815=T1815,COUNTIFS($S$6:S1815,S1815,$G$6:G1815,G1815,$D$6:D1815,"Vastgesteld")&gt;1),1,0))</f>
        <v>0</v>
      </c>
    </row>
    <row r="1816">
      <c r="S1816" s="15" t="str">
        <f>IF(J1816="","",J1816&amp;"|"&amp;E1816&amp;"|"&amp;F1816&amp;"|"&amp;I1816&amp;"|"&amp;O1816)</f>
        <v/>
      </c>
      <c r="T1816" s="15" t="str">
        <f>IF(OR(S1816="",D1816&lt;&gt;"Vastgesteld"),"",_xlfn.MAXIFS($G$6:$G$5005,$S$6:$S$5005,S1816,$D$6:$D$5005,"Vastgesteld"))</f>
        <v/>
      </c>
      <c r="U1816" s="15">
        <f>IF(T1816="",0,IF(AND(G1816=T1816,COUNTIFS($S$6:S1816,S1816,$G$6:G1816,G1816,$D$6:D1816,"Vastgesteld")=1),1,0))</f>
        <v>0</v>
      </c>
      <c r="V1816" s="15">
        <f>IF(T1816="",0,IF(AND(G1816=T1816,COUNTIFS($S$6:S1816,S1816,$G$6:G1816,G1816,$D$6:D1816,"Vastgesteld")&gt;1),1,0))</f>
        <v>0</v>
      </c>
    </row>
    <row r="1817">
      <c r="S1817" s="15" t="str">
        <f>IF(J1817="","",J1817&amp;"|"&amp;E1817&amp;"|"&amp;F1817&amp;"|"&amp;I1817&amp;"|"&amp;O1817)</f>
        <v/>
      </c>
      <c r="T1817" s="15" t="str">
        <f>IF(OR(S1817="",D1817&lt;&gt;"Vastgesteld"),"",_xlfn.MAXIFS($G$6:$G$5005,$S$6:$S$5005,S1817,$D$6:$D$5005,"Vastgesteld"))</f>
        <v/>
      </c>
      <c r="U1817" s="15">
        <f>IF(T1817="",0,IF(AND(G1817=T1817,COUNTIFS($S$6:S1817,S1817,$G$6:G1817,G1817,$D$6:D1817,"Vastgesteld")=1),1,0))</f>
        <v>0</v>
      </c>
      <c r="V1817" s="15">
        <f>IF(T1817="",0,IF(AND(G1817=T1817,COUNTIFS($S$6:S1817,S1817,$G$6:G1817,G1817,$D$6:D1817,"Vastgesteld")&gt;1),1,0))</f>
        <v>0</v>
      </c>
    </row>
    <row r="1818">
      <c r="S1818" s="15" t="str">
        <f>IF(J1818="","",J1818&amp;"|"&amp;E1818&amp;"|"&amp;F1818&amp;"|"&amp;I1818&amp;"|"&amp;O1818)</f>
        <v/>
      </c>
      <c r="T1818" s="15" t="str">
        <f>IF(OR(S1818="",D1818&lt;&gt;"Vastgesteld"),"",_xlfn.MAXIFS($G$6:$G$5005,$S$6:$S$5005,S1818,$D$6:$D$5005,"Vastgesteld"))</f>
        <v/>
      </c>
      <c r="U1818" s="15">
        <f>IF(T1818="",0,IF(AND(G1818=T1818,COUNTIFS($S$6:S1818,S1818,$G$6:G1818,G1818,$D$6:D1818,"Vastgesteld")=1),1,0))</f>
        <v>0</v>
      </c>
      <c r="V1818" s="15">
        <f>IF(T1818="",0,IF(AND(G1818=T1818,COUNTIFS($S$6:S1818,S1818,$G$6:G1818,G1818,$D$6:D1818,"Vastgesteld")&gt;1),1,0))</f>
        <v>0</v>
      </c>
    </row>
    <row r="1819">
      <c r="S1819" s="15" t="str">
        <f>IF(J1819="","",J1819&amp;"|"&amp;E1819&amp;"|"&amp;F1819&amp;"|"&amp;I1819&amp;"|"&amp;O1819)</f>
        <v/>
      </c>
      <c r="T1819" s="15" t="str">
        <f>IF(OR(S1819="",D1819&lt;&gt;"Vastgesteld"),"",_xlfn.MAXIFS($G$6:$G$5005,$S$6:$S$5005,S1819,$D$6:$D$5005,"Vastgesteld"))</f>
        <v/>
      </c>
      <c r="U1819" s="15">
        <f>IF(T1819="",0,IF(AND(G1819=T1819,COUNTIFS($S$6:S1819,S1819,$G$6:G1819,G1819,$D$6:D1819,"Vastgesteld")=1),1,0))</f>
        <v>0</v>
      </c>
      <c r="V1819" s="15">
        <f>IF(T1819="",0,IF(AND(G1819=T1819,COUNTIFS($S$6:S1819,S1819,$G$6:G1819,G1819,$D$6:D1819,"Vastgesteld")&gt;1),1,0))</f>
        <v>0</v>
      </c>
    </row>
    <row r="1820">
      <c r="S1820" s="15" t="str">
        <f>IF(J1820="","",J1820&amp;"|"&amp;E1820&amp;"|"&amp;F1820&amp;"|"&amp;I1820&amp;"|"&amp;O1820)</f>
        <v/>
      </c>
      <c r="T1820" s="15" t="str">
        <f>IF(OR(S1820="",D1820&lt;&gt;"Vastgesteld"),"",_xlfn.MAXIFS($G$6:$G$5005,$S$6:$S$5005,S1820,$D$6:$D$5005,"Vastgesteld"))</f>
        <v/>
      </c>
      <c r="U1820" s="15">
        <f>IF(T1820="",0,IF(AND(G1820=T1820,COUNTIFS($S$6:S1820,S1820,$G$6:G1820,G1820,$D$6:D1820,"Vastgesteld")=1),1,0))</f>
        <v>0</v>
      </c>
      <c r="V1820" s="15">
        <f>IF(T1820="",0,IF(AND(G1820=T1820,COUNTIFS($S$6:S1820,S1820,$G$6:G1820,G1820,$D$6:D1820,"Vastgesteld")&gt;1),1,0))</f>
        <v>0</v>
      </c>
    </row>
    <row r="1821">
      <c r="S1821" s="15" t="str">
        <f>IF(J1821="","",J1821&amp;"|"&amp;E1821&amp;"|"&amp;F1821&amp;"|"&amp;I1821&amp;"|"&amp;O1821)</f>
        <v/>
      </c>
      <c r="T1821" s="15" t="str">
        <f>IF(OR(S1821="",D1821&lt;&gt;"Vastgesteld"),"",_xlfn.MAXIFS($G$6:$G$5005,$S$6:$S$5005,S1821,$D$6:$D$5005,"Vastgesteld"))</f>
        <v/>
      </c>
      <c r="U1821" s="15">
        <f>IF(T1821="",0,IF(AND(G1821=T1821,COUNTIFS($S$6:S1821,S1821,$G$6:G1821,G1821,$D$6:D1821,"Vastgesteld")=1),1,0))</f>
        <v>0</v>
      </c>
      <c r="V1821" s="15">
        <f>IF(T1821="",0,IF(AND(G1821=T1821,COUNTIFS($S$6:S1821,S1821,$G$6:G1821,G1821,$D$6:D1821,"Vastgesteld")&gt;1),1,0))</f>
        <v>0</v>
      </c>
    </row>
    <row r="1822">
      <c r="S1822" s="15" t="str">
        <f>IF(J1822="","",J1822&amp;"|"&amp;E1822&amp;"|"&amp;F1822&amp;"|"&amp;I1822&amp;"|"&amp;O1822)</f>
        <v/>
      </c>
      <c r="T1822" s="15" t="str">
        <f>IF(OR(S1822="",D1822&lt;&gt;"Vastgesteld"),"",_xlfn.MAXIFS($G$6:$G$5005,$S$6:$S$5005,S1822,$D$6:$D$5005,"Vastgesteld"))</f>
        <v/>
      </c>
      <c r="U1822" s="15">
        <f>IF(T1822="",0,IF(AND(G1822=T1822,COUNTIFS($S$6:S1822,S1822,$G$6:G1822,G1822,$D$6:D1822,"Vastgesteld")=1),1,0))</f>
        <v>0</v>
      </c>
      <c r="V1822" s="15">
        <f>IF(T1822="",0,IF(AND(G1822=T1822,COUNTIFS($S$6:S1822,S1822,$G$6:G1822,G1822,$D$6:D1822,"Vastgesteld")&gt;1),1,0))</f>
        <v>0</v>
      </c>
    </row>
    <row r="1823">
      <c r="S1823" s="15" t="str">
        <f>IF(J1823="","",J1823&amp;"|"&amp;E1823&amp;"|"&amp;F1823&amp;"|"&amp;I1823&amp;"|"&amp;O1823)</f>
        <v/>
      </c>
      <c r="T1823" s="15" t="str">
        <f>IF(OR(S1823="",D1823&lt;&gt;"Vastgesteld"),"",_xlfn.MAXIFS($G$6:$G$5005,$S$6:$S$5005,S1823,$D$6:$D$5005,"Vastgesteld"))</f>
        <v/>
      </c>
      <c r="U1823" s="15">
        <f>IF(T1823="",0,IF(AND(G1823=T1823,COUNTIFS($S$6:S1823,S1823,$G$6:G1823,G1823,$D$6:D1823,"Vastgesteld")=1),1,0))</f>
        <v>0</v>
      </c>
      <c r="V1823" s="15">
        <f>IF(T1823="",0,IF(AND(G1823=T1823,COUNTIFS($S$6:S1823,S1823,$G$6:G1823,G1823,$D$6:D1823,"Vastgesteld")&gt;1),1,0))</f>
        <v>0</v>
      </c>
    </row>
    <row r="1824">
      <c r="S1824" s="15" t="str">
        <f>IF(J1824="","",J1824&amp;"|"&amp;E1824&amp;"|"&amp;F1824&amp;"|"&amp;I1824&amp;"|"&amp;O1824)</f>
        <v/>
      </c>
      <c r="T1824" s="15" t="str">
        <f>IF(OR(S1824="",D1824&lt;&gt;"Vastgesteld"),"",_xlfn.MAXIFS($G$6:$G$5005,$S$6:$S$5005,S1824,$D$6:$D$5005,"Vastgesteld"))</f>
        <v/>
      </c>
      <c r="U1824" s="15">
        <f>IF(T1824="",0,IF(AND(G1824=T1824,COUNTIFS($S$6:S1824,S1824,$G$6:G1824,G1824,$D$6:D1824,"Vastgesteld")=1),1,0))</f>
        <v>0</v>
      </c>
      <c r="V1824" s="15">
        <f>IF(T1824="",0,IF(AND(G1824=T1824,COUNTIFS($S$6:S1824,S1824,$G$6:G1824,G1824,$D$6:D1824,"Vastgesteld")&gt;1),1,0))</f>
        <v>0</v>
      </c>
    </row>
    <row r="1825">
      <c r="S1825" s="15" t="str">
        <f>IF(J1825="","",J1825&amp;"|"&amp;E1825&amp;"|"&amp;F1825&amp;"|"&amp;I1825&amp;"|"&amp;O1825)</f>
        <v/>
      </c>
      <c r="T1825" s="15" t="str">
        <f>IF(OR(S1825="",D1825&lt;&gt;"Vastgesteld"),"",_xlfn.MAXIFS($G$6:$G$5005,$S$6:$S$5005,S1825,$D$6:$D$5005,"Vastgesteld"))</f>
        <v/>
      </c>
      <c r="U1825" s="15">
        <f>IF(T1825="",0,IF(AND(G1825=T1825,COUNTIFS($S$6:S1825,S1825,$G$6:G1825,G1825,$D$6:D1825,"Vastgesteld")=1),1,0))</f>
        <v>0</v>
      </c>
      <c r="V1825" s="15">
        <f>IF(T1825="",0,IF(AND(G1825=T1825,COUNTIFS($S$6:S1825,S1825,$G$6:G1825,G1825,$D$6:D1825,"Vastgesteld")&gt;1),1,0))</f>
        <v>0</v>
      </c>
    </row>
    <row r="1826">
      <c r="S1826" s="15" t="str">
        <f>IF(J1826="","",J1826&amp;"|"&amp;E1826&amp;"|"&amp;F1826&amp;"|"&amp;I1826&amp;"|"&amp;O1826)</f>
        <v/>
      </c>
      <c r="T1826" s="15" t="str">
        <f>IF(OR(S1826="",D1826&lt;&gt;"Vastgesteld"),"",_xlfn.MAXIFS($G$6:$G$5005,$S$6:$S$5005,S1826,$D$6:$D$5005,"Vastgesteld"))</f>
        <v/>
      </c>
      <c r="U1826" s="15">
        <f>IF(T1826="",0,IF(AND(G1826=T1826,COUNTIFS($S$6:S1826,S1826,$G$6:G1826,G1826,$D$6:D1826,"Vastgesteld")=1),1,0))</f>
        <v>0</v>
      </c>
      <c r="V1826" s="15">
        <f>IF(T1826="",0,IF(AND(G1826=T1826,COUNTIFS($S$6:S1826,S1826,$G$6:G1826,G1826,$D$6:D1826,"Vastgesteld")&gt;1),1,0))</f>
        <v>0</v>
      </c>
    </row>
    <row r="1827">
      <c r="S1827" s="15" t="str">
        <f>IF(J1827="","",J1827&amp;"|"&amp;E1827&amp;"|"&amp;F1827&amp;"|"&amp;I1827&amp;"|"&amp;O1827)</f>
        <v/>
      </c>
      <c r="T1827" s="15" t="str">
        <f>IF(OR(S1827="",D1827&lt;&gt;"Vastgesteld"),"",_xlfn.MAXIFS($G$6:$G$5005,$S$6:$S$5005,S1827,$D$6:$D$5005,"Vastgesteld"))</f>
        <v/>
      </c>
      <c r="U1827" s="15">
        <f>IF(T1827="",0,IF(AND(G1827=T1827,COUNTIFS($S$6:S1827,S1827,$G$6:G1827,G1827,$D$6:D1827,"Vastgesteld")=1),1,0))</f>
        <v>0</v>
      </c>
      <c r="V1827" s="15">
        <f>IF(T1827="",0,IF(AND(G1827=T1827,COUNTIFS($S$6:S1827,S1827,$G$6:G1827,G1827,$D$6:D1827,"Vastgesteld")&gt;1),1,0))</f>
        <v>0</v>
      </c>
    </row>
    <row r="1828">
      <c r="S1828" s="15" t="str">
        <f>IF(J1828="","",J1828&amp;"|"&amp;E1828&amp;"|"&amp;F1828&amp;"|"&amp;I1828&amp;"|"&amp;O1828)</f>
        <v/>
      </c>
      <c r="T1828" s="15" t="str">
        <f>IF(OR(S1828="",D1828&lt;&gt;"Vastgesteld"),"",_xlfn.MAXIFS($G$6:$G$5005,$S$6:$S$5005,S1828,$D$6:$D$5005,"Vastgesteld"))</f>
        <v/>
      </c>
      <c r="U1828" s="15">
        <f>IF(T1828="",0,IF(AND(G1828=T1828,COUNTIFS($S$6:S1828,S1828,$G$6:G1828,G1828,$D$6:D1828,"Vastgesteld")=1),1,0))</f>
        <v>0</v>
      </c>
      <c r="V1828" s="15">
        <f>IF(T1828="",0,IF(AND(G1828=T1828,COUNTIFS($S$6:S1828,S1828,$G$6:G1828,G1828,$D$6:D1828,"Vastgesteld")&gt;1),1,0))</f>
        <v>0</v>
      </c>
    </row>
    <row r="1829">
      <c r="S1829" s="15" t="str">
        <f>IF(J1829="","",J1829&amp;"|"&amp;E1829&amp;"|"&amp;F1829&amp;"|"&amp;I1829&amp;"|"&amp;O1829)</f>
        <v/>
      </c>
      <c r="T1829" s="15" t="str">
        <f>IF(OR(S1829="",D1829&lt;&gt;"Vastgesteld"),"",_xlfn.MAXIFS($G$6:$G$5005,$S$6:$S$5005,S1829,$D$6:$D$5005,"Vastgesteld"))</f>
        <v/>
      </c>
      <c r="U1829" s="15">
        <f>IF(T1829="",0,IF(AND(G1829=T1829,COUNTIFS($S$6:S1829,S1829,$G$6:G1829,G1829,$D$6:D1829,"Vastgesteld")=1),1,0))</f>
        <v>0</v>
      </c>
      <c r="V1829" s="15">
        <f>IF(T1829="",0,IF(AND(G1829=T1829,COUNTIFS($S$6:S1829,S1829,$G$6:G1829,G1829,$D$6:D1829,"Vastgesteld")&gt;1),1,0))</f>
        <v>0</v>
      </c>
    </row>
    <row r="1830">
      <c r="S1830" s="15" t="str">
        <f>IF(J1830="","",J1830&amp;"|"&amp;E1830&amp;"|"&amp;F1830&amp;"|"&amp;I1830&amp;"|"&amp;O1830)</f>
        <v/>
      </c>
      <c r="T1830" s="15" t="str">
        <f>IF(OR(S1830="",D1830&lt;&gt;"Vastgesteld"),"",_xlfn.MAXIFS($G$6:$G$5005,$S$6:$S$5005,S1830,$D$6:$D$5005,"Vastgesteld"))</f>
        <v/>
      </c>
      <c r="U1830" s="15">
        <f>IF(T1830="",0,IF(AND(G1830=T1830,COUNTIFS($S$6:S1830,S1830,$G$6:G1830,G1830,$D$6:D1830,"Vastgesteld")=1),1,0))</f>
        <v>0</v>
      </c>
      <c r="V1830" s="15">
        <f>IF(T1830="",0,IF(AND(G1830=T1830,COUNTIFS($S$6:S1830,S1830,$G$6:G1830,G1830,$D$6:D1830,"Vastgesteld")&gt;1),1,0))</f>
        <v>0</v>
      </c>
    </row>
    <row r="1831">
      <c r="S1831" s="15" t="str">
        <f>IF(J1831="","",J1831&amp;"|"&amp;E1831&amp;"|"&amp;F1831&amp;"|"&amp;I1831&amp;"|"&amp;O1831)</f>
        <v/>
      </c>
      <c r="T1831" s="15" t="str">
        <f>IF(OR(S1831="",D1831&lt;&gt;"Vastgesteld"),"",_xlfn.MAXIFS($G$6:$G$5005,$S$6:$S$5005,S1831,$D$6:$D$5005,"Vastgesteld"))</f>
        <v/>
      </c>
      <c r="U1831" s="15">
        <f>IF(T1831="",0,IF(AND(G1831=T1831,COUNTIFS($S$6:S1831,S1831,$G$6:G1831,G1831,$D$6:D1831,"Vastgesteld")=1),1,0))</f>
        <v>0</v>
      </c>
      <c r="V1831" s="15">
        <f>IF(T1831="",0,IF(AND(G1831=T1831,COUNTIFS($S$6:S1831,S1831,$G$6:G1831,G1831,$D$6:D1831,"Vastgesteld")&gt;1),1,0))</f>
        <v>0</v>
      </c>
    </row>
    <row r="1832">
      <c r="S1832" s="15" t="str">
        <f>IF(J1832="","",J1832&amp;"|"&amp;E1832&amp;"|"&amp;F1832&amp;"|"&amp;I1832&amp;"|"&amp;O1832)</f>
        <v/>
      </c>
      <c r="T1832" s="15" t="str">
        <f>IF(OR(S1832="",D1832&lt;&gt;"Vastgesteld"),"",_xlfn.MAXIFS($G$6:$G$5005,$S$6:$S$5005,S1832,$D$6:$D$5005,"Vastgesteld"))</f>
        <v/>
      </c>
      <c r="U1832" s="15">
        <f>IF(T1832="",0,IF(AND(G1832=T1832,COUNTIFS($S$6:S1832,S1832,$G$6:G1832,G1832,$D$6:D1832,"Vastgesteld")=1),1,0))</f>
        <v>0</v>
      </c>
      <c r="V1832" s="15">
        <f>IF(T1832="",0,IF(AND(G1832=T1832,COUNTIFS($S$6:S1832,S1832,$G$6:G1832,G1832,$D$6:D1832,"Vastgesteld")&gt;1),1,0))</f>
        <v>0</v>
      </c>
    </row>
    <row r="1833">
      <c r="S1833" s="15" t="str">
        <f>IF(J1833="","",J1833&amp;"|"&amp;E1833&amp;"|"&amp;F1833&amp;"|"&amp;I1833&amp;"|"&amp;O1833)</f>
        <v/>
      </c>
      <c r="T1833" s="15" t="str">
        <f>IF(OR(S1833="",D1833&lt;&gt;"Vastgesteld"),"",_xlfn.MAXIFS($G$6:$G$5005,$S$6:$S$5005,S1833,$D$6:$D$5005,"Vastgesteld"))</f>
        <v/>
      </c>
      <c r="U1833" s="15">
        <f>IF(T1833="",0,IF(AND(G1833=T1833,COUNTIFS($S$6:S1833,S1833,$G$6:G1833,G1833,$D$6:D1833,"Vastgesteld")=1),1,0))</f>
        <v>0</v>
      </c>
      <c r="V1833" s="15">
        <f>IF(T1833="",0,IF(AND(G1833=T1833,COUNTIFS($S$6:S1833,S1833,$G$6:G1833,G1833,$D$6:D1833,"Vastgesteld")&gt;1),1,0))</f>
        <v>0</v>
      </c>
    </row>
    <row r="1834">
      <c r="S1834" s="15" t="str">
        <f>IF(J1834="","",J1834&amp;"|"&amp;E1834&amp;"|"&amp;F1834&amp;"|"&amp;I1834&amp;"|"&amp;O1834)</f>
        <v/>
      </c>
      <c r="T1834" s="15" t="str">
        <f>IF(OR(S1834="",D1834&lt;&gt;"Vastgesteld"),"",_xlfn.MAXIFS($G$6:$G$5005,$S$6:$S$5005,S1834,$D$6:$D$5005,"Vastgesteld"))</f>
        <v/>
      </c>
      <c r="U1834" s="15">
        <f>IF(T1834="",0,IF(AND(G1834=T1834,COUNTIFS($S$6:S1834,S1834,$G$6:G1834,G1834,$D$6:D1834,"Vastgesteld")=1),1,0))</f>
        <v>0</v>
      </c>
      <c r="V1834" s="15">
        <f>IF(T1834="",0,IF(AND(G1834=T1834,COUNTIFS($S$6:S1834,S1834,$G$6:G1834,G1834,$D$6:D1834,"Vastgesteld")&gt;1),1,0))</f>
        <v>0</v>
      </c>
    </row>
    <row r="1835">
      <c r="S1835" s="15" t="str">
        <f>IF(J1835="","",J1835&amp;"|"&amp;E1835&amp;"|"&amp;F1835&amp;"|"&amp;I1835&amp;"|"&amp;O1835)</f>
        <v/>
      </c>
      <c r="T1835" s="15" t="str">
        <f>IF(OR(S1835="",D1835&lt;&gt;"Vastgesteld"),"",_xlfn.MAXIFS($G$6:$G$5005,$S$6:$S$5005,S1835,$D$6:$D$5005,"Vastgesteld"))</f>
        <v/>
      </c>
      <c r="U1835" s="15">
        <f>IF(T1835="",0,IF(AND(G1835=T1835,COUNTIFS($S$6:S1835,S1835,$G$6:G1835,G1835,$D$6:D1835,"Vastgesteld")=1),1,0))</f>
        <v>0</v>
      </c>
      <c r="V1835" s="15">
        <f>IF(T1835="",0,IF(AND(G1835=T1835,COUNTIFS($S$6:S1835,S1835,$G$6:G1835,G1835,$D$6:D1835,"Vastgesteld")&gt;1),1,0))</f>
        <v>0</v>
      </c>
    </row>
    <row r="1836">
      <c r="S1836" s="15" t="str">
        <f>IF(J1836="","",J1836&amp;"|"&amp;E1836&amp;"|"&amp;F1836&amp;"|"&amp;I1836&amp;"|"&amp;O1836)</f>
        <v/>
      </c>
      <c r="T1836" s="15" t="str">
        <f>IF(OR(S1836="",D1836&lt;&gt;"Vastgesteld"),"",_xlfn.MAXIFS($G$6:$G$5005,$S$6:$S$5005,S1836,$D$6:$D$5005,"Vastgesteld"))</f>
        <v/>
      </c>
      <c r="U1836" s="15">
        <f>IF(T1836="",0,IF(AND(G1836=T1836,COUNTIFS($S$6:S1836,S1836,$G$6:G1836,G1836,$D$6:D1836,"Vastgesteld")=1),1,0))</f>
        <v>0</v>
      </c>
      <c r="V1836" s="15">
        <f>IF(T1836="",0,IF(AND(G1836=T1836,COUNTIFS($S$6:S1836,S1836,$G$6:G1836,G1836,$D$6:D1836,"Vastgesteld")&gt;1),1,0))</f>
        <v>0</v>
      </c>
    </row>
    <row r="1837">
      <c r="S1837" s="15" t="str">
        <f>IF(J1837="","",J1837&amp;"|"&amp;E1837&amp;"|"&amp;F1837&amp;"|"&amp;I1837&amp;"|"&amp;O1837)</f>
        <v/>
      </c>
      <c r="T1837" s="15" t="str">
        <f>IF(OR(S1837="",D1837&lt;&gt;"Vastgesteld"),"",_xlfn.MAXIFS($G$6:$G$5005,$S$6:$S$5005,S1837,$D$6:$D$5005,"Vastgesteld"))</f>
        <v/>
      </c>
      <c r="U1837" s="15">
        <f>IF(T1837="",0,IF(AND(G1837=T1837,COUNTIFS($S$6:S1837,S1837,$G$6:G1837,G1837,$D$6:D1837,"Vastgesteld")=1),1,0))</f>
        <v>0</v>
      </c>
      <c r="V1837" s="15">
        <f>IF(T1837="",0,IF(AND(G1837=T1837,COUNTIFS($S$6:S1837,S1837,$G$6:G1837,G1837,$D$6:D1837,"Vastgesteld")&gt;1),1,0))</f>
        <v>0</v>
      </c>
    </row>
    <row r="1838">
      <c r="S1838" s="15" t="str">
        <f>IF(J1838="","",J1838&amp;"|"&amp;E1838&amp;"|"&amp;F1838&amp;"|"&amp;I1838&amp;"|"&amp;O1838)</f>
        <v/>
      </c>
      <c r="T1838" s="15" t="str">
        <f>IF(OR(S1838="",D1838&lt;&gt;"Vastgesteld"),"",_xlfn.MAXIFS($G$6:$G$5005,$S$6:$S$5005,S1838,$D$6:$D$5005,"Vastgesteld"))</f>
        <v/>
      </c>
      <c r="U1838" s="15">
        <f>IF(T1838="",0,IF(AND(G1838=T1838,COUNTIFS($S$6:S1838,S1838,$G$6:G1838,G1838,$D$6:D1838,"Vastgesteld")=1),1,0))</f>
        <v>0</v>
      </c>
      <c r="V1838" s="15">
        <f>IF(T1838="",0,IF(AND(G1838=T1838,COUNTIFS($S$6:S1838,S1838,$G$6:G1838,G1838,$D$6:D1838,"Vastgesteld")&gt;1),1,0))</f>
        <v>0</v>
      </c>
    </row>
    <row r="1839">
      <c r="S1839" s="15" t="str">
        <f>IF(J1839="","",J1839&amp;"|"&amp;E1839&amp;"|"&amp;F1839&amp;"|"&amp;I1839&amp;"|"&amp;O1839)</f>
        <v/>
      </c>
      <c r="T1839" s="15" t="str">
        <f>IF(OR(S1839="",D1839&lt;&gt;"Vastgesteld"),"",_xlfn.MAXIFS($G$6:$G$5005,$S$6:$S$5005,S1839,$D$6:$D$5005,"Vastgesteld"))</f>
        <v/>
      </c>
      <c r="U1839" s="15">
        <f>IF(T1839="",0,IF(AND(G1839=T1839,COUNTIFS($S$6:S1839,S1839,$G$6:G1839,G1839,$D$6:D1839,"Vastgesteld")=1),1,0))</f>
        <v>0</v>
      </c>
      <c r="V1839" s="15">
        <f>IF(T1839="",0,IF(AND(G1839=T1839,COUNTIFS($S$6:S1839,S1839,$G$6:G1839,G1839,$D$6:D1839,"Vastgesteld")&gt;1),1,0))</f>
        <v>0</v>
      </c>
    </row>
    <row r="1840">
      <c r="S1840" s="15" t="str">
        <f>IF(J1840="","",J1840&amp;"|"&amp;E1840&amp;"|"&amp;F1840&amp;"|"&amp;I1840&amp;"|"&amp;O1840)</f>
        <v/>
      </c>
      <c r="T1840" s="15" t="str">
        <f>IF(OR(S1840="",D1840&lt;&gt;"Vastgesteld"),"",_xlfn.MAXIFS($G$6:$G$5005,$S$6:$S$5005,S1840,$D$6:$D$5005,"Vastgesteld"))</f>
        <v/>
      </c>
      <c r="U1840" s="15">
        <f>IF(T1840="",0,IF(AND(G1840=T1840,COUNTIFS($S$6:S1840,S1840,$G$6:G1840,G1840,$D$6:D1840,"Vastgesteld")=1),1,0))</f>
        <v>0</v>
      </c>
      <c r="V1840" s="15">
        <f>IF(T1840="",0,IF(AND(G1840=T1840,COUNTIFS($S$6:S1840,S1840,$G$6:G1840,G1840,$D$6:D1840,"Vastgesteld")&gt;1),1,0))</f>
        <v>0</v>
      </c>
    </row>
    <row r="1841">
      <c r="S1841" s="15" t="str">
        <f>IF(J1841="","",J1841&amp;"|"&amp;E1841&amp;"|"&amp;F1841&amp;"|"&amp;I1841&amp;"|"&amp;O1841)</f>
        <v/>
      </c>
      <c r="T1841" s="15" t="str">
        <f>IF(OR(S1841="",D1841&lt;&gt;"Vastgesteld"),"",_xlfn.MAXIFS($G$6:$G$5005,$S$6:$S$5005,S1841,$D$6:$D$5005,"Vastgesteld"))</f>
        <v/>
      </c>
      <c r="U1841" s="15">
        <f>IF(T1841="",0,IF(AND(G1841=T1841,COUNTIFS($S$6:S1841,S1841,$G$6:G1841,G1841,$D$6:D1841,"Vastgesteld")=1),1,0))</f>
        <v>0</v>
      </c>
      <c r="V1841" s="15">
        <f>IF(T1841="",0,IF(AND(G1841=T1841,COUNTIFS($S$6:S1841,S1841,$G$6:G1841,G1841,$D$6:D1841,"Vastgesteld")&gt;1),1,0))</f>
        <v>0</v>
      </c>
    </row>
    <row r="1842">
      <c r="S1842" s="15" t="str">
        <f>IF(J1842="","",J1842&amp;"|"&amp;E1842&amp;"|"&amp;F1842&amp;"|"&amp;I1842&amp;"|"&amp;O1842)</f>
        <v/>
      </c>
      <c r="T1842" s="15" t="str">
        <f>IF(OR(S1842="",D1842&lt;&gt;"Vastgesteld"),"",_xlfn.MAXIFS($G$6:$G$5005,$S$6:$S$5005,S1842,$D$6:$D$5005,"Vastgesteld"))</f>
        <v/>
      </c>
      <c r="U1842" s="15">
        <f>IF(T1842="",0,IF(AND(G1842=T1842,COUNTIFS($S$6:S1842,S1842,$G$6:G1842,G1842,$D$6:D1842,"Vastgesteld")=1),1,0))</f>
        <v>0</v>
      </c>
      <c r="V1842" s="15">
        <f>IF(T1842="",0,IF(AND(G1842=T1842,COUNTIFS($S$6:S1842,S1842,$G$6:G1842,G1842,$D$6:D1842,"Vastgesteld")&gt;1),1,0))</f>
        <v>0</v>
      </c>
    </row>
    <row r="1843">
      <c r="S1843" s="15" t="str">
        <f>IF(J1843="","",J1843&amp;"|"&amp;E1843&amp;"|"&amp;F1843&amp;"|"&amp;I1843&amp;"|"&amp;O1843)</f>
        <v/>
      </c>
      <c r="T1843" s="15" t="str">
        <f>IF(OR(S1843="",D1843&lt;&gt;"Vastgesteld"),"",_xlfn.MAXIFS($G$6:$G$5005,$S$6:$S$5005,S1843,$D$6:$D$5005,"Vastgesteld"))</f>
        <v/>
      </c>
      <c r="U1843" s="15">
        <f>IF(T1843="",0,IF(AND(G1843=T1843,COUNTIFS($S$6:S1843,S1843,$G$6:G1843,G1843,$D$6:D1843,"Vastgesteld")=1),1,0))</f>
        <v>0</v>
      </c>
      <c r="V1843" s="15">
        <f>IF(T1843="",0,IF(AND(G1843=T1843,COUNTIFS($S$6:S1843,S1843,$G$6:G1843,G1843,$D$6:D1843,"Vastgesteld")&gt;1),1,0))</f>
        <v>0</v>
      </c>
    </row>
    <row r="1844">
      <c r="S1844" s="15" t="str">
        <f>IF(J1844="","",J1844&amp;"|"&amp;E1844&amp;"|"&amp;F1844&amp;"|"&amp;I1844&amp;"|"&amp;O1844)</f>
        <v/>
      </c>
      <c r="T1844" s="15" t="str">
        <f>IF(OR(S1844="",D1844&lt;&gt;"Vastgesteld"),"",_xlfn.MAXIFS($G$6:$G$5005,$S$6:$S$5005,S1844,$D$6:$D$5005,"Vastgesteld"))</f>
        <v/>
      </c>
      <c r="U1844" s="15">
        <f>IF(T1844="",0,IF(AND(G1844=T1844,COUNTIFS($S$6:S1844,S1844,$G$6:G1844,G1844,$D$6:D1844,"Vastgesteld")=1),1,0))</f>
        <v>0</v>
      </c>
      <c r="V1844" s="15">
        <f>IF(T1844="",0,IF(AND(G1844=T1844,COUNTIFS($S$6:S1844,S1844,$G$6:G1844,G1844,$D$6:D1844,"Vastgesteld")&gt;1),1,0))</f>
        <v>0</v>
      </c>
    </row>
    <row r="1845">
      <c r="S1845" s="15" t="str">
        <f>IF(J1845="","",J1845&amp;"|"&amp;E1845&amp;"|"&amp;F1845&amp;"|"&amp;I1845&amp;"|"&amp;O1845)</f>
        <v/>
      </c>
      <c r="T1845" s="15" t="str">
        <f>IF(OR(S1845="",D1845&lt;&gt;"Vastgesteld"),"",_xlfn.MAXIFS($G$6:$G$5005,$S$6:$S$5005,S1845,$D$6:$D$5005,"Vastgesteld"))</f>
        <v/>
      </c>
      <c r="U1845" s="15">
        <f>IF(T1845="",0,IF(AND(G1845=T1845,COUNTIFS($S$6:S1845,S1845,$G$6:G1845,G1845,$D$6:D1845,"Vastgesteld")=1),1,0))</f>
        <v>0</v>
      </c>
      <c r="V1845" s="15">
        <f>IF(T1845="",0,IF(AND(G1845=T1845,COUNTIFS($S$6:S1845,S1845,$G$6:G1845,G1845,$D$6:D1845,"Vastgesteld")&gt;1),1,0))</f>
        <v>0</v>
      </c>
    </row>
    <row r="1846">
      <c r="S1846" s="15" t="str">
        <f>IF(J1846="","",J1846&amp;"|"&amp;E1846&amp;"|"&amp;F1846&amp;"|"&amp;I1846&amp;"|"&amp;O1846)</f>
        <v/>
      </c>
      <c r="T1846" s="15" t="str">
        <f>IF(OR(S1846="",D1846&lt;&gt;"Vastgesteld"),"",_xlfn.MAXIFS($G$6:$G$5005,$S$6:$S$5005,S1846,$D$6:$D$5005,"Vastgesteld"))</f>
        <v/>
      </c>
      <c r="U1846" s="15">
        <f>IF(T1846="",0,IF(AND(G1846=T1846,COUNTIFS($S$6:S1846,S1846,$G$6:G1846,G1846,$D$6:D1846,"Vastgesteld")=1),1,0))</f>
        <v>0</v>
      </c>
      <c r="V1846" s="15">
        <f>IF(T1846="",0,IF(AND(G1846=T1846,COUNTIFS($S$6:S1846,S1846,$G$6:G1846,G1846,$D$6:D1846,"Vastgesteld")&gt;1),1,0))</f>
        <v>0</v>
      </c>
    </row>
    <row r="1847">
      <c r="S1847" s="15" t="str">
        <f>IF(J1847="","",J1847&amp;"|"&amp;E1847&amp;"|"&amp;F1847&amp;"|"&amp;I1847&amp;"|"&amp;O1847)</f>
        <v/>
      </c>
      <c r="T1847" s="15" t="str">
        <f>IF(OR(S1847="",D1847&lt;&gt;"Vastgesteld"),"",_xlfn.MAXIFS($G$6:$G$5005,$S$6:$S$5005,S1847,$D$6:$D$5005,"Vastgesteld"))</f>
        <v/>
      </c>
      <c r="U1847" s="15">
        <f>IF(T1847="",0,IF(AND(G1847=T1847,COUNTIFS($S$6:S1847,S1847,$G$6:G1847,G1847,$D$6:D1847,"Vastgesteld")=1),1,0))</f>
        <v>0</v>
      </c>
      <c r="V1847" s="15">
        <f>IF(T1847="",0,IF(AND(G1847=T1847,COUNTIFS($S$6:S1847,S1847,$G$6:G1847,G1847,$D$6:D1847,"Vastgesteld")&gt;1),1,0))</f>
        <v>0</v>
      </c>
    </row>
    <row r="1848">
      <c r="S1848" s="15" t="str">
        <f>IF(J1848="","",J1848&amp;"|"&amp;E1848&amp;"|"&amp;F1848&amp;"|"&amp;I1848&amp;"|"&amp;O1848)</f>
        <v/>
      </c>
      <c r="T1848" s="15" t="str">
        <f>IF(OR(S1848="",D1848&lt;&gt;"Vastgesteld"),"",_xlfn.MAXIFS($G$6:$G$5005,$S$6:$S$5005,S1848,$D$6:$D$5005,"Vastgesteld"))</f>
        <v/>
      </c>
      <c r="U1848" s="15">
        <f>IF(T1848="",0,IF(AND(G1848=T1848,COUNTIFS($S$6:S1848,S1848,$G$6:G1848,G1848,$D$6:D1848,"Vastgesteld")=1),1,0))</f>
        <v>0</v>
      </c>
      <c r="V1848" s="15">
        <f>IF(T1848="",0,IF(AND(G1848=T1848,COUNTIFS($S$6:S1848,S1848,$G$6:G1848,G1848,$D$6:D1848,"Vastgesteld")&gt;1),1,0))</f>
        <v>0</v>
      </c>
    </row>
    <row r="1849">
      <c r="S1849" s="15" t="str">
        <f>IF(J1849="","",J1849&amp;"|"&amp;E1849&amp;"|"&amp;F1849&amp;"|"&amp;I1849&amp;"|"&amp;O1849)</f>
        <v/>
      </c>
      <c r="T1849" s="15" t="str">
        <f>IF(OR(S1849="",D1849&lt;&gt;"Vastgesteld"),"",_xlfn.MAXIFS($G$6:$G$5005,$S$6:$S$5005,S1849,$D$6:$D$5005,"Vastgesteld"))</f>
        <v/>
      </c>
      <c r="U1849" s="15">
        <f>IF(T1849="",0,IF(AND(G1849=T1849,COUNTIFS($S$6:S1849,S1849,$G$6:G1849,G1849,$D$6:D1849,"Vastgesteld")=1),1,0))</f>
        <v>0</v>
      </c>
      <c r="V1849" s="15">
        <f>IF(T1849="",0,IF(AND(G1849=T1849,COUNTIFS($S$6:S1849,S1849,$G$6:G1849,G1849,$D$6:D1849,"Vastgesteld")&gt;1),1,0))</f>
        <v>0</v>
      </c>
    </row>
    <row r="1850">
      <c r="S1850" s="15" t="str">
        <f>IF(J1850="","",J1850&amp;"|"&amp;E1850&amp;"|"&amp;F1850&amp;"|"&amp;I1850&amp;"|"&amp;O1850)</f>
        <v/>
      </c>
      <c r="T1850" s="15" t="str">
        <f>IF(OR(S1850="",D1850&lt;&gt;"Vastgesteld"),"",_xlfn.MAXIFS($G$6:$G$5005,$S$6:$S$5005,S1850,$D$6:$D$5005,"Vastgesteld"))</f>
        <v/>
      </c>
      <c r="U1850" s="15">
        <f>IF(T1850="",0,IF(AND(G1850=T1850,COUNTIFS($S$6:S1850,S1850,$G$6:G1850,G1850,$D$6:D1850,"Vastgesteld")=1),1,0))</f>
        <v>0</v>
      </c>
      <c r="V1850" s="15">
        <f>IF(T1850="",0,IF(AND(G1850=T1850,COUNTIFS($S$6:S1850,S1850,$G$6:G1850,G1850,$D$6:D1850,"Vastgesteld")&gt;1),1,0))</f>
        <v>0</v>
      </c>
    </row>
    <row r="1851">
      <c r="S1851" s="15" t="str">
        <f>IF(J1851="","",J1851&amp;"|"&amp;E1851&amp;"|"&amp;F1851&amp;"|"&amp;I1851&amp;"|"&amp;O1851)</f>
        <v/>
      </c>
      <c r="T1851" s="15" t="str">
        <f>IF(OR(S1851="",D1851&lt;&gt;"Vastgesteld"),"",_xlfn.MAXIFS($G$6:$G$5005,$S$6:$S$5005,S1851,$D$6:$D$5005,"Vastgesteld"))</f>
        <v/>
      </c>
      <c r="U1851" s="15">
        <f>IF(T1851="",0,IF(AND(G1851=T1851,COUNTIFS($S$6:S1851,S1851,$G$6:G1851,G1851,$D$6:D1851,"Vastgesteld")=1),1,0))</f>
        <v>0</v>
      </c>
      <c r="V1851" s="15">
        <f>IF(T1851="",0,IF(AND(G1851=T1851,COUNTIFS($S$6:S1851,S1851,$G$6:G1851,G1851,$D$6:D1851,"Vastgesteld")&gt;1),1,0))</f>
        <v>0</v>
      </c>
    </row>
    <row r="1852">
      <c r="S1852" s="15" t="str">
        <f>IF(J1852="","",J1852&amp;"|"&amp;E1852&amp;"|"&amp;F1852&amp;"|"&amp;I1852&amp;"|"&amp;O1852)</f>
        <v/>
      </c>
      <c r="T1852" s="15" t="str">
        <f>IF(OR(S1852="",D1852&lt;&gt;"Vastgesteld"),"",_xlfn.MAXIFS($G$6:$G$5005,$S$6:$S$5005,S1852,$D$6:$D$5005,"Vastgesteld"))</f>
        <v/>
      </c>
      <c r="U1852" s="15">
        <f>IF(T1852="",0,IF(AND(G1852=T1852,COUNTIFS($S$6:S1852,S1852,$G$6:G1852,G1852,$D$6:D1852,"Vastgesteld")=1),1,0))</f>
        <v>0</v>
      </c>
      <c r="V1852" s="15">
        <f>IF(T1852="",0,IF(AND(G1852=T1852,COUNTIFS($S$6:S1852,S1852,$G$6:G1852,G1852,$D$6:D1852,"Vastgesteld")&gt;1),1,0))</f>
        <v>0</v>
      </c>
    </row>
    <row r="1853">
      <c r="S1853" s="15" t="str">
        <f>IF(J1853="","",J1853&amp;"|"&amp;E1853&amp;"|"&amp;F1853&amp;"|"&amp;I1853&amp;"|"&amp;O1853)</f>
        <v/>
      </c>
      <c r="T1853" s="15" t="str">
        <f>IF(OR(S1853="",D1853&lt;&gt;"Vastgesteld"),"",_xlfn.MAXIFS($G$6:$G$5005,$S$6:$S$5005,S1853,$D$6:$D$5005,"Vastgesteld"))</f>
        <v/>
      </c>
      <c r="U1853" s="15">
        <f>IF(T1853="",0,IF(AND(G1853=T1853,COUNTIFS($S$6:S1853,S1853,$G$6:G1853,G1853,$D$6:D1853,"Vastgesteld")=1),1,0))</f>
        <v>0</v>
      </c>
      <c r="V1853" s="15">
        <f>IF(T1853="",0,IF(AND(G1853=T1853,COUNTIFS($S$6:S1853,S1853,$G$6:G1853,G1853,$D$6:D1853,"Vastgesteld")&gt;1),1,0))</f>
        <v>0</v>
      </c>
    </row>
    <row r="1854">
      <c r="S1854" s="15" t="str">
        <f>IF(J1854="","",J1854&amp;"|"&amp;E1854&amp;"|"&amp;F1854&amp;"|"&amp;I1854&amp;"|"&amp;O1854)</f>
        <v/>
      </c>
      <c r="T1854" s="15" t="str">
        <f>IF(OR(S1854="",D1854&lt;&gt;"Vastgesteld"),"",_xlfn.MAXIFS($G$6:$G$5005,$S$6:$S$5005,S1854,$D$6:$D$5005,"Vastgesteld"))</f>
        <v/>
      </c>
      <c r="U1854" s="15">
        <f>IF(T1854="",0,IF(AND(G1854=T1854,COUNTIFS($S$6:S1854,S1854,$G$6:G1854,G1854,$D$6:D1854,"Vastgesteld")=1),1,0))</f>
        <v>0</v>
      </c>
      <c r="V1854" s="15">
        <f>IF(T1854="",0,IF(AND(G1854=T1854,COUNTIFS($S$6:S1854,S1854,$G$6:G1854,G1854,$D$6:D1854,"Vastgesteld")&gt;1),1,0))</f>
        <v>0</v>
      </c>
    </row>
    <row r="1855">
      <c r="S1855" s="15" t="str">
        <f>IF(J1855="","",J1855&amp;"|"&amp;E1855&amp;"|"&amp;F1855&amp;"|"&amp;I1855&amp;"|"&amp;O1855)</f>
        <v/>
      </c>
      <c r="T1855" s="15" t="str">
        <f>IF(OR(S1855="",D1855&lt;&gt;"Vastgesteld"),"",_xlfn.MAXIFS($G$6:$G$5005,$S$6:$S$5005,S1855,$D$6:$D$5005,"Vastgesteld"))</f>
        <v/>
      </c>
      <c r="U1855" s="15">
        <f>IF(T1855="",0,IF(AND(G1855=T1855,COUNTIFS($S$6:S1855,S1855,$G$6:G1855,G1855,$D$6:D1855,"Vastgesteld")=1),1,0))</f>
        <v>0</v>
      </c>
      <c r="V1855" s="15">
        <f>IF(T1855="",0,IF(AND(G1855=T1855,COUNTIFS($S$6:S1855,S1855,$G$6:G1855,G1855,$D$6:D1855,"Vastgesteld")&gt;1),1,0))</f>
        <v>0</v>
      </c>
    </row>
    <row r="1856">
      <c r="S1856" s="15" t="str">
        <f>IF(J1856="","",J1856&amp;"|"&amp;E1856&amp;"|"&amp;F1856&amp;"|"&amp;I1856&amp;"|"&amp;O1856)</f>
        <v/>
      </c>
      <c r="T1856" s="15" t="str">
        <f>IF(OR(S1856="",D1856&lt;&gt;"Vastgesteld"),"",_xlfn.MAXIFS($G$6:$G$5005,$S$6:$S$5005,S1856,$D$6:$D$5005,"Vastgesteld"))</f>
        <v/>
      </c>
      <c r="U1856" s="15">
        <f>IF(T1856="",0,IF(AND(G1856=T1856,COUNTIFS($S$6:S1856,S1856,$G$6:G1856,G1856,$D$6:D1856,"Vastgesteld")=1),1,0))</f>
        <v>0</v>
      </c>
      <c r="V1856" s="15">
        <f>IF(T1856="",0,IF(AND(G1856=T1856,COUNTIFS($S$6:S1856,S1856,$G$6:G1856,G1856,$D$6:D1856,"Vastgesteld")&gt;1),1,0))</f>
        <v>0</v>
      </c>
    </row>
    <row r="1857">
      <c r="S1857" s="15" t="str">
        <f>IF(J1857="","",J1857&amp;"|"&amp;E1857&amp;"|"&amp;F1857&amp;"|"&amp;I1857&amp;"|"&amp;O1857)</f>
        <v/>
      </c>
      <c r="T1857" s="15" t="str">
        <f>IF(OR(S1857="",D1857&lt;&gt;"Vastgesteld"),"",_xlfn.MAXIFS($G$6:$G$5005,$S$6:$S$5005,S1857,$D$6:$D$5005,"Vastgesteld"))</f>
        <v/>
      </c>
      <c r="U1857" s="15">
        <f>IF(T1857="",0,IF(AND(G1857=T1857,COUNTIFS($S$6:S1857,S1857,$G$6:G1857,G1857,$D$6:D1857,"Vastgesteld")=1),1,0))</f>
        <v>0</v>
      </c>
      <c r="V1857" s="15">
        <f>IF(T1857="",0,IF(AND(G1857=T1857,COUNTIFS($S$6:S1857,S1857,$G$6:G1857,G1857,$D$6:D1857,"Vastgesteld")&gt;1),1,0))</f>
        <v>0</v>
      </c>
    </row>
    <row r="1858">
      <c r="S1858" s="15" t="str">
        <f>IF(J1858="","",J1858&amp;"|"&amp;E1858&amp;"|"&amp;F1858&amp;"|"&amp;I1858&amp;"|"&amp;O1858)</f>
        <v/>
      </c>
      <c r="T1858" s="15" t="str">
        <f>IF(OR(S1858="",D1858&lt;&gt;"Vastgesteld"),"",_xlfn.MAXIFS($G$6:$G$5005,$S$6:$S$5005,S1858,$D$6:$D$5005,"Vastgesteld"))</f>
        <v/>
      </c>
      <c r="U1858" s="15">
        <f>IF(T1858="",0,IF(AND(G1858=T1858,COUNTIFS($S$6:S1858,S1858,$G$6:G1858,G1858,$D$6:D1858,"Vastgesteld")=1),1,0))</f>
        <v>0</v>
      </c>
      <c r="V1858" s="15">
        <f>IF(T1858="",0,IF(AND(G1858=T1858,COUNTIFS($S$6:S1858,S1858,$G$6:G1858,G1858,$D$6:D1858,"Vastgesteld")&gt;1),1,0))</f>
        <v>0</v>
      </c>
    </row>
    <row r="1859">
      <c r="S1859" s="15" t="str">
        <f>IF(J1859="","",J1859&amp;"|"&amp;E1859&amp;"|"&amp;F1859&amp;"|"&amp;I1859&amp;"|"&amp;O1859)</f>
        <v/>
      </c>
      <c r="T1859" s="15" t="str">
        <f>IF(OR(S1859="",D1859&lt;&gt;"Vastgesteld"),"",_xlfn.MAXIFS($G$6:$G$5005,$S$6:$S$5005,S1859,$D$6:$D$5005,"Vastgesteld"))</f>
        <v/>
      </c>
      <c r="U1859" s="15">
        <f>IF(T1859="",0,IF(AND(G1859=T1859,COUNTIFS($S$6:S1859,S1859,$G$6:G1859,G1859,$D$6:D1859,"Vastgesteld")=1),1,0))</f>
        <v>0</v>
      </c>
      <c r="V1859" s="15">
        <f>IF(T1859="",0,IF(AND(G1859=T1859,COUNTIFS($S$6:S1859,S1859,$G$6:G1859,G1859,$D$6:D1859,"Vastgesteld")&gt;1),1,0))</f>
        <v>0</v>
      </c>
    </row>
    <row r="1860">
      <c r="S1860" s="15" t="str">
        <f>IF(J1860="","",J1860&amp;"|"&amp;E1860&amp;"|"&amp;F1860&amp;"|"&amp;I1860&amp;"|"&amp;O1860)</f>
        <v/>
      </c>
      <c r="T1860" s="15" t="str">
        <f>IF(OR(S1860="",D1860&lt;&gt;"Vastgesteld"),"",_xlfn.MAXIFS($G$6:$G$5005,$S$6:$S$5005,S1860,$D$6:$D$5005,"Vastgesteld"))</f>
        <v/>
      </c>
      <c r="U1860" s="15">
        <f>IF(T1860="",0,IF(AND(G1860=T1860,COUNTIFS($S$6:S1860,S1860,$G$6:G1860,G1860,$D$6:D1860,"Vastgesteld")=1),1,0))</f>
        <v>0</v>
      </c>
      <c r="V1860" s="15">
        <f>IF(T1860="",0,IF(AND(G1860=T1860,COUNTIFS($S$6:S1860,S1860,$G$6:G1860,G1860,$D$6:D1860,"Vastgesteld")&gt;1),1,0))</f>
        <v>0</v>
      </c>
    </row>
    <row r="1861">
      <c r="S1861" s="15" t="str">
        <f>IF(J1861="","",J1861&amp;"|"&amp;E1861&amp;"|"&amp;F1861&amp;"|"&amp;I1861&amp;"|"&amp;O1861)</f>
        <v/>
      </c>
      <c r="T1861" s="15" t="str">
        <f>IF(OR(S1861="",D1861&lt;&gt;"Vastgesteld"),"",_xlfn.MAXIFS($G$6:$G$5005,$S$6:$S$5005,S1861,$D$6:$D$5005,"Vastgesteld"))</f>
        <v/>
      </c>
      <c r="U1861" s="15">
        <f>IF(T1861="",0,IF(AND(G1861=T1861,COUNTIFS($S$6:S1861,S1861,$G$6:G1861,G1861,$D$6:D1861,"Vastgesteld")=1),1,0))</f>
        <v>0</v>
      </c>
      <c r="V1861" s="15">
        <f>IF(T1861="",0,IF(AND(G1861=T1861,COUNTIFS($S$6:S1861,S1861,$G$6:G1861,G1861,$D$6:D1861,"Vastgesteld")&gt;1),1,0))</f>
        <v>0</v>
      </c>
    </row>
    <row r="1862">
      <c r="S1862" s="15" t="str">
        <f>IF(J1862="","",J1862&amp;"|"&amp;E1862&amp;"|"&amp;F1862&amp;"|"&amp;I1862&amp;"|"&amp;O1862)</f>
        <v/>
      </c>
      <c r="T1862" s="15" t="str">
        <f>IF(OR(S1862="",D1862&lt;&gt;"Vastgesteld"),"",_xlfn.MAXIFS($G$6:$G$5005,$S$6:$S$5005,S1862,$D$6:$D$5005,"Vastgesteld"))</f>
        <v/>
      </c>
      <c r="U1862" s="15">
        <f>IF(T1862="",0,IF(AND(G1862=T1862,COUNTIFS($S$6:S1862,S1862,$G$6:G1862,G1862,$D$6:D1862,"Vastgesteld")=1),1,0))</f>
        <v>0</v>
      </c>
      <c r="V1862" s="15">
        <f>IF(T1862="",0,IF(AND(G1862=T1862,COUNTIFS($S$6:S1862,S1862,$G$6:G1862,G1862,$D$6:D1862,"Vastgesteld")&gt;1),1,0))</f>
        <v>0</v>
      </c>
    </row>
    <row r="1863">
      <c r="S1863" s="15" t="str">
        <f>IF(J1863="","",J1863&amp;"|"&amp;E1863&amp;"|"&amp;F1863&amp;"|"&amp;I1863&amp;"|"&amp;O1863)</f>
        <v/>
      </c>
      <c r="T1863" s="15" t="str">
        <f>IF(OR(S1863="",D1863&lt;&gt;"Vastgesteld"),"",_xlfn.MAXIFS($G$6:$G$5005,$S$6:$S$5005,S1863,$D$6:$D$5005,"Vastgesteld"))</f>
        <v/>
      </c>
      <c r="U1863" s="15">
        <f>IF(T1863="",0,IF(AND(G1863=T1863,COUNTIFS($S$6:S1863,S1863,$G$6:G1863,G1863,$D$6:D1863,"Vastgesteld")=1),1,0))</f>
        <v>0</v>
      </c>
      <c r="V1863" s="15">
        <f>IF(T1863="",0,IF(AND(G1863=T1863,COUNTIFS($S$6:S1863,S1863,$G$6:G1863,G1863,$D$6:D1863,"Vastgesteld")&gt;1),1,0))</f>
        <v>0</v>
      </c>
    </row>
    <row r="1864">
      <c r="S1864" s="15" t="str">
        <f>IF(J1864="","",J1864&amp;"|"&amp;E1864&amp;"|"&amp;F1864&amp;"|"&amp;I1864&amp;"|"&amp;O1864)</f>
        <v/>
      </c>
      <c r="T1864" s="15" t="str">
        <f>IF(OR(S1864="",D1864&lt;&gt;"Vastgesteld"),"",_xlfn.MAXIFS($G$6:$G$5005,$S$6:$S$5005,S1864,$D$6:$D$5005,"Vastgesteld"))</f>
        <v/>
      </c>
      <c r="U1864" s="15">
        <f>IF(T1864="",0,IF(AND(G1864=T1864,COUNTIFS($S$6:S1864,S1864,$G$6:G1864,G1864,$D$6:D1864,"Vastgesteld")=1),1,0))</f>
        <v>0</v>
      </c>
      <c r="V1864" s="15">
        <f>IF(T1864="",0,IF(AND(G1864=T1864,COUNTIFS($S$6:S1864,S1864,$G$6:G1864,G1864,$D$6:D1864,"Vastgesteld")&gt;1),1,0))</f>
        <v>0</v>
      </c>
    </row>
    <row r="1865">
      <c r="S1865" s="15" t="str">
        <f>IF(J1865="","",J1865&amp;"|"&amp;E1865&amp;"|"&amp;F1865&amp;"|"&amp;I1865&amp;"|"&amp;O1865)</f>
        <v/>
      </c>
      <c r="T1865" s="15" t="str">
        <f>IF(OR(S1865="",D1865&lt;&gt;"Vastgesteld"),"",_xlfn.MAXIFS($G$6:$G$5005,$S$6:$S$5005,S1865,$D$6:$D$5005,"Vastgesteld"))</f>
        <v/>
      </c>
      <c r="U1865" s="15">
        <f>IF(T1865="",0,IF(AND(G1865=T1865,COUNTIFS($S$6:S1865,S1865,$G$6:G1865,G1865,$D$6:D1865,"Vastgesteld")=1),1,0))</f>
        <v>0</v>
      </c>
      <c r="V1865" s="15">
        <f>IF(T1865="",0,IF(AND(G1865=T1865,COUNTIFS($S$6:S1865,S1865,$G$6:G1865,G1865,$D$6:D1865,"Vastgesteld")&gt;1),1,0))</f>
        <v>0</v>
      </c>
    </row>
    <row r="1866">
      <c r="S1866" s="15" t="str">
        <f>IF(J1866="","",J1866&amp;"|"&amp;E1866&amp;"|"&amp;F1866&amp;"|"&amp;I1866&amp;"|"&amp;O1866)</f>
        <v/>
      </c>
      <c r="T1866" s="15" t="str">
        <f>IF(OR(S1866="",D1866&lt;&gt;"Vastgesteld"),"",_xlfn.MAXIFS($G$6:$G$5005,$S$6:$S$5005,S1866,$D$6:$D$5005,"Vastgesteld"))</f>
        <v/>
      </c>
      <c r="U1866" s="15">
        <f>IF(T1866="",0,IF(AND(G1866=T1866,COUNTIFS($S$6:S1866,S1866,$G$6:G1866,G1866,$D$6:D1866,"Vastgesteld")=1),1,0))</f>
        <v>0</v>
      </c>
      <c r="V1866" s="15">
        <f>IF(T1866="",0,IF(AND(G1866=T1866,COUNTIFS($S$6:S1866,S1866,$G$6:G1866,G1866,$D$6:D1866,"Vastgesteld")&gt;1),1,0))</f>
        <v>0</v>
      </c>
    </row>
    <row r="1867">
      <c r="S1867" s="15" t="str">
        <f>IF(J1867="","",J1867&amp;"|"&amp;E1867&amp;"|"&amp;F1867&amp;"|"&amp;I1867&amp;"|"&amp;O1867)</f>
        <v/>
      </c>
      <c r="T1867" s="15" t="str">
        <f>IF(OR(S1867="",D1867&lt;&gt;"Vastgesteld"),"",_xlfn.MAXIFS($G$6:$G$5005,$S$6:$S$5005,S1867,$D$6:$D$5005,"Vastgesteld"))</f>
        <v/>
      </c>
      <c r="U1867" s="15">
        <f>IF(T1867="",0,IF(AND(G1867=T1867,COUNTIFS($S$6:S1867,S1867,$G$6:G1867,G1867,$D$6:D1867,"Vastgesteld")=1),1,0))</f>
        <v>0</v>
      </c>
      <c r="V1867" s="15">
        <f>IF(T1867="",0,IF(AND(G1867=T1867,COUNTIFS($S$6:S1867,S1867,$G$6:G1867,G1867,$D$6:D1867,"Vastgesteld")&gt;1),1,0))</f>
        <v>0</v>
      </c>
    </row>
    <row r="1868">
      <c r="S1868" s="15" t="str">
        <f>IF(J1868="","",J1868&amp;"|"&amp;E1868&amp;"|"&amp;F1868&amp;"|"&amp;I1868&amp;"|"&amp;O1868)</f>
        <v/>
      </c>
      <c r="T1868" s="15" t="str">
        <f>IF(OR(S1868="",D1868&lt;&gt;"Vastgesteld"),"",_xlfn.MAXIFS($G$6:$G$5005,$S$6:$S$5005,S1868,$D$6:$D$5005,"Vastgesteld"))</f>
        <v/>
      </c>
      <c r="U1868" s="15">
        <f>IF(T1868="",0,IF(AND(G1868=T1868,COUNTIFS($S$6:S1868,S1868,$G$6:G1868,G1868,$D$6:D1868,"Vastgesteld")=1),1,0))</f>
        <v>0</v>
      </c>
      <c r="V1868" s="15">
        <f>IF(T1868="",0,IF(AND(G1868=T1868,COUNTIFS($S$6:S1868,S1868,$G$6:G1868,G1868,$D$6:D1868,"Vastgesteld")&gt;1),1,0))</f>
        <v>0</v>
      </c>
    </row>
    <row r="1869">
      <c r="S1869" s="15" t="str">
        <f>IF(J1869="","",J1869&amp;"|"&amp;E1869&amp;"|"&amp;F1869&amp;"|"&amp;I1869&amp;"|"&amp;O1869)</f>
        <v/>
      </c>
      <c r="T1869" s="15" t="str">
        <f>IF(OR(S1869="",D1869&lt;&gt;"Vastgesteld"),"",_xlfn.MAXIFS($G$6:$G$5005,$S$6:$S$5005,S1869,$D$6:$D$5005,"Vastgesteld"))</f>
        <v/>
      </c>
      <c r="U1869" s="15">
        <f>IF(T1869="",0,IF(AND(G1869=T1869,COUNTIFS($S$6:S1869,S1869,$G$6:G1869,G1869,$D$6:D1869,"Vastgesteld")=1),1,0))</f>
        <v>0</v>
      </c>
      <c r="V1869" s="15">
        <f>IF(T1869="",0,IF(AND(G1869=T1869,COUNTIFS($S$6:S1869,S1869,$G$6:G1869,G1869,$D$6:D1869,"Vastgesteld")&gt;1),1,0))</f>
        <v>0</v>
      </c>
    </row>
    <row r="1870">
      <c r="S1870" s="15" t="str">
        <f>IF(J1870="","",J1870&amp;"|"&amp;E1870&amp;"|"&amp;F1870&amp;"|"&amp;I1870&amp;"|"&amp;O1870)</f>
        <v/>
      </c>
      <c r="T1870" s="15" t="str">
        <f>IF(OR(S1870="",D1870&lt;&gt;"Vastgesteld"),"",_xlfn.MAXIFS($G$6:$G$5005,$S$6:$S$5005,S1870,$D$6:$D$5005,"Vastgesteld"))</f>
        <v/>
      </c>
      <c r="U1870" s="15">
        <f>IF(T1870="",0,IF(AND(G1870=T1870,COUNTIFS($S$6:S1870,S1870,$G$6:G1870,G1870,$D$6:D1870,"Vastgesteld")=1),1,0))</f>
        <v>0</v>
      </c>
      <c r="V1870" s="15">
        <f>IF(T1870="",0,IF(AND(G1870=T1870,COUNTIFS($S$6:S1870,S1870,$G$6:G1870,G1870,$D$6:D1870,"Vastgesteld")&gt;1),1,0))</f>
        <v>0</v>
      </c>
    </row>
    <row r="1871">
      <c r="S1871" s="15" t="str">
        <f>IF(J1871="","",J1871&amp;"|"&amp;E1871&amp;"|"&amp;F1871&amp;"|"&amp;I1871&amp;"|"&amp;O1871)</f>
        <v/>
      </c>
      <c r="T1871" s="15" t="str">
        <f>IF(OR(S1871="",D1871&lt;&gt;"Vastgesteld"),"",_xlfn.MAXIFS($G$6:$G$5005,$S$6:$S$5005,S1871,$D$6:$D$5005,"Vastgesteld"))</f>
        <v/>
      </c>
      <c r="U1871" s="15">
        <f>IF(T1871="",0,IF(AND(G1871=T1871,COUNTIFS($S$6:S1871,S1871,$G$6:G1871,G1871,$D$6:D1871,"Vastgesteld")=1),1,0))</f>
        <v>0</v>
      </c>
      <c r="V1871" s="15">
        <f>IF(T1871="",0,IF(AND(G1871=T1871,COUNTIFS($S$6:S1871,S1871,$G$6:G1871,G1871,$D$6:D1871,"Vastgesteld")&gt;1),1,0))</f>
        <v>0</v>
      </c>
    </row>
    <row r="1872">
      <c r="S1872" s="15" t="str">
        <f>IF(J1872="","",J1872&amp;"|"&amp;E1872&amp;"|"&amp;F1872&amp;"|"&amp;I1872&amp;"|"&amp;O1872)</f>
        <v/>
      </c>
      <c r="T1872" s="15" t="str">
        <f>IF(OR(S1872="",D1872&lt;&gt;"Vastgesteld"),"",_xlfn.MAXIFS($G$6:$G$5005,$S$6:$S$5005,S1872,$D$6:$D$5005,"Vastgesteld"))</f>
        <v/>
      </c>
      <c r="U1872" s="15">
        <f>IF(T1872="",0,IF(AND(G1872=T1872,COUNTIFS($S$6:S1872,S1872,$G$6:G1872,G1872,$D$6:D1872,"Vastgesteld")=1),1,0))</f>
        <v>0</v>
      </c>
      <c r="V1872" s="15">
        <f>IF(T1872="",0,IF(AND(G1872=T1872,COUNTIFS($S$6:S1872,S1872,$G$6:G1872,G1872,$D$6:D1872,"Vastgesteld")&gt;1),1,0))</f>
        <v>0</v>
      </c>
    </row>
    <row r="1873">
      <c r="S1873" s="15" t="str">
        <f>IF(J1873="","",J1873&amp;"|"&amp;E1873&amp;"|"&amp;F1873&amp;"|"&amp;I1873&amp;"|"&amp;O1873)</f>
        <v/>
      </c>
      <c r="T1873" s="15" t="str">
        <f>IF(OR(S1873="",D1873&lt;&gt;"Vastgesteld"),"",_xlfn.MAXIFS($G$6:$G$5005,$S$6:$S$5005,S1873,$D$6:$D$5005,"Vastgesteld"))</f>
        <v/>
      </c>
      <c r="U1873" s="15">
        <f>IF(T1873="",0,IF(AND(G1873=T1873,COUNTIFS($S$6:S1873,S1873,$G$6:G1873,G1873,$D$6:D1873,"Vastgesteld")=1),1,0))</f>
        <v>0</v>
      </c>
      <c r="V1873" s="15">
        <f>IF(T1873="",0,IF(AND(G1873=T1873,COUNTIFS($S$6:S1873,S1873,$G$6:G1873,G1873,$D$6:D1873,"Vastgesteld")&gt;1),1,0))</f>
        <v>0</v>
      </c>
    </row>
    <row r="1874">
      <c r="S1874" s="15" t="str">
        <f>IF(J1874="","",J1874&amp;"|"&amp;E1874&amp;"|"&amp;F1874&amp;"|"&amp;I1874&amp;"|"&amp;O1874)</f>
        <v/>
      </c>
      <c r="T1874" s="15" t="str">
        <f>IF(OR(S1874="",D1874&lt;&gt;"Vastgesteld"),"",_xlfn.MAXIFS($G$6:$G$5005,$S$6:$S$5005,S1874,$D$6:$D$5005,"Vastgesteld"))</f>
        <v/>
      </c>
      <c r="U1874" s="15">
        <f>IF(T1874="",0,IF(AND(G1874=T1874,COUNTIFS($S$6:S1874,S1874,$G$6:G1874,G1874,$D$6:D1874,"Vastgesteld")=1),1,0))</f>
        <v>0</v>
      </c>
      <c r="V1874" s="15">
        <f>IF(T1874="",0,IF(AND(G1874=T1874,COUNTIFS($S$6:S1874,S1874,$G$6:G1874,G1874,$D$6:D1874,"Vastgesteld")&gt;1),1,0))</f>
        <v>0</v>
      </c>
    </row>
    <row r="1875">
      <c r="S1875" s="15" t="str">
        <f>IF(J1875="","",J1875&amp;"|"&amp;E1875&amp;"|"&amp;F1875&amp;"|"&amp;I1875&amp;"|"&amp;O1875)</f>
        <v/>
      </c>
      <c r="T1875" s="15" t="str">
        <f>IF(OR(S1875="",D1875&lt;&gt;"Vastgesteld"),"",_xlfn.MAXIFS($G$6:$G$5005,$S$6:$S$5005,S1875,$D$6:$D$5005,"Vastgesteld"))</f>
        <v/>
      </c>
      <c r="U1875" s="15">
        <f>IF(T1875="",0,IF(AND(G1875=T1875,COUNTIFS($S$6:S1875,S1875,$G$6:G1875,G1875,$D$6:D1875,"Vastgesteld")=1),1,0))</f>
        <v>0</v>
      </c>
      <c r="V1875" s="15">
        <f>IF(T1875="",0,IF(AND(G1875=T1875,COUNTIFS($S$6:S1875,S1875,$G$6:G1875,G1875,$D$6:D1875,"Vastgesteld")&gt;1),1,0))</f>
        <v>0</v>
      </c>
    </row>
    <row r="1876">
      <c r="S1876" s="15" t="str">
        <f>IF(J1876="","",J1876&amp;"|"&amp;E1876&amp;"|"&amp;F1876&amp;"|"&amp;I1876&amp;"|"&amp;O1876)</f>
        <v/>
      </c>
      <c r="T1876" s="15" t="str">
        <f>IF(OR(S1876="",D1876&lt;&gt;"Vastgesteld"),"",_xlfn.MAXIFS($G$6:$G$5005,$S$6:$S$5005,S1876,$D$6:$D$5005,"Vastgesteld"))</f>
        <v/>
      </c>
      <c r="U1876" s="15">
        <f>IF(T1876="",0,IF(AND(G1876=T1876,COUNTIFS($S$6:S1876,S1876,$G$6:G1876,G1876,$D$6:D1876,"Vastgesteld")=1),1,0))</f>
        <v>0</v>
      </c>
      <c r="V1876" s="15">
        <f>IF(T1876="",0,IF(AND(G1876=T1876,COUNTIFS($S$6:S1876,S1876,$G$6:G1876,G1876,$D$6:D1876,"Vastgesteld")&gt;1),1,0))</f>
        <v>0</v>
      </c>
    </row>
    <row r="1877">
      <c r="S1877" s="15" t="str">
        <f>IF(J1877="","",J1877&amp;"|"&amp;E1877&amp;"|"&amp;F1877&amp;"|"&amp;I1877&amp;"|"&amp;O1877)</f>
        <v/>
      </c>
      <c r="T1877" s="15" t="str">
        <f>IF(OR(S1877="",D1877&lt;&gt;"Vastgesteld"),"",_xlfn.MAXIFS($G$6:$G$5005,$S$6:$S$5005,S1877,$D$6:$D$5005,"Vastgesteld"))</f>
        <v/>
      </c>
      <c r="U1877" s="15">
        <f>IF(T1877="",0,IF(AND(G1877=T1877,COUNTIFS($S$6:S1877,S1877,$G$6:G1877,G1877,$D$6:D1877,"Vastgesteld")=1),1,0))</f>
        <v>0</v>
      </c>
      <c r="V1877" s="15">
        <f>IF(T1877="",0,IF(AND(G1877=T1877,COUNTIFS($S$6:S1877,S1877,$G$6:G1877,G1877,$D$6:D1877,"Vastgesteld")&gt;1),1,0))</f>
        <v>0</v>
      </c>
    </row>
    <row r="1878">
      <c r="S1878" s="15" t="str">
        <f>IF(J1878="","",J1878&amp;"|"&amp;E1878&amp;"|"&amp;F1878&amp;"|"&amp;I1878&amp;"|"&amp;O1878)</f>
        <v/>
      </c>
      <c r="T1878" s="15" t="str">
        <f>IF(OR(S1878="",D1878&lt;&gt;"Vastgesteld"),"",_xlfn.MAXIFS($G$6:$G$5005,$S$6:$S$5005,S1878,$D$6:$D$5005,"Vastgesteld"))</f>
        <v/>
      </c>
      <c r="U1878" s="15">
        <f>IF(T1878="",0,IF(AND(G1878=T1878,COUNTIFS($S$6:S1878,S1878,$G$6:G1878,G1878,$D$6:D1878,"Vastgesteld")=1),1,0))</f>
        <v>0</v>
      </c>
      <c r="V1878" s="15">
        <f>IF(T1878="",0,IF(AND(G1878=T1878,COUNTIFS($S$6:S1878,S1878,$G$6:G1878,G1878,$D$6:D1878,"Vastgesteld")&gt;1),1,0))</f>
        <v>0</v>
      </c>
    </row>
    <row r="1879">
      <c r="S1879" s="15" t="str">
        <f>IF(J1879="","",J1879&amp;"|"&amp;E1879&amp;"|"&amp;F1879&amp;"|"&amp;I1879&amp;"|"&amp;O1879)</f>
        <v/>
      </c>
      <c r="T1879" s="15" t="str">
        <f>IF(OR(S1879="",D1879&lt;&gt;"Vastgesteld"),"",_xlfn.MAXIFS($G$6:$G$5005,$S$6:$S$5005,S1879,$D$6:$D$5005,"Vastgesteld"))</f>
        <v/>
      </c>
      <c r="U1879" s="15">
        <f>IF(T1879="",0,IF(AND(G1879=T1879,COUNTIFS($S$6:S1879,S1879,$G$6:G1879,G1879,$D$6:D1879,"Vastgesteld")=1),1,0))</f>
        <v>0</v>
      </c>
      <c r="V1879" s="15">
        <f>IF(T1879="",0,IF(AND(G1879=T1879,COUNTIFS($S$6:S1879,S1879,$G$6:G1879,G1879,$D$6:D1879,"Vastgesteld")&gt;1),1,0))</f>
        <v>0</v>
      </c>
    </row>
    <row r="1880">
      <c r="S1880" s="15" t="str">
        <f>IF(J1880="","",J1880&amp;"|"&amp;E1880&amp;"|"&amp;F1880&amp;"|"&amp;I1880&amp;"|"&amp;O1880)</f>
        <v/>
      </c>
      <c r="T1880" s="15" t="str">
        <f>IF(OR(S1880="",D1880&lt;&gt;"Vastgesteld"),"",_xlfn.MAXIFS($G$6:$G$5005,$S$6:$S$5005,S1880,$D$6:$D$5005,"Vastgesteld"))</f>
        <v/>
      </c>
      <c r="U1880" s="15">
        <f>IF(T1880="",0,IF(AND(G1880=T1880,COUNTIFS($S$6:S1880,S1880,$G$6:G1880,G1880,$D$6:D1880,"Vastgesteld")=1),1,0))</f>
        <v>0</v>
      </c>
      <c r="V1880" s="15">
        <f>IF(T1880="",0,IF(AND(G1880=T1880,COUNTIFS($S$6:S1880,S1880,$G$6:G1880,G1880,$D$6:D1880,"Vastgesteld")&gt;1),1,0))</f>
        <v>0</v>
      </c>
    </row>
    <row r="1881">
      <c r="S1881" s="15" t="str">
        <f>IF(J1881="","",J1881&amp;"|"&amp;E1881&amp;"|"&amp;F1881&amp;"|"&amp;I1881&amp;"|"&amp;O1881)</f>
        <v/>
      </c>
      <c r="T1881" s="15" t="str">
        <f>IF(OR(S1881="",D1881&lt;&gt;"Vastgesteld"),"",_xlfn.MAXIFS($G$6:$G$5005,$S$6:$S$5005,S1881,$D$6:$D$5005,"Vastgesteld"))</f>
        <v/>
      </c>
      <c r="U1881" s="15">
        <f>IF(T1881="",0,IF(AND(G1881=T1881,COUNTIFS($S$6:S1881,S1881,$G$6:G1881,G1881,$D$6:D1881,"Vastgesteld")=1),1,0))</f>
        <v>0</v>
      </c>
      <c r="V1881" s="15">
        <f>IF(T1881="",0,IF(AND(G1881=T1881,COUNTIFS($S$6:S1881,S1881,$G$6:G1881,G1881,$D$6:D1881,"Vastgesteld")&gt;1),1,0))</f>
        <v>0</v>
      </c>
    </row>
    <row r="1882">
      <c r="S1882" s="15" t="str">
        <f>IF(J1882="","",J1882&amp;"|"&amp;E1882&amp;"|"&amp;F1882&amp;"|"&amp;I1882&amp;"|"&amp;O1882)</f>
        <v/>
      </c>
      <c r="T1882" s="15" t="str">
        <f>IF(OR(S1882="",D1882&lt;&gt;"Vastgesteld"),"",_xlfn.MAXIFS($G$6:$G$5005,$S$6:$S$5005,S1882,$D$6:$D$5005,"Vastgesteld"))</f>
        <v/>
      </c>
      <c r="U1882" s="15">
        <f>IF(T1882="",0,IF(AND(G1882=T1882,COUNTIFS($S$6:S1882,S1882,$G$6:G1882,G1882,$D$6:D1882,"Vastgesteld")=1),1,0))</f>
        <v>0</v>
      </c>
      <c r="V1882" s="15">
        <f>IF(T1882="",0,IF(AND(G1882=T1882,COUNTIFS($S$6:S1882,S1882,$G$6:G1882,G1882,$D$6:D1882,"Vastgesteld")&gt;1),1,0))</f>
        <v>0</v>
      </c>
    </row>
    <row r="1883">
      <c r="S1883" s="15" t="str">
        <f>IF(J1883="","",J1883&amp;"|"&amp;E1883&amp;"|"&amp;F1883&amp;"|"&amp;I1883&amp;"|"&amp;O1883)</f>
        <v/>
      </c>
      <c r="T1883" s="15" t="str">
        <f>IF(OR(S1883="",D1883&lt;&gt;"Vastgesteld"),"",_xlfn.MAXIFS($G$6:$G$5005,$S$6:$S$5005,S1883,$D$6:$D$5005,"Vastgesteld"))</f>
        <v/>
      </c>
      <c r="U1883" s="15">
        <f>IF(T1883="",0,IF(AND(G1883=T1883,COUNTIFS($S$6:S1883,S1883,$G$6:G1883,G1883,$D$6:D1883,"Vastgesteld")=1),1,0))</f>
        <v>0</v>
      </c>
      <c r="V1883" s="15">
        <f>IF(T1883="",0,IF(AND(G1883=T1883,COUNTIFS($S$6:S1883,S1883,$G$6:G1883,G1883,$D$6:D1883,"Vastgesteld")&gt;1),1,0))</f>
        <v>0</v>
      </c>
    </row>
    <row r="1884">
      <c r="S1884" s="15" t="str">
        <f>IF(J1884="","",J1884&amp;"|"&amp;E1884&amp;"|"&amp;F1884&amp;"|"&amp;I1884&amp;"|"&amp;O1884)</f>
        <v/>
      </c>
      <c r="T1884" s="15" t="str">
        <f>IF(OR(S1884="",D1884&lt;&gt;"Vastgesteld"),"",_xlfn.MAXIFS($G$6:$G$5005,$S$6:$S$5005,S1884,$D$6:$D$5005,"Vastgesteld"))</f>
        <v/>
      </c>
      <c r="U1884" s="15">
        <f>IF(T1884="",0,IF(AND(G1884=T1884,COUNTIFS($S$6:S1884,S1884,$G$6:G1884,G1884,$D$6:D1884,"Vastgesteld")=1),1,0))</f>
        <v>0</v>
      </c>
      <c r="V1884" s="15">
        <f>IF(T1884="",0,IF(AND(G1884=T1884,COUNTIFS($S$6:S1884,S1884,$G$6:G1884,G1884,$D$6:D1884,"Vastgesteld")&gt;1),1,0))</f>
        <v>0</v>
      </c>
    </row>
    <row r="1885">
      <c r="S1885" s="15" t="str">
        <f>IF(J1885="","",J1885&amp;"|"&amp;E1885&amp;"|"&amp;F1885&amp;"|"&amp;I1885&amp;"|"&amp;O1885)</f>
        <v/>
      </c>
      <c r="T1885" s="15" t="str">
        <f>IF(OR(S1885="",D1885&lt;&gt;"Vastgesteld"),"",_xlfn.MAXIFS($G$6:$G$5005,$S$6:$S$5005,S1885,$D$6:$D$5005,"Vastgesteld"))</f>
        <v/>
      </c>
      <c r="U1885" s="15">
        <f>IF(T1885="",0,IF(AND(G1885=T1885,COUNTIFS($S$6:S1885,S1885,$G$6:G1885,G1885,$D$6:D1885,"Vastgesteld")=1),1,0))</f>
        <v>0</v>
      </c>
      <c r="V1885" s="15">
        <f>IF(T1885="",0,IF(AND(G1885=T1885,COUNTIFS($S$6:S1885,S1885,$G$6:G1885,G1885,$D$6:D1885,"Vastgesteld")&gt;1),1,0))</f>
        <v>0</v>
      </c>
    </row>
    <row r="1886">
      <c r="S1886" s="15" t="str">
        <f>IF(J1886="","",J1886&amp;"|"&amp;E1886&amp;"|"&amp;F1886&amp;"|"&amp;I1886&amp;"|"&amp;O1886)</f>
        <v/>
      </c>
      <c r="T1886" s="15" t="str">
        <f>IF(OR(S1886="",D1886&lt;&gt;"Vastgesteld"),"",_xlfn.MAXIFS($G$6:$G$5005,$S$6:$S$5005,S1886,$D$6:$D$5005,"Vastgesteld"))</f>
        <v/>
      </c>
      <c r="U1886" s="15">
        <f>IF(T1886="",0,IF(AND(G1886=T1886,COUNTIFS($S$6:S1886,S1886,$G$6:G1886,G1886,$D$6:D1886,"Vastgesteld")=1),1,0))</f>
        <v>0</v>
      </c>
      <c r="V1886" s="15">
        <f>IF(T1886="",0,IF(AND(G1886=T1886,COUNTIFS($S$6:S1886,S1886,$G$6:G1886,G1886,$D$6:D1886,"Vastgesteld")&gt;1),1,0))</f>
        <v>0</v>
      </c>
    </row>
    <row r="1887">
      <c r="S1887" s="15" t="str">
        <f>IF(J1887="","",J1887&amp;"|"&amp;E1887&amp;"|"&amp;F1887&amp;"|"&amp;I1887&amp;"|"&amp;O1887)</f>
        <v/>
      </c>
      <c r="T1887" s="15" t="str">
        <f>IF(OR(S1887="",D1887&lt;&gt;"Vastgesteld"),"",_xlfn.MAXIFS($G$6:$G$5005,$S$6:$S$5005,S1887,$D$6:$D$5005,"Vastgesteld"))</f>
        <v/>
      </c>
      <c r="U1887" s="15">
        <f>IF(T1887="",0,IF(AND(G1887=T1887,COUNTIFS($S$6:S1887,S1887,$G$6:G1887,G1887,$D$6:D1887,"Vastgesteld")=1),1,0))</f>
        <v>0</v>
      </c>
      <c r="V1887" s="15">
        <f>IF(T1887="",0,IF(AND(G1887=T1887,COUNTIFS($S$6:S1887,S1887,$G$6:G1887,G1887,$D$6:D1887,"Vastgesteld")&gt;1),1,0))</f>
        <v>0</v>
      </c>
    </row>
    <row r="1888">
      <c r="S1888" s="15" t="str">
        <f>IF(J1888="","",J1888&amp;"|"&amp;E1888&amp;"|"&amp;F1888&amp;"|"&amp;I1888&amp;"|"&amp;O1888)</f>
        <v/>
      </c>
      <c r="T1888" s="15" t="str">
        <f>IF(OR(S1888="",D1888&lt;&gt;"Vastgesteld"),"",_xlfn.MAXIFS($G$6:$G$5005,$S$6:$S$5005,S1888,$D$6:$D$5005,"Vastgesteld"))</f>
        <v/>
      </c>
      <c r="U1888" s="15">
        <f>IF(T1888="",0,IF(AND(G1888=T1888,COUNTIFS($S$6:S1888,S1888,$G$6:G1888,G1888,$D$6:D1888,"Vastgesteld")=1),1,0))</f>
        <v>0</v>
      </c>
      <c r="V1888" s="15">
        <f>IF(T1888="",0,IF(AND(G1888=T1888,COUNTIFS($S$6:S1888,S1888,$G$6:G1888,G1888,$D$6:D1888,"Vastgesteld")&gt;1),1,0))</f>
        <v>0</v>
      </c>
    </row>
    <row r="1889">
      <c r="S1889" s="15" t="str">
        <f>IF(J1889="","",J1889&amp;"|"&amp;E1889&amp;"|"&amp;F1889&amp;"|"&amp;I1889&amp;"|"&amp;O1889)</f>
        <v/>
      </c>
      <c r="T1889" s="15" t="str">
        <f>IF(OR(S1889="",D1889&lt;&gt;"Vastgesteld"),"",_xlfn.MAXIFS($G$6:$G$5005,$S$6:$S$5005,S1889,$D$6:$D$5005,"Vastgesteld"))</f>
        <v/>
      </c>
      <c r="U1889" s="15">
        <f>IF(T1889="",0,IF(AND(G1889=T1889,COUNTIFS($S$6:S1889,S1889,$G$6:G1889,G1889,$D$6:D1889,"Vastgesteld")=1),1,0))</f>
        <v>0</v>
      </c>
      <c r="V1889" s="15">
        <f>IF(T1889="",0,IF(AND(G1889=T1889,COUNTIFS($S$6:S1889,S1889,$G$6:G1889,G1889,$D$6:D1889,"Vastgesteld")&gt;1),1,0))</f>
        <v>0</v>
      </c>
    </row>
    <row r="1890">
      <c r="S1890" s="15" t="str">
        <f>IF(J1890="","",J1890&amp;"|"&amp;E1890&amp;"|"&amp;F1890&amp;"|"&amp;I1890&amp;"|"&amp;O1890)</f>
        <v/>
      </c>
      <c r="T1890" s="15" t="str">
        <f>IF(OR(S1890="",D1890&lt;&gt;"Vastgesteld"),"",_xlfn.MAXIFS($G$6:$G$5005,$S$6:$S$5005,S1890,$D$6:$D$5005,"Vastgesteld"))</f>
        <v/>
      </c>
      <c r="U1890" s="15">
        <f>IF(T1890="",0,IF(AND(G1890=T1890,COUNTIFS($S$6:S1890,S1890,$G$6:G1890,G1890,$D$6:D1890,"Vastgesteld")=1),1,0))</f>
        <v>0</v>
      </c>
      <c r="V1890" s="15">
        <f>IF(T1890="",0,IF(AND(G1890=T1890,COUNTIFS($S$6:S1890,S1890,$G$6:G1890,G1890,$D$6:D1890,"Vastgesteld")&gt;1),1,0))</f>
        <v>0</v>
      </c>
    </row>
    <row r="1891">
      <c r="S1891" s="15" t="str">
        <f>IF(J1891="","",J1891&amp;"|"&amp;E1891&amp;"|"&amp;F1891&amp;"|"&amp;I1891&amp;"|"&amp;O1891)</f>
        <v/>
      </c>
      <c r="T1891" s="15" t="str">
        <f>IF(OR(S1891="",D1891&lt;&gt;"Vastgesteld"),"",_xlfn.MAXIFS($G$6:$G$5005,$S$6:$S$5005,S1891,$D$6:$D$5005,"Vastgesteld"))</f>
        <v/>
      </c>
      <c r="U1891" s="15">
        <f>IF(T1891="",0,IF(AND(G1891=T1891,COUNTIFS($S$6:S1891,S1891,$G$6:G1891,G1891,$D$6:D1891,"Vastgesteld")=1),1,0))</f>
        <v>0</v>
      </c>
      <c r="V1891" s="15">
        <f>IF(T1891="",0,IF(AND(G1891=T1891,COUNTIFS($S$6:S1891,S1891,$G$6:G1891,G1891,$D$6:D1891,"Vastgesteld")&gt;1),1,0))</f>
        <v>0</v>
      </c>
    </row>
    <row r="1892">
      <c r="S1892" s="15" t="str">
        <f>IF(J1892="","",J1892&amp;"|"&amp;E1892&amp;"|"&amp;F1892&amp;"|"&amp;I1892&amp;"|"&amp;O1892)</f>
        <v/>
      </c>
      <c r="T1892" s="15" t="str">
        <f>IF(OR(S1892="",D1892&lt;&gt;"Vastgesteld"),"",_xlfn.MAXIFS($G$6:$G$5005,$S$6:$S$5005,S1892,$D$6:$D$5005,"Vastgesteld"))</f>
        <v/>
      </c>
      <c r="U1892" s="15">
        <f>IF(T1892="",0,IF(AND(G1892=T1892,COUNTIFS($S$6:S1892,S1892,$G$6:G1892,G1892,$D$6:D1892,"Vastgesteld")=1),1,0))</f>
        <v>0</v>
      </c>
      <c r="V1892" s="15">
        <f>IF(T1892="",0,IF(AND(G1892=T1892,COUNTIFS($S$6:S1892,S1892,$G$6:G1892,G1892,$D$6:D1892,"Vastgesteld")&gt;1),1,0))</f>
        <v>0</v>
      </c>
    </row>
    <row r="1893">
      <c r="S1893" s="15" t="str">
        <f>IF(J1893="","",J1893&amp;"|"&amp;E1893&amp;"|"&amp;F1893&amp;"|"&amp;I1893&amp;"|"&amp;O1893)</f>
        <v/>
      </c>
      <c r="T1893" s="15" t="str">
        <f>IF(OR(S1893="",D1893&lt;&gt;"Vastgesteld"),"",_xlfn.MAXIFS($G$6:$G$5005,$S$6:$S$5005,S1893,$D$6:$D$5005,"Vastgesteld"))</f>
        <v/>
      </c>
      <c r="U1893" s="15">
        <f>IF(T1893="",0,IF(AND(G1893=T1893,COUNTIFS($S$6:S1893,S1893,$G$6:G1893,G1893,$D$6:D1893,"Vastgesteld")=1),1,0))</f>
        <v>0</v>
      </c>
      <c r="V1893" s="15">
        <f>IF(T1893="",0,IF(AND(G1893=T1893,COUNTIFS($S$6:S1893,S1893,$G$6:G1893,G1893,$D$6:D1893,"Vastgesteld")&gt;1),1,0))</f>
        <v>0</v>
      </c>
    </row>
    <row r="1894">
      <c r="S1894" s="15" t="str">
        <f>IF(J1894="","",J1894&amp;"|"&amp;E1894&amp;"|"&amp;F1894&amp;"|"&amp;I1894&amp;"|"&amp;O1894)</f>
        <v/>
      </c>
      <c r="T1894" s="15" t="str">
        <f>IF(OR(S1894="",D1894&lt;&gt;"Vastgesteld"),"",_xlfn.MAXIFS($G$6:$G$5005,$S$6:$S$5005,S1894,$D$6:$D$5005,"Vastgesteld"))</f>
        <v/>
      </c>
      <c r="U1894" s="15">
        <f>IF(T1894="",0,IF(AND(G1894=T1894,COUNTIFS($S$6:S1894,S1894,$G$6:G1894,G1894,$D$6:D1894,"Vastgesteld")=1),1,0))</f>
        <v>0</v>
      </c>
      <c r="V1894" s="15">
        <f>IF(T1894="",0,IF(AND(G1894=T1894,COUNTIFS($S$6:S1894,S1894,$G$6:G1894,G1894,$D$6:D1894,"Vastgesteld")&gt;1),1,0))</f>
        <v>0</v>
      </c>
    </row>
    <row r="1895">
      <c r="S1895" s="15" t="str">
        <f>IF(J1895="","",J1895&amp;"|"&amp;E1895&amp;"|"&amp;F1895&amp;"|"&amp;I1895&amp;"|"&amp;O1895)</f>
        <v/>
      </c>
      <c r="T1895" s="15" t="str">
        <f>IF(OR(S1895="",D1895&lt;&gt;"Vastgesteld"),"",_xlfn.MAXIFS($G$6:$G$5005,$S$6:$S$5005,S1895,$D$6:$D$5005,"Vastgesteld"))</f>
        <v/>
      </c>
      <c r="U1895" s="15">
        <f>IF(T1895="",0,IF(AND(G1895=T1895,COUNTIFS($S$6:S1895,S1895,$G$6:G1895,G1895,$D$6:D1895,"Vastgesteld")=1),1,0))</f>
        <v>0</v>
      </c>
      <c r="V1895" s="15">
        <f>IF(T1895="",0,IF(AND(G1895=T1895,COUNTIFS($S$6:S1895,S1895,$G$6:G1895,G1895,$D$6:D1895,"Vastgesteld")&gt;1),1,0))</f>
        <v>0</v>
      </c>
    </row>
    <row r="1896">
      <c r="S1896" s="15" t="str">
        <f>IF(J1896="","",J1896&amp;"|"&amp;E1896&amp;"|"&amp;F1896&amp;"|"&amp;I1896&amp;"|"&amp;O1896)</f>
        <v/>
      </c>
      <c r="T1896" s="15" t="str">
        <f>IF(OR(S1896="",D1896&lt;&gt;"Vastgesteld"),"",_xlfn.MAXIFS($G$6:$G$5005,$S$6:$S$5005,S1896,$D$6:$D$5005,"Vastgesteld"))</f>
        <v/>
      </c>
      <c r="U1896" s="15">
        <f>IF(T1896="",0,IF(AND(G1896=T1896,COUNTIFS($S$6:S1896,S1896,$G$6:G1896,G1896,$D$6:D1896,"Vastgesteld")=1),1,0))</f>
        <v>0</v>
      </c>
      <c r="V1896" s="15">
        <f>IF(T1896="",0,IF(AND(G1896=T1896,COUNTIFS($S$6:S1896,S1896,$G$6:G1896,G1896,$D$6:D1896,"Vastgesteld")&gt;1),1,0))</f>
        <v>0</v>
      </c>
    </row>
    <row r="1897">
      <c r="S1897" s="15" t="str">
        <f>IF(J1897="","",J1897&amp;"|"&amp;E1897&amp;"|"&amp;F1897&amp;"|"&amp;I1897&amp;"|"&amp;O1897)</f>
        <v/>
      </c>
      <c r="T1897" s="15" t="str">
        <f>IF(OR(S1897="",D1897&lt;&gt;"Vastgesteld"),"",_xlfn.MAXIFS($G$6:$G$5005,$S$6:$S$5005,S1897,$D$6:$D$5005,"Vastgesteld"))</f>
        <v/>
      </c>
      <c r="U1897" s="15">
        <f>IF(T1897="",0,IF(AND(G1897=T1897,COUNTIFS($S$6:S1897,S1897,$G$6:G1897,G1897,$D$6:D1897,"Vastgesteld")=1),1,0))</f>
        <v>0</v>
      </c>
      <c r="V1897" s="15">
        <f>IF(T1897="",0,IF(AND(G1897=T1897,COUNTIFS($S$6:S1897,S1897,$G$6:G1897,G1897,$D$6:D1897,"Vastgesteld")&gt;1),1,0))</f>
        <v>0</v>
      </c>
    </row>
    <row r="1898">
      <c r="S1898" s="15" t="str">
        <f>IF(J1898="","",J1898&amp;"|"&amp;E1898&amp;"|"&amp;F1898&amp;"|"&amp;I1898&amp;"|"&amp;O1898)</f>
        <v/>
      </c>
      <c r="T1898" s="15" t="str">
        <f>IF(OR(S1898="",D1898&lt;&gt;"Vastgesteld"),"",_xlfn.MAXIFS($G$6:$G$5005,$S$6:$S$5005,S1898,$D$6:$D$5005,"Vastgesteld"))</f>
        <v/>
      </c>
      <c r="U1898" s="15">
        <f>IF(T1898="",0,IF(AND(G1898=T1898,COUNTIFS($S$6:S1898,S1898,$G$6:G1898,G1898,$D$6:D1898,"Vastgesteld")=1),1,0))</f>
        <v>0</v>
      </c>
      <c r="V1898" s="15">
        <f>IF(T1898="",0,IF(AND(G1898=T1898,COUNTIFS($S$6:S1898,S1898,$G$6:G1898,G1898,$D$6:D1898,"Vastgesteld")&gt;1),1,0))</f>
        <v>0</v>
      </c>
    </row>
    <row r="1899">
      <c r="S1899" s="15" t="str">
        <f>IF(J1899="","",J1899&amp;"|"&amp;E1899&amp;"|"&amp;F1899&amp;"|"&amp;I1899&amp;"|"&amp;O1899)</f>
        <v/>
      </c>
      <c r="T1899" s="15" t="str">
        <f>IF(OR(S1899="",D1899&lt;&gt;"Vastgesteld"),"",_xlfn.MAXIFS($G$6:$G$5005,$S$6:$S$5005,S1899,$D$6:$D$5005,"Vastgesteld"))</f>
        <v/>
      </c>
      <c r="U1899" s="15">
        <f>IF(T1899="",0,IF(AND(G1899=T1899,COUNTIFS($S$6:S1899,S1899,$G$6:G1899,G1899,$D$6:D1899,"Vastgesteld")=1),1,0))</f>
        <v>0</v>
      </c>
      <c r="V1899" s="15">
        <f>IF(T1899="",0,IF(AND(G1899=T1899,COUNTIFS($S$6:S1899,S1899,$G$6:G1899,G1899,$D$6:D1899,"Vastgesteld")&gt;1),1,0))</f>
        <v>0</v>
      </c>
    </row>
    <row r="1900">
      <c r="S1900" s="15" t="str">
        <f>IF(J1900="","",J1900&amp;"|"&amp;E1900&amp;"|"&amp;F1900&amp;"|"&amp;I1900&amp;"|"&amp;O1900)</f>
        <v/>
      </c>
      <c r="T1900" s="15" t="str">
        <f>IF(OR(S1900="",D1900&lt;&gt;"Vastgesteld"),"",_xlfn.MAXIFS($G$6:$G$5005,$S$6:$S$5005,S1900,$D$6:$D$5005,"Vastgesteld"))</f>
        <v/>
      </c>
      <c r="U1900" s="15">
        <f>IF(T1900="",0,IF(AND(G1900=T1900,COUNTIFS($S$6:S1900,S1900,$G$6:G1900,G1900,$D$6:D1900,"Vastgesteld")=1),1,0))</f>
        <v>0</v>
      </c>
      <c r="V1900" s="15">
        <f>IF(T1900="",0,IF(AND(G1900=T1900,COUNTIFS($S$6:S1900,S1900,$G$6:G1900,G1900,$D$6:D1900,"Vastgesteld")&gt;1),1,0))</f>
        <v>0</v>
      </c>
    </row>
    <row r="1901">
      <c r="S1901" s="15" t="str">
        <f>IF(J1901="","",J1901&amp;"|"&amp;E1901&amp;"|"&amp;F1901&amp;"|"&amp;I1901&amp;"|"&amp;O1901)</f>
        <v/>
      </c>
      <c r="T1901" s="15" t="str">
        <f>IF(OR(S1901="",D1901&lt;&gt;"Vastgesteld"),"",_xlfn.MAXIFS($G$6:$G$5005,$S$6:$S$5005,S1901,$D$6:$D$5005,"Vastgesteld"))</f>
        <v/>
      </c>
      <c r="U1901" s="15">
        <f>IF(T1901="",0,IF(AND(G1901=T1901,COUNTIFS($S$6:S1901,S1901,$G$6:G1901,G1901,$D$6:D1901,"Vastgesteld")=1),1,0))</f>
        <v>0</v>
      </c>
      <c r="V1901" s="15">
        <f>IF(T1901="",0,IF(AND(G1901=T1901,COUNTIFS($S$6:S1901,S1901,$G$6:G1901,G1901,$D$6:D1901,"Vastgesteld")&gt;1),1,0))</f>
        <v>0</v>
      </c>
    </row>
    <row r="1902">
      <c r="S1902" s="15" t="str">
        <f>IF(J1902="","",J1902&amp;"|"&amp;E1902&amp;"|"&amp;F1902&amp;"|"&amp;I1902&amp;"|"&amp;O1902)</f>
        <v/>
      </c>
      <c r="T1902" s="15" t="str">
        <f>IF(OR(S1902="",D1902&lt;&gt;"Vastgesteld"),"",_xlfn.MAXIFS($G$6:$G$5005,$S$6:$S$5005,S1902,$D$6:$D$5005,"Vastgesteld"))</f>
        <v/>
      </c>
      <c r="U1902" s="15">
        <f>IF(T1902="",0,IF(AND(G1902=T1902,COUNTIFS($S$6:S1902,S1902,$G$6:G1902,G1902,$D$6:D1902,"Vastgesteld")=1),1,0))</f>
        <v>0</v>
      </c>
      <c r="V1902" s="15">
        <f>IF(T1902="",0,IF(AND(G1902=T1902,COUNTIFS($S$6:S1902,S1902,$G$6:G1902,G1902,$D$6:D1902,"Vastgesteld")&gt;1),1,0))</f>
        <v>0</v>
      </c>
    </row>
    <row r="1903">
      <c r="S1903" s="15" t="str">
        <f>IF(J1903="","",J1903&amp;"|"&amp;E1903&amp;"|"&amp;F1903&amp;"|"&amp;I1903&amp;"|"&amp;O1903)</f>
        <v/>
      </c>
      <c r="T1903" s="15" t="str">
        <f>IF(OR(S1903="",D1903&lt;&gt;"Vastgesteld"),"",_xlfn.MAXIFS($G$6:$G$5005,$S$6:$S$5005,S1903,$D$6:$D$5005,"Vastgesteld"))</f>
        <v/>
      </c>
      <c r="U1903" s="15">
        <f>IF(T1903="",0,IF(AND(G1903=T1903,COUNTIFS($S$6:S1903,S1903,$G$6:G1903,G1903,$D$6:D1903,"Vastgesteld")=1),1,0))</f>
        <v>0</v>
      </c>
      <c r="V1903" s="15">
        <f>IF(T1903="",0,IF(AND(G1903=T1903,COUNTIFS($S$6:S1903,S1903,$G$6:G1903,G1903,$D$6:D1903,"Vastgesteld")&gt;1),1,0))</f>
        <v>0</v>
      </c>
    </row>
    <row r="1904">
      <c r="S1904" s="15" t="str">
        <f>IF(J1904="","",J1904&amp;"|"&amp;E1904&amp;"|"&amp;F1904&amp;"|"&amp;I1904&amp;"|"&amp;O1904)</f>
        <v/>
      </c>
      <c r="T1904" s="15" t="str">
        <f>IF(OR(S1904="",D1904&lt;&gt;"Vastgesteld"),"",_xlfn.MAXIFS($G$6:$G$5005,$S$6:$S$5005,S1904,$D$6:$D$5005,"Vastgesteld"))</f>
        <v/>
      </c>
      <c r="U1904" s="15">
        <f>IF(T1904="",0,IF(AND(G1904=T1904,COUNTIFS($S$6:S1904,S1904,$G$6:G1904,G1904,$D$6:D1904,"Vastgesteld")=1),1,0))</f>
        <v>0</v>
      </c>
      <c r="V1904" s="15">
        <f>IF(T1904="",0,IF(AND(G1904=T1904,COUNTIFS($S$6:S1904,S1904,$G$6:G1904,G1904,$D$6:D1904,"Vastgesteld")&gt;1),1,0))</f>
        <v>0</v>
      </c>
    </row>
    <row r="1905">
      <c r="S1905" s="15" t="str">
        <f>IF(J1905="","",J1905&amp;"|"&amp;E1905&amp;"|"&amp;F1905&amp;"|"&amp;I1905&amp;"|"&amp;O1905)</f>
        <v/>
      </c>
      <c r="T1905" s="15" t="str">
        <f>IF(OR(S1905="",D1905&lt;&gt;"Vastgesteld"),"",_xlfn.MAXIFS($G$6:$G$5005,$S$6:$S$5005,S1905,$D$6:$D$5005,"Vastgesteld"))</f>
        <v/>
      </c>
      <c r="U1905" s="15">
        <f>IF(T1905="",0,IF(AND(G1905=T1905,COUNTIFS($S$6:S1905,S1905,$G$6:G1905,G1905,$D$6:D1905,"Vastgesteld")=1),1,0))</f>
        <v>0</v>
      </c>
      <c r="V1905" s="15">
        <f>IF(T1905="",0,IF(AND(G1905=T1905,COUNTIFS($S$6:S1905,S1905,$G$6:G1905,G1905,$D$6:D1905,"Vastgesteld")&gt;1),1,0))</f>
        <v>0</v>
      </c>
    </row>
    <row r="1906">
      <c r="S1906" s="15" t="str">
        <f>IF(J1906="","",J1906&amp;"|"&amp;E1906&amp;"|"&amp;F1906&amp;"|"&amp;I1906&amp;"|"&amp;O1906)</f>
        <v/>
      </c>
      <c r="T1906" s="15" t="str">
        <f>IF(OR(S1906="",D1906&lt;&gt;"Vastgesteld"),"",_xlfn.MAXIFS($G$6:$G$5005,$S$6:$S$5005,S1906,$D$6:$D$5005,"Vastgesteld"))</f>
        <v/>
      </c>
      <c r="U1906" s="15">
        <f>IF(T1906="",0,IF(AND(G1906=T1906,COUNTIFS($S$6:S1906,S1906,$G$6:G1906,G1906,$D$6:D1906,"Vastgesteld")=1),1,0))</f>
        <v>0</v>
      </c>
      <c r="V1906" s="15">
        <f>IF(T1906="",0,IF(AND(G1906=T1906,COUNTIFS($S$6:S1906,S1906,$G$6:G1906,G1906,$D$6:D1906,"Vastgesteld")&gt;1),1,0))</f>
        <v>0</v>
      </c>
    </row>
    <row r="1907">
      <c r="S1907" s="15" t="str">
        <f>IF(J1907="","",J1907&amp;"|"&amp;E1907&amp;"|"&amp;F1907&amp;"|"&amp;I1907&amp;"|"&amp;O1907)</f>
        <v/>
      </c>
      <c r="T1907" s="15" t="str">
        <f>IF(OR(S1907="",D1907&lt;&gt;"Vastgesteld"),"",_xlfn.MAXIFS($G$6:$G$5005,$S$6:$S$5005,S1907,$D$6:$D$5005,"Vastgesteld"))</f>
        <v/>
      </c>
      <c r="U1907" s="15">
        <f>IF(T1907="",0,IF(AND(G1907=T1907,COUNTIFS($S$6:S1907,S1907,$G$6:G1907,G1907,$D$6:D1907,"Vastgesteld")=1),1,0))</f>
        <v>0</v>
      </c>
      <c r="V1907" s="15">
        <f>IF(T1907="",0,IF(AND(G1907=T1907,COUNTIFS($S$6:S1907,S1907,$G$6:G1907,G1907,$D$6:D1907,"Vastgesteld")&gt;1),1,0))</f>
        <v>0</v>
      </c>
    </row>
    <row r="1908">
      <c r="S1908" s="15" t="str">
        <f>IF(J1908="","",J1908&amp;"|"&amp;E1908&amp;"|"&amp;F1908&amp;"|"&amp;I1908&amp;"|"&amp;O1908)</f>
        <v/>
      </c>
      <c r="T1908" s="15" t="str">
        <f>IF(OR(S1908="",D1908&lt;&gt;"Vastgesteld"),"",_xlfn.MAXIFS($G$6:$G$5005,$S$6:$S$5005,S1908,$D$6:$D$5005,"Vastgesteld"))</f>
        <v/>
      </c>
      <c r="U1908" s="15">
        <f>IF(T1908="",0,IF(AND(G1908=T1908,COUNTIFS($S$6:S1908,S1908,$G$6:G1908,G1908,$D$6:D1908,"Vastgesteld")=1),1,0))</f>
        <v>0</v>
      </c>
      <c r="V1908" s="15">
        <f>IF(T1908="",0,IF(AND(G1908=T1908,COUNTIFS($S$6:S1908,S1908,$G$6:G1908,G1908,$D$6:D1908,"Vastgesteld")&gt;1),1,0))</f>
        <v>0</v>
      </c>
    </row>
    <row r="1909">
      <c r="S1909" s="15" t="str">
        <f>IF(J1909="","",J1909&amp;"|"&amp;E1909&amp;"|"&amp;F1909&amp;"|"&amp;I1909&amp;"|"&amp;O1909)</f>
        <v/>
      </c>
      <c r="T1909" s="15" t="str">
        <f>IF(OR(S1909="",D1909&lt;&gt;"Vastgesteld"),"",_xlfn.MAXIFS($G$6:$G$5005,$S$6:$S$5005,S1909,$D$6:$D$5005,"Vastgesteld"))</f>
        <v/>
      </c>
      <c r="U1909" s="15">
        <f>IF(T1909="",0,IF(AND(G1909=T1909,COUNTIFS($S$6:S1909,S1909,$G$6:G1909,G1909,$D$6:D1909,"Vastgesteld")=1),1,0))</f>
        <v>0</v>
      </c>
      <c r="V1909" s="15">
        <f>IF(T1909="",0,IF(AND(G1909=T1909,COUNTIFS($S$6:S1909,S1909,$G$6:G1909,G1909,$D$6:D1909,"Vastgesteld")&gt;1),1,0))</f>
        <v>0</v>
      </c>
    </row>
    <row r="1910">
      <c r="S1910" s="15" t="str">
        <f>IF(J1910="","",J1910&amp;"|"&amp;E1910&amp;"|"&amp;F1910&amp;"|"&amp;I1910&amp;"|"&amp;O1910)</f>
        <v/>
      </c>
      <c r="T1910" s="15" t="str">
        <f>IF(OR(S1910="",D1910&lt;&gt;"Vastgesteld"),"",_xlfn.MAXIFS($G$6:$G$5005,$S$6:$S$5005,S1910,$D$6:$D$5005,"Vastgesteld"))</f>
        <v/>
      </c>
      <c r="U1910" s="15">
        <f>IF(T1910="",0,IF(AND(G1910=T1910,COUNTIFS($S$6:S1910,S1910,$G$6:G1910,G1910,$D$6:D1910,"Vastgesteld")=1),1,0))</f>
        <v>0</v>
      </c>
      <c r="V1910" s="15">
        <f>IF(T1910="",0,IF(AND(G1910=T1910,COUNTIFS($S$6:S1910,S1910,$G$6:G1910,G1910,$D$6:D1910,"Vastgesteld")&gt;1),1,0))</f>
        <v>0</v>
      </c>
    </row>
    <row r="1911">
      <c r="S1911" s="15" t="str">
        <f>IF(J1911="","",J1911&amp;"|"&amp;E1911&amp;"|"&amp;F1911&amp;"|"&amp;I1911&amp;"|"&amp;O1911)</f>
        <v/>
      </c>
      <c r="T1911" s="15" t="str">
        <f>IF(OR(S1911="",D1911&lt;&gt;"Vastgesteld"),"",_xlfn.MAXIFS($G$6:$G$5005,$S$6:$S$5005,S1911,$D$6:$D$5005,"Vastgesteld"))</f>
        <v/>
      </c>
      <c r="U1911" s="15">
        <f>IF(T1911="",0,IF(AND(G1911=T1911,COUNTIFS($S$6:S1911,S1911,$G$6:G1911,G1911,$D$6:D1911,"Vastgesteld")=1),1,0))</f>
        <v>0</v>
      </c>
      <c r="V1911" s="15">
        <f>IF(T1911="",0,IF(AND(G1911=T1911,COUNTIFS($S$6:S1911,S1911,$G$6:G1911,G1911,$D$6:D1911,"Vastgesteld")&gt;1),1,0))</f>
        <v>0</v>
      </c>
    </row>
    <row r="1912">
      <c r="S1912" s="15" t="str">
        <f>IF(J1912="","",J1912&amp;"|"&amp;E1912&amp;"|"&amp;F1912&amp;"|"&amp;I1912&amp;"|"&amp;O1912)</f>
        <v/>
      </c>
      <c r="T1912" s="15" t="str">
        <f>IF(OR(S1912="",D1912&lt;&gt;"Vastgesteld"),"",_xlfn.MAXIFS($G$6:$G$5005,$S$6:$S$5005,S1912,$D$6:$D$5005,"Vastgesteld"))</f>
        <v/>
      </c>
      <c r="U1912" s="15">
        <f>IF(T1912="",0,IF(AND(G1912=T1912,COUNTIFS($S$6:S1912,S1912,$G$6:G1912,G1912,$D$6:D1912,"Vastgesteld")=1),1,0))</f>
        <v>0</v>
      </c>
      <c r="V1912" s="15">
        <f>IF(T1912="",0,IF(AND(G1912=T1912,COUNTIFS($S$6:S1912,S1912,$G$6:G1912,G1912,$D$6:D1912,"Vastgesteld")&gt;1),1,0))</f>
        <v>0</v>
      </c>
    </row>
    <row r="1913">
      <c r="S1913" s="15" t="str">
        <f>IF(J1913="","",J1913&amp;"|"&amp;E1913&amp;"|"&amp;F1913&amp;"|"&amp;I1913&amp;"|"&amp;O1913)</f>
        <v/>
      </c>
      <c r="T1913" s="15" t="str">
        <f>IF(OR(S1913="",D1913&lt;&gt;"Vastgesteld"),"",_xlfn.MAXIFS($G$6:$G$5005,$S$6:$S$5005,S1913,$D$6:$D$5005,"Vastgesteld"))</f>
        <v/>
      </c>
      <c r="U1913" s="15">
        <f>IF(T1913="",0,IF(AND(G1913=T1913,COUNTIFS($S$6:S1913,S1913,$G$6:G1913,G1913,$D$6:D1913,"Vastgesteld")=1),1,0))</f>
        <v>0</v>
      </c>
      <c r="V1913" s="15">
        <f>IF(T1913="",0,IF(AND(G1913=T1913,COUNTIFS($S$6:S1913,S1913,$G$6:G1913,G1913,$D$6:D1913,"Vastgesteld")&gt;1),1,0))</f>
        <v>0</v>
      </c>
    </row>
    <row r="1914">
      <c r="S1914" s="15" t="str">
        <f>IF(J1914="","",J1914&amp;"|"&amp;E1914&amp;"|"&amp;F1914&amp;"|"&amp;I1914&amp;"|"&amp;O1914)</f>
        <v/>
      </c>
      <c r="T1914" s="15" t="str">
        <f>IF(OR(S1914="",D1914&lt;&gt;"Vastgesteld"),"",_xlfn.MAXIFS($G$6:$G$5005,$S$6:$S$5005,S1914,$D$6:$D$5005,"Vastgesteld"))</f>
        <v/>
      </c>
      <c r="U1914" s="15">
        <f>IF(T1914="",0,IF(AND(G1914=T1914,COUNTIFS($S$6:S1914,S1914,$G$6:G1914,G1914,$D$6:D1914,"Vastgesteld")=1),1,0))</f>
        <v>0</v>
      </c>
      <c r="V1914" s="15">
        <f>IF(T1914="",0,IF(AND(G1914=T1914,COUNTIFS($S$6:S1914,S1914,$G$6:G1914,G1914,$D$6:D1914,"Vastgesteld")&gt;1),1,0))</f>
        <v>0</v>
      </c>
    </row>
    <row r="1915">
      <c r="S1915" s="15" t="str">
        <f>IF(J1915="","",J1915&amp;"|"&amp;E1915&amp;"|"&amp;F1915&amp;"|"&amp;I1915&amp;"|"&amp;O1915)</f>
        <v/>
      </c>
      <c r="T1915" s="15" t="str">
        <f>IF(OR(S1915="",D1915&lt;&gt;"Vastgesteld"),"",_xlfn.MAXIFS($G$6:$G$5005,$S$6:$S$5005,S1915,$D$6:$D$5005,"Vastgesteld"))</f>
        <v/>
      </c>
      <c r="U1915" s="15">
        <f>IF(T1915="",0,IF(AND(G1915=T1915,COUNTIFS($S$6:S1915,S1915,$G$6:G1915,G1915,$D$6:D1915,"Vastgesteld")=1),1,0))</f>
        <v>0</v>
      </c>
      <c r="V1915" s="15">
        <f>IF(T1915="",0,IF(AND(G1915=T1915,COUNTIFS($S$6:S1915,S1915,$G$6:G1915,G1915,$D$6:D1915,"Vastgesteld")&gt;1),1,0))</f>
        <v>0</v>
      </c>
    </row>
    <row r="1916">
      <c r="S1916" s="15" t="str">
        <f>IF(J1916="","",J1916&amp;"|"&amp;E1916&amp;"|"&amp;F1916&amp;"|"&amp;I1916&amp;"|"&amp;O1916)</f>
        <v/>
      </c>
      <c r="T1916" s="15" t="str">
        <f>IF(OR(S1916="",D1916&lt;&gt;"Vastgesteld"),"",_xlfn.MAXIFS($G$6:$G$5005,$S$6:$S$5005,S1916,$D$6:$D$5005,"Vastgesteld"))</f>
        <v/>
      </c>
      <c r="U1916" s="15">
        <f>IF(T1916="",0,IF(AND(G1916=T1916,COUNTIFS($S$6:S1916,S1916,$G$6:G1916,G1916,$D$6:D1916,"Vastgesteld")=1),1,0))</f>
        <v>0</v>
      </c>
      <c r="V1916" s="15">
        <f>IF(T1916="",0,IF(AND(G1916=T1916,COUNTIFS($S$6:S1916,S1916,$G$6:G1916,G1916,$D$6:D1916,"Vastgesteld")&gt;1),1,0))</f>
        <v>0</v>
      </c>
    </row>
    <row r="1917">
      <c r="S1917" s="15" t="str">
        <f>IF(J1917="","",J1917&amp;"|"&amp;E1917&amp;"|"&amp;F1917&amp;"|"&amp;I1917&amp;"|"&amp;O1917)</f>
        <v/>
      </c>
      <c r="T1917" s="15" t="str">
        <f>IF(OR(S1917="",D1917&lt;&gt;"Vastgesteld"),"",_xlfn.MAXIFS($G$6:$G$5005,$S$6:$S$5005,S1917,$D$6:$D$5005,"Vastgesteld"))</f>
        <v/>
      </c>
      <c r="U1917" s="15">
        <f>IF(T1917="",0,IF(AND(G1917=T1917,COUNTIFS($S$6:S1917,S1917,$G$6:G1917,G1917,$D$6:D1917,"Vastgesteld")=1),1,0))</f>
        <v>0</v>
      </c>
      <c r="V1917" s="15">
        <f>IF(T1917="",0,IF(AND(G1917=T1917,COUNTIFS($S$6:S1917,S1917,$G$6:G1917,G1917,$D$6:D1917,"Vastgesteld")&gt;1),1,0))</f>
        <v>0</v>
      </c>
    </row>
    <row r="1918">
      <c r="S1918" s="15" t="str">
        <f>IF(J1918="","",J1918&amp;"|"&amp;E1918&amp;"|"&amp;F1918&amp;"|"&amp;I1918&amp;"|"&amp;O1918)</f>
        <v/>
      </c>
      <c r="T1918" s="15" t="str">
        <f>IF(OR(S1918="",D1918&lt;&gt;"Vastgesteld"),"",_xlfn.MAXIFS($G$6:$G$5005,$S$6:$S$5005,S1918,$D$6:$D$5005,"Vastgesteld"))</f>
        <v/>
      </c>
      <c r="U1918" s="15">
        <f>IF(T1918="",0,IF(AND(G1918=T1918,COUNTIFS($S$6:S1918,S1918,$G$6:G1918,G1918,$D$6:D1918,"Vastgesteld")=1),1,0))</f>
        <v>0</v>
      </c>
      <c r="V1918" s="15">
        <f>IF(T1918="",0,IF(AND(G1918=T1918,COUNTIFS($S$6:S1918,S1918,$G$6:G1918,G1918,$D$6:D1918,"Vastgesteld")&gt;1),1,0))</f>
        <v>0</v>
      </c>
    </row>
    <row r="1919">
      <c r="S1919" s="15" t="str">
        <f>IF(J1919="","",J1919&amp;"|"&amp;E1919&amp;"|"&amp;F1919&amp;"|"&amp;I1919&amp;"|"&amp;O1919)</f>
        <v/>
      </c>
      <c r="T1919" s="15" t="str">
        <f>IF(OR(S1919="",D1919&lt;&gt;"Vastgesteld"),"",_xlfn.MAXIFS($G$6:$G$5005,$S$6:$S$5005,S1919,$D$6:$D$5005,"Vastgesteld"))</f>
        <v/>
      </c>
      <c r="U1919" s="15">
        <f>IF(T1919="",0,IF(AND(G1919=T1919,COUNTIFS($S$6:S1919,S1919,$G$6:G1919,G1919,$D$6:D1919,"Vastgesteld")=1),1,0))</f>
        <v>0</v>
      </c>
      <c r="V1919" s="15">
        <f>IF(T1919="",0,IF(AND(G1919=T1919,COUNTIFS($S$6:S1919,S1919,$G$6:G1919,G1919,$D$6:D1919,"Vastgesteld")&gt;1),1,0))</f>
        <v>0</v>
      </c>
    </row>
    <row r="1920">
      <c r="S1920" s="15" t="str">
        <f>IF(J1920="","",J1920&amp;"|"&amp;E1920&amp;"|"&amp;F1920&amp;"|"&amp;I1920&amp;"|"&amp;O1920)</f>
        <v/>
      </c>
      <c r="T1920" s="15" t="str">
        <f>IF(OR(S1920="",D1920&lt;&gt;"Vastgesteld"),"",_xlfn.MAXIFS($G$6:$G$5005,$S$6:$S$5005,S1920,$D$6:$D$5005,"Vastgesteld"))</f>
        <v/>
      </c>
      <c r="U1920" s="15">
        <f>IF(T1920="",0,IF(AND(G1920=T1920,COUNTIFS($S$6:S1920,S1920,$G$6:G1920,G1920,$D$6:D1920,"Vastgesteld")=1),1,0))</f>
        <v>0</v>
      </c>
      <c r="V1920" s="15">
        <f>IF(T1920="",0,IF(AND(G1920=T1920,COUNTIFS($S$6:S1920,S1920,$G$6:G1920,G1920,$D$6:D1920,"Vastgesteld")&gt;1),1,0))</f>
        <v>0</v>
      </c>
    </row>
    <row r="1921">
      <c r="S1921" s="15" t="str">
        <f>IF(J1921="","",J1921&amp;"|"&amp;E1921&amp;"|"&amp;F1921&amp;"|"&amp;I1921&amp;"|"&amp;O1921)</f>
        <v/>
      </c>
      <c r="T1921" s="15" t="str">
        <f>IF(OR(S1921="",D1921&lt;&gt;"Vastgesteld"),"",_xlfn.MAXIFS($G$6:$G$5005,$S$6:$S$5005,S1921,$D$6:$D$5005,"Vastgesteld"))</f>
        <v/>
      </c>
      <c r="U1921" s="15">
        <f>IF(T1921="",0,IF(AND(G1921=T1921,COUNTIFS($S$6:S1921,S1921,$G$6:G1921,G1921,$D$6:D1921,"Vastgesteld")=1),1,0))</f>
        <v>0</v>
      </c>
      <c r="V1921" s="15">
        <f>IF(T1921="",0,IF(AND(G1921=T1921,COUNTIFS($S$6:S1921,S1921,$G$6:G1921,G1921,$D$6:D1921,"Vastgesteld")&gt;1),1,0))</f>
        <v>0</v>
      </c>
    </row>
    <row r="1922">
      <c r="S1922" s="15" t="str">
        <f>IF(J1922="","",J1922&amp;"|"&amp;E1922&amp;"|"&amp;F1922&amp;"|"&amp;I1922&amp;"|"&amp;O1922)</f>
        <v/>
      </c>
      <c r="T1922" s="15" t="str">
        <f>IF(OR(S1922="",D1922&lt;&gt;"Vastgesteld"),"",_xlfn.MAXIFS($G$6:$G$5005,$S$6:$S$5005,S1922,$D$6:$D$5005,"Vastgesteld"))</f>
        <v/>
      </c>
      <c r="U1922" s="15">
        <f>IF(T1922="",0,IF(AND(G1922=T1922,COUNTIFS($S$6:S1922,S1922,$G$6:G1922,G1922,$D$6:D1922,"Vastgesteld")=1),1,0))</f>
        <v>0</v>
      </c>
      <c r="V1922" s="15">
        <f>IF(T1922="",0,IF(AND(G1922=T1922,COUNTIFS($S$6:S1922,S1922,$G$6:G1922,G1922,$D$6:D1922,"Vastgesteld")&gt;1),1,0))</f>
        <v>0</v>
      </c>
    </row>
    <row r="1923">
      <c r="S1923" s="15" t="str">
        <f>IF(J1923="","",J1923&amp;"|"&amp;E1923&amp;"|"&amp;F1923&amp;"|"&amp;I1923&amp;"|"&amp;O1923)</f>
        <v/>
      </c>
      <c r="T1923" s="15" t="str">
        <f>IF(OR(S1923="",D1923&lt;&gt;"Vastgesteld"),"",_xlfn.MAXIFS($G$6:$G$5005,$S$6:$S$5005,S1923,$D$6:$D$5005,"Vastgesteld"))</f>
        <v/>
      </c>
      <c r="U1923" s="15">
        <f>IF(T1923="",0,IF(AND(G1923=T1923,COUNTIFS($S$6:S1923,S1923,$G$6:G1923,G1923,$D$6:D1923,"Vastgesteld")=1),1,0))</f>
        <v>0</v>
      </c>
      <c r="V1923" s="15">
        <f>IF(T1923="",0,IF(AND(G1923=T1923,COUNTIFS($S$6:S1923,S1923,$G$6:G1923,G1923,$D$6:D1923,"Vastgesteld")&gt;1),1,0))</f>
        <v>0</v>
      </c>
    </row>
    <row r="1924">
      <c r="S1924" s="15" t="str">
        <f>IF(J1924="","",J1924&amp;"|"&amp;E1924&amp;"|"&amp;F1924&amp;"|"&amp;I1924&amp;"|"&amp;O1924)</f>
        <v/>
      </c>
      <c r="T1924" s="15" t="str">
        <f>IF(OR(S1924="",D1924&lt;&gt;"Vastgesteld"),"",_xlfn.MAXIFS($G$6:$G$5005,$S$6:$S$5005,S1924,$D$6:$D$5005,"Vastgesteld"))</f>
        <v/>
      </c>
      <c r="U1924" s="15">
        <f>IF(T1924="",0,IF(AND(G1924=T1924,COUNTIFS($S$6:S1924,S1924,$G$6:G1924,G1924,$D$6:D1924,"Vastgesteld")=1),1,0))</f>
        <v>0</v>
      </c>
      <c r="V1924" s="15">
        <f>IF(T1924="",0,IF(AND(G1924=T1924,COUNTIFS($S$6:S1924,S1924,$G$6:G1924,G1924,$D$6:D1924,"Vastgesteld")&gt;1),1,0))</f>
        <v>0</v>
      </c>
    </row>
    <row r="1925">
      <c r="S1925" s="15" t="str">
        <f>IF(J1925="","",J1925&amp;"|"&amp;E1925&amp;"|"&amp;F1925&amp;"|"&amp;I1925&amp;"|"&amp;O1925)</f>
        <v/>
      </c>
      <c r="T1925" s="15" t="str">
        <f>IF(OR(S1925="",D1925&lt;&gt;"Vastgesteld"),"",_xlfn.MAXIFS($G$6:$G$5005,$S$6:$S$5005,S1925,$D$6:$D$5005,"Vastgesteld"))</f>
        <v/>
      </c>
      <c r="U1925" s="15">
        <f>IF(T1925="",0,IF(AND(G1925=T1925,COUNTIFS($S$6:S1925,S1925,$G$6:G1925,G1925,$D$6:D1925,"Vastgesteld")=1),1,0))</f>
        <v>0</v>
      </c>
      <c r="V1925" s="15">
        <f>IF(T1925="",0,IF(AND(G1925=T1925,COUNTIFS($S$6:S1925,S1925,$G$6:G1925,G1925,$D$6:D1925,"Vastgesteld")&gt;1),1,0))</f>
        <v>0</v>
      </c>
    </row>
    <row r="1926">
      <c r="S1926" s="15" t="str">
        <f>IF(J1926="","",J1926&amp;"|"&amp;E1926&amp;"|"&amp;F1926&amp;"|"&amp;I1926&amp;"|"&amp;O1926)</f>
        <v/>
      </c>
      <c r="T1926" s="15" t="str">
        <f>IF(OR(S1926="",D1926&lt;&gt;"Vastgesteld"),"",_xlfn.MAXIFS($G$6:$G$5005,$S$6:$S$5005,S1926,$D$6:$D$5005,"Vastgesteld"))</f>
        <v/>
      </c>
      <c r="U1926" s="15">
        <f>IF(T1926="",0,IF(AND(G1926=T1926,COUNTIFS($S$6:S1926,S1926,$G$6:G1926,G1926,$D$6:D1926,"Vastgesteld")=1),1,0))</f>
        <v>0</v>
      </c>
      <c r="V1926" s="15">
        <f>IF(T1926="",0,IF(AND(G1926=T1926,COUNTIFS($S$6:S1926,S1926,$G$6:G1926,G1926,$D$6:D1926,"Vastgesteld")&gt;1),1,0))</f>
        <v>0</v>
      </c>
    </row>
    <row r="1927">
      <c r="S1927" s="15" t="str">
        <f>IF(J1927="","",J1927&amp;"|"&amp;E1927&amp;"|"&amp;F1927&amp;"|"&amp;I1927&amp;"|"&amp;O1927)</f>
        <v/>
      </c>
      <c r="T1927" s="15" t="str">
        <f>IF(OR(S1927="",D1927&lt;&gt;"Vastgesteld"),"",_xlfn.MAXIFS($G$6:$G$5005,$S$6:$S$5005,S1927,$D$6:$D$5005,"Vastgesteld"))</f>
        <v/>
      </c>
      <c r="U1927" s="15">
        <f>IF(T1927="",0,IF(AND(G1927=T1927,COUNTIFS($S$6:S1927,S1927,$G$6:G1927,G1927,$D$6:D1927,"Vastgesteld")=1),1,0))</f>
        <v>0</v>
      </c>
      <c r="V1927" s="15">
        <f>IF(T1927="",0,IF(AND(G1927=T1927,COUNTIFS($S$6:S1927,S1927,$G$6:G1927,G1927,$D$6:D1927,"Vastgesteld")&gt;1),1,0))</f>
        <v>0</v>
      </c>
    </row>
    <row r="1928">
      <c r="S1928" s="15" t="str">
        <f>IF(J1928="","",J1928&amp;"|"&amp;E1928&amp;"|"&amp;F1928&amp;"|"&amp;I1928&amp;"|"&amp;O1928)</f>
        <v/>
      </c>
      <c r="T1928" s="15" t="str">
        <f>IF(OR(S1928="",D1928&lt;&gt;"Vastgesteld"),"",_xlfn.MAXIFS($G$6:$G$5005,$S$6:$S$5005,S1928,$D$6:$D$5005,"Vastgesteld"))</f>
        <v/>
      </c>
      <c r="U1928" s="15">
        <f>IF(T1928="",0,IF(AND(G1928=T1928,COUNTIFS($S$6:S1928,S1928,$G$6:G1928,G1928,$D$6:D1928,"Vastgesteld")=1),1,0))</f>
        <v>0</v>
      </c>
      <c r="V1928" s="15">
        <f>IF(T1928="",0,IF(AND(G1928=T1928,COUNTIFS($S$6:S1928,S1928,$G$6:G1928,G1928,$D$6:D1928,"Vastgesteld")&gt;1),1,0))</f>
        <v>0</v>
      </c>
    </row>
    <row r="1929">
      <c r="S1929" s="15" t="str">
        <f>IF(J1929="","",J1929&amp;"|"&amp;E1929&amp;"|"&amp;F1929&amp;"|"&amp;I1929&amp;"|"&amp;O1929)</f>
        <v/>
      </c>
      <c r="T1929" s="15" t="str">
        <f>IF(OR(S1929="",D1929&lt;&gt;"Vastgesteld"),"",_xlfn.MAXIFS($G$6:$G$5005,$S$6:$S$5005,S1929,$D$6:$D$5005,"Vastgesteld"))</f>
        <v/>
      </c>
      <c r="U1929" s="15">
        <f>IF(T1929="",0,IF(AND(G1929=T1929,COUNTIFS($S$6:S1929,S1929,$G$6:G1929,G1929,$D$6:D1929,"Vastgesteld")=1),1,0))</f>
        <v>0</v>
      </c>
      <c r="V1929" s="15">
        <f>IF(T1929="",0,IF(AND(G1929=T1929,COUNTIFS($S$6:S1929,S1929,$G$6:G1929,G1929,$D$6:D1929,"Vastgesteld")&gt;1),1,0))</f>
        <v>0</v>
      </c>
    </row>
    <row r="1930">
      <c r="S1930" s="15" t="str">
        <f>IF(J1930="","",J1930&amp;"|"&amp;E1930&amp;"|"&amp;F1930&amp;"|"&amp;I1930&amp;"|"&amp;O1930)</f>
        <v/>
      </c>
      <c r="T1930" s="15" t="str">
        <f>IF(OR(S1930="",D1930&lt;&gt;"Vastgesteld"),"",_xlfn.MAXIFS($G$6:$G$5005,$S$6:$S$5005,S1930,$D$6:$D$5005,"Vastgesteld"))</f>
        <v/>
      </c>
      <c r="U1930" s="15">
        <f>IF(T1930="",0,IF(AND(G1930=T1930,COUNTIFS($S$6:S1930,S1930,$G$6:G1930,G1930,$D$6:D1930,"Vastgesteld")=1),1,0))</f>
        <v>0</v>
      </c>
      <c r="V1930" s="15">
        <f>IF(T1930="",0,IF(AND(G1930=T1930,COUNTIFS($S$6:S1930,S1930,$G$6:G1930,G1930,$D$6:D1930,"Vastgesteld")&gt;1),1,0))</f>
        <v>0</v>
      </c>
    </row>
    <row r="1931">
      <c r="S1931" s="15" t="str">
        <f>IF(J1931="","",J1931&amp;"|"&amp;E1931&amp;"|"&amp;F1931&amp;"|"&amp;I1931&amp;"|"&amp;O1931)</f>
        <v/>
      </c>
      <c r="T1931" s="15" t="str">
        <f>IF(OR(S1931="",D1931&lt;&gt;"Vastgesteld"),"",_xlfn.MAXIFS($G$6:$G$5005,$S$6:$S$5005,S1931,$D$6:$D$5005,"Vastgesteld"))</f>
        <v/>
      </c>
      <c r="U1931" s="15">
        <f>IF(T1931="",0,IF(AND(G1931=T1931,COUNTIFS($S$6:S1931,S1931,$G$6:G1931,G1931,$D$6:D1931,"Vastgesteld")=1),1,0))</f>
        <v>0</v>
      </c>
      <c r="V1931" s="15">
        <f>IF(T1931="",0,IF(AND(G1931=T1931,COUNTIFS($S$6:S1931,S1931,$G$6:G1931,G1931,$D$6:D1931,"Vastgesteld")&gt;1),1,0))</f>
        <v>0</v>
      </c>
    </row>
    <row r="1932">
      <c r="S1932" s="15" t="str">
        <f>IF(J1932="","",J1932&amp;"|"&amp;E1932&amp;"|"&amp;F1932&amp;"|"&amp;I1932&amp;"|"&amp;O1932)</f>
        <v/>
      </c>
      <c r="T1932" s="15" t="str">
        <f>IF(OR(S1932="",D1932&lt;&gt;"Vastgesteld"),"",_xlfn.MAXIFS($G$6:$G$5005,$S$6:$S$5005,S1932,$D$6:$D$5005,"Vastgesteld"))</f>
        <v/>
      </c>
      <c r="U1932" s="15">
        <f>IF(T1932="",0,IF(AND(G1932=T1932,COUNTIFS($S$6:S1932,S1932,$G$6:G1932,G1932,$D$6:D1932,"Vastgesteld")=1),1,0))</f>
        <v>0</v>
      </c>
      <c r="V1932" s="15">
        <f>IF(T1932="",0,IF(AND(G1932=T1932,COUNTIFS($S$6:S1932,S1932,$G$6:G1932,G1932,$D$6:D1932,"Vastgesteld")&gt;1),1,0))</f>
        <v>0</v>
      </c>
    </row>
    <row r="1933">
      <c r="S1933" s="15" t="str">
        <f>IF(J1933="","",J1933&amp;"|"&amp;E1933&amp;"|"&amp;F1933&amp;"|"&amp;I1933&amp;"|"&amp;O1933)</f>
        <v/>
      </c>
      <c r="T1933" s="15" t="str">
        <f>IF(OR(S1933="",D1933&lt;&gt;"Vastgesteld"),"",_xlfn.MAXIFS($G$6:$G$5005,$S$6:$S$5005,S1933,$D$6:$D$5005,"Vastgesteld"))</f>
        <v/>
      </c>
      <c r="U1933" s="15">
        <f>IF(T1933="",0,IF(AND(G1933=T1933,COUNTIFS($S$6:S1933,S1933,$G$6:G1933,G1933,$D$6:D1933,"Vastgesteld")=1),1,0))</f>
        <v>0</v>
      </c>
      <c r="V1933" s="15">
        <f>IF(T1933="",0,IF(AND(G1933=T1933,COUNTIFS($S$6:S1933,S1933,$G$6:G1933,G1933,$D$6:D1933,"Vastgesteld")&gt;1),1,0))</f>
        <v>0</v>
      </c>
    </row>
    <row r="1934">
      <c r="S1934" s="15" t="str">
        <f>IF(J1934="","",J1934&amp;"|"&amp;E1934&amp;"|"&amp;F1934&amp;"|"&amp;I1934&amp;"|"&amp;O1934)</f>
        <v/>
      </c>
      <c r="T1934" s="15" t="str">
        <f>IF(OR(S1934="",D1934&lt;&gt;"Vastgesteld"),"",_xlfn.MAXIFS($G$6:$G$5005,$S$6:$S$5005,S1934,$D$6:$D$5005,"Vastgesteld"))</f>
        <v/>
      </c>
      <c r="U1934" s="15">
        <f>IF(T1934="",0,IF(AND(G1934=T1934,COUNTIFS($S$6:S1934,S1934,$G$6:G1934,G1934,$D$6:D1934,"Vastgesteld")=1),1,0))</f>
        <v>0</v>
      </c>
      <c r="V1934" s="15">
        <f>IF(T1934="",0,IF(AND(G1934=T1934,COUNTIFS($S$6:S1934,S1934,$G$6:G1934,G1934,$D$6:D1934,"Vastgesteld")&gt;1),1,0))</f>
        <v>0</v>
      </c>
    </row>
    <row r="1935">
      <c r="S1935" s="15" t="str">
        <f>IF(J1935="","",J1935&amp;"|"&amp;E1935&amp;"|"&amp;F1935&amp;"|"&amp;I1935&amp;"|"&amp;O1935)</f>
        <v/>
      </c>
      <c r="T1935" s="15" t="str">
        <f>IF(OR(S1935="",D1935&lt;&gt;"Vastgesteld"),"",_xlfn.MAXIFS($G$6:$G$5005,$S$6:$S$5005,S1935,$D$6:$D$5005,"Vastgesteld"))</f>
        <v/>
      </c>
      <c r="U1935" s="15">
        <f>IF(T1935="",0,IF(AND(G1935=T1935,COUNTIFS($S$6:S1935,S1935,$G$6:G1935,G1935,$D$6:D1935,"Vastgesteld")=1),1,0))</f>
        <v>0</v>
      </c>
      <c r="V1935" s="15">
        <f>IF(T1935="",0,IF(AND(G1935=T1935,COUNTIFS($S$6:S1935,S1935,$G$6:G1935,G1935,$D$6:D1935,"Vastgesteld")&gt;1),1,0))</f>
        <v>0</v>
      </c>
    </row>
    <row r="1936">
      <c r="S1936" s="15" t="str">
        <f>IF(J1936="","",J1936&amp;"|"&amp;E1936&amp;"|"&amp;F1936&amp;"|"&amp;I1936&amp;"|"&amp;O1936)</f>
        <v/>
      </c>
      <c r="T1936" s="15" t="str">
        <f>IF(OR(S1936="",D1936&lt;&gt;"Vastgesteld"),"",_xlfn.MAXIFS($G$6:$G$5005,$S$6:$S$5005,S1936,$D$6:$D$5005,"Vastgesteld"))</f>
        <v/>
      </c>
      <c r="U1936" s="15">
        <f>IF(T1936="",0,IF(AND(G1936=T1936,COUNTIFS($S$6:S1936,S1936,$G$6:G1936,G1936,$D$6:D1936,"Vastgesteld")=1),1,0))</f>
        <v>0</v>
      </c>
      <c r="V1936" s="15">
        <f>IF(T1936="",0,IF(AND(G1936=T1936,COUNTIFS($S$6:S1936,S1936,$G$6:G1936,G1936,$D$6:D1936,"Vastgesteld")&gt;1),1,0))</f>
        <v>0</v>
      </c>
    </row>
    <row r="1937">
      <c r="S1937" s="15" t="str">
        <f>IF(J1937="","",J1937&amp;"|"&amp;E1937&amp;"|"&amp;F1937&amp;"|"&amp;I1937&amp;"|"&amp;O1937)</f>
        <v/>
      </c>
      <c r="T1937" s="15" t="str">
        <f>IF(OR(S1937="",D1937&lt;&gt;"Vastgesteld"),"",_xlfn.MAXIFS($G$6:$G$5005,$S$6:$S$5005,S1937,$D$6:$D$5005,"Vastgesteld"))</f>
        <v/>
      </c>
      <c r="U1937" s="15">
        <f>IF(T1937="",0,IF(AND(G1937=T1937,COUNTIFS($S$6:S1937,S1937,$G$6:G1937,G1937,$D$6:D1937,"Vastgesteld")=1),1,0))</f>
        <v>0</v>
      </c>
      <c r="V1937" s="15">
        <f>IF(T1937="",0,IF(AND(G1937=T1937,COUNTIFS($S$6:S1937,S1937,$G$6:G1937,G1937,$D$6:D1937,"Vastgesteld")&gt;1),1,0))</f>
        <v>0</v>
      </c>
    </row>
    <row r="1938">
      <c r="S1938" s="15" t="str">
        <f>IF(J1938="","",J1938&amp;"|"&amp;E1938&amp;"|"&amp;F1938&amp;"|"&amp;I1938&amp;"|"&amp;O1938)</f>
        <v/>
      </c>
      <c r="T1938" s="15" t="str">
        <f>IF(OR(S1938="",D1938&lt;&gt;"Vastgesteld"),"",_xlfn.MAXIFS($G$6:$G$5005,$S$6:$S$5005,S1938,$D$6:$D$5005,"Vastgesteld"))</f>
        <v/>
      </c>
      <c r="U1938" s="15">
        <f>IF(T1938="",0,IF(AND(G1938=T1938,COUNTIFS($S$6:S1938,S1938,$G$6:G1938,G1938,$D$6:D1938,"Vastgesteld")=1),1,0))</f>
        <v>0</v>
      </c>
      <c r="V1938" s="15">
        <f>IF(T1938="",0,IF(AND(G1938=T1938,COUNTIFS($S$6:S1938,S1938,$G$6:G1938,G1938,$D$6:D1938,"Vastgesteld")&gt;1),1,0))</f>
        <v>0</v>
      </c>
    </row>
    <row r="1939">
      <c r="S1939" s="15" t="str">
        <f>IF(J1939="","",J1939&amp;"|"&amp;E1939&amp;"|"&amp;F1939&amp;"|"&amp;I1939&amp;"|"&amp;O1939)</f>
        <v/>
      </c>
      <c r="T1939" s="15" t="str">
        <f>IF(OR(S1939="",D1939&lt;&gt;"Vastgesteld"),"",_xlfn.MAXIFS($G$6:$G$5005,$S$6:$S$5005,S1939,$D$6:$D$5005,"Vastgesteld"))</f>
        <v/>
      </c>
      <c r="U1939" s="15">
        <f>IF(T1939="",0,IF(AND(G1939=T1939,COUNTIFS($S$6:S1939,S1939,$G$6:G1939,G1939,$D$6:D1939,"Vastgesteld")=1),1,0))</f>
        <v>0</v>
      </c>
      <c r="V1939" s="15">
        <f>IF(T1939="",0,IF(AND(G1939=T1939,COUNTIFS($S$6:S1939,S1939,$G$6:G1939,G1939,$D$6:D1939,"Vastgesteld")&gt;1),1,0))</f>
        <v>0</v>
      </c>
    </row>
    <row r="1940">
      <c r="S1940" s="15" t="str">
        <f>IF(J1940="","",J1940&amp;"|"&amp;E1940&amp;"|"&amp;F1940&amp;"|"&amp;I1940&amp;"|"&amp;O1940)</f>
        <v/>
      </c>
      <c r="T1940" s="15" t="str">
        <f>IF(OR(S1940="",D1940&lt;&gt;"Vastgesteld"),"",_xlfn.MAXIFS($G$6:$G$5005,$S$6:$S$5005,S1940,$D$6:$D$5005,"Vastgesteld"))</f>
        <v/>
      </c>
      <c r="U1940" s="15">
        <f>IF(T1940="",0,IF(AND(G1940=T1940,COUNTIFS($S$6:S1940,S1940,$G$6:G1940,G1940,$D$6:D1940,"Vastgesteld")=1),1,0))</f>
        <v>0</v>
      </c>
      <c r="V1940" s="15">
        <f>IF(T1940="",0,IF(AND(G1940=T1940,COUNTIFS($S$6:S1940,S1940,$G$6:G1940,G1940,$D$6:D1940,"Vastgesteld")&gt;1),1,0))</f>
        <v>0</v>
      </c>
    </row>
    <row r="1941">
      <c r="S1941" s="15" t="str">
        <f>IF(J1941="","",J1941&amp;"|"&amp;E1941&amp;"|"&amp;F1941&amp;"|"&amp;I1941&amp;"|"&amp;O1941)</f>
        <v/>
      </c>
      <c r="T1941" s="15" t="str">
        <f>IF(OR(S1941="",D1941&lt;&gt;"Vastgesteld"),"",_xlfn.MAXIFS($G$6:$G$5005,$S$6:$S$5005,S1941,$D$6:$D$5005,"Vastgesteld"))</f>
        <v/>
      </c>
      <c r="U1941" s="15">
        <f>IF(T1941="",0,IF(AND(G1941=T1941,COUNTIFS($S$6:S1941,S1941,$G$6:G1941,G1941,$D$6:D1941,"Vastgesteld")=1),1,0))</f>
        <v>0</v>
      </c>
      <c r="V1941" s="15">
        <f>IF(T1941="",0,IF(AND(G1941=T1941,COUNTIFS($S$6:S1941,S1941,$G$6:G1941,G1941,$D$6:D1941,"Vastgesteld")&gt;1),1,0))</f>
        <v>0</v>
      </c>
    </row>
    <row r="1942">
      <c r="S1942" s="15" t="str">
        <f>IF(J1942="","",J1942&amp;"|"&amp;E1942&amp;"|"&amp;F1942&amp;"|"&amp;I1942&amp;"|"&amp;O1942)</f>
        <v/>
      </c>
      <c r="T1942" s="15" t="str">
        <f>IF(OR(S1942="",D1942&lt;&gt;"Vastgesteld"),"",_xlfn.MAXIFS($G$6:$G$5005,$S$6:$S$5005,S1942,$D$6:$D$5005,"Vastgesteld"))</f>
        <v/>
      </c>
      <c r="U1942" s="15">
        <f>IF(T1942="",0,IF(AND(G1942=T1942,COUNTIFS($S$6:S1942,S1942,$G$6:G1942,G1942,$D$6:D1942,"Vastgesteld")=1),1,0))</f>
        <v>0</v>
      </c>
      <c r="V1942" s="15">
        <f>IF(T1942="",0,IF(AND(G1942=T1942,COUNTIFS($S$6:S1942,S1942,$G$6:G1942,G1942,$D$6:D1942,"Vastgesteld")&gt;1),1,0))</f>
        <v>0</v>
      </c>
    </row>
    <row r="1943">
      <c r="S1943" s="15" t="str">
        <f>IF(J1943="","",J1943&amp;"|"&amp;E1943&amp;"|"&amp;F1943&amp;"|"&amp;I1943&amp;"|"&amp;O1943)</f>
        <v/>
      </c>
      <c r="T1943" s="15" t="str">
        <f>IF(OR(S1943="",D1943&lt;&gt;"Vastgesteld"),"",_xlfn.MAXIFS($G$6:$G$5005,$S$6:$S$5005,S1943,$D$6:$D$5005,"Vastgesteld"))</f>
        <v/>
      </c>
      <c r="U1943" s="15">
        <f>IF(T1943="",0,IF(AND(G1943=T1943,COUNTIFS($S$6:S1943,S1943,$G$6:G1943,G1943,$D$6:D1943,"Vastgesteld")=1),1,0))</f>
        <v>0</v>
      </c>
      <c r="V1943" s="15">
        <f>IF(T1943="",0,IF(AND(G1943=T1943,COUNTIFS($S$6:S1943,S1943,$G$6:G1943,G1943,$D$6:D1943,"Vastgesteld")&gt;1),1,0))</f>
        <v>0</v>
      </c>
    </row>
    <row r="1944">
      <c r="S1944" s="15" t="str">
        <f>IF(J1944="","",J1944&amp;"|"&amp;E1944&amp;"|"&amp;F1944&amp;"|"&amp;I1944&amp;"|"&amp;O1944)</f>
        <v/>
      </c>
      <c r="T1944" s="15" t="str">
        <f>IF(OR(S1944="",D1944&lt;&gt;"Vastgesteld"),"",_xlfn.MAXIFS($G$6:$G$5005,$S$6:$S$5005,S1944,$D$6:$D$5005,"Vastgesteld"))</f>
        <v/>
      </c>
      <c r="U1944" s="15">
        <f>IF(T1944="",0,IF(AND(G1944=T1944,COUNTIFS($S$6:S1944,S1944,$G$6:G1944,G1944,$D$6:D1944,"Vastgesteld")=1),1,0))</f>
        <v>0</v>
      </c>
      <c r="V1944" s="15">
        <f>IF(T1944="",0,IF(AND(G1944=T1944,COUNTIFS($S$6:S1944,S1944,$G$6:G1944,G1944,$D$6:D1944,"Vastgesteld")&gt;1),1,0))</f>
        <v>0</v>
      </c>
    </row>
    <row r="1945">
      <c r="S1945" s="15" t="str">
        <f>IF(J1945="","",J1945&amp;"|"&amp;E1945&amp;"|"&amp;F1945&amp;"|"&amp;I1945&amp;"|"&amp;O1945)</f>
        <v/>
      </c>
      <c r="T1945" s="15" t="str">
        <f>IF(OR(S1945="",D1945&lt;&gt;"Vastgesteld"),"",_xlfn.MAXIFS($G$6:$G$5005,$S$6:$S$5005,S1945,$D$6:$D$5005,"Vastgesteld"))</f>
        <v/>
      </c>
      <c r="U1945" s="15">
        <f>IF(T1945="",0,IF(AND(G1945=T1945,COUNTIFS($S$6:S1945,S1945,$G$6:G1945,G1945,$D$6:D1945,"Vastgesteld")=1),1,0))</f>
        <v>0</v>
      </c>
      <c r="V1945" s="15">
        <f>IF(T1945="",0,IF(AND(G1945=T1945,COUNTIFS($S$6:S1945,S1945,$G$6:G1945,G1945,$D$6:D1945,"Vastgesteld")&gt;1),1,0))</f>
        <v>0</v>
      </c>
    </row>
    <row r="1946">
      <c r="S1946" s="15" t="str">
        <f>IF(J1946="","",J1946&amp;"|"&amp;E1946&amp;"|"&amp;F1946&amp;"|"&amp;I1946&amp;"|"&amp;O1946)</f>
        <v/>
      </c>
      <c r="T1946" s="15" t="str">
        <f>IF(OR(S1946="",D1946&lt;&gt;"Vastgesteld"),"",_xlfn.MAXIFS($G$6:$G$5005,$S$6:$S$5005,S1946,$D$6:$D$5005,"Vastgesteld"))</f>
        <v/>
      </c>
      <c r="U1946" s="15">
        <f>IF(T1946="",0,IF(AND(G1946=T1946,COUNTIFS($S$6:S1946,S1946,$G$6:G1946,G1946,$D$6:D1946,"Vastgesteld")=1),1,0))</f>
        <v>0</v>
      </c>
      <c r="V1946" s="15">
        <f>IF(T1946="",0,IF(AND(G1946=T1946,COUNTIFS($S$6:S1946,S1946,$G$6:G1946,G1946,$D$6:D1946,"Vastgesteld")&gt;1),1,0))</f>
        <v>0</v>
      </c>
    </row>
    <row r="1947">
      <c r="S1947" s="15" t="str">
        <f>IF(J1947="","",J1947&amp;"|"&amp;E1947&amp;"|"&amp;F1947&amp;"|"&amp;I1947&amp;"|"&amp;O1947)</f>
        <v/>
      </c>
      <c r="T1947" s="15" t="str">
        <f>IF(OR(S1947="",D1947&lt;&gt;"Vastgesteld"),"",_xlfn.MAXIFS($G$6:$G$5005,$S$6:$S$5005,S1947,$D$6:$D$5005,"Vastgesteld"))</f>
        <v/>
      </c>
      <c r="U1947" s="15">
        <f>IF(T1947="",0,IF(AND(G1947=T1947,COUNTIFS($S$6:S1947,S1947,$G$6:G1947,G1947,$D$6:D1947,"Vastgesteld")=1),1,0))</f>
        <v>0</v>
      </c>
      <c r="V1947" s="15">
        <f>IF(T1947="",0,IF(AND(G1947=T1947,COUNTIFS($S$6:S1947,S1947,$G$6:G1947,G1947,$D$6:D1947,"Vastgesteld")&gt;1),1,0))</f>
        <v>0</v>
      </c>
    </row>
    <row r="1948">
      <c r="S1948" s="15" t="str">
        <f>IF(J1948="","",J1948&amp;"|"&amp;E1948&amp;"|"&amp;F1948&amp;"|"&amp;I1948&amp;"|"&amp;O1948)</f>
        <v/>
      </c>
      <c r="T1948" s="15" t="str">
        <f>IF(OR(S1948="",D1948&lt;&gt;"Vastgesteld"),"",_xlfn.MAXIFS($G$6:$G$5005,$S$6:$S$5005,S1948,$D$6:$D$5005,"Vastgesteld"))</f>
        <v/>
      </c>
      <c r="U1948" s="15">
        <f>IF(T1948="",0,IF(AND(G1948=T1948,COUNTIFS($S$6:S1948,S1948,$G$6:G1948,G1948,$D$6:D1948,"Vastgesteld")=1),1,0))</f>
        <v>0</v>
      </c>
      <c r="V1948" s="15">
        <f>IF(T1948="",0,IF(AND(G1948=T1948,COUNTIFS($S$6:S1948,S1948,$G$6:G1948,G1948,$D$6:D1948,"Vastgesteld")&gt;1),1,0))</f>
        <v>0</v>
      </c>
    </row>
    <row r="1949">
      <c r="S1949" s="15" t="str">
        <f>IF(J1949="","",J1949&amp;"|"&amp;E1949&amp;"|"&amp;F1949&amp;"|"&amp;I1949&amp;"|"&amp;O1949)</f>
        <v/>
      </c>
      <c r="T1949" s="15" t="str">
        <f>IF(OR(S1949="",D1949&lt;&gt;"Vastgesteld"),"",_xlfn.MAXIFS($G$6:$G$5005,$S$6:$S$5005,S1949,$D$6:$D$5005,"Vastgesteld"))</f>
        <v/>
      </c>
      <c r="U1949" s="15">
        <f>IF(T1949="",0,IF(AND(G1949=T1949,COUNTIFS($S$6:S1949,S1949,$G$6:G1949,G1949,$D$6:D1949,"Vastgesteld")=1),1,0))</f>
        <v>0</v>
      </c>
      <c r="V1949" s="15">
        <f>IF(T1949="",0,IF(AND(G1949=T1949,COUNTIFS($S$6:S1949,S1949,$G$6:G1949,G1949,$D$6:D1949,"Vastgesteld")&gt;1),1,0))</f>
        <v>0</v>
      </c>
    </row>
    <row r="1950">
      <c r="S1950" s="15" t="str">
        <f>IF(J1950="","",J1950&amp;"|"&amp;E1950&amp;"|"&amp;F1950&amp;"|"&amp;I1950&amp;"|"&amp;O1950)</f>
        <v/>
      </c>
      <c r="T1950" s="15" t="str">
        <f>IF(OR(S1950="",D1950&lt;&gt;"Vastgesteld"),"",_xlfn.MAXIFS($G$6:$G$5005,$S$6:$S$5005,S1950,$D$6:$D$5005,"Vastgesteld"))</f>
        <v/>
      </c>
      <c r="U1950" s="15">
        <f>IF(T1950="",0,IF(AND(G1950=T1950,COUNTIFS($S$6:S1950,S1950,$G$6:G1950,G1950,$D$6:D1950,"Vastgesteld")=1),1,0))</f>
        <v>0</v>
      </c>
      <c r="V1950" s="15">
        <f>IF(T1950="",0,IF(AND(G1950=T1950,COUNTIFS($S$6:S1950,S1950,$G$6:G1950,G1950,$D$6:D1950,"Vastgesteld")&gt;1),1,0))</f>
        <v>0</v>
      </c>
    </row>
    <row r="1951">
      <c r="S1951" s="15" t="str">
        <f>IF(J1951="","",J1951&amp;"|"&amp;E1951&amp;"|"&amp;F1951&amp;"|"&amp;I1951&amp;"|"&amp;O1951)</f>
        <v/>
      </c>
      <c r="T1951" s="15" t="str">
        <f>IF(OR(S1951="",D1951&lt;&gt;"Vastgesteld"),"",_xlfn.MAXIFS($G$6:$G$5005,$S$6:$S$5005,S1951,$D$6:$D$5005,"Vastgesteld"))</f>
        <v/>
      </c>
      <c r="U1951" s="15">
        <f>IF(T1951="",0,IF(AND(G1951=T1951,COUNTIFS($S$6:S1951,S1951,$G$6:G1951,G1951,$D$6:D1951,"Vastgesteld")=1),1,0))</f>
        <v>0</v>
      </c>
      <c r="V1951" s="15">
        <f>IF(T1951="",0,IF(AND(G1951=T1951,COUNTIFS($S$6:S1951,S1951,$G$6:G1951,G1951,$D$6:D1951,"Vastgesteld")&gt;1),1,0))</f>
        <v>0</v>
      </c>
    </row>
    <row r="1952">
      <c r="S1952" s="15" t="str">
        <f>IF(J1952="","",J1952&amp;"|"&amp;E1952&amp;"|"&amp;F1952&amp;"|"&amp;I1952&amp;"|"&amp;O1952)</f>
        <v/>
      </c>
      <c r="T1952" s="15" t="str">
        <f>IF(OR(S1952="",D1952&lt;&gt;"Vastgesteld"),"",_xlfn.MAXIFS($G$6:$G$5005,$S$6:$S$5005,S1952,$D$6:$D$5005,"Vastgesteld"))</f>
        <v/>
      </c>
      <c r="U1952" s="15">
        <f>IF(T1952="",0,IF(AND(G1952=T1952,COUNTIFS($S$6:S1952,S1952,$G$6:G1952,G1952,$D$6:D1952,"Vastgesteld")=1),1,0))</f>
        <v>0</v>
      </c>
      <c r="V1952" s="15">
        <f>IF(T1952="",0,IF(AND(G1952=T1952,COUNTIFS($S$6:S1952,S1952,$G$6:G1952,G1952,$D$6:D1952,"Vastgesteld")&gt;1),1,0))</f>
        <v>0</v>
      </c>
    </row>
    <row r="1953">
      <c r="S1953" s="15" t="str">
        <f>IF(J1953="","",J1953&amp;"|"&amp;E1953&amp;"|"&amp;F1953&amp;"|"&amp;I1953&amp;"|"&amp;O1953)</f>
        <v/>
      </c>
      <c r="T1953" s="15" t="str">
        <f>IF(OR(S1953="",D1953&lt;&gt;"Vastgesteld"),"",_xlfn.MAXIFS($G$6:$G$5005,$S$6:$S$5005,S1953,$D$6:$D$5005,"Vastgesteld"))</f>
        <v/>
      </c>
      <c r="U1953" s="15">
        <f>IF(T1953="",0,IF(AND(G1953=T1953,COUNTIFS($S$6:S1953,S1953,$G$6:G1953,G1953,$D$6:D1953,"Vastgesteld")=1),1,0))</f>
        <v>0</v>
      </c>
      <c r="V1953" s="15">
        <f>IF(T1953="",0,IF(AND(G1953=T1953,COUNTIFS($S$6:S1953,S1953,$G$6:G1953,G1953,$D$6:D1953,"Vastgesteld")&gt;1),1,0))</f>
        <v>0</v>
      </c>
    </row>
    <row r="1954">
      <c r="S1954" s="15" t="str">
        <f>IF(J1954="","",J1954&amp;"|"&amp;E1954&amp;"|"&amp;F1954&amp;"|"&amp;I1954&amp;"|"&amp;O1954)</f>
        <v/>
      </c>
      <c r="T1954" s="15" t="str">
        <f>IF(OR(S1954="",D1954&lt;&gt;"Vastgesteld"),"",_xlfn.MAXIFS($G$6:$G$5005,$S$6:$S$5005,S1954,$D$6:$D$5005,"Vastgesteld"))</f>
        <v/>
      </c>
      <c r="U1954" s="15">
        <f>IF(T1954="",0,IF(AND(G1954=T1954,COUNTIFS($S$6:S1954,S1954,$G$6:G1954,G1954,$D$6:D1954,"Vastgesteld")=1),1,0))</f>
        <v>0</v>
      </c>
      <c r="V1954" s="15">
        <f>IF(T1954="",0,IF(AND(G1954=T1954,COUNTIFS($S$6:S1954,S1954,$G$6:G1954,G1954,$D$6:D1954,"Vastgesteld")&gt;1),1,0))</f>
        <v>0</v>
      </c>
    </row>
    <row r="1955">
      <c r="S1955" s="15" t="str">
        <f>IF(J1955="","",J1955&amp;"|"&amp;E1955&amp;"|"&amp;F1955&amp;"|"&amp;I1955&amp;"|"&amp;O1955)</f>
        <v/>
      </c>
      <c r="T1955" s="15" t="str">
        <f>IF(OR(S1955="",D1955&lt;&gt;"Vastgesteld"),"",_xlfn.MAXIFS($G$6:$G$5005,$S$6:$S$5005,S1955,$D$6:$D$5005,"Vastgesteld"))</f>
        <v/>
      </c>
      <c r="U1955" s="15">
        <f>IF(T1955="",0,IF(AND(G1955=T1955,COUNTIFS($S$6:S1955,S1955,$G$6:G1955,G1955,$D$6:D1955,"Vastgesteld")=1),1,0))</f>
        <v>0</v>
      </c>
      <c r="V1955" s="15">
        <f>IF(T1955="",0,IF(AND(G1955=T1955,COUNTIFS($S$6:S1955,S1955,$G$6:G1955,G1955,$D$6:D1955,"Vastgesteld")&gt;1),1,0))</f>
        <v>0</v>
      </c>
    </row>
    <row r="1956">
      <c r="S1956" s="15" t="str">
        <f>IF(J1956="","",J1956&amp;"|"&amp;E1956&amp;"|"&amp;F1956&amp;"|"&amp;I1956&amp;"|"&amp;O1956)</f>
        <v/>
      </c>
      <c r="T1956" s="15" t="str">
        <f>IF(OR(S1956="",D1956&lt;&gt;"Vastgesteld"),"",_xlfn.MAXIFS($G$6:$G$5005,$S$6:$S$5005,S1956,$D$6:$D$5005,"Vastgesteld"))</f>
        <v/>
      </c>
      <c r="U1956" s="15">
        <f>IF(T1956="",0,IF(AND(G1956=T1956,COUNTIFS($S$6:S1956,S1956,$G$6:G1956,G1956,$D$6:D1956,"Vastgesteld")=1),1,0))</f>
        <v>0</v>
      </c>
      <c r="V1956" s="15">
        <f>IF(T1956="",0,IF(AND(G1956=T1956,COUNTIFS($S$6:S1956,S1956,$G$6:G1956,G1956,$D$6:D1956,"Vastgesteld")&gt;1),1,0))</f>
        <v>0</v>
      </c>
    </row>
    <row r="1957">
      <c r="S1957" s="15" t="str">
        <f>IF(J1957="","",J1957&amp;"|"&amp;E1957&amp;"|"&amp;F1957&amp;"|"&amp;I1957&amp;"|"&amp;O1957)</f>
        <v/>
      </c>
      <c r="T1957" s="15" t="str">
        <f>IF(OR(S1957="",D1957&lt;&gt;"Vastgesteld"),"",_xlfn.MAXIFS($G$6:$G$5005,$S$6:$S$5005,S1957,$D$6:$D$5005,"Vastgesteld"))</f>
        <v/>
      </c>
      <c r="U1957" s="15">
        <f>IF(T1957="",0,IF(AND(G1957=T1957,COUNTIFS($S$6:S1957,S1957,$G$6:G1957,G1957,$D$6:D1957,"Vastgesteld")=1),1,0))</f>
        <v>0</v>
      </c>
      <c r="V1957" s="15">
        <f>IF(T1957="",0,IF(AND(G1957=T1957,COUNTIFS($S$6:S1957,S1957,$G$6:G1957,G1957,$D$6:D1957,"Vastgesteld")&gt;1),1,0))</f>
        <v>0</v>
      </c>
    </row>
    <row r="1958">
      <c r="S1958" s="15" t="str">
        <f>IF(J1958="","",J1958&amp;"|"&amp;E1958&amp;"|"&amp;F1958&amp;"|"&amp;I1958&amp;"|"&amp;O1958)</f>
        <v/>
      </c>
      <c r="T1958" s="15" t="str">
        <f>IF(OR(S1958="",D1958&lt;&gt;"Vastgesteld"),"",_xlfn.MAXIFS($G$6:$G$5005,$S$6:$S$5005,S1958,$D$6:$D$5005,"Vastgesteld"))</f>
        <v/>
      </c>
      <c r="U1958" s="15">
        <f>IF(T1958="",0,IF(AND(G1958=T1958,COUNTIFS($S$6:S1958,S1958,$G$6:G1958,G1958,$D$6:D1958,"Vastgesteld")=1),1,0))</f>
        <v>0</v>
      </c>
      <c r="V1958" s="15">
        <f>IF(T1958="",0,IF(AND(G1958=T1958,COUNTIFS($S$6:S1958,S1958,$G$6:G1958,G1958,$D$6:D1958,"Vastgesteld")&gt;1),1,0))</f>
        <v>0</v>
      </c>
    </row>
    <row r="1959">
      <c r="S1959" s="15" t="str">
        <f>IF(J1959="","",J1959&amp;"|"&amp;E1959&amp;"|"&amp;F1959&amp;"|"&amp;I1959&amp;"|"&amp;O1959)</f>
        <v/>
      </c>
      <c r="T1959" s="15" t="str">
        <f>IF(OR(S1959="",D1959&lt;&gt;"Vastgesteld"),"",_xlfn.MAXIFS($G$6:$G$5005,$S$6:$S$5005,S1959,$D$6:$D$5005,"Vastgesteld"))</f>
        <v/>
      </c>
      <c r="U1959" s="15">
        <f>IF(T1959="",0,IF(AND(G1959=T1959,COUNTIFS($S$6:S1959,S1959,$G$6:G1959,G1959,$D$6:D1959,"Vastgesteld")=1),1,0))</f>
        <v>0</v>
      </c>
      <c r="V1959" s="15">
        <f>IF(T1959="",0,IF(AND(G1959=T1959,COUNTIFS($S$6:S1959,S1959,$G$6:G1959,G1959,$D$6:D1959,"Vastgesteld")&gt;1),1,0))</f>
        <v>0</v>
      </c>
    </row>
    <row r="1960">
      <c r="S1960" s="15" t="str">
        <f>IF(J1960="","",J1960&amp;"|"&amp;E1960&amp;"|"&amp;F1960&amp;"|"&amp;I1960&amp;"|"&amp;O1960)</f>
        <v/>
      </c>
      <c r="T1960" s="15" t="str">
        <f>IF(OR(S1960="",D1960&lt;&gt;"Vastgesteld"),"",_xlfn.MAXIFS($G$6:$G$5005,$S$6:$S$5005,S1960,$D$6:$D$5005,"Vastgesteld"))</f>
        <v/>
      </c>
      <c r="U1960" s="15">
        <f>IF(T1960="",0,IF(AND(G1960=T1960,COUNTIFS($S$6:S1960,S1960,$G$6:G1960,G1960,$D$6:D1960,"Vastgesteld")=1),1,0))</f>
        <v>0</v>
      </c>
      <c r="V1960" s="15">
        <f>IF(T1960="",0,IF(AND(G1960=T1960,COUNTIFS($S$6:S1960,S1960,$G$6:G1960,G1960,$D$6:D1960,"Vastgesteld")&gt;1),1,0))</f>
        <v>0</v>
      </c>
    </row>
    <row r="1961">
      <c r="S1961" s="15" t="str">
        <f>IF(J1961="","",J1961&amp;"|"&amp;E1961&amp;"|"&amp;F1961&amp;"|"&amp;I1961&amp;"|"&amp;O1961)</f>
        <v/>
      </c>
      <c r="T1961" s="15" t="str">
        <f>IF(OR(S1961="",D1961&lt;&gt;"Vastgesteld"),"",_xlfn.MAXIFS($G$6:$G$5005,$S$6:$S$5005,S1961,$D$6:$D$5005,"Vastgesteld"))</f>
        <v/>
      </c>
      <c r="U1961" s="15">
        <f>IF(T1961="",0,IF(AND(G1961=T1961,COUNTIFS($S$6:S1961,S1961,$G$6:G1961,G1961,$D$6:D1961,"Vastgesteld")=1),1,0))</f>
        <v>0</v>
      </c>
      <c r="V1961" s="15">
        <f>IF(T1961="",0,IF(AND(G1961=T1961,COUNTIFS($S$6:S1961,S1961,$G$6:G1961,G1961,$D$6:D1961,"Vastgesteld")&gt;1),1,0))</f>
        <v>0</v>
      </c>
    </row>
    <row r="1962">
      <c r="S1962" s="15" t="str">
        <f>IF(J1962="","",J1962&amp;"|"&amp;E1962&amp;"|"&amp;F1962&amp;"|"&amp;I1962&amp;"|"&amp;O1962)</f>
        <v/>
      </c>
      <c r="T1962" s="15" t="str">
        <f>IF(OR(S1962="",D1962&lt;&gt;"Vastgesteld"),"",_xlfn.MAXIFS($G$6:$G$5005,$S$6:$S$5005,S1962,$D$6:$D$5005,"Vastgesteld"))</f>
        <v/>
      </c>
      <c r="U1962" s="15">
        <f>IF(T1962="",0,IF(AND(G1962=T1962,COUNTIFS($S$6:S1962,S1962,$G$6:G1962,G1962,$D$6:D1962,"Vastgesteld")=1),1,0))</f>
        <v>0</v>
      </c>
      <c r="V1962" s="15">
        <f>IF(T1962="",0,IF(AND(G1962=T1962,COUNTIFS($S$6:S1962,S1962,$G$6:G1962,G1962,$D$6:D1962,"Vastgesteld")&gt;1),1,0))</f>
        <v>0</v>
      </c>
    </row>
    <row r="1963">
      <c r="S1963" s="15" t="str">
        <f>IF(J1963="","",J1963&amp;"|"&amp;E1963&amp;"|"&amp;F1963&amp;"|"&amp;I1963&amp;"|"&amp;O1963)</f>
        <v/>
      </c>
      <c r="T1963" s="15" t="str">
        <f>IF(OR(S1963="",D1963&lt;&gt;"Vastgesteld"),"",_xlfn.MAXIFS($G$6:$G$5005,$S$6:$S$5005,S1963,$D$6:$D$5005,"Vastgesteld"))</f>
        <v/>
      </c>
      <c r="U1963" s="15">
        <f>IF(T1963="",0,IF(AND(G1963=T1963,COUNTIFS($S$6:S1963,S1963,$G$6:G1963,G1963,$D$6:D1963,"Vastgesteld")=1),1,0))</f>
        <v>0</v>
      </c>
      <c r="V1963" s="15">
        <f>IF(T1963="",0,IF(AND(G1963=T1963,COUNTIFS($S$6:S1963,S1963,$G$6:G1963,G1963,$D$6:D1963,"Vastgesteld")&gt;1),1,0))</f>
        <v>0</v>
      </c>
    </row>
    <row r="1964">
      <c r="S1964" s="15" t="str">
        <f>IF(J1964="","",J1964&amp;"|"&amp;E1964&amp;"|"&amp;F1964&amp;"|"&amp;I1964&amp;"|"&amp;O1964)</f>
        <v/>
      </c>
      <c r="T1964" s="15" t="str">
        <f>IF(OR(S1964="",D1964&lt;&gt;"Vastgesteld"),"",_xlfn.MAXIFS($G$6:$G$5005,$S$6:$S$5005,S1964,$D$6:$D$5005,"Vastgesteld"))</f>
        <v/>
      </c>
      <c r="U1964" s="15">
        <f>IF(T1964="",0,IF(AND(G1964=T1964,COUNTIFS($S$6:S1964,S1964,$G$6:G1964,G1964,$D$6:D1964,"Vastgesteld")=1),1,0))</f>
        <v>0</v>
      </c>
      <c r="V1964" s="15">
        <f>IF(T1964="",0,IF(AND(G1964=T1964,COUNTIFS($S$6:S1964,S1964,$G$6:G1964,G1964,$D$6:D1964,"Vastgesteld")&gt;1),1,0))</f>
        <v>0</v>
      </c>
    </row>
    <row r="1965">
      <c r="S1965" s="15" t="str">
        <f>IF(J1965="","",J1965&amp;"|"&amp;E1965&amp;"|"&amp;F1965&amp;"|"&amp;I1965&amp;"|"&amp;O1965)</f>
        <v/>
      </c>
      <c r="T1965" s="15" t="str">
        <f>IF(OR(S1965="",D1965&lt;&gt;"Vastgesteld"),"",_xlfn.MAXIFS($G$6:$G$5005,$S$6:$S$5005,S1965,$D$6:$D$5005,"Vastgesteld"))</f>
        <v/>
      </c>
      <c r="U1965" s="15">
        <f>IF(T1965="",0,IF(AND(G1965=T1965,COUNTIFS($S$6:S1965,S1965,$G$6:G1965,G1965,$D$6:D1965,"Vastgesteld")=1),1,0))</f>
        <v>0</v>
      </c>
      <c r="V1965" s="15">
        <f>IF(T1965="",0,IF(AND(G1965=T1965,COUNTIFS($S$6:S1965,S1965,$G$6:G1965,G1965,$D$6:D1965,"Vastgesteld")&gt;1),1,0))</f>
        <v>0</v>
      </c>
    </row>
    <row r="1966">
      <c r="S1966" s="15" t="str">
        <f>IF(J1966="","",J1966&amp;"|"&amp;E1966&amp;"|"&amp;F1966&amp;"|"&amp;I1966&amp;"|"&amp;O1966)</f>
        <v/>
      </c>
      <c r="T1966" s="15" t="str">
        <f>IF(OR(S1966="",D1966&lt;&gt;"Vastgesteld"),"",_xlfn.MAXIFS($G$6:$G$5005,$S$6:$S$5005,S1966,$D$6:$D$5005,"Vastgesteld"))</f>
        <v/>
      </c>
      <c r="U1966" s="15">
        <f>IF(T1966="",0,IF(AND(G1966=T1966,COUNTIFS($S$6:S1966,S1966,$G$6:G1966,G1966,$D$6:D1966,"Vastgesteld")=1),1,0))</f>
        <v>0</v>
      </c>
      <c r="V1966" s="15">
        <f>IF(T1966="",0,IF(AND(G1966=T1966,COUNTIFS($S$6:S1966,S1966,$G$6:G1966,G1966,$D$6:D1966,"Vastgesteld")&gt;1),1,0))</f>
        <v>0</v>
      </c>
    </row>
    <row r="1967">
      <c r="S1967" s="15" t="str">
        <f>IF(J1967="","",J1967&amp;"|"&amp;E1967&amp;"|"&amp;F1967&amp;"|"&amp;I1967&amp;"|"&amp;O1967)</f>
        <v/>
      </c>
      <c r="T1967" s="15" t="str">
        <f>IF(OR(S1967="",D1967&lt;&gt;"Vastgesteld"),"",_xlfn.MAXIFS($G$6:$G$5005,$S$6:$S$5005,S1967,$D$6:$D$5005,"Vastgesteld"))</f>
        <v/>
      </c>
      <c r="U1967" s="15">
        <f>IF(T1967="",0,IF(AND(G1967=T1967,COUNTIFS($S$6:S1967,S1967,$G$6:G1967,G1967,$D$6:D1967,"Vastgesteld")=1),1,0))</f>
        <v>0</v>
      </c>
      <c r="V1967" s="15">
        <f>IF(T1967="",0,IF(AND(G1967=T1967,COUNTIFS($S$6:S1967,S1967,$G$6:G1967,G1967,$D$6:D1967,"Vastgesteld")&gt;1),1,0))</f>
        <v>0</v>
      </c>
    </row>
    <row r="1968">
      <c r="S1968" s="15" t="str">
        <f>IF(J1968="","",J1968&amp;"|"&amp;E1968&amp;"|"&amp;F1968&amp;"|"&amp;I1968&amp;"|"&amp;O1968)</f>
        <v/>
      </c>
      <c r="T1968" s="15" t="str">
        <f>IF(OR(S1968="",D1968&lt;&gt;"Vastgesteld"),"",_xlfn.MAXIFS($G$6:$G$5005,$S$6:$S$5005,S1968,$D$6:$D$5005,"Vastgesteld"))</f>
        <v/>
      </c>
      <c r="U1968" s="15">
        <f>IF(T1968="",0,IF(AND(G1968=T1968,COUNTIFS($S$6:S1968,S1968,$G$6:G1968,G1968,$D$6:D1968,"Vastgesteld")=1),1,0))</f>
        <v>0</v>
      </c>
      <c r="V1968" s="15">
        <f>IF(T1968="",0,IF(AND(G1968=T1968,COUNTIFS($S$6:S1968,S1968,$G$6:G1968,G1968,$D$6:D1968,"Vastgesteld")&gt;1),1,0))</f>
        <v>0</v>
      </c>
    </row>
    <row r="1969">
      <c r="S1969" s="15" t="str">
        <f>IF(J1969="","",J1969&amp;"|"&amp;E1969&amp;"|"&amp;F1969&amp;"|"&amp;I1969&amp;"|"&amp;O1969)</f>
        <v/>
      </c>
      <c r="T1969" s="15" t="str">
        <f>IF(OR(S1969="",D1969&lt;&gt;"Vastgesteld"),"",_xlfn.MAXIFS($G$6:$G$5005,$S$6:$S$5005,S1969,$D$6:$D$5005,"Vastgesteld"))</f>
        <v/>
      </c>
      <c r="U1969" s="15">
        <f>IF(T1969="",0,IF(AND(G1969=T1969,COUNTIFS($S$6:S1969,S1969,$G$6:G1969,G1969,$D$6:D1969,"Vastgesteld")=1),1,0))</f>
        <v>0</v>
      </c>
      <c r="V1969" s="15">
        <f>IF(T1969="",0,IF(AND(G1969=T1969,COUNTIFS($S$6:S1969,S1969,$G$6:G1969,G1969,$D$6:D1969,"Vastgesteld")&gt;1),1,0))</f>
        <v>0</v>
      </c>
    </row>
    <row r="1970">
      <c r="S1970" s="15" t="str">
        <f>IF(J1970="","",J1970&amp;"|"&amp;E1970&amp;"|"&amp;F1970&amp;"|"&amp;I1970&amp;"|"&amp;O1970)</f>
        <v/>
      </c>
      <c r="T1970" s="15" t="str">
        <f>IF(OR(S1970="",D1970&lt;&gt;"Vastgesteld"),"",_xlfn.MAXIFS($G$6:$G$5005,$S$6:$S$5005,S1970,$D$6:$D$5005,"Vastgesteld"))</f>
        <v/>
      </c>
      <c r="U1970" s="15">
        <f>IF(T1970="",0,IF(AND(G1970=T1970,COUNTIFS($S$6:S1970,S1970,$G$6:G1970,G1970,$D$6:D1970,"Vastgesteld")=1),1,0))</f>
        <v>0</v>
      </c>
      <c r="V1970" s="15">
        <f>IF(T1970="",0,IF(AND(G1970=T1970,COUNTIFS($S$6:S1970,S1970,$G$6:G1970,G1970,$D$6:D1970,"Vastgesteld")&gt;1),1,0))</f>
        <v>0</v>
      </c>
    </row>
    <row r="1971">
      <c r="S1971" s="15" t="str">
        <f>IF(J1971="","",J1971&amp;"|"&amp;E1971&amp;"|"&amp;F1971&amp;"|"&amp;I1971&amp;"|"&amp;O1971)</f>
        <v/>
      </c>
      <c r="T1971" s="15" t="str">
        <f>IF(OR(S1971="",D1971&lt;&gt;"Vastgesteld"),"",_xlfn.MAXIFS($G$6:$G$5005,$S$6:$S$5005,S1971,$D$6:$D$5005,"Vastgesteld"))</f>
        <v/>
      </c>
      <c r="U1971" s="15">
        <f>IF(T1971="",0,IF(AND(G1971=T1971,COUNTIFS($S$6:S1971,S1971,$G$6:G1971,G1971,$D$6:D1971,"Vastgesteld")=1),1,0))</f>
        <v>0</v>
      </c>
      <c r="V1971" s="15">
        <f>IF(T1971="",0,IF(AND(G1971=T1971,COUNTIFS($S$6:S1971,S1971,$G$6:G1971,G1971,$D$6:D1971,"Vastgesteld")&gt;1),1,0))</f>
        <v>0</v>
      </c>
    </row>
    <row r="1972">
      <c r="S1972" s="15" t="str">
        <f>IF(J1972="","",J1972&amp;"|"&amp;E1972&amp;"|"&amp;F1972&amp;"|"&amp;I1972&amp;"|"&amp;O1972)</f>
        <v/>
      </c>
      <c r="T1972" s="15" t="str">
        <f>IF(OR(S1972="",D1972&lt;&gt;"Vastgesteld"),"",_xlfn.MAXIFS($G$6:$G$5005,$S$6:$S$5005,S1972,$D$6:$D$5005,"Vastgesteld"))</f>
        <v/>
      </c>
      <c r="U1972" s="15">
        <f>IF(T1972="",0,IF(AND(G1972=T1972,COUNTIFS($S$6:S1972,S1972,$G$6:G1972,G1972,$D$6:D1972,"Vastgesteld")=1),1,0))</f>
        <v>0</v>
      </c>
      <c r="V1972" s="15">
        <f>IF(T1972="",0,IF(AND(G1972=T1972,COUNTIFS($S$6:S1972,S1972,$G$6:G1972,G1972,$D$6:D1972,"Vastgesteld")&gt;1),1,0))</f>
        <v>0</v>
      </c>
    </row>
    <row r="1973">
      <c r="S1973" s="15" t="str">
        <f>IF(J1973="","",J1973&amp;"|"&amp;E1973&amp;"|"&amp;F1973&amp;"|"&amp;I1973&amp;"|"&amp;O1973)</f>
        <v/>
      </c>
      <c r="T1973" s="15" t="str">
        <f>IF(OR(S1973="",D1973&lt;&gt;"Vastgesteld"),"",_xlfn.MAXIFS($G$6:$G$5005,$S$6:$S$5005,S1973,$D$6:$D$5005,"Vastgesteld"))</f>
        <v/>
      </c>
      <c r="U1973" s="15">
        <f>IF(T1973="",0,IF(AND(G1973=T1973,COUNTIFS($S$6:S1973,S1973,$G$6:G1973,G1973,$D$6:D1973,"Vastgesteld")=1),1,0))</f>
        <v>0</v>
      </c>
      <c r="V1973" s="15">
        <f>IF(T1973="",0,IF(AND(G1973=T1973,COUNTIFS($S$6:S1973,S1973,$G$6:G1973,G1973,$D$6:D1973,"Vastgesteld")&gt;1),1,0))</f>
        <v>0</v>
      </c>
    </row>
    <row r="1974">
      <c r="S1974" s="15" t="str">
        <f>IF(J1974="","",J1974&amp;"|"&amp;E1974&amp;"|"&amp;F1974&amp;"|"&amp;I1974&amp;"|"&amp;O1974)</f>
        <v/>
      </c>
      <c r="T1974" s="15" t="str">
        <f>IF(OR(S1974="",D1974&lt;&gt;"Vastgesteld"),"",_xlfn.MAXIFS($G$6:$G$5005,$S$6:$S$5005,S1974,$D$6:$D$5005,"Vastgesteld"))</f>
        <v/>
      </c>
      <c r="U1974" s="15">
        <f>IF(T1974="",0,IF(AND(G1974=T1974,COUNTIFS($S$6:S1974,S1974,$G$6:G1974,G1974,$D$6:D1974,"Vastgesteld")=1),1,0))</f>
        <v>0</v>
      </c>
      <c r="V1974" s="15">
        <f>IF(T1974="",0,IF(AND(G1974=T1974,COUNTIFS($S$6:S1974,S1974,$G$6:G1974,G1974,$D$6:D1974,"Vastgesteld")&gt;1),1,0))</f>
        <v>0</v>
      </c>
    </row>
    <row r="1975">
      <c r="S1975" s="15" t="str">
        <f>IF(J1975="","",J1975&amp;"|"&amp;E1975&amp;"|"&amp;F1975&amp;"|"&amp;I1975&amp;"|"&amp;O1975)</f>
        <v/>
      </c>
      <c r="T1975" s="15" t="str">
        <f>IF(OR(S1975="",D1975&lt;&gt;"Vastgesteld"),"",_xlfn.MAXIFS($G$6:$G$5005,$S$6:$S$5005,S1975,$D$6:$D$5005,"Vastgesteld"))</f>
        <v/>
      </c>
      <c r="U1975" s="15">
        <f>IF(T1975="",0,IF(AND(G1975=T1975,COUNTIFS($S$6:S1975,S1975,$G$6:G1975,G1975,$D$6:D1975,"Vastgesteld")=1),1,0))</f>
        <v>0</v>
      </c>
      <c r="V1975" s="15">
        <f>IF(T1975="",0,IF(AND(G1975=T1975,COUNTIFS($S$6:S1975,S1975,$G$6:G1975,G1975,$D$6:D1975,"Vastgesteld")&gt;1),1,0))</f>
        <v>0</v>
      </c>
    </row>
    <row r="1976">
      <c r="S1976" s="15" t="str">
        <f>IF(J1976="","",J1976&amp;"|"&amp;E1976&amp;"|"&amp;F1976&amp;"|"&amp;I1976&amp;"|"&amp;O1976)</f>
        <v/>
      </c>
      <c r="T1976" s="15" t="str">
        <f>IF(OR(S1976="",D1976&lt;&gt;"Vastgesteld"),"",_xlfn.MAXIFS($G$6:$G$5005,$S$6:$S$5005,S1976,$D$6:$D$5005,"Vastgesteld"))</f>
        <v/>
      </c>
      <c r="U1976" s="15">
        <f>IF(T1976="",0,IF(AND(G1976=T1976,COUNTIFS($S$6:S1976,S1976,$G$6:G1976,G1976,$D$6:D1976,"Vastgesteld")=1),1,0))</f>
        <v>0</v>
      </c>
      <c r="V1976" s="15">
        <f>IF(T1976="",0,IF(AND(G1976=T1976,COUNTIFS($S$6:S1976,S1976,$G$6:G1976,G1976,$D$6:D1976,"Vastgesteld")&gt;1),1,0))</f>
        <v>0</v>
      </c>
    </row>
    <row r="1977">
      <c r="S1977" s="15" t="str">
        <f>IF(J1977="","",J1977&amp;"|"&amp;E1977&amp;"|"&amp;F1977&amp;"|"&amp;I1977&amp;"|"&amp;O1977)</f>
        <v/>
      </c>
      <c r="T1977" s="15" t="str">
        <f>IF(OR(S1977="",D1977&lt;&gt;"Vastgesteld"),"",_xlfn.MAXIFS($G$6:$G$5005,$S$6:$S$5005,S1977,$D$6:$D$5005,"Vastgesteld"))</f>
        <v/>
      </c>
      <c r="U1977" s="15">
        <f>IF(T1977="",0,IF(AND(G1977=T1977,COUNTIFS($S$6:S1977,S1977,$G$6:G1977,G1977,$D$6:D1977,"Vastgesteld")=1),1,0))</f>
        <v>0</v>
      </c>
      <c r="V1977" s="15">
        <f>IF(T1977="",0,IF(AND(G1977=T1977,COUNTIFS($S$6:S1977,S1977,$G$6:G1977,G1977,$D$6:D1977,"Vastgesteld")&gt;1),1,0))</f>
        <v>0</v>
      </c>
    </row>
    <row r="1978">
      <c r="S1978" s="15" t="str">
        <f>IF(J1978="","",J1978&amp;"|"&amp;E1978&amp;"|"&amp;F1978&amp;"|"&amp;I1978&amp;"|"&amp;O1978)</f>
        <v/>
      </c>
      <c r="T1978" s="15" t="str">
        <f>IF(OR(S1978="",D1978&lt;&gt;"Vastgesteld"),"",_xlfn.MAXIFS($G$6:$G$5005,$S$6:$S$5005,S1978,$D$6:$D$5005,"Vastgesteld"))</f>
        <v/>
      </c>
      <c r="U1978" s="15">
        <f>IF(T1978="",0,IF(AND(G1978=T1978,COUNTIFS($S$6:S1978,S1978,$G$6:G1978,G1978,$D$6:D1978,"Vastgesteld")=1),1,0))</f>
        <v>0</v>
      </c>
      <c r="V1978" s="15">
        <f>IF(T1978="",0,IF(AND(G1978=T1978,COUNTIFS($S$6:S1978,S1978,$G$6:G1978,G1978,$D$6:D1978,"Vastgesteld")&gt;1),1,0))</f>
        <v>0</v>
      </c>
    </row>
    <row r="1979">
      <c r="S1979" s="15" t="str">
        <f>IF(J1979="","",J1979&amp;"|"&amp;E1979&amp;"|"&amp;F1979&amp;"|"&amp;I1979&amp;"|"&amp;O1979)</f>
        <v/>
      </c>
      <c r="T1979" s="15" t="str">
        <f>IF(OR(S1979="",D1979&lt;&gt;"Vastgesteld"),"",_xlfn.MAXIFS($G$6:$G$5005,$S$6:$S$5005,S1979,$D$6:$D$5005,"Vastgesteld"))</f>
        <v/>
      </c>
      <c r="U1979" s="15">
        <f>IF(T1979="",0,IF(AND(G1979=T1979,COUNTIFS($S$6:S1979,S1979,$G$6:G1979,G1979,$D$6:D1979,"Vastgesteld")=1),1,0))</f>
        <v>0</v>
      </c>
      <c r="V1979" s="15">
        <f>IF(T1979="",0,IF(AND(G1979=T1979,COUNTIFS($S$6:S1979,S1979,$G$6:G1979,G1979,$D$6:D1979,"Vastgesteld")&gt;1),1,0))</f>
        <v>0</v>
      </c>
    </row>
    <row r="1980">
      <c r="S1980" s="15" t="str">
        <f>IF(J1980="","",J1980&amp;"|"&amp;E1980&amp;"|"&amp;F1980&amp;"|"&amp;I1980&amp;"|"&amp;O1980)</f>
        <v/>
      </c>
      <c r="T1980" s="15" t="str">
        <f>IF(OR(S1980="",D1980&lt;&gt;"Vastgesteld"),"",_xlfn.MAXIFS($G$6:$G$5005,$S$6:$S$5005,S1980,$D$6:$D$5005,"Vastgesteld"))</f>
        <v/>
      </c>
      <c r="U1980" s="15">
        <f>IF(T1980="",0,IF(AND(G1980=T1980,COUNTIFS($S$6:S1980,S1980,$G$6:G1980,G1980,$D$6:D1980,"Vastgesteld")=1),1,0))</f>
        <v>0</v>
      </c>
      <c r="V1980" s="15">
        <f>IF(T1980="",0,IF(AND(G1980=T1980,COUNTIFS($S$6:S1980,S1980,$G$6:G1980,G1980,$D$6:D1980,"Vastgesteld")&gt;1),1,0))</f>
        <v>0</v>
      </c>
    </row>
    <row r="1981">
      <c r="S1981" s="15" t="str">
        <f>IF(J1981="","",J1981&amp;"|"&amp;E1981&amp;"|"&amp;F1981&amp;"|"&amp;I1981&amp;"|"&amp;O1981)</f>
        <v/>
      </c>
      <c r="T1981" s="15" t="str">
        <f>IF(OR(S1981="",D1981&lt;&gt;"Vastgesteld"),"",_xlfn.MAXIFS($G$6:$G$5005,$S$6:$S$5005,S1981,$D$6:$D$5005,"Vastgesteld"))</f>
        <v/>
      </c>
      <c r="U1981" s="15">
        <f>IF(T1981="",0,IF(AND(G1981=T1981,COUNTIFS($S$6:S1981,S1981,$G$6:G1981,G1981,$D$6:D1981,"Vastgesteld")=1),1,0))</f>
        <v>0</v>
      </c>
      <c r="V1981" s="15">
        <f>IF(T1981="",0,IF(AND(G1981=T1981,COUNTIFS($S$6:S1981,S1981,$G$6:G1981,G1981,$D$6:D1981,"Vastgesteld")&gt;1),1,0))</f>
        <v>0</v>
      </c>
    </row>
    <row r="1982">
      <c r="S1982" s="15" t="str">
        <f>IF(J1982="","",J1982&amp;"|"&amp;E1982&amp;"|"&amp;F1982&amp;"|"&amp;I1982&amp;"|"&amp;O1982)</f>
        <v/>
      </c>
      <c r="T1982" s="15" t="str">
        <f>IF(OR(S1982="",D1982&lt;&gt;"Vastgesteld"),"",_xlfn.MAXIFS($G$6:$G$5005,$S$6:$S$5005,S1982,$D$6:$D$5005,"Vastgesteld"))</f>
        <v/>
      </c>
      <c r="U1982" s="15">
        <f>IF(T1982="",0,IF(AND(G1982=T1982,COUNTIFS($S$6:S1982,S1982,$G$6:G1982,G1982,$D$6:D1982,"Vastgesteld")=1),1,0))</f>
        <v>0</v>
      </c>
      <c r="V1982" s="15">
        <f>IF(T1982="",0,IF(AND(G1982=T1982,COUNTIFS($S$6:S1982,S1982,$G$6:G1982,G1982,$D$6:D1982,"Vastgesteld")&gt;1),1,0))</f>
        <v>0</v>
      </c>
    </row>
    <row r="1983">
      <c r="S1983" s="15" t="str">
        <f>IF(J1983="","",J1983&amp;"|"&amp;E1983&amp;"|"&amp;F1983&amp;"|"&amp;I1983&amp;"|"&amp;O1983)</f>
        <v/>
      </c>
      <c r="T1983" s="15" t="str">
        <f>IF(OR(S1983="",D1983&lt;&gt;"Vastgesteld"),"",_xlfn.MAXIFS($G$6:$G$5005,$S$6:$S$5005,S1983,$D$6:$D$5005,"Vastgesteld"))</f>
        <v/>
      </c>
      <c r="U1983" s="15">
        <f>IF(T1983="",0,IF(AND(G1983=T1983,COUNTIFS($S$6:S1983,S1983,$G$6:G1983,G1983,$D$6:D1983,"Vastgesteld")=1),1,0))</f>
        <v>0</v>
      </c>
      <c r="V1983" s="15">
        <f>IF(T1983="",0,IF(AND(G1983=T1983,COUNTIFS($S$6:S1983,S1983,$G$6:G1983,G1983,$D$6:D1983,"Vastgesteld")&gt;1),1,0))</f>
        <v>0</v>
      </c>
    </row>
    <row r="1984">
      <c r="S1984" s="15" t="str">
        <f>IF(J1984="","",J1984&amp;"|"&amp;E1984&amp;"|"&amp;F1984&amp;"|"&amp;I1984&amp;"|"&amp;O1984)</f>
        <v/>
      </c>
      <c r="T1984" s="15" t="str">
        <f>IF(OR(S1984="",D1984&lt;&gt;"Vastgesteld"),"",_xlfn.MAXIFS($G$6:$G$5005,$S$6:$S$5005,S1984,$D$6:$D$5005,"Vastgesteld"))</f>
        <v/>
      </c>
      <c r="U1984" s="15">
        <f>IF(T1984="",0,IF(AND(G1984=T1984,COUNTIFS($S$6:S1984,S1984,$G$6:G1984,G1984,$D$6:D1984,"Vastgesteld")=1),1,0))</f>
        <v>0</v>
      </c>
      <c r="V1984" s="15">
        <f>IF(T1984="",0,IF(AND(G1984=T1984,COUNTIFS($S$6:S1984,S1984,$G$6:G1984,G1984,$D$6:D1984,"Vastgesteld")&gt;1),1,0))</f>
        <v>0</v>
      </c>
    </row>
    <row r="1985">
      <c r="S1985" s="15" t="str">
        <f>IF(J1985="","",J1985&amp;"|"&amp;E1985&amp;"|"&amp;F1985&amp;"|"&amp;I1985&amp;"|"&amp;O1985)</f>
        <v/>
      </c>
      <c r="T1985" s="15" t="str">
        <f>IF(OR(S1985="",D1985&lt;&gt;"Vastgesteld"),"",_xlfn.MAXIFS($G$6:$G$5005,$S$6:$S$5005,S1985,$D$6:$D$5005,"Vastgesteld"))</f>
        <v/>
      </c>
      <c r="U1985" s="15">
        <f>IF(T1985="",0,IF(AND(G1985=T1985,COUNTIFS($S$6:S1985,S1985,$G$6:G1985,G1985,$D$6:D1985,"Vastgesteld")=1),1,0))</f>
        <v>0</v>
      </c>
      <c r="V1985" s="15">
        <f>IF(T1985="",0,IF(AND(G1985=T1985,COUNTIFS($S$6:S1985,S1985,$G$6:G1985,G1985,$D$6:D1985,"Vastgesteld")&gt;1),1,0))</f>
        <v>0</v>
      </c>
    </row>
    <row r="1986">
      <c r="S1986" s="15" t="str">
        <f>IF(J1986="","",J1986&amp;"|"&amp;E1986&amp;"|"&amp;F1986&amp;"|"&amp;I1986&amp;"|"&amp;O1986)</f>
        <v/>
      </c>
      <c r="T1986" s="15" t="str">
        <f>IF(OR(S1986="",D1986&lt;&gt;"Vastgesteld"),"",_xlfn.MAXIFS($G$6:$G$5005,$S$6:$S$5005,S1986,$D$6:$D$5005,"Vastgesteld"))</f>
        <v/>
      </c>
      <c r="U1986" s="15">
        <f>IF(T1986="",0,IF(AND(G1986=T1986,COUNTIFS($S$6:S1986,S1986,$G$6:G1986,G1986,$D$6:D1986,"Vastgesteld")=1),1,0))</f>
        <v>0</v>
      </c>
      <c r="V1986" s="15">
        <f>IF(T1986="",0,IF(AND(G1986=T1986,COUNTIFS($S$6:S1986,S1986,$G$6:G1986,G1986,$D$6:D1986,"Vastgesteld")&gt;1),1,0))</f>
        <v>0</v>
      </c>
    </row>
    <row r="1987">
      <c r="S1987" s="15" t="str">
        <f>IF(J1987="","",J1987&amp;"|"&amp;E1987&amp;"|"&amp;F1987&amp;"|"&amp;I1987&amp;"|"&amp;O1987)</f>
        <v/>
      </c>
      <c r="T1987" s="15" t="str">
        <f>IF(OR(S1987="",D1987&lt;&gt;"Vastgesteld"),"",_xlfn.MAXIFS($G$6:$G$5005,$S$6:$S$5005,S1987,$D$6:$D$5005,"Vastgesteld"))</f>
        <v/>
      </c>
      <c r="U1987" s="15">
        <f>IF(T1987="",0,IF(AND(G1987=T1987,COUNTIFS($S$6:S1987,S1987,$G$6:G1987,G1987,$D$6:D1987,"Vastgesteld")=1),1,0))</f>
        <v>0</v>
      </c>
      <c r="V1987" s="15">
        <f>IF(T1987="",0,IF(AND(G1987=T1987,COUNTIFS($S$6:S1987,S1987,$G$6:G1987,G1987,$D$6:D1987,"Vastgesteld")&gt;1),1,0))</f>
        <v>0</v>
      </c>
    </row>
    <row r="1988">
      <c r="S1988" s="15" t="str">
        <f>IF(J1988="","",J1988&amp;"|"&amp;E1988&amp;"|"&amp;F1988&amp;"|"&amp;I1988&amp;"|"&amp;O1988)</f>
        <v/>
      </c>
      <c r="T1988" s="15" t="str">
        <f>IF(OR(S1988="",D1988&lt;&gt;"Vastgesteld"),"",_xlfn.MAXIFS($G$6:$G$5005,$S$6:$S$5005,S1988,$D$6:$D$5005,"Vastgesteld"))</f>
        <v/>
      </c>
      <c r="U1988" s="15">
        <f>IF(T1988="",0,IF(AND(G1988=T1988,COUNTIFS($S$6:S1988,S1988,$G$6:G1988,G1988,$D$6:D1988,"Vastgesteld")=1),1,0))</f>
        <v>0</v>
      </c>
      <c r="V1988" s="15">
        <f>IF(T1988="",0,IF(AND(G1988=T1988,COUNTIFS($S$6:S1988,S1988,$G$6:G1988,G1988,$D$6:D1988,"Vastgesteld")&gt;1),1,0))</f>
        <v>0</v>
      </c>
    </row>
    <row r="1989">
      <c r="S1989" s="15" t="str">
        <f>IF(J1989="","",J1989&amp;"|"&amp;E1989&amp;"|"&amp;F1989&amp;"|"&amp;I1989&amp;"|"&amp;O1989)</f>
        <v/>
      </c>
      <c r="T1989" s="15" t="str">
        <f>IF(OR(S1989="",D1989&lt;&gt;"Vastgesteld"),"",_xlfn.MAXIFS($G$6:$G$5005,$S$6:$S$5005,S1989,$D$6:$D$5005,"Vastgesteld"))</f>
        <v/>
      </c>
      <c r="U1989" s="15">
        <f>IF(T1989="",0,IF(AND(G1989=T1989,COUNTIFS($S$6:S1989,S1989,$G$6:G1989,G1989,$D$6:D1989,"Vastgesteld")=1),1,0))</f>
        <v>0</v>
      </c>
      <c r="V1989" s="15">
        <f>IF(T1989="",0,IF(AND(G1989=T1989,COUNTIFS($S$6:S1989,S1989,$G$6:G1989,G1989,$D$6:D1989,"Vastgesteld")&gt;1),1,0))</f>
        <v>0</v>
      </c>
    </row>
    <row r="1990">
      <c r="S1990" s="15" t="str">
        <f>IF(J1990="","",J1990&amp;"|"&amp;E1990&amp;"|"&amp;F1990&amp;"|"&amp;I1990&amp;"|"&amp;O1990)</f>
        <v/>
      </c>
      <c r="T1990" s="15" t="str">
        <f>IF(OR(S1990="",D1990&lt;&gt;"Vastgesteld"),"",_xlfn.MAXIFS($G$6:$G$5005,$S$6:$S$5005,S1990,$D$6:$D$5005,"Vastgesteld"))</f>
        <v/>
      </c>
      <c r="U1990" s="15">
        <f>IF(T1990="",0,IF(AND(G1990=T1990,COUNTIFS($S$6:S1990,S1990,$G$6:G1990,G1990,$D$6:D1990,"Vastgesteld")=1),1,0))</f>
        <v>0</v>
      </c>
      <c r="V1990" s="15">
        <f>IF(T1990="",0,IF(AND(G1990=T1990,COUNTIFS($S$6:S1990,S1990,$G$6:G1990,G1990,$D$6:D1990,"Vastgesteld")&gt;1),1,0))</f>
        <v>0</v>
      </c>
    </row>
    <row r="1991">
      <c r="S1991" s="15" t="str">
        <f>IF(J1991="","",J1991&amp;"|"&amp;E1991&amp;"|"&amp;F1991&amp;"|"&amp;I1991&amp;"|"&amp;O1991)</f>
        <v/>
      </c>
      <c r="T1991" s="15" t="str">
        <f>IF(OR(S1991="",D1991&lt;&gt;"Vastgesteld"),"",_xlfn.MAXIFS($G$6:$G$5005,$S$6:$S$5005,S1991,$D$6:$D$5005,"Vastgesteld"))</f>
        <v/>
      </c>
      <c r="U1991" s="15">
        <f>IF(T1991="",0,IF(AND(G1991=T1991,COUNTIFS($S$6:S1991,S1991,$G$6:G1991,G1991,$D$6:D1991,"Vastgesteld")=1),1,0))</f>
        <v>0</v>
      </c>
      <c r="V1991" s="15">
        <f>IF(T1991="",0,IF(AND(G1991=T1991,COUNTIFS($S$6:S1991,S1991,$G$6:G1991,G1991,$D$6:D1991,"Vastgesteld")&gt;1),1,0))</f>
        <v>0</v>
      </c>
    </row>
    <row r="1992">
      <c r="S1992" s="15" t="str">
        <f>IF(J1992="","",J1992&amp;"|"&amp;E1992&amp;"|"&amp;F1992&amp;"|"&amp;I1992&amp;"|"&amp;O1992)</f>
        <v/>
      </c>
      <c r="T1992" s="15" t="str">
        <f>IF(OR(S1992="",D1992&lt;&gt;"Vastgesteld"),"",_xlfn.MAXIFS($G$6:$G$5005,$S$6:$S$5005,S1992,$D$6:$D$5005,"Vastgesteld"))</f>
        <v/>
      </c>
      <c r="U1992" s="15">
        <f>IF(T1992="",0,IF(AND(G1992=T1992,COUNTIFS($S$6:S1992,S1992,$G$6:G1992,G1992,$D$6:D1992,"Vastgesteld")=1),1,0))</f>
        <v>0</v>
      </c>
      <c r="V1992" s="15">
        <f>IF(T1992="",0,IF(AND(G1992=T1992,COUNTIFS($S$6:S1992,S1992,$G$6:G1992,G1992,$D$6:D1992,"Vastgesteld")&gt;1),1,0))</f>
        <v>0</v>
      </c>
    </row>
    <row r="1993">
      <c r="S1993" s="15" t="str">
        <f>IF(J1993="","",J1993&amp;"|"&amp;E1993&amp;"|"&amp;F1993&amp;"|"&amp;I1993&amp;"|"&amp;O1993)</f>
        <v/>
      </c>
      <c r="T1993" s="15" t="str">
        <f>IF(OR(S1993="",D1993&lt;&gt;"Vastgesteld"),"",_xlfn.MAXIFS($G$6:$G$5005,$S$6:$S$5005,S1993,$D$6:$D$5005,"Vastgesteld"))</f>
        <v/>
      </c>
      <c r="U1993" s="15">
        <f>IF(T1993="",0,IF(AND(G1993=T1993,COUNTIFS($S$6:S1993,S1993,$G$6:G1993,G1993,$D$6:D1993,"Vastgesteld")=1),1,0))</f>
        <v>0</v>
      </c>
      <c r="V1993" s="15">
        <f>IF(T1993="",0,IF(AND(G1993=T1993,COUNTIFS($S$6:S1993,S1993,$G$6:G1993,G1993,$D$6:D1993,"Vastgesteld")&gt;1),1,0))</f>
        <v>0</v>
      </c>
    </row>
    <row r="1994">
      <c r="S1994" s="15" t="str">
        <f>IF(J1994="","",J1994&amp;"|"&amp;E1994&amp;"|"&amp;F1994&amp;"|"&amp;I1994&amp;"|"&amp;O1994)</f>
        <v/>
      </c>
      <c r="T1994" s="15" t="str">
        <f>IF(OR(S1994="",D1994&lt;&gt;"Vastgesteld"),"",_xlfn.MAXIFS($G$6:$G$5005,$S$6:$S$5005,S1994,$D$6:$D$5005,"Vastgesteld"))</f>
        <v/>
      </c>
      <c r="U1994" s="15">
        <f>IF(T1994="",0,IF(AND(G1994=T1994,COUNTIFS($S$6:S1994,S1994,$G$6:G1994,G1994,$D$6:D1994,"Vastgesteld")=1),1,0))</f>
        <v>0</v>
      </c>
      <c r="V1994" s="15">
        <f>IF(T1994="",0,IF(AND(G1994=T1994,COUNTIFS($S$6:S1994,S1994,$G$6:G1994,G1994,$D$6:D1994,"Vastgesteld")&gt;1),1,0))</f>
        <v>0</v>
      </c>
    </row>
    <row r="1995">
      <c r="S1995" s="15" t="str">
        <f>IF(J1995="","",J1995&amp;"|"&amp;E1995&amp;"|"&amp;F1995&amp;"|"&amp;I1995&amp;"|"&amp;O1995)</f>
        <v/>
      </c>
      <c r="T1995" s="15" t="str">
        <f>IF(OR(S1995="",D1995&lt;&gt;"Vastgesteld"),"",_xlfn.MAXIFS($G$6:$G$5005,$S$6:$S$5005,S1995,$D$6:$D$5005,"Vastgesteld"))</f>
        <v/>
      </c>
      <c r="U1995" s="15">
        <f>IF(T1995="",0,IF(AND(G1995=T1995,COUNTIFS($S$6:S1995,S1995,$G$6:G1995,G1995,$D$6:D1995,"Vastgesteld")=1),1,0))</f>
        <v>0</v>
      </c>
      <c r="V1995" s="15">
        <f>IF(T1995="",0,IF(AND(G1995=T1995,COUNTIFS($S$6:S1995,S1995,$G$6:G1995,G1995,$D$6:D1995,"Vastgesteld")&gt;1),1,0))</f>
        <v>0</v>
      </c>
    </row>
    <row r="1996">
      <c r="S1996" s="15" t="str">
        <f>IF(J1996="","",J1996&amp;"|"&amp;E1996&amp;"|"&amp;F1996&amp;"|"&amp;I1996&amp;"|"&amp;O1996)</f>
        <v/>
      </c>
      <c r="T1996" s="15" t="str">
        <f>IF(OR(S1996="",D1996&lt;&gt;"Vastgesteld"),"",_xlfn.MAXIFS($G$6:$G$5005,$S$6:$S$5005,S1996,$D$6:$D$5005,"Vastgesteld"))</f>
        <v/>
      </c>
      <c r="U1996" s="15">
        <f>IF(T1996="",0,IF(AND(G1996=T1996,COUNTIFS($S$6:S1996,S1996,$G$6:G1996,G1996,$D$6:D1996,"Vastgesteld")=1),1,0))</f>
        <v>0</v>
      </c>
      <c r="V1996" s="15">
        <f>IF(T1996="",0,IF(AND(G1996=T1996,COUNTIFS($S$6:S1996,S1996,$G$6:G1996,G1996,$D$6:D1996,"Vastgesteld")&gt;1),1,0))</f>
        <v>0</v>
      </c>
    </row>
    <row r="1997">
      <c r="S1997" s="15" t="str">
        <f>IF(J1997="","",J1997&amp;"|"&amp;E1997&amp;"|"&amp;F1997&amp;"|"&amp;I1997&amp;"|"&amp;O1997)</f>
        <v/>
      </c>
      <c r="T1997" s="15" t="str">
        <f>IF(OR(S1997="",D1997&lt;&gt;"Vastgesteld"),"",_xlfn.MAXIFS($G$6:$G$5005,$S$6:$S$5005,S1997,$D$6:$D$5005,"Vastgesteld"))</f>
        <v/>
      </c>
      <c r="U1997" s="15">
        <f>IF(T1997="",0,IF(AND(G1997=T1997,COUNTIFS($S$6:S1997,S1997,$G$6:G1997,G1997,$D$6:D1997,"Vastgesteld")=1),1,0))</f>
        <v>0</v>
      </c>
      <c r="V1997" s="15">
        <f>IF(T1997="",0,IF(AND(G1997=T1997,COUNTIFS($S$6:S1997,S1997,$G$6:G1997,G1997,$D$6:D1997,"Vastgesteld")&gt;1),1,0))</f>
        <v>0</v>
      </c>
    </row>
    <row r="1998">
      <c r="S1998" s="15" t="str">
        <f>IF(J1998="","",J1998&amp;"|"&amp;E1998&amp;"|"&amp;F1998&amp;"|"&amp;I1998&amp;"|"&amp;O1998)</f>
        <v/>
      </c>
      <c r="T1998" s="15" t="str">
        <f>IF(OR(S1998="",D1998&lt;&gt;"Vastgesteld"),"",_xlfn.MAXIFS($G$6:$G$5005,$S$6:$S$5005,S1998,$D$6:$D$5005,"Vastgesteld"))</f>
        <v/>
      </c>
      <c r="U1998" s="15">
        <f>IF(T1998="",0,IF(AND(G1998=T1998,COUNTIFS($S$6:S1998,S1998,$G$6:G1998,G1998,$D$6:D1998,"Vastgesteld")=1),1,0))</f>
        <v>0</v>
      </c>
      <c r="V1998" s="15">
        <f>IF(T1998="",0,IF(AND(G1998=T1998,COUNTIFS($S$6:S1998,S1998,$G$6:G1998,G1998,$D$6:D1998,"Vastgesteld")&gt;1),1,0))</f>
        <v>0</v>
      </c>
    </row>
    <row r="1999">
      <c r="S1999" s="15" t="str">
        <f>IF(J1999="","",J1999&amp;"|"&amp;E1999&amp;"|"&amp;F1999&amp;"|"&amp;I1999&amp;"|"&amp;O1999)</f>
        <v/>
      </c>
      <c r="T1999" s="15" t="str">
        <f>IF(OR(S1999="",D1999&lt;&gt;"Vastgesteld"),"",_xlfn.MAXIFS($G$6:$G$5005,$S$6:$S$5005,S1999,$D$6:$D$5005,"Vastgesteld"))</f>
        <v/>
      </c>
      <c r="U1999" s="15">
        <f>IF(T1999="",0,IF(AND(G1999=T1999,COUNTIFS($S$6:S1999,S1999,$G$6:G1999,G1999,$D$6:D1999,"Vastgesteld")=1),1,0))</f>
        <v>0</v>
      </c>
      <c r="V1999" s="15">
        <f>IF(T1999="",0,IF(AND(G1999=T1999,COUNTIFS($S$6:S1999,S1999,$G$6:G1999,G1999,$D$6:D1999,"Vastgesteld")&gt;1),1,0))</f>
        <v>0</v>
      </c>
    </row>
    <row r="2000">
      <c r="S2000" s="15" t="str">
        <f>IF(J2000="","",J2000&amp;"|"&amp;E2000&amp;"|"&amp;F2000&amp;"|"&amp;I2000&amp;"|"&amp;O2000)</f>
        <v/>
      </c>
      <c r="T2000" s="15" t="str">
        <f>IF(OR(S2000="",D2000&lt;&gt;"Vastgesteld"),"",_xlfn.MAXIFS($G$6:$G$5005,$S$6:$S$5005,S2000,$D$6:$D$5005,"Vastgesteld"))</f>
        <v/>
      </c>
      <c r="U2000" s="15">
        <f>IF(T2000="",0,IF(AND(G2000=T2000,COUNTIFS($S$6:S2000,S2000,$G$6:G2000,G2000,$D$6:D2000,"Vastgesteld")=1),1,0))</f>
        <v>0</v>
      </c>
      <c r="V2000" s="15">
        <f>IF(T2000="",0,IF(AND(G2000=T2000,COUNTIFS($S$6:S2000,S2000,$G$6:G2000,G2000,$D$6:D2000,"Vastgesteld")&gt;1),1,0))</f>
        <v>0</v>
      </c>
    </row>
    <row r="2001">
      <c r="S2001" s="15" t="str">
        <f>IF(J2001="","",J2001&amp;"|"&amp;E2001&amp;"|"&amp;F2001&amp;"|"&amp;I2001&amp;"|"&amp;O2001)</f>
        <v/>
      </c>
      <c r="T2001" s="15" t="str">
        <f>IF(OR(S2001="",D2001&lt;&gt;"Vastgesteld"),"",_xlfn.MAXIFS($G$6:$G$5005,$S$6:$S$5005,S2001,$D$6:$D$5005,"Vastgesteld"))</f>
        <v/>
      </c>
      <c r="U2001" s="15">
        <f>IF(T2001="",0,IF(AND(G2001=T2001,COUNTIFS($S$6:S2001,S2001,$G$6:G2001,G2001,$D$6:D2001,"Vastgesteld")=1),1,0))</f>
        <v>0</v>
      </c>
      <c r="V2001" s="15">
        <f>IF(T2001="",0,IF(AND(G2001=T2001,COUNTIFS($S$6:S2001,S2001,$G$6:G2001,G2001,$D$6:D2001,"Vastgesteld")&gt;1),1,0))</f>
        <v>0</v>
      </c>
    </row>
    <row r="2002">
      <c r="S2002" s="15" t="str">
        <f>IF(J2002="","",J2002&amp;"|"&amp;E2002&amp;"|"&amp;F2002&amp;"|"&amp;I2002&amp;"|"&amp;O2002)</f>
        <v/>
      </c>
      <c r="T2002" s="15" t="str">
        <f>IF(OR(S2002="",D2002&lt;&gt;"Vastgesteld"),"",_xlfn.MAXIFS($G$6:$G$5005,$S$6:$S$5005,S2002,$D$6:$D$5005,"Vastgesteld"))</f>
        <v/>
      </c>
      <c r="U2002" s="15">
        <f>IF(T2002="",0,IF(AND(G2002=T2002,COUNTIFS($S$6:S2002,S2002,$G$6:G2002,G2002,$D$6:D2002,"Vastgesteld")=1),1,0))</f>
        <v>0</v>
      </c>
      <c r="V2002" s="15">
        <f>IF(T2002="",0,IF(AND(G2002=T2002,COUNTIFS($S$6:S2002,S2002,$G$6:G2002,G2002,$D$6:D2002,"Vastgesteld")&gt;1),1,0))</f>
        <v>0</v>
      </c>
    </row>
    <row r="2003">
      <c r="S2003" s="15" t="str">
        <f>IF(J2003="","",J2003&amp;"|"&amp;E2003&amp;"|"&amp;F2003&amp;"|"&amp;I2003&amp;"|"&amp;O2003)</f>
        <v/>
      </c>
      <c r="T2003" s="15" t="str">
        <f>IF(OR(S2003="",D2003&lt;&gt;"Vastgesteld"),"",_xlfn.MAXIFS($G$6:$G$5005,$S$6:$S$5005,S2003,$D$6:$D$5005,"Vastgesteld"))</f>
        <v/>
      </c>
      <c r="U2003" s="15">
        <f>IF(T2003="",0,IF(AND(G2003=T2003,COUNTIFS($S$6:S2003,S2003,$G$6:G2003,G2003,$D$6:D2003,"Vastgesteld")=1),1,0))</f>
        <v>0</v>
      </c>
      <c r="V2003" s="15">
        <f>IF(T2003="",0,IF(AND(G2003=T2003,COUNTIFS($S$6:S2003,S2003,$G$6:G2003,G2003,$D$6:D2003,"Vastgesteld")&gt;1),1,0))</f>
        <v>0</v>
      </c>
    </row>
    <row r="2004">
      <c r="S2004" s="15" t="str">
        <f>IF(J2004="","",J2004&amp;"|"&amp;E2004&amp;"|"&amp;F2004&amp;"|"&amp;I2004&amp;"|"&amp;O2004)</f>
        <v/>
      </c>
      <c r="T2004" s="15" t="str">
        <f>IF(OR(S2004="",D2004&lt;&gt;"Vastgesteld"),"",_xlfn.MAXIFS($G$6:$G$5005,$S$6:$S$5005,S2004,$D$6:$D$5005,"Vastgesteld"))</f>
        <v/>
      </c>
      <c r="U2004" s="15">
        <f>IF(T2004="",0,IF(AND(G2004=T2004,COUNTIFS($S$6:S2004,S2004,$G$6:G2004,G2004,$D$6:D2004,"Vastgesteld")=1),1,0))</f>
        <v>0</v>
      </c>
      <c r="V2004" s="15">
        <f>IF(T2004="",0,IF(AND(G2004=T2004,COUNTIFS($S$6:S2004,S2004,$G$6:G2004,G2004,$D$6:D2004,"Vastgesteld")&gt;1),1,0))</f>
        <v>0</v>
      </c>
    </row>
    <row r="2005">
      <c r="S2005" s="15" t="str">
        <f>IF(J2005="","",J2005&amp;"|"&amp;E2005&amp;"|"&amp;F2005&amp;"|"&amp;I2005&amp;"|"&amp;O2005)</f>
        <v/>
      </c>
      <c r="T2005" s="15" t="str">
        <f>IF(OR(S2005="",D2005&lt;&gt;"Vastgesteld"),"",_xlfn.MAXIFS($G$6:$G$5005,$S$6:$S$5005,S2005,$D$6:$D$5005,"Vastgesteld"))</f>
        <v/>
      </c>
      <c r="U2005" s="15">
        <f>IF(T2005="",0,IF(AND(G2005=T2005,COUNTIFS($S$6:S2005,S2005,$G$6:G2005,G2005,$D$6:D2005,"Vastgesteld")=1),1,0))</f>
        <v>0</v>
      </c>
      <c r="V2005" s="15">
        <f>IF(T2005="",0,IF(AND(G2005=T2005,COUNTIFS($S$6:S2005,S2005,$G$6:G2005,G2005,$D$6:D2005,"Vastgesteld")&gt;1),1,0))</f>
        <v>0</v>
      </c>
    </row>
    <row r="2006">
      <c r="S2006" s="15" t="str">
        <f>IF(J2006="","",J2006&amp;"|"&amp;E2006&amp;"|"&amp;F2006&amp;"|"&amp;I2006&amp;"|"&amp;O2006)</f>
        <v/>
      </c>
      <c r="T2006" s="15" t="str">
        <f>IF(OR(S2006="",D2006&lt;&gt;"Vastgesteld"),"",_xlfn.MAXIFS($G$6:$G$5005,$S$6:$S$5005,S2006,$D$6:$D$5005,"Vastgesteld"))</f>
        <v/>
      </c>
      <c r="U2006" s="15">
        <f>IF(T2006="",0,IF(AND(G2006=T2006,COUNTIFS($S$6:S2006,S2006,$G$6:G2006,G2006,$D$6:D2006,"Vastgesteld")=1),1,0))</f>
        <v>0</v>
      </c>
      <c r="V2006" s="15">
        <f>IF(T2006="",0,IF(AND(G2006=T2006,COUNTIFS($S$6:S2006,S2006,$G$6:G2006,G2006,$D$6:D2006,"Vastgesteld")&gt;1),1,0))</f>
        <v>0</v>
      </c>
    </row>
    <row r="2007">
      <c r="S2007" s="15" t="str">
        <f>IF(J2007="","",J2007&amp;"|"&amp;E2007&amp;"|"&amp;F2007&amp;"|"&amp;I2007&amp;"|"&amp;O2007)</f>
        <v/>
      </c>
      <c r="T2007" s="15" t="str">
        <f>IF(OR(S2007="",D2007&lt;&gt;"Vastgesteld"),"",_xlfn.MAXIFS($G$6:$G$5005,$S$6:$S$5005,S2007,$D$6:$D$5005,"Vastgesteld"))</f>
        <v/>
      </c>
      <c r="U2007" s="15">
        <f>IF(T2007="",0,IF(AND(G2007=T2007,COUNTIFS($S$6:S2007,S2007,$G$6:G2007,G2007,$D$6:D2007,"Vastgesteld")=1),1,0))</f>
        <v>0</v>
      </c>
      <c r="V2007" s="15">
        <f>IF(T2007="",0,IF(AND(G2007=T2007,COUNTIFS($S$6:S2007,S2007,$G$6:G2007,G2007,$D$6:D2007,"Vastgesteld")&gt;1),1,0))</f>
        <v>0</v>
      </c>
    </row>
    <row r="2008">
      <c r="S2008" s="15" t="str">
        <f>IF(J2008="","",J2008&amp;"|"&amp;E2008&amp;"|"&amp;F2008&amp;"|"&amp;I2008&amp;"|"&amp;O2008)</f>
        <v/>
      </c>
      <c r="T2008" s="15" t="str">
        <f>IF(OR(S2008="",D2008&lt;&gt;"Vastgesteld"),"",_xlfn.MAXIFS($G$6:$G$5005,$S$6:$S$5005,S2008,$D$6:$D$5005,"Vastgesteld"))</f>
        <v/>
      </c>
      <c r="U2008" s="15">
        <f>IF(T2008="",0,IF(AND(G2008=T2008,COUNTIFS($S$6:S2008,S2008,$G$6:G2008,G2008,$D$6:D2008,"Vastgesteld")=1),1,0))</f>
        <v>0</v>
      </c>
      <c r="V2008" s="15">
        <f>IF(T2008="",0,IF(AND(G2008=T2008,COUNTIFS($S$6:S2008,S2008,$G$6:G2008,G2008,$D$6:D2008,"Vastgesteld")&gt;1),1,0))</f>
        <v>0</v>
      </c>
    </row>
    <row r="2009">
      <c r="S2009" s="15" t="str">
        <f>IF(J2009="","",J2009&amp;"|"&amp;E2009&amp;"|"&amp;F2009&amp;"|"&amp;I2009&amp;"|"&amp;O2009)</f>
        <v/>
      </c>
      <c r="T2009" s="15" t="str">
        <f>IF(OR(S2009="",D2009&lt;&gt;"Vastgesteld"),"",_xlfn.MAXIFS($G$6:$G$5005,$S$6:$S$5005,S2009,$D$6:$D$5005,"Vastgesteld"))</f>
        <v/>
      </c>
      <c r="U2009" s="15">
        <f>IF(T2009="",0,IF(AND(G2009=T2009,COUNTIFS($S$6:S2009,S2009,$G$6:G2009,G2009,$D$6:D2009,"Vastgesteld")=1),1,0))</f>
        <v>0</v>
      </c>
      <c r="V2009" s="15">
        <f>IF(T2009="",0,IF(AND(G2009=T2009,COUNTIFS($S$6:S2009,S2009,$G$6:G2009,G2009,$D$6:D2009,"Vastgesteld")&gt;1),1,0))</f>
        <v>0</v>
      </c>
    </row>
    <row r="2010">
      <c r="S2010" s="15" t="str">
        <f>IF(J2010="","",J2010&amp;"|"&amp;E2010&amp;"|"&amp;F2010&amp;"|"&amp;I2010&amp;"|"&amp;O2010)</f>
        <v/>
      </c>
      <c r="T2010" s="15" t="str">
        <f>IF(OR(S2010="",D2010&lt;&gt;"Vastgesteld"),"",_xlfn.MAXIFS($G$6:$G$5005,$S$6:$S$5005,S2010,$D$6:$D$5005,"Vastgesteld"))</f>
        <v/>
      </c>
      <c r="U2010" s="15">
        <f>IF(T2010="",0,IF(AND(G2010=T2010,COUNTIFS($S$6:S2010,S2010,$G$6:G2010,G2010,$D$6:D2010,"Vastgesteld")=1),1,0))</f>
        <v>0</v>
      </c>
      <c r="V2010" s="15">
        <f>IF(T2010="",0,IF(AND(G2010=T2010,COUNTIFS($S$6:S2010,S2010,$G$6:G2010,G2010,$D$6:D2010,"Vastgesteld")&gt;1),1,0))</f>
        <v>0</v>
      </c>
    </row>
    <row r="2011">
      <c r="S2011" s="15" t="str">
        <f>IF(J2011="","",J2011&amp;"|"&amp;E2011&amp;"|"&amp;F2011&amp;"|"&amp;I2011&amp;"|"&amp;O2011)</f>
        <v/>
      </c>
      <c r="T2011" s="15" t="str">
        <f>IF(OR(S2011="",D2011&lt;&gt;"Vastgesteld"),"",_xlfn.MAXIFS($G$6:$G$5005,$S$6:$S$5005,S2011,$D$6:$D$5005,"Vastgesteld"))</f>
        <v/>
      </c>
      <c r="U2011" s="15">
        <f>IF(T2011="",0,IF(AND(G2011=T2011,COUNTIFS($S$6:S2011,S2011,$G$6:G2011,G2011,$D$6:D2011,"Vastgesteld")=1),1,0))</f>
        <v>0</v>
      </c>
      <c r="V2011" s="15">
        <f>IF(T2011="",0,IF(AND(G2011=T2011,COUNTIFS($S$6:S2011,S2011,$G$6:G2011,G2011,$D$6:D2011,"Vastgesteld")&gt;1),1,0))</f>
        <v>0</v>
      </c>
    </row>
    <row r="2012">
      <c r="S2012" s="15" t="str">
        <f>IF(J2012="","",J2012&amp;"|"&amp;E2012&amp;"|"&amp;F2012&amp;"|"&amp;I2012&amp;"|"&amp;O2012)</f>
        <v/>
      </c>
      <c r="T2012" s="15" t="str">
        <f>IF(OR(S2012="",D2012&lt;&gt;"Vastgesteld"),"",_xlfn.MAXIFS($G$6:$G$5005,$S$6:$S$5005,S2012,$D$6:$D$5005,"Vastgesteld"))</f>
        <v/>
      </c>
      <c r="U2012" s="15">
        <f>IF(T2012="",0,IF(AND(G2012=T2012,COUNTIFS($S$6:S2012,S2012,$G$6:G2012,G2012,$D$6:D2012,"Vastgesteld")=1),1,0))</f>
        <v>0</v>
      </c>
      <c r="V2012" s="15">
        <f>IF(T2012="",0,IF(AND(G2012=T2012,COUNTIFS($S$6:S2012,S2012,$G$6:G2012,G2012,$D$6:D2012,"Vastgesteld")&gt;1),1,0))</f>
        <v>0</v>
      </c>
    </row>
    <row r="2013">
      <c r="S2013" s="15" t="str">
        <f>IF(J2013="","",J2013&amp;"|"&amp;E2013&amp;"|"&amp;F2013&amp;"|"&amp;I2013&amp;"|"&amp;O2013)</f>
        <v/>
      </c>
      <c r="T2013" s="15" t="str">
        <f>IF(OR(S2013="",D2013&lt;&gt;"Vastgesteld"),"",_xlfn.MAXIFS($G$6:$G$5005,$S$6:$S$5005,S2013,$D$6:$D$5005,"Vastgesteld"))</f>
        <v/>
      </c>
      <c r="U2013" s="15">
        <f>IF(T2013="",0,IF(AND(G2013=T2013,COUNTIFS($S$6:S2013,S2013,$G$6:G2013,G2013,$D$6:D2013,"Vastgesteld")=1),1,0))</f>
        <v>0</v>
      </c>
      <c r="V2013" s="15">
        <f>IF(T2013="",0,IF(AND(G2013=T2013,COUNTIFS($S$6:S2013,S2013,$G$6:G2013,G2013,$D$6:D2013,"Vastgesteld")&gt;1),1,0))</f>
        <v>0</v>
      </c>
    </row>
    <row r="2014">
      <c r="S2014" s="15" t="str">
        <f>IF(J2014="","",J2014&amp;"|"&amp;E2014&amp;"|"&amp;F2014&amp;"|"&amp;I2014&amp;"|"&amp;O2014)</f>
        <v/>
      </c>
      <c r="T2014" s="15" t="str">
        <f>IF(OR(S2014="",D2014&lt;&gt;"Vastgesteld"),"",_xlfn.MAXIFS($G$6:$G$5005,$S$6:$S$5005,S2014,$D$6:$D$5005,"Vastgesteld"))</f>
        <v/>
      </c>
      <c r="U2014" s="15">
        <f>IF(T2014="",0,IF(AND(G2014=T2014,COUNTIFS($S$6:S2014,S2014,$G$6:G2014,G2014,$D$6:D2014,"Vastgesteld")=1),1,0))</f>
        <v>0</v>
      </c>
      <c r="V2014" s="15">
        <f>IF(T2014="",0,IF(AND(G2014=T2014,COUNTIFS($S$6:S2014,S2014,$G$6:G2014,G2014,$D$6:D2014,"Vastgesteld")&gt;1),1,0))</f>
        <v>0</v>
      </c>
    </row>
    <row r="2015">
      <c r="S2015" s="15" t="str">
        <f>IF(J2015="","",J2015&amp;"|"&amp;E2015&amp;"|"&amp;F2015&amp;"|"&amp;I2015&amp;"|"&amp;O2015)</f>
        <v/>
      </c>
      <c r="T2015" s="15" t="str">
        <f>IF(OR(S2015="",D2015&lt;&gt;"Vastgesteld"),"",_xlfn.MAXIFS($G$6:$G$5005,$S$6:$S$5005,S2015,$D$6:$D$5005,"Vastgesteld"))</f>
        <v/>
      </c>
      <c r="U2015" s="15">
        <f>IF(T2015="",0,IF(AND(G2015=T2015,COUNTIFS($S$6:S2015,S2015,$G$6:G2015,G2015,$D$6:D2015,"Vastgesteld")=1),1,0))</f>
        <v>0</v>
      </c>
      <c r="V2015" s="15">
        <f>IF(T2015="",0,IF(AND(G2015=T2015,COUNTIFS($S$6:S2015,S2015,$G$6:G2015,G2015,$D$6:D2015,"Vastgesteld")&gt;1),1,0))</f>
        <v>0</v>
      </c>
    </row>
    <row r="2016">
      <c r="S2016" s="15" t="str">
        <f>IF(J2016="","",J2016&amp;"|"&amp;E2016&amp;"|"&amp;F2016&amp;"|"&amp;I2016&amp;"|"&amp;O2016)</f>
        <v/>
      </c>
      <c r="T2016" s="15" t="str">
        <f>IF(OR(S2016="",D2016&lt;&gt;"Vastgesteld"),"",_xlfn.MAXIFS($G$6:$G$5005,$S$6:$S$5005,S2016,$D$6:$D$5005,"Vastgesteld"))</f>
        <v/>
      </c>
      <c r="U2016" s="15">
        <f>IF(T2016="",0,IF(AND(G2016=T2016,COUNTIFS($S$6:S2016,S2016,$G$6:G2016,G2016,$D$6:D2016,"Vastgesteld")=1),1,0))</f>
        <v>0</v>
      </c>
      <c r="V2016" s="15">
        <f>IF(T2016="",0,IF(AND(G2016=T2016,COUNTIFS($S$6:S2016,S2016,$G$6:G2016,G2016,$D$6:D2016,"Vastgesteld")&gt;1),1,0))</f>
        <v>0</v>
      </c>
    </row>
    <row r="2017">
      <c r="S2017" s="15" t="str">
        <f>IF(J2017="","",J2017&amp;"|"&amp;E2017&amp;"|"&amp;F2017&amp;"|"&amp;I2017&amp;"|"&amp;O2017)</f>
        <v/>
      </c>
      <c r="T2017" s="15" t="str">
        <f>IF(OR(S2017="",D2017&lt;&gt;"Vastgesteld"),"",_xlfn.MAXIFS($G$6:$G$5005,$S$6:$S$5005,S2017,$D$6:$D$5005,"Vastgesteld"))</f>
        <v/>
      </c>
      <c r="U2017" s="15">
        <f>IF(T2017="",0,IF(AND(G2017=T2017,COUNTIFS($S$6:S2017,S2017,$G$6:G2017,G2017,$D$6:D2017,"Vastgesteld")=1),1,0))</f>
        <v>0</v>
      </c>
      <c r="V2017" s="15">
        <f>IF(T2017="",0,IF(AND(G2017=T2017,COUNTIFS($S$6:S2017,S2017,$G$6:G2017,G2017,$D$6:D2017,"Vastgesteld")&gt;1),1,0))</f>
        <v>0</v>
      </c>
    </row>
    <row r="2018">
      <c r="S2018" s="15" t="str">
        <f>IF(J2018="","",J2018&amp;"|"&amp;E2018&amp;"|"&amp;F2018&amp;"|"&amp;I2018&amp;"|"&amp;O2018)</f>
        <v/>
      </c>
      <c r="T2018" s="15" t="str">
        <f>IF(OR(S2018="",D2018&lt;&gt;"Vastgesteld"),"",_xlfn.MAXIFS($G$6:$G$5005,$S$6:$S$5005,S2018,$D$6:$D$5005,"Vastgesteld"))</f>
        <v/>
      </c>
      <c r="U2018" s="15">
        <f>IF(T2018="",0,IF(AND(G2018=T2018,COUNTIFS($S$6:S2018,S2018,$G$6:G2018,G2018,$D$6:D2018,"Vastgesteld")=1),1,0))</f>
        <v>0</v>
      </c>
      <c r="V2018" s="15">
        <f>IF(T2018="",0,IF(AND(G2018=T2018,COUNTIFS($S$6:S2018,S2018,$G$6:G2018,G2018,$D$6:D2018,"Vastgesteld")&gt;1),1,0))</f>
        <v>0</v>
      </c>
    </row>
    <row r="2019">
      <c r="S2019" s="15" t="str">
        <f>IF(J2019="","",J2019&amp;"|"&amp;E2019&amp;"|"&amp;F2019&amp;"|"&amp;I2019&amp;"|"&amp;O2019)</f>
        <v/>
      </c>
      <c r="T2019" s="15" t="str">
        <f>IF(OR(S2019="",D2019&lt;&gt;"Vastgesteld"),"",_xlfn.MAXIFS($G$6:$G$5005,$S$6:$S$5005,S2019,$D$6:$D$5005,"Vastgesteld"))</f>
        <v/>
      </c>
      <c r="U2019" s="15">
        <f>IF(T2019="",0,IF(AND(G2019=T2019,COUNTIFS($S$6:S2019,S2019,$G$6:G2019,G2019,$D$6:D2019,"Vastgesteld")=1),1,0))</f>
        <v>0</v>
      </c>
      <c r="V2019" s="15">
        <f>IF(T2019="",0,IF(AND(G2019=T2019,COUNTIFS($S$6:S2019,S2019,$G$6:G2019,G2019,$D$6:D2019,"Vastgesteld")&gt;1),1,0))</f>
        <v>0</v>
      </c>
    </row>
    <row r="2020">
      <c r="S2020" s="15" t="str">
        <f>IF(J2020="","",J2020&amp;"|"&amp;E2020&amp;"|"&amp;F2020&amp;"|"&amp;I2020&amp;"|"&amp;O2020)</f>
        <v/>
      </c>
      <c r="T2020" s="15" t="str">
        <f>IF(OR(S2020="",D2020&lt;&gt;"Vastgesteld"),"",_xlfn.MAXIFS($G$6:$G$5005,$S$6:$S$5005,S2020,$D$6:$D$5005,"Vastgesteld"))</f>
        <v/>
      </c>
      <c r="U2020" s="15">
        <f>IF(T2020="",0,IF(AND(G2020=T2020,COUNTIFS($S$6:S2020,S2020,$G$6:G2020,G2020,$D$6:D2020,"Vastgesteld")=1),1,0))</f>
        <v>0</v>
      </c>
      <c r="V2020" s="15">
        <f>IF(T2020="",0,IF(AND(G2020=T2020,COUNTIFS($S$6:S2020,S2020,$G$6:G2020,G2020,$D$6:D2020,"Vastgesteld")&gt;1),1,0))</f>
        <v>0</v>
      </c>
    </row>
    <row r="2021">
      <c r="S2021" s="15" t="str">
        <f>IF(J2021="","",J2021&amp;"|"&amp;E2021&amp;"|"&amp;F2021&amp;"|"&amp;I2021&amp;"|"&amp;O2021)</f>
        <v/>
      </c>
      <c r="T2021" s="15" t="str">
        <f>IF(OR(S2021="",D2021&lt;&gt;"Vastgesteld"),"",_xlfn.MAXIFS($G$6:$G$5005,$S$6:$S$5005,S2021,$D$6:$D$5005,"Vastgesteld"))</f>
        <v/>
      </c>
      <c r="U2021" s="15">
        <f>IF(T2021="",0,IF(AND(G2021=T2021,COUNTIFS($S$6:S2021,S2021,$G$6:G2021,G2021,$D$6:D2021,"Vastgesteld")=1),1,0))</f>
        <v>0</v>
      </c>
      <c r="V2021" s="15">
        <f>IF(T2021="",0,IF(AND(G2021=T2021,COUNTIFS($S$6:S2021,S2021,$G$6:G2021,G2021,$D$6:D2021,"Vastgesteld")&gt;1),1,0))</f>
        <v>0</v>
      </c>
    </row>
    <row r="2022">
      <c r="S2022" s="15" t="str">
        <f>IF(J2022="","",J2022&amp;"|"&amp;E2022&amp;"|"&amp;F2022&amp;"|"&amp;I2022&amp;"|"&amp;O2022)</f>
        <v/>
      </c>
      <c r="T2022" s="15" t="str">
        <f>IF(OR(S2022="",D2022&lt;&gt;"Vastgesteld"),"",_xlfn.MAXIFS($G$6:$G$5005,$S$6:$S$5005,S2022,$D$6:$D$5005,"Vastgesteld"))</f>
        <v/>
      </c>
      <c r="U2022" s="15">
        <f>IF(T2022="",0,IF(AND(G2022=T2022,COUNTIFS($S$6:S2022,S2022,$G$6:G2022,G2022,$D$6:D2022,"Vastgesteld")=1),1,0))</f>
        <v>0</v>
      </c>
      <c r="V2022" s="15">
        <f>IF(T2022="",0,IF(AND(G2022=T2022,COUNTIFS($S$6:S2022,S2022,$G$6:G2022,G2022,$D$6:D2022,"Vastgesteld")&gt;1),1,0))</f>
        <v>0</v>
      </c>
    </row>
    <row r="2023">
      <c r="S2023" s="15" t="str">
        <f>IF(J2023="","",J2023&amp;"|"&amp;E2023&amp;"|"&amp;F2023&amp;"|"&amp;I2023&amp;"|"&amp;O2023)</f>
        <v/>
      </c>
      <c r="T2023" s="15" t="str">
        <f>IF(OR(S2023="",D2023&lt;&gt;"Vastgesteld"),"",_xlfn.MAXIFS($G$6:$G$5005,$S$6:$S$5005,S2023,$D$6:$D$5005,"Vastgesteld"))</f>
        <v/>
      </c>
      <c r="U2023" s="15">
        <f>IF(T2023="",0,IF(AND(G2023=T2023,COUNTIFS($S$6:S2023,S2023,$G$6:G2023,G2023,$D$6:D2023,"Vastgesteld")=1),1,0))</f>
        <v>0</v>
      </c>
      <c r="V2023" s="15">
        <f>IF(T2023="",0,IF(AND(G2023=T2023,COUNTIFS($S$6:S2023,S2023,$G$6:G2023,G2023,$D$6:D2023,"Vastgesteld")&gt;1),1,0))</f>
        <v>0</v>
      </c>
    </row>
    <row r="2024">
      <c r="S2024" s="15" t="str">
        <f>IF(J2024="","",J2024&amp;"|"&amp;E2024&amp;"|"&amp;F2024&amp;"|"&amp;I2024&amp;"|"&amp;O2024)</f>
        <v/>
      </c>
      <c r="T2024" s="15" t="str">
        <f>IF(OR(S2024="",D2024&lt;&gt;"Vastgesteld"),"",_xlfn.MAXIFS($G$6:$G$5005,$S$6:$S$5005,S2024,$D$6:$D$5005,"Vastgesteld"))</f>
        <v/>
      </c>
      <c r="U2024" s="15">
        <f>IF(T2024="",0,IF(AND(G2024=T2024,COUNTIFS($S$6:S2024,S2024,$G$6:G2024,G2024,$D$6:D2024,"Vastgesteld")=1),1,0))</f>
        <v>0</v>
      </c>
      <c r="V2024" s="15">
        <f>IF(T2024="",0,IF(AND(G2024=T2024,COUNTIFS($S$6:S2024,S2024,$G$6:G2024,G2024,$D$6:D2024,"Vastgesteld")&gt;1),1,0))</f>
        <v>0</v>
      </c>
    </row>
    <row r="2025">
      <c r="S2025" s="15" t="str">
        <f>IF(J2025="","",J2025&amp;"|"&amp;E2025&amp;"|"&amp;F2025&amp;"|"&amp;I2025&amp;"|"&amp;O2025)</f>
        <v/>
      </c>
      <c r="T2025" s="15" t="str">
        <f>IF(OR(S2025="",D2025&lt;&gt;"Vastgesteld"),"",_xlfn.MAXIFS($G$6:$G$5005,$S$6:$S$5005,S2025,$D$6:$D$5005,"Vastgesteld"))</f>
        <v/>
      </c>
      <c r="U2025" s="15">
        <f>IF(T2025="",0,IF(AND(G2025=T2025,COUNTIFS($S$6:S2025,S2025,$G$6:G2025,G2025,$D$6:D2025,"Vastgesteld")=1),1,0))</f>
        <v>0</v>
      </c>
      <c r="V2025" s="15">
        <f>IF(T2025="",0,IF(AND(G2025=T2025,COUNTIFS($S$6:S2025,S2025,$G$6:G2025,G2025,$D$6:D2025,"Vastgesteld")&gt;1),1,0))</f>
        <v>0</v>
      </c>
    </row>
    <row r="2026">
      <c r="S2026" s="15" t="str">
        <f>IF(J2026="","",J2026&amp;"|"&amp;E2026&amp;"|"&amp;F2026&amp;"|"&amp;I2026&amp;"|"&amp;O2026)</f>
        <v/>
      </c>
      <c r="T2026" s="15" t="str">
        <f>IF(OR(S2026="",D2026&lt;&gt;"Vastgesteld"),"",_xlfn.MAXIFS($G$6:$G$5005,$S$6:$S$5005,S2026,$D$6:$D$5005,"Vastgesteld"))</f>
        <v/>
      </c>
      <c r="U2026" s="15">
        <f>IF(T2026="",0,IF(AND(G2026=T2026,COUNTIFS($S$6:S2026,S2026,$G$6:G2026,G2026,$D$6:D2026,"Vastgesteld")=1),1,0))</f>
        <v>0</v>
      </c>
      <c r="V2026" s="15">
        <f>IF(T2026="",0,IF(AND(G2026=T2026,COUNTIFS($S$6:S2026,S2026,$G$6:G2026,G2026,$D$6:D2026,"Vastgesteld")&gt;1),1,0))</f>
        <v>0</v>
      </c>
    </row>
    <row r="2027">
      <c r="S2027" s="15" t="str">
        <f>IF(J2027="","",J2027&amp;"|"&amp;E2027&amp;"|"&amp;F2027&amp;"|"&amp;I2027&amp;"|"&amp;O2027)</f>
        <v/>
      </c>
      <c r="T2027" s="15" t="str">
        <f>IF(OR(S2027="",D2027&lt;&gt;"Vastgesteld"),"",_xlfn.MAXIFS($G$6:$G$5005,$S$6:$S$5005,S2027,$D$6:$D$5005,"Vastgesteld"))</f>
        <v/>
      </c>
      <c r="U2027" s="15">
        <f>IF(T2027="",0,IF(AND(G2027=T2027,COUNTIFS($S$6:S2027,S2027,$G$6:G2027,G2027,$D$6:D2027,"Vastgesteld")=1),1,0))</f>
        <v>0</v>
      </c>
      <c r="V2027" s="15">
        <f>IF(T2027="",0,IF(AND(G2027=T2027,COUNTIFS($S$6:S2027,S2027,$G$6:G2027,G2027,$D$6:D2027,"Vastgesteld")&gt;1),1,0))</f>
        <v>0</v>
      </c>
    </row>
    <row r="2028">
      <c r="S2028" s="15" t="str">
        <f>IF(J2028="","",J2028&amp;"|"&amp;E2028&amp;"|"&amp;F2028&amp;"|"&amp;I2028&amp;"|"&amp;O2028)</f>
        <v/>
      </c>
      <c r="T2028" s="15" t="str">
        <f>IF(OR(S2028="",D2028&lt;&gt;"Vastgesteld"),"",_xlfn.MAXIFS($G$6:$G$5005,$S$6:$S$5005,S2028,$D$6:$D$5005,"Vastgesteld"))</f>
        <v/>
      </c>
      <c r="U2028" s="15">
        <f>IF(T2028="",0,IF(AND(G2028=T2028,COUNTIFS($S$6:S2028,S2028,$G$6:G2028,G2028,$D$6:D2028,"Vastgesteld")=1),1,0))</f>
        <v>0</v>
      </c>
      <c r="V2028" s="15">
        <f>IF(T2028="",0,IF(AND(G2028=T2028,COUNTIFS($S$6:S2028,S2028,$G$6:G2028,G2028,$D$6:D2028,"Vastgesteld")&gt;1),1,0))</f>
        <v>0</v>
      </c>
    </row>
    <row r="2029">
      <c r="S2029" s="15" t="str">
        <f>IF(J2029="","",J2029&amp;"|"&amp;E2029&amp;"|"&amp;F2029&amp;"|"&amp;I2029&amp;"|"&amp;O2029)</f>
        <v/>
      </c>
      <c r="T2029" s="15" t="str">
        <f>IF(OR(S2029="",D2029&lt;&gt;"Vastgesteld"),"",_xlfn.MAXIFS($G$6:$G$5005,$S$6:$S$5005,S2029,$D$6:$D$5005,"Vastgesteld"))</f>
        <v/>
      </c>
      <c r="U2029" s="15">
        <f>IF(T2029="",0,IF(AND(G2029=T2029,COUNTIFS($S$6:S2029,S2029,$G$6:G2029,G2029,$D$6:D2029,"Vastgesteld")=1),1,0))</f>
        <v>0</v>
      </c>
      <c r="V2029" s="15">
        <f>IF(T2029="",0,IF(AND(G2029=T2029,COUNTIFS($S$6:S2029,S2029,$G$6:G2029,G2029,$D$6:D2029,"Vastgesteld")&gt;1),1,0))</f>
        <v>0</v>
      </c>
    </row>
    <row r="2030">
      <c r="S2030" s="15" t="str">
        <f>IF(J2030="","",J2030&amp;"|"&amp;E2030&amp;"|"&amp;F2030&amp;"|"&amp;I2030&amp;"|"&amp;O2030)</f>
        <v/>
      </c>
      <c r="T2030" s="15" t="str">
        <f>IF(OR(S2030="",D2030&lt;&gt;"Vastgesteld"),"",_xlfn.MAXIFS($G$6:$G$5005,$S$6:$S$5005,S2030,$D$6:$D$5005,"Vastgesteld"))</f>
        <v/>
      </c>
      <c r="U2030" s="15">
        <f>IF(T2030="",0,IF(AND(G2030=T2030,COUNTIFS($S$6:S2030,S2030,$G$6:G2030,G2030,$D$6:D2030,"Vastgesteld")=1),1,0))</f>
        <v>0</v>
      </c>
      <c r="V2030" s="15">
        <f>IF(T2030="",0,IF(AND(G2030=T2030,COUNTIFS($S$6:S2030,S2030,$G$6:G2030,G2030,$D$6:D2030,"Vastgesteld")&gt;1),1,0))</f>
        <v>0</v>
      </c>
    </row>
    <row r="2031">
      <c r="S2031" s="15" t="str">
        <f>IF(J2031="","",J2031&amp;"|"&amp;E2031&amp;"|"&amp;F2031&amp;"|"&amp;I2031&amp;"|"&amp;O2031)</f>
        <v/>
      </c>
      <c r="T2031" s="15" t="str">
        <f>IF(OR(S2031="",D2031&lt;&gt;"Vastgesteld"),"",_xlfn.MAXIFS($G$6:$G$5005,$S$6:$S$5005,S2031,$D$6:$D$5005,"Vastgesteld"))</f>
        <v/>
      </c>
      <c r="U2031" s="15">
        <f>IF(T2031="",0,IF(AND(G2031=T2031,COUNTIFS($S$6:S2031,S2031,$G$6:G2031,G2031,$D$6:D2031,"Vastgesteld")=1),1,0))</f>
        <v>0</v>
      </c>
      <c r="V2031" s="15">
        <f>IF(T2031="",0,IF(AND(G2031=T2031,COUNTIFS($S$6:S2031,S2031,$G$6:G2031,G2031,$D$6:D2031,"Vastgesteld")&gt;1),1,0))</f>
        <v>0</v>
      </c>
    </row>
    <row r="2032">
      <c r="S2032" s="15" t="str">
        <f>IF(J2032="","",J2032&amp;"|"&amp;E2032&amp;"|"&amp;F2032&amp;"|"&amp;I2032&amp;"|"&amp;O2032)</f>
        <v/>
      </c>
      <c r="T2032" s="15" t="str">
        <f>IF(OR(S2032="",D2032&lt;&gt;"Vastgesteld"),"",_xlfn.MAXIFS($G$6:$G$5005,$S$6:$S$5005,S2032,$D$6:$D$5005,"Vastgesteld"))</f>
        <v/>
      </c>
      <c r="U2032" s="15">
        <f>IF(T2032="",0,IF(AND(G2032=T2032,COUNTIFS($S$6:S2032,S2032,$G$6:G2032,G2032,$D$6:D2032,"Vastgesteld")=1),1,0))</f>
        <v>0</v>
      </c>
      <c r="V2032" s="15">
        <f>IF(T2032="",0,IF(AND(G2032=T2032,COUNTIFS($S$6:S2032,S2032,$G$6:G2032,G2032,$D$6:D2032,"Vastgesteld")&gt;1),1,0))</f>
        <v>0</v>
      </c>
    </row>
    <row r="2033">
      <c r="S2033" s="15" t="str">
        <f>IF(J2033="","",J2033&amp;"|"&amp;E2033&amp;"|"&amp;F2033&amp;"|"&amp;I2033&amp;"|"&amp;O2033)</f>
        <v/>
      </c>
      <c r="T2033" s="15" t="str">
        <f>IF(OR(S2033="",D2033&lt;&gt;"Vastgesteld"),"",_xlfn.MAXIFS($G$6:$G$5005,$S$6:$S$5005,S2033,$D$6:$D$5005,"Vastgesteld"))</f>
        <v/>
      </c>
      <c r="U2033" s="15">
        <f>IF(T2033="",0,IF(AND(G2033=T2033,COUNTIFS($S$6:S2033,S2033,$G$6:G2033,G2033,$D$6:D2033,"Vastgesteld")=1),1,0))</f>
        <v>0</v>
      </c>
      <c r="V2033" s="15">
        <f>IF(T2033="",0,IF(AND(G2033=T2033,COUNTIFS($S$6:S2033,S2033,$G$6:G2033,G2033,$D$6:D2033,"Vastgesteld")&gt;1),1,0))</f>
        <v>0</v>
      </c>
    </row>
    <row r="2034">
      <c r="S2034" s="15" t="str">
        <f>IF(J2034="","",J2034&amp;"|"&amp;E2034&amp;"|"&amp;F2034&amp;"|"&amp;I2034&amp;"|"&amp;O2034)</f>
        <v/>
      </c>
      <c r="T2034" s="15" t="str">
        <f>IF(OR(S2034="",D2034&lt;&gt;"Vastgesteld"),"",_xlfn.MAXIFS($G$6:$G$5005,$S$6:$S$5005,S2034,$D$6:$D$5005,"Vastgesteld"))</f>
        <v/>
      </c>
      <c r="U2034" s="15">
        <f>IF(T2034="",0,IF(AND(G2034=T2034,COUNTIFS($S$6:S2034,S2034,$G$6:G2034,G2034,$D$6:D2034,"Vastgesteld")=1),1,0))</f>
        <v>0</v>
      </c>
      <c r="V2034" s="15">
        <f>IF(T2034="",0,IF(AND(G2034=T2034,COUNTIFS($S$6:S2034,S2034,$G$6:G2034,G2034,$D$6:D2034,"Vastgesteld")&gt;1),1,0))</f>
        <v>0</v>
      </c>
    </row>
    <row r="2035">
      <c r="S2035" s="15" t="str">
        <f>IF(J2035="","",J2035&amp;"|"&amp;E2035&amp;"|"&amp;F2035&amp;"|"&amp;I2035&amp;"|"&amp;O2035)</f>
        <v/>
      </c>
      <c r="T2035" s="15" t="str">
        <f>IF(OR(S2035="",D2035&lt;&gt;"Vastgesteld"),"",_xlfn.MAXIFS($G$6:$G$5005,$S$6:$S$5005,S2035,$D$6:$D$5005,"Vastgesteld"))</f>
        <v/>
      </c>
      <c r="U2035" s="15">
        <f>IF(T2035="",0,IF(AND(G2035=T2035,COUNTIFS($S$6:S2035,S2035,$G$6:G2035,G2035,$D$6:D2035,"Vastgesteld")=1),1,0))</f>
        <v>0</v>
      </c>
      <c r="V2035" s="15">
        <f>IF(T2035="",0,IF(AND(G2035=T2035,COUNTIFS($S$6:S2035,S2035,$G$6:G2035,G2035,$D$6:D2035,"Vastgesteld")&gt;1),1,0))</f>
        <v>0</v>
      </c>
    </row>
    <row r="2036">
      <c r="S2036" s="15" t="str">
        <f>IF(J2036="","",J2036&amp;"|"&amp;E2036&amp;"|"&amp;F2036&amp;"|"&amp;I2036&amp;"|"&amp;O2036)</f>
        <v/>
      </c>
      <c r="T2036" s="15" t="str">
        <f>IF(OR(S2036="",D2036&lt;&gt;"Vastgesteld"),"",_xlfn.MAXIFS($G$6:$G$5005,$S$6:$S$5005,S2036,$D$6:$D$5005,"Vastgesteld"))</f>
        <v/>
      </c>
      <c r="U2036" s="15">
        <f>IF(T2036="",0,IF(AND(G2036=T2036,COUNTIFS($S$6:S2036,S2036,$G$6:G2036,G2036,$D$6:D2036,"Vastgesteld")=1),1,0))</f>
        <v>0</v>
      </c>
      <c r="V2036" s="15">
        <f>IF(T2036="",0,IF(AND(G2036=T2036,COUNTIFS($S$6:S2036,S2036,$G$6:G2036,G2036,$D$6:D2036,"Vastgesteld")&gt;1),1,0))</f>
        <v>0</v>
      </c>
    </row>
    <row r="2037">
      <c r="S2037" s="15" t="str">
        <f>IF(J2037="","",J2037&amp;"|"&amp;E2037&amp;"|"&amp;F2037&amp;"|"&amp;I2037&amp;"|"&amp;O2037)</f>
        <v/>
      </c>
      <c r="T2037" s="15" t="str">
        <f>IF(OR(S2037="",D2037&lt;&gt;"Vastgesteld"),"",_xlfn.MAXIFS($G$6:$G$5005,$S$6:$S$5005,S2037,$D$6:$D$5005,"Vastgesteld"))</f>
        <v/>
      </c>
      <c r="U2037" s="15">
        <f>IF(T2037="",0,IF(AND(G2037=T2037,COUNTIFS($S$6:S2037,S2037,$G$6:G2037,G2037,$D$6:D2037,"Vastgesteld")=1),1,0))</f>
        <v>0</v>
      </c>
      <c r="V2037" s="15">
        <f>IF(T2037="",0,IF(AND(G2037=T2037,COUNTIFS($S$6:S2037,S2037,$G$6:G2037,G2037,$D$6:D2037,"Vastgesteld")&gt;1),1,0))</f>
        <v>0</v>
      </c>
    </row>
    <row r="2038">
      <c r="S2038" s="15" t="str">
        <f>IF(J2038="","",J2038&amp;"|"&amp;E2038&amp;"|"&amp;F2038&amp;"|"&amp;I2038&amp;"|"&amp;O2038)</f>
        <v/>
      </c>
      <c r="T2038" s="15" t="str">
        <f>IF(OR(S2038="",D2038&lt;&gt;"Vastgesteld"),"",_xlfn.MAXIFS($G$6:$G$5005,$S$6:$S$5005,S2038,$D$6:$D$5005,"Vastgesteld"))</f>
        <v/>
      </c>
      <c r="U2038" s="15">
        <f>IF(T2038="",0,IF(AND(G2038=T2038,COUNTIFS($S$6:S2038,S2038,$G$6:G2038,G2038,$D$6:D2038,"Vastgesteld")=1),1,0))</f>
        <v>0</v>
      </c>
      <c r="V2038" s="15">
        <f>IF(T2038="",0,IF(AND(G2038=T2038,COUNTIFS($S$6:S2038,S2038,$G$6:G2038,G2038,$D$6:D2038,"Vastgesteld")&gt;1),1,0))</f>
        <v>0</v>
      </c>
    </row>
    <row r="2039">
      <c r="S2039" s="15" t="str">
        <f>IF(J2039="","",J2039&amp;"|"&amp;E2039&amp;"|"&amp;F2039&amp;"|"&amp;I2039&amp;"|"&amp;O2039)</f>
        <v/>
      </c>
      <c r="T2039" s="15" t="str">
        <f>IF(OR(S2039="",D2039&lt;&gt;"Vastgesteld"),"",_xlfn.MAXIFS($G$6:$G$5005,$S$6:$S$5005,S2039,$D$6:$D$5005,"Vastgesteld"))</f>
        <v/>
      </c>
      <c r="U2039" s="15">
        <f>IF(T2039="",0,IF(AND(G2039=T2039,COUNTIFS($S$6:S2039,S2039,$G$6:G2039,G2039,$D$6:D2039,"Vastgesteld")=1),1,0))</f>
        <v>0</v>
      </c>
      <c r="V2039" s="15">
        <f>IF(T2039="",0,IF(AND(G2039=T2039,COUNTIFS($S$6:S2039,S2039,$G$6:G2039,G2039,$D$6:D2039,"Vastgesteld")&gt;1),1,0))</f>
        <v>0</v>
      </c>
    </row>
    <row r="2040">
      <c r="S2040" s="15" t="str">
        <f>IF(J2040="","",J2040&amp;"|"&amp;E2040&amp;"|"&amp;F2040&amp;"|"&amp;I2040&amp;"|"&amp;O2040)</f>
        <v/>
      </c>
      <c r="T2040" s="15" t="str">
        <f>IF(OR(S2040="",D2040&lt;&gt;"Vastgesteld"),"",_xlfn.MAXIFS($G$6:$G$5005,$S$6:$S$5005,S2040,$D$6:$D$5005,"Vastgesteld"))</f>
        <v/>
      </c>
      <c r="U2040" s="15">
        <f>IF(T2040="",0,IF(AND(G2040=T2040,COUNTIFS($S$6:S2040,S2040,$G$6:G2040,G2040,$D$6:D2040,"Vastgesteld")=1),1,0))</f>
        <v>0</v>
      </c>
      <c r="V2040" s="15">
        <f>IF(T2040="",0,IF(AND(G2040=T2040,COUNTIFS($S$6:S2040,S2040,$G$6:G2040,G2040,$D$6:D2040,"Vastgesteld")&gt;1),1,0))</f>
        <v>0</v>
      </c>
    </row>
    <row r="2041">
      <c r="S2041" s="15" t="str">
        <f>IF(J2041="","",J2041&amp;"|"&amp;E2041&amp;"|"&amp;F2041&amp;"|"&amp;I2041&amp;"|"&amp;O2041)</f>
        <v/>
      </c>
      <c r="T2041" s="15" t="str">
        <f>IF(OR(S2041="",D2041&lt;&gt;"Vastgesteld"),"",_xlfn.MAXIFS($G$6:$G$5005,$S$6:$S$5005,S2041,$D$6:$D$5005,"Vastgesteld"))</f>
        <v/>
      </c>
      <c r="U2041" s="15">
        <f>IF(T2041="",0,IF(AND(G2041=T2041,COUNTIFS($S$6:S2041,S2041,$G$6:G2041,G2041,$D$6:D2041,"Vastgesteld")=1),1,0))</f>
        <v>0</v>
      </c>
      <c r="V2041" s="15">
        <f>IF(T2041="",0,IF(AND(G2041=T2041,COUNTIFS($S$6:S2041,S2041,$G$6:G2041,G2041,$D$6:D2041,"Vastgesteld")&gt;1),1,0))</f>
        <v>0</v>
      </c>
    </row>
    <row r="2042">
      <c r="S2042" s="15" t="str">
        <f>IF(J2042="","",J2042&amp;"|"&amp;E2042&amp;"|"&amp;F2042&amp;"|"&amp;I2042&amp;"|"&amp;O2042)</f>
        <v/>
      </c>
      <c r="T2042" s="15" t="str">
        <f>IF(OR(S2042="",D2042&lt;&gt;"Vastgesteld"),"",_xlfn.MAXIFS($G$6:$G$5005,$S$6:$S$5005,S2042,$D$6:$D$5005,"Vastgesteld"))</f>
        <v/>
      </c>
      <c r="U2042" s="15">
        <f>IF(T2042="",0,IF(AND(G2042=T2042,COUNTIFS($S$6:S2042,S2042,$G$6:G2042,G2042,$D$6:D2042,"Vastgesteld")=1),1,0))</f>
        <v>0</v>
      </c>
      <c r="V2042" s="15">
        <f>IF(T2042="",0,IF(AND(G2042=T2042,COUNTIFS($S$6:S2042,S2042,$G$6:G2042,G2042,$D$6:D2042,"Vastgesteld")&gt;1),1,0))</f>
        <v>0</v>
      </c>
    </row>
    <row r="2043">
      <c r="S2043" s="15" t="str">
        <f>IF(J2043="","",J2043&amp;"|"&amp;E2043&amp;"|"&amp;F2043&amp;"|"&amp;I2043&amp;"|"&amp;O2043)</f>
        <v/>
      </c>
      <c r="T2043" s="15" t="str">
        <f>IF(OR(S2043="",D2043&lt;&gt;"Vastgesteld"),"",_xlfn.MAXIFS($G$6:$G$5005,$S$6:$S$5005,S2043,$D$6:$D$5005,"Vastgesteld"))</f>
        <v/>
      </c>
      <c r="U2043" s="15">
        <f>IF(T2043="",0,IF(AND(G2043=T2043,COUNTIFS($S$6:S2043,S2043,$G$6:G2043,G2043,$D$6:D2043,"Vastgesteld")=1),1,0))</f>
        <v>0</v>
      </c>
      <c r="V2043" s="15">
        <f>IF(T2043="",0,IF(AND(G2043=T2043,COUNTIFS($S$6:S2043,S2043,$G$6:G2043,G2043,$D$6:D2043,"Vastgesteld")&gt;1),1,0))</f>
        <v>0</v>
      </c>
    </row>
    <row r="2044">
      <c r="S2044" s="15" t="str">
        <f>IF(J2044="","",J2044&amp;"|"&amp;E2044&amp;"|"&amp;F2044&amp;"|"&amp;I2044&amp;"|"&amp;O2044)</f>
        <v/>
      </c>
      <c r="T2044" s="15" t="str">
        <f>IF(OR(S2044="",D2044&lt;&gt;"Vastgesteld"),"",_xlfn.MAXIFS($G$6:$G$5005,$S$6:$S$5005,S2044,$D$6:$D$5005,"Vastgesteld"))</f>
        <v/>
      </c>
      <c r="U2044" s="15">
        <f>IF(T2044="",0,IF(AND(G2044=T2044,COUNTIFS($S$6:S2044,S2044,$G$6:G2044,G2044,$D$6:D2044,"Vastgesteld")=1),1,0))</f>
        <v>0</v>
      </c>
      <c r="V2044" s="15">
        <f>IF(T2044="",0,IF(AND(G2044=T2044,COUNTIFS($S$6:S2044,S2044,$G$6:G2044,G2044,$D$6:D2044,"Vastgesteld")&gt;1),1,0))</f>
        <v>0</v>
      </c>
    </row>
    <row r="2045">
      <c r="S2045" s="15" t="str">
        <f>IF(J2045="","",J2045&amp;"|"&amp;E2045&amp;"|"&amp;F2045&amp;"|"&amp;I2045&amp;"|"&amp;O2045)</f>
        <v/>
      </c>
      <c r="T2045" s="15" t="str">
        <f>IF(OR(S2045="",D2045&lt;&gt;"Vastgesteld"),"",_xlfn.MAXIFS($G$6:$G$5005,$S$6:$S$5005,S2045,$D$6:$D$5005,"Vastgesteld"))</f>
        <v/>
      </c>
      <c r="U2045" s="15">
        <f>IF(T2045="",0,IF(AND(G2045=T2045,COUNTIFS($S$6:S2045,S2045,$G$6:G2045,G2045,$D$6:D2045,"Vastgesteld")=1),1,0))</f>
        <v>0</v>
      </c>
      <c r="V2045" s="15">
        <f>IF(T2045="",0,IF(AND(G2045=T2045,COUNTIFS($S$6:S2045,S2045,$G$6:G2045,G2045,$D$6:D2045,"Vastgesteld")&gt;1),1,0))</f>
        <v>0</v>
      </c>
    </row>
    <row r="2046">
      <c r="S2046" s="15" t="str">
        <f>IF(J2046="","",J2046&amp;"|"&amp;E2046&amp;"|"&amp;F2046&amp;"|"&amp;I2046&amp;"|"&amp;O2046)</f>
        <v/>
      </c>
      <c r="T2046" s="15" t="str">
        <f>IF(OR(S2046="",D2046&lt;&gt;"Vastgesteld"),"",_xlfn.MAXIFS($G$6:$G$5005,$S$6:$S$5005,S2046,$D$6:$D$5005,"Vastgesteld"))</f>
        <v/>
      </c>
      <c r="U2046" s="15">
        <f>IF(T2046="",0,IF(AND(G2046=T2046,COUNTIFS($S$6:S2046,S2046,$G$6:G2046,G2046,$D$6:D2046,"Vastgesteld")=1),1,0))</f>
        <v>0</v>
      </c>
      <c r="V2046" s="15">
        <f>IF(T2046="",0,IF(AND(G2046=T2046,COUNTIFS($S$6:S2046,S2046,$G$6:G2046,G2046,$D$6:D2046,"Vastgesteld")&gt;1),1,0))</f>
        <v>0</v>
      </c>
    </row>
    <row r="2047">
      <c r="S2047" s="15" t="str">
        <f>IF(J2047="","",J2047&amp;"|"&amp;E2047&amp;"|"&amp;F2047&amp;"|"&amp;I2047&amp;"|"&amp;O2047)</f>
        <v/>
      </c>
      <c r="T2047" s="15" t="str">
        <f>IF(OR(S2047="",D2047&lt;&gt;"Vastgesteld"),"",_xlfn.MAXIFS($G$6:$G$5005,$S$6:$S$5005,S2047,$D$6:$D$5005,"Vastgesteld"))</f>
        <v/>
      </c>
      <c r="U2047" s="15">
        <f>IF(T2047="",0,IF(AND(G2047=T2047,COUNTIFS($S$6:S2047,S2047,$G$6:G2047,G2047,$D$6:D2047,"Vastgesteld")=1),1,0))</f>
        <v>0</v>
      </c>
      <c r="V2047" s="15">
        <f>IF(T2047="",0,IF(AND(G2047=T2047,COUNTIFS($S$6:S2047,S2047,$G$6:G2047,G2047,$D$6:D2047,"Vastgesteld")&gt;1),1,0))</f>
        <v>0</v>
      </c>
    </row>
    <row r="2048">
      <c r="S2048" s="15" t="str">
        <f>IF(J2048="","",J2048&amp;"|"&amp;E2048&amp;"|"&amp;F2048&amp;"|"&amp;I2048&amp;"|"&amp;O2048)</f>
        <v/>
      </c>
      <c r="T2048" s="15" t="str">
        <f>IF(OR(S2048="",D2048&lt;&gt;"Vastgesteld"),"",_xlfn.MAXIFS($G$6:$G$5005,$S$6:$S$5005,S2048,$D$6:$D$5005,"Vastgesteld"))</f>
        <v/>
      </c>
      <c r="U2048" s="15">
        <f>IF(T2048="",0,IF(AND(G2048=T2048,COUNTIFS($S$6:S2048,S2048,$G$6:G2048,G2048,$D$6:D2048,"Vastgesteld")=1),1,0))</f>
        <v>0</v>
      </c>
      <c r="V2048" s="15">
        <f>IF(T2048="",0,IF(AND(G2048=T2048,COUNTIFS($S$6:S2048,S2048,$G$6:G2048,G2048,$D$6:D2048,"Vastgesteld")&gt;1),1,0))</f>
        <v>0</v>
      </c>
    </row>
    <row r="2049">
      <c r="S2049" s="15" t="str">
        <f>IF(J2049="","",J2049&amp;"|"&amp;E2049&amp;"|"&amp;F2049&amp;"|"&amp;I2049&amp;"|"&amp;O2049)</f>
        <v/>
      </c>
      <c r="T2049" s="15" t="str">
        <f>IF(OR(S2049="",D2049&lt;&gt;"Vastgesteld"),"",_xlfn.MAXIFS($G$6:$G$5005,$S$6:$S$5005,S2049,$D$6:$D$5005,"Vastgesteld"))</f>
        <v/>
      </c>
      <c r="U2049" s="15">
        <f>IF(T2049="",0,IF(AND(G2049=T2049,COUNTIFS($S$6:S2049,S2049,$G$6:G2049,G2049,$D$6:D2049,"Vastgesteld")=1),1,0))</f>
        <v>0</v>
      </c>
      <c r="V2049" s="15">
        <f>IF(T2049="",0,IF(AND(G2049=T2049,COUNTIFS($S$6:S2049,S2049,$G$6:G2049,G2049,$D$6:D2049,"Vastgesteld")&gt;1),1,0))</f>
        <v>0</v>
      </c>
    </row>
    <row r="2050">
      <c r="S2050" s="15" t="str">
        <f>IF(J2050="","",J2050&amp;"|"&amp;E2050&amp;"|"&amp;F2050&amp;"|"&amp;I2050&amp;"|"&amp;O2050)</f>
        <v/>
      </c>
      <c r="T2050" s="15" t="str">
        <f>IF(OR(S2050="",D2050&lt;&gt;"Vastgesteld"),"",_xlfn.MAXIFS($G$6:$G$5005,$S$6:$S$5005,S2050,$D$6:$D$5005,"Vastgesteld"))</f>
        <v/>
      </c>
      <c r="U2050" s="15">
        <f>IF(T2050="",0,IF(AND(G2050=T2050,COUNTIFS($S$6:S2050,S2050,$G$6:G2050,G2050,$D$6:D2050,"Vastgesteld")=1),1,0))</f>
        <v>0</v>
      </c>
      <c r="V2050" s="15">
        <f>IF(T2050="",0,IF(AND(G2050=T2050,COUNTIFS($S$6:S2050,S2050,$G$6:G2050,G2050,$D$6:D2050,"Vastgesteld")&gt;1),1,0))</f>
        <v>0</v>
      </c>
    </row>
    <row r="2051">
      <c r="S2051" s="15" t="str">
        <f>IF(J2051="","",J2051&amp;"|"&amp;E2051&amp;"|"&amp;F2051&amp;"|"&amp;I2051&amp;"|"&amp;O2051)</f>
        <v/>
      </c>
      <c r="T2051" s="15" t="str">
        <f>IF(OR(S2051="",D2051&lt;&gt;"Vastgesteld"),"",_xlfn.MAXIFS($G$6:$G$5005,$S$6:$S$5005,S2051,$D$6:$D$5005,"Vastgesteld"))</f>
        <v/>
      </c>
      <c r="U2051" s="15">
        <f>IF(T2051="",0,IF(AND(G2051=T2051,COUNTIFS($S$6:S2051,S2051,$G$6:G2051,G2051,$D$6:D2051,"Vastgesteld")=1),1,0))</f>
        <v>0</v>
      </c>
      <c r="V2051" s="15">
        <f>IF(T2051="",0,IF(AND(G2051=T2051,COUNTIFS($S$6:S2051,S2051,$G$6:G2051,G2051,$D$6:D2051,"Vastgesteld")&gt;1),1,0))</f>
        <v>0</v>
      </c>
    </row>
    <row r="2052">
      <c r="S2052" s="15" t="str">
        <f>IF(J2052="","",J2052&amp;"|"&amp;E2052&amp;"|"&amp;F2052&amp;"|"&amp;I2052&amp;"|"&amp;O2052)</f>
        <v/>
      </c>
      <c r="T2052" s="15" t="str">
        <f>IF(OR(S2052="",D2052&lt;&gt;"Vastgesteld"),"",_xlfn.MAXIFS($G$6:$G$5005,$S$6:$S$5005,S2052,$D$6:$D$5005,"Vastgesteld"))</f>
        <v/>
      </c>
      <c r="U2052" s="15">
        <f>IF(T2052="",0,IF(AND(G2052=T2052,COUNTIFS($S$6:S2052,S2052,$G$6:G2052,G2052,$D$6:D2052,"Vastgesteld")=1),1,0))</f>
        <v>0</v>
      </c>
      <c r="V2052" s="15">
        <f>IF(T2052="",0,IF(AND(G2052=T2052,COUNTIFS($S$6:S2052,S2052,$G$6:G2052,G2052,$D$6:D2052,"Vastgesteld")&gt;1),1,0))</f>
        <v>0</v>
      </c>
    </row>
    <row r="2053">
      <c r="S2053" s="15" t="str">
        <f>IF(J2053="","",J2053&amp;"|"&amp;E2053&amp;"|"&amp;F2053&amp;"|"&amp;I2053&amp;"|"&amp;O2053)</f>
        <v/>
      </c>
      <c r="T2053" s="15" t="str">
        <f>IF(OR(S2053="",D2053&lt;&gt;"Vastgesteld"),"",_xlfn.MAXIFS($G$6:$G$5005,$S$6:$S$5005,S2053,$D$6:$D$5005,"Vastgesteld"))</f>
        <v/>
      </c>
      <c r="U2053" s="15">
        <f>IF(T2053="",0,IF(AND(G2053=T2053,COUNTIFS($S$6:S2053,S2053,$G$6:G2053,G2053,$D$6:D2053,"Vastgesteld")=1),1,0))</f>
        <v>0</v>
      </c>
      <c r="V2053" s="15">
        <f>IF(T2053="",0,IF(AND(G2053=T2053,COUNTIFS($S$6:S2053,S2053,$G$6:G2053,G2053,$D$6:D2053,"Vastgesteld")&gt;1),1,0))</f>
        <v>0</v>
      </c>
    </row>
    <row r="2054">
      <c r="S2054" s="15" t="str">
        <f>IF(J2054="","",J2054&amp;"|"&amp;E2054&amp;"|"&amp;F2054&amp;"|"&amp;I2054&amp;"|"&amp;O2054)</f>
        <v/>
      </c>
      <c r="T2054" s="15" t="str">
        <f>IF(OR(S2054="",D2054&lt;&gt;"Vastgesteld"),"",_xlfn.MAXIFS($G$6:$G$5005,$S$6:$S$5005,S2054,$D$6:$D$5005,"Vastgesteld"))</f>
        <v/>
      </c>
      <c r="U2054" s="15">
        <f>IF(T2054="",0,IF(AND(G2054=T2054,COUNTIFS($S$6:S2054,S2054,$G$6:G2054,G2054,$D$6:D2054,"Vastgesteld")=1),1,0))</f>
        <v>0</v>
      </c>
      <c r="V2054" s="15">
        <f>IF(T2054="",0,IF(AND(G2054=T2054,COUNTIFS($S$6:S2054,S2054,$G$6:G2054,G2054,$D$6:D2054,"Vastgesteld")&gt;1),1,0))</f>
        <v>0</v>
      </c>
    </row>
    <row r="2055">
      <c r="S2055" s="15" t="str">
        <f>IF(J2055="","",J2055&amp;"|"&amp;E2055&amp;"|"&amp;F2055&amp;"|"&amp;I2055&amp;"|"&amp;O2055)</f>
        <v/>
      </c>
      <c r="T2055" s="15" t="str">
        <f>IF(OR(S2055="",D2055&lt;&gt;"Vastgesteld"),"",_xlfn.MAXIFS($G$6:$G$5005,$S$6:$S$5005,S2055,$D$6:$D$5005,"Vastgesteld"))</f>
        <v/>
      </c>
      <c r="U2055" s="15">
        <f>IF(T2055="",0,IF(AND(G2055=T2055,COUNTIFS($S$6:S2055,S2055,$G$6:G2055,G2055,$D$6:D2055,"Vastgesteld")=1),1,0))</f>
        <v>0</v>
      </c>
      <c r="V2055" s="15">
        <f>IF(T2055="",0,IF(AND(G2055=T2055,COUNTIFS($S$6:S2055,S2055,$G$6:G2055,G2055,$D$6:D2055,"Vastgesteld")&gt;1),1,0))</f>
        <v>0</v>
      </c>
    </row>
    <row r="2056">
      <c r="S2056" s="15" t="str">
        <f>IF(J2056="","",J2056&amp;"|"&amp;E2056&amp;"|"&amp;F2056&amp;"|"&amp;I2056&amp;"|"&amp;O2056)</f>
        <v/>
      </c>
      <c r="T2056" s="15" t="str">
        <f>IF(OR(S2056="",D2056&lt;&gt;"Vastgesteld"),"",_xlfn.MAXIFS($G$6:$G$5005,$S$6:$S$5005,S2056,$D$6:$D$5005,"Vastgesteld"))</f>
        <v/>
      </c>
      <c r="U2056" s="15">
        <f>IF(T2056="",0,IF(AND(G2056=T2056,COUNTIFS($S$6:S2056,S2056,$G$6:G2056,G2056,$D$6:D2056,"Vastgesteld")=1),1,0))</f>
        <v>0</v>
      </c>
      <c r="V2056" s="15">
        <f>IF(T2056="",0,IF(AND(G2056=T2056,COUNTIFS($S$6:S2056,S2056,$G$6:G2056,G2056,$D$6:D2056,"Vastgesteld")&gt;1),1,0))</f>
        <v>0</v>
      </c>
    </row>
    <row r="2057">
      <c r="S2057" s="15" t="str">
        <f>IF(J2057="","",J2057&amp;"|"&amp;E2057&amp;"|"&amp;F2057&amp;"|"&amp;I2057&amp;"|"&amp;O2057)</f>
        <v/>
      </c>
      <c r="T2057" s="15" t="str">
        <f>IF(OR(S2057="",D2057&lt;&gt;"Vastgesteld"),"",_xlfn.MAXIFS($G$6:$G$5005,$S$6:$S$5005,S2057,$D$6:$D$5005,"Vastgesteld"))</f>
        <v/>
      </c>
      <c r="U2057" s="15">
        <f>IF(T2057="",0,IF(AND(G2057=T2057,COUNTIFS($S$6:S2057,S2057,$G$6:G2057,G2057,$D$6:D2057,"Vastgesteld")=1),1,0))</f>
        <v>0</v>
      </c>
      <c r="V2057" s="15">
        <f>IF(T2057="",0,IF(AND(G2057=T2057,COUNTIFS($S$6:S2057,S2057,$G$6:G2057,G2057,$D$6:D2057,"Vastgesteld")&gt;1),1,0))</f>
        <v>0</v>
      </c>
    </row>
    <row r="2058">
      <c r="S2058" s="15" t="str">
        <f>IF(J2058="","",J2058&amp;"|"&amp;E2058&amp;"|"&amp;F2058&amp;"|"&amp;I2058&amp;"|"&amp;O2058)</f>
        <v/>
      </c>
      <c r="T2058" s="15" t="str">
        <f>IF(OR(S2058="",D2058&lt;&gt;"Vastgesteld"),"",_xlfn.MAXIFS($G$6:$G$5005,$S$6:$S$5005,S2058,$D$6:$D$5005,"Vastgesteld"))</f>
        <v/>
      </c>
      <c r="U2058" s="15">
        <f>IF(T2058="",0,IF(AND(G2058=T2058,COUNTIFS($S$6:S2058,S2058,$G$6:G2058,G2058,$D$6:D2058,"Vastgesteld")=1),1,0))</f>
        <v>0</v>
      </c>
      <c r="V2058" s="15">
        <f>IF(T2058="",0,IF(AND(G2058=T2058,COUNTIFS($S$6:S2058,S2058,$G$6:G2058,G2058,$D$6:D2058,"Vastgesteld")&gt;1),1,0))</f>
        <v>0</v>
      </c>
    </row>
    <row r="2059">
      <c r="S2059" s="15" t="str">
        <f>IF(J2059="","",J2059&amp;"|"&amp;E2059&amp;"|"&amp;F2059&amp;"|"&amp;I2059&amp;"|"&amp;O2059)</f>
        <v/>
      </c>
      <c r="T2059" s="15" t="str">
        <f>IF(OR(S2059="",D2059&lt;&gt;"Vastgesteld"),"",_xlfn.MAXIFS($G$6:$G$5005,$S$6:$S$5005,S2059,$D$6:$D$5005,"Vastgesteld"))</f>
        <v/>
      </c>
      <c r="U2059" s="15">
        <f>IF(T2059="",0,IF(AND(G2059=T2059,COUNTIFS($S$6:S2059,S2059,$G$6:G2059,G2059,$D$6:D2059,"Vastgesteld")=1),1,0))</f>
        <v>0</v>
      </c>
      <c r="V2059" s="15">
        <f>IF(T2059="",0,IF(AND(G2059=T2059,COUNTIFS($S$6:S2059,S2059,$G$6:G2059,G2059,$D$6:D2059,"Vastgesteld")&gt;1),1,0))</f>
        <v>0</v>
      </c>
    </row>
    <row r="2060">
      <c r="S2060" s="15" t="str">
        <f>IF(J2060="","",J2060&amp;"|"&amp;E2060&amp;"|"&amp;F2060&amp;"|"&amp;I2060&amp;"|"&amp;O2060)</f>
        <v/>
      </c>
      <c r="T2060" s="15" t="str">
        <f>IF(OR(S2060="",D2060&lt;&gt;"Vastgesteld"),"",_xlfn.MAXIFS($G$6:$G$5005,$S$6:$S$5005,S2060,$D$6:$D$5005,"Vastgesteld"))</f>
        <v/>
      </c>
      <c r="U2060" s="15">
        <f>IF(T2060="",0,IF(AND(G2060=T2060,COUNTIFS($S$6:S2060,S2060,$G$6:G2060,G2060,$D$6:D2060,"Vastgesteld")=1),1,0))</f>
        <v>0</v>
      </c>
      <c r="V2060" s="15">
        <f>IF(T2060="",0,IF(AND(G2060=T2060,COUNTIFS($S$6:S2060,S2060,$G$6:G2060,G2060,$D$6:D2060,"Vastgesteld")&gt;1),1,0))</f>
        <v>0</v>
      </c>
    </row>
    <row r="2061">
      <c r="S2061" s="15" t="str">
        <f>IF(J2061="","",J2061&amp;"|"&amp;E2061&amp;"|"&amp;F2061&amp;"|"&amp;I2061&amp;"|"&amp;O2061)</f>
        <v/>
      </c>
      <c r="T2061" s="15" t="str">
        <f>IF(OR(S2061="",D2061&lt;&gt;"Vastgesteld"),"",_xlfn.MAXIFS($G$6:$G$5005,$S$6:$S$5005,S2061,$D$6:$D$5005,"Vastgesteld"))</f>
        <v/>
      </c>
      <c r="U2061" s="15">
        <f>IF(T2061="",0,IF(AND(G2061=T2061,COUNTIFS($S$6:S2061,S2061,$G$6:G2061,G2061,$D$6:D2061,"Vastgesteld")=1),1,0))</f>
        <v>0</v>
      </c>
      <c r="V2061" s="15">
        <f>IF(T2061="",0,IF(AND(G2061=T2061,COUNTIFS($S$6:S2061,S2061,$G$6:G2061,G2061,$D$6:D2061,"Vastgesteld")&gt;1),1,0))</f>
        <v>0</v>
      </c>
    </row>
    <row r="2062">
      <c r="S2062" s="15" t="str">
        <f>IF(J2062="","",J2062&amp;"|"&amp;E2062&amp;"|"&amp;F2062&amp;"|"&amp;I2062&amp;"|"&amp;O2062)</f>
        <v/>
      </c>
      <c r="T2062" s="15" t="str">
        <f>IF(OR(S2062="",D2062&lt;&gt;"Vastgesteld"),"",_xlfn.MAXIFS($G$6:$G$5005,$S$6:$S$5005,S2062,$D$6:$D$5005,"Vastgesteld"))</f>
        <v/>
      </c>
      <c r="U2062" s="15">
        <f>IF(T2062="",0,IF(AND(G2062=T2062,COUNTIFS($S$6:S2062,S2062,$G$6:G2062,G2062,$D$6:D2062,"Vastgesteld")=1),1,0))</f>
        <v>0</v>
      </c>
      <c r="V2062" s="15">
        <f>IF(T2062="",0,IF(AND(G2062=T2062,COUNTIFS($S$6:S2062,S2062,$G$6:G2062,G2062,$D$6:D2062,"Vastgesteld")&gt;1),1,0))</f>
        <v>0</v>
      </c>
    </row>
    <row r="2063">
      <c r="S2063" s="15" t="str">
        <f>IF(J2063="","",J2063&amp;"|"&amp;E2063&amp;"|"&amp;F2063&amp;"|"&amp;I2063&amp;"|"&amp;O2063)</f>
        <v/>
      </c>
      <c r="T2063" s="15" t="str">
        <f>IF(OR(S2063="",D2063&lt;&gt;"Vastgesteld"),"",_xlfn.MAXIFS($G$6:$G$5005,$S$6:$S$5005,S2063,$D$6:$D$5005,"Vastgesteld"))</f>
        <v/>
      </c>
      <c r="U2063" s="15">
        <f>IF(T2063="",0,IF(AND(G2063=T2063,COUNTIFS($S$6:S2063,S2063,$G$6:G2063,G2063,$D$6:D2063,"Vastgesteld")=1),1,0))</f>
        <v>0</v>
      </c>
      <c r="V2063" s="15">
        <f>IF(T2063="",0,IF(AND(G2063=T2063,COUNTIFS($S$6:S2063,S2063,$G$6:G2063,G2063,$D$6:D2063,"Vastgesteld")&gt;1),1,0))</f>
        <v>0</v>
      </c>
    </row>
    <row r="2064">
      <c r="S2064" s="15" t="str">
        <f>IF(J2064="","",J2064&amp;"|"&amp;E2064&amp;"|"&amp;F2064&amp;"|"&amp;I2064&amp;"|"&amp;O2064)</f>
        <v/>
      </c>
      <c r="T2064" s="15" t="str">
        <f>IF(OR(S2064="",D2064&lt;&gt;"Vastgesteld"),"",_xlfn.MAXIFS($G$6:$G$5005,$S$6:$S$5005,S2064,$D$6:$D$5005,"Vastgesteld"))</f>
        <v/>
      </c>
      <c r="U2064" s="15">
        <f>IF(T2064="",0,IF(AND(G2064=T2064,COUNTIFS($S$6:S2064,S2064,$G$6:G2064,G2064,$D$6:D2064,"Vastgesteld")=1),1,0))</f>
        <v>0</v>
      </c>
      <c r="V2064" s="15">
        <f>IF(T2064="",0,IF(AND(G2064=T2064,COUNTIFS($S$6:S2064,S2064,$G$6:G2064,G2064,$D$6:D2064,"Vastgesteld")&gt;1),1,0))</f>
        <v>0</v>
      </c>
    </row>
    <row r="2065">
      <c r="S2065" s="15" t="str">
        <f>IF(J2065="","",J2065&amp;"|"&amp;E2065&amp;"|"&amp;F2065&amp;"|"&amp;I2065&amp;"|"&amp;O2065)</f>
        <v/>
      </c>
      <c r="T2065" s="15" t="str">
        <f>IF(OR(S2065="",D2065&lt;&gt;"Vastgesteld"),"",_xlfn.MAXIFS($G$6:$G$5005,$S$6:$S$5005,S2065,$D$6:$D$5005,"Vastgesteld"))</f>
        <v/>
      </c>
      <c r="U2065" s="15">
        <f>IF(T2065="",0,IF(AND(G2065=T2065,COUNTIFS($S$6:S2065,S2065,$G$6:G2065,G2065,$D$6:D2065,"Vastgesteld")=1),1,0))</f>
        <v>0</v>
      </c>
      <c r="V2065" s="15">
        <f>IF(T2065="",0,IF(AND(G2065=T2065,COUNTIFS($S$6:S2065,S2065,$G$6:G2065,G2065,$D$6:D2065,"Vastgesteld")&gt;1),1,0))</f>
        <v>0</v>
      </c>
    </row>
    <row r="2066">
      <c r="S2066" s="15" t="str">
        <f>IF(J2066="","",J2066&amp;"|"&amp;E2066&amp;"|"&amp;F2066&amp;"|"&amp;I2066&amp;"|"&amp;O2066)</f>
        <v/>
      </c>
      <c r="T2066" s="15" t="str">
        <f>IF(OR(S2066="",D2066&lt;&gt;"Vastgesteld"),"",_xlfn.MAXIFS($G$6:$G$5005,$S$6:$S$5005,S2066,$D$6:$D$5005,"Vastgesteld"))</f>
        <v/>
      </c>
      <c r="U2066" s="15">
        <f>IF(T2066="",0,IF(AND(G2066=T2066,COUNTIFS($S$6:S2066,S2066,$G$6:G2066,G2066,$D$6:D2066,"Vastgesteld")=1),1,0))</f>
        <v>0</v>
      </c>
      <c r="V2066" s="15">
        <f>IF(T2066="",0,IF(AND(G2066=T2066,COUNTIFS($S$6:S2066,S2066,$G$6:G2066,G2066,$D$6:D2066,"Vastgesteld")&gt;1),1,0))</f>
        <v>0</v>
      </c>
    </row>
    <row r="2067">
      <c r="S2067" s="15" t="str">
        <f>IF(J2067="","",J2067&amp;"|"&amp;E2067&amp;"|"&amp;F2067&amp;"|"&amp;I2067&amp;"|"&amp;O2067)</f>
        <v/>
      </c>
      <c r="T2067" s="15" t="str">
        <f>IF(OR(S2067="",D2067&lt;&gt;"Vastgesteld"),"",_xlfn.MAXIFS($G$6:$G$5005,$S$6:$S$5005,S2067,$D$6:$D$5005,"Vastgesteld"))</f>
        <v/>
      </c>
      <c r="U2067" s="15">
        <f>IF(T2067="",0,IF(AND(G2067=T2067,COUNTIFS($S$6:S2067,S2067,$G$6:G2067,G2067,$D$6:D2067,"Vastgesteld")=1),1,0))</f>
        <v>0</v>
      </c>
      <c r="V2067" s="15">
        <f>IF(T2067="",0,IF(AND(G2067=T2067,COUNTIFS($S$6:S2067,S2067,$G$6:G2067,G2067,$D$6:D2067,"Vastgesteld")&gt;1),1,0))</f>
        <v>0</v>
      </c>
    </row>
    <row r="2068">
      <c r="S2068" s="15" t="str">
        <f>IF(J2068="","",J2068&amp;"|"&amp;E2068&amp;"|"&amp;F2068&amp;"|"&amp;I2068&amp;"|"&amp;O2068)</f>
        <v/>
      </c>
      <c r="T2068" s="15" t="str">
        <f>IF(OR(S2068="",D2068&lt;&gt;"Vastgesteld"),"",_xlfn.MAXIFS($G$6:$G$5005,$S$6:$S$5005,S2068,$D$6:$D$5005,"Vastgesteld"))</f>
        <v/>
      </c>
      <c r="U2068" s="15">
        <f>IF(T2068="",0,IF(AND(G2068=T2068,COUNTIFS($S$6:S2068,S2068,$G$6:G2068,G2068,$D$6:D2068,"Vastgesteld")=1),1,0))</f>
        <v>0</v>
      </c>
      <c r="V2068" s="15">
        <f>IF(T2068="",0,IF(AND(G2068=T2068,COUNTIFS($S$6:S2068,S2068,$G$6:G2068,G2068,$D$6:D2068,"Vastgesteld")&gt;1),1,0))</f>
        <v>0</v>
      </c>
    </row>
    <row r="2069">
      <c r="S2069" s="15" t="str">
        <f>IF(J2069="","",J2069&amp;"|"&amp;E2069&amp;"|"&amp;F2069&amp;"|"&amp;I2069&amp;"|"&amp;O2069)</f>
        <v/>
      </c>
      <c r="T2069" s="15" t="str">
        <f>IF(OR(S2069="",D2069&lt;&gt;"Vastgesteld"),"",_xlfn.MAXIFS($G$6:$G$5005,$S$6:$S$5005,S2069,$D$6:$D$5005,"Vastgesteld"))</f>
        <v/>
      </c>
      <c r="U2069" s="15">
        <f>IF(T2069="",0,IF(AND(G2069=T2069,COUNTIFS($S$6:S2069,S2069,$G$6:G2069,G2069,$D$6:D2069,"Vastgesteld")=1),1,0))</f>
        <v>0</v>
      </c>
      <c r="V2069" s="15">
        <f>IF(T2069="",0,IF(AND(G2069=T2069,COUNTIFS($S$6:S2069,S2069,$G$6:G2069,G2069,$D$6:D2069,"Vastgesteld")&gt;1),1,0))</f>
        <v>0</v>
      </c>
    </row>
    <row r="2070">
      <c r="S2070" s="15" t="str">
        <f>IF(J2070="","",J2070&amp;"|"&amp;E2070&amp;"|"&amp;F2070&amp;"|"&amp;I2070&amp;"|"&amp;O2070)</f>
        <v/>
      </c>
      <c r="T2070" s="15" t="str">
        <f>IF(OR(S2070="",D2070&lt;&gt;"Vastgesteld"),"",_xlfn.MAXIFS($G$6:$G$5005,$S$6:$S$5005,S2070,$D$6:$D$5005,"Vastgesteld"))</f>
        <v/>
      </c>
      <c r="U2070" s="15">
        <f>IF(T2070="",0,IF(AND(G2070=T2070,COUNTIFS($S$6:S2070,S2070,$G$6:G2070,G2070,$D$6:D2070,"Vastgesteld")=1),1,0))</f>
        <v>0</v>
      </c>
      <c r="V2070" s="15">
        <f>IF(T2070="",0,IF(AND(G2070=T2070,COUNTIFS($S$6:S2070,S2070,$G$6:G2070,G2070,$D$6:D2070,"Vastgesteld")&gt;1),1,0))</f>
        <v>0</v>
      </c>
    </row>
    <row r="2071">
      <c r="S2071" s="15" t="str">
        <f>IF(J2071="","",J2071&amp;"|"&amp;E2071&amp;"|"&amp;F2071&amp;"|"&amp;I2071&amp;"|"&amp;O2071)</f>
        <v/>
      </c>
      <c r="T2071" s="15" t="str">
        <f>IF(OR(S2071="",D2071&lt;&gt;"Vastgesteld"),"",_xlfn.MAXIFS($G$6:$G$5005,$S$6:$S$5005,S2071,$D$6:$D$5005,"Vastgesteld"))</f>
        <v/>
      </c>
      <c r="U2071" s="15">
        <f>IF(T2071="",0,IF(AND(G2071=T2071,COUNTIFS($S$6:S2071,S2071,$G$6:G2071,G2071,$D$6:D2071,"Vastgesteld")=1),1,0))</f>
        <v>0</v>
      </c>
      <c r="V2071" s="15">
        <f>IF(T2071="",0,IF(AND(G2071=T2071,COUNTIFS($S$6:S2071,S2071,$G$6:G2071,G2071,$D$6:D2071,"Vastgesteld")&gt;1),1,0))</f>
        <v>0</v>
      </c>
    </row>
    <row r="2072">
      <c r="S2072" s="15" t="str">
        <f>IF(J2072="","",J2072&amp;"|"&amp;E2072&amp;"|"&amp;F2072&amp;"|"&amp;I2072&amp;"|"&amp;O2072)</f>
        <v/>
      </c>
      <c r="T2072" s="15" t="str">
        <f>IF(OR(S2072="",D2072&lt;&gt;"Vastgesteld"),"",_xlfn.MAXIFS($G$6:$G$5005,$S$6:$S$5005,S2072,$D$6:$D$5005,"Vastgesteld"))</f>
        <v/>
      </c>
      <c r="U2072" s="15">
        <f>IF(T2072="",0,IF(AND(G2072=T2072,COUNTIFS($S$6:S2072,S2072,$G$6:G2072,G2072,$D$6:D2072,"Vastgesteld")=1),1,0))</f>
        <v>0</v>
      </c>
      <c r="V2072" s="15">
        <f>IF(T2072="",0,IF(AND(G2072=T2072,COUNTIFS($S$6:S2072,S2072,$G$6:G2072,G2072,$D$6:D2072,"Vastgesteld")&gt;1),1,0))</f>
        <v>0</v>
      </c>
    </row>
    <row r="2073">
      <c r="S2073" s="15" t="str">
        <f>IF(J2073="","",J2073&amp;"|"&amp;E2073&amp;"|"&amp;F2073&amp;"|"&amp;I2073&amp;"|"&amp;O2073)</f>
        <v/>
      </c>
      <c r="T2073" s="15" t="str">
        <f>IF(OR(S2073="",D2073&lt;&gt;"Vastgesteld"),"",_xlfn.MAXIFS($G$6:$G$5005,$S$6:$S$5005,S2073,$D$6:$D$5005,"Vastgesteld"))</f>
        <v/>
      </c>
      <c r="U2073" s="15">
        <f>IF(T2073="",0,IF(AND(G2073=T2073,COUNTIFS($S$6:S2073,S2073,$G$6:G2073,G2073,$D$6:D2073,"Vastgesteld")=1),1,0))</f>
        <v>0</v>
      </c>
      <c r="V2073" s="15">
        <f>IF(T2073="",0,IF(AND(G2073=T2073,COUNTIFS($S$6:S2073,S2073,$G$6:G2073,G2073,$D$6:D2073,"Vastgesteld")&gt;1),1,0))</f>
        <v>0</v>
      </c>
    </row>
    <row r="2074">
      <c r="S2074" s="15" t="str">
        <f>IF(J2074="","",J2074&amp;"|"&amp;E2074&amp;"|"&amp;F2074&amp;"|"&amp;I2074&amp;"|"&amp;O2074)</f>
        <v/>
      </c>
      <c r="T2074" s="15" t="str">
        <f>IF(OR(S2074="",D2074&lt;&gt;"Vastgesteld"),"",_xlfn.MAXIFS($G$6:$G$5005,$S$6:$S$5005,S2074,$D$6:$D$5005,"Vastgesteld"))</f>
        <v/>
      </c>
      <c r="U2074" s="15">
        <f>IF(T2074="",0,IF(AND(G2074=T2074,COUNTIFS($S$6:S2074,S2074,$G$6:G2074,G2074,$D$6:D2074,"Vastgesteld")=1),1,0))</f>
        <v>0</v>
      </c>
      <c r="V2074" s="15">
        <f>IF(T2074="",0,IF(AND(G2074=T2074,COUNTIFS($S$6:S2074,S2074,$G$6:G2074,G2074,$D$6:D2074,"Vastgesteld")&gt;1),1,0))</f>
        <v>0</v>
      </c>
    </row>
    <row r="2075">
      <c r="S2075" s="15" t="str">
        <f>IF(J2075="","",J2075&amp;"|"&amp;E2075&amp;"|"&amp;F2075&amp;"|"&amp;I2075&amp;"|"&amp;O2075)</f>
        <v/>
      </c>
      <c r="T2075" s="15" t="str">
        <f>IF(OR(S2075="",D2075&lt;&gt;"Vastgesteld"),"",_xlfn.MAXIFS($G$6:$G$5005,$S$6:$S$5005,S2075,$D$6:$D$5005,"Vastgesteld"))</f>
        <v/>
      </c>
      <c r="U2075" s="15">
        <f>IF(T2075="",0,IF(AND(G2075=T2075,COUNTIFS($S$6:S2075,S2075,$G$6:G2075,G2075,$D$6:D2075,"Vastgesteld")=1),1,0))</f>
        <v>0</v>
      </c>
      <c r="V2075" s="15">
        <f>IF(T2075="",0,IF(AND(G2075=T2075,COUNTIFS($S$6:S2075,S2075,$G$6:G2075,G2075,$D$6:D2075,"Vastgesteld")&gt;1),1,0))</f>
        <v>0</v>
      </c>
    </row>
    <row r="2076">
      <c r="S2076" s="15" t="str">
        <f>IF(J2076="","",J2076&amp;"|"&amp;E2076&amp;"|"&amp;F2076&amp;"|"&amp;I2076&amp;"|"&amp;O2076)</f>
        <v/>
      </c>
      <c r="T2076" s="15" t="str">
        <f>IF(OR(S2076="",D2076&lt;&gt;"Vastgesteld"),"",_xlfn.MAXIFS($G$6:$G$5005,$S$6:$S$5005,S2076,$D$6:$D$5005,"Vastgesteld"))</f>
        <v/>
      </c>
      <c r="U2076" s="15">
        <f>IF(T2076="",0,IF(AND(G2076=T2076,COUNTIFS($S$6:S2076,S2076,$G$6:G2076,G2076,$D$6:D2076,"Vastgesteld")=1),1,0))</f>
        <v>0</v>
      </c>
      <c r="V2076" s="15">
        <f>IF(T2076="",0,IF(AND(G2076=T2076,COUNTIFS($S$6:S2076,S2076,$G$6:G2076,G2076,$D$6:D2076,"Vastgesteld")&gt;1),1,0))</f>
        <v>0</v>
      </c>
    </row>
    <row r="2077">
      <c r="S2077" s="15" t="str">
        <f>IF(J2077="","",J2077&amp;"|"&amp;E2077&amp;"|"&amp;F2077&amp;"|"&amp;I2077&amp;"|"&amp;O2077)</f>
        <v/>
      </c>
      <c r="T2077" s="15" t="str">
        <f>IF(OR(S2077="",D2077&lt;&gt;"Vastgesteld"),"",_xlfn.MAXIFS($G$6:$G$5005,$S$6:$S$5005,S2077,$D$6:$D$5005,"Vastgesteld"))</f>
        <v/>
      </c>
      <c r="U2077" s="15">
        <f>IF(T2077="",0,IF(AND(G2077=T2077,COUNTIFS($S$6:S2077,S2077,$G$6:G2077,G2077,$D$6:D2077,"Vastgesteld")=1),1,0))</f>
        <v>0</v>
      </c>
      <c r="V2077" s="15">
        <f>IF(T2077="",0,IF(AND(G2077=T2077,COUNTIFS($S$6:S2077,S2077,$G$6:G2077,G2077,$D$6:D2077,"Vastgesteld")&gt;1),1,0))</f>
        <v>0</v>
      </c>
    </row>
    <row r="2078">
      <c r="S2078" s="15" t="str">
        <f>IF(J2078="","",J2078&amp;"|"&amp;E2078&amp;"|"&amp;F2078&amp;"|"&amp;I2078&amp;"|"&amp;O2078)</f>
        <v/>
      </c>
      <c r="T2078" s="15" t="str">
        <f>IF(OR(S2078="",D2078&lt;&gt;"Vastgesteld"),"",_xlfn.MAXIFS($G$6:$G$5005,$S$6:$S$5005,S2078,$D$6:$D$5005,"Vastgesteld"))</f>
        <v/>
      </c>
      <c r="U2078" s="15">
        <f>IF(T2078="",0,IF(AND(G2078=T2078,COUNTIFS($S$6:S2078,S2078,$G$6:G2078,G2078,$D$6:D2078,"Vastgesteld")=1),1,0))</f>
        <v>0</v>
      </c>
      <c r="V2078" s="15">
        <f>IF(T2078="",0,IF(AND(G2078=T2078,COUNTIFS($S$6:S2078,S2078,$G$6:G2078,G2078,$D$6:D2078,"Vastgesteld")&gt;1),1,0))</f>
        <v>0</v>
      </c>
    </row>
    <row r="2079">
      <c r="S2079" s="15" t="str">
        <f>IF(J2079="","",J2079&amp;"|"&amp;E2079&amp;"|"&amp;F2079&amp;"|"&amp;I2079&amp;"|"&amp;O2079)</f>
        <v/>
      </c>
      <c r="T2079" s="15" t="str">
        <f>IF(OR(S2079="",D2079&lt;&gt;"Vastgesteld"),"",_xlfn.MAXIFS($G$6:$G$5005,$S$6:$S$5005,S2079,$D$6:$D$5005,"Vastgesteld"))</f>
        <v/>
      </c>
      <c r="U2079" s="15">
        <f>IF(T2079="",0,IF(AND(G2079=T2079,COUNTIFS($S$6:S2079,S2079,$G$6:G2079,G2079,$D$6:D2079,"Vastgesteld")=1),1,0))</f>
        <v>0</v>
      </c>
      <c r="V2079" s="15">
        <f>IF(T2079="",0,IF(AND(G2079=T2079,COUNTIFS($S$6:S2079,S2079,$G$6:G2079,G2079,$D$6:D2079,"Vastgesteld")&gt;1),1,0))</f>
        <v>0</v>
      </c>
    </row>
    <row r="2080">
      <c r="S2080" s="15" t="str">
        <f>IF(J2080="","",J2080&amp;"|"&amp;E2080&amp;"|"&amp;F2080&amp;"|"&amp;I2080&amp;"|"&amp;O2080)</f>
        <v/>
      </c>
      <c r="T2080" s="15" t="str">
        <f>IF(OR(S2080="",D2080&lt;&gt;"Vastgesteld"),"",_xlfn.MAXIFS($G$6:$G$5005,$S$6:$S$5005,S2080,$D$6:$D$5005,"Vastgesteld"))</f>
        <v/>
      </c>
      <c r="U2080" s="15">
        <f>IF(T2080="",0,IF(AND(G2080=T2080,COUNTIFS($S$6:S2080,S2080,$G$6:G2080,G2080,$D$6:D2080,"Vastgesteld")=1),1,0))</f>
        <v>0</v>
      </c>
      <c r="V2080" s="15">
        <f>IF(T2080="",0,IF(AND(G2080=T2080,COUNTIFS($S$6:S2080,S2080,$G$6:G2080,G2080,$D$6:D2080,"Vastgesteld")&gt;1),1,0))</f>
        <v>0</v>
      </c>
    </row>
    <row r="2081">
      <c r="S2081" s="15" t="str">
        <f>IF(J2081="","",J2081&amp;"|"&amp;E2081&amp;"|"&amp;F2081&amp;"|"&amp;I2081&amp;"|"&amp;O2081)</f>
        <v/>
      </c>
      <c r="T2081" s="15" t="str">
        <f>IF(OR(S2081="",D2081&lt;&gt;"Vastgesteld"),"",_xlfn.MAXIFS($G$6:$G$5005,$S$6:$S$5005,S2081,$D$6:$D$5005,"Vastgesteld"))</f>
        <v/>
      </c>
      <c r="U2081" s="15">
        <f>IF(T2081="",0,IF(AND(G2081=T2081,COUNTIFS($S$6:S2081,S2081,$G$6:G2081,G2081,$D$6:D2081,"Vastgesteld")=1),1,0))</f>
        <v>0</v>
      </c>
      <c r="V2081" s="15">
        <f>IF(T2081="",0,IF(AND(G2081=T2081,COUNTIFS($S$6:S2081,S2081,$G$6:G2081,G2081,$D$6:D2081,"Vastgesteld")&gt;1),1,0))</f>
        <v>0</v>
      </c>
    </row>
    <row r="2082">
      <c r="S2082" s="15" t="str">
        <f>IF(J2082="","",J2082&amp;"|"&amp;E2082&amp;"|"&amp;F2082&amp;"|"&amp;I2082&amp;"|"&amp;O2082)</f>
        <v/>
      </c>
      <c r="T2082" s="15" t="str">
        <f>IF(OR(S2082="",D2082&lt;&gt;"Vastgesteld"),"",_xlfn.MAXIFS($G$6:$G$5005,$S$6:$S$5005,S2082,$D$6:$D$5005,"Vastgesteld"))</f>
        <v/>
      </c>
      <c r="U2082" s="15">
        <f>IF(T2082="",0,IF(AND(G2082=T2082,COUNTIFS($S$6:S2082,S2082,$G$6:G2082,G2082,$D$6:D2082,"Vastgesteld")=1),1,0))</f>
        <v>0</v>
      </c>
      <c r="V2082" s="15">
        <f>IF(T2082="",0,IF(AND(G2082=T2082,COUNTIFS($S$6:S2082,S2082,$G$6:G2082,G2082,$D$6:D2082,"Vastgesteld")&gt;1),1,0))</f>
        <v>0</v>
      </c>
    </row>
    <row r="2083">
      <c r="S2083" s="15" t="str">
        <f>IF(J2083="","",J2083&amp;"|"&amp;E2083&amp;"|"&amp;F2083&amp;"|"&amp;I2083&amp;"|"&amp;O2083)</f>
        <v/>
      </c>
      <c r="T2083" s="15" t="str">
        <f>IF(OR(S2083="",D2083&lt;&gt;"Vastgesteld"),"",_xlfn.MAXIFS($G$6:$G$5005,$S$6:$S$5005,S2083,$D$6:$D$5005,"Vastgesteld"))</f>
        <v/>
      </c>
      <c r="U2083" s="15">
        <f>IF(T2083="",0,IF(AND(G2083=T2083,COUNTIFS($S$6:S2083,S2083,$G$6:G2083,G2083,$D$6:D2083,"Vastgesteld")=1),1,0))</f>
        <v>0</v>
      </c>
      <c r="V2083" s="15">
        <f>IF(T2083="",0,IF(AND(G2083=T2083,COUNTIFS($S$6:S2083,S2083,$G$6:G2083,G2083,$D$6:D2083,"Vastgesteld")&gt;1),1,0))</f>
        <v>0</v>
      </c>
    </row>
    <row r="2084">
      <c r="S2084" s="15" t="str">
        <f>IF(J2084="","",J2084&amp;"|"&amp;E2084&amp;"|"&amp;F2084&amp;"|"&amp;I2084&amp;"|"&amp;O2084)</f>
        <v/>
      </c>
      <c r="T2084" s="15" t="str">
        <f>IF(OR(S2084="",D2084&lt;&gt;"Vastgesteld"),"",_xlfn.MAXIFS($G$6:$G$5005,$S$6:$S$5005,S2084,$D$6:$D$5005,"Vastgesteld"))</f>
        <v/>
      </c>
      <c r="U2084" s="15">
        <f>IF(T2084="",0,IF(AND(G2084=T2084,COUNTIFS($S$6:S2084,S2084,$G$6:G2084,G2084,$D$6:D2084,"Vastgesteld")=1),1,0))</f>
        <v>0</v>
      </c>
      <c r="V2084" s="15">
        <f>IF(T2084="",0,IF(AND(G2084=T2084,COUNTIFS($S$6:S2084,S2084,$G$6:G2084,G2084,$D$6:D2084,"Vastgesteld")&gt;1),1,0))</f>
        <v>0</v>
      </c>
    </row>
    <row r="2085">
      <c r="S2085" s="15" t="str">
        <f>IF(J2085="","",J2085&amp;"|"&amp;E2085&amp;"|"&amp;F2085&amp;"|"&amp;I2085&amp;"|"&amp;O2085)</f>
        <v/>
      </c>
      <c r="T2085" s="15" t="str">
        <f>IF(OR(S2085="",D2085&lt;&gt;"Vastgesteld"),"",_xlfn.MAXIFS($G$6:$G$5005,$S$6:$S$5005,S2085,$D$6:$D$5005,"Vastgesteld"))</f>
        <v/>
      </c>
      <c r="U2085" s="15">
        <f>IF(T2085="",0,IF(AND(G2085=T2085,COUNTIFS($S$6:S2085,S2085,$G$6:G2085,G2085,$D$6:D2085,"Vastgesteld")=1),1,0))</f>
        <v>0</v>
      </c>
      <c r="V2085" s="15">
        <f>IF(T2085="",0,IF(AND(G2085=T2085,COUNTIFS($S$6:S2085,S2085,$G$6:G2085,G2085,$D$6:D2085,"Vastgesteld")&gt;1),1,0))</f>
        <v>0</v>
      </c>
    </row>
    <row r="2086">
      <c r="S2086" s="15" t="str">
        <f>IF(J2086="","",J2086&amp;"|"&amp;E2086&amp;"|"&amp;F2086&amp;"|"&amp;I2086&amp;"|"&amp;O2086)</f>
        <v/>
      </c>
      <c r="T2086" s="15" t="str">
        <f>IF(OR(S2086="",D2086&lt;&gt;"Vastgesteld"),"",_xlfn.MAXIFS($G$6:$G$5005,$S$6:$S$5005,S2086,$D$6:$D$5005,"Vastgesteld"))</f>
        <v/>
      </c>
      <c r="U2086" s="15">
        <f>IF(T2086="",0,IF(AND(G2086=T2086,COUNTIFS($S$6:S2086,S2086,$G$6:G2086,G2086,$D$6:D2086,"Vastgesteld")=1),1,0))</f>
        <v>0</v>
      </c>
      <c r="V2086" s="15">
        <f>IF(T2086="",0,IF(AND(G2086=T2086,COUNTIFS($S$6:S2086,S2086,$G$6:G2086,G2086,$D$6:D2086,"Vastgesteld")&gt;1),1,0))</f>
        <v>0</v>
      </c>
    </row>
    <row r="2087">
      <c r="S2087" s="15" t="str">
        <f>IF(J2087="","",J2087&amp;"|"&amp;E2087&amp;"|"&amp;F2087&amp;"|"&amp;I2087&amp;"|"&amp;O2087)</f>
        <v/>
      </c>
      <c r="T2087" s="15" t="str">
        <f>IF(OR(S2087="",D2087&lt;&gt;"Vastgesteld"),"",_xlfn.MAXIFS($G$6:$G$5005,$S$6:$S$5005,S2087,$D$6:$D$5005,"Vastgesteld"))</f>
        <v/>
      </c>
      <c r="U2087" s="15">
        <f>IF(T2087="",0,IF(AND(G2087=T2087,COUNTIFS($S$6:S2087,S2087,$G$6:G2087,G2087,$D$6:D2087,"Vastgesteld")=1),1,0))</f>
        <v>0</v>
      </c>
      <c r="V2087" s="15">
        <f>IF(T2087="",0,IF(AND(G2087=T2087,COUNTIFS($S$6:S2087,S2087,$G$6:G2087,G2087,$D$6:D2087,"Vastgesteld")&gt;1),1,0))</f>
        <v>0</v>
      </c>
    </row>
    <row r="2088">
      <c r="S2088" s="15" t="str">
        <f>IF(J2088="","",J2088&amp;"|"&amp;E2088&amp;"|"&amp;F2088&amp;"|"&amp;I2088&amp;"|"&amp;O2088)</f>
        <v/>
      </c>
      <c r="T2088" s="15" t="str">
        <f>IF(OR(S2088="",D2088&lt;&gt;"Vastgesteld"),"",_xlfn.MAXIFS($G$6:$G$5005,$S$6:$S$5005,S2088,$D$6:$D$5005,"Vastgesteld"))</f>
        <v/>
      </c>
      <c r="U2088" s="15">
        <f>IF(T2088="",0,IF(AND(G2088=T2088,COUNTIFS($S$6:S2088,S2088,$G$6:G2088,G2088,$D$6:D2088,"Vastgesteld")=1),1,0))</f>
        <v>0</v>
      </c>
      <c r="V2088" s="15">
        <f>IF(T2088="",0,IF(AND(G2088=T2088,COUNTIFS($S$6:S2088,S2088,$G$6:G2088,G2088,$D$6:D2088,"Vastgesteld")&gt;1),1,0))</f>
        <v>0</v>
      </c>
    </row>
    <row r="2089">
      <c r="S2089" s="15" t="str">
        <f>IF(J2089="","",J2089&amp;"|"&amp;E2089&amp;"|"&amp;F2089&amp;"|"&amp;I2089&amp;"|"&amp;O2089)</f>
        <v/>
      </c>
      <c r="T2089" s="15" t="str">
        <f>IF(OR(S2089="",D2089&lt;&gt;"Vastgesteld"),"",_xlfn.MAXIFS($G$6:$G$5005,$S$6:$S$5005,S2089,$D$6:$D$5005,"Vastgesteld"))</f>
        <v/>
      </c>
      <c r="U2089" s="15">
        <f>IF(T2089="",0,IF(AND(G2089=T2089,COUNTIFS($S$6:S2089,S2089,$G$6:G2089,G2089,$D$6:D2089,"Vastgesteld")=1),1,0))</f>
        <v>0</v>
      </c>
      <c r="V2089" s="15">
        <f>IF(T2089="",0,IF(AND(G2089=T2089,COUNTIFS($S$6:S2089,S2089,$G$6:G2089,G2089,$D$6:D2089,"Vastgesteld")&gt;1),1,0))</f>
        <v>0</v>
      </c>
    </row>
    <row r="2090">
      <c r="S2090" s="15" t="str">
        <f>IF(J2090="","",J2090&amp;"|"&amp;E2090&amp;"|"&amp;F2090&amp;"|"&amp;I2090&amp;"|"&amp;O2090)</f>
        <v/>
      </c>
      <c r="T2090" s="15" t="str">
        <f>IF(OR(S2090="",D2090&lt;&gt;"Vastgesteld"),"",_xlfn.MAXIFS($G$6:$G$5005,$S$6:$S$5005,S2090,$D$6:$D$5005,"Vastgesteld"))</f>
        <v/>
      </c>
      <c r="U2090" s="15">
        <f>IF(T2090="",0,IF(AND(G2090=T2090,COUNTIFS($S$6:S2090,S2090,$G$6:G2090,G2090,$D$6:D2090,"Vastgesteld")=1),1,0))</f>
        <v>0</v>
      </c>
      <c r="V2090" s="15">
        <f>IF(T2090="",0,IF(AND(G2090=T2090,COUNTIFS($S$6:S2090,S2090,$G$6:G2090,G2090,$D$6:D2090,"Vastgesteld")&gt;1),1,0))</f>
        <v>0</v>
      </c>
    </row>
    <row r="2091">
      <c r="S2091" s="15" t="str">
        <f>IF(J2091="","",J2091&amp;"|"&amp;E2091&amp;"|"&amp;F2091&amp;"|"&amp;I2091&amp;"|"&amp;O2091)</f>
        <v/>
      </c>
      <c r="T2091" s="15" t="str">
        <f>IF(OR(S2091="",D2091&lt;&gt;"Vastgesteld"),"",_xlfn.MAXIFS($G$6:$G$5005,$S$6:$S$5005,S2091,$D$6:$D$5005,"Vastgesteld"))</f>
        <v/>
      </c>
      <c r="U2091" s="15">
        <f>IF(T2091="",0,IF(AND(G2091=T2091,COUNTIFS($S$6:S2091,S2091,$G$6:G2091,G2091,$D$6:D2091,"Vastgesteld")=1),1,0))</f>
        <v>0</v>
      </c>
      <c r="V2091" s="15">
        <f>IF(T2091="",0,IF(AND(G2091=T2091,COUNTIFS($S$6:S2091,S2091,$G$6:G2091,G2091,$D$6:D2091,"Vastgesteld")&gt;1),1,0))</f>
        <v>0</v>
      </c>
    </row>
    <row r="2092">
      <c r="S2092" s="15" t="str">
        <f>IF(J2092="","",J2092&amp;"|"&amp;E2092&amp;"|"&amp;F2092&amp;"|"&amp;I2092&amp;"|"&amp;O2092)</f>
        <v/>
      </c>
      <c r="T2092" s="15" t="str">
        <f>IF(OR(S2092="",D2092&lt;&gt;"Vastgesteld"),"",_xlfn.MAXIFS($G$6:$G$5005,$S$6:$S$5005,S2092,$D$6:$D$5005,"Vastgesteld"))</f>
        <v/>
      </c>
      <c r="U2092" s="15">
        <f>IF(T2092="",0,IF(AND(G2092=T2092,COUNTIFS($S$6:S2092,S2092,$G$6:G2092,G2092,$D$6:D2092,"Vastgesteld")=1),1,0))</f>
        <v>0</v>
      </c>
      <c r="V2092" s="15">
        <f>IF(T2092="",0,IF(AND(G2092=T2092,COUNTIFS($S$6:S2092,S2092,$G$6:G2092,G2092,$D$6:D2092,"Vastgesteld")&gt;1),1,0))</f>
        <v>0</v>
      </c>
    </row>
    <row r="2093">
      <c r="S2093" s="15" t="str">
        <f>IF(J2093="","",J2093&amp;"|"&amp;E2093&amp;"|"&amp;F2093&amp;"|"&amp;I2093&amp;"|"&amp;O2093)</f>
        <v/>
      </c>
      <c r="T2093" s="15" t="str">
        <f>IF(OR(S2093="",D2093&lt;&gt;"Vastgesteld"),"",_xlfn.MAXIFS($G$6:$G$5005,$S$6:$S$5005,S2093,$D$6:$D$5005,"Vastgesteld"))</f>
        <v/>
      </c>
      <c r="U2093" s="15">
        <f>IF(T2093="",0,IF(AND(G2093=T2093,COUNTIFS($S$6:S2093,S2093,$G$6:G2093,G2093,$D$6:D2093,"Vastgesteld")=1),1,0))</f>
        <v>0</v>
      </c>
      <c r="V2093" s="15">
        <f>IF(T2093="",0,IF(AND(G2093=T2093,COUNTIFS($S$6:S2093,S2093,$G$6:G2093,G2093,$D$6:D2093,"Vastgesteld")&gt;1),1,0))</f>
        <v>0</v>
      </c>
    </row>
    <row r="2094">
      <c r="S2094" s="15" t="str">
        <f>IF(J2094="","",J2094&amp;"|"&amp;E2094&amp;"|"&amp;F2094&amp;"|"&amp;I2094&amp;"|"&amp;O2094)</f>
        <v/>
      </c>
      <c r="T2094" s="15" t="str">
        <f>IF(OR(S2094="",D2094&lt;&gt;"Vastgesteld"),"",_xlfn.MAXIFS($G$6:$G$5005,$S$6:$S$5005,S2094,$D$6:$D$5005,"Vastgesteld"))</f>
        <v/>
      </c>
      <c r="U2094" s="15">
        <f>IF(T2094="",0,IF(AND(G2094=T2094,COUNTIFS($S$6:S2094,S2094,$G$6:G2094,G2094,$D$6:D2094,"Vastgesteld")=1),1,0))</f>
        <v>0</v>
      </c>
      <c r="V2094" s="15">
        <f>IF(T2094="",0,IF(AND(G2094=T2094,COUNTIFS($S$6:S2094,S2094,$G$6:G2094,G2094,$D$6:D2094,"Vastgesteld")&gt;1),1,0))</f>
        <v>0</v>
      </c>
    </row>
    <row r="2095">
      <c r="S2095" s="15" t="str">
        <f>IF(J2095="","",J2095&amp;"|"&amp;E2095&amp;"|"&amp;F2095&amp;"|"&amp;I2095&amp;"|"&amp;O2095)</f>
        <v/>
      </c>
      <c r="T2095" s="15" t="str">
        <f>IF(OR(S2095="",D2095&lt;&gt;"Vastgesteld"),"",_xlfn.MAXIFS($G$6:$G$5005,$S$6:$S$5005,S2095,$D$6:$D$5005,"Vastgesteld"))</f>
        <v/>
      </c>
      <c r="U2095" s="15">
        <f>IF(T2095="",0,IF(AND(G2095=T2095,COUNTIFS($S$6:S2095,S2095,$G$6:G2095,G2095,$D$6:D2095,"Vastgesteld")=1),1,0))</f>
        <v>0</v>
      </c>
      <c r="V2095" s="15">
        <f>IF(T2095="",0,IF(AND(G2095=T2095,COUNTIFS($S$6:S2095,S2095,$G$6:G2095,G2095,$D$6:D2095,"Vastgesteld")&gt;1),1,0))</f>
        <v>0</v>
      </c>
    </row>
    <row r="2096">
      <c r="S2096" s="15" t="str">
        <f>IF(J2096="","",J2096&amp;"|"&amp;E2096&amp;"|"&amp;F2096&amp;"|"&amp;I2096&amp;"|"&amp;O2096)</f>
        <v/>
      </c>
      <c r="T2096" s="15" t="str">
        <f>IF(OR(S2096="",D2096&lt;&gt;"Vastgesteld"),"",_xlfn.MAXIFS($G$6:$G$5005,$S$6:$S$5005,S2096,$D$6:$D$5005,"Vastgesteld"))</f>
        <v/>
      </c>
      <c r="U2096" s="15">
        <f>IF(T2096="",0,IF(AND(G2096=T2096,COUNTIFS($S$6:S2096,S2096,$G$6:G2096,G2096,$D$6:D2096,"Vastgesteld")=1),1,0))</f>
        <v>0</v>
      </c>
      <c r="V2096" s="15">
        <f>IF(T2096="",0,IF(AND(G2096=T2096,COUNTIFS($S$6:S2096,S2096,$G$6:G2096,G2096,$D$6:D2096,"Vastgesteld")&gt;1),1,0))</f>
        <v>0</v>
      </c>
    </row>
    <row r="2097">
      <c r="S2097" s="15" t="str">
        <f>IF(J2097="","",J2097&amp;"|"&amp;E2097&amp;"|"&amp;F2097&amp;"|"&amp;I2097&amp;"|"&amp;O2097)</f>
        <v/>
      </c>
      <c r="T2097" s="15" t="str">
        <f>IF(OR(S2097="",D2097&lt;&gt;"Vastgesteld"),"",_xlfn.MAXIFS($G$6:$G$5005,$S$6:$S$5005,S2097,$D$6:$D$5005,"Vastgesteld"))</f>
        <v/>
      </c>
      <c r="U2097" s="15">
        <f>IF(T2097="",0,IF(AND(G2097=T2097,COUNTIFS($S$6:S2097,S2097,$G$6:G2097,G2097,$D$6:D2097,"Vastgesteld")=1),1,0))</f>
        <v>0</v>
      </c>
      <c r="V2097" s="15">
        <f>IF(T2097="",0,IF(AND(G2097=T2097,COUNTIFS($S$6:S2097,S2097,$G$6:G2097,G2097,$D$6:D2097,"Vastgesteld")&gt;1),1,0))</f>
        <v>0</v>
      </c>
    </row>
    <row r="2098">
      <c r="S2098" s="15" t="str">
        <f>IF(J2098="","",J2098&amp;"|"&amp;E2098&amp;"|"&amp;F2098&amp;"|"&amp;I2098&amp;"|"&amp;O2098)</f>
        <v/>
      </c>
      <c r="T2098" s="15" t="str">
        <f>IF(OR(S2098="",D2098&lt;&gt;"Vastgesteld"),"",_xlfn.MAXIFS($G$6:$G$5005,$S$6:$S$5005,S2098,$D$6:$D$5005,"Vastgesteld"))</f>
        <v/>
      </c>
      <c r="U2098" s="15">
        <f>IF(T2098="",0,IF(AND(G2098=T2098,COUNTIFS($S$6:S2098,S2098,$G$6:G2098,G2098,$D$6:D2098,"Vastgesteld")=1),1,0))</f>
        <v>0</v>
      </c>
      <c r="V2098" s="15">
        <f>IF(T2098="",0,IF(AND(G2098=T2098,COUNTIFS($S$6:S2098,S2098,$G$6:G2098,G2098,$D$6:D2098,"Vastgesteld")&gt;1),1,0))</f>
        <v>0</v>
      </c>
    </row>
    <row r="2099">
      <c r="S2099" s="15" t="str">
        <f>IF(J2099="","",J2099&amp;"|"&amp;E2099&amp;"|"&amp;F2099&amp;"|"&amp;I2099&amp;"|"&amp;O2099)</f>
        <v/>
      </c>
      <c r="T2099" s="15" t="str">
        <f>IF(OR(S2099="",D2099&lt;&gt;"Vastgesteld"),"",_xlfn.MAXIFS($G$6:$G$5005,$S$6:$S$5005,S2099,$D$6:$D$5005,"Vastgesteld"))</f>
        <v/>
      </c>
      <c r="U2099" s="15">
        <f>IF(T2099="",0,IF(AND(G2099=T2099,COUNTIFS($S$6:S2099,S2099,$G$6:G2099,G2099,$D$6:D2099,"Vastgesteld")=1),1,0))</f>
        <v>0</v>
      </c>
      <c r="V2099" s="15">
        <f>IF(T2099="",0,IF(AND(G2099=T2099,COUNTIFS($S$6:S2099,S2099,$G$6:G2099,G2099,$D$6:D2099,"Vastgesteld")&gt;1),1,0))</f>
        <v>0</v>
      </c>
    </row>
    <row r="2100">
      <c r="S2100" s="15" t="str">
        <f>IF(J2100="","",J2100&amp;"|"&amp;E2100&amp;"|"&amp;F2100&amp;"|"&amp;I2100&amp;"|"&amp;O2100)</f>
        <v/>
      </c>
      <c r="T2100" s="15" t="str">
        <f>IF(OR(S2100="",D2100&lt;&gt;"Vastgesteld"),"",_xlfn.MAXIFS($G$6:$G$5005,$S$6:$S$5005,S2100,$D$6:$D$5005,"Vastgesteld"))</f>
        <v/>
      </c>
      <c r="U2100" s="15">
        <f>IF(T2100="",0,IF(AND(G2100=T2100,COUNTIFS($S$6:S2100,S2100,$G$6:G2100,G2100,$D$6:D2100,"Vastgesteld")=1),1,0))</f>
        <v>0</v>
      </c>
      <c r="V2100" s="15">
        <f>IF(T2100="",0,IF(AND(G2100=T2100,COUNTIFS($S$6:S2100,S2100,$G$6:G2100,G2100,$D$6:D2100,"Vastgesteld")&gt;1),1,0))</f>
        <v>0</v>
      </c>
    </row>
    <row r="2101">
      <c r="S2101" s="15" t="str">
        <f>IF(J2101="","",J2101&amp;"|"&amp;E2101&amp;"|"&amp;F2101&amp;"|"&amp;I2101&amp;"|"&amp;O2101)</f>
        <v/>
      </c>
      <c r="T2101" s="15" t="str">
        <f>IF(OR(S2101="",D2101&lt;&gt;"Vastgesteld"),"",_xlfn.MAXIFS($G$6:$G$5005,$S$6:$S$5005,S2101,$D$6:$D$5005,"Vastgesteld"))</f>
        <v/>
      </c>
      <c r="U2101" s="15">
        <f>IF(T2101="",0,IF(AND(G2101=T2101,COUNTIFS($S$6:S2101,S2101,$G$6:G2101,G2101,$D$6:D2101,"Vastgesteld")=1),1,0))</f>
        <v>0</v>
      </c>
      <c r="V2101" s="15">
        <f>IF(T2101="",0,IF(AND(G2101=T2101,COUNTIFS($S$6:S2101,S2101,$G$6:G2101,G2101,$D$6:D2101,"Vastgesteld")&gt;1),1,0))</f>
        <v>0</v>
      </c>
    </row>
    <row r="2102">
      <c r="S2102" s="15" t="str">
        <f>IF(J2102="","",J2102&amp;"|"&amp;E2102&amp;"|"&amp;F2102&amp;"|"&amp;I2102&amp;"|"&amp;O2102)</f>
        <v/>
      </c>
      <c r="T2102" s="15" t="str">
        <f>IF(OR(S2102="",D2102&lt;&gt;"Vastgesteld"),"",_xlfn.MAXIFS($G$6:$G$5005,$S$6:$S$5005,S2102,$D$6:$D$5005,"Vastgesteld"))</f>
        <v/>
      </c>
      <c r="U2102" s="15">
        <f>IF(T2102="",0,IF(AND(G2102=T2102,COUNTIFS($S$6:S2102,S2102,$G$6:G2102,G2102,$D$6:D2102,"Vastgesteld")=1),1,0))</f>
        <v>0</v>
      </c>
      <c r="V2102" s="15">
        <f>IF(T2102="",0,IF(AND(G2102=T2102,COUNTIFS($S$6:S2102,S2102,$G$6:G2102,G2102,$D$6:D2102,"Vastgesteld")&gt;1),1,0))</f>
        <v>0</v>
      </c>
    </row>
    <row r="2103">
      <c r="S2103" s="15" t="str">
        <f>IF(J2103="","",J2103&amp;"|"&amp;E2103&amp;"|"&amp;F2103&amp;"|"&amp;I2103&amp;"|"&amp;O2103)</f>
        <v/>
      </c>
      <c r="T2103" s="15" t="str">
        <f>IF(OR(S2103="",D2103&lt;&gt;"Vastgesteld"),"",_xlfn.MAXIFS($G$6:$G$5005,$S$6:$S$5005,S2103,$D$6:$D$5005,"Vastgesteld"))</f>
        <v/>
      </c>
      <c r="U2103" s="15">
        <f>IF(T2103="",0,IF(AND(G2103=T2103,COUNTIFS($S$6:S2103,S2103,$G$6:G2103,G2103,$D$6:D2103,"Vastgesteld")=1),1,0))</f>
        <v>0</v>
      </c>
      <c r="V2103" s="15">
        <f>IF(T2103="",0,IF(AND(G2103=T2103,COUNTIFS($S$6:S2103,S2103,$G$6:G2103,G2103,$D$6:D2103,"Vastgesteld")&gt;1),1,0))</f>
        <v>0</v>
      </c>
    </row>
    <row r="2104">
      <c r="S2104" s="15" t="str">
        <f>IF(J2104="","",J2104&amp;"|"&amp;E2104&amp;"|"&amp;F2104&amp;"|"&amp;I2104&amp;"|"&amp;O2104)</f>
        <v/>
      </c>
      <c r="T2104" s="15" t="str">
        <f>IF(OR(S2104="",D2104&lt;&gt;"Vastgesteld"),"",_xlfn.MAXIFS($G$6:$G$5005,$S$6:$S$5005,S2104,$D$6:$D$5005,"Vastgesteld"))</f>
        <v/>
      </c>
      <c r="U2104" s="15">
        <f>IF(T2104="",0,IF(AND(G2104=T2104,COUNTIFS($S$6:S2104,S2104,$G$6:G2104,G2104,$D$6:D2104,"Vastgesteld")=1),1,0))</f>
        <v>0</v>
      </c>
      <c r="V2104" s="15">
        <f>IF(T2104="",0,IF(AND(G2104=T2104,COUNTIFS($S$6:S2104,S2104,$G$6:G2104,G2104,$D$6:D2104,"Vastgesteld")&gt;1),1,0))</f>
        <v>0</v>
      </c>
    </row>
    <row r="2105">
      <c r="S2105" s="15" t="str">
        <f>IF(J2105="","",J2105&amp;"|"&amp;E2105&amp;"|"&amp;F2105&amp;"|"&amp;I2105&amp;"|"&amp;O2105)</f>
        <v/>
      </c>
      <c r="T2105" s="15" t="str">
        <f>IF(OR(S2105="",D2105&lt;&gt;"Vastgesteld"),"",_xlfn.MAXIFS($G$6:$G$5005,$S$6:$S$5005,S2105,$D$6:$D$5005,"Vastgesteld"))</f>
        <v/>
      </c>
      <c r="U2105" s="15">
        <f>IF(T2105="",0,IF(AND(G2105=T2105,COUNTIFS($S$6:S2105,S2105,$G$6:G2105,G2105,$D$6:D2105,"Vastgesteld")=1),1,0))</f>
        <v>0</v>
      </c>
      <c r="V2105" s="15">
        <f>IF(T2105="",0,IF(AND(G2105=T2105,COUNTIFS($S$6:S2105,S2105,$G$6:G2105,G2105,$D$6:D2105,"Vastgesteld")&gt;1),1,0))</f>
        <v>0</v>
      </c>
    </row>
    <row r="2106">
      <c r="S2106" s="15" t="str">
        <f>IF(J2106="","",J2106&amp;"|"&amp;E2106&amp;"|"&amp;F2106&amp;"|"&amp;I2106&amp;"|"&amp;O2106)</f>
        <v/>
      </c>
      <c r="T2106" s="15" t="str">
        <f>IF(OR(S2106="",D2106&lt;&gt;"Vastgesteld"),"",_xlfn.MAXIFS($G$6:$G$5005,$S$6:$S$5005,S2106,$D$6:$D$5005,"Vastgesteld"))</f>
        <v/>
      </c>
      <c r="U2106" s="15">
        <f>IF(T2106="",0,IF(AND(G2106=T2106,COUNTIFS($S$6:S2106,S2106,$G$6:G2106,G2106,$D$6:D2106,"Vastgesteld")=1),1,0))</f>
        <v>0</v>
      </c>
      <c r="V2106" s="15">
        <f>IF(T2106="",0,IF(AND(G2106=T2106,COUNTIFS($S$6:S2106,S2106,$G$6:G2106,G2106,$D$6:D2106,"Vastgesteld")&gt;1),1,0))</f>
        <v>0</v>
      </c>
    </row>
    <row r="2107">
      <c r="S2107" s="15" t="str">
        <f>IF(J2107="","",J2107&amp;"|"&amp;E2107&amp;"|"&amp;F2107&amp;"|"&amp;I2107&amp;"|"&amp;O2107)</f>
        <v/>
      </c>
      <c r="T2107" s="15" t="str">
        <f>IF(OR(S2107="",D2107&lt;&gt;"Vastgesteld"),"",_xlfn.MAXIFS($G$6:$G$5005,$S$6:$S$5005,S2107,$D$6:$D$5005,"Vastgesteld"))</f>
        <v/>
      </c>
      <c r="U2107" s="15">
        <f>IF(T2107="",0,IF(AND(G2107=T2107,COUNTIFS($S$6:S2107,S2107,$G$6:G2107,G2107,$D$6:D2107,"Vastgesteld")=1),1,0))</f>
        <v>0</v>
      </c>
      <c r="V2107" s="15">
        <f>IF(T2107="",0,IF(AND(G2107=T2107,COUNTIFS($S$6:S2107,S2107,$G$6:G2107,G2107,$D$6:D2107,"Vastgesteld")&gt;1),1,0))</f>
        <v>0</v>
      </c>
    </row>
    <row r="2108">
      <c r="S2108" s="15" t="str">
        <f>IF(J2108="","",J2108&amp;"|"&amp;E2108&amp;"|"&amp;F2108&amp;"|"&amp;I2108&amp;"|"&amp;O2108)</f>
        <v/>
      </c>
      <c r="T2108" s="15" t="str">
        <f>IF(OR(S2108="",D2108&lt;&gt;"Vastgesteld"),"",_xlfn.MAXIFS($G$6:$G$5005,$S$6:$S$5005,S2108,$D$6:$D$5005,"Vastgesteld"))</f>
        <v/>
      </c>
      <c r="U2108" s="15">
        <f>IF(T2108="",0,IF(AND(G2108=T2108,COUNTIFS($S$6:S2108,S2108,$G$6:G2108,G2108,$D$6:D2108,"Vastgesteld")=1),1,0))</f>
        <v>0</v>
      </c>
      <c r="V2108" s="15">
        <f>IF(T2108="",0,IF(AND(G2108=T2108,COUNTIFS($S$6:S2108,S2108,$G$6:G2108,G2108,$D$6:D2108,"Vastgesteld")&gt;1),1,0))</f>
        <v>0</v>
      </c>
    </row>
    <row r="2109">
      <c r="S2109" s="15" t="str">
        <f>IF(J2109="","",J2109&amp;"|"&amp;E2109&amp;"|"&amp;F2109&amp;"|"&amp;I2109&amp;"|"&amp;O2109)</f>
        <v/>
      </c>
      <c r="T2109" s="15" t="str">
        <f>IF(OR(S2109="",D2109&lt;&gt;"Vastgesteld"),"",_xlfn.MAXIFS($G$6:$G$5005,$S$6:$S$5005,S2109,$D$6:$D$5005,"Vastgesteld"))</f>
        <v/>
      </c>
      <c r="U2109" s="15">
        <f>IF(T2109="",0,IF(AND(G2109=T2109,COUNTIFS($S$6:S2109,S2109,$G$6:G2109,G2109,$D$6:D2109,"Vastgesteld")=1),1,0))</f>
        <v>0</v>
      </c>
      <c r="V2109" s="15">
        <f>IF(T2109="",0,IF(AND(G2109=T2109,COUNTIFS($S$6:S2109,S2109,$G$6:G2109,G2109,$D$6:D2109,"Vastgesteld")&gt;1),1,0))</f>
        <v>0</v>
      </c>
    </row>
    <row r="2110">
      <c r="S2110" s="15" t="str">
        <f>IF(J2110="","",J2110&amp;"|"&amp;E2110&amp;"|"&amp;F2110&amp;"|"&amp;I2110&amp;"|"&amp;O2110)</f>
        <v/>
      </c>
      <c r="T2110" s="15" t="str">
        <f>IF(OR(S2110="",D2110&lt;&gt;"Vastgesteld"),"",_xlfn.MAXIFS($G$6:$G$5005,$S$6:$S$5005,S2110,$D$6:$D$5005,"Vastgesteld"))</f>
        <v/>
      </c>
      <c r="U2110" s="15">
        <f>IF(T2110="",0,IF(AND(G2110=T2110,COUNTIFS($S$6:S2110,S2110,$G$6:G2110,G2110,$D$6:D2110,"Vastgesteld")=1),1,0))</f>
        <v>0</v>
      </c>
      <c r="V2110" s="15">
        <f>IF(T2110="",0,IF(AND(G2110=T2110,COUNTIFS($S$6:S2110,S2110,$G$6:G2110,G2110,$D$6:D2110,"Vastgesteld")&gt;1),1,0))</f>
        <v>0</v>
      </c>
    </row>
    <row r="2111">
      <c r="S2111" s="15" t="str">
        <f>IF(J2111="","",J2111&amp;"|"&amp;E2111&amp;"|"&amp;F2111&amp;"|"&amp;I2111&amp;"|"&amp;O2111)</f>
        <v/>
      </c>
      <c r="T2111" s="15" t="str">
        <f>IF(OR(S2111="",D2111&lt;&gt;"Vastgesteld"),"",_xlfn.MAXIFS($G$6:$G$5005,$S$6:$S$5005,S2111,$D$6:$D$5005,"Vastgesteld"))</f>
        <v/>
      </c>
      <c r="U2111" s="15">
        <f>IF(T2111="",0,IF(AND(G2111=T2111,COUNTIFS($S$6:S2111,S2111,$G$6:G2111,G2111,$D$6:D2111,"Vastgesteld")=1),1,0))</f>
        <v>0</v>
      </c>
      <c r="V2111" s="15">
        <f>IF(T2111="",0,IF(AND(G2111=T2111,COUNTIFS($S$6:S2111,S2111,$G$6:G2111,G2111,$D$6:D2111,"Vastgesteld")&gt;1),1,0))</f>
        <v>0</v>
      </c>
    </row>
    <row r="2112">
      <c r="S2112" s="15" t="str">
        <f>IF(J2112="","",J2112&amp;"|"&amp;E2112&amp;"|"&amp;F2112&amp;"|"&amp;I2112&amp;"|"&amp;O2112)</f>
        <v/>
      </c>
      <c r="T2112" s="15" t="str">
        <f>IF(OR(S2112="",D2112&lt;&gt;"Vastgesteld"),"",_xlfn.MAXIFS($G$6:$G$5005,$S$6:$S$5005,S2112,$D$6:$D$5005,"Vastgesteld"))</f>
        <v/>
      </c>
      <c r="U2112" s="15">
        <f>IF(T2112="",0,IF(AND(G2112=T2112,COUNTIFS($S$6:S2112,S2112,$G$6:G2112,G2112,$D$6:D2112,"Vastgesteld")=1),1,0))</f>
        <v>0</v>
      </c>
      <c r="V2112" s="15">
        <f>IF(T2112="",0,IF(AND(G2112=T2112,COUNTIFS($S$6:S2112,S2112,$G$6:G2112,G2112,$D$6:D2112,"Vastgesteld")&gt;1),1,0))</f>
        <v>0</v>
      </c>
    </row>
    <row r="2113">
      <c r="S2113" s="15" t="str">
        <f>IF(J2113="","",J2113&amp;"|"&amp;E2113&amp;"|"&amp;F2113&amp;"|"&amp;I2113&amp;"|"&amp;O2113)</f>
        <v/>
      </c>
      <c r="T2113" s="15" t="str">
        <f>IF(OR(S2113="",D2113&lt;&gt;"Vastgesteld"),"",_xlfn.MAXIFS($G$6:$G$5005,$S$6:$S$5005,S2113,$D$6:$D$5005,"Vastgesteld"))</f>
        <v/>
      </c>
      <c r="U2113" s="15">
        <f>IF(T2113="",0,IF(AND(G2113=T2113,COUNTIFS($S$6:S2113,S2113,$G$6:G2113,G2113,$D$6:D2113,"Vastgesteld")=1),1,0))</f>
        <v>0</v>
      </c>
      <c r="V2113" s="15">
        <f>IF(T2113="",0,IF(AND(G2113=T2113,COUNTIFS($S$6:S2113,S2113,$G$6:G2113,G2113,$D$6:D2113,"Vastgesteld")&gt;1),1,0))</f>
        <v>0</v>
      </c>
    </row>
    <row r="2114">
      <c r="S2114" s="15" t="str">
        <f>IF(J2114="","",J2114&amp;"|"&amp;E2114&amp;"|"&amp;F2114&amp;"|"&amp;I2114&amp;"|"&amp;O2114)</f>
        <v/>
      </c>
      <c r="T2114" s="15" t="str">
        <f>IF(OR(S2114="",D2114&lt;&gt;"Vastgesteld"),"",_xlfn.MAXIFS($G$6:$G$5005,$S$6:$S$5005,S2114,$D$6:$D$5005,"Vastgesteld"))</f>
        <v/>
      </c>
      <c r="U2114" s="15">
        <f>IF(T2114="",0,IF(AND(G2114=T2114,COUNTIFS($S$6:S2114,S2114,$G$6:G2114,G2114,$D$6:D2114,"Vastgesteld")=1),1,0))</f>
        <v>0</v>
      </c>
      <c r="V2114" s="15">
        <f>IF(T2114="",0,IF(AND(G2114=T2114,COUNTIFS($S$6:S2114,S2114,$G$6:G2114,G2114,$D$6:D2114,"Vastgesteld")&gt;1),1,0))</f>
        <v>0</v>
      </c>
    </row>
    <row r="2115">
      <c r="S2115" s="15" t="str">
        <f>IF(J2115="","",J2115&amp;"|"&amp;E2115&amp;"|"&amp;F2115&amp;"|"&amp;I2115&amp;"|"&amp;O2115)</f>
        <v/>
      </c>
      <c r="T2115" s="15" t="str">
        <f>IF(OR(S2115="",D2115&lt;&gt;"Vastgesteld"),"",_xlfn.MAXIFS($G$6:$G$5005,$S$6:$S$5005,S2115,$D$6:$D$5005,"Vastgesteld"))</f>
        <v/>
      </c>
      <c r="U2115" s="15">
        <f>IF(T2115="",0,IF(AND(G2115=T2115,COUNTIFS($S$6:S2115,S2115,$G$6:G2115,G2115,$D$6:D2115,"Vastgesteld")=1),1,0))</f>
        <v>0</v>
      </c>
      <c r="V2115" s="15">
        <f>IF(T2115="",0,IF(AND(G2115=T2115,COUNTIFS($S$6:S2115,S2115,$G$6:G2115,G2115,$D$6:D2115,"Vastgesteld")&gt;1),1,0))</f>
        <v>0</v>
      </c>
    </row>
    <row r="2116">
      <c r="S2116" s="15" t="str">
        <f>IF(J2116="","",J2116&amp;"|"&amp;E2116&amp;"|"&amp;F2116&amp;"|"&amp;I2116&amp;"|"&amp;O2116)</f>
        <v/>
      </c>
      <c r="T2116" s="15" t="str">
        <f>IF(OR(S2116="",D2116&lt;&gt;"Vastgesteld"),"",_xlfn.MAXIFS($G$6:$G$5005,$S$6:$S$5005,S2116,$D$6:$D$5005,"Vastgesteld"))</f>
        <v/>
      </c>
      <c r="U2116" s="15">
        <f>IF(T2116="",0,IF(AND(G2116=T2116,COUNTIFS($S$6:S2116,S2116,$G$6:G2116,G2116,$D$6:D2116,"Vastgesteld")=1),1,0))</f>
        <v>0</v>
      </c>
      <c r="V2116" s="15">
        <f>IF(T2116="",0,IF(AND(G2116=T2116,COUNTIFS($S$6:S2116,S2116,$G$6:G2116,G2116,$D$6:D2116,"Vastgesteld")&gt;1),1,0))</f>
        <v>0</v>
      </c>
    </row>
    <row r="2117">
      <c r="S2117" s="15" t="str">
        <f>IF(J2117="","",J2117&amp;"|"&amp;E2117&amp;"|"&amp;F2117&amp;"|"&amp;I2117&amp;"|"&amp;O2117)</f>
        <v/>
      </c>
      <c r="T2117" s="15" t="str">
        <f>IF(OR(S2117="",D2117&lt;&gt;"Vastgesteld"),"",_xlfn.MAXIFS($G$6:$G$5005,$S$6:$S$5005,S2117,$D$6:$D$5005,"Vastgesteld"))</f>
        <v/>
      </c>
      <c r="U2117" s="15">
        <f>IF(T2117="",0,IF(AND(G2117=T2117,COUNTIFS($S$6:S2117,S2117,$G$6:G2117,G2117,$D$6:D2117,"Vastgesteld")=1),1,0))</f>
        <v>0</v>
      </c>
      <c r="V2117" s="15">
        <f>IF(T2117="",0,IF(AND(G2117=T2117,COUNTIFS($S$6:S2117,S2117,$G$6:G2117,G2117,$D$6:D2117,"Vastgesteld")&gt;1),1,0))</f>
        <v>0</v>
      </c>
    </row>
    <row r="2118">
      <c r="S2118" s="15" t="str">
        <f>IF(J2118="","",J2118&amp;"|"&amp;E2118&amp;"|"&amp;F2118&amp;"|"&amp;I2118&amp;"|"&amp;O2118)</f>
        <v/>
      </c>
      <c r="T2118" s="15" t="str">
        <f>IF(OR(S2118="",D2118&lt;&gt;"Vastgesteld"),"",_xlfn.MAXIFS($G$6:$G$5005,$S$6:$S$5005,S2118,$D$6:$D$5005,"Vastgesteld"))</f>
        <v/>
      </c>
      <c r="U2118" s="15">
        <f>IF(T2118="",0,IF(AND(G2118=T2118,COUNTIFS($S$6:S2118,S2118,$G$6:G2118,G2118,$D$6:D2118,"Vastgesteld")=1),1,0))</f>
        <v>0</v>
      </c>
      <c r="V2118" s="15">
        <f>IF(T2118="",0,IF(AND(G2118=T2118,COUNTIFS($S$6:S2118,S2118,$G$6:G2118,G2118,$D$6:D2118,"Vastgesteld")&gt;1),1,0))</f>
        <v>0</v>
      </c>
    </row>
    <row r="2119">
      <c r="S2119" s="15" t="str">
        <f>IF(J2119="","",J2119&amp;"|"&amp;E2119&amp;"|"&amp;F2119&amp;"|"&amp;I2119&amp;"|"&amp;O2119)</f>
        <v/>
      </c>
      <c r="T2119" s="15" t="str">
        <f>IF(OR(S2119="",D2119&lt;&gt;"Vastgesteld"),"",_xlfn.MAXIFS($G$6:$G$5005,$S$6:$S$5005,S2119,$D$6:$D$5005,"Vastgesteld"))</f>
        <v/>
      </c>
      <c r="U2119" s="15">
        <f>IF(T2119="",0,IF(AND(G2119=T2119,COUNTIFS($S$6:S2119,S2119,$G$6:G2119,G2119,$D$6:D2119,"Vastgesteld")=1),1,0))</f>
        <v>0</v>
      </c>
      <c r="V2119" s="15">
        <f>IF(T2119="",0,IF(AND(G2119=T2119,COUNTIFS($S$6:S2119,S2119,$G$6:G2119,G2119,$D$6:D2119,"Vastgesteld")&gt;1),1,0))</f>
        <v>0</v>
      </c>
    </row>
    <row r="2120">
      <c r="S2120" s="15" t="str">
        <f>IF(J2120="","",J2120&amp;"|"&amp;E2120&amp;"|"&amp;F2120&amp;"|"&amp;I2120&amp;"|"&amp;O2120)</f>
        <v/>
      </c>
      <c r="T2120" s="15" t="str">
        <f>IF(OR(S2120="",D2120&lt;&gt;"Vastgesteld"),"",_xlfn.MAXIFS($G$6:$G$5005,$S$6:$S$5005,S2120,$D$6:$D$5005,"Vastgesteld"))</f>
        <v/>
      </c>
      <c r="U2120" s="15">
        <f>IF(T2120="",0,IF(AND(G2120=T2120,COUNTIFS($S$6:S2120,S2120,$G$6:G2120,G2120,$D$6:D2120,"Vastgesteld")=1),1,0))</f>
        <v>0</v>
      </c>
      <c r="V2120" s="15">
        <f>IF(T2120="",0,IF(AND(G2120=T2120,COUNTIFS($S$6:S2120,S2120,$G$6:G2120,G2120,$D$6:D2120,"Vastgesteld")&gt;1),1,0))</f>
        <v>0</v>
      </c>
    </row>
    <row r="2121">
      <c r="S2121" s="15" t="str">
        <f>IF(J2121="","",J2121&amp;"|"&amp;E2121&amp;"|"&amp;F2121&amp;"|"&amp;I2121&amp;"|"&amp;O2121)</f>
        <v/>
      </c>
      <c r="T2121" s="15" t="str">
        <f>IF(OR(S2121="",D2121&lt;&gt;"Vastgesteld"),"",_xlfn.MAXIFS($G$6:$G$5005,$S$6:$S$5005,S2121,$D$6:$D$5005,"Vastgesteld"))</f>
        <v/>
      </c>
      <c r="U2121" s="15">
        <f>IF(T2121="",0,IF(AND(G2121=T2121,COUNTIFS($S$6:S2121,S2121,$G$6:G2121,G2121,$D$6:D2121,"Vastgesteld")=1),1,0))</f>
        <v>0</v>
      </c>
      <c r="V2121" s="15">
        <f>IF(T2121="",0,IF(AND(G2121=T2121,COUNTIFS($S$6:S2121,S2121,$G$6:G2121,G2121,$D$6:D2121,"Vastgesteld")&gt;1),1,0))</f>
        <v>0</v>
      </c>
    </row>
    <row r="2122">
      <c r="S2122" s="15" t="str">
        <f>IF(J2122="","",J2122&amp;"|"&amp;E2122&amp;"|"&amp;F2122&amp;"|"&amp;I2122&amp;"|"&amp;O2122)</f>
        <v/>
      </c>
      <c r="T2122" s="15" t="str">
        <f>IF(OR(S2122="",D2122&lt;&gt;"Vastgesteld"),"",_xlfn.MAXIFS($G$6:$G$5005,$S$6:$S$5005,S2122,$D$6:$D$5005,"Vastgesteld"))</f>
        <v/>
      </c>
      <c r="U2122" s="15">
        <f>IF(T2122="",0,IF(AND(G2122=T2122,COUNTIFS($S$6:S2122,S2122,$G$6:G2122,G2122,$D$6:D2122,"Vastgesteld")=1),1,0))</f>
        <v>0</v>
      </c>
      <c r="V2122" s="15">
        <f>IF(T2122="",0,IF(AND(G2122=T2122,COUNTIFS($S$6:S2122,S2122,$G$6:G2122,G2122,$D$6:D2122,"Vastgesteld")&gt;1),1,0))</f>
        <v>0</v>
      </c>
    </row>
    <row r="2123">
      <c r="S2123" s="15" t="str">
        <f>IF(J2123="","",J2123&amp;"|"&amp;E2123&amp;"|"&amp;F2123&amp;"|"&amp;I2123&amp;"|"&amp;O2123)</f>
        <v/>
      </c>
      <c r="T2123" s="15" t="str">
        <f>IF(OR(S2123="",D2123&lt;&gt;"Vastgesteld"),"",_xlfn.MAXIFS($G$6:$G$5005,$S$6:$S$5005,S2123,$D$6:$D$5005,"Vastgesteld"))</f>
        <v/>
      </c>
      <c r="U2123" s="15">
        <f>IF(T2123="",0,IF(AND(G2123=T2123,COUNTIFS($S$6:S2123,S2123,$G$6:G2123,G2123,$D$6:D2123,"Vastgesteld")=1),1,0))</f>
        <v>0</v>
      </c>
      <c r="V2123" s="15">
        <f>IF(T2123="",0,IF(AND(G2123=T2123,COUNTIFS($S$6:S2123,S2123,$G$6:G2123,G2123,$D$6:D2123,"Vastgesteld")&gt;1),1,0))</f>
        <v>0</v>
      </c>
    </row>
    <row r="2124">
      <c r="S2124" s="15" t="str">
        <f>IF(J2124="","",J2124&amp;"|"&amp;E2124&amp;"|"&amp;F2124&amp;"|"&amp;I2124&amp;"|"&amp;O2124)</f>
        <v/>
      </c>
      <c r="T2124" s="15" t="str">
        <f>IF(OR(S2124="",D2124&lt;&gt;"Vastgesteld"),"",_xlfn.MAXIFS($G$6:$G$5005,$S$6:$S$5005,S2124,$D$6:$D$5005,"Vastgesteld"))</f>
        <v/>
      </c>
      <c r="U2124" s="15">
        <f>IF(T2124="",0,IF(AND(G2124=T2124,COUNTIFS($S$6:S2124,S2124,$G$6:G2124,G2124,$D$6:D2124,"Vastgesteld")=1),1,0))</f>
        <v>0</v>
      </c>
      <c r="V2124" s="15">
        <f>IF(T2124="",0,IF(AND(G2124=T2124,COUNTIFS($S$6:S2124,S2124,$G$6:G2124,G2124,$D$6:D2124,"Vastgesteld")&gt;1),1,0))</f>
        <v>0</v>
      </c>
    </row>
    <row r="2125">
      <c r="S2125" s="15" t="str">
        <f>IF(J2125="","",J2125&amp;"|"&amp;E2125&amp;"|"&amp;F2125&amp;"|"&amp;I2125&amp;"|"&amp;O2125)</f>
        <v/>
      </c>
      <c r="T2125" s="15" t="str">
        <f>IF(OR(S2125="",D2125&lt;&gt;"Vastgesteld"),"",_xlfn.MAXIFS($G$6:$G$5005,$S$6:$S$5005,S2125,$D$6:$D$5005,"Vastgesteld"))</f>
        <v/>
      </c>
      <c r="U2125" s="15">
        <f>IF(T2125="",0,IF(AND(G2125=T2125,COUNTIFS($S$6:S2125,S2125,$G$6:G2125,G2125,$D$6:D2125,"Vastgesteld")=1),1,0))</f>
        <v>0</v>
      </c>
      <c r="V2125" s="15">
        <f>IF(T2125="",0,IF(AND(G2125=T2125,COUNTIFS($S$6:S2125,S2125,$G$6:G2125,G2125,$D$6:D2125,"Vastgesteld")&gt;1),1,0))</f>
        <v>0</v>
      </c>
    </row>
    <row r="2126">
      <c r="S2126" s="15" t="str">
        <f>IF(J2126="","",J2126&amp;"|"&amp;E2126&amp;"|"&amp;F2126&amp;"|"&amp;I2126&amp;"|"&amp;O2126)</f>
        <v/>
      </c>
      <c r="T2126" s="15" t="str">
        <f>IF(OR(S2126="",D2126&lt;&gt;"Vastgesteld"),"",_xlfn.MAXIFS($G$6:$G$5005,$S$6:$S$5005,S2126,$D$6:$D$5005,"Vastgesteld"))</f>
        <v/>
      </c>
      <c r="U2126" s="15">
        <f>IF(T2126="",0,IF(AND(G2126=T2126,COUNTIFS($S$6:S2126,S2126,$G$6:G2126,G2126,$D$6:D2126,"Vastgesteld")=1),1,0))</f>
        <v>0</v>
      </c>
      <c r="V2126" s="15">
        <f>IF(T2126="",0,IF(AND(G2126=T2126,COUNTIFS($S$6:S2126,S2126,$G$6:G2126,G2126,$D$6:D2126,"Vastgesteld")&gt;1),1,0))</f>
        <v>0</v>
      </c>
    </row>
    <row r="2127">
      <c r="S2127" s="15" t="str">
        <f>IF(J2127="","",J2127&amp;"|"&amp;E2127&amp;"|"&amp;F2127&amp;"|"&amp;I2127&amp;"|"&amp;O2127)</f>
        <v/>
      </c>
      <c r="T2127" s="15" t="str">
        <f>IF(OR(S2127="",D2127&lt;&gt;"Vastgesteld"),"",_xlfn.MAXIFS($G$6:$G$5005,$S$6:$S$5005,S2127,$D$6:$D$5005,"Vastgesteld"))</f>
        <v/>
      </c>
      <c r="U2127" s="15">
        <f>IF(T2127="",0,IF(AND(G2127=T2127,COUNTIFS($S$6:S2127,S2127,$G$6:G2127,G2127,$D$6:D2127,"Vastgesteld")=1),1,0))</f>
        <v>0</v>
      </c>
      <c r="V2127" s="15">
        <f>IF(T2127="",0,IF(AND(G2127=T2127,COUNTIFS($S$6:S2127,S2127,$G$6:G2127,G2127,$D$6:D2127,"Vastgesteld")&gt;1),1,0))</f>
        <v>0</v>
      </c>
    </row>
    <row r="2128">
      <c r="S2128" s="15" t="str">
        <f>IF(J2128="","",J2128&amp;"|"&amp;E2128&amp;"|"&amp;F2128&amp;"|"&amp;I2128&amp;"|"&amp;O2128)</f>
        <v/>
      </c>
      <c r="T2128" s="15" t="str">
        <f>IF(OR(S2128="",D2128&lt;&gt;"Vastgesteld"),"",_xlfn.MAXIFS($G$6:$G$5005,$S$6:$S$5005,S2128,$D$6:$D$5005,"Vastgesteld"))</f>
        <v/>
      </c>
      <c r="U2128" s="15">
        <f>IF(T2128="",0,IF(AND(G2128=T2128,COUNTIFS($S$6:S2128,S2128,$G$6:G2128,G2128,$D$6:D2128,"Vastgesteld")=1),1,0))</f>
        <v>0</v>
      </c>
      <c r="V2128" s="15">
        <f>IF(T2128="",0,IF(AND(G2128=T2128,COUNTIFS($S$6:S2128,S2128,$G$6:G2128,G2128,$D$6:D2128,"Vastgesteld")&gt;1),1,0))</f>
        <v>0</v>
      </c>
    </row>
    <row r="2129">
      <c r="S2129" s="15" t="str">
        <f>IF(J2129="","",J2129&amp;"|"&amp;E2129&amp;"|"&amp;F2129&amp;"|"&amp;I2129&amp;"|"&amp;O2129)</f>
        <v/>
      </c>
      <c r="T2129" s="15" t="str">
        <f>IF(OR(S2129="",D2129&lt;&gt;"Vastgesteld"),"",_xlfn.MAXIFS($G$6:$G$5005,$S$6:$S$5005,S2129,$D$6:$D$5005,"Vastgesteld"))</f>
        <v/>
      </c>
      <c r="U2129" s="15">
        <f>IF(T2129="",0,IF(AND(G2129=T2129,COUNTIFS($S$6:S2129,S2129,$G$6:G2129,G2129,$D$6:D2129,"Vastgesteld")=1),1,0))</f>
        <v>0</v>
      </c>
      <c r="V2129" s="15">
        <f>IF(T2129="",0,IF(AND(G2129=T2129,COUNTIFS($S$6:S2129,S2129,$G$6:G2129,G2129,$D$6:D2129,"Vastgesteld")&gt;1),1,0))</f>
        <v>0</v>
      </c>
    </row>
    <row r="2130">
      <c r="S2130" s="15" t="str">
        <f>IF(J2130="","",J2130&amp;"|"&amp;E2130&amp;"|"&amp;F2130&amp;"|"&amp;I2130&amp;"|"&amp;O2130)</f>
        <v/>
      </c>
      <c r="T2130" s="15" t="str">
        <f>IF(OR(S2130="",D2130&lt;&gt;"Vastgesteld"),"",_xlfn.MAXIFS($G$6:$G$5005,$S$6:$S$5005,S2130,$D$6:$D$5005,"Vastgesteld"))</f>
        <v/>
      </c>
      <c r="U2130" s="15">
        <f>IF(T2130="",0,IF(AND(G2130=T2130,COUNTIFS($S$6:S2130,S2130,$G$6:G2130,G2130,$D$6:D2130,"Vastgesteld")=1),1,0))</f>
        <v>0</v>
      </c>
      <c r="V2130" s="15">
        <f>IF(T2130="",0,IF(AND(G2130=T2130,COUNTIFS($S$6:S2130,S2130,$G$6:G2130,G2130,$D$6:D2130,"Vastgesteld")&gt;1),1,0))</f>
        <v>0</v>
      </c>
    </row>
    <row r="2131">
      <c r="S2131" s="15" t="str">
        <f>IF(J2131="","",J2131&amp;"|"&amp;E2131&amp;"|"&amp;F2131&amp;"|"&amp;I2131&amp;"|"&amp;O2131)</f>
        <v/>
      </c>
      <c r="T2131" s="15" t="str">
        <f>IF(OR(S2131="",D2131&lt;&gt;"Vastgesteld"),"",_xlfn.MAXIFS($G$6:$G$5005,$S$6:$S$5005,S2131,$D$6:$D$5005,"Vastgesteld"))</f>
        <v/>
      </c>
      <c r="U2131" s="15">
        <f>IF(T2131="",0,IF(AND(G2131=T2131,COUNTIFS($S$6:S2131,S2131,$G$6:G2131,G2131,$D$6:D2131,"Vastgesteld")=1),1,0))</f>
        <v>0</v>
      </c>
      <c r="V2131" s="15">
        <f>IF(T2131="",0,IF(AND(G2131=T2131,COUNTIFS($S$6:S2131,S2131,$G$6:G2131,G2131,$D$6:D2131,"Vastgesteld")&gt;1),1,0))</f>
        <v>0</v>
      </c>
    </row>
    <row r="2132">
      <c r="S2132" s="15" t="str">
        <f>IF(J2132="","",J2132&amp;"|"&amp;E2132&amp;"|"&amp;F2132&amp;"|"&amp;I2132&amp;"|"&amp;O2132)</f>
        <v/>
      </c>
      <c r="T2132" s="15" t="str">
        <f>IF(OR(S2132="",D2132&lt;&gt;"Vastgesteld"),"",_xlfn.MAXIFS($G$6:$G$5005,$S$6:$S$5005,S2132,$D$6:$D$5005,"Vastgesteld"))</f>
        <v/>
      </c>
      <c r="U2132" s="15">
        <f>IF(T2132="",0,IF(AND(G2132=T2132,COUNTIFS($S$6:S2132,S2132,$G$6:G2132,G2132,$D$6:D2132,"Vastgesteld")=1),1,0))</f>
        <v>0</v>
      </c>
      <c r="V2132" s="15">
        <f>IF(T2132="",0,IF(AND(G2132=T2132,COUNTIFS($S$6:S2132,S2132,$G$6:G2132,G2132,$D$6:D2132,"Vastgesteld")&gt;1),1,0))</f>
        <v>0</v>
      </c>
    </row>
    <row r="2133">
      <c r="S2133" s="15" t="str">
        <f>IF(J2133="","",J2133&amp;"|"&amp;E2133&amp;"|"&amp;F2133&amp;"|"&amp;I2133&amp;"|"&amp;O2133)</f>
        <v/>
      </c>
      <c r="T2133" s="15" t="str">
        <f>IF(OR(S2133="",D2133&lt;&gt;"Vastgesteld"),"",_xlfn.MAXIFS($G$6:$G$5005,$S$6:$S$5005,S2133,$D$6:$D$5005,"Vastgesteld"))</f>
        <v/>
      </c>
      <c r="U2133" s="15">
        <f>IF(T2133="",0,IF(AND(G2133=T2133,COUNTIFS($S$6:S2133,S2133,$G$6:G2133,G2133,$D$6:D2133,"Vastgesteld")=1),1,0))</f>
        <v>0</v>
      </c>
      <c r="V2133" s="15">
        <f>IF(T2133="",0,IF(AND(G2133=T2133,COUNTIFS($S$6:S2133,S2133,$G$6:G2133,G2133,$D$6:D2133,"Vastgesteld")&gt;1),1,0))</f>
        <v>0</v>
      </c>
    </row>
    <row r="2134">
      <c r="S2134" s="15" t="str">
        <f>IF(J2134="","",J2134&amp;"|"&amp;E2134&amp;"|"&amp;F2134&amp;"|"&amp;I2134&amp;"|"&amp;O2134)</f>
        <v/>
      </c>
      <c r="T2134" s="15" t="str">
        <f>IF(OR(S2134="",D2134&lt;&gt;"Vastgesteld"),"",_xlfn.MAXIFS($G$6:$G$5005,$S$6:$S$5005,S2134,$D$6:$D$5005,"Vastgesteld"))</f>
        <v/>
      </c>
      <c r="U2134" s="15">
        <f>IF(T2134="",0,IF(AND(G2134=T2134,COUNTIFS($S$6:S2134,S2134,$G$6:G2134,G2134,$D$6:D2134,"Vastgesteld")=1),1,0))</f>
        <v>0</v>
      </c>
      <c r="V2134" s="15">
        <f>IF(T2134="",0,IF(AND(G2134=T2134,COUNTIFS($S$6:S2134,S2134,$G$6:G2134,G2134,$D$6:D2134,"Vastgesteld")&gt;1),1,0))</f>
        <v>0</v>
      </c>
    </row>
    <row r="2135">
      <c r="S2135" s="15" t="str">
        <f>IF(J2135="","",J2135&amp;"|"&amp;E2135&amp;"|"&amp;F2135&amp;"|"&amp;I2135&amp;"|"&amp;O2135)</f>
        <v/>
      </c>
      <c r="T2135" s="15" t="str">
        <f>IF(OR(S2135="",D2135&lt;&gt;"Vastgesteld"),"",_xlfn.MAXIFS($G$6:$G$5005,$S$6:$S$5005,S2135,$D$6:$D$5005,"Vastgesteld"))</f>
        <v/>
      </c>
      <c r="U2135" s="15">
        <f>IF(T2135="",0,IF(AND(G2135=T2135,COUNTIFS($S$6:S2135,S2135,$G$6:G2135,G2135,$D$6:D2135,"Vastgesteld")=1),1,0))</f>
        <v>0</v>
      </c>
      <c r="V2135" s="15">
        <f>IF(T2135="",0,IF(AND(G2135=T2135,COUNTIFS($S$6:S2135,S2135,$G$6:G2135,G2135,$D$6:D2135,"Vastgesteld")&gt;1),1,0))</f>
        <v>0</v>
      </c>
    </row>
    <row r="2136">
      <c r="S2136" s="15" t="str">
        <f>IF(J2136="","",J2136&amp;"|"&amp;E2136&amp;"|"&amp;F2136&amp;"|"&amp;I2136&amp;"|"&amp;O2136)</f>
        <v/>
      </c>
      <c r="T2136" s="15" t="str">
        <f>IF(OR(S2136="",D2136&lt;&gt;"Vastgesteld"),"",_xlfn.MAXIFS($G$6:$G$5005,$S$6:$S$5005,S2136,$D$6:$D$5005,"Vastgesteld"))</f>
        <v/>
      </c>
      <c r="U2136" s="15">
        <f>IF(T2136="",0,IF(AND(G2136=T2136,COUNTIFS($S$6:S2136,S2136,$G$6:G2136,G2136,$D$6:D2136,"Vastgesteld")=1),1,0))</f>
        <v>0</v>
      </c>
      <c r="V2136" s="15">
        <f>IF(T2136="",0,IF(AND(G2136=T2136,COUNTIFS($S$6:S2136,S2136,$G$6:G2136,G2136,$D$6:D2136,"Vastgesteld")&gt;1),1,0))</f>
        <v>0</v>
      </c>
    </row>
    <row r="2137">
      <c r="S2137" s="15" t="str">
        <f>IF(J2137="","",J2137&amp;"|"&amp;E2137&amp;"|"&amp;F2137&amp;"|"&amp;I2137&amp;"|"&amp;O2137)</f>
        <v/>
      </c>
      <c r="T2137" s="15" t="str">
        <f>IF(OR(S2137="",D2137&lt;&gt;"Vastgesteld"),"",_xlfn.MAXIFS($G$6:$G$5005,$S$6:$S$5005,S2137,$D$6:$D$5005,"Vastgesteld"))</f>
        <v/>
      </c>
      <c r="U2137" s="15">
        <f>IF(T2137="",0,IF(AND(G2137=T2137,COUNTIFS($S$6:S2137,S2137,$G$6:G2137,G2137,$D$6:D2137,"Vastgesteld")=1),1,0))</f>
        <v>0</v>
      </c>
      <c r="V2137" s="15">
        <f>IF(T2137="",0,IF(AND(G2137=T2137,COUNTIFS($S$6:S2137,S2137,$G$6:G2137,G2137,$D$6:D2137,"Vastgesteld")&gt;1),1,0))</f>
        <v>0</v>
      </c>
    </row>
    <row r="2138">
      <c r="S2138" s="15" t="str">
        <f>IF(J2138="","",J2138&amp;"|"&amp;E2138&amp;"|"&amp;F2138&amp;"|"&amp;I2138&amp;"|"&amp;O2138)</f>
        <v/>
      </c>
      <c r="T2138" s="15" t="str">
        <f>IF(OR(S2138="",D2138&lt;&gt;"Vastgesteld"),"",_xlfn.MAXIFS($G$6:$G$5005,$S$6:$S$5005,S2138,$D$6:$D$5005,"Vastgesteld"))</f>
        <v/>
      </c>
      <c r="U2138" s="15">
        <f>IF(T2138="",0,IF(AND(G2138=T2138,COUNTIFS($S$6:S2138,S2138,$G$6:G2138,G2138,$D$6:D2138,"Vastgesteld")=1),1,0))</f>
        <v>0</v>
      </c>
      <c r="V2138" s="15">
        <f>IF(T2138="",0,IF(AND(G2138=T2138,COUNTIFS($S$6:S2138,S2138,$G$6:G2138,G2138,$D$6:D2138,"Vastgesteld")&gt;1),1,0))</f>
        <v>0</v>
      </c>
    </row>
    <row r="2139">
      <c r="S2139" s="15" t="str">
        <f>IF(J2139="","",J2139&amp;"|"&amp;E2139&amp;"|"&amp;F2139&amp;"|"&amp;I2139&amp;"|"&amp;O2139)</f>
        <v/>
      </c>
      <c r="T2139" s="15" t="str">
        <f>IF(OR(S2139="",D2139&lt;&gt;"Vastgesteld"),"",_xlfn.MAXIFS($G$6:$G$5005,$S$6:$S$5005,S2139,$D$6:$D$5005,"Vastgesteld"))</f>
        <v/>
      </c>
      <c r="U2139" s="15">
        <f>IF(T2139="",0,IF(AND(G2139=T2139,COUNTIFS($S$6:S2139,S2139,$G$6:G2139,G2139,$D$6:D2139,"Vastgesteld")=1),1,0))</f>
        <v>0</v>
      </c>
      <c r="V2139" s="15">
        <f>IF(T2139="",0,IF(AND(G2139=T2139,COUNTIFS($S$6:S2139,S2139,$G$6:G2139,G2139,$D$6:D2139,"Vastgesteld")&gt;1),1,0))</f>
        <v>0</v>
      </c>
    </row>
    <row r="2140">
      <c r="S2140" s="15" t="str">
        <f>IF(J2140="","",J2140&amp;"|"&amp;E2140&amp;"|"&amp;F2140&amp;"|"&amp;I2140&amp;"|"&amp;O2140)</f>
        <v/>
      </c>
      <c r="T2140" s="15" t="str">
        <f>IF(OR(S2140="",D2140&lt;&gt;"Vastgesteld"),"",_xlfn.MAXIFS($G$6:$G$5005,$S$6:$S$5005,S2140,$D$6:$D$5005,"Vastgesteld"))</f>
        <v/>
      </c>
      <c r="U2140" s="15">
        <f>IF(T2140="",0,IF(AND(G2140=T2140,COUNTIFS($S$6:S2140,S2140,$G$6:G2140,G2140,$D$6:D2140,"Vastgesteld")=1),1,0))</f>
        <v>0</v>
      </c>
      <c r="V2140" s="15">
        <f>IF(T2140="",0,IF(AND(G2140=T2140,COUNTIFS($S$6:S2140,S2140,$G$6:G2140,G2140,$D$6:D2140,"Vastgesteld")&gt;1),1,0))</f>
        <v>0</v>
      </c>
    </row>
    <row r="2141">
      <c r="S2141" s="15" t="str">
        <f>IF(J2141="","",J2141&amp;"|"&amp;E2141&amp;"|"&amp;F2141&amp;"|"&amp;I2141&amp;"|"&amp;O2141)</f>
        <v/>
      </c>
      <c r="T2141" s="15" t="str">
        <f>IF(OR(S2141="",D2141&lt;&gt;"Vastgesteld"),"",_xlfn.MAXIFS($G$6:$G$5005,$S$6:$S$5005,S2141,$D$6:$D$5005,"Vastgesteld"))</f>
        <v/>
      </c>
      <c r="U2141" s="15">
        <f>IF(T2141="",0,IF(AND(G2141=T2141,COUNTIFS($S$6:S2141,S2141,$G$6:G2141,G2141,$D$6:D2141,"Vastgesteld")=1),1,0))</f>
        <v>0</v>
      </c>
      <c r="V2141" s="15">
        <f>IF(T2141="",0,IF(AND(G2141=T2141,COUNTIFS($S$6:S2141,S2141,$G$6:G2141,G2141,$D$6:D2141,"Vastgesteld")&gt;1),1,0))</f>
        <v>0</v>
      </c>
    </row>
    <row r="2142">
      <c r="S2142" s="15" t="str">
        <f>IF(J2142="","",J2142&amp;"|"&amp;E2142&amp;"|"&amp;F2142&amp;"|"&amp;I2142&amp;"|"&amp;O2142)</f>
        <v/>
      </c>
      <c r="T2142" s="15" t="str">
        <f>IF(OR(S2142="",D2142&lt;&gt;"Vastgesteld"),"",_xlfn.MAXIFS($G$6:$G$5005,$S$6:$S$5005,S2142,$D$6:$D$5005,"Vastgesteld"))</f>
        <v/>
      </c>
      <c r="U2142" s="15">
        <f>IF(T2142="",0,IF(AND(G2142=T2142,COUNTIFS($S$6:S2142,S2142,$G$6:G2142,G2142,$D$6:D2142,"Vastgesteld")=1),1,0))</f>
        <v>0</v>
      </c>
      <c r="V2142" s="15">
        <f>IF(T2142="",0,IF(AND(G2142=T2142,COUNTIFS($S$6:S2142,S2142,$G$6:G2142,G2142,$D$6:D2142,"Vastgesteld")&gt;1),1,0))</f>
        <v>0</v>
      </c>
    </row>
    <row r="2143">
      <c r="S2143" s="15" t="str">
        <f>IF(J2143="","",J2143&amp;"|"&amp;E2143&amp;"|"&amp;F2143&amp;"|"&amp;I2143&amp;"|"&amp;O2143)</f>
        <v/>
      </c>
      <c r="T2143" s="15" t="str">
        <f>IF(OR(S2143="",D2143&lt;&gt;"Vastgesteld"),"",_xlfn.MAXIFS($G$6:$G$5005,$S$6:$S$5005,S2143,$D$6:$D$5005,"Vastgesteld"))</f>
        <v/>
      </c>
      <c r="U2143" s="15">
        <f>IF(T2143="",0,IF(AND(G2143=T2143,COUNTIFS($S$6:S2143,S2143,$G$6:G2143,G2143,$D$6:D2143,"Vastgesteld")=1),1,0))</f>
        <v>0</v>
      </c>
      <c r="V2143" s="15">
        <f>IF(T2143="",0,IF(AND(G2143=T2143,COUNTIFS($S$6:S2143,S2143,$G$6:G2143,G2143,$D$6:D2143,"Vastgesteld")&gt;1),1,0))</f>
        <v>0</v>
      </c>
    </row>
    <row r="2144">
      <c r="S2144" s="15" t="str">
        <f>IF(J2144="","",J2144&amp;"|"&amp;E2144&amp;"|"&amp;F2144&amp;"|"&amp;I2144&amp;"|"&amp;O2144)</f>
        <v/>
      </c>
      <c r="T2144" s="15" t="str">
        <f>IF(OR(S2144="",D2144&lt;&gt;"Vastgesteld"),"",_xlfn.MAXIFS($G$6:$G$5005,$S$6:$S$5005,S2144,$D$6:$D$5005,"Vastgesteld"))</f>
        <v/>
      </c>
      <c r="U2144" s="15">
        <f>IF(T2144="",0,IF(AND(G2144=T2144,COUNTIFS($S$6:S2144,S2144,$G$6:G2144,G2144,$D$6:D2144,"Vastgesteld")=1),1,0))</f>
        <v>0</v>
      </c>
      <c r="V2144" s="15">
        <f>IF(T2144="",0,IF(AND(G2144=T2144,COUNTIFS($S$6:S2144,S2144,$G$6:G2144,G2144,$D$6:D2144,"Vastgesteld")&gt;1),1,0))</f>
        <v>0</v>
      </c>
    </row>
    <row r="2145">
      <c r="S2145" s="15" t="str">
        <f>IF(J2145="","",J2145&amp;"|"&amp;E2145&amp;"|"&amp;F2145&amp;"|"&amp;I2145&amp;"|"&amp;O2145)</f>
        <v/>
      </c>
      <c r="T2145" s="15" t="str">
        <f>IF(OR(S2145="",D2145&lt;&gt;"Vastgesteld"),"",_xlfn.MAXIFS($G$6:$G$5005,$S$6:$S$5005,S2145,$D$6:$D$5005,"Vastgesteld"))</f>
        <v/>
      </c>
      <c r="U2145" s="15">
        <f>IF(T2145="",0,IF(AND(G2145=T2145,COUNTIFS($S$6:S2145,S2145,$G$6:G2145,G2145,$D$6:D2145,"Vastgesteld")=1),1,0))</f>
        <v>0</v>
      </c>
      <c r="V2145" s="15">
        <f>IF(T2145="",0,IF(AND(G2145=T2145,COUNTIFS($S$6:S2145,S2145,$G$6:G2145,G2145,$D$6:D2145,"Vastgesteld")&gt;1),1,0))</f>
        <v>0</v>
      </c>
    </row>
    <row r="2146">
      <c r="S2146" s="15" t="str">
        <f>IF(J2146="","",J2146&amp;"|"&amp;E2146&amp;"|"&amp;F2146&amp;"|"&amp;I2146&amp;"|"&amp;O2146)</f>
        <v/>
      </c>
      <c r="T2146" s="15" t="str">
        <f>IF(OR(S2146="",D2146&lt;&gt;"Vastgesteld"),"",_xlfn.MAXIFS($G$6:$G$5005,$S$6:$S$5005,S2146,$D$6:$D$5005,"Vastgesteld"))</f>
        <v/>
      </c>
      <c r="U2146" s="15">
        <f>IF(T2146="",0,IF(AND(G2146=T2146,COUNTIFS($S$6:S2146,S2146,$G$6:G2146,G2146,$D$6:D2146,"Vastgesteld")=1),1,0))</f>
        <v>0</v>
      </c>
      <c r="V2146" s="15">
        <f>IF(T2146="",0,IF(AND(G2146=T2146,COUNTIFS($S$6:S2146,S2146,$G$6:G2146,G2146,$D$6:D2146,"Vastgesteld")&gt;1),1,0))</f>
        <v>0</v>
      </c>
    </row>
    <row r="2147">
      <c r="S2147" s="15" t="str">
        <f>IF(J2147="","",J2147&amp;"|"&amp;E2147&amp;"|"&amp;F2147&amp;"|"&amp;I2147&amp;"|"&amp;O2147)</f>
        <v/>
      </c>
      <c r="T2147" s="15" t="str">
        <f>IF(OR(S2147="",D2147&lt;&gt;"Vastgesteld"),"",_xlfn.MAXIFS($G$6:$G$5005,$S$6:$S$5005,S2147,$D$6:$D$5005,"Vastgesteld"))</f>
        <v/>
      </c>
      <c r="U2147" s="15">
        <f>IF(T2147="",0,IF(AND(G2147=T2147,COUNTIFS($S$6:S2147,S2147,$G$6:G2147,G2147,$D$6:D2147,"Vastgesteld")=1),1,0))</f>
        <v>0</v>
      </c>
      <c r="V2147" s="15">
        <f>IF(T2147="",0,IF(AND(G2147=T2147,COUNTIFS($S$6:S2147,S2147,$G$6:G2147,G2147,$D$6:D2147,"Vastgesteld")&gt;1),1,0))</f>
        <v>0</v>
      </c>
    </row>
    <row r="2148">
      <c r="S2148" s="15" t="str">
        <f>IF(J2148="","",J2148&amp;"|"&amp;E2148&amp;"|"&amp;F2148&amp;"|"&amp;I2148&amp;"|"&amp;O2148)</f>
        <v/>
      </c>
      <c r="T2148" s="15" t="str">
        <f>IF(OR(S2148="",D2148&lt;&gt;"Vastgesteld"),"",_xlfn.MAXIFS($G$6:$G$5005,$S$6:$S$5005,S2148,$D$6:$D$5005,"Vastgesteld"))</f>
        <v/>
      </c>
      <c r="U2148" s="15">
        <f>IF(T2148="",0,IF(AND(G2148=T2148,COUNTIFS($S$6:S2148,S2148,$G$6:G2148,G2148,$D$6:D2148,"Vastgesteld")=1),1,0))</f>
        <v>0</v>
      </c>
      <c r="V2148" s="15">
        <f>IF(T2148="",0,IF(AND(G2148=T2148,COUNTIFS($S$6:S2148,S2148,$G$6:G2148,G2148,$D$6:D2148,"Vastgesteld")&gt;1),1,0))</f>
        <v>0</v>
      </c>
    </row>
    <row r="2149">
      <c r="S2149" s="15" t="str">
        <f>IF(J2149="","",J2149&amp;"|"&amp;E2149&amp;"|"&amp;F2149&amp;"|"&amp;I2149&amp;"|"&amp;O2149)</f>
        <v/>
      </c>
      <c r="T2149" s="15" t="str">
        <f>IF(OR(S2149="",D2149&lt;&gt;"Vastgesteld"),"",_xlfn.MAXIFS($G$6:$G$5005,$S$6:$S$5005,S2149,$D$6:$D$5005,"Vastgesteld"))</f>
        <v/>
      </c>
      <c r="U2149" s="15">
        <f>IF(T2149="",0,IF(AND(G2149=T2149,COUNTIFS($S$6:S2149,S2149,$G$6:G2149,G2149,$D$6:D2149,"Vastgesteld")=1),1,0))</f>
        <v>0</v>
      </c>
      <c r="V2149" s="15">
        <f>IF(T2149="",0,IF(AND(G2149=T2149,COUNTIFS($S$6:S2149,S2149,$G$6:G2149,G2149,$D$6:D2149,"Vastgesteld")&gt;1),1,0))</f>
        <v>0</v>
      </c>
    </row>
    <row r="2150">
      <c r="S2150" s="15" t="str">
        <f>IF(J2150="","",J2150&amp;"|"&amp;E2150&amp;"|"&amp;F2150&amp;"|"&amp;I2150&amp;"|"&amp;O2150)</f>
        <v/>
      </c>
      <c r="T2150" s="15" t="str">
        <f>IF(OR(S2150="",D2150&lt;&gt;"Vastgesteld"),"",_xlfn.MAXIFS($G$6:$G$5005,$S$6:$S$5005,S2150,$D$6:$D$5005,"Vastgesteld"))</f>
        <v/>
      </c>
      <c r="U2150" s="15">
        <f>IF(T2150="",0,IF(AND(G2150=T2150,COUNTIFS($S$6:S2150,S2150,$G$6:G2150,G2150,$D$6:D2150,"Vastgesteld")=1),1,0))</f>
        <v>0</v>
      </c>
      <c r="V2150" s="15">
        <f>IF(T2150="",0,IF(AND(G2150=T2150,COUNTIFS($S$6:S2150,S2150,$G$6:G2150,G2150,$D$6:D2150,"Vastgesteld")&gt;1),1,0))</f>
        <v>0</v>
      </c>
    </row>
    <row r="2151">
      <c r="S2151" s="15" t="str">
        <f>IF(J2151="","",J2151&amp;"|"&amp;E2151&amp;"|"&amp;F2151&amp;"|"&amp;I2151&amp;"|"&amp;O2151)</f>
        <v/>
      </c>
      <c r="T2151" s="15" t="str">
        <f>IF(OR(S2151="",D2151&lt;&gt;"Vastgesteld"),"",_xlfn.MAXIFS($G$6:$G$5005,$S$6:$S$5005,S2151,$D$6:$D$5005,"Vastgesteld"))</f>
        <v/>
      </c>
      <c r="U2151" s="15">
        <f>IF(T2151="",0,IF(AND(G2151=T2151,COUNTIFS($S$6:S2151,S2151,$G$6:G2151,G2151,$D$6:D2151,"Vastgesteld")=1),1,0))</f>
        <v>0</v>
      </c>
      <c r="V2151" s="15">
        <f>IF(T2151="",0,IF(AND(G2151=T2151,COUNTIFS($S$6:S2151,S2151,$G$6:G2151,G2151,$D$6:D2151,"Vastgesteld")&gt;1),1,0))</f>
        <v>0</v>
      </c>
    </row>
    <row r="2152">
      <c r="S2152" s="15" t="str">
        <f>IF(J2152="","",J2152&amp;"|"&amp;E2152&amp;"|"&amp;F2152&amp;"|"&amp;I2152&amp;"|"&amp;O2152)</f>
        <v/>
      </c>
      <c r="T2152" s="15" t="str">
        <f>IF(OR(S2152="",D2152&lt;&gt;"Vastgesteld"),"",_xlfn.MAXIFS($G$6:$G$5005,$S$6:$S$5005,S2152,$D$6:$D$5005,"Vastgesteld"))</f>
        <v/>
      </c>
      <c r="U2152" s="15">
        <f>IF(T2152="",0,IF(AND(G2152=T2152,COUNTIFS($S$6:S2152,S2152,$G$6:G2152,G2152,$D$6:D2152,"Vastgesteld")=1),1,0))</f>
        <v>0</v>
      </c>
      <c r="V2152" s="15">
        <f>IF(T2152="",0,IF(AND(G2152=T2152,COUNTIFS($S$6:S2152,S2152,$G$6:G2152,G2152,$D$6:D2152,"Vastgesteld")&gt;1),1,0))</f>
        <v>0</v>
      </c>
    </row>
    <row r="2153">
      <c r="S2153" s="15" t="str">
        <f>IF(J2153="","",J2153&amp;"|"&amp;E2153&amp;"|"&amp;F2153&amp;"|"&amp;I2153&amp;"|"&amp;O2153)</f>
        <v/>
      </c>
      <c r="T2153" s="15" t="str">
        <f>IF(OR(S2153="",D2153&lt;&gt;"Vastgesteld"),"",_xlfn.MAXIFS($G$6:$G$5005,$S$6:$S$5005,S2153,$D$6:$D$5005,"Vastgesteld"))</f>
        <v/>
      </c>
      <c r="U2153" s="15">
        <f>IF(T2153="",0,IF(AND(G2153=T2153,COUNTIFS($S$6:S2153,S2153,$G$6:G2153,G2153,$D$6:D2153,"Vastgesteld")=1),1,0))</f>
        <v>0</v>
      </c>
      <c r="V2153" s="15">
        <f>IF(T2153="",0,IF(AND(G2153=T2153,COUNTIFS($S$6:S2153,S2153,$G$6:G2153,G2153,$D$6:D2153,"Vastgesteld")&gt;1),1,0))</f>
        <v>0</v>
      </c>
    </row>
    <row r="2154">
      <c r="S2154" s="15" t="str">
        <f>IF(J2154="","",J2154&amp;"|"&amp;E2154&amp;"|"&amp;F2154&amp;"|"&amp;I2154&amp;"|"&amp;O2154)</f>
        <v/>
      </c>
      <c r="T2154" s="15" t="str">
        <f>IF(OR(S2154="",D2154&lt;&gt;"Vastgesteld"),"",_xlfn.MAXIFS($G$6:$G$5005,$S$6:$S$5005,S2154,$D$6:$D$5005,"Vastgesteld"))</f>
        <v/>
      </c>
      <c r="U2154" s="15">
        <f>IF(T2154="",0,IF(AND(G2154=T2154,COUNTIFS($S$6:S2154,S2154,$G$6:G2154,G2154,$D$6:D2154,"Vastgesteld")=1),1,0))</f>
        <v>0</v>
      </c>
      <c r="V2154" s="15">
        <f>IF(T2154="",0,IF(AND(G2154=T2154,COUNTIFS($S$6:S2154,S2154,$G$6:G2154,G2154,$D$6:D2154,"Vastgesteld")&gt;1),1,0))</f>
        <v>0</v>
      </c>
    </row>
    <row r="2155">
      <c r="S2155" s="15" t="str">
        <f>IF(J2155="","",J2155&amp;"|"&amp;E2155&amp;"|"&amp;F2155&amp;"|"&amp;I2155&amp;"|"&amp;O2155)</f>
        <v/>
      </c>
      <c r="T2155" s="15" t="str">
        <f>IF(OR(S2155="",D2155&lt;&gt;"Vastgesteld"),"",_xlfn.MAXIFS($G$6:$G$5005,$S$6:$S$5005,S2155,$D$6:$D$5005,"Vastgesteld"))</f>
        <v/>
      </c>
      <c r="U2155" s="15">
        <f>IF(T2155="",0,IF(AND(G2155=T2155,COUNTIFS($S$6:S2155,S2155,$G$6:G2155,G2155,$D$6:D2155,"Vastgesteld")=1),1,0))</f>
        <v>0</v>
      </c>
      <c r="V2155" s="15">
        <f>IF(T2155="",0,IF(AND(G2155=T2155,COUNTIFS($S$6:S2155,S2155,$G$6:G2155,G2155,$D$6:D2155,"Vastgesteld")&gt;1),1,0))</f>
        <v>0</v>
      </c>
    </row>
    <row r="2156">
      <c r="S2156" s="15" t="str">
        <f>IF(J2156="","",J2156&amp;"|"&amp;E2156&amp;"|"&amp;F2156&amp;"|"&amp;I2156&amp;"|"&amp;O2156)</f>
        <v/>
      </c>
      <c r="T2156" s="15" t="str">
        <f>IF(OR(S2156="",D2156&lt;&gt;"Vastgesteld"),"",_xlfn.MAXIFS($G$6:$G$5005,$S$6:$S$5005,S2156,$D$6:$D$5005,"Vastgesteld"))</f>
        <v/>
      </c>
      <c r="U2156" s="15">
        <f>IF(T2156="",0,IF(AND(G2156=T2156,COUNTIFS($S$6:S2156,S2156,$G$6:G2156,G2156,$D$6:D2156,"Vastgesteld")=1),1,0))</f>
        <v>0</v>
      </c>
      <c r="V2156" s="15">
        <f>IF(T2156="",0,IF(AND(G2156=T2156,COUNTIFS($S$6:S2156,S2156,$G$6:G2156,G2156,$D$6:D2156,"Vastgesteld")&gt;1),1,0))</f>
        <v>0</v>
      </c>
    </row>
    <row r="2157">
      <c r="S2157" s="15" t="str">
        <f>IF(J2157="","",J2157&amp;"|"&amp;E2157&amp;"|"&amp;F2157&amp;"|"&amp;I2157&amp;"|"&amp;O2157)</f>
        <v/>
      </c>
      <c r="T2157" s="15" t="str">
        <f>IF(OR(S2157="",D2157&lt;&gt;"Vastgesteld"),"",_xlfn.MAXIFS($G$6:$G$5005,$S$6:$S$5005,S2157,$D$6:$D$5005,"Vastgesteld"))</f>
        <v/>
      </c>
      <c r="U2157" s="15">
        <f>IF(T2157="",0,IF(AND(G2157=T2157,COUNTIFS($S$6:S2157,S2157,$G$6:G2157,G2157,$D$6:D2157,"Vastgesteld")=1),1,0))</f>
        <v>0</v>
      </c>
      <c r="V2157" s="15">
        <f>IF(T2157="",0,IF(AND(G2157=T2157,COUNTIFS($S$6:S2157,S2157,$G$6:G2157,G2157,$D$6:D2157,"Vastgesteld")&gt;1),1,0))</f>
        <v>0</v>
      </c>
    </row>
    <row r="2158">
      <c r="S2158" s="15" t="str">
        <f>IF(J2158="","",J2158&amp;"|"&amp;E2158&amp;"|"&amp;F2158&amp;"|"&amp;I2158&amp;"|"&amp;O2158)</f>
        <v/>
      </c>
      <c r="T2158" s="15" t="str">
        <f>IF(OR(S2158="",D2158&lt;&gt;"Vastgesteld"),"",_xlfn.MAXIFS($G$6:$G$5005,$S$6:$S$5005,S2158,$D$6:$D$5005,"Vastgesteld"))</f>
        <v/>
      </c>
      <c r="U2158" s="15">
        <f>IF(T2158="",0,IF(AND(G2158=T2158,COUNTIFS($S$6:S2158,S2158,$G$6:G2158,G2158,$D$6:D2158,"Vastgesteld")=1),1,0))</f>
        <v>0</v>
      </c>
      <c r="V2158" s="15">
        <f>IF(T2158="",0,IF(AND(G2158=T2158,COUNTIFS($S$6:S2158,S2158,$G$6:G2158,G2158,$D$6:D2158,"Vastgesteld")&gt;1),1,0))</f>
        <v>0</v>
      </c>
    </row>
    <row r="2159">
      <c r="S2159" s="15" t="str">
        <f>IF(J2159="","",J2159&amp;"|"&amp;E2159&amp;"|"&amp;F2159&amp;"|"&amp;I2159&amp;"|"&amp;O2159)</f>
        <v/>
      </c>
      <c r="T2159" s="15" t="str">
        <f>IF(OR(S2159="",D2159&lt;&gt;"Vastgesteld"),"",_xlfn.MAXIFS($G$6:$G$5005,$S$6:$S$5005,S2159,$D$6:$D$5005,"Vastgesteld"))</f>
        <v/>
      </c>
      <c r="U2159" s="15">
        <f>IF(T2159="",0,IF(AND(G2159=T2159,COUNTIFS($S$6:S2159,S2159,$G$6:G2159,G2159,$D$6:D2159,"Vastgesteld")=1),1,0))</f>
        <v>0</v>
      </c>
      <c r="V2159" s="15">
        <f>IF(T2159="",0,IF(AND(G2159=T2159,COUNTIFS($S$6:S2159,S2159,$G$6:G2159,G2159,$D$6:D2159,"Vastgesteld")&gt;1),1,0))</f>
        <v>0</v>
      </c>
    </row>
    <row r="2160">
      <c r="S2160" s="15" t="str">
        <f>IF(J2160="","",J2160&amp;"|"&amp;E2160&amp;"|"&amp;F2160&amp;"|"&amp;I2160&amp;"|"&amp;O2160)</f>
        <v/>
      </c>
      <c r="T2160" s="15" t="str">
        <f>IF(OR(S2160="",D2160&lt;&gt;"Vastgesteld"),"",_xlfn.MAXIFS($G$6:$G$5005,$S$6:$S$5005,S2160,$D$6:$D$5005,"Vastgesteld"))</f>
        <v/>
      </c>
      <c r="U2160" s="15">
        <f>IF(T2160="",0,IF(AND(G2160=T2160,COUNTIFS($S$6:S2160,S2160,$G$6:G2160,G2160,$D$6:D2160,"Vastgesteld")=1),1,0))</f>
        <v>0</v>
      </c>
      <c r="V2160" s="15">
        <f>IF(T2160="",0,IF(AND(G2160=T2160,COUNTIFS($S$6:S2160,S2160,$G$6:G2160,G2160,$D$6:D2160,"Vastgesteld")&gt;1),1,0))</f>
        <v>0</v>
      </c>
    </row>
    <row r="2161">
      <c r="S2161" s="15" t="str">
        <f>IF(J2161="","",J2161&amp;"|"&amp;E2161&amp;"|"&amp;F2161&amp;"|"&amp;I2161&amp;"|"&amp;O2161)</f>
        <v/>
      </c>
      <c r="T2161" s="15" t="str">
        <f>IF(OR(S2161="",D2161&lt;&gt;"Vastgesteld"),"",_xlfn.MAXIFS($G$6:$G$5005,$S$6:$S$5005,S2161,$D$6:$D$5005,"Vastgesteld"))</f>
        <v/>
      </c>
      <c r="U2161" s="15">
        <f>IF(T2161="",0,IF(AND(G2161=T2161,COUNTIFS($S$6:S2161,S2161,$G$6:G2161,G2161,$D$6:D2161,"Vastgesteld")=1),1,0))</f>
        <v>0</v>
      </c>
      <c r="V2161" s="15">
        <f>IF(T2161="",0,IF(AND(G2161=T2161,COUNTIFS($S$6:S2161,S2161,$G$6:G2161,G2161,$D$6:D2161,"Vastgesteld")&gt;1),1,0))</f>
        <v>0</v>
      </c>
    </row>
    <row r="2162">
      <c r="S2162" s="15" t="str">
        <f>IF(J2162="","",J2162&amp;"|"&amp;E2162&amp;"|"&amp;F2162&amp;"|"&amp;I2162&amp;"|"&amp;O2162)</f>
        <v/>
      </c>
      <c r="T2162" s="15" t="str">
        <f>IF(OR(S2162="",D2162&lt;&gt;"Vastgesteld"),"",_xlfn.MAXIFS($G$6:$G$5005,$S$6:$S$5005,S2162,$D$6:$D$5005,"Vastgesteld"))</f>
        <v/>
      </c>
      <c r="U2162" s="15">
        <f>IF(T2162="",0,IF(AND(G2162=T2162,COUNTIFS($S$6:S2162,S2162,$G$6:G2162,G2162,$D$6:D2162,"Vastgesteld")=1),1,0))</f>
        <v>0</v>
      </c>
      <c r="V2162" s="15">
        <f>IF(T2162="",0,IF(AND(G2162=T2162,COUNTIFS($S$6:S2162,S2162,$G$6:G2162,G2162,$D$6:D2162,"Vastgesteld")&gt;1),1,0))</f>
        <v>0</v>
      </c>
    </row>
    <row r="2163">
      <c r="S2163" s="15" t="str">
        <f>IF(J2163="","",J2163&amp;"|"&amp;E2163&amp;"|"&amp;F2163&amp;"|"&amp;I2163&amp;"|"&amp;O2163)</f>
        <v/>
      </c>
      <c r="T2163" s="15" t="str">
        <f>IF(OR(S2163="",D2163&lt;&gt;"Vastgesteld"),"",_xlfn.MAXIFS($G$6:$G$5005,$S$6:$S$5005,S2163,$D$6:$D$5005,"Vastgesteld"))</f>
        <v/>
      </c>
      <c r="U2163" s="15">
        <f>IF(T2163="",0,IF(AND(G2163=T2163,COUNTIFS($S$6:S2163,S2163,$G$6:G2163,G2163,$D$6:D2163,"Vastgesteld")=1),1,0))</f>
        <v>0</v>
      </c>
      <c r="V2163" s="15">
        <f>IF(T2163="",0,IF(AND(G2163=T2163,COUNTIFS($S$6:S2163,S2163,$G$6:G2163,G2163,$D$6:D2163,"Vastgesteld")&gt;1),1,0))</f>
        <v>0</v>
      </c>
    </row>
    <row r="2164">
      <c r="S2164" s="15" t="str">
        <f>IF(J2164="","",J2164&amp;"|"&amp;E2164&amp;"|"&amp;F2164&amp;"|"&amp;I2164&amp;"|"&amp;O2164)</f>
        <v/>
      </c>
      <c r="T2164" s="15" t="str">
        <f>IF(OR(S2164="",D2164&lt;&gt;"Vastgesteld"),"",_xlfn.MAXIFS($G$6:$G$5005,$S$6:$S$5005,S2164,$D$6:$D$5005,"Vastgesteld"))</f>
        <v/>
      </c>
      <c r="U2164" s="15">
        <f>IF(T2164="",0,IF(AND(G2164=T2164,COUNTIFS($S$6:S2164,S2164,$G$6:G2164,G2164,$D$6:D2164,"Vastgesteld")=1),1,0))</f>
        <v>0</v>
      </c>
      <c r="V2164" s="15">
        <f>IF(T2164="",0,IF(AND(G2164=T2164,COUNTIFS($S$6:S2164,S2164,$G$6:G2164,G2164,$D$6:D2164,"Vastgesteld")&gt;1),1,0))</f>
        <v>0</v>
      </c>
    </row>
    <row r="2165">
      <c r="S2165" s="15" t="str">
        <f>IF(J2165="","",J2165&amp;"|"&amp;E2165&amp;"|"&amp;F2165&amp;"|"&amp;I2165&amp;"|"&amp;O2165)</f>
        <v/>
      </c>
      <c r="T2165" s="15" t="str">
        <f>IF(OR(S2165="",D2165&lt;&gt;"Vastgesteld"),"",_xlfn.MAXIFS($G$6:$G$5005,$S$6:$S$5005,S2165,$D$6:$D$5005,"Vastgesteld"))</f>
        <v/>
      </c>
      <c r="U2165" s="15">
        <f>IF(T2165="",0,IF(AND(G2165=T2165,COUNTIFS($S$6:S2165,S2165,$G$6:G2165,G2165,$D$6:D2165,"Vastgesteld")=1),1,0))</f>
        <v>0</v>
      </c>
      <c r="V2165" s="15">
        <f>IF(T2165="",0,IF(AND(G2165=T2165,COUNTIFS($S$6:S2165,S2165,$G$6:G2165,G2165,$D$6:D2165,"Vastgesteld")&gt;1),1,0))</f>
        <v>0</v>
      </c>
    </row>
    <row r="2166">
      <c r="S2166" s="15" t="str">
        <f>IF(J2166="","",J2166&amp;"|"&amp;E2166&amp;"|"&amp;F2166&amp;"|"&amp;I2166&amp;"|"&amp;O2166)</f>
        <v/>
      </c>
      <c r="T2166" s="15" t="str">
        <f>IF(OR(S2166="",D2166&lt;&gt;"Vastgesteld"),"",_xlfn.MAXIFS($G$6:$G$5005,$S$6:$S$5005,S2166,$D$6:$D$5005,"Vastgesteld"))</f>
        <v/>
      </c>
      <c r="U2166" s="15">
        <f>IF(T2166="",0,IF(AND(G2166=T2166,COUNTIFS($S$6:S2166,S2166,$G$6:G2166,G2166,$D$6:D2166,"Vastgesteld")=1),1,0))</f>
        <v>0</v>
      </c>
      <c r="V2166" s="15">
        <f>IF(T2166="",0,IF(AND(G2166=T2166,COUNTIFS($S$6:S2166,S2166,$G$6:G2166,G2166,$D$6:D2166,"Vastgesteld")&gt;1),1,0))</f>
        <v>0</v>
      </c>
    </row>
    <row r="2167">
      <c r="S2167" s="15" t="str">
        <f>IF(J2167="","",J2167&amp;"|"&amp;E2167&amp;"|"&amp;F2167&amp;"|"&amp;I2167&amp;"|"&amp;O2167)</f>
        <v/>
      </c>
      <c r="T2167" s="15" t="str">
        <f>IF(OR(S2167="",D2167&lt;&gt;"Vastgesteld"),"",_xlfn.MAXIFS($G$6:$G$5005,$S$6:$S$5005,S2167,$D$6:$D$5005,"Vastgesteld"))</f>
        <v/>
      </c>
      <c r="U2167" s="15">
        <f>IF(T2167="",0,IF(AND(G2167=T2167,COUNTIFS($S$6:S2167,S2167,$G$6:G2167,G2167,$D$6:D2167,"Vastgesteld")=1),1,0))</f>
        <v>0</v>
      </c>
      <c r="V2167" s="15">
        <f>IF(T2167="",0,IF(AND(G2167=T2167,COUNTIFS($S$6:S2167,S2167,$G$6:G2167,G2167,$D$6:D2167,"Vastgesteld")&gt;1),1,0))</f>
        <v>0</v>
      </c>
    </row>
    <row r="2168">
      <c r="S2168" s="15" t="str">
        <f>IF(J2168="","",J2168&amp;"|"&amp;E2168&amp;"|"&amp;F2168&amp;"|"&amp;I2168&amp;"|"&amp;O2168)</f>
        <v/>
      </c>
      <c r="T2168" s="15" t="str">
        <f>IF(OR(S2168="",D2168&lt;&gt;"Vastgesteld"),"",_xlfn.MAXIFS($G$6:$G$5005,$S$6:$S$5005,S2168,$D$6:$D$5005,"Vastgesteld"))</f>
        <v/>
      </c>
      <c r="U2168" s="15">
        <f>IF(T2168="",0,IF(AND(G2168=T2168,COUNTIFS($S$6:S2168,S2168,$G$6:G2168,G2168,$D$6:D2168,"Vastgesteld")=1),1,0))</f>
        <v>0</v>
      </c>
      <c r="V2168" s="15">
        <f>IF(T2168="",0,IF(AND(G2168=T2168,COUNTIFS($S$6:S2168,S2168,$G$6:G2168,G2168,$D$6:D2168,"Vastgesteld")&gt;1),1,0))</f>
        <v>0</v>
      </c>
    </row>
    <row r="2169">
      <c r="S2169" s="15" t="str">
        <f>IF(J2169="","",J2169&amp;"|"&amp;E2169&amp;"|"&amp;F2169&amp;"|"&amp;I2169&amp;"|"&amp;O2169)</f>
        <v/>
      </c>
      <c r="T2169" s="15" t="str">
        <f>IF(OR(S2169="",D2169&lt;&gt;"Vastgesteld"),"",_xlfn.MAXIFS($G$6:$G$5005,$S$6:$S$5005,S2169,$D$6:$D$5005,"Vastgesteld"))</f>
        <v/>
      </c>
      <c r="U2169" s="15">
        <f>IF(T2169="",0,IF(AND(G2169=T2169,COUNTIFS($S$6:S2169,S2169,$G$6:G2169,G2169,$D$6:D2169,"Vastgesteld")=1),1,0))</f>
        <v>0</v>
      </c>
      <c r="V2169" s="15">
        <f>IF(T2169="",0,IF(AND(G2169=T2169,COUNTIFS($S$6:S2169,S2169,$G$6:G2169,G2169,$D$6:D2169,"Vastgesteld")&gt;1),1,0))</f>
        <v>0</v>
      </c>
    </row>
    <row r="2170">
      <c r="S2170" s="15" t="str">
        <f>IF(J2170="","",J2170&amp;"|"&amp;E2170&amp;"|"&amp;F2170&amp;"|"&amp;I2170&amp;"|"&amp;O2170)</f>
        <v/>
      </c>
      <c r="T2170" s="15" t="str">
        <f>IF(OR(S2170="",D2170&lt;&gt;"Vastgesteld"),"",_xlfn.MAXIFS($G$6:$G$5005,$S$6:$S$5005,S2170,$D$6:$D$5005,"Vastgesteld"))</f>
        <v/>
      </c>
      <c r="U2170" s="15">
        <f>IF(T2170="",0,IF(AND(G2170=T2170,COUNTIFS($S$6:S2170,S2170,$G$6:G2170,G2170,$D$6:D2170,"Vastgesteld")=1),1,0))</f>
        <v>0</v>
      </c>
      <c r="V2170" s="15">
        <f>IF(T2170="",0,IF(AND(G2170=T2170,COUNTIFS($S$6:S2170,S2170,$G$6:G2170,G2170,$D$6:D2170,"Vastgesteld")&gt;1),1,0))</f>
        <v>0</v>
      </c>
    </row>
    <row r="2171">
      <c r="S2171" s="15" t="str">
        <f>IF(J2171="","",J2171&amp;"|"&amp;E2171&amp;"|"&amp;F2171&amp;"|"&amp;I2171&amp;"|"&amp;O2171)</f>
        <v/>
      </c>
      <c r="T2171" s="15" t="str">
        <f>IF(OR(S2171="",D2171&lt;&gt;"Vastgesteld"),"",_xlfn.MAXIFS($G$6:$G$5005,$S$6:$S$5005,S2171,$D$6:$D$5005,"Vastgesteld"))</f>
        <v/>
      </c>
      <c r="U2171" s="15">
        <f>IF(T2171="",0,IF(AND(G2171=T2171,COUNTIFS($S$6:S2171,S2171,$G$6:G2171,G2171,$D$6:D2171,"Vastgesteld")=1),1,0))</f>
        <v>0</v>
      </c>
      <c r="V2171" s="15">
        <f>IF(T2171="",0,IF(AND(G2171=T2171,COUNTIFS($S$6:S2171,S2171,$G$6:G2171,G2171,$D$6:D2171,"Vastgesteld")&gt;1),1,0))</f>
        <v>0</v>
      </c>
    </row>
    <row r="2172">
      <c r="S2172" s="15" t="str">
        <f>IF(J2172="","",J2172&amp;"|"&amp;E2172&amp;"|"&amp;F2172&amp;"|"&amp;I2172&amp;"|"&amp;O2172)</f>
        <v/>
      </c>
      <c r="T2172" s="15" t="str">
        <f>IF(OR(S2172="",D2172&lt;&gt;"Vastgesteld"),"",_xlfn.MAXIFS($G$6:$G$5005,$S$6:$S$5005,S2172,$D$6:$D$5005,"Vastgesteld"))</f>
        <v/>
      </c>
      <c r="U2172" s="15">
        <f>IF(T2172="",0,IF(AND(G2172=T2172,COUNTIFS($S$6:S2172,S2172,$G$6:G2172,G2172,$D$6:D2172,"Vastgesteld")=1),1,0))</f>
        <v>0</v>
      </c>
      <c r="V2172" s="15">
        <f>IF(T2172="",0,IF(AND(G2172=T2172,COUNTIFS($S$6:S2172,S2172,$G$6:G2172,G2172,$D$6:D2172,"Vastgesteld")&gt;1),1,0))</f>
        <v>0</v>
      </c>
    </row>
    <row r="2173">
      <c r="S2173" s="15" t="str">
        <f>IF(J2173="","",J2173&amp;"|"&amp;E2173&amp;"|"&amp;F2173&amp;"|"&amp;I2173&amp;"|"&amp;O2173)</f>
        <v/>
      </c>
      <c r="T2173" s="15" t="str">
        <f>IF(OR(S2173="",D2173&lt;&gt;"Vastgesteld"),"",_xlfn.MAXIFS($G$6:$G$5005,$S$6:$S$5005,S2173,$D$6:$D$5005,"Vastgesteld"))</f>
        <v/>
      </c>
      <c r="U2173" s="15">
        <f>IF(T2173="",0,IF(AND(G2173=T2173,COUNTIFS($S$6:S2173,S2173,$G$6:G2173,G2173,$D$6:D2173,"Vastgesteld")=1),1,0))</f>
        <v>0</v>
      </c>
      <c r="V2173" s="15">
        <f>IF(T2173="",0,IF(AND(G2173=T2173,COUNTIFS($S$6:S2173,S2173,$G$6:G2173,G2173,$D$6:D2173,"Vastgesteld")&gt;1),1,0))</f>
        <v>0</v>
      </c>
    </row>
    <row r="2174">
      <c r="S2174" s="15" t="str">
        <f>IF(J2174="","",J2174&amp;"|"&amp;E2174&amp;"|"&amp;F2174&amp;"|"&amp;I2174&amp;"|"&amp;O2174)</f>
        <v/>
      </c>
      <c r="T2174" s="15" t="str">
        <f>IF(OR(S2174="",D2174&lt;&gt;"Vastgesteld"),"",_xlfn.MAXIFS($G$6:$G$5005,$S$6:$S$5005,S2174,$D$6:$D$5005,"Vastgesteld"))</f>
        <v/>
      </c>
      <c r="U2174" s="15">
        <f>IF(T2174="",0,IF(AND(G2174=T2174,COUNTIFS($S$6:S2174,S2174,$G$6:G2174,G2174,$D$6:D2174,"Vastgesteld")=1),1,0))</f>
        <v>0</v>
      </c>
      <c r="V2174" s="15">
        <f>IF(T2174="",0,IF(AND(G2174=T2174,COUNTIFS($S$6:S2174,S2174,$G$6:G2174,G2174,$D$6:D2174,"Vastgesteld")&gt;1),1,0))</f>
        <v>0</v>
      </c>
    </row>
    <row r="2175">
      <c r="S2175" s="15" t="str">
        <f>IF(J2175="","",J2175&amp;"|"&amp;E2175&amp;"|"&amp;F2175&amp;"|"&amp;I2175&amp;"|"&amp;O2175)</f>
        <v/>
      </c>
      <c r="T2175" s="15" t="str">
        <f>IF(OR(S2175="",D2175&lt;&gt;"Vastgesteld"),"",_xlfn.MAXIFS($G$6:$G$5005,$S$6:$S$5005,S2175,$D$6:$D$5005,"Vastgesteld"))</f>
        <v/>
      </c>
      <c r="U2175" s="15">
        <f>IF(T2175="",0,IF(AND(G2175=T2175,COUNTIFS($S$6:S2175,S2175,$G$6:G2175,G2175,$D$6:D2175,"Vastgesteld")=1),1,0))</f>
        <v>0</v>
      </c>
      <c r="V2175" s="15">
        <f>IF(T2175="",0,IF(AND(G2175=T2175,COUNTIFS($S$6:S2175,S2175,$G$6:G2175,G2175,$D$6:D2175,"Vastgesteld")&gt;1),1,0))</f>
        <v>0</v>
      </c>
    </row>
    <row r="2176">
      <c r="S2176" s="15" t="str">
        <f>IF(J2176="","",J2176&amp;"|"&amp;E2176&amp;"|"&amp;F2176&amp;"|"&amp;I2176&amp;"|"&amp;O2176)</f>
        <v/>
      </c>
      <c r="T2176" s="15" t="str">
        <f>IF(OR(S2176="",D2176&lt;&gt;"Vastgesteld"),"",_xlfn.MAXIFS($G$6:$G$5005,$S$6:$S$5005,S2176,$D$6:$D$5005,"Vastgesteld"))</f>
        <v/>
      </c>
      <c r="U2176" s="15">
        <f>IF(T2176="",0,IF(AND(G2176=T2176,COUNTIFS($S$6:S2176,S2176,$G$6:G2176,G2176,$D$6:D2176,"Vastgesteld")=1),1,0))</f>
        <v>0</v>
      </c>
      <c r="V2176" s="15">
        <f>IF(T2176="",0,IF(AND(G2176=T2176,COUNTIFS($S$6:S2176,S2176,$G$6:G2176,G2176,$D$6:D2176,"Vastgesteld")&gt;1),1,0))</f>
        <v>0</v>
      </c>
    </row>
    <row r="2177">
      <c r="S2177" s="15" t="str">
        <f>IF(J2177="","",J2177&amp;"|"&amp;E2177&amp;"|"&amp;F2177&amp;"|"&amp;I2177&amp;"|"&amp;O2177)</f>
        <v/>
      </c>
      <c r="T2177" s="15" t="str">
        <f>IF(OR(S2177="",D2177&lt;&gt;"Vastgesteld"),"",_xlfn.MAXIFS($G$6:$G$5005,$S$6:$S$5005,S2177,$D$6:$D$5005,"Vastgesteld"))</f>
        <v/>
      </c>
      <c r="U2177" s="15">
        <f>IF(T2177="",0,IF(AND(G2177=T2177,COUNTIFS($S$6:S2177,S2177,$G$6:G2177,G2177,$D$6:D2177,"Vastgesteld")=1),1,0))</f>
        <v>0</v>
      </c>
      <c r="V2177" s="15">
        <f>IF(T2177="",0,IF(AND(G2177=T2177,COUNTIFS($S$6:S2177,S2177,$G$6:G2177,G2177,$D$6:D2177,"Vastgesteld")&gt;1),1,0))</f>
        <v>0</v>
      </c>
    </row>
    <row r="2178">
      <c r="S2178" s="15" t="str">
        <f>IF(J2178="","",J2178&amp;"|"&amp;E2178&amp;"|"&amp;F2178&amp;"|"&amp;I2178&amp;"|"&amp;O2178)</f>
        <v/>
      </c>
      <c r="T2178" s="15" t="str">
        <f>IF(OR(S2178="",D2178&lt;&gt;"Vastgesteld"),"",_xlfn.MAXIFS($G$6:$G$5005,$S$6:$S$5005,S2178,$D$6:$D$5005,"Vastgesteld"))</f>
        <v/>
      </c>
      <c r="U2178" s="15">
        <f>IF(T2178="",0,IF(AND(G2178=T2178,COUNTIFS($S$6:S2178,S2178,$G$6:G2178,G2178,$D$6:D2178,"Vastgesteld")=1),1,0))</f>
        <v>0</v>
      </c>
      <c r="V2178" s="15">
        <f>IF(T2178="",0,IF(AND(G2178=T2178,COUNTIFS($S$6:S2178,S2178,$G$6:G2178,G2178,$D$6:D2178,"Vastgesteld")&gt;1),1,0))</f>
        <v>0</v>
      </c>
    </row>
    <row r="2179">
      <c r="S2179" s="15" t="str">
        <f>IF(J2179="","",J2179&amp;"|"&amp;E2179&amp;"|"&amp;F2179&amp;"|"&amp;I2179&amp;"|"&amp;O2179)</f>
        <v/>
      </c>
      <c r="T2179" s="15" t="str">
        <f>IF(OR(S2179="",D2179&lt;&gt;"Vastgesteld"),"",_xlfn.MAXIFS($G$6:$G$5005,$S$6:$S$5005,S2179,$D$6:$D$5005,"Vastgesteld"))</f>
        <v/>
      </c>
      <c r="U2179" s="15">
        <f>IF(T2179="",0,IF(AND(G2179=T2179,COUNTIFS($S$6:S2179,S2179,$G$6:G2179,G2179,$D$6:D2179,"Vastgesteld")=1),1,0))</f>
        <v>0</v>
      </c>
      <c r="V2179" s="15">
        <f>IF(T2179="",0,IF(AND(G2179=T2179,COUNTIFS($S$6:S2179,S2179,$G$6:G2179,G2179,$D$6:D2179,"Vastgesteld")&gt;1),1,0))</f>
        <v>0</v>
      </c>
    </row>
    <row r="2180">
      <c r="S2180" s="15" t="str">
        <f>IF(J2180="","",J2180&amp;"|"&amp;E2180&amp;"|"&amp;F2180&amp;"|"&amp;I2180&amp;"|"&amp;O2180)</f>
        <v/>
      </c>
      <c r="T2180" s="15" t="str">
        <f>IF(OR(S2180="",D2180&lt;&gt;"Vastgesteld"),"",_xlfn.MAXIFS($G$6:$G$5005,$S$6:$S$5005,S2180,$D$6:$D$5005,"Vastgesteld"))</f>
        <v/>
      </c>
      <c r="U2180" s="15">
        <f>IF(T2180="",0,IF(AND(G2180=T2180,COUNTIFS($S$6:S2180,S2180,$G$6:G2180,G2180,$D$6:D2180,"Vastgesteld")=1),1,0))</f>
        <v>0</v>
      </c>
      <c r="V2180" s="15">
        <f>IF(T2180="",0,IF(AND(G2180=T2180,COUNTIFS($S$6:S2180,S2180,$G$6:G2180,G2180,$D$6:D2180,"Vastgesteld")&gt;1),1,0))</f>
        <v>0</v>
      </c>
    </row>
    <row r="2181">
      <c r="S2181" s="15" t="str">
        <f>IF(J2181="","",J2181&amp;"|"&amp;E2181&amp;"|"&amp;F2181&amp;"|"&amp;I2181&amp;"|"&amp;O2181)</f>
        <v/>
      </c>
      <c r="T2181" s="15" t="str">
        <f>IF(OR(S2181="",D2181&lt;&gt;"Vastgesteld"),"",_xlfn.MAXIFS($G$6:$G$5005,$S$6:$S$5005,S2181,$D$6:$D$5005,"Vastgesteld"))</f>
        <v/>
      </c>
      <c r="U2181" s="15">
        <f>IF(T2181="",0,IF(AND(G2181=T2181,COUNTIFS($S$6:S2181,S2181,$G$6:G2181,G2181,$D$6:D2181,"Vastgesteld")=1),1,0))</f>
        <v>0</v>
      </c>
      <c r="V2181" s="15">
        <f>IF(T2181="",0,IF(AND(G2181=T2181,COUNTIFS($S$6:S2181,S2181,$G$6:G2181,G2181,$D$6:D2181,"Vastgesteld")&gt;1),1,0))</f>
        <v>0</v>
      </c>
    </row>
    <row r="2182">
      <c r="S2182" s="15" t="str">
        <f>IF(J2182="","",J2182&amp;"|"&amp;E2182&amp;"|"&amp;F2182&amp;"|"&amp;I2182&amp;"|"&amp;O2182)</f>
        <v/>
      </c>
      <c r="T2182" s="15" t="str">
        <f>IF(OR(S2182="",D2182&lt;&gt;"Vastgesteld"),"",_xlfn.MAXIFS($G$6:$G$5005,$S$6:$S$5005,S2182,$D$6:$D$5005,"Vastgesteld"))</f>
        <v/>
      </c>
      <c r="U2182" s="15">
        <f>IF(T2182="",0,IF(AND(G2182=T2182,COUNTIFS($S$6:S2182,S2182,$G$6:G2182,G2182,$D$6:D2182,"Vastgesteld")=1),1,0))</f>
        <v>0</v>
      </c>
      <c r="V2182" s="15">
        <f>IF(T2182="",0,IF(AND(G2182=T2182,COUNTIFS($S$6:S2182,S2182,$G$6:G2182,G2182,$D$6:D2182,"Vastgesteld")&gt;1),1,0))</f>
        <v>0</v>
      </c>
    </row>
    <row r="2183">
      <c r="S2183" s="15" t="str">
        <f>IF(J2183="","",J2183&amp;"|"&amp;E2183&amp;"|"&amp;F2183&amp;"|"&amp;I2183&amp;"|"&amp;O2183)</f>
        <v/>
      </c>
      <c r="T2183" s="15" t="str">
        <f>IF(OR(S2183="",D2183&lt;&gt;"Vastgesteld"),"",_xlfn.MAXIFS($G$6:$G$5005,$S$6:$S$5005,S2183,$D$6:$D$5005,"Vastgesteld"))</f>
        <v/>
      </c>
      <c r="U2183" s="15">
        <f>IF(T2183="",0,IF(AND(G2183=T2183,COUNTIFS($S$6:S2183,S2183,$G$6:G2183,G2183,$D$6:D2183,"Vastgesteld")=1),1,0))</f>
        <v>0</v>
      </c>
      <c r="V2183" s="15">
        <f>IF(T2183="",0,IF(AND(G2183=T2183,COUNTIFS($S$6:S2183,S2183,$G$6:G2183,G2183,$D$6:D2183,"Vastgesteld")&gt;1),1,0))</f>
        <v>0</v>
      </c>
    </row>
    <row r="2184">
      <c r="S2184" s="15" t="str">
        <f>IF(J2184="","",J2184&amp;"|"&amp;E2184&amp;"|"&amp;F2184&amp;"|"&amp;I2184&amp;"|"&amp;O2184)</f>
        <v/>
      </c>
      <c r="T2184" s="15" t="str">
        <f>IF(OR(S2184="",D2184&lt;&gt;"Vastgesteld"),"",_xlfn.MAXIFS($G$6:$G$5005,$S$6:$S$5005,S2184,$D$6:$D$5005,"Vastgesteld"))</f>
        <v/>
      </c>
      <c r="U2184" s="15">
        <f>IF(T2184="",0,IF(AND(G2184=T2184,COUNTIFS($S$6:S2184,S2184,$G$6:G2184,G2184,$D$6:D2184,"Vastgesteld")=1),1,0))</f>
        <v>0</v>
      </c>
      <c r="V2184" s="15">
        <f>IF(T2184="",0,IF(AND(G2184=T2184,COUNTIFS($S$6:S2184,S2184,$G$6:G2184,G2184,$D$6:D2184,"Vastgesteld")&gt;1),1,0))</f>
        <v>0</v>
      </c>
    </row>
    <row r="2185">
      <c r="S2185" s="15" t="str">
        <f>IF(J2185="","",J2185&amp;"|"&amp;E2185&amp;"|"&amp;F2185&amp;"|"&amp;I2185&amp;"|"&amp;O2185)</f>
        <v/>
      </c>
      <c r="T2185" s="15" t="str">
        <f>IF(OR(S2185="",D2185&lt;&gt;"Vastgesteld"),"",_xlfn.MAXIFS($G$6:$G$5005,$S$6:$S$5005,S2185,$D$6:$D$5005,"Vastgesteld"))</f>
        <v/>
      </c>
      <c r="U2185" s="15">
        <f>IF(T2185="",0,IF(AND(G2185=T2185,COUNTIFS($S$6:S2185,S2185,$G$6:G2185,G2185,$D$6:D2185,"Vastgesteld")=1),1,0))</f>
        <v>0</v>
      </c>
      <c r="V2185" s="15">
        <f>IF(T2185="",0,IF(AND(G2185=T2185,COUNTIFS($S$6:S2185,S2185,$G$6:G2185,G2185,$D$6:D2185,"Vastgesteld")&gt;1),1,0))</f>
        <v>0</v>
      </c>
    </row>
    <row r="2186">
      <c r="S2186" s="15" t="str">
        <f>IF(J2186="","",J2186&amp;"|"&amp;E2186&amp;"|"&amp;F2186&amp;"|"&amp;I2186&amp;"|"&amp;O2186)</f>
        <v/>
      </c>
      <c r="T2186" s="15" t="str">
        <f>IF(OR(S2186="",D2186&lt;&gt;"Vastgesteld"),"",_xlfn.MAXIFS($G$6:$G$5005,$S$6:$S$5005,S2186,$D$6:$D$5005,"Vastgesteld"))</f>
        <v/>
      </c>
      <c r="U2186" s="15">
        <f>IF(T2186="",0,IF(AND(G2186=T2186,COUNTIFS($S$6:S2186,S2186,$G$6:G2186,G2186,$D$6:D2186,"Vastgesteld")=1),1,0))</f>
        <v>0</v>
      </c>
      <c r="V2186" s="15">
        <f>IF(T2186="",0,IF(AND(G2186=T2186,COUNTIFS($S$6:S2186,S2186,$G$6:G2186,G2186,$D$6:D2186,"Vastgesteld")&gt;1),1,0))</f>
        <v>0</v>
      </c>
    </row>
    <row r="2187">
      <c r="S2187" s="15" t="str">
        <f>IF(J2187="","",J2187&amp;"|"&amp;E2187&amp;"|"&amp;F2187&amp;"|"&amp;I2187&amp;"|"&amp;O2187)</f>
        <v/>
      </c>
      <c r="T2187" s="15" t="str">
        <f>IF(OR(S2187="",D2187&lt;&gt;"Vastgesteld"),"",_xlfn.MAXIFS($G$6:$G$5005,$S$6:$S$5005,S2187,$D$6:$D$5005,"Vastgesteld"))</f>
        <v/>
      </c>
      <c r="U2187" s="15">
        <f>IF(T2187="",0,IF(AND(G2187=T2187,COUNTIFS($S$6:S2187,S2187,$G$6:G2187,G2187,$D$6:D2187,"Vastgesteld")=1),1,0))</f>
        <v>0</v>
      </c>
      <c r="V2187" s="15">
        <f>IF(T2187="",0,IF(AND(G2187=T2187,COUNTIFS($S$6:S2187,S2187,$G$6:G2187,G2187,$D$6:D2187,"Vastgesteld")&gt;1),1,0))</f>
        <v>0</v>
      </c>
    </row>
    <row r="2188">
      <c r="S2188" s="15" t="str">
        <f>IF(J2188="","",J2188&amp;"|"&amp;E2188&amp;"|"&amp;F2188&amp;"|"&amp;I2188&amp;"|"&amp;O2188)</f>
        <v/>
      </c>
      <c r="T2188" s="15" t="str">
        <f>IF(OR(S2188="",D2188&lt;&gt;"Vastgesteld"),"",_xlfn.MAXIFS($G$6:$G$5005,$S$6:$S$5005,S2188,$D$6:$D$5005,"Vastgesteld"))</f>
        <v/>
      </c>
      <c r="U2188" s="15">
        <f>IF(T2188="",0,IF(AND(G2188=T2188,COUNTIFS($S$6:S2188,S2188,$G$6:G2188,G2188,$D$6:D2188,"Vastgesteld")=1),1,0))</f>
        <v>0</v>
      </c>
      <c r="V2188" s="15">
        <f>IF(T2188="",0,IF(AND(G2188=T2188,COUNTIFS($S$6:S2188,S2188,$G$6:G2188,G2188,$D$6:D2188,"Vastgesteld")&gt;1),1,0))</f>
        <v>0</v>
      </c>
    </row>
    <row r="2189">
      <c r="S2189" s="15" t="str">
        <f>IF(J2189="","",J2189&amp;"|"&amp;E2189&amp;"|"&amp;F2189&amp;"|"&amp;I2189&amp;"|"&amp;O2189)</f>
        <v/>
      </c>
      <c r="T2189" s="15" t="str">
        <f>IF(OR(S2189="",D2189&lt;&gt;"Vastgesteld"),"",_xlfn.MAXIFS($G$6:$G$5005,$S$6:$S$5005,S2189,$D$6:$D$5005,"Vastgesteld"))</f>
        <v/>
      </c>
      <c r="U2189" s="15">
        <f>IF(T2189="",0,IF(AND(G2189=T2189,COUNTIFS($S$6:S2189,S2189,$G$6:G2189,G2189,$D$6:D2189,"Vastgesteld")=1),1,0))</f>
        <v>0</v>
      </c>
      <c r="V2189" s="15">
        <f>IF(T2189="",0,IF(AND(G2189=T2189,COUNTIFS($S$6:S2189,S2189,$G$6:G2189,G2189,$D$6:D2189,"Vastgesteld")&gt;1),1,0))</f>
        <v>0</v>
      </c>
    </row>
    <row r="2190">
      <c r="S2190" s="15" t="str">
        <f>IF(J2190="","",J2190&amp;"|"&amp;E2190&amp;"|"&amp;F2190&amp;"|"&amp;I2190&amp;"|"&amp;O2190)</f>
        <v/>
      </c>
      <c r="T2190" s="15" t="str">
        <f>IF(OR(S2190="",D2190&lt;&gt;"Vastgesteld"),"",_xlfn.MAXIFS($G$6:$G$5005,$S$6:$S$5005,S2190,$D$6:$D$5005,"Vastgesteld"))</f>
        <v/>
      </c>
      <c r="U2190" s="15">
        <f>IF(T2190="",0,IF(AND(G2190=T2190,COUNTIFS($S$6:S2190,S2190,$G$6:G2190,G2190,$D$6:D2190,"Vastgesteld")=1),1,0))</f>
        <v>0</v>
      </c>
      <c r="V2190" s="15">
        <f>IF(T2190="",0,IF(AND(G2190=T2190,COUNTIFS($S$6:S2190,S2190,$G$6:G2190,G2190,$D$6:D2190,"Vastgesteld")&gt;1),1,0))</f>
        <v>0</v>
      </c>
    </row>
    <row r="2191">
      <c r="S2191" s="15" t="str">
        <f>IF(J2191="","",J2191&amp;"|"&amp;E2191&amp;"|"&amp;F2191&amp;"|"&amp;I2191&amp;"|"&amp;O2191)</f>
        <v/>
      </c>
      <c r="T2191" s="15" t="str">
        <f>IF(OR(S2191="",D2191&lt;&gt;"Vastgesteld"),"",_xlfn.MAXIFS($G$6:$G$5005,$S$6:$S$5005,S2191,$D$6:$D$5005,"Vastgesteld"))</f>
        <v/>
      </c>
      <c r="U2191" s="15">
        <f>IF(T2191="",0,IF(AND(G2191=T2191,COUNTIFS($S$6:S2191,S2191,$G$6:G2191,G2191,$D$6:D2191,"Vastgesteld")=1),1,0))</f>
        <v>0</v>
      </c>
      <c r="V2191" s="15">
        <f>IF(T2191="",0,IF(AND(G2191=T2191,COUNTIFS($S$6:S2191,S2191,$G$6:G2191,G2191,$D$6:D2191,"Vastgesteld")&gt;1),1,0))</f>
        <v>0</v>
      </c>
    </row>
    <row r="2192">
      <c r="S2192" s="15" t="str">
        <f>IF(J2192="","",J2192&amp;"|"&amp;E2192&amp;"|"&amp;F2192&amp;"|"&amp;I2192&amp;"|"&amp;O2192)</f>
        <v/>
      </c>
      <c r="T2192" s="15" t="str">
        <f>IF(OR(S2192="",D2192&lt;&gt;"Vastgesteld"),"",_xlfn.MAXIFS($G$6:$G$5005,$S$6:$S$5005,S2192,$D$6:$D$5005,"Vastgesteld"))</f>
        <v/>
      </c>
      <c r="U2192" s="15">
        <f>IF(T2192="",0,IF(AND(G2192=T2192,COUNTIFS($S$6:S2192,S2192,$G$6:G2192,G2192,$D$6:D2192,"Vastgesteld")=1),1,0))</f>
        <v>0</v>
      </c>
      <c r="V2192" s="15">
        <f>IF(T2192="",0,IF(AND(G2192=T2192,COUNTIFS($S$6:S2192,S2192,$G$6:G2192,G2192,$D$6:D2192,"Vastgesteld")&gt;1),1,0))</f>
        <v>0</v>
      </c>
    </row>
    <row r="2193">
      <c r="S2193" s="15" t="str">
        <f>IF(J2193="","",J2193&amp;"|"&amp;E2193&amp;"|"&amp;F2193&amp;"|"&amp;I2193&amp;"|"&amp;O2193)</f>
        <v/>
      </c>
      <c r="T2193" s="15" t="str">
        <f>IF(OR(S2193="",D2193&lt;&gt;"Vastgesteld"),"",_xlfn.MAXIFS($G$6:$G$5005,$S$6:$S$5005,S2193,$D$6:$D$5005,"Vastgesteld"))</f>
        <v/>
      </c>
      <c r="U2193" s="15">
        <f>IF(T2193="",0,IF(AND(G2193=T2193,COUNTIFS($S$6:S2193,S2193,$G$6:G2193,G2193,$D$6:D2193,"Vastgesteld")=1),1,0))</f>
        <v>0</v>
      </c>
      <c r="V2193" s="15">
        <f>IF(T2193="",0,IF(AND(G2193=T2193,COUNTIFS($S$6:S2193,S2193,$G$6:G2193,G2193,$D$6:D2193,"Vastgesteld")&gt;1),1,0))</f>
        <v>0</v>
      </c>
    </row>
    <row r="2194">
      <c r="S2194" s="15" t="str">
        <f>IF(J2194="","",J2194&amp;"|"&amp;E2194&amp;"|"&amp;F2194&amp;"|"&amp;I2194&amp;"|"&amp;O2194)</f>
        <v/>
      </c>
      <c r="T2194" s="15" t="str">
        <f>IF(OR(S2194="",D2194&lt;&gt;"Vastgesteld"),"",_xlfn.MAXIFS($G$6:$G$5005,$S$6:$S$5005,S2194,$D$6:$D$5005,"Vastgesteld"))</f>
        <v/>
      </c>
      <c r="U2194" s="15">
        <f>IF(T2194="",0,IF(AND(G2194=T2194,COUNTIFS($S$6:S2194,S2194,$G$6:G2194,G2194,$D$6:D2194,"Vastgesteld")=1),1,0))</f>
        <v>0</v>
      </c>
      <c r="V2194" s="15">
        <f>IF(T2194="",0,IF(AND(G2194=T2194,COUNTIFS($S$6:S2194,S2194,$G$6:G2194,G2194,$D$6:D2194,"Vastgesteld")&gt;1),1,0))</f>
        <v>0</v>
      </c>
    </row>
    <row r="2195">
      <c r="S2195" s="15" t="str">
        <f>IF(J2195="","",J2195&amp;"|"&amp;E2195&amp;"|"&amp;F2195&amp;"|"&amp;I2195&amp;"|"&amp;O2195)</f>
        <v/>
      </c>
      <c r="T2195" s="15" t="str">
        <f>IF(OR(S2195="",D2195&lt;&gt;"Vastgesteld"),"",_xlfn.MAXIFS($G$6:$G$5005,$S$6:$S$5005,S2195,$D$6:$D$5005,"Vastgesteld"))</f>
        <v/>
      </c>
      <c r="U2195" s="15">
        <f>IF(T2195="",0,IF(AND(G2195=T2195,COUNTIFS($S$6:S2195,S2195,$G$6:G2195,G2195,$D$6:D2195,"Vastgesteld")=1),1,0))</f>
        <v>0</v>
      </c>
      <c r="V2195" s="15">
        <f>IF(T2195="",0,IF(AND(G2195=T2195,COUNTIFS($S$6:S2195,S2195,$G$6:G2195,G2195,$D$6:D2195,"Vastgesteld")&gt;1),1,0))</f>
        <v>0</v>
      </c>
    </row>
    <row r="2196">
      <c r="S2196" s="15" t="str">
        <f>IF(J2196="","",J2196&amp;"|"&amp;E2196&amp;"|"&amp;F2196&amp;"|"&amp;I2196&amp;"|"&amp;O2196)</f>
        <v/>
      </c>
      <c r="T2196" s="15" t="str">
        <f>IF(OR(S2196="",D2196&lt;&gt;"Vastgesteld"),"",_xlfn.MAXIFS($G$6:$G$5005,$S$6:$S$5005,S2196,$D$6:$D$5005,"Vastgesteld"))</f>
        <v/>
      </c>
      <c r="U2196" s="15">
        <f>IF(T2196="",0,IF(AND(G2196=T2196,COUNTIFS($S$6:S2196,S2196,$G$6:G2196,G2196,$D$6:D2196,"Vastgesteld")=1),1,0))</f>
        <v>0</v>
      </c>
      <c r="V2196" s="15">
        <f>IF(T2196="",0,IF(AND(G2196=T2196,COUNTIFS($S$6:S2196,S2196,$G$6:G2196,G2196,$D$6:D2196,"Vastgesteld")&gt;1),1,0))</f>
        <v>0</v>
      </c>
    </row>
    <row r="2197">
      <c r="S2197" s="15" t="str">
        <f>IF(J2197="","",J2197&amp;"|"&amp;E2197&amp;"|"&amp;F2197&amp;"|"&amp;I2197&amp;"|"&amp;O2197)</f>
        <v/>
      </c>
      <c r="T2197" s="15" t="str">
        <f>IF(OR(S2197="",D2197&lt;&gt;"Vastgesteld"),"",_xlfn.MAXIFS($G$6:$G$5005,$S$6:$S$5005,S2197,$D$6:$D$5005,"Vastgesteld"))</f>
        <v/>
      </c>
      <c r="U2197" s="15">
        <f>IF(T2197="",0,IF(AND(G2197=T2197,COUNTIFS($S$6:S2197,S2197,$G$6:G2197,G2197,$D$6:D2197,"Vastgesteld")=1),1,0))</f>
        <v>0</v>
      </c>
      <c r="V2197" s="15">
        <f>IF(T2197="",0,IF(AND(G2197=T2197,COUNTIFS($S$6:S2197,S2197,$G$6:G2197,G2197,$D$6:D2197,"Vastgesteld")&gt;1),1,0))</f>
        <v>0</v>
      </c>
    </row>
    <row r="2198">
      <c r="S2198" s="15" t="str">
        <f>IF(J2198="","",J2198&amp;"|"&amp;E2198&amp;"|"&amp;F2198&amp;"|"&amp;I2198&amp;"|"&amp;O2198)</f>
        <v/>
      </c>
      <c r="T2198" s="15" t="str">
        <f>IF(OR(S2198="",D2198&lt;&gt;"Vastgesteld"),"",_xlfn.MAXIFS($G$6:$G$5005,$S$6:$S$5005,S2198,$D$6:$D$5005,"Vastgesteld"))</f>
        <v/>
      </c>
      <c r="U2198" s="15">
        <f>IF(T2198="",0,IF(AND(G2198=T2198,COUNTIFS($S$6:S2198,S2198,$G$6:G2198,G2198,$D$6:D2198,"Vastgesteld")=1),1,0))</f>
        <v>0</v>
      </c>
      <c r="V2198" s="15">
        <f>IF(T2198="",0,IF(AND(G2198=T2198,COUNTIFS($S$6:S2198,S2198,$G$6:G2198,G2198,$D$6:D2198,"Vastgesteld")&gt;1),1,0))</f>
        <v>0</v>
      </c>
    </row>
    <row r="2199">
      <c r="S2199" s="15" t="str">
        <f>IF(J2199="","",J2199&amp;"|"&amp;E2199&amp;"|"&amp;F2199&amp;"|"&amp;I2199&amp;"|"&amp;O2199)</f>
        <v/>
      </c>
      <c r="T2199" s="15" t="str">
        <f>IF(OR(S2199="",D2199&lt;&gt;"Vastgesteld"),"",_xlfn.MAXIFS($G$6:$G$5005,$S$6:$S$5005,S2199,$D$6:$D$5005,"Vastgesteld"))</f>
        <v/>
      </c>
      <c r="U2199" s="15">
        <f>IF(T2199="",0,IF(AND(G2199=T2199,COUNTIFS($S$6:S2199,S2199,$G$6:G2199,G2199,$D$6:D2199,"Vastgesteld")=1),1,0))</f>
        <v>0</v>
      </c>
      <c r="V2199" s="15">
        <f>IF(T2199="",0,IF(AND(G2199=T2199,COUNTIFS($S$6:S2199,S2199,$G$6:G2199,G2199,$D$6:D2199,"Vastgesteld")&gt;1),1,0))</f>
        <v>0</v>
      </c>
    </row>
    <row r="2200">
      <c r="S2200" s="15" t="str">
        <f>IF(J2200="","",J2200&amp;"|"&amp;E2200&amp;"|"&amp;F2200&amp;"|"&amp;I2200&amp;"|"&amp;O2200)</f>
        <v/>
      </c>
      <c r="T2200" s="15" t="str">
        <f>IF(OR(S2200="",D2200&lt;&gt;"Vastgesteld"),"",_xlfn.MAXIFS($G$6:$G$5005,$S$6:$S$5005,S2200,$D$6:$D$5005,"Vastgesteld"))</f>
        <v/>
      </c>
      <c r="U2200" s="15">
        <f>IF(T2200="",0,IF(AND(G2200=T2200,COUNTIFS($S$6:S2200,S2200,$G$6:G2200,G2200,$D$6:D2200,"Vastgesteld")=1),1,0))</f>
        <v>0</v>
      </c>
      <c r="V2200" s="15">
        <f>IF(T2200="",0,IF(AND(G2200=T2200,COUNTIFS($S$6:S2200,S2200,$G$6:G2200,G2200,$D$6:D2200,"Vastgesteld")&gt;1),1,0))</f>
        <v>0</v>
      </c>
    </row>
    <row r="2201">
      <c r="S2201" s="15" t="str">
        <f>IF(J2201="","",J2201&amp;"|"&amp;E2201&amp;"|"&amp;F2201&amp;"|"&amp;I2201&amp;"|"&amp;O2201)</f>
        <v/>
      </c>
      <c r="T2201" s="15" t="str">
        <f>IF(OR(S2201="",D2201&lt;&gt;"Vastgesteld"),"",_xlfn.MAXIFS($G$6:$G$5005,$S$6:$S$5005,S2201,$D$6:$D$5005,"Vastgesteld"))</f>
        <v/>
      </c>
      <c r="U2201" s="15">
        <f>IF(T2201="",0,IF(AND(G2201=T2201,COUNTIFS($S$6:S2201,S2201,$G$6:G2201,G2201,$D$6:D2201,"Vastgesteld")=1),1,0))</f>
        <v>0</v>
      </c>
      <c r="V2201" s="15">
        <f>IF(T2201="",0,IF(AND(G2201=T2201,COUNTIFS($S$6:S2201,S2201,$G$6:G2201,G2201,$D$6:D2201,"Vastgesteld")&gt;1),1,0))</f>
        <v>0</v>
      </c>
    </row>
    <row r="2202">
      <c r="S2202" s="15" t="str">
        <f>IF(J2202="","",J2202&amp;"|"&amp;E2202&amp;"|"&amp;F2202&amp;"|"&amp;I2202&amp;"|"&amp;O2202)</f>
        <v/>
      </c>
      <c r="T2202" s="15" t="str">
        <f>IF(OR(S2202="",D2202&lt;&gt;"Vastgesteld"),"",_xlfn.MAXIFS($G$6:$G$5005,$S$6:$S$5005,S2202,$D$6:$D$5005,"Vastgesteld"))</f>
        <v/>
      </c>
      <c r="U2202" s="15">
        <f>IF(T2202="",0,IF(AND(G2202=T2202,COUNTIFS($S$6:S2202,S2202,$G$6:G2202,G2202,$D$6:D2202,"Vastgesteld")=1),1,0))</f>
        <v>0</v>
      </c>
      <c r="V2202" s="15">
        <f>IF(T2202="",0,IF(AND(G2202=T2202,COUNTIFS($S$6:S2202,S2202,$G$6:G2202,G2202,$D$6:D2202,"Vastgesteld")&gt;1),1,0))</f>
        <v>0</v>
      </c>
    </row>
    <row r="2203">
      <c r="S2203" s="15" t="str">
        <f>IF(J2203="","",J2203&amp;"|"&amp;E2203&amp;"|"&amp;F2203&amp;"|"&amp;I2203&amp;"|"&amp;O2203)</f>
        <v/>
      </c>
      <c r="T2203" s="15" t="str">
        <f>IF(OR(S2203="",D2203&lt;&gt;"Vastgesteld"),"",_xlfn.MAXIFS($G$6:$G$5005,$S$6:$S$5005,S2203,$D$6:$D$5005,"Vastgesteld"))</f>
        <v/>
      </c>
      <c r="U2203" s="15">
        <f>IF(T2203="",0,IF(AND(G2203=T2203,COUNTIFS($S$6:S2203,S2203,$G$6:G2203,G2203,$D$6:D2203,"Vastgesteld")=1),1,0))</f>
        <v>0</v>
      </c>
      <c r="V2203" s="15">
        <f>IF(T2203="",0,IF(AND(G2203=T2203,COUNTIFS($S$6:S2203,S2203,$G$6:G2203,G2203,$D$6:D2203,"Vastgesteld")&gt;1),1,0))</f>
        <v>0</v>
      </c>
    </row>
    <row r="2204">
      <c r="S2204" s="15" t="str">
        <f>IF(J2204="","",J2204&amp;"|"&amp;E2204&amp;"|"&amp;F2204&amp;"|"&amp;I2204&amp;"|"&amp;O2204)</f>
        <v/>
      </c>
      <c r="T2204" s="15" t="str">
        <f>IF(OR(S2204="",D2204&lt;&gt;"Vastgesteld"),"",_xlfn.MAXIFS($G$6:$G$5005,$S$6:$S$5005,S2204,$D$6:$D$5005,"Vastgesteld"))</f>
        <v/>
      </c>
      <c r="U2204" s="15">
        <f>IF(T2204="",0,IF(AND(G2204=T2204,COUNTIFS($S$6:S2204,S2204,$G$6:G2204,G2204,$D$6:D2204,"Vastgesteld")=1),1,0))</f>
        <v>0</v>
      </c>
      <c r="V2204" s="15">
        <f>IF(T2204="",0,IF(AND(G2204=T2204,COUNTIFS($S$6:S2204,S2204,$G$6:G2204,G2204,$D$6:D2204,"Vastgesteld")&gt;1),1,0))</f>
        <v>0</v>
      </c>
    </row>
    <row r="2205">
      <c r="S2205" s="15" t="str">
        <f>IF(J2205="","",J2205&amp;"|"&amp;E2205&amp;"|"&amp;F2205&amp;"|"&amp;I2205&amp;"|"&amp;O2205)</f>
        <v/>
      </c>
      <c r="T2205" s="15" t="str">
        <f>IF(OR(S2205="",D2205&lt;&gt;"Vastgesteld"),"",_xlfn.MAXIFS($G$6:$G$5005,$S$6:$S$5005,S2205,$D$6:$D$5005,"Vastgesteld"))</f>
        <v/>
      </c>
      <c r="U2205" s="15">
        <f>IF(T2205="",0,IF(AND(G2205=T2205,COUNTIFS($S$6:S2205,S2205,$G$6:G2205,G2205,$D$6:D2205,"Vastgesteld")=1),1,0))</f>
        <v>0</v>
      </c>
      <c r="V2205" s="15">
        <f>IF(T2205="",0,IF(AND(G2205=T2205,COUNTIFS($S$6:S2205,S2205,$G$6:G2205,G2205,$D$6:D2205,"Vastgesteld")&gt;1),1,0))</f>
        <v>0</v>
      </c>
    </row>
    <row r="2206">
      <c r="S2206" s="15" t="str">
        <f>IF(J2206="","",J2206&amp;"|"&amp;E2206&amp;"|"&amp;F2206&amp;"|"&amp;I2206&amp;"|"&amp;O2206)</f>
        <v/>
      </c>
      <c r="T2206" s="15" t="str">
        <f>IF(OR(S2206="",D2206&lt;&gt;"Vastgesteld"),"",_xlfn.MAXIFS($G$6:$G$5005,$S$6:$S$5005,S2206,$D$6:$D$5005,"Vastgesteld"))</f>
        <v/>
      </c>
      <c r="U2206" s="15">
        <f>IF(T2206="",0,IF(AND(G2206=T2206,COUNTIFS($S$6:S2206,S2206,$G$6:G2206,G2206,$D$6:D2206,"Vastgesteld")=1),1,0))</f>
        <v>0</v>
      </c>
      <c r="V2206" s="15">
        <f>IF(T2206="",0,IF(AND(G2206=T2206,COUNTIFS($S$6:S2206,S2206,$G$6:G2206,G2206,$D$6:D2206,"Vastgesteld")&gt;1),1,0))</f>
        <v>0</v>
      </c>
    </row>
    <row r="2207">
      <c r="S2207" s="15" t="str">
        <f>IF(J2207="","",J2207&amp;"|"&amp;E2207&amp;"|"&amp;F2207&amp;"|"&amp;I2207&amp;"|"&amp;O2207)</f>
        <v/>
      </c>
      <c r="T2207" s="15" t="str">
        <f>IF(OR(S2207="",D2207&lt;&gt;"Vastgesteld"),"",_xlfn.MAXIFS($G$6:$G$5005,$S$6:$S$5005,S2207,$D$6:$D$5005,"Vastgesteld"))</f>
        <v/>
      </c>
      <c r="U2207" s="15">
        <f>IF(T2207="",0,IF(AND(G2207=T2207,COUNTIFS($S$6:S2207,S2207,$G$6:G2207,G2207,$D$6:D2207,"Vastgesteld")=1),1,0))</f>
        <v>0</v>
      </c>
      <c r="V2207" s="15">
        <f>IF(T2207="",0,IF(AND(G2207=T2207,COUNTIFS($S$6:S2207,S2207,$G$6:G2207,G2207,$D$6:D2207,"Vastgesteld")&gt;1),1,0))</f>
        <v>0</v>
      </c>
    </row>
    <row r="2208">
      <c r="S2208" s="15" t="str">
        <f>IF(J2208="","",J2208&amp;"|"&amp;E2208&amp;"|"&amp;F2208&amp;"|"&amp;I2208&amp;"|"&amp;O2208)</f>
        <v/>
      </c>
      <c r="T2208" s="15" t="str">
        <f>IF(OR(S2208="",D2208&lt;&gt;"Vastgesteld"),"",_xlfn.MAXIFS($G$6:$G$5005,$S$6:$S$5005,S2208,$D$6:$D$5005,"Vastgesteld"))</f>
        <v/>
      </c>
      <c r="U2208" s="15">
        <f>IF(T2208="",0,IF(AND(G2208=T2208,COUNTIFS($S$6:S2208,S2208,$G$6:G2208,G2208,$D$6:D2208,"Vastgesteld")=1),1,0))</f>
        <v>0</v>
      </c>
      <c r="V2208" s="15">
        <f>IF(T2208="",0,IF(AND(G2208=T2208,COUNTIFS($S$6:S2208,S2208,$G$6:G2208,G2208,$D$6:D2208,"Vastgesteld")&gt;1),1,0))</f>
        <v>0</v>
      </c>
    </row>
    <row r="2209">
      <c r="S2209" s="15" t="str">
        <f>IF(J2209="","",J2209&amp;"|"&amp;E2209&amp;"|"&amp;F2209&amp;"|"&amp;I2209&amp;"|"&amp;O2209)</f>
        <v/>
      </c>
      <c r="T2209" s="15" t="str">
        <f>IF(OR(S2209="",D2209&lt;&gt;"Vastgesteld"),"",_xlfn.MAXIFS($G$6:$G$5005,$S$6:$S$5005,S2209,$D$6:$D$5005,"Vastgesteld"))</f>
        <v/>
      </c>
      <c r="U2209" s="15">
        <f>IF(T2209="",0,IF(AND(G2209=T2209,COUNTIFS($S$6:S2209,S2209,$G$6:G2209,G2209,$D$6:D2209,"Vastgesteld")=1),1,0))</f>
        <v>0</v>
      </c>
      <c r="V2209" s="15">
        <f>IF(T2209="",0,IF(AND(G2209=T2209,COUNTIFS($S$6:S2209,S2209,$G$6:G2209,G2209,$D$6:D2209,"Vastgesteld")&gt;1),1,0))</f>
        <v>0</v>
      </c>
    </row>
    <row r="2210">
      <c r="S2210" s="15" t="str">
        <f>IF(J2210="","",J2210&amp;"|"&amp;E2210&amp;"|"&amp;F2210&amp;"|"&amp;I2210&amp;"|"&amp;O2210)</f>
        <v/>
      </c>
      <c r="T2210" s="15" t="str">
        <f>IF(OR(S2210="",D2210&lt;&gt;"Vastgesteld"),"",_xlfn.MAXIFS($G$6:$G$5005,$S$6:$S$5005,S2210,$D$6:$D$5005,"Vastgesteld"))</f>
        <v/>
      </c>
      <c r="U2210" s="15">
        <f>IF(T2210="",0,IF(AND(G2210=T2210,COUNTIFS($S$6:S2210,S2210,$G$6:G2210,G2210,$D$6:D2210,"Vastgesteld")=1),1,0))</f>
        <v>0</v>
      </c>
      <c r="V2210" s="15">
        <f>IF(T2210="",0,IF(AND(G2210=T2210,COUNTIFS($S$6:S2210,S2210,$G$6:G2210,G2210,$D$6:D2210,"Vastgesteld")&gt;1),1,0))</f>
        <v>0</v>
      </c>
    </row>
    <row r="2211">
      <c r="S2211" s="15" t="str">
        <f>IF(J2211="","",J2211&amp;"|"&amp;E2211&amp;"|"&amp;F2211&amp;"|"&amp;I2211&amp;"|"&amp;O2211)</f>
        <v/>
      </c>
      <c r="T2211" s="15" t="str">
        <f>IF(OR(S2211="",D2211&lt;&gt;"Vastgesteld"),"",_xlfn.MAXIFS($G$6:$G$5005,$S$6:$S$5005,S2211,$D$6:$D$5005,"Vastgesteld"))</f>
        <v/>
      </c>
      <c r="U2211" s="15">
        <f>IF(T2211="",0,IF(AND(G2211=T2211,COUNTIFS($S$6:S2211,S2211,$G$6:G2211,G2211,$D$6:D2211,"Vastgesteld")=1),1,0))</f>
        <v>0</v>
      </c>
      <c r="V2211" s="15">
        <f>IF(T2211="",0,IF(AND(G2211=T2211,COUNTIFS($S$6:S2211,S2211,$G$6:G2211,G2211,$D$6:D2211,"Vastgesteld")&gt;1),1,0))</f>
        <v>0</v>
      </c>
    </row>
    <row r="2212">
      <c r="S2212" s="15" t="str">
        <f>IF(J2212="","",J2212&amp;"|"&amp;E2212&amp;"|"&amp;F2212&amp;"|"&amp;I2212&amp;"|"&amp;O2212)</f>
        <v/>
      </c>
      <c r="T2212" s="15" t="str">
        <f>IF(OR(S2212="",D2212&lt;&gt;"Vastgesteld"),"",_xlfn.MAXIFS($G$6:$G$5005,$S$6:$S$5005,S2212,$D$6:$D$5005,"Vastgesteld"))</f>
        <v/>
      </c>
      <c r="U2212" s="15">
        <f>IF(T2212="",0,IF(AND(G2212=T2212,COUNTIFS($S$6:S2212,S2212,$G$6:G2212,G2212,$D$6:D2212,"Vastgesteld")=1),1,0))</f>
        <v>0</v>
      </c>
      <c r="V2212" s="15">
        <f>IF(T2212="",0,IF(AND(G2212=T2212,COUNTIFS($S$6:S2212,S2212,$G$6:G2212,G2212,$D$6:D2212,"Vastgesteld")&gt;1),1,0))</f>
        <v>0</v>
      </c>
    </row>
    <row r="2213">
      <c r="S2213" s="15" t="str">
        <f>IF(J2213="","",J2213&amp;"|"&amp;E2213&amp;"|"&amp;F2213&amp;"|"&amp;I2213&amp;"|"&amp;O2213)</f>
        <v/>
      </c>
      <c r="T2213" s="15" t="str">
        <f>IF(OR(S2213="",D2213&lt;&gt;"Vastgesteld"),"",_xlfn.MAXIFS($G$6:$G$5005,$S$6:$S$5005,S2213,$D$6:$D$5005,"Vastgesteld"))</f>
        <v/>
      </c>
      <c r="U2213" s="15">
        <f>IF(T2213="",0,IF(AND(G2213=T2213,COUNTIFS($S$6:S2213,S2213,$G$6:G2213,G2213,$D$6:D2213,"Vastgesteld")=1),1,0))</f>
        <v>0</v>
      </c>
      <c r="V2213" s="15">
        <f>IF(T2213="",0,IF(AND(G2213=T2213,COUNTIFS($S$6:S2213,S2213,$G$6:G2213,G2213,$D$6:D2213,"Vastgesteld")&gt;1),1,0))</f>
        <v>0</v>
      </c>
    </row>
    <row r="2214">
      <c r="S2214" s="15" t="str">
        <f>IF(J2214="","",J2214&amp;"|"&amp;E2214&amp;"|"&amp;F2214&amp;"|"&amp;I2214&amp;"|"&amp;O2214)</f>
        <v/>
      </c>
      <c r="T2214" s="15" t="str">
        <f>IF(OR(S2214="",D2214&lt;&gt;"Vastgesteld"),"",_xlfn.MAXIFS($G$6:$G$5005,$S$6:$S$5005,S2214,$D$6:$D$5005,"Vastgesteld"))</f>
        <v/>
      </c>
      <c r="U2214" s="15">
        <f>IF(T2214="",0,IF(AND(G2214=T2214,COUNTIFS($S$6:S2214,S2214,$G$6:G2214,G2214,$D$6:D2214,"Vastgesteld")=1),1,0))</f>
        <v>0</v>
      </c>
      <c r="V2214" s="15">
        <f>IF(T2214="",0,IF(AND(G2214=T2214,COUNTIFS($S$6:S2214,S2214,$G$6:G2214,G2214,$D$6:D2214,"Vastgesteld")&gt;1),1,0))</f>
        <v>0</v>
      </c>
    </row>
    <row r="2215">
      <c r="S2215" s="15" t="str">
        <f>IF(J2215="","",J2215&amp;"|"&amp;E2215&amp;"|"&amp;F2215&amp;"|"&amp;I2215&amp;"|"&amp;O2215)</f>
        <v/>
      </c>
      <c r="T2215" s="15" t="str">
        <f>IF(OR(S2215="",D2215&lt;&gt;"Vastgesteld"),"",_xlfn.MAXIFS($G$6:$G$5005,$S$6:$S$5005,S2215,$D$6:$D$5005,"Vastgesteld"))</f>
        <v/>
      </c>
      <c r="U2215" s="15">
        <f>IF(T2215="",0,IF(AND(G2215=T2215,COUNTIFS($S$6:S2215,S2215,$G$6:G2215,G2215,$D$6:D2215,"Vastgesteld")=1),1,0))</f>
        <v>0</v>
      </c>
      <c r="V2215" s="15">
        <f>IF(T2215="",0,IF(AND(G2215=T2215,COUNTIFS($S$6:S2215,S2215,$G$6:G2215,G2215,$D$6:D2215,"Vastgesteld")&gt;1),1,0))</f>
        <v>0</v>
      </c>
    </row>
    <row r="2216">
      <c r="S2216" s="15" t="str">
        <f>IF(J2216="","",J2216&amp;"|"&amp;E2216&amp;"|"&amp;F2216&amp;"|"&amp;I2216&amp;"|"&amp;O2216)</f>
        <v/>
      </c>
      <c r="T2216" s="15" t="str">
        <f>IF(OR(S2216="",D2216&lt;&gt;"Vastgesteld"),"",_xlfn.MAXIFS($G$6:$G$5005,$S$6:$S$5005,S2216,$D$6:$D$5005,"Vastgesteld"))</f>
        <v/>
      </c>
      <c r="U2216" s="15">
        <f>IF(T2216="",0,IF(AND(G2216=T2216,COUNTIFS($S$6:S2216,S2216,$G$6:G2216,G2216,$D$6:D2216,"Vastgesteld")=1),1,0))</f>
        <v>0</v>
      </c>
      <c r="V2216" s="15">
        <f>IF(T2216="",0,IF(AND(G2216=T2216,COUNTIFS($S$6:S2216,S2216,$G$6:G2216,G2216,$D$6:D2216,"Vastgesteld")&gt;1),1,0))</f>
        <v>0</v>
      </c>
    </row>
    <row r="2217">
      <c r="S2217" s="15" t="str">
        <f>IF(J2217="","",J2217&amp;"|"&amp;E2217&amp;"|"&amp;F2217&amp;"|"&amp;I2217&amp;"|"&amp;O2217)</f>
        <v/>
      </c>
      <c r="T2217" s="15" t="str">
        <f>IF(OR(S2217="",D2217&lt;&gt;"Vastgesteld"),"",_xlfn.MAXIFS($G$6:$G$5005,$S$6:$S$5005,S2217,$D$6:$D$5005,"Vastgesteld"))</f>
        <v/>
      </c>
      <c r="U2217" s="15">
        <f>IF(T2217="",0,IF(AND(G2217=T2217,COUNTIFS($S$6:S2217,S2217,$G$6:G2217,G2217,$D$6:D2217,"Vastgesteld")=1),1,0))</f>
        <v>0</v>
      </c>
      <c r="V2217" s="15">
        <f>IF(T2217="",0,IF(AND(G2217=T2217,COUNTIFS($S$6:S2217,S2217,$G$6:G2217,G2217,$D$6:D2217,"Vastgesteld")&gt;1),1,0))</f>
        <v>0</v>
      </c>
    </row>
    <row r="2218">
      <c r="S2218" s="15" t="str">
        <f>IF(J2218="","",J2218&amp;"|"&amp;E2218&amp;"|"&amp;F2218&amp;"|"&amp;I2218&amp;"|"&amp;O2218)</f>
        <v/>
      </c>
      <c r="T2218" s="15" t="str">
        <f>IF(OR(S2218="",D2218&lt;&gt;"Vastgesteld"),"",_xlfn.MAXIFS($G$6:$G$5005,$S$6:$S$5005,S2218,$D$6:$D$5005,"Vastgesteld"))</f>
        <v/>
      </c>
      <c r="U2218" s="15">
        <f>IF(T2218="",0,IF(AND(G2218=T2218,COUNTIFS($S$6:S2218,S2218,$G$6:G2218,G2218,$D$6:D2218,"Vastgesteld")=1),1,0))</f>
        <v>0</v>
      </c>
      <c r="V2218" s="15">
        <f>IF(T2218="",0,IF(AND(G2218=T2218,COUNTIFS($S$6:S2218,S2218,$G$6:G2218,G2218,$D$6:D2218,"Vastgesteld")&gt;1),1,0))</f>
        <v>0</v>
      </c>
    </row>
    <row r="2219">
      <c r="S2219" s="15" t="str">
        <f>IF(J2219="","",J2219&amp;"|"&amp;E2219&amp;"|"&amp;F2219&amp;"|"&amp;I2219&amp;"|"&amp;O2219)</f>
        <v/>
      </c>
      <c r="T2219" s="15" t="str">
        <f>IF(OR(S2219="",D2219&lt;&gt;"Vastgesteld"),"",_xlfn.MAXIFS($G$6:$G$5005,$S$6:$S$5005,S2219,$D$6:$D$5005,"Vastgesteld"))</f>
        <v/>
      </c>
      <c r="U2219" s="15">
        <f>IF(T2219="",0,IF(AND(G2219=T2219,COUNTIFS($S$6:S2219,S2219,$G$6:G2219,G2219,$D$6:D2219,"Vastgesteld")=1),1,0))</f>
        <v>0</v>
      </c>
      <c r="V2219" s="15">
        <f>IF(T2219="",0,IF(AND(G2219=T2219,COUNTIFS($S$6:S2219,S2219,$G$6:G2219,G2219,$D$6:D2219,"Vastgesteld")&gt;1),1,0))</f>
        <v>0</v>
      </c>
    </row>
    <row r="2220">
      <c r="S2220" s="15" t="str">
        <f>IF(J2220="","",J2220&amp;"|"&amp;E2220&amp;"|"&amp;F2220&amp;"|"&amp;I2220&amp;"|"&amp;O2220)</f>
        <v/>
      </c>
      <c r="T2220" s="15" t="str">
        <f>IF(OR(S2220="",D2220&lt;&gt;"Vastgesteld"),"",_xlfn.MAXIFS($G$6:$G$5005,$S$6:$S$5005,S2220,$D$6:$D$5005,"Vastgesteld"))</f>
        <v/>
      </c>
      <c r="U2220" s="15">
        <f>IF(T2220="",0,IF(AND(G2220=T2220,COUNTIFS($S$6:S2220,S2220,$G$6:G2220,G2220,$D$6:D2220,"Vastgesteld")=1),1,0))</f>
        <v>0</v>
      </c>
      <c r="V2220" s="15">
        <f>IF(T2220="",0,IF(AND(G2220=T2220,COUNTIFS($S$6:S2220,S2220,$G$6:G2220,G2220,$D$6:D2220,"Vastgesteld")&gt;1),1,0))</f>
        <v>0</v>
      </c>
    </row>
    <row r="2221">
      <c r="S2221" s="15" t="str">
        <f>IF(J2221="","",J2221&amp;"|"&amp;E2221&amp;"|"&amp;F2221&amp;"|"&amp;I2221&amp;"|"&amp;O2221)</f>
        <v/>
      </c>
      <c r="T2221" s="15" t="str">
        <f>IF(OR(S2221="",D2221&lt;&gt;"Vastgesteld"),"",_xlfn.MAXIFS($G$6:$G$5005,$S$6:$S$5005,S2221,$D$6:$D$5005,"Vastgesteld"))</f>
        <v/>
      </c>
      <c r="U2221" s="15">
        <f>IF(T2221="",0,IF(AND(G2221=T2221,COUNTIFS($S$6:S2221,S2221,$G$6:G2221,G2221,$D$6:D2221,"Vastgesteld")=1),1,0))</f>
        <v>0</v>
      </c>
      <c r="V2221" s="15">
        <f>IF(T2221="",0,IF(AND(G2221=T2221,COUNTIFS($S$6:S2221,S2221,$G$6:G2221,G2221,$D$6:D2221,"Vastgesteld")&gt;1),1,0))</f>
        <v>0</v>
      </c>
    </row>
    <row r="2222">
      <c r="S2222" s="15" t="str">
        <f>IF(J2222="","",J2222&amp;"|"&amp;E2222&amp;"|"&amp;F2222&amp;"|"&amp;I2222&amp;"|"&amp;O2222)</f>
        <v/>
      </c>
      <c r="T2222" s="15" t="str">
        <f>IF(OR(S2222="",D2222&lt;&gt;"Vastgesteld"),"",_xlfn.MAXIFS($G$6:$G$5005,$S$6:$S$5005,S2222,$D$6:$D$5005,"Vastgesteld"))</f>
        <v/>
      </c>
      <c r="U2222" s="15">
        <f>IF(T2222="",0,IF(AND(G2222=T2222,COUNTIFS($S$6:S2222,S2222,$G$6:G2222,G2222,$D$6:D2222,"Vastgesteld")=1),1,0))</f>
        <v>0</v>
      </c>
      <c r="V2222" s="15">
        <f>IF(T2222="",0,IF(AND(G2222=T2222,COUNTIFS($S$6:S2222,S2222,$G$6:G2222,G2222,$D$6:D2222,"Vastgesteld")&gt;1),1,0))</f>
        <v>0</v>
      </c>
    </row>
    <row r="2223">
      <c r="S2223" s="15" t="str">
        <f>IF(J2223="","",J2223&amp;"|"&amp;E2223&amp;"|"&amp;F2223&amp;"|"&amp;I2223&amp;"|"&amp;O2223)</f>
        <v/>
      </c>
      <c r="T2223" s="15" t="str">
        <f>IF(OR(S2223="",D2223&lt;&gt;"Vastgesteld"),"",_xlfn.MAXIFS($G$6:$G$5005,$S$6:$S$5005,S2223,$D$6:$D$5005,"Vastgesteld"))</f>
        <v/>
      </c>
      <c r="U2223" s="15">
        <f>IF(T2223="",0,IF(AND(G2223=T2223,COUNTIFS($S$6:S2223,S2223,$G$6:G2223,G2223,$D$6:D2223,"Vastgesteld")=1),1,0))</f>
        <v>0</v>
      </c>
      <c r="V2223" s="15">
        <f>IF(T2223="",0,IF(AND(G2223=T2223,COUNTIFS($S$6:S2223,S2223,$G$6:G2223,G2223,$D$6:D2223,"Vastgesteld")&gt;1),1,0))</f>
        <v>0</v>
      </c>
    </row>
    <row r="2224">
      <c r="S2224" s="15" t="str">
        <f>IF(J2224="","",J2224&amp;"|"&amp;E2224&amp;"|"&amp;F2224&amp;"|"&amp;I2224&amp;"|"&amp;O2224)</f>
        <v/>
      </c>
      <c r="T2224" s="15" t="str">
        <f>IF(OR(S2224="",D2224&lt;&gt;"Vastgesteld"),"",_xlfn.MAXIFS($G$6:$G$5005,$S$6:$S$5005,S2224,$D$6:$D$5005,"Vastgesteld"))</f>
        <v/>
      </c>
      <c r="U2224" s="15">
        <f>IF(T2224="",0,IF(AND(G2224=T2224,COUNTIFS($S$6:S2224,S2224,$G$6:G2224,G2224,$D$6:D2224,"Vastgesteld")=1),1,0))</f>
        <v>0</v>
      </c>
      <c r="V2224" s="15">
        <f>IF(T2224="",0,IF(AND(G2224=T2224,COUNTIFS($S$6:S2224,S2224,$G$6:G2224,G2224,$D$6:D2224,"Vastgesteld")&gt;1),1,0))</f>
        <v>0</v>
      </c>
    </row>
    <row r="2225">
      <c r="S2225" s="15" t="str">
        <f>IF(J2225="","",J2225&amp;"|"&amp;E2225&amp;"|"&amp;F2225&amp;"|"&amp;I2225&amp;"|"&amp;O2225)</f>
        <v/>
      </c>
      <c r="T2225" s="15" t="str">
        <f>IF(OR(S2225="",D2225&lt;&gt;"Vastgesteld"),"",_xlfn.MAXIFS($G$6:$G$5005,$S$6:$S$5005,S2225,$D$6:$D$5005,"Vastgesteld"))</f>
        <v/>
      </c>
      <c r="U2225" s="15">
        <f>IF(T2225="",0,IF(AND(G2225=T2225,COUNTIFS($S$6:S2225,S2225,$G$6:G2225,G2225,$D$6:D2225,"Vastgesteld")=1),1,0))</f>
        <v>0</v>
      </c>
      <c r="V2225" s="15">
        <f>IF(T2225="",0,IF(AND(G2225=T2225,COUNTIFS($S$6:S2225,S2225,$G$6:G2225,G2225,$D$6:D2225,"Vastgesteld")&gt;1),1,0))</f>
        <v>0</v>
      </c>
    </row>
    <row r="2226">
      <c r="S2226" s="15" t="str">
        <f>IF(J2226="","",J2226&amp;"|"&amp;E2226&amp;"|"&amp;F2226&amp;"|"&amp;I2226&amp;"|"&amp;O2226)</f>
        <v/>
      </c>
      <c r="T2226" s="15" t="str">
        <f>IF(OR(S2226="",D2226&lt;&gt;"Vastgesteld"),"",_xlfn.MAXIFS($G$6:$G$5005,$S$6:$S$5005,S2226,$D$6:$D$5005,"Vastgesteld"))</f>
        <v/>
      </c>
      <c r="U2226" s="15">
        <f>IF(T2226="",0,IF(AND(G2226=T2226,COUNTIFS($S$6:S2226,S2226,$G$6:G2226,G2226,$D$6:D2226,"Vastgesteld")=1),1,0))</f>
        <v>0</v>
      </c>
      <c r="V2226" s="15">
        <f>IF(T2226="",0,IF(AND(G2226=T2226,COUNTIFS($S$6:S2226,S2226,$G$6:G2226,G2226,$D$6:D2226,"Vastgesteld")&gt;1),1,0))</f>
        <v>0</v>
      </c>
    </row>
    <row r="2227">
      <c r="S2227" s="15" t="str">
        <f>IF(J2227="","",J2227&amp;"|"&amp;E2227&amp;"|"&amp;F2227&amp;"|"&amp;I2227&amp;"|"&amp;O2227)</f>
        <v/>
      </c>
      <c r="T2227" s="15" t="str">
        <f>IF(OR(S2227="",D2227&lt;&gt;"Vastgesteld"),"",_xlfn.MAXIFS($G$6:$G$5005,$S$6:$S$5005,S2227,$D$6:$D$5005,"Vastgesteld"))</f>
        <v/>
      </c>
      <c r="U2227" s="15">
        <f>IF(T2227="",0,IF(AND(G2227=T2227,COUNTIFS($S$6:S2227,S2227,$G$6:G2227,G2227,$D$6:D2227,"Vastgesteld")=1),1,0))</f>
        <v>0</v>
      </c>
      <c r="V2227" s="15">
        <f>IF(T2227="",0,IF(AND(G2227=T2227,COUNTIFS($S$6:S2227,S2227,$G$6:G2227,G2227,$D$6:D2227,"Vastgesteld")&gt;1),1,0))</f>
        <v>0</v>
      </c>
    </row>
    <row r="2228">
      <c r="S2228" s="15" t="str">
        <f>IF(J2228="","",J2228&amp;"|"&amp;E2228&amp;"|"&amp;F2228&amp;"|"&amp;I2228&amp;"|"&amp;O2228)</f>
        <v/>
      </c>
      <c r="T2228" s="15" t="str">
        <f>IF(OR(S2228="",D2228&lt;&gt;"Vastgesteld"),"",_xlfn.MAXIFS($G$6:$G$5005,$S$6:$S$5005,S2228,$D$6:$D$5005,"Vastgesteld"))</f>
        <v/>
      </c>
      <c r="U2228" s="15">
        <f>IF(T2228="",0,IF(AND(G2228=T2228,COUNTIFS($S$6:S2228,S2228,$G$6:G2228,G2228,$D$6:D2228,"Vastgesteld")=1),1,0))</f>
        <v>0</v>
      </c>
      <c r="V2228" s="15">
        <f>IF(T2228="",0,IF(AND(G2228=T2228,COUNTIFS($S$6:S2228,S2228,$G$6:G2228,G2228,$D$6:D2228,"Vastgesteld")&gt;1),1,0))</f>
        <v>0</v>
      </c>
    </row>
    <row r="2229">
      <c r="S2229" s="15" t="str">
        <f>IF(J2229="","",J2229&amp;"|"&amp;E2229&amp;"|"&amp;F2229&amp;"|"&amp;I2229&amp;"|"&amp;O2229)</f>
        <v/>
      </c>
      <c r="T2229" s="15" t="str">
        <f>IF(OR(S2229="",D2229&lt;&gt;"Vastgesteld"),"",_xlfn.MAXIFS($G$6:$G$5005,$S$6:$S$5005,S2229,$D$6:$D$5005,"Vastgesteld"))</f>
        <v/>
      </c>
      <c r="U2229" s="15">
        <f>IF(T2229="",0,IF(AND(G2229=T2229,COUNTIFS($S$6:S2229,S2229,$G$6:G2229,G2229,$D$6:D2229,"Vastgesteld")=1),1,0))</f>
        <v>0</v>
      </c>
      <c r="V2229" s="15">
        <f>IF(T2229="",0,IF(AND(G2229=T2229,COUNTIFS($S$6:S2229,S2229,$G$6:G2229,G2229,$D$6:D2229,"Vastgesteld")&gt;1),1,0))</f>
        <v>0</v>
      </c>
    </row>
    <row r="2230">
      <c r="S2230" s="15" t="str">
        <f>IF(J2230="","",J2230&amp;"|"&amp;E2230&amp;"|"&amp;F2230&amp;"|"&amp;I2230&amp;"|"&amp;O2230)</f>
        <v/>
      </c>
      <c r="T2230" s="15" t="str">
        <f>IF(OR(S2230="",D2230&lt;&gt;"Vastgesteld"),"",_xlfn.MAXIFS($G$6:$G$5005,$S$6:$S$5005,S2230,$D$6:$D$5005,"Vastgesteld"))</f>
        <v/>
      </c>
      <c r="U2230" s="15">
        <f>IF(T2230="",0,IF(AND(G2230=T2230,COUNTIFS($S$6:S2230,S2230,$G$6:G2230,G2230,$D$6:D2230,"Vastgesteld")=1),1,0))</f>
        <v>0</v>
      </c>
      <c r="V2230" s="15">
        <f>IF(T2230="",0,IF(AND(G2230=T2230,COUNTIFS($S$6:S2230,S2230,$G$6:G2230,G2230,$D$6:D2230,"Vastgesteld")&gt;1),1,0))</f>
        <v>0</v>
      </c>
    </row>
    <row r="2231">
      <c r="S2231" s="15" t="str">
        <f>IF(J2231="","",J2231&amp;"|"&amp;E2231&amp;"|"&amp;F2231&amp;"|"&amp;I2231&amp;"|"&amp;O2231)</f>
        <v/>
      </c>
      <c r="T2231" s="15" t="str">
        <f>IF(OR(S2231="",D2231&lt;&gt;"Vastgesteld"),"",_xlfn.MAXIFS($G$6:$G$5005,$S$6:$S$5005,S2231,$D$6:$D$5005,"Vastgesteld"))</f>
        <v/>
      </c>
      <c r="U2231" s="15">
        <f>IF(T2231="",0,IF(AND(G2231=T2231,COUNTIFS($S$6:S2231,S2231,$G$6:G2231,G2231,$D$6:D2231,"Vastgesteld")=1),1,0))</f>
        <v>0</v>
      </c>
      <c r="V2231" s="15">
        <f>IF(T2231="",0,IF(AND(G2231=T2231,COUNTIFS($S$6:S2231,S2231,$G$6:G2231,G2231,$D$6:D2231,"Vastgesteld")&gt;1),1,0))</f>
        <v>0</v>
      </c>
    </row>
    <row r="2232">
      <c r="S2232" s="15" t="str">
        <f>IF(J2232="","",J2232&amp;"|"&amp;E2232&amp;"|"&amp;F2232&amp;"|"&amp;I2232&amp;"|"&amp;O2232)</f>
        <v/>
      </c>
      <c r="T2232" s="15" t="str">
        <f>IF(OR(S2232="",D2232&lt;&gt;"Vastgesteld"),"",_xlfn.MAXIFS($G$6:$G$5005,$S$6:$S$5005,S2232,$D$6:$D$5005,"Vastgesteld"))</f>
        <v/>
      </c>
      <c r="U2232" s="15">
        <f>IF(T2232="",0,IF(AND(G2232=T2232,COUNTIFS($S$6:S2232,S2232,$G$6:G2232,G2232,$D$6:D2232,"Vastgesteld")=1),1,0))</f>
        <v>0</v>
      </c>
      <c r="V2232" s="15">
        <f>IF(T2232="",0,IF(AND(G2232=T2232,COUNTIFS($S$6:S2232,S2232,$G$6:G2232,G2232,$D$6:D2232,"Vastgesteld")&gt;1),1,0))</f>
        <v>0</v>
      </c>
    </row>
    <row r="2233">
      <c r="S2233" s="15" t="str">
        <f>IF(J2233="","",J2233&amp;"|"&amp;E2233&amp;"|"&amp;F2233&amp;"|"&amp;I2233&amp;"|"&amp;O2233)</f>
        <v/>
      </c>
      <c r="T2233" s="15" t="str">
        <f>IF(OR(S2233="",D2233&lt;&gt;"Vastgesteld"),"",_xlfn.MAXIFS($G$6:$G$5005,$S$6:$S$5005,S2233,$D$6:$D$5005,"Vastgesteld"))</f>
        <v/>
      </c>
      <c r="U2233" s="15">
        <f>IF(T2233="",0,IF(AND(G2233=T2233,COUNTIFS($S$6:S2233,S2233,$G$6:G2233,G2233,$D$6:D2233,"Vastgesteld")=1),1,0))</f>
        <v>0</v>
      </c>
      <c r="V2233" s="15">
        <f>IF(T2233="",0,IF(AND(G2233=T2233,COUNTIFS($S$6:S2233,S2233,$G$6:G2233,G2233,$D$6:D2233,"Vastgesteld")&gt;1),1,0))</f>
        <v>0</v>
      </c>
    </row>
    <row r="2234">
      <c r="S2234" s="15" t="str">
        <f>IF(J2234="","",J2234&amp;"|"&amp;E2234&amp;"|"&amp;F2234&amp;"|"&amp;I2234&amp;"|"&amp;O2234)</f>
        <v/>
      </c>
      <c r="T2234" s="15" t="str">
        <f>IF(OR(S2234="",D2234&lt;&gt;"Vastgesteld"),"",_xlfn.MAXIFS($G$6:$G$5005,$S$6:$S$5005,S2234,$D$6:$D$5005,"Vastgesteld"))</f>
        <v/>
      </c>
      <c r="U2234" s="15">
        <f>IF(T2234="",0,IF(AND(G2234=T2234,COUNTIFS($S$6:S2234,S2234,$G$6:G2234,G2234,$D$6:D2234,"Vastgesteld")=1),1,0))</f>
        <v>0</v>
      </c>
      <c r="V2234" s="15">
        <f>IF(T2234="",0,IF(AND(G2234=T2234,COUNTIFS($S$6:S2234,S2234,$G$6:G2234,G2234,$D$6:D2234,"Vastgesteld")&gt;1),1,0))</f>
        <v>0</v>
      </c>
    </row>
    <row r="2235">
      <c r="S2235" s="15" t="str">
        <f>IF(J2235="","",J2235&amp;"|"&amp;E2235&amp;"|"&amp;F2235&amp;"|"&amp;I2235&amp;"|"&amp;O2235)</f>
        <v/>
      </c>
      <c r="T2235" s="15" t="str">
        <f>IF(OR(S2235="",D2235&lt;&gt;"Vastgesteld"),"",_xlfn.MAXIFS($G$6:$G$5005,$S$6:$S$5005,S2235,$D$6:$D$5005,"Vastgesteld"))</f>
        <v/>
      </c>
      <c r="U2235" s="15">
        <f>IF(T2235="",0,IF(AND(G2235=T2235,COUNTIFS($S$6:S2235,S2235,$G$6:G2235,G2235,$D$6:D2235,"Vastgesteld")=1),1,0))</f>
        <v>0</v>
      </c>
      <c r="V2235" s="15">
        <f>IF(T2235="",0,IF(AND(G2235=T2235,COUNTIFS($S$6:S2235,S2235,$G$6:G2235,G2235,$D$6:D2235,"Vastgesteld")&gt;1),1,0))</f>
        <v>0</v>
      </c>
    </row>
    <row r="2236">
      <c r="S2236" s="15" t="str">
        <f>IF(J2236="","",J2236&amp;"|"&amp;E2236&amp;"|"&amp;F2236&amp;"|"&amp;I2236&amp;"|"&amp;O2236)</f>
        <v/>
      </c>
      <c r="T2236" s="15" t="str">
        <f>IF(OR(S2236="",D2236&lt;&gt;"Vastgesteld"),"",_xlfn.MAXIFS($G$6:$G$5005,$S$6:$S$5005,S2236,$D$6:$D$5005,"Vastgesteld"))</f>
        <v/>
      </c>
      <c r="U2236" s="15">
        <f>IF(T2236="",0,IF(AND(G2236=T2236,COUNTIFS($S$6:S2236,S2236,$G$6:G2236,G2236,$D$6:D2236,"Vastgesteld")=1),1,0))</f>
        <v>0</v>
      </c>
      <c r="V2236" s="15">
        <f>IF(T2236="",0,IF(AND(G2236=T2236,COUNTIFS($S$6:S2236,S2236,$G$6:G2236,G2236,$D$6:D2236,"Vastgesteld")&gt;1),1,0))</f>
        <v>0</v>
      </c>
    </row>
    <row r="2237">
      <c r="S2237" s="15" t="str">
        <f>IF(J2237="","",J2237&amp;"|"&amp;E2237&amp;"|"&amp;F2237&amp;"|"&amp;I2237&amp;"|"&amp;O2237)</f>
        <v/>
      </c>
      <c r="T2237" s="15" t="str">
        <f>IF(OR(S2237="",D2237&lt;&gt;"Vastgesteld"),"",_xlfn.MAXIFS($G$6:$G$5005,$S$6:$S$5005,S2237,$D$6:$D$5005,"Vastgesteld"))</f>
        <v/>
      </c>
      <c r="U2237" s="15">
        <f>IF(T2237="",0,IF(AND(G2237=T2237,COUNTIFS($S$6:S2237,S2237,$G$6:G2237,G2237,$D$6:D2237,"Vastgesteld")=1),1,0))</f>
        <v>0</v>
      </c>
      <c r="V2237" s="15">
        <f>IF(T2237="",0,IF(AND(G2237=T2237,COUNTIFS($S$6:S2237,S2237,$G$6:G2237,G2237,$D$6:D2237,"Vastgesteld")&gt;1),1,0))</f>
        <v>0</v>
      </c>
    </row>
    <row r="2238">
      <c r="S2238" s="15" t="str">
        <f>IF(J2238="","",J2238&amp;"|"&amp;E2238&amp;"|"&amp;F2238&amp;"|"&amp;I2238&amp;"|"&amp;O2238)</f>
        <v/>
      </c>
      <c r="T2238" s="15" t="str">
        <f>IF(OR(S2238="",D2238&lt;&gt;"Vastgesteld"),"",_xlfn.MAXIFS($G$6:$G$5005,$S$6:$S$5005,S2238,$D$6:$D$5005,"Vastgesteld"))</f>
        <v/>
      </c>
      <c r="U2238" s="15">
        <f>IF(T2238="",0,IF(AND(G2238=T2238,COUNTIFS($S$6:S2238,S2238,$G$6:G2238,G2238,$D$6:D2238,"Vastgesteld")=1),1,0))</f>
        <v>0</v>
      </c>
      <c r="V2238" s="15">
        <f>IF(T2238="",0,IF(AND(G2238=T2238,COUNTIFS($S$6:S2238,S2238,$G$6:G2238,G2238,$D$6:D2238,"Vastgesteld")&gt;1),1,0))</f>
        <v>0</v>
      </c>
    </row>
    <row r="2239">
      <c r="S2239" s="15" t="str">
        <f>IF(J2239="","",J2239&amp;"|"&amp;E2239&amp;"|"&amp;F2239&amp;"|"&amp;I2239&amp;"|"&amp;O2239)</f>
        <v/>
      </c>
      <c r="T2239" s="15" t="str">
        <f>IF(OR(S2239="",D2239&lt;&gt;"Vastgesteld"),"",_xlfn.MAXIFS($G$6:$G$5005,$S$6:$S$5005,S2239,$D$6:$D$5005,"Vastgesteld"))</f>
        <v/>
      </c>
      <c r="U2239" s="15">
        <f>IF(T2239="",0,IF(AND(G2239=T2239,COUNTIFS($S$6:S2239,S2239,$G$6:G2239,G2239,$D$6:D2239,"Vastgesteld")=1),1,0))</f>
        <v>0</v>
      </c>
      <c r="V2239" s="15">
        <f>IF(T2239="",0,IF(AND(G2239=T2239,COUNTIFS($S$6:S2239,S2239,$G$6:G2239,G2239,$D$6:D2239,"Vastgesteld")&gt;1),1,0))</f>
        <v>0</v>
      </c>
    </row>
    <row r="2240">
      <c r="S2240" s="15" t="str">
        <f>IF(J2240="","",J2240&amp;"|"&amp;E2240&amp;"|"&amp;F2240&amp;"|"&amp;I2240&amp;"|"&amp;O2240)</f>
        <v/>
      </c>
      <c r="T2240" s="15" t="str">
        <f>IF(OR(S2240="",D2240&lt;&gt;"Vastgesteld"),"",_xlfn.MAXIFS($G$6:$G$5005,$S$6:$S$5005,S2240,$D$6:$D$5005,"Vastgesteld"))</f>
        <v/>
      </c>
      <c r="U2240" s="15">
        <f>IF(T2240="",0,IF(AND(G2240=T2240,COUNTIFS($S$6:S2240,S2240,$G$6:G2240,G2240,$D$6:D2240,"Vastgesteld")=1),1,0))</f>
        <v>0</v>
      </c>
      <c r="V2240" s="15">
        <f>IF(T2240="",0,IF(AND(G2240=T2240,COUNTIFS($S$6:S2240,S2240,$G$6:G2240,G2240,$D$6:D2240,"Vastgesteld")&gt;1),1,0))</f>
        <v>0</v>
      </c>
    </row>
    <row r="2241">
      <c r="S2241" s="15" t="str">
        <f>IF(J2241="","",J2241&amp;"|"&amp;E2241&amp;"|"&amp;F2241&amp;"|"&amp;I2241&amp;"|"&amp;O2241)</f>
        <v/>
      </c>
      <c r="T2241" s="15" t="str">
        <f>IF(OR(S2241="",D2241&lt;&gt;"Vastgesteld"),"",_xlfn.MAXIFS($G$6:$G$5005,$S$6:$S$5005,S2241,$D$6:$D$5005,"Vastgesteld"))</f>
        <v/>
      </c>
      <c r="U2241" s="15">
        <f>IF(T2241="",0,IF(AND(G2241=T2241,COUNTIFS($S$6:S2241,S2241,$G$6:G2241,G2241,$D$6:D2241,"Vastgesteld")=1),1,0))</f>
        <v>0</v>
      </c>
      <c r="V2241" s="15">
        <f>IF(T2241="",0,IF(AND(G2241=T2241,COUNTIFS($S$6:S2241,S2241,$G$6:G2241,G2241,$D$6:D2241,"Vastgesteld")&gt;1),1,0))</f>
        <v>0</v>
      </c>
    </row>
    <row r="2242">
      <c r="S2242" s="15" t="str">
        <f>IF(J2242="","",J2242&amp;"|"&amp;E2242&amp;"|"&amp;F2242&amp;"|"&amp;I2242&amp;"|"&amp;O2242)</f>
        <v/>
      </c>
      <c r="T2242" s="15" t="str">
        <f>IF(OR(S2242="",D2242&lt;&gt;"Vastgesteld"),"",_xlfn.MAXIFS($G$6:$G$5005,$S$6:$S$5005,S2242,$D$6:$D$5005,"Vastgesteld"))</f>
        <v/>
      </c>
      <c r="U2242" s="15">
        <f>IF(T2242="",0,IF(AND(G2242=T2242,COUNTIFS($S$6:S2242,S2242,$G$6:G2242,G2242,$D$6:D2242,"Vastgesteld")=1),1,0))</f>
        <v>0</v>
      </c>
      <c r="V2242" s="15">
        <f>IF(T2242="",0,IF(AND(G2242=T2242,COUNTIFS($S$6:S2242,S2242,$G$6:G2242,G2242,$D$6:D2242,"Vastgesteld")&gt;1),1,0))</f>
        <v>0</v>
      </c>
    </row>
    <row r="2243">
      <c r="S2243" s="15" t="str">
        <f>IF(J2243="","",J2243&amp;"|"&amp;E2243&amp;"|"&amp;F2243&amp;"|"&amp;I2243&amp;"|"&amp;O2243)</f>
        <v/>
      </c>
      <c r="T2243" s="15" t="str">
        <f>IF(OR(S2243="",D2243&lt;&gt;"Vastgesteld"),"",_xlfn.MAXIFS($G$6:$G$5005,$S$6:$S$5005,S2243,$D$6:$D$5005,"Vastgesteld"))</f>
        <v/>
      </c>
      <c r="U2243" s="15">
        <f>IF(T2243="",0,IF(AND(G2243=T2243,COUNTIFS($S$6:S2243,S2243,$G$6:G2243,G2243,$D$6:D2243,"Vastgesteld")=1),1,0))</f>
        <v>0</v>
      </c>
      <c r="V2243" s="15">
        <f>IF(T2243="",0,IF(AND(G2243=T2243,COUNTIFS($S$6:S2243,S2243,$G$6:G2243,G2243,$D$6:D2243,"Vastgesteld")&gt;1),1,0))</f>
        <v>0</v>
      </c>
    </row>
    <row r="2244">
      <c r="S2244" s="15" t="str">
        <f>IF(J2244="","",J2244&amp;"|"&amp;E2244&amp;"|"&amp;F2244&amp;"|"&amp;I2244&amp;"|"&amp;O2244)</f>
        <v/>
      </c>
      <c r="T2244" s="15" t="str">
        <f>IF(OR(S2244="",D2244&lt;&gt;"Vastgesteld"),"",_xlfn.MAXIFS($G$6:$G$5005,$S$6:$S$5005,S2244,$D$6:$D$5005,"Vastgesteld"))</f>
        <v/>
      </c>
      <c r="U2244" s="15">
        <f>IF(T2244="",0,IF(AND(G2244=T2244,COUNTIFS($S$6:S2244,S2244,$G$6:G2244,G2244,$D$6:D2244,"Vastgesteld")=1),1,0))</f>
        <v>0</v>
      </c>
      <c r="V2244" s="15">
        <f>IF(T2244="",0,IF(AND(G2244=T2244,COUNTIFS($S$6:S2244,S2244,$G$6:G2244,G2244,$D$6:D2244,"Vastgesteld")&gt;1),1,0))</f>
        <v>0</v>
      </c>
    </row>
    <row r="2245">
      <c r="S2245" s="15" t="str">
        <f>IF(J2245="","",J2245&amp;"|"&amp;E2245&amp;"|"&amp;F2245&amp;"|"&amp;I2245&amp;"|"&amp;O2245)</f>
        <v/>
      </c>
      <c r="T2245" s="15" t="str">
        <f>IF(OR(S2245="",D2245&lt;&gt;"Vastgesteld"),"",_xlfn.MAXIFS($G$6:$G$5005,$S$6:$S$5005,S2245,$D$6:$D$5005,"Vastgesteld"))</f>
        <v/>
      </c>
      <c r="U2245" s="15">
        <f>IF(T2245="",0,IF(AND(G2245=T2245,COUNTIFS($S$6:S2245,S2245,$G$6:G2245,G2245,$D$6:D2245,"Vastgesteld")=1),1,0))</f>
        <v>0</v>
      </c>
      <c r="V2245" s="15">
        <f>IF(T2245="",0,IF(AND(G2245=T2245,COUNTIFS($S$6:S2245,S2245,$G$6:G2245,G2245,$D$6:D2245,"Vastgesteld")&gt;1),1,0))</f>
        <v>0</v>
      </c>
    </row>
    <row r="2246">
      <c r="S2246" s="15" t="str">
        <f>IF(J2246="","",J2246&amp;"|"&amp;E2246&amp;"|"&amp;F2246&amp;"|"&amp;I2246&amp;"|"&amp;O2246)</f>
        <v/>
      </c>
      <c r="T2246" s="15" t="str">
        <f>IF(OR(S2246="",D2246&lt;&gt;"Vastgesteld"),"",_xlfn.MAXIFS($G$6:$G$5005,$S$6:$S$5005,S2246,$D$6:$D$5005,"Vastgesteld"))</f>
        <v/>
      </c>
      <c r="U2246" s="15">
        <f>IF(T2246="",0,IF(AND(G2246=T2246,COUNTIFS($S$6:S2246,S2246,$G$6:G2246,G2246,$D$6:D2246,"Vastgesteld")=1),1,0))</f>
        <v>0</v>
      </c>
      <c r="V2246" s="15">
        <f>IF(T2246="",0,IF(AND(G2246=T2246,COUNTIFS($S$6:S2246,S2246,$G$6:G2246,G2246,$D$6:D2246,"Vastgesteld")&gt;1),1,0))</f>
        <v>0</v>
      </c>
    </row>
    <row r="2247">
      <c r="S2247" s="15" t="str">
        <f>IF(J2247="","",J2247&amp;"|"&amp;E2247&amp;"|"&amp;F2247&amp;"|"&amp;I2247&amp;"|"&amp;O2247)</f>
        <v/>
      </c>
      <c r="T2247" s="15" t="str">
        <f>IF(OR(S2247="",D2247&lt;&gt;"Vastgesteld"),"",_xlfn.MAXIFS($G$6:$G$5005,$S$6:$S$5005,S2247,$D$6:$D$5005,"Vastgesteld"))</f>
        <v/>
      </c>
      <c r="U2247" s="15">
        <f>IF(T2247="",0,IF(AND(G2247=T2247,COUNTIFS($S$6:S2247,S2247,$G$6:G2247,G2247,$D$6:D2247,"Vastgesteld")=1),1,0))</f>
        <v>0</v>
      </c>
      <c r="V2247" s="15">
        <f>IF(T2247="",0,IF(AND(G2247=T2247,COUNTIFS($S$6:S2247,S2247,$G$6:G2247,G2247,$D$6:D2247,"Vastgesteld")&gt;1),1,0))</f>
        <v>0</v>
      </c>
    </row>
    <row r="2248">
      <c r="S2248" s="15" t="str">
        <f>IF(J2248="","",J2248&amp;"|"&amp;E2248&amp;"|"&amp;F2248&amp;"|"&amp;I2248&amp;"|"&amp;O2248)</f>
        <v/>
      </c>
      <c r="T2248" s="15" t="str">
        <f>IF(OR(S2248="",D2248&lt;&gt;"Vastgesteld"),"",_xlfn.MAXIFS($G$6:$G$5005,$S$6:$S$5005,S2248,$D$6:$D$5005,"Vastgesteld"))</f>
        <v/>
      </c>
      <c r="U2248" s="15">
        <f>IF(T2248="",0,IF(AND(G2248=T2248,COUNTIFS($S$6:S2248,S2248,$G$6:G2248,G2248,$D$6:D2248,"Vastgesteld")=1),1,0))</f>
        <v>0</v>
      </c>
      <c r="V2248" s="15">
        <f>IF(T2248="",0,IF(AND(G2248=T2248,COUNTIFS($S$6:S2248,S2248,$G$6:G2248,G2248,$D$6:D2248,"Vastgesteld")&gt;1),1,0))</f>
        <v>0</v>
      </c>
    </row>
    <row r="2249">
      <c r="S2249" s="15" t="str">
        <f>IF(J2249="","",J2249&amp;"|"&amp;E2249&amp;"|"&amp;F2249&amp;"|"&amp;I2249&amp;"|"&amp;O2249)</f>
        <v/>
      </c>
      <c r="T2249" s="15" t="str">
        <f>IF(OR(S2249="",D2249&lt;&gt;"Vastgesteld"),"",_xlfn.MAXIFS($G$6:$G$5005,$S$6:$S$5005,S2249,$D$6:$D$5005,"Vastgesteld"))</f>
        <v/>
      </c>
      <c r="U2249" s="15">
        <f>IF(T2249="",0,IF(AND(G2249=T2249,COUNTIFS($S$6:S2249,S2249,$G$6:G2249,G2249,$D$6:D2249,"Vastgesteld")=1),1,0))</f>
        <v>0</v>
      </c>
      <c r="V2249" s="15">
        <f>IF(T2249="",0,IF(AND(G2249=T2249,COUNTIFS($S$6:S2249,S2249,$G$6:G2249,G2249,$D$6:D2249,"Vastgesteld")&gt;1),1,0))</f>
        <v>0</v>
      </c>
    </row>
    <row r="2250">
      <c r="S2250" s="15" t="str">
        <f>IF(J2250="","",J2250&amp;"|"&amp;E2250&amp;"|"&amp;F2250&amp;"|"&amp;I2250&amp;"|"&amp;O2250)</f>
        <v/>
      </c>
      <c r="T2250" s="15" t="str">
        <f>IF(OR(S2250="",D2250&lt;&gt;"Vastgesteld"),"",_xlfn.MAXIFS($G$6:$G$5005,$S$6:$S$5005,S2250,$D$6:$D$5005,"Vastgesteld"))</f>
        <v/>
      </c>
      <c r="U2250" s="15">
        <f>IF(T2250="",0,IF(AND(G2250=T2250,COUNTIFS($S$6:S2250,S2250,$G$6:G2250,G2250,$D$6:D2250,"Vastgesteld")=1),1,0))</f>
        <v>0</v>
      </c>
      <c r="V2250" s="15">
        <f>IF(T2250="",0,IF(AND(G2250=T2250,COUNTIFS($S$6:S2250,S2250,$G$6:G2250,G2250,$D$6:D2250,"Vastgesteld")&gt;1),1,0))</f>
        <v>0</v>
      </c>
    </row>
    <row r="2251">
      <c r="S2251" s="15" t="str">
        <f>IF(J2251="","",J2251&amp;"|"&amp;E2251&amp;"|"&amp;F2251&amp;"|"&amp;I2251&amp;"|"&amp;O2251)</f>
        <v/>
      </c>
      <c r="T2251" s="15" t="str">
        <f>IF(OR(S2251="",D2251&lt;&gt;"Vastgesteld"),"",_xlfn.MAXIFS($G$6:$G$5005,$S$6:$S$5005,S2251,$D$6:$D$5005,"Vastgesteld"))</f>
        <v/>
      </c>
      <c r="U2251" s="15">
        <f>IF(T2251="",0,IF(AND(G2251=T2251,COUNTIFS($S$6:S2251,S2251,$G$6:G2251,G2251,$D$6:D2251,"Vastgesteld")=1),1,0))</f>
        <v>0</v>
      </c>
      <c r="V2251" s="15">
        <f>IF(T2251="",0,IF(AND(G2251=T2251,COUNTIFS($S$6:S2251,S2251,$G$6:G2251,G2251,$D$6:D2251,"Vastgesteld")&gt;1),1,0))</f>
        <v>0</v>
      </c>
    </row>
    <row r="2252">
      <c r="S2252" s="15" t="str">
        <f>IF(J2252="","",J2252&amp;"|"&amp;E2252&amp;"|"&amp;F2252&amp;"|"&amp;I2252&amp;"|"&amp;O2252)</f>
        <v/>
      </c>
      <c r="T2252" s="15" t="str">
        <f>IF(OR(S2252="",D2252&lt;&gt;"Vastgesteld"),"",_xlfn.MAXIFS($G$6:$G$5005,$S$6:$S$5005,S2252,$D$6:$D$5005,"Vastgesteld"))</f>
        <v/>
      </c>
      <c r="U2252" s="15">
        <f>IF(T2252="",0,IF(AND(G2252=T2252,COUNTIFS($S$6:S2252,S2252,$G$6:G2252,G2252,$D$6:D2252,"Vastgesteld")=1),1,0))</f>
        <v>0</v>
      </c>
      <c r="V2252" s="15">
        <f>IF(T2252="",0,IF(AND(G2252=T2252,COUNTIFS($S$6:S2252,S2252,$G$6:G2252,G2252,$D$6:D2252,"Vastgesteld")&gt;1),1,0))</f>
        <v>0</v>
      </c>
    </row>
    <row r="2253">
      <c r="S2253" s="15" t="str">
        <f>IF(J2253="","",J2253&amp;"|"&amp;E2253&amp;"|"&amp;F2253&amp;"|"&amp;I2253&amp;"|"&amp;O2253)</f>
        <v/>
      </c>
      <c r="T2253" s="15" t="str">
        <f>IF(OR(S2253="",D2253&lt;&gt;"Vastgesteld"),"",_xlfn.MAXIFS($G$6:$G$5005,$S$6:$S$5005,S2253,$D$6:$D$5005,"Vastgesteld"))</f>
        <v/>
      </c>
      <c r="U2253" s="15">
        <f>IF(T2253="",0,IF(AND(G2253=T2253,COUNTIFS($S$6:S2253,S2253,$G$6:G2253,G2253,$D$6:D2253,"Vastgesteld")=1),1,0))</f>
        <v>0</v>
      </c>
      <c r="V2253" s="15">
        <f>IF(T2253="",0,IF(AND(G2253=T2253,COUNTIFS($S$6:S2253,S2253,$G$6:G2253,G2253,$D$6:D2253,"Vastgesteld")&gt;1),1,0))</f>
        <v>0</v>
      </c>
    </row>
    <row r="2254">
      <c r="S2254" s="15" t="str">
        <f>IF(J2254="","",J2254&amp;"|"&amp;E2254&amp;"|"&amp;F2254&amp;"|"&amp;I2254&amp;"|"&amp;O2254)</f>
        <v/>
      </c>
      <c r="T2254" s="15" t="str">
        <f>IF(OR(S2254="",D2254&lt;&gt;"Vastgesteld"),"",_xlfn.MAXIFS($G$6:$G$5005,$S$6:$S$5005,S2254,$D$6:$D$5005,"Vastgesteld"))</f>
        <v/>
      </c>
      <c r="U2254" s="15">
        <f>IF(T2254="",0,IF(AND(G2254=T2254,COUNTIFS($S$6:S2254,S2254,$G$6:G2254,G2254,$D$6:D2254,"Vastgesteld")=1),1,0))</f>
        <v>0</v>
      </c>
      <c r="V2254" s="15">
        <f>IF(T2254="",0,IF(AND(G2254=T2254,COUNTIFS($S$6:S2254,S2254,$G$6:G2254,G2254,$D$6:D2254,"Vastgesteld")&gt;1),1,0))</f>
        <v>0</v>
      </c>
    </row>
    <row r="2255">
      <c r="S2255" s="15" t="str">
        <f>IF(J2255="","",J2255&amp;"|"&amp;E2255&amp;"|"&amp;F2255&amp;"|"&amp;I2255&amp;"|"&amp;O2255)</f>
        <v/>
      </c>
      <c r="T2255" s="15" t="str">
        <f>IF(OR(S2255="",D2255&lt;&gt;"Vastgesteld"),"",_xlfn.MAXIFS($G$6:$G$5005,$S$6:$S$5005,S2255,$D$6:$D$5005,"Vastgesteld"))</f>
        <v/>
      </c>
      <c r="U2255" s="15">
        <f>IF(T2255="",0,IF(AND(G2255=T2255,COUNTIFS($S$6:S2255,S2255,$G$6:G2255,G2255,$D$6:D2255,"Vastgesteld")=1),1,0))</f>
        <v>0</v>
      </c>
      <c r="V2255" s="15">
        <f>IF(T2255="",0,IF(AND(G2255=T2255,COUNTIFS($S$6:S2255,S2255,$G$6:G2255,G2255,$D$6:D2255,"Vastgesteld")&gt;1),1,0))</f>
        <v>0</v>
      </c>
    </row>
    <row r="2256">
      <c r="S2256" s="15" t="str">
        <f>IF(J2256="","",J2256&amp;"|"&amp;E2256&amp;"|"&amp;F2256&amp;"|"&amp;I2256&amp;"|"&amp;O2256)</f>
        <v/>
      </c>
      <c r="T2256" s="15" t="str">
        <f>IF(OR(S2256="",D2256&lt;&gt;"Vastgesteld"),"",_xlfn.MAXIFS($G$6:$G$5005,$S$6:$S$5005,S2256,$D$6:$D$5005,"Vastgesteld"))</f>
        <v/>
      </c>
      <c r="U2256" s="15">
        <f>IF(T2256="",0,IF(AND(G2256=T2256,COUNTIFS($S$6:S2256,S2256,$G$6:G2256,G2256,$D$6:D2256,"Vastgesteld")=1),1,0))</f>
        <v>0</v>
      </c>
      <c r="V2256" s="15">
        <f>IF(T2256="",0,IF(AND(G2256=T2256,COUNTIFS($S$6:S2256,S2256,$G$6:G2256,G2256,$D$6:D2256,"Vastgesteld")&gt;1),1,0))</f>
        <v>0</v>
      </c>
    </row>
    <row r="2257">
      <c r="S2257" s="15" t="str">
        <f>IF(J2257="","",J2257&amp;"|"&amp;E2257&amp;"|"&amp;F2257&amp;"|"&amp;I2257&amp;"|"&amp;O2257)</f>
        <v/>
      </c>
      <c r="T2257" s="15" t="str">
        <f>IF(OR(S2257="",D2257&lt;&gt;"Vastgesteld"),"",_xlfn.MAXIFS($G$6:$G$5005,$S$6:$S$5005,S2257,$D$6:$D$5005,"Vastgesteld"))</f>
        <v/>
      </c>
      <c r="U2257" s="15">
        <f>IF(T2257="",0,IF(AND(G2257=T2257,COUNTIFS($S$6:S2257,S2257,$G$6:G2257,G2257,$D$6:D2257,"Vastgesteld")=1),1,0))</f>
        <v>0</v>
      </c>
      <c r="V2257" s="15">
        <f>IF(T2257="",0,IF(AND(G2257=T2257,COUNTIFS($S$6:S2257,S2257,$G$6:G2257,G2257,$D$6:D2257,"Vastgesteld")&gt;1),1,0))</f>
        <v>0</v>
      </c>
    </row>
    <row r="2258">
      <c r="S2258" s="15" t="str">
        <f>IF(J2258="","",J2258&amp;"|"&amp;E2258&amp;"|"&amp;F2258&amp;"|"&amp;I2258&amp;"|"&amp;O2258)</f>
        <v/>
      </c>
      <c r="T2258" s="15" t="str">
        <f>IF(OR(S2258="",D2258&lt;&gt;"Vastgesteld"),"",_xlfn.MAXIFS($G$6:$G$5005,$S$6:$S$5005,S2258,$D$6:$D$5005,"Vastgesteld"))</f>
        <v/>
      </c>
      <c r="U2258" s="15">
        <f>IF(T2258="",0,IF(AND(G2258=T2258,COUNTIFS($S$6:S2258,S2258,$G$6:G2258,G2258,$D$6:D2258,"Vastgesteld")=1),1,0))</f>
        <v>0</v>
      </c>
      <c r="V2258" s="15">
        <f>IF(T2258="",0,IF(AND(G2258=T2258,COUNTIFS($S$6:S2258,S2258,$G$6:G2258,G2258,$D$6:D2258,"Vastgesteld")&gt;1),1,0))</f>
        <v>0</v>
      </c>
    </row>
    <row r="2259">
      <c r="S2259" s="15" t="str">
        <f>IF(J2259="","",J2259&amp;"|"&amp;E2259&amp;"|"&amp;F2259&amp;"|"&amp;I2259&amp;"|"&amp;O2259)</f>
        <v/>
      </c>
      <c r="T2259" s="15" t="str">
        <f>IF(OR(S2259="",D2259&lt;&gt;"Vastgesteld"),"",_xlfn.MAXIFS($G$6:$G$5005,$S$6:$S$5005,S2259,$D$6:$D$5005,"Vastgesteld"))</f>
        <v/>
      </c>
      <c r="U2259" s="15">
        <f>IF(T2259="",0,IF(AND(G2259=T2259,COUNTIFS($S$6:S2259,S2259,$G$6:G2259,G2259,$D$6:D2259,"Vastgesteld")=1),1,0))</f>
        <v>0</v>
      </c>
      <c r="V2259" s="15">
        <f>IF(T2259="",0,IF(AND(G2259=T2259,COUNTIFS($S$6:S2259,S2259,$G$6:G2259,G2259,$D$6:D2259,"Vastgesteld")&gt;1),1,0))</f>
        <v>0</v>
      </c>
    </row>
    <row r="2260">
      <c r="S2260" s="15" t="str">
        <f>IF(J2260="","",J2260&amp;"|"&amp;E2260&amp;"|"&amp;F2260&amp;"|"&amp;I2260&amp;"|"&amp;O2260)</f>
        <v/>
      </c>
      <c r="T2260" s="15" t="str">
        <f>IF(OR(S2260="",D2260&lt;&gt;"Vastgesteld"),"",_xlfn.MAXIFS($G$6:$G$5005,$S$6:$S$5005,S2260,$D$6:$D$5005,"Vastgesteld"))</f>
        <v/>
      </c>
      <c r="U2260" s="15">
        <f>IF(T2260="",0,IF(AND(G2260=T2260,COUNTIFS($S$6:S2260,S2260,$G$6:G2260,G2260,$D$6:D2260,"Vastgesteld")=1),1,0))</f>
        <v>0</v>
      </c>
      <c r="V2260" s="15">
        <f>IF(T2260="",0,IF(AND(G2260=T2260,COUNTIFS($S$6:S2260,S2260,$G$6:G2260,G2260,$D$6:D2260,"Vastgesteld")&gt;1),1,0))</f>
        <v>0</v>
      </c>
    </row>
    <row r="2261">
      <c r="S2261" s="15" t="str">
        <f>IF(J2261="","",J2261&amp;"|"&amp;E2261&amp;"|"&amp;F2261&amp;"|"&amp;I2261&amp;"|"&amp;O2261)</f>
        <v/>
      </c>
      <c r="T2261" s="15" t="str">
        <f>IF(OR(S2261="",D2261&lt;&gt;"Vastgesteld"),"",_xlfn.MAXIFS($G$6:$G$5005,$S$6:$S$5005,S2261,$D$6:$D$5005,"Vastgesteld"))</f>
        <v/>
      </c>
      <c r="U2261" s="15">
        <f>IF(T2261="",0,IF(AND(G2261=T2261,COUNTIFS($S$6:S2261,S2261,$G$6:G2261,G2261,$D$6:D2261,"Vastgesteld")=1),1,0))</f>
        <v>0</v>
      </c>
      <c r="V2261" s="15">
        <f>IF(T2261="",0,IF(AND(G2261=T2261,COUNTIFS($S$6:S2261,S2261,$G$6:G2261,G2261,$D$6:D2261,"Vastgesteld")&gt;1),1,0))</f>
        <v>0</v>
      </c>
    </row>
    <row r="2262">
      <c r="S2262" s="15" t="str">
        <f>IF(J2262="","",J2262&amp;"|"&amp;E2262&amp;"|"&amp;F2262&amp;"|"&amp;I2262&amp;"|"&amp;O2262)</f>
        <v/>
      </c>
      <c r="T2262" s="15" t="str">
        <f>IF(OR(S2262="",D2262&lt;&gt;"Vastgesteld"),"",_xlfn.MAXIFS($G$6:$G$5005,$S$6:$S$5005,S2262,$D$6:$D$5005,"Vastgesteld"))</f>
        <v/>
      </c>
      <c r="U2262" s="15">
        <f>IF(T2262="",0,IF(AND(G2262=T2262,COUNTIFS($S$6:S2262,S2262,$G$6:G2262,G2262,$D$6:D2262,"Vastgesteld")=1),1,0))</f>
        <v>0</v>
      </c>
      <c r="V2262" s="15">
        <f>IF(T2262="",0,IF(AND(G2262=T2262,COUNTIFS($S$6:S2262,S2262,$G$6:G2262,G2262,$D$6:D2262,"Vastgesteld")&gt;1),1,0))</f>
        <v>0</v>
      </c>
    </row>
    <row r="2263">
      <c r="S2263" s="15" t="str">
        <f>IF(J2263="","",J2263&amp;"|"&amp;E2263&amp;"|"&amp;F2263&amp;"|"&amp;I2263&amp;"|"&amp;O2263)</f>
        <v/>
      </c>
      <c r="T2263" s="15" t="str">
        <f>IF(OR(S2263="",D2263&lt;&gt;"Vastgesteld"),"",_xlfn.MAXIFS($G$6:$G$5005,$S$6:$S$5005,S2263,$D$6:$D$5005,"Vastgesteld"))</f>
        <v/>
      </c>
      <c r="U2263" s="15">
        <f>IF(T2263="",0,IF(AND(G2263=T2263,COUNTIFS($S$6:S2263,S2263,$G$6:G2263,G2263,$D$6:D2263,"Vastgesteld")=1),1,0))</f>
        <v>0</v>
      </c>
      <c r="V2263" s="15">
        <f>IF(T2263="",0,IF(AND(G2263=T2263,COUNTIFS($S$6:S2263,S2263,$G$6:G2263,G2263,$D$6:D2263,"Vastgesteld")&gt;1),1,0))</f>
        <v>0</v>
      </c>
    </row>
    <row r="2264">
      <c r="S2264" s="15" t="str">
        <f>IF(J2264="","",J2264&amp;"|"&amp;E2264&amp;"|"&amp;F2264&amp;"|"&amp;I2264&amp;"|"&amp;O2264)</f>
        <v/>
      </c>
      <c r="T2264" s="15" t="str">
        <f>IF(OR(S2264="",D2264&lt;&gt;"Vastgesteld"),"",_xlfn.MAXIFS($G$6:$G$5005,$S$6:$S$5005,S2264,$D$6:$D$5005,"Vastgesteld"))</f>
        <v/>
      </c>
      <c r="U2264" s="15">
        <f>IF(T2264="",0,IF(AND(G2264=T2264,COUNTIFS($S$6:S2264,S2264,$G$6:G2264,G2264,$D$6:D2264,"Vastgesteld")=1),1,0))</f>
        <v>0</v>
      </c>
      <c r="V2264" s="15">
        <f>IF(T2264="",0,IF(AND(G2264=T2264,COUNTIFS($S$6:S2264,S2264,$G$6:G2264,G2264,$D$6:D2264,"Vastgesteld")&gt;1),1,0))</f>
        <v>0</v>
      </c>
    </row>
    <row r="2265">
      <c r="S2265" s="15" t="str">
        <f>IF(J2265="","",J2265&amp;"|"&amp;E2265&amp;"|"&amp;F2265&amp;"|"&amp;I2265&amp;"|"&amp;O2265)</f>
        <v/>
      </c>
      <c r="T2265" s="15" t="str">
        <f>IF(OR(S2265="",D2265&lt;&gt;"Vastgesteld"),"",_xlfn.MAXIFS($G$6:$G$5005,$S$6:$S$5005,S2265,$D$6:$D$5005,"Vastgesteld"))</f>
        <v/>
      </c>
      <c r="U2265" s="15">
        <f>IF(T2265="",0,IF(AND(G2265=T2265,COUNTIFS($S$6:S2265,S2265,$G$6:G2265,G2265,$D$6:D2265,"Vastgesteld")=1),1,0))</f>
        <v>0</v>
      </c>
      <c r="V2265" s="15">
        <f>IF(T2265="",0,IF(AND(G2265=T2265,COUNTIFS($S$6:S2265,S2265,$G$6:G2265,G2265,$D$6:D2265,"Vastgesteld")&gt;1),1,0))</f>
        <v>0</v>
      </c>
    </row>
    <row r="2266">
      <c r="S2266" s="15" t="str">
        <f>IF(J2266="","",J2266&amp;"|"&amp;E2266&amp;"|"&amp;F2266&amp;"|"&amp;I2266&amp;"|"&amp;O2266)</f>
        <v/>
      </c>
      <c r="T2266" s="15" t="str">
        <f>IF(OR(S2266="",D2266&lt;&gt;"Vastgesteld"),"",_xlfn.MAXIFS($G$6:$G$5005,$S$6:$S$5005,S2266,$D$6:$D$5005,"Vastgesteld"))</f>
        <v/>
      </c>
      <c r="U2266" s="15">
        <f>IF(T2266="",0,IF(AND(G2266=T2266,COUNTIFS($S$6:S2266,S2266,$G$6:G2266,G2266,$D$6:D2266,"Vastgesteld")=1),1,0))</f>
        <v>0</v>
      </c>
      <c r="V2266" s="15">
        <f>IF(T2266="",0,IF(AND(G2266=T2266,COUNTIFS($S$6:S2266,S2266,$G$6:G2266,G2266,$D$6:D2266,"Vastgesteld")&gt;1),1,0))</f>
        <v>0</v>
      </c>
    </row>
    <row r="2267">
      <c r="S2267" s="15" t="str">
        <f>IF(J2267="","",J2267&amp;"|"&amp;E2267&amp;"|"&amp;F2267&amp;"|"&amp;I2267&amp;"|"&amp;O2267)</f>
        <v/>
      </c>
      <c r="T2267" s="15" t="str">
        <f>IF(OR(S2267="",D2267&lt;&gt;"Vastgesteld"),"",_xlfn.MAXIFS($G$6:$G$5005,$S$6:$S$5005,S2267,$D$6:$D$5005,"Vastgesteld"))</f>
        <v/>
      </c>
      <c r="U2267" s="15">
        <f>IF(T2267="",0,IF(AND(G2267=T2267,COUNTIFS($S$6:S2267,S2267,$G$6:G2267,G2267,$D$6:D2267,"Vastgesteld")=1),1,0))</f>
        <v>0</v>
      </c>
      <c r="V2267" s="15">
        <f>IF(T2267="",0,IF(AND(G2267=T2267,COUNTIFS($S$6:S2267,S2267,$G$6:G2267,G2267,$D$6:D2267,"Vastgesteld")&gt;1),1,0))</f>
        <v>0</v>
      </c>
    </row>
    <row r="2268">
      <c r="S2268" s="15" t="str">
        <f>IF(J2268="","",J2268&amp;"|"&amp;E2268&amp;"|"&amp;F2268&amp;"|"&amp;I2268&amp;"|"&amp;O2268)</f>
        <v/>
      </c>
      <c r="T2268" s="15" t="str">
        <f>IF(OR(S2268="",D2268&lt;&gt;"Vastgesteld"),"",_xlfn.MAXIFS($G$6:$G$5005,$S$6:$S$5005,S2268,$D$6:$D$5005,"Vastgesteld"))</f>
        <v/>
      </c>
      <c r="U2268" s="15">
        <f>IF(T2268="",0,IF(AND(G2268=T2268,COUNTIFS($S$6:S2268,S2268,$G$6:G2268,G2268,$D$6:D2268,"Vastgesteld")=1),1,0))</f>
        <v>0</v>
      </c>
      <c r="V2268" s="15">
        <f>IF(T2268="",0,IF(AND(G2268=T2268,COUNTIFS($S$6:S2268,S2268,$G$6:G2268,G2268,$D$6:D2268,"Vastgesteld")&gt;1),1,0))</f>
        <v>0</v>
      </c>
    </row>
    <row r="2269">
      <c r="S2269" s="15" t="str">
        <f>IF(J2269="","",J2269&amp;"|"&amp;E2269&amp;"|"&amp;F2269&amp;"|"&amp;I2269&amp;"|"&amp;O2269)</f>
        <v/>
      </c>
      <c r="T2269" s="15" t="str">
        <f>IF(OR(S2269="",D2269&lt;&gt;"Vastgesteld"),"",_xlfn.MAXIFS($G$6:$G$5005,$S$6:$S$5005,S2269,$D$6:$D$5005,"Vastgesteld"))</f>
        <v/>
      </c>
      <c r="U2269" s="15">
        <f>IF(T2269="",0,IF(AND(G2269=T2269,COUNTIFS($S$6:S2269,S2269,$G$6:G2269,G2269,$D$6:D2269,"Vastgesteld")=1),1,0))</f>
        <v>0</v>
      </c>
      <c r="V2269" s="15">
        <f>IF(T2269="",0,IF(AND(G2269=T2269,COUNTIFS($S$6:S2269,S2269,$G$6:G2269,G2269,$D$6:D2269,"Vastgesteld")&gt;1),1,0))</f>
        <v>0</v>
      </c>
    </row>
    <row r="2270">
      <c r="S2270" s="15" t="str">
        <f>IF(J2270="","",J2270&amp;"|"&amp;E2270&amp;"|"&amp;F2270&amp;"|"&amp;I2270&amp;"|"&amp;O2270)</f>
        <v/>
      </c>
      <c r="T2270" s="15" t="str">
        <f>IF(OR(S2270="",D2270&lt;&gt;"Vastgesteld"),"",_xlfn.MAXIFS($G$6:$G$5005,$S$6:$S$5005,S2270,$D$6:$D$5005,"Vastgesteld"))</f>
        <v/>
      </c>
      <c r="U2270" s="15">
        <f>IF(T2270="",0,IF(AND(G2270=T2270,COUNTIFS($S$6:S2270,S2270,$G$6:G2270,G2270,$D$6:D2270,"Vastgesteld")=1),1,0))</f>
        <v>0</v>
      </c>
      <c r="V2270" s="15">
        <f>IF(T2270="",0,IF(AND(G2270=T2270,COUNTIFS($S$6:S2270,S2270,$G$6:G2270,G2270,$D$6:D2270,"Vastgesteld")&gt;1),1,0))</f>
        <v>0</v>
      </c>
    </row>
    <row r="2271">
      <c r="S2271" s="15" t="str">
        <f>IF(J2271="","",J2271&amp;"|"&amp;E2271&amp;"|"&amp;F2271&amp;"|"&amp;I2271&amp;"|"&amp;O2271)</f>
        <v/>
      </c>
      <c r="T2271" s="15" t="str">
        <f>IF(OR(S2271="",D2271&lt;&gt;"Vastgesteld"),"",_xlfn.MAXIFS($G$6:$G$5005,$S$6:$S$5005,S2271,$D$6:$D$5005,"Vastgesteld"))</f>
        <v/>
      </c>
      <c r="U2271" s="15">
        <f>IF(T2271="",0,IF(AND(G2271=T2271,COUNTIFS($S$6:S2271,S2271,$G$6:G2271,G2271,$D$6:D2271,"Vastgesteld")=1),1,0))</f>
        <v>0</v>
      </c>
      <c r="V2271" s="15">
        <f>IF(T2271="",0,IF(AND(G2271=T2271,COUNTIFS($S$6:S2271,S2271,$G$6:G2271,G2271,$D$6:D2271,"Vastgesteld")&gt;1),1,0))</f>
        <v>0</v>
      </c>
    </row>
    <row r="2272">
      <c r="S2272" s="15" t="str">
        <f>IF(J2272="","",J2272&amp;"|"&amp;E2272&amp;"|"&amp;F2272&amp;"|"&amp;I2272&amp;"|"&amp;O2272)</f>
        <v/>
      </c>
      <c r="T2272" s="15" t="str">
        <f>IF(OR(S2272="",D2272&lt;&gt;"Vastgesteld"),"",_xlfn.MAXIFS($G$6:$G$5005,$S$6:$S$5005,S2272,$D$6:$D$5005,"Vastgesteld"))</f>
        <v/>
      </c>
      <c r="U2272" s="15">
        <f>IF(T2272="",0,IF(AND(G2272=T2272,COUNTIFS($S$6:S2272,S2272,$G$6:G2272,G2272,$D$6:D2272,"Vastgesteld")=1),1,0))</f>
        <v>0</v>
      </c>
      <c r="V2272" s="15">
        <f>IF(T2272="",0,IF(AND(G2272=T2272,COUNTIFS($S$6:S2272,S2272,$G$6:G2272,G2272,$D$6:D2272,"Vastgesteld")&gt;1),1,0))</f>
        <v>0</v>
      </c>
    </row>
    <row r="2273">
      <c r="S2273" s="15" t="str">
        <f>IF(J2273="","",J2273&amp;"|"&amp;E2273&amp;"|"&amp;F2273&amp;"|"&amp;I2273&amp;"|"&amp;O2273)</f>
        <v/>
      </c>
      <c r="T2273" s="15" t="str">
        <f>IF(OR(S2273="",D2273&lt;&gt;"Vastgesteld"),"",_xlfn.MAXIFS($G$6:$G$5005,$S$6:$S$5005,S2273,$D$6:$D$5005,"Vastgesteld"))</f>
        <v/>
      </c>
      <c r="U2273" s="15">
        <f>IF(T2273="",0,IF(AND(G2273=T2273,COUNTIFS($S$6:S2273,S2273,$G$6:G2273,G2273,$D$6:D2273,"Vastgesteld")=1),1,0))</f>
        <v>0</v>
      </c>
      <c r="V2273" s="15">
        <f>IF(T2273="",0,IF(AND(G2273=T2273,COUNTIFS($S$6:S2273,S2273,$G$6:G2273,G2273,$D$6:D2273,"Vastgesteld")&gt;1),1,0))</f>
        <v>0</v>
      </c>
    </row>
    <row r="2274">
      <c r="S2274" s="15" t="str">
        <f>IF(J2274="","",J2274&amp;"|"&amp;E2274&amp;"|"&amp;F2274&amp;"|"&amp;I2274&amp;"|"&amp;O2274)</f>
        <v/>
      </c>
      <c r="T2274" s="15" t="str">
        <f>IF(OR(S2274="",D2274&lt;&gt;"Vastgesteld"),"",_xlfn.MAXIFS($G$6:$G$5005,$S$6:$S$5005,S2274,$D$6:$D$5005,"Vastgesteld"))</f>
        <v/>
      </c>
      <c r="U2274" s="15">
        <f>IF(T2274="",0,IF(AND(G2274=T2274,COUNTIFS($S$6:S2274,S2274,$G$6:G2274,G2274,$D$6:D2274,"Vastgesteld")=1),1,0))</f>
        <v>0</v>
      </c>
      <c r="V2274" s="15">
        <f>IF(T2274="",0,IF(AND(G2274=T2274,COUNTIFS($S$6:S2274,S2274,$G$6:G2274,G2274,$D$6:D2274,"Vastgesteld")&gt;1),1,0))</f>
        <v>0</v>
      </c>
    </row>
    <row r="2275">
      <c r="S2275" s="15" t="str">
        <f>IF(J2275="","",J2275&amp;"|"&amp;E2275&amp;"|"&amp;F2275&amp;"|"&amp;I2275&amp;"|"&amp;O2275)</f>
        <v/>
      </c>
      <c r="T2275" s="15" t="str">
        <f>IF(OR(S2275="",D2275&lt;&gt;"Vastgesteld"),"",_xlfn.MAXIFS($G$6:$G$5005,$S$6:$S$5005,S2275,$D$6:$D$5005,"Vastgesteld"))</f>
        <v/>
      </c>
      <c r="U2275" s="15">
        <f>IF(T2275="",0,IF(AND(G2275=T2275,COUNTIFS($S$6:S2275,S2275,$G$6:G2275,G2275,$D$6:D2275,"Vastgesteld")=1),1,0))</f>
        <v>0</v>
      </c>
      <c r="V2275" s="15">
        <f>IF(T2275="",0,IF(AND(G2275=T2275,COUNTIFS($S$6:S2275,S2275,$G$6:G2275,G2275,$D$6:D2275,"Vastgesteld")&gt;1),1,0))</f>
        <v>0</v>
      </c>
    </row>
    <row r="2276">
      <c r="S2276" s="15" t="str">
        <f>IF(J2276="","",J2276&amp;"|"&amp;E2276&amp;"|"&amp;F2276&amp;"|"&amp;I2276&amp;"|"&amp;O2276)</f>
        <v/>
      </c>
      <c r="T2276" s="15" t="str">
        <f>IF(OR(S2276="",D2276&lt;&gt;"Vastgesteld"),"",_xlfn.MAXIFS($G$6:$G$5005,$S$6:$S$5005,S2276,$D$6:$D$5005,"Vastgesteld"))</f>
        <v/>
      </c>
      <c r="U2276" s="15">
        <f>IF(T2276="",0,IF(AND(G2276=T2276,COUNTIFS($S$6:S2276,S2276,$G$6:G2276,G2276,$D$6:D2276,"Vastgesteld")=1),1,0))</f>
        <v>0</v>
      </c>
      <c r="V2276" s="15">
        <f>IF(T2276="",0,IF(AND(G2276=T2276,COUNTIFS($S$6:S2276,S2276,$G$6:G2276,G2276,$D$6:D2276,"Vastgesteld")&gt;1),1,0))</f>
        <v>0</v>
      </c>
    </row>
    <row r="2277">
      <c r="S2277" s="15" t="str">
        <f>IF(J2277="","",J2277&amp;"|"&amp;E2277&amp;"|"&amp;F2277&amp;"|"&amp;I2277&amp;"|"&amp;O2277)</f>
        <v/>
      </c>
      <c r="T2277" s="15" t="str">
        <f>IF(OR(S2277="",D2277&lt;&gt;"Vastgesteld"),"",_xlfn.MAXIFS($G$6:$G$5005,$S$6:$S$5005,S2277,$D$6:$D$5005,"Vastgesteld"))</f>
        <v/>
      </c>
      <c r="U2277" s="15">
        <f>IF(T2277="",0,IF(AND(G2277=T2277,COUNTIFS($S$6:S2277,S2277,$G$6:G2277,G2277,$D$6:D2277,"Vastgesteld")=1),1,0))</f>
        <v>0</v>
      </c>
      <c r="V2277" s="15">
        <f>IF(T2277="",0,IF(AND(G2277=T2277,COUNTIFS($S$6:S2277,S2277,$G$6:G2277,G2277,$D$6:D2277,"Vastgesteld")&gt;1),1,0))</f>
        <v>0</v>
      </c>
    </row>
    <row r="2278">
      <c r="S2278" s="15" t="str">
        <f>IF(J2278="","",J2278&amp;"|"&amp;E2278&amp;"|"&amp;F2278&amp;"|"&amp;I2278&amp;"|"&amp;O2278)</f>
        <v/>
      </c>
      <c r="T2278" s="15" t="str">
        <f>IF(OR(S2278="",D2278&lt;&gt;"Vastgesteld"),"",_xlfn.MAXIFS($G$6:$G$5005,$S$6:$S$5005,S2278,$D$6:$D$5005,"Vastgesteld"))</f>
        <v/>
      </c>
      <c r="U2278" s="15">
        <f>IF(T2278="",0,IF(AND(G2278=T2278,COUNTIFS($S$6:S2278,S2278,$G$6:G2278,G2278,$D$6:D2278,"Vastgesteld")=1),1,0))</f>
        <v>0</v>
      </c>
      <c r="V2278" s="15">
        <f>IF(T2278="",0,IF(AND(G2278=T2278,COUNTIFS($S$6:S2278,S2278,$G$6:G2278,G2278,$D$6:D2278,"Vastgesteld")&gt;1),1,0))</f>
        <v>0</v>
      </c>
    </row>
    <row r="2279">
      <c r="S2279" s="15" t="str">
        <f>IF(J2279="","",J2279&amp;"|"&amp;E2279&amp;"|"&amp;F2279&amp;"|"&amp;I2279&amp;"|"&amp;O2279)</f>
        <v/>
      </c>
      <c r="T2279" s="15" t="str">
        <f>IF(OR(S2279="",D2279&lt;&gt;"Vastgesteld"),"",_xlfn.MAXIFS($G$6:$G$5005,$S$6:$S$5005,S2279,$D$6:$D$5005,"Vastgesteld"))</f>
        <v/>
      </c>
      <c r="U2279" s="15">
        <f>IF(T2279="",0,IF(AND(G2279=T2279,COUNTIFS($S$6:S2279,S2279,$G$6:G2279,G2279,$D$6:D2279,"Vastgesteld")=1),1,0))</f>
        <v>0</v>
      </c>
      <c r="V2279" s="15">
        <f>IF(T2279="",0,IF(AND(G2279=T2279,COUNTIFS($S$6:S2279,S2279,$G$6:G2279,G2279,$D$6:D2279,"Vastgesteld")&gt;1),1,0))</f>
        <v>0</v>
      </c>
    </row>
    <row r="2280">
      <c r="S2280" s="15" t="str">
        <f>IF(J2280="","",J2280&amp;"|"&amp;E2280&amp;"|"&amp;F2280&amp;"|"&amp;I2280&amp;"|"&amp;O2280)</f>
        <v/>
      </c>
      <c r="T2280" s="15" t="str">
        <f>IF(OR(S2280="",D2280&lt;&gt;"Vastgesteld"),"",_xlfn.MAXIFS($G$6:$G$5005,$S$6:$S$5005,S2280,$D$6:$D$5005,"Vastgesteld"))</f>
        <v/>
      </c>
      <c r="U2280" s="15">
        <f>IF(T2280="",0,IF(AND(G2280=T2280,COUNTIFS($S$6:S2280,S2280,$G$6:G2280,G2280,$D$6:D2280,"Vastgesteld")=1),1,0))</f>
        <v>0</v>
      </c>
      <c r="V2280" s="15">
        <f>IF(T2280="",0,IF(AND(G2280=T2280,COUNTIFS($S$6:S2280,S2280,$G$6:G2280,G2280,$D$6:D2280,"Vastgesteld")&gt;1),1,0))</f>
        <v>0</v>
      </c>
    </row>
    <row r="2281">
      <c r="S2281" s="15" t="str">
        <f>IF(J2281="","",J2281&amp;"|"&amp;E2281&amp;"|"&amp;F2281&amp;"|"&amp;I2281&amp;"|"&amp;O2281)</f>
        <v/>
      </c>
      <c r="T2281" s="15" t="str">
        <f>IF(OR(S2281="",D2281&lt;&gt;"Vastgesteld"),"",_xlfn.MAXIFS($G$6:$G$5005,$S$6:$S$5005,S2281,$D$6:$D$5005,"Vastgesteld"))</f>
        <v/>
      </c>
      <c r="U2281" s="15">
        <f>IF(T2281="",0,IF(AND(G2281=T2281,COUNTIFS($S$6:S2281,S2281,$G$6:G2281,G2281,$D$6:D2281,"Vastgesteld")=1),1,0))</f>
        <v>0</v>
      </c>
      <c r="V2281" s="15">
        <f>IF(T2281="",0,IF(AND(G2281=T2281,COUNTIFS($S$6:S2281,S2281,$G$6:G2281,G2281,$D$6:D2281,"Vastgesteld")&gt;1),1,0))</f>
        <v>0</v>
      </c>
    </row>
    <row r="2282">
      <c r="S2282" s="15" t="str">
        <f>IF(J2282="","",J2282&amp;"|"&amp;E2282&amp;"|"&amp;F2282&amp;"|"&amp;I2282&amp;"|"&amp;O2282)</f>
        <v/>
      </c>
      <c r="T2282" s="15" t="str">
        <f>IF(OR(S2282="",D2282&lt;&gt;"Vastgesteld"),"",_xlfn.MAXIFS($G$6:$G$5005,$S$6:$S$5005,S2282,$D$6:$D$5005,"Vastgesteld"))</f>
        <v/>
      </c>
      <c r="U2282" s="15">
        <f>IF(T2282="",0,IF(AND(G2282=T2282,COUNTIFS($S$6:S2282,S2282,$G$6:G2282,G2282,$D$6:D2282,"Vastgesteld")=1),1,0))</f>
        <v>0</v>
      </c>
      <c r="V2282" s="15">
        <f>IF(T2282="",0,IF(AND(G2282=T2282,COUNTIFS($S$6:S2282,S2282,$G$6:G2282,G2282,$D$6:D2282,"Vastgesteld")&gt;1),1,0))</f>
        <v>0</v>
      </c>
    </row>
    <row r="2283">
      <c r="S2283" s="15" t="str">
        <f>IF(J2283="","",J2283&amp;"|"&amp;E2283&amp;"|"&amp;F2283&amp;"|"&amp;I2283&amp;"|"&amp;O2283)</f>
        <v/>
      </c>
      <c r="T2283" s="15" t="str">
        <f>IF(OR(S2283="",D2283&lt;&gt;"Vastgesteld"),"",_xlfn.MAXIFS($G$6:$G$5005,$S$6:$S$5005,S2283,$D$6:$D$5005,"Vastgesteld"))</f>
        <v/>
      </c>
      <c r="U2283" s="15">
        <f>IF(T2283="",0,IF(AND(G2283=T2283,COUNTIFS($S$6:S2283,S2283,$G$6:G2283,G2283,$D$6:D2283,"Vastgesteld")=1),1,0))</f>
        <v>0</v>
      </c>
      <c r="V2283" s="15">
        <f>IF(T2283="",0,IF(AND(G2283=T2283,COUNTIFS($S$6:S2283,S2283,$G$6:G2283,G2283,$D$6:D2283,"Vastgesteld")&gt;1),1,0))</f>
        <v>0</v>
      </c>
    </row>
    <row r="2284">
      <c r="S2284" s="15" t="str">
        <f>IF(J2284="","",J2284&amp;"|"&amp;E2284&amp;"|"&amp;F2284&amp;"|"&amp;I2284&amp;"|"&amp;O2284)</f>
        <v/>
      </c>
      <c r="T2284" s="15" t="str">
        <f>IF(OR(S2284="",D2284&lt;&gt;"Vastgesteld"),"",_xlfn.MAXIFS($G$6:$G$5005,$S$6:$S$5005,S2284,$D$6:$D$5005,"Vastgesteld"))</f>
        <v/>
      </c>
      <c r="U2284" s="15">
        <f>IF(T2284="",0,IF(AND(G2284=T2284,COUNTIFS($S$6:S2284,S2284,$G$6:G2284,G2284,$D$6:D2284,"Vastgesteld")=1),1,0))</f>
        <v>0</v>
      </c>
      <c r="V2284" s="15">
        <f>IF(T2284="",0,IF(AND(G2284=T2284,COUNTIFS($S$6:S2284,S2284,$G$6:G2284,G2284,$D$6:D2284,"Vastgesteld")&gt;1),1,0))</f>
        <v>0</v>
      </c>
    </row>
    <row r="2285">
      <c r="S2285" s="15" t="str">
        <f>IF(J2285="","",J2285&amp;"|"&amp;E2285&amp;"|"&amp;F2285&amp;"|"&amp;I2285&amp;"|"&amp;O2285)</f>
        <v/>
      </c>
      <c r="T2285" s="15" t="str">
        <f>IF(OR(S2285="",D2285&lt;&gt;"Vastgesteld"),"",_xlfn.MAXIFS($G$6:$G$5005,$S$6:$S$5005,S2285,$D$6:$D$5005,"Vastgesteld"))</f>
        <v/>
      </c>
      <c r="U2285" s="15">
        <f>IF(T2285="",0,IF(AND(G2285=T2285,COUNTIFS($S$6:S2285,S2285,$G$6:G2285,G2285,$D$6:D2285,"Vastgesteld")=1),1,0))</f>
        <v>0</v>
      </c>
      <c r="V2285" s="15">
        <f>IF(T2285="",0,IF(AND(G2285=T2285,COUNTIFS($S$6:S2285,S2285,$G$6:G2285,G2285,$D$6:D2285,"Vastgesteld")&gt;1),1,0))</f>
        <v>0</v>
      </c>
    </row>
    <row r="2286">
      <c r="S2286" s="15" t="str">
        <f>IF(J2286="","",J2286&amp;"|"&amp;E2286&amp;"|"&amp;F2286&amp;"|"&amp;I2286&amp;"|"&amp;O2286)</f>
        <v/>
      </c>
      <c r="T2286" s="15" t="str">
        <f>IF(OR(S2286="",D2286&lt;&gt;"Vastgesteld"),"",_xlfn.MAXIFS($G$6:$G$5005,$S$6:$S$5005,S2286,$D$6:$D$5005,"Vastgesteld"))</f>
        <v/>
      </c>
      <c r="U2286" s="15">
        <f>IF(T2286="",0,IF(AND(G2286=T2286,COUNTIFS($S$6:S2286,S2286,$G$6:G2286,G2286,$D$6:D2286,"Vastgesteld")=1),1,0))</f>
        <v>0</v>
      </c>
      <c r="V2286" s="15">
        <f>IF(T2286="",0,IF(AND(G2286=T2286,COUNTIFS($S$6:S2286,S2286,$G$6:G2286,G2286,$D$6:D2286,"Vastgesteld")&gt;1),1,0))</f>
        <v>0</v>
      </c>
    </row>
    <row r="2287">
      <c r="S2287" s="15" t="str">
        <f>IF(J2287="","",J2287&amp;"|"&amp;E2287&amp;"|"&amp;F2287&amp;"|"&amp;I2287&amp;"|"&amp;O2287)</f>
        <v/>
      </c>
      <c r="T2287" s="15" t="str">
        <f>IF(OR(S2287="",D2287&lt;&gt;"Vastgesteld"),"",_xlfn.MAXIFS($G$6:$G$5005,$S$6:$S$5005,S2287,$D$6:$D$5005,"Vastgesteld"))</f>
        <v/>
      </c>
      <c r="U2287" s="15">
        <f>IF(T2287="",0,IF(AND(G2287=T2287,COUNTIFS($S$6:S2287,S2287,$G$6:G2287,G2287,$D$6:D2287,"Vastgesteld")=1),1,0))</f>
        <v>0</v>
      </c>
      <c r="V2287" s="15">
        <f>IF(T2287="",0,IF(AND(G2287=T2287,COUNTIFS($S$6:S2287,S2287,$G$6:G2287,G2287,$D$6:D2287,"Vastgesteld")&gt;1),1,0))</f>
        <v>0</v>
      </c>
    </row>
    <row r="2288">
      <c r="S2288" s="15" t="str">
        <f>IF(J2288="","",J2288&amp;"|"&amp;E2288&amp;"|"&amp;F2288&amp;"|"&amp;I2288&amp;"|"&amp;O2288)</f>
        <v/>
      </c>
      <c r="T2288" s="15" t="str">
        <f>IF(OR(S2288="",D2288&lt;&gt;"Vastgesteld"),"",_xlfn.MAXIFS($G$6:$G$5005,$S$6:$S$5005,S2288,$D$6:$D$5005,"Vastgesteld"))</f>
        <v/>
      </c>
      <c r="U2288" s="15">
        <f>IF(T2288="",0,IF(AND(G2288=T2288,COUNTIFS($S$6:S2288,S2288,$G$6:G2288,G2288,$D$6:D2288,"Vastgesteld")=1),1,0))</f>
        <v>0</v>
      </c>
      <c r="V2288" s="15">
        <f>IF(T2288="",0,IF(AND(G2288=T2288,COUNTIFS($S$6:S2288,S2288,$G$6:G2288,G2288,$D$6:D2288,"Vastgesteld")&gt;1),1,0))</f>
        <v>0</v>
      </c>
    </row>
    <row r="2289">
      <c r="S2289" s="15" t="str">
        <f>IF(J2289="","",J2289&amp;"|"&amp;E2289&amp;"|"&amp;F2289&amp;"|"&amp;I2289&amp;"|"&amp;O2289)</f>
        <v/>
      </c>
      <c r="T2289" s="15" t="str">
        <f>IF(OR(S2289="",D2289&lt;&gt;"Vastgesteld"),"",_xlfn.MAXIFS($G$6:$G$5005,$S$6:$S$5005,S2289,$D$6:$D$5005,"Vastgesteld"))</f>
        <v/>
      </c>
      <c r="U2289" s="15">
        <f>IF(T2289="",0,IF(AND(G2289=T2289,COUNTIFS($S$6:S2289,S2289,$G$6:G2289,G2289,$D$6:D2289,"Vastgesteld")=1),1,0))</f>
        <v>0</v>
      </c>
      <c r="V2289" s="15">
        <f>IF(T2289="",0,IF(AND(G2289=T2289,COUNTIFS($S$6:S2289,S2289,$G$6:G2289,G2289,$D$6:D2289,"Vastgesteld")&gt;1),1,0))</f>
        <v>0</v>
      </c>
    </row>
    <row r="2290">
      <c r="S2290" s="15" t="str">
        <f>IF(J2290="","",J2290&amp;"|"&amp;E2290&amp;"|"&amp;F2290&amp;"|"&amp;I2290&amp;"|"&amp;O2290)</f>
        <v/>
      </c>
      <c r="T2290" s="15" t="str">
        <f>IF(OR(S2290="",D2290&lt;&gt;"Vastgesteld"),"",_xlfn.MAXIFS($G$6:$G$5005,$S$6:$S$5005,S2290,$D$6:$D$5005,"Vastgesteld"))</f>
        <v/>
      </c>
      <c r="U2290" s="15">
        <f>IF(T2290="",0,IF(AND(G2290=T2290,COUNTIFS($S$6:S2290,S2290,$G$6:G2290,G2290,$D$6:D2290,"Vastgesteld")=1),1,0))</f>
        <v>0</v>
      </c>
      <c r="V2290" s="15">
        <f>IF(T2290="",0,IF(AND(G2290=T2290,COUNTIFS($S$6:S2290,S2290,$G$6:G2290,G2290,$D$6:D2290,"Vastgesteld")&gt;1),1,0))</f>
        <v>0</v>
      </c>
    </row>
    <row r="2291">
      <c r="S2291" s="15" t="str">
        <f>IF(J2291="","",J2291&amp;"|"&amp;E2291&amp;"|"&amp;F2291&amp;"|"&amp;I2291&amp;"|"&amp;O2291)</f>
        <v/>
      </c>
      <c r="T2291" s="15" t="str">
        <f>IF(OR(S2291="",D2291&lt;&gt;"Vastgesteld"),"",_xlfn.MAXIFS($G$6:$G$5005,$S$6:$S$5005,S2291,$D$6:$D$5005,"Vastgesteld"))</f>
        <v/>
      </c>
      <c r="U2291" s="15">
        <f>IF(T2291="",0,IF(AND(G2291=T2291,COUNTIFS($S$6:S2291,S2291,$G$6:G2291,G2291,$D$6:D2291,"Vastgesteld")=1),1,0))</f>
        <v>0</v>
      </c>
      <c r="V2291" s="15">
        <f>IF(T2291="",0,IF(AND(G2291=T2291,COUNTIFS($S$6:S2291,S2291,$G$6:G2291,G2291,$D$6:D2291,"Vastgesteld")&gt;1),1,0))</f>
        <v>0</v>
      </c>
    </row>
    <row r="2292">
      <c r="S2292" s="15" t="str">
        <f>IF(J2292="","",J2292&amp;"|"&amp;E2292&amp;"|"&amp;F2292&amp;"|"&amp;I2292&amp;"|"&amp;O2292)</f>
        <v/>
      </c>
      <c r="T2292" s="15" t="str">
        <f>IF(OR(S2292="",D2292&lt;&gt;"Vastgesteld"),"",_xlfn.MAXIFS($G$6:$G$5005,$S$6:$S$5005,S2292,$D$6:$D$5005,"Vastgesteld"))</f>
        <v/>
      </c>
      <c r="U2292" s="15">
        <f>IF(T2292="",0,IF(AND(G2292=T2292,COUNTIFS($S$6:S2292,S2292,$G$6:G2292,G2292,$D$6:D2292,"Vastgesteld")=1),1,0))</f>
        <v>0</v>
      </c>
      <c r="V2292" s="15">
        <f>IF(T2292="",0,IF(AND(G2292=T2292,COUNTIFS($S$6:S2292,S2292,$G$6:G2292,G2292,$D$6:D2292,"Vastgesteld")&gt;1),1,0))</f>
        <v>0</v>
      </c>
    </row>
    <row r="2293">
      <c r="S2293" s="15" t="str">
        <f>IF(J2293="","",J2293&amp;"|"&amp;E2293&amp;"|"&amp;F2293&amp;"|"&amp;I2293&amp;"|"&amp;O2293)</f>
        <v/>
      </c>
      <c r="T2293" s="15" t="str">
        <f>IF(OR(S2293="",D2293&lt;&gt;"Vastgesteld"),"",_xlfn.MAXIFS($G$6:$G$5005,$S$6:$S$5005,S2293,$D$6:$D$5005,"Vastgesteld"))</f>
        <v/>
      </c>
      <c r="U2293" s="15">
        <f>IF(T2293="",0,IF(AND(G2293=T2293,COUNTIFS($S$6:S2293,S2293,$G$6:G2293,G2293,$D$6:D2293,"Vastgesteld")=1),1,0))</f>
        <v>0</v>
      </c>
      <c r="V2293" s="15">
        <f>IF(T2293="",0,IF(AND(G2293=T2293,COUNTIFS($S$6:S2293,S2293,$G$6:G2293,G2293,$D$6:D2293,"Vastgesteld")&gt;1),1,0))</f>
        <v>0</v>
      </c>
    </row>
    <row r="2294">
      <c r="S2294" s="15" t="str">
        <f>IF(J2294="","",J2294&amp;"|"&amp;E2294&amp;"|"&amp;F2294&amp;"|"&amp;I2294&amp;"|"&amp;O2294)</f>
        <v/>
      </c>
      <c r="T2294" s="15" t="str">
        <f>IF(OR(S2294="",D2294&lt;&gt;"Vastgesteld"),"",_xlfn.MAXIFS($G$6:$G$5005,$S$6:$S$5005,S2294,$D$6:$D$5005,"Vastgesteld"))</f>
        <v/>
      </c>
      <c r="U2294" s="15">
        <f>IF(T2294="",0,IF(AND(G2294=T2294,COUNTIFS($S$6:S2294,S2294,$G$6:G2294,G2294,$D$6:D2294,"Vastgesteld")=1),1,0))</f>
        <v>0</v>
      </c>
      <c r="V2294" s="15">
        <f>IF(T2294="",0,IF(AND(G2294=T2294,COUNTIFS($S$6:S2294,S2294,$G$6:G2294,G2294,$D$6:D2294,"Vastgesteld")&gt;1),1,0))</f>
        <v>0</v>
      </c>
    </row>
    <row r="2295">
      <c r="S2295" s="15" t="str">
        <f>IF(J2295="","",J2295&amp;"|"&amp;E2295&amp;"|"&amp;F2295&amp;"|"&amp;I2295&amp;"|"&amp;O2295)</f>
        <v/>
      </c>
      <c r="T2295" s="15" t="str">
        <f>IF(OR(S2295="",D2295&lt;&gt;"Vastgesteld"),"",_xlfn.MAXIFS($G$6:$G$5005,$S$6:$S$5005,S2295,$D$6:$D$5005,"Vastgesteld"))</f>
        <v/>
      </c>
      <c r="U2295" s="15">
        <f>IF(T2295="",0,IF(AND(G2295=T2295,COUNTIFS($S$6:S2295,S2295,$G$6:G2295,G2295,$D$6:D2295,"Vastgesteld")=1),1,0))</f>
        <v>0</v>
      </c>
      <c r="V2295" s="15">
        <f>IF(T2295="",0,IF(AND(G2295=T2295,COUNTIFS($S$6:S2295,S2295,$G$6:G2295,G2295,$D$6:D2295,"Vastgesteld")&gt;1),1,0))</f>
        <v>0</v>
      </c>
    </row>
    <row r="2296">
      <c r="S2296" s="15" t="str">
        <f>IF(J2296="","",J2296&amp;"|"&amp;E2296&amp;"|"&amp;F2296&amp;"|"&amp;I2296&amp;"|"&amp;O2296)</f>
        <v/>
      </c>
      <c r="T2296" s="15" t="str">
        <f>IF(OR(S2296="",D2296&lt;&gt;"Vastgesteld"),"",_xlfn.MAXIFS($G$6:$G$5005,$S$6:$S$5005,S2296,$D$6:$D$5005,"Vastgesteld"))</f>
        <v/>
      </c>
      <c r="U2296" s="15">
        <f>IF(T2296="",0,IF(AND(G2296=T2296,COUNTIFS($S$6:S2296,S2296,$G$6:G2296,G2296,$D$6:D2296,"Vastgesteld")=1),1,0))</f>
        <v>0</v>
      </c>
      <c r="V2296" s="15">
        <f>IF(T2296="",0,IF(AND(G2296=T2296,COUNTIFS($S$6:S2296,S2296,$G$6:G2296,G2296,$D$6:D2296,"Vastgesteld")&gt;1),1,0))</f>
        <v>0</v>
      </c>
    </row>
    <row r="2297">
      <c r="S2297" s="15" t="str">
        <f>IF(J2297="","",J2297&amp;"|"&amp;E2297&amp;"|"&amp;F2297&amp;"|"&amp;I2297&amp;"|"&amp;O2297)</f>
        <v/>
      </c>
      <c r="T2297" s="15" t="str">
        <f>IF(OR(S2297="",D2297&lt;&gt;"Vastgesteld"),"",_xlfn.MAXIFS($G$6:$G$5005,$S$6:$S$5005,S2297,$D$6:$D$5005,"Vastgesteld"))</f>
        <v/>
      </c>
      <c r="U2297" s="15">
        <f>IF(T2297="",0,IF(AND(G2297=T2297,COUNTIFS($S$6:S2297,S2297,$G$6:G2297,G2297,$D$6:D2297,"Vastgesteld")=1),1,0))</f>
        <v>0</v>
      </c>
      <c r="V2297" s="15">
        <f>IF(T2297="",0,IF(AND(G2297=T2297,COUNTIFS($S$6:S2297,S2297,$G$6:G2297,G2297,$D$6:D2297,"Vastgesteld")&gt;1),1,0))</f>
        <v>0</v>
      </c>
    </row>
    <row r="2298">
      <c r="S2298" s="15" t="str">
        <f>IF(J2298="","",J2298&amp;"|"&amp;E2298&amp;"|"&amp;F2298&amp;"|"&amp;I2298&amp;"|"&amp;O2298)</f>
        <v/>
      </c>
      <c r="T2298" s="15" t="str">
        <f>IF(OR(S2298="",D2298&lt;&gt;"Vastgesteld"),"",_xlfn.MAXIFS($G$6:$G$5005,$S$6:$S$5005,S2298,$D$6:$D$5005,"Vastgesteld"))</f>
        <v/>
      </c>
      <c r="U2298" s="15">
        <f>IF(T2298="",0,IF(AND(G2298=T2298,COUNTIFS($S$6:S2298,S2298,$G$6:G2298,G2298,$D$6:D2298,"Vastgesteld")=1),1,0))</f>
        <v>0</v>
      </c>
      <c r="V2298" s="15">
        <f>IF(T2298="",0,IF(AND(G2298=T2298,COUNTIFS($S$6:S2298,S2298,$G$6:G2298,G2298,$D$6:D2298,"Vastgesteld")&gt;1),1,0))</f>
        <v>0</v>
      </c>
    </row>
    <row r="2299">
      <c r="S2299" s="15" t="str">
        <f>IF(J2299="","",J2299&amp;"|"&amp;E2299&amp;"|"&amp;F2299&amp;"|"&amp;I2299&amp;"|"&amp;O2299)</f>
        <v/>
      </c>
      <c r="T2299" s="15" t="str">
        <f>IF(OR(S2299="",D2299&lt;&gt;"Vastgesteld"),"",_xlfn.MAXIFS($G$6:$G$5005,$S$6:$S$5005,S2299,$D$6:$D$5005,"Vastgesteld"))</f>
        <v/>
      </c>
      <c r="U2299" s="15">
        <f>IF(T2299="",0,IF(AND(G2299=T2299,COUNTIFS($S$6:S2299,S2299,$G$6:G2299,G2299,$D$6:D2299,"Vastgesteld")=1),1,0))</f>
        <v>0</v>
      </c>
      <c r="V2299" s="15">
        <f>IF(T2299="",0,IF(AND(G2299=T2299,COUNTIFS($S$6:S2299,S2299,$G$6:G2299,G2299,$D$6:D2299,"Vastgesteld")&gt;1),1,0))</f>
        <v>0</v>
      </c>
    </row>
    <row r="2300">
      <c r="S2300" s="15" t="str">
        <f>IF(J2300="","",J2300&amp;"|"&amp;E2300&amp;"|"&amp;F2300&amp;"|"&amp;I2300&amp;"|"&amp;O2300)</f>
        <v/>
      </c>
      <c r="T2300" s="15" t="str">
        <f>IF(OR(S2300="",D2300&lt;&gt;"Vastgesteld"),"",_xlfn.MAXIFS($G$6:$G$5005,$S$6:$S$5005,S2300,$D$6:$D$5005,"Vastgesteld"))</f>
        <v/>
      </c>
      <c r="U2300" s="15">
        <f>IF(T2300="",0,IF(AND(G2300=T2300,COUNTIFS($S$6:S2300,S2300,$G$6:G2300,G2300,$D$6:D2300,"Vastgesteld")=1),1,0))</f>
        <v>0</v>
      </c>
      <c r="V2300" s="15">
        <f>IF(T2300="",0,IF(AND(G2300=T2300,COUNTIFS($S$6:S2300,S2300,$G$6:G2300,G2300,$D$6:D2300,"Vastgesteld")&gt;1),1,0))</f>
        <v>0</v>
      </c>
    </row>
    <row r="2301">
      <c r="S2301" s="15" t="str">
        <f>IF(J2301="","",J2301&amp;"|"&amp;E2301&amp;"|"&amp;F2301&amp;"|"&amp;I2301&amp;"|"&amp;O2301)</f>
        <v/>
      </c>
      <c r="T2301" s="15" t="str">
        <f>IF(OR(S2301="",D2301&lt;&gt;"Vastgesteld"),"",_xlfn.MAXIFS($G$6:$G$5005,$S$6:$S$5005,S2301,$D$6:$D$5005,"Vastgesteld"))</f>
        <v/>
      </c>
      <c r="U2301" s="15">
        <f>IF(T2301="",0,IF(AND(G2301=T2301,COUNTIFS($S$6:S2301,S2301,$G$6:G2301,G2301,$D$6:D2301,"Vastgesteld")=1),1,0))</f>
        <v>0</v>
      </c>
      <c r="V2301" s="15">
        <f>IF(T2301="",0,IF(AND(G2301=T2301,COUNTIFS($S$6:S2301,S2301,$G$6:G2301,G2301,$D$6:D2301,"Vastgesteld")&gt;1),1,0))</f>
        <v>0</v>
      </c>
    </row>
    <row r="2302">
      <c r="S2302" s="15" t="str">
        <f>IF(J2302="","",J2302&amp;"|"&amp;E2302&amp;"|"&amp;F2302&amp;"|"&amp;I2302&amp;"|"&amp;O2302)</f>
        <v/>
      </c>
      <c r="T2302" s="15" t="str">
        <f>IF(OR(S2302="",D2302&lt;&gt;"Vastgesteld"),"",_xlfn.MAXIFS($G$6:$G$5005,$S$6:$S$5005,S2302,$D$6:$D$5005,"Vastgesteld"))</f>
        <v/>
      </c>
      <c r="U2302" s="15">
        <f>IF(T2302="",0,IF(AND(G2302=T2302,COUNTIFS($S$6:S2302,S2302,$G$6:G2302,G2302,$D$6:D2302,"Vastgesteld")=1),1,0))</f>
        <v>0</v>
      </c>
      <c r="V2302" s="15">
        <f>IF(T2302="",0,IF(AND(G2302=T2302,COUNTIFS($S$6:S2302,S2302,$G$6:G2302,G2302,$D$6:D2302,"Vastgesteld")&gt;1),1,0))</f>
        <v>0</v>
      </c>
    </row>
    <row r="2303">
      <c r="S2303" s="15" t="str">
        <f>IF(J2303="","",J2303&amp;"|"&amp;E2303&amp;"|"&amp;F2303&amp;"|"&amp;I2303&amp;"|"&amp;O2303)</f>
        <v/>
      </c>
      <c r="T2303" s="15" t="str">
        <f>IF(OR(S2303="",D2303&lt;&gt;"Vastgesteld"),"",_xlfn.MAXIFS($G$6:$G$5005,$S$6:$S$5005,S2303,$D$6:$D$5005,"Vastgesteld"))</f>
        <v/>
      </c>
      <c r="U2303" s="15">
        <f>IF(T2303="",0,IF(AND(G2303=T2303,COUNTIFS($S$6:S2303,S2303,$G$6:G2303,G2303,$D$6:D2303,"Vastgesteld")=1),1,0))</f>
        <v>0</v>
      </c>
      <c r="V2303" s="15">
        <f>IF(T2303="",0,IF(AND(G2303=T2303,COUNTIFS($S$6:S2303,S2303,$G$6:G2303,G2303,$D$6:D2303,"Vastgesteld")&gt;1),1,0))</f>
        <v>0</v>
      </c>
    </row>
    <row r="2304">
      <c r="S2304" s="15" t="str">
        <f>IF(J2304="","",J2304&amp;"|"&amp;E2304&amp;"|"&amp;F2304&amp;"|"&amp;I2304&amp;"|"&amp;O2304)</f>
        <v/>
      </c>
      <c r="T2304" s="15" t="str">
        <f>IF(OR(S2304="",D2304&lt;&gt;"Vastgesteld"),"",_xlfn.MAXIFS($G$6:$G$5005,$S$6:$S$5005,S2304,$D$6:$D$5005,"Vastgesteld"))</f>
        <v/>
      </c>
      <c r="U2304" s="15">
        <f>IF(T2304="",0,IF(AND(G2304=T2304,COUNTIFS($S$6:S2304,S2304,$G$6:G2304,G2304,$D$6:D2304,"Vastgesteld")=1),1,0))</f>
        <v>0</v>
      </c>
      <c r="V2304" s="15">
        <f>IF(T2304="",0,IF(AND(G2304=T2304,COUNTIFS($S$6:S2304,S2304,$G$6:G2304,G2304,$D$6:D2304,"Vastgesteld")&gt;1),1,0))</f>
        <v>0</v>
      </c>
    </row>
    <row r="2305">
      <c r="S2305" s="15" t="str">
        <f>IF(J2305="","",J2305&amp;"|"&amp;E2305&amp;"|"&amp;F2305&amp;"|"&amp;I2305&amp;"|"&amp;O2305)</f>
        <v/>
      </c>
      <c r="T2305" s="15" t="str">
        <f>IF(OR(S2305="",D2305&lt;&gt;"Vastgesteld"),"",_xlfn.MAXIFS($G$6:$G$5005,$S$6:$S$5005,S2305,$D$6:$D$5005,"Vastgesteld"))</f>
        <v/>
      </c>
      <c r="U2305" s="15">
        <f>IF(T2305="",0,IF(AND(G2305=T2305,COUNTIFS($S$6:S2305,S2305,$G$6:G2305,G2305,$D$6:D2305,"Vastgesteld")=1),1,0))</f>
        <v>0</v>
      </c>
      <c r="V2305" s="15">
        <f>IF(T2305="",0,IF(AND(G2305=T2305,COUNTIFS($S$6:S2305,S2305,$G$6:G2305,G2305,$D$6:D2305,"Vastgesteld")&gt;1),1,0))</f>
        <v>0</v>
      </c>
    </row>
    <row r="2306">
      <c r="S2306" s="15" t="str">
        <f>IF(J2306="","",J2306&amp;"|"&amp;E2306&amp;"|"&amp;F2306&amp;"|"&amp;I2306&amp;"|"&amp;O2306)</f>
        <v/>
      </c>
      <c r="T2306" s="15" t="str">
        <f>IF(OR(S2306="",D2306&lt;&gt;"Vastgesteld"),"",_xlfn.MAXIFS($G$6:$G$5005,$S$6:$S$5005,S2306,$D$6:$D$5005,"Vastgesteld"))</f>
        <v/>
      </c>
      <c r="U2306" s="15">
        <f>IF(T2306="",0,IF(AND(G2306=T2306,COUNTIFS($S$6:S2306,S2306,$G$6:G2306,G2306,$D$6:D2306,"Vastgesteld")=1),1,0))</f>
        <v>0</v>
      </c>
      <c r="V2306" s="15">
        <f>IF(T2306="",0,IF(AND(G2306=T2306,COUNTIFS($S$6:S2306,S2306,$G$6:G2306,G2306,$D$6:D2306,"Vastgesteld")&gt;1),1,0))</f>
        <v>0</v>
      </c>
    </row>
    <row r="2307">
      <c r="S2307" s="15" t="str">
        <f>IF(J2307="","",J2307&amp;"|"&amp;E2307&amp;"|"&amp;F2307&amp;"|"&amp;I2307&amp;"|"&amp;O2307)</f>
        <v/>
      </c>
      <c r="T2307" s="15" t="str">
        <f>IF(OR(S2307="",D2307&lt;&gt;"Vastgesteld"),"",_xlfn.MAXIFS($G$6:$G$5005,$S$6:$S$5005,S2307,$D$6:$D$5005,"Vastgesteld"))</f>
        <v/>
      </c>
      <c r="U2307" s="15">
        <f>IF(T2307="",0,IF(AND(G2307=T2307,COUNTIFS($S$6:S2307,S2307,$G$6:G2307,G2307,$D$6:D2307,"Vastgesteld")=1),1,0))</f>
        <v>0</v>
      </c>
      <c r="V2307" s="15">
        <f>IF(T2307="",0,IF(AND(G2307=T2307,COUNTIFS($S$6:S2307,S2307,$G$6:G2307,G2307,$D$6:D2307,"Vastgesteld")&gt;1),1,0))</f>
        <v>0</v>
      </c>
    </row>
    <row r="2308">
      <c r="S2308" s="15" t="str">
        <f>IF(J2308="","",J2308&amp;"|"&amp;E2308&amp;"|"&amp;F2308&amp;"|"&amp;I2308&amp;"|"&amp;O2308)</f>
        <v/>
      </c>
      <c r="T2308" s="15" t="str">
        <f>IF(OR(S2308="",D2308&lt;&gt;"Vastgesteld"),"",_xlfn.MAXIFS($G$6:$G$5005,$S$6:$S$5005,S2308,$D$6:$D$5005,"Vastgesteld"))</f>
        <v/>
      </c>
      <c r="U2308" s="15">
        <f>IF(T2308="",0,IF(AND(G2308=T2308,COUNTIFS($S$6:S2308,S2308,$G$6:G2308,G2308,$D$6:D2308,"Vastgesteld")=1),1,0))</f>
        <v>0</v>
      </c>
      <c r="V2308" s="15">
        <f>IF(T2308="",0,IF(AND(G2308=T2308,COUNTIFS($S$6:S2308,S2308,$G$6:G2308,G2308,$D$6:D2308,"Vastgesteld")&gt;1),1,0))</f>
        <v>0</v>
      </c>
    </row>
    <row r="2309">
      <c r="S2309" s="15" t="str">
        <f>IF(J2309="","",J2309&amp;"|"&amp;E2309&amp;"|"&amp;F2309&amp;"|"&amp;I2309&amp;"|"&amp;O2309)</f>
        <v/>
      </c>
      <c r="T2309" s="15" t="str">
        <f>IF(OR(S2309="",D2309&lt;&gt;"Vastgesteld"),"",_xlfn.MAXIFS($G$6:$G$5005,$S$6:$S$5005,S2309,$D$6:$D$5005,"Vastgesteld"))</f>
        <v/>
      </c>
      <c r="U2309" s="15">
        <f>IF(T2309="",0,IF(AND(G2309=T2309,COUNTIFS($S$6:S2309,S2309,$G$6:G2309,G2309,$D$6:D2309,"Vastgesteld")=1),1,0))</f>
        <v>0</v>
      </c>
      <c r="V2309" s="15">
        <f>IF(T2309="",0,IF(AND(G2309=T2309,COUNTIFS($S$6:S2309,S2309,$G$6:G2309,G2309,$D$6:D2309,"Vastgesteld")&gt;1),1,0))</f>
        <v>0</v>
      </c>
    </row>
    <row r="2310">
      <c r="S2310" s="15" t="str">
        <f>IF(J2310="","",J2310&amp;"|"&amp;E2310&amp;"|"&amp;F2310&amp;"|"&amp;I2310&amp;"|"&amp;O2310)</f>
        <v/>
      </c>
      <c r="T2310" s="15" t="str">
        <f>IF(OR(S2310="",D2310&lt;&gt;"Vastgesteld"),"",_xlfn.MAXIFS($G$6:$G$5005,$S$6:$S$5005,S2310,$D$6:$D$5005,"Vastgesteld"))</f>
        <v/>
      </c>
      <c r="U2310" s="15">
        <f>IF(T2310="",0,IF(AND(G2310=T2310,COUNTIFS($S$6:S2310,S2310,$G$6:G2310,G2310,$D$6:D2310,"Vastgesteld")=1),1,0))</f>
        <v>0</v>
      </c>
      <c r="V2310" s="15">
        <f>IF(T2310="",0,IF(AND(G2310=T2310,COUNTIFS($S$6:S2310,S2310,$G$6:G2310,G2310,$D$6:D2310,"Vastgesteld")&gt;1),1,0))</f>
        <v>0</v>
      </c>
    </row>
    <row r="2311">
      <c r="S2311" s="15" t="str">
        <f>IF(J2311="","",J2311&amp;"|"&amp;E2311&amp;"|"&amp;F2311&amp;"|"&amp;I2311&amp;"|"&amp;O2311)</f>
        <v/>
      </c>
      <c r="T2311" s="15" t="str">
        <f>IF(OR(S2311="",D2311&lt;&gt;"Vastgesteld"),"",_xlfn.MAXIFS($G$6:$G$5005,$S$6:$S$5005,S2311,$D$6:$D$5005,"Vastgesteld"))</f>
        <v/>
      </c>
      <c r="U2311" s="15">
        <f>IF(T2311="",0,IF(AND(G2311=T2311,COUNTIFS($S$6:S2311,S2311,$G$6:G2311,G2311,$D$6:D2311,"Vastgesteld")=1),1,0))</f>
        <v>0</v>
      </c>
      <c r="V2311" s="15">
        <f>IF(T2311="",0,IF(AND(G2311=T2311,COUNTIFS($S$6:S2311,S2311,$G$6:G2311,G2311,$D$6:D2311,"Vastgesteld")&gt;1),1,0))</f>
        <v>0</v>
      </c>
    </row>
    <row r="2312">
      <c r="S2312" s="15" t="str">
        <f>IF(J2312="","",J2312&amp;"|"&amp;E2312&amp;"|"&amp;F2312&amp;"|"&amp;I2312&amp;"|"&amp;O2312)</f>
        <v/>
      </c>
      <c r="T2312" s="15" t="str">
        <f>IF(OR(S2312="",D2312&lt;&gt;"Vastgesteld"),"",_xlfn.MAXIFS($G$6:$G$5005,$S$6:$S$5005,S2312,$D$6:$D$5005,"Vastgesteld"))</f>
        <v/>
      </c>
      <c r="U2312" s="15">
        <f>IF(T2312="",0,IF(AND(G2312=T2312,COUNTIFS($S$6:S2312,S2312,$G$6:G2312,G2312,$D$6:D2312,"Vastgesteld")=1),1,0))</f>
        <v>0</v>
      </c>
      <c r="V2312" s="15">
        <f>IF(T2312="",0,IF(AND(G2312=T2312,COUNTIFS($S$6:S2312,S2312,$G$6:G2312,G2312,$D$6:D2312,"Vastgesteld")&gt;1),1,0))</f>
        <v>0</v>
      </c>
    </row>
    <row r="2313">
      <c r="S2313" s="15" t="str">
        <f>IF(J2313="","",J2313&amp;"|"&amp;E2313&amp;"|"&amp;F2313&amp;"|"&amp;I2313&amp;"|"&amp;O2313)</f>
        <v/>
      </c>
      <c r="T2313" s="15" t="str">
        <f>IF(OR(S2313="",D2313&lt;&gt;"Vastgesteld"),"",_xlfn.MAXIFS($G$6:$G$5005,$S$6:$S$5005,S2313,$D$6:$D$5005,"Vastgesteld"))</f>
        <v/>
      </c>
      <c r="U2313" s="15">
        <f>IF(T2313="",0,IF(AND(G2313=T2313,COUNTIFS($S$6:S2313,S2313,$G$6:G2313,G2313,$D$6:D2313,"Vastgesteld")=1),1,0))</f>
        <v>0</v>
      </c>
      <c r="V2313" s="15">
        <f>IF(T2313="",0,IF(AND(G2313=T2313,COUNTIFS($S$6:S2313,S2313,$G$6:G2313,G2313,$D$6:D2313,"Vastgesteld")&gt;1),1,0))</f>
        <v>0</v>
      </c>
    </row>
    <row r="2314">
      <c r="S2314" s="15" t="str">
        <f>IF(J2314="","",J2314&amp;"|"&amp;E2314&amp;"|"&amp;F2314&amp;"|"&amp;I2314&amp;"|"&amp;O2314)</f>
        <v/>
      </c>
      <c r="T2314" s="15" t="str">
        <f>IF(OR(S2314="",D2314&lt;&gt;"Vastgesteld"),"",_xlfn.MAXIFS($G$6:$G$5005,$S$6:$S$5005,S2314,$D$6:$D$5005,"Vastgesteld"))</f>
        <v/>
      </c>
      <c r="U2314" s="15">
        <f>IF(T2314="",0,IF(AND(G2314=T2314,COUNTIFS($S$6:S2314,S2314,$G$6:G2314,G2314,$D$6:D2314,"Vastgesteld")=1),1,0))</f>
        <v>0</v>
      </c>
      <c r="V2314" s="15">
        <f>IF(T2314="",0,IF(AND(G2314=T2314,COUNTIFS($S$6:S2314,S2314,$G$6:G2314,G2314,$D$6:D2314,"Vastgesteld")&gt;1),1,0))</f>
        <v>0</v>
      </c>
    </row>
    <row r="2315">
      <c r="S2315" s="15" t="str">
        <f>IF(J2315="","",J2315&amp;"|"&amp;E2315&amp;"|"&amp;F2315&amp;"|"&amp;I2315&amp;"|"&amp;O2315)</f>
        <v/>
      </c>
      <c r="T2315" s="15" t="str">
        <f>IF(OR(S2315="",D2315&lt;&gt;"Vastgesteld"),"",_xlfn.MAXIFS($G$6:$G$5005,$S$6:$S$5005,S2315,$D$6:$D$5005,"Vastgesteld"))</f>
        <v/>
      </c>
      <c r="U2315" s="15">
        <f>IF(T2315="",0,IF(AND(G2315=T2315,COUNTIFS($S$6:S2315,S2315,$G$6:G2315,G2315,$D$6:D2315,"Vastgesteld")=1),1,0))</f>
        <v>0</v>
      </c>
      <c r="V2315" s="15">
        <f>IF(T2315="",0,IF(AND(G2315=T2315,COUNTIFS($S$6:S2315,S2315,$G$6:G2315,G2315,$D$6:D2315,"Vastgesteld")&gt;1),1,0))</f>
        <v>0</v>
      </c>
    </row>
    <row r="2316">
      <c r="S2316" s="15" t="str">
        <f>IF(J2316="","",J2316&amp;"|"&amp;E2316&amp;"|"&amp;F2316&amp;"|"&amp;I2316&amp;"|"&amp;O2316)</f>
        <v/>
      </c>
      <c r="T2316" s="15" t="str">
        <f>IF(OR(S2316="",D2316&lt;&gt;"Vastgesteld"),"",_xlfn.MAXIFS($G$6:$G$5005,$S$6:$S$5005,S2316,$D$6:$D$5005,"Vastgesteld"))</f>
        <v/>
      </c>
      <c r="U2316" s="15">
        <f>IF(T2316="",0,IF(AND(G2316=T2316,COUNTIFS($S$6:S2316,S2316,$G$6:G2316,G2316,$D$6:D2316,"Vastgesteld")=1),1,0))</f>
        <v>0</v>
      </c>
      <c r="V2316" s="15">
        <f>IF(T2316="",0,IF(AND(G2316=T2316,COUNTIFS($S$6:S2316,S2316,$G$6:G2316,G2316,$D$6:D2316,"Vastgesteld")&gt;1),1,0))</f>
        <v>0</v>
      </c>
    </row>
    <row r="2317">
      <c r="S2317" s="15" t="str">
        <f>IF(J2317="","",J2317&amp;"|"&amp;E2317&amp;"|"&amp;F2317&amp;"|"&amp;I2317&amp;"|"&amp;O2317)</f>
        <v/>
      </c>
      <c r="T2317" s="15" t="str">
        <f>IF(OR(S2317="",D2317&lt;&gt;"Vastgesteld"),"",_xlfn.MAXIFS($G$6:$G$5005,$S$6:$S$5005,S2317,$D$6:$D$5005,"Vastgesteld"))</f>
        <v/>
      </c>
      <c r="U2317" s="15">
        <f>IF(T2317="",0,IF(AND(G2317=T2317,COUNTIFS($S$6:S2317,S2317,$G$6:G2317,G2317,$D$6:D2317,"Vastgesteld")=1),1,0))</f>
        <v>0</v>
      </c>
      <c r="V2317" s="15">
        <f>IF(T2317="",0,IF(AND(G2317=T2317,COUNTIFS($S$6:S2317,S2317,$G$6:G2317,G2317,$D$6:D2317,"Vastgesteld")&gt;1),1,0))</f>
        <v>0</v>
      </c>
    </row>
    <row r="2318">
      <c r="S2318" s="15" t="str">
        <f>IF(J2318="","",J2318&amp;"|"&amp;E2318&amp;"|"&amp;F2318&amp;"|"&amp;I2318&amp;"|"&amp;O2318)</f>
        <v/>
      </c>
      <c r="T2318" s="15" t="str">
        <f>IF(OR(S2318="",D2318&lt;&gt;"Vastgesteld"),"",_xlfn.MAXIFS($G$6:$G$5005,$S$6:$S$5005,S2318,$D$6:$D$5005,"Vastgesteld"))</f>
        <v/>
      </c>
      <c r="U2318" s="15">
        <f>IF(T2318="",0,IF(AND(G2318=T2318,COUNTIFS($S$6:S2318,S2318,$G$6:G2318,G2318,$D$6:D2318,"Vastgesteld")=1),1,0))</f>
        <v>0</v>
      </c>
      <c r="V2318" s="15">
        <f>IF(T2318="",0,IF(AND(G2318=T2318,COUNTIFS($S$6:S2318,S2318,$G$6:G2318,G2318,$D$6:D2318,"Vastgesteld")&gt;1),1,0))</f>
        <v>0</v>
      </c>
    </row>
    <row r="2319">
      <c r="S2319" s="15" t="str">
        <f>IF(J2319="","",J2319&amp;"|"&amp;E2319&amp;"|"&amp;F2319&amp;"|"&amp;I2319&amp;"|"&amp;O2319)</f>
        <v/>
      </c>
      <c r="T2319" s="15" t="str">
        <f>IF(OR(S2319="",D2319&lt;&gt;"Vastgesteld"),"",_xlfn.MAXIFS($G$6:$G$5005,$S$6:$S$5005,S2319,$D$6:$D$5005,"Vastgesteld"))</f>
        <v/>
      </c>
      <c r="U2319" s="15">
        <f>IF(T2319="",0,IF(AND(G2319=T2319,COUNTIFS($S$6:S2319,S2319,$G$6:G2319,G2319,$D$6:D2319,"Vastgesteld")=1),1,0))</f>
        <v>0</v>
      </c>
      <c r="V2319" s="15">
        <f>IF(T2319="",0,IF(AND(G2319=T2319,COUNTIFS($S$6:S2319,S2319,$G$6:G2319,G2319,$D$6:D2319,"Vastgesteld")&gt;1),1,0))</f>
        <v>0</v>
      </c>
    </row>
    <row r="2320">
      <c r="S2320" s="15" t="str">
        <f>IF(J2320="","",J2320&amp;"|"&amp;E2320&amp;"|"&amp;F2320&amp;"|"&amp;I2320&amp;"|"&amp;O2320)</f>
        <v/>
      </c>
      <c r="T2320" s="15" t="str">
        <f>IF(OR(S2320="",D2320&lt;&gt;"Vastgesteld"),"",_xlfn.MAXIFS($G$6:$G$5005,$S$6:$S$5005,S2320,$D$6:$D$5005,"Vastgesteld"))</f>
        <v/>
      </c>
      <c r="U2320" s="15">
        <f>IF(T2320="",0,IF(AND(G2320=T2320,COUNTIFS($S$6:S2320,S2320,$G$6:G2320,G2320,$D$6:D2320,"Vastgesteld")=1),1,0))</f>
        <v>0</v>
      </c>
      <c r="V2320" s="15">
        <f>IF(T2320="",0,IF(AND(G2320=T2320,COUNTIFS($S$6:S2320,S2320,$G$6:G2320,G2320,$D$6:D2320,"Vastgesteld")&gt;1),1,0))</f>
        <v>0</v>
      </c>
    </row>
    <row r="2321">
      <c r="S2321" s="15" t="str">
        <f>IF(J2321="","",J2321&amp;"|"&amp;E2321&amp;"|"&amp;F2321&amp;"|"&amp;I2321&amp;"|"&amp;O2321)</f>
        <v/>
      </c>
      <c r="T2321" s="15" t="str">
        <f>IF(OR(S2321="",D2321&lt;&gt;"Vastgesteld"),"",_xlfn.MAXIFS($G$6:$G$5005,$S$6:$S$5005,S2321,$D$6:$D$5005,"Vastgesteld"))</f>
        <v/>
      </c>
      <c r="U2321" s="15">
        <f>IF(T2321="",0,IF(AND(G2321=T2321,COUNTIFS($S$6:S2321,S2321,$G$6:G2321,G2321,$D$6:D2321,"Vastgesteld")=1),1,0))</f>
        <v>0</v>
      </c>
      <c r="V2321" s="15">
        <f>IF(T2321="",0,IF(AND(G2321=T2321,COUNTIFS($S$6:S2321,S2321,$G$6:G2321,G2321,$D$6:D2321,"Vastgesteld")&gt;1),1,0))</f>
        <v>0</v>
      </c>
    </row>
    <row r="2322">
      <c r="S2322" s="15" t="str">
        <f>IF(J2322="","",J2322&amp;"|"&amp;E2322&amp;"|"&amp;F2322&amp;"|"&amp;I2322&amp;"|"&amp;O2322)</f>
        <v/>
      </c>
      <c r="T2322" s="15" t="str">
        <f>IF(OR(S2322="",D2322&lt;&gt;"Vastgesteld"),"",_xlfn.MAXIFS($G$6:$G$5005,$S$6:$S$5005,S2322,$D$6:$D$5005,"Vastgesteld"))</f>
        <v/>
      </c>
      <c r="U2322" s="15">
        <f>IF(T2322="",0,IF(AND(G2322=T2322,COUNTIFS($S$6:S2322,S2322,$G$6:G2322,G2322,$D$6:D2322,"Vastgesteld")=1),1,0))</f>
        <v>0</v>
      </c>
      <c r="V2322" s="15">
        <f>IF(T2322="",0,IF(AND(G2322=T2322,COUNTIFS($S$6:S2322,S2322,$G$6:G2322,G2322,$D$6:D2322,"Vastgesteld")&gt;1),1,0))</f>
        <v>0</v>
      </c>
    </row>
    <row r="2323">
      <c r="S2323" s="15" t="str">
        <f>IF(J2323="","",J2323&amp;"|"&amp;E2323&amp;"|"&amp;F2323&amp;"|"&amp;I2323&amp;"|"&amp;O2323)</f>
        <v/>
      </c>
      <c r="T2323" s="15" t="str">
        <f>IF(OR(S2323="",D2323&lt;&gt;"Vastgesteld"),"",_xlfn.MAXIFS($G$6:$G$5005,$S$6:$S$5005,S2323,$D$6:$D$5005,"Vastgesteld"))</f>
        <v/>
      </c>
      <c r="U2323" s="15">
        <f>IF(T2323="",0,IF(AND(G2323=T2323,COUNTIFS($S$6:S2323,S2323,$G$6:G2323,G2323,$D$6:D2323,"Vastgesteld")=1),1,0))</f>
        <v>0</v>
      </c>
      <c r="V2323" s="15">
        <f>IF(T2323="",0,IF(AND(G2323=T2323,COUNTIFS($S$6:S2323,S2323,$G$6:G2323,G2323,$D$6:D2323,"Vastgesteld")&gt;1),1,0))</f>
        <v>0</v>
      </c>
    </row>
    <row r="2324">
      <c r="S2324" s="15" t="str">
        <f>IF(J2324="","",J2324&amp;"|"&amp;E2324&amp;"|"&amp;F2324&amp;"|"&amp;I2324&amp;"|"&amp;O2324)</f>
        <v/>
      </c>
      <c r="T2324" s="15" t="str">
        <f>IF(OR(S2324="",D2324&lt;&gt;"Vastgesteld"),"",_xlfn.MAXIFS($G$6:$G$5005,$S$6:$S$5005,S2324,$D$6:$D$5005,"Vastgesteld"))</f>
        <v/>
      </c>
      <c r="U2324" s="15">
        <f>IF(T2324="",0,IF(AND(G2324=T2324,COUNTIFS($S$6:S2324,S2324,$G$6:G2324,G2324,$D$6:D2324,"Vastgesteld")=1),1,0))</f>
        <v>0</v>
      </c>
      <c r="V2324" s="15">
        <f>IF(T2324="",0,IF(AND(G2324=T2324,COUNTIFS($S$6:S2324,S2324,$G$6:G2324,G2324,$D$6:D2324,"Vastgesteld")&gt;1),1,0))</f>
        <v>0</v>
      </c>
    </row>
    <row r="2325">
      <c r="S2325" s="15" t="str">
        <f>IF(J2325="","",J2325&amp;"|"&amp;E2325&amp;"|"&amp;F2325&amp;"|"&amp;I2325&amp;"|"&amp;O2325)</f>
        <v/>
      </c>
      <c r="T2325" s="15" t="str">
        <f>IF(OR(S2325="",D2325&lt;&gt;"Vastgesteld"),"",_xlfn.MAXIFS($G$6:$G$5005,$S$6:$S$5005,S2325,$D$6:$D$5005,"Vastgesteld"))</f>
        <v/>
      </c>
      <c r="U2325" s="15">
        <f>IF(T2325="",0,IF(AND(G2325=T2325,COUNTIFS($S$6:S2325,S2325,$G$6:G2325,G2325,$D$6:D2325,"Vastgesteld")=1),1,0))</f>
        <v>0</v>
      </c>
      <c r="V2325" s="15">
        <f>IF(T2325="",0,IF(AND(G2325=T2325,COUNTIFS($S$6:S2325,S2325,$G$6:G2325,G2325,$D$6:D2325,"Vastgesteld")&gt;1),1,0))</f>
        <v>0</v>
      </c>
    </row>
    <row r="2326">
      <c r="S2326" s="15" t="str">
        <f>IF(J2326="","",J2326&amp;"|"&amp;E2326&amp;"|"&amp;F2326&amp;"|"&amp;I2326&amp;"|"&amp;O2326)</f>
        <v/>
      </c>
      <c r="T2326" s="15" t="str">
        <f>IF(OR(S2326="",D2326&lt;&gt;"Vastgesteld"),"",_xlfn.MAXIFS($G$6:$G$5005,$S$6:$S$5005,S2326,$D$6:$D$5005,"Vastgesteld"))</f>
        <v/>
      </c>
      <c r="U2326" s="15">
        <f>IF(T2326="",0,IF(AND(G2326=T2326,COUNTIFS($S$6:S2326,S2326,$G$6:G2326,G2326,$D$6:D2326,"Vastgesteld")=1),1,0))</f>
        <v>0</v>
      </c>
      <c r="V2326" s="15">
        <f>IF(T2326="",0,IF(AND(G2326=T2326,COUNTIFS($S$6:S2326,S2326,$G$6:G2326,G2326,$D$6:D2326,"Vastgesteld")&gt;1),1,0))</f>
        <v>0</v>
      </c>
    </row>
    <row r="2327">
      <c r="S2327" s="15" t="str">
        <f>IF(J2327="","",J2327&amp;"|"&amp;E2327&amp;"|"&amp;F2327&amp;"|"&amp;I2327&amp;"|"&amp;O2327)</f>
        <v/>
      </c>
      <c r="T2327" s="15" t="str">
        <f>IF(OR(S2327="",D2327&lt;&gt;"Vastgesteld"),"",_xlfn.MAXIFS($G$6:$G$5005,$S$6:$S$5005,S2327,$D$6:$D$5005,"Vastgesteld"))</f>
        <v/>
      </c>
      <c r="U2327" s="15">
        <f>IF(T2327="",0,IF(AND(G2327=T2327,COUNTIFS($S$6:S2327,S2327,$G$6:G2327,G2327,$D$6:D2327,"Vastgesteld")=1),1,0))</f>
        <v>0</v>
      </c>
      <c r="V2327" s="15">
        <f>IF(T2327="",0,IF(AND(G2327=T2327,COUNTIFS($S$6:S2327,S2327,$G$6:G2327,G2327,$D$6:D2327,"Vastgesteld")&gt;1),1,0))</f>
        <v>0</v>
      </c>
    </row>
    <row r="2328">
      <c r="S2328" s="15" t="str">
        <f>IF(J2328="","",J2328&amp;"|"&amp;E2328&amp;"|"&amp;F2328&amp;"|"&amp;I2328&amp;"|"&amp;O2328)</f>
        <v/>
      </c>
      <c r="T2328" s="15" t="str">
        <f>IF(OR(S2328="",D2328&lt;&gt;"Vastgesteld"),"",_xlfn.MAXIFS($G$6:$G$5005,$S$6:$S$5005,S2328,$D$6:$D$5005,"Vastgesteld"))</f>
        <v/>
      </c>
      <c r="U2328" s="15">
        <f>IF(T2328="",0,IF(AND(G2328=T2328,COUNTIFS($S$6:S2328,S2328,$G$6:G2328,G2328,$D$6:D2328,"Vastgesteld")=1),1,0))</f>
        <v>0</v>
      </c>
      <c r="V2328" s="15">
        <f>IF(T2328="",0,IF(AND(G2328=T2328,COUNTIFS($S$6:S2328,S2328,$G$6:G2328,G2328,$D$6:D2328,"Vastgesteld")&gt;1),1,0))</f>
        <v>0</v>
      </c>
    </row>
    <row r="2329">
      <c r="S2329" s="15" t="str">
        <f>IF(J2329="","",J2329&amp;"|"&amp;E2329&amp;"|"&amp;F2329&amp;"|"&amp;I2329&amp;"|"&amp;O2329)</f>
        <v/>
      </c>
      <c r="T2329" s="15" t="str">
        <f>IF(OR(S2329="",D2329&lt;&gt;"Vastgesteld"),"",_xlfn.MAXIFS($G$6:$G$5005,$S$6:$S$5005,S2329,$D$6:$D$5005,"Vastgesteld"))</f>
        <v/>
      </c>
      <c r="U2329" s="15">
        <f>IF(T2329="",0,IF(AND(G2329=T2329,COUNTIFS($S$6:S2329,S2329,$G$6:G2329,G2329,$D$6:D2329,"Vastgesteld")=1),1,0))</f>
        <v>0</v>
      </c>
      <c r="V2329" s="15">
        <f>IF(T2329="",0,IF(AND(G2329=T2329,COUNTIFS($S$6:S2329,S2329,$G$6:G2329,G2329,$D$6:D2329,"Vastgesteld")&gt;1),1,0))</f>
        <v>0</v>
      </c>
    </row>
    <row r="2330">
      <c r="S2330" s="15" t="str">
        <f>IF(J2330="","",J2330&amp;"|"&amp;E2330&amp;"|"&amp;F2330&amp;"|"&amp;I2330&amp;"|"&amp;O2330)</f>
        <v/>
      </c>
      <c r="T2330" s="15" t="str">
        <f>IF(OR(S2330="",D2330&lt;&gt;"Vastgesteld"),"",_xlfn.MAXIFS($G$6:$G$5005,$S$6:$S$5005,S2330,$D$6:$D$5005,"Vastgesteld"))</f>
        <v/>
      </c>
      <c r="U2330" s="15">
        <f>IF(T2330="",0,IF(AND(G2330=T2330,COUNTIFS($S$6:S2330,S2330,$G$6:G2330,G2330,$D$6:D2330,"Vastgesteld")=1),1,0))</f>
        <v>0</v>
      </c>
      <c r="V2330" s="15">
        <f>IF(T2330="",0,IF(AND(G2330=T2330,COUNTIFS($S$6:S2330,S2330,$G$6:G2330,G2330,$D$6:D2330,"Vastgesteld")&gt;1),1,0))</f>
        <v>0</v>
      </c>
    </row>
    <row r="2331">
      <c r="S2331" s="15" t="str">
        <f>IF(J2331="","",J2331&amp;"|"&amp;E2331&amp;"|"&amp;F2331&amp;"|"&amp;I2331&amp;"|"&amp;O2331)</f>
        <v/>
      </c>
      <c r="T2331" s="15" t="str">
        <f>IF(OR(S2331="",D2331&lt;&gt;"Vastgesteld"),"",_xlfn.MAXIFS($G$6:$G$5005,$S$6:$S$5005,S2331,$D$6:$D$5005,"Vastgesteld"))</f>
        <v/>
      </c>
      <c r="U2331" s="15">
        <f>IF(T2331="",0,IF(AND(G2331=T2331,COUNTIFS($S$6:S2331,S2331,$G$6:G2331,G2331,$D$6:D2331,"Vastgesteld")=1),1,0))</f>
        <v>0</v>
      </c>
      <c r="V2331" s="15">
        <f>IF(T2331="",0,IF(AND(G2331=T2331,COUNTIFS($S$6:S2331,S2331,$G$6:G2331,G2331,$D$6:D2331,"Vastgesteld")&gt;1),1,0))</f>
        <v>0</v>
      </c>
    </row>
    <row r="2332">
      <c r="S2332" s="15" t="str">
        <f>IF(J2332="","",J2332&amp;"|"&amp;E2332&amp;"|"&amp;F2332&amp;"|"&amp;I2332&amp;"|"&amp;O2332)</f>
        <v/>
      </c>
      <c r="T2332" s="15" t="str">
        <f>IF(OR(S2332="",D2332&lt;&gt;"Vastgesteld"),"",_xlfn.MAXIFS($G$6:$G$5005,$S$6:$S$5005,S2332,$D$6:$D$5005,"Vastgesteld"))</f>
        <v/>
      </c>
      <c r="U2332" s="15">
        <f>IF(T2332="",0,IF(AND(G2332=T2332,COUNTIFS($S$6:S2332,S2332,$G$6:G2332,G2332,$D$6:D2332,"Vastgesteld")=1),1,0))</f>
        <v>0</v>
      </c>
      <c r="V2332" s="15">
        <f>IF(T2332="",0,IF(AND(G2332=T2332,COUNTIFS($S$6:S2332,S2332,$G$6:G2332,G2332,$D$6:D2332,"Vastgesteld")&gt;1),1,0))</f>
        <v>0</v>
      </c>
    </row>
    <row r="2333">
      <c r="S2333" s="15" t="str">
        <f>IF(J2333="","",J2333&amp;"|"&amp;E2333&amp;"|"&amp;F2333&amp;"|"&amp;I2333&amp;"|"&amp;O2333)</f>
        <v/>
      </c>
      <c r="T2333" s="15" t="str">
        <f>IF(OR(S2333="",D2333&lt;&gt;"Vastgesteld"),"",_xlfn.MAXIFS($G$6:$G$5005,$S$6:$S$5005,S2333,$D$6:$D$5005,"Vastgesteld"))</f>
        <v/>
      </c>
      <c r="U2333" s="15">
        <f>IF(T2333="",0,IF(AND(G2333=T2333,COUNTIFS($S$6:S2333,S2333,$G$6:G2333,G2333,$D$6:D2333,"Vastgesteld")=1),1,0))</f>
        <v>0</v>
      </c>
      <c r="V2333" s="15">
        <f>IF(T2333="",0,IF(AND(G2333=T2333,COUNTIFS($S$6:S2333,S2333,$G$6:G2333,G2333,$D$6:D2333,"Vastgesteld")&gt;1),1,0))</f>
        <v>0</v>
      </c>
    </row>
    <row r="2334">
      <c r="S2334" s="15" t="str">
        <f>IF(J2334="","",J2334&amp;"|"&amp;E2334&amp;"|"&amp;F2334&amp;"|"&amp;I2334&amp;"|"&amp;O2334)</f>
        <v/>
      </c>
      <c r="T2334" s="15" t="str">
        <f>IF(OR(S2334="",D2334&lt;&gt;"Vastgesteld"),"",_xlfn.MAXIFS($G$6:$G$5005,$S$6:$S$5005,S2334,$D$6:$D$5005,"Vastgesteld"))</f>
        <v/>
      </c>
      <c r="U2334" s="15">
        <f>IF(T2334="",0,IF(AND(G2334=T2334,COUNTIFS($S$6:S2334,S2334,$G$6:G2334,G2334,$D$6:D2334,"Vastgesteld")=1),1,0))</f>
        <v>0</v>
      </c>
      <c r="V2334" s="15">
        <f>IF(T2334="",0,IF(AND(G2334=T2334,COUNTIFS($S$6:S2334,S2334,$G$6:G2334,G2334,$D$6:D2334,"Vastgesteld")&gt;1),1,0))</f>
        <v>0</v>
      </c>
    </row>
    <row r="2335">
      <c r="S2335" s="15" t="str">
        <f>IF(J2335="","",J2335&amp;"|"&amp;E2335&amp;"|"&amp;F2335&amp;"|"&amp;I2335&amp;"|"&amp;O2335)</f>
        <v/>
      </c>
      <c r="T2335" s="15" t="str">
        <f>IF(OR(S2335="",D2335&lt;&gt;"Vastgesteld"),"",_xlfn.MAXIFS($G$6:$G$5005,$S$6:$S$5005,S2335,$D$6:$D$5005,"Vastgesteld"))</f>
        <v/>
      </c>
      <c r="U2335" s="15">
        <f>IF(T2335="",0,IF(AND(G2335=T2335,COUNTIFS($S$6:S2335,S2335,$G$6:G2335,G2335,$D$6:D2335,"Vastgesteld")=1),1,0))</f>
        <v>0</v>
      </c>
      <c r="V2335" s="15">
        <f>IF(T2335="",0,IF(AND(G2335=T2335,COUNTIFS($S$6:S2335,S2335,$G$6:G2335,G2335,$D$6:D2335,"Vastgesteld")&gt;1),1,0))</f>
        <v>0</v>
      </c>
    </row>
    <row r="2336">
      <c r="S2336" s="15" t="str">
        <f>IF(J2336="","",J2336&amp;"|"&amp;E2336&amp;"|"&amp;F2336&amp;"|"&amp;I2336&amp;"|"&amp;O2336)</f>
        <v/>
      </c>
      <c r="T2336" s="15" t="str">
        <f>IF(OR(S2336="",D2336&lt;&gt;"Vastgesteld"),"",_xlfn.MAXIFS($G$6:$G$5005,$S$6:$S$5005,S2336,$D$6:$D$5005,"Vastgesteld"))</f>
        <v/>
      </c>
      <c r="U2336" s="15">
        <f>IF(T2336="",0,IF(AND(G2336=T2336,COUNTIFS($S$6:S2336,S2336,$G$6:G2336,G2336,$D$6:D2336,"Vastgesteld")=1),1,0))</f>
        <v>0</v>
      </c>
      <c r="V2336" s="15">
        <f>IF(T2336="",0,IF(AND(G2336=T2336,COUNTIFS($S$6:S2336,S2336,$G$6:G2336,G2336,$D$6:D2336,"Vastgesteld")&gt;1),1,0))</f>
        <v>0</v>
      </c>
    </row>
    <row r="2337">
      <c r="S2337" s="15" t="str">
        <f>IF(J2337="","",J2337&amp;"|"&amp;E2337&amp;"|"&amp;F2337&amp;"|"&amp;I2337&amp;"|"&amp;O2337)</f>
        <v/>
      </c>
      <c r="T2337" s="15" t="str">
        <f>IF(OR(S2337="",D2337&lt;&gt;"Vastgesteld"),"",_xlfn.MAXIFS($G$6:$G$5005,$S$6:$S$5005,S2337,$D$6:$D$5005,"Vastgesteld"))</f>
        <v/>
      </c>
      <c r="U2337" s="15">
        <f>IF(T2337="",0,IF(AND(G2337=T2337,COUNTIFS($S$6:S2337,S2337,$G$6:G2337,G2337,$D$6:D2337,"Vastgesteld")=1),1,0))</f>
        <v>0</v>
      </c>
      <c r="V2337" s="15">
        <f>IF(T2337="",0,IF(AND(G2337=T2337,COUNTIFS($S$6:S2337,S2337,$G$6:G2337,G2337,$D$6:D2337,"Vastgesteld")&gt;1),1,0))</f>
        <v>0</v>
      </c>
    </row>
    <row r="2338">
      <c r="S2338" s="15" t="str">
        <f>IF(J2338="","",J2338&amp;"|"&amp;E2338&amp;"|"&amp;F2338&amp;"|"&amp;I2338&amp;"|"&amp;O2338)</f>
        <v/>
      </c>
      <c r="T2338" s="15" t="str">
        <f>IF(OR(S2338="",D2338&lt;&gt;"Vastgesteld"),"",_xlfn.MAXIFS($G$6:$G$5005,$S$6:$S$5005,S2338,$D$6:$D$5005,"Vastgesteld"))</f>
        <v/>
      </c>
      <c r="U2338" s="15">
        <f>IF(T2338="",0,IF(AND(G2338=T2338,COUNTIFS($S$6:S2338,S2338,$G$6:G2338,G2338,$D$6:D2338,"Vastgesteld")=1),1,0))</f>
        <v>0</v>
      </c>
      <c r="V2338" s="15">
        <f>IF(T2338="",0,IF(AND(G2338=T2338,COUNTIFS($S$6:S2338,S2338,$G$6:G2338,G2338,$D$6:D2338,"Vastgesteld")&gt;1),1,0))</f>
        <v>0</v>
      </c>
    </row>
    <row r="2339">
      <c r="S2339" s="15" t="str">
        <f>IF(J2339="","",J2339&amp;"|"&amp;E2339&amp;"|"&amp;F2339&amp;"|"&amp;I2339&amp;"|"&amp;O2339)</f>
        <v/>
      </c>
      <c r="T2339" s="15" t="str">
        <f>IF(OR(S2339="",D2339&lt;&gt;"Vastgesteld"),"",_xlfn.MAXIFS($G$6:$G$5005,$S$6:$S$5005,S2339,$D$6:$D$5005,"Vastgesteld"))</f>
        <v/>
      </c>
      <c r="U2339" s="15">
        <f>IF(T2339="",0,IF(AND(G2339=T2339,COUNTIFS($S$6:S2339,S2339,$G$6:G2339,G2339,$D$6:D2339,"Vastgesteld")=1),1,0))</f>
        <v>0</v>
      </c>
      <c r="V2339" s="15">
        <f>IF(T2339="",0,IF(AND(G2339=T2339,COUNTIFS($S$6:S2339,S2339,$G$6:G2339,G2339,$D$6:D2339,"Vastgesteld")&gt;1),1,0))</f>
        <v>0</v>
      </c>
    </row>
    <row r="2340">
      <c r="S2340" s="15" t="str">
        <f>IF(J2340="","",J2340&amp;"|"&amp;E2340&amp;"|"&amp;F2340&amp;"|"&amp;I2340&amp;"|"&amp;O2340)</f>
        <v/>
      </c>
      <c r="T2340" s="15" t="str">
        <f>IF(OR(S2340="",D2340&lt;&gt;"Vastgesteld"),"",_xlfn.MAXIFS($G$6:$G$5005,$S$6:$S$5005,S2340,$D$6:$D$5005,"Vastgesteld"))</f>
        <v/>
      </c>
      <c r="U2340" s="15">
        <f>IF(T2340="",0,IF(AND(G2340=T2340,COUNTIFS($S$6:S2340,S2340,$G$6:G2340,G2340,$D$6:D2340,"Vastgesteld")=1),1,0))</f>
        <v>0</v>
      </c>
      <c r="V2340" s="15">
        <f>IF(T2340="",0,IF(AND(G2340=T2340,COUNTIFS($S$6:S2340,S2340,$G$6:G2340,G2340,$D$6:D2340,"Vastgesteld")&gt;1),1,0))</f>
        <v>0</v>
      </c>
    </row>
    <row r="2341">
      <c r="S2341" s="15" t="str">
        <f>IF(J2341="","",J2341&amp;"|"&amp;E2341&amp;"|"&amp;F2341&amp;"|"&amp;I2341&amp;"|"&amp;O2341)</f>
        <v/>
      </c>
      <c r="T2341" s="15" t="str">
        <f>IF(OR(S2341="",D2341&lt;&gt;"Vastgesteld"),"",_xlfn.MAXIFS($G$6:$G$5005,$S$6:$S$5005,S2341,$D$6:$D$5005,"Vastgesteld"))</f>
        <v/>
      </c>
      <c r="U2341" s="15">
        <f>IF(T2341="",0,IF(AND(G2341=T2341,COUNTIFS($S$6:S2341,S2341,$G$6:G2341,G2341,$D$6:D2341,"Vastgesteld")=1),1,0))</f>
        <v>0</v>
      </c>
      <c r="V2341" s="15">
        <f>IF(T2341="",0,IF(AND(G2341=T2341,COUNTIFS($S$6:S2341,S2341,$G$6:G2341,G2341,$D$6:D2341,"Vastgesteld")&gt;1),1,0))</f>
        <v>0</v>
      </c>
    </row>
    <row r="2342">
      <c r="S2342" s="15" t="str">
        <f>IF(J2342="","",J2342&amp;"|"&amp;E2342&amp;"|"&amp;F2342&amp;"|"&amp;I2342&amp;"|"&amp;O2342)</f>
        <v/>
      </c>
      <c r="T2342" s="15" t="str">
        <f>IF(OR(S2342="",D2342&lt;&gt;"Vastgesteld"),"",_xlfn.MAXIFS($G$6:$G$5005,$S$6:$S$5005,S2342,$D$6:$D$5005,"Vastgesteld"))</f>
        <v/>
      </c>
      <c r="U2342" s="15">
        <f>IF(T2342="",0,IF(AND(G2342=T2342,COUNTIFS($S$6:S2342,S2342,$G$6:G2342,G2342,$D$6:D2342,"Vastgesteld")=1),1,0))</f>
        <v>0</v>
      </c>
      <c r="V2342" s="15">
        <f>IF(T2342="",0,IF(AND(G2342=T2342,COUNTIFS($S$6:S2342,S2342,$G$6:G2342,G2342,$D$6:D2342,"Vastgesteld")&gt;1),1,0))</f>
        <v>0</v>
      </c>
    </row>
    <row r="2343">
      <c r="S2343" s="15" t="str">
        <f>IF(J2343="","",J2343&amp;"|"&amp;E2343&amp;"|"&amp;F2343&amp;"|"&amp;I2343&amp;"|"&amp;O2343)</f>
        <v/>
      </c>
      <c r="T2343" s="15" t="str">
        <f>IF(OR(S2343="",D2343&lt;&gt;"Vastgesteld"),"",_xlfn.MAXIFS($G$6:$G$5005,$S$6:$S$5005,S2343,$D$6:$D$5005,"Vastgesteld"))</f>
        <v/>
      </c>
      <c r="U2343" s="15">
        <f>IF(T2343="",0,IF(AND(G2343=T2343,COUNTIFS($S$6:S2343,S2343,$G$6:G2343,G2343,$D$6:D2343,"Vastgesteld")=1),1,0))</f>
        <v>0</v>
      </c>
      <c r="V2343" s="15">
        <f>IF(T2343="",0,IF(AND(G2343=T2343,COUNTIFS($S$6:S2343,S2343,$G$6:G2343,G2343,$D$6:D2343,"Vastgesteld")&gt;1),1,0))</f>
        <v>0</v>
      </c>
    </row>
    <row r="2344">
      <c r="S2344" s="15" t="str">
        <f>IF(J2344="","",J2344&amp;"|"&amp;E2344&amp;"|"&amp;F2344&amp;"|"&amp;I2344&amp;"|"&amp;O2344)</f>
        <v/>
      </c>
      <c r="T2344" s="15" t="str">
        <f>IF(OR(S2344="",D2344&lt;&gt;"Vastgesteld"),"",_xlfn.MAXIFS($G$6:$G$5005,$S$6:$S$5005,S2344,$D$6:$D$5005,"Vastgesteld"))</f>
        <v/>
      </c>
      <c r="U2344" s="15">
        <f>IF(T2344="",0,IF(AND(G2344=T2344,COUNTIFS($S$6:S2344,S2344,$G$6:G2344,G2344,$D$6:D2344,"Vastgesteld")=1),1,0))</f>
        <v>0</v>
      </c>
      <c r="V2344" s="15">
        <f>IF(T2344="",0,IF(AND(G2344=T2344,COUNTIFS($S$6:S2344,S2344,$G$6:G2344,G2344,$D$6:D2344,"Vastgesteld")&gt;1),1,0))</f>
        <v>0</v>
      </c>
    </row>
    <row r="2345">
      <c r="S2345" s="15" t="str">
        <f>IF(J2345="","",J2345&amp;"|"&amp;E2345&amp;"|"&amp;F2345&amp;"|"&amp;I2345&amp;"|"&amp;O2345)</f>
        <v/>
      </c>
      <c r="T2345" s="15" t="str">
        <f>IF(OR(S2345="",D2345&lt;&gt;"Vastgesteld"),"",_xlfn.MAXIFS($G$6:$G$5005,$S$6:$S$5005,S2345,$D$6:$D$5005,"Vastgesteld"))</f>
        <v/>
      </c>
      <c r="U2345" s="15">
        <f>IF(T2345="",0,IF(AND(G2345=T2345,COUNTIFS($S$6:S2345,S2345,$G$6:G2345,G2345,$D$6:D2345,"Vastgesteld")=1),1,0))</f>
        <v>0</v>
      </c>
      <c r="V2345" s="15">
        <f>IF(T2345="",0,IF(AND(G2345=T2345,COUNTIFS($S$6:S2345,S2345,$G$6:G2345,G2345,$D$6:D2345,"Vastgesteld")&gt;1),1,0))</f>
        <v>0</v>
      </c>
    </row>
    <row r="2346">
      <c r="S2346" s="15" t="str">
        <f>IF(J2346="","",J2346&amp;"|"&amp;E2346&amp;"|"&amp;F2346&amp;"|"&amp;I2346&amp;"|"&amp;O2346)</f>
        <v/>
      </c>
      <c r="T2346" s="15" t="str">
        <f>IF(OR(S2346="",D2346&lt;&gt;"Vastgesteld"),"",_xlfn.MAXIFS($G$6:$G$5005,$S$6:$S$5005,S2346,$D$6:$D$5005,"Vastgesteld"))</f>
        <v/>
      </c>
      <c r="U2346" s="15">
        <f>IF(T2346="",0,IF(AND(G2346=T2346,COUNTIFS($S$6:S2346,S2346,$G$6:G2346,G2346,$D$6:D2346,"Vastgesteld")=1),1,0))</f>
        <v>0</v>
      </c>
      <c r="V2346" s="15">
        <f>IF(T2346="",0,IF(AND(G2346=T2346,COUNTIFS($S$6:S2346,S2346,$G$6:G2346,G2346,$D$6:D2346,"Vastgesteld")&gt;1),1,0))</f>
        <v>0</v>
      </c>
    </row>
    <row r="2347">
      <c r="S2347" s="15" t="str">
        <f>IF(J2347="","",J2347&amp;"|"&amp;E2347&amp;"|"&amp;F2347&amp;"|"&amp;I2347&amp;"|"&amp;O2347)</f>
        <v/>
      </c>
      <c r="T2347" s="15" t="str">
        <f>IF(OR(S2347="",D2347&lt;&gt;"Vastgesteld"),"",_xlfn.MAXIFS($G$6:$G$5005,$S$6:$S$5005,S2347,$D$6:$D$5005,"Vastgesteld"))</f>
        <v/>
      </c>
      <c r="U2347" s="15">
        <f>IF(T2347="",0,IF(AND(G2347=T2347,COUNTIFS($S$6:S2347,S2347,$G$6:G2347,G2347,$D$6:D2347,"Vastgesteld")=1),1,0))</f>
        <v>0</v>
      </c>
      <c r="V2347" s="15">
        <f>IF(T2347="",0,IF(AND(G2347=T2347,COUNTIFS($S$6:S2347,S2347,$G$6:G2347,G2347,$D$6:D2347,"Vastgesteld")&gt;1),1,0))</f>
        <v>0</v>
      </c>
    </row>
    <row r="2348">
      <c r="S2348" s="15" t="str">
        <f>IF(J2348="","",J2348&amp;"|"&amp;E2348&amp;"|"&amp;F2348&amp;"|"&amp;I2348&amp;"|"&amp;O2348)</f>
        <v/>
      </c>
      <c r="T2348" s="15" t="str">
        <f>IF(OR(S2348="",D2348&lt;&gt;"Vastgesteld"),"",_xlfn.MAXIFS($G$6:$G$5005,$S$6:$S$5005,S2348,$D$6:$D$5005,"Vastgesteld"))</f>
        <v/>
      </c>
      <c r="U2348" s="15">
        <f>IF(T2348="",0,IF(AND(G2348=T2348,COUNTIFS($S$6:S2348,S2348,$G$6:G2348,G2348,$D$6:D2348,"Vastgesteld")=1),1,0))</f>
        <v>0</v>
      </c>
      <c r="V2348" s="15">
        <f>IF(T2348="",0,IF(AND(G2348=T2348,COUNTIFS($S$6:S2348,S2348,$G$6:G2348,G2348,$D$6:D2348,"Vastgesteld")&gt;1),1,0))</f>
        <v>0</v>
      </c>
    </row>
    <row r="2349">
      <c r="S2349" s="15" t="str">
        <f>IF(J2349="","",J2349&amp;"|"&amp;E2349&amp;"|"&amp;F2349&amp;"|"&amp;I2349&amp;"|"&amp;O2349)</f>
        <v/>
      </c>
      <c r="T2349" s="15" t="str">
        <f>IF(OR(S2349="",D2349&lt;&gt;"Vastgesteld"),"",_xlfn.MAXIFS($G$6:$G$5005,$S$6:$S$5005,S2349,$D$6:$D$5005,"Vastgesteld"))</f>
        <v/>
      </c>
      <c r="U2349" s="15">
        <f>IF(T2349="",0,IF(AND(G2349=T2349,COUNTIFS($S$6:S2349,S2349,$G$6:G2349,G2349,$D$6:D2349,"Vastgesteld")=1),1,0))</f>
        <v>0</v>
      </c>
      <c r="V2349" s="15">
        <f>IF(T2349="",0,IF(AND(G2349=T2349,COUNTIFS($S$6:S2349,S2349,$G$6:G2349,G2349,$D$6:D2349,"Vastgesteld")&gt;1),1,0))</f>
        <v>0</v>
      </c>
    </row>
    <row r="2350">
      <c r="S2350" s="15" t="str">
        <f>IF(J2350="","",J2350&amp;"|"&amp;E2350&amp;"|"&amp;F2350&amp;"|"&amp;I2350&amp;"|"&amp;O2350)</f>
        <v/>
      </c>
      <c r="T2350" s="15" t="str">
        <f>IF(OR(S2350="",D2350&lt;&gt;"Vastgesteld"),"",_xlfn.MAXIFS($G$6:$G$5005,$S$6:$S$5005,S2350,$D$6:$D$5005,"Vastgesteld"))</f>
        <v/>
      </c>
      <c r="U2350" s="15">
        <f>IF(T2350="",0,IF(AND(G2350=T2350,COUNTIFS($S$6:S2350,S2350,$G$6:G2350,G2350,$D$6:D2350,"Vastgesteld")=1),1,0))</f>
        <v>0</v>
      </c>
      <c r="V2350" s="15">
        <f>IF(T2350="",0,IF(AND(G2350=T2350,COUNTIFS($S$6:S2350,S2350,$G$6:G2350,G2350,$D$6:D2350,"Vastgesteld")&gt;1),1,0))</f>
        <v>0</v>
      </c>
    </row>
    <row r="2351">
      <c r="S2351" s="15" t="str">
        <f>IF(J2351="","",J2351&amp;"|"&amp;E2351&amp;"|"&amp;F2351&amp;"|"&amp;I2351&amp;"|"&amp;O2351)</f>
        <v/>
      </c>
      <c r="T2351" s="15" t="str">
        <f>IF(OR(S2351="",D2351&lt;&gt;"Vastgesteld"),"",_xlfn.MAXIFS($G$6:$G$5005,$S$6:$S$5005,S2351,$D$6:$D$5005,"Vastgesteld"))</f>
        <v/>
      </c>
      <c r="U2351" s="15">
        <f>IF(T2351="",0,IF(AND(G2351=T2351,COUNTIFS($S$6:S2351,S2351,$G$6:G2351,G2351,$D$6:D2351,"Vastgesteld")=1),1,0))</f>
        <v>0</v>
      </c>
      <c r="V2351" s="15">
        <f>IF(T2351="",0,IF(AND(G2351=T2351,COUNTIFS($S$6:S2351,S2351,$G$6:G2351,G2351,$D$6:D2351,"Vastgesteld")&gt;1),1,0))</f>
        <v>0</v>
      </c>
    </row>
    <row r="2352">
      <c r="S2352" s="15" t="str">
        <f>IF(J2352="","",J2352&amp;"|"&amp;E2352&amp;"|"&amp;F2352&amp;"|"&amp;I2352&amp;"|"&amp;O2352)</f>
        <v/>
      </c>
      <c r="T2352" s="15" t="str">
        <f>IF(OR(S2352="",D2352&lt;&gt;"Vastgesteld"),"",_xlfn.MAXIFS($G$6:$G$5005,$S$6:$S$5005,S2352,$D$6:$D$5005,"Vastgesteld"))</f>
        <v/>
      </c>
      <c r="U2352" s="15">
        <f>IF(T2352="",0,IF(AND(G2352=T2352,COUNTIFS($S$6:S2352,S2352,$G$6:G2352,G2352,$D$6:D2352,"Vastgesteld")=1),1,0))</f>
        <v>0</v>
      </c>
      <c r="V2352" s="15">
        <f>IF(T2352="",0,IF(AND(G2352=T2352,COUNTIFS($S$6:S2352,S2352,$G$6:G2352,G2352,$D$6:D2352,"Vastgesteld")&gt;1),1,0))</f>
        <v>0</v>
      </c>
    </row>
    <row r="2353">
      <c r="S2353" s="15" t="str">
        <f>IF(J2353="","",J2353&amp;"|"&amp;E2353&amp;"|"&amp;F2353&amp;"|"&amp;I2353&amp;"|"&amp;O2353)</f>
        <v/>
      </c>
      <c r="T2353" s="15" t="str">
        <f>IF(OR(S2353="",D2353&lt;&gt;"Vastgesteld"),"",_xlfn.MAXIFS($G$6:$G$5005,$S$6:$S$5005,S2353,$D$6:$D$5005,"Vastgesteld"))</f>
        <v/>
      </c>
      <c r="U2353" s="15">
        <f>IF(T2353="",0,IF(AND(G2353=T2353,COUNTIFS($S$6:S2353,S2353,$G$6:G2353,G2353,$D$6:D2353,"Vastgesteld")=1),1,0))</f>
        <v>0</v>
      </c>
      <c r="V2353" s="15">
        <f>IF(T2353="",0,IF(AND(G2353=T2353,COUNTIFS($S$6:S2353,S2353,$G$6:G2353,G2353,$D$6:D2353,"Vastgesteld")&gt;1),1,0))</f>
        <v>0</v>
      </c>
    </row>
    <row r="2354">
      <c r="S2354" s="15" t="str">
        <f>IF(J2354="","",J2354&amp;"|"&amp;E2354&amp;"|"&amp;F2354&amp;"|"&amp;I2354&amp;"|"&amp;O2354)</f>
        <v/>
      </c>
      <c r="T2354" s="15" t="str">
        <f>IF(OR(S2354="",D2354&lt;&gt;"Vastgesteld"),"",_xlfn.MAXIFS($G$6:$G$5005,$S$6:$S$5005,S2354,$D$6:$D$5005,"Vastgesteld"))</f>
        <v/>
      </c>
      <c r="U2354" s="15">
        <f>IF(T2354="",0,IF(AND(G2354=T2354,COUNTIFS($S$6:S2354,S2354,$G$6:G2354,G2354,$D$6:D2354,"Vastgesteld")=1),1,0))</f>
        <v>0</v>
      </c>
      <c r="V2354" s="15">
        <f>IF(T2354="",0,IF(AND(G2354=T2354,COUNTIFS($S$6:S2354,S2354,$G$6:G2354,G2354,$D$6:D2354,"Vastgesteld")&gt;1),1,0))</f>
        <v>0</v>
      </c>
    </row>
    <row r="2355">
      <c r="S2355" s="15" t="str">
        <f>IF(J2355="","",J2355&amp;"|"&amp;E2355&amp;"|"&amp;F2355&amp;"|"&amp;I2355&amp;"|"&amp;O2355)</f>
        <v/>
      </c>
      <c r="T2355" s="15" t="str">
        <f>IF(OR(S2355="",D2355&lt;&gt;"Vastgesteld"),"",_xlfn.MAXIFS($G$6:$G$5005,$S$6:$S$5005,S2355,$D$6:$D$5005,"Vastgesteld"))</f>
        <v/>
      </c>
      <c r="U2355" s="15">
        <f>IF(T2355="",0,IF(AND(G2355=T2355,COUNTIFS($S$6:S2355,S2355,$G$6:G2355,G2355,$D$6:D2355,"Vastgesteld")=1),1,0))</f>
        <v>0</v>
      </c>
      <c r="V2355" s="15">
        <f>IF(T2355="",0,IF(AND(G2355=T2355,COUNTIFS($S$6:S2355,S2355,$G$6:G2355,G2355,$D$6:D2355,"Vastgesteld")&gt;1),1,0))</f>
        <v>0</v>
      </c>
    </row>
    <row r="2356">
      <c r="S2356" s="15" t="str">
        <f>IF(J2356="","",J2356&amp;"|"&amp;E2356&amp;"|"&amp;F2356&amp;"|"&amp;I2356&amp;"|"&amp;O2356)</f>
        <v/>
      </c>
      <c r="T2356" s="15" t="str">
        <f>IF(OR(S2356="",D2356&lt;&gt;"Vastgesteld"),"",_xlfn.MAXIFS($G$6:$G$5005,$S$6:$S$5005,S2356,$D$6:$D$5005,"Vastgesteld"))</f>
        <v/>
      </c>
      <c r="U2356" s="15">
        <f>IF(T2356="",0,IF(AND(G2356=T2356,COUNTIFS($S$6:S2356,S2356,$G$6:G2356,G2356,$D$6:D2356,"Vastgesteld")=1),1,0))</f>
        <v>0</v>
      </c>
      <c r="V2356" s="15">
        <f>IF(T2356="",0,IF(AND(G2356=T2356,COUNTIFS($S$6:S2356,S2356,$G$6:G2356,G2356,$D$6:D2356,"Vastgesteld")&gt;1),1,0))</f>
        <v>0</v>
      </c>
    </row>
    <row r="2357">
      <c r="S2357" s="15" t="str">
        <f>IF(J2357="","",J2357&amp;"|"&amp;E2357&amp;"|"&amp;F2357&amp;"|"&amp;I2357&amp;"|"&amp;O2357)</f>
        <v/>
      </c>
      <c r="T2357" s="15" t="str">
        <f>IF(OR(S2357="",D2357&lt;&gt;"Vastgesteld"),"",_xlfn.MAXIFS($G$6:$G$5005,$S$6:$S$5005,S2357,$D$6:$D$5005,"Vastgesteld"))</f>
        <v/>
      </c>
      <c r="U2357" s="15">
        <f>IF(T2357="",0,IF(AND(G2357=T2357,COUNTIFS($S$6:S2357,S2357,$G$6:G2357,G2357,$D$6:D2357,"Vastgesteld")=1),1,0))</f>
        <v>0</v>
      </c>
      <c r="V2357" s="15">
        <f>IF(T2357="",0,IF(AND(G2357=T2357,COUNTIFS($S$6:S2357,S2357,$G$6:G2357,G2357,$D$6:D2357,"Vastgesteld")&gt;1),1,0))</f>
        <v>0</v>
      </c>
    </row>
    <row r="2358">
      <c r="S2358" s="15" t="str">
        <f>IF(J2358="","",J2358&amp;"|"&amp;E2358&amp;"|"&amp;F2358&amp;"|"&amp;I2358&amp;"|"&amp;O2358)</f>
        <v/>
      </c>
      <c r="T2358" s="15" t="str">
        <f>IF(OR(S2358="",D2358&lt;&gt;"Vastgesteld"),"",_xlfn.MAXIFS($G$6:$G$5005,$S$6:$S$5005,S2358,$D$6:$D$5005,"Vastgesteld"))</f>
        <v/>
      </c>
      <c r="U2358" s="15">
        <f>IF(T2358="",0,IF(AND(G2358=T2358,COUNTIFS($S$6:S2358,S2358,$G$6:G2358,G2358,$D$6:D2358,"Vastgesteld")=1),1,0))</f>
        <v>0</v>
      </c>
      <c r="V2358" s="15">
        <f>IF(T2358="",0,IF(AND(G2358=T2358,COUNTIFS($S$6:S2358,S2358,$G$6:G2358,G2358,$D$6:D2358,"Vastgesteld")&gt;1),1,0))</f>
        <v>0</v>
      </c>
    </row>
    <row r="2359">
      <c r="S2359" s="15" t="str">
        <f>IF(J2359="","",J2359&amp;"|"&amp;E2359&amp;"|"&amp;F2359&amp;"|"&amp;I2359&amp;"|"&amp;O2359)</f>
        <v/>
      </c>
      <c r="T2359" s="15" t="str">
        <f>IF(OR(S2359="",D2359&lt;&gt;"Vastgesteld"),"",_xlfn.MAXIFS($G$6:$G$5005,$S$6:$S$5005,S2359,$D$6:$D$5005,"Vastgesteld"))</f>
        <v/>
      </c>
      <c r="U2359" s="15">
        <f>IF(T2359="",0,IF(AND(G2359=T2359,COUNTIFS($S$6:S2359,S2359,$G$6:G2359,G2359,$D$6:D2359,"Vastgesteld")=1),1,0))</f>
        <v>0</v>
      </c>
      <c r="V2359" s="15">
        <f>IF(T2359="",0,IF(AND(G2359=T2359,COUNTIFS($S$6:S2359,S2359,$G$6:G2359,G2359,$D$6:D2359,"Vastgesteld")&gt;1),1,0))</f>
        <v>0</v>
      </c>
    </row>
    <row r="2360">
      <c r="S2360" s="15" t="str">
        <f>IF(J2360="","",J2360&amp;"|"&amp;E2360&amp;"|"&amp;F2360&amp;"|"&amp;I2360&amp;"|"&amp;O2360)</f>
        <v/>
      </c>
      <c r="T2360" s="15" t="str">
        <f>IF(OR(S2360="",D2360&lt;&gt;"Vastgesteld"),"",_xlfn.MAXIFS($G$6:$G$5005,$S$6:$S$5005,S2360,$D$6:$D$5005,"Vastgesteld"))</f>
        <v/>
      </c>
      <c r="U2360" s="15">
        <f>IF(T2360="",0,IF(AND(G2360=T2360,COUNTIFS($S$6:S2360,S2360,$G$6:G2360,G2360,$D$6:D2360,"Vastgesteld")=1),1,0))</f>
        <v>0</v>
      </c>
      <c r="V2360" s="15">
        <f>IF(T2360="",0,IF(AND(G2360=T2360,COUNTIFS($S$6:S2360,S2360,$G$6:G2360,G2360,$D$6:D2360,"Vastgesteld")&gt;1),1,0))</f>
        <v>0</v>
      </c>
    </row>
    <row r="2361">
      <c r="S2361" s="15" t="str">
        <f>IF(J2361="","",J2361&amp;"|"&amp;E2361&amp;"|"&amp;F2361&amp;"|"&amp;I2361&amp;"|"&amp;O2361)</f>
        <v/>
      </c>
      <c r="T2361" s="15" t="str">
        <f>IF(OR(S2361="",D2361&lt;&gt;"Vastgesteld"),"",_xlfn.MAXIFS($G$6:$G$5005,$S$6:$S$5005,S2361,$D$6:$D$5005,"Vastgesteld"))</f>
        <v/>
      </c>
      <c r="U2361" s="15">
        <f>IF(T2361="",0,IF(AND(G2361=T2361,COUNTIFS($S$6:S2361,S2361,$G$6:G2361,G2361,$D$6:D2361,"Vastgesteld")=1),1,0))</f>
        <v>0</v>
      </c>
      <c r="V2361" s="15">
        <f>IF(T2361="",0,IF(AND(G2361=T2361,COUNTIFS($S$6:S2361,S2361,$G$6:G2361,G2361,$D$6:D2361,"Vastgesteld")&gt;1),1,0))</f>
        <v>0</v>
      </c>
    </row>
    <row r="2362">
      <c r="S2362" s="15" t="str">
        <f>IF(J2362="","",J2362&amp;"|"&amp;E2362&amp;"|"&amp;F2362&amp;"|"&amp;I2362&amp;"|"&amp;O2362)</f>
        <v/>
      </c>
      <c r="T2362" s="15" t="str">
        <f>IF(OR(S2362="",D2362&lt;&gt;"Vastgesteld"),"",_xlfn.MAXIFS($G$6:$G$5005,$S$6:$S$5005,S2362,$D$6:$D$5005,"Vastgesteld"))</f>
        <v/>
      </c>
      <c r="U2362" s="15">
        <f>IF(T2362="",0,IF(AND(G2362=T2362,COUNTIFS($S$6:S2362,S2362,$G$6:G2362,G2362,$D$6:D2362,"Vastgesteld")=1),1,0))</f>
        <v>0</v>
      </c>
      <c r="V2362" s="15">
        <f>IF(T2362="",0,IF(AND(G2362=T2362,COUNTIFS($S$6:S2362,S2362,$G$6:G2362,G2362,$D$6:D2362,"Vastgesteld")&gt;1),1,0))</f>
        <v>0</v>
      </c>
    </row>
    <row r="2363">
      <c r="S2363" s="15" t="str">
        <f>IF(J2363="","",J2363&amp;"|"&amp;E2363&amp;"|"&amp;F2363&amp;"|"&amp;I2363&amp;"|"&amp;O2363)</f>
        <v/>
      </c>
      <c r="T2363" s="15" t="str">
        <f>IF(OR(S2363="",D2363&lt;&gt;"Vastgesteld"),"",_xlfn.MAXIFS($G$6:$G$5005,$S$6:$S$5005,S2363,$D$6:$D$5005,"Vastgesteld"))</f>
        <v/>
      </c>
      <c r="U2363" s="15">
        <f>IF(T2363="",0,IF(AND(G2363=T2363,COUNTIFS($S$6:S2363,S2363,$G$6:G2363,G2363,$D$6:D2363,"Vastgesteld")=1),1,0))</f>
        <v>0</v>
      </c>
      <c r="V2363" s="15">
        <f>IF(T2363="",0,IF(AND(G2363=T2363,COUNTIFS($S$6:S2363,S2363,$G$6:G2363,G2363,$D$6:D2363,"Vastgesteld")&gt;1),1,0))</f>
        <v>0</v>
      </c>
    </row>
    <row r="2364">
      <c r="S2364" s="15" t="str">
        <f>IF(J2364="","",J2364&amp;"|"&amp;E2364&amp;"|"&amp;F2364&amp;"|"&amp;I2364&amp;"|"&amp;O2364)</f>
        <v/>
      </c>
      <c r="T2364" s="15" t="str">
        <f>IF(OR(S2364="",D2364&lt;&gt;"Vastgesteld"),"",_xlfn.MAXIFS($G$6:$G$5005,$S$6:$S$5005,S2364,$D$6:$D$5005,"Vastgesteld"))</f>
        <v/>
      </c>
      <c r="U2364" s="15">
        <f>IF(T2364="",0,IF(AND(G2364=T2364,COUNTIFS($S$6:S2364,S2364,$G$6:G2364,G2364,$D$6:D2364,"Vastgesteld")=1),1,0))</f>
        <v>0</v>
      </c>
      <c r="V2364" s="15">
        <f>IF(T2364="",0,IF(AND(G2364=T2364,COUNTIFS($S$6:S2364,S2364,$G$6:G2364,G2364,$D$6:D2364,"Vastgesteld")&gt;1),1,0))</f>
        <v>0</v>
      </c>
    </row>
    <row r="2365">
      <c r="S2365" s="15" t="str">
        <f>IF(J2365="","",J2365&amp;"|"&amp;E2365&amp;"|"&amp;F2365&amp;"|"&amp;I2365&amp;"|"&amp;O2365)</f>
        <v/>
      </c>
      <c r="T2365" s="15" t="str">
        <f>IF(OR(S2365="",D2365&lt;&gt;"Vastgesteld"),"",_xlfn.MAXIFS($G$6:$G$5005,$S$6:$S$5005,S2365,$D$6:$D$5005,"Vastgesteld"))</f>
        <v/>
      </c>
      <c r="U2365" s="15">
        <f>IF(T2365="",0,IF(AND(G2365=T2365,COUNTIFS($S$6:S2365,S2365,$G$6:G2365,G2365,$D$6:D2365,"Vastgesteld")=1),1,0))</f>
        <v>0</v>
      </c>
      <c r="V2365" s="15">
        <f>IF(T2365="",0,IF(AND(G2365=T2365,COUNTIFS($S$6:S2365,S2365,$G$6:G2365,G2365,$D$6:D2365,"Vastgesteld")&gt;1),1,0))</f>
        <v>0</v>
      </c>
    </row>
    <row r="2366">
      <c r="S2366" s="15" t="str">
        <f>IF(J2366="","",J2366&amp;"|"&amp;E2366&amp;"|"&amp;F2366&amp;"|"&amp;I2366&amp;"|"&amp;O2366)</f>
        <v/>
      </c>
      <c r="T2366" s="15" t="str">
        <f>IF(OR(S2366="",D2366&lt;&gt;"Vastgesteld"),"",_xlfn.MAXIFS($G$6:$G$5005,$S$6:$S$5005,S2366,$D$6:$D$5005,"Vastgesteld"))</f>
        <v/>
      </c>
      <c r="U2366" s="15">
        <f>IF(T2366="",0,IF(AND(G2366=T2366,COUNTIFS($S$6:S2366,S2366,$G$6:G2366,G2366,$D$6:D2366,"Vastgesteld")=1),1,0))</f>
        <v>0</v>
      </c>
      <c r="V2366" s="15">
        <f>IF(T2366="",0,IF(AND(G2366=T2366,COUNTIFS($S$6:S2366,S2366,$G$6:G2366,G2366,$D$6:D2366,"Vastgesteld")&gt;1),1,0))</f>
        <v>0</v>
      </c>
    </row>
    <row r="2367">
      <c r="S2367" s="15" t="str">
        <f>IF(J2367="","",J2367&amp;"|"&amp;E2367&amp;"|"&amp;F2367&amp;"|"&amp;I2367&amp;"|"&amp;O2367)</f>
        <v/>
      </c>
      <c r="T2367" s="15" t="str">
        <f>IF(OR(S2367="",D2367&lt;&gt;"Vastgesteld"),"",_xlfn.MAXIFS($G$6:$G$5005,$S$6:$S$5005,S2367,$D$6:$D$5005,"Vastgesteld"))</f>
        <v/>
      </c>
      <c r="U2367" s="15">
        <f>IF(T2367="",0,IF(AND(G2367=T2367,COUNTIFS($S$6:S2367,S2367,$G$6:G2367,G2367,$D$6:D2367,"Vastgesteld")=1),1,0))</f>
        <v>0</v>
      </c>
      <c r="V2367" s="15">
        <f>IF(T2367="",0,IF(AND(G2367=T2367,COUNTIFS($S$6:S2367,S2367,$G$6:G2367,G2367,$D$6:D2367,"Vastgesteld")&gt;1),1,0))</f>
        <v>0</v>
      </c>
    </row>
    <row r="2368">
      <c r="S2368" s="15" t="str">
        <f>IF(J2368="","",J2368&amp;"|"&amp;E2368&amp;"|"&amp;F2368&amp;"|"&amp;I2368&amp;"|"&amp;O2368)</f>
        <v/>
      </c>
      <c r="T2368" s="15" t="str">
        <f>IF(OR(S2368="",D2368&lt;&gt;"Vastgesteld"),"",_xlfn.MAXIFS($G$6:$G$5005,$S$6:$S$5005,S2368,$D$6:$D$5005,"Vastgesteld"))</f>
        <v/>
      </c>
      <c r="U2368" s="15">
        <f>IF(T2368="",0,IF(AND(G2368=T2368,COUNTIFS($S$6:S2368,S2368,$G$6:G2368,G2368,$D$6:D2368,"Vastgesteld")=1),1,0))</f>
        <v>0</v>
      </c>
      <c r="V2368" s="15">
        <f>IF(T2368="",0,IF(AND(G2368=T2368,COUNTIFS($S$6:S2368,S2368,$G$6:G2368,G2368,$D$6:D2368,"Vastgesteld")&gt;1),1,0))</f>
        <v>0</v>
      </c>
    </row>
    <row r="2369">
      <c r="S2369" s="15" t="str">
        <f>IF(J2369="","",J2369&amp;"|"&amp;E2369&amp;"|"&amp;F2369&amp;"|"&amp;I2369&amp;"|"&amp;O2369)</f>
        <v/>
      </c>
      <c r="T2369" s="15" t="str">
        <f>IF(OR(S2369="",D2369&lt;&gt;"Vastgesteld"),"",_xlfn.MAXIFS($G$6:$G$5005,$S$6:$S$5005,S2369,$D$6:$D$5005,"Vastgesteld"))</f>
        <v/>
      </c>
      <c r="U2369" s="15">
        <f>IF(T2369="",0,IF(AND(G2369=T2369,COUNTIFS($S$6:S2369,S2369,$G$6:G2369,G2369,$D$6:D2369,"Vastgesteld")=1),1,0))</f>
        <v>0</v>
      </c>
      <c r="V2369" s="15">
        <f>IF(T2369="",0,IF(AND(G2369=T2369,COUNTIFS($S$6:S2369,S2369,$G$6:G2369,G2369,$D$6:D2369,"Vastgesteld")&gt;1),1,0))</f>
        <v>0</v>
      </c>
    </row>
    <row r="2370">
      <c r="S2370" s="15" t="str">
        <f>IF(J2370="","",J2370&amp;"|"&amp;E2370&amp;"|"&amp;F2370&amp;"|"&amp;I2370&amp;"|"&amp;O2370)</f>
        <v/>
      </c>
      <c r="T2370" s="15" t="str">
        <f>IF(OR(S2370="",D2370&lt;&gt;"Vastgesteld"),"",_xlfn.MAXIFS($G$6:$G$5005,$S$6:$S$5005,S2370,$D$6:$D$5005,"Vastgesteld"))</f>
        <v/>
      </c>
      <c r="U2370" s="15">
        <f>IF(T2370="",0,IF(AND(G2370=T2370,COUNTIFS($S$6:S2370,S2370,$G$6:G2370,G2370,$D$6:D2370,"Vastgesteld")=1),1,0))</f>
        <v>0</v>
      </c>
      <c r="V2370" s="15">
        <f>IF(T2370="",0,IF(AND(G2370=T2370,COUNTIFS($S$6:S2370,S2370,$G$6:G2370,G2370,$D$6:D2370,"Vastgesteld")&gt;1),1,0))</f>
        <v>0</v>
      </c>
    </row>
    <row r="2371">
      <c r="S2371" s="15" t="str">
        <f>IF(J2371="","",J2371&amp;"|"&amp;E2371&amp;"|"&amp;F2371&amp;"|"&amp;I2371&amp;"|"&amp;O2371)</f>
        <v/>
      </c>
      <c r="T2371" s="15" t="str">
        <f>IF(OR(S2371="",D2371&lt;&gt;"Vastgesteld"),"",_xlfn.MAXIFS($G$6:$G$5005,$S$6:$S$5005,S2371,$D$6:$D$5005,"Vastgesteld"))</f>
        <v/>
      </c>
      <c r="U2371" s="15">
        <f>IF(T2371="",0,IF(AND(G2371=T2371,COUNTIFS($S$6:S2371,S2371,$G$6:G2371,G2371,$D$6:D2371,"Vastgesteld")=1),1,0))</f>
        <v>0</v>
      </c>
      <c r="V2371" s="15">
        <f>IF(T2371="",0,IF(AND(G2371=T2371,COUNTIFS($S$6:S2371,S2371,$G$6:G2371,G2371,$D$6:D2371,"Vastgesteld")&gt;1),1,0))</f>
        <v>0</v>
      </c>
    </row>
    <row r="2372">
      <c r="S2372" s="15" t="str">
        <f>IF(J2372="","",J2372&amp;"|"&amp;E2372&amp;"|"&amp;F2372&amp;"|"&amp;I2372&amp;"|"&amp;O2372)</f>
        <v/>
      </c>
      <c r="T2372" s="15" t="str">
        <f>IF(OR(S2372="",D2372&lt;&gt;"Vastgesteld"),"",_xlfn.MAXIFS($G$6:$G$5005,$S$6:$S$5005,S2372,$D$6:$D$5005,"Vastgesteld"))</f>
        <v/>
      </c>
      <c r="U2372" s="15">
        <f>IF(T2372="",0,IF(AND(G2372=T2372,COUNTIFS($S$6:S2372,S2372,$G$6:G2372,G2372,$D$6:D2372,"Vastgesteld")=1),1,0))</f>
        <v>0</v>
      </c>
      <c r="V2372" s="15">
        <f>IF(T2372="",0,IF(AND(G2372=T2372,COUNTIFS($S$6:S2372,S2372,$G$6:G2372,G2372,$D$6:D2372,"Vastgesteld")&gt;1),1,0))</f>
        <v>0</v>
      </c>
    </row>
    <row r="2373">
      <c r="S2373" s="15" t="str">
        <f>IF(J2373="","",J2373&amp;"|"&amp;E2373&amp;"|"&amp;F2373&amp;"|"&amp;I2373&amp;"|"&amp;O2373)</f>
        <v/>
      </c>
      <c r="T2373" s="15" t="str">
        <f>IF(OR(S2373="",D2373&lt;&gt;"Vastgesteld"),"",_xlfn.MAXIFS($G$6:$G$5005,$S$6:$S$5005,S2373,$D$6:$D$5005,"Vastgesteld"))</f>
        <v/>
      </c>
      <c r="U2373" s="15">
        <f>IF(T2373="",0,IF(AND(G2373=T2373,COUNTIFS($S$6:S2373,S2373,$G$6:G2373,G2373,$D$6:D2373,"Vastgesteld")=1),1,0))</f>
        <v>0</v>
      </c>
      <c r="V2373" s="15">
        <f>IF(T2373="",0,IF(AND(G2373=T2373,COUNTIFS($S$6:S2373,S2373,$G$6:G2373,G2373,$D$6:D2373,"Vastgesteld")&gt;1),1,0))</f>
        <v>0</v>
      </c>
    </row>
    <row r="2374">
      <c r="S2374" s="15" t="str">
        <f>IF(J2374="","",J2374&amp;"|"&amp;E2374&amp;"|"&amp;F2374&amp;"|"&amp;I2374&amp;"|"&amp;O2374)</f>
        <v/>
      </c>
      <c r="T2374" s="15" t="str">
        <f>IF(OR(S2374="",D2374&lt;&gt;"Vastgesteld"),"",_xlfn.MAXIFS($G$6:$G$5005,$S$6:$S$5005,S2374,$D$6:$D$5005,"Vastgesteld"))</f>
        <v/>
      </c>
      <c r="U2374" s="15">
        <f>IF(T2374="",0,IF(AND(G2374=T2374,COUNTIFS($S$6:S2374,S2374,$G$6:G2374,G2374,$D$6:D2374,"Vastgesteld")=1),1,0))</f>
        <v>0</v>
      </c>
      <c r="V2374" s="15">
        <f>IF(T2374="",0,IF(AND(G2374=T2374,COUNTIFS($S$6:S2374,S2374,$G$6:G2374,G2374,$D$6:D2374,"Vastgesteld")&gt;1),1,0))</f>
        <v>0</v>
      </c>
    </row>
    <row r="2375">
      <c r="S2375" s="15" t="str">
        <f>IF(J2375="","",J2375&amp;"|"&amp;E2375&amp;"|"&amp;F2375&amp;"|"&amp;I2375&amp;"|"&amp;O2375)</f>
        <v/>
      </c>
      <c r="T2375" s="15" t="str">
        <f>IF(OR(S2375="",D2375&lt;&gt;"Vastgesteld"),"",_xlfn.MAXIFS($G$6:$G$5005,$S$6:$S$5005,S2375,$D$6:$D$5005,"Vastgesteld"))</f>
        <v/>
      </c>
      <c r="U2375" s="15">
        <f>IF(T2375="",0,IF(AND(G2375=T2375,COUNTIFS($S$6:S2375,S2375,$G$6:G2375,G2375,$D$6:D2375,"Vastgesteld")=1),1,0))</f>
        <v>0</v>
      </c>
      <c r="V2375" s="15">
        <f>IF(T2375="",0,IF(AND(G2375=T2375,COUNTIFS($S$6:S2375,S2375,$G$6:G2375,G2375,$D$6:D2375,"Vastgesteld")&gt;1),1,0))</f>
        <v>0</v>
      </c>
    </row>
    <row r="2376">
      <c r="S2376" s="15" t="str">
        <f>IF(J2376="","",J2376&amp;"|"&amp;E2376&amp;"|"&amp;F2376&amp;"|"&amp;I2376&amp;"|"&amp;O2376)</f>
        <v/>
      </c>
      <c r="T2376" s="15" t="str">
        <f>IF(OR(S2376="",D2376&lt;&gt;"Vastgesteld"),"",_xlfn.MAXIFS($G$6:$G$5005,$S$6:$S$5005,S2376,$D$6:$D$5005,"Vastgesteld"))</f>
        <v/>
      </c>
      <c r="U2376" s="15">
        <f>IF(T2376="",0,IF(AND(G2376=T2376,COUNTIFS($S$6:S2376,S2376,$G$6:G2376,G2376,$D$6:D2376,"Vastgesteld")=1),1,0))</f>
        <v>0</v>
      </c>
      <c r="V2376" s="15">
        <f>IF(T2376="",0,IF(AND(G2376=T2376,COUNTIFS($S$6:S2376,S2376,$G$6:G2376,G2376,$D$6:D2376,"Vastgesteld")&gt;1),1,0))</f>
        <v>0</v>
      </c>
    </row>
    <row r="2377">
      <c r="S2377" s="15" t="str">
        <f>IF(J2377="","",J2377&amp;"|"&amp;E2377&amp;"|"&amp;F2377&amp;"|"&amp;I2377&amp;"|"&amp;O2377)</f>
        <v/>
      </c>
      <c r="T2377" s="15" t="str">
        <f>IF(OR(S2377="",D2377&lt;&gt;"Vastgesteld"),"",_xlfn.MAXIFS($G$6:$G$5005,$S$6:$S$5005,S2377,$D$6:$D$5005,"Vastgesteld"))</f>
        <v/>
      </c>
      <c r="U2377" s="15">
        <f>IF(T2377="",0,IF(AND(G2377=T2377,COUNTIFS($S$6:S2377,S2377,$G$6:G2377,G2377,$D$6:D2377,"Vastgesteld")=1),1,0))</f>
        <v>0</v>
      </c>
      <c r="V2377" s="15">
        <f>IF(T2377="",0,IF(AND(G2377=T2377,COUNTIFS($S$6:S2377,S2377,$G$6:G2377,G2377,$D$6:D2377,"Vastgesteld")&gt;1),1,0))</f>
        <v>0</v>
      </c>
    </row>
    <row r="2378">
      <c r="S2378" s="15" t="str">
        <f>IF(J2378="","",J2378&amp;"|"&amp;E2378&amp;"|"&amp;F2378&amp;"|"&amp;I2378&amp;"|"&amp;O2378)</f>
        <v/>
      </c>
      <c r="T2378" s="15" t="str">
        <f>IF(OR(S2378="",D2378&lt;&gt;"Vastgesteld"),"",_xlfn.MAXIFS($G$6:$G$5005,$S$6:$S$5005,S2378,$D$6:$D$5005,"Vastgesteld"))</f>
        <v/>
      </c>
      <c r="U2378" s="15">
        <f>IF(T2378="",0,IF(AND(G2378=T2378,COUNTIFS($S$6:S2378,S2378,$G$6:G2378,G2378,$D$6:D2378,"Vastgesteld")=1),1,0))</f>
        <v>0</v>
      </c>
      <c r="V2378" s="15">
        <f>IF(T2378="",0,IF(AND(G2378=T2378,COUNTIFS($S$6:S2378,S2378,$G$6:G2378,G2378,$D$6:D2378,"Vastgesteld")&gt;1),1,0))</f>
        <v>0</v>
      </c>
    </row>
    <row r="2379">
      <c r="S2379" s="15" t="str">
        <f>IF(J2379="","",J2379&amp;"|"&amp;E2379&amp;"|"&amp;F2379&amp;"|"&amp;I2379&amp;"|"&amp;O2379)</f>
        <v/>
      </c>
      <c r="T2379" s="15" t="str">
        <f>IF(OR(S2379="",D2379&lt;&gt;"Vastgesteld"),"",_xlfn.MAXIFS($G$6:$G$5005,$S$6:$S$5005,S2379,$D$6:$D$5005,"Vastgesteld"))</f>
        <v/>
      </c>
      <c r="U2379" s="15">
        <f>IF(T2379="",0,IF(AND(G2379=T2379,COUNTIFS($S$6:S2379,S2379,$G$6:G2379,G2379,$D$6:D2379,"Vastgesteld")=1),1,0))</f>
        <v>0</v>
      </c>
      <c r="V2379" s="15">
        <f>IF(T2379="",0,IF(AND(G2379=T2379,COUNTIFS($S$6:S2379,S2379,$G$6:G2379,G2379,$D$6:D2379,"Vastgesteld")&gt;1),1,0))</f>
        <v>0</v>
      </c>
    </row>
    <row r="2380">
      <c r="S2380" s="15" t="str">
        <f>IF(J2380="","",J2380&amp;"|"&amp;E2380&amp;"|"&amp;F2380&amp;"|"&amp;I2380&amp;"|"&amp;O2380)</f>
        <v/>
      </c>
      <c r="T2380" s="15" t="str">
        <f>IF(OR(S2380="",D2380&lt;&gt;"Vastgesteld"),"",_xlfn.MAXIFS($G$6:$G$5005,$S$6:$S$5005,S2380,$D$6:$D$5005,"Vastgesteld"))</f>
        <v/>
      </c>
      <c r="U2380" s="15">
        <f>IF(T2380="",0,IF(AND(G2380=T2380,COUNTIFS($S$6:S2380,S2380,$G$6:G2380,G2380,$D$6:D2380,"Vastgesteld")=1),1,0))</f>
        <v>0</v>
      </c>
      <c r="V2380" s="15">
        <f>IF(T2380="",0,IF(AND(G2380=T2380,COUNTIFS($S$6:S2380,S2380,$G$6:G2380,G2380,$D$6:D2380,"Vastgesteld")&gt;1),1,0))</f>
        <v>0</v>
      </c>
    </row>
    <row r="2381">
      <c r="S2381" s="15" t="str">
        <f>IF(J2381="","",J2381&amp;"|"&amp;E2381&amp;"|"&amp;F2381&amp;"|"&amp;I2381&amp;"|"&amp;O2381)</f>
        <v/>
      </c>
      <c r="T2381" s="15" t="str">
        <f>IF(OR(S2381="",D2381&lt;&gt;"Vastgesteld"),"",_xlfn.MAXIFS($G$6:$G$5005,$S$6:$S$5005,S2381,$D$6:$D$5005,"Vastgesteld"))</f>
        <v/>
      </c>
      <c r="U2381" s="15">
        <f>IF(T2381="",0,IF(AND(G2381=T2381,COUNTIFS($S$6:S2381,S2381,$G$6:G2381,G2381,$D$6:D2381,"Vastgesteld")=1),1,0))</f>
        <v>0</v>
      </c>
      <c r="V2381" s="15">
        <f>IF(T2381="",0,IF(AND(G2381=T2381,COUNTIFS($S$6:S2381,S2381,$G$6:G2381,G2381,$D$6:D2381,"Vastgesteld")&gt;1),1,0))</f>
        <v>0</v>
      </c>
    </row>
    <row r="2382">
      <c r="S2382" s="15" t="str">
        <f>IF(J2382="","",J2382&amp;"|"&amp;E2382&amp;"|"&amp;F2382&amp;"|"&amp;I2382&amp;"|"&amp;O2382)</f>
        <v/>
      </c>
      <c r="T2382" s="15" t="str">
        <f>IF(OR(S2382="",D2382&lt;&gt;"Vastgesteld"),"",_xlfn.MAXIFS($G$6:$G$5005,$S$6:$S$5005,S2382,$D$6:$D$5005,"Vastgesteld"))</f>
        <v/>
      </c>
      <c r="U2382" s="15">
        <f>IF(T2382="",0,IF(AND(G2382=T2382,COUNTIFS($S$6:S2382,S2382,$G$6:G2382,G2382,$D$6:D2382,"Vastgesteld")=1),1,0))</f>
        <v>0</v>
      </c>
      <c r="V2382" s="15">
        <f>IF(T2382="",0,IF(AND(G2382=T2382,COUNTIFS($S$6:S2382,S2382,$G$6:G2382,G2382,$D$6:D2382,"Vastgesteld")&gt;1),1,0))</f>
        <v>0</v>
      </c>
    </row>
    <row r="2383">
      <c r="S2383" s="15" t="str">
        <f>IF(J2383="","",J2383&amp;"|"&amp;E2383&amp;"|"&amp;F2383&amp;"|"&amp;I2383&amp;"|"&amp;O2383)</f>
        <v/>
      </c>
      <c r="T2383" s="15" t="str">
        <f>IF(OR(S2383="",D2383&lt;&gt;"Vastgesteld"),"",_xlfn.MAXIFS($G$6:$G$5005,$S$6:$S$5005,S2383,$D$6:$D$5005,"Vastgesteld"))</f>
        <v/>
      </c>
      <c r="U2383" s="15">
        <f>IF(T2383="",0,IF(AND(G2383=T2383,COUNTIFS($S$6:S2383,S2383,$G$6:G2383,G2383,$D$6:D2383,"Vastgesteld")=1),1,0))</f>
        <v>0</v>
      </c>
      <c r="V2383" s="15">
        <f>IF(T2383="",0,IF(AND(G2383=T2383,COUNTIFS($S$6:S2383,S2383,$G$6:G2383,G2383,$D$6:D2383,"Vastgesteld")&gt;1),1,0))</f>
        <v>0</v>
      </c>
    </row>
    <row r="2384">
      <c r="S2384" s="15" t="str">
        <f>IF(J2384="","",J2384&amp;"|"&amp;E2384&amp;"|"&amp;F2384&amp;"|"&amp;I2384&amp;"|"&amp;O2384)</f>
        <v/>
      </c>
      <c r="T2384" s="15" t="str">
        <f>IF(OR(S2384="",D2384&lt;&gt;"Vastgesteld"),"",_xlfn.MAXIFS($G$6:$G$5005,$S$6:$S$5005,S2384,$D$6:$D$5005,"Vastgesteld"))</f>
        <v/>
      </c>
      <c r="U2384" s="15">
        <f>IF(T2384="",0,IF(AND(G2384=T2384,COUNTIFS($S$6:S2384,S2384,$G$6:G2384,G2384,$D$6:D2384,"Vastgesteld")=1),1,0))</f>
        <v>0</v>
      </c>
      <c r="V2384" s="15">
        <f>IF(T2384="",0,IF(AND(G2384=T2384,COUNTIFS($S$6:S2384,S2384,$G$6:G2384,G2384,$D$6:D2384,"Vastgesteld")&gt;1),1,0))</f>
        <v>0</v>
      </c>
    </row>
    <row r="2385">
      <c r="S2385" s="15" t="str">
        <f>IF(J2385="","",J2385&amp;"|"&amp;E2385&amp;"|"&amp;F2385&amp;"|"&amp;I2385&amp;"|"&amp;O2385)</f>
        <v/>
      </c>
      <c r="T2385" s="15" t="str">
        <f>IF(OR(S2385="",D2385&lt;&gt;"Vastgesteld"),"",_xlfn.MAXIFS($G$6:$G$5005,$S$6:$S$5005,S2385,$D$6:$D$5005,"Vastgesteld"))</f>
        <v/>
      </c>
      <c r="U2385" s="15">
        <f>IF(T2385="",0,IF(AND(G2385=T2385,COUNTIFS($S$6:S2385,S2385,$G$6:G2385,G2385,$D$6:D2385,"Vastgesteld")=1),1,0))</f>
        <v>0</v>
      </c>
      <c r="V2385" s="15">
        <f>IF(T2385="",0,IF(AND(G2385=T2385,COUNTIFS($S$6:S2385,S2385,$G$6:G2385,G2385,$D$6:D2385,"Vastgesteld")&gt;1),1,0))</f>
        <v>0</v>
      </c>
    </row>
    <row r="2386">
      <c r="S2386" s="15" t="str">
        <f>IF(J2386="","",J2386&amp;"|"&amp;E2386&amp;"|"&amp;F2386&amp;"|"&amp;I2386&amp;"|"&amp;O2386)</f>
        <v/>
      </c>
      <c r="T2386" s="15" t="str">
        <f>IF(OR(S2386="",D2386&lt;&gt;"Vastgesteld"),"",_xlfn.MAXIFS($G$6:$G$5005,$S$6:$S$5005,S2386,$D$6:$D$5005,"Vastgesteld"))</f>
        <v/>
      </c>
      <c r="U2386" s="15">
        <f>IF(T2386="",0,IF(AND(G2386=T2386,COUNTIFS($S$6:S2386,S2386,$G$6:G2386,G2386,$D$6:D2386,"Vastgesteld")=1),1,0))</f>
        <v>0</v>
      </c>
      <c r="V2386" s="15">
        <f>IF(T2386="",0,IF(AND(G2386=T2386,COUNTIFS($S$6:S2386,S2386,$G$6:G2386,G2386,$D$6:D2386,"Vastgesteld")&gt;1),1,0))</f>
        <v>0</v>
      </c>
    </row>
    <row r="2387">
      <c r="S2387" s="15" t="str">
        <f>IF(J2387="","",J2387&amp;"|"&amp;E2387&amp;"|"&amp;F2387&amp;"|"&amp;I2387&amp;"|"&amp;O2387)</f>
        <v/>
      </c>
      <c r="T2387" s="15" t="str">
        <f>IF(OR(S2387="",D2387&lt;&gt;"Vastgesteld"),"",_xlfn.MAXIFS($G$6:$G$5005,$S$6:$S$5005,S2387,$D$6:$D$5005,"Vastgesteld"))</f>
        <v/>
      </c>
      <c r="U2387" s="15">
        <f>IF(T2387="",0,IF(AND(G2387=T2387,COUNTIFS($S$6:S2387,S2387,$G$6:G2387,G2387,$D$6:D2387,"Vastgesteld")=1),1,0))</f>
        <v>0</v>
      </c>
      <c r="V2387" s="15">
        <f>IF(T2387="",0,IF(AND(G2387=T2387,COUNTIFS($S$6:S2387,S2387,$G$6:G2387,G2387,$D$6:D2387,"Vastgesteld")&gt;1),1,0))</f>
        <v>0</v>
      </c>
    </row>
    <row r="2388">
      <c r="S2388" s="15" t="str">
        <f>IF(J2388="","",J2388&amp;"|"&amp;E2388&amp;"|"&amp;F2388&amp;"|"&amp;I2388&amp;"|"&amp;O2388)</f>
        <v/>
      </c>
      <c r="T2388" s="15" t="str">
        <f>IF(OR(S2388="",D2388&lt;&gt;"Vastgesteld"),"",_xlfn.MAXIFS($G$6:$G$5005,$S$6:$S$5005,S2388,$D$6:$D$5005,"Vastgesteld"))</f>
        <v/>
      </c>
      <c r="U2388" s="15">
        <f>IF(T2388="",0,IF(AND(G2388=T2388,COUNTIFS($S$6:S2388,S2388,$G$6:G2388,G2388,$D$6:D2388,"Vastgesteld")=1),1,0))</f>
        <v>0</v>
      </c>
      <c r="V2388" s="15">
        <f>IF(T2388="",0,IF(AND(G2388=T2388,COUNTIFS($S$6:S2388,S2388,$G$6:G2388,G2388,$D$6:D2388,"Vastgesteld")&gt;1),1,0))</f>
        <v>0</v>
      </c>
    </row>
    <row r="2389">
      <c r="S2389" s="15" t="str">
        <f>IF(J2389="","",J2389&amp;"|"&amp;E2389&amp;"|"&amp;F2389&amp;"|"&amp;I2389&amp;"|"&amp;O2389)</f>
        <v/>
      </c>
      <c r="T2389" s="15" t="str">
        <f>IF(OR(S2389="",D2389&lt;&gt;"Vastgesteld"),"",_xlfn.MAXIFS($G$6:$G$5005,$S$6:$S$5005,S2389,$D$6:$D$5005,"Vastgesteld"))</f>
        <v/>
      </c>
      <c r="U2389" s="15">
        <f>IF(T2389="",0,IF(AND(G2389=T2389,COUNTIFS($S$6:S2389,S2389,$G$6:G2389,G2389,$D$6:D2389,"Vastgesteld")=1),1,0))</f>
        <v>0</v>
      </c>
      <c r="V2389" s="15">
        <f>IF(T2389="",0,IF(AND(G2389=T2389,COUNTIFS($S$6:S2389,S2389,$G$6:G2389,G2389,$D$6:D2389,"Vastgesteld")&gt;1),1,0))</f>
        <v>0</v>
      </c>
    </row>
    <row r="2390">
      <c r="S2390" s="15" t="str">
        <f>IF(J2390="","",J2390&amp;"|"&amp;E2390&amp;"|"&amp;F2390&amp;"|"&amp;I2390&amp;"|"&amp;O2390)</f>
        <v/>
      </c>
      <c r="T2390" s="15" t="str">
        <f>IF(OR(S2390="",D2390&lt;&gt;"Vastgesteld"),"",_xlfn.MAXIFS($G$6:$G$5005,$S$6:$S$5005,S2390,$D$6:$D$5005,"Vastgesteld"))</f>
        <v/>
      </c>
      <c r="U2390" s="15">
        <f>IF(T2390="",0,IF(AND(G2390=T2390,COUNTIFS($S$6:S2390,S2390,$G$6:G2390,G2390,$D$6:D2390,"Vastgesteld")=1),1,0))</f>
        <v>0</v>
      </c>
      <c r="V2390" s="15">
        <f>IF(T2390="",0,IF(AND(G2390=T2390,COUNTIFS($S$6:S2390,S2390,$G$6:G2390,G2390,$D$6:D2390,"Vastgesteld")&gt;1),1,0))</f>
        <v>0</v>
      </c>
    </row>
    <row r="2391">
      <c r="S2391" s="15" t="str">
        <f>IF(J2391="","",J2391&amp;"|"&amp;E2391&amp;"|"&amp;F2391&amp;"|"&amp;I2391&amp;"|"&amp;O2391)</f>
        <v/>
      </c>
      <c r="T2391" s="15" t="str">
        <f>IF(OR(S2391="",D2391&lt;&gt;"Vastgesteld"),"",_xlfn.MAXIFS($G$6:$G$5005,$S$6:$S$5005,S2391,$D$6:$D$5005,"Vastgesteld"))</f>
        <v/>
      </c>
      <c r="U2391" s="15">
        <f>IF(T2391="",0,IF(AND(G2391=T2391,COUNTIFS($S$6:S2391,S2391,$G$6:G2391,G2391,$D$6:D2391,"Vastgesteld")=1),1,0))</f>
        <v>0</v>
      </c>
      <c r="V2391" s="15">
        <f>IF(T2391="",0,IF(AND(G2391=T2391,COUNTIFS($S$6:S2391,S2391,$G$6:G2391,G2391,$D$6:D2391,"Vastgesteld")&gt;1),1,0))</f>
        <v>0</v>
      </c>
    </row>
    <row r="2392">
      <c r="S2392" s="15" t="str">
        <f>IF(J2392="","",J2392&amp;"|"&amp;E2392&amp;"|"&amp;F2392&amp;"|"&amp;I2392&amp;"|"&amp;O2392)</f>
        <v/>
      </c>
      <c r="T2392" s="15" t="str">
        <f>IF(OR(S2392="",D2392&lt;&gt;"Vastgesteld"),"",_xlfn.MAXIFS($G$6:$G$5005,$S$6:$S$5005,S2392,$D$6:$D$5005,"Vastgesteld"))</f>
        <v/>
      </c>
      <c r="U2392" s="15">
        <f>IF(T2392="",0,IF(AND(G2392=T2392,COUNTIFS($S$6:S2392,S2392,$G$6:G2392,G2392,$D$6:D2392,"Vastgesteld")=1),1,0))</f>
        <v>0</v>
      </c>
      <c r="V2392" s="15">
        <f>IF(T2392="",0,IF(AND(G2392=T2392,COUNTIFS($S$6:S2392,S2392,$G$6:G2392,G2392,$D$6:D2392,"Vastgesteld")&gt;1),1,0))</f>
        <v>0</v>
      </c>
    </row>
    <row r="2393">
      <c r="S2393" s="15" t="str">
        <f>IF(J2393="","",J2393&amp;"|"&amp;E2393&amp;"|"&amp;F2393&amp;"|"&amp;I2393&amp;"|"&amp;O2393)</f>
        <v/>
      </c>
      <c r="T2393" s="15" t="str">
        <f>IF(OR(S2393="",D2393&lt;&gt;"Vastgesteld"),"",_xlfn.MAXIFS($G$6:$G$5005,$S$6:$S$5005,S2393,$D$6:$D$5005,"Vastgesteld"))</f>
        <v/>
      </c>
      <c r="U2393" s="15">
        <f>IF(T2393="",0,IF(AND(G2393=T2393,COUNTIFS($S$6:S2393,S2393,$G$6:G2393,G2393,$D$6:D2393,"Vastgesteld")=1),1,0))</f>
        <v>0</v>
      </c>
      <c r="V2393" s="15">
        <f>IF(T2393="",0,IF(AND(G2393=T2393,COUNTIFS($S$6:S2393,S2393,$G$6:G2393,G2393,$D$6:D2393,"Vastgesteld")&gt;1),1,0))</f>
        <v>0</v>
      </c>
    </row>
    <row r="2394">
      <c r="S2394" s="15" t="str">
        <f>IF(J2394="","",J2394&amp;"|"&amp;E2394&amp;"|"&amp;F2394&amp;"|"&amp;I2394&amp;"|"&amp;O2394)</f>
        <v/>
      </c>
      <c r="T2394" s="15" t="str">
        <f>IF(OR(S2394="",D2394&lt;&gt;"Vastgesteld"),"",_xlfn.MAXIFS($G$6:$G$5005,$S$6:$S$5005,S2394,$D$6:$D$5005,"Vastgesteld"))</f>
        <v/>
      </c>
      <c r="U2394" s="15">
        <f>IF(T2394="",0,IF(AND(G2394=T2394,COUNTIFS($S$6:S2394,S2394,$G$6:G2394,G2394,$D$6:D2394,"Vastgesteld")=1),1,0))</f>
        <v>0</v>
      </c>
      <c r="V2394" s="15">
        <f>IF(T2394="",0,IF(AND(G2394=T2394,COUNTIFS($S$6:S2394,S2394,$G$6:G2394,G2394,$D$6:D2394,"Vastgesteld")&gt;1),1,0))</f>
        <v>0</v>
      </c>
    </row>
    <row r="2395">
      <c r="S2395" s="15" t="str">
        <f>IF(J2395="","",J2395&amp;"|"&amp;E2395&amp;"|"&amp;F2395&amp;"|"&amp;I2395&amp;"|"&amp;O2395)</f>
        <v/>
      </c>
      <c r="T2395" s="15" t="str">
        <f>IF(OR(S2395="",D2395&lt;&gt;"Vastgesteld"),"",_xlfn.MAXIFS($G$6:$G$5005,$S$6:$S$5005,S2395,$D$6:$D$5005,"Vastgesteld"))</f>
        <v/>
      </c>
      <c r="U2395" s="15">
        <f>IF(T2395="",0,IF(AND(G2395=T2395,COUNTIFS($S$6:S2395,S2395,$G$6:G2395,G2395,$D$6:D2395,"Vastgesteld")=1),1,0))</f>
        <v>0</v>
      </c>
      <c r="V2395" s="15">
        <f>IF(T2395="",0,IF(AND(G2395=T2395,COUNTIFS($S$6:S2395,S2395,$G$6:G2395,G2395,$D$6:D2395,"Vastgesteld")&gt;1),1,0))</f>
        <v>0</v>
      </c>
    </row>
    <row r="2396">
      <c r="S2396" s="15" t="str">
        <f>IF(J2396="","",J2396&amp;"|"&amp;E2396&amp;"|"&amp;F2396&amp;"|"&amp;I2396&amp;"|"&amp;O2396)</f>
        <v/>
      </c>
      <c r="T2396" s="15" t="str">
        <f>IF(OR(S2396="",D2396&lt;&gt;"Vastgesteld"),"",_xlfn.MAXIFS($G$6:$G$5005,$S$6:$S$5005,S2396,$D$6:$D$5005,"Vastgesteld"))</f>
        <v/>
      </c>
      <c r="U2396" s="15">
        <f>IF(T2396="",0,IF(AND(G2396=T2396,COUNTIFS($S$6:S2396,S2396,$G$6:G2396,G2396,$D$6:D2396,"Vastgesteld")=1),1,0))</f>
        <v>0</v>
      </c>
      <c r="V2396" s="15">
        <f>IF(T2396="",0,IF(AND(G2396=T2396,COUNTIFS($S$6:S2396,S2396,$G$6:G2396,G2396,$D$6:D2396,"Vastgesteld")&gt;1),1,0))</f>
        <v>0</v>
      </c>
    </row>
    <row r="2397">
      <c r="S2397" s="15" t="str">
        <f>IF(J2397="","",J2397&amp;"|"&amp;E2397&amp;"|"&amp;F2397&amp;"|"&amp;I2397&amp;"|"&amp;O2397)</f>
        <v/>
      </c>
      <c r="T2397" s="15" t="str">
        <f>IF(OR(S2397="",D2397&lt;&gt;"Vastgesteld"),"",_xlfn.MAXIFS($G$6:$G$5005,$S$6:$S$5005,S2397,$D$6:$D$5005,"Vastgesteld"))</f>
        <v/>
      </c>
      <c r="U2397" s="15">
        <f>IF(T2397="",0,IF(AND(G2397=T2397,COUNTIFS($S$6:S2397,S2397,$G$6:G2397,G2397,$D$6:D2397,"Vastgesteld")=1),1,0))</f>
        <v>0</v>
      </c>
      <c r="V2397" s="15">
        <f>IF(T2397="",0,IF(AND(G2397=T2397,COUNTIFS($S$6:S2397,S2397,$G$6:G2397,G2397,$D$6:D2397,"Vastgesteld")&gt;1),1,0))</f>
        <v>0</v>
      </c>
    </row>
    <row r="2398">
      <c r="S2398" s="15" t="str">
        <f>IF(J2398="","",J2398&amp;"|"&amp;E2398&amp;"|"&amp;F2398&amp;"|"&amp;I2398&amp;"|"&amp;O2398)</f>
        <v/>
      </c>
      <c r="T2398" s="15" t="str">
        <f>IF(OR(S2398="",D2398&lt;&gt;"Vastgesteld"),"",_xlfn.MAXIFS($G$6:$G$5005,$S$6:$S$5005,S2398,$D$6:$D$5005,"Vastgesteld"))</f>
        <v/>
      </c>
      <c r="U2398" s="15">
        <f>IF(T2398="",0,IF(AND(G2398=T2398,COUNTIFS($S$6:S2398,S2398,$G$6:G2398,G2398,$D$6:D2398,"Vastgesteld")=1),1,0))</f>
        <v>0</v>
      </c>
      <c r="V2398" s="15">
        <f>IF(T2398="",0,IF(AND(G2398=T2398,COUNTIFS($S$6:S2398,S2398,$G$6:G2398,G2398,$D$6:D2398,"Vastgesteld")&gt;1),1,0))</f>
        <v>0</v>
      </c>
    </row>
    <row r="2399">
      <c r="S2399" s="15" t="str">
        <f>IF(J2399="","",J2399&amp;"|"&amp;E2399&amp;"|"&amp;F2399&amp;"|"&amp;I2399&amp;"|"&amp;O2399)</f>
        <v/>
      </c>
      <c r="T2399" s="15" t="str">
        <f>IF(OR(S2399="",D2399&lt;&gt;"Vastgesteld"),"",_xlfn.MAXIFS($G$6:$G$5005,$S$6:$S$5005,S2399,$D$6:$D$5005,"Vastgesteld"))</f>
        <v/>
      </c>
      <c r="U2399" s="15">
        <f>IF(T2399="",0,IF(AND(G2399=T2399,COUNTIFS($S$6:S2399,S2399,$G$6:G2399,G2399,$D$6:D2399,"Vastgesteld")=1),1,0))</f>
        <v>0</v>
      </c>
      <c r="V2399" s="15">
        <f>IF(T2399="",0,IF(AND(G2399=T2399,COUNTIFS($S$6:S2399,S2399,$G$6:G2399,G2399,$D$6:D2399,"Vastgesteld")&gt;1),1,0))</f>
        <v>0</v>
      </c>
    </row>
    <row r="2400">
      <c r="S2400" s="15" t="str">
        <f>IF(J2400="","",J2400&amp;"|"&amp;E2400&amp;"|"&amp;F2400&amp;"|"&amp;I2400&amp;"|"&amp;O2400)</f>
        <v/>
      </c>
      <c r="T2400" s="15" t="str">
        <f>IF(OR(S2400="",D2400&lt;&gt;"Vastgesteld"),"",_xlfn.MAXIFS($G$6:$G$5005,$S$6:$S$5005,S2400,$D$6:$D$5005,"Vastgesteld"))</f>
        <v/>
      </c>
      <c r="U2400" s="15">
        <f>IF(T2400="",0,IF(AND(G2400=T2400,COUNTIFS($S$6:S2400,S2400,$G$6:G2400,G2400,$D$6:D2400,"Vastgesteld")=1),1,0))</f>
        <v>0</v>
      </c>
      <c r="V2400" s="15">
        <f>IF(T2400="",0,IF(AND(G2400=T2400,COUNTIFS($S$6:S2400,S2400,$G$6:G2400,G2400,$D$6:D2400,"Vastgesteld")&gt;1),1,0))</f>
        <v>0</v>
      </c>
    </row>
    <row r="2401">
      <c r="S2401" s="15" t="str">
        <f>IF(J2401="","",J2401&amp;"|"&amp;E2401&amp;"|"&amp;F2401&amp;"|"&amp;I2401&amp;"|"&amp;O2401)</f>
        <v/>
      </c>
      <c r="T2401" s="15" t="str">
        <f>IF(OR(S2401="",D2401&lt;&gt;"Vastgesteld"),"",_xlfn.MAXIFS($G$6:$G$5005,$S$6:$S$5005,S2401,$D$6:$D$5005,"Vastgesteld"))</f>
        <v/>
      </c>
      <c r="U2401" s="15">
        <f>IF(T2401="",0,IF(AND(G2401=T2401,COUNTIFS($S$6:S2401,S2401,$G$6:G2401,G2401,$D$6:D2401,"Vastgesteld")=1),1,0))</f>
        <v>0</v>
      </c>
      <c r="V2401" s="15">
        <f>IF(T2401="",0,IF(AND(G2401=T2401,COUNTIFS($S$6:S2401,S2401,$G$6:G2401,G2401,$D$6:D2401,"Vastgesteld")&gt;1),1,0))</f>
        <v>0</v>
      </c>
    </row>
    <row r="2402">
      <c r="S2402" s="15" t="str">
        <f>IF(J2402="","",J2402&amp;"|"&amp;E2402&amp;"|"&amp;F2402&amp;"|"&amp;I2402&amp;"|"&amp;O2402)</f>
        <v/>
      </c>
      <c r="T2402" s="15" t="str">
        <f>IF(OR(S2402="",D2402&lt;&gt;"Vastgesteld"),"",_xlfn.MAXIFS($G$6:$G$5005,$S$6:$S$5005,S2402,$D$6:$D$5005,"Vastgesteld"))</f>
        <v/>
      </c>
      <c r="U2402" s="15">
        <f>IF(T2402="",0,IF(AND(G2402=T2402,COUNTIFS($S$6:S2402,S2402,$G$6:G2402,G2402,$D$6:D2402,"Vastgesteld")=1),1,0))</f>
        <v>0</v>
      </c>
      <c r="V2402" s="15">
        <f>IF(T2402="",0,IF(AND(G2402=T2402,COUNTIFS($S$6:S2402,S2402,$G$6:G2402,G2402,$D$6:D2402,"Vastgesteld")&gt;1),1,0))</f>
        <v>0</v>
      </c>
    </row>
    <row r="2403">
      <c r="S2403" s="15" t="str">
        <f>IF(J2403="","",J2403&amp;"|"&amp;E2403&amp;"|"&amp;F2403&amp;"|"&amp;I2403&amp;"|"&amp;O2403)</f>
        <v/>
      </c>
      <c r="T2403" s="15" t="str">
        <f>IF(OR(S2403="",D2403&lt;&gt;"Vastgesteld"),"",_xlfn.MAXIFS($G$6:$G$5005,$S$6:$S$5005,S2403,$D$6:$D$5005,"Vastgesteld"))</f>
        <v/>
      </c>
      <c r="U2403" s="15">
        <f>IF(T2403="",0,IF(AND(G2403=T2403,COUNTIFS($S$6:S2403,S2403,$G$6:G2403,G2403,$D$6:D2403,"Vastgesteld")=1),1,0))</f>
        <v>0</v>
      </c>
      <c r="V2403" s="15">
        <f>IF(T2403="",0,IF(AND(G2403=T2403,COUNTIFS($S$6:S2403,S2403,$G$6:G2403,G2403,$D$6:D2403,"Vastgesteld")&gt;1),1,0))</f>
        <v>0</v>
      </c>
    </row>
    <row r="2404">
      <c r="S2404" s="15" t="str">
        <f>IF(J2404="","",J2404&amp;"|"&amp;E2404&amp;"|"&amp;F2404&amp;"|"&amp;I2404&amp;"|"&amp;O2404)</f>
        <v/>
      </c>
      <c r="T2404" s="15" t="str">
        <f>IF(OR(S2404="",D2404&lt;&gt;"Vastgesteld"),"",_xlfn.MAXIFS($G$6:$G$5005,$S$6:$S$5005,S2404,$D$6:$D$5005,"Vastgesteld"))</f>
        <v/>
      </c>
      <c r="U2404" s="15">
        <f>IF(T2404="",0,IF(AND(G2404=T2404,COUNTIFS($S$6:S2404,S2404,$G$6:G2404,G2404,$D$6:D2404,"Vastgesteld")=1),1,0))</f>
        <v>0</v>
      </c>
      <c r="V2404" s="15">
        <f>IF(T2404="",0,IF(AND(G2404=T2404,COUNTIFS($S$6:S2404,S2404,$G$6:G2404,G2404,$D$6:D2404,"Vastgesteld")&gt;1),1,0))</f>
        <v>0</v>
      </c>
    </row>
    <row r="2405">
      <c r="S2405" s="15" t="str">
        <f>IF(J2405="","",J2405&amp;"|"&amp;E2405&amp;"|"&amp;F2405&amp;"|"&amp;I2405&amp;"|"&amp;O2405)</f>
        <v/>
      </c>
      <c r="T2405" s="15" t="str">
        <f>IF(OR(S2405="",D2405&lt;&gt;"Vastgesteld"),"",_xlfn.MAXIFS($G$6:$G$5005,$S$6:$S$5005,S2405,$D$6:$D$5005,"Vastgesteld"))</f>
        <v/>
      </c>
      <c r="U2405" s="15">
        <f>IF(T2405="",0,IF(AND(G2405=T2405,COUNTIFS($S$6:S2405,S2405,$G$6:G2405,G2405,$D$6:D2405,"Vastgesteld")=1),1,0))</f>
        <v>0</v>
      </c>
      <c r="V2405" s="15">
        <f>IF(T2405="",0,IF(AND(G2405=T2405,COUNTIFS($S$6:S2405,S2405,$G$6:G2405,G2405,$D$6:D2405,"Vastgesteld")&gt;1),1,0))</f>
        <v>0</v>
      </c>
    </row>
    <row r="2406">
      <c r="S2406" s="15" t="str">
        <f>IF(J2406="","",J2406&amp;"|"&amp;E2406&amp;"|"&amp;F2406&amp;"|"&amp;I2406&amp;"|"&amp;O2406)</f>
        <v/>
      </c>
      <c r="T2406" s="15" t="str">
        <f>IF(OR(S2406="",D2406&lt;&gt;"Vastgesteld"),"",_xlfn.MAXIFS($G$6:$G$5005,$S$6:$S$5005,S2406,$D$6:$D$5005,"Vastgesteld"))</f>
        <v/>
      </c>
      <c r="U2406" s="15">
        <f>IF(T2406="",0,IF(AND(G2406=T2406,COUNTIFS($S$6:S2406,S2406,$G$6:G2406,G2406,$D$6:D2406,"Vastgesteld")=1),1,0))</f>
        <v>0</v>
      </c>
      <c r="V2406" s="15">
        <f>IF(T2406="",0,IF(AND(G2406=T2406,COUNTIFS($S$6:S2406,S2406,$G$6:G2406,G2406,$D$6:D2406,"Vastgesteld")&gt;1),1,0))</f>
        <v>0</v>
      </c>
    </row>
    <row r="2407">
      <c r="S2407" s="15" t="str">
        <f>IF(J2407="","",J2407&amp;"|"&amp;E2407&amp;"|"&amp;F2407&amp;"|"&amp;I2407&amp;"|"&amp;O2407)</f>
        <v/>
      </c>
      <c r="T2407" s="15" t="str">
        <f>IF(OR(S2407="",D2407&lt;&gt;"Vastgesteld"),"",_xlfn.MAXIFS($G$6:$G$5005,$S$6:$S$5005,S2407,$D$6:$D$5005,"Vastgesteld"))</f>
        <v/>
      </c>
      <c r="U2407" s="15">
        <f>IF(T2407="",0,IF(AND(G2407=T2407,COUNTIFS($S$6:S2407,S2407,$G$6:G2407,G2407,$D$6:D2407,"Vastgesteld")=1),1,0))</f>
        <v>0</v>
      </c>
      <c r="V2407" s="15">
        <f>IF(T2407="",0,IF(AND(G2407=T2407,COUNTIFS($S$6:S2407,S2407,$G$6:G2407,G2407,$D$6:D2407,"Vastgesteld")&gt;1),1,0))</f>
        <v>0</v>
      </c>
    </row>
    <row r="2408">
      <c r="S2408" s="15" t="str">
        <f>IF(J2408="","",J2408&amp;"|"&amp;E2408&amp;"|"&amp;F2408&amp;"|"&amp;I2408&amp;"|"&amp;O2408)</f>
        <v/>
      </c>
      <c r="T2408" s="15" t="str">
        <f>IF(OR(S2408="",D2408&lt;&gt;"Vastgesteld"),"",_xlfn.MAXIFS($G$6:$G$5005,$S$6:$S$5005,S2408,$D$6:$D$5005,"Vastgesteld"))</f>
        <v/>
      </c>
      <c r="U2408" s="15">
        <f>IF(T2408="",0,IF(AND(G2408=T2408,COUNTIFS($S$6:S2408,S2408,$G$6:G2408,G2408,$D$6:D2408,"Vastgesteld")=1),1,0))</f>
        <v>0</v>
      </c>
      <c r="V2408" s="15">
        <f>IF(T2408="",0,IF(AND(G2408=T2408,COUNTIFS($S$6:S2408,S2408,$G$6:G2408,G2408,$D$6:D2408,"Vastgesteld")&gt;1),1,0))</f>
        <v>0</v>
      </c>
    </row>
    <row r="2409">
      <c r="S2409" s="15" t="str">
        <f>IF(J2409="","",J2409&amp;"|"&amp;E2409&amp;"|"&amp;F2409&amp;"|"&amp;I2409&amp;"|"&amp;O2409)</f>
        <v/>
      </c>
      <c r="T2409" s="15" t="str">
        <f>IF(OR(S2409="",D2409&lt;&gt;"Vastgesteld"),"",_xlfn.MAXIFS($G$6:$G$5005,$S$6:$S$5005,S2409,$D$6:$D$5005,"Vastgesteld"))</f>
        <v/>
      </c>
      <c r="U2409" s="15">
        <f>IF(T2409="",0,IF(AND(G2409=T2409,COUNTIFS($S$6:S2409,S2409,$G$6:G2409,G2409,$D$6:D2409,"Vastgesteld")=1),1,0))</f>
        <v>0</v>
      </c>
      <c r="V2409" s="15">
        <f>IF(T2409="",0,IF(AND(G2409=T2409,COUNTIFS($S$6:S2409,S2409,$G$6:G2409,G2409,$D$6:D2409,"Vastgesteld")&gt;1),1,0))</f>
        <v>0</v>
      </c>
    </row>
    <row r="2410">
      <c r="S2410" s="15" t="str">
        <f>IF(J2410="","",J2410&amp;"|"&amp;E2410&amp;"|"&amp;F2410&amp;"|"&amp;I2410&amp;"|"&amp;O2410)</f>
        <v/>
      </c>
      <c r="T2410" s="15" t="str">
        <f>IF(OR(S2410="",D2410&lt;&gt;"Vastgesteld"),"",_xlfn.MAXIFS($G$6:$G$5005,$S$6:$S$5005,S2410,$D$6:$D$5005,"Vastgesteld"))</f>
        <v/>
      </c>
      <c r="U2410" s="15">
        <f>IF(T2410="",0,IF(AND(G2410=T2410,COUNTIFS($S$6:S2410,S2410,$G$6:G2410,G2410,$D$6:D2410,"Vastgesteld")=1),1,0))</f>
        <v>0</v>
      </c>
      <c r="V2410" s="15">
        <f>IF(T2410="",0,IF(AND(G2410=T2410,COUNTIFS($S$6:S2410,S2410,$G$6:G2410,G2410,$D$6:D2410,"Vastgesteld")&gt;1),1,0))</f>
        <v>0</v>
      </c>
    </row>
    <row r="2411">
      <c r="S2411" s="15" t="str">
        <f>IF(J2411="","",J2411&amp;"|"&amp;E2411&amp;"|"&amp;F2411&amp;"|"&amp;I2411&amp;"|"&amp;O2411)</f>
        <v/>
      </c>
      <c r="T2411" s="15" t="str">
        <f>IF(OR(S2411="",D2411&lt;&gt;"Vastgesteld"),"",_xlfn.MAXIFS($G$6:$G$5005,$S$6:$S$5005,S2411,$D$6:$D$5005,"Vastgesteld"))</f>
        <v/>
      </c>
      <c r="U2411" s="15">
        <f>IF(T2411="",0,IF(AND(G2411=T2411,COUNTIFS($S$6:S2411,S2411,$G$6:G2411,G2411,$D$6:D2411,"Vastgesteld")=1),1,0))</f>
        <v>0</v>
      </c>
      <c r="V2411" s="15">
        <f>IF(T2411="",0,IF(AND(G2411=T2411,COUNTIFS($S$6:S2411,S2411,$G$6:G2411,G2411,$D$6:D2411,"Vastgesteld")&gt;1),1,0))</f>
        <v>0</v>
      </c>
    </row>
    <row r="2412">
      <c r="S2412" s="15" t="str">
        <f>IF(J2412="","",J2412&amp;"|"&amp;E2412&amp;"|"&amp;F2412&amp;"|"&amp;I2412&amp;"|"&amp;O2412)</f>
        <v/>
      </c>
      <c r="T2412" s="15" t="str">
        <f>IF(OR(S2412="",D2412&lt;&gt;"Vastgesteld"),"",_xlfn.MAXIFS($G$6:$G$5005,$S$6:$S$5005,S2412,$D$6:$D$5005,"Vastgesteld"))</f>
        <v/>
      </c>
      <c r="U2412" s="15">
        <f>IF(T2412="",0,IF(AND(G2412=T2412,COUNTIFS($S$6:S2412,S2412,$G$6:G2412,G2412,$D$6:D2412,"Vastgesteld")=1),1,0))</f>
        <v>0</v>
      </c>
      <c r="V2412" s="15">
        <f>IF(T2412="",0,IF(AND(G2412=T2412,COUNTIFS($S$6:S2412,S2412,$G$6:G2412,G2412,$D$6:D2412,"Vastgesteld")&gt;1),1,0))</f>
        <v>0</v>
      </c>
    </row>
    <row r="2413">
      <c r="S2413" s="15" t="str">
        <f>IF(J2413="","",J2413&amp;"|"&amp;E2413&amp;"|"&amp;F2413&amp;"|"&amp;I2413&amp;"|"&amp;O2413)</f>
        <v/>
      </c>
      <c r="T2413" s="15" t="str">
        <f>IF(OR(S2413="",D2413&lt;&gt;"Vastgesteld"),"",_xlfn.MAXIFS($G$6:$G$5005,$S$6:$S$5005,S2413,$D$6:$D$5005,"Vastgesteld"))</f>
        <v/>
      </c>
      <c r="U2413" s="15">
        <f>IF(T2413="",0,IF(AND(G2413=T2413,COUNTIFS($S$6:S2413,S2413,$G$6:G2413,G2413,$D$6:D2413,"Vastgesteld")=1),1,0))</f>
        <v>0</v>
      </c>
      <c r="V2413" s="15">
        <f>IF(T2413="",0,IF(AND(G2413=T2413,COUNTIFS($S$6:S2413,S2413,$G$6:G2413,G2413,$D$6:D2413,"Vastgesteld")&gt;1),1,0))</f>
        <v>0</v>
      </c>
    </row>
    <row r="2414">
      <c r="S2414" s="15" t="str">
        <f>IF(J2414="","",J2414&amp;"|"&amp;E2414&amp;"|"&amp;F2414&amp;"|"&amp;I2414&amp;"|"&amp;O2414)</f>
        <v/>
      </c>
      <c r="T2414" s="15" t="str">
        <f>IF(OR(S2414="",D2414&lt;&gt;"Vastgesteld"),"",_xlfn.MAXIFS($G$6:$G$5005,$S$6:$S$5005,S2414,$D$6:$D$5005,"Vastgesteld"))</f>
        <v/>
      </c>
      <c r="U2414" s="15">
        <f>IF(T2414="",0,IF(AND(G2414=T2414,COUNTIFS($S$6:S2414,S2414,$G$6:G2414,G2414,$D$6:D2414,"Vastgesteld")=1),1,0))</f>
        <v>0</v>
      </c>
      <c r="V2414" s="15">
        <f>IF(T2414="",0,IF(AND(G2414=T2414,COUNTIFS($S$6:S2414,S2414,$G$6:G2414,G2414,$D$6:D2414,"Vastgesteld")&gt;1),1,0))</f>
        <v>0</v>
      </c>
    </row>
    <row r="2415">
      <c r="S2415" s="15" t="str">
        <f>IF(J2415="","",J2415&amp;"|"&amp;E2415&amp;"|"&amp;F2415&amp;"|"&amp;I2415&amp;"|"&amp;O2415)</f>
        <v/>
      </c>
      <c r="T2415" s="15" t="str">
        <f>IF(OR(S2415="",D2415&lt;&gt;"Vastgesteld"),"",_xlfn.MAXIFS($G$6:$G$5005,$S$6:$S$5005,S2415,$D$6:$D$5005,"Vastgesteld"))</f>
        <v/>
      </c>
      <c r="U2415" s="15">
        <f>IF(T2415="",0,IF(AND(G2415=T2415,COUNTIFS($S$6:S2415,S2415,$G$6:G2415,G2415,$D$6:D2415,"Vastgesteld")=1),1,0))</f>
        <v>0</v>
      </c>
      <c r="V2415" s="15">
        <f>IF(T2415="",0,IF(AND(G2415=T2415,COUNTIFS($S$6:S2415,S2415,$G$6:G2415,G2415,$D$6:D2415,"Vastgesteld")&gt;1),1,0))</f>
        <v>0</v>
      </c>
    </row>
    <row r="2416">
      <c r="S2416" s="15" t="str">
        <f>IF(J2416="","",J2416&amp;"|"&amp;E2416&amp;"|"&amp;F2416&amp;"|"&amp;I2416&amp;"|"&amp;O2416)</f>
        <v/>
      </c>
      <c r="T2416" s="15" t="str">
        <f>IF(OR(S2416="",D2416&lt;&gt;"Vastgesteld"),"",_xlfn.MAXIFS($G$6:$G$5005,$S$6:$S$5005,S2416,$D$6:$D$5005,"Vastgesteld"))</f>
        <v/>
      </c>
      <c r="U2416" s="15">
        <f>IF(T2416="",0,IF(AND(G2416=T2416,COUNTIFS($S$6:S2416,S2416,$G$6:G2416,G2416,$D$6:D2416,"Vastgesteld")=1),1,0))</f>
        <v>0</v>
      </c>
      <c r="V2416" s="15">
        <f>IF(T2416="",0,IF(AND(G2416=T2416,COUNTIFS($S$6:S2416,S2416,$G$6:G2416,G2416,$D$6:D2416,"Vastgesteld")&gt;1),1,0))</f>
        <v>0</v>
      </c>
    </row>
    <row r="2417">
      <c r="S2417" s="15" t="str">
        <f>IF(J2417="","",J2417&amp;"|"&amp;E2417&amp;"|"&amp;F2417&amp;"|"&amp;I2417&amp;"|"&amp;O2417)</f>
        <v/>
      </c>
      <c r="T2417" s="15" t="str">
        <f>IF(OR(S2417="",D2417&lt;&gt;"Vastgesteld"),"",_xlfn.MAXIFS($G$6:$G$5005,$S$6:$S$5005,S2417,$D$6:$D$5005,"Vastgesteld"))</f>
        <v/>
      </c>
      <c r="U2417" s="15">
        <f>IF(T2417="",0,IF(AND(G2417=T2417,COUNTIFS($S$6:S2417,S2417,$G$6:G2417,G2417,$D$6:D2417,"Vastgesteld")=1),1,0))</f>
        <v>0</v>
      </c>
      <c r="V2417" s="15">
        <f>IF(T2417="",0,IF(AND(G2417=T2417,COUNTIFS($S$6:S2417,S2417,$G$6:G2417,G2417,$D$6:D2417,"Vastgesteld")&gt;1),1,0))</f>
        <v>0</v>
      </c>
    </row>
    <row r="2418">
      <c r="S2418" s="15" t="str">
        <f>IF(J2418="","",J2418&amp;"|"&amp;E2418&amp;"|"&amp;F2418&amp;"|"&amp;I2418&amp;"|"&amp;O2418)</f>
        <v/>
      </c>
      <c r="T2418" s="15" t="str">
        <f>IF(OR(S2418="",D2418&lt;&gt;"Vastgesteld"),"",_xlfn.MAXIFS($G$6:$G$5005,$S$6:$S$5005,S2418,$D$6:$D$5005,"Vastgesteld"))</f>
        <v/>
      </c>
      <c r="U2418" s="15">
        <f>IF(T2418="",0,IF(AND(G2418=T2418,COUNTIFS($S$6:S2418,S2418,$G$6:G2418,G2418,$D$6:D2418,"Vastgesteld")=1),1,0))</f>
        <v>0</v>
      </c>
      <c r="V2418" s="15">
        <f>IF(T2418="",0,IF(AND(G2418=T2418,COUNTIFS($S$6:S2418,S2418,$G$6:G2418,G2418,$D$6:D2418,"Vastgesteld")&gt;1),1,0))</f>
        <v>0</v>
      </c>
    </row>
    <row r="2419">
      <c r="S2419" s="15" t="str">
        <f>IF(J2419="","",J2419&amp;"|"&amp;E2419&amp;"|"&amp;F2419&amp;"|"&amp;I2419&amp;"|"&amp;O2419)</f>
        <v/>
      </c>
      <c r="T2419" s="15" t="str">
        <f>IF(OR(S2419="",D2419&lt;&gt;"Vastgesteld"),"",_xlfn.MAXIFS($G$6:$G$5005,$S$6:$S$5005,S2419,$D$6:$D$5005,"Vastgesteld"))</f>
        <v/>
      </c>
      <c r="U2419" s="15">
        <f>IF(T2419="",0,IF(AND(G2419=T2419,COUNTIFS($S$6:S2419,S2419,$G$6:G2419,G2419,$D$6:D2419,"Vastgesteld")=1),1,0))</f>
        <v>0</v>
      </c>
      <c r="V2419" s="15">
        <f>IF(T2419="",0,IF(AND(G2419=T2419,COUNTIFS($S$6:S2419,S2419,$G$6:G2419,G2419,$D$6:D2419,"Vastgesteld")&gt;1),1,0))</f>
        <v>0</v>
      </c>
    </row>
    <row r="2420">
      <c r="S2420" s="15" t="str">
        <f>IF(J2420="","",J2420&amp;"|"&amp;E2420&amp;"|"&amp;F2420&amp;"|"&amp;I2420&amp;"|"&amp;O2420)</f>
        <v/>
      </c>
      <c r="T2420" s="15" t="str">
        <f>IF(OR(S2420="",D2420&lt;&gt;"Vastgesteld"),"",_xlfn.MAXIFS($G$6:$G$5005,$S$6:$S$5005,S2420,$D$6:$D$5005,"Vastgesteld"))</f>
        <v/>
      </c>
      <c r="U2420" s="15">
        <f>IF(T2420="",0,IF(AND(G2420=T2420,COUNTIFS($S$6:S2420,S2420,$G$6:G2420,G2420,$D$6:D2420,"Vastgesteld")=1),1,0))</f>
        <v>0</v>
      </c>
      <c r="V2420" s="15">
        <f>IF(T2420="",0,IF(AND(G2420=T2420,COUNTIFS($S$6:S2420,S2420,$G$6:G2420,G2420,$D$6:D2420,"Vastgesteld")&gt;1),1,0))</f>
        <v>0</v>
      </c>
    </row>
    <row r="2421">
      <c r="S2421" s="15" t="str">
        <f>IF(J2421="","",J2421&amp;"|"&amp;E2421&amp;"|"&amp;F2421&amp;"|"&amp;I2421&amp;"|"&amp;O2421)</f>
        <v/>
      </c>
      <c r="T2421" s="15" t="str">
        <f>IF(OR(S2421="",D2421&lt;&gt;"Vastgesteld"),"",_xlfn.MAXIFS($G$6:$G$5005,$S$6:$S$5005,S2421,$D$6:$D$5005,"Vastgesteld"))</f>
        <v/>
      </c>
      <c r="U2421" s="15">
        <f>IF(T2421="",0,IF(AND(G2421=T2421,COUNTIFS($S$6:S2421,S2421,$G$6:G2421,G2421,$D$6:D2421,"Vastgesteld")=1),1,0))</f>
        <v>0</v>
      </c>
      <c r="V2421" s="15">
        <f>IF(T2421="",0,IF(AND(G2421=T2421,COUNTIFS($S$6:S2421,S2421,$G$6:G2421,G2421,$D$6:D2421,"Vastgesteld")&gt;1),1,0))</f>
        <v>0</v>
      </c>
    </row>
    <row r="2422">
      <c r="S2422" s="15" t="str">
        <f>IF(J2422="","",J2422&amp;"|"&amp;E2422&amp;"|"&amp;F2422&amp;"|"&amp;I2422&amp;"|"&amp;O2422)</f>
        <v/>
      </c>
      <c r="T2422" s="15" t="str">
        <f>IF(OR(S2422="",D2422&lt;&gt;"Vastgesteld"),"",_xlfn.MAXIFS($G$6:$G$5005,$S$6:$S$5005,S2422,$D$6:$D$5005,"Vastgesteld"))</f>
        <v/>
      </c>
      <c r="U2422" s="15">
        <f>IF(T2422="",0,IF(AND(G2422=T2422,COUNTIFS($S$6:S2422,S2422,$G$6:G2422,G2422,$D$6:D2422,"Vastgesteld")=1),1,0))</f>
        <v>0</v>
      </c>
      <c r="V2422" s="15">
        <f>IF(T2422="",0,IF(AND(G2422=T2422,COUNTIFS($S$6:S2422,S2422,$G$6:G2422,G2422,$D$6:D2422,"Vastgesteld")&gt;1),1,0))</f>
        <v>0</v>
      </c>
    </row>
    <row r="2423">
      <c r="S2423" s="15" t="str">
        <f>IF(J2423="","",J2423&amp;"|"&amp;E2423&amp;"|"&amp;F2423&amp;"|"&amp;I2423&amp;"|"&amp;O2423)</f>
        <v/>
      </c>
      <c r="T2423" s="15" t="str">
        <f>IF(OR(S2423="",D2423&lt;&gt;"Vastgesteld"),"",_xlfn.MAXIFS($G$6:$G$5005,$S$6:$S$5005,S2423,$D$6:$D$5005,"Vastgesteld"))</f>
        <v/>
      </c>
      <c r="U2423" s="15">
        <f>IF(T2423="",0,IF(AND(G2423=T2423,COUNTIFS($S$6:S2423,S2423,$G$6:G2423,G2423,$D$6:D2423,"Vastgesteld")=1),1,0))</f>
        <v>0</v>
      </c>
      <c r="V2423" s="15">
        <f>IF(T2423="",0,IF(AND(G2423=T2423,COUNTIFS($S$6:S2423,S2423,$G$6:G2423,G2423,$D$6:D2423,"Vastgesteld")&gt;1),1,0))</f>
        <v>0</v>
      </c>
    </row>
    <row r="2424">
      <c r="S2424" s="15" t="str">
        <f>IF(J2424="","",J2424&amp;"|"&amp;E2424&amp;"|"&amp;F2424&amp;"|"&amp;I2424&amp;"|"&amp;O2424)</f>
        <v/>
      </c>
      <c r="T2424" s="15" t="str">
        <f>IF(OR(S2424="",D2424&lt;&gt;"Vastgesteld"),"",_xlfn.MAXIFS($G$6:$G$5005,$S$6:$S$5005,S2424,$D$6:$D$5005,"Vastgesteld"))</f>
        <v/>
      </c>
      <c r="U2424" s="15">
        <f>IF(T2424="",0,IF(AND(G2424=T2424,COUNTIFS($S$6:S2424,S2424,$G$6:G2424,G2424,$D$6:D2424,"Vastgesteld")=1),1,0))</f>
        <v>0</v>
      </c>
      <c r="V2424" s="15">
        <f>IF(T2424="",0,IF(AND(G2424=T2424,COUNTIFS($S$6:S2424,S2424,$G$6:G2424,G2424,$D$6:D2424,"Vastgesteld")&gt;1),1,0))</f>
        <v>0</v>
      </c>
    </row>
    <row r="2425">
      <c r="S2425" s="15" t="str">
        <f>IF(J2425="","",J2425&amp;"|"&amp;E2425&amp;"|"&amp;F2425&amp;"|"&amp;I2425&amp;"|"&amp;O2425)</f>
        <v/>
      </c>
      <c r="T2425" s="15" t="str">
        <f>IF(OR(S2425="",D2425&lt;&gt;"Vastgesteld"),"",_xlfn.MAXIFS($G$6:$G$5005,$S$6:$S$5005,S2425,$D$6:$D$5005,"Vastgesteld"))</f>
        <v/>
      </c>
      <c r="U2425" s="15">
        <f>IF(T2425="",0,IF(AND(G2425=T2425,COUNTIFS($S$6:S2425,S2425,$G$6:G2425,G2425,$D$6:D2425,"Vastgesteld")=1),1,0))</f>
        <v>0</v>
      </c>
      <c r="V2425" s="15">
        <f>IF(T2425="",0,IF(AND(G2425=T2425,COUNTIFS($S$6:S2425,S2425,$G$6:G2425,G2425,$D$6:D2425,"Vastgesteld")&gt;1),1,0))</f>
        <v>0</v>
      </c>
    </row>
    <row r="2426">
      <c r="S2426" s="15" t="str">
        <f>IF(J2426="","",J2426&amp;"|"&amp;E2426&amp;"|"&amp;F2426&amp;"|"&amp;I2426&amp;"|"&amp;O2426)</f>
        <v/>
      </c>
      <c r="T2426" s="15" t="str">
        <f>IF(OR(S2426="",D2426&lt;&gt;"Vastgesteld"),"",_xlfn.MAXIFS($G$6:$G$5005,$S$6:$S$5005,S2426,$D$6:$D$5005,"Vastgesteld"))</f>
        <v/>
      </c>
      <c r="U2426" s="15">
        <f>IF(T2426="",0,IF(AND(G2426=T2426,COUNTIFS($S$6:S2426,S2426,$G$6:G2426,G2426,$D$6:D2426,"Vastgesteld")=1),1,0))</f>
        <v>0</v>
      </c>
      <c r="V2426" s="15">
        <f>IF(T2426="",0,IF(AND(G2426=T2426,COUNTIFS($S$6:S2426,S2426,$G$6:G2426,G2426,$D$6:D2426,"Vastgesteld")&gt;1),1,0))</f>
        <v>0</v>
      </c>
    </row>
    <row r="2427">
      <c r="S2427" s="15" t="str">
        <f>IF(J2427="","",J2427&amp;"|"&amp;E2427&amp;"|"&amp;F2427&amp;"|"&amp;I2427&amp;"|"&amp;O2427)</f>
        <v/>
      </c>
      <c r="T2427" s="15" t="str">
        <f>IF(OR(S2427="",D2427&lt;&gt;"Vastgesteld"),"",_xlfn.MAXIFS($G$6:$G$5005,$S$6:$S$5005,S2427,$D$6:$D$5005,"Vastgesteld"))</f>
        <v/>
      </c>
      <c r="U2427" s="15">
        <f>IF(T2427="",0,IF(AND(G2427=T2427,COUNTIFS($S$6:S2427,S2427,$G$6:G2427,G2427,$D$6:D2427,"Vastgesteld")=1),1,0))</f>
        <v>0</v>
      </c>
      <c r="V2427" s="15">
        <f>IF(T2427="",0,IF(AND(G2427=T2427,COUNTIFS($S$6:S2427,S2427,$G$6:G2427,G2427,$D$6:D2427,"Vastgesteld")&gt;1),1,0))</f>
        <v>0</v>
      </c>
    </row>
    <row r="2428">
      <c r="S2428" s="15" t="str">
        <f>IF(J2428="","",J2428&amp;"|"&amp;E2428&amp;"|"&amp;F2428&amp;"|"&amp;I2428&amp;"|"&amp;O2428)</f>
        <v/>
      </c>
      <c r="T2428" s="15" t="str">
        <f>IF(OR(S2428="",D2428&lt;&gt;"Vastgesteld"),"",_xlfn.MAXIFS($G$6:$G$5005,$S$6:$S$5005,S2428,$D$6:$D$5005,"Vastgesteld"))</f>
        <v/>
      </c>
      <c r="U2428" s="15">
        <f>IF(T2428="",0,IF(AND(G2428=T2428,COUNTIFS($S$6:S2428,S2428,$G$6:G2428,G2428,$D$6:D2428,"Vastgesteld")=1),1,0))</f>
        <v>0</v>
      </c>
      <c r="V2428" s="15">
        <f>IF(T2428="",0,IF(AND(G2428=T2428,COUNTIFS($S$6:S2428,S2428,$G$6:G2428,G2428,$D$6:D2428,"Vastgesteld")&gt;1),1,0))</f>
        <v>0</v>
      </c>
    </row>
    <row r="2429">
      <c r="S2429" s="15" t="str">
        <f>IF(J2429="","",J2429&amp;"|"&amp;E2429&amp;"|"&amp;F2429&amp;"|"&amp;I2429&amp;"|"&amp;O2429)</f>
        <v/>
      </c>
      <c r="T2429" s="15" t="str">
        <f>IF(OR(S2429="",D2429&lt;&gt;"Vastgesteld"),"",_xlfn.MAXIFS($G$6:$G$5005,$S$6:$S$5005,S2429,$D$6:$D$5005,"Vastgesteld"))</f>
        <v/>
      </c>
      <c r="U2429" s="15">
        <f>IF(T2429="",0,IF(AND(G2429=T2429,COUNTIFS($S$6:S2429,S2429,$G$6:G2429,G2429,$D$6:D2429,"Vastgesteld")=1),1,0))</f>
        <v>0</v>
      </c>
      <c r="V2429" s="15">
        <f>IF(T2429="",0,IF(AND(G2429=T2429,COUNTIFS($S$6:S2429,S2429,$G$6:G2429,G2429,$D$6:D2429,"Vastgesteld")&gt;1),1,0))</f>
        <v>0</v>
      </c>
    </row>
    <row r="2430">
      <c r="S2430" s="15" t="str">
        <f>IF(J2430="","",J2430&amp;"|"&amp;E2430&amp;"|"&amp;F2430&amp;"|"&amp;I2430&amp;"|"&amp;O2430)</f>
        <v/>
      </c>
      <c r="T2430" s="15" t="str">
        <f>IF(OR(S2430="",D2430&lt;&gt;"Vastgesteld"),"",_xlfn.MAXIFS($G$6:$G$5005,$S$6:$S$5005,S2430,$D$6:$D$5005,"Vastgesteld"))</f>
        <v/>
      </c>
      <c r="U2430" s="15">
        <f>IF(T2430="",0,IF(AND(G2430=T2430,COUNTIFS($S$6:S2430,S2430,$G$6:G2430,G2430,$D$6:D2430,"Vastgesteld")=1),1,0))</f>
        <v>0</v>
      </c>
      <c r="V2430" s="15">
        <f>IF(T2430="",0,IF(AND(G2430=T2430,COUNTIFS($S$6:S2430,S2430,$G$6:G2430,G2430,$D$6:D2430,"Vastgesteld")&gt;1),1,0))</f>
        <v>0</v>
      </c>
    </row>
    <row r="2431">
      <c r="S2431" s="15" t="str">
        <f>IF(J2431="","",J2431&amp;"|"&amp;E2431&amp;"|"&amp;F2431&amp;"|"&amp;I2431&amp;"|"&amp;O2431)</f>
        <v/>
      </c>
      <c r="T2431" s="15" t="str">
        <f>IF(OR(S2431="",D2431&lt;&gt;"Vastgesteld"),"",_xlfn.MAXIFS($G$6:$G$5005,$S$6:$S$5005,S2431,$D$6:$D$5005,"Vastgesteld"))</f>
        <v/>
      </c>
      <c r="U2431" s="15">
        <f>IF(T2431="",0,IF(AND(G2431=T2431,COUNTIFS($S$6:S2431,S2431,$G$6:G2431,G2431,$D$6:D2431,"Vastgesteld")=1),1,0))</f>
        <v>0</v>
      </c>
      <c r="V2431" s="15">
        <f>IF(T2431="",0,IF(AND(G2431=T2431,COUNTIFS($S$6:S2431,S2431,$G$6:G2431,G2431,$D$6:D2431,"Vastgesteld")&gt;1),1,0))</f>
        <v>0</v>
      </c>
    </row>
    <row r="2432">
      <c r="S2432" s="15" t="str">
        <f>IF(J2432="","",J2432&amp;"|"&amp;E2432&amp;"|"&amp;F2432&amp;"|"&amp;I2432&amp;"|"&amp;O2432)</f>
        <v/>
      </c>
      <c r="T2432" s="15" t="str">
        <f>IF(OR(S2432="",D2432&lt;&gt;"Vastgesteld"),"",_xlfn.MAXIFS($G$6:$G$5005,$S$6:$S$5005,S2432,$D$6:$D$5005,"Vastgesteld"))</f>
        <v/>
      </c>
      <c r="U2432" s="15">
        <f>IF(T2432="",0,IF(AND(G2432=T2432,COUNTIFS($S$6:S2432,S2432,$G$6:G2432,G2432,$D$6:D2432,"Vastgesteld")=1),1,0))</f>
        <v>0</v>
      </c>
      <c r="V2432" s="15">
        <f>IF(T2432="",0,IF(AND(G2432=T2432,COUNTIFS($S$6:S2432,S2432,$G$6:G2432,G2432,$D$6:D2432,"Vastgesteld")&gt;1),1,0))</f>
        <v>0</v>
      </c>
    </row>
    <row r="2433">
      <c r="S2433" s="15" t="str">
        <f>IF(J2433="","",J2433&amp;"|"&amp;E2433&amp;"|"&amp;F2433&amp;"|"&amp;I2433&amp;"|"&amp;O2433)</f>
        <v/>
      </c>
      <c r="T2433" s="15" t="str">
        <f>IF(OR(S2433="",D2433&lt;&gt;"Vastgesteld"),"",_xlfn.MAXIFS($G$6:$G$5005,$S$6:$S$5005,S2433,$D$6:$D$5005,"Vastgesteld"))</f>
        <v/>
      </c>
      <c r="U2433" s="15">
        <f>IF(T2433="",0,IF(AND(G2433=T2433,COUNTIFS($S$6:S2433,S2433,$G$6:G2433,G2433,$D$6:D2433,"Vastgesteld")=1),1,0))</f>
        <v>0</v>
      </c>
      <c r="V2433" s="15">
        <f>IF(T2433="",0,IF(AND(G2433=T2433,COUNTIFS($S$6:S2433,S2433,$G$6:G2433,G2433,$D$6:D2433,"Vastgesteld")&gt;1),1,0))</f>
        <v>0</v>
      </c>
    </row>
    <row r="2434">
      <c r="S2434" s="15" t="str">
        <f>IF(J2434="","",J2434&amp;"|"&amp;E2434&amp;"|"&amp;F2434&amp;"|"&amp;I2434&amp;"|"&amp;O2434)</f>
        <v/>
      </c>
      <c r="T2434" s="15" t="str">
        <f>IF(OR(S2434="",D2434&lt;&gt;"Vastgesteld"),"",_xlfn.MAXIFS($G$6:$G$5005,$S$6:$S$5005,S2434,$D$6:$D$5005,"Vastgesteld"))</f>
        <v/>
      </c>
      <c r="U2434" s="15">
        <f>IF(T2434="",0,IF(AND(G2434=T2434,COUNTIFS($S$6:S2434,S2434,$G$6:G2434,G2434,$D$6:D2434,"Vastgesteld")=1),1,0))</f>
        <v>0</v>
      </c>
      <c r="V2434" s="15">
        <f>IF(T2434="",0,IF(AND(G2434=T2434,COUNTIFS($S$6:S2434,S2434,$G$6:G2434,G2434,$D$6:D2434,"Vastgesteld")&gt;1),1,0))</f>
        <v>0</v>
      </c>
    </row>
    <row r="2435">
      <c r="S2435" s="15" t="str">
        <f>IF(J2435="","",J2435&amp;"|"&amp;E2435&amp;"|"&amp;F2435&amp;"|"&amp;I2435&amp;"|"&amp;O2435)</f>
        <v/>
      </c>
      <c r="T2435" s="15" t="str">
        <f>IF(OR(S2435="",D2435&lt;&gt;"Vastgesteld"),"",_xlfn.MAXIFS($G$6:$G$5005,$S$6:$S$5005,S2435,$D$6:$D$5005,"Vastgesteld"))</f>
        <v/>
      </c>
      <c r="U2435" s="15">
        <f>IF(T2435="",0,IF(AND(G2435=T2435,COUNTIFS($S$6:S2435,S2435,$G$6:G2435,G2435,$D$6:D2435,"Vastgesteld")=1),1,0))</f>
        <v>0</v>
      </c>
      <c r="V2435" s="15">
        <f>IF(T2435="",0,IF(AND(G2435=T2435,COUNTIFS($S$6:S2435,S2435,$G$6:G2435,G2435,$D$6:D2435,"Vastgesteld")&gt;1),1,0))</f>
        <v>0</v>
      </c>
    </row>
    <row r="2436">
      <c r="S2436" s="15" t="str">
        <f>IF(J2436="","",J2436&amp;"|"&amp;E2436&amp;"|"&amp;F2436&amp;"|"&amp;I2436&amp;"|"&amp;O2436)</f>
        <v/>
      </c>
      <c r="T2436" s="15" t="str">
        <f>IF(OR(S2436="",D2436&lt;&gt;"Vastgesteld"),"",_xlfn.MAXIFS($G$6:$G$5005,$S$6:$S$5005,S2436,$D$6:$D$5005,"Vastgesteld"))</f>
        <v/>
      </c>
      <c r="U2436" s="15">
        <f>IF(T2436="",0,IF(AND(G2436=T2436,COUNTIFS($S$6:S2436,S2436,$G$6:G2436,G2436,$D$6:D2436,"Vastgesteld")=1),1,0))</f>
        <v>0</v>
      </c>
      <c r="V2436" s="15">
        <f>IF(T2436="",0,IF(AND(G2436=T2436,COUNTIFS($S$6:S2436,S2436,$G$6:G2436,G2436,$D$6:D2436,"Vastgesteld")&gt;1),1,0))</f>
        <v>0</v>
      </c>
    </row>
    <row r="2437">
      <c r="S2437" s="15" t="str">
        <f>IF(J2437="","",J2437&amp;"|"&amp;E2437&amp;"|"&amp;F2437&amp;"|"&amp;I2437&amp;"|"&amp;O2437)</f>
        <v/>
      </c>
      <c r="T2437" s="15" t="str">
        <f>IF(OR(S2437="",D2437&lt;&gt;"Vastgesteld"),"",_xlfn.MAXIFS($G$6:$G$5005,$S$6:$S$5005,S2437,$D$6:$D$5005,"Vastgesteld"))</f>
        <v/>
      </c>
      <c r="U2437" s="15">
        <f>IF(T2437="",0,IF(AND(G2437=T2437,COUNTIFS($S$6:S2437,S2437,$G$6:G2437,G2437,$D$6:D2437,"Vastgesteld")=1),1,0))</f>
        <v>0</v>
      </c>
      <c r="V2437" s="15">
        <f>IF(T2437="",0,IF(AND(G2437=T2437,COUNTIFS($S$6:S2437,S2437,$G$6:G2437,G2437,$D$6:D2437,"Vastgesteld")&gt;1),1,0))</f>
        <v>0</v>
      </c>
    </row>
    <row r="2438">
      <c r="S2438" s="15" t="str">
        <f>IF(J2438="","",J2438&amp;"|"&amp;E2438&amp;"|"&amp;F2438&amp;"|"&amp;I2438&amp;"|"&amp;O2438)</f>
        <v/>
      </c>
      <c r="T2438" s="15" t="str">
        <f>IF(OR(S2438="",D2438&lt;&gt;"Vastgesteld"),"",_xlfn.MAXIFS($G$6:$G$5005,$S$6:$S$5005,S2438,$D$6:$D$5005,"Vastgesteld"))</f>
        <v/>
      </c>
      <c r="U2438" s="15">
        <f>IF(T2438="",0,IF(AND(G2438=T2438,COUNTIFS($S$6:S2438,S2438,$G$6:G2438,G2438,$D$6:D2438,"Vastgesteld")=1),1,0))</f>
        <v>0</v>
      </c>
      <c r="V2438" s="15">
        <f>IF(T2438="",0,IF(AND(G2438=T2438,COUNTIFS($S$6:S2438,S2438,$G$6:G2438,G2438,$D$6:D2438,"Vastgesteld")&gt;1),1,0))</f>
        <v>0</v>
      </c>
    </row>
    <row r="2439">
      <c r="S2439" s="15" t="str">
        <f>IF(J2439="","",J2439&amp;"|"&amp;E2439&amp;"|"&amp;F2439&amp;"|"&amp;I2439&amp;"|"&amp;O2439)</f>
        <v/>
      </c>
      <c r="T2439" s="15" t="str">
        <f>IF(OR(S2439="",D2439&lt;&gt;"Vastgesteld"),"",_xlfn.MAXIFS($G$6:$G$5005,$S$6:$S$5005,S2439,$D$6:$D$5005,"Vastgesteld"))</f>
        <v/>
      </c>
      <c r="U2439" s="15">
        <f>IF(T2439="",0,IF(AND(G2439=T2439,COUNTIFS($S$6:S2439,S2439,$G$6:G2439,G2439,$D$6:D2439,"Vastgesteld")=1),1,0))</f>
        <v>0</v>
      </c>
      <c r="V2439" s="15">
        <f>IF(T2439="",0,IF(AND(G2439=T2439,COUNTIFS($S$6:S2439,S2439,$G$6:G2439,G2439,$D$6:D2439,"Vastgesteld")&gt;1),1,0))</f>
        <v>0</v>
      </c>
    </row>
    <row r="2440">
      <c r="S2440" s="15" t="str">
        <f>IF(J2440="","",J2440&amp;"|"&amp;E2440&amp;"|"&amp;F2440&amp;"|"&amp;I2440&amp;"|"&amp;O2440)</f>
        <v/>
      </c>
      <c r="T2440" s="15" t="str">
        <f>IF(OR(S2440="",D2440&lt;&gt;"Vastgesteld"),"",_xlfn.MAXIFS($G$6:$G$5005,$S$6:$S$5005,S2440,$D$6:$D$5005,"Vastgesteld"))</f>
        <v/>
      </c>
      <c r="U2440" s="15">
        <f>IF(T2440="",0,IF(AND(G2440=T2440,COUNTIFS($S$6:S2440,S2440,$G$6:G2440,G2440,$D$6:D2440,"Vastgesteld")=1),1,0))</f>
        <v>0</v>
      </c>
      <c r="V2440" s="15">
        <f>IF(T2440="",0,IF(AND(G2440=T2440,COUNTIFS($S$6:S2440,S2440,$G$6:G2440,G2440,$D$6:D2440,"Vastgesteld")&gt;1),1,0))</f>
        <v>0</v>
      </c>
    </row>
    <row r="2441">
      <c r="S2441" s="15" t="str">
        <f>IF(J2441="","",J2441&amp;"|"&amp;E2441&amp;"|"&amp;F2441&amp;"|"&amp;I2441&amp;"|"&amp;O2441)</f>
        <v/>
      </c>
      <c r="T2441" s="15" t="str">
        <f>IF(OR(S2441="",D2441&lt;&gt;"Vastgesteld"),"",_xlfn.MAXIFS($G$6:$G$5005,$S$6:$S$5005,S2441,$D$6:$D$5005,"Vastgesteld"))</f>
        <v/>
      </c>
      <c r="U2441" s="15">
        <f>IF(T2441="",0,IF(AND(G2441=T2441,COUNTIFS($S$6:S2441,S2441,$G$6:G2441,G2441,$D$6:D2441,"Vastgesteld")=1),1,0))</f>
        <v>0</v>
      </c>
      <c r="V2441" s="15">
        <f>IF(T2441="",0,IF(AND(G2441=T2441,COUNTIFS($S$6:S2441,S2441,$G$6:G2441,G2441,$D$6:D2441,"Vastgesteld")&gt;1),1,0))</f>
        <v>0</v>
      </c>
    </row>
    <row r="2442">
      <c r="S2442" s="15" t="str">
        <f>IF(J2442="","",J2442&amp;"|"&amp;E2442&amp;"|"&amp;F2442&amp;"|"&amp;I2442&amp;"|"&amp;O2442)</f>
        <v/>
      </c>
      <c r="T2442" s="15" t="str">
        <f>IF(OR(S2442="",D2442&lt;&gt;"Vastgesteld"),"",_xlfn.MAXIFS($G$6:$G$5005,$S$6:$S$5005,S2442,$D$6:$D$5005,"Vastgesteld"))</f>
        <v/>
      </c>
      <c r="U2442" s="15">
        <f>IF(T2442="",0,IF(AND(G2442=T2442,COUNTIFS($S$6:S2442,S2442,$G$6:G2442,G2442,$D$6:D2442,"Vastgesteld")=1),1,0))</f>
        <v>0</v>
      </c>
      <c r="V2442" s="15">
        <f>IF(T2442="",0,IF(AND(G2442=T2442,COUNTIFS($S$6:S2442,S2442,$G$6:G2442,G2442,$D$6:D2442,"Vastgesteld")&gt;1),1,0))</f>
        <v>0</v>
      </c>
    </row>
    <row r="2443">
      <c r="S2443" s="15" t="str">
        <f>IF(J2443="","",J2443&amp;"|"&amp;E2443&amp;"|"&amp;F2443&amp;"|"&amp;I2443&amp;"|"&amp;O2443)</f>
        <v/>
      </c>
      <c r="T2443" s="15" t="str">
        <f>IF(OR(S2443="",D2443&lt;&gt;"Vastgesteld"),"",_xlfn.MAXIFS($G$6:$G$5005,$S$6:$S$5005,S2443,$D$6:$D$5005,"Vastgesteld"))</f>
        <v/>
      </c>
      <c r="U2443" s="15">
        <f>IF(T2443="",0,IF(AND(G2443=T2443,COUNTIFS($S$6:S2443,S2443,$G$6:G2443,G2443,$D$6:D2443,"Vastgesteld")=1),1,0))</f>
        <v>0</v>
      </c>
      <c r="V2443" s="15">
        <f>IF(T2443="",0,IF(AND(G2443=T2443,COUNTIFS($S$6:S2443,S2443,$G$6:G2443,G2443,$D$6:D2443,"Vastgesteld")&gt;1),1,0))</f>
        <v>0</v>
      </c>
    </row>
    <row r="2444">
      <c r="S2444" s="15" t="str">
        <f>IF(J2444="","",J2444&amp;"|"&amp;E2444&amp;"|"&amp;F2444&amp;"|"&amp;I2444&amp;"|"&amp;O2444)</f>
        <v/>
      </c>
      <c r="T2444" s="15" t="str">
        <f>IF(OR(S2444="",D2444&lt;&gt;"Vastgesteld"),"",_xlfn.MAXIFS($G$6:$G$5005,$S$6:$S$5005,S2444,$D$6:$D$5005,"Vastgesteld"))</f>
        <v/>
      </c>
      <c r="U2444" s="15">
        <f>IF(T2444="",0,IF(AND(G2444=T2444,COUNTIFS($S$6:S2444,S2444,$G$6:G2444,G2444,$D$6:D2444,"Vastgesteld")=1),1,0))</f>
        <v>0</v>
      </c>
      <c r="V2444" s="15">
        <f>IF(T2444="",0,IF(AND(G2444=T2444,COUNTIFS($S$6:S2444,S2444,$G$6:G2444,G2444,$D$6:D2444,"Vastgesteld")&gt;1),1,0))</f>
        <v>0</v>
      </c>
    </row>
    <row r="2445">
      <c r="S2445" s="15" t="str">
        <f>IF(J2445="","",J2445&amp;"|"&amp;E2445&amp;"|"&amp;F2445&amp;"|"&amp;I2445&amp;"|"&amp;O2445)</f>
        <v/>
      </c>
      <c r="T2445" s="15" t="str">
        <f>IF(OR(S2445="",D2445&lt;&gt;"Vastgesteld"),"",_xlfn.MAXIFS($G$6:$G$5005,$S$6:$S$5005,S2445,$D$6:$D$5005,"Vastgesteld"))</f>
        <v/>
      </c>
      <c r="U2445" s="15">
        <f>IF(T2445="",0,IF(AND(G2445=T2445,COUNTIFS($S$6:S2445,S2445,$G$6:G2445,G2445,$D$6:D2445,"Vastgesteld")=1),1,0))</f>
        <v>0</v>
      </c>
      <c r="V2445" s="15">
        <f>IF(T2445="",0,IF(AND(G2445=T2445,COUNTIFS($S$6:S2445,S2445,$G$6:G2445,G2445,$D$6:D2445,"Vastgesteld")&gt;1),1,0))</f>
        <v>0</v>
      </c>
    </row>
    <row r="2446">
      <c r="S2446" s="15" t="str">
        <f>IF(J2446="","",J2446&amp;"|"&amp;E2446&amp;"|"&amp;F2446&amp;"|"&amp;I2446&amp;"|"&amp;O2446)</f>
        <v/>
      </c>
      <c r="T2446" s="15" t="str">
        <f>IF(OR(S2446="",D2446&lt;&gt;"Vastgesteld"),"",_xlfn.MAXIFS($G$6:$G$5005,$S$6:$S$5005,S2446,$D$6:$D$5005,"Vastgesteld"))</f>
        <v/>
      </c>
      <c r="U2446" s="15">
        <f>IF(T2446="",0,IF(AND(G2446=T2446,COUNTIFS($S$6:S2446,S2446,$G$6:G2446,G2446,$D$6:D2446,"Vastgesteld")=1),1,0))</f>
        <v>0</v>
      </c>
      <c r="V2446" s="15">
        <f>IF(T2446="",0,IF(AND(G2446=T2446,COUNTIFS($S$6:S2446,S2446,$G$6:G2446,G2446,$D$6:D2446,"Vastgesteld")&gt;1),1,0))</f>
        <v>0</v>
      </c>
    </row>
    <row r="2447">
      <c r="S2447" s="15" t="str">
        <f>IF(J2447="","",J2447&amp;"|"&amp;E2447&amp;"|"&amp;F2447&amp;"|"&amp;I2447&amp;"|"&amp;O2447)</f>
        <v/>
      </c>
      <c r="T2447" s="15" t="str">
        <f>IF(OR(S2447="",D2447&lt;&gt;"Vastgesteld"),"",_xlfn.MAXIFS($G$6:$G$5005,$S$6:$S$5005,S2447,$D$6:$D$5005,"Vastgesteld"))</f>
        <v/>
      </c>
      <c r="U2447" s="15">
        <f>IF(T2447="",0,IF(AND(G2447=T2447,COUNTIFS($S$6:S2447,S2447,$G$6:G2447,G2447,$D$6:D2447,"Vastgesteld")=1),1,0))</f>
        <v>0</v>
      </c>
      <c r="V2447" s="15">
        <f>IF(T2447="",0,IF(AND(G2447=T2447,COUNTIFS($S$6:S2447,S2447,$G$6:G2447,G2447,$D$6:D2447,"Vastgesteld")&gt;1),1,0))</f>
        <v>0</v>
      </c>
    </row>
    <row r="2448">
      <c r="S2448" s="15" t="str">
        <f>IF(J2448="","",J2448&amp;"|"&amp;E2448&amp;"|"&amp;F2448&amp;"|"&amp;I2448&amp;"|"&amp;O2448)</f>
        <v/>
      </c>
      <c r="T2448" s="15" t="str">
        <f>IF(OR(S2448="",D2448&lt;&gt;"Vastgesteld"),"",_xlfn.MAXIFS($G$6:$G$5005,$S$6:$S$5005,S2448,$D$6:$D$5005,"Vastgesteld"))</f>
        <v/>
      </c>
      <c r="U2448" s="15">
        <f>IF(T2448="",0,IF(AND(G2448=T2448,COUNTIFS($S$6:S2448,S2448,$G$6:G2448,G2448,$D$6:D2448,"Vastgesteld")=1),1,0))</f>
        <v>0</v>
      </c>
      <c r="V2448" s="15">
        <f>IF(T2448="",0,IF(AND(G2448=T2448,COUNTIFS($S$6:S2448,S2448,$G$6:G2448,G2448,$D$6:D2448,"Vastgesteld")&gt;1),1,0))</f>
        <v>0</v>
      </c>
    </row>
    <row r="2449">
      <c r="S2449" s="15" t="str">
        <f>IF(J2449="","",J2449&amp;"|"&amp;E2449&amp;"|"&amp;F2449&amp;"|"&amp;I2449&amp;"|"&amp;O2449)</f>
        <v/>
      </c>
      <c r="T2449" s="15" t="str">
        <f>IF(OR(S2449="",D2449&lt;&gt;"Vastgesteld"),"",_xlfn.MAXIFS($G$6:$G$5005,$S$6:$S$5005,S2449,$D$6:$D$5005,"Vastgesteld"))</f>
        <v/>
      </c>
      <c r="U2449" s="15">
        <f>IF(T2449="",0,IF(AND(G2449=T2449,COUNTIFS($S$6:S2449,S2449,$G$6:G2449,G2449,$D$6:D2449,"Vastgesteld")=1),1,0))</f>
        <v>0</v>
      </c>
      <c r="V2449" s="15">
        <f>IF(T2449="",0,IF(AND(G2449=T2449,COUNTIFS($S$6:S2449,S2449,$G$6:G2449,G2449,$D$6:D2449,"Vastgesteld")&gt;1),1,0))</f>
        <v>0</v>
      </c>
    </row>
    <row r="2450">
      <c r="S2450" s="15" t="str">
        <f>IF(J2450="","",J2450&amp;"|"&amp;E2450&amp;"|"&amp;F2450&amp;"|"&amp;I2450&amp;"|"&amp;O2450)</f>
        <v/>
      </c>
      <c r="T2450" s="15" t="str">
        <f>IF(OR(S2450="",D2450&lt;&gt;"Vastgesteld"),"",_xlfn.MAXIFS($G$6:$G$5005,$S$6:$S$5005,S2450,$D$6:$D$5005,"Vastgesteld"))</f>
        <v/>
      </c>
      <c r="U2450" s="15">
        <f>IF(T2450="",0,IF(AND(G2450=T2450,COUNTIFS($S$6:S2450,S2450,$G$6:G2450,G2450,$D$6:D2450,"Vastgesteld")=1),1,0))</f>
        <v>0</v>
      </c>
      <c r="V2450" s="15">
        <f>IF(T2450="",0,IF(AND(G2450=T2450,COUNTIFS($S$6:S2450,S2450,$G$6:G2450,G2450,$D$6:D2450,"Vastgesteld")&gt;1),1,0))</f>
        <v>0</v>
      </c>
    </row>
    <row r="2451">
      <c r="S2451" s="15" t="str">
        <f>IF(J2451="","",J2451&amp;"|"&amp;E2451&amp;"|"&amp;F2451&amp;"|"&amp;I2451&amp;"|"&amp;O2451)</f>
        <v/>
      </c>
      <c r="T2451" s="15" t="str">
        <f>IF(OR(S2451="",D2451&lt;&gt;"Vastgesteld"),"",_xlfn.MAXIFS($G$6:$G$5005,$S$6:$S$5005,S2451,$D$6:$D$5005,"Vastgesteld"))</f>
        <v/>
      </c>
      <c r="U2451" s="15">
        <f>IF(T2451="",0,IF(AND(G2451=T2451,COUNTIFS($S$6:S2451,S2451,$G$6:G2451,G2451,$D$6:D2451,"Vastgesteld")=1),1,0))</f>
        <v>0</v>
      </c>
      <c r="V2451" s="15">
        <f>IF(T2451="",0,IF(AND(G2451=T2451,COUNTIFS($S$6:S2451,S2451,$G$6:G2451,G2451,$D$6:D2451,"Vastgesteld")&gt;1),1,0))</f>
        <v>0</v>
      </c>
    </row>
    <row r="2452">
      <c r="S2452" s="15" t="str">
        <f>IF(J2452="","",J2452&amp;"|"&amp;E2452&amp;"|"&amp;F2452&amp;"|"&amp;I2452&amp;"|"&amp;O2452)</f>
        <v/>
      </c>
      <c r="T2452" s="15" t="str">
        <f>IF(OR(S2452="",D2452&lt;&gt;"Vastgesteld"),"",_xlfn.MAXIFS($G$6:$G$5005,$S$6:$S$5005,S2452,$D$6:$D$5005,"Vastgesteld"))</f>
        <v/>
      </c>
      <c r="U2452" s="15">
        <f>IF(T2452="",0,IF(AND(G2452=T2452,COUNTIFS($S$6:S2452,S2452,$G$6:G2452,G2452,$D$6:D2452,"Vastgesteld")=1),1,0))</f>
        <v>0</v>
      </c>
      <c r="V2452" s="15">
        <f>IF(T2452="",0,IF(AND(G2452=T2452,COUNTIFS($S$6:S2452,S2452,$G$6:G2452,G2452,$D$6:D2452,"Vastgesteld")&gt;1),1,0))</f>
        <v>0</v>
      </c>
    </row>
    <row r="2453">
      <c r="S2453" s="15" t="str">
        <f>IF(J2453="","",J2453&amp;"|"&amp;E2453&amp;"|"&amp;F2453&amp;"|"&amp;I2453&amp;"|"&amp;O2453)</f>
        <v/>
      </c>
      <c r="T2453" s="15" t="str">
        <f>IF(OR(S2453="",D2453&lt;&gt;"Vastgesteld"),"",_xlfn.MAXIFS($G$6:$G$5005,$S$6:$S$5005,S2453,$D$6:$D$5005,"Vastgesteld"))</f>
        <v/>
      </c>
      <c r="U2453" s="15">
        <f>IF(T2453="",0,IF(AND(G2453=T2453,COUNTIFS($S$6:S2453,S2453,$G$6:G2453,G2453,$D$6:D2453,"Vastgesteld")=1),1,0))</f>
        <v>0</v>
      </c>
      <c r="V2453" s="15">
        <f>IF(T2453="",0,IF(AND(G2453=T2453,COUNTIFS($S$6:S2453,S2453,$G$6:G2453,G2453,$D$6:D2453,"Vastgesteld")&gt;1),1,0))</f>
        <v>0</v>
      </c>
    </row>
    <row r="2454">
      <c r="S2454" s="15" t="str">
        <f>IF(J2454="","",J2454&amp;"|"&amp;E2454&amp;"|"&amp;F2454&amp;"|"&amp;I2454&amp;"|"&amp;O2454)</f>
        <v/>
      </c>
      <c r="T2454" s="15" t="str">
        <f>IF(OR(S2454="",D2454&lt;&gt;"Vastgesteld"),"",_xlfn.MAXIFS($G$6:$G$5005,$S$6:$S$5005,S2454,$D$6:$D$5005,"Vastgesteld"))</f>
        <v/>
      </c>
      <c r="U2454" s="15">
        <f>IF(T2454="",0,IF(AND(G2454=T2454,COUNTIFS($S$6:S2454,S2454,$G$6:G2454,G2454,$D$6:D2454,"Vastgesteld")=1),1,0))</f>
        <v>0</v>
      </c>
      <c r="V2454" s="15">
        <f>IF(T2454="",0,IF(AND(G2454=T2454,COUNTIFS($S$6:S2454,S2454,$G$6:G2454,G2454,$D$6:D2454,"Vastgesteld")&gt;1),1,0))</f>
        <v>0</v>
      </c>
    </row>
    <row r="2455">
      <c r="S2455" s="15" t="str">
        <f>IF(J2455="","",J2455&amp;"|"&amp;E2455&amp;"|"&amp;F2455&amp;"|"&amp;I2455&amp;"|"&amp;O2455)</f>
        <v/>
      </c>
      <c r="T2455" s="15" t="str">
        <f>IF(OR(S2455="",D2455&lt;&gt;"Vastgesteld"),"",_xlfn.MAXIFS($G$6:$G$5005,$S$6:$S$5005,S2455,$D$6:$D$5005,"Vastgesteld"))</f>
        <v/>
      </c>
      <c r="U2455" s="15">
        <f>IF(T2455="",0,IF(AND(G2455=T2455,COUNTIFS($S$6:S2455,S2455,$G$6:G2455,G2455,$D$6:D2455,"Vastgesteld")=1),1,0))</f>
        <v>0</v>
      </c>
      <c r="V2455" s="15">
        <f>IF(T2455="",0,IF(AND(G2455=T2455,COUNTIFS($S$6:S2455,S2455,$G$6:G2455,G2455,$D$6:D2455,"Vastgesteld")&gt;1),1,0))</f>
        <v>0</v>
      </c>
    </row>
    <row r="2456">
      <c r="S2456" s="15" t="str">
        <f>IF(J2456="","",J2456&amp;"|"&amp;E2456&amp;"|"&amp;F2456&amp;"|"&amp;I2456&amp;"|"&amp;O2456)</f>
        <v/>
      </c>
      <c r="T2456" s="15" t="str">
        <f>IF(OR(S2456="",D2456&lt;&gt;"Vastgesteld"),"",_xlfn.MAXIFS($G$6:$G$5005,$S$6:$S$5005,S2456,$D$6:$D$5005,"Vastgesteld"))</f>
        <v/>
      </c>
      <c r="U2456" s="15">
        <f>IF(T2456="",0,IF(AND(G2456=T2456,COUNTIFS($S$6:S2456,S2456,$G$6:G2456,G2456,$D$6:D2456,"Vastgesteld")=1),1,0))</f>
        <v>0</v>
      </c>
      <c r="V2456" s="15">
        <f>IF(T2456="",0,IF(AND(G2456=T2456,COUNTIFS($S$6:S2456,S2456,$G$6:G2456,G2456,$D$6:D2456,"Vastgesteld")&gt;1),1,0))</f>
        <v>0</v>
      </c>
    </row>
    <row r="2457">
      <c r="S2457" s="15" t="str">
        <f>IF(J2457="","",J2457&amp;"|"&amp;E2457&amp;"|"&amp;F2457&amp;"|"&amp;I2457&amp;"|"&amp;O2457)</f>
        <v/>
      </c>
      <c r="T2457" s="15" t="str">
        <f>IF(OR(S2457="",D2457&lt;&gt;"Vastgesteld"),"",_xlfn.MAXIFS($G$6:$G$5005,$S$6:$S$5005,S2457,$D$6:$D$5005,"Vastgesteld"))</f>
        <v/>
      </c>
      <c r="U2457" s="15">
        <f>IF(T2457="",0,IF(AND(G2457=T2457,COUNTIFS($S$6:S2457,S2457,$G$6:G2457,G2457,$D$6:D2457,"Vastgesteld")=1),1,0))</f>
        <v>0</v>
      </c>
      <c r="V2457" s="15">
        <f>IF(T2457="",0,IF(AND(G2457=T2457,COUNTIFS($S$6:S2457,S2457,$G$6:G2457,G2457,$D$6:D2457,"Vastgesteld")&gt;1),1,0))</f>
        <v>0</v>
      </c>
    </row>
    <row r="2458">
      <c r="S2458" s="15" t="str">
        <f>IF(J2458="","",J2458&amp;"|"&amp;E2458&amp;"|"&amp;F2458&amp;"|"&amp;I2458&amp;"|"&amp;O2458)</f>
        <v/>
      </c>
      <c r="T2458" s="15" t="str">
        <f>IF(OR(S2458="",D2458&lt;&gt;"Vastgesteld"),"",_xlfn.MAXIFS($G$6:$G$5005,$S$6:$S$5005,S2458,$D$6:$D$5005,"Vastgesteld"))</f>
        <v/>
      </c>
      <c r="U2458" s="15">
        <f>IF(T2458="",0,IF(AND(G2458=T2458,COUNTIFS($S$6:S2458,S2458,$G$6:G2458,G2458,$D$6:D2458,"Vastgesteld")=1),1,0))</f>
        <v>0</v>
      </c>
      <c r="V2458" s="15">
        <f>IF(T2458="",0,IF(AND(G2458=T2458,COUNTIFS($S$6:S2458,S2458,$G$6:G2458,G2458,$D$6:D2458,"Vastgesteld")&gt;1),1,0))</f>
        <v>0</v>
      </c>
    </row>
    <row r="2459">
      <c r="S2459" s="15" t="str">
        <f>IF(J2459="","",J2459&amp;"|"&amp;E2459&amp;"|"&amp;F2459&amp;"|"&amp;I2459&amp;"|"&amp;O2459)</f>
        <v/>
      </c>
      <c r="T2459" s="15" t="str">
        <f>IF(OR(S2459="",D2459&lt;&gt;"Vastgesteld"),"",_xlfn.MAXIFS($G$6:$G$5005,$S$6:$S$5005,S2459,$D$6:$D$5005,"Vastgesteld"))</f>
        <v/>
      </c>
      <c r="U2459" s="15">
        <f>IF(T2459="",0,IF(AND(G2459=T2459,COUNTIFS($S$6:S2459,S2459,$G$6:G2459,G2459,$D$6:D2459,"Vastgesteld")=1),1,0))</f>
        <v>0</v>
      </c>
      <c r="V2459" s="15">
        <f>IF(T2459="",0,IF(AND(G2459=T2459,COUNTIFS($S$6:S2459,S2459,$G$6:G2459,G2459,$D$6:D2459,"Vastgesteld")&gt;1),1,0))</f>
        <v>0</v>
      </c>
    </row>
    <row r="2460">
      <c r="S2460" s="15" t="str">
        <f>IF(J2460="","",J2460&amp;"|"&amp;E2460&amp;"|"&amp;F2460&amp;"|"&amp;I2460&amp;"|"&amp;O2460)</f>
        <v/>
      </c>
      <c r="T2460" s="15" t="str">
        <f>IF(OR(S2460="",D2460&lt;&gt;"Vastgesteld"),"",_xlfn.MAXIFS($G$6:$G$5005,$S$6:$S$5005,S2460,$D$6:$D$5005,"Vastgesteld"))</f>
        <v/>
      </c>
      <c r="U2460" s="15">
        <f>IF(T2460="",0,IF(AND(G2460=T2460,COUNTIFS($S$6:S2460,S2460,$G$6:G2460,G2460,$D$6:D2460,"Vastgesteld")=1),1,0))</f>
        <v>0</v>
      </c>
      <c r="V2460" s="15">
        <f>IF(T2460="",0,IF(AND(G2460=T2460,COUNTIFS($S$6:S2460,S2460,$G$6:G2460,G2460,$D$6:D2460,"Vastgesteld")&gt;1),1,0))</f>
        <v>0</v>
      </c>
    </row>
    <row r="2461">
      <c r="S2461" s="15" t="str">
        <f>IF(J2461="","",J2461&amp;"|"&amp;E2461&amp;"|"&amp;F2461&amp;"|"&amp;I2461&amp;"|"&amp;O2461)</f>
        <v/>
      </c>
      <c r="T2461" s="15" t="str">
        <f>IF(OR(S2461="",D2461&lt;&gt;"Vastgesteld"),"",_xlfn.MAXIFS($G$6:$G$5005,$S$6:$S$5005,S2461,$D$6:$D$5005,"Vastgesteld"))</f>
        <v/>
      </c>
      <c r="U2461" s="15">
        <f>IF(T2461="",0,IF(AND(G2461=T2461,COUNTIFS($S$6:S2461,S2461,$G$6:G2461,G2461,$D$6:D2461,"Vastgesteld")=1),1,0))</f>
        <v>0</v>
      </c>
      <c r="V2461" s="15">
        <f>IF(T2461="",0,IF(AND(G2461=T2461,COUNTIFS($S$6:S2461,S2461,$G$6:G2461,G2461,$D$6:D2461,"Vastgesteld")&gt;1),1,0))</f>
        <v>0</v>
      </c>
    </row>
    <row r="2462">
      <c r="S2462" s="15" t="str">
        <f>IF(J2462="","",J2462&amp;"|"&amp;E2462&amp;"|"&amp;F2462&amp;"|"&amp;I2462&amp;"|"&amp;O2462)</f>
        <v/>
      </c>
      <c r="T2462" s="15" t="str">
        <f>IF(OR(S2462="",D2462&lt;&gt;"Vastgesteld"),"",_xlfn.MAXIFS($G$6:$G$5005,$S$6:$S$5005,S2462,$D$6:$D$5005,"Vastgesteld"))</f>
        <v/>
      </c>
      <c r="U2462" s="15">
        <f>IF(T2462="",0,IF(AND(G2462=T2462,COUNTIFS($S$6:S2462,S2462,$G$6:G2462,G2462,$D$6:D2462,"Vastgesteld")=1),1,0))</f>
        <v>0</v>
      </c>
      <c r="V2462" s="15">
        <f>IF(T2462="",0,IF(AND(G2462=T2462,COUNTIFS($S$6:S2462,S2462,$G$6:G2462,G2462,$D$6:D2462,"Vastgesteld")&gt;1),1,0))</f>
        <v>0</v>
      </c>
    </row>
    <row r="2463">
      <c r="S2463" s="15" t="str">
        <f>IF(J2463="","",J2463&amp;"|"&amp;E2463&amp;"|"&amp;F2463&amp;"|"&amp;I2463&amp;"|"&amp;O2463)</f>
        <v/>
      </c>
      <c r="T2463" s="15" t="str">
        <f>IF(OR(S2463="",D2463&lt;&gt;"Vastgesteld"),"",_xlfn.MAXIFS($G$6:$G$5005,$S$6:$S$5005,S2463,$D$6:$D$5005,"Vastgesteld"))</f>
        <v/>
      </c>
      <c r="U2463" s="15">
        <f>IF(T2463="",0,IF(AND(G2463=T2463,COUNTIFS($S$6:S2463,S2463,$G$6:G2463,G2463,$D$6:D2463,"Vastgesteld")=1),1,0))</f>
        <v>0</v>
      </c>
      <c r="V2463" s="15">
        <f>IF(T2463="",0,IF(AND(G2463=T2463,COUNTIFS($S$6:S2463,S2463,$G$6:G2463,G2463,$D$6:D2463,"Vastgesteld")&gt;1),1,0))</f>
        <v>0</v>
      </c>
    </row>
    <row r="2464">
      <c r="S2464" s="15" t="str">
        <f>IF(J2464="","",J2464&amp;"|"&amp;E2464&amp;"|"&amp;F2464&amp;"|"&amp;I2464&amp;"|"&amp;O2464)</f>
        <v/>
      </c>
      <c r="T2464" s="15" t="str">
        <f>IF(OR(S2464="",D2464&lt;&gt;"Vastgesteld"),"",_xlfn.MAXIFS($G$6:$G$5005,$S$6:$S$5005,S2464,$D$6:$D$5005,"Vastgesteld"))</f>
        <v/>
      </c>
      <c r="U2464" s="15">
        <f>IF(T2464="",0,IF(AND(G2464=T2464,COUNTIFS($S$6:S2464,S2464,$G$6:G2464,G2464,$D$6:D2464,"Vastgesteld")=1),1,0))</f>
        <v>0</v>
      </c>
      <c r="V2464" s="15">
        <f>IF(T2464="",0,IF(AND(G2464=T2464,COUNTIFS($S$6:S2464,S2464,$G$6:G2464,G2464,$D$6:D2464,"Vastgesteld")&gt;1),1,0))</f>
        <v>0</v>
      </c>
    </row>
    <row r="2465">
      <c r="S2465" s="15" t="str">
        <f>IF(J2465="","",J2465&amp;"|"&amp;E2465&amp;"|"&amp;F2465&amp;"|"&amp;I2465&amp;"|"&amp;O2465)</f>
        <v/>
      </c>
      <c r="T2465" s="15" t="str">
        <f>IF(OR(S2465="",D2465&lt;&gt;"Vastgesteld"),"",_xlfn.MAXIFS($G$6:$G$5005,$S$6:$S$5005,S2465,$D$6:$D$5005,"Vastgesteld"))</f>
        <v/>
      </c>
      <c r="U2465" s="15">
        <f>IF(T2465="",0,IF(AND(G2465=T2465,COUNTIFS($S$6:S2465,S2465,$G$6:G2465,G2465,$D$6:D2465,"Vastgesteld")=1),1,0))</f>
        <v>0</v>
      </c>
      <c r="V2465" s="15">
        <f>IF(T2465="",0,IF(AND(G2465=T2465,COUNTIFS($S$6:S2465,S2465,$G$6:G2465,G2465,$D$6:D2465,"Vastgesteld")&gt;1),1,0))</f>
        <v>0</v>
      </c>
    </row>
    <row r="2466">
      <c r="S2466" s="15" t="str">
        <f>IF(J2466="","",J2466&amp;"|"&amp;E2466&amp;"|"&amp;F2466&amp;"|"&amp;I2466&amp;"|"&amp;O2466)</f>
        <v/>
      </c>
      <c r="T2466" s="15" t="str">
        <f>IF(OR(S2466="",D2466&lt;&gt;"Vastgesteld"),"",_xlfn.MAXIFS($G$6:$G$5005,$S$6:$S$5005,S2466,$D$6:$D$5005,"Vastgesteld"))</f>
        <v/>
      </c>
      <c r="U2466" s="15">
        <f>IF(T2466="",0,IF(AND(G2466=T2466,COUNTIFS($S$6:S2466,S2466,$G$6:G2466,G2466,$D$6:D2466,"Vastgesteld")=1),1,0))</f>
        <v>0</v>
      </c>
      <c r="V2466" s="15">
        <f>IF(T2466="",0,IF(AND(G2466=T2466,COUNTIFS($S$6:S2466,S2466,$G$6:G2466,G2466,$D$6:D2466,"Vastgesteld")&gt;1),1,0))</f>
        <v>0</v>
      </c>
    </row>
    <row r="2467">
      <c r="S2467" s="15" t="str">
        <f>IF(J2467="","",J2467&amp;"|"&amp;E2467&amp;"|"&amp;F2467&amp;"|"&amp;I2467&amp;"|"&amp;O2467)</f>
        <v/>
      </c>
      <c r="T2467" s="15" t="str">
        <f>IF(OR(S2467="",D2467&lt;&gt;"Vastgesteld"),"",_xlfn.MAXIFS($G$6:$G$5005,$S$6:$S$5005,S2467,$D$6:$D$5005,"Vastgesteld"))</f>
        <v/>
      </c>
      <c r="U2467" s="15">
        <f>IF(T2467="",0,IF(AND(G2467=T2467,COUNTIFS($S$6:S2467,S2467,$G$6:G2467,G2467,$D$6:D2467,"Vastgesteld")=1),1,0))</f>
        <v>0</v>
      </c>
      <c r="V2467" s="15">
        <f>IF(T2467="",0,IF(AND(G2467=T2467,COUNTIFS($S$6:S2467,S2467,$G$6:G2467,G2467,$D$6:D2467,"Vastgesteld")&gt;1),1,0))</f>
        <v>0</v>
      </c>
    </row>
    <row r="2468">
      <c r="S2468" s="15" t="str">
        <f>IF(J2468="","",J2468&amp;"|"&amp;E2468&amp;"|"&amp;F2468&amp;"|"&amp;I2468&amp;"|"&amp;O2468)</f>
        <v/>
      </c>
      <c r="T2468" s="15" t="str">
        <f>IF(OR(S2468="",D2468&lt;&gt;"Vastgesteld"),"",_xlfn.MAXIFS($G$6:$G$5005,$S$6:$S$5005,S2468,$D$6:$D$5005,"Vastgesteld"))</f>
        <v/>
      </c>
      <c r="U2468" s="15">
        <f>IF(T2468="",0,IF(AND(G2468=T2468,COUNTIFS($S$6:S2468,S2468,$G$6:G2468,G2468,$D$6:D2468,"Vastgesteld")=1),1,0))</f>
        <v>0</v>
      </c>
      <c r="V2468" s="15">
        <f>IF(T2468="",0,IF(AND(G2468=T2468,COUNTIFS($S$6:S2468,S2468,$G$6:G2468,G2468,$D$6:D2468,"Vastgesteld")&gt;1),1,0))</f>
        <v>0</v>
      </c>
    </row>
    <row r="2469">
      <c r="S2469" s="15" t="str">
        <f>IF(J2469="","",J2469&amp;"|"&amp;E2469&amp;"|"&amp;F2469&amp;"|"&amp;I2469&amp;"|"&amp;O2469)</f>
        <v/>
      </c>
      <c r="T2469" s="15" t="str">
        <f>IF(OR(S2469="",D2469&lt;&gt;"Vastgesteld"),"",_xlfn.MAXIFS($G$6:$G$5005,$S$6:$S$5005,S2469,$D$6:$D$5005,"Vastgesteld"))</f>
        <v/>
      </c>
      <c r="U2469" s="15">
        <f>IF(T2469="",0,IF(AND(G2469=T2469,COUNTIFS($S$6:S2469,S2469,$G$6:G2469,G2469,$D$6:D2469,"Vastgesteld")=1),1,0))</f>
        <v>0</v>
      </c>
      <c r="V2469" s="15">
        <f>IF(T2469="",0,IF(AND(G2469=T2469,COUNTIFS($S$6:S2469,S2469,$G$6:G2469,G2469,$D$6:D2469,"Vastgesteld")&gt;1),1,0))</f>
        <v>0</v>
      </c>
    </row>
    <row r="2470">
      <c r="S2470" s="15" t="str">
        <f>IF(J2470="","",J2470&amp;"|"&amp;E2470&amp;"|"&amp;F2470&amp;"|"&amp;I2470&amp;"|"&amp;O2470)</f>
        <v/>
      </c>
      <c r="T2470" s="15" t="str">
        <f>IF(OR(S2470="",D2470&lt;&gt;"Vastgesteld"),"",_xlfn.MAXIFS($G$6:$G$5005,$S$6:$S$5005,S2470,$D$6:$D$5005,"Vastgesteld"))</f>
        <v/>
      </c>
      <c r="U2470" s="15">
        <f>IF(T2470="",0,IF(AND(G2470=T2470,COUNTIFS($S$6:S2470,S2470,$G$6:G2470,G2470,$D$6:D2470,"Vastgesteld")=1),1,0))</f>
        <v>0</v>
      </c>
      <c r="V2470" s="15">
        <f>IF(T2470="",0,IF(AND(G2470=T2470,COUNTIFS($S$6:S2470,S2470,$G$6:G2470,G2470,$D$6:D2470,"Vastgesteld")&gt;1),1,0))</f>
        <v>0</v>
      </c>
    </row>
    <row r="2471">
      <c r="S2471" s="15" t="str">
        <f>IF(J2471="","",J2471&amp;"|"&amp;E2471&amp;"|"&amp;F2471&amp;"|"&amp;I2471&amp;"|"&amp;O2471)</f>
        <v/>
      </c>
      <c r="T2471" s="15" t="str">
        <f>IF(OR(S2471="",D2471&lt;&gt;"Vastgesteld"),"",_xlfn.MAXIFS($G$6:$G$5005,$S$6:$S$5005,S2471,$D$6:$D$5005,"Vastgesteld"))</f>
        <v/>
      </c>
      <c r="U2471" s="15">
        <f>IF(T2471="",0,IF(AND(G2471=T2471,COUNTIFS($S$6:S2471,S2471,$G$6:G2471,G2471,$D$6:D2471,"Vastgesteld")=1),1,0))</f>
        <v>0</v>
      </c>
      <c r="V2471" s="15">
        <f>IF(T2471="",0,IF(AND(G2471=T2471,COUNTIFS($S$6:S2471,S2471,$G$6:G2471,G2471,$D$6:D2471,"Vastgesteld")&gt;1),1,0))</f>
        <v>0</v>
      </c>
    </row>
    <row r="2472">
      <c r="S2472" s="15" t="str">
        <f>IF(J2472="","",J2472&amp;"|"&amp;E2472&amp;"|"&amp;F2472&amp;"|"&amp;I2472&amp;"|"&amp;O2472)</f>
        <v/>
      </c>
      <c r="T2472" s="15" t="str">
        <f>IF(OR(S2472="",D2472&lt;&gt;"Vastgesteld"),"",_xlfn.MAXIFS($G$6:$G$5005,$S$6:$S$5005,S2472,$D$6:$D$5005,"Vastgesteld"))</f>
        <v/>
      </c>
      <c r="U2472" s="15">
        <f>IF(T2472="",0,IF(AND(G2472=T2472,COUNTIFS($S$6:S2472,S2472,$G$6:G2472,G2472,$D$6:D2472,"Vastgesteld")=1),1,0))</f>
        <v>0</v>
      </c>
      <c r="V2472" s="15">
        <f>IF(T2472="",0,IF(AND(G2472=T2472,COUNTIFS($S$6:S2472,S2472,$G$6:G2472,G2472,$D$6:D2472,"Vastgesteld")&gt;1),1,0))</f>
        <v>0</v>
      </c>
    </row>
    <row r="2473">
      <c r="S2473" s="15" t="str">
        <f>IF(J2473="","",J2473&amp;"|"&amp;E2473&amp;"|"&amp;F2473&amp;"|"&amp;I2473&amp;"|"&amp;O2473)</f>
        <v/>
      </c>
      <c r="T2473" s="15" t="str">
        <f>IF(OR(S2473="",D2473&lt;&gt;"Vastgesteld"),"",_xlfn.MAXIFS($G$6:$G$5005,$S$6:$S$5005,S2473,$D$6:$D$5005,"Vastgesteld"))</f>
        <v/>
      </c>
      <c r="U2473" s="15">
        <f>IF(T2473="",0,IF(AND(G2473=T2473,COUNTIFS($S$6:S2473,S2473,$G$6:G2473,G2473,$D$6:D2473,"Vastgesteld")=1),1,0))</f>
        <v>0</v>
      </c>
      <c r="V2473" s="15">
        <f>IF(T2473="",0,IF(AND(G2473=T2473,COUNTIFS($S$6:S2473,S2473,$G$6:G2473,G2473,$D$6:D2473,"Vastgesteld")&gt;1),1,0))</f>
        <v>0</v>
      </c>
    </row>
    <row r="2474">
      <c r="S2474" s="15" t="str">
        <f>IF(J2474="","",J2474&amp;"|"&amp;E2474&amp;"|"&amp;F2474&amp;"|"&amp;I2474&amp;"|"&amp;O2474)</f>
        <v/>
      </c>
      <c r="T2474" s="15" t="str">
        <f>IF(OR(S2474="",D2474&lt;&gt;"Vastgesteld"),"",_xlfn.MAXIFS($G$6:$G$5005,$S$6:$S$5005,S2474,$D$6:$D$5005,"Vastgesteld"))</f>
        <v/>
      </c>
      <c r="U2474" s="15">
        <f>IF(T2474="",0,IF(AND(G2474=T2474,COUNTIFS($S$6:S2474,S2474,$G$6:G2474,G2474,$D$6:D2474,"Vastgesteld")=1),1,0))</f>
        <v>0</v>
      </c>
      <c r="V2474" s="15">
        <f>IF(T2474="",0,IF(AND(G2474=T2474,COUNTIFS($S$6:S2474,S2474,$G$6:G2474,G2474,$D$6:D2474,"Vastgesteld")&gt;1),1,0))</f>
        <v>0</v>
      </c>
    </row>
    <row r="2475">
      <c r="S2475" s="15" t="str">
        <f>IF(J2475="","",J2475&amp;"|"&amp;E2475&amp;"|"&amp;F2475&amp;"|"&amp;I2475&amp;"|"&amp;O2475)</f>
        <v/>
      </c>
      <c r="T2475" s="15" t="str">
        <f>IF(OR(S2475="",D2475&lt;&gt;"Vastgesteld"),"",_xlfn.MAXIFS($G$6:$G$5005,$S$6:$S$5005,S2475,$D$6:$D$5005,"Vastgesteld"))</f>
        <v/>
      </c>
      <c r="U2475" s="15">
        <f>IF(T2475="",0,IF(AND(G2475=T2475,COUNTIFS($S$6:S2475,S2475,$G$6:G2475,G2475,$D$6:D2475,"Vastgesteld")=1),1,0))</f>
        <v>0</v>
      </c>
      <c r="V2475" s="15">
        <f>IF(T2475="",0,IF(AND(G2475=T2475,COUNTIFS($S$6:S2475,S2475,$G$6:G2475,G2475,$D$6:D2475,"Vastgesteld")&gt;1),1,0))</f>
        <v>0</v>
      </c>
    </row>
    <row r="2476">
      <c r="S2476" s="15" t="str">
        <f>IF(J2476="","",J2476&amp;"|"&amp;E2476&amp;"|"&amp;F2476&amp;"|"&amp;I2476&amp;"|"&amp;O2476)</f>
        <v/>
      </c>
      <c r="T2476" s="15" t="str">
        <f>IF(OR(S2476="",D2476&lt;&gt;"Vastgesteld"),"",_xlfn.MAXIFS($G$6:$G$5005,$S$6:$S$5005,S2476,$D$6:$D$5005,"Vastgesteld"))</f>
        <v/>
      </c>
      <c r="U2476" s="15">
        <f>IF(T2476="",0,IF(AND(G2476=T2476,COUNTIFS($S$6:S2476,S2476,$G$6:G2476,G2476,$D$6:D2476,"Vastgesteld")=1),1,0))</f>
        <v>0</v>
      </c>
      <c r="V2476" s="15">
        <f>IF(T2476="",0,IF(AND(G2476=T2476,COUNTIFS($S$6:S2476,S2476,$G$6:G2476,G2476,$D$6:D2476,"Vastgesteld")&gt;1),1,0))</f>
        <v>0</v>
      </c>
    </row>
    <row r="2477">
      <c r="S2477" s="15" t="str">
        <f>IF(J2477="","",J2477&amp;"|"&amp;E2477&amp;"|"&amp;F2477&amp;"|"&amp;I2477&amp;"|"&amp;O2477)</f>
        <v/>
      </c>
      <c r="T2477" s="15" t="str">
        <f>IF(OR(S2477="",D2477&lt;&gt;"Vastgesteld"),"",_xlfn.MAXIFS($G$6:$G$5005,$S$6:$S$5005,S2477,$D$6:$D$5005,"Vastgesteld"))</f>
        <v/>
      </c>
      <c r="U2477" s="15">
        <f>IF(T2477="",0,IF(AND(G2477=T2477,COUNTIFS($S$6:S2477,S2477,$G$6:G2477,G2477,$D$6:D2477,"Vastgesteld")=1),1,0))</f>
        <v>0</v>
      </c>
      <c r="V2477" s="15">
        <f>IF(T2477="",0,IF(AND(G2477=T2477,COUNTIFS($S$6:S2477,S2477,$G$6:G2477,G2477,$D$6:D2477,"Vastgesteld")&gt;1),1,0))</f>
        <v>0</v>
      </c>
    </row>
    <row r="2478">
      <c r="S2478" s="15" t="str">
        <f>IF(J2478="","",J2478&amp;"|"&amp;E2478&amp;"|"&amp;F2478&amp;"|"&amp;I2478&amp;"|"&amp;O2478)</f>
        <v/>
      </c>
      <c r="T2478" s="15" t="str">
        <f>IF(OR(S2478="",D2478&lt;&gt;"Vastgesteld"),"",_xlfn.MAXIFS($G$6:$G$5005,$S$6:$S$5005,S2478,$D$6:$D$5005,"Vastgesteld"))</f>
        <v/>
      </c>
      <c r="U2478" s="15">
        <f>IF(T2478="",0,IF(AND(G2478=T2478,COUNTIFS($S$6:S2478,S2478,$G$6:G2478,G2478,$D$6:D2478,"Vastgesteld")=1),1,0))</f>
        <v>0</v>
      </c>
      <c r="V2478" s="15">
        <f>IF(T2478="",0,IF(AND(G2478=T2478,COUNTIFS($S$6:S2478,S2478,$G$6:G2478,G2478,$D$6:D2478,"Vastgesteld")&gt;1),1,0))</f>
        <v>0</v>
      </c>
    </row>
    <row r="2479">
      <c r="S2479" s="15" t="str">
        <f>IF(J2479="","",J2479&amp;"|"&amp;E2479&amp;"|"&amp;F2479&amp;"|"&amp;I2479&amp;"|"&amp;O2479)</f>
        <v/>
      </c>
      <c r="T2479" s="15" t="str">
        <f>IF(OR(S2479="",D2479&lt;&gt;"Vastgesteld"),"",_xlfn.MAXIFS($G$6:$G$5005,$S$6:$S$5005,S2479,$D$6:$D$5005,"Vastgesteld"))</f>
        <v/>
      </c>
      <c r="U2479" s="15">
        <f>IF(T2479="",0,IF(AND(G2479=T2479,COUNTIFS($S$6:S2479,S2479,$G$6:G2479,G2479,$D$6:D2479,"Vastgesteld")=1),1,0))</f>
        <v>0</v>
      </c>
      <c r="V2479" s="15">
        <f>IF(T2479="",0,IF(AND(G2479=T2479,COUNTIFS($S$6:S2479,S2479,$G$6:G2479,G2479,$D$6:D2479,"Vastgesteld")&gt;1),1,0))</f>
        <v>0</v>
      </c>
    </row>
    <row r="2480">
      <c r="S2480" s="15" t="str">
        <f>IF(J2480="","",J2480&amp;"|"&amp;E2480&amp;"|"&amp;F2480&amp;"|"&amp;I2480&amp;"|"&amp;O2480)</f>
        <v/>
      </c>
      <c r="T2480" s="15" t="str">
        <f>IF(OR(S2480="",D2480&lt;&gt;"Vastgesteld"),"",_xlfn.MAXIFS($G$6:$G$5005,$S$6:$S$5005,S2480,$D$6:$D$5005,"Vastgesteld"))</f>
        <v/>
      </c>
      <c r="U2480" s="15">
        <f>IF(T2480="",0,IF(AND(G2480=T2480,COUNTIFS($S$6:S2480,S2480,$G$6:G2480,G2480,$D$6:D2480,"Vastgesteld")=1),1,0))</f>
        <v>0</v>
      </c>
      <c r="V2480" s="15">
        <f>IF(T2480="",0,IF(AND(G2480=T2480,COUNTIFS($S$6:S2480,S2480,$G$6:G2480,G2480,$D$6:D2480,"Vastgesteld")&gt;1),1,0))</f>
        <v>0</v>
      </c>
    </row>
    <row r="2481">
      <c r="S2481" s="15" t="str">
        <f>IF(J2481="","",J2481&amp;"|"&amp;E2481&amp;"|"&amp;F2481&amp;"|"&amp;I2481&amp;"|"&amp;O2481)</f>
        <v/>
      </c>
      <c r="T2481" s="15" t="str">
        <f>IF(OR(S2481="",D2481&lt;&gt;"Vastgesteld"),"",_xlfn.MAXIFS($G$6:$G$5005,$S$6:$S$5005,S2481,$D$6:$D$5005,"Vastgesteld"))</f>
        <v/>
      </c>
      <c r="U2481" s="15">
        <f>IF(T2481="",0,IF(AND(G2481=T2481,COUNTIFS($S$6:S2481,S2481,$G$6:G2481,G2481,$D$6:D2481,"Vastgesteld")=1),1,0))</f>
        <v>0</v>
      </c>
      <c r="V2481" s="15">
        <f>IF(T2481="",0,IF(AND(G2481=T2481,COUNTIFS($S$6:S2481,S2481,$G$6:G2481,G2481,$D$6:D2481,"Vastgesteld")&gt;1),1,0))</f>
        <v>0</v>
      </c>
    </row>
    <row r="2482">
      <c r="S2482" s="15" t="str">
        <f>IF(J2482="","",J2482&amp;"|"&amp;E2482&amp;"|"&amp;F2482&amp;"|"&amp;I2482&amp;"|"&amp;O2482)</f>
        <v/>
      </c>
      <c r="T2482" s="15" t="str">
        <f>IF(OR(S2482="",D2482&lt;&gt;"Vastgesteld"),"",_xlfn.MAXIFS($G$6:$G$5005,$S$6:$S$5005,S2482,$D$6:$D$5005,"Vastgesteld"))</f>
        <v/>
      </c>
      <c r="U2482" s="15">
        <f>IF(T2482="",0,IF(AND(G2482=T2482,COUNTIFS($S$6:S2482,S2482,$G$6:G2482,G2482,$D$6:D2482,"Vastgesteld")=1),1,0))</f>
        <v>0</v>
      </c>
      <c r="V2482" s="15">
        <f>IF(T2482="",0,IF(AND(G2482=T2482,COUNTIFS($S$6:S2482,S2482,$G$6:G2482,G2482,$D$6:D2482,"Vastgesteld")&gt;1),1,0))</f>
        <v>0</v>
      </c>
    </row>
    <row r="2483">
      <c r="S2483" s="15" t="str">
        <f>IF(J2483="","",J2483&amp;"|"&amp;E2483&amp;"|"&amp;F2483&amp;"|"&amp;I2483&amp;"|"&amp;O2483)</f>
        <v/>
      </c>
      <c r="T2483" s="15" t="str">
        <f>IF(OR(S2483="",D2483&lt;&gt;"Vastgesteld"),"",_xlfn.MAXIFS($G$6:$G$5005,$S$6:$S$5005,S2483,$D$6:$D$5005,"Vastgesteld"))</f>
        <v/>
      </c>
      <c r="U2483" s="15">
        <f>IF(T2483="",0,IF(AND(G2483=T2483,COUNTIFS($S$6:S2483,S2483,$G$6:G2483,G2483,$D$6:D2483,"Vastgesteld")=1),1,0))</f>
        <v>0</v>
      </c>
      <c r="V2483" s="15">
        <f>IF(T2483="",0,IF(AND(G2483=T2483,COUNTIFS($S$6:S2483,S2483,$G$6:G2483,G2483,$D$6:D2483,"Vastgesteld")&gt;1),1,0))</f>
        <v>0</v>
      </c>
    </row>
    <row r="2484">
      <c r="S2484" s="15" t="str">
        <f>IF(J2484="","",J2484&amp;"|"&amp;E2484&amp;"|"&amp;F2484&amp;"|"&amp;I2484&amp;"|"&amp;O2484)</f>
        <v/>
      </c>
      <c r="T2484" s="15" t="str">
        <f>IF(OR(S2484="",D2484&lt;&gt;"Vastgesteld"),"",_xlfn.MAXIFS($G$6:$G$5005,$S$6:$S$5005,S2484,$D$6:$D$5005,"Vastgesteld"))</f>
        <v/>
      </c>
      <c r="U2484" s="15">
        <f>IF(T2484="",0,IF(AND(G2484=T2484,COUNTIFS($S$6:S2484,S2484,$G$6:G2484,G2484,$D$6:D2484,"Vastgesteld")=1),1,0))</f>
        <v>0</v>
      </c>
      <c r="V2484" s="15">
        <f>IF(T2484="",0,IF(AND(G2484=T2484,COUNTIFS($S$6:S2484,S2484,$G$6:G2484,G2484,$D$6:D2484,"Vastgesteld")&gt;1),1,0))</f>
        <v>0</v>
      </c>
    </row>
    <row r="2485">
      <c r="S2485" s="15" t="str">
        <f>IF(J2485="","",J2485&amp;"|"&amp;E2485&amp;"|"&amp;F2485&amp;"|"&amp;I2485&amp;"|"&amp;O2485)</f>
        <v/>
      </c>
      <c r="T2485" s="15" t="str">
        <f>IF(OR(S2485="",D2485&lt;&gt;"Vastgesteld"),"",_xlfn.MAXIFS($G$6:$G$5005,$S$6:$S$5005,S2485,$D$6:$D$5005,"Vastgesteld"))</f>
        <v/>
      </c>
      <c r="U2485" s="15">
        <f>IF(T2485="",0,IF(AND(G2485=T2485,COUNTIFS($S$6:S2485,S2485,$G$6:G2485,G2485,$D$6:D2485,"Vastgesteld")=1),1,0))</f>
        <v>0</v>
      </c>
      <c r="V2485" s="15">
        <f>IF(T2485="",0,IF(AND(G2485=T2485,COUNTIFS($S$6:S2485,S2485,$G$6:G2485,G2485,$D$6:D2485,"Vastgesteld")&gt;1),1,0))</f>
        <v>0</v>
      </c>
    </row>
    <row r="2486">
      <c r="S2486" s="15" t="str">
        <f>IF(J2486="","",J2486&amp;"|"&amp;E2486&amp;"|"&amp;F2486&amp;"|"&amp;I2486&amp;"|"&amp;O2486)</f>
        <v/>
      </c>
      <c r="T2486" s="15" t="str">
        <f>IF(OR(S2486="",D2486&lt;&gt;"Vastgesteld"),"",_xlfn.MAXIFS($G$6:$G$5005,$S$6:$S$5005,S2486,$D$6:$D$5005,"Vastgesteld"))</f>
        <v/>
      </c>
      <c r="U2486" s="15">
        <f>IF(T2486="",0,IF(AND(G2486=T2486,COUNTIFS($S$6:S2486,S2486,$G$6:G2486,G2486,$D$6:D2486,"Vastgesteld")=1),1,0))</f>
        <v>0</v>
      </c>
      <c r="V2486" s="15">
        <f>IF(T2486="",0,IF(AND(G2486=T2486,COUNTIFS($S$6:S2486,S2486,$G$6:G2486,G2486,$D$6:D2486,"Vastgesteld")&gt;1),1,0))</f>
        <v>0</v>
      </c>
    </row>
    <row r="2487">
      <c r="S2487" s="15" t="str">
        <f>IF(J2487="","",J2487&amp;"|"&amp;E2487&amp;"|"&amp;F2487&amp;"|"&amp;I2487&amp;"|"&amp;O2487)</f>
        <v/>
      </c>
      <c r="T2487" s="15" t="str">
        <f>IF(OR(S2487="",D2487&lt;&gt;"Vastgesteld"),"",_xlfn.MAXIFS($G$6:$G$5005,$S$6:$S$5005,S2487,$D$6:$D$5005,"Vastgesteld"))</f>
        <v/>
      </c>
      <c r="U2487" s="15">
        <f>IF(T2487="",0,IF(AND(G2487=T2487,COUNTIFS($S$6:S2487,S2487,$G$6:G2487,G2487,$D$6:D2487,"Vastgesteld")=1),1,0))</f>
        <v>0</v>
      </c>
      <c r="V2487" s="15">
        <f>IF(T2487="",0,IF(AND(G2487=T2487,COUNTIFS($S$6:S2487,S2487,$G$6:G2487,G2487,$D$6:D2487,"Vastgesteld")&gt;1),1,0))</f>
        <v>0</v>
      </c>
    </row>
    <row r="2488">
      <c r="S2488" s="15" t="str">
        <f>IF(J2488="","",J2488&amp;"|"&amp;E2488&amp;"|"&amp;F2488&amp;"|"&amp;I2488&amp;"|"&amp;O2488)</f>
        <v/>
      </c>
      <c r="T2488" s="15" t="str">
        <f>IF(OR(S2488="",D2488&lt;&gt;"Vastgesteld"),"",_xlfn.MAXIFS($G$6:$G$5005,$S$6:$S$5005,S2488,$D$6:$D$5005,"Vastgesteld"))</f>
        <v/>
      </c>
      <c r="U2488" s="15">
        <f>IF(T2488="",0,IF(AND(G2488=T2488,COUNTIFS($S$6:S2488,S2488,$G$6:G2488,G2488,$D$6:D2488,"Vastgesteld")=1),1,0))</f>
        <v>0</v>
      </c>
      <c r="V2488" s="15">
        <f>IF(T2488="",0,IF(AND(G2488=T2488,COUNTIFS($S$6:S2488,S2488,$G$6:G2488,G2488,$D$6:D2488,"Vastgesteld")&gt;1),1,0))</f>
        <v>0</v>
      </c>
    </row>
    <row r="2489">
      <c r="S2489" s="15" t="str">
        <f>IF(J2489="","",J2489&amp;"|"&amp;E2489&amp;"|"&amp;F2489&amp;"|"&amp;I2489&amp;"|"&amp;O2489)</f>
        <v/>
      </c>
      <c r="T2489" s="15" t="str">
        <f>IF(OR(S2489="",D2489&lt;&gt;"Vastgesteld"),"",_xlfn.MAXIFS($G$6:$G$5005,$S$6:$S$5005,S2489,$D$6:$D$5005,"Vastgesteld"))</f>
        <v/>
      </c>
      <c r="U2489" s="15">
        <f>IF(T2489="",0,IF(AND(G2489=T2489,COUNTIFS($S$6:S2489,S2489,$G$6:G2489,G2489,$D$6:D2489,"Vastgesteld")=1),1,0))</f>
        <v>0</v>
      </c>
      <c r="V2489" s="15">
        <f>IF(T2489="",0,IF(AND(G2489=T2489,COUNTIFS($S$6:S2489,S2489,$G$6:G2489,G2489,$D$6:D2489,"Vastgesteld")&gt;1),1,0))</f>
        <v>0</v>
      </c>
    </row>
    <row r="2490">
      <c r="S2490" s="15" t="str">
        <f>IF(J2490="","",J2490&amp;"|"&amp;E2490&amp;"|"&amp;F2490&amp;"|"&amp;I2490&amp;"|"&amp;O2490)</f>
        <v/>
      </c>
      <c r="T2490" s="15" t="str">
        <f>IF(OR(S2490="",D2490&lt;&gt;"Vastgesteld"),"",_xlfn.MAXIFS($G$6:$G$5005,$S$6:$S$5005,S2490,$D$6:$D$5005,"Vastgesteld"))</f>
        <v/>
      </c>
      <c r="U2490" s="15">
        <f>IF(T2490="",0,IF(AND(G2490=T2490,COUNTIFS($S$6:S2490,S2490,$G$6:G2490,G2490,$D$6:D2490,"Vastgesteld")=1),1,0))</f>
        <v>0</v>
      </c>
      <c r="V2490" s="15">
        <f>IF(T2490="",0,IF(AND(G2490=T2490,COUNTIFS($S$6:S2490,S2490,$G$6:G2490,G2490,$D$6:D2490,"Vastgesteld")&gt;1),1,0))</f>
        <v>0</v>
      </c>
    </row>
    <row r="2491">
      <c r="S2491" s="15" t="str">
        <f>IF(J2491="","",J2491&amp;"|"&amp;E2491&amp;"|"&amp;F2491&amp;"|"&amp;I2491&amp;"|"&amp;O2491)</f>
        <v/>
      </c>
      <c r="T2491" s="15" t="str">
        <f>IF(OR(S2491="",D2491&lt;&gt;"Vastgesteld"),"",_xlfn.MAXIFS($G$6:$G$5005,$S$6:$S$5005,S2491,$D$6:$D$5005,"Vastgesteld"))</f>
        <v/>
      </c>
      <c r="U2491" s="15">
        <f>IF(T2491="",0,IF(AND(G2491=T2491,COUNTIFS($S$6:S2491,S2491,$G$6:G2491,G2491,$D$6:D2491,"Vastgesteld")=1),1,0))</f>
        <v>0</v>
      </c>
      <c r="V2491" s="15">
        <f>IF(T2491="",0,IF(AND(G2491=T2491,COUNTIFS($S$6:S2491,S2491,$G$6:G2491,G2491,$D$6:D2491,"Vastgesteld")&gt;1),1,0))</f>
        <v>0</v>
      </c>
    </row>
    <row r="2492">
      <c r="S2492" s="15" t="str">
        <f>IF(J2492="","",J2492&amp;"|"&amp;E2492&amp;"|"&amp;F2492&amp;"|"&amp;I2492&amp;"|"&amp;O2492)</f>
        <v/>
      </c>
      <c r="T2492" s="15" t="str">
        <f>IF(OR(S2492="",D2492&lt;&gt;"Vastgesteld"),"",_xlfn.MAXIFS($G$6:$G$5005,$S$6:$S$5005,S2492,$D$6:$D$5005,"Vastgesteld"))</f>
        <v/>
      </c>
      <c r="U2492" s="15">
        <f>IF(T2492="",0,IF(AND(G2492=T2492,COUNTIFS($S$6:S2492,S2492,$G$6:G2492,G2492,$D$6:D2492,"Vastgesteld")=1),1,0))</f>
        <v>0</v>
      </c>
      <c r="V2492" s="15">
        <f>IF(T2492="",0,IF(AND(G2492=T2492,COUNTIFS($S$6:S2492,S2492,$G$6:G2492,G2492,$D$6:D2492,"Vastgesteld")&gt;1),1,0))</f>
        <v>0</v>
      </c>
    </row>
    <row r="2493">
      <c r="S2493" s="15" t="str">
        <f>IF(J2493="","",J2493&amp;"|"&amp;E2493&amp;"|"&amp;F2493&amp;"|"&amp;I2493&amp;"|"&amp;O2493)</f>
        <v/>
      </c>
      <c r="T2493" s="15" t="str">
        <f>IF(OR(S2493="",D2493&lt;&gt;"Vastgesteld"),"",_xlfn.MAXIFS($G$6:$G$5005,$S$6:$S$5005,S2493,$D$6:$D$5005,"Vastgesteld"))</f>
        <v/>
      </c>
      <c r="U2493" s="15">
        <f>IF(T2493="",0,IF(AND(G2493=T2493,COUNTIFS($S$6:S2493,S2493,$G$6:G2493,G2493,$D$6:D2493,"Vastgesteld")=1),1,0))</f>
        <v>0</v>
      </c>
      <c r="V2493" s="15">
        <f>IF(T2493="",0,IF(AND(G2493=T2493,COUNTIFS($S$6:S2493,S2493,$G$6:G2493,G2493,$D$6:D2493,"Vastgesteld")&gt;1),1,0))</f>
        <v>0</v>
      </c>
    </row>
    <row r="2494">
      <c r="S2494" s="15" t="str">
        <f>IF(J2494="","",J2494&amp;"|"&amp;E2494&amp;"|"&amp;F2494&amp;"|"&amp;I2494&amp;"|"&amp;O2494)</f>
        <v/>
      </c>
      <c r="T2494" s="15" t="str">
        <f>IF(OR(S2494="",D2494&lt;&gt;"Vastgesteld"),"",_xlfn.MAXIFS($G$6:$G$5005,$S$6:$S$5005,S2494,$D$6:$D$5005,"Vastgesteld"))</f>
        <v/>
      </c>
      <c r="U2494" s="15">
        <f>IF(T2494="",0,IF(AND(G2494=T2494,COUNTIFS($S$6:S2494,S2494,$G$6:G2494,G2494,$D$6:D2494,"Vastgesteld")=1),1,0))</f>
        <v>0</v>
      </c>
      <c r="V2494" s="15">
        <f>IF(T2494="",0,IF(AND(G2494=T2494,COUNTIFS($S$6:S2494,S2494,$G$6:G2494,G2494,$D$6:D2494,"Vastgesteld")&gt;1),1,0))</f>
        <v>0</v>
      </c>
    </row>
    <row r="2495">
      <c r="S2495" s="15" t="str">
        <f>IF(J2495="","",J2495&amp;"|"&amp;E2495&amp;"|"&amp;F2495&amp;"|"&amp;I2495&amp;"|"&amp;O2495)</f>
        <v/>
      </c>
      <c r="T2495" s="15" t="str">
        <f>IF(OR(S2495="",D2495&lt;&gt;"Vastgesteld"),"",_xlfn.MAXIFS($G$6:$G$5005,$S$6:$S$5005,S2495,$D$6:$D$5005,"Vastgesteld"))</f>
        <v/>
      </c>
      <c r="U2495" s="15">
        <f>IF(T2495="",0,IF(AND(G2495=T2495,COUNTIFS($S$6:S2495,S2495,$G$6:G2495,G2495,$D$6:D2495,"Vastgesteld")=1),1,0))</f>
        <v>0</v>
      </c>
      <c r="V2495" s="15">
        <f>IF(T2495="",0,IF(AND(G2495=T2495,COUNTIFS($S$6:S2495,S2495,$G$6:G2495,G2495,$D$6:D2495,"Vastgesteld")&gt;1),1,0))</f>
        <v>0</v>
      </c>
    </row>
    <row r="2496">
      <c r="S2496" s="15" t="str">
        <f>IF(J2496="","",J2496&amp;"|"&amp;E2496&amp;"|"&amp;F2496&amp;"|"&amp;I2496&amp;"|"&amp;O2496)</f>
        <v/>
      </c>
      <c r="T2496" s="15" t="str">
        <f>IF(OR(S2496="",D2496&lt;&gt;"Vastgesteld"),"",_xlfn.MAXIFS($G$6:$G$5005,$S$6:$S$5005,S2496,$D$6:$D$5005,"Vastgesteld"))</f>
        <v/>
      </c>
      <c r="U2496" s="15">
        <f>IF(T2496="",0,IF(AND(G2496=T2496,COUNTIFS($S$6:S2496,S2496,$G$6:G2496,G2496,$D$6:D2496,"Vastgesteld")=1),1,0))</f>
        <v>0</v>
      </c>
      <c r="V2496" s="15">
        <f>IF(T2496="",0,IF(AND(G2496=T2496,COUNTIFS($S$6:S2496,S2496,$G$6:G2496,G2496,$D$6:D2496,"Vastgesteld")&gt;1),1,0))</f>
        <v>0</v>
      </c>
    </row>
    <row r="2497">
      <c r="S2497" s="15" t="str">
        <f>IF(J2497="","",J2497&amp;"|"&amp;E2497&amp;"|"&amp;F2497&amp;"|"&amp;I2497&amp;"|"&amp;O2497)</f>
        <v/>
      </c>
      <c r="T2497" s="15" t="str">
        <f>IF(OR(S2497="",D2497&lt;&gt;"Vastgesteld"),"",_xlfn.MAXIFS($G$6:$G$5005,$S$6:$S$5005,S2497,$D$6:$D$5005,"Vastgesteld"))</f>
        <v/>
      </c>
      <c r="U2497" s="15">
        <f>IF(T2497="",0,IF(AND(G2497=T2497,COUNTIFS($S$6:S2497,S2497,$G$6:G2497,G2497,$D$6:D2497,"Vastgesteld")=1),1,0))</f>
        <v>0</v>
      </c>
      <c r="V2497" s="15">
        <f>IF(T2497="",0,IF(AND(G2497=T2497,COUNTIFS($S$6:S2497,S2497,$G$6:G2497,G2497,$D$6:D2497,"Vastgesteld")&gt;1),1,0))</f>
        <v>0</v>
      </c>
    </row>
    <row r="2498">
      <c r="S2498" s="15" t="str">
        <f>IF(J2498="","",J2498&amp;"|"&amp;E2498&amp;"|"&amp;F2498&amp;"|"&amp;I2498&amp;"|"&amp;O2498)</f>
        <v/>
      </c>
      <c r="T2498" s="15" t="str">
        <f>IF(OR(S2498="",D2498&lt;&gt;"Vastgesteld"),"",_xlfn.MAXIFS($G$6:$G$5005,$S$6:$S$5005,S2498,$D$6:$D$5005,"Vastgesteld"))</f>
        <v/>
      </c>
      <c r="U2498" s="15">
        <f>IF(T2498="",0,IF(AND(G2498=T2498,COUNTIFS($S$6:S2498,S2498,$G$6:G2498,G2498,$D$6:D2498,"Vastgesteld")=1),1,0))</f>
        <v>0</v>
      </c>
      <c r="V2498" s="15">
        <f>IF(T2498="",0,IF(AND(G2498=T2498,COUNTIFS($S$6:S2498,S2498,$G$6:G2498,G2498,$D$6:D2498,"Vastgesteld")&gt;1),1,0))</f>
        <v>0</v>
      </c>
    </row>
    <row r="2499">
      <c r="S2499" s="15" t="str">
        <f>IF(J2499="","",J2499&amp;"|"&amp;E2499&amp;"|"&amp;F2499&amp;"|"&amp;I2499&amp;"|"&amp;O2499)</f>
        <v/>
      </c>
      <c r="T2499" s="15" t="str">
        <f>IF(OR(S2499="",D2499&lt;&gt;"Vastgesteld"),"",_xlfn.MAXIFS($G$6:$G$5005,$S$6:$S$5005,S2499,$D$6:$D$5005,"Vastgesteld"))</f>
        <v/>
      </c>
      <c r="U2499" s="15">
        <f>IF(T2499="",0,IF(AND(G2499=T2499,COUNTIFS($S$6:S2499,S2499,$G$6:G2499,G2499,$D$6:D2499,"Vastgesteld")=1),1,0))</f>
        <v>0</v>
      </c>
      <c r="V2499" s="15">
        <f>IF(T2499="",0,IF(AND(G2499=T2499,COUNTIFS($S$6:S2499,S2499,$G$6:G2499,G2499,$D$6:D2499,"Vastgesteld")&gt;1),1,0))</f>
        <v>0</v>
      </c>
    </row>
    <row r="2500">
      <c r="S2500" s="15" t="str">
        <f>IF(J2500="","",J2500&amp;"|"&amp;E2500&amp;"|"&amp;F2500&amp;"|"&amp;I2500&amp;"|"&amp;O2500)</f>
        <v/>
      </c>
      <c r="T2500" s="15" t="str">
        <f>IF(OR(S2500="",D2500&lt;&gt;"Vastgesteld"),"",_xlfn.MAXIFS($G$6:$G$5005,$S$6:$S$5005,S2500,$D$6:$D$5005,"Vastgesteld"))</f>
        <v/>
      </c>
      <c r="U2500" s="15">
        <f>IF(T2500="",0,IF(AND(G2500=T2500,COUNTIFS($S$6:S2500,S2500,$G$6:G2500,G2500,$D$6:D2500,"Vastgesteld")=1),1,0))</f>
        <v>0</v>
      </c>
      <c r="V2500" s="15">
        <f>IF(T2500="",0,IF(AND(G2500=T2500,COUNTIFS($S$6:S2500,S2500,$G$6:G2500,G2500,$D$6:D2500,"Vastgesteld")&gt;1),1,0))</f>
        <v>0</v>
      </c>
    </row>
    <row r="2501">
      <c r="S2501" s="15" t="str">
        <f>IF(J2501="","",J2501&amp;"|"&amp;E2501&amp;"|"&amp;F2501&amp;"|"&amp;I2501&amp;"|"&amp;O2501)</f>
        <v/>
      </c>
      <c r="T2501" s="15" t="str">
        <f>IF(OR(S2501="",D2501&lt;&gt;"Vastgesteld"),"",_xlfn.MAXIFS($G$6:$G$5005,$S$6:$S$5005,S2501,$D$6:$D$5005,"Vastgesteld"))</f>
        <v/>
      </c>
      <c r="U2501" s="15">
        <f>IF(T2501="",0,IF(AND(G2501=T2501,COUNTIFS($S$6:S2501,S2501,$G$6:G2501,G2501,$D$6:D2501,"Vastgesteld")=1),1,0))</f>
        <v>0</v>
      </c>
      <c r="V2501" s="15">
        <f>IF(T2501="",0,IF(AND(G2501=T2501,COUNTIFS($S$6:S2501,S2501,$G$6:G2501,G2501,$D$6:D2501,"Vastgesteld")&gt;1),1,0))</f>
        <v>0</v>
      </c>
    </row>
    <row r="2502">
      <c r="S2502" s="15" t="str">
        <f>IF(J2502="","",J2502&amp;"|"&amp;E2502&amp;"|"&amp;F2502&amp;"|"&amp;I2502&amp;"|"&amp;O2502)</f>
        <v/>
      </c>
      <c r="T2502" s="15" t="str">
        <f>IF(OR(S2502="",D2502&lt;&gt;"Vastgesteld"),"",_xlfn.MAXIFS($G$6:$G$5005,$S$6:$S$5005,S2502,$D$6:$D$5005,"Vastgesteld"))</f>
        <v/>
      </c>
      <c r="U2502" s="15">
        <f>IF(T2502="",0,IF(AND(G2502=T2502,COUNTIFS($S$6:S2502,S2502,$G$6:G2502,G2502,$D$6:D2502,"Vastgesteld")=1),1,0))</f>
        <v>0</v>
      </c>
      <c r="V2502" s="15">
        <f>IF(T2502="",0,IF(AND(G2502=T2502,COUNTIFS($S$6:S2502,S2502,$G$6:G2502,G2502,$D$6:D2502,"Vastgesteld")&gt;1),1,0))</f>
        <v>0</v>
      </c>
    </row>
    <row r="2503">
      <c r="S2503" s="15" t="str">
        <f>IF(J2503="","",J2503&amp;"|"&amp;E2503&amp;"|"&amp;F2503&amp;"|"&amp;I2503&amp;"|"&amp;O2503)</f>
        <v/>
      </c>
      <c r="T2503" s="15" t="str">
        <f>IF(OR(S2503="",D2503&lt;&gt;"Vastgesteld"),"",_xlfn.MAXIFS($G$6:$G$5005,$S$6:$S$5005,S2503,$D$6:$D$5005,"Vastgesteld"))</f>
        <v/>
      </c>
      <c r="U2503" s="15">
        <f>IF(T2503="",0,IF(AND(G2503=T2503,COUNTIFS($S$6:S2503,S2503,$G$6:G2503,G2503,$D$6:D2503,"Vastgesteld")=1),1,0))</f>
        <v>0</v>
      </c>
      <c r="V2503" s="15">
        <f>IF(T2503="",0,IF(AND(G2503=T2503,COUNTIFS($S$6:S2503,S2503,$G$6:G2503,G2503,$D$6:D2503,"Vastgesteld")&gt;1),1,0))</f>
        <v>0</v>
      </c>
    </row>
    <row r="2504">
      <c r="S2504" s="15" t="str">
        <f>IF(J2504="","",J2504&amp;"|"&amp;E2504&amp;"|"&amp;F2504&amp;"|"&amp;I2504&amp;"|"&amp;O2504)</f>
        <v/>
      </c>
      <c r="T2504" s="15" t="str">
        <f>IF(OR(S2504="",D2504&lt;&gt;"Vastgesteld"),"",_xlfn.MAXIFS($G$6:$G$5005,$S$6:$S$5005,S2504,$D$6:$D$5005,"Vastgesteld"))</f>
        <v/>
      </c>
      <c r="U2504" s="15">
        <f>IF(T2504="",0,IF(AND(G2504=T2504,COUNTIFS($S$6:S2504,S2504,$G$6:G2504,G2504,$D$6:D2504,"Vastgesteld")=1),1,0))</f>
        <v>0</v>
      </c>
      <c r="V2504" s="15">
        <f>IF(T2504="",0,IF(AND(G2504=T2504,COUNTIFS($S$6:S2504,S2504,$G$6:G2504,G2504,$D$6:D2504,"Vastgesteld")&gt;1),1,0))</f>
        <v>0</v>
      </c>
    </row>
    <row r="2505">
      <c r="S2505" s="15" t="str">
        <f>IF(J2505="","",J2505&amp;"|"&amp;E2505&amp;"|"&amp;F2505&amp;"|"&amp;I2505&amp;"|"&amp;O2505)</f>
        <v/>
      </c>
      <c r="T2505" s="15" t="str">
        <f>IF(OR(S2505="",D2505&lt;&gt;"Vastgesteld"),"",_xlfn.MAXIFS($G$6:$G$5005,$S$6:$S$5005,S2505,$D$6:$D$5005,"Vastgesteld"))</f>
        <v/>
      </c>
      <c r="U2505" s="15">
        <f>IF(T2505="",0,IF(AND(G2505=T2505,COUNTIFS($S$6:S2505,S2505,$G$6:G2505,G2505,$D$6:D2505,"Vastgesteld")=1),1,0))</f>
        <v>0</v>
      </c>
      <c r="V2505" s="15">
        <f>IF(T2505="",0,IF(AND(G2505=T2505,COUNTIFS($S$6:S2505,S2505,$G$6:G2505,G2505,$D$6:D2505,"Vastgesteld")&gt;1),1,0))</f>
        <v>0</v>
      </c>
    </row>
    <row r="2506">
      <c r="S2506" s="15" t="str">
        <f>IF(J2506="","",J2506&amp;"|"&amp;E2506&amp;"|"&amp;F2506&amp;"|"&amp;I2506&amp;"|"&amp;O2506)</f>
        <v/>
      </c>
      <c r="T2506" s="15" t="str">
        <f>IF(OR(S2506="",D2506&lt;&gt;"Vastgesteld"),"",_xlfn.MAXIFS($G$6:$G$5005,$S$6:$S$5005,S2506,$D$6:$D$5005,"Vastgesteld"))</f>
        <v/>
      </c>
      <c r="U2506" s="15">
        <f>IF(T2506="",0,IF(AND(G2506=T2506,COUNTIFS($S$6:S2506,S2506,$G$6:G2506,G2506,$D$6:D2506,"Vastgesteld")=1),1,0))</f>
        <v>0</v>
      </c>
      <c r="V2506" s="15">
        <f>IF(T2506="",0,IF(AND(G2506=T2506,COUNTIFS($S$6:S2506,S2506,$G$6:G2506,G2506,$D$6:D2506,"Vastgesteld")&gt;1),1,0))</f>
        <v>0</v>
      </c>
    </row>
    <row r="2507">
      <c r="S2507" s="15" t="str">
        <f>IF(J2507="","",J2507&amp;"|"&amp;E2507&amp;"|"&amp;F2507&amp;"|"&amp;I2507&amp;"|"&amp;O2507)</f>
        <v/>
      </c>
      <c r="T2507" s="15" t="str">
        <f>IF(OR(S2507="",D2507&lt;&gt;"Vastgesteld"),"",_xlfn.MAXIFS($G$6:$G$5005,$S$6:$S$5005,S2507,$D$6:$D$5005,"Vastgesteld"))</f>
        <v/>
      </c>
      <c r="U2507" s="15">
        <f>IF(T2507="",0,IF(AND(G2507=T2507,COUNTIFS($S$6:S2507,S2507,$G$6:G2507,G2507,$D$6:D2507,"Vastgesteld")=1),1,0))</f>
        <v>0</v>
      </c>
      <c r="V2507" s="15">
        <f>IF(T2507="",0,IF(AND(G2507=T2507,COUNTIFS($S$6:S2507,S2507,$G$6:G2507,G2507,$D$6:D2507,"Vastgesteld")&gt;1),1,0))</f>
        <v>0</v>
      </c>
    </row>
    <row r="2508">
      <c r="S2508" s="15" t="str">
        <f>IF(J2508="","",J2508&amp;"|"&amp;E2508&amp;"|"&amp;F2508&amp;"|"&amp;I2508&amp;"|"&amp;O2508)</f>
        <v/>
      </c>
      <c r="T2508" s="15" t="str">
        <f>IF(OR(S2508="",D2508&lt;&gt;"Vastgesteld"),"",_xlfn.MAXIFS($G$6:$G$5005,$S$6:$S$5005,S2508,$D$6:$D$5005,"Vastgesteld"))</f>
        <v/>
      </c>
      <c r="U2508" s="15">
        <f>IF(T2508="",0,IF(AND(G2508=T2508,COUNTIFS($S$6:S2508,S2508,$G$6:G2508,G2508,$D$6:D2508,"Vastgesteld")=1),1,0))</f>
        <v>0</v>
      </c>
      <c r="V2508" s="15">
        <f>IF(T2508="",0,IF(AND(G2508=T2508,COUNTIFS($S$6:S2508,S2508,$G$6:G2508,G2508,$D$6:D2508,"Vastgesteld")&gt;1),1,0))</f>
        <v>0</v>
      </c>
    </row>
    <row r="2509">
      <c r="S2509" s="15" t="str">
        <f>IF(J2509="","",J2509&amp;"|"&amp;E2509&amp;"|"&amp;F2509&amp;"|"&amp;I2509&amp;"|"&amp;O2509)</f>
        <v/>
      </c>
      <c r="T2509" s="15" t="str">
        <f>IF(OR(S2509="",D2509&lt;&gt;"Vastgesteld"),"",_xlfn.MAXIFS($G$6:$G$5005,$S$6:$S$5005,S2509,$D$6:$D$5005,"Vastgesteld"))</f>
        <v/>
      </c>
      <c r="U2509" s="15">
        <f>IF(T2509="",0,IF(AND(G2509=T2509,COUNTIFS($S$6:S2509,S2509,$G$6:G2509,G2509,$D$6:D2509,"Vastgesteld")=1),1,0))</f>
        <v>0</v>
      </c>
      <c r="V2509" s="15">
        <f>IF(T2509="",0,IF(AND(G2509=T2509,COUNTIFS($S$6:S2509,S2509,$G$6:G2509,G2509,$D$6:D2509,"Vastgesteld")&gt;1),1,0))</f>
        <v>0</v>
      </c>
    </row>
    <row r="2510">
      <c r="S2510" s="15" t="str">
        <f>IF(J2510="","",J2510&amp;"|"&amp;E2510&amp;"|"&amp;F2510&amp;"|"&amp;I2510&amp;"|"&amp;O2510)</f>
        <v/>
      </c>
      <c r="T2510" s="15" t="str">
        <f>IF(OR(S2510="",D2510&lt;&gt;"Vastgesteld"),"",_xlfn.MAXIFS($G$6:$G$5005,$S$6:$S$5005,S2510,$D$6:$D$5005,"Vastgesteld"))</f>
        <v/>
      </c>
      <c r="U2510" s="15">
        <f>IF(T2510="",0,IF(AND(G2510=T2510,COUNTIFS($S$6:S2510,S2510,$G$6:G2510,G2510,$D$6:D2510,"Vastgesteld")=1),1,0))</f>
        <v>0</v>
      </c>
      <c r="V2510" s="15">
        <f>IF(T2510="",0,IF(AND(G2510=T2510,COUNTIFS($S$6:S2510,S2510,$G$6:G2510,G2510,$D$6:D2510,"Vastgesteld")&gt;1),1,0))</f>
        <v>0</v>
      </c>
    </row>
    <row r="2511">
      <c r="S2511" s="15" t="str">
        <f>IF(J2511="","",J2511&amp;"|"&amp;E2511&amp;"|"&amp;F2511&amp;"|"&amp;I2511&amp;"|"&amp;O2511)</f>
        <v/>
      </c>
      <c r="T2511" s="15" t="str">
        <f>IF(OR(S2511="",D2511&lt;&gt;"Vastgesteld"),"",_xlfn.MAXIFS($G$6:$G$5005,$S$6:$S$5005,S2511,$D$6:$D$5005,"Vastgesteld"))</f>
        <v/>
      </c>
      <c r="U2511" s="15">
        <f>IF(T2511="",0,IF(AND(G2511=T2511,COUNTIFS($S$6:S2511,S2511,$G$6:G2511,G2511,$D$6:D2511,"Vastgesteld")=1),1,0))</f>
        <v>0</v>
      </c>
      <c r="V2511" s="15">
        <f>IF(T2511="",0,IF(AND(G2511=T2511,COUNTIFS($S$6:S2511,S2511,$G$6:G2511,G2511,$D$6:D2511,"Vastgesteld")&gt;1),1,0))</f>
        <v>0</v>
      </c>
    </row>
    <row r="2512">
      <c r="S2512" s="15" t="str">
        <f>IF(J2512="","",J2512&amp;"|"&amp;E2512&amp;"|"&amp;F2512&amp;"|"&amp;I2512&amp;"|"&amp;O2512)</f>
        <v/>
      </c>
      <c r="T2512" s="15" t="str">
        <f>IF(OR(S2512="",D2512&lt;&gt;"Vastgesteld"),"",_xlfn.MAXIFS($G$6:$G$5005,$S$6:$S$5005,S2512,$D$6:$D$5005,"Vastgesteld"))</f>
        <v/>
      </c>
      <c r="U2512" s="15">
        <f>IF(T2512="",0,IF(AND(G2512=T2512,COUNTIFS($S$6:S2512,S2512,$G$6:G2512,G2512,$D$6:D2512,"Vastgesteld")=1),1,0))</f>
        <v>0</v>
      </c>
      <c r="V2512" s="15">
        <f>IF(T2512="",0,IF(AND(G2512=T2512,COUNTIFS($S$6:S2512,S2512,$G$6:G2512,G2512,$D$6:D2512,"Vastgesteld")&gt;1),1,0))</f>
        <v>0</v>
      </c>
    </row>
    <row r="2513">
      <c r="S2513" s="15" t="str">
        <f>IF(J2513="","",J2513&amp;"|"&amp;E2513&amp;"|"&amp;F2513&amp;"|"&amp;I2513&amp;"|"&amp;O2513)</f>
        <v/>
      </c>
      <c r="T2513" s="15" t="str">
        <f>IF(OR(S2513="",D2513&lt;&gt;"Vastgesteld"),"",_xlfn.MAXIFS($G$6:$G$5005,$S$6:$S$5005,S2513,$D$6:$D$5005,"Vastgesteld"))</f>
        <v/>
      </c>
      <c r="U2513" s="15">
        <f>IF(T2513="",0,IF(AND(G2513=T2513,COUNTIFS($S$6:S2513,S2513,$G$6:G2513,G2513,$D$6:D2513,"Vastgesteld")=1),1,0))</f>
        <v>0</v>
      </c>
      <c r="V2513" s="15">
        <f>IF(T2513="",0,IF(AND(G2513=T2513,COUNTIFS($S$6:S2513,S2513,$G$6:G2513,G2513,$D$6:D2513,"Vastgesteld")&gt;1),1,0))</f>
        <v>0</v>
      </c>
    </row>
    <row r="2514">
      <c r="S2514" s="15" t="str">
        <f>IF(J2514="","",J2514&amp;"|"&amp;E2514&amp;"|"&amp;F2514&amp;"|"&amp;I2514&amp;"|"&amp;O2514)</f>
        <v/>
      </c>
      <c r="T2514" s="15" t="str">
        <f>IF(OR(S2514="",D2514&lt;&gt;"Vastgesteld"),"",_xlfn.MAXIFS($G$6:$G$5005,$S$6:$S$5005,S2514,$D$6:$D$5005,"Vastgesteld"))</f>
        <v/>
      </c>
      <c r="U2514" s="15">
        <f>IF(T2514="",0,IF(AND(G2514=T2514,COUNTIFS($S$6:S2514,S2514,$G$6:G2514,G2514,$D$6:D2514,"Vastgesteld")=1),1,0))</f>
        <v>0</v>
      </c>
      <c r="V2514" s="15">
        <f>IF(T2514="",0,IF(AND(G2514=T2514,COUNTIFS($S$6:S2514,S2514,$G$6:G2514,G2514,$D$6:D2514,"Vastgesteld")&gt;1),1,0))</f>
        <v>0</v>
      </c>
    </row>
    <row r="2515">
      <c r="S2515" s="15" t="str">
        <f>IF(J2515="","",J2515&amp;"|"&amp;E2515&amp;"|"&amp;F2515&amp;"|"&amp;I2515&amp;"|"&amp;O2515)</f>
        <v/>
      </c>
      <c r="T2515" s="15" t="str">
        <f>IF(OR(S2515="",D2515&lt;&gt;"Vastgesteld"),"",_xlfn.MAXIFS($G$6:$G$5005,$S$6:$S$5005,S2515,$D$6:$D$5005,"Vastgesteld"))</f>
        <v/>
      </c>
      <c r="U2515" s="15">
        <f>IF(T2515="",0,IF(AND(G2515=T2515,COUNTIFS($S$6:S2515,S2515,$G$6:G2515,G2515,$D$6:D2515,"Vastgesteld")=1),1,0))</f>
        <v>0</v>
      </c>
      <c r="V2515" s="15">
        <f>IF(T2515="",0,IF(AND(G2515=T2515,COUNTIFS($S$6:S2515,S2515,$G$6:G2515,G2515,$D$6:D2515,"Vastgesteld")&gt;1),1,0))</f>
        <v>0</v>
      </c>
    </row>
    <row r="2516">
      <c r="S2516" s="15" t="str">
        <f>IF(J2516="","",J2516&amp;"|"&amp;E2516&amp;"|"&amp;F2516&amp;"|"&amp;I2516&amp;"|"&amp;O2516)</f>
        <v/>
      </c>
      <c r="T2516" s="15" t="str">
        <f>IF(OR(S2516="",D2516&lt;&gt;"Vastgesteld"),"",_xlfn.MAXIFS($G$6:$G$5005,$S$6:$S$5005,S2516,$D$6:$D$5005,"Vastgesteld"))</f>
        <v/>
      </c>
      <c r="U2516" s="15">
        <f>IF(T2516="",0,IF(AND(G2516=T2516,COUNTIFS($S$6:S2516,S2516,$G$6:G2516,G2516,$D$6:D2516,"Vastgesteld")=1),1,0))</f>
        <v>0</v>
      </c>
      <c r="V2516" s="15">
        <f>IF(T2516="",0,IF(AND(G2516=T2516,COUNTIFS($S$6:S2516,S2516,$G$6:G2516,G2516,$D$6:D2516,"Vastgesteld")&gt;1),1,0))</f>
        <v>0</v>
      </c>
    </row>
    <row r="2517">
      <c r="S2517" s="15" t="str">
        <f>IF(J2517="","",J2517&amp;"|"&amp;E2517&amp;"|"&amp;F2517&amp;"|"&amp;I2517&amp;"|"&amp;O2517)</f>
        <v/>
      </c>
      <c r="T2517" s="15" t="str">
        <f>IF(OR(S2517="",D2517&lt;&gt;"Vastgesteld"),"",_xlfn.MAXIFS($G$6:$G$5005,$S$6:$S$5005,S2517,$D$6:$D$5005,"Vastgesteld"))</f>
        <v/>
      </c>
      <c r="U2517" s="15">
        <f>IF(T2517="",0,IF(AND(G2517=T2517,COUNTIFS($S$6:S2517,S2517,$G$6:G2517,G2517,$D$6:D2517,"Vastgesteld")=1),1,0))</f>
        <v>0</v>
      </c>
      <c r="V2517" s="15">
        <f>IF(T2517="",0,IF(AND(G2517=T2517,COUNTIFS($S$6:S2517,S2517,$G$6:G2517,G2517,$D$6:D2517,"Vastgesteld")&gt;1),1,0))</f>
        <v>0</v>
      </c>
    </row>
    <row r="2518">
      <c r="S2518" s="15" t="str">
        <f>IF(J2518="","",J2518&amp;"|"&amp;E2518&amp;"|"&amp;F2518&amp;"|"&amp;I2518&amp;"|"&amp;O2518)</f>
        <v/>
      </c>
      <c r="T2518" s="15" t="str">
        <f>IF(OR(S2518="",D2518&lt;&gt;"Vastgesteld"),"",_xlfn.MAXIFS($G$6:$G$5005,$S$6:$S$5005,S2518,$D$6:$D$5005,"Vastgesteld"))</f>
        <v/>
      </c>
      <c r="U2518" s="15">
        <f>IF(T2518="",0,IF(AND(G2518=T2518,COUNTIFS($S$6:S2518,S2518,$G$6:G2518,G2518,$D$6:D2518,"Vastgesteld")=1),1,0))</f>
        <v>0</v>
      </c>
      <c r="V2518" s="15">
        <f>IF(T2518="",0,IF(AND(G2518=T2518,COUNTIFS($S$6:S2518,S2518,$G$6:G2518,G2518,$D$6:D2518,"Vastgesteld")&gt;1),1,0))</f>
        <v>0</v>
      </c>
    </row>
    <row r="2519">
      <c r="S2519" s="15" t="str">
        <f>IF(J2519="","",J2519&amp;"|"&amp;E2519&amp;"|"&amp;F2519&amp;"|"&amp;I2519&amp;"|"&amp;O2519)</f>
        <v/>
      </c>
      <c r="T2519" s="15" t="str">
        <f>IF(OR(S2519="",D2519&lt;&gt;"Vastgesteld"),"",_xlfn.MAXIFS($G$6:$G$5005,$S$6:$S$5005,S2519,$D$6:$D$5005,"Vastgesteld"))</f>
        <v/>
      </c>
      <c r="U2519" s="15">
        <f>IF(T2519="",0,IF(AND(G2519=T2519,COUNTIFS($S$6:S2519,S2519,$G$6:G2519,G2519,$D$6:D2519,"Vastgesteld")=1),1,0))</f>
        <v>0</v>
      </c>
      <c r="V2519" s="15">
        <f>IF(T2519="",0,IF(AND(G2519=T2519,COUNTIFS($S$6:S2519,S2519,$G$6:G2519,G2519,$D$6:D2519,"Vastgesteld")&gt;1),1,0))</f>
        <v>0</v>
      </c>
    </row>
    <row r="2520">
      <c r="S2520" s="15" t="str">
        <f>IF(J2520="","",J2520&amp;"|"&amp;E2520&amp;"|"&amp;F2520&amp;"|"&amp;I2520&amp;"|"&amp;O2520)</f>
        <v/>
      </c>
      <c r="T2520" s="15" t="str">
        <f>IF(OR(S2520="",D2520&lt;&gt;"Vastgesteld"),"",_xlfn.MAXIFS($G$6:$G$5005,$S$6:$S$5005,S2520,$D$6:$D$5005,"Vastgesteld"))</f>
        <v/>
      </c>
      <c r="U2520" s="15">
        <f>IF(T2520="",0,IF(AND(G2520=T2520,COUNTIFS($S$6:S2520,S2520,$G$6:G2520,G2520,$D$6:D2520,"Vastgesteld")=1),1,0))</f>
        <v>0</v>
      </c>
      <c r="V2520" s="15">
        <f>IF(T2520="",0,IF(AND(G2520=T2520,COUNTIFS($S$6:S2520,S2520,$G$6:G2520,G2520,$D$6:D2520,"Vastgesteld")&gt;1),1,0))</f>
        <v>0</v>
      </c>
    </row>
    <row r="2521">
      <c r="S2521" s="15" t="str">
        <f>IF(J2521="","",J2521&amp;"|"&amp;E2521&amp;"|"&amp;F2521&amp;"|"&amp;I2521&amp;"|"&amp;O2521)</f>
        <v/>
      </c>
      <c r="T2521" s="15" t="str">
        <f>IF(OR(S2521="",D2521&lt;&gt;"Vastgesteld"),"",_xlfn.MAXIFS($G$6:$G$5005,$S$6:$S$5005,S2521,$D$6:$D$5005,"Vastgesteld"))</f>
        <v/>
      </c>
      <c r="U2521" s="15">
        <f>IF(T2521="",0,IF(AND(G2521=T2521,COUNTIFS($S$6:S2521,S2521,$G$6:G2521,G2521,$D$6:D2521,"Vastgesteld")=1),1,0))</f>
        <v>0</v>
      </c>
      <c r="V2521" s="15">
        <f>IF(T2521="",0,IF(AND(G2521=T2521,COUNTIFS($S$6:S2521,S2521,$G$6:G2521,G2521,$D$6:D2521,"Vastgesteld")&gt;1),1,0))</f>
        <v>0</v>
      </c>
    </row>
    <row r="2522">
      <c r="S2522" s="15" t="str">
        <f>IF(J2522="","",J2522&amp;"|"&amp;E2522&amp;"|"&amp;F2522&amp;"|"&amp;I2522&amp;"|"&amp;O2522)</f>
        <v/>
      </c>
      <c r="T2522" s="15" t="str">
        <f>IF(OR(S2522="",D2522&lt;&gt;"Vastgesteld"),"",_xlfn.MAXIFS($G$6:$G$5005,$S$6:$S$5005,S2522,$D$6:$D$5005,"Vastgesteld"))</f>
        <v/>
      </c>
      <c r="U2522" s="15">
        <f>IF(T2522="",0,IF(AND(G2522=T2522,COUNTIFS($S$6:S2522,S2522,$G$6:G2522,G2522,$D$6:D2522,"Vastgesteld")=1),1,0))</f>
        <v>0</v>
      </c>
      <c r="V2522" s="15">
        <f>IF(T2522="",0,IF(AND(G2522=T2522,COUNTIFS($S$6:S2522,S2522,$G$6:G2522,G2522,$D$6:D2522,"Vastgesteld")&gt;1),1,0))</f>
        <v>0</v>
      </c>
    </row>
    <row r="2523">
      <c r="S2523" s="15" t="str">
        <f>IF(J2523="","",J2523&amp;"|"&amp;E2523&amp;"|"&amp;F2523&amp;"|"&amp;I2523&amp;"|"&amp;O2523)</f>
        <v/>
      </c>
      <c r="T2523" s="15" t="str">
        <f>IF(OR(S2523="",D2523&lt;&gt;"Vastgesteld"),"",_xlfn.MAXIFS($G$6:$G$5005,$S$6:$S$5005,S2523,$D$6:$D$5005,"Vastgesteld"))</f>
        <v/>
      </c>
      <c r="U2523" s="15">
        <f>IF(T2523="",0,IF(AND(G2523=T2523,COUNTIFS($S$6:S2523,S2523,$G$6:G2523,G2523,$D$6:D2523,"Vastgesteld")=1),1,0))</f>
        <v>0</v>
      </c>
      <c r="V2523" s="15">
        <f>IF(T2523="",0,IF(AND(G2523=T2523,COUNTIFS($S$6:S2523,S2523,$G$6:G2523,G2523,$D$6:D2523,"Vastgesteld")&gt;1),1,0))</f>
        <v>0</v>
      </c>
    </row>
    <row r="2524">
      <c r="S2524" s="15" t="str">
        <f>IF(J2524="","",J2524&amp;"|"&amp;E2524&amp;"|"&amp;F2524&amp;"|"&amp;I2524&amp;"|"&amp;O2524)</f>
        <v/>
      </c>
      <c r="T2524" s="15" t="str">
        <f>IF(OR(S2524="",D2524&lt;&gt;"Vastgesteld"),"",_xlfn.MAXIFS($G$6:$G$5005,$S$6:$S$5005,S2524,$D$6:$D$5005,"Vastgesteld"))</f>
        <v/>
      </c>
      <c r="U2524" s="15">
        <f>IF(T2524="",0,IF(AND(G2524=T2524,COUNTIFS($S$6:S2524,S2524,$G$6:G2524,G2524,$D$6:D2524,"Vastgesteld")=1),1,0))</f>
        <v>0</v>
      </c>
      <c r="V2524" s="15">
        <f>IF(T2524="",0,IF(AND(G2524=T2524,COUNTIFS($S$6:S2524,S2524,$G$6:G2524,G2524,$D$6:D2524,"Vastgesteld")&gt;1),1,0))</f>
        <v>0</v>
      </c>
    </row>
    <row r="2525">
      <c r="S2525" s="15" t="str">
        <f>IF(J2525="","",J2525&amp;"|"&amp;E2525&amp;"|"&amp;F2525&amp;"|"&amp;I2525&amp;"|"&amp;O2525)</f>
        <v/>
      </c>
      <c r="T2525" s="15" t="str">
        <f>IF(OR(S2525="",D2525&lt;&gt;"Vastgesteld"),"",_xlfn.MAXIFS($G$6:$G$5005,$S$6:$S$5005,S2525,$D$6:$D$5005,"Vastgesteld"))</f>
        <v/>
      </c>
      <c r="U2525" s="15">
        <f>IF(T2525="",0,IF(AND(G2525=T2525,COUNTIFS($S$6:S2525,S2525,$G$6:G2525,G2525,$D$6:D2525,"Vastgesteld")=1),1,0))</f>
        <v>0</v>
      </c>
      <c r="V2525" s="15">
        <f>IF(T2525="",0,IF(AND(G2525=T2525,COUNTIFS($S$6:S2525,S2525,$G$6:G2525,G2525,$D$6:D2525,"Vastgesteld")&gt;1),1,0))</f>
        <v>0</v>
      </c>
    </row>
    <row r="2526">
      <c r="S2526" s="15" t="str">
        <f>IF(J2526="","",J2526&amp;"|"&amp;E2526&amp;"|"&amp;F2526&amp;"|"&amp;I2526&amp;"|"&amp;O2526)</f>
        <v/>
      </c>
      <c r="T2526" s="15" t="str">
        <f>IF(OR(S2526="",D2526&lt;&gt;"Vastgesteld"),"",_xlfn.MAXIFS($G$6:$G$5005,$S$6:$S$5005,S2526,$D$6:$D$5005,"Vastgesteld"))</f>
        <v/>
      </c>
      <c r="U2526" s="15">
        <f>IF(T2526="",0,IF(AND(G2526=T2526,COUNTIFS($S$6:S2526,S2526,$G$6:G2526,G2526,$D$6:D2526,"Vastgesteld")=1),1,0))</f>
        <v>0</v>
      </c>
      <c r="V2526" s="15">
        <f>IF(T2526="",0,IF(AND(G2526=T2526,COUNTIFS($S$6:S2526,S2526,$G$6:G2526,G2526,$D$6:D2526,"Vastgesteld")&gt;1),1,0))</f>
        <v>0</v>
      </c>
    </row>
    <row r="2527">
      <c r="S2527" s="15" t="str">
        <f>IF(J2527="","",J2527&amp;"|"&amp;E2527&amp;"|"&amp;F2527&amp;"|"&amp;I2527&amp;"|"&amp;O2527)</f>
        <v/>
      </c>
      <c r="T2527" s="15" t="str">
        <f>IF(OR(S2527="",D2527&lt;&gt;"Vastgesteld"),"",_xlfn.MAXIFS($G$6:$G$5005,$S$6:$S$5005,S2527,$D$6:$D$5005,"Vastgesteld"))</f>
        <v/>
      </c>
      <c r="U2527" s="15">
        <f>IF(T2527="",0,IF(AND(G2527=T2527,COUNTIFS($S$6:S2527,S2527,$G$6:G2527,G2527,$D$6:D2527,"Vastgesteld")=1),1,0))</f>
        <v>0</v>
      </c>
      <c r="V2527" s="15">
        <f>IF(T2527="",0,IF(AND(G2527=T2527,COUNTIFS($S$6:S2527,S2527,$G$6:G2527,G2527,$D$6:D2527,"Vastgesteld")&gt;1),1,0))</f>
        <v>0</v>
      </c>
    </row>
    <row r="2528">
      <c r="S2528" s="15" t="str">
        <f>IF(J2528="","",J2528&amp;"|"&amp;E2528&amp;"|"&amp;F2528&amp;"|"&amp;I2528&amp;"|"&amp;O2528)</f>
        <v/>
      </c>
      <c r="T2528" s="15" t="str">
        <f>IF(OR(S2528="",D2528&lt;&gt;"Vastgesteld"),"",_xlfn.MAXIFS($G$6:$G$5005,$S$6:$S$5005,S2528,$D$6:$D$5005,"Vastgesteld"))</f>
        <v/>
      </c>
      <c r="U2528" s="15">
        <f>IF(T2528="",0,IF(AND(G2528=T2528,COUNTIFS($S$6:S2528,S2528,$G$6:G2528,G2528,$D$6:D2528,"Vastgesteld")=1),1,0))</f>
        <v>0</v>
      </c>
      <c r="V2528" s="15">
        <f>IF(T2528="",0,IF(AND(G2528=T2528,COUNTIFS($S$6:S2528,S2528,$G$6:G2528,G2528,$D$6:D2528,"Vastgesteld")&gt;1),1,0))</f>
        <v>0</v>
      </c>
    </row>
    <row r="2529">
      <c r="S2529" s="15" t="str">
        <f>IF(J2529="","",J2529&amp;"|"&amp;E2529&amp;"|"&amp;F2529&amp;"|"&amp;I2529&amp;"|"&amp;O2529)</f>
        <v/>
      </c>
      <c r="T2529" s="15" t="str">
        <f>IF(OR(S2529="",D2529&lt;&gt;"Vastgesteld"),"",_xlfn.MAXIFS($G$6:$G$5005,$S$6:$S$5005,S2529,$D$6:$D$5005,"Vastgesteld"))</f>
        <v/>
      </c>
      <c r="U2529" s="15">
        <f>IF(T2529="",0,IF(AND(G2529=T2529,COUNTIFS($S$6:S2529,S2529,$G$6:G2529,G2529,$D$6:D2529,"Vastgesteld")=1),1,0))</f>
        <v>0</v>
      </c>
      <c r="V2529" s="15">
        <f>IF(T2529="",0,IF(AND(G2529=T2529,COUNTIFS($S$6:S2529,S2529,$G$6:G2529,G2529,$D$6:D2529,"Vastgesteld")&gt;1),1,0))</f>
        <v>0</v>
      </c>
    </row>
    <row r="2530">
      <c r="S2530" s="15" t="str">
        <f>IF(J2530="","",J2530&amp;"|"&amp;E2530&amp;"|"&amp;F2530&amp;"|"&amp;I2530&amp;"|"&amp;O2530)</f>
        <v/>
      </c>
      <c r="T2530" s="15" t="str">
        <f>IF(OR(S2530="",D2530&lt;&gt;"Vastgesteld"),"",_xlfn.MAXIFS($G$6:$G$5005,$S$6:$S$5005,S2530,$D$6:$D$5005,"Vastgesteld"))</f>
        <v/>
      </c>
      <c r="U2530" s="15">
        <f>IF(T2530="",0,IF(AND(G2530=T2530,COUNTIFS($S$6:S2530,S2530,$G$6:G2530,G2530,$D$6:D2530,"Vastgesteld")=1),1,0))</f>
        <v>0</v>
      </c>
      <c r="V2530" s="15">
        <f>IF(T2530="",0,IF(AND(G2530=T2530,COUNTIFS($S$6:S2530,S2530,$G$6:G2530,G2530,$D$6:D2530,"Vastgesteld")&gt;1),1,0))</f>
        <v>0</v>
      </c>
    </row>
    <row r="2531">
      <c r="S2531" s="15" t="str">
        <f>IF(J2531="","",J2531&amp;"|"&amp;E2531&amp;"|"&amp;F2531&amp;"|"&amp;I2531&amp;"|"&amp;O2531)</f>
        <v/>
      </c>
      <c r="T2531" s="15" t="str">
        <f>IF(OR(S2531="",D2531&lt;&gt;"Vastgesteld"),"",_xlfn.MAXIFS($G$6:$G$5005,$S$6:$S$5005,S2531,$D$6:$D$5005,"Vastgesteld"))</f>
        <v/>
      </c>
      <c r="U2531" s="15">
        <f>IF(T2531="",0,IF(AND(G2531=T2531,COUNTIFS($S$6:S2531,S2531,$G$6:G2531,G2531,$D$6:D2531,"Vastgesteld")=1),1,0))</f>
        <v>0</v>
      </c>
      <c r="V2531" s="15">
        <f>IF(T2531="",0,IF(AND(G2531=T2531,COUNTIFS($S$6:S2531,S2531,$G$6:G2531,G2531,$D$6:D2531,"Vastgesteld")&gt;1),1,0))</f>
        <v>0</v>
      </c>
    </row>
    <row r="2532">
      <c r="S2532" s="15" t="str">
        <f>IF(J2532="","",J2532&amp;"|"&amp;E2532&amp;"|"&amp;F2532&amp;"|"&amp;I2532&amp;"|"&amp;O2532)</f>
        <v/>
      </c>
      <c r="T2532" s="15" t="str">
        <f>IF(OR(S2532="",D2532&lt;&gt;"Vastgesteld"),"",_xlfn.MAXIFS($G$6:$G$5005,$S$6:$S$5005,S2532,$D$6:$D$5005,"Vastgesteld"))</f>
        <v/>
      </c>
      <c r="U2532" s="15">
        <f>IF(T2532="",0,IF(AND(G2532=T2532,COUNTIFS($S$6:S2532,S2532,$G$6:G2532,G2532,$D$6:D2532,"Vastgesteld")=1),1,0))</f>
        <v>0</v>
      </c>
      <c r="V2532" s="15">
        <f>IF(T2532="",0,IF(AND(G2532=T2532,COUNTIFS($S$6:S2532,S2532,$G$6:G2532,G2532,$D$6:D2532,"Vastgesteld")&gt;1),1,0))</f>
        <v>0</v>
      </c>
    </row>
    <row r="2533">
      <c r="S2533" s="15" t="str">
        <f>IF(J2533="","",J2533&amp;"|"&amp;E2533&amp;"|"&amp;F2533&amp;"|"&amp;I2533&amp;"|"&amp;O2533)</f>
        <v/>
      </c>
      <c r="T2533" s="15" t="str">
        <f>IF(OR(S2533="",D2533&lt;&gt;"Vastgesteld"),"",_xlfn.MAXIFS($G$6:$G$5005,$S$6:$S$5005,S2533,$D$6:$D$5005,"Vastgesteld"))</f>
        <v/>
      </c>
      <c r="U2533" s="15">
        <f>IF(T2533="",0,IF(AND(G2533=T2533,COUNTIFS($S$6:S2533,S2533,$G$6:G2533,G2533,$D$6:D2533,"Vastgesteld")=1),1,0))</f>
        <v>0</v>
      </c>
      <c r="V2533" s="15">
        <f>IF(T2533="",0,IF(AND(G2533=T2533,COUNTIFS($S$6:S2533,S2533,$G$6:G2533,G2533,$D$6:D2533,"Vastgesteld")&gt;1),1,0))</f>
        <v>0</v>
      </c>
    </row>
    <row r="2534">
      <c r="S2534" s="15" t="str">
        <f>IF(J2534="","",J2534&amp;"|"&amp;E2534&amp;"|"&amp;F2534&amp;"|"&amp;I2534&amp;"|"&amp;O2534)</f>
        <v/>
      </c>
      <c r="T2534" s="15" t="str">
        <f>IF(OR(S2534="",D2534&lt;&gt;"Vastgesteld"),"",_xlfn.MAXIFS($G$6:$G$5005,$S$6:$S$5005,S2534,$D$6:$D$5005,"Vastgesteld"))</f>
        <v/>
      </c>
      <c r="U2534" s="15">
        <f>IF(T2534="",0,IF(AND(G2534=T2534,COUNTIFS($S$6:S2534,S2534,$G$6:G2534,G2534,$D$6:D2534,"Vastgesteld")=1),1,0))</f>
        <v>0</v>
      </c>
      <c r="V2534" s="15">
        <f>IF(T2534="",0,IF(AND(G2534=T2534,COUNTIFS($S$6:S2534,S2534,$G$6:G2534,G2534,$D$6:D2534,"Vastgesteld")&gt;1),1,0))</f>
        <v>0</v>
      </c>
    </row>
    <row r="2535">
      <c r="S2535" s="15" t="str">
        <f>IF(J2535="","",J2535&amp;"|"&amp;E2535&amp;"|"&amp;F2535&amp;"|"&amp;I2535&amp;"|"&amp;O2535)</f>
        <v/>
      </c>
      <c r="T2535" s="15" t="str">
        <f>IF(OR(S2535="",D2535&lt;&gt;"Vastgesteld"),"",_xlfn.MAXIFS($G$6:$G$5005,$S$6:$S$5005,S2535,$D$6:$D$5005,"Vastgesteld"))</f>
        <v/>
      </c>
      <c r="U2535" s="15">
        <f>IF(T2535="",0,IF(AND(G2535=T2535,COUNTIFS($S$6:S2535,S2535,$G$6:G2535,G2535,$D$6:D2535,"Vastgesteld")=1),1,0))</f>
        <v>0</v>
      </c>
      <c r="V2535" s="15">
        <f>IF(T2535="",0,IF(AND(G2535=T2535,COUNTIFS($S$6:S2535,S2535,$G$6:G2535,G2535,$D$6:D2535,"Vastgesteld")&gt;1),1,0))</f>
        <v>0</v>
      </c>
    </row>
    <row r="2536">
      <c r="S2536" s="15" t="str">
        <f>IF(J2536="","",J2536&amp;"|"&amp;E2536&amp;"|"&amp;F2536&amp;"|"&amp;I2536&amp;"|"&amp;O2536)</f>
        <v/>
      </c>
      <c r="T2536" s="15" t="str">
        <f>IF(OR(S2536="",D2536&lt;&gt;"Vastgesteld"),"",_xlfn.MAXIFS($G$6:$G$5005,$S$6:$S$5005,S2536,$D$6:$D$5005,"Vastgesteld"))</f>
        <v/>
      </c>
      <c r="U2536" s="15">
        <f>IF(T2536="",0,IF(AND(G2536=T2536,COUNTIFS($S$6:S2536,S2536,$G$6:G2536,G2536,$D$6:D2536,"Vastgesteld")=1),1,0))</f>
        <v>0</v>
      </c>
      <c r="V2536" s="15">
        <f>IF(T2536="",0,IF(AND(G2536=T2536,COUNTIFS($S$6:S2536,S2536,$G$6:G2536,G2536,$D$6:D2536,"Vastgesteld")&gt;1),1,0))</f>
        <v>0</v>
      </c>
    </row>
    <row r="2537">
      <c r="S2537" s="15" t="str">
        <f>IF(J2537="","",J2537&amp;"|"&amp;E2537&amp;"|"&amp;F2537&amp;"|"&amp;I2537&amp;"|"&amp;O2537)</f>
        <v/>
      </c>
      <c r="T2537" s="15" t="str">
        <f>IF(OR(S2537="",D2537&lt;&gt;"Vastgesteld"),"",_xlfn.MAXIFS($G$6:$G$5005,$S$6:$S$5005,S2537,$D$6:$D$5005,"Vastgesteld"))</f>
        <v/>
      </c>
      <c r="U2537" s="15">
        <f>IF(T2537="",0,IF(AND(G2537=T2537,COUNTIFS($S$6:S2537,S2537,$G$6:G2537,G2537,$D$6:D2537,"Vastgesteld")=1),1,0))</f>
        <v>0</v>
      </c>
      <c r="V2537" s="15">
        <f>IF(T2537="",0,IF(AND(G2537=T2537,COUNTIFS($S$6:S2537,S2537,$G$6:G2537,G2537,$D$6:D2537,"Vastgesteld")&gt;1),1,0))</f>
        <v>0</v>
      </c>
    </row>
    <row r="2538">
      <c r="S2538" s="15" t="str">
        <f>IF(J2538="","",J2538&amp;"|"&amp;E2538&amp;"|"&amp;F2538&amp;"|"&amp;I2538&amp;"|"&amp;O2538)</f>
        <v/>
      </c>
      <c r="T2538" s="15" t="str">
        <f>IF(OR(S2538="",D2538&lt;&gt;"Vastgesteld"),"",_xlfn.MAXIFS($G$6:$G$5005,$S$6:$S$5005,S2538,$D$6:$D$5005,"Vastgesteld"))</f>
        <v/>
      </c>
      <c r="U2538" s="15">
        <f>IF(T2538="",0,IF(AND(G2538=T2538,COUNTIFS($S$6:S2538,S2538,$G$6:G2538,G2538,$D$6:D2538,"Vastgesteld")=1),1,0))</f>
        <v>0</v>
      </c>
      <c r="V2538" s="15">
        <f>IF(T2538="",0,IF(AND(G2538=T2538,COUNTIFS($S$6:S2538,S2538,$G$6:G2538,G2538,$D$6:D2538,"Vastgesteld")&gt;1),1,0))</f>
        <v>0</v>
      </c>
    </row>
    <row r="2539">
      <c r="S2539" s="15" t="str">
        <f>IF(J2539="","",J2539&amp;"|"&amp;E2539&amp;"|"&amp;F2539&amp;"|"&amp;I2539&amp;"|"&amp;O2539)</f>
        <v/>
      </c>
      <c r="T2539" s="15" t="str">
        <f>IF(OR(S2539="",D2539&lt;&gt;"Vastgesteld"),"",_xlfn.MAXIFS($G$6:$G$5005,$S$6:$S$5005,S2539,$D$6:$D$5005,"Vastgesteld"))</f>
        <v/>
      </c>
      <c r="U2539" s="15">
        <f>IF(T2539="",0,IF(AND(G2539=T2539,COUNTIFS($S$6:S2539,S2539,$G$6:G2539,G2539,$D$6:D2539,"Vastgesteld")=1),1,0))</f>
        <v>0</v>
      </c>
      <c r="V2539" s="15">
        <f>IF(T2539="",0,IF(AND(G2539=T2539,COUNTIFS($S$6:S2539,S2539,$G$6:G2539,G2539,$D$6:D2539,"Vastgesteld")&gt;1),1,0))</f>
        <v>0</v>
      </c>
    </row>
    <row r="2540">
      <c r="S2540" s="15" t="str">
        <f>IF(J2540="","",J2540&amp;"|"&amp;E2540&amp;"|"&amp;F2540&amp;"|"&amp;I2540&amp;"|"&amp;O2540)</f>
        <v/>
      </c>
      <c r="T2540" s="15" t="str">
        <f>IF(OR(S2540="",D2540&lt;&gt;"Vastgesteld"),"",_xlfn.MAXIFS($G$6:$G$5005,$S$6:$S$5005,S2540,$D$6:$D$5005,"Vastgesteld"))</f>
        <v/>
      </c>
      <c r="U2540" s="15">
        <f>IF(T2540="",0,IF(AND(G2540=T2540,COUNTIFS($S$6:S2540,S2540,$G$6:G2540,G2540,$D$6:D2540,"Vastgesteld")=1),1,0))</f>
        <v>0</v>
      </c>
      <c r="V2540" s="15">
        <f>IF(T2540="",0,IF(AND(G2540=T2540,COUNTIFS($S$6:S2540,S2540,$G$6:G2540,G2540,$D$6:D2540,"Vastgesteld")&gt;1),1,0))</f>
        <v>0</v>
      </c>
    </row>
    <row r="2541">
      <c r="S2541" s="15" t="str">
        <f>IF(J2541="","",J2541&amp;"|"&amp;E2541&amp;"|"&amp;F2541&amp;"|"&amp;I2541&amp;"|"&amp;O2541)</f>
        <v/>
      </c>
      <c r="T2541" s="15" t="str">
        <f>IF(OR(S2541="",D2541&lt;&gt;"Vastgesteld"),"",_xlfn.MAXIFS($G$6:$G$5005,$S$6:$S$5005,S2541,$D$6:$D$5005,"Vastgesteld"))</f>
        <v/>
      </c>
      <c r="U2541" s="15">
        <f>IF(T2541="",0,IF(AND(G2541=T2541,COUNTIFS($S$6:S2541,S2541,$G$6:G2541,G2541,$D$6:D2541,"Vastgesteld")=1),1,0))</f>
        <v>0</v>
      </c>
      <c r="V2541" s="15">
        <f>IF(T2541="",0,IF(AND(G2541=T2541,COUNTIFS($S$6:S2541,S2541,$G$6:G2541,G2541,$D$6:D2541,"Vastgesteld")&gt;1),1,0))</f>
        <v>0</v>
      </c>
    </row>
    <row r="2542">
      <c r="S2542" s="15" t="str">
        <f>IF(J2542="","",J2542&amp;"|"&amp;E2542&amp;"|"&amp;F2542&amp;"|"&amp;I2542&amp;"|"&amp;O2542)</f>
        <v/>
      </c>
      <c r="T2542" s="15" t="str">
        <f>IF(OR(S2542="",D2542&lt;&gt;"Vastgesteld"),"",_xlfn.MAXIFS($G$6:$G$5005,$S$6:$S$5005,S2542,$D$6:$D$5005,"Vastgesteld"))</f>
        <v/>
      </c>
      <c r="U2542" s="15">
        <f>IF(T2542="",0,IF(AND(G2542=T2542,COUNTIFS($S$6:S2542,S2542,$G$6:G2542,G2542,$D$6:D2542,"Vastgesteld")=1),1,0))</f>
        <v>0</v>
      </c>
      <c r="V2542" s="15">
        <f>IF(T2542="",0,IF(AND(G2542=T2542,COUNTIFS($S$6:S2542,S2542,$G$6:G2542,G2542,$D$6:D2542,"Vastgesteld")&gt;1),1,0))</f>
        <v>0</v>
      </c>
    </row>
    <row r="2543">
      <c r="S2543" s="15" t="str">
        <f>IF(J2543="","",J2543&amp;"|"&amp;E2543&amp;"|"&amp;F2543&amp;"|"&amp;I2543&amp;"|"&amp;O2543)</f>
        <v/>
      </c>
      <c r="T2543" s="15" t="str">
        <f>IF(OR(S2543="",D2543&lt;&gt;"Vastgesteld"),"",_xlfn.MAXIFS($G$6:$G$5005,$S$6:$S$5005,S2543,$D$6:$D$5005,"Vastgesteld"))</f>
        <v/>
      </c>
      <c r="U2543" s="15">
        <f>IF(T2543="",0,IF(AND(G2543=T2543,COUNTIFS($S$6:S2543,S2543,$G$6:G2543,G2543,$D$6:D2543,"Vastgesteld")=1),1,0))</f>
        <v>0</v>
      </c>
      <c r="V2543" s="15">
        <f>IF(T2543="",0,IF(AND(G2543=T2543,COUNTIFS($S$6:S2543,S2543,$G$6:G2543,G2543,$D$6:D2543,"Vastgesteld")&gt;1),1,0))</f>
        <v>0</v>
      </c>
    </row>
    <row r="2544">
      <c r="S2544" s="15" t="str">
        <f>IF(J2544="","",J2544&amp;"|"&amp;E2544&amp;"|"&amp;F2544&amp;"|"&amp;I2544&amp;"|"&amp;O2544)</f>
        <v/>
      </c>
      <c r="T2544" s="15" t="str">
        <f>IF(OR(S2544="",D2544&lt;&gt;"Vastgesteld"),"",_xlfn.MAXIFS($G$6:$G$5005,$S$6:$S$5005,S2544,$D$6:$D$5005,"Vastgesteld"))</f>
        <v/>
      </c>
      <c r="U2544" s="15">
        <f>IF(T2544="",0,IF(AND(G2544=T2544,COUNTIFS($S$6:S2544,S2544,$G$6:G2544,G2544,$D$6:D2544,"Vastgesteld")=1),1,0))</f>
        <v>0</v>
      </c>
      <c r="V2544" s="15">
        <f>IF(T2544="",0,IF(AND(G2544=T2544,COUNTIFS($S$6:S2544,S2544,$G$6:G2544,G2544,$D$6:D2544,"Vastgesteld")&gt;1),1,0))</f>
        <v>0</v>
      </c>
    </row>
    <row r="2545">
      <c r="S2545" s="15" t="str">
        <f>IF(J2545="","",J2545&amp;"|"&amp;E2545&amp;"|"&amp;F2545&amp;"|"&amp;I2545&amp;"|"&amp;O2545)</f>
        <v/>
      </c>
      <c r="T2545" s="15" t="str">
        <f>IF(OR(S2545="",D2545&lt;&gt;"Vastgesteld"),"",_xlfn.MAXIFS($G$6:$G$5005,$S$6:$S$5005,S2545,$D$6:$D$5005,"Vastgesteld"))</f>
        <v/>
      </c>
      <c r="U2545" s="15">
        <f>IF(T2545="",0,IF(AND(G2545=T2545,COUNTIFS($S$6:S2545,S2545,$G$6:G2545,G2545,$D$6:D2545,"Vastgesteld")=1),1,0))</f>
        <v>0</v>
      </c>
      <c r="V2545" s="15">
        <f>IF(T2545="",0,IF(AND(G2545=T2545,COUNTIFS($S$6:S2545,S2545,$G$6:G2545,G2545,$D$6:D2545,"Vastgesteld")&gt;1),1,0))</f>
        <v>0</v>
      </c>
    </row>
    <row r="2546">
      <c r="S2546" s="15" t="str">
        <f>IF(J2546="","",J2546&amp;"|"&amp;E2546&amp;"|"&amp;F2546&amp;"|"&amp;I2546&amp;"|"&amp;O2546)</f>
        <v/>
      </c>
      <c r="T2546" s="15" t="str">
        <f>IF(OR(S2546="",D2546&lt;&gt;"Vastgesteld"),"",_xlfn.MAXIFS($G$6:$G$5005,$S$6:$S$5005,S2546,$D$6:$D$5005,"Vastgesteld"))</f>
        <v/>
      </c>
      <c r="U2546" s="15">
        <f>IF(T2546="",0,IF(AND(G2546=T2546,COUNTIFS($S$6:S2546,S2546,$G$6:G2546,G2546,$D$6:D2546,"Vastgesteld")=1),1,0))</f>
        <v>0</v>
      </c>
      <c r="V2546" s="15">
        <f>IF(T2546="",0,IF(AND(G2546=T2546,COUNTIFS($S$6:S2546,S2546,$G$6:G2546,G2546,$D$6:D2546,"Vastgesteld")&gt;1),1,0))</f>
        <v>0</v>
      </c>
    </row>
    <row r="2547">
      <c r="S2547" s="15" t="str">
        <f>IF(J2547="","",J2547&amp;"|"&amp;E2547&amp;"|"&amp;F2547&amp;"|"&amp;I2547&amp;"|"&amp;O2547)</f>
        <v/>
      </c>
      <c r="T2547" s="15" t="str">
        <f>IF(OR(S2547="",D2547&lt;&gt;"Vastgesteld"),"",_xlfn.MAXIFS($G$6:$G$5005,$S$6:$S$5005,S2547,$D$6:$D$5005,"Vastgesteld"))</f>
        <v/>
      </c>
      <c r="U2547" s="15">
        <f>IF(T2547="",0,IF(AND(G2547=T2547,COUNTIFS($S$6:S2547,S2547,$G$6:G2547,G2547,$D$6:D2547,"Vastgesteld")=1),1,0))</f>
        <v>0</v>
      </c>
      <c r="V2547" s="15">
        <f>IF(T2547="",0,IF(AND(G2547=T2547,COUNTIFS($S$6:S2547,S2547,$G$6:G2547,G2547,$D$6:D2547,"Vastgesteld")&gt;1),1,0))</f>
        <v>0</v>
      </c>
    </row>
    <row r="2548">
      <c r="S2548" s="15" t="str">
        <f>IF(J2548="","",J2548&amp;"|"&amp;E2548&amp;"|"&amp;F2548&amp;"|"&amp;I2548&amp;"|"&amp;O2548)</f>
        <v/>
      </c>
      <c r="T2548" s="15" t="str">
        <f>IF(OR(S2548="",D2548&lt;&gt;"Vastgesteld"),"",_xlfn.MAXIFS($G$6:$G$5005,$S$6:$S$5005,S2548,$D$6:$D$5005,"Vastgesteld"))</f>
        <v/>
      </c>
      <c r="U2548" s="15">
        <f>IF(T2548="",0,IF(AND(G2548=T2548,COUNTIFS($S$6:S2548,S2548,$G$6:G2548,G2548,$D$6:D2548,"Vastgesteld")=1),1,0))</f>
        <v>0</v>
      </c>
      <c r="V2548" s="15">
        <f>IF(T2548="",0,IF(AND(G2548=T2548,COUNTIFS($S$6:S2548,S2548,$G$6:G2548,G2548,$D$6:D2548,"Vastgesteld")&gt;1),1,0))</f>
        <v>0</v>
      </c>
    </row>
    <row r="2549">
      <c r="S2549" s="15" t="str">
        <f>IF(J2549="","",J2549&amp;"|"&amp;E2549&amp;"|"&amp;F2549&amp;"|"&amp;I2549&amp;"|"&amp;O2549)</f>
        <v/>
      </c>
      <c r="T2549" s="15" t="str">
        <f>IF(OR(S2549="",D2549&lt;&gt;"Vastgesteld"),"",_xlfn.MAXIFS($G$6:$G$5005,$S$6:$S$5005,S2549,$D$6:$D$5005,"Vastgesteld"))</f>
        <v/>
      </c>
      <c r="U2549" s="15">
        <f>IF(T2549="",0,IF(AND(G2549=T2549,COUNTIFS($S$6:S2549,S2549,$G$6:G2549,G2549,$D$6:D2549,"Vastgesteld")=1),1,0))</f>
        <v>0</v>
      </c>
      <c r="V2549" s="15">
        <f>IF(T2549="",0,IF(AND(G2549=T2549,COUNTIFS($S$6:S2549,S2549,$G$6:G2549,G2549,$D$6:D2549,"Vastgesteld")&gt;1),1,0))</f>
        <v>0</v>
      </c>
    </row>
    <row r="2550">
      <c r="S2550" s="15" t="str">
        <f>IF(J2550="","",J2550&amp;"|"&amp;E2550&amp;"|"&amp;F2550&amp;"|"&amp;I2550&amp;"|"&amp;O2550)</f>
        <v/>
      </c>
      <c r="T2550" s="15" t="str">
        <f>IF(OR(S2550="",D2550&lt;&gt;"Vastgesteld"),"",_xlfn.MAXIFS($G$6:$G$5005,$S$6:$S$5005,S2550,$D$6:$D$5005,"Vastgesteld"))</f>
        <v/>
      </c>
      <c r="U2550" s="15">
        <f>IF(T2550="",0,IF(AND(G2550=T2550,COUNTIFS($S$6:S2550,S2550,$G$6:G2550,G2550,$D$6:D2550,"Vastgesteld")=1),1,0))</f>
        <v>0</v>
      </c>
      <c r="V2550" s="15">
        <f>IF(T2550="",0,IF(AND(G2550=T2550,COUNTIFS($S$6:S2550,S2550,$G$6:G2550,G2550,$D$6:D2550,"Vastgesteld")&gt;1),1,0))</f>
        <v>0</v>
      </c>
    </row>
    <row r="2551">
      <c r="S2551" s="15" t="str">
        <f>IF(J2551="","",J2551&amp;"|"&amp;E2551&amp;"|"&amp;F2551&amp;"|"&amp;I2551&amp;"|"&amp;O2551)</f>
        <v/>
      </c>
      <c r="T2551" s="15" t="str">
        <f>IF(OR(S2551="",D2551&lt;&gt;"Vastgesteld"),"",_xlfn.MAXIFS($G$6:$G$5005,$S$6:$S$5005,S2551,$D$6:$D$5005,"Vastgesteld"))</f>
        <v/>
      </c>
      <c r="U2551" s="15">
        <f>IF(T2551="",0,IF(AND(G2551=T2551,COUNTIFS($S$6:S2551,S2551,$G$6:G2551,G2551,$D$6:D2551,"Vastgesteld")=1),1,0))</f>
        <v>0</v>
      </c>
      <c r="V2551" s="15">
        <f>IF(T2551="",0,IF(AND(G2551=T2551,COUNTIFS($S$6:S2551,S2551,$G$6:G2551,G2551,$D$6:D2551,"Vastgesteld")&gt;1),1,0))</f>
        <v>0</v>
      </c>
    </row>
    <row r="2552">
      <c r="S2552" s="15" t="str">
        <f>IF(J2552="","",J2552&amp;"|"&amp;E2552&amp;"|"&amp;F2552&amp;"|"&amp;I2552&amp;"|"&amp;O2552)</f>
        <v/>
      </c>
      <c r="T2552" s="15" t="str">
        <f>IF(OR(S2552="",D2552&lt;&gt;"Vastgesteld"),"",_xlfn.MAXIFS($G$6:$G$5005,$S$6:$S$5005,S2552,$D$6:$D$5005,"Vastgesteld"))</f>
        <v/>
      </c>
      <c r="U2552" s="15">
        <f>IF(T2552="",0,IF(AND(G2552=T2552,COUNTIFS($S$6:S2552,S2552,$G$6:G2552,G2552,$D$6:D2552,"Vastgesteld")=1),1,0))</f>
        <v>0</v>
      </c>
      <c r="V2552" s="15">
        <f>IF(T2552="",0,IF(AND(G2552=T2552,COUNTIFS($S$6:S2552,S2552,$G$6:G2552,G2552,$D$6:D2552,"Vastgesteld")&gt;1),1,0))</f>
        <v>0</v>
      </c>
    </row>
    <row r="2553">
      <c r="S2553" s="15" t="str">
        <f>IF(J2553="","",J2553&amp;"|"&amp;E2553&amp;"|"&amp;F2553&amp;"|"&amp;I2553&amp;"|"&amp;O2553)</f>
        <v/>
      </c>
      <c r="T2553" s="15" t="str">
        <f>IF(OR(S2553="",D2553&lt;&gt;"Vastgesteld"),"",_xlfn.MAXIFS($G$6:$G$5005,$S$6:$S$5005,S2553,$D$6:$D$5005,"Vastgesteld"))</f>
        <v/>
      </c>
      <c r="U2553" s="15">
        <f>IF(T2553="",0,IF(AND(G2553=T2553,COUNTIFS($S$6:S2553,S2553,$G$6:G2553,G2553,$D$6:D2553,"Vastgesteld")=1),1,0))</f>
        <v>0</v>
      </c>
      <c r="V2553" s="15">
        <f>IF(T2553="",0,IF(AND(G2553=T2553,COUNTIFS($S$6:S2553,S2553,$G$6:G2553,G2553,$D$6:D2553,"Vastgesteld")&gt;1),1,0))</f>
        <v>0</v>
      </c>
    </row>
    <row r="2554">
      <c r="S2554" s="15" t="str">
        <f>IF(J2554="","",J2554&amp;"|"&amp;E2554&amp;"|"&amp;F2554&amp;"|"&amp;I2554&amp;"|"&amp;O2554)</f>
        <v/>
      </c>
      <c r="T2554" s="15" t="str">
        <f>IF(OR(S2554="",D2554&lt;&gt;"Vastgesteld"),"",_xlfn.MAXIFS($G$6:$G$5005,$S$6:$S$5005,S2554,$D$6:$D$5005,"Vastgesteld"))</f>
        <v/>
      </c>
      <c r="U2554" s="15">
        <f>IF(T2554="",0,IF(AND(G2554=T2554,COUNTIFS($S$6:S2554,S2554,$G$6:G2554,G2554,$D$6:D2554,"Vastgesteld")=1),1,0))</f>
        <v>0</v>
      </c>
      <c r="V2554" s="15">
        <f>IF(T2554="",0,IF(AND(G2554=T2554,COUNTIFS($S$6:S2554,S2554,$G$6:G2554,G2554,$D$6:D2554,"Vastgesteld")&gt;1),1,0))</f>
        <v>0</v>
      </c>
    </row>
    <row r="2555">
      <c r="S2555" s="15" t="str">
        <f>IF(J2555="","",J2555&amp;"|"&amp;E2555&amp;"|"&amp;F2555&amp;"|"&amp;I2555&amp;"|"&amp;O2555)</f>
        <v/>
      </c>
      <c r="T2555" s="15" t="str">
        <f>IF(OR(S2555="",D2555&lt;&gt;"Vastgesteld"),"",_xlfn.MAXIFS($G$6:$G$5005,$S$6:$S$5005,S2555,$D$6:$D$5005,"Vastgesteld"))</f>
        <v/>
      </c>
      <c r="U2555" s="15">
        <f>IF(T2555="",0,IF(AND(G2555=T2555,COUNTIFS($S$6:S2555,S2555,$G$6:G2555,G2555,$D$6:D2555,"Vastgesteld")=1),1,0))</f>
        <v>0</v>
      </c>
      <c r="V2555" s="15">
        <f>IF(T2555="",0,IF(AND(G2555=T2555,COUNTIFS($S$6:S2555,S2555,$G$6:G2555,G2555,$D$6:D2555,"Vastgesteld")&gt;1),1,0))</f>
        <v>0</v>
      </c>
    </row>
    <row r="2556">
      <c r="S2556" s="15" t="str">
        <f>IF(J2556="","",J2556&amp;"|"&amp;E2556&amp;"|"&amp;F2556&amp;"|"&amp;I2556&amp;"|"&amp;O2556)</f>
        <v/>
      </c>
      <c r="T2556" s="15" t="str">
        <f>IF(OR(S2556="",D2556&lt;&gt;"Vastgesteld"),"",_xlfn.MAXIFS($G$6:$G$5005,$S$6:$S$5005,S2556,$D$6:$D$5005,"Vastgesteld"))</f>
        <v/>
      </c>
      <c r="U2556" s="15">
        <f>IF(T2556="",0,IF(AND(G2556=T2556,COUNTIFS($S$6:S2556,S2556,$G$6:G2556,G2556,$D$6:D2556,"Vastgesteld")=1),1,0))</f>
        <v>0</v>
      </c>
      <c r="V2556" s="15">
        <f>IF(T2556="",0,IF(AND(G2556=T2556,COUNTIFS($S$6:S2556,S2556,$G$6:G2556,G2556,$D$6:D2556,"Vastgesteld")&gt;1),1,0))</f>
        <v>0</v>
      </c>
    </row>
    <row r="2557">
      <c r="S2557" s="15" t="str">
        <f>IF(J2557="","",J2557&amp;"|"&amp;E2557&amp;"|"&amp;F2557&amp;"|"&amp;I2557&amp;"|"&amp;O2557)</f>
        <v/>
      </c>
      <c r="T2557" s="15" t="str">
        <f>IF(OR(S2557="",D2557&lt;&gt;"Vastgesteld"),"",_xlfn.MAXIFS($G$6:$G$5005,$S$6:$S$5005,S2557,$D$6:$D$5005,"Vastgesteld"))</f>
        <v/>
      </c>
      <c r="U2557" s="15">
        <f>IF(T2557="",0,IF(AND(G2557=T2557,COUNTIFS($S$6:S2557,S2557,$G$6:G2557,G2557,$D$6:D2557,"Vastgesteld")=1),1,0))</f>
        <v>0</v>
      </c>
      <c r="V2557" s="15">
        <f>IF(T2557="",0,IF(AND(G2557=T2557,COUNTIFS($S$6:S2557,S2557,$G$6:G2557,G2557,$D$6:D2557,"Vastgesteld")&gt;1),1,0))</f>
        <v>0</v>
      </c>
    </row>
    <row r="2558">
      <c r="S2558" s="15" t="str">
        <f>IF(J2558="","",J2558&amp;"|"&amp;E2558&amp;"|"&amp;F2558&amp;"|"&amp;I2558&amp;"|"&amp;O2558)</f>
        <v/>
      </c>
      <c r="T2558" s="15" t="str">
        <f>IF(OR(S2558="",D2558&lt;&gt;"Vastgesteld"),"",_xlfn.MAXIFS($G$6:$G$5005,$S$6:$S$5005,S2558,$D$6:$D$5005,"Vastgesteld"))</f>
        <v/>
      </c>
      <c r="U2558" s="15">
        <f>IF(T2558="",0,IF(AND(G2558=T2558,COUNTIFS($S$6:S2558,S2558,$G$6:G2558,G2558,$D$6:D2558,"Vastgesteld")=1),1,0))</f>
        <v>0</v>
      </c>
      <c r="V2558" s="15">
        <f>IF(T2558="",0,IF(AND(G2558=T2558,COUNTIFS($S$6:S2558,S2558,$G$6:G2558,G2558,$D$6:D2558,"Vastgesteld")&gt;1),1,0))</f>
        <v>0</v>
      </c>
    </row>
    <row r="2559">
      <c r="S2559" s="15" t="str">
        <f>IF(J2559="","",J2559&amp;"|"&amp;E2559&amp;"|"&amp;F2559&amp;"|"&amp;I2559&amp;"|"&amp;O2559)</f>
        <v/>
      </c>
      <c r="T2559" s="15" t="str">
        <f>IF(OR(S2559="",D2559&lt;&gt;"Vastgesteld"),"",_xlfn.MAXIFS($G$6:$G$5005,$S$6:$S$5005,S2559,$D$6:$D$5005,"Vastgesteld"))</f>
        <v/>
      </c>
      <c r="U2559" s="15">
        <f>IF(T2559="",0,IF(AND(G2559=T2559,COUNTIFS($S$6:S2559,S2559,$G$6:G2559,G2559,$D$6:D2559,"Vastgesteld")=1),1,0))</f>
        <v>0</v>
      </c>
      <c r="V2559" s="15">
        <f>IF(T2559="",0,IF(AND(G2559=T2559,COUNTIFS($S$6:S2559,S2559,$G$6:G2559,G2559,$D$6:D2559,"Vastgesteld")&gt;1),1,0))</f>
        <v>0</v>
      </c>
    </row>
    <row r="2560">
      <c r="S2560" s="15" t="str">
        <f>IF(J2560="","",J2560&amp;"|"&amp;E2560&amp;"|"&amp;F2560&amp;"|"&amp;I2560&amp;"|"&amp;O2560)</f>
        <v/>
      </c>
      <c r="T2560" s="15" t="str">
        <f>IF(OR(S2560="",D2560&lt;&gt;"Vastgesteld"),"",_xlfn.MAXIFS($G$6:$G$5005,$S$6:$S$5005,S2560,$D$6:$D$5005,"Vastgesteld"))</f>
        <v/>
      </c>
      <c r="U2560" s="15">
        <f>IF(T2560="",0,IF(AND(G2560=T2560,COUNTIFS($S$6:S2560,S2560,$G$6:G2560,G2560,$D$6:D2560,"Vastgesteld")=1),1,0))</f>
        <v>0</v>
      </c>
      <c r="V2560" s="15">
        <f>IF(T2560="",0,IF(AND(G2560=T2560,COUNTIFS($S$6:S2560,S2560,$G$6:G2560,G2560,$D$6:D2560,"Vastgesteld")&gt;1),1,0))</f>
        <v>0</v>
      </c>
    </row>
    <row r="2561">
      <c r="S2561" s="15" t="str">
        <f>IF(J2561="","",J2561&amp;"|"&amp;E2561&amp;"|"&amp;F2561&amp;"|"&amp;I2561&amp;"|"&amp;O2561)</f>
        <v/>
      </c>
      <c r="T2561" s="15" t="str">
        <f>IF(OR(S2561="",D2561&lt;&gt;"Vastgesteld"),"",_xlfn.MAXIFS($G$6:$G$5005,$S$6:$S$5005,S2561,$D$6:$D$5005,"Vastgesteld"))</f>
        <v/>
      </c>
      <c r="U2561" s="15">
        <f>IF(T2561="",0,IF(AND(G2561=T2561,COUNTIFS($S$6:S2561,S2561,$G$6:G2561,G2561,$D$6:D2561,"Vastgesteld")=1),1,0))</f>
        <v>0</v>
      </c>
      <c r="V2561" s="15">
        <f>IF(T2561="",0,IF(AND(G2561=T2561,COUNTIFS($S$6:S2561,S2561,$G$6:G2561,G2561,$D$6:D2561,"Vastgesteld")&gt;1),1,0))</f>
        <v>0</v>
      </c>
    </row>
    <row r="2562">
      <c r="S2562" s="15" t="str">
        <f>IF(J2562="","",J2562&amp;"|"&amp;E2562&amp;"|"&amp;F2562&amp;"|"&amp;I2562&amp;"|"&amp;O2562)</f>
        <v/>
      </c>
      <c r="T2562" s="15" t="str">
        <f>IF(OR(S2562="",D2562&lt;&gt;"Vastgesteld"),"",_xlfn.MAXIFS($G$6:$G$5005,$S$6:$S$5005,S2562,$D$6:$D$5005,"Vastgesteld"))</f>
        <v/>
      </c>
      <c r="U2562" s="15">
        <f>IF(T2562="",0,IF(AND(G2562=T2562,COUNTIFS($S$6:S2562,S2562,$G$6:G2562,G2562,$D$6:D2562,"Vastgesteld")=1),1,0))</f>
        <v>0</v>
      </c>
      <c r="V2562" s="15">
        <f>IF(T2562="",0,IF(AND(G2562=T2562,COUNTIFS($S$6:S2562,S2562,$G$6:G2562,G2562,$D$6:D2562,"Vastgesteld")&gt;1),1,0))</f>
        <v>0</v>
      </c>
    </row>
    <row r="2563">
      <c r="S2563" s="15" t="str">
        <f>IF(J2563="","",J2563&amp;"|"&amp;E2563&amp;"|"&amp;F2563&amp;"|"&amp;I2563&amp;"|"&amp;O2563)</f>
        <v/>
      </c>
      <c r="T2563" s="15" t="str">
        <f>IF(OR(S2563="",D2563&lt;&gt;"Vastgesteld"),"",_xlfn.MAXIFS($G$6:$G$5005,$S$6:$S$5005,S2563,$D$6:$D$5005,"Vastgesteld"))</f>
        <v/>
      </c>
      <c r="U2563" s="15">
        <f>IF(T2563="",0,IF(AND(G2563=T2563,COUNTIFS($S$6:S2563,S2563,$G$6:G2563,G2563,$D$6:D2563,"Vastgesteld")=1),1,0))</f>
        <v>0</v>
      </c>
      <c r="V2563" s="15">
        <f>IF(T2563="",0,IF(AND(G2563=T2563,COUNTIFS($S$6:S2563,S2563,$G$6:G2563,G2563,$D$6:D2563,"Vastgesteld")&gt;1),1,0))</f>
        <v>0</v>
      </c>
    </row>
    <row r="2564">
      <c r="S2564" s="15" t="str">
        <f>IF(J2564="","",J2564&amp;"|"&amp;E2564&amp;"|"&amp;F2564&amp;"|"&amp;I2564&amp;"|"&amp;O2564)</f>
        <v/>
      </c>
      <c r="T2564" s="15" t="str">
        <f>IF(OR(S2564="",D2564&lt;&gt;"Vastgesteld"),"",_xlfn.MAXIFS($G$6:$G$5005,$S$6:$S$5005,S2564,$D$6:$D$5005,"Vastgesteld"))</f>
        <v/>
      </c>
      <c r="U2564" s="15">
        <f>IF(T2564="",0,IF(AND(G2564=T2564,COUNTIFS($S$6:S2564,S2564,$G$6:G2564,G2564,$D$6:D2564,"Vastgesteld")=1),1,0))</f>
        <v>0</v>
      </c>
      <c r="V2564" s="15">
        <f>IF(T2564="",0,IF(AND(G2564=T2564,COUNTIFS($S$6:S2564,S2564,$G$6:G2564,G2564,$D$6:D2564,"Vastgesteld")&gt;1),1,0))</f>
        <v>0</v>
      </c>
    </row>
    <row r="2565">
      <c r="S2565" s="15" t="str">
        <f>IF(J2565="","",J2565&amp;"|"&amp;E2565&amp;"|"&amp;F2565&amp;"|"&amp;I2565&amp;"|"&amp;O2565)</f>
        <v/>
      </c>
      <c r="T2565" s="15" t="str">
        <f>IF(OR(S2565="",D2565&lt;&gt;"Vastgesteld"),"",_xlfn.MAXIFS($G$6:$G$5005,$S$6:$S$5005,S2565,$D$6:$D$5005,"Vastgesteld"))</f>
        <v/>
      </c>
      <c r="U2565" s="15">
        <f>IF(T2565="",0,IF(AND(G2565=T2565,COUNTIFS($S$6:S2565,S2565,$G$6:G2565,G2565,$D$6:D2565,"Vastgesteld")=1),1,0))</f>
        <v>0</v>
      </c>
      <c r="V2565" s="15">
        <f>IF(T2565="",0,IF(AND(G2565=T2565,COUNTIFS($S$6:S2565,S2565,$G$6:G2565,G2565,$D$6:D2565,"Vastgesteld")&gt;1),1,0))</f>
        <v>0</v>
      </c>
    </row>
    <row r="2566">
      <c r="S2566" s="15" t="str">
        <f>IF(J2566="","",J2566&amp;"|"&amp;E2566&amp;"|"&amp;F2566&amp;"|"&amp;I2566&amp;"|"&amp;O2566)</f>
        <v/>
      </c>
      <c r="T2566" s="15" t="str">
        <f>IF(OR(S2566="",D2566&lt;&gt;"Vastgesteld"),"",_xlfn.MAXIFS($G$6:$G$5005,$S$6:$S$5005,S2566,$D$6:$D$5005,"Vastgesteld"))</f>
        <v/>
      </c>
      <c r="U2566" s="15">
        <f>IF(T2566="",0,IF(AND(G2566=T2566,COUNTIFS($S$6:S2566,S2566,$G$6:G2566,G2566,$D$6:D2566,"Vastgesteld")=1),1,0))</f>
        <v>0</v>
      </c>
      <c r="V2566" s="15">
        <f>IF(T2566="",0,IF(AND(G2566=T2566,COUNTIFS($S$6:S2566,S2566,$G$6:G2566,G2566,$D$6:D2566,"Vastgesteld")&gt;1),1,0))</f>
        <v>0</v>
      </c>
    </row>
    <row r="2567">
      <c r="S2567" s="15" t="str">
        <f>IF(J2567="","",J2567&amp;"|"&amp;E2567&amp;"|"&amp;F2567&amp;"|"&amp;I2567&amp;"|"&amp;O2567)</f>
        <v/>
      </c>
      <c r="T2567" s="15" t="str">
        <f>IF(OR(S2567="",D2567&lt;&gt;"Vastgesteld"),"",_xlfn.MAXIFS($G$6:$G$5005,$S$6:$S$5005,S2567,$D$6:$D$5005,"Vastgesteld"))</f>
        <v/>
      </c>
      <c r="U2567" s="15">
        <f>IF(T2567="",0,IF(AND(G2567=T2567,COUNTIFS($S$6:S2567,S2567,$G$6:G2567,G2567,$D$6:D2567,"Vastgesteld")=1),1,0))</f>
        <v>0</v>
      </c>
      <c r="V2567" s="15">
        <f>IF(T2567="",0,IF(AND(G2567=T2567,COUNTIFS($S$6:S2567,S2567,$G$6:G2567,G2567,$D$6:D2567,"Vastgesteld")&gt;1),1,0))</f>
        <v>0</v>
      </c>
    </row>
    <row r="2568">
      <c r="S2568" s="15" t="str">
        <f>IF(J2568="","",J2568&amp;"|"&amp;E2568&amp;"|"&amp;F2568&amp;"|"&amp;I2568&amp;"|"&amp;O2568)</f>
        <v/>
      </c>
      <c r="T2568" s="15" t="str">
        <f>IF(OR(S2568="",D2568&lt;&gt;"Vastgesteld"),"",_xlfn.MAXIFS($G$6:$G$5005,$S$6:$S$5005,S2568,$D$6:$D$5005,"Vastgesteld"))</f>
        <v/>
      </c>
      <c r="U2568" s="15">
        <f>IF(T2568="",0,IF(AND(G2568=T2568,COUNTIFS($S$6:S2568,S2568,$G$6:G2568,G2568,$D$6:D2568,"Vastgesteld")=1),1,0))</f>
        <v>0</v>
      </c>
      <c r="V2568" s="15">
        <f>IF(T2568="",0,IF(AND(G2568=T2568,COUNTIFS($S$6:S2568,S2568,$G$6:G2568,G2568,$D$6:D2568,"Vastgesteld")&gt;1),1,0))</f>
        <v>0</v>
      </c>
    </row>
    <row r="2569">
      <c r="S2569" s="15" t="str">
        <f>IF(J2569="","",J2569&amp;"|"&amp;E2569&amp;"|"&amp;F2569&amp;"|"&amp;I2569&amp;"|"&amp;O2569)</f>
        <v/>
      </c>
      <c r="T2569" s="15" t="str">
        <f>IF(OR(S2569="",D2569&lt;&gt;"Vastgesteld"),"",_xlfn.MAXIFS($G$6:$G$5005,$S$6:$S$5005,S2569,$D$6:$D$5005,"Vastgesteld"))</f>
        <v/>
      </c>
      <c r="U2569" s="15">
        <f>IF(T2569="",0,IF(AND(G2569=T2569,COUNTIFS($S$6:S2569,S2569,$G$6:G2569,G2569,$D$6:D2569,"Vastgesteld")=1),1,0))</f>
        <v>0</v>
      </c>
      <c r="V2569" s="15">
        <f>IF(T2569="",0,IF(AND(G2569=T2569,COUNTIFS($S$6:S2569,S2569,$G$6:G2569,G2569,$D$6:D2569,"Vastgesteld")&gt;1),1,0))</f>
        <v>0</v>
      </c>
    </row>
    <row r="2570">
      <c r="S2570" s="15" t="str">
        <f>IF(J2570="","",J2570&amp;"|"&amp;E2570&amp;"|"&amp;F2570&amp;"|"&amp;I2570&amp;"|"&amp;O2570)</f>
        <v/>
      </c>
      <c r="T2570" s="15" t="str">
        <f>IF(OR(S2570="",D2570&lt;&gt;"Vastgesteld"),"",_xlfn.MAXIFS($G$6:$G$5005,$S$6:$S$5005,S2570,$D$6:$D$5005,"Vastgesteld"))</f>
        <v/>
      </c>
      <c r="U2570" s="15">
        <f>IF(T2570="",0,IF(AND(G2570=T2570,COUNTIFS($S$6:S2570,S2570,$G$6:G2570,G2570,$D$6:D2570,"Vastgesteld")=1),1,0))</f>
        <v>0</v>
      </c>
      <c r="V2570" s="15">
        <f>IF(T2570="",0,IF(AND(G2570=T2570,COUNTIFS($S$6:S2570,S2570,$G$6:G2570,G2570,$D$6:D2570,"Vastgesteld")&gt;1),1,0))</f>
        <v>0</v>
      </c>
    </row>
    <row r="2571">
      <c r="S2571" s="15" t="str">
        <f>IF(J2571="","",J2571&amp;"|"&amp;E2571&amp;"|"&amp;F2571&amp;"|"&amp;I2571&amp;"|"&amp;O2571)</f>
        <v/>
      </c>
      <c r="T2571" s="15" t="str">
        <f>IF(OR(S2571="",D2571&lt;&gt;"Vastgesteld"),"",_xlfn.MAXIFS($G$6:$G$5005,$S$6:$S$5005,S2571,$D$6:$D$5005,"Vastgesteld"))</f>
        <v/>
      </c>
      <c r="U2571" s="15">
        <f>IF(T2571="",0,IF(AND(G2571=T2571,COUNTIFS($S$6:S2571,S2571,$G$6:G2571,G2571,$D$6:D2571,"Vastgesteld")=1),1,0))</f>
        <v>0</v>
      </c>
      <c r="V2571" s="15">
        <f>IF(T2571="",0,IF(AND(G2571=T2571,COUNTIFS($S$6:S2571,S2571,$G$6:G2571,G2571,$D$6:D2571,"Vastgesteld")&gt;1),1,0))</f>
        <v>0</v>
      </c>
    </row>
    <row r="2572">
      <c r="S2572" s="15" t="str">
        <f>IF(J2572="","",J2572&amp;"|"&amp;E2572&amp;"|"&amp;F2572&amp;"|"&amp;I2572&amp;"|"&amp;O2572)</f>
        <v/>
      </c>
      <c r="T2572" s="15" t="str">
        <f>IF(OR(S2572="",D2572&lt;&gt;"Vastgesteld"),"",_xlfn.MAXIFS($G$6:$G$5005,$S$6:$S$5005,S2572,$D$6:$D$5005,"Vastgesteld"))</f>
        <v/>
      </c>
      <c r="U2572" s="15">
        <f>IF(T2572="",0,IF(AND(G2572=T2572,COUNTIFS($S$6:S2572,S2572,$G$6:G2572,G2572,$D$6:D2572,"Vastgesteld")=1),1,0))</f>
        <v>0</v>
      </c>
      <c r="V2572" s="15">
        <f>IF(T2572="",0,IF(AND(G2572=T2572,COUNTIFS($S$6:S2572,S2572,$G$6:G2572,G2572,$D$6:D2572,"Vastgesteld")&gt;1),1,0))</f>
        <v>0</v>
      </c>
    </row>
    <row r="2573">
      <c r="S2573" s="15" t="str">
        <f>IF(J2573="","",J2573&amp;"|"&amp;E2573&amp;"|"&amp;F2573&amp;"|"&amp;I2573&amp;"|"&amp;O2573)</f>
        <v/>
      </c>
      <c r="T2573" s="15" t="str">
        <f>IF(OR(S2573="",D2573&lt;&gt;"Vastgesteld"),"",_xlfn.MAXIFS($G$6:$G$5005,$S$6:$S$5005,S2573,$D$6:$D$5005,"Vastgesteld"))</f>
        <v/>
      </c>
      <c r="U2573" s="15">
        <f>IF(T2573="",0,IF(AND(G2573=T2573,COUNTIFS($S$6:S2573,S2573,$G$6:G2573,G2573,$D$6:D2573,"Vastgesteld")=1),1,0))</f>
        <v>0</v>
      </c>
      <c r="V2573" s="15">
        <f>IF(T2573="",0,IF(AND(G2573=T2573,COUNTIFS($S$6:S2573,S2573,$G$6:G2573,G2573,$D$6:D2573,"Vastgesteld")&gt;1),1,0))</f>
        <v>0</v>
      </c>
    </row>
    <row r="2574">
      <c r="S2574" s="15" t="str">
        <f>IF(J2574="","",J2574&amp;"|"&amp;E2574&amp;"|"&amp;F2574&amp;"|"&amp;I2574&amp;"|"&amp;O2574)</f>
        <v/>
      </c>
      <c r="T2574" s="15" t="str">
        <f>IF(OR(S2574="",D2574&lt;&gt;"Vastgesteld"),"",_xlfn.MAXIFS($G$6:$G$5005,$S$6:$S$5005,S2574,$D$6:$D$5005,"Vastgesteld"))</f>
        <v/>
      </c>
      <c r="U2574" s="15">
        <f>IF(T2574="",0,IF(AND(G2574=T2574,COUNTIFS($S$6:S2574,S2574,$G$6:G2574,G2574,$D$6:D2574,"Vastgesteld")=1),1,0))</f>
        <v>0</v>
      </c>
      <c r="V2574" s="15">
        <f>IF(T2574="",0,IF(AND(G2574=T2574,COUNTIFS($S$6:S2574,S2574,$G$6:G2574,G2574,$D$6:D2574,"Vastgesteld")&gt;1),1,0))</f>
        <v>0</v>
      </c>
    </row>
    <row r="2575">
      <c r="S2575" s="15" t="str">
        <f>IF(J2575="","",J2575&amp;"|"&amp;E2575&amp;"|"&amp;F2575&amp;"|"&amp;I2575&amp;"|"&amp;O2575)</f>
        <v/>
      </c>
      <c r="T2575" s="15" t="str">
        <f>IF(OR(S2575="",D2575&lt;&gt;"Vastgesteld"),"",_xlfn.MAXIFS($G$6:$G$5005,$S$6:$S$5005,S2575,$D$6:$D$5005,"Vastgesteld"))</f>
        <v/>
      </c>
      <c r="U2575" s="15">
        <f>IF(T2575="",0,IF(AND(G2575=T2575,COUNTIFS($S$6:S2575,S2575,$G$6:G2575,G2575,$D$6:D2575,"Vastgesteld")=1),1,0))</f>
        <v>0</v>
      </c>
      <c r="V2575" s="15">
        <f>IF(T2575="",0,IF(AND(G2575=T2575,COUNTIFS($S$6:S2575,S2575,$G$6:G2575,G2575,$D$6:D2575,"Vastgesteld")&gt;1),1,0))</f>
        <v>0</v>
      </c>
    </row>
    <row r="2576">
      <c r="S2576" s="15" t="str">
        <f>IF(J2576="","",J2576&amp;"|"&amp;E2576&amp;"|"&amp;F2576&amp;"|"&amp;I2576&amp;"|"&amp;O2576)</f>
        <v/>
      </c>
      <c r="T2576" s="15" t="str">
        <f>IF(OR(S2576="",D2576&lt;&gt;"Vastgesteld"),"",_xlfn.MAXIFS($G$6:$G$5005,$S$6:$S$5005,S2576,$D$6:$D$5005,"Vastgesteld"))</f>
        <v/>
      </c>
      <c r="U2576" s="15">
        <f>IF(T2576="",0,IF(AND(G2576=T2576,COUNTIFS($S$6:S2576,S2576,$G$6:G2576,G2576,$D$6:D2576,"Vastgesteld")=1),1,0))</f>
        <v>0</v>
      </c>
      <c r="V2576" s="15">
        <f>IF(T2576="",0,IF(AND(G2576=T2576,COUNTIFS($S$6:S2576,S2576,$G$6:G2576,G2576,$D$6:D2576,"Vastgesteld")&gt;1),1,0))</f>
        <v>0</v>
      </c>
    </row>
    <row r="2577">
      <c r="S2577" s="15" t="str">
        <f>IF(J2577="","",J2577&amp;"|"&amp;E2577&amp;"|"&amp;F2577&amp;"|"&amp;I2577&amp;"|"&amp;O2577)</f>
        <v/>
      </c>
      <c r="T2577" s="15" t="str">
        <f>IF(OR(S2577="",D2577&lt;&gt;"Vastgesteld"),"",_xlfn.MAXIFS($G$6:$G$5005,$S$6:$S$5005,S2577,$D$6:$D$5005,"Vastgesteld"))</f>
        <v/>
      </c>
      <c r="U2577" s="15">
        <f>IF(T2577="",0,IF(AND(G2577=T2577,COUNTIFS($S$6:S2577,S2577,$G$6:G2577,G2577,$D$6:D2577,"Vastgesteld")=1),1,0))</f>
        <v>0</v>
      </c>
      <c r="V2577" s="15">
        <f>IF(T2577="",0,IF(AND(G2577=T2577,COUNTIFS($S$6:S2577,S2577,$G$6:G2577,G2577,$D$6:D2577,"Vastgesteld")&gt;1),1,0))</f>
        <v>0</v>
      </c>
    </row>
    <row r="2578">
      <c r="S2578" s="15" t="str">
        <f>IF(J2578="","",J2578&amp;"|"&amp;E2578&amp;"|"&amp;F2578&amp;"|"&amp;I2578&amp;"|"&amp;O2578)</f>
        <v/>
      </c>
      <c r="T2578" s="15" t="str">
        <f>IF(OR(S2578="",D2578&lt;&gt;"Vastgesteld"),"",_xlfn.MAXIFS($G$6:$G$5005,$S$6:$S$5005,S2578,$D$6:$D$5005,"Vastgesteld"))</f>
        <v/>
      </c>
      <c r="U2578" s="15">
        <f>IF(T2578="",0,IF(AND(G2578=T2578,COUNTIFS($S$6:S2578,S2578,$G$6:G2578,G2578,$D$6:D2578,"Vastgesteld")=1),1,0))</f>
        <v>0</v>
      </c>
      <c r="V2578" s="15">
        <f>IF(T2578="",0,IF(AND(G2578=T2578,COUNTIFS($S$6:S2578,S2578,$G$6:G2578,G2578,$D$6:D2578,"Vastgesteld")&gt;1),1,0))</f>
        <v>0</v>
      </c>
    </row>
    <row r="2579">
      <c r="S2579" s="15" t="str">
        <f>IF(J2579="","",J2579&amp;"|"&amp;E2579&amp;"|"&amp;F2579&amp;"|"&amp;I2579&amp;"|"&amp;O2579)</f>
        <v/>
      </c>
      <c r="T2579" s="15" t="str">
        <f>IF(OR(S2579="",D2579&lt;&gt;"Vastgesteld"),"",_xlfn.MAXIFS($G$6:$G$5005,$S$6:$S$5005,S2579,$D$6:$D$5005,"Vastgesteld"))</f>
        <v/>
      </c>
      <c r="U2579" s="15">
        <f>IF(T2579="",0,IF(AND(G2579=T2579,COUNTIFS($S$6:S2579,S2579,$G$6:G2579,G2579,$D$6:D2579,"Vastgesteld")=1),1,0))</f>
        <v>0</v>
      </c>
      <c r="V2579" s="15">
        <f>IF(T2579="",0,IF(AND(G2579=T2579,COUNTIFS($S$6:S2579,S2579,$G$6:G2579,G2579,$D$6:D2579,"Vastgesteld")&gt;1),1,0))</f>
        <v>0</v>
      </c>
    </row>
    <row r="2580">
      <c r="S2580" s="15" t="str">
        <f>IF(J2580="","",J2580&amp;"|"&amp;E2580&amp;"|"&amp;F2580&amp;"|"&amp;I2580&amp;"|"&amp;O2580)</f>
        <v/>
      </c>
      <c r="T2580" s="15" t="str">
        <f>IF(OR(S2580="",D2580&lt;&gt;"Vastgesteld"),"",_xlfn.MAXIFS($G$6:$G$5005,$S$6:$S$5005,S2580,$D$6:$D$5005,"Vastgesteld"))</f>
        <v/>
      </c>
      <c r="U2580" s="15">
        <f>IF(T2580="",0,IF(AND(G2580=T2580,COUNTIFS($S$6:S2580,S2580,$G$6:G2580,G2580,$D$6:D2580,"Vastgesteld")=1),1,0))</f>
        <v>0</v>
      </c>
      <c r="V2580" s="15">
        <f>IF(T2580="",0,IF(AND(G2580=T2580,COUNTIFS($S$6:S2580,S2580,$G$6:G2580,G2580,$D$6:D2580,"Vastgesteld")&gt;1),1,0))</f>
        <v>0</v>
      </c>
    </row>
    <row r="2581">
      <c r="S2581" s="15" t="str">
        <f>IF(J2581="","",J2581&amp;"|"&amp;E2581&amp;"|"&amp;F2581&amp;"|"&amp;I2581&amp;"|"&amp;O2581)</f>
        <v/>
      </c>
      <c r="T2581" s="15" t="str">
        <f>IF(OR(S2581="",D2581&lt;&gt;"Vastgesteld"),"",_xlfn.MAXIFS($G$6:$G$5005,$S$6:$S$5005,S2581,$D$6:$D$5005,"Vastgesteld"))</f>
        <v/>
      </c>
      <c r="U2581" s="15">
        <f>IF(T2581="",0,IF(AND(G2581=T2581,COUNTIFS($S$6:S2581,S2581,$G$6:G2581,G2581,$D$6:D2581,"Vastgesteld")=1),1,0))</f>
        <v>0</v>
      </c>
      <c r="V2581" s="15">
        <f>IF(T2581="",0,IF(AND(G2581=T2581,COUNTIFS($S$6:S2581,S2581,$G$6:G2581,G2581,$D$6:D2581,"Vastgesteld")&gt;1),1,0))</f>
        <v>0</v>
      </c>
    </row>
    <row r="2582">
      <c r="S2582" s="15" t="str">
        <f>IF(J2582="","",J2582&amp;"|"&amp;E2582&amp;"|"&amp;F2582&amp;"|"&amp;I2582&amp;"|"&amp;O2582)</f>
        <v/>
      </c>
      <c r="T2582" s="15" t="str">
        <f>IF(OR(S2582="",D2582&lt;&gt;"Vastgesteld"),"",_xlfn.MAXIFS($G$6:$G$5005,$S$6:$S$5005,S2582,$D$6:$D$5005,"Vastgesteld"))</f>
        <v/>
      </c>
      <c r="U2582" s="15">
        <f>IF(T2582="",0,IF(AND(G2582=T2582,COUNTIFS($S$6:S2582,S2582,$G$6:G2582,G2582,$D$6:D2582,"Vastgesteld")=1),1,0))</f>
        <v>0</v>
      </c>
      <c r="V2582" s="15">
        <f>IF(T2582="",0,IF(AND(G2582=T2582,COUNTIFS($S$6:S2582,S2582,$G$6:G2582,G2582,$D$6:D2582,"Vastgesteld")&gt;1),1,0))</f>
        <v>0</v>
      </c>
    </row>
    <row r="2583">
      <c r="S2583" s="15" t="str">
        <f>IF(J2583="","",J2583&amp;"|"&amp;E2583&amp;"|"&amp;F2583&amp;"|"&amp;I2583&amp;"|"&amp;O2583)</f>
        <v/>
      </c>
      <c r="T2583" s="15" t="str">
        <f>IF(OR(S2583="",D2583&lt;&gt;"Vastgesteld"),"",_xlfn.MAXIFS($G$6:$G$5005,$S$6:$S$5005,S2583,$D$6:$D$5005,"Vastgesteld"))</f>
        <v/>
      </c>
      <c r="U2583" s="15">
        <f>IF(T2583="",0,IF(AND(G2583=T2583,COUNTIFS($S$6:S2583,S2583,$G$6:G2583,G2583,$D$6:D2583,"Vastgesteld")=1),1,0))</f>
        <v>0</v>
      </c>
      <c r="V2583" s="15">
        <f>IF(T2583="",0,IF(AND(G2583=T2583,COUNTIFS($S$6:S2583,S2583,$G$6:G2583,G2583,$D$6:D2583,"Vastgesteld")&gt;1),1,0))</f>
        <v>0</v>
      </c>
    </row>
    <row r="2584">
      <c r="S2584" s="15" t="str">
        <f>IF(J2584="","",J2584&amp;"|"&amp;E2584&amp;"|"&amp;F2584&amp;"|"&amp;I2584&amp;"|"&amp;O2584)</f>
        <v/>
      </c>
      <c r="T2584" s="15" t="str">
        <f>IF(OR(S2584="",D2584&lt;&gt;"Vastgesteld"),"",_xlfn.MAXIFS($G$6:$G$5005,$S$6:$S$5005,S2584,$D$6:$D$5005,"Vastgesteld"))</f>
        <v/>
      </c>
      <c r="U2584" s="15">
        <f>IF(T2584="",0,IF(AND(G2584=T2584,COUNTIFS($S$6:S2584,S2584,$G$6:G2584,G2584,$D$6:D2584,"Vastgesteld")=1),1,0))</f>
        <v>0</v>
      </c>
      <c r="V2584" s="15">
        <f>IF(T2584="",0,IF(AND(G2584=T2584,COUNTIFS($S$6:S2584,S2584,$G$6:G2584,G2584,$D$6:D2584,"Vastgesteld")&gt;1),1,0))</f>
        <v>0</v>
      </c>
    </row>
    <row r="2585">
      <c r="S2585" s="15" t="str">
        <f>IF(J2585="","",J2585&amp;"|"&amp;E2585&amp;"|"&amp;F2585&amp;"|"&amp;I2585&amp;"|"&amp;O2585)</f>
        <v/>
      </c>
      <c r="T2585" s="15" t="str">
        <f>IF(OR(S2585="",D2585&lt;&gt;"Vastgesteld"),"",_xlfn.MAXIFS($G$6:$G$5005,$S$6:$S$5005,S2585,$D$6:$D$5005,"Vastgesteld"))</f>
        <v/>
      </c>
      <c r="U2585" s="15">
        <f>IF(T2585="",0,IF(AND(G2585=T2585,COUNTIFS($S$6:S2585,S2585,$G$6:G2585,G2585,$D$6:D2585,"Vastgesteld")=1),1,0))</f>
        <v>0</v>
      </c>
      <c r="V2585" s="15">
        <f>IF(T2585="",0,IF(AND(G2585=T2585,COUNTIFS($S$6:S2585,S2585,$G$6:G2585,G2585,$D$6:D2585,"Vastgesteld")&gt;1),1,0))</f>
        <v>0</v>
      </c>
    </row>
    <row r="2586">
      <c r="S2586" s="15" t="str">
        <f>IF(J2586="","",J2586&amp;"|"&amp;E2586&amp;"|"&amp;F2586&amp;"|"&amp;I2586&amp;"|"&amp;O2586)</f>
        <v/>
      </c>
      <c r="T2586" s="15" t="str">
        <f>IF(OR(S2586="",D2586&lt;&gt;"Vastgesteld"),"",_xlfn.MAXIFS($G$6:$G$5005,$S$6:$S$5005,S2586,$D$6:$D$5005,"Vastgesteld"))</f>
        <v/>
      </c>
      <c r="U2586" s="15">
        <f>IF(T2586="",0,IF(AND(G2586=T2586,COUNTIFS($S$6:S2586,S2586,$G$6:G2586,G2586,$D$6:D2586,"Vastgesteld")=1),1,0))</f>
        <v>0</v>
      </c>
      <c r="V2586" s="15">
        <f>IF(T2586="",0,IF(AND(G2586=T2586,COUNTIFS($S$6:S2586,S2586,$G$6:G2586,G2586,$D$6:D2586,"Vastgesteld")&gt;1),1,0))</f>
        <v>0</v>
      </c>
    </row>
    <row r="2587">
      <c r="S2587" s="15" t="str">
        <f>IF(J2587="","",J2587&amp;"|"&amp;E2587&amp;"|"&amp;F2587&amp;"|"&amp;I2587&amp;"|"&amp;O2587)</f>
        <v/>
      </c>
      <c r="T2587" s="15" t="str">
        <f>IF(OR(S2587="",D2587&lt;&gt;"Vastgesteld"),"",_xlfn.MAXIFS($G$6:$G$5005,$S$6:$S$5005,S2587,$D$6:$D$5005,"Vastgesteld"))</f>
        <v/>
      </c>
      <c r="U2587" s="15">
        <f>IF(T2587="",0,IF(AND(G2587=T2587,COUNTIFS($S$6:S2587,S2587,$G$6:G2587,G2587,$D$6:D2587,"Vastgesteld")=1),1,0))</f>
        <v>0</v>
      </c>
      <c r="V2587" s="15">
        <f>IF(T2587="",0,IF(AND(G2587=T2587,COUNTIFS($S$6:S2587,S2587,$G$6:G2587,G2587,$D$6:D2587,"Vastgesteld")&gt;1),1,0))</f>
        <v>0</v>
      </c>
    </row>
    <row r="2588">
      <c r="S2588" s="15" t="str">
        <f>IF(J2588="","",J2588&amp;"|"&amp;E2588&amp;"|"&amp;F2588&amp;"|"&amp;I2588&amp;"|"&amp;O2588)</f>
        <v/>
      </c>
      <c r="T2588" s="15" t="str">
        <f>IF(OR(S2588="",D2588&lt;&gt;"Vastgesteld"),"",_xlfn.MAXIFS($G$6:$G$5005,$S$6:$S$5005,S2588,$D$6:$D$5005,"Vastgesteld"))</f>
        <v/>
      </c>
      <c r="U2588" s="15">
        <f>IF(T2588="",0,IF(AND(G2588=T2588,COUNTIFS($S$6:S2588,S2588,$G$6:G2588,G2588,$D$6:D2588,"Vastgesteld")=1),1,0))</f>
        <v>0</v>
      </c>
      <c r="V2588" s="15">
        <f>IF(T2588="",0,IF(AND(G2588=T2588,COUNTIFS($S$6:S2588,S2588,$G$6:G2588,G2588,$D$6:D2588,"Vastgesteld")&gt;1),1,0))</f>
        <v>0</v>
      </c>
    </row>
    <row r="2589">
      <c r="S2589" s="15" t="str">
        <f>IF(J2589="","",J2589&amp;"|"&amp;E2589&amp;"|"&amp;F2589&amp;"|"&amp;I2589&amp;"|"&amp;O2589)</f>
        <v/>
      </c>
      <c r="T2589" s="15" t="str">
        <f>IF(OR(S2589="",D2589&lt;&gt;"Vastgesteld"),"",_xlfn.MAXIFS($G$6:$G$5005,$S$6:$S$5005,S2589,$D$6:$D$5005,"Vastgesteld"))</f>
        <v/>
      </c>
      <c r="U2589" s="15">
        <f>IF(T2589="",0,IF(AND(G2589=T2589,COUNTIFS($S$6:S2589,S2589,$G$6:G2589,G2589,$D$6:D2589,"Vastgesteld")=1),1,0))</f>
        <v>0</v>
      </c>
      <c r="V2589" s="15">
        <f>IF(T2589="",0,IF(AND(G2589=T2589,COUNTIFS($S$6:S2589,S2589,$G$6:G2589,G2589,$D$6:D2589,"Vastgesteld")&gt;1),1,0))</f>
        <v>0</v>
      </c>
    </row>
    <row r="2590">
      <c r="S2590" s="15" t="str">
        <f>IF(J2590="","",J2590&amp;"|"&amp;E2590&amp;"|"&amp;F2590&amp;"|"&amp;I2590&amp;"|"&amp;O2590)</f>
        <v/>
      </c>
      <c r="T2590" s="15" t="str">
        <f>IF(OR(S2590="",D2590&lt;&gt;"Vastgesteld"),"",_xlfn.MAXIFS($G$6:$G$5005,$S$6:$S$5005,S2590,$D$6:$D$5005,"Vastgesteld"))</f>
        <v/>
      </c>
      <c r="U2590" s="15">
        <f>IF(T2590="",0,IF(AND(G2590=T2590,COUNTIFS($S$6:S2590,S2590,$G$6:G2590,G2590,$D$6:D2590,"Vastgesteld")=1),1,0))</f>
        <v>0</v>
      </c>
      <c r="V2590" s="15">
        <f>IF(T2590="",0,IF(AND(G2590=T2590,COUNTIFS($S$6:S2590,S2590,$G$6:G2590,G2590,$D$6:D2590,"Vastgesteld")&gt;1),1,0))</f>
        <v>0</v>
      </c>
    </row>
    <row r="2591">
      <c r="S2591" s="15" t="str">
        <f>IF(J2591="","",J2591&amp;"|"&amp;E2591&amp;"|"&amp;F2591&amp;"|"&amp;I2591&amp;"|"&amp;O2591)</f>
        <v/>
      </c>
      <c r="T2591" s="15" t="str">
        <f>IF(OR(S2591="",D2591&lt;&gt;"Vastgesteld"),"",_xlfn.MAXIFS($G$6:$G$5005,$S$6:$S$5005,S2591,$D$6:$D$5005,"Vastgesteld"))</f>
        <v/>
      </c>
      <c r="U2591" s="15">
        <f>IF(T2591="",0,IF(AND(G2591=T2591,COUNTIFS($S$6:S2591,S2591,$G$6:G2591,G2591,$D$6:D2591,"Vastgesteld")=1),1,0))</f>
        <v>0</v>
      </c>
      <c r="V2591" s="15">
        <f>IF(T2591="",0,IF(AND(G2591=T2591,COUNTIFS($S$6:S2591,S2591,$G$6:G2591,G2591,$D$6:D2591,"Vastgesteld")&gt;1),1,0))</f>
        <v>0</v>
      </c>
    </row>
    <row r="2592">
      <c r="S2592" s="15" t="str">
        <f>IF(J2592="","",J2592&amp;"|"&amp;E2592&amp;"|"&amp;F2592&amp;"|"&amp;I2592&amp;"|"&amp;O2592)</f>
        <v/>
      </c>
      <c r="T2592" s="15" t="str">
        <f>IF(OR(S2592="",D2592&lt;&gt;"Vastgesteld"),"",_xlfn.MAXIFS($G$6:$G$5005,$S$6:$S$5005,S2592,$D$6:$D$5005,"Vastgesteld"))</f>
        <v/>
      </c>
      <c r="U2592" s="15">
        <f>IF(T2592="",0,IF(AND(G2592=T2592,COUNTIFS($S$6:S2592,S2592,$G$6:G2592,G2592,$D$6:D2592,"Vastgesteld")=1),1,0))</f>
        <v>0</v>
      </c>
      <c r="V2592" s="15">
        <f>IF(T2592="",0,IF(AND(G2592=T2592,COUNTIFS($S$6:S2592,S2592,$G$6:G2592,G2592,$D$6:D2592,"Vastgesteld")&gt;1),1,0))</f>
        <v>0</v>
      </c>
    </row>
    <row r="2593">
      <c r="S2593" s="15" t="str">
        <f>IF(J2593="","",J2593&amp;"|"&amp;E2593&amp;"|"&amp;F2593&amp;"|"&amp;I2593&amp;"|"&amp;O2593)</f>
        <v/>
      </c>
      <c r="T2593" s="15" t="str">
        <f>IF(OR(S2593="",D2593&lt;&gt;"Vastgesteld"),"",_xlfn.MAXIFS($G$6:$G$5005,$S$6:$S$5005,S2593,$D$6:$D$5005,"Vastgesteld"))</f>
        <v/>
      </c>
      <c r="U2593" s="15">
        <f>IF(T2593="",0,IF(AND(G2593=T2593,COUNTIFS($S$6:S2593,S2593,$G$6:G2593,G2593,$D$6:D2593,"Vastgesteld")=1),1,0))</f>
        <v>0</v>
      </c>
      <c r="V2593" s="15">
        <f>IF(T2593="",0,IF(AND(G2593=T2593,COUNTIFS($S$6:S2593,S2593,$G$6:G2593,G2593,$D$6:D2593,"Vastgesteld")&gt;1),1,0))</f>
        <v>0</v>
      </c>
    </row>
    <row r="2594">
      <c r="S2594" s="15" t="str">
        <f>IF(J2594="","",J2594&amp;"|"&amp;E2594&amp;"|"&amp;F2594&amp;"|"&amp;I2594&amp;"|"&amp;O2594)</f>
        <v/>
      </c>
      <c r="T2594" s="15" t="str">
        <f>IF(OR(S2594="",D2594&lt;&gt;"Vastgesteld"),"",_xlfn.MAXIFS($G$6:$G$5005,$S$6:$S$5005,S2594,$D$6:$D$5005,"Vastgesteld"))</f>
        <v/>
      </c>
      <c r="U2594" s="15">
        <f>IF(T2594="",0,IF(AND(G2594=T2594,COUNTIFS($S$6:S2594,S2594,$G$6:G2594,G2594,$D$6:D2594,"Vastgesteld")=1),1,0))</f>
        <v>0</v>
      </c>
      <c r="V2594" s="15">
        <f>IF(T2594="",0,IF(AND(G2594=T2594,COUNTIFS($S$6:S2594,S2594,$G$6:G2594,G2594,$D$6:D2594,"Vastgesteld")&gt;1),1,0))</f>
        <v>0</v>
      </c>
    </row>
    <row r="2595">
      <c r="S2595" s="15" t="str">
        <f>IF(J2595="","",J2595&amp;"|"&amp;E2595&amp;"|"&amp;F2595&amp;"|"&amp;I2595&amp;"|"&amp;O2595)</f>
        <v/>
      </c>
      <c r="T2595" s="15" t="str">
        <f>IF(OR(S2595="",D2595&lt;&gt;"Vastgesteld"),"",_xlfn.MAXIFS($G$6:$G$5005,$S$6:$S$5005,S2595,$D$6:$D$5005,"Vastgesteld"))</f>
        <v/>
      </c>
      <c r="U2595" s="15">
        <f>IF(T2595="",0,IF(AND(G2595=T2595,COUNTIFS($S$6:S2595,S2595,$G$6:G2595,G2595,$D$6:D2595,"Vastgesteld")=1),1,0))</f>
        <v>0</v>
      </c>
      <c r="V2595" s="15">
        <f>IF(T2595="",0,IF(AND(G2595=T2595,COUNTIFS($S$6:S2595,S2595,$G$6:G2595,G2595,$D$6:D2595,"Vastgesteld")&gt;1),1,0))</f>
        <v>0</v>
      </c>
    </row>
    <row r="2596">
      <c r="S2596" s="15" t="str">
        <f>IF(J2596="","",J2596&amp;"|"&amp;E2596&amp;"|"&amp;F2596&amp;"|"&amp;I2596&amp;"|"&amp;O2596)</f>
        <v/>
      </c>
      <c r="T2596" s="15" t="str">
        <f>IF(OR(S2596="",D2596&lt;&gt;"Vastgesteld"),"",_xlfn.MAXIFS($G$6:$G$5005,$S$6:$S$5005,S2596,$D$6:$D$5005,"Vastgesteld"))</f>
        <v/>
      </c>
      <c r="U2596" s="15">
        <f>IF(T2596="",0,IF(AND(G2596=T2596,COUNTIFS($S$6:S2596,S2596,$G$6:G2596,G2596,$D$6:D2596,"Vastgesteld")=1),1,0))</f>
        <v>0</v>
      </c>
      <c r="V2596" s="15">
        <f>IF(T2596="",0,IF(AND(G2596=T2596,COUNTIFS($S$6:S2596,S2596,$G$6:G2596,G2596,$D$6:D2596,"Vastgesteld")&gt;1),1,0))</f>
        <v>0</v>
      </c>
    </row>
    <row r="2597">
      <c r="S2597" s="15" t="str">
        <f>IF(J2597="","",J2597&amp;"|"&amp;E2597&amp;"|"&amp;F2597&amp;"|"&amp;I2597&amp;"|"&amp;O2597)</f>
        <v/>
      </c>
      <c r="T2597" s="15" t="str">
        <f>IF(OR(S2597="",D2597&lt;&gt;"Vastgesteld"),"",_xlfn.MAXIFS($G$6:$G$5005,$S$6:$S$5005,S2597,$D$6:$D$5005,"Vastgesteld"))</f>
        <v/>
      </c>
      <c r="U2597" s="15">
        <f>IF(T2597="",0,IF(AND(G2597=T2597,COUNTIFS($S$6:S2597,S2597,$G$6:G2597,G2597,$D$6:D2597,"Vastgesteld")=1),1,0))</f>
        <v>0</v>
      </c>
      <c r="V2597" s="15">
        <f>IF(T2597="",0,IF(AND(G2597=T2597,COUNTIFS($S$6:S2597,S2597,$G$6:G2597,G2597,$D$6:D2597,"Vastgesteld")&gt;1),1,0))</f>
        <v>0</v>
      </c>
    </row>
    <row r="2598">
      <c r="S2598" s="15" t="str">
        <f>IF(J2598="","",J2598&amp;"|"&amp;E2598&amp;"|"&amp;F2598&amp;"|"&amp;I2598&amp;"|"&amp;O2598)</f>
        <v/>
      </c>
      <c r="T2598" s="15" t="str">
        <f>IF(OR(S2598="",D2598&lt;&gt;"Vastgesteld"),"",_xlfn.MAXIFS($G$6:$G$5005,$S$6:$S$5005,S2598,$D$6:$D$5005,"Vastgesteld"))</f>
        <v/>
      </c>
      <c r="U2598" s="15">
        <f>IF(T2598="",0,IF(AND(G2598=T2598,COUNTIFS($S$6:S2598,S2598,$G$6:G2598,G2598,$D$6:D2598,"Vastgesteld")=1),1,0))</f>
        <v>0</v>
      </c>
      <c r="V2598" s="15">
        <f>IF(T2598="",0,IF(AND(G2598=T2598,COUNTIFS($S$6:S2598,S2598,$G$6:G2598,G2598,$D$6:D2598,"Vastgesteld")&gt;1),1,0))</f>
        <v>0</v>
      </c>
    </row>
    <row r="2599">
      <c r="S2599" s="15" t="str">
        <f>IF(J2599="","",J2599&amp;"|"&amp;E2599&amp;"|"&amp;F2599&amp;"|"&amp;I2599&amp;"|"&amp;O2599)</f>
        <v/>
      </c>
      <c r="T2599" s="15" t="str">
        <f>IF(OR(S2599="",D2599&lt;&gt;"Vastgesteld"),"",_xlfn.MAXIFS($G$6:$G$5005,$S$6:$S$5005,S2599,$D$6:$D$5005,"Vastgesteld"))</f>
        <v/>
      </c>
      <c r="U2599" s="15">
        <f>IF(T2599="",0,IF(AND(G2599=T2599,COUNTIFS($S$6:S2599,S2599,$G$6:G2599,G2599,$D$6:D2599,"Vastgesteld")=1),1,0))</f>
        <v>0</v>
      </c>
      <c r="V2599" s="15">
        <f>IF(T2599="",0,IF(AND(G2599=T2599,COUNTIFS($S$6:S2599,S2599,$G$6:G2599,G2599,$D$6:D2599,"Vastgesteld")&gt;1),1,0))</f>
        <v>0</v>
      </c>
    </row>
    <row r="2600">
      <c r="S2600" s="15" t="str">
        <f>IF(J2600="","",J2600&amp;"|"&amp;E2600&amp;"|"&amp;F2600&amp;"|"&amp;I2600&amp;"|"&amp;O2600)</f>
        <v/>
      </c>
      <c r="T2600" s="15" t="str">
        <f>IF(OR(S2600="",D2600&lt;&gt;"Vastgesteld"),"",_xlfn.MAXIFS($G$6:$G$5005,$S$6:$S$5005,S2600,$D$6:$D$5005,"Vastgesteld"))</f>
        <v/>
      </c>
      <c r="U2600" s="15">
        <f>IF(T2600="",0,IF(AND(G2600=T2600,COUNTIFS($S$6:S2600,S2600,$G$6:G2600,G2600,$D$6:D2600,"Vastgesteld")=1),1,0))</f>
        <v>0</v>
      </c>
      <c r="V2600" s="15">
        <f>IF(T2600="",0,IF(AND(G2600=T2600,COUNTIFS($S$6:S2600,S2600,$G$6:G2600,G2600,$D$6:D2600,"Vastgesteld")&gt;1),1,0))</f>
        <v>0</v>
      </c>
    </row>
    <row r="2601">
      <c r="S2601" s="15" t="str">
        <f>IF(J2601="","",J2601&amp;"|"&amp;E2601&amp;"|"&amp;F2601&amp;"|"&amp;I2601&amp;"|"&amp;O2601)</f>
        <v/>
      </c>
      <c r="T2601" s="15" t="str">
        <f>IF(OR(S2601="",D2601&lt;&gt;"Vastgesteld"),"",_xlfn.MAXIFS($G$6:$G$5005,$S$6:$S$5005,S2601,$D$6:$D$5005,"Vastgesteld"))</f>
        <v/>
      </c>
      <c r="U2601" s="15">
        <f>IF(T2601="",0,IF(AND(G2601=T2601,COUNTIFS($S$6:S2601,S2601,$G$6:G2601,G2601,$D$6:D2601,"Vastgesteld")=1),1,0))</f>
        <v>0</v>
      </c>
      <c r="V2601" s="15">
        <f>IF(T2601="",0,IF(AND(G2601=T2601,COUNTIFS($S$6:S2601,S2601,$G$6:G2601,G2601,$D$6:D2601,"Vastgesteld")&gt;1),1,0))</f>
        <v>0</v>
      </c>
    </row>
    <row r="2602">
      <c r="S2602" s="15" t="str">
        <f>IF(J2602="","",J2602&amp;"|"&amp;E2602&amp;"|"&amp;F2602&amp;"|"&amp;I2602&amp;"|"&amp;O2602)</f>
        <v/>
      </c>
      <c r="T2602" s="15" t="str">
        <f>IF(OR(S2602="",D2602&lt;&gt;"Vastgesteld"),"",_xlfn.MAXIFS($G$6:$G$5005,$S$6:$S$5005,S2602,$D$6:$D$5005,"Vastgesteld"))</f>
        <v/>
      </c>
      <c r="U2602" s="15">
        <f>IF(T2602="",0,IF(AND(G2602=T2602,COUNTIFS($S$6:S2602,S2602,$G$6:G2602,G2602,$D$6:D2602,"Vastgesteld")=1),1,0))</f>
        <v>0</v>
      </c>
      <c r="V2602" s="15">
        <f>IF(T2602="",0,IF(AND(G2602=T2602,COUNTIFS($S$6:S2602,S2602,$G$6:G2602,G2602,$D$6:D2602,"Vastgesteld")&gt;1),1,0))</f>
        <v>0</v>
      </c>
    </row>
    <row r="2603">
      <c r="S2603" s="15" t="str">
        <f>IF(J2603="","",J2603&amp;"|"&amp;E2603&amp;"|"&amp;F2603&amp;"|"&amp;I2603&amp;"|"&amp;O2603)</f>
        <v/>
      </c>
      <c r="T2603" s="15" t="str">
        <f>IF(OR(S2603="",D2603&lt;&gt;"Vastgesteld"),"",_xlfn.MAXIFS($G$6:$G$5005,$S$6:$S$5005,S2603,$D$6:$D$5005,"Vastgesteld"))</f>
        <v/>
      </c>
      <c r="U2603" s="15">
        <f>IF(T2603="",0,IF(AND(G2603=T2603,COUNTIFS($S$6:S2603,S2603,$G$6:G2603,G2603,$D$6:D2603,"Vastgesteld")=1),1,0))</f>
        <v>0</v>
      </c>
      <c r="V2603" s="15">
        <f>IF(T2603="",0,IF(AND(G2603=T2603,COUNTIFS($S$6:S2603,S2603,$G$6:G2603,G2603,$D$6:D2603,"Vastgesteld")&gt;1),1,0))</f>
        <v>0</v>
      </c>
    </row>
    <row r="2604">
      <c r="S2604" s="15" t="str">
        <f>IF(J2604="","",J2604&amp;"|"&amp;E2604&amp;"|"&amp;F2604&amp;"|"&amp;I2604&amp;"|"&amp;O2604)</f>
        <v/>
      </c>
      <c r="T2604" s="15" t="str">
        <f>IF(OR(S2604="",D2604&lt;&gt;"Vastgesteld"),"",_xlfn.MAXIFS($G$6:$G$5005,$S$6:$S$5005,S2604,$D$6:$D$5005,"Vastgesteld"))</f>
        <v/>
      </c>
      <c r="U2604" s="15">
        <f>IF(T2604="",0,IF(AND(G2604=T2604,COUNTIFS($S$6:S2604,S2604,$G$6:G2604,G2604,$D$6:D2604,"Vastgesteld")=1),1,0))</f>
        <v>0</v>
      </c>
      <c r="V2604" s="15">
        <f>IF(T2604="",0,IF(AND(G2604=T2604,COUNTIFS($S$6:S2604,S2604,$G$6:G2604,G2604,$D$6:D2604,"Vastgesteld")&gt;1),1,0))</f>
        <v>0</v>
      </c>
    </row>
    <row r="2605">
      <c r="S2605" s="15" t="str">
        <f>IF(J2605="","",J2605&amp;"|"&amp;E2605&amp;"|"&amp;F2605&amp;"|"&amp;I2605&amp;"|"&amp;O2605)</f>
        <v/>
      </c>
      <c r="T2605" s="15" t="str">
        <f>IF(OR(S2605="",D2605&lt;&gt;"Vastgesteld"),"",_xlfn.MAXIFS($G$6:$G$5005,$S$6:$S$5005,S2605,$D$6:$D$5005,"Vastgesteld"))</f>
        <v/>
      </c>
      <c r="U2605" s="15">
        <f>IF(T2605="",0,IF(AND(G2605=T2605,COUNTIFS($S$6:S2605,S2605,$G$6:G2605,G2605,$D$6:D2605,"Vastgesteld")=1),1,0))</f>
        <v>0</v>
      </c>
      <c r="V2605" s="15">
        <f>IF(T2605="",0,IF(AND(G2605=T2605,COUNTIFS($S$6:S2605,S2605,$G$6:G2605,G2605,$D$6:D2605,"Vastgesteld")&gt;1),1,0))</f>
        <v>0</v>
      </c>
    </row>
    <row r="2606">
      <c r="S2606" s="15" t="str">
        <f>IF(J2606="","",J2606&amp;"|"&amp;E2606&amp;"|"&amp;F2606&amp;"|"&amp;I2606&amp;"|"&amp;O2606)</f>
        <v/>
      </c>
      <c r="T2606" s="15" t="str">
        <f>IF(OR(S2606="",D2606&lt;&gt;"Vastgesteld"),"",_xlfn.MAXIFS($G$6:$G$5005,$S$6:$S$5005,S2606,$D$6:$D$5005,"Vastgesteld"))</f>
        <v/>
      </c>
      <c r="U2606" s="15">
        <f>IF(T2606="",0,IF(AND(G2606=T2606,COUNTIFS($S$6:S2606,S2606,$G$6:G2606,G2606,$D$6:D2606,"Vastgesteld")=1),1,0))</f>
        <v>0</v>
      </c>
      <c r="V2606" s="15">
        <f>IF(T2606="",0,IF(AND(G2606=T2606,COUNTIFS($S$6:S2606,S2606,$G$6:G2606,G2606,$D$6:D2606,"Vastgesteld")&gt;1),1,0))</f>
        <v>0</v>
      </c>
    </row>
    <row r="2607">
      <c r="S2607" s="15" t="str">
        <f>IF(J2607="","",J2607&amp;"|"&amp;E2607&amp;"|"&amp;F2607&amp;"|"&amp;I2607&amp;"|"&amp;O2607)</f>
        <v/>
      </c>
      <c r="T2607" s="15" t="str">
        <f>IF(OR(S2607="",D2607&lt;&gt;"Vastgesteld"),"",_xlfn.MAXIFS($G$6:$G$5005,$S$6:$S$5005,S2607,$D$6:$D$5005,"Vastgesteld"))</f>
        <v/>
      </c>
      <c r="U2607" s="15">
        <f>IF(T2607="",0,IF(AND(G2607=T2607,COUNTIFS($S$6:S2607,S2607,$G$6:G2607,G2607,$D$6:D2607,"Vastgesteld")=1),1,0))</f>
        <v>0</v>
      </c>
      <c r="V2607" s="15">
        <f>IF(T2607="",0,IF(AND(G2607=T2607,COUNTIFS($S$6:S2607,S2607,$G$6:G2607,G2607,$D$6:D2607,"Vastgesteld")&gt;1),1,0))</f>
        <v>0</v>
      </c>
    </row>
    <row r="2608">
      <c r="S2608" s="15" t="str">
        <f>IF(J2608="","",J2608&amp;"|"&amp;E2608&amp;"|"&amp;F2608&amp;"|"&amp;I2608&amp;"|"&amp;O2608)</f>
        <v/>
      </c>
      <c r="T2608" s="15" t="str">
        <f>IF(OR(S2608="",D2608&lt;&gt;"Vastgesteld"),"",_xlfn.MAXIFS($G$6:$G$5005,$S$6:$S$5005,S2608,$D$6:$D$5005,"Vastgesteld"))</f>
        <v/>
      </c>
      <c r="U2608" s="15">
        <f>IF(T2608="",0,IF(AND(G2608=T2608,COUNTIFS($S$6:S2608,S2608,$G$6:G2608,G2608,$D$6:D2608,"Vastgesteld")=1),1,0))</f>
        <v>0</v>
      </c>
      <c r="V2608" s="15">
        <f>IF(T2608="",0,IF(AND(G2608=T2608,COUNTIFS($S$6:S2608,S2608,$G$6:G2608,G2608,$D$6:D2608,"Vastgesteld")&gt;1),1,0))</f>
        <v>0</v>
      </c>
    </row>
    <row r="2609">
      <c r="S2609" s="15" t="str">
        <f>IF(J2609="","",J2609&amp;"|"&amp;E2609&amp;"|"&amp;F2609&amp;"|"&amp;I2609&amp;"|"&amp;O2609)</f>
        <v/>
      </c>
      <c r="T2609" s="15" t="str">
        <f>IF(OR(S2609="",D2609&lt;&gt;"Vastgesteld"),"",_xlfn.MAXIFS($G$6:$G$5005,$S$6:$S$5005,S2609,$D$6:$D$5005,"Vastgesteld"))</f>
        <v/>
      </c>
      <c r="U2609" s="15">
        <f>IF(T2609="",0,IF(AND(G2609=T2609,COUNTIFS($S$6:S2609,S2609,$G$6:G2609,G2609,$D$6:D2609,"Vastgesteld")=1),1,0))</f>
        <v>0</v>
      </c>
      <c r="V2609" s="15">
        <f>IF(T2609="",0,IF(AND(G2609=T2609,COUNTIFS($S$6:S2609,S2609,$G$6:G2609,G2609,$D$6:D2609,"Vastgesteld")&gt;1),1,0))</f>
        <v>0</v>
      </c>
    </row>
    <row r="2610">
      <c r="S2610" s="15" t="str">
        <f>IF(J2610="","",J2610&amp;"|"&amp;E2610&amp;"|"&amp;F2610&amp;"|"&amp;I2610&amp;"|"&amp;O2610)</f>
        <v/>
      </c>
      <c r="T2610" s="15" t="str">
        <f>IF(OR(S2610="",D2610&lt;&gt;"Vastgesteld"),"",_xlfn.MAXIFS($G$6:$G$5005,$S$6:$S$5005,S2610,$D$6:$D$5005,"Vastgesteld"))</f>
        <v/>
      </c>
      <c r="U2610" s="15">
        <f>IF(T2610="",0,IF(AND(G2610=T2610,COUNTIFS($S$6:S2610,S2610,$G$6:G2610,G2610,$D$6:D2610,"Vastgesteld")=1),1,0))</f>
        <v>0</v>
      </c>
      <c r="V2610" s="15">
        <f>IF(T2610="",0,IF(AND(G2610=T2610,COUNTIFS($S$6:S2610,S2610,$G$6:G2610,G2610,$D$6:D2610,"Vastgesteld")&gt;1),1,0))</f>
        <v>0</v>
      </c>
    </row>
    <row r="2611">
      <c r="S2611" s="15" t="str">
        <f>IF(J2611="","",J2611&amp;"|"&amp;E2611&amp;"|"&amp;F2611&amp;"|"&amp;I2611&amp;"|"&amp;O2611)</f>
        <v/>
      </c>
      <c r="T2611" s="15" t="str">
        <f>IF(OR(S2611="",D2611&lt;&gt;"Vastgesteld"),"",_xlfn.MAXIFS($G$6:$G$5005,$S$6:$S$5005,S2611,$D$6:$D$5005,"Vastgesteld"))</f>
        <v/>
      </c>
      <c r="U2611" s="15">
        <f>IF(T2611="",0,IF(AND(G2611=T2611,COUNTIFS($S$6:S2611,S2611,$G$6:G2611,G2611,$D$6:D2611,"Vastgesteld")=1),1,0))</f>
        <v>0</v>
      </c>
      <c r="V2611" s="15">
        <f>IF(T2611="",0,IF(AND(G2611=T2611,COUNTIFS($S$6:S2611,S2611,$G$6:G2611,G2611,$D$6:D2611,"Vastgesteld")&gt;1),1,0))</f>
        <v>0</v>
      </c>
    </row>
    <row r="2612">
      <c r="S2612" s="15" t="str">
        <f>IF(J2612="","",J2612&amp;"|"&amp;E2612&amp;"|"&amp;F2612&amp;"|"&amp;I2612&amp;"|"&amp;O2612)</f>
        <v/>
      </c>
      <c r="T2612" s="15" t="str">
        <f>IF(OR(S2612="",D2612&lt;&gt;"Vastgesteld"),"",_xlfn.MAXIFS($G$6:$G$5005,$S$6:$S$5005,S2612,$D$6:$D$5005,"Vastgesteld"))</f>
        <v/>
      </c>
      <c r="U2612" s="15">
        <f>IF(T2612="",0,IF(AND(G2612=T2612,COUNTIFS($S$6:S2612,S2612,$G$6:G2612,G2612,$D$6:D2612,"Vastgesteld")=1),1,0))</f>
        <v>0</v>
      </c>
      <c r="V2612" s="15">
        <f>IF(T2612="",0,IF(AND(G2612=T2612,COUNTIFS($S$6:S2612,S2612,$G$6:G2612,G2612,$D$6:D2612,"Vastgesteld")&gt;1),1,0))</f>
        <v>0</v>
      </c>
    </row>
    <row r="2613">
      <c r="S2613" s="15" t="str">
        <f>IF(J2613="","",J2613&amp;"|"&amp;E2613&amp;"|"&amp;F2613&amp;"|"&amp;I2613&amp;"|"&amp;O2613)</f>
        <v/>
      </c>
      <c r="T2613" s="15" t="str">
        <f>IF(OR(S2613="",D2613&lt;&gt;"Vastgesteld"),"",_xlfn.MAXIFS($G$6:$G$5005,$S$6:$S$5005,S2613,$D$6:$D$5005,"Vastgesteld"))</f>
        <v/>
      </c>
      <c r="U2613" s="15">
        <f>IF(T2613="",0,IF(AND(G2613=T2613,COUNTIFS($S$6:S2613,S2613,$G$6:G2613,G2613,$D$6:D2613,"Vastgesteld")=1),1,0))</f>
        <v>0</v>
      </c>
      <c r="V2613" s="15">
        <f>IF(T2613="",0,IF(AND(G2613=T2613,COUNTIFS($S$6:S2613,S2613,$G$6:G2613,G2613,$D$6:D2613,"Vastgesteld")&gt;1),1,0))</f>
        <v>0</v>
      </c>
    </row>
    <row r="2614">
      <c r="S2614" s="15" t="str">
        <f>IF(J2614="","",J2614&amp;"|"&amp;E2614&amp;"|"&amp;F2614&amp;"|"&amp;I2614&amp;"|"&amp;O2614)</f>
        <v/>
      </c>
      <c r="T2614" s="15" t="str">
        <f>IF(OR(S2614="",D2614&lt;&gt;"Vastgesteld"),"",_xlfn.MAXIFS($G$6:$G$5005,$S$6:$S$5005,S2614,$D$6:$D$5005,"Vastgesteld"))</f>
        <v/>
      </c>
      <c r="U2614" s="15">
        <f>IF(T2614="",0,IF(AND(G2614=T2614,COUNTIFS($S$6:S2614,S2614,$G$6:G2614,G2614,$D$6:D2614,"Vastgesteld")=1),1,0))</f>
        <v>0</v>
      </c>
      <c r="V2614" s="15">
        <f>IF(T2614="",0,IF(AND(G2614=T2614,COUNTIFS($S$6:S2614,S2614,$G$6:G2614,G2614,$D$6:D2614,"Vastgesteld")&gt;1),1,0))</f>
        <v>0</v>
      </c>
    </row>
    <row r="2615">
      <c r="S2615" s="15" t="str">
        <f>IF(J2615="","",J2615&amp;"|"&amp;E2615&amp;"|"&amp;F2615&amp;"|"&amp;I2615&amp;"|"&amp;O2615)</f>
        <v/>
      </c>
      <c r="T2615" s="15" t="str">
        <f>IF(OR(S2615="",D2615&lt;&gt;"Vastgesteld"),"",_xlfn.MAXIFS($G$6:$G$5005,$S$6:$S$5005,S2615,$D$6:$D$5005,"Vastgesteld"))</f>
        <v/>
      </c>
      <c r="U2615" s="15">
        <f>IF(T2615="",0,IF(AND(G2615=T2615,COUNTIFS($S$6:S2615,S2615,$G$6:G2615,G2615,$D$6:D2615,"Vastgesteld")=1),1,0))</f>
        <v>0</v>
      </c>
      <c r="V2615" s="15">
        <f>IF(T2615="",0,IF(AND(G2615=T2615,COUNTIFS($S$6:S2615,S2615,$G$6:G2615,G2615,$D$6:D2615,"Vastgesteld")&gt;1),1,0))</f>
        <v>0</v>
      </c>
    </row>
    <row r="2616">
      <c r="S2616" s="15" t="str">
        <f>IF(J2616="","",J2616&amp;"|"&amp;E2616&amp;"|"&amp;F2616&amp;"|"&amp;I2616&amp;"|"&amp;O2616)</f>
        <v/>
      </c>
      <c r="T2616" s="15" t="str">
        <f>IF(OR(S2616="",D2616&lt;&gt;"Vastgesteld"),"",_xlfn.MAXIFS($G$6:$G$5005,$S$6:$S$5005,S2616,$D$6:$D$5005,"Vastgesteld"))</f>
        <v/>
      </c>
      <c r="U2616" s="15">
        <f>IF(T2616="",0,IF(AND(G2616=T2616,COUNTIFS($S$6:S2616,S2616,$G$6:G2616,G2616,$D$6:D2616,"Vastgesteld")=1),1,0))</f>
        <v>0</v>
      </c>
      <c r="V2616" s="15">
        <f>IF(T2616="",0,IF(AND(G2616=T2616,COUNTIFS($S$6:S2616,S2616,$G$6:G2616,G2616,$D$6:D2616,"Vastgesteld")&gt;1),1,0))</f>
        <v>0</v>
      </c>
    </row>
    <row r="2617">
      <c r="S2617" s="15" t="str">
        <f>IF(J2617="","",J2617&amp;"|"&amp;E2617&amp;"|"&amp;F2617&amp;"|"&amp;I2617&amp;"|"&amp;O2617)</f>
        <v/>
      </c>
      <c r="T2617" s="15" t="str">
        <f>IF(OR(S2617="",D2617&lt;&gt;"Vastgesteld"),"",_xlfn.MAXIFS($G$6:$G$5005,$S$6:$S$5005,S2617,$D$6:$D$5005,"Vastgesteld"))</f>
        <v/>
      </c>
      <c r="U2617" s="15">
        <f>IF(T2617="",0,IF(AND(G2617=T2617,COUNTIFS($S$6:S2617,S2617,$G$6:G2617,G2617,$D$6:D2617,"Vastgesteld")=1),1,0))</f>
        <v>0</v>
      </c>
      <c r="V2617" s="15">
        <f>IF(T2617="",0,IF(AND(G2617=T2617,COUNTIFS($S$6:S2617,S2617,$G$6:G2617,G2617,$D$6:D2617,"Vastgesteld")&gt;1),1,0))</f>
        <v>0</v>
      </c>
    </row>
    <row r="2618">
      <c r="S2618" s="15" t="str">
        <f>IF(J2618="","",J2618&amp;"|"&amp;E2618&amp;"|"&amp;F2618&amp;"|"&amp;I2618&amp;"|"&amp;O2618)</f>
        <v/>
      </c>
      <c r="T2618" s="15" t="str">
        <f>IF(OR(S2618="",D2618&lt;&gt;"Vastgesteld"),"",_xlfn.MAXIFS($G$6:$G$5005,$S$6:$S$5005,S2618,$D$6:$D$5005,"Vastgesteld"))</f>
        <v/>
      </c>
      <c r="U2618" s="15">
        <f>IF(T2618="",0,IF(AND(G2618=T2618,COUNTIFS($S$6:S2618,S2618,$G$6:G2618,G2618,$D$6:D2618,"Vastgesteld")=1),1,0))</f>
        <v>0</v>
      </c>
      <c r="V2618" s="15">
        <f>IF(T2618="",0,IF(AND(G2618=T2618,COUNTIFS($S$6:S2618,S2618,$G$6:G2618,G2618,$D$6:D2618,"Vastgesteld")&gt;1),1,0))</f>
        <v>0</v>
      </c>
    </row>
    <row r="2619">
      <c r="S2619" s="15" t="str">
        <f>IF(J2619="","",J2619&amp;"|"&amp;E2619&amp;"|"&amp;F2619&amp;"|"&amp;I2619&amp;"|"&amp;O2619)</f>
        <v/>
      </c>
      <c r="T2619" s="15" t="str">
        <f>IF(OR(S2619="",D2619&lt;&gt;"Vastgesteld"),"",_xlfn.MAXIFS($G$6:$G$5005,$S$6:$S$5005,S2619,$D$6:$D$5005,"Vastgesteld"))</f>
        <v/>
      </c>
      <c r="U2619" s="15">
        <f>IF(T2619="",0,IF(AND(G2619=T2619,COUNTIFS($S$6:S2619,S2619,$G$6:G2619,G2619,$D$6:D2619,"Vastgesteld")=1),1,0))</f>
        <v>0</v>
      </c>
      <c r="V2619" s="15">
        <f>IF(T2619="",0,IF(AND(G2619=T2619,COUNTIFS($S$6:S2619,S2619,$G$6:G2619,G2619,$D$6:D2619,"Vastgesteld")&gt;1),1,0))</f>
        <v>0</v>
      </c>
    </row>
    <row r="2620">
      <c r="S2620" s="15" t="str">
        <f>IF(J2620="","",J2620&amp;"|"&amp;E2620&amp;"|"&amp;F2620&amp;"|"&amp;I2620&amp;"|"&amp;O2620)</f>
        <v/>
      </c>
      <c r="T2620" s="15" t="str">
        <f>IF(OR(S2620="",D2620&lt;&gt;"Vastgesteld"),"",_xlfn.MAXIFS($G$6:$G$5005,$S$6:$S$5005,S2620,$D$6:$D$5005,"Vastgesteld"))</f>
        <v/>
      </c>
      <c r="U2620" s="15">
        <f>IF(T2620="",0,IF(AND(G2620=T2620,COUNTIFS($S$6:S2620,S2620,$G$6:G2620,G2620,$D$6:D2620,"Vastgesteld")=1),1,0))</f>
        <v>0</v>
      </c>
      <c r="V2620" s="15">
        <f>IF(T2620="",0,IF(AND(G2620=T2620,COUNTIFS($S$6:S2620,S2620,$G$6:G2620,G2620,$D$6:D2620,"Vastgesteld")&gt;1),1,0))</f>
        <v>0</v>
      </c>
    </row>
    <row r="2621">
      <c r="S2621" s="15" t="str">
        <f>IF(J2621="","",J2621&amp;"|"&amp;E2621&amp;"|"&amp;F2621&amp;"|"&amp;I2621&amp;"|"&amp;O2621)</f>
        <v/>
      </c>
      <c r="T2621" s="15" t="str">
        <f>IF(OR(S2621="",D2621&lt;&gt;"Vastgesteld"),"",_xlfn.MAXIFS($G$6:$G$5005,$S$6:$S$5005,S2621,$D$6:$D$5005,"Vastgesteld"))</f>
        <v/>
      </c>
      <c r="U2621" s="15">
        <f>IF(T2621="",0,IF(AND(G2621=T2621,COUNTIFS($S$6:S2621,S2621,$G$6:G2621,G2621,$D$6:D2621,"Vastgesteld")=1),1,0))</f>
        <v>0</v>
      </c>
      <c r="V2621" s="15">
        <f>IF(T2621="",0,IF(AND(G2621=T2621,COUNTIFS($S$6:S2621,S2621,$G$6:G2621,G2621,$D$6:D2621,"Vastgesteld")&gt;1),1,0))</f>
        <v>0</v>
      </c>
    </row>
    <row r="2622">
      <c r="S2622" s="15" t="str">
        <f>IF(J2622="","",J2622&amp;"|"&amp;E2622&amp;"|"&amp;F2622&amp;"|"&amp;I2622&amp;"|"&amp;O2622)</f>
        <v/>
      </c>
      <c r="T2622" s="15" t="str">
        <f>IF(OR(S2622="",D2622&lt;&gt;"Vastgesteld"),"",_xlfn.MAXIFS($G$6:$G$5005,$S$6:$S$5005,S2622,$D$6:$D$5005,"Vastgesteld"))</f>
        <v/>
      </c>
      <c r="U2622" s="15">
        <f>IF(T2622="",0,IF(AND(G2622=T2622,COUNTIFS($S$6:S2622,S2622,$G$6:G2622,G2622,$D$6:D2622,"Vastgesteld")=1),1,0))</f>
        <v>0</v>
      </c>
      <c r="V2622" s="15">
        <f>IF(T2622="",0,IF(AND(G2622=T2622,COUNTIFS($S$6:S2622,S2622,$G$6:G2622,G2622,$D$6:D2622,"Vastgesteld")&gt;1),1,0))</f>
        <v>0</v>
      </c>
    </row>
    <row r="2623">
      <c r="S2623" s="15" t="str">
        <f>IF(J2623="","",J2623&amp;"|"&amp;E2623&amp;"|"&amp;F2623&amp;"|"&amp;I2623&amp;"|"&amp;O2623)</f>
        <v/>
      </c>
      <c r="T2623" s="15" t="str">
        <f>IF(OR(S2623="",D2623&lt;&gt;"Vastgesteld"),"",_xlfn.MAXIFS($G$6:$G$5005,$S$6:$S$5005,S2623,$D$6:$D$5005,"Vastgesteld"))</f>
        <v/>
      </c>
      <c r="U2623" s="15">
        <f>IF(T2623="",0,IF(AND(G2623=T2623,COUNTIFS($S$6:S2623,S2623,$G$6:G2623,G2623,$D$6:D2623,"Vastgesteld")=1),1,0))</f>
        <v>0</v>
      </c>
      <c r="V2623" s="15">
        <f>IF(T2623="",0,IF(AND(G2623=T2623,COUNTIFS($S$6:S2623,S2623,$G$6:G2623,G2623,$D$6:D2623,"Vastgesteld")&gt;1),1,0))</f>
        <v>0</v>
      </c>
    </row>
    <row r="2624">
      <c r="S2624" s="15" t="str">
        <f>IF(J2624="","",J2624&amp;"|"&amp;E2624&amp;"|"&amp;F2624&amp;"|"&amp;I2624&amp;"|"&amp;O2624)</f>
        <v/>
      </c>
      <c r="T2624" s="15" t="str">
        <f>IF(OR(S2624="",D2624&lt;&gt;"Vastgesteld"),"",_xlfn.MAXIFS($G$6:$G$5005,$S$6:$S$5005,S2624,$D$6:$D$5005,"Vastgesteld"))</f>
        <v/>
      </c>
      <c r="U2624" s="15">
        <f>IF(T2624="",0,IF(AND(G2624=T2624,COUNTIFS($S$6:S2624,S2624,$G$6:G2624,G2624,$D$6:D2624,"Vastgesteld")=1),1,0))</f>
        <v>0</v>
      </c>
      <c r="V2624" s="15">
        <f>IF(T2624="",0,IF(AND(G2624=T2624,COUNTIFS($S$6:S2624,S2624,$G$6:G2624,G2624,$D$6:D2624,"Vastgesteld")&gt;1),1,0))</f>
        <v>0</v>
      </c>
    </row>
    <row r="2625">
      <c r="S2625" s="15" t="str">
        <f>IF(J2625="","",J2625&amp;"|"&amp;E2625&amp;"|"&amp;F2625&amp;"|"&amp;I2625&amp;"|"&amp;O2625)</f>
        <v/>
      </c>
      <c r="T2625" s="15" t="str">
        <f>IF(OR(S2625="",D2625&lt;&gt;"Vastgesteld"),"",_xlfn.MAXIFS($G$6:$G$5005,$S$6:$S$5005,S2625,$D$6:$D$5005,"Vastgesteld"))</f>
        <v/>
      </c>
      <c r="U2625" s="15">
        <f>IF(T2625="",0,IF(AND(G2625=T2625,COUNTIFS($S$6:S2625,S2625,$G$6:G2625,G2625,$D$6:D2625,"Vastgesteld")=1),1,0))</f>
        <v>0</v>
      </c>
      <c r="V2625" s="15">
        <f>IF(T2625="",0,IF(AND(G2625=T2625,COUNTIFS($S$6:S2625,S2625,$G$6:G2625,G2625,$D$6:D2625,"Vastgesteld")&gt;1),1,0))</f>
        <v>0</v>
      </c>
    </row>
    <row r="2626">
      <c r="S2626" s="15" t="str">
        <f>IF(J2626="","",J2626&amp;"|"&amp;E2626&amp;"|"&amp;F2626&amp;"|"&amp;I2626&amp;"|"&amp;O2626)</f>
        <v/>
      </c>
      <c r="T2626" s="15" t="str">
        <f>IF(OR(S2626="",D2626&lt;&gt;"Vastgesteld"),"",_xlfn.MAXIFS($G$6:$G$5005,$S$6:$S$5005,S2626,$D$6:$D$5005,"Vastgesteld"))</f>
        <v/>
      </c>
      <c r="U2626" s="15">
        <f>IF(T2626="",0,IF(AND(G2626=T2626,COUNTIFS($S$6:S2626,S2626,$G$6:G2626,G2626,$D$6:D2626,"Vastgesteld")=1),1,0))</f>
        <v>0</v>
      </c>
      <c r="V2626" s="15">
        <f>IF(T2626="",0,IF(AND(G2626=T2626,COUNTIFS($S$6:S2626,S2626,$G$6:G2626,G2626,$D$6:D2626,"Vastgesteld")&gt;1),1,0))</f>
        <v>0</v>
      </c>
    </row>
    <row r="2627">
      <c r="S2627" s="15" t="str">
        <f>IF(J2627="","",J2627&amp;"|"&amp;E2627&amp;"|"&amp;F2627&amp;"|"&amp;I2627&amp;"|"&amp;O2627)</f>
        <v/>
      </c>
      <c r="T2627" s="15" t="str">
        <f>IF(OR(S2627="",D2627&lt;&gt;"Vastgesteld"),"",_xlfn.MAXIFS($G$6:$G$5005,$S$6:$S$5005,S2627,$D$6:$D$5005,"Vastgesteld"))</f>
        <v/>
      </c>
      <c r="U2627" s="15">
        <f>IF(T2627="",0,IF(AND(G2627=T2627,COUNTIFS($S$6:S2627,S2627,$G$6:G2627,G2627,$D$6:D2627,"Vastgesteld")=1),1,0))</f>
        <v>0</v>
      </c>
      <c r="V2627" s="15">
        <f>IF(T2627="",0,IF(AND(G2627=T2627,COUNTIFS($S$6:S2627,S2627,$G$6:G2627,G2627,$D$6:D2627,"Vastgesteld")&gt;1),1,0))</f>
        <v>0</v>
      </c>
    </row>
    <row r="2628">
      <c r="S2628" s="15" t="str">
        <f>IF(J2628="","",J2628&amp;"|"&amp;E2628&amp;"|"&amp;F2628&amp;"|"&amp;I2628&amp;"|"&amp;O2628)</f>
        <v/>
      </c>
      <c r="T2628" s="15" t="str">
        <f>IF(OR(S2628="",D2628&lt;&gt;"Vastgesteld"),"",_xlfn.MAXIFS($G$6:$G$5005,$S$6:$S$5005,S2628,$D$6:$D$5005,"Vastgesteld"))</f>
        <v/>
      </c>
      <c r="U2628" s="15">
        <f>IF(T2628="",0,IF(AND(G2628=T2628,COUNTIFS($S$6:S2628,S2628,$G$6:G2628,G2628,$D$6:D2628,"Vastgesteld")=1),1,0))</f>
        <v>0</v>
      </c>
      <c r="V2628" s="15">
        <f>IF(T2628="",0,IF(AND(G2628=T2628,COUNTIFS($S$6:S2628,S2628,$G$6:G2628,G2628,$D$6:D2628,"Vastgesteld")&gt;1),1,0))</f>
        <v>0</v>
      </c>
    </row>
    <row r="2629">
      <c r="S2629" s="15" t="str">
        <f>IF(J2629="","",J2629&amp;"|"&amp;E2629&amp;"|"&amp;F2629&amp;"|"&amp;I2629&amp;"|"&amp;O2629)</f>
        <v/>
      </c>
      <c r="T2629" s="15" t="str">
        <f>IF(OR(S2629="",D2629&lt;&gt;"Vastgesteld"),"",_xlfn.MAXIFS($G$6:$G$5005,$S$6:$S$5005,S2629,$D$6:$D$5005,"Vastgesteld"))</f>
        <v/>
      </c>
      <c r="U2629" s="15">
        <f>IF(T2629="",0,IF(AND(G2629=T2629,COUNTIFS($S$6:S2629,S2629,$G$6:G2629,G2629,$D$6:D2629,"Vastgesteld")=1),1,0))</f>
        <v>0</v>
      </c>
      <c r="V2629" s="15">
        <f>IF(T2629="",0,IF(AND(G2629=T2629,COUNTIFS($S$6:S2629,S2629,$G$6:G2629,G2629,$D$6:D2629,"Vastgesteld")&gt;1),1,0))</f>
        <v>0</v>
      </c>
    </row>
    <row r="2630">
      <c r="S2630" s="15" t="str">
        <f>IF(J2630="","",J2630&amp;"|"&amp;E2630&amp;"|"&amp;F2630&amp;"|"&amp;I2630&amp;"|"&amp;O2630)</f>
        <v/>
      </c>
      <c r="T2630" s="15" t="str">
        <f>IF(OR(S2630="",D2630&lt;&gt;"Vastgesteld"),"",_xlfn.MAXIFS($G$6:$G$5005,$S$6:$S$5005,S2630,$D$6:$D$5005,"Vastgesteld"))</f>
        <v/>
      </c>
      <c r="U2630" s="15">
        <f>IF(T2630="",0,IF(AND(G2630=T2630,COUNTIFS($S$6:S2630,S2630,$G$6:G2630,G2630,$D$6:D2630,"Vastgesteld")=1),1,0))</f>
        <v>0</v>
      </c>
      <c r="V2630" s="15">
        <f>IF(T2630="",0,IF(AND(G2630=T2630,COUNTIFS($S$6:S2630,S2630,$G$6:G2630,G2630,$D$6:D2630,"Vastgesteld")&gt;1),1,0))</f>
        <v>0</v>
      </c>
    </row>
    <row r="2631">
      <c r="S2631" s="15" t="str">
        <f>IF(J2631="","",J2631&amp;"|"&amp;E2631&amp;"|"&amp;F2631&amp;"|"&amp;I2631&amp;"|"&amp;O2631)</f>
        <v/>
      </c>
      <c r="T2631" s="15" t="str">
        <f>IF(OR(S2631="",D2631&lt;&gt;"Vastgesteld"),"",_xlfn.MAXIFS($G$6:$G$5005,$S$6:$S$5005,S2631,$D$6:$D$5005,"Vastgesteld"))</f>
        <v/>
      </c>
      <c r="U2631" s="15">
        <f>IF(T2631="",0,IF(AND(G2631=T2631,COUNTIFS($S$6:S2631,S2631,$G$6:G2631,G2631,$D$6:D2631,"Vastgesteld")=1),1,0))</f>
        <v>0</v>
      </c>
      <c r="V2631" s="15">
        <f>IF(T2631="",0,IF(AND(G2631=T2631,COUNTIFS($S$6:S2631,S2631,$G$6:G2631,G2631,$D$6:D2631,"Vastgesteld")&gt;1),1,0))</f>
        <v>0</v>
      </c>
    </row>
    <row r="2632">
      <c r="S2632" s="15" t="str">
        <f>IF(J2632="","",J2632&amp;"|"&amp;E2632&amp;"|"&amp;F2632&amp;"|"&amp;I2632&amp;"|"&amp;O2632)</f>
        <v/>
      </c>
      <c r="T2632" s="15" t="str">
        <f>IF(OR(S2632="",D2632&lt;&gt;"Vastgesteld"),"",_xlfn.MAXIFS($G$6:$G$5005,$S$6:$S$5005,S2632,$D$6:$D$5005,"Vastgesteld"))</f>
        <v/>
      </c>
      <c r="U2632" s="15">
        <f>IF(T2632="",0,IF(AND(G2632=T2632,COUNTIFS($S$6:S2632,S2632,$G$6:G2632,G2632,$D$6:D2632,"Vastgesteld")=1),1,0))</f>
        <v>0</v>
      </c>
      <c r="V2632" s="15">
        <f>IF(T2632="",0,IF(AND(G2632=T2632,COUNTIFS($S$6:S2632,S2632,$G$6:G2632,G2632,$D$6:D2632,"Vastgesteld")&gt;1),1,0))</f>
        <v>0</v>
      </c>
    </row>
    <row r="2633">
      <c r="S2633" s="15" t="str">
        <f>IF(J2633="","",J2633&amp;"|"&amp;E2633&amp;"|"&amp;F2633&amp;"|"&amp;I2633&amp;"|"&amp;O2633)</f>
        <v/>
      </c>
      <c r="T2633" s="15" t="str">
        <f>IF(OR(S2633="",D2633&lt;&gt;"Vastgesteld"),"",_xlfn.MAXIFS($G$6:$G$5005,$S$6:$S$5005,S2633,$D$6:$D$5005,"Vastgesteld"))</f>
        <v/>
      </c>
      <c r="U2633" s="15">
        <f>IF(T2633="",0,IF(AND(G2633=T2633,COUNTIFS($S$6:S2633,S2633,$G$6:G2633,G2633,$D$6:D2633,"Vastgesteld")=1),1,0))</f>
        <v>0</v>
      </c>
      <c r="V2633" s="15">
        <f>IF(T2633="",0,IF(AND(G2633=T2633,COUNTIFS($S$6:S2633,S2633,$G$6:G2633,G2633,$D$6:D2633,"Vastgesteld")&gt;1),1,0))</f>
        <v>0</v>
      </c>
    </row>
    <row r="2634">
      <c r="S2634" s="15" t="str">
        <f>IF(J2634="","",J2634&amp;"|"&amp;E2634&amp;"|"&amp;F2634&amp;"|"&amp;I2634&amp;"|"&amp;O2634)</f>
        <v/>
      </c>
      <c r="T2634" s="15" t="str">
        <f>IF(OR(S2634="",D2634&lt;&gt;"Vastgesteld"),"",_xlfn.MAXIFS($G$6:$G$5005,$S$6:$S$5005,S2634,$D$6:$D$5005,"Vastgesteld"))</f>
        <v/>
      </c>
      <c r="U2634" s="15">
        <f>IF(T2634="",0,IF(AND(G2634=T2634,COUNTIFS($S$6:S2634,S2634,$G$6:G2634,G2634,$D$6:D2634,"Vastgesteld")=1),1,0))</f>
        <v>0</v>
      </c>
      <c r="V2634" s="15">
        <f>IF(T2634="",0,IF(AND(G2634=T2634,COUNTIFS($S$6:S2634,S2634,$G$6:G2634,G2634,$D$6:D2634,"Vastgesteld")&gt;1),1,0))</f>
        <v>0</v>
      </c>
    </row>
    <row r="2635">
      <c r="S2635" s="15" t="str">
        <f>IF(J2635="","",J2635&amp;"|"&amp;E2635&amp;"|"&amp;F2635&amp;"|"&amp;I2635&amp;"|"&amp;O2635)</f>
        <v/>
      </c>
      <c r="T2635" s="15" t="str">
        <f>IF(OR(S2635="",D2635&lt;&gt;"Vastgesteld"),"",_xlfn.MAXIFS($G$6:$G$5005,$S$6:$S$5005,S2635,$D$6:$D$5005,"Vastgesteld"))</f>
        <v/>
      </c>
      <c r="U2635" s="15">
        <f>IF(T2635="",0,IF(AND(G2635=T2635,COUNTIFS($S$6:S2635,S2635,$G$6:G2635,G2635,$D$6:D2635,"Vastgesteld")=1),1,0))</f>
        <v>0</v>
      </c>
      <c r="V2635" s="15">
        <f>IF(T2635="",0,IF(AND(G2635=T2635,COUNTIFS($S$6:S2635,S2635,$G$6:G2635,G2635,$D$6:D2635,"Vastgesteld")&gt;1),1,0))</f>
        <v>0</v>
      </c>
    </row>
    <row r="2636">
      <c r="S2636" s="15" t="str">
        <f>IF(J2636="","",J2636&amp;"|"&amp;E2636&amp;"|"&amp;F2636&amp;"|"&amp;I2636&amp;"|"&amp;O2636)</f>
        <v/>
      </c>
      <c r="T2636" s="15" t="str">
        <f>IF(OR(S2636="",D2636&lt;&gt;"Vastgesteld"),"",_xlfn.MAXIFS($G$6:$G$5005,$S$6:$S$5005,S2636,$D$6:$D$5005,"Vastgesteld"))</f>
        <v/>
      </c>
      <c r="U2636" s="15">
        <f>IF(T2636="",0,IF(AND(G2636=T2636,COUNTIFS($S$6:S2636,S2636,$G$6:G2636,G2636,$D$6:D2636,"Vastgesteld")=1),1,0))</f>
        <v>0</v>
      </c>
      <c r="V2636" s="15">
        <f>IF(T2636="",0,IF(AND(G2636=T2636,COUNTIFS($S$6:S2636,S2636,$G$6:G2636,G2636,$D$6:D2636,"Vastgesteld")&gt;1),1,0))</f>
        <v>0</v>
      </c>
    </row>
    <row r="2637">
      <c r="S2637" s="15" t="str">
        <f>IF(J2637="","",J2637&amp;"|"&amp;E2637&amp;"|"&amp;F2637&amp;"|"&amp;I2637&amp;"|"&amp;O2637)</f>
        <v/>
      </c>
      <c r="T2637" s="15" t="str">
        <f>IF(OR(S2637="",D2637&lt;&gt;"Vastgesteld"),"",_xlfn.MAXIFS($G$6:$G$5005,$S$6:$S$5005,S2637,$D$6:$D$5005,"Vastgesteld"))</f>
        <v/>
      </c>
      <c r="U2637" s="15">
        <f>IF(T2637="",0,IF(AND(G2637=T2637,COUNTIFS($S$6:S2637,S2637,$G$6:G2637,G2637,$D$6:D2637,"Vastgesteld")=1),1,0))</f>
        <v>0</v>
      </c>
      <c r="V2637" s="15">
        <f>IF(T2637="",0,IF(AND(G2637=T2637,COUNTIFS($S$6:S2637,S2637,$G$6:G2637,G2637,$D$6:D2637,"Vastgesteld")&gt;1),1,0))</f>
        <v>0</v>
      </c>
    </row>
    <row r="2638">
      <c r="S2638" s="15" t="str">
        <f>IF(J2638="","",J2638&amp;"|"&amp;E2638&amp;"|"&amp;F2638&amp;"|"&amp;I2638&amp;"|"&amp;O2638)</f>
        <v/>
      </c>
      <c r="T2638" s="15" t="str">
        <f>IF(OR(S2638="",D2638&lt;&gt;"Vastgesteld"),"",_xlfn.MAXIFS($G$6:$G$5005,$S$6:$S$5005,S2638,$D$6:$D$5005,"Vastgesteld"))</f>
        <v/>
      </c>
      <c r="U2638" s="15">
        <f>IF(T2638="",0,IF(AND(G2638=T2638,COUNTIFS($S$6:S2638,S2638,$G$6:G2638,G2638,$D$6:D2638,"Vastgesteld")=1),1,0))</f>
        <v>0</v>
      </c>
      <c r="V2638" s="15">
        <f>IF(T2638="",0,IF(AND(G2638=T2638,COUNTIFS($S$6:S2638,S2638,$G$6:G2638,G2638,$D$6:D2638,"Vastgesteld")&gt;1),1,0))</f>
        <v>0</v>
      </c>
    </row>
    <row r="2639">
      <c r="S2639" s="15" t="str">
        <f>IF(J2639="","",J2639&amp;"|"&amp;E2639&amp;"|"&amp;F2639&amp;"|"&amp;I2639&amp;"|"&amp;O2639)</f>
        <v/>
      </c>
      <c r="T2639" s="15" t="str">
        <f>IF(OR(S2639="",D2639&lt;&gt;"Vastgesteld"),"",_xlfn.MAXIFS($G$6:$G$5005,$S$6:$S$5005,S2639,$D$6:$D$5005,"Vastgesteld"))</f>
        <v/>
      </c>
      <c r="U2639" s="15">
        <f>IF(T2639="",0,IF(AND(G2639=T2639,COUNTIFS($S$6:S2639,S2639,$G$6:G2639,G2639,$D$6:D2639,"Vastgesteld")=1),1,0))</f>
        <v>0</v>
      </c>
      <c r="V2639" s="15">
        <f>IF(T2639="",0,IF(AND(G2639=T2639,COUNTIFS($S$6:S2639,S2639,$G$6:G2639,G2639,$D$6:D2639,"Vastgesteld")&gt;1),1,0))</f>
        <v>0</v>
      </c>
    </row>
    <row r="2640">
      <c r="S2640" s="15" t="str">
        <f>IF(J2640="","",J2640&amp;"|"&amp;E2640&amp;"|"&amp;F2640&amp;"|"&amp;I2640&amp;"|"&amp;O2640)</f>
        <v/>
      </c>
      <c r="T2640" s="15" t="str">
        <f>IF(OR(S2640="",D2640&lt;&gt;"Vastgesteld"),"",_xlfn.MAXIFS($G$6:$G$5005,$S$6:$S$5005,S2640,$D$6:$D$5005,"Vastgesteld"))</f>
        <v/>
      </c>
      <c r="U2640" s="15">
        <f>IF(T2640="",0,IF(AND(G2640=T2640,COUNTIFS($S$6:S2640,S2640,$G$6:G2640,G2640,$D$6:D2640,"Vastgesteld")=1),1,0))</f>
        <v>0</v>
      </c>
      <c r="V2640" s="15">
        <f>IF(T2640="",0,IF(AND(G2640=T2640,COUNTIFS($S$6:S2640,S2640,$G$6:G2640,G2640,$D$6:D2640,"Vastgesteld")&gt;1),1,0))</f>
        <v>0</v>
      </c>
    </row>
    <row r="2641">
      <c r="S2641" s="15" t="str">
        <f>IF(J2641="","",J2641&amp;"|"&amp;E2641&amp;"|"&amp;F2641&amp;"|"&amp;I2641&amp;"|"&amp;O2641)</f>
        <v/>
      </c>
      <c r="T2641" s="15" t="str">
        <f>IF(OR(S2641="",D2641&lt;&gt;"Vastgesteld"),"",_xlfn.MAXIFS($G$6:$G$5005,$S$6:$S$5005,S2641,$D$6:$D$5005,"Vastgesteld"))</f>
        <v/>
      </c>
      <c r="U2641" s="15">
        <f>IF(T2641="",0,IF(AND(G2641=T2641,COUNTIFS($S$6:S2641,S2641,$G$6:G2641,G2641,$D$6:D2641,"Vastgesteld")=1),1,0))</f>
        <v>0</v>
      </c>
      <c r="V2641" s="15">
        <f>IF(T2641="",0,IF(AND(G2641=T2641,COUNTIFS($S$6:S2641,S2641,$G$6:G2641,G2641,$D$6:D2641,"Vastgesteld")&gt;1),1,0))</f>
        <v>0</v>
      </c>
    </row>
    <row r="2642">
      <c r="S2642" s="15" t="str">
        <f>IF(J2642="","",J2642&amp;"|"&amp;E2642&amp;"|"&amp;F2642&amp;"|"&amp;I2642&amp;"|"&amp;O2642)</f>
        <v/>
      </c>
      <c r="T2642" s="15" t="str">
        <f>IF(OR(S2642="",D2642&lt;&gt;"Vastgesteld"),"",_xlfn.MAXIFS($G$6:$G$5005,$S$6:$S$5005,S2642,$D$6:$D$5005,"Vastgesteld"))</f>
        <v/>
      </c>
      <c r="U2642" s="15">
        <f>IF(T2642="",0,IF(AND(G2642=T2642,COUNTIFS($S$6:S2642,S2642,$G$6:G2642,G2642,$D$6:D2642,"Vastgesteld")=1),1,0))</f>
        <v>0</v>
      </c>
      <c r="V2642" s="15">
        <f>IF(T2642="",0,IF(AND(G2642=T2642,COUNTIFS($S$6:S2642,S2642,$G$6:G2642,G2642,$D$6:D2642,"Vastgesteld")&gt;1),1,0))</f>
        <v>0</v>
      </c>
    </row>
    <row r="2643">
      <c r="S2643" s="15" t="str">
        <f>IF(J2643="","",J2643&amp;"|"&amp;E2643&amp;"|"&amp;F2643&amp;"|"&amp;I2643&amp;"|"&amp;O2643)</f>
        <v/>
      </c>
      <c r="T2643" s="15" t="str">
        <f>IF(OR(S2643="",D2643&lt;&gt;"Vastgesteld"),"",_xlfn.MAXIFS($G$6:$G$5005,$S$6:$S$5005,S2643,$D$6:$D$5005,"Vastgesteld"))</f>
        <v/>
      </c>
      <c r="U2643" s="15">
        <f>IF(T2643="",0,IF(AND(G2643=T2643,COUNTIFS($S$6:S2643,S2643,$G$6:G2643,G2643,$D$6:D2643,"Vastgesteld")=1),1,0))</f>
        <v>0</v>
      </c>
      <c r="V2643" s="15">
        <f>IF(T2643="",0,IF(AND(G2643=T2643,COUNTIFS($S$6:S2643,S2643,$G$6:G2643,G2643,$D$6:D2643,"Vastgesteld")&gt;1),1,0))</f>
        <v>0</v>
      </c>
    </row>
    <row r="2644">
      <c r="S2644" s="15" t="str">
        <f>IF(J2644="","",J2644&amp;"|"&amp;E2644&amp;"|"&amp;F2644&amp;"|"&amp;I2644&amp;"|"&amp;O2644)</f>
        <v/>
      </c>
      <c r="T2644" s="15" t="str">
        <f>IF(OR(S2644="",D2644&lt;&gt;"Vastgesteld"),"",_xlfn.MAXIFS($G$6:$G$5005,$S$6:$S$5005,S2644,$D$6:$D$5005,"Vastgesteld"))</f>
        <v/>
      </c>
      <c r="U2644" s="15">
        <f>IF(T2644="",0,IF(AND(G2644=T2644,COUNTIFS($S$6:S2644,S2644,$G$6:G2644,G2644,$D$6:D2644,"Vastgesteld")=1),1,0))</f>
        <v>0</v>
      </c>
      <c r="V2644" s="15">
        <f>IF(T2644="",0,IF(AND(G2644=T2644,COUNTIFS($S$6:S2644,S2644,$G$6:G2644,G2644,$D$6:D2644,"Vastgesteld")&gt;1),1,0))</f>
        <v>0</v>
      </c>
    </row>
    <row r="2645">
      <c r="S2645" s="15" t="str">
        <f>IF(J2645="","",J2645&amp;"|"&amp;E2645&amp;"|"&amp;F2645&amp;"|"&amp;I2645&amp;"|"&amp;O2645)</f>
        <v/>
      </c>
      <c r="T2645" s="15" t="str">
        <f>IF(OR(S2645="",D2645&lt;&gt;"Vastgesteld"),"",_xlfn.MAXIFS($G$6:$G$5005,$S$6:$S$5005,S2645,$D$6:$D$5005,"Vastgesteld"))</f>
        <v/>
      </c>
      <c r="U2645" s="15">
        <f>IF(T2645="",0,IF(AND(G2645=T2645,COUNTIFS($S$6:S2645,S2645,$G$6:G2645,G2645,$D$6:D2645,"Vastgesteld")=1),1,0))</f>
        <v>0</v>
      </c>
      <c r="V2645" s="15">
        <f>IF(T2645="",0,IF(AND(G2645=T2645,COUNTIFS($S$6:S2645,S2645,$G$6:G2645,G2645,$D$6:D2645,"Vastgesteld")&gt;1),1,0))</f>
        <v>0</v>
      </c>
    </row>
    <row r="2646">
      <c r="S2646" s="15" t="str">
        <f>IF(J2646="","",J2646&amp;"|"&amp;E2646&amp;"|"&amp;F2646&amp;"|"&amp;I2646&amp;"|"&amp;O2646)</f>
        <v/>
      </c>
      <c r="T2646" s="15" t="str">
        <f>IF(OR(S2646="",D2646&lt;&gt;"Vastgesteld"),"",_xlfn.MAXIFS($G$6:$G$5005,$S$6:$S$5005,S2646,$D$6:$D$5005,"Vastgesteld"))</f>
        <v/>
      </c>
      <c r="U2646" s="15">
        <f>IF(T2646="",0,IF(AND(G2646=T2646,COUNTIFS($S$6:S2646,S2646,$G$6:G2646,G2646,$D$6:D2646,"Vastgesteld")=1),1,0))</f>
        <v>0</v>
      </c>
      <c r="V2646" s="15">
        <f>IF(T2646="",0,IF(AND(G2646=T2646,COUNTIFS($S$6:S2646,S2646,$G$6:G2646,G2646,$D$6:D2646,"Vastgesteld")&gt;1),1,0))</f>
        <v>0</v>
      </c>
    </row>
    <row r="2647">
      <c r="S2647" s="15" t="str">
        <f>IF(J2647="","",J2647&amp;"|"&amp;E2647&amp;"|"&amp;F2647&amp;"|"&amp;I2647&amp;"|"&amp;O2647)</f>
        <v/>
      </c>
      <c r="T2647" s="15" t="str">
        <f>IF(OR(S2647="",D2647&lt;&gt;"Vastgesteld"),"",_xlfn.MAXIFS($G$6:$G$5005,$S$6:$S$5005,S2647,$D$6:$D$5005,"Vastgesteld"))</f>
        <v/>
      </c>
      <c r="U2647" s="15">
        <f>IF(T2647="",0,IF(AND(G2647=T2647,COUNTIFS($S$6:S2647,S2647,$G$6:G2647,G2647,$D$6:D2647,"Vastgesteld")=1),1,0))</f>
        <v>0</v>
      </c>
      <c r="V2647" s="15">
        <f>IF(T2647="",0,IF(AND(G2647=T2647,COUNTIFS($S$6:S2647,S2647,$G$6:G2647,G2647,$D$6:D2647,"Vastgesteld")&gt;1),1,0))</f>
        <v>0</v>
      </c>
    </row>
    <row r="2648">
      <c r="S2648" s="15" t="str">
        <f>IF(J2648="","",J2648&amp;"|"&amp;E2648&amp;"|"&amp;F2648&amp;"|"&amp;I2648&amp;"|"&amp;O2648)</f>
        <v/>
      </c>
      <c r="T2648" s="15" t="str">
        <f>IF(OR(S2648="",D2648&lt;&gt;"Vastgesteld"),"",_xlfn.MAXIFS($G$6:$G$5005,$S$6:$S$5005,S2648,$D$6:$D$5005,"Vastgesteld"))</f>
        <v/>
      </c>
      <c r="U2648" s="15">
        <f>IF(T2648="",0,IF(AND(G2648=T2648,COUNTIFS($S$6:S2648,S2648,$G$6:G2648,G2648,$D$6:D2648,"Vastgesteld")=1),1,0))</f>
        <v>0</v>
      </c>
      <c r="V2648" s="15">
        <f>IF(T2648="",0,IF(AND(G2648=T2648,COUNTIFS($S$6:S2648,S2648,$G$6:G2648,G2648,$D$6:D2648,"Vastgesteld")&gt;1),1,0))</f>
        <v>0</v>
      </c>
    </row>
    <row r="2649">
      <c r="S2649" s="15" t="str">
        <f>IF(J2649="","",J2649&amp;"|"&amp;E2649&amp;"|"&amp;F2649&amp;"|"&amp;I2649&amp;"|"&amp;O2649)</f>
        <v/>
      </c>
      <c r="T2649" s="15" t="str">
        <f>IF(OR(S2649="",D2649&lt;&gt;"Vastgesteld"),"",_xlfn.MAXIFS($G$6:$G$5005,$S$6:$S$5005,S2649,$D$6:$D$5005,"Vastgesteld"))</f>
        <v/>
      </c>
      <c r="U2649" s="15">
        <f>IF(T2649="",0,IF(AND(G2649=T2649,COUNTIFS($S$6:S2649,S2649,$G$6:G2649,G2649,$D$6:D2649,"Vastgesteld")=1),1,0))</f>
        <v>0</v>
      </c>
      <c r="V2649" s="15">
        <f>IF(T2649="",0,IF(AND(G2649=T2649,COUNTIFS($S$6:S2649,S2649,$G$6:G2649,G2649,$D$6:D2649,"Vastgesteld")&gt;1),1,0))</f>
        <v>0</v>
      </c>
    </row>
    <row r="2650">
      <c r="S2650" s="15" t="str">
        <f>IF(J2650="","",J2650&amp;"|"&amp;E2650&amp;"|"&amp;F2650&amp;"|"&amp;I2650&amp;"|"&amp;O2650)</f>
        <v/>
      </c>
      <c r="T2650" s="15" t="str">
        <f>IF(OR(S2650="",D2650&lt;&gt;"Vastgesteld"),"",_xlfn.MAXIFS($G$6:$G$5005,$S$6:$S$5005,S2650,$D$6:$D$5005,"Vastgesteld"))</f>
        <v/>
      </c>
      <c r="U2650" s="15">
        <f>IF(T2650="",0,IF(AND(G2650=T2650,COUNTIFS($S$6:S2650,S2650,$G$6:G2650,G2650,$D$6:D2650,"Vastgesteld")=1),1,0))</f>
        <v>0</v>
      </c>
      <c r="V2650" s="15">
        <f>IF(T2650="",0,IF(AND(G2650=T2650,COUNTIFS($S$6:S2650,S2650,$G$6:G2650,G2650,$D$6:D2650,"Vastgesteld")&gt;1),1,0))</f>
        <v>0</v>
      </c>
    </row>
    <row r="2651">
      <c r="S2651" s="15" t="str">
        <f>IF(J2651="","",J2651&amp;"|"&amp;E2651&amp;"|"&amp;F2651&amp;"|"&amp;I2651&amp;"|"&amp;O2651)</f>
        <v/>
      </c>
      <c r="T2651" s="15" t="str">
        <f>IF(OR(S2651="",D2651&lt;&gt;"Vastgesteld"),"",_xlfn.MAXIFS($G$6:$G$5005,$S$6:$S$5005,S2651,$D$6:$D$5005,"Vastgesteld"))</f>
        <v/>
      </c>
      <c r="U2651" s="15">
        <f>IF(T2651="",0,IF(AND(G2651=T2651,COUNTIFS($S$6:S2651,S2651,$G$6:G2651,G2651,$D$6:D2651,"Vastgesteld")=1),1,0))</f>
        <v>0</v>
      </c>
      <c r="V2651" s="15">
        <f>IF(T2651="",0,IF(AND(G2651=T2651,COUNTIFS($S$6:S2651,S2651,$G$6:G2651,G2651,$D$6:D2651,"Vastgesteld")&gt;1),1,0))</f>
        <v>0</v>
      </c>
    </row>
    <row r="2652">
      <c r="S2652" s="15" t="str">
        <f>IF(J2652="","",J2652&amp;"|"&amp;E2652&amp;"|"&amp;F2652&amp;"|"&amp;I2652&amp;"|"&amp;O2652)</f>
        <v/>
      </c>
      <c r="T2652" s="15" t="str">
        <f>IF(OR(S2652="",D2652&lt;&gt;"Vastgesteld"),"",_xlfn.MAXIFS($G$6:$G$5005,$S$6:$S$5005,S2652,$D$6:$D$5005,"Vastgesteld"))</f>
        <v/>
      </c>
      <c r="U2652" s="15">
        <f>IF(T2652="",0,IF(AND(G2652=T2652,COUNTIFS($S$6:S2652,S2652,$G$6:G2652,G2652,$D$6:D2652,"Vastgesteld")=1),1,0))</f>
        <v>0</v>
      </c>
      <c r="V2652" s="15">
        <f>IF(T2652="",0,IF(AND(G2652=T2652,COUNTIFS($S$6:S2652,S2652,$G$6:G2652,G2652,$D$6:D2652,"Vastgesteld")&gt;1),1,0))</f>
        <v>0</v>
      </c>
    </row>
    <row r="2653">
      <c r="S2653" s="15" t="str">
        <f>IF(J2653="","",J2653&amp;"|"&amp;E2653&amp;"|"&amp;F2653&amp;"|"&amp;I2653&amp;"|"&amp;O2653)</f>
        <v/>
      </c>
      <c r="T2653" s="15" t="str">
        <f>IF(OR(S2653="",D2653&lt;&gt;"Vastgesteld"),"",_xlfn.MAXIFS($G$6:$G$5005,$S$6:$S$5005,S2653,$D$6:$D$5005,"Vastgesteld"))</f>
        <v/>
      </c>
      <c r="U2653" s="15">
        <f>IF(T2653="",0,IF(AND(G2653=T2653,COUNTIFS($S$6:S2653,S2653,$G$6:G2653,G2653,$D$6:D2653,"Vastgesteld")=1),1,0))</f>
        <v>0</v>
      </c>
      <c r="V2653" s="15">
        <f>IF(T2653="",0,IF(AND(G2653=T2653,COUNTIFS($S$6:S2653,S2653,$G$6:G2653,G2653,$D$6:D2653,"Vastgesteld")&gt;1),1,0))</f>
        <v>0</v>
      </c>
    </row>
    <row r="2654">
      <c r="S2654" s="15" t="str">
        <f>IF(J2654="","",J2654&amp;"|"&amp;E2654&amp;"|"&amp;F2654&amp;"|"&amp;I2654&amp;"|"&amp;O2654)</f>
        <v/>
      </c>
      <c r="T2654" s="15" t="str">
        <f>IF(OR(S2654="",D2654&lt;&gt;"Vastgesteld"),"",_xlfn.MAXIFS($G$6:$G$5005,$S$6:$S$5005,S2654,$D$6:$D$5005,"Vastgesteld"))</f>
        <v/>
      </c>
      <c r="U2654" s="15">
        <f>IF(T2654="",0,IF(AND(G2654=T2654,COUNTIFS($S$6:S2654,S2654,$G$6:G2654,G2654,$D$6:D2654,"Vastgesteld")=1),1,0))</f>
        <v>0</v>
      </c>
      <c r="V2654" s="15">
        <f>IF(T2654="",0,IF(AND(G2654=T2654,COUNTIFS($S$6:S2654,S2654,$G$6:G2654,G2654,$D$6:D2654,"Vastgesteld")&gt;1),1,0))</f>
        <v>0</v>
      </c>
    </row>
    <row r="2655">
      <c r="S2655" s="15" t="str">
        <f>IF(J2655="","",J2655&amp;"|"&amp;E2655&amp;"|"&amp;F2655&amp;"|"&amp;I2655&amp;"|"&amp;O2655)</f>
        <v/>
      </c>
      <c r="T2655" s="15" t="str">
        <f>IF(OR(S2655="",D2655&lt;&gt;"Vastgesteld"),"",_xlfn.MAXIFS($G$6:$G$5005,$S$6:$S$5005,S2655,$D$6:$D$5005,"Vastgesteld"))</f>
        <v/>
      </c>
      <c r="U2655" s="15">
        <f>IF(T2655="",0,IF(AND(G2655=T2655,COUNTIFS($S$6:S2655,S2655,$G$6:G2655,G2655,$D$6:D2655,"Vastgesteld")=1),1,0))</f>
        <v>0</v>
      </c>
      <c r="V2655" s="15">
        <f>IF(T2655="",0,IF(AND(G2655=T2655,COUNTIFS($S$6:S2655,S2655,$G$6:G2655,G2655,$D$6:D2655,"Vastgesteld")&gt;1),1,0))</f>
        <v>0</v>
      </c>
    </row>
    <row r="2656">
      <c r="S2656" s="15" t="str">
        <f>IF(J2656="","",J2656&amp;"|"&amp;E2656&amp;"|"&amp;F2656&amp;"|"&amp;I2656&amp;"|"&amp;O2656)</f>
        <v/>
      </c>
      <c r="T2656" s="15" t="str">
        <f>IF(OR(S2656="",D2656&lt;&gt;"Vastgesteld"),"",_xlfn.MAXIFS($G$6:$G$5005,$S$6:$S$5005,S2656,$D$6:$D$5005,"Vastgesteld"))</f>
        <v/>
      </c>
      <c r="U2656" s="15">
        <f>IF(T2656="",0,IF(AND(G2656=T2656,COUNTIFS($S$6:S2656,S2656,$G$6:G2656,G2656,$D$6:D2656,"Vastgesteld")=1),1,0))</f>
        <v>0</v>
      </c>
      <c r="V2656" s="15">
        <f>IF(T2656="",0,IF(AND(G2656=T2656,COUNTIFS($S$6:S2656,S2656,$G$6:G2656,G2656,$D$6:D2656,"Vastgesteld")&gt;1),1,0))</f>
        <v>0</v>
      </c>
    </row>
    <row r="2657">
      <c r="S2657" s="15" t="str">
        <f>IF(J2657="","",J2657&amp;"|"&amp;E2657&amp;"|"&amp;F2657&amp;"|"&amp;I2657&amp;"|"&amp;O2657)</f>
        <v/>
      </c>
      <c r="T2657" s="15" t="str">
        <f>IF(OR(S2657="",D2657&lt;&gt;"Vastgesteld"),"",_xlfn.MAXIFS($G$6:$G$5005,$S$6:$S$5005,S2657,$D$6:$D$5005,"Vastgesteld"))</f>
        <v/>
      </c>
      <c r="U2657" s="15">
        <f>IF(T2657="",0,IF(AND(G2657=T2657,COUNTIFS($S$6:S2657,S2657,$G$6:G2657,G2657,$D$6:D2657,"Vastgesteld")=1),1,0))</f>
        <v>0</v>
      </c>
      <c r="V2657" s="15">
        <f>IF(T2657="",0,IF(AND(G2657=T2657,COUNTIFS($S$6:S2657,S2657,$G$6:G2657,G2657,$D$6:D2657,"Vastgesteld")&gt;1),1,0))</f>
        <v>0</v>
      </c>
    </row>
    <row r="2658">
      <c r="S2658" s="15" t="str">
        <f>IF(J2658="","",J2658&amp;"|"&amp;E2658&amp;"|"&amp;F2658&amp;"|"&amp;I2658&amp;"|"&amp;O2658)</f>
        <v/>
      </c>
      <c r="T2658" s="15" t="str">
        <f>IF(OR(S2658="",D2658&lt;&gt;"Vastgesteld"),"",_xlfn.MAXIFS($G$6:$G$5005,$S$6:$S$5005,S2658,$D$6:$D$5005,"Vastgesteld"))</f>
        <v/>
      </c>
      <c r="U2658" s="15">
        <f>IF(T2658="",0,IF(AND(G2658=T2658,COUNTIFS($S$6:S2658,S2658,$G$6:G2658,G2658,$D$6:D2658,"Vastgesteld")=1),1,0))</f>
        <v>0</v>
      </c>
      <c r="V2658" s="15">
        <f>IF(T2658="",0,IF(AND(G2658=T2658,COUNTIFS($S$6:S2658,S2658,$G$6:G2658,G2658,$D$6:D2658,"Vastgesteld")&gt;1),1,0))</f>
        <v>0</v>
      </c>
    </row>
    <row r="2659">
      <c r="S2659" s="15" t="str">
        <f>IF(J2659="","",J2659&amp;"|"&amp;E2659&amp;"|"&amp;F2659&amp;"|"&amp;I2659&amp;"|"&amp;O2659)</f>
        <v/>
      </c>
      <c r="T2659" s="15" t="str">
        <f>IF(OR(S2659="",D2659&lt;&gt;"Vastgesteld"),"",_xlfn.MAXIFS($G$6:$G$5005,$S$6:$S$5005,S2659,$D$6:$D$5005,"Vastgesteld"))</f>
        <v/>
      </c>
      <c r="U2659" s="15">
        <f>IF(T2659="",0,IF(AND(G2659=T2659,COUNTIFS($S$6:S2659,S2659,$G$6:G2659,G2659,$D$6:D2659,"Vastgesteld")=1),1,0))</f>
        <v>0</v>
      </c>
      <c r="V2659" s="15">
        <f>IF(T2659="",0,IF(AND(G2659=T2659,COUNTIFS($S$6:S2659,S2659,$G$6:G2659,G2659,$D$6:D2659,"Vastgesteld")&gt;1),1,0))</f>
        <v>0</v>
      </c>
    </row>
    <row r="2660">
      <c r="S2660" s="15" t="str">
        <f>IF(J2660="","",J2660&amp;"|"&amp;E2660&amp;"|"&amp;F2660&amp;"|"&amp;I2660&amp;"|"&amp;O2660)</f>
        <v/>
      </c>
      <c r="T2660" s="15" t="str">
        <f>IF(OR(S2660="",D2660&lt;&gt;"Vastgesteld"),"",_xlfn.MAXIFS($G$6:$G$5005,$S$6:$S$5005,S2660,$D$6:$D$5005,"Vastgesteld"))</f>
        <v/>
      </c>
      <c r="U2660" s="15">
        <f>IF(T2660="",0,IF(AND(G2660=T2660,COUNTIFS($S$6:S2660,S2660,$G$6:G2660,G2660,$D$6:D2660,"Vastgesteld")=1),1,0))</f>
        <v>0</v>
      </c>
      <c r="V2660" s="15">
        <f>IF(T2660="",0,IF(AND(G2660=T2660,COUNTIFS($S$6:S2660,S2660,$G$6:G2660,G2660,$D$6:D2660,"Vastgesteld")&gt;1),1,0))</f>
        <v>0</v>
      </c>
    </row>
    <row r="2661">
      <c r="S2661" s="15" t="str">
        <f>IF(J2661="","",J2661&amp;"|"&amp;E2661&amp;"|"&amp;F2661&amp;"|"&amp;I2661&amp;"|"&amp;O2661)</f>
        <v/>
      </c>
      <c r="T2661" s="15" t="str">
        <f>IF(OR(S2661="",D2661&lt;&gt;"Vastgesteld"),"",_xlfn.MAXIFS($G$6:$G$5005,$S$6:$S$5005,S2661,$D$6:$D$5005,"Vastgesteld"))</f>
        <v/>
      </c>
      <c r="U2661" s="15">
        <f>IF(T2661="",0,IF(AND(G2661=T2661,COUNTIFS($S$6:S2661,S2661,$G$6:G2661,G2661,$D$6:D2661,"Vastgesteld")=1),1,0))</f>
        <v>0</v>
      </c>
      <c r="V2661" s="15">
        <f>IF(T2661="",0,IF(AND(G2661=T2661,COUNTIFS($S$6:S2661,S2661,$G$6:G2661,G2661,$D$6:D2661,"Vastgesteld")&gt;1),1,0))</f>
        <v>0</v>
      </c>
    </row>
    <row r="2662">
      <c r="S2662" s="15" t="str">
        <f>IF(J2662="","",J2662&amp;"|"&amp;E2662&amp;"|"&amp;F2662&amp;"|"&amp;I2662&amp;"|"&amp;O2662)</f>
        <v/>
      </c>
      <c r="T2662" s="15" t="str">
        <f>IF(OR(S2662="",D2662&lt;&gt;"Vastgesteld"),"",_xlfn.MAXIFS($G$6:$G$5005,$S$6:$S$5005,S2662,$D$6:$D$5005,"Vastgesteld"))</f>
        <v/>
      </c>
      <c r="U2662" s="15">
        <f>IF(T2662="",0,IF(AND(G2662=T2662,COUNTIFS($S$6:S2662,S2662,$G$6:G2662,G2662,$D$6:D2662,"Vastgesteld")=1),1,0))</f>
        <v>0</v>
      </c>
      <c r="V2662" s="15">
        <f>IF(T2662="",0,IF(AND(G2662=T2662,COUNTIFS($S$6:S2662,S2662,$G$6:G2662,G2662,$D$6:D2662,"Vastgesteld")&gt;1),1,0))</f>
        <v>0</v>
      </c>
    </row>
    <row r="2663">
      <c r="S2663" s="15" t="str">
        <f>IF(J2663="","",J2663&amp;"|"&amp;E2663&amp;"|"&amp;F2663&amp;"|"&amp;I2663&amp;"|"&amp;O2663)</f>
        <v/>
      </c>
      <c r="T2663" s="15" t="str">
        <f>IF(OR(S2663="",D2663&lt;&gt;"Vastgesteld"),"",_xlfn.MAXIFS($G$6:$G$5005,$S$6:$S$5005,S2663,$D$6:$D$5005,"Vastgesteld"))</f>
        <v/>
      </c>
      <c r="U2663" s="15">
        <f>IF(T2663="",0,IF(AND(G2663=T2663,COUNTIFS($S$6:S2663,S2663,$G$6:G2663,G2663,$D$6:D2663,"Vastgesteld")=1),1,0))</f>
        <v>0</v>
      </c>
      <c r="V2663" s="15">
        <f>IF(T2663="",0,IF(AND(G2663=T2663,COUNTIFS($S$6:S2663,S2663,$G$6:G2663,G2663,$D$6:D2663,"Vastgesteld")&gt;1),1,0))</f>
        <v>0</v>
      </c>
    </row>
    <row r="2664">
      <c r="S2664" s="15" t="str">
        <f>IF(J2664="","",J2664&amp;"|"&amp;E2664&amp;"|"&amp;F2664&amp;"|"&amp;I2664&amp;"|"&amp;O2664)</f>
        <v/>
      </c>
      <c r="T2664" s="15" t="str">
        <f>IF(OR(S2664="",D2664&lt;&gt;"Vastgesteld"),"",_xlfn.MAXIFS($G$6:$G$5005,$S$6:$S$5005,S2664,$D$6:$D$5005,"Vastgesteld"))</f>
        <v/>
      </c>
      <c r="U2664" s="15">
        <f>IF(T2664="",0,IF(AND(G2664=T2664,COUNTIFS($S$6:S2664,S2664,$G$6:G2664,G2664,$D$6:D2664,"Vastgesteld")=1),1,0))</f>
        <v>0</v>
      </c>
      <c r="V2664" s="15">
        <f>IF(T2664="",0,IF(AND(G2664=T2664,COUNTIFS($S$6:S2664,S2664,$G$6:G2664,G2664,$D$6:D2664,"Vastgesteld")&gt;1),1,0))</f>
        <v>0</v>
      </c>
    </row>
    <row r="2665">
      <c r="S2665" s="15" t="str">
        <f>IF(J2665="","",J2665&amp;"|"&amp;E2665&amp;"|"&amp;F2665&amp;"|"&amp;I2665&amp;"|"&amp;O2665)</f>
        <v/>
      </c>
      <c r="T2665" s="15" t="str">
        <f>IF(OR(S2665="",D2665&lt;&gt;"Vastgesteld"),"",_xlfn.MAXIFS($G$6:$G$5005,$S$6:$S$5005,S2665,$D$6:$D$5005,"Vastgesteld"))</f>
        <v/>
      </c>
      <c r="U2665" s="15">
        <f>IF(T2665="",0,IF(AND(G2665=T2665,COUNTIFS($S$6:S2665,S2665,$G$6:G2665,G2665,$D$6:D2665,"Vastgesteld")=1),1,0))</f>
        <v>0</v>
      </c>
      <c r="V2665" s="15">
        <f>IF(T2665="",0,IF(AND(G2665=T2665,COUNTIFS($S$6:S2665,S2665,$G$6:G2665,G2665,$D$6:D2665,"Vastgesteld")&gt;1),1,0))</f>
        <v>0</v>
      </c>
    </row>
    <row r="2666">
      <c r="S2666" s="15" t="str">
        <f>IF(J2666="","",J2666&amp;"|"&amp;E2666&amp;"|"&amp;F2666&amp;"|"&amp;I2666&amp;"|"&amp;O2666)</f>
        <v/>
      </c>
      <c r="T2666" s="15" t="str">
        <f>IF(OR(S2666="",D2666&lt;&gt;"Vastgesteld"),"",_xlfn.MAXIFS($G$6:$G$5005,$S$6:$S$5005,S2666,$D$6:$D$5005,"Vastgesteld"))</f>
        <v/>
      </c>
      <c r="U2666" s="15">
        <f>IF(T2666="",0,IF(AND(G2666=T2666,COUNTIFS($S$6:S2666,S2666,$G$6:G2666,G2666,$D$6:D2666,"Vastgesteld")=1),1,0))</f>
        <v>0</v>
      </c>
      <c r="V2666" s="15">
        <f>IF(T2666="",0,IF(AND(G2666=T2666,COUNTIFS($S$6:S2666,S2666,$G$6:G2666,G2666,$D$6:D2666,"Vastgesteld")&gt;1),1,0))</f>
        <v>0</v>
      </c>
    </row>
    <row r="2667">
      <c r="S2667" s="15" t="str">
        <f>IF(J2667="","",J2667&amp;"|"&amp;E2667&amp;"|"&amp;F2667&amp;"|"&amp;I2667&amp;"|"&amp;O2667)</f>
        <v/>
      </c>
      <c r="T2667" s="15" t="str">
        <f>IF(OR(S2667="",D2667&lt;&gt;"Vastgesteld"),"",_xlfn.MAXIFS($G$6:$G$5005,$S$6:$S$5005,S2667,$D$6:$D$5005,"Vastgesteld"))</f>
        <v/>
      </c>
      <c r="U2667" s="15">
        <f>IF(T2667="",0,IF(AND(G2667=T2667,COUNTIFS($S$6:S2667,S2667,$G$6:G2667,G2667,$D$6:D2667,"Vastgesteld")=1),1,0))</f>
        <v>0</v>
      </c>
      <c r="V2667" s="15">
        <f>IF(T2667="",0,IF(AND(G2667=T2667,COUNTIFS($S$6:S2667,S2667,$G$6:G2667,G2667,$D$6:D2667,"Vastgesteld")&gt;1),1,0))</f>
        <v>0</v>
      </c>
    </row>
    <row r="2668">
      <c r="S2668" s="15" t="str">
        <f>IF(J2668="","",J2668&amp;"|"&amp;E2668&amp;"|"&amp;F2668&amp;"|"&amp;I2668&amp;"|"&amp;O2668)</f>
        <v/>
      </c>
      <c r="T2668" s="15" t="str">
        <f>IF(OR(S2668="",D2668&lt;&gt;"Vastgesteld"),"",_xlfn.MAXIFS($G$6:$G$5005,$S$6:$S$5005,S2668,$D$6:$D$5005,"Vastgesteld"))</f>
        <v/>
      </c>
      <c r="U2668" s="15">
        <f>IF(T2668="",0,IF(AND(G2668=T2668,COUNTIFS($S$6:S2668,S2668,$G$6:G2668,G2668,$D$6:D2668,"Vastgesteld")=1),1,0))</f>
        <v>0</v>
      </c>
      <c r="V2668" s="15">
        <f>IF(T2668="",0,IF(AND(G2668=T2668,COUNTIFS($S$6:S2668,S2668,$G$6:G2668,G2668,$D$6:D2668,"Vastgesteld")&gt;1),1,0))</f>
        <v>0</v>
      </c>
    </row>
    <row r="2669">
      <c r="S2669" s="15" t="str">
        <f>IF(J2669="","",J2669&amp;"|"&amp;E2669&amp;"|"&amp;F2669&amp;"|"&amp;I2669&amp;"|"&amp;O2669)</f>
        <v/>
      </c>
      <c r="T2669" s="15" t="str">
        <f>IF(OR(S2669="",D2669&lt;&gt;"Vastgesteld"),"",_xlfn.MAXIFS($G$6:$G$5005,$S$6:$S$5005,S2669,$D$6:$D$5005,"Vastgesteld"))</f>
        <v/>
      </c>
      <c r="U2669" s="15">
        <f>IF(T2669="",0,IF(AND(G2669=T2669,COUNTIFS($S$6:S2669,S2669,$G$6:G2669,G2669,$D$6:D2669,"Vastgesteld")=1),1,0))</f>
        <v>0</v>
      </c>
      <c r="V2669" s="15">
        <f>IF(T2669="",0,IF(AND(G2669=T2669,COUNTIFS($S$6:S2669,S2669,$G$6:G2669,G2669,$D$6:D2669,"Vastgesteld")&gt;1),1,0))</f>
        <v>0</v>
      </c>
    </row>
    <row r="2670">
      <c r="S2670" s="15" t="str">
        <f>IF(J2670="","",J2670&amp;"|"&amp;E2670&amp;"|"&amp;F2670&amp;"|"&amp;I2670&amp;"|"&amp;O2670)</f>
        <v/>
      </c>
      <c r="T2670" s="15" t="str">
        <f>IF(OR(S2670="",D2670&lt;&gt;"Vastgesteld"),"",_xlfn.MAXIFS($G$6:$G$5005,$S$6:$S$5005,S2670,$D$6:$D$5005,"Vastgesteld"))</f>
        <v/>
      </c>
      <c r="U2670" s="15">
        <f>IF(T2670="",0,IF(AND(G2670=T2670,COUNTIFS($S$6:S2670,S2670,$G$6:G2670,G2670,$D$6:D2670,"Vastgesteld")=1),1,0))</f>
        <v>0</v>
      </c>
      <c r="V2670" s="15">
        <f>IF(T2670="",0,IF(AND(G2670=T2670,COUNTIFS($S$6:S2670,S2670,$G$6:G2670,G2670,$D$6:D2670,"Vastgesteld")&gt;1),1,0))</f>
        <v>0</v>
      </c>
    </row>
    <row r="2671">
      <c r="S2671" s="15" t="str">
        <f>IF(J2671="","",J2671&amp;"|"&amp;E2671&amp;"|"&amp;F2671&amp;"|"&amp;I2671&amp;"|"&amp;O2671)</f>
        <v/>
      </c>
      <c r="T2671" s="15" t="str">
        <f>IF(OR(S2671="",D2671&lt;&gt;"Vastgesteld"),"",_xlfn.MAXIFS($G$6:$G$5005,$S$6:$S$5005,S2671,$D$6:$D$5005,"Vastgesteld"))</f>
        <v/>
      </c>
      <c r="U2671" s="15">
        <f>IF(T2671="",0,IF(AND(G2671=T2671,COUNTIFS($S$6:S2671,S2671,$G$6:G2671,G2671,$D$6:D2671,"Vastgesteld")=1),1,0))</f>
        <v>0</v>
      </c>
      <c r="V2671" s="15">
        <f>IF(T2671="",0,IF(AND(G2671=T2671,COUNTIFS($S$6:S2671,S2671,$G$6:G2671,G2671,$D$6:D2671,"Vastgesteld")&gt;1),1,0))</f>
        <v>0</v>
      </c>
    </row>
    <row r="2672">
      <c r="S2672" s="15" t="str">
        <f>IF(J2672="","",J2672&amp;"|"&amp;E2672&amp;"|"&amp;F2672&amp;"|"&amp;I2672&amp;"|"&amp;O2672)</f>
        <v/>
      </c>
      <c r="T2672" s="15" t="str">
        <f>IF(OR(S2672="",D2672&lt;&gt;"Vastgesteld"),"",_xlfn.MAXIFS($G$6:$G$5005,$S$6:$S$5005,S2672,$D$6:$D$5005,"Vastgesteld"))</f>
        <v/>
      </c>
      <c r="U2672" s="15">
        <f>IF(T2672="",0,IF(AND(G2672=T2672,COUNTIFS($S$6:S2672,S2672,$G$6:G2672,G2672,$D$6:D2672,"Vastgesteld")=1),1,0))</f>
        <v>0</v>
      </c>
      <c r="V2672" s="15">
        <f>IF(T2672="",0,IF(AND(G2672=T2672,COUNTIFS($S$6:S2672,S2672,$G$6:G2672,G2672,$D$6:D2672,"Vastgesteld")&gt;1),1,0))</f>
        <v>0</v>
      </c>
    </row>
    <row r="2673">
      <c r="S2673" s="15" t="str">
        <f>IF(J2673="","",J2673&amp;"|"&amp;E2673&amp;"|"&amp;F2673&amp;"|"&amp;I2673&amp;"|"&amp;O2673)</f>
        <v/>
      </c>
      <c r="T2673" s="15" t="str">
        <f>IF(OR(S2673="",D2673&lt;&gt;"Vastgesteld"),"",_xlfn.MAXIFS($G$6:$G$5005,$S$6:$S$5005,S2673,$D$6:$D$5005,"Vastgesteld"))</f>
        <v/>
      </c>
      <c r="U2673" s="15">
        <f>IF(T2673="",0,IF(AND(G2673=T2673,COUNTIFS($S$6:S2673,S2673,$G$6:G2673,G2673,$D$6:D2673,"Vastgesteld")=1),1,0))</f>
        <v>0</v>
      </c>
      <c r="V2673" s="15">
        <f>IF(T2673="",0,IF(AND(G2673=T2673,COUNTIFS($S$6:S2673,S2673,$G$6:G2673,G2673,$D$6:D2673,"Vastgesteld")&gt;1),1,0))</f>
        <v>0</v>
      </c>
    </row>
    <row r="2674">
      <c r="S2674" s="15" t="str">
        <f>IF(J2674="","",J2674&amp;"|"&amp;E2674&amp;"|"&amp;F2674&amp;"|"&amp;I2674&amp;"|"&amp;O2674)</f>
        <v/>
      </c>
      <c r="T2674" s="15" t="str">
        <f>IF(OR(S2674="",D2674&lt;&gt;"Vastgesteld"),"",_xlfn.MAXIFS($G$6:$G$5005,$S$6:$S$5005,S2674,$D$6:$D$5005,"Vastgesteld"))</f>
        <v/>
      </c>
      <c r="U2674" s="15">
        <f>IF(T2674="",0,IF(AND(G2674=T2674,COUNTIFS($S$6:S2674,S2674,$G$6:G2674,G2674,$D$6:D2674,"Vastgesteld")=1),1,0))</f>
        <v>0</v>
      </c>
      <c r="V2674" s="15">
        <f>IF(T2674="",0,IF(AND(G2674=T2674,COUNTIFS($S$6:S2674,S2674,$G$6:G2674,G2674,$D$6:D2674,"Vastgesteld")&gt;1),1,0))</f>
        <v>0</v>
      </c>
    </row>
    <row r="2675">
      <c r="S2675" s="15" t="str">
        <f>IF(J2675="","",J2675&amp;"|"&amp;E2675&amp;"|"&amp;F2675&amp;"|"&amp;I2675&amp;"|"&amp;O2675)</f>
        <v/>
      </c>
      <c r="T2675" s="15" t="str">
        <f>IF(OR(S2675="",D2675&lt;&gt;"Vastgesteld"),"",_xlfn.MAXIFS($G$6:$G$5005,$S$6:$S$5005,S2675,$D$6:$D$5005,"Vastgesteld"))</f>
        <v/>
      </c>
      <c r="U2675" s="15">
        <f>IF(T2675="",0,IF(AND(G2675=T2675,COUNTIFS($S$6:S2675,S2675,$G$6:G2675,G2675,$D$6:D2675,"Vastgesteld")=1),1,0))</f>
        <v>0</v>
      </c>
      <c r="V2675" s="15">
        <f>IF(T2675="",0,IF(AND(G2675=T2675,COUNTIFS($S$6:S2675,S2675,$G$6:G2675,G2675,$D$6:D2675,"Vastgesteld")&gt;1),1,0))</f>
        <v>0</v>
      </c>
    </row>
    <row r="2676">
      <c r="S2676" s="15" t="str">
        <f>IF(J2676="","",J2676&amp;"|"&amp;E2676&amp;"|"&amp;F2676&amp;"|"&amp;I2676&amp;"|"&amp;O2676)</f>
        <v/>
      </c>
      <c r="T2676" s="15" t="str">
        <f>IF(OR(S2676="",D2676&lt;&gt;"Vastgesteld"),"",_xlfn.MAXIFS($G$6:$G$5005,$S$6:$S$5005,S2676,$D$6:$D$5005,"Vastgesteld"))</f>
        <v/>
      </c>
      <c r="U2676" s="15">
        <f>IF(T2676="",0,IF(AND(G2676=T2676,COUNTIFS($S$6:S2676,S2676,$G$6:G2676,G2676,$D$6:D2676,"Vastgesteld")=1),1,0))</f>
        <v>0</v>
      </c>
      <c r="V2676" s="15">
        <f>IF(T2676="",0,IF(AND(G2676=T2676,COUNTIFS($S$6:S2676,S2676,$G$6:G2676,G2676,$D$6:D2676,"Vastgesteld")&gt;1),1,0))</f>
        <v>0</v>
      </c>
    </row>
    <row r="2677">
      <c r="S2677" s="15" t="str">
        <f>IF(J2677="","",J2677&amp;"|"&amp;E2677&amp;"|"&amp;F2677&amp;"|"&amp;I2677&amp;"|"&amp;O2677)</f>
        <v/>
      </c>
      <c r="T2677" s="15" t="str">
        <f>IF(OR(S2677="",D2677&lt;&gt;"Vastgesteld"),"",_xlfn.MAXIFS($G$6:$G$5005,$S$6:$S$5005,S2677,$D$6:$D$5005,"Vastgesteld"))</f>
        <v/>
      </c>
      <c r="U2677" s="15">
        <f>IF(T2677="",0,IF(AND(G2677=T2677,COUNTIFS($S$6:S2677,S2677,$G$6:G2677,G2677,$D$6:D2677,"Vastgesteld")=1),1,0))</f>
        <v>0</v>
      </c>
      <c r="V2677" s="15">
        <f>IF(T2677="",0,IF(AND(G2677=T2677,COUNTIFS($S$6:S2677,S2677,$G$6:G2677,G2677,$D$6:D2677,"Vastgesteld")&gt;1),1,0))</f>
        <v>0</v>
      </c>
    </row>
    <row r="2678">
      <c r="S2678" s="15" t="str">
        <f>IF(J2678="","",J2678&amp;"|"&amp;E2678&amp;"|"&amp;F2678&amp;"|"&amp;I2678&amp;"|"&amp;O2678)</f>
        <v/>
      </c>
      <c r="T2678" s="15" t="str">
        <f>IF(OR(S2678="",D2678&lt;&gt;"Vastgesteld"),"",_xlfn.MAXIFS($G$6:$G$5005,$S$6:$S$5005,S2678,$D$6:$D$5005,"Vastgesteld"))</f>
        <v/>
      </c>
      <c r="U2678" s="15">
        <f>IF(T2678="",0,IF(AND(G2678=T2678,COUNTIFS($S$6:S2678,S2678,$G$6:G2678,G2678,$D$6:D2678,"Vastgesteld")=1),1,0))</f>
        <v>0</v>
      </c>
      <c r="V2678" s="15">
        <f>IF(T2678="",0,IF(AND(G2678=T2678,COUNTIFS($S$6:S2678,S2678,$G$6:G2678,G2678,$D$6:D2678,"Vastgesteld")&gt;1),1,0))</f>
        <v>0</v>
      </c>
    </row>
    <row r="2679">
      <c r="S2679" s="15" t="str">
        <f>IF(J2679="","",J2679&amp;"|"&amp;E2679&amp;"|"&amp;F2679&amp;"|"&amp;I2679&amp;"|"&amp;O2679)</f>
        <v/>
      </c>
      <c r="T2679" s="15" t="str">
        <f>IF(OR(S2679="",D2679&lt;&gt;"Vastgesteld"),"",_xlfn.MAXIFS($G$6:$G$5005,$S$6:$S$5005,S2679,$D$6:$D$5005,"Vastgesteld"))</f>
        <v/>
      </c>
      <c r="U2679" s="15">
        <f>IF(T2679="",0,IF(AND(G2679=T2679,COUNTIFS($S$6:S2679,S2679,$G$6:G2679,G2679,$D$6:D2679,"Vastgesteld")=1),1,0))</f>
        <v>0</v>
      </c>
      <c r="V2679" s="15">
        <f>IF(T2679="",0,IF(AND(G2679=T2679,COUNTIFS($S$6:S2679,S2679,$G$6:G2679,G2679,$D$6:D2679,"Vastgesteld")&gt;1),1,0))</f>
        <v>0</v>
      </c>
    </row>
    <row r="2680">
      <c r="S2680" s="15" t="str">
        <f>IF(J2680="","",J2680&amp;"|"&amp;E2680&amp;"|"&amp;F2680&amp;"|"&amp;I2680&amp;"|"&amp;O2680)</f>
        <v/>
      </c>
      <c r="T2680" s="15" t="str">
        <f>IF(OR(S2680="",D2680&lt;&gt;"Vastgesteld"),"",_xlfn.MAXIFS($G$6:$G$5005,$S$6:$S$5005,S2680,$D$6:$D$5005,"Vastgesteld"))</f>
        <v/>
      </c>
      <c r="U2680" s="15">
        <f>IF(T2680="",0,IF(AND(G2680=T2680,COUNTIFS($S$6:S2680,S2680,$G$6:G2680,G2680,$D$6:D2680,"Vastgesteld")=1),1,0))</f>
        <v>0</v>
      </c>
      <c r="V2680" s="15">
        <f>IF(T2680="",0,IF(AND(G2680=T2680,COUNTIFS($S$6:S2680,S2680,$G$6:G2680,G2680,$D$6:D2680,"Vastgesteld")&gt;1),1,0))</f>
        <v>0</v>
      </c>
    </row>
    <row r="2681">
      <c r="S2681" s="15" t="str">
        <f>IF(J2681="","",J2681&amp;"|"&amp;E2681&amp;"|"&amp;F2681&amp;"|"&amp;I2681&amp;"|"&amp;O2681)</f>
        <v/>
      </c>
      <c r="T2681" s="15" t="str">
        <f>IF(OR(S2681="",D2681&lt;&gt;"Vastgesteld"),"",_xlfn.MAXIFS($G$6:$G$5005,$S$6:$S$5005,S2681,$D$6:$D$5005,"Vastgesteld"))</f>
        <v/>
      </c>
      <c r="U2681" s="15">
        <f>IF(T2681="",0,IF(AND(G2681=T2681,COUNTIFS($S$6:S2681,S2681,$G$6:G2681,G2681,$D$6:D2681,"Vastgesteld")=1),1,0))</f>
        <v>0</v>
      </c>
      <c r="V2681" s="15">
        <f>IF(T2681="",0,IF(AND(G2681=T2681,COUNTIFS($S$6:S2681,S2681,$G$6:G2681,G2681,$D$6:D2681,"Vastgesteld")&gt;1),1,0))</f>
        <v>0</v>
      </c>
    </row>
    <row r="2682">
      <c r="S2682" s="15" t="str">
        <f>IF(J2682="","",J2682&amp;"|"&amp;E2682&amp;"|"&amp;F2682&amp;"|"&amp;I2682&amp;"|"&amp;O2682)</f>
        <v/>
      </c>
      <c r="T2682" s="15" t="str">
        <f>IF(OR(S2682="",D2682&lt;&gt;"Vastgesteld"),"",_xlfn.MAXIFS($G$6:$G$5005,$S$6:$S$5005,S2682,$D$6:$D$5005,"Vastgesteld"))</f>
        <v/>
      </c>
      <c r="U2682" s="15">
        <f>IF(T2682="",0,IF(AND(G2682=T2682,COUNTIFS($S$6:S2682,S2682,$G$6:G2682,G2682,$D$6:D2682,"Vastgesteld")=1),1,0))</f>
        <v>0</v>
      </c>
      <c r="V2682" s="15">
        <f>IF(T2682="",0,IF(AND(G2682=T2682,COUNTIFS($S$6:S2682,S2682,$G$6:G2682,G2682,$D$6:D2682,"Vastgesteld")&gt;1),1,0))</f>
        <v>0</v>
      </c>
    </row>
    <row r="2683">
      <c r="S2683" s="15" t="str">
        <f>IF(J2683="","",J2683&amp;"|"&amp;E2683&amp;"|"&amp;F2683&amp;"|"&amp;I2683&amp;"|"&amp;O2683)</f>
        <v/>
      </c>
      <c r="T2683" s="15" t="str">
        <f>IF(OR(S2683="",D2683&lt;&gt;"Vastgesteld"),"",_xlfn.MAXIFS($G$6:$G$5005,$S$6:$S$5005,S2683,$D$6:$D$5005,"Vastgesteld"))</f>
        <v/>
      </c>
      <c r="U2683" s="15">
        <f>IF(T2683="",0,IF(AND(G2683=T2683,COUNTIFS($S$6:S2683,S2683,$G$6:G2683,G2683,$D$6:D2683,"Vastgesteld")=1),1,0))</f>
        <v>0</v>
      </c>
      <c r="V2683" s="15">
        <f>IF(T2683="",0,IF(AND(G2683=T2683,COUNTIFS($S$6:S2683,S2683,$G$6:G2683,G2683,$D$6:D2683,"Vastgesteld")&gt;1),1,0))</f>
        <v>0</v>
      </c>
    </row>
    <row r="2684">
      <c r="S2684" s="15" t="str">
        <f>IF(J2684="","",J2684&amp;"|"&amp;E2684&amp;"|"&amp;F2684&amp;"|"&amp;I2684&amp;"|"&amp;O2684)</f>
        <v/>
      </c>
      <c r="T2684" s="15" t="str">
        <f>IF(OR(S2684="",D2684&lt;&gt;"Vastgesteld"),"",_xlfn.MAXIFS($G$6:$G$5005,$S$6:$S$5005,S2684,$D$6:$D$5005,"Vastgesteld"))</f>
        <v/>
      </c>
      <c r="U2684" s="15">
        <f>IF(T2684="",0,IF(AND(G2684=T2684,COUNTIFS($S$6:S2684,S2684,$G$6:G2684,G2684,$D$6:D2684,"Vastgesteld")=1),1,0))</f>
        <v>0</v>
      </c>
      <c r="V2684" s="15">
        <f>IF(T2684="",0,IF(AND(G2684=T2684,COUNTIFS($S$6:S2684,S2684,$G$6:G2684,G2684,$D$6:D2684,"Vastgesteld")&gt;1),1,0))</f>
        <v>0</v>
      </c>
    </row>
    <row r="2685">
      <c r="S2685" s="15" t="str">
        <f>IF(J2685="","",J2685&amp;"|"&amp;E2685&amp;"|"&amp;F2685&amp;"|"&amp;I2685&amp;"|"&amp;O2685)</f>
        <v/>
      </c>
      <c r="T2685" s="15" t="str">
        <f>IF(OR(S2685="",D2685&lt;&gt;"Vastgesteld"),"",_xlfn.MAXIFS($G$6:$G$5005,$S$6:$S$5005,S2685,$D$6:$D$5005,"Vastgesteld"))</f>
        <v/>
      </c>
      <c r="U2685" s="15">
        <f>IF(T2685="",0,IF(AND(G2685=T2685,COUNTIFS($S$6:S2685,S2685,$G$6:G2685,G2685,$D$6:D2685,"Vastgesteld")=1),1,0))</f>
        <v>0</v>
      </c>
      <c r="V2685" s="15">
        <f>IF(T2685="",0,IF(AND(G2685=T2685,COUNTIFS($S$6:S2685,S2685,$G$6:G2685,G2685,$D$6:D2685,"Vastgesteld")&gt;1),1,0))</f>
        <v>0</v>
      </c>
    </row>
    <row r="2686">
      <c r="S2686" s="15" t="str">
        <f>IF(J2686="","",J2686&amp;"|"&amp;E2686&amp;"|"&amp;F2686&amp;"|"&amp;I2686&amp;"|"&amp;O2686)</f>
        <v/>
      </c>
      <c r="T2686" s="15" t="str">
        <f>IF(OR(S2686="",D2686&lt;&gt;"Vastgesteld"),"",_xlfn.MAXIFS($G$6:$G$5005,$S$6:$S$5005,S2686,$D$6:$D$5005,"Vastgesteld"))</f>
        <v/>
      </c>
      <c r="U2686" s="15">
        <f>IF(T2686="",0,IF(AND(G2686=T2686,COUNTIFS($S$6:S2686,S2686,$G$6:G2686,G2686,$D$6:D2686,"Vastgesteld")=1),1,0))</f>
        <v>0</v>
      </c>
      <c r="V2686" s="15">
        <f>IF(T2686="",0,IF(AND(G2686=T2686,COUNTIFS($S$6:S2686,S2686,$G$6:G2686,G2686,$D$6:D2686,"Vastgesteld")&gt;1),1,0))</f>
        <v>0</v>
      </c>
    </row>
    <row r="2687">
      <c r="S2687" s="15" t="str">
        <f>IF(J2687="","",J2687&amp;"|"&amp;E2687&amp;"|"&amp;F2687&amp;"|"&amp;I2687&amp;"|"&amp;O2687)</f>
        <v/>
      </c>
      <c r="T2687" s="15" t="str">
        <f>IF(OR(S2687="",D2687&lt;&gt;"Vastgesteld"),"",_xlfn.MAXIFS($G$6:$G$5005,$S$6:$S$5005,S2687,$D$6:$D$5005,"Vastgesteld"))</f>
        <v/>
      </c>
      <c r="U2687" s="15">
        <f>IF(T2687="",0,IF(AND(G2687=T2687,COUNTIFS($S$6:S2687,S2687,$G$6:G2687,G2687,$D$6:D2687,"Vastgesteld")=1),1,0))</f>
        <v>0</v>
      </c>
      <c r="V2687" s="15">
        <f>IF(T2687="",0,IF(AND(G2687=T2687,COUNTIFS($S$6:S2687,S2687,$G$6:G2687,G2687,$D$6:D2687,"Vastgesteld")&gt;1),1,0))</f>
        <v>0</v>
      </c>
    </row>
    <row r="2688">
      <c r="S2688" s="15" t="str">
        <f>IF(J2688="","",J2688&amp;"|"&amp;E2688&amp;"|"&amp;F2688&amp;"|"&amp;I2688&amp;"|"&amp;O2688)</f>
        <v/>
      </c>
      <c r="T2688" s="15" t="str">
        <f>IF(OR(S2688="",D2688&lt;&gt;"Vastgesteld"),"",_xlfn.MAXIFS($G$6:$G$5005,$S$6:$S$5005,S2688,$D$6:$D$5005,"Vastgesteld"))</f>
        <v/>
      </c>
      <c r="U2688" s="15">
        <f>IF(T2688="",0,IF(AND(G2688=T2688,COUNTIFS($S$6:S2688,S2688,$G$6:G2688,G2688,$D$6:D2688,"Vastgesteld")=1),1,0))</f>
        <v>0</v>
      </c>
      <c r="V2688" s="15">
        <f>IF(T2688="",0,IF(AND(G2688=T2688,COUNTIFS($S$6:S2688,S2688,$G$6:G2688,G2688,$D$6:D2688,"Vastgesteld")&gt;1),1,0))</f>
        <v>0</v>
      </c>
    </row>
    <row r="2689">
      <c r="S2689" s="15" t="str">
        <f>IF(J2689="","",J2689&amp;"|"&amp;E2689&amp;"|"&amp;F2689&amp;"|"&amp;I2689&amp;"|"&amp;O2689)</f>
        <v/>
      </c>
      <c r="T2689" s="15" t="str">
        <f>IF(OR(S2689="",D2689&lt;&gt;"Vastgesteld"),"",_xlfn.MAXIFS($G$6:$G$5005,$S$6:$S$5005,S2689,$D$6:$D$5005,"Vastgesteld"))</f>
        <v/>
      </c>
      <c r="U2689" s="15">
        <f>IF(T2689="",0,IF(AND(G2689=T2689,COUNTIFS($S$6:S2689,S2689,$G$6:G2689,G2689,$D$6:D2689,"Vastgesteld")=1),1,0))</f>
        <v>0</v>
      </c>
      <c r="V2689" s="15">
        <f>IF(T2689="",0,IF(AND(G2689=T2689,COUNTIFS($S$6:S2689,S2689,$G$6:G2689,G2689,$D$6:D2689,"Vastgesteld")&gt;1),1,0))</f>
        <v>0</v>
      </c>
    </row>
    <row r="2690">
      <c r="S2690" s="15" t="str">
        <f>IF(J2690="","",J2690&amp;"|"&amp;E2690&amp;"|"&amp;F2690&amp;"|"&amp;I2690&amp;"|"&amp;O2690)</f>
        <v/>
      </c>
      <c r="T2690" s="15" t="str">
        <f>IF(OR(S2690="",D2690&lt;&gt;"Vastgesteld"),"",_xlfn.MAXIFS($G$6:$G$5005,$S$6:$S$5005,S2690,$D$6:$D$5005,"Vastgesteld"))</f>
        <v/>
      </c>
      <c r="U2690" s="15">
        <f>IF(T2690="",0,IF(AND(G2690=T2690,COUNTIFS($S$6:S2690,S2690,$G$6:G2690,G2690,$D$6:D2690,"Vastgesteld")=1),1,0))</f>
        <v>0</v>
      </c>
      <c r="V2690" s="15">
        <f>IF(T2690="",0,IF(AND(G2690=T2690,COUNTIFS($S$6:S2690,S2690,$G$6:G2690,G2690,$D$6:D2690,"Vastgesteld")&gt;1),1,0))</f>
        <v>0</v>
      </c>
    </row>
    <row r="2691">
      <c r="S2691" s="15" t="str">
        <f>IF(J2691="","",J2691&amp;"|"&amp;E2691&amp;"|"&amp;F2691&amp;"|"&amp;I2691&amp;"|"&amp;O2691)</f>
        <v/>
      </c>
      <c r="T2691" s="15" t="str">
        <f>IF(OR(S2691="",D2691&lt;&gt;"Vastgesteld"),"",_xlfn.MAXIFS($G$6:$G$5005,$S$6:$S$5005,S2691,$D$6:$D$5005,"Vastgesteld"))</f>
        <v/>
      </c>
      <c r="U2691" s="15">
        <f>IF(T2691="",0,IF(AND(G2691=T2691,COUNTIFS($S$6:S2691,S2691,$G$6:G2691,G2691,$D$6:D2691,"Vastgesteld")=1),1,0))</f>
        <v>0</v>
      </c>
      <c r="V2691" s="15">
        <f>IF(T2691="",0,IF(AND(G2691=T2691,COUNTIFS($S$6:S2691,S2691,$G$6:G2691,G2691,$D$6:D2691,"Vastgesteld")&gt;1),1,0))</f>
        <v>0</v>
      </c>
    </row>
    <row r="2692">
      <c r="S2692" s="15" t="str">
        <f>IF(J2692="","",J2692&amp;"|"&amp;E2692&amp;"|"&amp;F2692&amp;"|"&amp;I2692&amp;"|"&amp;O2692)</f>
        <v/>
      </c>
      <c r="T2692" s="15" t="str">
        <f>IF(OR(S2692="",D2692&lt;&gt;"Vastgesteld"),"",_xlfn.MAXIFS($G$6:$G$5005,$S$6:$S$5005,S2692,$D$6:$D$5005,"Vastgesteld"))</f>
        <v/>
      </c>
      <c r="U2692" s="15">
        <f>IF(T2692="",0,IF(AND(G2692=T2692,COUNTIFS($S$6:S2692,S2692,$G$6:G2692,G2692,$D$6:D2692,"Vastgesteld")=1),1,0))</f>
        <v>0</v>
      </c>
      <c r="V2692" s="15">
        <f>IF(T2692="",0,IF(AND(G2692=T2692,COUNTIFS($S$6:S2692,S2692,$G$6:G2692,G2692,$D$6:D2692,"Vastgesteld")&gt;1),1,0))</f>
        <v>0</v>
      </c>
    </row>
    <row r="2693">
      <c r="S2693" s="15" t="str">
        <f>IF(J2693="","",J2693&amp;"|"&amp;E2693&amp;"|"&amp;F2693&amp;"|"&amp;I2693&amp;"|"&amp;O2693)</f>
        <v/>
      </c>
      <c r="T2693" s="15" t="str">
        <f>IF(OR(S2693="",D2693&lt;&gt;"Vastgesteld"),"",_xlfn.MAXIFS($G$6:$G$5005,$S$6:$S$5005,S2693,$D$6:$D$5005,"Vastgesteld"))</f>
        <v/>
      </c>
      <c r="U2693" s="15">
        <f>IF(T2693="",0,IF(AND(G2693=T2693,COUNTIFS($S$6:S2693,S2693,$G$6:G2693,G2693,$D$6:D2693,"Vastgesteld")=1),1,0))</f>
        <v>0</v>
      </c>
      <c r="V2693" s="15">
        <f>IF(T2693="",0,IF(AND(G2693=T2693,COUNTIFS($S$6:S2693,S2693,$G$6:G2693,G2693,$D$6:D2693,"Vastgesteld")&gt;1),1,0))</f>
        <v>0</v>
      </c>
    </row>
    <row r="2694">
      <c r="S2694" s="15" t="str">
        <f>IF(J2694="","",J2694&amp;"|"&amp;E2694&amp;"|"&amp;F2694&amp;"|"&amp;I2694&amp;"|"&amp;O2694)</f>
        <v/>
      </c>
      <c r="T2694" s="15" t="str">
        <f>IF(OR(S2694="",D2694&lt;&gt;"Vastgesteld"),"",_xlfn.MAXIFS($G$6:$G$5005,$S$6:$S$5005,S2694,$D$6:$D$5005,"Vastgesteld"))</f>
        <v/>
      </c>
      <c r="U2694" s="15">
        <f>IF(T2694="",0,IF(AND(G2694=T2694,COUNTIFS($S$6:S2694,S2694,$G$6:G2694,G2694,$D$6:D2694,"Vastgesteld")=1),1,0))</f>
        <v>0</v>
      </c>
      <c r="V2694" s="15">
        <f>IF(T2694="",0,IF(AND(G2694=T2694,COUNTIFS($S$6:S2694,S2694,$G$6:G2694,G2694,$D$6:D2694,"Vastgesteld")&gt;1),1,0))</f>
        <v>0</v>
      </c>
    </row>
    <row r="2695">
      <c r="S2695" s="15" t="str">
        <f>IF(J2695="","",J2695&amp;"|"&amp;E2695&amp;"|"&amp;F2695&amp;"|"&amp;I2695&amp;"|"&amp;O2695)</f>
        <v/>
      </c>
      <c r="T2695" s="15" t="str">
        <f>IF(OR(S2695="",D2695&lt;&gt;"Vastgesteld"),"",_xlfn.MAXIFS($G$6:$G$5005,$S$6:$S$5005,S2695,$D$6:$D$5005,"Vastgesteld"))</f>
        <v/>
      </c>
      <c r="U2695" s="15">
        <f>IF(T2695="",0,IF(AND(G2695=T2695,COUNTIFS($S$6:S2695,S2695,$G$6:G2695,G2695,$D$6:D2695,"Vastgesteld")=1),1,0))</f>
        <v>0</v>
      </c>
      <c r="V2695" s="15">
        <f>IF(T2695="",0,IF(AND(G2695=T2695,COUNTIFS($S$6:S2695,S2695,$G$6:G2695,G2695,$D$6:D2695,"Vastgesteld")&gt;1),1,0))</f>
        <v>0</v>
      </c>
    </row>
    <row r="2696">
      <c r="S2696" s="15" t="str">
        <f>IF(J2696="","",J2696&amp;"|"&amp;E2696&amp;"|"&amp;F2696&amp;"|"&amp;I2696&amp;"|"&amp;O2696)</f>
        <v/>
      </c>
      <c r="T2696" s="15" t="str">
        <f>IF(OR(S2696="",D2696&lt;&gt;"Vastgesteld"),"",_xlfn.MAXIFS($G$6:$G$5005,$S$6:$S$5005,S2696,$D$6:$D$5005,"Vastgesteld"))</f>
        <v/>
      </c>
      <c r="U2696" s="15">
        <f>IF(T2696="",0,IF(AND(G2696=T2696,COUNTIFS($S$6:S2696,S2696,$G$6:G2696,G2696,$D$6:D2696,"Vastgesteld")=1),1,0))</f>
        <v>0</v>
      </c>
      <c r="V2696" s="15">
        <f>IF(T2696="",0,IF(AND(G2696=T2696,COUNTIFS($S$6:S2696,S2696,$G$6:G2696,G2696,$D$6:D2696,"Vastgesteld")&gt;1),1,0))</f>
        <v>0</v>
      </c>
    </row>
    <row r="2697">
      <c r="S2697" s="15" t="str">
        <f>IF(J2697="","",J2697&amp;"|"&amp;E2697&amp;"|"&amp;F2697&amp;"|"&amp;I2697&amp;"|"&amp;O2697)</f>
        <v/>
      </c>
      <c r="T2697" s="15" t="str">
        <f>IF(OR(S2697="",D2697&lt;&gt;"Vastgesteld"),"",_xlfn.MAXIFS($G$6:$G$5005,$S$6:$S$5005,S2697,$D$6:$D$5005,"Vastgesteld"))</f>
        <v/>
      </c>
      <c r="U2697" s="15">
        <f>IF(T2697="",0,IF(AND(G2697=T2697,COUNTIFS($S$6:S2697,S2697,$G$6:G2697,G2697,$D$6:D2697,"Vastgesteld")=1),1,0))</f>
        <v>0</v>
      </c>
      <c r="V2697" s="15">
        <f>IF(T2697="",0,IF(AND(G2697=T2697,COUNTIFS($S$6:S2697,S2697,$G$6:G2697,G2697,$D$6:D2697,"Vastgesteld")&gt;1),1,0))</f>
        <v>0</v>
      </c>
    </row>
    <row r="2698">
      <c r="S2698" s="15" t="str">
        <f>IF(J2698="","",J2698&amp;"|"&amp;E2698&amp;"|"&amp;F2698&amp;"|"&amp;I2698&amp;"|"&amp;O2698)</f>
        <v/>
      </c>
      <c r="T2698" s="15" t="str">
        <f>IF(OR(S2698="",D2698&lt;&gt;"Vastgesteld"),"",_xlfn.MAXIFS($G$6:$G$5005,$S$6:$S$5005,S2698,$D$6:$D$5005,"Vastgesteld"))</f>
        <v/>
      </c>
      <c r="U2698" s="15">
        <f>IF(T2698="",0,IF(AND(G2698=T2698,COUNTIFS($S$6:S2698,S2698,$G$6:G2698,G2698,$D$6:D2698,"Vastgesteld")=1),1,0))</f>
        <v>0</v>
      </c>
      <c r="V2698" s="15">
        <f>IF(T2698="",0,IF(AND(G2698=T2698,COUNTIFS($S$6:S2698,S2698,$G$6:G2698,G2698,$D$6:D2698,"Vastgesteld")&gt;1),1,0))</f>
        <v>0</v>
      </c>
    </row>
    <row r="2699">
      <c r="S2699" s="15" t="str">
        <f>IF(J2699="","",J2699&amp;"|"&amp;E2699&amp;"|"&amp;F2699&amp;"|"&amp;I2699&amp;"|"&amp;O2699)</f>
        <v/>
      </c>
      <c r="T2699" s="15" t="str">
        <f>IF(OR(S2699="",D2699&lt;&gt;"Vastgesteld"),"",_xlfn.MAXIFS($G$6:$G$5005,$S$6:$S$5005,S2699,$D$6:$D$5005,"Vastgesteld"))</f>
        <v/>
      </c>
      <c r="U2699" s="15">
        <f>IF(T2699="",0,IF(AND(G2699=T2699,COUNTIFS($S$6:S2699,S2699,$G$6:G2699,G2699,$D$6:D2699,"Vastgesteld")=1),1,0))</f>
        <v>0</v>
      </c>
      <c r="V2699" s="15">
        <f>IF(T2699="",0,IF(AND(G2699=T2699,COUNTIFS($S$6:S2699,S2699,$G$6:G2699,G2699,$D$6:D2699,"Vastgesteld")&gt;1),1,0))</f>
        <v>0</v>
      </c>
    </row>
    <row r="2700">
      <c r="S2700" s="15" t="str">
        <f>IF(J2700="","",J2700&amp;"|"&amp;E2700&amp;"|"&amp;F2700&amp;"|"&amp;I2700&amp;"|"&amp;O2700)</f>
        <v/>
      </c>
      <c r="T2700" s="15" t="str">
        <f>IF(OR(S2700="",D2700&lt;&gt;"Vastgesteld"),"",_xlfn.MAXIFS($G$6:$G$5005,$S$6:$S$5005,S2700,$D$6:$D$5005,"Vastgesteld"))</f>
        <v/>
      </c>
      <c r="U2700" s="15">
        <f>IF(T2700="",0,IF(AND(G2700=T2700,COUNTIFS($S$6:S2700,S2700,$G$6:G2700,G2700,$D$6:D2700,"Vastgesteld")=1),1,0))</f>
        <v>0</v>
      </c>
      <c r="V2700" s="15">
        <f>IF(T2700="",0,IF(AND(G2700=T2700,COUNTIFS($S$6:S2700,S2700,$G$6:G2700,G2700,$D$6:D2700,"Vastgesteld")&gt;1),1,0))</f>
        <v>0</v>
      </c>
    </row>
    <row r="2701">
      <c r="S2701" s="15" t="str">
        <f>IF(J2701="","",J2701&amp;"|"&amp;E2701&amp;"|"&amp;F2701&amp;"|"&amp;I2701&amp;"|"&amp;O2701)</f>
        <v/>
      </c>
      <c r="T2701" s="15" t="str">
        <f>IF(OR(S2701="",D2701&lt;&gt;"Vastgesteld"),"",_xlfn.MAXIFS($G$6:$G$5005,$S$6:$S$5005,S2701,$D$6:$D$5005,"Vastgesteld"))</f>
        <v/>
      </c>
      <c r="U2701" s="15">
        <f>IF(T2701="",0,IF(AND(G2701=T2701,COUNTIFS($S$6:S2701,S2701,$G$6:G2701,G2701,$D$6:D2701,"Vastgesteld")=1),1,0))</f>
        <v>0</v>
      </c>
      <c r="V2701" s="15">
        <f>IF(T2701="",0,IF(AND(G2701=T2701,COUNTIFS($S$6:S2701,S2701,$G$6:G2701,G2701,$D$6:D2701,"Vastgesteld")&gt;1),1,0))</f>
        <v>0</v>
      </c>
    </row>
    <row r="2702">
      <c r="S2702" s="15" t="str">
        <f>IF(J2702="","",J2702&amp;"|"&amp;E2702&amp;"|"&amp;F2702&amp;"|"&amp;I2702&amp;"|"&amp;O2702)</f>
        <v/>
      </c>
      <c r="T2702" s="15" t="str">
        <f>IF(OR(S2702="",D2702&lt;&gt;"Vastgesteld"),"",_xlfn.MAXIFS($G$6:$G$5005,$S$6:$S$5005,S2702,$D$6:$D$5005,"Vastgesteld"))</f>
        <v/>
      </c>
      <c r="U2702" s="15">
        <f>IF(T2702="",0,IF(AND(G2702=T2702,COUNTIFS($S$6:S2702,S2702,$G$6:G2702,G2702,$D$6:D2702,"Vastgesteld")=1),1,0))</f>
        <v>0</v>
      </c>
      <c r="V2702" s="15">
        <f>IF(T2702="",0,IF(AND(G2702=T2702,COUNTIFS($S$6:S2702,S2702,$G$6:G2702,G2702,$D$6:D2702,"Vastgesteld")&gt;1),1,0))</f>
        <v>0</v>
      </c>
    </row>
    <row r="2703">
      <c r="S2703" s="15" t="str">
        <f>IF(J2703="","",J2703&amp;"|"&amp;E2703&amp;"|"&amp;F2703&amp;"|"&amp;I2703&amp;"|"&amp;O2703)</f>
        <v/>
      </c>
      <c r="T2703" s="15" t="str">
        <f>IF(OR(S2703="",D2703&lt;&gt;"Vastgesteld"),"",_xlfn.MAXIFS($G$6:$G$5005,$S$6:$S$5005,S2703,$D$6:$D$5005,"Vastgesteld"))</f>
        <v/>
      </c>
      <c r="U2703" s="15">
        <f>IF(T2703="",0,IF(AND(G2703=T2703,COUNTIFS($S$6:S2703,S2703,$G$6:G2703,G2703,$D$6:D2703,"Vastgesteld")=1),1,0))</f>
        <v>0</v>
      </c>
      <c r="V2703" s="15">
        <f>IF(T2703="",0,IF(AND(G2703=T2703,COUNTIFS($S$6:S2703,S2703,$G$6:G2703,G2703,$D$6:D2703,"Vastgesteld")&gt;1),1,0))</f>
        <v>0</v>
      </c>
    </row>
    <row r="2704">
      <c r="S2704" s="15" t="str">
        <f>IF(J2704="","",J2704&amp;"|"&amp;E2704&amp;"|"&amp;F2704&amp;"|"&amp;I2704&amp;"|"&amp;O2704)</f>
        <v/>
      </c>
      <c r="T2704" s="15" t="str">
        <f>IF(OR(S2704="",D2704&lt;&gt;"Vastgesteld"),"",_xlfn.MAXIFS($G$6:$G$5005,$S$6:$S$5005,S2704,$D$6:$D$5005,"Vastgesteld"))</f>
        <v/>
      </c>
      <c r="U2704" s="15">
        <f>IF(T2704="",0,IF(AND(G2704=T2704,COUNTIFS($S$6:S2704,S2704,$G$6:G2704,G2704,$D$6:D2704,"Vastgesteld")=1),1,0))</f>
        <v>0</v>
      </c>
      <c r="V2704" s="15">
        <f>IF(T2704="",0,IF(AND(G2704=T2704,COUNTIFS($S$6:S2704,S2704,$G$6:G2704,G2704,$D$6:D2704,"Vastgesteld")&gt;1),1,0))</f>
        <v>0</v>
      </c>
    </row>
    <row r="2705">
      <c r="S2705" s="15" t="str">
        <f>IF(J2705="","",J2705&amp;"|"&amp;E2705&amp;"|"&amp;F2705&amp;"|"&amp;I2705&amp;"|"&amp;O2705)</f>
        <v/>
      </c>
      <c r="T2705" s="15" t="str">
        <f>IF(OR(S2705="",D2705&lt;&gt;"Vastgesteld"),"",_xlfn.MAXIFS($G$6:$G$5005,$S$6:$S$5005,S2705,$D$6:$D$5005,"Vastgesteld"))</f>
        <v/>
      </c>
      <c r="U2705" s="15">
        <f>IF(T2705="",0,IF(AND(G2705=T2705,COUNTIFS($S$6:S2705,S2705,$G$6:G2705,G2705,$D$6:D2705,"Vastgesteld")=1),1,0))</f>
        <v>0</v>
      </c>
      <c r="V2705" s="15">
        <f>IF(T2705="",0,IF(AND(G2705=T2705,COUNTIFS($S$6:S2705,S2705,$G$6:G2705,G2705,$D$6:D2705,"Vastgesteld")&gt;1),1,0))</f>
        <v>0</v>
      </c>
    </row>
    <row r="2706">
      <c r="S2706" s="15" t="str">
        <f>IF(J2706="","",J2706&amp;"|"&amp;E2706&amp;"|"&amp;F2706&amp;"|"&amp;I2706&amp;"|"&amp;O2706)</f>
        <v/>
      </c>
      <c r="T2706" s="15" t="str">
        <f>IF(OR(S2706="",D2706&lt;&gt;"Vastgesteld"),"",_xlfn.MAXIFS($G$6:$G$5005,$S$6:$S$5005,S2706,$D$6:$D$5005,"Vastgesteld"))</f>
        <v/>
      </c>
      <c r="U2706" s="15">
        <f>IF(T2706="",0,IF(AND(G2706=T2706,COUNTIFS($S$6:S2706,S2706,$G$6:G2706,G2706,$D$6:D2706,"Vastgesteld")=1),1,0))</f>
        <v>0</v>
      </c>
      <c r="V2706" s="15">
        <f>IF(T2706="",0,IF(AND(G2706=T2706,COUNTIFS($S$6:S2706,S2706,$G$6:G2706,G2706,$D$6:D2706,"Vastgesteld")&gt;1),1,0))</f>
        <v>0</v>
      </c>
    </row>
    <row r="2707">
      <c r="S2707" s="15" t="str">
        <f>IF(J2707="","",J2707&amp;"|"&amp;E2707&amp;"|"&amp;F2707&amp;"|"&amp;I2707&amp;"|"&amp;O2707)</f>
        <v/>
      </c>
      <c r="T2707" s="15" t="str">
        <f>IF(OR(S2707="",D2707&lt;&gt;"Vastgesteld"),"",_xlfn.MAXIFS($G$6:$G$5005,$S$6:$S$5005,S2707,$D$6:$D$5005,"Vastgesteld"))</f>
        <v/>
      </c>
      <c r="U2707" s="15">
        <f>IF(T2707="",0,IF(AND(G2707=T2707,COUNTIFS($S$6:S2707,S2707,$G$6:G2707,G2707,$D$6:D2707,"Vastgesteld")=1),1,0))</f>
        <v>0</v>
      </c>
      <c r="V2707" s="15">
        <f>IF(T2707="",0,IF(AND(G2707=T2707,COUNTIFS($S$6:S2707,S2707,$G$6:G2707,G2707,$D$6:D2707,"Vastgesteld")&gt;1),1,0))</f>
        <v>0</v>
      </c>
    </row>
    <row r="2708">
      <c r="S2708" s="15" t="str">
        <f>IF(J2708="","",J2708&amp;"|"&amp;E2708&amp;"|"&amp;F2708&amp;"|"&amp;I2708&amp;"|"&amp;O2708)</f>
        <v/>
      </c>
      <c r="T2708" s="15" t="str">
        <f>IF(OR(S2708="",D2708&lt;&gt;"Vastgesteld"),"",_xlfn.MAXIFS($G$6:$G$5005,$S$6:$S$5005,S2708,$D$6:$D$5005,"Vastgesteld"))</f>
        <v/>
      </c>
      <c r="U2708" s="15">
        <f>IF(T2708="",0,IF(AND(G2708=T2708,COUNTIFS($S$6:S2708,S2708,$G$6:G2708,G2708,$D$6:D2708,"Vastgesteld")=1),1,0))</f>
        <v>0</v>
      </c>
      <c r="V2708" s="15">
        <f>IF(T2708="",0,IF(AND(G2708=T2708,COUNTIFS($S$6:S2708,S2708,$G$6:G2708,G2708,$D$6:D2708,"Vastgesteld")&gt;1),1,0))</f>
        <v>0</v>
      </c>
    </row>
    <row r="2709">
      <c r="S2709" s="15" t="str">
        <f>IF(J2709="","",J2709&amp;"|"&amp;E2709&amp;"|"&amp;F2709&amp;"|"&amp;I2709&amp;"|"&amp;O2709)</f>
        <v/>
      </c>
      <c r="T2709" s="15" t="str">
        <f>IF(OR(S2709="",D2709&lt;&gt;"Vastgesteld"),"",_xlfn.MAXIFS($G$6:$G$5005,$S$6:$S$5005,S2709,$D$6:$D$5005,"Vastgesteld"))</f>
        <v/>
      </c>
      <c r="U2709" s="15">
        <f>IF(T2709="",0,IF(AND(G2709=T2709,COUNTIFS($S$6:S2709,S2709,$G$6:G2709,G2709,$D$6:D2709,"Vastgesteld")=1),1,0))</f>
        <v>0</v>
      </c>
      <c r="V2709" s="15">
        <f>IF(T2709="",0,IF(AND(G2709=T2709,COUNTIFS($S$6:S2709,S2709,$G$6:G2709,G2709,$D$6:D2709,"Vastgesteld")&gt;1),1,0))</f>
        <v>0</v>
      </c>
    </row>
    <row r="2710">
      <c r="S2710" s="15" t="str">
        <f>IF(J2710="","",J2710&amp;"|"&amp;E2710&amp;"|"&amp;F2710&amp;"|"&amp;I2710&amp;"|"&amp;O2710)</f>
        <v/>
      </c>
      <c r="T2710" s="15" t="str">
        <f>IF(OR(S2710="",D2710&lt;&gt;"Vastgesteld"),"",_xlfn.MAXIFS($G$6:$G$5005,$S$6:$S$5005,S2710,$D$6:$D$5005,"Vastgesteld"))</f>
        <v/>
      </c>
      <c r="U2710" s="15">
        <f>IF(T2710="",0,IF(AND(G2710=T2710,COUNTIFS($S$6:S2710,S2710,$G$6:G2710,G2710,$D$6:D2710,"Vastgesteld")=1),1,0))</f>
        <v>0</v>
      </c>
      <c r="V2710" s="15">
        <f>IF(T2710="",0,IF(AND(G2710=T2710,COUNTIFS($S$6:S2710,S2710,$G$6:G2710,G2710,$D$6:D2710,"Vastgesteld")&gt;1),1,0))</f>
        <v>0</v>
      </c>
    </row>
    <row r="2711">
      <c r="S2711" s="15" t="str">
        <f>IF(J2711="","",J2711&amp;"|"&amp;E2711&amp;"|"&amp;F2711&amp;"|"&amp;I2711&amp;"|"&amp;O2711)</f>
        <v/>
      </c>
      <c r="T2711" s="15" t="str">
        <f>IF(OR(S2711="",D2711&lt;&gt;"Vastgesteld"),"",_xlfn.MAXIFS($G$6:$G$5005,$S$6:$S$5005,S2711,$D$6:$D$5005,"Vastgesteld"))</f>
        <v/>
      </c>
      <c r="U2711" s="15">
        <f>IF(T2711="",0,IF(AND(G2711=T2711,COUNTIFS($S$6:S2711,S2711,$G$6:G2711,G2711,$D$6:D2711,"Vastgesteld")=1),1,0))</f>
        <v>0</v>
      </c>
      <c r="V2711" s="15">
        <f>IF(T2711="",0,IF(AND(G2711=T2711,COUNTIFS($S$6:S2711,S2711,$G$6:G2711,G2711,$D$6:D2711,"Vastgesteld")&gt;1),1,0))</f>
        <v>0</v>
      </c>
    </row>
    <row r="2712">
      <c r="S2712" s="15" t="str">
        <f>IF(J2712="","",J2712&amp;"|"&amp;E2712&amp;"|"&amp;F2712&amp;"|"&amp;I2712&amp;"|"&amp;O2712)</f>
        <v/>
      </c>
      <c r="T2712" s="15" t="str">
        <f>IF(OR(S2712="",D2712&lt;&gt;"Vastgesteld"),"",_xlfn.MAXIFS($G$6:$G$5005,$S$6:$S$5005,S2712,$D$6:$D$5005,"Vastgesteld"))</f>
        <v/>
      </c>
      <c r="U2712" s="15">
        <f>IF(T2712="",0,IF(AND(G2712=T2712,COUNTIFS($S$6:S2712,S2712,$G$6:G2712,G2712,$D$6:D2712,"Vastgesteld")=1),1,0))</f>
        <v>0</v>
      </c>
      <c r="V2712" s="15">
        <f>IF(T2712="",0,IF(AND(G2712=T2712,COUNTIFS($S$6:S2712,S2712,$G$6:G2712,G2712,$D$6:D2712,"Vastgesteld")&gt;1),1,0))</f>
        <v>0</v>
      </c>
    </row>
    <row r="2713">
      <c r="S2713" s="15" t="str">
        <f>IF(J2713="","",J2713&amp;"|"&amp;E2713&amp;"|"&amp;F2713&amp;"|"&amp;I2713&amp;"|"&amp;O2713)</f>
        <v/>
      </c>
      <c r="T2713" s="15" t="str">
        <f>IF(OR(S2713="",D2713&lt;&gt;"Vastgesteld"),"",_xlfn.MAXIFS($G$6:$G$5005,$S$6:$S$5005,S2713,$D$6:$D$5005,"Vastgesteld"))</f>
        <v/>
      </c>
      <c r="U2713" s="15">
        <f>IF(T2713="",0,IF(AND(G2713=T2713,COUNTIFS($S$6:S2713,S2713,$G$6:G2713,G2713,$D$6:D2713,"Vastgesteld")=1),1,0))</f>
        <v>0</v>
      </c>
      <c r="V2713" s="15">
        <f>IF(T2713="",0,IF(AND(G2713=T2713,COUNTIFS($S$6:S2713,S2713,$G$6:G2713,G2713,$D$6:D2713,"Vastgesteld")&gt;1),1,0))</f>
        <v>0</v>
      </c>
    </row>
    <row r="2714">
      <c r="S2714" s="15" t="str">
        <f>IF(J2714="","",J2714&amp;"|"&amp;E2714&amp;"|"&amp;F2714&amp;"|"&amp;I2714&amp;"|"&amp;O2714)</f>
        <v/>
      </c>
      <c r="T2714" s="15" t="str">
        <f>IF(OR(S2714="",D2714&lt;&gt;"Vastgesteld"),"",_xlfn.MAXIFS($G$6:$G$5005,$S$6:$S$5005,S2714,$D$6:$D$5005,"Vastgesteld"))</f>
        <v/>
      </c>
      <c r="U2714" s="15">
        <f>IF(T2714="",0,IF(AND(G2714=T2714,COUNTIFS($S$6:S2714,S2714,$G$6:G2714,G2714,$D$6:D2714,"Vastgesteld")=1),1,0))</f>
        <v>0</v>
      </c>
      <c r="V2714" s="15">
        <f>IF(T2714="",0,IF(AND(G2714=T2714,COUNTIFS($S$6:S2714,S2714,$G$6:G2714,G2714,$D$6:D2714,"Vastgesteld")&gt;1),1,0))</f>
        <v>0</v>
      </c>
    </row>
    <row r="2715">
      <c r="S2715" s="15" t="str">
        <f>IF(J2715="","",J2715&amp;"|"&amp;E2715&amp;"|"&amp;F2715&amp;"|"&amp;I2715&amp;"|"&amp;O2715)</f>
        <v/>
      </c>
      <c r="T2715" s="15" t="str">
        <f>IF(OR(S2715="",D2715&lt;&gt;"Vastgesteld"),"",_xlfn.MAXIFS($G$6:$G$5005,$S$6:$S$5005,S2715,$D$6:$D$5005,"Vastgesteld"))</f>
        <v/>
      </c>
      <c r="U2715" s="15">
        <f>IF(T2715="",0,IF(AND(G2715=T2715,COUNTIFS($S$6:S2715,S2715,$G$6:G2715,G2715,$D$6:D2715,"Vastgesteld")=1),1,0))</f>
        <v>0</v>
      </c>
      <c r="V2715" s="15">
        <f>IF(T2715="",0,IF(AND(G2715=T2715,COUNTIFS($S$6:S2715,S2715,$G$6:G2715,G2715,$D$6:D2715,"Vastgesteld")&gt;1),1,0))</f>
        <v>0</v>
      </c>
    </row>
    <row r="2716">
      <c r="S2716" s="15" t="str">
        <f>IF(J2716="","",J2716&amp;"|"&amp;E2716&amp;"|"&amp;F2716&amp;"|"&amp;I2716&amp;"|"&amp;O2716)</f>
        <v/>
      </c>
      <c r="T2716" s="15" t="str">
        <f>IF(OR(S2716="",D2716&lt;&gt;"Vastgesteld"),"",_xlfn.MAXIFS($G$6:$G$5005,$S$6:$S$5005,S2716,$D$6:$D$5005,"Vastgesteld"))</f>
        <v/>
      </c>
      <c r="U2716" s="15">
        <f>IF(T2716="",0,IF(AND(G2716=T2716,COUNTIFS($S$6:S2716,S2716,$G$6:G2716,G2716,$D$6:D2716,"Vastgesteld")=1),1,0))</f>
        <v>0</v>
      </c>
      <c r="V2716" s="15">
        <f>IF(T2716="",0,IF(AND(G2716=T2716,COUNTIFS($S$6:S2716,S2716,$G$6:G2716,G2716,$D$6:D2716,"Vastgesteld")&gt;1),1,0))</f>
        <v>0</v>
      </c>
    </row>
    <row r="2717">
      <c r="S2717" s="15" t="str">
        <f>IF(J2717="","",J2717&amp;"|"&amp;E2717&amp;"|"&amp;F2717&amp;"|"&amp;I2717&amp;"|"&amp;O2717)</f>
        <v/>
      </c>
      <c r="T2717" s="15" t="str">
        <f>IF(OR(S2717="",D2717&lt;&gt;"Vastgesteld"),"",_xlfn.MAXIFS($G$6:$G$5005,$S$6:$S$5005,S2717,$D$6:$D$5005,"Vastgesteld"))</f>
        <v/>
      </c>
      <c r="U2717" s="15">
        <f>IF(T2717="",0,IF(AND(G2717=T2717,COUNTIFS($S$6:S2717,S2717,$G$6:G2717,G2717,$D$6:D2717,"Vastgesteld")=1),1,0))</f>
        <v>0</v>
      </c>
      <c r="V2717" s="15">
        <f>IF(T2717="",0,IF(AND(G2717=T2717,COUNTIFS($S$6:S2717,S2717,$G$6:G2717,G2717,$D$6:D2717,"Vastgesteld")&gt;1),1,0))</f>
        <v>0</v>
      </c>
    </row>
    <row r="2718">
      <c r="S2718" s="15" t="str">
        <f>IF(J2718="","",J2718&amp;"|"&amp;E2718&amp;"|"&amp;F2718&amp;"|"&amp;I2718&amp;"|"&amp;O2718)</f>
        <v/>
      </c>
      <c r="T2718" s="15" t="str">
        <f>IF(OR(S2718="",D2718&lt;&gt;"Vastgesteld"),"",_xlfn.MAXIFS($G$6:$G$5005,$S$6:$S$5005,S2718,$D$6:$D$5005,"Vastgesteld"))</f>
        <v/>
      </c>
      <c r="U2718" s="15">
        <f>IF(T2718="",0,IF(AND(G2718=T2718,COUNTIFS($S$6:S2718,S2718,$G$6:G2718,G2718,$D$6:D2718,"Vastgesteld")=1),1,0))</f>
        <v>0</v>
      </c>
      <c r="V2718" s="15">
        <f>IF(T2718="",0,IF(AND(G2718=T2718,COUNTIFS($S$6:S2718,S2718,$G$6:G2718,G2718,$D$6:D2718,"Vastgesteld")&gt;1),1,0))</f>
        <v>0</v>
      </c>
    </row>
    <row r="2719">
      <c r="S2719" s="15" t="str">
        <f>IF(J2719="","",J2719&amp;"|"&amp;E2719&amp;"|"&amp;F2719&amp;"|"&amp;I2719&amp;"|"&amp;O2719)</f>
        <v/>
      </c>
      <c r="T2719" s="15" t="str">
        <f>IF(OR(S2719="",D2719&lt;&gt;"Vastgesteld"),"",_xlfn.MAXIFS($G$6:$G$5005,$S$6:$S$5005,S2719,$D$6:$D$5005,"Vastgesteld"))</f>
        <v/>
      </c>
      <c r="U2719" s="15">
        <f>IF(T2719="",0,IF(AND(G2719=T2719,COUNTIFS($S$6:S2719,S2719,$G$6:G2719,G2719,$D$6:D2719,"Vastgesteld")=1),1,0))</f>
        <v>0</v>
      </c>
      <c r="V2719" s="15">
        <f>IF(T2719="",0,IF(AND(G2719=T2719,COUNTIFS($S$6:S2719,S2719,$G$6:G2719,G2719,$D$6:D2719,"Vastgesteld")&gt;1),1,0))</f>
        <v>0</v>
      </c>
    </row>
    <row r="2720">
      <c r="S2720" s="15" t="str">
        <f>IF(J2720="","",J2720&amp;"|"&amp;E2720&amp;"|"&amp;F2720&amp;"|"&amp;I2720&amp;"|"&amp;O2720)</f>
        <v/>
      </c>
      <c r="T2720" s="15" t="str">
        <f>IF(OR(S2720="",D2720&lt;&gt;"Vastgesteld"),"",_xlfn.MAXIFS($G$6:$G$5005,$S$6:$S$5005,S2720,$D$6:$D$5005,"Vastgesteld"))</f>
        <v/>
      </c>
      <c r="U2720" s="15">
        <f>IF(T2720="",0,IF(AND(G2720=T2720,COUNTIFS($S$6:S2720,S2720,$G$6:G2720,G2720,$D$6:D2720,"Vastgesteld")=1),1,0))</f>
        <v>0</v>
      </c>
      <c r="V2720" s="15">
        <f>IF(T2720="",0,IF(AND(G2720=T2720,COUNTIFS($S$6:S2720,S2720,$G$6:G2720,G2720,$D$6:D2720,"Vastgesteld")&gt;1),1,0))</f>
        <v>0</v>
      </c>
    </row>
    <row r="2721">
      <c r="S2721" s="15" t="str">
        <f>IF(J2721="","",J2721&amp;"|"&amp;E2721&amp;"|"&amp;F2721&amp;"|"&amp;I2721&amp;"|"&amp;O2721)</f>
        <v/>
      </c>
      <c r="T2721" s="15" t="str">
        <f>IF(OR(S2721="",D2721&lt;&gt;"Vastgesteld"),"",_xlfn.MAXIFS($G$6:$G$5005,$S$6:$S$5005,S2721,$D$6:$D$5005,"Vastgesteld"))</f>
        <v/>
      </c>
      <c r="U2721" s="15">
        <f>IF(T2721="",0,IF(AND(G2721=T2721,COUNTIFS($S$6:S2721,S2721,$G$6:G2721,G2721,$D$6:D2721,"Vastgesteld")=1),1,0))</f>
        <v>0</v>
      </c>
      <c r="V2721" s="15">
        <f>IF(T2721="",0,IF(AND(G2721=T2721,COUNTIFS($S$6:S2721,S2721,$G$6:G2721,G2721,$D$6:D2721,"Vastgesteld")&gt;1),1,0))</f>
        <v>0</v>
      </c>
    </row>
    <row r="2722">
      <c r="S2722" s="15" t="str">
        <f>IF(J2722="","",J2722&amp;"|"&amp;E2722&amp;"|"&amp;F2722&amp;"|"&amp;I2722&amp;"|"&amp;O2722)</f>
        <v/>
      </c>
      <c r="T2722" s="15" t="str">
        <f>IF(OR(S2722="",D2722&lt;&gt;"Vastgesteld"),"",_xlfn.MAXIFS($G$6:$G$5005,$S$6:$S$5005,S2722,$D$6:$D$5005,"Vastgesteld"))</f>
        <v/>
      </c>
      <c r="U2722" s="15">
        <f>IF(T2722="",0,IF(AND(G2722=T2722,COUNTIFS($S$6:S2722,S2722,$G$6:G2722,G2722,$D$6:D2722,"Vastgesteld")=1),1,0))</f>
        <v>0</v>
      </c>
      <c r="V2722" s="15">
        <f>IF(T2722="",0,IF(AND(G2722=T2722,COUNTIFS($S$6:S2722,S2722,$G$6:G2722,G2722,$D$6:D2722,"Vastgesteld")&gt;1),1,0))</f>
        <v>0</v>
      </c>
    </row>
    <row r="2723">
      <c r="S2723" s="15" t="str">
        <f>IF(J2723="","",J2723&amp;"|"&amp;E2723&amp;"|"&amp;F2723&amp;"|"&amp;I2723&amp;"|"&amp;O2723)</f>
        <v/>
      </c>
      <c r="T2723" s="15" t="str">
        <f>IF(OR(S2723="",D2723&lt;&gt;"Vastgesteld"),"",_xlfn.MAXIFS($G$6:$G$5005,$S$6:$S$5005,S2723,$D$6:$D$5005,"Vastgesteld"))</f>
        <v/>
      </c>
      <c r="U2723" s="15">
        <f>IF(T2723="",0,IF(AND(G2723=T2723,COUNTIFS($S$6:S2723,S2723,$G$6:G2723,G2723,$D$6:D2723,"Vastgesteld")=1),1,0))</f>
        <v>0</v>
      </c>
      <c r="V2723" s="15">
        <f>IF(T2723="",0,IF(AND(G2723=T2723,COUNTIFS($S$6:S2723,S2723,$G$6:G2723,G2723,$D$6:D2723,"Vastgesteld")&gt;1),1,0))</f>
        <v>0</v>
      </c>
    </row>
    <row r="2724">
      <c r="S2724" s="15" t="str">
        <f>IF(J2724="","",J2724&amp;"|"&amp;E2724&amp;"|"&amp;F2724&amp;"|"&amp;I2724&amp;"|"&amp;O2724)</f>
        <v/>
      </c>
      <c r="T2724" s="15" t="str">
        <f>IF(OR(S2724="",D2724&lt;&gt;"Vastgesteld"),"",_xlfn.MAXIFS($G$6:$G$5005,$S$6:$S$5005,S2724,$D$6:$D$5005,"Vastgesteld"))</f>
        <v/>
      </c>
      <c r="U2724" s="15">
        <f>IF(T2724="",0,IF(AND(G2724=T2724,COUNTIFS($S$6:S2724,S2724,$G$6:G2724,G2724,$D$6:D2724,"Vastgesteld")=1),1,0))</f>
        <v>0</v>
      </c>
      <c r="V2724" s="15">
        <f>IF(T2724="",0,IF(AND(G2724=T2724,COUNTIFS($S$6:S2724,S2724,$G$6:G2724,G2724,$D$6:D2724,"Vastgesteld")&gt;1),1,0))</f>
        <v>0</v>
      </c>
    </row>
    <row r="2725">
      <c r="S2725" s="15" t="str">
        <f>IF(J2725="","",J2725&amp;"|"&amp;E2725&amp;"|"&amp;F2725&amp;"|"&amp;I2725&amp;"|"&amp;O2725)</f>
        <v/>
      </c>
      <c r="T2725" s="15" t="str">
        <f>IF(OR(S2725="",D2725&lt;&gt;"Vastgesteld"),"",_xlfn.MAXIFS($G$6:$G$5005,$S$6:$S$5005,S2725,$D$6:$D$5005,"Vastgesteld"))</f>
        <v/>
      </c>
      <c r="U2725" s="15">
        <f>IF(T2725="",0,IF(AND(G2725=T2725,COUNTIFS($S$6:S2725,S2725,$G$6:G2725,G2725,$D$6:D2725,"Vastgesteld")=1),1,0))</f>
        <v>0</v>
      </c>
      <c r="V2725" s="15">
        <f>IF(T2725="",0,IF(AND(G2725=T2725,COUNTIFS($S$6:S2725,S2725,$G$6:G2725,G2725,$D$6:D2725,"Vastgesteld")&gt;1),1,0))</f>
        <v>0</v>
      </c>
    </row>
    <row r="2726">
      <c r="S2726" s="15" t="str">
        <f>IF(J2726="","",J2726&amp;"|"&amp;E2726&amp;"|"&amp;F2726&amp;"|"&amp;I2726&amp;"|"&amp;O2726)</f>
        <v/>
      </c>
      <c r="T2726" s="15" t="str">
        <f>IF(OR(S2726="",D2726&lt;&gt;"Vastgesteld"),"",_xlfn.MAXIFS($G$6:$G$5005,$S$6:$S$5005,S2726,$D$6:$D$5005,"Vastgesteld"))</f>
        <v/>
      </c>
      <c r="U2726" s="15">
        <f>IF(T2726="",0,IF(AND(G2726=T2726,COUNTIFS($S$6:S2726,S2726,$G$6:G2726,G2726,$D$6:D2726,"Vastgesteld")=1),1,0))</f>
        <v>0</v>
      </c>
      <c r="V2726" s="15">
        <f>IF(T2726="",0,IF(AND(G2726=T2726,COUNTIFS($S$6:S2726,S2726,$G$6:G2726,G2726,$D$6:D2726,"Vastgesteld")&gt;1),1,0))</f>
        <v>0</v>
      </c>
    </row>
    <row r="2727">
      <c r="S2727" s="15" t="str">
        <f>IF(J2727="","",J2727&amp;"|"&amp;E2727&amp;"|"&amp;F2727&amp;"|"&amp;I2727&amp;"|"&amp;O2727)</f>
        <v/>
      </c>
      <c r="T2727" s="15" t="str">
        <f>IF(OR(S2727="",D2727&lt;&gt;"Vastgesteld"),"",_xlfn.MAXIFS($G$6:$G$5005,$S$6:$S$5005,S2727,$D$6:$D$5005,"Vastgesteld"))</f>
        <v/>
      </c>
      <c r="U2727" s="15">
        <f>IF(T2727="",0,IF(AND(G2727=T2727,COUNTIFS($S$6:S2727,S2727,$G$6:G2727,G2727,$D$6:D2727,"Vastgesteld")=1),1,0))</f>
        <v>0</v>
      </c>
      <c r="V2727" s="15">
        <f>IF(T2727="",0,IF(AND(G2727=T2727,COUNTIFS($S$6:S2727,S2727,$G$6:G2727,G2727,$D$6:D2727,"Vastgesteld")&gt;1),1,0))</f>
        <v>0</v>
      </c>
    </row>
    <row r="2728">
      <c r="S2728" s="15" t="str">
        <f>IF(J2728="","",J2728&amp;"|"&amp;E2728&amp;"|"&amp;F2728&amp;"|"&amp;I2728&amp;"|"&amp;O2728)</f>
        <v/>
      </c>
      <c r="T2728" s="15" t="str">
        <f>IF(OR(S2728="",D2728&lt;&gt;"Vastgesteld"),"",_xlfn.MAXIFS($G$6:$G$5005,$S$6:$S$5005,S2728,$D$6:$D$5005,"Vastgesteld"))</f>
        <v/>
      </c>
      <c r="U2728" s="15">
        <f>IF(T2728="",0,IF(AND(G2728=T2728,COUNTIFS($S$6:S2728,S2728,$G$6:G2728,G2728,$D$6:D2728,"Vastgesteld")=1),1,0))</f>
        <v>0</v>
      </c>
      <c r="V2728" s="15">
        <f>IF(T2728="",0,IF(AND(G2728=T2728,COUNTIFS($S$6:S2728,S2728,$G$6:G2728,G2728,$D$6:D2728,"Vastgesteld")&gt;1),1,0))</f>
        <v>0</v>
      </c>
    </row>
    <row r="2729">
      <c r="S2729" s="15" t="str">
        <f>IF(J2729="","",J2729&amp;"|"&amp;E2729&amp;"|"&amp;F2729&amp;"|"&amp;I2729&amp;"|"&amp;O2729)</f>
        <v/>
      </c>
      <c r="T2729" s="15" t="str">
        <f>IF(OR(S2729="",D2729&lt;&gt;"Vastgesteld"),"",_xlfn.MAXIFS($G$6:$G$5005,$S$6:$S$5005,S2729,$D$6:$D$5005,"Vastgesteld"))</f>
        <v/>
      </c>
      <c r="U2729" s="15">
        <f>IF(T2729="",0,IF(AND(G2729=T2729,COUNTIFS($S$6:S2729,S2729,$G$6:G2729,G2729,$D$6:D2729,"Vastgesteld")=1),1,0))</f>
        <v>0</v>
      </c>
      <c r="V2729" s="15">
        <f>IF(T2729="",0,IF(AND(G2729=T2729,COUNTIFS($S$6:S2729,S2729,$G$6:G2729,G2729,$D$6:D2729,"Vastgesteld")&gt;1),1,0))</f>
        <v>0</v>
      </c>
    </row>
    <row r="2730">
      <c r="S2730" s="15" t="str">
        <f>IF(J2730="","",J2730&amp;"|"&amp;E2730&amp;"|"&amp;F2730&amp;"|"&amp;I2730&amp;"|"&amp;O2730)</f>
        <v/>
      </c>
      <c r="T2730" s="15" t="str">
        <f>IF(OR(S2730="",D2730&lt;&gt;"Vastgesteld"),"",_xlfn.MAXIFS($G$6:$G$5005,$S$6:$S$5005,S2730,$D$6:$D$5005,"Vastgesteld"))</f>
        <v/>
      </c>
      <c r="U2730" s="15">
        <f>IF(T2730="",0,IF(AND(G2730=T2730,COUNTIFS($S$6:S2730,S2730,$G$6:G2730,G2730,$D$6:D2730,"Vastgesteld")=1),1,0))</f>
        <v>0</v>
      </c>
      <c r="V2730" s="15">
        <f>IF(T2730="",0,IF(AND(G2730=T2730,COUNTIFS($S$6:S2730,S2730,$G$6:G2730,G2730,$D$6:D2730,"Vastgesteld")&gt;1),1,0))</f>
        <v>0</v>
      </c>
    </row>
    <row r="2731">
      <c r="S2731" s="15" t="str">
        <f>IF(J2731="","",J2731&amp;"|"&amp;E2731&amp;"|"&amp;F2731&amp;"|"&amp;I2731&amp;"|"&amp;O2731)</f>
        <v/>
      </c>
      <c r="T2731" s="15" t="str">
        <f>IF(OR(S2731="",D2731&lt;&gt;"Vastgesteld"),"",_xlfn.MAXIFS($G$6:$G$5005,$S$6:$S$5005,S2731,$D$6:$D$5005,"Vastgesteld"))</f>
        <v/>
      </c>
      <c r="U2731" s="15">
        <f>IF(T2731="",0,IF(AND(G2731=T2731,COUNTIFS($S$6:S2731,S2731,$G$6:G2731,G2731,$D$6:D2731,"Vastgesteld")=1),1,0))</f>
        <v>0</v>
      </c>
      <c r="V2731" s="15">
        <f>IF(T2731="",0,IF(AND(G2731=T2731,COUNTIFS($S$6:S2731,S2731,$G$6:G2731,G2731,$D$6:D2731,"Vastgesteld")&gt;1),1,0))</f>
        <v>0</v>
      </c>
    </row>
    <row r="2732">
      <c r="S2732" s="15" t="str">
        <f>IF(J2732="","",J2732&amp;"|"&amp;E2732&amp;"|"&amp;F2732&amp;"|"&amp;I2732&amp;"|"&amp;O2732)</f>
        <v/>
      </c>
      <c r="T2732" s="15" t="str">
        <f>IF(OR(S2732="",D2732&lt;&gt;"Vastgesteld"),"",_xlfn.MAXIFS($G$6:$G$5005,$S$6:$S$5005,S2732,$D$6:$D$5005,"Vastgesteld"))</f>
        <v/>
      </c>
      <c r="U2732" s="15">
        <f>IF(T2732="",0,IF(AND(G2732=T2732,COUNTIFS($S$6:S2732,S2732,$G$6:G2732,G2732,$D$6:D2732,"Vastgesteld")=1),1,0))</f>
        <v>0</v>
      </c>
      <c r="V2732" s="15">
        <f>IF(T2732="",0,IF(AND(G2732=T2732,COUNTIFS($S$6:S2732,S2732,$G$6:G2732,G2732,$D$6:D2732,"Vastgesteld")&gt;1),1,0))</f>
        <v>0</v>
      </c>
    </row>
    <row r="2733">
      <c r="S2733" s="15" t="str">
        <f>IF(J2733="","",J2733&amp;"|"&amp;E2733&amp;"|"&amp;F2733&amp;"|"&amp;I2733&amp;"|"&amp;O2733)</f>
        <v/>
      </c>
      <c r="T2733" s="15" t="str">
        <f>IF(OR(S2733="",D2733&lt;&gt;"Vastgesteld"),"",_xlfn.MAXIFS($G$6:$G$5005,$S$6:$S$5005,S2733,$D$6:$D$5005,"Vastgesteld"))</f>
        <v/>
      </c>
      <c r="U2733" s="15">
        <f>IF(T2733="",0,IF(AND(G2733=T2733,COUNTIFS($S$6:S2733,S2733,$G$6:G2733,G2733,$D$6:D2733,"Vastgesteld")=1),1,0))</f>
        <v>0</v>
      </c>
      <c r="V2733" s="15">
        <f>IF(T2733="",0,IF(AND(G2733=T2733,COUNTIFS($S$6:S2733,S2733,$G$6:G2733,G2733,$D$6:D2733,"Vastgesteld")&gt;1),1,0))</f>
        <v>0</v>
      </c>
    </row>
    <row r="2734">
      <c r="S2734" s="15" t="str">
        <f>IF(J2734="","",J2734&amp;"|"&amp;E2734&amp;"|"&amp;F2734&amp;"|"&amp;I2734&amp;"|"&amp;O2734)</f>
        <v/>
      </c>
      <c r="T2734" s="15" t="str">
        <f>IF(OR(S2734="",D2734&lt;&gt;"Vastgesteld"),"",_xlfn.MAXIFS($G$6:$G$5005,$S$6:$S$5005,S2734,$D$6:$D$5005,"Vastgesteld"))</f>
        <v/>
      </c>
      <c r="U2734" s="15">
        <f>IF(T2734="",0,IF(AND(G2734=T2734,COUNTIFS($S$6:S2734,S2734,$G$6:G2734,G2734,$D$6:D2734,"Vastgesteld")=1),1,0))</f>
        <v>0</v>
      </c>
      <c r="V2734" s="15">
        <f>IF(T2734="",0,IF(AND(G2734=T2734,COUNTIFS($S$6:S2734,S2734,$G$6:G2734,G2734,$D$6:D2734,"Vastgesteld")&gt;1),1,0))</f>
        <v>0</v>
      </c>
    </row>
    <row r="2735">
      <c r="S2735" s="15" t="str">
        <f>IF(J2735="","",J2735&amp;"|"&amp;E2735&amp;"|"&amp;F2735&amp;"|"&amp;I2735&amp;"|"&amp;O2735)</f>
        <v/>
      </c>
      <c r="T2735" s="15" t="str">
        <f>IF(OR(S2735="",D2735&lt;&gt;"Vastgesteld"),"",_xlfn.MAXIFS($G$6:$G$5005,$S$6:$S$5005,S2735,$D$6:$D$5005,"Vastgesteld"))</f>
        <v/>
      </c>
      <c r="U2735" s="15">
        <f>IF(T2735="",0,IF(AND(G2735=T2735,COUNTIFS($S$6:S2735,S2735,$G$6:G2735,G2735,$D$6:D2735,"Vastgesteld")=1),1,0))</f>
        <v>0</v>
      </c>
      <c r="V2735" s="15">
        <f>IF(T2735="",0,IF(AND(G2735=T2735,COUNTIFS($S$6:S2735,S2735,$G$6:G2735,G2735,$D$6:D2735,"Vastgesteld")&gt;1),1,0))</f>
        <v>0</v>
      </c>
    </row>
    <row r="2736">
      <c r="S2736" s="15" t="str">
        <f>IF(J2736="","",J2736&amp;"|"&amp;E2736&amp;"|"&amp;F2736&amp;"|"&amp;I2736&amp;"|"&amp;O2736)</f>
        <v/>
      </c>
      <c r="T2736" s="15" t="str">
        <f>IF(OR(S2736="",D2736&lt;&gt;"Vastgesteld"),"",_xlfn.MAXIFS($G$6:$G$5005,$S$6:$S$5005,S2736,$D$6:$D$5005,"Vastgesteld"))</f>
        <v/>
      </c>
      <c r="U2736" s="15">
        <f>IF(T2736="",0,IF(AND(G2736=T2736,COUNTIFS($S$6:S2736,S2736,$G$6:G2736,G2736,$D$6:D2736,"Vastgesteld")=1),1,0))</f>
        <v>0</v>
      </c>
      <c r="V2736" s="15">
        <f>IF(T2736="",0,IF(AND(G2736=T2736,COUNTIFS($S$6:S2736,S2736,$G$6:G2736,G2736,$D$6:D2736,"Vastgesteld")&gt;1),1,0))</f>
        <v>0</v>
      </c>
    </row>
    <row r="2737">
      <c r="S2737" s="15" t="str">
        <f>IF(J2737="","",J2737&amp;"|"&amp;E2737&amp;"|"&amp;F2737&amp;"|"&amp;I2737&amp;"|"&amp;O2737)</f>
        <v/>
      </c>
      <c r="T2737" s="15" t="str">
        <f>IF(OR(S2737="",D2737&lt;&gt;"Vastgesteld"),"",_xlfn.MAXIFS($G$6:$G$5005,$S$6:$S$5005,S2737,$D$6:$D$5005,"Vastgesteld"))</f>
        <v/>
      </c>
      <c r="U2737" s="15">
        <f>IF(T2737="",0,IF(AND(G2737=T2737,COUNTIFS($S$6:S2737,S2737,$G$6:G2737,G2737,$D$6:D2737,"Vastgesteld")=1),1,0))</f>
        <v>0</v>
      </c>
      <c r="V2737" s="15">
        <f>IF(T2737="",0,IF(AND(G2737=T2737,COUNTIFS($S$6:S2737,S2737,$G$6:G2737,G2737,$D$6:D2737,"Vastgesteld")&gt;1),1,0))</f>
        <v>0</v>
      </c>
    </row>
    <row r="2738">
      <c r="S2738" s="15" t="str">
        <f>IF(J2738="","",J2738&amp;"|"&amp;E2738&amp;"|"&amp;F2738&amp;"|"&amp;I2738&amp;"|"&amp;O2738)</f>
        <v/>
      </c>
      <c r="T2738" s="15" t="str">
        <f>IF(OR(S2738="",D2738&lt;&gt;"Vastgesteld"),"",_xlfn.MAXIFS($G$6:$G$5005,$S$6:$S$5005,S2738,$D$6:$D$5005,"Vastgesteld"))</f>
        <v/>
      </c>
      <c r="U2738" s="15">
        <f>IF(T2738="",0,IF(AND(G2738=T2738,COUNTIFS($S$6:S2738,S2738,$G$6:G2738,G2738,$D$6:D2738,"Vastgesteld")=1),1,0))</f>
        <v>0</v>
      </c>
      <c r="V2738" s="15">
        <f>IF(T2738="",0,IF(AND(G2738=T2738,COUNTIFS($S$6:S2738,S2738,$G$6:G2738,G2738,$D$6:D2738,"Vastgesteld")&gt;1),1,0))</f>
        <v>0</v>
      </c>
    </row>
    <row r="2739">
      <c r="S2739" s="15" t="str">
        <f>IF(J2739="","",J2739&amp;"|"&amp;E2739&amp;"|"&amp;F2739&amp;"|"&amp;I2739&amp;"|"&amp;O2739)</f>
        <v/>
      </c>
      <c r="T2739" s="15" t="str">
        <f>IF(OR(S2739="",D2739&lt;&gt;"Vastgesteld"),"",_xlfn.MAXIFS($G$6:$G$5005,$S$6:$S$5005,S2739,$D$6:$D$5005,"Vastgesteld"))</f>
        <v/>
      </c>
      <c r="U2739" s="15">
        <f>IF(T2739="",0,IF(AND(G2739=T2739,COUNTIFS($S$6:S2739,S2739,$G$6:G2739,G2739,$D$6:D2739,"Vastgesteld")=1),1,0))</f>
        <v>0</v>
      </c>
      <c r="V2739" s="15">
        <f>IF(T2739="",0,IF(AND(G2739=T2739,COUNTIFS($S$6:S2739,S2739,$G$6:G2739,G2739,$D$6:D2739,"Vastgesteld")&gt;1),1,0))</f>
        <v>0</v>
      </c>
    </row>
    <row r="2740">
      <c r="S2740" s="15" t="str">
        <f>IF(J2740="","",J2740&amp;"|"&amp;E2740&amp;"|"&amp;F2740&amp;"|"&amp;I2740&amp;"|"&amp;O2740)</f>
        <v/>
      </c>
      <c r="T2740" s="15" t="str">
        <f>IF(OR(S2740="",D2740&lt;&gt;"Vastgesteld"),"",_xlfn.MAXIFS($G$6:$G$5005,$S$6:$S$5005,S2740,$D$6:$D$5005,"Vastgesteld"))</f>
        <v/>
      </c>
      <c r="U2740" s="15">
        <f>IF(T2740="",0,IF(AND(G2740=T2740,COUNTIFS($S$6:S2740,S2740,$G$6:G2740,G2740,$D$6:D2740,"Vastgesteld")=1),1,0))</f>
        <v>0</v>
      </c>
      <c r="V2740" s="15">
        <f>IF(T2740="",0,IF(AND(G2740=T2740,COUNTIFS($S$6:S2740,S2740,$G$6:G2740,G2740,$D$6:D2740,"Vastgesteld")&gt;1),1,0))</f>
        <v>0</v>
      </c>
    </row>
    <row r="2741">
      <c r="S2741" s="15" t="str">
        <f>IF(J2741="","",J2741&amp;"|"&amp;E2741&amp;"|"&amp;F2741&amp;"|"&amp;I2741&amp;"|"&amp;O2741)</f>
        <v/>
      </c>
      <c r="T2741" s="15" t="str">
        <f>IF(OR(S2741="",D2741&lt;&gt;"Vastgesteld"),"",_xlfn.MAXIFS($G$6:$G$5005,$S$6:$S$5005,S2741,$D$6:$D$5005,"Vastgesteld"))</f>
        <v/>
      </c>
      <c r="U2741" s="15">
        <f>IF(T2741="",0,IF(AND(G2741=T2741,COUNTIFS($S$6:S2741,S2741,$G$6:G2741,G2741,$D$6:D2741,"Vastgesteld")=1),1,0))</f>
        <v>0</v>
      </c>
      <c r="V2741" s="15">
        <f>IF(T2741="",0,IF(AND(G2741=T2741,COUNTIFS($S$6:S2741,S2741,$G$6:G2741,G2741,$D$6:D2741,"Vastgesteld")&gt;1),1,0))</f>
        <v>0</v>
      </c>
    </row>
    <row r="2742">
      <c r="S2742" s="15" t="str">
        <f>IF(J2742="","",J2742&amp;"|"&amp;E2742&amp;"|"&amp;F2742&amp;"|"&amp;I2742&amp;"|"&amp;O2742)</f>
        <v/>
      </c>
      <c r="T2742" s="15" t="str">
        <f>IF(OR(S2742="",D2742&lt;&gt;"Vastgesteld"),"",_xlfn.MAXIFS($G$6:$G$5005,$S$6:$S$5005,S2742,$D$6:$D$5005,"Vastgesteld"))</f>
        <v/>
      </c>
      <c r="U2742" s="15">
        <f>IF(T2742="",0,IF(AND(G2742=T2742,COUNTIFS($S$6:S2742,S2742,$G$6:G2742,G2742,$D$6:D2742,"Vastgesteld")=1),1,0))</f>
        <v>0</v>
      </c>
      <c r="V2742" s="15">
        <f>IF(T2742="",0,IF(AND(G2742=T2742,COUNTIFS($S$6:S2742,S2742,$G$6:G2742,G2742,$D$6:D2742,"Vastgesteld")&gt;1),1,0))</f>
        <v>0</v>
      </c>
    </row>
    <row r="2743">
      <c r="S2743" s="15" t="str">
        <f>IF(J2743="","",J2743&amp;"|"&amp;E2743&amp;"|"&amp;F2743&amp;"|"&amp;I2743&amp;"|"&amp;O2743)</f>
        <v/>
      </c>
      <c r="T2743" s="15" t="str">
        <f>IF(OR(S2743="",D2743&lt;&gt;"Vastgesteld"),"",_xlfn.MAXIFS($G$6:$G$5005,$S$6:$S$5005,S2743,$D$6:$D$5005,"Vastgesteld"))</f>
        <v/>
      </c>
      <c r="U2743" s="15">
        <f>IF(T2743="",0,IF(AND(G2743=T2743,COUNTIFS($S$6:S2743,S2743,$G$6:G2743,G2743,$D$6:D2743,"Vastgesteld")=1),1,0))</f>
        <v>0</v>
      </c>
      <c r="V2743" s="15">
        <f>IF(T2743="",0,IF(AND(G2743=T2743,COUNTIFS($S$6:S2743,S2743,$G$6:G2743,G2743,$D$6:D2743,"Vastgesteld")&gt;1),1,0))</f>
        <v>0</v>
      </c>
    </row>
    <row r="2744">
      <c r="S2744" s="15" t="str">
        <f>IF(J2744="","",J2744&amp;"|"&amp;E2744&amp;"|"&amp;F2744&amp;"|"&amp;I2744&amp;"|"&amp;O2744)</f>
        <v/>
      </c>
      <c r="T2744" s="15" t="str">
        <f>IF(OR(S2744="",D2744&lt;&gt;"Vastgesteld"),"",_xlfn.MAXIFS($G$6:$G$5005,$S$6:$S$5005,S2744,$D$6:$D$5005,"Vastgesteld"))</f>
        <v/>
      </c>
      <c r="U2744" s="15">
        <f>IF(T2744="",0,IF(AND(G2744=T2744,COUNTIFS($S$6:S2744,S2744,$G$6:G2744,G2744,$D$6:D2744,"Vastgesteld")=1),1,0))</f>
        <v>0</v>
      </c>
      <c r="V2744" s="15">
        <f>IF(T2744="",0,IF(AND(G2744=T2744,COUNTIFS($S$6:S2744,S2744,$G$6:G2744,G2744,$D$6:D2744,"Vastgesteld")&gt;1),1,0))</f>
        <v>0</v>
      </c>
    </row>
    <row r="2745">
      <c r="S2745" s="15" t="str">
        <f>IF(J2745="","",J2745&amp;"|"&amp;E2745&amp;"|"&amp;F2745&amp;"|"&amp;I2745&amp;"|"&amp;O2745)</f>
        <v/>
      </c>
      <c r="T2745" s="15" t="str">
        <f>IF(OR(S2745="",D2745&lt;&gt;"Vastgesteld"),"",_xlfn.MAXIFS($G$6:$G$5005,$S$6:$S$5005,S2745,$D$6:$D$5005,"Vastgesteld"))</f>
        <v/>
      </c>
      <c r="U2745" s="15">
        <f>IF(T2745="",0,IF(AND(G2745=T2745,COUNTIFS($S$6:S2745,S2745,$G$6:G2745,G2745,$D$6:D2745,"Vastgesteld")=1),1,0))</f>
        <v>0</v>
      </c>
      <c r="V2745" s="15">
        <f>IF(T2745="",0,IF(AND(G2745=T2745,COUNTIFS($S$6:S2745,S2745,$G$6:G2745,G2745,$D$6:D2745,"Vastgesteld")&gt;1),1,0))</f>
        <v>0</v>
      </c>
    </row>
    <row r="2746">
      <c r="S2746" s="15" t="str">
        <f>IF(J2746="","",J2746&amp;"|"&amp;E2746&amp;"|"&amp;F2746&amp;"|"&amp;I2746&amp;"|"&amp;O2746)</f>
        <v/>
      </c>
      <c r="T2746" s="15" t="str">
        <f>IF(OR(S2746="",D2746&lt;&gt;"Vastgesteld"),"",_xlfn.MAXIFS($G$6:$G$5005,$S$6:$S$5005,S2746,$D$6:$D$5005,"Vastgesteld"))</f>
        <v/>
      </c>
      <c r="U2746" s="15">
        <f>IF(T2746="",0,IF(AND(G2746=T2746,COUNTIFS($S$6:S2746,S2746,$G$6:G2746,G2746,$D$6:D2746,"Vastgesteld")=1),1,0))</f>
        <v>0</v>
      </c>
      <c r="V2746" s="15">
        <f>IF(T2746="",0,IF(AND(G2746=T2746,COUNTIFS($S$6:S2746,S2746,$G$6:G2746,G2746,$D$6:D2746,"Vastgesteld")&gt;1),1,0))</f>
        <v>0</v>
      </c>
    </row>
    <row r="2747">
      <c r="S2747" s="15" t="str">
        <f>IF(J2747="","",J2747&amp;"|"&amp;E2747&amp;"|"&amp;F2747&amp;"|"&amp;I2747&amp;"|"&amp;O2747)</f>
        <v/>
      </c>
      <c r="T2747" s="15" t="str">
        <f>IF(OR(S2747="",D2747&lt;&gt;"Vastgesteld"),"",_xlfn.MAXIFS($G$6:$G$5005,$S$6:$S$5005,S2747,$D$6:$D$5005,"Vastgesteld"))</f>
        <v/>
      </c>
      <c r="U2747" s="15">
        <f>IF(T2747="",0,IF(AND(G2747=T2747,COUNTIFS($S$6:S2747,S2747,$G$6:G2747,G2747,$D$6:D2747,"Vastgesteld")=1),1,0))</f>
        <v>0</v>
      </c>
      <c r="V2747" s="15">
        <f>IF(T2747="",0,IF(AND(G2747=T2747,COUNTIFS($S$6:S2747,S2747,$G$6:G2747,G2747,$D$6:D2747,"Vastgesteld")&gt;1),1,0))</f>
        <v>0</v>
      </c>
    </row>
    <row r="2748">
      <c r="S2748" s="15" t="str">
        <f>IF(J2748="","",J2748&amp;"|"&amp;E2748&amp;"|"&amp;F2748&amp;"|"&amp;I2748&amp;"|"&amp;O2748)</f>
        <v/>
      </c>
      <c r="T2748" s="15" t="str">
        <f>IF(OR(S2748="",D2748&lt;&gt;"Vastgesteld"),"",_xlfn.MAXIFS($G$6:$G$5005,$S$6:$S$5005,S2748,$D$6:$D$5005,"Vastgesteld"))</f>
        <v/>
      </c>
      <c r="U2748" s="15">
        <f>IF(T2748="",0,IF(AND(G2748=T2748,COUNTIFS($S$6:S2748,S2748,$G$6:G2748,G2748,$D$6:D2748,"Vastgesteld")=1),1,0))</f>
        <v>0</v>
      </c>
      <c r="V2748" s="15">
        <f>IF(T2748="",0,IF(AND(G2748=T2748,COUNTIFS($S$6:S2748,S2748,$G$6:G2748,G2748,$D$6:D2748,"Vastgesteld")&gt;1),1,0))</f>
        <v>0</v>
      </c>
    </row>
    <row r="2749">
      <c r="S2749" s="15" t="str">
        <f>IF(J2749="","",J2749&amp;"|"&amp;E2749&amp;"|"&amp;F2749&amp;"|"&amp;I2749&amp;"|"&amp;O2749)</f>
        <v/>
      </c>
      <c r="T2749" s="15" t="str">
        <f>IF(OR(S2749="",D2749&lt;&gt;"Vastgesteld"),"",_xlfn.MAXIFS($G$6:$G$5005,$S$6:$S$5005,S2749,$D$6:$D$5005,"Vastgesteld"))</f>
        <v/>
      </c>
      <c r="U2749" s="15">
        <f>IF(T2749="",0,IF(AND(G2749=T2749,COUNTIFS($S$6:S2749,S2749,$G$6:G2749,G2749,$D$6:D2749,"Vastgesteld")=1),1,0))</f>
        <v>0</v>
      </c>
      <c r="V2749" s="15">
        <f>IF(T2749="",0,IF(AND(G2749=T2749,COUNTIFS($S$6:S2749,S2749,$G$6:G2749,G2749,$D$6:D2749,"Vastgesteld")&gt;1),1,0))</f>
        <v>0</v>
      </c>
    </row>
    <row r="2750">
      <c r="S2750" s="15" t="str">
        <f>IF(J2750="","",J2750&amp;"|"&amp;E2750&amp;"|"&amp;F2750&amp;"|"&amp;I2750&amp;"|"&amp;O2750)</f>
        <v/>
      </c>
      <c r="T2750" s="15" t="str">
        <f>IF(OR(S2750="",D2750&lt;&gt;"Vastgesteld"),"",_xlfn.MAXIFS($G$6:$G$5005,$S$6:$S$5005,S2750,$D$6:$D$5005,"Vastgesteld"))</f>
        <v/>
      </c>
      <c r="U2750" s="15">
        <f>IF(T2750="",0,IF(AND(G2750=T2750,COUNTIFS($S$6:S2750,S2750,$G$6:G2750,G2750,$D$6:D2750,"Vastgesteld")=1),1,0))</f>
        <v>0</v>
      </c>
      <c r="V2750" s="15">
        <f>IF(T2750="",0,IF(AND(G2750=T2750,COUNTIFS($S$6:S2750,S2750,$G$6:G2750,G2750,$D$6:D2750,"Vastgesteld")&gt;1),1,0))</f>
        <v>0</v>
      </c>
    </row>
    <row r="2751">
      <c r="S2751" s="15" t="str">
        <f>IF(J2751="","",J2751&amp;"|"&amp;E2751&amp;"|"&amp;F2751&amp;"|"&amp;I2751&amp;"|"&amp;O2751)</f>
        <v/>
      </c>
      <c r="T2751" s="15" t="str">
        <f>IF(OR(S2751="",D2751&lt;&gt;"Vastgesteld"),"",_xlfn.MAXIFS($G$6:$G$5005,$S$6:$S$5005,S2751,$D$6:$D$5005,"Vastgesteld"))</f>
        <v/>
      </c>
      <c r="U2751" s="15">
        <f>IF(T2751="",0,IF(AND(G2751=T2751,COUNTIFS($S$6:S2751,S2751,$G$6:G2751,G2751,$D$6:D2751,"Vastgesteld")=1),1,0))</f>
        <v>0</v>
      </c>
      <c r="V2751" s="15">
        <f>IF(T2751="",0,IF(AND(G2751=T2751,COUNTIFS($S$6:S2751,S2751,$G$6:G2751,G2751,$D$6:D2751,"Vastgesteld")&gt;1),1,0))</f>
        <v>0</v>
      </c>
    </row>
    <row r="2752">
      <c r="S2752" s="15" t="str">
        <f>IF(J2752="","",J2752&amp;"|"&amp;E2752&amp;"|"&amp;F2752&amp;"|"&amp;I2752&amp;"|"&amp;O2752)</f>
        <v/>
      </c>
      <c r="T2752" s="15" t="str">
        <f>IF(OR(S2752="",D2752&lt;&gt;"Vastgesteld"),"",_xlfn.MAXIFS($G$6:$G$5005,$S$6:$S$5005,S2752,$D$6:$D$5005,"Vastgesteld"))</f>
        <v/>
      </c>
      <c r="U2752" s="15">
        <f>IF(T2752="",0,IF(AND(G2752=T2752,COUNTIFS($S$6:S2752,S2752,$G$6:G2752,G2752,$D$6:D2752,"Vastgesteld")=1),1,0))</f>
        <v>0</v>
      </c>
      <c r="V2752" s="15">
        <f>IF(T2752="",0,IF(AND(G2752=T2752,COUNTIFS($S$6:S2752,S2752,$G$6:G2752,G2752,$D$6:D2752,"Vastgesteld")&gt;1),1,0))</f>
        <v>0</v>
      </c>
    </row>
    <row r="2753">
      <c r="S2753" s="15" t="str">
        <f>IF(J2753="","",J2753&amp;"|"&amp;E2753&amp;"|"&amp;F2753&amp;"|"&amp;I2753&amp;"|"&amp;O2753)</f>
        <v/>
      </c>
      <c r="T2753" s="15" t="str">
        <f>IF(OR(S2753="",D2753&lt;&gt;"Vastgesteld"),"",_xlfn.MAXIFS($G$6:$G$5005,$S$6:$S$5005,S2753,$D$6:$D$5005,"Vastgesteld"))</f>
        <v/>
      </c>
      <c r="U2753" s="15">
        <f>IF(T2753="",0,IF(AND(G2753=T2753,COUNTIFS($S$6:S2753,S2753,$G$6:G2753,G2753,$D$6:D2753,"Vastgesteld")=1),1,0))</f>
        <v>0</v>
      </c>
      <c r="V2753" s="15">
        <f>IF(T2753="",0,IF(AND(G2753=T2753,COUNTIFS($S$6:S2753,S2753,$G$6:G2753,G2753,$D$6:D2753,"Vastgesteld")&gt;1),1,0))</f>
        <v>0</v>
      </c>
    </row>
    <row r="2754">
      <c r="S2754" s="15" t="str">
        <f>IF(J2754="","",J2754&amp;"|"&amp;E2754&amp;"|"&amp;F2754&amp;"|"&amp;I2754&amp;"|"&amp;O2754)</f>
        <v/>
      </c>
      <c r="T2754" s="15" t="str">
        <f>IF(OR(S2754="",D2754&lt;&gt;"Vastgesteld"),"",_xlfn.MAXIFS($G$6:$G$5005,$S$6:$S$5005,S2754,$D$6:$D$5005,"Vastgesteld"))</f>
        <v/>
      </c>
      <c r="U2754" s="15">
        <f>IF(T2754="",0,IF(AND(G2754=T2754,COUNTIFS($S$6:S2754,S2754,$G$6:G2754,G2754,$D$6:D2754,"Vastgesteld")=1),1,0))</f>
        <v>0</v>
      </c>
      <c r="V2754" s="15">
        <f>IF(T2754="",0,IF(AND(G2754=T2754,COUNTIFS($S$6:S2754,S2754,$G$6:G2754,G2754,$D$6:D2754,"Vastgesteld")&gt;1),1,0))</f>
        <v>0</v>
      </c>
    </row>
    <row r="2755">
      <c r="S2755" s="15" t="str">
        <f>IF(J2755="","",J2755&amp;"|"&amp;E2755&amp;"|"&amp;F2755&amp;"|"&amp;I2755&amp;"|"&amp;O2755)</f>
        <v/>
      </c>
      <c r="T2755" s="15" t="str">
        <f>IF(OR(S2755="",D2755&lt;&gt;"Vastgesteld"),"",_xlfn.MAXIFS($G$6:$G$5005,$S$6:$S$5005,S2755,$D$6:$D$5005,"Vastgesteld"))</f>
        <v/>
      </c>
      <c r="U2755" s="15">
        <f>IF(T2755="",0,IF(AND(G2755=T2755,COUNTIFS($S$6:S2755,S2755,$G$6:G2755,G2755,$D$6:D2755,"Vastgesteld")=1),1,0))</f>
        <v>0</v>
      </c>
      <c r="V2755" s="15">
        <f>IF(T2755="",0,IF(AND(G2755=T2755,COUNTIFS($S$6:S2755,S2755,$G$6:G2755,G2755,$D$6:D2755,"Vastgesteld")&gt;1),1,0))</f>
        <v>0</v>
      </c>
    </row>
    <row r="2756">
      <c r="S2756" s="15" t="str">
        <f>IF(J2756="","",J2756&amp;"|"&amp;E2756&amp;"|"&amp;F2756&amp;"|"&amp;I2756&amp;"|"&amp;O2756)</f>
        <v/>
      </c>
      <c r="T2756" s="15" t="str">
        <f>IF(OR(S2756="",D2756&lt;&gt;"Vastgesteld"),"",_xlfn.MAXIFS($G$6:$G$5005,$S$6:$S$5005,S2756,$D$6:$D$5005,"Vastgesteld"))</f>
        <v/>
      </c>
      <c r="U2756" s="15">
        <f>IF(T2756="",0,IF(AND(G2756=T2756,COUNTIFS($S$6:S2756,S2756,$G$6:G2756,G2756,$D$6:D2756,"Vastgesteld")=1),1,0))</f>
        <v>0</v>
      </c>
      <c r="V2756" s="15">
        <f>IF(T2756="",0,IF(AND(G2756=T2756,COUNTIFS($S$6:S2756,S2756,$G$6:G2756,G2756,$D$6:D2756,"Vastgesteld")&gt;1),1,0))</f>
        <v>0</v>
      </c>
    </row>
    <row r="2757">
      <c r="S2757" s="15" t="str">
        <f>IF(J2757="","",J2757&amp;"|"&amp;E2757&amp;"|"&amp;F2757&amp;"|"&amp;I2757&amp;"|"&amp;O2757)</f>
        <v/>
      </c>
      <c r="T2757" s="15" t="str">
        <f>IF(OR(S2757="",D2757&lt;&gt;"Vastgesteld"),"",_xlfn.MAXIFS($G$6:$G$5005,$S$6:$S$5005,S2757,$D$6:$D$5005,"Vastgesteld"))</f>
        <v/>
      </c>
      <c r="U2757" s="15">
        <f>IF(T2757="",0,IF(AND(G2757=T2757,COUNTIFS($S$6:S2757,S2757,$G$6:G2757,G2757,$D$6:D2757,"Vastgesteld")=1),1,0))</f>
        <v>0</v>
      </c>
      <c r="V2757" s="15">
        <f>IF(T2757="",0,IF(AND(G2757=T2757,COUNTIFS($S$6:S2757,S2757,$G$6:G2757,G2757,$D$6:D2757,"Vastgesteld")&gt;1),1,0))</f>
        <v>0</v>
      </c>
    </row>
    <row r="2758">
      <c r="S2758" s="15" t="str">
        <f>IF(J2758="","",J2758&amp;"|"&amp;E2758&amp;"|"&amp;F2758&amp;"|"&amp;I2758&amp;"|"&amp;O2758)</f>
        <v/>
      </c>
      <c r="T2758" s="15" t="str">
        <f>IF(OR(S2758="",D2758&lt;&gt;"Vastgesteld"),"",_xlfn.MAXIFS($G$6:$G$5005,$S$6:$S$5005,S2758,$D$6:$D$5005,"Vastgesteld"))</f>
        <v/>
      </c>
      <c r="U2758" s="15">
        <f>IF(T2758="",0,IF(AND(G2758=T2758,COUNTIFS($S$6:S2758,S2758,$G$6:G2758,G2758,$D$6:D2758,"Vastgesteld")=1),1,0))</f>
        <v>0</v>
      </c>
      <c r="V2758" s="15">
        <f>IF(T2758="",0,IF(AND(G2758=T2758,COUNTIFS($S$6:S2758,S2758,$G$6:G2758,G2758,$D$6:D2758,"Vastgesteld")&gt;1),1,0))</f>
        <v>0</v>
      </c>
    </row>
    <row r="2759">
      <c r="S2759" s="15" t="str">
        <f>IF(J2759="","",J2759&amp;"|"&amp;E2759&amp;"|"&amp;F2759&amp;"|"&amp;I2759&amp;"|"&amp;O2759)</f>
        <v/>
      </c>
      <c r="T2759" s="15" t="str">
        <f>IF(OR(S2759="",D2759&lt;&gt;"Vastgesteld"),"",_xlfn.MAXIFS($G$6:$G$5005,$S$6:$S$5005,S2759,$D$6:$D$5005,"Vastgesteld"))</f>
        <v/>
      </c>
      <c r="U2759" s="15">
        <f>IF(T2759="",0,IF(AND(G2759=T2759,COUNTIFS($S$6:S2759,S2759,$G$6:G2759,G2759,$D$6:D2759,"Vastgesteld")=1),1,0))</f>
        <v>0</v>
      </c>
      <c r="V2759" s="15">
        <f>IF(T2759="",0,IF(AND(G2759=T2759,COUNTIFS($S$6:S2759,S2759,$G$6:G2759,G2759,$D$6:D2759,"Vastgesteld")&gt;1),1,0))</f>
        <v>0</v>
      </c>
    </row>
    <row r="2760">
      <c r="S2760" s="15" t="str">
        <f>IF(J2760="","",J2760&amp;"|"&amp;E2760&amp;"|"&amp;F2760&amp;"|"&amp;I2760&amp;"|"&amp;O2760)</f>
        <v/>
      </c>
      <c r="T2760" s="15" t="str">
        <f>IF(OR(S2760="",D2760&lt;&gt;"Vastgesteld"),"",_xlfn.MAXIFS($G$6:$G$5005,$S$6:$S$5005,S2760,$D$6:$D$5005,"Vastgesteld"))</f>
        <v/>
      </c>
      <c r="U2760" s="15">
        <f>IF(T2760="",0,IF(AND(G2760=T2760,COUNTIFS($S$6:S2760,S2760,$G$6:G2760,G2760,$D$6:D2760,"Vastgesteld")=1),1,0))</f>
        <v>0</v>
      </c>
      <c r="V2760" s="15">
        <f>IF(T2760="",0,IF(AND(G2760=T2760,COUNTIFS($S$6:S2760,S2760,$G$6:G2760,G2760,$D$6:D2760,"Vastgesteld")&gt;1),1,0))</f>
        <v>0</v>
      </c>
    </row>
    <row r="2761">
      <c r="S2761" s="15" t="str">
        <f>IF(J2761="","",J2761&amp;"|"&amp;E2761&amp;"|"&amp;F2761&amp;"|"&amp;I2761&amp;"|"&amp;O2761)</f>
        <v/>
      </c>
      <c r="T2761" s="15" t="str">
        <f>IF(OR(S2761="",D2761&lt;&gt;"Vastgesteld"),"",_xlfn.MAXIFS($G$6:$G$5005,$S$6:$S$5005,S2761,$D$6:$D$5005,"Vastgesteld"))</f>
        <v/>
      </c>
      <c r="U2761" s="15">
        <f>IF(T2761="",0,IF(AND(G2761=T2761,COUNTIFS($S$6:S2761,S2761,$G$6:G2761,G2761,$D$6:D2761,"Vastgesteld")=1),1,0))</f>
        <v>0</v>
      </c>
      <c r="V2761" s="15">
        <f>IF(T2761="",0,IF(AND(G2761=T2761,COUNTIFS($S$6:S2761,S2761,$G$6:G2761,G2761,$D$6:D2761,"Vastgesteld")&gt;1),1,0))</f>
        <v>0</v>
      </c>
    </row>
    <row r="2762">
      <c r="S2762" s="15" t="str">
        <f>IF(J2762="","",J2762&amp;"|"&amp;E2762&amp;"|"&amp;F2762&amp;"|"&amp;I2762&amp;"|"&amp;O2762)</f>
        <v/>
      </c>
      <c r="T2762" s="15" t="str">
        <f>IF(OR(S2762="",D2762&lt;&gt;"Vastgesteld"),"",_xlfn.MAXIFS($G$6:$G$5005,$S$6:$S$5005,S2762,$D$6:$D$5005,"Vastgesteld"))</f>
        <v/>
      </c>
      <c r="U2762" s="15">
        <f>IF(T2762="",0,IF(AND(G2762=T2762,COUNTIFS($S$6:S2762,S2762,$G$6:G2762,G2762,$D$6:D2762,"Vastgesteld")=1),1,0))</f>
        <v>0</v>
      </c>
      <c r="V2762" s="15">
        <f>IF(T2762="",0,IF(AND(G2762=T2762,COUNTIFS($S$6:S2762,S2762,$G$6:G2762,G2762,$D$6:D2762,"Vastgesteld")&gt;1),1,0))</f>
        <v>0</v>
      </c>
    </row>
    <row r="2763">
      <c r="S2763" s="15" t="str">
        <f>IF(J2763="","",J2763&amp;"|"&amp;E2763&amp;"|"&amp;F2763&amp;"|"&amp;I2763&amp;"|"&amp;O2763)</f>
        <v/>
      </c>
      <c r="T2763" s="15" t="str">
        <f>IF(OR(S2763="",D2763&lt;&gt;"Vastgesteld"),"",_xlfn.MAXIFS($G$6:$G$5005,$S$6:$S$5005,S2763,$D$6:$D$5005,"Vastgesteld"))</f>
        <v/>
      </c>
      <c r="U2763" s="15">
        <f>IF(T2763="",0,IF(AND(G2763=T2763,COUNTIFS($S$6:S2763,S2763,$G$6:G2763,G2763,$D$6:D2763,"Vastgesteld")=1),1,0))</f>
        <v>0</v>
      </c>
      <c r="V2763" s="15">
        <f>IF(T2763="",0,IF(AND(G2763=T2763,COUNTIFS($S$6:S2763,S2763,$G$6:G2763,G2763,$D$6:D2763,"Vastgesteld")&gt;1),1,0))</f>
        <v>0</v>
      </c>
    </row>
    <row r="2764">
      <c r="S2764" s="15" t="str">
        <f>IF(J2764="","",J2764&amp;"|"&amp;E2764&amp;"|"&amp;F2764&amp;"|"&amp;I2764&amp;"|"&amp;O2764)</f>
        <v/>
      </c>
      <c r="T2764" s="15" t="str">
        <f>IF(OR(S2764="",D2764&lt;&gt;"Vastgesteld"),"",_xlfn.MAXIFS($G$6:$G$5005,$S$6:$S$5005,S2764,$D$6:$D$5005,"Vastgesteld"))</f>
        <v/>
      </c>
      <c r="U2764" s="15">
        <f>IF(T2764="",0,IF(AND(G2764=T2764,COUNTIFS($S$6:S2764,S2764,$G$6:G2764,G2764,$D$6:D2764,"Vastgesteld")=1),1,0))</f>
        <v>0</v>
      </c>
      <c r="V2764" s="15">
        <f>IF(T2764="",0,IF(AND(G2764=T2764,COUNTIFS($S$6:S2764,S2764,$G$6:G2764,G2764,$D$6:D2764,"Vastgesteld")&gt;1),1,0))</f>
        <v>0</v>
      </c>
    </row>
    <row r="2765">
      <c r="S2765" s="15" t="str">
        <f>IF(J2765="","",J2765&amp;"|"&amp;E2765&amp;"|"&amp;F2765&amp;"|"&amp;I2765&amp;"|"&amp;O2765)</f>
        <v/>
      </c>
      <c r="T2765" s="15" t="str">
        <f>IF(OR(S2765="",D2765&lt;&gt;"Vastgesteld"),"",_xlfn.MAXIFS($G$6:$G$5005,$S$6:$S$5005,S2765,$D$6:$D$5005,"Vastgesteld"))</f>
        <v/>
      </c>
      <c r="U2765" s="15">
        <f>IF(T2765="",0,IF(AND(G2765=T2765,COUNTIFS($S$6:S2765,S2765,$G$6:G2765,G2765,$D$6:D2765,"Vastgesteld")=1),1,0))</f>
        <v>0</v>
      </c>
      <c r="V2765" s="15">
        <f>IF(T2765="",0,IF(AND(G2765=T2765,COUNTIFS($S$6:S2765,S2765,$G$6:G2765,G2765,$D$6:D2765,"Vastgesteld")&gt;1),1,0))</f>
        <v>0</v>
      </c>
    </row>
    <row r="2766">
      <c r="S2766" s="15" t="str">
        <f>IF(J2766="","",J2766&amp;"|"&amp;E2766&amp;"|"&amp;F2766&amp;"|"&amp;I2766&amp;"|"&amp;O2766)</f>
        <v/>
      </c>
      <c r="T2766" s="15" t="str">
        <f>IF(OR(S2766="",D2766&lt;&gt;"Vastgesteld"),"",_xlfn.MAXIFS($G$6:$G$5005,$S$6:$S$5005,S2766,$D$6:$D$5005,"Vastgesteld"))</f>
        <v/>
      </c>
      <c r="U2766" s="15">
        <f>IF(T2766="",0,IF(AND(G2766=T2766,COUNTIFS($S$6:S2766,S2766,$G$6:G2766,G2766,$D$6:D2766,"Vastgesteld")=1),1,0))</f>
        <v>0</v>
      </c>
      <c r="V2766" s="15">
        <f>IF(T2766="",0,IF(AND(G2766=T2766,COUNTIFS($S$6:S2766,S2766,$G$6:G2766,G2766,$D$6:D2766,"Vastgesteld")&gt;1),1,0))</f>
        <v>0</v>
      </c>
    </row>
    <row r="2767">
      <c r="S2767" s="15" t="str">
        <f>IF(J2767="","",J2767&amp;"|"&amp;E2767&amp;"|"&amp;F2767&amp;"|"&amp;I2767&amp;"|"&amp;O2767)</f>
        <v/>
      </c>
      <c r="T2767" s="15" t="str">
        <f>IF(OR(S2767="",D2767&lt;&gt;"Vastgesteld"),"",_xlfn.MAXIFS($G$6:$G$5005,$S$6:$S$5005,S2767,$D$6:$D$5005,"Vastgesteld"))</f>
        <v/>
      </c>
      <c r="U2767" s="15">
        <f>IF(T2767="",0,IF(AND(G2767=T2767,COUNTIFS($S$6:S2767,S2767,$G$6:G2767,G2767,$D$6:D2767,"Vastgesteld")=1),1,0))</f>
        <v>0</v>
      </c>
      <c r="V2767" s="15">
        <f>IF(T2767="",0,IF(AND(G2767=T2767,COUNTIFS($S$6:S2767,S2767,$G$6:G2767,G2767,$D$6:D2767,"Vastgesteld")&gt;1),1,0))</f>
        <v>0</v>
      </c>
    </row>
    <row r="2768">
      <c r="S2768" s="15" t="str">
        <f>IF(J2768="","",J2768&amp;"|"&amp;E2768&amp;"|"&amp;F2768&amp;"|"&amp;I2768&amp;"|"&amp;O2768)</f>
        <v/>
      </c>
      <c r="T2768" s="15" t="str">
        <f>IF(OR(S2768="",D2768&lt;&gt;"Vastgesteld"),"",_xlfn.MAXIFS($G$6:$G$5005,$S$6:$S$5005,S2768,$D$6:$D$5005,"Vastgesteld"))</f>
        <v/>
      </c>
      <c r="U2768" s="15">
        <f>IF(T2768="",0,IF(AND(G2768=T2768,COUNTIFS($S$6:S2768,S2768,$G$6:G2768,G2768,$D$6:D2768,"Vastgesteld")=1),1,0))</f>
        <v>0</v>
      </c>
      <c r="V2768" s="15">
        <f>IF(T2768="",0,IF(AND(G2768=T2768,COUNTIFS($S$6:S2768,S2768,$G$6:G2768,G2768,$D$6:D2768,"Vastgesteld")&gt;1),1,0))</f>
        <v>0</v>
      </c>
    </row>
    <row r="2769">
      <c r="S2769" s="15" t="str">
        <f>IF(J2769="","",J2769&amp;"|"&amp;E2769&amp;"|"&amp;F2769&amp;"|"&amp;I2769&amp;"|"&amp;O2769)</f>
        <v/>
      </c>
      <c r="T2769" s="15" t="str">
        <f>IF(OR(S2769="",D2769&lt;&gt;"Vastgesteld"),"",_xlfn.MAXIFS($G$6:$G$5005,$S$6:$S$5005,S2769,$D$6:$D$5005,"Vastgesteld"))</f>
        <v/>
      </c>
      <c r="U2769" s="15">
        <f>IF(T2769="",0,IF(AND(G2769=T2769,COUNTIFS($S$6:S2769,S2769,$G$6:G2769,G2769,$D$6:D2769,"Vastgesteld")=1),1,0))</f>
        <v>0</v>
      </c>
      <c r="V2769" s="15">
        <f>IF(T2769="",0,IF(AND(G2769=T2769,COUNTIFS($S$6:S2769,S2769,$G$6:G2769,G2769,$D$6:D2769,"Vastgesteld")&gt;1),1,0))</f>
        <v>0</v>
      </c>
    </row>
    <row r="2770">
      <c r="S2770" s="15" t="str">
        <f>IF(J2770="","",J2770&amp;"|"&amp;E2770&amp;"|"&amp;F2770&amp;"|"&amp;I2770&amp;"|"&amp;O2770)</f>
        <v/>
      </c>
      <c r="T2770" s="15" t="str">
        <f>IF(OR(S2770="",D2770&lt;&gt;"Vastgesteld"),"",_xlfn.MAXIFS($G$6:$G$5005,$S$6:$S$5005,S2770,$D$6:$D$5005,"Vastgesteld"))</f>
        <v/>
      </c>
      <c r="U2770" s="15">
        <f>IF(T2770="",0,IF(AND(G2770=T2770,COUNTIFS($S$6:S2770,S2770,$G$6:G2770,G2770,$D$6:D2770,"Vastgesteld")=1),1,0))</f>
        <v>0</v>
      </c>
      <c r="V2770" s="15">
        <f>IF(T2770="",0,IF(AND(G2770=T2770,COUNTIFS($S$6:S2770,S2770,$G$6:G2770,G2770,$D$6:D2770,"Vastgesteld")&gt;1),1,0))</f>
        <v>0</v>
      </c>
    </row>
    <row r="2771">
      <c r="S2771" s="15" t="str">
        <f>IF(J2771="","",J2771&amp;"|"&amp;E2771&amp;"|"&amp;F2771&amp;"|"&amp;I2771&amp;"|"&amp;O2771)</f>
        <v/>
      </c>
      <c r="T2771" s="15" t="str">
        <f>IF(OR(S2771="",D2771&lt;&gt;"Vastgesteld"),"",_xlfn.MAXIFS($G$6:$G$5005,$S$6:$S$5005,S2771,$D$6:$D$5005,"Vastgesteld"))</f>
        <v/>
      </c>
      <c r="U2771" s="15">
        <f>IF(T2771="",0,IF(AND(G2771=T2771,COUNTIFS($S$6:S2771,S2771,$G$6:G2771,G2771,$D$6:D2771,"Vastgesteld")=1),1,0))</f>
        <v>0</v>
      </c>
      <c r="V2771" s="15">
        <f>IF(T2771="",0,IF(AND(G2771=T2771,COUNTIFS($S$6:S2771,S2771,$G$6:G2771,G2771,$D$6:D2771,"Vastgesteld")&gt;1),1,0))</f>
        <v>0</v>
      </c>
    </row>
    <row r="2772">
      <c r="S2772" s="15" t="str">
        <f>IF(J2772="","",J2772&amp;"|"&amp;E2772&amp;"|"&amp;F2772&amp;"|"&amp;I2772&amp;"|"&amp;O2772)</f>
        <v/>
      </c>
      <c r="T2772" s="15" t="str">
        <f>IF(OR(S2772="",D2772&lt;&gt;"Vastgesteld"),"",_xlfn.MAXIFS($G$6:$G$5005,$S$6:$S$5005,S2772,$D$6:$D$5005,"Vastgesteld"))</f>
        <v/>
      </c>
      <c r="U2772" s="15">
        <f>IF(T2772="",0,IF(AND(G2772=T2772,COUNTIFS($S$6:S2772,S2772,$G$6:G2772,G2772,$D$6:D2772,"Vastgesteld")=1),1,0))</f>
        <v>0</v>
      </c>
      <c r="V2772" s="15">
        <f>IF(T2772="",0,IF(AND(G2772=T2772,COUNTIFS($S$6:S2772,S2772,$G$6:G2772,G2772,$D$6:D2772,"Vastgesteld")&gt;1),1,0))</f>
        <v>0</v>
      </c>
    </row>
    <row r="2773">
      <c r="S2773" s="15" t="str">
        <f>IF(J2773="","",J2773&amp;"|"&amp;E2773&amp;"|"&amp;F2773&amp;"|"&amp;I2773&amp;"|"&amp;O2773)</f>
        <v/>
      </c>
      <c r="T2773" s="15" t="str">
        <f>IF(OR(S2773="",D2773&lt;&gt;"Vastgesteld"),"",_xlfn.MAXIFS($G$6:$G$5005,$S$6:$S$5005,S2773,$D$6:$D$5005,"Vastgesteld"))</f>
        <v/>
      </c>
      <c r="U2773" s="15">
        <f>IF(T2773="",0,IF(AND(G2773=T2773,COUNTIFS($S$6:S2773,S2773,$G$6:G2773,G2773,$D$6:D2773,"Vastgesteld")=1),1,0))</f>
        <v>0</v>
      </c>
      <c r="V2773" s="15">
        <f>IF(T2773="",0,IF(AND(G2773=T2773,COUNTIFS($S$6:S2773,S2773,$G$6:G2773,G2773,$D$6:D2773,"Vastgesteld")&gt;1),1,0))</f>
        <v>0</v>
      </c>
    </row>
    <row r="2774">
      <c r="S2774" s="15" t="str">
        <f>IF(J2774="","",J2774&amp;"|"&amp;E2774&amp;"|"&amp;F2774&amp;"|"&amp;I2774&amp;"|"&amp;O2774)</f>
        <v/>
      </c>
      <c r="T2774" s="15" t="str">
        <f>IF(OR(S2774="",D2774&lt;&gt;"Vastgesteld"),"",_xlfn.MAXIFS($G$6:$G$5005,$S$6:$S$5005,S2774,$D$6:$D$5005,"Vastgesteld"))</f>
        <v/>
      </c>
      <c r="U2774" s="15">
        <f>IF(T2774="",0,IF(AND(G2774=T2774,COUNTIFS($S$6:S2774,S2774,$G$6:G2774,G2774,$D$6:D2774,"Vastgesteld")=1),1,0))</f>
        <v>0</v>
      </c>
      <c r="V2774" s="15">
        <f>IF(T2774="",0,IF(AND(G2774=T2774,COUNTIFS($S$6:S2774,S2774,$G$6:G2774,G2774,$D$6:D2774,"Vastgesteld")&gt;1),1,0))</f>
        <v>0</v>
      </c>
    </row>
    <row r="2775">
      <c r="S2775" s="15" t="str">
        <f>IF(J2775="","",J2775&amp;"|"&amp;E2775&amp;"|"&amp;F2775&amp;"|"&amp;I2775&amp;"|"&amp;O2775)</f>
        <v/>
      </c>
      <c r="T2775" s="15" t="str">
        <f>IF(OR(S2775="",D2775&lt;&gt;"Vastgesteld"),"",_xlfn.MAXIFS($G$6:$G$5005,$S$6:$S$5005,S2775,$D$6:$D$5005,"Vastgesteld"))</f>
        <v/>
      </c>
      <c r="U2775" s="15">
        <f>IF(T2775="",0,IF(AND(G2775=T2775,COUNTIFS($S$6:S2775,S2775,$G$6:G2775,G2775,$D$6:D2775,"Vastgesteld")=1),1,0))</f>
        <v>0</v>
      </c>
      <c r="V2775" s="15">
        <f>IF(T2775="",0,IF(AND(G2775=T2775,COUNTIFS($S$6:S2775,S2775,$G$6:G2775,G2775,$D$6:D2775,"Vastgesteld")&gt;1),1,0))</f>
        <v>0</v>
      </c>
    </row>
    <row r="2776">
      <c r="S2776" s="15" t="str">
        <f>IF(J2776="","",J2776&amp;"|"&amp;E2776&amp;"|"&amp;F2776&amp;"|"&amp;I2776&amp;"|"&amp;O2776)</f>
        <v/>
      </c>
      <c r="T2776" s="15" t="str">
        <f>IF(OR(S2776="",D2776&lt;&gt;"Vastgesteld"),"",_xlfn.MAXIFS($G$6:$G$5005,$S$6:$S$5005,S2776,$D$6:$D$5005,"Vastgesteld"))</f>
        <v/>
      </c>
      <c r="U2776" s="15">
        <f>IF(T2776="",0,IF(AND(G2776=T2776,COUNTIFS($S$6:S2776,S2776,$G$6:G2776,G2776,$D$6:D2776,"Vastgesteld")=1),1,0))</f>
        <v>0</v>
      </c>
      <c r="V2776" s="15">
        <f>IF(T2776="",0,IF(AND(G2776=T2776,COUNTIFS($S$6:S2776,S2776,$G$6:G2776,G2776,$D$6:D2776,"Vastgesteld")&gt;1),1,0))</f>
        <v>0</v>
      </c>
    </row>
    <row r="2777">
      <c r="S2777" s="15" t="str">
        <f>IF(J2777="","",J2777&amp;"|"&amp;E2777&amp;"|"&amp;F2777&amp;"|"&amp;I2777&amp;"|"&amp;O2777)</f>
        <v/>
      </c>
      <c r="T2777" s="15" t="str">
        <f>IF(OR(S2777="",D2777&lt;&gt;"Vastgesteld"),"",_xlfn.MAXIFS($G$6:$G$5005,$S$6:$S$5005,S2777,$D$6:$D$5005,"Vastgesteld"))</f>
        <v/>
      </c>
      <c r="U2777" s="15">
        <f>IF(T2777="",0,IF(AND(G2777=T2777,COUNTIFS($S$6:S2777,S2777,$G$6:G2777,G2777,$D$6:D2777,"Vastgesteld")=1),1,0))</f>
        <v>0</v>
      </c>
      <c r="V2777" s="15">
        <f>IF(T2777="",0,IF(AND(G2777=T2777,COUNTIFS($S$6:S2777,S2777,$G$6:G2777,G2777,$D$6:D2777,"Vastgesteld")&gt;1),1,0))</f>
        <v>0</v>
      </c>
    </row>
    <row r="2778">
      <c r="S2778" s="15" t="str">
        <f>IF(J2778="","",J2778&amp;"|"&amp;E2778&amp;"|"&amp;F2778&amp;"|"&amp;I2778&amp;"|"&amp;O2778)</f>
        <v/>
      </c>
      <c r="T2778" s="15" t="str">
        <f>IF(OR(S2778="",D2778&lt;&gt;"Vastgesteld"),"",_xlfn.MAXIFS($G$6:$G$5005,$S$6:$S$5005,S2778,$D$6:$D$5005,"Vastgesteld"))</f>
        <v/>
      </c>
      <c r="U2778" s="15">
        <f>IF(T2778="",0,IF(AND(G2778=T2778,COUNTIFS($S$6:S2778,S2778,$G$6:G2778,G2778,$D$6:D2778,"Vastgesteld")=1),1,0))</f>
        <v>0</v>
      </c>
      <c r="V2778" s="15">
        <f>IF(T2778="",0,IF(AND(G2778=T2778,COUNTIFS($S$6:S2778,S2778,$G$6:G2778,G2778,$D$6:D2778,"Vastgesteld")&gt;1),1,0))</f>
        <v>0</v>
      </c>
    </row>
    <row r="2779">
      <c r="S2779" s="15" t="str">
        <f>IF(J2779="","",J2779&amp;"|"&amp;E2779&amp;"|"&amp;F2779&amp;"|"&amp;I2779&amp;"|"&amp;O2779)</f>
        <v/>
      </c>
      <c r="T2779" s="15" t="str">
        <f>IF(OR(S2779="",D2779&lt;&gt;"Vastgesteld"),"",_xlfn.MAXIFS($G$6:$G$5005,$S$6:$S$5005,S2779,$D$6:$D$5005,"Vastgesteld"))</f>
        <v/>
      </c>
      <c r="U2779" s="15">
        <f>IF(T2779="",0,IF(AND(G2779=T2779,COUNTIFS($S$6:S2779,S2779,$G$6:G2779,G2779,$D$6:D2779,"Vastgesteld")=1),1,0))</f>
        <v>0</v>
      </c>
      <c r="V2779" s="15">
        <f>IF(T2779="",0,IF(AND(G2779=T2779,COUNTIFS($S$6:S2779,S2779,$G$6:G2779,G2779,$D$6:D2779,"Vastgesteld")&gt;1),1,0))</f>
        <v>0</v>
      </c>
    </row>
    <row r="2780">
      <c r="S2780" s="15" t="str">
        <f>IF(J2780="","",J2780&amp;"|"&amp;E2780&amp;"|"&amp;F2780&amp;"|"&amp;I2780&amp;"|"&amp;O2780)</f>
        <v/>
      </c>
      <c r="T2780" s="15" t="str">
        <f>IF(OR(S2780="",D2780&lt;&gt;"Vastgesteld"),"",_xlfn.MAXIFS($G$6:$G$5005,$S$6:$S$5005,S2780,$D$6:$D$5005,"Vastgesteld"))</f>
        <v/>
      </c>
      <c r="U2780" s="15">
        <f>IF(T2780="",0,IF(AND(G2780=T2780,COUNTIFS($S$6:S2780,S2780,$G$6:G2780,G2780,$D$6:D2780,"Vastgesteld")=1),1,0))</f>
        <v>0</v>
      </c>
      <c r="V2780" s="15">
        <f>IF(T2780="",0,IF(AND(G2780=T2780,COUNTIFS($S$6:S2780,S2780,$G$6:G2780,G2780,$D$6:D2780,"Vastgesteld")&gt;1),1,0))</f>
        <v>0</v>
      </c>
    </row>
    <row r="2781">
      <c r="S2781" s="15" t="str">
        <f>IF(J2781="","",J2781&amp;"|"&amp;E2781&amp;"|"&amp;F2781&amp;"|"&amp;I2781&amp;"|"&amp;O2781)</f>
        <v/>
      </c>
      <c r="T2781" s="15" t="str">
        <f>IF(OR(S2781="",D2781&lt;&gt;"Vastgesteld"),"",_xlfn.MAXIFS($G$6:$G$5005,$S$6:$S$5005,S2781,$D$6:$D$5005,"Vastgesteld"))</f>
        <v/>
      </c>
      <c r="U2781" s="15">
        <f>IF(T2781="",0,IF(AND(G2781=T2781,COUNTIFS($S$6:S2781,S2781,$G$6:G2781,G2781,$D$6:D2781,"Vastgesteld")=1),1,0))</f>
        <v>0</v>
      </c>
      <c r="V2781" s="15">
        <f>IF(T2781="",0,IF(AND(G2781=T2781,COUNTIFS($S$6:S2781,S2781,$G$6:G2781,G2781,$D$6:D2781,"Vastgesteld")&gt;1),1,0))</f>
        <v>0</v>
      </c>
    </row>
    <row r="2782">
      <c r="S2782" s="15" t="str">
        <f>IF(J2782="","",J2782&amp;"|"&amp;E2782&amp;"|"&amp;F2782&amp;"|"&amp;I2782&amp;"|"&amp;O2782)</f>
        <v/>
      </c>
      <c r="T2782" s="15" t="str">
        <f>IF(OR(S2782="",D2782&lt;&gt;"Vastgesteld"),"",_xlfn.MAXIFS($G$6:$G$5005,$S$6:$S$5005,S2782,$D$6:$D$5005,"Vastgesteld"))</f>
        <v/>
      </c>
      <c r="U2782" s="15">
        <f>IF(T2782="",0,IF(AND(G2782=T2782,COUNTIFS($S$6:S2782,S2782,$G$6:G2782,G2782,$D$6:D2782,"Vastgesteld")=1),1,0))</f>
        <v>0</v>
      </c>
      <c r="V2782" s="15">
        <f>IF(T2782="",0,IF(AND(G2782=T2782,COUNTIFS($S$6:S2782,S2782,$G$6:G2782,G2782,$D$6:D2782,"Vastgesteld")&gt;1),1,0))</f>
        <v>0</v>
      </c>
    </row>
    <row r="2783">
      <c r="S2783" s="15" t="str">
        <f>IF(J2783="","",J2783&amp;"|"&amp;E2783&amp;"|"&amp;F2783&amp;"|"&amp;I2783&amp;"|"&amp;O2783)</f>
        <v/>
      </c>
      <c r="T2783" s="15" t="str">
        <f>IF(OR(S2783="",D2783&lt;&gt;"Vastgesteld"),"",_xlfn.MAXIFS($G$6:$G$5005,$S$6:$S$5005,S2783,$D$6:$D$5005,"Vastgesteld"))</f>
        <v/>
      </c>
      <c r="U2783" s="15">
        <f>IF(T2783="",0,IF(AND(G2783=T2783,COUNTIFS($S$6:S2783,S2783,$G$6:G2783,G2783,$D$6:D2783,"Vastgesteld")=1),1,0))</f>
        <v>0</v>
      </c>
      <c r="V2783" s="15">
        <f>IF(T2783="",0,IF(AND(G2783=T2783,COUNTIFS($S$6:S2783,S2783,$G$6:G2783,G2783,$D$6:D2783,"Vastgesteld")&gt;1),1,0))</f>
        <v>0</v>
      </c>
    </row>
    <row r="2784">
      <c r="S2784" s="15" t="str">
        <f>IF(J2784="","",J2784&amp;"|"&amp;E2784&amp;"|"&amp;F2784&amp;"|"&amp;I2784&amp;"|"&amp;O2784)</f>
        <v/>
      </c>
      <c r="T2784" s="15" t="str">
        <f>IF(OR(S2784="",D2784&lt;&gt;"Vastgesteld"),"",_xlfn.MAXIFS($G$6:$G$5005,$S$6:$S$5005,S2784,$D$6:$D$5005,"Vastgesteld"))</f>
        <v/>
      </c>
      <c r="U2784" s="15">
        <f>IF(T2784="",0,IF(AND(G2784=T2784,COUNTIFS($S$6:S2784,S2784,$G$6:G2784,G2784,$D$6:D2784,"Vastgesteld")=1),1,0))</f>
        <v>0</v>
      </c>
      <c r="V2784" s="15">
        <f>IF(T2784="",0,IF(AND(G2784=T2784,COUNTIFS($S$6:S2784,S2784,$G$6:G2784,G2784,$D$6:D2784,"Vastgesteld")&gt;1),1,0))</f>
        <v>0</v>
      </c>
    </row>
    <row r="2785">
      <c r="S2785" s="15" t="str">
        <f>IF(J2785="","",J2785&amp;"|"&amp;E2785&amp;"|"&amp;F2785&amp;"|"&amp;I2785&amp;"|"&amp;O2785)</f>
        <v/>
      </c>
      <c r="T2785" s="15" t="str">
        <f>IF(OR(S2785="",D2785&lt;&gt;"Vastgesteld"),"",_xlfn.MAXIFS($G$6:$G$5005,$S$6:$S$5005,S2785,$D$6:$D$5005,"Vastgesteld"))</f>
        <v/>
      </c>
      <c r="U2785" s="15">
        <f>IF(T2785="",0,IF(AND(G2785=T2785,COUNTIFS($S$6:S2785,S2785,$G$6:G2785,G2785,$D$6:D2785,"Vastgesteld")=1),1,0))</f>
        <v>0</v>
      </c>
      <c r="V2785" s="15">
        <f>IF(T2785="",0,IF(AND(G2785=T2785,COUNTIFS($S$6:S2785,S2785,$G$6:G2785,G2785,$D$6:D2785,"Vastgesteld")&gt;1),1,0))</f>
        <v>0</v>
      </c>
    </row>
    <row r="2786">
      <c r="S2786" s="15" t="str">
        <f>IF(J2786="","",J2786&amp;"|"&amp;E2786&amp;"|"&amp;F2786&amp;"|"&amp;I2786&amp;"|"&amp;O2786)</f>
        <v/>
      </c>
      <c r="T2786" s="15" t="str">
        <f>IF(OR(S2786="",D2786&lt;&gt;"Vastgesteld"),"",_xlfn.MAXIFS($G$6:$G$5005,$S$6:$S$5005,S2786,$D$6:$D$5005,"Vastgesteld"))</f>
        <v/>
      </c>
      <c r="U2786" s="15">
        <f>IF(T2786="",0,IF(AND(G2786=T2786,COUNTIFS($S$6:S2786,S2786,$G$6:G2786,G2786,$D$6:D2786,"Vastgesteld")=1),1,0))</f>
        <v>0</v>
      </c>
      <c r="V2786" s="15">
        <f>IF(T2786="",0,IF(AND(G2786=T2786,COUNTIFS($S$6:S2786,S2786,$G$6:G2786,G2786,$D$6:D2786,"Vastgesteld")&gt;1),1,0))</f>
        <v>0</v>
      </c>
    </row>
    <row r="2787">
      <c r="S2787" s="15" t="str">
        <f>IF(J2787="","",J2787&amp;"|"&amp;E2787&amp;"|"&amp;F2787&amp;"|"&amp;I2787&amp;"|"&amp;O2787)</f>
        <v/>
      </c>
      <c r="T2787" s="15" t="str">
        <f>IF(OR(S2787="",D2787&lt;&gt;"Vastgesteld"),"",_xlfn.MAXIFS($G$6:$G$5005,$S$6:$S$5005,S2787,$D$6:$D$5005,"Vastgesteld"))</f>
        <v/>
      </c>
      <c r="U2787" s="15">
        <f>IF(T2787="",0,IF(AND(G2787=T2787,COUNTIFS($S$6:S2787,S2787,$G$6:G2787,G2787,$D$6:D2787,"Vastgesteld")=1),1,0))</f>
        <v>0</v>
      </c>
      <c r="V2787" s="15">
        <f>IF(T2787="",0,IF(AND(G2787=T2787,COUNTIFS($S$6:S2787,S2787,$G$6:G2787,G2787,$D$6:D2787,"Vastgesteld")&gt;1),1,0))</f>
        <v>0</v>
      </c>
    </row>
    <row r="2788">
      <c r="S2788" s="15" t="str">
        <f>IF(J2788="","",J2788&amp;"|"&amp;E2788&amp;"|"&amp;F2788&amp;"|"&amp;I2788&amp;"|"&amp;O2788)</f>
        <v/>
      </c>
      <c r="T2788" s="15" t="str">
        <f>IF(OR(S2788="",D2788&lt;&gt;"Vastgesteld"),"",_xlfn.MAXIFS($G$6:$G$5005,$S$6:$S$5005,S2788,$D$6:$D$5005,"Vastgesteld"))</f>
        <v/>
      </c>
      <c r="U2788" s="15">
        <f>IF(T2788="",0,IF(AND(G2788=T2788,COUNTIFS($S$6:S2788,S2788,$G$6:G2788,G2788,$D$6:D2788,"Vastgesteld")=1),1,0))</f>
        <v>0</v>
      </c>
      <c r="V2788" s="15">
        <f>IF(T2788="",0,IF(AND(G2788=T2788,COUNTIFS($S$6:S2788,S2788,$G$6:G2788,G2788,$D$6:D2788,"Vastgesteld")&gt;1),1,0))</f>
        <v>0</v>
      </c>
    </row>
    <row r="2789">
      <c r="S2789" s="15" t="str">
        <f>IF(J2789="","",J2789&amp;"|"&amp;E2789&amp;"|"&amp;F2789&amp;"|"&amp;I2789&amp;"|"&amp;O2789)</f>
        <v/>
      </c>
      <c r="T2789" s="15" t="str">
        <f>IF(OR(S2789="",D2789&lt;&gt;"Vastgesteld"),"",_xlfn.MAXIFS($G$6:$G$5005,$S$6:$S$5005,S2789,$D$6:$D$5005,"Vastgesteld"))</f>
        <v/>
      </c>
      <c r="U2789" s="15">
        <f>IF(T2789="",0,IF(AND(G2789=T2789,COUNTIFS($S$6:S2789,S2789,$G$6:G2789,G2789,$D$6:D2789,"Vastgesteld")=1),1,0))</f>
        <v>0</v>
      </c>
      <c r="V2789" s="15">
        <f>IF(T2789="",0,IF(AND(G2789=T2789,COUNTIFS($S$6:S2789,S2789,$G$6:G2789,G2789,$D$6:D2789,"Vastgesteld")&gt;1),1,0))</f>
        <v>0</v>
      </c>
    </row>
    <row r="2790">
      <c r="S2790" s="15" t="str">
        <f>IF(J2790="","",J2790&amp;"|"&amp;E2790&amp;"|"&amp;F2790&amp;"|"&amp;I2790&amp;"|"&amp;O2790)</f>
        <v/>
      </c>
      <c r="T2790" s="15" t="str">
        <f>IF(OR(S2790="",D2790&lt;&gt;"Vastgesteld"),"",_xlfn.MAXIFS($G$6:$G$5005,$S$6:$S$5005,S2790,$D$6:$D$5005,"Vastgesteld"))</f>
        <v/>
      </c>
      <c r="U2790" s="15">
        <f>IF(T2790="",0,IF(AND(G2790=T2790,COUNTIFS($S$6:S2790,S2790,$G$6:G2790,G2790,$D$6:D2790,"Vastgesteld")=1),1,0))</f>
        <v>0</v>
      </c>
      <c r="V2790" s="15">
        <f>IF(T2790="",0,IF(AND(G2790=T2790,COUNTIFS($S$6:S2790,S2790,$G$6:G2790,G2790,$D$6:D2790,"Vastgesteld")&gt;1),1,0))</f>
        <v>0</v>
      </c>
    </row>
    <row r="2791">
      <c r="S2791" s="15" t="str">
        <f>IF(J2791="","",J2791&amp;"|"&amp;E2791&amp;"|"&amp;F2791&amp;"|"&amp;I2791&amp;"|"&amp;O2791)</f>
        <v/>
      </c>
      <c r="T2791" s="15" t="str">
        <f>IF(OR(S2791="",D2791&lt;&gt;"Vastgesteld"),"",_xlfn.MAXIFS($G$6:$G$5005,$S$6:$S$5005,S2791,$D$6:$D$5005,"Vastgesteld"))</f>
        <v/>
      </c>
      <c r="U2791" s="15">
        <f>IF(T2791="",0,IF(AND(G2791=T2791,COUNTIFS($S$6:S2791,S2791,$G$6:G2791,G2791,$D$6:D2791,"Vastgesteld")=1),1,0))</f>
        <v>0</v>
      </c>
      <c r="V2791" s="15">
        <f>IF(T2791="",0,IF(AND(G2791=T2791,COUNTIFS($S$6:S2791,S2791,$G$6:G2791,G2791,$D$6:D2791,"Vastgesteld")&gt;1),1,0))</f>
        <v>0</v>
      </c>
    </row>
    <row r="2792">
      <c r="S2792" s="15" t="str">
        <f>IF(J2792="","",J2792&amp;"|"&amp;E2792&amp;"|"&amp;F2792&amp;"|"&amp;I2792&amp;"|"&amp;O2792)</f>
        <v/>
      </c>
      <c r="T2792" s="15" t="str">
        <f>IF(OR(S2792="",D2792&lt;&gt;"Vastgesteld"),"",_xlfn.MAXIFS($G$6:$G$5005,$S$6:$S$5005,S2792,$D$6:$D$5005,"Vastgesteld"))</f>
        <v/>
      </c>
      <c r="U2792" s="15">
        <f>IF(T2792="",0,IF(AND(G2792=T2792,COUNTIFS($S$6:S2792,S2792,$G$6:G2792,G2792,$D$6:D2792,"Vastgesteld")=1),1,0))</f>
        <v>0</v>
      </c>
      <c r="V2792" s="15">
        <f>IF(T2792="",0,IF(AND(G2792=T2792,COUNTIFS($S$6:S2792,S2792,$G$6:G2792,G2792,$D$6:D2792,"Vastgesteld")&gt;1),1,0))</f>
        <v>0</v>
      </c>
    </row>
    <row r="2793">
      <c r="S2793" s="15" t="str">
        <f>IF(J2793="","",J2793&amp;"|"&amp;E2793&amp;"|"&amp;F2793&amp;"|"&amp;I2793&amp;"|"&amp;O2793)</f>
        <v/>
      </c>
      <c r="T2793" s="15" t="str">
        <f>IF(OR(S2793="",D2793&lt;&gt;"Vastgesteld"),"",_xlfn.MAXIFS($G$6:$G$5005,$S$6:$S$5005,S2793,$D$6:$D$5005,"Vastgesteld"))</f>
        <v/>
      </c>
      <c r="U2793" s="15">
        <f>IF(T2793="",0,IF(AND(G2793=T2793,COUNTIFS($S$6:S2793,S2793,$G$6:G2793,G2793,$D$6:D2793,"Vastgesteld")=1),1,0))</f>
        <v>0</v>
      </c>
      <c r="V2793" s="15">
        <f>IF(T2793="",0,IF(AND(G2793=T2793,COUNTIFS($S$6:S2793,S2793,$G$6:G2793,G2793,$D$6:D2793,"Vastgesteld")&gt;1),1,0))</f>
        <v>0</v>
      </c>
    </row>
    <row r="2794">
      <c r="S2794" s="15" t="str">
        <f>IF(J2794="","",J2794&amp;"|"&amp;E2794&amp;"|"&amp;F2794&amp;"|"&amp;I2794&amp;"|"&amp;O2794)</f>
        <v/>
      </c>
      <c r="T2794" s="15" t="str">
        <f>IF(OR(S2794="",D2794&lt;&gt;"Vastgesteld"),"",_xlfn.MAXIFS($G$6:$G$5005,$S$6:$S$5005,S2794,$D$6:$D$5005,"Vastgesteld"))</f>
        <v/>
      </c>
      <c r="U2794" s="15">
        <f>IF(T2794="",0,IF(AND(G2794=T2794,COUNTIFS($S$6:S2794,S2794,$G$6:G2794,G2794,$D$6:D2794,"Vastgesteld")=1),1,0))</f>
        <v>0</v>
      </c>
      <c r="V2794" s="15">
        <f>IF(T2794="",0,IF(AND(G2794=T2794,COUNTIFS($S$6:S2794,S2794,$G$6:G2794,G2794,$D$6:D2794,"Vastgesteld")&gt;1),1,0))</f>
        <v>0</v>
      </c>
    </row>
    <row r="2795">
      <c r="S2795" s="15" t="str">
        <f>IF(J2795="","",J2795&amp;"|"&amp;E2795&amp;"|"&amp;F2795&amp;"|"&amp;I2795&amp;"|"&amp;O2795)</f>
        <v/>
      </c>
      <c r="T2795" s="15" t="str">
        <f>IF(OR(S2795="",D2795&lt;&gt;"Vastgesteld"),"",_xlfn.MAXIFS($G$6:$G$5005,$S$6:$S$5005,S2795,$D$6:$D$5005,"Vastgesteld"))</f>
        <v/>
      </c>
      <c r="U2795" s="15">
        <f>IF(T2795="",0,IF(AND(G2795=T2795,COUNTIFS($S$6:S2795,S2795,$G$6:G2795,G2795,$D$6:D2795,"Vastgesteld")=1),1,0))</f>
        <v>0</v>
      </c>
      <c r="V2795" s="15">
        <f>IF(T2795="",0,IF(AND(G2795=T2795,COUNTIFS($S$6:S2795,S2795,$G$6:G2795,G2795,$D$6:D2795,"Vastgesteld")&gt;1),1,0))</f>
        <v>0</v>
      </c>
    </row>
    <row r="2796">
      <c r="S2796" s="15" t="str">
        <f>IF(J2796="","",J2796&amp;"|"&amp;E2796&amp;"|"&amp;F2796&amp;"|"&amp;I2796&amp;"|"&amp;O2796)</f>
        <v/>
      </c>
      <c r="T2796" s="15" t="str">
        <f>IF(OR(S2796="",D2796&lt;&gt;"Vastgesteld"),"",_xlfn.MAXIFS($G$6:$G$5005,$S$6:$S$5005,S2796,$D$6:$D$5005,"Vastgesteld"))</f>
        <v/>
      </c>
      <c r="U2796" s="15">
        <f>IF(T2796="",0,IF(AND(G2796=T2796,COUNTIFS($S$6:S2796,S2796,$G$6:G2796,G2796,$D$6:D2796,"Vastgesteld")=1),1,0))</f>
        <v>0</v>
      </c>
      <c r="V2796" s="15">
        <f>IF(T2796="",0,IF(AND(G2796=T2796,COUNTIFS($S$6:S2796,S2796,$G$6:G2796,G2796,$D$6:D2796,"Vastgesteld")&gt;1),1,0))</f>
        <v>0</v>
      </c>
    </row>
    <row r="2797">
      <c r="S2797" s="15" t="str">
        <f>IF(J2797="","",J2797&amp;"|"&amp;E2797&amp;"|"&amp;F2797&amp;"|"&amp;I2797&amp;"|"&amp;O2797)</f>
        <v/>
      </c>
      <c r="T2797" s="15" t="str">
        <f>IF(OR(S2797="",D2797&lt;&gt;"Vastgesteld"),"",_xlfn.MAXIFS($G$6:$G$5005,$S$6:$S$5005,S2797,$D$6:$D$5005,"Vastgesteld"))</f>
        <v/>
      </c>
      <c r="U2797" s="15">
        <f>IF(T2797="",0,IF(AND(G2797=T2797,COUNTIFS($S$6:S2797,S2797,$G$6:G2797,G2797,$D$6:D2797,"Vastgesteld")=1),1,0))</f>
        <v>0</v>
      </c>
      <c r="V2797" s="15">
        <f>IF(T2797="",0,IF(AND(G2797=T2797,COUNTIFS($S$6:S2797,S2797,$G$6:G2797,G2797,$D$6:D2797,"Vastgesteld")&gt;1),1,0))</f>
        <v>0</v>
      </c>
    </row>
    <row r="2798">
      <c r="S2798" s="15" t="str">
        <f>IF(J2798="","",J2798&amp;"|"&amp;E2798&amp;"|"&amp;F2798&amp;"|"&amp;I2798&amp;"|"&amp;O2798)</f>
        <v/>
      </c>
      <c r="T2798" s="15" t="str">
        <f>IF(OR(S2798="",D2798&lt;&gt;"Vastgesteld"),"",_xlfn.MAXIFS($G$6:$G$5005,$S$6:$S$5005,S2798,$D$6:$D$5005,"Vastgesteld"))</f>
        <v/>
      </c>
      <c r="U2798" s="15">
        <f>IF(T2798="",0,IF(AND(G2798=T2798,COUNTIFS($S$6:S2798,S2798,$G$6:G2798,G2798,$D$6:D2798,"Vastgesteld")=1),1,0))</f>
        <v>0</v>
      </c>
      <c r="V2798" s="15">
        <f>IF(T2798="",0,IF(AND(G2798=T2798,COUNTIFS($S$6:S2798,S2798,$G$6:G2798,G2798,$D$6:D2798,"Vastgesteld")&gt;1),1,0))</f>
        <v>0</v>
      </c>
    </row>
    <row r="2799">
      <c r="S2799" s="15" t="str">
        <f>IF(J2799="","",J2799&amp;"|"&amp;E2799&amp;"|"&amp;F2799&amp;"|"&amp;I2799&amp;"|"&amp;O2799)</f>
        <v/>
      </c>
      <c r="T2799" s="15" t="str">
        <f>IF(OR(S2799="",D2799&lt;&gt;"Vastgesteld"),"",_xlfn.MAXIFS($G$6:$G$5005,$S$6:$S$5005,S2799,$D$6:$D$5005,"Vastgesteld"))</f>
        <v/>
      </c>
      <c r="U2799" s="15">
        <f>IF(T2799="",0,IF(AND(G2799=T2799,COUNTIFS($S$6:S2799,S2799,$G$6:G2799,G2799,$D$6:D2799,"Vastgesteld")=1),1,0))</f>
        <v>0</v>
      </c>
      <c r="V2799" s="15">
        <f>IF(T2799="",0,IF(AND(G2799=T2799,COUNTIFS($S$6:S2799,S2799,$G$6:G2799,G2799,$D$6:D2799,"Vastgesteld")&gt;1),1,0))</f>
        <v>0</v>
      </c>
    </row>
    <row r="2800">
      <c r="S2800" s="15" t="str">
        <f>IF(J2800="","",J2800&amp;"|"&amp;E2800&amp;"|"&amp;F2800&amp;"|"&amp;I2800&amp;"|"&amp;O2800)</f>
        <v/>
      </c>
      <c r="T2800" s="15" t="str">
        <f>IF(OR(S2800="",D2800&lt;&gt;"Vastgesteld"),"",_xlfn.MAXIFS($G$6:$G$5005,$S$6:$S$5005,S2800,$D$6:$D$5005,"Vastgesteld"))</f>
        <v/>
      </c>
      <c r="U2800" s="15">
        <f>IF(T2800="",0,IF(AND(G2800=T2800,COUNTIFS($S$6:S2800,S2800,$G$6:G2800,G2800,$D$6:D2800,"Vastgesteld")=1),1,0))</f>
        <v>0</v>
      </c>
      <c r="V2800" s="15">
        <f>IF(T2800="",0,IF(AND(G2800=T2800,COUNTIFS($S$6:S2800,S2800,$G$6:G2800,G2800,$D$6:D2800,"Vastgesteld")&gt;1),1,0))</f>
        <v>0</v>
      </c>
    </row>
    <row r="2801">
      <c r="S2801" s="15" t="str">
        <f>IF(J2801="","",J2801&amp;"|"&amp;E2801&amp;"|"&amp;F2801&amp;"|"&amp;I2801&amp;"|"&amp;O2801)</f>
        <v/>
      </c>
      <c r="T2801" s="15" t="str">
        <f>IF(OR(S2801="",D2801&lt;&gt;"Vastgesteld"),"",_xlfn.MAXIFS($G$6:$G$5005,$S$6:$S$5005,S2801,$D$6:$D$5005,"Vastgesteld"))</f>
        <v/>
      </c>
      <c r="U2801" s="15">
        <f>IF(T2801="",0,IF(AND(G2801=T2801,COUNTIFS($S$6:S2801,S2801,$G$6:G2801,G2801,$D$6:D2801,"Vastgesteld")=1),1,0))</f>
        <v>0</v>
      </c>
      <c r="V2801" s="15">
        <f>IF(T2801="",0,IF(AND(G2801=T2801,COUNTIFS($S$6:S2801,S2801,$G$6:G2801,G2801,$D$6:D2801,"Vastgesteld")&gt;1),1,0))</f>
        <v>0</v>
      </c>
    </row>
    <row r="2802">
      <c r="S2802" s="15" t="str">
        <f>IF(J2802="","",J2802&amp;"|"&amp;E2802&amp;"|"&amp;F2802&amp;"|"&amp;I2802&amp;"|"&amp;O2802)</f>
        <v/>
      </c>
      <c r="T2802" s="15" t="str">
        <f>IF(OR(S2802="",D2802&lt;&gt;"Vastgesteld"),"",_xlfn.MAXIFS($G$6:$G$5005,$S$6:$S$5005,S2802,$D$6:$D$5005,"Vastgesteld"))</f>
        <v/>
      </c>
      <c r="U2802" s="15">
        <f>IF(T2802="",0,IF(AND(G2802=T2802,COUNTIFS($S$6:S2802,S2802,$G$6:G2802,G2802,$D$6:D2802,"Vastgesteld")=1),1,0))</f>
        <v>0</v>
      </c>
      <c r="V2802" s="15">
        <f>IF(T2802="",0,IF(AND(G2802=T2802,COUNTIFS($S$6:S2802,S2802,$G$6:G2802,G2802,$D$6:D2802,"Vastgesteld")&gt;1),1,0))</f>
        <v>0</v>
      </c>
    </row>
    <row r="2803">
      <c r="S2803" s="15" t="str">
        <f>IF(J2803="","",J2803&amp;"|"&amp;E2803&amp;"|"&amp;F2803&amp;"|"&amp;I2803&amp;"|"&amp;O2803)</f>
        <v/>
      </c>
      <c r="T2803" s="15" t="str">
        <f>IF(OR(S2803="",D2803&lt;&gt;"Vastgesteld"),"",_xlfn.MAXIFS($G$6:$G$5005,$S$6:$S$5005,S2803,$D$6:$D$5005,"Vastgesteld"))</f>
        <v/>
      </c>
      <c r="U2803" s="15">
        <f>IF(T2803="",0,IF(AND(G2803=T2803,COUNTIFS($S$6:S2803,S2803,$G$6:G2803,G2803,$D$6:D2803,"Vastgesteld")=1),1,0))</f>
        <v>0</v>
      </c>
      <c r="V2803" s="15">
        <f>IF(T2803="",0,IF(AND(G2803=T2803,COUNTIFS($S$6:S2803,S2803,$G$6:G2803,G2803,$D$6:D2803,"Vastgesteld")&gt;1),1,0))</f>
        <v>0</v>
      </c>
    </row>
    <row r="2804">
      <c r="S2804" s="15" t="str">
        <f>IF(J2804="","",J2804&amp;"|"&amp;E2804&amp;"|"&amp;F2804&amp;"|"&amp;I2804&amp;"|"&amp;O2804)</f>
        <v/>
      </c>
      <c r="T2804" s="15" t="str">
        <f>IF(OR(S2804="",D2804&lt;&gt;"Vastgesteld"),"",_xlfn.MAXIFS($G$6:$G$5005,$S$6:$S$5005,S2804,$D$6:$D$5005,"Vastgesteld"))</f>
        <v/>
      </c>
      <c r="U2804" s="15">
        <f>IF(T2804="",0,IF(AND(G2804=T2804,COUNTIFS($S$6:S2804,S2804,$G$6:G2804,G2804,$D$6:D2804,"Vastgesteld")=1),1,0))</f>
        <v>0</v>
      </c>
      <c r="V2804" s="15">
        <f>IF(T2804="",0,IF(AND(G2804=T2804,COUNTIFS($S$6:S2804,S2804,$G$6:G2804,G2804,$D$6:D2804,"Vastgesteld")&gt;1),1,0))</f>
        <v>0</v>
      </c>
    </row>
    <row r="2805">
      <c r="S2805" s="15" t="str">
        <f>IF(J2805="","",J2805&amp;"|"&amp;E2805&amp;"|"&amp;F2805&amp;"|"&amp;I2805&amp;"|"&amp;O2805)</f>
        <v/>
      </c>
      <c r="T2805" s="15" t="str">
        <f>IF(OR(S2805="",D2805&lt;&gt;"Vastgesteld"),"",_xlfn.MAXIFS($G$6:$G$5005,$S$6:$S$5005,S2805,$D$6:$D$5005,"Vastgesteld"))</f>
        <v/>
      </c>
      <c r="U2805" s="15">
        <f>IF(T2805="",0,IF(AND(G2805=T2805,COUNTIFS($S$6:S2805,S2805,$G$6:G2805,G2805,$D$6:D2805,"Vastgesteld")=1),1,0))</f>
        <v>0</v>
      </c>
      <c r="V2805" s="15">
        <f>IF(T2805="",0,IF(AND(G2805=T2805,COUNTIFS($S$6:S2805,S2805,$G$6:G2805,G2805,$D$6:D2805,"Vastgesteld")&gt;1),1,0))</f>
        <v>0</v>
      </c>
    </row>
    <row r="2806">
      <c r="S2806" s="15" t="str">
        <f>IF(J2806="","",J2806&amp;"|"&amp;E2806&amp;"|"&amp;F2806&amp;"|"&amp;I2806&amp;"|"&amp;O2806)</f>
        <v/>
      </c>
      <c r="T2806" s="15" t="str">
        <f>IF(OR(S2806="",D2806&lt;&gt;"Vastgesteld"),"",_xlfn.MAXIFS($G$6:$G$5005,$S$6:$S$5005,S2806,$D$6:$D$5005,"Vastgesteld"))</f>
        <v/>
      </c>
      <c r="U2806" s="15">
        <f>IF(T2806="",0,IF(AND(G2806=T2806,COUNTIFS($S$6:S2806,S2806,$G$6:G2806,G2806,$D$6:D2806,"Vastgesteld")=1),1,0))</f>
        <v>0</v>
      </c>
      <c r="V2806" s="15">
        <f>IF(T2806="",0,IF(AND(G2806=T2806,COUNTIFS($S$6:S2806,S2806,$G$6:G2806,G2806,$D$6:D2806,"Vastgesteld")&gt;1),1,0))</f>
        <v>0</v>
      </c>
    </row>
    <row r="2807">
      <c r="S2807" s="15" t="str">
        <f>IF(J2807="","",J2807&amp;"|"&amp;E2807&amp;"|"&amp;F2807&amp;"|"&amp;I2807&amp;"|"&amp;O2807)</f>
        <v/>
      </c>
      <c r="T2807" s="15" t="str">
        <f>IF(OR(S2807="",D2807&lt;&gt;"Vastgesteld"),"",_xlfn.MAXIFS($G$6:$G$5005,$S$6:$S$5005,S2807,$D$6:$D$5005,"Vastgesteld"))</f>
        <v/>
      </c>
      <c r="U2807" s="15">
        <f>IF(T2807="",0,IF(AND(G2807=T2807,COUNTIFS($S$6:S2807,S2807,$G$6:G2807,G2807,$D$6:D2807,"Vastgesteld")=1),1,0))</f>
        <v>0</v>
      </c>
      <c r="V2807" s="15">
        <f>IF(T2807="",0,IF(AND(G2807=T2807,COUNTIFS($S$6:S2807,S2807,$G$6:G2807,G2807,$D$6:D2807,"Vastgesteld")&gt;1),1,0))</f>
        <v>0</v>
      </c>
    </row>
    <row r="2808">
      <c r="S2808" s="15" t="str">
        <f>IF(J2808="","",J2808&amp;"|"&amp;E2808&amp;"|"&amp;F2808&amp;"|"&amp;I2808&amp;"|"&amp;O2808)</f>
        <v/>
      </c>
      <c r="T2808" s="15" t="str">
        <f>IF(OR(S2808="",D2808&lt;&gt;"Vastgesteld"),"",_xlfn.MAXIFS($G$6:$G$5005,$S$6:$S$5005,S2808,$D$6:$D$5005,"Vastgesteld"))</f>
        <v/>
      </c>
      <c r="U2808" s="15">
        <f>IF(T2808="",0,IF(AND(G2808=T2808,COUNTIFS($S$6:S2808,S2808,$G$6:G2808,G2808,$D$6:D2808,"Vastgesteld")=1),1,0))</f>
        <v>0</v>
      </c>
      <c r="V2808" s="15">
        <f>IF(T2808="",0,IF(AND(G2808=T2808,COUNTIFS($S$6:S2808,S2808,$G$6:G2808,G2808,$D$6:D2808,"Vastgesteld")&gt;1),1,0))</f>
        <v>0</v>
      </c>
    </row>
    <row r="2809">
      <c r="S2809" s="15" t="str">
        <f>IF(J2809="","",J2809&amp;"|"&amp;E2809&amp;"|"&amp;F2809&amp;"|"&amp;I2809&amp;"|"&amp;O2809)</f>
        <v/>
      </c>
      <c r="T2809" s="15" t="str">
        <f>IF(OR(S2809="",D2809&lt;&gt;"Vastgesteld"),"",_xlfn.MAXIFS($G$6:$G$5005,$S$6:$S$5005,S2809,$D$6:$D$5005,"Vastgesteld"))</f>
        <v/>
      </c>
      <c r="U2809" s="15">
        <f>IF(T2809="",0,IF(AND(G2809=T2809,COUNTIFS($S$6:S2809,S2809,$G$6:G2809,G2809,$D$6:D2809,"Vastgesteld")=1),1,0))</f>
        <v>0</v>
      </c>
      <c r="V2809" s="15">
        <f>IF(T2809="",0,IF(AND(G2809=T2809,COUNTIFS($S$6:S2809,S2809,$G$6:G2809,G2809,$D$6:D2809,"Vastgesteld")&gt;1),1,0))</f>
        <v>0</v>
      </c>
    </row>
    <row r="2810">
      <c r="S2810" s="15" t="str">
        <f>IF(J2810="","",J2810&amp;"|"&amp;E2810&amp;"|"&amp;F2810&amp;"|"&amp;I2810&amp;"|"&amp;O2810)</f>
        <v/>
      </c>
      <c r="T2810" s="15" t="str">
        <f>IF(OR(S2810="",D2810&lt;&gt;"Vastgesteld"),"",_xlfn.MAXIFS($G$6:$G$5005,$S$6:$S$5005,S2810,$D$6:$D$5005,"Vastgesteld"))</f>
        <v/>
      </c>
      <c r="U2810" s="15">
        <f>IF(T2810="",0,IF(AND(G2810=T2810,COUNTIFS($S$6:S2810,S2810,$G$6:G2810,G2810,$D$6:D2810,"Vastgesteld")=1),1,0))</f>
        <v>0</v>
      </c>
      <c r="V2810" s="15">
        <f>IF(T2810="",0,IF(AND(G2810=T2810,COUNTIFS($S$6:S2810,S2810,$G$6:G2810,G2810,$D$6:D2810,"Vastgesteld")&gt;1),1,0))</f>
        <v>0</v>
      </c>
    </row>
    <row r="2811">
      <c r="S2811" s="15" t="str">
        <f>IF(J2811="","",J2811&amp;"|"&amp;E2811&amp;"|"&amp;F2811&amp;"|"&amp;I2811&amp;"|"&amp;O2811)</f>
        <v/>
      </c>
      <c r="T2811" s="15" t="str">
        <f>IF(OR(S2811="",D2811&lt;&gt;"Vastgesteld"),"",_xlfn.MAXIFS($G$6:$G$5005,$S$6:$S$5005,S2811,$D$6:$D$5005,"Vastgesteld"))</f>
        <v/>
      </c>
      <c r="U2811" s="15">
        <f>IF(T2811="",0,IF(AND(G2811=T2811,COUNTIFS($S$6:S2811,S2811,$G$6:G2811,G2811,$D$6:D2811,"Vastgesteld")=1),1,0))</f>
        <v>0</v>
      </c>
      <c r="V2811" s="15">
        <f>IF(T2811="",0,IF(AND(G2811=T2811,COUNTIFS($S$6:S2811,S2811,$G$6:G2811,G2811,$D$6:D2811,"Vastgesteld")&gt;1),1,0))</f>
        <v>0</v>
      </c>
    </row>
    <row r="2812">
      <c r="S2812" s="15" t="str">
        <f>IF(J2812="","",J2812&amp;"|"&amp;E2812&amp;"|"&amp;F2812&amp;"|"&amp;I2812&amp;"|"&amp;O2812)</f>
        <v/>
      </c>
      <c r="T2812" s="15" t="str">
        <f>IF(OR(S2812="",D2812&lt;&gt;"Vastgesteld"),"",_xlfn.MAXIFS($G$6:$G$5005,$S$6:$S$5005,S2812,$D$6:$D$5005,"Vastgesteld"))</f>
        <v/>
      </c>
      <c r="U2812" s="15">
        <f>IF(T2812="",0,IF(AND(G2812=T2812,COUNTIFS($S$6:S2812,S2812,$G$6:G2812,G2812,$D$6:D2812,"Vastgesteld")=1),1,0))</f>
        <v>0</v>
      </c>
      <c r="V2812" s="15">
        <f>IF(T2812="",0,IF(AND(G2812=T2812,COUNTIFS($S$6:S2812,S2812,$G$6:G2812,G2812,$D$6:D2812,"Vastgesteld")&gt;1),1,0))</f>
        <v>0</v>
      </c>
    </row>
    <row r="2813">
      <c r="S2813" s="15" t="str">
        <f>IF(J2813="","",J2813&amp;"|"&amp;E2813&amp;"|"&amp;F2813&amp;"|"&amp;I2813&amp;"|"&amp;O2813)</f>
        <v/>
      </c>
      <c r="T2813" s="15" t="str">
        <f>IF(OR(S2813="",D2813&lt;&gt;"Vastgesteld"),"",_xlfn.MAXIFS($G$6:$G$5005,$S$6:$S$5005,S2813,$D$6:$D$5005,"Vastgesteld"))</f>
        <v/>
      </c>
      <c r="U2813" s="15">
        <f>IF(T2813="",0,IF(AND(G2813=T2813,COUNTIFS($S$6:S2813,S2813,$G$6:G2813,G2813,$D$6:D2813,"Vastgesteld")=1),1,0))</f>
        <v>0</v>
      </c>
      <c r="V2813" s="15">
        <f>IF(T2813="",0,IF(AND(G2813=T2813,COUNTIFS($S$6:S2813,S2813,$G$6:G2813,G2813,$D$6:D2813,"Vastgesteld")&gt;1),1,0))</f>
        <v>0</v>
      </c>
    </row>
    <row r="2814">
      <c r="S2814" s="15" t="str">
        <f>IF(J2814="","",J2814&amp;"|"&amp;E2814&amp;"|"&amp;F2814&amp;"|"&amp;I2814&amp;"|"&amp;O2814)</f>
        <v/>
      </c>
      <c r="T2814" s="15" t="str">
        <f>IF(OR(S2814="",D2814&lt;&gt;"Vastgesteld"),"",_xlfn.MAXIFS($G$6:$G$5005,$S$6:$S$5005,S2814,$D$6:$D$5005,"Vastgesteld"))</f>
        <v/>
      </c>
      <c r="U2814" s="15">
        <f>IF(T2814="",0,IF(AND(G2814=T2814,COUNTIFS($S$6:S2814,S2814,$G$6:G2814,G2814,$D$6:D2814,"Vastgesteld")=1),1,0))</f>
        <v>0</v>
      </c>
      <c r="V2814" s="15">
        <f>IF(T2814="",0,IF(AND(G2814=T2814,COUNTIFS($S$6:S2814,S2814,$G$6:G2814,G2814,$D$6:D2814,"Vastgesteld")&gt;1),1,0))</f>
        <v>0</v>
      </c>
    </row>
    <row r="2815">
      <c r="S2815" s="15" t="str">
        <f>IF(J2815="","",J2815&amp;"|"&amp;E2815&amp;"|"&amp;F2815&amp;"|"&amp;I2815&amp;"|"&amp;O2815)</f>
        <v/>
      </c>
      <c r="T2815" s="15" t="str">
        <f>IF(OR(S2815="",D2815&lt;&gt;"Vastgesteld"),"",_xlfn.MAXIFS($G$6:$G$5005,$S$6:$S$5005,S2815,$D$6:$D$5005,"Vastgesteld"))</f>
        <v/>
      </c>
      <c r="U2815" s="15">
        <f>IF(T2815="",0,IF(AND(G2815=T2815,COUNTIFS($S$6:S2815,S2815,$G$6:G2815,G2815,$D$6:D2815,"Vastgesteld")=1),1,0))</f>
        <v>0</v>
      </c>
      <c r="V2815" s="15">
        <f>IF(T2815="",0,IF(AND(G2815=T2815,COUNTIFS($S$6:S2815,S2815,$G$6:G2815,G2815,$D$6:D2815,"Vastgesteld")&gt;1),1,0))</f>
        <v>0</v>
      </c>
    </row>
    <row r="2816">
      <c r="S2816" s="15" t="str">
        <f>IF(J2816="","",J2816&amp;"|"&amp;E2816&amp;"|"&amp;F2816&amp;"|"&amp;I2816&amp;"|"&amp;O2816)</f>
        <v/>
      </c>
      <c r="T2816" s="15" t="str">
        <f>IF(OR(S2816="",D2816&lt;&gt;"Vastgesteld"),"",_xlfn.MAXIFS($G$6:$G$5005,$S$6:$S$5005,S2816,$D$6:$D$5005,"Vastgesteld"))</f>
        <v/>
      </c>
      <c r="U2816" s="15">
        <f>IF(T2816="",0,IF(AND(G2816=T2816,COUNTIFS($S$6:S2816,S2816,$G$6:G2816,G2816,$D$6:D2816,"Vastgesteld")=1),1,0))</f>
        <v>0</v>
      </c>
      <c r="V2816" s="15">
        <f>IF(T2816="",0,IF(AND(G2816=T2816,COUNTIFS($S$6:S2816,S2816,$G$6:G2816,G2816,$D$6:D2816,"Vastgesteld")&gt;1),1,0))</f>
        <v>0</v>
      </c>
    </row>
    <row r="2817">
      <c r="S2817" s="15" t="str">
        <f>IF(J2817="","",J2817&amp;"|"&amp;E2817&amp;"|"&amp;F2817&amp;"|"&amp;I2817&amp;"|"&amp;O2817)</f>
        <v/>
      </c>
      <c r="T2817" s="15" t="str">
        <f>IF(OR(S2817="",D2817&lt;&gt;"Vastgesteld"),"",_xlfn.MAXIFS($G$6:$G$5005,$S$6:$S$5005,S2817,$D$6:$D$5005,"Vastgesteld"))</f>
        <v/>
      </c>
      <c r="U2817" s="15">
        <f>IF(T2817="",0,IF(AND(G2817=T2817,COUNTIFS($S$6:S2817,S2817,$G$6:G2817,G2817,$D$6:D2817,"Vastgesteld")=1),1,0))</f>
        <v>0</v>
      </c>
      <c r="V2817" s="15">
        <f>IF(T2817="",0,IF(AND(G2817=T2817,COUNTIFS($S$6:S2817,S2817,$G$6:G2817,G2817,$D$6:D2817,"Vastgesteld")&gt;1),1,0))</f>
        <v>0</v>
      </c>
    </row>
    <row r="2818">
      <c r="S2818" s="15" t="str">
        <f>IF(J2818="","",J2818&amp;"|"&amp;E2818&amp;"|"&amp;F2818&amp;"|"&amp;I2818&amp;"|"&amp;O2818)</f>
        <v/>
      </c>
      <c r="T2818" s="15" t="str">
        <f>IF(OR(S2818="",D2818&lt;&gt;"Vastgesteld"),"",_xlfn.MAXIFS($G$6:$G$5005,$S$6:$S$5005,S2818,$D$6:$D$5005,"Vastgesteld"))</f>
        <v/>
      </c>
      <c r="U2818" s="15">
        <f>IF(T2818="",0,IF(AND(G2818=T2818,COUNTIFS($S$6:S2818,S2818,$G$6:G2818,G2818,$D$6:D2818,"Vastgesteld")=1),1,0))</f>
        <v>0</v>
      </c>
      <c r="V2818" s="15">
        <f>IF(T2818="",0,IF(AND(G2818=T2818,COUNTIFS($S$6:S2818,S2818,$G$6:G2818,G2818,$D$6:D2818,"Vastgesteld")&gt;1),1,0))</f>
        <v>0</v>
      </c>
    </row>
    <row r="2819">
      <c r="S2819" s="15" t="str">
        <f>IF(J2819="","",J2819&amp;"|"&amp;E2819&amp;"|"&amp;F2819&amp;"|"&amp;I2819&amp;"|"&amp;O2819)</f>
        <v/>
      </c>
      <c r="T2819" s="15" t="str">
        <f>IF(OR(S2819="",D2819&lt;&gt;"Vastgesteld"),"",_xlfn.MAXIFS($G$6:$G$5005,$S$6:$S$5005,S2819,$D$6:$D$5005,"Vastgesteld"))</f>
        <v/>
      </c>
      <c r="U2819" s="15">
        <f>IF(T2819="",0,IF(AND(G2819=T2819,COUNTIFS($S$6:S2819,S2819,$G$6:G2819,G2819,$D$6:D2819,"Vastgesteld")=1),1,0))</f>
        <v>0</v>
      </c>
      <c r="V2819" s="15">
        <f>IF(T2819="",0,IF(AND(G2819=T2819,COUNTIFS($S$6:S2819,S2819,$G$6:G2819,G2819,$D$6:D2819,"Vastgesteld")&gt;1),1,0))</f>
        <v>0</v>
      </c>
    </row>
    <row r="2820">
      <c r="S2820" s="15" t="str">
        <f>IF(J2820="","",J2820&amp;"|"&amp;E2820&amp;"|"&amp;F2820&amp;"|"&amp;I2820&amp;"|"&amp;O2820)</f>
        <v/>
      </c>
      <c r="T2820" s="15" t="str">
        <f>IF(OR(S2820="",D2820&lt;&gt;"Vastgesteld"),"",_xlfn.MAXIFS($G$6:$G$5005,$S$6:$S$5005,S2820,$D$6:$D$5005,"Vastgesteld"))</f>
        <v/>
      </c>
      <c r="U2820" s="15">
        <f>IF(T2820="",0,IF(AND(G2820=T2820,COUNTIFS($S$6:S2820,S2820,$G$6:G2820,G2820,$D$6:D2820,"Vastgesteld")=1),1,0))</f>
        <v>0</v>
      </c>
      <c r="V2820" s="15">
        <f>IF(T2820="",0,IF(AND(G2820=T2820,COUNTIFS($S$6:S2820,S2820,$G$6:G2820,G2820,$D$6:D2820,"Vastgesteld")&gt;1),1,0))</f>
        <v>0</v>
      </c>
    </row>
    <row r="2821">
      <c r="S2821" s="15" t="str">
        <f>IF(J2821="","",J2821&amp;"|"&amp;E2821&amp;"|"&amp;F2821&amp;"|"&amp;I2821&amp;"|"&amp;O2821)</f>
        <v/>
      </c>
      <c r="T2821" s="15" t="str">
        <f>IF(OR(S2821="",D2821&lt;&gt;"Vastgesteld"),"",_xlfn.MAXIFS($G$6:$G$5005,$S$6:$S$5005,S2821,$D$6:$D$5005,"Vastgesteld"))</f>
        <v/>
      </c>
      <c r="U2821" s="15">
        <f>IF(T2821="",0,IF(AND(G2821=T2821,COUNTIFS($S$6:S2821,S2821,$G$6:G2821,G2821,$D$6:D2821,"Vastgesteld")=1),1,0))</f>
        <v>0</v>
      </c>
      <c r="V2821" s="15">
        <f>IF(T2821="",0,IF(AND(G2821=T2821,COUNTIFS($S$6:S2821,S2821,$G$6:G2821,G2821,$D$6:D2821,"Vastgesteld")&gt;1),1,0))</f>
        <v>0</v>
      </c>
    </row>
    <row r="2822">
      <c r="S2822" s="15" t="str">
        <f>IF(J2822="","",J2822&amp;"|"&amp;E2822&amp;"|"&amp;F2822&amp;"|"&amp;I2822&amp;"|"&amp;O2822)</f>
        <v/>
      </c>
      <c r="T2822" s="15" t="str">
        <f>IF(OR(S2822="",D2822&lt;&gt;"Vastgesteld"),"",_xlfn.MAXIFS($G$6:$G$5005,$S$6:$S$5005,S2822,$D$6:$D$5005,"Vastgesteld"))</f>
        <v/>
      </c>
      <c r="U2822" s="15">
        <f>IF(T2822="",0,IF(AND(G2822=T2822,COUNTIFS($S$6:S2822,S2822,$G$6:G2822,G2822,$D$6:D2822,"Vastgesteld")=1),1,0))</f>
        <v>0</v>
      </c>
      <c r="V2822" s="15">
        <f>IF(T2822="",0,IF(AND(G2822=T2822,COUNTIFS($S$6:S2822,S2822,$G$6:G2822,G2822,$D$6:D2822,"Vastgesteld")&gt;1),1,0))</f>
        <v>0</v>
      </c>
    </row>
    <row r="2823">
      <c r="S2823" s="15" t="str">
        <f>IF(J2823="","",J2823&amp;"|"&amp;E2823&amp;"|"&amp;F2823&amp;"|"&amp;I2823&amp;"|"&amp;O2823)</f>
        <v/>
      </c>
      <c r="T2823" s="15" t="str">
        <f>IF(OR(S2823="",D2823&lt;&gt;"Vastgesteld"),"",_xlfn.MAXIFS($G$6:$G$5005,$S$6:$S$5005,S2823,$D$6:$D$5005,"Vastgesteld"))</f>
        <v/>
      </c>
      <c r="U2823" s="15">
        <f>IF(T2823="",0,IF(AND(G2823=T2823,COUNTIFS($S$6:S2823,S2823,$G$6:G2823,G2823,$D$6:D2823,"Vastgesteld")=1),1,0))</f>
        <v>0</v>
      </c>
      <c r="V2823" s="15">
        <f>IF(T2823="",0,IF(AND(G2823=T2823,COUNTIFS($S$6:S2823,S2823,$G$6:G2823,G2823,$D$6:D2823,"Vastgesteld")&gt;1),1,0))</f>
        <v>0</v>
      </c>
    </row>
    <row r="2824">
      <c r="S2824" s="15" t="str">
        <f>IF(J2824="","",J2824&amp;"|"&amp;E2824&amp;"|"&amp;F2824&amp;"|"&amp;I2824&amp;"|"&amp;O2824)</f>
        <v/>
      </c>
      <c r="T2824" s="15" t="str">
        <f>IF(OR(S2824="",D2824&lt;&gt;"Vastgesteld"),"",_xlfn.MAXIFS($G$6:$G$5005,$S$6:$S$5005,S2824,$D$6:$D$5005,"Vastgesteld"))</f>
        <v/>
      </c>
      <c r="U2824" s="15">
        <f>IF(T2824="",0,IF(AND(G2824=T2824,COUNTIFS($S$6:S2824,S2824,$G$6:G2824,G2824,$D$6:D2824,"Vastgesteld")=1),1,0))</f>
        <v>0</v>
      </c>
      <c r="V2824" s="15">
        <f>IF(T2824="",0,IF(AND(G2824=T2824,COUNTIFS($S$6:S2824,S2824,$G$6:G2824,G2824,$D$6:D2824,"Vastgesteld")&gt;1),1,0))</f>
        <v>0</v>
      </c>
    </row>
    <row r="2825">
      <c r="S2825" s="15" t="str">
        <f>IF(J2825="","",J2825&amp;"|"&amp;E2825&amp;"|"&amp;F2825&amp;"|"&amp;I2825&amp;"|"&amp;O2825)</f>
        <v/>
      </c>
      <c r="T2825" s="15" t="str">
        <f>IF(OR(S2825="",D2825&lt;&gt;"Vastgesteld"),"",_xlfn.MAXIFS($G$6:$G$5005,$S$6:$S$5005,S2825,$D$6:$D$5005,"Vastgesteld"))</f>
        <v/>
      </c>
      <c r="U2825" s="15">
        <f>IF(T2825="",0,IF(AND(G2825=T2825,COUNTIFS($S$6:S2825,S2825,$G$6:G2825,G2825,$D$6:D2825,"Vastgesteld")=1),1,0))</f>
        <v>0</v>
      </c>
      <c r="V2825" s="15">
        <f>IF(T2825="",0,IF(AND(G2825=T2825,COUNTIFS($S$6:S2825,S2825,$G$6:G2825,G2825,$D$6:D2825,"Vastgesteld")&gt;1),1,0))</f>
        <v>0</v>
      </c>
    </row>
    <row r="2826">
      <c r="S2826" s="15" t="str">
        <f>IF(J2826="","",J2826&amp;"|"&amp;E2826&amp;"|"&amp;F2826&amp;"|"&amp;I2826&amp;"|"&amp;O2826)</f>
        <v/>
      </c>
      <c r="T2826" s="15" t="str">
        <f>IF(OR(S2826="",D2826&lt;&gt;"Vastgesteld"),"",_xlfn.MAXIFS($G$6:$G$5005,$S$6:$S$5005,S2826,$D$6:$D$5005,"Vastgesteld"))</f>
        <v/>
      </c>
      <c r="U2826" s="15">
        <f>IF(T2826="",0,IF(AND(G2826=T2826,COUNTIFS($S$6:S2826,S2826,$G$6:G2826,G2826,$D$6:D2826,"Vastgesteld")=1),1,0))</f>
        <v>0</v>
      </c>
      <c r="V2826" s="15">
        <f>IF(T2826="",0,IF(AND(G2826=T2826,COUNTIFS($S$6:S2826,S2826,$G$6:G2826,G2826,$D$6:D2826,"Vastgesteld")&gt;1),1,0))</f>
        <v>0</v>
      </c>
    </row>
    <row r="2827">
      <c r="S2827" s="15" t="str">
        <f>IF(J2827="","",J2827&amp;"|"&amp;E2827&amp;"|"&amp;F2827&amp;"|"&amp;I2827&amp;"|"&amp;O2827)</f>
        <v/>
      </c>
      <c r="T2827" s="15" t="str">
        <f>IF(OR(S2827="",D2827&lt;&gt;"Vastgesteld"),"",_xlfn.MAXIFS($G$6:$G$5005,$S$6:$S$5005,S2827,$D$6:$D$5005,"Vastgesteld"))</f>
        <v/>
      </c>
      <c r="U2827" s="15">
        <f>IF(T2827="",0,IF(AND(G2827=T2827,COUNTIFS($S$6:S2827,S2827,$G$6:G2827,G2827,$D$6:D2827,"Vastgesteld")=1),1,0))</f>
        <v>0</v>
      </c>
      <c r="V2827" s="15">
        <f>IF(T2827="",0,IF(AND(G2827=T2827,COUNTIFS($S$6:S2827,S2827,$G$6:G2827,G2827,$D$6:D2827,"Vastgesteld")&gt;1),1,0))</f>
        <v>0</v>
      </c>
    </row>
    <row r="2828">
      <c r="S2828" s="15" t="str">
        <f>IF(J2828="","",J2828&amp;"|"&amp;E2828&amp;"|"&amp;F2828&amp;"|"&amp;I2828&amp;"|"&amp;O2828)</f>
        <v/>
      </c>
      <c r="T2828" s="15" t="str">
        <f>IF(OR(S2828="",D2828&lt;&gt;"Vastgesteld"),"",_xlfn.MAXIFS($G$6:$G$5005,$S$6:$S$5005,S2828,$D$6:$D$5005,"Vastgesteld"))</f>
        <v/>
      </c>
      <c r="U2828" s="15">
        <f>IF(T2828="",0,IF(AND(G2828=T2828,COUNTIFS($S$6:S2828,S2828,$G$6:G2828,G2828,$D$6:D2828,"Vastgesteld")=1),1,0))</f>
        <v>0</v>
      </c>
      <c r="V2828" s="15">
        <f>IF(T2828="",0,IF(AND(G2828=T2828,COUNTIFS($S$6:S2828,S2828,$G$6:G2828,G2828,$D$6:D2828,"Vastgesteld")&gt;1),1,0))</f>
        <v>0</v>
      </c>
    </row>
    <row r="2829">
      <c r="S2829" s="15" t="str">
        <f>IF(J2829="","",J2829&amp;"|"&amp;E2829&amp;"|"&amp;F2829&amp;"|"&amp;I2829&amp;"|"&amp;O2829)</f>
        <v/>
      </c>
      <c r="T2829" s="15" t="str">
        <f>IF(OR(S2829="",D2829&lt;&gt;"Vastgesteld"),"",_xlfn.MAXIFS($G$6:$G$5005,$S$6:$S$5005,S2829,$D$6:$D$5005,"Vastgesteld"))</f>
        <v/>
      </c>
      <c r="U2829" s="15">
        <f>IF(T2829="",0,IF(AND(G2829=T2829,COUNTIFS($S$6:S2829,S2829,$G$6:G2829,G2829,$D$6:D2829,"Vastgesteld")=1),1,0))</f>
        <v>0</v>
      </c>
      <c r="V2829" s="15">
        <f>IF(T2829="",0,IF(AND(G2829=T2829,COUNTIFS($S$6:S2829,S2829,$G$6:G2829,G2829,$D$6:D2829,"Vastgesteld")&gt;1),1,0))</f>
        <v>0</v>
      </c>
    </row>
    <row r="2830">
      <c r="S2830" s="15" t="str">
        <f>IF(J2830="","",J2830&amp;"|"&amp;E2830&amp;"|"&amp;F2830&amp;"|"&amp;I2830&amp;"|"&amp;O2830)</f>
        <v/>
      </c>
      <c r="T2830" s="15" t="str">
        <f>IF(OR(S2830="",D2830&lt;&gt;"Vastgesteld"),"",_xlfn.MAXIFS($G$6:$G$5005,$S$6:$S$5005,S2830,$D$6:$D$5005,"Vastgesteld"))</f>
        <v/>
      </c>
      <c r="U2830" s="15">
        <f>IF(T2830="",0,IF(AND(G2830=T2830,COUNTIFS($S$6:S2830,S2830,$G$6:G2830,G2830,$D$6:D2830,"Vastgesteld")=1),1,0))</f>
        <v>0</v>
      </c>
      <c r="V2830" s="15">
        <f>IF(T2830="",0,IF(AND(G2830=T2830,COUNTIFS($S$6:S2830,S2830,$G$6:G2830,G2830,$D$6:D2830,"Vastgesteld")&gt;1),1,0))</f>
        <v>0</v>
      </c>
    </row>
    <row r="2831">
      <c r="S2831" s="15" t="str">
        <f>IF(J2831="","",J2831&amp;"|"&amp;E2831&amp;"|"&amp;F2831&amp;"|"&amp;I2831&amp;"|"&amp;O2831)</f>
        <v/>
      </c>
      <c r="T2831" s="15" t="str">
        <f>IF(OR(S2831="",D2831&lt;&gt;"Vastgesteld"),"",_xlfn.MAXIFS($G$6:$G$5005,$S$6:$S$5005,S2831,$D$6:$D$5005,"Vastgesteld"))</f>
        <v/>
      </c>
      <c r="U2831" s="15">
        <f>IF(T2831="",0,IF(AND(G2831=T2831,COUNTIFS($S$6:S2831,S2831,$G$6:G2831,G2831,$D$6:D2831,"Vastgesteld")=1),1,0))</f>
        <v>0</v>
      </c>
      <c r="V2831" s="15">
        <f>IF(T2831="",0,IF(AND(G2831=T2831,COUNTIFS($S$6:S2831,S2831,$G$6:G2831,G2831,$D$6:D2831,"Vastgesteld")&gt;1),1,0))</f>
        <v>0</v>
      </c>
    </row>
    <row r="2832">
      <c r="S2832" s="15" t="str">
        <f>IF(J2832="","",J2832&amp;"|"&amp;E2832&amp;"|"&amp;F2832&amp;"|"&amp;I2832&amp;"|"&amp;O2832)</f>
        <v/>
      </c>
      <c r="T2832" s="15" t="str">
        <f>IF(OR(S2832="",D2832&lt;&gt;"Vastgesteld"),"",_xlfn.MAXIFS($G$6:$G$5005,$S$6:$S$5005,S2832,$D$6:$D$5005,"Vastgesteld"))</f>
        <v/>
      </c>
      <c r="U2832" s="15">
        <f>IF(T2832="",0,IF(AND(G2832=T2832,COUNTIFS($S$6:S2832,S2832,$G$6:G2832,G2832,$D$6:D2832,"Vastgesteld")=1),1,0))</f>
        <v>0</v>
      </c>
      <c r="V2832" s="15">
        <f>IF(T2832="",0,IF(AND(G2832=T2832,COUNTIFS($S$6:S2832,S2832,$G$6:G2832,G2832,$D$6:D2832,"Vastgesteld")&gt;1),1,0))</f>
        <v>0</v>
      </c>
    </row>
    <row r="2833">
      <c r="S2833" s="15" t="str">
        <f>IF(J2833="","",J2833&amp;"|"&amp;E2833&amp;"|"&amp;F2833&amp;"|"&amp;I2833&amp;"|"&amp;O2833)</f>
        <v/>
      </c>
      <c r="T2833" s="15" t="str">
        <f>IF(OR(S2833="",D2833&lt;&gt;"Vastgesteld"),"",_xlfn.MAXIFS($G$6:$G$5005,$S$6:$S$5005,S2833,$D$6:$D$5005,"Vastgesteld"))</f>
        <v/>
      </c>
      <c r="U2833" s="15">
        <f>IF(T2833="",0,IF(AND(G2833=T2833,COUNTIFS($S$6:S2833,S2833,$G$6:G2833,G2833,$D$6:D2833,"Vastgesteld")=1),1,0))</f>
        <v>0</v>
      </c>
      <c r="V2833" s="15">
        <f>IF(T2833="",0,IF(AND(G2833=T2833,COUNTIFS($S$6:S2833,S2833,$G$6:G2833,G2833,$D$6:D2833,"Vastgesteld")&gt;1),1,0))</f>
        <v>0</v>
      </c>
    </row>
    <row r="2834">
      <c r="S2834" s="15" t="str">
        <f>IF(J2834="","",J2834&amp;"|"&amp;E2834&amp;"|"&amp;F2834&amp;"|"&amp;I2834&amp;"|"&amp;O2834)</f>
        <v/>
      </c>
      <c r="T2834" s="15" t="str">
        <f>IF(OR(S2834="",D2834&lt;&gt;"Vastgesteld"),"",_xlfn.MAXIFS($G$6:$G$5005,$S$6:$S$5005,S2834,$D$6:$D$5005,"Vastgesteld"))</f>
        <v/>
      </c>
      <c r="U2834" s="15">
        <f>IF(T2834="",0,IF(AND(G2834=T2834,COUNTIFS($S$6:S2834,S2834,$G$6:G2834,G2834,$D$6:D2834,"Vastgesteld")=1),1,0))</f>
        <v>0</v>
      </c>
      <c r="V2834" s="15">
        <f>IF(T2834="",0,IF(AND(G2834=T2834,COUNTIFS($S$6:S2834,S2834,$G$6:G2834,G2834,$D$6:D2834,"Vastgesteld")&gt;1),1,0))</f>
        <v>0</v>
      </c>
    </row>
    <row r="2835">
      <c r="S2835" s="15" t="str">
        <f>IF(J2835="","",J2835&amp;"|"&amp;E2835&amp;"|"&amp;F2835&amp;"|"&amp;I2835&amp;"|"&amp;O2835)</f>
        <v/>
      </c>
      <c r="T2835" s="15" t="str">
        <f>IF(OR(S2835="",D2835&lt;&gt;"Vastgesteld"),"",_xlfn.MAXIFS($G$6:$G$5005,$S$6:$S$5005,S2835,$D$6:$D$5005,"Vastgesteld"))</f>
        <v/>
      </c>
      <c r="U2835" s="15">
        <f>IF(T2835="",0,IF(AND(G2835=T2835,COUNTIFS($S$6:S2835,S2835,$G$6:G2835,G2835,$D$6:D2835,"Vastgesteld")=1),1,0))</f>
        <v>0</v>
      </c>
      <c r="V2835" s="15">
        <f>IF(T2835="",0,IF(AND(G2835=T2835,COUNTIFS($S$6:S2835,S2835,$G$6:G2835,G2835,$D$6:D2835,"Vastgesteld")&gt;1),1,0))</f>
        <v>0</v>
      </c>
    </row>
    <row r="2836">
      <c r="S2836" s="15" t="str">
        <f>IF(J2836="","",J2836&amp;"|"&amp;E2836&amp;"|"&amp;F2836&amp;"|"&amp;I2836&amp;"|"&amp;O2836)</f>
        <v/>
      </c>
      <c r="T2836" s="15" t="str">
        <f>IF(OR(S2836="",D2836&lt;&gt;"Vastgesteld"),"",_xlfn.MAXIFS($G$6:$G$5005,$S$6:$S$5005,S2836,$D$6:$D$5005,"Vastgesteld"))</f>
        <v/>
      </c>
      <c r="U2836" s="15">
        <f>IF(T2836="",0,IF(AND(G2836=T2836,COUNTIFS($S$6:S2836,S2836,$G$6:G2836,G2836,$D$6:D2836,"Vastgesteld")=1),1,0))</f>
        <v>0</v>
      </c>
      <c r="V2836" s="15">
        <f>IF(T2836="",0,IF(AND(G2836=T2836,COUNTIFS($S$6:S2836,S2836,$G$6:G2836,G2836,$D$6:D2836,"Vastgesteld")&gt;1),1,0))</f>
        <v>0</v>
      </c>
    </row>
    <row r="2837">
      <c r="S2837" s="15" t="str">
        <f>IF(J2837="","",J2837&amp;"|"&amp;E2837&amp;"|"&amp;F2837&amp;"|"&amp;I2837&amp;"|"&amp;O2837)</f>
        <v/>
      </c>
      <c r="T2837" s="15" t="str">
        <f>IF(OR(S2837="",D2837&lt;&gt;"Vastgesteld"),"",_xlfn.MAXIFS($G$6:$G$5005,$S$6:$S$5005,S2837,$D$6:$D$5005,"Vastgesteld"))</f>
        <v/>
      </c>
      <c r="U2837" s="15">
        <f>IF(T2837="",0,IF(AND(G2837=T2837,COUNTIFS($S$6:S2837,S2837,$G$6:G2837,G2837,$D$6:D2837,"Vastgesteld")=1),1,0))</f>
        <v>0</v>
      </c>
      <c r="V2837" s="15">
        <f>IF(T2837="",0,IF(AND(G2837=T2837,COUNTIFS($S$6:S2837,S2837,$G$6:G2837,G2837,$D$6:D2837,"Vastgesteld")&gt;1),1,0))</f>
        <v>0</v>
      </c>
    </row>
    <row r="2838">
      <c r="S2838" s="15" t="str">
        <f>IF(J2838="","",J2838&amp;"|"&amp;E2838&amp;"|"&amp;F2838&amp;"|"&amp;I2838&amp;"|"&amp;O2838)</f>
        <v/>
      </c>
      <c r="T2838" s="15" t="str">
        <f>IF(OR(S2838="",D2838&lt;&gt;"Vastgesteld"),"",_xlfn.MAXIFS($G$6:$G$5005,$S$6:$S$5005,S2838,$D$6:$D$5005,"Vastgesteld"))</f>
        <v/>
      </c>
      <c r="U2838" s="15">
        <f>IF(T2838="",0,IF(AND(G2838=T2838,COUNTIFS($S$6:S2838,S2838,$G$6:G2838,G2838,$D$6:D2838,"Vastgesteld")=1),1,0))</f>
        <v>0</v>
      </c>
      <c r="V2838" s="15">
        <f>IF(T2838="",0,IF(AND(G2838=T2838,COUNTIFS($S$6:S2838,S2838,$G$6:G2838,G2838,$D$6:D2838,"Vastgesteld")&gt;1),1,0))</f>
        <v>0</v>
      </c>
    </row>
    <row r="2839">
      <c r="S2839" s="15" t="str">
        <f>IF(J2839="","",J2839&amp;"|"&amp;E2839&amp;"|"&amp;F2839&amp;"|"&amp;I2839&amp;"|"&amp;O2839)</f>
        <v/>
      </c>
      <c r="T2839" s="15" t="str">
        <f>IF(OR(S2839="",D2839&lt;&gt;"Vastgesteld"),"",_xlfn.MAXIFS($G$6:$G$5005,$S$6:$S$5005,S2839,$D$6:$D$5005,"Vastgesteld"))</f>
        <v/>
      </c>
      <c r="U2839" s="15">
        <f>IF(T2839="",0,IF(AND(G2839=T2839,COUNTIFS($S$6:S2839,S2839,$G$6:G2839,G2839,$D$6:D2839,"Vastgesteld")=1),1,0))</f>
        <v>0</v>
      </c>
      <c r="V2839" s="15">
        <f>IF(T2839="",0,IF(AND(G2839=T2839,COUNTIFS($S$6:S2839,S2839,$G$6:G2839,G2839,$D$6:D2839,"Vastgesteld")&gt;1),1,0))</f>
        <v>0</v>
      </c>
    </row>
    <row r="2840">
      <c r="S2840" s="15" t="str">
        <f>IF(J2840="","",J2840&amp;"|"&amp;E2840&amp;"|"&amp;F2840&amp;"|"&amp;I2840&amp;"|"&amp;O2840)</f>
        <v/>
      </c>
      <c r="T2840" s="15" t="str">
        <f>IF(OR(S2840="",D2840&lt;&gt;"Vastgesteld"),"",_xlfn.MAXIFS($G$6:$G$5005,$S$6:$S$5005,S2840,$D$6:$D$5005,"Vastgesteld"))</f>
        <v/>
      </c>
      <c r="U2840" s="15">
        <f>IF(T2840="",0,IF(AND(G2840=T2840,COUNTIFS($S$6:S2840,S2840,$G$6:G2840,G2840,$D$6:D2840,"Vastgesteld")=1),1,0))</f>
        <v>0</v>
      </c>
      <c r="V2840" s="15">
        <f>IF(T2840="",0,IF(AND(G2840=T2840,COUNTIFS($S$6:S2840,S2840,$G$6:G2840,G2840,$D$6:D2840,"Vastgesteld")&gt;1),1,0))</f>
        <v>0</v>
      </c>
    </row>
    <row r="2841">
      <c r="S2841" s="15" t="str">
        <f>IF(J2841="","",J2841&amp;"|"&amp;E2841&amp;"|"&amp;F2841&amp;"|"&amp;I2841&amp;"|"&amp;O2841)</f>
        <v/>
      </c>
      <c r="T2841" s="15" t="str">
        <f>IF(OR(S2841="",D2841&lt;&gt;"Vastgesteld"),"",_xlfn.MAXIFS($G$6:$G$5005,$S$6:$S$5005,S2841,$D$6:$D$5005,"Vastgesteld"))</f>
        <v/>
      </c>
      <c r="U2841" s="15">
        <f>IF(T2841="",0,IF(AND(G2841=T2841,COUNTIFS($S$6:S2841,S2841,$G$6:G2841,G2841,$D$6:D2841,"Vastgesteld")=1),1,0))</f>
        <v>0</v>
      </c>
      <c r="V2841" s="15">
        <f>IF(T2841="",0,IF(AND(G2841=T2841,COUNTIFS($S$6:S2841,S2841,$G$6:G2841,G2841,$D$6:D2841,"Vastgesteld")&gt;1),1,0))</f>
        <v>0</v>
      </c>
    </row>
    <row r="2842">
      <c r="S2842" s="15" t="str">
        <f>IF(J2842="","",J2842&amp;"|"&amp;E2842&amp;"|"&amp;F2842&amp;"|"&amp;I2842&amp;"|"&amp;O2842)</f>
        <v/>
      </c>
      <c r="T2842" s="15" t="str">
        <f>IF(OR(S2842="",D2842&lt;&gt;"Vastgesteld"),"",_xlfn.MAXIFS($G$6:$G$5005,$S$6:$S$5005,S2842,$D$6:$D$5005,"Vastgesteld"))</f>
        <v/>
      </c>
      <c r="U2842" s="15">
        <f>IF(T2842="",0,IF(AND(G2842=T2842,COUNTIFS($S$6:S2842,S2842,$G$6:G2842,G2842,$D$6:D2842,"Vastgesteld")=1),1,0))</f>
        <v>0</v>
      </c>
      <c r="V2842" s="15">
        <f>IF(T2842="",0,IF(AND(G2842=T2842,COUNTIFS($S$6:S2842,S2842,$G$6:G2842,G2842,$D$6:D2842,"Vastgesteld")&gt;1),1,0))</f>
        <v>0</v>
      </c>
    </row>
    <row r="2843">
      <c r="S2843" s="15" t="str">
        <f>IF(J2843="","",J2843&amp;"|"&amp;E2843&amp;"|"&amp;F2843&amp;"|"&amp;I2843&amp;"|"&amp;O2843)</f>
        <v/>
      </c>
      <c r="T2843" s="15" t="str">
        <f>IF(OR(S2843="",D2843&lt;&gt;"Vastgesteld"),"",_xlfn.MAXIFS($G$6:$G$5005,$S$6:$S$5005,S2843,$D$6:$D$5005,"Vastgesteld"))</f>
        <v/>
      </c>
      <c r="U2843" s="15">
        <f>IF(T2843="",0,IF(AND(G2843=T2843,COUNTIFS($S$6:S2843,S2843,$G$6:G2843,G2843,$D$6:D2843,"Vastgesteld")=1),1,0))</f>
        <v>0</v>
      </c>
      <c r="V2843" s="15">
        <f>IF(T2843="",0,IF(AND(G2843=T2843,COUNTIFS($S$6:S2843,S2843,$G$6:G2843,G2843,$D$6:D2843,"Vastgesteld")&gt;1),1,0))</f>
        <v>0</v>
      </c>
    </row>
    <row r="2844">
      <c r="S2844" s="15" t="str">
        <f>IF(J2844="","",J2844&amp;"|"&amp;E2844&amp;"|"&amp;F2844&amp;"|"&amp;I2844&amp;"|"&amp;O2844)</f>
        <v/>
      </c>
      <c r="T2844" s="15" t="str">
        <f>IF(OR(S2844="",D2844&lt;&gt;"Vastgesteld"),"",_xlfn.MAXIFS($G$6:$G$5005,$S$6:$S$5005,S2844,$D$6:$D$5005,"Vastgesteld"))</f>
        <v/>
      </c>
      <c r="U2844" s="15">
        <f>IF(T2844="",0,IF(AND(G2844=T2844,COUNTIFS($S$6:S2844,S2844,$G$6:G2844,G2844,$D$6:D2844,"Vastgesteld")=1),1,0))</f>
        <v>0</v>
      </c>
      <c r="V2844" s="15">
        <f>IF(T2844="",0,IF(AND(G2844=T2844,COUNTIFS($S$6:S2844,S2844,$G$6:G2844,G2844,$D$6:D2844,"Vastgesteld")&gt;1),1,0))</f>
        <v>0</v>
      </c>
    </row>
    <row r="2845">
      <c r="S2845" s="15" t="str">
        <f>IF(J2845="","",J2845&amp;"|"&amp;E2845&amp;"|"&amp;F2845&amp;"|"&amp;I2845&amp;"|"&amp;O2845)</f>
        <v/>
      </c>
      <c r="T2845" s="15" t="str">
        <f>IF(OR(S2845="",D2845&lt;&gt;"Vastgesteld"),"",_xlfn.MAXIFS($G$6:$G$5005,$S$6:$S$5005,S2845,$D$6:$D$5005,"Vastgesteld"))</f>
        <v/>
      </c>
      <c r="U2845" s="15">
        <f>IF(T2845="",0,IF(AND(G2845=T2845,COUNTIFS($S$6:S2845,S2845,$G$6:G2845,G2845,$D$6:D2845,"Vastgesteld")=1),1,0))</f>
        <v>0</v>
      </c>
      <c r="V2845" s="15">
        <f>IF(T2845="",0,IF(AND(G2845=T2845,COUNTIFS($S$6:S2845,S2845,$G$6:G2845,G2845,$D$6:D2845,"Vastgesteld")&gt;1),1,0))</f>
        <v>0</v>
      </c>
    </row>
    <row r="2846">
      <c r="S2846" s="15" t="str">
        <f>IF(J2846="","",J2846&amp;"|"&amp;E2846&amp;"|"&amp;F2846&amp;"|"&amp;I2846&amp;"|"&amp;O2846)</f>
        <v/>
      </c>
      <c r="T2846" s="15" t="str">
        <f>IF(OR(S2846="",D2846&lt;&gt;"Vastgesteld"),"",_xlfn.MAXIFS($G$6:$G$5005,$S$6:$S$5005,S2846,$D$6:$D$5005,"Vastgesteld"))</f>
        <v/>
      </c>
      <c r="U2846" s="15">
        <f>IF(T2846="",0,IF(AND(G2846=T2846,COUNTIFS($S$6:S2846,S2846,$G$6:G2846,G2846,$D$6:D2846,"Vastgesteld")=1),1,0))</f>
        <v>0</v>
      </c>
      <c r="V2846" s="15">
        <f>IF(T2846="",0,IF(AND(G2846=T2846,COUNTIFS($S$6:S2846,S2846,$G$6:G2846,G2846,$D$6:D2846,"Vastgesteld")&gt;1),1,0))</f>
        <v>0</v>
      </c>
    </row>
    <row r="2847">
      <c r="S2847" s="15" t="str">
        <f>IF(J2847="","",J2847&amp;"|"&amp;E2847&amp;"|"&amp;F2847&amp;"|"&amp;I2847&amp;"|"&amp;O2847)</f>
        <v/>
      </c>
      <c r="T2847" s="15" t="str">
        <f>IF(OR(S2847="",D2847&lt;&gt;"Vastgesteld"),"",_xlfn.MAXIFS($G$6:$G$5005,$S$6:$S$5005,S2847,$D$6:$D$5005,"Vastgesteld"))</f>
        <v/>
      </c>
      <c r="U2847" s="15">
        <f>IF(T2847="",0,IF(AND(G2847=T2847,COUNTIFS($S$6:S2847,S2847,$G$6:G2847,G2847,$D$6:D2847,"Vastgesteld")=1),1,0))</f>
        <v>0</v>
      </c>
      <c r="V2847" s="15">
        <f>IF(T2847="",0,IF(AND(G2847=T2847,COUNTIFS($S$6:S2847,S2847,$G$6:G2847,G2847,$D$6:D2847,"Vastgesteld")&gt;1),1,0))</f>
        <v>0</v>
      </c>
    </row>
    <row r="2848">
      <c r="S2848" s="15" t="str">
        <f>IF(J2848="","",J2848&amp;"|"&amp;E2848&amp;"|"&amp;F2848&amp;"|"&amp;I2848&amp;"|"&amp;O2848)</f>
        <v/>
      </c>
      <c r="T2848" s="15" t="str">
        <f>IF(OR(S2848="",D2848&lt;&gt;"Vastgesteld"),"",_xlfn.MAXIFS($G$6:$G$5005,$S$6:$S$5005,S2848,$D$6:$D$5005,"Vastgesteld"))</f>
        <v/>
      </c>
      <c r="U2848" s="15">
        <f>IF(T2848="",0,IF(AND(G2848=T2848,COUNTIFS($S$6:S2848,S2848,$G$6:G2848,G2848,$D$6:D2848,"Vastgesteld")=1),1,0))</f>
        <v>0</v>
      </c>
      <c r="V2848" s="15">
        <f>IF(T2848="",0,IF(AND(G2848=T2848,COUNTIFS($S$6:S2848,S2848,$G$6:G2848,G2848,$D$6:D2848,"Vastgesteld")&gt;1),1,0))</f>
        <v>0</v>
      </c>
    </row>
    <row r="2849">
      <c r="S2849" s="15" t="str">
        <f>IF(J2849="","",J2849&amp;"|"&amp;E2849&amp;"|"&amp;F2849&amp;"|"&amp;I2849&amp;"|"&amp;O2849)</f>
        <v/>
      </c>
      <c r="T2849" s="15" t="str">
        <f>IF(OR(S2849="",D2849&lt;&gt;"Vastgesteld"),"",_xlfn.MAXIFS($G$6:$G$5005,$S$6:$S$5005,S2849,$D$6:$D$5005,"Vastgesteld"))</f>
        <v/>
      </c>
      <c r="U2849" s="15">
        <f>IF(T2849="",0,IF(AND(G2849=T2849,COUNTIFS($S$6:S2849,S2849,$G$6:G2849,G2849,$D$6:D2849,"Vastgesteld")=1),1,0))</f>
        <v>0</v>
      </c>
      <c r="V2849" s="15">
        <f>IF(T2849="",0,IF(AND(G2849=T2849,COUNTIFS($S$6:S2849,S2849,$G$6:G2849,G2849,$D$6:D2849,"Vastgesteld")&gt;1),1,0))</f>
        <v>0</v>
      </c>
    </row>
    <row r="2850">
      <c r="S2850" s="15" t="str">
        <f>IF(J2850="","",J2850&amp;"|"&amp;E2850&amp;"|"&amp;F2850&amp;"|"&amp;I2850&amp;"|"&amp;O2850)</f>
        <v/>
      </c>
      <c r="T2850" s="15" t="str">
        <f>IF(OR(S2850="",D2850&lt;&gt;"Vastgesteld"),"",_xlfn.MAXIFS($G$6:$G$5005,$S$6:$S$5005,S2850,$D$6:$D$5005,"Vastgesteld"))</f>
        <v/>
      </c>
      <c r="U2850" s="15">
        <f>IF(T2850="",0,IF(AND(G2850=T2850,COUNTIFS($S$6:S2850,S2850,$G$6:G2850,G2850,$D$6:D2850,"Vastgesteld")=1),1,0))</f>
        <v>0</v>
      </c>
      <c r="V2850" s="15">
        <f>IF(T2850="",0,IF(AND(G2850=T2850,COUNTIFS($S$6:S2850,S2850,$G$6:G2850,G2850,$D$6:D2850,"Vastgesteld")&gt;1),1,0))</f>
        <v>0</v>
      </c>
    </row>
    <row r="2851">
      <c r="S2851" s="15" t="str">
        <f>IF(J2851="","",J2851&amp;"|"&amp;E2851&amp;"|"&amp;F2851&amp;"|"&amp;I2851&amp;"|"&amp;O2851)</f>
        <v/>
      </c>
      <c r="T2851" s="15" t="str">
        <f>IF(OR(S2851="",D2851&lt;&gt;"Vastgesteld"),"",_xlfn.MAXIFS($G$6:$G$5005,$S$6:$S$5005,S2851,$D$6:$D$5005,"Vastgesteld"))</f>
        <v/>
      </c>
      <c r="U2851" s="15">
        <f>IF(T2851="",0,IF(AND(G2851=T2851,COUNTIFS($S$6:S2851,S2851,$G$6:G2851,G2851,$D$6:D2851,"Vastgesteld")=1),1,0))</f>
        <v>0</v>
      </c>
      <c r="V2851" s="15">
        <f>IF(T2851="",0,IF(AND(G2851=T2851,COUNTIFS($S$6:S2851,S2851,$G$6:G2851,G2851,$D$6:D2851,"Vastgesteld")&gt;1),1,0))</f>
        <v>0</v>
      </c>
    </row>
    <row r="2852">
      <c r="S2852" s="15" t="str">
        <f>IF(J2852="","",J2852&amp;"|"&amp;E2852&amp;"|"&amp;F2852&amp;"|"&amp;I2852&amp;"|"&amp;O2852)</f>
        <v/>
      </c>
      <c r="T2852" s="15" t="str">
        <f>IF(OR(S2852="",D2852&lt;&gt;"Vastgesteld"),"",_xlfn.MAXIFS($G$6:$G$5005,$S$6:$S$5005,S2852,$D$6:$D$5005,"Vastgesteld"))</f>
        <v/>
      </c>
      <c r="U2852" s="15">
        <f>IF(T2852="",0,IF(AND(G2852=T2852,COUNTIFS($S$6:S2852,S2852,$G$6:G2852,G2852,$D$6:D2852,"Vastgesteld")=1),1,0))</f>
        <v>0</v>
      </c>
      <c r="V2852" s="15">
        <f>IF(T2852="",0,IF(AND(G2852=T2852,COUNTIFS($S$6:S2852,S2852,$G$6:G2852,G2852,$D$6:D2852,"Vastgesteld")&gt;1),1,0))</f>
        <v>0</v>
      </c>
    </row>
    <row r="2853">
      <c r="S2853" s="15" t="str">
        <f>IF(J2853="","",J2853&amp;"|"&amp;E2853&amp;"|"&amp;F2853&amp;"|"&amp;I2853&amp;"|"&amp;O2853)</f>
        <v/>
      </c>
      <c r="T2853" s="15" t="str">
        <f>IF(OR(S2853="",D2853&lt;&gt;"Vastgesteld"),"",_xlfn.MAXIFS($G$6:$G$5005,$S$6:$S$5005,S2853,$D$6:$D$5005,"Vastgesteld"))</f>
        <v/>
      </c>
      <c r="U2853" s="15">
        <f>IF(T2853="",0,IF(AND(G2853=T2853,COUNTIFS($S$6:S2853,S2853,$G$6:G2853,G2853,$D$6:D2853,"Vastgesteld")=1),1,0))</f>
        <v>0</v>
      </c>
      <c r="V2853" s="15">
        <f>IF(T2853="",0,IF(AND(G2853=T2853,COUNTIFS($S$6:S2853,S2853,$G$6:G2853,G2853,$D$6:D2853,"Vastgesteld")&gt;1),1,0))</f>
        <v>0</v>
      </c>
    </row>
    <row r="2854">
      <c r="S2854" s="15" t="str">
        <f>IF(J2854="","",J2854&amp;"|"&amp;E2854&amp;"|"&amp;F2854&amp;"|"&amp;I2854&amp;"|"&amp;O2854)</f>
        <v/>
      </c>
      <c r="T2854" s="15" t="str">
        <f>IF(OR(S2854="",D2854&lt;&gt;"Vastgesteld"),"",_xlfn.MAXIFS($G$6:$G$5005,$S$6:$S$5005,S2854,$D$6:$D$5005,"Vastgesteld"))</f>
        <v/>
      </c>
      <c r="U2854" s="15">
        <f>IF(T2854="",0,IF(AND(G2854=T2854,COUNTIFS($S$6:S2854,S2854,$G$6:G2854,G2854,$D$6:D2854,"Vastgesteld")=1),1,0))</f>
        <v>0</v>
      </c>
      <c r="V2854" s="15">
        <f>IF(T2854="",0,IF(AND(G2854=T2854,COUNTIFS($S$6:S2854,S2854,$G$6:G2854,G2854,$D$6:D2854,"Vastgesteld")&gt;1),1,0))</f>
        <v>0</v>
      </c>
    </row>
    <row r="2855">
      <c r="S2855" s="15" t="str">
        <f>IF(J2855="","",J2855&amp;"|"&amp;E2855&amp;"|"&amp;F2855&amp;"|"&amp;I2855&amp;"|"&amp;O2855)</f>
        <v/>
      </c>
      <c r="T2855" s="15" t="str">
        <f>IF(OR(S2855="",D2855&lt;&gt;"Vastgesteld"),"",_xlfn.MAXIFS($G$6:$G$5005,$S$6:$S$5005,S2855,$D$6:$D$5005,"Vastgesteld"))</f>
        <v/>
      </c>
      <c r="U2855" s="15">
        <f>IF(T2855="",0,IF(AND(G2855=T2855,COUNTIFS($S$6:S2855,S2855,$G$6:G2855,G2855,$D$6:D2855,"Vastgesteld")=1),1,0))</f>
        <v>0</v>
      </c>
      <c r="V2855" s="15">
        <f>IF(T2855="",0,IF(AND(G2855=T2855,COUNTIFS($S$6:S2855,S2855,$G$6:G2855,G2855,$D$6:D2855,"Vastgesteld")&gt;1),1,0))</f>
        <v>0</v>
      </c>
    </row>
    <row r="2856">
      <c r="S2856" s="15" t="str">
        <f>IF(J2856="","",J2856&amp;"|"&amp;E2856&amp;"|"&amp;F2856&amp;"|"&amp;I2856&amp;"|"&amp;O2856)</f>
        <v/>
      </c>
      <c r="T2856" s="15" t="str">
        <f>IF(OR(S2856="",D2856&lt;&gt;"Vastgesteld"),"",_xlfn.MAXIFS($G$6:$G$5005,$S$6:$S$5005,S2856,$D$6:$D$5005,"Vastgesteld"))</f>
        <v/>
      </c>
      <c r="U2856" s="15">
        <f>IF(T2856="",0,IF(AND(G2856=T2856,COUNTIFS($S$6:S2856,S2856,$G$6:G2856,G2856,$D$6:D2856,"Vastgesteld")=1),1,0))</f>
        <v>0</v>
      </c>
      <c r="V2856" s="15">
        <f>IF(T2856="",0,IF(AND(G2856=T2856,COUNTIFS($S$6:S2856,S2856,$G$6:G2856,G2856,$D$6:D2856,"Vastgesteld")&gt;1),1,0))</f>
        <v>0</v>
      </c>
    </row>
    <row r="2857">
      <c r="S2857" s="15" t="str">
        <f>IF(J2857="","",J2857&amp;"|"&amp;E2857&amp;"|"&amp;F2857&amp;"|"&amp;I2857&amp;"|"&amp;O2857)</f>
        <v/>
      </c>
      <c r="T2857" s="15" t="str">
        <f>IF(OR(S2857="",D2857&lt;&gt;"Vastgesteld"),"",_xlfn.MAXIFS($G$6:$G$5005,$S$6:$S$5005,S2857,$D$6:$D$5005,"Vastgesteld"))</f>
        <v/>
      </c>
      <c r="U2857" s="15">
        <f>IF(T2857="",0,IF(AND(G2857=T2857,COUNTIFS($S$6:S2857,S2857,$G$6:G2857,G2857,$D$6:D2857,"Vastgesteld")=1),1,0))</f>
        <v>0</v>
      </c>
      <c r="V2857" s="15">
        <f>IF(T2857="",0,IF(AND(G2857=T2857,COUNTIFS($S$6:S2857,S2857,$G$6:G2857,G2857,$D$6:D2857,"Vastgesteld")&gt;1),1,0))</f>
        <v>0</v>
      </c>
    </row>
    <row r="2858">
      <c r="S2858" s="15" t="str">
        <f>IF(J2858="","",J2858&amp;"|"&amp;E2858&amp;"|"&amp;F2858&amp;"|"&amp;I2858&amp;"|"&amp;O2858)</f>
        <v/>
      </c>
      <c r="T2858" s="15" t="str">
        <f>IF(OR(S2858="",D2858&lt;&gt;"Vastgesteld"),"",_xlfn.MAXIFS($G$6:$G$5005,$S$6:$S$5005,S2858,$D$6:$D$5005,"Vastgesteld"))</f>
        <v/>
      </c>
      <c r="U2858" s="15">
        <f>IF(T2858="",0,IF(AND(G2858=T2858,COUNTIFS($S$6:S2858,S2858,$G$6:G2858,G2858,$D$6:D2858,"Vastgesteld")=1),1,0))</f>
        <v>0</v>
      </c>
      <c r="V2858" s="15">
        <f>IF(T2858="",0,IF(AND(G2858=T2858,COUNTIFS($S$6:S2858,S2858,$G$6:G2858,G2858,$D$6:D2858,"Vastgesteld")&gt;1),1,0))</f>
        <v>0</v>
      </c>
    </row>
    <row r="2859">
      <c r="S2859" s="15" t="str">
        <f>IF(J2859="","",J2859&amp;"|"&amp;E2859&amp;"|"&amp;F2859&amp;"|"&amp;I2859&amp;"|"&amp;O2859)</f>
        <v/>
      </c>
      <c r="T2859" s="15" t="str">
        <f>IF(OR(S2859="",D2859&lt;&gt;"Vastgesteld"),"",_xlfn.MAXIFS($G$6:$G$5005,$S$6:$S$5005,S2859,$D$6:$D$5005,"Vastgesteld"))</f>
        <v/>
      </c>
      <c r="U2859" s="15">
        <f>IF(T2859="",0,IF(AND(G2859=T2859,COUNTIFS($S$6:S2859,S2859,$G$6:G2859,G2859,$D$6:D2859,"Vastgesteld")=1),1,0))</f>
        <v>0</v>
      </c>
      <c r="V2859" s="15">
        <f>IF(T2859="",0,IF(AND(G2859=T2859,COUNTIFS($S$6:S2859,S2859,$G$6:G2859,G2859,$D$6:D2859,"Vastgesteld")&gt;1),1,0))</f>
        <v>0</v>
      </c>
    </row>
    <row r="2860">
      <c r="S2860" s="15" t="str">
        <f>IF(J2860="","",J2860&amp;"|"&amp;E2860&amp;"|"&amp;F2860&amp;"|"&amp;I2860&amp;"|"&amp;O2860)</f>
        <v/>
      </c>
      <c r="T2860" s="15" t="str">
        <f>IF(OR(S2860="",D2860&lt;&gt;"Vastgesteld"),"",_xlfn.MAXIFS($G$6:$G$5005,$S$6:$S$5005,S2860,$D$6:$D$5005,"Vastgesteld"))</f>
        <v/>
      </c>
      <c r="U2860" s="15">
        <f>IF(T2860="",0,IF(AND(G2860=T2860,COUNTIFS($S$6:S2860,S2860,$G$6:G2860,G2860,$D$6:D2860,"Vastgesteld")=1),1,0))</f>
        <v>0</v>
      </c>
      <c r="V2860" s="15">
        <f>IF(T2860="",0,IF(AND(G2860=T2860,COUNTIFS($S$6:S2860,S2860,$G$6:G2860,G2860,$D$6:D2860,"Vastgesteld")&gt;1),1,0))</f>
        <v>0</v>
      </c>
    </row>
    <row r="2861">
      <c r="S2861" s="15" t="str">
        <f>IF(J2861="","",J2861&amp;"|"&amp;E2861&amp;"|"&amp;F2861&amp;"|"&amp;I2861&amp;"|"&amp;O2861)</f>
        <v/>
      </c>
      <c r="T2861" s="15" t="str">
        <f>IF(OR(S2861="",D2861&lt;&gt;"Vastgesteld"),"",_xlfn.MAXIFS($G$6:$G$5005,$S$6:$S$5005,S2861,$D$6:$D$5005,"Vastgesteld"))</f>
        <v/>
      </c>
      <c r="U2861" s="15">
        <f>IF(T2861="",0,IF(AND(G2861=T2861,COUNTIFS($S$6:S2861,S2861,$G$6:G2861,G2861,$D$6:D2861,"Vastgesteld")=1),1,0))</f>
        <v>0</v>
      </c>
      <c r="V2861" s="15">
        <f>IF(T2861="",0,IF(AND(G2861=T2861,COUNTIFS($S$6:S2861,S2861,$G$6:G2861,G2861,$D$6:D2861,"Vastgesteld")&gt;1),1,0))</f>
        <v>0</v>
      </c>
    </row>
    <row r="2862">
      <c r="S2862" s="15" t="str">
        <f>IF(J2862="","",J2862&amp;"|"&amp;E2862&amp;"|"&amp;F2862&amp;"|"&amp;I2862&amp;"|"&amp;O2862)</f>
        <v/>
      </c>
      <c r="T2862" s="15" t="str">
        <f>IF(OR(S2862="",D2862&lt;&gt;"Vastgesteld"),"",_xlfn.MAXIFS($G$6:$G$5005,$S$6:$S$5005,S2862,$D$6:$D$5005,"Vastgesteld"))</f>
        <v/>
      </c>
      <c r="U2862" s="15">
        <f>IF(T2862="",0,IF(AND(G2862=T2862,COUNTIFS($S$6:S2862,S2862,$G$6:G2862,G2862,$D$6:D2862,"Vastgesteld")=1),1,0))</f>
        <v>0</v>
      </c>
      <c r="V2862" s="15">
        <f>IF(T2862="",0,IF(AND(G2862=T2862,COUNTIFS($S$6:S2862,S2862,$G$6:G2862,G2862,$D$6:D2862,"Vastgesteld")&gt;1),1,0))</f>
        <v>0</v>
      </c>
    </row>
    <row r="2863">
      <c r="S2863" s="15" t="str">
        <f>IF(J2863="","",J2863&amp;"|"&amp;E2863&amp;"|"&amp;F2863&amp;"|"&amp;I2863&amp;"|"&amp;O2863)</f>
        <v/>
      </c>
      <c r="T2863" s="15" t="str">
        <f>IF(OR(S2863="",D2863&lt;&gt;"Vastgesteld"),"",_xlfn.MAXIFS($G$6:$G$5005,$S$6:$S$5005,S2863,$D$6:$D$5005,"Vastgesteld"))</f>
        <v/>
      </c>
      <c r="U2863" s="15">
        <f>IF(T2863="",0,IF(AND(G2863=T2863,COUNTIFS($S$6:S2863,S2863,$G$6:G2863,G2863,$D$6:D2863,"Vastgesteld")=1),1,0))</f>
        <v>0</v>
      </c>
      <c r="V2863" s="15">
        <f>IF(T2863="",0,IF(AND(G2863=T2863,COUNTIFS($S$6:S2863,S2863,$G$6:G2863,G2863,$D$6:D2863,"Vastgesteld")&gt;1),1,0))</f>
        <v>0</v>
      </c>
    </row>
    <row r="2864">
      <c r="S2864" s="15" t="str">
        <f>IF(J2864="","",J2864&amp;"|"&amp;E2864&amp;"|"&amp;F2864&amp;"|"&amp;I2864&amp;"|"&amp;O2864)</f>
        <v/>
      </c>
      <c r="T2864" s="15" t="str">
        <f>IF(OR(S2864="",D2864&lt;&gt;"Vastgesteld"),"",_xlfn.MAXIFS($G$6:$G$5005,$S$6:$S$5005,S2864,$D$6:$D$5005,"Vastgesteld"))</f>
        <v/>
      </c>
      <c r="U2864" s="15">
        <f>IF(T2864="",0,IF(AND(G2864=T2864,COUNTIFS($S$6:S2864,S2864,$G$6:G2864,G2864,$D$6:D2864,"Vastgesteld")=1),1,0))</f>
        <v>0</v>
      </c>
      <c r="V2864" s="15">
        <f>IF(T2864="",0,IF(AND(G2864=T2864,COUNTIFS($S$6:S2864,S2864,$G$6:G2864,G2864,$D$6:D2864,"Vastgesteld")&gt;1),1,0))</f>
        <v>0</v>
      </c>
    </row>
    <row r="2865">
      <c r="S2865" s="15" t="str">
        <f>IF(J2865="","",J2865&amp;"|"&amp;E2865&amp;"|"&amp;F2865&amp;"|"&amp;I2865&amp;"|"&amp;O2865)</f>
        <v/>
      </c>
      <c r="T2865" s="15" t="str">
        <f>IF(OR(S2865="",D2865&lt;&gt;"Vastgesteld"),"",_xlfn.MAXIFS($G$6:$G$5005,$S$6:$S$5005,S2865,$D$6:$D$5005,"Vastgesteld"))</f>
        <v/>
      </c>
      <c r="U2865" s="15">
        <f>IF(T2865="",0,IF(AND(G2865=T2865,COUNTIFS($S$6:S2865,S2865,$G$6:G2865,G2865,$D$6:D2865,"Vastgesteld")=1),1,0))</f>
        <v>0</v>
      </c>
      <c r="V2865" s="15">
        <f>IF(T2865="",0,IF(AND(G2865=T2865,COUNTIFS($S$6:S2865,S2865,$G$6:G2865,G2865,$D$6:D2865,"Vastgesteld")&gt;1),1,0))</f>
        <v>0</v>
      </c>
    </row>
    <row r="2866">
      <c r="S2866" s="15" t="str">
        <f>IF(J2866="","",J2866&amp;"|"&amp;E2866&amp;"|"&amp;F2866&amp;"|"&amp;I2866&amp;"|"&amp;O2866)</f>
        <v/>
      </c>
      <c r="T2866" s="15" t="str">
        <f>IF(OR(S2866="",D2866&lt;&gt;"Vastgesteld"),"",_xlfn.MAXIFS($G$6:$G$5005,$S$6:$S$5005,S2866,$D$6:$D$5005,"Vastgesteld"))</f>
        <v/>
      </c>
      <c r="U2866" s="15">
        <f>IF(T2866="",0,IF(AND(G2866=T2866,COUNTIFS($S$6:S2866,S2866,$G$6:G2866,G2866,$D$6:D2866,"Vastgesteld")=1),1,0))</f>
        <v>0</v>
      </c>
      <c r="V2866" s="15">
        <f>IF(T2866="",0,IF(AND(G2866=T2866,COUNTIFS($S$6:S2866,S2866,$G$6:G2866,G2866,$D$6:D2866,"Vastgesteld")&gt;1),1,0))</f>
        <v>0</v>
      </c>
    </row>
    <row r="2867">
      <c r="S2867" s="15" t="str">
        <f>IF(J2867="","",J2867&amp;"|"&amp;E2867&amp;"|"&amp;F2867&amp;"|"&amp;I2867&amp;"|"&amp;O2867)</f>
        <v/>
      </c>
      <c r="T2867" s="15" t="str">
        <f>IF(OR(S2867="",D2867&lt;&gt;"Vastgesteld"),"",_xlfn.MAXIFS($G$6:$G$5005,$S$6:$S$5005,S2867,$D$6:$D$5005,"Vastgesteld"))</f>
        <v/>
      </c>
      <c r="U2867" s="15">
        <f>IF(T2867="",0,IF(AND(G2867=T2867,COUNTIFS($S$6:S2867,S2867,$G$6:G2867,G2867,$D$6:D2867,"Vastgesteld")=1),1,0))</f>
        <v>0</v>
      </c>
      <c r="V2867" s="15">
        <f>IF(T2867="",0,IF(AND(G2867=T2867,COUNTIFS($S$6:S2867,S2867,$G$6:G2867,G2867,$D$6:D2867,"Vastgesteld")&gt;1),1,0))</f>
        <v>0</v>
      </c>
    </row>
    <row r="2868">
      <c r="S2868" s="15" t="str">
        <f>IF(J2868="","",J2868&amp;"|"&amp;E2868&amp;"|"&amp;F2868&amp;"|"&amp;I2868&amp;"|"&amp;O2868)</f>
        <v/>
      </c>
      <c r="T2868" s="15" t="str">
        <f>IF(OR(S2868="",D2868&lt;&gt;"Vastgesteld"),"",_xlfn.MAXIFS($G$6:$G$5005,$S$6:$S$5005,S2868,$D$6:$D$5005,"Vastgesteld"))</f>
        <v/>
      </c>
      <c r="U2868" s="15">
        <f>IF(T2868="",0,IF(AND(G2868=T2868,COUNTIFS($S$6:S2868,S2868,$G$6:G2868,G2868,$D$6:D2868,"Vastgesteld")=1),1,0))</f>
        <v>0</v>
      </c>
      <c r="V2868" s="15">
        <f>IF(T2868="",0,IF(AND(G2868=T2868,COUNTIFS($S$6:S2868,S2868,$G$6:G2868,G2868,$D$6:D2868,"Vastgesteld")&gt;1),1,0))</f>
        <v>0</v>
      </c>
    </row>
    <row r="2869">
      <c r="S2869" s="15" t="str">
        <f>IF(J2869="","",J2869&amp;"|"&amp;E2869&amp;"|"&amp;F2869&amp;"|"&amp;I2869&amp;"|"&amp;O2869)</f>
        <v/>
      </c>
      <c r="T2869" s="15" t="str">
        <f>IF(OR(S2869="",D2869&lt;&gt;"Vastgesteld"),"",_xlfn.MAXIFS($G$6:$G$5005,$S$6:$S$5005,S2869,$D$6:$D$5005,"Vastgesteld"))</f>
        <v/>
      </c>
      <c r="U2869" s="15">
        <f>IF(T2869="",0,IF(AND(G2869=T2869,COUNTIFS($S$6:S2869,S2869,$G$6:G2869,G2869,$D$6:D2869,"Vastgesteld")=1),1,0))</f>
        <v>0</v>
      </c>
      <c r="V2869" s="15">
        <f>IF(T2869="",0,IF(AND(G2869=T2869,COUNTIFS($S$6:S2869,S2869,$G$6:G2869,G2869,$D$6:D2869,"Vastgesteld")&gt;1),1,0))</f>
        <v>0</v>
      </c>
    </row>
    <row r="2870">
      <c r="S2870" s="15" t="str">
        <f>IF(J2870="","",J2870&amp;"|"&amp;E2870&amp;"|"&amp;F2870&amp;"|"&amp;I2870&amp;"|"&amp;O2870)</f>
        <v/>
      </c>
      <c r="T2870" s="15" t="str">
        <f>IF(OR(S2870="",D2870&lt;&gt;"Vastgesteld"),"",_xlfn.MAXIFS($G$6:$G$5005,$S$6:$S$5005,S2870,$D$6:$D$5005,"Vastgesteld"))</f>
        <v/>
      </c>
      <c r="U2870" s="15">
        <f>IF(T2870="",0,IF(AND(G2870=T2870,COUNTIFS($S$6:S2870,S2870,$G$6:G2870,G2870,$D$6:D2870,"Vastgesteld")=1),1,0))</f>
        <v>0</v>
      </c>
      <c r="V2870" s="15">
        <f>IF(T2870="",0,IF(AND(G2870=T2870,COUNTIFS($S$6:S2870,S2870,$G$6:G2870,G2870,$D$6:D2870,"Vastgesteld")&gt;1),1,0))</f>
        <v>0</v>
      </c>
    </row>
    <row r="2871">
      <c r="S2871" s="15" t="str">
        <f>IF(J2871="","",J2871&amp;"|"&amp;E2871&amp;"|"&amp;F2871&amp;"|"&amp;I2871&amp;"|"&amp;O2871)</f>
        <v/>
      </c>
      <c r="T2871" s="15" t="str">
        <f>IF(OR(S2871="",D2871&lt;&gt;"Vastgesteld"),"",_xlfn.MAXIFS($G$6:$G$5005,$S$6:$S$5005,S2871,$D$6:$D$5005,"Vastgesteld"))</f>
        <v/>
      </c>
      <c r="U2871" s="15">
        <f>IF(T2871="",0,IF(AND(G2871=T2871,COUNTIFS($S$6:S2871,S2871,$G$6:G2871,G2871,$D$6:D2871,"Vastgesteld")=1),1,0))</f>
        <v>0</v>
      </c>
      <c r="V2871" s="15">
        <f>IF(T2871="",0,IF(AND(G2871=T2871,COUNTIFS($S$6:S2871,S2871,$G$6:G2871,G2871,$D$6:D2871,"Vastgesteld")&gt;1),1,0))</f>
        <v>0</v>
      </c>
    </row>
    <row r="2872">
      <c r="S2872" s="15" t="str">
        <f>IF(J2872="","",J2872&amp;"|"&amp;E2872&amp;"|"&amp;F2872&amp;"|"&amp;I2872&amp;"|"&amp;O2872)</f>
        <v/>
      </c>
      <c r="T2872" s="15" t="str">
        <f>IF(OR(S2872="",D2872&lt;&gt;"Vastgesteld"),"",_xlfn.MAXIFS($G$6:$G$5005,$S$6:$S$5005,S2872,$D$6:$D$5005,"Vastgesteld"))</f>
        <v/>
      </c>
      <c r="U2872" s="15">
        <f>IF(T2872="",0,IF(AND(G2872=T2872,COUNTIFS($S$6:S2872,S2872,$G$6:G2872,G2872,$D$6:D2872,"Vastgesteld")=1),1,0))</f>
        <v>0</v>
      </c>
      <c r="V2872" s="15">
        <f>IF(T2872="",0,IF(AND(G2872=T2872,COUNTIFS($S$6:S2872,S2872,$G$6:G2872,G2872,$D$6:D2872,"Vastgesteld")&gt;1),1,0))</f>
        <v>0</v>
      </c>
    </row>
    <row r="2873">
      <c r="S2873" s="15" t="str">
        <f>IF(J2873="","",J2873&amp;"|"&amp;E2873&amp;"|"&amp;F2873&amp;"|"&amp;I2873&amp;"|"&amp;O2873)</f>
        <v/>
      </c>
      <c r="T2873" s="15" t="str">
        <f>IF(OR(S2873="",D2873&lt;&gt;"Vastgesteld"),"",_xlfn.MAXIFS($G$6:$G$5005,$S$6:$S$5005,S2873,$D$6:$D$5005,"Vastgesteld"))</f>
        <v/>
      </c>
      <c r="U2873" s="15">
        <f>IF(T2873="",0,IF(AND(G2873=T2873,COUNTIFS($S$6:S2873,S2873,$G$6:G2873,G2873,$D$6:D2873,"Vastgesteld")=1),1,0))</f>
        <v>0</v>
      </c>
      <c r="V2873" s="15">
        <f>IF(T2873="",0,IF(AND(G2873=T2873,COUNTIFS($S$6:S2873,S2873,$G$6:G2873,G2873,$D$6:D2873,"Vastgesteld")&gt;1),1,0))</f>
        <v>0</v>
      </c>
    </row>
    <row r="2874">
      <c r="S2874" s="15" t="str">
        <f>IF(J2874="","",J2874&amp;"|"&amp;E2874&amp;"|"&amp;F2874&amp;"|"&amp;I2874&amp;"|"&amp;O2874)</f>
        <v/>
      </c>
      <c r="T2874" s="15" t="str">
        <f>IF(OR(S2874="",D2874&lt;&gt;"Vastgesteld"),"",_xlfn.MAXIFS($G$6:$G$5005,$S$6:$S$5005,S2874,$D$6:$D$5005,"Vastgesteld"))</f>
        <v/>
      </c>
      <c r="U2874" s="15">
        <f>IF(T2874="",0,IF(AND(G2874=T2874,COUNTIFS($S$6:S2874,S2874,$G$6:G2874,G2874,$D$6:D2874,"Vastgesteld")=1),1,0))</f>
        <v>0</v>
      </c>
      <c r="V2874" s="15">
        <f>IF(T2874="",0,IF(AND(G2874=T2874,COUNTIFS($S$6:S2874,S2874,$G$6:G2874,G2874,$D$6:D2874,"Vastgesteld")&gt;1),1,0))</f>
        <v>0</v>
      </c>
    </row>
    <row r="2875">
      <c r="S2875" s="15" t="str">
        <f>IF(J2875="","",J2875&amp;"|"&amp;E2875&amp;"|"&amp;F2875&amp;"|"&amp;I2875&amp;"|"&amp;O2875)</f>
        <v/>
      </c>
      <c r="T2875" s="15" t="str">
        <f>IF(OR(S2875="",D2875&lt;&gt;"Vastgesteld"),"",_xlfn.MAXIFS($G$6:$G$5005,$S$6:$S$5005,S2875,$D$6:$D$5005,"Vastgesteld"))</f>
        <v/>
      </c>
      <c r="U2875" s="15">
        <f>IF(T2875="",0,IF(AND(G2875=T2875,COUNTIFS($S$6:S2875,S2875,$G$6:G2875,G2875,$D$6:D2875,"Vastgesteld")=1),1,0))</f>
        <v>0</v>
      </c>
      <c r="V2875" s="15">
        <f>IF(T2875="",0,IF(AND(G2875=T2875,COUNTIFS($S$6:S2875,S2875,$G$6:G2875,G2875,$D$6:D2875,"Vastgesteld")&gt;1),1,0))</f>
        <v>0</v>
      </c>
    </row>
    <row r="2876">
      <c r="S2876" s="15" t="str">
        <f>IF(J2876="","",J2876&amp;"|"&amp;E2876&amp;"|"&amp;F2876&amp;"|"&amp;I2876&amp;"|"&amp;O2876)</f>
        <v/>
      </c>
      <c r="T2876" s="15" t="str">
        <f>IF(OR(S2876="",D2876&lt;&gt;"Vastgesteld"),"",_xlfn.MAXIFS($G$6:$G$5005,$S$6:$S$5005,S2876,$D$6:$D$5005,"Vastgesteld"))</f>
        <v/>
      </c>
      <c r="U2876" s="15">
        <f>IF(T2876="",0,IF(AND(G2876=T2876,COUNTIFS($S$6:S2876,S2876,$G$6:G2876,G2876,$D$6:D2876,"Vastgesteld")=1),1,0))</f>
        <v>0</v>
      </c>
      <c r="V2876" s="15">
        <f>IF(T2876="",0,IF(AND(G2876=T2876,COUNTIFS($S$6:S2876,S2876,$G$6:G2876,G2876,$D$6:D2876,"Vastgesteld")&gt;1),1,0))</f>
        <v>0</v>
      </c>
    </row>
    <row r="2877">
      <c r="S2877" s="15" t="str">
        <f>IF(J2877="","",J2877&amp;"|"&amp;E2877&amp;"|"&amp;F2877&amp;"|"&amp;I2877&amp;"|"&amp;O2877)</f>
        <v/>
      </c>
      <c r="T2877" s="15" t="str">
        <f>IF(OR(S2877="",D2877&lt;&gt;"Vastgesteld"),"",_xlfn.MAXIFS($G$6:$G$5005,$S$6:$S$5005,S2877,$D$6:$D$5005,"Vastgesteld"))</f>
        <v/>
      </c>
      <c r="U2877" s="15">
        <f>IF(T2877="",0,IF(AND(G2877=T2877,COUNTIFS($S$6:S2877,S2877,$G$6:G2877,G2877,$D$6:D2877,"Vastgesteld")=1),1,0))</f>
        <v>0</v>
      </c>
      <c r="V2877" s="15">
        <f>IF(T2877="",0,IF(AND(G2877=T2877,COUNTIFS($S$6:S2877,S2877,$G$6:G2877,G2877,$D$6:D2877,"Vastgesteld")&gt;1),1,0))</f>
        <v>0</v>
      </c>
    </row>
    <row r="2878">
      <c r="S2878" s="15" t="str">
        <f>IF(J2878="","",J2878&amp;"|"&amp;E2878&amp;"|"&amp;F2878&amp;"|"&amp;I2878&amp;"|"&amp;O2878)</f>
        <v/>
      </c>
      <c r="T2878" s="15" t="str">
        <f>IF(OR(S2878="",D2878&lt;&gt;"Vastgesteld"),"",_xlfn.MAXIFS($G$6:$G$5005,$S$6:$S$5005,S2878,$D$6:$D$5005,"Vastgesteld"))</f>
        <v/>
      </c>
      <c r="U2878" s="15">
        <f>IF(T2878="",0,IF(AND(G2878=T2878,COUNTIFS($S$6:S2878,S2878,$G$6:G2878,G2878,$D$6:D2878,"Vastgesteld")=1),1,0))</f>
        <v>0</v>
      </c>
      <c r="V2878" s="15">
        <f>IF(T2878="",0,IF(AND(G2878=T2878,COUNTIFS($S$6:S2878,S2878,$G$6:G2878,G2878,$D$6:D2878,"Vastgesteld")&gt;1),1,0))</f>
        <v>0</v>
      </c>
    </row>
    <row r="2879">
      <c r="S2879" s="15" t="str">
        <f>IF(J2879="","",J2879&amp;"|"&amp;E2879&amp;"|"&amp;F2879&amp;"|"&amp;I2879&amp;"|"&amp;O2879)</f>
        <v/>
      </c>
      <c r="T2879" s="15" t="str">
        <f>IF(OR(S2879="",D2879&lt;&gt;"Vastgesteld"),"",_xlfn.MAXIFS($G$6:$G$5005,$S$6:$S$5005,S2879,$D$6:$D$5005,"Vastgesteld"))</f>
        <v/>
      </c>
      <c r="U2879" s="15">
        <f>IF(T2879="",0,IF(AND(G2879=T2879,COUNTIFS($S$6:S2879,S2879,$G$6:G2879,G2879,$D$6:D2879,"Vastgesteld")=1),1,0))</f>
        <v>0</v>
      </c>
      <c r="V2879" s="15">
        <f>IF(T2879="",0,IF(AND(G2879=T2879,COUNTIFS($S$6:S2879,S2879,$G$6:G2879,G2879,$D$6:D2879,"Vastgesteld")&gt;1),1,0))</f>
        <v>0</v>
      </c>
    </row>
    <row r="2880">
      <c r="S2880" s="15" t="str">
        <f>IF(J2880="","",J2880&amp;"|"&amp;E2880&amp;"|"&amp;F2880&amp;"|"&amp;I2880&amp;"|"&amp;O2880)</f>
        <v/>
      </c>
      <c r="T2880" s="15" t="str">
        <f>IF(OR(S2880="",D2880&lt;&gt;"Vastgesteld"),"",_xlfn.MAXIFS($G$6:$G$5005,$S$6:$S$5005,S2880,$D$6:$D$5005,"Vastgesteld"))</f>
        <v/>
      </c>
      <c r="U2880" s="15">
        <f>IF(T2880="",0,IF(AND(G2880=T2880,COUNTIFS($S$6:S2880,S2880,$G$6:G2880,G2880,$D$6:D2880,"Vastgesteld")=1),1,0))</f>
        <v>0</v>
      </c>
      <c r="V2880" s="15">
        <f>IF(T2880="",0,IF(AND(G2880=T2880,COUNTIFS($S$6:S2880,S2880,$G$6:G2880,G2880,$D$6:D2880,"Vastgesteld")&gt;1),1,0))</f>
        <v>0</v>
      </c>
    </row>
    <row r="2881">
      <c r="S2881" s="15" t="str">
        <f>IF(J2881="","",J2881&amp;"|"&amp;E2881&amp;"|"&amp;F2881&amp;"|"&amp;I2881&amp;"|"&amp;O2881)</f>
        <v/>
      </c>
      <c r="T2881" s="15" t="str">
        <f>IF(OR(S2881="",D2881&lt;&gt;"Vastgesteld"),"",_xlfn.MAXIFS($G$6:$G$5005,$S$6:$S$5005,S2881,$D$6:$D$5005,"Vastgesteld"))</f>
        <v/>
      </c>
      <c r="U2881" s="15">
        <f>IF(T2881="",0,IF(AND(G2881=T2881,COUNTIFS($S$6:S2881,S2881,$G$6:G2881,G2881,$D$6:D2881,"Vastgesteld")=1),1,0))</f>
        <v>0</v>
      </c>
      <c r="V2881" s="15">
        <f>IF(T2881="",0,IF(AND(G2881=T2881,COUNTIFS($S$6:S2881,S2881,$G$6:G2881,G2881,$D$6:D2881,"Vastgesteld")&gt;1),1,0))</f>
        <v>0</v>
      </c>
    </row>
    <row r="2882">
      <c r="S2882" s="15" t="str">
        <f>IF(J2882="","",J2882&amp;"|"&amp;E2882&amp;"|"&amp;F2882&amp;"|"&amp;I2882&amp;"|"&amp;O2882)</f>
        <v/>
      </c>
      <c r="T2882" s="15" t="str">
        <f>IF(OR(S2882="",D2882&lt;&gt;"Vastgesteld"),"",_xlfn.MAXIFS($G$6:$G$5005,$S$6:$S$5005,S2882,$D$6:$D$5005,"Vastgesteld"))</f>
        <v/>
      </c>
      <c r="U2882" s="15">
        <f>IF(T2882="",0,IF(AND(G2882=T2882,COUNTIFS($S$6:S2882,S2882,$G$6:G2882,G2882,$D$6:D2882,"Vastgesteld")=1),1,0))</f>
        <v>0</v>
      </c>
      <c r="V2882" s="15">
        <f>IF(T2882="",0,IF(AND(G2882=T2882,COUNTIFS($S$6:S2882,S2882,$G$6:G2882,G2882,$D$6:D2882,"Vastgesteld")&gt;1),1,0))</f>
        <v>0</v>
      </c>
    </row>
    <row r="2883">
      <c r="S2883" s="15" t="str">
        <f>IF(J2883="","",J2883&amp;"|"&amp;E2883&amp;"|"&amp;F2883&amp;"|"&amp;I2883&amp;"|"&amp;O2883)</f>
        <v/>
      </c>
      <c r="T2883" s="15" t="str">
        <f>IF(OR(S2883="",D2883&lt;&gt;"Vastgesteld"),"",_xlfn.MAXIFS($G$6:$G$5005,$S$6:$S$5005,S2883,$D$6:$D$5005,"Vastgesteld"))</f>
        <v/>
      </c>
      <c r="U2883" s="15">
        <f>IF(T2883="",0,IF(AND(G2883=T2883,COUNTIFS($S$6:S2883,S2883,$G$6:G2883,G2883,$D$6:D2883,"Vastgesteld")=1),1,0))</f>
        <v>0</v>
      </c>
      <c r="V2883" s="15">
        <f>IF(T2883="",0,IF(AND(G2883=T2883,COUNTIFS($S$6:S2883,S2883,$G$6:G2883,G2883,$D$6:D2883,"Vastgesteld")&gt;1),1,0))</f>
        <v>0</v>
      </c>
    </row>
    <row r="2884">
      <c r="S2884" s="15" t="str">
        <f>IF(J2884="","",J2884&amp;"|"&amp;E2884&amp;"|"&amp;F2884&amp;"|"&amp;I2884&amp;"|"&amp;O2884)</f>
        <v/>
      </c>
      <c r="T2884" s="15" t="str">
        <f>IF(OR(S2884="",D2884&lt;&gt;"Vastgesteld"),"",_xlfn.MAXIFS($G$6:$G$5005,$S$6:$S$5005,S2884,$D$6:$D$5005,"Vastgesteld"))</f>
        <v/>
      </c>
      <c r="U2884" s="15">
        <f>IF(T2884="",0,IF(AND(G2884=T2884,COUNTIFS($S$6:S2884,S2884,$G$6:G2884,G2884,$D$6:D2884,"Vastgesteld")=1),1,0))</f>
        <v>0</v>
      </c>
      <c r="V2884" s="15">
        <f>IF(T2884="",0,IF(AND(G2884=T2884,COUNTIFS($S$6:S2884,S2884,$G$6:G2884,G2884,$D$6:D2884,"Vastgesteld")&gt;1),1,0))</f>
        <v>0</v>
      </c>
    </row>
    <row r="2885">
      <c r="S2885" s="15" t="str">
        <f>IF(J2885="","",J2885&amp;"|"&amp;E2885&amp;"|"&amp;F2885&amp;"|"&amp;I2885&amp;"|"&amp;O2885)</f>
        <v/>
      </c>
      <c r="T2885" s="15" t="str">
        <f>IF(OR(S2885="",D2885&lt;&gt;"Vastgesteld"),"",_xlfn.MAXIFS($G$6:$G$5005,$S$6:$S$5005,S2885,$D$6:$D$5005,"Vastgesteld"))</f>
        <v/>
      </c>
      <c r="U2885" s="15">
        <f>IF(T2885="",0,IF(AND(G2885=T2885,COUNTIFS($S$6:S2885,S2885,$G$6:G2885,G2885,$D$6:D2885,"Vastgesteld")=1),1,0))</f>
        <v>0</v>
      </c>
      <c r="V2885" s="15">
        <f>IF(T2885="",0,IF(AND(G2885=T2885,COUNTIFS($S$6:S2885,S2885,$G$6:G2885,G2885,$D$6:D2885,"Vastgesteld")&gt;1),1,0))</f>
        <v>0</v>
      </c>
    </row>
    <row r="2886">
      <c r="S2886" s="15" t="str">
        <f>IF(J2886="","",J2886&amp;"|"&amp;E2886&amp;"|"&amp;F2886&amp;"|"&amp;I2886&amp;"|"&amp;O2886)</f>
        <v/>
      </c>
      <c r="T2886" s="15" t="str">
        <f>IF(OR(S2886="",D2886&lt;&gt;"Vastgesteld"),"",_xlfn.MAXIFS($G$6:$G$5005,$S$6:$S$5005,S2886,$D$6:$D$5005,"Vastgesteld"))</f>
        <v/>
      </c>
      <c r="U2886" s="15">
        <f>IF(T2886="",0,IF(AND(G2886=T2886,COUNTIFS($S$6:S2886,S2886,$G$6:G2886,G2886,$D$6:D2886,"Vastgesteld")=1),1,0))</f>
        <v>0</v>
      </c>
      <c r="V2886" s="15">
        <f>IF(T2886="",0,IF(AND(G2886=T2886,COUNTIFS($S$6:S2886,S2886,$G$6:G2886,G2886,$D$6:D2886,"Vastgesteld")&gt;1),1,0))</f>
        <v>0</v>
      </c>
    </row>
    <row r="2887">
      <c r="S2887" s="15" t="str">
        <f>IF(J2887="","",J2887&amp;"|"&amp;E2887&amp;"|"&amp;F2887&amp;"|"&amp;I2887&amp;"|"&amp;O2887)</f>
        <v/>
      </c>
      <c r="T2887" s="15" t="str">
        <f>IF(OR(S2887="",D2887&lt;&gt;"Vastgesteld"),"",_xlfn.MAXIFS($G$6:$G$5005,$S$6:$S$5005,S2887,$D$6:$D$5005,"Vastgesteld"))</f>
        <v/>
      </c>
      <c r="U2887" s="15">
        <f>IF(T2887="",0,IF(AND(G2887=T2887,COUNTIFS($S$6:S2887,S2887,$G$6:G2887,G2887,$D$6:D2887,"Vastgesteld")=1),1,0))</f>
        <v>0</v>
      </c>
      <c r="V2887" s="15">
        <f>IF(T2887="",0,IF(AND(G2887=T2887,COUNTIFS($S$6:S2887,S2887,$G$6:G2887,G2887,$D$6:D2887,"Vastgesteld")&gt;1),1,0))</f>
        <v>0</v>
      </c>
    </row>
    <row r="2888">
      <c r="S2888" s="15" t="str">
        <f>IF(J2888="","",J2888&amp;"|"&amp;E2888&amp;"|"&amp;F2888&amp;"|"&amp;I2888&amp;"|"&amp;O2888)</f>
        <v/>
      </c>
      <c r="T2888" s="15" t="str">
        <f>IF(OR(S2888="",D2888&lt;&gt;"Vastgesteld"),"",_xlfn.MAXIFS($G$6:$G$5005,$S$6:$S$5005,S2888,$D$6:$D$5005,"Vastgesteld"))</f>
        <v/>
      </c>
      <c r="U2888" s="15">
        <f>IF(T2888="",0,IF(AND(G2888=T2888,COUNTIFS($S$6:S2888,S2888,$G$6:G2888,G2888,$D$6:D2888,"Vastgesteld")=1),1,0))</f>
        <v>0</v>
      </c>
      <c r="V2888" s="15">
        <f>IF(T2888="",0,IF(AND(G2888=T2888,COUNTIFS($S$6:S2888,S2888,$G$6:G2888,G2888,$D$6:D2888,"Vastgesteld")&gt;1),1,0))</f>
        <v>0</v>
      </c>
    </row>
    <row r="2889">
      <c r="S2889" s="15" t="str">
        <f>IF(J2889="","",J2889&amp;"|"&amp;E2889&amp;"|"&amp;F2889&amp;"|"&amp;I2889&amp;"|"&amp;O2889)</f>
        <v/>
      </c>
      <c r="T2889" s="15" t="str">
        <f>IF(OR(S2889="",D2889&lt;&gt;"Vastgesteld"),"",_xlfn.MAXIFS($G$6:$G$5005,$S$6:$S$5005,S2889,$D$6:$D$5005,"Vastgesteld"))</f>
        <v/>
      </c>
      <c r="U2889" s="15">
        <f>IF(T2889="",0,IF(AND(G2889=T2889,COUNTIFS($S$6:S2889,S2889,$G$6:G2889,G2889,$D$6:D2889,"Vastgesteld")=1),1,0))</f>
        <v>0</v>
      </c>
      <c r="V2889" s="15">
        <f>IF(T2889="",0,IF(AND(G2889=T2889,COUNTIFS($S$6:S2889,S2889,$G$6:G2889,G2889,$D$6:D2889,"Vastgesteld")&gt;1),1,0))</f>
        <v>0</v>
      </c>
    </row>
    <row r="2890">
      <c r="S2890" s="15" t="str">
        <f>IF(J2890="","",J2890&amp;"|"&amp;E2890&amp;"|"&amp;F2890&amp;"|"&amp;I2890&amp;"|"&amp;O2890)</f>
        <v/>
      </c>
      <c r="T2890" s="15" t="str">
        <f>IF(OR(S2890="",D2890&lt;&gt;"Vastgesteld"),"",_xlfn.MAXIFS($G$6:$G$5005,$S$6:$S$5005,S2890,$D$6:$D$5005,"Vastgesteld"))</f>
        <v/>
      </c>
      <c r="U2890" s="15">
        <f>IF(T2890="",0,IF(AND(G2890=T2890,COUNTIFS($S$6:S2890,S2890,$G$6:G2890,G2890,$D$6:D2890,"Vastgesteld")=1),1,0))</f>
        <v>0</v>
      </c>
      <c r="V2890" s="15">
        <f>IF(T2890="",0,IF(AND(G2890=T2890,COUNTIFS($S$6:S2890,S2890,$G$6:G2890,G2890,$D$6:D2890,"Vastgesteld")&gt;1),1,0))</f>
        <v>0</v>
      </c>
    </row>
    <row r="2891">
      <c r="S2891" s="15" t="str">
        <f>IF(J2891="","",J2891&amp;"|"&amp;E2891&amp;"|"&amp;F2891&amp;"|"&amp;I2891&amp;"|"&amp;O2891)</f>
        <v/>
      </c>
      <c r="T2891" s="15" t="str">
        <f>IF(OR(S2891="",D2891&lt;&gt;"Vastgesteld"),"",_xlfn.MAXIFS($G$6:$G$5005,$S$6:$S$5005,S2891,$D$6:$D$5005,"Vastgesteld"))</f>
        <v/>
      </c>
      <c r="U2891" s="15">
        <f>IF(T2891="",0,IF(AND(G2891=T2891,COUNTIFS($S$6:S2891,S2891,$G$6:G2891,G2891,$D$6:D2891,"Vastgesteld")=1),1,0))</f>
        <v>0</v>
      </c>
      <c r="V2891" s="15">
        <f>IF(T2891="",0,IF(AND(G2891=T2891,COUNTIFS($S$6:S2891,S2891,$G$6:G2891,G2891,$D$6:D2891,"Vastgesteld")&gt;1),1,0))</f>
        <v>0</v>
      </c>
    </row>
    <row r="2892">
      <c r="S2892" s="15" t="str">
        <f>IF(J2892="","",J2892&amp;"|"&amp;E2892&amp;"|"&amp;F2892&amp;"|"&amp;I2892&amp;"|"&amp;O2892)</f>
        <v/>
      </c>
      <c r="T2892" s="15" t="str">
        <f>IF(OR(S2892="",D2892&lt;&gt;"Vastgesteld"),"",_xlfn.MAXIFS($G$6:$G$5005,$S$6:$S$5005,S2892,$D$6:$D$5005,"Vastgesteld"))</f>
        <v/>
      </c>
      <c r="U2892" s="15">
        <f>IF(T2892="",0,IF(AND(G2892=T2892,COUNTIFS($S$6:S2892,S2892,$G$6:G2892,G2892,$D$6:D2892,"Vastgesteld")=1),1,0))</f>
        <v>0</v>
      </c>
      <c r="V2892" s="15">
        <f>IF(T2892="",0,IF(AND(G2892=T2892,COUNTIFS($S$6:S2892,S2892,$G$6:G2892,G2892,$D$6:D2892,"Vastgesteld")&gt;1),1,0))</f>
        <v>0</v>
      </c>
    </row>
    <row r="2893">
      <c r="S2893" s="15" t="str">
        <f>IF(J2893="","",J2893&amp;"|"&amp;E2893&amp;"|"&amp;F2893&amp;"|"&amp;I2893&amp;"|"&amp;O2893)</f>
        <v/>
      </c>
      <c r="T2893" s="15" t="str">
        <f>IF(OR(S2893="",D2893&lt;&gt;"Vastgesteld"),"",_xlfn.MAXIFS($G$6:$G$5005,$S$6:$S$5005,S2893,$D$6:$D$5005,"Vastgesteld"))</f>
        <v/>
      </c>
      <c r="U2893" s="15">
        <f>IF(T2893="",0,IF(AND(G2893=T2893,COUNTIFS($S$6:S2893,S2893,$G$6:G2893,G2893,$D$6:D2893,"Vastgesteld")=1),1,0))</f>
        <v>0</v>
      </c>
      <c r="V2893" s="15">
        <f>IF(T2893="",0,IF(AND(G2893=T2893,COUNTIFS($S$6:S2893,S2893,$G$6:G2893,G2893,$D$6:D2893,"Vastgesteld")&gt;1),1,0))</f>
        <v>0</v>
      </c>
    </row>
    <row r="2894">
      <c r="S2894" s="15" t="str">
        <f>IF(J2894="","",J2894&amp;"|"&amp;E2894&amp;"|"&amp;F2894&amp;"|"&amp;I2894&amp;"|"&amp;O2894)</f>
        <v/>
      </c>
      <c r="T2894" s="15" t="str">
        <f>IF(OR(S2894="",D2894&lt;&gt;"Vastgesteld"),"",_xlfn.MAXIFS($G$6:$G$5005,$S$6:$S$5005,S2894,$D$6:$D$5005,"Vastgesteld"))</f>
        <v/>
      </c>
      <c r="U2894" s="15">
        <f>IF(T2894="",0,IF(AND(G2894=T2894,COUNTIFS($S$6:S2894,S2894,$G$6:G2894,G2894,$D$6:D2894,"Vastgesteld")=1),1,0))</f>
        <v>0</v>
      </c>
      <c r="V2894" s="15">
        <f>IF(T2894="",0,IF(AND(G2894=T2894,COUNTIFS($S$6:S2894,S2894,$G$6:G2894,G2894,$D$6:D2894,"Vastgesteld")&gt;1),1,0))</f>
        <v>0</v>
      </c>
    </row>
    <row r="2895">
      <c r="S2895" s="15" t="str">
        <f>IF(J2895="","",J2895&amp;"|"&amp;E2895&amp;"|"&amp;F2895&amp;"|"&amp;I2895&amp;"|"&amp;O2895)</f>
        <v/>
      </c>
      <c r="T2895" s="15" t="str">
        <f>IF(OR(S2895="",D2895&lt;&gt;"Vastgesteld"),"",_xlfn.MAXIFS($G$6:$G$5005,$S$6:$S$5005,S2895,$D$6:$D$5005,"Vastgesteld"))</f>
        <v/>
      </c>
      <c r="U2895" s="15">
        <f>IF(T2895="",0,IF(AND(G2895=T2895,COUNTIFS($S$6:S2895,S2895,$G$6:G2895,G2895,$D$6:D2895,"Vastgesteld")=1),1,0))</f>
        <v>0</v>
      </c>
      <c r="V2895" s="15">
        <f>IF(T2895="",0,IF(AND(G2895=T2895,COUNTIFS($S$6:S2895,S2895,$G$6:G2895,G2895,$D$6:D2895,"Vastgesteld")&gt;1),1,0))</f>
        <v>0</v>
      </c>
    </row>
    <row r="2896">
      <c r="S2896" s="15" t="str">
        <f>IF(J2896="","",J2896&amp;"|"&amp;E2896&amp;"|"&amp;F2896&amp;"|"&amp;I2896&amp;"|"&amp;O2896)</f>
        <v/>
      </c>
      <c r="T2896" s="15" t="str">
        <f>IF(OR(S2896="",D2896&lt;&gt;"Vastgesteld"),"",_xlfn.MAXIFS($G$6:$G$5005,$S$6:$S$5005,S2896,$D$6:$D$5005,"Vastgesteld"))</f>
        <v/>
      </c>
      <c r="U2896" s="15">
        <f>IF(T2896="",0,IF(AND(G2896=T2896,COUNTIFS($S$6:S2896,S2896,$G$6:G2896,G2896,$D$6:D2896,"Vastgesteld")=1),1,0))</f>
        <v>0</v>
      </c>
      <c r="V2896" s="15">
        <f>IF(T2896="",0,IF(AND(G2896=T2896,COUNTIFS($S$6:S2896,S2896,$G$6:G2896,G2896,$D$6:D2896,"Vastgesteld")&gt;1),1,0))</f>
        <v>0</v>
      </c>
    </row>
    <row r="2897">
      <c r="S2897" s="15" t="str">
        <f>IF(J2897="","",J2897&amp;"|"&amp;E2897&amp;"|"&amp;F2897&amp;"|"&amp;I2897&amp;"|"&amp;O2897)</f>
        <v/>
      </c>
      <c r="T2897" s="15" t="str">
        <f>IF(OR(S2897="",D2897&lt;&gt;"Vastgesteld"),"",_xlfn.MAXIFS($G$6:$G$5005,$S$6:$S$5005,S2897,$D$6:$D$5005,"Vastgesteld"))</f>
        <v/>
      </c>
      <c r="U2897" s="15">
        <f>IF(T2897="",0,IF(AND(G2897=T2897,COUNTIFS($S$6:S2897,S2897,$G$6:G2897,G2897,$D$6:D2897,"Vastgesteld")=1),1,0))</f>
        <v>0</v>
      </c>
      <c r="V2897" s="15">
        <f>IF(T2897="",0,IF(AND(G2897=T2897,COUNTIFS($S$6:S2897,S2897,$G$6:G2897,G2897,$D$6:D2897,"Vastgesteld")&gt;1),1,0))</f>
        <v>0</v>
      </c>
    </row>
    <row r="2898">
      <c r="S2898" s="15" t="str">
        <f>IF(J2898="","",J2898&amp;"|"&amp;E2898&amp;"|"&amp;F2898&amp;"|"&amp;I2898&amp;"|"&amp;O2898)</f>
        <v/>
      </c>
      <c r="T2898" s="15" t="str">
        <f>IF(OR(S2898="",D2898&lt;&gt;"Vastgesteld"),"",_xlfn.MAXIFS($G$6:$G$5005,$S$6:$S$5005,S2898,$D$6:$D$5005,"Vastgesteld"))</f>
        <v/>
      </c>
      <c r="U2898" s="15">
        <f>IF(T2898="",0,IF(AND(G2898=T2898,COUNTIFS($S$6:S2898,S2898,$G$6:G2898,G2898,$D$6:D2898,"Vastgesteld")=1),1,0))</f>
        <v>0</v>
      </c>
      <c r="V2898" s="15">
        <f>IF(T2898="",0,IF(AND(G2898=T2898,COUNTIFS($S$6:S2898,S2898,$G$6:G2898,G2898,$D$6:D2898,"Vastgesteld")&gt;1),1,0))</f>
        <v>0</v>
      </c>
    </row>
    <row r="2899">
      <c r="S2899" s="15" t="str">
        <f>IF(J2899="","",J2899&amp;"|"&amp;E2899&amp;"|"&amp;F2899&amp;"|"&amp;I2899&amp;"|"&amp;O2899)</f>
        <v/>
      </c>
      <c r="T2899" s="15" t="str">
        <f>IF(OR(S2899="",D2899&lt;&gt;"Vastgesteld"),"",_xlfn.MAXIFS($G$6:$G$5005,$S$6:$S$5005,S2899,$D$6:$D$5005,"Vastgesteld"))</f>
        <v/>
      </c>
      <c r="U2899" s="15">
        <f>IF(T2899="",0,IF(AND(G2899=T2899,COUNTIFS($S$6:S2899,S2899,$G$6:G2899,G2899,$D$6:D2899,"Vastgesteld")=1),1,0))</f>
        <v>0</v>
      </c>
      <c r="V2899" s="15">
        <f>IF(T2899="",0,IF(AND(G2899=T2899,COUNTIFS($S$6:S2899,S2899,$G$6:G2899,G2899,$D$6:D2899,"Vastgesteld")&gt;1),1,0))</f>
        <v>0</v>
      </c>
    </row>
    <row r="2900">
      <c r="S2900" s="15" t="str">
        <f>IF(J2900="","",J2900&amp;"|"&amp;E2900&amp;"|"&amp;F2900&amp;"|"&amp;I2900&amp;"|"&amp;O2900)</f>
        <v/>
      </c>
      <c r="T2900" s="15" t="str">
        <f>IF(OR(S2900="",D2900&lt;&gt;"Vastgesteld"),"",_xlfn.MAXIFS($G$6:$G$5005,$S$6:$S$5005,S2900,$D$6:$D$5005,"Vastgesteld"))</f>
        <v/>
      </c>
      <c r="U2900" s="15">
        <f>IF(T2900="",0,IF(AND(G2900=T2900,COUNTIFS($S$6:S2900,S2900,$G$6:G2900,G2900,$D$6:D2900,"Vastgesteld")=1),1,0))</f>
        <v>0</v>
      </c>
      <c r="V2900" s="15">
        <f>IF(T2900="",0,IF(AND(G2900=T2900,COUNTIFS($S$6:S2900,S2900,$G$6:G2900,G2900,$D$6:D2900,"Vastgesteld")&gt;1),1,0))</f>
        <v>0</v>
      </c>
    </row>
    <row r="2901">
      <c r="S2901" s="15" t="str">
        <f>IF(J2901="","",J2901&amp;"|"&amp;E2901&amp;"|"&amp;F2901&amp;"|"&amp;I2901&amp;"|"&amp;O2901)</f>
        <v/>
      </c>
      <c r="T2901" s="15" t="str">
        <f>IF(OR(S2901="",D2901&lt;&gt;"Vastgesteld"),"",_xlfn.MAXIFS($G$6:$G$5005,$S$6:$S$5005,S2901,$D$6:$D$5005,"Vastgesteld"))</f>
        <v/>
      </c>
      <c r="U2901" s="15">
        <f>IF(T2901="",0,IF(AND(G2901=T2901,COUNTIFS($S$6:S2901,S2901,$G$6:G2901,G2901,$D$6:D2901,"Vastgesteld")=1),1,0))</f>
        <v>0</v>
      </c>
      <c r="V2901" s="15">
        <f>IF(T2901="",0,IF(AND(G2901=T2901,COUNTIFS($S$6:S2901,S2901,$G$6:G2901,G2901,$D$6:D2901,"Vastgesteld")&gt;1),1,0))</f>
        <v>0</v>
      </c>
    </row>
    <row r="2902">
      <c r="S2902" s="15" t="str">
        <f>IF(J2902="","",J2902&amp;"|"&amp;E2902&amp;"|"&amp;F2902&amp;"|"&amp;I2902&amp;"|"&amp;O2902)</f>
        <v/>
      </c>
      <c r="T2902" s="15" t="str">
        <f>IF(OR(S2902="",D2902&lt;&gt;"Vastgesteld"),"",_xlfn.MAXIFS($G$6:$G$5005,$S$6:$S$5005,S2902,$D$6:$D$5005,"Vastgesteld"))</f>
        <v/>
      </c>
      <c r="U2902" s="15">
        <f>IF(T2902="",0,IF(AND(G2902=T2902,COUNTIFS($S$6:S2902,S2902,$G$6:G2902,G2902,$D$6:D2902,"Vastgesteld")=1),1,0))</f>
        <v>0</v>
      </c>
      <c r="V2902" s="15">
        <f>IF(T2902="",0,IF(AND(G2902=T2902,COUNTIFS($S$6:S2902,S2902,$G$6:G2902,G2902,$D$6:D2902,"Vastgesteld")&gt;1),1,0))</f>
        <v>0</v>
      </c>
    </row>
    <row r="2903">
      <c r="S2903" s="15" t="str">
        <f>IF(J2903="","",J2903&amp;"|"&amp;E2903&amp;"|"&amp;F2903&amp;"|"&amp;I2903&amp;"|"&amp;O2903)</f>
        <v/>
      </c>
      <c r="T2903" s="15" t="str">
        <f>IF(OR(S2903="",D2903&lt;&gt;"Vastgesteld"),"",_xlfn.MAXIFS($G$6:$G$5005,$S$6:$S$5005,S2903,$D$6:$D$5005,"Vastgesteld"))</f>
        <v/>
      </c>
      <c r="U2903" s="15">
        <f>IF(T2903="",0,IF(AND(G2903=T2903,COUNTIFS($S$6:S2903,S2903,$G$6:G2903,G2903,$D$6:D2903,"Vastgesteld")=1),1,0))</f>
        <v>0</v>
      </c>
      <c r="V2903" s="15">
        <f>IF(T2903="",0,IF(AND(G2903=T2903,COUNTIFS($S$6:S2903,S2903,$G$6:G2903,G2903,$D$6:D2903,"Vastgesteld")&gt;1),1,0))</f>
        <v>0</v>
      </c>
    </row>
    <row r="2904">
      <c r="S2904" s="15" t="str">
        <f>IF(J2904="","",J2904&amp;"|"&amp;E2904&amp;"|"&amp;F2904&amp;"|"&amp;I2904&amp;"|"&amp;O2904)</f>
        <v/>
      </c>
      <c r="T2904" s="15" t="str">
        <f>IF(OR(S2904="",D2904&lt;&gt;"Vastgesteld"),"",_xlfn.MAXIFS($G$6:$G$5005,$S$6:$S$5005,S2904,$D$6:$D$5005,"Vastgesteld"))</f>
        <v/>
      </c>
      <c r="U2904" s="15">
        <f>IF(T2904="",0,IF(AND(G2904=T2904,COUNTIFS($S$6:S2904,S2904,$G$6:G2904,G2904,$D$6:D2904,"Vastgesteld")=1),1,0))</f>
        <v>0</v>
      </c>
      <c r="V2904" s="15">
        <f>IF(T2904="",0,IF(AND(G2904=T2904,COUNTIFS($S$6:S2904,S2904,$G$6:G2904,G2904,$D$6:D2904,"Vastgesteld")&gt;1),1,0))</f>
        <v>0</v>
      </c>
    </row>
    <row r="2905">
      <c r="S2905" s="15" t="str">
        <f>IF(J2905="","",J2905&amp;"|"&amp;E2905&amp;"|"&amp;F2905&amp;"|"&amp;I2905&amp;"|"&amp;O2905)</f>
        <v/>
      </c>
      <c r="T2905" s="15" t="str">
        <f>IF(OR(S2905="",D2905&lt;&gt;"Vastgesteld"),"",_xlfn.MAXIFS($G$6:$G$5005,$S$6:$S$5005,S2905,$D$6:$D$5005,"Vastgesteld"))</f>
        <v/>
      </c>
      <c r="U2905" s="15">
        <f>IF(T2905="",0,IF(AND(G2905=T2905,COUNTIFS($S$6:S2905,S2905,$G$6:G2905,G2905,$D$6:D2905,"Vastgesteld")=1),1,0))</f>
        <v>0</v>
      </c>
      <c r="V2905" s="15">
        <f>IF(T2905="",0,IF(AND(G2905=T2905,COUNTIFS($S$6:S2905,S2905,$G$6:G2905,G2905,$D$6:D2905,"Vastgesteld")&gt;1),1,0))</f>
        <v>0</v>
      </c>
    </row>
    <row r="2906">
      <c r="S2906" s="15" t="str">
        <f>IF(J2906="","",J2906&amp;"|"&amp;E2906&amp;"|"&amp;F2906&amp;"|"&amp;I2906&amp;"|"&amp;O2906)</f>
        <v/>
      </c>
      <c r="T2906" s="15" t="str">
        <f>IF(OR(S2906="",D2906&lt;&gt;"Vastgesteld"),"",_xlfn.MAXIFS($G$6:$G$5005,$S$6:$S$5005,S2906,$D$6:$D$5005,"Vastgesteld"))</f>
        <v/>
      </c>
      <c r="U2906" s="15">
        <f>IF(T2906="",0,IF(AND(G2906=T2906,COUNTIFS($S$6:S2906,S2906,$G$6:G2906,G2906,$D$6:D2906,"Vastgesteld")=1),1,0))</f>
        <v>0</v>
      </c>
      <c r="V2906" s="15">
        <f>IF(T2906="",0,IF(AND(G2906=T2906,COUNTIFS($S$6:S2906,S2906,$G$6:G2906,G2906,$D$6:D2906,"Vastgesteld")&gt;1),1,0))</f>
        <v>0</v>
      </c>
    </row>
    <row r="2907">
      <c r="S2907" s="15" t="str">
        <f>IF(J2907="","",J2907&amp;"|"&amp;E2907&amp;"|"&amp;F2907&amp;"|"&amp;I2907&amp;"|"&amp;O2907)</f>
        <v/>
      </c>
      <c r="T2907" s="15" t="str">
        <f>IF(OR(S2907="",D2907&lt;&gt;"Vastgesteld"),"",_xlfn.MAXIFS($G$6:$G$5005,$S$6:$S$5005,S2907,$D$6:$D$5005,"Vastgesteld"))</f>
        <v/>
      </c>
      <c r="U2907" s="15">
        <f>IF(T2907="",0,IF(AND(G2907=T2907,COUNTIFS($S$6:S2907,S2907,$G$6:G2907,G2907,$D$6:D2907,"Vastgesteld")=1),1,0))</f>
        <v>0</v>
      </c>
      <c r="V2907" s="15">
        <f>IF(T2907="",0,IF(AND(G2907=T2907,COUNTIFS($S$6:S2907,S2907,$G$6:G2907,G2907,$D$6:D2907,"Vastgesteld")&gt;1),1,0))</f>
        <v>0</v>
      </c>
    </row>
    <row r="2908">
      <c r="S2908" s="15" t="str">
        <f>IF(J2908="","",J2908&amp;"|"&amp;E2908&amp;"|"&amp;F2908&amp;"|"&amp;I2908&amp;"|"&amp;O2908)</f>
        <v/>
      </c>
      <c r="T2908" s="15" t="str">
        <f>IF(OR(S2908="",D2908&lt;&gt;"Vastgesteld"),"",_xlfn.MAXIFS($G$6:$G$5005,$S$6:$S$5005,S2908,$D$6:$D$5005,"Vastgesteld"))</f>
        <v/>
      </c>
      <c r="U2908" s="15">
        <f>IF(T2908="",0,IF(AND(G2908=T2908,COUNTIFS($S$6:S2908,S2908,$G$6:G2908,G2908,$D$6:D2908,"Vastgesteld")=1),1,0))</f>
        <v>0</v>
      </c>
      <c r="V2908" s="15">
        <f>IF(T2908="",0,IF(AND(G2908=T2908,COUNTIFS($S$6:S2908,S2908,$G$6:G2908,G2908,$D$6:D2908,"Vastgesteld")&gt;1),1,0))</f>
        <v>0</v>
      </c>
    </row>
    <row r="2909">
      <c r="S2909" s="15" t="str">
        <f>IF(J2909="","",J2909&amp;"|"&amp;E2909&amp;"|"&amp;F2909&amp;"|"&amp;I2909&amp;"|"&amp;O2909)</f>
        <v/>
      </c>
      <c r="T2909" s="15" t="str">
        <f>IF(OR(S2909="",D2909&lt;&gt;"Vastgesteld"),"",_xlfn.MAXIFS($G$6:$G$5005,$S$6:$S$5005,S2909,$D$6:$D$5005,"Vastgesteld"))</f>
        <v/>
      </c>
      <c r="U2909" s="15">
        <f>IF(T2909="",0,IF(AND(G2909=T2909,COUNTIFS($S$6:S2909,S2909,$G$6:G2909,G2909,$D$6:D2909,"Vastgesteld")=1),1,0))</f>
        <v>0</v>
      </c>
      <c r="V2909" s="15">
        <f>IF(T2909="",0,IF(AND(G2909=T2909,COUNTIFS($S$6:S2909,S2909,$G$6:G2909,G2909,$D$6:D2909,"Vastgesteld")&gt;1),1,0))</f>
        <v>0</v>
      </c>
    </row>
    <row r="2910">
      <c r="S2910" s="15" t="str">
        <f>IF(J2910="","",J2910&amp;"|"&amp;E2910&amp;"|"&amp;F2910&amp;"|"&amp;I2910&amp;"|"&amp;O2910)</f>
        <v/>
      </c>
      <c r="T2910" s="15" t="str">
        <f>IF(OR(S2910="",D2910&lt;&gt;"Vastgesteld"),"",_xlfn.MAXIFS($G$6:$G$5005,$S$6:$S$5005,S2910,$D$6:$D$5005,"Vastgesteld"))</f>
        <v/>
      </c>
      <c r="U2910" s="15">
        <f>IF(T2910="",0,IF(AND(G2910=T2910,COUNTIFS($S$6:S2910,S2910,$G$6:G2910,G2910,$D$6:D2910,"Vastgesteld")=1),1,0))</f>
        <v>0</v>
      </c>
      <c r="V2910" s="15">
        <f>IF(T2910="",0,IF(AND(G2910=T2910,COUNTIFS($S$6:S2910,S2910,$G$6:G2910,G2910,$D$6:D2910,"Vastgesteld")&gt;1),1,0))</f>
        <v>0</v>
      </c>
    </row>
    <row r="2911">
      <c r="S2911" s="15" t="str">
        <f>IF(J2911="","",J2911&amp;"|"&amp;E2911&amp;"|"&amp;F2911&amp;"|"&amp;I2911&amp;"|"&amp;O2911)</f>
        <v/>
      </c>
      <c r="T2911" s="15" t="str">
        <f>IF(OR(S2911="",D2911&lt;&gt;"Vastgesteld"),"",_xlfn.MAXIFS($G$6:$G$5005,$S$6:$S$5005,S2911,$D$6:$D$5005,"Vastgesteld"))</f>
        <v/>
      </c>
      <c r="U2911" s="15">
        <f>IF(T2911="",0,IF(AND(G2911=T2911,COUNTIFS($S$6:S2911,S2911,$G$6:G2911,G2911,$D$6:D2911,"Vastgesteld")=1),1,0))</f>
        <v>0</v>
      </c>
      <c r="V2911" s="15">
        <f>IF(T2911="",0,IF(AND(G2911=T2911,COUNTIFS($S$6:S2911,S2911,$G$6:G2911,G2911,$D$6:D2911,"Vastgesteld")&gt;1),1,0))</f>
        <v>0</v>
      </c>
    </row>
    <row r="2912">
      <c r="S2912" s="15" t="str">
        <f>IF(J2912="","",J2912&amp;"|"&amp;E2912&amp;"|"&amp;F2912&amp;"|"&amp;I2912&amp;"|"&amp;O2912)</f>
        <v/>
      </c>
      <c r="T2912" s="15" t="str">
        <f>IF(OR(S2912="",D2912&lt;&gt;"Vastgesteld"),"",_xlfn.MAXIFS($G$6:$G$5005,$S$6:$S$5005,S2912,$D$6:$D$5005,"Vastgesteld"))</f>
        <v/>
      </c>
      <c r="U2912" s="15">
        <f>IF(T2912="",0,IF(AND(G2912=T2912,COUNTIFS($S$6:S2912,S2912,$G$6:G2912,G2912,$D$6:D2912,"Vastgesteld")=1),1,0))</f>
        <v>0</v>
      </c>
      <c r="V2912" s="15">
        <f>IF(T2912="",0,IF(AND(G2912=T2912,COUNTIFS($S$6:S2912,S2912,$G$6:G2912,G2912,$D$6:D2912,"Vastgesteld")&gt;1),1,0))</f>
        <v>0</v>
      </c>
    </row>
    <row r="2913">
      <c r="S2913" s="15" t="str">
        <f>IF(J2913="","",J2913&amp;"|"&amp;E2913&amp;"|"&amp;F2913&amp;"|"&amp;I2913&amp;"|"&amp;O2913)</f>
        <v/>
      </c>
      <c r="T2913" s="15" t="str">
        <f>IF(OR(S2913="",D2913&lt;&gt;"Vastgesteld"),"",_xlfn.MAXIFS($G$6:$G$5005,$S$6:$S$5005,S2913,$D$6:$D$5005,"Vastgesteld"))</f>
        <v/>
      </c>
      <c r="U2913" s="15">
        <f>IF(T2913="",0,IF(AND(G2913=T2913,COUNTIFS($S$6:S2913,S2913,$G$6:G2913,G2913,$D$6:D2913,"Vastgesteld")=1),1,0))</f>
        <v>0</v>
      </c>
      <c r="V2913" s="15">
        <f>IF(T2913="",0,IF(AND(G2913=T2913,COUNTIFS($S$6:S2913,S2913,$G$6:G2913,G2913,$D$6:D2913,"Vastgesteld")&gt;1),1,0))</f>
        <v>0</v>
      </c>
    </row>
    <row r="2914">
      <c r="S2914" s="15" t="str">
        <f>IF(J2914="","",J2914&amp;"|"&amp;E2914&amp;"|"&amp;F2914&amp;"|"&amp;I2914&amp;"|"&amp;O2914)</f>
        <v/>
      </c>
      <c r="T2914" s="15" t="str">
        <f>IF(OR(S2914="",D2914&lt;&gt;"Vastgesteld"),"",_xlfn.MAXIFS($G$6:$G$5005,$S$6:$S$5005,S2914,$D$6:$D$5005,"Vastgesteld"))</f>
        <v/>
      </c>
      <c r="U2914" s="15">
        <f>IF(T2914="",0,IF(AND(G2914=T2914,COUNTIFS($S$6:S2914,S2914,$G$6:G2914,G2914,$D$6:D2914,"Vastgesteld")=1),1,0))</f>
        <v>0</v>
      </c>
      <c r="V2914" s="15">
        <f>IF(T2914="",0,IF(AND(G2914=T2914,COUNTIFS($S$6:S2914,S2914,$G$6:G2914,G2914,$D$6:D2914,"Vastgesteld")&gt;1),1,0))</f>
        <v>0</v>
      </c>
    </row>
    <row r="2915">
      <c r="S2915" s="15" t="str">
        <f>IF(J2915="","",J2915&amp;"|"&amp;E2915&amp;"|"&amp;F2915&amp;"|"&amp;I2915&amp;"|"&amp;O2915)</f>
        <v/>
      </c>
      <c r="T2915" s="15" t="str">
        <f>IF(OR(S2915="",D2915&lt;&gt;"Vastgesteld"),"",_xlfn.MAXIFS($G$6:$G$5005,$S$6:$S$5005,S2915,$D$6:$D$5005,"Vastgesteld"))</f>
        <v/>
      </c>
      <c r="U2915" s="15">
        <f>IF(T2915="",0,IF(AND(G2915=T2915,COUNTIFS($S$6:S2915,S2915,$G$6:G2915,G2915,$D$6:D2915,"Vastgesteld")=1),1,0))</f>
        <v>0</v>
      </c>
      <c r="V2915" s="15">
        <f>IF(T2915="",0,IF(AND(G2915=T2915,COUNTIFS($S$6:S2915,S2915,$G$6:G2915,G2915,$D$6:D2915,"Vastgesteld")&gt;1),1,0))</f>
        <v>0</v>
      </c>
    </row>
    <row r="2916">
      <c r="S2916" s="15" t="str">
        <f>IF(J2916="","",J2916&amp;"|"&amp;E2916&amp;"|"&amp;F2916&amp;"|"&amp;I2916&amp;"|"&amp;O2916)</f>
        <v/>
      </c>
      <c r="T2916" s="15" t="str">
        <f>IF(OR(S2916="",D2916&lt;&gt;"Vastgesteld"),"",_xlfn.MAXIFS($G$6:$G$5005,$S$6:$S$5005,S2916,$D$6:$D$5005,"Vastgesteld"))</f>
        <v/>
      </c>
      <c r="U2916" s="15">
        <f>IF(T2916="",0,IF(AND(G2916=T2916,COUNTIFS($S$6:S2916,S2916,$G$6:G2916,G2916,$D$6:D2916,"Vastgesteld")=1),1,0))</f>
        <v>0</v>
      </c>
      <c r="V2916" s="15">
        <f>IF(T2916="",0,IF(AND(G2916=T2916,COUNTIFS($S$6:S2916,S2916,$G$6:G2916,G2916,$D$6:D2916,"Vastgesteld")&gt;1),1,0))</f>
        <v>0</v>
      </c>
    </row>
    <row r="2917">
      <c r="S2917" s="15" t="str">
        <f>IF(J2917="","",J2917&amp;"|"&amp;E2917&amp;"|"&amp;F2917&amp;"|"&amp;I2917&amp;"|"&amp;O2917)</f>
        <v/>
      </c>
      <c r="T2917" s="15" t="str">
        <f>IF(OR(S2917="",D2917&lt;&gt;"Vastgesteld"),"",_xlfn.MAXIFS($G$6:$G$5005,$S$6:$S$5005,S2917,$D$6:$D$5005,"Vastgesteld"))</f>
        <v/>
      </c>
      <c r="U2917" s="15">
        <f>IF(T2917="",0,IF(AND(G2917=T2917,COUNTIFS($S$6:S2917,S2917,$G$6:G2917,G2917,$D$6:D2917,"Vastgesteld")=1),1,0))</f>
        <v>0</v>
      </c>
      <c r="V2917" s="15">
        <f>IF(T2917="",0,IF(AND(G2917=T2917,COUNTIFS($S$6:S2917,S2917,$G$6:G2917,G2917,$D$6:D2917,"Vastgesteld")&gt;1),1,0))</f>
        <v>0</v>
      </c>
    </row>
    <row r="2918">
      <c r="S2918" s="15" t="str">
        <f>IF(J2918="","",J2918&amp;"|"&amp;E2918&amp;"|"&amp;F2918&amp;"|"&amp;I2918&amp;"|"&amp;O2918)</f>
        <v/>
      </c>
      <c r="T2918" s="15" t="str">
        <f>IF(OR(S2918="",D2918&lt;&gt;"Vastgesteld"),"",_xlfn.MAXIFS($G$6:$G$5005,$S$6:$S$5005,S2918,$D$6:$D$5005,"Vastgesteld"))</f>
        <v/>
      </c>
      <c r="U2918" s="15">
        <f>IF(T2918="",0,IF(AND(G2918=T2918,COUNTIFS($S$6:S2918,S2918,$G$6:G2918,G2918,$D$6:D2918,"Vastgesteld")=1),1,0))</f>
        <v>0</v>
      </c>
      <c r="V2918" s="15">
        <f>IF(T2918="",0,IF(AND(G2918=T2918,COUNTIFS($S$6:S2918,S2918,$G$6:G2918,G2918,$D$6:D2918,"Vastgesteld")&gt;1),1,0))</f>
        <v>0</v>
      </c>
    </row>
    <row r="2919">
      <c r="S2919" s="15" t="str">
        <f>IF(J2919="","",J2919&amp;"|"&amp;E2919&amp;"|"&amp;F2919&amp;"|"&amp;I2919&amp;"|"&amp;O2919)</f>
        <v/>
      </c>
      <c r="T2919" s="15" t="str">
        <f>IF(OR(S2919="",D2919&lt;&gt;"Vastgesteld"),"",_xlfn.MAXIFS($G$6:$G$5005,$S$6:$S$5005,S2919,$D$6:$D$5005,"Vastgesteld"))</f>
        <v/>
      </c>
      <c r="U2919" s="15">
        <f>IF(T2919="",0,IF(AND(G2919=T2919,COUNTIFS($S$6:S2919,S2919,$G$6:G2919,G2919,$D$6:D2919,"Vastgesteld")=1),1,0))</f>
        <v>0</v>
      </c>
      <c r="V2919" s="15">
        <f>IF(T2919="",0,IF(AND(G2919=T2919,COUNTIFS($S$6:S2919,S2919,$G$6:G2919,G2919,$D$6:D2919,"Vastgesteld")&gt;1),1,0))</f>
        <v>0</v>
      </c>
    </row>
    <row r="2920">
      <c r="S2920" s="15" t="str">
        <f>IF(J2920="","",J2920&amp;"|"&amp;E2920&amp;"|"&amp;F2920&amp;"|"&amp;I2920&amp;"|"&amp;O2920)</f>
        <v/>
      </c>
      <c r="T2920" s="15" t="str">
        <f>IF(OR(S2920="",D2920&lt;&gt;"Vastgesteld"),"",_xlfn.MAXIFS($G$6:$G$5005,$S$6:$S$5005,S2920,$D$6:$D$5005,"Vastgesteld"))</f>
        <v/>
      </c>
      <c r="U2920" s="15">
        <f>IF(T2920="",0,IF(AND(G2920=T2920,COUNTIFS($S$6:S2920,S2920,$G$6:G2920,G2920,$D$6:D2920,"Vastgesteld")=1),1,0))</f>
        <v>0</v>
      </c>
      <c r="V2920" s="15">
        <f>IF(T2920="",0,IF(AND(G2920=T2920,COUNTIFS($S$6:S2920,S2920,$G$6:G2920,G2920,$D$6:D2920,"Vastgesteld")&gt;1),1,0))</f>
        <v>0</v>
      </c>
    </row>
    <row r="2921">
      <c r="S2921" s="15" t="str">
        <f>IF(J2921="","",J2921&amp;"|"&amp;E2921&amp;"|"&amp;F2921&amp;"|"&amp;I2921&amp;"|"&amp;O2921)</f>
        <v/>
      </c>
      <c r="T2921" s="15" t="str">
        <f>IF(OR(S2921="",D2921&lt;&gt;"Vastgesteld"),"",_xlfn.MAXIFS($G$6:$G$5005,$S$6:$S$5005,S2921,$D$6:$D$5005,"Vastgesteld"))</f>
        <v/>
      </c>
      <c r="U2921" s="15">
        <f>IF(T2921="",0,IF(AND(G2921=T2921,COUNTIFS($S$6:S2921,S2921,$G$6:G2921,G2921,$D$6:D2921,"Vastgesteld")=1),1,0))</f>
        <v>0</v>
      </c>
      <c r="V2921" s="15">
        <f>IF(T2921="",0,IF(AND(G2921=T2921,COUNTIFS($S$6:S2921,S2921,$G$6:G2921,G2921,$D$6:D2921,"Vastgesteld")&gt;1),1,0))</f>
        <v>0</v>
      </c>
    </row>
    <row r="2922">
      <c r="S2922" s="15" t="str">
        <f>IF(J2922="","",J2922&amp;"|"&amp;E2922&amp;"|"&amp;F2922&amp;"|"&amp;I2922&amp;"|"&amp;O2922)</f>
        <v/>
      </c>
      <c r="T2922" s="15" t="str">
        <f>IF(OR(S2922="",D2922&lt;&gt;"Vastgesteld"),"",_xlfn.MAXIFS($G$6:$G$5005,$S$6:$S$5005,S2922,$D$6:$D$5005,"Vastgesteld"))</f>
        <v/>
      </c>
      <c r="U2922" s="15">
        <f>IF(T2922="",0,IF(AND(G2922=T2922,COUNTIFS($S$6:S2922,S2922,$G$6:G2922,G2922,$D$6:D2922,"Vastgesteld")=1),1,0))</f>
        <v>0</v>
      </c>
      <c r="V2922" s="15">
        <f>IF(T2922="",0,IF(AND(G2922=T2922,COUNTIFS($S$6:S2922,S2922,$G$6:G2922,G2922,$D$6:D2922,"Vastgesteld")&gt;1),1,0))</f>
        <v>0</v>
      </c>
    </row>
    <row r="2923">
      <c r="S2923" s="15" t="str">
        <f>IF(J2923="","",J2923&amp;"|"&amp;E2923&amp;"|"&amp;F2923&amp;"|"&amp;I2923&amp;"|"&amp;O2923)</f>
        <v/>
      </c>
      <c r="T2923" s="15" t="str">
        <f>IF(OR(S2923="",D2923&lt;&gt;"Vastgesteld"),"",_xlfn.MAXIFS($G$6:$G$5005,$S$6:$S$5005,S2923,$D$6:$D$5005,"Vastgesteld"))</f>
        <v/>
      </c>
      <c r="U2923" s="15">
        <f>IF(T2923="",0,IF(AND(G2923=T2923,COUNTIFS($S$6:S2923,S2923,$G$6:G2923,G2923,$D$6:D2923,"Vastgesteld")=1),1,0))</f>
        <v>0</v>
      </c>
      <c r="V2923" s="15">
        <f>IF(T2923="",0,IF(AND(G2923=T2923,COUNTIFS($S$6:S2923,S2923,$G$6:G2923,G2923,$D$6:D2923,"Vastgesteld")&gt;1),1,0))</f>
        <v>0</v>
      </c>
    </row>
    <row r="2924">
      <c r="S2924" s="15" t="str">
        <f>IF(J2924="","",J2924&amp;"|"&amp;E2924&amp;"|"&amp;F2924&amp;"|"&amp;I2924&amp;"|"&amp;O2924)</f>
        <v/>
      </c>
      <c r="T2924" s="15" t="str">
        <f>IF(OR(S2924="",D2924&lt;&gt;"Vastgesteld"),"",_xlfn.MAXIFS($G$6:$G$5005,$S$6:$S$5005,S2924,$D$6:$D$5005,"Vastgesteld"))</f>
        <v/>
      </c>
      <c r="U2924" s="15">
        <f>IF(T2924="",0,IF(AND(G2924=T2924,COUNTIFS($S$6:S2924,S2924,$G$6:G2924,G2924,$D$6:D2924,"Vastgesteld")=1),1,0))</f>
        <v>0</v>
      </c>
      <c r="V2924" s="15">
        <f>IF(T2924="",0,IF(AND(G2924=T2924,COUNTIFS($S$6:S2924,S2924,$G$6:G2924,G2924,$D$6:D2924,"Vastgesteld")&gt;1),1,0))</f>
        <v>0</v>
      </c>
    </row>
    <row r="2925">
      <c r="S2925" s="15" t="str">
        <f>IF(J2925="","",J2925&amp;"|"&amp;E2925&amp;"|"&amp;F2925&amp;"|"&amp;I2925&amp;"|"&amp;O2925)</f>
        <v/>
      </c>
      <c r="T2925" s="15" t="str">
        <f>IF(OR(S2925="",D2925&lt;&gt;"Vastgesteld"),"",_xlfn.MAXIFS($G$6:$G$5005,$S$6:$S$5005,S2925,$D$6:$D$5005,"Vastgesteld"))</f>
        <v/>
      </c>
      <c r="U2925" s="15">
        <f>IF(T2925="",0,IF(AND(G2925=T2925,COUNTIFS($S$6:S2925,S2925,$G$6:G2925,G2925,$D$6:D2925,"Vastgesteld")=1),1,0))</f>
        <v>0</v>
      </c>
      <c r="V2925" s="15">
        <f>IF(T2925="",0,IF(AND(G2925=T2925,COUNTIFS($S$6:S2925,S2925,$G$6:G2925,G2925,$D$6:D2925,"Vastgesteld")&gt;1),1,0))</f>
        <v>0</v>
      </c>
    </row>
    <row r="2926">
      <c r="S2926" s="15" t="str">
        <f>IF(J2926="","",J2926&amp;"|"&amp;E2926&amp;"|"&amp;F2926&amp;"|"&amp;I2926&amp;"|"&amp;O2926)</f>
        <v/>
      </c>
      <c r="T2926" s="15" t="str">
        <f>IF(OR(S2926="",D2926&lt;&gt;"Vastgesteld"),"",_xlfn.MAXIFS($G$6:$G$5005,$S$6:$S$5005,S2926,$D$6:$D$5005,"Vastgesteld"))</f>
        <v/>
      </c>
      <c r="U2926" s="15">
        <f>IF(T2926="",0,IF(AND(G2926=T2926,COUNTIFS($S$6:S2926,S2926,$G$6:G2926,G2926,$D$6:D2926,"Vastgesteld")=1),1,0))</f>
        <v>0</v>
      </c>
      <c r="V2926" s="15">
        <f>IF(T2926="",0,IF(AND(G2926=T2926,COUNTIFS($S$6:S2926,S2926,$G$6:G2926,G2926,$D$6:D2926,"Vastgesteld")&gt;1),1,0))</f>
        <v>0</v>
      </c>
    </row>
    <row r="2927">
      <c r="S2927" s="15" t="str">
        <f>IF(J2927="","",J2927&amp;"|"&amp;E2927&amp;"|"&amp;F2927&amp;"|"&amp;I2927&amp;"|"&amp;O2927)</f>
        <v/>
      </c>
      <c r="T2927" s="15" t="str">
        <f>IF(OR(S2927="",D2927&lt;&gt;"Vastgesteld"),"",_xlfn.MAXIFS($G$6:$G$5005,$S$6:$S$5005,S2927,$D$6:$D$5005,"Vastgesteld"))</f>
        <v/>
      </c>
      <c r="U2927" s="15">
        <f>IF(T2927="",0,IF(AND(G2927=T2927,COUNTIFS($S$6:S2927,S2927,$G$6:G2927,G2927,$D$6:D2927,"Vastgesteld")=1),1,0))</f>
        <v>0</v>
      </c>
      <c r="V2927" s="15">
        <f>IF(T2927="",0,IF(AND(G2927=T2927,COUNTIFS($S$6:S2927,S2927,$G$6:G2927,G2927,$D$6:D2927,"Vastgesteld")&gt;1),1,0))</f>
        <v>0</v>
      </c>
    </row>
    <row r="2928">
      <c r="S2928" s="15" t="str">
        <f>IF(J2928="","",J2928&amp;"|"&amp;E2928&amp;"|"&amp;F2928&amp;"|"&amp;I2928&amp;"|"&amp;O2928)</f>
        <v/>
      </c>
      <c r="T2928" s="15" t="str">
        <f>IF(OR(S2928="",D2928&lt;&gt;"Vastgesteld"),"",_xlfn.MAXIFS($G$6:$G$5005,$S$6:$S$5005,S2928,$D$6:$D$5005,"Vastgesteld"))</f>
        <v/>
      </c>
      <c r="U2928" s="15">
        <f>IF(T2928="",0,IF(AND(G2928=T2928,COUNTIFS($S$6:S2928,S2928,$G$6:G2928,G2928,$D$6:D2928,"Vastgesteld")=1),1,0))</f>
        <v>0</v>
      </c>
      <c r="V2928" s="15">
        <f>IF(T2928="",0,IF(AND(G2928=T2928,COUNTIFS($S$6:S2928,S2928,$G$6:G2928,G2928,$D$6:D2928,"Vastgesteld")&gt;1),1,0))</f>
        <v>0</v>
      </c>
    </row>
    <row r="2929">
      <c r="S2929" s="15" t="str">
        <f>IF(J2929="","",J2929&amp;"|"&amp;E2929&amp;"|"&amp;F2929&amp;"|"&amp;I2929&amp;"|"&amp;O2929)</f>
        <v/>
      </c>
      <c r="T2929" s="15" t="str">
        <f>IF(OR(S2929="",D2929&lt;&gt;"Vastgesteld"),"",_xlfn.MAXIFS($G$6:$G$5005,$S$6:$S$5005,S2929,$D$6:$D$5005,"Vastgesteld"))</f>
        <v/>
      </c>
      <c r="U2929" s="15">
        <f>IF(T2929="",0,IF(AND(G2929=T2929,COUNTIFS($S$6:S2929,S2929,$G$6:G2929,G2929,$D$6:D2929,"Vastgesteld")=1),1,0))</f>
        <v>0</v>
      </c>
      <c r="V2929" s="15">
        <f>IF(T2929="",0,IF(AND(G2929=T2929,COUNTIFS($S$6:S2929,S2929,$G$6:G2929,G2929,$D$6:D2929,"Vastgesteld")&gt;1),1,0))</f>
        <v>0</v>
      </c>
    </row>
    <row r="2930">
      <c r="S2930" s="15" t="str">
        <f>IF(J2930="","",J2930&amp;"|"&amp;E2930&amp;"|"&amp;F2930&amp;"|"&amp;I2930&amp;"|"&amp;O2930)</f>
        <v/>
      </c>
      <c r="T2930" s="15" t="str">
        <f>IF(OR(S2930="",D2930&lt;&gt;"Vastgesteld"),"",_xlfn.MAXIFS($G$6:$G$5005,$S$6:$S$5005,S2930,$D$6:$D$5005,"Vastgesteld"))</f>
        <v/>
      </c>
      <c r="U2930" s="15">
        <f>IF(T2930="",0,IF(AND(G2930=T2930,COUNTIFS($S$6:S2930,S2930,$G$6:G2930,G2930,$D$6:D2930,"Vastgesteld")=1),1,0))</f>
        <v>0</v>
      </c>
      <c r="V2930" s="15">
        <f>IF(T2930="",0,IF(AND(G2930=T2930,COUNTIFS($S$6:S2930,S2930,$G$6:G2930,G2930,$D$6:D2930,"Vastgesteld")&gt;1),1,0))</f>
        <v>0</v>
      </c>
    </row>
    <row r="2931">
      <c r="S2931" s="15" t="str">
        <f>IF(J2931="","",J2931&amp;"|"&amp;E2931&amp;"|"&amp;F2931&amp;"|"&amp;I2931&amp;"|"&amp;O2931)</f>
        <v/>
      </c>
      <c r="T2931" s="15" t="str">
        <f>IF(OR(S2931="",D2931&lt;&gt;"Vastgesteld"),"",_xlfn.MAXIFS($G$6:$G$5005,$S$6:$S$5005,S2931,$D$6:$D$5005,"Vastgesteld"))</f>
        <v/>
      </c>
      <c r="U2931" s="15">
        <f>IF(T2931="",0,IF(AND(G2931=T2931,COUNTIFS($S$6:S2931,S2931,$G$6:G2931,G2931,$D$6:D2931,"Vastgesteld")=1),1,0))</f>
        <v>0</v>
      </c>
      <c r="V2931" s="15">
        <f>IF(T2931="",0,IF(AND(G2931=T2931,COUNTIFS($S$6:S2931,S2931,$G$6:G2931,G2931,$D$6:D2931,"Vastgesteld")&gt;1),1,0))</f>
        <v>0</v>
      </c>
    </row>
    <row r="2932">
      <c r="S2932" s="15" t="str">
        <f>IF(J2932="","",J2932&amp;"|"&amp;E2932&amp;"|"&amp;F2932&amp;"|"&amp;I2932&amp;"|"&amp;O2932)</f>
        <v/>
      </c>
      <c r="T2932" s="15" t="str">
        <f>IF(OR(S2932="",D2932&lt;&gt;"Vastgesteld"),"",_xlfn.MAXIFS($G$6:$G$5005,$S$6:$S$5005,S2932,$D$6:$D$5005,"Vastgesteld"))</f>
        <v/>
      </c>
      <c r="U2932" s="15">
        <f>IF(T2932="",0,IF(AND(G2932=T2932,COUNTIFS($S$6:S2932,S2932,$G$6:G2932,G2932,$D$6:D2932,"Vastgesteld")=1),1,0))</f>
        <v>0</v>
      </c>
      <c r="V2932" s="15">
        <f>IF(T2932="",0,IF(AND(G2932=T2932,COUNTIFS($S$6:S2932,S2932,$G$6:G2932,G2932,$D$6:D2932,"Vastgesteld")&gt;1),1,0))</f>
        <v>0</v>
      </c>
    </row>
    <row r="2933">
      <c r="S2933" s="15" t="str">
        <f>IF(J2933="","",J2933&amp;"|"&amp;E2933&amp;"|"&amp;F2933&amp;"|"&amp;I2933&amp;"|"&amp;O2933)</f>
        <v/>
      </c>
      <c r="T2933" s="15" t="str">
        <f>IF(OR(S2933="",D2933&lt;&gt;"Vastgesteld"),"",_xlfn.MAXIFS($G$6:$G$5005,$S$6:$S$5005,S2933,$D$6:$D$5005,"Vastgesteld"))</f>
        <v/>
      </c>
      <c r="U2933" s="15">
        <f>IF(T2933="",0,IF(AND(G2933=T2933,COUNTIFS($S$6:S2933,S2933,$G$6:G2933,G2933,$D$6:D2933,"Vastgesteld")=1),1,0))</f>
        <v>0</v>
      </c>
      <c r="V2933" s="15">
        <f>IF(T2933="",0,IF(AND(G2933=T2933,COUNTIFS($S$6:S2933,S2933,$G$6:G2933,G2933,$D$6:D2933,"Vastgesteld")&gt;1),1,0))</f>
        <v>0</v>
      </c>
    </row>
    <row r="2934">
      <c r="S2934" s="15" t="str">
        <f>IF(J2934="","",J2934&amp;"|"&amp;E2934&amp;"|"&amp;F2934&amp;"|"&amp;I2934&amp;"|"&amp;O2934)</f>
        <v/>
      </c>
      <c r="T2934" s="15" t="str">
        <f>IF(OR(S2934="",D2934&lt;&gt;"Vastgesteld"),"",_xlfn.MAXIFS($G$6:$G$5005,$S$6:$S$5005,S2934,$D$6:$D$5005,"Vastgesteld"))</f>
        <v/>
      </c>
      <c r="U2934" s="15">
        <f>IF(T2934="",0,IF(AND(G2934=T2934,COUNTIFS($S$6:S2934,S2934,$G$6:G2934,G2934,$D$6:D2934,"Vastgesteld")=1),1,0))</f>
        <v>0</v>
      </c>
      <c r="V2934" s="15">
        <f>IF(T2934="",0,IF(AND(G2934=T2934,COUNTIFS($S$6:S2934,S2934,$G$6:G2934,G2934,$D$6:D2934,"Vastgesteld")&gt;1),1,0))</f>
        <v>0</v>
      </c>
    </row>
    <row r="2935">
      <c r="S2935" s="15" t="str">
        <f>IF(J2935="","",J2935&amp;"|"&amp;E2935&amp;"|"&amp;F2935&amp;"|"&amp;I2935&amp;"|"&amp;O2935)</f>
        <v/>
      </c>
      <c r="T2935" s="15" t="str">
        <f>IF(OR(S2935="",D2935&lt;&gt;"Vastgesteld"),"",_xlfn.MAXIFS($G$6:$G$5005,$S$6:$S$5005,S2935,$D$6:$D$5005,"Vastgesteld"))</f>
        <v/>
      </c>
      <c r="U2935" s="15">
        <f>IF(T2935="",0,IF(AND(G2935=T2935,COUNTIFS($S$6:S2935,S2935,$G$6:G2935,G2935,$D$6:D2935,"Vastgesteld")=1),1,0))</f>
        <v>0</v>
      </c>
      <c r="V2935" s="15">
        <f>IF(T2935="",0,IF(AND(G2935=T2935,COUNTIFS($S$6:S2935,S2935,$G$6:G2935,G2935,$D$6:D2935,"Vastgesteld")&gt;1),1,0))</f>
        <v>0</v>
      </c>
    </row>
    <row r="2936">
      <c r="S2936" s="15" t="str">
        <f>IF(J2936="","",J2936&amp;"|"&amp;E2936&amp;"|"&amp;F2936&amp;"|"&amp;I2936&amp;"|"&amp;O2936)</f>
        <v/>
      </c>
      <c r="T2936" s="15" t="str">
        <f>IF(OR(S2936="",D2936&lt;&gt;"Vastgesteld"),"",_xlfn.MAXIFS($G$6:$G$5005,$S$6:$S$5005,S2936,$D$6:$D$5005,"Vastgesteld"))</f>
        <v/>
      </c>
      <c r="U2936" s="15">
        <f>IF(T2936="",0,IF(AND(G2936=T2936,COUNTIFS($S$6:S2936,S2936,$G$6:G2936,G2936,$D$6:D2936,"Vastgesteld")=1),1,0))</f>
        <v>0</v>
      </c>
      <c r="V2936" s="15">
        <f>IF(T2936="",0,IF(AND(G2936=T2936,COUNTIFS($S$6:S2936,S2936,$G$6:G2936,G2936,$D$6:D2936,"Vastgesteld")&gt;1),1,0))</f>
        <v>0</v>
      </c>
    </row>
    <row r="2937">
      <c r="S2937" s="15" t="str">
        <f>IF(J2937="","",J2937&amp;"|"&amp;E2937&amp;"|"&amp;F2937&amp;"|"&amp;I2937&amp;"|"&amp;O2937)</f>
        <v/>
      </c>
      <c r="T2937" s="15" t="str">
        <f>IF(OR(S2937="",D2937&lt;&gt;"Vastgesteld"),"",_xlfn.MAXIFS($G$6:$G$5005,$S$6:$S$5005,S2937,$D$6:$D$5005,"Vastgesteld"))</f>
        <v/>
      </c>
      <c r="U2937" s="15">
        <f>IF(T2937="",0,IF(AND(G2937=T2937,COUNTIFS($S$6:S2937,S2937,$G$6:G2937,G2937,$D$6:D2937,"Vastgesteld")=1),1,0))</f>
        <v>0</v>
      </c>
      <c r="V2937" s="15">
        <f>IF(T2937="",0,IF(AND(G2937=T2937,COUNTIFS($S$6:S2937,S2937,$G$6:G2937,G2937,$D$6:D2937,"Vastgesteld")&gt;1),1,0))</f>
        <v>0</v>
      </c>
    </row>
    <row r="2938">
      <c r="S2938" s="15" t="str">
        <f>IF(J2938="","",J2938&amp;"|"&amp;E2938&amp;"|"&amp;F2938&amp;"|"&amp;I2938&amp;"|"&amp;O2938)</f>
        <v/>
      </c>
      <c r="T2938" s="15" t="str">
        <f>IF(OR(S2938="",D2938&lt;&gt;"Vastgesteld"),"",_xlfn.MAXIFS($G$6:$G$5005,$S$6:$S$5005,S2938,$D$6:$D$5005,"Vastgesteld"))</f>
        <v/>
      </c>
      <c r="U2938" s="15">
        <f>IF(T2938="",0,IF(AND(G2938=T2938,COUNTIFS($S$6:S2938,S2938,$G$6:G2938,G2938,$D$6:D2938,"Vastgesteld")=1),1,0))</f>
        <v>0</v>
      </c>
      <c r="V2938" s="15">
        <f>IF(T2938="",0,IF(AND(G2938=T2938,COUNTIFS($S$6:S2938,S2938,$G$6:G2938,G2938,$D$6:D2938,"Vastgesteld")&gt;1),1,0))</f>
        <v>0</v>
      </c>
    </row>
    <row r="2939">
      <c r="S2939" s="15" t="str">
        <f>IF(J2939="","",J2939&amp;"|"&amp;E2939&amp;"|"&amp;F2939&amp;"|"&amp;I2939&amp;"|"&amp;O2939)</f>
        <v/>
      </c>
      <c r="T2939" s="15" t="str">
        <f>IF(OR(S2939="",D2939&lt;&gt;"Vastgesteld"),"",_xlfn.MAXIFS($G$6:$G$5005,$S$6:$S$5005,S2939,$D$6:$D$5005,"Vastgesteld"))</f>
        <v/>
      </c>
      <c r="U2939" s="15">
        <f>IF(T2939="",0,IF(AND(G2939=T2939,COUNTIFS($S$6:S2939,S2939,$G$6:G2939,G2939,$D$6:D2939,"Vastgesteld")=1),1,0))</f>
        <v>0</v>
      </c>
      <c r="V2939" s="15">
        <f>IF(T2939="",0,IF(AND(G2939=T2939,COUNTIFS($S$6:S2939,S2939,$G$6:G2939,G2939,$D$6:D2939,"Vastgesteld")&gt;1),1,0))</f>
        <v>0</v>
      </c>
    </row>
    <row r="2940">
      <c r="S2940" s="15" t="str">
        <f>IF(J2940="","",J2940&amp;"|"&amp;E2940&amp;"|"&amp;F2940&amp;"|"&amp;I2940&amp;"|"&amp;O2940)</f>
        <v/>
      </c>
      <c r="T2940" s="15" t="str">
        <f>IF(OR(S2940="",D2940&lt;&gt;"Vastgesteld"),"",_xlfn.MAXIFS($G$6:$G$5005,$S$6:$S$5005,S2940,$D$6:$D$5005,"Vastgesteld"))</f>
        <v/>
      </c>
      <c r="U2940" s="15">
        <f>IF(T2940="",0,IF(AND(G2940=T2940,COUNTIFS($S$6:S2940,S2940,$G$6:G2940,G2940,$D$6:D2940,"Vastgesteld")=1),1,0))</f>
        <v>0</v>
      </c>
      <c r="V2940" s="15">
        <f>IF(T2940="",0,IF(AND(G2940=T2940,COUNTIFS($S$6:S2940,S2940,$G$6:G2940,G2940,$D$6:D2940,"Vastgesteld")&gt;1),1,0))</f>
        <v>0</v>
      </c>
    </row>
    <row r="2941">
      <c r="S2941" s="15" t="str">
        <f>IF(J2941="","",J2941&amp;"|"&amp;E2941&amp;"|"&amp;F2941&amp;"|"&amp;I2941&amp;"|"&amp;O2941)</f>
        <v/>
      </c>
      <c r="T2941" s="15" t="str">
        <f>IF(OR(S2941="",D2941&lt;&gt;"Vastgesteld"),"",_xlfn.MAXIFS($G$6:$G$5005,$S$6:$S$5005,S2941,$D$6:$D$5005,"Vastgesteld"))</f>
        <v/>
      </c>
      <c r="U2941" s="15">
        <f>IF(T2941="",0,IF(AND(G2941=T2941,COUNTIFS($S$6:S2941,S2941,$G$6:G2941,G2941,$D$6:D2941,"Vastgesteld")=1),1,0))</f>
        <v>0</v>
      </c>
      <c r="V2941" s="15">
        <f>IF(T2941="",0,IF(AND(G2941=T2941,COUNTIFS($S$6:S2941,S2941,$G$6:G2941,G2941,$D$6:D2941,"Vastgesteld")&gt;1),1,0))</f>
        <v>0</v>
      </c>
    </row>
    <row r="2942">
      <c r="S2942" s="15" t="str">
        <f>IF(J2942="","",J2942&amp;"|"&amp;E2942&amp;"|"&amp;F2942&amp;"|"&amp;I2942&amp;"|"&amp;O2942)</f>
        <v/>
      </c>
      <c r="T2942" s="15" t="str">
        <f>IF(OR(S2942="",D2942&lt;&gt;"Vastgesteld"),"",_xlfn.MAXIFS($G$6:$G$5005,$S$6:$S$5005,S2942,$D$6:$D$5005,"Vastgesteld"))</f>
        <v/>
      </c>
      <c r="U2942" s="15">
        <f>IF(T2942="",0,IF(AND(G2942=T2942,COUNTIFS($S$6:S2942,S2942,$G$6:G2942,G2942,$D$6:D2942,"Vastgesteld")=1),1,0))</f>
        <v>0</v>
      </c>
      <c r="V2942" s="15">
        <f>IF(T2942="",0,IF(AND(G2942=T2942,COUNTIFS($S$6:S2942,S2942,$G$6:G2942,G2942,$D$6:D2942,"Vastgesteld")&gt;1),1,0))</f>
        <v>0</v>
      </c>
    </row>
    <row r="2943">
      <c r="S2943" s="15" t="str">
        <f>IF(J2943="","",J2943&amp;"|"&amp;E2943&amp;"|"&amp;F2943&amp;"|"&amp;I2943&amp;"|"&amp;O2943)</f>
        <v/>
      </c>
      <c r="T2943" s="15" t="str">
        <f>IF(OR(S2943="",D2943&lt;&gt;"Vastgesteld"),"",_xlfn.MAXIFS($G$6:$G$5005,$S$6:$S$5005,S2943,$D$6:$D$5005,"Vastgesteld"))</f>
        <v/>
      </c>
      <c r="U2943" s="15">
        <f>IF(T2943="",0,IF(AND(G2943=T2943,COUNTIFS($S$6:S2943,S2943,$G$6:G2943,G2943,$D$6:D2943,"Vastgesteld")=1),1,0))</f>
        <v>0</v>
      </c>
      <c r="V2943" s="15">
        <f>IF(T2943="",0,IF(AND(G2943=T2943,COUNTIFS($S$6:S2943,S2943,$G$6:G2943,G2943,$D$6:D2943,"Vastgesteld")&gt;1),1,0))</f>
        <v>0</v>
      </c>
    </row>
    <row r="2944">
      <c r="S2944" s="15" t="str">
        <f>IF(J2944="","",J2944&amp;"|"&amp;E2944&amp;"|"&amp;F2944&amp;"|"&amp;I2944&amp;"|"&amp;O2944)</f>
        <v/>
      </c>
      <c r="T2944" s="15" t="str">
        <f>IF(OR(S2944="",D2944&lt;&gt;"Vastgesteld"),"",_xlfn.MAXIFS($G$6:$G$5005,$S$6:$S$5005,S2944,$D$6:$D$5005,"Vastgesteld"))</f>
        <v/>
      </c>
      <c r="U2944" s="15">
        <f>IF(T2944="",0,IF(AND(G2944=T2944,COUNTIFS($S$6:S2944,S2944,$G$6:G2944,G2944,$D$6:D2944,"Vastgesteld")=1),1,0))</f>
        <v>0</v>
      </c>
      <c r="V2944" s="15">
        <f>IF(T2944="",0,IF(AND(G2944=T2944,COUNTIFS($S$6:S2944,S2944,$G$6:G2944,G2944,$D$6:D2944,"Vastgesteld")&gt;1),1,0))</f>
        <v>0</v>
      </c>
    </row>
    <row r="2945">
      <c r="S2945" s="15" t="str">
        <f>IF(J2945="","",J2945&amp;"|"&amp;E2945&amp;"|"&amp;F2945&amp;"|"&amp;I2945&amp;"|"&amp;O2945)</f>
        <v/>
      </c>
      <c r="T2945" s="15" t="str">
        <f>IF(OR(S2945="",D2945&lt;&gt;"Vastgesteld"),"",_xlfn.MAXIFS($G$6:$G$5005,$S$6:$S$5005,S2945,$D$6:$D$5005,"Vastgesteld"))</f>
        <v/>
      </c>
      <c r="U2945" s="15">
        <f>IF(T2945="",0,IF(AND(G2945=T2945,COUNTIFS($S$6:S2945,S2945,$G$6:G2945,G2945,$D$6:D2945,"Vastgesteld")=1),1,0))</f>
        <v>0</v>
      </c>
      <c r="V2945" s="15">
        <f>IF(T2945="",0,IF(AND(G2945=T2945,COUNTIFS($S$6:S2945,S2945,$G$6:G2945,G2945,$D$6:D2945,"Vastgesteld")&gt;1),1,0))</f>
        <v>0</v>
      </c>
    </row>
    <row r="2946">
      <c r="S2946" s="15" t="str">
        <f>IF(J2946="","",J2946&amp;"|"&amp;E2946&amp;"|"&amp;F2946&amp;"|"&amp;I2946&amp;"|"&amp;O2946)</f>
        <v/>
      </c>
      <c r="T2946" s="15" t="str">
        <f>IF(OR(S2946="",D2946&lt;&gt;"Vastgesteld"),"",_xlfn.MAXIFS($G$6:$G$5005,$S$6:$S$5005,S2946,$D$6:$D$5005,"Vastgesteld"))</f>
        <v/>
      </c>
      <c r="U2946" s="15">
        <f>IF(T2946="",0,IF(AND(G2946=T2946,COUNTIFS($S$6:S2946,S2946,$G$6:G2946,G2946,$D$6:D2946,"Vastgesteld")=1),1,0))</f>
        <v>0</v>
      </c>
      <c r="V2946" s="15">
        <f>IF(T2946="",0,IF(AND(G2946=T2946,COUNTIFS($S$6:S2946,S2946,$G$6:G2946,G2946,$D$6:D2946,"Vastgesteld")&gt;1),1,0))</f>
        <v>0</v>
      </c>
    </row>
    <row r="2947">
      <c r="S2947" s="15" t="str">
        <f>IF(J2947="","",J2947&amp;"|"&amp;E2947&amp;"|"&amp;F2947&amp;"|"&amp;I2947&amp;"|"&amp;O2947)</f>
        <v/>
      </c>
      <c r="T2947" s="15" t="str">
        <f>IF(OR(S2947="",D2947&lt;&gt;"Vastgesteld"),"",_xlfn.MAXIFS($G$6:$G$5005,$S$6:$S$5005,S2947,$D$6:$D$5005,"Vastgesteld"))</f>
        <v/>
      </c>
      <c r="U2947" s="15">
        <f>IF(T2947="",0,IF(AND(G2947=T2947,COUNTIFS($S$6:S2947,S2947,$G$6:G2947,G2947,$D$6:D2947,"Vastgesteld")=1),1,0))</f>
        <v>0</v>
      </c>
      <c r="V2947" s="15">
        <f>IF(T2947="",0,IF(AND(G2947=T2947,COUNTIFS($S$6:S2947,S2947,$G$6:G2947,G2947,$D$6:D2947,"Vastgesteld")&gt;1),1,0))</f>
        <v>0</v>
      </c>
    </row>
    <row r="2948">
      <c r="S2948" s="15" t="str">
        <f>IF(J2948="","",J2948&amp;"|"&amp;E2948&amp;"|"&amp;F2948&amp;"|"&amp;I2948&amp;"|"&amp;O2948)</f>
        <v/>
      </c>
      <c r="T2948" s="15" t="str">
        <f>IF(OR(S2948="",D2948&lt;&gt;"Vastgesteld"),"",_xlfn.MAXIFS($G$6:$G$5005,$S$6:$S$5005,S2948,$D$6:$D$5005,"Vastgesteld"))</f>
        <v/>
      </c>
      <c r="U2948" s="15">
        <f>IF(T2948="",0,IF(AND(G2948=T2948,COUNTIFS($S$6:S2948,S2948,$G$6:G2948,G2948,$D$6:D2948,"Vastgesteld")=1),1,0))</f>
        <v>0</v>
      </c>
      <c r="V2948" s="15">
        <f>IF(T2948="",0,IF(AND(G2948=T2948,COUNTIFS($S$6:S2948,S2948,$G$6:G2948,G2948,$D$6:D2948,"Vastgesteld")&gt;1),1,0))</f>
        <v>0</v>
      </c>
    </row>
    <row r="2949">
      <c r="S2949" s="15" t="str">
        <f>IF(J2949="","",J2949&amp;"|"&amp;E2949&amp;"|"&amp;F2949&amp;"|"&amp;I2949&amp;"|"&amp;O2949)</f>
        <v/>
      </c>
      <c r="T2949" s="15" t="str">
        <f>IF(OR(S2949="",D2949&lt;&gt;"Vastgesteld"),"",_xlfn.MAXIFS($G$6:$G$5005,$S$6:$S$5005,S2949,$D$6:$D$5005,"Vastgesteld"))</f>
        <v/>
      </c>
      <c r="U2949" s="15">
        <f>IF(T2949="",0,IF(AND(G2949=T2949,COUNTIFS($S$6:S2949,S2949,$G$6:G2949,G2949,$D$6:D2949,"Vastgesteld")=1),1,0))</f>
        <v>0</v>
      </c>
      <c r="V2949" s="15">
        <f>IF(T2949="",0,IF(AND(G2949=T2949,COUNTIFS($S$6:S2949,S2949,$G$6:G2949,G2949,$D$6:D2949,"Vastgesteld")&gt;1),1,0))</f>
        <v>0</v>
      </c>
    </row>
    <row r="2950">
      <c r="S2950" s="15" t="str">
        <f>IF(J2950="","",J2950&amp;"|"&amp;E2950&amp;"|"&amp;F2950&amp;"|"&amp;I2950&amp;"|"&amp;O2950)</f>
        <v/>
      </c>
      <c r="T2950" s="15" t="str">
        <f>IF(OR(S2950="",D2950&lt;&gt;"Vastgesteld"),"",_xlfn.MAXIFS($G$6:$G$5005,$S$6:$S$5005,S2950,$D$6:$D$5005,"Vastgesteld"))</f>
        <v/>
      </c>
      <c r="U2950" s="15">
        <f>IF(T2950="",0,IF(AND(G2950=T2950,COUNTIFS($S$6:S2950,S2950,$G$6:G2950,G2950,$D$6:D2950,"Vastgesteld")=1),1,0))</f>
        <v>0</v>
      </c>
      <c r="V2950" s="15">
        <f>IF(T2950="",0,IF(AND(G2950=T2950,COUNTIFS($S$6:S2950,S2950,$G$6:G2950,G2950,$D$6:D2950,"Vastgesteld")&gt;1),1,0))</f>
        <v>0</v>
      </c>
    </row>
    <row r="2951">
      <c r="S2951" s="15" t="str">
        <f>IF(J2951="","",J2951&amp;"|"&amp;E2951&amp;"|"&amp;F2951&amp;"|"&amp;I2951&amp;"|"&amp;O2951)</f>
        <v/>
      </c>
      <c r="T2951" s="15" t="str">
        <f>IF(OR(S2951="",D2951&lt;&gt;"Vastgesteld"),"",_xlfn.MAXIFS($G$6:$G$5005,$S$6:$S$5005,S2951,$D$6:$D$5005,"Vastgesteld"))</f>
        <v/>
      </c>
      <c r="U2951" s="15">
        <f>IF(T2951="",0,IF(AND(G2951=T2951,COUNTIFS($S$6:S2951,S2951,$G$6:G2951,G2951,$D$6:D2951,"Vastgesteld")=1),1,0))</f>
        <v>0</v>
      </c>
      <c r="V2951" s="15">
        <f>IF(T2951="",0,IF(AND(G2951=T2951,COUNTIFS($S$6:S2951,S2951,$G$6:G2951,G2951,$D$6:D2951,"Vastgesteld")&gt;1),1,0))</f>
        <v>0</v>
      </c>
    </row>
    <row r="2952">
      <c r="S2952" s="15" t="str">
        <f>IF(J2952="","",J2952&amp;"|"&amp;E2952&amp;"|"&amp;F2952&amp;"|"&amp;I2952&amp;"|"&amp;O2952)</f>
        <v/>
      </c>
      <c r="T2952" s="15" t="str">
        <f>IF(OR(S2952="",D2952&lt;&gt;"Vastgesteld"),"",_xlfn.MAXIFS($G$6:$G$5005,$S$6:$S$5005,S2952,$D$6:$D$5005,"Vastgesteld"))</f>
        <v/>
      </c>
      <c r="U2952" s="15">
        <f>IF(T2952="",0,IF(AND(G2952=T2952,COUNTIFS($S$6:S2952,S2952,$G$6:G2952,G2952,$D$6:D2952,"Vastgesteld")=1),1,0))</f>
        <v>0</v>
      </c>
      <c r="V2952" s="15">
        <f>IF(T2952="",0,IF(AND(G2952=T2952,COUNTIFS($S$6:S2952,S2952,$G$6:G2952,G2952,$D$6:D2952,"Vastgesteld")&gt;1),1,0))</f>
        <v>0</v>
      </c>
    </row>
    <row r="2953">
      <c r="S2953" s="15" t="str">
        <f>IF(J2953="","",J2953&amp;"|"&amp;E2953&amp;"|"&amp;F2953&amp;"|"&amp;I2953&amp;"|"&amp;O2953)</f>
        <v/>
      </c>
      <c r="T2953" s="15" t="str">
        <f>IF(OR(S2953="",D2953&lt;&gt;"Vastgesteld"),"",_xlfn.MAXIFS($G$6:$G$5005,$S$6:$S$5005,S2953,$D$6:$D$5005,"Vastgesteld"))</f>
        <v/>
      </c>
      <c r="U2953" s="15">
        <f>IF(T2953="",0,IF(AND(G2953=T2953,COUNTIFS($S$6:S2953,S2953,$G$6:G2953,G2953,$D$6:D2953,"Vastgesteld")=1),1,0))</f>
        <v>0</v>
      </c>
      <c r="V2953" s="15">
        <f>IF(T2953="",0,IF(AND(G2953=T2953,COUNTIFS($S$6:S2953,S2953,$G$6:G2953,G2953,$D$6:D2953,"Vastgesteld")&gt;1),1,0))</f>
        <v>0</v>
      </c>
    </row>
    <row r="2954">
      <c r="S2954" s="15" t="str">
        <f>IF(J2954="","",J2954&amp;"|"&amp;E2954&amp;"|"&amp;F2954&amp;"|"&amp;I2954&amp;"|"&amp;O2954)</f>
        <v/>
      </c>
      <c r="T2954" s="15" t="str">
        <f>IF(OR(S2954="",D2954&lt;&gt;"Vastgesteld"),"",_xlfn.MAXIFS($G$6:$G$5005,$S$6:$S$5005,S2954,$D$6:$D$5005,"Vastgesteld"))</f>
        <v/>
      </c>
      <c r="U2954" s="15">
        <f>IF(T2954="",0,IF(AND(G2954=T2954,COUNTIFS($S$6:S2954,S2954,$G$6:G2954,G2954,$D$6:D2954,"Vastgesteld")=1),1,0))</f>
        <v>0</v>
      </c>
      <c r="V2954" s="15">
        <f>IF(T2954="",0,IF(AND(G2954=T2954,COUNTIFS($S$6:S2954,S2954,$G$6:G2954,G2954,$D$6:D2954,"Vastgesteld")&gt;1),1,0))</f>
        <v>0</v>
      </c>
    </row>
    <row r="2955">
      <c r="S2955" s="15" t="str">
        <f>IF(J2955="","",J2955&amp;"|"&amp;E2955&amp;"|"&amp;F2955&amp;"|"&amp;I2955&amp;"|"&amp;O2955)</f>
        <v/>
      </c>
      <c r="T2955" s="15" t="str">
        <f>IF(OR(S2955="",D2955&lt;&gt;"Vastgesteld"),"",_xlfn.MAXIFS($G$6:$G$5005,$S$6:$S$5005,S2955,$D$6:$D$5005,"Vastgesteld"))</f>
        <v/>
      </c>
      <c r="U2955" s="15">
        <f>IF(T2955="",0,IF(AND(G2955=T2955,COUNTIFS($S$6:S2955,S2955,$G$6:G2955,G2955,$D$6:D2955,"Vastgesteld")=1),1,0))</f>
        <v>0</v>
      </c>
      <c r="V2955" s="15">
        <f>IF(T2955="",0,IF(AND(G2955=T2955,COUNTIFS($S$6:S2955,S2955,$G$6:G2955,G2955,$D$6:D2955,"Vastgesteld")&gt;1),1,0))</f>
        <v>0</v>
      </c>
    </row>
    <row r="2956">
      <c r="S2956" s="15" t="str">
        <f>IF(J2956="","",J2956&amp;"|"&amp;E2956&amp;"|"&amp;F2956&amp;"|"&amp;I2956&amp;"|"&amp;O2956)</f>
        <v/>
      </c>
      <c r="T2956" s="15" t="str">
        <f>IF(OR(S2956="",D2956&lt;&gt;"Vastgesteld"),"",_xlfn.MAXIFS($G$6:$G$5005,$S$6:$S$5005,S2956,$D$6:$D$5005,"Vastgesteld"))</f>
        <v/>
      </c>
      <c r="U2956" s="15">
        <f>IF(T2956="",0,IF(AND(G2956=T2956,COUNTIFS($S$6:S2956,S2956,$G$6:G2956,G2956,$D$6:D2956,"Vastgesteld")=1),1,0))</f>
        <v>0</v>
      </c>
      <c r="V2956" s="15">
        <f>IF(T2956="",0,IF(AND(G2956=T2956,COUNTIFS($S$6:S2956,S2956,$G$6:G2956,G2956,$D$6:D2956,"Vastgesteld")&gt;1),1,0))</f>
        <v>0</v>
      </c>
    </row>
    <row r="2957">
      <c r="S2957" s="15" t="str">
        <f>IF(J2957="","",J2957&amp;"|"&amp;E2957&amp;"|"&amp;F2957&amp;"|"&amp;I2957&amp;"|"&amp;O2957)</f>
        <v/>
      </c>
      <c r="T2957" s="15" t="str">
        <f>IF(OR(S2957="",D2957&lt;&gt;"Vastgesteld"),"",_xlfn.MAXIFS($G$6:$G$5005,$S$6:$S$5005,S2957,$D$6:$D$5005,"Vastgesteld"))</f>
        <v/>
      </c>
      <c r="U2957" s="15">
        <f>IF(T2957="",0,IF(AND(G2957=T2957,COUNTIFS($S$6:S2957,S2957,$G$6:G2957,G2957,$D$6:D2957,"Vastgesteld")=1),1,0))</f>
        <v>0</v>
      </c>
      <c r="V2957" s="15">
        <f>IF(T2957="",0,IF(AND(G2957=T2957,COUNTIFS($S$6:S2957,S2957,$G$6:G2957,G2957,$D$6:D2957,"Vastgesteld")&gt;1),1,0))</f>
        <v>0</v>
      </c>
    </row>
    <row r="2958">
      <c r="S2958" s="15" t="str">
        <f>IF(J2958="","",J2958&amp;"|"&amp;E2958&amp;"|"&amp;F2958&amp;"|"&amp;I2958&amp;"|"&amp;O2958)</f>
        <v/>
      </c>
      <c r="T2958" s="15" t="str">
        <f>IF(OR(S2958="",D2958&lt;&gt;"Vastgesteld"),"",_xlfn.MAXIFS($G$6:$G$5005,$S$6:$S$5005,S2958,$D$6:$D$5005,"Vastgesteld"))</f>
        <v/>
      </c>
      <c r="U2958" s="15">
        <f>IF(T2958="",0,IF(AND(G2958=T2958,COUNTIFS($S$6:S2958,S2958,$G$6:G2958,G2958,$D$6:D2958,"Vastgesteld")=1),1,0))</f>
        <v>0</v>
      </c>
      <c r="V2958" s="15">
        <f>IF(T2958="",0,IF(AND(G2958=T2958,COUNTIFS($S$6:S2958,S2958,$G$6:G2958,G2958,$D$6:D2958,"Vastgesteld")&gt;1),1,0))</f>
        <v>0</v>
      </c>
    </row>
    <row r="2959">
      <c r="S2959" s="15" t="str">
        <f>IF(J2959="","",J2959&amp;"|"&amp;E2959&amp;"|"&amp;F2959&amp;"|"&amp;I2959&amp;"|"&amp;O2959)</f>
        <v/>
      </c>
      <c r="T2959" s="15" t="str">
        <f>IF(OR(S2959="",D2959&lt;&gt;"Vastgesteld"),"",_xlfn.MAXIFS($G$6:$G$5005,$S$6:$S$5005,S2959,$D$6:$D$5005,"Vastgesteld"))</f>
        <v/>
      </c>
      <c r="U2959" s="15">
        <f>IF(T2959="",0,IF(AND(G2959=T2959,COUNTIFS($S$6:S2959,S2959,$G$6:G2959,G2959,$D$6:D2959,"Vastgesteld")=1),1,0))</f>
        <v>0</v>
      </c>
      <c r="V2959" s="15">
        <f>IF(T2959="",0,IF(AND(G2959=T2959,COUNTIFS($S$6:S2959,S2959,$G$6:G2959,G2959,$D$6:D2959,"Vastgesteld")&gt;1),1,0))</f>
        <v>0</v>
      </c>
    </row>
    <row r="2960">
      <c r="S2960" s="15" t="str">
        <f>IF(J2960="","",J2960&amp;"|"&amp;E2960&amp;"|"&amp;F2960&amp;"|"&amp;I2960&amp;"|"&amp;O2960)</f>
        <v/>
      </c>
      <c r="T2960" s="15" t="str">
        <f>IF(OR(S2960="",D2960&lt;&gt;"Vastgesteld"),"",_xlfn.MAXIFS($G$6:$G$5005,$S$6:$S$5005,S2960,$D$6:$D$5005,"Vastgesteld"))</f>
        <v/>
      </c>
      <c r="U2960" s="15">
        <f>IF(T2960="",0,IF(AND(G2960=T2960,COUNTIFS($S$6:S2960,S2960,$G$6:G2960,G2960,$D$6:D2960,"Vastgesteld")=1),1,0))</f>
        <v>0</v>
      </c>
      <c r="V2960" s="15">
        <f>IF(T2960="",0,IF(AND(G2960=T2960,COUNTIFS($S$6:S2960,S2960,$G$6:G2960,G2960,$D$6:D2960,"Vastgesteld")&gt;1),1,0))</f>
        <v>0</v>
      </c>
    </row>
    <row r="2961">
      <c r="S2961" s="15" t="str">
        <f>IF(J2961="","",J2961&amp;"|"&amp;E2961&amp;"|"&amp;F2961&amp;"|"&amp;I2961&amp;"|"&amp;O2961)</f>
        <v/>
      </c>
      <c r="T2961" s="15" t="str">
        <f>IF(OR(S2961="",D2961&lt;&gt;"Vastgesteld"),"",_xlfn.MAXIFS($G$6:$G$5005,$S$6:$S$5005,S2961,$D$6:$D$5005,"Vastgesteld"))</f>
        <v/>
      </c>
      <c r="U2961" s="15">
        <f>IF(T2961="",0,IF(AND(G2961=T2961,COUNTIFS($S$6:S2961,S2961,$G$6:G2961,G2961,$D$6:D2961,"Vastgesteld")=1),1,0))</f>
        <v>0</v>
      </c>
      <c r="V2961" s="15">
        <f>IF(T2961="",0,IF(AND(G2961=T2961,COUNTIFS($S$6:S2961,S2961,$G$6:G2961,G2961,$D$6:D2961,"Vastgesteld")&gt;1),1,0))</f>
        <v>0</v>
      </c>
    </row>
    <row r="2962">
      <c r="S2962" s="15" t="str">
        <f>IF(J2962="","",J2962&amp;"|"&amp;E2962&amp;"|"&amp;F2962&amp;"|"&amp;I2962&amp;"|"&amp;O2962)</f>
        <v/>
      </c>
      <c r="T2962" s="15" t="str">
        <f>IF(OR(S2962="",D2962&lt;&gt;"Vastgesteld"),"",_xlfn.MAXIFS($G$6:$G$5005,$S$6:$S$5005,S2962,$D$6:$D$5005,"Vastgesteld"))</f>
        <v/>
      </c>
      <c r="U2962" s="15">
        <f>IF(T2962="",0,IF(AND(G2962=T2962,COUNTIFS($S$6:S2962,S2962,$G$6:G2962,G2962,$D$6:D2962,"Vastgesteld")=1),1,0))</f>
        <v>0</v>
      </c>
      <c r="V2962" s="15">
        <f>IF(T2962="",0,IF(AND(G2962=T2962,COUNTIFS($S$6:S2962,S2962,$G$6:G2962,G2962,$D$6:D2962,"Vastgesteld")&gt;1),1,0))</f>
        <v>0</v>
      </c>
    </row>
    <row r="2963">
      <c r="S2963" s="15" t="str">
        <f>IF(J2963="","",J2963&amp;"|"&amp;E2963&amp;"|"&amp;F2963&amp;"|"&amp;I2963&amp;"|"&amp;O2963)</f>
        <v/>
      </c>
      <c r="T2963" s="15" t="str">
        <f>IF(OR(S2963="",D2963&lt;&gt;"Vastgesteld"),"",_xlfn.MAXIFS($G$6:$G$5005,$S$6:$S$5005,S2963,$D$6:$D$5005,"Vastgesteld"))</f>
        <v/>
      </c>
      <c r="U2963" s="15">
        <f>IF(T2963="",0,IF(AND(G2963=T2963,COUNTIFS($S$6:S2963,S2963,$G$6:G2963,G2963,$D$6:D2963,"Vastgesteld")=1),1,0))</f>
        <v>0</v>
      </c>
      <c r="V2963" s="15">
        <f>IF(T2963="",0,IF(AND(G2963=T2963,COUNTIFS($S$6:S2963,S2963,$G$6:G2963,G2963,$D$6:D2963,"Vastgesteld")&gt;1),1,0))</f>
        <v>0</v>
      </c>
    </row>
    <row r="2964">
      <c r="S2964" s="15" t="str">
        <f>IF(J2964="","",J2964&amp;"|"&amp;E2964&amp;"|"&amp;F2964&amp;"|"&amp;I2964&amp;"|"&amp;O2964)</f>
        <v/>
      </c>
      <c r="T2964" s="15" t="str">
        <f>IF(OR(S2964="",D2964&lt;&gt;"Vastgesteld"),"",_xlfn.MAXIFS($G$6:$G$5005,$S$6:$S$5005,S2964,$D$6:$D$5005,"Vastgesteld"))</f>
        <v/>
      </c>
      <c r="U2964" s="15">
        <f>IF(T2964="",0,IF(AND(G2964=T2964,COUNTIFS($S$6:S2964,S2964,$G$6:G2964,G2964,$D$6:D2964,"Vastgesteld")=1),1,0))</f>
        <v>0</v>
      </c>
      <c r="V2964" s="15">
        <f>IF(T2964="",0,IF(AND(G2964=T2964,COUNTIFS($S$6:S2964,S2964,$G$6:G2964,G2964,$D$6:D2964,"Vastgesteld")&gt;1),1,0))</f>
        <v>0</v>
      </c>
    </row>
    <row r="2965">
      <c r="S2965" s="15" t="str">
        <f>IF(J2965="","",J2965&amp;"|"&amp;E2965&amp;"|"&amp;F2965&amp;"|"&amp;I2965&amp;"|"&amp;O2965)</f>
        <v/>
      </c>
      <c r="T2965" s="15" t="str">
        <f>IF(OR(S2965="",D2965&lt;&gt;"Vastgesteld"),"",_xlfn.MAXIFS($G$6:$G$5005,$S$6:$S$5005,S2965,$D$6:$D$5005,"Vastgesteld"))</f>
        <v/>
      </c>
      <c r="U2965" s="15">
        <f>IF(T2965="",0,IF(AND(G2965=T2965,COUNTIFS($S$6:S2965,S2965,$G$6:G2965,G2965,$D$6:D2965,"Vastgesteld")=1),1,0))</f>
        <v>0</v>
      </c>
      <c r="V2965" s="15">
        <f>IF(T2965="",0,IF(AND(G2965=T2965,COUNTIFS($S$6:S2965,S2965,$G$6:G2965,G2965,$D$6:D2965,"Vastgesteld")&gt;1),1,0))</f>
        <v>0</v>
      </c>
    </row>
    <row r="2966">
      <c r="S2966" s="15" t="str">
        <f>IF(J2966="","",J2966&amp;"|"&amp;E2966&amp;"|"&amp;F2966&amp;"|"&amp;I2966&amp;"|"&amp;O2966)</f>
        <v/>
      </c>
      <c r="T2966" s="15" t="str">
        <f>IF(OR(S2966="",D2966&lt;&gt;"Vastgesteld"),"",_xlfn.MAXIFS($G$6:$G$5005,$S$6:$S$5005,S2966,$D$6:$D$5005,"Vastgesteld"))</f>
        <v/>
      </c>
      <c r="U2966" s="15">
        <f>IF(T2966="",0,IF(AND(G2966=T2966,COUNTIFS($S$6:S2966,S2966,$G$6:G2966,G2966,$D$6:D2966,"Vastgesteld")=1),1,0))</f>
        <v>0</v>
      </c>
      <c r="V2966" s="15">
        <f>IF(T2966="",0,IF(AND(G2966=T2966,COUNTIFS($S$6:S2966,S2966,$G$6:G2966,G2966,$D$6:D2966,"Vastgesteld")&gt;1),1,0))</f>
        <v>0</v>
      </c>
    </row>
    <row r="2967">
      <c r="S2967" s="15" t="str">
        <f>IF(J2967="","",J2967&amp;"|"&amp;E2967&amp;"|"&amp;F2967&amp;"|"&amp;I2967&amp;"|"&amp;O2967)</f>
        <v/>
      </c>
      <c r="T2967" s="15" t="str">
        <f>IF(OR(S2967="",D2967&lt;&gt;"Vastgesteld"),"",_xlfn.MAXIFS($G$6:$G$5005,$S$6:$S$5005,S2967,$D$6:$D$5005,"Vastgesteld"))</f>
        <v/>
      </c>
      <c r="U2967" s="15">
        <f>IF(T2967="",0,IF(AND(G2967=T2967,COUNTIFS($S$6:S2967,S2967,$G$6:G2967,G2967,$D$6:D2967,"Vastgesteld")=1),1,0))</f>
        <v>0</v>
      </c>
      <c r="V2967" s="15">
        <f>IF(T2967="",0,IF(AND(G2967=T2967,COUNTIFS($S$6:S2967,S2967,$G$6:G2967,G2967,$D$6:D2967,"Vastgesteld")&gt;1),1,0))</f>
        <v>0</v>
      </c>
    </row>
    <row r="2968">
      <c r="S2968" s="15" t="str">
        <f>IF(J2968="","",J2968&amp;"|"&amp;E2968&amp;"|"&amp;F2968&amp;"|"&amp;I2968&amp;"|"&amp;O2968)</f>
        <v/>
      </c>
      <c r="T2968" s="15" t="str">
        <f>IF(OR(S2968="",D2968&lt;&gt;"Vastgesteld"),"",_xlfn.MAXIFS($G$6:$G$5005,$S$6:$S$5005,S2968,$D$6:$D$5005,"Vastgesteld"))</f>
        <v/>
      </c>
      <c r="U2968" s="15">
        <f>IF(T2968="",0,IF(AND(G2968=T2968,COUNTIFS($S$6:S2968,S2968,$G$6:G2968,G2968,$D$6:D2968,"Vastgesteld")=1),1,0))</f>
        <v>0</v>
      </c>
      <c r="V2968" s="15">
        <f>IF(T2968="",0,IF(AND(G2968=T2968,COUNTIFS($S$6:S2968,S2968,$G$6:G2968,G2968,$D$6:D2968,"Vastgesteld")&gt;1),1,0))</f>
        <v>0</v>
      </c>
    </row>
    <row r="2969">
      <c r="S2969" s="15" t="str">
        <f>IF(J2969="","",J2969&amp;"|"&amp;E2969&amp;"|"&amp;F2969&amp;"|"&amp;I2969&amp;"|"&amp;O2969)</f>
        <v/>
      </c>
      <c r="T2969" s="15" t="str">
        <f>IF(OR(S2969="",D2969&lt;&gt;"Vastgesteld"),"",_xlfn.MAXIFS($G$6:$G$5005,$S$6:$S$5005,S2969,$D$6:$D$5005,"Vastgesteld"))</f>
        <v/>
      </c>
      <c r="U2969" s="15">
        <f>IF(T2969="",0,IF(AND(G2969=T2969,COUNTIFS($S$6:S2969,S2969,$G$6:G2969,G2969,$D$6:D2969,"Vastgesteld")=1),1,0))</f>
        <v>0</v>
      </c>
      <c r="V2969" s="15">
        <f>IF(T2969="",0,IF(AND(G2969=T2969,COUNTIFS($S$6:S2969,S2969,$G$6:G2969,G2969,$D$6:D2969,"Vastgesteld")&gt;1),1,0))</f>
        <v>0</v>
      </c>
    </row>
    <row r="2970">
      <c r="S2970" s="15" t="str">
        <f>IF(J2970="","",J2970&amp;"|"&amp;E2970&amp;"|"&amp;F2970&amp;"|"&amp;I2970&amp;"|"&amp;O2970)</f>
        <v/>
      </c>
      <c r="T2970" s="15" t="str">
        <f>IF(OR(S2970="",D2970&lt;&gt;"Vastgesteld"),"",_xlfn.MAXIFS($G$6:$G$5005,$S$6:$S$5005,S2970,$D$6:$D$5005,"Vastgesteld"))</f>
        <v/>
      </c>
      <c r="U2970" s="15">
        <f>IF(T2970="",0,IF(AND(G2970=T2970,COUNTIFS($S$6:S2970,S2970,$G$6:G2970,G2970,$D$6:D2970,"Vastgesteld")=1),1,0))</f>
        <v>0</v>
      </c>
      <c r="V2970" s="15">
        <f>IF(T2970="",0,IF(AND(G2970=T2970,COUNTIFS($S$6:S2970,S2970,$G$6:G2970,G2970,$D$6:D2970,"Vastgesteld")&gt;1),1,0))</f>
        <v>0</v>
      </c>
    </row>
    <row r="2971">
      <c r="S2971" s="15" t="str">
        <f>IF(J2971="","",J2971&amp;"|"&amp;E2971&amp;"|"&amp;F2971&amp;"|"&amp;I2971&amp;"|"&amp;O2971)</f>
        <v/>
      </c>
      <c r="T2971" s="15" t="str">
        <f>IF(OR(S2971="",D2971&lt;&gt;"Vastgesteld"),"",_xlfn.MAXIFS($G$6:$G$5005,$S$6:$S$5005,S2971,$D$6:$D$5005,"Vastgesteld"))</f>
        <v/>
      </c>
      <c r="U2971" s="15">
        <f>IF(T2971="",0,IF(AND(G2971=T2971,COUNTIFS($S$6:S2971,S2971,$G$6:G2971,G2971,$D$6:D2971,"Vastgesteld")=1),1,0))</f>
        <v>0</v>
      </c>
      <c r="V2971" s="15">
        <f>IF(T2971="",0,IF(AND(G2971=T2971,COUNTIFS($S$6:S2971,S2971,$G$6:G2971,G2971,$D$6:D2971,"Vastgesteld")&gt;1),1,0))</f>
        <v>0</v>
      </c>
    </row>
    <row r="2972">
      <c r="S2972" s="15" t="str">
        <f>IF(J2972="","",J2972&amp;"|"&amp;E2972&amp;"|"&amp;F2972&amp;"|"&amp;I2972&amp;"|"&amp;O2972)</f>
        <v/>
      </c>
      <c r="T2972" s="15" t="str">
        <f>IF(OR(S2972="",D2972&lt;&gt;"Vastgesteld"),"",_xlfn.MAXIFS($G$6:$G$5005,$S$6:$S$5005,S2972,$D$6:$D$5005,"Vastgesteld"))</f>
        <v/>
      </c>
      <c r="U2972" s="15">
        <f>IF(T2972="",0,IF(AND(G2972=T2972,COUNTIFS($S$6:S2972,S2972,$G$6:G2972,G2972,$D$6:D2972,"Vastgesteld")=1),1,0))</f>
        <v>0</v>
      </c>
      <c r="V2972" s="15">
        <f>IF(T2972="",0,IF(AND(G2972=T2972,COUNTIFS($S$6:S2972,S2972,$G$6:G2972,G2972,$D$6:D2972,"Vastgesteld")&gt;1),1,0))</f>
        <v>0</v>
      </c>
    </row>
    <row r="2973">
      <c r="S2973" s="15" t="str">
        <f>IF(J2973="","",J2973&amp;"|"&amp;E2973&amp;"|"&amp;F2973&amp;"|"&amp;I2973&amp;"|"&amp;O2973)</f>
        <v/>
      </c>
      <c r="T2973" s="15" t="str">
        <f>IF(OR(S2973="",D2973&lt;&gt;"Vastgesteld"),"",_xlfn.MAXIFS($G$6:$G$5005,$S$6:$S$5005,S2973,$D$6:$D$5005,"Vastgesteld"))</f>
        <v/>
      </c>
      <c r="U2973" s="15">
        <f>IF(T2973="",0,IF(AND(G2973=T2973,COUNTIFS($S$6:S2973,S2973,$G$6:G2973,G2973,$D$6:D2973,"Vastgesteld")=1),1,0))</f>
        <v>0</v>
      </c>
      <c r="V2973" s="15">
        <f>IF(T2973="",0,IF(AND(G2973=T2973,COUNTIFS($S$6:S2973,S2973,$G$6:G2973,G2973,$D$6:D2973,"Vastgesteld")&gt;1),1,0))</f>
        <v>0</v>
      </c>
    </row>
    <row r="2974">
      <c r="S2974" s="15" t="str">
        <f>IF(J2974="","",J2974&amp;"|"&amp;E2974&amp;"|"&amp;F2974&amp;"|"&amp;I2974&amp;"|"&amp;O2974)</f>
        <v/>
      </c>
      <c r="T2974" s="15" t="str">
        <f>IF(OR(S2974="",D2974&lt;&gt;"Vastgesteld"),"",_xlfn.MAXIFS($G$6:$G$5005,$S$6:$S$5005,S2974,$D$6:$D$5005,"Vastgesteld"))</f>
        <v/>
      </c>
      <c r="U2974" s="15">
        <f>IF(T2974="",0,IF(AND(G2974=T2974,COUNTIFS($S$6:S2974,S2974,$G$6:G2974,G2974,$D$6:D2974,"Vastgesteld")=1),1,0))</f>
        <v>0</v>
      </c>
      <c r="V2974" s="15">
        <f>IF(T2974="",0,IF(AND(G2974=T2974,COUNTIFS($S$6:S2974,S2974,$G$6:G2974,G2974,$D$6:D2974,"Vastgesteld")&gt;1),1,0))</f>
        <v>0</v>
      </c>
    </row>
    <row r="2975">
      <c r="S2975" s="15" t="str">
        <f>IF(J2975="","",J2975&amp;"|"&amp;E2975&amp;"|"&amp;F2975&amp;"|"&amp;I2975&amp;"|"&amp;O2975)</f>
        <v/>
      </c>
      <c r="T2975" s="15" t="str">
        <f>IF(OR(S2975="",D2975&lt;&gt;"Vastgesteld"),"",_xlfn.MAXIFS($G$6:$G$5005,$S$6:$S$5005,S2975,$D$6:$D$5005,"Vastgesteld"))</f>
        <v/>
      </c>
      <c r="U2975" s="15">
        <f>IF(T2975="",0,IF(AND(G2975=T2975,COUNTIFS($S$6:S2975,S2975,$G$6:G2975,G2975,$D$6:D2975,"Vastgesteld")=1),1,0))</f>
        <v>0</v>
      </c>
      <c r="V2975" s="15">
        <f>IF(T2975="",0,IF(AND(G2975=T2975,COUNTIFS($S$6:S2975,S2975,$G$6:G2975,G2975,$D$6:D2975,"Vastgesteld")&gt;1),1,0))</f>
        <v>0</v>
      </c>
    </row>
    <row r="2976">
      <c r="S2976" s="15" t="str">
        <f>IF(J2976="","",J2976&amp;"|"&amp;E2976&amp;"|"&amp;F2976&amp;"|"&amp;I2976&amp;"|"&amp;O2976)</f>
        <v/>
      </c>
      <c r="T2976" s="15" t="str">
        <f>IF(OR(S2976="",D2976&lt;&gt;"Vastgesteld"),"",_xlfn.MAXIFS($G$6:$G$5005,$S$6:$S$5005,S2976,$D$6:$D$5005,"Vastgesteld"))</f>
        <v/>
      </c>
      <c r="U2976" s="15">
        <f>IF(T2976="",0,IF(AND(G2976=T2976,COUNTIFS($S$6:S2976,S2976,$G$6:G2976,G2976,$D$6:D2976,"Vastgesteld")=1),1,0))</f>
        <v>0</v>
      </c>
      <c r="V2976" s="15">
        <f>IF(T2976="",0,IF(AND(G2976=T2976,COUNTIFS($S$6:S2976,S2976,$G$6:G2976,G2976,$D$6:D2976,"Vastgesteld")&gt;1),1,0))</f>
        <v>0</v>
      </c>
    </row>
    <row r="2977">
      <c r="S2977" s="15" t="str">
        <f>IF(J2977="","",J2977&amp;"|"&amp;E2977&amp;"|"&amp;F2977&amp;"|"&amp;I2977&amp;"|"&amp;O2977)</f>
        <v/>
      </c>
      <c r="T2977" s="15" t="str">
        <f>IF(OR(S2977="",D2977&lt;&gt;"Vastgesteld"),"",_xlfn.MAXIFS($G$6:$G$5005,$S$6:$S$5005,S2977,$D$6:$D$5005,"Vastgesteld"))</f>
        <v/>
      </c>
      <c r="U2977" s="15">
        <f>IF(T2977="",0,IF(AND(G2977=T2977,COUNTIFS($S$6:S2977,S2977,$G$6:G2977,G2977,$D$6:D2977,"Vastgesteld")=1),1,0))</f>
        <v>0</v>
      </c>
      <c r="V2977" s="15">
        <f>IF(T2977="",0,IF(AND(G2977=T2977,COUNTIFS($S$6:S2977,S2977,$G$6:G2977,G2977,$D$6:D2977,"Vastgesteld")&gt;1),1,0))</f>
        <v>0</v>
      </c>
    </row>
    <row r="2978">
      <c r="S2978" s="15" t="str">
        <f>IF(J2978="","",J2978&amp;"|"&amp;E2978&amp;"|"&amp;F2978&amp;"|"&amp;I2978&amp;"|"&amp;O2978)</f>
        <v/>
      </c>
      <c r="T2978" s="15" t="str">
        <f>IF(OR(S2978="",D2978&lt;&gt;"Vastgesteld"),"",_xlfn.MAXIFS($G$6:$G$5005,$S$6:$S$5005,S2978,$D$6:$D$5005,"Vastgesteld"))</f>
        <v/>
      </c>
      <c r="U2978" s="15">
        <f>IF(T2978="",0,IF(AND(G2978=T2978,COUNTIFS($S$6:S2978,S2978,$G$6:G2978,G2978,$D$6:D2978,"Vastgesteld")=1),1,0))</f>
        <v>0</v>
      </c>
      <c r="V2978" s="15">
        <f>IF(T2978="",0,IF(AND(G2978=T2978,COUNTIFS($S$6:S2978,S2978,$G$6:G2978,G2978,$D$6:D2978,"Vastgesteld")&gt;1),1,0))</f>
        <v>0</v>
      </c>
    </row>
    <row r="2979">
      <c r="S2979" s="15" t="str">
        <f>IF(J2979="","",J2979&amp;"|"&amp;E2979&amp;"|"&amp;F2979&amp;"|"&amp;I2979&amp;"|"&amp;O2979)</f>
        <v/>
      </c>
      <c r="T2979" s="15" t="str">
        <f>IF(OR(S2979="",D2979&lt;&gt;"Vastgesteld"),"",_xlfn.MAXIFS($G$6:$G$5005,$S$6:$S$5005,S2979,$D$6:$D$5005,"Vastgesteld"))</f>
        <v/>
      </c>
      <c r="U2979" s="15">
        <f>IF(T2979="",0,IF(AND(G2979=T2979,COUNTIFS($S$6:S2979,S2979,$G$6:G2979,G2979,$D$6:D2979,"Vastgesteld")=1),1,0))</f>
        <v>0</v>
      </c>
      <c r="V2979" s="15">
        <f>IF(T2979="",0,IF(AND(G2979=T2979,COUNTIFS($S$6:S2979,S2979,$G$6:G2979,G2979,$D$6:D2979,"Vastgesteld")&gt;1),1,0))</f>
        <v>0</v>
      </c>
    </row>
    <row r="2980">
      <c r="S2980" s="15" t="str">
        <f>IF(J2980="","",J2980&amp;"|"&amp;E2980&amp;"|"&amp;F2980&amp;"|"&amp;I2980&amp;"|"&amp;O2980)</f>
        <v/>
      </c>
      <c r="T2980" s="15" t="str">
        <f>IF(OR(S2980="",D2980&lt;&gt;"Vastgesteld"),"",_xlfn.MAXIFS($G$6:$G$5005,$S$6:$S$5005,S2980,$D$6:$D$5005,"Vastgesteld"))</f>
        <v/>
      </c>
      <c r="U2980" s="15">
        <f>IF(T2980="",0,IF(AND(G2980=T2980,COUNTIFS($S$6:S2980,S2980,$G$6:G2980,G2980,$D$6:D2980,"Vastgesteld")=1),1,0))</f>
        <v>0</v>
      </c>
      <c r="V2980" s="15">
        <f>IF(T2980="",0,IF(AND(G2980=T2980,COUNTIFS($S$6:S2980,S2980,$G$6:G2980,G2980,$D$6:D2980,"Vastgesteld")&gt;1),1,0))</f>
        <v>0</v>
      </c>
    </row>
    <row r="2981">
      <c r="S2981" s="15" t="str">
        <f>IF(J2981="","",J2981&amp;"|"&amp;E2981&amp;"|"&amp;F2981&amp;"|"&amp;I2981&amp;"|"&amp;O2981)</f>
        <v/>
      </c>
      <c r="T2981" s="15" t="str">
        <f>IF(OR(S2981="",D2981&lt;&gt;"Vastgesteld"),"",_xlfn.MAXIFS($G$6:$G$5005,$S$6:$S$5005,S2981,$D$6:$D$5005,"Vastgesteld"))</f>
        <v/>
      </c>
      <c r="U2981" s="15">
        <f>IF(T2981="",0,IF(AND(G2981=T2981,COUNTIFS($S$6:S2981,S2981,$G$6:G2981,G2981,$D$6:D2981,"Vastgesteld")=1),1,0))</f>
        <v>0</v>
      </c>
      <c r="V2981" s="15">
        <f>IF(T2981="",0,IF(AND(G2981=T2981,COUNTIFS($S$6:S2981,S2981,$G$6:G2981,G2981,$D$6:D2981,"Vastgesteld")&gt;1),1,0))</f>
        <v>0</v>
      </c>
    </row>
    <row r="2982">
      <c r="S2982" s="15" t="str">
        <f>IF(J2982="","",J2982&amp;"|"&amp;E2982&amp;"|"&amp;F2982&amp;"|"&amp;I2982&amp;"|"&amp;O2982)</f>
        <v/>
      </c>
      <c r="T2982" s="15" t="str">
        <f>IF(OR(S2982="",D2982&lt;&gt;"Vastgesteld"),"",_xlfn.MAXIFS($G$6:$G$5005,$S$6:$S$5005,S2982,$D$6:$D$5005,"Vastgesteld"))</f>
        <v/>
      </c>
      <c r="U2982" s="15">
        <f>IF(T2982="",0,IF(AND(G2982=T2982,COUNTIFS($S$6:S2982,S2982,$G$6:G2982,G2982,$D$6:D2982,"Vastgesteld")=1),1,0))</f>
        <v>0</v>
      </c>
      <c r="V2982" s="15">
        <f>IF(T2982="",0,IF(AND(G2982=T2982,COUNTIFS($S$6:S2982,S2982,$G$6:G2982,G2982,$D$6:D2982,"Vastgesteld")&gt;1),1,0))</f>
        <v>0</v>
      </c>
    </row>
    <row r="2983">
      <c r="S2983" s="15" t="str">
        <f>IF(J2983="","",J2983&amp;"|"&amp;E2983&amp;"|"&amp;F2983&amp;"|"&amp;I2983&amp;"|"&amp;O2983)</f>
        <v/>
      </c>
      <c r="T2983" s="15" t="str">
        <f>IF(OR(S2983="",D2983&lt;&gt;"Vastgesteld"),"",_xlfn.MAXIFS($G$6:$G$5005,$S$6:$S$5005,S2983,$D$6:$D$5005,"Vastgesteld"))</f>
        <v/>
      </c>
      <c r="U2983" s="15">
        <f>IF(T2983="",0,IF(AND(G2983=T2983,COUNTIFS($S$6:S2983,S2983,$G$6:G2983,G2983,$D$6:D2983,"Vastgesteld")=1),1,0))</f>
        <v>0</v>
      </c>
      <c r="V2983" s="15">
        <f>IF(T2983="",0,IF(AND(G2983=T2983,COUNTIFS($S$6:S2983,S2983,$G$6:G2983,G2983,$D$6:D2983,"Vastgesteld")&gt;1),1,0))</f>
        <v>0</v>
      </c>
    </row>
    <row r="2984">
      <c r="S2984" s="15" t="str">
        <f>IF(J2984="","",J2984&amp;"|"&amp;E2984&amp;"|"&amp;F2984&amp;"|"&amp;I2984&amp;"|"&amp;O2984)</f>
        <v/>
      </c>
      <c r="T2984" s="15" t="str">
        <f>IF(OR(S2984="",D2984&lt;&gt;"Vastgesteld"),"",_xlfn.MAXIFS($G$6:$G$5005,$S$6:$S$5005,S2984,$D$6:$D$5005,"Vastgesteld"))</f>
        <v/>
      </c>
      <c r="U2984" s="15">
        <f>IF(T2984="",0,IF(AND(G2984=T2984,COUNTIFS($S$6:S2984,S2984,$G$6:G2984,G2984,$D$6:D2984,"Vastgesteld")=1),1,0))</f>
        <v>0</v>
      </c>
      <c r="V2984" s="15">
        <f>IF(T2984="",0,IF(AND(G2984=T2984,COUNTIFS($S$6:S2984,S2984,$G$6:G2984,G2984,$D$6:D2984,"Vastgesteld")&gt;1),1,0))</f>
        <v>0</v>
      </c>
    </row>
    <row r="2985">
      <c r="S2985" s="15" t="str">
        <f>IF(J2985="","",J2985&amp;"|"&amp;E2985&amp;"|"&amp;F2985&amp;"|"&amp;I2985&amp;"|"&amp;O2985)</f>
        <v/>
      </c>
      <c r="T2985" s="15" t="str">
        <f>IF(OR(S2985="",D2985&lt;&gt;"Vastgesteld"),"",_xlfn.MAXIFS($G$6:$G$5005,$S$6:$S$5005,S2985,$D$6:$D$5005,"Vastgesteld"))</f>
        <v/>
      </c>
      <c r="U2985" s="15">
        <f>IF(T2985="",0,IF(AND(G2985=T2985,COUNTIFS($S$6:S2985,S2985,$G$6:G2985,G2985,$D$6:D2985,"Vastgesteld")=1),1,0))</f>
        <v>0</v>
      </c>
      <c r="V2985" s="15">
        <f>IF(T2985="",0,IF(AND(G2985=T2985,COUNTIFS($S$6:S2985,S2985,$G$6:G2985,G2985,$D$6:D2985,"Vastgesteld")&gt;1),1,0))</f>
        <v>0</v>
      </c>
    </row>
    <row r="2986">
      <c r="S2986" s="15" t="str">
        <f>IF(J2986="","",J2986&amp;"|"&amp;E2986&amp;"|"&amp;F2986&amp;"|"&amp;I2986&amp;"|"&amp;O2986)</f>
        <v/>
      </c>
      <c r="T2986" s="15" t="str">
        <f>IF(OR(S2986="",D2986&lt;&gt;"Vastgesteld"),"",_xlfn.MAXIFS($G$6:$G$5005,$S$6:$S$5005,S2986,$D$6:$D$5005,"Vastgesteld"))</f>
        <v/>
      </c>
      <c r="U2986" s="15">
        <f>IF(T2986="",0,IF(AND(G2986=T2986,COUNTIFS($S$6:S2986,S2986,$G$6:G2986,G2986,$D$6:D2986,"Vastgesteld")=1),1,0))</f>
        <v>0</v>
      </c>
      <c r="V2986" s="15">
        <f>IF(T2986="",0,IF(AND(G2986=T2986,COUNTIFS($S$6:S2986,S2986,$G$6:G2986,G2986,$D$6:D2986,"Vastgesteld")&gt;1),1,0))</f>
        <v>0</v>
      </c>
    </row>
    <row r="2987">
      <c r="S2987" s="15" t="str">
        <f>IF(J2987="","",J2987&amp;"|"&amp;E2987&amp;"|"&amp;F2987&amp;"|"&amp;I2987&amp;"|"&amp;O2987)</f>
        <v/>
      </c>
      <c r="T2987" s="15" t="str">
        <f>IF(OR(S2987="",D2987&lt;&gt;"Vastgesteld"),"",_xlfn.MAXIFS($G$6:$G$5005,$S$6:$S$5005,S2987,$D$6:$D$5005,"Vastgesteld"))</f>
        <v/>
      </c>
      <c r="U2987" s="15">
        <f>IF(T2987="",0,IF(AND(G2987=T2987,COUNTIFS($S$6:S2987,S2987,$G$6:G2987,G2987,$D$6:D2987,"Vastgesteld")=1),1,0))</f>
        <v>0</v>
      </c>
      <c r="V2987" s="15">
        <f>IF(T2987="",0,IF(AND(G2987=T2987,COUNTIFS($S$6:S2987,S2987,$G$6:G2987,G2987,$D$6:D2987,"Vastgesteld")&gt;1),1,0))</f>
        <v>0</v>
      </c>
    </row>
    <row r="2988">
      <c r="S2988" s="15" t="str">
        <f>IF(J2988="","",J2988&amp;"|"&amp;E2988&amp;"|"&amp;F2988&amp;"|"&amp;I2988&amp;"|"&amp;O2988)</f>
        <v/>
      </c>
      <c r="T2988" s="15" t="str">
        <f>IF(OR(S2988="",D2988&lt;&gt;"Vastgesteld"),"",_xlfn.MAXIFS($G$6:$G$5005,$S$6:$S$5005,S2988,$D$6:$D$5005,"Vastgesteld"))</f>
        <v/>
      </c>
      <c r="U2988" s="15">
        <f>IF(T2988="",0,IF(AND(G2988=T2988,COUNTIFS($S$6:S2988,S2988,$G$6:G2988,G2988,$D$6:D2988,"Vastgesteld")=1),1,0))</f>
        <v>0</v>
      </c>
      <c r="V2988" s="15">
        <f>IF(T2988="",0,IF(AND(G2988=T2988,COUNTIFS($S$6:S2988,S2988,$G$6:G2988,G2988,$D$6:D2988,"Vastgesteld")&gt;1),1,0))</f>
        <v>0</v>
      </c>
    </row>
    <row r="2989">
      <c r="S2989" s="15" t="str">
        <f>IF(J2989="","",J2989&amp;"|"&amp;E2989&amp;"|"&amp;F2989&amp;"|"&amp;I2989&amp;"|"&amp;O2989)</f>
        <v/>
      </c>
      <c r="T2989" s="15" t="str">
        <f>IF(OR(S2989="",D2989&lt;&gt;"Vastgesteld"),"",_xlfn.MAXIFS($G$6:$G$5005,$S$6:$S$5005,S2989,$D$6:$D$5005,"Vastgesteld"))</f>
        <v/>
      </c>
      <c r="U2989" s="15">
        <f>IF(T2989="",0,IF(AND(G2989=T2989,COUNTIFS($S$6:S2989,S2989,$G$6:G2989,G2989,$D$6:D2989,"Vastgesteld")=1),1,0))</f>
        <v>0</v>
      </c>
      <c r="V2989" s="15">
        <f>IF(T2989="",0,IF(AND(G2989=T2989,COUNTIFS($S$6:S2989,S2989,$G$6:G2989,G2989,$D$6:D2989,"Vastgesteld")&gt;1),1,0))</f>
        <v>0</v>
      </c>
    </row>
    <row r="2990">
      <c r="S2990" s="15" t="str">
        <f>IF(J2990="","",J2990&amp;"|"&amp;E2990&amp;"|"&amp;F2990&amp;"|"&amp;I2990&amp;"|"&amp;O2990)</f>
        <v/>
      </c>
      <c r="T2990" s="15" t="str">
        <f>IF(OR(S2990="",D2990&lt;&gt;"Vastgesteld"),"",_xlfn.MAXIFS($G$6:$G$5005,$S$6:$S$5005,S2990,$D$6:$D$5005,"Vastgesteld"))</f>
        <v/>
      </c>
      <c r="U2990" s="15">
        <f>IF(T2990="",0,IF(AND(G2990=T2990,COUNTIFS($S$6:S2990,S2990,$G$6:G2990,G2990,$D$6:D2990,"Vastgesteld")=1),1,0))</f>
        <v>0</v>
      </c>
      <c r="V2990" s="15">
        <f>IF(T2990="",0,IF(AND(G2990=T2990,COUNTIFS($S$6:S2990,S2990,$G$6:G2990,G2990,$D$6:D2990,"Vastgesteld")&gt;1),1,0))</f>
        <v>0</v>
      </c>
    </row>
    <row r="2991">
      <c r="S2991" s="15" t="str">
        <f>IF(J2991="","",J2991&amp;"|"&amp;E2991&amp;"|"&amp;F2991&amp;"|"&amp;I2991&amp;"|"&amp;O2991)</f>
        <v/>
      </c>
      <c r="T2991" s="15" t="str">
        <f>IF(OR(S2991="",D2991&lt;&gt;"Vastgesteld"),"",_xlfn.MAXIFS($G$6:$G$5005,$S$6:$S$5005,S2991,$D$6:$D$5005,"Vastgesteld"))</f>
        <v/>
      </c>
      <c r="U2991" s="15">
        <f>IF(T2991="",0,IF(AND(G2991=T2991,COUNTIFS($S$6:S2991,S2991,$G$6:G2991,G2991,$D$6:D2991,"Vastgesteld")=1),1,0))</f>
        <v>0</v>
      </c>
      <c r="V2991" s="15">
        <f>IF(T2991="",0,IF(AND(G2991=T2991,COUNTIFS($S$6:S2991,S2991,$G$6:G2991,G2991,$D$6:D2991,"Vastgesteld")&gt;1),1,0))</f>
        <v>0</v>
      </c>
    </row>
    <row r="2992">
      <c r="S2992" s="15" t="str">
        <f>IF(J2992="","",J2992&amp;"|"&amp;E2992&amp;"|"&amp;F2992&amp;"|"&amp;I2992&amp;"|"&amp;O2992)</f>
        <v/>
      </c>
      <c r="T2992" s="15" t="str">
        <f>IF(OR(S2992="",D2992&lt;&gt;"Vastgesteld"),"",_xlfn.MAXIFS($G$6:$G$5005,$S$6:$S$5005,S2992,$D$6:$D$5005,"Vastgesteld"))</f>
        <v/>
      </c>
      <c r="U2992" s="15">
        <f>IF(T2992="",0,IF(AND(G2992=T2992,COUNTIFS($S$6:S2992,S2992,$G$6:G2992,G2992,$D$6:D2992,"Vastgesteld")=1),1,0))</f>
        <v>0</v>
      </c>
      <c r="V2992" s="15">
        <f>IF(T2992="",0,IF(AND(G2992=T2992,COUNTIFS($S$6:S2992,S2992,$G$6:G2992,G2992,$D$6:D2992,"Vastgesteld")&gt;1),1,0))</f>
        <v>0</v>
      </c>
    </row>
    <row r="2993">
      <c r="S2993" s="15" t="str">
        <f>IF(J2993="","",J2993&amp;"|"&amp;E2993&amp;"|"&amp;F2993&amp;"|"&amp;I2993&amp;"|"&amp;O2993)</f>
        <v/>
      </c>
      <c r="T2993" s="15" t="str">
        <f>IF(OR(S2993="",D2993&lt;&gt;"Vastgesteld"),"",_xlfn.MAXIFS($G$6:$G$5005,$S$6:$S$5005,S2993,$D$6:$D$5005,"Vastgesteld"))</f>
        <v/>
      </c>
      <c r="U2993" s="15">
        <f>IF(T2993="",0,IF(AND(G2993=T2993,COUNTIFS($S$6:S2993,S2993,$G$6:G2993,G2993,$D$6:D2993,"Vastgesteld")=1),1,0))</f>
        <v>0</v>
      </c>
      <c r="V2993" s="15">
        <f>IF(T2993="",0,IF(AND(G2993=T2993,COUNTIFS($S$6:S2993,S2993,$G$6:G2993,G2993,$D$6:D2993,"Vastgesteld")&gt;1),1,0))</f>
        <v>0</v>
      </c>
    </row>
    <row r="2994">
      <c r="S2994" s="15" t="str">
        <f>IF(J2994="","",J2994&amp;"|"&amp;E2994&amp;"|"&amp;F2994&amp;"|"&amp;I2994&amp;"|"&amp;O2994)</f>
        <v/>
      </c>
      <c r="T2994" s="15" t="str">
        <f>IF(OR(S2994="",D2994&lt;&gt;"Vastgesteld"),"",_xlfn.MAXIFS($G$6:$G$5005,$S$6:$S$5005,S2994,$D$6:$D$5005,"Vastgesteld"))</f>
        <v/>
      </c>
      <c r="U2994" s="15">
        <f>IF(T2994="",0,IF(AND(G2994=T2994,COUNTIFS($S$6:S2994,S2994,$G$6:G2994,G2994,$D$6:D2994,"Vastgesteld")=1),1,0))</f>
        <v>0</v>
      </c>
      <c r="V2994" s="15">
        <f>IF(T2994="",0,IF(AND(G2994=T2994,COUNTIFS($S$6:S2994,S2994,$G$6:G2994,G2994,$D$6:D2994,"Vastgesteld")&gt;1),1,0))</f>
        <v>0</v>
      </c>
    </row>
    <row r="2995">
      <c r="S2995" s="15" t="str">
        <f>IF(J2995="","",J2995&amp;"|"&amp;E2995&amp;"|"&amp;F2995&amp;"|"&amp;I2995&amp;"|"&amp;O2995)</f>
        <v/>
      </c>
      <c r="T2995" s="15" t="str">
        <f>IF(OR(S2995="",D2995&lt;&gt;"Vastgesteld"),"",_xlfn.MAXIFS($G$6:$G$5005,$S$6:$S$5005,S2995,$D$6:$D$5005,"Vastgesteld"))</f>
        <v/>
      </c>
      <c r="U2995" s="15">
        <f>IF(T2995="",0,IF(AND(G2995=T2995,COUNTIFS($S$6:S2995,S2995,$G$6:G2995,G2995,$D$6:D2995,"Vastgesteld")=1),1,0))</f>
        <v>0</v>
      </c>
      <c r="V2995" s="15">
        <f>IF(T2995="",0,IF(AND(G2995=T2995,COUNTIFS($S$6:S2995,S2995,$G$6:G2995,G2995,$D$6:D2995,"Vastgesteld")&gt;1),1,0))</f>
        <v>0</v>
      </c>
    </row>
    <row r="2996">
      <c r="S2996" s="15" t="str">
        <f>IF(J2996="","",J2996&amp;"|"&amp;E2996&amp;"|"&amp;F2996&amp;"|"&amp;I2996&amp;"|"&amp;O2996)</f>
        <v/>
      </c>
      <c r="T2996" s="15" t="str">
        <f>IF(OR(S2996="",D2996&lt;&gt;"Vastgesteld"),"",_xlfn.MAXIFS($G$6:$G$5005,$S$6:$S$5005,S2996,$D$6:$D$5005,"Vastgesteld"))</f>
        <v/>
      </c>
      <c r="U2996" s="15">
        <f>IF(T2996="",0,IF(AND(G2996=T2996,COUNTIFS($S$6:S2996,S2996,$G$6:G2996,G2996,$D$6:D2996,"Vastgesteld")=1),1,0))</f>
        <v>0</v>
      </c>
      <c r="V2996" s="15">
        <f>IF(T2996="",0,IF(AND(G2996=T2996,COUNTIFS($S$6:S2996,S2996,$G$6:G2996,G2996,$D$6:D2996,"Vastgesteld")&gt;1),1,0))</f>
        <v>0</v>
      </c>
    </row>
    <row r="2997">
      <c r="S2997" s="15" t="str">
        <f>IF(J2997="","",J2997&amp;"|"&amp;E2997&amp;"|"&amp;F2997&amp;"|"&amp;I2997&amp;"|"&amp;O2997)</f>
        <v/>
      </c>
      <c r="T2997" s="15" t="str">
        <f>IF(OR(S2997="",D2997&lt;&gt;"Vastgesteld"),"",_xlfn.MAXIFS($G$6:$G$5005,$S$6:$S$5005,S2997,$D$6:$D$5005,"Vastgesteld"))</f>
        <v/>
      </c>
      <c r="U2997" s="15">
        <f>IF(T2997="",0,IF(AND(G2997=T2997,COUNTIFS($S$6:S2997,S2997,$G$6:G2997,G2997,$D$6:D2997,"Vastgesteld")=1),1,0))</f>
        <v>0</v>
      </c>
      <c r="V2997" s="15">
        <f>IF(T2997="",0,IF(AND(G2997=T2997,COUNTIFS($S$6:S2997,S2997,$G$6:G2997,G2997,$D$6:D2997,"Vastgesteld")&gt;1),1,0))</f>
        <v>0</v>
      </c>
    </row>
    <row r="2998">
      <c r="S2998" s="15" t="str">
        <f>IF(J2998="","",J2998&amp;"|"&amp;E2998&amp;"|"&amp;F2998&amp;"|"&amp;I2998&amp;"|"&amp;O2998)</f>
        <v/>
      </c>
      <c r="T2998" s="15" t="str">
        <f>IF(OR(S2998="",D2998&lt;&gt;"Vastgesteld"),"",_xlfn.MAXIFS($G$6:$G$5005,$S$6:$S$5005,S2998,$D$6:$D$5005,"Vastgesteld"))</f>
        <v/>
      </c>
      <c r="U2998" s="15">
        <f>IF(T2998="",0,IF(AND(G2998=T2998,COUNTIFS($S$6:S2998,S2998,$G$6:G2998,G2998,$D$6:D2998,"Vastgesteld")=1),1,0))</f>
        <v>0</v>
      </c>
      <c r="V2998" s="15">
        <f>IF(T2998="",0,IF(AND(G2998=T2998,COUNTIFS($S$6:S2998,S2998,$G$6:G2998,G2998,$D$6:D2998,"Vastgesteld")&gt;1),1,0))</f>
        <v>0</v>
      </c>
    </row>
    <row r="2999">
      <c r="S2999" s="15" t="str">
        <f>IF(J2999="","",J2999&amp;"|"&amp;E2999&amp;"|"&amp;F2999&amp;"|"&amp;I2999&amp;"|"&amp;O2999)</f>
        <v/>
      </c>
      <c r="T2999" s="15" t="str">
        <f>IF(OR(S2999="",D2999&lt;&gt;"Vastgesteld"),"",_xlfn.MAXIFS($G$6:$G$5005,$S$6:$S$5005,S2999,$D$6:$D$5005,"Vastgesteld"))</f>
        <v/>
      </c>
      <c r="U2999" s="15">
        <f>IF(T2999="",0,IF(AND(G2999=T2999,COUNTIFS($S$6:S2999,S2999,$G$6:G2999,G2999,$D$6:D2999,"Vastgesteld")=1),1,0))</f>
        <v>0</v>
      </c>
      <c r="V2999" s="15">
        <f>IF(T2999="",0,IF(AND(G2999=T2999,COUNTIFS($S$6:S2999,S2999,$G$6:G2999,G2999,$D$6:D2999,"Vastgesteld")&gt;1),1,0))</f>
        <v>0</v>
      </c>
    </row>
    <row r="3000">
      <c r="S3000" s="15" t="str">
        <f>IF(J3000="","",J3000&amp;"|"&amp;E3000&amp;"|"&amp;F3000&amp;"|"&amp;I3000&amp;"|"&amp;O3000)</f>
        <v/>
      </c>
      <c r="T3000" s="15" t="str">
        <f>IF(OR(S3000="",D3000&lt;&gt;"Vastgesteld"),"",_xlfn.MAXIFS($G$6:$G$5005,$S$6:$S$5005,S3000,$D$6:$D$5005,"Vastgesteld"))</f>
        <v/>
      </c>
      <c r="U3000" s="15">
        <f>IF(T3000="",0,IF(AND(G3000=T3000,COUNTIFS($S$6:S3000,S3000,$G$6:G3000,G3000,$D$6:D3000,"Vastgesteld")=1),1,0))</f>
        <v>0</v>
      </c>
      <c r="V3000" s="15">
        <f>IF(T3000="",0,IF(AND(G3000=T3000,COUNTIFS($S$6:S3000,S3000,$G$6:G3000,G3000,$D$6:D3000,"Vastgesteld")&gt;1),1,0))</f>
        <v>0</v>
      </c>
    </row>
    <row r="3001">
      <c r="S3001" s="15" t="str">
        <f>IF(J3001="","",J3001&amp;"|"&amp;E3001&amp;"|"&amp;F3001&amp;"|"&amp;I3001&amp;"|"&amp;O3001)</f>
        <v/>
      </c>
      <c r="T3001" s="15" t="str">
        <f>IF(OR(S3001="",D3001&lt;&gt;"Vastgesteld"),"",_xlfn.MAXIFS($G$6:$G$5005,$S$6:$S$5005,S3001,$D$6:$D$5005,"Vastgesteld"))</f>
        <v/>
      </c>
      <c r="U3001" s="15">
        <f>IF(T3001="",0,IF(AND(G3001=T3001,COUNTIFS($S$6:S3001,S3001,$G$6:G3001,G3001,$D$6:D3001,"Vastgesteld")=1),1,0))</f>
        <v>0</v>
      </c>
      <c r="V3001" s="15">
        <f>IF(T3001="",0,IF(AND(G3001=T3001,COUNTIFS($S$6:S3001,S3001,$G$6:G3001,G3001,$D$6:D3001,"Vastgesteld")&gt;1),1,0))</f>
        <v>0</v>
      </c>
    </row>
    <row r="3002">
      <c r="S3002" s="15" t="str">
        <f>IF(J3002="","",J3002&amp;"|"&amp;E3002&amp;"|"&amp;F3002&amp;"|"&amp;I3002&amp;"|"&amp;O3002)</f>
        <v/>
      </c>
      <c r="T3002" s="15" t="str">
        <f>IF(OR(S3002="",D3002&lt;&gt;"Vastgesteld"),"",_xlfn.MAXIFS($G$6:$G$5005,$S$6:$S$5005,S3002,$D$6:$D$5005,"Vastgesteld"))</f>
        <v/>
      </c>
      <c r="U3002" s="15">
        <f>IF(T3002="",0,IF(AND(G3002=T3002,COUNTIFS($S$6:S3002,S3002,$G$6:G3002,G3002,$D$6:D3002,"Vastgesteld")=1),1,0))</f>
        <v>0</v>
      </c>
      <c r="V3002" s="15">
        <f>IF(T3002="",0,IF(AND(G3002=T3002,COUNTIFS($S$6:S3002,S3002,$G$6:G3002,G3002,$D$6:D3002,"Vastgesteld")&gt;1),1,0))</f>
        <v>0</v>
      </c>
    </row>
    <row r="3003">
      <c r="S3003" s="15" t="str">
        <f>IF(J3003="","",J3003&amp;"|"&amp;E3003&amp;"|"&amp;F3003&amp;"|"&amp;I3003&amp;"|"&amp;O3003)</f>
        <v/>
      </c>
      <c r="T3003" s="15" t="str">
        <f>IF(OR(S3003="",D3003&lt;&gt;"Vastgesteld"),"",_xlfn.MAXIFS($G$6:$G$5005,$S$6:$S$5005,S3003,$D$6:$D$5005,"Vastgesteld"))</f>
        <v/>
      </c>
      <c r="U3003" s="15">
        <f>IF(T3003="",0,IF(AND(G3003=T3003,COUNTIFS($S$6:S3003,S3003,$G$6:G3003,G3003,$D$6:D3003,"Vastgesteld")=1),1,0))</f>
        <v>0</v>
      </c>
      <c r="V3003" s="15">
        <f>IF(T3003="",0,IF(AND(G3003=T3003,COUNTIFS($S$6:S3003,S3003,$G$6:G3003,G3003,$D$6:D3003,"Vastgesteld")&gt;1),1,0))</f>
        <v>0</v>
      </c>
    </row>
    <row r="3004">
      <c r="S3004" s="15" t="str">
        <f>IF(J3004="","",J3004&amp;"|"&amp;E3004&amp;"|"&amp;F3004&amp;"|"&amp;I3004&amp;"|"&amp;O3004)</f>
        <v/>
      </c>
      <c r="T3004" s="15" t="str">
        <f>IF(OR(S3004="",D3004&lt;&gt;"Vastgesteld"),"",_xlfn.MAXIFS($G$6:$G$5005,$S$6:$S$5005,S3004,$D$6:$D$5005,"Vastgesteld"))</f>
        <v/>
      </c>
      <c r="U3004" s="15">
        <f>IF(T3004="",0,IF(AND(G3004=T3004,COUNTIFS($S$6:S3004,S3004,$G$6:G3004,G3004,$D$6:D3004,"Vastgesteld")=1),1,0))</f>
        <v>0</v>
      </c>
      <c r="V3004" s="15">
        <f>IF(T3004="",0,IF(AND(G3004=T3004,COUNTIFS($S$6:S3004,S3004,$G$6:G3004,G3004,$D$6:D3004,"Vastgesteld")&gt;1),1,0))</f>
        <v>0</v>
      </c>
    </row>
    <row r="3005">
      <c r="S3005" s="15" t="str">
        <f>IF(J3005="","",J3005&amp;"|"&amp;E3005&amp;"|"&amp;F3005&amp;"|"&amp;I3005&amp;"|"&amp;O3005)</f>
        <v/>
      </c>
      <c r="T3005" s="15" t="str">
        <f>IF(OR(S3005="",D3005&lt;&gt;"Vastgesteld"),"",_xlfn.MAXIFS($G$6:$G$5005,$S$6:$S$5005,S3005,$D$6:$D$5005,"Vastgesteld"))</f>
        <v/>
      </c>
      <c r="U3005" s="15">
        <f>IF(T3005="",0,IF(AND(G3005=T3005,COUNTIFS($S$6:S3005,S3005,$G$6:G3005,G3005,$D$6:D3005,"Vastgesteld")=1),1,0))</f>
        <v>0</v>
      </c>
      <c r="V3005" s="15">
        <f>IF(T3005="",0,IF(AND(G3005=T3005,COUNTIFS($S$6:S3005,S3005,$G$6:G3005,G3005,$D$6:D3005,"Vastgesteld")&gt;1),1,0))</f>
        <v>0</v>
      </c>
    </row>
    <row r="3006">
      <c r="S3006" s="15" t="str">
        <f>IF(J3006="","",J3006&amp;"|"&amp;E3006&amp;"|"&amp;F3006&amp;"|"&amp;I3006&amp;"|"&amp;O3006)</f>
        <v/>
      </c>
      <c r="T3006" s="15" t="str">
        <f>IF(OR(S3006="",D3006&lt;&gt;"Vastgesteld"),"",_xlfn.MAXIFS($G$6:$G$5005,$S$6:$S$5005,S3006,$D$6:$D$5005,"Vastgesteld"))</f>
        <v/>
      </c>
      <c r="U3006" s="15">
        <f>IF(T3006="",0,IF(AND(G3006=T3006,COUNTIFS($S$6:S3006,S3006,$G$6:G3006,G3006,$D$6:D3006,"Vastgesteld")=1),1,0))</f>
        <v>0</v>
      </c>
      <c r="V3006" s="15">
        <f>IF(T3006="",0,IF(AND(G3006=T3006,COUNTIFS($S$6:S3006,S3006,$G$6:G3006,G3006,$D$6:D3006,"Vastgesteld")&gt;1),1,0))</f>
        <v>0</v>
      </c>
    </row>
    <row r="3007">
      <c r="S3007" s="15" t="str">
        <f>IF(J3007="","",J3007&amp;"|"&amp;E3007&amp;"|"&amp;F3007&amp;"|"&amp;I3007&amp;"|"&amp;O3007)</f>
        <v/>
      </c>
      <c r="T3007" s="15" t="str">
        <f>IF(OR(S3007="",D3007&lt;&gt;"Vastgesteld"),"",_xlfn.MAXIFS($G$6:$G$5005,$S$6:$S$5005,S3007,$D$6:$D$5005,"Vastgesteld"))</f>
        <v/>
      </c>
      <c r="U3007" s="15">
        <f>IF(T3007="",0,IF(AND(G3007=T3007,COUNTIFS($S$6:S3007,S3007,$G$6:G3007,G3007,$D$6:D3007,"Vastgesteld")=1),1,0))</f>
        <v>0</v>
      </c>
      <c r="V3007" s="15">
        <f>IF(T3007="",0,IF(AND(G3007=T3007,COUNTIFS($S$6:S3007,S3007,$G$6:G3007,G3007,$D$6:D3007,"Vastgesteld")&gt;1),1,0))</f>
        <v>0</v>
      </c>
    </row>
    <row r="3008">
      <c r="S3008" s="15" t="str">
        <f>IF(J3008="","",J3008&amp;"|"&amp;E3008&amp;"|"&amp;F3008&amp;"|"&amp;I3008&amp;"|"&amp;O3008)</f>
        <v/>
      </c>
      <c r="T3008" s="15" t="str">
        <f>IF(OR(S3008="",D3008&lt;&gt;"Vastgesteld"),"",_xlfn.MAXIFS($G$6:$G$5005,$S$6:$S$5005,S3008,$D$6:$D$5005,"Vastgesteld"))</f>
        <v/>
      </c>
      <c r="U3008" s="15">
        <f>IF(T3008="",0,IF(AND(G3008=T3008,COUNTIFS($S$6:S3008,S3008,$G$6:G3008,G3008,$D$6:D3008,"Vastgesteld")=1),1,0))</f>
        <v>0</v>
      </c>
      <c r="V3008" s="15">
        <f>IF(T3008="",0,IF(AND(G3008=T3008,COUNTIFS($S$6:S3008,S3008,$G$6:G3008,G3008,$D$6:D3008,"Vastgesteld")&gt;1),1,0))</f>
        <v>0</v>
      </c>
    </row>
    <row r="3009">
      <c r="S3009" s="15" t="str">
        <f>IF(J3009="","",J3009&amp;"|"&amp;E3009&amp;"|"&amp;F3009&amp;"|"&amp;I3009&amp;"|"&amp;O3009)</f>
        <v/>
      </c>
      <c r="T3009" s="15" t="str">
        <f>IF(OR(S3009="",D3009&lt;&gt;"Vastgesteld"),"",_xlfn.MAXIFS($G$6:$G$5005,$S$6:$S$5005,S3009,$D$6:$D$5005,"Vastgesteld"))</f>
        <v/>
      </c>
      <c r="U3009" s="15">
        <f>IF(T3009="",0,IF(AND(G3009=T3009,COUNTIFS($S$6:S3009,S3009,$G$6:G3009,G3009,$D$6:D3009,"Vastgesteld")=1),1,0))</f>
        <v>0</v>
      </c>
      <c r="V3009" s="15">
        <f>IF(T3009="",0,IF(AND(G3009=T3009,COUNTIFS($S$6:S3009,S3009,$G$6:G3009,G3009,$D$6:D3009,"Vastgesteld")&gt;1),1,0))</f>
        <v>0</v>
      </c>
    </row>
    <row r="3010">
      <c r="S3010" s="15" t="str">
        <f>IF(J3010="","",J3010&amp;"|"&amp;E3010&amp;"|"&amp;F3010&amp;"|"&amp;I3010&amp;"|"&amp;O3010)</f>
        <v/>
      </c>
      <c r="T3010" s="15" t="str">
        <f>IF(OR(S3010="",D3010&lt;&gt;"Vastgesteld"),"",_xlfn.MAXIFS($G$6:$G$5005,$S$6:$S$5005,S3010,$D$6:$D$5005,"Vastgesteld"))</f>
        <v/>
      </c>
      <c r="U3010" s="15">
        <f>IF(T3010="",0,IF(AND(G3010=T3010,COUNTIFS($S$6:S3010,S3010,$G$6:G3010,G3010,$D$6:D3010,"Vastgesteld")=1),1,0))</f>
        <v>0</v>
      </c>
      <c r="V3010" s="15">
        <f>IF(T3010="",0,IF(AND(G3010=T3010,COUNTIFS($S$6:S3010,S3010,$G$6:G3010,G3010,$D$6:D3010,"Vastgesteld")&gt;1),1,0))</f>
        <v>0</v>
      </c>
    </row>
    <row r="3011">
      <c r="S3011" s="15" t="str">
        <f>IF(J3011="","",J3011&amp;"|"&amp;E3011&amp;"|"&amp;F3011&amp;"|"&amp;I3011&amp;"|"&amp;O3011)</f>
        <v/>
      </c>
      <c r="T3011" s="15" t="str">
        <f>IF(OR(S3011="",D3011&lt;&gt;"Vastgesteld"),"",_xlfn.MAXIFS($G$6:$G$5005,$S$6:$S$5005,S3011,$D$6:$D$5005,"Vastgesteld"))</f>
        <v/>
      </c>
      <c r="U3011" s="15">
        <f>IF(T3011="",0,IF(AND(G3011=T3011,COUNTIFS($S$6:S3011,S3011,$G$6:G3011,G3011,$D$6:D3011,"Vastgesteld")=1),1,0))</f>
        <v>0</v>
      </c>
      <c r="V3011" s="15">
        <f>IF(T3011="",0,IF(AND(G3011=T3011,COUNTIFS($S$6:S3011,S3011,$G$6:G3011,G3011,$D$6:D3011,"Vastgesteld")&gt;1),1,0))</f>
        <v>0</v>
      </c>
    </row>
    <row r="3012">
      <c r="S3012" s="15" t="str">
        <f>IF(J3012="","",J3012&amp;"|"&amp;E3012&amp;"|"&amp;F3012&amp;"|"&amp;I3012&amp;"|"&amp;O3012)</f>
        <v/>
      </c>
      <c r="T3012" s="15" t="str">
        <f>IF(OR(S3012="",D3012&lt;&gt;"Vastgesteld"),"",_xlfn.MAXIFS($G$6:$G$5005,$S$6:$S$5005,S3012,$D$6:$D$5005,"Vastgesteld"))</f>
        <v/>
      </c>
      <c r="U3012" s="15">
        <f>IF(T3012="",0,IF(AND(G3012=T3012,COUNTIFS($S$6:S3012,S3012,$G$6:G3012,G3012,$D$6:D3012,"Vastgesteld")=1),1,0))</f>
        <v>0</v>
      </c>
      <c r="V3012" s="15">
        <f>IF(T3012="",0,IF(AND(G3012=T3012,COUNTIFS($S$6:S3012,S3012,$G$6:G3012,G3012,$D$6:D3012,"Vastgesteld")&gt;1),1,0))</f>
        <v>0</v>
      </c>
    </row>
    <row r="3013">
      <c r="S3013" s="15" t="str">
        <f>IF(J3013="","",J3013&amp;"|"&amp;E3013&amp;"|"&amp;F3013&amp;"|"&amp;I3013&amp;"|"&amp;O3013)</f>
        <v/>
      </c>
      <c r="T3013" s="15" t="str">
        <f>IF(OR(S3013="",D3013&lt;&gt;"Vastgesteld"),"",_xlfn.MAXIFS($G$6:$G$5005,$S$6:$S$5005,S3013,$D$6:$D$5005,"Vastgesteld"))</f>
        <v/>
      </c>
      <c r="U3013" s="15">
        <f>IF(T3013="",0,IF(AND(G3013=T3013,COUNTIFS($S$6:S3013,S3013,$G$6:G3013,G3013,$D$6:D3013,"Vastgesteld")=1),1,0))</f>
        <v>0</v>
      </c>
      <c r="V3013" s="15">
        <f>IF(T3013="",0,IF(AND(G3013=T3013,COUNTIFS($S$6:S3013,S3013,$G$6:G3013,G3013,$D$6:D3013,"Vastgesteld")&gt;1),1,0))</f>
        <v>0</v>
      </c>
    </row>
    <row r="3014">
      <c r="S3014" s="15" t="str">
        <f>IF(J3014="","",J3014&amp;"|"&amp;E3014&amp;"|"&amp;F3014&amp;"|"&amp;I3014&amp;"|"&amp;O3014)</f>
        <v/>
      </c>
      <c r="T3014" s="15" t="str">
        <f>IF(OR(S3014="",D3014&lt;&gt;"Vastgesteld"),"",_xlfn.MAXIFS($G$6:$G$5005,$S$6:$S$5005,S3014,$D$6:$D$5005,"Vastgesteld"))</f>
        <v/>
      </c>
      <c r="U3014" s="15">
        <f>IF(T3014="",0,IF(AND(G3014=T3014,COUNTIFS($S$6:S3014,S3014,$G$6:G3014,G3014,$D$6:D3014,"Vastgesteld")=1),1,0))</f>
        <v>0</v>
      </c>
      <c r="V3014" s="15">
        <f>IF(T3014="",0,IF(AND(G3014=T3014,COUNTIFS($S$6:S3014,S3014,$G$6:G3014,G3014,$D$6:D3014,"Vastgesteld")&gt;1),1,0))</f>
        <v>0</v>
      </c>
    </row>
    <row r="3015">
      <c r="S3015" s="15" t="str">
        <f>IF(J3015="","",J3015&amp;"|"&amp;E3015&amp;"|"&amp;F3015&amp;"|"&amp;I3015&amp;"|"&amp;O3015)</f>
        <v/>
      </c>
      <c r="T3015" s="15" t="str">
        <f>IF(OR(S3015="",D3015&lt;&gt;"Vastgesteld"),"",_xlfn.MAXIFS($G$6:$G$5005,$S$6:$S$5005,S3015,$D$6:$D$5005,"Vastgesteld"))</f>
        <v/>
      </c>
      <c r="U3015" s="15">
        <f>IF(T3015="",0,IF(AND(G3015=T3015,COUNTIFS($S$6:S3015,S3015,$G$6:G3015,G3015,$D$6:D3015,"Vastgesteld")=1),1,0))</f>
        <v>0</v>
      </c>
      <c r="V3015" s="15">
        <f>IF(T3015="",0,IF(AND(G3015=T3015,COUNTIFS($S$6:S3015,S3015,$G$6:G3015,G3015,$D$6:D3015,"Vastgesteld")&gt;1),1,0))</f>
        <v>0</v>
      </c>
    </row>
    <row r="3016">
      <c r="S3016" s="15" t="str">
        <f>IF(J3016="","",J3016&amp;"|"&amp;E3016&amp;"|"&amp;F3016&amp;"|"&amp;I3016&amp;"|"&amp;O3016)</f>
        <v/>
      </c>
      <c r="T3016" s="15" t="str">
        <f>IF(OR(S3016="",D3016&lt;&gt;"Vastgesteld"),"",_xlfn.MAXIFS($G$6:$G$5005,$S$6:$S$5005,S3016,$D$6:$D$5005,"Vastgesteld"))</f>
        <v/>
      </c>
      <c r="U3016" s="15">
        <f>IF(T3016="",0,IF(AND(G3016=T3016,COUNTIFS($S$6:S3016,S3016,$G$6:G3016,G3016,$D$6:D3016,"Vastgesteld")=1),1,0))</f>
        <v>0</v>
      </c>
      <c r="V3016" s="15">
        <f>IF(T3016="",0,IF(AND(G3016=T3016,COUNTIFS($S$6:S3016,S3016,$G$6:G3016,G3016,$D$6:D3016,"Vastgesteld")&gt;1),1,0))</f>
        <v>0</v>
      </c>
    </row>
    <row r="3017">
      <c r="S3017" s="15" t="str">
        <f>IF(J3017="","",J3017&amp;"|"&amp;E3017&amp;"|"&amp;F3017&amp;"|"&amp;I3017&amp;"|"&amp;O3017)</f>
        <v/>
      </c>
      <c r="T3017" s="15" t="str">
        <f>IF(OR(S3017="",D3017&lt;&gt;"Vastgesteld"),"",_xlfn.MAXIFS($G$6:$G$5005,$S$6:$S$5005,S3017,$D$6:$D$5005,"Vastgesteld"))</f>
        <v/>
      </c>
      <c r="U3017" s="15">
        <f>IF(T3017="",0,IF(AND(G3017=T3017,COUNTIFS($S$6:S3017,S3017,$G$6:G3017,G3017,$D$6:D3017,"Vastgesteld")=1),1,0))</f>
        <v>0</v>
      </c>
      <c r="V3017" s="15">
        <f>IF(T3017="",0,IF(AND(G3017=T3017,COUNTIFS($S$6:S3017,S3017,$G$6:G3017,G3017,$D$6:D3017,"Vastgesteld")&gt;1),1,0))</f>
        <v>0</v>
      </c>
    </row>
    <row r="3018">
      <c r="S3018" s="15" t="str">
        <f>IF(J3018="","",J3018&amp;"|"&amp;E3018&amp;"|"&amp;F3018&amp;"|"&amp;I3018&amp;"|"&amp;O3018)</f>
        <v/>
      </c>
      <c r="T3018" s="15" t="str">
        <f>IF(OR(S3018="",D3018&lt;&gt;"Vastgesteld"),"",_xlfn.MAXIFS($G$6:$G$5005,$S$6:$S$5005,S3018,$D$6:$D$5005,"Vastgesteld"))</f>
        <v/>
      </c>
      <c r="U3018" s="15">
        <f>IF(T3018="",0,IF(AND(G3018=T3018,COUNTIFS($S$6:S3018,S3018,$G$6:G3018,G3018,$D$6:D3018,"Vastgesteld")=1),1,0))</f>
        <v>0</v>
      </c>
      <c r="V3018" s="15">
        <f>IF(T3018="",0,IF(AND(G3018=T3018,COUNTIFS($S$6:S3018,S3018,$G$6:G3018,G3018,$D$6:D3018,"Vastgesteld")&gt;1),1,0))</f>
        <v>0</v>
      </c>
    </row>
    <row r="3019">
      <c r="S3019" s="15" t="str">
        <f>IF(J3019="","",J3019&amp;"|"&amp;E3019&amp;"|"&amp;F3019&amp;"|"&amp;I3019&amp;"|"&amp;O3019)</f>
        <v/>
      </c>
      <c r="T3019" s="15" t="str">
        <f>IF(OR(S3019="",D3019&lt;&gt;"Vastgesteld"),"",_xlfn.MAXIFS($G$6:$G$5005,$S$6:$S$5005,S3019,$D$6:$D$5005,"Vastgesteld"))</f>
        <v/>
      </c>
      <c r="U3019" s="15">
        <f>IF(T3019="",0,IF(AND(G3019=T3019,COUNTIFS($S$6:S3019,S3019,$G$6:G3019,G3019,$D$6:D3019,"Vastgesteld")=1),1,0))</f>
        <v>0</v>
      </c>
      <c r="V3019" s="15">
        <f>IF(T3019="",0,IF(AND(G3019=T3019,COUNTIFS($S$6:S3019,S3019,$G$6:G3019,G3019,$D$6:D3019,"Vastgesteld")&gt;1),1,0))</f>
        <v>0</v>
      </c>
    </row>
    <row r="3020">
      <c r="S3020" s="15" t="str">
        <f>IF(J3020="","",J3020&amp;"|"&amp;E3020&amp;"|"&amp;F3020&amp;"|"&amp;I3020&amp;"|"&amp;O3020)</f>
        <v/>
      </c>
      <c r="T3020" s="15" t="str">
        <f>IF(OR(S3020="",D3020&lt;&gt;"Vastgesteld"),"",_xlfn.MAXIFS($G$6:$G$5005,$S$6:$S$5005,S3020,$D$6:$D$5005,"Vastgesteld"))</f>
        <v/>
      </c>
      <c r="U3020" s="15">
        <f>IF(T3020="",0,IF(AND(G3020=T3020,COUNTIFS($S$6:S3020,S3020,$G$6:G3020,G3020,$D$6:D3020,"Vastgesteld")=1),1,0))</f>
        <v>0</v>
      </c>
      <c r="V3020" s="15">
        <f>IF(T3020="",0,IF(AND(G3020=T3020,COUNTIFS($S$6:S3020,S3020,$G$6:G3020,G3020,$D$6:D3020,"Vastgesteld")&gt;1),1,0))</f>
        <v>0</v>
      </c>
    </row>
    <row r="3021">
      <c r="S3021" s="15" t="str">
        <f>IF(J3021="","",J3021&amp;"|"&amp;E3021&amp;"|"&amp;F3021&amp;"|"&amp;I3021&amp;"|"&amp;O3021)</f>
        <v/>
      </c>
      <c r="T3021" s="15" t="str">
        <f>IF(OR(S3021="",D3021&lt;&gt;"Vastgesteld"),"",_xlfn.MAXIFS($G$6:$G$5005,$S$6:$S$5005,S3021,$D$6:$D$5005,"Vastgesteld"))</f>
        <v/>
      </c>
      <c r="U3021" s="15">
        <f>IF(T3021="",0,IF(AND(G3021=T3021,COUNTIFS($S$6:S3021,S3021,$G$6:G3021,G3021,$D$6:D3021,"Vastgesteld")=1),1,0))</f>
        <v>0</v>
      </c>
      <c r="V3021" s="15">
        <f>IF(T3021="",0,IF(AND(G3021=T3021,COUNTIFS($S$6:S3021,S3021,$G$6:G3021,G3021,$D$6:D3021,"Vastgesteld")&gt;1),1,0))</f>
        <v>0</v>
      </c>
    </row>
    <row r="3022">
      <c r="S3022" s="15" t="str">
        <f>IF(J3022="","",J3022&amp;"|"&amp;E3022&amp;"|"&amp;F3022&amp;"|"&amp;I3022&amp;"|"&amp;O3022)</f>
        <v/>
      </c>
      <c r="T3022" s="15" t="str">
        <f>IF(OR(S3022="",D3022&lt;&gt;"Vastgesteld"),"",_xlfn.MAXIFS($G$6:$G$5005,$S$6:$S$5005,S3022,$D$6:$D$5005,"Vastgesteld"))</f>
        <v/>
      </c>
      <c r="U3022" s="15">
        <f>IF(T3022="",0,IF(AND(G3022=T3022,COUNTIFS($S$6:S3022,S3022,$G$6:G3022,G3022,$D$6:D3022,"Vastgesteld")=1),1,0))</f>
        <v>0</v>
      </c>
      <c r="V3022" s="15">
        <f>IF(T3022="",0,IF(AND(G3022=T3022,COUNTIFS($S$6:S3022,S3022,$G$6:G3022,G3022,$D$6:D3022,"Vastgesteld")&gt;1),1,0))</f>
        <v>0</v>
      </c>
    </row>
    <row r="3023">
      <c r="S3023" s="15" t="str">
        <f>IF(J3023="","",J3023&amp;"|"&amp;E3023&amp;"|"&amp;F3023&amp;"|"&amp;I3023&amp;"|"&amp;O3023)</f>
        <v/>
      </c>
      <c r="T3023" s="15" t="str">
        <f>IF(OR(S3023="",D3023&lt;&gt;"Vastgesteld"),"",_xlfn.MAXIFS($G$6:$G$5005,$S$6:$S$5005,S3023,$D$6:$D$5005,"Vastgesteld"))</f>
        <v/>
      </c>
      <c r="U3023" s="15">
        <f>IF(T3023="",0,IF(AND(G3023=T3023,COUNTIFS($S$6:S3023,S3023,$G$6:G3023,G3023,$D$6:D3023,"Vastgesteld")=1),1,0))</f>
        <v>0</v>
      </c>
      <c r="V3023" s="15">
        <f>IF(T3023="",0,IF(AND(G3023=T3023,COUNTIFS($S$6:S3023,S3023,$G$6:G3023,G3023,$D$6:D3023,"Vastgesteld")&gt;1),1,0))</f>
        <v>0</v>
      </c>
    </row>
    <row r="3024">
      <c r="S3024" s="15" t="str">
        <f>IF(J3024="","",J3024&amp;"|"&amp;E3024&amp;"|"&amp;F3024&amp;"|"&amp;I3024&amp;"|"&amp;O3024)</f>
        <v/>
      </c>
      <c r="T3024" s="15" t="str">
        <f>IF(OR(S3024="",D3024&lt;&gt;"Vastgesteld"),"",_xlfn.MAXIFS($G$6:$G$5005,$S$6:$S$5005,S3024,$D$6:$D$5005,"Vastgesteld"))</f>
        <v/>
      </c>
      <c r="U3024" s="15">
        <f>IF(T3024="",0,IF(AND(G3024=T3024,COUNTIFS($S$6:S3024,S3024,$G$6:G3024,G3024,$D$6:D3024,"Vastgesteld")=1),1,0))</f>
        <v>0</v>
      </c>
      <c r="V3024" s="15">
        <f>IF(T3024="",0,IF(AND(G3024=T3024,COUNTIFS($S$6:S3024,S3024,$G$6:G3024,G3024,$D$6:D3024,"Vastgesteld")&gt;1),1,0))</f>
        <v>0</v>
      </c>
    </row>
    <row r="3025">
      <c r="S3025" s="15" t="str">
        <f>IF(J3025="","",J3025&amp;"|"&amp;E3025&amp;"|"&amp;F3025&amp;"|"&amp;I3025&amp;"|"&amp;O3025)</f>
        <v/>
      </c>
      <c r="T3025" s="15" t="str">
        <f>IF(OR(S3025="",D3025&lt;&gt;"Vastgesteld"),"",_xlfn.MAXIFS($G$6:$G$5005,$S$6:$S$5005,S3025,$D$6:$D$5005,"Vastgesteld"))</f>
        <v/>
      </c>
      <c r="U3025" s="15">
        <f>IF(T3025="",0,IF(AND(G3025=T3025,COUNTIFS($S$6:S3025,S3025,$G$6:G3025,G3025,$D$6:D3025,"Vastgesteld")=1),1,0))</f>
        <v>0</v>
      </c>
      <c r="V3025" s="15">
        <f>IF(T3025="",0,IF(AND(G3025=T3025,COUNTIFS($S$6:S3025,S3025,$G$6:G3025,G3025,$D$6:D3025,"Vastgesteld")&gt;1),1,0))</f>
        <v>0</v>
      </c>
    </row>
    <row r="3026">
      <c r="S3026" s="15" t="str">
        <f>IF(J3026="","",J3026&amp;"|"&amp;E3026&amp;"|"&amp;F3026&amp;"|"&amp;I3026&amp;"|"&amp;O3026)</f>
        <v/>
      </c>
      <c r="T3026" s="15" t="str">
        <f>IF(OR(S3026="",D3026&lt;&gt;"Vastgesteld"),"",_xlfn.MAXIFS($G$6:$G$5005,$S$6:$S$5005,S3026,$D$6:$D$5005,"Vastgesteld"))</f>
        <v/>
      </c>
      <c r="U3026" s="15">
        <f>IF(T3026="",0,IF(AND(G3026=T3026,COUNTIFS($S$6:S3026,S3026,$G$6:G3026,G3026,$D$6:D3026,"Vastgesteld")=1),1,0))</f>
        <v>0</v>
      </c>
      <c r="V3026" s="15">
        <f>IF(T3026="",0,IF(AND(G3026=T3026,COUNTIFS($S$6:S3026,S3026,$G$6:G3026,G3026,$D$6:D3026,"Vastgesteld")&gt;1),1,0))</f>
        <v>0</v>
      </c>
    </row>
    <row r="3027">
      <c r="S3027" s="15" t="str">
        <f>IF(J3027="","",J3027&amp;"|"&amp;E3027&amp;"|"&amp;F3027&amp;"|"&amp;I3027&amp;"|"&amp;O3027)</f>
        <v/>
      </c>
      <c r="T3027" s="15" t="str">
        <f>IF(OR(S3027="",D3027&lt;&gt;"Vastgesteld"),"",_xlfn.MAXIFS($G$6:$G$5005,$S$6:$S$5005,S3027,$D$6:$D$5005,"Vastgesteld"))</f>
        <v/>
      </c>
      <c r="U3027" s="15">
        <f>IF(T3027="",0,IF(AND(G3027=T3027,COUNTIFS($S$6:S3027,S3027,$G$6:G3027,G3027,$D$6:D3027,"Vastgesteld")=1),1,0))</f>
        <v>0</v>
      </c>
      <c r="V3027" s="15">
        <f>IF(T3027="",0,IF(AND(G3027=T3027,COUNTIFS($S$6:S3027,S3027,$G$6:G3027,G3027,$D$6:D3027,"Vastgesteld")&gt;1),1,0))</f>
        <v>0</v>
      </c>
    </row>
    <row r="3028">
      <c r="S3028" s="15" t="str">
        <f>IF(J3028="","",J3028&amp;"|"&amp;E3028&amp;"|"&amp;F3028&amp;"|"&amp;I3028&amp;"|"&amp;O3028)</f>
        <v/>
      </c>
      <c r="T3028" s="15" t="str">
        <f>IF(OR(S3028="",D3028&lt;&gt;"Vastgesteld"),"",_xlfn.MAXIFS($G$6:$G$5005,$S$6:$S$5005,S3028,$D$6:$D$5005,"Vastgesteld"))</f>
        <v/>
      </c>
      <c r="U3028" s="15">
        <f>IF(T3028="",0,IF(AND(G3028=T3028,COUNTIFS($S$6:S3028,S3028,$G$6:G3028,G3028,$D$6:D3028,"Vastgesteld")=1),1,0))</f>
        <v>0</v>
      </c>
      <c r="V3028" s="15">
        <f>IF(T3028="",0,IF(AND(G3028=T3028,COUNTIFS($S$6:S3028,S3028,$G$6:G3028,G3028,$D$6:D3028,"Vastgesteld")&gt;1),1,0))</f>
        <v>0</v>
      </c>
    </row>
    <row r="3029">
      <c r="S3029" s="15" t="str">
        <f>IF(J3029="","",J3029&amp;"|"&amp;E3029&amp;"|"&amp;F3029&amp;"|"&amp;I3029&amp;"|"&amp;O3029)</f>
        <v/>
      </c>
      <c r="T3029" s="15" t="str">
        <f>IF(OR(S3029="",D3029&lt;&gt;"Vastgesteld"),"",_xlfn.MAXIFS($G$6:$G$5005,$S$6:$S$5005,S3029,$D$6:$D$5005,"Vastgesteld"))</f>
        <v/>
      </c>
      <c r="U3029" s="15">
        <f>IF(T3029="",0,IF(AND(G3029=T3029,COUNTIFS($S$6:S3029,S3029,$G$6:G3029,G3029,$D$6:D3029,"Vastgesteld")=1),1,0))</f>
        <v>0</v>
      </c>
      <c r="V3029" s="15">
        <f>IF(T3029="",0,IF(AND(G3029=T3029,COUNTIFS($S$6:S3029,S3029,$G$6:G3029,G3029,$D$6:D3029,"Vastgesteld")&gt;1),1,0))</f>
        <v>0</v>
      </c>
    </row>
    <row r="3030">
      <c r="S3030" s="15" t="str">
        <f>IF(J3030="","",J3030&amp;"|"&amp;E3030&amp;"|"&amp;F3030&amp;"|"&amp;I3030&amp;"|"&amp;O3030)</f>
        <v/>
      </c>
      <c r="T3030" s="15" t="str">
        <f>IF(OR(S3030="",D3030&lt;&gt;"Vastgesteld"),"",_xlfn.MAXIFS($G$6:$G$5005,$S$6:$S$5005,S3030,$D$6:$D$5005,"Vastgesteld"))</f>
        <v/>
      </c>
      <c r="U3030" s="15">
        <f>IF(T3030="",0,IF(AND(G3030=T3030,COUNTIFS($S$6:S3030,S3030,$G$6:G3030,G3030,$D$6:D3030,"Vastgesteld")=1),1,0))</f>
        <v>0</v>
      </c>
      <c r="V3030" s="15">
        <f>IF(T3030="",0,IF(AND(G3030=T3030,COUNTIFS($S$6:S3030,S3030,$G$6:G3030,G3030,$D$6:D3030,"Vastgesteld")&gt;1),1,0))</f>
        <v>0</v>
      </c>
    </row>
    <row r="3031">
      <c r="S3031" s="15" t="str">
        <f>IF(J3031="","",J3031&amp;"|"&amp;E3031&amp;"|"&amp;F3031&amp;"|"&amp;I3031&amp;"|"&amp;O3031)</f>
        <v/>
      </c>
      <c r="T3031" s="15" t="str">
        <f>IF(OR(S3031="",D3031&lt;&gt;"Vastgesteld"),"",_xlfn.MAXIFS($G$6:$G$5005,$S$6:$S$5005,S3031,$D$6:$D$5005,"Vastgesteld"))</f>
        <v/>
      </c>
      <c r="U3031" s="15">
        <f>IF(T3031="",0,IF(AND(G3031=T3031,COUNTIFS($S$6:S3031,S3031,$G$6:G3031,G3031,$D$6:D3031,"Vastgesteld")=1),1,0))</f>
        <v>0</v>
      </c>
      <c r="V3031" s="15">
        <f>IF(T3031="",0,IF(AND(G3031=T3031,COUNTIFS($S$6:S3031,S3031,$G$6:G3031,G3031,$D$6:D3031,"Vastgesteld")&gt;1),1,0))</f>
        <v>0</v>
      </c>
    </row>
    <row r="3032">
      <c r="S3032" s="15" t="str">
        <f>IF(J3032="","",J3032&amp;"|"&amp;E3032&amp;"|"&amp;F3032&amp;"|"&amp;I3032&amp;"|"&amp;O3032)</f>
        <v/>
      </c>
      <c r="T3032" s="15" t="str">
        <f>IF(OR(S3032="",D3032&lt;&gt;"Vastgesteld"),"",_xlfn.MAXIFS($G$6:$G$5005,$S$6:$S$5005,S3032,$D$6:$D$5005,"Vastgesteld"))</f>
        <v/>
      </c>
      <c r="U3032" s="15">
        <f>IF(T3032="",0,IF(AND(G3032=T3032,COUNTIFS($S$6:S3032,S3032,$G$6:G3032,G3032,$D$6:D3032,"Vastgesteld")=1),1,0))</f>
        <v>0</v>
      </c>
      <c r="V3032" s="15">
        <f>IF(T3032="",0,IF(AND(G3032=T3032,COUNTIFS($S$6:S3032,S3032,$G$6:G3032,G3032,$D$6:D3032,"Vastgesteld")&gt;1),1,0))</f>
        <v>0</v>
      </c>
    </row>
    <row r="3033">
      <c r="S3033" s="15" t="str">
        <f>IF(J3033="","",J3033&amp;"|"&amp;E3033&amp;"|"&amp;F3033&amp;"|"&amp;I3033&amp;"|"&amp;O3033)</f>
        <v/>
      </c>
      <c r="T3033" s="15" t="str">
        <f>IF(OR(S3033="",D3033&lt;&gt;"Vastgesteld"),"",_xlfn.MAXIFS($G$6:$G$5005,$S$6:$S$5005,S3033,$D$6:$D$5005,"Vastgesteld"))</f>
        <v/>
      </c>
      <c r="U3033" s="15">
        <f>IF(T3033="",0,IF(AND(G3033=T3033,COUNTIFS($S$6:S3033,S3033,$G$6:G3033,G3033,$D$6:D3033,"Vastgesteld")=1),1,0))</f>
        <v>0</v>
      </c>
      <c r="V3033" s="15">
        <f>IF(T3033="",0,IF(AND(G3033=T3033,COUNTIFS($S$6:S3033,S3033,$G$6:G3033,G3033,$D$6:D3033,"Vastgesteld")&gt;1),1,0))</f>
        <v>0</v>
      </c>
    </row>
    <row r="3034">
      <c r="S3034" s="15" t="str">
        <f>IF(J3034="","",J3034&amp;"|"&amp;E3034&amp;"|"&amp;F3034&amp;"|"&amp;I3034&amp;"|"&amp;O3034)</f>
        <v/>
      </c>
      <c r="T3034" s="15" t="str">
        <f>IF(OR(S3034="",D3034&lt;&gt;"Vastgesteld"),"",_xlfn.MAXIFS($G$6:$G$5005,$S$6:$S$5005,S3034,$D$6:$D$5005,"Vastgesteld"))</f>
        <v/>
      </c>
      <c r="U3034" s="15">
        <f>IF(T3034="",0,IF(AND(G3034=T3034,COUNTIFS($S$6:S3034,S3034,$G$6:G3034,G3034,$D$6:D3034,"Vastgesteld")=1),1,0))</f>
        <v>0</v>
      </c>
      <c r="V3034" s="15">
        <f>IF(T3034="",0,IF(AND(G3034=T3034,COUNTIFS($S$6:S3034,S3034,$G$6:G3034,G3034,$D$6:D3034,"Vastgesteld")&gt;1),1,0))</f>
        <v>0</v>
      </c>
    </row>
    <row r="3035">
      <c r="S3035" s="15" t="str">
        <f>IF(J3035="","",J3035&amp;"|"&amp;E3035&amp;"|"&amp;F3035&amp;"|"&amp;I3035&amp;"|"&amp;O3035)</f>
        <v/>
      </c>
      <c r="T3035" s="15" t="str">
        <f>IF(OR(S3035="",D3035&lt;&gt;"Vastgesteld"),"",_xlfn.MAXIFS($G$6:$G$5005,$S$6:$S$5005,S3035,$D$6:$D$5005,"Vastgesteld"))</f>
        <v/>
      </c>
      <c r="U3035" s="15">
        <f>IF(T3035="",0,IF(AND(G3035=T3035,COUNTIFS($S$6:S3035,S3035,$G$6:G3035,G3035,$D$6:D3035,"Vastgesteld")=1),1,0))</f>
        <v>0</v>
      </c>
      <c r="V3035" s="15">
        <f>IF(T3035="",0,IF(AND(G3035=T3035,COUNTIFS($S$6:S3035,S3035,$G$6:G3035,G3035,$D$6:D3035,"Vastgesteld")&gt;1),1,0))</f>
        <v>0</v>
      </c>
    </row>
    <row r="3036">
      <c r="S3036" s="15" t="str">
        <f>IF(J3036="","",J3036&amp;"|"&amp;E3036&amp;"|"&amp;F3036&amp;"|"&amp;I3036&amp;"|"&amp;O3036)</f>
        <v/>
      </c>
      <c r="T3036" s="15" t="str">
        <f>IF(OR(S3036="",D3036&lt;&gt;"Vastgesteld"),"",_xlfn.MAXIFS($G$6:$G$5005,$S$6:$S$5005,S3036,$D$6:$D$5005,"Vastgesteld"))</f>
        <v/>
      </c>
      <c r="U3036" s="15">
        <f>IF(T3036="",0,IF(AND(G3036=T3036,COUNTIFS($S$6:S3036,S3036,$G$6:G3036,G3036,$D$6:D3036,"Vastgesteld")=1),1,0))</f>
        <v>0</v>
      </c>
      <c r="V3036" s="15">
        <f>IF(T3036="",0,IF(AND(G3036=T3036,COUNTIFS($S$6:S3036,S3036,$G$6:G3036,G3036,$D$6:D3036,"Vastgesteld")&gt;1),1,0))</f>
        <v>0</v>
      </c>
    </row>
    <row r="3037">
      <c r="S3037" s="15" t="str">
        <f>IF(J3037="","",J3037&amp;"|"&amp;E3037&amp;"|"&amp;F3037&amp;"|"&amp;I3037&amp;"|"&amp;O3037)</f>
        <v/>
      </c>
      <c r="T3037" s="15" t="str">
        <f>IF(OR(S3037="",D3037&lt;&gt;"Vastgesteld"),"",_xlfn.MAXIFS($G$6:$G$5005,$S$6:$S$5005,S3037,$D$6:$D$5005,"Vastgesteld"))</f>
        <v/>
      </c>
      <c r="U3037" s="15">
        <f>IF(T3037="",0,IF(AND(G3037=T3037,COUNTIFS($S$6:S3037,S3037,$G$6:G3037,G3037,$D$6:D3037,"Vastgesteld")=1),1,0))</f>
        <v>0</v>
      </c>
      <c r="V3037" s="15">
        <f>IF(T3037="",0,IF(AND(G3037=T3037,COUNTIFS($S$6:S3037,S3037,$G$6:G3037,G3037,$D$6:D3037,"Vastgesteld")&gt;1),1,0))</f>
        <v>0</v>
      </c>
    </row>
    <row r="3038">
      <c r="S3038" s="15" t="str">
        <f>IF(J3038="","",J3038&amp;"|"&amp;E3038&amp;"|"&amp;F3038&amp;"|"&amp;I3038&amp;"|"&amp;O3038)</f>
        <v/>
      </c>
      <c r="T3038" s="15" t="str">
        <f>IF(OR(S3038="",D3038&lt;&gt;"Vastgesteld"),"",_xlfn.MAXIFS($G$6:$G$5005,$S$6:$S$5005,S3038,$D$6:$D$5005,"Vastgesteld"))</f>
        <v/>
      </c>
      <c r="U3038" s="15">
        <f>IF(T3038="",0,IF(AND(G3038=T3038,COUNTIFS($S$6:S3038,S3038,$G$6:G3038,G3038,$D$6:D3038,"Vastgesteld")=1),1,0))</f>
        <v>0</v>
      </c>
      <c r="V3038" s="15">
        <f>IF(T3038="",0,IF(AND(G3038=T3038,COUNTIFS($S$6:S3038,S3038,$G$6:G3038,G3038,$D$6:D3038,"Vastgesteld")&gt;1),1,0))</f>
        <v>0</v>
      </c>
    </row>
    <row r="3039">
      <c r="S3039" s="15" t="str">
        <f>IF(J3039="","",J3039&amp;"|"&amp;E3039&amp;"|"&amp;F3039&amp;"|"&amp;I3039&amp;"|"&amp;O3039)</f>
        <v/>
      </c>
      <c r="T3039" s="15" t="str">
        <f>IF(OR(S3039="",D3039&lt;&gt;"Vastgesteld"),"",_xlfn.MAXIFS($G$6:$G$5005,$S$6:$S$5005,S3039,$D$6:$D$5005,"Vastgesteld"))</f>
        <v/>
      </c>
      <c r="U3039" s="15">
        <f>IF(T3039="",0,IF(AND(G3039=T3039,COUNTIFS($S$6:S3039,S3039,$G$6:G3039,G3039,$D$6:D3039,"Vastgesteld")=1),1,0))</f>
        <v>0</v>
      </c>
      <c r="V3039" s="15">
        <f>IF(T3039="",0,IF(AND(G3039=T3039,COUNTIFS($S$6:S3039,S3039,$G$6:G3039,G3039,$D$6:D3039,"Vastgesteld")&gt;1),1,0))</f>
        <v>0</v>
      </c>
    </row>
    <row r="3040">
      <c r="S3040" s="15" t="str">
        <f>IF(J3040="","",J3040&amp;"|"&amp;E3040&amp;"|"&amp;F3040&amp;"|"&amp;I3040&amp;"|"&amp;O3040)</f>
        <v/>
      </c>
      <c r="T3040" s="15" t="str">
        <f>IF(OR(S3040="",D3040&lt;&gt;"Vastgesteld"),"",_xlfn.MAXIFS($G$6:$G$5005,$S$6:$S$5005,S3040,$D$6:$D$5005,"Vastgesteld"))</f>
        <v/>
      </c>
      <c r="U3040" s="15">
        <f>IF(T3040="",0,IF(AND(G3040=T3040,COUNTIFS($S$6:S3040,S3040,$G$6:G3040,G3040,$D$6:D3040,"Vastgesteld")=1),1,0))</f>
        <v>0</v>
      </c>
      <c r="V3040" s="15">
        <f>IF(T3040="",0,IF(AND(G3040=T3040,COUNTIFS($S$6:S3040,S3040,$G$6:G3040,G3040,$D$6:D3040,"Vastgesteld")&gt;1),1,0))</f>
        <v>0</v>
      </c>
    </row>
    <row r="3041">
      <c r="S3041" s="15" t="str">
        <f>IF(J3041="","",J3041&amp;"|"&amp;E3041&amp;"|"&amp;F3041&amp;"|"&amp;I3041&amp;"|"&amp;O3041)</f>
        <v/>
      </c>
      <c r="T3041" s="15" t="str">
        <f>IF(OR(S3041="",D3041&lt;&gt;"Vastgesteld"),"",_xlfn.MAXIFS($G$6:$G$5005,$S$6:$S$5005,S3041,$D$6:$D$5005,"Vastgesteld"))</f>
        <v/>
      </c>
      <c r="U3041" s="15">
        <f>IF(T3041="",0,IF(AND(G3041=T3041,COUNTIFS($S$6:S3041,S3041,$G$6:G3041,G3041,$D$6:D3041,"Vastgesteld")=1),1,0))</f>
        <v>0</v>
      </c>
      <c r="V3041" s="15">
        <f>IF(T3041="",0,IF(AND(G3041=T3041,COUNTIFS($S$6:S3041,S3041,$G$6:G3041,G3041,$D$6:D3041,"Vastgesteld")&gt;1),1,0))</f>
        <v>0</v>
      </c>
    </row>
    <row r="3042">
      <c r="S3042" s="15" t="str">
        <f>IF(J3042="","",J3042&amp;"|"&amp;E3042&amp;"|"&amp;F3042&amp;"|"&amp;I3042&amp;"|"&amp;O3042)</f>
        <v/>
      </c>
      <c r="T3042" s="15" t="str">
        <f>IF(OR(S3042="",D3042&lt;&gt;"Vastgesteld"),"",_xlfn.MAXIFS($G$6:$G$5005,$S$6:$S$5005,S3042,$D$6:$D$5005,"Vastgesteld"))</f>
        <v/>
      </c>
      <c r="U3042" s="15">
        <f>IF(T3042="",0,IF(AND(G3042=T3042,COUNTIFS($S$6:S3042,S3042,$G$6:G3042,G3042,$D$6:D3042,"Vastgesteld")=1),1,0))</f>
        <v>0</v>
      </c>
      <c r="V3042" s="15">
        <f>IF(T3042="",0,IF(AND(G3042=T3042,COUNTIFS($S$6:S3042,S3042,$G$6:G3042,G3042,$D$6:D3042,"Vastgesteld")&gt;1),1,0))</f>
        <v>0</v>
      </c>
    </row>
    <row r="3043">
      <c r="S3043" s="15" t="str">
        <f>IF(J3043="","",J3043&amp;"|"&amp;E3043&amp;"|"&amp;F3043&amp;"|"&amp;I3043&amp;"|"&amp;O3043)</f>
        <v/>
      </c>
      <c r="T3043" s="15" t="str">
        <f>IF(OR(S3043="",D3043&lt;&gt;"Vastgesteld"),"",_xlfn.MAXIFS($G$6:$G$5005,$S$6:$S$5005,S3043,$D$6:$D$5005,"Vastgesteld"))</f>
        <v/>
      </c>
      <c r="U3043" s="15">
        <f>IF(T3043="",0,IF(AND(G3043=T3043,COUNTIFS($S$6:S3043,S3043,$G$6:G3043,G3043,$D$6:D3043,"Vastgesteld")=1),1,0))</f>
        <v>0</v>
      </c>
      <c r="V3043" s="15">
        <f>IF(T3043="",0,IF(AND(G3043=T3043,COUNTIFS($S$6:S3043,S3043,$G$6:G3043,G3043,$D$6:D3043,"Vastgesteld")&gt;1),1,0))</f>
        <v>0</v>
      </c>
    </row>
    <row r="3044">
      <c r="S3044" s="15" t="str">
        <f>IF(J3044="","",J3044&amp;"|"&amp;E3044&amp;"|"&amp;F3044&amp;"|"&amp;I3044&amp;"|"&amp;O3044)</f>
        <v/>
      </c>
      <c r="T3044" s="15" t="str">
        <f>IF(OR(S3044="",D3044&lt;&gt;"Vastgesteld"),"",_xlfn.MAXIFS($G$6:$G$5005,$S$6:$S$5005,S3044,$D$6:$D$5005,"Vastgesteld"))</f>
        <v/>
      </c>
      <c r="U3044" s="15">
        <f>IF(T3044="",0,IF(AND(G3044=T3044,COUNTIFS($S$6:S3044,S3044,$G$6:G3044,G3044,$D$6:D3044,"Vastgesteld")=1),1,0))</f>
        <v>0</v>
      </c>
      <c r="V3044" s="15">
        <f>IF(T3044="",0,IF(AND(G3044=T3044,COUNTIFS($S$6:S3044,S3044,$G$6:G3044,G3044,$D$6:D3044,"Vastgesteld")&gt;1),1,0))</f>
        <v>0</v>
      </c>
    </row>
    <row r="3045">
      <c r="S3045" s="15" t="str">
        <f>IF(J3045="","",J3045&amp;"|"&amp;E3045&amp;"|"&amp;F3045&amp;"|"&amp;I3045&amp;"|"&amp;O3045)</f>
        <v/>
      </c>
      <c r="T3045" s="15" t="str">
        <f>IF(OR(S3045="",D3045&lt;&gt;"Vastgesteld"),"",_xlfn.MAXIFS($G$6:$G$5005,$S$6:$S$5005,S3045,$D$6:$D$5005,"Vastgesteld"))</f>
        <v/>
      </c>
      <c r="U3045" s="15">
        <f>IF(T3045="",0,IF(AND(G3045=T3045,COUNTIFS($S$6:S3045,S3045,$G$6:G3045,G3045,$D$6:D3045,"Vastgesteld")=1),1,0))</f>
        <v>0</v>
      </c>
      <c r="V3045" s="15">
        <f>IF(T3045="",0,IF(AND(G3045=T3045,COUNTIFS($S$6:S3045,S3045,$G$6:G3045,G3045,$D$6:D3045,"Vastgesteld")&gt;1),1,0))</f>
        <v>0</v>
      </c>
    </row>
    <row r="3046">
      <c r="S3046" s="15" t="str">
        <f>IF(J3046="","",J3046&amp;"|"&amp;E3046&amp;"|"&amp;F3046&amp;"|"&amp;I3046&amp;"|"&amp;O3046)</f>
        <v/>
      </c>
      <c r="T3046" s="15" t="str">
        <f>IF(OR(S3046="",D3046&lt;&gt;"Vastgesteld"),"",_xlfn.MAXIFS($G$6:$G$5005,$S$6:$S$5005,S3046,$D$6:$D$5005,"Vastgesteld"))</f>
        <v/>
      </c>
      <c r="U3046" s="15">
        <f>IF(T3046="",0,IF(AND(G3046=T3046,COUNTIFS($S$6:S3046,S3046,$G$6:G3046,G3046,$D$6:D3046,"Vastgesteld")=1),1,0))</f>
        <v>0</v>
      </c>
      <c r="V3046" s="15">
        <f>IF(T3046="",0,IF(AND(G3046=T3046,COUNTIFS($S$6:S3046,S3046,$G$6:G3046,G3046,$D$6:D3046,"Vastgesteld")&gt;1),1,0))</f>
        <v>0</v>
      </c>
    </row>
    <row r="3047">
      <c r="S3047" s="15" t="str">
        <f>IF(J3047="","",J3047&amp;"|"&amp;E3047&amp;"|"&amp;F3047&amp;"|"&amp;I3047&amp;"|"&amp;O3047)</f>
        <v/>
      </c>
      <c r="T3047" s="15" t="str">
        <f>IF(OR(S3047="",D3047&lt;&gt;"Vastgesteld"),"",_xlfn.MAXIFS($G$6:$G$5005,$S$6:$S$5005,S3047,$D$6:$D$5005,"Vastgesteld"))</f>
        <v/>
      </c>
      <c r="U3047" s="15">
        <f>IF(T3047="",0,IF(AND(G3047=T3047,COUNTIFS($S$6:S3047,S3047,$G$6:G3047,G3047,$D$6:D3047,"Vastgesteld")=1),1,0))</f>
        <v>0</v>
      </c>
      <c r="V3047" s="15">
        <f>IF(T3047="",0,IF(AND(G3047=T3047,COUNTIFS($S$6:S3047,S3047,$G$6:G3047,G3047,$D$6:D3047,"Vastgesteld")&gt;1),1,0))</f>
        <v>0</v>
      </c>
    </row>
    <row r="3048">
      <c r="S3048" s="15" t="str">
        <f>IF(J3048="","",J3048&amp;"|"&amp;E3048&amp;"|"&amp;F3048&amp;"|"&amp;I3048&amp;"|"&amp;O3048)</f>
        <v/>
      </c>
      <c r="T3048" s="15" t="str">
        <f>IF(OR(S3048="",D3048&lt;&gt;"Vastgesteld"),"",_xlfn.MAXIFS($G$6:$G$5005,$S$6:$S$5005,S3048,$D$6:$D$5005,"Vastgesteld"))</f>
        <v/>
      </c>
      <c r="U3048" s="15">
        <f>IF(T3048="",0,IF(AND(G3048=T3048,COUNTIFS($S$6:S3048,S3048,$G$6:G3048,G3048,$D$6:D3048,"Vastgesteld")=1),1,0))</f>
        <v>0</v>
      </c>
      <c r="V3048" s="15">
        <f>IF(T3048="",0,IF(AND(G3048=T3048,COUNTIFS($S$6:S3048,S3048,$G$6:G3048,G3048,$D$6:D3048,"Vastgesteld")&gt;1),1,0))</f>
        <v>0</v>
      </c>
    </row>
    <row r="3049">
      <c r="S3049" s="15" t="str">
        <f>IF(J3049="","",J3049&amp;"|"&amp;E3049&amp;"|"&amp;F3049&amp;"|"&amp;I3049&amp;"|"&amp;O3049)</f>
        <v/>
      </c>
      <c r="T3049" s="15" t="str">
        <f>IF(OR(S3049="",D3049&lt;&gt;"Vastgesteld"),"",_xlfn.MAXIFS($G$6:$G$5005,$S$6:$S$5005,S3049,$D$6:$D$5005,"Vastgesteld"))</f>
        <v/>
      </c>
      <c r="U3049" s="15">
        <f>IF(T3049="",0,IF(AND(G3049=T3049,COUNTIFS($S$6:S3049,S3049,$G$6:G3049,G3049,$D$6:D3049,"Vastgesteld")=1),1,0))</f>
        <v>0</v>
      </c>
      <c r="V3049" s="15">
        <f>IF(T3049="",0,IF(AND(G3049=T3049,COUNTIFS($S$6:S3049,S3049,$G$6:G3049,G3049,$D$6:D3049,"Vastgesteld")&gt;1),1,0))</f>
        <v>0</v>
      </c>
    </row>
    <row r="3050">
      <c r="S3050" s="15" t="str">
        <f>IF(J3050="","",J3050&amp;"|"&amp;E3050&amp;"|"&amp;F3050&amp;"|"&amp;I3050&amp;"|"&amp;O3050)</f>
        <v/>
      </c>
      <c r="T3050" s="15" t="str">
        <f>IF(OR(S3050="",D3050&lt;&gt;"Vastgesteld"),"",_xlfn.MAXIFS($G$6:$G$5005,$S$6:$S$5005,S3050,$D$6:$D$5005,"Vastgesteld"))</f>
        <v/>
      </c>
      <c r="U3050" s="15">
        <f>IF(T3050="",0,IF(AND(G3050=T3050,COUNTIFS($S$6:S3050,S3050,$G$6:G3050,G3050,$D$6:D3050,"Vastgesteld")=1),1,0))</f>
        <v>0</v>
      </c>
      <c r="V3050" s="15">
        <f>IF(T3050="",0,IF(AND(G3050=T3050,COUNTIFS($S$6:S3050,S3050,$G$6:G3050,G3050,$D$6:D3050,"Vastgesteld")&gt;1),1,0))</f>
        <v>0</v>
      </c>
    </row>
    <row r="3051">
      <c r="S3051" s="15" t="str">
        <f>IF(J3051="","",J3051&amp;"|"&amp;E3051&amp;"|"&amp;F3051&amp;"|"&amp;I3051&amp;"|"&amp;O3051)</f>
        <v/>
      </c>
      <c r="T3051" s="15" t="str">
        <f>IF(OR(S3051="",D3051&lt;&gt;"Vastgesteld"),"",_xlfn.MAXIFS($G$6:$G$5005,$S$6:$S$5005,S3051,$D$6:$D$5005,"Vastgesteld"))</f>
        <v/>
      </c>
      <c r="U3051" s="15">
        <f>IF(T3051="",0,IF(AND(G3051=T3051,COUNTIFS($S$6:S3051,S3051,$G$6:G3051,G3051,$D$6:D3051,"Vastgesteld")=1),1,0))</f>
        <v>0</v>
      </c>
      <c r="V3051" s="15">
        <f>IF(T3051="",0,IF(AND(G3051=T3051,COUNTIFS($S$6:S3051,S3051,$G$6:G3051,G3051,$D$6:D3051,"Vastgesteld")&gt;1),1,0))</f>
        <v>0</v>
      </c>
    </row>
    <row r="3052">
      <c r="S3052" s="15" t="str">
        <f>IF(J3052="","",J3052&amp;"|"&amp;E3052&amp;"|"&amp;F3052&amp;"|"&amp;I3052&amp;"|"&amp;O3052)</f>
        <v/>
      </c>
      <c r="T3052" s="15" t="str">
        <f>IF(OR(S3052="",D3052&lt;&gt;"Vastgesteld"),"",_xlfn.MAXIFS($G$6:$G$5005,$S$6:$S$5005,S3052,$D$6:$D$5005,"Vastgesteld"))</f>
        <v/>
      </c>
      <c r="U3052" s="15">
        <f>IF(T3052="",0,IF(AND(G3052=T3052,COUNTIFS($S$6:S3052,S3052,$G$6:G3052,G3052,$D$6:D3052,"Vastgesteld")=1),1,0))</f>
        <v>0</v>
      </c>
      <c r="V3052" s="15">
        <f>IF(T3052="",0,IF(AND(G3052=T3052,COUNTIFS($S$6:S3052,S3052,$G$6:G3052,G3052,$D$6:D3052,"Vastgesteld")&gt;1),1,0))</f>
        <v>0</v>
      </c>
    </row>
    <row r="3053">
      <c r="S3053" s="15" t="str">
        <f>IF(J3053="","",J3053&amp;"|"&amp;E3053&amp;"|"&amp;F3053&amp;"|"&amp;I3053&amp;"|"&amp;O3053)</f>
        <v/>
      </c>
      <c r="T3053" s="15" t="str">
        <f>IF(OR(S3053="",D3053&lt;&gt;"Vastgesteld"),"",_xlfn.MAXIFS($G$6:$G$5005,$S$6:$S$5005,S3053,$D$6:$D$5005,"Vastgesteld"))</f>
        <v/>
      </c>
      <c r="U3053" s="15">
        <f>IF(T3053="",0,IF(AND(G3053=T3053,COUNTIFS($S$6:S3053,S3053,$G$6:G3053,G3053,$D$6:D3053,"Vastgesteld")=1),1,0))</f>
        <v>0</v>
      </c>
      <c r="V3053" s="15">
        <f>IF(T3053="",0,IF(AND(G3053=T3053,COUNTIFS($S$6:S3053,S3053,$G$6:G3053,G3053,$D$6:D3053,"Vastgesteld")&gt;1),1,0))</f>
        <v>0</v>
      </c>
    </row>
    <row r="3054">
      <c r="S3054" s="15" t="str">
        <f>IF(J3054="","",J3054&amp;"|"&amp;E3054&amp;"|"&amp;F3054&amp;"|"&amp;I3054&amp;"|"&amp;O3054)</f>
        <v/>
      </c>
      <c r="T3054" s="15" t="str">
        <f>IF(OR(S3054="",D3054&lt;&gt;"Vastgesteld"),"",_xlfn.MAXIFS($G$6:$G$5005,$S$6:$S$5005,S3054,$D$6:$D$5005,"Vastgesteld"))</f>
        <v/>
      </c>
      <c r="U3054" s="15">
        <f>IF(T3054="",0,IF(AND(G3054=T3054,COUNTIFS($S$6:S3054,S3054,$G$6:G3054,G3054,$D$6:D3054,"Vastgesteld")=1),1,0))</f>
        <v>0</v>
      </c>
      <c r="V3054" s="15">
        <f>IF(T3054="",0,IF(AND(G3054=T3054,COUNTIFS($S$6:S3054,S3054,$G$6:G3054,G3054,$D$6:D3054,"Vastgesteld")&gt;1),1,0))</f>
        <v>0</v>
      </c>
    </row>
    <row r="3055">
      <c r="S3055" s="15" t="str">
        <f>IF(J3055="","",J3055&amp;"|"&amp;E3055&amp;"|"&amp;F3055&amp;"|"&amp;I3055&amp;"|"&amp;O3055)</f>
        <v/>
      </c>
      <c r="T3055" s="15" t="str">
        <f>IF(OR(S3055="",D3055&lt;&gt;"Vastgesteld"),"",_xlfn.MAXIFS($G$6:$G$5005,$S$6:$S$5005,S3055,$D$6:$D$5005,"Vastgesteld"))</f>
        <v/>
      </c>
      <c r="U3055" s="15">
        <f>IF(T3055="",0,IF(AND(G3055=T3055,COUNTIFS($S$6:S3055,S3055,$G$6:G3055,G3055,$D$6:D3055,"Vastgesteld")=1),1,0))</f>
        <v>0</v>
      </c>
      <c r="V3055" s="15">
        <f>IF(T3055="",0,IF(AND(G3055=T3055,COUNTIFS($S$6:S3055,S3055,$G$6:G3055,G3055,$D$6:D3055,"Vastgesteld")&gt;1),1,0))</f>
        <v>0</v>
      </c>
    </row>
    <row r="3056">
      <c r="S3056" s="15" t="str">
        <f>IF(J3056="","",J3056&amp;"|"&amp;E3056&amp;"|"&amp;F3056&amp;"|"&amp;I3056&amp;"|"&amp;O3056)</f>
        <v/>
      </c>
      <c r="T3056" s="15" t="str">
        <f>IF(OR(S3056="",D3056&lt;&gt;"Vastgesteld"),"",_xlfn.MAXIFS($G$6:$G$5005,$S$6:$S$5005,S3056,$D$6:$D$5005,"Vastgesteld"))</f>
        <v/>
      </c>
      <c r="U3056" s="15">
        <f>IF(T3056="",0,IF(AND(G3056=T3056,COUNTIFS($S$6:S3056,S3056,$G$6:G3056,G3056,$D$6:D3056,"Vastgesteld")=1),1,0))</f>
        <v>0</v>
      </c>
      <c r="V3056" s="15">
        <f>IF(T3056="",0,IF(AND(G3056=T3056,COUNTIFS($S$6:S3056,S3056,$G$6:G3056,G3056,$D$6:D3056,"Vastgesteld")&gt;1),1,0))</f>
        <v>0</v>
      </c>
    </row>
    <row r="3057">
      <c r="S3057" s="15" t="str">
        <f>IF(J3057="","",J3057&amp;"|"&amp;E3057&amp;"|"&amp;F3057&amp;"|"&amp;I3057&amp;"|"&amp;O3057)</f>
        <v/>
      </c>
      <c r="T3057" s="15" t="str">
        <f>IF(OR(S3057="",D3057&lt;&gt;"Vastgesteld"),"",_xlfn.MAXIFS($G$6:$G$5005,$S$6:$S$5005,S3057,$D$6:$D$5005,"Vastgesteld"))</f>
        <v/>
      </c>
      <c r="U3057" s="15">
        <f>IF(T3057="",0,IF(AND(G3057=T3057,COUNTIFS($S$6:S3057,S3057,$G$6:G3057,G3057,$D$6:D3057,"Vastgesteld")=1),1,0))</f>
        <v>0</v>
      </c>
      <c r="V3057" s="15">
        <f>IF(T3057="",0,IF(AND(G3057=T3057,COUNTIFS($S$6:S3057,S3057,$G$6:G3057,G3057,$D$6:D3057,"Vastgesteld")&gt;1),1,0))</f>
        <v>0</v>
      </c>
    </row>
    <row r="3058">
      <c r="S3058" s="15" t="str">
        <f>IF(J3058="","",J3058&amp;"|"&amp;E3058&amp;"|"&amp;F3058&amp;"|"&amp;I3058&amp;"|"&amp;O3058)</f>
        <v/>
      </c>
      <c r="T3058" s="15" t="str">
        <f>IF(OR(S3058="",D3058&lt;&gt;"Vastgesteld"),"",_xlfn.MAXIFS($G$6:$G$5005,$S$6:$S$5005,S3058,$D$6:$D$5005,"Vastgesteld"))</f>
        <v/>
      </c>
      <c r="U3058" s="15">
        <f>IF(T3058="",0,IF(AND(G3058=T3058,COUNTIFS($S$6:S3058,S3058,$G$6:G3058,G3058,$D$6:D3058,"Vastgesteld")=1),1,0))</f>
        <v>0</v>
      </c>
      <c r="V3058" s="15">
        <f>IF(T3058="",0,IF(AND(G3058=T3058,COUNTIFS($S$6:S3058,S3058,$G$6:G3058,G3058,$D$6:D3058,"Vastgesteld")&gt;1),1,0))</f>
        <v>0</v>
      </c>
    </row>
    <row r="3059">
      <c r="S3059" s="15" t="str">
        <f>IF(J3059="","",J3059&amp;"|"&amp;E3059&amp;"|"&amp;F3059&amp;"|"&amp;I3059&amp;"|"&amp;O3059)</f>
        <v/>
      </c>
      <c r="T3059" s="15" t="str">
        <f>IF(OR(S3059="",D3059&lt;&gt;"Vastgesteld"),"",_xlfn.MAXIFS($G$6:$G$5005,$S$6:$S$5005,S3059,$D$6:$D$5005,"Vastgesteld"))</f>
        <v/>
      </c>
      <c r="U3059" s="15">
        <f>IF(T3059="",0,IF(AND(G3059=T3059,COUNTIFS($S$6:S3059,S3059,$G$6:G3059,G3059,$D$6:D3059,"Vastgesteld")=1),1,0))</f>
        <v>0</v>
      </c>
      <c r="V3059" s="15">
        <f>IF(T3059="",0,IF(AND(G3059=T3059,COUNTIFS($S$6:S3059,S3059,$G$6:G3059,G3059,$D$6:D3059,"Vastgesteld")&gt;1),1,0))</f>
        <v>0</v>
      </c>
    </row>
    <row r="3060">
      <c r="S3060" s="15" t="str">
        <f>IF(J3060="","",J3060&amp;"|"&amp;E3060&amp;"|"&amp;F3060&amp;"|"&amp;I3060&amp;"|"&amp;O3060)</f>
        <v/>
      </c>
      <c r="T3060" s="15" t="str">
        <f>IF(OR(S3060="",D3060&lt;&gt;"Vastgesteld"),"",_xlfn.MAXIFS($G$6:$G$5005,$S$6:$S$5005,S3060,$D$6:$D$5005,"Vastgesteld"))</f>
        <v/>
      </c>
      <c r="U3060" s="15">
        <f>IF(T3060="",0,IF(AND(G3060=T3060,COUNTIFS($S$6:S3060,S3060,$G$6:G3060,G3060,$D$6:D3060,"Vastgesteld")=1),1,0))</f>
        <v>0</v>
      </c>
      <c r="V3060" s="15">
        <f>IF(T3060="",0,IF(AND(G3060=T3060,COUNTIFS($S$6:S3060,S3060,$G$6:G3060,G3060,$D$6:D3060,"Vastgesteld")&gt;1),1,0))</f>
        <v>0</v>
      </c>
    </row>
    <row r="3061">
      <c r="S3061" s="15" t="str">
        <f>IF(J3061="","",J3061&amp;"|"&amp;E3061&amp;"|"&amp;F3061&amp;"|"&amp;I3061&amp;"|"&amp;O3061)</f>
        <v/>
      </c>
      <c r="T3061" s="15" t="str">
        <f>IF(OR(S3061="",D3061&lt;&gt;"Vastgesteld"),"",_xlfn.MAXIFS($G$6:$G$5005,$S$6:$S$5005,S3061,$D$6:$D$5005,"Vastgesteld"))</f>
        <v/>
      </c>
      <c r="U3061" s="15">
        <f>IF(T3061="",0,IF(AND(G3061=T3061,COUNTIFS($S$6:S3061,S3061,$G$6:G3061,G3061,$D$6:D3061,"Vastgesteld")=1),1,0))</f>
        <v>0</v>
      </c>
      <c r="V3061" s="15">
        <f>IF(T3061="",0,IF(AND(G3061=T3061,COUNTIFS($S$6:S3061,S3061,$G$6:G3061,G3061,$D$6:D3061,"Vastgesteld")&gt;1),1,0))</f>
        <v>0</v>
      </c>
    </row>
    <row r="3062">
      <c r="S3062" s="15" t="str">
        <f>IF(J3062="","",J3062&amp;"|"&amp;E3062&amp;"|"&amp;F3062&amp;"|"&amp;I3062&amp;"|"&amp;O3062)</f>
        <v/>
      </c>
      <c r="T3062" s="15" t="str">
        <f>IF(OR(S3062="",D3062&lt;&gt;"Vastgesteld"),"",_xlfn.MAXIFS($G$6:$G$5005,$S$6:$S$5005,S3062,$D$6:$D$5005,"Vastgesteld"))</f>
        <v/>
      </c>
      <c r="U3062" s="15">
        <f>IF(T3062="",0,IF(AND(G3062=T3062,COUNTIFS($S$6:S3062,S3062,$G$6:G3062,G3062,$D$6:D3062,"Vastgesteld")=1),1,0))</f>
        <v>0</v>
      </c>
      <c r="V3062" s="15">
        <f>IF(T3062="",0,IF(AND(G3062=T3062,COUNTIFS($S$6:S3062,S3062,$G$6:G3062,G3062,$D$6:D3062,"Vastgesteld")&gt;1),1,0))</f>
        <v>0</v>
      </c>
    </row>
    <row r="3063">
      <c r="S3063" s="15" t="str">
        <f>IF(J3063="","",J3063&amp;"|"&amp;E3063&amp;"|"&amp;F3063&amp;"|"&amp;I3063&amp;"|"&amp;O3063)</f>
        <v/>
      </c>
      <c r="T3063" s="15" t="str">
        <f>IF(OR(S3063="",D3063&lt;&gt;"Vastgesteld"),"",_xlfn.MAXIFS($G$6:$G$5005,$S$6:$S$5005,S3063,$D$6:$D$5005,"Vastgesteld"))</f>
        <v/>
      </c>
      <c r="U3063" s="15">
        <f>IF(T3063="",0,IF(AND(G3063=T3063,COUNTIFS($S$6:S3063,S3063,$G$6:G3063,G3063,$D$6:D3063,"Vastgesteld")=1),1,0))</f>
        <v>0</v>
      </c>
      <c r="V3063" s="15">
        <f>IF(T3063="",0,IF(AND(G3063=T3063,COUNTIFS($S$6:S3063,S3063,$G$6:G3063,G3063,$D$6:D3063,"Vastgesteld")&gt;1),1,0))</f>
        <v>0</v>
      </c>
    </row>
    <row r="3064">
      <c r="S3064" s="15" t="str">
        <f>IF(J3064="","",J3064&amp;"|"&amp;E3064&amp;"|"&amp;F3064&amp;"|"&amp;I3064&amp;"|"&amp;O3064)</f>
        <v/>
      </c>
      <c r="T3064" s="15" t="str">
        <f>IF(OR(S3064="",D3064&lt;&gt;"Vastgesteld"),"",_xlfn.MAXIFS($G$6:$G$5005,$S$6:$S$5005,S3064,$D$6:$D$5005,"Vastgesteld"))</f>
        <v/>
      </c>
      <c r="U3064" s="15">
        <f>IF(T3064="",0,IF(AND(G3064=T3064,COUNTIFS($S$6:S3064,S3064,$G$6:G3064,G3064,$D$6:D3064,"Vastgesteld")=1),1,0))</f>
        <v>0</v>
      </c>
      <c r="V3064" s="15">
        <f>IF(T3064="",0,IF(AND(G3064=T3064,COUNTIFS($S$6:S3064,S3064,$G$6:G3064,G3064,$D$6:D3064,"Vastgesteld")&gt;1),1,0))</f>
        <v>0</v>
      </c>
    </row>
    <row r="3065">
      <c r="S3065" s="15" t="str">
        <f>IF(J3065="","",J3065&amp;"|"&amp;E3065&amp;"|"&amp;F3065&amp;"|"&amp;I3065&amp;"|"&amp;O3065)</f>
        <v/>
      </c>
      <c r="T3065" s="15" t="str">
        <f>IF(OR(S3065="",D3065&lt;&gt;"Vastgesteld"),"",_xlfn.MAXIFS($G$6:$G$5005,$S$6:$S$5005,S3065,$D$6:$D$5005,"Vastgesteld"))</f>
        <v/>
      </c>
      <c r="U3065" s="15">
        <f>IF(T3065="",0,IF(AND(G3065=T3065,COUNTIFS($S$6:S3065,S3065,$G$6:G3065,G3065,$D$6:D3065,"Vastgesteld")=1),1,0))</f>
        <v>0</v>
      </c>
      <c r="V3065" s="15">
        <f>IF(T3065="",0,IF(AND(G3065=T3065,COUNTIFS($S$6:S3065,S3065,$G$6:G3065,G3065,$D$6:D3065,"Vastgesteld")&gt;1),1,0))</f>
        <v>0</v>
      </c>
    </row>
    <row r="3066">
      <c r="S3066" s="15" t="str">
        <f>IF(J3066="","",J3066&amp;"|"&amp;E3066&amp;"|"&amp;F3066&amp;"|"&amp;I3066&amp;"|"&amp;O3066)</f>
        <v/>
      </c>
      <c r="T3066" s="15" t="str">
        <f>IF(OR(S3066="",D3066&lt;&gt;"Vastgesteld"),"",_xlfn.MAXIFS($G$6:$G$5005,$S$6:$S$5005,S3066,$D$6:$D$5005,"Vastgesteld"))</f>
        <v/>
      </c>
      <c r="U3066" s="15">
        <f>IF(T3066="",0,IF(AND(G3066=T3066,COUNTIFS($S$6:S3066,S3066,$G$6:G3066,G3066,$D$6:D3066,"Vastgesteld")=1),1,0))</f>
        <v>0</v>
      </c>
      <c r="V3066" s="15">
        <f>IF(T3066="",0,IF(AND(G3066=T3066,COUNTIFS($S$6:S3066,S3066,$G$6:G3066,G3066,$D$6:D3066,"Vastgesteld")&gt;1),1,0))</f>
        <v>0</v>
      </c>
    </row>
    <row r="3067">
      <c r="S3067" s="15" t="str">
        <f>IF(J3067="","",J3067&amp;"|"&amp;E3067&amp;"|"&amp;F3067&amp;"|"&amp;I3067&amp;"|"&amp;O3067)</f>
        <v/>
      </c>
      <c r="T3067" s="15" t="str">
        <f>IF(OR(S3067="",D3067&lt;&gt;"Vastgesteld"),"",_xlfn.MAXIFS($G$6:$G$5005,$S$6:$S$5005,S3067,$D$6:$D$5005,"Vastgesteld"))</f>
        <v/>
      </c>
      <c r="U3067" s="15">
        <f>IF(T3067="",0,IF(AND(G3067=T3067,COUNTIFS($S$6:S3067,S3067,$G$6:G3067,G3067,$D$6:D3067,"Vastgesteld")=1),1,0))</f>
        <v>0</v>
      </c>
      <c r="V3067" s="15">
        <f>IF(T3067="",0,IF(AND(G3067=T3067,COUNTIFS($S$6:S3067,S3067,$G$6:G3067,G3067,$D$6:D3067,"Vastgesteld")&gt;1),1,0))</f>
        <v>0</v>
      </c>
    </row>
    <row r="3068">
      <c r="S3068" s="15" t="str">
        <f>IF(J3068="","",J3068&amp;"|"&amp;E3068&amp;"|"&amp;F3068&amp;"|"&amp;I3068&amp;"|"&amp;O3068)</f>
        <v/>
      </c>
      <c r="T3068" s="15" t="str">
        <f>IF(OR(S3068="",D3068&lt;&gt;"Vastgesteld"),"",_xlfn.MAXIFS($G$6:$G$5005,$S$6:$S$5005,S3068,$D$6:$D$5005,"Vastgesteld"))</f>
        <v/>
      </c>
      <c r="U3068" s="15">
        <f>IF(T3068="",0,IF(AND(G3068=T3068,COUNTIFS($S$6:S3068,S3068,$G$6:G3068,G3068,$D$6:D3068,"Vastgesteld")=1),1,0))</f>
        <v>0</v>
      </c>
      <c r="V3068" s="15">
        <f>IF(T3068="",0,IF(AND(G3068=T3068,COUNTIFS($S$6:S3068,S3068,$G$6:G3068,G3068,$D$6:D3068,"Vastgesteld")&gt;1),1,0))</f>
        <v>0</v>
      </c>
    </row>
    <row r="3069">
      <c r="S3069" s="15" t="str">
        <f>IF(J3069="","",J3069&amp;"|"&amp;E3069&amp;"|"&amp;F3069&amp;"|"&amp;I3069&amp;"|"&amp;O3069)</f>
        <v/>
      </c>
      <c r="T3069" s="15" t="str">
        <f>IF(OR(S3069="",D3069&lt;&gt;"Vastgesteld"),"",_xlfn.MAXIFS($G$6:$G$5005,$S$6:$S$5005,S3069,$D$6:$D$5005,"Vastgesteld"))</f>
        <v/>
      </c>
      <c r="U3069" s="15">
        <f>IF(T3069="",0,IF(AND(G3069=T3069,COUNTIFS($S$6:S3069,S3069,$G$6:G3069,G3069,$D$6:D3069,"Vastgesteld")=1),1,0))</f>
        <v>0</v>
      </c>
      <c r="V3069" s="15">
        <f>IF(T3069="",0,IF(AND(G3069=T3069,COUNTIFS($S$6:S3069,S3069,$G$6:G3069,G3069,$D$6:D3069,"Vastgesteld")&gt;1),1,0))</f>
        <v>0</v>
      </c>
    </row>
    <row r="3070">
      <c r="S3070" s="15" t="str">
        <f>IF(J3070="","",J3070&amp;"|"&amp;E3070&amp;"|"&amp;F3070&amp;"|"&amp;I3070&amp;"|"&amp;O3070)</f>
        <v/>
      </c>
      <c r="T3070" s="15" t="str">
        <f>IF(OR(S3070="",D3070&lt;&gt;"Vastgesteld"),"",_xlfn.MAXIFS($G$6:$G$5005,$S$6:$S$5005,S3070,$D$6:$D$5005,"Vastgesteld"))</f>
        <v/>
      </c>
      <c r="U3070" s="15">
        <f>IF(T3070="",0,IF(AND(G3070=T3070,COUNTIFS($S$6:S3070,S3070,$G$6:G3070,G3070,$D$6:D3070,"Vastgesteld")=1),1,0))</f>
        <v>0</v>
      </c>
      <c r="V3070" s="15">
        <f>IF(T3070="",0,IF(AND(G3070=T3070,COUNTIFS($S$6:S3070,S3070,$G$6:G3070,G3070,$D$6:D3070,"Vastgesteld")&gt;1),1,0))</f>
        <v>0</v>
      </c>
    </row>
    <row r="3071">
      <c r="S3071" s="15" t="str">
        <f>IF(J3071="","",J3071&amp;"|"&amp;E3071&amp;"|"&amp;F3071&amp;"|"&amp;I3071&amp;"|"&amp;O3071)</f>
        <v/>
      </c>
      <c r="T3071" s="15" t="str">
        <f>IF(OR(S3071="",D3071&lt;&gt;"Vastgesteld"),"",_xlfn.MAXIFS($G$6:$G$5005,$S$6:$S$5005,S3071,$D$6:$D$5005,"Vastgesteld"))</f>
        <v/>
      </c>
      <c r="U3071" s="15">
        <f>IF(T3071="",0,IF(AND(G3071=T3071,COUNTIFS($S$6:S3071,S3071,$G$6:G3071,G3071,$D$6:D3071,"Vastgesteld")=1),1,0))</f>
        <v>0</v>
      </c>
      <c r="V3071" s="15">
        <f>IF(T3071="",0,IF(AND(G3071=T3071,COUNTIFS($S$6:S3071,S3071,$G$6:G3071,G3071,$D$6:D3071,"Vastgesteld")&gt;1),1,0))</f>
        <v>0</v>
      </c>
    </row>
    <row r="3072">
      <c r="S3072" s="15" t="str">
        <f>IF(J3072="","",J3072&amp;"|"&amp;E3072&amp;"|"&amp;F3072&amp;"|"&amp;I3072&amp;"|"&amp;O3072)</f>
        <v/>
      </c>
      <c r="T3072" s="15" t="str">
        <f>IF(OR(S3072="",D3072&lt;&gt;"Vastgesteld"),"",_xlfn.MAXIFS($G$6:$G$5005,$S$6:$S$5005,S3072,$D$6:$D$5005,"Vastgesteld"))</f>
        <v/>
      </c>
      <c r="U3072" s="15">
        <f>IF(T3072="",0,IF(AND(G3072=T3072,COUNTIFS($S$6:S3072,S3072,$G$6:G3072,G3072,$D$6:D3072,"Vastgesteld")=1),1,0))</f>
        <v>0</v>
      </c>
      <c r="V3072" s="15">
        <f>IF(T3072="",0,IF(AND(G3072=T3072,COUNTIFS($S$6:S3072,S3072,$G$6:G3072,G3072,$D$6:D3072,"Vastgesteld")&gt;1),1,0))</f>
        <v>0</v>
      </c>
    </row>
    <row r="3073">
      <c r="S3073" s="15" t="str">
        <f>IF(J3073="","",J3073&amp;"|"&amp;E3073&amp;"|"&amp;F3073&amp;"|"&amp;I3073&amp;"|"&amp;O3073)</f>
        <v/>
      </c>
      <c r="T3073" s="15" t="str">
        <f>IF(OR(S3073="",D3073&lt;&gt;"Vastgesteld"),"",_xlfn.MAXIFS($G$6:$G$5005,$S$6:$S$5005,S3073,$D$6:$D$5005,"Vastgesteld"))</f>
        <v/>
      </c>
      <c r="U3073" s="15">
        <f>IF(T3073="",0,IF(AND(G3073=T3073,COUNTIFS($S$6:S3073,S3073,$G$6:G3073,G3073,$D$6:D3073,"Vastgesteld")=1),1,0))</f>
        <v>0</v>
      </c>
      <c r="V3073" s="15">
        <f>IF(T3073="",0,IF(AND(G3073=T3073,COUNTIFS($S$6:S3073,S3073,$G$6:G3073,G3073,$D$6:D3073,"Vastgesteld")&gt;1),1,0))</f>
        <v>0</v>
      </c>
    </row>
    <row r="3074">
      <c r="S3074" s="15" t="str">
        <f>IF(J3074="","",J3074&amp;"|"&amp;E3074&amp;"|"&amp;F3074&amp;"|"&amp;I3074&amp;"|"&amp;O3074)</f>
        <v/>
      </c>
      <c r="T3074" s="15" t="str">
        <f>IF(OR(S3074="",D3074&lt;&gt;"Vastgesteld"),"",_xlfn.MAXIFS($G$6:$G$5005,$S$6:$S$5005,S3074,$D$6:$D$5005,"Vastgesteld"))</f>
        <v/>
      </c>
      <c r="U3074" s="15">
        <f>IF(T3074="",0,IF(AND(G3074=T3074,COUNTIFS($S$6:S3074,S3074,$G$6:G3074,G3074,$D$6:D3074,"Vastgesteld")=1),1,0))</f>
        <v>0</v>
      </c>
      <c r="V3074" s="15">
        <f>IF(T3074="",0,IF(AND(G3074=T3074,COUNTIFS($S$6:S3074,S3074,$G$6:G3074,G3074,$D$6:D3074,"Vastgesteld")&gt;1),1,0))</f>
        <v>0</v>
      </c>
    </row>
    <row r="3075">
      <c r="S3075" s="15" t="str">
        <f>IF(J3075="","",J3075&amp;"|"&amp;E3075&amp;"|"&amp;F3075&amp;"|"&amp;I3075&amp;"|"&amp;O3075)</f>
        <v/>
      </c>
      <c r="T3075" s="15" t="str">
        <f>IF(OR(S3075="",D3075&lt;&gt;"Vastgesteld"),"",_xlfn.MAXIFS($G$6:$G$5005,$S$6:$S$5005,S3075,$D$6:$D$5005,"Vastgesteld"))</f>
        <v/>
      </c>
      <c r="U3075" s="15">
        <f>IF(T3075="",0,IF(AND(G3075=T3075,COUNTIFS($S$6:S3075,S3075,$G$6:G3075,G3075,$D$6:D3075,"Vastgesteld")=1),1,0))</f>
        <v>0</v>
      </c>
      <c r="V3075" s="15">
        <f>IF(T3075="",0,IF(AND(G3075=T3075,COUNTIFS($S$6:S3075,S3075,$G$6:G3075,G3075,$D$6:D3075,"Vastgesteld")&gt;1),1,0))</f>
        <v>0</v>
      </c>
    </row>
    <row r="3076">
      <c r="S3076" s="15" t="str">
        <f>IF(J3076="","",J3076&amp;"|"&amp;E3076&amp;"|"&amp;F3076&amp;"|"&amp;I3076&amp;"|"&amp;O3076)</f>
        <v/>
      </c>
      <c r="T3076" s="15" t="str">
        <f>IF(OR(S3076="",D3076&lt;&gt;"Vastgesteld"),"",_xlfn.MAXIFS($G$6:$G$5005,$S$6:$S$5005,S3076,$D$6:$D$5005,"Vastgesteld"))</f>
        <v/>
      </c>
      <c r="U3076" s="15">
        <f>IF(T3076="",0,IF(AND(G3076=T3076,COUNTIFS($S$6:S3076,S3076,$G$6:G3076,G3076,$D$6:D3076,"Vastgesteld")=1),1,0))</f>
        <v>0</v>
      </c>
      <c r="V3076" s="15">
        <f>IF(T3076="",0,IF(AND(G3076=T3076,COUNTIFS($S$6:S3076,S3076,$G$6:G3076,G3076,$D$6:D3076,"Vastgesteld")&gt;1),1,0))</f>
        <v>0</v>
      </c>
    </row>
    <row r="3077">
      <c r="S3077" s="15" t="str">
        <f>IF(J3077="","",J3077&amp;"|"&amp;E3077&amp;"|"&amp;F3077&amp;"|"&amp;I3077&amp;"|"&amp;O3077)</f>
        <v/>
      </c>
      <c r="T3077" s="15" t="str">
        <f>IF(OR(S3077="",D3077&lt;&gt;"Vastgesteld"),"",_xlfn.MAXIFS($G$6:$G$5005,$S$6:$S$5005,S3077,$D$6:$D$5005,"Vastgesteld"))</f>
        <v/>
      </c>
      <c r="U3077" s="15">
        <f>IF(T3077="",0,IF(AND(G3077=T3077,COUNTIFS($S$6:S3077,S3077,$G$6:G3077,G3077,$D$6:D3077,"Vastgesteld")=1),1,0))</f>
        <v>0</v>
      </c>
      <c r="V3077" s="15">
        <f>IF(T3077="",0,IF(AND(G3077=T3077,COUNTIFS($S$6:S3077,S3077,$G$6:G3077,G3077,$D$6:D3077,"Vastgesteld")&gt;1),1,0))</f>
        <v>0</v>
      </c>
    </row>
    <row r="3078">
      <c r="S3078" s="15" t="str">
        <f>IF(J3078="","",J3078&amp;"|"&amp;E3078&amp;"|"&amp;F3078&amp;"|"&amp;I3078&amp;"|"&amp;O3078)</f>
        <v/>
      </c>
      <c r="T3078" s="15" t="str">
        <f>IF(OR(S3078="",D3078&lt;&gt;"Vastgesteld"),"",_xlfn.MAXIFS($G$6:$G$5005,$S$6:$S$5005,S3078,$D$6:$D$5005,"Vastgesteld"))</f>
        <v/>
      </c>
      <c r="U3078" s="15">
        <f>IF(T3078="",0,IF(AND(G3078=T3078,COUNTIFS($S$6:S3078,S3078,$G$6:G3078,G3078,$D$6:D3078,"Vastgesteld")=1),1,0))</f>
        <v>0</v>
      </c>
      <c r="V3078" s="15">
        <f>IF(T3078="",0,IF(AND(G3078=T3078,COUNTIFS($S$6:S3078,S3078,$G$6:G3078,G3078,$D$6:D3078,"Vastgesteld")&gt;1),1,0))</f>
        <v>0</v>
      </c>
    </row>
    <row r="3079">
      <c r="S3079" s="15" t="str">
        <f>IF(J3079="","",J3079&amp;"|"&amp;E3079&amp;"|"&amp;F3079&amp;"|"&amp;I3079&amp;"|"&amp;O3079)</f>
        <v/>
      </c>
      <c r="T3079" s="15" t="str">
        <f>IF(OR(S3079="",D3079&lt;&gt;"Vastgesteld"),"",_xlfn.MAXIFS($G$6:$G$5005,$S$6:$S$5005,S3079,$D$6:$D$5005,"Vastgesteld"))</f>
        <v/>
      </c>
      <c r="U3079" s="15">
        <f>IF(T3079="",0,IF(AND(G3079=T3079,COUNTIFS($S$6:S3079,S3079,$G$6:G3079,G3079,$D$6:D3079,"Vastgesteld")=1),1,0))</f>
        <v>0</v>
      </c>
      <c r="V3079" s="15">
        <f>IF(T3079="",0,IF(AND(G3079=T3079,COUNTIFS($S$6:S3079,S3079,$G$6:G3079,G3079,$D$6:D3079,"Vastgesteld")&gt;1),1,0))</f>
        <v>0</v>
      </c>
    </row>
    <row r="3080">
      <c r="S3080" s="15" t="str">
        <f>IF(J3080="","",J3080&amp;"|"&amp;E3080&amp;"|"&amp;F3080&amp;"|"&amp;I3080&amp;"|"&amp;O3080)</f>
        <v/>
      </c>
      <c r="T3080" s="15" t="str">
        <f>IF(OR(S3080="",D3080&lt;&gt;"Vastgesteld"),"",_xlfn.MAXIFS($G$6:$G$5005,$S$6:$S$5005,S3080,$D$6:$D$5005,"Vastgesteld"))</f>
        <v/>
      </c>
      <c r="U3080" s="15">
        <f>IF(T3080="",0,IF(AND(G3080=T3080,COUNTIFS($S$6:S3080,S3080,$G$6:G3080,G3080,$D$6:D3080,"Vastgesteld")=1),1,0))</f>
        <v>0</v>
      </c>
      <c r="V3080" s="15">
        <f>IF(T3080="",0,IF(AND(G3080=T3080,COUNTIFS($S$6:S3080,S3080,$G$6:G3080,G3080,$D$6:D3080,"Vastgesteld")&gt;1),1,0))</f>
        <v>0</v>
      </c>
    </row>
    <row r="3081">
      <c r="S3081" s="15" t="str">
        <f>IF(J3081="","",J3081&amp;"|"&amp;E3081&amp;"|"&amp;F3081&amp;"|"&amp;I3081&amp;"|"&amp;O3081)</f>
        <v/>
      </c>
      <c r="T3081" s="15" t="str">
        <f>IF(OR(S3081="",D3081&lt;&gt;"Vastgesteld"),"",_xlfn.MAXIFS($G$6:$G$5005,$S$6:$S$5005,S3081,$D$6:$D$5005,"Vastgesteld"))</f>
        <v/>
      </c>
      <c r="U3081" s="15">
        <f>IF(T3081="",0,IF(AND(G3081=T3081,COUNTIFS($S$6:S3081,S3081,$G$6:G3081,G3081,$D$6:D3081,"Vastgesteld")=1),1,0))</f>
        <v>0</v>
      </c>
      <c r="V3081" s="15">
        <f>IF(T3081="",0,IF(AND(G3081=T3081,COUNTIFS($S$6:S3081,S3081,$G$6:G3081,G3081,$D$6:D3081,"Vastgesteld")&gt;1),1,0))</f>
        <v>0</v>
      </c>
    </row>
    <row r="3082">
      <c r="S3082" s="15" t="str">
        <f>IF(J3082="","",J3082&amp;"|"&amp;E3082&amp;"|"&amp;F3082&amp;"|"&amp;I3082&amp;"|"&amp;O3082)</f>
        <v/>
      </c>
      <c r="T3082" s="15" t="str">
        <f>IF(OR(S3082="",D3082&lt;&gt;"Vastgesteld"),"",_xlfn.MAXIFS($G$6:$G$5005,$S$6:$S$5005,S3082,$D$6:$D$5005,"Vastgesteld"))</f>
        <v/>
      </c>
      <c r="U3082" s="15">
        <f>IF(T3082="",0,IF(AND(G3082=T3082,COUNTIFS($S$6:S3082,S3082,$G$6:G3082,G3082,$D$6:D3082,"Vastgesteld")=1),1,0))</f>
        <v>0</v>
      </c>
      <c r="V3082" s="15">
        <f>IF(T3082="",0,IF(AND(G3082=T3082,COUNTIFS($S$6:S3082,S3082,$G$6:G3082,G3082,$D$6:D3082,"Vastgesteld")&gt;1),1,0))</f>
        <v>0</v>
      </c>
    </row>
    <row r="3083">
      <c r="S3083" s="15" t="str">
        <f>IF(J3083="","",J3083&amp;"|"&amp;E3083&amp;"|"&amp;F3083&amp;"|"&amp;I3083&amp;"|"&amp;O3083)</f>
        <v/>
      </c>
      <c r="T3083" s="15" t="str">
        <f>IF(OR(S3083="",D3083&lt;&gt;"Vastgesteld"),"",_xlfn.MAXIFS($G$6:$G$5005,$S$6:$S$5005,S3083,$D$6:$D$5005,"Vastgesteld"))</f>
        <v/>
      </c>
      <c r="U3083" s="15">
        <f>IF(T3083="",0,IF(AND(G3083=T3083,COUNTIFS($S$6:S3083,S3083,$G$6:G3083,G3083,$D$6:D3083,"Vastgesteld")=1),1,0))</f>
        <v>0</v>
      </c>
      <c r="V3083" s="15">
        <f>IF(T3083="",0,IF(AND(G3083=T3083,COUNTIFS($S$6:S3083,S3083,$G$6:G3083,G3083,$D$6:D3083,"Vastgesteld")&gt;1),1,0))</f>
        <v>0</v>
      </c>
    </row>
    <row r="3084">
      <c r="S3084" s="15" t="str">
        <f>IF(J3084="","",J3084&amp;"|"&amp;E3084&amp;"|"&amp;F3084&amp;"|"&amp;I3084&amp;"|"&amp;O3084)</f>
        <v/>
      </c>
      <c r="T3084" s="15" t="str">
        <f>IF(OR(S3084="",D3084&lt;&gt;"Vastgesteld"),"",_xlfn.MAXIFS($G$6:$G$5005,$S$6:$S$5005,S3084,$D$6:$D$5005,"Vastgesteld"))</f>
        <v/>
      </c>
      <c r="U3084" s="15">
        <f>IF(T3084="",0,IF(AND(G3084=T3084,COUNTIFS($S$6:S3084,S3084,$G$6:G3084,G3084,$D$6:D3084,"Vastgesteld")=1),1,0))</f>
        <v>0</v>
      </c>
      <c r="V3084" s="15">
        <f>IF(T3084="",0,IF(AND(G3084=T3084,COUNTIFS($S$6:S3084,S3084,$G$6:G3084,G3084,$D$6:D3084,"Vastgesteld")&gt;1),1,0))</f>
        <v>0</v>
      </c>
    </row>
    <row r="3085">
      <c r="S3085" s="15" t="str">
        <f>IF(J3085="","",J3085&amp;"|"&amp;E3085&amp;"|"&amp;F3085&amp;"|"&amp;I3085&amp;"|"&amp;O3085)</f>
        <v/>
      </c>
      <c r="T3085" s="15" t="str">
        <f>IF(OR(S3085="",D3085&lt;&gt;"Vastgesteld"),"",_xlfn.MAXIFS($G$6:$G$5005,$S$6:$S$5005,S3085,$D$6:$D$5005,"Vastgesteld"))</f>
        <v/>
      </c>
      <c r="U3085" s="15">
        <f>IF(T3085="",0,IF(AND(G3085=T3085,COUNTIFS($S$6:S3085,S3085,$G$6:G3085,G3085,$D$6:D3085,"Vastgesteld")=1),1,0))</f>
        <v>0</v>
      </c>
      <c r="V3085" s="15">
        <f>IF(T3085="",0,IF(AND(G3085=T3085,COUNTIFS($S$6:S3085,S3085,$G$6:G3085,G3085,$D$6:D3085,"Vastgesteld")&gt;1),1,0))</f>
        <v>0</v>
      </c>
    </row>
    <row r="3086">
      <c r="S3086" s="15" t="str">
        <f>IF(J3086="","",J3086&amp;"|"&amp;E3086&amp;"|"&amp;F3086&amp;"|"&amp;I3086&amp;"|"&amp;O3086)</f>
        <v/>
      </c>
      <c r="T3086" s="15" t="str">
        <f>IF(OR(S3086="",D3086&lt;&gt;"Vastgesteld"),"",_xlfn.MAXIFS($G$6:$G$5005,$S$6:$S$5005,S3086,$D$6:$D$5005,"Vastgesteld"))</f>
        <v/>
      </c>
      <c r="U3086" s="15">
        <f>IF(T3086="",0,IF(AND(G3086=T3086,COUNTIFS($S$6:S3086,S3086,$G$6:G3086,G3086,$D$6:D3086,"Vastgesteld")=1),1,0))</f>
        <v>0</v>
      </c>
      <c r="V3086" s="15">
        <f>IF(T3086="",0,IF(AND(G3086=T3086,COUNTIFS($S$6:S3086,S3086,$G$6:G3086,G3086,$D$6:D3086,"Vastgesteld")&gt;1),1,0))</f>
        <v>0</v>
      </c>
    </row>
    <row r="3087">
      <c r="S3087" s="15" t="str">
        <f>IF(J3087="","",J3087&amp;"|"&amp;E3087&amp;"|"&amp;F3087&amp;"|"&amp;I3087&amp;"|"&amp;O3087)</f>
        <v/>
      </c>
      <c r="T3087" s="15" t="str">
        <f>IF(OR(S3087="",D3087&lt;&gt;"Vastgesteld"),"",_xlfn.MAXIFS($G$6:$G$5005,$S$6:$S$5005,S3087,$D$6:$D$5005,"Vastgesteld"))</f>
        <v/>
      </c>
      <c r="U3087" s="15">
        <f>IF(T3087="",0,IF(AND(G3087=T3087,COUNTIFS($S$6:S3087,S3087,$G$6:G3087,G3087,$D$6:D3087,"Vastgesteld")=1),1,0))</f>
        <v>0</v>
      </c>
      <c r="V3087" s="15">
        <f>IF(T3087="",0,IF(AND(G3087=T3087,COUNTIFS($S$6:S3087,S3087,$G$6:G3087,G3087,$D$6:D3087,"Vastgesteld")&gt;1),1,0))</f>
        <v>0</v>
      </c>
    </row>
    <row r="3088">
      <c r="S3088" s="15" t="str">
        <f>IF(J3088="","",J3088&amp;"|"&amp;E3088&amp;"|"&amp;F3088&amp;"|"&amp;I3088&amp;"|"&amp;O3088)</f>
        <v/>
      </c>
      <c r="T3088" s="15" t="str">
        <f>IF(OR(S3088="",D3088&lt;&gt;"Vastgesteld"),"",_xlfn.MAXIFS($G$6:$G$5005,$S$6:$S$5005,S3088,$D$6:$D$5005,"Vastgesteld"))</f>
        <v/>
      </c>
      <c r="U3088" s="15">
        <f>IF(T3088="",0,IF(AND(G3088=T3088,COUNTIFS($S$6:S3088,S3088,$G$6:G3088,G3088,$D$6:D3088,"Vastgesteld")=1),1,0))</f>
        <v>0</v>
      </c>
      <c r="V3088" s="15">
        <f>IF(T3088="",0,IF(AND(G3088=T3088,COUNTIFS($S$6:S3088,S3088,$G$6:G3088,G3088,$D$6:D3088,"Vastgesteld")&gt;1),1,0))</f>
        <v>0</v>
      </c>
    </row>
    <row r="3089">
      <c r="S3089" s="15" t="str">
        <f>IF(J3089="","",J3089&amp;"|"&amp;E3089&amp;"|"&amp;F3089&amp;"|"&amp;I3089&amp;"|"&amp;O3089)</f>
        <v/>
      </c>
      <c r="T3089" s="15" t="str">
        <f>IF(OR(S3089="",D3089&lt;&gt;"Vastgesteld"),"",_xlfn.MAXIFS($G$6:$G$5005,$S$6:$S$5005,S3089,$D$6:$D$5005,"Vastgesteld"))</f>
        <v/>
      </c>
      <c r="U3089" s="15">
        <f>IF(T3089="",0,IF(AND(G3089=T3089,COUNTIFS($S$6:S3089,S3089,$G$6:G3089,G3089,$D$6:D3089,"Vastgesteld")=1),1,0))</f>
        <v>0</v>
      </c>
      <c r="V3089" s="15">
        <f>IF(T3089="",0,IF(AND(G3089=T3089,COUNTIFS($S$6:S3089,S3089,$G$6:G3089,G3089,$D$6:D3089,"Vastgesteld")&gt;1),1,0))</f>
        <v>0</v>
      </c>
    </row>
    <row r="3090">
      <c r="S3090" s="15" t="str">
        <f>IF(J3090="","",J3090&amp;"|"&amp;E3090&amp;"|"&amp;F3090&amp;"|"&amp;I3090&amp;"|"&amp;O3090)</f>
        <v/>
      </c>
      <c r="T3090" s="15" t="str">
        <f>IF(OR(S3090="",D3090&lt;&gt;"Vastgesteld"),"",_xlfn.MAXIFS($G$6:$G$5005,$S$6:$S$5005,S3090,$D$6:$D$5005,"Vastgesteld"))</f>
        <v/>
      </c>
      <c r="U3090" s="15">
        <f>IF(T3090="",0,IF(AND(G3090=T3090,COUNTIFS($S$6:S3090,S3090,$G$6:G3090,G3090,$D$6:D3090,"Vastgesteld")=1),1,0))</f>
        <v>0</v>
      </c>
      <c r="V3090" s="15">
        <f>IF(T3090="",0,IF(AND(G3090=T3090,COUNTIFS($S$6:S3090,S3090,$G$6:G3090,G3090,$D$6:D3090,"Vastgesteld")&gt;1),1,0))</f>
        <v>0</v>
      </c>
    </row>
    <row r="3091">
      <c r="S3091" s="15" t="str">
        <f>IF(J3091="","",J3091&amp;"|"&amp;E3091&amp;"|"&amp;F3091&amp;"|"&amp;I3091&amp;"|"&amp;O3091)</f>
        <v/>
      </c>
      <c r="T3091" s="15" t="str">
        <f>IF(OR(S3091="",D3091&lt;&gt;"Vastgesteld"),"",_xlfn.MAXIFS($G$6:$G$5005,$S$6:$S$5005,S3091,$D$6:$D$5005,"Vastgesteld"))</f>
        <v/>
      </c>
      <c r="U3091" s="15">
        <f>IF(T3091="",0,IF(AND(G3091=T3091,COUNTIFS($S$6:S3091,S3091,$G$6:G3091,G3091,$D$6:D3091,"Vastgesteld")=1),1,0))</f>
        <v>0</v>
      </c>
      <c r="V3091" s="15">
        <f>IF(T3091="",0,IF(AND(G3091=T3091,COUNTIFS($S$6:S3091,S3091,$G$6:G3091,G3091,$D$6:D3091,"Vastgesteld")&gt;1),1,0))</f>
        <v>0</v>
      </c>
    </row>
    <row r="3092">
      <c r="S3092" s="15" t="str">
        <f>IF(J3092="","",J3092&amp;"|"&amp;E3092&amp;"|"&amp;F3092&amp;"|"&amp;I3092&amp;"|"&amp;O3092)</f>
        <v/>
      </c>
      <c r="T3092" s="15" t="str">
        <f>IF(OR(S3092="",D3092&lt;&gt;"Vastgesteld"),"",_xlfn.MAXIFS($G$6:$G$5005,$S$6:$S$5005,S3092,$D$6:$D$5005,"Vastgesteld"))</f>
        <v/>
      </c>
      <c r="U3092" s="15">
        <f>IF(T3092="",0,IF(AND(G3092=T3092,COUNTIFS($S$6:S3092,S3092,$G$6:G3092,G3092,$D$6:D3092,"Vastgesteld")=1),1,0))</f>
        <v>0</v>
      </c>
      <c r="V3092" s="15">
        <f>IF(T3092="",0,IF(AND(G3092=T3092,COUNTIFS($S$6:S3092,S3092,$G$6:G3092,G3092,$D$6:D3092,"Vastgesteld")&gt;1),1,0))</f>
        <v>0</v>
      </c>
    </row>
    <row r="3093">
      <c r="S3093" s="15" t="str">
        <f>IF(J3093="","",J3093&amp;"|"&amp;E3093&amp;"|"&amp;F3093&amp;"|"&amp;I3093&amp;"|"&amp;O3093)</f>
        <v/>
      </c>
      <c r="T3093" s="15" t="str">
        <f>IF(OR(S3093="",D3093&lt;&gt;"Vastgesteld"),"",_xlfn.MAXIFS($G$6:$G$5005,$S$6:$S$5005,S3093,$D$6:$D$5005,"Vastgesteld"))</f>
        <v/>
      </c>
      <c r="U3093" s="15">
        <f>IF(T3093="",0,IF(AND(G3093=T3093,COUNTIFS($S$6:S3093,S3093,$G$6:G3093,G3093,$D$6:D3093,"Vastgesteld")=1),1,0))</f>
        <v>0</v>
      </c>
      <c r="V3093" s="15">
        <f>IF(T3093="",0,IF(AND(G3093=T3093,COUNTIFS($S$6:S3093,S3093,$G$6:G3093,G3093,$D$6:D3093,"Vastgesteld")&gt;1),1,0))</f>
        <v>0</v>
      </c>
    </row>
    <row r="3094">
      <c r="S3094" s="15" t="str">
        <f>IF(J3094="","",J3094&amp;"|"&amp;E3094&amp;"|"&amp;F3094&amp;"|"&amp;I3094&amp;"|"&amp;O3094)</f>
        <v/>
      </c>
      <c r="T3094" s="15" t="str">
        <f>IF(OR(S3094="",D3094&lt;&gt;"Vastgesteld"),"",_xlfn.MAXIFS($G$6:$G$5005,$S$6:$S$5005,S3094,$D$6:$D$5005,"Vastgesteld"))</f>
        <v/>
      </c>
      <c r="U3094" s="15">
        <f>IF(T3094="",0,IF(AND(G3094=T3094,COUNTIFS($S$6:S3094,S3094,$G$6:G3094,G3094,$D$6:D3094,"Vastgesteld")=1),1,0))</f>
        <v>0</v>
      </c>
      <c r="V3094" s="15">
        <f>IF(T3094="",0,IF(AND(G3094=T3094,COUNTIFS($S$6:S3094,S3094,$G$6:G3094,G3094,$D$6:D3094,"Vastgesteld")&gt;1),1,0))</f>
        <v>0</v>
      </c>
    </row>
    <row r="3095">
      <c r="S3095" s="15" t="str">
        <f>IF(J3095="","",J3095&amp;"|"&amp;E3095&amp;"|"&amp;F3095&amp;"|"&amp;I3095&amp;"|"&amp;O3095)</f>
        <v/>
      </c>
      <c r="T3095" s="15" t="str">
        <f>IF(OR(S3095="",D3095&lt;&gt;"Vastgesteld"),"",_xlfn.MAXIFS($G$6:$G$5005,$S$6:$S$5005,S3095,$D$6:$D$5005,"Vastgesteld"))</f>
        <v/>
      </c>
      <c r="U3095" s="15">
        <f>IF(T3095="",0,IF(AND(G3095=T3095,COUNTIFS($S$6:S3095,S3095,$G$6:G3095,G3095,$D$6:D3095,"Vastgesteld")=1),1,0))</f>
        <v>0</v>
      </c>
      <c r="V3095" s="15">
        <f>IF(T3095="",0,IF(AND(G3095=T3095,COUNTIFS($S$6:S3095,S3095,$G$6:G3095,G3095,$D$6:D3095,"Vastgesteld")&gt;1),1,0))</f>
        <v>0</v>
      </c>
    </row>
    <row r="3096">
      <c r="S3096" s="15" t="str">
        <f>IF(J3096="","",J3096&amp;"|"&amp;E3096&amp;"|"&amp;F3096&amp;"|"&amp;I3096&amp;"|"&amp;O3096)</f>
        <v/>
      </c>
      <c r="T3096" s="15" t="str">
        <f>IF(OR(S3096="",D3096&lt;&gt;"Vastgesteld"),"",_xlfn.MAXIFS($G$6:$G$5005,$S$6:$S$5005,S3096,$D$6:$D$5005,"Vastgesteld"))</f>
        <v/>
      </c>
      <c r="U3096" s="15">
        <f>IF(T3096="",0,IF(AND(G3096=T3096,COUNTIFS($S$6:S3096,S3096,$G$6:G3096,G3096,$D$6:D3096,"Vastgesteld")=1),1,0))</f>
        <v>0</v>
      </c>
      <c r="V3096" s="15">
        <f>IF(T3096="",0,IF(AND(G3096=T3096,COUNTIFS($S$6:S3096,S3096,$G$6:G3096,G3096,$D$6:D3096,"Vastgesteld")&gt;1),1,0))</f>
        <v>0</v>
      </c>
    </row>
    <row r="3097">
      <c r="S3097" s="15" t="str">
        <f>IF(J3097="","",J3097&amp;"|"&amp;E3097&amp;"|"&amp;F3097&amp;"|"&amp;I3097&amp;"|"&amp;O3097)</f>
        <v/>
      </c>
      <c r="T3097" s="15" t="str">
        <f>IF(OR(S3097="",D3097&lt;&gt;"Vastgesteld"),"",_xlfn.MAXIFS($G$6:$G$5005,$S$6:$S$5005,S3097,$D$6:$D$5005,"Vastgesteld"))</f>
        <v/>
      </c>
      <c r="U3097" s="15">
        <f>IF(T3097="",0,IF(AND(G3097=T3097,COUNTIFS($S$6:S3097,S3097,$G$6:G3097,G3097,$D$6:D3097,"Vastgesteld")=1),1,0))</f>
        <v>0</v>
      </c>
      <c r="V3097" s="15">
        <f>IF(T3097="",0,IF(AND(G3097=T3097,COUNTIFS($S$6:S3097,S3097,$G$6:G3097,G3097,$D$6:D3097,"Vastgesteld")&gt;1),1,0))</f>
        <v>0</v>
      </c>
    </row>
    <row r="3098">
      <c r="S3098" s="15" t="str">
        <f>IF(J3098="","",J3098&amp;"|"&amp;E3098&amp;"|"&amp;F3098&amp;"|"&amp;I3098&amp;"|"&amp;O3098)</f>
        <v/>
      </c>
      <c r="T3098" s="15" t="str">
        <f>IF(OR(S3098="",D3098&lt;&gt;"Vastgesteld"),"",_xlfn.MAXIFS($G$6:$G$5005,$S$6:$S$5005,S3098,$D$6:$D$5005,"Vastgesteld"))</f>
        <v/>
      </c>
      <c r="U3098" s="15">
        <f>IF(T3098="",0,IF(AND(G3098=T3098,COUNTIFS($S$6:S3098,S3098,$G$6:G3098,G3098,$D$6:D3098,"Vastgesteld")=1),1,0))</f>
        <v>0</v>
      </c>
      <c r="V3098" s="15">
        <f>IF(T3098="",0,IF(AND(G3098=T3098,COUNTIFS($S$6:S3098,S3098,$G$6:G3098,G3098,$D$6:D3098,"Vastgesteld")&gt;1),1,0))</f>
        <v>0</v>
      </c>
    </row>
    <row r="3099">
      <c r="S3099" s="15" t="str">
        <f>IF(J3099="","",J3099&amp;"|"&amp;E3099&amp;"|"&amp;F3099&amp;"|"&amp;I3099&amp;"|"&amp;O3099)</f>
        <v/>
      </c>
      <c r="T3099" s="15" t="str">
        <f>IF(OR(S3099="",D3099&lt;&gt;"Vastgesteld"),"",_xlfn.MAXIFS($G$6:$G$5005,$S$6:$S$5005,S3099,$D$6:$D$5005,"Vastgesteld"))</f>
        <v/>
      </c>
      <c r="U3099" s="15">
        <f>IF(T3099="",0,IF(AND(G3099=T3099,COUNTIFS($S$6:S3099,S3099,$G$6:G3099,G3099,$D$6:D3099,"Vastgesteld")=1),1,0))</f>
        <v>0</v>
      </c>
      <c r="V3099" s="15">
        <f>IF(T3099="",0,IF(AND(G3099=T3099,COUNTIFS($S$6:S3099,S3099,$G$6:G3099,G3099,$D$6:D3099,"Vastgesteld")&gt;1),1,0))</f>
        <v>0</v>
      </c>
    </row>
    <row r="3100">
      <c r="S3100" s="15" t="str">
        <f>IF(J3100="","",J3100&amp;"|"&amp;E3100&amp;"|"&amp;F3100&amp;"|"&amp;I3100&amp;"|"&amp;O3100)</f>
        <v/>
      </c>
      <c r="T3100" s="15" t="str">
        <f>IF(OR(S3100="",D3100&lt;&gt;"Vastgesteld"),"",_xlfn.MAXIFS($G$6:$G$5005,$S$6:$S$5005,S3100,$D$6:$D$5005,"Vastgesteld"))</f>
        <v/>
      </c>
      <c r="U3100" s="15">
        <f>IF(T3100="",0,IF(AND(G3100=T3100,COUNTIFS($S$6:S3100,S3100,$G$6:G3100,G3100,$D$6:D3100,"Vastgesteld")=1),1,0))</f>
        <v>0</v>
      </c>
      <c r="V3100" s="15">
        <f>IF(T3100="",0,IF(AND(G3100=T3100,COUNTIFS($S$6:S3100,S3100,$G$6:G3100,G3100,$D$6:D3100,"Vastgesteld")&gt;1),1,0))</f>
        <v>0</v>
      </c>
    </row>
    <row r="3101">
      <c r="S3101" s="15" t="str">
        <f>IF(J3101="","",J3101&amp;"|"&amp;E3101&amp;"|"&amp;F3101&amp;"|"&amp;I3101&amp;"|"&amp;O3101)</f>
        <v/>
      </c>
      <c r="T3101" s="15" t="str">
        <f>IF(OR(S3101="",D3101&lt;&gt;"Vastgesteld"),"",_xlfn.MAXIFS($G$6:$G$5005,$S$6:$S$5005,S3101,$D$6:$D$5005,"Vastgesteld"))</f>
        <v/>
      </c>
      <c r="U3101" s="15">
        <f>IF(T3101="",0,IF(AND(G3101=T3101,COUNTIFS($S$6:S3101,S3101,$G$6:G3101,G3101,$D$6:D3101,"Vastgesteld")=1),1,0))</f>
        <v>0</v>
      </c>
      <c r="V3101" s="15">
        <f>IF(T3101="",0,IF(AND(G3101=T3101,COUNTIFS($S$6:S3101,S3101,$G$6:G3101,G3101,$D$6:D3101,"Vastgesteld")&gt;1),1,0))</f>
        <v>0</v>
      </c>
    </row>
    <row r="3102">
      <c r="S3102" s="15" t="str">
        <f>IF(J3102="","",J3102&amp;"|"&amp;E3102&amp;"|"&amp;F3102&amp;"|"&amp;I3102&amp;"|"&amp;O3102)</f>
        <v/>
      </c>
      <c r="T3102" s="15" t="str">
        <f>IF(OR(S3102="",D3102&lt;&gt;"Vastgesteld"),"",_xlfn.MAXIFS($G$6:$G$5005,$S$6:$S$5005,S3102,$D$6:$D$5005,"Vastgesteld"))</f>
        <v/>
      </c>
      <c r="U3102" s="15">
        <f>IF(T3102="",0,IF(AND(G3102=T3102,COUNTIFS($S$6:S3102,S3102,$G$6:G3102,G3102,$D$6:D3102,"Vastgesteld")=1),1,0))</f>
        <v>0</v>
      </c>
      <c r="V3102" s="15">
        <f>IF(T3102="",0,IF(AND(G3102=T3102,COUNTIFS($S$6:S3102,S3102,$G$6:G3102,G3102,$D$6:D3102,"Vastgesteld")&gt;1),1,0))</f>
        <v>0</v>
      </c>
    </row>
    <row r="3103">
      <c r="S3103" s="15" t="str">
        <f>IF(J3103="","",J3103&amp;"|"&amp;E3103&amp;"|"&amp;F3103&amp;"|"&amp;I3103&amp;"|"&amp;O3103)</f>
        <v/>
      </c>
      <c r="T3103" s="15" t="str">
        <f>IF(OR(S3103="",D3103&lt;&gt;"Vastgesteld"),"",_xlfn.MAXIFS($G$6:$G$5005,$S$6:$S$5005,S3103,$D$6:$D$5005,"Vastgesteld"))</f>
        <v/>
      </c>
      <c r="U3103" s="15">
        <f>IF(T3103="",0,IF(AND(G3103=T3103,COUNTIFS($S$6:S3103,S3103,$G$6:G3103,G3103,$D$6:D3103,"Vastgesteld")=1),1,0))</f>
        <v>0</v>
      </c>
      <c r="V3103" s="15">
        <f>IF(T3103="",0,IF(AND(G3103=T3103,COUNTIFS($S$6:S3103,S3103,$G$6:G3103,G3103,$D$6:D3103,"Vastgesteld")&gt;1),1,0))</f>
        <v>0</v>
      </c>
    </row>
    <row r="3104">
      <c r="S3104" s="15" t="str">
        <f>IF(J3104="","",J3104&amp;"|"&amp;E3104&amp;"|"&amp;F3104&amp;"|"&amp;I3104&amp;"|"&amp;O3104)</f>
        <v/>
      </c>
      <c r="T3104" s="15" t="str">
        <f>IF(OR(S3104="",D3104&lt;&gt;"Vastgesteld"),"",_xlfn.MAXIFS($G$6:$G$5005,$S$6:$S$5005,S3104,$D$6:$D$5005,"Vastgesteld"))</f>
        <v/>
      </c>
      <c r="U3104" s="15">
        <f>IF(T3104="",0,IF(AND(G3104=T3104,COUNTIFS($S$6:S3104,S3104,$G$6:G3104,G3104,$D$6:D3104,"Vastgesteld")=1),1,0))</f>
        <v>0</v>
      </c>
      <c r="V3104" s="15">
        <f>IF(T3104="",0,IF(AND(G3104=T3104,COUNTIFS($S$6:S3104,S3104,$G$6:G3104,G3104,$D$6:D3104,"Vastgesteld")&gt;1),1,0))</f>
        <v>0</v>
      </c>
    </row>
    <row r="3105">
      <c r="S3105" s="15" t="str">
        <f>IF(J3105="","",J3105&amp;"|"&amp;E3105&amp;"|"&amp;F3105&amp;"|"&amp;I3105&amp;"|"&amp;O3105)</f>
        <v/>
      </c>
      <c r="T3105" s="15" t="str">
        <f>IF(OR(S3105="",D3105&lt;&gt;"Vastgesteld"),"",_xlfn.MAXIFS($G$6:$G$5005,$S$6:$S$5005,S3105,$D$6:$D$5005,"Vastgesteld"))</f>
        <v/>
      </c>
      <c r="U3105" s="15">
        <f>IF(T3105="",0,IF(AND(G3105=T3105,COUNTIFS($S$6:S3105,S3105,$G$6:G3105,G3105,$D$6:D3105,"Vastgesteld")=1),1,0))</f>
        <v>0</v>
      </c>
      <c r="V3105" s="15">
        <f>IF(T3105="",0,IF(AND(G3105=T3105,COUNTIFS($S$6:S3105,S3105,$G$6:G3105,G3105,$D$6:D3105,"Vastgesteld")&gt;1),1,0))</f>
        <v>0</v>
      </c>
    </row>
    <row r="3106">
      <c r="S3106" s="15" t="str">
        <f>IF(J3106="","",J3106&amp;"|"&amp;E3106&amp;"|"&amp;F3106&amp;"|"&amp;I3106&amp;"|"&amp;O3106)</f>
        <v/>
      </c>
      <c r="T3106" s="15" t="str">
        <f>IF(OR(S3106="",D3106&lt;&gt;"Vastgesteld"),"",_xlfn.MAXIFS($G$6:$G$5005,$S$6:$S$5005,S3106,$D$6:$D$5005,"Vastgesteld"))</f>
        <v/>
      </c>
      <c r="U3106" s="15">
        <f>IF(T3106="",0,IF(AND(G3106=T3106,COUNTIFS($S$6:S3106,S3106,$G$6:G3106,G3106,$D$6:D3106,"Vastgesteld")=1),1,0))</f>
        <v>0</v>
      </c>
      <c r="V3106" s="15">
        <f>IF(T3106="",0,IF(AND(G3106=T3106,COUNTIFS($S$6:S3106,S3106,$G$6:G3106,G3106,$D$6:D3106,"Vastgesteld")&gt;1),1,0))</f>
        <v>0</v>
      </c>
    </row>
    <row r="3107">
      <c r="S3107" s="15" t="str">
        <f>IF(J3107="","",J3107&amp;"|"&amp;E3107&amp;"|"&amp;F3107&amp;"|"&amp;I3107&amp;"|"&amp;O3107)</f>
        <v/>
      </c>
      <c r="T3107" s="15" t="str">
        <f>IF(OR(S3107="",D3107&lt;&gt;"Vastgesteld"),"",_xlfn.MAXIFS($G$6:$G$5005,$S$6:$S$5005,S3107,$D$6:$D$5005,"Vastgesteld"))</f>
        <v/>
      </c>
      <c r="U3107" s="15">
        <f>IF(T3107="",0,IF(AND(G3107=T3107,COUNTIFS($S$6:S3107,S3107,$G$6:G3107,G3107,$D$6:D3107,"Vastgesteld")=1),1,0))</f>
        <v>0</v>
      </c>
      <c r="V3107" s="15">
        <f>IF(T3107="",0,IF(AND(G3107=T3107,COUNTIFS($S$6:S3107,S3107,$G$6:G3107,G3107,$D$6:D3107,"Vastgesteld")&gt;1),1,0))</f>
        <v>0</v>
      </c>
    </row>
    <row r="3108">
      <c r="S3108" s="15" t="str">
        <f>IF(J3108="","",J3108&amp;"|"&amp;E3108&amp;"|"&amp;F3108&amp;"|"&amp;I3108&amp;"|"&amp;O3108)</f>
        <v/>
      </c>
      <c r="T3108" s="15" t="str">
        <f>IF(OR(S3108="",D3108&lt;&gt;"Vastgesteld"),"",_xlfn.MAXIFS($G$6:$G$5005,$S$6:$S$5005,S3108,$D$6:$D$5005,"Vastgesteld"))</f>
        <v/>
      </c>
      <c r="U3108" s="15">
        <f>IF(T3108="",0,IF(AND(G3108=T3108,COUNTIFS($S$6:S3108,S3108,$G$6:G3108,G3108,$D$6:D3108,"Vastgesteld")=1),1,0))</f>
        <v>0</v>
      </c>
      <c r="V3108" s="15">
        <f>IF(T3108="",0,IF(AND(G3108=T3108,COUNTIFS($S$6:S3108,S3108,$G$6:G3108,G3108,$D$6:D3108,"Vastgesteld")&gt;1),1,0))</f>
        <v>0</v>
      </c>
    </row>
    <row r="3109">
      <c r="S3109" s="15" t="str">
        <f>IF(J3109="","",J3109&amp;"|"&amp;E3109&amp;"|"&amp;F3109&amp;"|"&amp;I3109&amp;"|"&amp;O3109)</f>
        <v/>
      </c>
      <c r="T3109" s="15" t="str">
        <f>IF(OR(S3109="",D3109&lt;&gt;"Vastgesteld"),"",_xlfn.MAXIFS($G$6:$G$5005,$S$6:$S$5005,S3109,$D$6:$D$5005,"Vastgesteld"))</f>
        <v/>
      </c>
      <c r="U3109" s="15">
        <f>IF(T3109="",0,IF(AND(G3109=T3109,COUNTIFS($S$6:S3109,S3109,$G$6:G3109,G3109,$D$6:D3109,"Vastgesteld")=1),1,0))</f>
        <v>0</v>
      </c>
      <c r="V3109" s="15">
        <f>IF(T3109="",0,IF(AND(G3109=T3109,COUNTIFS($S$6:S3109,S3109,$G$6:G3109,G3109,$D$6:D3109,"Vastgesteld")&gt;1),1,0))</f>
        <v>0</v>
      </c>
    </row>
    <row r="3110">
      <c r="S3110" s="15" t="str">
        <f>IF(J3110="","",J3110&amp;"|"&amp;E3110&amp;"|"&amp;F3110&amp;"|"&amp;I3110&amp;"|"&amp;O3110)</f>
        <v/>
      </c>
      <c r="T3110" s="15" t="str">
        <f>IF(OR(S3110="",D3110&lt;&gt;"Vastgesteld"),"",_xlfn.MAXIFS($G$6:$G$5005,$S$6:$S$5005,S3110,$D$6:$D$5005,"Vastgesteld"))</f>
        <v/>
      </c>
      <c r="U3110" s="15">
        <f>IF(T3110="",0,IF(AND(G3110=T3110,COUNTIFS($S$6:S3110,S3110,$G$6:G3110,G3110,$D$6:D3110,"Vastgesteld")=1),1,0))</f>
        <v>0</v>
      </c>
      <c r="V3110" s="15">
        <f>IF(T3110="",0,IF(AND(G3110=T3110,COUNTIFS($S$6:S3110,S3110,$G$6:G3110,G3110,$D$6:D3110,"Vastgesteld")&gt;1),1,0))</f>
        <v>0</v>
      </c>
    </row>
    <row r="3111">
      <c r="S3111" s="15" t="str">
        <f>IF(J3111="","",J3111&amp;"|"&amp;E3111&amp;"|"&amp;F3111&amp;"|"&amp;I3111&amp;"|"&amp;O3111)</f>
        <v/>
      </c>
      <c r="T3111" s="15" t="str">
        <f>IF(OR(S3111="",D3111&lt;&gt;"Vastgesteld"),"",_xlfn.MAXIFS($G$6:$G$5005,$S$6:$S$5005,S3111,$D$6:$D$5005,"Vastgesteld"))</f>
        <v/>
      </c>
      <c r="U3111" s="15">
        <f>IF(T3111="",0,IF(AND(G3111=T3111,COUNTIFS($S$6:S3111,S3111,$G$6:G3111,G3111,$D$6:D3111,"Vastgesteld")=1),1,0))</f>
        <v>0</v>
      </c>
      <c r="V3111" s="15">
        <f>IF(T3111="",0,IF(AND(G3111=T3111,COUNTIFS($S$6:S3111,S3111,$G$6:G3111,G3111,$D$6:D3111,"Vastgesteld")&gt;1),1,0))</f>
        <v>0</v>
      </c>
    </row>
    <row r="3112">
      <c r="S3112" s="15" t="str">
        <f>IF(J3112="","",J3112&amp;"|"&amp;E3112&amp;"|"&amp;F3112&amp;"|"&amp;I3112&amp;"|"&amp;O3112)</f>
        <v/>
      </c>
      <c r="T3112" s="15" t="str">
        <f>IF(OR(S3112="",D3112&lt;&gt;"Vastgesteld"),"",_xlfn.MAXIFS($G$6:$G$5005,$S$6:$S$5005,S3112,$D$6:$D$5005,"Vastgesteld"))</f>
        <v/>
      </c>
      <c r="U3112" s="15">
        <f>IF(T3112="",0,IF(AND(G3112=T3112,COUNTIFS($S$6:S3112,S3112,$G$6:G3112,G3112,$D$6:D3112,"Vastgesteld")=1),1,0))</f>
        <v>0</v>
      </c>
      <c r="V3112" s="15">
        <f>IF(T3112="",0,IF(AND(G3112=T3112,COUNTIFS($S$6:S3112,S3112,$G$6:G3112,G3112,$D$6:D3112,"Vastgesteld")&gt;1),1,0))</f>
        <v>0</v>
      </c>
    </row>
    <row r="3113">
      <c r="S3113" s="15" t="str">
        <f>IF(J3113="","",J3113&amp;"|"&amp;E3113&amp;"|"&amp;F3113&amp;"|"&amp;I3113&amp;"|"&amp;O3113)</f>
        <v/>
      </c>
      <c r="T3113" s="15" t="str">
        <f>IF(OR(S3113="",D3113&lt;&gt;"Vastgesteld"),"",_xlfn.MAXIFS($G$6:$G$5005,$S$6:$S$5005,S3113,$D$6:$D$5005,"Vastgesteld"))</f>
        <v/>
      </c>
      <c r="U3113" s="15">
        <f>IF(T3113="",0,IF(AND(G3113=T3113,COUNTIFS($S$6:S3113,S3113,$G$6:G3113,G3113,$D$6:D3113,"Vastgesteld")=1),1,0))</f>
        <v>0</v>
      </c>
      <c r="V3113" s="15">
        <f>IF(T3113="",0,IF(AND(G3113=T3113,COUNTIFS($S$6:S3113,S3113,$G$6:G3113,G3113,$D$6:D3113,"Vastgesteld")&gt;1),1,0))</f>
        <v>0</v>
      </c>
    </row>
    <row r="3114">
      <c r="S3114" s="15" t="str">
        <f>IF(J3114="","",J3114&amp;"|"&amp;E3114&amp;"|"&amp;F3114&amp;"|"&amp;I3114&amp;"|"&amp;O3114)</f>
        <v/>
      </c>
      <c r="T3114" s="15" t="str">
        <f>IF(OR(S3114="",D3114&lt;&gt;"Vastgesteld"),"",_xlfn.MAXIFS($G$6:$G$5005,$S$6:$S$5005,S3114,$D$6:$D$5005,"Vastgesteld"))</f>
        <v/>
      </c>
      <c r="U3114" s="15">
        <f>IF(T3114="",0,IF(AND(G3114=T3114,COUNTIFS($S$6:S3114,S3114,$G$6:G3114,G3114,$D$6:D3114,"Vastgesteld")=1),1,0))</f>
        <v>0</v>
      </c>
      <c r="V3114" s="15">
        <f>IF(T3114="",0,IF(AND(G3114=T3114,COUNTIFS($S$6:S3114,S3114,$G$6:G3114,G3114,$D$6:D3114,"Vastgesteld")&gt;1),1,0))</f>
        <v>0</v>
      </c>
    </row>
    <row r="3115">
      <c r="S3115" s="15" t="str">
        <f>IF(J3115="","",J3115&amp;"|"&amp;E3115&amp;"|"&amp;F3115&amp;"|"&amp;I3115&amp;"|"&amp;O3115)</f>
        <v/>
      </c>
      <c r="T3115" s="15" t="str">
        <f>IF(OR(S3115="",D3115&lt;&gt;"Vastgesteld"),"",_xlfn.MAXIFS($G$6:$G$5005,$S$6:$S$5005,S3115,$D$6:$D$5005,"Vastgesteld"))</f>
        <v/>
      </c>
      <c r="U3115" s="15">
        <f>IF(T3115="",0,IF(AND(G3115=T3115,COUNTIFS($S$6:S3115,S3115,$G$6:G3115,G3115,$D$6:D3115,"Vastgesteld")=1),1,0))</f>
        <v>0</v>
      </c>
      <c r="V3115" s="15">
        <f>IF(T3115="",0,IF(AND(G3115=T3115,COUNTIFS($S$6:S3115,S3115,$G$6:G3115,G3115,$D$6:D3115,"Vastgesteld")&gt;1),1,0))</f>
        <v>0</v>
      </c>
    </row>
    <row r="3116">
      <c r="S3116" s="15" t="str">
        <f>IF(J3116="","",J3116&amp;"|"&amp;E3116&amp;"|"&amp;F3116&amp;"|"&amp;I3116&amp;"|"&amp;O3116)</f>
        <v/>
      </c>
      <c r="T3116" s="15" t="str">
        <f>IF(OR(S3116="",D3116&lt;&gt;"Vastgesteld"),"",_xlfn.MAXIFS($G$6:$G$5005,$S$6:$S$5005,S3116,$D$6:$D$5005,"Vastgesteld"))</f>
        <v/>
      </c>
      <c r="U3116" s="15">
        <f>IF(T3116="",0,IF(AND(G3116=T3116,COUNTIFS($S$6:S3116,S3116,$G$6:G3116,G3116,$D$6:D3116,"Vastgesteld")=1),1,0))</f>
        <v>0</v>
      </c>
      <c r="V3116" s="15">
        <f>IF(T3116="",0,IF(AND(G3116=T3116,COUNTIFS($S$6:S3116,S3116,$G$6:G3116,G3116,$D$6:D3116,"Vastgesteld")&gt;1),1,0))</f>
        <v>0</v>
      </c>
    </row>
    <row r="3117">
      <c r="S3117" s="15" t="str">
        <f>IF(J3117="","",J3117&amp;"|"&amp;E3117&amp;"|"&amp;F3117&amp;"|"&amp;I3117&amp;"|"&amp;O3117)</f>
        <v/>
      </c>
      <c r="T3117" s="15" t="str">
        <f>IF(OR(S3117="",D3117&lt;&gt;"Vastgesteld"),"",_xlfn.MAXIFS($G$6:$G$5005,$S$6:$S$5005,S3117,$D$6:$D$5005,"Vastgesteld"))</f>
        <v/>
      </c>
      <c r="U3117" s="15">
        <f>IF(T3117="",0,IF(AND(G3117=T3117,COUNTIFS($S$6:S3117,S3117,$G$6:G3117,G3117,$D$6:D3117,"Vastgesteld")=1),1,0))</f>
        <v>0</v>
      </c>
      <c r="V3117" s="15">
        <f>IF(T3117="",0,IF(AND(G3117=T3117,COUNTIFS($S$6:S3117,S3117,$G$6:G3117,G3117,$D$6:D3117,"Vastgesteld")&gt;1),1,0))</f>
        <v>0</v>
      </c>
    </row>
    <row r="3118">
      <c r="S3118" s="15" t="str">
        <f>IF(J3118="","",J3118&amp;"|"&amp;E3118&amp;"|"&amp;F3118&amp;"|"&amp;I3118&amp;"|"&amp;O3118)</f>
        <v/>
      </c>
      <c r="T3118" s="15" t="str">
        <f>IF(OR(S3118="",D3118&lt;&gt;"Vastgesteld"),"",_xlfn.MAXIFS($G$6:$G$5005,$S$6:$S$5005,S3118,$D$6:$D$5005,"Vastgesteld"))</f>
        <v/>
      </c>
      <c r="U3118" s="15">
        <f>IF(T3118="",0,IF(AND(G3118=T3118,COUNTIFS($S$6:S3118,S3118,$G$6:G3118,G3118,$D$6:D3118,"Vastgesteld")=1),1,0))</f>
        <v>0</v>
      </c>
      <c r="V3118" s="15">
        <f>IF(T3118="",0,IF(AND(G3118=T3118,COUNTIFS($S$6:S3118,S3118,$G$6:G3118,G3118,$D$6:D3118,"Vastgesteld")&gt;1),1,0))</f>
        <v>0</v>
      </c>
    </row>
    <row r="3119">
      <c r="S3119" s="15" t="str">
        <f>IF(J3119="","",J3119&amp;"|"&amp;E3119&amp;"|"&amp;F3119&amp;"|"&amp;I3119&amp;"|"&amp;O3119)</f>
        <v/>
      </c>
      <c r="T3119" s="15" t="str">
        <f>IF(OR(S3119="",D3119&lt;&gt;"Vastgesteld"),"",_xlfn.MAXIFS($G$6:$G$5005,$S$6:$S$5005,S3119,$D$6:$D$5005,"Vastgesteld"))</f>
        <v/>
      </c>
      <c r="U3119" s="15">
        <f>IF(T3119="",0,IF(AND(G3119=T3119,COUNTIFS($S$6:S3119,S3119,$G$6:G3119,G3119,$D$6:D3119,"Vastgesteld")=1),1,0))</f>
        <v>0</v>
      </c>
      <c r="V3119" s="15">
        <f>IF(T3119="",0,IF(AND(G3119=T3119,COUNTIFS($S$6:S3119,S3119,$G$6:G3119,G3119,$D$6:D3119,"Vastgesteld")&gt;1),1,0))</f>
        <v>0</v>
      </c>
    </row>
    <row r="3120">
      <c r="S3120" s="15" t="str">
        <f>IF(J3120="","",J3120&amp;"|"&amp;E3120&amp;"|"&amp;F3120&amp;"|"&amp;I3120&amp;"|"&amp;O3120)</f>
        <v/>
      </c>
      <c r="T3120" s="15" t="str">
        <f>IF(OR(S3120="",D3120&lt;&gt;"Vastgesteld"),"",_xlfn.MAXIFS($G$6:$G$5005,$S$6:$S$5005,S3120,$D$6:$D$5005,"Vastgesteld"))</f>
        <v/>
      </c>
      <c r="U3120" s="15">
        <f>IF(T3120="",0,IF(AND(G3120=T3120,COUNTIFS($S$6:S3120,S3120,$G$6:G3120,G3120,$D$6:D3120,"Vastgesteld")=1),1,0))</f>
        <v>0</v>
      </c>
      <c r="V3120" s="15">
        <f>IF(T3120="",0,IF(AND(G3120=T3120,COUNTIFS($S$6:S3120,S3120,$G$6:G3120,G3120,$D$6:D3120,"Vastgesteld")&gt;1),1,0))</f>
        <v>0</v>
      </c>
    </row>
    <row r="3121">
      <c r="S3121" s="15" t="str">
        <f>IF(J3121="","",J3121&amp;"|"&amp;E3121&amp;"|"&amp;F3121&amp;"|"&amp;I3121&amp;"|"&amp;O3121)</f>
        <v/>
      </c>
      <c r="T3121" s="15" t="str">
        <f>IF(OR(S3121="",D3121&lt;&gt;"Vastgesteld"),"",_xlfn.MAXIFS($G$6:$G$5005,$S$6:$S$5005,S3121,$D$6:$D$5005,"Vastgesteld"))</f>
        <v/>
      </c>
      <c r="U3121" s="15">
        <f>IF(T3121="",0,IF(AND(G3121=T3121,COUNTIFS($S$6:S3121,S3121,$G$6:G3121,G3121,$D$6:D3121,"Vastgesteld")=1),1,0))</f>
        <v>0</v>
      </c>
      <c r="V3121" s="15">
        <f>IF(T3121="",0,IF(AND(G3121=T3121,COUNTIFS($S$6:S3121,S3121,$G$6:G3121,G3121,$D$6:D3121,"Vastgesteld")&gt;1),1,0))</f>
        <v>0</v>
      </c>
    </row>
    <row r="3122">
      <c r="S3122" s="15" t="str">
        <f>IF(J3122="","",J3122&amp;"|"&amp;E3122&amp;"|"&amp;F3122&amp;"|"&amp;I3122&amp;"|"&amp;O3122)</f>
        <v/>
      </c>
      <c r="T3122" s="15" t="str">
        <f>IF(OR(S3122="",D3122&lt;&gt;"Vastgesteld"),"",_xlfn.MAXIFS($G$6:$G$5005,$S$6:$S$5005,S3122,$D$6:$D$5005,"Vastgesteld"))</f>
        <v/>
      </c>
      <c r="U3122" s="15">
        <f>IF(T3122="",0,IF(AND(G3122=T3122,COUNTIFS($S$6:S3122,S3122,$G$6:G3122,G3122,$D$6:D3122,"Vastgesteld")=1),1,0))</f>
        <v>0</v>
      </c>
      <c r="V3122" s="15">
        <f>IF(T3122="",0,IF(AND(G3122=T3122,COUNTIFS($S$6:S3122,S3122,$G$6:G3122,G3122,$D$6:D3122,"Vastgesteld")&gt;1),1,0))</f>
        <v>0</v>
      </c>
    </row>
    <row r="3123">
      <c r="S3123" s="15" t="str">
        <f>IF(J3123="","",J3123&amp;"|"&amp;E3123&amp;"|"&amp;F3123&amp;"|"&amp;I3123&amp;"|"&amp;O3123)</f>
        <v/>
      </c>
      <c r="T3123" s="15" t="str">
        <f>IF(OR(S3123="",D3123&lt;&gt;"Vastgesteld"),"",_xlfn.MAXIFS($G$6:$G$5005,$S$6:$S$5005,S3123,$D$6:$D$5005,"Vastgesteld"))</f>
        <v/>
      </c>
      <c r="U3123" s="15">
        <f>IF(T3123="",0,IF(AND(G3123=T3123,COUNTIFS($S$6:S3123,S3123,$G$6:G3123,G3123,$D$6:D3123,"Vastgesteld")=1),1,0))</f>
        <v>0</v>
      </c>
      <c r="V3123" s="15">
        <f>IF(T3123="",0,IF(AND(G3123=T3123,COUNTIFS($S$6:S3123,S3123,$G$6:G3123,G3123,$D$6:D3123,"Vastgesteld")&gt;1),1,0))</f>
        <v>0</v>
      </c>
    </row>
    <row r="3124">
      <c r="S3124" s="15" t="str">
        <f>IF(J3124="","",J3124&amp;"|"&amp;E3124&amp;"|"&amp;F3124&amp;"|"&amp;I3124&amp;"|"&amp;O3124)</f>
        <v/>
      </c>
      <c r="T3124" s="15" t="str">
        <f>IF(OR(S3124="",D3124&lt;&gt;"Vastgesteld"),"",_xlfn.MAXIFS($G$6:$G$5005,$S$6:$S$5005,S3124,$D$6:$D$5005,"Vastgesteld"))</f>
        <v/>
      </c>
      <c r="U3124" s="15">
        <f>IF(T3124="",0,IF(AND(G3124=T3124,COUNTIFS($S$6:S3124,S3124,$G$6:G3124,G3124,$D$6:D3124,"Vastgesteld")=1),1,0))</f>
        <v>0</v>
      </c>
      <c r="V3124" s="15">
        <f>IF(T3124="",0,IF(AND(G3124=T3124,COUNTIFS($S$6:S3124,S3124,$G$6:G3124,G3124,$D$6:D3124,"Vastgesteld")&gt;1),1,0))</f>
        <v>0</v>
      </c>
    </row>
    <row r="3125">
      <c r="S3125" s="15" t="str">
        <f>IF(J3125="","",J3125&amp;"|"&amp;E3125&amp;"|"&amp;F3125&amp;"|"&amp;I3125&amp;"|"&amp;O3125)</f>
        <v/>
      </c>
      <c r="T3125" s="15" t="str">
        <f>IF(OR(S3125="",D3125&lt;&gt;"Vastgesteld"),"",_xlfn.MAXIFS($G$6:$G$5005,$S$6:$S$5005,S3125,$D$6:$D$5005,"Vastgesteld"))</f>
        <v/>
      </c>
      <c r="U3125" s="15">
        <f>IF(T3125="",0,IF(AND(G3125=T3125,COUNTIFS($S$6:S3125,S3125,$G$6:G3125,G3125,$D$6:D3125,"Vastgesteld")=1),1,0))</f>
        <v>0</v>
      </c>
      <c r="V3125" s="15">
        <f>IF(T3125="",0,IF(AND(G3125=T3125,COUNTIFS($S$6:S3125,S3125,$G$6:G3125,G3125,$D$6:D3125,"Vastgesteld")&gt;1),1,0))</f>
        <v>0</v>
      </c>
    </row>
    <row r="3126">
      <c r="S3126" s="15" t="str">
        <f>IF(J3126="","",J3126&amp;"|"&amp;E3126&amp;"|"&amp;F3126&amp;"|"&amp;I3126&amp;"|"&amp;O3126)</f>
        <v/>
      </c>
      <c r="T3126" s="15" t="str">
        <f>IF(OR(S3126="",D3126&lt;&gt;"Vastgesteld"),"",_xlfn.MAXIFS($G$6:$G$5005,$S$6:$S$5005,S3126,$D$6:$D$5005,"Vastgesteld"))</f>
        <v/>
      </c>
      <c r="U3126" s="15">
        <f>IF(T3126="",0,IF(AND(G3126=T3126,COUNTIFS($S$6:S3126,S3126,$G$6:G3126,G3126,$D$6:D3126,"Vastgesteld")=1),1,0))</f>
        <v>0</v>
      </c>
      <c r="V3126" s="15">
        <f>IF(T3126="",0,IF(AND(G3126=T3126,COUNTIFS($S$6:S3126,S3126,$G$6:G3126,G3126,$D$6:D3126,"Vastgesteld")&gt;1),1,0))</f>
        <v>0</v>
      </c>
    </row>
    <row r="3127">
      <c r="S3127" s="15" t="str">
        <f>IF(J3127="","",J3127&amp;"|"&amp;E3127&amp;"|"&amp;F3127&amp;"|"&amp;I3127&amp;"|"&amp;O3127)</f>
        <v/>
      </c>
      <c r="T3127" s="15" t="str">
        <f>IF(OR(S3127="",D3127&lt;&gt;"Vastgesteld"),"",_xlfn.MAXIFS($G$6:$G$5005,$S$6:$S$5005,S3127,$D$6:$D$5005,"Vastgesteld"))</f>
        <v/>
      </c>
      <c r="U3127" s="15">
        <f>IF(T3127="",0,IF(AND(G3127=T3127,COUNTIFS($S$6:S3127,S3127,$G$6:G3127,G3127,$D$6:D3127,"Vastgesteld")=1),1,0))</f>
        <v>0</v>
      </c>
      <c r="V3127" s="15">
        <f>IF(T3127="",0,IF(AND(G3127=T3127,COUNTIFS($S$6:S3127,S3127,$G$6:G3127,G3127,$D$6:D3127,"Vastgesteld")&gt;1),1,0))</f>
        <v>0</v>
      </c>
    </row>
    <row r="3128">
      <c r="S3128" s="15" t="str">
        <f>IF(J3128="","",J3128&amp;"|"&amp;E3128&amp;"|"&amp;F3128&amp;"|"&amp;I3128&amp;"|"&amp;O3128)</f>
        <v/>
      </c>
      <c r="T3128" s="15" t="str">
        <f>IF(OR(S3128="",D3128&lt;&gt;"Vastgesteld"),"",_xlfn.MAXIFS($G$6:$G$5005,$S$6:$S$5005,S3128,$D$6:$D$5005,"Vastgesteld"))</f>
        <v/>
      </c>
      <c r="U3128" s="15">
        <f>IF(T3128="",0,IF(AND(G3128=T3128,COUNTIFS($S$6:S3128,S3128,$G$6:G3128,G3128,$D$6:D3128,"Vastgesteld")=1),1,0))</f>
        <v>0</v>
      </c>
      <c r="V3128" s="15">
        <f>IF(T3128="",0,IF(AND(G3128=T3128,COUNTIFS($S$6:S3128,S3128,$G$6:G3128,G3128,$D$6:D3128,"Vastgesteld")&gt;1),1,0))</f>
        <v>0</v>
      </c>
    </row>
    <row r="3129">
      <c r="S3129" s="15" t="str">
        <f>IF(J3129="","",J3129&amp;"|"&amp;E3129&amp;"|"&amp;F3129&amp;"|"&amp;I3129&amp;"|"&amp;O3129)</f>
        <v/>
      </c>
      <c r="T3129" s="15" t="str">
        <f>IF(OR(S3129="",D3129&lt;&gt;"Vastgesteld"),"",_xlfn.MAXIFS($G$6:$G$5005,$S$6:$S$5005,S3129,$D$6:$D$5005,"Vastgesteld"))</f>
        <v/>
      </c>
      <c r="U3129" s="15">
        <f>IF(T3129="",0,IF(AND(G3129=T3129,COUNTIFS($S$6:S3129,S3129,$G$6:G3129,G3129,$D$6:D3129,"Vastgesteld")=1),1,0))</f>
        <v>0</v>
      </c>
      <c r="V3129" s="15">
        <f>IF(T3129="",0,IF(AND(G3129=T3129,COUNTIFS($S$6:S3129,S3129,$G$6:G3129,G3129,$D$6:D3129,"Vastgesteld")&gt;1),1,0))</f>
        <v>0</v>
      </c>
    </row>
    <row r="3130">
      <c r="S3130" s="15" t="str">
        <f>IF(J3130="","",J3130&amp;"|"&amp;E3130&amp;"|"&amp;F3130&amp;"|"&amp;I3130&amp;"|"&amp;O3130)</f>
        <v/>
      </c>
      <c r="T3130" s="15" t="str">
        <f>IF(OR(S3130="",D3130&lt;&gt;"Vastgesteld"),"",_xlfn.MAXIFS($G$6:$G$5005,$S$6:$S$5005,S3130,$D$6:$D$5005,"Vastgesteld"))</f>
        <v/>
      </c>
      <c r="U3130" s="15">
        <f>IF(T3130="",0,IF(AND(G3130=T3130,COUNTIFS($S$6:S3130,S3130,$G$6:G3130,G3130,$D$6:D3130,"Vastgesteld")=1),1,0))</f>
        <v>0</v>
      </c>
      <c r="V3130" s="15">
        <f>IF(T3130="",0,IF(AND(G3130=T3130,COUNTIFS($S$6:S3130,S3130,$G$6:G3130,G3130,$D$6:D3130,"Vastgesteld")&gt;1),1,0))</f>
        <v>0</v>
      </c>
    </row>
    <row r="3131">
      <c r="S3131" s="15" t="str">
        <f>IF(J3131="","",J3131&amp;"|"&amp;E3131&amp;"|"&amp;F3131&amp;"|"&amp;I3131&amp;"|"&amp;O3131)</f>
        <v/>
      </c>
      <c r="T3131" s="15" t="str">
        <f>IF(OR(S3131="",D3131&lt;&gt;"Vastgesteld"),"",_xlfn.MAXIFS($G$6:$G$5005,$S$6:$S$5005,S3131,$D$6:$D$5005,"Vastgesteld"))</f>
        <v/>
      </c>
      <c r="U3131" s="15">
        <f>IF(T3131="",0,IF(AND(G3131=T3131,COUNTIFS($S$6:S3131,S3131,$G$6:G3131,G3131,$D$6:D3131,"Vastgesteld")=1),1,0))</f>
        <v>0</v>
      </c>
      <c r="V3131" s="15">
        <f>IF(T3131="",0,IF(AND(G3131=T3131,COUNTIFS($S$6:S3131,S3131,$G$6:G3131,G3131,$D$6:D3131,"Vastgesteld")&gt;1),1,0))</f>
        <v>0</v>
      </c>
    </row>
    <row r="3132">
      <c r="S3132" s="15" t="str">
        <f>IF(J3132="","",J3132&amp;"|"&amp;E3132&amp;"|"&amp;F3132&amp;"|"&amp;I3132&amp;"|"&amp;O3132)</f>
        <v/>
      </c>
      <c r="T3132" s="15" t="str">
        <f>IF(OR(S3132="",D3132&lt;&gt;"Vastgesteld"),"",_xlfn.MAXIFS($G$6:$G$5005,$S$6:$S$5005,S3132,$D$6:$D$5005,"Vastgesteld"))</f>
        <v/>
      </c>
      <c r="U3132" s="15">
        <f>IF(T3132="",0,IF(AND(G3132=T3132,COUNTIFS($S$6:S3132,S3132,$G$6:G3132,G3132,$D$6:D3132,"Vastgesteld")=1),1,0))</f>
        <v>0</v>
      </c>
      <c r="V3132" s="15">
        <f>IF(T3132="",0,IF(AND(G3132=T3132,COUNTIFS($S$6:S3132,S3132,$G$6:G3132,G3132,$D$6:D3132,"Vastgesteld")&gt;1),1,0))</f>
        <v>0</v>
      </c>
    </row>
    <row r="3133">
      <c r="S3133" s="15" t="str">
        <f>IF(J3133="","",J3133&amp;"|"&amp;E3133&amp;"|"&amp;F3133&amp;"|"&amp;I3133&amp;"|"&amp;O3133)</f>
        <v/>
      </c>
      <c r="T3133" s="15" t="str">
        <f>IF(OR(S3133="",D3133&lt;&gt;"Vastgesteld"),"",_xlfn.MAXIFS($G$6:$G$5005,$S$6:$S$5005,S3133,$D$6:$D$5005,"Vastgesteld"))</f>
        <v/>
      </c>
      <c r="U3133" s="15">
        <f>IF(T3133="",0,IF(AND(G3133=T3133,COUNTIFS($S$6:S3133,S3133,$G$6:G3133,G3133,$D$6:D3133,"Vastgesteld")=1),1,0))</f>
        <v>0</v>
      </c>
      <c r="V3133" s="15">
        <f>IF(T3133="",0,IF(AND(G3133=T3133,COUNTIFS($S$6:S3133,S3133,$G$6:G3133,G3133,$D$6:D3133,"Vastgesteld")&gt;1),1,0))</f>
        <v>0</v>
      </c>
    </row>
    <row r="3134">
      <c r="S3134" s="15" t="str">
        <f>IF(J3134="","",J3134&amp;"|"&amp;E3134&amp;"|"&amp;F3134&amp;"|"&amp;I3134&amp;"|"&amp;O3134)</f>
        <v/>
      </c>
      <c r="T3134" s="15" t="str">
        <f>IF(OR(S3134="",D3134&lt;&gt;"Vastgesteld"),"",_xlfn.MAXIFS($G$6:$G$5005,$S$6:$S$5005,S3134,$D$6:$D$5005,"Vastgesteld"))</f>
        <v/>
      </c>
      <c r="U3134" s="15">
        <f>IF(T3134="",0,IF(AND(G3134=T3134,COUNTIFS($S$6:S3134,S3134,$G$6:G3134,G3134,$D$6:D3134,"Vastgesteld")=1),1,0))</f>
        <v>0</v>
      </c>
      <c r="V3134" s="15">
        <f>IF(T3134="",0,IF(AND(G3134=T3134,COUNTIFS($S$6:S3134,S3134,$G$6:G3134,G3134,$D$6:D3134,"Vastgesteld")&gt;1),1,0))</f>
        <v>0</v>
      </c>
    </row>
    <row r="3135">
      <c r="S3135" s="15" t="str">
        <f>IF(J3135="","",J3135&amp;"|"&amp;E3135&amp;"|"&amp;F3135&amp;"|"&amp;I3135&amp;"|"&amp;O3135)</f>
        <v/>
      </c>
      <c r="T3135" s="15" t="str">
        <f>IF(OR(S3135="",D3135&lt;&gt;"Vastgesteld"),"",_xlfn.MAXIFS($G$6:$G$5005,$S$6:$S$5005,S3135,$D$6:$D$5005,"Vastgesteld"))</f>
        <v/>
      </c>
      <c r="U3135" s="15">
        <f>IF(T3135="",0,IF(AND(G3135=T3135,COUNTIFS($S$6:S3135,S3135,$G$6:G3135,G3135,$D$6:D3135,"Vastgesteld")=1),1,0))</f>
        <v>0</v>
      </c>
      <c r="V3135" s="15">
        <f>IF(T3135="",0,IF(AND(G3135=T3135,COUNTIFS($S$6:S3135,S3135,$G$6:G3135,G3135,$D$6:D3135,"Vastgesteld")&gt;1),1,0))</f>
        <v>0</v>
      </c>
    </row>
    <row r="3136">
      <c r="S3136" s="15" t="str">
        <f>IF(J3136="","",J3136&amp;"|"&amp;E3136&amp;"|"&amp;F3136&amp;"|"&amp;I3136&amp;"|"&amp;O3136)</f>
        <v/>
      </c>
      <c r="T3136" s="15" t="str">
        <f>IF(OR(S3136="",D3136&lt;&gt;"Vastgesteld"),"",_xlfn.MAXIFS($G$6:$G$5005,$S$6:$S$5005,S3136,$D$6:$D$5005,"Vastgesteld"))</f>
        <v/>
      </c>
      <c r="U3136" s="15">
        <f>IF(T3136="",0,IF(AND(G3136=T3136,COUNTIFS($S$6:S3136,S3136,$G$6:G3136,G3136,$D$6:D3136,"Vastgesteld")=1),1,0))</f>
        <v>0</v>
      </c>
      <c r="V3136" s="15">
        <f>IF(T3136="",0,IF(AND(G3136=T3136,COUNTIFS($S$6:S3136,S3136,$G$6:G3136,G3136,$D$6:D3136,"Vastgesteld")&gt;1),1,0))</f>
        <v>0</v>
      </c>
    </row>
    <row r="3137">
      <c r="S3137" s="15" t="str">
        <f>IF(J3137="","",J3137&amp;"|"&amp;E3137&amp;"|"&amp;F3137&amp;"|"&amp;I3137&amp;"|"&amp;O3137)</f>
        <v/>
      </c>
      <c r="T3137" s="15" t="str">
        <f>IF(OR(S3137="",D3137&lt;&gt;"Vastgesteld"),"",_xlfn.MAXIFS($G$6:$G$5005,$S$6:$S$5005,S3137,$D$6:$D$5005,"Vastgesteld"))</f>
        <v/>
      </c>
      <c r="U3137" s="15">
        <f>IF(T3137="",0,IF(AND(G3137=T3137,COUNTIFS($S$6:S3137,S3137,$G$6:G3137,G3137,$D$6:D3137,"Vastgesteld")=1),1,0))</f>
        <v>0</v>
      </c>
      <c r="V3137" s="15">
        <f>IF(T3137="",0,IF(AND(G3137=T3137,COUNTIFS($S$6:S3137,S3137,$G$6:G3137,G3137,$D$6:D3137,"Vastgesteld")&gt;1),1,0))</f>
        <v>0</v>
      </c>
    </row>
    <row r="3138">
      <c r="S3138" s="15" t="str">
        <f>IF(J3138="","",J3138&amp;"|"&amp;E3138&amp;"|"&amp;F3138&amp;"|"&amp;I3138&amp;"|"&amp;O3138)</f>
        <v/>
      </c>
      <c r="T3138" s="15" t="str">
        <f>IF(OR(S3138="",D3138&lt;&gt;"Vastgesteld"),"",_xlfn.MAXIFS($G$6:$G$5005,$S$6:$S$5005,S3138,$D$6:$D$5005,"Vastgesteld"))</f>
        <v/>
      </c>
      <c r="U3138" s="15">
        <f>IF(T3138="",0,IF(AND(G3138=T3138,COUNTIFS($S$6:S3138,S3138,$G$6:G3138,G3138,$D$6:D3138,"Vastgesteld")=1),1,0))</f>
        <v>0</v>
      </c>
      <c r="V3138" s="15">
        <f>IF(T3138="",0,IF(AND(G3138=T3138,COUNTIFS($S$6:S3138,S3138,$G$6:G3138,G3138,$D$6:D3138,"Vastgesteld")&gt;1),1,0))</f>
        <v>0</v>
      </c>
    </row>
    <row r="3139">
      <c r="S3139" s="15" t="str">
        <f>IF(J3139="","",J3139&amp;"|"&amp;E3139&amp;"|"&amp;F3139&amp;"|"&amp;I3139&amp;"|"&amp;O3139)</f>
        <v/>
      </c>
      <c r="T3139" s="15" t="str">
        <f>IF(OR(S3139="",D3139&lt;&gt;"Vastgesteld"),"",_xlfn.MAXIFS($G$6:$G$5005,$S$6:$S$5005,S3139,$D$6:$D$5005,"Vastgesteld"))</f>
        <v/>
      </c>
      <c r="U3139" s="15">
        <f>IF(T3139="",0,IF(AND(G3139=T3139,COUNTIFS($S$6:S3139,S3139,$G$6:G3139,G3139,$D$6:D3139,"Vastgesteld")=1),1,0))</f>
        <v>0</v>
      </c>
      <c r="V3139" s="15">
        <f>IF(T3139="",0,IF(AND(G3139=T3139,COUNTIFS($S$6:S3139,S3139,$G$6:G3139,G3139,$D$6:D3139,"Vastgesteld")&gt;1),1,0))</f>
        <v>0</v>
      </c>
    </row>
    <row r="3140">
      <c r="S3140" s="15" t="str">
        <f>IF(J3140="","",J3140&amp;"|"&amp;E3140&amp;"|"&amp;F3140&amp;"|"&amp;I3140&amp;"|"&amp;O3140)</f>
        <v/>
      </c>
      <c r="T3140" s="15" t="str">
        <f>IF(OR(S3140="",D3140&lt;&gt;"Vastgesteld"),"",_xlfn.MAXIFS($G$6:$G$5005,$S$6:$S$5005,S3140,$D$6:$D$5005,"Vastgesteld"))</f>
        <v/>
      </c>
      <c r="U3140" s="15">
        <f>IF(T3140="",0,IF(AND(G3140=T3140,COUNTIFS($S$6:S3140,S3140,$G$6:G3140,G3140,$D$6:D3140,"Vastgesteld")=1),1,0))</f>
        <v>0</v>
      </c>
      <c r="V3140" s="15">
        <f>IF(T3140="",0,IF(AND(G3140=T3140,COUNTIFS($S$6:S3140,S3140,$G$6:G3140,G3140,$D$6:D3140,"Vastgesteld")&gt;1),1,0))</f>
        <v>0</v>
      </c>
    </row>
    <row r="3141">
      <c r="S3141" s="15" t="str">
        <f>IF(J3141="","",J3141&amp;"|"&amp;E3141&amp;"|"&amp;F3141&amp;"|"&amp;I3141&amp;"|"&amp;O3141)</f>
        <v/>
      </c>
      <c r="T3141" s="15" t="str">
        <f>IF(OR(S3141="",D3141&lt;&gt;"Vastgesteld"),"",_xlfn.MAXIFS($G$6:$G$5005,$S$6:$S$5005,S3141,$D$6:$D$5005,"Vastgesteld"))</f>
        <v/>
      </c>
      <c r="U3141" s="15">
        <f>IF(T3141="",0,IF(AND(G3141=T3141,COUNTIFS($S$6:S3141,S3141,$G$6:G3141,G3141,$D$6:D3141,"Vastgesteld")=1),1,0))</f>
        <v>0</v>
      </c>
      <c r="V3141" s="15">
        <f>IF(T3141="",0,IF(AND(G3141=T3141,COUNTIFS($S$6:S3141,S3141,$G$6:G3141,G3141,$D$6:D3141,"Vastgesteld")&gt;1),1,0))</f>
        <v>0</v>
      </c>
    </row>
    <row r="3142">
      <c r="S3142" s="15" t="str">
        <f>IF(J3142="","",J3142&amp;"|"&amp;E3142&amp;"|"&amp;F3142&amp;"|"&amp;I3142&amp;"|"&amp;O3142)</f>
        <v/>
      </c>
      <c r="T3142" s="15" t="str">
        <f>IF(OR(S3142="",D3142&lt;&gt;"Vastgesteld"),"",_xlfn.MAXIFS($G$6:$G$5005,$S$6:$S$5005,S3142,$D$6:$D$5005,"Vastgesteld"))</f>
        <v/>
      </c>
      <c r="U3142" s="15">
        <f>IF(T3142="",0,IF(AND(G3142=T3142,COUNTIFS($S$6:S3142,S3142,$G$6:G3142,G3142,$D$6:D3142,"Vastgesteld")=1),1,0))</f>
        <v>0</v>
      </c>
      <c r="V3142" s="15">
        <f>IF(T3142="",0,IF(AND(G3142=T3142,COUNTIFS($S$6:S3142,S3142,$G$6:G3142,G3142,$D$6:D3142,"Vastgesteld")&gt;1),1,0))</f>
        <v>0</v>
      </c>
    </row>
    <row r="3143">
      <c r="S3143" s="15" t="str">
        <f>IF(J3143="","",J3143&amp;"|"&amp;E3143&amp;"|"&amp;F3143&amp;"|"&amp;I3143&amp;"|"&amp;O3143)</f>
        <v/>
      </c>
      <c r="T3143" s="15" t="str">
        <f>IF(OR(S3143="",D3143&lt;&gt;"Vastgesteld"),"",_xlfn.MAXIFS($G$6:$G$5005,$S$6:$S$5005,S3143,$D$6:$D$5005,"Vastgesteld"))</f>
        <v/>
      </c>
      <c r="U3143" s="15">
        <f>IF(T3143="",0,IF(AND(G3143=T3143,COUNTIFS($S$6:S3143,S3143,$G$6:G3143,G3143,$D$6:D3143,"Vastgesteld")=1),1,0))</f>
        <v>0</v>
      </c>
      <c r="V3143" s="15">
        <f>IF(T3143="",0,IF(AND(G3143=T3143,COUNTIFS($S$6:S3143,S3143,$G$6:G3143,G3143,$D$6:D3143,"Vastgesteld")&gt;1),1,0))</f>
        <v>0</v>
      </c>
    </row>
    <row r="3144">
      <c r="S3144" s="15" t="str">
        <f>IF(J3144="","",J3144&amp;"|"&amp;E3144&amp;"|"&amp;F3144&amp;"|"&amp;I3144&amp;"|"&amp;O3144)</f>
        <v/>
      </c>
      <c r="T3144" s="15" t="str">
        <f>IF(OR(S3144="",D3144&lt;&gt;"Vastgesteld"),"",_xlfn.MAXIFS($G$6:$G$5005,$S$6:$S$5005,S3144,$D$6:$D$5005,"Vastgesteld"))</f>
        <v/>
      </c>
      <c r="U3144" s="15">
        <f>IF(T3144="",0,IF(AND(G3144=T3144,COUNTIFS($S$6:S3144,S3144,$G$6:G3144,G3144,$D$6:D3144,"Vastgesteld")=1),1,0))</f>
        <v>0</v>
      </c>
      <c r="V3144" s="15">
        <f>IF(T3144="",0,IF(AND(G3144=T3144,COUNTIFS($S$6:S3144,S3144,$G$6:G3144,G3144,$D$6:D3144,"Vastgesteld")&gt;1),1,0))</f>
        <v>0</v>
      </c>
    </row>
    <row r="3145">
      <c r="S3145" s="15" t="str">
        <f>IF(J3145="","",J3145&amp;"|"&amp;E3145&amp;"|"&amp;F3145&amp;"|"&amp;I3145&amp;"|"&amp;O3145)</f>
        <v/>
      </c>
      <c r="T3145" s="15" t="str">
        <f>IF(OR(S3145="",D3145&lt;&gt;"Vastgesteld"),"",_xlfn.MAXIFS($G$6:$G$5005,$S$6:$S$5005,S3145,$D$6:$D$5005,"Vastgesteld"))</f>
        <v/>
      </c>
      <c r="U3145" s="15">
        <f>IF(T3145="",0,IF(AND(G3145=T3145,COUNTIFS($S$6:S3145,S3145,$G$6:G3145,G3145,$D$6:D3145,"Vastgesteld")=1),1,0))</f>
        <v>0</v>
      </c>
      <c r="V3145" s="15">
        <f>IF(T3145="",0,IF(AND(G3145=T3145,COUNTIFS($S$6:S3145,S3145,$G$6:G3145,G3145,$D$6:D3145,"Vastgesteld")&gt;1),1,0))</f>
        <v>0</v>
      </c>
    </row>
    <row r="3146">
      <c r="S3146" s="15" t="str">
        <f>IF(J3146="","",J3146&amp;"|"&amp;E3146&amp;"|"&amp;F3146&amp;"|"&amp;I3146&amp;"|"&amp;O3146)</f>
        <v/>
      </c>
      <c r="T3146" s="15" t="str">
        <f>IF(OR(S3146="",D3146&lt;&gt;"Vastgesteld"),"",_xlfn.MAXIFS($G$6:$G$5005,$S$6:$S$5005,S3146,$D$6:$D$5005,"Vastgesteld"))</f>
        <v/>
      </c>
      <c r="U3146" s="15">
        <f>IF(T3146="",0,IF(AND(G3146=T3146,COUNTIFS($S$6:S3146,S3146,$G$6:G3146,G3146,$D$6:D3146,"Vastgesteld")=1),1,0))</f>
        <v>0</v>
      </c>
      <c r="V3146" s="15">
        <f>IF(T3146="",0,IF(AND(G3146=T3146,COUNTIFS($S$6:S3146,S3146,$G$6:G3146,G3146,$D$6:D3146,"Vastgesteld")&gt;1),1,0))</f>
        <v>0</v>
      </c>
    </row>
    <row r="3147">
      <c r="S3147" s="15" t="str">
        <f>IF(J3147="","",J3147&amp;"|"&amp;E3147&amp;"|"&amp;F3147&amp;"|"&amp;I3147&amp;"|"&amp;O3147)</f>
        <v/>
      </c>
      <c r="T3147" s="15" t="str">
        <f>IF(OR(S3147="",D3147&lt;&gt;"Vastgesteld"),"",_xlfn.MAXIFS($G$6:$G$5005,$S$6:$S$5005,S3147,$D$6:$D$5005,"Vastgesteld"))</f>
        <v/>
      </c>
      <c r="U3147" s="15">
        <f>IF(T3147="",0,IF(AND(G3147=T3147,COUNTIFS($S$6:S3147,S3147,$G$6:G3147,G3147,$D$6:D3147,"Vastgesteld")=1),1,0))</f>
        <v>0</v>
      </c>
      <c r="V3147" s="15">
        <f>IF(T3147="",0,IF(AND(G3147=T3147,COUNTIFS($S$6:S3147,S3147,$G$6:G3147,G3147,$D$6:D3147,"Vastgesteld")&gt;1),1,0))</f>
        <v>0</v>
      </c>
    </row>
    <row r="3148">
      <c r="S3148" s="15" t="str">
        <f>IF(J3148="","",J3148&amp;"|"&amp;E3148&amp;"|"&amp;F3148&amp;"|"&amp;I3148&amp;"|"&amp;O3148)</f>
        <v/>
      </c>
      <c r="T3148" s="15" t="str">
        <f>IF(OR(S3148="",D3148&lt;&gt;"Vastgesteld"),"",_xlfn.MAXIFS($G$6:$G$5005,$S$6:$S$5005,S3148,$D$6:$D$5005,"Vastgesteld"))</f>
        <v/>
      </c>
      <c r="U3148" s="15">
        <f>IF(T3148="",0,IF(AND(G3148=T3148,COUNTIFS($S$6:S3148,S3148,$G$6:G3148,G3148,$D$6:D3148,"Vastgesteld")=1),1,0))</f>
        <v>0</v>
      </c>
      <c r="V3148" s="15">
        <f>IF(T3148="",0,IF(AND(G3148=T3148,COUNTIFS($S$6:S3148,S3148,$G$6:G3148,G3148,$D$6:D3148,"Vastgesteld")&gt;1),1,0))</f>
        <v>0</v>
      </c>
    </row>
    <row r="3149">
      <c r="S3149" s="15" t="str">
        <f>IF(J3149="","",J3149&amp;"|"&amp;E3149&amp;"|"&amp;F3149&amp;"|"&amp;I3149&amp;"|"&amp;O3149)</f>
        <v/>
      </c>
      <c r="T3149" s="15" t="str">
        <f>IF(OR(S3149="",D3149&lt;&gt;"Vastgesteld"),"",_xlfn.MAXIFS($G$6:$G$5005,$S$6:$S$5005,S3149,$D$6:$D$5005,"Vastgesteld"))</f>
        <v/>
      </c>
      <c r="U3149" s="15">
        <f>IF(T3149="",0,IF(AND(G3149=T3149,COUNTIFS($S$6:S3149,S3149,$G$6:G3149,G3149,$D$6:D3149,"Vastgesteld")=1),1,0))</f>
        <v>0</v>
      </c>
      <c r="V3149" s="15">
        <f>IF(T3149="",0,IF(AND(G3149=T3149,COUNTIFS($S$6:S3149,S3149,$G$6:G3149,G3149,$D$6:D3149,"Vastgesteld")&gt;1),1,0))</f>
        <v>0</v>
      </c>
    </row>
    <row r="3150">
      <c r="S3150" s="15" t="str">
        <f>IF(J3150="","",J3150&amp;"|"&amp;E3150&amp;"|"&amp;F3150&amp;"|"&amp;I3150&amp;"|"&amp;O3150)</f>
        <v/>
      </c>
      <c r="T3150" s="15" t="str">
        <f>IF(OR(S3150="",D3150&lt;&gt;"Vastgesteld"),"",_xlfn.MAXIFS($G$6:$G$5005,$S$6:$S$5005,S3150,$D$6:$D$5005,"Vastgesteld"))</f>
        <v/>
      </c>
      <c r="U3150" s="15">
        <f>IF(T3150="",0,IF(AND(G3150=T3150,COUNTIFS($S$6:S3150,S3150,$G$6:G3150,G3150,$D$6:D3150,"Vastgesteld")=1),1,0))</f>
        <v>0</v>
      </c>
      <c r="V3150" s="15">
        <f>IF(T3150="",0,IF(AND(G3150=T3150,COUNTIFS($S$6:S3150,S3150,$G$6:G3150,G3150,$D$6:D3150,"Vastgesteld")&gt;1),1,0))</f>
        <v>0</v>
      </c>
    </row>
    <row r="3151">
      <c r="S3151" s="15" t="str">
        <f>IF(J3151="","",J3151&amp;"|"&amp;E3151&amp;"|"&amp;F3151&amp;"|"&amp;I3151&amp;"|"&amp;O3151)</f>
        <v/>
      </c>
      <c r="T3151" s="15" t="str">
        <f>IF(OR(S3151="",D3151&lt;&gt;"Vastgesteld"),"",_xlfn.MAXIFS($G$6:$G$5005,$S$6:$S$5005,S3151,$D$6:$D$5005,"Vastgesteld"))</f>
        <v/>
      </c>
      <c r="U3151" s="15">
        <f>IF(T3151="",0,IF(AND(G3151=T3151,COUNTIFS($S$6:S3151,S3151,$G$6:G3151,G3151,$D$6:D3151,"Vastgesteld")=1),1,0))</f>
        <v>0</v>
      </c>
      <c r="V3151" s="15">
        <f>IF(T3151="",0,IF(AND(G3151=T3151,COUNTIFS($S$6:S3151,S3151,$G$6:G3151,G3151,$D$6:D3151,"Vastgesteld")&gt;1),1,0))</f>
        <v>0</v>
      </c>
    </row>
    <row r="3152">
      <c r="S3152" s="15" t="str">
        <f>IF(J3152="","",J3152&amp;"|"&amp;E3152&amp;"|"&amp;F3152&amp;"|"&amp;I3152&amp;"|"&amp;O3152)</f>
        <v/>
      </c>
      <c r="T3152" s="15" t="str">
        <f>IF(OR(S3152="",D3152&lt;&gt;"Vastgesteld"),"",_xlfn.MAXIFS($G$6:$G$5005,$S$6:$S$5005,S3152,$D$6:$D$5005,"Vastgesteld"))</f>
        <v/>
      </c>
      <c r="U3152" s="15">
        <f>IF(T3152="",0,IF(AND(G3152=T3152,COUNTIFS($S$6:S3152,S3152,$G$6:G3152,G3152,$D$6:D3152,"Vastgesteld")=1),1,0))</f>
        <v>0</v>
      </c>
      <c r="V3152" s="15">
        <f>IF(T3152="",0,IF(AND(G3152=T3152,COUNTIFS($S$6:S3152,S3152,$G$6:G3152,G3152,$D$6:D3152,"Vastgesteld")&gt;1),1,0))</f>
        <v>0</v>
      </c>
    </row>
    <row r="3153">
      <c r="S3153" s="15" t="str">
        <f>IF(J3153="","",J3153&amp;"|"&amp;E3153&amp;"|"&amp;F3153&amp;"|"&amp;I3153&amp;"|"&amp;O3153)</f>
        <v/>
      </c>
      <c r="T3153" s="15" t="str">
        <f>IF(OR(S3153="",D3153&lt;&gt;"Vastgesteld"),"",_xlfn.MAXIFS($G$6:$G$5005,$S$6:$S$5005,S3153,$D$6:$D$5005,"Vastgesteld"))</f>
        <v/>
      </c>
      <c r="U3153" s="15">
        <f>IF(T3153="",0,IF(AND(G3153=T3153,COUNTIFS($S$6:S3153,S3153,$G$6:G3153,G3153,$D$6:D3153,"Vastgesteld")=1),1,0))</f>
        <v>0</v>
      </c>
      <c r="V3153" s="15">
        <f>IF(T3153="",0,IF(AND(G3153=T3153,COUNTIFS($S$6:S3153,S3153,$G$6:G3153,G3153,$D$6:D3153,"Vastgesteld")&gt;1),1,0))</f>
        <v>0</v>
      </c>
    </row>
    <row r="3154">
      <c r="S3154" s="15" t="str">
        <f>IF(J3154="","",J3154&amp;"|"&amp;E3154&amp;"|"&amp;F3154&amp;"|"&amp;I3154&amp;"|"&amp;O3154)</f>
        <v/>
      </c>
      <c r="T3154" s="15" t="str">
        <f>IF(OR(S3154="",D3154&lt;&gt;"Vastgesteld"),"",_xlfn.MAXIFS($G$6:$G$5005,$S$6:$S$5005,S3154,$D$6:$D$5005,"Vastgesteld"))</f>
        <v/>
      </c>
      <c r="U3154" s="15">
        <f>IF(T3154="",0,IF(AND(G3154=T3154,COUNTIFS($S$6:S3154,S3154,$G$6:G3154,G3154,$D$6:D3154,"Vastgesteld")=1),1,0))</f>
        <v>0</v>
      </c>
      <c r="V3154" s="15">
        <f>IF(T3154="",0,IF(AND(G3154=T3154,COUNTIFS($S$6:S3154,S3154,$G$6:G3154,G3154,$D$6:D3154,"Vastgesteld")&gt;1),1,0))</f>
        <v>0</v>
      </c>
    </row>
    <row r="3155">
      <c r="S3155" s="15" t="str">
        <f>IF(J3155="","",J3155&amp;"|"&amp;E3155&amp;"|"&amp;F3155&amp;"|"&amp;I3155&amp;"|"&amp;O3155)</f>
        <v/>
      </c>
      <c r="T3155" s="15" t="str">
        <f>IF(OR(S3155="",D3155&lt;&gt;"Vastgesteld"),"",_xlfn.MAXIFS($G$6:$G$5005,$S$6:$S$5005,S3155,$D$6:$D$5005,"Vastgesteld"))</f>
        <v/>
      </c>
      <c r="U3155" s="15">
        <f>IF(T3155="",0,IF(AND(G3155=T3155,COUNTIFS($S$6:S3155,S3155,$G$6:G3155,G3155,$D$6:D3155,"Vastgesteld")=1),1,0))</f>
        <v>0</v>
      </c>
      <c r="V3155" s="15">
        <f>IF(T3155="",0,IF(AND(G3155=T3155,COUNTIFS($S$6:S3155,S3155,$G$6:G3155,G3155,$D$6:D3155,"Vastgesteld")&gt;1),1,0))</f>
        <v>0</v>
      </c>
    </row>
    <row r="3156">
      <c r="S3156" s="15" t="str">
        <f>IF(J3156="","",J3156&amp;"|"&amp;E3156&amp;"|"&amp;F3156&amp;"|"&amp;I3156&amp;"|"&amp;O3156)</f>
        <v/>
      </c>
      <c r="T3156" s="15" t="str">
        <f>IF(OR(S3156="",D3156&lt;&gt;"Vastgesteld"),"",_xlfn.MAXIFS($G$6:$G$5005,$S$6:$S$5005,S3156,$D$6:$D$5005,"Vastgesteld"))</f>
        <v/>
      </c>
      <c r="U3156" s="15">
        <f>IF(T3156="",0,IF(AND(G3156=T3156,COUNTIFS($S$6:S3156,S3156,$G$6:G3156,G3156,$D$6:D3156,"Vastgesteld")=1),1,0))</f>
        <v>0</v>
      </c>
      <c r="V3156" s="15">
        <f>IF(T3156="",0,IF(AND(G3156=T3156,COUNTIFS($S$6:S3156,S3156,$G$6:G3156,G3156,$D$6:D3156,"Vastgesteld")&gt;1),1,0))</f>
        <v>0</v>
      </c>
    </row>
    <row r="3157">
      <c r="S3157" s="15" t="str">
        <f>IF(J3157="","",J3157&amp;"|"&amp;E3157&amp;"|"&amp;F3157&amp;"|"&amp;I3157&amp;"|"&amp;O3157)</f>
        <v/>
      </c>
      <c r="T3157" s="15" t="str">
        <f>IF(OR(S3157="",D3157&lt;&gt;"Vastgesteld"),"",_xlfn.MAXIFS($G$6:$G$5005,$S$6:$S$5005,S3157,$D$6:$D$5005,"Vastgesteld"))</f>
        <v/>
      </c>
      <c r="U3157" s="15">
        <f>IF(T3157="",0,IF(AND(G3157=T3157,COUNTIFS($S$6:S3157,S3157,$G$6:G3157,G3157,$D$6:D3157,"Vastgesteld")=1),1,0))</f>
        <v>0</v>
      </c>
      <c r="V3157" s="15">
        <f>IF(T3157="",0,IF(AND(G3157=T3157,COUNTIFS($S$6:S3157,S3157,$G$6:G3157,G3157,$D$6:D3157,"Vastgesteld")&gt;1),1,0))</f>
        <v>0</v>
      </c>
    </row>
    <row r="3158">
      <c r="S3158" s="15" t="str">
        <f>IF(J3158="","",J3158&amp;"|"&amp;E3158&amp;"|"&amp;F3158&amp;"|"&amp;I3158&amp;"|"&amp;O3158)</f>
        <v/>
      </c>
      <c r="T3158" s="15" t="str">
        <f>IF(OR(S3158="",D3158&lt;&gt;"Vastgesteld"),"",_xlfn.MAXIFS($G$6:$G$5005,$S$6:$S$5005,S3158,$D$6:$D$5005,"Vastgesteld"))</f>
        <v/>
      </c>
      <c r="U3158" s="15">
        <f>IF(T3158="",0,IF(AND(G3158=T3158,COUNTIFS($S$6:S3158,S3158,$G$6:G3158,G3158,$D$6:D3158,"Vastgesteld")=1),1,0))</f>
        <v>0</v>
      </c>
      <c r="V3158" s="15">
        <f>IF(T3158="",0,IF(AND(G3158=T3158,COUNTIFS($S$6:S3158,S3158,$G$6:G3158,G3158,$D$6:D3158,"Vastgesteld")&gt;1),1,0))</f>
        <v>0</v>
      </c>
    </row>
    <row r="3159">
      <c r="S3159" s="15" t="str">
        <f>IF(J3159="","",J3159&amp;"|"&amp;E3159&amp;"|"&amp;F3159&amp;"|"&amp;I3159&amp;"|"&amp;O3159)</f>
        <v/>
      </c>
      <c r="T3159" s="15" t="str">
        <f>IF(OR(S3159="",D3159&lt;&gt;"Vastgesteld"),"",_xlfn.MAXIFS($G$6:$G$5005,$S$6:$S$5005,S3159,$D$6:$D$5005,"Vastgesteld"))</f>
        <v/>
      </c>
      <c r="U3159" s="15">
        <f>IF(T3159="",0,IF(AND(G3159=T3159,COUNTIFS($S$6:S3159,S3159,$G$6:G3159,G3159,$D$6:D3159,"Vastgesteld")=1),1,0))</f>
        <v>0</v>
      </c>
      <c r="V3159" s="15">
        <f>IF(T3159="",0,IF(AND(G3159=T3159,COUNTIFS($S$6:S3159,S3159,$G$6:G3159,G3159,$D$6:D3159,"Vastgesteld")&gt;1),1,0))</f>
        <v>0</v>
      </c>
    </row>
    <row r="3160">
      <c r="S3160" s="15" t="str">
        <f>IF(J3160="","",J3160&amp;"|"&amp;E3160&amp;"|"&amp;F3160&amp;"|"&amp;I3160&amp;"|"&amp;O3160)</f>
        <v/>
      </c>
      <c r="T3160" s="15" t="str">
        <f>IF(OR(S3160="",D3160&lt;&gt;"Vastgesteld"),"",_xlfn.MAXIFS($G$6:$G$5005,$S$6:$S$5005,S3160,$D$6:$D$5005,"Vastgesteld"))</f>
        <v/>
      </c>
      <c r="U3160" s="15">
        <f>IF(T3160="",0,IF(AND(G3160=T3160,COUNTIFS($S$6:S3160,S3160,$G$6:G3160,G3160,$D$6:D3160,"Vastgesteld")=1),1,0))</f>
        <v>0</v>
      </c>
      <c r="V3160" s="15">
        <f>IF(T3160="",0,IF(AND(G3160=T3160,COUNTIFS($S$6:S3160,S3160,$G$6:G3160,G3160,$D$6:D3160,"Vastgesteld")&gt;1),1,0))</f>
        <v>0</v>
      </c>
    </row>
    <row r="3161">
      <c r="S3161" s="15" t="str">
        <f>IF(J3161="","",J3161&amp;"|"&amp;E3161&amp;"|"&amp;F3161&amp;"|"&amp;I3161&amp;"|"&amp;O3161)</f>
        <v/>
      </c>
      <c r="T3161" s="15" t="str">
        <f>IF(OR(S3161="",D3161&lt;&gt;"Vastgesteld"),"",_xlfn.MAXIFS($G$6:$G$5005,$S$6:$S$5005,S3161,$D$6:$D$5005,"Vastgesteld"))</f>
        <v/>
      </c>
      <c r="U3161" s="15">
        <f>IF(T3161="",0,IF(AND(G3161=T3161,COUNTIFS($S$6:S3161,S3161,$G$6:G3161,G3161,$D$6:D3161,"Vastgesteld")=1),1,0))</f>
        <v>0</v>
      </c>
      <c r="V3161" s="15">
        <f>IF(T3161="",0,IF(AND(G3161=T3161,COUNTIFS($S$6:S3161,S3161,$G$6:G3161,G3161,$D$6:D3161,"Vastgesteld")&gt;1),1,0))</f>
        <v>0</v>
      </c>
    </row>
    <row r="3162">
      <c r="S3162" s="15" t="str">
        <f>IF(J3162="","",J3162&amp;"|"&amp;E3162&amp;"|"&amp;F3162&amp;"|"&amp;I3162&amp;"|"&amp;O3162)</f>
        <v/>
      </c>
      <c r="T3162" s="15" t="str">
        <f>IF(OR(S3162="",D3162&lt;&gt;"Vastgesteld"),"",_xlfn.MAXIFS($G$6:$G$5005,$S$6:$S$5005,S3162,$D$6:$D$5005,"Vastgesteld"))</f>
        <v/>
      </c>
      <c r="U3162" s="15">
        <f>IF(T3162="",0,IF(AND(G3162=T3162,COUNTIFS($S$6:S3162,S3162,$G$6:G3162,G3162,$D$6:D3162,"Vastgesteld")=1),1,0))</f>
        <v>0</v>
      </c>
      <c r="V3162" s="15">
        <f>IF(T3162="",0,IF(AND(G3162=T3162,COUNTIFS($S$6:S3162,S3162,$G$6:G3162,G3162,$D$6:D3162,"Vastgesteld")&gt;1),1,0))</f>
        <v>0</v>
      </c>
    </row>
    <row r="3163">
      <c r="S3163" s="15" t="str">
        <f>IF(J3163="","",J3163&amp;"|"&amp;E3163&amp;"|"&amp;F3163&amp;"|"&amp;I3163&amp;"|"&amp;O3163)</f>
        <v/>
      </c>
      <c r="T3163" s="15" t="str">
        <f>IF(OR(S3163="",D3163&lt;&gt;"Vastgesteld"),"",_xlfn.MAXIFS($G$6:$G$5005,$S$6:$S$5005,S3163,$D$6:$D$5005,"Vastgesteld"))</f>
        <v/>
      </c>
      <c r="U3163" s="15">
        <f>IF(T3163="",0,IF(AND(G3163=T3163,COUNTIFS($S$6:S3163,S3163,$G$6:G3163,G3163,$D$6:D3163,"Vastgesteld")=1),1,0))</f>
        <v>0</v>
      </c>
      <c r="V3163" s="15">
        <f>IF(T3163="",0,IF(AND(G3163=T3163,COUNTIFS($S$6:S3163,S3163,$G$6:G3163,G3163,$D$6:D3163,"Vastgesteld")&gt;1),1,0))</f>
        <v>0</v>
      </c>
    </row>
    <row r="3164">
      <c r="S3164" s="15" t="str">
        <f>IF(J3164="","",J3164&amp;"|"&amp;E3164&amp;"|"&amp;F3164&amp;"|"&amp;I3164&amp;"|"&amp;O3164)</f>
        <v/>
      </c>
      <c r="T3164" s="15" t="str">
        <f>IF(OR(S3164="",D3164&lt;&gt;"Vastgesteld"),"",_xlfn.MAXIFS($G$6:$G$5005,$S$6:$S$5005,S3164,$D$6:$D$5005,"Vastgesteld"))</f>
        <v/>
      </c>
      <c r="U3164" s="15">
        <f>IF(T3164="",0,IF(AND(G3164=T3164,COUNTIFS($S$6:S3164,S3164,$G$6:G3164,G3164,$D$6:D3164,"Vastgesteld")=1),1,0))</f>
        <v>0</v>
      </c>
      <c r="V3164" s="15">
        <f>IF(T3164="",0,IF(AND(G3164=T3164,COUNTIFS($S$6:S3164,S3164,$G$6:G3164,G3164,$D$6:D3164,"Vastgesteld")&gt;1),1,0))</f>
        <v>0</v>
      </c>
    </row>
    <row r="3165">
      <c r="S3165" s="15" t="str">
        <f>IF(J3165="","",J3165&amp;"|"&amp;E3165&amp;"|"&amp;F3165&amp;"|"&amp;I3165&amp;"|"&amp;O3165)</f>
        <v/>
      </c>
      <c r="T3165" s="15" t="str">
        <f>IF(OR(S3165="",D3165&lt;&gt;"Vastgesteld"),"",_xlfn.MAXIFS($G$6:$G$5005,$S$6:$S$5005,S3165,$D$6:$D$5005,"Vastgesteld"))</f>
        <v/>
      </c>
      <c r="U3165" s="15">
        <f>IF(T3165="",0,IF(AND(G3165=T3165,COUNTIFS($S$6:S3165,S3165,$G$6:G3165,G3165,$D$6:D3165,"Vastgesteld")=1),1,0))</f>
        <v>0</v>
      </c>
      <c r="V3165" s="15">
        <f>IF(T3165="",0,IF(AND(G3165=T3165,COUNTIFS($S$6:S3165,S3165,$G$6:G3165,G3165,$D$6:D3165,"Vastgesteld")&gt;1),1,0))</f>
        <v>0</v>
      </c>
    </row>
    <row r="3166">
      <c r="S3166" s="15" t="str">
        <f>IF(J3166="","",J3166&amp;"|"&amp;E3166&amp;"|"&amp;F3166&amp;"|"&amp;I3166&amp;"|"&amp;O3166)</f>
        <v/>
      </c>
      <c r="T3166" s="15" t="str">
        <f>IF(OR(S3166="",D3166&lt;&gt;"Vastgesteld"),"",_xlfn.MAXIFS($G$6:$G$5005,$S$6:$S$5005,S3166,$D$6:$D$5005,"Vastgesteld"))</f>
        <v/>
      </c>
      <c r="U3166" s="15">
        <f>IF(T3166="",0,IF(AND(G3166=T3166,COUNTIFS($S$6:S3166,S3166,$G$6:G3166,G3166,$D$6:D3166,"Vastgesteld")=1),1,0))</f>
        <v>0</v>
      </c>
      <c r="V3166" s="15">
        <f>IF(T3166="",0,IF(AND(G3166=T3166,COUNTIFS($S$6:S3166,S3166,$G$6:G3166,G3166,$D$6:D3166,"Vastgesteld")&gt;1),1,0))</f>
        <v>0</v>
      </c>
    </row>
    <row r="3167">
      <c r="S3167" s="15" t="str">
        <f>IF(J3167="","",J3167&amp;"|"&amp;E3167&amp;"|"&amp;F3167&amp;"|"&amp;I3167&amp;"|"&amp;O3167)</f>
        <v/>
      </c>
      <c r="T3167" s="15" t="str">
        <f>IF(OR(S3167="",D3167&lt;&gt;"Vastgesteld"),"",_xlfn.MAXIFS($G$6:$G$5005,$S$6:$S$5005,S3167,$D$6:$D$5005,"Vastgesteld"))</f>
        <v/>
      </c>
      <c r="U3167" s="15">
        <f>IF(T3167="",0,IF(AND(G3167=T3167,COUNTIFS($S$6:S3167,S3167,$G$6:G3167,G3167,$D$6:D3167,"Vastgesteld")=1),1,0))</f>
        <v>0</v>
      </c>
      <c r="V3167" s="15">
        <f>IF(T3167="",0,IF(AND(G3167=T3167,COUNTIFS($S$6:S3167,S3167,$G$6:G3167,G3167,$D$6:D3167,"Vastgesteld")&gt;1),1,0))</f>
        <v>0</v>
      </c>
    </row>
    <row r="3168">
      <c r="S3168" s="15" t="str">
        <f>IF(J3168="","",J3168&amp;"|"&amp;E3168&amp;"|"&amp;F3168&amp;"|"&amp;I3168&amp;"|"&amp;O3168)</f>
        <v/>
      </c>
      <c r="T3168" s="15" t="str">
        <f>IF(OR(S3168="",D3168&lt;&gt;"Vastgesteld"),"",_xlfn.MAXIFS($G$6:$G$5005,$S$6:$S$5005,S3168,$D$6:$D$5005,"Vastgesteld"))</f>
        <v/>
      </c>
      <c r="U3168" s="15">
        <f>IF(T3168="",0,IF(AND(G3168=T3168,COUNTIFS($S$6:S3168,S3168,$G$6:G3168,G3168,$D$6:D3168,"Vastgesteld")=1),1,0))</f>
        <v>0</v>
      </c>
      <c r="V3168" s="15">
        <f>IF(T3168="",0,IF(AND(G3168=T3168,COUNTIFS($S$6:S3168,S3168,$G$6:G3168,G3168,$D$6:D3168,"Vastgesteld")&gt;1),1,0))</f>
        <v>0</v>
      </c>
    </row>
    <row r="3169">
      <c r="S3169" s="15" t="str">
        <f>IF(J3169="","",J3169&amp;"|"&amp;E3169&amp;"|"&amp;F3169&amp;"|"&amp;I3169&amp;"|"&amp;O3169)</f>
        <v/>
      </c>
      <c r="T3169" s="15" t="str">
        <f>IF(OR(S3169="",D3169&lt;&gt;"Vastgesteld"),"",_xlfn.MAXIFS($G$6:$G$5005,$S$6:$S$5005,S3169,$D$6:$D$5005,"Vastgesteld"))</f>
        <v/>
      </c>
      <c r="U3169" s="15">
        <f>IF(T3169="",0,IF(AND(G3169=T3169,COUNTIFS($S$6:S3169,S3169,$G$6:G3169,G3169,$D$6:D3169,"Vastgesteld")=1),1,0))</f>
        <v>0</v>
      </c>
      <c r="V3169" s="15">
        <f>IF(T3169="",0,IF(AND(G3169=T3169,COUNTIFS($S$6:S3169,S3169,$G$6:G3169,G3169,$D$6:D3169,"Vastgesteld")&gt;1),1,0))</f>
        <v>0</v>
      </c>
    </row>
    <row r="3170">
      <c r="S3170" s="15" t="str">
        <f>IF(J3170="","",J3170&amp;"|"&amp;E3170&amp;"|"&amp;F3170&amp;"|"&amp;I3170&amp;"|"&amp;O3170)</f>
        <v/>
      </c>
      <c r="T3170" s="15" t="str">
        <f>IF(OR(S3170="",D3170&lt;&gt;"Vastgesteld"),"",_xlfn.MAXIFS($G$6:$G$5005,$S$6:$S$5005,S3170,$D$6:$D$5005,"Vastgesteld"))</f>
        <v/>
      </c>
      <c r="U3170" s="15">
        <f>IF(T3170="",0,IF(AND(G3170=T3170,COUNTIFS($S$6:S3170,S3170,$G$6:G3170,G3170,$D$6:D3170,"Vastgesteld")=1),1,0))</f>
        <v>0</v>
      </c>
      <c r="V3170" s="15">
        <f>IF(T3170="",0,IF(AND(G3170=T3170,COUNTIFS($S$6:S3170,S3170,$G$6:G3170,G3170,$D$6:D3170,"Vastgesteld")&gt;1),1,0))</f>
        <v>0</v>
      </c>
    </row>
    <row r="3171">
      <c r="S3171" s="15" t="str">
        <f>IF(J3171="","",J3171&amp;"|"&amp;E3171&amp;"|"&amp;F3171&amp;"|"&amp;I3171&amp;"|"&amp;O3171)</f>
        <v/>
      </c>
      <c r="T3171" s="15" t="str">
        <f>IF(OR(S3171="",D3171&lt;&gt;"Vastgesteld"),"",_xlfn.MAXIFS($G$6:$G$5005,$S$6:$S$5005,S3171,$D$6:$D$5005,"Vastgesteld"))</f>
        <v/>
      </c>
      <c r="U3171" s="15">
        <f>IF(T3171="",0,IF(AND(G3171=T3171,COUNTIFS($S$6:S3171,S3171,$G$6:G3171,G3171,$D$6:D3171,"Vastgesteld")=1),1,0))</f>
        <v>0</v>
      </c>
      <c r="V3171" s="15">
        <f>IF(T3171="",0,IF(AND(G3171=T3171,COUNTIFS($S$6:S3171,S3171,$G$6:G3171,G3171,$D$6:D3171,"Vastgesteld")&gt;1),1,0))</f>
        <v>0</v>
      </c>
    </row>
    <row r="3172">
      <c r="S3172" s="15" t="str">
        <f>IF(J3172="","",J3172&amp;"|"&amp;E3172&amp;"|"&amp;F3172&amp;"|"&amp;I3172&amp;"|"&amp;O3172)</f>
        <v/>
      </c>
      <c r="T3172" s="15" t="str">
        <f>IF(OR(S3172="",D3172&lt;&gt;"Vastgesteld"),"",_xlfn.MAXIFS($G$6:$G$5005,$S$6:$S$5005,S3172,$D$6:$D$5005,"Vastgesteld"))</f>
        <v/>
      </c>
      <c r="U3172" s="15">
        <f>IF(T3172="",0,IF(AND(G3172=T3172,COUNTIFS($S$6:S3172,S3172,$G$6:G3172,G3172,$D$6:D3172,"Vastgesteld")=1),1,0))</f>
        <v>0</v>
      </c>
      <c r="V3172" s="15">
        <f>IF(T3172="",0,IF(AND(G3172=T3172,COUNTIFS($S$6:S3172,S3172,$G$6:G3172,G3172,$D$6:D3172,"Vastgesteld")&gt;1),1,0))</f>
        <v>0</v>
      </c>
    </row>
    <row r="3173">
      <c r="S3173" s="15" t="str">
        <f>IF(J3173="","",J3173&amp;"|"&amp;E3173&amp;"|"&amp;F3173&amp;"|"&amp;I3173&amp;"|"&amp;O3173)</f>
        <v/>
      </c>
      <c r="T3173" s="15" t="str">
        <f>IF(OR(S3173="",D3173&lt;&gt;"Vastgesteld"),"",_xlfn.MAXIFS($G$6:$G$5005,$S$6:$S$5005,S3173,$D$6:$D$5005,"Vastgesteld"))</f>
        <v/>
      </c>
      <c r="U3173" s="15">
        <f>IF(T3173="",0,IF(AND(G3173=T3173,COUNTIFS($S$6:S3173,S3173,$G$6:G3173,G3173,$D$6:D3173,"Vastgesteld")=1),1,0))</f>
        <v>0</v>
      </c>
      <c r="V3173" s="15">
        <f>IF(T3173="",0,IF(AND(G3173=T3173,COUNTIFS($S$6:S3173,S3173,$G$6:G3173,G3173,$D$6:D3173,"Vastgesteld")&gt;1),1,0))</f>
        <v>0</v>
      </c>
    </row>
    <row r="3174">
      <c r="S3174" s="15" t="str">
        <f>IF(J3174="","",J3174&amp;"|"&amp;E3174&amp;"|"&amp;F3174&amp;"|"&amp;I3174&amp;"|"&amp;O3174)</f>
        <v/>
      </c>
      <c r="T3174" s="15" t="str">
        <f>IF(OR(S3174="",D3174&lt;&gt;"Vastgesteld"),"",_xlfn.MAXIFS($G$6:$G$5005,$S$6:$S$5005,S3174,$D$6:$D$5005,"Vastgesteld"))</f>
        <v/>
      </c>
      <c r="U3174" s="15">
        <f>IF(T3174="",0,IF(AND(G3174=T3174,COUNTIFS($S$6:S3174,S3174,$G$6:G3174,G3174,$D$6:D3174,"Vastgesteld")=1),1,0))</f>
        <v>0</v>
      </c>
      <c r="V3174" s="15">
        <f>IF(T3174="",0,IF(AND(G3174=T3174,COUNTIFS($S$6:S3174,S3174,$G$6:G3174,G3174,$D$6:D3174,"Vastgesteld")&gt;1),1,0))</f>
        <v>0</v>
      </c>
    </row>
    <row r="3175">
      <c r="S3175" s="15" t="str">
        <f>IF(J3175="","",J3175&amp;"|"&amp;E3175&amp;"|"&amp;F3175&amp;"|"&amp;I3175&amp;"|"&amp;O3175)</f>
        <v/>
      </c>
      <c r="T3175" s="15" t="str">
        <f>IF(OR(S3175="",D3175&lt;&gt;"Vastgesteld"),"",_xlfn.MAXIFS($G$6:$G$5005,$S$6:$S$5005,S3175,$D$6:$D$5005,"Vastgesteld"))</f>
        <v/>
      </c>
      <c r="U3175" s="15">
        <f>IF(T3175="",0,IF(AND(G3175=T3175,COUNTIFS($S$6:S3175,S3175,$G$6:G3175,G3175,$D$6:D3175,"Vastgesteld")=1),1,0))</f>
        <v>0</v>
      </c>
      <c r="V3175" s="15">
        <f>IF(T3175="",0,IF(AND(G3175=T3175,COUNTIFS($S$6:S3175,S3175,$G$6:G3175,G3175,$D$6:D3175,"Vastgesteld")&gt;1),1,0))</f>
        <v>0</v>
      </c>
    </row>
    <row r="3176">
      <c r="S3176" s="15" t="str">
        <f>IF(J3176="","",J3176&amp;"|"&amp;E3176&amp;"|"&amp;F3176&amp;"|"&amp;I3176&amp;"|"&amp;O3176)</f>
        <v/>
      </c>
      <c r="T3176" s="15" t="str">
        <f>IF(OR(S3176="",D3176&lt;&gt;"Vastgesteld"),"",_xlfn.MAXIFS($G$6:$G$5005,$S$6:$S$5005,S3176,$D$6:$D$5005,"Vastgesteld"))</f>
        <v/>
      </c>
      <c r="U3176" s="15">
        <f>IF(T3176="",0,IF(AND(G3176=T3176,COUNTIFS($S$6:S3176,S3176,$G$6:G3176,G3176,$D$6:D3176,"Vastgesteld")=1),1,0))</f>
        <v>0</v>
      </c>
      <c r="V3176" s="15">
        <f>IF(T3176="",0,IF(AND(G3176=T3176,COUNTIFS($S$6:S3176,S3176,$G$6:G3176,G3176,$D$6:D3176,"Vastgesteld")&gt;1),1,0))</f>
        <v>0</v>
      </c>
    </row>
    <row r="3177">
      <c r="S3177" s="15" t="str">
        <f>IF(J3177="","",J3177&amp;"|"&amp;E3177&amp;"|"&amp;F3177&amp;"|"&amp;I3177&amp;"|"&amp;O3177)</f>
        <v/>
      </c>
      <c r="T3177" s="15" t="str">
        <f>IF(OR(S3177="",D3177&lt;&gt;"Vastgesteld"),"",_xlfn.MAXIFS($G$6:$G$5005,$S$6:$S$5005,S3177,$D$6:$D$5005,"Vastgesteld"))</f>
        <v/>
      </c>
      <c r="U3177" s="15">
        <f>IF(T3177="",0,IF(AND(G3177=T3177,COUNTIFS($S$6:S3177,S3177,$G$6:G3177,G3177,$D$6:D3177,"Vastgesteld")=1),1,0))</f>
        <v>0</v>
      </c>
      <c r="V3177" s="15">
        <f>IF(T3177="",0,IF(AND(G3177=T3177,COUNTIFS($S$6:S3177,S3177,$G$6:G3177,G3177,$D$6:D3177,"Vastgesteld")&gt;1),1,0))</f>
        <v>0</v>
      </c>
    </row>
    <row r="3178">
      <c r="S3178" s="15" t="str">
        <f>IF(J3178="","",J3178&amp;"|"&amp;E3178&amp;"|"&amp;F3178&amp;"|"&amp;I3178&amp;"|"&amp;O3178)</f>
        <v/>
      </c>
      <c r="T3178" s="15" t="str">
        <f>IF(OR(S3178="",D3178&lt;&gt;"Vastgesteld"),"",_xlfn.MAXIFS($G$6:$G$5005,$S$6:$S$5005,S3178,$D$6:$D$5005,"Vastgesteld"))</f>
        <v/>
      </c>
      <c r="U3178" s="15">
        <f>IF(T3178="",0,IF(AND(G3178=T3178,COUNTIFS($S$6:S3178,S3178,$G$6:G3178,G3178,$D$6:D3178,"Vastgesteld")=1),1,0))</f>
        <v>0</v>
      </c>
      <c r="V3178" s="15">
        <f>IF(T3178="",0,IF(AND(G3178=T3178,COUNTIFS($S$6:S3178,S3178,$G$6:G3178,G3178,$D$6:D3178,"Vastgesteld")&gt;1),1,0))</f>
        <v>0</v>
      </c>
    </row>
    <row r="3179">
      <c r="S3179" s="15" t="str">
        <f>IF(J3179="","",J3179&amp;"|"&amp;E3179&amp;"|"&amp;F3179&amp;"|"&amp;I3179&amp;"|"&amp;O3179)</f>
        <v/>
      </c>
      <c r="T3179" s="15" t="str">
        <f>IF(OR(S3179="",D3179&lt;&gt;"Vastgesteld"),"",_xlfn.MAXIFS($G$6:$G$5005,$S$6:$S$5005,S3179,$D$6:$D$5005,"Vastgesteld"))</f>
        <v/>
      </c>
      <c r="U3179" s="15">
        <f>IF(T3179="",0,IF(AND(G3179=T3179,COUNTIFS($S$6:S3179,S3179,$G$6:G3179,G3179,$D$6:D3179,"Vastgesteld")=1),1,0))</f>
        <v>0</v>
      </c>
      <c r="V3179" s="15">
        <f>IF(T3179="",0,IF(AND(G3179=T3179,COUNTIFS($S$6:S3179,S3179,$G$6:G3179,G3179,$D$6:D3179,"Vastgesteld")&gt;1),1,0))</f>
        <v>0</v>
      </c>
    </row>
    <row r="3180">
      <c r="S3180" s="15" t="str">
        <f>IF(J3180="","",J3180&amp;"|"&amp;E3180&amp;"|"&amp;F3180&amp;"|"&amp;I3180&amp;"|"&amp;O3180)</f>
        <v/>
      </c>
      <c r="T3180" s="15" t="str">
        <f>IF(OR(S3180="",D3180&lt;&gt;"Vastgesteld"),"",_xlfn.MAXIFS($G$6:$G$5005,$S$6:$S$5005,S3180,$D$6:$D$5005,"Vastgesteld"))</f>
        <v/>
      </c>
      <c r="U3180" s="15">
        <f>IF(T3180="",0,IF(AND(G3180=T3180,COUNTIFS($S$6:S3180,S3180,$G$6:G3180,G3180,$D$6:D3180,"Vastgesteld")=1),1,0))</f>
        <v>0</v>
      </c>
      <c r="V3180" s="15">
        <f>IF(T3180="",0,IF(AND(G3180=T3180,COUNTIFS($S$6:S3180,S3180,$G$6:G3180,G3180,$D$6:D3180,"Vastgesteld")&gt;1),1,0))</f>
        <v>0</v>
      </c>
    </row>
    <row r="3181">
      <c r="S3181" s="15" t="str">
        <f>IF(J3181="","",J3181&amp;"|"&amp;E3181&amp;"|"&amp;F3181&amp;"|"&amp;I3181&amp;"|"&amp;O3181)</f>
        <v/>
      </c>
      <c r="T3181" s="15" t="str">
        <f>IF(OR(S3181="",D3181&lt;&gt;"Vastgesteld"),"",_xlfn.MAXIFS($G$6:$G$5005,$S$6:$S$5005,S3181,$D$6:$D$5005,"Vastgesteld"))</f>
        <v/>
      </c>
      <c r="U3181" s="15">
        <f>IF(T3181="",0,IF(AND(G3181=T3181,COUNTIFS($S$6:S3181,S3181,$G$6:G3181,G3181,$D$6:D3181,"Vastgesteld")=1),1,0))</f>
        <v>0</v>
      </c>
      <c r="V3181" s="15">
        <f>IF(T3181="",0,IF(AND(G3181=T3181,COUNTIFS($S$6:S3181,S3181,$G$6:G3181,G3181,$D$6:D3181,"Vastgesteld")&gt;1),1,0))</f>
        <v>0</v>
      </c>
    </row>
    <row r="3182">
      <c r="S3182" s="15" t="str">
        <f>IF(J3182="","",J3182&amp;"|"&amp;E3182&amp;"|"&amp;F3182&amp;"|"&amp;I3182&amp;"|"&amp;O3182)</f>
        <v/>
      </c>
      <c r="T3182" s="15" t="str">
        <f>IF(OR(S3182="",D3182&lt;&gt;"Vastgesteld"),"",_xlfn.MAXIFS($G$6:$G$5005,$S$6:$S$5005,S3182,$D$6:$D$5005,"Vastgesteld"))</f>
        <v/>
      </c>
      <c r="U3182" s="15">
        <f>IF(T3182="",0,IF(AND(G3182=T3182,COUNTIFS($S$6:S3182,S3182,$G$6:G3182,G3182,$D$6:D3182,"Vastgesteld")=1),1,0))</f>
        <v>0</v>
      </c>
      <c r="V3182" s="15">
        <f>IF(T3182="",0,IF(AND(G3182=T3182,COUNTIFS($S$6:S3182,S3182,$G$6:G3182,G3182,$D$6:D3182,"Vastgesteld")&gt;1),1,0))</f>
        <v>0</v>
      </c>
    </row>
    <row r="3183">
      <c r="S3183" s="15" t="str">
        <f>IF(J3183="","",J3183&amp;"|"&amp;E3183&amp;"|"&amp;F3183&amp;"|"&amp;I3183&amp;"|"&amp;O3183)</f>
        <v/>
      </c>
      <c r="T3183" s="15" t="str">
        <f>IF(OR(S3183="",D3183&lt;&gt;"Vastgesteld"),"",_xlfn.MAXIFS($G$6:$G$5005,$S$6:$S$5005,S3183,$D$6:$D$5005,"Vastgesteld"))</f>
        <v/>
      </c>
      <c r="U3183" s="15">
        <f>IF(T3183="",0,IF(AND(G3183=T3183,COUNTIFS($S$6:S3183,S3183,$G$6:G3183,G3183,$D$6:D3183,"Vastgesteld")=1),1,0))</f>
        <v>0</v>
      </c>
      <c r="V3183" s="15">
        <f>IF(T3183="",0,IF(AND(G3183=T3183,COUNTIFS($S$6:S3183,S3183,$G$6:G3183,G3183,$D$6:D3183,"Vastgesteld")&gt;1),1,0))</f>
        <v>0</v>
      </c>
    </row>
    <row r="3184">
      <c r="S3184" s="15" t="str">
        <f>IF(J3184="","",J3184&amp;"|"&amp;E3184&amp;"|"&amp;F3184&amp;"|"&amp;I3184&amp;"|"&amp;O3184)</f>
        <v/>
      </c>
      <c r="T3184" s="15" t="str">
        <f>IF(OR(S3184="",D3184&lt;&gt;"Vastgesteld"),"",_xlfn.MAXIFS($G$6:$G$5005,$S$6:$S$5005,S3184,$D$6:$D$5005,"Vastgesteld"))</f>
        <v/>
      </c>
      <c r="U3184" s="15">
        <f>IF(T3184="",0,IF(AND(G3184=T3184,COUNTIFS($S$6:S3184,S3184,$G$6:G3184,G3184,$D$6:D3184,"Vastgesteld")=1),1,0))</f>
        <v>0</v>
      </c>
      <c r="V3184" s="15">
        <f>IF(T3184="",0,IF(AND(G3184=T3184,COUNTIFS($S$6:S3184,S3184,$G$6:G3184,G3184,$D$6:D3184,"Vastgesteld")&gt;1),1,0))</f>
        <v>0</v>
      </c>
    </row>
    <row r="3185">
      <c r="S3185" s="15" t="str">
        <f>IF(J3185="","",J3185&amp;"|"&amp;E3185&amp;"|"&amp;F3185&amp;"|"&amp;I3185&amp;"|"&amp;O3185)</f>
        <v/>
      </c>
      <c r="T3185" s="15" t="str">
        <f>IF(OR(S3185="",D3185&lt;&gt;"Vastgesteld"),"",_xlfn.MAXIFS($G$6:$G$5005,$S$6:$S$5005,S3185,$D$6:$D$5005,"Vastgesteld"))</f>
        <v/>
      </c>
      <c r="U3185" s="15">
        <f>IF(T3185="",0,IF(AND(G3185=T3185,COUNTIFS($S$6:S3185,S3185,$G$6:G3185,G3185,$D$6:D3185,"Vastgesteld")=1),1,0))</f>
        <v>0</v>
      </c>
      <c r="V3185" s="15">
        <f>IF(T3185="",0,IF(AND(G3185=T3185,COUNTIFS($S$6:S3185,S3185,$G$6:G3185,G3185,$D$6:D3185,"Vastgesteld")&gt;1),1,0))</f>
        <v>0</v>
      </c>
    </row>
    <row r="3186">
      <c r="S3186" s="15" t="str">
        <f>IF(J3186="","",J3186&amp;"|"&amp;E3186&amp;"|"&amp;F3186&amp;"|"&amp;I3186&amp;"|"&amp;O3186)</f>
        <v/>
      </c>
      <c r="T3186" s="15" t="str">
        <f>IF(OR(S3186="",D3186&lt;&gt;"Vastgesteld"),"",_xlfn.MAXIFS($G$6:$G$5005,$S$6:$S$5005,S3186,$D$6:$D$5005,"Vastgesteld"))</f>
        <v/>
      </c>
      <c r="U3186" s="15">
        <f>IF(T3186="",0,IF(AND(G3186=T3186,COUNTIFS($S$6:S3186,S3186,$G$6:G3186,G3186,$D$6:D3186,"Vastgesteld")=1),1,0))</f>
        <v>0</v>
      </c>
      <c r="V3186" s="15">
        <f>IF(T3186="",0,IF(AND(G3186=T3186,COUNTIFS($S$6:S3186,S3186,$G$6:G3186,G3186,$D$6:D3186,"Vastgesteld")&gt;1),1,0))</f>
        <v>0</v>
      </c>
    </row>
    <row r="3187">
      <c r="S3187" s="15" t="str">
        <f>IF(J3187="","",J3187&amp;"|"&amp;E3187&amp;"|"&amp;F3187&amp;"|"&amp;I3187&amp;"|"&amp;O3187)</f>
        <v/>
      </c>
      <c r="T3187" s="15" t="str">
        <f>IF(OR(S3187="",D3187&lt;&gt;"Vastgesteld"),"",_xlfn.MAXIFS($G$6:$G$5005,$S$6:$S$5005,S3187,$D$6:$D$5005,"Vastgesteld"))</f>
        <v/>
      </c>
      <c r="U3187" s="15">
        <f>IF(T3187="",0,IF(AND(G3187=T3187,COUNTIFS($S$6:S3187,S3187,$G$6:G3187,G3187,$D$6:D3187,"Vastgesteld")=1),1,0))</f>
        <v>0</v>
      </c>
      <c r="V3187" s="15">
        <f>IF(T3187="",0,IF(AND(G3187=T3187,COUNTIFS($S$6:S3187,S3187,$G$6:G3187,G3187,$D$6:D3187,"Vastgesteld")&gt;1),1,0))</f>
        <v>0</v>
      </c>
    </row>
    <row r="3188">
      <c r="S3188" s="15" t="str">
        <f>IF(J3188="","",J3188&amp;"|"&amp;E3188&amp;"|"&amp;F3188&amp;"|"&amp;I3188&amp;"|"&amp;O3188)</f>
        <v/>
      </c>
      <c r="T3188" s="15" t="str">
        <f>IF(OR(S3188="",D3188&lt;&gt;"Vastgesteld"),"",_xlfn.MAXIFS($G$6:$G$5005,$S$6:$S$5005,S3188,$D$6:$D$5005,"Vastgesteld"))</f>
        <v/>
      </c>
      <c r="U3188" s="15">
        <f>IF(T3188="",0,IF(AND(G3188=T3188,COUNTIFS($S$6:S3188,S3188,$G$6:G3188,G3188,$D$6:D3188,"Vastgesteld")=1),1,0))</f>
        <v>0</v>
      </c>
      <c r="V3188" s="15">
        <f>IF(T3188="",0,IF(AND(G3188=T3188,COUNTIFS($S$6:S3188,S3188,$G$6:G3188,G3188,$D$6:D3188,"Vastgesteld")&gt;1),1,0))</f>
        <v>0</v>
      </c>
    </row>
    <row r="3189">
      <c r="S3189" s="15" t="str">
        <f>IF(J3189="","",J3189&amp;"|"&amp;E3189&amp;"|"&amp;F3189&amp;"|"&amp;I3189&amp;"|"&amp;O3189)</f>
        <v/>
      </c>
      <c r="T3189" s="15" t="str">
        <f>IF(OR(S3189="",D3189&lt;&gt;"Vastgesteld"),"",_xlfn.MAXIFS($G$6:$G$5005,$S$6:$S$5005,S3189,$D$6:$D$5005,"Vastgesteld"))</f>
        <v/>
      </c>
      <c r="U3189" s="15">
        <f>IF(T3189="",0,IF(AND(G3189=T3189,COUNTIFS($S$6:S3189,S3189,$G$6:G3189,G3189,$D$6:D3189,"Vastgesteld")=1),1,0))</f>
        <v>0</v>
      </c>
      <c r="V3189" s="15">
        <f>IF(T3189="",0,IF(AND(G3189=T3189,COUNTIFS($S$6:S3189,S3189,$G$6:G3189,G3189,$D$6:D3189,"Vastgesteld")&gt;1),1,0))</f>
        <v>0</v>
      </c>
    </row>
    <row r="3190">
      <c r="S3190" s="15" t="str">
        <f>IF(J3190="","",J3190&amp;"|"&amp;E3190&amp;"|"&amp;F3190&amp;"|"&amp;I3190&amp;"|"&amp;O3190)</f>
        <v/>
      </c>
      <c r="T3190" s="15" t="str">
        <f>IF(OR(S3190="",D3190&lt;&gt;"Vastgesteld"),"",_xlfn.MAXIFS($G$6:$G$5005,$S$6:$S$5005,S3190,$D$6:$D$5005,"Vastgesteld"))</f>
        <v/>
      </c>
      <c r="U3190" s="15">
        <f>IF(T3190="",0,IF(AND(G3190=T3190,COUNTIFS($S$6:S3190,S3190,$G$6:G3190,G3190,$D$6:D3190,"Vastgesteld")=1),1,0))</f>
        <v>0</v>
      </c>
      <c r="V3190" s="15">
        <f>IF(T3190="",0,IF(AND(G3190=T3190,COUNTIFS($S$6:S3190,S3190,$G$6:G3190,G3190,$D$6:D3190,"Vastgesteld")&gt;1),1,0))</f>
        <v>0</v>
      </c>
    </row>
    <row r="3191">
      <c r="S3191" s="15" t="str">
        <f>IF(J3191="","",J3191&amp;"|"&amp;E3191&amp;"|"&amp;F3191&amp;"|"&amp;I3191&amp;"|"&amp;O3191)</f>
        <v/>
      </c>
      <c r="T3191" s="15" t="str">
        <f>IF(OR(S3191="",D3191&lt;&gt;"Vastgesteld"),"",_xlfn.MAXIFS($G$6:$G$5005,$S$6:$S$5005,S3191,$D$6:$D$5005,"Vastgesteld"))</f>
        <v/>
      </c>
      <c r="U3191" s="15">
        <f>IF(T3191="",0,IF(AND(G3191=T3191,COUNTIFS($S$6:S3191,S3191,$G$6:G3191,G3191,$D$6:D3191,"Vastgesteld")=1),1,0))</f>
        <v>0</v>
      </c>
      <c r="V3191" s="15">
        <f>IF(T3191="",0,IF(AND(G3191=T3191,COUNTIFS($S$6:S3191,S3191,$G$6:G3191,G3191,$D$6:D3191,"Vastgesteld")&gt;1),1,0))</f>
        <v>0</v>
      </c>
    </row>
    <row r="3192">
      <c r="S3192" s="15" t="str">
        <f>IF(J3192="","",J3192&amp;"|"&amp;E3192&amp;"|"&amp;F3192&amp;"|"&amp;I3192&amp;"|"&amp;O3192)</f>
        <v/>
      </c>
      <c r="T3192" s="15" t="str">
        <f>IF(OR(S3192="",D3192&lt;&gt;"Vastgesteld"),"",_xlfn.MAXIFS($G$6:$G$5005,$S$6:$S$5005,S3192,$D$6:$D$5005,"Vastgesteld"))</f>
        <v/>
      </c>
      <c r="U3192" s="15">
        <f>IF(T3192="",0,IF(AND(G3192=T3192,COUNTIFS($S$6:S3192,S3192,$G$6:G3192,G3192,$D$6:D3192,"Vastgesteld")=1),1,0))</f>
        <v>0</v>
      </c>
      <c r="V3192" s="15">
        <f>IF(T3192="",0,IF(AND(G3192=T3192,COUNTIFS($S$6:S3192,S3192,$G$6:G3192,G3192,$D$6:D3192,"Vastgesteld")&gt;1),1,0))</f>
        <v>0</v>
      </c>
    </row>
    <row r="3193">
      <c r="S3193" s="15" t="str">
        <f>IF(J3193="","",J3193&amp;"|"&amp;E3193&amp;"|"&amp;F3193&amp;"|"&amp;I3193&amp;"|"&amp;O3193)</f>
        <v/>
      </c>
      <c r="T3193" s="15" t="str">
        <f>IF(OR(S3193="",D3193&lt;&gt;"Vastgesteld"),"",_xlfn.MAXIFS($G$6:$G$5005,$S$6:$S$5005,S3193,$D$6:$D$5005,"Vastgesteld"))</f>
        <v/>
      </c>
      <c r="U3193" s="15">
        <f>IF(T3193="",0,IF(AND(G3193=T3193,COUNTIFS($S$6:S3193,S3193,$G$6:G3193,G3193,$D$6:D3193,"Vastgesteld")=1),1,0))</f>
        <v>0</v>
      </c>
      <c r="V3193" s="15">
        <f>IF(T3193="",0,IF(AND(G3193=T3193,COUNTIFS($S$6:S3193,S3193,$G$6:G3193,G3193,$D$6:D3193,"Vastgesteld")&gt;1),1,0))</f>
        <v>0</v>
      </c>
    </row>
    <row r="3194">
      <c r="S3194" s="15" t="str">
        <f>IF(J3194="","",J3194&amp;"|"&amp;E3194&amp;"|"&amp;F3194&amp;"|"&amp;I3194&amp;"|"&amp;O3194)</f>
        <v/>
      </c>
      <c r="T3194" s="15" t="str">
        <f>IF(OR(S3194="",D3194&lt;&gt;"Vastgesteld"),"",_xlfn.MAXIFS($G$6:$G$5005,$S$6:$S$5005,S3194,$D$6:$D$5005,"Vastgesteld"))</f>
        <v/>
      </c>
      <c r="U3194" s="15">
        <f>IF(T3194="",0,IF(AND(G3194=T3194,COUNTIFS($S$6:S3194,S3194,$G$6:G3194,G3194,$D$6:D3194,"Vastgesteld")=1),1,0))</f>
        <v>0</v>
      </c>
      <c r="V3194" s="15">
        <f>IF(T3194="",0,IF(AND(G3194=T3194,COUNTIFS($S$6:S3194,S3194,$G$6:G3194,G3194,$D$6:D3194,"Vastgesteld")&gt;1),1,0))</f>
        <v>0</v>
      </c>
    </row>
    <row r="3195">
      <c r="S3195" s="15" t="str">
        <f>IF(J3195="","",J3195&amp;"|"&amp;E3195&amp;"|"&amp;F3195&amp;"|"&amp;I3195&amp;"|"&amp;O3195)</f>
        <v/>
      </c>
      <c r="T3195" s="15" t="str">
        <f>IF(OR(S3195="",D3195&lt;&gt;"Vastgesteld"),"",_xlfn.MAXIFS($G$6:$G$5005,$S$6:$S$5005,S3195,$D$6:$D$5005,"Vastgesteld"))</f>
        <v/>
      </c>
      <c r="U3195" s="15">
        <f>IF(T3195="",0,IF(AND(G3195=T3195,COUNTIFS($S$6:S3195,S3195,$G$6:G3195,G3195,$D$6:D3195,"Vastgesteld")=1),1,0))</f>
        <v>0</v>
      </c>
      <c r="V3195" s="15">
        <f>IF(T3195="",0,IF(AND(G3195=T3195,COUNTIFS($S$6:S3195,S3195,$G$6:G3195,G3195,$D$6:D3195,"Vastgesteld")&gt;1),1,0))</f>
        <v>0</v>
      </c>
    </row>
    <row r="3196">
      <c r="S3196" s="15" t="str">
        <f>IF(J3196="","",J3196&amp;"|"&amp;E3196&amp;"|"&amp;F3196&amp;"|"&amp;I3196&amp;"|"&amp;O3196)</f>
        <v/>
      </c>
      <c r="T3196" s="15" t="str">
        <f>IF(OR(S3196="",D3196&lt;&gt;"Vastgesteld"),"",_xlfn.MAXIFS($G$6:$G$5005,$S$6:$S$5005,S3196,$D$6:$D$5005,"Vastgesteld"))</f>
        <v/>
      </c>
      <c r="U3196" s="15">
        <f>IF(T3196="",0,IF(AND(G3196=T3196,COUNTIFS($S$6:S3196,S3196,$G$6:G3196,G3196,$D$6:D3196,"Vastgesteld")=1),1,0))</f>
        <v>0</v>
      </c>
      <c r="V3196" s="15">
        <f>IF(T3196="",0,IF(AND(G3196=T3196,COUNTIFS($S$6:S3196,S3196,$G$6:G3196,G3196,$D$6:D3196,"Vastgesteld")&gt;1),1,0))</f>
        <v>0</v>
      </c>
    </row>
    <row r="3197">
      <c r="S3197" s="15" t="str">
        <f>IF(J3197="","",J3197&amp;"|"&amp;E3197&amp;"|"&amp;F3197&amp;"|"&amp;I3197&amp;"|"&amp;O3197)</f>
        <v/>
      </c>
      <c r="T3197" s="15" t="str">
        <f>IF(OR(S3197="",D3197&lt;&gt;"Vastgesteld"),"",_xlfn.MAXIFS($G$6:$G$5005,$S$6:$S$5005,S3197,$D$6:$D$5005,"Vastgesteld"))</f>
        <v/>
      </c>
      <c r="U3197" s="15">
        <f>IF(T3197="",0,IF(AND(G3197=T3197,COUNTIFS($S$6:S3197,S3197,$G$6:G3197,G3197,$D$6:D3197,"Vastgesteld")=1),1,0))</f>
        <v>0</v>
      </c>
      <c r="V3197" s="15">
        <f>IF(T3197="",0,IF(AND(G3197=T3197,COUNTIFS($S$6:S3197,S3197,$G$6:G3197,G3197,$D$6:D3197,"Vastgesteld")&gt;1),1,0))</f>
        <v>0</v>
      </c>
    </row>
    <row r="3198">
      <c r="S3198" s="15" t="str">
        <f>IF(J3198="","",J3198&amp;"|"&amp;E3198&amp;"|"&amp;F3198&amp;"|"&amp;I3198&amp;"|"&amp;O3198)</f>
        <v/>
      </c>
      <c r="T3198" s="15" t="str">
        <f>IF(OR(S3198="",D3198&lt;&gt;"Vastgesteld"),"",_xlfn.MAXIFS($G$6:$G$5005,$S$6:$S$5005,S3198,$D$6:$D$5005,"Vastgesteld"))</f>
        <v/>
      </c>
      <c r="U3198" s="15">
        <f>IF(T3198="",0,IF(AND(G3198=T3198,COUNTIFS($S$6:S3198,S3198,$G$6:G3198,G3198,$D$6:D3198,"Vastgesteld")=1),1,0))</f>
        <v>0</v>
      </c>
      <c r="V3198" s="15">
        <f>IF(T3198="",0,IF(AND(G3198=T3198,COUNTIFS($S$6:S3198,S3198,$G$6:G3198,G3198,$D$6:D3198,"Vastgesteld")&gt;1),1,0))</f>
        <v>0</v>
      </c>
    </row>
    <row r="3199">
      <c r="S3199" s="15" t="str">
        <f>IF(J3199="","",J3199&amp;"|"&amp;E3199&amp;"|"&amp;F3199&amp;"|"&amp;I3199&amp;"|"&amp;O3199)</f>
        <v/>
      </c>
      <c r="T3199" s="15" t="str">
        <f>IF(OR(S3199="",D3199&lt;&gt;"Vastgesteld"),"",_xlfn.MAXIFS($G$6:$G$5005,$S$6:$S$5005,S3199,$D$6:$D$5005,"Vastgesteld"))</f>
        <v/>
      </c>
      <c r="U3199" s="15">
        <f>IF(T3199="",0,IF(AND(G3199=T3199,COUNTIFS($S$6:S3199,S3199,$G$6:G3199,G3199,$D$6:D3199,"Vastgesteld")=1),1,0))</f>
        <v>0</v>
      </c>
      <c r="V3199" s="15">
        <f>IF(T3199="",0,IF(AND(G3199=T3199,COUNTIFS($S$6:S3199,S3199,$G$6:G3199,G3199,$D$6:D3199,"Vastgesteld")&gt;1),1,0))</f>
        <v>0</v>
      </c>
    </row>
    <row r="3200">
      <c r="S3200" s="15" t="str">
        <f>IF(J3200="","",J3200&amp;"|"&amp;E3200&amp;"|"&amp;F3200&amp;"|"&amp;I3200&amp;"|"&amp;O3200)</f>
        <v/>
      </c>
      <c r="T3200" s="15" t="str">
        <f>IF(OR(S3200="",D3200&lt;&gt;"Vastgesteld"),"",_xlfn.MAXIFS($G$6:$G$5005,$S$6:$S$5005,S3200,$D$6:$D$5005,"Vastgesteld"))</f>
        <v/>
      </c>
      <c r="U3200" s="15">
        <f>IF(T3200="",0,IF(AND(G3200=T3200,COUNTIFS($S$6:S3200,S3200,$G$6:G3200,G3200,$D$6:D3200,"Vastgesteld")=1),1,0))</f>
        <v>0</v>
      </c>
      <c r="V3200" s="15">
        <f>IF(T3200="",0,IF(AND(G3200=T3200,COUNTIFS($S$6:S3200,S3200,$G$6:G3200,G3200,$D$6:D3200,"Vastgesteld")&gt;1),1,0))</f>
        <v>0</v>
      </c>
    </row>
    <row r="3201">
      <c r="S3201" s="15" t="str">
        <f>IF(J3201="","",J3201&amp;"|"&amp;E3201&amp;"|"&amp;F3201&amp;"|"&amp;I3201&amp;"|"&amp;O3201)</f>
        <v/>
      </c>
      <c r="T3201" s="15" t="str">
        <f>IF(OR(S3201="",D3201&lt;&gt;"Vastgesteld"),"",_xlfn.MAXIFS($G$6:$G$5005,$S$6:$S$5005,S3201,$D$6:$D$5005,"Vastgesteld"))</f>
        <v/>
      </c>
      <c r="U3201" s="15">
        <f>IF(T3201="",0,IF(AND(G3201=T3201,COUNTIFS($S$6:S3201,S3201,$G$6:G3201,G3201,$D$6:D3201,"Vastgesteld")=1),1,0))</f>
        <v>0</v>
      </c>
      <c r="V3201" s="15">
        <f>IF(T3201="",0,IF(AND(G3201=T3201,COUNTIFS($S$6:S3201,S3201,$G$6:G3201,G3201,$D$6:D3201,"Vastgesteld")&gt;1),1,0))</f>
        <v>0</v>
      </c>
    </row>
    <row r="3202">
      <c r="S3202" s="15" t="str">
        <f>IF(J3202="","",J3202&amp;"|"&amp;E3202&amp;"|"&amp;F3202&amp;"|"&amp;I3202&amp;"|"&amp;O3202)</f>
        <v/>
      </c>
      <c r="T3202" s="15" t="str">
        <f>IF(OR(S3202="",D3202&lt;&gt;"Vastgesteld"),"",_xlfn.MAXIFS($G$6:$G$5005,$S$6:$S$5005,S3202,$D$6:$D$5005,"Vastgesteld"))</f>
        <v/>
      </c>
      <c r="U3202" s="15">
        <f>IF(T3202="",0,IF(AND(G3202=T3202,COUNTIFS($S$6:S3202,S3202,$G$6:G3202,G3202,$D$6:D3202,"Vastgesteld")=1),1,0))</f>
        <v>0</v>
      </c>
      <c r="V3202" s="15">
        <f>IF(T3202="",0,IF(AND(G3202=T3202,COUNTIFS($S$6:S3202,S3202,$G$6:G3202,G3202,$D$6:D3202,"Vastgesteld")&gt;1),1,0))</f>
        <v>0</v>
      </c>
    </row>
    <row r="3203">
      <c r="S3203" s="15" t="str">
        <f>IF(J3203="","",J3203&amp;"|"&amp;E3203&amp;"|"&amp;F3203&amp;"|"&amp;I3203&amp;"|"&amp;O3203)</f>
        <v/>
      </c>
      <c r="T3203" s="15" t="str">
        <f>IF(OR(S3203="",D3203&lt;&gt;"Vastgesteld"),"",_xlfn.MAXIFS($G$6:$G$5005,$S$6:$S$5005,S3203,$D$6:$D$5005,"Vastgesteld"))</f>
        <v/>
      </c>
      <c r="U3203" s="15">
        <f>IF(T3203="",0,IF(AND(G3203=T3203,COUNTIFS($S$6:S3203,S3203,$G$6:G3203,G3203,$D$6:D3203,"Vastgesteld")=1),1,0))</f>
        <v>0</v>
      </c>
      <c r="V3203" s="15">
        <f>IF(T3203="",0,IF(AND(G3203=T3203,COUNTIFS($S$6:S3203,S3203,$G$6:G3203,G3203,$D$6:D3203,"Vastgesteld")&gt;1),1,0))</f>
        <v>0</v>
      </c>
    </row>
    <row r="3204">
      <c r="S3204" s="15" t="str">
        <f>IF(J3204="","",J3204&amp;"|"&amp;E3204&amp;"|"&amp;F3204&amp;"|"&amp;I3204&amp;"|"&amp;O3204)</f>
        <v/>
      </c>
      <c r="T3204" s="15" t="str">
        <f>IF(OR(S3204="",D3204&lt;&gt;"Vastgesteld"),"",_xlfn.MAXIFS($G$6:$G$5005,$S$6:$S$5005,S3204,$D$6:$D$5005,"Vastgesteld"))</f>
        <v/>
      </c>
      <c r="U3204" s="15">
        <f>IF(T3204="",0,IF(AND(G3204=T3204,COUNTIFS($S$6:S3204,S3204,$G$6:G3204,G3204,$D$6:D3204,"Vastgesteld")=1),1,0))</f>
        <v>0</v>
      </c>
      <c r="V3204" s="15">
        <f>IF(T3204="",0,IF(AND(G3204=T3204,COUNTIFS($S$6:S3204,S3204,$G$6:G3204,G3204,$D$6:D3204,"Vastgesteld")&gt;1),1,0))</f>
        <v>0</v>
      </c>
    </row>
    <row r="3205">
      <c r="S3205" s="15" t="str">
        <f>IF(J3205="","",J3205&amp;"|"&amp;E3205&amp;"|"&amp;F3205&amp;"|"&amp;I3205&amp;"|"&amp;O3205)</f>
        <v/>
      </c>
      <c r="T3205" s="15" t="str">
        <f>IF(OR(S3205="",D3205&lt;&gt;"Vastgesteld"),"",_xlfn.MAXIFS($G$6:$G$5005,$S$6:$S$5005,S3205,$D$6:$D$5005,"Vastgesteld"))</f>
        <v/>
      </c>
      <c r="U3205" s="15">
        <f>IF(T3205="",0,IF(AND(G3205=T3205,COUNTIFS($S$6:S3205,S3205,$G$6:G3205,G3205,$D$6:D3205,"Vastgesteld")=1),1,0))</f>
        <v>0</v>
      </c>
      <c r="V3205" s="15">
        <f>IF(T3205="",0,IF(AND(G3205=T3205,COUNTIFS($S$6:S3205,S3205,$G$6:G3205,G3205,$D$6:D3205,"Vastgesteld")&gt;1),1,0))</f>
        <v>0</v>
      </c>
    </row>
    <row r="3206">
      <c r="S3206" s="15" t="str">
        <f>IF(J3206="","",J3206&amp;"|"&amp;E3206&amp;"|"&amp;F3206&amp;"|"&amp;I3206&amp;"|"&amp;O3206)</f>
        <v/>
      </c>
      <c r="T3206" s="15" t="str">
        <f>IF(OR(S3206="",D3206&lt;&gt;"Vastgesteld"),"",_xlfn.MAXIFS($G$6:$G$5005,$S$6:$S$5005,S3206,$D$6:$D$5005,"Vastgesteld"))</f>
        <v/>
      </c>
      <c r="U3206" s="15">
        <f>IF(T3206="",0,IF(AND(G3206=T3206,COUNTIFS($S$6:S3206,S3206,$G$6:G3206,G3206,$D$6:D3206,"Vastgesteld")=1),1,0))</f>
        <v>0</v>
      </c>
      <c r="V3206" s="15">
        <f>IF(T3206="",0,IF(AND(G3206=T3206,COUNTIFS($S$6:S3206,S3206,$G$6:G3206,G3206,$D$6:D3206,"Vastgesteld")&gt;1),1,0))</f>
        <v>0</v>
      </c>
    </row>
    <row r="3207">
      <c r="S3207" s="15" t="str">
        <f>IF(J3207="","",J3207&amp;"|"&amp;E3207&amp;"|"&amp;F3207&amp;"|"&amp;I3207&amp;"|"&amp;O3207)</f>
        <v/>
      </c>
      <c r="T3207" s="15" t="str">
        <f>IF(OR(S3207="",D3207&lt;&gt;"Vastgesteld"),"",_xlfn.MAXIFS($G$6:$G$5005,$S$6:$S$5005,S3207,$D$6:$D$5005,"Vastgesteld"))</f>
        <v/>
      </c>
      <c r="U3207" s="15">
        <f>IF(T3207="",0,IF(AND(G3207=T3207,COUNTIFS($S$6:S3207,S3207,$G$6:G3207,G3207,$D$6:D3207,"Vastgesteld")=1),1,0))</f>
        <v>0</v>
      </c>
      <c r="V3207" s="15">
        <f>IF(T3207="",0,IF(AND(G3207=T3207,COUNTIFS($S$6:S3207,S3207,$G$6:G3207,G3207,$D$6:D3207,"Vastgesteld")&gt;1),1,0))</f>
        <v>0</v>
      </c>
    </row>
    <row r="3208">
      <c r="S3208" s="15" t="str">
        <f>IF(J3208="","",J3208&amp;"|"&amp;E3208&amp;"|"&amp;F3208&amp;"|"&amp;I3208&amp;"|"&amp;O3208)</f>
        <v/>
      </c>
      <c r="T3208" s="15" t="str">
        <f>IF(OR(S3208="",D3208&lt;&gt;"Vastgesteld"),"",_xlfn.MAXIFS($G$6:$G$5005,$S$6:$S$5005,S3208,$D$6:$D$5005,"Vastgesteld"))</f>
        <v/>
      </c>
      <c r="U3208" s="15">
        <f>IF(T3208="",0,IF(AND(G3208=T3208,COUNTIFS($S$6:S3208,S3208,$G$6:G3208,G3208,$D$6:D3208,"Vastgesteld")=1),1,0))</f>
        <v>0</v>
      </c>
      <c r="V3208" s="15">
        <f>IF(T3208="",0,IF(AND(G3208=T3208,COUNTIFS($S$6:S3208,S3208,$G$6:G3208,G3208,$D$6:D3208,"Vastgesteld")&gt;1),1,0))</f>
        <v>0</v>
      </c>
    </row>
    <row r="3209">
      <c r="S3209" s="15" t="str">
        <f>IF(J3209="","",J3209&amp;"|"&amp;E3209&amp;"|"&amp;F3209&amp;"|"&amp;I3209&amp;"|"&amp;O3209)</f>
        <v/>
      </c>
      <c r="T3209" s="15" t="str">
        <f>IF(OR(S3209="",D3209&lt;&gt;"Vastgesteld"),"",_xlfn.MAXIFS($G$6:$G$5005,$S$6:$S$5005,S3209,$D$6:$D$5005,"Vastgesteld"))</f>
        <v/>
      </c>
      <c r="U3209" s="15">
        <f>IF(T3209="",0,IF(AND(G3209=T3209,COUNTIFS($S$6:S3209,S3209,$G$6:G3209,G3209,$D$6:D3209,"Vastgesteld")=1),1,0))</f>
        <v>0</v>
      </c>
      <c r="V3209" s="15">
        <f>IF(T3209="",0,IF(AND(G3209=T3209,COUNTIFS($S$6:S3209,S3209,$G$6:G3209,G3209,$D$6:D3209,"Vastgesteld")&gt;1),1,0))</f>
        <v>0</v>
      </c>
    </row>
    <row r="3210">
      <c r="S3210" s="15" t="str">
        <f>IF(J3210="","",J3210&amp;"|"&amp;E3210&amp;"|"&amp;F3210&amp;"|"&amp;I3210&amp;"|"&amp;O3210)</f>
        <v/>
      </c>
      <c r="T3210" s="15" t="str">
        <f>IF(OR(S3210="",D3210&lt;&gt;"Vastgesteld"),"",_xlfn.MAXIFS($G$6:$G$5005,$S$6:$S$5005,S3210,$D$6:$D$5005,"Vastgesteld"))</f>
        <v/>
      </c>
      <c r="U3210" s="15">
        <f>IF(T3210="",0,IF(AND(G3210=T3210,COUNTIFS($S$6:S3210,S3210,$G$6:G3210,G3210,$D$6:D3210,"Vastgesteld")=1),1,0))</f>
        <v>0</v>
      </c>
      <c r="V3210" s="15">
        <f>IF(T3210="",0,IF(AND(G3210=T3210,COUNTIFS($S$6:S3210,S3210,$G$6:G3210,G3210,$D$6:D3210,"Vastgesteld")&gt;1),1,0))</f>
        <v>0</v>
      </c>
    </row>
    <row r="3211">
      <c r="S3211" s="15" t="str">
        <f>IF(J3211="","",J3211&amp;"|"&amp;E3211&amp;"|"&amp;F3211&amp;"|"&amp;I3211&amp;"|"&amp;O3211)</f>
        <v/>
      </c>
      <c r="T3211" s="15" t="str">
        <f>IF(OR(S3211="",D3211&lt;&gt;"Vastgesteld"),"",_xlfn.MAXIFS($G$6:$G$5005,$S$6:$S$5005,S3211,$D$6:$D$5005,"Vastgesteld"))</f>
        <v/>
      </c>
      <c r="U3211" s="15">
        <f>IF(T3211="",0,IF(AND(G3211=T3211,COUNTIFS($S$6:S3211,S3211,$G$6:G3211,G3211,$D$6:D3211,"Vastgesteld")=1),1,0))</f>
        <v>0</v>
      </c>
      <c r="V3211" s="15">
        <f>IF(T3211="",0,IF(AND(G3211=T3211,COUNTIFS($S$6:S3211,S3211,$G$6:G3211,G3211,$D$6:D3211,"Vastgesteld")&gt;1),1,0))</f>
        <v>0</v>
      </c>
    </row>
    <row r="3212">
      <c r="S3212" s="15" t="str">
        <f>IF(J3212="","",J3212&amp;"|"&amp;E3212&amp;"|"&amp;F3212&amp;"|"&amp;I3212&amp;"|"&amp;O3212)</f>
        <v/>
      </c>
      <c r="T3212" s="15" t="str">
        <f>IF(OR(S3212="",D3212&lt;&gt;"Vastgesteld"),"",_xlfn.MAXIFS($G$6:$G$5005,$S$6:$S$5005,S3212,$D$6:$D$5005,"Vastgesteld"))</f>
        <v/>
      </c>
      <c r="U3212" s="15">
        <f>IF(T3212="",0,IF(AND(G3212=T3212,COUNTIFS($S$6:S3212,S3212,$G$6:G3212,G3212,$D$6:D3212,"Vastgesteld")=1),1,0))</f>
        <v>0</v>
      </c>
      <c r="V3212" s="15">
        <f>IF(T3212="",0,IF(AND(G3212=T3212,COUNTIFS($S$6:S3212,S3212,$G$6:G3212,G3212,$D$6:D3212,"Vastgesteld")&gt;1),1,0))</f>
        <v>0</v>
      </c>
    </row>
    <row r="3213">
      <c r="S3213" s="15" t="str">
        <f>IF(J3213="","",J3213&amp;"|"&amp;E3213&amp;"|"&amp;F3213&amp;"|"&amp;I3213&amp;"|"&amp;O3213)</f>
        <v/>
      </c>
      <c r="T3213" s="15" t="str">
        <f>IF(OR(S3213="",D3213&lt;&gt;"Vastgesteld"),"",_xlfn.MAXIFS($G$6:$G$5005,$S$6:$S$5005,S3213,$D$6:$D$5005,"Vastgesteld"))</f>
        <v/>
      </c>
      <c r="U3213" s="15">
        <f>IF(T3213="",0,IF(AND(G3213=T3213,COUNTIFS($S$6:S3213,S3213,$G$6:G3213,G3213,$D$6:D3213,"Vastgesteld")=1),1,0))</f>
        <v>0</v>
      </c>
      <c r="V3213" s="15">
        <f>IF(T3213="",0,IF(AND(G3213=T3213,COUNTIFS($S$6:S3213,S3213,$G$6:G3213,G3213,$D$6:D3213,"Vastgesteld")&gt;1),1,0))</f>
        <v>0</v>
      </c>
    </row>
    <row r="3214">
      <c r="S3214" s="15" t="str">
        <f>IF(J3214="","",J3214&amp;"|"&amp;E3214&amp;"|"&amp;F3214&amp;"|"&amp;I3214&amp;"|"&amp;O3214)</f>
        <v/>
      </c>
      <c r="T3214" s="15" t="str">
        <f>IF(OR(S3214="",D3214&lt;&gt;"Vastgesteld"),"",_xlfn.MAXIFS($G$6:$G$5005,$S$6:$S$5005,S3214,$D$6:$D$5005,"Vastgesteld"))</f>
        <v/>
      </c>
      <c r="U3214" s="15">
        <f>IF(T3214="",0,IF(AND(G3214=T3214,COUNTIFS($S$6:S3214,S3214,$G$6:G3214,G3214,$D$6:D3214,"Vastgesteld")=1),1,0))</f>
        <v>0</v>
      </c>
      <c r="V3214" s="15">
        <f>IF(T3214="",0,IF(AND(G3214=T3214,COUNTIFS($S$6:S3214,S3214,$G$6:G3214,G3214,$D$6:D3214,"Vastgesteld")&gt;1),1,0))</f>
        <v>0</v>
      </c>
    </row>
    <row r="3215">
      <c r="S3215" s="15" t="str">
        <f>IF(J3215="","",J3215&amp;"|"&amp;E3215&amp;"|"&amp;F3215&amp;"|"&amp;I3215&amp;"|"&amp;O3215)</f>
        <v/>
      </c>
      <c r="T3215" s="15" t="str">
        <f>IF(OR(S3215="",D3215&lt;&gt;"Vastgesteld"),"",_xlfn.MAXIFS($G$6:$G$5005,$S$6:$S$5005,S3215,$D$6:$D$5005,"Vastgesteld"))</f>
        <v/>
      </c>
      <c r="U3215" s="15">
        <f>IF(T3215="",0,IF(AND(G3215=T3215,COUNTIFS($S$6:S3215,S3215,$G$6:G3215,G3215,$D$6:D3215,"Vastgesteld")=1),1,0))</f>
        <v>0</v>
      </c>
      <c r="V3215" s="15">
        <f>IF(T3215="",0,IF(AND(G3215=T3215,COUNTIFS($S$6:S3215,S3215,$G$6:G3215,G3215,$D$6:D3215,"Vastgesteld")&gt;1),1,0))</f>
        <v>0</v>
      </c>
    </row>
    <row r="3216">
      <c r="S3216" s="15" t="str">
        <f>IF(J3216="","",J3216&amp;"|"&amp;E3216&amp;"|"&amp;F3216&amp;"|"&amp;I3216&amp;"|"&amp;O3216)</f>
        <v/>
      </c>
      <c r="T3216" s="15" t="str">
        <f>IF(OR(S3216="",D3216&lt;&gt;"Vastgesteld"),"",_xlfn.MAXIFS($G$6:$G$5005,$S$6:$S$5005,S3216,$D$6:$D$5005,"Vastgesteld"))</f>
        <v/>
      </c>
      <c r="U3216" s="15">
        <f>IF(T3216="",0,IF(AND(G3216=T3216,COUNTIFS($S$6:S3216,S3216,$G$6:G3216,G3216,$D$6:D3216,"Vastgesteld")=1),1,0))</f>
        <v>0</v>
      </c>
      <c r="V3216" s="15">
        <f>IF(T3216="",0,IF(AND(G3216=T3216,COUNTIFS($S$6:S3216,S3216,$G$6:G3216,G3216,$D$6:D3216,"Vastgesteld")&gt;1),1,0))</f>
        <v>0</v>
      </c>
    </row>
    <row r="3217">
      <c r="S3217" s="15" t="str">
        <f>IF(J3217="","",J3217&amp;"|"&amp;E3217&amp;"|"&amp;F3217&amp;"|"&amp;I3217&amp;"|"&amp;O3217)</f>
        <v/>
      </c>
      <c r="T3217" s="15" t="str">
        <f>IF(OR(S3217="",D3217&lt;&gt;"Vastgesteld"),"",_xlfn.MAXIFS($G$6:$G$5005,$S$6:$S$5005,S3217,$D$6:$D$5005,"Vastgesteld"))</f>
        <v/>
      </c>
      <c r="U3217" s="15">
        <f>IF(T3217="",0,IF(AND(G3217=T3217,COUNTIFS($S$6:S3217,S3217,$G$6:G3217,G3217,$D$6:D3217,"Vastgesteld")=1),1,0))</f>
        <v>0</v>
      </c>
      <c r="V3217" s="15">
        <f>IF(T3217="",0,IF(AND(G3217=T3217,COUNTIFS($S$6:S3217,S3217,$G$6:G3217,G3217,$D$6:D3217,"Vastgesteld")&gt;1),1,0))</f>
        <v>0</v>
      </c>
    </row>
    <row r="3218">
      <c r="S3218" s="15" t="str">
        <f>IF(J3218="","",J3218&amp;"|"&amp;E3218&amp;"|"&amp;F3218&amp;"|"&amp;I3218&amp;"|"&amp;O3218)</f>
        <v/>
      </c>
      <c r="T3218" s="15" t="str">
        <f>IF(OR(S3218="",D3218&lt;&gt;"Vastgesteld"),"",_xlfn.MAXIFS($G$6:$G$5005,$S$6:$S$5005,S3218,$D$6:$D$5005,"Vastgesteld"))</f>
        <v/>
      </c>
      <c r="U3218" s="15">
        <f>IF(T3218="",0,IF(AND(G3218=T3218,COUNTIFS($S$6:S3218,S3218,$G$6:G3218,G3218,$D$6:D3218,"Vastgesteld")=1),1,0))</f>
        <v>0</v>
      </c>
      <c r="V3218" s="15">
        <f>IF(T3218="",0,IF(AND(G3218=T3218,COUNTIFS($S$6:S3218,S3218,$G$6:G3218,G3218,$D$6:D3218,"Vastgesteld")&gt;1),1,0))</f>
        <v>0</v>
      </c>
    </row>
    <row r="3219">
      <c r="S3219" s="15" t="str">
        <f>IF(J3219="","",J3219&amp;"|"&amp;E3219&amp;"|"&amp;F3219&amp;"|"&amp;I3219&amp;"|"&amp;O3219)</f>
        <v/>
      </c>
      <c r="T3219" s="15" t="str">
        <f>IF(OR(S3219="",D3219&lt;&gt;"Vastgesteld"),"",_xlfn.MAXIFS($G$6:$G$5005,$S$6:$S$5005,S3219,$D$6:$D$5005,"Vastgesteld"))</f>
        <v/>
      </c>
      <c r="U3219" s="15">
        <f>IF(T3219="",0,IF(AND(G3219=T3219,COUNTIFS($S$6:S3219,S3219,$G$6:G3219,G3219,$D$6:D3219,"Vastgesteld")=1),1,0))</f>
        <v>0</v>
      </c>
      <c r="V3219" s="15">
        <f>IF(T3219="",0,IF(AND(G3219=T3219,COUNTIFS($S$6:S3219,S3219,$G$6:G3219,G3219,$D$6:D3219,"Vastgesteld")&gt;1),1,0))</f>
        <v>0</v>
      </c>
    </row>
    <row r="3220">
      <c r="S3220" s="15" t="str">
        <f>IF(J3220="","",J3220&amp;"|"&amp;E3220&amp;"|"&amp;F3220&amp;"|"&amp;I3220&amp;"|"&amp;O3220)</f>
        <v/>
      </c>
      <c r="T3220" s="15" t="str">
        <f>IF(OR(S3220="",D3220&lt;&gt;"Vastgesteld"),"",_xlfn.MAXIFS($G$6:$G$5005,$S$6:$S$5005,S3220,$D$6:$D$5005,"Vastgesteld"))</f>
        <v/>
      </c>
      <c r="U3220" s="15">
        <f>IF(T3220="",0,IF(AND(G3220=T3220,COUNTIFS($S$6:S3220,S3220,$G$6:G3220,G3220,$D$6:D3220,"Vastgesteld")=1),1,0))</f>
        <v>0</v>
      </c>
      <c r="V3220" s="15">
        <f>IF(T3220="",0,IF(AND(G3220=T3220,COUNTIFS($S$6:S3220,S3220,$G$6:G3220,G3220,$D$6:D3220,"Vastgesteld")&gt;1),1,0))</f>
        <v>0</v>
      </c>
    </row>
    <row r="3221">
      <c r="S3221" s="15" t="str">
        <f>IF(J3221="","",J3221&amp;"|"&amp;E3221&amp;"|"&amp;F3221&amp;"|"&amp;I3221&amp;"|"&amp;O3221)</f>
        <v/>
      </c>
      <c r="T3221" s="15" t="str">
        <f>IF(OR(S3221="",D3221&lt;&gt;"Vastgesteld"),"",_xlfn.MAXIFS($G$6:$G$5005,$S$6:$S$5005,S3221,$D$6:$D$5005,"Vastgesteld"))</f>
        <v/>
      </c>
      <c r="U3221" s="15">
        <f>IF(T3221="",0,IF(AND(G3221=T3221,COUNTIFS($S$6:S3221,S3221,$G$6:G3221,G3221,$D$6:D3221,"Vastgesteld")=1),1,0))</f>
        <v>0</v>
      </c>
      <c r="V3221" s="15">
        <f>IF(T3221="",0,IF(AND(G3221=T3221,COUNTIFS($S$6:S3221,S3221,$G$6:G3221,G3221,$D$6:D3221,"Vastgesteld")&gt;1),1,0))</f>
        <v>0</v>
      </c>
    </row>
    <row r="3222">
      <c r="S3222" s="15" t="str">
        <f>IF(J3222="","",J3222&amp;"|"&amp;E3222&amp;"|"&amp;F3222&amp;"|"&amp;I3222&amp;"|"&amp;O3222)</f>
        <v/>
      </c>
      <c r="T3222" s="15" t="str">
        <f>IF(OR(S3222="",D3222&lt;&gt;"Vastgesteld"),"",_xlfn.MAXIFS($G$6:$G$5005,$S$6:$S$5005,S3222,$D$6:$D$5005,"Vastgesteld"))</f>
        <v/>
      </c>
      <c r="U3222" s="15">
        <f>IF(T3222="",0,IF(AND(G3222=T3222,COUNTIFS($S$6:S3222,S3222,$G$6:G3222,G3222,$D$6:D3222,"Vastgesteld")=1),1,0))</f>
        <v>0</v>
      </c>
      <c r="V3222" s="15">
        <f>IF(T3222="",0,IF(AND(G3222=T3222,COUNTIFS($S$6:S3222,S3222,$G$6:G3222,G3222,$D$6:D3222,"Vastgesteld")&gt;1),1,0))</f>
        <v>0</v>
      </c>
    </row>
    <row r="3223">
      <c r="S3223" s="15" t="str">
        <f>IF(J3223="","",J3223&amp;"|"&amp;E3223&amp;"|"&amp;F3223&amp;"|"&amp;I3223&amp;"|"&amp;O3223)</f>
        <v/>
      </c>
      <c r="T3223" s="15" t="str">
        <f>IF(OR(S3223="",D3223&lt;&gt;"Vastgesteld"),"",_xlfn.MAXIFS($G$6:$G$5005,$S$6:$S$5005,S3223,$D$6:$D$5005,"Vastgesteld"))</f>
        <v/>
      </c>
      <c r="U3223" s="15">
        <f>IF(T3223="",0,IF(AND(G3223=T3223,COUNTIFS($S$6:S3223,S3223,$G$6:G3223,G3223,$D$6:D3223,"Vastgesteld")=1),1,0))</f>
        <v>0</v>
      </c>
      <c r="V3223" s="15">
        <f>IF(T3223="",0,IF(AND(G3223=T3223,COUNTIFS($S$6:S3223,S3223,$G$6:G3223,G3223,$D$6:D3223,"Vastgesteld")&gt;1),1,0))</f>
        <v>0</v>
      </c>
    </row>
    <row r="3224">
      <c r="S3224" s="15" t="str">
        <f>IF(J3224="","",J3224&amp;"|"&amp;E3224&amp;"|"&amp;F3224&amp;"|"&amp;I3224&amp;"|"&amp;O3224)</f>
        <v/>
      </c>
      <c r="T3224" s="15" t="str">
        <f>IF(OR(S3224="",D3224&lt;&gt;"Vastgesteld"),"",_xlfn.MAXIFS($G$6:$G$5005,$S$6:$S$5005,S3224,$D$6:$D$5005,"Vastgesteld"))</f>
        <v/>
      </c>
      <c r="U3224" s="15">
        <f>IF(T3224="",0,IF(AND(G3224=T3224,COUNTIFS($S$6:S3224,S3224,$G$6:G3224,G3224,$D$6:D3224,"Vastgesteld")=1),1,0))</f>
        <v>0</v>
      </c>
      <c r="V3224" s="15">
        <f>IF(T3224="",0,IF(AND(G3224=T3224,COUNTIFS($S$6:S3224,S3224,$G$6:G3224,G3224,$D$6:D3224,"Vastgesteld")&gt;1),1,0))</f>
        <v>0</v>
      </c>
    </row>
    <row r="3225">
      <c r="S3225" s="15" t="str">
        <f>IF(J3225="","",J3225&amp;"|"&amp;E3225&amp;"|"&amp;F3225&amp;"|"&amp;I3225&amp;"|"&amp;O3225)</f>
        <v/>
      </c>
      <c r="T3225" s="15" t="str">
        <f>IF(OR(S3225="",D3225&lt;&gt;"Vastgesteld"),"",_xlfn.MAXIFS($G$6:$G$5005,$S$6:$S$5005,S3225,$D$6:$D$5005,"Vastgesteld"))</f>
        <v/>
      </c>
      <c r="U3225" s="15">
        <f>IF(T3225="",0,IF(AND(G3225=T3225,COUNTIFS($S$6:S3225,S3225,$G$6:G3225,G3225,$D$6:D3225,"Vastgesteld")=1),1,0))</f>
        <v>0</v>
      </c>
      <c r="V3225" s="15">
        <f>IF(T3225="",0,IF(AND(G3225=T3225,COUNTIFS($S$6:S3225,S3225,$G$6:G3225,G3225,$D$6:D3225,"Vastgesteld")&gt;1),1,0))</f>
        <v>0</v>
      </c>
    </row>
    <row r="3226">
      <c r="S3226" s="15" t="str">
        <f>IF(J3226="","",J3226&amp;"|"&amp;E3226&amp;"|"&amp;F3226&amp;"|"&amp;I3226&amp;"|"&amp;O3226)</f>
        <v/>
      </c>
      <c r="T3226" s="15" t="str">
        <f>IF(OR(S3226="",D3226&lt;&gt;"Vastgesteld"),"",_xlfn.MAXIFS($G$6:$G$5005,$S$6:$S$5005,S3226,$D$6:$D$5005,"Vastgesteld"))</f>
        <v/>
      </c>
      <c r="U3226" s="15">
        <f>IF(T3226="",0,IF(AND(G3226=T3226,COUNTIFS($S$6:S3226,S3226,$G$6:G3226,G3226,$D$6:D3226,"Vastgesteld")=1),1,0))</f>
        <v>0</v>
      </c>
      <c r="V3226" s="15">
        <f>IF(T3226="",0,IF(AND(G3226=T3226,COUNTIFS($S$6:S3226,S3226,$G$6:G3226,G3226,$D$6:D3226,"Vastgesteld")&gt;1),1,0))</f>
        <v>0</v>
      </c>
    </row>
    <row r="3227">
      <c r="S3227" s="15" t="str">
        <f>IF(J3227="","",J3227&amp;"|"&amp;E3227&amp;"|"&amp;F3227&amp;"|"&amp;I3227&amp;"|"&amp;O3227)</f>
        <v/>
      </c>
      <c r="T3227" s="15" t="str">
        <f>IF(OR(S3227="",D3227&lt;&gt;"Vastgesteld"),"",_xlfn.MAXIFS($G$6:$G$5005,$S$6:$S$5005,S3227,$D$6:$D$5005,"Vastgesteld"))</f>
        <v/>
      </c>
      <c r="U3227" s="15">
        <f>IF(T3227="",0,IF(AND(G3227=T3227,COUNTIFS($S$6:S3227,S3227,$G$6:G3227,G3227,$D$6:D3227,"Vastgesteld")=1),1,0))</f>
        <v>0</v>
      </c>
      <c r="V3227" s="15">
        <f>IF(T3227="",0,IF(AND(G3227=T3227,COUNTIFS($S$6:S3227,S3227,$G$6:G3227,G3227,$D$6:D3227,"Vastgesteld")&gt;1),1,0))</f>
        <v>0</v>
      </c>
    </row>
    <row r="3228">
      <c r="S3228" s="15" t="str">
        <f>IF(J3228="","",J3228&amp;"|"&amp;E3228&amp;"|"&amp;F3228&amp;"|"&amp;I3228&amp;"|"&amp;O3228)</f>
        <v/>
      </c>
      <c r="T3228" s="15" t="str">
        <f>IF(OR(S3228="",D3228&lt;&gt;"Vastgesteld"),"",_xlfn.MAXIFS($G$6:$G$5005,$S$6:$S$5005,S3228,$D$6:$D$5005,"Vastgesteld"))</f>
        <v/>
      </c>
      <c r="U3228" s="15">
        <f>IF(T3228="",0,IF(AND(G3228=T3228,COUNTIFS($S$6:S3228,S3228,$G$6:G3228,G3228,$D$6:D3228,"Vastgesteld")=1),1,0))</f>
        <v>0</v>
      </c>
      <c r="V3228" s="15">
        <f>IF(T3228="",0,IF(AND(G3228=T3228,COUNTIFS($S$6:S3228,S3228,$G$6:G3228,G3228,$D$6:D3228,"Vastgesteld")&gt;1),1,0))</f>
        <v>0</v>
      </c>
    </row>
    <row r="3229">
      <c r="S3229" s="15" t="str">
        <f>IF(J3229="","",J3229&amp;"|"&amp;E3229&amp;"|"&amp;F3229&amp;"|"&amp;I3229&amp;"|"&amp;O3229)</f>
        <v/>
      </c>
      <c r="T3229" s="15" t="str">
        <f>IF(OR(S3229="",D3229&lt;&gt;"Vastgesteld"),"",_xlfn.MAXIFS($G$6:$G$5005,$S$6:$S$5005,S3229,$D$6:$D$5005,"Vastgesteld"))</f>
        <v/>
      </c>
      <c r="U3229" s="15">
        <f>IF(T3229="",0,IF(AND(G3229=T3229,COUNTIFS($S$6:S3229,S3229,$G$6:G3229,G3229,$D$6:D3229,"Vastgesteld")=1),1,0))</f>
        <v>0</v>
      </c>
      <c r="V3229" s="15">
        <f>IF(T3229="",0,IF(AND(G3229=T3229,COUNTIFS($S$6:S3229,S3229,$G$6:G3229,G3229,$D$6:D3229,"Vastgesteld")&gt;1),1,0))</f>
        <v>0</v>
      </c>
    </row>
    <row r="3230">
      <c r="S3230" s="15" t="str">
        <f>IF(J3230="","",J3230&amp;"|"&amp;E3230&amp;"|"&amp;F3230&amp;"|"&amp;I3230&amp;"|"&amp;O3230)</f>
        <v/>
      </c>
      <c r="T3230" s="15" t="str">
        <f>IF(OR(S3230="",D3230&lt;&gt;"Vastgesteld"),"",_xlfn.MAXIFS($G$6:$G$5005,$S$6:$S$5005,S3230,$D$6:$D$5005,"Vastgesteld"))</f>
        <v/>
      </c>
      <c r="U3230" s="15">
        <f>IF(T3230="",0,IF(AND(G3230=T3230,COUNTIFS($S$6:S3230,S3230,$G$6:G3230,G3230,$D$6:D3230,"Vastgesteld")=1),1,0))</f>
        <v>0</v>
      </c>
      <c r="V3230" s="15">
        <f>IF(T3230="",0,IF(AND(G3230=T3230,COUNTIFS($S$6:S3230,S3230,$G$6:G3230,G3230,$D$6:D3230,"Vastgesteld")&gt;1),1,0))</f>
        <v>0</v>
      </c>
    </row>
    <row r="3231">
      <c r="S3231" s="15" t="str">
        <f>IF(J3231="","",J3231&amp;"|"&amp;E3231&amp;"|"&amp;F3231&amp;"|"&amp;I3231&amp;"|"&amp;O3231)</f>
        <v/>
      </c>
      <c r="T3231" s="15" t="str">
        <f>IF(OR(S3231="",D3231&lt;&gt;"Vastgesteld"),"",_xlfn.MAXIFS($G$6:$G$5005,$S$6:$S$5005,S3231,$D$6:$D$5005,"Vastgesteld"))</f>
        <v/>
      </c>
      <c r="U3231" s="15">
        <f>IF(T3231="",0,IF(AND(G3231=T3231,COUNTIFS($S$6:S3231,S3231,$G$6:G3231,G3231,$D$6:D3231,"Vastgesteld")=1),1,0))</f>
        <v>0</v>
      </c>
      <c r="V3231" s="15">
        <f>IF(T3231="",0,IF(AND(G3231=T3231,COUNTIFS($S$6:S3231,S3231,$G$6:G3231,G3231,$D$6:D3231,"Vastgesteld")&gt;1),1,0))</f>
        <v>0</v>
      </c>
    </row>
    <row r="3232">
      <c r="S3232" s="15" t="str">
        <f>IF(J3232="","",J3232&amp;"|"&amp;E3232&amp;"|"&amp;F3232&amp;"|"&amp;I3232&amp;"|"&amp;O3232)</f>
        <v/>
      </c>
      <c r="T3232" s="15" t="str">
        <f>IF(OR(S3232="",D3232&lt;&gt;"Vastgesteld"),"",_xlfn.MAXIFS($G$6:$G$5005,$S$6:$S$5005,S3232,$D$6:$D$5005,"Vastgesteld"))</f>
        <v/>
      </c>
      <c r="U3232" s="15">
        <f>IF(T3232="",0,IF(AND(G3232=T3232,COUNTIFS($S$6:S3232,S3232,$G$6:G3232,G3232,$D$6:D3232,"Vastgesteld")=1),1,0))</f>
        <v>0</v>
      </c>
      <c r="V3232" s="15">
        <f>IF(T3232="",0,IF(AND(G3232=T3232,COUNTIFS($S$6:S3232,S3232,$G$6:G3232,G3232,$D$6:D3232,"Vastgesteld")&gt;1),1,0))</f>
        <v>0</v>
      </c>
    </row>
    <row r="3233">
      <c r="S3233" s="15" t="str">
        <f>IF(J3233="","",J3233&amp;"|"&amp;E3233&amp;"|"&amp;F3233&amp;"|"&amp;I3233&amp;"|"&amp;O3233)</f>
        <v/>
      </c>
      <c r="T3233" s="15" t="str">
        <f>IF(OR(S3233="",D3233&lt;&gt;"Vastgesteld"),"",_xlfn.MAXIFS($G$6:$G$5005,$S$6:$S$5005,S3233,$D$6:$D$5005,"Vastgesteld"))</f>
        <v/>
      </c>
      <c r="U3233" s="15">
        <f>IF(T3233="",0,IF(AND(G3233=T3233,COUNTIFS($S$6:S3233,S3233,$G$6:G3233,G3233,$D$6:D3233,"Vastgesteld")=1),1,0))</f>
        <v>0</v>
      </c>
      <c r="V3233" s="15">
        <f>IF(T3233="",0,IF(AND(G3233=T3233,COUNTIFS($S$6:S3233,S3233,$G$6:G3233,G3233,$D$6:D3233,"Vastgesteld")&gt;1),1,0))</f>
        <v>0</v>
      </c>
    </row>
    <row r="3234">
      <c r="S3234" s="15" t="str">
        <f>IF(J3234="","",J3234&amp;"|"&amp;E3234&amp;"|"&amp;F3234&amp;"|"&amp;I3234&amp;"|"&amp;O3234)</f>
        <v/>
      </c>
      <c r="T3234" s="15" t="str">
        <f>IF(OR(S3234="",D3234&lt;&gt;"Vastgesteld"),"",_xlfn.MAXIFS($G$6:$G$5005,$S$6:$S$5005,S3234,$D$6:$D$5005,"Vastgesteld"))</f>
        <v/>
      </c>
      <c r="U3234" s="15">
        <f>IF(T3234="",0,IF(AND(G3234=T3234,COUNTIFS($S$6:S3234,S3234,$G$6:G3234,G3234,$D$6:D3234,"Vastgesteld")=1),1,0))</f>
        <v>0</v>
      </c>
      <c r="V3234" s="15">
        <f>IF(T3234="",0,IF(AND(G3234=T3234,COUNTIFS($S$6:S3234,S3234,$G$6:G3234,G3234,$D$6:D3234,"Vastgesteld")&gt;1),1,0))</f>
        <v>0</v>
      </c>
    </row>
    <row r="3235">
      <c r="S3235" s="15" t="str">
        <f>IF(J3235="","",J3235&amp;"|"&amp;E3235&amp;"|"&amp;F3235&amp;"|"&amp;I3235&amp;"|"&amp;O3235)</f>
        <v/>
      </c>
      <c r="T3235" s="15" t="str">
        <f>IF(OR(S3235="",D3235&lt;&gt;"Vastgesteld"),"",_xlfn.MAXIFS($G$6:$G$5005,$S$6:$S$5005,S3235,$D$6:$D$5005,"Vastgesteld"))</f>
        <v/>
      </c>
      <c r="U3235" s="15">
        <f>IF(T3235="",0,IF(AND(G3235=T3235,COUNTIFS($S$6:S3235,S3235,$G$6:G3235,G3235,$D$6:D3235,"Vastgesteld")=1),1,0))</f>
        <v>0</v>
      </c>
      <c r="V3235" s="15">
        <f>IF(T3235="",0,IF(AND(G3235=T3235,COUNTIFS($S$6:S3235,S3235,$G$6:G3235,G3235,$D$6:D3235,"Vastgesteld")&gt;1),1,0))</f>
        <v>0</v>
      </c>
    </row>
    <row r="3236">
      <c r="S3236" s="15" t="str">
        <f>IF(J3236="","",J3236&amp;"|"&amp;E3236&amp;"|"&amp;F3236&amp;"|"&amp;I3236&amp;"|"&amp;O3236)</f>
        <v/>
      </c>
      <c r="T3236" s="15" t="str">
        <f>IF(OR(S3236="",D3236&lt;&gt;"Vastgesteld"),"",_xlfn.MAXIFS($G$6:$G$5005,$S$6:$S$5005,S3236,$D$6:$D$5005,"Vastgesteld"))</f>
        <v/>
      </c>
      <c r="U3236" s="15">
        <f>IF(T3236="",0,IF(AND(G3236=T3236,COUNTIFS($S$6:S3236,S3236,$G$6:G3236,G3236,$D$6:D3236,"Vastgesteld")=1),1,0))</f>
        <v>0</v>
      </c>
      <c r="V3236" s="15">
        <f>IF(T3236="",0,IF(AND(G3236=T3236,COUNTIFS($S$6:S3236,S3236,$G$6:G3236,G3236,$D$6:D3236,"Vastgesteld")&gt;1),1,0))</f>
        <v>0</v>
      </c>
    </row>
    <row r="3237">
      <c r="S3237" s="15" t="str">
        <f>IF(J3237="","",J3237&amp;"|"&amp;E3237&amp;"|"&amp;F3237&amp;"|"&amp;I3237&amp;"|"&amp;O3237)</f>
        <v/>
      </c>
      <c r="T3237" s="15" t="str">
        <f>IF(OR(S3237="",D3237&lt;&gt;"Vastgesteld"),"",_xlfn.MAXIFS($G$6:$G$5005,$S$6:$S$5005,S3237,$D$6:$D$5005,"Vastgesteld"))</f>
        <v/>
      </c>
      <c r="U3237" s="15">
        <f>IF(T3237="",0,IF(AND(G3237=T3237,COUNTIFS($S$6:S3237,S3237,$G$6:G3237,G3237,$D$6:D3237,"Vastgesteld")=1),1,0))</f>
        <v>0</v>
      </c>
      <c r="V3237" s="15">
        <f>IF(T3237="",0,IF(AND(G3237=T3237,COUNTIFS($S$6:S3237,S3237,$G$6:G3237,G3237,$D$6:D3237,"Vastgesteld")&gt;1),1,0))</f>
        <v>0</v>
      </c>
    </row>
    <row r="3238">
      <c r="S3238" s="15" t="str">
        <f>IF(J3238="","",J3238&amp;"|"&amp;E3238&amp;"|"&amp;F3238&amp;"|"&amp;I3238&amp;"|"&amp;O3238)</f>
        <v/>
      </c>
      <c r="T3238" s="15" t="str">
        <f>IF(OR(S3238="",D3238&lt;&gt;"Vastgesteld"),"",_xlfn.MAXIFS($G$6:$G$5005,$S$6:$S$5005,S3238,$D$6:$D$5005,"Vastgesteld"))</f>
        <v/>
      </c>
      <c r="U3238" s="15">
        <f>IF(T3238="",0,IF(AND(G3238=T3238,COUNTIFS($S$6:S3238,S3238,$G$6:G3238,G3238,$D$6:D3238,"Vastgesteld")=1),1,0))</f>
        <v>0</v>
      </c>
      <c r="V3238" s="15">
        <f>IF(T3238="",0,IF(AND(G3238=T3238,COUNTIFS($S$6:S3238,S3238,$G$6:G3238,G3238,$D$6:D3238,"Vastgesteld")&gt;1),1,0))</f>
        <v>0</v>
      </c>
    </row>
    <row r="3239">
      <c r="S3239" s="15" t="str">
        <f>IF(J3239="","",J3239&amp;"|"&amp;E3239&amp;"|"&amp;F3239&amp;"|"&amp;I3239&amp;"|"&amp;O3239)</f>
        <v/>
      </c>
      <c r="T3239" s="15" t="str">
        <f>IF(OR(S3239="",D3239&lt;&gt;"Vastgesteld"),"",_xlfn.MAXIFS($G$6:$G$5005,$S$6:$S$5005,S3239,$D$6:$D$5005,"Vastgesteld"))</f>
        <v/>
      </c>
      <c r="U3239" s="15">
        <f>IF(T3239="",0,IF(AND(G3239=T3239,COUNTIFS($S$6:S3239,S3239,$G$6:G3239,G3239,$D$6:D3239,"Vastgesteld")=1),1,0))</f>
        <v>0</v>
      </c>
      <c r="V3239" s="15">
        <f>IF(T3239="",0,IF(AND(G3239=T3239,COUNTIFS($S$6:S3239,S3239,$G$6:G3239,G3239,$D$6:D3239,"Vastgesteld")&gt;1),1,0))</f>
        <v>0</v>
      </c>
    </row>
    <row r="3240">
      <c r="S3240" s="15" t="str">
        <f>IF(J3240="","",J3240&amp;"|"&amp;E3240&amp;"|"&amp;F3240&amp;"|"&amp;I3240&amp;"|"&amp;O3240)</f>
        <v/>
      </c>
      <c r="T3240" s="15" t="str">
        <f>IF(OR(S3240="",D3240&lt;&gt;"Vastgesteld"),"",_xlfn.MAXIFS($G$6:$G$5005,$S$6:$S$5005,S3240,$D$6:$D$5005,"Vastgesteld"))</f>
        <v/>
      </c>
      <c r="U3240" s="15">
        <f>IF(T3240="",0,IF(AND(G3240=T3240,COUNTIFS($S$6:S3240,S3240,$G$6:G3240,G3240,$D$6:D3240,"Vastgesteld")=1),1,0))</f>
        <v>0</v>
      </c>
      <c r="V3240" s="15">
        <f>IF(T3240="",0,IF(AND(G3240=T3240,COUNTIFS($S$6:S3240,S3240,$G$6:G3240,G3240,$D$6:D3240,"Vastgesteld")&gt;1),1,0))</f>
        <v>0</v>
      </c>
    </row>
    <row r="3241">
      <c r="S3241" s="15" t="str">
        <f>IF(J3241="","",J3241&amp;"|"&amp;E3241&amp;"|"&amp;F3241&amp;"|"&amp;I3241&amp;"|"&amp;O3241)</f>
        <v/>
      </c>
      <c r="T3241" s="15" t="str">
        <f>IF(OR(S3241="",D3241&lt;&gt;"Vastgesteld"),"",_xlfn.MAXIFS($G$6:$G$5005,$S$6:$S$5005,S3241,$D$6:$D$5005,"Vastgesteld"))</f>
        <v/>
      </c>
      <c r="U3241" s="15">
        <f>IF(T3241="",0,IF(AND(G3241=T3241,COUNTIFS($S$6:S3241,S3241,$G$6:G3241,G3241,$D$6:D3241,"Vastgesteld")=1),1,0))</f>
        <v>0</v>
      </c>
      <c r="V3241" s="15">
        <f>IF(T3241="",0,IF(AND(G3241=T3241,COUNTIFS($S$6:S3241,S3241,$G$6:G3241,G3241,$D$6:D3241,"Vastgesteld")&gt;1),1,0))</f>
        <v>0</v>
      </c>
    </row>
    <row r="3242">
      <c r="S3242" s="15" t="str">
        <f>IF(J3242="","",J3242&amp;"|"&amp;E3242&amp;"|"&amp;F3242&amp;"|"&amp;I3242&amp;"|"&amp;O3242)</f>
        <v/>
      </c>
      <c r="T3242" s="15" t="str">
        <f>IF(OR(S3242="",D3242&lt;&gt;"Vastgesteld"),"",_xlfn.MAXIFS($G$6:$G$5005,$S$6:$S$5005,S3242,$D$6:$D$5005,"Vastgesteld"))</f>
        <v/>
      </c>
      <c r="U3242" s="15">
        <f>IF(T3242="",0,IF(AND(G3242=T3242,COUNTIFS($S$6:S3242,S3242,$G$6:G3242,G3242,$D$6:D3242,"Vastgesteld")=1),1,0))</f>
        <v>0</v>
      </c>
      <c r="V3242" s="15">
        <f>IF(T3242="",0,IF(AND(G3242=T3242,COUNTIFS($S$6:S3242,S3242,$G$6:G3242,G3242,$D$6:D3242,"Vastgesteld")&gt;1),1,0))</f>
        <v>0</v>
      </c>
    </row>
    <row r="3243">
      <c r="S3243" s="15" t="str">
        <f>IF(J3243="","",J3243&amp;"|"&amp;E3243&amp;"|"&amp;F3243&amp;"|"&amp;I3243&amp;"|"&amp;O3243)</f>
        <v/>
      </c>
      <c r="T3243" s="15" t="str">
        <f>IF(OR(S3243="",D3243&lt;&gt;"Vastgesteld"),"",_xlfn.MAXIFS($G$6:$G$5005,$S$6:$S$5005,S3243,$D$6:$D$5005,"Vastgesteld"))</f>
        <v/>
      </c>
      <c r="U3243" s="15">
        <f>IF(T3243="",0,IF(AND(G3243=T3243,COUNTIFS($S$6:S3243,S3243,$G$6:G3243,G3243,$D$6:D3243,"Vastgesteld")=1),1,0))</f>
        <v>0</v>
      </c>
      <c r="V3243" s="15">
        <f>IF(T3243="",0,IF(AND(G3243=T3243,COUNTIFS($S$6:S3243,S3243,$G$6:G3243,G3243,$D$6:D3243,"Vastgesteld")&gt;1),1,0))</f>
        <v>0</v>
      </c>
    </row>
    <row r="3244">
      <c r="S3244" s="15" t="str">
        <f>IF(J3244="","",J3244&amp;"|"&amp;E3244&amp;"|"&amp;F3244&amp;"|"&amp;I3244&amp;"|"&amp;O3244)</f>
        <v/>
      </c>
      <c r="T3244" s="15" t="str">
        <f>IF(OR(S3244="",D3244&lt;&gt;"Vastgesteld"),"",_xlfn.MAXIFS($G$6:$G$5005,$S$6:$S$5005,S3244,$D$6:$D$5005,"Vastgesteld"))</f>
        <v/>
      </c>
      <c r="U3244" s="15">
        <f>IF(T3244="",0,IF(AND(G3244=T3244,COUNTIFS($S$6:S3244,S3244,$G$6:G3244,G3244,$D$6:D3244,"Vastgesteld")=1),1,0))</f>
        <v>0</v>
      </c>
      <c r="V3244" s="15">
        <f>IF(T3244="",0,IF(AND(G3244=T3244,COUNTIFS($S$6:S3244,S3244,$G$6:G3244,G3244,$D$6:D3244,"Vastgesteld")&gt;1),1,0))</f>
        <v>0</v>
      </c>
    </row>
    <row r="3245">
      <c r="S3245" s="15" t="str">
        <f>IF(J3245="","",J3245&amp;"|"&amp;E3245&amp;"|"&amp;F3245&amp;"|"&amp;I3245&amp;"|"&amp;O3245)</f>
        <v/>
      </c>
      <c r="T3245" s="15" t="str">
        <f>IF(OR(S3245="",D3245&lt;&gt;"Vastgesteld"),"",_xlfn.MAXIFS($G$6:$G$5005,$S$6:$S$5005,S3245,$D$6:$D$5005,"Vastgesteld"))</f>
        <v/>
      </c>
      <c r="U3245" s="15">
        <f>IF(T3245="",0,IF(AND(G3245=T3245,COUNTIFS($S$6:S3245,S3245,$G$6:G3245,G3245,$D$6:D3245,"Vastgesteld")=1),1,0))</f>
        <v>0</v>
      </c>
      <c r="V3245" s="15">
        <f>IF(T3245="",0,IF(AND(G3245=T3245,COUNTIFS($S$6:S3245,S3245,$G$6:G3245,G3245,$D$6:D3245,"Vastgesteld")&gt;1),1,0))</f>
        <v>0</v>
      </c>
    </row>
    <row r="3246">
      <c r="S3246" s="15" t="str">
        <f>IF(J3246="","",J3246&amp;"|"&amp;E3246&amp;"|"&amp;F3246&amp;"|"&amp;I3246&amp;"|"&amp;O3246)</f>
        <v/>
      </c>
      <c r="T3246" s="15" t="str">
        <f>IF(OR(S3246="",D3246&lt;&gt;"Vastgesteld"),"",_xlfn.MAXIFS($G$6:$G$5005,$S$6:$S$5005,S3246,$D$6:$D$5005,"Vastgesteld"))</f>
        <v/>
      </c>
      <c r="U3246" s="15">
        <f>IF(T3246="",0,IF(AND(G3246=T3246,COUNTIFS($S$6:S3246,S3246,$G$6:G3246,G3246,$D$6:D3246,"Vastgesteld")=1),1,0))</f>
        <v>0</v>
      </c>
      <c r="V3246" s="15">
        <f>IF(T3246="",0,IF(AND(G3246=T3246,COUNTIFS($S$6:S3246,S3246,$G$6:G3246,G3246,$D$6:D3246,"Vastgesteld")&gt;1),1,0))</f>
        <v>0</v>
      </c>
    </row>
    <row r="3247">
      <c r="S3247" s="15" t="str">
        <f>IF(J3247="","",J3247&amp;"|"&amp;E3247&amp;"|"&amp;F3247&amp;"|"&amp;I3247&amp;"|"&amp;O3247)</f>
        <v/>
      </c>
      <c r="T3247" s="15" t="str">
        <f>IF(OR(S3247="",D3247&lt;&gt;"Vastgesteld"),"",_xlfn.MAXIFS($G$6:$G$5005,$S$6:$S$5005,S3247,$D$6:$D$5005,"Vastgesteld"))</f>
        <v/>
      </c>
      <c r="U3247" s="15">
        <f>IF(T3247="",0,IF(AND(G3247=T3247,COUNTIFS($S$6:S3247,S3247,$G$6:G3247,G3247,$D$6:D3247,"Vastgesteld")=1),1,0))</f>
        <v>0</v>
      </c>
      <c r="V3247" s="15">
        <f>IF(T3247="",0,IF(AND(G3247=T3247,COUNTIFS($S$6:S3247,S3247,$G$6:G3247,G3247,$D$6:D3247,"Vastgesteld")&gt;1),1,0))</f>
        <v>0</v>
      </c>
    </row>
    <row r="3248">
      <c r="S3248" s="15" t="str">
        <f>IF(J3248="","",J3248&amp;"|"&amp;E3248&amp;"|"&amp;F3248&amp;"|"&amp;I3248&amp;"|"&amp;O3248)</f>
        <v/>
      </c>
      <c r="T3248" s="15" t="str">
        <f>IF(OR(S3248="",D3248&lt;&gt;"Vastgesteld"),"",_xlfn.MAXIFS($G$6:$G$5005,$S$6:$S$5005,S3248,$D$6:$D$5005,"Vastgesteld"))</f>
        <v/>
      </c>
      <c r="U3248" s="15">
        <f>IF(T3248="",0,IF(AND(G3248=T3248,COUNTIFS($S$6:S3248,S3248,$G$6:G3248,G3248,$D$6:D3248,"Vastgesteld")=1),1,0))</f>
        <v>0</v>
      </c>
      <c r="V3248" s="15">
        <f>IF(T3248="",0,IF(AND(G3248=T3248,COUNTIFS($S$6:S3248,S3248,$G$6:G3248,G3248,$D$6:D3248,"Vastgesteld")&gt;1),1,0))</f>
        <v>0</v>
      </c>
    </row>
    <row r="3249">
      <c r="S3249" s="15" t="str">
        <f>IF(J3249="","",J3249&amp;"|"&amp;E3249&amp;"|"&amp;F3249&amp;"|"&amp;I3249&amp;"|"&amp;O3249)</f>
        <v/>
      </c>
      <c r="T3249" s="15" t="str">
        <f>IF(OR(S3249="",D3249&lt;&gt;"Vastgesteld"),"",_xlfn.MAXIFS($G$6:$G$5005,$S$6:$S$5005,S3249,$D$6:$D$5005,"Vastgesteld"))</f>
        <v/>
      </c>
      <c r="U3249" s="15">
        <f>IF(T3249="",0,IF(AND(G3249=T3249,COUNTIFS($S$6:S3249,S3249,$G$6:G3249,G3249,$D$6:D3249,"Vastgesteld")=1),1,0))</f>
        <v>0</v>
      </c>
      <c r="V3249" s="15">
        <f>IF(T3249="",0,IF(AND(G3249=T3249,COUNTIFS($S$6:S3249,S3249,$G$6:G3249,G3249,$D$6:D3249,"Vastgesteld")&gt;1),1,0))</f>
        <v>0</v>
      </c>
    </row>
    <row r="3250">
      <c r="S3250" s="15" t="str">
        <f>IF(J3250="","",J3250&amp;"|"&amp;E3250&amp;"|"&amp;F3250&amp;"|"&amp;I3250&amp;"|"&amp;O3250)</f>
        <v/>
      </c>
      <c r="T3250" s="15" t="str">
        <f>IF(OR(S3250="",D3250&lt;&gt;"Vastgesteld"),"",_xlfn.MAXIFS($G$6:$G$5005,$S$6:$S$5005,S3250,$D$6:$D$5005,"Vastgesteld"))</f>
        <v/>
      </c>
      <c r="U3250" s="15">
        <f>IF(T3250="",0,IF(AND(G3250=T3250,COUNTIFS($S$6:S3250,S3250,$G$6:G3250,G3250,$D$6:D3250,"Vastgesteld")=1),1,0))</f>
        <v>0</v>
      </c>
      <c r="V3250" s="15">
        <f>IF(T3250="",0,IF(AND(G3250=T3250,COUNTIFS($S$6:S3250,S3250,$G$6:G3250,G3250,$D$6:D3250,"Vastgesteld")&gt;1),1,0))</f>
        <v>0</v>
      </c>
    </row>
    <row r="3251">
      <c r="S3251" s="15" t="str">
        <f>IF(J3251="","",J3251&amp;"|"&amp;E3251&amp;"|"&amp;F3251&amp;"|"&amp;I3251&amp;"|"&amp;O3251)</f>
        <v/>
      </c>
      <c r="T3251" s="15" t="str">
        <f>IF(OR(S3251="",D3251&lt;&gt;"Vastgesteld"),"",_xlfn.MAXIFS($G$6:$G$5005,$S$6:$S$5005,S3251,$D$6:$D$5005,"Vastgesteld"))</f>
        <v/>
      </c>
      <c r="U3251" s="15">
        <f>IF(T3251="",0,IF(AND(G3251=T3251,COUNTIFS($S$6:S3251,S3251,$G$6:G3251,G3251,$D$6:D3251,"Vastgesteld")=1),1,0))</f>
        <v>0</v>
      </c>
      <c r="V3251" s="15">
        <f>IF(T3251="",0,IF(AND(G3251=T3251,COUNTIFS($S$6:S3251,S3251,$G$6:G3251,G3251,$D$6:D3251,"Vastgesteld")&gt;1),1,0))</f>
        <v>0</v>
      </c>
    </row>
    <row r="3252">
      <c r="S3252" s="15" t="str">
        <f>IF(J3252="","",J3252&amp;"|"&amp;E3252&amp;"|"&amp;F3252&amp;"|"&amp;I3252&amp;"|"&amp;O3252)</f>
        <v/>
      </c>
      <c r="T3252" s="15" t="str">
        <f>IF(OR(S3252="",D3252&lt;&gt;"Vastgesteld"),"",_xlfn.MAXIFS($G$6:$G$5005,$S$6:$S$5005,S3252,$D$6:$D$5005,"Vastgesteld"))</f>
        <v/>
      </c>
      <c r="U3252" s="15">
        <f>IF(T3252="",0,IF(AND(G3252=T3252,COUNTIFS($S$6:S3252,S3252,$G$6:G3252,G3252,$D$6:D3252,"Vastgesteld")=1),1,0))</f>
        <v>0</v>
      </c>
      <c r="V3252" s="15">
        <f>IF(T3252="",0,IF(AND(G3252=T3252,COUNTIFS($S$6:S3252,S3252,$G$6:G3252,G3252,$D$6:D3252,"Vastgesteld")&gt;1),1,0))</f>
        <v>0</v>
      </c>
    </row>
    <row r="3253">
      <c r="S3253" s="15" t="str">
        <f>IF(J3253="","",J3253&amp;"|"&amp;E3253&amp;"|"&amp;F3253&amp;"|"&amp;I3253&amp;"|"&amp;O3253)</f>
        <v/>
      </c>
      <c r="T3253" s="15" t="str">
        <f>IF(OR(S3253="",D3253&lt;&gt;"Vastgesteld"),"",_xlfn.MAXIFS($G$6:$G$5005,$S$6:$S$5005,S3253,$D$6:$D$5005,"Vastgesteld"))</f>
        <v/>
      </c>
      <c r="U3253" s="15">
        <f>IF(T3253="",0,IF(AND(G3253=T3253,COUNTIFS($S$6:S3253,S3253,$G$6:G3253,G3253,$D$6:D3253,"Vastgesteld")=1),1,0))</f>
        <v>0</v>
      </c>
      <c r="V3253" s="15">
        <f>IF(T3253="",0,IF(AND(G3253=T3253,COUNTIFS($S$6:S3253,S3253,$G$6:G3253,G3253,$D$6:D3253,"Vastgesteld")&gt;1),1,0))</f>
        <v>0</v>
      </c>
    </row>
    <row r="3254">
      <c r="S3254" s="15" t="str">
        <f>IF(J3254="","",J3254&amp;"|"&amp;E3254&amp;"|"&amp;F3254&amp;"|"&amp;I3254&amp;"|"&amp;O3254)</f>
        <v/>
      </c>
      <c r="T3254" s="15" t="str">
        <f>IF(OR(S3254="",D3254&lt;&gt;"Vastgesteld"),"",_xlfn.MAXIFS($G$6:$G$5005,$S$6:$S$5005,S3254,$D$6:$D$5005,"Vastgesteld"))</f>
        <v/>
      </c>
      <c r="U3254" s="15">
        <f>IF(T3254="",0,IF(AND(G3254=T3254,COUNTIFS($S$6:S3254,S3254,$G$6:G3254,G3254,$D$6:D3254,"Vastgesteld")=1),1,0))</f>
        <v>0</v>
      </c>
      <c r="V3254" s="15">
        <f>IF(T3254="",0,IF(AND(G3254=T3254,COUNTIFS($S$6:S3254,S3254,$G$6:G3254,G3254,$D$6:D3254,"Vastgesteld")&gt;1),1,0))</f>
        <v>0</v>
      </c>
    </row>
    <row r="3255">
      <c r="S3255" s="15" t="str">
        <f>IF(J3255="","",J3255&amp;"|"&amp;E3255&amp;"|"&amp;F3255&amp;"|"&amp;I3255&amp;"|"&amp;O3255)</f>
        <v/>
      </c>
      <c r="T3255" s="15" t="str">
        <f>IF(OR(S3255="",D3255&lt;&gt;"Vastgesteld"),"",_xlfn.MAXIFS($G$6:$G$5005,$S$6:$S$5005,S3255,$D$6:$D$5005,"Vastgesteld"))</f>
        <v/>
      </c>
      <c r="U3255" s="15">
        <f>IF(T3255="",0,IF(AND(G3255=T3255,COUNTIFS($S$6:S3255,S3255,$G$6:G3255,G3255,$D$6:D3255,"Vastgesteld")=1),1,0))</f>
        <v>0</v>
      </c>
      <c r="V3255" s="15">
        <f>IF(T3255="",0,IF(AND(G3255=T3255,COUNTIFS($S$6:S3255,S3255,$G$6:G3255,G3255,$D$6:D3255,"Vastgesteld")&gt;1),1,0))</f>
        <v>0</v>
      </c>
    </row>
    <row r="3256">
      <c r="S3256" s="15" t="str">
        <f>IF(J3256="","",J3256&amp;"|"&amp;E3256&amp;"|"&amp;F3256&amp;"|"&amp;I3256&amp;"|"&amp;O3256)</f>
        <v/>
      </c>
      <c r="T3256" s="15" t="str">
        <f>IF(OR(S3256="",D3256&lt;&gt;"Vastgesteld"),"",_xlfn.MAXIFS($G$6:$G$5005,$S$6:$S$5005,S3256,$D$6:$D$5005,"Vastgesteld"))</f>
        <v/>
      </c>
      <c r="U3256" s="15">
        <f>IF(T3256="",0,IF(AND(G3256=T3256,COUNTIFS($S$6:S3256,S3256,$G$6:G3256,G3256,$D$6:D3256,"Vastgesteld")=1),1,0))</f>
        <v>0</v>
      </c>
      <c r="V3256" s="15">
        <f>IF(T3256="",0,IF(AND(G3256=T3256,COUNTIFS($S$6:S3256,S3256,$G$6:G3256,G3256,$D$6:D3256,"Vastgesteld")&gt;1),1,0))</f>
        <v>0</v>
      </c>
    </row>
    <row r="3257">
      <c r="S3257" s="15" t="str">
        <f>IF(J3257="","",J3257&amp;"|"&amp;E3257&amp;"|"&amp;F3257&amp;"|"&amp;I3257&amp;"|"&amp;O3257)</f>
        <v/>
      </c>
      <c r="T3257" s="15" t="str">
        <f>IF(OR(S3257="",D3257&lt;&gt;"Vastgesteld"),"",_xlfn.MAXIFS($G$6:$G$5005,$S$6:$S$5005,S3257,$D$6:$D$5005,"Vastgesteld"))</f>
        <v/>
      </c>
      <c r="U3257" s="15">
        <f>IF(T3257="",0,IF(AND(G3257=T3257,COUNTIFS($S$6:S3257,S3257,$G$6:G3257,G3257,$D$6:D3257,"Vastgesteld")=1),1,0))</f>
        <v>0</v>
      </c>
      <c r="V3257" s="15">
        <f>IF(T3257="",0,IF(AND(G3257=T3257,COUNTIFS($S$6:S3257,S3257,$G$6:G3257,G3257,$D$6:D3257,"Vastgesteld")&gt;1),1,0))</f>
        <v>0</v>
      </c>
    </row>
    <row r="3258">
      <c r="S3258" s="15" t="str">
        <f>IF(J3258="","",J3258&amp;"|"&amp;E3258&amp;"|"&amp;F3258&amp;"|"&amp;I3258&amp;"|"&amp;O3258)</f>
        <v/>
      </c>
      <c r="T3258" s="15" t="str">
        <f>IF(OR(S3258="",D3258&lt;&gt;"Vastgesteld"),"",_xlfn.MAXIFS($G$6:$G$5005,$S$6:$S$5005,S3258,$D$6:$D$5005,"Vastgesteld"))</f>
        <v/>
      </c>
      <c r="U3258" s="15">
        <f>IF(T3258="",0,IF(AND(G3258=T3258,COUNTIFS($S$6:S3258,S3258,$G$6:G3258,G3258,$D$6:D3258,"Vastgesteld")=1),1,0))</f>
        <v>0</v>
      </c>
      <c r="V3258" s="15">
        <f>IF(T3258="",0,IF(AND(G3258=T3258,COUNTIFS($S$6:S3258,S3258,$G$6:G3258,G3258,$D$6:D3258,"Vastgesteld")&gt;1),1,0))</f>
        <v>0</v>
      </c>
    </row>
    <row r="3259">
      <c r="S3259" s="15" t="str">
        <f>IF(J3259="","",J3259&amp;"|"&amp;E3259&amp;"|"&amp;F3259&amp;"|"&amp;I3259&amp;"|"&amp;O3259)</f>
        <v/>
      </c>
      <c r="T3259" s="15" t="str">
        <f>IF(OR(S3259="",D3259&lt;&gt;"Vastgesteld"),"",_xlfn.MAXIFS($G$6:$G$5005,$S$6:$S$5005,S3259,$D$6:$D$5005,"Vastgesteld"))</f>
        <v/>
      </c>
      <c r="U3259" s="15">
        <f>IF(T3259="",0,IF(AND(G3259=T3259,COUNTIFS($S$6:S3259,S3259,$G$6:G3259,G3259,$D$6:D3259,"Vastgesteld")=1),1,0))</f>
        <v>0</v>
      </c>
      <c r="V3259" s="15">
        <f>IF(T3259="",0,IF(AND(G3259=T3259,COUNTIFS($S$6:S3259,S3259,$G$6:G3259,G3259,$D$6:D3259,"Vastgesteld")&gt;1),1,0))</f>
        <v>0</v>
      </c>
    </row>
    <row r="3260">
      <c r="S3260" s="15" t="str">
        <f>IF(J3260="","",J3260&amp;"|"&amp;E3260&amp;"|"&amp;F3260&amp;"|"&amp;I3260&amp;"|"&amp;O3260)</f>
        <v/>
      </c>
      <c r="T3260" s="15" t="str">
        <f>IF(OR(S3260="",D3260&lt;&gt;"Vastgesteld"),"",_xlfn.MAXIFS($G$6:$G$5005,$S$6:$S$5005,S3260,$D$6:$D$5005,"Vastgesteld"))</f>
        <v/>
      </c>
      <c r="U3260" s="15">
        <f>IF(T3260="",0,IF(AND(G3260=T3260,COUNTIFS($S$6:S3260,S3260,$G$6:G3260,G3260,$D$6:D3260,"Vastgesteld")=1),1,0))</f>
        <v>0</v>
      </c>
      <c r="V3260" s="15">
        <f>IF(T3260="",0,IF(AND(G3260=T3260,COUNTIFS($S$6:S3260,S3260,$G$6:G3260,G3260,$D$6:D3260,"Vastgesteld")&gt;1),1,0))</f>
        <v>0</v>
      </c>
    </row>
    <row r="3261">
      <c r="S3261" s="15" t="str">
        <f>IF(J3261="","",J3261&amp;"|"&amp;E3261&amp;"|"&amp;F3261&amp;"|"&amp;I3261&amp;"|"&amp;O3261)</f>
        <v/>
      </c>
      <c r="T3261" s="15" t="str">
        <f>IF(OR(S3261="",D3261&lt;&gt;"Vastgesteld"),"",_xlfn.MAXIFS($G$6:$G$5005,$S$6:$S$5005,S3261,$D$6:$D$5005,"Vastgesteld"))</f>
        <v/>
      </c>
      <c r="U3261" s="15">
        <f>IF(T3261="",0,IF(AND(G3261=T3261,COUNTIFS($S$6:S3261,S3261,$G$6:G3261,G3261,$D$6:D3261,"Vastgesteld")=1),1,0))</f>
        <v>0</v>
      </c>
      <c r="V3261" s="15">
        <f>IF(T3261="",0,IF(AND(G3261=T3261,COUNTIFS($S$6:S3261,S3261,$G$6:G3261,G3261,$D$6:D3261,"Vastgesteld")&gt;1),1,0))</f>
        <v>0</v>
      </c>
    </row>
    <row r="3262">
      <c r="S3262" s="15" t="str">
        <f>IF(J3262="","",J3262&amp;"|"&amp;E3262&amp;"|"&amp;F3262&amp;"|"&amp;I3262&amp;"|"&amp;O3262)</f>
        <v/>
      </c>
      <c r="T3262" s="15" t="str">
        <f>IF(OR(S3262="",D3262&lt;&gt;"Vastgesteld"),"",_xlfn.MAXIFS($G$6:$G$5005,$S$6:$S$5005,S3262,$D$6:$D$5005,"Vastgesteld"))</f>
        <v/>
      </c>
      <c r="U3262" s="15">
        <f>IF(T3262="",0,IF(AND(G3262=T3262,COUNTIFS($S$6:S3262,S3262,$G$6:G3262,G3262,$D$6:D3262,"Vastgesteld")=1),1,0))</f>
        <v>0</v>
      </c>
      <c r="V3262" s="15">
        <f>IF(T3262="",0,IF(AND(G3262=T3262,COUNTIFS($S$6:S3262,S3262,$G$6:G3262,G3262,$D$6:D3262,"Vastgesteld")&gt;1),1,0))</f>
        <v>0</v>
      </c>
    </row>
    <row r="3263">
      <c r="S3263" s="15" t="str">
        <f>IF(J3263="","",J3263&amp;"|"&amp;E3263&amp;"|"&amp;F3263&amp;"|"&amp;I3263&amp;"|"&amp;O3263)</f>
        <v/>
      </c>
      <c r="T3263" s="15" t="str">
        <f>IF(OR(S3263="",D3263&lt;&gt;"Vastgesteld"),"",_xlfn.MAXIFS($G$6:$G$5005,$S$6:$S$5005,S3263,$D$6:$D$5005,"Vastgesteld"))</f>
        <v/>
      </c>
      <c r="U3263" s="15">
        <f>IF(T3263="",0,IF(AND(G3263=T3263,COUNTIFS($S$6:S3263,S3263,$G$6:G3263,G3263,$D$6:D3263,"Vastgesteld")=1),1,0))</f>
        <v>0</v>
      </c>
      <c r="V3263" s="15">
        <f>IF(T3263="",0,IF(AND(G3263=T3263,COUNTIFS($S$6:S3263,S3263,$G$6:G3263,G3263,$D$6:D3263,"Vastgesteld")&gt;1),1,0))</f>
        <v>0</v>
      </c>
    </row>
    <row r="3264">
      <c r="S3264" s="15" t="str">
        <f>IF(J3264="","",J3264&amp;"|"&amp;E3264&amp;"|"&amp;F3264&amp;"|"&amp;I3264&amp;"|"&amp;O3264)</f>
        <v/>
      </c>
      <c r="T3264" s="15" t="str">
        <f>IF(OR(S3264="",D3264&lt;&gt;"Vastgesteld"),"",_xlfn.MAXIFS($G$6:$G$5005,$S$6:$S$5005,S3264,$D$6:$D$5005,"Vastgesteld"))</f>
        <v/>
      </c>
      <c r="U3264" s="15">
        <f>IF(T3264="",0,IF(AND(G3264=T3264,COUNTIFS($S$6:S3264,S3264,$G$6:G3264,G3264,$D$6:D3264,"Vastgesteld")=1),1,0))</f>
        <v>0</v>
      </c>
      <c r="V3264" s="15">
        <f>IF(T3264="",0,IF(AND(G3264=T3264,COUNTIFS($S$6:S3264,S3264,$G$6:G3264,G3264,$D$6:D3264,"Vastgesteld")&gt;1),1,0))</f>
        <v>0</v>
      </c>
    </row>
    <row r="3265">
      <c r="S3265" s="15" t="str">
        <f>IF(J3265="","",J3265&amp;"|"&amp;E3265&amp;"|"&amp;F3265&amp;"|"&amp;I3265&amp;"|"&amp;O3265)</f>
        <v/>
      </c>
      <c r="T3265" s="15" t="str">
        <f>IF(OR(S3265="",D3265&lt;&gt;"Vastgesteld"),"",_xlfn.MAXIFS($G$6:$G$5005,$S$6:$S$5005,S3265,$D$6:$D$5005,"Vastgesteld"))</f>
        <v/>
      </c>
      <c r="U3265" s="15">
        <f>IF(T3265="",0,IF(AND(G3265=T3265,COUNTIFS($S$6:S3265,S3265,$G$6:G3265,G3265,$D$6:D3265,"Vastgesteld")=1),1,0))</f>
        <v>0</v>
      </c>
      <c r="V3265" s="15">
        <f>IF(T3265="",0,IF(AND(G3265=T3265,COUNTIFS($S$6:S3265,S3265,$G$6:G3265,G3265,$D$6:D3265,"Vastgesteld")&gt;1),1,0))</f>
        <v>0</v>
      </c>
    </row>
    <row r="3266">
      <c r="S3266" s="15" t="str">
        <f>IF(J3266="","",J3266&amp;"|"&amp;E3266&amp;"|"&amp;F3266&amp;"|"&amp;I3266&amp;"|"&amp;O3266)</f>
        <v/>
      </c>
      <c r="T3266" s="15" t="str">
        <f>IF(OR(S3266="",D3266&lt;&gt;"Vastgesteld"),"",_xlfn.MAXIFS($G$6:$G$5005,$S$6:$S$5005,S3266,$D$6:$D$5005,"Vastgesteld"))</f>
        <v/>
      </c>
      <c r="U3266" s="15">
        <f>IF(T3266="",0,IF(AND(G3266=T3266,COUNTIFS($S$6:S3266,S3266,$G$6:G3266,G3266,$D$6:D3266,"Vastgesteld")=1),1,0))</f>
        <v>0</v>
      </c>
      <c r="V3266" s="15">
        <f>IF(T3266="",0,IF(AND(G3266=T3266,COUNTIFS($S$6:S3266,S3266,$G$6:G3266,G3266,$D$6:D3266,"Vastgesteld")&gt;1),1,0))</f>
        <v>0</v>
      </c>
    </row>
    <row r="3267">
      <c r="S3267" s="15" t="str">
        <f>IF(J3267="","",J3267&amp;"|"&amp;E3267&amp;"|"&amp;F3267&amp;"|"&amp;I3267&amp;"|"&amp;O3267)</f>
        <v/>
      </c>
      <c r="T3267" s="15" t="str">
        <f>IF(OR(S3267="",D3267&lt;&gt;"Vastgesteld"),"",_xlfn.MAXIFS($G$6:$G$5005,$S$6:$S$5005,S3267,$D$6:$D$5005,"Vastgesteld"))</f>
        <v/>
      </c>
      <c r="U3267" s="15">
        <f>IF(T3267="",0,IF(AND(G3267=T3267,COUNTIFS($S$6:S3267,S3267,$G$6:G3267,G3267,$D$6:D3267,"Vastgesteld")=1),1,0))</f>
        <v>0</v>
      </c>
      <c r="V3267" s="15">
        <f>IF(T3267="",0,IF(AND(G3267=T3267,COUNTIFS($S$6:S3267,S3267,$G$6:G3267,G3267,$D$6:D3267,"Vastgesteld")&gt;1),1,0))</f>
        <v>0</v>
      </c>
    </row>
    <row r="3268">
      <c r="S3268" s="15" t="str">
        <f>IF(J3268="","",J3268&amp;"|"&amp;E3268&amp;"|"&amp;F3268&amp;"|"&amp;I3268&amp;"|"&amp;O3268)</f>
        <v/>
      </c>
      <c r="T3268" s="15" t="str">
        <f>IF(OR(S3268="",D3268&lt;&gt;"Vastgesteld"),"",_xlfn.MAXIFS($G$6:$G$5005,$S$6:$S$5005,S3268,$D$6:$D$5005,"Vastgesteld"))</f>
        <v/>
      </c>
      <c r="U3268" s="15">
        <f>IF(T3268="",0,IF(AND(G3268=T3268,COUNTIFS($S$6:S3268,S3268,$G$6:G3268,G3268,$D$6:D3268,"Vastgesteld")=1),1,0))</f>
        <v>0</v>
      </c>
      <c r="V3268" s="15">
        <f>IF(T3268="",0,IF(AND(G3268=T3268,COUNTIFS($S$6:S3268,S3268,$G$6:G3268,G3268,$D$6:D3268,"Vastgesteld")&gt;1),1,0))</f>
        <v>0</v>
      </c>
    </row>
    <row r="3269">
      <c r="S3269" s="15" t="str">
        <f>IF(J3269="","",J3269&amp;"|"&amp;E3269&amp;"|"&amp;F3269&amp;"|"&amp;I3269&amp;"|"&amp;O3269)</f>
        <v/>
      </c>
      <c r="T3269" s="15" t="str">
        <f>IF(OR(S3269="",D3269&lt;&gt;"Vastgesteld"),"",_xlfn.MAXIFS($G$6:$G$5005,$S$6:$S$5005,S3269,$D$6:$D$5005,"Vastgesteld"))</f>
        <v/>
      </c>
      <c r="U3269" s="15">
        <f>IF(T3269="",0,IF(AND(G3269=T3269,COUNTIFS($S$6:S3269,S3269,$G$6:G3269,G3269,$D$6:D3269,"Vastgesteld")=1),1,0))</f>
        <v>0</v>
      </c>
      <c r="V3269" s="15">
        <f>IF(T3269="",0,IF(AND(G3269=T3269,COUNTIFS($S$6:S3269,S3269,$G$6:G3269,G3269,$D$6:D3269,"Vastgesteld")&gt;1),1,0))</f>
        <v>0</v>
      </c>
    </row>
    <row r="3270">
      <c r="S3270" s="15" t="str">
        <f>IF(J3270="","",J3270&amp;"|"&amp;E3270&amp;"|"&amp;F3270&amp;"|"&amp;I3270&amp;"|"&amp;O3270)</f>
        <v/>
      </c>
      <c r="T3270" s="15" t="str">
        <f>IF(OR(S3270="",D3270&lt;&gt;"Vastgesteld"),"",_xlfn.MAXIFS($G$6:$G$5005,$S$6:$S$5005,S3270,$D$6:$D$5005,"Vastgesteld"))</f>
        <v/>
      </c>
      <c r="U3270" s="15">
        <f>IF(T3270="",0,IF(AND(G3270=T3270,COUNTIFS($S$6:S3270,S3270,$G$6:G3270,G3270,$D$6:D3270,"Vastgesteld")=1),1,0))</f>
        <v>0</v>
      </c>
      <c r="V3270" s="15">
        <f>IF(T3270="",0,IF(AND(G3270=T3270,COUNTIFS($S$6:S3270,S3270,$G$6:G3270,G3270,$D$6:D3270,"Vastgesteld")&gt;1),1,0))</f>
        <v>0</v>
      </c>
    </row>
    <row r="3271">
      <c r="S3271" s="15" t="str">
        <f>IF(J3271="","",J3271&amp;"|"&amp;E3271&amp;"|"&amp;F3271&amp;"|"&amp;I3271&amp;"|"&amp;O3271)</f>
        <v/>
      </c>
      <c r="T3271" s="15" t="str">
        <f>IF(OR(S3271="",D3271&lt;&gt;"Vastgesteld"),"",_xlfn.MAXIFS($G$6:$G$5005,$S$6:$S$5005,S3271,$D$6:$D$5005,"Vastgesteld"))</f>
        <v/>
      </c>
      <c r="U3271" s="15">
        <f>IF(T3271="",0,IF(AND(G3271=T3271,COUNTIFS($S$6:S3271,S3271,$G$6:G3271,G3271,$D$6:D3271,"Vastgesteld")=1),1,0))</f>
        <v>0</v>
      </c>
      <c r="V3271" s="15">
        <f>IF(T3271="",0,IF(AND(G3271=T3271,COUNTIFS($S$6:S3271,S3271,$G$6:G3271,G3271,$D$6:D3271,"Vastgesteld")&gt;1),1,0))</f>
        <v>0</v>
      </c>
    </row>
    <row r="3272">
      <c r="S3272" s="15" t="str">
        <f>IF(J3272="","",J3272&amp;"|"&amp;E3272&amp;"|"&amp;F3272&amp;"|"&amp;I3272&amp;"|"&amp;O3272)</f>
        <v/>
      </c>
      <c r="T3272" s="15" t="str">
        <f>IF(OR(S3272="",D3272&lt;&gt;"Vastgesteld"),"",_xlfn.MAXIFS($G$6:$G$5005,$S$6:$S$5005,S3272,$D$6:$D$5005,"Vastgesteld"))</f>
        <v/>
      </c>
      <c r="U3272" s="15">
        <f>IF(T3272="",0,IF(AND(G3272=T3272,COUNTIFS($S$6:S3272,S3272,$G$6:G3272,G3272,$D$6:D3272,"Vastgesteld")=1),1,0))</f>
        <v>0</v>
      </c>
      <c r="V3272" s="15">
        <f>IF(T3272="",0,IF(AND(G3272=T3272,COUNTIFS($S$6:S3272,S3272,$G$6:G3272,G3272,$D$6:D3272,"Vastgesteld")&gt;1),1,0))</f>
        <v>0</v>
      </c>
    </row>
    <row r="3273">
      <c r="S3273" s="15" t="str">
        <f>IF(J3273="","",J3273&amp;"|"&amp;E3273&amp;"|"&amp;F3273&amp;"|"&amp;I3273&amp;"|"&amp;O3273)</f>
        <v/>
      </c>
      <c r="T3273" s="15" t="str">
        <f>IF(OR(S3273="",D3273&lt;&gt;"Vastgesteld"),"",_xlfn.MAXIFS($G$6:$G$5005,$S$6:$S$5005,S3273,$D$6:$D$5005,"Vastgesteld"))</f>
        <v/>
      </c>
      <c r="U3273" s="15">
        <f>IF(T3273="",0,IF(AND(G3273=T3273,COUNTIFS($S$6:S3273,S3273,$G$6:G3273,G3273,$D$6:D3273,"Vastgesteld")=1),1,0))</f>
        <v>0</v>
      </c>
      <c r="V3273" s="15">
        <f>IF(T3273="",0,IF(AND(G3273=T3273,COUNTIFS($S$6:S3273,S3273,$G$6:G3273,G3273,$D$6:D3273,"Vastgesteld")&gt;1),1,0))</f>
        <v>0</v>
      </c>
    </row>
    <row r="3274">
      <c r="S3274" s="15" t="str">
        <f>IF(J3274="","",J3274&amp;"|"&amp;E3274&amp;"|"&amp;F3274&amp;"|"&amp;I3274&amp;"|"&amp;O3274)</f>
        <v/>
      </c>
      <c r="T3274" s="15" t="str">
        <f>IF(OR(S3274="",D3274&lt;&gt;"Vastgesteld"),"",_xlfn.MAXIFS($G$6:$G$5005,$S$6:$S$5005,S3274,$D$6:$D$5005,"Vastgesteld"))</f>
        <v/>
      </c>
      <c r="U3274" s="15">
        <f>IF(T3274="",0,IF(AND(G3274=T3274,COUNTIFS($S$6:S3274,S3274,$G$6:G3274,G3274,$D$6:D3274,"Vastgesteld")=1),1,0))</f>
        <v>0</v>
      </c>
      <c r="V3274" s="15">
        <f>IF(T3274="",0,IF(AND(G3274=T3274,COUNTIFS($S$6:S3274,S3274,$G$6:G3274,G3274,$D$6:D3274,"Vastgesteld")&gt;1),1,0))</f>
        <v>0</v>
      </c>
    </row>
    <row r="3275">
      <c r="S3275" s="15" t="str">
        <f>IF(J3275="","",J3275&amp;"|"&amp;E3275&amp;"|"&amp;F3275&amp;"|"&amp;I3275&amp;"|"&amp;O3275)</f>
        <v/>
      </c>
      <c r="T3275" s="15" t="str">
        <f>IF(OR(S3275="",D3275&lt;&gt;"Vastgesteld"),"",_xlfn.MAXIFS($G$6:$G$5005,$S$6:$S$5005,S3275,$D$6:$D$5005,"Vastgesteld"))</f>
        <v/>
      </c>
      <c r="U3275" s="15">
        <f>IF(T3275="",0,IF(AND(G3275=T3275,COUNTIFS($S$6:S3275,S3275,$G$6:G3275,G3275,$D$6:D3275,"Vastgesteld")=1),1,0))</f>
        <v>0</v>
      </c>
      <c r="V3275" s="15">
        <f>IF(T3275="",0,IF(AND(G3275=T3275,COUNTIFS($S$6:S3275,S3275,$G$6:G3275,G3275,$D$6:D3275,"Vastgesteld")&gt;1),1,0))</f>
        <v>0</v>
      </c>
    </row>
    <row r="3276">
      <c r="S3276" s="15" t="str">
        <f>IF(J3276="","",J3276&amp;"|"&amp;E3276&amp;"|"&amp;F3276&amp;"|"&amp;I3276&amp;"|"&amp;O3276)</f>
        <v/>
      </c>
      <c r="T3276" s="15" t="str">
        <f>IF(OR(S3276="",D3276&lt;&gt;"Vastgesteld"),"",_xlfn.MAXIFS($G$6:$G$5005,$S$6:$S$5005,S3276,$D$6:$D$5005,"Vastgesteld"))</f>
        <v/>
      </c>
      <c r="U3276" s="15">
        <f>IF(T3276="",0,IF(AND(G3276=T3276,COUNTIFS($S$6:S3276,S3276,$G$6:G3276,G3276,$D$6:D3276,"Vastgesteld")=1),1,0))</f>
        <v>0</v>
      </c>
      <c r="V3276" s="15">
        <f>IF(T3276="",0,IF(AND(G3276=T3276,COUNTIFS($S$6:S3276,S3276,$G$6:G3276,G3276,$D$6:D3276,"Vastgesteld")&gt;1),1,0))</f>
        <v>0</v>
      </c>
    </row>
    <row r="3277">
      <c r="S3277" s="15" t="str">
        <f>IF(J3277="","",J3277&amp;"|"&amp;E3277&amp;"|"&amp;F3277&amp;"|"&amp;I3277&amp;"|"&amp;O3277)</f>
        <v/>
      </c>
      <c r="T3277" s="15" t="str">
        <f>IF(OR(S3277="",D3277&lt;&gt;"Vastgesteld"),"",_xlfn.MAXIFS($G$6:$G$5005,$S$6:$S$5005,S3277,$D$6:$D$5005,"Vastgesteld"))</f>
        <v/>
      </c>
      <c r="U3277" s="15">
        <f>IF(T3277="",0,IF(AND(G3277=T3277,COUNTIFS($S$6:S3277,S3277,$G$6:G3277,G3277,$D$6:D3277,"Vastgesteld")=1),1,0))</f>
        <v>0</v>
      </c>
      <c r="V3277" s="15">
        <f>IF(T3277="",0,IF(AND(G3277=T3277,COUNTIFS($S$6:S3277,S3277,$G$6:G3277,G3277,$D$6:D3277,"Vastgesteld")&gt;1),1,0))</f>
        <v>0</v>
      </c>
    </row>
    <row r="3278">
      <c r="S3278" s="15" t="str">
        <f>IF(J3278="","",J3278&amp;"|"&amp;E3278&amp;"|"&amp;F3278&amp;"|"&amp;I3278&amp;"|"&amp;O3278)</f>
        <v/>
      </c>
      <c r="T3278" s="15" t="str">
        <f>IF(OR(S3278="",D3278&lt;&gt;"Vastgesteld"),"",_xlfn.MAXIFS($G$6:$G$5005,$S$6:$S$5005,S3278,$D$6:$D$5005,"Vastgesteld"))</f>
        <v/>
      </c>
      <c r="U3278" s="15">
        <f>IF(T3278="",0,IF(AND(G3278=T3278,COUNTIFS($S$6:S3278,S3278,$G$6:G3278,G3278,$D$6:D3278,"Vastgesteld")=1),1,0))</f>
        <v>0</v>
      </c>
      <c r="V3278" s="15">
        <f>IF(T3278="",0,IF(AND(G3278=T3278,COUNTIFS($S$6:S3278,S3278,$G$6:G3278,G3278,$D$6:D3278,"Vastgesteld")&gt;1),1,0))</f>
        <v>0</v>
      </c>
    </row>
    <row r="3279">
      <c r="S3279" s="15" t="str">
        <f>IF(J3279="","",J3279&amp;"|"&amp;E3279&amp;"|"&amp;F3279&amp;"|"&amp;I3279&amp;"|"&amp;O3279)</f>
        <v/>
      </c>
      <c r="T3279" s="15" t="str">
        <f>IF(OR(S3279="",D3279&lt;&gt;"Vastgesteld"),"",_xlfn.MAXIFS($G$6:$G$5005,$S$6:$S$5005,S3279,$D$6:$D$5005,"Vastgesteld"))</f>
        <v/>
      </c>
      <c r="U3279" s="15">
        <f>IF(T3279="",0,IF(AND(G3279=T3279,COUNTIFS($S$6:S3279,S3279,$G$6:G3279,G3279,$D$6:D3279,"Vastgesteld")=1),1,0))</f>
        <v>0</v>
      </c>
      <c r="V3279" s="15">
        <f>IF(T3279="",0,IF(AND(G3279=T3279,COUNTIFS($S$6:S3279,S3279,$G$6:G3279,G3279,$D$6:D3279,"Vastgesteld")&gt;1),1,0))</f>
        <v>0</v>
      </c>
    </row>
    <row r="3280">
      <c r="S3280" s="15" t="str">
        <f>IF(J3280="","",J3280&amp;"|"&amp;E3280&amp;"|"&amp;F3280&amp;"|"&amp;I3280&amp;"|"&amp;O3280)</f>
        <v/>
      </c>
      <c r="T3280" s="15" t="str">
        <f>IF(OR(S3280="",D3280&lt;&gt;"Vastgesteld"),"",_xlfn.MAXIFS($G$6:$G$5005,$S$6:$S$5005,S3280,$D$6:$D$5005,"Vastgesteld"))</f>
        <v/>
      </c>
      <c r="U3280" s="15">
        <f>IF(T3280="",0,IF(AND(G3280=T3280,COUNTIFS($S$6:S3280,S3280,$G$6:G3280,G3280,$D$6:D3280,"Vastgesteld")=1),1,0))</f>
        <v>0</v>
      </c>
      <c r="V3280" s="15">
        <f>IF(T3280="",0,IF(AND(G3280=T3280,COUNTIFS($S$6:S3280,S3280,$G$6:G3280,G3280,$D$6:D3280,"Vastgesteld")&gt;1),1,0))</f>
        <v>0</v>
      </c>
    </row>
    <row r="3281">
      <c r="S3281" s="15" t="str">
        <f>IF(J3281="","",J3281&amp;"|"&amp;E3281&amp;"|"&amp;F3281&amp;"|"&amp;I3281&amp;"|"&amp;O3281)</f>
        <v/>
      </c>
      <c r="T3281" s="15" t="str">
        <f>IF(OR(S3281="",D3281&lt;&gt;"Vastgesteld"),"",_xlfn.MAXIFS($G$6:$G$5005,$S$6:$S$5005,S3281,$D$6:$D$5005,"Vastgesteld"))</f>
        <v/>
      </c>
      <c r="U3281" s="15">
        <f>IF(T3281="",0,IF(AND(G3281=T3281,COUNTIFS($S$6:S3281,S3281,$G$6:G3281,G3281,$D$6:D3281,"Vastgesteld")=1),1,0))</f>
        <v>0</v>
      </c>
      <c r="V3281" s="15">
        <f>IF(T3281="",0,IF(AND(G3281=T3281,COUNTIFS($S$6:S3281,S3281,$G$6:G3281,G3281,$D$6:D3281,"Vastgesteld")&gt;1),1,0))</f>
        <v>0</v>
      </c>
    </row>
    <row r="3282">
      <c r="S3282" s="15" t="str">
        <f>IF(J3282="","",J3282&amp;"|"&amp;E3282&amp;"|"&amp;F3282&amp;"|"&amp;I3282&amp;"|"&amp;O3282)</f>
        <v/>
      </c>
      <c r="T3282" s="15" t="str">
        <f>IF(OR(S3282="",D3282&lt;&gt;"Vastgesteld"),"",_xlfn.MAXIFS($G$6:$G$5005,$S$6:$S$5005,S3282,$D$6:$D$5005,"Vastgesteld"))</f>
        <v/>
      </c>
      <c r="U3282" s="15">
        <f>IF(T3282="",0,IF(AND(G3282=T3282,COUNTIFS($S$6:S3282,S3282,$G$6:G3282,G3282,$D$6:D3282,"Vastgesteld")=1),1,0))</f>
        <v>0</v>
      </c>
      <c r="V3282" s="15">
        <f>IF(T3282="",0,IF(AND(G3282=T3282,COUNTIFS($S$6:S3282,S3282,$G$6:G3282,G3282,$D$6:D3282,"Vastgesteld")&gt;1),1,0))</f>
        <v>0</v>
      </c>
    </row>
    <row r="3283">
      <c r="S3283" s="15" t="str">
        <f>IF(J3283="","",J3283&amp;"|"&amp;E3283&amp;"|"&amp;F3283&amp;"|"&amp;I3283&amp;"|"&amp;O3283)</f>
        <v/>
      </c>
      <c r="T3283" s="15" t="str">
        <f>IF(OR(S3283="",D3283&lt;&gt;"Vastgesteld"),"",_xlfn.MAXIFS($G$6:$G$5005,$S$6:$S$5005,S3283,$D$6:$D$5005,"Vastgesteld"))</f>
        <v/>
      </c>
      <c r="U3283" s="15">
        <f>IF(T3283="",0,IF(AND(G3283=T3283,COUNTIFS($S$6:S3283,S3283,$G$6:G3283,G3283,$D$6:D3283,"Vastgesteld")=1),1,0))</f>
        <v>0</v>
      </c>
      <c r="V3283" s="15">
        <f>IF(T3283="",0,IF(AND(G3283=T3283,COUNTIFS($S$6:S3283,S3283,$G$6:G3283,G3283,$D$6:D3283,"Vastgesteld")&gt;1),1,0))</f>
        <v>0</v>
      </c>
    </row>
    <row r="3284">
      <c r="S3284" s="15" t="str">
        <f>IF(J3284="","",J3284&amp;"|"&amp;E3284&amp;"|"&amp;F3284&amp;"|"&amp;I3284&amp;"|"&amp;O3284)</f>
        <v/>
      </c>
      <c r="T3284" s="15" t="str">
        <f>IF(OR(S3284="",D3284&lt;&gt;"Vastgesteld"),"",_xlfn.MAXIFS($G$6:$G$5005,$S$6:$S$5005,S3284,$D$6:$D$5005,"Vastgesteld"))</f>
        <v/>
      </c>
      <c r="U3284" s="15">
        <f>IF(T3284="",0,IF(AND(G3284=T3284,COUNTIFS($S$6:S3284,S3284,$G$6:G3284,G3284,$D$6:D3284,"Vastgesteld")=1),1,0))</f>
        <v>0</v>
      </c>
      <c r="V3284" s="15">
        <f>IF(T3284="",0,IF(AND(G3284=T3284,COUNTIFS($S$6:S3284,S3284,$G$6:G3284,G3284,$D$6:D3284,"Vastgesteld")&gt;1),1,0))</f>
        <v>0</v>
      </c>
    </row>
    <row r="3285">
      <c r="S3285" s="15" t="str">
        <f>IF(J3285="","",J3285&amp;"|"&amp;E3285&amp;"|"&amp;F3285&amp;"|"&amp;I3285&amp;"|"&amp;O3285)</f>
        <v/>
      </c>
      <c r="T3285" s="15" t="str">
        <f>IF(OR(S3285="",D3285&lt;&gt;"Vastgesteld"),"",_xlfn.MAXIFS($G$6:$G$5005,$S$6:$S$5005,S3285,$D$6:$D$5005,"Vastgesteld"))</f>
        <v/>
      </c>
      <c r="U3285" s="15">
        <f>IF(T3285="",0,IF(AND(G3285=T3285,COUNTIFS($S$6:S3285,S3285,$G$6:G3285,G3285,$D$6:D3285,"Vastgesteld")=1),1,0))</f>
        <v>0</v>
      </c>
      <c r="V3285" s="15">
        <f>IF(T3285="",0,IF(AND(G3285=T3285,COUNTIFS($S$6:S3285,S3285,$G$6:G3285,G3285,$D$6:D3285,"Vastgesteld")&gt;1),1,0))</f>
        <v>0</v>
      </c>
    </row>
    <row r="3286">
      <c r="S3286" s="15" t="str">
        <f>IF(J3286="","",J3286&amp;"|"&amp;E3286&amp;"|"&amp;F3286&amp;"|"&amp;I3286&amp;"|"&amp;O3286)</f>
        <v/>
      </c>
      <c r="T3286" s="15" t="str">
        <f>IF(OR(S3286="",D3286&lt;&gt;"Vastgesteld"),"",_xlfn.MAXIFS($G$6:$G$5005,$S$6:$S$5005,S3286,$D$6:$D$5005,"Vastgesteld"))</f>
        <v/>
      </c>
      <c r="U3286" s="15">
        <f>IF(T3286="",0,IF(AND(G3286=T3286,COUNTIFS($S$6:S3286,S3286,$G$6:G3286,G3286,$D$6:D3286,"Vastgesteld")=1),1,0))</f>
        <v>0</v>
      </c>
      <c r="V3286" s="15">
        <f>IF(T3286="",0,IF(AND(G3286=T3286,COUNTIFS($S$6:S3286,S3286,$G$6:G3286,G3286,$D$6:D3286,"Vastgesteld")&gt;1),1,0))</f>
        <v>0</v>
      </c>
    </row>
    <row r="3287">
      <c r="S3287" s="15" t="str">
        <f>IF(J3287="","",J3287&amp;"|"&amp;E3287&amp;"|"&amp;F3287&amp;"|"&amp;I3287&amp;"|"&amp;O3287)</f>
        <v/>
      </c>
      <c r="T3287" s="15" t="str">
        <f>IF(OR(S3287="",D3287&lt;&gt;"Vastgesteld"),"",_xlfn.MAXIFS($G$6:$G$5005,$S$6:$S$5005,S3287,$D$6:$D$5005,"Vastgesteld"))</f>
        <v/>
      </c>
      <c r="U3287" s="15">
        <f>IF(T3287="",0,IF(AND(G3287=T3287,COUNTIFS($S$6:S3287,S3287,$G$6:G3287,G3287,$D$6:D3287,"Vastgesteld")=1),1,0))</f>
        <v>0</v>
      </c>
      <c r="V3287" s="15">
        <f>IF(T3287="",0,IF(AND(G3287=T3287,COUNTIFS($S$6:S3287,S3287,$G$6:G3287,G3287,$D$6:D3287,"Vastgesteld")&gt;1),1,0))</f>
        <v>0</v>
      </c>
    </row>
    <row r="3288">
      <c r="S3288" s="15" t="str">
        <f>IF(J3288="","",J3288&amp;"|"&amp;E3288&amp;"|"&amp;F3288&amp;"|"&amp;I3288&amp;"|"&amp;O3288)</f>
        <v/>
      </c>
      <c r="T3288" s="15" t="str">
        <f>IF(OR(S3288="",D3288&lt;&gt;"Vastgesteld"),"",_xlfn.MAXIFS($G$6:$G$5005,$S$6:$S$5005,S3288,$D$6:$D$5005,"Vastgesteld"))</f>
        <v/>
      </c>
      <c r="U3288" s="15">
        <f>IF(T3288="",0,IF(AND(G3288=T3288,COUNTIFS($S$6:S3288,S3288,$G$6:G3288,G3288,$D$6:D3288,"Vastgesteld")=1),1,0))</f>
        <v>0</v>
      </c>
      <c r="V3288" s="15">
        <f>IF(T3288="",0,IF(AND(G3288=T3288,COUNTIFS($S$6:S3288,S3288,$G$6:G3288,G3288,$D$6:D3288,"Vastgesteld")&gt;1),1,0))</f>
        <v>0</v>
      </c>
    </row>
    <row r="3289">
      <c r="S3289" s="15" t="str">
        <f>IF(J3289="","",J3289&amp;"|"&amp;E3289&amp;"|"&amp;F3289&amp;"|"&amp;I3289&amp;"|"&amp;O3289)</f>
        <v/>
      </c>
      <c r="T3289" s="15" t="str">
        <f>IF(OR(S3289="",D3289&lt;&gt;"Vastgesteld"),"",_xlfn.MAXIFS($G$6:$G$5005,$S$6:$S$5005,S3289,$D$6:$D$5005,"Vastgesteld"))</f>
        <v/>
      </c>
      <c r="U3289" s="15">
        <f>IF(T3289="",0,IF(AND(G3289=T3289,COUNTIFS($S$6:S3289,S3289,$G$6:G3289,G3289,$D$6:D3289,"Vastgesteld")=1),1,0))</f>
        <v>0</v>
      </c>
      <c r="V3289" s="15">
        <f>IF(T3289="",0,IF(AND(G3289=T3289,COUNTIFS($S$6:S3289,S3289,$G$6:G3289,G3289,$D$6:D3289,"Vastgesteld")&gt;1),1,0))</f>
        <v>0</v>
      </c>
    </row>
    <row r="3290">
      <c r="S3290" s="15" t="str">
        <f>IF(J3290="","",J3290&amp;"|"&amp;E3290&amp;"|"&amp;F3290&amp;"|"&amp;I3290&amp;"|"&amp;O3290)</f>
        <v/>
      </c>
      <c r="T3290" s="15" t="str">
        <f>IF(OR(S3290="",D3290&lt;&gt;"Vastgesteld"),"",_xlfn.MAXIFS($G$6:$G$5005,$S$6:$S$5005,S3290,$D$6:$D$5005,"Vastgesteld"))</f>
        <v/>
      </c>
      <c r="U3290" s="15">
        <f>IF(T3290="",0,IF(AND(G3290=T3290,COUNTIFS($S$6:S3290,S3290,$G$6:G3290,G3290,$D$6:D3290,"Vastgesteld")=1),1,0))</f>
        <v>0</v>
      </c>
      <c r="V3290" s="15">
        <f>IF(T3290="",0,IF(AND(G3290=T3290,COUNTIFS($S$6:S3290,S3290,$G$6:G3290,G3290,$D$6:D3290,"Vastgesteld")&gt;1),1,0))</f>
        <v>0</v>
      </c>
    </row>
    <row r="3291">
      <c r="S3291" s="15" t="str">
        <f>IF(J3291="","",J3291&amp;"|"&amp;E3291&amp;"|"&amp;F3291&amp;"|"&amp;I3291&amp;"|"&amp;O3291)</f>
        <v/>
      </c>
      <c r="T3291" s="15" t="str">
        <f>IF(OR(S3291="",D3291&lt;&gt;"Vastgesteld"),"",_xlfn.MAXIFS($G$6:$G$5005,$S$6:$S$5005,S3291,$D$6:$D$5005,"Vastgesteld"))</f>
        <v/>
      </c>
      <c r="U3291" s="15">
        <f>IF(T3291="",0,IF(AND(G3291=T3291,COUNTIFS($S$6:S3291,S3291,$G$6:G3291,G3291,$D$6:D3291,"Vastgesteld")=1),1,0))</f>
        <v>0</v>
      </c>
      <c r="V3291" s="15">
        <f>IF(T3291="",0,IF(AND(G3291=T3291,COUNTIFS($S$6:S3291,S3291,$G$6:G3291,G3291,$D$6:D3291,"Vastgesteld")&gt;1),1,0))</f>
        <v>0</v>
      </c>
    </row>
    <row r="3292">
      <c r="S3292" s="15" t="str">
        <f>IF(J3292="","",J3292&amp;"|"&amp;E3292&amp;"|"&amp;F3292&amp;"|"&amp;I3292&amp;"|"&amp;O3292)</f>
        <v/>
      </c>
      <c r="T3292" s="15" t="str">
        <f>IF(OR(S3292="",D3292&lt;&gt;"Vastgesteld"),"",_xlfn.MAXIFS($G$6:$G$5005,$S$6:$S$5005,S3292,$D$6:$D$5005,"Vastgesteld"))</f>
        <v/>
      </c>
      <c r="U3292" s="15">
        <f>IF(T3292="",0,IF(AND(G3292=T3292,COUNTIFS($S$6:S3292,S3292,$G$6:G3292,G3292,$D$6:D3292,"Vastgesteld")=1),1,0))</f>
        <v>0</v>
      </c>
      <c r="V3292" s="15">
        <f>IF(T3292="",0,IF(AND(G3292=T3292,COUNTIFS($S$6:S3292,S3292,$G$6:G3292,G3292,$D$6:D3292,"Vastgesteld")&gt;1),1,0))</f>
        <v>0</v>
      </c>
    </row>
    <row r="3293">
      <c r="S3293" s="15" t="str">
        <f>IF(J3293="","",J3293&amp;"|"&amp;E3293&amp;"|"&amp;F3293&amp;"|"&amp;I3293&amp;"|"&amp;O3293)</f>
        <v/>
      </c>
      <c r="T3293" s="15" t="str">
        <f>IF(OR(S3293="",D3293&lt;&gt;"Vastgesteld"),"",_xlfn.MAXIFS($G$6:$G$5005,$S$6:$S$5005,S3293,$D$6:$D$5005,"Vastgesteld"))</f>
        <v/>
      </c>
      <c r="U3293" s="15">
        <f>IF(T3293="",0,IF(AND(G3293=T3293,COUNTIFS($S$6:S3293,S3293,$G$6:G3293,G3293,$D$6:D3293,"Vastgesteld")=1),1,0))</f>
        <v>0</v>
      </c>
      <c r="V3293" s="15">
        <f>IF(T3293="",0,IF(AND(G3293=T3293,COUNTIFS($S$6:S3293,S3293,$G$6:G3293,G3293,$D$6:D3293,"Vastgesteld")&gt;1),1,0))</f>
        <v>0</v>
      </c>
    </row>
    <row r="3294">
      <c r="S3294" s="15" t="str">
        <f>IF(J3294="","",J3294&amp;"|"&amp;E3294&amp;"|"&amp;F3294&amp;"|"&amp;I3294&amp;"|"&amp;O3294)</f>
        <v/>
      </c>
      <c r="T3294" s="15" t="str">
        <f>IF(OR(S3294="",D3294&lt;&gt;"Vastgesteld"),"",_xlfn.MAXIFS($G$6:$G$5005,$S$6:$S$5005,S3294,$D$6:$D$5005,"Vastgesteld"))</f>
        <v/>
      </c>
      <c r="U3294" s="15">
        <f>IF(T3294="",0,IF(AND(G3294=T3294,COUNTIFS($S$6:S3294,S3294,$G$6:G3294,G3294,$D$6:D3294,"Vastgesteld")=1),1,0))</f>
        <v>0</v>
      </c>
      <c r="V3294" s="15">
        <f>IF(T3294="",0,IF(AND(G3294=T3294,COUNTIFS($S$6:S3294,S3294,$G$6:G3294,G3294,$D$6:D3294,"Vastgesteld")&gt;1),1,0))</f>
        <v>0</v>
      </c>
    </row>
    <row r="3295">
      <c r="S3295" s="15" t="str">
        <f>IF(J3295="","",J3295&amp;"|"&amp;E3295&amp;"|"&amp;F3295&amp;"|"&amp;I3295&amp;"|"&amp;O3295)</f>
        <v/>
      </c>
      <c r="T3295" s="15" t="str">
        <f>IF(OR(S3295="",D3295&lt;&gt;"Vastgesteld"),"",_xlfn.MAXIFS($G$6:$G$5005,$S$6:$S$5005,S3295,$D$6:$D$5005,"Vastgesteld"))</f>
        <v/>
      </c>
      <c r="U3295" s="15">
        <f>IF(T3295="",0,IF(AND(G3295=T3295,COUNTIFS($S$6:S3295,S3295,$G$6:G3295,G3295,$D$6:D3295,"Vastgesteld")=1),1,0))</f>
        <v>0</v>
      </c>
      <c r="V3295" s="15">
        <f>IF(T3295="",0,IF(AND(G3295=T3295,COUNTIFS($S$6:S3295,S3295,$G$6:G3295,G3295,$D$6:D3295,"Vastgesteld")&gt;1),1,0))</f>
        <v>0</v>
      </c>
    </row>
    <row r="3296">
      <c r="S3296" s="15" t="str">
        <f>IF(J3296="","",J3296&amp;"|"&amp;E3296&amp;"|"&amp;F3296&amp;"|"&amp;I3296&amp;"|"&amp;O3296)</f>
        <v/>
      </c>
      <c r="T3296" s="15" t="str">
        <f>IF(OR(S3296="",D3296&lt;&gt;"Vastgesteld"),"",_xlfn.MAXIFS($G$6:$G$5005,$S$6:$S$5005,S3296,$D$6:$D$5005,"Vastgesteld"))</f>
        <v/>
      </c>
      <c r="U3296" s="15">
        <f>IF(T3296="",0,IF(AND(G3296=T3296,COUNTIFS($S$6:S3296,S3296,$G$6:G3296,G3296,$D$6:D3296,"Vastgesteld")=1),1,0))</f>
        <v>0</v>
      </c>
      <c r="V3296" s="15">
        <f>IF(T3296="",0,IF(AND(G3296=T3296,COUNTIFS($S$6:S3296,S3296,$G$6:G3296,G3296,$D$6:D3296,"Vastgesteld")&gt;1),1,0))</f>
        <v>0</v>
      </c>
    </row>
    <row r="3297">
      <c r="S3297" s="15" t="str">
        <f>IF(J3297="","",J3297&amp;"|"&amp;E3297&amp;"|"&amp;F3297&amp;"|"&amp;I3297&amp;"|"&amp;O3297)</f>
        <v/>
      </c>
      <c r="T3297" s="15" t="str">
        <f>IF(OR(S3297="",D3297&lt;&gt;"Vastgesteld"),"",_xlfn.MAXIFS($G$6:$G$5005,$S$6:$S$5005,S3297,$D$6:$D$5005,"Vastgesteld"))</f>
        <v/>
      </c>
      <c r="U3297" s="15">
        <f>IF(T3297="",0,IF(AND(G3297=T3297,COUNTIFS($S$6:S3297,S3297,$G$6:G3297,G3297,$D$6:D3297,"Vastgesteld")=1),1,0))</f>
        <v>0</v>
      </c>
      <c r="V3297" s="15">
        <f>IF(T3297="",0,IF(AND(G3297=T3297,COUNTIFS($S$6:S3297,S3297,$G$6:G3297,G3297,$D$6:D3297,"Vastgesteld")&gt;1),1,0))</f>
        <v>0</v>
      </c>
    </row>
    <row r="3298">
      <c r="S3298" s="15" t="str">
        <f>IF(J3298="","",J3298&amp;"|"&amp;E3298&amp;"|"&amp;F3298&amp;"|"&amp;I3298&amp;"|"&amp;O3298)</f>
        <v/>
      </c>
      <c r="T3298" s="15" t="str">
        <f>IF(OR(S3298="",D3298&lt;&gt;"Vastgesteld"),"",_xlfn.MAXIFS($G$6:$G$5005,$S$6:$S$5005,S3298,$D$6:$D$5005,"Vastgesteld"))</f>
        <v/>
      </c>
      <c r="U3298" s="15">
        <f>IF(T3298="",0,IF(AND(G3298=T3298,COUNTIFS($S$6:S3298,S3298,$G$6:G3298,G3298,$D$6:D3298,"Vastgesteld")=1),1,0))</f>
        <v>0</v>
      </c>
      <c r="V3298" s="15">
        <f>IF(T3298="",0,IF(AND(G3298=T3298,COUNTIFS($S$6:S3298,S3298,$G$6:G3298,G3298,$D$6:D3298,"Vastgesteld")&gt;1),1,0))</f>
        <v>0</v>
      </c>
    </row>
    <row r="3299">
      <c r="S3299" s="15" t="str">
        <f>IF(J3299="","",J3299&amp;"|"&amp;E3299&amp;"|"&amp;F3299&amp;"|"&amp;I3299&amp;"|"&amp;O3299)</f>
        <v/>
      </c>
      <c r="T3299" s="15" t="str">
        <f>IF(OR(S3299="",D3299&lt;&gt;"Vastgesteld"),"",_xlfn.MAXIFS($G$6:$G$5005,$S$6:$S$5005,S3299,$D$6:$D$5005,"Vastgesteld"))</f>
        <v/>
      </c>
      <c r="U3299" s="15">
        <f>IF(T3299="",0,IF(AND(G3299=T3299,COUNTIFS($S$6:S3299,S3299,$G$6:G3299,G3299,$D$6:D3299,"Vastgesteld")=1),1,0))</f>
        <v>0</v>
      </c>
      <c r="V3299" s="15">
        <f>IF(T3299="",0,IF(AND(G3299=T3299,COUNTIFS($S$6:S3299,S3299,$G$6:G3299,G3299,$D$6:D3299,"Vastgesteld")&gt;1),1,0))</f>
        <v>0</v>
      </c>
    </row>
    <row r="3300">
      <c r="S3300" s="15" t="str">
        <f>IF(J3300="","",J3300&amp;"|"&amp;E3300&amp;"|"&amp;F3300&amp;"|"&amp;I3300&amp;"|"&amp;O3300)</f>
        <v/>
      </c>
      <c r="T3300" s="15" t="str">
        <f>IF(OR(S3300="",D3300&lt;&gt;"Vastgesteld"),"",_xlfn.MAXIFS($G$6:$G$5005,$S$6:$S$5005,S3300,$D$6:$D$5005,"Vastgesteld"))</f>
        <v/>
      </c>
      <c r="U3300" s="15">
        <f>IF(T3300="",0,IF(AND(G3300=T3300,COUNTIFS($S$6:S3300,S3300,$G$6:G3300,G3300,$D$6:D3300,"Vastgesteld")=1),1,0))</f>
        <v>0</v>
      </c>
      <c r="V3300" s="15">
        <f>IF(T3300="",0,IF(AND(G3300=T3300,COUNTIFS($S$6:S3300,S3300,$G$6:G3300,G3300,$D$6:D3300,"Vastgesteld")&gt;1),1,0))</f>
        <v>0</v>
      </c>
    </row>
    <row r="3301">
      <c r="S3301" s="15" t="str">
        <f>IF(J3301="","",J3301&amp;"|"&amp;E3301&amp;"|"&amp;F3301&amp;"|"&amp;I3301&amp;"|"&amp;O3301)</f>
        <v/>
      </c>
      <c r="T3301" s="15" t="str">
        <f>IF(OR(S3301="",D3301&lt;&gt;"Vastgesteld"),"",_xlfn.MAXIFS($G$6:$G$5005,$S$6:$S$5005,S3301,$D$6:$D$5005,"Vastgesteld"))</f>
        <v/>
      </c>
      <c r="U3301" s="15">
        <f>IF(T3301="",0,IF(AND(G3301=T3301,COUNTIFS($S$6:S3301,S3301,$G$6:G3301,G3301,$D$6:D3301,"Vastgesteld")=1),1,0))</f>
        <v>0</v>
      </c>
      <c r="V3301" s="15">
        <f>IF(T3301="",0,IF(AND(G3301=T3301,COUNTIFS($S$6:S3301,S3301,$G$6:G3301,G3301,$D$6:D3301,"Vastgesteld")&gt;1),1,0))</f>
        <v>0</v>
      </c>
    </row>
    <row r="3302">
      <c r="S3302" s="15" t="str">
        <f>IF(J3302="","",J3302&amp;"|"&amp;E3302&amp;"|"&amp;F3302&amp;"|"&amp;I3302&amp;"|"&amp;O3302)</f>
        <v/>
      </c>
      <c r="T3302" s="15" t="str">
        <f>IF(OR(S3302="",D3302&lt;&gt;"Vastgesteld"),"",_xlfn.MAXIFS($G$6:$G$5005,$S$6:$S$5005,S3302,$D$6:$D$5005,"Vastgesteld"))</f>
        <v/>
      </c>
      <c r="U3302" s="15">
        <f>IF(T3302="",0,IF(AND(G3302=T3302,COUNTIFS($S$6:S3302,S3302,$G$6:G3302,G3302,$D$6:D3302,"Vastgesteld")=1),1,0))</f>
        <v>0</v>
      </c>
      <c r="V3302" s="15">
        <f>IF(T3302="",0,IF(AND(G3302=T3302,COUNTIFS($S$6:S3302,S3302,$G$6:G3302,G3302,$D$6:D3302,"Vastgesteld")&gt;1),1,0))</f>
        <v>0</v>
      </c>
    </row>
    <row r="3303">
      <c r="S3303" s="15" t="str">
        <f>IF(J3303="","",J3303&amp;"|"&amp;E3303&amp;"|"&amp;F3303&amp;"|"&amp;I3303&amp;"|"&amp;O3303)</f>
        <v/>
      </c>
      <c r="T3303" s="15" t="str">
        <f>IF(OR(S3303="",D3303&lt;&gt;"Vastgesteld"),"",_xlfn.MAXIFS($G$6:$G$5005,$S$6:$S$5005,S3303,$D$6:$D$5005,"Vastgesteld"))</f>
        <v/>
      </c>
      <c r="U3303" s="15">
        <f>IF(T3303="",0,IF(AND(G3303=T3303,COUNTIFS($S$6:S3303,S3303,$G$6:G3303,G3303,$D$6:D3303,"Vastgesteld")=1),1,0))</f>
        <v>0</v>
      </c>
      <c r="V3303" s="15">
        <f>IF(T3303="",0,IF(AND(G3303=T3303,COUNTIFS($S$6:S3303,S3303,$G$6:G3303,G3303,$D$6:D3303,"Vastgesteld")&gt;1),1,0))</f>
        <v>0</v>
      </c>
    </row>
    <row r="3304">
      <c r="S3304" s="15" t="str">
        <f>IF(J3304="","",J3304&amp;"|"&amp;E3304&amp;"|"&amp;F3304&amp;"|"&amp;I3304&amp;"|"&amp;O3304)</f>
        <v/>
      </c>
      <c r="T3304" s="15" t="str">
        <f>IF(OR(S3304="",D3304&lt;&gt;"Vastgesteld"),"",_xlfn.MAXIFS($G$6:$G$5005,$S$6:$S$5005,S3304,$D$6:$D$5005,"Vastgesteld"))</f>
        <v/>
      </c>
      <c r="U3304" s="15">
        <f>IF(T3304="",0,IF(AND(G3304=T3304,COUNTIFS($S$6:S3304,S3304,$G$6:G3304,G3304,$D$6:D3304,"Vastgesteld")=1),1,0))</f>
        <v>0</v>
      </c>
      <c r="V3304" s="15">
        <f>IF(T3304="",0,IF(AND(G3304=T3304,COUNTIFS($S$6:S3304,S3304,$G$6:G3304,G3304,$D$6:D3304,"Vastgesteld")&gt;1),1,0))</f>
        <v>0</v>
      </c>
    </row>
    <row r="3305">
      <c r="S3305" s="15" t="str">
        <f>IF(J3305="","",J3305&amp;"|"&amp;E3305&amp;"|"&amp;F3305&amp;"|"&amp;I3305&amp;"|"&amp;O3305)</f>
        <v/>
      </c>
      <c r="T3305" s="15" t="str">
        <f>IF(OR(S3305="",D3305&lt;&gt;"Vastgesteld"),"",_xlfn.MAXIFS($G$6:$G$5005,$S$6:$S$5005,S3305,$D$6:$D$5005,"Vastgesteld"))</f>
        <v/>
      </c>
      <c r="U3305" s="15">
        <f>IF(T3305="",0,IF(AND(G3305=T3305,COUNTIFS($S$6:S3305,S3305,$G$6:G3305,G3305,$D$6:D3305,"Vastgesteld")=1),1,0))</f>
        <v>0</v>
      </c>
      <c r="V3305" s="15">
        <f>IF(T3305="",0,IF(AND(G3305=T3305,COUNTIFS($S$6:S3305,S3305,$G$6:G3305,G3305,$D$6:D3305,"Vastgesteld")&gt;1),1,0))</f>
        <v>0</v>
      </c>
    </row>
    <row r="3306">
      <c r="S3306" s="15" t="str">
        <f>IF(J3306="","",J3306&amp;"|"&amp;E3306&amp;"|"&amp;F3306&amp;"|"&amp;I3306&amp;"|"&amp;O3306)</f>
        <v/>
      </c>
      <c r="T3306" s="15" t="str">
        <f>IF(OR(S3306="",D3306&lt;&gt;"Vastgesteld"),"",_xlfn.MAXIFS($G$6:$G$5005,$S$6:$S$5005,S3306,$D$6:$D$5005,"Vastgesteld"))</f>
        <v/>
      </c>
      <c r="U3306" s="15">
        <f>IF(T3306="",0,IF(AND(G3306=T3306,COUNTIFS($S$6:S3306,S3306,$G$6:G3306,G3306,$D$6:D3306,"Vastgesteld")=1),1,0))</f>
        <v>0</v>
      </c>
      <c r="V3306" s="15">
        <f>IF(T3306="",0,IF(AND(G3306=T3306,COUNTIFS($S$6:S3306,S3306,$G$6:G3306,G3306,$D$6:D3306,"Vastgesteld")&gt;1),1,0))</f>
        <v>0</v>
      </c>
    </row>
    <row r="3307">
      <c r="S3307" s="15" t="str">
        <f>IF(J3307="","",J3307&amp;"|"&amp;E3307&amp;"|"&amp;F3307&amp;"|"&amp;I3307&amp;"|"&amp;O3307)</f>
        <v/>
      </c>
      <c r="T3307" s="15" t="str">
        <f>IF(OR(S3307="",D3307&lt;&gt;"Vastgesteld"),"",_xlfn.MAXIFS($G$6:$G$5005,$S$6:$S$5005,S3307,$D$6:$D$5005,"Vastgesteld"))</f>
        <v/>
      </c>
      <c r="U3307" s="15">
        <f>IF(T3307="",0,IF(AND(G3307=T3307,COUNTIFS($S$6:S3307,S3307,$G$6:G3307,G3307,$D$6:D3307,"Vastgesteld")=1),1,0))</f>
        <v>0</v>
      </c>
      <c r="V3307" s="15">
        <f>IF(T3307="",0,IF(AND(G3307=T3307,COUNTIFS($S$6:S3307,S3307,$G$6:G3307,G3307,$D$6:D3307,"Vastgesteld")&gt;1),1,0))</f>
        <v>0</v>
      </c>
    </row>
    <row r="3308">
      <c r="S3308" s="15" t="str">
        <f>IF(J3308="","",J3308&amp;"|"&amp;E3308&amp;"|"&amp;F3308&amp;"|"&amp;I3308&amp;"|"&amp;O3308)</f>
        <v/>
      </c>
      <c r="T3308" s="15" t="str">
        <f>IF(OR(S3308="",D3308&lt;&gt;"Vastgesteld"),"",_xlfn.MAXIFS($G$6:$G$5005,$S$6:$S$5005,S3308,$D$6:$D$5005,"Vastgesteld"))</f>
        <v/>
      </c>
      <c r="U3308" s="15">
        <f>IF(T3308="",0,IF(AND(G3308=T3308,COUNTIFS($S$6:S3308,S3308,$G$6:G3308,G3308,$D$6:D3308,"Vastgesteld")=1),1,0))</f>
        <v>0</v>
      </c>
      <c r="V3308" s="15">
        <f>IF(T3308="",0,IF(AND(G3308=T3308,COUNTIFS($S$6:S3308,S3308,$G$6:G3308,G3308,$D$6:D3308,"Vastgesteld")&gt;1),1,0))</f>
        <v>0</v>
      </c>
    </row>
    <row r="3309">
      <c r="S3309" s="15" t="str">
        <f>IF(J3309="","",J3309&amp;"|"&amp;E3309&amp;"|"&amp;F3309&amp;"|"&amp;I3309&amp;"|"&amp;O3309)</f>
        <v/>
      </c>
      <c r="T3309" s="15" t="str">
        <f>IF(OR(S3309="",D3309&lt;&gt;"Vastgesteld"),"",_xlfn.MAXIFS($G$6:$G$5005,$S$6:$S$5005,S3309,$D$6:$D$5005,"Vastgesteld"))</f>
        <v/>
      </c>
      <c r="U3309" s="15">
        <f>IF(T3309="",0,IF(AND(G3309=T3309,COUNTIFS($S$6:S3309,S3309,$G$6:G3309,G3309,$D$6:D3309,"Vastgesteld")=1),1,0))</f>
        <v>0</v>
      </c>
      <c r="V3309" s="15">
        <f>IF(T3309="",0,IF(AND(G3309=T3309,COUNTIFS($S$6:S3309,S3309,$G$6:G3309,G3309,$D$6:D3309,"Vastgesteld")&gt;1),1,0))</f>
        <v>0</v>
      </c>
    </row>
    <row r="3310">
      <c r="S3310" s="15" t="str">
        <f>IF(J3310="","",J3310&amp;"|"&amp;E3310&amp;"|"&amp;F3310&amp;"|"&amp;I3310&amp;"|"&amp;O3310)</f>
        <v/>
      </c>
      <c r="T3310" s="15" t="str">
        <f>IF(OR(S3310="",D3310&lt;&gt;"Vastgesteld"),"",_xlfn.MAXIFS($G$6:$G$5005,$S$6:$S$5005,S3310,$D$6:$D$5005,"Vastgesteld"))</f>
        <v/>
      </c>
      <c r="U3310" s="15">
        <f>IF(T3310="",0,IF(AND(G3310=T3310,COUNTIFS($S$6:S3310,S3310,$G$6:G3310,G3310,$D$6:D3310,"Vastgesteld")=1),1,0))</f>
        <v>0</v>
      </c>
      <c r="V3310" s="15">
        <f>IF(T3310="",0,IF(AND(G3310=T3310,COUNTIFS($S$6:S3310,S3310,$G$6:G3310,G3310,$D$6:D3310,"Vastgesteld")&gt;1),1,0))</f>
        <v>0</v>
      </c>
    </row>
    <row r="3311">
      <c r="S3311" s="15" t="str">
        <f>IF(J3311="","",J3311&amp;"|"&amp;E3311&amp;"|"&amp;F3311&amp;"|"&amp;I3311&amp;"|"&amp;O3311)</f>
        <v/>
      </c>
      <c r="T3311" s="15" t="str">
        <f>IF(OR(S3311="",D3311&lt;&gt;"Vastgesteld"),"",_xlfn.MAXIFS($G$6:$G$5005,$S$6:$S$5005,S3311,$D$6:$D$5005,"Vastgesteld"))</f>
        <v/>
      </c>
      <c r="U3311" s="15">
        <f>IF(T3311="",0,IF(AND(G3311=T3311,COUNTIFS($S$6:S3311,S3311,$G$6:G3311,G3311,$D$6:D3311,"Vastgesteld")=1),1,0))</f>
        <v>0</v>
      </c>
      <c r="V3311" s="15">
        <f>IF(T3311="",0,IF(AND(G3311=T3311,COUNTIFS($S$6:S3311,S3311,$G$6:G3311,G3311,$D$6:D3311,"Vastgesteld")&gt;1),1,0))</f>
        <v>0</v>
      </c>
    </row>
    <row r="3312">
      <c r="S3312" s="15" t="str">
        <f>IF(J3312="","",J3312&amp;"|"&amp;E3312&amp;"|"&amp;F3312&amp;"|"&amp;I3312&amp;"|"&amp;O3312)</f>
        <v/>
      </c>
      <c r="T3312" s="15" t="str">
        <f>IF(OR(S3312="",D3312&lt;&gt;"Vastgesteld"),"",_xlfn.MAXIFS($G$6:$G$5005,$S$6:$S$5005,S3312,$D$6:$D$5005,"Vastgesteld"))</f>
        <v/>
      </c>
      <c r="U3312" s="15">
        <f>IF(T3312="",0,IF(AND(G3312=T3312,COUNTIFS($S$6:S3312,S3312,$G$6:G3312,G3312,$D$6:D3312,"Vastgesteld")=1),1,0))</f>
        <v>0</v>
      </c>
      <c r="V3312" s="15">
        <f>IF(T3312="",0,IF(AND(G3312=T3312,COUNTIFS($S$6:S3312,S3312,$G$6:G3312,G3312,$D$6:D3312,"Vastgesteld")&gt;1),1,0))</f>
        <v>0</v>
      </c>
    </row>
    <row r="3313">
      <c r="S3313" s="15" t="str">
        <f>IF(J3313="","",J3313&amp;"|"&amp;E3313&amp;"|"&amp;F3313&amp;"|"&amp;I3313&amp;"|"&amp;O3313)</f>
        <v/>
      </c>
      <c r="T3313" s="15" t="str">
        <f>IF(OR(S3313="",D3313&lt;&gt;"Vastgesteld"),"",_xlfn.MAXIFS($G$6:$G$5005,$S$6:$S$5005,S3313,$D$6:$D$5005,"Vastgesteld"))</f>
        <v/>
      </c>
      <c r="U3313" s="15">
        <f>IF(T3313="",0,IF(AND(G3313=T3313,COUNTIFS($S$6:S3313,S3313,$G$6:G3313,G3313,$D$6:D3313,"Vastgesteld")=1),1,0))</f>
        <v>0</v>
      </c>
      <c r="V3313" s="15">
        <f>IF(T3313="",0,IF(AND(G3313=T3313,COUNTIFS($S$6:S3313,S3313,$G$6:G3313,G3313,$D$6:D3313,"Vastgesteld")&gt;1),1,0))</f>
        <v>0</v>
      </c>
    </row>
    <row r="3314">
      <c r="S3314" s="15" t="str">
        <f>IF(J3314="","",J3314&amp;"|"&amp;E3314&amp;"|"&amp;F3314&amp;"|"&amp;I3314&amp;"|"&amp;O3314)</f>
        <v/>
      </c>
      <c r="T3314" s="15" t="str">
        <f>IF(OR(S3314="",D3314&lt;&gt;"Vastgesteld"),"",_xlfn.MAXIFS($G$6:$G$5005,$S$6:$S$5005,S3314,$D$6:$D$5005,"Vastgesteld"))</f>
        <v/>
      </c>
      <c r="U3314" s="15">
        <f>IF(T3314="",0,IF(AND(G3314=T3314,COUNTIFS($S$6:S3314,S3314,$G$6:G3314,G3314,$D$6:D3314,"Vastgesteld")=1),1,0))</f>
        <v>0</v>
      </c>
      <c r="V3314" s="15">
        <f>IF(T3314="",0,IF(AND(G3314=T3314,COUNTIFS($S$6:S3314,S3314,$G$6:G3314,G3314,$D$6:D3314,"Vastgesteld")&gt;1),1,0))</f>
        <v>0</v>
      </c>
    </row>
    <row r="3315">
      <c r="S3315" s="15" t="str">
        <f>IF(J3315="","",J3315&amp;"|"&amp;E3315&amp;"|"&amp;F3315&amp;"|"&amp;I3315&amp;"|"&amp;O3315)</f>
        <v/>
      </c>
      <c r="T3315" s="15" t="str">
        <f>IF(OR(S3315="",D3315&lt;&gt;"Vastgesteld"),"",_xlfn.MAXIFS($G$6:$G$5005,$S$6:$S$5005,S3315,$D$6:$D$5005,"Vastgesteld"))</f>
        <v/>
      </c>
      <c r="U3315" s="15">
        <f>IF(T3315="",0,IF(AND(G3315=T3315,COUNTIFS($S$6:S3315,S3315,$G$6:G3315,G3315,$D$6:D3315,"Vastgesteld")=1),1,0))</f>
        <v>0</v>
      </c>
      <c r="V3315" s="15">
        <f>IF(T3315="",0,IF(AND(G3315=T3315,COUNTIFS($S$6:S3315,S3315,$G$6:G3315,G3315,$D$6:D3315,"Vastgesteld")&gt;1),1,0))</f>
        <v>0</v>
      </c>
    </row>
    <row r="3316">
      <c r="S3316" s="15" t="str">
        <f>IF(J3316="","",J3316&amp;"|"&amp;E3316&amp;"|"&amp;F3316&amp;"|"&amp;I3316&amp;"|"&amp;O3316)</f>
        <v/>
      </c>
      <c r="T3316" s="15" t="str">
        <f>IF(OR(S3316="",D3316&lt;&gt;"Vastgesteld"),"",_xlfn.MAXIFS($G$6:$G$5005,$S$6:$S$5005,S3316,$D$6:$D$5005,"Vastgesteld"))</f>
        <v/>
      </c>
      <c r="U3316" s="15">
        <f>IF(T3316="",0,IF(AND(G3316=T3316,COUNTIFS($S$6:S3316,S3316,$G$6:G3316,G3316,$D$6:D3316,"Vastgesteld")=1),1,0))</f>
        <v>0</v>
      </c>
      <c r="V3316" s="15">
        <f>IF(T3316="",0,IF(AND(G3316=T3316,COUNTIFS($S$6:S3316,S3316,$G$6:G3316,G3316,$D$6:D3316,"Vastgesteld")&gt;1),1,0))</f>
        <v>0</v>
      </c>
    </row>
    <row r="3317">
      <c r="S3317" s="15" t="str">
        <f>IF(J3317="","",J3317&amp;"|"&amp;E3317&amp;"|"&amp;F3317&amp;"|"&amp;I3317&amp;"|"&amp;O3317)</f>
        <v/>
      </c>
      <c r="T3317" s="15" t="str">
        <f>IF(OR(S3317="",D3317&lt;&gt;"Vastgesteld"),"",_xlfn.MAXIFS($G$6:$G$5005,$S$6:$S$5005,S3317,$D$6:$D$5005,"Vastgesteld"))</f>
        <v/>
      </c>
      <c r="U3317" s="15">
        <f>IF(T3317="",0,IF(AND(G3317=T3317,COUNTIFS($S$6:S3317,S3317,$G$6:G3317,G3317,$D$6:D3317,"Vastgesteld")=1),1,0))</f>
        <v>0</v>
      </c>
      <c r="V3317" s="15">
        <f>IF(T3317="",0,IF(AND(G3317=T3317,COUNTIFS($S$6:S3317,S3317,$G$6:G3317,G3317,$D$6:D3317,"Vastgesteld")&gt;1),1,0))</f>
        <v>0</v>
      </c>
    </row>
    <row r="3318">
      <c r="S3318" s="15" t="str">
        <f>IF(J3318="","",J3318&amp;"|"&amp;E3318&amp;"|"&amp;F3318&amp;"|"&amp;I3318&amp;"|"&amp;O3318)</f>
        <v/>
      </c>
      <c r="T3318" s="15" t="str">
        <f>IF(OR(S3318="",D3318&lt;&gt;"Vastgesteld"),"",_xlfn.MAXIFS($G$6:$G$5005,$S$6:$S$5005,S3318,$D$6:$D$5005,"Vastgesteld"))</f>
        <v/>
      </c>
      <c r="U3318" s="15">
        <f>IF(T3318="",0,IF(AND(G3318=T3318,COUNTIFS($S$6:S3318,S3318,$G$6:G3318,G3318,$D$6:D3318,"Vastgesteld")=1),1,0))</f>
        <v>0</v>
      </c>
      <c r="V3318" s="15">
        <f>IF(T3318="",0,IF(AND(G3318=T3318,COUNTIFS($S$6:S3318,S3318,$G$6:G3318,G3318,$D$6:D3318,"Vastgesteld")&gt;1),1,0))</f>
        <v>0</v>
      </c>
    </row>
    <row r="3319">
      <c r="S3319" s="15" t="str">
        <f>IF(J3319="","",J3319&amp;"|"&amp;E3319&amp;"|"&amp;F3319&amp;"|"&amp;I3319&amp;"|"&amp;O3319)</f>
        <v/>
      </c>
      <c r="T3319" s="15" t="str">
        <f>IF(OR(S3319="",D3319&lt;&gt;"Vastgesteld"),"",_xlfn.MAXIFS($G$6:$G$5005,$S$6:$S$5005,S3319,$D$6:$D$5005,"Vastgesteld"))</f>
        <v/>
      </c>
      <c r="U3319" s="15">
        <f>IF(T3319="",0,IF(AND(G3319=T3319,COUNTIFS($S$6:S3319,S3319,$G$6:G3319,G3319,$D$6:D3319,"Vastgesteld")=1),1,0))</f>
        <v>0</v>
      </c>
      <c r="V3319" s="15">
        <f>IF(T3319="",0,IF(AND(G3319=T3319,COUNTIFS($S$6:S3319,S3319,$G$6:G3319,G3319,$D$6:D3319,"Vastgesteld")&gt;1),1,0))</f>
        <v>0</v>
      </c>
    </row>
    <row r="3320">
      <c r="S3320" s="15" t="str">
        <f>IF(J3320="","",J3320&amp;"|"&amp;E3320&amp;"|"&amp;F3320&amp;"|"&amp;I3320&amp;"|"&amp;O3320)</f>
        <v/>
      </c>
      <c r="T3320" s="15" t="str">
        <f>IF(OR(S3320="",D3320&lt;&gt;"Vastgesteld"),"",_xlfn.MAXIFS($G$6:$G$5005,$S$6:$S$5005,S3320,$D$6:$D$5005,"Vastgesteld"))</f>
        <v/>
      </c>
      <c r="U3320" s="15">
        <f>IF(T3320="",0,IF(AND(G3320=T3320,COUNTIFS($S$6:S3320,S3320,$G$6:G3320,G3320,$D$6:D3320,"Vastgesteld")=1),1,0))</f>
        <v>0</v>
      </c>
      <c r="V3320" s="15">
        <f>IF(T3320="",0,IF(AND(G3320=T3320,COUNTIFS($S$6:S3320,S3320,$G$6:G3320,G3320,$D$6:D3320,"Vastgesteld")&gt;1),1,0))</f>
        <v>0</v>
      </c>
    </row>
    <row r="3321">
      <c r="S3321" s="15" t="str">
        <f>IF(J3321="","",J3321&amp;"|"&amp;E3321&amp;"|"&amp;F3321&amp;"|"&amp;I3321&amp;"|"&amp;O3321)</f>
        <v/>
      </c>
      <c r="T3321" s="15" t="str">
        <f>IF(OR(S3321="",D3321&lt;&gt;"Vastgesteld"),"",_xlfn.MAXIFS($G$6:$G$5005,$S$6:$S$5005,S3321,$D$6:$D$5005,"Vastgesteld"))</f>
        <v/>
      </c>
      <c r="U3321" s="15">
        <f>IF(T3321="",0,IF(AND(G3321=T3321,COUNTIFS($S$6:S3321,S3321,$G$6:G3321,G3321,$D$6:D3321,"Vastgesteld")=1),1,0))</f>
        <v>0</v>
      </c>
      <c r="V3321" s="15">
        <f>IF(T3321="",0,IF(AND(G3321=T3321,COUNTIFS($S$6:S3321,S3321,$G$6:G3321,G3321,$D$6:D3321,"Vastgesteld")&gt;1),1,0))</f>
        <v>0</v>
      </c>
    </row>
    <row r="3322">
      <c r="S3322" s="15" t="str">
        <f>IF(J3322="","",J3322&amp;"|"&amp;E3322&amp;"|"&amp;F3322&amp;"|"&amp;I3322&amp;"|"&amp;O3322)</f>
        <v/>
      </c>
      <c r="T3322" s="15" t="str">
        <f>IF(OR(S3322="",D3322&lt;&gt;"Vastgesteld"),"",_xlfn.MAXIFS($G$6:$G$5005,$S$6:$S$5005,S3322,$D$6:$D$5005,"Vastgesteld"))</f>
        <v/>
      </c>
      <c r="U3322" s="15">
        <f>IF(T3322="",0,IF(AND(G3322=T3322,COUNTIFS($S$6:S3322,S3322,$G$6:G3322,G3322,$D$6:D3322,"Vastgesteld")=1),1,0))</f>
        <v>0</v>
      </c>
      <c r="V3322" s="15">
        <f>IF(T3322="",0,IF(AND(G3322=T3322,COUNTIFS($S$6:S3322,S3322,$G$6:G3322,G3322,$D$6:D3322,"Vastgesteld")&gt;1),1,0))</f>
        <v>0</v>
      </c>
    </row>
    <row r="3323">
      <c r="S3323" s="15" t="str">
        <f>IF(J3323="","",J3323&amp;"|"&amp;E3323&amp;"|"&amp;F3323&amp;"|"&amp;I3323&amp;"|"&amp;O3323)</f>
        <v/>
      </c>
      <c r="T3323" s="15" t="str">
        <f>IF(OR(S3323="",D3323&lt;&gt;"Vastgesteld"),"",_xlfn.MAXIFS($G$6:$G$5005,$S$6:$S$5005,S3323,$D$6:$D$5005,"Vastgesteld"))</f>
        <v/>
      </c>
      <c r="U3323" s="15">
        <f>IF(T3323="",0,IF(AND(G3323=T3323,COUNTIFS($S$6:S3323,S3323,$G$6:G3323,G3323,$D$6:D3323,"Vastgesteld")=1),1,0))</f>
        <v>0</v>
      </c>
      <c r="V3323" s="15">
        <f>IF(T3323="",0,IF(AND(G3323=T3323,COUNTIFS($S$6:S3323,S3323,$G$6:G3323,G3323,$D$6:D3323,"Vastgesteld")&gt;1),1,0))</f>
        <v>0</v>
      </c>
    </row>
    <row r="3324">
      <c r="S3324" s="15" t="str">
        <f>IF(J3324="","",J3324&amp;"|"&amp;E3324&amp;"|"&amp;F3324&amp;"|"&amp;I3324&amp;"|"&amp;O3324)</f>
        <v/>
      </c>
      <c r="T3324" s="15" t="str">
        <f>IF(OR(S3324="",D3324&lt;&gt;"Vastgesteld"),"",_xlfn.MAXIFS($G$6:$G$5005,$S$6:$S$5005,S3324,$D$6:$D$5005,"Vastgesteld"))</f>
        <v/>
      </c>
      <c r="U3324" s="15">
        <f>IF(T3324="",0,IF(AND(G3324=T3324,COUNTIFS($S$6:S3324,S3324,$G$6:G3324,G3324,$D$6:D3324,"Vastgesteld")=1),1,0))</f>
        <v>0</v>
      </c>
      <c r="V3324" s="15">
        <f>IF(T3324="",0,IF(AND(G3324=T3324,COUNTIFS($S$6:S3324,S3324,$G$6:G3324,G3324,$D$6:D3324,"Vastgesteld")&gt;1),1,0))</f>
        <v>0</v>
      </c>
    </row>
    <row r="3325">
      <c r="S3325" s="15" t="str">
        <f>IF(J3325="","",J3325&amp;"|"&amp;E3325&amp;"|"&amp;F3325&amp;"|"&amp;I3325&amp;"|"&amp;O3325)</f>
        <v/>
      </c>
      <c r="T3325" s="15" t="str">
        <f>IF(OR(S3325="",D3325&lt;&gt;"Vastgesteld"),"",_xlfn.MAXIFS($G$6:$G$5005,$S$6:$S$5005,S3325,$D$6:$D$5005,"Vastgesteld"))</f>
        <v/>
      </c>
      <c r="U3325" s="15">
        <f>IF(T3325="",0,IF(AND(G3325=T3325,COUNTIFS($S$6:S3325,S3325,$G$6:G3325,G3325,$D$6:D3325,"Vastgesteld")=1),1,0))</f>
        <v>0</v>
      </c>
      <c r="V3325" s="15">
        <f>IF(T3325="",0,IF(AND(G3325=T3325,COUNTIFS($S$6:S3325,S3325,$G$6:G3325,G3325,$D$6:D3325,"Vastgesteld")&gt;1),1,0))</f>
        <v>0</v>
      </c>
    </row>
    <row r="3326">
      <c r="S3326" s="15" t="str">
        <f>IF(J3326="","",J3326&amp;"|"&amp;E3326&amp;"|"&amp;F3326&amp;"|"&amp;I3326&amp;"|"&amp;O3326)</f>
        <v/>
      </c>
      <c r="T3326" s="15" t="str">
        <f>IF(OR(S3326="",D3326&lt;&gt;"Vastgesteld"),"",_xlfn.MAXIFS($G$6:$G$5005,$S$6:$S$5005,S3326,$D$6:$D$5005,"Vastgesteld"))</f>
        <v/>
      </c>
      <c r="U3326" s="15">
        <f>IF(T3326="",0,IF(AND(G3326=T3326,COUNTIFS($S$6:S3326,S3326,$G$6:G3326,G3326,$D$6:D3326,"Vastgesteld")=1),1,0))</f>
        <v>0</v>
      </c>
      <c r="V3326" s="15">
        <f>IF(T3326="",0,IF(AND(G3326=T3326,COUNTIFS($S$6:S3326,S3326,$G$6:G3326,G3326,$D$6:D3326,"Vastgesteld")&gt;1),1,0))</f>
        <v>0</v>
      </c>
    </row>
    <row r="3327">
      <c r="S3327" s="15" t="str">
        <f>IF(J3327="","",J3327&amp;"|"&amp;E3327&amp;"|"&amp;F3327&amp;"|"&amp;I3327&amp;"|"&amp;O3327)</f>
        <v/>
      </c>
      <c r="T3327" s="15" t="str">
        <f>IF(OR(S3327="",D3327&lt;&gt;"Vastgesteld"),"",_xlfn.MAXIFS($G$6:$G$5005,$S$6:$S$5005,S3327,$D$6:$D$5005,"Vastgesteld"))</f>
        <v/>
      </c>
      <c r="U3327" s="15">
        <f>IF(T3327="",0,IF(AND(G3327=T3327,COUNTIFS($S$6:S3327,S3327,$G$6:G3327,G3327,$D$6:D3327,"Vastgesteld")=1),1,0))</f>
        <v>0</v>
      </c>
      <c r="V3327" s="15">
        <f>IF(T3327="",0,IF(AND(G3327=T3327,COUNTIFS($S$6:S3327,S3327,$G$6:G3327,G3327,$D$6:D3327,"Vastgesteld")&gt;1),1,0))</f>
        <v>0</v>
      </c>
    </row>
    <row r="3328">
      <c r="S3328" s="15" t="str">
        <f>IF(J3328="","",J3328&amp;"|"&amp;E3328&amp;"|"&amp;F3328&amp;"|"&amp;I3328&amp;"|"&amp;O3328)</f>
        <v/>
      </c>
      <c r="T3328" s="15" t="str">
        <f>IF(OR(S3328="",D3328&lt;&gt;"Vastgesteld"),"",_xlfn.MAXIFS($G$6:$G$5005,$S$6:$S$5005,S3328,$D$6:$D$5005,"Vastgesteld"))</f>
        <v/>
      </c>
      <c r="U3328" s="15">
        <f>IF(T3328="",0,IF(AND(G3328=T3328,COUNTIFS($S$6:S3328,S3328,$G$6:G3328,G3328,$D$6:D3328,"Vastgesteld")=1),1,0))</f>
        <v>0</v>
      </c>
      <c r="V3328" s="15">
        <f>IF(T3328="",0,IF(AND(G3328=T3328,COUNTIFS($S$6:S3328,S3328,$G$6:G3328,G3328,$D$6:D3328,"Vastgesteld")&gt;1),1,0))</f>
        <v>0</v>
      </c>
    </row>
    <row r="3329">
      <c r="S3329" s="15" t="str">
        <f>IF(J3329="","",J3329&amp;"|"&amp;E3329&amp;"|"&amp;F3329&amp;"|"&amp;I3329&amp;"|"&amp;O3329)</f>
        <v/>
      </c>
      <c r="T3329" s="15" t="str">
        <f>IF(OR(S3329="",D3329&lt;&gt;"Vastgesteld"),"",_xlfn.MAXIFS($G$6:$G$5005,$S$6:$S$5005,S3329,$D$6:$D$5005,"Vastgesteld"))</f>
        <v/>
      </c>
      <c r="U3329" s="15">
        <f>IF(T3329="",0,IF(AND(G3329=T3329,COUNTIFS($S$6:S3329,S3329,$G$6:G3329,G3329,$D$6:D3329,"Vastgesteld")=1),1,0))</f>
        <v>0</v>
      </c>
      <c r="V3329" s="15">
        <f>IF(T3329="",0,IF(AND(G3329=T3329,COUNTIFS($S$6:S3329,S3329,$G$6:G3329,G3329,$D$6:D3329,"Vastgesteld")&gt;1),1,0))</f>
        <v>0</v>
      </c>
    </row>
    <row r="3330">
      <c r="S3330" s="15" t="str">
        <f>IF(J3330="","",J3330&amp;"|"&amp;E3330&amp;"|"&amp;F3330&amp;"|"&amp;I3330&amp;"|"&amp;O3330)</f>
        <v/>
      </c>
      <c r="T3330" s="15" t="str">
        <f>IF(OR(S3330="",D3330&lt;&gt;"Vastgesteld"),"",_xlfn.MAXIFS($G$6:$G$5005,$S$6:$S$5005,S3330,$D$6:$D$5005,"Vastgesteld"))</f>
        <v/>
      </c>
      <c r="U3330" s="15">
        <f>IF(T3330="",0,IF(AND(G3330=T3330,COUNTIFS($S$6:S3330,S3330,$G$6:G3330,G3330,$D$6:D3330,"Vastgesteld")=1),1,0))</f>
        <v>0</v>
      </c>
      <c r="V3330" s="15">
        <f>IF(T3330="",0,IF(AND(G3330=T3330,COUNTIFS($S$6:S3330,S3330,$G$6:G3330,G3330,$D$6:D3330,"Vastgesteld")&gt;1),1,0))</f>
        <v>0</v>
      </c>
    </row>
    <row r="3331">
      <c r="S3331" s="15" t="str">
        <f>IF(J3331="","",J3331&amp;"|"&amp;E3331&amp;"|"&amp;F3331&amp;"|"&amp;I3331&amp;"|"&amp;O3331)</f>
        <v/>
      </c>
      <c r="T3331" s="15" t="str">
        <f>IF(OR(S3331="",D3331&lt;&gt;"Vastgesteld"),"",_xlfn.MAXIFS($G$6:$G$5005,$S$6:$S$5005,S3331,$D$6:$D$5005,"Vastgesteld"))</f>
        <v/>
      </c>
      <c r="U3331" s="15">
        <f>IF(T3331="",0,IF(AND(G3331=T3331,COUNTIFS($S$6:S3331,S3331,$G$6:G3331,G3331,$D$6:D3331,"Vastgesteld")=1),1,0))</f>
        <v>0</v>
      </c>
      <c r="V3331" s="15">
        <f>IF(T3331="",0,IF(AND(G3331=T3331,COUNTIFS($S$6:S3331,S3331,$G$6:G3331,G3331,$D$6:D3331,"Vastgesteld")&gt;1),1,0))</f>
        <v>0</v>
      </c>
    </row>
    <row r="3332">
      <c r="S3332" s="15" t="str">
        <f>IF(J3332="","",J3332&amp;"|"&amp;E3332&amp;"|"&amp;F3332&amp;"|"&amp;I3332&amp;"|"&amp;O3332)</f>
        <v/>
      </c>
      <c r="T3332" s="15" t="str">
        <f>IF(OR(S3332="",D3332&lt;&gt;"Vastgesteld"),"",_xlfn.MAXIFS($G$6:$G$5005,$S$6:$S$5005,S3332,$D$6:$D$5005,"Vastgesteld"))</f>
        <v/>
      </c>
      <c r="U3332" s="15">
        <f>IF(T3332="",0,IF(AND(G3332=T3332,COUNTIFS($S$6:S3332,S3332,$G$6:G3332,G3332,$D$6:D3332,"Vastgesteld")=1),1,0))</f>
        <v>0</v>
      </c>
      <c r="V3332" s="15">
        <f>IF(T3332="",0,IF(AND(G3332=T3332,COUNTIFS($S$6:S3332,S3332,$G$6:G3332,G3332,$D$6:D3332,"Vastgesteld")&gt;1),1,0))</f>
        <v>0</v>
      </c>
    </row>
    <row r="3333">
      <c r="S3333" s="15" t="str">
        <f>IF(J3333="","",J3333&amp;"|"&amp;E3333&amp;"|"&amp;F3333&amp;"|"&amp;I3333&amp;"|"&amp;O3333)</f>
        <v/>
      </c>
      <c r="T3333" s="15" t="str">
        <f>IF(OR(S3333="",D3333&lt;&gt;"Vastgesteld"),"",_xlfn.MAXIFS($G$6:$G$5005,$S$6:$S$5005,S3333,$D$6:$D$5005,"Vastgesteld"))</f>
        <v/>
      </c>
      <c r="U3333" s="15">
        <f>IF(T3333="",0,IF(AND(G3333=T3333,COUNTIFS($S$6:S3333,S3333,$G$6:G3333,G3333,$D$6:D3333,"Vastgesteld")=1),1,0))</f>
        <v>0</v>
      </c>
      <c r="V3333" s="15">
        <f>IF(T3333="",0,IF(AND(G3333=T3333,COUNTIFS($S$6:S3333,S3333,$G$6:G3333,G3333,$D$6:D3333,"Vastgesteld")&gt;1),1,0))</f>
        <v>0</v>
      </c>
    </row>
    <row r="3334">
      <c r="S3334" s="15" t="str">
        <f>IF(J3334="","",J3334&amp;"|"&amp;E3334&amp;"|"&amp;F3334&amp;"|"&amp;I3334&amp;"|"&amp;O3334)</f>
        <v/>
      </c>
      <c r="T3334" s="15" t="str">
        <f>IF(OR(S3334="",D3334&lt;&gt;"Vastgesteld"),"",_xlfn.MAXIFS($G$6:$G$5005,$S$6:$S$5005,S3334,$D$6:$D$5005,"Vastgesteld"))</f>
        <v/>
      </c>
      <c r="U3334" s="15">
        <f>IF(T3334="",0,IF(AND(G3334=T3334,COUNTIFS($S$6:S3334,S3334,$G$6:G3334,G3334,$D$6:D3334,"Vastgesteld")=1),1,0))</f>
        <v>0</v>
      </c>
      <c r="V3334" s="15">
        <f>IF(T3334="",0,IF(AND(G3334=T3334,COUNTIFS($S$6:S3334,S3334,$G$6:G3334,G3334,$D$6:D3334,"Vastgesteld")&gt;1),1,0))</f>
        <v>0</v>
      </c>
    </row>
    <row r="3335">
      <c r="S3335" s="15" t="str">
        <f>IF(J3335="","",J3335&amp;"|"&amp;E3335&amp;"|"&amp;F3335&amp;"|"&amp;I3335&amp;"|"&amp;O3335)</f>
        <v/>
      </c>
      <c r="T3335" s="15" t="str">
        <f>IF(OR(S3335="",D3335&lt;&gt;"Vastgesteld"),"",_xlfn.MAXIFS($G$6:$G$5005,$S$6:$S$5005,S3335,$D$6:$D$5005,"Vastgesteld"))</f>
        <v/>
      </c>
      <c r="U3335" s="15">
        <f>IF(T3335="",0,IF(AND(G3335=T3335,COUNTIFS($S$6:S3335,S3335,$G$6:G3335,G3335,$D$6:D3335,"Vastgesteld")=1),1,0))</f>
        <v>0</v>
      </c>
      <c r="V3335" s="15">
        <f>IF(T3335="",0,IF(AND(G3335=T3335,COUNTIFS($S$6:S3335,S3335,$G$6:G3335,G3335,$D$6:D3335,"Vastgesteld")&gt;1),1,0))</f>
        <v>0</v>
      </c>
    </row>
    <row r="3336">
      <c r="S3336" s="15" t="str">
        <f>IF(J3336="","",J3336&amp;"|"&amp;E3336&amp;"|"&amp;F3336&amp;"|"&amp;I3336&amp;"|"&amp;O3336)</f>
        <v/>
      </c>
      <c r="T3336" s="15" t="str">
        <f>IF(OR(S3336="",D3336&lt;&gt;"Vastgesteld"),"",_xlfn.MAXIFS($G$6:$G$5005,$S$6:$S$5005,S3336,$D$6:$D$5005,"Vastgesteld"))</f>
        <v/>
      </c>
      <c r="U3336" s="15">
        <f>IF(T3336="",0,IF(AND(G3336=T3336,COUNTIFS($S$6:S3336,S3336,$G$6:G3336,G3336,$D$6:D3336,"Vastgesteld")=1),1,0))</f>
        <v>0</v>
      </c>
      <c r="V3336" s="15">
        <f>IF(T3336="",0,IF(AND(G3336=T3336,COUNTIFS($S$6:S3336,S3336,$G$6:G3336,G3336,$D$6:D3336,"Vastgesteld")&gt;1),1,0))</f>
        <v>0</v>
      </c>
    </row>
    <row r="3337">
      <c r="S3337" s="15" t="str">
        <f>IF(J3337="","",J3337&amp;"|"&amp;E3337&amp;"|"&amp;F3337&amp;"|"&amp;I3337&amp;"|"&amp;O3337)</f>
        <v/>
      </c>
      <c r="T3337" s="15" t="str">
        <f>IF(OR(S3337="",D3337&lt;&gt;"Vastgesteld"),"",_xlfn.MAXIFS($G$6:$G$5005,$S$6:$S$5005,S3337,$D$6:$D$5005,"Vastgesteld"))</f>
        <v/>
      </c>
      <c r="U3337" s="15">
        <f>IF(T3337="",0,IF(AND(G3337=T3337,COUNTIFS($S$6:S3337,S3337,$G$6:G3337,G3337,$D$6:D3337,"Vastgesteld")=1),1,0))</f>
        <v>0</v>
      </c>
      <c r="V3337" s="15">
        <f>IF(T3337="",0,IF(AND(G3337=T3337,COUNTIFS($S$6:S3337,S3337,$G$6:G3337,G3337,$D$6:D3337,"Vastgesteld")&gt;1),1,0))</f>
        <v>0</v>
      </c>
    </row>
    <row r="3338">
      <c r="S3338" s="15" t="str">
        <f>IF(J3338="","",J3338&amp;"|"&amp;E3338&amp;"|"&amp;F3338&amp;"|"&amp;I3338&amp;"|"&amp;O3338)</f>
        <v/>
      </c>
      <c r="T3338" s="15" t="str">
        <f>IF(OR(S3338="",D3338&lt;&gt;"Vastgesteld"),"",_xlfn.MAXIFS($G$6:$G$5005,$S$6:$S$5005,S3338,$D$6:$D$5005,"Vastgesteld"))</f>
        <v/>
      </c>
      <c r="U3338" s="15">
        <f>IF(T3338="",0,IF(AND(G3338=T3338,COUNTIFS($S$6:S3338,S3338,$G$6:G3338,G3338,$D$6:D3338,"Vastgesteld")=1),1,0))</f>
        <v>0</v>
      </c>
      <c r="V3338" s="15">
        <f>IF(T3338="",0,IF(AND(G3338=T3338,COUNTIFS($S$6:S3338,S3338,$G$6:G3338,G3338,$D$6:D3338,"Vastgesteld")&gt;1),1,0))</f>
        <v>0</v>
      </c>
    </row>
    <row r="3339">
      <c r="S3339" s="15" t="str">
        <f>IF(J3339="","",J3339&amp;"|"&amp;E3339&amp;"|"&amp;F3339&amp;"|"&amp;I3339&amp;"|"&amp;O3339)</f>
        <v/>
      </c>
      <c r="T3339" s="15" t="str">
        <f>IF(OR(S3339="",D3339&lt;&gt;"Vastgesteld"),"",_xlfn.MAXIFS($G$6:$G$5005,$S$6:$S$5005,S3339,$D$6:$D$5005,"Vastgesteld"))</f>
        <v/>
      </c>
      <c r="U3339" s="15">
        <f>IF(T3339="",0,IF(AND(G3339=T3339,COUNTIFS($S$6:S3339,S3339,$G$6:G3339,G3339,$D$6:D3339,"Vastgesteld")=1),1,0))</f>
        <v>0</v>
      </c>
      <c r="V3339" s="15">
        <f>IF(T3339="",0,IF(AND(G3339=T3339,COUNTIFS($S$6:S3339,S3339,$G$6:G3339,G3339,$D$6:D3339,"Vastgesteld")&gt;1),1,0))</f>
        <v>0</v>
      </c>
    </row>
    <row r="3340">
      <c r="S3340" s="15" t="str">
        <f>IF(J3340="","",J3340&amp;"|"&amp;E3340&amp;"|"&amp;F3340&amp;"|"&amp;I3340&amp;"|"&amp;O3340)</f>
        <v/>
      </c>
      <c r="T3340" s="15" t="str">
        <f>IF(OR(S3340="",D3340&lt;&gt;"Vastgesteld"),"",_xlfn.MAXIFS($G$6:$G$5005,$S$6:$S$5005,S3340,$D$6:$D$5005,"Vastgesteld"))</f>
        <v/>
      </c>
      <c r="U3340" s="15">
        <f>IF(T3340="",0,IF(AND(G3340=T3340,COUNTIFS($S$6:S3340,S3340,$G$6:G3340,G3340,$D$6:D3340,"Vastgesteld")=1),1,0))</f>
        <v>0</v>
      </c>
      <c r="V3340" s="15">
        <f>IF(T3340="",0,IF(AND(G3340=T3340,COUNTIFS($S$6:S3340,S3340,$G$6:G3340,G3340,$D$6:D3340,"Vastgesteld")&gt;1),1,0))</f>
        <v>0</v>
      </c>
    </row>
    <row r="3341">
      <c r="S3341" s="15" t="str">
        <f>IF(J3341="","",J3341&amp;"|"&amp;E3341&amp;"|"&amp;F3341&amp;"|"&amp;I3341&amp;"|"&amp;O3341)</f>
        <v/>
      </c>
      <c r="T3341" s="15" t="str">
        <f>IF(OR(S3341="",D3341&lt;&gt;"Vastgesteld"),"",_xlfn.MAXIFS($G$6:$G$5005,$S$6:$S$5005,S3341,$D$6:$D$5005,"Vastgesteld"))</f>
        <v/>
      </c>
      <c r="U3341" s="15">
        <f>IF(T3341="",0,IF(AND(G3341=T3341,COUNTIFS($S$6:S3341,S3341,$G$6:G3341,G3341,$D$6:D3341,"Vastgesteld")=1),1,0))</f>
        <v>0</v>
      </c>
      <c r="V3341" s="15">
        <f>IF(T3341="",0,IF(AND(G3341=T3341,COUNTIFS($S$6:S3341,S3341,$G$6:G3341,G3341,$D$6:D3341,"Vastgesteld")&gt;1),1,0))</f>
        <v>0</v>
      </c>
    </row>
    <row r="3342">
      <c r="S3342" s="15" t="str">
        <f>IF(J3342="","",J3342&amp;"|"&amp;E3342&amp;"|"&amp;F3342&amp;"|"&amp;I3342&amp;"|"&amp;O3342)</f>
        <v/>
      </c>
      <c r="T3342" s="15" t="str">
        <f>IF(OR(S3342="",D3342&lt;&gt;"Vastgesteld"),"",_xlfn.MAXIFS($G$6:$G$5005,$S$6:$S$5005,S3342,$D$6:$D$5005,"Vastgesteld"))</f>
        <v/>
      </c>
      <c r="U3342" s="15">
        <f>IF(T3342="",0,IF(AND(G3342=T3342,COUNTIFS($S$6:S3342,S3342,$G$6:G3342,G3342,$D$6:D3342,"Vastgesteld")=1),1,0))</f>
        <v>0</v>
      </c>
      <c r="V3342" s="15">
        <f>IF(T3342="",0,IF(AND(G3342=T3342,COUNTIFS($S$6:S3342,S3342,$G$6:G3342,G3342,$D$6:D3342,"Vastgesteld")&gt;1),1,0))</f>
        <v>0</v>
      </c>
    </row>
    <row r="3343">
      <c r="S3343" s="15" t="str">
        <f>IF(J3343="","",J3343&amp;"|"&amp;E3343&amp;"|"&amp;F3343&amp;"|"&amp;I3343&amp;"|"&amp;O3343)</f>
        <v/>
      </c>
      <c r="T3343" s="15" t="str">
        <f>IF(OR(S3343="",D3343&lt;&gt;"Vastgesteld"),"",_xlfn.MAXIFS($G$6:$G$5005,$S$6:$S$5005,S3343,$D$6:$D$5005,"Vastgesteld"))</f>
        <v/>
      </c>
      <c r="U3343" s="15">
        <f>IF(T3343="",0,IF(AND(G3343=T3343,COUNTIFS($S$6:S3343,S3343,$G$6:G3343,G3343,$D$6:D3343,"Vastgesteld")=1),1,0))</f>
        <v>0</v>
      </c>
      <c r="V3343" s="15">
        <f>IF(T3343="",0,IF(AND(G3343=T3343,COUNTIFS($S$6:S3343,S3343,$G$6:G3343,G3343,$D$6:D3343,"Vastgesteld")&gt;1),1,0))</f>
        <v>0</v>
      </c>
    </row>
    <row r="3344">
      <c r="S3344" s="15" t="str">
        <f>IF(J3344="","",J3344&amp;"|"&amp;E3344&amp;"|"&amp;F3344&amp;"|"&amp;I3344&amp;"|"&amp;O3344)</f>
        <v/>
      </c>
      <c r="T3344" s="15" t="str">
        <f>IF(OR(S3344="",D3344&lt;&gt;"Vastgesteld"),"",_xlfn.MAXIFS($G$6:$G$5005,$S$6:$S$5005,S3344,$D$6:$D$5005,"Vastgesteld"))</f>
        <v/>
      </c>
      <c r="U3344" s="15">
        <f>IF(T3344="",0,IF(AND(G3344=T3344,COUNTIFS($S$6:S3344,S3344,$G$6:G3344,G3344,$D$6:D3344,"Vastgesteld")=1),1,0))</f>
        <v>0</v>
      </c>
      <c r="V3344" s="15">
        <f>IF(T3344="",0,IF(AND(G3344=T3344,COUNTIFS($S$6:S3344,S3344,$G$6:G3344,G3344,$D$6:D3344,"Vastgesteld")&gt;1),1,0))</f>
        <v>0</v>
      </c>
    </row>
    <row r="3345">
      <c r="S3345" s="15" t="str">
        <f>IF(J3345="","",J3345&amp;"|"&amp;E3345&amp;"|"&amp;F3345&amp;"|"&amp;I3345&amp;"|"&amp;O3345)</f>
        <v/>
      </c>
      <c r="T3345" s="15" t="str">
        <f>IF(OR(S3345="",D3345&lt;&gt;"Vastgesteld"),"",_xlfn.MAXIFS($G$6:$G$5005,$S$6:$S$5005,S3345,$D$6:$D$5005,"Vastgesteld"))</f>
        <v/>
      </c>
      <c r="U3345" s="15">
        <f>IF(T3345="",0,IF(AND(G3345=T3345,COUNTIFS($S$6:S3345,S3345,$G$6:G3345,G3345,$D$6:D3345,"Vastgesteld")=1),1,0))</f>
        <v>0</v>
      </c>
      <c r="V3345" s="15">
        <f>IF(T3345="",0,IF(AND(G3345=T3345,COUNTIFS($S$6:S3345,S3345,$G$6:G3345,G3345,$D$6:D3345,"Vastgesteld")&gt;1),1,0))</f>
        <v>0</v>
      </c>
    </row>
    <row r="3346">
      <c r="S3346" s="15" t="str">
        <f>IF(J3346="","",J3346&amp;"|"&amp;E3346&amp;"|"&amp;F3346&amp;"|"&amp;I3346&amp;"|"&amp;O3346)</f>
        <v/>
      </c>
      <c r="T3346" s="15" t="str">
        <f>IF(OR(S3346="",D3346&lt;&gt;"Vastgesteld"),"",_xlfn.MAXIFS($G$6:$G$5005,$S$6:$S$5005,S3346,$D$6:$D$5005,"Vastgesteld"))</f>
        <v/>
      </c>
      <c r="U3346" s="15">
        <f>IF(T3346="",0,IF(AND(G3346=T3346,COUNTIFS($S$6:S3346,S3346,$G$6:G3346,G3346,$D$6:D3346,"Vastgesteld")=1),1,0))</f>
        <v>0</v>
      </c>
      <c r="V3346" s="15">
        <f>IF(T3346="",0,IF(AND(G3346=T3346,COUNTIFS($S$6:S3346,S3346,$G$6:G3346,G3346,$D$6:D3346,"Vastgesteld")&gt;1),1,0))</f>
        <v>0</v>
      </c>
    </row>
    <row r="3347">
      <c r="S3347" s="15" t="str">
        <f>IF(J3347="","",J3347&amp;"|"&amp;E3347&amp;"|"&amp;F3347&amp;"|"&amp;I3347&amp;"|"&amp;O3347)</f>
        <v/>
      </c>
      <c r="T3347" s="15" t="str">
        <f>IF(OR(S3347="",D3347&lt;&gt;"Vastgesteld"),"",_xlfn.MAXIFS($G$6:$G$5005,$S$6:$S$5005,S3347,$D$6:$D$5005,"Vastgesteld"))</f>
        <v/>
      </c>
      <c r="U3347" s="15">
        <f>IF(T3347="",0,IF(AND(G3347=T3347,COUNTIFS($S$6:S3347,S3347,$G$6:G3347,G3347,$D$6:D3347,"Vastgesteld")=1),1,0))</f>
        <v>0</v>
      </c>
      <c r="V3347" s="15">
        <f>IF(T3347="",0,IF(AND(G3347=T3347,COUNTIFS($S$6:S3347,S3347,$G$6:G3347,G3347,$D$6:D3347,"Vastgesteld")&gt;1),1,0))</f>
        <v>0</v>
      </c>
    </row>
    <row r="3348">
      <c r="S3348" s="15" t="str">
        <f>IF(J3348="","",J3348&amp;"|"&amp;E3348&amp;"|"&amp;F3348&amp;"|"&amp;I3348&amp;"|"&amp;O3348)</f>
        <v/>
      </c>
      <c r="T3348" s="15" t="str">
        <f>IF(OR(S3348="",D3348&lt;&gt;"Vastgesteld"),"",_xlfn.MAXIFS($G$6:$G$5005,$S$6:$S$5005,S3348,$D$6:$D$5005,"Vastgesteld"))</f>
        <v/>
      </c>
      <c r="U3348" s="15">
        <f>IF(T3348="",0,IF(AND(G3348=T3348,COUNTIFS($S$6:S3348,S3348,$G$6:G3348,G3348,$D$6:D3348,"Vastgesteld")=1),1,0))</f>
        <v>0</v>
      </c>
      <c r="V3348" s="15">
        <f>IF(T3348="",0,IF(AND(G3348=T3348,COUNTIFS($S$6:S3348,S3348,$G$6:G3348,G3348,$D$6:D3348,"Vastgesteld")&gt;1),1,0))</f>
        <v>0</v>
      </c>
    </row>
    <row r="3349">
      <c r="S3349" s="15" t="str">
        <f>IF(J3349="","",J3349&amp;"|"&amp;E3349&amp;"|"&amp;F3349&amp;"|"&amp;I3349&amp;"|"&amp;O3349)</f>
        <v/>
      </c>
      <c r="T3349" s="15" t="str">
        <f>IF(OR(S3349="",D3349&lt;&gt;"Vastgesteld"),"",_xlfn.MAXIFS($G$6:$G$5005,$S$6:$S$5005,S3349,$D$6:$D$5005,"Vastgesteld"))</f>
        <v/>
      </c>
      <c r="U3349" s="15">
        <f>IF(T3349="",0,IF(AND(G3349=T3349,COUNTIFS($S$6:S3349,S3349,$G$6:G3349,G3349,$D$6:D3349,"Vastgesteld")=1),1,0))</f>
        <v>0</v>
      </c>
      <c r="V3349" s="15">
        <f>IF(T3349="",0,IF(AND(G3349=T3349,COUNTIFS($S$6:S3349,S3349,$G$6:G3349,G3349,$D$6:D3349,"Vastgesteld")&gt;1),1,0))</f>
        <v>0</v>
      </c>
    </row>
    <row r="3350">
      <c r="S3350" s="15" t="str">
        <f>IF(J3350="","",J3350&amp;"|"&amp;E3350&amp;"|"&amp;F3350&amp;"|"&amp;I3350&amp;"|"&amp;O3350)</f>
        <v/>
      </c>
      <c r="T3350" s="15" t="str">
        <f>IF(OR(S3350="",D3350&lt;&gt;"Vastgesteld"),"",_xlfn.MAXIFS($G$6:$G$5005,$S$6:$S$5005,S3350,$D$6:$D$5005,"Vastgesteld"))</f>
        <v/>
      </c>
      <c r="U3350" s="15">
        <f>IF(T3350="",0,IF(AND(G3350=T3350,COUNTIFS($S$6:S3350,S3350,$G$6:G3350,G3350,$D$6:D3350,"Vastgesteld")=1),1,0))</f>
        <v>0</v>
      </c>
      <c r="V3350" s="15">
        <f>IF(T3350="",0,IF(AND(G3350=T3350,COUNTIFS($S$6:S3350,S3350,$G$6:G3350,G3350,$D$6:D3350,"Vastgesteld")&gt;1),1,0))</f>
        <v>0</v>
      </c>
    </row>
    <row r="3351">
      <c r="S3351" s="15" t="str">
        <f>IF(J3351="","",J3351&amp;"|"&amp;E3351&amp;"|"&amp;F3351&amp;"|"&amp;I3351&amp;"|"&amp;O3351)</f>
        <v/>
      </c>
      <c r="T3351" s="15" t="str">
        <f>IF(OR(S3351="",D3351&lt;&gt;"Vastgesteld"),"",_xlfn.MAXIFS($G$6:$G$5005,$S$6:$S$5005,S3351,$D$6:$D$5005,"Vastgesteld"))</f>
        <v/>
      </c>
      <c r="U3351" s="15">
        <f>IF(T3351="",0,IF(AND(G3351=T3351,COUNTIFS($S$6:S3351,S3351,$G$6:G3351,G3351,$D$6:D3351,"Vastgesteld")=1),1,0))</f>
        <v>0</v>
      </c>
      <c r="V3351" s="15">
        <f>IF(T3351="",0,IF(AND(G3351=T3351,COUNTIFS($S$6:S3351,S3351,$G$6:G3351,G3351,$D$6:D3351,"Vastgesteld")&gt;1),1,0))</f>
        <v>0</v>
      </c>
    </row>
    <row r="3352">
      <c r="S3352" s="15" t="str">
        <f>IF(J3352="","",J3352&amp;"|"&amp;E3352&amp;"|"&amp;F3352&amp;"|"&amp;I3352&amp;"|"&amp;O3352)</f>
        <v/>
      </c>
      <c r="T3352" s="15" t="str">
        <f>IF(OR(S3352="",D3352&lt;&gt;"Vastgesteld"),"",_xlfn.MAXIFS($G$6:$G$5005,$S$6:$S$5005,S3352,$D$6:$D$5005,"Vastgesteld"))</f>
        <v/>
      </c>
      <c r="U3352" s="15">
        <f>IF(T3352="",0,IF(AND(G3352=T3352,COUNTIFS($S$6:S3352,S3352,$G$6:G3352,G3352,$D$6:D3352,"Vastgesteld")=1),1,0))</f>
        <v>0</v>
      </c>
      <c r="V3352" s="15">
        <f>IF(T3352="",0,IF(AND(G3352=T3352,COUNTIFS($S$6:S3352,S3352,$G$6:G3352,G3352,$D$6:D3352,"Vastgesteld")&gt;1),1,0))</f>
        <v>0</v>
      </c>
    </row>
    <row r="3353">
      <c r="S3353" s="15" t="str">
        <f>IF(J3353="","",J3353&amp;"|"&amp;E3353&amp;"|"&amp;F3353&amp;"|"&amp;I3353&amp;"|"&amp;O3353)</f>
        <v/>
      </c>
      <c r="T3353" s="15" t="str">
        <f>IF(OR(S3353="",D3353&lt;&gt;"Vastgesteld"),"",_xlfn.MAXIFS($G$6:$G$5005,$S$6:$S$5005,S3353,$D$6:$D$5005,"Vastgesteld"))</f>
        <v/>
      </c>
      <c r="U3353" s="15">
        <f>IF(T3353="",0,IF(AND(G3353=T3353,COUNTIFS($S$6:S3353,S3353,$G$6:G3353,G3353,$D$6:D3353,"Vastgesteld")=1),1,0))</f>
        <v>0</v>
      </c>
      <c r="V3353" s="15">
        <f>IF(T3353="",0,IF(AND(G3353=T3353,COUNTIFS($S$6:S3353,S3353,$G$6:G3353,G3353,$D$6:D3353,"Vastgesteld")&gt;1),1,0))</f>
        <v>0</v>
      </c>
    </row>
    <row r="3354">
      <c r="S3354" s="15" t="str">
        <f>IF(J3354="","",J3354&amp;"|"&amp;E3354&amp;"|"&amp;F3354&amp;"|"&amp;I3354&amp;"|"&amp;O3354)</f>
        <v/>
      </c>
      <c r="T3354" s="15" t="str">
        <f>IF(OR(S3354="",D3354&lt;&gt;"Vastgesteld"),"",_xlfn.MAXIFS($G$6:$G$5005,$S$6:$S$5005,S3354,$D$6:$D$5005,"Vastgesteld"))</f>
        <v/>
      </c>
      <c r="U3354" s="15">
        <f>IF(T3354="",0,IF(AND(G3354=T3354,COUNTIFS($S$6:S3354,S3354,$G$6:G3354,G3354,$D$6:D3354,"Vastgesteld")=1),1,0))</f>
        <v>0</v>
      </c>
      <c r="V3354" s="15">
        <f>IF(T3354="",0,IF(AND(G3354=T3354,COUNTIFS($S$6:S3354,S3354,$G$6:G3354,G3354,$D$6:D3354,"Vastgesteld")&gt;1),1,0))</f>
        <v>0</v>
      </c>
    </row>
    <row r="3355">
      <c r="S3355" s="15" t="str">
        <f>IF(J3355="","",J3355&amp;"|"&amp;E3355&amp;"|"&amp;F3355&amp;"|"&amp;I3355&amp;"|"&amp;O3355)</f>
        <v/>
      </c>
      <c r="T3355" s="15" t="str">
        <f>IF(OR(S3355="",D3355&lt;&gt;"Vastgesteld"),"",_xlfn.MAXIFS($G$6:$G$5005,$S$6:$S$5005,S3355,$D$6:$D$5005,"Vastgesteld"))</f>
        <v/>
      </c>
      <c r="U3355" s="15">
        <f>IF(T3355="",0,IF(AND(G3355=T3355,COUNTIFS($S$6:S3355,S3355,$G$6:G3355,G3355,$D$6:D3355,"Vastgesteld")=1),1,0))</f>
        <v>0</v>
      </c>
      <c r="V3355" s="15">
        <f>IF(T3355="",0,IF(AND(G3355=T3355,COUNTIFS($S$6:S3355,S3355,$G$6:G3355,G3355,$D$6:D3355,"Vastgesteld")&gt;1),1,0))</f>
        <v>0</v>
      </c>
    </row>
    <row r="3356">
      <c r="S3356" s="15" t="str">
        <f>IF(J3356="","",J3356&amp;"|"&amp;E3356&amp;"|"&amp;F3356&amp;"|"&amp;I3356&amp;"|"&amp;O3356)</f>
        <v/>
      </c>
      <c r="T3356" s="15" t="str">
        <f>IF(OR(S3356="",D3356&lt;&gt;"Vastgesteld"),"",_xlfn.MAXIFS($G$6:$G$5005,$S$6:$S$5005,S3356,$D$6:$D$5005,"Vastgesteld"))</f>
        <v/>
      </c>
      <c r="U3356" s="15">
        <f>IF(T3356="",0,IF(AND(G3356=T3356,COUNTIFS($S$6:S3356,S3356,$G$6:G3356,G3356,$D$6:D3356,"Vastgesteld")=1),1,0))</f>
        <v>0</v>
      </c>
      <c r="V3356" s="15">
        <f>IF(T3356="",0,IF(AND(G3356=T3356,COUNTIFS($S$6:S3356,S3356,$G$6:G3356,G3356,$D$6:D3356,"Vastgesteld")&gt;1),1,0))</f>
        <v>0</v>
      </c>
    </row>
    <row r="3357">
      <c r="S3357" s="15" t="str">
        <f>IF(J3357="","",J3357&amp;"|"&amp;E3357&amp;"|"&amp;F3357&amp;"|"&amp;I3357&amp;"|"&amp;O3357)</f>
        <v/>
      </c>
      <c r="T3357" s="15" t="str">
        <f>IF(OR(S3357="",D3357&lt;&gt;"Vastgesteld"),"",_xlfn.MAXIFS($G$6:$G$5005,$S$6:$S$5005,S3357,$D$6:$D$5005,"Vastgesteld"))</f>
        <v/>
      </c>
      <c r="U3357" s="15">
        <f>IF(T3357="",0,IF(AND(G3357=T3357,COUNTIFS($S$6:S3357,S3357,$G$6:G3357,G3357,$D$6:D3357,"Vastgesteld")=1),1,0))</f>
        <v>0</v>
      </c>
      <c r="V3357" s="15">
        <f>IF(T3357="",0,IF(AND(G3357=T3357,COUNTIFS($S$6:S3357,S3357,$G$6:G3357,G3357,$D$6:D3357,"Vastgesteld")&gt;1),1,0))</f>
        <v>0</v>
      </c>
    </row>
    <row r="3358">
      <c r="S3358" s="15" t="str">
        <f>IF(J3358="","",J3358&amp;"|"&amp;E3358&amp;"|"&amp;F3358&amp;"|"&amp;I3358&amp;"|"&amp;O3358)</f>
        <v/>
      </c>
      <c r="T3358" s="15" t="str">
        <f>IF(OR(S3358="",D3358&lt;&gt;"Vastgesteld"),"",_xlfn.MAXIFS($G$6:$G$5005,$S$6:$S$5005,S3358,$D$6:$D$5005,"Vastgesteld"))</f>
        <v/>
      </c>
      <c r="U3358" s="15">
        <f>IF(T3358="",0,IF(AND(G3358=T3358,COUNTIFS($S$6:S3358,S3358,$G$6:G3358,G3358,$D$6:D3358,"Vastgesteld")=1),1,0))</f>
        <v>0</v>
      </c>
      <c r="V3358" s="15">
        <f>IF(T3358="",0,IF(AND(G3358=T3358,COUNTIFS($S$6:S3358,S3358,$G$6:G3358,G3358,$D$6:D3358,"Vastgesteld")&gt;1),1,0))</f>
        <v>0</v>
      </c>
    </row>
    <row r="3359">
      <c r="S3359" s="15" t="str">
        <f>IF(J3359="","",J3359&amp;"|"&amp;E3359&amp;"|"&amp;F3359&amp;"|"&amp;I3359&amp;"|"&amp;O3359)</f>
        <v/>
      </c>
      <c r="T3359" s="15" t="str">
        <f>IF(OR(S3359="",D3359&lt;&gt;"Vastgesteld"),"",_xlfn.MAXIFS($G$6:$G$5005,$S$6:$S$5005,S3359,$D$6:$D$5005,"Vastgesteld"))</f>
        <v/>
      </c>
      <c r="U3359" s="15">
        <f>IF(T3359="",0,IF(AND(G3359=T3359,COUNTIFS($S$6:S3359,S3359,$G$6:G3359,G3359,$D$6:D3359,"Vastgesteld")=1),1,0))</f>
        <v>0</v>
      </c>
      <c r="V3359" s="15">
        <f>IF(T3359="",0,IF(AND(G3359=T3359,COUNTIFS($S$6:S3359,S3359,$G$6:G3359,G3359,$D$6:D3359,"Vastgesteld")&gt;1),1,0))</f>
        <v>0</v>
      </c>
    </row>
    <row r="3360">
      <c r="S3360" s="15" t="str">
        <f>IF(J3360="","",J3360&amp;"|"&amp;E3360&amp;"|"&amp;F3360&amp;"|"&amp;I3360&amp;"|"&amp;O3360)</f>
        <v/>
      </c>
      <c r="T3360" s="15" t="str">
        <f>IF(OR(S3360="",D3360&lt;&gt;"Vastgesteld"),"",_xlfn.MAXIFS($G$6:$G$5005,$S$6:$S$5005,S3360,$D$6:$D$5005,"Vastgesteld"))</f>
        <v/>
      </c>
      <c r="U3360" s="15">
        <f>IF(T3360="",0,IF(AND(G3360=T3360,COUNTIFS($S$6:S3360,S3360,$G$6:G3360,G3360,$D$6:D3360,"Vastgesteld")=1),1,0))</f>
        <v>0</v>
      </c>
      <c r="V3360" s="15">
        <f>IF(T3360="",0,IF(AND(G3360=T3360,COUNTIFS($S$6:S3360,S3360,$G$6:G3360,G3360,$D$6:D3360,"Vastgesteld")&gt;1),1,0))</f>
        <v>0</v>
      </c>
    </row>
    <row r="3361">
      <c r="S3361" s="15" t="str">
        <f>IF(J3361="","",J3361&amp;"|"&amp;E3361&amp;"|"&amp;F3361&amp;"|"&amp;I3361&amp;"|"&amp;O3361)</f>
        <v/>
      </c>
      <c r="T3361" s="15" t="str">
        <f>IF(OR(S3361="",D3361&lt;&gt;"Vastgesteld"),"",_xlfn.MAXIFS($G$6:$G$5005,$S$6:$S$5005,S3361,$D$6:$D$5005,"Vastgesteld"))</f>
        <v/>
      </c>
      <c r="U3361" s="15">
        <f>IF(T3361="",0,IF(AND(G3361=T3361,COUNTIFS($S$6:S3361,S3361,$G$6:G3361,G3361,$D$6:D3361,"Vastgesteld")=1),1,0))</f>
        <v>0</v>
      </c>
      <c r="V3361" s="15">
        <f>IF(T3361="",0,IF(AND(G3361=T3361,COUNTIFS($S$6:S3361,S3361,$G$6:G3361,G3361,$D$6:D3361,"Vastgesteld")&gt;1),1,0))</f>
        <v>0</v>
      </c>
    </row>
    <row r="3362">
      <c r="S3362" s="15" t="str">
        <f>IF(J3362="","",J3362&amp;"|"&amp;E3362&amp;"|"&amp;F3362&amp;"|"&amp;I3362&amp;"|"&amp;O3362)</f>
        <v/>
      </c>
      <c r="T3362" s="15" t="str">
        <f>IF(OR(S3362="",D3362&lt;&gt;"Vastgesteld"),"",_xlfn.MAXIFS($G$6:$G$5005,$S$6:$S$5005,S3362,$D$6:$D$5005,"Vastgesteld"))</f>
        <v/>
      </c>
      <c r="U3362" s="15">
        <f>IF(T3362="",0,IF(AND(G3362=T3362,COUNTIFS($S$6:S3362,S3362,$G$6:G3362,G3362,$D$6:D3362,"Vastgesteld")=1),1,0))</f>
        <v>0</v>
      </c>
      <c r="V3362" s="15">
        <f>IF(T3362="",0,IF(AND(G3362=T3362,COUNTIFS($S$6:S3362,S3362,$G$6:G3362,G3362,$D$6:D3362,"Vastgesteld")&gt;1),1,0))</f>
        <v>0</v>
      </c>
    </row>
    <row r="3363">
      <c r="S3363" s="15" t="str">
        <f>IF(J3363="","",J3363&amp;"|"&amp;E3363&amp;"|"&amp;F3363&amp;"|"&amp;I3363&amp;"|"&amp;O3363)</f>
        <v/>
      </c>
      <c r="T3363" s="15" t="str">
        <f>IF(OR(S3363="",D3363&lt;&gt;"Vastgesteld"),"",_xlfn.MAXIFS($G$6:$G$5005,$S$6:$S$5005,S3363,$D$6:$D$5005,"Vastgesteld"))</f>
        <v/>
      </c>
      <c r="U3363" s="15">
        <f>IF(T3363="",0,IF(AND(G3363=T3363,COUNTIFS($S$6:S3363,S3363,$G$6:G3363,G3363,$D$6:D3363,"Vastgesteld")=1),1,0))</f>
        <v>0</v>
      </c>
      <c r="V3363" s="15">
        <f>IF(T3363="",0,IF(AND(G3363=T3363,COUNTIFS($S$6:S3363,S3363,$G$6:G3363,G3363,$D$6:D3363,"Vastgesteld")&gt;1),1,0))</f>
        <v>0</v>
      </c>
    </row>
    <row r="3364">
      <c r="S3364" s="15" t="str">
        <f>IF(J3364="","",J3364&amp;"|"&amp;E3364&amp;"|"&amp;F3364&amp;"|"&amp;I3364&amp;"|"&amp;O3364)</f>
        <v/>
      </c>
      <c r="T3364" s="15" t="str">
        <f>IF(OR(S3364="",D3364&lt;&gt;"Vastgesteld"),"",_xlfn.MAXIFS($G$6:$G$5005,$S$6:$S$5005,S3364,$D$6:$D$5005,"Vastgesteld"))</f>
        <v/>
      </c>
      <c r="U3364" s="15">
        <f>IF(T3364="",0,IF(AND(G3364=T3364,COUNTIFS($S$6:S3364,S3364,$G$6:G3364,G3364,$D$6:D3364,"Vastgesteld")=1),1,0))</f>
        <v>0</v>
      </c>
      <c r="V3364" s="15">
        <f>IF(T3364="",0,IF(AND(G3364=T3364,COUNTIFS($S$6:S3364,S3364,$G$6:G3364,G3364,$D$6:D3364,"Vastgesteld")&gt;1),1,0))</f>
        <v>0</v>
      </c>
    </row>
    <row r="3365">
      <c r="S3365" s="15" t="str">
        <f>IF(J3365="","",J3365&amp;"|"&amp;E3365&amp;"|"&amp;F3365&amp;"|"&amp;I3365&amp;"|"&amp;O3365)</f>
        <v/>
      </c>
      <c r="T3365" s="15" t="str">
        <f>IF(OR(S3365="",D3365&lt;&gt;"Vastgesteld"),"",_xlfn.MAXIFS($G$6:$G$5005,$S$6:$S$5005,S3365,$D$6:$D$5005,"Vastgesteld"))</f>
        <v/>
      </c>
      <c r="U3365" s="15">
        <f>IF(T3365="",0,IF(AND(G3365=T3365,COUNTIFS($S$6:S3365,S3365,$G$6:G3365,G3365,$D$6:D3365,"Vastgesteld")=1),1,0))</f>
        <v>0</v>
      </c>
      <c r="V3365" s="15">
        <f>IF(T3365="",0,IF(AND(G3365=T3365,COUNTIFS($S$6:S3365,S3365,$G$6:G3365,G3365,$D$6:D3365,"Vastgesteld")&gt;1),1,0))</f>
        <v>0</v>
      </c>
    </row>
    <row r="3366">
      <c r="S3366" s="15" t="str">
        <f>IF(J3366="","",J3366&amp;"|"&amp;E3366&amp;"|"&amp;F3366&amp;"|"&amp;I3366&amp;"|"&amp;O3366)</f>
        <v/>
      </c>
      <c r="T3366" s="15" t="str">
        <f>IF(OR(S3366="",D3366&lt;&gt;"Vastgesteld"),"",_xlfn.MAXIFS($G$6:$G$5005,$S$6:$S$5005,S3366,$D$6:$D$5005,"Vastgesteld"))</f>
        <v/>
      </c>
      <c r="U3366" s="15">
        <f>IF(T3366="",0,IF(AND(G3366=T3366,COUNTIFS($S$6:S3366,S3366,$G$6:G3366,G3366,$D$6:D3366,"Vastgesteld")=1),1,0))</f>
        <v>0</v>
      </c>
      <c r="V3366" s="15">
        <f>IF(T3366="",0,IF(AND(G3366=T3366,COUNTIFS($S$6:S3366,S3366,$G$6:G3366,G3366,$D$6:D3366,"Vastgesteld")&gt;1),1,0))</f>
        <v>0</v>
      </c>
    </row>
    <row r="3367">
      <c r="S3367" s="15" t="str">
        <f>IF(J3367="","",J3367&amp;"|"&amp;E3367&amp;"|"&amp;F3367&amp;"|"&amp;I3367&amp;"|"&amp;O3367)</f>
        <v/>
      </c>
      <c r="T3367" s="15" t="str">
        <f>IF(OR(S3367="",D3367&lt;&gt;"Vastgesteld"),"",_xlfn.MAXIFS($G$6:$G$5005,$S$6:$S$5005,S3367,$D$6:$D$5005,"Vastgesteld"))</f>
        <v/>
      </c>
      <c r="U3367" s="15">
        <f>IF(T3367="",0,IF(AND(G3367=T3367,COUNTIFS($S$6:S3367,S3367,$G$6:G3367,G3367,$D$6:D3367,"Vastgesteld")=1),1,0))</f>
        <v>0</v>
      </c>
      <c r="V3367" s="15">
        <f>IF(T3367="",0,IF(AND(G3367=T3367,COUNTIFS($S$6:S3367,S3367,$G$6:G3367,G3367,$D$6:D3367,"Vastgesteld")&gt;1),1,0))</f>
        <v>0</v>
      </c>
    </row>
    <row r="3368">
      <c r="S3368" s="15" t="str">
        <f>IF(J3368="","",J3368&amp;"|"&amp;E3368&amp;"|"&amp;F3368&amp;"|"&amp;I3368&amp;"|"&amp;O3368)</f>
        <v/>
      </c>
      <c r="T3368" s="15" t="str">
        <f>IF(OR(S3368="",D3368&lt;&gt;"Vastgesteld"),"",_xlfn.MAXIFS($G$6:$G$5005,$S$6:$S$5005,S3368,$D$6:$D$5005,"Vastgesteld"))</f>
        <v/>
      </c>
      <c r="U3368" s="15">
        <f>IF(T3368="",0,IF(AND(G3368=T3368,COUNTIFS($S$6:S3368,S3368,$G$6:G3368,G3368,$D$6:D3368,"Vastgesteld")=1),1,0))</f>
        <v>0</v>
      </c>
      <c r="V3368" s="15">
        <f>IF(T3368="",0,IF(AND(G3368=T3368,COUNTIFS($S$6:S3368,S3368,$G$6:G3368,G3368,$D$6:D3368,"Vastgesteld")&gt;1),1,0))</f>
        <v>0</v>
      </c>
    </row>
    <row r="3369">
      <c r="S3369" s="15" t="str">
        <f>IF(J3369="","",J3369&amp;"|"&amp;E3369&amp;"|"&amp;F3369&amp;"|"&amp;I3369&amp;"|"&amp;O3369)</f>
        <v/>
      </c>
      <c r="T3369" s="15" t="str">
        <f>IF(OR(S3369="",D3369&lt;&gt;"Vastgesteld"),"",_xlfn.MAXIFS($G$6:$G$5005,$S$6:$S$5005,S3369,$D$6:$D$5005,"Vastgesteld"))</f>
        <v/>
      </c>
      <c r="U3369" s="15">
        <f>IF(T3369="",0,IF(AND(G3369=T3369,COUNTIFS($S$6:S3369,S3369,$G$6:G3369,G3369,$D$6:D3369,"Vastgesteld")=1),1,0))</f>
        <v>0</v>
      </c>
      <c r="V3369" s="15">
        <f>IF(T3369="",0,IF(AND(G3369=T3369,COUNTIFS($S$6:S3369,S3369,$G$6:G3369,G3369,$D$6:D3369,"Vastgesteld")&gt;1),1,0))</f>
        <v>0</v>
      </c>
    </row>
    <row r="3370">
      <c r="S3370" s="15" t="str">
        <f>IF(J3370="","",J3370&amp;"|"&amp;E3370&amp;"|"&amp;F3370&amp;"|"&amp;I3370&amp;"|"&amp;O3370)</f>
        <v/>
      </c>
      <c r="T3370" s="15" t="str">
        <f>IF(OR(S3370="",D3370&lt;&gt;"Vastgesteld"),"",_xlfn.MAXIFS($G$6:$G$5005,$S$6:$S$5005,S3370,$D$6:$D$5005,"Vastgesteld"))</f>
        <v/>
      </c>
      <c r="U3370" s="15">
        <f>IF(T3370="",0,IF(AND(G3370=T3370,COUNTIFS($S$6:S3370,S3370,$G$6:G3370,G3370,$D$6:D3370,"Vastgesteld")=1),1,0))</f>
        <v>0</v>
      </c>
      <c r="V3370" s="15">
        <f>IF(T3370="",0,IF(AND(G3370=T3370,COUNTIFS($S$6:S3370,S3370,$G$6:G3370,G3370,$D$6:D3370,"Vastgesteld")&gt;1),1,0))</f>
        <v>0</v>
      </c>
    </row>
    <row r="3371">
      <c r="S3371" s="15" t="str">
        <f>IF(J3371="","",J3371&amp;"|"&amp;E3371&amp;"|"&amp;F3371&amp;"|"&amp;I3371&amp;"|"&amp;O3371)</f>
        <v/>
      </c>
      <c r="T3371" s="15" t="str">
        <f>IF(OR(S3371="",D3371&lt;&gt;"Vastgesteld"),"",_xlfn.MAXIFS($G$6:$G$5005,$S$6:$S$5005,S3371,$D$6:$D$5005,"Vastgesteld"))</f>
        <v/>
      </c>
      <c r="U3371" s="15">
        <f>IF(T3371="",0,IF(AND(G3371=T3371,COUNTIFS($S$6:S3371,S3371,$G$6:G3371,G3371,$D$6:D3371,"Vastgesteld")=1),1,0))</f>
        <v>0</v>
      </c>
      <c r="V3371" s="15">
        <f>IF(T3371="",0,IF(AND(G3371=T3371,COUNTIFS($S$6:S3371,S3371,$G$6:G3371,G3371,$D$6:D3371,"Vastgesteld")&gt;1),1,0))</f>
        <v>0</v>
      </c>
    </row>
    <row r="3372">
      <c r="S3372" s="15" t="str">
        <f>IF(J3372="","",J3372&amp;"|"&amp;E3372&amp;"|"&amp;F3372&amp;"|"&amp;I3372&amp;"|"&amp;O3372)</f>
        <v/>
      </c>
      <c r="T3372" s="15" t="str">
        <f>IF(OR(S3372="",D3372&lt;&gt;"Vastgesteld"),"",_xlfn.MAXIFS($G$6:$G$5005,$S$6:$S$5005,S3372,$D$6:$D$5005,"Vastgesteld"))</f>
        <v/>
      </c>
      <c r="U3372" s="15">
        <f>IF(T3372="",0,IF(AND(G3372=T3372,COUNTIFS($S$6:S3372,S3372,$G$6:G3372,G3372,$D$6:D3372,"Vastgesteld")=1),1,0))</f>
        <v>0</v>
      </c>
      <c r="V3372" s="15">
        <f>IF(T3372="",0,IF(AND(G3372=T3372,COUNTIFS($S$6:S3372,S3372,$G$6:G3372,G3372,$D$6:D3372,"Vastgesteld")&gt;1),1,0))</f>
        <v>0</v>
      </c>
    </row>
    <row r="3373">
      <c r="S3373" s="15" t="str">
        <f>IF(J3373="","",J3373&amp;"|"&amp;E3373&amp;"|"&amp;F3373&amp;"|"&amp;I3373&amp;"|"&amp;O3373)</f>
        <v/>
      </c>
      <c r="T3373" s="15" t="str">
        <f>IF(OR(S3373="",D3373&lt;&gt;"Vastgesteld"),"",_xlfn.MAXIFS($G$6:$G$5005,$S$6:$S$5005,S3373,$D$6:$D$5005,"Vastgesteld"))</f>
        <v/>
      </c>
      <c r="U3373" s="15">
        <f>IF(T3373="",0,IF(AND(G3373=T3373,COUNTIFS($S$6:S3373,S3373,$G$6:G3373,G3373,$D$6:D3373,"Vastgesteld")=1),1,0))</f>
        <v>0</v>
      </c>
      <c r="V3373" s="15">
        <f>IF(T3373="",0,IF(AND(G3373=T3373,COUNTIFS($S$6:S3373,S3373,$G$6:G3373,G3373,$D$6:D3373,"Vastgesteld")&gt;1),1,0))</f>
        <v>0</v>
      </c>
    </row>
    <row r="3374">
      <c r="S3374" s="15" t="str">
        <f>IF(J3374="","",J3374&amp;"|"&amp;E3374&amp;"|"&amp;F3374&amp;"|"&amp;I3374&amp;"|"&amp;O3374)</f>
        <v/>
      </c>
      <c r="T3374" s="15" t="str">
        <f>IF(OR(S3374="",D3374&lt;&gt;"Vastgesteld"),"",_xlfn.MAXIFS($G$6:$G$5005,$S$6:$S$5005,S3374,$D$6:$D$5005,"Vastgesteld"))</f>
        <v/>
      </c>
      <c r="U3374" s="15">
        <f>IF(T3374="",0,IF(AND(G3374=T3374,COUNTIFS($S$6:S3374,S3374,$G$6:G3374,G3374,$D$6:D3374,"Vastgesteld")=1),1,0))</f>
        <v>0</v>
      </c>
      <c r="V3374" s="15">
        <f>IF(T3374="",0,IF(AND(G3374=T3374,COUNTIFS($S$6:S3374,S3374,$G$6:G3374,G3374,$D$6:D3374,"Vastgesteld")&gt;1),1,0))</f>
        <v>0</v>
      </c>
    </row>
    <row r="3375">
      <c r="S3375" s="15" t="str">
        <f>IF(J3375="","",J3375&amp;"|"&amp;E3375&amp;"|"&amp;F3375&amp;"|"&amp;I3375&amp;"|"&amp;O3375)</f>
        <v/>
      </c>
      <c r="T3375" s="15" t="str">
        <f>IF(OR(S3375="",D3375&lt;&gt;"Vastgesteld"),"",_xlfn.MAXIFS($G$6:$G$5005,$S$6:$S$5005,S3375,$D$6:$D$5005,"Vastgesteld"))</f>
        <v/>
      </c>
      <c r="U3375" s="15">
        <f>IF(T3375="",0,IF(AND(G3375=T3375,COUNTIFS($S$6:S3375,S3375,$G$6:G3375,G3375,$D$6:D3375,"Vastgesteld")=1),1,0))</f>
        <v>0</v>
      </c>
      <c r="V3375" s="15">
        <f>IF(T3375="",0,IF(AND(G3375=T3375,COUNTIFS($S$6:S3375,S3375,$G$6:G3375,G3375,$D$6:D3375,"Vastgesteld")&gt;1),1,0))</f>
        <v>0</v>
      </c>
    </row>
    <row r="3376">
      <c r="S3376" s="15" t="str">
        <f>IF(J3376="","",J3376&amp;"|"&amp;E3376&amp;"|"&amp;F3376&amp;"|"&amp;I3376&amp;"|"&amp;O3376)</f>
        <v/>
      </c>
      <c r="T3376" s="15" t="str">
        <f>IF(OR(S3376="",D3376&lt;&gt;"Vastgesteld"),"",_xlfn.MAXIFS($G$6:$G$5005,$S$6:$S$5005,S3376,$D$6:$D$5005,"Vastgesteld"))</f>
        <v/>
      </c>
      <c r="U3376" s="15">
        <f>IF(T3376="",0,IF(AND(G3376=T3376,COUNTIFS($S$6:S3376,S3376,$G$6:G3376,G3376,$D$6:D3376,"Vastgesteld")=1),1,0))</f>
        <v>0</v>
      </c>
      <c r="V3376" s="15">
        <f>IF(T3376="",0,IF(AND(G3376=T3376,COUNTIFS($S$6:S3376,S3376,$G$6:G3376,G3376,$D$6:D3376,"Vastgesteld")&gt;1),1,0))</f>
        <v>0</v>
      </c>
    </row>
    <row r="3377">
      <c r="S3377" s="15" t="str">
        <f>IF(J3377="","",J3377&amp;"|"&amp;E3377&amp;"|"&amp;F3377&amp;"|"&amp;I3377&amp;"|"&amp;O3377)</f>
        <v/>
      </c>
      <c r="T3377" s="15" t="str">
        <f>IF(OR(S3377="",D3377&lt;&gt;"Vastgesteld"),"",_xlfn.MAXIFS($G$6:$G$5005,$S$6:$S$5005,S3377,$D$6:$D$5005,"Vastgesteld"))</f>
        <v/>
      </c>
      <c r="U3377" s="15">
        <f>IF(T3377="",0,IF(AND(G3377=T3377,COUNTIFS($S$6:S3377,S3377,$G$6:G3377,G3377,$D$6:D3377,"Vastgesteld")=1),1,0))</f>
        <v>0</v>
      </c>
      <c r="V3377" s="15">
        <f>IF(T3377="",0,IF(AND(G3377=T3377,COUNTIFS($S$6:S3377,S3377,$G$6:G3377,G3377,$D$6:D3377,"Vastgesteld")&gt;1),1,0))</f>
        <v>0</v>
      </c>
    </row>
    <row r="3378">
      <c r="S3378" s="15" t="str">
        <f>IF(J3378="","",J3378&amp;"|"&amp;E3378&amp;"|"&amp;F3378&amp;"|"&amp;I3378&amp;"|"&amp;O3378)</f>
        <v/>
      </c>
      <c r="T3378" s="15" t="str">
        <f>IF(OR(S3378="",D3378&lt;&gt;"Vastgesteld"),"",_xlfn.MAXIFS($G$6:$G$5005,$S$6:$S$5005,S3378,$D$6:$D$5005,"Vastgesteld"))</f>
        <v/>
      </c>
      <c r="U3378" s="15">
        <f>IF(T3378="",0,IF(AND(G3378=T3378,COUNTIFS($S$6:S3378,S3378,$G$6:G3378,G3378,$D$6:D3378,"Vastgesteld")=1),1,0))</f>
        <v>0</v>
      </c>
      <c r="V3378" s="15">
        <f>IF(T3378="",0,IF(AND(G3378=T3378,COUNTIFS($S$6:S3378,S3378,$G$6:G3378,G3378,$D$6:D3378,"Vastgesteld")&gt;1),1,0))</f>
        <v>0</v>
      </c>
    </row>
    <row r="3379">
      <c r="S3379" s="15" t="str">
        <f>IF(J3379="","",J3379&amp;"|"&amp;E3379&amp;"|"&amp;F3379&amp;"|"&amp;I3379&amp;"|"&amp;O3379)</f>
        <v/>
      </c>
      <c r="T3379" s="15" t="str">
        <f>IF(OR(S3379="",D3379&lt;&gt;"Vastgesteld"),"",_xlfn.MAXIFS($G$6:$G$5005,$S$6:$S$5005,S3379,$D$6:$D$5005,"Vastgesteld"))</f>
        <v/>
      </c>
      <c r="U3379" s="15">
        <f>IF(T3379="",0,IF(AND(G3379=T3379,COUNTIFS($S$6:S3379,S3379,$G$6:G3379,G3379,$D$6:D3379,"Vastgesteld")=1),1,0))</f>
        <v>0</v>
      </c>
      <c r="V3379" s="15">
        <f>IF(T3379="",0,IF(AND(G3379=T3379,COUNTIFS($S$6:S3379,S3379,$G$6:G3379,G3379,$D$6:D3379,"Vastgesteld")&gt;1),1,0))</f>
        <v>0</v>
      </c>
    </row>
    <row r="3380">
      <c r="S3380" s="15" t="str">
        <f>IF(J3380="","",J3380&amp;"|"&amp;E3380&amp;"|"&amp;F3380&amp;"|"&amp;I3380&amp;"|"&amp;O3380)</f>
        <v/>
      </c>
      <c r="T3380" s="15" t="str">
        <f>IF(OR(S3380="",D3380&lt;&gt;"Vastgesteld"),"",_xlfn.MAXIFS($G$6:$G$5005,$S$6:$S$5005,S3380,$D$6:$D$5005,"Vastgesteld"))</f>
        <v/>
      </c>
      <c r="U3380" s="15">
        <f>IF(T3380="",0,IF(AND(G3380=T3380,COUNTIFS($S$6:S3380,S3380,$G$6:G3380,G3380,$D$6:D3380,"Vastgesteld")=1),1,0))</f>
        <v>0</v>
      </c>
      <c r="V3380" s="15">
        <f>IF(T3380="",0,IF(AND(G3380=T3380,COUNTIFS($S$6:S3380,S3380,$G$6:G3380,G3380,$D$6:D3380,"Vastgesteld")&gt;1),1,0))</f>
        <v>0</v>
      </c>
    </row>
    <row r="3381">
      <c r="S3381" s="15" t="str">
        <f>IF(J3381="","",J3381&amp;"|"&amp;E3381&amp;"|"&amp;F3381&amp;"|"&amp;I3381&amp;"|"&amp;O3381)</f>
        <v/>
      </c>
      <c r="T3381" s="15" t="str">
        <f>IF(OR(S3381="",D3381&lt;&gt;"Vastgesteld"),"",_xlfn.MAXIFS($G$6:$G$5005,$S$6:$S$5005,S3381,$D$6:$D$5005,"Vastgesteld"))</f>
        <v/>
      </c>
      <c r="U3381" s="15">
        <f>IF(T3381="",0,IF(AND(G3381=T3381,COUNTIFS($S$6:S3381,S3381,$G$6:G3381,G3381,$D$6:D3381,"Vastgesteld")=1),1,0))</f>
        <v>0</v>
      </c>
      <c r="V3381" s="15">
        <f>IF(T3381="",0,IF(AND(G3381=T3381,COUNTIFS($S$6:S3381,S3381,$G$6:G3381,G3381,$D$6:D3381,"Vastgesteld")&gt;1),1,0))</f>
        <v>0</v>
      </c>
    </row>
    <row r="3382">
      <c r="S3382" s="15" t="str">
        <f>IF(J3382="","",J3382&amp;"|"&amp;E3382&amp;"|"&amp;F3382&amp;"|"&amp;I3382&amp;"|"&amp;O3382)</f>
        <v/>
      </c>
      <c r="T3382" s="15" t="str">
        <f>IF(OR(S3382="",D3382&lt;&gt;"Vastgesteld"),"",_xlfn.MAXIFS($G$6:$G$5005,$S$6:$S$5005,S3382,$D$6:$D$5005,"Vastgesteld"))</f>
        <v/>
      </c>
      <c r="U3382" s="15">
        <f>IF(T3382="",0,IF(AND(G3382=T3382,COUNTIFS($S$6:S3382,S3382,$G$6:G3382,G3382,$D$6:D3382,"Vastgesteld")=1),1,0))</f>
        <v>0</v>
      </c>
      <c r="V3382" s="15">
        <f>IF(T3382="",0,IF(AND(G3382=T3382,COUNTIFS($S$6:S3382,S3382,$G$6:G3382,G3382,$D$6:D3382,"Vastgesteld")&gt;1),1,0))</f>
        <v>0</v>
      </c>
    </row>
    <row r="3383">
      <c r="S3383" s="15" t="str">
        <f>IF(J3383="","",J3383&amp;"|"&amp;E3383&amp;"|"&amp;F3383&amp;"|"&amp;I3383&amp;"|"&amp;O3383)</f>
        <v/>
      </c>
      <c r="T3383" s="15" t="str">
        <f>IF(OR(S3383="",D3383&lt;&gt;"Vastgesteld"),"",_xlfn.MAXIFS($G$6:$G$5005,$S$6:$S$5005,S3383,$D$6:$D$5005,"Vastgesteld"))</f>
        <v/>
      </c>
      <c r="U3383" s="15">
        <f>IF(T3383="",0,IF(AND(G3383=T3383,COUNTIFS($S$6:S3383,S3383,$G$6:G3383,G3383,$D$6:D3383,"Vastgesteld")=1),1,0))</f>
        <v>0</v>
      </c>
      <c r="V3383" s="15">
        <f>IF(T3383="",0,IF(AND(G3383=T3383,COUNTIFS($S$6:S3383,S3383,$G$6:G3383,G3383,$D$6:D3383,"Vastgesteld")&gt;1),1,0))</f>
        <v>0</v>
      </c>
    </row>
    <row r="3384">
      <c r="S3384" s="15" t="str">
        <f>IF(J3384="","",J3384&amp;"|"&amp;E3384&amp;"|"&amp;F3384&amp;"|"&amp;I3384&amp;"|"&amp;O3384)</f>
        <v/>
      </c>
      <c r="T3384" s="15" t="str">
        <f>IF(OR(S3384="",D3384&lt;&gt;"Vastgesteld"),"",_xlfn.MAXIFS($G$6:$G$5005,$S$6:$S$5005,S3384,$D$6:$D$5005,"Vastgesteld"))</f>
        <v/>
      </c>
      <c r="U3384" s="15">
        <f>IF(T3384="",0,IF(AND(G3384=T3384,COUNTIFS($S$6:S3384,S3384,$G$6:G3384,G3384,$D$6:D3384,"Vastgesteld")=1),1,0))</f>
        <v>0</v>
      </c>
      <c r="V3384" s="15">
        <f>IF(T3384="",0,IF(AND(G3384=T3384,COUNTIFS($S$6:S3384,S3384,$G$6:G3384,G3384,$D$6:D3384,"Vastgesteld")&gt;1),1,0))</f>
        <v>0</v>
      </c>
    </row>
    <row r="3385">
      <c r="S3385" s="15" t="str">
        <f>IF(J3385="","",J3385&amp;"|"&amp;E3385&amp;"|"&amp;F3385&amp;"|"&amp;I3385&amp;"|"&amp;O3385)</f>
        <v/>
      </c>
      <c r="T3385" s="15" t="str">
        <f>IF(OR(S3385="",D3385&lt;&gt;"Vastgesteld"),"",_xlfn.MAXIFS($G$6:$G$5005,$S$6:$S$5005,S3385,$D$6:$D$5005,"Vastgesteld"))</f>
        <v/>
      </c>
      <c r="U3385" s="15">
        <f>IF(T3385="",0,IF(AND(G3385=T3385,COUNTIFS($S$6:S3385,S3385,$G$6:G3385,G3385,$D$6:D3385,"Vastgesteld")=1),1,0))</f>
        <v>0</v>
      </c>
      <c r="V3385" s="15">
        <f>IF(T3385="",0,IF(AND(G3385=T3385,COUNTIFS($S$6:S3385,S3385,$G$6:G3385,G3385,$D$6:D3385,"Vastgesteld")&gt;1),1,0))</f>
        <v>0</v>
      </c>
    </row>
    <row r="3386">
      <c r="S3386" s="15" t="str">
        <f>IF(J3386="","",J3386&amp;"|"&amp;E3386&amp;"|"&amp;F3386&amp;"|"&amp;I3386&amp;"|"&amp;O3386)</f>
        <v/>
      </c>
      <c r="T3386" s="15" t="str">
        <f>IF(OR(S3386="",D3386&lt;&gt;"Vastgesteld"),"",_xlfn.MAXIFS($G$6:$G$5005,$S$6:$S$5005,S3386,$D$6:$D$5005,"Vastgesteld"))</f>
        <v/>
      </c>
      <c r="U3386" s="15">
        <f>IF(T3386="",0,IF(AND(G3386=T3386,COUNTIFS($S$6:S3386,S3386,$G$6:G3386,G3386,$D$6:D3386,"Vastgesteld")=1),1,0))</f>
        <v>0</v>
      </c>
      <c r="V3386" s="15">
        <f>IF(T3386="",0,IF(AND(G3386=T3386,COUNTIFS($S$6:S3386,S3386,$G$6:G3386,G3386,$D$6:D3386,"Vastgesteld")&gt;1),1,0))</f>
        <v>0</v>
      </c>
    </row>
    <row r="3387">
      <c r="S3387" s="15" t="str">
        <f>IF(J3387="","",J3387&amp;"|"&amp;E3387&amp;"|"&amp;F3387&amp;"|"&amp;I3387&amp;"|"&amp;O3387)</f>
        <v/>
      </c>
      <c r="T3387" s="15" t="str">
        <f>IF(OR(S3387="",D3387&lt;&gt;"Vastgesteld"),"",_xlfn.MAXIFS($G$6:$G$5005,$S$6:$S$5005,S3387,$D$6:$D$5005,"Vastgesteld"))</f>
        <v/>
      </c>
      <c r="U3387" s="15">
        <f>IF(T3387="",0,IF(AND(G3387=T3387,COUNTIFS($S$6:S3387,S3387,$G$6:G3387,G3387,$D$6:D3387,"Vastgesteld")=1),1,0))</f>
        <v>0</v>
      </c>
      <c r="V3387" s="15">
        <f>IF(T3387="",0,IF(AND(G3387=T3387,COUNTIFS($S$6:S3387,S3387,$G$6:G3387,G3387,$D$6:D3387,"Vastgesteld")&gt;1),1,0))</f>
        <v>0</v>
      </c>
    </row>
    <row r="3388">
      <c r="S3388" s="15" t="str">
        <f>IF(J3388="","",J3388&amp;"|"&amp;E3388&amp;"|"&amp;F3388&amp;"|"&amp;I3388&amp;"|"&amp;O3388)</f>
        <v/>
      </c>
      <c r="T3388" s="15" t="str">
        <f>IF(OR(S3388="",D3388&lt;&gt;"Vastgesteld"),"",_xlfn.MAXIFS($G$6:$G$5005,$S$6:$S$5005,S3388,$D$6:$D$5005,"Vastgesteld"))</f>
        <v/>
      </c>
      <c r="U3388" s="15">
        <f>IF(T3388="",0,IF(AND(G3388=T3388,COUNTIFS($S$6:S3388,S3388,$G$6:G3388,G3388,$D$6:D3388,"Vastgesteld")=1),1,0))</f>
        <v>0</v>
      </c>
      <c r="V3388" s="15">
        <f>IF(T3388="",0,IF(AND(G3388=T3388,COUNTIFS($S$6:S3388,S3388,$G$6:G3388,G3388,$D$6:D3388,"Vastgesteld")&gt;1),1,0))</f>
        <v>0</v>
      </c>
    </row>
    <row r="3389">
      <c r="S3389" s="15" t="str">
        <f>IF(J3389="","",J3389&amp;"|"&amp;E3389&amp;"|"&amp;F3389&amp;"|"&amp;I3389&amp;"|"&amp;O3389)</f>
        <v/>
      </c>
      <c r="T3389" s="15" t="str">
        <f>IF(OR(S3389="",D3389&lt;&gt;"Vastgesteld"),"",_xlfn.MAXIFS($G$6:$G$5005,$S$6:$S$5005,S3389,$D$6:$D$5005,"Vastgesteld"))</f>
        <v/>
      </c>
      <c r="U3389" s="15">
        <f>IF(T3389="",0,IF(AND(G3389=T3389,COUNTIFS($S$6:S3389,S3389,$G$6:G3389,G3389,$D$6:D3389,"Vastgesteld")=1),1,0))</f>
        <v>0</v>
      </c>
      <c r="V3389" s="15">
        <f>IF(T3389="",0,IF(AND(G3389=T3389,COUNTIFS($S$6:S3389,S3389,$G$6:G3389,G3389,$D$6:D3389,"Vastgesteld")&gt;1),1,0))</f>
        <v>0</v>
      </c>
    </row>
    <row r="3390">
      <c r="S3390" s="15" t="str">
        <f>IF(J3390="","",J3390&amp;"|"&amp;E3390&amp;"|"&amp;F3390&amp;"|"&amp;I3390&amp;"|"&amp;O3390)</f>
        <v/>
      </c>
      <c r="T3390" s="15" t="str">
        <f>IF(OR(S3390="",D3390&lt;&gt;"Vastgesteld"),"",_xlfn.MAXIFS($G$6:$G$5005,$S$6:$S$5005,S3390,$D$6:$D$5005,"Vastgesteld"))</f>
        <v/>
      </c>
      <c r="U3390" s="15">
        <f>IF(T3390="",0,IF(AND(G3390=T3390,COUNTIFS($S$6:S3390,S3390,$G$6:G3390,G3390,$D$6:D3390,"Vastgesteld")=1),1,0))</f>
        <v>0</v>
      </c>
      <c r="V3390" s="15">
        <f>IF(T3390="",0,IF(AND(G3390=T3390,COUNTIFS($S$6:S3390,S3390,$G$6:G3390,G3390,$D$6:D3390,"Vastgesteld")&gt;1),1,0))</f>
        <v>0</v>
      </c>
    </row>
    <row r="3391">
      <c r="S3391" s="15" t="str">
        <f>IF(J3391="","",J3391&amp;"|"&amp;E3391&amp;"|"&amp;F3391&amp;"|"&amp;I3391&amp;"|"&amp;O3391)</f>
        <v/>
      </c>
      <c r="T3391" s="15" t="str">
        <f>IF(OR(S3391="",D3391&lt;&gt;"Vastgesteld"),"",_xlfn.MAXIFS($G$6:$G$5005,$S$6:$S$5005,S3391,$D$6:$D$5005,"Vastgesteld"))</f>
        <v/>
      </c>
      <c r="U3391" s="15">
        <f>IF(T3391="",0,IF(AND(G3391=T3391,COUNTIFS($S$6:S3391,S3391,$G$6:G3391,G3391,$D$6:D3391,"Vastgesteld")=1),1,0))</f>
        <v>0</v>
      </c>
      <c r="V3391" s="15">
        <f>IF(T3391="",0,IF(AND(G3391=T3391,COUNTIFS($S$6:S3391,S3391,$G$6:G3391,G3391,$D$6:D3391,"Vastgesteld")&gt;1),1,0))</f>
        <v>0</v>
      </c>
    </row>
    <row r="3392">
      <c r="S3392" s="15" t="str">
        <f>IF(J3392="","",J3392&amp;"|"&amp;E3392&amp;"|"&amp;F3392&amp;"|"&amp;I3392&amp;"|"&amp;O3392)</f>
        <v/>
      </c>
      <c r="T3392" s="15" t="str">
        <f>IF(OR(S3392="",D3392&lt;&gt;"Vastgesteld"),"",_xlfn.MAXIFS($G$6:$G$5005,$S$6:$S$5005,S3392,$D$6:$D$5005,"Vastgesteld"))</f>
        <v/>
      </c>
      <c r="U3392" s="15">
        <f>IF(T3392="",0,IF(AND(G3392=T3392,COUNTIFS($S$6:S3392,S3392,$G$6:G3392,G3392,$D$6:D3392,"Vastgesteld")=1),1,0))</f>
        <v>0</v>
      </c>
      <c r="V3392" s="15">
        <f>IF(T3392="",0,IF(AND(G3392=T3392,COUNTIFS($S$6:S3392,S3392,$G$6:G3392,G3392,$D$6:D3392,"Vastgesteld")&gt;1),1,0))</f>
        <v>0</v>
      </c>
    </row>
    <row r="3393">
      <c r="S3393" s="15" t="str">
        <f>IF(J3393="","",J3393&amp;"|"&amp;E3393&amp;"|"&amp;F3393&amp;"|"&amp;I3393&amp;"|"&amp;O3393)</f>
        <v/>
      </c>
      <c r="T3393" s="15" t="str">
        <f>IF(OR(S3393="",D3393&lt;&gt;"Vastgesteld"),"",_xlfn.MAXIFS($G$6:$G$5005,$S$6:$S$5005,S3393,$D$6:$D$5005,"Vastgesteld"))</f>
        <v/>
      </c>
      <c r="U3393" s="15">
        <f>IF(T3393="",0,IF(AND(G3393=T3393,COUNTIFS($S$6:S3393,S3393,$G$6:G3393,G3393,$D$6:D3393,"Vastgesteld")=1),1,0))</f>
        <v>0</v>
      </c>
      <c r="V3393" s="15">
        <f>IF(T3393="",0,IF(AND(G3393=T3393,COUNTIFS($S$6:S3393,S3393,$G$6:G3393,G3393,$D$6:D3393,"Vastgesteld")&gt;1),1,0))</f>
        <v>0</v>
      </c>
    </row>
    <row r="3394">
      <c r="S3394" s="15" t="str">
        <f>IF(J3394="","",J3394&amp;"|"&amp;E3394&amp;"|"&amp;F3394&amp;"|"&amp;I3394&amp;"|"&amp;O3394)</f>
        <v/>
      </c>
      <c r="T3394" s="15" t="str">
        <f>IF(OR(S3394="",D3394&lt;&gt;"Vastgesteld"),"",_xlfn.MAXIFS($G$6:$G$5005,$S$6:$S$5005,S3394,$D$6:$D$5005,"Vastgesteld"))</f>
        <v/>
      </c>
      <c r="U3394" s="15">
        <f>IF(T3394="",0,IF(AND(G3394=T3394,COUNTIFS($S$6:S3394,S3394,$G$6:G3394,G3394,$D$6:D3394,"Vastgesteld")=1),1,0))</f>
        <v>0</v>
      </c>
      <c r="V3394" s="15">
        <f>IF(T3394="",0,IF(AND(G3394=T3394,COUNTIFS($S$6:S3394,S3394,$G$6:G3394,G3394,$D$6:D3394,"Vastgesteld")&gt;1),1,0))</f>
        <v>0</v>
      </c>
    </row>
    <row r="3395">
      <c r="S3395" s="15" t="str">
        <f>IF(J3395="","",J3395&amp;"|"&amp;E3395&amp;"|"&amp;F3395&amp;"|"&amp;I3395&amp;"|"&amp;O3395)</f>
        <v/>
      </c>
      <c r="T3395" s="15" t="str">
        <f>IF(OR(S3395="",D3395&lt;&gt;"Vastgesteld"),"",_xlfn.MAXIFS($G$6:$G$5005,$S$6:$S$5005,S3395,$D$6:$D$5005,"Vastgesteld"))</f>
        <v/>
      </c>
      <c r="U3395" s="15">
        <f>IF(T3395="",0,IF(AND(G3395=T3395,COUNTIFS($S$6:S3395,S3395,$G$6:G3395,G3395,$D$6:D3395,"Vastgesteld")=1),1,0))</f>
        <v>0</v>
      </c>
      <c r="V3395" s="15">
        <f>IF(T3395="",0,IF(AND(G3395=T3395,COUNTIFS($S$6:S3395,S3395,$G$6:G3395,G3395,$D$6:D3395,"Vastgesteld")&gt;1),1,0))</f>
        <v>0</v>
      </c>
    </row>
    <row r="3396">
      <c r="S3396" s="15" t="str">
        <f>IF(J3396="","",J3396&amp;"|"&amp;E3396&amp;"|"&amp;F3396&amp;"|"&amp;I3396&amp;"|"&amp;O3396)</f>
        <v/>
      </c>
      <c r="T3396" s="15" t="str">
        <f>IF(OR(S3396="",D3396&lt;&gt;"Vastgesteld"),"",_xlfn.MAXIFS($G$6:$G$5005,$S$6:$S$5005,S3396,$D$6:$D$5005,"Vastgesteld"))</f>
        <v/>
      </c>
      <c r="U3396" s="15">
        <f>IF(T3396="",0,IF(AND(G3396=T3396,COUNTIFS($S$6:S3396,S3396,$G$6:G3396,G3396,$D$6:D3396,"Vastgesteld")=1),1,0))</f>
        <v>0</v>
      </c>
      <c r="V3396" s="15">
        <f>IF(T3396="",0,IF(AND(G3396=T3396,COUNTIFS($S$6:S3396,S3396,$G$6:G3396,G3396,$D$6:D3396,"Vastgesteld")&gt;1),1,0))</f>
        <v>0</v>
      </c>
    </row>
    <row r="3397">
      <c r="S3397" s="15" t="str">
        <f>IF(J3397="","",J3397&amp;"|"&amp;E3397&amp;"|"&amp;F3397&amp;"|"&amp;I3397&amp;"|"&amp;O3397)</f>
        <v/>
      </c>
      <c r="T3397" s="15" t="str">
        <f>IF(OR(S3397="",D3397&lt;&gt;"Vastgesteld"),"",_xlfn.MAXIFS($G$6:$G$5005,$S$6:$S$5005,S3397,$D$6:$D$5005,"Vastgesteld"))</f>
        <v/>
      </c>
      <c r="U3397" s="15">
        <f>IF(T3397="",0,IF(AND(G3397=T3397,COUNTIFS($S$6:S3397,S3397,$G$6:G3397,G3397,$D$6:D3397,"Vastgesteld")=1),1,0))</f>
        <v>0</v>
      </c>
      <c r="V3397" s="15">
        <f>IF(T3397="",0,IF(AND(G3397=T3397,COUNTIFS($S$6:S3397,S3397,$G$6:G3397,G3397,$D$6:D3397,"Vastgesteld")&gt;1),1,0))</f>
        <v>0</v>
      </c>
    </row>
    <row r="3398">
      <c r="S3398" s="15" t="str">
        <f>IF(J3398="","",J3398&amp;"|"&amp;E3398&amp;"|"&amp;F3398&amp;"|"&amp;I3398&amp;"|"&amp;O3398)</f>
        <v/>
      </c>
      <c r="T3398" s="15" t="str">
        <f>IF(OR(S3398="",D3398&lt;&gt;"Vastgesteld"),"",_xlfn.MAXIFS($G$6:$G$5005,$S$6:$S$5005,S3398,$D$6:$D$5005,"Vastgesteld"))</f>
        <v/>
      </c>
      <c r="U3398" s="15">
        <f>IF(T3398="",0,IF(AND(G3398=T3398,COUNTIFS($S$6:S3398,S3398,$G$6:G3398,G3398,$D$6:D3398,"Vastgesteld")=1),1,0))</f>
        <v>0</v>
      </c>
      <c r="V3398" s="15">
        <f>IF(T3398="",0,IF(AND(G3398=T3398,COUNTIFS($S$6:S3398,S3398,$G$6:G3398,G3398,$D$6:D3398,"Vastgesteld")&gt;1),1,0))</f>
        <v>0</v>
      </c>
    </row>
    <row r="3399">
      <c r="S3399" s="15" t="str">
        <f>IF(J3399="","",J3399&amp;"|"&amp;E3399&amp;"|"&amp;F3399&amp;"|"&amp;I3399&amp;"|"&amp;O3399)</f>
        <v/>
      </c>
      <c r="T3399" s="15" t="str">
        <f>IF(OR(S3399="",D3399&lt;&gt;"Vastgesteld"),"",_xlfn.MAXIFS($G$6:$G$5005,$S$6:$S$5005,S3399,$D$6:$D$5005,"Vastgesteld"))</f>
        <v/>
      </c>
      <c r="U3399" s="15">
        <f>IF(T3399="",0,IF(AND(G3399=T3399,COUNTIFS($S$6:S3399,S3399,$G$6:G3399,G3399,$D$6:D3399,"Vastgesteld")=1),1,0))</f>
        <v>0</v>
      </c>
      <c r="V3399" s="15">
        <f>IF(T3399="",0,IF(AND(G3399=T3399,COUNTIFS($S$6:S3399,S3399,$G$6:G3399,G3399,$D$6:D3399,"Vastgesteld")&gt;1),1,0))</f>
        <v>0</v>
      </c>
    </row>
    <row r="3400">
      <c r="S3400" s="15" t="str">
        <f>IF(J3400="","",J3400&amp;"|"&amp;E3400&amp;"|"&amp;F3400&amp;"|"&amp;I3400&amp;"|"&amp;O3400)</f>
        <v/>
      </c>
      <c r="T3400" s="15" t="str">
        <f>IF(OR(S3400="",D3400&lt;&gt;"Vastgesteld"),"",_xlfn.MAXIFS($G$6:$G$5005,$S$6:$S$5005,S3400,$D$6:$D$5005,"Vastgesteld"))</f>
        <v/>
      </c>
      <c r="U3400" s="15">
        <f>IF(T3400="",0,IF(AND(G3400=T3400,COUNTIFS($S$6:S3400,S3400,$G$6:G3400,G3400,$D$6:D3400,"Vastgesteld")=1),1,0))</f>
        <v>0</v>
      </c>
      <c r="V3400" s="15">
        <f>IF(T3400="",0,IF(AND(G3400=T3400,COUNTIFS($S$6:S3400,S3400,$G$6:G3400,G3400,$D$6:D3400,"Vastgesteld")&gt;1),1,0))</f>
        <v>0</v>
      </c>
    </row>
    <row r="3401">
      <c r="S3401" s="15" t="str">
        <f>IF(J3401="","",J3401&amp;"|"&amp;E3401&amp;"|"&amp;F3401&amp;"|"&amp;I3401&amp;"|"&amp;O3401)</f>
        <v/>
      </c>
      <c r="T3401" s="15" t="str">
        <f>IF(OR(S3401="",D3401&lt;&gt;"Vastgesteld"),"",_xlfn.MAXIFS($G$6:$G$5005,$S$6:$S$5005,S3401,$D$6:$D$5005,"Vastgesteld"))</f>
        <v/>
      </c>
      <c r="U3401" s="15">
        <f>IF(T3401="",0,IF(AND(G3401=T3401,COUNTIFS($S$6:S3401,S3401,$G$6:G3401,G3401,$D$6:D3401,"Vastgesteld")=1),1,0))</f>
        <v>0</v>
      </c>
      <c r="V3401" s="15">
        <f>IF(T3401="",0,IF(AND(G3401=T3401,COUNTIFS($S$6:S3401,S3401,$G$6:G3401,G3401,$D$6:D3401,"Vastgesteld")&gt;1),1,0))</f>
        <v>0</v>
      </c>
    </row>
    <row r="3402">
      <c r="S3402" s="15" t="str">
        <f>IF(J3402="","",J3402&amp;"|"&amp;E3402&amp;"|"&amp;F3402&amp;"|"&amp;I3402&amp;"|"&amp;O3402)</f>
        <v/>
      </c>
      <c r="T3402" s="15" t="str">
        <f>IF(OR(S3402="",D3402&lt;&gt;"Vastgesteld"),"",_xlfn.MAXIFS($G$6:$G$5005,$S$6:$S$5005,S3402,$D$6:$D$5005,"Vastgesteld"))</f>
        <v/>
      </c>
      <c r="U3402" s="15">
        <f>IF(T3402="",0,IF(AND(G3402=T3402,COUNTIFS($S$6:S3402,S3402,$G$6:G3402,G3402,$D$6:D3402,"Vastgesteld")=1),1,0))</f>
        <v>0</v>
      </c>
      <c r="V3402" s="15">
        <f>IF(T3402="",0,IF(AND(G3402=T3402,COUNTIFS($S$6:S3402,S3402,$G$6:G3402,G3402,$D$6:D3402,"Vastgesteld")&gt;1),1,0))</f>
        <v>0</v>
      </c>
    </row>
    <row r="3403">
      <c r="S3403" s="15" t="str">
        <f>IF(J3403="","",J3403&amp;"|"&amp;E3403&amp;"|"&amp;F3403&amp;"|"&amp;I3403&amp;"|"&amp;O3403)</f>
        <v/>
      </c>
      <c r="T3403" s="15" t="str">
        <f>IF(OR(S3403="",D3403&lt;&gt;"Vastgesteld"),"",_xlfn.MAXIFS($G$6:$G$5005,$S$6:$S$5005,S3403,$D$6:$D$5005,"Vastgesteld"))</f>
        <v/>
      </c>
      <c r="U3403" s="15">
        <f>IF(T3403="",0,IF(AND(G3403=T3403,COUNTIFS($S$6:S3403,S3403,$G$6:G3403,G3403,$D$6:D3403,"Vastgesteld")=1),1,0))</f>
        <v>0</v>
      </c>
      <c r="V3403" s="15">
        <f>IF(T3403="",0,IF(AND(G3403=T3403,COUNTIFS($S$6:S3403,S3403,$G$6:G3403,G3403,$D$6:D3403,"Vastgesteld")&gt;1),1,0))</f>
        <v>0</v>
      </c>
    </row>
    <row r="3404">
      <c r="S3404" s="15" t="str">
        <f>IF(J3404="","",J3404&amp;"|"&amp;E3404&amp;"|"&amp;F3404&amp;"|"&amp;I3404&amp;"|"&amp;O3404)</f>
        <v/>
      </c>
      <c r="T3404" s="15" t="str">
        <f>IF(OR(S3404="",D3404&lt;&gt;"Vastgesteld"),"",_xlfn.MAXIFS($G$6:$G$5005,$S$6:$S$5005,S3404,$D$6:$D$5005,"Vastgesteld"))</f>
        <v/>
      </c>
      <c r="U3404" s="15">
        <f>IF(T3404="",0,IF(AND(G3404=T3404,COUNTIFS($S$6:S3404,S3404,$G$6:G3404,G3404,$D$6:D3404,"Vastgesteld")=1),1,0))</f>
        <v>0</v>
      </c>
      <c r="V3404" s="15">
        <f>IF(T3404="",0,IF(AND(G3404=T3404,COUNTIFS($S$6:S3404,S3404,$G$6:G3404,G3404,$D$6:D3404,"Vastgesteld")&gt;1),1,0))</f>
        <v>0</v>
      </c>
    </row>
    <row r="3405">
      <c r="S3405" s="15" t="str">
        <f>IF(J3405="","",J3405&amp;"|"&amp;E3405&amp;"|"&amp;F3405&amp;"|"&amp;I3405&amp;"|"&amp;O3405)</f>
        <v/>
      </c>
      <c r="T3405" s="15" t="str">
        <f>IF(OR(S3405="",D3405&lt;&gt;"Vastgesteld"),"",_xlfn.MAXIFS($G$6:$G$5005,$S$6:$S$5005,S3405,$D$6:$D$5005,"Vastgesteld"))</f>
        <v/>
      </c>
      <c r="U3405" s="15">
        <f>IF(T3405="",0,IF(AND(G3405=T3405,COUNTIFS($S$6:S3405,S3405,$G$6:G3405,G3405,$D$6:D3405,"Vastgesteld")=1),1,0))</f>
        <v>0</v>
      </c>
      <c r="V3405" s="15">
        <f>IF(T3405="",0,IF(AND(G3405=T3405,COUNTIFS($S$6:S3405,S3405,$G$6:G3405,G3405,$D$6:D3405,"Vastgesteld")&gt;1),1,0))</f>
        <v>0</v>
      </c>
    </row>
    <row r="3406">
      <c r="S3406" s="15" t="str">
        <f>IF(J3406="","",J3406&amp;"|"&amp;E3406&amp;"|"&amp;F3406&amp;"|"&amp;I3406&amp;"|"&amp;O3406)</f>
        <v/>
      </c>
      <c r="T3406" s="15" t="str">
        <f>IF(OR(S3406="",D3406&lt;&gt;"Vastgesteld"),"",_xlfn.MAXIFS($G$6:$G$5005,$S$6:$S$5005,S3406,$D$6:$D$5005,"Vastgesteld"))</f>
        <v/>
      </c>
      <c r="U3406" s="15">
        <f>IF(T3406="",0,IF(AND(G3406=T3406,COUNTIFS($S$6:S3406,S3406,$G$6:G3406,G3406,$D$6:D3406,"Vastgesteld")=1),1,0))</f>
        <v>0</v>
      </c>
      <c r="V3406" s="15">
        <f>IF(T3406="",0,IF(AND(G3406=T3406,COUNTIFS($S$6:S3406,S3406,$G$6:G3406,G3406,$D$6:D3406,"Vastgesteld")&gt;1),1,0))</f>
        <v>0</v>
      </c>
    </row>
    <row r="3407">
      <c r="S3407" s="15" t="str">
        <f>IF(J3407="","",J3407&amp;"|"&amp;E3407&amp;"|"&amp;F3407&amp;"|"&amp;I3407&amp;"|"&amp;O3407)</f>
        <v/>
      </c>
      <c r="T3407" s="15" t="str">
        <f>IF(OR(S3407="",D3407&lt;&gt;"Vastgesteld"),"",_xlfn.MAXIFS($G$6:$G$5005,$S$6:$S$5005,S3407,$D$6:$D$5005,"Vastgesteld"))</f>
        <v/>
      </c>
      <c r="U3407" s="15">
        <f>IF(T3407="",0,IF(AND(G3407=T3407,COUNTIFS($S$6:S3407,S3407,$G$6:G3407,G3407,$D$6:D3407,"Vastgesteld")=1),1,0))</f>
        <v>0</v>
      </c>
      <c r="V3407" s="15">
        <f>IF(T3407="",0,IF(AND(G3407=T3407,COUNTIFS($S$6:S3407,S3407,$G$6:G3407,G3407,$D$6:D3407,"Vastgesteld")&gt;1),1,0))</f>
        <v>0</v>
      </c>
    </row>
    <row r="3408">
      <c r="S3408" s="15" t="str">
        <f>IF(J3408="","",J3408&amp;"|"&amp;E3408&amp;"|"&amp;F3408&amp;"|"&amp;I3408&amp;"|"&amp;O3408)</f>
        <v/>
      </c>
      <c r="T3408" s="15" t="str">
        <f>IF(OR(S3408="",D3408&lt;&gt;"Vastgesteld"),"",_xlfn.MAXIFS($G$6:$G$5005,$S$6:$S$5005,S3408,$D$6:$D$5005,"Vastgesteld"))</f>
        <v/>
      </c>
      <c r="U3408" s="15">
        <f>IF(T3408="",0,IF(AND(G3408=T3408,COUNTIFS($S$6:S3408,S3408,$G$6:G3408,G3408,$D$6:D3408,"Vastgesteld")=1),1,0))</f>
        <v>0</v>
      </c>
      <c r="V3408" s="15">
        <f>IF(T3408="",0,IF(AND(G3408=T3408,COUNTIFS($S$6:S3408,S3408,$G$6:G3408,G3408,$D$6:D3408,"Vastgesteld")&gt;1),1,0))</f>
        <v>0</v>
      </c>
    </row>
    <row r="3409">
      <c r="S3409" s="15" t="str">
        <f>IF(J3409="","",J3409&amp;"|"&amp;E3409&amp;"|"&amp;F3409&amp;"|"&amp;I3409&amp;"|"&amp;O3409)</f>
        <v/>
      </c>
      <c r="T3409" s="15" t="str">
        <f>IF(OR(S3409="",D3409&lt;&gt;"Vastgesteld"),"",_xlfn.MAXIFS($G$6:$G$5005,$S$6:$S$5005,S3409,$D$6:$D$5005,"Vastgesteld"))</f>
        <v/>
      </c>
      <c r="U3409" s="15">
        <f>IF(T3409="",0,IF(AND(G3409=T3409,COUNTIFS($S$6:S3409,S3409,$G$6:G3409,G3409,$D$6:D3409,"Vastgesteld")=1),1,0))</f>
        <v>0</v>
      </c>
      <c r="V3409" s="15">
        <f>IF(T3409="",0,IF(AND(G3409=T3409,COUNTIFS($S$6:S3409,S3409,$G$6:G3409,G3409,$D$6:D3409,"Vastgesteld")&gt;1),1,0))</f>
        <v>0</v>
      </c>
    </row>
    <row r="3410">
      <c r="S3410" s="15" t="str">
        <f>IF(J3410="","",J3410&amp;"|"&amp;E3410&amp;"|"&amp;F3410&amp;"|"&amp;I3410&amp;"|"&amp;O3410)</f>
        <v/>
      </c>
      <c r="T3410" s="15" t="str">
        <f>IF(OR(S3410="",D3410&lt;&gt;"Vastgesteld"),"",_xlfn.MAXIFS($G$6:$G$5005,$S$6:$S$5005,S3410,$D$6:$D$5005,"Vastgesteld"))</f>
        <v/>
      </c>
      <c r="U3410" s="15">
        <f>IF(T3410="",0,IF(AND(G3410=T3410,COUNTIFS($S$6:S3410,S3410,$G$6:G3410,G3410,$D$6:D3410,"Vastgesteld")=1),1,0))</f>
        <v>0</v>
      </c>
      <c r="V3410" s="15">
        <f>IF(T3410="",0,IF(AND(G3410=T3410,COUNTIFS($S$6:S3410,S3410,$G$6:G3410,G3410,$D$6:D3410,"Vastgesteld")&gt;1),1,0))</f>
        <v>0</v>
      </c>
    </row>
    <row r="3411">
      <c r="S3411" s="15" t="str">
        <f>IF(J3411="","",J3411&amp;"|"&amp;E3411&amp;"|"&amp;F3411&amp;"|"&amp;I3411&amp;"|"&amp;O3411)</f>
        <v/>
      </c>
      <c r="T3411" s="15" t="str">
        <f>IF(OR(S3411="",D3411&lt;&gt;"Vastgesteld"),"",_xlfn.MAXIFS($G$6:$G$5005,$S$6:$S$5005,S3411,$D$6:$D$5005,"Vastgesteld"))</f>
        <v/>
      </c>
      <c r="U3411" s="15">
        <f>IF(T3411="",0,IF(AND(G3411=T3411,COUNTIFS($S$6:S3411,S3411,$G$6:G3411,G3411,$D$6:D3411,"Vastgesteld")=1),1,0))</f>
        <v>0</v>
      </c>
      <c r="V3411" s="15">
        <f>IF(T3411="",0,IF(AND(G3411=T3411,COUNTIFS($S$6:S3411,S3411,$G$6:G3411,G3411,$D$6:D3411,"Vastgesteld")&gt;1),1,0))</f>
        <v>0</v>
      </c>
    </row>
    <row r="3412">
      <c r="S3412" s="15" t="str">
        <f>IF(J3412="","",J3412&amp;"|"&amp;E3412&amp;"|"&amp;F3412&amp;"|"&amp;I3412&amp;"|"&amp;O3412)</f>
        <v/>
      </c>
      <c r="T3412" s="15" t="str">
        <f>IF(OR(S3412="",D3412&lt;&gt;"Vastgesteld"),"",_xlfn.MAXIFS($G$6:$G$5005,$S$6:$S$5005,S3412,$D$6:$D$5005,"Vastgesteld"))</f>
        <v/>
      </c>
      <c r="U3412" s="15">
        <f>IF(T3412="",0,IF(AND(G3412=T3412,COUNTIFS($S$6:S3412,S3412,$G$6:G3412,G3412,$D$6:D3412,"Vastgesteld")=1),1,0))</f>
        <v>0</v>
      </c>
      <c r="V3412" s="15">
        <f>IF(T3412="",0,IF(AND(G3412=T3412,COUNTIFS($S$6:S3412,S3412,$G$6:G3412,G3412,$D$6:D3412,"Vastgesteld")&gt;1),1,0))</f>
        <v>0</v>
      </c>
    </row>
    <row r="3413">
      <c r="S3413" s="15" t="str">
        <f>IF(J3413="","",J3413&amp;"|"&amp;E3413&amp;"|"&amp;F3413&amp;"|"&amp;I3413&amp;"|"&amp;O3413)</f>
        <v/>
      </c>
      <c r="T3413" s="15" t="str">
        <f>IF(OR(S3413="",D3413&lt;&gt;"Vastgesteld"),"",_xlfn.MAXIFS($G$6:$G$5005,$S$6:$S$5005,S3413,$D$6:$D$5005,"Vastgesteld"))</f>
        <v/>
      </c>
      <c r="U3413" s="15">
        <f>IF(T3413="",0,IF(AND(G3413=T3413,COUNTIFS($S$6:S3413,S3413,$G$6:G3413,G3413,$D$6:D3413,"Vastgesteld")=1),1,0))</f>
        <v>0</v>
      </c>
      <c r="V3413" s="15">
        <f>IF(T3413="",0,IF(AND(G3413=T3413,COUNTIFS($S$6:S3413,S3413,$G$6:G3413,G3413,$D$6:D3413,"Vastgesteld")&gt;1),1,0))</f>
        <v>0</v>
      </c>
    </row>
    <row r="3414">
      <c r="S3414" s="15" t="str">
        <f>IF(J3414="","",J3414&amp;"|"&amp;E3414&amp;"|"&amp;F3414&amp;"|"&amp;I3414&amp;"|"&amp;O3414)</f>
        <v/>
      </c>
      <c r="T3414" s="15" t="str">
        <f>IF(OR(S3414="",D3414&lt;&gt;"Vastgesteld"),"",_xlfn.MAXIFS($G$6:$G$5005,$S$6:$S$5005,S3414,$D$6:$D$5005,"Vastgesteld"))</f>
        <v/>
      </c>
      <c r="U3414" s="15">
        <f>IF(T3414="",0,IF(AND(G3414=T3414,COUNTIFS($S$6:S3414,S3414,$G$6:G3414,G3414,$D$6:D3414,"Vastgesteld")=1),1,0))</f>
        <v>0</v>
      </c>
      <c r="V3414" s="15">
        <f>IF(T3414="",0,IF(AND(G3414=T3414,COUNTIFS($S$6:S3414,S3414,$G$6:G3414,G3414,$D$6:D3414,"Vastgesteld")&gt;1),1,0))</f>
        <v>0</v>
      </c>
    </row>
    <row r="3415">
      <c r="S3415" s="15" t="str">
        <f>IF(J3415="","",J3415&amp;"|"&amp;E3415&amp;"|"&amp;F3415&amp;"|"&amp;I3415&amp;"|"&amp;O3415)</f>
        <v/>
      </c>
      <c r="T3415" s="15" t="str">
        <f>IF(OR(S3415="",D3415&lt;&gt;"Vastgesteld"),"",_xlfn.MAXIFS($G$6:$G$5005,$S$6:$S$5005,S3415,$D$6:$D$5005,"Vastgesteld"))</f>
        <v/>
      </c>
      <c r="U3415" s="15">
        <f>IF(T3415="",0,IF(AND(G3415=T3415,COUNTIFS($S$6:S3415,S3415,$G$6:G3415,G3415,$D$6:D3415,"Vastgesteld")=1),1,0))</f>
        <v>0</v>
      </c>
      <c r="V3415" s="15">
        <f>IF(T3415="",0,IF(AND(G3415=T3415,COUNTIFS($S$6:S3415,S3415,$G$6:G3415,G3415,$D$6:D3415,"Vastgesteld")&gt;1),1,0))</f>
        <v>0</v>
      </c>
    </row>
    <row r="3416">
      <c r="S3416" s="15" t="str">
        <f>IF(J3416="","",J3416&amp;"|"&amp;E3416&amp;"|"&amp;F3416&amp;"|"&amp;I3416&amp;"|"&amp;O3416)</f>
        <v/>
      </c>
      <c r="T3416" s="15" t="str">
        <f>IF(OR(S3416="",D3416&lt;&gt;"Vastgesteld"),"",_xlfn.MAXIFS($G$6:$G$5005,$S$6:$S$5005,S3416,$D$6:$D$5005,"Vastgesteld"))</f>
        <v/>
      </c>
      <c r="U3416" s="15">
        <f>IF(T3416="",0,IF(AND(G3416=T3416,COUNTIFS($S$6:S3416,S3416,$G$6:G3416,G3416,$D$6:D3416,"Vastgesteld")=1),1,0))</f>
        <v>0</v>
      </c>
      <c r="V3416" s="15">
        <f>IF(T3416="",0,IF(AND(G3416=T3416,COUNTIFS($S$6:S3416,S3416,$G$6:G3416,G3416,$D$6:D3416,"Vastgesteld")&gt;1),1,0))</f>
        <v>0</v>
      </c>
    </row>
    <row r="3417">
      <c r="S3417" s="15" t="str">
        <f>IF(J3417="","",J3417&amp;"|"&amp;E3417&amp;"|"&amp;F3417&amp;"|"&amp;I3417&amp;"|"&amp;O3417)</f>
        <v/>
      </c>
      <c r="T3417" s="15" t="str">
        <f>IF(OR(S3417="",D3417&lt;&gt;"Vastgesteld"),"",_xlfn.MAXIFS($G$6:$G$5005,$S$6:$S$5005,S3417,$D$6:$D$5005,"Vastgesteld"))</f>
        <v/>
      </c>
      <c r="U3417" s="15">
        <f>IF(T3417="",0,IF(AND(G3417=T3417,COUNTIFS($S$6:S3417,S3417,$G$6:G3417,G3417,$D$6:D3417,"Vastgesteld")=1),1,0))</f>
        <v>0</v>
      </c>
      <c r="V3417" s="15">
        <f>IF(T3417="",0,IF(AND(G3417=T3417,COUNTIFS($S$6:S3417,S3417,$G$6:G3417,G3417,$D$6:D3417,"Vastgesteld")&gt;1),1,0))</f>
        <v>0</v>
      </c>
    </row>
    <row r="3418">
      <c r="S3418" s="15" t="str">
        <f>IF(J3418="","",J3418&amp;"|"&amp;E3418&amp;"|"&amp;F3418&amp;"|"&amp;I3418&amp;"|"&amp;O3418)</f>
        <v/>
      </c>
      <c r="T3418" s="15" t="str">
        <f>IF(OR(S3418="",D3418&lt;&gt;"Vastgesteld"),"",_xlfn.MAXIFS($G$6:$G$5005,$S$6:$S$5005,S3418,$D$6:$D$5005,"Vastgesteld"))</f>
        <v/>
      </c>
      <c r="U3418" s="15">
        <f>IF(T3418="",0,IF(AND(G3418=T3418,COUNTIFS($S$6:S3418,S3418,$G$6:G3418,G3418,$D$6:D3418,"Vastgesteld")=1),1,0))</f>
        <v>0</v>
      </c>
      <c r="V3418" s="15">
        <f>IF(T3418="",0,IF(AND(G3418=T3418,COUNTIFS($S$6:S3418,S3418,$G$6:G3418,G3418,$D$6:D3418,"Vastgesteld")&gt;1),1,0))</f>
        <v>0</v>
      </c>
    </row>
    <row r="3419">
      <c r="S3419" s="15" t="str">
        <f>IF(J3419="","",J3419&amp;"|"&amp;E3419&amp;"|"&amp;F3419&amp;"|"&amp;I3419&amp;"|"&amp;O3419)</f>
        <v/>
      </c>
      <c r="T3419" s="15" t="str">
        <f>IF(OR(S3419="",D3419&lt;&gt;"Vastgesteld"),"",_xlfn.MAXIFS($G$6:$G$5005,$S$6:$S$5005,S3419,$D$6:$D$5005,"Vastgesteld"))</f>
        <v/>
      </c>
      <c r="U3419" s="15">
        <f>IF(T3419="",0,IF(AND(G3419=T3419,COUNTIFS($S$6:S3419,S3419,$G$6:G3419,G3419,$D$6:D3419,"Vastgesteld")=1),1,0))</f>
        <v>0</v>
      </c>
      <c r="V3419" s="15">
        <f>IF(T3419="",0,IF(AND(G3419=T3419,COUNTIFS($S$6:S3419,S3419,$G$6:G3419,G3419,$D$6:D3419,"Vastgesteld")&gt;1),1,0))</f>
        <v>0</v>
      </c>
    </row>
    <row r="3420">
      <c r="S3420" s="15" t="str">
        <f>IF(J3420="","",J3420&amp;"|"&amp;E3420&amp;"|"&amp;F3420&amp;"|"&amp;I3420&amp;"|"&amp;O3420)</f>
        <v/>
      </c>
      <c r="T3420" s="15" t="str">
        <f>IF(OR(S3420="",D3420&lt;&gt;"Vastgesteld"),"",_xlfn.MAXIFS($G$6:$G$5005,$S$6:$S$5005,S3420,$D$6:$D$5005,"Vastgesteld"))</f>
        <v/>
      </c>
      <c r="U3420" s="15">
        <f>IF(T3420="",0,IF(AND(G3420=T3420,COUNTIFS($S$6:S3420,S3420,$G$6:G3420,G3420,$D$6:D3420,"Vastgesteld")=1),1,0))</f>
        <v>0</v>
      </c>
      <c r="V3420" s="15">
        <f>IF(T3420="",0,IF(AND(G3420=T3420,COUNTIFS($S$6:S3420,S3420,$G$6:G3420,G3420,$D$6:D3420,"Vastgesteld")&gt;1),1,0))</f>
        <v>0</v>
      </c>
    </row>
    <row r="3421">
      <c r="S3421" s="15" t="str">
        <f>IF(J3421="","",J3421&amp;"|"&amp;E3421&amp;"|"&amp;F3421&amp;"|"&amp;I3421&amp;"|"&amp;O3421)</f>
        <v/>
      </c>
      <c r="T3421" s="15" t="str">
        <f>IF(OR(S3421="",D3421&lt;&gt;"Vastgesteld"),"",_xlfn.MAXIFS($G$6:$G$5005,$S$6:$S$5005,S3421,$D$6:$D$5005,"Vastgesteld"))</f>
        <v/>
      </c>
      <c r="U3421" s="15">
        <f>IF(T3421="",0,IF(AND(G3421=T3421,COUNTIFS($S$6:S3421,S3421,$G$6:G3421,G3421,$D$6:D3421,"Vastgesteld")=1),1,0))</f>
        <v>0</v>
      </c>
      <c r="V3421" s="15">
        <f>IF(T3421="",0,IF(AND(G3421=T3421,COUNTIFS($S$6:S3421,S3421,$G$6:G3421,G3421,$D$6:D3421,"Vastgesteld")&gt;1),1,0))</f>
        <v>0</v>
      </c>
    </row>
    <row r="3422">
      <c r="S3422" s="15" t="str">
        <f>IF(J3422="","",J3422&amp;"|"&amp;E3422&amp;"|"&amp;F3422&amp;"|"&amp;I3422&amp;"|"&amp;O3422)</f>
        <v/>
      </c>
      <c r="T3422" s="15" t="str">
        <f>IF(OR(S3422="",D3422&lt;&gt;"Vastgesteld"),"",_xlfn.MAXIFS($G$6:$G$5005,$S$6:$S$5005,S3422,$D$6:$D$5005,"Vastgesteld"))</f>
        <v/>
      </c>
      <c r="U3422" s="15">
        <f>IF(T3422="",0,IF(AND(G3422=T3422,COUNTIFS($S$6:S3422,S3422,$G$6:G3422,G3422,$D$6:D3422,"Vastgesteld")=1),1,0))</f>
        <v>0</v>
      </c>
      <c r="V3422" s="15">
        <f>IF(T3422="",0,IF(AND(G3422=T3422,COUNTIFS($S$6:S3422,S3422,$G$6:G3422,G3422,$D$6:D3422,"Vastgesteld")&gt;1),1,0))</f>
        <v>0</v>
      </c>
    </row>
    <row r="3423">
      <c r="S3423" s="15" t="str">
        <f>IF(J3423="","",J3423&amp;"|"&amp;E3423&amp;"|"&amp;F3423&amp;"|"&amp;I3423&amp;"|"&amp;O3423)</f>
        <v/>
      </c>
      <c r="T3423" s="15" t="str">
        <f>IF(OR(S3423="",D3423&lt;&gt;"Vastgesteld"),"",_xlfn.MAXIFS($G$6:$G$5005,$S$6:$S$5005,S3423,$D$6:$D$5005,"Vastgesteld"))</f>
        <v/>
      </c>
      <c r="U3423" s="15">
        <f>IF(T3423="",0,IF(AND(G3423=T3423,COUNTIFS($S$6:S3423,S3423,$G$6:G3423,G3423,$D$6:D3423,"Vastgesteld")=1),1,0))</f>
        <v>0</v>
      </c>
      <c r="V3423" s="15">
        <f>IF(T3423="",0,IF(AND(G3423=T3423,COUNTIFS($S$6:S3423,S3423,$G$6:G3423,G3423,$D$6:D3423,"Vastgesteld")&gt;1),1,0))</f>
        <v>0</v>
      </c>
    </row>
    <row r="3424">
      <c r="S3424" s="15" t="str">
        <f>IF(J3424="","",J3424&amp;"|"&amp;E3424&amp;"|"&amp;F3424&amp;"|"&amp;I3424&amp;"|"&amp;O3424)</f>
        <v/>
      </c>
      <c r="T3424" s="15" t="str">
        <f>IF(OR(S3424="",D3424&lt;&gt;"Vastgesteld"),"",_xlfn.MAXIFS($G$6:$G$5005,$S$6:$S$5005,S3424,$D$6:$D$5005,"Vastgesteld"))</f>
        <v/>
      </c>
      <c r="U3424" s="15">
        <f>IF(T3424="",0,IF(AND(G3424=T3424,COUNTIFS($S$6:S3424,S3424,$G$6:G3424,G3424,$D$6:D3424,"Vastgesteld")=1),1,0))</f>
        <v>0</v>
      </c>
      <c r="V3424" s="15">
        <f>IF(T3424="",0,IF(AND(G3424=T3424,COUNTIFS($S$6:S3424,S3424,$G$6:G3424,G3424,$D$6:D3424,"Vastgesteld")&gt;1),1,0))</f>
        <v>0</v>
      </c>
    </row>
    <row r="3425">
      <c r="S3425" s="15" t="str">
        <f>IF(J3425="","",J3425&amp;"|"&amp;E3425&amp;"|"&amp;F3425&amp;"|"&amp;I3425&amp;"|"&amp;O3425)</f>
        <v/>
      </c>
      <c r="T3425" s="15" t="str">
        <f>IF(OR(S3425="",D3425&lt;&gt;"Vastgesteld"),"",_xlfn.MAXIFS($G$6:$G$5005,$S$6:$S$5005,S3425,$D$6:$D$5005,"Vastgesteld"))</f>
        <v/>
      </c>
      <c r="U3425" s="15">
        <f>IF(T3425="",0,IF(AND(G3425=T3425,COUNTIFS($S$6:S3425,S3425,$G$6:G3425,G3425,$D$6:D3425,"Vastgesteld")=1),1,0))</f>
        <v>0</v>
      </c>
      <c r="V3425" s="15">
        <f>IF(T3425="",0,IF(AND(G3425=T3425,COUNTIFS($S$6:S3425,S3425,$G$6:G3425,G3425,$D$6:D3425,"Vastgesteld")&gt;1),1,0))</f>
        <v>0</v>
      </c>
    </row>
    <row r="3426">
      <c r="S3426" s="15" t="str">
        <f>IF(J3426="","",J3426&amp;"|"&amp;E3426&amp;"|"&amp;F3426&amp;"|"&amp;I3426&amp;"|"&amp;O3426)</f>
        <v/>
      </c>
      <c r="T3426" s="15" t="str">
        <f>IF(OR(S3426="",D3426&lt;&gt;"Vastgesteld"),"",_xlfn.MAXIFS($G$6:$G$5005,$S$6:$S$5005,S3426,$D$6:$D$5005,"Vastgesteld"))</f>
        <v/>
      </c>
      <c r="U3426" s="15">
        <f>IF(T3426="",0,IF(AND(G3426=T3426,COUNTIFS($S$6:S3426,S3426,$G$6:G3426,G3426,$D$6:D3426,"Vastgesteld")=1),1,0))</f>
        <v>0</v>
      </c>
      <c r="V3426" s="15">
        <f>IF(T3426="",0,IF(AND(G3426=T3426,COUNTIFS($S$6:S3426,S3426,$G$6:G3426,G3426,$D$6:D3426,"Vastgesteld")&gt;1),1,0))</f>
        <v>0</v>
      </c>
    </row>
    <row r="3427">
      <c r="S3427" s="15" t="str">
        <f>IF(J3427="","",J3427&amp;"|"&amp;E3427&amp;"|"&amp;F3427&amp;"|"&amp;I3427&amp;"|"&amp;O3427)</f>
        <v/>
      </c>
      <c r="T3427" s="15" t="str">
        <f>IF(OR(S3427="",D3427&lt;&gt;"Vastgesteld"),"",_xlfn.MAXIFS($G$6:$G$5005,$S$6:$S$5005,S3427,$D$6:$D$5005,"Vastgesteld"))</f>
        <v/>
      </c>
      <c r="U3427" s="15">
        <f>IF(T3427="",0,IF(AND(G3427=T3427,COUNTIFS($S$6:S3427,S3427,$G$6:G3427,G3427,$D$6:D3427,"Vastgesteld")=1),1,0))</f>
        <v>0</v>
      </c>
      <c r="V3427" s="15">
        <f>IF(T3427="",0,IF(AND(G3427=T3427,COUNTIFS($S$6:S3427,S3427,$G$6:G3427,G3427,$D$6:D3427,"Vastgesteld")&gt;1),1,0))</f>
        <v>0</v>
      </c>
    </row>
    <row r="3428">
      <c r="S3428" s="15" t="str">
        <f>IF(J3428="","",J3428&amp;"|"&amp;E3428&amp;"|"&amp;F3428&amp;"|"&amp;I3428&amp;"|"&amp;O3428)</f>
        <v/>
      </c>
      <c r="T3428" s="15" t="str">
        <f>IF(OR(S3428="",D3428&lt;&gt;"Vastgesteld"),"",_xlfn.MAXIFS($G$6:$G$5005,$S$6:$S$5005,S3428,$D$6:$D$5005,"Vastgesteld"))</f>
        <v/>
      </c>
      <c r="U3428" s="15">
        <f>IF(T3428="",0,IF(AND(G3428=T3428,COUNTIFS($S$6:S3428,S3428,$G$6:G3428,G3428,$D$6:D3428,"Vastgesteld")=1),1,0))</f>
        <v>0</v>
      </c>
      <c r="V3428" s="15">
        <f>IF(T3428="",0,IF(AND(G3428=T3428,COUNTIFS($S$6:S3428,S3428,$G$6:G3428,G3428,$D$6:D3428,"Vastgesteld")&gt;1),1,0))</f>
        <v>0</v>
      </c>
    </row>
    <row r="3429">
      <c r="S3429" s="15" t="str">
        <f>IF(J3429="","",J3429&amp;"|"&amp;E3429&amp;"|"&amp;F3429&amp;"|"&amp;I3429&amp;"|"&amp;O3429)</f>
        <v/>
      </c>
      <c r="T3429" s="15" t="str">
        <f>IF(OR(S3429="",D3429&lt;&gt;"Vastgesteld"),"",_xlfn.MAXIFS($G$6:$G$5005,$S$6:$S$5005,S3429,$D$6:$D$5005,"Vastgesteld"))</f>
        <v/>
      </c>
      <c r="U3429" s="15">
        <f>IF(T3429="",0,IF(AND(G3429=T3429,COUNTIFS($S$6:S3429,S3429,$G$6:G3429,G3429,$D$6:D3429,"Vastgesteld")=1),1,0))</f>
        <v>0</v>
      </c>
      <c r="V3429" s="15">
        <f>IF(T3429="",0,IF(AND(G3429=T3429,COUNTIFS($S$6:S3429,S3429,$G$6:G3429,G3429,$D$6:D3429,"Vastgesteld")&gt;1),1,0))</f>
        <v>0</v>
      </c>
    </row>
    <row r="3430">
      <c r="S3430" s="15" t="str">
        <f>IF(J3430="","",J3430&amp;"|"&amp;E3430&amp;"|"&amp;F3430&amp;"|"&amp;I3430&amp;"|"&amp;O3430)</f>
        <v/>
      </c>
      <c r="T3430" s="15" t="str">
        <f>IF(OR(S3430="",D3430&lt;&gt;"Vastgesteld"),"",_xlfn.MAXIFS($G$6:$G$5005,$S$6:$S$5005,S3430,$D$6:$D$5005,"Vastgesteld"))</f>
        <v/>
      </c>
      <c r="U3430" s="15">
        <f>IF(T3430="",0,IF(AND(G3430=T3430,COUNTIFS($S$6:S3430,S3430,$G$6:G3430,G3430,$D$6:D3430,"Vastgesteld")=1),1,0))</f>
        <v>0</v>
      </c>
      <c r="V3430" s="15">
        <f>IF(T3430="",0,IF(AND(G3430=T3430,COUNTIFS($S$6:S3430,S3430,$G$6:G3430,G3430,$D$6:D3430,"Vastgesteld")&gt;1),1,0))</f>
        <v>0</v>
      </c>
    </row>
    <row r="3431">
      <c r="S3431" s="15" t="str">
        <f>IF(J3431="","",J3431&amp;"|"&amp;E3431&amp;"|"&amp;F3431&amp;"|"&amp;I3431&amp;"|"&amp;O3431)</f>
        <v/>
      </c>
      <c r="T3431" s="15" t="str">
        <f>IF(OR(S3431="",D3431&lt;&gt;"Vastgesteld"),"",_xlfn.MAXIFS($G$6:$G$5005,$S$6:$S$5005,S3431,$D$6:$D$5005,"Vastgesteld"))</f>
        <v/>
      </c>
      <c r="U3431" s="15">
        <f>IF(T3431="",0,IF(AND(G3431=T3431,COUNTIFS($S$6:S3431,S3431,$G$6:G3431,G3431,$D$6:D3431,"Vastgesteld")=1),1,0))</f>
        <v>0</v>
      </c>
      <c r="V3431" s="15">
        <f>IF(T3431="",0,IF(AND(G3431=T3431,COUNTIFS($S$6:S3431,S3431,$G$6:G3431,G3431,$D$6:D3431,"Vastgesteld")&gt;1),1,0))</f>
        <v>0</v>
      </c>
    </row>
    <row r="3432">
      <c r="S3432" s="15" t="str">
        <f>IF(J3432="","",J3432&amp;"|"&amp;E3432&amp;"|"&amp;F3432&amp;"|"&amp;I3432&amp;"|"&amp;O3432)</f>
        <v/>
      </c>
      <c r="T3432" s="15" t="str">
        <f>IF(OR(S3432="",D3432&lt;&gt;"Vastgesteld"),"",_xlfn.MAXIFS($G$6:$G$5005,$S$6:$S$5005,S3432,$D$6:$D$5005,"Vastgesteld"))</f>
        <v/>
      </c>
      <c r="U3432" s="15">
        <f>IF(T3432="",0,IF(AND(G3432=T3432,COUNTIFS($S$6:S3432,S3432,$G$6:G3432,G3432,$D$6:D3432,"Vastgesteld")=1),1,0))</f>
        <v>0</v>
      </c>
      <c r="V3432" s="15">
        <f>IF(T3432="",0,IF(AND(G3432=T3432,COUNTIFS($S$6:S3432,S3432,$G$6:G3432,G3432,$D$6:D3432,"Vastgesteld")&gt;1),1,0))</f>
        <v>0</v>
      </c>
    </row>
    <row r="3433">
      <c r="S3433" s="15" t="str">
        <f>IF(J3433="","",J3433&amp;"|"&amp;E3433&amp;"|"&amp;F3433&amp;"|"&amp;I3433&amp;"|"&amp;O3433)</f>
        <v/>
      </c>
      <c r="T3433" s="15" t="str">
        <f>IF(OR(S3433="",D3433&lt;&gt;"Vastgesteld"),"",_xlfn.MAXIFS($G$6:$G$5005,$S$6:$S$5005,S3433,$D$6:$D$5005,"Vastgesteld"))</f>
        <v/>
      </c>
      <c r="U3433" s="15">
        <f>IF(T3433="",0,IF(AND(G3433=T3433,COUNTIFS($S$6:S3433,S3433,$G$6:G3433,G3433,$D$6:D3433,"Vastgesteld")=1),1,0))</f>
        <v>0</v>
      </c>
      <c r="V3433" s="15">
        <f>IF(T3433="",0,IF(AND(G3433=T3433,COUNTIFS($S$6:S3433,S3433,$G$6:G3433,G3433,$D$6:D3433,"Vastgesteld")&gt;1),1,0))</f>
        <v>0</v>
      </c>
    </row>
    <row r="3434">
      <c r="S3434" s="15" t="str">
        <f>IF(J3434="","",J3434&amp;"|"&amp;E3434&amp;"|"&amp;F3434&amp;"|"&amp;I3434&amp;"|"&amp;O3434)</f>
        <v/>
      </c>
      <c r="T3434" s="15" t="str">
        <f>IF(OR(S3434="",D3434&lt;&gt;"Vastgesteld"),"",_xlfn.MAXIFS($G$6:$G$5005,$S$6:$S$5005,S3434,$D$6:$D$5005,"Vastgesteld"))</f>
        <v/>
      </c>
      <c r="U3434" s="15">
        <f>IF(T3434="",0,IF(AND(G3434=T3434,COUNTIFS($S$6:S3434,S3434,$G$6:G3434,G3434,$D$6:D3434,"Vastgesteld")=1),1,0))</f>
        <v>0</v>
      </c>
      <c r="V3434" s="15">
        <f>IF(T3434="",0,IF(AND(G3434=T3434,COUNTIFS($S$6:S3434,S3434,$G$6:G3434,G3434,$D$6:D3434,"Vastgesteld")&gt;1),1,0))</f>
        <v>0</v>
      </c>
    </row>
    <row r="3435">
      <c r="S3435" s="15" t="str">
        <f>IF(J3435="","",J3435&amp;"|"&amp;E3435&amp;"|"&amp;F3435&amp;"|"&amp;I3435&amp;"|"&amp;O3435)</f>
        <v/>
      </c>
      <c r="T3435" s="15" t="str">
        <f>IF(OR(S3435="",D3435&lt;&gt;"Vastgesteld"),"",_xlfn.MAXIFS($G$6:$G$5005,$S$6:$S$5005,S3435,$D$6:$D$5005,"Vastgesteld"))</f>
        <v/>
      </c>
      <c r="U3435" s="15">
        <f>IF(T3435="",0,IF(AND(G3435=T3435,COUNTIFS($S$6:S3435,S3435,$G$6:G3435,G3435,$D$6:D3435,"Vastgesteld")=1),1,0))</f>
        <v>0</v>
      </c>
      <c r="V3435" s="15">
        <f>IF(T3435="",0,IF(AND(G3435=T3435,COUNTIFS($S$6:S3435,S3435,$G$6:G3435,G3435,$D$6:D3435,"Vastgesteld")&gt;1),1,0))</f>
        <v>0</v>
      </c>
    </row>
    <row r="3436">
      <c r="S3436" s="15" t="str">
        <f>IF(J3436="","",J3436&amp;"|"&amp;E3436&amp;"|"&amp;F3436&amp;"|"&amp;I3436&amp;"|"&amp;O3436)</f>
        <v/>
      </c>
      <c r="T3436" s="15" t="str">
        <f>IF(OR(S3436="",D3436&lt;&gt;"Vastgesteld"),"",_xlfn.MAXIFS($G$6:$G$5005,$S$6:$S$5005,S3436,$D$6:$D$5005,"Vastgesteld"))</f>
        <v/>
      </c>
      <c r="U3436" s="15">
        <f>IF(T3436="",0,IF(AND(G3436=T3436,COUNTIFS($S$6:S3436,S3436,$G$6:G3436,G3436,$D$6:D3436,"Vastgesteld")=1),1,0))</f>
        <v>0</v>
      </c>
      <c r="V3436" s="15">
        <f>IF(T3436="",0,IF(AND(G3436=T3436,COUNTIFS($S$6:S3436,S3436,$G$6:G3436,G3436,$D$6:D3436,"Vastgesteld")&gt;1),1,0))</f>
        <v>0</v>
      </c>
    </row>
    <row r="3437">
      <c r="S3437" s="15" t="str">
        <f>IF(J3437="","",J3437&amp;"|"&amp;E3437&amp;"|"&amp;F3437&amp;"|"&amp;I3437&amp;"|"&amp;O3437)</f>
        <v/>
      </c>
      <c r="T3437" s="15" t="str">
        <f>IF(OR(S3437="",D3437&lt;&gt;"Vastgesteld"),"",_xlfn.MAXIFS($G$6:$G$5005,$S$6:$S$5005,S3437,$D$6:$D$5005,"Vastgesteld"))</f>
        <v/>
      </c>
      <c r="U3437" s="15">
        <f>IF(T3437="",0,IF(AND(G3437=T3437,COUNTIFS($S$6:S3437,S3437,$G$6:G3437,G3437,$D$6:D3437,"Vastgesteld")=1),1,0))</f>
        <v>0</v>
      </c>
      <c r="V3437" s="15">
        <f>IF(T3437="",0,IF(AND(G3437=T3437,COUNTIFS($S$6:S3437,S3437,$G$6:G3437,G3437,$D$6:D3437,"Vastgesteld")&gt;1),1,0))</f>
        <v>0</v>
      </c>
    </row>
    <row r="3438">
      <c r="S3438" s="15" t="str">
        <f>IF(J3438="","",J3438&amp;"|"&amp;E3438&amp;"|"&amp;F3438&amp;"|"&amp;I3438&amp;"|"&amp;O3438)</f>
        <v/>
      </c>
      <c r="T3438" s="15" t="str">
        <f>IF(OR(S3438="",D3438&lt;&gt;"Vastgesteld"),"",_xlfn.MAXIFS($G$6:$G$5005,$S$6:$S$5005,S3438,$D$6:$D$5005,"Vastgesteld"))</f>
        <v/>
      </c>
      <c r="U3438" s="15">
        <f>IF(T3438="",0,IF(AND(G3438=T3438,COUNTIFS($S$6:S3438,S3438,$G$6:G3438,G3438,$D$6:D3438,"Vastgesteld")=1),1,0))</f>
        <v>0</v>
      </c>
      <c r="V3438" s="15">
        <f>IF(T3438="",0,IF(AND(G3438=T3438,COUNTIFS($S$6:S3438,S3438,$G$6:G3438,G3438,$D$6:D3438,"Vastgesteld")&gt;1),1,0))</f>
        <v>0</v>
      </c>
    </row>
    <row r="3439">
      <c r="S3439" s="15" t="str">
        <f>IF(J3439="","",J3439&amp;"|"&amp;E3439&amp;"|"&amp;F3439&amp;"|"&amp;I3439&amp;"|"&amp;O3439)</f>
        <v/>
      </c>
      <c r="T3439" s="15" t="str">
        <f>IF(OR(S3439="",D3439&lt;&gt;"Vastgesteld"),"",_xlfn.MAXIFS($G$6:$G$5005,$S$6:$S$5005,S3439,$D$6:$D$5005,"Vastgesteld"))</f>
        <v/>
      </c>
      <c r="U3439" s="15">
        <f>IF(T3439="",0,IF(AND(G3439=T3439,COUNTIFS($S$6:S3439,S3439,$G$6:G3439,G3439,$D$6:D3439,"Vastgesteld")=1),1,0))</f>
        <v>0</v>
      </c>
      <c r="V3439" s="15">
        <f>IF(T3439="",0,IF(AND(G3439=T3439,COUNTIFS($S$6:S3439,S3439,$G$6:G3439,G3439,$D$6:D3439,"Vastgesteld")&gt;1),1,0))</f>
        <v>0</v>
      </c>
    </row>
    <row r="3440">
      <c r="S3440" s="15" t="str">
        <f>IF(J3440="","",J3440&amp;"|"&amp;E3440&amp;"|"&amp;F3440&amp;"|"&amp;I3440&amp;"|"&amp;O3440)</f>
        <v/>
      </c>
      <c r="T3440" s="15" t="str">
        <f>IF(OR(S3440="",D3440&lt;&gt;"Vastgesteld"),"",_xlfn.MAXIFS($G$6:$G$5005,$S$6:$S$5005,S3440,$D$6:$D$5005,"Vastgesteld"))</f>
        <v/>
      </c>
      <c r="U3440" s="15">
        <f>IF(T3440="",0,IF(AND(G3440=T3440,COUNTIFS($S$6:S3440,S3440,$G$6:G3440,G3440,$D$6:D3440,"Vastgesteld")=1),1,0))</f>
        <v>0</v>
      </c>
      <c r="V3440" s="15">
        <f>IF(T3440="",0,IF(AND(G3440=T3440,COUNTIFS($S$6:S3440,S3440,$G$6:G3440,G3440,$D$6:D3440,"Vastgesteld")&gt;1),1,0))</f>
        <v>0</v>
      </c>
    </row>
    <row r="3441">
      <c r="S3441" s="15" t="str">
        <f>IF(J3441="","",J3441&amp;"|"&amp;E3441&amp;"|"&amp;F3441&amp;"|"&amp;I3441&amp;"|"&amp;O3441)</f>
        <v/>
      </c>
      <c r="T3441" s="15" t="str">
        <f>IF(OR(S3441="",D3441&lt;&gt;"Vastgesteld"),"",_xlfn.MAXIFS($G$6:$G$5005,$S$6:$S$5005,S3441,$D$6:$D$5005,"Vastgesteld"))</f>
        <v/>
      </c>
      <c r="U3441" s="15">
        <f>IF(T3441="",0,IF(AND(G3441=T3441,COUNTIFS($S$6:S3441,S3441,$G$6:G3441,G3441,$D$6:D3441,"Vastgesteld")=1),1,0))</f>
        <v>0</v>
      </c>
      <c r="V3441" s="15">
        <f>IF(T3441="",0,IF(AND(G3441=T3441,COUNTIFS($S$6:S3441,S3441,$G$6:G3441,G3441,$D$6:D3441,"Vastgesteld")&gt;1),1,0))</f>
        <v>0</v>
      </c>
    </row>
    <row r="3442">
      <c r="S3442" s="15" t="str">
        <f>IF(J3442="","",J3442&amp;"|"&amp;E3442&amp;"|"&amp;F3442&amp;"|"&amp;I3442&amp;"|"&amp;O3442)</f>
        <v/>
      </c>
      <c r="T3442" s="15" t="str">
        <f>IF(OR(S3442="",D3442&lt;&gt;"Vastgesteld"),"",_xlfn.MAXIFS($G$6:$G$5005,$S$6:$S$5005,S3442,$D$6:$D$5005,"Vastgesteld"))</f>
        <v/>
      </c>
      <c r="U3442" s="15">
        <f>IF(T3442="",0,IF(AND(G3442=T3442,COUNTIFS($S$6:S3442,S3442,$G$6:G3442,G3442,$D$6:D3442,"Vastgesteld")=1),1,0))</f>
        <v>0</v>
      </c>
      <c r="V3442" s="15">
        <f>IF(T3442="",0,IF(AND(G3442=T3442,COUNTIFS($S$6:S3442,S3442,$G$6:G3442,G3442,$D$6:D3442,"Vastgesteld")&gt;1),1,0))</f>
        <v>0</v>
      </c>
    </row>
    <row r="3443">
      <c r="S3443" s="15" t="str">
        <f>IF(J3443="","",J3443&amp;"|"&amp;E3443&amp;"|"&amp;F3443&amp;"|"&amp;I3443&amp;"|"&amp;O3443)</f>
        <v/>
      </c>
      <c r="T3443" s="15" t="str">
        <f>IF(OR(S3443="",D3443&lt;&gt;"Vastgesteld"),"",_xlfn.MAXIFS($G$6:$G$5005,$S$6:$S$5005,S3443,$D$6:$D$5005,"Vastgesteld"))</f>
        <v/>
      </c>
      <c r="U3443" s="15">
        <f>IF(T3443="",0,IF(AND(G3443=T3443,COUNTIFS($S$6:S3443,S3443,$G$6:G3443,G3443,$D$6:D3443,"Vastgesteld")=1),1,0))</f>
        <v>0</v>
      </c>
      <c r="V3443" s="15">
        <f>IF(T3443="",0,IF(AND(G3443=T3443,COUNTIFS($S$6:S3443,S3443,$G$6:G3443,G3443,$D$6:D3443,"Vastgesteld")&gt;1),1,0))</f>
        <v>0</v>
      </c>
    </row>
    <row r="3444">
      <c r="S3444" s="15" t="str">
        <f>IF(J3444="","",J3444&amp;"|"&amp;E3444&amp;"|"&amp;F3444&amp;"|"&amp;I3444&amp;"|"&amp;O3444)</f>
        <v/>
      </c>
      <c r="T3444" s="15" t="str">
        <f>IF(OR(S3444="",D3444&lt;&gt;"Vastgesteld"),"",_xlfn.MAXIFS($G$6:$G$5005,$S$6:$S$5005,S3444,$D$6:$D$5005,"Vastgesteld"))</f>
        <v/>
      </c>
      <c r="U3444" s="15">
        <f>IF(T3444="",0,IF(AND(G3444=T3444,COUNTIFS($S$6:S3444,S3444,$G$6:G3444,G3444,$D$6:D3444,"Vastgesteld")=1),1,0))</f>
        <v>0</v>
      </c>
      <c r="V3444" s="15">
        <f>IF(T3444="",0,IF(AND(G3444=T3444,COUNTIFS($S$6:S3444,S3444,$G$6:G3444,G3444,$D$6:D3444,"Vastgesteld")&gt;1),1,0))</f>
        <v>0</v>
      </c>
    </row>
    <row r="3445">
      <c r="S3445" s="15" t="str">
        <f>IF(J3445="","",J3445&amp;"|"&amp;E3445&amp;"|"&amp;F3445&amp;"|"&amp;I3445&amp;"|"&amp;O3445)</f>
        <v/>
      </c>
      <c r="T3445" s="15" t="str">
        <f>IF(OR(S3445="",D3445&lt;&gt;"Vastgesteld"),"",_xlfn.MAXIFS($G$6:$G$5005,$S$6:$S$5005,S3445,$D$6:$D$5005,"Vastgesteld"))</f>
        <v/>
      </c>
      <c r="U3445" s="15">
        <f>IF(T3445="",0,IF(AND(G3445=T3445,COUNTIFS($S$6:S3445,S3445,$G$6:G3445,G3445,$D$6:D3445,"Vastgesteld")=1),1,0))</f>
        <v>0</v>
      </c>
      <c r="V3445" s="15">
        <f>IF(T3445="",0,IF(AND(G3445=T3445,COUNTIFS($S$6:S3445,S3445,$G$6:G3445,G3445,$D$6:D3445,"Vastgesteld")&gt;1),1,0))</f>
        <v>0</v>
      </c>
    </row>
    <row r="3446">
      <c r="S3446" s="15" t="str">
        <f>IF(J3446="","",J3446&amp;"|"&amp;E3446&amp;"|"&amp;F3446&amp;"|"&amp;I3446&amp;"|"&amp;O3446)</f>
        <v/>
      </c>
      <c r="T3446" s="15" t="str">
        <f>IF(OR(S3446="",D3446&lt;&gt;"Vastgesteld"),"",_xlfn.MAXIFS($G$6:$G$5005,$S$6:$S$5005,S3446,$D$6:$D$5005,"Vastgesteld"))</f>
        <v/>
      </c>
      <c r="U3446" s="15">
        <f>IF(T3446="",0,IF(AND(G3446=T3446,COUNTIFS($S$6:S3446,S3446,$G$6:G3446,G3446,$D$6:D3446,"Vastgesteld")=1),1,0))</f>
        <v>0</v>
      </c>
      <c r="V3446" s="15">
        <f>IF(T3446="",0,IF(AND(G3446=T3446,COUNTIFS($S$6:S3446,S3446,$G$6:G3446,G3446,$D$6:D3446,"Vastgesteld")&gt;1),1,0))</f>
        <v>0</v>
      </c>
    </row>
    <row r="3447">
      <c r="S3447" s="15" t="str">
        <f>IF(J3447="","",J3447&amp;"|"&amp;E3447&amp;"|"&amp;F3447&amp;"|"&amp;I3447&amp;"|"&amp;O3447)</f>
        <v/>
      </c>
      <c r="T3447" s="15" t="str">
        <f>IF(OR(S3447="",D3447&lt;&gt;"Vastgesteld"),"",_xlfn.MAXIFS($G$6:$G$5005,$S$6:$S$5005,S3447,$D$6:$D$5005,"Vastgesteld"))</f>
        <v/>
      </c>
      <c r="U3447" s="15">
        <f>IF(T3447="",0,IF(AND(G3447=T3447,COUNTIFS($S$6:S3447,S3447,$G$6:G3447,G3447,$D$6:D3447,"Vastgesteld")=1),1,0))</f>
        <v>0</v>
      </c>
      <c r="V3447" s="15">
        <f>IF(T3447="",0,IF(AND(G3447=T3447,COUNTIFS($S$6:S3447,S3447,$G$6:G3447,G3447,$D$6:D3447,"Vastgesteld")&gt;1),1,0))</f>
        <v>0</v>
      </c>
    </row>
    <row r="3448">
      <c r="S3448" s="15" t="str">
        <f>IF(J3448="","",J3448&amp;"|"&amp;E3448&amp;"|"&amp;F3448&amp;"|"&amp;I3448&amp;"|"&amp;O3448)</f>
        <v/>
      </c>
      <c r="T3448" s="15" t="str">
        <f>IF(OR(S3448="",D3448&lt;&gt;"Vastgesteld"),"",_xlfn.MAXIFS($G$6:$G$5005,$S$6:$S$5005,S3448,$D$6:$D$5005,"Vastgesteld"))</f>
        <v/>
      </c>
      <c r="U3448" s="15">
        <f>IF(T3448="",0,IF(AND(G3448=T3448,COUNTIFS($S$6:S3448,S3448,$G$6:G3448,G3448,$D$6:D3448,"Vastgesteld")=1),1,0))</f>
        <v>0</v>
      </c>
      <c r="V3448" s="15">
        <f>IF(T3448="",0,IF(AND(G3448=T3448,COUNTIFS($S$6:S3448,S3448,$G$6:G3448,G3448,$D$6:D3448,"Vastgesteld")&gt;1),1,0))</f>
        <v>0</v>
      </c>
    </row>
    <row r="3449">
      <c r="S3449" s="15" t="str">
        <f>IF(J3449="","",J3449&amp;"|"&amp;E3449&amp;"|"&amp;F3449&amp;"|"&amp;I3449&amp;"|"&amp;O3449)</f>
        <v/>
      </c>
      <c r="T3449" s="15" t="str">
        <f>IF(OR(S3449="",D3449&lt;&gt;"Vastgesteld"),"",_xlfn.MAXIFS($G$6:$G$5005,$S$6:$S$5005,S3449,$D$6:$D$5005,"Vastgesteld"))</f>
        <v/>
      </c>
      <c r="U3449" s="15">
        <f>IF(T3449="",0,IF(AND(G3449=T3449,COUNTIFS($S$6:S3449,S3449,$G$6:G3449,G3449,$D$6:D3449,"Vastgesteld")=1),1,0))</f>
        <v>0</v>
      </c>
      <c r="V3449" s="15">
        <f>IF(T3449="",0,IF(AND(G3449=T3449,COUNTIFS($S$6:S3449,S3449,$G$6:G3449,G3449,$D$6:D3449,"Vastgesteld")&gt;1),1,0))</f>
        <v>0</v>
      </c>
    </row>
    <row r="3450">
      <c r="S3450" s="15" t="str">
        <f>IF(J3450="","",J3450&amp;"|"&amp;E3450&amp;"|"&amp;F3450&amp;"|"&amp;I3450&amp;"|"&amp;O3450)</f>
        <v/>
      </c>
      <c r="T3450" s="15" t="str">
        <f>IF(OR(S3450="",D3450&lt;&gt;"Vastgesteld"),"",_xlfn.MAXIFS($G$6:$G$5005,$S$6:$S$5005,S3450,$D$6:$D$5005,"Vastgesteld"))</f>
        <v/>
      </c>
      <c r="U3450" s="15">
        <f>IF(T3450="",0,IF(AND(G3450=T3450,COUNTIFS($S$6:S3450,S3450,$G$6:G3450,G3450,$D$6:D3450,"Vastgesteld")=1),1,0))</f>
        <v>0</v>
      </c>
      <c r="V3450" s="15">
        <f>IF(T3450="",0,IF(AND(G3450=T3450,COUNTIFS($S$6:S3450,S3450,$G$6:G3450,G3450,$D$6:D3450,"Vastgesteld")&gt;1),1,0))</f>
        <v>0</v>
      </c>
    </row>
    <row r="3451">
      <c r="S3451" s="15" t="str">
        <f>IF(J3451="","",J3451&amp;"|"&amp;E3451&amp;"|"&amp;F3451&amp;"|"&amp;I3451&amp;"|"&amp;O3451)</f>
        <v/>
      </c>
      <c r="T3451" s="15" t="str">
        <f>IF(OR(S3451="",D3451&lt;&gt;"Vastgesteld"),"",_xlfn.MAXIFS($G$6:$G$5005,$S$6:$S$5005,S3451,$D$6:$D$5005,"Vastgesteld"))</f>
        <v/>
      </c>
      <c r="U3451" s="15">
        <f>IF(T3451="",0,IF(AND(G3451=T3451,COUNTIFS($S$6:S3451,S3451,$G$6:G3451,G3451,$D$6:D3451,"Vastgesteld")=1),1,0))</f>
        <v>0</v>
      </c>
      <c r="V3451" s="15">
        <f>IF(T3451="",0,IF(AND(G3451=T3451,COUNTIFS($S$6:S3451,S3451,$G$6:G3451,G3451,$D$6:D3451,"Vastgesteld")&gt;1),1,0))</f>
        <v>0</v>
      </c>
    </row>
    <row r="3452">
      <c r="S3452" s="15" t="str">
        <f>IF(J3452="","",J3452&amp;"|"&amp;E3452&amp;"|"&amp;F3452&amp;"|"&amp;I3452&amp;"|"&amp;O3452)</f>
        <v/>
      </c>
      <c r="T3452" s="15" t="str">
        <f>IF(OR(S3452="",D3452&lt;&gt;"Vastgesteld"),"",_xlfn.MAXIFS($G$6:$G$5005,$S$6:$S$5005,S3452,$D$6:$D$5005,"Vastgesteld"))</f>
        <v/>
      </c>
      <c r="U3452" s="15">
        <f>IF(T3452="",0,IF(AND(G3452=T3452,COUNTIFS($S$6:S3452,S3452,$G$6:G3452,G3452,$D$6:D3452,"Vastgesteld")=1),1,0))</f>
        <v>0</v>
      </c>
      <c r="V3452" s="15">
        <f>IF(T3452="",0,IF(AND(G3452=T3452,COUNTIFS($S$6:S3452,S3452,$G$6:G3452,G3452,$D$6:D3452,"Vastgesteld")&gt;1),1,0))</f>
        <v>0</v>
      </c>
    </row>
    <row r="3453">
      <c r="S3453" s="15" t="str">
        <f>IF(J3453="","",J3453&amp;"|"&amp;E3453&amp;"|"&amp;F3453&amp;"|"&amp;I3453&amp;"|"&amp;O3453)</f>
        <v/>
      </c>
      <c r="T3453" s="15" t="str">
        <f>IF(OR(S3453="",D3453&lt;&gt;"Vastgesteld"),"",_xlfn.MAXIFS($G$6:$G$5005,$S$6:$S$5005,S3453,$D$6:$D$5005,"Vastgesteld"))</f>
        <v/>
      </c>
      <c r="U3453" s="15">
        <f>IF(T3453="",0,IF(AND(G3453=T3453,COUNTIFS($S$6:S3453,S3453,$G$6:G3453,G3453,$D$6:D3453,"Vastgesteld")=1),1,0))</f>
        <v>0</v>
      </c>
      <c r="V3453" s="15">
        <f>IF(T3453="",0,IF(AND(G3453=T3453,COUNTIFS($S$6:S3453,S3453,$G$6:G3453,G3453,$D$6:D3453,"Vastgesteld")&gt;1),1,0))</f>
        <v>0</v>
      </c>
    </row>
    <row r="3454">
      <c r="S3454" s="15" t="str">
        <f>IF(J3454="","",J3454&amp;"|"&amp;E3454&amp;"|"&amp;F3454&amp;"|"&amp;I3454&amp;"|"&amp;O3454)</f>
        <v/>
      </c>
      <c r="T3454" s="15" t="str">
        <f>IF(OR(S3454="",D3454&lt;&gt;"Vastgesteld"),"",_xlfn.MAXIFS($G$6:$G$5005,$S$6:$S$5005,S3454,$D$6:$D$5005,"Vastgesteld"))</f>
        <v/>
      </c>
      <c r="U3454" s="15">
        <f>IF(T3454="",0,IF(AND(G3454=T3454,COUNTIFS($S$6:S3454,S3454,$G$6:G3454,G3454,$D$6:D3454,"Vastgesteld")=1),1,0))</f>
        <v>0</v>
      </c>
      <c r="V3454" s="15">
        <f>IF(T3454="",0,IF(AND(G3454=T3454,COUNTIFS($S$6:S3454,S3454,$G$6:G3454,G3454,$D$6:D3454,"Vastgesteld")&gt;1),1,0))</f>
        <v>0</v>
      </c>
    </row>
    <row r="3455">
      <c r="S3455" s="15" t="str">
        <f>IF(J3455="","",J3455&amp;"|"&amp;E3455&amp;"|"&amp;F3455&amp;"|"&amp;I3455&amp;"|"&amp;O3455)</f>
        <v/>
      </c>
      <c r="T3455" s="15" t="str">
        <f>IF(OR(S3455="",D3455&lt;&gt;"Vastgesteld"),"",_xlfn.MAXIFS($G$6:$G$5005,$S$6:$S$5005,S3455,$D$6:$D$5005,"Vastgesteld"))</f>
        <v/>
      </c>
      <c r="U3455" s="15">
        <f>IF(T3455="",0,IF(AND(G3455=T3455,COUNTIFS($S$6:S3455,S3455,$G$6:G3455,G3455,$D$6:D3455,"Vastgesteld")=1),1,0))</f>
        <v>0</v>
      </c>
      <c r="V3455" s="15">
        <f>IF(T3455="",0,IF(AND(G3455=T3455,COUNTIFS($S$6:S3455,S3455,$G$6:G3455,G3455,$D$6:D3455,"Vastgesteld")&gt;1),1,0))</f>
        <v>0</v>
      </c>
    </row>
    <row r="3456">
      <c r="S3456" s="15" t="str">
        <f>IF(J3456="","",J3456&amp;"|"&amp;E3456&amp;"|"&amp;F3456&amp;"|"&amp;I3456&amp;"|"&amp;O3456)</f>
        <v/>
      </c>
      <c r="T3456" s="15" t="str">
        <f>IF(OR(S3456="",D3456&lt;&gt;"Vastgesteld"),"",_xlfn.MAXIFS($G$6:$G$5005,$S$6:$S$5005,S3456,$D$6:$D$5005,"Vastgesteld"))</f>
        <v/>
      </c>
      <c r="U3456" s="15">
        <f>IF(T3456="",0,IF(AND(G3456=T3456,COUNTIFS($S$6:S3456,S3456,$G$6:G3456,G3456,$D$6:D3456,"Vastgesteld")=1),1,0))</f>
        <v>0</v>
      </c>
      <c r="V3456" s="15">
        <f>IF(T3456="",0,IF(AND(G3456=T3456,COUNTIFS($S$6:S3456,S3456,$G$6:G3456,G3456,$D$6:D3456,"Vastgesteld")&gt;1),1,0))</f>
        <v>0</v>
      </c>
    </row>
    <row r="3457">
      <c r="S3457" s="15" t="str">
        <f>IF(J3457="","",J3457&amp;"|"&amp;E3457&amp;"|"&amp;F3457&amp;"|"&amp;I3457&amp;"|"&amp;O3457)</f>
        <v/>
      </c>
      <c r="T3457" s="15" t="str">
        <f>IF(OR(S3457="",D3457&lt;&gt;"Vastgesteld"),"",_xlfn.MAXIFS($G$6:$G$5005,$S$6:$S$5005,S3457,$D$6:$D$5005,"Vastgesteld"))</f>
        <v/>
      </c>
      <c r="U3457" s="15">
        <f>IF(T3457="",0,IF(AND(G3457=T3457,COUNTIFS($S$6:S3457,S3457,$G$6:G3457,G3457,$D$6:D3457,"Vastgesteld")=1),1,0))</f>
        <v>0</v>
      </c>
      <c r="V3457" s="15">
        <f>IF(T3457="",0,IF(AND(G3457=T3457,COUNTIFS($S$6:S3457,S3457,$G$6:G3457,G3457,$D$6:D3457,"Vastgesteld")&gt;1),1,0))</f>
        <v>0</v>
      </c>
    </row>
    <row r="3458">
      <c r="S3458" s="15" t="str">
        <f>IF(J3458="","",J3458&amp;"|"&amp;E3458&amp;"|"&amp;F3458&amp;"|"&amp;I3458&amp;"|"&amp;O3458)</f>
        <v/>
      </c>
      <c r="T3458" s="15" t="str">
        <f>IF(OR(S3458="",D3458&lt;&gt;"Vastgesteld"),"",_xlfn.MAXIFS($G$6:$G$5005,$S$6:$S$5005,S3458,$D$6:$D$5005,"Vastgesteld"))</f>
        <v/>
      </c>
      <c r="U3458" s="15">
        <f>IF(T3458="",0,IF(AND(G3458=T3458,COUNTIFS($S$6:S3458,S3458,$G$6:G3458,G3458,$D$6:D3458,"Vastgesteld")=1),1,0))</f>
        <v>0</v>
      </c>
      <c r="V3458" s="15">
        <f>IF(T3458="",0,IF(AND(G3458=T3458,COUNTIFS($S$6:S3458,S3458,$G$6:G3458,G3458,$D$6:D3458,"Vastgesteld")&gt;1),1,0))</f>
        <v>0</v>
      </c>
    </row>
    <row r="3459">
      <c r="S3459" s="15" t="str">
        <f>IF(J3459="","",J3459&amp;"|"&amp;E3459&amp;"|"&amp;F3459&amp;"|"&amp;I3459&amp;"|"&amp;O3459)</f>
        <v/>
      </c>
      <c r="T3459" s="15" t="str">
        <f>IF(OR(S3459="",D3459&lt;&gt;"Vastgesteld"),"",_xlfn.MAXIFS($G$6:$G$5005,$S$6:$S$5005,S3459,$D$6:$D$5005,"Vastgesteld"))</f>
        <v/>
      </c>
      <c r="U3459" s="15">
        <f>IF(T3459="",0,IF(AND(G3459=T3459,COUNTIFS($S$6:S3459,S3459,$G$6:G3459,G3459,$D$6:D3459,"Vastgesteld")=1),1,0))</f>
        <v>0</v>
      </c>
      <c r="V3459" s="15">
        <f>IF(T3459="",0,IF(AND(G3459=T3459,COUNTIFS($S$6:S3459,S3459,$G$6:G3459,G3459,$D$6:D3459,"Vastgesteld")&gt;1),1,0))</f>
        <v>0</v>
      </c>
    </row>
    <row r="3460">
      <c r="S3460" s="15" t="str">
        <f>IF(J3460="","",J3460&amp;"|"&amp;E3460&amp;"|"&amp;F3460&amp;"|"&amp;I3460&amp;"|"&amp;O3460)</f>
        <v/>
      </c>
      <c r="T3460" s="15" t="str">
        <f>IF(OR(S3460="",D3460&lt;&gt;"Vastgesteld"),"",_xlfn.MAXIFS($G$6:$G$5005,$S$6:$S$5005,S3460,$D$6:$D$5005,"Vastgesteld"))</f>
        <v/>
      </c>
      <c r="U3460" s="15">
        <f>IF(T3460="",0,IF(AND(G3460=T3460,COUNTIFS($S$6:S3460,S3460,$G$6:G3460,G3460,$D$6:D3460,"Vastgesteld")=1),1,0))</f>
        <v>0</v>
      </c>
      <c r="V3460" s="15">
        <f>IF(T3460="",0,IF(AND(G3460=T3460,COUNTIFS($S$6:S3460,S3460,$G$6:G3460,G3460,$D$6:D3460,"Vastgesteld")&gt;1),1,0))</f>
        <v>0</v>
      </c>
    </row>
    <row r="3461">
      <c r="S3461" s="15" t="str">
        <f>IF(J3461="","",J3461&amp;"|"&amp;E3461&amp;"|"&amp;F3461&amp;"|"&amp;I3461&amp;"|"&amp;O3461)</f>
        <v/>
      </c>
      <c r="T3461" s="15" t="str">
        <f>IF(OR(S3461="",D3461&lt;&gt;"Vastgesteld"),"",_xlfn.MAXIFS($G$6:$G$5005,$S$6:$S$5005,S3461,$D$6:$D$5005,"Vastgesteld"))</f>
        <v/>
      </c>
      <c r="U3461" s="15">
        <f>IF(T3461="",0,IF(AND(G3461=T3461,COUNTIFS($S$6:S3461,S3461,$G$6:G3461,G3461,$D$6:D3461,"Vastgesteld")=1),1,0))</f>
        <v>0</v>
      </c>
      <c r="V3461" s="15">
        <f>IF(T3461="",0,IF(AND(G3461=T3461,COUNTIFS($S$6:S3461,S3461,$G$6:G3461,G3461,$D$6:D3461,"Vastgesteld")&gt;1),1,0))</f>
        <v>0</v>
      </c>
    </row>
    <row r="3462">
      <c r="S3462" s="15" t="str">
        <f>IF(J3462="","",J3462&amp;"|"&amp;E3462&amp;"|"&amp;F3462&amp;"|"&amp;I3462&amp;"|"&amp;O3462)</f>
        <v/>
      </c>
      <c r="T3462" s="15" t="str">
        <f>IF(OR(S3462="",D3462&lt;&gt;"Vastgesteld"),"",_xlfn.MAXIFS($G$6:$G$5005,$S$6:$S$5005,S3462,$D$6:$D$5005,"Vastgesteld"))</f>
        <v/>
      </c>
      <c r="U3462" s="15">
        <f>IF(T3462="",0,IF(AND(G3462=T3462,COUNTIFS($S$6:S3462,S3462,$G$6:G3462,G3462,$D$6:D3462,"Vastgesteld")=1),1,0))</f>
        <v>0</v>
      </c>
      <c r="V3462" s="15">
        <f>IF(T3462="",0,IF(AND(G3462=T3462,COUNTIFS($S$6:S3462,S3462,$G$6:G3462,G3462,$D$6:D3462,"Vastgesteld")&gt;1),1,0))</f>
        <v>0</v>
      </c>
    </row>
    <row r="3463">
      <c r="S3463" s="15" t="str">
        <f>IF(J3463="","",J3463&amp;"|"&amp;E3463&amp;"|"&amp;F3463&amp;"|"&amp;I3463&amp;"|"&amp;O3463)</f>
        <v/>
      </c>
      <c r="T3463" s="15" t="str">
        <f>IF(OR(S3463="",D3463&lt;&gt;"Vastgesteld"),"",_xlfn.MAXIFS($G$6:$G$5005,$S$6:$S$5005,S3463,$D$6:$D$5005,"Vastgesteld"))</f>
        <v/>
      </c>
      <c r="U3463" s="15">
        <f>IF(T3463="",0,IF(AND(G3463=T3463,COUNTIFS($S$6:S3463,S3463,$G$6:G3463,G3463,$D$6:D3463,"Vastgesteld")=1),1,0))</f>
        <v>0</v>
      </c>
      <c r="V3463" s="15">
        <f>IF(T3463="",0,IF(AND(G3463=T3463,COUNTIFS($S$6:S3463,S3463,$G$6:G3463,G3463,$D$6:D3463,"Vastgesteld")&gt;1),1,0))</f>
        <v>0</v>
      </c>
    </row>
    <row r="3464">
      <c r="S3464" s="15" t="str">
        <f>IF(J3464="","",J3464&amp;"|"&amp;E3464&amp;"|"&amp;F3464&amp;"|"&amp;I3464&amp;"|"&amp;O3464)</f>
        <v/>
      </c>
      <c r="T3464" s="15" t="str">
        <f>IF(OR(S3464="",D3464&lt;&gt;"Vastgesteld"),"",_xlfn.MAXIFS($G$6:$G$5005,$S$6:$S$5005,S3464,$D$6:$D$5005,"Vastgesteld"))</f>
        <v/>
      </c>
      <c r="U3464" s="15">
        <f>IF(T3464="",0,IF(AND(G3464=T3464,COUNTIFS($S$6:S3464,S3464,$G$6:G3464,G3464,$D$6:D3464,"Vastgesteld")=1),1,0))</f>
        <v>0</v>
      </c>
      <c r="V3464" s="15">
        <f>IF(T3464="",0,IF(AND(G3464=T3464,COUNTIFS($S$6:S3464,S3464,$G$6:G3464,G3464,$D$6:D3464,"Vastgesteld")&gt;1),1,0))</f>
        <v>0</v>
      </c>
    </row>
    <row r="3465">
      <c r="S3465" s="15" t="str">
        <f>IF(J3465="","",J3465&amp;"|"&amp;E3465&amp;"|"&amp;F3465&amp;"|"&amp;I3465&amp;"|"&amp;O3465)</f>
        <v/>
      </c>
      <c r="T3465" s="15" t="str">
        <f>IF(OR(S3465="",D3465&lt;&gt;"Vastgesteld"),"",_xlfn.MAXIFS($G$6:$G$5005,$S$6:$S$5005,S3465,$D$6:$D$5005,"Vastgesteld"))</f>
        <v/>
      </c>
      <c r="U3465" s="15">
        <f>IF(T3465="",0,IF(AND(G3465=T3465,COUNTIFS($S$6:S3465,S3465,$G$6:G3465,G3465,$D$6:D3465,"Vastgesteld")=1),1,0))</f>
        <v>0</v>
      </c>
      <c r="V3465" s="15">
        <f>IF(T3465="",0,IF(AND(G3465=T3465,COUNTIFS($S$6:S3465,S3465,$G$6:G3465,G3465,$D$6:D3465,"Vastgesteld")&gt;1),1,0))</f>
        <v>0</v>
      </c>
    </row>
    <row r="3466">
      <c r="S3466" s="15" t="str">
        <f>IF(J3466="","",J3466&amp;"|"&amp;E3466&amp;"|"&amp;F3466&amp;"|"&amp;I3466&amp;"|"&amp;O3466)</f>
        <v/>
      </c>
      <c r="T3466" s="15" t="str">
        <f>IF(OR(S3466="",D3466&lt;&gt;"Vastgesteld"),"",_xlfn.MAXIFS($G$6:$G$5005,$S$6:$S$5005,S3466,$D$6:$D$5005,"Vastgesteld"))</f>
        <v/>
      </c>
      <c r="U3466" s="15">
        <f>IF(T3466="",0,IF(AND(G3466=T3466,COUNTIFS($S$6:S3466,S3466,$G$6:G3466,G3466,$D$6:D3466,"Vastgesteld")=1),1,0))</f>
        <v>0</v>
      </c>
      <c r="V3466" s="15">
        <f>IF(T3466="",0,IF(AND(G3466=T3466,COUNTIFS($S$6:S3466,S3466,$G$6:G3466,G3466,$D$6:D3466,"Vastgesteld")&gt;1),1,0))</f>
        <v>0</v>
      </c>
    </row>
    <row r="3467">
      <c r="S3467" s="15" t="str">
        <f>IF(J3467="","",J3467&amp;"|"&amp;E3467&amp;"|"&amp;F3467&amp;"|"&amp;I3467&amp;"|"&amp;O3467)</f>
        <v/>
      </c>
      <c r="T3467" s="15" t="str">
        <f>IF(OR(S3467="",D3467&lt;&gt;"Vastgesteld"),"",_xlfn.MAXIFS($G$6:$G$5005,$S$6:$S$5005,S3467,$D$6:$D$5005,"Vastgesteld"))</f>
        <v/>
      </c>
      <c r="U3467" s="15">
        <f>IF(T3467="",0,IF(AND(G3467=T3467,COUNTIFS($S$6:S3467,S3467,$G$6:G3467,G3467,$D$6:D3467,"Vastgesteld")=1),1,0))</f>
        <v>0</v>
      </c>
      <c r="V3467" s="15">
        <f>IF(T3467="",0,IF(AND(G3467=T3467,COUNTIFS($S$6:S3467,S3467,$G$6:G3467,G3467,$D$6:D3467,"Vastgesteld")&gt;1),1,0))</f>
        <v>0</v>
      </c>
    </row>
    <row r="3468">
      <c r="S3468" s="15" t="str">
        <f>IF(J3468="","",J3468&amp;"|"&amp;E3468&amp;"|"&amp;F3468&amp;"|"&amp;I3468&amp;"|"&amp;O3468)</f>
        <v/>
      </c>
      <c r="T3468" s="15" t="str">
        <f>IF(OR(S3468="",D3468&lt;&gt;"Vastgesteld"),"",_xlfn.MAXIFS($G$6:$G$5005,$S$6:$S$5005,S3468,$D$6:$D$5005,"Vastgesteld"))</f>
        <v/>
      </c>
      <c r="U3468" s="15">
        <f>IF(T3468="",0,IF(AND(G3468=T3468,COUNTIFS($S$6:S3468,S3468,$G$6:G3468,G3468,$D$6:D3468,"Vastgesteld")=1),1,0))</f>
        <v>0</v>
      </c>
      <c r="V3468" s="15">
        <f>IF(T3468="",0,IF(AND(G3468=T3468,COUNTIFS($S$6:S3468,S3468,$G$6:G3468,G3468,$D$6:D3468,"Vastgesteld")&gt;1),1,0))</f>
        <v>0</v>
      </c>
    </row>
    <row r="3469">
      <c r="S3469" s="15" t="str">
        <f>IF(J3469="","",J3469&amp;"|"&amp;E3469&amp;"|"&amp;F3469&amp;"|"&amp;I3469&amp;"|"&amp;O3469)</f>
        <v/>
      </c>
      <c r="T3469" s="15" t="str">
        <f>IF(OR(S3469="",D3469&lt;&gt;"Vastgesteld"),"",_xlfn.MAXIFS($G$6:$G$5005,$S$6:$S$5005,S3469,$D$6:$D$5005,"Vastgesteld"))</f>
        <v/>
      </c>
      <c r="U3469" s="15">
        <f>IF(T3469="",0,IF(AND(G3469=T3469,COUNTIFS($S$6:S3469,S3469,$G$6:G3469,G3469,$D$6:D3469,"Vastgesteld")=1),1,0))</f>
        <v>0</v>
      </c>
      <c r="V3469" s="15">
        <f>IF(T3469="",0,IF(AND(G3469=T3469,COUNTIFS($S$6:S3469,S3469,$G$6:G3469,G3469,$D$6:D3469,"Vastgesteld")&gt;1),1,0))</f>
        <v>0</v>
      </c>
    </row>
    <row r="3470">
      <c r="S3470" s="15" t="str">
        <f>IF(J3470="","",J3470&amp;"|"&amp;E3470&amp;"|"&amp;F3470&amp;"|"&amp;I3470&amp;"|"&amp;O3470)</f>
        <v/>
      </c>
      <c r="T3470" s="15" t="str">
        <f>IF(OR(S3470="",D3470&lt;&gt;"Vastgesteld"),"",_xlfn.MAXIFS($G$6:$G$5005,$S$6:$S$5005,S3470,$D$6:$D$5005,"Vastgesteld"))</f>
        <v/>
      </c>
      <c r="U3470" s="15">
        <f>IF(T3470="",0,IF(AND(G3470=T3470,COUNTIFS($S$6:S3470,S3470,$G$6:G3470,G3470,$D$6:D3470,"Vastgesteld")=1),1,0))</f>
        <v>0</v>
      </c>
      <c r="V3470" s="15">
        <f>IF(T3470="",0,IF(AND(G3470=T3470,COUNTIFS($S$6:S3470,S3470,$G$6:G3470,G3470,$D$6:D3470,"Vastgesteld")&gt;1),1,0))</f>
        <v>0</v>
      </c>
    </row>
    <row r="3471">
      <c r="S3471" s="15" t="str">
        <f>IF(J3471="","",J3471&amp;"|"&amp;E3471&amp;"|"&amp;F3471&amp;"|"&amp;I3471&amp;"|"&amp;O3471)</f>
        <v/>
      </c>
      <c r="T3471" s="15" t="str">
        <f>IF(OR(S3471="",D3471&lt;&gt;"Vastgesteld"),"",_xlfn.MAXIFS($G$6:$G$5005,$S$6:$S$5005,S3471,$D$6:$D$5005,"Vastgesteld"))</f>
        <v/>
      </c>
      <c r="U3471" s="15">
        <f>IF(T3471="",0,IF(AND(G3471=T3471,COUNTIFS($S$6:S3471,S3471,$G$6:G3471,G3471,$D$6:D3471,"Vastgesteld")=1),1,0))</f>
        <v>0</v>
      </c>
      <c r="V3471" s="15">
        <f>IF(T3471="",0,IF(AND(G3471=T3471,COUNTIFS($S$6:S3471,S3471,$G$6:G3471,G3471,$D$6:D3471,"Vastgesteld")&gt;1),1,0))</f>
        <v>0</v>
      </c>
    </row>
    <row r="3472">
      <c r="S3472" s="15" t="str">
        <f>IF(J3472="","",J3472&amp;"|"&amp;E3472&amp;"|"&amp;F3472&amp;"|"&amp;I3472&amp;"|"&amp;O3472)</f>
        <v/>
      </c>
      <c r="T3472" s="15" t="str">
        <f>IF(OR(S3472="",D3472&lt;&gt;"Vastgesteld"),"",_xlfn.MAXIFS($G$6:$G$5005,$S$6:$S$5005,S3472,$D$6:$D$5005,"Vastgesteld"))</f>
        <v/>
      </c>
      <c r="U3472" s="15">
        <f>IF(T3472="",0,IF(AND(G3472=T3472,COUNTIFS($S$6:S3472,S3472,$G$6:G3472,G3472,$D$6:D3472,"Vastgesteld")=1),1,0))</f>
        <v>0</v>
      </c>
      <c r="V3472" s="15">
        <f>IF(T3472="",0,IF(AND(G3472=T3472,COUNTIFS($S$6:S3472,S3472,$G$6:G3472,G3472,$D$6:D3472,"Vastgesteld")&gt;1),1,0))</f>
        <v>0</v>
      </c>
    </row>
    <row r="3473">
      <c r="S3473" s="15" t="str">
        <f>IF(J3473="","",J3473&amp;"|"&amp;E3473&amp;"|"&amp;F3473&amp;"|"&amp;I3473&amp;"|"&amp;O3473)</f>
        <v/>
      </c>
      <c r="T3473" s="15" t="str">
        <f>IF(OR(S3473="",D3473&lt;&gt;"Vastgesteld"),"",_xlfn.MAXIFS($G$6:$G$5005,$S$6:$S$5005,S3473,$D$6:$D$5005,"Vastgesteld"))</f>
        <v/>
      </c>
      <c r="U3473" s="15">
        <f>IF(T3473="",0,IF(AND(G3473=T3473,COUNTIFS($S$6:S3473,S3473,$G$6:G3473,G3473,$D$6:D3473,"Vastgesteld")=1),1,0))</f>
        <v>0</v>
      </c>
      <c r="V3473" s="15">
        <f>IF(T3473="",0,IF(AND(G3473=T3473,COUNTIFS($S$6:S3473,S3473,$G$6:G3473,G3473,$D$6:D3473,"Vastgesteld")&gt;1),1,0))</f>
        <v>0</v>
      </c>
    </row>
    <row r="3474">
      <c r="S3474" s="15" t="str">
        <f>IF(J3474="","",J3474&amp;"|"&amp;E3474&amp;"|"&amp;F3474&amp;"|"&amp;I3474&amp;"|"&amp;O3474)</f>
        <v/>
      </c>
      <c r="T3474" s="15" t="str">
        <f>IF(OR(S3474="",D3474&lt;&gt;"Vastgesteld"),"",_xlfn.MAXIFS($G$6:$G$5005,$S$6:$S$5005,S3474,$D$6:$D$5005,"Vastgesteld"))</f>
        <v/>
      </c>
      <c r="U3474" s="15">
        <f>IF(T3474="",0,IF(AND(G3474=T3474,COUNTIFS($S$6:S3474,S3474,$G$6:G3474,G3474,$D$6:D3474,"Vastgesteld")=1),1,0))</f>
        <v>0</v>
      </c>
      <c r="V3474" s="15">
        <f>IF(T3474="",0,IF(AND(G3474=T3474,COUNTIFS($S$6:S3474,S3474,$G$6:G3474,G3474,$D$6:D3474,"Vastgesteld")&gt;1),1,0))</f>
        <v>0</v>
      </c>
    </row>
    <row r="3475">
      <c r="S3475" s="15" t="str">
        <f>IF(J3475="","",J3475&amp;"|"&amp;E3475&amp;"|"&amp;F3475&amp;"|"&amp;I3475&amp;"|"&amp;O3475)</f>
        <v/>
      </c>
      <c r="T3475" s="15" t="str">
        <f>IF(OR(S3475="",D3475&lt;&gt;"Vastgesteld"),"",_xlfn.MAXIFS($G$6:$G$5005,$S$6:$S$5005,S3475,$D$6:$D$5005,"Vastgesteld"))</f>
        <v/>
      </c>
      <c r="U3475" s="15">
        <f>IF(T3475="",0,IF(AND(G3475=T3475,COUNTIFS($S$6:S3475,S3475,$G$6:G3475,G3475,$D$6:D3475,"Vastgesteld")=1),1,0))</f>
        <v>0</v>
      </c>
      <c r="V3475" s="15">
        <f>IF(T3475="",0,IF(AND(G3475=T3475,COUNTIFS($S$6:S3475,S3475,$G$6:G3475,G3475,$D$6:D3475,"Vastgesteld")&gt;1),1,0))</f>
        <v>0</v>
      </c>
    </row>
    <row r="3476">
      <c r="S3476" s="15" t="str">
        <f>IF(J3476="","",J3476&amp;"|"&amp;E3476&amp;"|"&amp;F3476&amp;"|"&amp;I3476&amp;"|"&amp;O3476)</f>
        <v/>
      </c>
      <c r="T3476" s="15" t="str">
        <f>IF(OR(S3476="",D3476&lt;&gt;"Vastgesteld"),"",_xlfn.MAXIFS($G$6:$G$5005,$S$6:$S$5005,S3476,$D$6:$D$5005,"Vastgesteld"))</f>
        <v/>
      </c>
      <c r="U3476" s="15">
        <f>IF(T3476="",0,IF(AND(G3476=T3476,COUNTIFS($S$6:S3476,S3476,$G$6:G3476,G3476,$D$6:D3476,"Vastgesteld")=1),1,0))</f>
        <v>0</v>
      </c>
      <c r="V3476" s="15">
        <f>IF(T3476="",0,IF(AND(G3476=T3476,COUNTIFS($S$6:S3476,S3476,$G$6:G3476,G3476,$D$6:D3476,"Vastgesteld")&gt;1),1,0))</f>
        <v>0</v>
      </c>
    </row>
    <row r="3477">
      <c r="S3477" s="15" t="str">
        <f>IF(J3477="","",J3477&amp;"|"&amp;E3477&amp;"|"&amp;F3477&amp;"|"&amp;I3477&amp;"|"&amp;O3477)</f>
        <v/>
      </c>
      <c r="T3477" s="15" t="str">
        <f>IF(OR(S3477="",D3477&lt;&gt;"Vastgesteld"),"",_xlfn.MAXIFS($G$6:$G$5005,$S$6:$S$5005,S3477,$D$6:$D$5005,"Vastgesteld"))</f>
        <v/>
      </c>
      <c r="U3477" s="15">
        <f>IF(T3477="",0,IF(AND(G3477=T3477,COUNTIFS($S$6:S3477,S3477,$G$6:G3477,G3477,$D$6:D3477,"Vastgesteld")=1),1,0))</f>
        <v>0</v>
      </c>
      <c r="V3477" s="15">
        <f>IF(T3477="",0,IF(AND(G3477=T3477,COUNTIFS($S$6:S3477,S3477,$G$6:G3477,G3477,$D$6:D3477,"Vastgesteld")&gt;1),1,0))</f>
        <v>0</v>
      </c>
    </row>
    <row r="3478">
      <c r="S3478" s="15" t="str">
        <f>IF(J3478="","",J3478&amp;"|"&amp;E3478&amp;"|"&amp;F3478&amp;"|"&amp;I3478&amp;"|"&amp;O3478)</f>
        <v/>
      </c>
      <c r="T3478" s="15" t="str">
        <f>IF(OR(S3478="",D3478&lt;&gt;"Vastgesteld"),"",_xlfn.MAXIFS($G$6:$G$5005,$S$6:$S$5005,S3478,$D$6:$D$5005,"Vastgesteld"))</f>
        <v/>
      </c>
      <c r="U3478" s="15">
        <f>IF(T3478="",0,IF(AND(G3478=T3478,COUNTIFS($S$6:S3478,S3478,$G$6:G3478,G3478,$D$6:D3478,"Vastgesteld")=1),1,0))</f>
        <v>0</v>
      </c>
      <c r="V3478" s="15">
        <f>IF(T3478="",0,IF(AND(G3478=T3478,COUNTIFS($S$6:S3478,S3478,$G$6:G3478,G3478,$D$6:D3478,"Vastgesteld")&gt;1),1,0))</f>
        <v>0</v>
      </c>
    </row>
    <row r="3479">
      <c r="S3479" s="15" t="str">
        <f>IF(J3479="","",J3479&amp;"|"&amp;E3479&amp;"|"&amp;F3479&amp;"|"&amp;I3479&amp;"|"&amp;O3479)</f>
        <v/>
      </c>
      <c r="T3479" s="15" t="str">
        <f>IF(OR(S3479="",D3479&lt;&gt;"Vastgesteld"),"",_xlfn.MAXIFS($G$6:$G$5005,$S$6:$S$5005,S3479,$D$6:$D$5005,"Vastgesteld"))</f>
        <v/>
      </c>
      <c r="U3479" s="15">
        <f>IF(T3479="",0,IF(AND(G3479=T3479,COUNTIFS($S$6:S3479,S3479,$G$6:G3479,G3479,$D$6:D3479,"Vastgesteld")=1),1,0))</f>
        <v>0</v>
      </c>
      <c r="V3479" s="15">
        <f>IF(T3479="",0,IF(AND(G3479=T3479,COUNTIFS($S$6:S3479,S3479,$G$6:G3479,G3479,$D$6:D3479,"Vastgesteld")&gt;1),1,0))</f>
        <v>0</v>
      </c>
    </row>
    <row r="3480">
      <c r="S3480" s="15" t="str">
        <f>IF(J3480="","",J3480&amp;"|"&amp;E3480&amp;"|"&amp;F3480&amp;"|"&amp;I3480&amp;"|"&amp;O3480)</f>
        <v/>
      </c>
      <c r="T3480" s="15" t="str">
        <f>IF(OR(S3480="",D3480&lt;&gt;"Vastgesteld"),"",_xlfn.MAXIFS($G$6:$G$5005,$S$6:$S$5005,S3480,$D$6:$D$5005,"Vastgesteld"))</f>
        <v/>
      </c>
      <c r="U3480" s="15">
        <f>IF(T3480="",0,IF(AND(G3480=T3480,COUNTIFS($S$6:S3480,S3480,$G$6:G3480,G3480,$D$6:D3480,"Vastgesteld")=1),1,0))</f>
        <v>0</v>
      </c>
      <c r="V3480" s="15">
        <f>IF(T3480="",0,IF(AND(G3480=T3480,COUNTIFS($S$6:S3480,S3480,$G$6:G3480,G3480,$D$6:D3480,"Vastgesteld")&gt;1),1,0))</f>
        <v>0</v>
      </c>
    </row>
    <row r="3481">
      <c r="S3481" s="15" t="str">
        <f>IF(J3481="","",J3481&amp;"|"&amp;E3481&amp;"|"&amp;F3481&amp;"|"&amp;I3481&amp;"|"&amp;O3481)</f>
        <v/>
      </c>
      <c r="T3481" s="15" t="str">
        <f>IF(OR(S3481="",D3481&lt;&gt;"Vastgesteld"),"",_xlfn.MAXIFS($G$6:$G$5005,$S$6:$S$5005,S3481,$D$6:$D$5005,"Vastgesteld"))</f>
        <v/>
      </c>
      <c r="U3481" s="15">
        <f>IF(T3481="",0,IF(AND(G3481=T3481,COUNTIFS($S$6:S3481,S3481,$G$6:G3481,G3481,$D$6:D3481,"Vastgesteld")=1),1,0))</f>
        <v>0</v>
      </c>
      <c r="V3481" s="15">
        <f>IF(T3481="",0,IF(AND(G3481=T3481,COUNTIFS($S$6:S3481,S3481,$G$6:G3481,G3481,$D$6:D3481,"Vastgesteld")&gt;1),1,0))</f>
        <v>0</v>
      </c>
    </row>
    <row r="3482">
      <c r="S3482" s="15" t="str">
        <f>IF(J3482="","",J3482&amp;"|"&amp;E3482&amp;"|"&amp;F3482&amp;"|"&amp;I3482&amp;"|"&amp;O3482)</f>
        <v/>
      </c>
      <c r="T3482" s="15" t="str">
        <f>IF(OR(S3482="",D3482&lt;&gt;"Vastgesteld"),"",_xlfn.MAXIFS($G$6:$G$5005,$S$6:$S$5005,S3482,$D$6:$D$5005,"Vastgesteld"))</f>
        <v/>
      </c>
      <c r="U3482" s="15">
        <f>IF(T3482="",0,IF(AND(G3482=T3482,COUNTIFS($S$6:S3482,S3482,$G$6:G3482,G3482,$D$6:D3482,"Vastgesteld")=1),1,0))</f>
        <v>0</v>
      </c>
      <c r="V3482" s="15">
        <f>IF(T3482="",0,IF(AND(G3482=T3482,COUNTIFS($S$6:S3482,S3482,$G$6:G3482,G3482,$D$6:D3482,"Vastgesteld")&gt;1),1,0))</f>
        <v>0</v>
      </c>
    </row>
    <row r="3483">
      <c r="S3483" s="15" t="str">
        <f>IF(J3483="","",J3483&amp;"|"&amp;E3483&amp;"|"&amp;F3483&amp;"|"&amp;I3483&amp;"|"&amp;O3483)</f>
        <v/>
      </c>
      <c r="T3483" s="15" t="str">
        <f>IF(OR(S3483="",D3483&lt;&gt;"Vastgesteld"),"",_xlfn.MAXIFS($G$6:$G$5005,$S$6:$S$5005,S3483,$D$6:$D$5005,"Vastgesteld"))</f>
        <v/>
      </c>
      <c r="U3483" s="15">
        <f>IF(T3483="",0,IF(AND(G3483=T3483,COUNTIFS($S$6:S3483,S3483,$G$6:G3483,G3483,$D$6:D3483,"Vastgesteld")=1),1,0))</f>
        <v>0</v>
      </c>
      <c r="V3483" s="15">
        <f>IF(T3483="",0,IF(AND(G3483=T3483,COUNTIFS($S$6:S3483,S3483,$G$6:G3483,G3483,$D$6:D3483,"Vastgesteld")&gt;1),1,0))</f>
        <v>0</v>
      </c>
    </row>
    <row r="3484">
      <c r="S3484" s="15" t="str">
        <f>IF(J3484="","",J3484&amp;"|"&amp;E3484&amp;"|"&amp;F3484&amp;"|"&amp;I3484&amp;"|"&amp;O3484)</f>
        <v/>
      </c>
      <c r="T3484" s="15" t="str">
        <f>IF(OR(S3484="",D3484&lt;&gt;"Vastgesteld"),"",_xlfn.MAXIFS($G$6:$G$5005,$S$6:$S$5005,S3484,$D$6:$D$5005,"Vastgesteld"))</f>
        <v/>
      </c>
      <c r="U3484" s="15">
        <f>IF(T3484="",0,IF(AND(G3484=T3484,COUNTIFS($S$6:S3484,S3484,$G$6:G3484,G3484,$D$6:D3484,"Vastgesteld")=1),1,0))</f>
        <v>0</v>
      </c>
      <c r="V3484" s="15">
        <f>IF(T3484="",0,IF(AND(G3484=T3484,COUNTIFS($S$6:S3484,S3484,$G$6:G3484,G3484,$D$6:D3484,"Vastgesteld")&gt;1),1,0))</f>
        <v>0</v>
      </c>
    </row>
    <row r="3485">
      <c r="S3485" s="15" t="str">
        <f>IF(J3485="","",J3485&amp;"|"&amp;E3485&amp;"|"&amp;F3485&amp;"|"&amp;I3485&amp;"|"&amp;O3485)</f>
        <v/>
      </c>
      <c r="T3485" s="15" t="str">
        <f>IF(OR(S3485="",D3485&lt;&gt;"Vastgesteld"),"",_xlfn.MAXIFS($G$6:$G$5005,$S$6:$S$5005,S3485,$D$6:$D$5005,"Vastgesteld"))</f>
        <v/>
      </c>
      <c r="U3485" s="15">
        <f>IF(T3485="",0,IF(AND(G3485=T3485,COUNTIFS($S$6:S3485,S3485,$G$6:G3485,G3485,$D$6:D3485,"Vastgesteld")=1),1,0))</f>
        <v>0</v>
      </c>
      <c r="V3485" s="15">
        <f>IF(T3485="",0,IF(AND(G3485=T3485,COUNTIFS($S$6:S3485,S3485,$G$6:G3485,G3485,$D$6:D3485,"Vastgesteld")&gt;1),1,0))</f>
        <v>0</v>
      </c>
    </row>
    <row r="3486">
      <c r="S3486" s="15" t="str">
        <f>IF(J3486="","",J3486&amp;"|"&amp;E3486&amp;"|"&amp;F3486&amp;"|"&amp;I3486&amp;"|"&amp;O3486)</f>
        <v/>
      </c>
      <c r="T3486" s="15" t="str">
        <f>IF(OR(S3486="",D3486&lt;&gt;"Vastgesteld"),"",_xlfn.MAXIFS($G$6:$G$5005,$S$6:$S$5005,S3486,$D$6:$D$5005,"Vastgesteld"))</f>
        <v/>
      </c>
      <c r="U3486" s="15">
        <f>IF(T3486="",0,IF(AND(G3486=T3486,COUNTIFS($S$6:S3486,S3486,$G$6:G3486,G3486,$D$6:D3486,"Vastgesteld")=1),1,0))</f>
        <v>0</v>
      </c>
      <c r="V3486" s="15">
        <f>IF(T3486="",0,IF(AND(G3486=T3486,COUNTIFS($S$6:S3486,S3486,$G$6:G3486,G3486,$D$6:D3486,"Vastgesteld")&gt;1),1,0))</f>
        <v>0</v>
      </c>
    </row>
    <row r="3487">
      <c r="S3487" s="15" t="str">
        <f>IF(J3487="","",J3487&amp;"|"&amp;E3487&amp;"|"&amp;F3487&amp;"|"&amp;I3487&amp;"|"&amp;O3487)</f>
        <v/>
      </c>
      <c r="T3487" s="15" t="str">
        <f>IF(OR(S3487="",D3487&lt;&gt;"Vastgesteld"),"",_xlfn.MAXIFS($G$6:$G$5005,$S$6:$S$5005,S3487,$D$6:$D$5005,"Vastgesteld"))</f>
        <v/>
      </c>
      <c r="U3487" s="15">
        <f>IF(T3487="",0,IF(AND(G3487=T3487,COUNTIFS($S$6:S3487,S3487,$G$6:G3487,G3487,$D$6:D3487,"Vastgesteld")=1),1,0))</f>
        <v>0</v>
      </c>
      <c r="V3487" s="15">
        <f>IF(T3487="",0,IF(AND(G3487=T3487,COUNTIFS($S$6:S3487,S3487,$G$6:G3487,G3487,$D$6:D3487,"Vastgesteld")&gt;1),1,0))</f>
        <v>0</v>
      </c>
    </row>
    <row r="3488">
      <c r="S3488" s="15" t="str">
        <f>IF(J3488="","",J3488&amp;"|"&amp;E3488&amp;"|"&amp;F3488&amp;"|"&amp;I3488&amp;"|"&amp;O3488)</f>
        <v/>
      </c>
      <c r="T3488" s="15" t="str">
        <f>IF(OR(S3488="",D3488&lt;&gt;"Vastgesteld"),"",_xlfn.MAXIFS($G$6:$G$5005,$S$6:$S$5005,S3488,$D$6:$D$5005,"Vastgesteld"))</f>
        <v/>
      </c>
      <c r="U3488" s="15">
        <f>IF(T3488="",0,IF(AND(G3488=T3488,COUNTIFS($S$6:S3488,S3488,$G$6:G3488,G3488,$D$6:D3488,"Vastgesteld")=1),1,0))</f>
        <v>0</v>
      </c>
      <c r="V3488" s="15">
        <f>IF(T3488="",0,IF(AND(G3488=T3488,COUNTIFS($S$6:S3488,S3488,$G$6:G3488,G3488,$D$6:D3488,"Vastgesteld")&gt;1),1,0))</f>
        <v>0</v>
      </c>
    </row>
    <row r="3489">
      <c r="S3489" s="15" t="str">
        <f>IF(J3489="","",J3489&amp;"|"&amp;E3489&amp;"|"&amp;F3489&amp;"|"&amp;I3489&amp;"|"&amp;O3489)</f>
        <v/>
      </c>
      <c r="T3489" s="15" t="str">
        <f>IF(OR(S3489="",D3489&lt;&gt;"Vastgesteld"),"",_xlfn.MAXIFS($G$6:$G$5005,$S$6:$S$5005,S3489,$D$6:$D$5005,"Vastgesteld"))</f>
        <v/>
      </c>
      <c r="U3489" s="15">
        <f>IF(T3489="",0,IF(AND(G3489=T3489,COUNTIFS($S$6:S3489,S3489,$G$6:G3489,G3489,$D$6:D3489,"Vastgesteld")=1),1,0))</f>
        <v>0</v>
      </c>
      <c r="V3489" s="15">
        <f>IF(T3489="",0,IF(AND(G3489=T3489,COUNTIFS($S$6:S3489,S3489,$G$6:G3489,G3489,$D$6:D3489,"Vastgesteld")&gt;1),1,0))</f>
        <v>0</v>
      </c>
    </row>
    <row r="3490">
      <c r="S3490" s="15" t="str">
        <f>IF(J3490="","",J3490&amp;"|"&amp;E3490&amp;"|"&amp;F3490&amp;"|"&amp;I3490&amp;"|"&amp;O3490)</f>
        <v/>
      </c>
      <c r="T3490" s="15" t="str">
        <f>IF(OR(S3490="",D3490&lt;&gt;"Vastgesteld"),"",_xlfn.MAXIFS($G$6:$G$5005,$S$6:$S$5005,S3490,$D$6:$D$5005,"Vastgesteld"))</f>
        <v/>
      </c>
      <c r="U3490" s="15">
        <f>IF(T3490="",0,IF(AND(G3490=T3490,COUNTIFS($S$6:S3490,S3490,$G$6:G3490,G3490,$D$6:D3490,"Vastgesteld")=1),1,0))</f>
        <v>0</v>
      </c>
      <c r="V3490" s="15">
        <f>IF(T3490="",0,IF(AND(G3490=T3490,COUNTIFS($S$6:S3490,S3490,$G$6:G3490,G3490,$D$6:D3490,"Vastgesteld")&gt;1),1,0))</f>
        <v>0</v>
      </c>
    </row>
    <row r="3491">
      <c r="S3491" s="15" t="str">
        <f>IF(J3491="","",J3491&amp;"|"&amp;E3491&amp;"|"&amp;F3491&amp;"|"&amp;I3491&amp;"|"&amp;O3491)</f>
        <v/>
      </c>
      <c r="T3491" s="15" t="str">
        <f>IF(OR(S3491="",D3491&lt;&gt;"Vastgesteld"),"",_xlfn.MAXIFS($G$6:$G$5005,$S$6:$S$5005,S3491,$D$6:$D$5005,"Vastgesteld"))</f>
        <v/>
      </c>
      <c r="U3491" s="15">
        <f>IF(T3491="",0,IF(AND(G3491=T3491,COUNTIFS($S$6:S3491,S3491,$G$6:G3491,G3491,$D$6:D3491,"Vastgesteld")=1),1,0))</f>
        <v>0</v>
      </c>
      <c r="V3491" s="15">
        <f>IF(T3491="",0,IF(AND(G3491=T3491,COUNTIFS($S$6:S3491,S3491,$G$6:G3491,G3491,$D$6:D3491,"Vastgesteld")&gt;1),1,0))</f>
        <v>0</v>
      </c>
    </row>
    <row r="3492">
      <c r="S3492" s="15" t="str">
        <f>IF(J3492="","",J3492&amp;"|"&amp;E3492&amp;"|"&amp;F3492&amp;"|"&amp;I3492&amp;"|"&amp;O3492)</f>
        <v/>
      </c>
      <c r="T3492" s="15" t="str">
        <f>IF(OR(S3492="",D3492&lt;&gt;"Vastgesteld"),"",_xlfn.MAXIFS($G$6:$G$5005,$S$6:$S$5005,S3492,$D$6:$D$5005,"Vastgesteld"))</f>
        <v/>
      </c>
      <c r="U3492" s="15">
        <f>IF(T3492="",0,IF(AND(G3492=T3492,COUNTIFS($S$6:S3492,S3492,$G$6:G3492,G3492,$D$6:D3492,"Vastgesteld")=1),1,0))</f>
        <v>0</v>
      </c>
      <c r="V3492" s="15">
        <f>IF(T3492="",0,IF(AND(G3492=T3492,COUNTIFS($S$6:S3492,S3492,$G$6:G3492,G3492,$D$6:D3492,"Vastgesteld")&gt;1),1,0))</f>
        <v>0</v>
      </c>
    </row>
    <row r="3493">
      <c r="S3493" s="15" t="str">
        <f>IF(J3493="","",J3493&amp;"|"&amp;E3493&amp;"|"&amp;F3493&amp;"|"&amp;I3493&amp;"|"&amp;O3493)</f>
        <v/>
      </c>
      <c r="T3493" s="15" t="str">
        <f>IF(OR(S3493="",D3493&lt;&gt;"Vastgesteld"),"",_xlfn.MAXIFS($G$6:$G$5005,$S$6:$S$5005,S3493,$D$6:$D$5005,"Vastgesteld"))</f>
        <v/>
      </c>
      <c r="U3493" s="15">
        <f>IF(T3493="",0,IF(AND(G3493=T3493,COUNTIFS($S$6:S3493,S3493,$G$6:G3493,G3493,$D$6:D3493,"Vastgesteld")=1),1,0))</f>
        <v>0</v>
      </c>
      <c r="V3493" s="15">
        <f>IF(T3493="",0,IF(AND(G3493=T3493,COUNTIFS($S$6:S3493,S3493,$G$6:G3493,G3493,$D$6:D3493,"Vastgesteld")&gt;1),1,0))</f>
        <v>0</v>
      </c>
    </row>
    <row r="3494">
      <c r="S3494" s="15" t="str">
        <f>IF(J3494="","",J3494&amp;"|"&amp;E3494&amp;"|"&amp;F3494&amp;"|"&amp;I3494&amp;"|"&amp;O3494)</f>
        <v/>
      </c>
      <c r="T3494" s="15" t="str">
        <f>IF(OR(S3494="",D3494&lt;&gt;"Vastgesteld"),"",_xlfn.MAXIFS($G$6:$G$5005,$S$6:$S$5005,S3494,$D$6:$D$5005,"Vastgesteld"))</f>
        <v/>
      </c>
      <c r="U3494" s="15">
        <f>IF(T3494="",0,IF(AND(G3494=T3494,COUNTIFS($S$6:S3494,S3494,$G$6:G3494,G3494,$D$6:D3494,"Vastgesteld")=1),1,0))</f>
        <v>0</v>
      </c>
      <c r="V3494" s="15">
        <f>IF(T3494="",0,IF(AND(G3494=T3494,COUNTIFS($S$6:S3494,S3494,$G$6:G3494,G3494,$D$6:D3494,"Vastgesteld")&gt;1),1,0))</f>
        <v>0</v>
      </c>
    </row>
    <row r="3495">
      <c r="S3495" s="15" t="str">
        <f>IF(J3495="","",J3495&amp;"|"&amp;E3495&amp;"|"&amp;F3495&amp;"|"&amp;I3495&amp;"|"&amp;O3495)</f>
        <v/>
      </c>
      <c r="T3495" s="15" t="str">
        <f>IF(OR(S3495="",D3495&lt;&gt;"Vastgesteld"),"",_xlfn.MAXIFS($G$6:$G$5005,$S$6:$S$5005,S3495,$D$6:$D$5005,"Vastgesteld"))</f>
        <v/>
      </c>
      <c r="U3495" s="15">
        <f>IF(T3495="",0,IF(AND(G3495=T3495,COUNTIFS($S$6:S3495,S3495,$G$6:G3495,G3495,$D$6:D3495,"Vastgesteld")=1),1,0))</f>
        <v>0</v>
      </c>
      <c r="V3495" s="15">
        <f>IF(T3495="",0,IF(AND(G3495=T3495,COUNTIFS($S$6:S3495,S3495,$G$6:G3495,G3495,$D$6:D3495,"Vastgesteld")&gt;1),1,0))</f>
        <v>0</v>
      </c>
    </row>
    <row r="3496">
      <c r="S3496" s="15" t="str">
        <f>IF(J3496="","",J3496&amp;"|"&amp;E3496&amp;"|"&amp;F3496&amp;"|"&amp;I3496&amp;"|"&amp;O3496)</f>
        <v/>
      </c>
      <c r="T3496" s="15" t="str">
        <f>IF(OR(S3496="",D3496&lt;&gt;"Vastgesteld"),"",_xlfn.MAXIFS($G$6:$G$5005,$S$6:$S$5005,S3496,$D$6:$D$5005,"Vastgesteld"))</f>
        <v/>
      </c>
      <c r="U3496" s="15">
        <f>IF(T3496="",0,IF(AND(G3496=T3496,COUNTIFS($S$6:S3496,S3496,$G$6:G3496,G3496,$D$6:D3496,"Vastgesteld")=1),1,0))</f>
        <v>0</v>
      </c>
      <c r="V3496" s="15">
        <f>IF(T3496="",0,IF(AND(G3496=T3496,COUNTIFS($S$6:S3496,S3496,$G$6:G3496,G3496,$D$6:D3496,"Vastgesteld")&gt;1),1,0))</f>
        <v>0</v>
      </c>
    </row>
    <row r="3497">
      <c r="S3497" s="15" t="str">
        <f>IF(J3497="","",J3497&amp;"|"&amp;E3497&amp;"|"&amp;F3497&amp;"|"&amp;I3497&amp;"|"&amp;O3497)</f>
        <v/>
      </c>
      <c r="T3497" s="15" t="str">
        <f>IF(OR(S3497="",D3497&lt;&gt;"Vastgesteld"),"",_xlfn.MAXIFS($G$6:$G$5005,$S$6:$S$5005,S3497,$D$6:$D$5005,"Vastgesteld"))</f>
        <v/>
      </c>
      <c r="U3497" s="15">
        <f>IF(T3497="",0,IF(AND(G3497=T3497,COUNTIFS($S$6:S3497,S3497,$G$6:G3497,G3497,$D$6:D3497,"Vastgesteld")=1),1,0))</f>
        <v>0</v>
      </c>
      <c r="V3497" s="15">
        <f>IF(T3497="",0,IF(AND(G3497=T3497,COUNTIFS($S$6:S3497,S3497,$G$6:G3497,G3497,$D$6:D3497,"Vastgesteld")&gt;1),1,0))</f>
        <v>0</v>
      </c>
    </row>
    <row r="3498">
      <c r="S3498" s="15" t="str">
        <f>IF(J3498="","",J3498&amp;"|"&amp;E3498&amp;"|"&amp;F3498&amp;"|"&amp;I3498&amp;"|"&amp;O3498)</f>
        <v/>
      </c>
      <c r="T3498" s="15" t="str">
        <f>IF(OR(S3498="",D3498&lt;&gt;"Vastgesteld"),"",_xlfn.MAXIFS($G$6:$G$5005,$S$6:$S$5005,S3498,$D$6:$D$5005,"Vastgesteld"))</f>
        <v/>
      </c>
      <c r="U3498" s="15">
        <f>IF(T3498="",0,IF(AND(G3498=T3498,COUNTIFS($S$6:S3498,S3498,$G$6:G3498,G3498,$D$6:D3498,"Vastgesteld")=1),1,0))</f>
        <v>0</v>
      </c>
      <c r="V3498" s="15">
        <f>IF(T3498="",0,IF(AND(G3498=T3498,COUNTIFS($S$6:S3498,S3498,$G$6:G3498,G3498,$D$6:D3498,"Vastgesteld")&gt;1),1,0))</f>
        <v>0</v>
      </c>
    </row>
    <row r="3499">
      <c r="S3499" s="15" t="str">
        <f>IF(J3499="","",J3499&amp;"|"&amp;E3499&amp;"|"&amp;F3499&amp;"|"&amp;I3499&amp;"|"&amp;O3499)</f>
        <v/>
      </c>
      <c r="T3499" s="15" t="str">
        <f>IF(OR(S3499="",D3499&lt;&gt;"Vastgesteld"),"",_xlfn.MAXIFS($G$6:$G$5005,$S$6:$S$5005,S3499,$D$6:$D$5005,"Vastgesteld"))</f>
        <v/>
      </c>
      <c r="U3499" s="15">
        <f>IF(T3499="",0,IF(AND(G3499=T3499,COUNTIFS($S$6:S3499,S3499,$G$6:G3499,G3499,$D$6:D3499,"Vastgesteld")=1),1,0))</f>
        <v>0</v>
      </c>
      <c r="V3499" s="15">
        <f>IF(T3499="",0,IF(AND(G3499=T3499,COUNTIFS($S$6:S3499,S3499,$G$6:G3499,G3499,$D$6:D3499,"Vastgesteld")&gt;1),1,0))</f>
        <v>0</v>
      </c>
    </row>
    <row r="3500">
      <c r="S3500" s="15" t="str">
        <f>IF(J3500="","",J3500&amp;"|"&amp;E3500&amp;"|"&amp;F3500&amp;"|"&amp;I3500&amp;"|"&amp;O3500)</f>
        <v/>
      </c>
      <c r="T3500" s="15" t="str">
        <f>IF(OR(S3500="",D3500&lt;&gt;"Vastgesteld"),"",_xlfn.MAXIFS($G$6:$G$5005,$S$6:$S$5005,S3500,$D$6:$D$5005,"Vastgesteld"))</f>
        <v/>
      </c>
      <c r="U3500" s="15">
        <f>IF(T3500="",0,IF(AND(G3500=T3500,COUNTIFS($S$6:S3500,S3500,$G$6:G3500,G3500,$D$6:D3500,"Vastgesteld")=1),1,0))</f>
        <v>0</v>
      </c>
      <c r="V3500" s="15">
        <f>IF(T3500="",0,IF(AND(G3500=T3500,COUNTIFS($S$6:S3500,S3500,$G$6:G3500,G3500,$D$6:D3500,"Vastgesteld")&gt;1),1,0))</f>
        <v>0</v>
      </c>
    </row>
    <row r="3501">
      <c r="S3501" s="15" t="str">
        <f>IF(J3501="","",J3501&amp;"|"&amp;E3501&amp;"|"&amp;F3501&amp;"|"&amp;I3501&amp;"|"&amp;O3501)</f>
        <v/>
      </c>
      <c r="T3501" s="15" t="str">
        <f>IF(OR(S3501="",D3501&lt;&gt;"Vastgesteld"),"",_xlfn.MAXIFS($G$6:$G$5005,$S$6:$S$5005,S3501,$D$6:$D$5005,"Vastgesteld"))</f>
        <v/>
      </c>
      <c r="U3501" s="15">
        <f>IF(T3501="",0,IF(AND(G3501=T3501,COUNTIFS($S$6:S3501,S3501,$G$6:G3501,G3501,$D$6:D3501,"Vastgesteld")=1),1,0))</f>
        <v>0</v>
      </c>
      <c r="V3501" s="15">
        <f>IF(T3501="",0,IF(AND(G3501=T3501,COUNTIFS($S$6:S3501,S3501,$G$6:G3501,G3501,$D$6:D3501,"Vastgesteld")&gt;1),1,0))</f>
        <v>0</v>
      </c>
    </row>
    <row r="3502">
      <c r="S3502" s="15" t="str">
        <f>IF(J3502="","",J3502&amp;"|"&amp;E3502&amp;"|"&amp;F3502&amp;"|"&amp;I3502&amp;"|"&amp;O3502)</f>
        <v/>
      </c>
      <c r="T3502" s="15" t="str">
        <f>IF(OR(S3502="",D3502&lt;&gt;"Vastgesteld"),"",_xlfn.MAXIFS($G$6:$G$5005,$S$6:$S$5005,S3502,$D$6:$D$5005,"Vastgesteld"))</f>
        <v/>
      </c>
      <c r="U3502" s="15">
        <f>IF(T3502="",0,IF(AND(G3502=T3502,COUNTIFS($S$6:S3502,S3502,$G$6:G3502,G3502,$D$6:D3502,"Vastgesteld")=1),1,0))</f>
        <v>0</v>
      </c>
      <c r="V3502" s="15">
        <f>IF(T3502="",0,IF(AND(G3502=T3502,COUNTIFS($S$6:S3502,S3502,$G$6:G3502,G3502,$D$6:D3502,"Vastgesteld")&gt;1),1,0))</f>
        <v>0</v>
      </c>
    </row>
    <row r="3503">
      <c r="S3503" s="15" t="str">
        <f>IF(J3503="","",J3503&amp;"|"&amp;E3503&amp;"|"&amp;F3503&amp;"|"&amp;I3503&amp;"|"&amp;O3503)</f>
        <v/>
      </c>
      <c r="T3503" s="15" t="str">
        <f>IF(OR(S3503="",D3503&lt;&gt;"Vastgesteld"),"",_xlfn.MAXIFS($G$6:$G$5005,$S$6:$S$5005,S3503,$D$6:$D$5005,"Vastgesteld"))</f>
        <v/>
      </c>
      <c r="U3503" s="15">
        <f>IF(T3503="",0,IF(AND(G3503=T3503,COUNTIFS($S$6:S3503,S3503,$G$6:G3503,G3503,$D$6:D3503,"Vastgesteld")=1),1,0))</f>
        <v>0</v>
      </c>
      <c r="V3503" s="15">
        <f>IF(T3503="",0,IF(AND(G3503=T3503,COUNTIFS($S$6:S3503,S3503,$G$6:G3503,G3503,$D$6:D3503,"Vastgesteld")&gt;1),1,0))</f>
        <v>0</v>
      </c>
    </row>
    <row r="3504">
      <c r="S3504" s="15" t="str">
        <f>IF(J3504="","",J3504&amp;"|"&amp;E3504&amp;"|"&amp;F3504&amp;"|"&amp;I3504&amp;"|"&amp;O3504)</f>
        <v/>
      </c>
      <c r="T3504" s="15" t="str">
        <f>IF(OR(S3504="",D3504&lt;&gt;"Vastgesteld"),"",_xlfn.MAXIFS($G$6:$G$5005,$S$6:$S$5005,S3504,$D$6:$D$5005,"Vastgesteld"))</f>
        <v/>
      </c>
      <c r="U3504" s="15">
        <f>IF(T3504="",0,IF(AND(G3504=T3504,COUNTIFS($S$6:S3504,S3504,$G$6:G3504,G3504,$D$6:D3504,"Vastgesteld")=1),1,0))</f>
        <v>0</v>
      </c>
      <c r="V3504" s="15">
        <f>IF(T3504="",0,IF(AND(G3504=T3504,COUNTIFS($S$6:S3504,S3504,$G$6:G3504,G3504,$D$6:D3504,"Vastgesteld")&gt;1),1,0))</f>
        <v>0</v>
      </c>
    </row>
    <row r="3505">
      <c r="S3505" s="15" t="str">
        <f>IF(J3505="","",J3505&amp;"|"&amp;E3505&amp;"|"&amp;F3505&amp;"|"&amp;I3505&amp;"|"&amp;O3505)</f>
        <v/>
      </c>
      <c r="T3505" s="15" t="str">
        <f>IF(OR(S3505="",D3505&lt;&gt;"Vastgesteld"),"",_xlfn.MAXIFS($G$6:$G$5005,$S$6:$S$5005,S3505,$D$6:$D$5005,"Vastgesteld"))</f>
        <v/>
      </c>
      <c r="U3505" s="15">
        <f>IF(T3505="",0,IF(AND(G3505=T3505,COUNTIFS($S$6:S3505,S3505,$G$6:G3505,G3505,$D$6:D3505,"Vastgesteld")=1),1,0))</f>
        <v>0</v>
      </c>
      <c r="V3505" s="15">
        <f>IF(T3505="",0,IF(AND(G3505=T3505,COUNTIFS($S$6:S3505,S3505,$G$6:G3505,G3505,$D$6:D3505,"Vastgesteld")&gt;1),1,0))</f>
        <v>0</v>
      </c>
    </row>
    <row r="3506">
      <c r="S3506" s="15" t="str">
        <f>IF(J3506="","",J3506&amp;"|"&amp;E3506&amp;"|"&amp;F3506&amp;"|"&amp;I3506&amp;"|"&amp;O3506)</f>
        <v/>
      </c>
      <c r="T3506" s="15" t="str">
        <f>IF(OR(S3506="",D3506&lt;&gt;"Vastgesteld"),"",_xlfn.MAXIFS($G$6:$G$5005,$S$6:$S$5005,S3506,$D$6:$D$5005,"Vastgesteld"))</f>
        <v/>
      </c>
      <c r="U3506" s="15">
        <f>IF(T3506="",0,IF(AND(G3506=T3506,COUNTIFS($S$6:S3506,S3506,$G$6:G3506,G3506,$D$6:D3506,"Vastgesteld")=1),1,0))</f>
        <v>0</v>
      </c>
      <c r="V3506" s="15">
        <f>IF(T3506="",0,IF(AND(G3506=T3506,COUNTIFS($S$6:S3506,S3506,$G$6:G3506,G3506,$D$6:D3506,"Vastgesteld")&gt;1),1,0))</f>
        <v>0</v>
      </c>
    </row>
    <row r="3507">
      <c r="S3507" s="15" t="str">
        <f>IF(J3507="","",J3507&amp;"|"&amp;E3507&amp;"|"&amp;F3507&amp;"|"&amp;I3507&amp;"|"&amp;O3507)</f>
        <v/>
      </c>
      <c r="T3507" s="15" t="str">
        <f>IF(OR(S3507="",D3507&lt;&gt;"Vastgesteld"),"",_xlfn.MAXIFS($G$6:$G$5005,$S$6:$S$5005,S3507,$D$6:$D$5005,"Vastgesteld"))</f>
        <v/>
      </c>
      <c r="U3507" s="15">
        <f>IF(T3507="",0,IF(AND(G3507=T3507,COUNTIFS($S$6:S3507,S3507,$G$6:G3507,G3507,$D$6:D3507,"Vastgesteld")=1),1,0))</f>
        <v>0</v>
      </c>
      <c r="V3507" s="15">
        <f>IF(T3507="",0,IF(AND(G3507=T3507,COUNTIFS($S$6:S3507,S3507,$G$6:G3507,G3507,$D$6:D3507,"Vastgesteld")&gt;1),1,0))</f>
        <v>0</v>
      </c>
    </row>
    <row r="3508">
      <c r="S3508" s="15" t="str">
        <f>IF(J3508="","",J3508&amp;"|"&amp;E3508&amp;"|"&amp;F3508&amp;"|"&amp;I3508&amp;"|"&amp;O3508)</f>
        <v/>
      </c>
      <c r="T3508" s="15" t="str">
        <f>IF(OR(S3508="",D3508&lt;&gt;"Vastgesteld"),"",_xlfn.MAXIFS($G$6:$G$5005,$S$6:$S$5005,S3508,$D$6:$D$5005,"Vastgesteld"))</f>
        <v/>
      </c>
      <c r="U3508" s="15">
        <f>IF(T3508="",0,IF(AND(G3508=T3508,COUNTIFS($S$6:S3508,S3508,$G$6:G3508,G3508,$D$6:D3508,"Vastgesteld")=1),1,0))</f>
        <v>0</v>
      </c>
      <c r="V3508" s="15">
        <f>IF(T3508="",0,IF(AND(G3508=T3508,COUNTIFS($S$6:S3508,S3508,$G$6:G3508,G3508,$D$6:D3508,"Vastgesteld")&gt;1),1,0))</f>
        <v>0</v>
      </c>
    </row>
    <row r="3509">
      <c r="S3509" s="15" t="str">
        <f>IF(J3509="","",J3509&amp;"|"&amp;E3509&amp;"|"&amp;F3509&amp;"|"&amp;I3509&amp;"|"&amp;O3509)</f>
        <v/>
      </c>
      <c r="T3509" s="15" t="str">
        <f>IF(OR(S3509="",D3509&lt;&gt;"Vastgesteld"),"",_xlfn.MAXIFS($G$6:$G$5005,$S$6:$S$5005,S3509,$D$6:$D$5005,"Vastgesteld"))</f>
        <v/>
      </c>
      <c r="U3509" s="15">
        <f>IF(T3509="",0,IF(AND(G3509=T3509,COUNTIFS($S$6:S3509,S3509,$G$6:G3509,G3509,$D$6:D3509,"Vastgesteld")=1),1,0))</f>
        <v>0</v>
      </c>
      <c r="V3509" s="15">
        <f>IF(T3509="",0,IF(AND(G3509=T3509,COUNTIFS($S$6:S3509,S3509,$G$6:G3509,G3509,$D$6:D3509,"Vastgesteld")&gt;1),1,0))</f>
        <v>0</v>
      </c>
    </row>
    <row r="3510">
      <c r="S3510" s="15" t="str">
        <f>IF(J3510="","",J3510&amp;"|"&amp;E3510&amp;"|"&amp;F3510&amp;"|"&amp;I3510&amp;"|"&amp;O3510)</f>
        <v/>
      </c>
      <c r="T3510" s="15" t="str">
        <f>IF(OR(S3510="",D3510&lt;&gt;"Vastgesteld"),"",_xlfn.MAXIFS($G$6:$G$5005,$S$6:$S$5005,S3510,$D$6:$D$5005,"Vastgesteld"))</f>
        <v/>
      </c>
      <c r="U3510" s="15">
        <f>IF(T3510="",0,IF(AND(G3510=T3510,COUNTIFS($S$6:S3510,S3510,$G$6:G3510,G3510,$D$6:D3510,"Vastgesteld")=1),1,0))</f>
        <v>0</v>
      </c>
      <c r="V3510" s="15">
        <f>IF(T3510="",0,IF(AND(G3510=T3510,COUNTIFS($S$6:S3510,S3510,$G$6:G3510,G3510,$D$6:D3510,"Vastgesteld")&gt;1),1,0))</f>
        <v>0</v>
      </c>
    </row>
    <row r="3511">
      <c r="S3511" s="15" t="str">
        <f>IF(J3511="","",J3511&amp;"|"&amp;E3511&amp;"|"&amp;F3511&amp;"|"&amp;I3511&amp;"|"&amp;O3511)</f>
        <v/>
      </c>
      <c r="T3511" s="15" t="str">
        <f>IF(OR(S3511="",D3511&lt;&gt;"Vastgesteld"),"",_xlfn.MAXIFS($G$6:$G$5005,$S$6:$S$5005,S3511,$D$6:$D$5005,"Vastgesteld"))</f>
        <v/>
      </c>
      <c r="U3511" s="15">
        <f>IF(T3511="",0,IF(AND(G3511=T3511,COUNTIFS($S$6:S3511,S3511,$G$6:G3511,G3511,$D$6:D3511,"Vastgesteld")=1),1,0))</f>
        <v>0</v>
      </c>
      <c r="V3511" s="15">
        <f>IF(T3511="",0,IF(AND(G3511=T3511,COUNTIFS($S$6:S3511,S3511,$G$6:G3511,G3511,$D$6:D3511,"Vastgesteld")&gt;1),1,0))</f>
        <v>0</v>
      </c>
    </row>
    <row r="3512">
      <c r="S3512" s="15" t="str">
        <f>IF(J3512="","",J3512&amp;"|"&amp;E3512&amp;"|"&amp;F3512&amp;"|"&amp;I3512&amp;"|"&amp;O3512)</f>
        <v/>
      </c>
      <c r="T3512" s="15" t="str">
        <f>IF(OR(S3512="",D3512&lt;&gt;"Vastgesteld"),"",_xlfn.MAXIFS($G$6:$G$5005,$S$6:$S$5005,S3512,$D$6:$D$5005,"Vastgesteld"))</f>
        <v/>
      </c>
      <c r="U3512" s="15">
        <f>IF(T3512="",0,IF(AND(G3512=T3512,COUNTIFS($S$6:S3512,S3512,$G$6:G3512,G3512,$D$6:D3512,"Vastgesteld")=1),1,0))</f>
        <v>0</v>
      </c>
      <c r="V3512" s="15">
        <f>IF(T3512="",0,IF(AND(G3512=T3512,COUNTIFS($S$6:S3512,S3512,$G$6:G3512,G3512,$D$6:D3512,"Vastgesteld")&gt;1),1,0))</f>
        <v>0</v>
      </c>
    </row>
    <row r="3513">
      <c r="S3513" s="15" t="str">
        <f>IF(J3513="","",J3513&amp;"|"&amp;E3513&amp;"|"&amp;F3513&amp;"|"&amp;I3513&amp;"|"&amp;O3513)</f>
        <v/>
      </c>
      <c r="T3513" s="15" t="str">
        <f>IF(OR(S3513="",D3513&lt;&gt;"Vastgesteld"),"",_xlfn.MAXIFS($G$6:$G$5005,$S$6:$S$5005,S3513,$D$6:$D$5005,"Vastgesteld"))</f>
        <v/>
      </c>
      <c r="U3513" s="15">
        <f>IF(T3513="",0,IF(AND(G3513=T3513,COUNTIFS($S$6:S3513,S3513,$G$6:G3513,G3513,$D$6:D3513,"Vastgesteld")=1),1,0))</f>
        <v>0</v>
      </c>
      <c r="V3513" s="15">
        <f>IF(T3513="",0,IF(AND(G3513=T3513,COUNTIFS($S$6:S3513,S3513,$G$6:G3513,G3513,$D$6:D3513,"Vastgesteld")&gt;1),1,0))</f>
        <v>0</v>
      </c>
    </row>
    <row r="3514">
      <c r="S3514" s="15" t="str">
        <f>IF(J3514="","",J3514&amp;"|"&amp;E3514&amp;"|"&amp;F3514&amp;"|"&amp;I3514&amp;"|"&amp;O3514)</f>
        <v/>
      </c>
      <c r="T3514" s="15" t="str">
        <f>IF(OR(S3514="",D3514&lt;&gt;"Vastgesteld"),"",_xlfn.MAXIFS($G$6:$G$5005,$S$6:$S$5005,S3514,$D$6:$D$5005,"Vastgesteld"))</f>
        <v/>
      </c>
      <c r="U3514" s="15">
        <f>IF(T3514="",0,IF(AND(G3514=T3514,COUNTIFS($S$6:S3514,S3514,$G$6:G3514,G3514,$D$6:D3514,"Vastgesteld")=1),1,0))</f>
        <v>0</v>
      </c>
      <c r="V3514" s="15">
        <f>IF(T3514="",0,IF(AND(G3514=T3514,COUNTIFS($S$6:S3514,S3514,$G$6:G3514,G3514,$D$6:D3514,"Vastgesteld")&gt;1),1,0))</f>
        <v>0</v>
      </c>
    </row>
    <row r="3515">
      <c r="S3515" s="15" t="str">
        <f>IF(J3515="","",J3515&amp;"|"&amp;E3515&amp;"|"&amp;F3515&amp;"|"&amp;I3515&amp;"|"&amp;O3515)</f>
        <v/>
      </c>
      <c r="T3515" s="15" t="str">
        <f>IF(OR(S3515="",D3515&lt;&gt;"Vastgesteld"),"",_xlfn.MAXIFS($G$6:$G$5005,$S$6:$S$5005,S3515,$D$6:$D$5005,"Vastgesteld"))</f>
        <v/>
      </c>
      <c r="U3515" s="15">
        <f>IF(T3515="",0,IF(AND(G3515=T3515,COUNTIFS($S$6:S3515,S3515,$G$6:G3515,G3515,$D$6:D3515,"Vastgesteld")=1),1,0))</f>
        <v>0</v>
      </c>
      <c r="V3515" s="15">
        <f>IF(T3515="",0,IF(AND(G3515=T3515,COUNTIFS($S$6:S3515,S3515,$G$6:G3515,G3515,$D$6:D3515,"Vastgesteld")&gt;1),1,0))</f>
        <v>0</v>
      </c>
    </row>
    <row r="3516">
      <c r="S3516" s="15" t="str">
        <f>IF(J3516="","",J3516&amp;"|"&amp;E3516&amp;"|"&amp;F3516&amp;"|"&amp;I3516&amp;"|"&amp;O3516)</f>
        <v/>
      </c>
      <c r="T3516" s="15" t="str">
        <f>IF(OR(S3516="",D3516&lt;&gt;"Vastgesteld"),"",_xlfn.MAXIFS($G$6:$G$5005,$S$6:$S$5005,S3516,$D$6:$D$5005,"Vastgesteld"))</f>
        <v/>
      </c>
      <c r="U3516" s="15">
        <f>IF(T3516="",0,IF(AND(G3516=T3516,COUNTIFS($S$6:S3516,S3516,$G$6:G3516,G3516,$D$6:D3516,"Vastgesteld")=1),1,0))</f>
        <v>0</v>
      </c>
      <c r="V3516" s="15">
        <f>IF(T3516="",0,IF(AND(G3516=T3516,COUNTIFS($S$6:S3516,S3516,$G$6:G3516,G3516,$D$6:D3516,"Vastgesteld")&gt;1),1,0))</f>
        <v>0</v>
      </c>
    </row>
    <row r="3517">
      <c r="S3517" s="15" t="str">
        <f>IF(J3517="","",J3517&amp;"|"&amp;E3517&amp;"|"&amp;F3517&amp;"|"&amp;I3517&amp;"|"&amp;O3517)</f>
        <v/>
      </c>
      <c r="T3517" s="15" t="str">
        <f>IF(OR(S3517="",D3517&lt;&gt;"Vastgesteld"),"",_xlfn.MAXIFS($G$6:$G$5005,$S$6:$S$5005,S3517,$D$6:$D$5005,"Vastgesteld"))</f>
        <v/>
      </c>
      <c r="U3517" s="15">
        <f>IF(T3517="",0,IF(AND(G3517=T3517,COUNTIFS($S$6:S3517,S3517,$G$6:G3517,G3517,$D$6:D3517,"Vastgesteld")=1),1,0))</f>
        <v>0</v>
      </c>
      <c r="V3517" s="15">
        <f>IF(T3517="",0,IF(AND(G3517=T3517,COUNTIFS($S$6:S3517,S3517,$G$6:G3517,G3517,$D$6:D3517,"Vastgesteld")&gt;1),1,0))</f>
        <v>0</v>
      </c>
    </row>
    <row r="3518">
      <c r="S3518" s="15" t="str">
        <f>IF(J3518="","",J3518&amp;"|"&amp;E3518&amp;"|"&amp;F3518&amp;"|"&amp;I3518&amp;"|"&amp;O3518)</f>
        <v/>
      </c>
      <c r="T3518" s="15" t="str">
        <f>IF(OR(S3518="",D3518&lt;&gt;"Vastgesteld"),"",_xlfn.MAXIFS($G$6:$G$5005,$S$6:$S$5005,S3518,$D$6:$D$5005,"Vastgesteld"))</f>
        <v/>
      </c>
      <c r="U3518" s="15">
        <f>IF(T3518="",0,IF(AND(G3518=T3518,COUNTIFS($S$6:S3518,S3518,$G$6:G3518,G3518,$D$6:D3518,"Vastgesteld")=1),1,0))</f>
        <v>0</v>
      </c>
      <c r="V3518" s="15">
        <f>IF(T3518="",0,IF(AND(G3518=T3518,COUNTIFS($S$6:S3518,S3518,$G$6:G3518,G3518,$D$6:D3518,"Vastgesteld")&gt;1),1,0))</f>
        <v>0</v>
      </c>
    </row>
    <row r="3519">
      <c r="S3519" s="15" t="str">
        <f>IF(J3519="","",J3519&amp;"|"&amp;E3519&amp;"|"&amp;F3519&amp;"|"&amp;I3519&amp;"|"&amp;O3519)</f>
        <v/>
      </c>
      <c r="T3519" s="15" t="str">
        <f>IF(OR(S3519="",D3519&lt;&gt;"Vastgesteld"),"",_xlfn.MAXIFS($G$6:$G$5005,$S$6:$S$5005,S3519,$D$6:$D$5005,"Vastgesteld"))</f>
        <v/>
      </c>
      <c r="U3519" s="15">
        <f>IF(T3519="",0,IF(AND(G3519=T3519,COUNTIFS($S$6:S3519,S3519,$G$6:G3519,G3519,$D$6:D3519,"Vastgesteld")=1),1,0))</f>
        <v>0</v>
      </c>
      <c r="V3519" s="15">
        <f>IF(T3519="",0,IF(AND(G3519=T3519,COUNTIFS($S$6:S3519,S3519,$G$6:G3519,G3519,$D$6:D3519,"Vastgesteld")&gt;1),1,0))</f>
        <v>0</v>
      </c>
    </row>
    <row r="3520">
      <c r="S3520" s="15" t="str">
        <f>IF(J3520="","",J3520&amp;"|"&amp;E3520&amp;"|"&amp;F3520&amp;"|"&amp;I3520&amp;"|"&amp;O3520)</f>
        <v/>
      </c>
      <c r="T3520" s="15" t="str">
        <f>IF(OR(S3520="",D3520&lt;&gt;"Vastgesteld"),"",_xlfn.MAXIFS($G$6:$G$5005,$S$6:$S$5005,S3520,$D$6:$D$5005,"Vastgesteld"))</f>
        <v/>
      </c>
      <c r="U3520" s="15">
        <f>IF(T3520="",0,IF(AND(G3520=T3520,COUNTIFS($S$6:S3520,S3520,$G$6:G3520,G3520,$D$6:D3520,"Vastgesteld")=1),1,0))</f>
        <v>0</v>
      </c>
      <c r="V3520" s="15">
        <f>IF(T3520="",0,IF(AND(G3520=T3520,COUNTIFS($S$6:S3520,S3520,$G$6:G3520,G3520,$D$6:D3520,"Vastgesteld")&gt;1),1,0))</f>
        <v>0</v>
      </c>
    </row>
    <row r="3521">
      <c r="S3521" s="15" t="str">
        <f>IF(J3521="","",J3521&amp;"|"&amp;E3521&amp;"|"&amp;F3521&amp;"|"&amp;I3521&amp;"|"&amp;O3521)</f>
        <v/>
      </c>
      <c r="T3521" s="15" t="str">
        <f>IF(OR(S3521="",D3521&lt;&gt;"Vastgesteld"),"",_xlfn.MAXIFS($G$6:$G$5005,$S$6:$S$5005,S3521,$D$6:$D$5005,"Vastgesteld"))</f>
        <v/>
      </c>
      <c r="U3521" s="15">
        <f>IF(T3521="",0,IF(AND(G3521=T3521,COUNTIFS($S$6:S3521,S3521,$G$6:G3521,G3521,$D$6:D3521,"Vastgesteld")=1),1,0))</f>
        <v>0</v>
      </c>
      <c r="V3521" s="15">
        <f>IF(T3521="",0,IF(AND(G3521=T3521,COUNTIFS($S$6:S3521,S3521,$G$6:G3521,G3521,$D$6:D3521,"Vastgesteld")&gt;1),1,0))</f>
        <v>0</v>
      </c>
    </row>
    <row r="3522">
      <c r="S3522" s="15" t="str">
        <f>IF(J3522="","",J3522&amp;"|"&amp;E3522&amp;"|"&amp;F3522&amp;"|"&amp;I3522&amp;"|"&amp;O3522)</f>
        <v/>
      </c>
      <c r="T3522" s="15" t="str">
        <f>IF(OR(S3522="",D3522&lt;&gt;"Vastgesteld"),"",_xlfn.MAXIFS($G$6:$G$5005,$S$6:$S$5005,S3522,$D$6:$D$5005,"Vastgesteld"))</f>
        <v/>
      </c>
      <c r="U3522" s="15">
        <f>IF(T3522="",0,IF(AND(G3522=T3522,COUNTIFS($S$6:S3522,S3522,$G$6:G3522,G3522,$D$6:D3522,"Vastgesteld")=1),1,0))</f>
        <v>0</v>
      </c>
      <c r="V3522" s="15">
        <f>IF(T3522="",0,IF(AND(G3522=T3522,COUNTIFS($S$6:S3522,S3522,$G$6:G3522,G3522,$D$6:D3522,"Vastgesteld")&gt;1),1,0))</f>
        <v>0</v>
      </c>
    </row>
    <row r="3523">
      <c r="S3523" s="15" t="str">
        <f>IF(J3523="","",J3523&amp;"|"&amp;E3523&amp;"|"&amp;F3523&amp;"|"&amp;I3523&amp;"|"&amp;O3523)</f>
        <v/>
      </c>
      <c r="T3523" s="15" t="str">
        <f>IF(OR(S3523="",D3523&lt;&gt;"Vastgesteld"),"",_xlfn.MAXIFS($G$6:$G$5005,$S$6:$S$5005,S3523,$D$6:$D$5005,"Vastgesteld"))</f>
        <v/>
      </c>
      <c r="U3523" s="15">
        <f>IF(T3523="",0,IF(AND(G3523=T3523,COUNTIFS($S$6:S3523,S3523,$G$6:G3523,G3523,$D$6:D3523,"Vastgesteld")=1),1,0))</f>
        <v>0</v>
      </c>
      <c r="V3523" s="15">
        <f>IF(T3523="",0,IF(AND(G3523=T3523,COUNTIFS($S$6:S3523,S3523,$G$6:G3523,G3523,$D$6:D3523,"Vastgesteld")&gt;1),1,0))</f>
        <v>0</v>
      </c>
    </row>
    <row r="3524">
      <c r="S3524" s="15" t="str">
        <f>IF(J3524="","",J3524&amp;"|"&amp;E3524&amp;"|"&amp;F3524&amp;"|"&amp;I3524&amp;"|"&amp;O3524)</f>
        <v/>
      </c>
      <c r="T3524" s="15" t="str">
        <f>IF(OR(S3524="",D3524&lt;&gt;"Vastgesteld"),"",_xlfn.MAXIFS($G$6:$G$5005,$S$6:$S$5005,S3524,$D$6:$D$5005,"Vastgesteld"))</f>
        <v/>
      </c>
      <c r="U3524" s="15">
        <f>IF(T3524="",0,IF(AND(G3524=T3524,COUNTIFS($S$6:S3524,S3524,$G$6:G3524,G3524,$D$6:D3524,"Vastgesteld")=1),1,0))</f>
        <v>0</v>
      </c>
      <c r="V3524" s="15">
        <f>IF(T3524="",0,IF(AND(G3524=T3524,COUNTIFS($S$6:S3524,S3524,$G$6:G3524,G3524,$D$6:D3524,"Vastgesteld")&gt;1),1,0))</f>
        <v>0</v>
      </c>
    </row>
    <row r="3525">
      <c r="S3525" s="15" t="str">
        <f>IF(J3525="","",J3525&amp;"|"&amp;E3525&amp;"|"&amp;F3525&amp;"|"&amp;I3525&amp;"|"&amp;O3525)</f>
        <v/>
      </c>
      <c r="T3525" s="15" t="str">
        <f>IF(OR(S3525="",D3525&lt;&gt;"Vastgesteld"),"",_xlfn.MAXIFS($G$6:$G$5005,$S$6:$S$5005,S3525,$D$6:$D$5005,"Vastgesteld"))</f>
        <v/>
      </c>
      <c r="U3525" s="15">
        <f>IF(T3525="",0,IF(AND(G3525=T3525,COUNTIFS($S$6:S3525,S3525,$G$6:G3525,G3525,$D$6:D3525,"Vastgesteld")=1),1,0))</f>
        <v>0</v>
      </c>
      <c r="V3525" s="15">
        <f>IF(T3525="",0,IF(AND(G3525=T3525,COUNTIFS($S$6:S3525,S3525,$G$6:G3525,G3525,$D$6:D3525,"Vastgesteld")&gt;1),1,0))</f>
        <v>0</v>
      </c>
    </row>
    <row r="3526">
      <c r="S3526" s="15" t="str">
        <f>IF(J3526="","",J3526&amp;"|"&amp;E3526&amp;"|"&amp;F3526&amp;"|"&amp;I3526&amp;"|"&amp;O3526)</f>
        <v/>
      </c>
      <c r="T3526" s="15" t="str">
        <f>IF(OR(S3526="",D3526&lt;&gt;"Vastgesteld"),"",_xlfn.MAXIFS($G$6:$G$5005,$S$6:$S$5005,S3526,$D$6:$D$5005,"Vastgesteld"))</f>
        <v/>
      </c>
      <c r="U3526" s="15">
        <f>IF(T3526="",0,IF(AND(G3526=T3526,COUNTIFS($S$6:S3526,S3526,$G$6:G3526,G3526,$D$6:D3526,"Vastgesteld")=1),1,0))</f>
        <v>0</v>
      </c>
      <c r="V3526" s="15">
        <f>IF(T3526="",0,IF(AND(G3526=T3526,COUNTIFS($S$6:S3526,S3526,$G$6:G3526,G3526,$D$6:D3526,"Vastgesteld")&gt;1),1,0))</f>
        <v>0</v>
      </c>
    </row>
    <row r="3527">
      <c r="S3527" s="15" t="str">
        <f>IF(J3527="","",J3527&amp;"|"&amp;E3527&amp;"|"&amp;F3527&amp;"|"&amp;I3527&amp;"|"&amp;O3527)</f>
        <v/>
      </c>
      <c r="T3527" s="15" t="str">
        <f>IF(OR(S3527="",D3527&lt;&gt;"Vastgesteld"),"",_xlfn.MAXIFS($G$6:$G$5005,$S$6:$S$5005,S3527,$D$6:$D$5005,"Vastgesteld"))</f>
        <v/>
      </c>
      <c r="U3527" s="15">
        <f>IF(T3527="",0,IF(AND(G3527=T3527,COUNTIFS($S$6:S3527,S3527,$G$6:G3527,G3527,$D$6:D3527,"Vastgesteld")=1),1,0))</f>
        <v>0</v>
      </c>
      <c r="V3527" s="15">
        <f>IF(T3527="",0,IF(AND(G3527=T3527,COUNTIFS($S$6:S3527,S3527,$G$6:G3527,G3527,$D$6:D3527,"Vastgesteld")&gt;1),1,0))</f>
        <v>0</v>
      </c>
    </row>
    <row r="3528">
      <c r="S3528" s="15" t="str">
        <f>IF(J3528="","",J3528&amp;"|"&amp;E3528&amp;"|"&amp;F3528&amp;"|"&amp;I3528&amp;"|"&amp;O3528)</f>
        <v/>
      </c>
      <c r="T3528" s="15" t="str">
        <f>IF(OR(S3528="",D3528&lt;&gt;"Vastgesteld"),"",_xlfn.MAXIFS($G$6:$G$5005,$S$6:$S$5005,S3528,$D$6:$D$5005,"Vastgesteld"))</f>
        <v/>
      </c>
      <c r="U3528" s="15">
        <f>IF(T3528="",0,IF(AND(G3528=T3528,COUNTIFS($S$6:S3528,S3528,$G$6:G3528,G3528,$D$6:D3528,"Vastgesteld")=1),1,0))</f>
        <v>0</v>
      </c>
      <c r="V3528" s="15">
        <f>IF(T3528="",0,IF(AND(G3528=T3528,COUNTIFS($S$6:S3528,S3528,$G$6:G3528,G3528,$D$6:D3528,"Vastgesteld")&gt;1),1,0))</f>
        <v>0</v>
      </c>
    </row>
    <row r="3529">
      <c r="S3529" s="15" t="str">
        <f>IF(J3529="","",J3529&amp;"|"&amp;E3529&amp;"|"&amp;F3529&amp;"|"&amp;I3529&amp;"|"&amp;O3529)</f>
        <v/>
      </c>
      <c r="T3529" s="15" t="str">
        <f>IF(OR(S3529="",D3529&lt;&gt;"Vastgesteld"),"",_xlfn.MAXIFS($G$6:$G$5005,$S$6:$S$5005,S3529,$D$6:$D$5005,"Vastgesteld"))</f>
        <v/>
      </c>
      <c r="U3529" s="15">
        <f>IF(T3529="",0,IF(AND(G3529=T3529,COUNTIFS($S$6:S3529,S3529,$G$6:G3529,G3529,$D$6:D3529,"Vastgesteld")=1),1,0))</f>
        <v>0</v>
      </c>
      <c r="V3529" s="15">
        <f>IF(T3529="",0,IF(AND(G3529=T3529,COUNTIFS($S$6:S3529,S3529,$G$6:G3529,G3529,$D$6:D3529,"Vastgesteld")&gt;1),1,0))</f>
        <v>0</v>
      </c>
    </row>
    <row r="3530">
      <c r="S3530" s="15" t="str">
        <f>IF(J3530="","",J3530&amp;"|"&amp;E3530&amp;"|"&amp;F3530&amp;"|"&amp;I3530&amp;"|"&amp;O3530)</f>
        <v/>
      </c>
      <c r="T3530" s="15" t="str">
        <f>IF(OR(S3530="",D3530&lt;&gt;"Vastgesteld"),"",_xlfn.MAXIFS($G$6:$G$5005,$S$6:$S$5005,S3530,$D$6:$D$5005,"Vastgesteld"))</f>
        <v/>
      </c>
      <c r="U3530" s="15">
        <f>IF(T3530="",0,IF(AND(G3530=T3530,COUNTIFS($S$6:S3530,S3530,$G$6:G3530,G3530,$D$6:D3530,"Vastgesteld")=1),1,0))</f>
        <v>0</v>
      </c>
      <c r="V3530" s="15">
        <f>IF(T3530="",0,IF(AND(G3530=T3530,COUNTIFS($S$6:S3530,S3530,$G$6:G3530,G3530,$D$6:D3530,"Vastgesteld")&gt;1),1,0))</f>
        <v>0</v>
      </c>
    </row>
    <row r="3531">
      <c r="S3531" s="15" t="str">
        <f>IF(J3531="","",J3531&amp;"|"&amp;E3531&amp;"|"&amp;F3531&amp;"|"&amp;I3531&amp;"|"&amp;O3531)</f>
        <v/>
      </c>
      <c r="T3531" s="15" t="str">
        <f>IF(OR(S3531="",D3531&lt;&gt;"Vastgesteld"),"",_xlfn.MAXIFS($G$6:$G$5005,$S$6:$S$5005,S3531,$D$6:$D$5005,"Vastgesteld"))</f>
        <v/>
      </c>
      <c r="U3531" s="15">
        <f>IF(T3531="",0,IF(AND(G3531=T3531,COUNTIFS($S$6:S3531,S3531,$G$6:G3531,G3531,$D$6:D3531,"Vastgesteld")=1),1,0))</f>
        <v>0</v>
      </c>
      <c r="V3531" s="15">
        <f>IF(T3531="",0,IF(AND(G3531=T3531,COUNTIFS($S$6:S3531,S3531,$G$6:G3531,G3531,$D$6:D3531,"Vastgesteld")&gt;1),1,0))</f>
        <v>0</v>
      </c>
    </row>
    <row r="3532">
      <c r="S3532" s="15" t="str">
        <f>IF(J3532="","",J3532&amp;"|"&amp;E3532&amp;"|"&amp;F3532&amp;"|"&amp;I3532&amp;"|"&amp;O3532)</f>
        <v/>
      </c>
      <c r="T3532" s="15" t="str">
        <f>IF(OR(S3532="",D3532&lt;&gt;"Vastgesteld"),"",_xlfn.MAXIFS($G$6:$G$5005,$S$6:$S$5005,S3532,$D$6:$D$5005,"Vastgesteld"))</f>
        <v/>
      </c>
      <c r="U3532" s="15">
        <f>IF(T3532="",0,IF(AND(G3532=T3532,COUNTIFS($S$6:S3532,S3532,$G$6:G3532,G3532,$D$6:D3532,"Vastgesteld")=1),1,0))</f>
        <v>0</v>
      </c>
      <c r="V3532" s="15">
        <f>IF(T3532="",0,IF(AND(G3532=T3532,COUNTIFS($S$6:S3532,S3532,$G$6:G3532,G3532,$D$6:D3532,"Vastgesteld")&gt;1),1,0))</f>
        <v>0</v>
      </c>
    </row>
    <row r="3533">
      <c r="S3533" s="15" t="str">
        <f>IF(J3533="","",J3533&amp;"|"&amp;E3533&amp;"|"&amp;F3533&amp;"|"&amp;I3533&amp;"|"&amp;O3533)</f>
        <v/>
      </c>
      <c r="T3533" s="15" t="str">
        <f>IF(OR(S3533="",D3533&lt;&gt;"Vastgesteld"),"",_xlfn.MAXIFS($G$6:$G$5005,$S$6:$S$5005,S3533,$D$6:$D$5005,"Vastgesteld"))</f>
        <v/>
      </c>
      <c r="U3533" s="15">
        <f>IF(T3533="",0,IF(AND(G3533=T3533,COUNTIFS($S$6:S3533,S3533,$G$6:G3533,G3533,$D$6:D3533,"Vastgesteld")=1),1,0))</f>
        <v>0</v>
      </c>
      <c r="V3533" s="15">
        <f>IF(T3533="",0,IF(AND(G3533=T3533,COUNTIFS($S$6:S3533,S3533,$G$6:G3533,G3533,$D$6:D3533,"Vastgesteld")&gt;1),1,0))</f>
        <v>0</v>
      </c>
    </row>
    <row r="3534">
      <c r="S3534" s="15" t="str">
        <f>IF(J3534="","",J3534&amp;"|"&amp;E3534&amp;"|"&amp;F3534&amp;"|"&amp;I3534&amp;"|"&amp;O3534)</f>
        <v/>
      </c>
      <c r="T3534" s="15" t="str">
        <f>IF(OR(S3534="",D3534&lt;&gt;"Vastgesteld"),"",_xlfn.MAXIFS($G$6:$G$5005,$S$6:$S$5005,S3534,$D$6:$D$5005,"Vastgesteld"))</f>
        <v/>
      </c>
      <c r="U3534" s="15">
        <f>IF(T3534="",0,IF(AND(G3534=T3534,COUNTIFS($S$6:S3534,S3534,$G$6:G3534,G3534,$D$6:D3534,"Vastgesteld")=1),1,0))</f>
        <v>0</v>
      </c>
      <c r="V3534" s="15">
        <f>IF(T3534="",0,IF(AND(G3534=T3534,COUNTIFS($S$6:S3534,S3534,$G$6:G3534,G3534,$D$6:D3534,"Vastgesteld")&gt;1),1,0))</f>
        <v>0</v>
      </c>
    </row>
    <row r="3535">
      <c r="S3535" s="15" t="str">
        <f>IF(J3535="","",J3535&amp;"|"&amp;E3535&amp;"|"&amp;F3535&amp;"|"&amp;I3535&amp;"|"&amp;O3535)</f>
        <v/>
      </c>
      <c r="T3535" s="15" t="str">
        <f>IF(OR(S3535="",D3535&lt;&gt;"Vastgesteld"),"",_xlfn.MAXIFS($G$6:$G$5005,$S$6:$S$5005,S3535,$D$6:$D$5005,"Vastgesteld"))</f>
        <v/>
      </c>
      <c r="U3535" s="15">
        <f>IF(T3535="",0,IF(AND(G3535=T3535,COUNTIFS($S$6:S3535,S3535,$G$6:G3535,G3535,$D$6:D3535,"Vastgesteld")=1),1,0))</f>
        <v>0</v>
      </c>
      <c r="V3535" s="15">
        <f>IF(T3535="",0,IF(AND(G3535=T3535,COUNTIFS($S$6:S3535,S3535,$G$6:G3535,G3535,$D$6:D3535,"Vastgesteld")&gt;1),1,0))</f>
        <v>0</v>
      </c>
    </row>
    <row r="3536">
      <c r="S3536" s="15" t="str">
        <f>IF(J3536="","",J3536&amp;"|"&amp;E3536&amp;"|"&amp;F3536&amp;"|"&amp;I3536&amp;"|"&amp;O3536)</f>
        <v/>
      </c>
      <c r="T3536" s="15" t="str">
        <f>IF(OR(S3536="",D3536&lt;&gt;"Vastgesteld"),"",_xlfn.MAXIFS($G$6:$G$5005,$S$6:$S$5005,S3536,$D$6:$D$5005,"Vastgesteld"))</f>
        <v/>
      </c>
      <c r="U3536" s="15">
        <f>IF(T3536="",0,IF(AND(G3536=T3536,COUNTIFS($S$6:S3536,S3536,$G$6:G3536,G3536,$D$6:D3536,"Vastgesteld")=1),1,0))</f>
        <v>0</v>
      </c>
      <c r="V3536" s="15">
        <f>IF(T3536="",0,IF(AND(G3536=T3536,COUNTIFS($S$6:S3536,S3536,$G$6:G3536,G3536,$D$6:D3536,"Vastgesteld")&gt;1),1,0))</f>
        <v>0</v>
      </c>
    </row>
    <row r="3537">
      <c r="S3537" s="15" t="str">
        <f>IF(J3537="","",J3537&amp;"|"&amp;E3537&amp;"|"&amp;F3537&amp;"|"&amp;I3537&amp;"|"&amp;O3537)</f>
        <v/>
      </c>
      <c r="T3537" s="15" t="str">
        <f>IF(OR(S3537="",D3537&lt;&gt;"Vastgesteld"),"",_xlfn.MAXIFS($G$6:$G$5005,$S$6:$S$5005,S3537,$D$6:$D$5005,"Vastgesteld"))</f>
        <v/>
      </c>
      <c r="U3537" s="15">
        <f>IF(T3537="",0,IF(AND(G3537=T3537,COUNTIFS($S$6:S3537,S3537,$G$6:G3537,G3537,$D$6:D3537,"Vastgesteld")=1),1,0))</f>
        <v>0</v>
      </c>
      <c r="V3537" s="15">
        <f>IF(T3537="",0,IF(AND(G3537=T3537,COUNTIFS($S$6:S3537,S3537,$G$6:G3537,G3537,$D$6:D3537,"Vastgesteld")&gt;1),1,0))</f>
        <v>0</v>
      </c>
    </row>
    <row r="3538">
      <c r="S3538" s="15" t="str">
        <f>IF(J3538="","",J3538&amp;"|"&amp;E3538&amp;"|"&amp;F3538&amp;"|"&amp;I3538&amp;"|"&amp;O3538)</f>
        <v/>
      </c>
      <c r="T3538" s="15" t="str">
        <f>IF(OR(S3538="",D3538&lt;&gt;"Vastgesteld"),"",_xlfn.MAXIFS($G$6:$G$5005,$S$6:$S$5005,S3538,$D$6:$D$5005,"Vastgesteld"))</f>
        <v/>
      </c>
      <c r="U3538" s="15">
        <f>IF(T3538="",0,IF(AND(G3538=T3538,COUNTIFS($S$6:S3538,S3538,$G$6:G3538,G3538,$D$6:D3538,"Vastgesteld")=1),1,0))</f>
        <v>0</v>
      </c>
      <c r="V3538" s="15">
        <f>IF(T3538="",0,IF(AND(G3538=T3538,COUNTIFS($S$6:S3538,S3538,$G$6:G3538,G3538,$D$6:D3538,"Vastgesteld")&gt;1),1,0))</f>
        <v>0</v>
      </c>
    </row>
    <row r="3539">
      <c r="S3539" s="15" t="str">
        <f>IF(J3539="","",J3539&amp;"|"&amp;E3539&amp;"|"&amp;F3539&amp;"|"&amp;I3539&amp;"|"&amp;O3539)</f>
        <v/>
      </c>
      <c r="T3539" s="15" t="str">
        <f>IF(OR(S3539="",D3539&lt;&gt;"Vastgesteld"),"",_xlfn.MAXIFS($G$6:$G$5005,$S$6:$S$5005,S3539,$D$6:$D$5005,"Vastgesteld"))</f>
        <v/>
      </c>
      <c r="U3539" s="15">
        <f>IF(T3539="",0,IF(AND(G3539=T3539,COUNTIFS($S$6:S3539,S3539,$G$6:G3539,G3539,$D$6:D3539,"Vastgesteld")=1),1,0))</f>
        <v>0</v>
      </c>
      <c r="V3539" s="15">
        <f>IF(T3539="",0,IF(AND(G3539=T3539,COUNTIFS($S$6:S3539,S3539,$G$6:G3539,G3539,$D$6:D3539,"Vastgesteld")&gt;1),1,0))</f>
        <v>0</v>
      </c>
    </row>
    <row r="3540">
      <c r="S3540" s="15" t="str">
        <f>IF(J3540="","",J3540&amp;"|"&amp;E3540&amp;"|"&amp;F3540&amp;"|"&amp;I3540&amp;"|"&amp;O3540)</f>
        <v/>
      </c>
      <c r="T3540" s="15" t="str">
        <f>IF(OR(S3540="",D3540&lt;&gt;"Vastgesteld"),"",_xlfn.MAXIFS($G$6:$G$5005,$S$6:$S$5005,S3540,$D$6:$D$5005,"Vastgesteld"))</f>
        <v/>
      </c>
      <c r="U3540" s="15">
        <f>IF(T3540="",0,IF(AND(G3540=T3540,COUNTIFS($S$6:S3540,S3540,$G$6:G3540,G3540,$D$6:D3540,"Vastgesteld")=1),1,0))</f>
        <v>0</v>
      </c>
      <c r="V3540" s="15">
        <f>IF(T3540="",0,IF(AND(G3540=T3540,COUNTIFS($S$6:S3540,S3540,$G$6:G3540,G3540,$D$6:D3540,"Vastgesteld")&gt;1),1,0))</f>
        <v>0</v>
      </c>
    </row>
    <row r="3541">
      <c r="S3541" s="15" t="str">
        <f>IF(J3541="","",J3541&amp;"|"&amp;E3541&amp;"|"&amp;F3541&amp;"|"&amp;I3541&amp;"|"&amp;O3541)</f>
        <v/>
      </c>
      <c r="T3541" s="15" t="str">
        <f>IF(OR(S3541="",D3541&lt;&gt;"Vastgesteld"),"",_xlfn.MAXIFS($G$6:$G$5005,$S$6:$S$5005,S3541,$D$6:$D$5005,"Vastgesteld"))</f>
        <v/>
      </c>
      <c r="U3541" s="15">
        <f>IF(T3541="",0,IF(AND(G3541=T3541,COUNTIFS($S$6:S3541,S3541,$G$6:G3541,G3541,$D$6:D3541,"Vastgesteld")=1),1,0))</f>
        <v>0</v>
      </c>
      <c r="V3541" s="15">
        <f>IF(T3541="",0,IF(AND(G3541=T3541,COUNTIFS($S$6:S3541,S3541,$G$6:G3541,G3541,$D$6:D3541,"Vastgesteld")&gt;1),1,0))</f>
        <v>0</v>
      </c>
    </row>
    <row r="3542">
      <c r="S3542" s="15" t="str">
        <f>IF(J3542="","",J3542&amp;"|"&amp;E3542&amp;"|"&amp;F3542&amp;"|"&amp;I3542&amp;"|"&amp;O3542)</f>
        <v/>
      </c>
      <c r="T3542" s="15" t="str">
        <f>IF(OR(S3542="",D3542&lt;&gt;"Vastgesteld"),"",_xlfn.MAXIFS($G$6:$G$5005,$S$6:$S$5005,S3542,$D$6:$D$5005,"Vastgesteld"))</f>
        <v/>
      </c>
      <c r="U3542" s="15">
        <f>IF(T3542="",0,IF(AND(G3542=T3542,COUNTIFS($S$6:S3542,S3542,$G$6:G3542,G3542,$D$6:D3542,"Vastgesteld")=1),1,0))</f>
        <v>0</v>
      </c>
      <c r="V3542" s="15">
        <f>IF(T3542="",0,IF(AND(G3542=T3542,COUNTIFS($S$6:S3542,S3542,$G$6:G3542,G3542,$D$6:D3542,"Vastgesteld")&gt;1),1,0))</f>
        <v>0</v>
      </c>
    </row>
    <row r="3543">
      <c r="S3543" s="15" t="str">
        <f>IF(J3543="","",J3543&amp;"|"&amp;E3543&amp;"|"&amp;F3543&amp;"|"&amp;I3543&amp;"|"&amp;O3543)</f>
        <v/>
      </c>
      <c r="T3543" s="15" t="str">
        <f>IF(OR(S3543="",D3543&lt;&gt;"Vastgesteld"),"",_xlfn.MAXIFS($G$6:$G$5005,$S$6:$S$5005,S3543,$D$6:$D$5005,"Vastgesteld"))</f>
        <v/>
      </c>
      <c r="U3543" s="15">
        <f>IF(T3543="",0,IF(AND(G3543=T3543,COUNTIFS($S$6:S3543,S3543,$G$6:G3543,G3543,$D$6:D3543,"Vastgesteld")=1),1,0))</f>
        <v>0</v>
      </c>
      <c r="V3543" s="15">
        <f>IF(T3543="",0,IF(AND(G3543=T3543,COUNTIFS($S$6:S3543,S3543,$G$6:G3543,G3543,$D$6:D3543,"Vastgesteld")&gt;1),1,0))</f>
        <v>0</v>
      </c>
    </row>
    <row r="3544">
      <c r="S3544" s="15" t="str">
        <f>IF(J3544="","",J3544&amp;"|"&amp;E3544&amp;"|"&amp;F3544&amp;"|"&amp;I3544&amp;"|"&amp;O3544)</f>
        <v/>
      </c>
      <c r="T3544" s="15" t="str">
        <f>IF(OR(S3544="",D3544&lt;&gt;"Vastgesteld"),"",_xlfn.MAXIFS($G$6:$G$5005,$S$6:$S$5005,S3544,$D$6:$D$5005,"Vastgesteld"))</f>
        <v/>
      </c>
      <c r="U3544" s="15">
        <f>IF(T3544="",0,IF(AND(G3544=T3544,COUNTIFS($S$6:S3544,S3544,$G$6:G3544,G3544,$D$6:D3544,"Vastgesteld")=1),1,0))</f>
        <v>0</v>
      </c>
      <c r="V3544" s="15">
        <f>IF(T3544="",0,IF(AND(G3544=T3544,COUNTIFS($S$6:S3544,S3544,$G$6:G3544,G3544,$D$6:D3544,"Vastgesteld")&gt;1),1,0))</f>
        <v>0</v>
      </c>
    </row>
    <row r="3545">
      <c r="S3545" s="15" t="str">
        <f>IF(J3545="","",J3545&amp;"|"&amp;E3545&amp;"|"&amp;F3545&amp;"|"&amp;I3545&amp;"|"&amp;O3545)</f>
        <v/>
      </c>
      <c r="T3545" s="15" t="str">
        <f>IF(OR(S3545="",D3545&lt;&gt;"Vastgesteld"),"",_xlfn.MAXIFS($G$6:$G$5005,$S$6:$S$5005,S3545,$D$6:$D$5005,"Vastgesteld"))</f>
        <v/>
      </c>
      <c r="U3545" s="15">
        <f>IF(T3545="",0,IF(AND(G3545=T3545,COUNTIFS($S$6:S3545,S3545,$G$6:G3545,G3545,$D$6:D3545,"Vastgesteld")=1),1,0))</f>
        <v>0</v>
      </c>
      <c r="V3545" s="15">
        <f>IF(T3545="",0,IF(AND(G3545=T3545,COUNTIFS($S$6:S3545,S3545,$G$6:G3545,G3545,$D$6:D3545,"Vastgesteld")&gt;1),1,0))</f>
        <v>0</v>
      </c>
    </row>
    <row r="3546">
      <c r="S3546" s="15" t="str">
        <f>IF(J3546="","",J3546&amp;"|"&amp;E3546&amp;"|"&amp;F3546&amp;"|"&amp;I3546&amp;"|"&amp;O3546)</f>
        <v/>
      </c>
      <c r="T3546" s="15" t="str">
        <f>IF(OR(S3546="",D3546&lt;&gt;"Vastgesteld"),"",_xlfn.MAXIFS($G$6:$G$5005,$S$6:$S$5005,S3546,$D$6:$D$5005,"Vastgesteld"))</f>
        <v/>
      </c>
      <c r="U3546" s="15">
        <f>IF(T3546="",0,IF(AND(G3546=T3546,COUNTIFS($S$6:S3546,S3546,$G$6:G3546,G3546,$D$6:D3546,"Vastgesteld")=1),1,0))</f>
        <v>0</v>
      </c>
      <c r="V3546" s="15">
        <f>IF(T3546="",0,IF(AND(G3546=T3546,COUNTIFS($S$6:S3546,S3546,$G$6:G3546,G3546,$D$6:D3546,"Vastgesteld")&gt;1),1,0))</f>
        <v>0</v>
      </c>
    </row>
    <row r="3547">
      <c r="S3547" s="15" t="str">
        <f>IF(J3547="","",J3547&amp;"|"&amp;E3547&amp;"|"&amp;F3547&amp;"|"&amp;I3547&amp;"|"&amp;O3547)</f>
        <v/>
      </c>
      <c r="T3547" s="15" t="str">
        <f>IF(OR(S3547="",D3547&lt;&gt;"Vastgesteld"),"",_xlfn.MAXIFS($G$6:$G$5005,$S$6:$S$5005,S3547,$D$6:$D$5005,"Vastgesteld"))</f>
        <v/>
      </c>
      <c r="U3547" s="15">
        <f>IF(T3547="",0,IF(AND(G3547=T3547,COUNTIFS($S$6:S3547,S3547,$G$6:G3547,G3547,$D$6:D3547,"Vastgesteld")=1),1,0))</f>
        <v>0</v>
      </c>
      <c r="V3547" s="15">
        <f>IF(T3547="",0,IF(AND(G3547=T3547,COUNTIFS($S$6:S3547,S3547,$G$6:G3547,G3547,$D$6:D3547,"Vastgesteld")&gt;1),1,0))</f>
        <v>0</v>
      </c>
    </row>
    <row r="3548">
      <c r="S3548" s="15" t="str">
        <f>IF(J3548="","",J3548&amp;"|"&amp;E3548&amp;"|"&amp;F3548&amp;"|"&amp;I3548&amp;"|"&amp;O3548)</f>
        <v/>
      </c>
      <c r="T3548" s="15" t="str">
        <f>IF(OR(S3548="",D3548&lt;&gt;"Vastgesteld"),"",_xlfn.MAXIFS($G$6:$G$5005,$S$6:$S$5005,S3548,$D$6:$D$5005,"Vastgesteld"))</f>
        <v/>
      </c>
      <c r="U3548" s="15">
        <f>IF(T3548="",0,IF(AND(G3548=T3548,COUNTIFS($S$6:S3548,S3548,$G$6:G3548,G3548,$D$6:D3548,"Vastgesteld")=1),1,0))</f>
        <v>0</v>
      </c>
      <c r="V3548" s="15">
        <f>IF(T3548="",0,IF(AND(G3548=T3548,COUNTIFS($S$6:S3548,S3548,$G$6:G3548,G3548,$D$6:D3548,"Vastgesteld")&gt;1),1,0))</f>
        <v>0</v>
      </c>
    </row>
    <row r="3549">
      <c r="S3549" s="15" t="str">
        <f>IF(J3549="","",J3549&amp;"|"&amp;E3549&amp;"|"&amp;F3549&amp;"|"&amp;I3549&amp;"|"&amp;O3549)</f>
        <v/>
      </c>
      <c r="T3549" s="15" t="str">
        <f>IF(OR(S3549="",D3549&lt;&gt;"Vastgesteld"),"",_xlfn.MAXIFS($G$6:$G$5005,$S$6:$S$5005,S3549,$D$6:$D$5005,"Vastgesteld"))</f>
        <v/>
      </c>
      <c r="U3549" s="15">
        <f>IF(T3549="",0,IF(AND(G3549=T3549,COUNTIFS($S$6:S3549,S3549,$G$6:G3549,G3549,$D$6:D3549,"Vastgesteld")=1),1,0))</f>
        <v>0</v>
      </c>
      <c r="V3549" s="15">
        <f>IF(T3549="",0,IF(AND(G3549=T3549,COUNTIFS($S$6:S3549,S3549,$G$6:G3549,G3549,$D$6:D3549,"Vastgesteld")&gt;1),1,0))</f>
        <v>0</v>
      </c>
    </row>
    <row r="3550">
      <c r="S3550" s="15" t="str">
        <f>IF(J3550="","",J3550&amp;"|"&amp;E3550&amp;"|"&amp;F3550&amp;"|"&amp;I3550&amp;"|"&amp;O3550)</f>
        <v/>
      </c>
      <c r="T3550" s="15" t="str">
        <f>IF(OR(S3550="",D3550&lt;&gt;"Vastgesteld"),"",_xlfn.MAXIFS($G$6:$G$5005,$S$6:$S$5005,S3550,$D$6:$D$5005,"Vastgesteld"))</f>
        <v/>
      </c>
      <c r="U3550" s="15">
        <f>IF(T3550="",0,IF(AND(G3550=T3550,COUNTIFS($S$6:S3550,S3550,$G$6:G3550,G3550,$D$6:D3550,"Vastgesteld")=1),1,0))</f>
        <v>0</v>
      </c>
      <c r="V3550" s="15">
        <f>IF(T3550="",0,IF(AND(G3550=T3550,COUNTIFS($S$6:S3550,S3550,$G$6:G3550,G3550,$D$6:D3550,"Vastgesteld")&gt;1),1,0))</f>
        <v>0</v>
      </c>
    </row>
    <row r="3551">
      <c r="S3551" s="15" t="str">
        <f>IF(J3551="","",J3551&amp;"|"&amp;E3551&amp;"|"&amp;F3551&amp;"|"&amp;I3551&amp;"|"&amp;O3551)</f>
        <v/>
      </c>
      <c r="T3551" s="15" t="str">
        <f>IF(OR(S3551="",D3551&lt;&gt;"Vastgesteld"),"",_xlfn.MAXIFS($G$6:$G$5005,$S$6:$S$5005,S3551,$D$6:$D$5005,"Vastgesteld"))</f>
        <v/>
      </c>
      <c r="U3551" s="15">
        <f>IF(T3551="",0,IF(AND(G3551=T3551,COUNTIFS($S$6:S3551,S3551,$G$6:G3551,G3551,$D$6:D3551,"Vastgesteld")=1),1,0))</f>
        <v>0</v>
      </c>
      <c r="V3551" s="15">
        <f>IF(T3551="",0,IF(AND(G3551=T3551,COUNTIFS($S$6:S3551,S3551,$G$6:G3551,G3551,$D$6:D3551,"Vastgesteld")&gt;1),1,0))</f>
        <v>0</v>
      </c>
    </row>
    <row r="3552">
      <c r="S3552" s="15" t="str">
        <f>IF(J3552="","",J3552&amp;"|"&amp;E3552&amp;"|"&amp;F3552&amp;"|"&amp;I3552&amp;"|"&amp;O3552)</f>
        <v/>
      </c>
      <c r="T3552" s="15" t="str">
        <f>IF(OR(S3552="",D3552&lt;&gt;"Vastgesteld"),"",_xlfn.MAXIFS($G$6:$G$5005,$S$6:$S$5005,S3552,$D$6:$D$5005,"Vastgesteld"))</f>
        <v/>
      </c>
      <c r="U3552" s="15">
        <f>IF(T3552="",0,IF(AND(G3552=T3552,COUNTIFS($S$6:S3552,S3552,$G$6:G3552,G3552,$D$6:D3552,"Vastgesteld")=1),1,0))</f>
        <v>0</v>
      </c>
      <c r="V3552" s="15">
        <f>IF(T3552="",0,IF(AND(G3552=T3552,COUNTIFS($S$6:S3552,S3552,$G$6:G3552,G3552,$D$6:D3552,"Vastgesteld")&gt;1),1,0))</f>
        <v>0</v>
      </c>
    </row>
    <row r="3553">
      <c r="S3553" s="15" t="str">
        <f>IF(J3553="","",J3553&amp;"|"&amp;E3553&amp;"|"&amp;F3553&amp;"|"&amp;I3553&amp;"|"&amp;O3553)</f>
        <v/>
      </c>
      <c r="T3553" s="15" t="str">
        <f>IF(OR(S3553="",D3553&lt;&gt;"Vastgesteld"),"",_xlfn.MAXIFS($G$6:$G$5005,$S$6:$S$5005,S3553,$D$6:$D$5005,"Vastgesteld"))</f>
        <v/>
      </c>
      <c r="U3553" s="15">
        <f>IF(T3553="",0,IF(AND(G3553=T3553,COUNTIFS($S$6:S3553,S3553,$G$6:G3553,G3553,$D$6:D3553,"Vastgesteld")=1),1,0))</f>
        <v>0</v>
      </c>
      <c r="V3553" s="15">
        <f>IF(T3553="",0,IF(AND(G3553=T3553,COUNTIFS($S$6:S3553,S3553,$G$6:G3553,G3553,$D$6:D3553,"Vastgesteld")&gt;1),1,0))</f>
        <v>0</v>
      </c>
    </row>
    <row r="3554">
      <c r="S3554" s="15" t="str">
        <f>IF(J3554="","",J3554&amp;"|"&amp;E3554&amp;"|"&amp;F3554&amp;"|"&amp;I3554&amp;"|"&amp;O3554)</f>
        <v/>
      </c>
      <c r="T3554" s="15" t="str">
        <f>IF(OR(S3554="",D3554&lt;&gt;"Vastgesteld"),"",_xlfn.MAXIFS($G$6:$G$5005,$S$6:$S$5005,S3554,$D$6:$D$5005,"Vastgesteld"))</f>
        <v/>
      </c>
      <c r="U3554" s="15">
        <f>IF(T3554="",0,IF(AND(G3554=T3554,COUNTIFS($S$6:S3554,S3554,$G$6:G3554,G3554,$D$6:D3554,"Vastgesteld")=1),1,0))</f>
        <v>0</v>
      </c>
      <c r="V3554" s="15">
        <f>IF(T3554="",0,IF(AND(G3554=T3554,COUNTIFS($S$6:S3554,S3554,$G$6:G3554,G3554,$D$6:D3554,"Vastgesteld")&gt;1),1,0))</f>
        <v>0</v>
      </c>
    </row>
    <row r="3555">
      <c r="S3555" s="15" t="str">
        <f>IF(J3555="","",J3555&amp;"|"&amp;E3555&amp;"|"&amp;F3555&amp;"|"&amp;I3555&amp;"|"&amp;O3555)</f>
        <v/>
      </c>
      <c r="T3555" s="15" t="str">
        <f>IF(OR(S3555="",D3555&lt;&gt;"Vastgesteld"),"",_xlfn.MAXIFS($G$6:$G$5005,$S$6:$S$5005,S3555,$D$6:$D$5005,"Vastgesteld"))</f>
        <v/>
      </c>
      <c r="U3555" s="15">
        <f>IF(T3555="",0,IF(AND(G3555=T3555,COUNTIFS($S$6:S3555,S3555,$G$6:G3555,G3555,$D$6:D3555,"Vastgesteld")=1),1,0))</f>
        <v>0</v>
      </c>
      <c r="V3555" s="15">
        <f>IF(T3555="",0,IF(AND(G3555=T3555,COUNTIFS($S$6:S3555,S3555,$G$6:G3555,G3555,$D$6:D3555,"Vastgesteld")&gt;1),1,0))</f>
        <v>0</v>
      </c>
    </row>
    <row r="3556">
      <c r="S3556" s="15" t="str">
        <f>IF(J3556="","",J3556&amp;"|"&amp;E3556&amp;"|"&amp;F3556&amp;"|"&amp;I3556&amp;"|"&amp;O3556)</f>
        <v/>
      </c>
      <c r="T3556" s="15" t="str">
        <f>IF(OR(S3556="",D3556&lt;&gt;"Vastgesteld"),"",_xlfn.MAXIFS($G$6:$G$5005,$S$6:$S$5005,S3556,$D$6:$D$5005,"Vastgesteld"))</f>
        <v/>
      </c>
      <c r="U3556" s="15">
        <f>IF(T3556="",0,IF(AND(G3556=T3556,COUNTIFS($S$6:S3556,S3556,$G$6:G3556,G3556,$D$6:D3556,"Vastgesteld")=1),1,0))</f>
        <v>0</v>
      </c>
      <c r="V3556" s="15">
        <f>IF(T3556="",0,IF(AND(G3556=T3556,COUNTIFS($S$6:S3556,S3556,$G$6:G3556,G3556,$D$6:D3556,"Vastgesteld")&gt;1),1,0))</f>
        <v>0</v>
      </c>
    </row>
    <row r="3557">
      <c r="S3557" s="15" t="str">
        <f>IF(J3557="","",J3557&amp;"|"&amp;E3557&amp;"|"&amp;F3557&amp;"|"&amp;I3557&amp;"|"&amp;O3557)</f>
        <v/>
      </c>
      <c r="T3557" s="15" t="str">
        <f>IF(OR(S3557="",D3557&lt;&gt;"Vastgesteld"),"",_xlfn.MAXIFS($G$6:$G$5005,$S$6:$S$5005,S3557,$D$6:$D$5005,"Vastgesteld"))</f>
        <v/>
      </c>
      <c r="U3557" s="15">
        <f>IF(T3557="",0,IF(AND(G3557=T3557,COUNTIFS($S$6:S3557,S3557,$G$6:G3557,G3557,$D$6:D3557,"Vastgesteld")=1),1,0))</f>
        <v>0</v>
      </c>
      <c r="V3557" s="15">
        <f>IF(T3557="",0,IF(AND(G3557=T3557,COUNTIFS($S$6:S3557,S3557,$G$6:G3557,G3557,$D$6:D3557,"Vastgesteld")&gt;1),1,0))</f>
        <v>0</v>
      </c>
    </row>
    <row r="3558">
      <c r="S3558" s="15" t="str">
        <f>IF(J3558="","",J3558&amp;"|"&amp;E3558&amp;"|"&amp;F3558&amp;"|"&amp;I3558&amp;"|"&amp;O3558)</f>
        <v/>
      </c>
      <c r="T3558" s="15" t="str">
        <f>IF(OR(S3558="",D3558&lt;&gt;"Vastgesteld"),"",_xlfn.MAXIFS($G$6:$G$5005,$S$6:$S$5005,S3558,$D$6:$D$5005,"Vastgesteld"))</f>
        <v/>
      </c>
      <c r="U3558" s="15">
        <f>IF(T3558="",0,IF(AND(G3558=T3558,COUNTIFS($S$6:S3558,S3558,$G$6:G3558,G3558,$D$6:D3558,"Vastgesteld")=1),1,0))</f>
        <v>0</v>
      </c>
      <c r="V3558" s="15">
        <f>IF(T3558="",0,IF(AND(G3558=T3558,COUNTIFS($S$6:S3558,S3558,$G$6:G3558,G3558,$D$6:D3558,"Vastgesteld")&gt;1),1,0))</f>
        <v>0</v>
      </c>
    </row>
    <row r="3559">
      <c r="S3559" s="15" t="str">
        <f>IF(J3559="","",J3559&amp;"|"&amp;E3559&amp;"|"&amp;F3559&amp;"|"&amp;I3559&amp;"|"&amp;O3559)</f>
        <v/>
      </c>
      <c r="T3559" s="15" t="str">
        <f>IF(OR(S3559="",D3559&lt;&gt;"Vastgesteld"),"",_xlfn.MAXIFS($G$6:$G$5005,$S$6:$S$5005,S3559,$D$6:$D$5005,"Vastgesteld"))</f>
        <v/>
      </c>
      <c r="U3559" s="15">
        <f>IF(T3559="",0,IF(AND(G3559=T3559,COUNTIFS($S$6:S3559,S3559,$G$6:G3559,G3559,$D$6:D3559,"Vastgesteld")=1),1,0))</f>
        <v>0</v>
      </c>
      <c r="V3559" s="15">
        <f>IF(T3559="",0,IF(AND(G3559=T3559,COUNTIFS($S$6:S3559,S3559,$G$6:G3559,G3559,$D$6:D3559,"Vastgesteld")&gt;1),1,0))</f>
        <v>0</v>
      </c>
    </row>
    <row r="3560">
      <c r="S3560" s="15" t="str">
        <f>IF(J3560="","",J3560&amp;"|"&amp;E3560&amp;"|"&amp;F3560&amp;"|"&amp;I3560&amp;"|"&amp;O3560)</f>
        <v/>
      </c>
      <c r="T3560" s="15" t="str">
        <f>IF(OR(S3560="",D3560&lt;&gt;"Vastgesteld"),"",_xlfn.MAXIFS($G$6:$G$5005,$S$6:$S$5005,S3560,$D$6:$D$5005,"Vastgesteld"))</f>
        <v/>
      </c>
      <c r="U3560" s="15">
        <f>IF(T3560="",0,IF(AND(G3560=T3560,COUNTIFS($S$6:S3560,S3560,$G$6:G3560,G3560,$D$6:D3560,"Vastgesteld")=1),1,0))</f>
        <v>0</v>
      </c>
      <c r="V3560" s="15">
        <f>IF(T3560="",0,IF(AND(G3560=T3560,COUNTIFS($S$6:S3560,S3560,$G$6:G3560,G3560,$D$6:D3560,"Vastgesteld")&gt;1),1,0))</f>
        <v>0</v>
      </c>
    </row>
    <row r="3561">
      <c r="S3561" s="15" t="str">
        <f>IF(J3561="","",J3561&amp;"|"&amp;E3561&amp;"|"&amp;F3561&amp;"|"&amp;I3561&amp;"|"&amp;O3561)</f>
        <v/>
      </c>
      <c r="T3561" s="15" t="str">
        <f>IF(OR(S3561="",D3561&lt;&gt;"Vastgesteld"),"",_xlfn.MAXIFS($G$6:$G$5005,$S$6:$S$5005,S3561,$D$6:$D$5005,"Vastgesteld"))</f>
        <v/>
      </c>
      <c r="U3561" s="15">
        <f>IF(T3561="",0,IF(AND(G3561=T3561,COUNTIFS($S$6:S3561,S3561,$G$6:G3561,G3561,$D$6:D3561,"Vastgesteld")=1),1,0))</f>
        <v>0</v>
      </c>
      <c r="V3561" s="15">
        <f>IF(T3561="",0,IF(AND(G3561=T3561,COUNTIFS($S$6:S3561,S3561,$G$6:G3561,G3561,$D$6:D3561,"Vastgesteld")&gt;1),1,0))</f>
        <v>0</v>
      </c>
    </row>
    <row r="3562">
      <c r="S3562" s="15" t="str">
        <f>IF(J3562="","",J3562&amp;"|"&amp;E3562&amp;"|"&amp;F3562&amp;"|"&amp;I3562&amp;"|"&amp;O3562)</f>
        <v/>
      </c>
      <c r="T3562" s="15" t="str">
        <f>IF(OR(S3562="",D3562&lt;&gt;"Vastgesteld"),"",_xlfn.MAXIFS($G$6:$G$5005,$S$6:$S$5005,S3562,$D$6:$D$5005,"Vastgesteld"))</f>
        <v/>
      </c>
      <c r="U3562" s="15">
        <f>IF(T3562="",0,IF(AND(G3562=T3562,COUNTIFS($S$6:S3562,S3562,$G$6:G3562,G3562,$D$6:D3562,"Vastgesteld")=1),1,0))</f>
        <v>0</v>
      </c>
      <c r="V3562" s="15">
        <f>IF(T3562="",0,IF(AND(G3562=T3562,COUNTIFS($S$6:S3562,S3562,$G$6:G3562,G3562,$D$6:D3562,"Vastgesteld")&gt;1),1,0))</f>
        <v>0</v>
      </c>
    </row>
    <row r="3563">
      <c r="S3563" s="15" t="str">
        <f>IF(J3563="","",J3563&amp;"|"&amp;E3563&amp;"|"&amp;F3563&amp;"|"&amp;I3563&amp;"|"&amp;O3563)</f>
        <v/>
      </c>
      <c r="T3563" s="15" t="str">
        <f>IF(OR(S3563="",D3563&lt;&gt;"Vastgesteld"),"",_xlfn.MAXIFS($G$6:$G$5005,$S$6:$S$5005,S3563,$D$6:$D$5005,"Vastgesteld"))</f>
        <v/>
      </c>
      <c r="U3563" s="15">
        <f>IF(T3563="",0,IF(AND(G3563=T3563,COUNTIFS($S$6:S3563,S3563,$G$6:G3563,G3563,$D$6:D3563,"Vastgesteld")=1),1,0))</f>
        <v>0</v>
      </c>
      <c r="V3563" s="15">
        <f>IF(T3563="",0,IF(AND(G3563=T3563,COUNTIFS($S$6:S3563,S3563,$G$6:G3563,G3563,$D$6:D3563,"Vastgesteld")&gt;1),1,0))</f>
        <v>0</v>
      </c>
    </row>
    <row r="3564">
      <c r="S3564" s="15" t="str">
        <f>IF(J3564="","",J3564&amp;"|"&amp;E3564&amp;"|"&amp;F3564&amp;"|"&amp;I3564&amp;"|"&amp;O3564)</f>
        <v/>
      </c>
      <c r="T3564" s="15" t="str">
        <f>IF(OR(S3564="",D3564&lt;&gt;"Vastgesteld"),"",_xlfn.MAXIFS($G$6:$G$5005,$S$6:$S$5005,S3564,$D$6:$D$5005,"Vastgesteld"))</f>
        <v/>
      </c>
      <c r="U3564" s="15">
        <f>IF(T3564="",0,IF(AND(G3564=T3564,COUNTIFS($S$6:S3564,S3564,$G$6:G3564,G3564,$D$6:D3564,"Vastgesteld")=1),1,0))</f>
        <v>0</v>
      </c>
      <c r="V3564" s="15">
        <f>IF(T3564="",0,IF(AND(G3564=T3564,COUNTIFS($S$6:S3564,S3564,$G$6:G3564,G3564,$D$6:D3564,"Vastgesteld")&gt;1),1,0))</f>
        <v>0</v>
      </c>
    </row>
    <row r="3565">
      <c r="S3565" s="15" t="str">
        <f>IF(J3565="","",J3565&amp;"|"&amp;E3565&amp;"|"&amp;F3565&amp;"|"&amp;I3565&amp;"|"&amp;O3565)</f>
        <v/>
      </c>
      <c r="T3565" s="15" t="str">
        <f>IF(OR(S3565="",D3565&lt;&gt;"Vastgesteld"),"",_xlfn.MAXIFS($G$6:$G$5005,$S$6:$S$5005,S3565,$D$6:$D$5005,"Vastgesteld"))</f>
        <v/>
      </c>
      <c r="U3565" s="15">
        <f>IF(T3565="",0,IF(AND(G3565=T3565,COUNTIFS($S$6:S3565,S3565,$G$6:G3565,G3565,$D$6:D3565,"Vastgesteld")=1),1,0))</f>
        <v>0</v>
      </c>
      <c r="V3565" s="15">
        <f>IF(T3565="",0,IF(AND(G3565=T3565,COUNTIFS($S$6:S3565,S3565,$G$6:G3565,G3565,$D$6:D3565,"Vastgesteld")&gt;1),1,0))</f>
        <v>0</v>
      </c>
    </row>
    <row r="3566">
      <c r="S3566" s="15" t="str">
        <f>IF(J3566="","",J3566&amp;"|"&amp;E3566&amp;"|"&amp;F3566&amp;"|"&amp;I3566&amp;"|"&amp;O3566)</f>
        <v/>
      </c>
      <c r="T3566" s="15" t="str">
        <f>IF(OR(S3566="",D3566&lt;&gt;"Vastgesteld"),"",_xlfn.MAXIFS($G$6:$G$5005,$S$6:$S$5005,S3566,$D$6:$D$5005,"Vastgesteld"))</f>
        <v/>
      </c>
      <c r="U3566" s="15">
        <f>IF(T3566="",0,IF(AND(G3566=T3566,COUNTIFS($S$6:S3566,S3566,$G$6:G3566,G3566,$D$6:D3566,"Vastgesteld")=1),1,0))</f>
        <v>0</v>
      </c>
      <c r="V3566" s="15">
        <f>IF(T3566="",0,IF(AND(G3566=T3566,COUNTIFS($S$6:S3566,S3566,$G$6:G3566,G3566,$D$6:D3566,"Vastgesteld")&gt;1),1,0))</f>
        <v>0</v>
      </c>
    </row>
    <row r="3567">
      <c r="S3567" s="15" t="str">
        <f>IF(J3567="","",J3567&amp;"|"&amp;E3567&amp;"|"&amp;F3567&amp;"|"&amp;I3567&amp;"|"&amp;O3567)</f>
        <v/>
      </c>
      <c r="T3567" s="15" t="str">
        <f>IF(OR(S3567="",D3567&lt;&gt;"Vastgesteld"),"",_xlfn.MAXIFS($G$6:$G$5005,$S$6:$S$5005,S3567,$D$6:$D$5005,"Vastgesteld"))</f>
        <v/>
      </c>
      <c r="U3567" s="15">
        <f>IF(T3567="",0,IF(AND(G3567=T3567,COUNTIFS($S$6:S3567,S3567,$G$6:G3567,G3567,$D$6:D3567,"Vastgesteld")=1),1,0))</f>
        <v>0</v>
      </c>
      <c r="V3567" s="15">
        <f>IF(T3567="",0,IF(AND(G3567=T3567,COUNTIFS($S$6:S3567,S3567,$G$6:G3567,G3567,$D$6:D3567,"Vastgesteld")&gt;1),1,0))</f>
        <v>0</v>
      </c>
    </row>
    <row r="3568">
      <c r="S3568" s="15" t="str">
        <f>IF(J3568="","",J3568&amp;"|"&amp;E3568&amp;"|"&amp;F3568&amp;"|"&amp;I3568&amp;"|"&amp;O3568)</f>
        <v/>
      </c>
      <c r="T3568" s="15" t="str">
        <f>IF(OR(S3568="",D3568&lt;&gt;"Vastgesteld"),"",_xlfn.MAXIFS($G$6:$G$5005,$S$6:$S$5005,S3568,$D$6:$D$5005,"Vastgesteld"))</f>
        <v/>
      </c>
      <c r="U3568" s="15">
        <f>IF(T3568="",0,IF(AND(G3568=T3568,COUNTIFS($S$6:S3568,S3568,$G$6:G3568,G3568,$D$6:D3568,"Vastgesteld")=1),1,0))</f>
        <v>0</v>
      </c>
      <c r="V3568" s="15">
        <f>IF(T3568="",0,IF(AND(G3568=T3568,COUNTIFS($S$6:S3568,S3568,$G$6:G3568,G3568,$D$6:D3568,"Vastgesteld")&gt;1),1,0))</f>
        <v>0</v>
      </c>
    </row>
    <row r="3569">
      <c r="S3569" s="15" t="str">
        <f>IF(J3569="","",J3569&amp;"|"&amp;E3569&amp;"|"&amp;F3569&amp;"|"&amp;I3569&amp;"|"&amp;O3569)</f>
        <v/>
      </c>
      <c r="T3569" s="15" t="str">
        <f>IF(OR(S3569="",D3569&lt;&gt;"Vastgesteld"),"",_xlfn.MAXIFS($G$6:$G$5005,$S$6:$S$5005,S3569,$D$6:$D$5005,"Vastgesteld"))</f>
        <v/>
      </c>
      <c r="U3569" s="15">
        <f>IF(T3569="",0,IF(AND(G3569=T3569,COUNTIFS($S$6:S3569,S3569,$G$6:G3569,G3569,$D$6:D3569,"Vastgesteld")=1),1,0))</f>
        <v>0</v>
      </c>
      <c r="V3569" s="15">
        <f>IF(T3569="",0,IF(AND(G3569=T3569,COUNTIFS($S$6:S3569,S3569,$G$6:G3569,G3569,$D$6:D3569,"Vastgesteld")&gt;1),1,0))</f>
        <v>0</v>
      </c>
    </row>
    <row r="3570">
      <c r="S3570" s="15" t="str">
        <f>IF(J3570="","",J3570&amp;"|"&amp;E3570&amp;"|"&amp;F3570&amp;"|"&amp;I3570&amp;"|"&amp;O3570)</f>
        <v/>
      </c>
      <c r="T3570" s="15" t="str">
        <f>IF(OR(S3570="",D3570&lt;&gt;"Vastgesteld"),"",_xlfn.MAXIFS($G$6:$G$5005,$S$6:$S$5005,S3570,$D$6:$D$5005,"Vastgesteld"))</f>
        <v/>
      </c>
      <c r="U3570" s="15">
        <f>IF(T3570="",0,IF(AND(G3570=T3570,COUNTIFS($S$6:S3570,S3570,$G$6:G3570,G3570,$D$6:D3570,"Vastgesteld")=1),1,0))</f>
        <v>0</v>
      </c>
      <c r="V3570" s="15">
        <f>IF(T3570="",0,IF(AND(G3570=T3570,COUNTIFS($S$6:S3570,S3570,$G$6:G3570,G3570,$D$6:D3570,"Vastgesteld")&gt;1),1,0))</f>
        <v>0</v>
      </c>
    </row>
    <row r="3571">
      <c r="S3571" s="15" t="str">
        <f>IF(J3571="","",J3571&amp;"|"&amp;E3571&amp;"|"&amp;F3571&amp;"|"&amp;I3571&amp;"|"&amp;O3571)</f>
        <v/>
      </c>
      <c r="T3571" s="15" t="str">
        <f>IF(OR(S3571="",D3571&lt;&gt;"Vastgesteld"),"",_xlfn.MAXIFS($G$6:$G$5005,$S$6:$S$5005,S3571,$D$6:$D$5005,"Vastgesteld"))</f>
        <v/>
      </c>
      <c r="U3571" s="15">
        <f>IF(T3571="",0,IF(AND(G3571=T3571,COUNTIFS($S$6:S3571,S3571,$G$6:G3571,G3571,$D$6:D3571,"Vastgesteld")=1),1,0))</f>
        <v>0</v>
      </c>
      <c r="V3571" s="15">
        <f>IF(T3571="",0,IF(AND(G3571=T3571,COUNTIFS($S$6:S3571,S3571,$G$6:G3571,G3571,$D$6:D3571,"Vastgesteld")&gt;1),1,0))</f>
        <v>0</v>
      </c>
    </row>
    <row r="3572">
      <c r="S3572" s="15" t="str">
        <f>IF(J3572="","",J3572&amp;"|"&amp;E3572&amp;"|"&amp;F3572&amp;"|"&amp;I3572&amp;"|"&amp;O3572)</f>
        <v/>
      </c>
      <c r="T3572" s="15" t="str">
        <f>IF(OR(S3572="",D3572&lt;&gt;"Vastgesteld"),"",_xlfn.MAXIFS($G$6:$G$5005,$S$6:$S$5005,S3572,$D$6:$D$5005,"Vastgesteld"))</f>
        <v/>
      </c>
      <c r="U3572" s="15">
        <f>IF(T3572="",0,IF(AND(G3572=T3572,COUNTIFS($S$6:S3572,S3572,$G$6:G3572,G3572,$D$6:D3572,"Vastgesteld")=1),1,0))</f>
        <v>0</v>
      </c>
      <c r="V3572" s="15">
        <f>IF(T3572="",0,IF(AND(G3572=T3572,COUNTIFS($S$6:S3572,S3572,$G$6:G3572,G3572,$D$6:D3572,"Vastgesteld")&gt;1),1,0))</f>
        <v>0</v>
      </c>
    </row>
    <row r="3573">
      <c r="S3573" s="15" t="str">
        <f>IF(J3573="","",J3573&amp;"|"&amp;E3573&amp;"|"&amp;F3573&amp;"|"&amp;I3573&amp;"|"&amp;O3573)</f>
        <v/>
      </c>
      <c r="T3573" s="15" t="str">
        <f>IF(OR(S3573="",D3573&lt;&gt;"Vastgesteld"),"",_xlfn.MAXIFS($G$6:$G$5005,$S$6:$S$5005,S3573,$D$6:$D$5005,"Vastgesteld"))</f>
        <v/>
      </c>
      <c r="U3573" s="15">
        <f>IF(T3573="",0,IF(AND(G3573=T3573,COUNTIFS($S$6:S3573,S3573,$G$6:G3573,G3573,$D$6:D3573,"Vastgesteld")=1),1,0))</f>
        <v>0</v>
      </c>
      <c r="V3573" s="15">
        <f>IF(T3573="",0,IF(AND(G3573=T3573,COUNTIFS($S$6:S3573,S3573,$G$6:G3573,G3573,$D$6:D3573,"Vastgesteld")&gt;1),1,0))</f>
        <v>0</v>
      </c>
    </row>
    <row r="3574">
      <c r="S3574" s="15" t="str">
        <f>IF(J3574="","",J3574&amp;"|"&amp;E3574&amp;"|"&amp;F3574&amp;"|"&amp;I3574&amp;"|"&amp;O3574)</f>
        <v/>
      </c>
      <c r="T3574" s="15" t="str">
        <f>IF(OR(S3574="",D3574&lt;&gt;"Vastgesteld"),"",_xlfn.MAXIFS($G$6:$G$5005,$S$6:$S$5005,S3574,$D$6:$D$5005,"Vastgesteld"))</f>
        <v/>
      </c>
      <c r="U3574" s="15">
        <f>IF(T3574="",0,IF(AND(G3574=T3574,COUNTIFS($S$6:S3574,S3574,$G$6:G3574,G3574,$D$6:D3574,"Vastgesteld")=1),1,0))</f>
        <v>0</v>
      </c>
      <c r="V3574" s="15">
        <f>IF(T3574="",0,IF(AND(G3574=T3574,COUNTIFS($S$6:S3574,S3574,$G$6:G3574,G3574,$D$6:D3574,"Vastgesteld")&gt;1),1,0))</f>
        <v>0</v>
      </c>
    </row>
    <row r="3575">
      <c r="S3575" s="15" t="str">
        <f>IF(J3575="","",J3575&amp;"|"&amp;E3575&amp;"|"&amp;F3575&amp;"|"&amp;I3575&amp;"|"&amp;O3575)</f>
        <v/>
      </c>
      <c r="T3575" s="15" t="str">
        <f>IF(OR(S3575="",D3575&lt;&gt;"Vastgesteld"),"",_xlfn.MAXIFS($G$6:$G$5005,$S$6:$S$5005,S3575,$D$6:$D$5005,"Vastgesteld"))</f>
        <v/>
      </c>
      <c r="U3575" s="15">
        <f>IF(T3575="",0,IF(AND(G3575=T3575,COUNTIFS($S$6:S3575,S3575,$G$6:G3575,G3575,$D$6:D3575,"Vastgesteld")=1),1,0))</f>
        <v>0</v>
      </c>
      <c r="V3575" s="15">
        <f>IF(T3575="",0,IF(AND(G3575=T3575,COUNTIFS($S$6:S3575,S3575,$G$6:G3575,G3575,$D$6:D3575,"Vastgesteld")&gt;1),1,0))</f>
        <v>0</v>
      </c>
    </row>
    <row r="3576">
      <c r="S3576" s="15" t="str">
        <f>IF(J3576="","",J3576&amp;"|"&amp;E3576&amp;"|"&amp;F3576&amp;"|"&amp;I3576&amp;"|"&amp;O3576)</f>
        <v/>
      </c>
      <c r="T3576" s="15" t="str">
        <f>IF(OR(S3576="",D3576&lt;&gt;"Vastgesteld"),"",_xlfn.MAXIFS($G$6:$G$5005,$S$6:$S$5005,S3576,$D$6:$D$5005,"Vastgesteld"))</f>
        <v/>
      </c>
      <c r="U3576" s="15">
        <f>IF(T3576="",0,IF(AND(G3576=T3576,COUNTIFS($S$6:S3576,S3576,$G$6:G3576,G3576,$D$6:D3576,"Vastgesteld")=1),1,0))</f>
        <v>0</v>
      </c>
      <c r="V3576" s="15">
        <f>IF(T3576="",0,IF(AND(G3576=T3576,COUNTIFS($S$6:S3576,S3576,$G$6:G3576,G3576,$D$6:D3576,"Vastgesteld")&gt;1),1,0))</f>
        <v>0</v>
      </c>
    </row>
    <row r="3577">
      <c r="S3577" s="15" t="str">
        <f>IF(J3577="","",J3577&amp;"|"&amp;E3577&amp;"|"&amp;F3577&amp;"|"&amp;I3577&amp;"|"&amp;O3577)</f>
        <v/>
      </c>
      <c r="T3577" s="15" t="str">
        <f>IF(OR(S3577="",D3577&lt;&gt;"Vastgesteld"),"",_xlfn.MAXIFS($G$6:$G$5005,$S$6:$S$5005,S3577,$D$6:$D$5005,"Vastgesteld"))</f>
        <v/>
      </c>
      <c r="U3577" s="15">
        <f>IF(T3577="",0,IF(AND(G3577=T3577,COUNTIFS($S$6:S3577,S3577,$G$6:G3577,G3577,$D$6:D3577,"Vastgesteld")=1),1,0))</f>
        <v>0</v>
      </c>
      <c r="V3577" s="15">
        <f>IF(T3577="",0,IF(AND(G3577=T3577,COUNTIFS($S$6:S3577,S3577,$G$6:G3577,G3577,$D$6:D3577,"Vastgesteld")&gt;1),1,0))</f>
        <v>0</v>
      </c>
    </row>
    <row r="3578">
      <c r="S3578" s="15" t="str">
        <f>IF(J3578="","",J3578&amp;"|"&amp;E3578&amp;"|"&amp;F3578&amp;"|"&amp;I3578&amp;"|"&amp;O3578)</f>
        <v/>
      </c>
      <c r="T3578" s="15" t="str">
        <f>IF(OR(S3578="",D3578&lt;&gt;"Vastgesteld"),"",_xlfn.MAXIFS($G$6:$G$5005,$S$6:$S$5005,S3578,$D$6:$D$5005,"Vastgesteld"))</f>
        <v/>
      </c>
      <c r="U3578" s="15">
        <f>IF(T3578="",0,IF(AND(G3578=T3578,COUNTIFS($S$6:S3578,S3578,$G$6:G3578,G3578,$D$6:D3578,"Vastgesteld")=1),1,0))</f>
        <v>0</v>
      </c>
      <c r="V3578" s="15">
        <f>IF(T3578="",0,IF(AND(G3578=T3578,COUNTIFS($S$6:S3578,S3578,$G$6:G3578,G3578,$D$6:D3578,"Vastgesteld")&gt;1),1,0))</f>
        <v>0</v>
      </c>
    </row>
    <row r="3579">
      <c r="S3579" s="15" t="str">
        <f>IF(J3579="","",J3579&amp;"|"&amp;E3579&amp;"|"&amp;F3579&amp;"|"&amp;I3579&amp;"|"&amp;O3579)</f>
        <v/>
      </c>
      <c r="T3579" s="15" t="str">
        <f>IF(OR(S3579="",D3579&lt;&gt;"Vastgesteld"),"",_xlfn.MAXIFS($G$6:$G$5005,$S$6:$S$5005,S3579,$D$6:$D$5005,"Vastgesteld"))</f>
        <v/>
      </c>
      <c r="U3579" s="15">
        <f>IF(T3579="",0,IF(AND(G3579=T3579,COUNTIFS($S$6:S3579,S3579,$G$6:G3579,G3579,$D$6:D3579,"Vastgesteld")=1),1,0))</f>
        <v>0</v>
      </c>
      <c r="V3579" s="15">
        <f>IF(T3579="",0,IF(AND(G3579=T3579,COUNTIFS($S$6:S3579,S3579,$G$6:G3579,G3579,$D$6:D3579,"Vastgesteld")&gt;1),1,0))</f>
        <v>0</v>
      </c>
    </row>
    <row r="3580">
      <c r="S3580" s="15" t="str">
        <f>IF(J3580="","",J3580&amp;"|"&amp;E3580&amp;"|"&amp;F3580&amp;"|"&amp;I3580&amp;"|"&amp;O3580)</f>
        <v/>
      </c>
      <c r="T3580" s="15" t="str">
        <f>IF(OR(S3580="",D3580&lt;&gt;"Vastgesteld"),"",_xlfn.MAXIFS($G$6:$G$5005,$S$6:$S$5005,S3580,$D$6:$D$5005,"Vastgesteld"))</f>
        <v/>
      </c>
      <c r="U3580" s="15">
        <f>IF(T3580="",0,IF(AND(G3580=T3580,COUNTIFS($S$6:S3580,S3580,$G$6:G3580,G3580,$D$6:D3580,"Vastgesteld")=1),1,0))</f>
        <v>0</v>
      </c>
      <c r="V3580" s="15">
        <f>IF(T3580="",0,IF(AND(G3580=T3580,COUNTIFS($S$6:S3580,S3580,$G$6:G3580,G3580,$D$6:D3580,"Vastgesteld")&gt;1),1,0))</f>
        <v>0</v>
      </c>
    </row>
    <row r="3581">
      <c r="S3581" s="15" t="str">
        <f>IF(J3581="","",J3581&amp;"|"&amp;E3581&amp;"|"&amp;F3581&amp;"|"&amp;I3581&amp;"|"&amp;O3581)</f>
        <v/>
      </c>
      <c r="T3581" s="15" t="str">
        <f>IF(OR(S3581="",D3581&lt;&gt;"Vastgesteld"),"",_xlfn.MAXIFS($G$6:$G$5005,$S$6:$S$5005,S3581,$D$6:$D$5005,"Vastgesteld"))</f>
        <v/>
      </c>
      <c r="U3581" s="15">
        <f>IF(T3581="",0,IF(AND(G3581=T3581,COUNTIFS($S$6:S3581,S3581,$G$6:G3581,G3581,$D$6:D3581,"Vastgesteld")=1),1,0))</f>
        <v>0</v>
      </c>
      <c r="V3581" s="15">
        <f>IF(T3581="",0,IF(AND(G3581=T3581,COUNTIFS($S$6:S3581,S3581,$G$6:G3581,G3581,$D$6:D3581,"Vastgesteld")&gt;1),1,0))</f>
        <v>0</v>
      </c>
    </row>
    <row r="3582">
      <c r="S3582" s="15" t="str">
        <f>IF(J3582="","",J3582&amp;"|"&amp;E3582&amp;"|"&amp;F3582&amp;"|"&amp;I3582&amp;"|"&amp;O3582)</f>
        <v/>
      </c>
      <c r="T3582" s="15" t="str">
        <f>IF(OR(S3582="",D3582&lt;&gt;"Vastgesteld"),"",_xlfn.MAXIFS($G$6:$G$5005,$S$6:$S$5005,S3582,$D$6:$D$5005,"Vastgesteld"))</f>
        <v/>
      </c>
      <c r="U3582" s="15">
        <f>IF(T3582="",0,IF(AND(G3582=T3582,COUNTIFS($S$6:S3582,S3582,$G$6:G3582,G3582,$D$6:D3582,"Vastgesteld")=1),1,0))</f>
        <v>0</v>
      </c>
      <c r="V3582" s="15">
        <f>IF(T3582="",0,IF(AND(G3582=T3582,COUNTIFS($S$6:S3582,S3582,$G$6:G3582,G3582,$D$6:D3582,"Vastgesteld")&gt;1),1,0))</f>
        <v>0</v>
      </c>
    </row>
    <row r="3583">
      <c r="S3583" s="15" t="str">
        <f>IF(J3583="","",J3583&amp;"|"&amp;E3583&amp;"|"&amp;F3583&amp;"|"&amp;I3583&amp;"|"&amp;O3583)</f>
        <v/>
      </c>
      <c r="T3583" s="15" t="str">
        <f>IF(OR(S3583="",D3583&lt;&gt;"Vastgesteld"),"",_xlfn.MAXIFS($G$6:$G$5005,$S$6:$S$5005,S3583,$D$6:$D$5005,"Vastgesteld"))</f>
        <v/>
      </c>
      <c r="U3583" s="15">
        <f>IF(T3583="",0,IF(AND(G3583=T3583,COUNTIFS($S$6:S3583,S3583,$G$6:G3583,G3583,$D$6:D3583,"Vastgesteld")=1),1,0))</f>
        <v>0</v>
      </c>
      <c r="V3583" s="15">
        <f>IF(T3583="",0,IF(AND(G3583=T3583,COUNTIFS($S$6:S3583,S3583,$G$6:G3583,G3583,$D$6:D3583,"Vastgesteld")&gt;1),1,0))</f>
        <v>0</v>
      </c>
    </row>
    <row r="3584">
      <c r="S3584" s="15" t="str">
        <f>IF(J3584="","",J3584&amp;"|"&amp;E3584&amp;"|"&amp;F3584&amp;"|"&amp;I3584&amp;"|"&amp;O3584)</f>
        <v/>
      </c>
      <c r="T3584" s="15" t="str">
        <f>IF(OR(S3584="",D3584&lt;&gt;"Vastgesteld"),"",_xlfn.MAXIFS($G$6:$G$5005,$S$6:$S$5005,S3584,$D$6:$D$5005,"Vastgesteld"))</f>
        <v/>
      </c>
      <c r="U3584" s="15">
        <f>IF(T3584="",0,IF(AND(G3584=T3584,COUNTIFS($S$6:S3584,S3584,$G$6:G3584,G3584,$D$6:D3584,"Vastgesteld")=1),1,0))</f>
        <v>0</v>
      </c>
      <c r="V3584" s="15">
        <f>IF(T3584="",0,IF(AND(G3584=T3584,COUNTIFS($S$6:S3584,S3584,$G$6:G3584,G3584,$D$6:D3584,"Vastgesteld")&gt;1),1,0))</f>
        <v>0</v>
      </c>
    </row>
    <row r="3585">
      <c r="S3585" s="15" t="str">
        <f>IF(J3585="","",J3585&amp;"|"&amp;E3585&amp;"|"&amp;F3585&amp;"|"&amp;I3585&amp;"|"&amp;O3585)</f>
        <v/>
      </c>
      <c r="T3585" s="15" t="str">
        <f>IF(OR(S3585="",D3585&lt;&gt;"Vastgesteld"),"",_xlfn.MAXIFS($G$6:$G$5005,$S$6:$S$5005,S3585,$D$6:$D$5005,"Vastgesteld"))</f>
        <v/>
      </c>
      <c r="U3585" s="15">
        <f>IF(T3585="",0,IF(AND(G3585=T3585,COUNTIFS($S$6:S3585,S3585,$G$6:G3585,G3585,$D$6:D3585,"Vastgesteld")=1),1,0))</f>
        <v>0</v>
      </c>
      <c r="V3585" s="15">
        <f>IF(T3585="",0,IF(AND(G3585=T3585,COUNTIFS($S$6:S3585,S3585,$G$6:G3585,G3585,$D$6:D3585,"Vastgesteld")&gt;1),1,0))</f>
        <v>0</v>
      </c>
    </row>
    <row r="3586">
      <c r="S3586" s="15" t="str">
        <f>IF(J3586="","",J3586&amp;"|"&amp;E3586&amp;"|"&amp;F3586&amp;"|"&amp;I3586&amp;"|"&amp;O3586)</f>
        <v/>
      </c>
      <c r="T3586" s="15" t="str">
        <f>IF(OR(S3586="",D3586&lt;&gt;"Vastgesteld"),"",_xlfn.MAXIFS($G$6:$G$5005,$S$6:$S$5005,S3586,$D$6:$D$5005,"Vastgesteld"))</f>
        <v/>
      </c>
      <c r="U3586" s="15">
        <f>IF(T3586="",0,IF(AND(G3586=T3586,COUNTIFS($S$6:S3586,S3586,$G$6:G3586,G3586,$D$6:D3586,"Vastgesteld")=1),1,0))</f>
        <v>0</v>
      </c>
      <c r="V3586" s="15">
        <f>IF(T3586="",0,IF(AND(G3586=T3586,COUNTIFS($S$6:S3586,S3586,$G$6:G3586,G3586,$D$6:D3586,"Vastgesteld")&gt;1),1,0))</f>
        <v>0</v>
      </c>
    </row>
    <row r="3587">
      <c r="S3587" s="15" t="str">
        <f>IF(J3587="","",J3587&amp;"|"&amp;E3587&amp;"|"&amp;F3587&amp;"|"&amp;I3587&amp;"|"&amp;O3587)</f>
        <v/>
      </c>
      <c r="T3587" s="15" t="str">
        <f>IF(OR(S3587="",D3587&lt;&gt;"Vastgesteld"),"",_xlfn.MAXIFS($G$6:$G$5005,$S$6:$S$5005,S3587,$D$6:$D$5005,"Vastgesteld"))</f>
        <v/>
      </c>
      <c r="U3587" s="15">
        <f>IF(T3587="",0,IF(AND(G3587=T3587,COUNTIFS($S$6:S3587,S3587,$G$6:G3587,G3587,$D$6:D3587,"Vastgesteld")=1),1,0))</f>
        <v>0</v>
      </c>
      <c r="V3587" s="15">
        <f>IF(T3587="",0,IF(AND(G3587=T3587,COUNTIFS($S$6:S3587,S3587,$G$6:G3587,G3587,$D$6:D3587,"Vastgesteld")&gt;1),1,0))</f>
        <v>0</v>
      </c>
    </row>
    <row r="3588">
      <c r="S3588" s="15" t="str">
        <f>IF(J3588="","",J3588&amp;"|"&amp;E3588&amp;"|"&amp;F3588&amp;"|"&amp;I3588&amp;"|"&amp;O3588)</f>
        <v/>
      </c>
      <c r="T3588" s="15" t="str">
        <f>IF(OR(S3588="",D3588&lt;&gt;"Vastgesteld"),"",_xlfn.MAXIFS($G$6:$G$5005,$S$6:$S$5005,S3588,$D$6:$D$5005,"Vastgesteld"))</f>
        <v/>
      </c>
      <c r="U3588" s="15">
        <f>IF(T3588="",0,IF(AND(G3588=T3588,COUNTIFS($S$6:S3588,S3588,$G$6:G3588,G3588,$D$6:D3588,"Vastgesteld")=1),1,0))</f>
        <v>0</v>
      </c>
      <c r="V3588" s="15">
        <f>IF(T3588="",0,IF(AND(G3588=T3588,COUNTIFS($S$6:S3588,S3588,$G$6:G3588,G3588,$D$6:D3588,"Vastgesteld")&gt;1),1,0))</f>
        <v>0</v>
      </c>
    </row>
    <row r="3589">
      <c r="S3589" s="15" t="str">
        <f>IF(J3589="","",J3589&amp;"|"&amp;E3589&amp;"|"&amp;F3589&amp;"|"&amp;I3589&amp;"|"&amp;O3589)</f>
        <v/>
      </c>
      <c r="T3589" s="15" t="str">
        <f>IF(OR(S3589="",D3589&lt;&gt;"Vastgesteld"),"",_xlfn.MAXIFS($G$6:$G$5005,$S$6:$S$5005,S3589,$D$6:$D$5005,"Vastgesteld"))</f>
        <v/>
      </c>
      <c r="U3589" s="15">
        <f>IF(T3589="",0,IF(AND(G3589=T3589,COUNTIFS($S$6:S3589,S3589,$G$6:G3589,G3589,$D$6:D3589,"Vastgesteld")=1),1,0))</f>
        <v>0</v>
      </c>
      <c r="V3589" s="15">
        <f>IF(T3589="",0,IF(AND(G3589=T3589,COUNTIFS($S$6:S3589,S3589,$G$6:G3589,G3589,$D$6:D3589,"Vastgesteld")&gt;1),1,0))</f>
        <v>0</v>
      </c>
    </row>
    <row r="3590">
      <c r="S3590" s="15" t="str">
        <f>IF(J3590="","",J3590&amp;"|"&amp;E3590&amp;"|"&amp;F3590&amp;"|"&amp;I3590&amp;"|"&amp;O3590)</f>
        <v/>
      </c>
      <c r="T3590" s="15" t="str">
        <f>IF(OR(S3590="",D3590&lt;&gt;"Vastgesteld"),"",_xlfn.MAXIFS($G$6:$G$5005,$S$6:$S$5005,S3590,$D$6:$D$5005,"Vastgesteld"))</f>
        <v/>
      </c>
      <c r="U3590" s="15">
        <f>IF(T3590="",0,IF(AND(G3590=T3590,COUNTIFS($S$6:S3590,S3590,$G$6:G3590,G3590,$D$6:D3590,"Vastgesteld")=1),1,0))</f>
        <v>0</v>
      </c>
      <c r="V3590" s="15">
        <f>IF(T3590="",0,IF(AND(G3590=T3590,COUNTIFS($S$6:S3590,S3590,$G$6:G3590,G3590,$D$6:D3590,"Vastgesteld")&gt;1),1,0))</f>
        <v>0</v>
      </c>
    </row>
    <row r="3591">
      <c r="S3591" s="15" t="str">
        <f>IF(J3591="","",J3591&amp;"|"&amp;E3591&amp;"|"&amp;F3591&amp;"|"&amp;I3591&amp;"|"&amp;O3591)</f>
        <v/>
      </c>
      <c r="T3591" s="15" t="str">
        <f>IF(OR(S3591="",D3591&lt;&gt;"Vastgesteld"),"",_xlfn.MAXIFS($G$6:$G$5005,$S$6:$S$5005,S3591,$D$6:$D$5005,"Vastgesteld"))</f>
        <v/>
      </c>
      <c r="U3591" s="15">
        <f>IF(T3591="",0,IF(AND(G3591=T3591,COUNTIFS($S$6:S3591,S3591,$G$6:G3591,G3591,$D$6:D3591,"Vastgesteld")=1),1,0))</f>
        <v>0</v>
      </c>
      <c r="V3591" s="15">
        <f>IF(T3591="",0,IF(AND(G3591=T3591,COUNTIFS($S$6:S3591,S3591,$G$6:G3591,G3591,$D$6:D3591,"Vastgesteld")&gt;1),1,0))</f>
        <v>0</v>
      </c>
    </row>
    <row r="3592">
      <c r="S3592" s="15" t="str">
        <f>IF(J3592="","",J3592&amp;"|"&amp;E3592&amp;"|"&amp;F3592&amp;"|"&amp;I3592&amp;"|"&amp;O3592)</f>
        <v/>
      </c>
      <c r="T3592" s="15" t="str">
        <f>IF(OR(S3592="",D3592&lt;&gt;"Vastgesteld"),"",_xlfn.MAXIFS($G$6:$G$5005,$S$6:$S$5005,S3592,$D$6:$D$5005,"Vastgesteld"))</f>
        <v/>
      </c>
      <c r="U3592" s="15">
        <f>IF(T3592="",0,IF(AND(G3592=T3592,COUNTIFS($S$6:S3592,S3592,$G$6:G3592,G3592,$D$6:D3592,"Vastgesteld")=1),1,0))</f>
        <v>0</v>
      </c>
      <c r="V3592" s="15">
        <f>IF(T3592="",0,IF(AND(G3592=T3592,COUNTIFS($S$6:S3592,S3592,$G$6:G3592,G3592,$D$6:D3592,"Vastgesteld")&gt;1),1,0))</f>
        <v>0</v>
      </c>
    </row>
    <row r="3593">
      <c r="S3593" s="15" t="str">
        <f>IF(J3593="","",J3593&amp;"|"&amp;E3593&amp;"|"&amp;F3593&amp;"|"&amp;I3593&amp;"|"&amp;O3593)</f>
        <v/>
      </c>
      <c r="T3593" s="15" t="str">
        <f>IF(OR(S3593="",D3593&lt;&gt;"Vastgesteld"),"",_xlfn.MAXIFS($G$6:$G$5005,$S$6:$S$5005,S3593,$D$6:$D$5005,"Vastgesteld"))</f>
        <v/>
      </c>
      <c r="U3593" s="15">
        <f>IF(T3593="",0,IF(AND(G3593=T3593,COUNTIFS($S$6:S3593,S3593,$G$6:G3593,G3593,$D$6:D3593,"Vastgesteld")=1),1,0))</f>
        <v>0</v>
      </c>
      <c r="V3593" s="15">
        <f>IF(T3593="",0,IF(AND(G3593=T3593,COUNTIFS($S$6:S3593,S3593,$G$6:G3593,G3593,$D$6:D3593,"Vastgesteld")&gt;1),1,0))</f>
        <v>0</v>
      </c>
    </row>
    <row r="3594">
      <c r="S3594" s="15" t="str">
        <f>IF(J3594="","",J3594&amp;"|"&amp;E3594&amp;"|"&amp;F3594&amp;"|"&amp;I3594&amp;"|"&amp;O3594)</f>
        <v/>
      </c>
      <c r="T3594" s="15" t="str">
        <f>IF(OR(S3594="",D3594&lt;&gt;"Vastgesteld"),"",_xlfn.MAXIFS($G$6:$G$5005,$S$6:$S$5005,S3594,$D$6:$D$5005,"Vastgesteld"))</f>
        <v/>
      </c>
      <c r="U3594" s="15">
        <f>IF(T3594="",0,IF(AND(G3594=T3594,COUNTIFS($S$6:S3594,S3594,$G$6:G3594,G3594,$D$6:D3594,"Vastgesteld")=1),1,0))</f>
        <v>0</v>
      </c>
      <c r="V3594" s="15">
        <f>IF(T3594="",0,IF(AND(G3594=T3594,COUNTIFS($S$6:S3594,S3594,$G$6:G3594,G3594,$D$6:D3594,"Vastgesteld")&gt;1),1,0))</f>
        <v>0</v>
      </c>
    </row>
    <row r="3595">
      <c r="S3595" s="15" t="str">
        <f>IF(J3595="","",J3595&amp;"|"&amp;E3595&amp;"|"&amp;F3595&amp;"|"&amp;I3595&amp;"|"&amp;O3595)</f>
        <v/>
      </c>
      <c r="T3595" s="15" t="str">
        <f>IF(OR(S3595="",D3595&lt;&gt;"Vastgesteld"),"",_xlfn.MAXIFS($G$6:$G$5005,$S$6:$S$5005,S3595,$D$6:$D$5005,"Vastgesteld"))</f>
        <v/>
      </c>
      <c r="U3595" s="15">
        <f>IF(T3595="",0,IF(AND(G3595=T3595,COUNTIFS($S$6:S3595,S3595,$G$6:G3595,G3595,$D$6:D3595,"Vastgesteld")=1),1,0))</f>
        <v>0</v>
      </c>
      <c r="V3595" s="15">
        <f>IF(T3595="",0,IF(AND(G3595=T3595,COUNTIFS($S$6:S3595,S3595,$G$6:G3595,G3595,$D$6:D3595,"Vastgesteld")&gt;1),1,0))</f>
        <v>0</v>
      </c>
    </row>
    <row r="3596">
      <c r="S3596" s="15" t="str">
        <f>IF(J3596="","",J3596&amp;"|"&amp;E3596&amp;"|"&amp;F3596&amp;"|"&amp;I3596&amp;"|"&amp;O3596)</f>
        <v/>
      </c>
      <c r="T3596" s="15" t="str">
        <f>IF(OR(S3596="",D3596&lt;&gt;"Vastgesteld"),"",_xlfn.MAXIFS($G$6:$G$5005,$S$6:$S$5005,S3596,$D$6:$D$5005,"Vastgesteld"))</f>
        <v/>
      </c>
      <c r="U3596" s="15">
        <f>IF(T3596="",0,IF(AND(G3596=T3596,COUNTIFS($S$6:S3596,S3596,$G$6:G3596,G3596,$D$6:D3596,"Vastgesteld")=1),1,0))</f>
        <v>0</v>
      </c>
      <c r="V3596" s="15">
        <f>IF(T3596="",0,IF(AND(G3596=T3596,COUNTIFS($S$6:S3596,S3596,$G$6:G3596,G3596,$D$6:D3596,"Vastgesteld")&gt;1),1,0))</f>
        <v>0</v>
      </c>
    </row>
    <row r="3597">
      <c r="S3597" s="15" t="str">
        <f>IF(J3597="","",J3597&amp;"|"&amp;E3597&amp;"|"&amp;F3597&amp;"|"&amp;I3597&amp;"|"&amp;O3597)</f>
        <v/>
      </c>
      <c r="T3597" s="15" t="str">
        <f>IF(OR(S3597="",D3597&lt;&gt;"Vastgesteld"),"",_xlfn.MAXIFS($G$6:$G$5005,$S$6:$S$5005,S3597,$D$6:$D$5005,"Vastgesteld"))</f>
        <v/>
      </c>
      <c r="U3597" s="15">
        <f>IF(T3597="",0,IF(AND(G3597=T3597,COUNTIFS($S$6:S3597,S3597,$G$6:G3597,G3597,$D$6:D3597,"Vastgesteld")=1),1,0))</f>
        <v>0</v>
      </c>
      <c r="V3597" s="15">
        <f>IF(T3597="",0,IF(AND(G3597=T3597,COUNTIFS($S$6:S3597,S3597,$G$6:G3597,G3597,$D$6:D3597,"Vastgesteld")&gt;1),1,0))</f>
        <v>0</v>
      </c>
    </row>
    <row r="3598">
      <c r="S3598" s="15" t="str">
        <f>IF(J3598="","",J3598&amp;"|"&amp;E3598&amp;"|"&amp;F3598&amp;"|"&amp;I3598&amp;"|"&amp;O3598)</f>
        <v/>
      </c>
      <c r="T3598" s="15" t="str">
        <f>IF(OR(S3598="",D3598&lt;&gt;"Vastgesteld"),"",_xlfn.MAXIFS($G$6:$G$5005,$S$6:$S$5005,S3598,$D$6:$D$5005,"Vastgesteld"))</f>
        <v/>
      </c>
      <c r="U3598" s="15">
        <f>IF(T3598="",0,IF(AND(G3598=T3598,COUNTIFS($S$6:S3598,S3598,$G$6:G3598,G3598,$D$6:D3598,"Vastgesteld")=1),1,0))</f>
        <v>0</v>
      </c>
      <c r="V3598" s="15">
        <f>IF(T3598="",0,IF(AND(G3598=T3598,COUNTIFS($S$6:S3598,S3598,$G$6:G3598,G3598,$D$6:D3598,"Vastgesteld")&gt;1),1,0))</f>
        <v>0</v>
      </c>
    </row>
    <row r="3599">
      <c r="S3599" s="15" t="str">
        <f>IF(J3599="","",J3599&amp;"|"&amp;E3599&amp;"|"&amp;F3599&amp;"|"&amp;I3599&amp;"|"&amp;O3599)</f>
        <v/>
      </c>
      <c r="T3599" s="15" t="str">
        <f>IF(OR(S3599="",D3599&lt;&gt;"Vastgesteld"),"",_xlfn.MAXIFS($G$6:$G$5005,$S$6:$S$5005,S3599,$D$6:$D$5005,"Vastgesteld"))</f>
        <v/>
      </c>
      <c r="U3599" s="15">
        <f>IF(T3599="",0,IF(AND(G3599=T3599,COUNTIFS($S$6:S3599,S3599,$G$6:G3599,G3599,$D$6:D3599,"Vastgesteld")=1),1,0))</f>
        <v>0</v>
      </c>
      <c r="V3599" s="15">
        <f>IF(T3599="",0,IF(AND(G3599=T3599,COUNTIFS($S$6:S3599,S3599,$G$6:G3599,G3599,$D$6:D3599,"Vastgesteld")&gt;1),1,0))</f>
        <v>0</v>
      </c>
    </row>
    <row r="3600">
      <c r="S3600" s="15" t="str">
        <f>IF(J3600="","",J3600&amp;"|"&amp;E3600&amp;"|"&amp;F3600&amp;"|"&amp;I3600&amp;"|"&amp;O3600)</f>
        <v/>
      </c>
      <c r="T3600" s="15" t="str">
        <f>IF(OR(S3600="",D3600&lt;&gt;"Vastgesteld"),"",_xlfn.MAXIFS($G$6:$G$5005,$S$6:$S$5005,S3600,$D$6:$D$5005,"Vastgesteld"))</f>
        <v/>
      </c>
      <c r="U3600" s="15">
        <f>IF(T3600="",0,IF(AND(G3600=T3600,COUNTIFS($S$6:S3600,S3600,$G$6:G3600,G3600,$D$6:D3600,"Vastgesteld")=1),1,0))</f>
        <v>0</v>
      </c>
      <c r="V3600" s="15">
        <f>IF(T3600="",0,IF(AND(G3600=T3600,COUNTIFS($S$6:S3600,S3600,$G$6:G3600,G3600,$D$6:D3600,"Vastgesteld")&gt;1),1,0))</f>
        <v>0</v>
      </c>
    </row>
    <row r="3601">
      <c r="S3601" s="15" t="str">
        <f>IF(J3601="","",J3601&amp;"|"&amp;E3601&amp;"|"&amp;F3601&amp;"|"&amp;I3601&amp;"|"&amp;O3601)</f>
        <v/>
      </c>
      <c r="T3601" s="15" t="str">
        <f>IF(OR(S3601="",D3601&lt;&gt;"Vastgesteld"),"",_xlfn.MAXIFS($G$6:$G$5005,$S$6:$S$5005,S3601,$D$6:$D$5005,"Vastgesteld"))</f>
        <v/>
      </c>
      <c r="U3601" s="15">
        <f>IF(T3601="",0,IF(AND(G3601=T3601,COUNTIFS($S$6:S3601,S3601,$G$6:G3601,G3601,$D$6:D3601,"Vastgesteld")=1),1,0))</f>
        <v>0</v>
      </c>
      <c r="V3601" s="15">
        <f>IF(T3601="",0,IF(AND(G3601=T3601,COUNTIFS($S$6:S3601,S3601,$G$6:G3601,G3601,$D$6:D3601,"Vastgesteld")&gt;1),1,0))</f>
        <v>0</v>
      </c>
    </row>
    <row r="3602">
      <c r="S3602" s="15" t="str">
        <f>IF(J3602="","",J3602&amp;"|"&amp;E3602&amp;"|"&amp;F3602&amp;"|"&amp;I3602&amp;"|"&amp;O3602)</f>
        <v/>
      </c>
      <c r="T3602" s="15" t="str">
        <f>IF(OR(S3602="",D3602&lt;&gt;"Vastgesteld"),"",_xlfn.MAXIFS($G$6:$G$5005,$S$6:$S$5005,S3602,$D$6:$D$5005,"Vastgesteld"))</f>
        <v/>
      </c>
      <c r="U3602" s="15">
        <f>IF(T3602="",0,IF(AND(G3602=T3602,COUNTIFS($S$6:S3602,S3602,$G$6:G3602,G3602,$D$6:D3602,"Vastgesteld")=1),1,0))</f>
        <v>0</v>
      </c>
      <c r="V3602" s="15">
        <f>IF(T3602="",0,IF(AND(G3602=T3602,COUNTIFS($S$6:S3602,S3602,$G$6:G3602,G3602,$D$6:D3602,"Vastgesteld")&gt;1),1,0))</f>
        <v>0</v>
      </c>
    </row>
    <row r="3603">
      <c r="S3603" s="15" t="str">
        <f>IF(J3603="","",J3603&amp;"|"&amp;E3603&amp;"|"&amp;F3603&amp;"|"&amp;I3603&amp;"|"&amp;O3603)</f>
        <v/>
      </c>
      <c r="T3603" s="15" t="str">
        <f>IF(OR(S3603="",D3603&lt;&gt;"Vastgesteld"),"",_xlfn.MAXIFS($G$6:$G$5005,$S$6:$S$5005,S3603,$D$6:$D$5005,"Vastgesteld"))</f>
        <v/>
      </c>
      <c r="U3603" s="15">
        <f>IF(T3603="",0,IF(AND(G3603=T3603,COUNTIFS($S$6:S3603,S3603,$G$6:G3603,G3603,$D$6:D3603,"Vastgesteld")=1),1,0))</f>
        <v>0</v>
      </c>
      <c r="V3603" s="15">
        <f>IF(T3603="",0,IF(AND(G3603=T3603,COUNTIFS($S$6:S3603,S3603,$G$6:G3603,G3603,$D$6:D3603,"Vastgesteld")&gt;1),1,0))</f>
        <v>0</v>
      </c>
    </row>
    <row r="3604">
      <c r="S3604" s="15" t="str">
        <f>IF(J3604="","",J3604&amp;"|"&amp;E3604&amp;"|"&amp;F3604&amp;"|"&amp;I3604&amp;"|"&amp;O3604)</f>
        <v/>
      </c>
      <c r="T3604" s="15" t="str">
        <f>IF(OR(S3604="",D3604&lt;&gt;"Vastgesteld"),"",_xlfn.MAXIFS($G$6:$G$5005,$S$6:$S$5005,S3604,$D$6:$D$5005,"Vastgesteld"))</f>
        <v/>
      </c>
      <c r="U3604" s="15">
        <f>IF(T3604="",0,IF(AND(G3604=T3604,COUNTIFS($S$6:S3604,S3604,$G$6:G3604,G3604,$D$6:D3604,"Vastgesteld")=1),1,0))</f>
        <v>0</v>
      </c>
      <c r="V3604" s="15">
        <f>IF(T3604="",0,IF(AND(G3604=T3604,COUNTIFS($S$6:S3604,S3604,$G$6:G3604,G3604,$D$6:D3604,"Vastgesteld")&gt;1),1,0))</f>
        <v>0</v>
      </c>
    </row>
    <row r="3605">
      <c r="S3605" s="15" t="str">
        <f>IF(J3605="","",J3605&amp;"|"&amp;E3605&amp;"|"&amp;F3605&amp;"|"&amp;I3605&amp;"|"&amp;O3605)</f>
        <v/>
      </c>
      <c r="T3605" s="15" t="str">
        <f>IF(OR(S3605="",D3605&lt;&gt;"Vastgesteld"),"",_xlfn.MAXIFS($G$6:$G$5005,$S$6:$S$5005,S3605,$D$6:$D$5005,"Vastgesteld"))</f>
        <v/>
      </c>
      <c r="U3605" s="15">
        <f>IF(T3605="",0,IF(AND(G3605=T3605,COUNTIFS($S$6:S3605,S3605,$G$6:G3605,G3605,$D$6:D3605,"Vastgesteld")=1),1,0))</f>
        <v>0</v>
      </c>
      <c r="V3605" s="15">
        <f>IF(T3605="",0,IF(AND(G3605=T3605,COUNTIFS($S$6:S3605,S3605,$G$6:G3605,G3605,$D$6:D3605,"Vastgesteld")&gt;1),1,0))</f>
        <v>0</v>
      </c>
    </row>
    <row r="3606">
      <c r="S3606" s="15" t="str">
        <f>IF(J3606="","",J3606&amp;"|"&amp;E3606&amp;"|"&amp;F3606&amp;"|"&amp;I3606&amp;"|"&amp;O3606)</f>
        <v/>
      </c>
      <c r="T3606" s="15" t="str">
        <f>IF(OR(S3606="",D3606&lt;&gt;"Vastgesteld"),"",_xlfn.MAXIFS($G$6:$G$5005,$S$6:$S$5005,S3606,$D$6:$D$5005,"Vastgesteld"))</f>
        <v/>
      </c>
      <c r="U3606" s="15">
        <f>IF(T3606="",0,IF(AND(G3606=T3606,COUNTIFS($S$6:S3606,S3606,$G$6:G3606,G3606,$D$6:D3606,"Vastgesteld")=1),1,0))</f>
        <v>0</v>
      </c>
      <c r="V3606" s="15">
        <f>IF(T3606="",0,IF(AND(G3606=T3606,COUNTIFS($S$6:S3606,S3606,$G$6:G3606,G3606,$D$6:D3606,"Vastgesteld")&gt;1),1,0))</f>
        <v>0</v>
      </c>
    </row>
    <row r="3607">
      <c r="S3607" s="15" t="str">
        <f>IF(J3607="","",J3607&amp;"|"&amp;E3607&amp;"|"&amp;F3607&amp;"|"&amp;I3607&amp;"|"&amp;O3607)</f>
        <v/>
      </c>
      <c r="T3607" s="15" t="str">
        <f>IF(OR(S3607="",D3607&lt;&gt;"Vastgesteld"),"",_xlfn.MAXIFS($G$6:$G$5005,$S$6:$S$5005,S3607,$D$6:$D$5005,"Vastgesteld"))</f>
        <v/>
      </c>
      <c r="U3607" s="15">
        <f>IF(T3607="",0,IF(AND(G3607=T3607,COUNTIFS($S$6:S3607,S3607,$G$6:G3607,G3607,$D$6:D3607,"Vastgesteld")=1),1,0))</f>
        <v>0</v>
      </c>
      <c r="V3607" s="15">
        <f>IF(T3607="",0,IF(AND(G3607=T3607,COUNTIFS($S$6:S3607,S3607,$G$6:G3607,G3607,$D$6:D3607,"Vastgesteld")&gt;1),1,0))</f>
        <v>0</v>
      </c>
    </row>
    <row r="3608">
      <c r="S3608" s="15" t="str">
        <f>IF(J3608="","",J3608&amp;"|"&amp;E3608&amp;"|"&amp;F3608&amp;"|"&amp;I3608&amp;"|"&amp;O3608)</f>
        <v/>
      </c>
      <c r="T3608" s="15" t="str">
        <f>IF(OR(S3608="",D3608&lt;&gt;"Vastgesteld"),"",_xlfn.MAXIFS($G$6:$G$5005,$S$6:$S$5005,S3608,$D$6:$D$5005,"Vastgesteld"))</f>
        <v/>
      </c>
      <c r="U3608" s="15">
        <f>IF(T3608="",0,IF(AND(G3608=T3608,COUNTIFS($S$6:S3608,S3608,$G$6:G3608,G3608,$D$6:D3608,"Vastgesteld")=1),1,0))</f>
        <v>0</v>
      </c>
      <c r="V3608" s="15">
        <f>IF(T3608="",0,IF(AND(G3608=T3608,COUNTIFS($S$6:S3608,S3608,$G$6:G3608,G3608,$D$6:D3608,"Vastgesteld")&gt;1),1,0))</f>
        <v>0</v>
      </c>
    </row>
    <row r="3609">
      <c r="S3609" s="15" t="str">
        <f>IF(J3609="","",J3609&amp;"|"&amp;E3609&amp;"|"&amp;F3609&amp;"|"&amp;I3609&amp;"|"&amp;O3609)</f>
        <v/>
      </c>
      <c r="T3609" s="15" t="str">
        <f>IF(OR(S3609="",D3609&lt;&gt;"Vastgesteld"),"",_xlfn.MAXIFS($G$6:$G$5005,$S$6:$S$5005,S3609,$D$6:$D$5005,"Vastgesteld"))</f>
        <v/>
      </c>
      <c r="U3609" s="15">
        <f>IF(T3609="",0,IF(AND(G3609=T3609,COUNTIFS($S$6:S3609,S3609,$G$6:G3609,G3609,$D$6:D3609,"Vastgesteld")=1),1,0))</f>
        <v>0</v>
      </c>
      <c r="V3609" s="15">
        <f>IF(T3609="",0,IF(AND(G3609=T3609,COUNTIFS($S$6:S3609,S3609,$G$6:G3609,G3609,$D$6:D3609,"Vastgesteld")&gt;1),1,0))</f>
        <v>0</v>
      </c>
    </row>
    <row r="3610">
      <c r="S3610" s="15" t="str">
        <f>IF(J3610="","",J3610&amp;"|"&amp;E3610&amp;"|"&amp;F3610&amp;"|"&amp;I3610&amp;"|"&amp;O3610)</f>
        <v/>
      </c>
      <c r="T3610" s="15" t="str">
        <f>IF(OR(S3610="",D3610&lt;&gt;"Vastgesteld"),"",_xlfn.MAXIFS($G$6:$G$5005,$S$6:$S$5005,S3610,$D$6:$D$5005,"Vastgesteld"))</f>
        <v/>
      </c>
      <c r="U3610" s="15">
        <f>IF(T3610="",0,IF(AND(G3610=T3610,COUNTIFS($S$6:S3610,S3610,$G$6:G3610,G3610,$D$6:D3610,"Vastgesteld")=1),1,0))</f>
        <v>0</v>
      </c>
      <c r="V3610" s="15">
        <f>IF(T3610="",0,IF(AND(G3610=T3610,COUNTIFS($S$6:S3610,S3610,$G$6:G3610,G3610,$D$6:D3610,"Vastgesteld")&gt;1),1,0))</f>
        <v>0</v>
      </c>
    </row>
    <row r="3611">
      <c r="S3611" s="15" t="str">
        <f>IF(J3611="","",J3611&amp;"|"&amp;E3611&amp;"|"&amp;F3611&amp;"|"&amp;I3611&amp;"|"&amp;O3611)</f>
        <v/>
      </c>
      <c r="T3611" s="15" t="str">
        <f>IF(OR(S3611="",D3611&lt;&gt;"Vastgesteld"),"",_xlfn.MAXIFS($G$6:$G$5005,$S$6:$S$5005,S3611,$D$6:$D$5005,"Vastgesteld"))</f>
        <v/>
      </c>
      <c r="U3611" s="15">
        <f>IF(T3611="",0,IF(AND(G3611=T3611,COUNTIFS($S$6:S3611,S3611,$G$6:G3611,G3611,$D$6:D3611,"Vastgesteld")=1),1,0))</f>
        <v>0</v>
      </c>
      <c r="V3611" s="15">
        <f>IF(T3611="",0,IF(AND(G3611=T3611,COUNTIFS($S$6:S3611,S3611,$G$6:G3611,G3611,$D$6:D3611,"Vastgesteld")&gt;1),1,0))</f>
        <v>0</v>
      </c>
    </row>
    <row r="3612">
      <c r="S3612" s="15" t="str">
        <f>IF(J3612="","",J3612&amp;"|"&amp;E3612&amp;"|"&amp;F3612&amp;"|"&amp;I3612&amp;"|"&amp;O3612)</f>
        <v/>
      </c>
      <c r="T3612" s="15" t="str">
        <f>IF(OR(S3612="",D3612&lt;&gt;"Vastgesteld"),"",_xlfn.MAXIFS($G$6:$G$5005,$S$6:$S$5005,S3612,$D$6:$D$5005,"Vastgesteld"))</f>
        <v/>
      </c>
      <c r="U3612" s="15">
        <f>IF(T3612="",0,IF(AND(G3612=T3612,COUNTIFS($S$6:S3612,S3612,$G$6:G3612,G3612,$D$6:D3612,"Vastgesteld")=1),1,0))</f>
        <v>0</v>
      </c>
      <c r="V3612" s="15">
        <f>IF(T3612="",0,IF(AND(G3612=T3612,COUNTIFS($S$6:S3612,S3612,$G$6:G3612,G3612,$D$6:D3612,"Vastgesteld")&gt;1),1,0))</f>
        <v>0</v>
      </c>
    </row>
    <row r="3613">
      <c r="S3613" s="15" t="str">
        <f>IF(J3613="","",J3613&amp;"|"&amp;E3613&amp;"|"&amp;F3613&amp;"|"&amp;I3613&amp;"|"&amp;O3613)</f>
        <v/>
      </c>
      <c r="T3613" s="15" t="str">
        <f>IF(OR(S3613="",D3613&lt;&gt;"Vastgesteld"),"",_xlfn.MAXIFS($G$6:$G$5005,$S$6:$S$5005,S3613,$D$6:$D$5005,"Vastgesteld"))</f>
        <v/>
      </c>
      <c r="U3613" s="15">
        <f>IF(T3613="",0,IF(AND(G3613=T3613,COUNTIFS($S$6:S3613,S3613,$G$6:G3613,G3613,$D$6:D3613,"Vastgesteld")=1),1,0))</f>
        <v>0</v>
      </c>
      <c r="V3613" s="15">
        <f>IF(T3613="",0,IF(AND(G3613=T3613,COUNTIFS($S$6:S3613,S3613,$G$6:G3613,G3613,$D$6:D3613,"Vastgesteld")&gt;1),1,0))</f>
        <v>0</v>
      </c>
    </row>
    <row r="3614">
      <c r="S3614" s="15" t="str">
        <f>IF(J3614="","",J3614&amp;"|"&amp;E3614&amp;"|"&amp;F3614&amp;"|"&amp;I3614&amp;"|"&amp;O3614)</f>
        <v/>
      </c>
      <c r="T3614" s="15" t="str">
        <f>IF(OR(S3614="",D3614&lt;&gt;"Vastgesteld"),"",_xlfn.MAXIFS($G$6:$G$5005,$S$6:$S$5005,S3614,$D$6:$D$5005,"Vastgesteld"))</f>
        <v/>
      </c>
      <c r="U3614" s="15">
        <f>IF(T3614="",0,IF(AND(G3614=T3614,COUNTIFS($S$6:S3614,S3614,$G$6:G3614,G3614,$D$6:D3614,"Vastgesteld")=1),1,0))</f>
        <v>0</v>
      </c>
      <c r="V3614" s="15">
        <f>IF(T3614="",0,IF(AND(G3614=T3614,COUNTIFS($S$6:S3614,S3614,$G$6:G3614,G3614,$D$6:D3614,"Vastgesteld")&gt;1),1,0))</f>
        <v>0</v>
      </c>
    </row>
    <row r="3615">
      <c r="S3615" s="15" t="str">
        <f>IF(J3615="","",J3615&amp;"|"&amp;E3615&amp;"|"&amp;F3615&amp;"|"&amp;I3615&amp;"|"&amp;O3615)</f>
        <v/>
      </c>
      <c r="T3615" s="15" t="str">
        <f>IF(OR(S3615="",D3615&lt;&gt;"Vastgesteld"),"",_xlfn.MAXIFS($G$6:$G$5005,$S$6:$S$5005,S3615,$D$6:$D$5005,"Vastgesteld"))</f>
        <v/>
      </c>
      <c r="U3615" s="15">
        <f>IF(T3615="",0,IF(AND(G3615=T3615,COUNTIFS($S$6:S3615,S3615,$G$6:G3615,G3615,$D$6:D3615,"Vastgesteld")=1),1,0))</f>
        <v>0</v>
      </c>
      <c r="V3615" s="15">
        <f>IF(T3615="",0,IF(AND(G3615=T3615,COUNTIFS($S$6:S3615,S3615,$G$6:G3615,G3615,$D$6:D3615,"Vastgesteld")&gt;1),1,0))</f>
        <v>0</v>
      </c>
    </row>
    <row r="3616">
      <c r="S3616" s="15" t="str">
        <f>IF(J3616="","",J3616&amp;"|"&amp;E3616&amp;"|"&amp;F3616&amp;"|"&amp;I3616&amp;"|"&amp;O3616)</f>
        <v/>
      </c>
      <c r="T3616" s="15" t="str">
        <f>IF(OR(S3616="",D3616&lt;&gt;"Vastgesteld"),"",_xlfn.MAXIFS($G$6:$G$5005,$S$6:$S$5005,S3616,$D$6:$D$5005,"Vastgesteld"))</f>
        <v/>
      </c>
      <c r="U3616" s="15">
        <f>IF(T3616="",0,IF(AND(G3616=T3616,COUNTIFS($S$6:S3616,S3616,$G$6:G3616,G3616,$D$6:D3616,"Vastgesteld")=1),1,0))</f>
        <v>0</v>
      </c>
      <c r="V3616" s="15">
        <f>IF(T3616="",0,IF(AND(G3616=T3616,COUNTIFS($S$6:S3616,S3616,$G$6:G3616,G3616,$D$6:D3616,"Vastgesteld")&gt;1),1,0))</f>
        <v>0</v>
      </c>
    </row>
    <row r="3617">
      <c r="S3617" s="15" t="str">
        <f>IF(J3617="","",J3617&amp;"|"&amp;E3617&amp;"|"&amp;F3617&amp;"|"&amp;I3617&amp;"|"&amp;O3617)</f>
        <v/>
      </c>
      <c r="T3617" s="15" t="str">
        <f>IF(OR(S3617="",D3617&lt;&gt;"Vastgesteld"),"",_xlfn.MAXIFS($G$6:$G$5005,$S$6:$S$5005,S3617,$D$6:$D$5005,"Vastgesteld"))</f>
        <v/>
      </c>
      <c r="U3617" s="15">
        <f>IF(T3617="",0,IF(AND(G3617=T3617,COUNTIFS($S$6:S3617,S3617,$G$6:G3617,G3617,$D$6:D3617,"Vastgesteld")=1),1,0))</f>
        <v>0</v>
      </c>
      <c r="V3617" s="15">
        <f>IF(T3617="",0,IF(AND(G3617=T3617,COUNTIFS($S$6:S3617,S3617,$G$6:G3617,G3617,$D$6:D3617,"Vastgesteld")&gt;1),1,0))</f>
        <v>0</v>
      </c>
    </row>
    <row r="3618">
      <c r="S3618" s="15" t="str">
        <f>IF(J3618="","",J3618&amp;"|"&amp;E3618&amp;"|"&amp;F3618&amp;"|"&amp;I3618&amp;"|"&amp;O3618)</f>
        <v/>
      </c>
      <c r="T3618" s="15" t="str">
        <f>IF(OR(S3618="",D3618&lt;&gt;"Vastgesteld"),"",_xlfn.MAXIFS($G$6:$G$5005,$S$6:$S$5005,S3618,$D$6:$D$5005,"Vastgesteld"))</f>
        <v/>
      </c>
      <c r="U3618" s="15">
        <f>IF(T3618="",0,IF(AND(G3618=T3618,COUNTIFS($S$6:S3618,S3618,$G$6:G3618,G3618,$D$6:D3618,"Vastgesteld")=1),1,0))</f>
        <v>0</v>
      </c>
      <c r="V3618" s="15">
        <f>IF(T3618="",0,IF(AND(G3618=T3618,COUNTIFS($S$6:S3618,S3618,$G$6:G3618,G3618,$D$6:D3618,"Vastgesteld")&gt;1),1,0))</f>
        <v>0</v>
      </c>
    </row>
    <row r="3619">
      <c r="S3619" s="15" t="str">
        <f>IF(J3619="","",J3619&amp;"|"&amp;E3619&amp;"|"&amp;F3619&amp;"|"&amp;I3619&amp;"|"&amp;O3619)</f>
        <v/>
      </c>
      <c r="T3619" s="15" t="str">
        <f>IF(OR(S3619="",D3619&lt;&gt;"Vastgesteld"),"",_xlfn.MAXIFS($G$6:$G$5005,$S$6:$S$5005,S3619,$D$6:$D$5005,"Vastgesteld"))</f>
        <v/>
      </c>
      <c r="U3619" s="15">
        <f>IF(T3619="",0,IF(AND(G3619=T3619,COUNTIFS($S$6:S3619,S3619,$G$6:G3619,G3619,$D$6:D3619,"Vastgesteld")=1),1,0))</f>
        <v>0</v>
      </c>
      <c r="V3619" s="15">
        <f>IF(T3619="",0,IF(AND(G3619=T3619,COUNTIFS($S$6:S3619,S3619,$G$6:G3619,G3619,$D$6:D3619,"Vastgesteld")&gt;1),1,0))</f>
        <v>0</v>
      </c>
    </row>
    <row r="3620">
      <c r="S3620" s="15" t="str">
        <f>IF(J3620="","",J3620&amp;"|"&amp;E3620&amp;"|"&amp;F3620&amp;"|"&amp;I3620&amp;"|"&amp;O3620)</f>
        <v/>
      </c>
      <c r="T3620" s="15" t="str">
        <f>IF(OR(S3620="",D3620&lt;&gt;"Vastgesteld"),"",_xlfn.MAXIFS($G$6:$G$5005,$S$6:$S$5005,S3620,$D$6:$D$5005,"Vastgesteld"))</f>
        <v/>
      </c>
      <c r="U3620" s="15">
        <f>IF(T3620="",0,IF(AND(G3620=T3620,COUNTIFS($S$6:S3620,S3620,$G$6:G3620,G3620,$D$6:D3620,"Vastgesteld")=1),1,0))</f>
        <v>0</v>
      </c>
      <c r="V3620" s="15">
        <f>IF(T3620="",0,IF(AND(G3620=T3620,COUNTIFS($S$6:S3620,S3620,$G$6:G3620,G3620,$D$6:D3620,"Vastgesteld")&gt;1),1,0))</f>
        <v>0</v>
      </c>
    </row>
    <row r="3621">
      <c r="S3621" s="15" t="str">
        <f>IF(J3621="","",J3621&amp;"|"&amp;E3621&amp;"|"&amp;F3621&amp;"|"&amp;I3621&amp;"|"&amp;O3621)</f>
        <v/>
      </c>
      <c r="T3621" s="15" t="str">
        <f>IF(OR(S3621="",D3621&lt;&gt;"Vastgesteld"),"",_xlfn.MAXIFS($G$6:$G$5005,$S$6:$S$5005,S3621,$D$6:$D$5005,"Vastgesteld"))</f>
        <v/>
      </c>
      <c r="U3621" s="15">
        <f>IF(T3621="",0,IF(AND(G3621=T3621,COUNTIFS($S$6:S3621,S3621,$G$6:G3621,G3621,$D$6:D3621,"Vastgesteld")=1),1,0))</f>
        <v>0</v>
      </c>
      <c r="V3621" s="15">
        <f>IF(T3621="",0,IF(AND(G3621=T3621,COUNTIFS($S$6:S3621,S3621,$G$6:G3621,G3621,$D$6:D3621,"Vastgesteld")&gt;1),1,0))</f>
        <v>0</v>
      </c>
    </row>
    <row r="3622">
      <c r="S3622" s="15" t="str">
        <f>IF(J3622="","",J3622&amp;"|"&amp;E3622&amp;"|"&amp;F3622&amp;"|"&amp;I3622&amp;"|"&amp;O3622)</f>
        <v/>
      </c>
      <c r="T3622" s="15" t="str">
        <f>IF(OR(S3622="",D3622&lt;&gt;"Vastgesteld"),"",_xlfn.MAXIFS($G$6:$G$5005,$S$6:$S$5005,S3622,$D$6:$D$5005,"Vastgesteld"))</f>
        <v/>
      </c>
      <c r="U3622" s="15">
        <f>IF(T3622="",0,IF(AND(G3622=T3622,COUNTIFS($S$6:S3622,S3622,$G$6:G3622,G3622,$D$6:D3622,"Vastgesteld")=1),1,0))</f>
        <v>0</v>
      </c>
      <c r="V3622" s="15">
        <f>IF(T3622="",0,IF(AND(G3622=T3622,COUNTIFS($S$6:S3622,S3622,$G$6:G3622,G3622,$D$6:D3622,"Vastgesteld")&gt;1),1,0))</f>
        <v>0</v>
      </c>
    </row>
    <row r="3623">
      <c r="S3623" s="15" t="str">
        <f>IF(J3623="","",J3623&amp;"|"&amp;E3623&amp;"|"&amp;F3623&amp;"|"&amp;I3623&amp;"|"&amp;O3623)</f>
        <v/>
      </c>
      <c r="T3623" s="15" t="str">
        <f>IF(OR(S3623="",D3623&lt;&gt;"Vastgesteld"),"",_xlfn.MAXIFS($G$6:$G$5005,$S$6:$S$5005,S3623,$D$6:$D$5005,"Vastgesteld"))</f>
        <v/>
      </c>
      <c r="U3623" s="15">
        <f>IF(T3623="",0,IF(AND(G3623=T3623,COUNTIFS($S$6:S3623,S3623,$G$6:G3623,G3623,$D$6:D3623,"Vastgesteld")=1),1,0))</f>
        <v>0</v>
      </c>
      <c r="V3623" s="15">
        <f>IF(T3623="",0,IF(AND(G3623=T3623,COUNTIFS($S$6:S3623,S3623,$G$6:G3623,G3623,$D$6:D3623,"Vastgesteld")&gt;1),1,0))</f>
        <v>0</v>
      </c>
    </row>
    <row r="3624">
      <c r="S3624" s="15" t="str">
        <f>IF(J3624="","",J3624&amp;"|"&amp;E3624&amp;"|"&amp;F3624&amp;"|"&amp;I3624&amp;"|"&amp;O3624)</f>
        <v/>
      </c>
      <c r="T3624" s="15" t="str">
        <f>IF(OR(S3624="",D3624&lt;&gt;"Vastgesteld"),"",_xlfn.MAXIFS($G$6:$G$5005,$S$6:$S$5005,S3624,$D$6:$D$5005,"Vastgesteld"))</f>
        <v/>
      </c>
      <c r="U3624" s="15">
        <f>IF(T3624="",0,IF(AND(G3624=T3624,COUNTIFS($S$6:S3624,S3624,$G$6:G3624,G3624,$D$6:D3624,"Vastgesteld")=1),1,0))</f>
        <v>0</v>
      </c>
      <c r="V3624" s="15">
        <f>IF(T3624="",0,IF(AND(G3624=T3624,COUNTIFS($S$6:S3624,S3624,$G$6:G3624,G3624,$D$6:D3624,"Vastgesteld")&gt;1),1,0))</f>
        <v>0</v>
      </c>
    </row>
    <row r="3625">
      <c r="S3625" s="15" t="str">
        <f>IF(J3625="","",J3625&amp;"|"&amp;E3625&amp;"|"&amp;F3625&amp;"|"&amp;I3625&amp;"|"&amp;O3625)</f>
        <v/>
      </c>
      <c r="T3625" s="15" t="str">
        <f>IF(OR(S3625="",D3625&lt;&gt;"Vastgesteld"),"",_xlfn.MAXIFS($G$6:$G$5005,$S$6:$S$5005,S3625,$D$6:$D$5005,"Vastgesteld"))</f>
        <v/>
      </c>
      <c r="U3625" s="15">
        <f>IF(T3625="",0,IF(AND(G3625=T3625,COUNTIFS($S$6:S3625,S3625,$G$6:G3625,G3625,$D$6:D3625,"Vastgesteld")=1),1,0))</f>
        <v>0</v>
      </c>
      <c r="V3625" s="15">
        <f>IF(T3625="",0,IF(AND(G3625=T3625,COUNTIFS($S$6:S3625,S3625,$G$6:G3625,G3625,$D$6:D3625,"Vastgesteld")&gt;1),1,0))</f>
        <v>0</v>
      </c>
    </row>
    <row r="3626">
      <c r="S3626" s="15" t="str">
        <f>IF(J3626="","",J3626&amp;"|"&amp;E3626&amp;"|"&amp;F3626&amp;"|"&amp;I3626&amp;"|"&amp;O3626)</f>
        <v/>
      </c>
      <c r="T3626" s="15" t="str">
        <f>IF(OR(S3626="",D3626&lt;&gt;"Vastgesteld"),"",_xlfn.MAXIFS($G$6:$G$5005,$S$6:$S$5005,S3626,$D$6:$D$5005,"Vastgesteld"))</f>
        <v/>
      </c>
      <c r="U3626" s="15">
        <f>IF(T3626="",0,IF(AND(G3626=T3626,COUNTIFS($S$6:S3626,S3626,$G$6:G3626,G3626,$D$6:D3626,"Vastgesteld")=1),1,0))</f>
        <v>0</v>
      </c>
      <c r="V3626" s="15">
        <f>IF(T3626="",0,IF(AND(G3626=T3626,COUNTIFS($S$6:S3626,S3626,$G$6:G3626,G3626,$D$6:D3626,"Vastgesteld")&gt;1),1,0))</f>
        <v>0</v>
      </c>
    </row>
    <row r="3627">
      <c r="S3627" s="15" t="str">
        <f>IF(J3627="","",J3627&amp;"|"&amp;E3627&amp;"|"&amp;F3627&amp;"|"&amp;I3627&amp;"|"&amp;O3627)</f>
        <v/>
      </c>
      <c r="T3627" s="15" t="str">
        <f>IF(OR(S3627="",D3627&lt;&gt;"Vastgesteld"),"",_xlfn.MAXIFS($G$6:$G$5005,$S$6:$S$5005,S3627,$D$6:$D$5005,"Vastgesteld"))</f>
        <v/>
      </c>
      <c r="U3627" s="15">
        <f>IF(T3627="",0,IF(AND(G3627=T3627,COUNTIFS($S$6:S3627,S3627,$G$6:G3627,G3627,$D$6:D3627,"Vastgesteld")=1),1,0))</f>
        <v>0</v>
      </c>
      <c r="V3627" s="15">
        <f>IF(T3627="",0,IF(AND(G3627=T3627,COUNTIFS($S$6:S3627,S3627,$G$6:G3627,G3627,$D$6:D3627,"Vastgesteld")&gt;1),1,0))</f>
        <v>0</v>
      </c>
    </row>
    <row r="3628">
      <c r="S3628" s="15" t="str">
        <f>IF(J3628="","",J3628&amp;"|"&amp;E3628&amp;"|"&amp;F3628&amp;"|"&amp;I3628&amp;"|"&amp;O3628)</f>
        <v/>
      </c>
      <c r="T3628" s="15" t="str">
        <f>IF(OR(S3628="",D3628&lt;&gt;"Vastgesteld"),"",_xlfn.MAXIFS($G$6:$G$5005,$S$6:$S$5005,S3628,$D$6:$D$5005,"Vastgesteld"))</f>
        <v/>
      </c>
      <c r="U3628" s="15">
        <f>IF(T3628="",0,IF(AND(G3628=T3628,COUNTIFS($S$6:S3628,S3628,$G$6:G3628,G3628,$D$6:D3628,"Vastgesteld")=1),1,0))</f>
        <v>0</v>
      </c>
      <c r="V3628" s="15">
        <f>IF(T3628="",0,IF(AND(G3628=T3628,COUNTIFS($S$6:S3628,S3628,$G$6:G3628,G3628,$D$6:D3628,"Vastgesteld")&gt;1),1,0))</f>
        <v>0</v>
      </c>
    </row>
    <row r="3629">
      <c r="S3629" s="15" t="str">
        <f>IF(J3629="","",J3629&amp;"|"&amp;E3629&amp;"|"&amp;F3629&amp;"|"&amp;I3629&amp;"|"&amp;O3629)</f>
        <v/>
      </c>
      <c r="T3629" s="15" t="str">
        <f>IF(OR(S3629="",D3629&lt;&gt;"Vastgesteld"),"",_xlfn.MAXIFS($G$6:$G$5005,$S$6:$S$5005,S3629,$D$6:$D$5005,"Vastgesteld"))</f>
        <v/>
      </c>
      <c r="U3629" s="15">
        <f>IF(T3629="",0,IF(AND(G3629=T3629,COUNTIFS($S$6:S3629,S3629,$G$6:G3629,G3629,$D$6:D3629,"Vastgesteld")=1),1,0))</f>
        <v>0</v>
      </c>
      <c r="V3629" s="15">
        <f>IF(T3629="",0,IF(AND(G3629=T3629,COUNTIFS($S$6:S3629,S3629,$G$6:G3629,G3629,$D$6:D3629,"Vastgesteld")&gt;1),1,0))</f>
        <v>0</v>
      </c>
    </row>
    <row r="3630">
      <c r="S3630" s="15" t="str">
        <f>IF(J3630="","",J3630&amp;"|"&amp;E3630&amp;"|"&amp;F3630&amp;"|"&amp;I3630&amp;"|"&amp;O3630)</f>
        <v/>
      </c>
      <c r="T3630" s="15" t="str">
        <f>IF(OR(S3630="",D3630&lt;&gt;"Vastgesteld"),"",_xlfn.MAXIFS($G$6:$G$5005,$S$6:$S$5005,S3630,$D$6:$D$5005,"Vastgesteld"))</f>
        <v/>
      </c>
      <c r="U3630" s="15">
        <f>IF(T3630="",0,IF(AND(G3630=T3630,COUNTIFS($S$6:S3630,S3630,$G$6:G3630,G3630,$D$6:D3630,"Vastgesteld")=1),1,0))</f>
        <v>0</v>
      </c>
      <c r="V3630" s="15">
        <f>IF(T3630="",0,IF(AND(G3630=T3630,COUNTIFS($S$6:S3630,S3630,$G$6:G3630,G3630,$D$6:D3630,"Vastgesteld")&gt;1),1,0))</f>
        <v>0</v>
      </c>
    </row>
    <row r="3631">
      <c r="S3631" s="15" t="str">
        <f>IF(J3631="","",J3631&amp;"|"&amp;E3631&amp;"|"&amp;F3631&amp;"|"&amp;I3631&amp;"|"&amp;O3631)</f>
        <v/>
      </c>
      <c r="T3631" s="15" t="str">
        <f>IF(OR(S3631="",D3631&lt;&gt;"Vastgesteld"),"",_xlfn.MAXIFS($G$6:$G$5005,$S$6:$S$5005,S3631,$D$6:$D$5005,"Vastgesteld"))</f>
        <v/>
      </c>
      <c r="U3631" s="15">
        <f>IF(T3631="",0,IF(AND(G3631=T3631,COUNTIFS($S$6:S3631,S3631,$G$6:G3631,G3631,$D$6:D3631,"Vastgesteld")=1),1,0))</f>
        <v>0</v>
      </c>
      <c r="V3631" s="15">
        <f>IF(T3631="",0,IF(AND(G3631=T3631,COUNTIFS($S$6:S3631,S3631,$G$6:G3631,G3631,$D$6:D3631,"Vastgesteld")&gt;1),1,0))</f>
        <v>0</v>
      </c>
    </row>
    <row r="3632">
      <c r="S3632" s="15" t="str">
        <f>IF(J3632="","",J3632&amp;"|"&amp;E3632&amp;"|"&amp;F3632&amp;"|"&amp;I3632&amp;"|"&amp;O3632)</f>
        <v/>
      </c>
      <c r="T3632" s="15" t="str">
        <f>IF(OR(S3632="",D3632&lt;&gt;"Vastgesteld"),"",_xlfn.MAXIFS($G$6:$G$5005,$S$6:$S$5005,S3632,$D$6:$D$5005,"Vastgesteld"))</f>
        <v/>
      </c>
      <c r="U3632" s="15">
        <f>IF(T3632="",0,IF(AND(G3632=T3632,COUNTIFS($S$6:S3632,S3632,$G$6:G3632,G3632,$D$6:D3632,"Vastgesteld")=1),1,0))</f>
        <v>0</v>
      </c>
      <c r="V3632" s="15">
        <f>IF(T3632="",0,IF(AND(G3632=T3632,COUNTIFS($S$6:S3632,S3632,$G$6:G3632,G3632,$D$6:D3632,"Vastgesteld")&gt;1),1,0))</f>
        <v>0</v>
      </c>
    </row>
    <row r="3633">
      <c r="S3633" s="15" t="str">
        <f>IF(J3633="","",J3633&amp;"|"&amp;E3633&amp;"|"&amp;F3633&amp;"|"&amp;I3633&amp;"|"&amp;O3633)</f>
        <v/>
      </c>
      <c r="T3633" s="15" t="str">
        <f>IF(OR(S3633="",D3633&lt;&gt;"Vastgesteld"),"",_xlfn.MAXIFS($G$6:$G$5005,$S$6:$S$5005,S3633,$D$6:$D$5005,"Vastgesteld"))</f>
        <v/>
      </c>
      <c r="U3633" s="15">
        <f>IF(T3633="",0,IF(AND(G3633=T3633,COUNTIFS($S$6:S3633,S3633,$G$6:G3633,G3633,$D$6:D3633,"Vastgesteld")=1),1,0))</f>
        <v>0</v>
      </c>
      <c r="V3633" s="15">
        <f>IF(T3633="",0,IF(AND(G3633=T3633,COUNTIFS($S$6:S3633,S3633,$G$6:G3633,G3633,$D$6:D3633,"Vastgesteld")&gt;1),1,0))</f>
        <v>0</v>
      </c>
    </row>
    <row r="3634">
      <c r="S3634" s="15" t="str">
        <f>IF(J3634="","",J3634&amp;"|"&amp;E3634&amp;"|"&amp;F3634&amp;"|"&amp;I3634&amp;"|"&amp;O3634)</f>
        <v/>
      </c>
      <c r="T3634" s="15" t="str">
        <f>IF(OR(S3634="",D3634&lt;&gt;"Vastgesteld"),"",_xlfn.MAXIFS($G$6:$G$5005,$S$6:$S$5005,S3634,$D$6:$D$5005,"Vastgesteld"))</f>
        <v/>
      </c>
      <c r="U3634" s="15">
        <f>IF(T3634="",0,IF(AND(G3634=T3634,COUNTIFS($S$6:S3634,S3634,$G$6:G3634,G3634,$D$6:D3634,"Vastgesteld")=1),1,0))</f>
        <v>0</v>
      </c>
      <c r="V3634" s="15">
        <f>IF(T3634="",0,IF(AND(G3634=T3634,COUNTIFS($S$6:S3634,S3634,$G$6:G3634,G3634,$D$6:D3634,"Vastgesteld")&gt;1),1,0))</f>
        <v>0</v>
      </c>
    </row>
    <row r="3635">
      <c r="S3635" s="15" t="str">
        <f>IF(J3635="","",J3635&amp;"|"&amp;E3635&amp;"|"&amp;F3635&amp;"|"&amp;I3635&amp;"|"&amp;O3635)</f>
        <v/>
      </c>
      <c r="T3635" s="15" t="str">
        <f>IF(OR(S3635="",D3635&lt;&gt;"Vastgesteld"),"",_xlfn.MAXIFS($G$6:$G$5005,$S$6:$S$5005,S3635,$D$6:$D$5005,"Vastgesteld"))</f>
        <v/>
      </c>
      <c r="U3635" s="15">
        <f>IF(T3635="",0,IF(AND(G3635=T3635,COUNTIFS($S$6:S3635,S3635,$G$6:G3635,G3635,$D$6:D3635,"Vastgesteld")=1),1,0))</f>
        <v>0</v>
      </c>
      <c r="V3635" s="15">
        <f>IF(T3635="",0,IF(AND(G3635=T3635,COUNTIFS($S$6:S3635,S3635,$G$6:G3635,G3635,$D$6:D3635,"Vastgesteld")&gt;1),1,0))</f>
        <v>0</v>
      </c>
    </row>
    <row r="3636">
      <c r="S3636" s="15" t="str">
        <f>IF(J3636="","",J3636&amp;"|"&amp;E3636&amp;"|"&amp;F3636&amp;"|"&amp;I3636&amp;"|"&amp;O3636)</f>
        <v/>
      </c>
      <c r="T3636" s="15" t="str">
        <f>IF(OR(S3636="",D3636&lt;&gt;"Vastgesteld"),"",_xlfn.MAXIFS($G$6:$G$5005,$S$6:$S$5005,S3636,$D$6:$D$5005,"Vastgesteld"))</f>
        <v/>
      </c>
      <c r="U3636" s="15">
        <f>IF(T3636="",0,IF(AND(G3636=T3636,COUNTIFS($S$6:S3636,S3636,$G$6:G3636,G3636,$D$6:D3636,"Vastgesteld")=1),1,0))</f>
        <v>0</v>
      </c>
      <c r="V3636" s="15">
        <f>IF(T3636="",0,IF(AND(G3636=T3636,COUNTIFS($S$6:S3636,S3636,$G$6:G3636,G3636,$D$6:D3636,"Vastgesteld")&gt;1),1,0))</f>
        <v>0</v>
      </c>
    </row>
    <row r="3637">
      <c r="S3637" s="15" t="str">
        <f>IF(J3637="","",J3637&amp;"|"&amp;E3637&amp;"|"&amp;F3637&amp;"|"&amp;I3637&amp;"|"&amp;O3637)</f>
        <v/>
      </c>
      <c r="T3637" s="15" t="str">
        <f>IF(OR(S3637="",D3637&lt;&gt;"Vastgesteld"),"",_xlfn.MAXIFS($G$6:$G$5005,$S$6:$S$5005,S3637,$D$6:$D$5005,"Vastgesteld"))</f>
        <v/>
      </c>
      <c r="U3637" s="15">
        <f>IF(T3637="",0,IF(AND(G3637=T3637,COUNTIFS($S$6:S3637,S3637,$G$6:G3637,G3637,$D$6:D3637,"Vastgesteld")=1),1,0))</f>
        <v>0</v>
      </c>
      <c r="V3637" s="15">
        <f>IF(T3637="",0,IF(AND(G3637=T3637,COUNTIFS($S$6:S3637,S3637,$G$6:G3637,G3637,$D$6:D3637,"Vastgesteld")&gt;1),1,0))</f>
        <v>0</v>
      </c>
    </row>
    <row r="3638">
      <c r="S3638" s="15" t="str">
        <f>IF(J3638="","",J3638&amp;"|"&amp;E3638&amp;"|"&amp;F3638&amp;"|"&amp;I3638&amp;"|"&amp;O3638)</f>
        <v/>
      </c>
      <c r="T3638" s="15" t="str">
        <f>IF(OR(S3638="",D3638&lt;&gt;"Vastgesteld"),"",_xlfn.MAXIFS($G$6:$G$5005,$S$6:$S$5005,S3638,$D$6:$D$5005,"Vastgesteld"))</f>
        <v/>
      </c>
      <c r="U3638" s="15">
        <f>IF(T3638="",0,IF(AND(G3638=T3638,COUNTIFS($S$6:S3638,S3638,$G$6:G3638,G3638,$D$6:D3638,"Vastgesteld")=1),1,0))</f>
        <v>0</v>
      </c>
      <c r="V3638" s="15">
        <f>IF(T3638="",0,IF(AND(G3638=T3638,COUNTIFS($S$6:S3638,S3638,$G$6:G3638,G3638,$D$6:D3638,"Vastgesteld")&gt;1),1,0))</f>
        <v>0</v>
      </c>
    </row>
    <row r="3639">
      <c r="S3639" s="15" t="str">
        <f>IF(J3639="","",J3639&amp;"|"&amp;E3639&amp;"|"&amp;F3639&amp;"|"&amp;I3639&amp;"|"&amp;O3639)</f>
        <v/>
      </c>
      <c r="T3639" s="15" t="str">
        <f>IF(OR(S3639="",D3639&lt;&gt;"Vastgesteld"),"",_xlfn.MAXIFS($G$6:$G$5005,$S$6:$S$5005,S3639,$D$6:$D$5005,"Vastgesteld"))</f>
        <v/>
      </c>
      <c r="U3639" s="15">
        <f>IF(T3639="",0,IF(AND(G3639=T3639,COUNTIFS($S$6:S3639,S3639,$G$6:G3639,G3639,$D$6:D3639,"Vastgesteld")=1),1,0))</f>
        <v>0</v>
      </c>
      <c r="V3639" s="15">
        <f>IF(T3639="",0,IF(AND(G3639=T3639,COUNTIFS($S$6:S3639,S3639,$G$6:G3639,G3639,$D$6:D3639,"Vastgesteld")&gt;1),1,0))</f>
        <v>0</v>
      </c>
    </row>
    <row r="3640">
      <c r="S3640" s="15" t="str">
        <f>IF(J3640="","",J3640&amp;"|"&amp;E3640&amp;"|"&amp;F3640&amp;"|"&amp;I3640&amp;"|"&amp;O3640)</f>
        <v/>
      </c>
      <c r="T3640" s="15" t="str">
        <f>IF(OR(S3640="",D3640&lt;&gt;"Vastgesteld"),"",_xlfn.MAXIFS($G$6:$G$5005,$S$6:$S$5005,S3640,$D$6:$D$5005,"Vastgesteld"))</f>
        <v/>
      </c>
      <c r="U3640" s="15">
        <f>IF(T3640="",0,IF(AND(G3640=T3640,COUNTIFS($S$6:S3640,S3640,$G$6:G3640,G3640,$D$6:D3640,"Vastgesteld")=1),1,0))</f>
        <v>0</v>
      </c>
      <c r="V3640" s="15">
        <f>IF(T3640="",0,IF(AND(G3640=T3640,COUNTIFS($S$6:S3640,S3640,$G$6:G3640,G3640,$D$6:D3640,"Vastgesteld")&gt;1),1,0))</f>
        <v>0</v>
      </c>
    </row>
    <row r="3641">
      <c r="S3641" s="15" t="str">
        <f>IF(J3641="","",J3641&amp;"|"&amp;E3641&amp;"|"&amp;F3641&amp;"|"&amp;I3641&amp;"|"&amp;O3641)</f>
        <v/>
      </c>
      <c r="T3641" s="15" t="str">
        <f>IF(OR(S3641="",D3641&lt;&gt;"Vastgesteld"),"",_xlfn.MAXIFS($G$6:$G$5005,$S$6:$S$5005,S3641,$D$6:$D$5005,"Vastgesteld"))</f>
        <v/>
      </c>
      <c r="U3641" s="15">
        <f>IF(T3641="",0,IF(AND(G3641=T3641,COUNTIFS($S$6:S3641,S3641,$G$6:G3641,G3641,$D$6:D3641,"Vastgesteld")=1),1,0))</f>
        <v>0</v>
      </c>
      <c r="V3641" s="15">
        <f>IF(T3641="",0,IF(AND(G3641=T3641,COUNTIFS($S$6:S3641,S3641,$G$6:G3641,G3641,$D$6:D3641,"Vastgesteld")&gt;1),1,0))</f>
        <v>0</v>
      </c>
    </row>
    <row r="3642">
      <c r="S3642" s="15" t="str">
        <f>IF(J3642="","",J3642&amp;"|"&amp;E3642&amp;"|"&amp;F3642&amp;"|"&amp;I3642&amp;"|"&amp;O3642)</f>
        <v/>
      </c>
      <c r="T3642" s="15" t="str">
        <f>IF(OR(S3642="",D3642&lt;&gt;"Vastgesteld"),"",_xlfn.MAXIFS($G$6:$G$5005,$S$6:$S$5005,S3642,$D$6:$D$5005,"Vastgesteld"))</f>
        <v/>
      </c>
      <c r="U3642" s="15">
        <f>IF(T3642="",0,IF(AND(G3642=T3642,COUNTIFS($S$6:S3642,S3642,$G$6:G3642,G3642,$D$6:D3642,"Vastgesteld")=1),1,0))</f>
        <v>0</v>
      </c>
      <c r="V3642" s="15">
        <f>IF(T3642="",0,IF(AND(G3642=T3642,COUNTIFS($S$6:S3642,S3642,$G$6:G3642,G3642,$D$6:D3642,"Vastgesteld")&gt;1),1,0))</f>
        <v>0</v>
      </c>
    </row>
    <row r="3643">
      <c r="S3643" s="15" t="str">
        <f>IF(J3643="","",J3643&amp;"|"&amp;E3643&amp;"|"&amp;F3643&amp;"|"&amp;I3643&amp;"|"&amp;O3643)</f>
        <v/>
      </c>
      <c r="T3643" s="15" t="str">
        <f>IF(OR(S3643="",D3643&lt;&gt;"Vastgesteld"),"",_xlfn.MAXIFS($G$6:$G$5005,$S$6:$S$5005,S3643,$D$6:$D$5005,"Vastgesteld"))</f>
        <v/>
      </c>
      <c r="U3643" s="15">
        <f>IF(T3643="",0,IF(AND(G3643=T3643,COUNTIFS($S$6:S3643,S3643,$G$6:G3643,G3643,$D$6:D3643,"Vastgesteld")=1),1,0))</f>
        <v>0</v>
      </c>
      <c r="V3643" s="15">
        <f>IF(T3643="",0,IF(AND(G3643=T3643,COUNTIFS($S$6:S3643,S3643,$G$6:G3643,G3643,$D$6:D3643,"Vastgesteld")&gt;1),1,0))</f>
        <v>0</v>
      </c>
    </row>
    <row r="3644">
      <c r="S3644" s="15" t="str">
        <f>IF(J3644="","",J3644&amp;"|"&amp;E3644&amp;"|"&amp;F3644&amp;"|"&amp;I3644&amp;"|"&amp;O3644)</f>
        <v/>
      </c>
      <c r="T3644" s="15" t="str">
        <f>IF(OR(S3644="",D3644&lt;&gt;"Vastgesteld"),"",_xlfn.MAXIFS($G$6:$G$5005,$S$6:$S$5005,S3644,$D$6:$D$5005,"Vastgesteld"))</f>
        <v/>
      </c>
      <c r="U3644" s="15">
        <f>IF(T3644="",0,IF(AND(G3644=T3644,COUNTIFS($S$6:S3644,S3644,$G$6:G3644,G3644,$D$6:D3644,"Vastgesteld")=1),1,0))</f>
        <v>0</v>
      </c>
      <c r="V3644" s="15">
        <f>IF(T3644="",0,IF(AND(G3644=T3644,COUNTIFS($S$6:S3644,S3644,$G$6:G3644,G3644,$D$6:D3644,"Vastgesteld")&gt;1),1,0))</f>
        <v>0</v>
      </c>
    </row>
    <row r="3645">
      <c r="S3645" s="15" t="str">
        <f>IF(J3645="","",J3645&amp;"|"&amp;E3645&amp;"|"&amp;F3645&amp;"|"&amp;I3645&amp;"|"&amp;O3645)</f>
        <v/>
      </c>
      <c r="T3645" s="15" t="str">
        <f>IF(OR(S3645="",D3645&lt;&gt;"Vastgesteld"),"",_xlfn.MAXIFS($G$6:$G$5005,$S$6:$S$5005,S3645,$D$6:$D$5005,"Vastgesteld"))</f>
        <v/>
      </c>
      <c r="U3645" s="15">
        <f>IF(T3645="",0,IF(AND(G3645=T3645,COUNTIFS($S$6:S3645,S3645,$G$6:G3645,G3645,$D$6:D3645,"Vastgesteld")=1),1,0))</f>
        <v>0</v>
      </c>
      <c r="V3645" s="15">
        <f>IF(T3645="",0,IF(AND(G3645=T3645,COUNTIFS($S$6:S3645,S3645,$G$6:G3645,G3645,$D$6:D3645,"Vastgesteld")&gt;1),1,0))</f>
        <v>0</v>
      </c>
    </row>
    <row r="3646">
      <c r="S3646" s="15" t="str">
        <f>IF(J3646="","",J3646&amp;"|"&amp;E3646&amp;"|"&amp;F3646&amp;"|"&amp;I3646&amp;"|"&amp;O3646)</f>
        <v/>
      </c>
      <c r="T3646" s="15" t="str">
        <f>IF(OR(S3646="",D3646&lt;&gt;"Vastgesteld"),"",_xlfn.MAXIFS($G$6:$G$5005,$S$6:$S$5005,S3646,$D$6:$D$5005,"Vastgesteld"))</f>
        <v/>
      </c>
      <c r="U3646" s="15">
        <f>IF(T3646="",0,IF(AND(G3646=T3646,COUNTIFS($S$6:S3646,S3646,$G$6:G3646,G3646,$D$6:D3646,"Vastgesteld")=1),1,0))</f>
        <v>0</v>
      </c>
      <c r="V3646" s="15">
        <f>IF(T3646="",0,IF(AND(G3646=T3646,COUNTIFS($S$6:S3646,S3646,$G$6:G3646,G3646,$D$6:D3646,"Vastgesteld")&gt;1),1,0))</f>
        <v>0</v>
      </c>
    </row>
    <row r="3647">
      <c r="S3647" s="15" t="str">
        <f>IF(J3647="","",J3647&amp;"|"&amp;E3647&amp;"|"&amp;F3647&amp;"|"&amp;I3647&amp;"|"&amp;O3647)</f>
        <v/>
      </c>
      <c r="T3647" s="15" t="str">
        <f>IF(OR(S3647="",D3647&lt;&gt;"Vastgesteld"),"",_xlfn.MAXIFS($G$6:$G$5005,$S$6:$S$5005,S3647,$D$6:$D$5005,"Vastgesteld"))</f>
        <v/>
      </c>
      <c r="U3647" s="15">
        <f>IF(T3647="",0,IF(AND(G3647=T3647,COUNTIFS($S$6:S3647,S3647,$G$6:G3647,G3647,$D$6:D3647,"Vastgesteld")=1),1,0))</f>
        <v>0</v>
      </c>
      <c r="V3647" s="15">
        <f>IF(T3647="",0,IF(AND(G3647=T3647,COUNTIFS($S$6:S3647,S3647,$G$6:G3647,G3647,$D$6:D3647,"Vastgesteld")&gt;1),1,0))</f>
        <v>0</v>
      </c>
    </row>
    <row r="3648">
      <c r="S3648" s="15" t="str">
        <f>IF(J3648="","",J3648&amp;"|"&amp;E3648&amp;"|"&amp;F3648&amp;"|"&amp;I3648&amp;"|"&amp;O3648)</f>
        <v/>
      </c>
      <c r="T3648" s="15" t="str">
        <f>IF(OR(S3648="",D3648&lt;&gt;"Vastgesteld"),"",_xlfn.MAXIFS($G$6:$G$5005,$S$6:$S$5005,S3648,$D$6:$D$5005,"Vastgesteld"))</f>
        <v/>
      </c>
      <c r="U3648" s="15">
        <f>IF(T3648="",0,IF(AND(G3648=T3648,COUNTIFS($S$6:S3648,S3648,$G$6:G3648,G3648,$D$6:D3648,"Vastgesteld")=1),1,0))</f>
        <v>0</v>
      </c>
      <c r="V3648" s="15">
        <f>IF(T3648="",0,IF(AND(G3648=T3648,COUNTIFS($S$6:S3648,S3648,$G$6:G3648,G3648,$D$6:D3648,"Vastgesteld")&gt;1),1,0))</f>
        <v>0</v>
      </c>
    </row>
    <row r="3649">
      <c r="S3649" s="15" t="str">
        <f>IF(J3649="","",J3649&amp;"|"&amp;E3649&amp;"|"&amp;F3649&amp;"|"&amp;I3649&amp;"|"&amp;O3649)</f>
        <v/>
      </c>
      <c r="T3649" s="15" t="str">
        <f>IF(OR(S3649="",D3649&lt;&gt;"Vastgesteld"),"",_xlfn.MAXIFS($G$6:$G$5005,$S$6:$S$5005,S3649,$D$6:$D$5005,"Vastgesteld"))</f>
        <v/>
      </c>
      <c r="U3649" s="15">
        <f>IF(T3649="",0,IF(AND(G3649=T3649,COUNTIFS($S$6:S3649,S3649,$G$6:G3649,G3649,$D$6:D3649,"Vastgesteld")=1),1,0))</f>
        <v>0</v>
      </c>
      <c r="V3649" s="15">
        <f>IF(T3649="",0,IF(AND(G3649=T3649,COUNTIFS($S$6:S3649,S3649,$G$6:G3649,G3649,$D$6:D3649,"Vastgesteld")&gt;1),1,0))</f>
        <v>0</v>
      </c>
    </row>
    <row r="3650">
      <c r="S3650" s="15" t="str">
        <f>IF(J3650="","",J3650&amp;"|"&amp;E3650&amp;"|"&amp;F3650&amp;"|"&amp;I3650&amp;"|"&amp;O3650)</f>
        <v/>
      </c>
      <c r="T3650" s="15" t="str">
        <f>IF(OR(S3650="",D3650&lt;&gt;"Vastgesteld"),"",_xlfn.MAXIFS($G$6:$G$5005,$S$6:$S$5005,S3650,$D$6:$D$5005,"Vastgesteld"))</f>
        <v/>
      </c>
      <c r="U3650" s="15">
        <f>IF(T3650="",0,IF(AND(G3650=T3650,COUNTIFS($S$6:S3650,S3650,$G$6:G3650,G3650,$D$6:D3650,"Vastgesteld")=1),1,0))</f>
        <v>0</v>
      </c>
      <c r="V3650" s="15">
        <f>IF(T3650="",0,IF(AND(G3650=T3650,COUNTIFS($S$6:S3650,S3650,$G$6:G3650,G3650,$D$6:D3650,"Vastgesteld")&gt;1),1,0))</f>
        <v>0</v>
      </c>
    </row>
    <row r="3651">
      <c r="S3651" s="15" t="str">
        <f>IF(J3651="","",J3651&amp;"|"&amp;E3651&amp;"|"&amp;F3651&amp;"|"&amp;I3651&amp;"|"&amp;O3651)</f>
        <v/>
      </c>
      <c r="T3651" s="15" t="str">
        <f>IF(OR(S3651="",D3651&lt;&gt;"Vastgesteld"),"",_xlfn.MAXIFS($G$6:$G$5005,$S$6:$S$5005,S3651,$D$6:$D$5005,"Vastgesteld"))</f>
        <v/>
      </c>
      <c r="U3651" s="15">
        <f>IF(T3651="",0,IF(AND(G3651=T3651,COUNTIFS($S$6:S3651,S3651,$G$6:G3651,G3651,$D$6:D3651,"Vastgesteld")=1),1,0))</f>
        <v>0</v>
      </c>
      <c r="V3651" s="15">
        <f>IF(T3651="",0,IF(AND(G3651=T3651,COUNTIFS($S$6:S3651,S3651,$G$6:G3651,G3651,$D$6:D3651,"Vastgesteld")&gt;1),1,0))</f>
        <v>0</v>
      </c>
    </row>
    <row r="3652">
      <c r="S3652" s="15" t="str">
        <f>IF(J3652="","",J3652&amp;"|"&amp;E3652&amp;"|"&amp;F3652&amp;"|"&amp;I3652&amp;"|"&amp;O3652)</f>
        <v/>
      </c>
      <c r="T3652" s="15" t="str">
        <f>IF(OR(S3652="",D3652&lt;&gt;"Vastgesteld"),"",_xlfn.MAXIFS($G$6:$G$5005,$S$6:$S$5005,S3652,$D$6:$D$5005,"Vastgesteld"))</f>
        <v/>
      </c>
      <c r="U3652" s="15">
        <f>IF(T3652="",0,IF(AND(G3652=T3652,COUNTIFS($S$6:S3652,S3652,$G$6:G3652,G3652,$D$6:D3652,"Vastgesteld")=1),1,0))</f>
        <v>0</v>
      </c>
      <c r="V3652" s="15">
        <f>IF(T3652="",0,IF(AND(G3652=T3652,COUNTIFS($S$6:S3652,S3652,$G$6:G3652,G3652,$D$6:D3652,"Vastgesteld")&gt;1),1,0))</f>
        <v>0</v>
      </c>
    </row>
    <row r="3653">
      <c r="S3653" s="15" t="str">
        <f>IF(J3653="","",J3653&amp;"|"&amp;E3653&amp;"|"&amp;F3653&amp;"|"&amp;I3653&amp;"|"&amp;O3653)</f>
        <v/>
      </c>
      <c r="T3653" s="15" t="str">
        <f>IF(OR(S3653="",D3653&lt;&gt;"Vastgesteld"),"",_xlfn.MAXIFS($G$6:$G$5005,$S$6:$S$5005,S3653,$D$6:$D$5005,"Vastgesteld"))</f>
        <v/>
      </c>
      <c r="U3653" s="15">
        <f>IF(T3653="",0,IF(AND(G3653=T3653,COUNTIFS($S$6:S3653,S3653,$G$6:G3653,G3653,$D$6:D3653,"Vastgesteld")=1),1,0))</f>
        <v>0</v>
      </c>
      <c r="V3653" s="15">
        <f>IF(T3653="",0,IF(AND(G3653=T3653,COUNTIFS($S$6:S3653,S3653,$G$6:G3653,G3653,$D$6:D3653,"Vastgesteld")&gt;1),1,0))</f>
        <v>0</v>
      </c>
    </row>
    <row r="3654">
      <c r="S3654" s="15" t="str">
        <f>IF(J3654="","",J3654&amp;"|"&amp;E3654&amp;"|"&amp;F3654&amp;"|"&amp;I3654&amp;"|"&amp;O3654)</f>
        <v/>
      </c>
      <c r="T3654" s="15" t="str">
        <f>IF(OR(S3654="",D3654&lt;&gt;"Vastgesteld"),"",_xlfn.MAXIFS($G$6:$G$5005,$S$6:$S$5005,S3654,$D$6:$D$5005,"Vastgesteld"))</f>
        <v/>
      </c>
      <c r="U3654" s="15">
        <f>IF(T3654="",0,IF(AND(G3654=T3654,COUNTIFS($S$6:S3654,S3654,$G$6:G3654,G3654,$D$6:D3654,"Vastgesteld")=1),1,0))</f>
        <v>0</v>
      </c>
      <c r="V3654" s="15">
        <f>IF(T3654="",0,IF(AND(G3654=T3654,COUNTIFS($S$6:S3654,S3654,$G$6:G3654,G3654,$D$6:D3654,"Vastgesteld")&gt;1),1,0))</f>
        <v>0</v>
      </c>
    </row>
    <row r="3655">
      <c r="S3655" s="15" t="str">
        <f>IF(J3655="","",J3655&amp;"|"&amp;E3655&amp;"|"&amp;F3655&amp;"|"&amp;I3655&amp;"|"&amp;O3655)</f>
        <v/>
      </c>
      <c r="T3655" s="15" t="str">
        <f>IF(OR(S3655="",D3655&lt;&gt;"Vastgesteld"),"",_xlfn.MAXIFS($G$6:$G$5005,$S$6:$S$5005,S3655,$D$6:$D$5005,"Vastgesteld"))</f>
        <v/>
      </c>
      <c r="U3655" s="15">
        <f>IF(T3655="",0,IF(AND(G3655=T3655,COUNTIFS($S$6:S3655,S3655,$G$6:G3655,G3655,$D$6:D3655,"Vastgesteld")=1),1,0))</f>
        <v>0</v>
      </c>
      <c r="V3655" s="15">
        <f>IF(T3655="",0,IF(AND(G3655=T3655,COUNTIFS($S$6:S3655,S3655,$G$6:G3655,G3655,$D$6:D3655,"Vastgesteld")&gt;1),1,0))</f>
        <v>0</v>
      </c>
    </row>
    <row r="3656">
      <c r="S3656" s="15" t="str">
        <f>IF(J3656="","",J3656&amp;"|"&amp;E3656&amp;"|"&amp;F3656&amp;"|"&amp;I3656&amp;"|"&amp;O3656)</f>
        <v/>
      </c>
      <c r="T3656" s="15" t="str">
        <f>IF(OR(S3656="",D3656&lt;&gt;"Vastgesteld"),"",_xlfn.MAXIFS($G$6:$G$5005,$S$6:$S$5005,S3656,$D$6:$D$5005,"Vastgesteld"))</f>
        <v/>
      </c>
      <c r="U3656" s="15">
        <f>IF(T3656="",0,IF(AND(G3656=T3656,COUNTIFS($S$6:S3656,S3656,$G$6:G3656,G3656,$D$6:D3656,"Vastgesteld")=1),1,0))</f>
        <v>0</v>
      </c>
      <c r="V3656" s="15">
        <f>IF(T3656="",0,IF(AND(G3656=T3656,COUNTIFS($S$6:S3656,S3656,$G$6:G3656,G3656,$D$6:D3656,"Vastgesteld")&gt;1),1,0))</f>
        <v>0</v>
      </c>
    </row>
    <row r="3657">
      <c r="S3657" s="15" t="str">
        <f>IF(J3657="","",J3657&amp;"|"&amp;E3657&amp;"|"&amp;F3657&amp;"|"&amp;I3657&amp;"|"&amp;O3657)</f>
        <v/>
      </c>
      <c r="T3657" s="15" t="str">
        <f>IF(OR(S3657="",D3657&lt;&gt;"Vastgesteld"),"",_xlfn.MAXIFS($G$6:$G$5005,$S$6:$S$5005,S3657,$D$6:$D$5005,"Vastgesteld"))</f>
        <v/>
      </c>
      <c r="U3657" s="15">
        <f>IF(T3657="",0,IF(AND(G3657=T3657,COUNTIFS($S$6:S3657,S3657,$G$6:G3657,G3657,$D$6:D3657,"Vastgesteld")=1),1,0))</f>
        <v>0</v>
      </c>
      <c r="V3657" s="15">
        <f>IF(T3657="",0,IF(AND(G3657=T3657,COUNTIFS($S$6:S3657,S3657,$G$6:G3657,G3657,$D$6:D3657,"Vastgesteld")&gt;1),1,0))</f>
        <v>0</v>
      </c>
    </row>
    <row r="3658">
      <c r="S3658" s="15" t="str">
        <f>IF(J3658="","",J3658&amp;"|"&amp;E3658&amp;"|"&amp;F3658&amp;"|"&amp;I3658&amp;"|"&amp;O3658)</f>
        <v/>
      </c>
      <c r="T3658" s="15" t="str">
        <f>IF(OR(S3658="",D3658&lt;&gt;"Vastgesteld"),"",_xlfn.MAXIFS($G$6:$G$5005,$S$6:$S$5005,S3658,$D$6:$D$5005,"Vastgesteld"))</f>
        <v/>
      </c>
      <c r="U3658" s="15">
        <f>IF(T3658="",0,IF(AND(G3658=T3658,COUNTIFS($S$6:S3658,S3658,$G$6:G3658,G3658,$D$6:D3658,"Vastgesteld")=1),1,0))</f>
        <v>0</v>
      </c>
      <c r="V3658" s="15">
        <f>IF(T3658="",0,IF(AND(G3658=T3658,COUNTIFS($S$6:S3658,S3658,$G$6:G3658,G3658,$D$6:D3658,"Vastgesteld")&gt;1),1,0))</f>
        <v>0</v>
      </c>
    </row>
    <row r="3659">
      <c r="S3659" s="15" t="str">
        <f>IF(J3659="","",J3659&amp;"|"&amp;E3659&amp;"|"&amp;F3659&amp;"|"&amp;I3659&amp;"|"&amp;O3659)</f>
        <v/>
      </c>
      <c r="T3659" s="15" t="str">
        <f>IF(OR(S3659="",D3659&lt;&gt;"Vastgesteld"),"",_xlfn.MAXIFS($G$6:$G$5005,$S$6:$S$5005,S3659,$D$6:$D$5005,"Vastgesteld"))</f>
        <v/>
      </c>
      <c r="U3659" s="15">
        <f>IF(T3659="",0,IF(AND(G3659=T3659,COUNTIFS($S$6:S3659,S3659,$G$6:G3659,G3659,$D$6:D3659,"Vastgesteld")=1),1,0))</f>
        <v>0</v>
      </c>
      <c r="V3659" s="15">
        <f>IF(T3659="",0,IF(AND(G3659=T3659,COUNTIFS($S$6:S3659,S3659,$G$6:G3659,G3659,$D$6:D3659,"Vastgesteld")&gt;1),1,0))</f>
        <v>0</v>
      </c>
    </row>
    <row r="3660">
      <c r="S3660" s="15" t="str">
        <f>IF(J3660="","",J3660&amp;"|"&amp;E3660&amp;"|"&amp;F3660&amp;"|"&amp;I3660&amp;"|"&amp;O3660)</f>
        <v/>
      </c>
      <c r="T3660" s="15" t="str">
        <f>IF(OR(S3660="",D3660&lt;&gt;"Vastgesteld"),"",_xlfn.MAXIFS($G$6:$G$5005,$S$6:$S$5005,S3660,$D$6:$D$5005,"Vastgesteld"))</f>
        <v/>
      </c>
      <c r="U3660" s="15">
        <f>IF(T3660="",0,IF(AND(G3660=T3660,COUNTIFS($S$6:S3660,S3660,$G$6:G3660,G3660,$D$6:D3660,"Vastgesteld")=1),1,0))</f>
        <v>0</v>
      </c>
      <c r="V3660" s="15">
        <f>IF(T3660="",0,IF(AND(G3660=T3660,COUNTIFS($S$6:S3660,S3660,$G$6:G3660,G3660,$D$6:D3660,"Vastgesteld")&gt;1),1,0))</f>
        <v>0</v>
      </c>
    </row>
    <row r="3661">
      <c r="S3661" s="15" t="str">
        <f>IF(J3661="","",J3661&amp;"|"&amp;E3661&amp;"|"&amp;F3661&amp;"|"&amp;I3661&amp;"|"&amp;O3661)</f>
        <v/>
      </c>
      <c r="T3661" s="15" t="str">
        <f>IF(OR(S3661="",D3661&lt;&gt;"Vastgesteld"),"",_xlfn.MAXIFS($G$6:$G$5005,$S$6:$S$5005,S3661,$D$6:$D$5005,"Vastgesteld"))</f>
        <v/>
      </c>
      <c r="U3661" s="15">
        <f>IF(T3661="",0,IF(AND(G3661=T3661,COUNTIFS($S$6:S3661,S3661,$G$6:G3661,G3661,$D$6:D3661,"Vastgesteld")=1),1,0))</f>
        <v>0</v>
      </c>
      <c r="V3661" s="15">
        <f>IF(T3661="",0,IF(AND(G3661=T3661,COUNTIFS($S$6:S3661,S3661,$G$6:G3661,G3661,$D$6:D3661,"Vastgesteld")&gt;1),1,0))</f>
        <v>0</v>
      </c>
    </row>
    <row r="3662">
      <c r="S3662" s="15" t="str">
        <f>IF(J3662="","",J3662&amp;"|"&amp;E3662&amp;"|"&amp;F3662&amp;"|"&amp;I3662&amp;"|"&amp;O3662)</f>
        <v/>
      </c>
      <c r="T3662" s="15" t="str">
        <f>IF(OR(S3662="",D3662&lt;&gt;"Vastgesteld"),"",_xlfn.MAXIFS($G$6:$G$5005,$S$6:$S$5005,S3662,$D$6:$D$5005,"Vastgesteld"))</f>
        <v/>
      </c>
      <c r="U3662" s="15">
        <f>IF(T3662="",0,IF(AND(G3662=T3662,COUNTIFS($S$6:S3662,S3662,$G$6:G3662,G3662,$D$6:D3662,"Vastgesteld")=1),1,0))</f>
        <v>0</v>
      </c>
      <c r="V3662" s="15">
        <f>IF(T3662="",0,IF(AND(G3662=T3662,COUNTIFS($S$6:S3662,S3662,$G$6:G3662,G3662,$D$6:D3662,"Vastgesteld")&gt;1),1,0))</f>
        <v>0</v>
      </c>
    </row>
    <row r="3663">
      <c r="S3663" s="15" t="str">
        <f>IF(J3663="","",J3663&amp;"|"&amp;E3663&amp;"|"&amp;F3663&amp;"|"&amp;I3663&amp;"|"&amp;O3663)</f>
        <v/>
      </c>
      <c r="T3663" s="15" t="str">
        <f>IF(OR(S3663="",D3663&lt;&gt;"Vastgesteld"),"",_xlfn.MAXIFS($G$6:$G$5005,$S$6:$S$5005,S3663,$D$6:$D$5005,"Vastgesteld"))</f>
        <v/>
      </c>
      <c r="U3663" s="15">
        <f>IF(T3663="",0,IF(AND(G3663=T3663,COUNTIFS($S$6:S3663,S3663,$G$6:G3663,G3663,$D$6:D3663,"Vastgesteld")=1),1,0))</f>
        <v>0</v>
      </c>
      <c r="V3663" s="15">
        <f>IF(T3663="",0,IF(AND(G3663=T3663,COUNTIFS($S$6:S3663,S3663,$G$6:G3663,G3663,$D$6:D3663,"Vastgesteld")&gt;1),1,0))</f>
        <v>0</v>
      </c>
    </row>
    <row r="3664">
      <c r="S3664" s="15" t="str">
        <f>IF(J3664="","",J3664&amp;"|"&amp;E3664&amp;"|"&amp;F3664&amp;"|"&amp;I3664&amp;"|"&amp;O3664)</f>
        <v/>
      </c>
      <c r="T3664" s="15" t="str">
        <f>IF(OR(S3664="",D3664&lt;&gt;"Vastgesteld"),"",_xlfn.MAXIFS($G$6:$G$5005,$S$6:$S$5005,S3664,$D$6:$D$5005,"Vastgesteld"))</f>
        <v/>
      </c>
      <c r="U3664" s="15">
        <f>IF(T3664="",0,IF(AND(G3664=T3664,COUNTIFS($S$6:S3664,S3664,$G$6:G3664,G3664,$D$6:D3664,"Vastgesteld")=1),1,0))</f>
        <v>0</v>
      </c>
      <c r="V3664" s="15">
        <f>IF(T3664="",0,IF(AND(G3664=T3664,COUNTIFS($S$6:S3664,S3664,$G$6:G3664,G3664,$D$6:D3664,"Vastgesteld")&gt;1),1,0))</f>
        <v>0</v>
      </c>
    </row>
    <row r="3665">
      <c r="S3665" s="15" t="str">
        <f>IF(J3665="","",J3665&amp;"|"&amp;E3665&amp;"|"&amp;F3665&amp;"|"&amp;I3665&amp;"|"&amp;O3665)</f>
        <v/>
      </c>
      <c r="T3665" s="15" t="str">
        <f>IF(OR(S3665="",D3665&lt;&gt;"Vastgesteld"),"",_xlfn.MAXIFS($G$6:$G$5005,$S$6:$S$5005,S3665,$D$6:$D$5005,"Vastgesteld"))</f>
        <v/>
      </c>
      <c r="U3665" s="15">
        <f>IF(T3665="",0,IF(AND(G3665=T3665,COUNTIFS($S$6:S3665,S3665,$G$6:G3665,G3665,$D$6:D3665,"Vastgesteld")=1),1,0))</f>
        <v>0</v>
      </c>
      <c r="V3665" s="15">
        <f>IF(T3665="",0,IF(AND(G3665=T3665,COUNTIFS($S$6:S3665,S3665,$G$6:G3665,G3665,$D$6:D3665,"Vastgesteld")&gt;1),1,0))</f>
        <v>0</v>
      </c>
    </row>
    <row r="3666">
      <c r="S3666" s="15" t="str">
        <f>IF(J3666="","",J3666&amp;"|"&amp;E3666&amp;"|"&amp;F3666&amp;"|"&amp;I3666&amp;"|"&amp;O3666)</f>
        <v/>
      </c>
      <c r="T3666" s="15" t="str">
        <f>IF(OR(S3666="",D3666&lt;&gt;"Vastgesteld"),"",_xlfn.MAXIFS($G$6:$G$5005,$S$6:$S$5005,S3666,$D$6:$D$5005,"Vastgesteld"))</f>
        <v/>
      </c>
      <c r="U3666" s="15">
        <f>IF(T3666="",0,IF(AND(G3666=T3666,COUNTIFS($S$6:S3666,S3666,$G$6:G3666,G3666,$D$6:D3666,"Vastgesteld")=1),1,0))</f>
        <v>0</v>
      </c>
      <c r="V3666" s="15">
        <f>IF(T3666="",0,IF(AND(G3666=T3666,COUNTIFS($S$6:S3666,S3666,$G$6:G3666,G3666,$D$6:D3666,"Vastgesteld")&gt;1),1,0))</f>
        <v>0</v>
      </c>
    </row>
    <row r="3667">
      <c r="S3667" s="15" t="str">
        <f>IF(J3667="","",J3667&amp;"|"&amp;E3667&amp;"|"&amp;F3667&amp;"|"&amp;I3667&amp;"|"&amp;O3667)</f>
        <v/>
      </c>
      <c r="T3667" s="15" t="str">
        <f>IF(OR(S3667="",D3667&lt;&gt;"Vastgesteld"),"",_xlfn.MAXIFS($G$6:$G$5005,$S$6:$S$5005,S3667,$D$6:$D$5005,"Vastgesteld"))</f>
        <v/>
      </c>
      <c r="U3667" s="15">
        <f>IF(T3667="",0,IF(AND(G3667=T3667,COUNTIFS($S$6:S3667,S3667,$G$6:G3667,G3667,$D$6:D3667,"Vastgesteld")=1),1,0))</f>
        <v>0</v>
      </c>
      <c r="V3667" s="15">
        <f>IF(T3667="",0,IF(AND(G3667=T3667,COUNTIFS($S$6:S3667,S3667,$G$6:G3667,G3667,$D$6:D3667,"Vastgesteld")&gt;1),1,0))</f>
        <v>0</v>
      </c>
    </row>
    <row r="3668">
      <c r="S3668" s="15" t="str">
        <f>IF(J3668="","",J3668&amp;"|"&amp;E3668&amp;"|"&amp;F3668&amp;"|"&amp;I3668&amp;"|"&amp;O3668)</f>
        <v/>
      </c>
      <c r="T3668" s="15" t="str">
        <f>IF(OR(S3668="",D3668&lt;&gt;"Vastgesteld"),"",_xlfn.MAXIFS($G$6:$G$5005,$S$6:$S$5005,S3668,$D$6:$D$5005,"Vastgesteld"))</f>
        <v/>
      </c>
      <c r="U3668" s="15">
        <f>IF(T3668="",0,IF(AND(G3668=T3668,COUNTIFS($S$6:S3668,S3668,$G$6:G3668,G3668,$D$6:D3668,"Vastgesteld")=1),1,0))</f>
        <v>0</v>
      </c>
      <c r="V3668" s="15">
        <f>IF(T3668="",0,IF(AND(G3668=T3668,COUNTIFS($S$6:S3668,S3668,$G$6:G3668,G3668,$D$6:D3668,"Vastgesteld")&gt;1),1,0))</f>
        <v>0</v>
      </c>
    </row>
    <row r="3669">
      <c r="S3669" s="15" t="str">
        <f>IF(J3669="","",J3669&amp;"|"&amp;E3669&amp;"|"&amp;F3669&amp;"|"&amp;I3669&amp;"|"&amp;O3669)</f>
        <v/>
      </c>
      <c r="T3669" s="15" t="str">
        <f>IF(OR(S3669="",D3669&lt;&gt;"Vastgesteld"),"",_xlfn.MAXIFS($G$6:$G$5005,$S$6:$S$5005,S3669,$D$6:$D$5005,"Vastgesteld"))</f>
        <v/>
      </c>
      <c r="U3669" s="15">
        <f>IF(T3669="",0,IF(AND(G3669=T3669,COUNTIFS($S$6:S3669,S3669,$G$6:G3669,G3669,$D$6:D3669,"Vastgesteld")=1),1,0))</f>
        <v>0</v>
      </c>
      <c r="V3669" s="15">
        <f>IF(T3669="",0,IF(AND(G3669=T3669,COUNTIFS($S$6:S3669,S3669,$G$6:G3669,G3669,$D$6:D3669,"Vastgesteld")&gt;1),1,0))</f>
        <v>0</v>
      </c>
    </row>
    <row r="3670">
      <c r="S3670" s="15" t="str">
        <f>IF(J3670="","",J3670&amp;"|"&amp;E3670&amp;"|"&amp;F3670&amp;"|"&amp;I3670&amp;"|"&amp;O3670)</f>
        <v/>
      </c>
      <c r="T3670" s="15" t="str">
        <f>IF(OR(S3670="",D3670&lt;&gt;"Vastgesteld"),"",_xlfn.MAXIFS($G$6:$G$5005,$S$6:$S$5005,S3670,$D$6:$D$5005,"Vastgesteld"))</f>
        <v/>
      </c>
      <c r="U3670" s="15">
        <f>IF(T3670="",0,IF(AND(G3670=T3670,COUNTIFS($S$6:S3670,S3670,$G$6:G3670,G3670,$D$6:D3670,"Vastgesteld")=1),1,0))</f>
        <v>0</v>
      </c>
      <c r="V3670" s="15">
        <f>IF(T3670="",0,IF(AND(G3670=T3670,COUNTIFS($S$6:S3670,S3670,$G$6:G3670,G3670,$D$6:D3670,"Vastgesteld")&gt;1),1,0))</f>
        <v>0</v>
      </c>
    </row>
    <row r="3671">
      <c r="S3671" s="15" t="str">
        <f>IF(J3671="","",J3671&amp;"|"&amp;E3671&amp;"|"&amp;F3671&amp;"|"&amp;I3671&amp;"|"&amp;O3671)</f>
        <v/>
      </c>
      <c r="T3671" s="15" t="str">
        <f>IF(OR(S3671="",D3671&lt;&gt;"Vastgesteld"),"",_xlfn.MAXIFS($G$6:$G$5005,$S$6:$S$5005,S3671,$D$6:$D$5005,"Vastgesteld"))</f>
        <v/>
      </c>
      <c r="U3671" s="15">
        <f>IF(T3671="",0,IF(AND(G3671=T3671,COUNTIFS($S$6:S3671,S3671,$G$6:G3671,G3671,$D$6:D3671,"Vastgesteld")=1),1,0))</f>
        <v>0</v>
      </c>
      <c r="V3671" s="15">
        <f>IF(T3671="",0,IF(AND(G3671=T3671,COUNTIFS($S$6:S3671,S3671,$G$6:G3671,G3671,$D$6:D3671,"Vastgesteld")&gt;1),1,0))</f>
        <v>0</v>
      </c>
    </row>
    <row r="3672">
      <c r="S3672" s="15" t="str">
        <f>IF(J3672="","",J3672&amp;"|"&amp;E3672&amp;"|"&amp;F3672&amp;"|"&amp;I3672&amp;"|"&amp;O3672)</f>
        <v/>
      </c>
      <c r="T3672" s="15" t="str">
        <f>IF(OR(S3672="",D3672&lt;&gt;"Vastgesteld"),"",_xlfn.MAXIFS($G$6:$G$5005,$S$6:$S$5005,S3672,$D$6:$D$5005,"Vastgesteld"))</f>
        <v/>
      </c>
      <c r="U3672" s="15">
        <f>IF(T3672="",0,IF(AND(G3672=T3672,COUNTIFS($S$6:S3672,S3672,$G$6:G3672,G3672,$D$6:D3672,"Vastgesteld")=1),1,0))</f>
        <v>0</v>
      </c>
      <c r="V3672" s="15">
        <f>IF(T3672="",0,IF(AND(G3672=T3672,COUNTIFS($S$6:S3672,S3672,$G$6:G3672,G3672,$D$6:D3672,"Vastgesteld")&gt;1),1,0))</f>
        <v>0</v>
      </c>
    </row>
    <row r="3673">
      <c r="S3673" s="15" t="str">
        <f>IF(J3673="","",J3673&amp;"|"&amp;E3673&amp;"|"&amp;F3673&amp;"|"&amp;I3673&amp;"|"&amp;O3673)</f>
        <v/>
      </c>
      <c r="T3673" s="15" t="str">
        <f>IF(OR(S3673="",D3673&lt;&gt;"Vastgesteld"),"",_xlfn.MAXIFS($G$6:$G$5005,$S$6:$S$5005,S3673,$D$6:$D$5005,"Vastgesteld"))</f>
        <v/>
      </c>
      <c r="U3673" s="15">
        <f>IF(T3673="",0,IF(AND(G3673=T3673,COUNTIFS($S$6:S3673,S3673,$G$6:G3673,G3673,$D$6:D3673,"Vastgesteld")=1),1,0))</f>
        <v>0</v>
      </c>
      <c r="V3673" s="15">
        <f>IF(T3673="",0,IF(AND(G3673=T3673,COUNTIFS($S$6:S3673,S3673,$G$6:G3673,G3673,$D$6:D3673,"Vastgesteld")&gt;1),1,0))</f>
        <v>0</v>
      </c>
    </row>
    <row r="3674">
      <c r="S3674" s="15" t="str">
        <f>IF(J3674="","",J3674&amp;"|"&amp;E3674&amp;"|"&amp;F3674&amp;"|"&amp;I3674&amp;"|"&amp;O3674)</f>
        <v/>
      </c>
      <c r="T3674" s="15" t="str">
        <f>IF(OR(S3674="",D3674&lt;&gt;"Vastgesteld"),"",_xlfn.MAXIFS($G$6:$G$5005,$S$6:$S$5005,S3674,$D$6:$D$5005,"Vastgesteld"))</f>
        <v/>
      </c>
      <c r="U3674" s="15">
        <f>IF(T3674="",0,IF(AND(G3674=T3674,COUNTIFS($S$6:S3674,S3674,$G$6:G3674,G3674,$D$6:D3674,"Vastgesteld")=1),1,0))</f>
        <v>0</v>
      </c>
      <c r="V3674" s="15">
        <f>IF(T3674="",0,IF(AND(G3674=T3674,COUNTIFS($S$6:S3674,S3674,$G$6:G3674,G3674,$D$6:D3674,"Vastgesteld")&gt;1),1,0))</f>
        <v>0</v>
      </c>
    </row>
    <row r="3675">
      <c r="S3675" s="15" t="str">
        <f>IF(J3675="","",J3675&amp;"|"&amp;E3675&amp;"|"&amp;F3675&amp;"|"&amp;I3675&amp;"|"&amp;O3675)</f>
        <v/>
      </c>
      <c r="T3675" s="15" t="str">
        <f>IF(OR(S3675="",D3675&lt;&gt;"Vastgesteld"),"",_xlfn.MAXIFS($G$6:$G$5005,$S$6:$S$5005,S3675,$D$6:$D$5005,"Vastgesteld"))</f>
        <v/>
      </c>
      <c r="U3675" s="15">
        <f>IF(T3675="",0,IF(AND(G3675=T3675,COUNTIFS($S$6:S3675,S3675,$G$6:G3675,G3675,$D$6:D3675,"Vastgesteld")=1),1,0))</f>
        <v>0</v>
      </c>
      <c r="V3675" s="15">
        <f>IF(T3675="",0,IF(AND(G3675=T3675,COUNTIFS($S$6:S3675,S3675,$G$6:G3675,G3675,$D$6:D3675,"Vastgesteld")&gt;1),1,0))</f>
        <v>0</v>
      </c>
    </row>
    <row r="3676">
      <c r="S3676" s="15" t="str">
        <f>IF(J3676="","",J3676&amp;"|"&amp;E3676&amp;"|"&amp;F3676&amp;"|"&amp;I3676&amp;"|"&amp;O3676)</f>
        <v/>
      </c>
      <c r="T3676" s="15" t="str">
        <f>IF(OR(S3676="",D3676&lt;&gt;"Vastgesteld"),"",_xlfn.MAXIFS($G$6:$G$5005,$S$6:$S$5005,S3676,$D$6:$D$5005,"Vastgesteld"))</f>
        <v/>
      </c>
      <c r="U3676" s="15">
        <f>IF(T3676="",0,IF(AND(G3676=T3676,COUNTIFS($S$6:S3676,S3676,$G$6:G3676,G3676,$D$6:D3676,"Vastgesteld")=1),1,0))</f>
        <v>0</v>
      </c>
      <c r="V3676" s="15">
        <f>IF(T3676="",0,IF(AND(G3676=T3676,COUNTIFS($S$6:S3676,S3676,$G$6:G3676,G3676,$D$6:D3676,"Vastgesteld")&gt;1),1,0))</f>
        <v>0</v>
      </c>
    </row>
    <row r="3677">
      <c r="S3677" s="15" t="str">
        <f>IF(J3677="","",J3677&amp;"|"&amp;E3677&amp;"|"&amp;F3677&amp;"|"&amp;I3677&amp;"|"&amp;O3677)</f>
        <v/>
      </c>
      <c r="T3677" s="15" t="str">
        <f>IF(OR(S3677="",D3677&lt;&gt;"Vastgesteld"),"",_xlfn.MAXIFS($G$6:$G$5005,$S$6:$S$5005,S3677,$D$6:$D$5005,"Vastgesteld"))</f>
        <v/>
      </c>
      <c r="U3677" s="15">
        <f>IF(T3677="",0,IF(AND(G3677=T3677,COUNTIFS($S$6:S3677,S3677,$G$6:G3677,G3677,$D$6:D3677,"Vastgesteld")=1),1,0))</f>
        <v>0</v>
      </c>
      <c r="V3677" s="15">
        <f>IF(T3677="",0,IF(AND(G3677=T3677,COUNTIFS($S$6:S3677,S3677,$G$6:G3677,G3677,$D$6:D3677,"Vastgesteld")&gt;1),1,0))</f>
        <v>0</v>
      </c>
    </row>
    <row r="3678">
      <c r="S3678" s="15" t="str">
        <f>IF(J3678="","",J3678&amp;"|"&amp;E3678&amp;"|"&amp;F3678&amp;"|"&amp;I3678&amp;"|"&amp;O3678)</f>
        <v/>
      </c>
      <c r="T3678" s="15" t="str">
        <f>IF(OR(S3678="",D3678&lt;&gt;"Vastgesteld"),"",_xlfn.MAXIFS($G$6:$G$5005,$S$6:$S$5005,S3678,$D$6:$D$5005,"Vastgesteld"))</f>
        <v/>
      </c>
      <c r="U3678" s="15">
        <f>IF(T3678="",0,IF(AND(G3678=T3678,COUNTIFS($S$6:S3678,S3678,$G$6:G3678,G3678,$D$6:D3678,"Vastgesteld")=1),1,0))</f>
        <v>0</v>
      </c>
      <c r="V3678" s="15">
        <f>IF(T3678="",0,IF(AND(G3678=T3678,COUNTIFS($S$6:S3678,S3678,$G$6:G3678,G3678,$D$6:D3678,"Vastgesteld")&gt;1),1,0))</f>
        <v>0</v>
      </c>
    </row>
    <row r="3679">
      <c r="S3679" s="15" t="str">
        <f>IF(J3679="","",J3679&amp;"|"&amp;E3679&amp;"|"&amp;F3679&amp;"|"&amp;I3679&amp;"|"&amp;O3679)</f>
        <v/>
      </c>
      <c r="T3679" s="15" t="str">
        <f>IF(OR(S3679="",D3679&lt;&gt;"Vastgesteld"),"",_xlfn.MAXIFS($G$6:$G$5005,$S$6:$S$5005,S3679,$D$6:$D$5005,"Vastgesteld"))</f>
        <v/>
      </c>
      <c r="U3679" s="15">
        <f>IF(T3679="",0,IF(AND(G3679=T3679,COUNTIFS($S$6:S3679,S3679,$G$6:G3679,G3679,$D$6:D3679,"Vastgesteld")=1),1,0))</f>
        <v>0</v>
      </c>
      <c r="V3679" s="15">
        <f>IF(T3679="",0,IF(AND(G3679=T3679,COUNTIFS($S$6:S3679,S3679,$G$6:G3679,G3679,$D$6:D3679,"Vastgesteld")&gt;1),1,0))</f>
        <v>0</v>
      </c>
    </row>
    <row r="3680">
      <c r="S3680" s="15" t="str">
        <f>IF(J3680="","",J3680&amp;"|"&amp;E3680&amp;"|"&amp;F3680&amp;"|"&amp;I3680&amp;"|"&amp;O3680)</f>
        <v/>
      </c>
      <c r="T3680" s="15" t="str">
        <f>IF(OR(S3680="",D3680&lt;&gt;"Vastgesteld"),"",_xlfn.MAXIFS($G$6:$G$5005,$S$6:$S$5005,S3680,$D$6:$D$5005,"Vastgesteld"))</f>
        <v/>
      </c>
      <c r="U3680" s="15">
        <f>IF(T3680="",0,IF(AND(G3680=T3680,COUNTIFS($S$6:S3680,S3680,$G$6:G3680,G3680,$D$6:D3680,"Vastgesteld")=1),1,0))</f>
        <v>0</v>
      </c>
      <c r="V3680" s="15">
        <f>IF(T3680="",0,IF(AND(G3680=T3680,COUNTIFS($S$6:S3680,S3680,$G$6:G3680,G3680,$D$6:D3680,"Vastgesteld")&gt;1),1,0))</f>
        <v>0</v>
      </c>
    </row>
    <row r="3681">
      <c r="S3681" s="15" t="str">
        <f>IF(J3681="","",J3681&amp;"|"&amp;E3681&amp;"|"&amp;F3681&amp;"|"&amp;I3681&amp;"|"&amp;O3681)</f>
        <v/>
      </c>
      <c r="T3681" s="15" t="str">
        <f>IF(OR(S3681="",D3681&lt;&gt;"Vastgesteld"),"",_xlfn.MAXIFS($G$6:$G$5005,$S$6:$S$5005,S3681,$D$6:$D$5005,"Vastgesteld"))</f>
        <v/>
      </c>
      <c r="U3681" s="15">
        <f>IF(T3681="",0,IF(AND(G3681=T3681,COUNTIFS($S$6:S3681,S3681,$G$6:G3681,G3681,$D$6:D3681,"Vastgesteld")=1),1,0))</f>
        <v>0</v>
      </c>
      <c r="V3681" s="15">
        <f>IF(T3681="",0,IF(AND(G3681=T3681,COUNTIFS($S$6:S3681,S3681,$G$6:G3681,G3681,$D$6:D3681,"Vastgesteld")&gt;1),1,0))</f>
        <v>0</v>
      </c>
    </row>
    <row r="3682">
      <c r="S3682" s="15" t="str">
        <f>IF(J3682="","",J3682&amp;"|"&amp;E3682&amp;"|"&amp;F3682&amp;"|"&amp;I3682&amp;"|"&amp;O3682)</f>
        <v/>
      </c>
      <c r="T3682" s="15" t="str">
        <f>IF(OR(S3682="",D3682&lt;&gt;"Vastgesteld"),"",_xlfn.MAXIFS($G$6:$G$5005,$S$6:$S$5005,S3682,$D$6:$D$5005,"Vastgesteld"))</f>
        <v/>
      </c>
      <c r="U3682" s="15">
        <f>IF(T3682="",0,IF(AND(G3682=T3682,COUNTIFS($S$6:S3682,S3682,$G$6:G3682,G3682,$D$6:D3682,"Vastgesteld")=1),1,0))</f>
        <v>0</v>
      </c>
      <c r="V3682" s="15">
        <f>IF(T3682="",0,IF(AND(G3682=T3682,COUNTIFS($S$6:S3682,S3682,$G$6:G3682,G3682,$D$6:D3682,"Vastgesteld")&gt;1),1,0))</f>
        <v>0</v>
      </c>
    </row>
    <row r="3683">
      <c r="S3683" s="15" t="str">
        <f>IF(J3683="","",J3683&amp;"|"&amp;E3683&amp;"|"&amp;F3683&amp;"|"&amp;I3683&amp;"|"&amp;O3683)</f>
        <v/>
      </c>
      <c r="T3683" s="15" t="str">
        <f>IF(OR(S3683="",D3683&lt;&gt;"Vastgesteld"),"",_xlfn.MAXIFS($G$6:$G$5005,$S$6:$S$5005,S3683,$D$6:$D$5005,"Vastgesteld"))</f>
        <v/>
      </c>
      <c r="U3683" s="15">
        <f>IF(T3683="",0,IF(AND(G3683=T3683,COUNTIFS($S$6:S3683,S3683,$G$6:G3683,G3683,$D$6:D3683,"Vastgesteld")=1),1,0))</f>
        <v>0</v>
      </c>
      <c r="V3683" s="15">
        <f>IF(T3683="",0,IF(AND(G3683=T3683,COUNTIFS($S$6:S3683,S3683,$G$6:G3683,G3683,$D$6:D3683,"Vastgesteld")&gt;1),1,0))</f>
        <v>0</v>
      </c>
    </row>
    <row r="3684">
      <c r="S3684" s="15" t="str">
        <f>IF(J3684="","",J3684&amp;"|"&amp;E3684&amp;"|"&amp;F3684&amp;"|"&amp;I3684&amp;"|"&amp;O3684)</f>
        <v/>
      </c>
      <c r="T3684" s="15" t="str">
        <f>IF(OR(S3684="",D3684&lt;&gt;"Vastgesteld"),"",_xlfn.MAXIFS($G$6:$G$5005,$S$6:$S$5005,S3684,$D$6:$D$5005,"Vastgesteld"))</f>
        <v/>
      </c>
      <c r="U3684" s="15">
        <f>IF(T3684="",0,IF(AND(G3684=T3684,COUNTIFS($S$6:S3684,S3684,$G$6:G3684,G3684,$D$6:D3684,"Vastgesteld")=1),1,0))</f>
        <v>0</v>
      </c>
      <c r="V3684" s="15">
        <f>IF(T3684="",0,IF(AND(G3684=T3684,COUNTIFS($S$6:S3684,S3684,$G$6:G3684,G3684,$D$6:D3684,"Vastgesteld")&gt;1),1,0))</f>
        <v>0</v>
      </c>
    </row>
    <row r="3685">
      <c r="S3685" s="15" t="str">
        <f>IF(J3685="","",J3685&amp;"|"&amp;E3685&amp;"|"&amp;F3685&amp;"|"&amp;I3685&amp;"|"&amp;O3685)</f>
        <v/>
      </c>
      <c r="T3685" s="15" t="str">
        <f>IF(OR(S3685="",D3685&lt;&gt;"Vastgesteld"),"",_xlfn.MAXIFS($G$6:$G$5005,$S$6:$S$5005,S3685,$D$6:$D$5005,"Vastgesteld"))</f>
        <v/>
      </c>
      <c r="U3685" s="15">
        <f>IF(T3685="",0,IF(AND(G3685=T3685,COUNTIFS($S$6:S3685,S3685,$G$6:G3685,G3685,$D$6:D3685,"Vastgesteld")=1),1,0))</f>
        <v>0</v>
      </c>
      <c r="V3685" s="15">
        <f>IF(T3685="",0,IF(AND(G3685=T3685,COUNTIFS($S$6:S3685,S3685,$G$6:G3685,G3685,$D$6:D3685,"Vastgesteld")&gt;1),1,0))</f>
        <v>0</v>
      </c>
    </row>
    <row r="3686">
      <c r="S3686" s="15" t="str">
        <f>IF(J3686="","",J3686&amp;"|"&amp;E3686&amp;"|"&amp;F3686&amp;"|"&amp;I3686&amp;"|"&amp;O3686)</f>
        <v/>
      </c>
      <c r="T3686" s="15" t="str">
        <f>IF(OR(S3686="",D3686&lt;&gt;"Vastgesteld"),"",_xlfn.MAXIFS($G$6:$G$5005,$S$6:$S$5005,S3686,$D$6:$D$5005,"Vastgesteld"))</f>
        <v/>
      </c>
      <c r="U3686" s="15">
        <f>IF(T3686="",0,IF(AND(G3686=T3686,COUNTIFS($S$6:S3686,S3686,$G$6:G3686,G3686,$D$6:D3686,"Vastgesteld")=1),1,0))</f>
        <v>0</v>
      </c>
      <c r="V3686" s="15">
        <f>IF(T3686="",0,IF(AND(G3686=T3686,COUNTIFS($S$6:S3686,S3686,$G$6:G3686,G3686,$D$6:D3686,"Vastgesteld")&gt;1),1,0))</f>
        <v>0</v>
      </c>
    </row>
    <row r="3687">
      <c r="S3687" s="15" t="str">
        <f>IF(J3687="","",J3687&amp;"|"&amp;E3687&amp;"|"&amp;F3687&amp;"|"&amp;I3687&amp;"|"&amp;O3687)</f>
        <v/>
      </c>
      <c r="T3687" s="15" t="str">
        <f>IF(OR(S3687="",D3687&lt;&gt;"Vastgesteld"),"",_xlfn.MAXIFS($G$6:$G$5005,$S$6:$S$5005,S3687,$D$6:$D$5005,"Vastgesteld"))</f>
        <v/>
      </c>
      <c r="U3687" s="15">
        <f>IF(T3687="",0,IF(AND(G3687=T3687,COUNTIFS($S$6:S3687,S3687,$G$6:G3687,G3687,$D$6:D3687,"Vastgesteld")=1),1,0))</f>
        <v>0</v>
      </c>
      <c r="V3687" s="15">
        <f>IF(T3687="",0,IF(AND(G3687=T3687,COUNTIFS($S$6:S3687,S3687,$G$6:G3687,G3687,$D$6:D3687,"Vastgesteld")&gt;1),1,0))</f>
        <v>0</v>
      </c>
    </row>
    <row r="3688">
      <c r="S3688" s="15" t="str">
        <f>IF(J3688="","",J3688&amp;"|"&amp;E3688&amp;"|"&amp;F3688&amp;"|"&amp;I3688&amp;"|"&amp;O3688)</f>
        <v/>
      </c>
      <c r="T3688" s="15" t="str">
        <f>IF(OR(S3688="",D3688&lt;&gt;"Vastgesteld"),"",_xlfn.MAXIFS($G$6:$G$5005,$S$6:$S$5005,S3688,$D$6:$D$5005,"Vastgesteld"))</f>
        <v/>
      </c>
      <c r="U3688" s="15">
        <f>IF(T3688="",0,IF(AND(G3688=T3688,COUNTIFS($S$6:S3688,S3688,$G$6:G3688,G3688,$D$6:D3688,"Vastgesteld")=1),1,0))</f>
        <v>0</v>
      </c>
      <c r="V3688" s="15">
        <f>IF(T3688="",0,IF(AND(G3688=T3688,COUNTIFS($S$6:S3688,S3688,$G$6:G3688,G3688,$D$6:D3688,"Vastgesteld")&gt;1),1,0))</f>
        <v>0</v>
      </c>
    </row>
    <row r="3689">
      <c r="S3689" s="15" t="str">
        <f>IF(J3689="","",J3689&amp;"|"&amp;E3689&amp;"|"&amp;F3689&amp;"|"&amp;I3689&amp;"|"&amp;O3689)</f>
        <v/>
      </c>
      <c r="T3689" s="15" t="str">
        <f>IF(OR(S3689="",D3689&lt;&gt;"Vastgesteld"),"",_xlfn.MAXIFS($G$6:$G$5005,$S$6:$S$5005,S3689,$D$6:$D$5005,"Vastgesteld"))</f>
        <v/>
      </c>
      <c r="U3689" s="15">
        <f>IF(T3689="",0,IF(AND(G3689=T3689,COUNTIFS($S$6:S3689,S3689,$G$6:G3689,G3689,$D$6:D3689,"Vastgesteld")=1),1,0))</f>
        <v>0</v>
      </c>
      <c r="V3689" s="15">
        <f>IF(T3689="",0,IF(AND(G3689=T3689,COUNTIFS($S$6:S3689,S3689,$G$6:G3689,G3689,$D$6:D3689,"Vastgesteld")&gt;1),1,0))</f>
        <v>0</v>
      </c>
    </row>
    <row r="3690">
      <c r="S3690" s="15" t="str">
        <f>IF(J3690="","",J3690&amp;"|"&amp;E3690&amp;"|"&amp;F3690&amp;"|"&amp;I3690&amp;"|"&amp;O3690)</f>
        <v/>
      </c>
      <c r="T3690" s="15" t="str">
        <f>IF(OR(S3690="",D3690&lt;&gt;"Vastgesteld"),"",_xlfn.MAXIFS($G$6:$G$5005,$S$6:$S$5005,S3690,$D$6:$D$5005,"Vastgesteld"))</f>
        <v/>
      </c>
      <c r="U3690" s="15">
        <f>IF(T3690="",0,IF(AND(G3690=T3690,COUNTIFS($S$6:S3690,S3690,$G$6:G3690,G3690,$D$6:D3690,"Vastgesteld")=1),1,0))</f>
        <v>0</v>
      </c>
      <c r="V3690" s="15">
        <f>IF(T3690="",0,IF(AND(G3690=T3690,COUNTIFS($S$6:S3690,S3690,$G$6:G3690,G3690,$D$6:D3690,"Vastgesteld")&gt;1),1,0))</f>
        <v>0</v>
      </c>
    </row>
    <row r="3691">
      <c r="S3691" s="15" t="str">
        <f>IF(J3691="","",J3691&amp;"|"&amp;E3691&amp;"|"&amp;F3691&amp;"|"&amp;I3691&amp;"|"&amp;O3691)</f>
        <v/>
      </c>
      <c r="T3691" s="15" t="str">
        <f>IF(OR(S3691="",D3691&lt;&gt;"Vastgesteld"),"",_xlfn.MAXIFS($G$6:$G$5005,$S$6:$S$5005,S3691,$D$6:$D$5005,"Vastgesteld"))</f>
        <v/>
      </c>
      <c r="U3691" s="15">
        <f>IF(T3691="",0,IF(AND(G3691=T3691,COUNTIFS($S$6:S3691,S3691,$G$6:G3691,G3691,$D$6:D3691,"Vastgesteld")=1),1,0))</f>
        <v>0</v>
      </c>
      <c r="V3691" s="15">
        <f>IF(T3691="",0,IF(AND(G3691=T3691,COUNTIFS($S$6:S3691,S3691,$G$6:G3691,G3691,$D$6:D3691,"Vastgesteld")&gt;1),1,0))</f>
        <v>0</v>
      </c>
    </row>
    <row r="3692">
      <c r="S3692" s="15" t="str">
        <f>IF(J3692="","",J3692&amp;"|"&amp;E3692&amp;"|"&amp;F3692&amp;"|"&amp;I3692&amp;"|"&amp;O3692)</f>
        <v/>
      </c>
      <c r="T3692" s="15" t="str">
        <f>IF(OR(S3692="",D3692&lt;&gt;"Vastgesteld"),"",_xlfn.MAXIFS($G$6:$G$5005,$S$6:$S$5005,S3692,$D$6:$D$5005,"Vastgesteld"))</f>
        <v/>
      </c>
      <c r="U3692" s="15">
        <f>IF(T3692="",0,IF(AND(G3692=T3692,COUNTIFS($S$6:S3692,S3692,$G$6:G3692,G3692,$D$6:D3692,"Vastgesteld")=1),1,0))</f>
        <v>0</v>
      </c>
      <c r="V3692" s="15">
        <f>IF(T3692="",0,IF(AND(G3692=T3692,COUNTIFS($S$6:S3692,S3692,$G$6:G3692,G3692,$D$6:D3692,"Vastgesteld")&gt;1),1,0))</f>
        <v>0</v>
      </c>
    </row>
    <row r="3693">
      <c r="S3693" s="15" t="str">
        <f>IF(J3693="","",J3693&amp;"|"&amp;E3693&amp;"|"&amp;F3693&amp;"|"&amp;I3693&amp;"|"&amp;O3693)</f>
        <v/>
      </c>
      <c r="T3693" s="15" t="str">
        <f>IF(OR(S3693="",D3693&lt;&gt;"Vastgesteld"),"",_xlfn.MAXIFS($G$6:$G$5005,$S$6:$S$5005,S3693,$D$6:$D$5005,"Vastgesteld"))</f>
        <v/>
      </c>
      <c r="U3693" s="15">
        <f>IF(T3693="",0,IF(AND(G3693=T3693,COUNTIFS($S$6:S3693,S3693,$G$6:G3693,G3693,$D$6:D3693,"Vastgesteld")=1),1,0))</f>
        <v>0</v>
      </c>
      <c r="V3693" s="15">
        <f>IF(T3693="",0,IF(AND(G3693=T3693,COUNTIFS($S$6:S3693,S3693,$G$6:G3693,G3693,$D$6:D3693,"Vastgesteld")&gt;1),1,0))</f>
        <v>0</v>
      </c>
    </row>
    <row r="3694">
      <c r="S3694" s="15" t="str">
        <f>IF(J3694="","",J3694&amp;"|"&amp;E3694&amp;"|"&amp;F3694&amp;"|"&amp;I3694&amp;"|"&amp;O3694)</f>
        <v/>
      </c>
      <c r="T3694" s="15" t="str">
        <f>IF(OR(S3694="",D3694&lt;&gt;"Vastgesteld"),"",_xlfn.MAXIFS($G$6:$G$5005,$S$6:$S$5005,S3694,$D$6:$D$5005,"Vastgesteld"))</f>
        <v/>
      </c>
      <c r="U3694" s="15">
        <f>IF(T3694="",0,IF(AND(G3694=T3694,COUNTIFS($S$6:S3694,S3694,$G$6:G3694,G3694,$D$6:D3694,"Vastgesteld")=1),1,0))</f>
        <v>0</v>
      </c>
      <c r="V3694" s="15">
        <f>IF(T3694="",0,IF(AND(G3694=T3694,COUNTIFS($S$6:S3694,S3694,$G$6:G3694,G3694,$D$6:D3694,"Vastgesteld")&gt;1),1,0))</f>
        <v>0</v>
      </c>
    </row>
    <row r="3695">
      <c r="S3695" s="15" t="str">
        <f>IF(J3695="","",J3695&amp;"|"&amp;E3695&amp;"|"&amp;F3695&amp;"|"&amp;I3695&amp;"|"&amp;O3695)</f>
        <v/>
      </c>
      <c r="T3695" s="15" t="str">
        <f>IF(OR(S3695="",D3695&lt;&gt;"Vastgesteld"),"",_xlfn.MAXIFS($G$6:$G$5005,$S$6:$S$5005,S3695,$D$6:$D$5005,"Vastgesteld"))</f>
        <v/>
      </c>
      <c r="U3695" s="15">
        <f>IF(T3695="",0,IF(AND(G3695=T3695,COUNTIFS($S$6:S3695,S3695,$G$6:G3695,G3695,$D$6:D3695,"Vastgesteld")=1),1,0))</f>
        <v>0</v>
      </c>
      <c r="V3695" s="15">
        <f>IF(T3695="",0,IF(AND(G3695=T3695,COUNTIFS($S$6:S3695,S3695,$G$6:G3695,G3695,$D$6:D3695,"Vastgesteld")&gt;1),1,0))</f>
        <v>0</v>
      </c>
    </row>
    <row r="3696">
      <c r="S3696" s="15" t="str">
        <f>IF(J3696="","",J3696&amp;"|"&amp;E3696&amp;"|"&amp;F3696&amp;"|"&amp;I3696&amp;"|"&amp;O3696)</f>
        <v/>
      </c>
      <c r="T3696" s="15" t="str">
        <f>IF(OR(S3696="",D3696&lt;&gt;"Vastgesteld"),"",_xlfn.MAXIFS($G$6:$G$5005,$S$6:$S$5005,S3696,$D$6:$D$5005,"Vastgesteld"))</f>
        <v/>
      </c>
      <c r="U3696" s="15">
        <f>IF(T3696="",0,IF(AND(G3696=T3696,COUNTIFS($S$6:S3696,S3696,$G$6:G3696,G3696,$D$6:D3696,"Vastgesteld")=1),1,0))</f>
        <v>0</v>
      </c>
      <c r="V3696" s="15">
        <f>IF(T3696="",0,IF(AND(G3696=T3696,COUNTIFS($S$6:S3696,S3696,$G$6:G3696,G3696,$D$6:D3696,"Vastgesteld")&gt;1),1,0))</f>
        <v>0</v>
      </c>
    </row>
    <row r="3697">
      <c r="S3697" s="15" t="str">
        <f>IF(J3697="","",J3697&amp;"|"&amp;E3697&amp;"|"&amp;F3697&amp;"|"&amp;I3697&amp;"|"&amp;O3697)</f>
        <v/>
      </c>
      <c r="T3697" s="15" t="str">
        <f>IF(OR(S3697="",D3697&lt;&gt;"Vastgesteld"),"",_xlfn.MAXIFS($G$6:$G$5005,$S$6:$S$5005,S3697,$D$6:$D$5005,"Vastgesteld"))</f>
        <v/>
      </c>
      <c r="U3697" s="15">
        <f>IF(T3697="",0,IF(AND(G3697=T3697,COUNTIFS($S$6:S3697,S3697,$G$6:G3697,G3697,$D$6:D3697,"Vastgesteld")=1),1,0))</f>
        <v>0</v>
      </c>
      <c r="V3697" s="15">
        <f>IF(T3697="",0,IF(AND(G3697=T3697,COUNTIFS($S$6:S3697,S3697,$G$6:G3697,G3697,$D$6:D3697,"Vastgesteld")&gt;1),1,0))</f>
        <v>0</v>
      </c>
    </row>
    <row r="3698">
      <c r="S3698" s="15" t="str">
        <f>IF(J3698="","",J3698&amp;"|"&amp;E3698&amp;"|"&amp;F3698&amp;"|"&amp;I3698&amp;"|"&amp;O3698)</f>
        <v/>
      </c>
      <c r="T3698" s="15" t="str">
        <f>IF(OR(S3698="",D3698&lt;&gt;"Vastgesteld"),"",_xlfn.MAXIFS($G$6:$G$5005,$S$6:$S$5005,S3698,$D$6:$D$5005,"Vastgesteld"))</f>
        <v/>
      </c>
      <c r="U3698" s="15">
        <f>IF(T3698="",0,IF(AND(G3698=T3698,COUNTIFS($S$6:S3698,S3698,$G$6:G3698,G3698,$D$6:D3698,"Vastgesteld")=1),1,0))</f>
        <v>0</v>
      </c>
      <c r="V3698" s="15">
        <f>IF(T3698="",0,IF(AND(G3698=T3698,COUNTIFS($S$6:S3698,S3698,$G$6:G3698,G3698,$D$6:D3698,"Vastgesteld")&gt;1),1,0))</f>
        <v>0</v>
      </c>
    </row>
    <row r="3699">
      <c r="S3699" s="15" t="str">
        <f>IF(J3699="","",J3699&amp;"|"&amp;E3699&amp;"|"&amp;F3699&amp;"|"&amp;I3699&amp;"|"&amp;O3699)</f>
        <v/>
      </c>
      <c r="T3699" s="15" t="str">
        <f>IF(OR(S3699="",D3699&lt;&gt;"Vastgesteld"),"",_xlfn.MAXIFS($G$6:$G$5005,$S$6:$S$5005,S3699,$D$6:$D$5005,"Vastgesteld"))</f>
        <v/>
      </c>
      <c r="U3699" s="15">
        <f>IF(T3699="",0,IF(AND(G3699=T3699,COUNTIFS($S$6:S3699,S3699,$G$6:G3699,G3699,$D$6:D3699,"Vastgesteld")=1),1,0))</f>
        <v>0</v>
      </c>
      <c r="V3699" s="15">
        <f>IF(T3699="",0,IF(AND(G3699=T3699,COUNTIFS($S$6:S3699,S3699,$G$6:G3699,G3699,$D$6:D3699,"Vastgesteld")&gt;1),1,0))</f>
        <v>0</v>
      </c>
    </row>
    <row r="3700">
      <c r="S3700" s="15" t="str">
        <f>IF(J3700="","",J3700&amp;"|"&amp;E3700&amp;"|"&amp;F3700&amp;"|"&amp;I3700&amp;"|"&amp;O3700)</f>
        <v/>
      </c>
      <c r="T3700" s="15" t="str">
        <f>IF(OR(S3700="",D3700&lt;&gt;"Vastgesteld"),"",_xlfn.MAXIFS($G$6:$G$5005,$S$6:$S$5005,S3700,$D$6:$D$5005,"Vastgesteld"))</f>
        <v/>
      </c>
      <c r="U3700" s="15">
        <f>IF(T3700="",0,IF(AND(G3700=T3700,COUNTIFS($S$6:S3700,S3700,$G$6:G3700,G3700,$D$6:D3700,"Vastgesteld")=1),1,0))</f>
        <v>0</v>
      </c>
      <c r="V3700" s="15">
        <f>IF(T3700="",0,IF(AND(G3700=T3700,COUNTIFS($S$6:S3700,S3700,$G$6:G3700,G3700,$D$6:D3700,"Vastgesteld")&gt;1),1,0))</f>
        <v>0</v>
      </c>
    </row>
    <row r="3701">
      <c r="S3701" s="15" t="str">
        <f>IF(J3701="","",J3701&amp;"|"&amp;E3701&amp;"|"&amp;F3701&amp;"|"&amp;I3701&amp;"|"&amp;O3701)</f>
        <v/>
      </c>
      <c r="T3701" s="15" t="str">
        <f>IF(OR(S3701="",D3701&lt;&gt;"Vastgesteld"),"",_xlfn.MAXIFS($G$6:$G$5005,$S$6:$S$5005,S3701,$D$6:$D$5005,"Vastgesteld"))</f>
        <v/>
      </c>
      <c r="U3701" s="15">
        <f>IF(T3701="",0,IF(AND(G3701=T3701,COUNTIFS($S$6:S3701,S3701,$G$6:G3701,G3701,$D$6:D3701,"Vastgesteld")=1),1,0))</f>
        <v>0</v>
      </c>
      <c r="V3701" s="15">
        <f>IF(T3701="",0,IF(AND(G3701=T3701,COUNTIFS($S$6:S3701,S3701,$G$6:G3701,G3701,$D$6:D3701,"Vastgesteld")&gt;1),1,0))</f>
        <v>0</v>
      </c>
    </row>
    <row r="3702">
      <c r="S3702" s="15" t="str">
        <f>IF(J3702="","",J3702&amp;"|"&amp;E3702&amp;"|"&amp;F3702&amp;"|"&amp;I3702&amp;"|"&amp;O3702)</f>
        <v/>
      </c>
      <c r="T3702" s="15" t="str">
        <f>IF(OR(S3702="",D3702&lt;&gt;"Vastgesteld"),"",_xlfn.MAXIFS($G$6:$G$5005,$S$6:$S$5005,S3702,$D$6:$D$5005,"Vastgesteld"))</f>
        <v/>
      </c>
      <c r="U3702" s="15">
        <f>IF(T3702="",0,IF(AND(G3702=T3702,COUNTIFS($S$6:S3702,S3702,$G$6:G3702,G3702,$D$6:D3702,"Vastgesteld")=1),1,0))</f>
        <v>0</v>
      </c>
      <c r="V3702" s="15">
        <f>IF(T3702="",0,IF(AND(G3702=T3702,COUNTIFS($S$6:S3702,S3702,$G$6:G3702,G3702,$D$6:D3702,"Vastgesteld")&gt;1),1,0))</f>
        <v>0</v>
      </c>
    </row>
    <row r="3703">
      <c r="S3703" s="15" t="str">
        <f>IF(J3703="","",J3703&amp;"|"&amp;E3703&amp;"|"&amp;F3703&amp;"|"&amp;I3703&amp;"|"&amp;O3703)</f>
        <v/>
      </c>
      <c r="T3703" s="15" t="str">
        <f>IF(OR(S3703="",D3703&lt;&gt;"Vastgesteld"),"",_xlfn.MAXIFS($G$6:$G$5005,$S$6:$S$5005,S3703,$D$6:$D$5005,"Vastgesteld"))</f>
        <v/>
      </c>
      <c r="U3703" s="15">
        <f>IF(T3703="",0,IF(AND(G3703=T3703,COUNTIFS($S$6:S3703,S3703,$G$6:G3703,G3703,$D$6:D3703,"Vastgesteld")=1),1,0))</f>
        <v>0</v>
      </c>
      <c r="V3703" s="15">
        <f>IF(T3703="",0,IF(AND(G3703=T3703,COUNTIFS($S$6:S3703,S3703,$G$6:G3703,G3703,$D$6:D3703,"Vastgesteld")&gt;1),1,0))</f>
        <v>0</v>
      </c>
    </row>
    <row r="3704">
      <c r="S3704" s="15" t="str">
        <f>IF(J3704="","",J3704&amp;"|"&amp;E3704&amp;"|"&amp;F3704&amp;"|"&amp;I3704&amp;"|"&amp;O3704)</f>
        <v/>
      </c>
      <c r="T3704" s="15" t="str">
        <f>IF(OR(S3704="",D3704&lt;&gt;"Vastgesteld"),"",_xlfn.MAXIFS($G$6:$G$5005,$S$6:$S$5005,S3704,$D$6:$D$5005,"Vastgesteld"))</f>
        <v/>
      </c>
      <c r="U3704" s="15">
        <f>IF(T3704="",0,IF(AND(G3704=T3704,COUNTIFS($S$6:S3704,S3704,$G$6:G3704,G3704,$D$6:D3704,"Vastgesteld")=1),1,0))</f>
        <v>0</v>
      </c>
      <c r="V3704" s="15">
        <f>IF(T3704="",0,IF(AND(G3704=T3704,COUNTIFS($S$6:S3704,S3704,$G$6:G3704,G3704,$D$6:D3704,"Vastgesteld")&gt;1),1,0))</f>
        <v>0</v>
      </c>
    </row>
    <row r="3705">
      <c r="S3705" s="15" t="str">
        <f>IF(J3705="","",J3705&amp;"|"&amp;E3705&amp;"|"&amp;F3705&amp;"|"&amp;I3705&amp;"|"&amp;O3705)</f>
        <v/>
      </c>
      <c r="T3705" s="15" t="str">
        <f>IF(OR(S3705="",D3705&lt;&gt;"Vastgesteld"),"",_xlfn.MAXIFS($G$6:$G$5005,$S$6:$S$5005,S3705,$D$6:$D$5005,"Vastgesteld"))</f>
        <v/>
      </c>
      <c r="U3705" s="15">
        <f>IF(T3705="",0,IF(AND(G3705=T3705,COUNTIFS($S$6:S3705,S3705,$G$6:G3705,G3705,$D$6:D3705,"Vastgesteld")=1),1,0))</f>
        <v>0</v>
      </c>
      <c r="V3705" s="15">
        <f>IF(T3705="",0,IF(AND(G3705=T3705,COUNTIFS($S$6:S3705,S3705,$G$6:G3705,G3705,$D$6:D3705,"Vastgesteld")&gt;1),1,0))</f>
        <v>0</v>
      </c>
    </row>
    <row r="3706">
      <c r="S3706" s="15" t="str">
        <f>IF(J3706="","",J3706&amp;"|"&amp;E3706&amp;"|"&amp;F3706&amp;"|"&amp;I3706&amp;"|"&amp;O3706)</f>
        <v/>
      </c>
      <c r="T3706" s="15" t="str">
        <f>IF(OR(S3706="",D3706&lt;&gt;"Vastgesteld"),"",_xlfn.MAXIFS($G$6:$G$5005,$S$6:$S$5005,S3706,$D$6:$D$5005,"Vastgesteld"))</f>
        <v/>
      </c>
      <c r="U3706" s="15">
        <f>IF(T3706="",0,IF(AND(G3706=T3706,COUNTIFS($S$6:S3706,S3706,$G$6:G3706,G3706,$D$6:D3706,"Vastgesteld")=1),1,0))</f>
        <v>0</v>
      </c>
      <c r="V3706" s="15">
        <f>IF(T3706="",0,IF(AND(G3706=T3706,COUNTIFS($S$6:S3706,S3706,$G$6:G3706,G3706,$D$6:D3706,"Vastgesteld")&gt;1),1,0))</f>
        <v>0</v>
      </c>
    </row>
    <row r="3707">
      <c r="S3707" s="15" t="str">
        <f>IF(J3707="","",J3707&amp;"|"&amp;E3707&amp;"|"&amp;F3707&amp;"|"&amp;I3707&amp;"|"&amp;O3707)</f>
        <v/>
      </c>
      <c r="T3707" s="15" t="str">
        <f>IF(OR(S3707="",D3707&lt;&gt;"Vastgesteld"),"",_xlfn.MAXIFS($G$6:$G$5005,$S$6:$S$5005,S3707,$D$6:$D$5005,"Vastgesteld"))</f>
        <v/>
      </c>
      <c r="U3707" s="15">
        <f>IF(T3707="",0,IF(AND(G3707=T3707,COUNTIFS($S$6:S3707,S3707,$G$6:G3707,G3707,$D$6:D3707,"Vastgesteld")=1),1,0))</f>
        <v>0</v>
      </c>
      <c r="V3707" s="15">
        <f>IF(T3707="",0,IF(AND(G3707=T3707,COUNTIFS($S$6:S3707,S3707,$G$6:G3707,G3707,$D$6:D3707,"Vastgesteld")&gt;1),1,0))</f>
        <v>0</v>
      </c>
    </row>
    <row r="3708">
      <c r="S3708" s="15" t="str">
        <f>IF(J3708="","",J3708&amp;"|"&amp;E3708&amp;"|"&amp;F3708&amp;"|"&amp;I3708&amp;"|"&amp;O3708)</f>
        <v/>
      </c>
      <c r="T3708" s="15" t="str">
        <f>IF(OR(S3708="",D3708&lt;&gt;"Vastgesteld"),"",_xlfn.MAXIFS($G$6:$G$5005,$S$6:$S$5005,S3708,$D$6:$D$5005,"Vastgesteld"))</f>
        <v/>
      </c>
      <c r="U3708" s="15">
        <f>IF(T3708="",0,IF(AND(G3708=T3708,COUNTIFS($S$6:S3708,S3708,$G$6:G3708,G3708,$D$6:D3708,"Vastgesteld")=1),1,0))</f>
        <v>0</v>
      </c>
      <c r="V3708" s="15">
        <f>IF(T3708="",0,IF(AND(G3708=T3708,COUNTIFS($S$6:S3708,S3708,$G$6:G3708,G3708,$D$6:D3708,"Vastgesteld")&gt;1),1,0))</f>
        <v>0</v>
      </c>
    </row>
    <row r="3709">
      <c r="S3709" s="15" t="str">
        <f>IF(J3709="","",J3709&amp;"|"&amp;E3709&amp;"|"&amp;F3709&amp;"|"&amp;I3709&amp;"|"&amp;O3709)</f>
        <v/>
      </c>
      <c r="T3709" s="15" t="str">
        <f>IF(OR(S3709="",D3709&lt;&gt;"Vastgesteld"),"",_xlfn.MAXIFS($G$6:$G$5005,$S$6:$S$5005,S3709,$D$6:$D$5005,"Vastgesteld"))</f>
        <v/>
      </c>
      <c r="U3709" s="15">
        <f>IF(T3709="",0,IF(AND(G3709=T3709,COUNTIFS($S$6:S3709,S3709,$G$6:G3709,G3709,$D$6:D3709,"Vastgesteld")=1),1,0))</f>
        <v>0</v>
      </c>
      <c r="V3709" s="15">
        <f>IF(T3709="",0,IF(AND(G3709=T3709,COUNTIFS($S$6:S3709,S3709,$G$6:G3709,G3709,$D$6:D3709,"Vastgesteld")&gt;1),1,0))</f>
        <v>0</v>
      </c>
    </row>
    <row r="3710">
      <c r="S3710" s="15" t="str">
        <f>IF(J3710="","",J3710&amp;"|"&amp;E3710&amp;"|"&amp;F3710&amp;"|"&amp;I3710&amp;"|"&amp;O3710)</f>
        <v/>
      </c>
      <c r="T3710" s="15" t="str">
        <f>IF(OR(S3710="",D3710&lt;&gt;"Vastgesteld"),"",_xlfn.MAXIFS($G$6:$G$5005,$S$6:$S$5005,S3710,$D$6:$D$5005,"Vastgesteld"))</f>
        <v/>
      </c>
      <c r="U3710" s="15">
        <f>IF(T3710="",0,IF(AND(G3710=T3710,COUNTIFS($S$6:S3710,S3710,$G$6:G3710,G3710,$D$6:D3710,"Vastgesteld")=1),1,0))</f>
        <v>0</v>
      </c>
      <c r="V3710" s="15">
        <f>IF(T3710="",0,IF(AND(G3710=T3710,COUNTIFS($S$6:S3710,S3710,$G$6:G3710,G3710,$D$6:D3710,"Vastgesteld")&gt;1),1,0))</f>
        <v>0</v>
      </c>
    </row>
    <row r="3711">
      <c r="S3711" s="15" t="str">
        <f>IF(J3711="","",J3711&amp;"|"&amp;E3711&amp;"|"&amp;F3711&amp;"|"&amp;I3711&amp;"|"&amp;O3711)</f>
        <v/>
      </c>
      <c r="T3711" s="15" t="str">
        <f>IF(OR(S3711="",D3711&lt;&gt;"Vastgesteld"),"",_xlfn.MAXIFS($G$6:$G$5005,$S$6:$S$5005,S3711,$D$6:$D$5005,"Vastgesteld"))</f>
        <v/>
      </c>
      <c r="U3711" s="15">
        <f>IF(T3711="",0,IF(AND(G3711=T3711,COUNTIFS($S$6:S3711,S3711,$G$6:G3711,G3711,$D$6:D3711,"Vastgesteld")=1),1,0))</f>
        <v>0</v>
      </c>
      <c r="V3711" s="15">
        <f>IF(T3711="",0,IF(AND(G3711=T3711,COUNTIFS($S$6:S3711,S3711,$G$6:G3711,G3711,$D$6:D3711,"Vastgesteld")&gt;1),1,0))</f>
        <v>0</v>
      </c>
    </row>
    <row r="3712">
      <c r="S3712" s="15" t="str">
        <f>IF(J3712="","",J3712&amp;"|"&amp;E3712&amp;"|"&amp;F3712&amp;"|"&amp;I3712&amp;"|"&amp;O3712)</f>
        <v/>
      </c>
      <c r="T3712" s="15" t="str">
        <f>IF(OR(S3712="",D3712&lt;&gt;"Vastgesteld"),"",_xlfn.MAXIFS($G$6:$G$5005,$S$6:$S$5005,S3712,$D$6:$D$5005,"Vastgesteld"))</f>
        <v/>
      </c>
      <c r="U3712" s="15">
        <f>IF(T3712="",0,IF(AND(G3712=T3712,COUNTIFS($S$6:S3712,S3712,$G$6:G3712,G3712,$D$6:D3712,"Vastgesteld")=1),1,0))</f>
        <v>0</v>
      </c>
      <c r="V3712" s="15">
        <f>IF(T3712="",0,IF(AND(G3712=T3712,COUNTIFS($S$6:S3712,S3712,$G$6:G3712,G3712,$D$6:D3712,"Vastgesteld")&gt;1),1,0))</f>
        <v>0</v>
      </c>
    </row>
    <row r="3713">
      <c r="S3713" s="15" t="str">
        <f>IF(J3713="","",J3713&amp;"|"&amp;E3713&amp;"|"&amp;F3713&amp;"|"&amp;I3713&amp;"|"&amp;O3713)</f>
        <v/>
      </c>
      <c r="T3713" s="15" t="str">
        <f>IF(OR(S3713="",D3713&lt;&gt;"Vastgesteld"),"",_xlfn.MAXIFS($G$6:$G$5005,$S$6:$S$5005,S3713,$D$6:$D$5005,"Vastgesteld"))</f>
        <v/>
      </c>
      <c r="U3713" s="15">
        <f>IF(T3713="",0,IF(AND(G3713=T3713,COUNTIFS($S$6:S3713,S3713,$G$6:G3713,G3713,$D$6:D3713,"Vastgesteld")=1),1,0))</f>
        <v>0</v>
      </c>
      <c r="V3713" s="15">
        <f>IF(T3713="",0,IF(AND(G3713=T3713,COUNTIFS($S$6:S3713,S3713,$G$6:G3713,G3713,$D$6:D3713,"Vastgesteld")&gt;1),1,0))</f>
        <v>0</v>
      </c>
    </row>
    <row r="3714">
      <c r="S3714" s="15" t="str">
        <f>IF(J3714="","",J3714&amp;"|"&amp;E3714&amp;"|"&amp;F3714&amp;"|"&amp;I3714&amp;"|"&amp;O3714)</f>
        <v/>
      </c>
      <c r="T3714" s="15" t="str">
        <f>IF(OR(S3714="",D3714&lt;&gt;"Vastgesteld"),"",_xlfn.MAXIFS($G$6:$G$5005,$S$6:$S$5005,S3714,$D$6:$D$5005,"Vastgesteld"))</f>
        <v/>
      </c>
      <c r="U3714" s="15">
        <f>IF(T3714="",0,IF(AND(G3714=T3714,COUNTIFS($S$6:S3714,S3714,$G$6:G3714,G3714,$D$6:D3714,"Vastgesteld")=1),1,0))</f>
        <v>0</v>
      </c>
      <c r="V3714" s="15">
        <f>IF(T3714="",0,IF(AND(G3714=T3714,COUNTIFS($S$6:S3714,S3714,$G$6:G3714,G3714,$D$6:D3714,"Vastgesteld")&gt;1),1,0))</f>
        <v>0</v>
      </c>
    </row>
    <row r="3715">
      <c r="S3715" s="15" t="str">
        <f>IF(J3715="","",J3715&amp;"|"&amp;E3715&amp;"|"&amp;F3715&amp;"|"&amp;I3715&amp;"|"&amp;O3715)</f>
        <v/>
      </c>
      <c r="T3715" s="15" t="str">
        <f>IF(OR(S3715="",D3715&lt;&gt;"Vastgesteld"),"",_xlfn.MAXIFS($G$6:$G$5005,$S$6:$S$5005,S3715,$D$6:$D$5005,"Vastgesteld"))</f>
        <v/>
      </c>
      <c r="U3715" s="15">
        <f>IF(T3715="",0,IF(AND(G3715=T3715,COUNTIFS($S$6:S3715,S3715,$G$6:G3715,G3715,$D$6:D3715,"Vastgesteld")=1),1,0))</f>
        <v>0</v>
      </c>
      <c r="V3715" s="15">
        <f>IF(T3715="",0,IF(AND(G3715=T3715,COUNTIFS($S$6:S3715,S3715,$G$6:G3715,G3715,$D$6:D3715,"Vastgesteld")&gt;1),1,0))</f>
        <v>0</v>
      </c>
    </row>
    <row r="3716">
      <c r="S3716" s="15" t="str">
        <f>IF(J3716="","",J3716&amp;"|"&amp;E3716&amp;"|"&amp;F3716&amp;"|"&amp;I3716&amp;"|"&amp;O3716)</f>
        <v/>
      </c>
      <c r="T3716" s="15" t="str">
        <f>IF(OR(S3716="",D3716&lt;&gt;"Vastgesteld"),"",_xlfn.MAXIFS($G$6:$G$5005,$S$6:$S$5005,S3716,$D$6:$D$5005,"Vastgesteld"))</f>
        <v/>
      </c>
      <c r="U3716" s="15">
        <f>IF(T3716="",0,IF(AND(G3716=T3716,COUNTIFS($S$6:S3716,S3716,$G$6:G3716,G3716,$D$6:D3716,"Vastgesteld")=1),1,0))</f>
        <v>0</v>
      </c>
      <c r="V3716" s="15">
        <f>IF(T3716="",0,IF(AND(G3716=T3716,COUNTIFS($S$6:S3716,S3716,$G$6:G3716,G3716,$D$6:D3716,"Vastgesteld")&gt;1),1,0))</f>
        <v>0</v>
      </c>
    </row>
    <row r="3717">
      <c r="S3717" s="15" t="str">
        <f>IF(J3717="","",J3717&amp;"|"&amp;E3717&amp;"|"&amp;F3717&amp;"|"&amp;I3717&amp;"|"&amp;O3717)</f>
        <v/>
      </c>
      <c r="T3717" s="15" t="str">
        <f>IF(OR(S3717="",D3717&lt;&gt;"Vastgesteld"),"",_xlfn.MAXIFS($G$6:$G$5005,$S$6:$S$5005,S3717,$D$6:$D$5005,"Vastgesteld"))</f>
        <v/>
      </c>
      <c r="U3717" s="15">
        <f>IF(T3717="",0,IF(AND(G3717=T3717,COUNTIFS($S$6:S3717,S3717,$G$6:G3717,G3717,$D$6:D3717,"Vastgesteld")=1),1,0))</f>
        <v>0</v>
      </c>
      <c r="V3717" s="15">
        <f>IF(T3717="",0,IF(AND(G3717=T3717,COUNTIFS($S$6:S3717,S3717,$G$6:G3717,G3717,$D$6:D3717,"Vastgesteld")&gt;1),1,0))</f>
        <v>0</v>
      </c>
    </row>
    <row r="3718">
      <c r="S3718" s="15" t="str">
        <f>IF(J3718="","",J3718&amp;"|"&amp;E3718&amp;"|"&amp;F3718&amp;"|"&amp;I3718&amp;"|"&amp;O3718)</f>
        <v/>
      </c>
      <c r="T3718" s="15" t="str">
        <f>IF(OR(S3718="",D3718&lt;&gt;"Vastgesteld"),"",_xlfn.MAXIFS($G$6:$G$5005,$S$6:$S$5005,S3718,$D$6:$D$5005,"Vastgesteld"))</f>
        <v/>
      </c>
      <c r="U3718" s="15">
        <f>IF(T3718="",0,IF(AND(G3718=T3718,COUNTIFS($S$6:S3718,S3718,$G$6:G3718,G3718,$D$6:D3718,"Vastgesteld")=1),1,0))</f>
        <v>0</v>
      </c>
      <c r="V3718" s="15">
        <f>IF(T3718="",0,IF(AND(G3718=T3718,COUNTIFS($S$6:S3718,S3718,$G$6:G3718,G3718,$D$6:D3718,"Vastgesteld")&gt;1),1,0))</f>
        <v>0</v>
      </c>
    </row>
    <row r="3719">
      <c r="S3719" s="15" t="str">
        <f>IF(J3719="","",J3719&amp;"|"&amp;E3719&amp;"|"&amp;F3719&amp;"|"&amp;I3719&amp;"|"&amp;O3719)</f>
        <v/>
      </c>
      <c r="T3719" s="15" t="str">
        <f>IF(OR(S3719="",D3719&lt;&gt;"Vastgesteld"),"",_xlfn.MAXIFS($G$6:$G$5005,$S$6:$S$5005,S3719,$D$6:$D$5005,"Vastgesteld"))</f>
        <v/>
      </c>
      <c r="U3719" s="15">
        <f>IF(T3719="",0,IF(AND(G3719=T3719,COUNTIFS($S$6:S3719,S3719,$G$6:G3719,G3719,$D$6:D3719,"Vastgesteld")=1),1,0))</f>
        <v>0</v>
      </c>
      <c r="V3719" s="15">
        <f>IF(T3719="",0,IF(AND(G3719=T3719,COUNTIFS($S$6:S3719,S3719,$G$6:G3719,G3719,$D$6:D3719,"Vastgesteld")&gt;1),1,0))</f>
        <v>0</v>
      </c>
    </row>
    <row r="3720">
      <c r="S3720" s="15" t="str">
        <f>IF(J3720="","",J3720&amp;"|"&amp;E3720&amp;"|"&amp;F3720&amp;"|"&amp;I3720&amp;"|"&amp;O3720)</f>
        <v/>
      </c>
      <c r="T3720" s="15" t="str">
        <f>IF(OR(S3720="",D3720&lt;&gt;"Vastgesteld"),"",_xlfn.MAXIFS($G$6:$G$5005,$S$6:$S$5005,S3720,$D$6:$D$5005,"Vastgesteld"))</f>
        <v/>
      </c>
      <c r="U3720" s="15">
        <f>IF(T3720="",0,IF(AND(G3720=T3720,COUNTIFS($S$6:S3720,S3720,$G$6:G3720,G3720,$D$6:D3720,"Vastgesteld")=1),1,0))</f>
        <v>0</v>
      </c>
      <c r="V3720" s="15">
        <f>IF(T3720="",0,IF(AND(G3720=T3720,COUNTIFS($S$6:S3720,S3720,$G$6:G3720,G3720,$D$6:D3720,"Vastgesteld")&gt;1),1,0))</f>
        <v>0</v>
      </c>
    </row>
    <row r="3721">
      <c r="S3721" s="15" t="str">
        <f>IF(J3721="","",J3721&amp;"|"&amp;E3721&amp;"|"&amp;F3721&amp;"|"&amp;I3721&amp;"|"&amp;O3721)</f>
        <v/>
      </c>
      <c r="T3721" s="15" t="str">
        <f>IF(OR(S3721="",D3721&lt;&gt;"Vastgesteld"),"",_xlfn.MAXIFS($G$6:$G$5005,$S$6:$S$5005,S3721,$D$6:$D$5005,"Vastgesteld"))</f>
        <v/>
      </c>
      <c r="U3721" s="15">
        <f>IF(T3721="",0,IF(AND(G3721=T3721,COUNTIFS($S$6:S3721,S3721,$G$6:G3721,G3721,$D$6:D3721,"Vastgesteld")=1),1,0))</f>
        <v>0</v>
      </c>
      <c r="V3721" s="15">
        <f>IF(T3721="",0,IF(AND(G3721=T3721,COUNTIFS($S$6:S3721,S3721,$G$6:G3721,G3721,$D$6:D3721,"Vastgesteld")&gt;1),1,0))</f>
        <v>0</v>
      </c>
    </row>
    <row r="3722">
      <c r="S3722" s="15" t="str">
        <f>IF(J3722="","",J3722&amp;"|"&amp;E3722&amp;"|"&amp;F3722&amp;"|"&amp;I3722&amp;"|"&amp;O3722)</f>
        <v/>
      </c>
      <c r="T3722" s="15" t="str">
        <f>IF(OR(S3722="",D3722&lt;&gt;"Vastgesteld"),"",_xlfn.MAXIFS($G$6:$G$5005,$S$6:$S$5005,S3722,$D$6:$D$5005,"Vastgesteld"))</f>
        <v/>
      </c>
      <c r="U3722" s="15">
        <f>IF(T3722="",0,IF(AND(G3722=T3722,COUNTIFS($S$6:S3722,S3722,$G$6:G3722,G3722,$D$6:D3722,"Vastgesteld")=1),1,0))</f>
        <v>0</v>
      </c>
      <c r="V3722" s="15">
        <f>IF(T3722="",0,IF(AND(G3722=T3722,COUNTIFS($S$6:S3722,S3722,$G$6:G3722,G3722,$D$6:D3722,"Vastgesteld")&gt;1),1,0))</f>
        <v>0</v>
      </c>
    </row>
    <row r="3723">
      <c r="S3723" s="15" t="str">
        <f>IF(J3723="","",J3723&amp;"|"&amp;E3723&amp;"|"&amp;F3723&amp;"|"&amp;I3723&amp;"|"&amp;O3723)</f>
        <v/>
      </c>
      <c r="T3723" s="15" t="str">
        <f>IF(OR(S3723="",D3723&lt;&gt;"Vastgesteld"),"",_xlfn.MAXIFS($G$6:$G$5005,$S$6:$S$5005,S3723,$D$6:$D$5005,"Vastgesteld"))</f>
        <v/>
      </c>
      <c r="U3723" s="15">
        <f>IF(T3723="",0,IF(AND(G3723=T3723,COUNTIFS($S$6:S3723,S3723,$G$6:G3723,G3723,$D$6:D3723,"Vastgesteld")=1),1,0))</f>
        <v>0</v>
      </c>
      <c r="V3723" s="15">
        <f>IF(T3723="",0,IF(AND(G3723=T3723,COUNTIFS($S$6:S3723,S3723,$G$6:G3723,G3723,$D$6:D3723,"Vastgesteld")&gt;1),1,0))</f>
        <v>0</v>
      </c>
    </row>
    <row r="3724">
      <c r="S3724" s="15" t="str">
        <f>IF(J3724="","",J3724&amp;"|"&amp;E3724&amp;"|"&amp;F3724&amp;"|"&amp;I3724&amp;"|"&amp;O3724)</f>
        <v/>
      </c>
      <c r="T3724" s="15" t="str">
        <f>IF(OR(S3724="",D3724&lt;&gt;"Vastgesteld"),"",_xlfn.MAXIFS($G$6:$G$5005,$S$6:$S$5005,S3724,$D$6:$D$5005,"Vastgesteld"))</f>
        <v/>
      </c>
      <c r="U3724" s="15">
        <f>IF(T3724="",0,IF(AND(G3724=T3724,COUNTIFS($S$6:S3724,S3724,$G$6:G3724,G3724,$D$6:D3724,"Vastgesteld")=1),1,0))</f>
        <v>0</v>
      </c>
      <c r="V3724" s="15">
        <f>IF(T3724="",0,IF(AND(G3724=T3724,COUNTIFS($S$6:S3724,S3724,$G$6:G3724,G3724,$D$6:D3724,"Vastgesteld")&gt;1),1,0))</f>
        <v>0</v>
      </c>
    </row>
    <row r="3725">
      <c r="S3725" s="15" t="str">
        <f>IF(J3725="","",J3725&amp;"|"&amp;E3725&amp;"|"&amp;F3725&amp;"|"&amp;I3725&amp;"|"&amp;O3725)</f>
        <v/>
      </c>
      <c r="T3725" s="15" t="str">
        <f>IF(OR(S3725="",D3725&lt;&gt;"Vastgesteld"),"",_xlfn.MAXIFS($G$6:$G$5005,$S$6:$S$5005,S3725,$D$6:$D$5005,"Vastgesteld"))</f>
        <v/>
      </c>
      <c r="U3725" s="15">
        <f>IF(T3725="",0,IF(AND(G3725=T3725,COUNTIFS($S$6:S3725,S3725,$G$6:G3725,G3725,$D$6:D3725,"Vastgesteld")=1),1,0))</f>
        <v>0</v>
      </c>
      <c r="V3725" s="15">
        <f>IF(T3725="",0,IF(AND(G3725=T3725,COUNTIFS($S$6:S3725,S3725,$G$6:G3725,G3725,$D$6:D3725,"Vastgesteld")&gt;1),1,0))</f>
        <v>0</v>
      </c>
    </row>
    <row r="3726">
      <c r="S3726" s="15" t="str">
        <f>IF(J3726="","",J3726&amp;"|"&amp;E3726&amp;"|"&amp;F3726&amp;"|"&amp;I3726&amp;"|"&amp;O3726)</f>
        <v/>
      </c>
      <c r="T3726" s="15" t="str">
        <f>IF(OR(S3726="",D3726&lt;&gt;"Vastgesteld"),"",_xlfn.MAXIFS($G$6:$G$5005,$S$6:$S$5005,S3726,$D$6:$D$5005,"Vastgesteld"))</f>
        <v/>
      </c>
      <c r="U3726" s="15">
        <f>IF(T3726="",0,IF(AND(G3726=T3726,COUNTIFS($S$6:S3726,S3726,$G$6:G3726,G3726,$D$6:D3726,"Vastgesteld")=1),1,0))</f>
        <v>0</v>
      </c>
      <c r="V3726" s="15">
        <f>IF(T3726="",0,IF(AND(G3726=T3726,COUNTIFS($S$6:S3726,S3726,$G$6:G3726,G3726,$D$6:D3726,"Vastgesteld")&gt;1),1,0))</f>
        <v>0</v>
      </c>
    </row>
    <row r="3727">
      <c r="S3727" s="15" t="str">
        <f>IF(J3727="","",J3727&amp;"|"&amp;E3727&amp;"|"&amp;F3727&amp;"|"&amp;I3727&amp;"|"&amp;O3727)</f>
        <v/>
      </c>
      <c r="T3727" s="15" t="str">
        <f>IF(OR(S3727="",D3727&lt;&gt;"Vastgesteld"),"",_xlfn.MAXIFS($G$6:$G$5005,$S$6:$S$5005,S3727,$D$6:$D$5005,"Vastgesteld"))</f>
        <v/>
      </c>
      <c r="U3727" s="15">
        <f>IF(T3727="",0,IF(AND(G3727=T3727,COUNTIFS($S$6:S3727,S3727,$G$6:G3727,G3727,$D$6:D3727,"Vastgesteld")=1),1,0))</f>
        <v>0</v>
      </c>
      <c r="V3727" s="15">
        <f>IF(T3727="",0,IF(AND(G3727=T3727,COUNTIFS($S$6:S3727,S3727,$G$6:G3727,G3727,$D$6:D3727,"Vastgesteld")&gt;1),1,0))</f>
        <v>0</v>
      </c>
    </row>
    <row r="3728">
      <c r="S3728" s="15" t="str">
        <f>IF(J3728="","",J3728&amp;"|"&amp;E3728&amp;"|"&amp;F3728&amp;"|"&amp;I3728&amp;"|"&amp;O3728)</f>
        <v/>
      </c>
      <c r="T3728" s="15" t="str">
        <f>IF(OR(S3728="",D3728&lt;&gt;"Vastgesteld"),"",_xlfn.MAXIFS($G$6:$G$5005,$S$6:$S$5005,S3728,$D$6:$D$5005,"Vastgesteld"))</f>
        <v/>
      </c>
      <c r="U3728" s="15">
        <f>IF(T3728="",0,IF(AND(G3728=T3728,COUNTIFS($S$6:S3728,S3728,$G$6:G3728,G3728,$D$6:D3728,"Vastgesteld")=1),1,0))</f>
        <v>0</v>
      </c>
      <c r="V3728" s="15">
        <f>IF(T3728="",0,IF(AND(G3728=T3728,COUNTIFS($S$6:S3728,S3728,$G$6:G3728,G3728,$D$6:D3728,"Vastgesteld")&gt;1),1,0))</f>
        <v>0</v>
      </c>
    </row>
    <row r="3729">
      <c r="S3729" s="15" t="str">
        <f>IF(J3729="","",J3729&amp;"|"&amp;E3729&amp;"|"&amp;F3729&amp;"|"&amp;I3729&amp;"|"&amp;O3729)</f>
        <v/>
      </c>
      <c r="T3729" s="15" t="str">
        <f>IF(OR(S3729="",D3729&lt;&gt;"Vastgesteld"),"",_xlfn.MAXIFS($G$6:$G$5005,$S$6:$S$5005,S3729,$D$6:$D$5005,"Vastgesteld"))</f>
        <v/>
      </c>
      <c r="U3729" s="15">
        <f>IF(T3729="",0,IF(AND(G3729=T3729,COUNTIFS($S$6:S3729,S3729,$G$6:G3729,G3729,$D$6:D3729,"Vastgesteld")=1),1,0))</f>
        <v>0</v>
      </c>
      <c r="V3729" s="15">
        <f>IF(T3729="",0,IF(AND(G3729=T3729,COUNTIFS($S$6:S3729,S3729,$G$6:G3729,G3729,$D$6:D3729,"Vastgesteld")&gt;1),1,0))</f>
        <v>0</v>
      </c>
    </row>
    <row r="3730">
      <c r="S3730" s="15" t="str">
        <f>IF(J3730="","",J3730&amp;"|"&amp;E3730&amp;"|"&amp;F3730&amp;"|"&amp;I3730&amp;"|"&amp;O3730)</f>
        <v/>
      </c>
      <c r="T3730" s="15" t="str">
        <f>IF(OR(S3730="",D3730&lt;&gt;"Vastgesteld"),"",_xlfn.MAXIFS($G$6:$G$5005,$S$6:$S$5005,S3730,$D$6:$D$5005,"Vastgesteld"))</f>
        <v/>
      </c>
      <c r="U3730" s="15">
        <f>IF(T3730="",0,IF(AND(G3730=T3730,COUNTIFS($S$6:S3730,S3730,$G$6:G3730,G3730,$D$6:D3730,"Vastgesteld")=1),1,0))</f>
        <v>0</v>
      </c>
      <c r="V3730" s="15">
        <f>IF(T3730="",0,IF(AND(G3730=T3730,COUNTIFS($S$6:S3730,S3730,$G$6:G3730,G3730,$D$6:D3730,"Vastgesteld")&gt;1),1,0))</f>
        <v>0</v>
      </c>
    </row>
    <row r="3731">
      <c r="S3731" s="15" t="str">
        <f>IF(J3731="","",J3731&amp;"|"&amp;E3731&amp;"|"&amp;F3731&amp;"|"&amp;I3731&amp;"|"&amp;O3731)</f>
        <v/>
      </c>
      <c r="T3731" s="15" t="str">
        <f>IF(OR(S3731="",D3731&lt;&gt;"Vastgesteld"),"",_xlfn.MAXIFS($G$6:$G$5005,$S$6:$S$5005,S3731,$D$6:$D$5005,"Vastgesteld"))</f>
        <v/>
      </c>
      <c r="U3731" s="15">
        <f>IF(T3731="",0,IF(AND(G3731=T3731,COUNTIFS($S$6:S3731,S3731,$G$6:G3731,G3731,$D$6:D3731,"Vastgesteld")=1),1,0))</f>
        <v>0</v>
      </c>
      <c r="V3731" s="15">
        <f>IF(T3731="",0,IF(AND(G3731=T3731,COUNTIFS($S$6:S3731,S3731,$G$6:G3731,G3731,$D$6:D3731,"Vastgesteld")&gt;1),1,0))</f>
        <v>0</v>
      </c>
    </row>
    <row r="3732">
      <c r="S3732" s="15" t="str">
        <f>IF(J3732="","",J3732&amp;"|"&amp;E3732&amp;"|"&amp;F3732&amp;"|"&amp;I3732&amp;"|"&amp;O3732)</f>
        <v/>
      </c>
      <c r="T3732" s="15" t="str">
        <f>IF(OR(S3732="",D3732&lt;&gt;"Vastgesteld"),"",_xlfn.MAXIFS($G$6:$G$5005,$S$6:$S$5005,S3732,$D$6:$D$5005,"Vastgesteld"))</f>
        <v/>
      </c>
      <c r="U3732" s="15">
        <f>IF(T3732="",0,IF(AND(G3732=T3732,COUNTIFS($S$6:S3732,S3732,$G$6:G3732,G3732,$D$6:D3732,"Vastgesteld")=1),1,0))</f>
        <v>0</v>
      </c>
      <c r="V3732" s="15">
        <f>IF(T3732="",0,IF(AND(G3732=T3732,COUNTIFS($S$6:S3732,S3732,$G$6:G3732,G3732,$D$6:D3732,"Vastgesteld")&gt;1),1,0))</f>
        <v>0</v>
      </c>
    </row>
    <row r="3733">
      <c r="S3733" s="15" t="str">
        <f>IF(J3733="","",J3733&amp;"|"&amp;E3733&amp;"|"&amp;F3733&amp;"|"&amp;I3733&amp;"|"&amp;O3733)</f>
        <v/>
      </c>
      <c r="T3733" s="15" t="str">
        <f>IF(OR(S3733="",D3733&lt;&gt;"Vastgesteld"),"",_xlfn.MAXIFS($G$6:$G$5005,$S$6:$S$5005,S3733,$D$6:$D$5005,"Vastgesteld"))</f>
        <v/>
      </c>
      <c r="U3733" s="15">
        <f>IF(T3733="",0,IF(AND(G3733=T3733,COUNTIFS($S$6:S3733,S3733,$G$6:G3733,G3733,$D$6:D3733,"Vastgesteld")=1),1,0))</f>
        <v>0</v>
      </c>
      <c r="V3733" s="15">
        <f>IF(T3733="",0,IF(AND(G3733=T3733,COUNTIFS($S$6:S3733,S3733,$G$6:G3733,G3733,$D$6:D3733,"Vastgesteld")&gt;1),1,0))</f>
        <v>0</v>
      </c>
    </row>
    <row r="3734">
      <c r="S3734" s="15" t="str">
        <f>IF(J3734="","",J3734&amp;"|"&amp;E3734&amp;"|"&amp;F3734&amp;"|"&amp;I3734&amp;"|"&amp;O3734)</f>
        <v/>
      </c>
      <c r="T3734" s="15" t="str">
        <f>IF(OR(S3734="",D3734&lt;&gt;"Vastgesteld"),"",_xlfn.MAXIFS($G$6:$G$5005,$S$6:$S$5005,S3734,$D$6:$D$5005,"Vastgesteld"))</f>
        <v/>
      </c>
      <c r="U3734" s="15">
        <f>IF(T3734="",0,IF(AND(G3734=T3734,COUNTIFS($S$6:S3734,S3734,$G$6:G3734,G3734,$D$6:D3734,"Vastgesteld")=1),1,0))</f>
        <v>0</v>
      </c>
      <c r="V3734" s="15">
        <f>IF(T3734="",0,IF(AND(G3734=T3734,COUNTIFS($S$6:S3734,S3734,$G$6:G3734,G3734,$D$6:D3734,"Vastgesteld")&gt;1),1,0))</f>
        <v>0</v>
      </c>
    </row>
    <row r="3735">
      <c r="S3735" s="15" t="str">
        <f>IF(J3735="","",J3735&amp;"|"&amp;E3735&amp;"|"&amp;F3735&amp;"|"&amp;I3735&amp;"|"&amp;O3735)</f>
        <v/>
      </c>
      <c r="T3735" s="15" t="str">
        <f>IF(OR(S3735="",D3735&lt;&gt;"Vastgesteld"),"",_xlfn.MAXIFS($G$6:$G$5005,$S$6:$S$5005,S3735,$D$6:$D$5005,"Vastgesteld"))</f>
        <v/>
      </c>
      <c r="U3735" s="15">
        <f>IF(T3735="",0,IF(AND(G3735=T3735,COUNTIFS($S$6:S3735,S3735,$G$6:G3735,G3735,$D$6:D3735,"Vastgesteld")=1),1,0))</f>
        <v>0</v>
      </c>
      <c r="V3735" s="15">
        <f>IF(T3735="",0,IF(AND(G3735=T3735,COUNTIFS($S$6:S3735,S3735,$G$6:G3735,G3735,$D$6:D3735,"Vastgesteld")&gt;1),1,0))</f>
        <v>0</v>
      </c>
    </row>
    <row r="3736">
      <c r="S3736" s="15" t="str">
        <f>IF(J3736="","",J3736&amp;"|"&amp;E3736&amp;"|"&amp;F3736&amp;"|"&amp;I3736&amp;"|"&amp;O3736)</f>
        <v/>
      </c>
      <c r="T3736" s="15" t="str">
        <f>IF(OR(S3736="",D3736&lt;&gt;"Vastgesteld"),"",_xlfn.MAXIFS($G$6:$G$5005,$S$6:$S$5005,S3736,$D$6:$D$5005,"Vastgesteld"))</f>
        <v/>
      </c>
      <c r="U3736" s="15">
        <f>IF(T3736="",0,IF(AND(G3736=T3736,COUNTIFS($S$6:S3736,S3736,$G$6:G3736,G3736,$D$6:D3736,"Vastgesteld")=1),1,0))</f>
        <v>0</v>
      </c>
      <c r="V3736" s="15">
        <f>IF(T3736="",0,IF(AND(G3736=T3736,COUNTIFS($S$6:S3736,S3736,$G$6:G3736,G3736,$D$6:D3736,"Vastgesteld")&gt;1),1,0))</f>
        <v>0</v>
      </c>
    </row>
    <row r="3737">
      <c r="S3737" s="15" t="str">
        <f>IF(J3737="","",J3737&amp;"|"&amp;E3737&amp;"|"&amp;F3737&amp;"|"&amp;I3737&amp;"|"&amp;O3737)</f>
        <v/>
      </c>
      <c r="T3737" s="15" t="str">
        <f>IF(OR(S3737="",D3737&lt;&gt;"Vastgesteld"),"",_xlfn.MAXIFS($G$6:$G$5005,$S$6:$S$5005,S3737,$D$6:$D$5005,"Vastgesteld"))</f>
        <v/>
      </c>
      <c r="U3737" s="15">
        <f>IF(T3737="",0,IF(AND(G3737=T3737,COUNTIFS($S$6:S3737,S3737,$G$6:G3737,G3737,$D$6:D3737,"Vastgesteld")=1),1,0))</f>
        <v>0</v>
      </c>
      <c r="V3737" s="15">
        <f>IF(T3737="",0,IF(AND(G3737=T3737,COUNTIFS($S$6:S3737,S3737,$G$6:G3737,G3737,$D$6:D3737,"Vastgesteld")&gt;1),1,0))</f>
        <v>0</v>
      </c>
    </row>
    <row r="3738">
      <c r="S3738" s="15" t="str">
        <f>IF(J3738="","",J3738&amp;"|"&amp;E3738&amp;"|"&amp;F3738&amp;"|"&amp;I3738&amp;"|"&amp;O3738)</f>
        <v/>
      </c>
      <c r="T3738" s="15" t="str">
        <f>IF(OR(S3738="",D3738&lt;&gt;"Vastgesteld"),"",_xlfn.MAXIFS($G$6:$G$5005,$S$6:$S$5005,S3738,$D$6:$D$5005,"Vastgesteld"))</f>
        <v/>
      </c>
      <c r="U3738" s="15">
        <f>IF(T3738="",0,IF(AND(G3738=T3738,COUNTIFS($S$6:S3738,S3738,$G$6:G3738,G3738,$D$6:D3738,"Vastgesteld")=1),1,0))</f>
        <v>0</v>
      </c>
      <c r="V3738" s="15">
        <f>IF(T3738="",0,IF(AND(G3738=T3738,COUNTIFS($S$6:S3738,S3738,$G$6:G3738,G3738,$D$6:D3738,"Vastgesteld")&gt;1),1,0))</f>
        <v>0</v>
      </c>
    </row>
    <row r="3739">
      <c r="S3739" s="15" t="str">
        <f>IF(J3739="","",J3739&amp;"|"&amp;E3739&amp;"|"&amp;F3739&amp;"|"&amp;I3739&amp;"|"&amp;O3739)</f>
        <v/>
      </c>
      <c r="T3739" s="15" t="str">
        <f>IF(OR(S3739="",D3739&lt;&gt;"Vastgesteld"),"",_xlfn.MAXIFS($G$6:$G$5005,$S$6:$S$5005,S3739,$D$6:$D$5005,"Vastgesteld"))</f>
        <v/>
      </c>
      <c r="U3739" s="15">
        <f>IF(T3739="",0,IF(AND(G3739=T3739,COUNTIFS($S$6:S3739,S3739,$G$6:G3739,G3739,$D$6:D3739,"Vastgesteld")=1),1,0))</f>
        <v>0</v>
      </c>
      <c r="V3739" s="15">
        <f>IF(T3739="",0,IF(AND(G3739=T3739,COUNTIFS($S$6:S3739,S3739,$G$6:G3739,G3739,$D$6:D3739,"Vastgesteld")&gt;1),1,0))</f>
        <v>0</v>
      </c>
    </row>
    <row r="3740">
      <c r="S3740" s="15" t="str">
        <f>IF(J3740="","",J3740&amp;"|"&amp;E3740&amp;"|"&amp;F3740&amp;"|"&amp;I3740&amp;"|"&amp;O3740)</f>
        <v/>
      </c>
      <c r="T3740" s="15" t="str">
        <f>IF(OR(S3740="",D3740&lt;&gt;"Vastgesteld"),"",_xlfn.MAXIFS($G$6:$G$5005,$S$6:$S$5005,S3740,$D$6:$D$5005,"Vastgesteld"))</f>
        <v/>
      </c>
      <c r="U3740" s="15">
        <f>IF(T3740="",0,IF(AND(G3740=T3740,COUNTIFS($S$6:S3740,S3740,$G$6:G3740,G3740,$D$6:D3740,"Vastgesteld")=1),1,0))</f>
        <v>0</v>
      </c>
      <c r="V3740" s="15">
        <f>IF(T3740="",0,IF(AND(G3740=T3740,COUNTIFS($S$6:S3740,S3740,$G$6:G3740,G3740,$D$6:D3740,"Vastgesteld")&gt;1),1,0))</f>
        <v>0</v>
      </c>
    </row>
    <row r="3741">
      <c r="S3741" s="15" t="str">
        <f>IF(J3741="","",J3741&amp;"|"&amp;E3741&amp;"|"&amp;F3741&amp;"|"&amp;I3741&amp;"|"&amp;O3741)</f>
        <v/>
      </c>
      <c r="T3741" s="15" t="str">
        <f>IF(OR(S3741="",D3741&lt;&gt;"Vastgesteld"),"",_xlfn.MAXIFS($G$6:$G$5005,$S$6:$S$5005,S3741,$D$6:$D$5005,"Vastgesteld"))</f>
        <v/>
      </c>
      <c r="U3741" s="15">
        <f>IF(T3741="",0,IF(AND(G3741=T3741,COUNTIFS($S$6:S3741,S3741,$G$6:G3741,G3741,$D$6:D3741,"Vastgesteld")=1),1,0))</f>
        <v>0</v>
      </c>
      <c r="V3741" s="15">
        <f>IF(T3741="",0,IF(AND(G3741=T3741,COUNTIFS($S$6:S3741,S3741,$G$6:G3741,G3741,$D$6:D3741,"Vastgesteld")&gt;1),1,0))</f>
        <v>0</v>
      </c>
    </row>
    <row r="3742">
      <c r="S3742" s="15" t="str">
        <f>IF(J3742="","",J3742&amp;"|"&amp;E3742&amp;"|"&amp;F3742&amp;"|"&amp;I3742&amp;"|"&amp;O3742)</f>
        <v/>
      </c>
      <c r="T3742" s="15" t="str">
        <f>IF(OR(S3742="",D3742&lt;&gt;"Vastgesteld"),"",_xlfn.MAXIFS($G$6:$G$5005,$S$6:$S$5005,S3742,$D$6:$D$5005,"Vastgesteld"))</f>
        <v/>
      </c>
      <c r="U3742" s="15">
        <f>IF(T3742="",0,IF(AND(G3742=T3742,COUNTIFS($S$6:S3742,S3742,$G$6:G3742,G3742,$D$6:D3742,"Vastgesteld")=1),1,0))</f>
        <v>0</v>
      </c>
      <c r="V3742" s="15">
        <f>IF(T3742="",0,IF(AND(G3742=T3742,COUNTIFS($S$6:S3742,S3742,$G$6:G3742,G3742,$D$6:D3742,"Vastgesteld")&gt;1),1,0))</f>
        <v>0</v>
      </c>
    </row>
    <row r="3743">
      <c r="S3743" s="15" t="str">
        <f>IF(J3743="","",J3743&amp;"|"&amp;E3743&amp;"|"&amp;F3743&amp;"|"&amp;I3743&amp;"|"&amp;O3743)</f>
        <v/>
      </c>
      <c r="T3743" s="15" t="str">
        <f>IF(OR(S3743="",D3743&lt;&gt;"Vastgesteld"),"",_xlfn.MAXIFS($G$6:$G$5005,$S$6:$S$5005,S3743,$D$6:$D$5005,"Vastgesteld"))</f>
        <v/>
      </c>
      <c r="U3743" s="15">
        <f>IF(T3743="",0,IF(AND(G3743=T3743,COUNTIFS($S$6:S3743,S3743,$G$6:G3743,G3743,$D$6:D3743,"Vastgesteld")=1),1,0))</f>
        <v>0</v>
      </c>
      <c r="V3743" s="15">
        <f>IF(T3743="",0,IF(AND(G3743=T3743,COUNTIFS($S$6:S3743,S3743,$G$6:G3743,G3743,$D$6:D3743,"Vastgesteld")&gt;1),1,0))</f>
        <v>0</v>
      </c>
    </row>
    <row r="3744">
      <c r="S3744" s="15" t="str">
        <f>IF(J3744="","",J3744&amp;"|"&amp;E3744&amp;"|"&amp;F3744&amp;"|"&amp;I3744&amp;"|"&amp;O3744)</f>
        <v/>
      </c>
      <c r="T3744" s="15" t="str">
        <f>IF(OR(S3744="",D3744&lt;&gt;"Vastgesteld"),"",_xlfn.MAXIFS($G$6:$G$5005,$S$6:$S$5005,S3744,$D$6:$D$5005,"Vastgesteld"))</f>
        <v/>
      </c>
      <c r="U3744" s="15">
        <f>IF(T3744="",0,IF(AND(G3744=T3744,COUNTIFS($S$6:S3744,S3744,$G$6:G3744,G3744,$D$6:D3744,"Vastgesteld")=1),1,0))</f>
        <v>0</v>
      </c>
      <c r="V3744" s="15">
        <f>IF(T3744="",0,IF(AND(G3744=T3744,COUNTIFS($S$6:S3744,S3744,$G$6:G3744,G3744,$D$6:D3744,"Vastgesteld")&gt;1),1,0))</f>
        <v>0</v>
      </c>
    </row>
    <row r="3745">
      <c r="S3745" s="15" t="str">
        <f>IF(J3745="","",J3745&amp;"|"&amp;E3745&amp;"|"&amp;F3745&amp;"|"&amp;I3745&amp;"|"&amp;O3745)</f>
        <v/>
      </c>
      <c r="T3745" s="15" t="str">
        <f>IF(OR(S3745="",D3745&lt;&gt;"Vastgesteld"),"",_xlfn.MAXIFS($G$6:$G$5005,$S$6:$S$5005,S3745,$D$6:$D$5005,"Vastgesteld"))</f>
        <v/>
      </c>
      <c r="U3745" s="15">
        <f>IF(T3745="",0,IF(AND(G3745=T3745,COUNTIFS($S$6:S3745,S3745,$G$6:G3745,G3745,$D$6:D3745,"Vastgesteld")=1),1,0))</f>
        <v>0</v>
      </c>
      <c r="V3745" s="15">
        <f>IF(T3745="",0,IF(AND(G3745=T3745,COUNTIFS($S$6:S3745,S3745,$G$6:G3745,G3745,$D$6:D3745,"Vastgesteld")&gt;1),1,0))</f>
        <v>0</v>
      </c>
    </row>
    <row r="3746">
      <c r="S3746" s="15" t="str">
        <f>IF(J3746="","",J3746&amp;"|"&amp;E3746&amp;"|"&amp;F3746&amp;"|"&amp;I3746&amp;"|"&amp;O3746)</f>
        <v/>
      </c>
      <c r="T3746" s="15" t="str">
        <f>IF(OR(S3746="",D3746&lt;&gt;"Vastgesteld"),"",_xlfn.MAXIFS($G$6:$G$5005,$S$6:$S$5005,S3746,$D$6:$D$5005,"Vastgesteld"))</f>
        <v/>
      </c>
      <c r="U3746" s="15">
        <f>IF(T3746="",0,IF(AND(G3746=T3746,COUNTIFS($S$6:S3746,S3746,$G$6:G3746,G3746,$D$6:D3746,"Vastgesteld")=1),1,0))</f>
        <v>0</v>
      </c>
      <c r="V3746" s="15">
        <f>IF(T3746="",0,IF(AND(G3746=T3746,COUNTIFS($S$6:S3746,S3746,$G$6:G3746,G3746,$D$6:D3746,"Vastgesteld")&gt;1),1,0))</f>
        <v>0</v>
      </c>
    </row>
    <row r="3747">
      <c r="S3747" s="15" t="str">
        <f>IF(J3747="","",J3747&amp;"|"&amp;E3747&amp;"|"&amp;F3747&amp;"|"&amp;I3747&amp;"|"&amp;O3747)</f>
        <v/>
      </c>
      <c r="T3747" s="15" t="str">
        <f>IF(OR(S3747="",D3747&lt;&gt;"Vastgesteld"),"",_xlfn.MAXIFS($G$6:$G$5005,$S$6:$S$5005,S3747,$D$6:$D$5005,"Vastgesteld"))</f>
        <v/>
      </c>
      <c r="U3747" s="15">
        <f>IF(T3747="",0,IF(AND(G3747=T3747,COUNTIFS($S$6:S3747,S3747,$G$6:G3747,G3747,$D$6:D3747,"Vastgesteld")=1),1,0))</f>
        <v>0</v>
      </c>
      <c r="V3747" s="15">
        <f>IF(T3747="",0,IF(AND(G3747=T3747,COUNTIFS($S$6:S3747,S3747,$G$6:G3747,G3747,$D$6:D3747,"Vastgesteld")&gt;1),1,0))</f>
        <v>0</v>
      </c>
    </row>
    <row r="3748">
      <c r="S3748" s="15" t="str">
        <f>IF(J3748="","",J3748&amp;"|"&amp;E3748&amp;"|"&amp;F3748&amp;"|"&amp;I3748&amp;"|"&amp;O3748)</f>
        <v/>
      </c>
      <c r="T3748" s="15" t="str">
        <f>IF(OR(S3748="",D3748&lt;&gt;"Vastgesteld"),"",_xlfn.MAXIFS($G$6:$G$5005,$S$6:$S$5005,S3748,$D$6:$D$5005,"Vastgesteld"))</f>
        <v/>
      </c>
      <c r="U3748" s="15">
        <f>IF(T3748="",0,IF(AND(G3748=T3748,COUNTIFS($S$6:S3748,S3748,$G$6:G3748,G3748,$D$6:D3748,"Vastgesteld")=1),1,0))</f>
        <v>0</v>
      </c>
      <c r="V3748" s="15">
        <f>IF(T3748="",0,IF(AND(G3748=T3748,COUNTIFS($S$6:S3748,S3748,$G$6:G3748,G3748,$D$6:D3748,"Vastgesteld")&gt;1),1,0))</f>
        <v>0</v>
      </c>
    </row>
    <row r="3749">
      <c r="S3749" s="15" t="str">
        <f>IF(J3749="","",J3749&amp;"|"&amp;E3749&amp;"|"&amp;F3749&amp;"|"&amp;I3749&amp;"|"&amp;O3749)</f>
        <v/>
      </c>
      <c r="T3749" s="15" t="str">
        <f>IF(OR(S3749="",D3749&lt;&gt;"Vastgesteld"),"",_xlfn.MAXIFS($G$6:$G$5005,$S$6:$S$5005,S3749,$D$6:$D$5005,"Vastgesteld"))</f>
        <v/>
      </c>
      <c r="U3749" s="15">
        <f>IF(T3749="",0,IF(AND(G3749=T3749,COUNTIFS($S$6:S3749,S3749,$G$6:G3749,G3749,$D$6:D3749,"Vastgesteld")=1),1,0))</f>
        <v>0</v>
      </c>
      <c r="V3749" s="15">
        <f>IF(T3749="",0,IF(AND(G3749=T3749,COUNTIFS($S$6:S3749,S3749,$G$6:G3749,G3749,$D$6:D3749,"Vastgesteld")&gt;1),1,0))</f>
        <v>0</v>
      </c>
    </row>
    <row r="3750">
      <c r="S3750" s="15" t="str">
        <f>IF(J3750="","",J3750&amp;"|"&amp;E3750&amp;"|"&amp;F3750&amp;"|"&amp;I3750&amp;"|"&amp;O3750)</f>
        <v/>
      </c>
      <c r="T3750" s="15" t="str">
        <f>IF(OR(S3750="",D3750&lt;&gt;"Vastgesteld"),"",_xlfn.MAXIFS($G$6:$G$5005,$S$6:$S$5005,S3750,$D$6:$D$5005,"Vastgesteld"))</f>
        <v/>
      </c>
      <c r="U3750" s="15">
        <f>IF(T3750="",0,IF(AND(G3750=T3750,COUNTIFS($S$6:S3750,S3750,$G$6:G3750,G3750,$D$6:D3750,"Vastgesteld")=1),1,0))</f>
        <v>0</v>
      </c>
      <c r="V3750" s="15">
        <f>IF(T3750="",0,IF(AND(G3750=T3750,COUNTIFS($S$6:S3750,S3750,$G$6:G3750,G3750,$D$6:D3750,"Vastgesteld")&gt;1),1,0))</f>
        <v>0</v>
      </c>
    </row>
    <row r="3751">
      <c r="S3751" s="15" t="str">
        <f>IF(J3751="","",J3751&amp;"|"&amp;E3751&amp;"|"&amp;F3751&amp;"|"&amp;I3751&amp;"|"&amp;O3751)</f>
        <v/>
      </c>
      <c r="T3751" s="15" t="str">
        <f>IF(OR(S3751="",D3751&lt;&gt;"Vastgesteld"),"",_xlfn.MAXIFS($G$6:$G$5005,$S$6:$S$5005,S3751,$D$6:$D$5005,"Vastgesteld"))</f>
        <v/>
      </c>
      <c r="U3751" s="15">
        <f>IF(T3751="",0,IF(AND(G3751=T3751,COUNTIFS($S$6:S3751,S3751,$G$6:G3751,G3751,$D$6:D3751,"Vastgesteld")=1),1,0))</f>
        <v>0</v>
      </c>
      <c r="V3751" s="15">
        <f>IF(T3751="",0,IF(AND(G3751=T3751,COUNTIFS($S$6:S3751,S3751,$G$6:G3751,G3751,$D$6:D3751,"Vastgesteld")&gt;1),1,0))</f>
        <v>0</v>
      </c>
    </row>
    <row r="3752">
      <c r="S3752" s="15" t="str">
        <f>IF(J3752="","",J3752&amp;"|"&amp;E3752&amp;"|"&amp;F3752&amp;"|"&amp;I3752&amp;"|"&amp;O3752)</f>
        <v/>
      </c>
      <c r="T3752" s="15" t="str">
        <f>IF(OR(S3752="",D3752&lt;&gt;"Vastgesteld"),"",_xlfn.MAXIFS($G$6:$G$5005,$S$6:$S$5005,S3752,$D$6:$D$5005,"Vastgesteld"))</f>
        <v/>
      </c>
      <c r="U3752" s="15">
        <f>IF(T3752="",0,IF(AND(G3752=T3752,COUNTIFS($S$6:S3752,S3752,$G$6:G3752,G3752,$D$6:D3752,"Vastgesteld")=1),1,0))</f>
        <v>0</v>
      </c>
      <c r="V3752" s="15">
        <f>IF(T3752="",0,IF(AND(G3752=T3752,COUNTIFS($S$6:S3752,S3752,$G$6:G3752,G3752,$D$6:D3752,"Vastgesteld")&gt;1),1,0))</f>
        <v>0</v>
      </c>
    </row>
    <row r="3753">
      <c r="S3753" s="15" t="str">
        <f>IF(J3753="","",J3753&amp;"|"&amp;E3753&amp;"|"&amp;F3753&amp;"|"&amp;I3753&amp;"|"&amp;O3753)</f>
        <v/>
      </c>
      <c r="T3753" s="15" t="str">
        <f>IF(OR(S3753="",D3753&lt;&gt;"Vastgesteld"),"",_xlfn.MAXIFS($G$6:$G$5005,$S$6:$S$5005,S3753,$D$6:$D$5005,"Vastgesteld"))</f>
        <v/>
      </c>
      <c r="U3753" s="15">
        <f>IF(T3753="",0,IF(AND(G3753=T3753,COUNTIFS($S$6:S3753,S3753,$G$6:G3753,G3753,$D$6:D3753,"Vastgesteld")=1),1,0))</f>
        <v>0</v>
      </c>
      <c r="V3753" s="15">
        <f>IF(T3753="",0,IF(AND(G3753=T3753,COUNTIFS($S$6:S3753,S3753,$G$6:G3753,G3753,$D$6:D3753,"Vastgesteld")&gt;1),1,0))</f>
        <v>0</v>
      </c>
    </row>
    <row r="3754">
      <c r="S3754" s="15" t="str">
        <f>IF(J3754="","",J3754&amp;"|"&amp;E3754&amp;"|"&amp;F3754&amp;"|"&amp;I3754&amp;"|"&amp;O3754)</f>
        <v/>
      </c>
      <c r="T3754" s="15" t="str">
        <f>IF(OR(S3754="",D3754&lt;&gt;"Vastgesteld"),"",_xlfn.MAXIFS($G$6:$G$5005,$S$6:$S$5005,S3754,$D$6:$D$5005,"Vastgesteld"))</f>
        <v/>
      </c>
      <c r="U3754" s="15">
        <f>IF(T3754="",0,IF(AND(G3754=T3754,COUNTIFS($S$6:S3754,S3754,$G$6:G3754,G3754,$D$6:D3754,"Vastgesteld")=1),1,0))</f>
        <v>0</v>
      </c>
      <c r="V3754" s="15">
        <f>IF(T3754="",0,IF(AND(G3754=T3754,COUNTIFS($S$6:S3754,S3754,$G$6:G3754,G3754,$D$6:D3754,"Vastgesteld")&gt;1),1,0))</f>
        <v>0</v>
      </c>
    </row>
    <row r="3755">
      <c r="S3755" s="15" t="str">
        <f>IF(J3755="","",J3755&amp;"|"&amp;E3755&amp;"|"&amp;F3755&amp;"|"&amp;I3755&amp;"|"&amp;O3755)</f>
        <v/>
      </c>
      <c r="T3755" s="15" t="str">
        <f>IF(OR(S3755="",D3755&lt;&gt;"Vastgesteld"),"",_xlfn.MAXIFS($G$6:$G$5005,$S$6:$S$5005,S3755,$D$6:$D$5005,"Vastgesteld"))</f>
        <v/>
      </c>
      <c r="U3755" s="15">
        <f>IF(T3755="",0,IF(AND(G3755=T3755,COUNTIFS($S$6:S3755,S3755,$G$6:G3755,G3755,$D$6:D3755,"Vastgesteld")=1),1,0))</f>
        <v>0</v>
      </c>
      <c r="V3755" s="15">
        <f>IF(T3755="",0,IF(AND(G3755=T3755,COUNTIFS($S$6:S3755,S3755,$G$6:G3755,G3755,$D$6:D3755,"Vastgesteld")&gt;1),1,0))</f>
        <v>0</v>
      </c>
    </row>
    <row r="3756">
      <c r="S3756" s="15" t="str">
        <f>IF(J3756="","",J3756&amp;"|"&amp;E3756&amp;"|"&amp;F3756&amp;"|"&amp;I3756&amp;"|"&amp;O3756)</f>
        <v/>
      </c>
      <c r="T3756" s="15" t="str">
        <f>IF(OR(S3756="",D3756&lt;&gt;"Vastgesteld"),"",_xlfn.MAXIFS($G$6:$G$5005,$S$6:$S$5005,S3756,$D$6:$D$5005,"Vastgesteld"))</f>
        <v/>
      </c>
      <c r="U3756" s="15">
        <f>IF(T3756="",0,IF(AND(G3756=T3756,COUNTIFS($S$6:S3756,S3756,$G$6:G3756,G3756,$D$6:D3756,"Vastgesteld")=1),1,0))</f>
        <v>0</v>
      </c>
      <c r="V3756" s="15">
        <f>IF(T3756="",0,IF(AND(G3756=T3756,COUNTIFS($S$6:S3756,S3756,$G$6:G3756,G3756,$D$6:D3756,"Vastgesteld")&gt;1),1,0))</f>
        <v>0</v>
      </c>
    </row>
    <row r="3757">
      <c r="S3757" s="15" t="str">
        <f>IF(J3757="","",J3757&amp;"|"&amp;E3757&amp;"|"&amp;F3757&amp;"|"&amp;I3757&amp;"|"&amp;O3757)</f>
        <v/>
      </c>
      <c r="T3757" s="15" t="str">
        <f>IF(OR(S3757="",D3757&lt;&gt;"Vastgesteld"),"",_xlfn.MAXIFS($G$6:$G$5005,$S$6:$S$5005,S3757,$D$6:$D$5005,"Vastgesteld"))</f>
        <v/>
      </c>
      <c r="U3757" s="15">
        <f>IF(T3757="",0,IF(AND(G3757=T3757,COUNTIFS($S$6:S3757,S3757,$G$6:G3757,G3757,$D$6:D3757,"Vastgesteld")=1),1,0))</f>
        <v>0</v>
      </c>
      <c r="V3757" s="15">
        <f>IF(T3757="",0,IF(AND(G3757=T3757,COUNTIFS($S$6:S3757,S3757,$G$6:G3757,G3757,$D$6:D3757,"Vastgesteld")&gt;1),1,0))</f>
        <v>0</v>
      </c>
    </row>
    <row r="3758">
      <c r="S3758" s="15" t="str">
        <f>IF(J3758="","",J3758&amp;"|"&amp;E3758&amp;"|"&amp;F3758&amp;"|"&amp;I3758&amp;"|"&amp;O3758)</f>
        <v/>
      </c>
      <c r="T3758" s="15" t="str">
        <f>IF(OR(S3758="",D3758&lt;&gt;"Vastgesteld"),"",_xlfn.MAXIFS($G$6:$G$5005,$S$6:$S$5005,S3758,$D$6:$D$5005,"Vastgesteld"))</f>
        <v/>
      </c>
      <c r="U3758" s="15">
        <f>IF(T3758="",0,IF(AND(G3758=T3758,COUNTIFS($S$6:S3758,S3758,$G$6:G3758,G3758,$D$6:D3758,"Vastgesteld")=1),1,0))</f>
        <v>0</v>
      </c>
      <c r="V3758" s="15">
        <f>IF(T3758="",0,IF(AND(G3758=T3758,COUNTIFS($S$6:S3758,S3758,$G$6:G3758,G3758,$D$6:D3758,"Vastgesteld")&gt;1),1,0))</f>
        <v>0</v>
      </c>
    </row>
    <row r="3759">
      <c r="S3759" s="15" t="str">
        <f>IF(J3759="","",J3759&amp;"|"&amp;E3759&amp;"|"&amp;F3759&amp;"|"&amp;I3759&amp;"|"&amp;O3759)</f>
        <v/>
      </c>
      <c r="T3759" s="15" t="str">
        <f>IF(OR(S3759="",D3759&lt;&gt;"Vastgesteld"),"",_xlfn.MAXIFS($G$6:$G$5005,$S$6:$S$5005,S3759,$D$6:$D$5005,"Vastgesteld"))</f>
        <v/>
      </c>
      <c r="U3759" s="15">
        <f>IF(T3759="",0,IF(AND(G3759=T3759,COUNTIFS($S$6:S3759,S3759,$G$6:G3759,G3759,$D$6:D3759,"Vastgesteld")=1),1,0))</f>
        <v>0</v>
      </c>
      <c r="V3759" s="15">
        <f>IF(T3759="",0,IF(AND(G3759=T3759,COUNTIFS($S$6:S3759,S3759,$G$6:G3759,G3759,$D$6:D3759,"Vastgesteld")&gt;1),1,0))</f>
        <v>0</v>
      </c>
    </row>
    <row r="3760">
      <c r="S3760" s="15" t="str">
        <f>IF(J3760="","",J3760&amp;"|"&amp;E3760&amp;"|"&amp;F3760&amp;"|"&amp;I3760&amp;"|"&amp;O3760)</f>
        <v/>
      </c>
      <c r="T3760" s="15" t="str">
        <f>IF(OR(S3760="",D3760&lt;&gt;"Vastgesteld"),"",_xlfn.MAXIFS($G$6:$G$5005,$S$6:$S$5005,S3760,$D$6:$D$5005,"Vastgesteld"))</f>
        <v/>
      </c>
      <c r="U3760" s="15">
        <f>IF(T3760="",0,IF(AND(G3760=T3760,COUNTIFS($S$6:S3760,S3760,$G$6:G3760,G3760,$D$6:D3760,"Vastgesteld")=1),1,0))</f>
        <v>0</v>
      </c>
      <c r="V3760" s="15">
        <f>IF(T3760="",0,IF(AND(G3760=T3760,COUNTIFS($S$6:S3760,S3760,$G$6:G3760,G3760,$D$6:D3760,"Vastgesteld")&gt;1),1,0))</f>
        <v>0</v>
      </c>
    </row>
    <row r="3761">
      <c r="S3761" s="15" t="str">
        <f>IF(J3761="","",J3761&amp;"|"&amp;E3761&amp;"|"&amp;F3761&amp;"|"&amp;I3761&amp;"|"&amp;O3761)</f>
        <v/>
      </c>
      <c r="T3761" s="15" t="str">
        <f>IF(OR(S3761="",D3761&lt;&gt;"Vastgesteld"),"",_xlfn.MAXIFS($G$6:$G$5005,$S$6:$S$5005,S3761,$D$6:$D$5005,"Vastgesteld"))</f>
        <v/>
      </c>
      <c r="U3761" s="15">
        <f>IF(T3761="",0,IF(AND(G3761=T3761,COUNTIFS($S$6:S3761,S3761,$G$6:G3761,G3761,$D$6:D3761,"Vastgesteld")=1),1,0))</f>
        <v>0</v>
      </c>
      <c r="V3761" s="15">
        <f>IF(T3761="",0,IF(AND(G3761=T3761,COUNTIFS($S$6:S3761,S3761,$G$6:G3761,G3761,$D$6:D3761,"Vastgesteld")&gt;1),1,0))</f>
        <v>0</v>
      </c>
    </row>
    <row r="3762">
      <c r="S3762" s="15" t="str">
        <f>IF(J3762="","",J3762&amp;"|"&amp;E3762&amp;"|"&amp;F3762&amp;"|"&amp;I3762&amp;"|"&amp;O3762)</f>
        <v/>
      </c>
      <c r="T3762" s="15" t="str">
        <f>IF(OR(S3762="",D3762&lt;&gt;"Vastgesteld"),"",_xlfn.MAXIFS($G$6:$G$5005,$S$6:$S$5005,S3762,$D$6:$D$5005,"Vastgesteld"))</f>
        <v/>
      </c>
      <c r="U3762" s="15">
        <f>IF(T3762="",0,IF(AND(G3762=T3762,COUNTIFS($S$6:S3762,S3762,$G$6:G3762,G3762,$D$6:D3762,"Vastgesteld")=1),1,0))</f>
        <v>0</v>
      </c>
      <c r="V3762" s="15">
        <f>IF(T3762="",0,IF(AND(G3762=T3762,COUNTIFS($S$6:S3762,S3762,$G$6:G3762,G3762,$D$6:D3762,"Vastgesteld")&gt;1),1,0))</f>
        <v>0</v>
      </c>
    </row>
    <row r="3763">
      <c r="S3763" s="15" t="str">
        <f>IF(J3763="","",J3763&amp;"|"&amp;E3763&amp;"|"&amp;F3763&amp;"|"&amp;I3763&amp;"|"&amp;O3763)</f>
        <v/>
      </c>
      <c r="T3763" s="15" t="str">
        <f>IF(OR(S3763="",D3763&lt;&gt;"Vastgesteld"),"",_xlfn.MAXIFS($G$6:$G$5005,$S$6:$S$5005,S3763,$D$6:$D$5005,"Vastgesteld"))</f>
        <v/>
      </c>
      <c r="U3763" s="15">
        <f>IF(T3763="",0,IF(AND(G3763=T3763,COUNTIFS($S$6:S3763,S3763,$G$6:G3763,G3763,$D$6:D3763,"Vastgesteld")=1),1,0))</f>
        <v>0</v>
      </c>
      <c r="V3763" s="15">
        <f>IF(T3763="",0,IF(AND(G3763=T3763,COUNTIFS($S$6:S3763,S3763,$G$6:G3763,G3763,$D$6:D3763,"Vastgesteld")&gt;1),1,0))</f>
        <v>0</v>
      </c>
    </row>
    <row r="3764">
      <c r="S3764" s="15" t="str">
        <f>IF(J3764="","",J3764&amp;"|"&amp;E3764&amp;"|"&amp;F3764&amp;"|"&amp;I3764&amp;"|"&amp;O3764)</f>
        <v/>
      </c>
      <c r="T3764" s="15" t="str">
        <f>IF(OR(S3764="",D3764&lt;&gt;"Vastgesteld"),"",_xlfn.MAXIFS($G$6:$G$5005,$S$6:$S$5005,S3764,$D$6:$D$5005,"Vastgesteld"))</f>
        <v/>
      </c>
      <c r="U3764" s="15">
        <f>IF(T3764="",0,IF(AND(G3764=T3764,COUNTIFS($S$6:S3764,S3764,$G$6:G3764,G3764,$D$6:D3764,"Vastgesteld")=1),1,0))</f>
        <v>0</v>
      </c>
      <c r="V3764" s="15">
        <f>IF(T3764="",0,IF(AND(G3764=T3764,COUNTIFS($S$6:S3764,S3764,$G$6:G3764,G3764,$D$6:D3764,"Vastgesteld")&gt;1),1,0))</f>
        <v>0</v>
      </c>
    </row>
    <row r="3765">
      <c r="S3765" s="15" t="str">
        <f>IF(J3765="","",J3765&amp;"|"&amp;E3765&amp;"|"&amp;F3765&amp;"|"&amp;I3765&amp;"|"&amp;O3765)</f>
        <v/>
      </c>
      <c r="T3765" s="15" t="str">
        <f>IF(OR(S3765="",D3765&lt;&gt;"Vastgesteld"),"",_xlfn.MAXIFS($G$6:$G$5005,$S$6:$S$5005,S3765,$D$6:$D$5005,"Vastgesteld"))</f>
        <v/>
      </c>
      <c r="U3765" s="15">
        <f>IF(T3765="",0,IF(AND(G3765=T3765,COUNTIFS($S$6:S3765,S3765,$G$6:G3765,G3765,$D$6:D3765,"Vastgesteld")=1),1,0))</f>
        <v>0</v>
      </c>
      <c r="V3765" s="15">
        <f>IF(T3765="",0,IF(AND(G3765=T3765,COUNTIFS($S$6:S3765,S3765,$G$6:G3765,G3765,$D$6:D3765,"Vastgesteld")&gt;1),1,0))</f>
        <v>0</v>
      </c>
    </row>
    <row r="3766">
      <c r="S3766" s="15" t="str">
        <f>IF(J3766="","",J3766&amp;"|"&amp;E3766&amp;"|"&amp;F3766&amp;"|"&amp;I3766&amp;"|"&amp;O3766)</f>
        <v/>
      </c>
      <c r="T3766" s="15" t="str">
        <f>IF(OR(S3766="",D3766&lt;&gt;"Vastgesteld"),"",_xlfn.MAXIFS($G$6:$G$5005,$S$6:$S$5005,S3766,$D$6:$D$5005,"Vastgesteld"))</f>
        <v/>
      </c>
      <c r="U3766" s="15">
        <f>IF(T3766="",0,IF(AND(G3766=T3766,COUNTIFS($S$6:S3766,S3766,$G$6:G3766,G3766,$D$6:D3766,"Vastgesteld")=1),1,0))</f>
        <v>0</v>
      </c>
      <c r="V3766" s="15">
        <f>IF(T3766="",0,IF(AND(G3766=T3766,COUNTIFS($S$6:S3766,S3766,$G$6:G3766,G3766,$D$6:D3766,"Vastgesteld")&gt;1),1,0))</f>
        <v>0</v>
      </c>
    </row>
    <row r="3767">
      <c r="S3767" s="15" t="str">
        <f>IF(J3767="","",J3767&amp;"|"&amp;E3767&amp;"|"&amp;F3767&amp;"|"&amp;I3767&amp;"|"&amp;O3767)</f>
        <v/>
      </c>
      <c r="T3767" s="15" t="str">
        <f>IF(OR(S3767="",D3767&lt;&gt;"Vastgesteld"),"",_xlfn.MAXIFS($G$6:$G$5005,$S$6:$S$5005,S3767,$D$6:$D$5005,"Vastgesteld"))</f>
        <v/>
      </c>
      <c r="U3767" s="15">
        <f>IF(T3767="",0,IF(AND(G3767=T3767,COUNTIFS($S$6:S3767,S3767,$G$6:G3767,G3767,$D$6:D3767,"Vastgesteld")=1),1,0))</f>
        <v>0</v>
      </c>
      <c r="V3767" s="15">
        <f>IF(T3767="",0,IF(AND(G3767=T3767,COUNTIFS($S$6:S3767,S3767,$G$6:G3767,G3767,$D$6:D3767,"Vastgesteld")&gt;1),1,0))</f>
        <v>0</v>
      </c>
    </row>
    <row r="3768">
      <c r="S3768" s="15" t="str">
        <f>IF(J3768="","",J3768&amp;"|"&amp;E3768&amp;"|"&amp;F3768&amp;"|"&amp;I3768&amp;"|"&amp;O3768)</f>
        <v/>
      </c>
      <c r="T3768" s="15" t="str">
        <f>IF(OR(S3768="",D3768&lt;&gt;"Vastgesteld"),"",_xlfn.MAXIFS($G$6:$G$5005,$S$6:$S$5005,S3768,$D$6:$D$5005,"Vastgesteld"))</f>
        <v/>
      </c>
      <c r="U3768" s="15">
        <f>IF(T3768="",0,IF(AND(G3768=T3768,COUNTIFS($S$6:S3768,S3768,$G$6:G3768,G3768,$D$6:D3768,"Vastgesteld")=1),1,0))</f>
        <v>0</v>
      </c>
      <c r="V3768" s="15">
        <f>IF(T3768="",0,IF(AND(G3768=T3768,COUNTIFS($S$6:S3768,S3768,$G$6:G3768,G3768,$D$6:D3768,"Vastgesteld")&gt;1),1,0))</f>
        <v>0</v>
      </c>
    </row>
    <row r="3769">
      <c r="S3769" s="15" t="str">
        <f>IF(J3769="","",J3769&amp;"|"&amp;E3769&amp;"|"&amp;F3769&amp;"|"&amp;I3769&amp;"|"&amp;O3769)</f>
        <v/>
      </c>
      <c r="T3769" s="15" t="str">
        <f>IF(OR(S3769="",D3769&lt;&gt;"Vastgesteld"),"",_xlfn.MAXIFS($G$6:$G$5005,$S$6:$S$5005,S3769,$D$6:$D$5005,"Vastgesteld"))</f>
        <v/>
      </c>
      <c r="U3769" s="15">
        <f>IF(T3769="",0,IF(AND(G3769=T3769,COUNTIFS($S$6:S3769,S3769,$G$6:G3769,G3769,$D$6:D3769,"Vastgesteld")=1),1,0))</f>
        <v>0</v>
      </c>
      <c r="V3769" s="15">
        <f>IF(T3769="",0,IF(AND(G3769=T3769,COUNTIFS($S$6:S3769,S3769,$G$6:G3769,G3769,$D$6:D3769,"Vastgesteld")&gt;1),1,0))</f>
        <v>0</v>
      </c>
    </row>
    <row r="3770">
      <c r="S3770" s="15" t="str">
        <f>IF(J3770="","",J3770&amp;"|"&amp;E3770&amp;"|"&amp;F3770&amp;"|"&amp;I3770&amp;"|"&amp;O3770)</f>
        <v/>
      </c>
      <c r="T3770" s="15" t="str">
        <f>IF(OR(S3770="",D3770&lt;&gt;"Vastgesteld"),"",_xlfn.MAXIFS($G$6:$G$5005,$S$6:$S$5005,S3770,$D$6:$D$5005,"Vastgesteld"))</f>
        <v/>
      </c>
      <c r="U3770" s="15">
        <f>IF(T3770="",0,IF(AND(G3770=T3770,COUNTIFS($S$6:S3770,S3770,$G$6:G3770,G3770,$D$6:D3770,"Vastgesteld")=1),1,0))</f>
        <v>0</v>
      </c>
      <c r="V3770" s="15">
        <f>IF(T3770="",0,IF(AND(G3770=T3770,COUNTIFS($S$6:S3770,S3770,$G$6:G3770,G3770,$D$6:D3770,"Vastgesteld")&gt;1),1,0))</f>
        <v>0</v>
      </c>
    </row>
    <row r="3771">
      <c r="S3771" s="15" t="str">
        <f>IF(J3771="","",J3771&amp;"|"&amp;E3771&amp;"|"&amp;F3771&amp;"|"&amp;I3771&amp;"|"&amp;O3771)</f>
        <v/>
      </c>
      <c r="T3771" s="15" t="str">
        <f>IF(OR(S3771="",D3771&lt;&gt;"Vastgesteld"),"",_xlfn.MAXIFS($G$6:$G$5005,$S$6:$S$5005,S3771,$D$6:$D$5005,"Vastgesteld"))</f>
        <v/>
      </c>
      <c r="U3771" s="15">
        <f>IF(T3771="",0,IF(AND(G3771=T3771,COUNTIFS($S$6:S3771,S3771,$G$6:G3771,G3771,$D$6:D3771,"Vastgesteld")=1),1,0))</f>
        <v>0</v>
      </c>
      <c r="V3771" s="15">
        <f>IF(T3771="",0,IF(AND(G3771=T3771,COUNTIFS($S$6:S3771,S3771,$G$6:G3771,G3771,$D$6:D3771,"Vastgesteld")&gt;1),1,0))</f>
        <v>0</v>
      </c>
    </row>
    <row r="3772">
      <c r="S3772" s="15" t="str">
        <f>IF(J3772="","",J3772&amp;"|"&amp;E3772&amp;"|"&amp;F3772&amp;"|"&amp;I3772&amp;"|"&amp;O3772)</f>
        <v/>
      </c>
      <c r="T3772" s="15" t="str">
        <f>IF(OR(S3772="",D3772&lt;&gt;"Vastgesteld"),"",_xlfn.MAXIFS($G$6:$G$5005,$S$6:$S$5005,S3772,$D$6:$D$5005,"Vastgesteld"))</f>
        <v/>
      </c>
      <c r="U3772" s="15">
        <f>IF(T3772="",0,IF(AND(G3772=T3772,COUNTIFS($S$6:S3772,S3772,$G$6:G3772,G3772,$D$6:D3772,"Vastgesteld")=1),1,0))</f>
        <v>0</v>
      </c>
      <c r="V3772" s="15">
        <f>IF(T3772="",0,IF(AND(G3772=T3772,COUNTIFS($S$6:S3772,S3772,$G$6:G3772,G3772,$D$6:D3772,"Vastgesteld")&gt;1),1,0))</f>
        <v>0</v>
      </c>
    </row>
    <row r="3773">
      <c r="S3773" s="15" t="str">
        <f>IF(J3773="","",J3773&amp;"|"&amp;E3773&amp;"|"&amp;F3773&amp;"|"&amp;I3773&amp;"|"&amp;O3773)</f>
        <v/>
      </c>
      <c r="T3773" s="15" t="str">
        <f>IF(OR(S3773="",D3773&lt;&gt;"Vastgesteld"),"",_xlfn.MAXIFS($G$6:$G$5005,$S$6:$S$5005,S3773,$D$6:$D$5005,"Vastgesteld"))</f>
        <v/>
      </c>
      <c r="U3773" s="15">
        <f>IF(T3773="",0,IF(AND(G3773=T3773,COUNTIFS($S$6:S3773,S3773,$G$6:G3773,G3773,$D$6:D3773,"Vastgesteld")=1),1,0))</f>
        <v>0</v>
      </c>
      <c r="V3773" s="15">
        <f>IF(T3773="",0,IF(AND(G3773=T3773,COUNTIFS($S$6:S3773,S3773,$G$6:G3773,G3773,$D$6:D3773,"Vastgesteld")&gt;1),1,0))</f>
        <v>0</v>
      </c>
    </row>
    <row r="3774">
      <c r="S3774" s="15" t="str">
        <f>IF(J3774="","",J3774&amp;"|"&amp;E3774&amp;"|"&amp;F3774&amp;"|"&amp;I3774&amp;"|"&amp;O3774)</f>
        <v/>
      </c>
      <c r="T3774" s="15" t="str">
        <f>IF(OR(S3774="",D3774&lt;&gt;"Vastgesteld"),"",_xlfn.MAXIFS($G$6:$G$5005,$S$6:$S$5005,S3774,$D$6:$D$5005,"Vastgesteld"))</f>
        <v/>
      </c>
      <c r="U3774" s="15">
        <f>IF(T3774="",0,IF(AND(G3774=T3774,COUNTIFS($S$6:S3774,S3774,$G$6:G3774,G3774,$D$6:D3774,"Vastgesteld")=1),1,0))</f>
        <v>0</v>
      </c>
      <c r="V3774" s="15">
        <f>IF(T3774="",0,IF(AND(G3774=T3774,COUNTIFS($S$6:S3774,S3774,$G$6:G3774,G3774,$D$6:D3774,"Vastgesteld")&gt;1),1,0))</f>
        <v>0</v>
      </c>
    </row>
    <row r="3775">
      <c r="S3775" s="15" t="str">
        <f>IF(J3775="","",J3775&amp;"|"&amp;E3775&amp;"|"&amp;F3775&amp;"|"&amp;I3775&amp;"|"&amp;O3775)</f>
        <v/>
      </c>
      <c r="T3775" s="15" t="str">
        <f>IF(OR(S3775="",D3775&lt;&gt;"Vastgesteld"),"",_xlfn.MAXIFS($G$6:$G$5005,$S$6:$S$5005,S3775,$D$6:$D$5005,"Vastgesteld"))</f>
        <v/>
      </c>
      <c r="U3775" s="15">
        <f>IF(T3775="",0,IF(AND(G3775=T3775,COUNTIFS($S$6:S3775,S3775,$G$6:G3775,G3775,$D$6:D3775,"Vastgesteld")=1),1,0))</f>
        <v>0</v>
      </c>
      <c r="V3775" s="15">
        <f>IF(T3775="",0,IF(AND(G3775=T3775,COUNTIFS($S$6:S3775,S3775,$G$6:G3775,G3775,$D$6:D3775,"Vastgesteld")&gt;1),1,0))</f>
        <v>0</v>
      </c>
    </row>
    <row r="3776">
      <c r="S3776" s="15" t="str">
        <f>IF(J3776="","",J3776&amp;"|"&amp;E3776&amp;"|"&amp;F3776&amp;"|"&amp;I3776&amp;"|"&amp;O3776)</f>
        <v/>
      </c>
      <c r="T3776" s="15" t="str">
        <f>IF(OR(S3776="",D3776&lt;&gt;"Vastgesteld"),"",_xlfn.MAXIFS($G$6:$G$5005,$S$6:$S$5005,S3776,$D$6:$D$5005,"Vastgesteld"))</f>
        <v/>
      </c>
      <c r="U3776" s="15">
        <f>IF(T3776="",0,IF(AND(G3776=T3776,COUNTIFS($S$6:S3776,S3776,$G$6:G3776,G3776,$D$6:D3776,"Vastgesteld")=1),1,0))</f>
        <v>0</v>
      </c>
      <c r="V3776" s="15">
        <f>IF(T3776="",0,IF(AND(G3776=T3776,COUNTIFS($S$6:S3776,S3776,$G$6:G3776,G3776,$D$6:D3776,"Vastgesteld")&gt;1),1,0))</f>
        <v>0</v>
      </c>
    </row>
    <row r="3777">
      <c r="S3777" s="15" t="str">
        <f>IF(J3777="","",J3777&amp;"|"&amp;E3777&amp;"|"&amp;F3777&amp;"|"&amp;I3777&amp;"|"&amp;O3777)</f>
        <v/>
      </c>
      <c r="T3777" s="15" t="str">
        <f>IF(OR(S3777="",D3777&lt;&gt;"Vastgesteld"),"",_xlfn.MAXIFS($G$6:$G$5005,$S$6:$S$5005,S3777,$D$6:$D$5005,"Vastgesteld"))</f>
        <v/>
      </c>
      <c r="U3777" s="15">
        <f>IF(T3777="",0,IF(AND(G3777=T3777,COUNTIFS($S$6:S3777,S3777,$G$6:G3777,G3777,$D$6:D3777,"Vastgesteld")=1),1,0))</f>
        <v>0</v>
      </c>
      <c r="V3777" s="15">
        <f>IF(T3777="",0,IF(AND(G3777=T3777,COUNTIFS($S$6:S3777,S3777,$G$6:G3777,G3777,$D$6:D3777,"Vastgesteld")&gt;1),1,0))</f>
        <v>0</v>
      </c>
    </row>
    <row r="3778">
      <c r="S3778" s="15" t="str">
        <f>IF(J3778="","",J3778&amp;"|"&amp;E3778&amp;"|"&amp;F3778&amp;"|"&amp;I3778&amp;"|"&amp;O3778)</f>
        <v/>
      </c>
      <c r="T3778" s="15" t="str">
        <f>IF(OR(S3778="",D3778&lt;&gt;"Vastgesteld"),"",_xlfn.MAXIFS($G$6:$G$5005,$S$6:$S$5005,S3778,$D$6:$D$5005,"Vastgesteld"))</f>
        <v/>
      </c>
      <c r="U3778" s="15">
        <f>IF(T3778="",0,IF(AND(G3778=T3778,COUNTIFS($S$6:S3778,S3778,$G$6:G3778,G3778,$D$6:D3778,"Vastgesteld")=1),1,0))</f>
        <v>0</v>
      </c>
      <c r="V3778" s="15">
        <f>IF(T3778="",0,IF(AND(G3778=T3778,COUNTIFS($S$6:S3778,S3778,$G$6:G3778,G3778,$D$6:D3778,"Vastgesteld")&gt;1),1,0))</f>
        <v>0</v>
      </c>
    </row>
    <row r="3779">
      <c r="S3779" s="15" t="str">
        <f>IF(J3779="","",J3779&amp;"|"&amp;E3779&amp;"|"&amp;F3779&amp;"|"&amp;I3779&amp;"|"&amp;O3779)</f>
        <v/>
      </c>
      <c r="T3779" s="15" t="str">
        <f>IF(OR(S3779="",D3779&lt;&gt;"Vastgesteld"),"",_xlfn.MAXIFS($G$6:$G$5005,$S$6:$S$5005,S3779,$D$6:$D$5005,"Vastgesteld"))</f>
        <v/>
      </c>
      <c r="U3779" s="15">
        <f>IF(T3779="",0,IF(AND(G3779=T3779,COUNTIFS($S$6:S3779,S3779,$G$6:G3779,G3779,$D$6:D3779,"Vastgesteld")=1),1,0))</f>
        <v>0</v>
      </c>
      <c r="V3779" s="15">
        <f>IF(T3779="",0,IF(AND(G3779=T3779,COUNTIFS($S$6:S3779,S3779,$G$6:G3779,G3779,$D$6:D3779,"Vastgesteld")&gt;1),1,0))</f>
        <v>0</v>
      </c>
    </row>
    <row r="3780">
      <c r="S3780" s="15" t="str">
        <f>IF(J3780="","",J3780&amp;"|"&amp;E3780&amp;"|"&amp;F3780&amp;"|"&amp;I3780&amp;"|"&amp;O3780)</f>
        <v/>
      </c>
      <c r="T3780" s="15" t="str">
        <f>IF(OR(S3780="",D3780&lt;&gt;"Vastgesteld"),"",_xlfn.MAXIFS($G$6:$G$5005,$S$6:$S$5005,S3780,$D$6:$D$5005,"Vastgesteld"))</f>
        <v/>
      </c>
      <c r="U3780" s="15">
        <f>IF(T3780="",0,IF(AND(G3780=T3780,COUNTIFS($S$6:S3780,S3780,$G$6:G3780,G3780,$D$6:D3780,"Vastgesteld")=1),1,0))</f>
        <v>0</v>
      </c>
      <c r="V3780" s="15">
        <f>IF(T3780="",0,IF(AND(G3780=T3780,COUNTIFS($S$6:S3780,S3780,$G$6:G3780,G3780,$D$6:D3780,"Vastgesteld")&gt;1),1,0))</f>
        <v>0</v>
      </c>
    </row>
    <row r="3781">
      <c r="S3781" s="15" t="str">
        <f>IF(J3781="","",J3781&amp;"|"&amp;E3781&amp;"|"&amp;F3781&amp;"|"&amp;I3781&amp;"|"&amp;O3781)</f>
        <v/>
      </c>
      <c r="T3781" s="15" t="str">
        <f>IF(OR(S3781="",D3781&lt;&gt;"Vastgesteld"),"",_xlfn.MAXIFS($G$6:$G$5005,$S$6:$S$5005,S3781,$D$6:$D$5005,"Vastgesteld"))</f>
        <v/>
      </c>
      <c r="U3781" s="15">
        <f>IF(T3781="",0,IF(AND(G3781=T3781,COUNTIFS($S$6:S3781,S3781,$G$6:G3781,G3781,$D$6:D3781,"Vastgesteld")=1),1,0))</f>
        <v>0</v>
      </c>
      <c r="V3781" s="15">
        <f>IF(T3781="",0,IF(AND(G3781=T3781,COUNTIFS($S$6:S3781,S3781,$G$6:G3781,G3781,$D$6:D3781,"Vastgesteld")&gt;1),1,0))</f>
        <v>0</v>
      </c>
    </row>
    <row r="3782">
      <c r="S3782" s="15" t="str">
        <f>IF(J3782="","",J3782&amp;"|"&amp;E3782&amp;"|"&amp;F3782&amp;"|"&amp;I3782&amp;"|"&amp;O3782)</f>
        <v/>
      </c>
      <c r="T3782" s="15" t="str">
        <f>IF(OR(S3782="",D3782&lt;&gt;"Vastgesteld"),"",_xlfn.MAXIFS($G$6:$G$5005,$S$6:$S$5005,S3782,$D$6:$D$5005,"Vastgesteld"))</f>
        <v/>
      </c>
      <c r="U3782" s="15">
        <f>IF(T3782="",0,IF(AND(G3782=T3782,COUNTIFS($S$6:S3782,S3782,$G$6:G3782,G3782,$D$6:D3782,"Vastgesteld")=1),1,0))</f>
        <v>0</v>
      </c>
      <c r="V3782" s="15">
        <f>IF(T3782="",0,IF(AND(G3782=T3782,COUNTIFS($S$6:S3782,S3782,$G$6:G3782,G3782,$D$6:D3782,"Vastgesteld")&gt;1),1,0))</f>
        <v>0</v>
      </c>
    </row>
    <row r="3783">
      <c r="S3783" s="15" t="str">
        <f>IF(J3783="","",J3783&amp;"|"&amp;E3783&amp;"|"&amp;F3783&amp;"|"&amp;I3783&amp;"|"&amp;O3783)</f>
        <v/>
      </c>
      <c r="T3783" s="15" t="str">
        <f>IF(OR(S3783="",D3783&lt;&gt;"Vastgesteld"),"",_xlfn.MAXIFS($G$6:$G$5005,$S$6:$S$5005,S3783,$D$6:$D$5005,"Vastgesteld"))</f>
        <v/>
      </c>
      <c r="U3783" s="15">
        <f>IF(T3783="",0,IF(AND(G3783=T3783,COUNTIFS($S$6:S3783,S3783,$G$6:G3783,G3783,$D$6:D3783,"Vastgesteld")=1),1,0))</f>
        <v>0</v>
      </c>
      <c r="V3783" s="15">
        <f>IF(T3783="",0,IF(AND(G3783=T3783,COUNTIFS($S$6:S3783,S3783,$G$6:G3783,G3783,$D$6:D3783,"Vastgesteld")&gt;1),1,0))</f>
        <v>0</v>
      </c>
    </row>
    <row r="3784">
      <c r="S3784" s="15" t="str">
        <f>IF(J3784="","",J3784&amp;"|"&amp;E3784&amp;"|"&amp;F3784&amp;"|"&amp;I3784&amp;"|"&amp;O3784)</f>
        <v/>
      </c>
      <c r="T3784" s="15" t="str">
        <f>IF(OR(S3784="",D3784&lt;&gt;"Vastgesteld"),"",_xlfn.MAXIFS($G$6:$G$5005,$S$6:$S$5005,S3784,$D$6:$D$5005,"Vastgesteld"))</f>
        <v/>
      </c>
      <c r="U3784" s="15">
        <f>IF(T3784="",0,IF(AND(G3784=T3784,COUNTIFS($S$6:S3784,S3784,$G$6:G3784,G3784,$D$6:D3784,"Vastgesteld")=1),1,0))</f>
        <v>0</v>
      </c>
      <c r="V3784" s="15">
        <f>IF(T3784="",0,IF(AND(G3784=T3784,COUNTIFS($S$6:S3784,S3784,$G$6:G3784,G3784,$D$6:D3784,"Vastgesteld")&gt;1),1,0))</f>
        <v>0</v>
      </c>
    </row>
    <row r="3785">
      <c r="S3785" s="15" t="str">
        <f>IF(J3785="","",J3785&amp;"|"&amp;E3785&amp;"|"&amp;F3785&amp;"|"&amp;I3785&amp;"|"&amp;O3785)</f>
        <v/>
      </c>
      <c r="T3785" s="15" t="str">
        <f>IF(OR(S3785="",D3785&lt;&gt;"Vastgesteld"),"",_xlfn.MAXIFS($G$6:$G$5005,$S$6:$S$5005,S3785,$D$6:$D$5005,"Vastgesteld"))</f>
        <v/>
      </c>
      <c r="U3785" s="15">
        <f>IF(T3785="",0,IF(AND(G3785=T3785,COUNTIFS($S$6:S3785,S3785,$G$6:G3785,G3785,$D$6:D3785,"Vastgesteld")=1),1,0))</f>
        <v>0</v>
      </c>
      <c r="V3785" s="15">
        <f>IF(T3785="",0,IF(AND(G3785=T3785,COUNTIFS($S$6:S3785,S3785,$G$6:G3785,G3785,$D$6:D3785,"Vastgesteld")&gt;1),1,0))</f>
        <v>0</v>
      </c>
    </row>
    <row r="3786">
      <c r="S3786" s="15" t="str">
        <f>IF(J3786="","",J3786&amp;"|"&amp;E3786&amp;"|"&amp;F3786&amp;"|"&amp;I3786&amp;"|"&amp;O3786)</f>
        <v/>
      </c>
      <c r="T3786" s="15" t="str">
        <f>IF(OR(S3786="",D3786&lt;&gt;"Vastgesteld"),"",_xlfn.MAXIFS($G$6:$G$5005,$S$6:$S$5005,S3786,$D$6:$D$5005,"Vastgesteld"))</f>
        <v/>
      </c>
      <c r="U3786" s="15">
        <f>IF(T3786="",0,IF(AND(G3786=T3786,COUNTIFS($S$6:S3786,S3786,$G$6:G3786,G3786,$D$6:D3786,"Vastgesteld")=1),1,0))</f>
        <v>0</v>
      </c>
      <c r="V3786" s="15">
        <f>IF(T3786="",0,IF(AND(G3786=T3786,COUNTIFS($S$6:S3786,S3786,$G$6:G3786,G3786,$D$6:D3786,"Vastgesteld")&gt;1),1,0))</f>
        <v>0</v>
      </c>
    </row>
    <row r="3787">
      <c r="S3787" s="15" t="str">
        <f>IF(J3787="","",J3787&amp;"|"&amp;E3787&amp;"|"&amp;F3787&amp;"|"&amp;I3787&amp;"|"&amp;O3787)</f>
        <v/>
      </c>
      <c r="T3787" s="15" t="str">
        <f>IF(OR(S3787="",D3787&lt;&gt;"Vastgesteld"),"",_xlfn.MAXIFS($G$6:$G$5005,$S$6:$S$5005,S3787,$D$6:$D$5005,"Vastgesteld"))</f>
        <v/>
      </c>
      <c r="U3787" s="15">
        <f>IF(T3787="",0,IF(AND(G3787=T3787,COUNTIFS($S$6:S3787,S3787,$G$6:G3787,G3787,$D$6:D3787,"Vastgesteld")=1),1,0))</f>
        <v>0</v>
      </c>
      <c r="V3787" s="15">
        <f>IF(T3787="",0,IF(AND(G3787=T3787,COUNTIFS($S$6:S3787,S3787,$G$6:G3787,G3787,$D$6:D3787,"Vastgesteld")&gt;1),1,0))</f>
        <v>0</v>
      </c>
    </row>
    <row r="3788">
      <c r="S3788" s="15" t="str">
        <f>IF(J3788="","",J3788&amp;"|"&amp;E3788&amp;"|"&amp;F3788&amp;"|"&amp;I3788&amp;"|"&amp;O3788)</f>
        <v/>
      </c>
      <c r="T3788" s="15" t="str">
        <f>IF(OR(S3788="",D3788&lt;&gt;"Vastgesteld"),"",_xlfn.MAXIFS($G$6:$G$5005,$S$6:$S$5005,S3788,$D$6:$D$5005,"Vastgesteld"))</f>
        <v/>
      </c>
      <c r="U3788" s="15">
        <f>IF(T3788="",0,IF(AND(G3788=T3788,COUNTIFS($S$6:S3788,S3788,$G$6:G3788,G3788,$D$6:D3788,"Vastgesteld")=1),1,0))</f>
        <v>0</v>
      </c>
      <c r="V3788" s="15">
        <f>IF(T3788="",0,IF(AND(G3788=T3788,COUNTIFS($S$6:S3788,S3788,$G$6:G3788,G3788,$D$6:D3788,"Vastgesteld")&gt;1),1,0))</f>
        <v>0</v>
      </c>
    </row>
    <row r="3789">
      <c r="S3789" s="15" t="str">
        <f>IF(J3789="","",J3789&amp;"|"&amp;E3789&amp;"|"&amp;F3789&amp;"|"&amp;I3789&amp;"|"&amp;O3789)</f>
        <v/>
      </c>
      <c r="T3789" s="15" t="str">
        <f>IF(OR(S3789="",D3789&lt;&gt;"Vastgesteld"),"",_xlfn.MAXIFS($G$6:$G$5005,$S$6:$S$5005,S3789,$D$6:$D$5005,"Vastgesteld"))</f>
        <v/>
      </c>
      <c r="U3789" s="15">
        <f>IF(T3789="",0,IF(AND(G3789=T3789,COUNTIFS($S$6:S3789,S3789,$G$6:G3789,G3789,$D$6:D3789,"Vastgesteld")=1),1,0))</f>
        <v>0</v>
      </c>
      <c r="V3789" s="15">
        <f>IF(T3789="",0,IF(AND(G3789=T3789,COUNTIFS($S$6:S3789,S3789,$G$6:G3789,G3789,$D$6:D3789,"Vastgesteld")&gt;1),1,0))</f>
        <v>0</v>
      </c>
    </row>
    <row r="3790">
      <c r="S3790" s="15" t="str">
        <f>IF(J3790="","",J3790&amp;"|"&amp;E3790&amp;"|"&amp;F3790&amp;"|"&amp;I3790&amp;"|"&amp;O3790)</f>
        <v/>
      </c>
      <c r="T3790" s="15" t="str">
        <f>IF(OR(S3790="",D3790&lt;&gt;"Vastgesteld"),"",_xlfn.MAXIFS($G$6:$G$5005,$S$6:$S$5005,S3790,$D$6:$D$5005,"Vastgesteld"))</f>
        <v/>
      </c>
      <c r="U3790" s="15">
        <f>IF(T3790="",0,IF(AND(G3790=T3790,COUNTIFS($S$6:S3790,S3790,$G$6:G3790,G3790,$D$6:D3790,"Vastgesteld")=1),1,0))</f>
        <v>0</v>
      </c>
      <c r="V3790" s="15">
        <f>IF(T3790="",0,IF(AND(G3790=T3790,COUNTIFS($S$6:S3790,S3790,$G$6:G3790,G3790,$D$6:D3790,"Vastgesteld")&gt;1),1,0))</f>
        <v>0</v>
      </c>
    </row>
    <row r="3791">
      <c r="S3791" s="15" t="str">
        <f>IF(J3791="","",J3791&amp;"|"&amp;E3791&amp;"|"&amp;F3791&amp;"|"&amp;I3791&amp;"|"&amp;O3791)</f>
        <v/>
      </c>
      <c r="T3791" s="15" t="str">
        <f>IF(OR(S3791="",D3791&lt;&gt;"Vastgesteld"),"",_xlfn.MAXIFS($G$6:$G$5005,$S$6:$S$5005,S3791,$D$6:$D$5005,"Vastgesteld"))</f>
        <v/>
      </c>
      <c r="U3791" s="15">
        <f>IF(T3791="",0,IF(AND(G3791=T3791,COUNTIFS($S$6:S3791,S3791,$G$6:G3791,G3791,$D$6:D3791,"Vastgesteld")=1),1,0))</f>
        <v>0</v>
      </c>
      <c r="V3791" s="15">
        <f>IF(T3791="",0,IF(AND(G3791=T3791,COUNTIFS($S$6:S3791,S3791,$G$6:G3791,G3791,$D$6:D3791,"Vastgesteld")&gt;1),1,0))</f>
        <v>0</v>
      </c>
    </row>
    <row r="3792">
      <c r="S3792" s="15" t="str">
        <f>IF(J3792="","",J3792&amp;"|"&amp;E3792&amp;"|"&amp;F3792&amp;"|"&amp;I3792&amp;"|"&amp;O3792)</f>
        <v/>
      </c>
      <c r="T3792" s="15" t="str">
        <f>IF(OR(S3792="",D3792&lt;&gt;"Vastgesteld"),"",_xlfn.MAXIFS($G$6:$G$5005,$S$6:$S$5005,S3792,$D$6:$D$5005,"Vastgesteld"))</f>
        <v/>
      </c>
      <c r="U3792" s="15">
        <f>IF(T3792="",0,IF(AND(G3792=T3792,COUNTIFS($S$6:S3792,S3792,$G$6:G3792,G3792,$D$6:D3792,"Vastgesteld")=1),1,0))</f>
        <v>0</v>
      </c>
      <c r="V3792" s="15">
        <f>IF(T3792="",0,IF(AND(G3792=T3792,COUNTIFS($S$6:S3792,S3792,$G$6:G3792,G3792,$D$6:D3792,"Vastgesteld")&gt;1),1,0))</f>
        <v>0</v>
      </c>
    </row>
    <row r="3793">
      <c r="S3793" s="15" t="str">
        <f>IF(J3793="","",J3793&amp;"|"&amp;E3793&amp;"|"&amp;F3793&amp;"|"&amp;I3793&amp;"|"&amp;O3793)</f>
        <v/>
      </c>
      <c r="T3793" s="15" t="str">
        <f>IF(OR(S3793="",D3793&lt;&gt;"Vastgesteld"),"",_xlfn.MAXIFS($G$6:$G$5005,$S$6:$S$5005,S3793,$D$6:$D$5005,"Vastgesteld"))</f>
        <v/>
      </c>
      <c r="U3793" s="15">
        <f>IF(T3793="",0,IF(AND(G3793=T3793,COUNTIFS($S$6:S3793,S3793,$G$6:G3793,G3793,$D$6:D3793,"Vastgesteld")=1),1,0))</f>
        <v>0</v>
      </c>
      <c r="V3793" s="15">
        <f>IF(T3793="",0,IF(AND(G3793=T3793,COUNTIFS($S$6:S3793,S3793,$G$6:G3793,G3793,$D$6:D3793,"Vastgesteld")&gt;1),1,0))</f>
        <v>0</v>
      </c>
    </row>
    <row r="3794">
      <c r="S3794" s="15" t="str">
        <f>IF(J3794="","",J3794&amp;"|"&amp;E3794&amp;"|"&amp;F3794&amp;"|"&amp;I3794&amp;"|"&amp;O3794)</f>
        <v/>
      </c>
      <c r="T3794" s="15" t="str">
        <f>IF(OR(S3794="",D3794&lt;&gt;"Vastgesteld"),"",_xlfn.MAXIFS($G$6:$G$5005,$S$6:$S$5005,S3794,$D$6:$D$5005,"Vastgesteld"))</f>
        <v/>
      </c>
      <c r="U3794" s="15">
        <f>IF(T3794="",0,IF(AND(G3794=T3794,COUNTIFS($S$6:S3794,S3794,$G$6:G3794,G3794,$D$6:D3794,"Vastgesteld")=1),1,0))</f>
        <v>0</v>
      </c>
      <c r="V3794" s="15">
        <f>IF(T3794="",0,IF(AND(G3794=T3794,COUNTIFS($S$6:S3794,S3794,$G$6:G3794,G3794,$D$6:D3794,"Vastgesteld")&gt;1),1,0))</f>
        <v>0</v>
      </c>
    </row>
    <row r="3795">
      <c r="S3795" s="15" t="str">
        <f>IF(J3795="","",J3795&amp;"|"&amp;E3795&amp;"|"&amp;F3795&amp;"|"&amp;I3795&amp;"|"&amp;O3795)</f>
        <v/>
      </c>
      <c r="T3795" s="15" t="str">
        <f>IF(OR(S3795="",D3795&lt;&gt;"Vastgesteld"),"",_xlfn.MAXIFS($G$6:$G$5005,$S$6:$S$5005,S3795,$D$6:$D$5005,"Vastgesteld"))</f>
        <v/>
      </c>
      <c r="U3795" s="15">
        <f>IF(T3795="",0,IF(AND(G3795=T3795,COUNTIFS($S$6:S3795,S3795,$G$6:G3795,G3795,$D$6:D3795,"Vastgesteld")=1),1,0))</f>
        <v>0</v>
      </c>
      <c r="V3795" s="15">
        <f>IF(T3795="",0,IF(AND(G3795=T3795,COUNTIFS($S$6:S3795,S3795,$G$6:G3795,G3795,$D$6:D3795,"Vastgesteld")&gt;1),1,0))</f>
        <v>0</v>
      </c>
    </row>
    <row r="3796">
      <c r="S3796" s="15" t="str">
        <f>IF(J3796="","",J3796&amp;"|"&amp;E3796&amp;"|"&amp;F3796&amp;"|"&amp;I3796&amp;"|"&amp;O3796)</f>
        <v/>
      </c>
      <c r="T3796" s="15" t="str">
        <f>IF(OR(S3796="",D3796&lt;&gt;"Vastgesteld"),"",_xlfn.MAXIFS($G$6:$G$5005,$S$6:$S$5005,S3796,$D$6:$D$5005,"Vastgesteld"))</f>
        <v/>
      </c>
      <c r="U3796" s="15">
        <f>IF(T3796="",0,IF(AND(G3796=T3796,COUNTIFS($S$6:S3796,S3796,$G$6:G3796,G3796,$D$6:D3796,"Vastgesteld")=1),1,0))</f>
        <v>0</v>
      </c>
      <c r="V3796" s="15">
        <f>IF(T3796="",0,IF(AND(G3796=T3796,COUNTIFS($S$6:S3796,S3796,$G$6:G3796,G3796,$D$6:D3796,"Vastgesteld")&gt;1),1,0))</f>
        <v>0</v>
      </c>
    </row>
    <row r="3797">
      <c r="S3797" s="15" t="str">
        <f>IF(J3797="","",J3797&amp;"|"&amp;E3797&amp;"|"&amp;F3797&amp;"|"&amp;I3797&amp;"|"&amp;O3797)</f>
        <v/>
      </c>
      <c r="T3797" s="15" t="str">
        <f>IF(OR(S3797="",D3797&lt;&gt;"Vastgesteld"),"",_xlfn.MAXIFS($G$6:$G$5005,$S$6:$S$5005,S3797,$D$6:$D$5005,"Vastgesteld"))</f>
        <v/>
      </c>
      <c r="U3797" s="15">
        <f>IF(T3797="",0,IF(AND(G3797=T3797,COUNTIFS($S$6:S3797,S3797,$G$6:G3797,G3797,$D$6:D3797,"Vastgesteld")=1),1,0))</f>
        <v>0</v>
      </c>
      <c r="V3797" s="15">
        <f>IF(T3797="",0,IF(AND(G3797=T3797,COUNTIFS($S$6:S3797,S3797,$G$6:G3797,G3797,$D$6:D3797,"Vastgesteld")&gt;1),1,0))</f>
        <v>0</v>
      </c>
    </row>
    <row r="3798">
      <c r="S3798" s="15" t="str">
        <f>IF(J3798="","",J3798&amp;"|"&amp;E3798&amp;"|"&amp;F3798&amp;"|"&amp;I3798&amp;"|"&amp;O3798)</f>
        <v/>
      </c>
      <c r="T3798" s="15" t="str">
        <f>IF(OR(S3798="",D3798&lt;&gt;"Vastgesteld"),"",_xlfn.MAXIFS($G$6:$G$5005,$S$6:$S$5005,S3798,$D$6:$D$5005,"Vastgesteld"))</f>
        <v/>
      </c>
      <c r="U3798" s="15">
        <f>IF(T3798="",0,IF(AND(G3798=T3798,COUNTIFS($S$6:S3798,S3798,$G$6:G3798,G3798,$D$6:D3798,"Vastgesteld")=1),1,0))</f>
        <v>0</v>
      </c>
      <c r="V3798" s="15">
        <f>IF(T3798="",0,IF(AND(G3798=T3798,COUNTIFS($S$6:S3798,S3798,$G$6:G3798,G3798,$D$6:D3798,"Vastgesteld")&gt;1),1,0))</f>
        <v>0</v>
      </c>
    </row>
    <row r="3799">
      <c r="S3799" s="15" t="str">
        <f>IF(J3799="","",J3799&amp;"|"&amp;E3799&amp;"|"&amp;F3799&amp;"|"&amp;I3799&amp;"|"&amp;O3799)</f>
        <v/>
      </c>
      <c r="T3799" s="15" t="str">
        <f>IF(OR(S3799="",D3799&lt;&gt;"Vastgesteld"),"",_xlfn.MAXIFS($G$6:$G$5005,$S$6:$S$5005,S3799,$D$6:$D$5005,"Vastgesteld"))</f>
        <v/>
      </c>
      <c r="U3799" s="15">
        <f>IF(T3799="",0,IF(AND(G3799=T3799,COUNTIFS($S$6:S3799,S3799,$G$6:G3799,G3799,$D$6:D3799,"Vastgesteld")=1),1,0))</f>
        <v>0</v>
      </c>
      <c r="V3799" s="15">
        <f>IF(T3799="",0,IF(AND(G3799=T3799,COUNTIFS($S$6:S3799,S3799,$G$6:G3799,G3799,$D$6:D3799,"Vastgesteld")&gt;1),1,0))</f>
        <v>0</v>
      </c>
    </row>
    <row r="3800">
      <c r="S3800" s="15" t="str">
        <f>IF(J3800="","",J3800&amp;"|"&amp;E3800&amp;"|"&amp;F3800&amp;"|"&amp;I3800&amp;"|"&amp;O3800)</f>
        <v/>
      </c>
      <c r="T3800" s="15" t="str">
        <f>IF(OR(S3800="",D3800&lt;&gt;"Vastgesteld"),"",_xlfn.MAXIFS($G$6:$G$5005,$S$6:$S$5005,S3800,$D$6:$D$5005,"Vastgesteld"))</f>
        <v/>
      </c>
      <c r="U3800" s="15">
        <f>IF(T3800="",0,IF(AND(G3800=T3800,COUNTIFS($S$6:S3800,S3800,$G$6:G3800,G3800,$D$6:D3800,"Vastgesteld")=1),1,0))</f>
        <v>0</v>
      </c>
      <c r="V3800" s="15">
        <f>IF(T3800="",0,IF(AND(G3800=T3800,COUNTIFS($S$6:S3800,S3800,$G$6:G3800,G3800,$D$6:D3800,"Vastgesteld")&gt;1),1,0))</f>
        <v>0</v>
      </c>
    </row>
    <row r="3801">
      <c r="S3801" s="15" t="str">
        <f>IF(J3801="","",J3801&amp;"|"&amp;E3801&amp;"|"&amp;F3801&amp;"|"&amp;I3801&amp;"|"&amp;O3801)</f>
        <v/>
      </c>
      <c r="T3801" s="15" t="str">
        <f>IF(OR(S3801="",D3801&lt;&gt;"Vastgesteld"),"",_xlfn.MAXIFS($G$6:$G$5005,$S$6:$S$5005,S3801,$D$6:$D$5005,"Vastgesteld"))</f>
        <v/>
      </c>
      <c r="U3801" s="15">
        <f>IF(T3801="",0,IF(AND(G3801=T3801,COUNTIFS($S$6:S3801,S3801,$G$6:G3801,G3801,$D$6:D3801,"Vastgesteld")=1),1,0))</f>
        <v>0</v>
      </c>
      <c r="V3801" s="15">
        <f>IF(T3801="",0,IF(AND(G3801=T3801,COUNTIFS($S$6:S3801,S3801,$G$6:G3801,G3801,$D$6:D3801,"Vastgesteld")&gt;1),1,0))</f>
        <v>0</v>
      </c>
    </row>
    <row r="3802">
      <c r="S3802" s="15" t="str">
        <f>IF(J3802="","",J3802&amp;"|"&amp;E3802&amp;"|"&amp;F3802&amp;"|"&amp;I3802&amp;"|"&amp;O3802)</f>
        <v/>
      </c>
      <c r="T3802" s="15" t="str">
        <f>IF(OR(S3802="",D3802&lt;&gt;"Vastgesteld"),"",_xlfn.MAXIFS($G$6:$G$5005,$S$6:$S$5005,S3802,$D$6:$D$5005,"Vastgesteld"))</f>
        <v/>
      </c>
      <c r="U3802" s="15">
        <f>IF(T3802="",0,IF(AND(G3802=T3802,COUNTIFS($S$6:S3802,S3802,$G$6:G3802,G3802,$D$6:D3802,"Vastgesteld")=1),1,0))</f>
        <v>0</v>
      </c>
      <c r="V3802" s="15">
        <f>IF(T3802="",0,IF(AND(G3802=T3802,COUNTIFS($S$6:S3802,S3802,$G$6:G3802,G3802,$D$6:D3802,"Vastgesteld")&gt;1),1,0))</f>
        <v>0</v>
      </c>
    </row>
    <row r="3803">
      <c r="S3803" s="15" t="str">
        <f>IF(J3803="","",J3803&amp;"|"&amp;E3803&amp;"|"&amp;F3803&amp;"|"&amp;I3803&amp;"|"&amp;O3803)</f>
        <v/>
      </c>
      <c r="T3803" s="15" t="str">
        <f>IF(OR(S3803="",D3803&lt;&gt;"Vastgesteld"),"",_xlfn.MAXIFS($G$6:$G$5005,$S$6:$S$5005,S3803,$D$6:$D$5005,"Vastgesteld"))</f>
        <v/>
      </c>
      <c r="U3803" s="15">
        <f>IF(T3803="",0,IF(AND(G3803=T3803,COUNTIFS($S$6:S3803,S3803,$G$6:G3803,G3803,$D$6:D3803,"Vastgesteld")=1),1,0))</f>
        <v>0</v>
      </c>
      <c r="V3803" s="15">
        <f>IF(T3803="",0,IF(AND(G3803=T3803,COUNTIFS($S$6:S3803,S3803,$G$6:G3803,G3803,$D$6:D3803,"Vastgesteld")&gt;1),1,0))</f>
        <v>0</v>
      </c>
    </row>
    <row r="3804">
      <c r="S3804" s="15" t="str">
        <f>IF(J3804="","",J3804&amp;"|"&amp;E3804&amp;"|"&amp;F3804&amp;"|"&amp;I3804&amp;"|"&amp;O3804)</f>
        <v/>
      </c>
      <c r="T3804" s="15" t="str">
        <f>IF(OR(S3804="",D3804&lt;&gt;"Vastgesteld"),"",_xlfn.MAXIFS($G$6:$G$5005,$S$6:$S$5005,S3804,$D$6:$D$5005,"Vastgesteld"))</f>
        <v/>
      </c>
      <c r="U3804" s="15">
        <f>IF(T3804="",0,IF(AND(G3804=T3804,COUNTIFS($S$6:S3804,S3804,$G$6:G3804,G3804,$D$6:D3804,"Vastgesteld")=1),1,0))</f>
        <v>0</v>
      </c>
      <c r="V3804" s="15">
        <f>IF(T3804="",0,IF(AND(G3804=T3804,COUNTIFS($S$6:S3804,S3804,$G$6:G3804,G3804,$D$6:D3804,"Vastgesteld")&gt;1),1,0))</f>
        <v>0</v>
      </c>
    </row>
    <row r="3805">
      <c r="S3805" s="15" t="str">
        <f>IF(J3805="","",J3805&amp;"|"&amp;E3805&amp;"|"&amp;F3805&amp;"|"&amp;I3805&amp;"|"&amp;O3805)</f>
        <v/>
      </c>
      <c r="T3805" s="15" t="str">
        <f>IF(OR(S3805="",D3805&lt;&gt;"Vastgesteld"),"",_xlfn.MAXIFS($G$6:$G$5005,$S$6:$S$5005,S3805,$D$6:$D$5005,"Vastgesteld"))</f>
        <v/>
      </c>
      <c r="U3805" s="15">
        <f>IF(T3805="",0,IF(AND(G3805=T3805,COUNTIFS($S$6:S3805,S3805,$G$6:G3805,G3805,$D$6:D3805,"Vastgesteld")=1),1,0))</f>
        <v>0</v>
      </c>
      <c r="V3805" s="15">
        <f>IF(T3805="",0,IF(AND(G3805=T3805,COUNTIFS($S$6:S3805,S3805,$G$6:G3805,G3805,$D$6:D3805,"Vastgesteld")&gt;1),1,0))</f>
        <v>0</v>
      </c>
    </row>
    <row r="3806">
      <c r="S3806" s="15" t="str">
        <f>IF(J3806="","",J3806&amp;"|"&amp;E3806&amp;"|"&amp;F3806&amp;"|"&amp;I3806&amp;"|"&amp;O3806)</f>
        <v/>
      </c>
      <c r="T3806" s="15" t="str">
        <f>IF(OR(S3806="",D3806&lt;&gt;"Vastgesteld"),"",_xlfn.MAXIFS($G$6:$G$5005,$S$6:$S$5005,S3806,$D$6:$D$5005,"Vastgesteld"))</f>
        <v/>
      </c>
      <c r="U3806" s="15">
        <f>IF(T3806="",0,IF(AND(G3806=T3806,COUNTIFS($S$6:S3806,S3806,$G$6:G3806,G3806,$D$6:D3806,"Vastgesteld")=1),1,0))</f>
        <v>0</v>
      </c>
      <c r="V3806" s="15">
        <f>IF(T3806="",0,IF(AND(G3806=T3806,COUNTIFS($S$6:S3806,S3806,$G$6:G3806,G3806,$D$6:D3806,"Vastgesteld")&gt;1),1,0))</f>
        <v>0</v>
      </c>
    </row>
    <row r="3807">
      <c r="S3807" s="15" t="str">
        <f>IF(J3807="","",J3807&amp;"|"&amp;E3807&amp;"|"&amp;F3807&amp;"|"&amp;I3807&amp;"|"&amp;O3807)</f>
        <v/>
      </c>
      <c r="T3807" s="15" t="str">
        <f>IF(OR(S3807="",D3807&lt;&gt;"Vastgesteld"),"",_xlfn.MAXIFS($G$6:$G$5005,$S$6:$S$5005,S3807,$D$6:$D$5005,"Vastgesteld"))</f>
        <v/>
      </c>
      <c r="U3807" s="15">
        <f>IF(T3807="",0,IF(AND(G3807=T3807,COUNTIFS($S$6:S3807,S3807,$G$6:G3807,G3807,$D$6:D3807,"Vastgesteld")=1),1,0))</f>
        <v>0</v>
      </c>
      <c r="V3807" s="15">
        <f>IF(T3807="",0,IF(AND(G3807=T3807,COUNTIFS($S$6:S3807,S3807,$G$6:G3807,G3807,$D$6:D3807,"Vastgesteld")&gt;1),1,0))</f>
        <v>0</v>
      </c>
    </row>
    <row r="3808">
      <c r="S3808" s="15" t="str">
        <f>IF(J3808="","",J3808&amp;"|"&amp;E3808&amp;"|"&amp;F3808&amp;"|"&amp;I3808&amp;"|"&amp;O3808)</f>
        <v/>
      </c>
      <c r="T3808" s="15" t="str">
        <f>IF(OR(S3808="",D3808&lt;&gt;"Vastgesteld"),"",_xlfn.MAXIFS($G$6:$G$5005,$S$6:$S$5005,S3808,$D$6:$D$5005,"Vastgesteld"))</f>
        <v/>
      </c>
      <c r="U3808" s="15">
        <f>IF(T3808="",0,IF(AND(G3808=T3808,COUNTIFS($S$6:S3808,S3808,$G$6:G3808,G3808,$D$6:D3808,"Vastgesteld")=1),1,0))</f>
        <v>0</v>
      </c>
      <c r="V3808" s="15">
        <f>IF(T3808="",0,IF(AND(G3808=T3808,COUNTIFS($S$6:S3808,S3808,$G$6:G3808,G3808,$D$6:D3808,"Vastgesteld")&gt;1),1,0))</f>
        <v>0</v>
      </c>
    </row>
    <row r="3809">
      <c r="S3809" s="15" t="str">
        <f>IF(J3809="","",J3809&amp;"|"&amp;E3809&amp;"|"&amp;F3809&amp;"|"&amp;I3809&amp;"|"&amp;O3809)</f>
        <v/>
      </c>
      <c r="T3809" s="15" t="str">
        <f>IF(OR(S3809="",D3809&lt;&gt;"Vastgesteld"),"",_xlfn.MAXIFS($G$6:$G$5005,$S$6:$S$5005,S3809,$D$6:$D$5005,"Vastgesteld"))</f>
        <v/>
      </c>
      <c r="U3809" s="15">
        <f>IF(T3809="",0,IF(AND(G3809=T3809,COUNTIFS($S$6:S3809,S3809,$G$6:G3809,G3809,$D$6:D3809,"Vastgesteld")=1),1,0))</f>
        <v>0</v>
      </c>
      <c r="V3809" s="15">
        <f>IF(T3809="",0,IF(AND(G3809=T3809,COUNTIFS($S$6:S3809,S3809,$G$6:G3809,G3809,$D$6:D3809,"Vastgesteld")&gt;1),1,0))</f>
        <v>0</v>
      </c>
    </row>
    <row r="3810">
      <c r="S3810" s="15" t="str">
        <f>IF(J3810="","",J3810&amp;"|"&amp;E3810&amp;"|"&amp;F3810&amp;"|"&amp;I3810&amp;"|"&amp;O3810)</f>
        <v/>
      </c>
      <c r="T3810" s="15" t="str">
        <f>IF(OR(S3810="",D3810&lt;&gt;"Vastgesteld"),"",_xlfn.MAXIFS($G$6:$G$5005,$S$6:$S$5005,S3810,$D$6:$D$5005,"Vastgesteld"))</f>
        <v/>
      </c>
      <c r="U3810" s="15">
        <f>IF(T3810="",0,IF(AND(G3810=T3810,COUNTIFS($S$6:S3810,S3810,$G$6:G3810,G3810,$D$6:D3810,"Vastgesteld")=1),1,0))</f>
        <v>0</v>
      </c>
      <c r="V3810" s="15">
        <f>IF(T3810="",0,IF(AND(G3810=T3810,COUNTIFS($S$6:S3810,S3810,$G$6:G3810,G3810,$D$6:D3810,"Vastgesteld")&gt;1),1,0))</f>
        <v>0</v>
      </c>
    </row>
    <row r="3811">
      <c r="S3811" s="15" t="str">
        <f>IF(J3811="","",J3811&amp;"|"&amp;E3811&amp;"|"&amp;F3811&amp;"|"&amp;I3811&amp;"|"&amp;O3811)</f>
        <v/>
      </c>
      <c r="T3811" s="15" t="str">
        <f>IF(OR(S3811="",D3811&lt;&gt;"Vastgesteld"),"",_xlfn.MAXIFS($G$6:$G$5005,$S$6:$S$5005,S3811,$D$6:$D$5005,"Vastgesteld"))</f>
        <v/>
      </c>
      <c r="U3811" s="15">
        <f>IF(T3811="",0,IF(AND(G3811=T3811,COUNTIFS($S$6:S3811,S3811,$G$6:G3811,G3811,$D$6:D3811,"Vastgesteld")=1),1,0))</f>
        <v>0</v>
      </c>
      <c r="V3811" s="15">
        <f>IF(T3811="",0,IF(AND(G3811=T3811,COUNTIFS($S$6:S3811,S3811,$G$6:G3811,G3811,$D$6:D3811,"Vastgesteld")&gt;1),1,0))</f>
        <v>0</v>
      </c>
    </row>
    <row r="3812">
      <c r="S3812" s="15" t="str">
        <f>IF(J3812="","",J3812&amp;"|"&amp;E3812&amp;"|"&amp;F3812&amp;"|"&amp;I3812&amp;"|"&amp;O3812)</f>
        <v/>
      </c>
      <c r="T3812" s="15" t="str">
        <f>IF(OR(S3812="",D3812&lt;&gt;"Vastgesteld"),"",_xlfn.MAXIFS($G$6:$G$5005,$S$6:$S$5005,S3812,$D$6:$D$5005,"Vastgesteld"))</f>
        <v/>
      </c>
      <c r="U3812" s="15">
        <f>IF(T3812="",0,IF(AND(G3812=T3812,COUNTIFS($S$6:S3812,S3812,$G$6:G3812,G3812,$D$6:D3812,"Vastgesteld")=1),1,0))</f>
        <v>0</v>
      </c>
      <c r="V3812" s="15">
        <f>IF(T3812="",0,IF(AND(G3812=T3812,COUNTIFS($S$6:S3812,S3812,$G$6:G3812,G3812,$D$6:D3812,"Vastgesteld")&gt;1),1,0))</f>
        <v>0</v>
      </c>
    </row>
    <row r="3813">
      <c r="S3813" s="15" t="str">
        <f>IF(J3813="","",J3813&amp;"|"&amp;E3813&amp;"|"&amp;F3813&amp;"|"&amp;I3813&amp;"|"&amp;O3813)</f>
        <v/>
      </c>
      <c r="T3813" s="15" t="str">
        <f>IF(OR(S3813="",D3813&lt;&gt;"Vastgesteld"),"",_xlfn.MAXIFS($G$6:$G$5005,$S$6:$S$5005,S3813,$D$6:$D$5005,"Vastgesteld"))</f>
        <v/>
      </c>
      <c r="U3813" s="15">
        <f>IF(T3813="",0,IF(AND(G3813=T3813,COUNTIFS($S$6:S3813,S3813,$G$6:G3813,G3813,$D$6:D3813,"Vastgesteld")=1),1,0))</f>
        <v>0</v>
      </c>
      <c r="V3813" s="15">
        <f>IF(T3813="",0,IF(AND(G3813=T3813,COUNTIFS($S$6:S3813,S3813,$G$6:G3813,G3813,$D$6:D3813,"Vastgesteld")&gt;1),1,0))</f>
        <v>0</v>
      </c>
    </row>
    <row r="3814">
      <c r="S3814" s="15" t="str">
        <f>IF(J3814="","",J3814&amp;"|"&amp;E3814&amp;"|"&amp;F3814&amp;"|"&amp;I3814&amp;"|"&amp;O3814)</f>
        <v/>
      </c>
      <c r="T3814" s="15" t="str">
        <f>IF(OR(S3814="",D3814&lt;&gt;"Vastgesteld"),"",_xlfn.MAXIFS($G$6:$G$5005,$S$6:$S$5005,S3814,$D$6:$D$5005,"Vastgesteld"))</f>
        <v/>
      </c>
      <c r="U3814" s="15">
        <f>IF(T3814="",0,IF(AND(G3814=T3814,COUNTIFS($S$6:S3814,S3814,$G$6:G3814,G3814,$D$6:D3814,"Vastgesteld")=1),1,0))</f>
        <v>0</v>
      </c>
      <c r="V3814" s="15">
        <f>IF(T3814="",0,IF(AND(G3814=T3814,COUNTIFS($S$6:S3814,S3814,$G$6:G3814,G3814,$D$6:D3814,"Vastgesteld")&gt;1),1,0))</f>
        <v>0</v>
      </c>
    </row>
    <row r="3815">
      <c r="S3815" s="15" t="str">
        <f>IF(J3815="","",J3815&amp;"|"&amp;E3815&amp;"|"&amp;F3815&amp;"|"&amp;I3815&amp;"|"&amp;O3815)</f>
        <v/>
      </c>
      <c r="T3815" s="15" t="str">
        <f>IF(OR(S3815="",D3815&lt;&gt;"Vastgesteld"),"",_xlfn.MAXIFS($G$6:$G$5005,$S$6:$S$5005,S3815,$D$6:$D$5005,"Vastgesteld"))</f>
        <v/>
      </c>
      <c r="U3815" s="15">
        <f>IF(T3815="",0,IF(AND(G3815=T3815,COUNTIFS($S$6:S3815,S3815,$G$6:G3815,G3815,$D$6:D3815,"Vastgesteld")=1),1,0))</f>
        <v>0</v>
      </c>
      <c r="V3815" s="15">
        <f>IF(T3815="",0,IF(AND(G3815=T3815,COUNTIFS($S$6:S3815,S3815,$G$6:G3815,G3815,$D$6:D3815,"Vastgesteld")&gt;1),1,0))</f>
        <v>0</v>
      </c>
    </row>
    <row r="3816">
      <c r="S3816" s="15" t="str">
        <f>IF(J3816="","",J3816&amp;"|"&amp;E3816&amp;"|"&amp;F3816&amp;"|"&amp;I3816&amp;"|"&amp;O3816)</f>
        <v/>
      </c>
      <c r="T3816" s="15" t="str">
        <f>IF(OR(S3816="",D3816&lt;&gt;"Vastgesteld"),"",_xlfn.MAXIFS($G$6:$G$5005,$S$6:$S$5005,S3816,$D$6:$D$5005,"Vastgesteld"))</f>
        <v/>
      </c>
      <c r="U3816" s="15">
        <f>IF(T3816="",0,IF(AND(G3816=T3816,COUNTIFS($S$6:S3816,S3816,$G$6:G3816,G3816,$D$6:D3816,"Vastgesteld")=1),1,0))</f>
        <v>0</v>
      </c>
      <c r="V3816" s="15">
        <f>IF(T3816="",0,IF(AND(G3816=T3816,COUNTIFS($S$6:S3816,S3816,$G$6:G3816,G3816,$D$6:D3816,"Vastgesteld")&gt;1),1,0))</f>
        <v>0</v>
      </c>
    </row>
    <row r="3817">
      <c r="S3817" s="15" t="str">
        <f>IF(J3817="","",J3817&amp;"|"&amp;E3817&amp;"|"&amp;F3817&amp;"|"&amp;I3817&amp;"|"&amp;O3817)</f>
        <v/>
      </c>
      <c r="T3817" s="15" t="str">
        <f>IF(OR(S3817="",D3817&lt;&gt;"Vastgesteld"),"",_xlfn.MAXIFS($G$6:$G$5005,$S$6:$S$5005,S3817,$D$6:$D$5005,"Vastgesteld"))</f>
        <v/>
      </c>
      <c r="U3817" s="15">
        <f>IF(T3817="",0,IF(AND(G3817=T3817,COUNTIFS($S$6:S3817,S3817,$G$6:G3817,G3817,$D$6:D3817,"Vastgesteld")=1),1,0))</f>
        <v>0</v>
      </c>
      <c r="V3817" s="15">
        <f>IF(T3817="",0,IF(AND(G3817=T3817,COUNTIFS($S$6:S3817,S3817,$G$6:G3817,G3817,$D$6:D3817,"Vastgesteld")&gt;1),1,0))</f>
        <v>0</v>
      </c>
    </row>
    <row r="3818">
      <c r="S3818" s="15" t="str">
        <f>IF(J3818="","",J3818&amp;"|"&amp;E3818&amp;"|"&amp;F3818&amp;"|"&amp;I3818&amp;"|"&amp;O3818)</f>
        <v/>
      </c>
      <c r="T3818" s="15" t="str">
        <f>IF(OR(S3818="",D3818&lt;&gt;"Vastgesteld"),"",_xlfn.MAXIFS($G$6:$G$5005,$S$6:$S$5005,S3818,$D$6:$D$5005,"Vastgesteld"))</f>
        <v/>
      </c>
      <c r="U3818" s="15">
        <f>IF(T3818="",0,IF(AND(G3818=T3818,COUNTIFS($S$6:S3818,S3818,$G$6:G3818,G3818,$D$6:D3818,"Vastgesteld")=1),1,0))</f>
        <v>0</v>
      </c>
      <c r="V3818" s="15">
        <f>IF(T3818="",0,IF(AND(G3818=T3818,COUNTIFS($S$6:S3818,S3818,$G$6:G3818,G3818,$D$6:D3818,"Vastgesteld")&gt;1),1,0))</f>
        <v>0</v>
      </c>
    </row>
    <row r="3819">
      <c r="S3819" s="15" t="str">
        <f>IF(J3819="","",J3819&amp;"|"&amp;E3819&amp;"|"&amp;F3819&amp;"|"&amp;I3819&amp;"|"&amp;O3819)</f>
        <v/>
      </c>
      <c r="T3819" s="15" t="str">
        <f>IF(OR(S3819="",D3819&lt;&gt;"Vastgesteld"),"",_xlfn.MAXIFS($G$6:$G$5005,$S$6:$S$5005,S3819,$D$6:$D$5005,"Vastgesteld"))</f>
        <v/>
      </c>
      <c r="U3819" s="15">
        <f>IF(T3819="",0,IF(AND(G3819=T3819,COUNTIFS($S$6:S3819,S3819,$G$6:G3819,G3819,$D$6:D3819,"Vastgesteld")=1),1,0))</f>
        <v>0</v>
      </c>
      <c r="V3819" s="15">
        <f>IF(T3819="",0,IF(AND(G3819=T3819,COUNTIFS($S$6:S3819,S3819,$G$6:G3819,G3819,$D$6:D3819,"Vastgesteld")&gt;1),1,0))</f>
        <v>0</v>
      </c>
    </row>
    <row r="3820">
      <c r="S3820" s="15" t="str">
        <f>IF(J3820="","",J3820&amp;"|"&amp;E3820&amp;"|"&amp;F3820&amp;"|"&amp;I3820&amp;"|"&amp;O3820)</f>
        <v/>
      </c>
      <c r="T3820" s="15" t="str">
        <f>IF(OR(S3820="",D3820&lt;&gt;"Vastgesteld"),"",_xlfn.MAXIFS($G$6:$G$5005,$S$6:$S$5005,S3820,$D$6:$D$5005,"Vastgesteld"))</f>
        <v/>
      </c>
      <c r="U3820" s="15">
        <f>IF(T3820="",0,IF(AND(G3820=T3820,COUNTIFS($S$6:S3820,S3820,$G$6:G3820,G3820,$D$6:D3820,"Vastgesteld")=1),1,0))</f>
        <v>0</v>
      </c>
      <c r="V3820" s="15">
        <f>IF(T3820="",0,IF(AND(G3820=T3820,COUNTIFS($S$6:S3820,S3820,$G$6:G3820,G3820,$D$6:D3820,"Vastgesteld")&gt;1),1,0))</f>
        <v>0</v>
      </c>
    </row>
    <row r="3821">
      <c r="S3821" s="15" t="str">
        <f>IF(J3821="","",J3821&amp;"|"&amp;E3821&amp;"|"&amp;F3821&amp;"|"&amp;I3821&amp;"|"&amp;O3821)</f>
        <v/>
      </c>
      <c r="T3821" s="15" t="str">
        <f>IF(OR(S3821="",D3821&lt;&gt;"Vastgesteld"),"",_xlfn.MAXIFS($G$6:$G$5005,$S$6:$S$5005,S3821,$D$6:$D$5005,"Vastgesteld"))</f>
        <v/>
      </c>
      <c r="U3821" s="15">
        <f>IF(T3821="",0,IF(AND(G3821=T3821,COUNTIFS($S$6:S3821,S3821,$G$6:G3821,G3821,$D$6:D3821,"Vastgesteld")=1),1,0))</f>
        <v>0</v>
      </c>
      <c r="V3821" s="15">
        <f>IF(T3821="",0,IF(AND(G3821=T3821,COUNTIFS($S$6:S3821,S3821,$G$6:G3821,G3821,$D$6:D3821,"Vastgesteld")&gt;1),1,0))</f>
        <v>0</v>
      </c>
    </row>
    <row r="3822">
      <c r="S3822" s="15" t="str">
        <f>IF(J3822="","",J3822&amp;"|"&amp;E3822&amp;"|"&amp;F3822&amp;"|"&amp;I3822&amp;"|"&amp;O3822)</f>
        <v/>
      </c>
      <c r="T3822" s="15" t="str">
        <f>IF(OR(S3822="",D3822&lt;&gt;"Vastgesteld"),"",_xlfn.MAXIFS($G$6:$G$5005,$S$6:$S$5005,S3822,$D$6:$D$5005,"Vastgesteld"))</f>
        <v/>
      </c>
      <c r="U3822" s="15">
        <f>IF(T3822="",0,IF(AND(G3822=T3822,COUNTIFS($S$6:S3822,S3822,$G$6:G3822,G3822,$D$6:D3822,"Vastgesteld")=1),1,0))</f>
        <v>0</v>
      </c>
      <c r="V3822" s="15">
        <f>IF(T3822="",0,IF(AND(G3822=T3822,COUNTIFS($S$6:S3822,S3822,$G$6:G3822,G3822,$D$6:D3822,"Vastgesteld")&gt;1),1,0))</f>
        <v>0</v>
      </c>
    </row>
    <row r="3823">
      <c r="S3823" s="15" t="str">
        <f>IF(J3823="","",J3823&amp;"|"&amp;E3823&amp;"|"&amp;F3823&amp;"|"&amp;I3823&amp;"|"&amp;O3823)</f>
        <v/>
      </c>
      <c r="T3823" s="15" t="str">
        <f>IF(OR(S3823="",D3823&lt;&gt;"Vastgesteld"),"",_xlfn.MAXIFS($G$6:$G$5005,$S$6:$S$5005,S3823,$D$6:$D$5005,"Vastgesteld"))</f>
        <v/>
      </c>
      <c r="U3823" s="15">
        <f>IF(T3823="",0,IF(AND(G3823=T3823,COUNTIFS($S$6:S3823,S3823,$G$6:G3823,G3823,$D$6:D3823,"Vastgesteld")=1),1,0))</f>
        <v>0</v>
      </c>
      <c r="V3823" s="15">
        <f>IF(T3823="",0,IF(AND(G3823=T3823,COUNTIFS($S$6:S3823,S3823,$G$6:G3823,G3823,$D$6:D3823,"Vastgesteld")&gt;1),1,0))</f>
        <v>0</v>
      </c>
    </row>
    <row r="3824">
      <c r="S3824" s="15" t="str">
        <f>IF(J3824="","",J3824&amp;"|"&amp;E3824&amp;"|"&amp;F3824&amp;"|"&amp;I3824&amp;"|"&amp;O3824)</f>
        <v/>
      </c>
      <c r="T3824" s="15" t="str">
        <f>IF(OR(S3824="",D3824&lt;&gt;"Vastgesteld"),"",_xlfn.MAXIFS($G$6:$G$5005,$S$6:$S$5005,S3824,$D$6:$D$5005,"Vastgesteld"))</f>
        <v/>
      </c>
      <c r="U3824" s="15">
        <f>IF(T3824="",0,IF(AND(G3824=T3824,COUNTIFS($S$6:S3824,S3824,$G$6:G3824,G3824,$D$6:D3824,"Vastgesteld")=1),1,0))</f>
        <v>0</v>
      </c>
      <c r="V3824" s="15">
        <f>IF(T3824="",0,IF(AND(G3824=T3824,COUNTIFS($S$6:S3824,S3824,$G$6:G3824,G3824,$D$6:D3824,"Vastgesteld")&gt;1),1,0))</f>
        <v>0</v>
      </c>
    </row>
    <row r="3825">
      <c r="S3825" s="15" t="str">
        <f>IF(J3825="","",J3825&amp;"|"&amp;E3825&amp;"|"&amp;F3825&amp;"|"&amp;I3825&amp;"|"&amp;O3825)</f>
        <v/>
      </c>
      <c r="T3825" s="15" t="str">
        <f>IF(OR(S3825="",D3825&lt;&gt;"Vastgesteld"),"",_xlfn.MAXIFS($G$6:$G$5005,$S$6:$S$5005,S3825,$D$6:$D$5005,"Vastgesteld"))</f>
        <v/>
      </c>
      <c r="U3825" s="15">
        <f>IF(T3825="",0,IF(AND(G3825=T3825,COUNTIFS($S$6:S3825,S3825,$G$6:G3825,G3825,$D$6:D3825,"Vastgesteld")=1),1,0))</f>
        <v>0</v>
      </c>
      <c r="V3825" s="15">
        <f>IF(T3825="",0,IF(AND(G3825=T3825,COUNTIFS($S$6:S3825,S3825,$G$6:G3825,G3825,$D$6:D3825,"Vastgesteld")&gt;1),1,0))</f>
        <v>0</v>
      </c>
    </row>
    <row r="3826">
      <c r="S3826" s="15" t="str">
        <f>IF(J3826="","",J3826&amp;"|"&amp;E3826&amp;"|"&amp;F3826&amp;"|"&amp;I3826&amp;"|"&amp;O3826)</f>
        <v/>
      </c>
      <c r="T3826" s="15" t="str">
        <f>IF(OR(S3826="",D3826&lt;&gt;"Vastgesteld"),"",_xlfn.MAXIFS($G$6:$G$5005,$S$6:$S$5005,S3826,$D$6:$D$5005,"Vastgesteld"))</f>
        <v/>
      </c>
      <c r="U3826" s="15">
        <f>IF(T3826="",0,IF(AND(G3826=T3826,COUNTIFS($S$6:S3826,S3826,$G$6:G3826,G3826,$D$6:D3826,"Vastgesteld")=1),1,0))</f>
        <v>0</v>
      </c>
      <c r="V3826" s="15">
        <f>IF(T3826="",0,IF(AND(G3826=T3826,COUNTIFS($S$6:S3826,S3826,$G$6:G3826,G3826,$D$6:D3826,"Vastgesteld")&gt;1),1,0))</f>
        <v>0</v>
      </c>
    </row>
    <row r="3827">
      <c r="S3827" s="15" t="str">
        <f>IF(J3827="","",J3827&amp;"|"&amp;E3827&amp;"|"&amp;F3827&amp;"|"&amp;I3827&amp;"|"&amp;O3827)</f>
        <v/>
      </c>
      <c r="T3827" s="15" t="str">
        <f>IF(OR(S3827="",D3827&lt;&gt;"Vastgesteld"),"",_xlfn.MAXIFS($G$6:$G$5005,$S$6:$S$5005,S3827,$D$6:$D$5005,"Vastgesteld"))</f>
        <v/>
      </c>
      <c r="U3827" s="15">
        <f>IF(T3827="",0,IF(AND(G3827=T3827,COUNTIFS($S$6:S3827,S3827,$G$6:G3827,G3827,$D$6:D3827,"Vastgesteld")=1),1,0))</f>
        <v>0</v>
      </c>
      <c r="V3827" s="15">
        <f>IF(T3827="",0,IF(AND(G3827=T3827,COUNTIFS($S$6:S3827,S3827,$G$6:G3827,G3827,$D$6:D3827,"Vastgesteld")&gt;1),1,0))</f>
        <v>0</v>
      </c>
    </row>
    <row r="3828">
      <c r="S3828" s="15" t="str">
        <f>IF(J3828="","",J3828&amp;"|"&amp;E3828&amp;"|"&amp;F3828&amp;"|"&amp;I3828&amp;"|"&amp;O3828)</f>
        <v/>
      </c>
      <c r="T3828" s="15" t="str">
        <f>IF(OR(S3828="",D3828&lt;&gt;"Vastgesteld"),"",_xlfn.MAXIFS($G$6:$G$5005,$S$6:$S$5005,S3828,$D$6:$D$5005,"Vastgesteld"))</f>
        <v/>
      </c>
      <c r="U3828" s="15">
        <f>IF(T3828="",0,IF(AND(G3828=T3828,COUNTIFS($S$6:S3828,S3828,$G$6:G3828,G3828,$D$6:D3828,"Vastgesteld")=1),1,0))</f>
        <v>0</v>
      </c>
      <c r="V3828" s="15">
        <f>IF(T3828="",0,IF(AND(G3828=T3828,COUNTIFS($S$6:S3828,S3828,$G$6:G3828,G3828,$D$6:D3828,"Vastgesteld")&gt;1),1,0))</f>
        <v>0</v>
      </c>
    </row>
    <row r="3829">
      <c r="S3829" s="15" t="str">
        <f>IF(J3829="","",J3829&amp;"|"&amp;E3829&amp;"|"&amp;F3829&amp;"|"&amp;I3829&amp;"|"&amp;O3829)</f>
        <v/>
      </c>
      <c r="T3829" s="15" t="str">
        <f>IF(OR(S3829="",D3829&lt;&gt;"Vastgesteld"),"",_xlfn.MAXIFS($G$6:$G$5005,$S$6:$S$5005,S3829,$D$6:$D$5005,"Vastgesteld"))</f>
        <v/>
      </c>
      <c r="U3829" s="15">
        <f>IF(T3829="",0,IF(AND(G3829=T3829,COUNTIFS($S$6:S3829,S3829,$G$6:G3829,G3829,$D$6:D3829,"Vastgesteld")=1),1,0))</f>
        <v>0</v>
      </c>
      <c r="V3829" s="15">
        <f>IF(T3829="",0,IF(AND(G3829=T3829,COUNTIFS($S$6:S3829,S3829,$G$6:G3829,G3829,$D$6:D3829,"Vastgesteld")&gt;1),1,0))</f>
        <v>0</v>
      </c>
    </row>
    <row r="3830">
      <c r="S3830" s="15" t="str">
        <f>IF(J3830="","",J3830&amp;"|"&amp;E3830&amp;"|"&amp;F3830&amp;"|"&amp;I3830&amp;"|"&amp;O3830)</f>
        <v/>
      </c>
      <c r="T3830" s="15" t="str">
        <f>IF(OR(S3830="",D3830&lt;&gt;"Vastgesteld"),"",_xlfn.MAXIFS($G$6:$G$5005,$S$6:$S$5005,S3830,$D$6:$D$5005,"Vastgesteld"))</f>
        <v/>
      </c>
      <c r="U3830" s="15">
        <f>IF(T3830="",0,IF(AND(G3830=T3830,COUNTIFS($S$6:S3830,S3830,$G$6:G3830,G3830,$D$6:D3830,"Vastgesteld")=1),1,0))</f>
        <v>0</v>
      </c>
      <c r="V3830" s="15">
        <f>IF(T3830="",0,IF(AND(G3830=T3830,COUNTIFS($S$6:S3830,S3830,$G$6:G3830,G3830,$D$6:D3830,"Vastgesteld")&gt;1),1,0))</f>
        <v>0</v>
      </c>
    </row>
    <row r="3831">
      <c r="S3831" s="15" t="str">
        <f>IF(J3831="","",J3831&amp;"|"&amp;E3831&amp;"|"&amp;F3831&amp;"|"&amp;I3831&amp;"|"&amp;O3831)</f>
        <v/>
      </c>
      <c r="T3831" s="15" t="str">
        <f>IF(OR(S3831="",D3831&lt;&gt;"Vastgesteld"),"",_xlfn.MAXIFS($G$6:$G$5005,$S$6:$S$5005,S3831,$D$6:$D$5005,"Vastgesteld"))</f>
        <v/>
      </c>
      <c r="U3831" s="15">
        <f>IF(T3831="",0,IF(AND(G3831=T3831,COUNTIFS($S$6:S3831,S3831,$G$6:G3831,G3831,$D$6:D3831,"Vastgesteld")=1),1,0))</f>
        <v>0</v>
      </c>
      <c r="V3831" s="15">
        <f>IF(T3831="",0,IF(AND(G3831=T3831,COUNTIFS($S$6:S3831,S3831,$G$6:G3831,G3831,$D$6:D3831,"Vastgesteld")&gt;1),1,0))</f>
        <v>0</v>
      </c>
    </row>
    <row r="3832">
      <c r="S3832" s="15" t="str">
        <f>IF(J3832="","",J3832&amp;"|"&amp;E3832&amp;"|"&amp;F3832&amp;"|"&amp;I3832&amp;"|"&amp;O3832)</f>
        <v/>
      </c>
      <c r="T3832" s="15" t="str">
        <f>IF(OR(S3832="",D3832&lt;&gt;"Vastgesteld"),"",_xlfn.MAXIFS($G$6:$G$5005,$S$6:$S$5005,S3832,$D$6:$D$5005,"Vastgesteld"))</f>
        <v/>
      </c>
      <c r="U3832" s="15">
        <f>IF(T3832="",0,IF(AND(G3832=T3832,COUNTIFS($S$6:S3832,S3832,$G$6:G3832,G3832,$D$6:D3832,"Vastgesteld")=1),1,0))</f>
        <v>0</v>
      </c>
      <c r="V3832" s="15">
        <f>IF(T3832="",0,IF(AND(G3832=T3832,COUNTIFS($S$6:S3832,S3832,$G$6:G3832,G3832,$D$6:D3832,"Vastgesteld")&gt;1),1,0))</f>
        <v>0</v>
      </c>
    </row>
    <row r="3833">
      <c r="S3833" s="15" t="str">
        <f>IF(J3833="","",J3833&amp;"|"&amp;E3833&amp;"|"&amp;F3833&amp;"|"&amp;I3833&amp;"|"&amp;O3833)</f>
        <v/>
      </c>
      <c r="T3833" s="15" t="str">
        <f>IF(OR(S3833="",D3833&lt;&gt;"Vastgesteld"),"",_xlfn.MAXIFS($G$6:$G$5005,$S$6:$S$5005,S3833,$D$6:$D$5005,"Vastgesteld"))</f>
        <v/>
      </c>
      <c r="U3833" s="15">
        <f>IF(T3833="",0,IF(AND(G3833=T3833,COUNTIFS($S$6:S3833,S3833,$G$6:G3833,G3833,$D$6:D3833,"Vastgesteld")=1),1,0))</f>
        <v>0</v>
      </c>
      <c r="V3833" s="15">
        <f>IF(T3833="",0,IF(AND(G3833=T3833,COUNTIFS($S$6:S3833,S3833,$G$6:G3833,G3833,$D$6:D3833,"Vastgesteld")&gt;1),1,0))</f>
        <v>0</v>
      </c>
    </row>
    <row r="3834">
      <c r="S3834" s="15" t="str">
        <f>IF(J3834="","",J3834&amp;"|"&amp;E3834&amp;"|"&amp;F3834&amp;"|"&amp;I3834&amp;"|"&amp;O3834)</f>
        <v/>
      </c>
      <c r="T3834" s="15" t="str">
        <f>IF(OR(S3834="",D3834&lt;&gt;"Vastgesteld"),"",_xlfn.MAXIFS($G$6:$G$5005,$S$6:$S$5005,S3834,$D$6:$D$5005,"Vastgesteld"))</f>
        <v/>
      </c>
      <c r="U3834" s="15">
        <f>IF(T3834="",0,IF(AND(G3834=T3834,COUNTIFS($S$6:S3834,S3834,$G$6:G3834,G3834,$D$6:D3834,"Vastgesteld")=1),1,0))</f>
        <v>0</v>
      </c>
      <c r="V3834" s="15">
        <f>IF(T3834="",0,IF(AND(G3834=T3834,COUNTIFS($S$6:S3834,S3834,$G$6:G3834,G3834,$D$6:D3834,"Vastgesteld")&gt;1),1,0))</f>
        <v>0</v>
      </c>
    </row>
    <row r="3835">
      <c r="S3835" s="15" t="str">
        <f>IF(J3835="","",J3835&amp;"|"&amp;E3835&amp;"|"&amp;F3835&amp;"|"&amp;I3835&amp;"|"&amp;O3835)</f>
        <v/>
      </c>
      <c r="T3835" s="15" t="str">
        <f>IF(OR(S3835="",D3835&lt;&gt;"Vastgesteld"),"",_xlfn.MAXIFS($G$6:$G$5005,$S$6:$S$5005,S3835,$D$6:$D$5005,"Vastgesteld"))</f>
        <v/>
      </c>
      <c r="U3835" s="15">
        <f>IF(T3835="",0,IF(AND(G3835=T3835,COUNTIFS($S$6:S3835,S3835,$G$6:G3835,G3835,$D$6:D3835,"Vastgesteld")=1),1,0))</f>
        <v>0</v>
      </c>
      <c r="V3835" s="15">
        <f>IF(T3835="",0,IF(AND(G3835=T3835,COUNTIFS($S$6:S3835,S3835,$G$6:G3835,G3835,$D$6:D3835,"Vastgesteld")&gt;1),1,0))</f>
        <v>0</v>
      </c>
    </row>
    <row r="3836">
      <c r="S3836" s="15" t="str">
        <f>IF(J3836="","",J3836&amp;"|"&amp;E3836&amp;"|"&amp;F3836&amp;"|"&amp;I3836&amp;"|"&amp;O3836)</f>
        <v/>
      </c>
      <c r="T3836" s="15" t="str">
        <f>IF(OR(S3836="",D3836&lt;&gt;"Vastgesteld"),"",_xlfn.MAXIFS($G$6:$G$5005,$S$6:$S$5005,S3836,$D$6:$D$5005,"Vastgesteld"))</f>
        <v/>
      </c>
      <c r="U3836" s="15">
        <f>IF(T3836="",0,IF(AND(G3836=T3836,COUNTIFS($S$6:S3836,S3836,$G$6:G3836,G3836,$D$6:D3836,"Vastgesteld")=1),1,0))</f>
        <v>0</v>
      </c>
      <c r="V3836" s="15">
        <f>IF(T3836="",0,IF(AND(G3836=T3836,COUNTIFS($S$6:S3836,S3836,$G$6:G3836,G3836,$D$6:D3836,"Vastgesteld")&gt;1),1,0))</f>
        <v>0</v>
      </c>
    </row>
    <row r="3837">
      <c r="S3837" s="15" t="str">
        <f>IF(J3837="","",J3837&amp;"|"&amp;E3837&amp;"|"&amp;F3837&amp;"|"&amp;I3837&amp;"|"&amp;O3837)</f>
        <v/>
      </c>
      <c r="T3837" s="15" t="str">
        <f>IF(OR(S3837="",D3837&lt;&gt;"Vastgesteld"),"",_xlfn.MAXIFS($G$6:$G$5005,$S$6:$S$5005,S3837,$D$6:$D$5005,"Vastgesteld"))</f>
        <v/>
      </c>
      <c r="U3837" s="15">
        <f>IF(T3837="",0,IF(AND(G3837=T3837,COUNTIFS($S$6:S3837,S3837,$G$6:G3837,G3837,$D$6:D3837,"Vastgesteld")=1),1,0))</f>
        <v>0</v>
      </c>
      <c r="V3837" s="15">
        <f>IF(T3837="",0,IF(AND(G3837=T3837,COUNTIFS($S$6:S3837,S3837,$G$6:G3837,G3837,$D$6:D3837,"Vastgesteld")&gt;1),1,0))</f>
        <v>0</v>
      </c>
    </row>
    <row r="3838">
      <c r="S3838" s="15" t="str">
        <f>IF(J3838="","",J3838&amp;"|"&amp;E3838&amp;"|"&amp;F3838&amp;"|"&amp;I3838&amp;"|"&amp;O3838)</f>
        <v/>
      </c>
      <c r="T3838" s="15" t="str">
        <f>IF(OR(S3838="",D3838&lt;&gt;"Vastgesteld"),"",_xlfn.MAXIFS($G$6:$G$5005,$S$6:$S$5005,S3838,$D$6:$D$5005,"Vastgesteld"))</f>
        <v/>
      </c>
      <c r="U3838" s="15">
        <f>IF(T3838="",0,IF(AND(G3838=T3838,COUNTIFS($S$6:S3838,S3838,$G$6:G3838,G3838,$D$6:D3838,"Vastgesteld")=1),1,0))</f>
        <v>0</v>
      </c>
      <c r="V3838" s="15">
        <f>IF(T3838="",0,IF(AND(G3838=T3838,COUNTIFS($S$6:S3838,S3838,$G$6:G3838,G3838,$D$6:D3838,"Vastgesteld")&gt;1),1,0))</f>
        <v>0</v>
      </c>
    </row>
    <row r="3839">
      <c r="S3839" s="15" t="str">
        <f>IF(J3839="","",J3839&amp;"|"&amp;E3839&amp;"|"&amp;F3839&amp;"|"&amp;I3839&amp;"|"&amp;O3839)</f>
        <v/>
      </c>
      <c r="T3839" s="15" t="str">
        <f>IF(OR(S3839="",D3839&lt;&gt;"Vastgesteld"),"",_xlfn.MAXIFS($G$6:$G$5005,$S$6:$S$5005,S3839,$D$6:$D$5005,"Vastgesteld"))</f>
        <v/>
      </c>
      <c r="U3839" s="15">
        <f>IF(T3839="",0,IF(AND(G3839=T3839,COUNTIFS($S$6:S3839,S3839,$G$6:G3839,G3839,$D$6:D3839,"Vastgesteld")=1),1,0))</f>
        <v>0</v>
      </c>
      <c r="V3839" s="15">
        <f>IF(T3839="",0,IF(AND(G3839=T3839,COUNTIFS($S$6:S3839,S3839,$G$6:G3839,G3839,$D$6:D3839,"Vastgesteld")&gt;1),1,0))</f>
        <v>0</v>
      </c>
    </row>
    <row r="3840">
      <c r="S3840" s="15" t="str">
        <f>IF(J3840="","",J3840&amp;"|"&amp;E3840&amp;"|"&amp;F3840&amp;"|"&amp;I3840&amp;"|"&amp;O3840)</f>
        <v/>
      </c>
      <c r="T3840" s="15" t="str">
        <f>IF(OR(S3840="",D3840&lt;&gt;"Vastgesteld"),"",_xlfn.MAXIFS($G$6:$G$5005,$S$6:$S$5005,S3840,$D$6:$D$5005,"Vastgesteld"))</f>
        <v/>
      </c>
      <c r="U3840" s="15">
        <f>IF(T3840="",0,IF(AND(G3840=T3840,COUNTIFS($S$6:S3840,S3840,$G$6:G3840,G3840,$D$6:D3840,"Vastgesteld")=1),1,0))</f>
        <v>0</v>
      </c>
      <c r="V3840" s="15">
        <f>IF(T3840="",0,IF(AND(G3840=T3840,COUNTIFS($S$6:S3840,S3840,$G$6:G3840,G3840,$D$6:D3840,"Vastgesteld")&gt;1),1,0))</f>
        <v>0</v>
      </c>
    </row>
    <row r="3841">
      <c r="S3841" s="15" t="str">
        <f>IF(J3841="","",J3841&amp;"|"&amp;E3841&amp;"|"&amp;F3841&amp;"|"&amp;I3841&amp;"|"&amp;O3841)</f>
        <v/>
      </c>
      <c r="T3841" s="15" t="str">
        <f>IF(OR(S3841="",D3841&lt;&gt;"Vastgesteld"),"",_xlfn.MAXIFS($G$6:$G$5005,$S$6:$S$5005,S3841,$D$6:$D$5005,"Vastgesteld"))</f>
        <v/>
      </c>
      <c r="U3841" s="15">
        <f>IF(T3841="",0,IF(AND(G3841=T3841,COUNTIFS($S$6:S3841,S3841,$G$6:G3841,G3841,$D$6:D3841,"Vastgesteld")=1),1,0))</f>
        <v>0</v>
      </c>
      <c r="V3841" s="15">
        <f>IF(T3841="",0,IF(AND(G3841=T3841,COUNTIFS($S$6:S3841,S3841,$G$6:G3841,G3841,$D$6:D3841,"Vastgesteld")&gt;1),1,0))</f>
        <v>0</v>
      </c>
    </row>
    <row r="3842">
      <c r="S3842" s="15" t="str">
        <f>IF(J3842="","",J3842&amp;"|"&amp;E3842&amp;"|"&amp;F3842&amp;"|"&amp;I3842&amp;"|"&amp;O3842)</f>
        <v/>
      </c>
      <c r="T3842" s="15" t="str">
        <f>IF(OR(S3842="",D3842&lt;&gt;"Vastgesteld"),"",_xlfn.MAXIFS($G$6:$G$5005,$S$6:$S$5005,S3842,$D$6:$D$5005,"Vastgesteld"))</f>
        <v/>
      </c>
      <c r="U3842" s="15">
        <f>IF(T3842="",0,IF(AND(G3842=T3842,COUNTIFS($S$6:S3842,S3842,$G$6:G3842,G3842,$D$6:D3842,"Vastgesteld")=1),1,0))</f>
        <v>0</v>
      </c>
      <c r="V3842" s="15">
        <f>IF(T3842="",0,IF(AND(G3842=T3842,COUNTIFS($S$6:S3842,S3842,$G$6:G3842,G3842,$D$6:D3842,"Vastgesteld")&gt;1),1,0))</f>
        <v>0</v>
      </c>
    </row>
    <row r="3843">
      <c r="S3843" s="15" t="str">
        <f>IF(J3843="","",J3843&amp;"|"&amp;E3843&amp;"|"&amp;F3843&amp;"|"&amp;I3843&amp;"|"&amp;O3843)</f>
        <v/>
      </c>
      <c r="T3843" s="15" t="str">
        <f>IF(OR(S3843="",D3843&lt;&gt;"Vastgesteld"),"",_xlfn.MAXIFS($G$6:$G$5005,$S$6:$S$5005,S3843,$D$6:$D$5005,"Vastgesteld"))</f>
        <v/>
      </c>
      <c r="U3843" s="15">
        <f>IF(T3843="",0,IF(AND(G3843=T3843,COUNTIFS($S$6:S3843,S3843,$G$6:G3843,G3843,$D$6:D3843,"Vastgesteld")=1),1,0))</f>
        <v>0</v>
      </c>
      <c r="V3843" s="15">
        <f>IF(T3843="",0,IF(AND(G3843=T3843,COUNTIFS($S$6:S3843,S3843,$G$6:G3843,G3843,$D$6:D3843,"Vastgesteld")&gt;1),1,0))</f>
        <v>0</v>
      </c>
    </row>
    <row r="3844">
      <c r="S3844" s="15" t="str">
        <f>IF(J3844="","",J3844&amp;"|"&amp;E3844&amp;"|"&amp;F3844&amp;"|"&amp;I3844&amp;"|"&amp;O3844)</f>
        <v/>
      </c>
      <c r="T3844" s="15" t="str">
        <f>IF(OR(S3844="",D3844&lt;&gt;"Vastgesteld"),"",_xlfn.MAXIFS($G$6:$G$5005,$S$6:$S$5005,S3844,$D$6:$D$5005,"Vastgesteld"))</f>
        <v/>
      </c>
      <c r="U3844" s="15">
        <f>IF(T3844="",0,IF(AND(G3844=T3844,COUNTIFS($S$6:S3844,S3844,$G$6:G3844,G3844,$D$6:D3844,"Vastgesteld")=1),1,0))</f>
        <v>0</v>
      </c>
      <c r="V3844" s="15">
        <f>IF(T3844="",0,IF(AND(G3844=T3844,COUNTIFS($S$6:S3844,S3844,$G$6:G3844,G3844,$D$6:D3844,"Vastgesteld")&gt;1),1,0))</f>
        <v>0</v>
      </c>
    </row>
    <row r="3845">
      <c r="S3845" s="15" t="str">
        <f>IF(J3845="","",J3845&amp;"|"&amp;E3845&amp;"|"&amp;F3845&amp;"|"&amp;I3845&amp;"|"&amp;O3845)</f>
        <v/>
      </c>
      <c r="T3845" s="15" t="str">
        <f>IF(OR(S3845="",D3845&lt;&gt;"Vastgesteld"),"",_xlfn.MAXIFS($G$6:$G$5005,$S$6:$S$5005,S3845,$D$6:$D$5005,"Vastgesteld"))</f>
        <v/>
      </c>
      <c r="U3845" s="15">
        <f>IF(T3845="",0,IF(AND(G3845=T3845,COUNTIFS($S$6:S3845,S3845,$G$6:G3845,G3845,$D$6:D3845,"Vastgesteld")=1),1,0))</f>
        <v>0</v>
      </c>
      <c r="V3845" s="15">
        <f>IF(T3845="",0,IF(AND(G3845=T3845,COUNTIFS($S$6:S3845,S3845,$G$6:G3845,G3845,$D$6:D3845,"Vastgesteld")&gt;1),1,0))</f>
        <v>0</v>
      </c>
    </row>
    <row r="3846">
      <c r="S3846" s="15" t="str">
        <f>IF(J3846="","",J3846&amp;"|"&amp;E3846&amp;"|"&amp;F3846&amp;"|"&amp;I3846&amp;"|"&amp;O3846)</f>
        <v/>
      </c>
      <c r="T3846" s="15" t="str">
        <f>IF(OR(S3846="",D3846&lt;&gt;"Vastgesteld"),"",_xlfn.MAXIFS($G$6:$G$5005,$S$6:$S$5005,S3846,$D$6:$D$5005,"Vastgesteld"))</f>
        <v/>
      </c>
      <c r="U3846" s="15">
        <f>IF(T3846="",0,IF(AND(G3846=T3846,COUNTIFS($S$6:S3846,S3846,$G$6:G3846,G3846,$D$6:D3846,"Vastgesteld")=1),1,0))</f>
        <v>0</v>
      </c>
      <c r="V3846" s="15">
        <f>IF(T3846="",0,IF(AND(G3846=T3846,COUNTIFS($S$6:S3846,S3846,$G$6:G3846,G3846,$D$6:D3846,"Vastgesteld")&gt;1),1,0))</f>
        <v>0</v>
      </c>
    </row>
    <row r="3847">
      <c r="S3847" s="15" t="str">
        <f>IF(J3847="","",J3847&amp;"|"&amp;E3847&amp;"|"&amp;F3847&amp;"|"&amp;I3847&amp;"|"&amp;O3847)</f>
        <v/>
      </c>
      <c r="T3847" s="15" t="str">
        <f>IF(OR(S3847="",D3847&lt;&gt;"Vastgesteld"),"",_xlfn.MAXIFS($G$6:$G$5005,$S$6:$S$5005,S3847,$D$6:$D$5005,"Vastgesteld"))</f>
        <v/>
      </c>
      <c r="U3847" s="15">
        <f>IF(T3847="",0,IF(AND(G3847=T3847,COUNTIFS($S$6:S3847,S3847,$G$6:G3847,G3847,$D$6:D3847,"Vastgesteld")=1),1,0))</f>
        <v>0</v>
      </c>
      <c r="V3847" s="15">
        <f>IF(T3847="",0,IF(AND(G3847=T3847,COUNTIFS($S$6:S3847,S3847,$G$6:G3847,G3847,$D$6:D3847,"Vastgesteld")&gt;1),1,0))</f>
        <v>0</v>
      </c>
    </row>
    <row r="3848">
      <c r="S3848" s="15" t="str">
        <f>IF(J3848="","",J3848&amp;"|"&amp;E3848&amp;"|"&amp;F3848&amp;"|"&amp;I3848&amp;"|"&amp;O3848)</f>
        <v/>
      </c>
      <c r="T3848" s="15" t="str">
        <f>IF(OR(S3848="",D3848&lt;&gt;"Vastgesteld"),"",_xlfn.MAXIFS($G$6:$G$5005,$S$6:$S$5005,S3848,$D$6:$D$5005,"Vastgesteld"))</f>
        <v/>
      </c>
      <c r="U3848" s="15">
        <f>IF(T3848="",0,IF(AND(G3848=T3848,COUNTIFS($S$6:S3848,S3848,$G$6:G3848,G3848,$D$6:D3848,"Vastgesteld")=1),1,0))</f>
        <v>0</v>
      </c>
      <c r="V3848" s="15">
        <f>IF(T3848="",0,IF(AND(G3848=T3848,COUNTIFS($S$6:S3848,S3848,$G$6:G3848,G3848,$D$6:D3848,"Vastgesteld")&gt;1),1,0))</f>
        <v>0</v>
      </c>
    </row>
    <row r="3849">
      <c r="S3849" s="15" t="str">
        <f>IF(J3849="","",J3849&amp;"|"&amp;E3849&amp;"|"&amp;F3849&amp;"|"&amp;I3849&amp;"|"&amp;O3849)</f>
        <v/>
      </c>
      <c r="T3849" s="15" t="str">
        <f>IF(OR(S3849="",D3849&lt;&gt;"Vastgesteld"),"",_xlfn.MAXIFS($G$6:$G$5005,$S$6:$S$5005,S3849,$D$6:$D$5005,"Vastgesteld"))</f>
        <v/>
      </c>
      <c r="U3849" s="15">
        <f>IF(T3849="",0,IF(AND(G3849=T3849,COUNTIFS($S$6:S3849,S3849,$G$6:G3849,G3849,$D$6:D3849,"Vastgesteld")=1),1,0))</f>
        <v>0</v>
      </c>
      <c r="V3849" s="15">
        <f>IF(T3849="",0,IF(AND(G3849=T3849,COUNTIFS($S$6:S3849,S3849,$G$6:G3849,G3849,$D$6:D3849,"Vastgesteld")&gt;1),1,0))</f>
        <v>0</v>
      </c>
    </row>
    <row r="3850">
      <c r="S3850" s="15" t="str">
        <f>IF(J3850="","",J3850&amp;"|"&amp;E3850&amp;"|"&amp;F3850&amp;"|"&amp;I3850&amp;"|"&amp;O3850)</f>
        <v/>
      </c>
      <c r="T3850" s="15" t="str">
        <f>IF(OR(S3850="",D3850&lt;&gt;"Vastgesteld"),"",_xlfn.MAXIFS($G$6:$G$5005,$S$6:$S$5005,S3850,$D$6:$D$5005,"Vastgesteld"))</f>
        <v/>
      </c>
      <c r="U3850" s="15">
        <f>IF(T3850="",0,IF(AND(G3850=T3850,COUNTIFS($S$6:S3850,S3850,$G$6:G3850,G3850,$D$6:D3850,"Vastgesteld")=1),1,0))</f>
        <v>0</v>
      </c>
      <c r="V3850" s="15">
        <f>IF(T3850="",0,IF(AND(G3850=T3850,COUNTIFS($S$6:S3850,S3850,$G$6:G3850,G3850,$D$6:D3850,"Vastgesteld")&gt;1),1,0))</f>
        <v>0</v>
      </c>
    </row>
    <row r="3851">
      <c r="S3851" s="15" t="str">
        <f>IF(J3851="","",J3851&amp;"|"&amp;E3851&amp;"|"&amp;F3851&amp;"|"&amp;I3851&amp;"|"&amp;O3851)</f>
        <v/>
      </c>
      <c r="T3851" s="15" t="str">
        <f>IF(OR(S3851="",D3851&lt;&gt;"Vastgesteld"),"",_xlfn.MAXIFS($G$6:$G$5005,$S$6:$S$5005,S3851,$D$6:$D$5005,"Vastgesteld"))</f>
        <v/>
      </c>
      <c r="U3851" s="15">
        <f>IF(T3851="",0,IF(AND(G3851=T3851,COUNTIFS($S$6:S3851,S3851,$G$6:G3851,G3851,$D$6:D3851,"Vastgesteld")=1),1,0))</f>
        <v>0</v>
      </c>
      <c r="V3851" s="15">
        <f>IF(T3851="",0,IF(AND(G3851=T3851,COUNTIFS($S$6:S3851,S3851,$G$6:G3851,G3851,$D$6:D3851,"Vastgesteld")&gt;1),1,0))</f>
        <v>0</v>
      </c>
    </row>
    <row r="3852">
      <c r="S3852" s="15" t="str">
        <f>IF(J3852="","",J3852&amp;"|"&amp;E3852&amp;"|"&amp;F3852&amp;"|"&amp;I3852&amp;"|"&amp;O3852)</f>
        <v/>
      </c>
      <c r="T3852" s="15" t="str">
        <f>IF(OR(S3852="",D3852&lt;&gt;"Vastgesteld"),"",_xlfn.MAXIFS($G$6:$G$5005,$S$6:$S$5005,S3852,$D$6:$D$5005,"Vastgesteld"))</f>
        <v/>
      </c>
      <c r="U3852" s="15">
        <f>IF(T3852="",0,IF(AND(G3852=T3852,COUNTIFS($S$6:S3852,S3852,$G$6:G3852,G3852,$D$6:D3852,"Vastgesteld")=1),1,0))</f>
        <v>0</v>
      </c>
      <c r="V3852" s="15">
        <f>IF(T3852="",0,IF(AND(G3852=T3852,COUNTIFS($S$6:S3852,S3852,$G$6:G3852,G3852,$D$6:D3852,"Vastgesteld")&gt;1),1,0))</f>
        <v>0</v>
      </c>
    </row>
    <row r="3853">
      <c r="S3853" s="15" t="str">
        <f>IF(J3853="","",J3853&amp;"|"&amp;E3853&amp;"|"&amp;F3853&amp;"|"&amp;I3853&amp;"|"&amp;O3853)</f>
        <v/>
      </c>
      <c r="T3853" s="15" t="str">
        <f>IF(OR(S3853="",D3853&lt;&gt;"Vastgesteld"),"",_xlfn.MAXIFS($G$6:$G$5005,$S$6:$S$5005,S3853,$D$6:$D$5005,"Vastgesteld"))</f>
        <v/>
      </c>
      <c r="U3853" s="15">
        <f>IF(T3853="",0,IF(AND(G3853=T3853,COUNTIFS($S$6:S3853,S3853,$G$6:G3853,G3853,$D$6:D3853,"Vastgesteld")=1),1,0))</f>
        <v>0</v>
      </c>
      <c r="V3853" s="15">
        <f>IF(T3853="",0,IF(AND(G3853=T3853,COUNTIFS($S$6:S3853,S3853,$G$6:G3853,G3853,$D$6:D3853,"Vastgesteld")&gt;1),1,0))</f>
        <v>0</v>
      </c>
    </row>
    <row r="3854">
      <c r="S3854" s="15" t="str">
        <f>IF(J3854="","",J3854&amp;"|"&amp;E3854&amp;"|"&amp;F3854&amp;"|"&amp;I3854&amp;"|"&amp;O3854)</f>
        <v/>
      </c>
      <c r="T3854" s="15" t="str">
        <f>IF(OR(S3854="",D3854&lt;&gt;"Vastgesteld"),"",_xlfn.MAXIFS($G$6:$G$5005,$S$6:$S$5005,S3854,$D$6:$D$5005,"Vastgesteld"))</f>
        <v/>
      </c>
      <c r="U3854" s="15">
        <f>IF(T3854="",0,IF(AND(G3854=T3854,COUNTIFS($S$6:S3854,S3854,$G$6:G3854,G3854,$D$6:D3854,"Vastgesteld")=1),1,0))</f>
        <v>0</v>
      </c>
      <c r="V3854" s="15">
        <f>IF(T3854="",0,IF(AND(G3854=T3854,COUNTIFS($S$6:S3854,S3854,$G$6:G3854,G3854,$D$6:D3854,"Vastgesteld")&gt;1),1,0))</f>
        <v>0</v>
      </c>
    </row>
    <row r="3855">
      <c r="S3855" s="15" t="str">
        <f>IF(J3855="","",J3855&amp;"|"&amp;E3855&amp;"|"&amp;F3855&amp;"|"&amp;I3855&amp;"|"&amp;O3855)</f>
        <v/>
      </c>
      <c r="T3855" s="15" t="str">
        <f>IF(OR(S3855="",D3855&lt;&gt;"Vastgesteld"),"",_xlfn.MAXIFS($G$6:$G$5005,$S$6:$S$5005,S3855,$D$6:$D$5005,"Vastgesteld"))</f>
        <v/>
      </c>
      <c r="U3855" s="15">
        <f>IF(T3855="",0,IF(AND(G3855=T3855,COUNTIFS($S$6:S3855,S3855,$G$6:G3855,G3855,$D$6:D3855,"Vastgesteld")=1),1,0))</f>
        <v>0</v>
      </c>
      <c r="V3855" s="15">
        <f>IF(T3855="",0,IF(AND(G3855=T3855,COUNTIFS($S$6:S3855,S3855,$G$6:G3855,G3855,$D$6:D3855,"Vastgesteld")&gt;1),1,0))</f>
        <v>0</v>
      </c>
    </row>
    <row r="3856">
      <c r="S3856" s="15" t="str">
        <f>IF(J3856="","",J3856&amp;"|"&amp;E3856&amp;"|"&amp;F3856&amp;"|"&amp;I3856&amp;"|"&amp;O3856)</f>
        <v/>
      </c>
      <c r="T3856" s="15" t="str">
        <f>IF(OR(S3856="",D3856&lt;&gt;"Vastgesteld"),"",_xlfn.MAXIFS($G$6:$G$5005,$S$6:$S$5005,S3856,$D$6:$D$5005,"Vastgesteld"))</f>
        <v/>
      </c>
      <c r="U3856" s="15">
        <f>IF(T3856="",0,IF(AND(G3856=T3856,COUNTIFS($S$6:S3856,S3856,$G$6:G3856,G3856,$D$6:D3856,"Vastgesteld")=1),1,0))</f>
        <v>0</v>
      </c>
      <c r="V3856" s="15">
        <f>IF(T3856="",0,IF(AND(G3856=T3856,COUNTIFS($S$6:S3856,S3856,$G$6:G3856,G3856,$D$6:D3856,"Vastgesteld")&gt;1),1,0))</f>
        <v>0</v>
      </c>
    </row>
    <row r="3857">
      <c r="S3857" s="15" t="str">
        <f>IF(J3857="","",J3857&amp;"|"&amp;E3857&amp;"|"&amp;F3857&amp;"|"&amp;I3857&amp;"|"&amp;O3857)</f>
        <v/>
      </c>
      <c r="T3857" s="15" t="str">
        <f>IF(OR(S3857="",D3857&lt;&gt;"Vastgesteld"),"",_xlfn.MAXIFS($G$6:$G$5005,$S$6:$S$5005,S3857,$D$6:$D$5005,"Vastgesteld"))</f>
        <v/>
      </c>
      <c r="U3857" s="15">
        <f>IF(T3857="",0,IF(AND(G3857=T3857,COUNTIFS($S$6:S3857,S3857,$G$6:G3857,G3857,$D$6:D3857,"Vastgesteld")=1),1,0))</f>
        <v>0</v>
      </c>
      <c r="V3857" s="15">
        <f>IF(T3857="",0,IF(AND(G3857=T3857,COUNTIFS($S$6:S3857,S3857,$G$6:G3857,G3857,$D$6:D3857,"Vastgesteld")&gt;1),1,0))</f>
        <v>0</v>
      </c>
    </row>
    <row r="3858">
      <c r="S3858" s="15" t="str">
        <f>IF(J3858="","",J3858&amp;"|"&amp;E3858&amp;"|"&amp;F3858&amp;"|"&amp;I3858&amp;"|"&amp;O3858)</f>
        <v/>
      </c>
      <c r="T3858" s="15" t="str">
        <f>IF(OR(S3858="",D3858&lt;&gt;"Vastgesteld"),"",_xlfn.MAXIFS($G$6:$G$5005,$S$6:$S$5005,S3858,$D$6:$D$5005,"Vastgesteld"))</f>
        <v/>
      </c>
      <c r="U3858" s="15">
        <f>IF(T3858="",0,IF(AND(G3858=T3858,COUNTIFS($S$6:S3858,S3858,$G$6:G3858,G3858,$D$6:D3858,"Vastgesteld")=1),1,0))</f>
        <v>0</v>
      </c>
      <c r="V3858" s="15">
        <f>IF(T3858="",0,IF(AND(G3858=T3858,COUNTIFS($S$6:S3858,S3858,$G$6:G3858,G3858,$D$6:D3858,"Vastgesteld")&gt;1),1,0))</f>
        <v>0</v>
      </c>
    </row>
    <row r="3859">
      <c r="S3859" s="15" t="str">
        <f>IF(J3859="","",J3859&amp;"|"&amp;E3859&amp;"|"&amp;F3859&amp;"|"&amp;I3859&amp;"|"&amp;O3859)</f>
        <v/>
      </c>
      <c r="T3859" s="15" t="str">
        <f>IF(OR(S3859="",D3859&lt;&gt;"Vastgesteld"),"",_xlfn.MAXIFS($G$6:$G$5005,$S$6:$S$5005,S3859,$D$6:$D$5005,"Vastgesteld"))</f>
        <v/>
      </c>
      <c r="U3859" s="15">
        <f>IF(T3859="",0,IF(AND(G3859=T3859,COUNTIFS($S$6:S3859,S3859,$G$6:G3859,G3859,$D$6:D3859,"Vastgesteld")=1),1,0))</f>
        <v>0</v>
      </c>
      <c r="V3859" s="15">
        <f>IF(T3859="",0,IF(AND(G3859=T3859,COUNTIFS($S$6:S3859,S3859,$G$6:G3859,G3859,$D$6:D3859,"Vastgesteld")&gt;1),1,0))</f>
        <v>0</v>
      </c>
    </row>
    <row r="3860">
      <c r="S3860" s="15" t="str">
        <f>IF(J3860="","",J3860&amp;"|"&amp;E3860&amp;"|"&amp;F3860&amp;"|"&amp;I3860&amp;"|"&amp;O3860)</f>
        <v/>
      </c>
      <c r="T3860" s="15" t="str">
        <f>IF(OR(S3860="",D3860&lt;&gt;"Vastgesteld"),"",_xlfn.MAXIFS($G$6:$G$5005,$S$6:$S$5005,S3860,$D$6:$D$5005,"Vastgesteld"))</f>
        <v/>
      </c>
      <c r="U3860" s="15">
        <f>IF(T3860="",0,IF(AND(G3860=T3860,COUNTIFS($S$6:S3860,S3860,$G$6:G3860,G3860,$D$6:D3860,"Vastgesteld")=1),1,0))</f>
        <v>0</v>
      </c>
      <c r="V3860" s="15">
        <f>IF(T3860="",0,IF(AND(G3860=T3860,COUNTIFS($S$6:S3860,S3860,$G$6:G3860,G3860,$D$6:D3860,"Vastgesteld")&gt;1),1,0))</f>
        <v>0</v>
      </c>
    </row>
    <row r="3861">
      <c r="S3861" s="15" t="str">
        <f>IF(J3861="","",J3861&amp;"|"&amp;E3861&amp;"|"&amp;F3861&amp;"|"&amp;I3861&amp;"|"&amp;O3861)</f>
        <v/>
      </c>
      <c r="T3861" s="15" t="str">
        <f>IF(OR(S3861="",D3861&lt;&gt;"Vastgesteld"),"",_xlfn.MAXIFS($G$6:$G$5005,$S$6:$S$5005,S3861,$D$6:$D$5005,"Vastgesteld"))</f>
        <v/>
      </c>
      <c r="U3861" s="15">
        <f>IF(T3861="",0,IF(AND(G3861=T3861,COUNTIFS($S$6:S3861,S3861,$G$6:G3861,G3861,$D$6:D3861,"Vastgesteld")=1),1,0))</f>
        <v>0</v>
      </c>
      <c r="V3861" s="15">
        <f>IF(T3861="",0,IF(AND(G3861=T3861,COUNTIFS($S$6:S3861,S3861,$G$6:G3861,G3861,$D$6:D3861,"Vastgesteld")&gt;1),1,0))</f>
        <v>0</v>
      </c>
    </row>
    <row r="3862">
      <c r="S3862" s="15" t="str">
        <f>IF(J3862="","",J3862&amp;"|"&amp;E3862&amp;"|"&amp;F3862&amp;"|"&amp;I3862&amp;"|"&amp;O3862)</f>
        <v/>
      </c>
      <c r="T3862" s="15" t="str">
        <f>IF(OR(S3862="",D3862&lt;&gt;"Vastgesteld"),"",_xlfn.MAXIFS($G$6:$G$5005,$S$6:$S$5005,S3862,$D$6:$D$5005,"Vastgesteld"))</f>
        <v/>
      </c>
      <c r="U3862" s="15">
        <f>IF(T3862="",0,IF(AND(G3862=T3862,COUNTIFS($S$6:S3862,S3862,$G$6:G3862,G3862,$D$6:D3862,"Vastgesteld")=1),1,0))</f>
        <v>0</v>
      </c>
      <c r="V3862" s="15">
        <f>IF(T3862="",0,IF(AND(G3862=T3862,COUNTIFS($S$6:S3862,S3862,$G$6:G3862,G3862,$D$6:D3862,"Vastgesteld")&gt;1),1,0))</f>
        <v>0</v>
      </c>
    </row>
    <row r="3863">
      <c r="S3863" s="15" t="str">
        <f>IF(J3863="","",J3863&amp;"|"&amp;E3863&amp;"|"&amp;F3863&amp;"|"&amp;I3863&amp;"|"&amp;O3863)</f>
        <v/>
      </c>
      <c r="T3863" s="15" t="str">
        <f>IF(OR(S3863="",D3863&lt;&gt;"Vastgesteld"),"",_xlfn.MAXIFS($G$6:$G$5005,$S$6:$S$5005,S3863,$D$6:$D$5005,"Vastgesteld"))</f>
        <v/>
      </c>
      <c r="U3863" s="15">
        <f>IF(T3863="",0,IF(AND(G3863=T3863,COUNTIFS($S$6:S3863,S3863,$G$6:G3863,G3863,$D$6:D3863,"Vastgesteld")=1),1,0))</f>
        <v>0</v>
      </c>
      <c r="V3863" s="15">
        <f>IF(T3863="",0,IF(AND(G3863=T3863,COUNTIFS($S$6:S3863,S3863,$G$6:G3863,G3863,$D$6:D3863,"Vastgesteld")&gt;1),1,0))</f>
        <v>0</v>
      </c>
    </row>
    <row r="3864">
      <c r="S3864" s="15" t="str">
        <f>IF(J3864="","",J3864&amp;"|"&amp;E3864&amp;"|"&amp;F3864&amp;"|"&amp;I3864&amp;"|"&amp;O3864)</f>
        <v/>
      </c>
      <c r="T3864" s="15" t="str">
        <f>IF(OR(S3864="",D3864&lt;&gt;"Vastgesteld"),"",_xlfn.MAXIFS($G$6:$G$5005,$S$6:$S$5005,S3864,$D$6:$D$5005,"Vastgesteld"))</f>
        <v/>
      </c>
      <c r="U3864" s="15">
        <f>IF(T3864="",0,IF(AND(G3864=T3864,COUNTIFS($S$6:S3864,S3864,$G$6:G3864,G3864,$D$6:D3864,"Vastgesteld")=1),1,0))</f>
        <v>0</v>
      </c>
      <c r="V3864" s="15">
        <f>IF(T3864="",0,IF(AND(G3864=T3864,COUNTIFS($S$6:S3864,S3864,$G$6:G3864,G3864,$D$6:D3864,"Vastgesteld")&gt;1),1,0))</f>
        <v>0</v>
      </c>
    </row>
    <row r="3865">
      <c r="S3865" s="15" t="str">
        <f>IF(J3865="","",J3865&amp;"|"&amp;E3865&amp;"|"&amp;F3865&amp;"|"&amp;I3865&amp;"|"&amp;O3865)</f>
        <v/>
      </c>
      <c r="T3865" s="15" t="str">
        <f>IF(OR(S3865="",D3865&lt;&gt;"Vastgesteld"),"",_xlfn.MAXIFS($G$6:$G$5005,$S$6:$S$5005,S3865,$D$6:$D$5005,"Vastgesteld"))</f>
        <v/>
      </c>
      <c r="U3865" s="15">
        <f>IF(T3865="",0,IF(AND(G3865=T3865,COUNTIFS($S$6:S3865,S3865,$G$6:G3865,G3865,$D$6:D3865,"Vastgesteld")=1),1,0))</f>
        <v>0</v>
      </c>
      <c r="V3865" s="15">
        <f>IF(T3865="",0,IF(AND(G3865=T3865,COUNTIFS($S$6:S3865,S3865,$G$6:G3865,G3865,$D$6:D3865,"Vastgesteld")&gt;1),1,0))</f>
        <v>0</v>
      </c>
    </row>
    <row r="3866">
      <c r="S3866" s="15" t="str">
        <f>IF(J3866="","",J3866&amp;"|"&amp;E3866&amp;"|"&amp;F3866&amp;"|"&amp;I3866&amp;"|"&amp;O3866)</f>
        <v/>
      </c>
      <c r="T3866" s="15" t="str">
        <f>IF(OR(S3866="",D3866&lt;&gt;"Vastgesteld"),"",_xlfn.MAXIFS($G$6:$G$5005,$S$6:$S$5005,S3866,$D$6:$D$5005,"Vastgesteld"))</f>
        <v/>
      </c>
      <c r="U3866" s="15">
        <f>IF(T3866="",0,IF(AND(G3866=T3866,COUNTIFS($S$6:S3866,S3866,$G$6:G3866,G3866,$D$6:D3866,"Vastgesteld")=1),1,0))</f>
        <v>0</v>
      </c>
      <c r="V3866" s="15">
        <f>IF(T3866="",0,IF(AND(G3866=T3866,COUNTIFS($S$6:S3866,S3866,$G$6:G3866,G3866,$D$6:D3866,"Vastgesteld")&gt;1),1,0))</f>
        <v>0</v>
      </c>
    </row>
    <row r="3867">
      <c r="S3867" s="15" t="str">
        <f>IF(J3867="","",J3867&amp;"|"&amp;E3867&amp;"|"&amp;F3867&amp;"|"&amp;I3867&amp;"|"&amp;O3867)</f>
        <v/>
      </c>
      <c r="T3867" s="15" t="str">
        <f>IF(OR(S3867="",D3867&lt;&gt;"Vastgesteld"),"",_xlfn.MAXIFS($G$6:$G$5005,$S$6:$S$5005,S3867,$D$6:$D$5005,"Vastgesteld"))</f>
        <v/>
      </c>
      <c r="U3867" s="15">
        <f>IF(T3867="",0,IF(AND(G3867=T3867,COUNTIFS($S$6:S3867,S3867,$G$6:G3867,G3867,$D$6:D3867,"Vastgesteld")=1),1,0))</f>
        <v>0</v>
      </c>
      <c r="V3867" s="15">
        <f>IF(T3867="",0,IF(AND(G3867=T3867,COUNTIFS($S$6:S3867,S3867,$G$6:G3867,G3867,$D$6:D3867,"Vastgesteld")&gt;1),1,0))</f>
        <v>0</v>
      </c>
    </row>
    <row r="3868">
      <c r="S3868" s="15" t="str">
        <f>IF(J3868="","",J3868&amp;"|"&amp;E3868&amp;"|"&amp;F3868&amp;"|"&amp;I3868&amp;"|"&amp;O3868)</f>
        <v/>
      </c>
      <c r="T3868" s="15" t="str">
        <f>IF(OR(S3868="",D3868&lt;&gt;"Vastgesteld"),"",_xlfn.MAXIFS($G$6:$G$5005,$S$6:$S$5005,S3868,$D$6:$D$5005,"Vastgesteld"))</f>
        <v/>
      </c>
      <c r="U3868" s="15">
        <f>IF(T3868="",0,IF(AND(G3868=T3868,COUNTIFS($S$6:S3868,S3868,$G$6:G3868,G3868,$D$6:D3868,"Vastgesteld")=1),1,0))</f>
        <v>0</v>
      </c>
      <c r="V3868" s="15">
        <f>IF(T3868="",0,IF(AND(G3868=T3868,COUNTIFS($S$6:S3868,S3868,$G$6:G3868,G3868,$D$6:D3868,"Vastgesteld")&gt;1),1,0))</f>
        <v>0</v>
      </c>
    </row>
    <row r="3869">
      <c r="S3869" s="15" t="str">
        <f>IF(J3869="","",J3869&amp;"|"&amp;E3869&amp;"|"&amp;F3869&amp;"|"&amp;I3869&amp;"|"&amp;O3869)</f>
        <v/>
      </c>
      <c r="T3869" s="15" t="str">
        <f>IF(OR(S3869="",D3869&lt;&gt;"Vastgesteld"),"",_xlfn.MAXIFS($G$6:$G$5005,$S$6:$S$5005,S3869,$D$6:$D$5005,"Vastgesteld"))</f>
        <v/>
      </c>
      <c r="U3869" s="15">
        <f>IF(T3869="",0,IF(AND(G3869=T3869,COUNTIFS($S$6:S3869,S3869,$G$6:G3869,G3869,$D$6:D3869,"Vastgesteld")=1),1,0))</f>
        <v>0</v>
      </c>
      <c r="V3869" s="15">
        <f>IF(T3869="",0,IF(AND(G3869=T3869,COUNTIFS($S$6:S3869,S3869,$G$6:G3869,G3869,$D$6:D3869,"Vastgesteld")&gt;1),1,0))</f>
        <v>0</v>
      </c>
    </row>
    <row r="3870">
      <c r="S3870" s="15" t="str">
        <f>IF(J3870="","",J3870&amp;"|"&amp;E3870&amp;"|"&amp;F3870&amp;"|"&amp;I3870&amp;"|"&amp;O3870)</f>
        <v/>
      </c>
      <c r="T3870" s="15" t="str">
        <f>IF(OR(S3870="",D3870&lt;&gt;"Vastgesteld"),"",_xlfn.MAXIFS($G$6:$G$5005,$S$6:$S$5005,S3870,$D$6:$D$5005,"Vastgesteld"))</f>
        <v/>
      </c>
      <c r="U3870" s="15">
        <f>IF(T3870="",0,IF(AND(G3870=T3870,COUNTIFS($S$6:S3870,S3870,$G$6:G3870,G3870,$D$6:D3870,"Vastgesteld")=1),1,0))</f>
        <v>0</v>
      </c>
      <c r="V3870" s="15">
        <f>IF(T3870="",0,IF(AND(G3870=T3870,COUNTIFS($S$6:S3870,S3870,$G$6:G3870,G3870,$D$6:D3870,"Vastgesteld")&gt;1),1,0))</f>
        <v>0</v>
      </c>
    </row>
    <row r="3871">
      <c r="S3871" s="15" t="str">
        <f>IF(J3871="","",J3871&amp;"|"&amp;E3871&amp;"|"&amp;F3871&amp;"|"&amp;I3871&amp;"|"&amp;O3871)</f>
        <v/>
      </c>
      <c r="T3871" s="15" t="str">
        <f>IF(OR(S3871="",D3871&lt;&gt;"Vastgesteld"),"",_xlfn.MAXIFS($G$6:$G$5005,$S$6:$S$5005,S3871,$D$6:$D$5005,"Vastgesteld"))</f>
        <v/>
      </c>
      <c r="U3871" s="15">
        <f>IF(T3871="",0,IF(AND(G3871=T3871,COUNTIFS($S$6:S3871,S3871,$G$6:G3871,G3871,$D$6:D3871,"Vastgesteld")=1),1,0))</f>
        <v>0</v>
      </c>
      <c r="V3871" s="15">
        <f>IF(T3871="",0,IF(AND(G3871=T3871,COUNTIFS($S$6:S3871,S3871,$G$6:G3871,G3871,$D$6:D3871,"Vastgesteld")&gt;1),1,0))</f>
        <v>0</v>
      </c>
    </row>
    <row r="3872">
      <c r="S3872" s="15" t="str">
        <f>IF(J3872="","",J3872&amp;"|"&amp;E3872&amp;"|"&amp;F3872&amp;"|"&amp;I3872&amp;"|"&amp;O3872)</f>
        <v/>
      </c>
      <c r="T3872" s="15" t="str">
        <f>IF(OR(S3872="",D3872&lt;&gt;"Vastgesteld"),"",_xlfn.MAXIFS($G$6:$G$5005,$S$6:$S$5005,S3872,$D$6:$D$5005,"Vastgesteld"))</f>
        <v/>
      </c>
      <c r="U3872" s="15">
        <f>IF(T3872="",0,IF(AND(G3872=T3872,COUNTIFS($S$6:S3872,S3872,$G$6:G3872,G3872,$D$6:D3872,"Vastgesteld")=1),1,0))</f>
        <v>0</v>
      </c>
      <c r="V3872" s="15">
        <f>IF(T3872="",0,IF(AND(G3872=T3872,COUNTIFS($S$6:S3872,S3872,$G$6:G3872,G3872,$D$6:D3872,"Vastgesteld")&gt;1),1,0))</f>
        <v>0</v>
      </c>
    </row>
    <row r="3873">
      <c r="S3873" s="15" t="str">
        <f>IF(J3873="","",J3873&amp;"|"&amp;E3873&amp;"|"&amp;F3873&amp;"|"&amp;I3873&amp;"|"&amp;O3873)</f>
        <v/>
      </c>
      <c r="T3873" s="15" t="str">
        <f>IF(OR(S3873="",D3873&lt;&gt;"Vastgesteld"),"",_xlfn.MAXIFS($G$6:$G$5005,$S$6:$S$5005,S3873,$D$6:$D$5005,"Vastgesteld"))</f>
        <v/>
      </c>
      <c r="U3873" s="15">
        <f>IF(T3873="",0,IF(AND(G3873=T3873,COUNTIFS($S$6:S3873,S3873,$G$6:G3873,G3873,$D$6:D3873,"Vastgesteld")=1),1,0))</f>
        <v>0</v>
      </c>
      <c r="V3873" s="15">
        <f>IF(T3873="",0,IF(AND(G3873=T3873,COUNTIFS($S$6:S3873,S3873,$G$6:G3873,G3873,$D$6:D3873,"Vastgesteld")&gt;1),1,0))</f>
        <v>0</v>
      </c>
    </row>
    <row r="3874">
      <c r="S3874" s="15" t="str">
        <f>IF(J3874="","",J3874&amp;"|"&amp;E3874&amp;"|"&amp;F3874&amp;"|"&amp;I3874&amp;"|"&amp;O3874)</f>
        <v/>
      </c>
      <c r="T3874" s="15" t="str">
        <f>IF(OR(S3874="",D3874&lt;&gt;"Vastgesteld"),"",_xlfn.MAXIFS($G$6:$G$5005,$S$6:$S$5005,S3874,$D$6:$D$5005,"Vastgesteld"))</f>
        <v/>
      </c>
      <c r="U3874" s="15">
        <f>IF(T3874="",0,IF(AND(G3874=T3874,COUNTIFS($S$6:S3874,S3874,$G$6:G3874,G3874,$D$6:D3874,"Vastgesteld")=1),1,0))</f>
        <v>0</v>
      </c>
      <c r="V3874" s="15">
        <f>IF(T3874="",0,IF(AND(G3874=T3874,COUNTIFS($S$6:S3874,S3874,$G$6:G3874,G3874,$D$6:D3874,"Vastgesteld")&gt;1),1,0))</f>
        <v>0</v>
      </c>
    </row>
    <row r="3875">
      <c r="S3875" s="15" t="str">
        <f>IF(J3875="","",J3875&amp;"|"&amp;E3875&amp;"|"&amp;F3875&amp;"|"&amp;I3875&amp;"|"&amp;O3875)</f>
        <v/>
      </c>
      <c r="T3875" s="15" t="str">
        <f>IF(OR(S3875="",D3875&lt;&gt;"Vastgesteld"),"",_xlfn.MAXIFS($G$6:$G$5005,$S$6:$S$5005,S3875,$D$6:$D$5005,"Vastgesteld"))</f>
        <v/>
      </c>
      <c r="U3875" s="15">
        <f>IF(T3875="",0,IF(AND(G3875=T3875,COUNTIFS($S$6:S3875,S3875,$G$6:G3875,G3875,$D$6:D3875,"Vastgesteld")=1),1,0))</f>
        <v>0</v>
      </c>
      <c r="V3875" s="15">
        <f>IF(T3875="",0,IF(AND(G3875=T3875,COUNTIFS($S$6:S3875,S3875,$G$6:G3875,G3875,$D$6:D3875,"Vastgesteld")&gt;1),1,0))</f>
        <v>0</v>
      </c>
    </row>
    <row r="3876">
      <c r="S3876" s="15" t="str">
        <f>IF(J3876="","",J3876&amp;"|"&amp;E3876&amp;"|"&amp;F3876&amp;"|"&amp;I3876&amp;"|"&amp;O3876)</f>
        <v/>
      </c>
      <c r="T3876" s="15" t="str">
        <f>IF(OR(S3876="",D3876&lt;&gt;"Vastgesteld"),"",_xlfn.MAXIFS($G$6:$G$5005,$S$6:$S$5005,S3876,$D$6:$D$5005,"Vastgesteld"))</f>
        <v/>
      </c>
      <c r="U3876" s="15">
        <f>IF(T3876="",0,IF(AND(G3876=T3876,COUNTIFS($S$6:S3876,S3876,$G$6:G3876,G3876,$D$6:D3876,"Vastgesteld")=1),1,0))</f>
        <v>0</v>
      </c>
      <c r="V3876" s="15">
        <f>IF(T3876="",0,IF(AND(G3876=T3876,COUNTIFS($S$6:S3876,S3876,$G$6:G3876,G3876,$D$6:D3876,"Vastgesteld")&gt;1),1,0))</f>
        <v>0</v>
      </c>
    </row>
    <row r="3877">
      <c r="S3877" s="15" t="str">
        <f>IF(J3877="","",J3877&amp;"|"&amp;E3877&amp;"|"&amp;F3877&amp;"|"&amp;I3877&amp;"|"&amp;O3877)</f>
        <v/>
      </c>
      <c r="T3877" s="15" t="str">
        <f>IF(OR(S3877="",D3877&lt;&gt;"Vastgesteld"),"",_xlfn.MAXIFS($G$6:$G$5005,$S$6:$S$5005,S3877,$D$6:$D$5005,"Vastgesteld"))</f>
        <v/>
      </c>
      <c r="U3877" s="15">
        <f>IF(T3877="",0,IF(AND(G3877=T3877,COUNTIFS($S$6:S3877,S3877,$G$6:G3877,G3877,$D$6:D3877,"Vastgesteld")=1),1,0))</f>
        <v>0</v>
      </c>
      <c r="V3877" s="15">
        <f>IF(T3877="",0,IF(AND(G3877=T3877,COUNTIFS($S$6:S3877,S3877,$G$6:G3877,G3877,$D$6:D3877,"Vastgesteld")&gt;1),1,0))</f>
        <v>0</v>
      </c>
    </row>
    <row r="3878">
      <c r="S3878" s="15" t="str">
        <f>IF(J3878="","",J3878&amp;"|"&amp;E3878&amp;"|"&amp;F3878&amp;"|"&amp;I3878&amp;"|"&amp;O3878)</f>
        <v/>
      </c>
      <c r="T3878" s="15" t="str">
        <f>IF(OR(S3878="",D3878&lt;&gt;"Vastgesteld"),"",_xlfn.MAXIFS($G$6:$G$5005,$S$6:$S$5005,S3878,$D$6:$D$5005,"Vastgesteld"))</f>
        <v/>
      </c>
      <c r="U3878" s="15">
        <f>IF(T3878="",0,IF(AND(G3878=T3878,COUNTIFS($S$6:S3878,S3878,$G$6:G3878,G3878,$D$6:D3878,"Vastgesteld")=1),1,0))</f>
        <v>0</v>
      </c>
      <c r="V3878" s="15">
        <f>IF(T3878="",0,IF(AND(G3878=T3878,COUNTIFS($S$6:S3878,S3878,$G$6:G3878,G3878,$D$6:D3878,"Vastgesteld")&gt;1),1,0))</f>
        <v>0</v>
      </c>
    </row>
    <row r="3879">
      <c r="S3879" s="15" t="str">
        <f>IF(J3879="","",J3879&amp;"|"&amp;E3879&amp;"|"&amp;F3879&amp;"|"&amp;I3879&amp;"|"&amp;O3879)</f>
        <v/>
      </c>
      <c r="T3879" s="15" t="str">
        <f>IF(OR(S3879="",D3879&lt;&gt;"Vastgesteld"),"",_xlfn.MAXIFS($G$6:$G$5005,$S$6:$S$5005,S3879,$D$6:$D$5005,"Vastgesteld"))</f>
        <v/>
      </c>
      <c r="U3879" s="15">
        <f>IF(T3879="",0,IF(AND(G3879=T3879,COUNTIFS($S$6:S3879,S3879,$G$6:G3879,G3879,$D$6:D3879,"Vastgesteld")=1),1,0))</f>
        <v>0</v>
      </c>
      <c r="V3879" s="15">
        <f>IF(T3879="",0,IF(AND(G3879=T3879,COUNTIFS($S$6:S3879,S3879,$G$6:G3879,G3879,$D$6:D3879,"Vastgesteld")&gt;1),1,0))</f>
        <v>0</v>
      </c>
    </row>
    <row r="3880">
      <c r="S3880" s="15" t="str">
        <f>IF(J3880="","",J3880&amp;"|"&amp;E3880&amp;"|"&amp;F3880&amp;"|"&amp;I3880&amp;"|"&amp;O3880)</f>
        <v/>
      </c>
      <c r="T3880" s="15" t="str">
        <f>IF(OR(S3880="",D3880&lt;&gt;"Vastgesteld"),"",_xlfn.MAXIFS($G$6:$G$5005,$S$6:$S$5005,S3880,$D$6:$D$5005,"Vastgesteld"))</f>
        <v/>
      </c>
      <c r="U3880" s="15">
        <f>IF(T3880="",0,IF(AND(G3880=T3880,COUNTIFS($S$6:S3880,S3880,$G$6:G3880,G3880,$D$6:D3880,"Vastgesteld")=1),1,0))</f>
        <v>0</v>
      </c>
      <c r="V3880" s="15">
        <f>IF(T3880="",0,IF(AND(G3880=T3880,COUNTIFS($S$6:S3880,S3880,$G$6:G3880,G3880,$D$6:D3880,"Vastgesteld")&gt;1),1,0))</f>
        <v>0</v>
      </c>
    </row>
    <row r="3881">
      <c r="S3881" s="15" t="str">
        <f>IF(J3881="","",J3881&amp;"|"&amp;E3881&amp;"|"&amp;F3881&amp;"|"&amp;I3881&amp;"|"&amp;O3881)</f>
        <v/>
      </c>
      <c r="T3881" s="15" t="str">
        <f>IF(OR(S3881="",D3881&lt;&gt;"Vastgesteld"),"",_xlfn.MAXIFS($G$6:$G$5005,$S$6:$S$5005,S3881,$D$6:$D$5005,"Vastgesteld"))</f>
        <v/>
      </c>
      <c r="U3881" s="15">
        <f>IF(T3881="",0,IF(AND(G3881=T3881,COUNTIFS($S$6:S3881,S3881,$G$6:G3881,G3881,$D$6:D3881,"Vastgesteld")=1),1,0))</f>
        <v>0</v>
      </c>
      <c r="V3881" s="15">
        <f>IF(T3881="",0,IF(AND(G3881=T3881,COUNTIFS($S$6:S3881,S3881,$G$6:G3881,G3881,$D$6:D3881,"Vastgesteld")&gt;1),1,0))</f>
        <v>0</v>
      </c>
    </row>
    <row r="3882">
      <c r="S3882" s="15" t="str">
        <f>IF(J3882="","",J3882&amp;"|"&amp;E3882&amp;"|"&amp;F3882&amp;"|"&amp;I3882&amp;"|"&amp;O3882)</f>
        <v/>
      </c>
      <c r="T3882" s="15" t="str">
        <f>IF(OR(S3882="",D3882&lt;&gt;"Vastgesteld"),"",_xlfn.MAXIFS($G$6:$G$5005,$S$6:$S$5005,S3882,$D$6:$D$5005,"Vastgesteld"))</f>
        <v/>
      </c>
      <c r="U3882" s="15">
        <f>IF(T3882="",0,IF(AND(G3882=T3882,COUNTIFS($S$6:S3882,S3882,$G$6:G3882,G3882,$D$6:D3882,"Vastgesteld")=1),1,0))</f>
        <v>0</v>
      </c>
      <c r="V3882" s="15">
        <f>IF(T3882="",0,IF(AND(G3882=T3882,COUNTIFS($S$6:S3882,S3882,$G$6:G3882,G3882,$D$6:D3882,"Vastgesteld")&gt;1),1,0))</f>
        <v>0</v>
      </c>
    </row>
    <row r="3883">
      <c r="S3883" s="15" t="str">
        <f>IF(J3883="","",J3883&amp;"|"&amp;E3883&amp;"|"&amp;F3883&amp;"|"&amp;I3883&amp;"|"&amp;O3883)</f>
        <v/>
      </c>
      <c r="T3883" s="15" t="str">
        <f>IF(OR(S3883="",D3883&lt;&gt;"Vastgesteld"),"",_xlfn.MAXIFS($G$6:$G$5005,$S$6:$S$5005,S3883,$D$6:$D$5005,"Vastgesteld"))</f>
        <v/>
      </c>
      <c r="U3883" s="15">
        <f>IF(T3883="",0,IF(AND(G3883=T3883,COUNTIFS($S$6:S3883,S3883,$G$6:G3883,G3883,$D$6:D3883,"Vastgesteld")=1),1,0))</f>
        <v>0</v>
      </c>
      <c r="V3883" s="15">
        <f>IF(T3883="",0,IF(AND(G3883=T3883,COUNTIFS($S$6:S3883,S3883,$G$6:G3883,G3883,$D$6:D3883,"Vastgesteld")&gt;1),1,0))</f>
        <v>0</v>
      </c>
    </row>
    <row r="3884">
      <c r="S3884" s="15" t="str">
        <f>IF(J3884="","",J3884&amp;"|"&amp;E3884&amp;"|"&amp;F3884&amp;"|"&amp;I3884&amp;"|"&amp;O3884)</f>
        <v/>
      </c>
      <c r="T3884" s="15" t="str">
        <f>IF(OR(S3884="",D3884&lt;&gt;"Vastgesteld"),"",_xlfn.MAXIFS($G$6:$G$5005,$S$6:$S$5005,S3884,$D$6:$D$5005,"Vastgesteld"))</f>
        <v/>
      </c>
      <c r="U3884" s="15">
        <f>IF(T3884="",0,IF(AND(G3884=T3884,COUNTIFS($S$6:S3884,S3884,$G$6:G3884,G3884,$D$6:D3884,"Vastgesteld")=1),1,0))</f>
        <v>0</v>
      </c>
      <c r="V3884" s="15">
        <f>IF(T3884="",0,IF(AND(G3884=T3884,COUNTIFS($S$6:S3884,S3884,$G$6:G3884,G3884,$D$6:D3884,"Vastgesteld")&gt;1),1,0))</f>
        <v>0</v>
      </c>
    </row>
    <row r="3885">
      <c r="S3885" s="15" t="str">
        <f>IF(J3885="","",J3885&amp;"|"&amp;E3885&amp;"|"&amp;F3885&amp;"|"&amp;I3885&amp;"|"&amp;O3885)</f>
        <v/>
      </c>
      <c r="T3885" s="15" t="str">
        <f>IF(OR(S3885="",D3885&lt;&gt;"Vastgesteld"),"",_xlfn.MAXIFS($G$6:$G$5005,$S$6:$S$5005,S3885,$D$6:$D$5005,"Vastgesteld"))</f>
        <v/>
      </c>
      <c r="U3885" s="15">
        <f>IF(T3885="",0,IF(AND(G3885=T3885,COUNTIFS($S$6:S3885,S3885,$G$6:G3885,G3885,$D$6:D3885,"Vastgesteld")=1),1,0))</f>
        <v>0</v>
      </c>
      <c r="V3885" s="15">
        <f>IF(T3885="",0,IF(AND(G3885=T3885,COUNTIFS($S$6:S3885,S3885,$G$6:G3885,G3885,$D$6:D3885,"Vastgesteld")&gt;1),1,0))</f>
        <v>0</v>
      </c>
    </row>
    <row r="3886">
      <c r="S3886" s="15" t="str">
        <f>IF(J3886="","",J3886&amp;"|"&amp;E3886&amp;"|"&amp;F3886&amp;"|"&amp;I3886&amp;"|"&amp;O3886)</f>
        <v/>
      </c>
      <c r="T3886" s="15" t="str">
        <f>IF(OR(S3886="",D3886&lt;&gt;"Vastgesteld"),"",_xlfn.MAXIFS($G$6:$G$5005,$S$6:$S$5005,S3886,$D$6:$D$5005,"Vastgesteld"))</f>
        <v/>
      </c>
      <c r="U3886" s="15">
        <f>IF(T3886="",0,IF(AND(G3886=T3886,COUNTIFS($S$6:S3886,S3886,$G$6:G3886,G3886,$D$6:D3886,"Vastgesteld")=1),1,0))</f>
        <v>0</v>
      </c>
      <c r="V3886" s="15">
        <f>IF(T3886="",0,IF(AND(G3886=T3886,COUNTIFS($S$6:S3886,S3886,$G$6:G3886,G3886,$D$6:D3886,"Vastgesteld")&gt;1),1,0))</f>
        <v>0</v>
      </c>
    </row>
    <row r="3887">
      <c r="S3887" s="15" t="str">
        <f>IF(J3887="","",J3887&amp;"|"&amp;E3887&amp;"|"&amp;F3887&amp;"|"&amp;I3887&amp;"|"&amp;O3887)</f>
        <v/>
      </c>
      <c r="T3887" s="15" t="str">
        <f>IF(OR(S3887="",D3887&lt;&gt;"Vastgesteld"),"",_xlfn.MAXIFS($G$6:$G$5005,$S$6:$S$5005,S3887,$D$6:$D$5005,"Vastgesteld"))</f>
        <v/>
      </c>
      <c r="U3887" s="15">
        <f>IF(T3887="",0,IF(AND(G3887=T3887,COUNTIFS($S$6:S3887,S3887,$G$6:G3887,G3887,$D$6:D3887,"Vastgesteld")=1),1,0))</f>
        <v>0</v>
      </c>
      <c r="V3887" s="15">
        <f>IF(T3887="",0,IF(AND(G3887=T3887,COUNTIFS($S$6:S3887,S3887,$G$6:G3887,G3887,$D$6:D3887,"Vastgesteld")&gt;1),1,0))</f>
        <v>0</v>
      </c>
    </row>
    <row r="3888">
      <c r="S3888" s="15" t="str">
        <f>IF(J3888="","",J3888&amp;"|"&amp;E3888&amp;"|"&amp;F3888&amp;"|"&amp;I3888&amp;"|"&amp;O3888)</f>
        <v/>
      </c>
      <c r="T3888" s="15" t="str">
        <f>IF(OR(S3888="",D3888&lt;&gt;"Vastgesteld"),"",_xlfn.MAXIFS($G$6:$G$5005,$S$6:$S$5005,S3888,$D$6:$D$5005,"Vastgesteld"))</f>
        <v/>
      </c>
      <c r="U3888" s="15">
        <f>IF(T3888="",0,IF(AND(G3888=T3888,COUNTIFS($S$6:S3888,S3888,$G$6:G3888,G3888,$D$6:D3888,"Vastgesteld")=1),1,0))</f>
        <v>0</v>
      </c>
      <c r="V3888" s="15">
        <f>IF(T3888="",0,IF(AND(G3888=T3888,COUNTIFS($S$6:S3888,S3888,$G$6:G3888,G3888,$D$6:D3888,"Vastgesteld")&gt;1),1,0))</f>
        <v>0</v>
      </c>
    </row>
    <row r="3889">
      <c r="S3889" s="15" t="str">
        <f>IF(J3889="","",J3889&amp;"|"&amp;E3889&amp;"|"&amp;F3889&amp;"|"&amp;I3889&amp;"|"&amp;O3889)</f>
        <v/>
      </c>
      <c r="T3889" s="15" t="str">
        <f>IF(OR(S3889="",D3889&lt;&gt;"Vastgesteld"),"",_xlfn.MAXIFS($G$6:$G$5005,$S$6:$S$5005,S3889,$D$6:$D$5005,"Vastgesteld"))</f>
        <v/>
      </c>
      <c r="U3889" s="15">
        <f>IF(T3889="",0,IF(AND(G3889=T3889,COUNTIFS($S$6:S3889,S3889,$G$6:G3889,G3889,$D$6:D3889,"Vastgesteld")=1),1,0))</f>
        <v>0</v>
      </c>
      <c r="V3889" s="15">
        <f>IF(T3889="",0,IF(AND(G3889=T3889,COUNTIFS($S$6:S3889,S3889,$G$6:G3889,G3889,$D$6:D3889,"Vastgesteld")&gt;1),1,0))</f>
        <v>0</v>
      </c>
    </row>
    <row r="3890">
      <c r="S3890" s="15" t="str">
        <f>IF(J3890="","",J3890&amp;"|"&amp;E3890&amp;"|"&amp;F3890&amp;"|"&amp;I3890&amp;"|"&amp;O3890)</f>
        <v/>
      </c>
      <c r="T3890" s="15" t="str">
        <f>IF(OR(S3890="",D3890&lt;&gt;"Vastgesteld"),"",_xlfn.MAXIFS($G$6:$G$5005,$S$6:$S$5005,S3890,$D$6:$D$5005,"Vastgesteld"))</f>
        <v/>
      </c>
      <c r="U3890" s="15">
        <f>IF(T3890="",0,IF(AND(G3890=T3890,COUNTIFS($S$6:S3890,S3890,$G$6:G3890,G3890,$D$6:D3890,"Vastgesteld")=1),1,0))</f>
        <v>0</v>
      </c>
      <c r="V3890" s="15">
        <f>IF(T3890="",0,IF(AND(G3890=T3890,COUNTIFS($S$6:S3890,S3890,$G$6:G3890,G3890,$D$6:D3890,"Vastgesteld")&gt;1),1,0))</f>
        <v>0</v>
      </c>
    </row>
    <row r="3891">
      <c r="S3891" s="15" t="str">
        <f>IF(J3891="","",J3891&amp;"|"&amp;E3891&amp;"|"&amp;F3891&amp;"|"&amp;I3891&amp;"|"&amp;O3891)</f>
        <v/>
      </c>
      <c r="T3891" s="15" t="str">
        <f>IF(OR(S3891="",D3891&lt;&gt;"Vastgesteld"),"",_xlfn.MAXIFS($G$6:$G$5005,$S$6:$S$5005,S3891,$D$6:$D$5005,"Vastgesteld"))</f>
        <v/>
      </c>
      <c r="U3891" s="15">
        <f>IF(T3891="",0,IF(AND(G3891=T3891,COUNTIFS($S$6:S3891,S3891,$G$6:G3891,G3891,$D$6:D3891,"Vastgesteld")=1),1,0))</f>
        <v>0</v>
      </c>
      <c r="V3891" s="15">
        <f>IF(T3891="",0,IF(AND(G3891=T3891,COUNTIFS($S$6:S3891,S3891,$G$6:G3891,G3891,$D$6:D3891,"Vastgesteld")&gt;1),1,0))</f>
        <v>0</v>
      </c>
    </row>
    <row r="3892">
      <c r="S3892" s="15" t="str">
        <f>IF(J3892="","",J3892&amp;"|"&amp;E3892&amp;"|"&amp;F3892&amp;"|"&amp;I3892&amp;"|"&amp;O3892)</f>
        <v/>
      </c>
      <c r="T3892" s="15" t="str">
        <f>IF(OR(S3892="",D3892&lt;&gt;"Vastgesteld"),"",_xlfn.MAXIFS($G$6:$G$5005,$S$6:$S$5005,S3892,$D$6:$D$5005,"Vastgesteld"))</f>
        <v/>
      </c>
      <c r="U3892" s="15">
        <f>IF(T3892="",0,IF(AND(G3892=T3892,COUNTIFS($S$6:S3892,S3892,$G$6:G3892,G3892,$D$6:D3892,"Vastgesteld")=1),1,0))</f>
        <v>0</v>
      </c>
      <c r="V3892" s="15">
        <f>IF(T3892="",0,IF(AND(G3892=T3892,COUNTIFS($S$6:S3892,S3892,$G$6:G3892,G3892,$D$6:D3892,"Vastgesteld")&gt;1),1,0))</f>
        <v>0</v>
      </c>
    </row>
    <row r="3893">
      <c r="S3893" s="15" t="str">
        <f>IF(J3893="","",J3893&amp;"|"&amp;E3893&amp;"|"&amp;F3893&amp;"|"&amp;I3893&amp;"|"&amp;O3893)</f>
        <v/>
      </c>
      <c r="T3893" s="15" t="str">
        <f>IF(OR(S3893="",D3893&lt;&gt;"Vastgesteld"),"",_xlfn.MAXIFS($G$6:$G$5005,$S$6:$S$5005,S3893,$D$6:$D$5005,"Vastgesteld"))</f>
        <v/>
      </c>
      <c r="U3893" s="15">
        <f>IF(T3893="",0,IF(AND(G3893=T3893,COUNTIFS($S$6:S3893,S3893,$G$6:G3893,G3893,$D$6:D3893,"Vastgesteld")=1),1,0))</f>
        <v>0</v>
      </c>
      <c r="V3893" s="15">
        <f>IF(T3893="",0,IF(AND(G3893=T3893,COUNTIFS($S$6:S3893,S3893,$G$6:G3893,G3893,$D$6:D3893,"Vastgesteld")&gt;1),1,0))</f>
        <v>0</v>
      </c>
    </row>
    <row r="3894">
      <c r="S3894" s="15" t="str">
        <f>IF(J3894="","",J3894&amp;"|"&amp;E3894&amp;"|"&amp;F3894&amp;"|"&amp;I3894&amp;"|"&amp;O3894)</f>
        <v/>
      </c>
      <c r="T3894" s="15" t="str">
        <f>IF(OR(S3894="",D3894&lt;&gt;"Vastgesteld"),"",_xlfn.MAXIFS($G$6:$G$5005,$S$6:$S$5005,S3894,$D$6:$D$5005,"Vastgesteld"))</f>
        <v/>
      </c>
      <c r="U3894" s="15">
        <f>IF(T3894="",0,IF(AND(G3894=T3894,COUNTIFS($S$6:S3894,S3894,$G$6:G3894,G3894,$D$6:D3894,"Vastgesteld")=1),1,0))</f>
        <v>0</v>
      </c>
      <c r="V3894" s="15">
        <f>IF(T3894="",0,IF(AND(G3894=T3894,COUNTIFS($S$6:S3894,S3894,$G$6:G3894,G3894,$D$6:D3894,"Vastgesteld")&gt;1),1,0))</f>
        <v>0</v>
      </c>
    </row>
    <row r="3895">
      <c r="S3895" s="15" t="str">
        <f>IF(J3895="","",J3895&amp;"|"&amp;E3895&amp;"|"&amp;F3895&amp;"|"&amp;I3895&amp;"|"&amp;O3895)</f>
        <v/>
      </c>
      <c r="T3895" s="15" t="str">
        <f>IF(OR(S3895="",D3895&lt;&gt;"Vastgesteld"),"",_xlfn.MAXIFS($G$6:$G$5005,$S$6:$S$5005,S3895,$D$6:$D$5005,"Vastgesteld"))</f>
        <v/>
      </c>
      <c r="U3895" s="15">
        <f>IF(T3895="",0,IF(AND(G3895=T3895,COUNTIFS($S$6:S3895,S3895,$G$6:G3895,G3895,$D$6:D3895,"Vastgesteld")=1),1,0))</f>
        <v>0</v>
      </c>
      <c r="V3895" s="15">
        <f>IF(T3895="",0,IF(AND(G3895=T3895,COUNTIFS($S$6:S3895,S3895,$G$6:G3895,G3895,$D$6:D3895,"Vastgesteld")&gt;1),1,0))</f>
        <v>0</v>
      </c>
    </row>
    <row r="3896">
      <c r="S3896" s="15" t="str">
        <f>IF(J3896="","",J3896&amp;"|"&amp;E3896&amp;"|"&amp;F3896&amp;"|"&amp;I3896&amp;"|"&amp;O3896)</f>
        <v/>
      </c>
      <c r="T3896" s="15" t="str">
        <f>IF(OR(S3896="",D3896&lt;&gt;"Vastgesteld"),"",_xlfn.MAXIFS($G$6:$G$5005,$S$6:$S$5005,S3896,$D$6:$D$5005,"Vastgesteld"))</f>
        <v/>
      </c>
      <c r="U3896" s="15">
        <f>IF(T3896="",0,IF(AND(G3896=T3896,COUNTIFS($S$6:S3896,S3896,$G$6:G3896,G3896,$D$6:D3896,"Vastgesteld")=1),1,0))</f>
        <v>0</v>
      </c>
      <c r="V3896" s="15">
        <f>IF(T3896="",0,IF(AND(G3896=T3896,COUNTIFS($S$6:S3896,S3896,$G$6:G3896,G3896,$D$6:D3896,"Vastgesteld")&gt;1),1,0))</f>
        <v>0</v>
      </c>
    </row>
    <row r="3897">
      <c r="S3897" s="15" t="str">
        <f>IF(J3897="","",J3897&amp;"|"&amp;E3897&amp;"|"&amp;F3897&amp;"|"&amp;I3897&amp;"|"&amp;O3897)</f>
        <v/>
      </c>
      <c r="T3897" s="15" t="str">
        <f>IF(OR(S3897="",D3897&lt;&gt;"Vastgesteld"),"",_xlfn.MAXIFS($G$6:$G$5005,$S$6:$S$5005,S3897,$D$6:$D$5005,"Vastgesteld"))</f>
        <v/>
      </c>
      <c r="U3897" s="15">
        <f>IF(T3897="",0,IF(AND(G3897=T3897,COUNTIFS($S$6:S3897,S3897,$G$6:G3897,G3897,$D$6:D3897,"Vastgesteld")=1),1,0))</f>
        <v>0</v>
      </c>
      <c r="V3897" s="15">
        <f>IF(T3897="",0,IF(AND(G3897=T3897,COUNTIFS($S$6:S3897,S3897,$G$6:G3897,G3897,$D$6:D3897,"Vastgesteld")&gt;1),1,0))</f>
        <v>0</v>
      </c>
    </row>
    <row r="3898">
      <c r="S3898" s="15" t="str">
        <f>IF(J3898="","",J3898&amp;"|"&amp;E3898&amp;"|"&amp;F3898&amp;"|"&amp;I3898&amp;"|"&amp;O3898)</f>
        <v/>
      </c>
      <c r="T3898" s="15" t="str">
        <f>IF(OR(S3898="",D3898&lt;&gt;"Vastgesteld"),"",_xlfn.MAXIFS($G$6:$G$5005,$S$6:$S$5005,S3898,$D$6:$D$5005,"Vastgesteld"))</f>
        <v/>
      </c>
      <c r="U3898" s="15">
        <f>IF(T3898="",0,IF(AND(G3898=T3898,COUNTIFS($S$6:S3898,S3898,$G$6:G3898,G3898,$D$6:D3898,"Vastgesteld")=1),1,0))</f>
        <v>0</v>
      </c>
      <c r="V3898" s="15">
        <f>IF(T3898="",0,IF(AND(G3898=T3898,COUNTIFS($S$6:S3898,S3898,$G$6:G3898,G3898,$D$6:D3898,"Vastgesteld")&gt;1),1,0))</f>
        <v>0</v>
      </c>
    </row>
    <row r="3899">
      <c r="S3899" s="15" t="str">
        <f>IF(J3899="","",J3899&amp;"|"&amp;E3899&amp;"|"&amp;F3899&amp;"|"&amp;I3899&amp;"|"&amp;O3899)</f>
        <v/>
      </c>
      <c r="T3899" s="15" t="str">
        <f>IF(OR(S3899="",D3899&lt;&gt;"Vastgesteld"),"",_xlfn.MAXIFS($G$6:$G$5005,$S$6:$S$5005,S3899,$D$6:$D$5005,"Vastgesteld"))</f>
        <v/>
      </c>
      <c r="U3899" s="15">
        <f>IF(T3899="",0,IF(AND(G3899=T3899,COUNTIFS($S$6:S3899,S3899,$G$6:G3899,G3899,$D$6:D3899,"Vastgesteld")=1),1,0))</f>
        <v>0</v>
      </c>
      <c r="V3899" s="15">
        <f>IF(T3899="",0,IF(AND(G3899=T3899,COUNTIFS($S$6:S3899,S3899,$G$6:G3899,G3899,$D$6:D3899,"Vastgesteld")&gt;1),1,0))</f>
        <v>0</v>
      </c>
    </row>
    <row r="3900">
      <c r="S3900" s="15" t="str">
        <f>IF(J3900="","",J3900&amp;"|"&amp;E3900&amp;"|"&amp;F3900&amp;"|"&amp;I3900&amp;"|"&amp;O3900)</f>
        <v/>
      </c>
      <c r="T3900" s="15" t="str">
        <f>IF(OR(S3900="",D3900&lt;&gt;"Vastgesteld"),"",_xlfn.MAXIFS($G$6:$G$5005,$S$6:$S$5005,S3900,$D$6:$D$5005,"Vastgesteld"))</f>
        <v/>
      </c>
      <c r="U3900" s="15">
        <f>IF(T3900="",0,IF(AND(G3900=T3900,COUNTIFS($S$6:S3900,S3900,$G$6:G3900,G3900,$D$6:D3900,"Vastgesteld")=1),1,0))</f>
        <v>0</v>
      </c>
      <c r="V3900" s="15">
        <f>IF(T3900="",0,IF(AND(G3900=T3900,COUNTIFS($S$6:S3900,S3900,$G$6:G3900,G3900,$D$6:D3900,"Vastgesteld")&gt;1),1,0))</f>
        <v>0</v>
      </c>
    </row>
    <row r="3901">
      <c r="S3901" s="15" t="str">
        <f>IF(J3901="","",J3901&amp;"|"&amp;E3901&amp;"|"&amp;F3901&amp;"|"&amp;I3901&amp;"|"&amp;O3901)</f>
        <v/>
      </c>
      <c r="T3901" s="15" t="str">
        <f>IF(OR(S3901="",D3901&lt;&gt;"Vastgesteld"),"",_xlfn.MAXIFS($G$6:$G$5005,$S$6:$S$5005,S3901,$D$6:$D$5005,"Vastgesteld"))</f>
        <v/>
      </c>
      <c r="U3901" s="15">
        <f>IF(T3901="",0,IF(AND(G3901=T3901,COUNTIFS($S$6:S3901,S3901,$G$6:G3901,G3901,$D$6:D3901,"Vastgesteld")=1),1,0))</f>
        <v>0</v>
      </c>
      <c r="V3901" s="15">
        <f>IF(T3901="",0,IF(AND(G3901=T3901,COUNTIFS($S$6:S3901,S3901,$G$6:G3901,G3901,$D$6:D3901,"Vastgesteld")&gt;1),1,0))</f>
        <v>0</v>
      </c>
    </row>
    <row r="3902">
      <c r="S3902" s="15" t="str">
        <f>IF(J3902="","",J3902&amp;"|"&amp;E3902&amp;"|"&amp;F3902&amp;"|"&amp;I3902&amp;"|"&amp;O3902)</f>
        <v/>
      </c>
      <c r="T3902" s="15" t="str">
        <f>IF(OR(S3902="",D3902&lt;&gt;"Vastgesteld"),"",_xlfn.MAXIFS($G$6:$G$5005,$S$6:$S$5005,S3902,$D$6:$D$5005,"Vastgesteld"))</f>
        <v/>
      </c>
      <c r="U3902" s="15">
        <f>IF(T3902="",0,IF(AND(G3902=T3902,COUNTIFS($S$6:S3902,S3902,$G$6:G3902,G3902,$D$6:D3902,"Vastgesteld")=1),1,0))</f>
        <v>0</v>
      </c>
      <c r="V3902" s="15">
        <f>IF(T3902="",0,IF(AND(G3902=T3902,COUNTIFS($S$6:S3902,S3902,$G$6:G3902,G3902,$D$6:D3902,"Vastgesteld")&gt;1),1,0))</f>
        <v>0</v>
      </c>
    </row>
    <row r="3903">
      <c r="S3903" s="15" t="str">
        <f>IF(J3903="","",J3903&amp;"|"&amp;E3903&amp;"|"&amp;F3903&amp;"|"&amp;I3903&amp;"|"&amp;O3903)</f>
        <v/>
      </c>
      <c r="T3903" s="15" t="str">
        <f>IF(OR(S3903="",D3903&lt;&gt;"Vastgesteld"),"",_xlfn.MAXIFS($G$6:$G$5005,$S$6:$S$5005,S3903,$D$6:$D$5005,"Vastgesteld"))</f>
        <v/>
      </c>
      <c r="U3903" s="15">
        <f>IF(T3903="",0,IF(AND(G3903=T3903,COUNTIFS($S$6:S3903,S3903,$G$6:G3903,G3903,$D$6:D3903,"Vastgesteld")=1),1,0))</f>
        <v>0</v>
      </c>
      <c r="V3903" s="15">
        <f>IF(T3903="",0,IF(AND(G3903=T3903,COUNTIFS($S$6:S3903,S3903,$G$6:G3903,G3903,$D$6:D3903,"Vastgesteld")&gt;1),1,0))</f>
        <v>0</v>
      </c>
    </row>
    <row r="3904">
      <c r="S3904" s="15" t="str">
        <f>IF(J3904="","",J3904&amp;"|"&amp;E3904&amp;"|"&amp;F3904&amp;"|"&amp;I3904&amp;"|"&amp;O3904)</f>
        <v/>
      </c>
      <c r="T3904" s="15" t="str">
        <f>IF(OR(S3904="",D3904&lt;&gt;"Vastgesteld"),"",_xlfn.MAXIFS($G$6:$G$5005,$S$6:$S$5005,S3904,$D$6:$D$5005,"Vastgesteld"))</f>
        <v/>
      </c>
      <c r="U3904" s="15">
        <f>IF(T3904="",0,IF(AND(G3904=T3904,COUNTIFS($S$6:S3904,S3904,$G$6:G3904,G3904,$D$6:D3904,"Vastgesteld")=1),1,0))</f>
        <v>0</v>
      </c>
      <c r="V3904" s="15">
        <f>IF(T3904="",0,IF(AND(G3904=T3904,COUNTIFS($S$6:S3904,S3904,$G$6:G3904,G3904,$D$6:D3904,"Vastgesteld")&gt;1),1,0))</f>
        <v>0</v>
      </c>
    </row>
    <row r="3905">
      <c r="S3905" s="15" t="str">
        <f>IF(J3905="","",J3905&amp;"|"&amp;E3905&amp;"|"&amp;F3905&amp;"|"&amp;I3905&amp;"|"&amp;O3905)</f>
        <v/>
      </c>
      <c r="T3905" s="15" t="str">
        <f>IF(OR(S3905="",D3905&lt;&gt;"Vastgesteld"),"",_xlfn.MAXIFS($G$6:$G$5005,$S$6:$S$5005,S3905,$D$6:$D$5005,"Vastgesteld"))</f>
        <v/>
      </c>
      <c r="U3905" s="15">
        <f>IF(T3905="",0,IF(AND(G3905=T3905,COUNTIFS($S$6:S3905,S3905,$G$6:G3905,G3905,$D$6:D3905,"Vastgesteld")=1),1,0))</f>
        <v>0</v>
      </c>
      <c r="V3905" s="15">
        <f>IF(T3905="",0,IF(AND(G3905=T3905,COUNTIFS($S$6:S3905,S3905,$G$6:G3905,G3905,$D$6:D3905,"Vastgesteld")&gt;1),1,0))</f>
        <v>0</v>
      </c>
    </row>
    <row r="3906">
      <c r="S3906" s="15" t="str">
        <f>IF(J3906="","",J3906&amp;"|"&amp;E3906&amp;"|"&amp;F3906&amp;"|"&amp;I3906&amp;"|"&amp;O3906)</f>
        <v/>
      </c>
      <c r="T3906" s="15" t="str">
        <f>IF(OR(S3906="",D3906&lt;&gt;"Vastgesteld"),"",_xlfn.MAXIFS($G$6:$G$5005,$S$6:$S$5005,S3906,$D$6:$D$5005,"Vastgesteld"))</f>
        <v/>
      </c>
      <c r="U3906" s="15">
        <f>IF(T3906="",0,IF(AND(G3906=T3906,COUNTIFS($S$6:S3906,S3906,$G$6:G3906,G3906,$D$6:D3906,"Vastgesteld")=1),1,0))</f>
        <v>0</v>
      </c>
      <c r="V3906" s="15">
        <f>IF(T3906="",0,IF(AND(G3906=T3906,COUNTIFS($S$6:S3906,S3906,$G$6:G3906,G3906,$D$6:D3906,"Vastgesteld")&gt;1),1,0))</f>
        <v>0</v>
      </c>
    </row>
    <row r="3907">
      <c r="S3907" s="15" t="str">
        <f>IF(J3907="","",J3907&amp;"|"&amp;E3907&amp;"|"&amp;F3907&amp;"|"&amp;I3907&amp;"|"&amp;O3907)</f>
        <v/>
      </c>
      <c r="T3907" s="15" t="str">
        <f>IF(OR(S3907="",D3907&lt;&gt;"Vastgesteld"),"",_xlfn.MAXIFS($G$6:$G$5005,$S$6:$S$5005,S3907,$D$6:$D$5005,"Vastgesteld"))</f>
        <v/>
      </c>
      <c r="U3907" s="15">
        <f>IF(T3907="",0,IF(AND(G3907=T3907,COUNTIFS($S$6:S3907,S3907,$G$6:G3907,G3907,$D$6:D3907,"Vastgesteld")=1),1,0))</f>
        <v>0</v>
      </c>
      <c r="V3907" s="15">
        <f>IF(T3907="",0,IF(AND(G3907=T3907,COUNTIFS($S$6:S3907,S3907,$G$6:G3907,G3907,$D$6:D3907,"Vastgesteld")&gt;1),1,0))</f>
        <v>0</v>
      </c>
    </row>
    <row r="3908">
      <c r="S3908" s="15" t="str">
        <f>IF(J3908="","",J3908&amp;"|"&amp;E3908&amp;"|"&amp;F3908&amp;"|"&amp;I3908&amp;"|"&amp;O3908)</f>
        <v/>
      </c>
      <c r="T3908" s="15" t="str">
        <f>IF(OR(S3908="",D3908&lt;&gt;"Vastgesteld"),"",_xlfn.MAXIFS($G$6:$G$5005,$S$6:$S$5005,S3908,$D$6:$D$5005,"Vastgesteld"))</f>
        <v/>
      </c>
      <c r="U3908" s="15">
        <f>IF(T3908="",0,IF(AND(G3908=T3908,COUNTIFS($S$6:S3908,S3908,$G$6:G3908,G3908,$D$6:D3908,"Vastgesteld")=1),1,0))</f>
        <v>0</v>
      </c>
      <c r="V3908" s="15">
        <f>IF(T3908="",0,IF(AND(G3908=T3908,COUNTIFS($S$6:S3908,S3908,$G$6:G3908,G3908,$D$6:D3908,"Vastgesteld")&gt;1),1,0))</f>
        <v>0</v>
      </c>
    </row>
    <row r="3909">
      <c r="S3909" s="15" t="str">
        <f>IF(J3909="","",J3909&amp;"|"&amp;E3909&amp;"|"&amp;F3909&amp;"|"&amp;I3909&amp;"|"&amp;O3909)</f>
        <v/>
      </c>
      <c r="T3909" s="15" t="str">
        <f>IF(OR(S3909="",D3909&lt;&gt;"Vastgesteld"),"",_xlfn.MAXIFS($G$6:$G$5005,$S$6:$S$5005,S3909,$D$6:$D$5005,"Vastgesteld"))</f>
        <v/>
      </c>
      <c r="U3909" s="15">
        <f>IF(T3909="",0,IF(AND(G3909=T3909,COUNTIFS($S$6:S3909,S3909,$G$6:G3909,G3909,$D$6:D3909,"Vastgesteld")=1),1,0))</f>
        <v>0</v>
      </c>
      <c r="V3909" s="15">
        <f>IF(T3909="",0,IF(AND(G3909=T3909,COUNTIFS($S$6:S3909,S3909,$G$6:G3909,G3909,$D$6:D3909,"Vastgesteld")&gt;1),1,0))</f>
        <v>0</v>
      </c>
    </row>
    <row r="3910">
      <c r="S3910" s="15" t="str">
        <f>IF(J3910="","",J3910&amp;"|"&amp;E3910&amp;"|"&amp;F3910&amp;"|"&amp;I3910&amp;"|"&amp;O3910)</f>
        <v/>
      </c>
      <c r="T3910" s="15" t="str">
        <f>IF(OR(S3910="",D3910&lt;&gt;"Vastgesteld"),"",_xlfn.MAXIFS($G$6:$G$5005,$S$6:$S$5005,S3910,$D$6:$D$5005,"Vastgesteld"))</f>
        <v/>
      </c>
      <c r="U3910" s="15">
        <f>IF(T3910="",0,IF(AND(G3910=T3910,COUNTIFS($S$6:S3910,S3910,$G$6:G3910,G3910,$D$6:D3910,"Vastgesteld")=1),1,0))</f>
        <v>0</v>
      </c>
      <c r="V3910" s="15">
        <f>IF(T3910="",0,IF(AND(G3910=T3910,COUNTIFS($S$6:S3910,S3910,$G$6:G3910,G3910,$D$6:D3910,"Vastgesteld")&gt;1),1,0))</f>
        <v>0</v>
      </c>
    </row>
    <row r="3911">
      <c r="S3911" s="15" t="str">
        <f>IF(J3911="","",J3911&amp;"|"&amp;E3911&amp;"|"&amp;F3911&amp;"|"&amp;I3911&amp;"|"&amp;O3911)</f>
        <v/>
      </c>
      <c r="T3911" s="15" t="str">
        <f>IF(OR(S3911="",D3911&lt;&gt;"Vastgesteld"),"",_xlfn.MAXIFS($G$6:$G$5005,$S$6:$S$5005,S3911,$D$6:$D$5005,"Vastgesteld"))</f>
        <v/>
      </c>
      <c r="U3911" s="15">
        <f>IF(T3911="",0,IF(AND(G3911=T3911,COUNTIFS($S$6:S3911,S3911,$G$6:G3911,G3911,$D$6:D3911,"Vastgesteld")=1),1,0))</f>
        <v>0</v>
      </c>
      <c r="V3911" s="15">
        <f>IF(T3911="",0,IF(AND(G3911=T3911,COUNTIFS($S$6:S3911,S3911,$G$6:G3911,G3911,$D$6:D3911,"Vastgesteld")&gt;1),1,0))</f>
        <v>0</v>
      </c>
    </row>
    <row r="3912">
      <c r="S3912" s="15" t="str">
        <f>IF(J3912="","",J3912&amp;"|"&amp;E3912&amp;"|"&amp;F3912&amp;"|"&amp;I3912&amp;"|"&amp;O3912)</f>
        <v/>
      </c>
      <c r="T3912" s="15" t="str">
        <f>IF(OR(S3912="",D3912&lt;&gt;"Vastgesteld"),"",_xlfn.MAXIFS($G$6:$G$5005,$S$6:$S$5005,S3912,$D$6:$D$5005,"Vastgesteld"))</f>
        <v/>
      </c>
      <c r="U3912" s="15">
        <f>IF(T3912="",0,IF(AND(G3912=T3912,COUNTIFS($S$6:S3912,S3912,$G$6:G3912,G3912,$D$6:D3912,"Vastgesteld")=1),1,0))</f>
        <v>0</v>
      </c>
      <c r="V3912" s="15">
        <f>IF(T3912="",0,IF(AND(G3912=T3912,COUNTIFS($S$6:S3912,S3912,$G$6:G3912,G3912,$D$6:D3912,"Vastgesteld")&gt;1),1,0))</f>
        <v>0</v>
      </c>
    </row>
    <row r="3913">
      <c r="S3913" s="15" t="str">
        <f>IF(J3913="","",J3913&amp;"|"&amp;E3913&amp;"|"&amp;F3913&amp;"|"&amp;I3913&amp;"|"&amp;O3913)</f>
        <v/>
      </c>
      <c r="T3913" s="15" t="str">
        <f>IF(OR(S3913="",D3913&lt;&gt;"Vastgesteld"),"",_xlfn.MAXIFS($G$6:$G$5005,$S$6:$S$5005,S3913,$D$6:$D$5005,"Vastgesteld"))</f>
        <v/>
      </c>
      <c r="U3913" s="15">
        <f>IF(T3913="",0,IF(AND(G3913=T3913,COUNTIFS($S$6:S3913,S3913,$G$6:G3913,G3913,$D$6:D3913,"Vastgesteld")=1),1,0))</f>
        <v>0</v>
      </c>
      <c r="V3913" s="15">
        <f>IF(T3913="",0,IF(AND(G3913=T3913,COUNTIFS($S$6:S3913,S3913,$G$6:G3913,G3913,$D$6:D3913,"Vastgesteld")&gt;1),1,0))</f>
        <v>0</v>
      </c>
    </row>
    <row r="3914">
      <c r="S3914" s="15" t="str">
        <f>IF(J3914="","",J3914&amp;"|"&amp;E3914&amp;"|"&amp;F3914&amp;"|"&amp;I3914&amp;"|"&amp;O3914)</f>
        <v/>
      </c>
      <c r="T3914" s="15" t="str">
        <f>IF(OR(S3914="",D3914&lt;&gt;"Vastgesteld"),"",_xlfn.MAXIFS($G$6:$G$5005,$S$6:$S$5005,S3914,$D$6:$D$5005,"Vastgesteld"))</f>
        <v/>
      </c>
      <c r="U3914" s="15">
        <f>IF(T3914="",0,IF(AND(G3914=T3914,COUNTIFS($S$6:S3914,S3914,$G$6:G3914,G3914,$D$6:D3914,"Vastgesteld")=1),1,0))</f>
        <v>0</v>
      </c>
      <c r="V3914" s="15">
        <f>IF(T3914="",0,IF(AND(G3914=T3914,COUNTIFS($S$6:S3914,S3914,$G$6:G3914,G3914,$D$6:D3914,"Vastgesteld")&gt;1),1,0))</f>
        <v>0</v>
      </c>
    </row>
    <row r="3915">
      <c r="S3915" s="15" t="str">
        <f>IF(J3915="","",J3915&amp;"|"&amp;E3915&amp;"|"&amp;F3915&amp;"|"&amp;I3915&amp;"|"&amp;O3915)</f>
        <v/>
      </c>
      <c r="T3915" s="15" t="str">
        <f>IF(OR(S3915="",D3915&lt;&gt;"Vastgesteld"),"",_xlfn.MAXIFS($G$6:$G$5005,$S$6:$S$5005,S3915,$D$6:$D$5005,"Vastgesteld"))</f>
        <v/>
      </c>
      <c r="U3915" s="15">
        <f>IF(T3915="",0,IF(AND(G3915=T3915,COUNTIFS($S$6:S3915,S3915,$G$6:G3915,G3915,$D$6:D3915,"Vastgesteld")=1),1,0))</f>
        <v>0</v>
      </c>
      <c r="V3915" s="15">
        <f>IF(T3915="",0,IF(AND(G3915=T3915,COUNTIFS($S$6:S3915,S3915,$G$6:G3915,G3915,$D$6:D3915,"Vastgesteld")&gt;1),1,0))</f>
        <v>0</v>
      </c>
    </row>
    <row r="3916">
      <c r="S3916" s="15" t="str">
        <f>IF(J3916="","",J3916&amp;"|"&amp;E3916&amp;"|"&amp;F3916&amp;"|"&amp;I3916&amp;"|"&amp;O3916)</f>
        <v/>
      </c>
      <c r="T3916" s="15" t="str">
        <f>IF(OR(S3916="",D3916&lt;&gt;"Vastgesteld"),"",_xlfn.MAXIFS($G$6:$G$5005,$S$6:$S$5005,S3916,$D$6:$D$5005,"Vastgesteld"))</f>
        <v/>
      </c>
      <c r="U3916" s="15">
        <f>IF(T3916="",0,IF(AND(G3916=T3916,COUNTIFS($S$6:S3916,S3916,$G$6:G3916,G3916,$D$6:D3916,"Vastgesteld")=1),1,0))</f>
        <v>0</v>
      </c>
      <c r="V3916" s="15">
        <f>IF(T3916="",0,IF(AND(G3916=T3916,COUNTIFS($S$6:S3916,S3916,$G$6:G3916,G3916,$D$6:D3916,"Vastgesteld")&gt;1),1,0))</f>
        <v>0</v>
      </c>
    </row>
    <row r="3917">
      <c r="S3917" s="15" t="str">
        <f>IF(J3917="","",J3917&amp;"|"&amp;E3917&amp;"|"&amp;F3917&amp;"|"&amp;I3917&amp;"|"&amp;O3917)</f>
        <v/>
      </c>
      <c r="T3917" s="15" t="str">
        <f>IF(OR(S3917="",D3917&lt;&gt;"Vastgesteld"),"",_xlfn.MAXIFS($G$6:$G$5005,$S$6:$S$5005,S3917,$D$6:$D$5005,"Vastgesteld"))</f>
        <v/>
      </c>
      <c r="U3917" s="15">
        <f>IF(T3917="",0,IF(AND(G3917=T3917,COUNTIFS($S$6:S3917,S3917,$G$6:G3917,G3917,$D$6:D3917,"Vastgesteld")=1),1,0))</f>
        <v>0</v>
      </c>
      <c r="V3917" s="15">
        <f>IF(T3917="",0,IF(AND(G3917=T3917,COUNTIFS($S$6:S3917,S3917,$G$6:G3917,G3917,$D$6:D3917,"Vastgesteld")&gt;1),1,0))</f>
        <v>0</v>
      </c>
    </row>
    <row r="3918">
      <c r="S3918" s="15" t="str">
        <f>IF(J3918="","",J3918&amp;"|"&amp;E3918&amp;"|"&amp;F3918&amp;"|"&amp;I3918&amp;"|"&amp;O3918)</f>
        <v/>
      </c>
      <c r="T3918" s="15" t="str">
        <f>IF(OR(S3918="",D3918&lt;&gt;"Vastgesteld"),"",_xlfn.MAXIFS($G$6:$G$5005,$S$6:$S$5005,S3918,$D$6:$D$5005,"Vastgesteld"))</f>
        <v/>
      </c>
      <c r="U3918" s="15">
        <f>IF(T3918="",0,IF(AND(G3918=T3918,COUNTIFS($S$6:S3918,S3918,$G$6:G3918,G3918,$D$6:D3918,"Vastgesteld")=1),1,0))</f>
        <v>0</v>
      </c>
      <c r="V3918" s="15">
        <f>IF(T3918="",0,IF(AND(G3918=T3918,COUNTIFS($S$6:S3918,S3918,$G$6:G3918,G3918,$D$6:D3918,"Vastgesteld")&gt;1),1,0))</f>
        <v>0</v>
      </c>
    </row>
    <row r="3919">
      <c r="S3919" s="15" t="str">
        <f>IF(J3919="","",J3919&amp;"|"&amp;E3919&amp;"|"&amp;F3919&amp;"|"&amp;I3919&amp;"|"&amp;O3919)</f>
        <v/>
      </c>
      <c r="T3919" s="15" t="str">
        <f>IF(OR(S3919="",D3919&lt;&gt;"Vastgesteld"),"",_xlfn.MAXIFS($G$6:$G$5005,$S$6:$S$5005,S3919,$D$6:$D$5005,"Vastgesteld"))</f>
        <v/>
      </c>
      <c r="U3919" s="15">
        <f>IF(T3919="",0,IF(AND(G3919=T3919,COUNTIFS($S$6:S3919,S3919,$G$6:G3919,G3919,$D$6:D3919,"Vastgesteld")=1),1,0))</f>
        <v>0</v>
      </c>
      <c r="V3919" s="15">
        <f>IF(T3919="",0,IF(AND(G3919=T3919,COUNTIFS($S$6:S3919,S3919,$G$6:G3919,G3919,$D$6:D3919,"Vastgesteld")&gt;1),1,0))</f>
        <v>0</v>
      </c>
    </row>
    <row r="3920">
      <c r="S3920" s="15" t="str">
        <f>IF(J3920="","",J3920&amp;"|"&amp;E3920&amp;"|"&amp;F3920&amp;"|"&amp;I3920&amp;"|"&amp;O3920)</f>
        <v/>
      </c>
      <c r="T3920" s="15" t="str">
        <f>IF(OR(S3920="",D3920&lt;&gt;"Vastgesteld"),"",_xlfn.MAXIFS($G$6:$G$5005,$S$6:$S$5005,S3920,$D$6:$D$5005,"Vastgesteld"))</f>
        <v/>
      </c>
      <c r="U3920" s="15">
        <f>IF(T3920="",0,IF(AND(G3920=T3920,COUNTIFS($S$6:S3920,S3920,$G$6:G3920,G3920,$D$6:D3920,"Vastgesteld")=1),1,0))</f>
        <v>0</v>
      </c>
      <c r="V3920" s="15">
        <f>IF(T3920="",0,IF(AND(G3920=T3920,COUNTIFS($S$6:S3920,S3920,$G$6:G3920,G3920,$D$6:D3920,"Vastgesteld")&gt;1),1,0))</f>
        <v>0</v>
      </c>
    </row>
    <row r="3921">
      <c r="S3921" s="15" t="str">
        <f>IF(J3921="","",J3921&amp;"|"&amp;E3921&amp;"|"&amp;F3921&amp;"|"&amp;I3921&amp;"|"&amp;O3921)</f>
        <v/>
      </c>
      <c r="T3921" s="15" t="str">
        <f>IF(OR(S3921="",D3921&lt;&gt;"Vastgesteld"),"",_xlfn.MAXIFS($G$6:$G$5005,$S$6:$S$5005,S3921,$D$6:$D$5005,"Vastgesteld"))</f>
        <v/>
      </c>
      <c r="U3921" s="15">
        <f>IF(T3921="",0,IF(AND(G3921=T3921,COUNTIFS($S$6:S3921,S3921,$G$6:G3921,G3921,$D$6:D3921,"Vastgesteld")=1),1,0))</f>
        <v>0</v>
      </c>
      <c r="V3921" s="15">
        <f>IF(T3921="",0,IF(AND(G3921=T3921,COUNTIFS($S$6:S3921,S3921,$G$6:G3921,G3921,$D$6:D3921,"Vastgesteld")&gt;1),1,0))</f>
        <v>0</v>
      </c>
    </row>
    <row r="3922">
      <c r="S3922" s="15" t="str">
        <f>IF(J3922="","",J3922&amp;"|"&amp;E3922&amp;"|"&amp;F3922&amp;"|"&amp;I3922&amp;"|"&amp;O3922)</f>
        <v/>
      </c>
      <c r="T3922" s="15" t="str">
        <f>IF(OR(S3922="",D3922&lt;&gt;"Vastgesteld"),"",_xlfn.MAXIFS($G$6:$G$5005,$S$6:$S$5005,S3922,$D$6:$D$5005,"Vastgesteld"))</f>
        <v/>
      </c>
      <c r="U3922" s="15">
        <f>IF(T3922="",0,IF(AND(G3922=T3922,COUNTIFS($S$6:S3922,S3922,$G$6:G3922,G3922,$D$6:D3922,"Vastgesteld")=1),1,0))</f>
        <v>0</v>
      </c>
      <c r="V3922" s="15">
        <f>IF(T3922="",0,IF(AND(G3922=T3922,COUNTIFS($S$6:S3922,S3922,$G$6:G3922,G3922,$D$6:D3922,"Vastgesteld")&gt;1),1,0))</f>
        <v>0</v>
      </c>
    </row>
    <row r="3923">
      <c r="S3923" s="15" t="str">
        <f>IF(J3923="","",J3923&amp;"|"&amp;E3923&amp;"|"&amp;F3923&amp;"|"&amp;I3923&amp;"|"&amp;O3923)</f>
        <v/>
      </c>
      <c r="T3923" s="15" t="str">
        <f>IF(OR(S3923="",D3923&lt;&gt;"Vastgesteld"),"",_xlfn.MAXIFS($G$6:$G$5005,$S$6:$S$5005,S3923,$D$6:$D$5005,"Vastgesteld"))</f>
        <v/>
      </c>
      <c r="U3923" s="15">
        <f>IF(T3923="",0,IF(AND(G3923=T3923,COUNTIFS($S$6:S3923,S3923,$G$6:G3923,G3923,$D$6:D3923,"Vastgesteld")=1),1,0))</f>
        <v>0</v>
      </c>
      <c r="V3923" s="15">
        <f>IF(T3923="",0,IF(AND(G3923=T3923,COUNTIFS($S$6:S3923,S3923,$G$6:G3923,G3923,$D$6:D3923,"Vastgesteld")&gt;1),1,0))</f>
        <v>0</v>
      </c>
    </row>
    <row r="3924">
      <c r="S3924" s="15" t="str">
        <f>IF(J3924="","",J3924&amp;"|"&amp;E3924&amp;"|"&amp;F3924&amp;"|"&amp;I3924&amp;"|"&amp;O3924)</f>
        <v/>
      </c>
      <c r="T3924" s="15" t="str">
        <f>IF(OR(S3924="",D3924&lt;&gt;"Vastgesteld"),"",_xlfn.MAXIFS($G$6:$G$5005,$S$6:$S$5005,S3924,$D$6:$D$5005,"Vastgesteld"))</f>
        <v/>
      </c>
      <c r="U3924" s="15">
        <f>IF(T3924="",0,IF(AND(G3924=T3924,COUNTIFS($S$6:S3924,S3924,$G$6:G3924,G3924,$D$6:D3924,"Vastgesteld")=1),1,0))</f>
        <v>0</v>
      </c>
      <c r="V3924" s="15">
        <f>IF(T3924="",0,IF(AND(G3924=T3924,COUNTIFS($S$6:S3924,S3924,$G$6:G3924,G3924,$D$6:D3924,"Vastgesteld")&gt;1),1,0))</f>
        <v>0</v>
      </c>
    </row>
    <row r="3925">
      <c r="S3925" s="15" t="str">
        <f>IF(J3925="","",J3925&amp;"|"&amp;E3925&amp;"|"&amp;F3925&amp;"|"&amp;I3925&amp;"|"&amp;O3925)</f>
        <v/>
      </c>
      <c r="T3925" s="15" t="str">
        <f>IF(OR(S3925="",D3925&lt;&gt;"Vastgesteld"),"",_xlfn.MAXIFS($G$6:$G$5005,$S$6:$S$5005,S3925,$D$6:$D$5005,"Vastgesteld"))</f>
        <v/>
      </c>
      <c r="U3925" s="15">
        <f>IF(T3925="",0,IF(AND(G3925=T3925,COUNTIFS($S$6:S3925,S3925,$G$6:G3925,G3925,$D$6:D3925,"Vastgesteld")=1),1,0))</f>
        <v>0</v>
      </c>
      <c r="V3925" s="15">
        <f>IF(T3925="",0,IF(AND(G3925=T3925,COUNTIFS($S$6:S3925,S3925,$G$6:G3925,G3925,$D$6:D3925,"Vastgesteld")&gt;1),1,0))</f>
        <v>0</v>
      </c>
    </row>
    <row r="3926">
      <c r="S3926" s="15" t="str">
        <f>IF(J3926="","",J3926&amp;"|"&amp;E3926&amp;"|"&amp;F3926&amp;"|"&amp;I3926&amp;"|"&amp;O3926)</f>
        <v/>
      </c>
      <c r="T3926" s="15" t="str">
        <f>IF(OR(S3926="",D3926&lt;&gt;"Vastgesteld"),"",_xlfn.MAXIFS($G$6:$G$5005,$S$6:$S$5005,S3926,$D$6:$D$5005,"Vastgesteld"))</f>
        <v/>
      </c>
      <c r="U3926" s="15">
        <f>IF(T3926="",0,IF(AND(G3926=T3926,COUNTIFS($S$6:S3926,S3926,$G$6:G3926,G3926,$D$6:D3926,"Vastgesteld")=1),1,0))</f>
        <v>0</v>
      </c>
      <c r="V3926" s="15">
        <f>IF(T3926="",0,IF(AND(G3926=T3926,COUNTIFS($S$6:S3926,S3926,$G$6:G3926,G3926,$D$6:D3926,"Vastgesteld")&gt;1),1,0))</f>
        <v>0</v>
      </c>
    </row>
    <row r="3927">
      <c r="S3927" s="15" t="str">
        <f>IF(J3927="","",J3927&amp;"|"&amp;E3927&amp;"|"&amp;F3927&amp;"|"&amp;I3927&amp;"|"&amp;O3927)</f>
        <v/>
      </c>
      <c r="T3927" s="15" t="str">
        <f>IF(OR(S3927="",D3927&lt;&gt;"Vastgesteld"),"",_xlfn.MAXIFS($G$6:$G$5005,$S$6:$S$5005,S3927,$D$6:$D$5005,"Vastgesteld"))</f>
        <v/>
      </c>
      <c r="U3927" s="15">
        <f>IF(T3927="",0,IF(AND(G3927=T3927,COUNTIFS($S$6:S3927,S3927,$G$6:G3927,G3927,$D$6:D3927,"Vastgesteld")=1),1,0))</f>
        <v>0</v>
      </c>
      <c r="V3927" s="15">
        <f>IF(T3927="",0,IF(AND(G3927=T3927,COUNTIFS($S$6:S3927,S3927,$G$6:G3927,G3927,$D$6:D3927,"Vastgesteld")&gt;1),1,0))</f>
        <v>0</v>
      </c>
    </row>
    <row r="3928">
      <c r="S3928" s="15" t="str">
        <f>IF(J3928="","",J3928&amp;"|"&amp;E3928&amp;"|"&amp;F3928&amp;"|"&amp;I3928&amp;"|"&amp;O3928)</f>
        <v/>
      </c>
      <c r="T3928" s="15" t="str">
        <f>IF(OR(S3928="",D3928&lt;&gt;"Vastgesteld"),"",_xlfn.MAXIFS($G$6:$G$5005,$S$6:$S$5005,S3928,$D$6:$D$5005,"Vastgesteld"))</f>
        <v/>
      </c>
      <c r="U3928" s="15">
        <f>IF(T3928="",0,IF(AND(G3928=T3928,COUNTIFS($S$6:S3928,S3928,$G$6:G3928,G3928,$D$6:D3928,"Vastgesteld")=1),1,0))</f>
        <v>0</v>
      </c>
      <c r="V3928" s="15">
        <f>IF(T3928="",0,IF(AND(G3928=T3928,COUNTIFS($S$6:S3928,S3928,$G$6:G3928,G3928,$D$6:D3928,"Vastgesteld")&gt;1),1,0))</f>
        <v>0</v>
      </c>
    </row>
    <row r="3929">
      <c r="S3929" s="15" t="str">
        <f>IF(J3929="","",J3929&amp;"|"&amp;E3929&amp;"|"&amp;F3929&amp;"|"&amp;I3929&amp;"|"&amp;O3929)</f>
        <v/>
      </c>
      <c r="T3929" s="15" t="str">
        <f>IF(OR(S3929="",D3929&lt;&gt;"Vastgesteld"),"",_xlfn.MAXIFS($G$6:$G$5005,$S$6:$S$5005,S3929,$D$6:$D$5005,"Vastgesteld"))</f>
        <v/>
      </c>
      <c r="U3929" s="15">
        <f>IF(T3929="",0,IF(AND(G3929=T3929,COUNTIFS($S$6:S3929,S3929,$G$6:G3929,G3929,$D$6:D3929,"Vastgesteld")=1),1,0))</f>
        <v>0</v>
      </c>
      <c r="V3929" s="15">
        <f>IF(T3929="",0,IF(AND(G3929=T3929,COUNTIFS($S$6:S3929,S3929,$G$6:G3929,G3929,$D$6:D3929,"Vastgesteld")&gt;1),1,0))</f>
        <v>0</v>
      </c>
    </row>
    <row r="3930">
      <c r="S3930" s="15" t="str">
        <f>IF(J3930="","",J3930&amp;"|"&amp;E3930&amp;"|"&amp;F3930&amp;"|"&amp;I3930&amp;"|"&amp;O3930)</f>
        <v/>
      </c>
      <c r="T3930" s="15" t="str">
        <f>IF(OR(S3930="",D3930&lt;&gt;"Vastgesteld"),"",_xlfn.MAXIFS($G$6:$G$5005,$S$6:$S$5005,S3930,$D$6:$D$5005,"Vastgesteld"))</f>
        <v/>
      </c>
      <c r="U3930" s="15">
        <f>IF(T3930="",0,IF(AND(G3930=T3930,COUNTIFS($S$6:S3930,S3930,$G$6:G3930,G3930,$D$6:D3930,"Vastgesteld")=1),1,0))</f>
        <v>0</v>
      </c>
      <c r="V3930" s="15">
        <f>IF(T3930="",0,IF(AND(G3930=T3930,COUNTIFS($S$6:S3930,S3930,$G$6:G3930,G3930,$D$6:D3930,"Vastgesteld")&gt;1),1,0))</f>
        <v>0</v>
      </c>
    </row>
    <row r="3931">
      <c r="S3931" s="15" t="str">
        <f>IF(J3931="","",J3931&amp;"|"&amp;E3931&amp;"|"&amp;F3931&amp;"|"&amp;I3931&amp;"|"&amp;O3931)</f>
        <v/>
      </c>
      <c r="T3931" s="15" t="str">
        <f>IF(OR(S3931="",D3931&lt;&gt;"Vastgesteld"),"",_xlfn.MAXIFS($G$6:$G$5005,$S$6:$S$5005,S3931,$D$6:$D$5005,"Vastgesteld"))</f>
        <v/>
      </c>
      <c r="U3931" s="15">
        <f>IF(T3931="",0,IF(AND(G3931=T3931,COUNTIFS($S$6:S3931,S3931,$G$6:G3931,G3931,$D$6:D3931,"Vastgesteld")=1),1,0))</f>
        <v>0</v>
      </c>
      <c r="V3931" s="15">
        <f>IF(T3931="",0,IF(AND(G3931=T3931,COUNTIFS($S$6:S3931,S3931,$G$6:G3931,G3931,$D$6:D3931,"Vastgesteld")&gt;1),1,0))</f>
        <v>0</v>
      </c>
    </row>
    <row r="3932">
      <c r="S3932" s="15" t="str">
        <f>IF(J3932="","",J3932&amp;"|"&amp;E3932&amp;"|"&amp;F3932&amp;"|"&amp;I3932&amp;"|"&amp;O3932)</f>
        <v/>
      </c>
      <c r="T3932" s="15" t="str">
        <f>IF(OR(S3932="",D3932&lt;&gt;"Vastgesteld"),"",_xlfn.MAXIFS($G$6:$G$5005,$S$6:$S$5005,S3932,$D$6:$D$5005,"Vastgesteld"))</f>
        <v/>
      </c>
      <c r="U3932" s="15">
        <f>IF(T3932="",0,IF(AND(G3932=T3932,COUNTIFS($S$6:S3932,S3932,$G$6:G3932,G3932,$D$6:D3932,"Vastgesteld")=1),1,0))</f>
        <v>0</v>
      </c>
      <c r="V3932" s="15">
        <f>IF(T3932="",0,IF(AND(G3932=T3932,COUNTIFS($S$6:S3932,S3932,$G$6:G3932,G3932,$D$6:D3932,"Vastgesteld")&gt;1),1,0))</f>
        <v>0</v>
      </c>
    </row>
    <row r="3933">
      <c r="S3933" s="15" t="str">
        <f>IF(J3933="","",J3933&amp;"|"&amp;E3933&amp;"|"&amp;F3933&amp;"|"&amp;I3933&amp;"|"&amp;O3933)</f>
        <v/>
      </c>
      <c r="T3933" s="15" t="str">
        <f>IF(OR(S3933="",D3933&lt;&gt;"Vastgesteld"),"",_xlfn.MAXIFS($G$6:$G$5005,$S$6:$S$5005,S3933,$D$6:$D$5005,"Vastgesteld"))</f>
        <v/>
      </c>
      <c r="U3933" s="15">
        <f>IF(T3933="",0,IF(AND(G3933=T3933,COUNTIFS($S$6:S3933,S3933,$G$6:G3933,G3933,$D$6:D3933,"Vastgesteld")=1),1,0))</f>
        <v>0</v>
      </c>
      <c r="V3933" s="15">
        <f>IF(T3933="",0,IF(AND(G3933=T3933,COUNTIFS($S$6:S3933,S3933,$G$6:G3933,G3933,$D$6:D3933,"Vastgesteld")&gt;1),1,0))</f>
        <v>0</v>
      </c>
    </row>
    <row r="3934">
      <c r="S3934" s="15" t="str">
        <f>IF(J3934="","",J3934&amp;"|"&amp;E3934&amp;"|"&amp;F3934&amp;"|"&amp;I3934&amp;"|"&amp;O3934)</f>
        <v/>
      </c>
      <c r="T3934" s="15" t="str">
        <f>IF(OR(S3934="",D3934&lt;&gt;"Vastgesteld"),"",_xlfn.MAXIFS($G$6:$G$5005,$S$6:$S$5005,S3934,$D$6:$D$5005,"Vastgesteld"))</f>
        <v/>
      </c>
      <c r="U3934" s="15">
        <f>IF(T3934="",0,IF(AND(G3934=T3934,COUNTIFS($S$6:S3934,S3934,$G$6:G3934,G3934,$D$6:D3934,"Vastgesteld")=1),1,0))</f>
        <v>0</v>
      </c>
      <c r="V3934" s="15">
        <f>IF(T3934="",0,IF(AND(G3934=T3934,COUNTIFS($S$6:S3934,S3934,$G$6:G3934,G3934,$D$6:D3934,"Vastgesteld")&gt;1),1,0))</f>
        <v>0</v>
      </c>
    </row>
    <row r="3935">
      <c r="S3935" s="15" t="str">
        <f>IF(J3935="","",J3935&amp;"|"&amp;E3935&amp;"|"&amp;F3935&amp;"|"&amp;I3935&amp;"|"&amp;O3935)</f>
        <v/>
      </c>
      <c r="T3935" s="15" t="str">
        <f>IF(OR(S3935="",D3935&lt;&gt;"Vastgesteld"),"",_xlfn.MAXIFS($G$6:$G$5005,$S$6:$S$5005,S3935,$D$6:$D$5005,"Vastgesteld"))</f>
        <v/>
      </c>
      <c r="U3935" s="15">
        <f>IF(T3935="",0,IF(AND(G3935=T3935,COUNTIFS($S$6:S3935,S3935,$G$6:G3935,G3935,$D$6:D3935,"Vastgesteld")=1),1,0))</f>
        <v>0</v>
      </c>
      <c r="V3935" s="15">
        <f>IF(T3935="",0,IF(AND(G3935=T3935,COUNTIFS($S$6:S3935,S3935,$G$6:G3935,G3935,$D$6:D3935,"Vastgesteld")&gt;1),1,0))</f>
        <v>0</v>
      </c>
    </row>
    <row r="3936">
      <c r="S3936" s="15" t="str">
        <f>IF(J3936="","",J3936&amp;"|"&amp;E3936&amp;"|"&amp;F3936&amp;"|"&amp;I3936&amp;"|"&amp;O3936)</f>
        <v/>
      </c>
      <c r="T3936" s="15" t="str">
        <f>IF(OR(S3936="",D3936&lt;&gt;"Vastgesteld"),"",_xlfn.MAXIFS($G$6:$G$5005,$S$6:$S$5005,S3936,$D$6:$D$5005,"Vastgesteld"))</f>
        <v/>
      </c>
      <c r="U3936" s="15">
        <f>IF(T3936="",0,IF(AND(G3936=T3936,COUNTIFS($S$6:S3936,S3936,$G$6:G3936,G3936,$D$6:D3936,"Vastgesteld")=1),1,0))</f>
        <v>0</v>
      </c>
      <c r="V3936" s="15">
        <f>IF(T3936="",0,IF(AND(G3936=T3936,COUNTIFS($S$6:S3936,S3936,$G$6:G3936,G3936,$D$6:D3936,"Vastgesteld")&gt;1),1,0))</f>
        <v>0</v>
      </c>
    </row>
    <row r="3937">
      <c r="S3937" s="15" t="str">
        <f>IF(J3937="","",J3937&amp;"|"&amp;E3937&amp;"|"&amp;F3937&amp;"|"&amp;I3937&amp;"|"&amp;O3937)</f>
        <v/>
      </c>
      <c r="T3937" s="15" t="str">
        <f>IF(OR(S3937="",D3937&lt;&gt;"Vastgesteld"),"",_xlfn.MAXIFS($G$6:$G$5005,$S$6:$S$5005,S3937,$D$6:$D$5005,"Vastgesteld"))</f>
        <v/>
      </c>
      <c r="U3937" s="15">
        <f>IF(T3937="",0,IF(AND(G3937=T3937,COUNTIFS($S$6:S3937,S3937,$G$6:G3937,G3937,$D$6:D3937,"Vastgesteld")=1),1,0))</f>
        <v>0</v>
      </c>
      <c r="V3937" s="15">
        <f>IF(T3937="",0,IF(AND(G3937=T3937,COUNTIFS($S$6:S3937,S3937,$G$6:G3937,G3937,$D$6:D3937,"Vastgesteld")&gt;1),1,0))</f>
        <v>0</v>
      </c>
    </row>
    <row r="3938">
      <c r="S3938" s="15" t="str">
        <f>IF(J3938="","",J3938&amp;"|"&amp;E3938&amp;"|"&amp;F3938&amp;"|"&amp;I3938&amp;"|"&amp;O3938)</f>
        <v/>
      </c>
      <c r="T3938" s="15" t="str">
        <f>IF(OR(S3938="",D3938&lt;&gt;"Vastgesteld"),"",_xlfn.MAXIFS($G$6:$G$5005,$S$6:$S$5005,S3938,$D$6:$D$5005,"Vastgesteld"))</f>
        <v/>
      </c>
      <c r="U3938" s="15">
        <f>IF(T3938="",0,IF(AND(G3938=T3938,COUNTIFS($S$6:S3938,S3938,$G$6:G3938,G3938,$D$6:D3938,"Vastgesteld")=1),1,0))</f>
        <v>0</v>
      </c>
      <c r="V3938" s="15">
        <f>IF(T3938="",0,IF(AND(G3938=T3938,COUNTIFS($S$6:S3938,S3938,$G$6:G3938,G3938,$D$6:D3938,"Vastgesteld")&gt;1),1,0))</f>
        <v>0</v>
      </c>
    </row>
    <row r="3939">
      <c r="S3939" s="15" t="str">
        <f>IF(J3939="","",J3939&amp;"|"&amp;E3939&amp;"|"&amp;F3939&amp;"|"&amp;I3939&amp;"|"&amp;O3939)</f>
        <v/>
      </c>
      <c r="T3939" s="15" t="str">
        <f>IF(OR(S3939="",D3939&lt;&gt;"Vastgesteld"),"",_xlfn.MAXIFS($G$6:$G$5005,$S$6:$S$5005,S3939,$D$6:$D$5005,"Vastgesteld"))</f>
        <v/>
      </c>
      <c r="U3939" s="15">
        <f>IF(T3939="",0,IF(AND(G3939=T3939,COUNTIFS($S$6:S3939,S3939,$G$6:G3939,G3939,$D$6:D3939,"Vastgesteld")=1),1,0))</f>
        <v>0</v>
      </c>
      <c r="V3939" s="15">
        <f>IF(T3939="",0,IF(AND(G3939=T3939,COUNTIFS($S$6:S3939,S3939,$G$6:G3939,G3939,$D$6:D3939,"Vastgesteld")&gt;1),1,0))</f>
        <v>0</v>
      </c>
    </row>
    <row r="3940">
      <c r="S3940" s="15" t="str">
        <f>IF(J3940="","",J3940&amp;"|"&amp;E3940&amp;"|"&amp;F3940&amp;"|"&amp;I3940&amp;"|"&amp;O3940)</f>
        <v/>
      </c>
      <c r="T3940" s="15" t="str">
        <f>IF(OR(S3940="",D3940&lt;&gt;"Vastgesteld"),"",_xlfn.MAXIFS($G$6:$G$5005,$S$6:$S$5005,S3940,$D$6:$D$5005,"Vastgesteld"))</f>
        <v/>
      </c>
      <c r="U3940" s="15">
        <f>IF(T3940="",0,IF(AND(G3940=T3940,COUNTIFS($S$6:S3940,S3940,$G$6:G3940,G3940,$D$6:D3940,"Vastgesteld")=1),1,0))</f>
        <v>0</v>
      </c>
      <c r="V3940" s="15">
        <f>IF(T3940="",0,IF(AND(G3940=T3940,COUNTIFS($S$6:S3940,S3940,$G$6:G3940,G3940,$D$6:D3940,"Vastgesteld")&gt;1),1,0))</f>
        <v>0</v>
      </c>
    </row>
    <row r="3941">
      <c r="S3941" s="15" t="str">
        <f>IF(J3941="","",J3941&amp;"|"&amp;E3941&amp;"|"&amp;F3941&amp;"|"&amp;I3941&amp;"|"&amp;O3941)</f>
        <v/>
      </c>
      <c r="T3941" s="15" t="str">
        <f>IF(OR(S3941="",D3941&lt;&gt;"Vastgesteld"),"",_xlfn.MAXIFS($G$6:$G$5005,$S$6:$S$5005,S3941,$D$6:$D$5005,"Vastgesteld"))</f>
        <v/>
      </c>
      <c r="U3941" s="15">
        <f>IF(T3941="",0,IF(AND(G3941=T3941,COUNTIFS($S$6:S3941,S3941,$G$6:G3941,G3941,$D$6:D3941,"Vastgesteld")=1),1,0))</f>
        <v>0</v>
      </c>
      <c r="V3941" s="15">
        <f>IF(T3941="",0,IF(AND(G3941=T3941,COUNTIFS($S$6:S3941,S3941,$G$6:G3941,G3941,$D$6:D3941,"Vastgesteld")&gt;1),1,0))</f>
        <v>0</v>
      </c>
    </row>
    <row r="3942">
      <c r="S3942" s="15" t="str">
        <f>IF(J3942="","",J3942&amp;"|"&amp;E3942&amp;"|"&amp;F3942&amp;"|"&amp;I3942&amp;"|"&amp;O3942)</f>
        <v/>
      </c>
      <c r="T3942" s="15" t="str">
        <f>IF(OR(S3942="",D3942&lt;&gt;"Vastgesteld"),"",_xlfn.MAXIFS($G$6:$G$5005,$S$6:$S$5005,S3942,$D$6:$D$5005,"Vastgesteld"))</f>
        <v/>
      </c>
      <c r="U3942" s="15">
        <f>IF(T3942="",0,IF(AND(G3942=T3942,COUNTIFS($S$6:S3942,S3942,$G$6:G3942,G3942,$D$6:D3942,"Vastgesteld")=1),1,0))</f>
        <v>0</v>
      </c>
      <c r="V3942" s="15">
        <f>IF(T3942="",0,IF(AND(G3942=T3942,COUNTIFS($S$6:S3942,S3942,$G$6:G3942,G3942,$D$6:D3942,"Vastgesteld")&gt;1),1,0))</f>
        <v>0</v>
      </c>
    </row>
    <row r="3943">
      <c r="S3943" s="15" t="str">
        <f>IF(J3943="","",J3943&amp;"|"&amp;E3943&amp;"|"&amp;F3943&amp;"|"&amp;I3943&amp;"|"&amp;O3943)</f>
        <v/>
      </c>
      <c r="T3943" s="15" t="str">
        <f>IF(OR(S3943="",D3943&lt;&gt;"Vastgesteld"),"",_xlfn.MAXIFS($G$6:$G$5005,$S$6:$S$5005,S3943,$D$6:$D$5005,"Vastgesteld"))</f>
        <v/>
      </c>
      <c r="U3943" s="15">
        <f>IF(T3943="",0,IF(AND(G3943=T3943,COUNTIFS($S$6:S3943,S3943,$G$6:G3943,G3943,$D$6:D3943,"Vastgesteld")=1),1,0))</f>
        <v>0</v>
      </c>
      <c r="V3943" s="15">
        <f>IF(T3943="",0,IF(AND(G3943=T3943,COUNTIFS($S$6:S3943,S3943,$G$6:G3943,G3943,$D$6:D3943,"Vastgesteld")&gt;1),1,0))</f>
        <v>0</v>
      </c>
    </row>
    <row r="3944">
      <c r="S3944" s="15" t="str">
        <f>IF(J3944="","",J3944&amp;"|"&amp;E3944&amp;"|"&amp;F3944&amp;"|"&amp;I3944&amp;"|"&amp;O3944)</f>
        <v/>
      </c>
      <c r="T3944" s="15" t="str">
        <f>IF(OR(S3944="",D3944&lt;&gt;"Vastgesteld"),"",_xlfn.MAXIFS($G$6:$G$5005,$S$6:$S$5005,S3944,$D$6:$D$5005,"Vastgesteld"))</f>
        <v/>
      </c>
      <c r="U3944" s="15">
        <f>IF(T3944="",0,IF(AND(G3944=T3944,COUNTIFS($S$6:S3944,S3944,$G$6:G3944,G3944,$D$6:D3944,"Vastgesteld")=1),1,0))</f>
        <v>0</v>
      </c>
      <c r="V3944" s="15">
        <f>IF(T3944="",0,IF(AND(G3944=T3944,COUNTIFS($S$6:S3944,S3944,$G$6:G3944,G3944,$D$6:D3944,"Vastgesteld")&gt;1),1,0))</f>
        <v>0</v>
      </c>
    </row>
    <row r="3945">
      <c r="S3945" s="15" t="str">
        <f>IF(J3945="","",J3945&amp;"|"&amp;E3945&amp;"|"&amp;F3945&amp;"|"&amp;I3945&amp;"|"&amp;O3945)</f>
        <v/>
      </c>
      <c r="T3945" s="15" t="str">
        <f>IF(OR(S3945="",D3945&lt;&gt;"Vastgesteld"),"",_xlfn.MAXIFS($G$6:$G$5005,$S$6:$S$5005,S3945,$D$6:$D$5005,"Vastgesteld"))</f>
        <v/>
      </c>
      <c r="U3945" s="15">
        <f>IF(T3945="",0,IF(AND(G3945=T3945,COUNTIFS($S$6:S3945,S3945,$G$6:G3945,G3945,$D$6:D3945,"Vastgesteld")=1),1,0))</f>
        <v>0</v>
      </c>
      <c r="V3945" s="15">
        <f>IF(T3945="",0,IF(AND(G3945=T3945,COUNTIFS($S$6:S3945,S3945,$G$6:G3945,G3945,$D$6:D3945,"Vastgesteld")&gt;1),1,0))</f>
        <v>0</v>
      </c>
    </row>
    <row r="3946">
      <c r="S3946" s="15" t="str">
        <f>IF(J3946="","",J3946&amp;"|"&amp;E3946&amp;"|"&amp;F3946&amp;"|"&amp;I3946&amp;"|"&amp;O3946)</f>
        <v/>
      </c>
      <c r="T3946" s="15" t="str">
        <f>IF(OR(S3946="",D3946&lt;&gt;"Vastgesteld"),"",_xlfn.MAXIFS($G$6:$G$5005,$S$6:$S$5005,S3946,$D$6:$D$5005,"Vastgesteld"))</f>
        <v/>
      </c>
      <c r="U3946" s="15">
        <f>IF(T3946="",0,IF(AND(G3946=T3946,COUNTIFS($S$6:S3946,S3946,$G$6:G3946,G3946,$D$6:D3946,"Vastgesteld")=1),1,0))</f>
        <v>0</v>
      </c>
      <c r="V3946" s="15">
        <f>IF(T3946="",0,IF(AND(G3946=T3946,COUNTIFS($S$6:S3946,S3946,$G$6:G3946,G3946,$D$6:D3946,"Vastgesteld")&gt;1),1,0))</f>
        <v>0</v>
      </c>
    </row>
    <row r="3947">
      <c r="S3947" s="15" t="str">
        <f>IF(J3947="","",J3947&amp;"|"&amp;E3947&amp;"|"&amp;F3947&amp;"|"&amp;I3947&amp;"|"&amp;O3947)</f>
        <v/>
      </c>
      <c r="T3947" s="15" t="str">
        <f>IF(OR(S3947="",D3947&lt;&gt;"Vastgesteld"),"",_xlfn.MAXIFS($G$6:$G$5005,$S$6:$S$5005,S3947,$D$6:$D$5005,"Vastgesteld"))</f>
        <v/>
      </c>
      <c r="U3947" s="15">
        <f>IF(T3947="",0,IF(AND(G3947=T3947,COUNTIFS($S$6:S3947,S3947,$G$6:G3947,G3947,$D$6:D3947,"Vastgesteld")=1),1,0))</f>
        <v>0</v>
      </c>
      <c r="V3947" s="15">
        <f>IF(T3947="",0,IF(AND(G3947=T3947,COUNTIFS($S$6:S3947,S3947,$G$6:G3947,G3947,$D$6:D3947,"Vastgesteld")&gt;1),1,0))</f>
        <v>0</v>
      </c>
    </row>
    <row r="3948">
      <c r="S3948" s="15" t="str">
        <f>IF(J3948="","",J3948&amp;"|"&amp;E3948&amp;"|"&amp;F3948&amp;"|"&amp;I3948&amp;"|"&amp;O3948)</f>
        <v/>
      </c>
      <c r="T3948" s="15" t="str">
        <f>IF(OR(S3948="",D3948&lt;&gt;"Vastgesteld"),"",_xlfn.MAXIFS($G$6:$G$5005,$S$6:$S$5005,S3948,$D$6:$D$5005,"Vastgesteld"))</f>
        <v/>
      </c>
      <c r="U3948" s="15">
        <f>IF(T3948="",0,IF(AND(G3948=T3948,COUNTIFS($S$6:S3948,S3948,$G$6:G3948,G3948,$D$6:D3948,"Vastgesteld")=1),1,0))</f>
        <v>0</v>
      </c>
      <c r="V3948" s="15">
        <f>IF(T3948="",0,IF(AND(G3948=T3948,COUNTIFS($S$6:S3948,S3948,$G$6:G3948,G3948,$D$6:D3948,"Vastgesteld")&gt;1),1,0))</f>
        <v>0</v>
      </c>
    </row>
    <row r="3949">
      <c r="S3949" s="15" t="str">
        <f>IF(J3949="","",J3949&amp;"|"&amp;E3949&amp;"|"&amp;F3949&amp;"|"&amp;I3949&amp;"|"&amp;O3949)</f>
        <v/>
      </c>
      <c r="T3949" s="15" t="str">
        <f>IF(OR(S3949="",D3949&lt;&gt;"Vastgesteld"),"",_xlfn.MAXIFS($G$6:$G$5005,$S$6:$S$5005,S3949,$D$6:$D$5005,"Vastgesteld"))</f>
        <v/>
      </c>
      <c r="U3949" s="15">
        <f>IF(T3949="",0,IF(AND(G3949=T3949,COUNTIFS($S$6:S3949,S3949,$G$6:G3949,G3949,$D$6:D3949,"Vastgesteld")=1),1,0))</f>
        <v>0</v>
      </c>
      <c r="V3949" s="15">
        <f>IF(T3949="",0,IF(AND(G3949=T3949,COUNTIFS($S$6:S3949,S3949,$G$6:G3949,G3949,$D$6:D3949,"Vastgesteld")&gt;1),1,0))</f>
        <v>0</v>
      </c>
    </row>
    <row r="3950">
      <c r="S3950" s="15" t="str">
        <f>IF(J3950="","",J3950&amp;"|"&amp;E3950&amp;"|"&amp;F3950&amp;"|"&amp;I3950&amp;"|"&amp;O3950)</f>
        <v/>
      </c>
      <c r="T3950" s="15" t="str">
        <f>IF(OR(S3950="",D3950&lt;&gt;"Vastgesteld"),"",_xlfn.MAXIFS($G$6:$G$5005,$S$6:$S$5005,S3950,$D$6:$D$5005,"Vastgesteld"))</f>
        <v/>
      </c>
      <c r="U3950" s="15">
        <f>IF(T3950="",0,IF(AND(G3950=T3950,COUNTIFS($S$6:S3950,S3950,$G$6:G3950,G3950,$D$6:D3950,"Vastgesteld")=1),1,0))</f>
        <v>0</v>
      </c>
      <c r="V3950" s="15">
        <f>IF(T3950="",0,IF(AND(G3950=T3950,COUNTIFS($S$6:S3950,S3950,$G$6:G3950,G3950,$D$6:D3950,"Vastgesteld")&gt;1),1,0))</f>
        <v>0</v>
      </c>
    </row>
    <row r="3951">
      <c r="S3951" s="15" t="str">
        <f>IF(J3951="","",J3951&amp;"|"&amp;E3951&amp;"|"&amp;F3951&amp;"|"&amp;I3951&amp;"|"&amp;O3951)</f>
        <v/>
      </c>
      <c r="T3951" s="15" t="str">
        <f>IF(OR(S3951="",D3951&lt;&gt;"Vastgesteld"),"",_xlfn.MAXIFS($G$6:$G$5005,$S$6:$S$5005,S3951,$D$6:$D$5005,"Vastgesteld"))</f>
        <v/>
      </c>
      <c r="U3951" s="15">
        <f>IF(T3951="",0,IF(AND(G3951=T3951,COUNTIFS($S$6:S3951,S3951,$G$6:G3951,G3951,$D$6:D3951,"Vastgesteld")=1),1,0))</f>
        <v>0</v>
      </c>
      <c r="V3951" s="15">
        <f>IF(T3951="",0,IF(AND(G3951=T3951,COUNTIFS($S$6:S3951,S3951,$G$6:G3951,G3951,$D$6:D3951,"Vastgesteld")&gt;1),1,0))</f>
        <v>0</v>
      </c>
    </row>
    <row r="3952">
      <c r="S3952" s="15" t="str">
        <f>IF(J3952="","",J3952&amp;"|"&amp;E3952&amp;"|"&amp;F3952&amp;"|"&amp;I3952&amp;"|"&amp;O3952)</f>
        <v/>
      </c>
      <c r="T3952" s="15" t="str">
        <f>IF(OR(S3952="",D3952&lt;&gt;"Vastgesteld"),"",_xlfn.MAXIFS($G$6:$G$5005,$S$6:$S$5005,S3952,$D$6:$D$5005,"Vastgesteld"))</f>
        <v/>
      </c>
      <c r="U3952" s="15">
        <f>IF(T3952="",0,IF(AND(G3952=T3952,COUNTIFS($S$6:S3952,S3952,$G$6:G3952,G3952,$D$6:D3952,"Vastgesteld")=1),1,0))</f>
        <v>0</v>
      </c>
      <c r="V3952" s="15">
        <f>IF(T3952="",0,IF(AND(G3952=T3952,COUNTIFS($S$6:S3952,S3952,$G$6:G3952,G3952,$D$6:D3952,"Vastgesteld")&gt;1),1,0))</f>
        <v>0</v>
      </c>
    </row>
    <row r="3953">
      <c r="S3953" s="15" t="str">
        <f>IF(J3953="","",J3953&amp;"|"&amp;E3953&amp;"|"&amp;F3953&amp;"|"&amp;I3953&amp;"|"&amp;O3953)</f>
        <v/>
      </c>
      <c r="T3953" s="15" t="str">
        <f>IF(OR(S3953="",D3953&lt;&gt;"Vastgesteld"),"",_xlfn.MAXIFS($G$6:$G$5005,$S$6:$S$5005,S3953,$D$6:$D$5005,"Vastgesteld"))</f>
        <v/>
      </c>
      <c r="U3953" s="15">
        <f>IF(T3953="",0,IF(AND(G3953=T3953,COUNTIFS($S$6:S3953,S3953,$G$6:G3953,G3953,$D$6:D3953,"Vastgesteld")=1),1,0))</f>
        <v>0</v>
      </c>
      <c r="V3953" s="15">
        <f>IF(T3953="",0,IF(AND(G3953=T3953,COUNTIFS($S$6:S3953,S3953,$G$6:G3953,G3953,$D$6:D3953,"Vastgesteld")&gt;1),1,0))</f>
        <v>0</v>
      </c>
    </row>
    <row r="3954">
      <c r="S3954" s="15" t="str">
        <f>IF(J3954="","",J3954&amp;"|"&amp;E3954&amp;"|"&amp;F3954&amp;"|"&amp;I3954&amp;"|"&amp;O3954)</f>
        <v/>
      </c>
      <c r="T3954" s="15" t="str">
        <f>IF(OR(S3954="",D3954&lt;&gt;"Vastgesteld"),"",_xlfn.MAXIFS($G$6:$G$5005,$S$6:$S$5005,S3954,$D$6:$D$5005,"Vastgesteld"))</f>
        <v/>
      </c>
      <c r="U3954" s="15">
        <f>IF(T3954="",0,IF(AND(G3954=T3954,COUNTIFS($S$6:S3954,S3954,$G$6:G3954,G3954,$D$6:D3954,"Vastgesteld")=1),1,0))</f>
        <v>0</v>
      </c>
      <c r="V3954" s="15">
        <f>IF(T3954="",0,IF(AND(G3954=T3954,COUNTIFS($S$6:S3954,S3954,$G$6:G3954,G3954,$D$6:D3954,"Vastgesteld")&gt;1),1,0))</f>
        <v>0</v>
      </c>
    </row>
    <row r="3955">
      <c r="S3955" s="15" t="str">
        <f>IF(J3955="","",J3955&amp;"|"&amp;E3955&amp;"|"&amp;F3955&amp;"|"&amp;I3955&amp;"|"&amp;O3955)</f>
        <v/>
      </c>
      <c r="T3955" s="15" t="str">
        <f>IF(OR(S3955="",D3955&lt;&gt;"Vastgesteld"),"",_xlfn.MAXIFS($G$6:$G$5005,$S$6:$S$5005,S3955,$D$6:$D$5005,"Vastgesteld"))</f>
        <v/>
      </c>
      <c r="U3955" s="15">
        <f>IF(T3955="",0,IF(AND(G3955=T3955,COUNTIFS($S$6:S3955,S3955,$G$6:G3955,G3955,$D$6:D3955,"Vastgesteld")=1),1,0))</f>
        <v>0</v>
      </c>
      <c r="V3955" s="15">
        <f>IF(T3955="",0,IF(AND(G3955=T3955,COUNTIFS($S$6:S3955,S3955,$G$6:G3955,G3955,$D$6:D3955,"Vastgesteld")&gt;1),1,0))</f>
        <v>0</v>
      </c>
    </row>
    <row r="3956">
      <c r="S3956" s="15" t="str">
        <f>IF(J3956="","",J3956&amp;"|"&amp;E3956&amp;"|"&amp;F3956&amp;"|"&amp;I3956&amp;"|"&amp;O3956)</f>
        <v/>
      </c>
      <c r="T3956" s="15" t="str">
        <f>IF(OR(S3956="",D3956&lt;&gt;"Vastgesteld"),"",_xlfn.MAXIFS($G$6:$G$5005,$S$6:$S$5005,S3956,$D$6:$D$5005,"Vastgesteld"))</f>
        <v/>
      </c>
      <c r="U3956" s="15">
        <f>IF(T3956="",0,IF(AND(G3956=T3956,COUNTIFS($S$6:S3956,S3956,$G$6:G3956,G3956,$D$6:D3956,"Vastgesteld")=1),1,0))</f>
        <v>0</v>
      </c>
      <c r="V3956" s="15">
        <f>IF(T3956="",0,IF(AND(G3956=T3956,COUNTIFS($S$6:S3956,S3956,$G$6:G3956,G3956,$D$6:D3956,"Vastgesteld")&gt;1),1,0))</f>
        <v>0</v>
      </c>
    </row>
    <row r="3957">
      <c r="S3957" s="15" t="str">
        <f>IF(J3957="","",J3957&amp;"|"&amp;E3957&amp;"|"&amp;F3957&amp;"|"&amp;I3957&amp;"|"&amp;O3957)</f>
        <v/>
      </c>
      <c r="T3957" s="15" t="str">
        <f>IF(OR(S3957="",D3957&lt;&gt;"Vastgesteld"),"",_xlfn.MAXIFS($G$6:$G$5005,$S$6:$S$5005,S3957,$D$6:$D$5005,"Vastgesteld"))</f>
        <v/>
      </c>
      <c r="U3957" s="15">
        <f>IF(T3957="",0,IF(AND(G3957=T3957,COUNTIFS($S$6:S3957,S3957,$G$6:G3957,G3957,$D$6:D3957,"Vastgesteld")=1),1,0))</f>
        <v>0</v>
      </c>
      <c r="V3957" s="15">
        <f>IF(T3957="",0,IF(AND(G3957=T3957,COUNTIFS($S$6:S3957,S3957,$G$6:G3957,G3957,$D$6:D3957,"Vastgesteld")&gt;1),1,0))</f>
        <v>0</v>
      </c>
    </row>
    <row r="3958">
      <c r="S3958" s="15" t="str">
        <f>IF(J3958="","",J3958&amp;"|"&amp;E3958&amp;"|"&amp;F3958&amp;"|"&amp;I3958&amp;"|"&amp;O3958)</f>
        <v/>
      </c>
      <c r="T3958" s="15" t="str">
        <f>IF(OR(S3958="",D3958&lt;&gt;"Vastgesteld"),"",_xlfn.MAXIFS($G$6:$G$5005,$S$6:$S$5005,S3958,$D$6:$D$5005,"Vastgesteld"))</f>
        <v/>
      </c>
      <c r="U3958" s="15">
        <f>IF(T3958="",0,IF(AND(G3958=T3958,COUNTIFS($S$6:S3958,S3958,$G$6:G3958,G3958,$D$6:D3958,"Vastgesteld")=1),1,0))</f>
        <v>0</v>
      </c>
      <c r="V3958" s="15">
        <f>IF(T3958="",0,IF(AND(G3958=T3958,COUNTIFS($S$6:S3958,S3958,$G$6:G3958,G3958,$D$6:D3958,"Vastgesteld")&gt;1),1,0))</f>
        <v>0</v>
      </c>
    </row>
    <row r="3959">
      <c r="S3959" s="15" t="str">
        <f>IF(J3959="","",J3959&amp;"|"&amp;E3959&amp;"|"&amp;F3959&amp;"|"&amp;I3959&amp;"|"&amp;O3959)</f>
        <v/>
      </c>
      <c r="T3959" s="15" t="str">
        <f>IF(OR(S3959="",D3959&lt;&gt;"Vastgesteld"),"",_xlfn.MAXIFS($G$6:$G$5005,$S$6:$S$5005,S3959,$D$6:$D$5005,"Vastgesteld"))</f>
        <v/>
      </c>
      <c r="U3959" s="15">
        <f>IF(T3959="",0,IF(AND(G3959=T3959,COUNTIFS($S$6:S3959,S3959,$G$6:G3959,G3959,$D$6:D3959,"Vastgesteld")=1),1,0))</f>
        <v>0</v>
      </c>
      <c r="V3959" s="15">
        <f>IF(T3959="",0,IF(AND(G3959=T3959,COUNTIFS($S$6:S3959,S3959,$G$6:G3959,G3959,$D$6:D3959,"Vastgesteld")&gt;1),1,0))</f>
        <v>0</v>
      </c>
    </row>
    <row r="3960">
      <c r="S3960" s="15" t="str">
        <f>IF(J3960="","",J3960&amp;"|"&amp;E3960&amp;"|"&amp;F3960&amp;"|"&amp;I3960&amp;"|"&amp;O3960)</f>
        <v/>
      </c>
      <c r="T3960" s="15" t="str">
        <f>IF(OR(S3960="",D3960&lt;&gt;"Vastgesteld"),"",_xlfn.MAXIFS($G$6:$G$5005,$S$6:$S$5005,S3960,$D$6:$D$5005,"Vastgesteld"))</f>
        <v/>
      </c>
      <c r="U3960" s="15">
        <f>IF(T3960="",0,IF(AND(G3960=T3960,COUNTIFS($S$6:S3960,S3960,$G$6:G3960,G3960,$D$6:D3960,"Vastgesteld")=1),1,0))</f>
        <v>0</v>
      </c>
      <c r="V3960" s="15">
        <f>IF(T3960="",0,IF(AND(G3960=T3960,COUNTIFS($S$6:S3960,S3960,$G$6:G3960,G3960,$D$6:D3960,"Vastgesteld")&gt;1),1,0))</f>
        <v>0</v>
      </c>
    </row>
    <row r="3961">
      <c r="S3961" s="15" t="str">
        <f>IF(J3961="","",J3961&amp;"|"&amp;E3961&amp;"|"&amp;F3961&amp;"|"&amp;I3961&amp;"|"&amp;O3961)</f>
        <v/>
      </c>
      <c r="T3961" s="15" t="str">
        <f>IF(OR(S3961="",D3961&lt;&gt;"Vastgesteld"),"",_xlfn.MAXIFS($G$6:$G$5005,$S$6:$S$5005,S3961,$D$6:$D$5005,"Vastgesteld"))</f>
        <v/>
      </c>
      <c r="U3961" s="15">
        <f>IF(T3961="",0,IF(AND(G3961=T3961,COUNTIFS($S$6:S3961,S3961,$G$6:G3961,G3961,$D$6:D3961,"Vastgesteld")=1),1,0))</f>
        <v>0</v>
      </c>
      <c r="V3961" s="15">
        <f>IF(T3961="",0,IF(AND(G3961=T3961,COUNTIFS($S$6:S3961,S3961,$G$6:G3961,G3961,$D$6:D3961,"Vastgesteld")&gt;1),1,0))</f>
        <v>0</v>
      </c>
    </row>
    <row r="3962">
      <c r="S3962" s="15" t="str">
        <f>IF(J3962="","",J3962&amp;"|"&amp;E3962&amp;"|"&amp;F3962&amp;"|"&amp;I3962&amp;"|"&amp;O3962)</f>
        <v/>
      </c>
      <c r="T3962" s="15" t="str">
        <f>IF(OR(S3962="",D3962&lt;&gt;"Vastgesteld"),"",_xlfn.MAXIFS($G$6:$G$5005,$S$6:$S$5005,S3962,$D$6:$D$5005,"Vastgesteld"))</f>
        <v/>
      </c>
      <c r="U3962" s="15">
        <f>IF(T3962="",0,IF(AND(G3962=T3962,COUNTIFS($S$6:S3962,S3962,$G$6:G3962,G3962,$D$6:D3962,"Vastgesteld")=1),1,0))</f>
        <v>0</v>
      </c>
      <c r="V3962" s="15">
        <f>IF(T3962="",0,IF(AND(G3962=T3962,COUNTIFS($S$6:S3962,S3962,$G$6:G3962,G3962,$D$6:D3962,"Vastgesteld")&gt;1),1,0))</f>
        <v>0</v>
      </c>
    </row>
    <row r="3963">
      <c r="S3963" s="15" t="str">
        <f>IF(J3963="","",J3963&amp;"|"&amp;E3963&amp;"|"&amp;F3963&amp;"|"&amp;I3963&amp;"|"&amp;O3963)</f>
        <v/>
      </c>
      <c r="T3963" s="15" t="str">
        <f>IF(OR(S3963="",D3963&lt;&gt;"Vastgesteld"),"",_xlfn.MAXIFS($G$6:$G$5005,$S$6:$S$5005,S3963,$D$6:$D$5005,"Vastgesteld"))</f>
        <v/>
      </c>
      <c r="U3963" s="15">
        <f>IF(T3963="",0,IF(AND(G3963=T3963,COUNTIFS($S$6:S3963,S3963,$G$6:G3963,G3963,$D$6:D3963,"Vastgesteld")=1),1,0))</f>
        <v>0</v>
      </c>
      <c r="V3963" s="15">
        <f>IF(T3963="",0,IF(AND(G3963=T3963,COUNTIFS($S$6:S3963,S3963,$G$6:G3963,G3963,$D$6:D3963,"Vastgesteld")&gt;1),1,0))</f>
        <v>0</v>
      </c>
    </row>
    <row r="3964">
      <c r="S3964" s="15" t="str">
        <f>IF(J3964="","",J3964&amp;"|"&amp;E3964&amp;"|"&amp;F3964&amp;"|"&amp;I3964&amp;"|"&amp;O3964)</f>
        <v/>
      </c>
      <c r="T3964" s="15" t="str">
        <f>IF(OR(S3964="",D3964&lt;&gt;"Vastgesteld"),"",_xlfn.MAXIFS($G$6:$G$5005,$S$6:$S$5005,S3964,$D$6:$D$5005,"Vastgesteld"))</f>
        <v/>
      </c>
      <c r="U3964" s="15">
        <f>IF(T3964="",0,IF(AND(G3964=T3964,COUNTIFS($S$6:S3964,S3964,$G$6:G3964,G3964,$D$6:D3964,"Vastgesteld")=1),1,0))</f>
        <v>0</v>
      </c>
      <c r="V3964" s="15">
        <f>IF(T3964="",0,IF(AND(G3964=T3964,COUNTIFS($S$6:S3964,S3964,$G$6:G3964,G3964,$D$6:D3964,"Vastgesteld")&gt;1),1,0))</f>
        <v>0</v>
      </c>
    </row>
    <row r="3965">
      <c r="S3965" s="15" t="str">
        <f>IF(J3965="","",J3965&amp;"|"&amp;E3965&amp;"|"&amp;F3965&amp;"|"&amp;I3965&amp;"|"&amp;O3965)</f>
        <v/>
      </c>
      <c r="T3965" s="15" t="str">
        <f>IF(OR(S3965="",D3965&lt;&gt;"Vastgesteld"),"",_xlfn.MAXIFS($G$6:$G$5005,$S$6:$S$5005,S3965,$D$6:$D$5005,"Vastgesteld"))</f>
        <v/>
      </c>
      <c r="U3965" s="15">
        <f>IF(T3965="",0,IF(AND(G3965=T3965,COUNTIFS($S$6:S3965,S3965,$G$6:G3965,G3965,$D$6:D3965,"Vastgesteld")=1),1,0))</f>
        <v>0</v>
      </c>
      <c r="V3965" s="15">
        <f>IF(T3965="",0,IF(AND(G3965=T3965,COUNTIFS($S$6:S3965,S3965,$G$6:G3965,G3965,$D$6:D3965,"Vastgesteld")&gt;1),1,0))</f>
        <v>0</v>
      </c>
    </row>
    <row r="3966">
      <c r="S3966" s="15" t="str">
        <f>IF(J3966="","",J3966&amp;"|"&amp;E3966&amp;"|"&amp;F3966&amp;"|"&amp;I3966&amp;"|"&amp;O3966)</f>
        <v/>
      </c>
      <c r="T3966" s="15" t="str">
        <f>IF(OR(S3966="",D3966&lt;&gt;"Vastgesteld"),"",_xlfn.MAXIFS($G$6:$G$5005,$S$6:$S$5005,S3966,$D$6:$D$5005,"Vastgesteld"))</f>
        <v/>
      </c>
      <c r="U3966" s="15">
        <f>IF(T3966="",0,IF(AND(G3966=T3966,COUNTIFS($S$6:S3966,S3966,$G$6:G3966,G3966,$D$6:D3966,"Vastgesteld")=1),1,0))</f>
        <v>0</v>
      </c>
      <c r="V3966" s="15">
        <f>IF(T3966="",0,IF(AND(G3966=T3966,COUNTIFS($S$6:S3966,S3966,$G$6:G3966,G3966,$D$6:D3966,"Vastgesteld")&gt;1),1,0))</f>
        <v>0</v>
      </c>
    </row>
    <row r="3967">
      <c r="S3967" s="15" t="str">
        <f>IF(J3967="","",J3967&amp;"|"&amp;E3967&amp;"|"&amp;F3967&amp;"|"&amp;I3967&amp;"|"&amp;O3967)</f>
        <v/>
      </c>
      <c r="T3967" s="15" t="str">
        <f>IF(OR(S3967="",D3967&lt;&gt;"Vastgesteld"),"",_xlfn.MAXIFS($G$6:$G$5005,$S$6:$S$5005,S3967,$D$6:$D$5005,"Vastgesteld"))</f>
        <v/>
      </c>
      <c r="U3967" s="15">
        <f>IF(T3967="",0,IF(AND(G3967=T3967,COUNTIFS($S$6:S3967,S3967,$G$6:G3967,G3967,$D$6:D3967,"Vastgesteld")=1),1,0))</f>
        <v>0</v>
      </c>
      <c r="V3967" s="15">
        <f>IF(T3967="",0,IF(AND(G3967=T3967,COUNTIFS($S$6:S3967,S3967,$G$6:G3967,G3967,$D$6:D3967,"Vastgesteld")&gt;1),1,0))</f>
        <v>0</v>
      </c>
    </row>
    <row r="3968">
      <c r="S3968" s="15" t="str">
        <f>IF(J3968="","",J3968&amp;"|"&amp;E3968&amp;"|"&amp;F3968&amp;"|"&amp;I3968&amp;"|"&amp;O3968)</f>
        <v/>
      </c>
      <c r="T3968" s="15" t="str">
        <f>IF(OR(S3968="",D3968&lt;&gt;"Vastgesteld"),"",_xlfn.MAXIFS($G$6:$G$5005,$S$6:$S$5005,S3968,$D$6:$D$5005,"Vastgesteld"))</f>
        <v/>
      </c>
      <c r="U3968" s="15">
        <f>IF(T3968="",0,IF(AND(G3968=T3968,COUNTIFS($S$6:S3968,S3968,$G$6:G3968,G3968,$D$6:D3968,"Vastgesteld")=1),1,0))</f>
        <v>0</v>
      </c>
      <c r="V3968" s="15">
        <f>IF(T3968="",0,IF(AND(G3968=T3968,COUNTIFS($S$6:S3968,S3968,$G$6:G3968,G3968,$D$6:D3968,"Vastgesteld")&gt;1),1,0))</f>
        <v>0</v>
      </c>
    </row>
    <row r="3969">
      <c r="S3969" s="15" t="str">
        <f>IF(J3969="","",J3969&amp;"|"&amp;E3969&amp;"|"&amp;F3969&amp;"|"&amp;I3969&amp;"|"&amp;O3969)</f>
        <v/>
      </c>
      <c r="T3969" s="15" t="str">
        <f>IF(OR(S3969="",D3969&lt;&gt;"Vastgesteld"),"",_xlfn.MAXIFS($G$6:$G$5005,$S$6:$S$5005,S3969,$D$6:$D$5005,"Vastgesteld"))</f>
        <v/>
      </c>
      <c r="U3969" s="15">
        <f>IF(T3969="",0,IF(AND(G3969=T3969,COUNTIFS($S$6:S3969,S3969,$G$6:G3969,G3969,$D$6:D3969,"Vastgesteld")=1),1,0))</f>
        <v>0</v>
      </c>
      <c r="V3969" s="15">
        <f>IF(T3969="",0,IF(AND(G3969=T3969,COUNTIFS($S$6:S3969,S3969,$G$6:G3969,G3969,$D$6:D3969,"Vastgesteld")&gt;1),1,0))</f>
        <v>0</v>
      </c>
    </row>
    <row r="3970">
      <c r="S3970" s="15" t="str">
        <f>IF(J3970="","",J3970&amp;"|"&amp;E3970&amp;"|"&amp;F3970&amp;"|"&amp;I3970&amp;"|"&amp;O3970)</f>
        <v/>
      </c>
      <c r="T3970" s="15" t="str">
        <f>IF(OR(S3970="",D3970&lt;&gt;"Vastgesteld"),"",_xlfn.MAXIFS($G$6:$G$5005,$S$6:$S$5005,S3970,$D$6:$D$5005,"Vastgesteld"))</f>
        <v/>
      </c>
      <c r="U3970" s="15">
        <f>IF(T3970="",0,IF(AND(G3970=T3970,COUNTIFS($S$6:S3970,S3970,$G$6:G3970,G3970,$D$6:D3970,"Vastgesteld")=1),1,0))</f>
        <v>0</v>
      </c>
      <c r="V3970" s="15">
        <f>IF(T3970="",0,IF(AND(G3970=T3970,COUNTIFS($S$6:S3970,S3970,$G$6:G3970,G3970,$D$6:D3970,"Vastgesteld")&gt;1),1,0))</f>
        <v>0</v>
      </c>
    </row>
    <row r="3971">
      <c r="S3971" s="15" t="str">
        <f>IF(J3971="","",J3971&amp;"|"&amp;E3971&amp;"|"&amp;F3971&amp;"|"&amp;I3971&amp;"|"&amp;O3971)</f>
        <v/>
      </c>
      <c r="T3971" s="15" t="str">
        <f>IF(OR(S3971="",D3971&lt;&gt;"Vastgesteld"),"",_xlfn.MAXIFS($G$6:$G$5005,$S$6:$S$5005,S3971,$D$6:$D$5005,"Vastgesteld"))</f>
        <v/>
      </c>
      <c r="U3971" s="15">
        <f>IF(T3971="",0,IF(AND(G3971=T3971,COUNTIFS($S$6:S3971,S3971,$G$6:G3971,G3971,$D$6:D3971,"Vastgesteld")=1),1,0))</f>
        <v>0</v>
      </c>
      <c r="V3971" s="15">
        <f>IF(T3971="",0,IF(AND(G3971=T3971,COUNTIFS($S$6:S3971,S3971,$G$6:G3971,G3971,$D$6:D3971,"Vastgesteld")&gt;1),1,0))</f>
        <v>0</v>
      </c>
    </row>
    <row r="3972">
      <c r="S3972" s="15" t="str">
        <f>IF(J3972="","",J3972&amp;"|"&amp;E3972&amp;"|"&amp;F3972&amp;"|"&amp;I3972&amp;"|"&amp;O3972)</f>
        <v/>
      </c>
      <c r="T3972" s="15" t="str">
        <f>IF(OR(S3972="",D3972&lt;&gt;"Vastgesteld"),"",_xlfn.MAXIFS($G$6:$G$5005,$S$6:$S$5005,S3972,$D$6:$D$5005,"Vastgesteld"))</f>
        <v/>
      </c>
      <c r="U3972" s="15">
        <f>IF(T3972="",0,IF(AND(G3972=T3972,COUNTIFS($S$6:S3972,S3972,$G$6:G3972,G3972,$D$6:D3972,"Vastgesteld")=1),1,0))</f>
        <v>0</v>
      </c>
      <c r="V3972" s="15">
        <f>IF(T3972="",0,IF(AND(G3972=T3972,COUNTIFS($S$6:S3972,S3972,$G$6:G3972,G3972,$D$6:D3972,"Vastgesteld")&gt;1),1,0))</f>
        <v>0</v>
      </c>
    </row>
    <row r="3973">
      <c r="S3973" s="15" t="str">
        <f>IF(J3973="","",J3973&amp;"|"&amp;E3973&amp;"|"&amp;F3973&amp;"|"&amp;I3973&amp;"|"&amp;O3973)</f>
        <v/>
      </c>
      <c r="T3973" s="15" t="str">
        <f>IF(OR(S3973="",D3973&lt;&gt;"Vastgesteld"),"",_xlfn.MAXIFS($G$6:$G$5005,$S$6:$S$5005,S3973,$D$6:$D$5005,"Vastgesteld"))</f>
        <v/>
      </c>
      <c r="U3973" s="15">
        <f>IF(T3973="",0,IF(AND(G3973=T3973,COUNTIFS($S$6:S3973,S3973,$G$6:G3973,G3973,$D$6:D3973,"Vastgesteld")=1),1,0))</f>
        <v>0</v>
      </c>
      <c r="V3973" s="15">
        <f>IF(T3973="",0,IF(AND(G3973=T3973,COUNTIFS($S$6:S3973,S3973,$G$6:G3973,G3973,$D$6:D3973,"Vastgesteld")&gt;1),1,0))</f>
        <v>0</v>
      </c>
    </row>
    <row r="3974">
      <c r="S3974" s="15" t="str">
        <f>IF(J3974="","",J3974&amp;"|"&amp;E3974&amp;"|"&amp;F3974&amp;"|"&amp;I3974&amp;"|"&amp;O3974)</f>
        <v/>
      </c>
      <c r="T3974" s="15" t="str">
        <f>IF(OR(S3974="",D3974&lt;&gt;"Vastgesteld"),"",_xlfn.MAXIFS($G$6:$G$5005,$S$6:$S$5005,S3974,$D$6:$D$5005,"Vastgesteld"))</f>
        <v/>
      </c>
      <c r="U3974" s="15">
        <f>IF(T3974="",0,IF(AND(G3974=T3974,COUNTIFS($S$6:S3974,S3974,$G$6:G3974,G3974,$D$6:D3974,"Vastgesteld")=1),1,0))</f>
        <v>0</v>
      </c>
      <c r="V3974" s="15">
        <f>IF(T3974="",0,IF(AND(G3974=T3974,COUNTIFS($S$6:S3974,S3974,$G$6:G3974,G3974,$D$6:D3974,"Vastgesteld")&gt;1),1,0))</f>
        <v>0</v>
      </c>
    </row>
    <row r="3975">
      <c r="S3975" s="15" t="str">
        <f>IF(J3975="","",J3975&amp;"|"&amp;E3975&amp;"|"&amp;F3975&amp;"|"&amp;I3975&amp;"|"&amp;O3975)</f>
        <v/>
      </c>
      <c r="T3975" s="15" t="str">
        <f>IF(OR(S3975="",D3975&lt;&gt;"Vastgesteld"),"",_xlfn.MAXIFS($G$6:$G$5005,$S$6:$S$5005,S3975,$D$6:$D$5005,"Vastgesteld"))</f>
        <v/>
      </c>
      <c r="U3975" s="15">
        <f>IF(T3975="",0,IF(AND(G3975=T3975,COUNTIFS($S$6:S3975,S3975,$G$6:G3975,G3975,$D$6:D3975,"Vastgesteld")=1),1,0))</f>
        <v>0</v>
      </c>
      <c r="V3975" s="15">
        <f>IF(T3975="",0,IF(AND(G3975=T3975,COUNTIFS($S$6:S3975,S3975,$G$6:G3975,G3975,$D$6:D3975,"Vastgesteld")&gt;1),1,0))</f>
        <v>0</v>
      </c>
    </row>
    <row r="3976">
      <c r="S3976" s="15" t="str">
        <f>IF(J3976="","",J3976&amp;"|"&amp;E3976&amp;"|"&amp;F3976&amp;"|"&amp;I3976&amp;"|"&amp;O3976)</f>
        <v/>
      </c>
      <c r="T3976" s="15" t="str">
        <f>IF(OR(S3976="",D3976&lt;&gt;"Vastgesteld"),"",_xlfn.MAXIFS($G$6:$G$5005,$S$6:$S$5005,S3976,$D$6:$D$5005,"Vastgesteld"))</f>
        <v/>
      </c>
      <c r="U3976" s="15">
        <f>IF(T3976="",0,IF(AND(G3976=T3976,COUNTIFS($S$6:S3976,S3976,$G$6:G3976,G3976,$D$6:D3976,"Vastgesteld")=1),1,0))</f>
        <v>0</v>
      </c>
      <c r="V3976" s="15">
        <f>IF(T3976="",0,IF(AND(G3976=T3976,COUNTIFS($S$6:S3976,S3976,$G$6:G3976,G3976,$D$6:D3976,"Vastgesteld")&gt;1),1,0))</f>
        <v>0</v>
      </c>
    </row>
    <row r="3977">
      <c r="S3977" s="15" t="str">
        <f>IF(J3977="","",J3977&amp;"|"&amp;E3977&amp;"|"&amp;F3977&amp;"|"&amp;I3977&amp;"|"&amp;O3977)</f>
        <v/>
      </c>
      <c r="T3977" s="15" t="str">
        <f>IF(OR(S3977="",D3977&lt;&gt;"Vastgesteld"),"",_xlfn.MAXIFS($G$6:$G$5005,$S$6:$S$5005,S3977,$D$6:$D$5005,"Vastgesteld"))</f>
        <v/>
      </c>
      <c r="U3977" s="15">
        <f>IF(T3977="",0,IF(AND(G3977=T3977,COUNTIFS($S$6:S3977,S3977,$G$6:G3977,G3977,$D$6:D3977,"Vastgesteld")=1),1,0))</f>
        <v>0</v>
      </c>
      <c r="V3977" s="15">
        <f>IF(T3977="",0,IF(AND(G3977=T3977,COUNTIFS($S$6:S3977,S3977,$G$6:G3977,G3977,$D$6:D3977,"Vastgesteld")&gt;1),1,0))</f>
        <v>0</v>
      </c>
    </row>
    <row r="3978">
      <c r="S3978" s="15" t="str">
        <f>IF(J3978="","",J3978&amp;"|"&amp;E3978&amp;"|"&amp;F3978&amp;"|"&amp;I3978&amp;"|"&amp;O3978)</f>
        <v/>
      </c>
      <c r="T3978" s="15" t="str">
        <f>IF(OR(S3978="",D3978&lt;&gt;"Vastgesteld"),"",_xlfn.MAXIFS($G$6:$G$5005,$S$6:$S$5005,S3978,$D$6:$D$5005,"Vastgesteld"))</f>
        <v/>
      </c>
      <c r="U3978" s="15">
        <f>IF(T3978="",0,IF(AND(G3978=T3978,COUNTIFS($S$6:S3978,S3978,$G$6:G3978,G3978,$D$6:D3978,"Vastgesteld")=1),1,0))</f>
        <v>0</v>
      </c>
      <c r="V3978" s="15">
        <f>IF(T3978="",0,IF(AND(G3978=T3978,COUNTIFS($S$6:S3978,S3978,$G$6:G3978,G3978,$D$6:D3978,"Vastgesteld")&gt;1),1,0))</f>
        <v>0</v>
      </c>
    </row>
    <row r="3979">
      <c r="S3979" s="15" t="str">
        <f>IF(J3979="","",J3979&amp;"|"&amp;E3979&amp;"|"&amp;F3979&amp;"|"&amp;I3979&amp;"|"&amp;O3979)</f>
        <v/>
      </c>
      <c r="T3979" s="15" t="str">
        <f>IF(OR(S3979="",D3979&lt;&gt;"Vastgesteld"),"",_xlfn.MAXIFS($G$6:$G$5005,$S$6:$S$5005,S3979,$D$6:$D$5005,"Vastgesteld"))</f>
        <v/>
      </c>
      <c r="U3979" s="15">
        <f>IF(T3979="",0,IF(AND(G3979=T3979,COUNTIFS($S$6:S3979,S3979,$G$6:G3979,G3979,$D$6:D3979,"Vastgesteld")=1),1,0))</f>
        <v>0</v>
      </c>
      <c r="V3979" s="15">
        <f>IF(T3979="",0,IF(AND(G3979=T3979,COUNTIFS($S$6:S3979,S3979,$G$6:G3979,G3979,$D$6:D3979,"Vastgesteld")&gt;1),1,0))</f>
        <v>0</v>
      </c>
    </row>
    <row r="3980">
      <c r="S3980" s="15" t="str">
        <f>IF(J3980="","",J3980&amp;"|"&amp;E3980&amp;"|"&amp;F3980&amp;"|"&amp;I3980&amp;"|"&amp;O3980)</f>
        <v/>
      </c>
      <c r="T3980" s="15" t="str">
        <f>IF(OR(S3980="",D3980&lt;&gt;"Vastgesteld"),"",_xlfn.MAXIFS($G$6:$G$5005,$S$6:$S$5005,S3980,$D$6:$D$5005,"Vastgesteld"))</f>
        <v/>
      </c>
      <c r="U3980" s="15">
        <f>IF(T3980="",0,IF(AND(G3980=T3980,COUNTIFS($S$6:S3980,S3980,$G$6:G3980,G3980,$D$6:D3980,"Vastgesteld")=1),1,0))</f>
        <v>0</v>
      </c>
      <c r="V3980" s="15">
        <f>IF(T3980="",0,IF(AND(G3980=T3980,COUNTIFS($S$6:S3980,S3980,$G$6:G3980,G3980,$D$6:D3980,"Vastgesteld")&gt;1),1,0))</f>
        <v>0</v>
      </c>
    </row>
    <row r="3981">
      <c r="S3981" s="15" t="str">
        <f>IF(J3981="","",J3981&amp;"|"&amp;E3981&amp;"|"&amp;F3981&amp;"|"&amp;I3981&amp;"|"&amp;O3981)</f>
        <v/>
      </c>
      <c r="T3981" s="15" t="str">
        <f>IF(OR(S3981="",D3981&lt;&gt;"Vastgesteld"),"",_xlfn.MAXIFS($G$6:$G$5005,$S$6:$S$5005,S3981,$D$6:$D$5005,"Vastgesteld"))</f>
        <v/>
      </c>
      <c r="U3981" s="15">
        <f>IF(T3981="",0,IF(AND(G3981=T3981,COUNTIFS($S$6:S3981,S3981,$G$6:G3981,G3981,$D$6:D3981,"Vastgesteld")=1),1,0))</f>
        <v>0</v>
      </c>
      <c r="V3981" s="15">
        <f>IF(T3981="",0,IF(AND(G3981=T3981,COUNTIFS($S$6:S3981,S3981,$G$6:G3981,G3981,$D$6:D3981,"Vastgesteld")&gt;1),1,0))</f>
        <v>0</v>
      </c>
    </row>
    <row r="3982">
      <c r="S3982" s="15" t="str">
        <f>IF(J3982="","",J3982&amp;"|"&amp;E3982&amp;"|"&amp;F3982&amp;"|"&amp;I3982&amp;"|"&amp;O3982)</f>
        <v/>
      </c>
      <c r="T3982" s="15" t="str">
        <f>IF(OR(S3982="",D3982&lt;&gt;"Vastgesteld"),"",_xlfn.MAXIFS($G$6:$G$5005,$S$6:$S$5005,S3982,$D$6:$D$5005,"Vastgesteld"))</f>
        <v/>
      </c>
      <c r="U3982" s="15">
        <f>IF(T3982="",0,IF(AND(G3982=T3982,COUNTIFS($S$6:S3982,S3982,$G$6:G3982,G3982,$D$6:D3982,"Vastgesteld")=1),1,0))</f>
        <v>0</v>
      </c>
      <c r="V3982" s="15">
        <f>IF(T3982="",0,IF(AND(G3982=T3982,COUNTIFS($S$6:S3982,S3982,$G$6:G3982,G3982,$D$6:D3982,"Vastgesteld")&gt;1),1,0))</f>
        <v>0</v>
      </c>
    </row>
    <row r="3983">
      <c r="S3983" s="15" t="str">
        <f>IF(J3983="","",J3983&amp;"|"&amp;E3983&amp;"|"&amp;F3983&amp;"|"&amp;I3983&amp;"|"&amp;O3983)</f>
        <v/>
      </c>
      <c r="T3983" s="15" t="str">
        <f>IF(OR(S3983="",D3983&lt;&gt;"Vastgesteld"),"",_xlfn.MAXIFS($G$6:$G$5005,$S$6:$S$5005,S3983,$D$6:$D$5005,"Vastgesteld"))</f>
        <v/>
      </c>
      <c r="U3983" s="15">
        <f>IF(T3983="",0,IF(AND(G3983=T3983,COUNTIFS($S$6:S3983,S3983,$G$6:G3983,G3983,$D$6:D3983,"Vastgesteld")=1),1,0))</f>
        <v>0</v>
      </c>
      <c r="V3983" s="15">
        <f>IF(T3983="",0,IF(AND(G3983=T3983,COUNTIFS($S$6:S3983,S3983,$G$6:G3983,G3983,$D$6:D3983,"Vastgesteld")&gt;1),1,0))</f>
        <v>0</v>
      </c>
    </row>
    <row r="3984">
      <c r="S3984" s="15" t="str">
        <f>IF(J3984="","",J3984&amp;"|"&amp;E3984&amp;"|"&amp;F3984&amp;"|"&amp;I3984&amp;"|"&amp;O3984)</f>
        <v/>
      </c>
      <c r="T3984" s="15" t="str">
        <f>IF(OR(S3984="",D3984&lt;&gt;"Vastgesteld"),"",_xlfn.MAXIFS($G$6:$G$5005,$S$6:$S$5005,S3984,$D$6:$D$5005,"Vastgesteld"))</f>
        <v/>
      </c>
      <c r="U3984" s="15">
        <f>IF(T3984="",0,IF(AND(G3984=T3984,COUNTIFS($S$6:S3984,S3984,$G$6:G3984,G3984,$D$6:D3984,"Vastgesteld")=1),1,0))</f>
        <v>0</v>
      </c>
      <c r="V3984" s="15">
        <f>IF(T3984="",0,IF(AND(G3984=T3984,COUNTIFS($S$6:S3984,S3984,$G$6:G3984,G3984,$D$6:D3984,"Vastgesteld")&gt;1),1,0))</f>
        <v>0</v>
      </c>
    </row>
    <row r="3985">
      <c r="S3985" s="15" t="str">
        <f>IF(J3985="","",J3985&amp;"|"&amp;E3985&amp;"|"&amp;F3985&amp;"|"&amp;I3985&amp;"|"&amp;O3985)</f>
        <v/>
      </c>
      <c r="T3985" s="15" t="str">
        <f>IF(OR(S3985="",D3985&lt;&gt;"Vastgesteld"),"",_xlfn.MAXIFS($G$6:$G$5005,$S$6:$S$5005,S3985,$D$6:$D$5005,"Vastgesteld"))</f>
        <v/>
      </c>
      <c r="U3985" s="15">
        <f>IF(T3985="",0,IF(AND(G3985=T3985,COUNTIFS($S$6:S3985,S3985,$G$6:G3985,G3985,$D$6:D3985,"Vastgesteld")=1),1,0))</f>
        <v>0</v>
      </c>
      <c r="V3985" s="15">
        <f>IF(T3985="",0,IF(AND(G3985=T3985,COUNTIFS($S$6:S3985,S3985,$G$6:G3985,G3985,$D$6:D3985,"Vastgesteld")&gt;1),1,0))</f>
        <v>0</v>
      </c>
    </row>
    <row r="3986">
      <c r="S3986" s="15" t="str">
        <f>IF(J3986="","",J3986&amp;"|"&amp;E3986&amp;"|"&amp;F3986&amp;"|"&amp;I3986&amp;"|"&amp;O3986)</f>
        <v/>
      </c>
      <c r="T3986" s="15" t="str">
        <f>IF(OR(S3986="",D3986&lt;&gt;"Vastgesteld"),"",_xlfn.MAXIFS($G$6:$G$5005,$S$6:$S$5005,S3986,$D$6:$D$5005,"Vastgesteld"))</f>
        <v/>
      </c>
      <c r="U3986" s="15">
        <f>IF(T3986="",0,IF(AND(G3986=T3986,COUNTIFS($S$6:S3986,S3986,$G$6:G3986,G3986,$D$6:D3986,"Vastgesteld")=1),1,0))</f>
        <v>0</v>
      </c>
      <c r="V3986" s="15">
        <f>IF(T3986="",0,IF(AND(G3986=T3986,COUNTIFS($S$6:S3986,S3986,$G$6:G3986,G3986,$D$6:D3986,"Vastgesteld")&gt;1),1,0))</f>
        <v>0</v>
      </c>
    </row>
    <row r="3987">
      <c r="S3987" s="15" t="str">
        <f>IF(J3987="","",J3987&amp;"|"&amp;E3987&amp;"|"&amp;F3987&amp;"|"&amp;I3987&amp;"|"&amp;O3987)</f>
        <v/>
      </c>
      <c r="T3987" s="15" t="str">
        <f>IF(OR(S3987="",D3987&lt;&gt;"Vastgesteld"),"",_xlfn.MAXIFS($G$6:$G$5005,$S$6:$S$5005,S3987,$D$6:$D$5005,"Vastgesteld"))</f>
        <v/>
      </c>
      <c r="U3987" s="15">
        <f>IF(T3987="",0,IF(AND(G3987=T3987,COUNTIFS($S$6:S3987,S3987,$G$6:G3987,G3987,$D$6:D3987,"Vastgesteld")=1),1,0))</f>
        <v>0</v>
      </c>
      <c r="V3987" s="15">
        <f>IF(T3987="",0,IF(AND(G3987=T3987,COUNTIFS($S$6:S3987,S3987,$G$6:G3987,G3987,$D$6:D3987,"Vastgesteld")&gt;1),1,0))</f>
        <v>0</v>
      </c>
    </row>
    <row r="3988">
      <c r="S3988" s="15" t="str">
        <f>IF(J3988="","",J3988&amp;"|"&amp;E3988&amp;"|"&amp;F3988&amp;"|"&amp;I3988&amp;"|"&amp;O3988)</f>
        <v/>
      </c>
      <c r="T3988" s="15" t="str">
        <f>IF(OR(S3988="",D3988&lt;&gt;"Vastgesteld"),"",_xlfn.MAXIFS($G$6:$G$5005,$S$6:$S$5005,S3988,$D$6:$D$5005,"Vastgesteld"))</f>
        <v/>
      </c>
      <c r="U3988" s="15">
        <f>IF(T3988="",0,IF(AND(G3988=T3988,COUNTIFS($S$6:S3988,S3988,$G$6:G3988,G3988,$D$6:D3988,"Vastgesteld")=1),1,0))</f>
        <v>0</v>
      </c>
      <c r="V3988" s="15">
        <f>IF(T3988="",0,IF(AND(G3988=T3988,COUNTIFS($S$6:S3988,S3988,$G$6:G3988,G3988,$D$6:D3988,"Vastgesteld")&gt;1),1,0))</f>
        <v>0</v>
      </c>
    </row>
    <row r="3989">
      <c r="S3989" s="15" t="str">
        <f>IF(J3989="","",J3989&amp;"|"&amp;E3989&amp;"|"&amp;F3989&amp;"|"&amp;I3989&amp;"|"&amp;O3989)</f>
        <v/>
      </c>
      <c r="T3989" s="15" t="str">
        <f>IF(OR(S3989="",D3989&lt;&gt;"Vastgesteld"),"",_xlfn.MAXIFS($G$6:$G$5005,$S$6:$S$5005,S3989,$D$6:$D$5005,"Vastgesteld"))</f>
        <v/>
      </c>
      <c r="U3989" s="15">
        <f>IF(T3989="",0,IF(AND(G3989=T3989,COUNTIFS($S$6:S3989,S3989,$G$6:G3989,G3989,$D$6:D3989,"Vastgesteld")=1),1,0))</f>
        <v>0</v>
      </c>
      <c r="V3989" s="15">
        <f>IF(T3989="",0,IF(AND(G3989=T3989,COUNTIFS($S$6:S3989,S3989,$G$6:G3989,G3989,$D$6:D3989,"Vastgesteld")&gt;1),1,0))</f>
        <v>0</v>
      </c>
    </row>
    <row r="3990">
      <c r="S3990" s="15" t="str">
        <f>IF(J3990="","",J3990&amp;"|"&amp;E3990&amp;"|"&amp;F3990&amp;"|"&amp;I3990&amp;"|"&amp;O3990)</f>
        <v/>
      </c>
      <c r="T3990" s="15" t="str">
        <f>IF(OR(S3990="",D3990&lt;&gt;"Vastgesteld"),"",_xlfn.MAXIFS($G$6:$G$5005,$S$6:$S$5005,S3990,$D$6:$D$5005,"Vastgesteld"))</f>
        <v/>
      </c>
      <c r="U3990" s="15">
        <f>IF(T3990="",0,IF(AND(G3990=T3990,COUNTIFS($S$6:S3990,S3990,$G$6:G3990,G3990,$D$6:D3990,"Vastgesteld")=1),1,0))</f>
        <v>0</v>
      </c>
      <c r="V3990" s="15">
        <f>IF(T3990="",0,IF(AND(G3990=T3990,COUNTIFS($S$6:S3990,S3990,$G$6:G3990,G3990,$D$6:D3990,"Vastgesteld")&gt;1),1,0))</f>
        <v>0</v>
      </c>
    </row>
    <row r="3991">
      <c r="S3991" s="15" t="str">
        <f>IF(J3991="","",J3991&amp;"|"&amp;E3991&amp;"|"&amp;F3991&amp;"|"&amp;I3991&amp;"|"&amp;O3991)</f>
        <v/>
      </c>
      <c r="T3991" s="15" t="str">
        <f>IF(OR(S3991="",D3991&lt;&gt;"Vastgesteld"),"",_xlfn.MAXIFS($G$6:$G$5005,$S$6:$S$5005,S3991,$D$6:$D$5005,"Vastgesteld"))</f>
        <v/>
      </c>
      <c r="U3991" s="15">
        <f>IF(T3991="",0,IF(AND(G3991=T3991,COUNTIFS($S$6:S3991,S3991,$G$6:G3991,G3991,$D$6:D3991,"Vastgesteld")=1),1,0))</f>
        <v>0</v>
      </c>
      <c r="V3991" s="15">
        <f>IF(T3991="",0,IF(AND(G3991=T3991,COUNTIFS($S$6:S3991,S3991,$G$6:G3991,G3991,$D$6:D3991,"Vastgesteld")&gt;1),1,0))</f>
        <v>0</v>
      </c>
    </row>
    <row r="3992">
      <c r="S3992" s="15" t="str">
        <f>IF(J3992="","",J3992&amp;"|"&amp;E3992&amp;"|"&amp;F3992&amp;"|"&amp;I3992&amp;"|"&amp;O3992)</f>
        <v/>
      </c>
      <c r="T3992" s="15" t="str">
        <f>IF(OR(S3992="",D3992&lt;&gt;"Vastgesteld"),"",_xlfn.MAXIFS($G$6:$G$5005,$S$6:$S$5005,S3992,$D$6:$D$5005,"Vastgesteld"))</f>
        <v/>
      </c>
      <c r="U3992" s="15">
        <f>IF(T3992="",0,IF(AND(G3992=T3992,COUNTIFS($S$6:S3992,S3992,$G$6:G3992,G3992,$D$6:D3992,"Vastgesteld")=1),1,0))</f>
        <v>0</v>
      </c>
      <c r="V3992" s="15">
        <f>IF(T3992="",0,IF(AND(G3992=T3992,COUNTIFS($S$6:S3992,S3992,$G$6:G3992,G3992,$D$6:D3992,"Vastgesteld")&gt;1),1,0))</f>
        <v>0</v>
      </c>
    </row>
    <row r="3993">
      <c r="S3993" s="15" t="str">
        <f>IF(J3993="","",J3993&amp;"|"&amp;E3993&amp;"|"&amp;F3993&amp;"|"&amp;I3993&amp;"|"&amp;O3993)</f>
        <v/>
      </c>
      <c r="T3993" s="15" t="str">
        <f>IF(OR(S3993="",D3993&lt;&gt;"Vastgesteld"),"",_xlfn.MAXIFS($G$6:$G$5005,$S$6:$S$5005,S3993,$D$6:$D$5005,"Vastgesteld"))</f>
        <v/>
      </c>
      <c r="U3993" s="15">
        <f>IF(T3993="",0,IF(AND(G3993=T3993,COUNTIFS($S$6:S3993,S3993,$G$6:G3993,G3993,$D$6:D3993,"Vastgesteld")=1),1,0))</f>
        <v>0</v>
      </c>
      <c r="V3993" s="15">
        <f>IF(T3993="",0,IF(AND(G3993=T3993,COUNTIFS($S$6:S3993,S3993,$G$6:G3993,G3993,$D$6:D3993,"Vastgesteld")&gt;1),1,0))</f>
        <v>0</v>
      </c>
    </row>
    <row r="3994">
      <c r="S3994" s="15" t="str">
        <f>IF(J3994="","",J3994&amp;"|"&amp;E3994&amp;"|"&amp;F3994&amp;"|"&amp;I3994&amp;"|"&amp;O3994)</f>
        <v/>
      </c>
      <c r="T3994" s="15" t="str">
        <f>IF(OR(S3994="",D3994&lt;&gt;"Vastgesteld"),"",_xlfn.MAXIFS($G$6:$G$5005,$S$6:$S$5005,S3994,$D$6:$D$5005,"Vastgesteld"))</f>
        <v/>
      </c>
      <c r="U3994" s="15">
        <f>IF(T3994="",0,IF(AND(G3994=T3994,COUNTIFS($S$6:S3994,S3994,$G$6:G3994,G3994,$D$6:D3994,"Vastgesteld")=1),1,0))</f>
        <v>0</v>
      </c>
      <c r="V3994" s="15">
        <f>IF(T3994="",0,IF(AND(G3994=T3994,COUNTIFS($S$6:S3994,S3994,$G$6:G3994,G3994,$D$6:D3994,"Vastgesteld")&gt;1),1,0))</f>
        <v>0</v>
      </c>
    </row>
    <row r="3995">
      <c r="S3995" s="15" t="str">
        <f>IF(J3995="","",J3995&amp;"|"&amp;E3995&amp;"|"&amp;F3995&amp;"|"&amp;I3995&amp;"|"&amp;O3995)</f>
        <v/>
      </c>
      <c r="T3995" s="15" t="str">
        <f>IF(OR(S3995="",D3995&lt;&gt;"Vastgesteld"),"",_xlfn.MAXIFS($G$6:$G$5005,$S$6:$S$5005,S3995,$D$6:$D$5005,"Vastgesteld"))</f>
        <v/>
      </c>
      <c r="U3995" s="15">
        <f>IF(T3995="",0,IF(AND(G3995=T3995,COUNTIFS($S$6:S3995,S3995,$G$6:G3995,G3995,$D$6:D3995,"Vastgesteld")=1),1,0))</f>
        <v>0</v>
      </c>
      <c r="V3995" s="15">
        <f>IF(T3995="",0,IF(AND(G3995=T3995,COUNTIFS($S$6:S3995,S3995,$G$6:G3995,G3995,$D$6:D3995,"Vastgesteld")&gt;1),1,0))</f>
        <v>0</v>
      </c>
    </row>
    <row r="3996">
      <c r="S3996" s="15" t="str">
        <f>IF(J3996="","",J3996&amp;"|"&amp;E3996&amp;"|"&amp;F3996&amp;"|"&amp;I3996&amp;"|"&amp;O3996)</f>
        <v/>
      </c>
      <c r="T3996" s="15" t="str">
        <f>IF(OR(S3996="",D3996&lt;&gt;"Vastgesteld"),"",_xlfn.MAXIFS($G$6:$G$5005,$S$6:$S$5005,S3996,$D$6:$D$5005,"Vastgesteld"))</f>
        <v/>
      </c>
      <c r="U3996" s="15">
        <f>IF(T3996="",0,IF(AND(G3996=T3996,COUNTIFS($S$6:S3996,S3996,$G$6:G3996,G3996,$D$6:D3996,"Vastgesteld")=1),1,0))</f>
        <v>0</v>
      </c>
      <c r="V3996" s="15">
        <f>IF(T3996="",0,IF(AND(G3996=T3996,COUNTIFS($S$6:S3996,S3996,$G$6:G3996,G3996,$D$6:D3996,"Vastgesteld")&gt;1),1,0))</f>
        <v>0</v>
      </c>
    </row>
    <row r="3997">
      <c r="S3997" s="15" t="str">
        <f>IF(J3997="","",J3997&amp;"|"&amp;E3997&amp;"|"&amp;F3997&amp;"|"&amp;I3997&amp;"|"&amp;O3997)</f>
        <v/>
      </c>
      <c r="T3997" s="15" t="str">
        <f>IF(OR(S3997="",D3997&lt;&gt;"Vastgesteld"),"",_xlfn.MAXIFS($G$6:$G$5005,$S$6:$S$5005,S3997,$D$6:$D$5005,"Vastgesteld"))</f>
        <v/>
      </c>
      <c r="U3997" s="15">
        <f>IF(T3997="",0,IF(AND(G3997=T3997,COUNTIFS($S$6:S3997,S3997,$G$6:G3997,G3997,$D$6:D3997,"Vastgesteld")=1),1,0))</f>
        <v>0</v>
      </c>
      <c r="V3997" s="15">
        <f>IF(T3997="",0,IF(AND(G3997=T3997,COUNTIFS($S$6:S3997,S3997,$G$6:G3997,G3997,$D$6:D3997,"Vastgesteld")&gt;1),1,0))</f>
        <v>0</v>
      </c>
    </row>
    <row r="3998">
      <c r="S3998" s="15" t="str">
        <f>IF(J3998="","",J3998&amp;"|"&amp;E3998&amp;"|"&amp;F3998&amp;"|"&amp;I3998&amp;"|"&amp;O3998)</f>
        <v/>
      </c>
      <c r="T3998" s="15" t="str">
        <f>IF(OR(S3998="",D3998&lt;&gt;"Vastgesteld"),"",_xlfn.MAXIFS($G$6:$G$5005,$S$6:$S$5005,S3998,$D$6:$D$5005,"Vastgesteld"))</f>
        <v/>
      </c>
      <c r="U3998" s="15">
        <f>IF(T3998="",0,IF(AND(G3998=T3998,COUNTIFS($S$6:S3998,S3998,$G$6:G3998,G3998,$D$6:D3998,"Vastgesteld")=1),1,0))</f>
        <v>0</v>
      </c>
      <c r="V3998" s="15">
        <f>IF(T3998="",0,IF(AND(G3998=T3998,COUNTIFS($S$6:S3998,S3998,$G$6:G3998,G3998,$D$6:D3998,"Vastgesteld")&gt;1),1,0))</f>
        <v>0</v>
      </c>
    </row>
    <row r="3999">
      <c r="S3999" s="15" t="str">
        <f>IF(J3999="","",J3999&amp;"|"&amp;E3999&amp;"|"&amp;F3999&amp;"|"&amp;I3999&amp;"|"&amp;O3999)</f>
        <v/>
      </c>
      <c r="T3999" s="15" t="str">
        <f>IF(OR(S3999="",D3999&lt;&gt;"Vastgesteld"),"",_xlfn.MAXIFS($G$6:$G$5005,$S$6:$S$5005,S3999,$D$6:$D$5005,"Vastgesteld"))</f>
        <v/>
      </c>
      <c r="U3999" s="15">
        <f>IF(T3999="",0,IF(AND(G3999=T3999,COUNTIFS($S$6:S3999,S3999,$G$6:G3999,G3999,$D$6:D3999,"Vastgesteld")=1),1,0))</f>
        <v>0</v>
      </c>
      <c r="V3999" s="15">
        <f>IF(T3999="",0,IF(AND(G3999=T3999,COUNTIFS($S$6:S3999,S3999,$G$6:G3999,G3999,$D$6:D3999,"Vastgesteld")&gt;1),1,0))</f>
        <v>0</v>
      </c>
    </row>
    <row r="4000">
      <c r="S4000" s="15" t="str">
        <f>IF(J4000="","",J4000&amp;"|"&amp;E4000&amp;"|"&amp;F4000&amp;"|"&amp;I4000&amp;"|"&amp;O4000)</f>
        <v/>
      </c>
      <c r="T4000" s="15" t="str">
        <f>IF(OR(S4000="",D4000&lt;&gt;"Vastgesteld"),"",_xlfn.MAXIFS($G$6:$G$5005,$S$6:$S$5005,S4000,$D$6:$D$5005,"Vastgesteld"))</f>
        <v/>
      </c>
      <c r="U4000" s="15">
        <f>IF(T4000="",0,IF(AND(G4000=T4000,COUNTIFS($S$6:S4000,S4000,$G$6:G4000,G4000,$D$6:D4000,"Vastgesteld")=1),1,0))</f>
        <v>0</v>
      </c>
      <c r="V4000" s="15">
        <f>IF(T4000="",0,IF(AND(G4000=T4000,COUNTIFS($S$6:S4000,S4000,$G$6:G4000,G4000,$D$6:D4000,"Vastgesteld")&gt;1),1,0))</f>
        <v>0</v>
      </c>
    </row>
    <row r="4001">
      <c r="S4001" s="15" t="str">
        <f>IF(J4001="","",J4001&amp;"|"&amp;E4001&amp;"|"&amp;F4001&amp;"|"&amp;I4001&amp;"|"&amp;O4001)</f>
        <v/>
      </c>
      <c r="T4001" s="15" t="str">
        <f>IF(OR(S4001="",D4001&lt;&gt;"Vastgesteld"),"",_xlfn.MAXIFS($G$6:$G$5005,$S$6:$S$5005,S4001,$D$6:$D$5005,"Vastgesteld"))</f>
        <v/>
      </c>
      <c r="U4001" s="15">
        <f>IF(T4001="",0,IF(AND(G4001=T4001,COUNTIFS($S$6:S4001,S4001,$G$6:G4001,G4001,$D$6:D4001,"Vastgesteld")=1),1,0))</f>
        <v>0</v>
      </c>
      <c r="V4001" s="15">
        <f>IF(T4001="",0,IF(AND(G4001=T4001,COUNTIFS($S$6:S4001,S4001,$G$6:G4001,G4001,$D$6:D4001,"Vastgesteld")&gt;1),1,0))</f>
        <v>0</v>
      </c>
    </row>
    <row r="4002">
      <c r="S4002" s="15" t="str">
        <f>IF(J4002="","",J4002&amp;"|"&amp;E4002&amp;"|"&amp;F4002&amp;"|"&amp;I4002&amp;"|"&amp;O4002)</f>
        <v/>
      </c>
      <c r="T4002" s="15" t="str">
        <f>IF(OR(S4002="",D4002&lt;&gt;"Vastgesteld"),"",_xlfn.MAXIFS($G$6:$G$5005,$S$6:$S$5005,S4002,$D$6:$D$5005,"Vastgesteld"))</f>
        <v/>
      </c>
      <c r="U4002" s="15">
        <f>IF(T4002="",0,IF(AND(G4002=T4002,COUNTIFS($S$6:S4002,S4002,$G$6:G4002,G4002,$D$6:D4002,"Vastgesteld")=1),1,0))</f>
        <v>0</v>
      </c>
      <c r="V4002" s="15">
        <f>IF(T4002="",0,IF(AND(G4002=T4002,COUNTIFS($S$6:S4002,S4002,$G$6:G4002,G4002,$D$6:D4002,"Vastgesteld")&gt;1),1,0))</f>
        <v>0</v>
      </c>
    </row>
    <row r="4003">
      <c r="S4003" s="15" t="str">
        <f>IF(J4003="","",J4003&amp;"|"&amp;E4003&amp;"|"&amp;F4003&amp;"|"&amp;I4003&amp;"|"&amp;O4003)</f>
        <v/>
      </c>
      <c r="T4003" s="15" t="str">
        <f>IF(OR(S4003="",D4003&lt;&gt;"Vastgesteld"),"",_xlfn.MAXIFS($G$6:$G$5005,$S$6:$S$5005,S4003,$D$6:$D$5005,"Vastgesteld"))</f>
        <v/>
      </c>
      <c r="U4003" s="15">
        <f>IF(T4003="",0,IF(AND(G4003=T4003,COUNTIFS($S$6:S4003,S4003,$G$6:G4003,G4003,$D$6:D4003,"Vastgesteld")=1),1,0))</f>
        <v>0</v>
      </c>
      <c r="V4003" s="15">
        <f>IF(T4003="",0,IF(AND(G4003=T4003,COUNTIFS($S$6:S4003,S4003,$G$6:G4003,G4003,$D$6:D4003,"Vastgesteld")&gt;1),1,0))</f>
        <v>0</v>
      </c>
    </row>
    <row r="4004">
      <c r="S4004" s="15" t="str">
        <f>IF(J4004="","",J4004&amp;"|"&amp;E4004&amp;"|"&amp;F4004&amp;"|"&amp;I4004&amp;"|"&amp;O4004)</f>
        <v/>
      </c>
      <c r="T4004" s="15" t="str">
        <f>IF(OR(S4004="",D4004&lt;&gt;"Vastgesteld"),"",_xlfn.MAXIFS($G$6:$G$5005,$S$6:$S$5005,S4004,$D$6:$D$5005,"Vastgesteld"))</f>
        <v/>
      </c>
      <c r="U4004" s="15">
        <f>IF(T4004="",0,IF(AND(G4004=T4004,COUNTIFS($S$6:S4004,S4004,$G$6:G4004,G4004,$D$6:D4004,"Vastgesteld")=1),1,0))</f>
        <v>0</v>
      </c>
      <c r="V4004" s="15">
        <f>IF(T4004="",0,IF(AND(G4004=T4004,COUNTIFS($S$6:S4004,S4004,$G$6:G4004,G4004,$D$6:D4004,"Vastgesteld")&gt;1),1,0))</f>
        <v>0</v>
      </c>
    </row>
    <row r="4005">
      <c r="S4005" s="15" t="str">
        <f>IF(J4005="","",J4005&amp;"|"&amp;E4005&amp;"|"&amp;F4005&amp;"|"&amp;I4005&amp;"|"&amp;O4005)</f>
        <v/>
      </c>
      <c r="T4005" s="15" t="str">
        <f>IF(OR(S4005="",D4005&lt;&gt;"Vastgesteld"),"",_xlfn.MAXIFS($G$6:$G$5005,$S$6:$S$5005,S4005,$D$6:$D$5005,"Vastgesteld"))</f>
        <v/>
      </c>
      <c r="U4005" s="15">
        <f>IF(T4005="",0,IF(AND(G4005=T4005,COUNTIFS($S$6:S4005,S4005,$G$6:G4005,G4005,$D$6:D4005,"Vastgesteld")=1),1,0))</f>
        <v>0</v>
      </c>
      <c r="V4005" s="15">
        <f>IF(T4005="",0,IF(AND(G4005=T4005,COUNTIFS($S$6:S4005,S4005,$G$6:G4005,G4005,$D$6:D4005,"Vastgesteld")&gt;1),1,0))</f>
        <v>0</v>
      </c>
    </row>
    <row r="4006">
      <c r="S4006" s="15" t="str">
        <f>IF(J4006="","",J4006&amp;"|"&amp;E4006&amp;"|"&amp;F4006&amp;"|"&amp;I4006&amp;"|"&amp;O4006)</f>
        <v/>
      </c>
      <c r="T4006" s="15" t="str">
        <f>IF(OR(S4006="",D4006&lt;&gt;"Vastgesteld"),"",_xlfn.MAXIFS($G$6:$G$5005,$S$6:$S$5005,S4006,$D$6:$D$5005,"Vastgesteld"))</f>
        <v/>
      </c>
      <c r="U4006" s="15">
        <f>IF(T4006="",0,IF(AND(G4006=T4006,COUNTIFS($S$6:S4006,S4006,$G$6:G4006,G4006,$D$6:D4006,"Vastgesteld")=1),1,0))</f>
        <v>0</v>
      </c>
      <c r="V4006" s="15">
        <f>IF(T4006="",0,IF(AND(G4006=T4006,COUNTIFS($S$6:S4006,S4006,$G$6:G4006,G4006,$D$6:D4006,"Vastgesteld")&gt;1),1,0))</f>
        <v>0</v>
      </c>
    </row>
    <row r="4007">
      <c r="S4007" s="15" t="str">
        <f>IF(J4007="","",J4007&amp;"|"&amp;E4007&amp;"|"&amp;F4007&amp;"|"&amp;I4007&amp;"|"&amp;O4007)</f>
        <v/>
      </c>
      <c r="T4007" s="15" t="str">
        <f>IF(OR(S4007="",D4007&lt;&gt;"Vastgesteld"),"",_xlfn.MAXIFS($G$6:$G$5005,$S$6:$S$5005,S4007,$D$6:$D$5005,"Vastgesteld"))</f>
        <v/>
      </c>
      <c r="U4007" s="15">
        <f>IF(T4007="",0,IF(AND(G4007=T4007,COUNTIFS($S$6:S4007,S4007,$G$6:G4007,G4007,$D$6:D4007,"Vastgesteld")=1),1,0))</f>
        <v>0</v>
      </c>
      <c r="V4007" s="15">
        <f>IF(T4007="",0,IF(AND(G4007=T4007,COUNTIFS($S$6:S4007,S4007,$G$6:G4007,G4007,$D$6:D4007,"Vastgesteld")&gt;1),1,0))</f>
        <v>0</v>
      </c>
    </row>
    <row r="4008">
      <c r="S4008" s="15" t="str">
        <f>IF(J4008="","",J4008&amp;"|"&amp;E4008&amp;"|"&amp;F4008&amp;"|"&amp;I4008&amp;"|"&amp;O4008)</f>
        <v/>
      </c>
      <c r="T4008" s="15" t="str">
        <f>IF(OR(S4008="",D4008&lt;&gt;"Vastgesteld"),"",_xlfn.MAXIFS($G$6:$G$5005,$S$6:$S$5005,S4008,$D$6:$D$5005,"Vastgesteld"))</f>
        <v/>
      </c>
      <c r="U4008" s="15">
        <f>IF(T4008="",0,IF(AND(G4008=T4008,COUNTIFS($S$6:S4008,S4008,$G$6:G4008,G4008,$D$6:D4008,"Vastgesteld")=1),1,0))</f>
        <v>0</v>
      </c>
      <c r="V4008" s="15">
        <f>IF(T4008="",0,IF(AND(G4008=T4008,COUNTIFS($S$6:S4008,S4008,$G$6:G4008,G4008,$D$6:D4008,"Vastgesteld")&gt;1),1,0))</f>
        <v>0</v>
      </c>
    </row>
    <row r="4009">
      <c r="S4009" s="15" t="str">
        <f>IF(J4009="","",J4009&amp;"|"&amp;E4009&amp;"|"&amp;F4009&amp;"|"&amp;I4009&amp;"|"&amp;O4009)</f>
        <v/>
      </c>
      <c r="T4009" s="15" t="str">
        <f>IF(OR(S4009="",D4009&lt;&gt;"Vastgesteld"),"",_xlfn.MAXIFS($G$6:$G$5005,$S$6:$S$5005,S4009,$D$6:$D$5005,"Vastgesteld"))</f>
        <v/>
      </c>
      <c r="U4009" s="15">
        <f>IF(T4009="",0,IF(AND(G4009=T4009,COUNTIFS($S$6:S4009,S4009,$G$6:G4009,G4009,$D$6:D4009,"Vastgesteld")=1),1,0))</f>
        <v>0</v>
      </c>
      <c r="V4009" s="15">
        <f>IF(T4009="",0,IF(AND(G4009=T4009,COUNTIFS($S$6:S4009,S4009,$G$6:G4009,G4009,$D$6:D4009,"Vastgesteld")&gt;1),1,0))</f>
        <v>0</v>
      </c>
    </row>
    <row r="4010">
      <c r="S4010" s="15" t="str">
        <f>IF(J4010="","",J4010&amp;"|"&amp;E4010&amp;"|"&amp;F4010&amp;"|"&amp;I4010&amp;"|"&amp;O4010)</f>
        <v/>
      </c>
      <c r="T4010" s="15" t="str">
        <f>IF(OR(S4010="",D4010&lt;&gt;"Vastgesteld"),"",_xlfn.MAXIFS($G$6:$G$5005,$S$6:$S$5005,S4010,$D$6:$D$5005,"Vastgesteld"))</f>
        <v/>
      </c>
      <c r="U4010" s="15">
        <f>IF(T4010="",0,IF(AND(G4010=T4010,COUNTIFS($S$6:S4010,S4010,$G$6:G4010,G4010,$D$6:D4010,"Vastgesteld")=1),1,0))</f>
        <v>0</v>
      </c>
      <c r="V4010" s="15">
        <f>IF(T4010="",0,IF(AND(G4010=T4010,COUNTIFS($S$6:S4010,S4010,$G$6:G4010,G4010,$D$6:D4010,"Vastgesteld")&gt;1),1,0))</f>
        <v>0</v>
      </c>
    </row>
    <row r="4011">
      <c r="S4011" s="15" t="str">
        <f>IF(J4011="","",J4011&amp;"|"&amp;E4011&amp;"|"&amp;F4011&amp;"|"&amp;I4011&amp;"|"&amp;O4011)</f>
        <v/>
      </c>
      <c r="T4011" s="15" t="str">
        <f>IF(OR(S4011="",D4011&lt;&gt;"Vastgesteld"),"",_xlfn.MAXIFS($G$6:$G$5005,$S$6:$S$5005,S4011,$D$6:$D$5005,"Vastgesteld"))</f>
        <v/>
      </c>
      <c r="U4011" s="15">
        <f>IF(T4011="",0,IF(AND(G4011=T4011,COUNTIFS($S$6:S4011,S4011,$G$6:G4011,G4011,$D$6:D4011,"Vastgesteld")=1),1,0))</f>
        <v>0</v>
      </c>
      <c r="V4011" s="15">
        <f>IF(T4011="",0,IF(AND(G4011=T4011,COUNTIFS($S$6:S4011,S4011,$G$6:G4011,G4011,$D$6:D4011,"Vastgesteld")&gt;1),1,0))</f>
        <v>0</v>
      </c>
    </row>
    <row r="4012">
      <c r="S4012" s="15" t="str">
        <f>IF(J4012="","",J4012&amp;"|"&amp;E4012&amp;"|"&amp;F4012&amp;"|"&amp;I4012&amp;"|"&amp;O4012)</f>
        <v/>
      </c>
      <c r="T4012" s="15" t="str">
        <f>IF(OR(S4012="",D4012&lt;&gt;"Vastgesteld"),"",_xlfn.MAXIFS($G$6:$G$5005,$S$6:$S$5005,S4012,$D$6:$D$5005,"Vastgesteld"))</f>
        <v/>
      </c>
      <c r="U4012" s="15">
        <f>IF(T4012="",0,IF(AND(G4012=T4012,COUNTIFS($S$6:S4012,S4012,$G$6:G4012,G4012,$D$6:D4012,"Vastgesteld")=1),1,0))</f>
        <v>0</v>
      </c>
      <c r="V4012" s="15">
        <f>IF(T4012="",0,IF(AND(G4012=T4012,COUNTIFS($S$6:S4012,S4012,$G$6:G4012,G4012,$D$6:D4012,"Vastgesteld")&gt;1),1,0))</f>
        <v>0</v>
      </c>
    </row>
    <row r="4013">
      <c r="S4013" s="15" t="str">
        <f>IF(J4013="","",J4013&amp;"|"&amp;E4013&amp;"|"&amp;F4013&amp;"|"&amp;I4013&amp;"|"&amp;O4013)</f>
        <v/>
      </c>
      <c r="T4013" s="15" t="str">
        <f>IF(OR(S4013="",D4013&lt;&gt;"Vastgesteld"),"",_xlfn.MAXIFS($G$6:$G$5005,$S$6:$S$5005,S4013,$D$6:$D$5005,"Vastgesteld"))</f>
        <v/>
      </c>
      <c r="U4013" s="15">
        <f>IF(T4013="",0,IF(AND(G4013=T4013,COUNTIFS($S$6:S4013,S4013,$G$6:G4013,G4013,$D$6:D4013,"Vastgesteld")=1),1,0))</f>
        <v>0</v>
      </c>
      <c r="V4013" s="15">
        <f>IF(T4013="",0,IF(AND(G4013=T4013,COUNTIFS($S$6:S4013,S4013,$G$6:G4013,G4013,$D$6:D4013,"Vastgesteld")&gt;1),1,0))</f>
        <v>0</v>
      </c>
    </row>
    <row r="4014">
      <c r="S4014" s="15" t="str">
        <f>IF(J4014="","",J4014&amp;"|"&amp;E4014&amp;"|"&amp;F4014&amp;"|"&amp;I4014&amp;"|"&amp;O4014)</f>
        <v/>
      </c>
      <c r="T4014" s="15" t="str">
        <f>IF(OR(S4014="",D4014&lt;&gt;"Vastgesteld"),"",_xlfn.MAXIFS($G$6:$G$5005,$S$6:$S$5005,S4014,$D$6:$D$5005,"Vastgesteld"))</f>
        <v/>
      </c>
      <c r="U4014" s="15">
        <f>IF(T4014="",0,IF(AND(G4014=T4014,COUNTIFS($S$6:S4014,S4014,$G$6:G4014,G4014,$D$6:D4014,"Vastgesteld")=1),1,0))</f>
        <v>0</v>
      </c>
      <c r="V4014" s="15">
        <f>IF(T4014="",0,IF(AND(G4014=T4014,COUNTIFS($S$6:S4014,S4014,$G$6:G4014,G4014,$D$6:D4014,"Vastgesteld")&gt;1),1,0))</f>
        <v>0</v>
      </c>
    </row>
    <row r="4015">
      <c r="S4015" s="15" t="str">
        <f>IF(J4015="","",J4015&amp;"|"&amp;E4015&amp;"|"&amp;F4015&amp;"|"&amp;I4015&amp;"|"&amp;O4015)</f>
        <v/>
      </c>
      <c r="T4015" s="15" t="str">
        <f>IF(OR(S4015="",D4015&lt;&gt;"Vastgesteld"),"",_xlfn.MAXIFS($G$6:$G$5005,$S$6:$S$5005,S4015,$D$6:$D$5005,"Vastgesteld"))</f>
        <v/>
      </c>
      <c r="U4015" s="15">
        <f>IF(T4015="",0,IF(AND(G4015=T4015,COUNTIFS($S$6:S4015,S4015,$G$6:G4015,G4015,$D$6:D4015,"Vastgesteld")=1),1,0))</f>
        <v>0</v>
      </c>
      <c r="V4015" s="15">
        <f>IF(T4015="",0,IF(AND(G4015=T4015,COUNTIFS($S$6:S4015,S4015,$G$6:G4015,G4015,$D$6:D4015,"Vastgesteld")&gt;1),1,0))</f>
        <v>0</v>
      </c>
    </row>
    <row r="4016">
      <c r="S4016" s="15" t="str">
        <f>IF(J4016="","",J4016&amp;"|"&amp;E4016&amp;"|"&amp;F4016&amp;"|"&amp;I4016&amp;"|"&amp;O4016)</f>
        <v/>
      </c>
      <c r="T4016" s="15" t="str">
        <f>IF(OR(S4016="",D4016&lt;&gt;"Vastgesteld"),"",_xlfn.MAXIFS($G$6:$G$5005,$S$6:$S$5005,S4016,$D$6:$D$5005,"Vastgesteld"))</f>
        <v/>
      </c>
      <c r="U4016" s="15">
        <f>IF(T4016="",0,IF(AND(G4016=T4016,COUNTIFS($S$6:S4016,S4016,$G$6:G4016,G4016,$D$6:D4016,"Vastgesteld")=1),1,0))</f>
        <v>0</v>
      </c>
      <c r="V4016" s="15">
        <f>IF(T4016="",0,IF(AND(G4016=T4016,COUNTIFS($S$6:S4016,S4016,$G$6:G4016,G4016,$D$6:D4016,"Vastgesteld")&gt;1),1,0))</f>
        <v>0</v>
      </c>
    </row>
    <row r="4017">
      <c r="S4017" s="15" t="str">
        <f>IF(J4017="","",J4017&amp;"|"&amp;E4017&amp;"|"&amp;F4017&amp;"|"&amp;I4017&amp;"|"&amp;O4017)</f>
        <v/>
      </c>
      <c r="T4017" s="15" t="str">
        <f>IF(OR(S4017="",D4017&lt;&gt;"Vastgesteld"),"",_xlfn.MAXIFS($G$6:$G$5005,$S$6:$S$5005,S4017,$D$6:$D$5005,"Vastgesteld"))</f>
        <v/>
      </c>
      <c r="U4017" s="15">
        <f>IF(T4017="",0,IF(AND(G4017=T4017,COUNTIFS($S$6:S4017,S4017,$G$6:G4017,G4017,$D$6:D4017,"Vastgesteld")=1),1,0))</f>
        <v>0</v>
      </c>
      <c r="V4017" s="15">
        <f>IF(T4017="",0,IF(AND(G4017=T4017,COUNTIFS($S$6:S4017,S4017,$G$6:G4017,G4017,$D$6:D4017,"Vastgesteld")&gt;1),1,0))</f>
        <v>0</v>
      </c>
    </row>
    <row r="4018">
      <c r="S4018" s="15" t="str">
        <f>IF(J4018="","",J4018&amp;"|"&amp;E4018&amp;"|"&amp;F4018&amp;"|"&amp;I4018&amp;"|"&amp;O4018)</f>
        <v/>
      </c>
      <c r="T4018" s="15" t="str">
        <f>IF(OR(S4018="",D4018&lt;&gt;"Vastgesteld"),"",_xlfn.MAXIFS($G$6:$G$5005,$S$6:$S$5005,S4018,$D$6:$D$5005,"Vastgesteld"))</f>
        <v/>
      </c>
      <c r="U4018" s="15">
        <f>IF(T4018="",0,IF(AND(G4018=T4018,COUNTIFS($S$6:S4018,S4018,$G$6:G4018,G4018,$D$6:D4018,"Vastgesteld")=1),1,0))</f>
        <v>0</v>
      </c>
      <c r="V4018" s="15">
        <f>IF(T4018="",0,IF(AND(G4018=T4018,COUNTIFS($S$6:S4018,S4018,$G$6:G4018,G4018,$D$6:D4018,"Vastgesteld")&gt;1),1,0))</f>
        <v>0</v>
      </c>
    </row>
    <row r="4019">
      <c r="S4019" s="15" t="str">
        <f>IF(J4019="","",J4019&amp;"|"&amp;E4019&amp;"|"&amp;F4019&amp;"|"&amp;I4019&amp;"|"&amp;O4019)</f>
        <v/>
      </c>
      <c r="T4019" s="15" t="str">
        <f>IF(OR(S4019="",D4019&lt;&gt;"Vastgesteld"),"",_xlfn.MAXIFS($G$6:$G$5005,$S$6:$S$5005,S4019,$D$6:$D$5005,"Vastgesteld"))</f>
        <v/>
      </c>
      <c r="U4019" s="15">
        <f>IF(T4019="",0,IF(AND(G4019=T4019,COUNTIFS($S$6:S4019,S4019,$G$6:G4019,G4019,$D$6:D4019,"Vastgesteld")=1),1,0))</f>
        <v>0</v>
      </c>
      <c r="V4019" s="15">
        <f>IF(T4019="",0,IF(AND(G4019=T4019,COUNTIFS($S$6:S4019,S4019,$G$6:G4019,G4019,$D$6:D4019,"Vastgesteld")&gt;1),1,0))</f>
        <v>0</v>
      </c>
    </row>
    <row r="4020">
      <c r="S4020" s="15" t="str">
        <f>IF(J4020="","",J4020&amp;"|"&amp;E4020&amp;"|"&amp;F4020&amp;"|"&amp;I4020&amp;"|"&amp;O4020)</f>
        <v/>
      </c>
      <c r="T4020" s="15" t="str">
        <f>IF(OR(S4020="",D4020&lt;&gt;"Vastgesteld"),"",_xlfn.MAXIFS($G$6:$G$5005,$S$6:$S$5005,S4020,$D$6:$D$5005,"Vastgesteld"))</f>
        <v/>
      </c>
      <c r="U4020" s="15">
        <f>IF(T4020="",0,IF(AND(G4020=T4020,COUNTIFS($S$6:S4020,S4020,$G$6:G4020,G4020,$D$6:D4020,"Vastgesteld")=1),1,0))</f>
        <v>0</v>
      </c>
      <c r="V4020" s="15">
        <f>IF(T4020="",0,IF(AND(G4020=T4020,COUNTIFS($S$6:S4020,S4020,$G$6:G4020,G4020,$D$6:D4020,"Vastgesteld")&gt;1),1,0))</f>
        <v>0</v>
      </c>
    </row>
    <row r="4021">
      <c r="S4021" s="15" t="str">
        <f>IF(J4021="","",J4021&amp;"|"&amp;E4021&amp;"|"&amp;F4021&amp;"|"&amp;I4021&amp;"|"&amp;O4021)</f>
        <v/>
      </c>
      <c r="T4021" s="15" t="str">
        <f>IF(OR(S4021="",D4021&lt;&gt;"Vastgesteld"),"",_xlfn.MAXIFS($G$6:$G$5005,$S$6:$S$5005,S4021,$D$6:$D$5005,"Vastgesteld"))</f>
        <v/>
      </c>
      <c r="U4021" s="15">
        <f>IF(T4021="",0,IF(AND(G4021=T4021,COUNTIFS($S$6:S4021,S4021,$G$6:G4021,G4021,$D$6:D4021,"Vastgesteld")=1),1,0))</f>
        <v>0</v>
      </c>
      <c r="V4021" s="15">
        <f>IF(T4021="",0,IF(AND(G4021=T4021,COUNTIFS($S$6:S4021,S4021,$G$6:G4021,G4021,$D$6:D4021,"Vastgesteld")&gt;1),1,0))</f>
        <v>0</v>
      </c>
    </row>
    <row r="4022">
      <c r="S4022" s="15" t="str">
        <f>IF(J4022="","",J4022&amp;"|"&amp;E4022&amp;"|"&amp;F4022&amp;"|"&amp;I4022&amp;"|"&amp;O4022)</f>
        <v/>
      </c>
      <c r="T4022" s="15" t="str">
        <f>IF(OR(S4022="",D4022&lt;&gt;"Vastgesteld"),"",_xlfn.MAXIFS($G$6:$G$5005,$S$6:$S$5005,S4022,$D$6:$D$5005,"Vastgesteld"))</f>
        <v/>
      </c>
      <c r="U4022" s="15">
        <f>IF(T4022="",0,IF(AND(G4022=T4022,COUNTIFS($S$6:S4022,S4022,$G$6:G4022,G4022,$D$6:D4022,"Vastgesteld")=1),1,0))</f>
        <v>0</v>
      </c>
      <c r="V4022" s="15">
        <f>IF(T4022="",0,IF(AND(G4022=T4022,COUNTIFS($S$6:S4022,S4022,$G$6:G4022,G4022,$D$6:D4022,"Vastgesteld")&gt;1),1,0))</f>
        <v>0</v>
      </c>
    </row>
    <row r="4023">
      <c r="S4023" s="15" t="str">
        <f>IF(J4023="","",J4023&amp;"|"&amp;E4023&amp;"|"&amp;F4023&amp;"|"&amp;I4023&amp;"|"&amp;O4023)</f>
        <v/>
      </c>
      <c r="T4023" s="15" t="str">
        <f>IF(OR(S4023="",D4023&lt;&gt;"Vastgesteld"),"",_xlfn.MAXIFS($G$6:$G$5005,$S$6:$S$5005,S4023,$D$6:$D$5005,"Vastgesteld"))</f>
        <v/>
      </c>
      <c r="U4023" s="15">
        <f>IF(T4023="",0,IF(AND(G4023=T4023,COUNTIFS($S$6:S4023,S4023,$G$6:G4023,G4023,$D$6:D4023,"Vastgesteld")=1),1,0))</f>
        <v>0</v>
      </c>
      <c r="V4023" s="15">
        <f>IF(T4023="",0,IF(AND(G4023=T4023,COUNTIFS($S$6:S4023,S4023,$G$6:G4023,G4023,$D$6:D4023,"Vastgesteld")&gt;1),1,0))</f>
        <v>0</v>
      </c>
    </row>
    <row r="4024">
      <c r="S4024" s="15" t="str">
        <f>IF(J4024="","",J4024&amp;"|"&amp;E4024&amp;"|"&amp;F4024&amp;"|"&amp;I4024&amp;"|"&amp;O4024)</f>
        <v/>
      </c>
      <c r="T4024" s="15" t="str">
        <f>IF(OR(S4024="",D4024&lt;&gt;"Vastgesteld"),"",_xlfn.MAXIFS($G$6:$G$5005,$S$6:$S$5005,S4024,$D$6:$D$5005,"Vastgesteld"))</f>
        <v/>
      </c>
      <c r="U4024" s="15">
        <f>IF(T4024="",0,IF(AND(G4024=T4024,COUNTIFS($S$6:S4024,S4024,$G$6:G4024,G4024,$D$6:D4024,"Vastgesteld")=1),1,0))</f>
        <v>0</v>
      </c>
      <c r="V4024" s="15">
        <f>IF(T4024="",0,IF(AND(G4024=T4024,COUNTIFS($S$6:S4024,S4024,$G$6:G4024,G4024,$D$6:D4024,"Vastgesteld")&gt;1),1,0))</f>
        <v>0</v>
      </c>
    </row>
    <row r="4025">
      <c r="S4025" s="15" t="str">
        <f>IF(J4025="","",J4025&amp;"|"&amp;E4025&amp;"|"&amp;F4025&amp;"|"&amp;I4025&amp;"|"&amp;O4025)</f>
        <v/>
      </c>
      <c r="T4025" s="15" t="str">
        <f>IF(OR(S4025="",D4025&lt;&gt;"Vastgesteld"),"",_xlfn.MAXIFS($G$6:$G$5005,$S$6:$S$5005,S4025,$D$6:$D$5005,"Vastgesteld"))</f>
        <v/>
      </c>
      <c r="U4025" s="15">
        <f>IF(T4025="",0,IF(AND(G4025=T4025,COUNTIFS($S$6:S4025,S4025,$G$6:G4025,G4025,$D$6:D4025,"Vastgesteld")=1),1,0))</f>
        <v>0</v>
      </c>
      <c r="V4025" s="15">
        <f>IF(T4025="",0,IF(AND(G4025=T4025,COUNTIFS($S$6:S4025,S4025,$G$6:G4025,G4025,$D$6:D4025,"Vastgesteld")&gt;1),1,0))</f>
        <v>0</v>
      </c>
    </row>
    <row r="4026">
      <c r="S4026" s="15" t="str">
        <f>IF(J4026="","",J4026&amp;"|"&amp;E4026&amp;"|"&amp;F4026&amp;"|"&amp;I4026&amp;"|"&amp;O4026)</f>
        <v/>
      </c>
      <c r="T4026" s="15" t="str">
        <f>IF(OR(S4026="",D4026&lt;&gt;"Vastgesteld"),"",_xlfn.MAXIFS($G$6:$G$5005,$S$6:$S$5005,S4026,$D$6:$D$5005,"Vastgesteld"))</f>
        <v/>
      </c>
      <c r="U4026" s="15">
        <f>IF(T4026="",0,IF(AND(G4026=T4026,COUNTIFS($S$6:S4026,S4026,$G$6:G4026,G4026,$D$6:D4026,"Vastgesteld")=1),1,0))</f>
        <v>0</v>
      </c>
      <c r="V4026" s="15">
        <f>IF(T4026="",0,IF(AND(G4026=T4026,COUNTIFS($S$6:S4026,S4026,$G$6:G4026,G4026,$D$6:D4026,"Vastgesteld")&gt;1),1,0))</f>
        <v>0</v>
      </c>
    </row>
    <row r="4027">
      <c r="S4027" s="15" t="str">
        <f>IF(J4027="","",J4027&amp;"|"&amp;E4027&amp;"|"&amp;F4027&amp;"|"&amp;I4027&amp;"|"&amp;O4027)</f>
        <v/>
      </c>
      <c r="T4027" s="15" t="str">
        <f>IF(OR(S4027="",D4027&lt;&gt;"Vastgesteld"),"",_xlfn.MAXIFS($G$6:$G$5005,$S$6:$S$5005,S4027,$D$6:$D$5005,"Vastgesteld"))</f>
        <v/>
      </c>
      <c r="U4027" s="15">
        <f>IF(T4027="",0,IF(AND(G4027=T4027,COUNTIFS($S$6:S4027,S4027,$G$6:G4027,G4027,$D$6:D4027,"Vastgesteld")=1),1,0))</f>
        <v>0</v>
      </c>
      <c r="V4027" s="15">
        <f>IF(T4027="",0,IF(AND(G4027=T4027,COUNTIFS($S$6:S4027,S4027,$G$6:G4027,G4027,$D$6:D4027,"Vastgesteld")&gt;1),1,0))</f>
        <v>0</v>
      </c>
    </row>
    <row r="4028">
      <c r="S4028" s="15" t="str">
        <f>IF(J4028="","",J4028&amp;"|"&amp;E4028&amp;"|"&amp;F4028&amp;"|"&amp;I4028&amp;"|"&amp;O4028)</f>
        <v/>
      </c>
      <c r="T4028" s="15" t="str">
        <f>IF(OR(S4028="",D4028&lt;&gt;"Vastgesteld"),"",_xlfn.MAXIFS($G$6:$G$5005,$S$6:$S$5005,S4028,$D$6:$D$5005,"Vastgesteld"))</f>
        <v/>
      </c>
      <c r="U4028" s="15">
        <f>IF(T4028="",0,IF(AND(G4028=T4028,COUNTIFS($S$6:S4028,S4028,$G$6:G4028,G4028,$D$6:D4028,"Vastgesteld")=1),1,0))</f>
        <v>0</v>
      </c>
      <c r="V4028" s="15">
        <f>IF(T4028="",0,IF(AND(G4028=T4028,COUNTIFS($S$6:S4028,S4028,$G$6:G4028,G4028,$D$6:D4028,"Vastgesteld")&gt;1),1,0))</f>
        <v>0</v>
      </c>
    </row>
    <row r="4029">
      <c r="S4029" s="15" t="str">
        <f>IF(J4029="","",J4029&amp;"|"&amp;E4029&amp;"|"&amp;F4029&amp;"|"&amp;I4029&amp;"|"&amp;O4029)</f>
        <v/>
      </c>
      <c r="T4029" s="15" t="str">
        <f>IF(OR(S4029="",D4029&lt;&gt;"Vastgesteld"),"",_xlfn.MAXIFS($G$6:$G$5005,$S$6:$S$5005,S4029,$D$6:$D$5005,"Vastgesteld"))</f>
        <v/>
      </c>
      <c r="U4029" s="15">
        <f>IF(T4029="",0,IF(AND(G4029=T4029,COUNTIFS($S$6:S4029,S4029,$G$6:G4029,G4029,$D$6:D4029,"Vastgesteld")=1),1,0))</f>
        <v>0</v>
      </c>
      <c r="V4029" s="15">
        <f>IF(T4029="",0,IF(AND(G4029=T4029,COUNTIFS($S$6:S4029,S4029,$G$6:G4029,G4029,$D$6:D4029,"Vastgesteld")&gt;1),1,0))</f>
        <v>0</v>
      </c>
    </row>
    <row r="4030">
      <c r="S4030" s="15" t="str">
        <f>IF(J4030="","",J4030&amp;"|"&amp;E4030&amp;"|"&amp;F4030&amp;"|"&amp;I4030&amp;"|"&amp;O4030)</f>
        <v/>
      </c>
      <c r="T4030" s="15" t="str">
        <f>IF(OR(S4030="",D4030&lt;&gt;"Vastgesteld"),"",_xlfn.MAXIFS($G$6:$G$5005,$S$6:$S$5005,S4030,$D$6:$D$5005,"Vastgesteld"))</f>
        <v/>
      </c>
      <c r="U4030" s="15">
        <f>IF(T4030="",0,IF(AND(G4030=T4030,COUNTIFS($S$6:S4030,S4030,$G$6:G4030,G4030,$D$6:D4030,"Vastgesteld")=1),1,0))</f>
        <v>0</v>
      </c>
      <c r="V4030" s="15">
        <f>IF(T4030="",0,IF(AND(G4030=T4030,COUNTIFS($S$6:S4030,S4030,$G$6:G4030,G4030,$D$6:D4030,"Vastgesteld")&gt;1),1,0))</f>
        <v>0</v>
      </c>
    </row>
    <row r="4031">
      <c r="S4031" s="15" t="str">
        <f>IF(J4031="","",J4031&amp;"|"&amp;E4031&amp;"|"&amp;F4031&amp;"|"&amp;I4031&amp;"|"&amp;O4031)</f>
        <v/>
      </c>
      <c r="T4031" s="15" t="str">
        <f>IF(OR(S4031="",D4031&lt;&gt;"Vastgesteld"),"",_xlfn.MAXIFS($G$6:$G$5005,$S$6:$S$5005,S4031,$D$6:$D$5005,"Vastgesteld"))</f>
        <v/>
      </c>
      <c r="U4031" s="15">
        <f>IF(T4031="",0,IF(AND(G4031=T4031,COUNTIFS($S$6:S4031,S4031,$G$6:G4031,G4031,$D$6:D4031,"Vastgesteld")=1),1,0))</f>
        <v>0</v>
      </c>
      <c r="V4031" s="15">
        <f>IF(T4031="",0,IF(AND(G4031=T4031,COUNTIFS($S$6:S4031,S4031,$G$6:G4031,G4031,$D$6:D4031,"Vastgesteld")&gt;1),1,0))</f>
        <v>0</v>
      </c>
    </row>
    <row r="4032">
      <c r="S4032" s="15" t="str">
        <f>IF(J4032="","",J4032&amp;"|"&amp;E4032&amp;"|"&amp;F4032&amp;"|"&amp;I4032&amp;"|"&amp;O4032)</f>
        <v/>
      </c>
      <c r="T4032" s="15" t="str">
        <f>IF(OR(S4032="",D4032&lt;&gt;"Vastgesteld"),"",_xlfn.MAXIFS($G$6:$G$5005,$S$6:$S$5005,S4032,$D$6:$D$5005,"Vastgesteld"))</f>
        <v/>
      </c>
      <c r="U4032" s="15">
        <f>IF(T4032="",0,IF(AND(G4032=T4032,COUNTIFS($S$6:S4032,S4032,$G$6:G4032,G4032,$D$6:D4032,"Vastgesteld")=1),1,0))</f>
        <v>0</v>
      </c>
      <c r="V4032" s="15">
        <f>IF(T4032="",0,IF(AND(G4032=T4032,COUNTIFS($S$6:S4032,S4032,$G$6:G4032,G4032,$D$6:D4032,"Vastgesteld")&gt;1),1,0))</f>
        <v>0</v>
      </c>
    </row>
    <row r="4033">
      <c r="S4033" s="15" t="str">
        <f>IF(J4033="","",J4033&amp;"|"&amp;E4033&amp;"|"&amp;F4033&amp;"|"&amp;I4033&amp;"|"&amp;O4033)</f>
        <v/>
      </c>
      <c r="T4033" s="15" t="str">
        <f>IF(OR(S4033="",D4033&lt;&gt;"Vastgesteld"),"",_xlfn.MAXIFS($G$6:$G$5005,$S$6:$S$5005,S4033,$D$6:$D$5005,"Vastgesteld"))</f>
        <v/>
      </c>
      <c r="U4033" s="15">
        <f>IF(T4033="",0,IF(AND(G4033=T4033,COUNTIFS($S$6:S4033,S4033,$G$6:G4033,G4033,$D$6:D4033,"Vastgesteld")=1),1,0))</f>
        <v>0</v>
      </c>
      <c r="V4033" s="15">
        <f>IF(T4033="",0,IF(AND(G4033=T4033,COUNTIFS($S$6:S4033,S4033,$G$6:G4033,G4033,$D$6:D4033,"Vastgesteld")&gt;1),1,0))</f>
        <v>0</v>
      </c>
    </row>
    <row r="4034">
      <c r="S4034" s="15" t="str">
        <f>IF(J4034="","",J4034&amp;"|"&amp;E4034&amp;"|"&amp;F4034&amp;"|"&amp;I4034&amp;"|"&amp;O4034)</f>
        <v/>
      </c>
      <c r="T4034" s="15" t="str">
        <f>IF(OR(S4034="",D4034&lt;&gt;"Vastgesteld"),"",_xlfn.MAXIFS($G$6:$G$5005,$S$6:$S$5005,S4034,$D$6:$D$5005,"Vastgesteld"))</f>
        <v/>
      </c>
      <c r="U4034" s="15">
        <f>IF(T4034="",0,IF(AND(G4034=T4034,COUNTIFS($S$6:S4034,S4034,$G$6:G4034,G4034,$D$6:D4034,"Vastgesteld")=1),1,0))</f>
        <v>0</v>
      </c>
      <c r="V4034" s="15">
        <f>IF(T4034="",0,IF(AND(G4034=T4034,COUNTIFS($S$6:S4034,S4034,$G$6:G4034,G4034,$D$6:D4034,"Vastgesteld")&gt;1),1,0))</f>
        <v>0</v>
      </c>
    </row>
    <row r="4035">
      <c r="S4035" s="15" t="str">
        <f>IF(J4035="","",J4035&amp;"|"&amp;E4035&amp;"|"&amp;F4035&amp;"|"&amp;I4035&amp;"|"&amp;O4035)</f>
        <v/>
      </c>
      <c r="T4035" s="15" t="str">
        <f>IF(OR(S4035="",D4035&lt;&gt;"Vastgesteld"),"",_xlfn.MAXIFS($G$6:$G$5005,$S$6:$S$5005,S4035,$D$6:$D$5005,"Vastgesteld"))</f>
        <v/>
      </c>
      <c r="U4035" s="15">
        <f>IF(T4035="",0,IF(AND(G4035=T4035,COUNTIFS($S$6:S4035,S4035,$G$6:G4035,G4035,$D$6:D4035,"Vastgesteld")=1),1,0))</f>
        <v>0</v>
      </c>
      <c r="V4035" s="15">
        <f>IF(T4035="",0,IF(AND(G4035=T4035,COUNTIFS($S$6:S4035,S4035,$G$6:G4035,G4035,$D$6:D4035,"Vastgesteld")&gt;1),1,0))</f>
        <v>0</v>
      </c>
    </row>
    <row r="4036">
      <c r="S4036" s="15" t="str">
        <f>IF(J4036="","",J4036&amp;"|"&amp;E4036&amp;"|"&amp;F4036&amp;"|"&amp;I4036&amp;"|"&amp;O4036)</f>
        <v/>
      </c>
      <c r="T4036" s="15" t="str">
        <f>IF(OR(S4036="",D4036&lt;&gt;"Vastgesteld"),"",_xlfn.MAXIFS($G$6:$G$5005,$S$6:$S$5005,S4036,$D$6:$D$5005,"Vastgesteld"))</f>
        <v/>
      </c>
      <c r="U4036" s="15">
        <f>IF(T4036="",0,IF(AND(G4036=T4036,COUNTIFS($S$6:S4036,S4036,$G$6:G4036,G4036,$D$6:D4036,"Vastgesteld")=1),1,0))</f>
        <v>0</v>
      </c>
      <c r="V4036" s="15">
        <f>IF(T4036="",0,IF(AND(G4036=T4036,COUNTIFS($S$6:S4036,S4036,$G$6:G4036,G4036,$D$6:D4036,"Vastgesteld")&gt;1),1,0))</f>
        <v>0</v>
      </c>
    </row>
    <row r="4037">
      <c r="S4037" s="15" t="str">
        <f>IF(J4037="","",J4037&amp;"|"&amp;E4037&amp;"|"&amp;F4037&amp;"|"&amp;I4037&amp;"|"&amp;O4037)</f>
        <v/>
      </c>
      <c r="T4037" s="15" t="str">
        <f>IF(OR(S4037="",D4037&lt;&gt;"Vastgesteld"),"",_xlfn.MAXIFS($G$6:$G$5005,$S$6:$S$5005,S4037,$D$6:$D$5005,"Vastgesteld"))</f>
        <v/>
      </c>
      <c r="U4037" s="15">
        <f>IF(T4037="",0,IF(AND(G4037=T4037,COUNTIFS($S$6:S4037,S4037,$G$6:G4037,G4037,$D$6:D4037,"Vastgesteld")=1),1,0))</f>
        <v>0</v>
      </c>
      <c r="V4037" s="15">
        <f>IF(T4037="",0,IF(AND(G4037=T4037,COUNTIFS($S$6:S4037,S4037,$G$6:G4037,G4037,$D$6:D4037,"Vastgesteld")&gt;1),1,0))</f>
        <v>0</v>
      </c>
    </row>
    <row r="4038">
      <c r="S4038" s="15" t="str">
        <f>IF(J4038="","",J4038&amp;"|"&amp;E4038&amp;"|"&amp;F4038&amp;"|"&amp;I4038&amp;"|"&amp;O4038)</f>
        <v/>
      </c>
      <c r="T4038" s="15" t="str">
        <f>IF(OR(S4038="",D4038&lt;&gt;"Vastgesteld"),"",_xlfn.MAXIFS($G$6:$G$5005,$S$6:$S$5005,S4038,$D$6:$D$5005,"Vastgesteld"))</f>
        <v/>
      </c>
      <c r="U4038" s="15">
        <f>IF(T4038="",0,IF(AND(G4038=T4038,COUNTIFS($S$6:S4038,S4038,$G$6:G4038,G4038,$D$6:D4038,"Vastgesteld")=1),1,0))</f>
        <v>0</v>
      </c>
      <c r="V4038" s="15">
        <f>IF(T4038="",0,IF(AND(G4038=T4038,COUNTIFS($S$6:S4038,S4038,$G$6:G4038,G4038,$D$6:D4038,"Vastgesteld")&gt;1),1,0))</f>
        <v>0</v>
      </c>
    </row>
    <row r="4039">
      <c r="S4039" s="15" t="str">
        <f>IF(J4039="","",J4039&amp;"|"&amp;E4039&amp;"|"&amp;F4039&amp;"|"&amp;I4039&amp;"|"&amp;O4039)</f>
        <v/>
      </c>
      <c r="T4039" s="15" t="str">
        <f>IF(OR(S4039="",D4039&lt;&gt;"Vastgesteld"),"",_xlfn.MAXIFS($G$6:$G$5005,$S$6:$S$5005,S4039,$D$6:$D$5005,"Vastgesteld"))</f>
        <v/>
      </c>
      <c r="U4039" s="15">
        <f>IF(T4039="",0,IF(AND(G4039=T4039,COUNTIFS($S$6:S4039,S4039,$G$6:G4039,G4039,$D$6:D4039,"Vastgesteld")=1),1,0))</f>
        <v>0</v>
      </c>
      <c r="V4039" s="15">
        <f>IF(T4039="",0,IF(AND(G4039=T4039,COUNTIFS($S$6:S4039,S4039,$G$6:G4039,G4039,$D$6:D4039,"Vastgesteld")&gt;1),1,0))</f>
        <v>0</v>
      </c>
    </row>
    <row r="4040">
      <c r="S4040" s="15" t="str">
        <f>IF(J4040="","",J4040&amp;"|"&amp;E4040&amp;"|"&amp;F4040&amp;"|"&amp;I4040&amp;"|"&amp;O4040)</f>
        <v/>
      </c>
      <c r="T4040" s="15" t="str">
        <f>IF(OR(S4040="",D4040&lt;&gt;"Vastgesteld"),"",_xlfn.MAXIFS($G$6:$G$5005,$S$6:$S$5005,S4040,$D$6:$D$5005,"Vastgesteld"))</f>
        <v/>
      </c>
      <c r="U4040" s="15">
        <f>IF(T4040="",0,IF(AND(G4040=T4040,COUNTIFS($S$6:S4040,S4040,$G$6:G4040,G4040,$D$6:D4040,"Vastgesteld")=1),1,0))</f>
        <v>0</v>
      </c>
      <c r="V4040" s="15">
        <f>IF(T4040="",0,IF(AND(G4040=T4040,COUNTIFS($S$6:S4040,S4040,$G$6:G4040,G4040,$D$6:D4040,"Vastgesteld")&gt;1),1,0))</f>
        <v>0</v>
      </c>
    </row>
    <row r="4041">
      <c r="S4041" s="15" t="str">
        <f>IF(J4041="","",J4041&amp;"|"&amp;E4041&amp;"|"&amp;F4041&amp;"|"&amp;I4041&amp;"|"&amp;O4041)</f>
        <v/>
      </c>
      <c r="T4041" s="15" t="str">
        <f>IF(OR(S4041="",D4041&lt;&gt;"Vastgesteld"),"",_xlfn.MAXIFS($G$6:$G$5005,$S$6:$S$5005,S4041,$D$6:$D$5005,"Vastgesteld"))</f>
        <v/>
      </c>
      <c r="U4041" s="15">
        <f>IF(T4041="",0,IF(AND(G4041=T4041,COUNTIFS($S$6:S4041,S4041,$G$6:G4041,G4041,$D$6:D4041,"Vastgesteld")=1),1,0))</f>
        <v>0</v>
      </c>
      <c r="V4041" s="15">
        <f>IF(T4041="",0,IF(AND(G4041=T4041,COUNTIFS($S$6:S4041,S4041,$G$6:G4041,G4041,$D$6:D4041,"Vastgesteld")&gt;1),1,0))</f>
        <v>0</v>
      </c>
    </row>
    <row r="4042">
      <c r="S4042" s="15" t="str">
        <f>IF(J4042="","",J4042&amp;"|"&amp;E4042&amp;"|"&amp;F4042&amp;"|"&amp;I4042&amp;"|"&amp;O4042)</f>
        <v/>
      </c>
      <c r="T4042" s="15" t="str">
        <f>IF(OR(S4042="",D4042&lt;&gt;"Vastgesteld"),"",_xlfn.MAXIFS($G$6:$G$5005,$S$6:$S$5005,S4042,$D$6:$D$5005,"Vastgesteld"))</f>
        <v/>
      </c>
      <c r="U4042" s="15">
        <f>IF(T4042="",0,IF(AND(G4042=T4042,COUNTIFS($S$6:S4042,S4042,$G$6:G4042,G4042,$D$6:D4042,"Vastgesteld")=1),1,0))</f>
        <v>0</v>
      </c>
      <c r="V4042" s="15">
        <f>IF(T4042="",0,IF(AND(G4042=T4042,COUNTIFS($S$6:S4042,S4042,$G$6:G4042,G4042,$D$6:D4042,"Vastgesteld")&gt;1),1,0))</f>
        <v>0</v>
      </c>
    </row>
    <row r="4043">
      <c r="S4043" s="15" t="str">
        <f>IF(J4043="","",J4043&amp;"|"&amp;E4043&amp;"|"&amp;F4043&amp;"|"&amp;I4043&amp;"|"&amp;O4043)</f>
        <v/>
      </c>
      <c r="T4043" s="15" t="str">
        <f>IF(OR(S4043="",D4043&lt;&gt;"Vastgesteld"),"",_xlfn.MAXIFS($G$6:$G$5005,$S$6:$S$5005,S4043,$D$6:$D$5005,"Vastgesteld"))</f>
        <v/>
      </c>
      <c r="U4043" s="15">
        <f>IF(T4043="",0,IF(AND(G4043=T4043,COUNTIFS($S$6:S4043,S4043,$G$6:G4043,G4043,$D$6:D4043,"Vastgesteld")=1),1,0))</f>
        <v>0</v>
      </c>
      <c r="V4043" s="15">
        <f>IF(T4043="",0,IF(AND(G4043=T4043,COUNTIFS($S$6:S4043,S4043,$G$6:G4043,G4043,$D$6:D4043,"Vastgesteld")&gt;1),1,0))</f>
        <v>0</v>
      </c>
    </row>
    <row r="4044">
      <c r="S4044" s="15" t="str">
        <f>IF(J4044="","",J4044&amp;"|"&amp;E4044&amp;"|"&amp;F4044&amp;"|"&amp;I4044&amp;"|"&amp;O4044)</f>
        <v/>
      </c>
      <c r="T4044" s="15" t="str">
        <f>IF(OR(S4044="",D4044&lt;&gt;"Vastgesteld"),"",_xlfn.MAXIFS($G$6:$G$5005,$S$6:$S$5005,S4044,$D$6:$D$5005,"Vastgesteld"))</f>
        <v/>
      </c>
      <c r="U4044" s="15">
        <f>IF(T4044="",0,IF(AND(G4044=T4044,COUNTIFS($S$6:S4044,S4044,$G$6:G4044,G4044,$D$6:D4044,"Vastgesteld")=1),1,0))</f>
        <v>0</v>
      </c>
      <c r="V4044" s="15">
        <f>IF(T4044="",0,IF(AND(G4044=T4044,COUNTIFS($S$6:S4044,S4044,$G$6:G4044,G4044,$D$6:D4044,"Vastgesteld")&gt;1),1,0))</f>
        <v>0</v>
      </c>
    </row>
    <row r="4045">
      <c r="S4045" s="15" t="str">
        <f>IF(J4045="","",J4045&amp;"|"&amp;E4045&amp;"|"&amp;F4045&amp;"|"&amp;I4045&amp;"|"&amp;O4045)</f>
        <v/>
      </c>
      <c r="T4045" s="15" t="str">
        <f>IF(OR(S4045="",D4045&lt;&gt;"Vastgesteld"),"",_xlfn.MAXIFS($G$6:$G$5005,$S$6:$S$5005,S4045,$D$6:$D$5005,"Vastgesteld"))</f>
        <v/>
      </c>
      <c r="U4045" s="15">
        <f>IF(T4045="",0,IF(AND(G4045=T4045,COUNTIFS($S$6:S4045,S4045,$G$6:G4045,G4045,$D$6:D4045,"Vastgesteld")=1),1,0))</f>
        <v>0</v>
      </c>
      <c r="V4045" s="15">
        <f>IF(T4045="",0,IF(AND(G4045=T4045,COUNTIFS($S$6:S4045,S4045,$G$6:G4045,G4045,$D$6:D4045,"Vastgesteld")&gt;1),1,0))</f>
        <v>0</v>
      </c>
    </row>
    <row r="4046">
      <c r="S4046" s="15" t="str">
        <f>IF(J4046="","",J4046&amp;"|"&amp;E4046&amp;"|"&amp;F4046&amp;"|"&amp;I4046&amp;"|"&amp;O4046)</f>
        <v/>
      </c>
      <c r="T4046" s="15" t="str">
        <f>IF(OR(S4046="",D4046&lt;&gt;"Vastgesteld"),"",_xlfn.MAXIFS($G$6:$G$5005,$S$6:$S$5005,S4046,$D$6:$D$5005,"Vastgesteld"))</f>
        <v/>
      </c>
      <c r="U4046" s="15">
        <f>IF(T4046="",0,IF(AND(G4046=T4046,COUNTIFS($S$6:S4046,S4046,$G$6:G4046,G4046,$D$6:D4046,"Vastgesteld")=1),1,0))</f>
        <v>0</v>
      </c>
      <c r="V4046" s="15">
        <f>IF(T4046="",0,IF(AND(G4046=T4046,COUNTIFS($S$6:S4046,S4046,$G$6:G4046,G4046,$D$6:D4046,"Vastgesteld")&gt;1),1,0))</f>
        <v>0</v>
      </c>
    </row>
    <row r="4047">
      <c r="S4047" s="15" t="str">
        <f>IF(J4047="","",J4047&amp;"|"&amp;E4047&amp;"|"&amp;F4047&amp;"|"&amp;I4047&amp;"|"&amp;O4047)</f>
        <v/>
      </c>
      <c r="T4047" s="15" t="str">
        <f>IF(OR(S4047="",D4047&lt;&gt;"Vastgesteld"),"",_xlfn.MAXIFS($G$6:$G$5005,$S$6:$S$5005,S4047,$D$6:$D$5005,"Vastgesteld"))</f>
        <v/>
      </c>
      <c r="U4047" s="15">
        <f>IF(T4047="",0,IF(AND(G4047=T4047,COUNTIFS($S$6:S4047,S4047,$G$6:G4047,G4047,$D$6:D4047,"Vastgesteld")=1),1,0))</f>
        <v>0</v>
      </c>
      <c r="V4047" s="15">
        <f>IF(T4047="",0,IF(AND(G4047=T4047,COUNTIFS($S$6:S4047,S4047,$G$6:G4047,G4047,$D$6:D4047,"Vastgesteld")&gt;1),1,0))</f>
        <v>0</v>
      </c>
    </row>
    <row r="4048">
      <c r="S4048" s="15" t="str">
        <f>IF(J4048="","",J4048&amp;"|"&amp;E4048&amp;"|"&amp;F4048&amp;"|"&amp;I4048&amp;"|"&amp;O4048)</f>
        <v/>
      </c>
      <c r="T4048" s="15" t="str">
        <f>IF(OR(S4048="",D4048&lt;&gt;"Vastgesteld"),"",_xlfn.MAXIFS($G$6:$G$5005,$S$6:$S$5005,S4048,$D$6:$D$5005,"Vastgesteld"))</f>
        <v/>
      </c>
      <c r="U4048" s="15">
        <f>IF(T4048="",0,IF(AND(G4048=T4048,COUNTIFS($S$6:S4048,S4048,$G$6:G4048,G4048,$D$6:D4048,"Vastgesteld")=1),1,0))</f>
        <v>0</v>
      </c>
      <c r="V4048" s="15">
        <f>IF(T4048="",0,IF(AND(G4048=T4048,COUNTIFS($S$6:S4048,S4048,$G$6:G4048,G4048,$D$6:D4048,"Vastgesteld")&gt;1),1,0))</f>
        <v>0</v>
      </c>
    </row>
    <row r="4049">
      <c r="S4049" s="15" t="str">
        <f>IF(J4049="","",J4049&amp;"|"&amp;E4049&amp;"|"&amp;F4049&amp;"|"&amp;I4049&amp;"|"&amp;O4049)</f>
        <v/>
      </c>
      <c r="T4049" s="15" t="str">
        <f>IF(OR(S4049="",D4049&lt;&gt;"Vastgesteld"),"",_xlfn.MAXIFS($G$6:$G$5005,$S$6:$S$5005,S4049,$D$6:$D$5005,"Vastgesteld"))</f>
        <v/>
      </c>
      <c r="U4049" s="15">
        <f>IF(T4049="",0,IF(AND(G4049=T4049,COUNTIFS($S$6:S4049,S4049,$G$6:G4049,G4049,$D$6:D4049,"Vastgesteld")=1),1,0))</f>
        <v>0</v>
      </c>
      <c r="V4049" s="15">
        <f>IF(T4049="",0,IF(AND(G4049=T4049,COUNTIFS($S$6:S4049,S4049,$G$6:G4049,G4049,$D$6:D4049,"Vastgesteld")&gt;1),1,0))</f>
        <v>0</v>
      </c>
    </row>
    <row r="4050">
      <c r="S4050" s="15" t="str">
        <f>IF(J4050="","",J4050&amp;"|"&amp;E4050&amp;"|"&amp;F4050&amp;"|"&amp;I4050&amp;"|"&amp;O4050)</f>
        <v/>
      </c>
      <c r="T4050" s="15" t="str">
        <f>IF(OR(S4050="",D4050&lt;&gt;"Vastgesteld"),"",_xlfn.MAXIFS($G$6:$G$5005,$S$6:$S$5005,S4050,$D$6:$D$5005,"Vastgesteld"))</f>
        <v/>
      </c>
      <c r="U4050" s="15">
        <f>IF(T4050="",0,IF(AND(G4050=T4050,COUNTIFS($S$6:S4050,S4050,$G$6:G4050,G4050,$D$6:D4050,"Vastgesteld")=1),1,0))</f>
        <v>0</v>
      </c>
      <c r="V4050" s="15">
        <f>IF(T4050="",0,IF(AND(G4050=T4050,COUNTIFS($S$6:S4050,S4050,$G$6:G4050,G4050,$D$6:D4050,"Vastgesteld")&gt;1),1,0))</f>
        <v>0</v>
      </c>
    </row>
    <row r="4051">
      <c r="S4051" s="15" t="str">
        <f>IF(J4051="","",J4051&amp;"|"&amp;E4051&amp;"|"&amp;F4051&amp;"|"&amp;I4051&amp;"|"&amp;O4051)</f>
        <v/>
      </c>
      <c r="T4051" s="15" t="str">
        <f>IF(OR(S4051="",D4051&lt;&gt;"Vastgesteld"),"",_xlfn.MAXIFS($G$6:$G$5005,$S$6:$S$5005,S4051,$D$6:$D$5005,"Vastgesteld"))</f>
        <v/>
      </c>
      <c r="U4051" s="15">
        <f>IF(T4051="",0,IF(AND(G4051=T4051,COUNTIFS($S$6:S4051,S4051,$G$6:G4051,G4051,$D$6:D4051,"Vastgesteld")=1),1,0))</f>
        <v>0</v>
      </c>
      <c r="V4051" s="15">
        <f>IF(T4051="",0,IF(AND(G4051=T4051,COUNTIFS($S$6:S4051,S4051,$G$6:G4051,G4051,$D$6:D4051,"Vastgesteld")&gt;1),1,0))</f>
        <v>0</v>
      </c>
    </row>
    <row r="4052">
      <c r="S4052" s="15" t="str">
        <f>IF(J4052="","",J4052&amp;"|"&amp;E4052&amp;"|"&amp;F4052&amp;"|"&amp;I4052&amp;"|"&amp;O4052)</f>
        <v/>
      </c>
      <c r="T4052" s="15" t="str">
        <f>IF(OR(S4052="",D4052&lt;&gt;"Vastgesteld"),"",_xlfn.MAXIFS($G$6:$G$5005,$S$6:$S$5005,S4052,$D$6:$D$5005,"Vastgesteld"))</f>
        <v/>
      </c>
      <c r="U4052" s="15">
        <f>IF(T4052="",0,IF(AND(G4052=T4052,COUNTIFS($S$6:S4052,S4052,$G$6:G4052,G4052,$D$6:D4052,"Vastgesteld")=1),1,0))</f>
        <v>0</v>
      </c>
      <c r="V4052" s="15">
        <f>IF(T4052="",0,IF(AND(G4052=T4052,COUNTIFS($S$6:S4052,S4052,$G$6:G4052,G4052,$D$6:D4052,"Vastgesteld")&gt;1),1,0))</f>
        <v>0</v>
      </c>
    </row>
    <row r="4053">
      <c r="S4053" s="15" t="str">
        <f>IF(J4053="","",J4053&amp;"|"&amp;E4053&amp;"|"&amp;F4053&amp;"|"&amp;I4053&amp;"|"&amp;O4053)</f>
        <v/>
      </c>
      <c r="T4053" s="15" t="str">
        <f>IF(OR(S4053="",D4053&lt;&gt;"Vastgesteld"),"",_xlfn.MAXIFS($G$6:$G$5005,$S$6:$S$5005,S4053,$D$6:$D$5005,"Vastgesteld"))</f>
        <v/>
      </c>
      <c r="U4053" s="15">
        <f>IF(T4053="",0,IF(AND(G4053=T4053,COUNTIFS($S$6:S4053,S4053,$G$6:G4053,G4053,$D$6:D4053,"Vastgesteld")=1),1,0))</f>
        <v>0</v>
      </c>
      <c r="V4053" s="15">
        <f>IF(T4053="",0,IF(AND(G4053=T4053,COUNTIFS($S$6:S4053,S4053,$G$6:G4053,G4053,$D$6:D4053,"Vastgesteld")&gt;1),1,0))</f>
        <v>0</v>
      </c>
    </row>
    <row r="4054">
      <c r="S4054" s="15" t="str">
        <f>IF(J4054="","",J4054&amp;"|"&amp;E4054&amp;"|"&amp;F4054&amp;"|"&amp;I4054&amp;"|"&amp;O4054)</f>
        <v/>
      </c>
      <c r="T4054" s="15" t="str">
        <f>IF(OR(S4054="",D4054&lt;&gt;"Vastgesteld"),"",_xlfn.MAXIFS($G$6:$G$5005,$S$6:$S$5005,S4054,$D$6:$D$5005,"Vastgesteld"))</f>
        <v/>
      </c>
      <c r="U4054" s="15">
        <f>IF(T4054="",0,IF(AND(G4054=T4054,COUNTIFS($S$6:S4054,S4054,$G$6:G4054,G4054,$D$6:D4054,"Vastgesteld")=1),1,0))</f>
        <v>0</v>
      </c>
      <c r="V4054" s="15">
        <f>IF(T4054="",0,IF(AND(G4054=T4054,COUNTIFS($S$6:S4054,S4054,$G$6:G4054,G4054,$D$6:D4054,"Vastgesteld")&gt;1),1,0))</f>
        <v>0</v>
      </c>
    </row>
    <row r="4055">
      <c r="S4055" s="15" t="str">
        <f>IF(J4055="","",J4055&amp;"|"&amp;E4055&amp;"|"&amp;F4055&amp;"|"&amp;I4055&amp;"|"&amp;O4055)</f>
        <v/>
      </c>
      <c r="T4055" s="15" t="str">
        <f>IF(OR(S4055="",D4055&lt;&gt;"Vastgesteld"),"",_xlfn.MAXIFS($G$6:$G$5005,$S$6:$S$5005,S4055,$D$6:$D$5005,"Vastgesteld"))</f>
        <v/>
      </c>
      <c r="U4055" s="15">
        <f>IF(T4055="",0,IF(AND(G4055=T4055,COUNTIFS($S$6:S4055,S4055,$G$6:G4055,G4055,$D$6:D4055,"Vastgesteld")=1),1,0))</f>
        <v>0</v>
      </c>
      <c r="V4055" s="15">
        <f>IF(T4055="",0,IF(AND(G4055=T4055,COUNTIFS($S$6:S4055,S4055,$G$6:G4055,G4055,$D$6:D4055,"Vastgesteld")&gt;1),1,0))</f>
        <v>0</v>
      </c>
    </row>
    <row r="4056">
      <c r="S4056" s="15" t="str">
        <f>IF(J4056="","",J4056&amp;"|"&amp;E4056&amp;"|"&amp;F4056&amp;"|"&amp;I4056&amp;"|"&amp;O4056)</f>
        <v/>
      </c>
      <c r="T4056" s="15" t="str">
        <f>IF(OR(S4056="",D4056&lt;&gt;"Vastgesteld"),"",_xlfn.MAXIFS($G$6:$G$5005,$S$6:$S$5005,S4056,$D$6:$D$5005,"Vastgesteld"))</f>
        <v/>
      </c>
      <c r="U4056" s="15">
        <f>IF(T4056="",0,IF(AND(G4056=T4056,COUNTIFS($S$6:S4056,S4056,$G$6:G4056,G4056,$D$6:D4056,"Vastgesteld")=1),1,0))</f>
        <v>0</v>
      </c>
      <c r="V4056" s="15">
        <f>IF(T4056="",0,IF(AND(G4056=T4056,COUNTIFS($S$6:S4056,S4056,$G$6:G4056,G4056,$D$6:D4056,"Vastgesteld")&gt;1),1,0))</f>
        <v>0</v>
      </c>
    </row>
    <row r="4057">
      <c r="S4057" s="15" t="str">
        <f>IF(J4057="","",J4057&amp;"|"&amp;E4057&amp;"|"&amp;F4057&amp;"|"&amp;I4057&amp;"|"&amp;O4057)</f>
        <v/>
      </c>
      <c r="T4057" s="15" t="str">
        <f>IF(OR(S4057="",D4057&lt;&gt;"Vastgesteld"),"",_xlfn.MAXIFS($G$6:$G$5005,$S$6:$S$5005,S4057,$D$6:$D$5005,"Vastgesteld"))</f>
        <v/>
      </c>
      <c r="U4057" s="15">
        <f>IF(T4057="",0,IF(AND(G4057=T4057,COUNTIFS($S$6:S4057,S4057,$G$6:G4057,G4057,$D$6:D4057,"Vastgesteld")=1),1,0))</f>
        <v>0</v>
      </c>
      <c r="V4057" s="15">
        <f>IF(T4057="",0,IF(AND(G4057=T4057,COUNTIFS($S$6:S4057,S4057,$G$6:G4057,G4057,$D$6:D4057,"Vastgesteld")&gt;1),1,0))</f>
        <v>0</v>
      </c>
    </row>
    <row r="4058">
      <c r="S4058" s="15" t="str">
        <f>IF(J4058="","",J4058&amp;"|"&amp;E4058&amp;"|"&amp;F4058&amp;"|"&amp;I4058&amp;"|"&amp;O4058)</f>
        <v/>
      </c>
      <c r="T4058" s="15" t="str">
        <f>IF(OR(S4058="",D4058&lt;&gt;"Vastgesteld"),"",_xlfn.MAXIFS($G$6:$G$5005,$S$6:$S$5005,S4058,$D$6:$D$5005,"Vastgesteld"))</f>
        <v/>
      </c>
      <c r="U4058" s="15">
        <f>IF(T4058="",0,IF(AND(G4058=T4058,COUNTIFS($S$6:S4058,S4058,$G$6:G4058,G4058,$D$6:D4058,"Vastgesteld")=1),1,0))</f>
        <v>0</v>
      </c>
      <c r="V4058" s="15">
        <f>IF(T4058="",0,IF(AND(G4058=T4058,COUNTIFS($S$6:S4058,S4058,$G$6:G4058,G4058,$D$6:D4058,"Vastgesteld")&gt;1),1,0))</f>
        <v>0</v>
      </c>
    </row>
    <row r="4059">
      <c r="S4059" s="15" t="str">
        <f>IF(J4059="","",J4059&amp;"|"&amp;E4059&amp;"|"&amp;F4059&amp;"|"&amp;I4059&amp;"|"&amp;O4059)</f>
        <v/>
      </c>
      <c r="T4059" s="15" t="str">
        <f>IF(OR(S4059="",D4059&lt;&gt;"Vastgesteld"),"",_xlfn.MAXIFS($G$6:$G$5005,$S$6:$S$5005,S4059,$D$6:$D$5005,"Vastgesteld"))</f>
        <v/>
      </c>
      <c r="U4059" s="15">
        <f>IF(T4059="",0,IF(AND(G4059=T4059,COUNTIFS($S$6:S4059,S4059,$G$6:G4059,G4059,$D$6:D4059,"Vastgesteld")=1),1,0))</f>
        <v>0</v>
      </c>
      <c r="V4059" s="15">
        <f>IF(T4059="",0,IF(AND(G4059=T4059,COUNTIFS($S$6:S4059,S4059,$G$6:G4059,G4059,$D$6:D4059,"Vastgesteld")&gt;1),1,0))</f>
        <v>0</v>
      </c>
    </row>
    <row r="4060">
      <c r="S4060" s="15" t="str">
        <f>IF(J4060="","",J4060&amp;"|"&amp;E4060&amp;"|"&amp;F4060&amp;"|"&amp;I4060&amp;"|"&amp;O4060)</f>
        <v/>
      </c>
      <c r="T4060" s="15" t="str">
        <f>IF(OR(S4060="",D4060&lt;&gt;"Vastgesteld"),"",_xlfn.MAXIFS($G$6:$G$5005,$S$6:$S$5005,S4060,$D$6:$D$5005,"Vastgesteld"))</f>
        <v/>
      </c>
      <c r="U4060" s="15">
        <f>IF(T4060="",0,IF(AND(G4060=T4060,COUNTIFS($S$6:S4060,S4060,$G$6:G4060,G4060,$D$6:D4060,"Vastgesteld")=1),1,0))</f>
        <v>0</v>
      </c>
      <c r="V4060" s="15">
        <f>IF(T4060="",0,IF(AND(G4060=T4060,COUNTIFS($S$6:S4060,S4060,$G$6:G4060,G4060,$D$6:D4060,"Vastgesteld")&gt;1),1,0))</f>
        <v>0</v>
      </c>
    </row>
    <row r="4061">
      <c r="S4061" s="15" t="str">
        <f>IF(J4061="","",J4061&amp;"|"&amp;E4061&amp;"|"&amp;F4061&amp;"|"&amp;I4061&amp;"|"&amp;O4061)</f>
        <v/>
      </c>
      <c r="T4061" s="15" t="str">
        <f>IF(OR(S4061="",D4061&lt;&gt;"Vastgesteld"),"",_xlfn.MAXIFS($G$6:$G$5005,$S$6:$S$5005,S4061,$D$6:$D$5005,"Vastgesteld"))</f>
        <v/>
      </c>
      <c r="U4061" s="15">
        <f>IF(T4061="",0,IF(AND(G4061=T4061,COUNTIFS($S$6:S4061,S4061,$G$6:G4061,G4061,$D$6:D4061,"Vastgesteld")=1),1,0))</f>
        <v>0</v>
      </c>
      <c r="V4061" s="15">
        <f>IF(T4061="",0,IF(AND(G4061=T4061,COUNTIFS($S$6:S4061,S4061,$G$6:G4061,G4061,$D$6:D4061,"Vastgesteld")&gt;1),1,0))</f>
        <v>0</v>
      </c>
    </row>
    <row r="4062">
      <c r="S4062" s="15" t="str">
        <f>IF(J4062="","",J4062&amp;"|"&amp;E4062&amp;"|"&amp;F4062&amp;"|"&amp;I4062&amp;"|"&amp;O4062)</f>
        <v/>
      </c>
      <c r="T4062" s="15" t="str">
        <f>IF(OR(S4062="",D4062&lt;&gt;"Vastgesteld"),"",_xlfn.MAXIFS($G$6:$G$5005,$S$6:$S$5005,S4062,$D$6:$D$5005,"Vastgesteld"))</f>
        <v/>
      </c>
      <c r="U4062" s="15">
        <f>IF(T4062="",0,IF(AND(G4062=T4062,COUNTIFS($S$6:S4062,S4062,$G$6:G4062,G4062,$D$6:D4062,"Vastgesteld")=1),1,0))</f>
        <v>0</v>
      </c>
      <c r="V4062" s="15">
        <f>IF(T4062="",0,IF(AND(G4062=T4062,COUNTIFS($S$6:S4062,S4062,$G$6:G4062,G4062,$D$6:D4062,"Vastgesteld")&gt;1),1,0))</f>
        <v>0</v>
      </c>
    </row>
    <row r="4063">
      <c r="S4063" s="15" t="str">
        <f>IF(J4063="","",J4063&amp;"|"&amp;E4063&amp;"|"&amp;F4063&amp;"|"&amp;I4063&amp;"|"&amp;O4063)</f>
        <v/>
      </c>
      <c r="T4063" s="15" t="str">
        <f>IF(OR(S4063="",D4063&lt;&gt;"Vastgesteld"),"",_xlfn.MAXIFS($G$6:$G$5005,$S$6:$S$5005,S4063,$D$6:$D$5005,"Vastgesteld"))</f>
        <v/>
      </c>
      <c r="U4063" s="15">
        <f>IF(T4063="",0,IF(AND(G4063=T4063,COUNTIFS($S$6:S4063,S4063,$G$6:G4063,G4063,$D$6:D4063,"Vastgesteld")=1),1,0))</f>
        <v>0</v>
      </c>
      <c r="V4063" s="15">
        <f>IF(T4063="",0,IF(AND(G4063=T4063,COUNTIFS($S$6:S4063,S4063,$G$6:G4063,G4063,$D$6:D4063,"Vastgesteld")&gt;1),1,0))</f>
        <v>0</v>
      </c>
    </row>
    <row r="4064">
      <c r="S4064" s="15" t="str">
        <f>IF(J4064="","",J4064&amp;"|"&amp;E4064&amp;"|"&amp;F4064&amp;"|"&amp;I4064&amp;"|"&amp;O4064)</f>
        <v/>
      </c>
      <c r="T4064" s="15" t="str">
        <f>IF(OR(S4064="",D4064&lt;&gt;"Vastgesteld"),"",_xlfn.MAXIFS($G$6:$G$5005,$S$6:$S$5005,S4064,$D$6:$D$5005,"Vastgesteld"))</f>
        <v/>
      </c>
      <c r="U4064" s="15">
        <f>IF(T4064="",0,IF(AND(G4064=T4064,COUNTIFS($S$6:S4064,S4064,$G$6:G4064,G4064,$D$6:D4064,"Vastgesteld")=1),1,0))</f>
        <v>0</v>
      </c>
      <c r="V4064" s="15">
        <f>IF(T4064="",0,IF(AND(G4064=T4064,COUNTIFS($S$6:S4064,S4064,$G$6:G4064,G4064,$D$6:D4064,"Vastgesteld")&gt;1),1,0))</f>
        <v>0</v>
      </c>
    </row>
    <row r="4065">
      <c r="S4065" s="15" t="str">
        <f>IF(J4065="","",J4065&amp;"|"&amp;E4065&amp;"|"&amp;F4065&amp;"|"&amp;I4065&amp;"|"&amp;O4065)</f>
        <v/>
      </c>
      <c r="T4065" s="15" t="str">
        <f>IF(OR(S4065="",D4065&lt;&gt;"Vastgesteld"),"",_xlfn.MAXIFS($G$6:$G$5005,$S$6:$S$5005,S4065,$D$6:$D$5005,"Vastgesteld"))</f>
        <v/>
      </c>
      <c r="U4065" s="15">
        <f>IF(T4065="",0,IF(AND(G4065=T4065,COUNTIFS($S$6:S4065,S4065,$G$6:G4065,G4065,$D$6:D4065,"Vastgesteld")=1),1,0))</f>
        <v>0</v>
      </c>
      <c r="V4065" s="15">
        <f>IF(T4065="",0,IF(AND(G4065=T4065,COUNTIFS($S$6:S4065,S4065,$G$6:G4065,G4065,$D$6:D4065,"Vastgesteld")&gt;1),1,0))</f>
        <v>0</v>
      </c>
    </row>
    <row r="4066">
      <c r="S4066" s="15" t="str">
        <f>IF(J4066="","",J4066&amp;"|"&amp;E4066&amp;"|"&amp;F4066&amp;"|"&amp;I4066&amp;"|"&amp;O4066)</f>
        <v/>
      </c>
      <c r="T4066" s="15" t="str">
        <f>IF(OR(S4066="",D4066&lt;&gt;"Vastgesteld"),"",_xlfn.MAXIFS($G$6:$G$5005,$S$6:$S$5005,S4066,$D$6:$D$5005,"Vastgesteld"))</f>
        <v/>
      </c>
      <c r="U4066" s="15">
        <f>IF(T4066="",0,IF(AND(G4066=T4066,COUNTIFS($S$6:S4066,S4066,$G$6:G4066,G4066,$D$6:D4066,"Vastgesteld")=1),1,0))</f>
        <v>0</v>
      </c>
      <c r="V4066" s="15">
        <f>IF(T4066="",0,IF(AND(G4066=T4066,COUNTIFS($S$6:S4066,S4066,$G$6:G4066,G4066,$D$6:D4066,"Vastgesteld")&gt;1),1,0))</f>
        <v>0</v>
      </c>
    </row>
    <row r="4067">
      <c r="S4067" s="15" t="str">
        <f>IF(J4067="","",J4067&amp;"|"&amp;E4067&amp;"|"&amp;F4067&amp;"|"&amp;I4067&amp;"|"&amp;O4067)</f>
        <v/>
      </c>
      <c r="T4067" s="15" t="str">
        <f>IF(OR(S4067="",D4067&lt;&gt;"Vastgesteld"),"",_xlfn.MAXIFS($G$6:$G$5005,$S$6:$S$5005,S4067,$D$6:$D$5005,"Vastgesteld"))</f>
        <v/>
      </c>
      <c r="U4067" s="15">
        <f>IF(T4067="",0,IF(AND(G4067=T4067,COUNTIFS($S$6:S4067,S4067,$G$6:G4067,G4067,$D$6:D4067,"Vastgesteld")=1),1,0))</f>
        <v>0</v>
      </c>
      <c r="V4067" s="15">
        <f>IF(T4067="",0,IF(AND(G4067=T4067,COUNTIFS($S$6:S4067,S4067,$G$6:G4067,G4067,$D$6:D4067,"Vastgesteld")&gt;1),1,0))</f>
        <v>0</v>
      </c>
    </row>
    <row r="4068">
      <c r="S4068" s="15" t="str">
        <f>IF(J4068="","",J4068&amp;"|"&amp;E4068&amp;"|"&amp;F4068&amp;"|"&amp;I4068&amp;"|"&amp;O4068)</f>
        <v/>
      </c>
      <c r="T4068" s="15" t="str">
        <f>IF(OR(S4068="",D4068&lt;&gt;"Vastgesteld"),"",_xlfn.MAXIFS($G$6:$G$5005,$S$6:$S$5005,S4068,$D$6:$D$5005,"Vastgesteld"))</f>
        <v/>
      </c>
      <c r="U4068" s="15">
        <f>IF(T4068="",0,IF(AND(G4068=T4068,COUNTIFS($S$6:S4068,S4068,$G$6:G4068,G4068,$D$6:D4068,"Vastgesteld")=1),1,0))</f>
        <v>0</v>
      </c>
      <c r="V4068" s="15">
        <f>IF(T4068="",0,IF(AND(G4068=T4068,COUNTIFS($S$6:S4068,S4068,$G$6:G4068,G4068,$D$6:D4068,"Vastgesteld")&gt;1),1,0))</f>
        <v>0</v>
      </c>
    </row>
    <row r="4069">
      <c r="S4069" s="15" t="str">
        <f>IF(J4069="","",J4069&amp;"|"&amp;E4069&amp;"|"&amp;F4069&amp;"|"&amp;I4069&amp;"|"&amp;O4069)</f>
        <v/>
      </c>
      <c r="T4069" s="15" t="str">
        <f>IF(OR(S4069="",D4069&lt;&gt;"Vastgesteld"),"",_xlfn.MAXIFS($G$6:$G$5005,$S$6:$S$5005,S4069,$D$6:$D$5005,"Vastgesteld"))</f>
        <v/>
      </c>
      <c r="U4069" s="15">
        <f>IF(T4069="",0,IF(AND(G4069=T4069,COUNTIFS($S$6:S4069,S4069,$G$6:G4069,G4069,$D$6:D4069,"Vastgesteld")=1),1,0))</f>
        <v>0</v>
      </c>
      <c r="V4069" s="15">
        <f>IF(T4069="",0,IF(AND(G4069=T4069,COUNTIFS($S$6:S4069,S4069,$G$6:G4069,G4069,$D$6:D4069,"Vastgesteld")&gt;1),1,0))</f>
        <v>0</v>
      </c>
    </row>
    <row r="4070">
      <c r="S4070" s="15" t="str">
        <f>IF(J4070="","",J4070&amp;"|"&amp;E4070&amp;"|"&amp;F4070&amp;"|"&amp;I4070&amp;"|"&amp;O4070)</f>
        <v/>
      </c>
      <c r="T4070" s="15" t="str">
        <f>IF(OR(S4070="",D4070&lt;&gt;"Vastgesteld"),"",_xlfn.MAXIFS($G$6:$G$5005,$S$6:$S$5005,S4070,$D$6:$D$5005,"Vastgesteld"))</f>
        <v/>
      </c>
      <c r="U4070" s="15">
        <f>IF(T4070="",0,IF(AND(G4070=T4070,COUNTIFS($S$6:S4070,S4070,$G$6:G4070,G4070,$D$6:D4070,"Vastgesteld")=1),1,0))</f>
        <v>0</v>
      </c>
      <c r="V4070" s="15">
        <f>IF(T4070="",0,IF(AND(G4070=T4070,COUNTIFS($S$6:S4070,S4070,$G$6:G4070,G4070,$D$6:D4070,"Vastgesteld")&gt;1),1,0))</f>
        <v>0</v>
      </c>
    </row>
    <row r="4071">
      <c r="S4071" s="15" t="str">
        <f>IF(J4071="","",J4071&amp;"|"&amp;E4071&amp;"|"&amp;F4071&amp;"|"&amp;I4071&amp;"|"&amp;O4071)</f>
        <v/>
      </c>
      <c r="T4071" s="15" t="str">
        <f>IF(OR(S4071="",D4071&lt;&gt;"Vastgesteld"),"",_xlfn.MAXIFS($G$6:$G$5005,$S$6:$S$5005,S4071,$D$6:$D$5005,"Vastgesteld"))</f>
        <v/>
      </c>
      <c r="U4071" s="15">
        <f>IF(T4071="",0,IF(AND(G4071=T4071,COUNTIFS($S$6:S4071,S4071,$G$6:G4071,G4071,$D$6:D4071,"Vastgesteld")=1),1,0))</f>
        <v>0</v>
      </c>
      <c r="V4071" s="15">
        <f>IF(T4071="",0,IF(AND(G4071=T4071,COUNTIFS($S$6:S4071,S4071,$G$6:G4071,G4071,$D$6:D4071,"Vastgesteld")&gt;1),1,0))</f>
        <v>0</v>
      </c>
    </row>
    <row r="4072">
      <c r="S4072" s="15" t="str">
        <f>IF(J4072="","",J4072&amp;"|"&amp;E4072&amp;"|"&amp;F4072&amp;"|"&amp;I4072&amp;"|"&amp;O4072)</f>
        <v/>
      </c>
      <c r="T4072" s="15" t="str">
        <f>IF(OR(S4072="",D4072&lt;&gt;"Vastgesteld"),"",_xlfn.MAXIFS($G$6:$G$5005,$S$6:$S$5005,S4072,$D$6:$D$5005,"Vastgesteld"))</f>
        <v/>
      </c>
      <c r="U4072" s="15">
        <f>IF(T4072="",0,IF(AND(G4072=T4072,COUNTIFS($S$6:S4072,S4072,$G$6:G4072,G4072,$D$6:D4072,"Vastgesteld")=1),1,0))</f>
        <v>0</v>
      </c>
      <c r="V4072" s="15">
        <f>IF(T4072="",0,IF(AND(G4072=T4072,COUNTIFS($S$6:S4072,S4072,$G$6:G4072,G4072,$D$6:D4072,"Vastgesteld")&gt;1),1,0))</f>
        <v>0</v>
      </c>
    </row>
    <row r="4073">
      <c r="S4073" s="15" t="str">
        <f>IF(J4073="","",J4073&amp;"|"&amp;E4073&amp;"|"&amp;F4073&amp;"|"&amp;I4073&amp;"|"&amp;O4073)</f>
        <v/>
      </c>
      <c r="T4073" s="15" t="str">
        <f>IF(OR(S4073="",D4073&lt;&gt;"Vastgesteld"),"",_xlfn.MAXIFS($G$6:$G$5005,$S$6:$S$5005,S4073,$D$6:$D$5005,"Vastgesteld"))</f>
        <v/>
      </c>
      <c r="U4073" s="15">
        <f>IF(T4073="",0,IF(AND(G4073=T4073,COUNTIFS($S$6:S4073,S4073,$G$6:G4073,G4073,$D$6:D4073,"Vastgesteld")=1),1,0))</f>
        <v>0</v>
      </c>
      <c r="V4073" s="15">
        <f>IF(T4073="",0,IF(AND(G4073=T4073,COUNTIFS($S$6:S4073,S4073,$G$6:G4073,G4073,$D$6:D4073,"Vastgesteld")&gt;1),1,0))</f>
        <v>0</v>
      </c>
    </row>
    <row r="4074">
      <c r="S4074" s="15" t="str">
        <f>IF(J4074="","",J4074&amp;"|"&amp;E4074&amp;"|"&amp;F4074&amp;"|"&amp;I4074&amp;"|"&amp;O4074)</f>
        <v/>
      </c>
      <c r="T4074" s="15" t="str">
        <f>IF(OR(S4074="",D4074&lt;&gt;"Vastgesteld"),"",_xlfn.MAXIFS($G$6:$G$5005,$S$6:$S$5005,S4074,$D$6:$D$5005,"Vastgesteld"))</f>
        <v/>
      </c>
      <c r="U4074" s="15">
        <f>IF(T4074="",0,IF(AND(G4074=T4074,COUNTIFS($S$6:S4074,S4074,$G$6:G4074,G4074,$D$6:D4074,"Vastgesteld")=1),1,0))</f>
        <v>0</v>
      </c>
      <c r="V4074" s="15">
        <f>IF(T4074="",0,IF(AND(G4074=T4074,COUNTIFS($S$6:S4074,S4074,$G$6:G4074,G4074,$D$6:D4074,"Vastgesteld")&gt;1),1,0))</f>
        <v>0</v>
      </c>
    </row>
    <row r="4075">
      <c r="S4075" s="15" t="str">
        <f>IF(J4075="","",J4075&amp;"|"&amp;E4075&amp;"|"&amp;F4075&amp;"|"&amp;I4075&amp;"|"&amp;O4075)</f>
        <v/>
      </c>
      <c r="T4075" s="15" t="str">
        <f>IF(OR(S4075="",D4075&lt;&gt;"Vastgesteld"),"",_xlfn.MAXIFS($G$6:$G$5005,$S$6:$S$5005,S4075,$D$6:$D$5005,"Vastgesteld"))</f>
        <v/>
      </c>
      <c r="U4075" s="15">
        <f>IF(T4075="",0,IF(AND(G4075=T4075,COUNTIFS($S$6:S4075,S4075,$G$6:G4075,G4075,$D$6:D4075,"Vastgesteld")=1),1,0))</f>
        <v>0</v>
      </c>
      <c r="V4075" s="15">
        <f>IF(T4075="",0,IF(AND(G4075=T4075,COUNTIFS($S$6:S4075,S4075,$G$6:G4075,G4075,$D$6:D4075,"Vastgesteld")&gt;1),1,0))</f>
        <v>0</v>
      </c>
    </row>
    <row r="4076">
      <c r="S4076" s="15" t="str">
        <f>IF(J4076="","",J4076&amp;"|"&amp;E4076&amp;"|"&amp;F4076&amp;"|"&amp;I4076&amp;"|"&amp;O4076)</f>
        <v/>
      </c>
      <c r="T4076" s="15" t="str">
        <f>IF(OR(S4076="",D4076&lt;&gt;"Vastgesteld"),"",_xlfn.MAXIFS($G$6:$G$5005,$S$6:$S$5005,S4076,$D$6:$D$5005,"Vastgesteld"))</f>
        <v/>
      </c>
      <c r="U4076" s="15">
        <f>IF(T4076="",0,IF(AND(G4076=T4076,COUNTIFS($S$6:S4076,S4076,$G$6:G4076,G4076,$D$6:D4076,"Vastgesteld")=1),1,0))</f>
        <v>0</v>
      </c>
      <c r="V4076" s="15">
        <f>IF(T4076="",0,IF(AND(G4076=T4076,COUNTIFS($S$6:S4076,S4076,$G$6:G4076,G4076,$D$6:D4076,"Vastgesteld")&gt;1),1,0))</f>
        <v>0</v>
      </c>
    </row>
    <row r="4077">
      <c r="S4077" s="15" t="str">
        <f>IF(J4077="","",J4077&amp;"|"&amp;E4077&amp;"|"&amp;F4077&amp;"|"&amp;I4077&amp;"|"&amp;O4077)</f>
        <v/>
      </c>
      <c r="T4077" s="15" t="str">
        <f>IF(OR(S4077="",D4077&lt;&gt;"Vastgesteld"),"",_xlfn.MAXIFS($G$6:$G$5005,$S$6:$S$5005,S4077,$D$6:$D$5005,"Vastgesteld"))</f>
        <v/>
      </c>
      <c r="U4077" s="15">
        <f>IF(T4077="",0,IF(AND(G4077=T4077,COUNTIFS($S$6:S4077,S4077,$G$6:G4077,G4077,$D$6:D4077,"Vastgesteld")=1),1,0))</f>
        <v>0</v>
      </c>
      <c r="V4077" s="15">
        <f>IF(T4077="",0,IF(AND(G4077=T4077,COUNTIFS($S$6:S4077,S4077,$G$6:G4077,G4077,$D$6:D4077,"Vastgesteld")&gt;1),1,0))</f>
        <v>0</v>
      </c>
    </row>
    <row r="4078">
      <c r="S4078" s="15" t="str">
        <f>IF(J4078="","",J4078&amp;"|"&amp;E4078&amp;"|"&amp;F4078&amp;"|"&amp;I4078&amp;"|"&amp;O4078)</f>
        <v/>
      </c>
      <c r="T4078" s="15" t="str">
        <f>IF(OR(S4078="",D4078&lt;&gt;"Vastgesteld"),"",_xlfn.MAXIFS($G$6:$G$5005,$S$6:$S$5005,S4078,$D$6:$D$5005,"Vastgesteld"))</f>
        <v/>
      </c>
      <c r="U4078" s="15">
        <f>IF(T4078="",0,IF(AND(G4078=T4078,COUNTIFS($S$6:S4078,S4078,$G$6:G4078,G4078,$D$6:D4078,"Vastgesteld")=1),1,0))</f>
        <v>0</v>
      </c>
      <c r="V4078" s="15">
        <f>IF(T4078="",0,IF(AND(G4078=T4078,COUNTIFS($S$6:S4078,S4078,$G$6:G4078,G4078,$D$6:D4078,"Vastgesteld")&gt;1),1,0))</f>
        <v>0</v>
      </c>
    </row>
    <row r="4079">
      <c r="S4079" s="15" t="str">
        <f>IF(J4079="","",J4079&amp;"|"&amp;E4079&amp;"|"&amp;F4079&amp;"|"&amp;I4079&amp;"|"&amp;O4079)</f>
        <v/>
      </c>
      <c r="T4079" s="15" t="str">
        <f>IF(OR(S4079="",D4079&lt;&gt;"Vastgesteld"),"",_xlfn.MAXIFS($G$6:$G$5005,$S$6:$S$5005,S4079,$D$6:$D$5005,"Vastgesteld"))</f>
        <v/>
      </c>
      <c r="U4079" s="15">
        <f>IF(T4079="",0,IF(AND(G4079=T4079,COUNTIFS($S$6:S4079,S4079,$G$6:G4079,G4079,$D$6:D4079,"Vastgesteld")=1),1,0))</f>
        <v>0</v>
      </c>
      <c r="V4079" s="15">
        <f>IF(T4079="",0,IF(AND(G4079=T4079,COUNTIFS($S$6:S4079,S4079,$G$6:G4079,G4079,$D$6:D4079,"Vastgesteld")&gt;1),1,0))</f>
        <v>0</v>
      </c>
    </row>
    <row r="4080">
      <c r="S4080" s="15" t="str">
        <f>IF(J4080="","",J4080&amp;"|"&amp;E4080&amp;"|"&amp;F4080&amp;"|"&amp;I4080&amp;"|"&amp;O4080)</f>
        <v/>
      </c>
      <c r="T4080" s="15" t="str">
        <f>IF(OR(S4080="",D4080&lt;&gt;"Vastgesteld"),"",_xlfn.MAXIFS($G$6:$G$5005,$S$6:$S$5005,S4080,$D$6:$D$5005,"Vastgesteld"))</f>
        <v/>
      </c>
      <c r="U4080" s="15">
        <f>IF(T4080="",0,IF(AND(G4080=T4080,COUNTIFS($S$6:S4080,S4080,$G$6:G4080,G4080,$D$6:D4080,"Vastgesteld")=1),1,0))</f>
        <v>0</v>
      </c>
      <c r="V4080" s="15">
        <f>IF(T4080="",0,IF(AND(G4080=T4080,COUNTIFS($S$6:S4080,S4080,$G$6:G4080,G4080,$D$6:D4080,"Vastgesteld")&gt;1),1,0))</f>
        <v>0</v>
      </c>
    </row>
    <row r="4081">
      <c r="S4081" s="15" t="str">
        <f>IF(J4081="","",J4081&amp;"|"&amp;E4081&amp;"|"&amp;F4081&amp;"|"&amp;I4081&amp;"|"&amp;O4081)</f>
        <v/>
      </c>
      <c r="T4081" s="15" t="str">
        <f>IF(OR(S4081="",D4081&lt;&gt;"Vastgesteld"),"",_xlfn.MAXIFS($G$6:$G$5005,$S$6:$S$5005,S4081,$D$6:$D$5005,"Vastgesteld"))</f>
        <v/>
      </c>
      <c r="U4081" s="15">
        <f>IF(T4081="",0,IF(AND(G4081=T4081,COUNTIFS($S$6:S4081,S4081,$G$6:G4081,G4081,$D$6:D4081,"Vastgesteld")=1),1,0))</f>
        <v>0</v>
      </c>
      <c r="V4081" s="15">
        <f>IF(T4081="",0,IF(AND(G4081=T4081,COUNTIFS($S$6:S4081,S4081,$G$6:G4081,G4081,$D$6:D4081,"Vastgesteld")&gt;1),1,0))</f>
        <v>0</v>
      </c>
    </row>
    <row r="4082">
      <c r="S4082" s="15" t="str">
        <f>IF(J4082="","",J4082&amp;"|"&amp;E4082&amp;"|"&amp;F4082&amp;"|"&amp;I4082&amp;"|"&amp;O4082)</f>
        <v/>
      </c>
      <c r="T4082" s="15" t="str">
        <f>IF(OR(S4082="",D4082&lt;&gt;"Vastgesteld"),"",_xlfn.MAXIFS($G$6:$G$5005,$S$6:$S$5005,S4082,$D$6:$D$5005,"Vastgesteld"))</f>
        <v/>
      </c>
      <c r="U4082" s="15">
        <f>IF(T4082="",0,IF(AND(G4082=T4082,COUNTIFS($S$6:S4082,S4082,$G$6:G4082,G4082,$D$6:D4082,"Vastgesteld")=1),1,0))</f>
        <v>0</v>
      </c>
      <c r="V4082" s="15">
        <f>IF(T4082="",0,IF(AND(G4082=T4082,COUNTIFS($S$6:S4082,S4082,$G$6:G4082,G4082,$D$6:D4082,"Vastgesteld")&gt;1),1,0))</f>
        <v>0</v>
      </c>
    </row>
    <row r="4083">
      <c r="S4083" s="15" t="str">
        <f>IF(J4083="","",J4083&amp;"|"&amp;E4083&amp;"|"&amp;F4083&amp;"|"&amp;I4083&amp;"|"&amp;O4083)</f>
        <v/>
      </c>
      <c r="T4083" s="15" t="str">
        <f>IF(OR(S4083="",D4083&lt;&gt;"Vastgesteld"),"",_xlfn.MAXIFS($G$6:$G$5005,$S$6:$S$5005,S4083,$D$6:$D$5005,"Vastgesteld"))</f>
        <v/>
      </c>
      <c r="U4083" s="15">
        <f>IF(T4083="",0,IF(AND(G4083=T4083,COUNTIFS($S$6:S4083,S4083,$G$6:G4083,G4083,$D$6:D4083,"Vastgesteld")=1),1,0))</f>
        <v>0</v>
      </c>
      <c r="V4083" s="15">
        <f>IF(T4083="",0,IF(AND(G4083=T4083,COUNTIFS($S$6:S4083,S4083,$G$6:G4083,G4083,$D$6:D4083,"Vastgesteld")&gt;1),1,0))</f>
        <v>0</v>
      </c>
    </row>
    <row r="4084">
      <c r="S4084" s="15" t="str">
        <f>IF(J4084="","",J4084&amp;"|"&amp;E4084&amp;"|"&amp;F4084&amp;"|"&amp;I4084&amp;"|"&amp;O4084)</f>
        <v/>
      </c>
      <c r="T4084" s="15" t="str">
        <f>IF(OR(S4084="",D4084&lt;&gt;"Vastgesteld"),"",_xlfn.MAXIFS($G$6:$G$5005,$S$6:$S$5005,S4084,$D$6:$D$5005,"Vastgesteld"))</f>
        <v/>
      </c>
      <c r="U4084" s="15">
        <f>IF(T4084="",0,IF(AND(G4084=T4084,COUNTIFS($S$6:S4084,S4084,$G$6:G4084,G4084,$D$6:D4084,"Vastgesteld")=1),1,0))</f>
        <v>0</v>
      </c>
      <c r="V4084" s="15">
        <f>IF(T4084="",0,IF(AND(G4084=T4084,COUNTIFS($S$6:S4084,S4084,$G$6:G4084,G4084,$D$6:D4084,"Vastgesteld")&gt;1),1,0))</f>
        <v>0</v>
      </c>
    </row>
    <row r="4085">
      <c r="S4085" s="15" t="str">
        <f>IF(J4085="","",J4085&amp;"|"&amp;E4085&amp;"|"&amp;F4085&amp;"|"&amp;I4085&amp;"|"&amp;O4085)</f>
        <v/>
      </c>
      <c r="T4085" s="15" t="str">
        <f>IF(OR(S4085="",D4085&lt;&gt;"Vastgesteld"),"",_xlfn.MAXIFS($G$6:$G$5005,$S$6:$S$5005,S4085,$D$6:$D$5005,"Vastgesteld"))</f>
        <v/>
      </c>
      <c r="U4085" s="15">
        <f>IF(T4085="",0,IF(AND(G4085=T4085,COUNTIFS($S$6:S4085,S4085,$G$6:G4085,G4085,$D$6:D4085,"Vastgesteld")=1),1,0))</f>
        <v>0</v>
      </c>
      <c r="V4085" s="15">
        <f>IF(T4085="",0,IF(AND(G4085=T4085,COUNTIFS($S$6:S4085,S4085,$G$6:G4085,G4085,$D$6:D4085,"Vastgesteld")&gt;1),1,0))</f>
        <v>0</v>
      </c>
    </row>
    <row r="4086">
      <c r="S4086" s="15" t="str">
        <f>IF(J4086="","",J4086&amp;"|"&amp;E4086&amp;"|"&amp;F4086&amp;"|"&amp;I4086&amp;"|"&amp;O4086)</f>
        <v/>
      </c>
      <c r="T4086" s="15" t="str">
        <f>IF(OR(S4086="",D4086&lt;&gt;"Vastgesteld"),"",_xlfn.MAXIFS($G$6:$G$5005,$S$6:$S$5005,S4086,$D$6:$D$5005,"Vastgesteld"))</f>
        <v/>
      </c>
      <c r="U4086" s="15">
        <f>IF(T4086="",0,IF(AND(G4086=T4086,COUNTIFS($S$6:S4086,S4086,$G$6:G4086,G4086,$D$6:D4086,"Vastgesteld")=1),1,0))</f>
        <v>0</v>
      </c>
      <c r="V4086" s="15">
        <f>IF(T4086="",0,IF(AND(G4086=T4086,COUNTIFS($S$6:S4086,S4086,$G$6:G4086,G4086,$D$6:D4086,"Vastgesteld")&gt;1),1,0))</f>
        <v>0</v>
      </c>
    </row>
    <row r="4087">
      <c r="S4087" s="15" t="str">
        <f>IF(J4087="","",J4087&amp;"|"&amp;E4087&amp;"|"&amp;F4087&amp;"|"&amp;I4087&amp;"|"&amp;O4087)</f>
        <v/>
      </c>
      <c r="T4087" s="15" t="str">
        <f>IF(OR(S4087="",D4087&lt;&gt;"Vastgesteld"),"",_xlfn.MAXIFS($G$6:$G$5005,$S$6:$S$5005,S4087,$D$6:$D$5005,"Vastgesteld"))</f>
        <v/>
      </c>
      <c r="U4087" s="15">
        <f>IF(T4087="",0,IF(AND(G4087=T4087,COUNTIFS($S$6:S4087,S4087,$G$6:G4087,G4087,$D$6:D4087,"Vastgesteld")=1),1,0))</f>
        <v>0</v>
      </c>
      <c r="V4087" s="15">
        <f>IF(T4087="",0,IF(AND(G4087=T4087,COUNTIFS($S$6:S4087,S4087,$G$6:G4087,G4087,$D$6:D4087,"Vastgesteld")&gt;1),1,0))</f>
        <v>0</v>
      </c>
    </row>
    <row r="4088">
      <c r="S4088" s="15" t="str">
        <f>IF(J4088="","",J4088&amp;"|"&amp;E4088&amp;"|"&amp;F4088&amp;"|"&amp;I4088&amp;"|"&amp;O4088)</f>
        <v/>
      </c>
      <c r="T4088" s="15" t="str">
        <f>IF(OR(S4088="",D4088&lt;&gt;"Vastgesteld"),"",_xlfn.MAXIFS($G$6:$G$5005,$S$6:$S$5005,S4088,$D$6:$D$5005,"Vastgesteld"))</f>
        <v/>
      </c>
      <c r="U4088" s="15">
        <f>IF(T4088="",0,IF(AND(G4088=T4088,COUNTIFS($S$6:S4088,S4088,$G$6:G4088,G4088,$D$6:D4088,"Vastgesteld")=1),1,0))</f>
        <v>0</v>
      </c>
      <c r="V4088" s="15">
        <f>IF(T4088="",0,IF(AND(G4088=T4088,COUNTIFS($S$6:S4088,S4088,$G$6:G4088,G4088,$D$6:D4088,"Vastgesteld")&gt;1),1,0))</f>
        <v>0</v>
      </c>
    </row>
    <row r="4089">
      <c r="S4089" s="15" t="str">
        <f>IF(J4089="","",J4089&amp;"|"&amp;E4089&amp;"|"&amp;F4089&amp;"|"&amp;I4089&amp;"|"&amp;O4089)</f>
        <v/>
      </c>
      <c r="T4089" s="15" t="str">
        <f>IF(OR(S4089="",D4089&lt;&gt;"Vastgesteld"),"",_xlfn.MAXIFS($G$6:$G$5005,$S$6:$S$5005,S4089,$D$6:$D$5005,"Vastgesteld"))</f>
        <v/>
      </c>
      <c r="U4089" s="15">
        <f>IF(T4089="",0,IF(AND(G4089=T4089,COUNTIFS($S$6:S4089,S4089,$G$6:G4089,G4089,$D$6:D4089,"Vastgesteld")=1),1,0))</f>
        <v>0</v>
      </c>
      <c r="V4089" s="15">
        <f>IF(T4089="",0,IF(AND(G4089=T4089,COUNTIFS($S$6:S4089,S4089,$G$6:G4089,G4089,$D$6:D4089,"Vastgesteld")&gt;1),1,0))</f>
        <v>0</v>
      </c>
    </row>
    <row r="4090">
      <c r="S4090" s="15" t="str">
        <f>IF(J4090="","",J4090&amp;"|"&amp;E4090&amp;"|"&amp;F4090&amp;"|"&amp;I4090&amp;"|"&amp;O4090)</f>
        <v/>
      </c>
      <c r="T4090" s="15" t="str">
        <f>IF(OR(S4090="",D4090&lt;&gt;"Vastgesteld"),"",_xlfn.MAXIFS($G$6:$G$5005,$S$6:$S$5005,S4090,$D$6:$D$5005,"Vastgesteld"))</f>
        <v/>
      </c>
      <c r="U4090" s="15">
        <f>IF(T4090="",0,IF(AND(G4090=T4090,COUNTIFS($S$6:S4090,S4090,$G$6:G4090,G4090,$D$6:D4090,"Vastgesteld")=1),1,0))</f>
        <v>0</v>
      </c>
      <c r="V4090" s="15">
        <f>IF(T4090="",0,IF(AND(G4090=T4090,COUNTIFS($S$6:S4090,S4090,$G$6:G4090,G4090,$D$6:D4090,"Vastgesteld")&gt;1),1,0))</f>
        <v>0</v>
      </c>
    </row>
    <row r="4091">
      <c r="S4091" s="15" t="str">
        <f>IF(J4091="","",J4091&amp;"|"&amp;E4091&amp;"|"&amp;F4091&amp;"|"&amp;I4091&amp;"|"&amp;O4091)</f>
        <v/>
      </c>
      <c r="T4091" s="15" t="str">
        <f>IF(OR(S4091="",D4091&lt;&gt;"Vastgesteld"),"",_xlfn.MAXIFS($G$6:$G$5005,$S$6:$S$5005,S4091,$D$6:$D$5005,"Vastgesteld"))</f>
        <v/>
      </c>
      <c r="U4091" s="15">
        <f>IF(T4091="",0,IF(AND(G4091=T4091,COUNTIFS($S$6:S4091,S4091,$G$6:G4091,G4091,$D$6:D4091,"Vastgesteld")=1),1,0))</f>
        <v>0</v>
      </c>
      <c r="V4091" s="15">
        <f>IF(T4091="",0,IF(AND(G4091=T4091,COUNTIFS($S$6:S4091,S4091,$G$6:G4091,G4091,$D$6:D4091,"Vastgesteld")&gt;1),1,0))</f>
        <v>0</v>
      </c>
    </row>
    <row r="4092">
      <c r="S4092" s="15" t="str">
        <f>IF(J4092="","",J4092&amp;"|"&amp;E4092&amp;"|"&amp;F4092&amp;"|"&amp;I4092&amp;"|"&amp;O4092)</f>
        <v/>
      </c>
      <c r="T4092" s="15" t="str">
        <f>IF(OR(S4092="",D4092&lt;&gt;"Vastgesteld"),"",_xlfn.MAXIFS($G$6:$G$5005,$S$6:$S$5005,S4092,$D$6:$D$5005,"Vastgesteld"))</f>
        <v/>
      </c>
      <c r="U4092" s="15">
        <f>IF(T4092="",0,IF(AND(G4092=T4092,COUNTIFS($S$6:S4092,S4092,$G$6:G4092,G4092,$D$6:D4092,"Vastgesteld")=1),1,0))</f>
        <v>0</v>
      </c>
      <c r="V4092" s="15">
        <f>IF(T4092="",0,IF(AND(G4092=T4092,COUNTIFS($S$6:S4092,S4092,$G$6:G4092,G4092,$D$6:D4092,"Vastgesteld")&gt;1),1,0))</f>
        <v>0</v>
      </c>
    </row>
    <row r="4093">
      <c r="S4093" s="15" t="str">
        <f>IF(J4093="","",J4093&amp;"|"&amp;E4093&amp;"|"&amp;F4093&amp;"|"&amp;I4093&amp;"|"&amp;O4093)</f>
        <v/>
      </c>
      <c r="T4093" s="15" t="str">
        <f>IF(OR(S4093="",D4093&lt;&gt;"Vastgesteld"),"",_xlfn.MAXIFS($G$6:$G$5005,$S$6:$S$5005,S4093,$D$6:$D$5005,"Vastgesteld"))</f>
        <v/>
      </c>
      <c r="U4093" s="15">
        <f>IF(T4093="",0,IF(AND(G4093=T4093,COUNTIFS($S$6:S4093,S4093,$G$6:G4093,G4093,$D$6:D4093,"Vastgesteld")=1),1,0))</f>
        <v>0</v>
      </c>
      <c r="V4093" s="15">
        <f>IF(T4093="",0,IF(AND(G4093=T4093,COUNTIFS($S$6:S4093,S4093,$G$6:G4093,G4093,$D$6:D4093,"Vastgesteld")&gt;1),1,0))</f>
        <v>0</v>
      </c>
    </row>
    <row r="4094">
      <c r="S4094" s="15" t="str">
        <f>IF(J4094="","",J4094&amp;"|"&amp;E4094&amp;"|"&amp;F4094&amp;"|"&amp;I4094&amp;"|"&amp;O4094)</f>
        <v/>
      </c>
      <c r="T4094" s="15" t="str">
        <f>IF(OR(S4094="",D4094&lt;&gt;"Vastgesteld"),"",_xlfn.MAXIFS($G$6:$G$5005,$S$6:$S$5005,S4094,$D$6:$D$5005,"Vastgesteld"))</f>
        <v/>
      </c>
      <c r="U4094" s="15">
        <f>IF(T4094="",0,IF(AND(G4094=T4094,COUNTIFS($S$6:S4094,S4094,$G$6:G4094,G4094,$D$6:D4094,"Vastgesteld")=1),1,0))</f>
        <v>0</v>
      </c>
      <c r="V4094" s="15">
        <f>IF(T4094="",0,IF(AND(G4094=T4094,COUNTIFS($S$6:S4094,S4094,$G$6:G4094,G4094,$D$6:D4094,"Vastgesteld")&gt;1),1,0))</f>
        <v>0</v>
      </c>
    </row>
    <row r="4095">
      <c r="S4095" s="15" t="str">
        <f>IF(J4095="","",J4095&amp;"|"&amp;E4095&amp;"|"&amp;F4095&amp;"|"&amp;I4095&amp;"|"&amp;O4095)</f>
        <v/>
      </c>
      <c r="T4095" s="15" t="str">
        <f>IF(OR(S4095="",D4095&lt;&gt;"Vastgesteld"),"",_xlfn.MAXIFS($G$6:$G$5005,$S$6:$S$5005,S4095,$D$6:$D$5005,"Vastgesteld"))</f>
        <v/>
      </c>
      <c r="U4095" s="15">
        <f>IF(T4095="",0,IF(AND(G4095=T4095,COUNTIFS($S$6:S4095,S4095,$G$6:G4095,G4095,$D$6:D4095,"Vastgesteld")=1),1,0))</f>
        <v>0</v>
      </c>
      <c r="V4095" s="15">
        <f>IF(T4095="",0,IF(AND(G4095=T4095,COUNTIFS($S$6:S4095,S4095,$G$6:G4095,G4095,$D$6:D4095,"Vastgesteld")&gt;1),1,0))</f>
        <v>0</v>
      </c>
    </row>
    <row r="4096">
      <c r="S4096" s="15" t="str">
        <f>IF(J4096="","",J4096&amp;"|"&amp;E4096&amp;"|"&amp;F4096&amp;"|"&amp;I4096&amp;"|"&amp;O4096)</f>
        <v/>
      </c>
      <c r="T4096" s="15" t="str">
        <f>IF(OR(S4096="",D4096&lt;&gt;"Vastgesteld"),"",_xlfn.MAXIFS($G$6:$G$5005,$S$6:$S$5005,S4096,$D$6:$D$5005,"Vastgesteld"))</f>
        <v/>
      </c>
      <c r="U4096" s="15">
        <f>IF(T4096="",0,IF(AND(G4096=T4096,COUNTIFS($S$6:S4096,S4096,$G$6:G4096,G4096,$D$6:D4096,"Vastgesteld")=1),1,0))</f>
        <v>0</v>
      </c>
      <c r="V4096" s="15">
        <f>IF(T4096="",0,IF(AND(G4096=T4096,COUNTIFS($S$6:S4096,S4096,$G$6:G4096,G4096,$D$6:D4096,"Vastgesteld")&gt;1),1,0))</f>
        <v>0</v>
      </c>
    </row>
    <row r="4097">
      <c r="S4097" s="15" t="str">
        <f>IF(J4097="","",J4097&amp;"|"&amp;E4097&amp;"|"&amp;F4097&amp;"|"&amp;I4097&amp;"|"&amp;O4097)</f>
        <v/>
      </c>
      <c r="T4097" s="15" t="str">
        <f>IF(OR(S4097="",D4097&lt;&gt;"Vastgesteld"),"",_xlfn.MAXIFS($G$6:$G$5005,$S$6:$S$5005,S4097,$D$6:$D$5005,"Vastgesteld"))</f>
        <v/>
      </c>
      <c r="U4097" s="15">
        <f>IF(T4097="",0,IF(AND(G4097=T4097,COUNTIFS($S$6:S4097,S4097,$G$6:G4097,G4097,$D$6:D4097,"Vastgesteld")=1),1,0))</f>
        <v>0</v>
      </c>
      <c r="V4097" s="15">
        <f>IF(T4097="",0,IF(AND(G4097=T4097,COUNTIFS($S$6:S4097,S4097,$G$6:G4097,G4097,$D$6:D4097,"Vastgesteld")&gt;1),1,0))</f>
        <v>0</v>
      </c>
    </row>
    <row r="4098">
      <c r="S4098" s="15" t="str">
        <f>IF(J4098="","",J4098&amp;"|"&amp;E4098&amp;"|"&amp;F4098&amp;"|"&amp;I4098&amp;"|"&amp;O4098)</f>
        <v/>
      </c>
      <c r="T4098" s="15" t="str">
        <f>IF(OR(S4098="",D4098&lt;&gt;"Vastgesteld"),"",_xlfn.MAXIFS($G$6:$G$5005,$S$6:$S$5005,S4098,$D$6:$D$5005,"Vastgesteld"))</f>
        <v/>
      </c>
      <c r="U4098" s="15">
        <f>IF(T4098="",0,IF(AND(G4098=T4098,COUNTIFS($S$6:S4098,S4098,$G$6:G4098,G4098,$D$6:D4098,"Vastgesteld")=1),1,0))</f>
        <v>0</v>
      </c>
      <c r="V4098" s="15">
        <f>IF(T4098="",0,IF(AND(G4098=T4098,COUNTIFS($S$6:S4098,S4098,$G$6:G4098,G4098,$D$6:D4098,"Vastgesteld")&gt;1),1,0))</f>
        <v>0</v>
      </c>
    </row>
    <row r="4099">
      <c r="S4099" s="15" t="str">
        <f>IF(J4099="","",J4099&amp;"|"&amp;E4099&amp;"|"&amp;F4099&amp;"|"&amp;I4099&amp;"|"&amp;O4099)</f>
        <v/>
      </c>
      <c r="T4099" s="15" t="str">
        <f>IF(OR(S4099="",D4099&lt;&gt;"Vastgesteld"),"",_xlfn.MAXIFS($G$6:$G$5005,$S$6:$S$5005,S4099,$D$6:$D$5005,"Vastgesteld"))</f>
        <v/>
      </c>
      <c r="U4099" s="15">
        <f>IF(T4099="",0,IF(AND(G4099=T4099,COUNTIFS($S$6:S4099,S4099,$G$6:G4099,G4099,$D$6:D4099,"Vastgesteld")=1),1,0))</f>
        <v>0</v>
      </c>
      <c r="V4099" s="15">
        <f>IF(T4099="",0,IF(AND(G4099=T4099,COUNTIFS($S$6:S4099,S4099,$G$6:G4099,G4099,$D$6:D4099,"Vastgesteld")&gt;1),1,0))</f>
        <v>0</v>
      </c>
    </row>
    <row r="4100">
      <c r="S4100" s="15" t="str">
        <f>IF(J4100="","",J4100&amp;"|"&amp;E4100&amp;"|"&amp;F4100&amp;"|"&amp;I4100&amp;"|"&amp;O4100)</f>
        <v/>
      </c>
      <c r="T4100" s="15" t="str">
        <f>IF(OR(S4100="",D4100&lt;&gt;"Vastgesteld"),"",_xlfn.MAXIFS($G$6:$G$5005,$S$6:$S$5005,S4100,$D$6:$D$5005,"Vastgesteld"))</f>
        <v/>
      </c>
      <c r="U4100" s="15">
        <f>IF(T4100="",0,IF(AND(G4100=T4100,COUNTIFS($S$6:S4100,S4100,$G$6:G4100,G4100,$D$6:D4100,"Vastgesteld")=1),1,0))</f>
        <v>0</v>
      </c>
      <c r="V4100" s="15">
        <f>IF(T4100="",0,IF(AND(G4100=T4100,COUNTIFS($S$6:S4100,S4100,$G$6:G4100,G4100,$D$6:D4100,"Vastgesteld")&gt;1),1,0))</f>
        <v>0</v>
      </c>
    </row>
    <row r="4101">
      <c r="S4101" s="15" t="str">
        <f>IF(J4101="","",J4101&amp;"|"&amp;E4101&amp;"|"&amp;F4101&amp;"|"&amp;I4101&amp;"|"&amp;O4101)</f>
        <v/>
      </c>
      <c r="T4101" s="15" t="str">
        <f>IF(OR(S4101="",D4101&lt;&gt;"Vastgesteld"),"",_xlfn.MAXIFS($G$6:$G$5005,$S$6:$S$5005,S4101,$D$6:$D$5005,"Vastgesteld"))</f>
        <v/>
      </c>
      <c r="U4101" s="15">
        <f>IF(T4101="",0,IF(AND(G4101=T4101,COUNTIFS($S$6:S4101,S4101,$G$6:G4101,G4101,$D$6:D4101,"Vastgesteld")=1),1,0))</f>
        <v>0</v>
      </c>
      <c r="V4101" s="15">
        <f>IF(T4101="",0,IF(AND(G4101=T4101,COUNTIFS($S$6:S4101,S4101,$G$6:G4101,G4101,$D$6:D4101,"Vastgesteld")&gt;1),1,0))</f>
        <v>0</v>
      </c>
    </row>
    <row r="4102">
      <c r="S4102" s="15" t="str">
        <f>IF(J4102="","",J4102&amp;"|"&amp;E4102&amp;"|"&amp;F4102&amp;"|"&amp;I4102&amp;"|"&amp;O4102)</f>
        <v/>
      </c>
      <c r="T4102" s="15" t="str">
        <f>IF(OR(S4102="",D4102&lt;&gt;"Vastgesteld"),"",_xlfn.MAXIFS($G$6:$G$5005,$S$6:$S$5005,S4102,$D$6:$D$5005,"Vastgesteld"))</f>
        <v/>
      </c>
      <c r="U4102" s="15">
        <f>IF(T4102="",0,IF(AND(G4102=T4102,COUNTIFS($S$6:S4102,S4102,$G$6:G4102,G4102,$D$6:D4102,"Vastgesteld")=1),1,0))</f>
        <v>0</v>
      </c>
      <c r="V4102" s="15">
        <f>IF(T4102="",0,IF(AND(G4102=T4102,COUNTIFS($S$6:S4102,S4102,$G$6:G4102,G4102,$D$6:D4102,"Vastgesteld")&gt;1),1,0))</f>
        <v>0</v>
      </c>
    </row>
    <row r="4103">
      <c r="S4103" s="15" t="str">
        <f>IF(J4103="","",J4103&amp;"|"&amp;E4103&amp;"|"&amp;F4103&amp;"|"&amp;I4103&amp;"|"&amp;O4103)</f>
        <v/>
      </c>
      <c r="T4103" s="15" t="str">
        <f>IF(OR(S4103="",D4103&lt;&gt;"Vastgesteld"),"",_xlfn.MAXIFS($G$6:$G$5005,$S$6:$S$5005,S4103,$D$6:$D$5005,"Vastgesteld"))</f>
        <v/>
      </c>
      <c r="U4103" s="15">
        <f>IF(T4103="",0,IF(AND(G4103=T4103,COUNTIFS($S$6:S4103,S4103,$G$6:G4103,G4103,$D$6:D4103,"Vastgesteld")=1),1,0))</f>
        <v>0</v>
      </c>
      <c r="V4103" s="15">
        <f>IF(T4103="",0,IF(AND(G4103=T4103,COUNTIFS($S$6:S4103,S4103,$G$6:G4103,G4103,$D$6:D4103,"Vastgesteld")&gt;1),1,0))</f>
        <v>0</v>
      </c>
    </row>
    <row r="4104">
      <c r="S4104" s="15" t="str">
        <f>IF(J4104="","",J4104&amp;"|"&amp;E4104&amp;"|"&amp;F4104&amp;"|"&amp;I4104&amp;"|"&amp;O4104)</f>
        <v/>
      </c>
      <c r="T4104" s="15" t="str">
        <f>IF(OR(S4104="",D4104&lt;&gt;"Vastgesteld"),"",_xlfn.MAXIFS($G$6:$G$5005,$S$6:$S$5005,S4104,$D$6:$D$5005,"Vastgesteld"))</f>
        <v/>
      </c>
      <c r="U4104" s="15">
        <f>IF(T4104="",0,IF(AND(G4104=T4104,COUNTIFS($S$6:S4104,S4104,$G$6:G4104,G4104,$D$6:D4104,"Vastgesteld")=1),1,0))</f>
        <v>0</v>
      </c>
      <c r="V4104" s="15">
        <f>IF(T4104="",0,IF(AND(G4104=T4104,COUNTIFS($S$6:S4104,S4104,$G$6:G4104,G4104,$D$6:D4104,"Vastgesteld")&gt;1),1,0))</f>
        <v>0</v>
      </c>
    </row>
    <row r="4105">
      <c r="S4105" s="15" t="str">
        <f>IF(J4105="","",J4105&amp;"|"&amp;E4105&amp;"|"&amp;F4105&amp;"|"&amp;I4105&amp;"|"&amp;O4105)</f>
        <v/>
      </c>
      <c r="T4105" s="15" t="str">
        <f>IF(OR(S4105="",D4105&lt;&gt;"Vastgesteld"),"",_xlfn.MAXIFS($G$6:$G$5005,$S$6:$S$5005,S4105,$D$6:$D$5005,"Vastgesteld"))</f>
        <v/>
      </c>
      <c r="U4105" s="15">
        <f>IF(T4105="",0,IF(AND(G4105=T4105,COUNTIFS($S$6:S4105,S4105,$G$6:G4105,G4105,$D$6:D4105,"Vastgesteld")=1),1,0))</f>
        <v>0</v>
      </c>
      <c r="V4105" s="15">
        <f>IF(T4105="",0,IF(AND(G4105=T4105,COUNTIFS($S$6:S4105,S4105,$G$6:G4105,G4105,$D$6:D4105,"Vastgesteld")&gt;1),1,0))</f>
        <v>0</v>
      </c>
    </row>
    <row r="4106">
      <c r="S4106" s="15" t="str">
        <f>IF(J4106="","",J4106&amp;"|"&amp;E4106&amp;"|"&amp;F4106&amp;"|"&amp;I4106&amp;"|"&amp;O4106)</f>
        <v/>
      </c>
      <c r="T4106" s="15" t="str">
        <f>IF(OR(S4106="",D4106&lt;&gt;"Vastgesteld"),"",_xlfn.MAXIFS($G$6:$G$5005,$S$6:$S$5005,S4106,$D$6:$D$5005,"Vastgesteld"))</f>
        <v/>
      </c>
      <c r="U4106" s="15">
        <f>IF(T4106="",0,IF(AND(G4106=T4106,COUNTIFS($S$6:S4106,S4106,$G$6:G4106,G4106,$D$6:D4106,"Vastgesteld")=1),1,0))</f>
        <v>0</v>
      </c>
      <c r="V4106" s="15">
        <f>IF(T4106="",0,IF(AND(G4106=T4106,COUNTIFS($S$6:S4106,S4106,$G$6:G4106,G4106,$D$6:D4106,"Vastgesteld")&gt;1),1,0))</f>
        <v>0</v>
      </c>
    </row>
    <row r="4107">
      <c r="S4107" s="15" t="str">
        <f>IF(J4107="","",J4107&amp;"|"&amp;E4107&amp;"|"&amp;F4107&amp;"|"&amp;I4107&amp;"|"&amp;O4107)</f>
        <v/>
      </c>
      <c r="T4107" s="15" t="str">
        <f>IF(OR(S4107="",D4107&lt;&gt;"Vastgesteld"),"",_xlfn.MAXIFS($G$6:$G$5005,$S$6:$S$5005,S4107,$D$6:$D$5005,"Vastgesteld"))</f>
        <v/>
      </c>
      <c r="U4107" s="15">
        <f>IF(T4107="",0,IF(AND(G4107=T4107,COUNTIFS($S$6:S4107,S4107,$G$6:G4107,G4107,$D$6:D4107,"Vastgesteld")=1),1,0))</f>
        <v>0</v>
      </c>
      <c r="V4107" s="15">
        <f>IF(T4107="",0,IF(AND(G4107=T4107,COUNTIFS($S$6:S4107,S4107,$G$6:G4107,G4107,$D$6:D4107,"Vastgesteld")&gt;1),1,0))</f>
        <v>0</v>
      </c>
    </row>
    <row r="4108">
      <c r="S4108" s="15" t="str">
        <f>IF(J4108="","",J4108&amp;"|"&amp;E4108&amp;"|"&amp;F4108&amp;"|"&amp;I4108&amp;"|"&amp;O4108)</f>
        <v/>
      </c>
      <c r="T4108" s="15" t="str">
        <f>IF(OR(S4108="",D4108&lt;&gt;"Vastgesteld"),"",_xlfn.MAXIFS($G$6:$G$5005,$S$6:$S$5005,S4108,$D$6:$D$5005,"Vastgesteld"))</f>
        <v/>
      </c>
      <c r="U4108" s="15">
        <f>IF(T4108="",0,IF(AND(G4108=T4108,COUNTIFS($S$6:S4108,S4108,$G$6:G4108,G4108,$D$6:D4108,"Vastgesteld")=1),1,0))</f>
        <v>0</v>
      </c>
      <c r="V4108" s="15">
        <f>IF(T4108="",0,IF(AND(G4108=T4108,COUNTIFS($S$6:S4108,S4108,$G$6:G4108,G4108,$D$6:D4108,"Vastgesteld")&gt;1),1,0))</f>
        <v>0</v>
      </c>
    </row>
    <row r="4109">
      <c r="S4109" s="15" t="str">
        <f>IF(J4109="","",J4109&amp;"|"&amp;E4109&amp;"|"&amp;F4109&amp;"|"&amp;I4109&amp;"|"&amp;O4109)</f>
        <v/>
      </c>
      <c r="T4109" s="15" t="str">
        <f>IF(OR(S4109="",D4109&lt;&gt;"Vastgesteld"),"",_xlfn.MAXIFS($G$6:$G$5005,$S$6:$S$5005,S4109,$D$6:$D$5005,"Vastgesteld"))</f>
        <v/>
      </c>
      <c r="U4109" s="15">
        <f>IF(T4109="",0,IF(AND(G4109=T4109,COUNTIFS($S$6:S4109,S4109,$G$6:G4109,G4109,$D$6:D4109,"Vastgesteld")=1),1,0))</f>
        <v>0</v>
      </c>
      <c r="V4109" s="15">
        <f>IF(T4109="",0,IF(AND(G4109=T4109,COUNTIFS($S$6:S4109,S4109,$G$6:G4109,G4109,$D$6:D4109,"Vastgesteld")&gt;1),1,0))</f>
        <v>0</v>
      </c>
    </row>
    <row r="4110">
      <c r="S4110" s="15" t="str">
        <f>IF(J4110="","",J4110&amp;"|"&amp;E4110&amp;"|"&amp;F4110&amp;"|"&amp;I4110&amp;"|"&amp;O4110)</f>
        <v/>
      </c>
      <c r="T4110" s="15" t="str">
        <f>IF(OR(S4110="",D4110&lt;&gt;"Vastgesteld"),"",_xlfn.MAXIFS($G$6:$G$5005,$S$6:$S$5005,S4110,$D$6:$D$5005,"Vastgesteld"))</f>
        <v/>
      </c>
      <c r="U4110" s="15">
        <f>IF(T4110="",0,IF(AND(G4110=T4110,COUNTIFS($S$6:S4110,S4110,$G$6:G4110,G4110,$D$6:D4110,"Vastgesteld")=1),1,0))</f>
        <v>0</v>
      </c>
      <c r="V4110" s="15">
        <f>IF(T4110="",0,IF(AND(G4110=T4110,COUNTIFS($S$6:S4110,S4110,$G$6:G4110,G4110,$D$6:D4110,"Vastgesteld")&gt;1),1,0))</f>
        <v>0</v>
      </c>
    </row>
    <row r="4111">
      <c r="S4111" s="15" t="str">
        <f>IF(J4111="","",J4111&amp;"|"&amp;E4111&amp;"|"&amp;F4111&amp;"|"&amp;I4111&amp;"|"&amp;O4111)</f>
        <v/>
      </c>
      <c r="T4111" s="15" t="str">
        <f>IF(OR(S4111="",D4111&lt;&gt;"Vastgesteld"),"",_xlfn.MAXIFS($G$6:$G$5005,$S$6:$S$5005,S4111,$D$6:$D$5005,"Vastgesteld"))</f>
        <v/>
      </c>
      <c r="U4111" s="15">
        <f>IF(T4111="",0,IF(AND(G4111=T4111,COUNTIFS($S$6:S4111,S4111,$G$6:G4111,G4111,$D$6:D4111,"Vastgesteld")=1),1,0))</f>
        <v>0</v>
      </c>
      <c r="V4111" s="15">
        <f>IF(T4111="",0,IF(AND(G4111=T4111,COUNTIFS($S$6:S4111,S4111,$G$6:G4111,G4111,$D$6:D4111,"Vastgesteld")&gt;1),1,0))</f>
        <v>0</v>
      </c>
    </row>
    <row r="4112">
      <c r="S4112" s="15" t="str">
        <f>IF(J4112="","",J4112&amp;"|"&amp;E4112&amp;"|"&amp;F4112&amp;"|"&amp;I4112&amp;"|"&amp;O4112)</f>
        <v/>
      </c>
      <c r="T4112" s="15" t="str">
        <f>IF(OR(S4112="",D4112&lt;&gt;"Vastgesteld"),"",_xlfn.MAXIFS($G$6:$G$5005,$S$6:$S$5005,S4112,$D$6:$D$5005,"Vastgesteld"))</f>
        <v/>
      </c>
      <c r="U4112" s="15">
        <f>IF(T4112="",0,IF(AND(G4112=T4112,COUNTIFS($S$6:S4112,S4112,$G$6:G4112,G4112,$D$6:D4112,"Vastgesteld")=1),1,0))</f>
        <v>0</v>
      </c>
      <c r="V4112" s="15">
        <f>IF(T4112="",0,IF(AND(G4112=T4112,COUNTIFS($S$6:S4112,S4112,$G$6:G4112,G4112,$D$6:D4112,"Vastgesteld")&gt;1),1,0))</f>
        <v>0</v>
      </c>
    </row>
    <row r="4113">
      <c r="S4113" s="15" t="str">
        <f>IF(J4113="","",J4113&amp;"|"&amp;E4113&amp;"|"&amp;F4113&amp;"|"&amp;I4113&amp;"|"&amp;O4113)</f>
        <v/>
      </c>
      <c r="T4113" s="15" t="str">
        <f>IF(OR(S4113="",D4113&lt;&gt;"Vastgesteld"),"",_xlfn.MAXIFS($G$6:$G$5005,$S$6:$S$5005,S4113,$D$6:$D$5005,"Vastgesteld"))</f>
        <v/>
      </c>
      <c r="U4113" s="15">
        <f>IF(T4113="",0,IF(AND(G4113=T4113,COUNTIFS($S$6:S4113,S4113,$G$6:G4113,G4113,$D$6:D4113,"Vastgesteld")=1),1,0))</f>
        <v>0</v>
      </c>
      <c r="V4113" s="15">
        <f>IF(T4113="",0,IF(AND(G4113=T4113,COUNTIFS($S$6:S4113,S4113,$G$6:G4113,G4113,$D$6:D4113,"Vastgesteld")&gt;1),1,0))</f>
        <v>0</v>
      </c>
    </row>
    <row r="4114">
      <c r="S4114" s="15" t="str">
        <f>IF(J4114="","",J4114&amp;"|"&amp;E4114&amp;"|"&amp;F4114&amp;"|"&amp;I4114&amp;"|"&amp;O4114)</f>
        <v/>
      </c>
      <c r="T4114" s="15" t="str">
        <f>IF(OR(S4114="",D4114&lt;&gt;"Vastgesteld"),"",_xlfn.MAXIFS($G$6:$G$5005,$S$6:$S$5005,S4114,$D$6:$D$5005,"Vastgesteld"))</f>
        <v/>
      </c>
      <c r="U4114" s="15">
        <f>IF(T4114="",0,IF(AND(G4114=T4114,COUNTIFS($S$6:S4114,S4114,$G$6:G4114,G4114,$D$6:D4114,"Vastgesteld")=1),1,0))</f>
        <v>0</v>
      </c>
      <c r="V4114" s="15">
        <f>IF(T4114="",0,IF(AND(G4114=T4114,COUNTIFS($S$6:S4114,S4114,$G$6:G4114,G4114,$D$6:D4114,"Vastgesteld")&gt;1),1,0))</f>
        <v>0</v>
      </c>
    </row>
    <row r="4115">
      <c r="S4115" s="15" t="str">
        <f>IF(J4115="","",J4115&amp;"|"&amp;E4115&amp;"|"&amp;F4115&amp;"|"&amp;I4115&amp;"|"&amp;O4115)</f>
        <v/>
      </c>
      <c r="T4115" s="15" t="str">
        <f>IF(OR(S4115="",D4115&lt;&gt;"Vastgesteld"),"",_xlfn.MAXIFS($G$6:$G$5005,$S$6:$S$5005,S4115,$D$6:$D$5005,"Vastgesteld"))</f>
        <v/>
      </c>
      <c r="U4115" s="15">
        <f>IF(T4115="",0,IF(AND(G4115=T4115,COUNTIFS($S$6:S4115,S4115,$G$6:G4115,G4115,$D$6:D4115,"Vastgesteld")=1),1,0))</f>
        <v>0</v>
      </c>
      <c r="V4115" s="15">
        <f>IF(T4115="",0,IF(AND(G4115=T4115,COUNTIFS($S$6:S4115,S4115,$G$6:G4115,G4115,$D$6:D4115,"Vastgesteld")&gt;1),1,0))</f>
        <v>0</v>
      </c>
    </row>
    <row r="4116">
      <c r="S4116" s="15" t="str">
        <f>IF(J4116="","",J4116&amp;"|"&amp;E4116&amp;"|"&amp;F4116&amp;"|"&amp;I4116&amp;"|"&amp;O4116)</f>
        <v/>
      </c>
      <c r="T4116" s="15" t="str">
        <f>IF(OR(S4116="",D4116&lt;&gt;"Vastgesteld"),"",_xlfn.MAXIFS($G$6:$G$5005,$S$6:$S$5005,S4116,$D$6:$D$5005,"Vastgesteld"))</f>
        <v/>
      </c>
      <c r="U4116" s="15">
        <f>IF(T4116="",0,IF(AND(G4116=T4116,COUNTIFS($S$6:S4116,S4116,$G$6:G4116,G4116,$D$6:D4116,"Vastgesteld")=1),1,0))</f>
        <v>0</v>
      </c>
      <c r="V4116" s="15">
        <f>IF(T4116="",0,IF(AND(G4116=T4116,COUNTIFS($S$6:S4116,S4116,$G$6:G4116,G4116,$D$6:D4116,"Vastgesteld")&gt;1),1,0))</f>
        <v>0</v>
      </c>
    </row>
    <row r="4117">
      <c r="S4117" s="15" t="str">
        <f>IF(J4117="","",J4117&amp;"|"&amp;E4117&amp;"|"&amp;F4117&amp;"|"&amp;I4117&amp;"|"&amp;O4117)</f>
        <v/>
      </c>
      <c r="T4117" s="15" t="str">
        <f>IF(OR(S4117="",D4117&lt;&gt;"Vastgesteld"),"",_xlfn.MAXIFS($G$6:$G$5005,$S$6:$S$5005,S4117,$D$6:$D$5005,"Vastgesteld"))</f>
        <v/>
      </c>
      <c r="U4117" s="15">
        <f>IF(T4117="",0,IF(AND(G4117=T4117,COUNTIFS($S$6:S4117,S4117,$G$6:G4117,G4117,$D$6:D4117,"Vastgesteld")=1),1,0))</f>
        <v>0</v>
      </c>
      <c r="V4117" s="15">
        <f>IF(T4117="",0,IF(AND(G4117=T4117,COUNTIFS($S$6:S4117,S4117,$G$6:G4117,G4117,$D$6:D4117,"Vastgesteld")&gt;1),1,0))</f>
        <v>0</v>
      </c>
    </row>
    <row r="4118">
      <c r="S4118" s="15" t="str">
        <f>IF(J4118="","",J4118&amp;"|"&amp;E4118&amp;"|"&amp;F4118&amp;"|"&amp;I4118&amp;"|"&amp;O4118)</f>
        <v/>
      </c>
      <c r="T4118" s="15" t="str">
        <f>IF(OR(S4118="",D4118&lt;&gt;"Vastgesteld"),"",_xlfn.MAXIFS($G$6:$G$5005,$S$6:$S$5005,S4118,$D$6:$D$5005,"Vastgesteld"))</f>
        <v/>
      </c>
      <c r="U4118" s="15">
        <f>IF(T4118="",0,IF(AND(G4118=T4118,COUNTIFS($S$6:S4118,S4118,$G$6:G4118,G4118,$D$6:D4118,"Vastgesteld")=1),1,0))</f>
        <v>0</v>
      </c>
      <c r="V4118" s="15">
        <f>IF(T4118="",0,IF(AND(G4118=T4118,COUNTIFS($S$6:S4118,S4118,$G$6:G4118,G4118,$D$6:D4118,"Vastgesteld")&gt;1),1,0))</f>
        <v>0</v>
      </c>
    </row>
    <row r="4119">
      <c r="S4119" s="15" t="str">
        <f>IF(J4119="","",J4119&amp;"|"&amp;E4119&amp;"|"&amp;F4119&amp;"|"&amp;I4119&amp;"|"&amp;O4119)</f>
        <v/>
      </c>
      <c r="T4119" s="15" t="str">
        <f>IF(OR(S4119="",D4119&lt;&gt;"Vastgesteld"),"",_xlfn.MAXIFS($G$6:$G$5005,$S$6:$S$5005,S4119,$D$6:$D$5005,"Vastgesteld"))</f>
        <v/>
      </c>
      <c r="U4119" s="15">
        <f>IF(T4119="",0,IF(AND(G4119=T4119,COUNTIFS($S$6:S4119,S4119,$G$6:G4119,G4119,$D$6:D4119,"Vastgesteld")=1),1,0))</f>
        <v>0</v>
      </c>
      <c r="V4119" s="15">
        <f>IF(T4119="",0,IF(AND(G4119=T4119,COUNTIFS($S$6:S4119,S4119,$G$6:G4119,G4119,$D$6:D4119,"Vastgesteld")&gt;1),1,0))</f>
        <v>0</v>
      </c>
    </row>
    <row r="4120">
      <c r="S4120" s="15" t="str">
        <f>IF(J4120="","",J4120&amp;"|"&amp;E4120&amp;"|"&amp;F4120&amp;"|"&amp;I4120&amp;"|"&amp;O4120)</f>
        <v/>
      </c>
      <c r="T4120" s="15" t="str">
        <f>IF(OR(S4120="",D4120&lt;&gt;"Vastgesteld"),"",_xlfn.MAXIFS($G$6:$G$5005,$S$6:$S$5005,S4120,$D$6:$D$5005,"Vastgesteld"))</f>
        <v/>
      </c>
      <c r="U4120" s="15">
        <f>IF(T4120="",0,IF(AND(G4120=T4120,COUNTIFS($S$6:S4120,S4120,$G$6:G4120,G4120,$D$6:D4120,"Vastgesteld")=1),1,0))</f>
        <v>0</v>
      </c>
      <c r="V4120" s="15">
        <f>IF(T4120="",0,IF(AND(G4120=T4120,COUNTIFS($S$6:S4120,S4120,$G$6:G4120,G4120,$D$6:D4120,"Vastgesteld")&gt;1),1,0))</f>
        <v>0</v>
      </c>
    </row>
    <row r="4121">
      <c r="S4121" s="15" t="str">
        <f>IF(J4121="","",J4121&amp;"|"&amp;E4121&amp;"|"&amp;F4121&amp;"|"&amp;I4121&amp;"|"&amp;O4121)</f>
        <v/>
      </c>
      <c r="T4121" s="15" t="str">
        <f>IF(OR(S4121="",D4121&lt;&gt;"Vastgesteld"),"",_xlfn.MAXIFS($G$6:$G$5005,$S$6:$S$5005,S4121,$D$6:$D$5005,"Vastgesteld"))</f>
        <v/>
      </c>
      <c r="U4121" s="15">
        <f>IF(T4121="",0,IF(AND(G4121=T4121,COUNTIFS($S$6:S4121,S4121,$G$6:G4121,G4121,$D$6:D4121,"Vastgesteld")=1),1,0))</f>
        <v>0</v>
      </c>
      <c r="V4121" s="15">
        <f>IF(T4121="",0,IF(AND(G4121=T4121,COUNTIFS($S$6:S4121,S4121,$G$6:G4121,G4121,$D$6:D4121,"Vastgesteld")&gt;1),1,0))</f>
        <v>0</v>
      </c>
    </row>
    <row r="4122">
      <c r="S4122" s="15" t="str">
        <f>IF(J4122="","",J4122&amp;"|"&amp;E4122&amp;"|"&amp;F4122&amp;"|"&amp;I4122&amp;"|"&amp;O4122)</f>
        <v/>
      </c>
      <c r="T4122" s="15" t="str">
        <f>IF(OR(S4122="",D4122&lt;&gt;"Vastgesteld"),"",_xlfn.MAXIFS($G$6:$G$5005,$S$6:$S$5005,S4122,$D$6:$D$5005,"Vastgesteld"))</f>
        <v/>
      </c>
      <c r="U4122" s="15">
        <f>IF(T4122="",0,IF(AND(G4122=T4122,COUNTIFS($S$6:S4122,S4122,$G$6:G4122,G4122,$D$6:D4122,"Vastgesteld")=1),1,0))</f>
        <v>0</v>
      </c>
      <c r="V4122" s="15">
        <f>IF(T4122="",0,IF(AND(G4122=T4122,COUNTIFS($S$6:S4122,S4122,$G$6:G4122,G4122,$D$6:D4122,"Vastgesteld")&gt;1),1,0))</f>
        <v>0</v>
      </c>
    </row>
    <row r="4123">
      <c r="S4123" s="15" t="str">
        <f>IF(J4123="","",J4123&amp;"|"&amp;E4123&amp;"|"&amp;F4123&amp;"|"&amp;I4123&amp;"|"&amp;O4123)</f>
        <v/>
      </c>
      <c r="T4123" s="15" t="str">
        <f>IF(OR(S4123="",D4123&lt;&gt;"Vastgesteld"),"",_xlfn.MAXIFS($G$6:$G$5005,$S$6:$S$5005,S4123,$D$6:$D$5005,"Vastgesteld"))</f>
        <v/>
      </c>
      <c r="U4123" s="15">
        <f>IF(T4123="",0,IF(AND(G4123=T4123,COUNTIFS($S$6:S4123,S4123,$G$6:G4123,G4123,$D$6:D4123,"Vastgesteld")=1),1,0))</f>
        <v>0</v>
      </c>
      <c r="V4123" s="15">
        <f>IF(T4123="",0,IF(AND(G4123=T4123,COUNTIFS($S$6:S4123,S4123,$G$6:G4123,G4123,$D$6:D4123,"Vastgesteld")&gt;1),1,0))</f>
        <v>0</v>
      </c>
    </row>
    <row r="4124">
      <c r="S4124" s="15" t="str">
        <f>IF(J4124="","",J4124&amp;"|"&amp;E4124&amp;"|"&amp;F4124&amp;"|"&amp;I4124&amp;"|"&amp;O4124)</f>
        <v/>
      </c>
      <c r="T4124" s="15" t="str">
        <f>IF(OR(S4124="",D4124&lt;&gt;"Vastgesteld"),"",_xlfn.MAXIFS($G$6:$G$5005,$S$6:$S$5005,S4124,$D$6:$D$5005,"Vastgesteld"))</f>
        <v/>
      </c>
      <c r="U4124" s="15">
        <f>IF(T4124="",0,IF(AND(G4124=T4124,COUNTIFS($S$6:S4124,S4124,$G$6:G4124,G4124,$D$6:D4124,"Vastgesteld")=1),1,0))</f>
        <v>0</v>
      </c>
      <c r="V4124" s="15">
        <f>IF(T4124="",0,IF(AND(G4124=T4124,COUNTIFS($S$6:S4124,S4124,$G$6:G4124,G4124,$D$6:D4124,"Vastgesteld")&gt;1),1,0))</f>
        <v>0</v>
      </c>
    </row>
    <row r="4125">
      <c r="S4125" s="15" t="str">
        <f>IF(J4125="","",J4125&amp;"|"&amp;E4125&amp;"|"&amp;F4125&amp;"|"&amp;I4125&amp;"|"&amp;O4125)</f>
        <v/>
      </c>
      <c r="T4125" s="15" t="str">
        <f>IF(OR(S4125="",D4125&lt;&gt;"Vastgesteld"),"",_xlfn.MAXIFS($G$6:$G$5005,$S$6:$S$5005,S4125,$D$6:$D$5005,"Vastgesteld"))</f>
        <v/>
      </c>
      <c r="U4125" s="15">
        <f>IF(T4125="",0,IF(AND(G4125=T4125,COUNTIFS($S$6:S4125,S4125,$G$6:G4125,G4125,$D$6:D4125,"Vastgesteld")=1),1,0))</f>
        <v>0</v>
      </c>
      <c r="V4125" s="15">
        <f>IF(T4125="",0,IF(AND(G4125=T4125,COUNTIFS($S$6:S4125,S4125,$G$6:G4125,G4125,$D$6:D4125,"Vastgesteld")&gt;1),1,0))</f>
        <v>0</v>
      </c>
    </row>
    <row r="4126">
      <c r="S4126" s="15" t="str">
        <f>IF(J4126="","",J4126&amp;"|"&amp;E4126&amp;"|"&amp;F4126&amp;"|"&amp;I4126&amp;"|"&amp;O4126)</f>
        <v/>
      </c>
      <c r="T4126" s="15" t="str">
        <f>IF(OR(S4126="",D4126&lt;&gt;"Vastgesteld"),"",_xlfn.MAXIFS($G$6:$G$5005,$S$6:$S$5005,S4126,$D$6:$D$5005,"Vastgesteld"))</f>
        <v/>
      </c>
      <c r="U4126" s="15">
        <f>IF(T4126="",0,IF(AND(G4126=T4126,COUNTIFS($S$6:S4126,S4126,$G$6:G4126,G4126,$D$6:D4126,"Vastgesteld")=1),1,0))</f>
        <v>0</v>
      </c>
      <c r="V4126" s="15">
        <f>IF(T4126="",0,IF(AND(G4126=T4126,COUNTIFS($S$6:S4126,S4126,$G$6:G4126,G4126,$D$6:D4126,"Vastgesteld")&gt;1),1,0))</f>
        <v>0</v>
      </c>
    </row>
    <row r="4127">
      <c r="S4127" s="15" t="str">
        <f>IF(J4127="","",J4127&amp;"|"&amp;E4127&amp;"|"&amp;F4127&amp;"|"&amp;I4127&amp;"|"&amp;O4127)</f>
        <v/>
      </c>
      <c r="T4127" s="15" t="str">
        <f>IF(OR(S4127="",D4127&lt;&gt;"Vastgesteld"),"",_xlfn.MAXIFS($G$6:$G$5005,$S$6:$S$5005,S4127,$D$6:$D$5005,"Vastgesteld"))</f>
        <v/>
      </c>
      <c r="U4127" s="15">
        <f>IF(T4127="",0,IF(AND(G4127=T4127,COUNTIFS($S$6:S4127,S4127,$G$6:G4127,G4127,$D$6:D4127,"Vastgesteld")=1),1,0))</f>
        <v>0</v>
      </c>
      <c r="V4127" s="15">
        <f>IF(T4127="",0,IF(AND(G4127=T4127,COUNTIFS($S$6:S4127,S4127,$G$6:G4127,G4127,$D$6:D4127,"Vastgesteld")&gt;1),1,0))</f>
        <v>0</v>
      </c>
    </row>
    <row r="4128">
      <c r="S4128" s="15" t="str">
        <f>IF(J4128="","",J4128&amp;"|"&amp;E4128&amp;"|"&amp;F4128&amp;"|"&amp;I4128&amp;"|"&amp;O4128)</f>
        <v/>
      </c>
      <c r="T4128" s="15" t="str">
        <f>IF(OR(S4128="",D4128&lt;&gt;"Vastgesteld"),"",_xlfn.MAXIFS($G$6:$G$5005,$S$6:$S$5005,S4128,$D$6:$D$5005,"Vastgesteld"))</f>
        <v/>
      </c>
      <c r="U4128" s="15">
        <f>IF(T4128="",0,IF(AND(G4128=T4128,COUNTIFS($S$6:S4128,S4128,$G$6:G4128,G4128,$D$6:D4128,"Vastgesteld")=1),1,0))</f>
        <v>0</v>
      </c>
      <c r="V4128" s="15">
        <f>IF(T4128="",0,IF(AND(G4128=T4128,COUNTIFS($S$6:S4128,S4128,$G$6:G4128,G4128,$D$6:D4128,"Vastgesteld")&gt;1),1,0))</f>
        <v>0</v>
      </c>
    </row>
    <row r="4129">
      <c r="S4129" s="15" t="str">
        <f>IF(J4129="","",J4129&amp;"|"&amp;E4129&amp;"|"&amp;F4129&amp;"|"&amp;I4129&amp;"|"&amp;O4129)</f>
        <v/>
      </c>
      <c r="T4129" s="15" t="str">
        <f>IF(OR(S4129="",D4129&lt;&gt;"Vastgesteld"),"",_xlfn.MAXIFS($G$6:$G$5005,$S$6:$S$5005,S4129,$D$6:$D$5005,"Vastgesteld"))</f>
        <v/>
      </c>
      <c r="U4129" s="15">
        <f>IF(T4129="",0,IF(AND(G4129=T4129,COUNTIFS($S$6:S4129,S4129,$G$6:G4129,G4129,$D$6:D4129,"Vastgesteld")=1),1,0))</f>
        <v>0</v>
      </c>
      <c r="V4129" s="15">
        <f>IF(T4129="",0,IF(AND(G4129=T4129,COUNTIFS($S$6:S4129,S4129,$G$6:G4129,G4129,$D$6:D4129,"Vastgesteld")&gt;1),1,0))</f>
        <v>0</v>
      </c>
    </row>
    <row r="4130">
      <c r="S4130" s="15" t="str">
        <f>IF(J4130="","",J4130&amp;"|"&amp;E4130&amp;"|"&amp;F4130&amp;"|"&amp;I4130&amp;"|"&amp;O4130)</f>
        <v/>
      </c>
      <c r="T4130" s="15" t="str">
        <f>IF(OR(S4130="",D4130&lt;&gt;"Vastgesteld"),"",_xlfn.MAXIFS($G$6:$G$5005,$S$6:$S$5005,S4130,$D$6:$D$5005,"Vastgesteld"))</f>
        <v/>
      </c>
      <c r="U4130" s="15">
        <f>IF(T4130="",0,IF(AND(G4130=T4130,COUNTIFS($S$6:S4130,S4130,$G$6:G4130,G4130,$D$6:D4130,"Vastgesteld")=1),1,0))</f>
        <v>0</v>
      </c>
      <c r="V4130" s="15">
        <f>IF(T4130="",0,IF(AND(G4130=T4130,COUNTIFS($S$6:S4130,S4130,$G$6:G4130,G4130,$D$6:D4130,"Vastgesteld")&gt;1),1,0))</f>
        <v>0</v>
      </c>
    </row>
    <row r="4131">
      <c r="S4131" s="15" t="str">
        <f>IF(J4131="","",J4131&amp;"|"&amp;E4131&amp;"|"&amp;F4131&amp;"|"&amp;I4131&amp;"|"&amp;O4131)</f>
        <v/>
      </c>
      <c r="T4131" s="15" t="str">
        <f>IF(OR(S4131="",D4131&lt;&gt;"Vastgesteld"),"",_xlfn.MAXIFS($G$6:$G$5005,$S$6:$S$5005,S4131,$D$6:$D$5005,"Vastgesteld"))</f>
        <v/>
      </c>
      <c r="U4131" s="15">
        <f>IF(T4131="",0,IF(AND(G4131=T4131,COUNTIFS($S$6:S4131,S4131,$G$6:G4131,G4131,$D$6:D4131,"Vastgesteld")=1),1,0))</f>
        <v>0</v>
      </c>
      <c r="V4131" s="15">
        <f>IF(T4131="",0,IF(AND(G4131=T4131,COUNTIFS($S$6:S4131,S4131,$G$6:G4131,G4131,$D$6:D4131,"Vastgesteld")&gt;1),1,0))</f>
        <v>0</v>
      </c>
    </row>
    <row r="4132">
      <c r="S4132" s="15" t="str">
        <f>IF(J4132="","",J4132&amp;"|"&amp;E4132&amp;"|"&amp;F4132&amp;"|"&amp;I4132&amp;"|"&amp;O4132)</f>
        <v/>
      </c>
      <c r="T4132" s="15" t="str">
        <f>IF(OR(S4132="",D4132&lt;&gt;"Vastgesteld"),"",_xlfn.MAXIFS($G$6:$G$5005,$S$6:$S$5005,S4132,$D$6:$D$5005,"Vastgesteld"))</f>
        <v/>
      </c>
      <c r="U4132" s="15">
        <f>IF(T4132="",0,IF(AND(G4132=T4132,COUNTIFS($S$6:S4132,S4132,$G$6:G4132,G4132,$D$6:D4132,"Vastgesteld")=1),1,0))</f>
        <v>0</v>
      </c>
      <c r="V4132" s="15">
        <f>IF(T4132="",0,IF(AND(G4132=T4132,COUNTIFS($S$6:S4132,S4132,$G$6:G4132,G4132,$D$6:D4132,"Vastgesteld")&gt;1),1,0))</f>
        <v>0</v>
      </c>
    </row>
    <row r="4133">
      <c r="S4133" s="15" t="str">
        <f>IF(J4133="","",J4133&amp;"|"&amp;E4133&amp;"|"&amp;F4133&amp;"|"&amp;I4133&amp;"|"&amp;O4133)</f>
        <v/>
      </c>
      <c r="T4133" s="15" t="str">
        <f>IF(OR(S4133="",D4133&lt;&gt;"Vastgesteld"),"",_xlfn.MAXIFS($G$6:$G$5005,$S$6:$S$5005,S4133,$D$6:$D$5005,"Vastgesteld"))</f>
        <v/>
      </c>
      <c r="U4133" s="15">
        <f>IF(T4133="",0,IF(AND(G4133=T4133,COUNTIFS($S$6:S4133,S4133,$G$6:G4133,G4133,$D$6:D4133,"Vastgesteld")=1),1,0))</f>
        <v>0</v>
      </c>
      <c r="V4133" s="15">
        <f>IF(T4133="",0,IF(AND(G4133=T4133,COUNTIFS($S$6:S4133,S4133,$G$6:G4133,G4133,$D$6:D4133,"Vastgesteld")&gt;1),1,0))</f>
        <v>0</v>
      </c>
    </row>
    <row r="4134">
      <c r="S4134" s="15" t="str">
        <f>IF(J4134="","",J4134&amp;"|"&amp;E4134&amp;"|"&amp;F4134&amp;"|"&amp;I4134&amp;"|"&amp;O4134)</f>
        <v/>
      </c>
      <c r="T4134" s="15" t="str">
        <f>IF(OR(S4134="",D4134&lt;&gt;"Vastgesteld"),"",_xlfn.MAXIFS($G$6:$G$5005,$S$6:$S$5005,S4134,$D$6:$D$5005,"Vastgesteld"))</f>
        <v/>
      </c>
      <c r="U4134" s="15">
        <f>IF(T4134="",0,IF(AND(G4134=T4134,COUNTIFS($S$6:S4134,S4134,$G$6:G4134,G4134,$D$6:D4134,"Vastgesteld")=1),1,0))</f>
        <v>0</v>
      </c>
      <c r="V4134" s="15">
        <f>IF(T4134="",0,IF(AND(G4134=T4134,COUNTIFS($S$6:S4134,S4134,$G$6:G4134,G4134,$D$6:D4134,"Vastgesteld")&gt;1),1,0))</f>
        <v>0</v>
      </c>
    </row>
    <row r="4135">
      <c r="S4135" s="15" t="str">
        <f>IF(J4135="","",J4135&amp;"|"&amp;E4135&amp;"|"&amp;F4135&amp;"|"&amp;I4135&amp;"|"&amp;O4135)</f>
        <v/>
      </c>
      <c r="T4135" s="15" t="str">
        <f>IF(OR(S4135="",D4135&lt;&gt;"Vastgesteld"),"",_xlfn.MAXIFS($G$6:$G$5005,$S$6:$S$5005,S4135,$D$6:$D$5005,"Vastgesteld"))</f>
        <v/>
      </c>
      <c r="U4135" s="15">
        <f>IF(T4135="",0,IF(AND(G4135=T4135,COUNTIFS($S$6:S4135,S4135,$G$6:G4135,G4135,$D$6:D4135,"Vastgesteld")=1),1,0))</f>
        <v>0</v>
      </c>
      <c r="V4135" s="15">
        <f>IF(T4135="",0,IF(AND(G4135=T4135,COUNTIFS($S$6:S4135,S4135,$G$6:G4135,G4135,$D$6:D4135,"Vastgesteld")&gt;1),1,0))</f>
        <v>0</v>
      </c>
    </row>
    <row r="4136">
      <c r="S4136" s="15" t="str">
        <f>IF(J4136="","",J4136&amp;"|"&amp;E4136&amp;"|"&amp;F4136&amp;"|"&amp;I4136&amp;"|"&amp;O4136)</f>
        <v/>
      </c>
      <c r="T4136" s="15" t="str">
        <f>IF(OR(S4136="",D4136&lt;&gt;"Vastgesteld"),"",_xlfn.MAXIFS($G$6:$G$5005,$S$6:$S$5005,S4136,$D$6:$D$5005,"Vastgesteld"))</f>
        <v/>
      </c>
      <c r="U4136" s="15">
        <f>IF(T4136="",0,IF(AND(G4136=T4136,COUNTIFS($S$6:S4136,S4136,$G$6:G4136,G4136,$D$6:D4136,"Vastgesteld")=1),1,0))</f>
        <v>0</v>
      </c>
      <c r="V4136" s="15">
        <f>IF(T4136="",0,IF(AND(G4136=T4136,COUNTIFS($S$6:S4136,S4136,$G$6:G4136,G4136,$D$6:D4136,"Vastgesteld")&gt;1),1,0))</f>
        <v>0</v>
      </c>
    </row>
    <row r="4137">
      <c r="S4137" s="15" t="str">
        <f>IF(J4137="","",J4137&amp;"|"&amp;E4137&amp;"|"&amp;F4137&amp;"|"&amp;I4137&amp;"|"&amp;O4137)</f>
        <v/>
      </c>
      <c r="T4137" s="15" t="str">
        <f>IF(OR(S4137="",D4137&lt;&gt;"Vastgesteld"),"",_xlfn.MAXIFS($G$6:$G$5005,$S$6:$S$5005,S4137,$D$6:$D$5005,"Vastgesteld"))</f>
        <v/>
      </c>
      <c r="U4137" s="15">
        <f>IF(T4137="",0,IF(AND(G4137=T4137,COUNTIFS($S$6:S4137,S4137,$G$6:G4137,G4137,$D$6:D4137,"Vastgesteld")=1),1,0))</f>
        <v>0</v>
      </c>
      <c r="V4137" s="15">
        <f>IF(T4137="",0,IF(AND(G4137=T4137,COUNTIFS($S$6:S4137,S4137,$G$6:G4137,G4137,$D$6:D4137,"Vastgesteld")&gt;1),1,0))</f>
        <v>0</v>
      </c>
    </row>
    <row r="4138">
      <c r="S4138" s="15" t="str">
        <f>IF(J4138="","",J4138&amp;"|"&amp;E4138&amp;"|"&amp;F4138&amp;"|"&amp;I4138&amp;"|"&amp;O4138)</f>
        <v/>
      </c>
      <c r="T4138" s="15" t="str">
        <f>IF(OR(S4138="",D4138&lt;&gt;"Vastgesteld"),"",_xlfn.MAXIFS($G$6:$G$5005,$S$6:$S$5005,S4138,$D$6:$D$5005,"Vastgesteld"))</f>
        <v/>
      </c>
      <c r="U4138" s="15">
        <f>IF(T4138="",0,IF(AND(G4138=T4138,COUNTIFS($S$6:S4138,S4138,$G$6:G4138,G4138,$D$6:D4138,"Vastgesteld")=1),1,0))</f>
        <v>0</v>
      </c>
      <c r="V4138" s="15">
        <f>IF(T4138="",0,IF(AND(G4138=T4138,COUNTIFS($S$6:S4138,S4138,$G$6:G4138,G4138,$D$6:D4138,"Vastgesteld")&gt;1),1,0))</f>
        <v>0</v>
      </c>
    </row>
    <row r="4139">
      <c r="S4139" s="15" t="str">
        <f>IF(J4139="","",J4139&amp;"|"&amp;E4139&amp;"|"&amp;F4139&amp;"|"&amp;I4139&amp;"|"&amp;O4139)</f>
        <v/>
      </c>
      <c r="T4139" s="15" t="str">
        <f>IF(OR(S4139="",D4139&lt;&gt;"Vastgesteld"),"",_xlfn.MAXIFS($G$6:$G$5005,$S$6:$S$5005,S4139,$D$6:$D$5005,"Vastgesteld"))</f>
        <v/>
      </c>
      <c r="U4139" s="15">
        <f>IF(T4139="",0,IF(AND(G4139=T4139,COUNTIFS($S$6:S4139,S4139,$G$6:G4139,G4139,$D$6:D4139,"Vastgesteld")=1),1,0))</f>
        <v>0</v>
      </c>
      <c r="V4139" s="15">
        <f>IF(T4139="",0,IF(AND(G4139=T4139,COUNTIFS($S$6:S4139,S4139,$G$6:G4139,G4139,$D$6:D4139,"Vastgesteld")&gt;1),1,0))</f>
        <v>0</v>
      </c>
    </row>
    <row r="4140">
      <c r="S4140" s="15" t="str">
        <f>IF(J4140="","",J4140&amp;"|"&amp;E4140&amp;"|"&amp;F4140&amp;"|"&amp;I4140&amp;"|"&amp;O4140)</f>
        <v/>
      </c>
      <c r="T4140" s="15" t="str">
        <f>IF(OR(S4140="",D4140&lt;&gt;"Vastgesteld"),"",_xlfn.MAXIFS($G$6:$G$5005,$S$6:$S$5005,S4140,$D$6:$D$5005,"Vastgesteld"))</f>
        <v/>
      </c>
      <c r="U4140" s="15">
        <f>IF(T4140="",0,IF(AND(G4140=T4140,COUNTIFS($S$6:S4140,S4140,$G$6:G4140,G4140,$D$6:D4140,"Vastgesteld")=1),1,0))</f>
        <v>0</v>
      </c>
      <c r="V4140" s="15">
        <f>IF(T4140="",0,IF(AND(G4140=T4140,COUNTIFS($S$6:S4140,S4140,$G$6:G4140,G4140,$D$6:D4140,"Vastgesteld")&gt;1),1,0))</f>
        <v>0</v>
      </c>
    </row>
    <row r="4141">
      <c r="S4141" s="15" t="str">
        <f>IF(J4141="","",J4141&amp;"|"&amp;E4141&amp;"|"&amp;F4141&amp;"|"&amp;I4141&amp;"|"&amp;O4141)</f>
        <v/>
      </c>
      <c r="T4141" s="15" t="str">
        <f>IF(OR(S4141="",D4141&lt;&gt;"Vastgesteld"),"",_xlfn.MAXIFS($G$6:$G$5005,$S$6:$S$5005,S4141,$D$6:$D$5005,"Vastgesteld"))</f>
        <v/>
      </c>
      <c r="U4141" s="15">
        <f>IF(T4141="",0,IF(AND(G4141=T4141,COUNTIFS($S$6:S4141,S4141,$G$6:G4141,G4141,$D$6:D4141,"Vastgesteld")=1),1,0))</f>
        <v>0</v>
      </c>
      <c r="V4141" s="15">
        <f>IF(T4141="",0,IF(AND(G4141=T4141,COUNTIFS($S$6:S4141,S4141,$G$6:G4141,G4141,$D$6:D4141,"Vastgesteld")&gt;1),1,0))</f>
        <v>0</v>
      </c>
    </row>
    <row r="4142">
      <c r="S4142" s="15" t="str">
        <f>IF(J4142="","",J4142&amp;"|"&amp;E4142&amp;"|"&amp;F4142&amp;"|"&amp;I4142&amp;"|"&amp;O4142)</f>
        <v/>
      </c>
      <c r="T4142" s="15" t="str">
        <f>IF(OR(S4142="",D4142&lt;&gt;"Vastgesteld"),"",_xlfn.MAXIFS($G$6:$G$5005,$S$6:$S$5005,S4142,$D$6:$D$5005,"Vastgesteld"))</f>
        <v/>
      </c>
      <c r="U4142" s="15">
        <f>IF(T4142="",0,IF(AND(G4142=T4142,COUNTIFS($S$6:S4142,S4142,$G$6:G4142,G4142,$D$6:D4142,"Vastgesteld")=1),1,0))</f>
        <v>0</v>
      </c>
      <c r="V4142" s="15">
        <f>IF(T4142="",0,IF(AND(G4142=T4142,COUNTIFS($S$6:S4142,S4142,$G$6:G4142,G4142,$D$6:D4142,"Vastgesteld")&gt;1),1,0))</f>
        <v>0</v>
      </c>
    </row>
    <row r="4143">
      <c r="S4143" s="15" t="str">
        <f>IF(J4143="","",J4143&amp;"|"&amp;E4143&amp;"|"&amp;F4143&amp;"|"&amp;I4143&amp;"|"&amp;O4143)</f>
        <v/>
      </c>
      <c r="T4143" s="15" t="str">
        <f>IF(OR(S4143="",D4143&lt;&gt;"Vastgesteld"),"",_xlfn.MAXIFS($G$6:$G$5005,$S$6:$S$5005,S4143,$D$6:$D$5005,"Vastgesteld"))</f>
        <v/>
      </c>
      <c r="U4143" s="15">
        <f>IF(T4143="",0,IF(AND(G4143=T4143,COUNTIFS($S$6:S4143,S4143,$G$6:G4143,G4143,$D$6:D4143,"Vastgesteld")=1),1,0))</f>
        <v>0</v>
      </c>
      <c r="V4143" s="15">
        <f>IF(T4143="",0,IF(AND(G4143=T4143,COUNTIFS($S$6:S4143,S4143,$G$6:G4143,G4143,$D$6:D4143,"Vastgesteld")&gt;1),1,0))</f>
        <v>0</v>
      </c>
    </row>
    <row r="4144">
      <c r="S4144" s="15" t="str">
        <f>IF(J4144="","",J4144&amp;"|"&amp;E4144&amp;"|"&amp;F4144&amp;"|"&amp;I4144&amp;"|"&amp;O4144)</f>
        <v/>
      </c>
      <c r="T4144" s="15" t="str">
        <f>IF(OR(S4144="",D4144&lt;&gt;"Vastgesteld"),"",_xlfn.MAXIFS($G$6:$G$5005,$S$6:$S$5005,S4144,$D$6:$D$5005,"Vastgesteld"))</f>
        <v/>
      </c>
      <c r="U4144" s="15">
        <f>IF(T4144="",0,IF(AND(G4144=T4144,COUNTIFS($S$6:S4144,S4144,$G$6:G4144,G4144,$D$6:D4144,"Vastgesteld")=1),1,0))</f>
        <v>0</v>
      </c>
      <c r="V4144" s="15">
        <f>IF(T4144="",0,IF(AND(G4144=T4144,COUNTIFS($S$6:S4144,S4144,$G$6:G4144,G4144,$D$6:D4144,"Vastgesteld")&gt;1),1,0))</f>
        <v>0</v>
      </c>
    </row>
    <row r="4145">
      <c r="S4145" s="15" t="str">
        <f>IF(J4145="","",J4145&amp;"|"&amp;E4145&amp;"|"&amp;F4145&amp;"|"&amp;I4145&amp;"|"&amp;O4145)</f>
        <v/>
      </c>
      <c r="T4145" s="15" t="str">
        <f>IF(OR(S4145="",D4145&lt;&gt;"Vastgesteld"),"",_xlfn.MAXIFS($G$6:$G$5005,$S$6:$S$5005,S4145,$D$6:$D$5005,"Vastgesteld"))</f>
        <v/>
      </c>
      <c r="U4145" s="15">
        <f>IF(T4145="",0,IF(AND(G4145=T4145,COUNTIFS($S$6:S4145,S4145,$G$6:G4145,G4145,$D$6:D4145,"Vastgesteld")=1),1,0))</f>
        <v>0</v>
      </c>
      <c r="V4145" s="15">
        <f>IF(T4145="",0,IF(AND(G4145=T4145,COUNTIFS($S$6:S4145,S4145,$G$6:G4145,G4145,$D$6:D4145,"Vastgesteld")&gt;1),1,0))</f>
        <v>0</v>
      </c>
    </row>
    <row r="4146">
      <c r="S4146" s="15" t="str">
        <f>IF(J4146="","",J4146&amp;"|"&amp;E4146&amp;"|"&amp;F4146&amp;"|"&amp;I4146&amp;"|"&amp;O4146)</f>
        <v/>
      </c>
      <c r="T4146" s="15" t="str">
        <f>IF(OR(S4146="",D4146&lt;&gt;"Vastgesteld"),"",_xlfn.MAXIFS($G$6:$G$5005,$S$6:$S$5005,S4146,$D$6:$D$5005,"Vastgesteld"))</f>
        <v/>
      </c>
      <c r="U4146" s="15">
        <f>IF(T4146="",0,IF(AND(G4146=T4146,COUNTIFS($S$6:S4146,S4146,$G$6:G4146,G4146,$D$6:D4146,"Vastgesteld")=1),1,0))</f>
        <v>0</v>
      </c>
      <c r="V4146" s="15">
        <f>IF(T4146="",0,IF(AND(G4146=T4146,COUNTIFS($S$6:S4146,S4146,$G$6:G4146,G4146,$D$6:D4146,"Vastgesteld")&gt;1),1,0))</f>
        <v>0</v>
      </c>
    </row>
    <row r="4147">
      <c r="S4147" s="15" t="str">
        <f>IF(J4147="","",J4147&amp;"|"&amp;E4147&amp;"|"&amp;F4147&amp;"|"&amp;I4147&amp;"|"&amp;O4147)</f>
        <v/>
      </c>
      <c r="T4147" s="15" t="str">
        <f>IF(OR(S4147="",D4147&lt;&gt;"Vastgesteld"),"",_xlfn.MAXIFS($G$6:$G$5005,$S$6:$S$5005,S4147,$D$6:$D$5005,"Vastgesteld"))</f>
        <v/>
      </c>
      <c r="U4147" s="15">
        <f>IF(T4147="",0,IF(AND(G4147=T4147,COUNTIFS($S$6:S4147,S4147,$G$6:G4147,G4147,$D$6:D4147,"Vastgesteld")=1),1,0))</f>
        <v>0</v>
      </c>
      <c r="V4147" s="15">
        <f>IF(T4147="",0,IF(AND(G4147=T4147,COUNTIFS($S$6:S4147,S4147,$G$6:G4147,G4147,$D$6:D4147,"Vastgesteld")&gt;1),1,0))</f>
        <v>0</v>
      </c>
    </row>
    <row r="4148">
      <c r="S4148" s="15" t="str">
        <f>IF(J4148="","",J4148&amp;"|"&amp;E4148&amp;"|"&amp;F4148&amp;"|"&amp;I4148&amp;"|"&amp;O4148)</f>
        <v/>
      </c>
      <c r="T4148" s="15" t="str">
        <f>IF(OR(S4148="",D4148&lt;&gt;"Vastgesteld"),"",_xlfn.MAXIFS($G$6:$G$5005,$S$6:$S$5005,S4148,$D$6:$D$5005,"Vastgesteld"))</f>
        <v/>
      </c>
      <c r="U4148" s="15">
        <f>IF(T4148="",0,IF(AND(G4148=T4148,COUNTIFS($S$6:S4148,S4148,$G$6:G4148,G4148,$D$6:D4148,"Vastgesteld")=1),1,0))</f>
        <v>0</v>
      </c>
      <c r="V4148" s="15">
        <f>IF(T4148="",0,IF(AND(G4148=T4148,COUNTIFS($S$6:S4148,S4148,$G$6:G4148,G4148,$D$6:D4148,"Vastgesteld")&gt;1),1,0))</f>
        <v>0</v>
      </c>
    </row>
    <row r="4149">
      <c r="S4149" s="15" t="str">
        <f>IF(J4149="","",J4149&amp;"|"&amp;E4149&amp;"|"&amp;F4149&amp;"|"&amp;I4149&amp;"|"&amp;O4149)</f>
        <v/>
      </c>
      <c r="T4149" s="15" t="str">
        <f>IF(OR(S4149="",D4149&lt;&gt;"Vastgesteld"),"",_xlfn.MAXIFS($G$6:$G$5005,$S$6:$S$5005,S4149,$D$6:$D$5005,"Vastgesteld"))</f>
        <v/>
      </c>
      <c r="U4149" s="15">
        <f>IF(T4149="",0,IF(AND(G4149=T4149,COUNTIFS($S$6:S4149,S4149,$G$6:G4149,G4149,$D$6:D4149,"Vastgesteld")=1),1,0))</f>
        <v>0</v>
      </c>
      <c r="V4149" s="15">
        <f>IF(T4149="",0,IF(AND(G4149=T4149,COUNTIFS($S$6:S4149,S4149,$G$6:G4149,G4149,$D$6:D4149,"Vastgesteld")&gt;1),1,0))</f>
        <v>0</v>
      </c>
    </row>
    <row r="4150">
      <c r="S4150" s="15" t="str">
        <f>IF(J4150="","",J4150&amp;"|"&amp;E4150&amp;"|"&amp;F4150&amp;"|"&amp;I4150&amp;"|"&amp;O4150)</f>
        <v/>
      </c>
      <c r="T4150" s="15" t="str">
        <f>IF(OR(S4150="",D4150&lt;&gt;"Vastgesteld"),"",_xlfn.MAXIFS($G$6:$G$5005,$S$6:$S$5005,S4150,$D$6:$D$5005,"Vastgesteld"))</f>
        <v/>
      </c>
      <c r="U4150" s="15">
        <f>IF(T4150="",0,IF(AND(G4150=T4150,COUNTIFS($S$6:S4150,S4150,$G$6:G4150,G4150,$D$6:D4150,"Vastgesteld")=1),1,0))</f>
        <v>0</v>
      </c>
      <c r="V4150" s="15">
        <f>IF(T4150="",0,IF(AND(G4150=T4150,COUNTIFS($S$6:S4150,S4150,$G$6:G4150,G4150,$D$6:D4150,"Vastgesteld")&gt;1),1,0))</f>
        <v>0</v>
      </c>
    </row>
    <row r="4151">
      <c r="S4151" s="15" t="str">
        <f>IF(J4151="","",J4151&amp;"|"&amp;E4151&amp;"|"&amp;F4151&amp;"|"&amp;I4151&amp;"|"&amp;O4151)</f>
        <v/>
      </c>
      <c r="T4151" s="15" t="str">
        <f>IF(OR(S4151="",D4151&lt;&gt;"Vastgesteld"),"",_xlfn.MAXIFS($G$6:$G$5005,$S$6:$S$5005,S4151,$D$6:$D$5005,"Vastgesteld"))</f>
        <v/>
      </c>
      <c r="U4151" s="15">
        <f>IF(T4151="",0,IF(AND(G4151=T4151,COUNTIFS($S$6:S4151,S4151,$G$6:G4151,G4151,$D$6:D4151,"Vastgesteld")=1),1,0))</f>
        <v>0</v>
      </c>
      <c r="V4151" s="15">
        <f>IF(T4151="",0,IF(AND(G4151=T4151,COUNTIFS($S$6:S4151,S4151,$G$6:G4151,G4151,$D$6:D4151,"Vastgesteld")&gt;1),1,0))</f>
        <v>0</v>
      </c>
    </row>
    <row r="4152">
      <c r="S4152" s="15" t="str">
        <f>IF(J4152="","",J4152&amp;"|"&amp;E4152&amp;"|"&amp;F4152&amp;"|"&amp;I4152&amp;"|"&amp;O4152)</f>
        <v/>
      </c>
      <c r="T4152" s="15" t="str">
        <f>IF(OR(S4152="",D4152&lt;&gt;"Vastgesteld"),"",_xlfn.MAXIFS($G$6:$G$5005,$S$6:$S$5005,S4152,$D$6:$D$5005,"Vastgesteld"))</f>
        <v/>
      </c>
      <c r="U4152" s="15">
        <f>IF(T4152="",0,IF(AND(G4152=T4152,COUNTIFS($S$6:S4152,S4152,$G$6:G4152,G4152,$D$6:D4152,"Vastgesteld")=1),1,0))</f>
        <v>0</v>
      </c>
      <c r="V4152" s="15">
        <f>IF(T4152="",0,IF(AND(G4152=T4152,COUNTIFS($S$6:S4152,S4152,$G$6:G4152,G4152,$D$6:D4152,"Vastgesteld")&gt;1),1,0))</f>
        <v>0</v>
      </c>
    </row>
    <row r="4153">
      <c r="S4153" s="15" t="str">
        <f>IF(J4153="","",J4153&amp;"|"&amp;E4153&amp;"|"&amp;F4153&amp;"|"&amp;I4153&amp;"|"&amp;O4153)</f>
        <v/>
      </c>
      <c r="T4153" s="15" t="str">
        <f>IF(OR(S4153="",D4153&lt;&gt;"Vastgesteld"),"",_xlfn.MAXIFS($G$6:$G$5005,$S$6:$S$5005,S4153,$D$6:$D$5005,"Vastgesteld"))</f>
        <v/>
      </c>
      <c r="U4153" s="15">
        <f>IF(T4153="",0,IF(AND(G4153=T4153,COUNTIFS($S$6:S4153,S4153,$G$6:G4153,G4153,$D$6:D4153,"Vastgesteld")=1),1,0))</f>
        <v>0</v>
      </c>
      <c r="V4153" s="15">
        <f>IF(T4153="",0,IF(AND(G4153=T4153,COUNTIFS($S$6:S4153,S4153,$G$6:G4153,G4153,$D$6:D4153,"Vastgesteld")&gt;1),1,0))</f>
        <v>0</v>
      </c>
    </row>
    <row r="4154">
      <c r="S4154" s="15" t="str">
        <f>IF(J4154="","",J4154&amp;"|"&amp;E4154&amp;"|"&amp;F4154&amp;"|"&amp;I4154&amp;"|"&amp;O4154)</f>
        <v/>
      </c>
      <c r="T4154" s="15" t="str">
        <f>IF(OR(S4154="",D4154&lt;&gt;"Vastgesteld"),"",_xlfn.MAXIFS($G$6:$G$5005,$S$6:$S$5005,S4154,$D$6:$D$5005,"Vastgesteld"))</f>
        <v/>
      </c>
      <c r="U4154" s="15">
        <f>IF(T4154="",0,IF(AND(G4154=T4154,COUNTIFS($S$6:S4154,S4154,$G$6:G4154,G4154,$D$6:D4154,"Vastgesteld")=1),1,0))</f>
        <v>0</v>
      </c>
      <c r="V4154" s="15">
        <f>IF(T4154="",0,IF(AND(G4154=T4154,COUNTIFS($S$6:S4154,S4154,$G$6:G4154,G4154,$D$6:D4154,"Vastgesteld")&gt;1),1,0))</f>
        <v>0</v>
      </c>
    </row>
    <row r="4155">
      <c r="S4155" s="15" t="str">
        <f>IF(J4155="","",J4155&amp;"|"&amp;E4155&amp;"|"&amp;F4155&amp;"|"&amp;I4155&amp;"|"&amp;O4155)</f>
        <v/>
      </c>
      <c r="T4155" s="15" t="str">
        <f>IF(OR(S4155="",D4155&lt;&gt;"Vastgesteld"),"",_xlfn.MAXIFS($G$6:$G$5005,$S$6:$S$5005,S4155,$D$6:$D$5005,"Vastgesteld"))</f>
        <v/>
      </c>
      <c r="U4155" s="15">
        <f>IF(T4155="",0,IF(AND(G4155=T4155,COUNTIFS($S$6:S4155,S4155,$G$6:G4155,G4155,$D$6:D4155,"Vastgesteld")=1),1,0))</f>
        <v>0</v>
      </c>
      <c r="V4155" s="15">
        <f>IF(T4155="",0,IF(AND(G4155=T4155,COUNTIFS($S$6:S4155,S4155,$G$6:G4155,G4155,$D$6:D4155,"Vastgesteld")&gt;1),1,0))</f>
        <v>0</v>
      </c>
    </row>
    <row r="4156">
      <c r="S4156" s="15" t="str">
        <f>IF(J4156="","",J4156&amp;"|"&amp;E4156&amp;"|"&amp;F4156&amp;"|"&amp;I4156&amp;"|"&amp;O4156)</f>
        <v/>
      </c>
      <c r="T4156" s="15" t="str">
        <f>IF(OR(S4156="",D4156&lt;&gt;"Vastgesteld"),"",_xlfn.MAXIFS($G$6:$G$5005,$S$6:$S$5005,S4156,$D$6:$D$5005,"Vastgesteld"))</f>
        <v/>
      </c>
      <c r="U4156" s="15">
        <f>IF(T4156="",0,IF(AND(G4156=T4156,COUNTIFS($S$6:S4156,S4156,$G$6:G4156,G4156,$D$6:D4156,"Vastgesteld")=1),1,0))</f>
        <v>0</v>
      </c>
      <c r="V4156" s="15">
        <f>IF(T4156="",0,IF(AND(G4156=T4156,COUNTIFS($S$6:S4156,S4156,$G$6:G4156,G4156,$D$6:D4156,"Vastgesteld")&gt;1),1,0))</f>
        <v>0</v>
      </c>
    </row>
    <row r="4157">
      <c r="S4157" s="15" t="str">
        <f>IF(J4157="","",J4157&amp;"|"&amp;E4157&amp;"|"&amp;F4157&amp;"|"&amp;I4157&amp;"|"&amp;O4157)</f>
        <v/>
      </c>
      <c r="T4157" s="15" t="str">
        <f>IF(OR(S4157="",D4157&lt;&gt;"Vastgesteld"),"",_xlfn.MAXIFS($G$6:$G$5005,$S$6:$S$5005,S4157,$D$6:$D$5005,"Vastgesteld"))</f>
        <v/>
      </c>
      <c r="U4157" s="15">
        <f>IF(T4157="",0,IF(AND(G4157=T4157,COUNTIFS($S$6:S4157,S4157,$G$6:G4157,G4157,$D$6:D4157,"Vastgesteld")=1),1,0))</f>
        <v>0</v>
      </c>
      <c r="V4157" s="15">
        <f>IF(T4157="",0,IF(AND(G4157=T4157,COUNTIFS($S$6:S4157,S4157,$G$6:G4157,G4157,$D$6:D4157,"Vastgesteld")&gt;1),1,0))</f>
        <v>0</v>
      </c>
    </row>
    <row r="4158">
      <c r="S4158" s="15" t="str">
        <f>IF(J4158="","",J4158&amp;"|"&amp;E4158&amp;"|"&amp;F4158&amp;"|"&amp;I4158&amp;"|"&amp;O4158)</f>
        <v/>
      </c>
      <c r="T4158" s="15" t="str">
        <f>IF(OR(S4158="",D4158&lt;&gt;"Vastgesteld"),"",_xlfn.MAXIFS($G$6:$G$5005,$S$6:$S$5005,S4158,$D$6:$D$5005,"Vastgesteld"))</f>
        <v/>
      </c>
      <c r="U4158" s="15">
        <f>IF(T4158="",0,IF(AND(G4158=T4158,COUNTIFS($S$6:S4158,S4158,$G$6:G4158,G4158,$D$6:D4158,"Vastgesteld")=1),1,0))</f>
        <v>0</v>
      </c>
      <c r="V4158" s="15">
        <f>IF(T4158="",0,IF(AND(G4158=T4158,COUNTIFS($S$6:S4158,S4158,$G$6:G4158,G4158,$D$6:D4158,"Vastgesteld")&gt;1),1,0))</f>
        <v>0</v>
      </c>
    </row>
    <row r="4159">
      <c r="S4159" s="15" t="str">
        <f>IF(J4159="","",J4159&amp;"|"&amp;E4159&amp;"|"&amp;F4159&amp;"|"&amp;I4159&amp;"|"&amp;O4159)</f>
        <v/>
      </c>
      <c r="T4159" s="15" t="str">
        <f>IF(OR(S4159="",D4159&lt;&gt;"Vastgesteld"),"",_xlfn.MAXIFS($G$6:$G$5005,$S$6:$S$5005,S4159,$D$6:$D$5005,"Vastgesteld"))</f>
        <v/>
      </c>
      <c r="U4159" s="15">
        <f>IF(T4159="",0,IF(AND(G4159=T4159,COUNTIFS($S$6:S4159,S4159,$G$6:G4159,G4159,$D$6:D4159,"Vastgesteld")=1),1,0))</f>
        <v>0</v>
      </c>
      <c r="V4159" s="15">
        <f>IF(T4159="",0,IF(AND(G4159=T4159,COUNTIFS($S$6:S4159,S4159,$G$6:G4159,G4159,$D$6:D4159,"Vastgesteld")&gt;1),1,0))</f>
        <v>0</v>
      </c>
    </row>
    <row r="4160">
      <c r="S4160" s="15" t="str">
        <f>IF(J4160="","",J4160&amp;"|"&amp;E4160&amp;"|"&amp;F4160&amp;"|"&amp;I4160&amp;"|"&amp;O4160)</f>
        <v/>
      </c>
      <c r="T4160" s="15" t="str">
        <f>IF(OR(S4160="",D4160&lt;&gt;"Vastgesteld"),"",_xlfn.MAXIFS($G$6:$G$5005,$S$6:$S$5005,S4160,$D$6:$D$5005,"Vastgesteld"))</f>
        <v/>
      </c>
      <c r="U4160" s="15">
        <f>IF(T4160="",0,IF(AND(G4160=T4160,COUNTIFS($S$6:S4160,S4160,$G$6:G4160,G4160,$D$6:D4160,"Vastgesteld")=1),1,0))</f>
        <v>0</v>
      </c>
      <c r="V4160" s="15">
        <f>IF(T4160="",0,IF(AND(G4160=T4160,COUNTIFS($S$6:S4160,S4160,$G$6:G4160,G4160,$D$6:D4160,"Vastgesteld")&gt;1),1,0))</f>
        <v>0</v>
      </c>
    </row>
    <row r="4161">
      <c r="S4161" s="15" t="str">
        <f>IF(J4161="","",J4161&amp;"|"&amp;E4161&amp;"|"&amp;F4161&amp;"|"&amp;I4161&amp;"|"&amp;O4161)</f>
        <v/>
      </c>
      <c r="T4161" s="15" t="str">
        <f>IF(OR(S4161="",D4161&lt;&gt;"Vastgesteld"),"",_xlfn.MAXIFS($G$6:$G$5005,$S$6:$S$5005,S4161,$D$6:$D$5005,"Vastgesteld"))</f>
        <v/>
      </c>
      <c r="U4161" s="15">
        <f>IF(T4161="",0,IF(AND(G4161=T4161,COUNTIFS($S$6:S4161,S4161,$G$6:G4161,G4161,$D$6:D4161,"Vastgesteld")=1),1,0))</f>
        <v>0</v>
      </c>
      <c r="V4161" s="15">
        <f>IF(T4161="",0,IF(AND(G4161=T4161,COUNTIFS($S$6:S4161,S4161,$G$6:G4161,G4161,$D$6:D4161,"Vastgesteld")&gt;1),1,0))</f>
        <v>0</v>
      </c>
    </row>
    <row r="4162">
      <c r="S4162" s="15" t="str">
        <f>IF(J4162="","",J4162&amp;"|"&amp;E4162&amp;"|"&amp;F4162&amp;"|"&amp;I4162&amp;"|"&amp;O4162)</f>
        <v/>
      </c>
      <c r="T4162" s="15" t="str">
        <f>IF(OR(S4162="",D4162&lt;&gt;"Vastgesteld"),"",_xlfn.MAXIFS($G$6:$G$5005,$S$6:$S$5005,S4162,$D$6:$D$5005,"Vastgesteld"))</f>
        <v/>
      </c>
      <c r="U4162" s="15">
        <f>IF(T4162="",0,IF(AND(G4162=T4162,COUNTIFS($S$6:S4162,S4162,$G$6:G4162,G4162,$D$6:D4162,"Vastgesteld")=1),1,0))</f>
        <v>0</v>
      </c>
      <c r="V4162" s="15">
        <f>IF(T4162="",0,IF(AND(G4162=T4162,COUNTIFS($S$6:S4162,S4162,$G$6:G4162,G4162,$D$6:D4162,"Vastgesteld")&gt;1),1,0))</f>
        <v>0</v>
      </c>
    </row>
    <row r="4163">
      <c r="S4163" s="15" t="str">
        <f>IF(J4163="","",J4163&amp;"|"&amp;E4163&amp;"|"&amp;F4163&amp;"|"&amp;I4163&amp;"|"&amp;O4163)</f>
        <v/>
      </c>
      <c r="T4163" s="15" t="str">
        <f>IF(OR(S4163="",D4163&lt;&gt;"Vastgesteld"),"",_xlfn.MAXIFS($G$6:$G$5005,$S$6:$S$5005,S4163,$D$6:$D$5005,"Vastgesteld"))</f>
        <v/>
      </c>
      <c r="U4163" s="15">
        <f>IF(T4163="",0,IF(AND(G4163=T4163,COUNTIFS($S$6:S4163,S4163,$G$6:G4163,G4163,$D$6:D4163,"Vastgesteld")=1),1,0))</f>
        <v>0</v>
      </c>
      <c r="V4163" s="15">
        <f>IF(T4163="",0,IF(AND(G4163=T4163,COUNTIFS($S$6:S4163,S4163,$G$6:G4163,G4163,$D$6:D4163,"Vastgesteld")&gt;1),1,0))</f>
        <v>0</v>
      </c>
    </row>
    <row r="4164">
      <c r="S4164" s="15" t="str">
        <f>IF(J4164="","",J4164&amp;"|"&amp;E4164&amp;"|"&amp;F4164&amp;"|"&amp;I4164&amp;"|"&amp;O4164)</f>
        <v/>
      </c>
      <c r="T4164" s="15" t="str">
        <f>IF(OR(S4164="",D4164&lt;&gt;"Vastgesteld"),"",_xlfn.MAXIFS($G$6:$G$5005,$S$6:$S$5005,S4164,$D$6:$D$5005,"Vastgesteld"))</f>
        <v/>
      </c>
      <c r="U4164" s="15">
        <f>IF(T4164="",0,IF(AND(G4164=T4164,COUNTIFS($S$6:S4164,S4164,$G$6:G4164,G4164,$D$6:D4164,"Vastgesteld")=1),1,0))</f>
        <v>0</v>
      </c>
      <c r="V4164" s="15">
        <f>IF(T4164="",0,IF(AND(G4164=T4164,COUNTIFS($S$6:S4164,S4164,$G$6:G4164,G4164,$D$6:D4164,"Vastgesteld")&gt;1),1,0))</f>
        <v>0</v>
      </c>
    </row>
    <row r="4165">
      <c r="S4165" s="15" t="str">
        <f>IF(J4165="","",J4165&amp;"|"&amp;E4165&amp;"|"&amp;F4165&amp;"|"&amp;I4165&amp;"|"&amp;O4165)</f>
        <v/>
      </c>
      <c r="T4165" s="15" t="str">
        <f>IF(OR(S4165="",D4165&lt;&gt;"Vastgesteld"),"",_xlfn.MAXIFS($G$6:$G$5005,$S$6:$S$5005,S4165,$D$6:$D$5005,"Vastgesteld"))</f>
        <v/>
      </c>
      <c r="U4165" s="15">
        <f>IF(T4165="",0,IF(AND(G4165=T4165,COUNTIFS($S$6:S4165,S4165,$G$6:G4165,G4165,$D$6:D4165,"Vastgesteld")=1),1,0))</f>
        <v>0</v>
      </c>
      <c r="V4165" s="15">
        <f>IF(T4165="",0,IF(AND(G4165=T4165,COUNTIFS($S$6:S4165,S4165,$G$6:G4165,G4165,$D$6:D4165,"Vastgesteld")&gt;1),1,0))</f>
        <v>0</v>
      </c>
    </row>
    <row r="4166">
      <c r="S4166" s="15" t="str">
        <f>IF(J4166="","",J4166&amp;"|"&amp;E4166&amp;"|"&amp;F4166&amp;"|"&amp;I4166&amp;"|"&amp;O4166)</f>
        <v/>
      </c>
      <c r="T4166" s="15" t="str">
        <f>IF(OR(S4166="",D4166&lt;&gt;"Vastgesteld"),"",_xlfn.MAXIFS($G$6:$G$5005,$S$6:$S$5005,S4166,$D$6:$D$5005,"Vastgesteld"))</f>
        <v/>
      </c>
      <c r="U4166" s="15">
        <f>IF(T4166="",0,IF(AND(G4166=T4166,COUNTIFS($S$6:S4166,S4166,$G$6:G4166,G4166,$D$6:D4166,"Vastgesteld")=1),1,0))</f>
        <v>0</v>
      </c>
      <c r="V4166" s="15">
        <f>IF(T4166="",0,IF(AND(G4166=T4166,COUNTIFS($S$6:S4166,S4166,$G$6:G4166,G4166,$D$6:D4166,"Vastgesteld")&gt;1),1,0))</f>
        <v>0</v>
      </c>
    </row>
    <row r="4167">
      <c r="S4167" s="15" t="str">
        <f>IF(J4167="","",J4167&amp;"|"&amp;E4167&amp;"|"&amp;F4167&amp;"|"&amp;I4167&amp;"|"&amp;O4167)</f>
        <v/>
      </c>
      <c r="T4167" s="15" t="str">
        <f>IF(OR(S4167="",D4167&lt;&gt;"Vastgesteld"),"",_xlfn.MAXIFS($G$6:$G$5005,$S$6:$S$5005,S4167,$D$6:$D$5005,"Vastgesteld"))</f>
        <v/>
      </c>
      <c r="U4167" s="15">
        <f>IF(T4167="",0,IF(AND(G4167=T4167,COUNTIFS($S$6:S4167,S4167,$G$6:G4167,G4167,$D$6:D4167,"Vastgesteld")=1),1,0))</f>
        <v>0</v>
      </c>
      <c r="V4167" s="15">
        <f>IF(T4167="",0,IF(AND(G4167=T4167,COUNTIFS($S$6:S4167,S4167,$G$6:G4167,G4167,$D$6:D4167,"Vastgesteld")&gt;1),1,0))</f>
        <v>0</v>
      </c>
    </row>
    <row r="4168">
      <c r="S4168" s="15" t="str">
        <f>IF(J4168="","",J4168&amp;"|"&amp;E4168&amp;"|"&amp;F4168&amp;"|"&amp;I4168&amp;"|"&amp;O4168)</f>
        <v/>
      </c>
      <c r="T4168" s="15" t="str">
        <f>IF(OR(S4168="",D4168&lt;&gt;"Vastgesteld"),"",_xlfn.MAXIFS($G$6:$G$5005,$S$6:$S$5005,S4168,$D$6:$D$5005,"Vastgesteld"))</f>
        <v/>
      </c>
      <c r="U4168" s="15">
        <f>IF(T4168="",0,IF(AND(G4168=T4168,COUNTIFS($S$6:S4168,S4168,$G$6:G4168,G4168,$D$6:D4168,"Vastgesteld")=1),1,0))</f>
        <v>0</v>
      </c>
      <c r="V4168" s="15">
        <f>IF(T4168="",0,IF(AND(G4168=T4168,COUNTIFS($S$6:S4168,S4168,$G$6:G4168,G4168,$D$6:D4168,"Vastgesteld")&gt;1),1,0))</f>
        <v>0</v>
      </c>
    </row>
    <row r="4169">
      <c r="S4169" s="15" t="str">
        <f>IF(J4169="","",J4169&amp;"|"&amp;E4169&amp;"|"&amp;F4169&amp;"|"&amp;I4169&amp;"|"&amp;O4169)</f>
        <v/>
      </c>
      <c r="T4169" s="15" t="str">
        <f>IF(OR(S4169="",D4169&lt;&gt;"Vastgesteld"),"",_xlfn.MAXIFS($G$6:$G$5005,$S$6:$S$5005,S4169,$D$6:$D$5005,"Vastgesteld"))</f>
        <v/>
      </c>
      <c r="U4169" s="15">
        <f>IF(T4169="",0,IF(AND(G4169=T4169,COUNTIFS($S$6:S4169,S4169,$G$6:G4169,G4169,$D$6:D4169,"Vastgesteld")=1),1,0))</f>
        <v>0</v>
      </c>
      <c r="V4169" s="15">
        <f>IF(T4169="",0,IF(AND(G4169=T4169,COUNTIFS($S$6:S4169,S4169,$G$6:G4169,G4169,$D$6:D4169,"Vastgesteld")&gt;1),1,0))</f>
        <v>0</v>
      </c>
    </row>
    <row r="4170">
      <c r="S4170" s="15" t="str">
        <f>IF(J4170="","",J4170&amp;"|"&amp;E4170&amp;"|"&amp;F4170&amp;"|"&amp;I4170&amp;"|"&amp;O4170)</f>
        <v/>
      </c>
      <c r="T4170" s="15" t="str">
        <f>IF(OR(S4170="",D4170&lt;&gt;"Vastgesteld"),"",_xlfn.MAXIFS($G$6:$G$5005,$S$6:$S$5005,S4170,$D$6:$D$5005,"Vastgesteld"))</f>
        <v/>
      </c>
      <c r="U4170" s="15">
        <f>IF(T4170="",0,IF(AND(G4170=T4170,COUNTIFS($S$6:S4170,S4170,$G$6:G4170,G4170,$D$6:D4170,"Vastgesteld")=1),1,0))</f>
        <v>0</v>
      </c>
      <c r="V4170" s="15">
        <f>IF(T4170="",0,IF(AND(G4170=T4170,COUNTIFS($S$6:S4170,S4170,$G$6:G4170,G4170,$D$6:D4170,"Vastgesteld")&gt;1),1,0))</f>
        <v>0</v>
      </c>
    </row>
    <row r="4171">
      <c r="S4171" s="15" t="str">
        <f>IF(J4171="","",J4171&amp;"|"&amp;E4171&amp;"|"&amp;F4171&amp;"|"&amp;I4171&amp;"|"&amp;O4171)</f>
        <v/>
      </c>
      <c r="T4171" s="15" t="str">
        <f>IF(OR(S4171="",D4171&lt;&gt;"Vastgesteld"),"",_xlfn.MAXIFS($G$6:$G$5005,$S$6:$S$5005,S4171,$D$6:$D$5005,"Vastgesteld"))</f>
        <v/>
      </c>
      <c r="U4171" s="15">
        <f>IF(T4171="",0,IF(AND(G4171=T4171,COUNTIFS($S$6:S4171,S4171,$G$6:G4171,G4171,$D$6:D4171,"Vastgesteld")=1),1,0))</f>
        <v>0</v>
      </c>
      <c r="V4171" s="15">
        <f>IF(T4171="",0,IF(AND(G4171=T4171,COUNTIFS($S$6:S4171,S4171,$G$6:G4171,G4171,$D$6:D4171,"Vastgesteld")&gt;1),1,0))</f>
        <v>0</v>
      </c>
    </row>
    <row r="4172">
      <c r="S4172" s="15" t="str">
        <f>IF(J4172="","",J4172&amp;"|"&amp;E4172&amp;"|"&amp;F4172&amp;"|"&amp;I4172&amp;"|"&amp;O4172)</f>
        <v/>
      </c>
      <c r="T4172" s="15" t="str">
        <f>IF(OR(S4172="",D4172&lt;&gt;"Vastgesteld"),"",_xlfn.MAXIFS($G$6:$G$5005,$S$6:$S$5005,S4172,$D$6:$D$5005,"Vastgesteld"))</f>
        <v/>
      </c>
      <c r="U4172" s="15">
        <f>IF(T4172="",0,IF(AND(G4172=T4172,COUNTIFS($S$6:S4172,S4172,$G$6:G4172,G4172,$D$6:D4172,"Vastgesteld")=1),1,0))</f>
        <v>0</v>
      </c>
      <c r="V4172" s="15">
        <f>IF(T4172="",0,IF(AND(G4172=T4172,COUNTIFS($S$6:S4172,S4172,$G$6:G4172,G4172,$D$6:D4172,"Vastgesteld")&gt;1),1,0))</f>
        <v>0</v>
      </c>
    </row>
    <row r="4173">
      <c r="S4173" s="15" t="str">
        <f>IF(J4173="","",J4173&amp;"|"&amp;E4173&amp;"|"&amp;F4173&amp;"|"&amp;I4173&amp;"|"&amp;O4173)</f>
        <v/>
      </c>
      <c r="T4173" s="15" t="str">
        <f>IF(OR(S4173="",D4173&lt;&gt;"Vastgesteld"),"",_xlfn.MAXIFS($G$6:$G$5005,$S$6:$S$5005,S4173,$D$6:$D$5005,"Vastgesteld"))</f>
        <v/>
      </c>
      <c r="U4173" s="15">
        <f>IF(T4173="",0,IF(AND(G4173=T4173,COUNTIFS($S$6:S4173,S4173,$G$6:G4173,G4173,$D$6:D4173,"Vastgesteld")=1),1,0))</f>
        <v>0</v>
      </c>
      <c r="V4173" s="15">
        <f>IF(T4173="",0,IF(AND(G4173=T4173,COUNTIFS($S$6:S4173,S4173,$G$6:G4173,G4173,$D$6:D4173,"Vastgesteld")&gt;1),1,0))</f>
        <v>0</v>
      </c>
    </row>
    <row r="4174">
      <c r="S4174" s="15" t="str">
        <f>IF(J4174="","",J4174&amp;"|"&amp;E4174&amp;"|"&amp;F4174&amp;"|"&amp;I4174&amp;"|"&amp;O4174)</f>
        <v/>
      </c>
      <c r="T4174" s="15" t="str">
        <f>IF(OR(S4174="",D4174&lt;&gt;"Vastgesteld"),"",_xlfn.MAXIFS($G$6:$G$5005,$S$6:$S$5005,S4174,$D$6:$D$5005,"Vastgesteld"))</f>
        <v/>
      </c>
      <c r="U4174" s="15">
        <f>IF(T4174="",0,IF(AND(G4174=T4174,COUNTIFS($S$6:S4174,S4174,$G$6:G4174,G4174,$D$6:D4174,"Vastgesteld")=1),1,0))</f>
        <v>0</v>
      </c>
      <c r="V4174" s="15">
        <f>IF(T4174="",0,IF(AND(G4174=T4174,COUNTIFS($S$6:S4174,S4174,$G$6:G4174,G4174,$D$6:D4174,"Vastgesteld")&gt;1),1,0))</f>
        <v>0</v>
      </c>
    </row>
    <row r="4175">
      <c r="S4175" s="15" t="str">
        <f>IF(J4175="","",J4175&amp;"|"&amp;E4175&amp;"|"&amp;F4175&amp;"|"&amp;I4175&amp;"|"&amp;O4175)</f>
        <v/>
      </c>
      <c r="T4175" s="15" t="str">
        <f>IF(OR(S4175="",D4175&lt;&gt;"Vastgesteld"),"",_xlfn.MAXIFS($G$6:$G$5005,$S$6:$S$5005,S4175,$D$6:$D$5005,"Vastgesteld"))</f>
        <v/>
      </c>
      <c r="U4175" s="15">
        <f>IF(T4175="",0,IF(AND(G4175=T4175,COUNTIFS($S$6:S4175,S4175,$G$6:G4175,G4175,$D$6:D4175,"Vastgesteld")=1),1,0))</f>
        <v>0</v>
      </c>
      <c r="V4175" s="15">
        <f>IF(T4175="",0,IF(AND(G4175=T4175,COUNTIFS($S$6:S4175,S4175,$G$6:G4175,G4175,$D$6:D4175,"Vastgesteld")&gt;1),1,0))</f>
        <v>0</v>
      </c>
    </row>
    <row r="4176">
      <c r="S4176" s="15" t="str">
        <f>IF(J4176="","",J4176&amp;"|"&amp;E4176&amp;"|"&amp;F4176&amp;"|"&amp;I4176&amp;"|"&amp;O4176)</f>
        <v/>
      </c>
      <c r="T4176" s="15" t="str">
        <f>IF(OR(S4176="",D4176&lt;&gt;"Vastgesteld"),"",_xlfn.MAXIFS($G$6:$G$5005,$S$6:$S$5005,S4176,$D$6:$D$5005,"Vastgesteld"))</f>
        <v/>
      </c>
      <c r="U4176" s="15">
        <f>IF(T4176="",0,IF(AND(G4176=T4176,COUNTIFS($S$6:S4176,S4176,$G$6:G4176,G4176,$D$6:D4176,"Vastgesteld")=1),1,0))</f>
        <v>0</v>
      </c>
      <c r="V4176" s="15">
        <f>IF(T4176="",0,IF(AND(G4176=T4176,COUNTIFS($S$6:S4176,S4176,$G$6:G4176,G4176,$D$6:D4176,"Vastgesteld")&gt;1),1,0))</f>
        <v>0</v>
      </c>
    </row>
    <row r="4177">
      <c r="S4177" s="15" t="str">
        <f>IF(J4177="","",J4177&amp;"|"&amp;E4177&amp;"|"&amp;F4177&amp;"|"&amp;I4177&amp;"|"&amp;O4177)</f>
        <v/>
      </c>
      <c r="T4177" s="15" t="str">
        <f>IF(OR(S4177="",D4177&lt;&gt;"Vastgesteld"),"",_xlfn.MAXIFS($G$6:$G$5005,$S$6:$S$5005,S4177,$D$6:$D$5005,"Vastgesteld"))</f>
        <v/>
      </c>
      <c r="U4177" s="15">
        <f>IF(T4177="",0,IF(AND(G4177=T4177,COUNTIFS($S$6:S4177,S4177,$G$6:G4177,G4177,$D$6:D4177,"Vastgesteld")=1),1,0))</f>
        <v>0</v>
      </c>
      <c r="V4177" s="15">
        <f>IF(T4177="",0,IF(AND(G4177=T4177,COUNTIFS($S$6:S4177,S4177,$G$6:G4177,G4177,$D$6:D4177,"Vastgesteld")&gt;1),1,0))</f>
        <v>0</v>
      </c>
    </row>
    <row r="4178">
      <c r="S4178" s="15" t="str">
        <f>IF(J4178="","",J4178&amp;"|"&amp;E4178&amp;"|"&amp;F4178&amp;"|"&amp;I4178&amp;"|"&amp;O4178)</f>
        <v/>
      </c>
      <c r="T4178" s="15" t="str">
        <f>IF(OR(S4178="",D4178&lt;&gt;"Vastgesteld"),"",_xlfn.MAXIFS($G$6:$G$5005,$S$6:$S$5005,S4178,$D$6:$D$5005,"Vastgesteld"))</f>
        <v/>
      </c>
      <c r="U4178" s="15">
        <f>IF(T4178="",0,IF(AND(G4178=T4178,COUNTIFS($S$6:S4178,S4178,$G$6:G4178,G4178,$D$6:D4178,"Vastgesteld")=1),1,0))</f>
        <v>0</v>
      </c>
      <c r="V4178" s="15">
        <f>IF(T4178="",0,IF(AND(G4178=T4178,COUNTIFS($S$6:S4178,S4178,$G$6:G4178,G4178,$D$6:D4178,"Vastgesteld")&gt;1),1,0))</f>
        <v>0</v>
      </c>
    </row>
    <row r="4179">
      <c r="S4179" s="15" t="str">
        <f>IF(J4179="","",J4179&amp;"|"&amp;E4179&amp;"|"&amp;F4179&amp;"|"&amp;I4179&amp;"|"&amp;O4179)</f>
        <v/>
      </c>
      <c r="T4179" s="15" t="str">
        <f>IF(OR(S4179="",D4179&lt;&gt;"Vastgesteld"),"",_xlfn.MAXIFS($G$6:$G$5005,$S$6:$S$5005,S4179,$D$6:$D$5005,"Vastgesteld"))</f>
        <v/>
      </c>
      <c r="U4179" s="15">
        <f>IF(T4179="",0,IF(AND(G4179=T4179,COUNTIFS($S$6:S4179,S4179,$G$6:G4179,G4179,$D$6:D4179,"Vastgesteld")=1),1,0))</f>
        <v>0</v>
      </c>
      <c r="V4179" s="15">
        <f>IF(T4179="",0,IF(AND(G4179=T4179,COUNTIFS($S$6:S4179,S4179,$G$6:G4179,G4179,$D$6:D4179,"Vastgesteld")&gt;1),1,0))</f>
        <v>0</v>
      </c>
    </row>
    <row r="4180">
      <c r="S4180" s="15" t="str">
        <f>IF(J4180="","",J4180&amp;"|"&amp;E4180&amp;"|"&amp;F4180&amp;"|"&amp;I4180&amp;"|"&amp;O4180)</f>
        <v/>
      </c>
      <c r="T4180" s="15" t="str">
        <f>IF(OR(S4180="",D4180&lt;&gt;"Vastgesteld"),"",_xlfn.MAXIFS($G$6:$G$5005,$S$6:$S$5005,S4180,$D$6:$D$5005,"Vastgesteld"))</f>
        <v/>
      </c>
      <c r="U4180" s="15">
        <f>IF(T4180="",0,IF(AND(G4180=T4180,COUNTIFS($S$6:S4180,S4180,$G$6:G4180,G4180,$D$6:D4180,"Vastgesteld")=1),1,0))</f>
        <v>0</v>
      </c>
      <c r="V4180" s="15">
        <f>IF(T4180="",0,IF(AND(G4180=T4180,COUNTIFS($S$6:S4180,S4180,$G$6:G4180,G4180,$D$6:D4180,"Vastgesteld")&gt;1),1,0))</f>
        <v>0</v>
      </c>
    </row>
    <row r="4181">
      <c r="S4181" s="15" t="str">
        <f>IF(J4181="","",J4181&amp;"|"&amp;E4181&amp;"|"&amp;F4181&amp;"|"&amp;I4181&amp;"|"&amp;O4181)</f>
        <v/>
      </c>
      <c r="T4181" s="15" t="str">
        <f>IF(OR(S4181="",D4181&lt;&gt;"Vastgesteld"),"",_xlfn.MAXIFS($G$6:$G$5005,$S$6:$S$5005,S4181,$D$6:$D$5005,"Vastgesteld"))</f>
        <v/>
      </c>
      <c r="U4181" s="15">
        <f>IF(T4181="",0,IF(AND(G4181=T4181,COUNTIFS($S$6:S4181,S4181,$G$6:G4181,G4181,$D$6:D4181,"Vastgesteld")=1),1,0))</f>
        <v>0</v>
      </c>
      <c r="V4181" s="15">
        <f>IF(T4181="",0,IF(AND(G4181=T4181,COUNTIFS($S$6:S4181,S4181,$G$6:G4181,G4181,$D$6:D4181,"Vastgesteld")&gt;1),1,0))</f>
        <v>0</v>
      </c>
    </row>
    <row r="4182">
      <c r="S4182" s="15" t="str">
        <f>IF(J4182="","",J4182&amp;"|"&amp;E4182&amp;"|"&amp;F4182&amp;"|"&amp;I4182&amp;"|"&amp;O4182)</f>
        <v/>
      </c>
      <c r="T4182" s="15" t="str">
        <f>IF(OR(S4182="",D4182&lt;&gt;"Vastgesteld"),"",_xlfn.MAXIFS($G$6:$G$5005,$S$6:$S$5005,S4182,$D$6:$D$5005,"Vastgesteld"))</f>
        <v/>
      </c>
      <c r="U4182" s="15">
        <f>IF(T4182="",0,IF(AND(G4182=T4182,COUNTIFS($S$6:S4182,S4182,$G$6:G4182,G4182,$D$6:D4182,"Vastgesteld")=1),1,0))</f>
        <v>0</v>
      </c>
      <c r="V4182" s="15">
        <f>IF(T4182="",0,IF(AND(G4182=T4182,COUNTIFS($S$6:S4182,S4182,$G$6:G4182,G4182,$D$6:D4182,"Vastgesteld")&gt;1),1,0))</f>
        <v>0</v>
      </c>
    </row>
    <row r="4183">
      <c r="S4183" s="15" t="str">
        <f>IF(J4183="","",J4183&amp;"|"&amp;E4183&amp;"|"&amp;F4183&amp;"|"&amp;I4183&amp;"|"&amp;O4183)</f>
        <v/>
      </c>
      <c r="T4183" s="15" t="str">
        <f>IF(OR(S4183="",D4183&lt;&gt;"Vastgesteld"),"",_xlfn.MAXIFS($G$6:$G$5005,$S$6:$S$5005,S4183,$D$6:$D$5005,"Vastgesteld"))</f>
        <v/>
      </c>
      <c r="U4183" s="15">
        <f>IF(T4183="",0,IF(AND(G4183=T4183,COUNTIFS($S$6:S4183,S4183,$G$6:G4183,G4183,$D$6:D4183,"Vastgesteld")=1),1,0))</f>
        <v>0</v>
      </c>
      <c r="V4183" s="15">
        <f>IF(T4183="",0,IF(AND(G4183=T4183,COUNTIFS($S$6:S4183,S4183,$G$6:G4183,G4183,$D$6:D4183,"Vastgesteld")&gt;1),1,0))</f>
        <v>0</v>
      </c>
    </row>
    <row r="4184">
      <c r="S4184" s="15" t="str">
        <f>IF(J4184="","",J4184&amp;"|"&amp;E4184&amp;"|"&amp;F4184&amp;"|"&amp;I4184&amp;"|"&amp;O4184)</f>
        <v/>
      </c>
      <c r="T4184" s="15" t="str">
        <f>IF(OR(S4184="",D4184&lt;&gt;"Vastgesteld"),"",_xlfn.MAXIFS($G$6:$G$5005,$S$6:$S$5005,S4184,$D$6:$D$5005,"Vastgesteld"))</f>
        <v/>
      </c>
      <c r="U4184" s="15">
        <f>IF(T4184="",0,IF(AND(G4184=T4184,COUNTIFS($S$6:S4184,S4184,$G$6:G4184,G4184,$D$6:D4184,"Vastgesteld")=1),1,0))</f>
        <v>0</v>
      </c>
      <c r="V4184" s="15">
        <f>IF(T4184="",0,IF(AND(G4184=T4184,COUNTIFS($S$6:S4184,S4184,$G$6:G4184,G4184,$D$6:D4184,"Vastgesteld")&gt;1),1,0))</f>
        <v>0</v>
      </c>
    </row>
    <row r="4185">
      <c r="S4185" s="15" t="str">
        <f>IF(J4185="","",J4185&amp;"|"&amp;E4185&amp;"|"&amp;F4185&amp;"|"&amp;I4185&amp;"|"&amp;O4185)</f>
        <v/>
      </c>
      <c r="T4185" s="15" t="str">
        <f>IF(OR(S4185="",D4185&lt;&gt;"Vastgesteld"),"",_xlfn.MAXIFS($G$6:$G$5005,$S$6:$S$5005,S4185,$D$6:$D$5005,"Vastgesteld"))</f>
        <v/>
      </c>
      <c r="U4185" s="15">
        <f>IF(T4185="",0,IF(AND(G4185=T4185,COUNTIFS($S$6:S4185,S4185,$G$6:G4185,G4185,$D$6:D4185,"Vastgesteld")=1),1,0))</f>
        <v>0</v>
      </c>
      <c r="V4185" s="15">
        <f>IF(T4185="",0,IF(AND(G4185=T4185,COUNTIFS($S$6:S4185,S4185,$G$6:G4185,G4185,$D$6:D4185,"Vastgesteld")&gt;1),1,0))</f>
        <v>0</v>
      </c>
    </row>
    <row r="4186">
      <c r="S4186" s="15" t="str">
        <f>IF(J4186="","",J4186&amp;"|"&amp;E4186&amp;"|"&amp;F4186&amp;"|"&amp;I4186&amp;"|"&amp;O4186)</f>
        <v/>
      </c>
      <c r="T4186" s="15" t="str">
        <f>IF(OR(S4186="",D4186&lt;&gt;"Vastgesteld"),"",_xlfn.MAXIFS($G$6:$G$5005,$S$6:$S$5005,S4186,$D$6:$D$5005,"Vastgesteld"))</f>
        <v/>
      </c>
      <c r="U4186" s="15">
        <f>IF(T4186="",0,IF(AND(G4186=T4186,COUNTIFS($S$6:S4186,S4186,$G$6:G4186,G4186,$D$6:D4186,"Vastgesteld")=1),1,0))</f>
        <v>0</v>
      </c>
      <c r="V4186" s="15">
        <f>IF(T4186="",0,IF(AND(G4186=T4186,COUNTIFS($S$6:S4186,S4186,$G$6:G4186,G4186,$D$6:D4186,"Vastgesteld")&gt;1),1,0))</f>
        <v>0</v>
      </c>
    </row>
    <row r="4187">
      <c r="S4187" s="15" t="str">
        <f>IF(J4187="","",J4187&amp;"|"&amp;E4187&amp;"|"&amp;F4187&amp;"|"&amp;I4187&amp;"|"&amp;O4187)</f>
        <v/>
      </c>
      <c r="T4187" s="15" t="str">
        <f>IF(OR(S4187="",D4187&lt;&gt;"Vastgesteld"),"",_xlfn.MAXIFS($G$6:$G$5005,$S$6:$S$5005,S4187,$D$6:$D$5005,"Vastgesteld"))</f>
        <v/>
      </c>
      <c r="U4187" s="15">
        <f>IF(T4187="",0,IF(AND(G4187=T4187,COUNTIFS($S$6:S4187,S4187,$G$6:G4187,G4187,$D$6:D4187,"Vastgesteld")=1),1,0))</f>
        <v>0</v>
      </c>
      <c r="V4187" s="15">
        <f>IF(T4187="",0,IF(AND(G4187=T4187,COUNTIFS($S$6:S4187,S4187,$G$6:G4187,G4187,$D$6:D4187,"Vastgesteld")&gt;1),1,0))</f>
        <v>0</v>
      </c>
    </row>
    <row r="4188">
      <c r="S4188" s="15" t="str">
        <f>IF(J4188="","",J4188&amp;"|"&amp;E4188&amp;"|"&amp;F4188&amp;"|"&amp;I4188&amp;"|"&amp;O4188)</f>
        <v/>
      </c>
      <c r="T4188" s="15" t="str">
        <f>IF(OR(S4188="",D4188&lt;&gt;"Vastgesteld"),"",_xlfn.MAXIFS($G$6:$G$5005,$S$6:$S$5005,S4188,$D$6:$D$5005,"Vastgesteld"))</f>
        <v/>
      </c>
      <c r="U4188" s="15">
        <f>IF(T4188="",0,IF(AND(G4188=T4188,COUNTIFS($S$6:S4188,S4188,$G$6:G4188,G4188,$D$6:D4188,"Vastgesteld")=1),1,0))</f>
        <v>0</v>
      </c>
      <c r="V4188" s="15">
        <f>IF(T4188="",0,IF(AND(G4188=T4188,COUNTIFS($S$6:S4188,S4188,$G$6:G4188,G4188,$D$6:D4188,"Vastgesteld")&gt;1),1,0))</f>
        <v>0</v>
      </c>
    </row>
    <row r="4189">
      <c r="S4189" s="15" t="str">
        <f>IF(J4189="","",J4189&amp;"|"&amp;E4189&amp;"|"&amp;F4189&amp;"|"&amp;I4189&amp;"|"&amp;O4189)</f>
        <v/>
      </c>
      <c r="T4189" s="15" t="str">
        <f>IF(OR(S4189="",D4189&lt;&gt;"Vastgesteld"),"",_xlfn.MAXIFS($G$6:$G$5005,$S$6:$S$5005,S4189,$D$6:$D$5005,"Vastgesteld"))</f>
        <v/>
      </c>
      <c r="U4189" s="15">
        <f>IF(T4189="",0,IF(AND(G4189=T4189,COUNTIFS($S$6:S4189,S4189,$G$6:G4189,G4189,$D$6:D4189,"Vastgesteld")=1),1,0))</f>
        <v>0</v>
      </c>
      <c r="V4189" s="15">
        <f>IF(T4189="",0,IF(AND(G4189=T4189,COUNTIFS($S$6:S4189,S4189,$G$6:G4189,G4189,$D$6:D4189,"Vastgesteld")&gt;1),1,0))</f>
        <v>0</v>
      </c>
    </row>
    <row r="4190">
      <c r="S4190" s="15" t="str">
        <f>IF(J4190="","",J4190&amp;"|"&amp;E4190&amp;"|"&amp;F4190&amp;"|"&amp;I4190&amp;"|"&amp;O4190)</f>
        <v/>
      </c>
      <c r="T4190" s="15" t="str">
        <f>IF(OR(S4190="",D4190&lt;&gt;"Vastgesteld"),"",_xlfn.MAXIFS($G$6:$G$5005,$S$6:$S$5005,S4190,$D$6:$D$5005,"Vastgesteld"))</f>
        <v/>
      </c>
      <c r="U4190" s="15">
        <f>IF(T4190="",0,IF(AND(G4190=T4190,COUNTIFS($S$6:S4190,S4190,$G$6:G4190,G4190,$D$6:D4190,"Vastgesteld")=1),1,0))</f>
        <v>0</v>
      </c>
      <c r="V4190" s="15">
        <f>IF(T4190="",0,IF(AND(G4190=T4190,COUNTIFS($S$6:S4190,S4190,$G$6:G4190,G4190,$D$6:D4190,"Vastgesteld")&gt;1),1,0))</f>
        <v>0</v>
      </c>
    </row>
    <row r="4191">
      <c r="S4191" s="15" t="str">
        <f>IF(J4191="","",J4191&amp;"|"&amp;E4191&amp;"|"&amp;F4191&amp;"|"&amp;I4191&amp;"|"&amp;O4191)</f>
        <v/>
      </c>
      <c r="T4191" s="15" t="str">
        <f>IF(OR(S4191="",D4191&lt;&gt;"Vastgesteld"),"",_xlfn.MAXIFS($G$6:$G$5005,$S$6:$S$5005,S4191,$D$6:$D$5005,"Vastgesteld"))</f>
        <v/>
      </c>
      <c r="U4191" s="15">
        <f>IF(T4191="",0,IF(AND(G4191=T4191,COUNTIFS($S$6:S4191,S4191,$G$6:G4191,G4191,$D$6:D4191,"Vastgesteld")=1),1,0))</f>
        <v>0</v>
      </c>
      <c r="V4191" s="15">
        <f>IF(T4191="",0,IF(AND(G4191=T4191,COUNTIFS($S$6:S4191,S4191,$G$6:G4191,G4191,$D$6:D4191,"Vastgesteld")&gt;1),1,0))</f>
        <v>0</v>
      </c>
    </row>
    <row r="4192">
      <c r="S4192" s="15" t="str">
        <f>IF(J4192="","",J4192&amp;"|"&amp;E4192&amp;"|"&amp;F4192&amp;"|"&amp;I4192&amp;"|"&amp;O4192)</f>
        <v/>
      </c>
      <c r="T4192" s="15" t="str">
        <f>IF(OR(S4192="",D4192&lt;&gt;"Vastgesteld"),"",_xlfn.MAXIFS($G$6:$G$5005,$S$6:$S$5005,S4192,$D$6:$D$5005,"Vastgesteld"))</f>
        <v/>
      </c>
      <c r="U4192" s="15">
        <f>IF(T4192="",0,IF(AND(G4192=T4192,COUNTIFS($S$6:S4192,S4192,$G$6:G4192,G4192,$D$6:D4192,"Vastgesteld")=1),1,0))</f>
        <v>0</v>
      </c>
      <c r="V4192" s="15">
        <f>IF(T4192="",0,IF(AND(G4192=T4192,COUNTIFS($S$6:S4192,S4192,$G$6:G4192,G4192,$D$6:D4192,"Vastgesteld")&gt;1),1,0))</f>
        <v>0</v>
      </c>
    </row>
    <row r="4193">
      <c r="S4193" s="15" t="str">
        <f>IF(J4193="","",J4193&amp;"|"&amp;E4193&amp;"|"&amp;F4193&amp;"|"&amp;I4193&amp;"|"&amp;O4193)</f>
        <v/>
      </c>
      <c r="T4193" s="15" t="str">
        <f>IF(OR(S4193="",D4193&lt;&gt;"Vastgesteld"),"",_xlfn.MAXIFS($G$6:$G$5005,$S$6:$S$5005,S4193,$D$6:$D$5005,"Vastgesteld"))</f>
        <v/>
      </c>
      <c r="U4193" s="15">
        <f>IF(T4193="",0,IF(AND(G4193=T4193,COUNTIFS($S$6:S4193,S4193,$G$6:G4193,G4193,$D$6:D4193,"Vastgesteld")=1),1,0))</f>
        <v>0</v>
      </c>
      <c r="V4193" s="15">
        <f>IF(T4193="",0,IF(AND(G4193=T4193,COUNTIFS($S$6:S4193,S4193,$G$6:G4193,G4193,$D$6:D4193,"Vastgesteld")&gt;1),1,0))</f>
        <v>0</v>
      </c>
    </row>
    <row r="4194">
      <c r="S4194" s="15" t="str">
        <f>IF(J4194="","",J4194&amp;"|"&amp;E4194&amp;"|"&amp;F4194&amp;"|"&amp;I4194&amp;"|"&amp;O4194)</f>
        <v/>
      </c>
      <c r="T4194" s="15" t="str">
        <f>IF(OR(S4194="",D4194&lt;&gt;"Vastgesteld"),"",_xlfn.MAXIFS($G$6:$G$5005,$S$6:$S$5005,S4194,$D$6:$D$5005,"Vastgesteld"))</f>
        <v/>
      </c>
      <c r="U4194" s="15">
        <f>IF(T4194="",0,IF(AND(G4194=T4194,COUNTIFS($S$6:S4194,S4194,$G$6:G4194,G4194,$D$6:D4194,"Vastgesteld")=1),1,0))</f>
        <v>0</v>
      </c>
      <c r="V4194" s="15">
        <f>IF(T4194="",0,IF(AND(G4194=T4194,COUNTIFS($S$6:S4194,S4194,$G$6:G4194,G4194,$D$6:D4194,"Vastgesteld")&gt;1),1,0))</f>
        <v>0</v>
      </c>
    </row>
    <row r="4195">
      <c r="S4195" s="15" t="str">
        <f>IF(J4195="","",J4195&amp;"|"&amp;E4195&amp;"|"&amp;F4195&amp;"|"&amp;I4195&amp;"|"&amp;O4195)</f>
        <v/>
      </c>
      <c r="T4195" s="15" t="str">
        <f>IF(OR(S4195="",D4195&lt;&gt;"Vastgesteld"),"",_xlfn.MAXIFS($G$6:$G$5005,$S$6:$S$5005,S4195,$D$6:$D$5005,"Vastgesteld"))</f>
        <v/>
      </c>
      <c r="U4195" s="15">
        <f>IF(T4195="",0,IF(AND(G4195=T4195,COUNTIFS($S$6:S4195,S4195,$G$6:G4195,G4195,$D$6:D4195,"Vastgesteld")=1),1,0))</f>
        <v>0</v>
      </c>
      <c r="V4195" s="15">
        <f>IF(T4195="",0,IF(AND(G4195=T4195,COUNTIFS($S$6:S4195,S4195,$G$6:G4195,G4195,$D$6:D4195,"Vastgesteld")&gt;1),1,0))</f>
        <v>0</v>
      </c>
    </row>
    <row r="4196">
      <c r="S4196" s="15" t="str">
        <f>IF(J4196="","",J4196&amp;"|"&amp;E4196&amp;"|"&amp;F4196&amp;"|"&amp;I4196&amp;"|"&amp;O4196)</f>
        <v/>
      </c>
      <c r="T4196" s="15" t="str">
        <f>IF(OR(S4196="",D4196&lt;&gt;"Vastgesteld"),"",_xlfn.MAXIFS($G$6:$G$5005,$S$6:$S$5005,S4196,$D$6:$D$5005,"Vastgesteld"))</f>
        <v/>
      </c>
      <c r="U4196" s="15">
        <f>IF(T4196="",0,IF(AND(G4196=T4196,COUNTIFS($S$6:S4196,S4196,$G$6:G4196,G4196,$D$6:D4196,"Vastgesteld")=1),1,0))</f>
        <v>0</v>
      </c>
      <c r="V4196" s="15">
        <f>IF(T4196="",0,IF(AND(G4196=T4196,COUNTIFS($S$6:S4196,S4196,$G$6:G4196,G4196,$D$6:D4196,"Vastgesteld")&gt;1),1,0))</f>
        <v>0</v>
      </c>
    </row>
    <row r="4197">
      <c r="S4197" s="15" t="str">
        <f>IF(J4197="","",J4197&amp;"|"&amp;E4197&amp;"|"&amp;F4197&amp;"|"&amp;I4197&amp;"|"&amp;O4197)</f>
        <v/>
      </c>
      <c r="T4197" s="15" t="str">
        <f>IF(OR(S4197="",D4197&lt;&gt;"Vastgesteld"),"",_xlfn.MAXIFS($G$6:$G$5005,$S$6:$S$5005,S4197,$D$6:$D$5005,"Vastgesteld"))</f>
        <v/>
      </c>
      <c r="U4197" s="15">
        <f>IF(T4197="",0,IF(AND(G4197=T4197,COUNTIFS($S$6:S4197,S4197,$G$6:G4197,G4197,$D$6:D4197,"Vastgesteld")=1),1,0))</f>
        <v>0</v>
      </c>
      <c r="V4197" s="15">
        <f>IF(T4197="",0,IF(AND(G4197=T4197,COUNTIFS($S$6:S4197,S4197,$G$6:G4197,G4197,$D$6:D4197,"Vastgesteld")&gt;1),1,0))</f>
        <v>0</v>
      </c>
    </row>
    <row r="4198">
      <c r="S4198" s="15" t="str">
        <f>IF(J4198="","",J4198&amp;"|"&amp;E4198&amp;"|"&amp;F4198&amp;"|"&amp;I4198&amp;"|"&amp;O4198)</f>
        <v/>
      </c>
      <c r="T4198" s="15" t="str">
        <f>IF(OR(S4198="",D4198&lt;&gt;"Vastgesteld"),"",_xlfn.MAXIFS($G$6:$G$5005,$S$6:$S$5005,S4198,$D$6:$D$5005,"Vastgesteld"))</f>
        <v/>
      </c>
      <c r="U4198" s="15">
        <f>IF(T4198="",0,IF(AND(G4198=T4198,COUNTIFS($S$6:S4198,S4198,$G$6:G4198,G4198,$D$6:D4198,"Vastgesteld")=1),1,0))</f>
        <v>0</v>
      </c>
      <c r="V4198" s="15">
        <f>IF(T4198="",0,IF(AND(G4198=T4198,COUNTIFS($S$6:S4198,S4198,$G$6:G4198,G4198,$D$6:D4198,"Vastgesteld")&gt;1),1,0))</f>
        <v>0</v>
      </c>
    </row>
    <row r="4199">
      <c r="S4199" s="15" t="str">
        <f>IF(J4199="","",J4199&amp;"|"&amp;E4199&amp;"|"&amp;F4199&amp;"|"&amp;I4199&amp;"|"&amp;O4199)</f>
        <v/>
      </c>
      <c r="T4199" s="15" t="str">
        <f>IF(OR(S4199="",D4199&lt;&gt;"Vastgesteld"),"",_xlfn.MAXIFS($G$6:$G$5005,$S$6:$S$5005,S4199,$D$6:$D$5005,"Vastgesteld"))</f>
        <v/>
      </c>
      <c r="U4199" s="15">
        <f>IF(T4199="",0,IF(AND(G4199=T4199,COUNTIFS($S$6:S4199,S4199,$G$6:G4199,G4199,$D$6:D4199,"Vastgesteld")=1),1,0))</f>
        <v>0</v>
      </c>
      <c r="V4199" s="15">
        <f>IF(T4199="",0,IF(AND(G4199=T4199,COUNTIFS($S$6:S4199,S4199,$G$6:G4199,G4199,$D$6:D4199,"Vastgesteld")&gt;1),1,0))</f>
        <v>0</v>
      </c>
    </row>
    <row r="4200">
      <c r="S4200" s="15" t="str">
        <f>IF(J4200="","",J4200&amp;"|"&amp;E4200&amp;"|"&amp;F4200&amp;"|"&amp;I4200&amp;"|"&amp;O4200)</f>
        <v/>
      </c>
      <c r="T4200" s="15" t="str">
        <f>IF(OR(S4200="",D4200&lt;&gt;"Vastgesteld"),"",_xlfn.MAXIFS($G$6:$G$5005,$S$6:$S$5005,S4200,$D$6:$D$5005,"Vastgesteld"))</f>
        <v/>
      </c>
      <c r="U4200" s="15">
        <f>IF(T4200="",0,IF(AND(G4200=T4200,COUNTIFS($S$6:S4200,S4200,$G$6:G4200,G4200,$D$6:D4200,"Vastgesteld")=1),1,0))</f>
        <v>0</v>
      </c>
      <c r="V4200" s="15">
        <f>IF(T4200="",0,IF(AND(G4200=T4200,COUNTIFS($S$6:S4200,S4200,$G$6:G4200,G4200,$D$6:D4200,"Vastgesteld")&gt;1),1,0))</f>
        <v>0</v>
      </c>
    </row>
    <row r="4201">
      <c r="S4201" s="15" t="str">
        <f>IF(J4201="","",J4201&amp;"|"&amp;E4201&amp;"|"&amp;F4201&amp;"|"&amp;I4201&amp;"|"&amp;O4201)</f>
        <v/>
      </c>
      <c r="T4201" s="15" t="str">
        <f>IF(OR(S4201="",D4201&lt;&gt;"Vastgesteld"),"",_xlfn.MAXIFS($G$6:$G$5005,$S$6:$S$5005,S4201,$D$6:$D$5005,"Vastgesteld"))</f>
        <v/>
      </c>
      <c r="U4201" s="15">
        <f>IF(T4201="",0,IF(AND(G4201=T4201,COUNTIFS($S$6:S4201,S4201,$G$6:G4201,G4201,$D$6:D4201,"Vastgesteld")=1),1,0))</f>
        <v>0</v>
      </c>
      <c r="V4201" s="15">
        <f>IF(T4201="",0,IF(AND(G4201=T4201,COUNTIFS($S$6:S4201,S4201,$G$6:G4201,G4201,$D$6:D4201,"Vastgesteld")&gt;1),1,0))</f>
        <v>0</v>
      </c>
    </row>
    <row r="4202">
      <c r="S4202" s="15" t="str">
        <f>IF(J4202="","",J4202&amp;"|"&amp;E4202&amp;"|"&amp;F4202&amp;"|"&amp;I4202&amp;"|"&amp;O4202)</f>
        <v/>
      </c>
      <c r="T4202" s="15" t="str">
        <f>IF(OR(S4202="",D4202&lt;&gt;"Vastgesteld"),"",_xlfn.MAXIFS($G$6:$G$5005,$S$6:$S$5005,S4202,$D$6:$D$5005,"Vastgesteld"))</f>
        <v/>
      </c>
      <c r="U4202" s="15">
        <f>IF(T4202="",0,IF(AND(G4202=T4202,COUNTIFS($S$6:S4202,S4202,$G$6:G4202,G4202,$D$6:D4202,"Vastgesteld")=1),1,0))</f>
        <v>0</v>
      </c>
      <c r="V4202" s="15">
        <f>IF(T4202="",0,IF(AND(G4202=T4202,COUNTIFS($S$6:S4202,S4202,$G$6:G4202,G4202,$D$6:D4202,"Vastgesteld")&gt;1),1,0))</f>
        <v>0</v>
      </c>
    </row>
    <row r="4203">
      <c r="S4203" s="15" t="str">
        <f>IF(J4203="","",J4203&amp;"|"&amp;E4203&amp;"|"&amp;F4203&amp;"|"&amp;I4203&amp;"|"&amp;O4203)</f>
        <v/>
      </c>
      <c r="T4203" s="15" t="str">
        <f>IF(OR(S4203="",D4203&lt;&gt;"Vastgesteld"),"",_xlfn.MAXIFS($G$6:$G$5005,$S$6:$S$5005,S4203,$D$6:$D$5005,"Vastgesteld"))</f>
        <v/>
      </c>
      <c r="U4203" s="15">
        <f>IF(T4203="",0,IF(AND(G4203=T4203,COUNTIFS($S$6:S4203,S4203,$G$6:G4203,G4203,$D$6:D4203,"Vastgesteld")=1),1,0))</f>
        <v>0</v>
      </c>
      <c r="V4203" s="15">
        <f>IF(T4203="",0,IF(AND(G4203=T4203,COUNTIFS($S$6:S4203,S4203,$G$6:G4203,G4203,$D$6:D4203,"Vastgesteld")&gt;1),1,0))</f>
        <v>0</v>
      </c>
    </row>
    <row r="4204">
      <c r="S4204" s="15" t="str">
        <f>IF(J4204="","",J4204&amp;"|"&amp;E4204&amp;"|"&amp;F4204&amp;"|"&amp;I4204&amp;"|"&amp;O4204)</f>
        <v/>
      </c>
      <c r="T4204" s="15" t="str">
        <f>IF(OR(S4204="",D4204&lt;&gt;"Vastgesteld"),"",_xlfn.MAXIFS($G$6:$G$5005,$S$6:$S$5005,S4204,$D$6:$D$5005,"Vastgesteld"))</f>
        <v/>
      </c>
      <c r="U4204" s="15">
        <f>IF(T4204="",0,IF(AND(G4204=T4204,COUNTIFS($S$6:S4204,S4204,$G$6:G4204,G4204,$D$6:D4204,"Vastgesteld")=1),1,0))</f>
        <v>0</v>
      </c>
      <c r="V4204" s="15">
        <f>IF(T4204="",0,IF(AND(G4204=T4204,COUNTIFS($S$6:S4204,S4204,$G$6:G4204,G4204,$D$6:D4204,"Vastgesteld")&gt;1),1,0))</f>
        <v>0</v>
      </c>
    </row>
    <row r="4205">
      <c r="S4205" s="15" t="str">
        <f>IF(J4205="","",J4205&amp;"|"&amp;E4205&amp;"|"&amp;F4205&amp;"|"&amp;I4205&amp;"|"&amp;O4205)</f>
        <v/>
      </c>
      <c r="T4205" s="15" t="str">
        <f>IF(OR(S4205="",D4205&lt;&gt;"Vastgesteld"),"",_xlfn.MAXIFS($G$6:$G$5005,$S$6:$S$5005,S4205,$D$6:$D$5005,"Vastgesteld"))</f>
        <v/>
      </c>
      <c r="U4205" s="15">
        <f>IF(T4205="",0,IF(AND(G4205=T4205,COUNTIFS($S$6:S4205,S4205,$G$6:G4205,G4205,$D$6:D4205,"Vastgesteld")=1),1,0))</f>
        <v>0</v>
      </c>
      <c r="V4205" s="15">
        <f>IF(T4205="",0,IF(AND(G4205=T4205,COUNTIFS($S$6:S4205,S4205,$G$6:G4205,G4205,$D$6:D4205,"Vastgesteld")&gt;1),1,0))</f>
        <v>0</v>
      </c>
    </row>
    <row r="4206">
      <c r="S4206" s="15" t="str">
        <f>IF(J4206="","",J4206&amp;"|"&amp;E4206&amp;"|"&amp;F4206&amp;"|"&amp;I4206&amp;"|"&amp;O4206)</f>
        <v/>
      </c>
      <c r="T4206" s="15" t="str">
        <f>IF(OR(S4206="",D4206&lt;&gt;"Vastgesteld"),"",_xlfn.MAXIFS($G$6:$G$5005,$S$6:$S$5005,S4206,$D$6:$D$5005,"Vastgesteld"))</f>
        <v/>
      </c>
      <c r="U4206" s="15">
        <f>IF(T4206="",0,IF(AND(G4206=T4206,COUNTIFS($S$6:S4206,S4206,$G$6:G4206,G4206,$D$6:D4206,"Vastgesteld")=1),1,0))</f>
        <v>0</v>
      </c>
      <c r="V4206" s="15">
        <f>IF(T4206="",0,IF(AND(G4206=T4206,COUNTIFS($S$6:S4206,S4206,$G$6:G4206,G4206,$D$6:D4206,"Vastgesteld")&gt;1),1,0))</f>
        <v>0</v>
      </c>
    </row>
    <row r="4207">
      <c r="S4207" s="15" t="str">
        <f>IF(J4207="","",J4207&amp;"|"&amp;E4207&amp;"|"&amp;F4207&amp;"|"&amp;I4207&amp;"|"&amp;O4207)</f>
        <v/>
      </c>
      <c r="T4207" s="15" t="str">
        <f>IF(OR(S4207="",D4207&lt;&gt;"Vastgesteld"),"",_xlfn.MAXIFS($G$6:$G$5005,$S$6:$S$5005,S4207,$D$6:$D$5005,"Vastgesteld"))</f>
        <v/>
      </c>
      <c r="U4207" s="15">
        <f>IF(T4207="",0,IF(AND(G4207=T4207,COUNTIFS($S$6:S4207,S4207,$G$6:G4207,G4207,$D$6:D4207,"Vastgesteld")=1),1,0))</f>
        <v>0</v>
      </c>
      <c r="V4207" s="15">
        <f>IF(T4207="",0,IF(AND(G4207=T4207,COUNTIFS($S$6:S4207,S4207,$G$6:G4207,G4207,$D$6:D4207,"Vastgesteld")&gt;1),1,0))</f>
        <v>0</v>
      </c>
    </row>
    <row r="4208">
      <c r="S4208" s="15" t="str">
        <f>IF(J4208="","",J4208&amp;"|"&amp;E4208&amp;"|"&amp;F4208&amp;"|"&amp;I4208&amp;"|"&amp;O4208)</f>
        <v/>
      </c>
      <c r="T4208" s="15" t="str">
        <f>IF(OR(S4208="",D4208&lt;&gt;"Vastgesteld"),"",_xlfn.MAXIFS($G$6:$G$5005,$S$6:$S$5005,S4208,$D$6:$D$5005,"Vastgesteld"))</f>
        <v/>
      </c>
      <c r="U4208" s="15">
        <f>IF(T4208="",0,IF(AND(G4208=T4208,COUNTIFS($S$6:S4208,S4208,$G$6:G4208,G4208,$D$6:D4208,"Vastgesteld")=1),1,0))</f>
        <v>0</v>
      </c>
      <c r="V4208" s="15">
        <f>IF(T4208="",0,IF(AND(G4208=T4208,COUNTIFS($S$6:S4208,S4208,$G$6:G4208,G4208,$D$6:D4208,"Vastgesteld")&gt;1),1,0))</f>
        <v>0</v>
      </c>
    </row>
    <row r="4209">
      <c r="S4209" s="15" t="str">
        <f>IF(J4209="","",J4209&amp;"|"&amp;E4209&amp;"|"&amp;F4209&amp;"|"&amp;I4209&amp;"|"&amp;O4209)</f>
        <v/>
      </c>
      <c r="T4209" s="15" t="str">
        <f>IF(OR(S4209="",D4209&lt;&gt;"Vastgesteld"),"",_xlfn.MAXIFS($G$6:$G$5005,$S$6:$S$5005,S4209,$D$6:$D$5005,"Vastgesteld"))</f>
        <v/>
      </c>
      <c r="U4209" s="15">
        <f>IF(T4209="",0,IF(AND(G4209=T4209,COUNTIFS($S$6:S4209,S4209,$G$6:G4209,G4209,$D$6:D4209,"Vastgesteld")=1),1,0))</f>
        <v>0</v>
      </c>
      <c r="V4209" s="15">
        <f>IF(T4209="",0,IF(AND(G4209=T4209,COUNTIFS($S$6:S4209,S4209,$G$6:G4209,G4209,$D$6:D4209,"Vastgesteld")&gt;1),1,0))</f>
        <v>0</v>
      </c>
    </row>
    <row r="4210">
      <c r="S4210" s="15" t="str">
        <f>IF(J4210="","",J4210&amp;"|"&amp;E4210&amp;"|"&amp;F4210&amp;"|"&amp;I4210&amp;"|"&amp;O4210)</f>
        <v/>
      </c>
      <c r="T4210" s="15" t="str">
        <f>IF(OR(S4210="",D4210&lt;&gt;"Vastgesteld"),"",_xlfn.MAXIFS($G$6:$G$5005,$S$6:$S$5005,S4210,$D$6:$D$5005,"Vastgesteld"))</f>
        <v/>
      </c>
      <c r="U4210" s="15">
        <f>IF(T4210="",0,IF(AND(G4210=T4210,COUNTIFS($S$6:S4210,S4210,$G$6:G4210,G4210,$D$6:D4210,"Vastgesteld")=1),1,0))</f>
        <v>0</v>
      </c>
      <c r="V4210" s="15">
        <f>IF(T4210="",0,IF(AND(G4210=T4210,COUNTIFS($S$6:S4210,S4210,$G$6:G4210,G4210,$D$6:D4210,"Vastgesteld")&gt;1),1,0))</f>
        <v>0</v>
      </c>
    </row>
    <row r="4211">
      <c r="S4211" s="15" t="str">
        <f>IF(J4211="","",J4211&amp;"|"&amp;E4211&amp;"|"&amp;F4211&amp;"|"&amp;I4211&amp;"|"&amp;O4211)</f>
        <v/>
      </c>
      <c r="T4211" s="15" t="str">
        <f>IF(OR(S4211="",D4211&lt;&gt;"Vastgesteld"),"",_xlfn.MAXIFS($G$6:$G$5005,$S$6:$S$5005,S4211,$D$6:$D$5005,"Vastgesteld"))</f>
        <v/>
      </c>
      <c r="U4211" s="15">
        <f>IF(T4211="",0,IF(AND(G4211=T4211,COUNTIFS($S$6:S4211,S4211,$G$6:G4211,G4211,$D$6:D4211,"Vastgesteld")=1),1,0))</f>
        <v>0</v>
      </c>
      <c r="V4211" s="15">
        <f>IF(T4211="",0,IF(AND(G4211=T4211,COUNTIFS($S$6:S4211,S4211,$G$6:G4211,G4211,$D$6:D4211,"Vastgesteld")&gt;1),1,0))</f>
        <v>0</v>
      </c>
    </row>
    <row r="4212">
      <c r="S4212" s="15" t="str">
        <f>IF(J4212="","",J4212&amp;"|"&amp;E4212&amp;"|"&amp;F4212&amp;"|"&amp;I4212&amp;"|"&amp;O4212)</f>
        <v/>
      </c>
      <c r="T4212" s="15" t="str">
        <f>IF(OR(S4212="",D4212&lt;&gt;"Vastgesteld"),"",_xlfn.MAXIFS($G$6:$G$5005,$S$6:$S$5005,S4212,$D$6:$D$5005,"Vastgesteld"))</f>
        <v/>
      </c>
      <c r="U4212" s="15">
        <f>IF(T4212="",0,IF(AND(G4212=T4212,COUNTIFS($S$6:S4212,S4212,$G$6:G4212,G4212,$D$6:D4212,"Vastgesteld")=1),1,0))</f>
        <v>0</v>
      </c>
      <c r="V4212" s="15">
        <f>IF(T4212="",0,IF(AND(G4212=T4212,COUNTIFS($S$6:S4212,S4212,$G$6:G4212,G4212,$D$6:D4212,"Vastgesteld")&gt;1),1,0))</f>
        <v>0</v>
      </c>
    </row>
    <row r="4213">
      <c r="S4213" s="15" t="str">
        <f>IF(J4213="","",J4213&amp;"|"&amp;E4213&amp;"|"&amp;F4213&amp;"|"&amp;I4213&amp;"|"&amp;O4213)</f>
        <v/>
      </c>
      <c r="T4213" s="15" t="str">
        <f>IF(OR(S4213="",D4213&lt;&gt;"Vastgesteld"),"",_xlfn.MAXIFS($G$6:$G$5005,$S$6:$S$5005,S4213,$D$6:$D$5005,"Vastgesteld"))</f>
        <v/>
      </c>
      <c r="U4213" s="15">
        <f>IF(T4213="",0,IF(AND(G4213=T4213,COUNTIFS($S$6:S4213,S4213,$G$6:G4213,G4213,$D$6:D4213,"Vastgesteld")=1),1,0))</f>
        <v>0</v>
      </c>
      <c r="V4213" s="15">
        <f>IF(T4213="",0,IF(AND(G4213=T4213,COUNTIFS($S$6:S4213,S4213,$G$6:G4213,G4213,$D$6:D4213,"Vastgesteld")&gt;1),1,0))</f>
        <v>0</v>
      </c>
    </row>
    <row r="4214">
      <c r="S4214" s="15" t="str">
        <f>IF(J4214="","",J4214&amp;"|"&amp;E4214&amp;"|"&amp;F4214&amp;"|"&amp;I4214&amp;"|"&amp;O4214)</f>
        <v/>
      </c>
      <c r="T4214" s="15" t="str">
        <f>IF(OR(S4214="",D4214&lt;&gt;"Vastgesteld"),"",_xlfn.MAXIFS($G$6:$G$5005,$S$6:$S$5005,S4214,$D$6:$D$5005,"Vastgesteld"))</f>
        <v/>
      </c>
      <c r="U4214" s="15">
        <f>IF(T4214="",0,IF(AND(G4214=T4214,COUNTIFS($S$6:S4214,S4214,$G$6:G4214,G4214,$D$6:D4214,"Vastgesteld")=1),1,0))</f>
        <v>0</v>
      </c>
      <c r="V4214" s="15">
        <f>IF(T4214="",0,IF(AND(G4214=T4214,COUNTIFS($S$6:S4214,S4214,$G$6:G4214,G4214,$D$6:D4214,"Vastgesteld")&gt;1),1,0))</f>
        <v>0</v>
      </c>
    </row>
    <row r="4215">
      <c r="S4215" s="15" t="str">
        <f>IF(J4215="","",J4215&amp;"|"&amp;E4215&amp;"|"&amp;F4215&amp;"|"&amp;I4215&amp;"|"&amp;O4215)</f>
        <v/>
      </c>
      <c r="T4215" s="15" t="str">
        <f>IF(OR(S4215="",D4215&lt;&gt;"Vastgesteld"),"",_xlfn.MAXIFS($G$6:$G$5005,$S$6:$S$5005,S4215,$D$6:$D$5005,"Vastgesteld"))</f>
        <v/>
      </c>
      <c r="U4215" s="15">
        <f>IF(T4215="",0,IF(AND(G4215=T4215,COUNTIFS($S$6:S4215,S4215,$G$6:G4215,G4215,$D$6:D4215,"Vastgesteld")=1),1,0))</f>
        <v>0</v>
      </c>
      <c r="V4215" s="15">
        <f>IF(T4215="",0,IF(AND(G4215=T4215,COUNTIFS($S$6:S4215,S4215,$G$6:G4215,G4215,$D$6:D4215,"Vastgesteld")&gt;1),1,0))</f>
        <v>0</v>
      </c>
    </row>
    <row r="4216">
      <c r="S4216" s="15" t="str">
        <f>IF(J4216="","",J4216&amp;"|"&amp;E4216&amp;"|"&amp;F4216&amp;"|"&amp;I4216&amp;"|"&amp;O4216)</f>
        <v/>
      </c>
      <c r="T4216" s="15" t="str">
        <f>IF(OR(S4216="",D4216&lt;&gt;"Vastgesteld"),"",_xlfn.MAXIFS($G$6:$G$5005,$S$6:$S$5005,S4216,$D$6:$D$5005,"Vastgesteld"))</f>
        <v/>
      </c>
      <c r="U4216" s="15">
        <f>IF(T4216="",0,IF(AND(G4216=T4216,COUNTIFS($S$6:S4216,S4216,$G$6:G4216,G4216,$D$6:D4216,"Vastgesteld")=1),1,0))</f>
        <v>0</v>
      </c>
      <c r="V4216" s="15">
        <f>IF(T4216="",0,IF(AND(G4216=T4216,COUNTIFS($S$6:S4216,S4216,$G$6:G4216,G4216,$D$6:D4216,"Vastgesteld")&gt;1),1,0))</f>
        <v>0</v>
      </c>
    </row>
    <row r="4217">
      <c r="S4217" s="15" t="str">
        <f>IF(J4217="","",J4217&amp;"|"&amp;E4217&amp;"|"&amp;F4217&amp;"|"&amp;I4217&amp;"|"&amp;O4217)</f>
        <v/>
      </c>
      <c r="T4217" s="15" t="str">
        <f>IF(OR(S4217="",D4217&lt;&gt;"Vastgesteld"),"",_xlfn.MAXIFS($G$6:$G$5005,$S$6:$S$5005,S4217,$D$6:$D$5005,"Vastgesteld"))</f>
        <v/>
      </c>
      <c r="U4217" s="15">
        <f>IF(T4217="",0,IF(AND(G4217=T4217,COUNTIFS($S$6:S4217,S4217,$G$6:G4217,G4217,$D$6:D4217,"Vastgesteld")=1),1,0))</f>
        <v>0</v>
      </c>
      <c r="V4217" s="15">
        <f>IF(T4217="",0,IF(AND(G4217=T4217,COUNTIFS($S$6:S4217,S4217,$G$6:G4217,G4217,$D$6:D4217,"Vastgesteld")&gt;1),1,0))</f>
        <v>0</v>
      </c>
    </row>
    <row r="4218">
      <c r="S4218" s="15" t="str">
        <f>IF(J4218="","",J4218&amp;"|"&amp;E4218&amp;"|"&amp;F4218&amp;"|"&amp;I4218&amp;"|"&amp;O4218)</f>
        <v/>
      </c>
      <c r="T4218" s="15" t="str">
        <f>IF(OR(S4218="",D4218&lt;&gt;"Vastgesteld"),"",_xlfn.MAXIFS($G$6:$G$5005,$S$6:$S$5005,S4218,$D$6:$D$5005,"Vastgesteld"))</f>
        <v/>
      </c>
      <c r="U4218" s="15">
        <f>IF(T4218="",0,IF(AND(G4218=T4218,COUNTIFS($S$6:S4218,S4218,$G$6:G4218,G4218,$D$6:D4218,"Vastgesteld")=1),1,0))</f>
        <v>0</v>
      </c>
      <c r="V4218" s="15">
        <f>IF(T4218="",0,IF(AND(G4218=T4218,COUNTIFS($S$6:S4218,S4218,$G$6:G4218,G4218,$D$6:D4218,"Vastgesteld")&gt;1),1,0))</f>
        <v>0</v>
      </c>
    </row>
    <row r="4219">
      <c r="S4219" s="15" t="str">
        <f>IF(J4219="","",J4219&amp;"|"&amp;E4219&amp;"|"&amp;F4219&amp;"|"&amp;I4219&amp;"|"&amp;O4219)</f>
        <v/>
      </c>
      <c r="T4219" s="15" t="str">
        <f>IF(OR(S4219="",D4219&lt;&gt;"Vastgesteld"),"",_xlfn.MAXIFS($G$6:$G$5005,$S$6:$S$5005,S4219,$D$6:$D$5005,"Vastgesteld"))</f>
        <v/>
      </c>
      <c r="U4219" s="15">
        <f>IF(T4219="",0,IF(AND(G4219=T4219,COUNTIFS($S$6:S4219,S4219,$G$6:G4219,G4219,$D$6:D4219,"Vastgesteld")=1),1,0))</f>
        <v>0</v>
      </c>
      <c r="V4219" s="15">
        <f>IF(T4219="",0,IF(AND(G4219=T4219,COUNTIFS($S$6:S4219,S4219,$G$6:G4219,G4219,$D$6:D4219,"Vastgesteld")&gt;1),1,0))</f>
        <v>0</v>
      </c>
    </row>
    <row r="4220">
      <c r="S4220" s="15" t="str">
        <f>IF(J4220="","",J4220&amp;"|"&amp;E4220&amp;"|"&amp;F4220&amp;"|"&amp;I4220&amp;"|"&amp;O4220)</f>
        <v/>
      </c>
      <c r="T4220" s="15" t="str">
        <f>IF(OR(S4220="",D4220&lt;&gt;"Vastgesteld"),"",_xlfn.MAXIFS($G$6:$G$5005,$S$6:$S$5005,S4220,$D$6:$D$5005,"Vastgesteld"))</f>
        <v/>
      </c>
      <c r="U4220" s="15">
        <f>IF(T4220="",0,IF(AND(G4220=T4220,COUNTIFS($S$6:S4220,S4220,$G$6:G4220,G4220,$D$6:D4220,"Vastgesteld")=1),1,0))</f>
        <v>0</v>
      </c>
      <c r="V4220" s="15">
        <f>IF(T4220="",0,IF(AND(G4220=T4220,COUNTIFS($S$6:S4220,S4220,$G$6:G4220,G4220,$D$6:D4220,"Vastgesteld")&gt;1),1,0))</f>
        <v>0</v>
      </c>
    </row>
    <row r="4221">
      <c r="S4221" s="15" t="str">
        <f>IF(J4221="","",J4221&amp;"|"&amp;E4221&amp;"|"&amp;F4221&amp;"|"&amp;I4221&amp;"|"&amp;O4221)</f>
        <v/>
      </c>
      <c r="T4221" s="15" t="str">
        <f>IF(OR(S4221="",D4221&lt;&gt;"Vastgesteld"),"",_xlfn.MAXIFS($G$6:$G$5005,$S$6:$S$5005,S4221,$D$6:$D$5005,"Vastgesteld"))</f>
        <v/>
      </c>
      <c r="U4221" s="15">
        <f>IF(T4221="",0,IF(AND(G4221=T4221,COUNTIFS($S$6:S4221,S4221,$G$6:G4221,G4221,$D$6:D4221,"Vastgesteld")=1),1,0))</f>
        <v>0</v>
      </c>
      <c r="V4221" s="15">
        <f>IF(T4221="",0,IF(AND(G4221=T4221,COUNTIFS($S$6:S4221,S4221,$G$6:G4221,G4221,$D$6:D4221,"Vastgesteld")&gt;1),1,0))</f>
        <v>0</v>
      </c>
    </row>
    <row r="4222">
      <c r="S4222" s="15" t="str">
        <f>IF(J4222="","",J4222&amp;"|"&amp;E4222&amp;"|"&amp;F4222&amp;"|"&amp;I4222&amp;"|"&amp;O4222)</f>
        <v/>
      </c>
      <c r="T4222" s="15" t="str">
        <f>IF(OR(S4222="",D4222&lt;&gt;"Vastgesteld"),"",_xlfn.MAXIFS($G$6:$G$5005,$S$6:$S$5005,S4222,$D$6:$D$5005,"Vastgesteld"))</f>
        <v/>
      </c>
      <c r="U4222" s="15">
        <f>IF(T4222="",0,IF(AND(G4222=T4222,COUNTIFS($S$6:S4222,S4222,$G$6:G4222,G4222,$D$6:D4222,"Vastgesteld")=1),1,0))</f>
        <v>0</v>
      </c>
      <c r="V4222" s="15">
        <f>IF(T4222="",0,IF(AND(G4222=T4222,COUNTIFS($S$6:S4222,S4222,$G$6:G4222,G4222,$D$6:D4222,"Vastgesteld")&gt;1),1,0))</f>
        <v>0</v>
      </c>
    </row>
    <row r="4223">
      <c r="S4223" s="15" t="str">
        <f>IF(J4223="","",J4223&amp;"|"&amp;E4223&amp;"|"&amp;F4223&amp;"|"&amp;I4223&amp;"|"&amp;O4223)</f>
        <v/>
      </c>
      <c r="T4223" s="15" t="str">
        <f>IF(OR(S4223="",D4223&lt;&gt;"Vastgesteld"),"",_xlfn.MAXIFS($G$6:$G$5005,$S$6:$S$5005,S4223,$D$6:$D$5005,"Vastgesteld"))</f>
        <v/>
      </c>
      <c r="U4223" s="15">
        <f>IF(T4223="",0,IF(AND(G4223=T4223,COUNTIFS($S$6:S4223,S4223,$G$6:G4223,G4223,$D$6:D4223,"Vastgesteld")=1),1,0))</f>
        <v>0</v>
      </c>
      <c r="V4223" s="15">
        <f>IF(T4223="",0,IF(AND(G4223=T4223,COUNTIFS($S$6:S4223,S4223,$G$6:G4223,G4223,$D$6:D4223,"Vastgesteld")&gt;1),1,0))</f>
        <v>0</v>
      </c>
    </row>
    <row r="4224">
      <c r="S4224" s="15" t="str">
        <f>IF(J4224="","",J4224&amp;"|"&amp;E4224&amp;"|"&amp;F4224&amp;"|"&amp;I4224&amp;"|"&amp;O4224)</f>
        <v/>
      </c>
      <c r="T4224" s="15" t="str">
        <f>IF(OR(S4224="",D4224&lt;&gt;"Vastgesteld"),"",_xlfn.MAXIFS($G$6:$G$5005,$S$6:$S$5005,S4224,$D$6:$D$5005,"Vastgesteld"))</f>
        <v/>
      </c>
      <c r="U4224" s="15">
        <f>IF(T4224="",0,IF(AND(G4224=T4224,COUNTIFS($S$6:S4224,S4224,$G$6:G4224,G4224,$D$6:D4224,"Vastgesteld")=1),1,0))</f>
        <v>0</v>
      </c>
      <c r="V4224" s="15">
        <f>IF(T4224="",0,IF(AND(G4224=T4224,COUNTIFS($S$6:S4224,S4224,$G$6:G4224,G4224,$D$6:D4224,"Vastgesteld")&gt;1),1,0))</f>
        <v>0</v>
      </c>
    </row>
    <row r="4225">
      <c r="S4225" s="15" t="str">
        <f>IF(J4225="","",J4225&amp;"|"&amp;E4225&amp;"|"&amp;F4225&amp;"|"&amp;I4225&amp;"|"&amp;O4225)</f>
        <v/>
      </c>
      <c r="T4225" s="15" t="str">
        <f>IF(OR(S4225="",D4225&lt;&gt;"Vastgesteld"),"",_xlfn.MAXIFS($G$6:$G$5005,$S$6:$S$5005,S4225,$D$6:$D$5005,"Vastgesteld"))</f>
        <v/>
      </c>
      <c r="U4225" s="15">
        <f>IF(T4225="",0,IF(AND(G4225=T4225,COUNTIFS($S$6:S4225,S4225,$G$6:G4225,G4225,$D$6:D4225,"Vastgesteld")=1),1,0))</f>
        <v>0</v>
      </c>
      <c r="V4225" s="15">
        <f>IF(T4225="",0,IF(AND(G4225=T4225,COUNTIFS($S$6:S4225,S4225,$G$6:G4225,G4225,$D$6:D4225,"Vastgesteld")&gt;1),1,0))</f>
        <v>0</v>
      </c>
    </row>
    <row r="4226">
      <c r="S4226" s="15" t="str">
        <f>IF(J4226="","",J4226&amp;"|"&amp;E4226&amp;"|"&amp;F4226&amp;"|"&amp;I4226&amp;"|"&amp;O4226)</f>
        <v/>
      </c>
      <c r="T4226" s="15" t="str">
        <f>IF(OR(S4226="",D4226&lt;&gt;"Vastgesteld"),"",_xlfn.MAXIFS($G$6:$G$5005,$S$6:$S$5005,S4226,$D$6:$D$5005,"Vastgesteld"))</f>
        <v/>
      </c>
      <c r="U4226" s="15">
        <f>IF(T4226="",0,IF(AND(G4226=T4226,COUNTIFS($S$6:S4226,S4226,$G$6:G4226,G4226,$D$6:D4226,"Vastgesteld")=1),1,0))</f>
        <v>0</v>
      </c>
      <c r="V4226" s="15">
        <f>IF(T4226="",0,IF(AND(G4226=T4226,COUNTIFS($S$6:S4226,S4226,$G$6:G4226,G4226,$D$6:D4226,"Vastgesteld")&gt;1),1,0))</f>
        <v>0</v>
      </c>
    </row>
    <row r="4227">
      <c r="S4227" s="15" t="str">
        <f>IF(J4227="","",J4227&amp;"|"&amp;E4227&amp;"|"&amp;F4227&amp;"|"&amp;I4227&amp;"|"&amp;O4227)</f>
        <v/>
      </c>
      <c r="T4227" s="15" t="str">
        <f>IF(OR(S4227="",D4227&lt;&gt;"Vastgesteld"),"",_xlfn.MAXIFS($G$6:$G$5005,$S$6:$S$5005,S4227,$D$6:$D$5005,"Vastgesteld"))</f>
        <v/>
      </c>
      <c r="U4227" s="15">
        <f>IF(T4227="",0,IF(AND(G4227=T4227,COUNTIFS($S$6:S4227,S4227,$G$6:G4227,G4227,$D$6:D4227,"Vastgesteld")=1),1,0))</f>
        <v>0</v>
      </c>
      <c r="V4227" s="15">
        <f>IF(T4227="",0,IF(AND(G4227=T4227,COUNTIFS($S$6:S4227,S4227,$G$6:G4227,G4227,$D$6:D4227,"Vastgesteld")&gt;1),1,0))</f>
        <v>0</v>
      </c>
    </row>
    <row r="4228">
      <c r="S4228" s="15" t="str">
        <f>IF(J4228="","",J4228&amp;"|"&amp;E4228&amp;"|"&amp;F4228&amp;"|"&amp;I4228&amp;"|"&amp;O4228)</f>
        <v/>
      </c>
      <c r="T4228" s="15" t="str">
        <f>IF(OR(S4228="",D4228&lt;&gt;"Vastgesteld"),"",_xlfn.MAXIFS($G$6:$G$5005,$S$6:$S$5005,S4228,$D$6:$D$5005,"Vastgesteld"))</f>
        <v/>
      </c>
      <c r="U4228" s="15">
        <f>IF(T4228="",0,IF(AND(G4228=T4228,COUNTIFS($S$6:S4228,S4228,$G$6:G4228,G4228,$D$6:D4228,"Vastgesteld")=1),1,0))</f>
        <v>0</v>
      </c>
      <c r="V4228" s="15">
        <f>IF(T4228="",0,IF(AND(G4228=T4228,COUNTIFS($S$6:S4228,S4228,$G$6:G4228,G4228,$D$6:D4228,"Vastgesteld")&gt;1),1,0))</f>
        <v>0</v>
      </c>
    </row>
    <row r="4229">
      <c r="S4229" s="15" t="str">
        <f>IF(J4229="","",J4229&amp;"|"&amp;E4229&amp;"|"&amp;F4229&amp;"|"&amp;I4229&amp;"|"&amp;O4229)</f>
        <v/>
      </c>
      <c r="T4229" s="15" t="str">
        <f>IF(OR(S4229="",D4229&lt;&gt;"Vastgesteld"),"",_xlfn.MAXIFS($G$6:$G$5005,$S$6:$S$5005,S4229,$D$6:$D$5005,"Vastgesteld"))</f>
        <v/>
      </c>
      <c r="U4229" s="15">
        <f>IF(T4229="",0,IF(AND(G4229=T4229,COUNTIFS($S$6:S4229,S4229,$G$6:G4229,G4229,$D$6:D4229,"Vastgesteld")=1),1,0))</f>
        <v>0</v>
      </c>
      <c r="V4229" s="15">
        <f>IF(T4229="",0,IF(AND(G4229=T4229,COUNTIFS($S$6:S4229,S4229,$G$6:G4229,G4229,$D$6:D4229,"Vastgesteld")&gt;1),1,0))</f>
        <v>0</v>
      </c>
    </row>
    <row r="4230">
      <c r="S4230" s="15" t="str">
        <f>IF(J4230="","",J4230&amp;"|"&amp;E4230&amp;"|"&amp;F4230&amp;"|"&amp;I4230&amp;"|"&amp;O4230)</f>
        <v/>
      </c>
      <c r="T4230" s="15" t="str">
        <f>IF(OR(S4230="",D4230&lt;&gt;"Vastgesteld"),"",_xlfn.MAXIFS($G$6:$G$5005,$S$6:$S$5005,S4230,$D$6:$D$5005,"Vastgesteld"))</f>
        <v/>
      </c>
      <c r="U4230" s="15">
        <f>IF(T4230="",0,IF(AND(G4230=T4230,COUNTIFS($S$6:S4230,S4230,$G$6:G4230,G4230,$D$6:D4230,"Vastgesteld")=1),1,0))</f>
        <v>0</v>
      </c>
      <c r="V4230" s="15">
        <f>IF(T4230="",0,IF(AND(G4230=T4230,COUNTIFS($S$6:S4230,S4230,$G$6:G4230,G4230,$D$6:D4230,"Vastgesteld")&gt;1),1,0))</f>
        <v>0</v>
      </c>
    </row>
    <row r="4231">
      <c r="S4231" s="15" t="str">
        <f>IF(J4231="","",J4231&amp;"|"&amp;E4231&amp;"|"&amp;F4231&amp;"|"&amp;I4231&amp;"|"&amp;O4231)</f>
        <v/>
      </c>
      <c r="T4231" s="15" t="str">
        <f>IF(OR(S4231="",D4231&lt;&gt;"Vastgesteld"),"",_xlfn.MAXIFS($G$6:$G$5005,$S$6:$S$5005,S4231,$D$6:$D$5005,"Vastgesteld"))</f>
        <v/>
      </c>
      <c r="U4231" s="15">
        <f>IF(T4231="",0,IF(AND(G4231=T4231,COUNTIFS($S$6:S4231,S4231,$G$6:G4231,G4231,$D$6:D4231,"Vastgesteld")=1),1,0))</f>
        <v>0</v>
      </c>
      <c r="V4231" s="15">
        <f>IF(T4231="",0,IF(AND(G4231=T4231,COUNTIFS($S$6:S4231,S4231,$G$6:G4231,G4231,$D$6:D4231,"Vastgesteld")&gt;1),1,0))</f>
        <v>0</v>
      </c>
    </row>
    <row r="4232">
      <c r="S4232" s="15" t="str">
        <f>IF(J4232="","",J4232&amp;"|"&amp;E4232&amp;"|"&amp;F4232&amp;"|"&amp;I4232&amp;"|"&amp;O4232)</f>
        <v/>
      </c>
      <c r="T4232" s="15" t="str">
        <f>IF(OR(S4232="",D4232&lt;&gt;"Vastgesteld"),"",_xlfn.MAXIFS($G$6:$G$5005,$S$6:$S$5005,S4232,$D$6:$D$5005,"Vastgesteld"))</f>
        <v/>
      </c>
      <c r="U4232" s="15">
        <f>IF(T4232="",0,IF(AND(G4232=T4232,COUNTIFS($S$6:S4232,S4232,$G$6:G4232,G4232,$D$6:D4232,"Vastgesteld")=1),1,0))</f>
        <v>0</v>
      </c>
      <c r="V4232" s="15">
        <f>IF(T4232="",0,IF(AND(G4232=T4232,COUNTIFS($S$6:S4232,S4232,$G$6:G4232,G4232,$D$6:D4232,"Vastgesteld")&gt;1),1,0))</f>
        <v>0</v>
      </c>
    </row>
    <row r="4233">
      <c r="S4233" s="15" t="str">
        <f>IF(J4233="","",J4233&amp;"|"&amp;E4233&amp;"|"&amp;F4233&amp;"|"&amp;I4233&amp;"|"&amp;O4233)</f>
        <v/>
      </c>
      <c r="T4233" s="15" t="str">
        <f>IF(OR(S4233="",D4233&lt;&gt;"Vastgesteld"),"",_xlfn.MAXIFS($G$6:$G$5005,$S$6:$S$5005,S4233,$D$6:$D$5005,"Vastgesteld"))</f>
        <v/>
      </c>
      <c r="U4233" s="15">
        <f>IF(T4233="",0,IF(AND(G4233=T4233,COUNTIFS($S$6:S4233,S4233,$G$6:G4233,G4233,$D$6:D4233,"Vastgesteld")=1),1,0))</f>
        <v>0</v>
      </c>
      <c r="V4233" s="15">
        <f>IF(T4233="",0,IF(AND(G4233=T4233,COUNTIFS($S$6:S4233,S4233,$G$6:G4233,G4233,$D$6:D4233,"Vastgesteld")&gt;1),1,0))</f>
        <v>0</v>
      </c>
    </row>
    <row r="4234">
      <c r="S4234" s="15" t="str">
        <f>IF(J4234="","",J4234&amp;"|"&amp;E4234&amp;"|"&amp;F4234&amp;"|"&amp;I4234&amp;"|"&amp;O4234)</f>
        <v/>
      </c>
      <c r="T4234" s="15" t="str">
        <f>IF(OR(S4234="",D4234&lt;&gt;"Vastgesteld"),"",_xlfn.MAXIFS($G$6:$G$5005,$S$6:$S$5005,S4234,$D$6:$D$5005,"Vastgesteld"))</f>
        <v/>
      </c>
      <c r="U4234" s="15">
        <f>IF(T4234="",0,IF(AND(G4234=T4234,COUNTIFS($S$6:S4234,S4234,$G$6:G4234,G4234,$D$6:D4234,"Vastgesteld")=1),1,0))</f>
        <v>0</v>
      </c>
      <c r="V4234" s="15">
        <f>IF(T4234="",0,IF(AND(G4234=T4234,COUNTIFS($S$6:S4234,S4234,$G$6:G4234,G4234,$D$6:D4234,"Vastgesteld")&gt;1),1,0))</f>
        <v>0</v>
      </c>
    </row>
    <row r="4235">
      <c r="S4235" s="15" t="str">
        <f>IF(J4235="","",J4235&amp;"|"&amp;E4235&amp;"|"&amp;F4235&amp;"|"&amp;I4235&amp;"|"&amp;O4235)</f>
        <v/>
      </c>
      <c r="T4235" s="15" t="str">
        <f>IF(OR(S4235="",D4235&lt;&gt;"Vastgesteld"),"",_xlfn.MAXIFS($G$6:$G$5005,$S$6:$S$5005,S4235,$D$6:$D$5005,"Vastgesteld"))</f>
        <v/>
      </c>
      <c r="U4235" s="15">
        <f>IF(T4235="",0,IF(AND(G4235=T4235,COUNTIFS($S$6:S4235,S4235,$G$6:G4235,G4235,$D$6:D4235,"Vastgesteld")=1),1,0))</f>
        <v>0</v>
      </c>
      <c r="V4235" s="15">
        <f>IF(T4235="",0,IF(AND(G4235=T4235,COUNTIFS($S$6:S4235,S4235,$G$6:G4235,G4235,$D$6:D4235,"Vastgesteld")&gt;1),1,0))</f>
        <v>0</v>
      </c>
    </row>
    <row r="4236">
      <c r="S4236" s="15" t="str">
        <f>IF(J4236="","",J4236&amp;"|"&amp;E4236&amp;"|"&amp;F4236&amp;"|"&amp;I4236&amp;"|"&amp;O4236)</f>
        <v/>
      </c>
      <c r="T4236" s="15" t="str">
        <f>IF(OR(S4236="",D4236&lt;&gt;"Vastgesteld"),"",_xlfn.MAXIFS($G$6:$G$5005,$S$6:$S$5005,S4236,$D$6:$D$5005,"Vastgesteld"))</f>
        <v/>
      </c>
      <c r="U4236" s="15">
        <f>IF(T4236="",0,IF(AND(G4236=T4236,COUNTIFS($S$6:S4236,S4236,$G$6:G4236,G4236,$D$6:D4236,"Vastgesteld")=1),1,0))</f>
        <v>0</v>
      </c>
      <c r="V4236" s="15">
        <f>IF(T4236="",0,IF(AND(G4236=T4236,COUNTIFS($S$6:S4236,S4236,$G$6:G4236,G4236,$D$6:D4236,"Vastgesteld")&gt;1),1,0))</f>
        <v>0</v>
      </c>
    </row>
    <row r="4237">
      <c r="S4237" s="15" t="str">
        <f>IF(J4237="","",J4237&amp;"|"&amp;E4237&amp;"|"&amp;F4237&amp;"|"&amp;I4237&amp;"|"&amp;O4237)</f>
        <v/>
      </c>
      <c r="T4237" s="15" t="str">
        <f>IF(OR(S4237="",D4237&lt;&gt;"Vastgesteld"),"",_xlfn.MAXIFS($G$6:$G$5005,$S$6:$S$5005,S4237,$D$6:$D$5005,"Vastgesteld"))</f>
        <v/>
      </c>
      <c r="U4237" s="15">
        <f>IF(T4237="",0,IF(AND(G4237=T4237,COUNTIFS($S$6:S4237,S4237,$G$6:G4237,G4237,$D$6:D4237,"Vastgesteld")=1),1,0))</f>
        <v>0</v>
      </c>
      <c r="V4237" s="15">
        <f>IF(T4237="",0,IF(AND(G4237=T4237,COUNTIFS($S$6:S4237,S4237,$G$6:G4237,G4237,$D$6:D4237,"Vastgesteld")&gt;1),1,0))</f>
        <v>0</v>
      </c>
    </row>
    <row r="4238">
      <c r="S4238" s="15" t="str">
        <f>IF(J4238="","",J4238&amp;"|"&amp;E4238&amp;"|"&amp;F4238&amp;"|"&amp;I4238&amp;"|"&amp;O4238)</f>
        <v/>
      </c>
      <c r="T4238" s="15" t="str">
        <f>IF(OR(S4238="",D4238&lt;&gt;"Vastgesteld"),"",_xlfn.MAXIFS($G$6:$G$5005,$S$6:$S$5005,S4238,$D$6:$D$5005,"Vastgesteld"))</f>
        <v/>
      </c>
      <c r="U4238" s="15">
        <f>IF(T4238="",0,IF(AND(G4238=T4238,COUNTIFS($S$6:S4238,S4238,$G$6:G4238,G4238,$D$6:D4238,"Vastgesteld")=1),1,0))</f>
        <v>0</v>
      </c>
      <c r="V4238" s="15">
        <f>IF(T4238="",0,IF(AND(G4238=T4238,COUNTIFS($S$6:S4238,S4238,$G$6:G4238,G4238,$D$6:D4238,"Vastgesteld")&gt;1),1,0))</f>
        <v>0</v>
      </c>
    </row>
    <row r="4239">
      <c r="S4239" s="15" t="str">
        <f>IF(J4239="","",J4239&amp;"|"&amp;E4239&amp;"|"&amp;F4239&amp;"|"&amp;I4239&amp;"|"&amp;O4239)</f>
        <v/>
      </c>
      <c r="T4239" s="15" t="str">
        <f>IF(OR(S4239="",D4239&lt;&gt;"Vastgesteld"),"",_xlfn.MAXIFS($G$6:$G$5005,$S$6:$S$5005,S4239,$D$6:$D$5005,"Vastgesteld"))</f>
        <v/>
      </c>
      <c r="U4239" s="15">
        <f>IF(T4239="",0,IF(AND(G4239=T4239,COUNTIFS($S$6:S4239,S4239,$G$6:G4239,G4239,$D$6:D4239,"Vastgesteld")=1),1,0))</f>
        <v>0</v>
      </c>
      <c r="V4239" s="15">
        <f>IF(T4239="",0,IF(AND(G4239=T4239,COUNTIFS($S$6:S4239,S4239,$G$6:G4239,G4239,$D$6:D4239,"Vastgesteld")&gt;1),1,0))</f>
        <v>0</v>
      </c>
    </row>
    <row r="4240">
      <c r="S4240" s="15" t="str">
        <f>IF(J4240="","",J4240&amp;"|"&amp;E4240&amp;"|"&amp;F4240&amp;"|"&amp;I4240&amp;"|"&amp;O4240)</f>
        <v/>
      </c>
      <c r="T4240" s="15" t="str">
        <f>IF(OR(S4240="",D4240&lt;&gt;"Vastgesteld"),"",_xlfn.MAXIFS($G$6:$G$5005,$S$6:$S$5005,S4240,$D$6:$D$5005,"Vastgesteld"))</f>
        <v/>
      </c>
      <c r="U4240" s="15">
        <f>IF(T4240="",0,IF(AND(G4240=T4240,COUNTIFS($S$6:S4240,S4240,$G$6:G4240,G4240,$D$6:D4240,"Vastgesteld")=1),1,0))</f>
        <v>0</v>
      </c>
      <c r="V4240" s="15">
        <f>IF(T4240="",0,IF(AND(G4240=T4240,COUNTIFS($S$6:S4240,S4240,$G$6:G4240,G4240,$D$6:D4240,"Vastgesteld")&gt;1),1,0))</f>
        <v>0</v>
      </c>
    </row>
    <row r="4241">
      <c r="S4241" s="15" t="str">
        <f>IF(J4241="","",J4241&amp;"|"&amp;E4241&amp;"|"&amp;F4241&amp;"|"&amp;I4241&amp;"|"&amp;O4241)</f>
        <v/>
      </c>
      <c r="T4241" s="15" t="str">
        <f>IF(OR(S4241="",D4241&lt;&gt;"Vastgesteld"),"",_xlfn.MAXIFS($G$6:$G$5005,$S$6:$S$5005,S4241,$D$6:$D$5005,"Vastgesteld"))</f>
        <v/>
      </c>
      <c r="U4241" s="15">
        <f>IF(T4241="",0,IF(AND(G4241=T4241,COUNTIFS($S$6:S4241,S4241,$G$6:G4241,G4241,$D$6:D4241,"Vastgesteld")=1),1,0))</f>
        <v>0</v>
      </c>
      <c r="V4241" s="15">
        <f>IF(T4241="",0,IF(AND(G4241=T4241,COUNTIFS($S$6:S4241,S4241,$G$6:G4241,G4241,$D$6:D4241,"Vastgesteld")&gt;1),1,0))</f>
        <v>0</v>
      </c>
    </row>
    <row r="4242">
      <c r="S4242" s="15" t="str">
        <f>IF(J4242="","",J4242&amp;"|"&amp;E4242&amp;"|"&amp;F4242&amp;"|"&amp;I4242&amp;"|"&amp;O4242)</f>
        <v/>
      </c>
      <c r="T4242" s="15" t="str">
        <f>IF(OR(S4242="",D4242&lt;&gt;"Vastgesteld"),"",_xlfn.MAXIFS($G$6:$G$5005,$S$6:$S$5005,S4242,$D$6:$D$5005,"Vastgesteld"))</f>
        <v/>
      </c>
      <c r="U4242" s="15">
        <f>IF(T4242="",0,IF(AND(G4242=T4242,COUNTIFS($S$6:S4242,S4242,$G$6:G4242,G4242,$D$6:D4242,"Vastgesteld")=1),1,0))</f>
        <v>0</v>
      </c>
      <c r="V4242" s="15">
        <f>IF(T4242="",0,IF(AND(G4242=T4242,COUNTIFS($S$6:S4242,S4242,$G$6:G4242,G4242,$D$6:D4242,"Vastgesteld")&gt;1),1,0))</f>
        <v>0</v>
      </c>
    </row>
    <row r="4243">
      <c r="S4243" s="15" t="str">
        <f>IF(J4243="","",J4243&amp;"|"&amp;E4243&amp;"|"&amp;F4243&amp;"|"&amp;I4243&amp;"|"&amp;O4243)</f>
        <v/>
      </c>
      <c r="T4243" s="15" t="str">
        <f>IF(OR(S4243="",D4243&lt;&gt;"Vastgesteld"),"",_xlfn.MAXIFS($G$6:$G$5005,$S$6:$S$5005,S4243,$D$6:$D$5005,"Vastgesteld"))</f>
        <v/>
      </c>
      <c r="U4243" s="15">
        <f>IF(T4243="",0,IF(AND(G4243=T4243,COUNTIFS($S$6:S4243,S4243,$G$6:G4243,G4243,$D$6:D4243,"Vastgesteld")=1),1,0))</f>
        <v>0</v>
      </c>
      <c r="V4243" s="15">
        <f>IF(T4243="",0,IF(AND(G4243=T4243,COUNTIFS($S$6:S4243,S4243,$G$6:G4243,G4243,$D$6:D4243,"Vastgesteld")&gt;1),1,0))</f>
        <v>0</v>
      </c>
    </row>
    <row r="4244">
      <c r="S4244" s="15" t="str">
        <f>IF(J4244="","",J4244&amp;"|"&amp;E4244&amp;"|"&amp;F4244&amp;"|"&amp;I4244&amp;"|"&amp;O4244)</f>
        <v/>
      </c>
      <c r="T4244" s="15" t="str">
        <f>IF(OR(S4244="",D4244&lt;&gt;"Vastgesteld"),"",_xlfn.MAXIFS($G$6:$G$5005,$S$6:$S$5005,S4244,$D$6:$D$5005,"Vastgesteld"))</f>
        <v/>
      </c>
      <c r="U4244" s="15">
        <f>IF(T4244="",0,IF(AND(G4244=T4244,COUNTIFS($S$6:S4244,S4244,$G$6:G4244,G4244,$D$6:D4244,"Vastgesteld")=1),1,0))</f>
        <v>0</v>
      </c>
      <c r="V4244" s="15">
        <f>IF(T4244="",0,IF(AND(G4244=T4244,COUNTIFS($S$6:S4244,S4244,$G$6:G4244,G4244,$D$6:D4244,"Vastgesteld")&gt;1),1,0))</f>
        <v>0</v>
      </c>
    </row>
    <row r="4245">
      <c r="S4245" s="15" t="str">
        <f>IF(J4245="","",J4245&amp;"|"&amp;E4245&amp;"|"&amp;F4245&amp;"|"&amp;I4245&amp;"|"&amp;O4245)</f>
        <v/>
      </c>
      <c r="T4245" s="15" t="str">
        <f>IF(OR(S4245="",D4245&lt;&gt;"Vastgesteld"),"",_xlfn.MAXIFS($G$6:$G$5005,$S$6:$S$5005,S4245,$D$6:$D$5005,"Vastgesteld"))</f>
        <v/>
      </c>
      <c r="U4245" s="15">
        <f>IF(T4245="",0,IF(AND(G4245=T4245,COUNTIFS($S$6:S4245,S4245,$G$6:G4245,G4245,$D$6:D4245,"Vastgesteld")=1),1,0))</f>
        <v>0</v>
      </c>
      <c r="V4245" s="15">
        <f>IF(T4245="",0,IF(AND(G4245=T4245,COUNTIFS($S$6:S4245,S4245,$G$6:G4245,G4245,$D$6:D4245,"Vastgesteld")&gt;1),1,0))</f>
        <v>0</v>
      </c>
    </row>
    <row r="4246">
      <c r="S4246" s="15" t="str">
        <f>IF(J4246="","",J4246&amp;"|"&amp;E4246&amp;"|"&amp;F4246&amp;"|"&amp;I4246&amp;"|"&amp;O4246)</f>
        <v/>
      </c>
      <c r="T4246" s="15" t="str">
        <f>IF(OR(S4246="",D4246&lt;&gt;"Vastgesteld"),"",_xlfn.MAXIFS($G$6:$G$5005,$S$6:$S$5005,S4246,$D$6:$D$5005,"Vastgesteld"))</f>
        <v/>
      </c>
      <c r="U4246" s="15">
        <f>IF(T4246="",0,IF(AND(G4246=T4246,COUNTIFS($S$6:S4246,S4246,$G$6:G4246,G4246,$D$6:D4246,"Vastgesteld")=1),1,0))</f>
        <v>0</v>
      </c>
      <c r="V4246" s="15">
        <f>IF(T4246="",0,IF(AND(G4246=T4246,COUNTIFS($S$6:S4246,S4246,$G$6:G4246,G4246,$D$6:D4246,"Vastgesteld")&gt;1),1,0))</f>
        <v>0</v>
      </c>
    </row>
    <row r="4247">
      <c r="S4247" s="15" t="str">
        <f>IF(J4247="","",J4247&amp;"|"&amp;E4247&amp;"|"&amp;F4247&amp;"|"&amp;I4247&amp;"|"&amp;O4247)</f>
        <v/>
      </c>
      <c r="T4247" s="15" t="str">
        <f>IF(OR(S4247="",D4247&lt;&gt;"Vastgesteld"),"",_xlfn.MAXIFS($G$6:$G$5005,$S$6:$S$5005,S4247,$D$6:$D$5005,"Vastgesteld"))</f>
        <v/>
      </c>
      <c r="U4247" s="15">
        <f>IF(T4247="",0,IF(AND(G4247=T4247,COUNTIFS($S$6:S4247,S4247,$G$6:G4247,G4247,$D$6:D4247,"Vastgesteld")=1),1,0))</f>
        <v>0</v>
      </c>
      <c r="V4247" s="15">
        <f>IF(T4247="",0,IF(AND(G4247=T4247,COUNTIFS($S$6:S4247,S4247,$G$6:G4247,G4247,$D$6:D4247,"Vastgesteld")&gt;1),1,0))</f>
        <v>0</v>
      </c>
    </row>
    <row r="4248">
      <c r="S4248" s="15" t="str">
        <f>IF(J4248="","",J4248&amp;"|"&amp;E4248&amp;"|"&amp;F4248&amp;"|"&amp;I4248&amp;"|"&amp;O4248)</f>
        <v/>
      </c>
      <c r="T4248" s="15" t="str">
        <f>IF(OR(S4248="",D4248&lt;&gt;"Vastgesteld"),"",_xlfn.MAXIFS($G$6:$G$5005,$S$6:$S$5005,S4248,$D$6:$D$5005,"Vastgesteld"))</f>
        <v/>
      </c>
      <c r="U4248" s="15">
        <f>IF(T4248="",0,IF(AND(G4248=T4248,COUNTIFS($S$6:S4248,S4248,$G$6:G4248,G4248,$D$6:D4248,"Vastgesteld")=1),1,0))</f>
        <v>0</v>
      </c>
      <c r="V4248" s="15">
        <f>IF(T4248="",0,IF(AND(G4248=T4248,COUNTIFS($S$6:S4248,S4248,$G$6:G4248,G4248,$D$6:D4248,"Vastgesteld")&gt;1),1,0))</f>
        <v>0</v>
      </c>
    </row>
    <row r="4249">
      <c r="S4249" s="15" t="str">
        <f>IF(J4249="","",J4249&amp;"|"&amp;E4249&amp;"|"&amp;F4249&amp;"|"&amp;I4249&amp;"|"&amp;O4249)</f>
        <v/>
      </c>
      <c r="T4249" s="15" t="str">
        <f>IF(OR(S4249="",D4249&lt;&gt;"Vastgesteld"),"",_xlfn.MAXIFS($G$6:$G$5005,$S$6:$S$5005,S4249,$D$6:$D$5005,"Vastgesteld"))</f>
        <v/>
      </c>
      <c r="U4249" s="15">
        <f>IF(T4249="",0,IF(AND(G4249=T4249,COUNTIFS($S$6:S4249,S4249,$G$6:G4249,G4249,$D$6:D4249,"Vastgesteld")=1),1,0))</f>
        <v>0</v>
      </c>
      <c r="V4249" s="15">
        <f>IF(T4249="",0,IF(AND(G4249=T4249,COUNTIFS($S$6:S4249,S4249,$G$6:G4249,G4249,$D$6:D4249,"Vastgesteld")&gt;1),1,0))</f>
        <v>0</v>
      </c>
    </row>
    <row r="4250">
      <c r="S4250" s="15" t="str">
        <f>IF(J4250="","",J4250&amp;"|"&amp;E4250&amp;"|"&amp;F4250&amp;"|"&amp;I4250&amp;"|"&amp;O4250)</f>
        <v/>
      </c>
      <c r="T4250" s="15" t="str">
        <f>IF(OR(S4250="",D4250&lt;&gt;"Vastgesteld"),"",_xlfn.MAXIFS($G$6:$G$5005,$S$6:$S$5005,S4250,$D$6:$D$5005,"Vastgesteld"))</f>
        <v/>
      </c>
      <c r="U4250" s="15">
        <f>IF(T4250="",0,IF(AND(G4250=T4250,COUNTIFS($S$6:S4250,S4250,$G$6:G4250,G4250,$D$6:D4250,"Vastgesteld")=1),1,0))</f>
        <v>0</v>
      </c>
      <c r="V4250" s="15">
        <f>IF(T4250="",0,IF(AND(G4250=T4250,COUNTIFS($S$6:S4250,S4250,$G$6:G4250,G4250,$D$6:D4250,"Vastgesteld")&gt;1),1,0))</f>
        <v>0</v>
      </c>
    </row>
    <row r="4251">
      <c r="S4251" s="15" t="str">
        <f>IF(J4251="","",J4251&amp;"|"&amp;E4251&amp;"|"&amp;F4251&amp;"|"&amp;I4251&amp;"|"&amp;O4251)</f>
        <v/>
      </c>
      <c r="T4251" s="15" t="str">
        <f>IF(OR(S4251="",D4251&lt;&gt;"Vastgesteld"),"",_xlfn.MAXIFS($G$6:$G$5005,$S$6:$S$5005,S4251,$D$6:$D$5005,"Vastgesteld"))</f>
        <v/>
      </c>
      <c r="U4251" s="15">
        <f>IF(T4251="",0,IF(AND(G4251=T4251,COUNTIFS($S$6:S4251,S4251,$G$6:G4251,G4251,$D$6:D4251,"Vastgesteld")=1),1,0))</f>
        <v>0</v>
      </c>
      <c r="V4251" s="15">
        <f>IF(T4251="",0,IF(AND(G4251=T4251,COUNTIFS($S$6:S4251,S4251,$G$6:G4251,G4251,$D$6:D4251,"Vastgesteld")&gt;1),1,0))</f>
        <v>0</v>
      </c>
    </row>
    <row r="4252">
      <c r="S4252" s="15" t="str">
        <f>IF(J4252="","",J4252&amp;"|"&amp;E4252&amp;"|"&amp;F4252&amp;"|"&amp;I4252&amp;"|"&amp;O4252)</f>
        <v/>
      </c>
      <c r="T4252" s="15" t="str">
        <f>IF(OR(S4252="",D4252&lt;&gt;"Vastgesteld"),"",_xlfn.MAXIFS($G$6:$G$5005,$S$6:$S$5005,S4252,$D$6:$D$5005,"Vastgesteld"))</f>
        <v/>
      </c>
      <c r="U4252" s="15">
        <f>IF(T4252="",0,IF(AND(G4252=T4252,COUNTIFS($S$6:S4252,S4252,$G$6:G4252,G4252,$D$6:D4252,"Vastgesteld")=1),1,0))</f>
        <v>0</v>
      </c>
      <c r="V4252" s="15">
        <f>IF(T4252="",0,IF(AND(G4252=T4252,COUNTIFS($S$6:S4252,S4252,$G$6:G4252,G4252,$D$6:D4252,"Vastgesteld")&gt;1),1,0))</f>
        <v>0</v>
      </c>
    </row>
    <row r="4253">
      <c r="S4253" s="15" t="str">
        <f>IF(J4253="","",J4253&amp;"|"&amp;E4253&amp;"|"&amp;F4253&amp;"|"&amp;I4253&amp;"|"&amp;O4253)</f>
        <v/>
      </c>
      <c r="T4253" s="15" t="str">
        <f>IF(OR(S4253="",D4253&lt;&gt;"Vastgesteld"),"",_xlfn.MAXIFS($G$6:$G$5005,$S$6:$S$5005,S4253,$D$6:$D$5005,"Vastgesteld"))</f>
        <v/>
      </c>
      <c r="U4253" s="15">
        <f>IF(T4253="",0,IF(AND(G4253=T4253,COUNTIFS($S$6:S4253,S4253,$G$6:G4253,G4253,$D$6:D4253,"Vastgesteld")=1),1,0))</f>
        <v>0</v>
      </c>
      <c r="V4253" s="15">
        <f>IF(T4253="",0,IF(AND(G4253=T4253,COUNTIFS($S$6:S4253,S4253,$G$6:G4253,G4253,$D$6:D4253,"Vastgesteld")&gt;1),1,0))</f>
        <v>0</v>
      </c>
    </row>
    <row r="4254">
      <c r="S4254" s="15" t="str">
        <f>IF(J4254="","",J4254&amp;"|"&amp;E4254&amp;"|"&amp;F4254&amp;"|"&amp;I4254&amp;"|"&amp;O4254)</f>
        <v/>
      </c>
      <c r="T4254" s="15" t="str">
        <f>IF(OR(S4254="",D4254&lt;&gt;"Vastgesteld"),"",_xlfn.MAXIFS($G$6:$G$5005,$S$6:$S$5005,S4254,$D$6:$D$5005,"Vastgesteld"))</f>
        <v/>
      </c>
      <c r="U4254" s="15">
        <f>IF(T4254="",0,IF(AND(G4254=T4254,COUNTIFS($S$6:S4254,S4254,$G$6:G4254,G4254,$D$6:D4254,"Vastgesteld")=1),1,0))</f>
        <v>0</v>
      </c>
      <c r="V4254" s="15">
        <f>IF(T4254="",0,IF(AND(G4254=T4254,COUNTIFS($S$6:S4254,S4254,$G$6:G4254,G4254,$D$6:D4254,"Vastgesteld")&gt;1),1,0))</f>
        <v>0</v>
      </c>
    </row>
    <row r="4255">
      <c r="S4255" s="15" t="str">
        <f>IF(J4255="","",J4255&amp;"|"&amp;E4255&amp;"|"&amp;F4255&amp;"|"&amp;I4255&amp;"|"&amp;O4255)</f>
        <v/>
      </c>
      <c r="T4255" s="15" t="str">
        <f>IF(OR(S4255="",D4255&lt;&gt;"Vastgesteld"),"",_xlfn.MAXIFS($G$6:$G$5005,$S$6:$S$5005,S4255,$D$6:$D$5005,"Vastgesteld"))</f>
        <v/>
      </c>
      <c r="U4255" s="15">
        <f>IF(T4255="",0,IF(AND(G4255=T4255,COUNTIFS($S$6:S4255,S4255,$G$6:G4255,G4255,$D$6:D4255,"Vastgesteld")=1),1,0))</f>
        <v>0</v>
      </c>
      <c r="V4255" s="15">
        <f>IF(T4255="",0,IF(AND(G4255=T4255,COUNTIFS($S$6:S4255,S4255,$G$6:G4255,G4255,$D$6:D4255,"Vastgesteld")&gt;1),1,0))</f>
        <v>0</v>
      </c>
    </row>
    <row r="4256">
      <c r="S4256" s="15" t="str">
        <f>IF(J4256="","",J4256&amp;"|"&amp;E4256&amp;"|"&amp;F4256&amp;"|"&amp;I4256&amp;"|"&amp;O4256)</f>
        <v/>
      </c>
      <c r="T4256" s="15" t="str">
        <f>IF(OR(S4256="",D4256&lt;&gt;"Vastgesteld"),"",_xlfn.MAXIFS($G$6:$G$5005,$S$6:$S$5005,S4256,$D$6:$D$5005,"Vastgesteld"))</f>
        <v/>
      </c>
      <c r="U4256" s="15">
        <f>IF(T4256="",0,IF(AND(G4256=T4256,COUNTIFS($S$6:S4256,S4256,$G$6:G4256,G4256,$D$6:D4256,"Vastgesteld")=1),1,0))</f>
        <v>0</v>
      </c>
      <c r="V4256" s="15">
        <f>IF(T4256="",0,IF(AND(G4256=T4256,COUNTIFS($S$6:S4256,S4256,$G$6:G4256,G4256,$D$6:D4256,"Vastgesteld")&gt;1),1,0))</f>
        <v>0</v>
      </c>
    </row>
    <row r="4257">
      <c r="S4257" s="15" t="str">
        <f>IF(J4257="","",J4257&amp;"|"&amp;E4257&amp;"|"&amp;F4257&amp;"|"&amp;I4257&amp;"|"&amp;O4257)</f>
        <v/>
      </c>
      <c r="T4257" s="15" t="str">
        <f>IF(OR(S4257="",D4257&lt;&gt;"Vastgesteld"),"",_xlfn.MAXIFS($G$6:$G$5005,$S$6:$S$5005,S4257,$D$6:$D$5005,"Vastgesteld"))</f>
        <v/>
      </c>
      <c r="U4257" s="15">
        <f>IF(T4257="",0,IF(AND(G4257=T4257,COUNTIFS($S$6:S4257,S4257,$G$6:G4257,G4257,$D$6:D4257,"Vastgesteld")=1),1,0))</f>
        <v>0</v>
      </c>
      <c r="V4257" s="15">
        <f>IF(T4257="",0,IF(AND(G4257=T4257,COUNTIFS($S$6:S4257,S4257,$G$6:G4257,G4257,$D$6:D4257,"Vastgesteld")&gt;1),1,0))</f>
        <v>0</v>
      </c>
    </row>
    <row r="4258">
      <c r="S4258" s="15" t="str">
        <f>IF(J4258="","",J4258&amp;"|"&amp;E4258&amp;"|"&amp;F4258&amp;"|"&amp;I4258&amp;"|"&amp;O4258)</f>
        <v/>
      </c>
      <c r="T4258" s="15" t="str">
        <f>IF(OR(S4258="",D4258&lt;&gt;"Vastgesteld"),"",_xlfn.MAXIFS($G$6:$G$5005,$S$6:$S$5005,S4258,$D$6:$D$5005,"Vastgesteld"))</f>
        <v/>
      </c>
      <c r="U4258" s="15">
        <f>IF(T4258="",0,IF(AND(G4258=T4258,COUNTIFS($S$6:S4258,S4258,$G$6:G4258,G4258,$D$6:D4258,"Vastgesteld")=1),1,0))</f>
        <v>0</v>
      </c>
      <c r="V4258" s="15">
        <f>IF(T4258="",0,IF(AND(G4258=T4258,COUNTIFS($S$6:S4258,S4258,$G$6:G4258,G4258,$D$6:D4258,"Vastgesteld")&gt;1),1,0))</f>
        <v>0</v>
      </c>
    </row>
    <row r="4259">
      <c r="S4259" s="15" t="str">
        <f>IF(J4259="","",J4259&amp;"|"&amp;E4259&amp;"|"&amp;F4259&amp;"|"&amp;I4259&amp;"|"&amp;O4259)</f>
        <v/>
      </c>
      <c r="T4259" s="15" t="str">
        <f>IF(OR(S4259="",D4259&lt;&gt;"Vastgesteld"),"",_xlfn.MAXIFS($G$6:$G$5005,$S$6:$S$5005,S4259,$D$6:$D$5005,"Vastgesteld"))</f>
        <v/>
      </c>
      <c r="U4259" s="15">
        <f>IF(T4259="",0,IF(AND(G4259=T4259,COUNTIFS($S$6:S4259,S4259,$G$6:G4259,G4259,$D$6:D4259,"Vastgesteld")=1),1,0))</f>
        <v>0</v>
      </c>
      <c r="V4259" s="15">
        <f>IF(T4259="",0,IF(AND(G4259=T4259,COUNTIFS($S$6:S4259,S4259,$G$6:G4259,G4259,$D$6:D4259,"Vastgesteld")&gt;1),1,0))</f>
        <v>0</v>
      </c>
    </row>
    <row r="4260">
      <c r="S4260" s="15" t="str">
        <f>IF(J4260="","",J4260&amp;"|"&amp;E4260&amp;"|"&amp;F4260&amp;"|"&amp;I4260&amp;"|"&amp;O4260)</f>
        <v/>
      </c>
      <c r="T4260" s="15" t="str">
        <f>IF(OR(S4260="",D4260&lt;&gt;"Vastgesteld"),"",_xlfn.MAXIFS($G$6:$G$5005,$S$6:$S$5005,S4260,$D$6:$D$5005,"Vastgesteld"))</f>
        <v/>
      </c>
      <c r="U4260" s="15">
        <f>IF(T4260="",0,IF(AND(G4260=T4260,COUNTIFS($S$6:S4260,S4260,$G$6:G4260,G4260,$D$6:D4260,"Vastgesteld")=1),1,0))</f>
        <v>0</v>
      </c>
      <c r="V4260" s="15">
        <f>IF(T4260="",0,IF(AND(G4260=T4260,COUNTIFS($S$6:S4260,S4260,$G$6:G4260,G4260,$D$6:D4260,"Vastgesteld")&gt;1),1,0))</f>
        <v>0</v>
      </c>
    </row>
    <row r="4261">
      <c r="S4261" s="15" t="str">
        <f>IF(J4261="","",J4261&amp;"|"&amp;E4261&amp;"|"&amp;F4261&amp;"|"&amp;I4261&amp;"|"&amp;O4261)</f>
        <v/>
      </c>
      <c r="T4261" s="15" t="str">
        <f>IF(OR(S4261="",D4261&lt;&gt;"Vastgesteld"),"",_xlfn.MAXIFS($G$6:$G$5005,$S$6:$S$5005,S4261,$D$6:$D$5005,"Vastgesteld"))</f>
        <v/>
      </c>
      <c r="U4261" s="15">
        <f>IF(T4261="",0,IF(AND(G4261=T4261,COUNTIFS($S$6:S4261,S4261,$G$6:G4261,G4261,$D$6:D4261,"Vastgesteld")=1),1,0))</f>
        <v>0</v>
      </c>
      <c r="V4261" s="15">
        <f>IF(T4261="",0,IF(AND(G4261=T4261,COUNTIFS($S$6:S4261,S4261,$G$6:G4261,G4261,$D$6:D4261,"Vastgesteld")&gt;1),1,0))</f>
        <v>0</v>
      </c>
    </row>
    <row r="4262">
      <c r="S4262" s="15" t="str">
        <f>IF(J4262="","",J4262&amp;"|"&amp;E4262&amp;"|"&amp;F4262&amp;"|"&amp;I4262&amp;"|"&amp;O4262)</f>
        <v/>
      </c>
      <c r="T4262" s="15" t="str">
        <f>IF(OR(S4262="",D4262&lt;&gt;"Vastgesteld"),"",_xlfn.MAXIFS($G$6:$G$5005,$S$6:$S$5005,S4262,$D$6:$D$5005,"Vastgesteld"))</f>
        <v/>
      </c>
      <c r="U4262" s="15">
        <f>IF(T4262="",0,IF(AND(G4262=T4262,COUNTIFS($S$6:S4262,S4262,$G$6:G4262,G4262,$D$6:D4262,"Vastgesteld")=1),1,0))</f>
        <v>0</v>
      </c>
      <c r="V4262" s="15">
        <f>IF(T4262="",0,IF(AND(G4262=T4262,COUNTIFS($S$6:S4262,S4262,$G$6:G4262,G4262,$D$6:D4262,"Vastgesteld")&gt;1),1,0))</f>
        <v>0</v>
      </c>
    </row>
    <row r="4263">
      <c r="S4263" s="15" t="str">
        <f>IF(J4263="","",J4263&amp;"|"&amp;E4263&amp;"|"&amp;F4263&amp;"|"&amp;I4263&amp;"|"&amp;O4263)</f>
        <v/>
      </c>
      <c r="T4263" s="15" t="str">
        <f>IF(OR(S4263="",D4263&lt;&gt;"Vastgesteld"),"",_xlfn.MAXIFS($G$6:$G$5005,$S$6:$S$5005,S4263,$D$6:$D$5005,"Vastgesteld"))</f>
        <v/>
      </c>
      <c r="U4263" s="15">
        <f>IF(T4263="",0,IF(AND(G4263=T4263,COUNTIFS($S$6:S4263,S4263,$G$6:G4263,G4263,$D$6:D4263,"Vastgesteld")=1),1,0))</f>
        <v>0</v>
      </c>
      <c r="V4263" s="15">
        <f>IF(T4263="",0,IF(AND(G4263=T4263,COUNTIFS($S$6:S4263,S4263,$G$6:G4263,G4263,$D$6:D4263,"Vastgesteld")&gt;1),1,0))</f>
        <v>0</v>
      </c>
    </row>
    <row r="4264">
      <c r="S4264" s="15" t="str">
        <f>IF(J4264="","",J4264&amp;"|"&amp;E4264&amp;"|"&amp;F4264&amp;"|"&amp;I4264&amp;"|"&amp;O4264)</f>
        <v/>
      </c>
      <c r="T4264" s="15" t="str">
        <f>IF(OR(S4264="",D4264&lt;&gt;"Vastgesteld"),"",_xlfn.MAXIFS($G$6:$G$5005,$S$6:$S$5005,S4264,$D$6:$D$5005,"Vastgesteld"))</f>
        <v/>
      </c>
      <c r="U4264" s="15">
        <f>IF(T4264="",0,IF(AND(G4264=T4264,COUNTIFS($S$6:S4264,S4264,$G$6:G4264,G4264,$D$6:D4264,"Vastgesteld")=1),1,0))</f>
        <v>0</v>
      </c>
      <c r="V4264" s="15">
        <f>IF(T4264="",0,IF(AND(G4264=T4264,COUNTIFS($S$6:S4264,S4264,$G$6:G4264,G4264,$D$6:D4264,"Vastgesteld")&gt;1),1,0))</f>
        <v>0</v>
      </c>
    </row>
    <row r="4265">
      <c r="S4265" s="15" t="str">
        <f>IF(J4265="","",J4265&amp;"|"&amp;E4265&amp;"|"&amp;F4265&amp;"|"&amp;I4265&amp;"|"&amp;O4265)</f>
        <v/>
      </c>
      <c r="T4265" s="15" t="str">
        <f>IF(OR(S4265="",D4265&lt;&gt;"Vastgesteld"),"",_xlfn.MAXIFS($G$6:$G$5005,$S$6:$S$5005,S4265,$D$6:$D$5005,"Vastgesteld"))</f>
        <v/>
      </c>
      <c r="U4265" s="15">
        <f>IF(T4265="",0,IF(AND(G4265=T4265,COUNTIFS($S$6:S4265,S4265,$G$6:G4265,G4265,$D$6:D4265,"Vastgesteld")=1),1,0))</f>
        <v>0</v>
      </c>
      <c r="V4265" s="15">
        <f>IF(T4265="",0,IF(AND(G4265=T4265,COUNTIFS($S$6:S4265,S4265,$G$6:G4265,G4265,$D$6:D4265,"Vastgesteld")&gt;1),1,0))</f>
        <v>0</v>
      </c>
    </row>
    <row r="4266">
      <c r="S4266" s="15" t="str">
        <f>IF(J4266="","",J4266&amp;"|"&amp;E4266&amp;"|"&amp;F4266&amp;"|"&amp;I4266&amp;"|"&amp;O4266)</f>
        <v/>
      </c>
      <c r="T4266" s="15" t="str">
        <f>IF(OR(S4266="",D4266&lt;&gt;"Vastgesteld"),"",_xlfn.MAXIFS($G$6:$G$5005,$S$6:$S$5005,S4266,$D$6:$D$5005,"Vastgesteld"))</f>
        <v/>
      </c>
      <c r="U4266" s="15">
        <f>IF(T4266="",0,IF(AND(G4266=T4266,COUNTIFS($S$6:S4266,S4266,$G$6:G4266,G4266,$D$6:D4266,"Vastgesteld")=1),1,0))</f>
        <v>0</v>
      </c>
      <c r="V4266" s="15">
        <f>IF(T4266="",0,IF(AND(G4266=T4266,COUNTIFS($S$6:S4266,S4266,$G$6:G4266,G4266,$D$6:D4266,"Vastgesteld")&gt;1),1,0))</f>
        <v>0</v>
      </c>
    </row>
    <row r="4267">
      <c r="S4267" s="15" t="str">
        <f>IF(J4267="","",J4267&amp;"|"&amp;E4267&amp;"|"&amp;F4267&amp;"|"&amp;I4267&amp;"|"&amp;O4267)</f>
        <v/>
      </c>
      <c r="T4267" s="15" t="str">
        <f>IF(OR(S4267="",D4267&lt;&gt;"Vastgesteld"),"",_xlfn.MAXIFS($G$6:$G$5005,$S$6:$S$5005,S4267,$D$6:$D$5005,"Vastgesteld"))</f>
        <v/>
      </c>
      <c r="U4267" s="15">
        <f>IF(T4267="",0,IF(AND(G4267=T4267,COUNTIFS($S$6:S4267,S4267,$G$6:G4267,G4267,$D$6:D4267,"Vastgesteld")=1),1,0))</f>
        <v>0</v>
      </c>
      <c r="V4267" s="15">
        <f>IF(T4267="",0,IF(AND(G4267=T4267,COUNTIFS($S$6:S4267,S4267,$G$6:G4267,G4267,$D$6:D4267,"Vastgesteld")&gt;1),1,0))</f>
        <v>0</v>
      </c>
    </row>
    <row r="4268">
      <c r="S4268" s="15" t="str">
        <f>IF(J4268="","",J4268&amp;"|"&amp;E4268&amp;"|"&amp;F4268&amp;"|"&amp;I4268&amp;"|"&amp;O4268)</f>
        <v/>
      </c>
      <c r="T4268" s="15" t="str">
        <f>IF(OR(S4268="",D4268&lt;&gt;"Vastgesteld"),"",_xlfn.MAXIFS($G$6:$G$5005,$S$6:$S$5005,S4268,$D$6:$D$5005,"Vastgesteld"))</f>
        <v/>
      </c>
      <c r="U4268" s="15">
        <f>IF(T4268="",0,IF(AND(G4268=T4268,COUNTIFS($S$6:S4268,S4268,$G$6:G4268,G4268,$D$6:D4268,"Vastgesteld")=1),1,0))</f>
        <v>0</v>
      </c>
      <c r="V4268" s="15">
        <f>IF(T4268="",0,IF(AND(G4268=T4268,COUNTIFS($S$6:S4268,S4268,$G$6:G4268,G4268,$D$6:D4268,"Vastgesteld")&gt;1),1,0))</f>
        <v>0</v>
      </c>
    </row>
    <row r="4269">
      <c r="S4269" s="15" t="str">
        <f>IF(J4269="","",J4269&amp;"|"&amp;E4269&amp;"|"&amp;F4269&amp;"|"&amp;I4269&amp;"|"&amp;O4269)</f>
        <v/>
      </c>
      <c r="T4269" s="15" t="str">
        <f>IF(OR(S4269="",D4269&lt;&gt;"Vastgesteld"),"",_xlfn.MAXIFS($G$6:$G$5005,$S$6:$S$5005,S4269,$D$6:$D$5005,"Vastgesteld"))</f>
        <v/>
      </c>
      <c r="U4269" s="15">
        <f>IF(T4269="",0,IF(AND(G4269=T4269,COUNTIFS($S$6:S4269,S4269,$G$6:G4269,G4269,$D$6:D4269,"Vastgesteld")=1),1,0))</f>
        <v>0</v>
      </c>
      <c r="V4269" s="15">
        <f>IF(T4269="",0,IF(AND(G4269=T4269,COUNTIFS($S$6:S4269,S4269,$G$6:G4269,G4269,$D$6:D4269,"Vastgesteld")&gt;1),1,0))</f>
        <v>0</v>
      </c>
    </row>
    <row r="4270">
      <c r="S4270" s="15" t="str">
        <f>IF(J4270="","",J4270&amp;"|"&amp;E4270&amp;"|"&amp;F4270&amp;"|"&amp;I4270&amp;"|"&amp;O4270)</f>
        <v/>
      </c>
      <c r="T4270" s="15" t="str">
        <f>IF(OR(S4270="",D4270&lt;&gt;"Vastgesteld"),"",_xlfn.MAXIFS($G$6:$G$5005,$S$6:$S$5005,S4270,$D$6:$D$5005,"Vastgesteld"))</f>
        <v/>
      </c>
      <c r="U4270" s="15">
        <f>IF(T4270="",0,IF(AND(G4270=T4270,COUNTIFS($S$6:S4270,S4270,$G$6:G4270,G4270,$D$6:D4270,"Vastgesteld")=1),1,0))</f>
        <v>0</v>
      </c>
      <c r="V4270" s="15">
        <f>IF(T4270="",0,IF(AND(G4270=T4270,COUNTIFS($S$6:S4270,S4270,$G$6:G4270,G4270,$D$6:D4270,"Vastgesteld")&gt;1),1,0))</f>
        <v>0</v>
      </c>
    </row>
    <row r="4271">
      <c r="S4271" s="15" t="str">
        <f>IF(J4271="","",J4271&amp;"|"&amp;E4271&amp;"|"&amp;F4271&amp;"|"&amp;I4271&amp;"|"&amp;O4271)</f>
        <v/>
      </c>
      <c r="T4271" s="15" t="str">
        <f>IF(OR(S4271="",D4271&lt;&gt;"Vastgesteld"),"",_xlfn.MAXIFS($G$6:$G$5005,$S$6:$S$5005,S4271,$D$6:$D$5005,"Vastgesteld"))</f>
        <v/>
      </c>
      <c r="U4271" s="15">
        <f>IF(T4271="",0,IF(AND(G4271=T4271,COUNTIFS($S$6:S4271,S4271,$G$6:G4271,G4271,$D$6:D4271,"Vastgesteld")=1),1,0))</f>
        <v>0</v>
      </c>
      <c r="V4271" s="15">
        <f>IF(T4271="",0,IF(AND(G4271=T4271,COUNTIFS($S$6:S4271,S4271,$G$6:G4271,G4271,$D$6:D4271,"Vastgesteld")&gt;1),1,0))</f>
        <v>0</v>
      </c>
    </row>
    <row r="4272">
      <c r="S4272" s="15" t="str">
        <f>IF(J4272="","",J4272&amp;"|"&amp;E4272&amp;"|"&amp;F4272&amp;"|"&amp;I4272&amp;"|"&amp;O4272)</f>
        <v/>
      </c>
      <c r="T4272" s="15" t="str">
        <f>IF(OR(S4272="",D4272&lt;&gt;"Vastgesteld"),"",_xlfn.MAXIFS($G$6:$G$5005,$S$6:$S$5005,S4272,$D$6:$D$5005,"Vastgesteld"))</f>
        <v/>
      </c>
      <c r="U4272" s="15">
        <f>IF(T4272="",0,IF(AND(G4272=T4272,COUNTIFS($S$6:S4272,S4272,$G$6:G4272,G4272,$D$6:D4272,"Vastgesteld")=1),1,0))</f>
        <v>0</v>
      </c>
      <c r="V4272" s="15">
        <f>IF(T4272="",0,IF(AND(G4272=T4272,COUNTIFS($S$6:S4272,S4272,$G$6:G4272,G4272,$D$6:D4272,"Vastgesteld")&gt;1),1,0))</f>
        <v>0</v>
      </c>
    </row>
    <row r="4273">
      <c r="S4273" s="15" t="str">
        <f>IF(J4273="","",J4273&amp;"|"&amp;E4273&amp;"|"&amp;F4273&amp;"|"&amp;I4273&amp;"|"&amp;O4273)</f>
        <v/>
      </c>
      <c r="T4273" s="15" t="str">
        <f>IF(OR(S4273="",D4273&lt;&gt;"Vastgesteld"),"",_xlfn.MAXIFS($G$6:$G$5005,$S$6:$S$5005,S4273,$D$6:$D$5005,"Vastgesteld"))</f>
        <v/>
      </c>
      <c r="U4273" s="15">
        <f>IF(T4273="",0,IF(AND(G4273=T4273,COUNTIFS($S$6:S4273,S4273,$G$6:G4273,G4273,$D$6:D4273,"Vastgesteld")=1),1,0))</f>
        <v>0</v>
      </c>
      <c r="V4273" s="15">
        <f>IF(T4273="",0,IF(AND(G4273=T4273,COUNTIFS($S$6:S4273,S4273,$G$6:G4273,G4273,$D$6:D4273,"Vastgesteld")&gt;1),1,0))</f>
        <v>0</v>
      </c>
    </row>
    <row r="4274">
      <c r="S4274" s="15" t="str">
        <f>IF(J4274="","",J4274&amp;"|"&amp;E4274&amp;"|"&amp;F4274&amp;"|"&amp;I4274&amp;"|"&amp;O4274)</f>
        <v/>
      </c>
      <c r="T4274" s="15" t="str">
        <f>IF(OR(S4274="",D4274&lt;&gt;"Vastgesteld"),"",_xlfn.MAXIFS($G$6:$G$5005,$S$6:$S$5005,S4274,$D$6:$D$5005,"Vastgesteld"))</f>
        <v/>
      </c>
      <c r="U4274" s="15">
        <f>IF(T4274="",0,IF(AND(G4274=T4274,COUNTIFS($S$6:S4274,S4274,$G$6:G4274,G4274,$D$6:D4274,"Vastgesteld")=1),1,0))</f>
        <v>0</v>
      </c>
      <c r="V4274" s="15">
        <f>IF(T4274="",0,IF(AND(G4274=T4274,COUNTIFS($S$6:S4274,S4274,$G$6:G4274,G4274,$D$6:D4274,"Vastgesteld")&gt;1),1,0))</f>
        <v>0</v>
      </c>
    </row>
    <row r="4275">
      <c r="S4275" s="15" t="str">
        <f>IF(J4275="","",J4275&amp;"|"&amp;E4275&amp;"|"&amp;F4275&amp;"|"&amp;I4275&amp;"|"&amp;O4275)</f>
        <v/>
      </c>
      <c r="T4275" s="15" t="str">
        <f>IF(OR(S4275="",D4275&lt;&gt;"Vastgesteld"),"",_xlfn.MAXIFS($G$6:$G$5005,$S$6:$S$5005,S4275,$D$6:$D$5005,"Vastgesteld"))</f>
        <v/>
      </c>
      <c r="U4275" s="15">
        <f>IF(T4275="",0,IF(AND(G4275=T4275,COUNTIFS($S$6:S4275,S4275,$G$6:G4275,G4275,$D$6:D4275,"Vastgesteld")=1),1,0))</f>
        <v>0</v>
      </c>
      <c r="V4275" s="15">
        <f>IF(T4275="",0,IF(AND(G4275=T4275,COUNTIFS($S$6:S4275,S4275,$G$6:G4275,G4275,$D$6:D4275,"Vastgesteld")&gt;1),1,0))</f>
        <v>0</v>
      </c>
    </row>
    <row r="4276">
      <c r="S4276" s="15" t="str">
        <f>IF(J4276="","",J4276&amp;"|"&amp;E4276&amp;"|"&amp;F4276&amp;"|"&amp;I4276&amp;"|"&amp;O4276)</f>
        <v/>
      </c>
      <c r="T4276" s="15" t="str">
        <f>IF(OR(S4276="",D4276&lt;&gt;"Vastgesteld"),"",_xlfn.MAXIFS($G$6:$G$5005,$S$6:$S$5005,S4276,$D$6:$D$5005,"Vastgesteld"))</f>
        <v/>
      </c>
      <c r="U4276" s="15">
        <f>IF(T4276="",0,IF(AND(G4276=T4276,COUNTIFS($S$6:S4276,S4276,$G$6:G4276,G4276,$D$6:D4276,"Vastgesteld")=1),1,0))</f>
        <v>0</v>
      </c>
      <c r="V4276" s="15">
        <f>IF(T4276="",0,IF(AND(G4276=T4276,COUNTIFS($S$6:S4276,S4276,$G$6:G4276,G4276,$D$6:D4276,"Vastgesteld")&gt;1),1,0))</f>
        <v>0</v>
      </c>
    </row>
    <row r="4277">
      <c r="S4277" s="15" t="str">
        <f>IF(J4277="","",J4277&amp;"|"&amp;E4277&amp;"|"&amp;F4277&amp;"|"&amp;I4277&amp;"|"&amp;O4277)</f>
        <v/>
      </c>
      <c r="T4277" s="15" t="str">
        <f>IF(OR(S4277="",D4277&lt;&gt;"Vastgesteld"),"",_xlfn.MAXIFS($G$6:$G$5005,$S$6:$S$5005,S4277,$D$6:$D$5005,"Vastgesteld"))</f>
        <v/>
      </c>
      <c r="U4277" s="15">
        <f>IF(T4277="",0,IF(AND(G4277=T4277,COUNTIFS($S$6:S4277,S4277,$G$6:G4277,G4277,$D$6:D4277,"Vastgesteld")=1),1,0))</f>
        <v>0</v>
      </c>
      <c r="V4277" s="15">
        <f>IF(T4277="",0,IF(AND(G4277=T4277,COUNTIFS($S$6:S4277,S4277,$G$6:G4277,G4277,$D$6:D4277,"Vastgesteld")&gt;1),1,0))</f>
        <v>0</v>
      </c>
    </row>
    <row r="4278">
      <c r="S4278" s="15" t="str">
        <f>IF(J4278="","",J4278&amp;"|"&amp;E4278&amp;"|"&amp;F4278&amp;"|"&amp;I4278&amp;"|"&amp;O4278)</f>
        <v/>
      </c>
      <c r="T4278" s="15" t="str">
        <f>IF(OR(S4278="",D4278&lt;&gt;"Vastgesteld"),"",_xlfn.MAXIFS($G$6:$G$5005,$S$6:$S$5005,S4278,$D$6:$D$5005,"Vastgesteld"))</f>
        <v/>
      </c>
      <c r="U4278" s="15">
        <f>IF(T4278="",0,IF(AND(G4278=T4278,COUNTIFS($S$6:S4278,S4278,$G$6:G4278,G4278,$D$6:D4278,"Vastgesteld")=1),1,0))</f>
        <v>0</v>
      </c>
      <c r="V4278" s="15">
        <f>IF(T4278="",0,IF(AND(G4278=T4278,COUNTIFS($S$6:S4278,S4278,$G$6:G4278,G4278,$D$6:D4278,"Vastgesteld")&gt;1),1,0))</f>
        <v>0</v>
      </c>
    </row>
    <row r="4279">
      <c r="S4279" s="15" t="str">
        <f>IF(J4279="","",J4279&amp;"|"&amp;E4279&amp;"|"&amp;F4279&amp;"|"&amp;I4279&amp;"|"&amp;O4279)</f>
        <v/>
      </c>
      <c r="T4279" s="15" t="str">
        <f>IF(OR(S4279="",D4279&lt;&gt;"Vastgesteld"),"",_xlfn.MAXIFS($G$6:$G$5005,$S$6:$S$5005,S4279,$D$6:$D$5005,"Vastgesteld"))</f>
        <v/>
      </c>
      <c r="U4279" s="15">
        <f>IF(T4279="",0,IF(AND(G4279=T4279,COUNTIFS($S$6:S4279,S4279,$G$6:G4279,G4279,$D$6:D4279,"Vastgesteld")=1),1,0))</f>
        <v>0</v>
      </c>
      <c r="V4279" s="15">
        <f>IF(T4279="",0,IF(AND(G4279=T4279,COUNTIFS($S$6:S4279,S4279,$G$6:G4279,G4279,$D$6:D4279,"Vastgesteld")&gt;1),1,0))</f>
        <v>0</v>
      </c>
    </row>
    <row r="4280">
      <c r="S4280" s="15" t="str">
        <f>IF(J4280="","",J4280&amp;"|"&amp;E4280&amp;"|"&amp;F4280&amp;"|"&amp;I4280&amp;"|"&amp;O4280)</f>
        <v/>
      </c>
      <c r="T4280" s="15" t="str">
        <f>IF(OR(S4280="",D4280&lt;&gt;"Vastgesteld"),"",_xlfn.MAXIFS($G$6:$G$5005,$S$6:$S$5005,S4280,$D$6:$D$5005,"Vastgesteld"))</f>
        <v/>
      </c>
      <c r="U4280" s="15">
        <f>IF(T4280="",0,IF(AND(G4280=T4280,COUNTIFS($S$6:S4280,S4280,$G$6:G4280,G4280,$D$6:D4280,"Vastgesteld")=1),1,0))</f>
        <v>0</v>
      </c>
      <c r="V4280" s="15">
        <f>IF(T4280="",0,IF(AND(G4280=T4280,COUNTIFS($S$6:S4280,S4280,$G$6:G4280,G4280,$D$6:D4280,"Vastgesteld")&gt;1),1,0))</f>
        <v>0</v>
      </c>
    </row>
    <row r="4281">
      <c r="S4281" s="15" t="str">
        <f>IF(J4281="","",J4281&amp;"|"&amp;E4281&amp;"|"&amp;F4281&amp;"|"&amp;I4281&amp;"|"&amp;O4281)</f>
        <v/>
      </c>
      <c r="T4281" s="15" t="str">
        <f>IF(OR(S4281="",D4281&lt;&gt;"Vastgesteld"),"",_xlfn.MAXIFS($G$6:$G$5005,$S$6:$S$5005,S4281,$D$6:$D$5005,"Vastgesteld"))</f>
        <v/>
      </c>
      <c r="U4281" s="15">
        <f>IF(T4281="",0,IF(AND(G4281=T4281,COUNTIFS($S$6:S4281,S4281,$G$6:G4281,G4281,$D$6:D4281,"Vastgesteld")=1),1,0))</f>
        <v>0</v>
      </c>
      <c r="V4281" s="15">
        <f>IF(T4281="",0,IF(AND(G4281=T4281,COUNTIFS($S$6:S4281,S4281,$G$6:G4281,G4281,$D$6:D4281,"Vastgesteld")&gt;1),1,0))</f>
        <v>0</v>
      </c>
    </row>
    <row r="4282">
      <c r="S4282" s="15" t="str">
        <f>IF(J4282="","",J4282&amp;"|"&amp;E4282&amp;"|"&amp;F4282&amp;"|"&amp;I4282&amp;"|"&amp;O4282)</f>
        <v/>
      </c>
      <c r="T4282" s="15" t="str">
        <f>IF(OR(S4282="",D4282&lt;&gt;"Vastgesteld"),"",_xlfn.MAXIFS($G$6:$G$5005,$S$6:$S$5005,S4282,$D$6:$D$5005,"Vastgesteld"))</f>
        <v/>
      </c>
      <c r="U4282" s="15">
        <f>IF(T4282="",0,IF(AND(G4282=T4282,COUNTIFS($S$6:S4282,S4282,$G$6:G4282,G4282,$D$6:D4282,"Vastgesteld")=1),1,0))</f>
        <v>0</v>
      </c>
      <c r="V4282" s="15">
        <f>IF(T4282="",0,IF(AND(G4282=T4282,COUNTIFS($S$6:S4282,S4282,$G$6:G4282,G4282,$D$6:D4282,"Vastgesteld")&gt;1),1,0))</f>
        <v>0</v>
      </c>
    </row>
    <row r="4283">
      <c r="S4283" s="15" t="str">
        <f>IF(J4283="","",J4283&amp;"|"&amp;E4283&amp;"|"&amp;F4283&amp;"|"&amp;I4283&amp;"|"&amp;O4283)</f>
        <v/>
      </c>
      <c r="T4283" s="15" t="str">
        <f>IF(OR(S4283="",D4283&lt;&gt;"Vastgesteld"),"",_xlfn.MAXIFS($G$6:$G$5005,$S$6:$S$5005,S4283,$D$6:$D$5005,"Vastgesteld"))</f>
        <v/>
      </c>
      <c r="U4283" s="15">
        <f>IF(T4283="",0,IF(AND(G4283=T4283,COUNTIFS($S$6:S4283,S4283,$G$6:G4283,G4283,$D$6:D4283,"Vastgesteld")=1),1,0))</f>
        <v>0</v>
      </c>
      <c r="V4283" s="15">
        <f>IF(T4283="",0,IF(AND(G4283=T4283,COUNTIFS($S$6:S4283,S4283,$G$6:G4283,G4283,$D$6:D4283,"Vastgesteld")&gt;1),1,0))</f>
        <v>0</v>
      </c>
    </row>
    <row r="4284">
      <c r="S4284" s="15" t="str">
        <f>IF(J4284="","",J4284&amp;"|"&amp;E4284&amp;"|"&amp;F4284&amp;"|"&amp;I4284&amp;"|"&amp;O4284)</f>
        <v/>
      </c>
      <c r="T4284" s="15" t="str">
        <f>IF(OR(S4284="",D4284&lt;&gt;"Vastgesteld"),"",_xlfn.MAXIFS($G$6:$G$5005,$S$6:$S$5005,S4284,$D$6:$D$5005,"Vastgesteld"))</f>
        <v/>
      </c>
      <c r="U4284" s="15">
        <f>IF(T4284="",0,IF(AND(G4284=T4284,COUNTIFS($S$6:S4284,S4284,$G$6:G4284,G4284,$D$6:D4284,"Vastgesteld")=1),1,0))</f>
        <v>0</v>
      </c>
      <c r="V4284" s="15">
        <f>IF(T4284="",0,IF(AND(G4284=T4284,COUNTIFS($S$6:S4284,S4284,$G$6:G4284,G4284,$D$6:D4284,"Vastgesteld")&gt;1),1,0))</f>
        <v>0</v>
      </c>
    </row>
    <row r="4285">
      <c r="S4285" s="15" t="str">
        <f>IF(J4285="","",J4285&amp;"|"&amp;E4285&amp;"|"&amp;F4285&amp;"|"&amp;I4285&amp;"|"&amp;O4285)</f>
        <v/>
      </c>
      <c r="T4285" s="15" t="str">
        <f>IF(OR(S4285="",D4285&lt;&gt;"Vastgesteld"),"",_xlfn.MAXIFS($G$6:$G$5005,$S$6:$S$5005,S4285,$D$6:$D$5005,"Vastgesteld"))</f>
        <v/>
      </c>
      <c r="U4285" s="15">
        <f>IF(T4285="",0,IF(AND(G4285=T4285,COUNTIFS($S$6:S4285,S4285,$G$6:G4285,G4285,$D$6:D4285,"Vastgesteld")=1),1,0))</f>
        <v>0</v>
      </c>
      <c r="V4285" s="15">
        <f>IF(T4285="",0,IF(AND(G4285=T4285,COUNTIFS($S$6:S4285,S4285,$G$6:G4285,G4285,$D$6:D4285,"Vastgesteld")&gt;1),1,0))</f>
        <v>0</v>
      </c>
    </row>
    <row r="4286">
      <c r="S4286" s="15" t="str">
        <f>IF(J4286="","",J4286&amp;"|"&amp;E4286&amp;"|"&amp;F4286&amp;"|"&amp;I4286&amp;"|"&amp;O4286)</f>
        <v/>
      </c>
      <c r="T4286" s="15" t="str">
        <f>IF(OR(S4286="",D4286&lt;&gt;"Vastgesteld"),"",_xlfn.MAXIFS($G$6:$G$5005,$S$6:$S$5005,S4286,$D$6:$D$5005,"Vastgesteld"))</f>
        <v/>
      </c>
      <c r="U4286" s="15">
        <f>IF(T4286="",0,IF(AND(G4286=T4286,COUNTIFS($S$6:S4286,S4286,$G$6:G4286,G4286,$D$6:D4286,"Vastgesteld")=1),1,0))</f>
        <v>0</v>
      </c>
      <c r="V4286" s="15">
        <f>IF(T4286="",0,IF(AND(G4286=T4286,COUNTIFS($S$6:S4286,S4286,$G$6:G4286,G4286,$D$6:D4286,"Vastgesteld")&gt;1),1,0))</f>
        <v>0</v>
      </c>
    </row>
    <row r="4287">
      <c r="S4287" s="15" t="str">
        <f>IF(J4287="","",J4287&amp;"|"&amp;E4287&amp;"|"&amp;F4287&amp;"|"&amp;I4287&amp;"|"&amp;O4287)</f>
        <v/>
      </c>
      <c r="T4287" s="15" t="str">
        <f>IF(OR(S4287="",D4287&lt;&gt;"Vastgesteld"),"",_xlfn.MAXIFS($G$6:$G$5005,$S$6:$S$5005,S4287,$D$6:$D$5005,"Vastgesteld"))</f>
        <v/>
      </c>
      <c r="U4287" s="15">
        <f>IF(T4287="",0,IF(AND(G4287=T4287,COUNTIFS($S$6:S4287,S4287,$G$6:G4287,G4287,$D$6:D4287,"Vastgesteld")=1),1,0))</f>
        <v>0</v>
      </c>
      <c r="V4287" s="15">
        <f>IF(T4287="",0,IF(AND(G4287=T4287,COUNTIFS($S$6:S4287,S4287,$G$6:G4287,G4287,$D$6:D4287,"Vastgesteld")&gt;1),1,0))</f>
        <v>0</v>
      </c>
    </row>
    <row r="4288">
      <c r="S4288" s="15" t="str">
        <f>IF(J4288="","",J4288&amp;"|"&amp;E4288&amp;"|"&amp;F4288&amp;"|"&amp;I4288&amp;"|"&amp;O4288)</f>
        <v/>
      </c>
      <c r="T4288" s="15" t="str">
        <f>IF(OR(S4288="",D4288&lt;&gt;"Vastgesteld"),"",_xlfn.MAXIFS($G$6:$G$5005,$S$6:$S$5005,S4288,$D$6:$D$5005,"Vastgesteld"))</f>
        <v/>
      </c>
      <c r="U4288" s="15">
        <f>IF(T4288="",0,IF(AND(G4288=T4288,COUNTIFS($S$6:S4288,S4288,$G$6:G4288,G4288,$D$6:D4288,"Vastgesteld")=1),1,0))</f>
        <v>0</v>
      </c>
      <c r="V4288" s="15">
        <f>IF(T4288="",0,IF(AND(G4288=T4288,COUNTIFS($S$6:S4288,S4288,$G$6:G4288,G4288,$D$6:D4288,"Vastgesteld")&gt;1),1,0))</f>
        <v>0</v>
      </c>
    </row>
    <row r="4289">
      <c r="S4289" s="15" t="str">
        <f>IF(J4289="","",J4289&amp;"|"&amp;E4289&amp;"|"&amp;F4289&amp;"|"&amp;I4289&amp;"|"&amp;O4289)</f>
        <v/>
      </c>
      <c r="T4289" s="15" t="str">
        <f>IF(OR(S4289="",D4289&lt;&gt;"Vastgesteld"),"",_xlfn.MAXIFS($G$6:$G$5005,$S$6:$S$5005,S4289,$D$6:$D$5005,"Vastgesteld"))</f>
        <v/>
      </c>
      <c r="U4289" s="15">
        <f>IF(T4289="",0,IF(AND(G4289=T4289,COUNTIFS($S$6:S4289,S4289,$G$6:G4289,G4289,$D$6:D4289,"Vastgesteld")=1),1,0))</f>
        <v>0</v>
      </c>
      <c r="V4289" s="15">
        <f>IF(T4289="",0,IF(AND(G4289=T4289,COUNTIFS($S$6:S4289,S4289,$G$6:G4289,G4289,$D$6:D4289,"Vastgesteld")&gt;1),1,0))</f>
        <v>0</v>
      </c>
    </row>
    <row r="4290">
      <c r="S4290" s="15" t="str">
        <f>IF(J4290="","",J4290&amp;"|"&amp;E4290&amp;"|"&amp;F4290&amp;"|"&amp;I4290&amp;"|"&amp;O4290)</f>
        <v/>
      </c>
      <c r="T4290" s="15" t="str">
        <f>IF(OR(S4290="",D4290&lt;&gt;"Vastgesteld"),"",_xlfn.MAXIFS($G$6:$G$5005,$S$6:$S$5005,S4290,$D$6:$D$5005,"Vastgesteld"))</f>
        <v/>
      </c>
      <c r="U4290" s="15">
        <f>IF(T4290="",0,IF(AND(G4290=T4290,COUNTIFS($S$6:S4290,S4290,$G$6:G4290,G4290,$D$6:D4290,"Vastgesteld")=1),1,0))</f>
        <v>0</v>
      </c>
      <c r="V4290" s="15">
        <f>IF(T4290="",0,IF(AND(G4290=T4290,COUNTIFS($S$6:S4290,S4290,$G$6:G4290,G4290,$D$6:D4290,"Vastgesteld")&gt;1),1,0))</f>
        <v>0</v>
      </c>
    </row>
    <row r="4291">
      <c r="S4291" s="15" t="str">
        <f>IF(J4291="","",J4291&amp;"|"&amp;E4291&amp;"|"&amp;F4291&amp;"|"&amp;I4291&amp;"|"&amp;O4291)</f>
        <v/>
      </c>
      <c r="T4291" s="15" t="str">
        <f>IF(OR(S4291="",D4291&lt;&gt;"Vastgesteld"),"",_xlfn.MAXIFS($G$6:$G$5005,$S$6:$S$5005,S4291,$D$6:$D$5005,"Vastgesteld"))</f>
        <v/>
      </c>
      <c r="U4291" s="15">
        <f>IF(T4291="",0,IF(AND(G4291=T4291,COUNTIFS($S$6:S4291,S4291,$G$6:G4291,G4291,$D$6:D4291,"Vastgesteld")=1),1,0))</f>
        <v>0</v>
      </c>
      <c r="V4291" s="15">
        <f>IF(T4291="",0,IF(AND(G4291=T4291,COUNTIFS($S$6:S4291,S4291,$G$6:G4291,G4291,$D$6:D4291,"Vastgesteld")&gt;1),1,0))</f>
        <v>0</v>
      </c>
    </row>
    <row r="4292">
      <c r="S4292" s="15" t="str">
        <f>IF(J4292="","",J4292&amp;"|"&amp;E4292&amp;"|"&amp;F4292&amp;"|"&amp;I4292&amp;"|"&amp;O4292)</f>
        <v/>
      </c>
      <c r="T4292" s="15" t="str">
        <f>IF(OR(S4292="",D4292&lt;&gt;"Vastgesteld"),"",_xlfn.MAXIFS($G$6:$G$5005,$S$6:$S$5005,S4292,$D$6:$D$5005,"Vastgesteld"))</f>
        <v/>
      </c>
      <c r="U4292" s="15">
        <f>IF(T4292="",0,IF(AND(G4292=T4292,COUNTIFS($S$6:S4292,S4292,$G$6:G4292,G4292,$D$6:D4292,"Vastgesteld")=1),1,0))</f>
        <v>0</v>
      </c>
      <c r="V4292" s="15">
        <f>IF(T4292="",0,IF(AND(G4292=T4292,COUNTIFS($S$6:S4292,S4292,$G$6:G4292,G4292,$D$6:D4292,"Vastgesteld")&gt;1),1,0))</f>
        <v>0</v>
      </c>
    </row>
    <row r="4293">
      <c r="S4293" s="15" t="str">
        <f>IF(J4293="","",J4293&amp;"|"&amp;E4293&amp;"|"&amp;F4293&amp;"|"&amp;I4293&amp;"|"&amp;O4293)</f>
        <v/>
      </c>
      <c r="T4293" s="15" t="str">
        <f>IF(OR(S4293="",D4293&lt;&gt;"Vastgesteld"),"",_xlfn.MAXIFS($G$6:$G$5005,$S$6:$S$5005,S4293,$D$6:$D$5005,"Vastgesteld"))</f>
        <v/>
      </c>
      <c r="U4293" s="15">
        <f>IF(T4293="",0,IF(AND(G4293=T4293,COUNTIFS($S$6:S4293,S4293,$G$6:G4293,G4293,$D$6:D4293,"Vastgesteld")=1),1,0))</f>
        <v>0</v>
      </c>
      <c r="V4293" s="15">
        <f>IF(T4293="",0,IF(AND(G4293=T4293,COUNTIFS($S$6:S4293,S4293,$G$6:G4293,G4293,$D$6:D4293,"Vastgesteld")&gt;1),1,0))</f>
        <v>0</v>
      </c>
    </row>
    <row r="4294">
      <c r="S4294" s="15" t="str">
        <f>IF(J4294="","",J4294&amp;"|"&amp;E4294&amp;"|"&amp;F4294&amp;"|"&amp;I4294&amp;"|"&amp;O4294)</f>
        <v/>
      </c>
      <c r="T4294" s="15" t="str">
        <f>IF(OR(S4294="",D4294&lt;&gt;"Vastgesteld"),"",_xlfn.MAXIFS($G$6:$G$5005,$S$6:$S$5005,S4294,$D$6:$D$5005,"Vastgesteld"))</f>
        <v/>
      </c>
      <c r="U4294" s="15">
        <f>IF(T4294="",0,IF(AND(G4294=T4294,COUNTIFS($S$6:S4294,S4294,$G$6:G4294,G4294,$D$6:D4294,"Vastgesteld")=1),1,0))</f>
        <v>0</v>
      </c>
      <c r="V4294" s="15">
        <f>IF(T4294="",0,IF(AND(G4294=T4294,COUNTIFS($S$6:S4294,S4294,$G$6:G4294,G4294,$D$6:D4294,"Vastgesteld")&gt;1),1,0))</f>
        <v>0</v>
      </c>
    </row>
    <row r="4295">
      <c r="S4295" s="15" t="str">
        <f>IF(J4295="","",J4295&amp;"|"&amp;E4295&amp;"|"&amp;F4295&amp;"|"&amp;I4295&amp;"|"&amp;O4295)</f>
        <v/>
      </c>
      <c r="T4295" s="15" t="str">
        <f>IF(OR(S4295="",D4295&lt;&gt;"Vastgesteld"),"",_xlfn.MAXIFS($G$6:$G$5005,$S$6:$S$5005,S4295,$D$6:$D$5005,"Vastgesteld"))</f>
        <v/>
      </c>
      <c r="U4295" s="15">
        <f>IF(T4295="",0,IF(AND(G4295=T4295,COUNTIFS($S$6:S4295,S4295,$G$6:G4295,G4295,$D$6:D4295,"Vastgesteld")=1),1,0))</f>
        <v>0</v>
      </c>
      <c r="V4295" s="15">
        <f>IF(T4295="",0,IF(AND(G4295=T4295,COUNTIFS($S$6:S4295,S4295,$G$6:G4295,G4295,$D$6:D4295,"Vastgesteld")&gt;1),1,0))</f>
        <v>0</v>
      </c>
    </row>
    <row r="4296">
      <c r="S4296" s="15" t="str">
        <f>IF(J4296="","",J4296&amp;"|"&amp;E4296&amp;"|"&amp;F4296&amp;"|"&amp;I4296&amp;"|"&amp;O4296)</f>
        <v/>
      </c>
      <c r="T4296" s="15" t="str">
        <f>IF(OR(S4296="",D4296&lt;&gt;"Vastgesteld"),"",_xlfn.MAXIFS($G$6:$G$5005,$S$6:$S$5005,S4296,$D$6:$D$5005,"Vastgesteld"))</f>
        <v/>
      </c>
      <c r="U4296" s="15">
        <f>IF(T4296="",0,IF(AND(G4296=T4296,COUNTIFS($S$6:S4296,S4296,$G$6:G4296,G4296,$D$6:D4296,"Vastgesteld")=1),1,0))</f>
        <v>0</v>
      </c>
      <c r="V4296" s="15">
        <f>IF(T4296="",0,IF(AND(G4296=T4296,COUNTIFS($S$6:S4296,S4296,$G$6:G4296,G4296,$D$6:D4296,"Vastgesteld")&gt;1),1,0))</f>
        <v>0</v>
      </c>
    </row>
    <row r="4297">
      <c r="S4297" s="15" t="str">
        <f>IF(J4297="","",J4297&amp;"|"&amp;E4297&amp;"|"&amp;F4297&amp;"|"&amp;I4297&amp;"|"&amp;O4297)</f>
        <v/>
      </c>
      <c r="T4297" s="15" t="str">
        <f>IF(OR(S4297="",D4297&lt;&gt;"Vastgesteld"),"",_xlfn.MAXIFS($G$6:$G$5005,$S$6:$S$5005,S4297,$D$6:$D$5005,"Vastgesteld"))</f>
        <v/>
      </c>
      <c r="U4297" s="15">
        <f>IF(T4297="",0,IF(AND(G4297=T4297,COUNTIFS($S$6:S4297,S4297,$G$6:G4297,G4297,$D$6:D4297,"Vastgesteld")=1),1,0))</f>
        <v>0</v>
      </c>
      <c r="V4297" s="15">
        <f>IF(T4297="",0,IF(AND(G4297=T4297,COUNTIFS($S$6:S4297,S4297,$G$6:G4297,G4297,$D$6:D4297,"Vastgesteld")&gt;1),1,0))</f>
        <v>0</v>
      </c>
    </row>
    <row r="4298">
      <c r="S4298" s="15" t="str">
        <f>IF(J4298="","",J4298&amp;"|"&amp;E4298&amp;"|"&amp;F4298&amp;"|"&amp;I4298&amp;"|"&amp;O4298)</f>
        <v/>
      </c>
      <c r="T4298" s="15" t="str">
        <f>IF(OR(S4298="",D4298&lt;&gt;"Vastgesteld"),"",_xlfn.MAXIFS($G$6:$G$5005,$S$6:$S$5005,S4298,$D$6:$D$5005,"Vastgesteld"))</f>
        <v/>
      </c>
      <c r="U4298" s="15">
        <f>IF(T4298="",0,IF(AND(G4298=T4298,COUNTIFS($S$6:S4298,S4298,$G$6:G4298,G4298,$D$6:D4298,"Vastgesteld")=1),1,0))</f>
        <v>0</v>
      </c>
      <c r="V4298" s="15">
        <f>IF(T4298="",0,IF(AND(G4298=T4298,COUNTIFS($S$6:S4298,S4298,$G$6:G4298,G4298,$D$6:D4298,"Vastgesteld")&gt;1),1,0))</f>
        <v>0</v>
      </c>
    </row>
    <row r="4299">
      <c r="S4299" s="15" t="str">
        <f>IF(J4299="","",J4299&amp;"|"&amp;E4299&amp;"|"&amp;F4299&amp;"|"&amp;I4299&amp;"|"&amp;O4299)</f>
        <v/>
      </c>
      <c r="T4299" s="15" t="str">
        <f>IF(OR(S4299="",D4299&lt;&gt;"Vastgesteld"),"",_xlfn.MAXIFS($G$6:$G$5005,$S$6:$S$5005,S4299,$D$6:$D$5005,"Vastgesteld"))</f>
        <v/>
      </c>
      <c r="U4299" s="15">
        <f>IF(T4299="",0,IF(AND(G4299=T4299,COUNTIFS($S$6:S4299,S4299,$G$6:G4299,G4299,$D$6:D4299,"Vastgesteld")=1),1,0))</f>
        <v>0</v>
      </c>
      <c r="V4299" s="15">
        <f>IF(T4299="",0,IF(AND(G4299=T4299,COUNTIFS($S$6:S4299,S4299,$G$6:G4299,G4299,$D$6:D4299,"Vastgesteld")&gt;1),1,0))</f>
        <v>0</v>
      </c>
    </row>
    <row r="4300">
      <c r="S4300" s="15" t="str">
        <f>IF(J4300="","",J4300&amp;"|"&amp;E4300&amp;"|"&amp;F4300&amp;"|"&amp;I4300&amp;"|"&amp;O4300)</f>
        <v/>
      </c>
      <c r="T4300" s="15" t="str">
        <f>IF(OR(S4300="",D4300&lt;&gt;"Vastgesteld"),"",_xlfn.MAXIFS($G$6:$G$5005,$S$6:$S$5005,S4300,$D$6:$D$5005,"Vastgesteld"))</f>
        <v/>
      </c>
      <c r="U4300" s="15">
        <f>IF(T4300="",0,IF(AND(G4300=T4300,COUNTIFS($S$6:S4300,S4300,$G$6:G4300,G4300,$D$6:D4300,"Vastgesteld")=1),1,0))</f>
        <v>0</v>
      </c>
      <c r="V4300" s="15">
        <f>IF(T4300="",0,IF(AND(G4300=T4300,COUNTIFS($S$6:S4300,S4300,$G$6:G4300,G4300,$D$6:D4300,"Vastgesteld")&gt;1),1,0))</f>
        <v>0</v>
      </c>
    </row>
    <row r="4301">
      <c r="S4301" s="15" t="str">
        <f>IF(J4301="","",J4301&amp;"|"&amp;E4301&amp;"|"&amp;F4301&amp;"|"&amp;I4301&amp;"|"&amp;O4301)</f>
        <v/>
      </c>
      <c r="T4301" s="15" t="str">
        <f>IF(OR(S4301="",D4301&lt;&gt;"Vastgesteld"),"",_xlfn.MAXIFS($G$6:$G$5005,$S$6:$S$5005,S4301,$D$6:$D$5005,"Vastgesteld"))</f>
        <v/>
      </c>
      <c r="U4301" s="15">
        <f>IF(T4301="",0,IF(AND(G4301=T4301,COUNTIFS($S$6:S4301,S4301,$G$6:G4301,G4301,$D$6:D4301,"Vastgesteld")=1),1,0))</f>
        <v>0</v>
      </c>
      <c r="V4301" s="15">
        <f>IF(T4301="",0,IF(AND(G4301=T4301,COUNTIFS($S$6:S4301,S4301,$G$6:G4301,G4301,$D$6:D4301,"Vastgesteld")&gt;1),1,0))</f>
        <v>0</v>
      </c>
    </row>
    <row r="4302">
      <c r="S4302" s="15" t="str">
        <f>IF(J4302="","",J4302&amp;"|"&amp;E4302&amp;"|"&amp;F4302&amp;"|"&amp;I4302&amp;"|"&amp;O4302)</f>
        <v/>
      </c>
      <c r="T4302" s="15" t="str">
        <f>IF(OR(S4302="",D4302&lt;&gt;"Vastgesteld"),"",_xlfn.MAXIFS($G$6:$G$5005,$S$6:$S$5005,S4302,$D$6:$D$5005,"Vastgesteld"))</f>
        <v/>
      </c>
      <c r="U4302" s="15">
        <f>IF(T4302="",0,IF(AND(G4302=T4302,COUNTIFS($S$6:S4302,S4302,$G$6:G4302,G4302,$D$6:D4302,"Vastgesteld")=1),1,0))</f>
        <v>0</v>
      </c>
      <c r="V4302" s="15">
        <f>IF(T4302="",0,IF(AND(G4302=T4302,COUNTIFS($S$6:S4302,S4302,$G$6:G4302,G4302,$D$6:D4302,"Vastgesteld")&gt;1),1,0))</f>
        <v>0</v>
      </c>
    </row>
    <row r="4303">
      <c r="S4303" s="15" t="str">
        <f>IF(J4303="","",J4303&amp;"|"&amp;E4303&amp;"|"&amp;F4303&amp;"|"&amp;I4303&amp;"|"&amp;O4303)</f>
        <v/>
      </c>
      <c r="T4303" s="15" t="str">
        <f>IF(OR(S4303="",D4303&lt;&gt;"Vastgesteld"),"",_xlfn.MAXIFS($G$6:$G$5005,$S$6:$S$5005,S4303,$D$6:$D$5005,"Vastgesteld"))</f>
        <v/>
      </c>
      <c r="U4303" s="15">
        <f>IF(T4303="",0,IF(AND(G4303=T4303,COUNTIFS($S$6:S4303,S4303,$G$6:G4303,G4303,$D$6:D4303,"Vastgesteld")=1),1,0))</f>
        <v>0</v>
      </c>
      <c r="V4303" s="15">
        <f>IF(T4303="",0,IF(AND(G4303=T4303,COUNTIFS($S$6:S4303,S4303,$G$6:G4303,G4303,$D$6:D4303,"Vastgesteld")&gt;1),1,0))</f>
        <v>0</v>
      </c>
    </row>
    <row r="4304">
      <c r="S4304" s="15" t="str">
        <f>IF(J4304="","",J4304&amp;"|"&amp;E4304&amp;"|"&amp;F4304&amp;"|"&amp;I4304&amp;"|"&amp;O4304)</f>
        <v/>
      </c>
      <c r="T4304" s="15" t="str">
        <f>IF(OR(S4304="",D4304&lt;&gt;"Vastgesteld"),"",_xlfn.MAXIFS($G$6:$G$5005,$S$6:$S$5005,S4304,$D$6:$D$5005,"Vastgesteld"))</f>
        <v/>
      </c>
      <c r="U4304" s="15">
        <f>IF(T4304="",0,IF(AND(G4304=T4304,COUNTIFS($S$6:S4304,S4304,$G$6:G4304,G4304,$D$6:D4304,"Vastgesteld")=1),1,0))</f>
        <v>0</v>
      </c>
      <c r="V4304" s="15">
        <f>IF(T4304="",0,IF(AND(G4304=T4304,COUNTIFS($S$6:S4304,S4304,$G$6:G4304,G4304,$D$6:D4304,"Vastgesteld")&gt;1),1,0))</f>
        <v>0</v>
      </c>
    </row>
    <row r="4305">
      <c r="S4305" s="15" t="str">
        <f>IF(J4305="","",J4305&amp;"|"&amp;E4305&amp;"|"&amp;F4305&amp;"|"&amp;I4305&amp;"|"&amp;O4305)</f>
        <v/>
      </c>
      <c r="T4305" s="15" t="str">
        <f>IF(OR(S4305="",D4305&lt;&gt;"Vastgesteld"),"",_xlfn.MAXIFS($G$6:$G$5005,$S$6:$S$5005,S4305,$D$6:$D$5005,"Vastgesteld"))</f>
        <v/>
      </c>
      <c r="U4305" s="15">
        <f>IF(T4305="",0,IF(AND(G4305=T4305,COUNTIFS($S$6:S4305,S4305,$G$6:G4305,G4305,$D$6:D4305,"Vastgesteld")=1),1,0))</f>
        <v>0</v>
      </c>
      <c r="V4305" s="15">
        <f>IF(T4305="",0,IF(AND(G4305=T4305,COUNTIFS($S$6:S4305,S4305,$G$6:G4305,G4305,$D$6:D4305,"Vastgesteld")&gt;1),1,0))</f>
        <v>0</v>
      </c>
    </row>
    <row r="4306">
      <c r="S4306" s="15" t="str">
        <f>IF(J4306="","",J4306&amp;"|"&amp;E4306&amp;"|"&amp;F4306&amp;"|"&amp;I4306&amp;"|"&amp;O4306)</f>
        <v/>
      </c>
      <c r="T4306" s="15" t="str">
        <f>IF(OR(S4306="",D4306&lt;&gt;"Vastgesteld"),"",_xlfn.MAXIFS($G$6:$G$5005,$S$6:$S$5005,S4306,$D$6:$D$5005,"Vastgesteld"))</f>
        <v/>
      </c>
      <c r="U4306" s="15">
        <f>IF(T4306="",0,IF(AND(G4306=T4306,COUNTIFS($S$6:S4306,S4306,$G$6:G4306,G4306,$D$6:D4306,"Vastgesteld")=1),1,0))</f>
        <v>0</v>
      </c>
      <c r="V4306" s="15">
        <f>IF(T4306="",0,IF(AND(G4306=T4306,COUNTIFS($S$6:S4306,S4306,$G$6:G4306,G4306,$D$6:D4306,"Vastgesteld")&gt;1),1,0))</f>
        <v>0</v>
      </c>
    </row>
    <row r="4307">
      <c r="S4307" s="15" t="str">
        <f>IF(J4307="","",J4307&amp;"|"&amp;E4307&amp;"|"&amp;F4307&amp;"|"&amp;I4307&amp;"|"&amp;O4307)</f>
        <v/>
      </c>
      <c r="T4307" s="15" t="str">
        <f>IF(OR(S4307="",D4307&lt;&gt;"Vastgesteld"),"",_xlfn.MAXIFS($G$6:$G$5005,$S$6:$S$5005,S4307,$D$6:$D$5005,"Vastgesteld"))</f>
        <v/>
      </c>
      <c r="U4307" s="15">
        <f>IF(T4307="",0,IF(AND(G4307=T4307,COUNTIFS($S$6:S4307,S4307,$G$6:G4307,G4307,$D$6:D4307,"Vastgesteld")=1),1,0))</f>
        <v>0</v>
      </c>
      <c r="V4307" s="15">
        <f>IF(T4307="",0,IF(AND(G4307=T4307,COUNTIFS($S$6:S4307,S4307,$G$6:G4307,G4307,$D$6:D4307,"Vastgesteld")&gt;1),1,0))</f>
        <v>0</v>
      </c>
    </row>
    <row r="4308">
      <c r="S4308" s="15" t="str">
        <f>IF(J4308="","",J4308&amp;"|"&amp;E4308&amp;"|"&amp;F4308&amp;"|"&amp;I4308&amp;"|"&amp;O4308)</f>
        <v/>
      </c>
      <c r="T4308" s="15" t="str">
        <f>IF(OR(S4308="",D4308&lt;&gt;"Vastgesteld"),"",_xlfn.MAXIFS($G$6:$G$5005,$S$6:$S$5005,S4308,$D$6:$D$5005,"Vastgesteld"))</f>
        <v/>
      </c>
      <c r="U4308" s="15">
        <f>IF(T4308="",0,IF(AND(G4308=T4308,COUNTIFS($S$6:S4308,S4308,$G$6:G4308,G4308,$D$6:D4308,"Vastgesteld")=1),1,0))</f>
        <v>0</v>
      </c>
      <c r="V4308" s="15">
        <f>IF(T4308="",0,IF(AND(G4308=T4308,COUNTIFS($S$6:S4308,S4308,$G$6:G4308,G4308,$D$6:D4308,"Vastgesteld")&gt;1),1,0))</f>
        <v>0</v>
      </c>
    </row>
    <row r="4309">
      <c r="S4309" s="15" t="str">
        <f>IF(J4309="","",J4309&amp;"|"&amp;E4309&amp;"|"&amp;F4309&amp;"|"&amp;I4309&amp;"|"&amp;O4309)</f>
        <v/>
      </c>
      <c r="T4309" s="15" t="str">
        <f>IF(OR(S4309="",D4309&lt;&gt;"Vastgesteld"),"",_xlfn.MAXIFS($G$6:$G$5005,$S$6:$S$5005,S4309,$D$6:$D$5005,"Vastgesteld"))</f>
        <v/>
      </c>
      <c r="U4309" s="15">
        <f>IF(T4309="",0,IF(AND(G4309=T4309,COUNTIFS($S$6:S4309,S4309,$G$6:G4309,G4309,$D$6:D4309,"Vastgesteld")=1),1,0))</f>
        <v>0</v>
      </c>
      <c r="V4309" s="15">
        <f>IF(T4309="",0,IF(AND(G4309=T4309,COUNTIFS($S$6:S4309,S4309,$G$6:G4309,G4309,$D$6:D4309,"Vastgesteld")&gt;1),1,0))</f>
        <v>0</v>
      </c>
    </row>
    <row r="4310">
      <c r="S4310" s="15" t="str">
        <f>IF(J4310="","",J4310&amp;"|"&amp;E4310&amp;"|"&amp;F4310&amp;"|"&amp;I4310&amp;"|"&amp;O4310)</f>
        <v/>
      </c>
      <c r="T4310" s="15" t="str">
        <f>IF(OR(S4310="",D4310&lt;&gt;"Vastgesteld"),"",_xlfn.MAXIFS($G$6:$G$5005,$S$6:$S$5005,S4310,$D$6:$D$5005,"Vastgesteld"))</f>
        <v/>
      </c>
      <c r="U4310" s="15">
        <f>IF(T4310="",0,IF(AND(G4310=T4310,COUNTIFS($S$6:S4310,S4310,$G$6:G4310,G4310,$D$6:D4310,"Vastgesteld")=1),1,0))</f>
        <v>0</v>
      </c>
      <c r="V4310" s="15">
        <f>IF(T4310="",0,IF(AND(G4310=T4310,COUNTIFS($S$6:S4310,S4310,$G$6:G4310,G4310,$D$6:D4310,"Vastgesteld")&gt;1),1,0))</f>
        <v>0</v>
      </c>
    </row>
    <row r="4311">
      <c r="S4311" s="15" t="str">
        <f>IF(J4311="","",J4311&amp;"|"&amp;E4311&amp;"|"&amp;F4311&amp;"|"&amp;I4311&amp;"|"&amp;O4311)</f>
        <v/>
      </c>
      <c r="T4311" s="15" t="str">
        <f>IF(OR(S4311="",D4311&lt;&gt;"Vastgesteld"),"",_xlfn.MAXIFS($G$6:$G$5005,$S$6:$S$5005,S4311,$D$6:$D$5005,"Vastgesteld"))</f>
        <v/>
      </c>
      <c r="U4311" s="15">
        <f>IF(T4311="",0,IF(AND(G4311=T4311,COUNTIFS($S$6:S4311,S4311,$G$6:G4311,G4311,$D$6:D4311,"Vastgesteld")=1),1,0))</f>
        <v>0</v>
      </c>
      <c r="V4311" s="15">
        <f>IF(T4311="",0,IF(AND(G4311=T4311,COUNTIFS($S$6:S4311,S4311,$G$6:G4311,G4311,$D$6:D4311,"Vastgesteld")&gt;1),1,0))</f>
        <v>0</v>
      </c>
    </row>
    <row r="4312">
      <c r="S4312" s="15" t="str">
        <f>IF(J4312="","",J4312&amp;"|"&amp;E4312&amp;"|"&amp;F4312&amp;"|"&amp;I4312&amp;"|"&amp;O4312)</f>
        <v/>
      </c>
      <c r="T4312" s="15" t="str">
        <f>IF(OR(S4312="",D4312&lt;&gt;"Vastgesteld"),"",_xlfn.MAXIFS($G$6:$G$5005,$S$6:$S$5005,S4312,$D$6:$D$5005,"Vastgesteld"))</f>
        <v/>
      </c>
      <c r="U4312" s="15">
        <f>IF(T4312="",0,IF(AND(G4312=T4312,COUNTIFS($S$6:S4312,S4312,$G$6:G4312,G4312,$D$6:D4312,"Vastgesteld")=1),1,0))</f>
        <v>0</v>
      </c>
      <c r="V4312" s="15">
        <f>IF(T4312="",0,IF(AND(G4312=T4312,COUNTIFS($S$6:S4312,S4312,$G$6:G4312,G4312,$D$6:D4312,"Vastgesteld")&gt;1),1,0))</f>
        <v>0</v>
      </c>
    </row>
    <row r="4313">
      <c r="S4313" s="15" t="str">
        <f>IF(J4313="","",J4313&amp;"|"&amp;E4313&amp;"|"&amp;F4313&amp;"|"&amp;I4313&amp;"|"&amp;O4313)</f>
        <v/>
      </c>
      <c r="T4313" s="15" t="str">
        <f>IF(OR(S4313="",D4313&lt;&gt;"Vastgesteld"),"",_xlfn.MAXIFS($G$6:$G$5005,$S$6:$S$5005,S4313,$D$6:$D$5005,"Vastgesteld"))</f>
        <v/>
      </c>
      <c r="U4313" s="15">
        <f>IF(T4313="",0,IF(AND(G4313=T4313,COUNTIFS($S$6:S4313,S4313,$G$6:G4313,G4313,$D$6:D4313,"Vastgesteld")=1),1,0))</f>
        <v>0</v>
      </c>
      <c r="V4313" s="15">
        <f>IF(T4313="",0,IF(AND(G4313=T4313,COUNTIFS($S$6:S4313,S4313,$G$6:G4313,G4313,$D$6:D4313,"Vastgesteld")&gt;1),1,0))</f>
        <v>0</v>
      </c>
    </row>
    <row r="4314">
      <c r="S4314" s="15" t="str">
        <f>IF(J4314="","",J4314&amp;"|"&amp;E4314&amp;"|"&amp;F4314&amp;"|"&amp;I4314&amp;"|"&amp;O4314)</f>
        <v/>
      </c>
      <c r="T4314" s="15" t="str">
        <f>IF(OR(S4314="",D4314&lt;&gt;"Vastgesteld"),"",_xlfn.MAXIFS($G$6:$G$5005,$S$6:$S$5005,S4314,$D$6:$D$5005,"Vastgesteld"))</f>
        <v/>
      </c>
      <c r="U4314" s="15">
        <f>IF(T4314="",0,IF(AND(G4314=T4314,COUNTIFS($S$6:S4314,S4314,$G$6:G4314,G4314,$D$6:D4314,"Vastgesteld")=1),1,0))</f>
        <v>0</v>
      </c>
      <c r="V4314" s="15">
        <f>IF(T4314="",0,IF(AND(G4314=T4314,COUNTIFS($S$6:S4314,S4314,$G$6:G4314,G4314,$D$6:D4314,"Vastgesteld")&gt;1),1,0))</f>
        <v>0</v>
      </c>
    </row>
    <row r="4315">
      <c r="S4315" s="15" t="str">
        <f>IF(J4315="","",J4315&amp;"|"&amp;E4315&amp;"|"&amp;F4315&amp;"|"&amp;I4315&amp;"|"&amp;O4315)</f>
        <v/>
      </c>
      <c r="T4315" s="15" t="str">
        <f>IF(OR(S4315="",D4315&lt;&gt;"Vastgesteld"),"",_xlfn.MAXIFS($G$6:$G$5005,$S$6:$S$5005,S4315,$D$6:$D$5005,"Vastgesteld"))</f>
        <v/>
      </c>
      <c r="U4315" s="15">
        <f>IF(T4315="",0,IF(AND(G4315=T4315,COUNTIFS($S$6:S4315,S4315,$G$6:G4315,G4315,$D$6:D4315,"Vastgesteld")=1),1,0))</f>
        <v>0</v>
      </c>
      <c r="V4315" s="15">
        <f>IF(T4315="",0,IF(AND(G4315=T4315,COUNTIFS($S$6:S4315,S4315,$G$6:G4315,G4315,$D$6:D4315,"Vastgesteld")&gt;1),1,0))</f>
        <v>0</v>
      </c>
    </row>
    <row r="4316">
      <c r="S4316" s="15" t="str">
        <f>IF(J4316="","",J4316&amp;"|"&amp;E4316&amp;"|"&amp;F4316&amp;"|"&amp;I4316&amp;"|"&amp;O4316)</f>
        <v/>
      </c>
      <c r="T4316" s="15" t="str">
        <f>IF(OR(S4316="",D4316&lt;&gt;"Vastgesteld"),"",_xlfn.MAXIFS($G$6:$G$5005,$S$6:$S$5005,S4316,$D$6:$D$5005,"Vastgesteld"))</f>
        <v/>
      </c>
      <c r="U4316" s="15">
        <f>IF(T4316="",0,IF(AND(G4316=T4316,COUNTIFS($S$6:S4316,S4316,$G$6:G4316,G4316,$D$6:D4316,"Vastgesteld")=1),1,0))</f>
        <v>0</v>
      </c>
      <c r="V4316" s="15">
        <f>IF(T4316="",0,IF(AND(G4316=T4316,COUNTIFS($S$6:S4316,S4316,$G$6:G4316,G4316,$D$6:D4316,"Vastgesteld")&gt;1),1,0))</f>
        <v>0</v>
      </c>
    </row>
    <row r="4317">
      <c r="S4317" s="15" t="str">
        <f>IF(J4317="","",J4317&amp;"|"&amp;E4317&amp;"|"&amp;F4317&amp;"|"&amp;I4317&amp;"|"&amp;O4317)</f>
        <v/>
      </c>
      <c r="T4317" s="15" t="str">
        <f>IF(OR(S4317="",D4317&lt;&gt;"Vastgesteld"),"",_xlfn.MAXIFS($G$6:$G$5005,$S$6:$S$5005,S4317,$D$6:$D$5005,"Vastgesteld"))</f>
        <v/>
      </c>
      <c r="U4317" s="15">
        <f>IF(T4317="",0,IF(AND(G4317=T4317,COUNTIFS($S$6:S4317,S4317,$G$6:G4317,G4317,$D$6:D4317,"Vastgesteld")=1),1,0))</f>
        <v>0</v>
      </c>
      <c r="V4317" s="15">
        <f>IF(T4317="",0,IF(AND(G4317=T4317,COUNTIFS($S$6:S4317,S4317,$G$6:G4317,G4317,$D$6:D4317,"Vastgesteld")&gt;1),1,0))</f>
        <v>0</v>
      </c>
    </row>
    <row r="4318">
      <c r="S4318" s="15" t="str">
        <f>IF(J4318="","",J4318&amp;"|"&amp;E4318&amp;"|"&amp;F4318&amp;"|"&amp;I4318&amp;"|"&amp;O4318)</f>
        <v/>
      </c>
      <c r="T4318" s="15" t="str">
        <f>IF(OR(S4318="",D4318&lt;&gt;"Vastgesteld"),"",_xlfn.MAXIFS($G$6:$G$5005,$S$6:$S$5005,S4318,$D$6:$D$5005,"Vastgesteld"))</f>
        <v/>
      </c>
      <c r="U4318" s="15">
        <f>IF(T4318="",0,IF(AND(G4318=T4318,COUNTIFS($S$6:S4318,S4318,$G$6:G4318,G4318,$D$6:D4318,"Vastgesteld")=1),1,0))</f>
        <v>0</v>
      </c>
      <c r="V4318" s="15">
        <f>IF(T4318="",0,IF(AND(G4318=T4318,COUNTIFS($S$6:S4318,S4318,$G$6:G4318,G4318,$D$6:D4318,"Vastgesteld")&gt;1),1,0))</f>
        <v>0</v>
      </c>
    </row>
    <row r="4319">
      <c r="S4319" s="15" t="str">
        <f>IF(J4319="","",J4319&amp;"|"&amp;E4319&amp;"|"&amp;F4319&amp;"|"&amp;I4319&amp;"|"&amp;O4319)</f>
        <v/>
      </c>
      <c r="T4319" s="15" t="str">
        <f>IF(OR(S4319="",D4319&lt;&gt;"Vastgesteld"),"",_xlfn.MAXIFS($G$6:$G$5005,$S$6:$S$5005,S4319,$D$6:$D$5005,"Vastgesteld"))</f>
        <v/>
      </c>
      <c r="U4319" s="15">
        <f>IF(T4319="",0,IF(AND(G4319=T4319,COUNTIFS($S$6:S4319,S4319,$G$6:G4319,G4319,$D$6:D4319,"Vastgesteld")=1),1,0))</f>
        <v>0</v>
      </c>
      <c r="V4319" s="15">
        <f>IF(T4319="",0,IF(AND(G4319=T4319,COUNTIFS($S$6:S4319,S4319,$G$6:G4319,G4319,$D$6:D4319,"Vastgesteld")&gt;1),1,0))</f>
        <v>0</v>
      </c>
    </row>
    <row r="4320">
      <c r="S4320" s="15" t="str">
        <f>IF(J4320="","",J4320&amp;"|"&amp;E4320&amp;"|"&amp;F4320&amp;"|"&amp;I4320&amp;"|"&amp;O4320)</f>
        <v/>
      </c>
      <c r="T4320" s="15" t="str">
        <f>IF(OR(S4320="",D4320&lt;&gt;"Vastgesteld"),"",_xlfn.MAXIFS($G$6:$G$5005,$S$6:$S$5005,S4320,$D$6:$D$5005,"Vastgesteld"))</f>
        <v/>
      </c>
      <c r="U4320" s="15">
        <f>IF(T4320="",0,IF(AND(G4320=T4320,COUNTIFS($S$6:S4320,S4320,$G$6:G4320,G4320,$D$6:D4320,"Vastgesteld")=1),1,0))</f>
        <v>0</v>
      </c>
      <c r="V4320" s="15">
        <f>IF(T4320="",0,IF(AND(G4320=T4320,COUNTIFS($S$6:S4320,S4320,$G$6:G4320,G4320,$D$6:D4320,"Vastgesteld")&gt;1),1,0))</f>
        <v>0</v>
      </c>
    </row>
    <row r="4321">
      <c r="S4321" s="15" t="str">
        <f>IF(J4321="","",J4321&amp;"|"&amp;E4321&amp;"|"&amp;F4321&amp;"|"&amp;I4321&amp;"|"&amp;O4321)</f>
        <v/>
      </c>
      <c r="T4321" s="15" t="str">
        <f>IF(OR(S4321="",D4321&lt;&gt;"Vastgesteld"),"",_xlfn.MAXIFS($G$6:$G$5005,$S$6:$S$5005,S4321,$D$6:$D$5005,"Vastgesteld"))</f>
        <v/>
      </c>
      <c r="U4321" s="15">
        <f>IF(T4321="",0,IF(AND(G4321=T4321,COUNTIFS($S$6:S4321,S4321,$G$6:G4321,G4321,$D$6:D4321,"Vastgesteld")=1),1,0))</f>
        <v>0</v>
      </c>
      <c r="V4321" s="15">
        <f>IF(T4321="",0,IF(AND(G4321=T4321,COUNTIFS($S$6:S4321,S4321,$G$6:G4321,G4321,$D$6:D4321,"Vastgesteld")&gt;1),1,0))</f>
        <v>0</v>
      </c>
    </row>
    <row r="4322">
      <c r="S4322" s="15" t="str">
        <f>IF(J4322="","",J4322&amp;"|"&amp;E4322&amp;"|"&amp;F4322&amp;"|"&amp;I4322&amp;"|"&amp;O4322)</f>
        <v/>
      </c>
      <c r="T4322" s="15" t="str">
        <f>IF(OR(S4322="",D4322&lt;&gt;"Vastgesteld"),"",_xlfn.MAXIFS($G$6:$G$5005,$S$6:$S$5005,S4322,$D$6:$D$5005,"Vastgesteld"))</f>
        <v/>
      </c>
      <c r="U4322" s="15">
        <f>IF(T4322="",0,IF(AND(G4322=T4322,COUNTIFS($S$6:S4322,S4322,$G$6:G4322,G4322,$D$6:D4322,"Vastgesteld")=1),1,0))</f>
        <v>0</v>
      </c>
      <c r="V4322" s="15">
        <f>IF(T4322="",0,IF(AND(G4322=T4322,COUNTIFS($S$6:S4322,S4322,$G$6:G4322,G4322,$D$6:D4322,"Vastgesteld")&gt;1),1,0))</f>
        <v>0</v>
      </c>
    </row>
    <row r="4323">
      <c r="S4323" s="15" t="str">
        <f>IF(J4323="","",J4323&amp;"|"&amp;E4323&amp;"|"&amp;F4323&amp;"|"&amp;I4323&amp;"|"&amp;O4323)</f>
        <v/>
      </c>
      <c r="T4323" s="15" t="str">
        <f>IF(OR(S4323="",D4323&lt;&gt;"Vastgesteld"),"",_xlfn.MAXIFS($G$6:$G$5005,$S$6:$S$5005,S4323,$D$6:$D$5005,"Vastgesteld"))</f>
        <v/>
      </c>
      <c r="U4323" s="15">
        <f>IF(T4323="",0,IF(AND(G4323=T4323,COUNTIFS($S$6:S4323,S4323,$G$6:G4323,G4323,$D$6:D4323,"Vastgesteld")=1),1,0))</f>
        <v>0</v>
      </c>
      <c r="V4323" s="15">
        <f>IF(T4323="",0,IF(AND(G4323=T4323,COUNTIFS($S$6:S4323,S4323,$G$6:G4323,G4323,$D$6:D4323,"Vastgesteld")&gt;1),1,0))</f>
        <v>0</v>
      </c>
    </row>
    <row r="4324">
      <c r="S4324" s="15" t="str">
        <f>IF(J4324="","",J4324&amp;"|"&amp;E4324&amp;"|"&amp;F4324&amp;"|"&amp;I4324&amp;"|"&amp;O4324)</f>
        <v/>
      </c>
      <c r="T4324" s="15" t="str">
        <f>IF(OR(S4324="",D4324&lt;&gt;"Vastgesteld"),"",_xlfn.MAXIFS($G$6:$G$5005,$S$6:$S$5005,S4324,$D$6:$D$5005,"Vastgesteld"))</f>
        <v/>
      </c>
      <c r="U4324" s="15">
        <f>IF(T4324="",0,IF(AND(G4324=T4324,COUNTIFS($S$6:S4324,S4324,$G$6:G4324,G4324,$D$6:D4324,"Vastgesteld")=1),1,0))</f>
        <v>0</v>
      </c>
      <c r="V4324" s="15">
        <f>IF(T4324="",0,IF(AND(G4324=T4324,COUNTIFS($S$6:S4324,S4324,$G$6:G4324,G4324,$D$6:D4324,"Vastgesteld")&gt;1),1,0))</f>
        <v>0</v>
      </c>
    </row>
    <row r="4325">
      <c r="S4325" s="15" t="str">
        <f>IF(J4325="","",J4325&amp;"|"&amp;E4325&amp;"|"&amp;F4325&amp;"|"&amp;I4325&amp;"|"&amp;O4325)</f>
        <v/>
      </c>
      <c r="T4325" s="15" t="str">
        <f>IF(OR(S4325="",D4325&lt;&gt;"Vastgesteld"),"",_xlfn.MAXIFS($G$6:$G$5005,$S$6:$S$5005,S4325,$D$6:$D$5005,"Vastgesteld"))</f>
        <v/>
      </c>
      <c r="U4325" s="15">
        <f>IF(T4325="",0,IF(AND(G4325=T4325,COUNTIFS($S$6:S4325,S4325,$G$6:G4325,G4325,$D$6:D4325,"Vastgesteld")=1),1,0))</f>
        <v>0</v>
      </c>
      <c r="V4325" s="15">
        <f>IF(T4325="",0,IF(AND(G4325=T4325,COUNTIFS($S$6:S4325,S4325,$G$6:G4325,G4325,$D$6:D4325,"Vastgesteld")&gt;1),1,0))</f>
        <v>0</v>
      </c>
    </row>
    <row r="4326">
      <c r="S4326" s="15" t="str">
        <f>IF(J4326="","",J4326&amp;"|"&amp;E4326&amp;"|"&amp;F4326&amp;"|"&amp;I4326&amp;"|"&amp;O4326)</f>
        <v/>
      </c>
      <c r="T4326" s="15" t="str">
        <f>IF(OR(S4326="",D4326&lt;&gt;"Vastgesteld"),"",_xlfn.MAXIFS($G$6:$G$5005,$S$6:$S$5005,S4326,$D$6:$D$5005,"Vastgesteld"))</f>
        <v/>
      </c>
      <c r="U4326" s="15">
        <f>IF(T4326="",0,IF(AND(G4326=T4326,COUNTIFS($S$6:S4326,S4326,$G$6:G4326,G4326,$D$6:D4326,"Vastgesteld")=1),1,0))</f>
        <v>0</v>
      </c>
      <c r="V4326" s="15">
        <f>IF(T4326="",0,IF(AND(G4326=T4326,COUNTIFS($S$6:S4326,S4326,$G$6:G4326,G4326,$D$6:D4326,"Vastgesteld")&gt;1),1,0))</f>
        <v>0</v>
      </c>
    </row>
    <row r="4327">
      <c r="S4327" s="15" t="str">
        <f>IF(J4327="","",J4327&amp;"|"&amp;E4327&amp;"|"&amp;F4327&amp;"|"&amp;I4327&amp;"|"&amp;O4327)</f>
        <v/>
      </c>
      <c r="T4327" s="15" t="str">
        <f>IF(OR(S4327="",D4327&lt;&gt;"Vastgesteld"),"",_xlfn.MAXIFS($G$6:$G$5005,$S$6:$S$5005,S4327,$D$6:$D$5005,"Vastgesteld"))</f>
        <v/>
      </c>
      <c r="U4327" s="15">
        <f>IF(T4327="",0,IF(AND(G4327=T4327,COUNTIFS($S$6:S4327,S4327,$G$6:G4327,G4327,$D$6:D4327,"Vastgesteld")=1),1,0))</f>
        <v>0</v>
      </c>
      <c r="V4327" s="15">
        <f>IF(T4327="",0,IF(AND(G4327=T4327,COUNTIFS($S$6:S4327,S4327,$G$6:G4327,G4327,$D$6:D4327,"Vastgesteld")&gt;1),1,0))</f>
        <v>0</v>
      </c>
    </row>
    <row r="4328">
      <c r="S4328" s="15" t="str">
        <f>IF(J4328="","",J4328&amp;"|"&amp;E4328&amp;"|"&amp;F4328&amp;"|"&amp;I4328&amp;"|"&amp;O4328)</f>
        <v/>
      </c>
      <c r="T4328" s="15" t="str">
        <f>IF(OR(S4328="",D4328&lt;&gt;"Vastgesteld"),"",_xlfn.MAXIFS($G$6:$G$5005,$S$6:$S$5005,S4328,$D$6:$D$5005,"Vastgesteld"))</f>
        <v/>
      </c>
      <c r="U4328" s="15">
        <f>IF(T4328="",0,IF(AND(G4328=T4328,COUNTIFS($S$6:S4328,S4328,$G$6:G4328,G4328,$D$6:D4328,"Vastgesteld")=1),1,0))</f>
        <v>0</v>
      </c>
      <c r="V4328" s="15">
        <f>IF(T4328="",0,IF(AND(G4328=T4328,COUNTIFS($S$6:S4328,S4328,$G$6:G4328,G4328,$D$6:D4328,"Vastgesteld")&gt;1),1,0))</f>
        <v>0</v>
      </c>
    </row>
    <row r="4329">
      <c r="S4329" s="15" t="str">
        <f>IF(J4329="","",J4329&amp;"|"&amp;E4329&amp;"|"&amp;F4329&amp;"|"&amp;I4329&amp;"|"&amp;O4329)</f>
        <v/>
      </c>
      <c r="T4329" s="15" t="str">
        <f>IF(OR(S4329="",D4329&lt;&gt;"Vastgesteld"),"",_xlfn.MAXIFS($G$6:$G$5005,$S$6:$S$5005,S4329,$D$6:$D$5005,"Vastgesteld"))</f>
        <v/>
      </c>
      <c r="U4329" s="15">
        <f>IF(T4329="",0,IF(AND(G4329=T4329,COUNTIFS($S$6:S4329,S4329,$G$6:G4329,G4329,$D$6:D4329,"Vastgesteld")=1),1,0))</f>
        <v>0</v>
      </c>
      <c r="V4329" s="15">
        <f>IF(T4329="",0,IF(AND(G4329=T4329,COUNTIFS($S$6:S4329,S4329,$G$6:G4329,G4329,$D$6:D4329,"Vastgesteld")&gt;1),1,0))</f>
        <v>0</v>
      </c>
    </row>
    <row r="4330">
      <c r="S4330" s="15" t="str">
        <f>IF(J4330="","",J4330&amp;"|"&amp;E4330&amp;"|"&amp;F4330&amp;"|"&amp;I4330&amp;"|"&amp;O4330)</f>
        <v/>
      </c>
      <c r="T4330" s="15" t="str">
        <f>IF(OR(S4330="",D4330&lt;&gt;"Vastgesteld"),"",_xlfn.MAXIFS($G$6:$G$5005,$S$6:$S$5005,S4330,$D$6:$D$5005,"Vastgesteld"))</f>
        <v/>
      </c>
      <c r="U4330" s="15">
        <f>IF(T4330="",0,IF(AND(G4330=T4330,COUNTIFS($S$6:S4330,S4330,$G$6:G4330,G4330,$D$6:D4330,"Vastgesteld")=1),1,0))</f>
        <v>0</v>
      </c>
      <c r="V4330" s="15">
        <f>IF(T4330="",0,IF(AND(G4330=T4330,COUNTIFS($S$6:S4330,S4330,$G$6:G4330,G4330,$D$6:D4330,"Vastgesteld")&gt;1),1,0))</f>
        <v>0</v>
      </c>
    </row>
    <row r="4331">
      <c r="S4331" s="15" t="str">
        <f>IF(J4331="","",J4331&amp;"|"&amp;E4331&amp;"|"&amp;F4331&amp;"|"&amp;I4331&amp;"|"&amp;O4331)</f>
        <v/>
      </c>
      <c r="T4331" s="15" t="str">
        <f>IF(OR(S4331="",D4331&lt;&gt;"Vastgesteld"),"",_xlfn.MAXIFS($G$6:$G$5005,$S$6:$S$5005,S4331,$D$6:$D$5005,"Vastgesteld"))</f>
        <v/>
      </c>
      <c r="U4331" s="15">
        <f>IF(T4331="",0,IF(AND(G4331=T4331,COUNTIFS($S$6:S4331,S4331,$G$6:G4331,G4331,$D$6:D4331,"Vastgesteld")=1),1,0))</f>
        <v>0</v>
      </c>
      <c r="V4331" s="15">
        <f>IF(T4331="",0,IF(AND(G4331=T4331,COUNTIFS($S$6:S4331,S4331,$G$6:G4331,G4331,$D$6:D4331,"Vastgesteld")&gt;1),1,0))</f>
        <v>0</v>
      </c>
    </row>
    <row r="4332">
      <c r="S4332" s="15" t="str">
        <f>IF(J4332="","",J4332&amp;"|"&amp;E4332&amp;"|"&amp;F4332&amp;"|"&amp;I4332&amp;"|"&amp;O4332)</f>
        <v/>
      </c>
      <c r="T4332" s="15" t="str">
        <f>IF(OR(S4332="",D4332&lt;&gt;"Vastgesteld"),"",_xlfn.MAXIFS($G$6:$G$5005,$S$6:$S$5005,S4332,$D$6:$D$5005,"Vastgesteld"))</f>
        <v/>
      </c>
      <c r="U4332" s="15">
        <f>IF(T4332="",0,IF(AND(G4332=T4332,COUNTIFS($S$6:S4332,S4332,$G$6:G4332,G4332,$D$6:D4332,"Vastgesteld")=1),1,0))</f>
        <v>0</v>
      </c>
      <c r="V4332" s="15">
        <f>IF(T4332="",0,IF(AND(G4332=T4332,COUNTIFS($S$6:S4332,S4332,$G$6:G4332,G4332,$D$6:D4332,"Vastgesteld")&gt;1),1,0))</f>
        <v>0</v>
      </c>
    </row>
    <row r="4333">
      <c r="S4333" s="15" t="str">
        <f>IF(J4333="","",J4333&amp;"|"&amp;E4333&amp;"|"&amp;F4333&amp;"|"&amp;I4333&amp;"|"&amp;O4333)</f>
        <v/>
      </c>
      <c r="T4333" s="15" t="str">
        <f>IF(OR(S4333="",D4333&lt;&gt;"Vastgesteld"),"",_xlfn.MAXIFS($G$6:$G$5005,$S$6:$S$5005,S4333,$D$6:$D$5005,"Vastgesteld"))</f>
        <v/>
      </c>
      <c r="U4333" s="15">
        <f>IF(T4333="",0,IF(AND(G4333=T4333,COUNTIFS($S$6:S4333,S4333,$G$6:G4333,G4333,$D$6:D4333,"Vastgesteld")=1),1,0))</f>
        <v>0</v>
      </c>
      <c r="V4333" s="15">
        <f>IF(T4333="",0,IF(AND(G4333=T4333,COUNTIFS($S$6:S4333,S4333,$G$6:G4333,G4333,$D$6:D4333,"Vastgesteld")&gt;1),1,0))</f>
        <v>0</v>
      </c>
    </row>
    <row r="4334">
      <c r="S4334" s="15" t="str">
        <f>IF(J4334="","",J4334&amp;"|"&amp;E4334&amp;"|"&amp;F4334&amp;"|"&amp;I4334&amp;"|"&amp;O4334)</f>
        <v/>
      </c>
      <c r="T4334" s="15" t="str">
        <f>IF(OR(S4334="",D4334&lt;&gt;"Vastgesteld"),"",_xlfn.MAXIFS($G$6:$G$5005,$S$6:$S$5005,S4334,$D$6:$D$5005,"Vastgesteld"))</f>
        <v/>
      </c>
      <c r="U4334" s="15">
        <f>IF(T4334="",0,IF(AND(G4334=T4334,COUNTIFS($S$6:S4334,S4334,$G$6:G4334,G4334,$D$6:D4334,"Vastgesteld")=1),1,0))</f>
        <v>0</v>
      </c>
      <c r="V4334" s="15">
        <f>IF(T4334="",0,IF(AND(G4334=T4334,COUNTIFS($S$6:S4334,S4334,$G$6:G4334,G4334,$D$6:D4334,"Vastgesteld")&gt;1),1,0))</f>
        <v>0</v>
      </c>
    </row>
    <row r="4335">
      <c r="S4335" s="15" t="str">
        <f>IF(J4335="","",J4335&amp;"|"&amp;E4335&amp;"|"&amp;F4335&amp;"|"&amp;I4335&amp;"|"&amp;O4335)</f>
        <v/>
      </c>
      <c r="T4335" s="15" t="str">
        <f>IF(OR(S4335="",D4335&lt;&gt;"Vastgesteld"),"",_xlfn.MAXIFS($G$6:$G$5005,$S$6:$S$5005,S4335,$D$6:$D$5005,"Vastgesteld"))</f>
        <v/>
      </c>
      <c r="U4335" s="15">
        <f>IF(T4335="",0,IF(AND(G4335=T4335,COUNTIFS($S$6:S4335,S4335,$G$6:G4335,G4335,$D$6:D4335,"Vastgesteld")=1),1,0))</f>
        <v>0</v>
      </c>
      <c r="V4335" s="15">
        <f>IF(T4335="",0,IF(AND(G4335=T4335,COUNTIFS($S$6:S4335,S4335,$G$6:G4335,G4335,$D$6:D4335,"Vastgesteld")&gt;1),1,0))</f>
        <v>0</v>
      </c>
    </row>
    <row r="4336">
      <c r="S4336" s="15" t="str">
        <f>IF(J4336="","",J4336&amp;"|"&amp;E4336&amp;"|"&amp;F4336&amp;"|"&amp;I4336&amp;"|"&amp;O4336)</f>
        <v/>
      </c>
      <c r="T4336" s="15" t="str">
        <f>IF(OR(S4336="",D4336&lt;&gt;"Vastgesteld"),"",_xlfn.MAXIFS($G$6:$G$5005,$S$6:$S$5005,S4336,$D$6:$D$5005,"Vastgesteld"))</f>
        <v/>
      </c>
      <c r="U4336" s="15">
        <f>IF(T4336="",0,IF(AND(G4336=T4336,COUNTIFS($S$6:S4336,S4336,$G$6:G4336,G4336,$D$6:D4336,"Vastgesteld")=1),1,0))</f>
        <v>0</v>
      </c>
      <c r="V4336" s="15">
        <f>IF(T4336="",0,IF(AND(G4336=T4336,COUNTIFS($S$6:S4336,S4336,$G$6:G4336,G4336,$D$6:D4336,"Vastgesteld")&gt;1),1,0))</f>
        <v>0</v>
      </c>
    </row>
    <row r="4337">
      <c r="S4337" s="15" t="str">
        <f>IF(J4337="","",J4337&amp;"|"&amp;E4337&amp;"|"&amp;F4337&amp;"|"&amp;I4337&amp;"|"&amp;O4337)</f>
        <v/>
      </c>
      <c r="T4337" s="15" t="str">
        <f>IF(OR(S4337="",D4337&lt;&gt;"Vastgesteld"),"",_xlfn.MAXIFS($G$6:$G$5005,$S$6:$S$5005,S4337,$D$6:$D$5005,"Vastgesteld"))</f>
        <v/>
      </c>
      <c r="U4337" s="15">
        <f>IF(T4337="",0,IF(AND(G4337=T4337,COUNTIFS($S$6:S4337,S4337,$G$6:G4337,G4337,$D$6:D4337,"Vastgesteld")=1),1,0))</f>
        <v>0</v>
      </c>
      <c r="V4337" s="15">
        <f>IF(T4337="",0,IF(AND(G4337=T4337,COUNTIFS($S$6:S4337,S4337,$G$6:G4337,G4337,$D$6:D4337,"Vastgesteld")&gt;1),1,0))</f>
        <v>0</v>
      </c>
    </row>
    <row r="4338">
      <c r="S4338" s="15" t="str">
        <f>IF(J4338="","",J4338&amp;"|"&amp;E4338&amp;"|"&amp;F4338&amp;"|"&amp;I4338&amp;"|"&amp;O4338)</f>
        <v/>
      </c>
      <c r="T4338" s="15" t="str">
        <f>IF(OR(S4338="",D4338&lt;&gt;"Vastgesteld"),"",_xlfn.MAXIFS($G$6:$G$5005,$S$6:$S$5005,S4338,$D$6:$D$5005,"Vastgesteld"))</f>
        <v/>
      </c>
      <c r="U4338" s="15">
        <f>IF(T4338="",0,IF(AND(G4338=T4338,COUNTIFS($S$6:S4338,S4338,$G$6:G4338,G4338,$D$6:D4338,"Vastgesteld")=1),1,0))</f>
        <v>0</v>
      </c>
      <c r="V4338" s="15">
        <f>IF(T4338="",0,IF(AND(G4338=T4338,COUNTIFS($S$6:S4338,S4338,$G$6:G4338,G4338,$D$6:D4338,"Vastgesteld")&gt;1),1,0))</f>
        <v>0</v>
      </c>
    </row>
    <row r="4339">
      <c r="S4339" s="15" t="str">
        <f>IF(J4339="","",J4339&amp;"|"&amp;E4339&amp;"|"&amp;F4339&amp;"|"&amp;I4339&amp;"|"&amp;O4339)</f>
        <v/>
      </c>
      <c r="T4339" s="15" t="str">
        <f>IF(OR(S4339="",D4339&lt;&gt;"Vastgesteld"),"",_xlfn.MAXIFS($G$6:$G$5005,$S$6:$S$5005,S4339,$D$6:$D$5005,"Vastgesteld"))</f>
        <v/>
      </c>
      <c r="U4339" s="15">
        <f>IF(T4339="",0,IF(AND(G4339=T4339,COUNTIFS($S$6:S4339,S4339,$G$6:G4339,G4339,$D$6:D4339,"Vastgesteld")=1),1,0))</f>
        <v>0</v>
      </c>
      <c r="V4339" s="15">
        <f>IF(T4339="",0,IF(AND(G4339=T4339,COUNTIFS($S$6:S4339,S4339,$G$6:G4339,G4339,$D$6:D4339,"Vastgesteld")&gt;1),1,0))</f>
        <v>0</v>
      </c>
    </row>
    <row r="4340">
      <c r="S4340" s="15" t="str">
        <f>IF(J4340="","",J4340&amp;"|"&amp;E4340&amp;"|"&amp;F4340&amp;"|"&amp;I4340&amp;"|"&amp;O4340)</f>
        <v/>
      </c>
      <c r="T4340" s="15" t="str">
        <f>IF(OR(S4340="",D4340&lt;&gt;"Vastgesteld"),"",_xlfn.MAXIFS($G$6:$G$5005,$S$6:$S$5005,S4340,$D$6:$D$5005,"Vastgesteld"))</f>
        <v/>
      </c>
      <c r="U4340" s="15">
        <f>IF(T4340="",0,IF(AND(G4340=T4340,COUNTIFS($S$6:S4340,S4340,$G$6:G4340,G4340,$D$6:D4340,"Vastgesteld")=1),1,0))</f>
        <v>0</v>
      </c>
      <c r="V4340" s="15">
        <f>IF(T4340="",0,IF(AND(G4340=T4340,COUNTIFS($S$6:S4340,S4340,$G$6:G4340,G4340,$D$6:D4340,"Vastgesteld")&gt;1),1,0))</f>
        <v>0</v>
      </c>
    </row>
    <row r="4341">
      <c r="S4341" s="15" t="str">
        <f>IF(J4341="","",J4341&amp;"|"&amp;E4341&amp;"|"&amp;F4341&amp;"|"&amp;I4341&amp;"|"&amp;O4341)</f>
        <v/>
      </c>
      <c r="T4341" s="15" t="str">
        <f>IF(OR(S4341="",D4341&lt;&gt;"Vastgesteld"),"",_xlfn.MAXIFS($G$6:$G$5005,$S$6:$S$5005,S4341,$D$6:$D$5005,"Vastgesteld"))</f>
        <v/>
      </c>
      <c r="U4341" s="15">
        <f>IF(T4341="",0,IF(AND(G4341=T4341,COUNTIFS($S$6:S4341,S4341,$G$6:G4341,G4341,$D$6:D4341,"Vastgesteld")=1),1,0))</f>
        <v>0</v>
      </c>
      <c r="V4341" s="15">
        <f>IF(T4341="",0,IF(AND(G4341=T4341,COUNTIFS($S$6:S4341,S4341,$G$6:G4341,G4341,$D$6:D4341,"Vastgesteld")&gt;1),1,0))</f>
        <v>0</v>
      </c>
    </row>
    <row r="4342">
      <c r="S4342" s="15" t="str">
        <f>IF(J4342="","",J4342&amp;"|"&amp;E4342&amp;"|"&amp;F4342&amp;"|"&amp;I4342&amp;"|"&amp;O4342)</f>
        <v/>
      </c>
      <c r="T4342" s="15" t="str">
        <f>IF(OR(S4342="",D4342&lt;&gt;"Vastgesteld"),"",_xlfn.MAXIFS($G$6:$G$5005,$S$6:$S$5005,S4342,$D$6:$D$5005,"Vastgesteld"))</f>
        <v/>
      </c>
      <c r="U4342" s="15">
        <f>IF(T4342="",0,IF(AND(G4342=T4342,COUNTIFS($S$6:S4342,S4342,$G$6:G4342,G4342,$D$6:D4342,"Vastgesteld")=1),1,0))</f>
        <v>0</v>
      </c>
      <c r="V4342" s="15">
        <f>IF(T4342="",0,IF(AND(G4342=T4342,COUNTIFS($S$6:S4342,S4342,$G$6:G4342,G4342,$D$6:D4342,"Vastgesteld")&gt;1),1,0))</f>
        <v>0</v>
      </c>
    </row>
    <row r="4343">
      <c r="S4343" s="15" t="str">
        <f>IF(J4343="","",J4343&amp;"|"&amp;E4343&amp;"|"&amp;F4343&amp;"|"&amp;I4343&amp;"|"&amp;O4343)</f>
        <v/>
      </c>
      <c r="T4343" s="15" t="str">
        <f>IF(OR(S4343="",D4343&lt;&gt;"Vastgesteld"),"",_xlfn.MAXIFS($G$6:$G$5005,$S$6:$S$5005,S4343,$D$6:$D$5005,"Vastgesteld"))</f>
        <v/>
      </c>
      <c r="U4343" s="15">
        <f>IF(T4343="",0,IF(AND(G4343=T4343,COUNTIFS($S$6:S4343,S4343,$G$6:G4343,G4343,$D$6:D4343,"Vastgesteld")=1),1,0))</f>
        <v>0</v>
      </c>
      <c r="V4343" s="15">
        <f>IF(T4343="",0,IF(AND(G4343=T4343,COUNTIFS($S$6:S4343,S4343,$G$6:G4343,G4343,$D$6:D4343,"Vastgesteld")&gt;1),1,0))</f>
        <v>0</v>
      </c>
    </row>
    <row r="4344">
      <c r="S4344" s="15" t="str">
        <f>IF(J4344="","",J4344&amp;"|"&amp;E4344&amp;"|"&amp;F4344&amp;"|"&amp;I4344&amp;"|"&amp;O4344)</f>
        <v/>
      </c>
      <c r="T4344" s="15" t="str">
        <f>IF(OR(S4344="",D4344&lt;&gt;"Vastgesteld"),"",_xlfn.MAXIFS($G$6:$G$5005,$S$6:$S$5005,S4344,$D$6:$D$5005,"Vastgesteld"))</f>
        <v/>
      </c>
      <c r="U4344" s="15">
        <f>IF(T4344="",0,IF(AND(G4344=T4344,COUNTIFS($S$6:S4344,S4344,$G$6:G4344,G4344,$D$6:D4344,"Vastgesteld")=1),1,0))</f>
        <v>0</v>
      </c>
      <c r="V4344" s="15">
        <f>IF(T4344="",0,IF(AND(G4344=T4344,COUNTIFS($S$6:S4344,S4344,$G$6:G4344,G4344,$D$6:D4344,"Vastgesteld")&gt;1),1,0))</f>
        <v>0</v>
      </c>
    </row>
    <row r="4345">
      <c r="S4345" s="15" t="str">
        <f>IF(J4345="","",J4345&amp;"|"&amp;E4345&amp;"|"&amp;F4345&amp;"|"&amp;I4345&amp;"|"&amp;O4345)</f>
        <v/>
      </c>
      <c r="T4345" s="15" t="str">
        <f>IF(OR(S4345="",D4345&lt;&gt;"Vastgesteld"),"",_xlfn.MAXIFS($G$6:$G$5005,$S$6:$S$5005,S4345,$D$6:$D$5005,"Vastgesteld"))</f>
        <v/>
      </c>
      <c r="U4345" s="15">
        <f>IF(T4345="",0,IF(AND(G4345=T4345,COUNTIFS($S$6:S4345,S4345,$G$6:G4345,G4345,$D$6:D4345,"Vastgesteld")=1),1,0))</f>
        <v>0</v>
      </c>
      <c r="V4345" s="15">
        <f>IF(T4345="",0,IF(AND(G4345=T4345,COUNTIFS($S$6:S4345,S4345,$G$6:G4345,G4345,$D$6:D4345,"Vastgesteld")&gt;1),1,0))</f>
        <v>0</v>
      </c>
    </row>
    <row r="4346">
      <c r="S4346" s="15" t="str">
        <f>IF(J4346="","",J4346&amp;"|"&amp;E4346&amp;"|"&amp;F4346&amp;"|"&amp;I4346&amp;"|"&amp;O4346)</f>
        <v/>
      </c>
      <c r="T4346" s="15" t="str">
        <f>IF(OR(S4346="",D4346&lt;&gt;"Vastgesteld"),"",_xlfn.MAXIFS($G$6:$G$5005,$S$6:$S$5005,S4346,$D$6:$D$5005,"Vastgesteld"))</f>
        <v/>
      </c>
      <c r="U4346" s="15">
        <f>IF(T4346="",0,IF(AND(G4346=T4346,COUNTIFS($S$6:S4346,S4346,$G$6:G4346,G4346,$D$6:D4346,"Vastgesteld")=1),1,0))</f>
        <v>0</v>
      </c>
      <c r="V4346" s="15">
        <f>IF(T4346="",0,IF(AND(G4346=T4346,COUNTIFS($S$6:S4346,S4346,$G$6:G4346,G4346,$D$6:D4346,"Vastgesteld")&gt;1),1,0))</f>
        <v>0</v>
      </c>
    </row>
    <row r="4347">
      <c r="S4347" s="15" t="str">
        <f>IF(J4347="","",J4347&amp;"|"&amp;E4347&amp;"|"&amp;F4347&amp;"|"&amp;I4347&amp;"|"&amp;O4347)</f>
        <v/>
      </c>
      <c r="T4347" s="15" t="str">
        <f>IF(OR(S4347="",D4347&lt;&gt;"Vastgesteld"),"",_xlfn.MAXIFS($G$6:$G$5005,$S$6:$S$5005,S4347,$D$6:$D$5005,"Vastgesteld"))</f>
        <v/>
      </c>
      <c r="U4347" s="15">
        <f>IF(T4347="",0,IF(AND(G4347=T4347,COUNTIFS($S$6:S4347,S4347,$G$6:G4347,G4347,$D$6:D4347,"Vastgesteld")=1),1,0))</f>
        <v>0</v>
      </c>
      <c r="V4347" s="15">
        <f>IF(T4347="",0,IF(AND(G4347=T4347,COUNTIFS($S$6:S4347,S4347,$G$6:G4347,G4347,$D$6:D4347,"Vastgesteld")&gt;1),1,0))</f>
        <v>0</v>
      </c>
    </row>
    <row r="4348">
      <c r="S4348" s="15" t="str">
        <f>IF(J4348="","",J4348&amp;"|"&amp;E4348&amp;"|"&amp;F4348&amp;"|"&amp;I4348&amp;"|"&amp;O4348)</f>
        <v/>
      </c>
      <c r="T4348" s="15" t="str">
        <f>IF(OR(S4348="",D4348&lt;&gt;"Vastgesteld"),"",_xlfn.MAXIFS($G$6:$G$5005,$S$6:$S$5005,S4348,$D$6:$D$5005,"Vastgesteld"))</f>
        <v/>
      </c>
      <c r="U4348" s="15">
        <f>IF(T4348="",0,IF(AND(G4348=T4348,COUNTIFS($S$6:S4348,S4348,$G$6:G4348,G4348,$D$6:D4348,"Vastgesteld")=1),1,0))</f>
        <v>0</v>
      </c>
      <c r="V4348" s="15">
        <f>IF(T4348="",0,IF(AND(G4348=T4348,COUNTIFS($S$6:S4348,S4348,$G$6:G4348,G4348,$D$6:D4348,"Vastgesteld")&gt;1),1,0))</f>
        <v>0</v>
      </c>
    </row>
    <row r="4349">
      <c r="S4349" s="15" t="str">
        <f>IF(J4349="","",J4349&amp;"|"&amp;E4349&amp;"|"&amp;F4349&amp;"|"&amp;I4349&amp;"|"&amp;O4349)</f>
        <v/>
      </c>
      <c r="T4349" s="15" t="str">
        <f>IF(OR(S4349="",D4349&lt;&gt;"Vastgesteld"),"",_xlfn.MAXIFS($G$6:$G$5005,$S$6:$S$5005,S4349,$D$6:$D$5005,"Vastgesteld"))</f>
        <v/>
      </c>
      <c r="U4349" s="15">
        <f>IF(T4349="",0,IF(AND(G4349=T4349,COUNTIFS($S$6:S4349,S4349,$G$6:G4349,G4349,$D$6:D4349,"Vastgesteld")=1),1,0))</f>
        <v>0</v>
      </c>
      <c r="V4349" s="15">
        <f>IF(T4349="",0,IF(AND(G4349=T4349,COUNTIFS($S$6:S4349,S4349,$G$6:G4349,G4349,$D$6:D4349,"Vastgesteld")&gt;1),1,0))</f>
        <v>0</v>
      </c>
    </row>
    <row r="4350">
      <c r="S4350" s="15" t="str">
        <f>IF(J4350="","",J4350&amp;"|"&amp;E4350&amp;"|"&amp;F4350&amp;"|"&amp;I4350&amp;"|"&amp;O4350)</f>
        <v/>
      </c>
      <c r="T4350" s="15" t="str">
        <f>IF(OR(S4350="",D4350&lt;&gt;"Vastgesteld"),"",_xlfn.MAXIFS($G$6:$G$5005,$S$6:$S$5005,S4350,$D$6:$D$5005,"Vastgesteld"))</f>
        <v/>
      </c>
      <c r="U4350" s="15">
        <f>IF(T4350="",0,IF(AND(G4350=T4350,COUNTIFS($S$6:S4350,S4350,$G$6:G4350,G4350,$D$6:D4350,"Vastgesteld")=1),1,0))</f>
        <v>0</v>
      </c>
      <c r="V4350" s="15">
        <f>IF(T4350="",0,IF(AND(G4350=T4350,COUNTIFS($S$6:S4350,S4350,$G$6:G4350,G4350,$D$6:D4350,"Vastgesteld")&gt;1),1,0))</f>
        <v>0</v>
      </c>
    </row>
    <row r="4351">
      <c r="S4351" s="15" t="str">
        <f>IF(J4351="","",J4351&amp;"|"&amp;E4351&amp;"|"&amp;F4351&amp;"|"&amp;I4351&amp;"|"&amp;O4351)</f>
        <v/>
      </c>
      <c r="T4351" s="15" t="str">
        <f>IF(OR(S4351="",D4351&lt;&gt;"Vastgesteld"),"",_xlfn.MAXIFS($G$6:$G$5005,$S$6:$S$5005,S4351,$D$6:$D$5005,"Vastgesteld"))</f>
        <v/>
      </c>
      <c r="U4351" s="15">
        <f>IF(T4351="",0,IF(AND(G4351=T4351,COUNTIFS($S$6:S4351,S4351,$G$6:G4351,G4351,$D$6:D4351,"Vastgesteld")=1),1,0))</f>
        <v>0</v>
      </c>
      <c r="V4351" s="15">
        <f>IF(T4351="",0,IF(AND(G4351=T4351,COUNTIFS($S$6:S4351,S4351,$G$6:G4351,G4351,$D$6:D4351,"Vastgesteld")&gt;1),1,0))</f>
        <v>0</v>
      </c>
    </row>
    <row r="4352">
      <c r="S4352" s="15" t="str">
        <f>IF(J4352="","",J4352&amp;"|"&amp;E4352&amp;"|"&amp;F4352&amp;"|"&amp;I4352&amp;"|"&amp;O4352)</f>
        <v/>
      </c>
      <c r="T4352" s="15" t="str">
        <f>IF(OR(S4352="",D4352&lt;&gt;"Vastgesteld"),"",_xlfn.MAXIFS($G$6:$G$5005,$S$6:$S$5005,S4352,$D$6:$D$5005,"Vastgesteld"))</f>
        <v/>
      </c>
      <c r="U4352" s="15">
        <f>IF(T4352="",0,IF(AND(G4352=T4352,COUNTIFS($S$6:S4352,S4352,$G$6:G4352,G4352,$D$6:D4352,"Vastgesteld")=1),1,0))</f>
        <v>0</v>
      </c>
      <c r="V4352" s="15">
        <f>IF(T4352="",0,IF(AND(G4352=T4352,COUNTIFS($S$6:S4352,S4352,$G$6:G4352,G4352,$D$6:D4352,"Vastgesteld")&gt;1),1,0))</f>
        <v>0</v>
      </c>
    </row>
    <row r="4353">
      <c r="S4353" s="15" t="str">
        <f>IF(J4353="","",J4353&amp;"|"&amp;E4353&amp;"|"&amp;F4353&amp;"|"&amp;I4353&amp;"|"&amp;O4353)</f>
        <v/>
      </c>
      <c r="T4353" s="15" t="str">
        <f>IF(OR(S4353="",D4353&lt;&gt;"Vastgesteld"),"",_xlfn.MAXIFS($G$6:$G$5005,$S$6:$S$5005,S4353,$D$6:$D$5005,"Vastgesteld"))</f>
        <v/>
      </c>
      <c r="U4353" s="15">
        <f>IF(T4353="",0,IF(AND(G4353=T4353,COUNTIFS($S$6:S4353,S4353,$G$6:G4353,G4353,$D$6:D4353,"Vastgesteld")=1),1,0))</f>
        <v>0</v>
      </c>
      <c r="V4353" s="15">
        <f>IF(T4353="",0,IF(AND(G4353=T4353,COUNTIFS($S$6:S4353,S4353,$G$6:G4353,G4353,$D$6:D4353,"Vastgesteld")&gt;1),1,0))</f>
        <v>0</v>
      </c>
    </row>
    <row r="4354">
      <c r="S4354" s="15" t="str">
        <f>IF(J4354="","",J4354&amp;"|"&amp;E4354&amp;"|"&amp;F4354&amp;"|"&amp;I4354&amp;"|"&amp;O4354)</f>
        <v/>
      </c>
      <c r="T4354" s="15" t="str">
        <f>IF(OR(S4354="",D4354&lt;&gt;"Vastgesteld"),"",_xlfn.MAXIFS($G$6:$G$5005,$S$6:$S$5005,S4354,$D$6:$D$5005,"Vastgesteld"))</f>
        <v/>
      </c>
      <c r="U4354" s="15">
        <f>IF(T4354="",0,IF(AND(G4354=T4354,COUNTIFS($S$6:S4354,S4354,$G$6:G4354,G4354,$D$6:D4354,"Vastgesteld")=1),1,0))</f>
        <v>0</v>
      </c>
      <c r="V4354" s="15">
        <f>IF(T4354="",0,IF(AND(G4354=T4354,COUNTIFS($S$6:S4354,S4354,$G$6:G4354,G4354,$D$6:D4354,"Vastgesteld")&gt;1),1,0))</f>
        <v>0</v>
      </c>
    </row>
    <row r="4355">
      <c r="S4355" s="15" t="str">
        <f>IF(J4355="","",J4355&amp;"|"&amp;E4355&amp;"|"&amp;F4355&amp;"|"&amp;I4355&amp;"|"&amp;O4355)</f>
        <v/>
      </c>
      <c r="T4355" s="15" t="str">
        <f>IF(OR(S4355="",D4355&lt;&gt;"Vastgesteld"),"",_xlfn.MAXIFS($G$6:$G$5005,$S$6:$S$5005,S4355,$D$6:$D$5005,"Vastgesteld"))</f>
        <v/>
      </c>
      <c r="U4355" s="15">
        <f>IF(T4355="",0,IF(AND(G4355=T4355,COUNTIFS($S$6:S4355,S4355,$G$6:G4355,G4355,$D$6:D4355,"Vastgesteld")=1),1,0))</f>
        <v>0</v>
      </c>
      <c r="V4355" s="15">
        <f>IF(T4355="",0,IF(AND(G4355=T4355,COUNTIFS($S$6:S4355,S4355,$G$6:G4355,G4355,$D$6:D4355,"Vastgesteld")&gt;1),1,0))</f>
        <v>0</v>
      </c>
    </row>
    <row r="4356">
      <c r="S4356" s="15" t="str">
        <f>IF(J4356="","",J4356&amp;"|"&amp;E4356&amp;"|"&amp;F4356&amp;"|"&amp;I4356&amp;"|"&amp;O4356)</f>
        <v/>
      </c>
      <c r="T4356" s="15" t="str">
        <f>IF(OR(S4356="",D4356&lt;&gt;"Vastgesteld"),"",_xlfn.MAXIFS($G$6:$G$5005,$S$6:$S$5005,S4356,$D$6:$D$5005,"Vastgesteld"))</f>
        <v/>
      </c>
      <c r="U4356" s="15">
        <f>IF(T4356="",0,IF(AND(G4356=T4356,COUNTIFS($S$6:S4356,S4356,$G$6:G4356,G4356,$D$6:D4356,"Vastgesteld")=1),1,0))</f>
        <v>0</v>
      </c>
      <c r="V4356" s="15">
        <f>IF(T4356="",0,IF(AND(G4356=T4356,COUNTIFS($S$6:S4356,S4356,$G$6:G4356,G4356,$D$6:D4356,"Vastgesteld")&gt;1),1,0))</f>
        <v>0</v>
      </c>
    </row>
    <row r="4357">
      <c r="S4357" s="15" t="str">
        <f>IF(J4357="","",J4357&amp;"|"&amp;E4357&amp;"|"&amp;F4357&amp;"|"&amp;I4357&amp;"|"&amp;O4357)</f>
        <v/>
      </c>
      <c r="T4357" s="15" t="str">
        <f>IF(OR(S4357="",D4357&lt;&gt;"Vastgesteld"),"",_xlfn.MAXIFS($G$6:$G$5005,$S$6:$S$5005,S4357,$D$6:$D$5005,"Vastgesteld"))</f>
        <v/>
      </c>
      <c r="U4357" s="15">
        <f>IF(T4357="",0,IF(AND(G4357=T4357,COUNTIFS($S$6:S4357,S4357,$G$6:G4357,G4357,$D$6:D4357,"Vastgesteld")=1),1,0))</f>
        <v>0</v>
      </c>
      <c r="V4357" s="15">
        <f>IF(T4357="",0,IF(AND(G4357=T4357,COUNTIFS($S$6:S4357,S4357,$G$6:G4357,G4357,$D$6:D4357,"Vastgesteld")&gt;1),1,0))</f>
        <v>0</v>
      </c>
    </row>
    <row r="4358">
      <c r="S4358" s="15" t="str">
        <f>IF(J4358="","",J4358&amp;"|"&amp;E4358&amp;"|"&amp;F4358&amp;"|"&amp;I4358&amp;"|"&amp;O4358)</f>
        <v/>
      </c>
      <c r="T4358" s="15" t="str">
        <f>IF(OR(S4358="",D4358&lt;&gt;"Vastgesteld"),"",_xlfn.MAXIFS($G$6:$G$5005,$S$6:$S$5005,S4358,$D$6:$D$5005,"Vastgesteld"))</f>
        <v/>
      </c>
      <c r="U4358" s="15">
        <f>IF(T4358="",0,IF(AND(G4358=T4358,COUNTIFS($S$6:S4358,S4358,$G$6:G4358,G4358,$D$6:D4358,"Vastgesteld")=1),1,0))</f>
        <v>0</v>
      </c>
      <c r="V4358" s="15">
        <f>IF(T4358="",0,IF(AND(G4358=T4358,COUNTIFS($S$6:S4358,S4358,$G$6:G4358,G4358,$D$6:D4358,"Vastgesteld")&gt;1),1,0))</f>
        <v>0</v>
      </c>
    </row>
    <row r="4359">
      <c r="S4359" s="15" t="str">
        <f>IF(J4359="","",J4359&amp;"|"&amp;E4359&amp;"|"&amp;F4359&amp;"|"&amp;I4359&amp;"|"&amp;O4359)</f>
        <v/>
      </c>
      <c r="T4359" s="15" t="str">
        <f>IF(OR(S4359="",D4359&lt;&gt;"Vastgesteld"),"",_xlfn.MAXIFS($G$6:$G$5005,$S$6:$S$5005,S4359,$D$6:$D$5005,"Vastgesteld"))</f>
        <v/>
      </c>
      <c r="U4359" s="15">
        <f>IF(T4359="",0,IF(AND(G4359=T4359,COUNTIFS($S$6:S4359,S4359,$G$6:G4359,G4359,$D$6:D4359,"Vastgesteld")=1),1,0))</f>
        <v>0</v>
      </c>
      <c r="V4359" s="15">
        <f>IF(T4359="",0,IF(AND(G4359=T4359,COUNTIFS($S$6:S4359,S4359,$G$6:G4359,G4359,$D$6:D4359,"Vastgesteld")&gt;1),1,0))</f>
        <v>0</v>
      </c>
    </row>
    <row r="4360">
      <c r="S4360" s="15" t="str">
        <f>IF(J4360="","",J4360&amp;"|"&amp;E4360&amp;"|"&amp;F4360&amp;"|"&amp;I4360&amp;"|"&amp;O4360)</f>
        <v/>
      </c>
      <c r="T4360" s="15" t="str">
        <f>IF(OR(S4360="",D4360&lt;&gt;"Vastgesteld"),"",_xlfn.MAXIFS($G$6:$G$5005,$S$6:$S$5005,S4360,$D$6:$D$5005,"Vastgesteld"))</f>
        <v/>
      </c>
      <c r="U4360" s="15">
        <f>IF(T4360="",0,IF(AND(G4360=T4360,COUNTIFS($S$6:S4360,S4360,$G$6:G4360,G4360,$D$6:D4360,"Vastgesteld")=1),1,0))</f>
        <v>0</v>
      </c>
      <c r="V4360" s="15">
        <f>IF(T4360="",0,IF(AND(G4360=T4360,COUNTIFS($S$6:S4360,S4360,$G$6:G4360,G4360,$D$6:D4360,"Vastgesteld")&gt;1),1,0))</f>
        <v>0</v>
      </c>
    </row>
    <row r="4361">
      <c r="S4361" s="15" t="str">
        <f>IF(J4361="","",J4361&amp;"|"&amp;E4361&amp;"|"&amp;F4361&amp;"|"&amp;I4361&amp;"|"&amp;O4361)</f>
        <v/>
      </c>
      <c r="T4361" s="15" t="str">
        <f>IF(OR(S4361="",D4361&lt;&gt;"Vastgesteld"),"",_xlfn.MAXIFS($G$6:$G$5005,$S$6:$S$5005,S4361,$D$6:$D$5005,"Vastgesteld"))</f>
        <v/>
      </c>
      <c r="U4361" s="15">
        <f>IF(T4361="",0,IF(AND(G4361=T4361,COUNTIFS($S$6:S4361,S4361,$G$6:G4361,G4361,$D$6:D4361,"Vastgesteld")=1),1,0))</f>
        <v>0</v>
      </c>
      <c r="V4361" s="15">
        <f>IF(T4361="",0,IF(AND(G4361=T4361,COUNTIFS($S$6:S4361,S4361,$G$6:G4361,G4361,$D$6:D4361,"Vastgesteld")&gt;1),1,0))</f>
        <v>0</v>
      </c>
    </row>
    <row r="4362">
      <c r="S4362" s="15" t="str">
        <f>IF(J4362="","",J4362&amp;"|"&amp;E4362&amp;"|"&amp;F4362&amp;"|"&amp;I4362&amp;"|"&amp;O4362)</f>
        <v/>
      </c>
      <c r="T4362" s="15" t="str">
        <f>IF(OR(S4362="",D4362&lt;&gt;"Vastgesteld"),"",_xlfn.MAXIFS($G$6:$G$5005,$S$6:$S$5005,S4362,$D$6:$D$5005,"Vastgesteld"))</f>
        <v/>
      </c>
      <c r="U4362" s="15">
        <f>IF(T4362="",0,IF(AND(G4362=T4362,COUNTIFS($S$6:S4362,S4362,$G$6:G4362,G4362,$D$6:D4362,"Vastgesteld")=1),1,0))</f>
        <v>0</v>
      </c>
      <c r="V4362" s="15">
        <f>IF(T4362="",0,IF(AND(G4362=T4362,COUNTIFS($S$6:S4362,S4362,$G$6:G4362,G4362,$D$6:D4362,"Vastgesteld")&gt;1),1,0))</f>
        <v>0</v>
      </c>
    </row>
    <row r="4363">
      <c r="S4363" s="15" t="str">
        <f>IF(J4363="","",J4363&amp;"|"&amp;E4363&amp;"|"&amp;F4363&amp;"|"&amp;I4363&amp;"|"&amp;O4363)</f>
        <v/>
      </c>
      <c r="T4363" s="15" t="str">
        <f>IF(OR(S4363="",D4363&lt;&gt;"Vastgesteld"),"",_xlfn.MAXIFS($G$6:$G$5005,$S$6:$S$5005,S4363,$D$6:$D$5005,"Vastgesteld"))</f>
        <v/>
      </c>
      <c r="U4363" s="15">
        <f>IF(T4363="",0,IF(AND(G4363=T4363,COUNTIFS($S$6:S4363,S4363,$G$6:G4363,G4363,$D$6:D4363,"Vastgesteld")=1),1,0))</f>
        <v>0</v>
      </c>
      <c r="V4363" s="15">
        <f>IF(T4363="",0,IF(AND(G4363=T4363,COUNTIFS($S$6:S4363,S4363,$G$6:G4363,G4363,$D$6:D4363,"Vastgesteld")&gt;1),1,0))</f>
        <v>0</v>
      </c>
    </row>
    <row r="4364">
      <c r="S4364" s="15" t="str">
        <f>IF(J4364="","",J4364&amp;"|"&amp;E4364&amp;"|"&amp;F4364&amp;"|"&amp;I4364&amp;"|"&amp;O4364)</f>
        <v/>
      </c>
      <c r="T4364" s="15" t="str">
        <f>IF(OR(S4364="",D4364&lt;&gt;"Vastgesteld"),"",_xlfn.MAXIFS($G$6:$G$5005,$S$6:$S$5005,S4364,$D$6:$D$5005,"Vastgesteld"))</f>
        <v/>
      </c>
      <c r="U4364" s="15">
        <f>IF(T4364="",0,IF(AND(G4364=T4364,COUNTIFS($S$6:S4364,S4364,$G$6:G4364,G4364,$D$6:D4364,"Vastgesteld")=1),1,0))</f>
        <v>0</v>
      </c>
      <c r="V4364" s="15">
        <f>IF(T4364="",0,IF(AND(G4364=T4364,COUNTIFS($S$6:S4364,S4364,$G$6:G4364,G4364,$D$6:D4364,"Vastgesteld")&gt;1),1,0))</f>
        <v>0</v>
      </c>
    </row>
    <row r="4365">
      <c r="S4365" s="15" t="str">
        <f>IF(J4365="","",J4365&amp;"|"&amp;E4365&amp;"|"&amp;F4365&amp;"|"&amp;I4365&amp;"|"&amp;O4365)</f>
        <v/>
      </c>
      <c r="T4365" s="15" t="str">
        <f>IF(OR(S4365="",D4365&lt;&gt;"Vastgesteld"),"",_xlfn.MAXIFS($G$6:$G$5005,$S$6:$S$5005,S4365,$D$6:$D$5005,"Vastgesteld"))</f>
        <v/>
      </c>
      <c r="U4365" s="15">
        <f>IF(T4365="",0,IF(AND(G4365=T4365,COUNTIFS($S$6:S4365,S4365,$G$6:G4365,G4365,$D$6:D4365,"Vastgesteld")=1),1,0))</f>
        <v>0</v>
      </c>
      <c r="V4365" s="15">
        <f>IF(T4365="",0,IF(AND(G4365=T4365,COUNTIFS($S$6:S4365,S4365,$G$6:G4365,G4365,$D$6:D4365,"Vastgesteld")&gt;1),1,0))</f>
        <v>0</v>
      </c>
    </row>
    <row r="4366">
      <c r="S4366" s="15" t="str">
        <f>IF(J4366="","",J4366&amp;"|"&amp;E4366&amp;"|"&amp;F4366&amp;"|"&amp;I4366&amp;"|"&amp;O4366)</f>
        <v/>
      </c>
      <c r="T4366" s="15" t="str">
        <f>IF(OR(S4366="",D4366&lt;&gt;"Vastgesteld"),"",_xlfn.MAXIFS($G$6:$G$5005,$S$6:$S$5005,S4366,$D$6:$D$5005,"Vastgesteld"))</f>
        <v/>
      </c>
      <c r="U4366" s="15">
        <f>IF(T4366="",0,IF(AND(G4366=T4366,COUNTIFS($S$6:S4366,S4366,$G$6:G4366,G4366,$D$6:D4366,"Vastgesteld")=1),1,0))</f>
        <v>0</v>
      </c>
      <c r="V4366" s="15">
        <f>IF(T4366="",0,IF(AND(G4366=T4366,COUNTIFS($S$6:S4366,S4366,$G$6:G4366,G4366,$D$6:D4366,"Vastgesteld")&gt;1),1,0))</f>
        <v>0</v>
      </c>
    </row>
    <row r="4367">
      <c r="S4367" s="15" t="str">
        <f>IF(J4367="","",J4367&amp;"|"&amp;E4367&amp;"|"&amp;F4367&amp;"|"&amp;I4367&amp;"|"&amp;O4367)</f>
        <v/>
      </c>
      <c r="T4367" s="15" t="str">
        <f>IF(OR(S4367="",D4367&lt;&gt;"Vastgesteld"),"",_xlfn.MAXIFS($G$6:$G$5005,$S$6:$S$5005,S4367,$D$6:$D$5005,"Vastgesteld"))</f>
        <v/>
      </c>
      <c r="U4367" s="15">
        <f>IF(T4367="",0,IF(AND(G4367=T4367,COUNTIFS($S$6:S4367,S4367,$G$6:G4367,G4367,$D$6:D4367,"Vastgesteld")=1),1,0))</f>
        <v>0</v>
      </c>
      <c r="V4367" s="15">
        <f>IF(T4367="",0,IF(AND(G4367=T4367,COUNTIFS($S$6:S4367,S4367,$G$6:G4367,G4367,$D$6:D4367,"Vastgesteld")&gt;1),1,0))</f>
        <v>0</v>
      </c>
    </row>
    <row r="4368">
      <c r="S4368" s="15" t="str">
        <f>IF(J4368="","",J4368&amp;"|"&amp;E4368&amp;"|"&amp;F4368&amp;"|"&amp;I4368&amp;"|"&amp;O4368)</f>
        <v/>
      </c>
      <c r="T4368" s="15" t="str">
        <f>IF(OR(S4368="",D4368&lt;&gt;"Vastgesteld"),"",_xlfn.MAXIFS($G$6:$G$5005,$S$6:$S$5005,S4368,$D$6:$D$5005,"Vastgesteld"))</f>
        <v/>
      </c>
      <c r="U4368" s="15">
        <f>IF(T4368="",0,IF(AND(G4368=T4368,COUNTIFS($S$6:S4368,S4368,$G$6:G4368,G4368,$D$6:D4368,"Vastgesteld")=1),1,0))</f>
        <v>0</v>
      </c>
      <c r="V4368" s="15">
        <f>IF(T4368="",0,IF(AND(G4368=T4368,COUNTIFS($S$6:S4368,S4368,$G$6:G4368,G4368,$D$6:D4368,"Vastgesteld")&gt;1),1,0))</f>
        <v>0</v>
      </c>
    </row>
    <row r="4369">
      <c r="S4369" s="15" t="str">
        <f>IF(J4369="","",J4369&amp;"|"&amp;E4369&amp;"|"&amp;F4369&amp;"|"&amp;I4369&amp;"|"&amp;O4369)</f>
        <v/>
      </c>
      <c r="T4369" s="15" t="str">
        <f>IF(OR(S4369="",D4369&lt;&gt;"Vastgesteld"),"",_xlfn.MAXIFS($G$6:$G$5005,$S$6:$S$5005,S4369,$D$6:$D$5005,"Vastgesteld"))</f>
        <v/>
      </c>
      <c r="U4369" s="15">
        <f>IF(T4369="",0,IF(AND(G4369=T4369,COUNTIFS($S$6:S4369,S4369,$G$6:G4369,G4369,$D$6:D4369,"Vastgesteld")=1),1,0))</f>
        <v>0</v>
      </c>
      <c r="V4369" s="15">
        <f>IF(T4369="",0,IF(AND(G4369=T4369,COUNTIFS($S$6:S4369,S4369,$G$6:G4369,G4369,$D$6:D4369,"Vastgesteld")&gt;1),1,0))</f>
        <v>0</v>
      </c>
    </row>
    <row r="4370">
      <c r="S4370" s="15" t="str">
        <f>IF(J4370="","",J4370&amp;"|"&amp;E4370&amp;"|"&amp;F4370&amp;"|"&amp;I4370&amp;"|"&amp;O4370)</f>
        <v/>
      </c>
      <c r="T4370" s="15" t="str">
        <f>IF(OR(S4370="",D4370&lt;&gt;"Vastgesteld"),"",_xlfn.MAXIFS($G$6:$G$5005,$S$6:$S$5005,S4370,$D$6:$D$5005,"Vastgesteld"))</f>
        <v/>
      </c>
      <c r="U4370" s="15">
        <f>IF(T4370="",0,IF(AND(G4370=T4370,COUNTIFS($S$6:S4370,S4370,$G$6:G4370,G4370,$D$6:D4370,"Vastgesteld")=1),1,0))</f>
        <v>0</v>
      </c>
      <c r="V4370" s="15">
        <f>IF(T4370="",0,IF(AND(G4370=T4370,COUNTIFS($S$6:S4370,S4370,$G$6:G4370,G4370,$D$6:D4370,"Vastgesteld")&gt;1),1,0))</f>
        <v>0</v>
      </c>
    </row>
    <row r="4371">
      <c r="S4371" s="15" t="str">
        <f>IF(J4371="","",J4371&amp;"|"&amp;E4371&amp;"|"&amp;F4371&amp;"|"&amp;I4371&amp;"|"&amp;O4371)</f>
        <v/>
      </c>
      <c r="T4371" s="15" t="str">
        <f>IF(OR(S4371="",D4371&lt;&gt;"Vastgesteld"),"",_xlfn.MAXIFS($G$6:$G$5005,$S$6:$S$5005,S4371,$D$6:$D$5005,"Vastgesteld"))</f>
        <v/>
      </c>
      <c r="U4371" s="15">
        <f>IF(T4371="",0,IF(AND(G4371=T4371,COUNTIFS($S$6:S4371,S4371,$G$6:G4371,G4371,$D$6:D4371,"Vastgesteld")=1),1,0))</f>
        <v>0</v>
      </c>
      <c r="V4371" s="15">
        <f>IF(T4371="",0,IF(AND(G4371=T4371,COUNTIFS($S$6:S4371,S4371,$G$6:G4371,G4371,$D$6:D4371,"Vastgesteld")&gt;1),1,0))</f>
        <v>0</v>
      </c>
    </row>
    <row r="4372">
      <c r="S4372" s="15" t="str">
        <f>IF(J4372="","",J4372&amp;"|"&amp;E4372&amp;"|"&amp;F4372&amp;"|"&amp;I4372&amp;"|"&amp;O4372)</f>
        <v/>
      </c>
      <c r="T4372" s="15" t="str">
        <f>IF(OR(S4372="",D4372&lt;&gt;"Vastgesteld"),"",_xlfn.MAXIFS($G$6:$G$5005,$S$6:$S$5005,S4372,$D$6:$D$5005,"Vastgesteld"))</f>
        <v/>
      </c>
      <c r="U4372" s="15">
        <f>IF(T4372="",0,IF(AND(G4372=T4372,COUNTIFS($S$6:S4372,S4372,$G$6:G4372,G4372,$D$6:D4372,"Vastgesteld")=1),1,0))</f>
        <v>0</v>
      </c>
      <c r="V4372" s="15">
        <f>IF(T4372="",0,IF(AND(G4372=T4372,COUNTIFS($S$6:S4372,S4372,$G$6:G4372,G4372,$D$6:D4372,"Vastgesteld")&gt;1),1,0))</f>
        <v>0</v>
      </c>
    </row>
    <row r="4373">
      <c r="S4373" s="15" t="str">
        <f>IF(J4373="","",J4373&amp;"|"&amp;E4373&amp;"|"&amp;F4373&amp;"|"&amp;I4373&amp;"|"&amp;O4373)</f>
        <v/>
      </c>
      <c r="T4373" s="15" t="str">
        <f>IF(OR(S4373="",D4373&lt;&gt;"Vastgesteld"),"",_xlfn.MAXIFS($G$6:$G$5005,$S$6:$S$5005,S4373,$D$6:$D$5005,"Vastgesteld"))</f>
        <v/>
      </c>
      <c r="U4373" s="15">
        <f>IF(T4373="",0,IF(AND(G4373=T4373,COUNTIFS($S$6:S4373,S4373,$G$6:G4373,G4373,$D$6:D4373,"Vastgesteld")=1),1,0))</f>
        <v>0</v>
      </c>
      <c r="V4373" s="15">
        <f>IF(T4373="",0,IF(AND(G4373=T4373,COUNTIFS($S$6:S4373,S4373,$G$6:G4373,G4373,$D$6:D4373,"Vastgesteld")&gt;1),1,0))</f>
        <v>0</v>
      </c>
    </row>
    <row r="4374">
      <c r="S4374" s="15" t="str">
        <f>IF(J4374="","",J4374&amp;"|"&amp;E4374&amp;"|"&amp;F4374&amp;"|"&amp;I4374&amp;"|"&amp;O4374)</f>
        <v/>
      </c>
      <c r="T4374" s="15" t="str">
        <f>IF(OR(S4374="",D4374&lt;&gt;"Vastgesteld"),"",_xlfn.MAXIFS($G$6:$G$5005,$S$6:$S$5005,S4374,$D$6:$D$5005,"Vastgesteld"))</f>
        <v/>
      </c>
      <c r="U4374" s="15">
        <f>IF(T4374="",0,IF(AND(G4374=T4374,COUNTIFS($S$6:S4374,S4374,$G$6:G4374,G4374,$D$6:D4374,"Vastgesteld")=1),1,0))</f>
        <v>0</v>
      </c>
      <c r="V4374" s="15">
        <f>IF(T4374="",0,IF(AND(G4374=T4374,COUNTIFS($S$6:S4374,S4374,$G$6:G4374,G4374,$D$6:D4374,"Vastgesteld")&gt;1),1,0))</f>
        <v>0</v>
      </c>
    </row>
    <row r="4375">
      <c r="S4375" s="15" t="str">
        <f>IF(J4375="","",J4375&amp;"|"&amp;E4375&amp;"|"&amp;F4375&amp;"|"&amp;I4375&amp;"|"&amp;O4375)</f>
        <v/>
      </c>
      <c r="T4375" s="15" t="str">
        <f>IF(OR(S4375="",D4375&lt;&gt;"Vastgesteld"),"",_xlfn.MAXIFS($G$6:$G$5005,$S$6:$S$5005,S4375,$D$6:$D$5005,"Vastgesteld"))</f>
        <v/>
      </c>
      <c r="U4375" s="15">
        <f>IF(T4375="",0,IF(AND(G4375=T4375,COUNTIFS($S$6:S4375,S4375,$G$6:G4375,G4375,$D$6:D4375,"Vastgesteld")=1),1,0))</f>
        <v>0</v>
      </c>
      <c r="V4375" s="15">
        <f>IF(T4375="",0,IF(AND(G4375=T4375,COUNTIFS($S$6:S4375,S4375,$G$6:G4375,G4375,$D$6:D4375,"Vastgesteld")&gt;1),1,0))</f>
        <v>0</v>
      </c>
    </row>
    <row r="4376">
      <c r="S4376" s="15" t="str">
        <f>IF(J4376="","",J4376&amp;"|"&amp;E4376&amp;"|"&amp;F4376&amp;"|"&amp;I4376&amp;"|"&amp;O4376)</f>
        <v/>
      </c>
      <c r="T4376" s="15" t="str">
        <f>IF(OR(S4376="",D4376&lt;&gt;"Vastgesteld"),"",_xlfn.MAXIFS($G$6:$G$5005,$S$6:$S$5005,S4376,$D$6:$D$5005,"Vastgesteld"))</f>
        <v/>
      </c>
      <c r="U4376" s="15">
        <f>IF(T4376="",0,IF(AND(G4376=T4376,COUNTIFS($S$6:S4376,S4376,$G$6:G4376,G4376,$D$6:D4376,"Vastgesteld")=1),1,0))</f>
        <v>0</v>
      </c>
      <c r="V4376" s="15">
        <f>IF(T4376="",0,IF(AND(G4376=T4376,COUNTIFS($S$6:S4376,S4376,$G$6:G4376,G4376,$D$6:D4376,"Vastgesteld")&gt;1),1,0))</f>
        <v>0</v>
      </c>
    </row>
    <row r="4377">
      <c r="S4377" s="15" t="str">
        <f>IF(J4377="","",J4377&amp;"|"&amp;E4377&amp;"|"&amp;F4377&amp;"|"&amp;I4377&amp;"|"&amp;O4377)</f>
        <v/>
      </c>
      <c r="T4377" s="15" t="str">
        <f>IF(OR(S4377="",D4377&lt;&gt;"Vastgesteld"),"",_xlfn.MAXIFS($G$6:$G$5005,$S$6:$S$5005,S4377,$D$6:$D$5005,"Vastgesteld"))</f>
        <v/>
      </c>
      <c r="U4377" s="15">
        <f>IF(T4377="",0,IF(AND(G4377=T4377,COUNTIFS($S$6:S4377,S4377,$G$6:G4377,G4377,$D$6:D4377,"Vastgesteld")=1),1,0))</f>
        <v>0</v>
      </c>
      <c r="V4377" s="15">
        <f>IF(T4377="",0,IF(AND(G4377=T4377,COUNTIFS($S$6:S4377,S4377,$G$6:G4377,G4377,$D$6:D4377,"Vastgesteld")&gt;1),1,0))</f>
        <v>0</v>
      </c>
    </row>
    <row r="4378">
      <c r="S4378" s="15" t="str">
        <f>IF(J4378="","",J4378&amp;"|"&amp;E4378&amp;"|"&amp;F4378&amp;"|"&amp;I4378&amp;"|"&amp;O4378)</f>
        <v/>
      </c>
      <c r="T4378" s="15" t="str">
        <f>IF(OR(S4378="",D4378&lt;&gt;"Vastgesteld"),"",_xlfn.MAXIFS($G$6:$G$5005,$S$6:$S$5005,S4378,$D$6:$D$5005,"Vastgesteld"))</f>
        <v/>
      </c>
      <c r="U4378" s="15">
        <f>IF(T4378="",0,IF(AND(G4378=T4378,COUNTIFS($S$6:S4378,S4378,$G$6:G4378,G4378,$D$6:D4378,"Vastgesteld")=1),1,0))</f>
        <v>0</v>
      </c>
      <c r="V4378" s="15">
        <f>IF(T4378="",0,IF(AND(G4378=T4378,COUNTIFS($S$6:S4378,S4378,$G$6:G4378,G4378,$D$6:D4378,"Vastgesteld")&gt;1),1,0))</f>
        <v>0</v>
      </c>
    </row>
    <row r="4379">
      <c r="S4379" s="15" t="str">
        <f>IF(J4379="","",J4379&amp;"|"&amp;E4379&amp;"|"&amp;F4379&amp;"|"&amp;I4379&amp;"|"&amp;O4379)</f>
        <v/>
      </c>
      <c r="T4379" s="15" t="str">
        <f>IF(OR(S4379="",D4379&lt;&gt;"Vastgesteld"),"",_xlfn.MAXIFS($G$6:$G$5005,$S$6:$S$5005,S4379,$D$6:$D$5005,"Vastgesteld"))</f>
        <v/>
      </c>
      <c r="U4379" s="15">
        <f>IF(T4379="",0,IF(AND(G4379=T4379,COUNTIFS($S$6:S4379,S4379,$G$6:G4379,G4379,$D$6:D4379,"Vastgesteld")=1),1,0))</f>
        <v>0</v>
      </c>
      <c r="V4379" s="15">
        <f>IF(T4379="",0,IF(AND(G4379=T4379,COUNTIFS($S$6:S4379,S4379,$G$6:G4379,G4379,$D$6:D4379,"Vastgesteld")&gt;1),1,0))</f>
        <v>0</v>
      </c>
    </row>
    <row r="4380">
      <c r="S4380" s="15" t="str">
        <f>IF(J4380="","",J4380&amp;"|"&amp;E4380&amp;"|"&amp;F4380&amp;"|"&amp;I4380&amp;"|"&amp;O4380)</f>
        <v/>
      </c>
      <c r="T4380" s="15" t="str">
        <f>IF(OR(S4380="",D4380&lt;&gt;"Vastgesteld"),"",_xlfn.MAXIFS($G$6:$G$5005,$S$6:$S$5005,S4380,$D$6:$D$5005,"Vastgesteld"))</f>
        <v/>
      </c>
      <c r="U4380" s="15">
        <f>IF(T4380="",0,IF(AND(G4380=T4380,COUNTIFS($S$6:S4380,S4380,$G$6:G4380,G4380,$D$6:D4380,"Vastgesteld")=1),1,0))</f>
        <v>0</v>
      </c>
      <c r="V4380" s="15">
        <f>IF(T4380="",0,IF(AND(G4380=T4380,COUNTIFS($S$6:S4380,S4380,$G$6:G4380,G4380,$D$6:D4380,"Vastgesteld")&gt;1),1,0))</f>
        <v>0</v>
      </c>
    </row>
    <row r="4381">
      <c r="S4381" s="15" t="str">
        <f>IF(J4381="","",J4381&amp;"|"&amp;E4381&amp;"|"&amp;F4381&amp;"|"&amp;I4381&amp;"|"&amp;O4381)</f>
        <v/>
      </c>
      <c r="T4381" s="15" t="str">
        <f>IF(OR(S4381="",D4381&lt;&gt;"Vastgesteld"),"",_xlfn.MAXIFS($G$6:$G$5005,$S$6:$S$5005,S4381,$D$6:$D$5005,"Vastgesteld"))</f>
        <v/>
      </c>
      <c r="U4381" s="15">
        <f>IF(T4381="",0,IF(AND(G4381=T4381,COUNTIFS($S$6:S4381,S4381,$G$6:G4381,G4381,$D$6:D4381,"Vastgesteld")=1),1,0))</f>
        <v>0</v>
      </c>
      <c r="V4381" s="15">
        <f>IF(T4381="",0,IF(AND(G4381=T4381,COUNTIFS($S$6:S4381,S4381,$G$6:G4381,G4381,$D$6:D4381,"Vastgesteld")&gt;1),1,0))</f>
        <v>0</v>
      </c>
    </row>
    <row r="4382">
      <c r="S4382" s="15" t="str">
        <f>IF(J4382="","",J4382&amp;"|"&amp;E4382&amp;"|"&amp;F4382&amp;"|"&amp;I4382&amp;"|"&amp;O4382)</f>
        <v/>
      </c>
      <c r="T4382" s="15" t="str">
        <f>IF(OR(S4382="",D4382&lt;&gt;"Vastgesteld"),"",_xlfn.MAXIFS($G$6:$G$5005,$S$6:$S$5005,S4382,$D$6:$D$5005,"Vastgesteld"))</f>
        <v/>
      </c>
      <c r="U4382" s="15">
        <f>IF(T4382="",0,IF(AND(G4382=T4382,COUNTIFS($S$6:S4382,S4382,$G$6:G4382,G4382,$D$6:D4382,"Vastgesteld")=1),1,0))</f>
        <v>0</v>
      </c>
      <c r="V4382" s="15">
        <f>IF(T4382="",0,IF(AND(G4382=T4382,COUNTIFS($S$6:S4382,S4382,$G$6:G4382,G4382,$D$6:D4382,"Vastgesteld")&gt;1),1,0))</f>
        <v>0</v>
      </c>
    </row>
    <row r="4383">
      <c r="S4383" s="15" t="str">
        <f>IF(J4383="","",J4383&amp;"|"&amp;E4383&amp;"|"&amp;F4383&amp;"|"&amp;I4383&amp;"|"&amp;O4383)</f>
        <v/>
      </c>
      <c r="T4383" s="15" t="str">
        <f>IF(OR(S4383="",D4383&lt;&gt;"Vastgesteld"),"",_xlfn.MAXIFS($G$6:$G$5005,$S$6:$S$5005,S4383,$D$6:$D$5005,"Vastgesteld"))</f>
        <v/>
      </c>
      <c r="U4383" s="15">
        <f>IF(T4383="",0,IF(AND(G4383=T4383,COUNTIFS($S$6:S4383,S4383,$G$6:G4383,G4383,$D$6:D4383,"Vastgesteld")=1),1,0))</f>
        <v>0</v>
      </c>
      <c r="V4383" s="15">
        <f>IF(T4383="",0,IF(AND(G4383=T4383,COUNTIFS($S$6:S4383,S4383,$G$6:G4383,G4383,$D$6:D4383,"Vastgesteld")&gt;1),1,0))</f>
        <v>0</v>
      </c>
    </row>
    <row r="4384">
      <c r="S4384" s="15" t="str">
        <f>IF(J4384="","",J4384&amp;"|"&amp;E4384&amp;"|"&amp;F4384&amp;"|"&amp;I4384&amp;"|"&amp;O4384)</f>
        <v/>
      </c>
      <c r="T4384" s="15" t="str">
        <f>IF(OR(S4384="",D4384&lt;&gt;"Vastgesteld"),"",_xlfn.MAXIFS($G$6:$G$5005,$S$6:$S$5005,S4384,$D$6:$D$5005,"Vastgesteld"))</f>
        <v/>
      </c>
      <c r="U4384" s="15">
        <f>IF(T4384="",0,IF(AND(G4384=T4384,COUNTIFS($S$6:S4384,S4384,$G$6:G4384,G4384,$D$6:D4384,"Vastgesteld")=1),1,0))</f>
        <v>0</v>
      </c>
      <c r="V4384" s="15">
        <f>IF(T4384="",0,IF(AND(G4384=T4384,COUNTIFS($S$6:S4384,S4384,$G$6:G4384,G4384,$D$6:D4384,"Vastgesteld")&gt;1),1,0))</f>
        <v>0</v>
      </c>
    </row>
    <row r="4385">
      <c r="S4385" s="15" t="str">
        <f>IF(J4385="","",J4385&amp;"|"&amp;E4385&amp;"|"&amp;F4385&amp;"|"&amp;I4385&amp;"|"&amp;O4385)</f>
        <v/>
      </c>
      <c r="T4385" s="15" t="str">
        <f>IF(OR(S4385="",D4385&lt;&gt;"Vastgesteld"),"",_xlfn.MAXIFS($G$6:$G$5005,$S$6:$S$5005,S4385,$D$6:$D$5005,"Vastgesteld"))</f>
        <v/>
      </c>
      <c r="U4385" s="15">
        <f>IF(T4385="",0,IF(AND(G4385=T4385,COUNTIFS($S$6:S4385,S4385,$G$6:G4385,G4385,$D$6:D4385,"Vastgesteld")=1),1,0))</f>
        <v>0</v>
      </c>
      <c r="V4385" s="15">
        <f>IF(T4385="",0,IF(AND(G4385=T4385,COUNTIFS($S$6:S4385,S4385,$G$6:G4385,G4385,$D$6:D4385,"Vastgesteld")&gt;1),1,0))</f>
        <v>0</v>
      </c>
    </row>
    <row r="4386">
      <c r="S4386" s="15" t="str">
        <f>IF(J4386="","",J4386&amp;"|"&amp;E4386&amp;"|"&amp;F4386&amp;"|"&amp;I4386&amp;"|"&amp;O4386)</f>
        <v/>
      </c>
      <c r="T4386" s="15" t="str">
        <f>IF(OR(S4386="",D4386&lt;&gt;"Vastgesteld"),"",_xlfn.MAXIFS($G$6:$G$5005,$S$6:$S$5005,S4386,$D$6:$D$5005,"Vastgesteld"))</f>
        <v/>
      </c>
      <c r="U4386" s="15">
        <f>IF(T4386="",0,IF(AND(G4386=T4386,COUNTIFS($S$6:S4386,S4386,$G$6:G4386,G4386,$D$6:D4386,"Vastgesteld")=1),1,0))</f>
        <v>0</v>
      </c>
      <c r="V4386" s="15">
        <f>IF(T4386="",0,IF(AND(G4386=T4386,COUNTIFS($S$6:S4386,S4386,$G$6:G4386,G4386,$D$6:D4386,"Vastgesteld")&gt;1),1,0))</f>
        <v>0</v>
      </c>
    </row>
    <row r="4387">
      <c r="S4387" s="15" t="str">
        <f>IF(J4387="","",J4387&amp;"|"&amp;E4387&amp;"|"&amp;F4387&amp;"|"&amp;I4387&amp;"|"&amp;O4387)</f>
        <v/>
      </c>
      <c r="T4387" s="15" t="str">
        <f>IF(OR(S4387="",D4387&lt;&gt;"Vastgesteld"),"",_xlfn.MAXIFS($G$6:$G$5005,$S$6:$S$5005,S4387,$D$6:$D$5005,"Vastgesteld"))</f>
        <v/>
      </c>
      <c r="U4387" s="15">
        <f>IF(T4387="",0,IF(AND(G4387=T4387,COUNTIFS($S$6:S4387,S4387,$G$6:G4387,G4387,$D$6:D4387,"Vastgesteld")=1),1,0))</f>
        <v>0</v>
      </c>
      <c r="V4387" s="15">
        <f>IF(T4387="",0,IF(AND(G4387=T4387,COUNTIFS($S$6:S4387,S4387,$G$6:G4387,G4387,$D$6:D4387,"Vastgesteld")&gt;1),1,0))</f>
        <v>0</v>
      </c>
    </row>
    <row r="4388">
      <c r="S4388" s="15" t="str">
        <f>IF(J4388="","",J4388&amp;"|"&amp;E4388&amp;"|"&amp;F4388&amp;"|"&amp;I4388&amp;"|"&amp;O4388)</f>
        <v/>
      </c>
      <c r="T4388" s="15" t="str">
        <f>IF(OR(S4388="",D4388&lt;&gt;"Vastgesteld"),"",_xlfn.MAXIFS($G$6:$G$5005,$S$6:$S$5005,S4388,$D$6:$D$5005,"Vastgesteld"))</f>
        <v/>
      </c>
      <c r="U4388" s="15">
        <f>IF(T4388="",0,IF(AND(G4388=T4388,COUNTIFS($S$6:S4388,S4388,$G$6:G4388,G4388,$D$6:D4388,"Vastgesteld")=1),1,0))</f>
        <v>0</v>
      </c>
      <c r="V4388" s="15">
        <f>IF(T4388="",0,IF(AND(G4388=T4388,COUNTIFS($S$6:S4388,S4388,$G$6:G4388,G4388,$D$6:D4388,"Vastgesteld")&gt;1),1,0))</f>
        <v>0</v>
      </c>
    </row>
    <row r="4389">
      <c r="S4389" s="15" t="str">
        <f>IF(J4389="","",J4389&amp;"|"&amp;E4389&amp;"|"&amp;F4389&amp;"|"&amp;I4389&amp;"|"&amp;O4389)</f>
        <v/>
      </c>
      <c r="T4389" s="15" t="str">
        <f>IF(OR(S4389="",D4389&lt;&gt;"Vastgesteld"),"",_xlfn.MAXIFS($G$6:$G$5005,$S$6:$S$5005,S4389,$D$6:$D$5005,"Vastgesteld"))</f>
        <v/>
      </c>
      <c r="U4389" s="15">
        <f>IF(T4389="",0,IF(AND(G4389=T4389,COUNTIFS($S$6:S4389,S4389,$G$6:G4389,G4389,$D$6:D4389,"Vastgesteld")=1),1,0))</f>
        <v>0</v>
      </c>
      <c r="V4389" s="15">
        <f>IF(T4389="",0,IF(AND(G4389=T4389,COUNTIFS($S$6:S4389,S4389,$G$6:G4389,G4389,$D$6:D4389,"Vastgesteld")&gt;1),1,0))</f>
        <v>0</v>
      </c>
    </row>
    <row r="4390">
      <c r="S4390" s="15" t="str">
        <f>IF(J4390="","",J4390&amp;"|"&amp;E4390&amp;"|"&amp;F4390&amp;"|"&amp;I4390&amp;"|"&amp;O4390)</f>
        <v/>
      </c>
      <c r="T4390" s="15" t="str">
        <f>IF(OR(S4390="",D4390&lt;&gt;"Vastgesteld"),"",_xlfn.MAXIFS($G$6:$G$5005,$S$6:$S$5005,S4390,$D$6:$D$5005,"Vastgesteld"))</f>
        <v/>
      </c>
      <c r="U4390" s="15">
        <f>IF(T4390="",0,IF(AND(G4390=T4390,COUNTIFS($S$6:S4390,S4390,$G$6:G4390,G4390,$D$6:D4390,"Vastgesteld")=1),1,0))</f>
        <v>0</v>
      </c>
      <c r="V4390" s="15">
        <f>IF(T4390="",0,IF(AND(G4390=T4390,COUNTIFS($S$6:S4390,S4390,$G$6:G4390,G4390,$D$6:D4390,"Vastgesteld")&gt;1),1,0))</f>
        <v>0</v>
      </c>
    </row>
    <row r="4391">
      <c r="S4391" s="15" t="str">
        <f>IF(J4391="","",J4391&amp;"|"&amp;E4391&amp;"|"&amp;F4391&amp;"|"&amp;I4391&amp;"|"&amp;O4391)</f>
        <v/>
      </c>
      <c r="T4391" s="15" t="str">
        <f>IF(OR(S4391="",D4391&lt;&gt;"Vastgesteld"),"",_xlfn.MAXIFS($G$6:$G$5005,$S$6:$S$5005,S4391,$D$6:$D$5005,"Vastgesteld"))</f>
        <v/>
      </c>
      <c r="U4391" s="15">
        <f>IF(T4391="",0,IF(AND(G4391=T4391,COUNTIFS($S$6:S4391,S4391,$G$6:G4391,G4391,$D$6:D4391,"Vastgesteld")=1),1,0))</f>
        <v>0</v>
      </c>
      <c r="V4391" s="15">
        <f>IF(T4391="",0,IF(AND(G4391=T4391,COUNTIFS($S$6:S4391,S4391,$G$6:G4391,G4391,$D$6:D4391,"Vastgesteld")&gt;1),1,0))</f>
        <v>0</v>
      </c>
    </row>
    <row r="4392">
      <c r="S4392" s="15" t="str">
        <f>IF(J4392="","",J4392&amp;"|"&amp;E4392&amp;"|"&amp;F4392&amp;"|"&amp;I4392&amp;"|"&amp;O4392)</f>
        <v/>
      </c>
      <c r="T4392" s="15" t="str">
        <f>IF(OR(S4392="",D4392&lt;&gt;"Vastgesteld"),"",_xlfn.MAXIFS($G$6:$G$5005,$S$6:$S$5005,S4392,$D$6:$D$5005,"Vastgesteld"))</f>
        <v/>
      </c>
      <c r="U4392" s="15">
        <f>IF(T4392="",0,IF(AND(G4392=T4392,COUNTIFS($S$6:S4392,S4392,$G$6:G4392,G4392,$D$6:D4392,"Vastgesteld")=1),1,0))</f>
        <v>0</v>
      </c>
      <c r="V4392" s="15">
        <f>IF(T4392="",0,IF(AND(G4392=T4392,COUNTIFS($S$6:S4392,S4392,$G$6:G4392,G4392,$D$6:D4392,"Vastgesteld")&gt;1),1,0))</f>
        <v>0</v>
      </c>
    </row>
    <row r="4393">
      <c r="S4393" s="15" t="str">
        <f>IF(J4393="","",J4393&amp;"|"&amp;E4393&amp;"|"&amp;F4393&amp;"|"&amp;I4393&amp;"|"&amp;O4393)</f>
        <v/>
      </c>
      <c r="T4393" s="15" t="str">
        <f>IF(OR(S4393="",D4393&lt;&gt;"Vastgesteld"),"",_xlfn.MAXIFS($G$6:$G$5005,$S$6:$S$5005,S4393,$D$6:$D$5005,"Vastgesteld"))</f>
        <v/>
      </c>
      <c r="U4393" s="15">
        <f>IF(T4393="",0,IF(AND(G4393=T4393,COUNTIFS($S$6:S4393,S4393,$G$6:G4393,G4393,$D$6:D4393,"Vastgesteld")=1),1,0))</f>
        <v>0</v>
      </c>
      <c r="V4393" s="15">
        <f>IF(T4393="",0,IF(AND(G4393=T4393,COUNTIFS($S$6:S4393,S4393,$G$6:G4393,G4393,$D$6:D4393,"Vastgesteld")&gt;1),1,0))</f>
        <v>0</v>
      </c>
    </row>
    <row r="4394">
      <c r="S4394" s="15" t="str">
        <f>IF(J4394="","",J4394&amp;"|"&amp;E4394&amp;"|"&amp;F4394&amp;"|"&amp;I4394&amp;"|"&amp;O4394)</f>
        <v/>
      </c>
      <c r="T4394" s="15" t="str">
        <f>IF(OR(S4394="",D4394&lt;&gt;"Vastgesteld"),"",_xlfn.MAXIFS($G$6:$G$5005,$S$6:$S$5005,S4394,$D$6:$D$5005,"Vastgesteld"))</f>
        <v/>
      </c>
      <c r="U4394" s="15">
        <f>IF(T4394="",0,IF(AND(G4394=T4394,COUNTIFS($S$6:S4394,S4394,$G$6:G4394,G4394,$D$6:D4394,"Vastgesteld")=1),1,0))</f>
        <v>0</v>
      </c>
      <c r="V4394" s="15">
        <f>IF(T4394="",0,IF(AND(G4394=T4394,COUNTIFS($S$6:S4394,S4394,$G$6:G4394,G4394,$D$6:D4394,"Vastgesteld")&gt;1),1,0))</f>
        <v>0</v>
      </c>
    </row>
    <row r="4395">
      <c r="S4395" s="15" t="str">
        <f>IF(J4395="","",J4395&amp;"|"&amp;E4395&amp;"|"&amp;F4395&amp;"|"&amp;I4395&amp;"|"&amp;O4395)</f>
        <v/>
      </c>
      <c r="T4395" s="15" t="str">
        <f>IF(OR(S4395="",D4395&lt;&gt;"Vastgesteld"),"",_xlfn.MAXIFS($G$6:$G$5005,$S$6:$S$5005,S4395,$D$6:$D$5005,"Vastgesteld"))</f>
        <v/>
      </c>
      <c r="U4395" s="15">
        <f>IF(T4395="",0,IF(AND(G4395=T4395,COUNTIFS($S$6:S4395,S4395,$G$6:G4395,G4395,$D$6:D4395,"Vastgesteld")=1),1,0))</f>
        <v>0</v>
      </c>
      <c r="V4395" s="15">
        <f>IF(T4395="",0,IF(AND(G4395=T4395,COUNTIFS($S$6:S4395,S4395,$G$6:G4395,G4395,$D$6:D4395,"Vastgesteld")&gt;1),1,0))</f>
        <v>0</v>
      </c>
    </row>
    <row r="4396">
      <c r="S4396" s="15" t="str">
        <f>IF(J4396="","",J4396&amp;"|"&amp;E4396&amp;"|"&amp;F4396&amp;"|"&amp;I4396&amp;"|"&amp;O4396)</f>
        <v/>
      </c>
      <c r="T4396" s="15" t="str">
        <f>IF(OR(S4396="",D4396&lt;&gt;"Vastgesteld"),"",_xlfn.MAXIFS($G$6:$G$5005,$S$6:$S$5005,S4396,$D$6:$D$5005,"Vastgesteld"))</f>
        <v/>
      </c>
      <c r="U4396" s="15">
        <f>IF(T4396="",0,IF(AND(G4396=T4396,COUNTIFS($S$6:S4396,S4396,$G$6:G4396,G4396,$D$6:D4396,"Vastgesteld")=1),1,0))</f>
        <v>0</v>
      </c>
      <c r="V4396" s="15">
        <f>IF(T4396="",0,IF(AND(G4396=T4396,COUNTIFS($S$6:S4396,S4396,$G$6:G4396,G4396,$D$6:D4396,"Vastgesteld")&gt;1),1,0))</f>
        <v>0</v>
      </c>
    </row>
    <row r="4397">
      <c r="S4397" s="15" t="str">
        <f>IF(J4397="","",J4397&amp;"|"&amp;E4397&amp;"|"&amp;F4397&amp;"|"&amp;I4397&amp;"|"&amp;O4397)</f>
        <v/>
      </c>
      <c r="T4397" s="15" t="str">
        <f>IF(OR(S4397="",D4397&lt;&gt;"Vastgesteld"),"",_xlfn.MAXIFS($G$6:$G$5005,$S$6:$S$5005,S4397,$D$6:$D$5005,"Vastgesteld"))</f>
        <v/>
      </c>
      <c r="U4397" s="15">
        <f>IF(T4397="",0,IF(AND(G4397=T4397,COUNTIFS($S$6:S4397,S4397,$G$6:G4397,G4397,$D$6:D4397,"Vastgesteld")=1),1,0))</f>
        <v>0</v>
      </c>
      <c r="V4397" s="15">
        <f>IF(T4397="",0,IF(AND(G4397=T4397,COUNTIFS($S$6:S4397,S4397,$G$6:G4397,G4397,$D$6:D4397,"Vastgesteld")&gt;1),1,0))</f>
        <v>0</v>
      </c>
    </row>
    <row r="4398">
      <c r="S4398" s="15" t="str">
        <f>IF(J4398="","",J4398&amp;"|"&amp;E4398&amp;"|"&amp;F4398&amp;"|"&amp;I4398&amp;"|"&amp;O4398)</f>
        <v/>
      </c>
      <c r="T4398" s="15" t="str">
        <f>IF(OR(S4398="",D4398&lt;&gt;"Vastgesteld"),"",_xlfn.MAXIFS($G$6:$G$5005,$S$6:$S$5005,S4398,$D$6:$D$5005,"Vastgesteld"))</f>
        <v/>
      </c>
      <c r="U4398" s="15">
        <f>IF(T4398="",0,IF(AND(G4398=T4398,COUNTIFS($S$6:S4398,S4398,$G$6:G4398,G4398,$D$6:D4398,"Vastgesteld")=1),1,0))</f>
        <v>0</v>
      </c>
      <c r="V4398" s="15">
        <f>IF(T4398="",0,IF(AND(G4398=T4398,COUNTIFS($S$6:S4398,S4398,$G$6:G4398,G4398,$D$6:D4398,"Vastgesteld")&gt;1),1,0))</f>
        <v>0</v>
      </c>
    </row>
    <row r="4399">
      <c r="S4399" s="15" t="str">
        <f>IF(J4399="","",J4399&amp;"|"&amp;E4399&amp;"|"&amp;F4399&amp;"|"&amp;I4399&amp;"|"&amp;O4399)</f>
        <v/>
      </c>
      <c r="T4399" s="15" t="str">
        <f>IF(OR(S4399="",D4399&lt;&gt;"Vastgesteld"),"",_xlfn.MAXIFS($G$6:$G$5005,$S$6:$S$5005,S4399,$D$6:$D$5005,"Vastgesteld"))</f>
        <v/>
      </c>
      <c r="U4399" s="15">
        <f>IF(T4399="",0,IF(AND(G4399=T4399,COUNTIFS($S$6:S4399,S4399,$G$6:G4399,G4399,$D$6:D4399,"Vastgesteld")=1),1,0))</f>
        <v>0</v>
      </c>
      <c r="V4399" s="15">
        <f>IF(T4399="",0,IF(AND(G4399=T4399,COUNTIFS($S$6:S4399,S4399,$G$6:G4399,G4399,$D$6:D4399,"Vastgesteld")&gt;1),1,0))</f>
        <v>0</v>
      </c>
    </row>
    <row r="4400">
      <c r="S4400" s="15" t="str">
        <f>IF(J4400="","",J4400&amp;"|"&amp;E4400&amp;"|"&amp;F4400&amp;"|"&amp;I4400&amp;"|"&amp;O4400)</f>
        <v/>
      </c>
      <c r="T4400" s="15" t="str">
        <f>IF(OR(S4400="",D4400&lt;&gt;"Vastgesteld"),"",_xlfn.MAXIFS($G$6:$G$5005,$S$6:$S$5005,S4400,$D$6:$D$5005,"Vastgesteld"))</f>
        <v/>
      </c>
      <c r="U4400" s="15">
        <f>IF(T4400="",0,IF(AND(G4400=T4400,COUNTIFS($S$6:S4400,S4400,$G$6:G4400,G4400,$D$6:D4400,"Vastgesteld")=1),1,0))</f>
        <v>0</v>
      </c>
      <c r="V4400" s="15">
        <f>IF(T4400="",0,IF(AND(G4400=T4400,COUNTIFS($S$6:S4400,S4400,$G$6:G4400,G4400,$D$6:D4400,"Vastgesteld")&gt;1),1,0))</f>
        <v>0</v>
      </c>
    </row>
    <row r="4401">
      <c r="S4401" s="15" t="str">
        <f>IF(J4401="","",J4401&amp;"|"&amp;E4401&amp;"|"&amp;F4401&amp;"|"&amp;I4401&amp;"|"&amp;O4401)</f>
        <v/>
      </c>
      <c r="T4401" s="15" t="str">
        <f>IF(OR(S4401="",D4401&lt;&gt;"Vastgesteld"),"",_xlfn.MAXIFS($G$6:$G$5005,$S$6:$S$5005,S4401,$D$6:$D$5005,"Vastgesteld"))</f>
        <v/>
      </c>
      <c r="U4401" s="15">
        <f>IF(T4401="",0,IF(AND(G4401=T4401,COUNTIFS($S$6:S4401,S4401,$G$6:G4401,G4401,$D$6:D4401,"Vastgesteld")=1),1,0))</f>
        <v>0</v>
      </c>
      <c r="V4401" s="15">
        <f>IF(T4401="",0,IF(AND(G4401=T4401,COUNTIFS($S$6:S4401,S4401,$G$6:G4401,G4401,$D$6:D4401,"Vastgesteld")&gt;1),1,0))</f>
        <v>0</v>
      </c>
    </row>
    <row r="4402">
      <c r="S4402" s="15" t="str">
        <f>IF(J4402="","",J4402&amp;"|"&amp;E4402&amp;"|"&amp;F4402&amp;"|"&amp;I4402&amp;"|"&amp;O4402)</f>
        <v/>
      </c>
      <c r="T4402" s="15" t="str">
        <f>IF(OR(S4402="",D4402&lt;&gt;"Vastgesteld"),"",_xlfn.MAXIFS($G$6:$G$5005,$S$6:$S$5005,S4402,$D$6:$D$5005,"Vastgesteld"))</f>
        <v/>
      </c>
      <c r="U4402" s="15">
        <f>IF(T4402="",0,IF(AND(G4402=T4402,COUNTIFS($S$6:S4402,S4402,$G$6:G4402,G4402,$D$6:D4402,"Vastgesteld")=1),1,0))</f>
        <v>0</v>
      </c>
      <c r="V4402" s="15">
        <f>IF(T4402="",0,IF(AND(G4402=T4402,COUNTIFS($S$6:S4402,S4402,$G$6:G4402,G4402,$D$6:D4402,"Vastgesteld")&gt;1),1,0))</f>
        <v>0</v>
      </c>
    </row>
    <row r="4403">
      <c r="S4403" s="15" t="str">
        <f>IF(J4403="","",J4403&amp;"|"&amp;E4403&amp;"|"&amp;F4403&amp;"|"&amp;I4403&amp;"|"&amp;O4403)</f>
        <v/>
      </c>
      <c r="T4403" s="15" t="str">
        <f>IF(OR(S4403="",D4403&lt;&gt;"Vastgesteld"),"",_xlfn.MAXIFS($G$6:$G$5005,$S$6:$S$5005,S4403,$D$6:$D$5005,"Vastgesteld"))</f>
        <v/>
      </c>
      <c r="U4403" s="15">
        <f>IF(T4403="",0,IF(AND(G4403=T4403,COUNTIFS($S$6:S4403,S4403,$G$6:G4403,G4403,$D$6:D4403,"Vastgesteld")=1),1,0))</f>
        <v>0</v>
      </c>
      <c r="V4403" s="15">
        <f>IF(T4403="",0,IF(AND(G4403=T4403,COUNTIFS($S$6:S4403,S4403,$G$6:G4403,G4403,$D$6:D4403,"Vastgesteld")&gt;1),1,0))</f>
        <v>0</v>
      </c>
    </row>
    <row r="4404">
      <c r="S4404" s="15" t="str">
        <f>IF(J4404="","",J4404&amp;"|"&amp;E4404&amp;"|"&amp;F4404&amp;"|"&amp;I4404&amp;"|"&amp;O4404)</f>
        <v/>
      </c>
      <c r="T4404" s="15" t="str">
        <f>IF(OR(S4404="",D4404&lt;&gt;"Vastgesteld"),"",_xlfn.MAXIFS($G$6:$G$5005,$S$6:$S$5005,S4404,$D$6:$D$5005,"Vastgesteld"))</f>
        <v/>
      </c>
      <c r="U4404" s="15">
        <f>IF(T4404="",0,IF(AND(G4404=T4404,COUNTIFS($S$6:S4404,S4404,$G$6:G4404,G4404,$D$6:D4404,"Vastgesteld")=1),1,0))</f>
        <v>0</v>
      </c>
      <c r="V4404" s="15">
        <f>IF(T4404="",0,IF(AND(G4404=T4404,COUNTIFS($S$6:S4404,S4404,$G$6:G4404,G4404,$D$6:D4404,"Vastgesteld")&gt;1),1,0))</f>
        <v>0</v>
      </c>
    </row>
    <row r="4405">
      <c r="S4405" s="15" t="str">
        <f>IF(J4405="","",J4405&amp;"|"&amp;E4405&amp;"|"&amp;F4405&amp;"|"&amp;I4405&amp;"|"&amp;O4405)</f>
        <v/>
      </c>
      <c r="T4405" s="15" t="str">
        <f>IF(OR(S4405="",D4405&lt;&gt;"Vastgesteld"),"",_xlfn.MAXIFS($G$6:$G$5005,$S$6:$S$5005,S4405,$D$6:$D$5005,"Vastgesteld"))</f>
        <v/>
      </c>
      <c r="U4405" s="15">
        <f>IF(T4405="",0,IF(AND(G4405=T4405,COUNTIFS($S$6:S4405,S4405,$G$6:G4405,G4405,$D$6:D4405,"Vastgesteld")=1),1,0))</f>
        <v>0</v>
      </c>
      <c r="V4405" s="15">
        <f>IF(T4405="",0,IF(AND(G4405=T4405,COUNTIFS($S$6:S4405,S4405,$G$6:G4405,G4405,$D$6:D4405,"Vastgesteld")&gt;1),1,0))</f>
        <v>0</v>
      </c>
    </row>
    <row r="4406">
      <c r="S4406" s="15" t="str">
        <f>IF(J4406="","",J4406&amp;"|"&amp;E4406&amp;"|"&amp;F4406&amp;"|"&amp;I4406&amp;"|"&amp;O4406)</f>
        <v/>
      </c>
      <c r="T4406" s="15" t="str">
        <f>IF(OR(S4406="",D4406&lt;&gt;"Vastgesteld"),"",_xlfn.MAXIFS($G$6:$G$5005,$S$6:$S$5005,S4406,$D$6:$D$5005,"Vastgesteld"))</f>
        <v/>
      </c>
      <c r="U4406" s="15">
        <f>IF(T4406="",0,IF(AND(G4406=T4406,COUNTIFS($S$6:S4406,S4406,$G$6:G4406,G4406,$D$6:D4406,"Vastgesteld")=1),1,0))</f>
        <v>0</v>
      </c>
      <c r="V4406" s="15">
        <f>IF(T4406="",0,IF(AND(G4406=T4406,COUNTIFS($S$6:S4406,S4406,$G$6:G4406,G4406,$D$6:D4406,"Vastgesteld")&gt;1),1,0))</f>
        <v>0</v>
      </c>
    </row>
    <row r="4407">
      <c r="S4407" s="15" t="str">
        <f>IF(J4407="","",J4407&amp;"|"&amp;E4407&amp;"|"&amp;F4407&amp;"|"&amp;I4407&amp;"|"&amp;O4407)</f>
        <v/>
      </c>
      <c r="T4407" s="15" t="str">
        <f>IF(OR(S4407="",D4407&lt;&gt;"Vastgesteld"),"",_xlfn.MAXIFS($G$6:$G$5005,$S$6:$S$5005,S4407,$D$6:$D$5005,"Vastgesteld"))</f>
        <v/>
      </c>
      <c r="U4407" s="15">
        <f>IF(T4407="",0,IF(AND(G4407=T4407,COUNTIFS($S$6:S4407,S4407,$G$6:G4407,G4407,$D$6:D4407,"Vastgesteld")=1),1,0))</f>
        <v>0</v>
      </c>
      <c r="V4407" s="15">
        <f>IF(T4407="",0,IF(AND(G4407=T4407,COUNTIFS($S$6:S4407,S4407,$G$6:G4407,G4407,$D$6:D4407,"Vastgesteld")&gt;1),1,0))</f>
        <v>0</v>
      </c>
    </row>
    <row r="4408">
      <c r="S4408" s="15" t="str">
        <f>IF(J4408="","",J4408&amp;"|"&amp;E4408&amp;"|"&amp;F4408&amp;"|"&amp;I4408&amp;"|"&amp;O4408)</f>
        <v/>
      </c>
      <c r="T4408" s="15" t="str">
        <f>IF(OR(S4408="",D4408&lt;&gt;"Vastgesteld"),"",_xlfn.MAXIFS($G$6:$G$5005,$S$6:$S$5005,S4408,$D$6:$D$5005,"Vastgesteld"))</f>
        <v/>
      </c>
      <c r="U4408" s="15">
        <f>IF(T4408="",0,IF(AND(G4408=T4408,COUNTIFS($S$6:S4408,S4408,$G$6:G4408,G4408,$D$6:D4408,"Vastgesteld")=1),1,0))</f>
        <v>0</v>
      </c>
      <c r="V4408" s="15">
        <f>IF(T4408="",0,IF(AND(G4408=T4408,COUNTIFS($S$6:S4408,S4408,$G$6:G4408,G4408,$D$6:D4408,"Vastgesteld")&gt;1),1,0))</f>
        <v>0</v>
      </c>
    </row>
    <row r="4409">
      <c r="S4409" s="15" t="str">
        <f>IF(J4409="","",J4409&amp;"|"&amp;E4409&amp;"|"&amp;F4409&amp;"|"&amp;I4409&amp;"|"&amp;O4409)</f>
        <v/>
      </c>
      <c r="T4409" s="15" t="str">
        <f>IF(OR(S4409="",D4409&lt;&gt;"Vastgesteld"),"",_xlfn.MAXIFS($G$6:$G$5005,$S$6:$S$5005,S4409,$D$6:$D$5005,"Vastgesteld"))</f>
        <v/>
      </c>
      <c r="U4409" s="15">
        <f>IF(T4409="",0,IF(AND(G4409=T4409,COUNTIFS($S$6:S4409,S4409,$G$6:G4409,G4409,$D$6:D4409,"Vastgesteld")=1),1,0))</f>
        <v>0</v>
      </c>
      <c r="V4409" s="15">
        <f>IF(T4409="",0,IF(AND(G4409=T4409,COUNTIFS($S$6:S4409,S4409,$G$6:G4409,G4409,$D$6:D4409,"Vastgesteld")&gt;1),1,0))</f>
        <v>0</v>
      </c>
    </row>
    <row r="4410">
      <c r="S4410" s="15" t="str">
        <f>IF(J4410="","",J4410&amp;"|"&amp;E4410&amp;"|"&amp;F4410&amp;"|"&amp;I4410&amp;"|"&amp;O4410)</f>
        <v/>
      </c>
      <c r="T4410" s="15" t="str">
        <f>IF(OR(S4410="",D4410&lt;&gt;"Vastgesteld"),"",_xlfn.MAXIFS($G$6:$G$5005,$S$6:$S$5005,S4410,$D$6:$D$5005,"Vastgesteld"))</f>
        <v/>
      </c>
      <c r="U4410" s="15">
        <f>IF(T4410="",0,IF(AND(G4410=T4410,COUNTIFS($S$6:S4410,S4410,$G$6:G4410,G4410,$D$6:D4410,"Vastgesteld")=1),1,0))</f>
        <v>0</v>
      </c>
      <c r="V4410" s="15">
        <f>IF(T4410="",0,IF(AND(G4410=T4410,COUNTIFS($S$6:S4410,S4410,$G$6:G4410,G4410,$D$6:D4410,"Vastgesteld")&gt;1),1,0))</f>
        <v>0</v>
      </c>
    </row>
    <row r="4411">
      <c r="S4411" s="15" t="str">
        <f>IF(J4411="","",J4411&amp;"|"&amp;E4411&amp;"|"&amp;F4411&amp;"|"&amp;I4411&amp;"|"&amp;O4411)</f>
        <v/>
      </c>
      <c r="T4411" s="15" t="str">
        <f>IF(OR(S4411="",D4411&lt;&gt;"Vastgesteld"),"",_xlfn.MAXIFS($G$6:$G$5005,$S$6:$S$5005,S4411,$D$6:$D$5005,"Vastgesteld"))</f>
        <v/>
      </c>
      <c r="U4411" s="15">
        <f>IF(T4411="",0,IF(AND(G4411=T4411,COUNTIFS($S$6:S4411,S4411,$G$6:G4411,G4411,$D$6:D4411,"Vastgesteld")=1),1,0))</f>
        <v>0</v>
      </c>
      <c r="V4411" s="15">
        <f>IF(T4411="",0,IF(AND(G4411=T4411,COUNTIFS($S$6:S4411,S4411,$G$6:G4411,G4411,$D$6:D4411,"Vastgesteld")&gt;1),1,0))</f>
        <v>0</v>
      </c>
    </row>
    <row r="4412">
      <c r="S4412" s="15" t="str">
        <f>IF(J4412="","",J4412&amp;"|"&amp;E4412&amp;"|"&amp;F4412&amp;"|"&amp;I4412&amp;"|"&amp;O4412)</f>
        <v/>
      </c>
      <c r="T4412" s="15" t="str">
        <f>IF(OR(S4412="",D4412&lt;&gt;"Vastgesteld"),"",_xlfn.MAXIFS($G$6:$G$5005,$S$6:$S$5005,S4412,$D$6:$D$5005,"Vastgesteld"))</f>
        <v/>
      </c>
      <c r="U4412" s="15">
        <f>IF(T4412="",0,IF(AND(G4412=T4412,COUNTIFS($S$6:S4412,S4412,$G$6:G4412,G4412,$D$6:D4412,"Vastgesteld")=1),1,0))</f>
        <v>0</v>
      </c>
      <c r="V4412" s="15">
        <f>IF(T4412="",0,IF(AND(G4412=T4412,COUNTIFS($S$6:S4412,S4412,$G$6:G4412,G4412,$D$6:D4412,"Vastgesteld")&gt;1),1,0))</f>
        <v>0</v>
      </c>
    </row>
    <row r="4413">
      <c r="S4413" s="15" t="str">
        <f>IF(J4413="","",J4413&amp;"|"&amp;E4413&amp;"|"&amp;F4413&amp;"|"&amp;I4413&amp;"|"&amp;O4413)</f>
        <v/>
      </c>
      <c r="T4413" s="15" t="str">
        <f>IF(OR(S4413="",D4413&lt;&gt;"Vastgesteld"),"",_xlfn.MAXIFS($G$6:$G$5005,$S$6:$S$5005,S4413,$D$6:$D$5005,"Vastgesteld"))</f>
        <v/>
      </c>
      <c r="U4413" s="15">
        <f>IF(T4413="",0,IF(AND(G4413=T4413,COUNTIFS($S$6:S4413,S4413,$G$6:G4413,G4413,$D$6:D4413,"Vastgesteld")=1),1,0))</f>
        <v>0</v>
      </c>
      <c r="V4413" s="15">
        <f>IF(T4413="",0,IF(AND(G4413=T4413,COUNTIFS($S$6:S4413,S4413,$G$6:G4413,G4413,$D$6:D4413,"Vastgesteld")&gt;1),1,0))</f>
        <v>0</v>
      </c>
    </row>
    <row r="4414">
      <c r="S4414" s="15" t="str">
        <f>IF(J4414="","",J4414&amp;"|"&amp;E4414&amp;"|"&amp;F4414&amp;"|"&amp;I4414&amp;"|"&amp;O4414)</f>
        <v/>
      </c>
      <c r="T4414" s="15" t="str">
        <f>IF(OR(S4414="",D4414&lt;&gt;"Vastgesteld"),"",_xlfn.MAXIFS($G$6:$G$5005,$S$6:$S$5005,S4414,$D$6:$D$5005,"Vastgesteld"))</f>
        <v/>
      </c>
      <c r="U4414" s="15">
        <f>IF(T4414="",0,IF(AND(G4414=T4414,COUNTIFS($S$6:S4414,S4414,$G$6:G4414,G4414,$D$6:D4414,"Vastgesteld")=1),1,0))</f>
        <v>0</v>
      </c>
      <c r="V4414" s="15">
        <f>IF(T4414="",0,IF(AND(G4414=T4414,COUNTIFS($S$6:S4414,S4414,$G$6:G4414,G4414,$D$6:D4414,"Vastgesteld")&gt;1),1,0))</f>
        <v>0</v>
      </c>
    </row>
    <row r="4415">
      <c r="S4415" s="15" t="str">
        <f>IF(J4415="","",J4415&amp;"|"&amp;E4415&amp;"|"&amp;F4415&amp;"|"&amp;I4415&amp;"|"&amp;O4415)</f>
        <v/>
      </c>
      <c r="T4415" s="15" t="str">
        <f>IF(OR(S4415="",D4415&lt;&gt;"Vastgesteld"),"",_xlfn.MAXIFS($G$6:$G$5005,$S$6:$S$5005,S4415,$D$6:$D$5005,"Vastgesteld"))</f>
        <v/>
      </c>
      <c r="U4415" s="15">
        <f>IF(T4415="",0,IF(AND(G4415=T4415,COUNTIFS($S$6:S4415,S4415,$G$6:G4415,G4415,$D$6:D4415,"Vastgesteld")=1),1,0))</f>
        <v>0</v>
      </c>
      <c r="V4415" s="15">
        <f>IF(T4415="",0,IF(AND(G4415=T4415,COUNTIFS($S$6:S4415,S4415,$G$6:G4415,G4415,$D$6:D4415,"Vastgesteld")&gt;1),1,0))</f>
        <v>0</v>
      </c>
    </row>
    <row r="4416">
      <c r="S4416" s="15" t="str">
        <f>IF(J4416="","",J4416&amp;"|"&amp;E4416&amp;"|"&amp;F4416&amp;"|"&amp;I4416&amp;"|"&amp;O4416)</f>
        <v/>
      </c>
      <c r="T4416" s="15" t="str">
        <f>IF(OR(S4416="",D4416&lt;&gt;"Vastgesteld"),"",_xlfn.MAXIFS($G$6:$G$5005,$S$6:$S$5005,S4416,$D$6:$D$5005,"Vastgesteld"))</f>
        <v/>
      </c>
      <c r="U4416" s="15">
        <f>IF(T4416="",0,IF(AND(G4416=T4416,COUNTIFS($S$6:S4416,S4416,$G$6:G4416,G4416,$D$6:D4416,"Vastgesteld")=1),1,0))</f>
        <v>0</v>
      </c>
      <c r="V4416" s="15">
        <f>IF(T4416="",0,IF(AND(G4416=T4416,COUNTIFS($S$6:S4416,S4416,$G$6:G4416,G4416,$D$6:D4416,"Vastgesteld")&gt;1),1,0))</f>
        <v>0</v>
      </c>
    </row>
    <row r="4417">
      <c r="S4417" s="15" t="str">
        <f>IF(J4417="","",J4417&amp;"|"&amp;E4417&amp;"|"&amp;F4417&amp;"|"&amp;I4417&amp;"|"&amp;O4417)</f>
        <v/>
      </c>
      <c r="T4417" s="15" t="str">
        <f>IF(OR(S4417="",D4417&lt;&gt;"Vastgesteld"),"",_xlfn.MAXIFS($G$6:$G$5005,$S$6:$S$5005,S4417,$D$6:$D$5005,"Vastgesteld"))</f>
        <v/>
      </c>
      <c r="U4417" s="15">
        <f>IF(T4417="",0,IF(AND(G4417=T4417,COUNTIFS($S$6:S4417,S4417,$G$6:G4417,G4417,$D$6:D4417,"Vastgesteld")=1),1,0))</f>
        <v>0</v>
      </c>
      <c r="V4417" s="15">
        <f>IF(T4417="",0,IF(AND(G4417=T4417,COUNTIFS($S$6:S4417,S4417,$G$6:G4417,G4417,$D$6:D4417,"Vastgesteld")&gt;1),1,0))</f>
        <v>0</v>
      </c>
    </row>
    <row r="4418">
      <c r="S4418" s="15" t="str">
        <f>IF(J4418="","",J4418&amp;"|"&amp;E4418&amp;"|"&amp;F4418&amp;"|"&amp;I4418&amp;"|"&amp;O4418)</f>
        <v/>
      </c>
      <c r="T4418" s="15" t="str">
        <f>IF(OR(S4418="",D4418&lt;&gt;"Vastgesteld"),"",_xlfn.MAXIFS($G$6:$G$5005,$S$6:$S$5005,S4418,$D$6:$D$5005,"Vastgesteld"))</f>
        <v/>
      </c>
      <c r="U4418" s="15">
        <f>IF(T4418="",0,IF(AND(G4418=T4418,COUNTIFS($S$6:S4418,S4418,$G$6:G4418,G4418,$D$6:D4418,"Vastgesteld")=1),1,0))</f>
        <v>0</v>
      </c>
      <c r="V4418" s="15">
        <f>IF(T4418="",0,IF(AND(G4418=T4418,COUNTIFS($S$6:S4418,S4418,$G$6:G4418,G4418,$D$6:D4418,"Vastgesteld")&gt;1),1,0))</f>
        <v>0</v>
      </c>
    </row>
    <row r="4419">
      <c r="S4419" s="15" t="str">
        <f>IF(J4419="","",J4419&amp;"|"&amp;E4419&amp;"|"&amp;F4419&amp;"|"&amp;I4419&amp;"|"&amp;O4419)</f>
        <v/>
      </c>
      <c r="T4419" s="15" t="str">
        <f>IF(OR(S4419="",D4419&lt;&gt;"Vastgesteld"),"",_xlfn.MAXIFS($G$6:$G$5005,$S$6:$S$5005,S4419,$D$6:$D$5005,"Vastgesteld"))</f>
        <v/>
      </c>
      <c r="U4419" s="15">
        <f>IF(T4419="",0,IF(AND(G4419=T4419,COUNTIFS($S$6:S4419,S4419,$G$6:G4419,G4419,$D$6:D4419,"Vastgesteld")=1),1,0))</f>
        <v>0</v>
      </c>
      <c r="V4419" s="15">
        <f>IF(T4419="",0,IF(AND(G4419=T4419,COUNTIFS($S$6:S4419,S4419,$G$6:G4419,G4419,$D$6:D4419,"Vastgesteld")&gt;1),1,0))</f>
        <v>0</v>
      </c>
    </row>
    <row r="4420">
      <c r="S4420" s="15" t="str">
        <f>IF(J4420="","",J4420&amp;"|"&amp;E4420&amp;"|"&amp;F4420&amp;"|"&amp;I4420&amp;"|"&amp;O4420)</f>
        <v/>
      </c>
      <c r="T4420" s="15" t="str">
        <f>IF(OR(S4420="",D4420&lt;&gt;"Vastgesteld"),"",_xlfn.MAXIFS($G$6:$G$5005,$S$6:$S$5005,S4420,$D$6:$D$5005,"Vastgesteld"))</f>
        <v/>
      </c>
      <c r="U4420" s="15">
        <f>IF(T4420="",0,IF(AND(G4420=T4420,COUNTIFS($S$6:S4420,S4420,$G$6:G4420,G4420,$D$6:D4420,"Vastgesteld")=1),1,0))</f>
        <v>0</v>
      </c>
      <c r="V4420" s="15">
        <f>IF(T4420="",0,IF(AND(G4420=T4420,COUNTIFS($S$6:S4420,S4420,$G$6:G4420,G4420,$D$6:D4420,"Vastgesteld")&gt;1),1,0))</f>
        <v>0</v>
      </c>
    </row>
    <row r="4421">
      <c r="S4421" s="15" t="str">
        <f>IF(J4421="","",J4421&amp;"|"&amp;E4421&amp;"|"&amp;F4421&amp;"|"&amp;I4421&amp;"|"&amp;O4421)</f>
        <v/>
      </c>
      <c r="T4421" s="15" t="str">
        <f>IF(OR(S4421="",D4421&lt;&gt;"Vastgesteld"),"",_xlfn.MAXIFS($G$6:$G$5005,$S$6:$S$5005,S4421,$D$6:$D$5005,"Vastgesteld"))</f>
        <v/>
      </c>
      <c r="U4421" s="15">
        <f>IF(T4421="",0,IF(AND(G4421=T4421,COUNTIFS($S$6:S4421,S4421,$G$6:G4421,G4421,$D$6:D4421,"Vastgesteld")=1),1,0))</f>
        <v>0</v>
      </c>
      <c r="V4421" s="15">
        <f>IF(T4421="",0,IF(AND(G4421=T4421,COUNTIFS($S$6:S4421,S4421,$G$6:G4421,G4421,$D$6:D4421,"Vastgesteld")&gt;1),1,0))</f>
        <v>0</v>
      </c>
    </row>
    <row r="4422">
      <c r="S4422" s="15" t="str">
        <f>IF(J4422="","",J4422&amp;"|"&amp;E4422&amp;"|"&amp;F4422&amp;"|"&amp;I4422&amp;"|"&amp;O4422)</f>
        <v/>
      </c>
      <c r="T4422" s="15" t="str">
        <f>IF(OR(S4422="",D4422&lt;&gt;"Vastgesteld"),"",_xlfn.MAXIFS($G$6:$G$5005,$S$6:$S$5005,S4422,$D$6:$D$5005,"Vastgesteld"))</f>
        <v/>
      </c>
      <c r="U4422" s="15">
        <f>IF(T4422="",0,IF(AND(G4422=T4422,COUNTIFS($S$6:S4422,S4422,$G$6:G4422,G4422,$D$6:D4422,"Vastgesteld")=1),1,0))</f>
        <v>0</v>
      </c>
      <c r="V4422" s="15">
        <f>IF(T4422="",0,IF(AND(G4422=T4422,COUNTIFS($S$6:S4422,S4422,$G$6:G4422,G4422,$D$6:D4422,"Vastgesteld")&gt;1),1,0))</f>
        <v>0</v>
      </c>
    </row>
    <row r="4423">
      <c r="S4423" s="15" t="str">
        <f>IF(J4423="","",J4423&amp;"|"&amp;E4423&amp;"|"&amp;F4423&amp;"|"&amp;I4423&amp;"|"&amp;O4423)</f>
        <v/>
      </c>
      <c r="T4423" s="15" t="str">
        <f>IF(OR(S4423="",D4423&lt;&gt;"Vastgesteld"),"",_xlfn.MAXIFS($G$6:$G$5005,$S$6:$S$5005,S4423,$D$6:$D$5005,"Vastgesteld"))</f>
        <v/>
      </c>
      <c r="U4423" s="15">
        <f>IF(T4423="",0,IF(AND(G4423=T4423,COUNTIFS($S$6:S4423,S4423,$G$6:G4423,G4423,$D$6:D4423,"Vastgesteld")=1),1,0))</f>
        <v>0</v>
      </c>
      <c r="V4423" s="15">
        <f>IF(T4423="",0,IF(AND(G4423=T4423,COUNTIFS($S$6:S4423,S4423,$G$6:G4423,G4423,$D$6:D4423,"Vastgesteld")&gt;1),1,0))</f>
        <v>0</v>
      </c>
    </row>
    <row r="4424">
      <c r="S4424" s="15" t="str">
        <f>IF(J4424="","",J4424&amp;"|"&amp;E4424&amp;"|"&amp;F4424&amp;"|"&amp;I4424&amp;"|"&amp;O4424)</f>
        <v/>
      </c>
      <c r="T4424" s="15" t="str">
        <f>IF(OR(S4424="",D4424&lt;&gt;"Vastgesteld"),"",_xlfn.MAXIFS($G$6:$G$5005,$S$6:$S$5005,S4424,$D$6:$D$5005,"Vastgesteld"))</f>
        <v/>
      </c>
      <c r="U4424" s="15">
        <f>IF(T4424="",0,IF(AND(G4424=T4424,COUNTIFS($S$6:S4424,S4424,$G$6:G4424,G4424,$D$6:D4424,"Vastgesteld")=1),1,0))</f>
        <v>0</v>
      </c>
      <c r="V4424" s="15">
        <f>IF(T4424="",0,IF(AND(G4424=T4424,COUNTIFS($S$6:S4424,S4424,$G$6:G4424,G4424,$D$6:D4424,"Vastgesteld")&gt;1),1,0))</f>
        <v>0</v>
      </c>
    </row>
    <row r="4425">
      <c r="S4425" s="15" t="str">
        <f>IF(J4425="","",J4425&amp;"|"&amp;E4425&amp;"|"&amp;F4425&amp;"|"&amp;I4425&amp;"|"&amp;O4425)</f>
        <v/>
      </c>
      <c r="T4425" s="15" t="str">
        <f>IF(OR(S4425="",D4425&lt;&gt;"Vastgesteld"),"",_xlfn.MAXIFS($G$6:$G$5005,$S$6:$S$5005,S4425,$D$6:$D$5005,"Vastgesteld"))</f>
        <v/>
      </c>
      <c r="U4425" s="15">
        <f>IF(T4425="",0,IF(AND(G4425=T4425,COUNTIFS($S$6:S4425,S4425,$G$6:G4425,G4425,$D$6:D4425,"Vastgesteld")=1),1,0))</f>
        <v>0</v>
      </c>
      <c r="V4425" s="15">
        <f>IF(T4425="",0,IF(AND(G4425=T4425,COUNTIFS($S$6:S4425,S4425,$G$6:G4425,G4425,$D$6:D4425,"Vastgesteld")&gt;1),1,0))</f>
        <v>0</v>
      </c>
    </row>
    <row r="4426">
      <c r="S4426" s="15" t="str">
        <f>IF(J4426="","",J4426&amp;"|"&amp;E4426&amp;"|"&amp;F4426&amp;"|"&amp;I4426&amp;"|"&amp;O4426)</f>
        <v/>
      </c>
      <c r="T4426" s="15" t="str">
        <f>IF(OR(S4426="",D4426&lt;&gt;"Vastgesteld"),"",_xlfn.MAXIFS($G$6:$G$5005,$S$6:$S$5005,S4426,$D$6:$D$5005,"Vastgesteld"))</f>
        <v/>
      </c>
      <c r="U4426" s="15">
        <f>IF(T4426="",0,IF(AND(G4426=T4426,COUNTIFS($S$6:S4426,S4426,$G$6:G4426,G4426,$D$6:D4426,"Vastgesteld")=1),1,0))</f>
        <v>0</v>
      </c>
      <c r="V4426" s="15">
        <f>IF(T4426="",0,IF(AND(G4426=T4426,COUNTIFS($S$6:S4426,S4426,$G$6:G4426,G4426,$D$6:D4426,"Vastgesteld")&gt;1),1,0))</f>
        <v>0</v>
      </c>
    </row>
    <row r="4427">
      <c r="S4427" s="15" t="str">
        <f>IF(J4427="","",J4427&amp;"|"&amp;E4427&amp;"|"&amp;F4427&amp;"|"&amp;I4427&amp;"|"&amp;O4427)</f>
        <v/>
      </c>
      <c r="T4427" s="15" t="str">
        <f>IF(OR(S4427="",D4427&lt;&gt;"Vastgesteld"),"",_xlfn.MAXIFS($G$6:$G$5005,$S$6:$S$5005,S4427,$D$6:$D$5005,"Vastgesteld"))</f>
        <v/>
      </c>
      <c r="U4427" s="15">
        <f>IF(T4427="",0,IF(AND(G4427=T4427,COUNTIFS($S$6:S4427,S4427,$G$6:G4427,G4427,$D$6:D4427,"Vastgesteld")=1),1,0))</f>
        <v>0</v>
      </c>
      <c r="V4427" s="15">
        <f>IF(T4427="",0,IF(AND(G4427=T4427,COUNTIFS($S$6:S4427,S4427,$G$6:G4427,G4427,$D$6:D4427,"Vastgesteld")&gt;1),1,0))</f>
        <v>0</v>
      </c>
    </row>
    <row r="4428">
      <c r="S4428" s="15" t="str">
        <f>IF(J4428="","",J4428&amp;"|"&amp;E4428&amp;"|"&amp;F4428&amp;"|"&amp;I4428&amp;"|"&amp;O4428)</f>
        <v/>
      </c>
      <c r="T4428" s="15" t="str">
        <f>IF(OR(S4428="",D4428&lt;&gt;"Vastgesteld"),"",_xlfn.MAXIFS($G$6:$G$5005,$S$6:$S$5005,S4428,$D$6:$D$5005,"Vastgesteld"))</f>
        <v/>
      </c>
      <c r="U4428" s="15">
        <f>IF(T4428="",0,IF(AND(G4428=T4428,COUNTIFS($S$6:S4428,S4428,$G$6:G4428,G4428,$D$6:D4428,"Vastgesteld")=1),1,0))</f>
        <v>0</v>
      </c>
      <c r="V4428" s="15">
        <f>IF(T4428="",0,IF(AND(G4428=T4428,COUNTIFS($S$6:S4428,S4428,$G$6:G4428,G4428,$D$6:D4428,"Vastgesteld")&gt;1),1,0))</f>
        <v>0</v>
      </c>
    </row>
    <row r="4429">
      <c r="S4429" s="15" t="str">
        <f>IF(J4429="","",J4429&amp;"|"&amp;E4429&amp;"|"&amp;F4429&amp;"|"&amp;I4429&amp;"|"&amp;O4429)</f>
        <v/>
      </c>
      <c r="T4429" s="15" t="str">
        <f>IF(OR(S4429="",D4429&lt;&gt;"Vastgesteld"),"",_xlfn.MAXIFS($G$6:$G$5005,$S$6:$S$5005,S4429,$D$6:$D$5005,"Vastgesteld"))</f>
        <v/>
      </c>
      <c r="U4429" s="15">
        <f>IF(T4429="",0,IF(AND(G4429=T4429,COUNTIFS($S$6:S4429,S4429,$G$6:G4429,G4429,$D$6:D4429,"Vastgesteld")=1),1,0))</f>
        <v>0</v>
      </c>
      <c r="V4429" s="15">
        <f>IF(T4429="",0,IF(AND(G4429=T4429,COUNTIFS($S$6:S4429,S4429,$G$6:G4429,G4429,$D$6:D4429,"Vastgesteld")&gt;1),1,0))</f>
        <v>0</v>
      </c>
    </row>
    <row r="4430">
      <c r="S4430" s="15" t="str">
        <f>IF(J4430="","",J4430&amp;"|"&amp;E4430&amp;"|"&amp;F4430&amp;"|"&amp;I4430&amp;"|"&amp;O4430)</f>
        <v/>
      </c>
      <c r="T4430" s="15" t="str">
        <f>IF(OR(S4430="",D4430&lt;&gt;"Vastgesteld"),"",_xlfn.MAXIFS($G$6:$G$5005,$S$6:$S$5005,S4430,$D$6:$D$5005,"Vastgesteld"))</f>
        <v/>
      </c>
      <c r="U4430" s="15">
        <f>IF(T4430="",0,IF(AND(G4430=T4430,COUNTIFS($S$6:S4430,S4430,$G$6:G4430,G4430,$D$6:D4430,"Vastgesteld")=1),1,0))</f>
        <v>0</v>
      </c>
      <c r="V4430" s="15">
        <f>IF(T4430="",0,IF(AND(G4430=T4430,COUNTIFS($S$6:S4430,S4430,$G$6:G4430,G4430,$D$6:D4430,"Vastgesteld")&gt;1),1,0))</f>
        <v>0</v>
      </c>
    </row>
    <row r="4431">
      <c r="S4431" s="15" t="str">
        <f>IF(J4431="","",J4431&amp;"|"&amp;E4431&amp;"|"&amp;F4431&amp;"|"&amp;I4431&amp;"|"&amp;O4431)</f>
        <v/>
      </c>
      <c r="T4431" s="15" t="str">
        <f>IF(OR(S4431="",D4431&lt;&gt;"Vastgesteld"),"",_xlfn.MAXIFS($G$6:$G$5005,$S$6:$S$5005,S4431,$D$6:$D$5005,"Vastgesteld"))</f>
        <v/>
      </c>
      <c r="U4431" s="15">
        <f>IF(T4431="",0,IF(AND(G4431=T4431,COUNTIFS($S$6:S4431,S4431,$G$6:G4431,G4431,$D$6:D4431,"Vastgesteld")=1),1,0))</f>
        <v>0</v>
      </c>
      <c r="V4431" s="15">
        <f>IF(T4431="",0,IF(AND(G4431=T4431,COUNTIFS($S$6:S4431,S4431,$G$6:G4431,G4431,$D$6:D4431,"Vastgesteld")&gt;1),1,0))</f>
        <v>0</v>
      </c>
    </row>
    <row r="4432">
      <c r="S4432" s="15" t="str">
        <f>IF(J4432="","",J4432&amp;"|"&amp;E4432&amp;"|"&amp;F4432&amp;"|"&amp;I4432&amp;"|"&amp;O4432)</f>
        <v/>
      </c>
      <c r="T4432" s="15" t="str">
        <f>IF(OR(S4432="",D4432&lt;&gt;"Vastgesteld"),"",_xlfn.MAXIFS($G$6:$G$5005,$S$6:$S$5005,S4432,$D$6:$D$5005,"Vastgesteld"))</f>
        <v/>
      </c>
      <c r="U4432" s="15">
        <f>IF(T4432="",0,IF(AND(G4432=T4432,COUNTIFS($S$6:S4432,S4432,$G$6:G4432,G4432,$D$6:D4432,"Vastgesteld")=1),1,0))</f>
        <v>0</v>
      </c>
      <c r="V4432" s="15">
        <f>IF(T4432="",0,IF(AND(G4432=T4432,COUNTIFS($S$6:S4432,S4432,$G$6:G4432,G4432,$D$6:D4432,"Vastgesteld")&gt;1),1,0))</f>
        <v>0</v>
      </c>
    </row>
    <row r="4433">
      <c r="S4433" s="15" t="str">
        <f>IF(J4433="","",J4433&amp;"|"&amp;E4433&amp;"|"&amp;F4433&amp;"|"&amp;I4433&amp;"|"&amp;O4433)</f>
        <v/>
      </c>
      <c r="T4433" s="15" t="str">
        <f>IF(OR(S4433="",D4433&lt;&gt;"Vastgesteld"),"",_xlfn.MAXIFS($G$6:$G$5005,$S$6:$S$5005,S4433,$D$6:$D$5005,"Vastgesteld"))</f>
        <v/>
      </c>
      <c r="U4433" s="15">
        <f>IF(T4433="",0,IF(AND(G4433=T4433,COUNTIFS($S$6:S4433,S4433,$G$6:G4433,G4433,$D$6:D4433,"Vastgesteld")=1),1,0))</f>
        <v>0</v>
      </c>
      <c r="V4433" s="15">
        <f>IF(T4433="",0,IF(AND(G4433=T4433,COUNTIFS($S$6:S4433,S4433,$G$6:G4433,G4433,$D$6:D4433,"Vastgesteld")&gt;1),1,0))</f>
        <v>0</v>
      </c>
    </row>
    <row r="4434">
      <c r="S4434" s="15" t="str">
        <f>IF(J4434="","",J4434&amp;"|"&amp;E4434&amp;"|"&amp;F4434&amp;"|"&amp;I4434&amp;"|"&amp;O4434)</f>
        <v/>
      </c>
      <c r="T4434" s="15" t="str">
        <f>IF(OR(S4434="",D4434&lt;&gt;"Vastgesteld"),"",_xlfn.MAXIFS($G$6:$G$5005,$S$6:$S$5005,S4434,$D$6:$D$5005,"Vastgesteld"))</f>
        <v/>
      </c>
      <c r="U4434" s="15">
        <f>IF(T4434="",0,IF(AND(G4434=T4434,COUNTIFS($S$6:S4434,S4434,$G$6:G4434,G4434,$D$6:D4434,"Vastgesteld")=1),1,0))</f>
        <v>0</v>
      </c>
      <c r="V4434" s="15">
        <f>IF(T4434="",0,IF(AND(G4434=T4434,COUNTIFS($S$6:S4434,S4434,$G$6:G4434,G4434,$D$6:D4434,"Vastgesteld")&gt;1),1,0))</f>
        <v>0</v>
      </c>
    </row>
    <row r="4435">
      <c r="S4435" s="15" t="str">
        <f>IF(J4435="","",J4435&amp;"|"&amp;E4435&amp;"|"&amp;F4435&amp;"|"&amp;I4435&amp;"|"&amp;O4435)</f>
        <v/>
      </c>
      <c r="T4435" s="15" t="str">
        <f>IF(OR(S4435="",D4435&lt;&gt;"Vastgesteld"),"",_xlfn.MAXIFS($G$6:$G$5005,$S$6:$S$5005,S4435,$D$6:$D$5005,"Vastgesteld"))</f>
        <v/>
      </c>
      <c r="U4435" s="15">
        <f>IF(T4435="",0,IF(AND(G4435=T4435,COUNTIFS($S$6:S4435,S4435,$G$6:G4435,G4435,$D$6:D4435,"Vastgesteld")=1),1,0))</f>
        <v>0</v>
      </c>
      <c r="V4435" s="15">
        <f>IF(T4435="",0,IF(AND(G4435=T4435,COUNTIFS($S$6:S4435,S4435,$G$6:G4435,G4435,$D$6:D4435,"Vastgesteld")&gt;1),1,0))</f>
        <v>0</v>
      </c>
    </row>
    <row r="4436">
      <c r="S4436" s="15" t="str">
        <f>IF(J4436="","",J4436&amp;"|"&amp;E4436&amp;"|"&amp;F4436&amp;"|"&amp;I4436&amp;"|"&amp;O4436)</f>
        <v/>
      </c>
      <c r="T4436" s="15" t="str">
        <f>IF(OR(S4436="",D4436&lt;&gt;"Vastgesteld"),"",_xlfn.MAXIFS($G$6:$G$5005,$S$6:$S$5005,S4436,$D$6:$D$5005,"Vastgesteld"))</f>
        <v/>
      </c>
      <c r="U4436" s="15">
        <f>IF(T4436="",0,IF(AND(G4436=T4436,COUNTIFS($S$6:S4436,S4436,$G$6:G4436,G4436,$D$6:D4436,"Vastgesteld")=1),1,0))</f>
        <v>0</v>
      </c>
      <c r="V4436" s="15">
        <f>IF(T4436="",0,IF(AND(G4436=T4436,COUNTIFS($S$6:S4436,S4436,$G$6:G4436,G4436,$D$6:D4436,"Vastgesteld")&gt;1),1,0))</f>
        <v>0</v>
      </c>
    </row>
    <row r="4437">
      <c r="S4437" s="15" t="str">
        <f>IF(J4437="","",J4437&amp;"|"&amp;E4437&amp;"|"&amp;F4437&amp;"|"&amp;I4437&amp;"|"&amp;O4437)</f>
        <v/>
      </c>
      <c r="T4437" s="15" t="str">
        <f>IF(OR(S4437="",D4437&lt;&gt;"Vastgesteld"),"",_xlfn.MAXIFS($G$6:$G$5005,$S$6:$S$5005,S4437,$D$6:$D$5005,"Vastgesteld"))</f>
        <v/>
      </c>
      <c r="U4437" s="15">
        <f>IF(T4437="",0,IF(AND(G4437=T4437,COUNTIFS($S$6:S4437,S4437,$G$6:G4437,G4437,$D$6:D4437,"Vastgesteld")=1),1,0))</f>
        <v>0</v>
      </c>
      <c r="V4437" s="15">
        <f>IF(T4437="",0,IF(AND(G4437=T4437,COUNTIFS($S$6:S4437,S4437,$G$6:G4437,G4437,$D$6:D4437,"Vastgesteld")&gt;1),1,0))</f>
        <v>0</v>
      </c>
    </row>
    <row r="4438">
      <c r="S4438" s="15" t="str">
        <f>IF(J4438="","",J4438&amp;"|"&amp;E4438&amp;"|"&amp;F4438&amp;"|"&amp;I4438&amp;"|"&amp;O4438)</f>
        <v/>
      </c>
      <c r="T4438" s="15" t="str">
        <f>IF(OR(S4438="",D4438&lt;&gt;"Vastgesteld"),"",_xlfn.MAXIFS($G$6:$G$5005,$S$6:$S$5005,S4438,$D$6:$D$5005,"Vastgesteld"))</f>
        <v/>
      </c>
      <c r="U4438" s="15">
        <f>IF(T4438="",0,IF(AND(G4438=T4438,COUNTIFS($S$6:S4438,S4438,$G$6:G4438,G4438,$D$6:D4438,"Vastgesteld")=1),1,0))</f>
        <v>0</v>
      </c>
      <c r="V4438" s="15">
        <f>IF(T4438="",0,IF(AND(G4438=T4438,COUNTIFS($S$6:S4438,S4438,$G$6:G4438,G4438,$D$6:D4438,"Vastgesteld")&gt;1),1,0))</f>
        <v>0</v>
      </c>
    </row>
    <row r="4439">
      <c r="S4439" s="15" t="str">
        <f>IF(J4439="","",J4439&amp;"|"&amp;E4439&amp;"|"&amp;F4439&amp;"|"&amp;I4439&amp;"|"&amp;O4439)</f>
        <v/>
      </c>
      <c r="T4439" s="15" t="str">
        <f>IF(OR(S4439="",D4439&lt;&gt;"Vastgesteld"),"",_xlfn.MAXIFS($G$6:$G$5005,$S$6:$S$5005,S4439,$D$6:$D$5005,"Vastgesteld"))</f>
        <v/>
      </c>
      <c r="U4439" s="15">
        <f>IF(T4439="",0,IF(AND(G4439=T4439,COUNTIFS($S$6:S4439,S4439,$G$6:G4439,G4439,$D$6:D4439,"Vastgesteld")=1),1,0))</f>
        <v>0</v>
      </c>
      <c r="V4439" s="15">
        <f>IF(T4439="",0,IF(AND(G4439=T4439,COUNTIFS($S$6:S4439,S4439,$G$6:G4439,G4439,$D$6:D4439,"Vastgesteld")&gt;1),1,0))</f>
        <v>0</v>
      </c>
    </row>
    <row r="4440">
      <c r="S4440" s="15" t="str">
        <f>IF(J4440="","",J4440&amp;"|"&amp;E4440&amp;"|"&amp;F4440&amp;"|"&amp;I4440&amp;"|"&amp;O4440)</f>
        <v/>
      </c>
      <c r="T4440" s="15" t="str">
        <f>IF(OR(S4440="",D4440&lt;&gt;"Vastgesteld"),"",_xlfn.MAXIFS($G$6:$G$5005,$S$6:$S$5005,S4440,$D$6:$D$5005,"Vastgesteld"))</f>
        <v/>
      </c>
      <c r="U4440" s="15">
        <f>IF(T4440="",0,IF(AND(G4440=T4440,COUNTIFS($S$6:S4440,S4440,$G$6:G4440,G4440,$D$6:D4440,"Vastgesteld")=1),1,0))</f>
        <v>0</v>
      </c>
      <c r="V4440" s="15">
        <f>IF(T4440="",0,IF(AND(G4440=T4440,COUNTIFS($S$6:S4440,S4440,$G$6:G4440,G4440,$D$6:D4440,"Vastgesteld")&gt;1),1,0))</f>
        <v>0</v>
      </c>
    </row>
    <row r="4441">
      <c r="S4441" s="15" t="str">
        <f>IF(J4441="","",J4441&amp;"|"&amp;E4441&amp;"|"&amp;F4441&amp;"|"&amp;I4441&amp;"|"&amp;O4441)</f>
        <v/>
      </c>
      <c r="T4441" s="15" t="str">
        <f>IF(OR(S4441="",D4441&lt;&gt;"Vastgesteld"),"",_xlfn.MAXIFS($G$6:$G$5005,$S$6:$S$5005,S4441,$D$6:$D$5005,"Vastgesteld"))</f>
        <v/>
      </c>
      <c r="U4441" s="15">
        <f>IF(T4441="",0,IF(AND(G4441=T4441,COUNTIFS($S$6:S4441,S4441,$G$6:G4441,G4441,$D$6:D4441,"Vastgesteld")=1),1,0))</f>
        <v>0</v>
      </c>
      <c r="V4441" s="15">
        <f>IF(T4441="",0,IF(AND(G4441=T4441,COUNTIFS($S$6:S4441,S4441,$G$6:G4441,G4441,$D$6:D4441,"Vastgesteld")&gt;1),1,0))</f>
        <v>0</v>
      </c>
    </row>
    <row r="4442">
      <c r="S4442" s="15" t="str">
        <f>IF(J4442="","",J4442&amp;"|"&amp;E4442&amp;"|"&amp;F4442&amp;"|"&amp;I4442&amp;"|"&amp;O4442)</f>
        <v/>
      </c>
      <c r="T4442" s="15" t="str">
        <f>IF(OR(S4442="",D4442&lt;&gt;"Vastgesteld"),"",_xlfn.MAXIFS($G$6:$G$5005,$S$6:$S$5005,S4442,$D$6:$D$5005,"Vastgesteld"))</f>
        <v/>
      </c>
      <c r="U4442" s="15">
        <f>IF(T4442="",0,IF(AND(G4442=T4442,COUNTIFS($S$6:S4442,S4442,$G$6:G4442,G4442,$D$6:D4442,"Vastgesteld")=1),1,0))</f>
        <v>0</v>
      </c>
      <c r="V4442" s="15">
        <f>IF(T4442="",0,IF(AND(G4442=T4442,COUNTIFS($S$6:S4442,S4442,$G$6:G4442,G4442,$D$6:D4442,"Vastgesteld")&gt;1),1,0))</f>
        <v>0</v>
      </c>
    </row>
    <row r="4443">
      <c r="S4443" s="15" t="str">
        <f>IF(J4443="","",J4443&amp;"|"&amp;E4443&amp;"|"&amp;F4443&amp;"|"&amp;I4443&amp;"|"&amp;O4443)</f>
        <v/>
      </c>
      <c r="T4443" s="15" t="str">
        <f>IF(OR(S4443="",D4443&lt;&gt;"Vastgesteld"),"",_xlfn.MAXIFS($G$6:$G$5005,$S$6:$S$5005,S4443,$D$6:$D$5005,"Vastgesteld"))</f>
        <v/>
      </c>
      <c r="U4443" s="15">
        <f>IF(T4443="",0,IF(AND(G4443=T4443,COUNTIFS($S$6:S4443,S4443,$G$6:G4443,G4443,$D$6:D4443,"Vastgesteld")=1),1,0))</f>
        <v>0</v>
      </c>
      <c r="V4443" s="15">
        <f>IF(T4443="",0,IF(AND(G4443=T4443,COUNTIFS($S$6:S4443,S4443,$G$6:G4443,G4443,$D$6:D4443,"Vastgesteld")&gt;1),1,0))</f>
        <v>0</v>
      </c>
    </row>
    <row r="4444">
      <c r="S4444" s="15" t="str">
        <f>IF(J4444="","",J4444&amp;"|"&amp;E4444&amp;"|"&amp;F4444&amp;"|"&amp;I4444&amp;"|"&amp;O4444)</f>
        <v/>
      </c>
      <c r="T4444" s="15" t="str">
        <f>IF(OR(S4444="",D4444&lt;&gt;"Vastgesteld"),"",_xlfn.MAXIFS($G$6:$G$5005,$S$6:$S$5005,S4444,$D$6:$D$5005,"Vastgesteld"))</f>
        <v/>
      </c>
      <c r="U4444" s="15">
        <f>IF(T4444="",0,IF(AND(G4444=T4444,COUNTIFS($S$6:S4444,S4444,$G$6:G4444,G4444,$D$6:D4444,"Vastgesteld")=1),1,0))</f>
        <v>0</v>
      </c>
      <c r="V4444" s="15">
        <f>IF(T4444="",0,IF(AND(G4444=T4444,COUNTIFS($S$6:S4444,S4444,$G$6:G4444,G4444,$D$6:D4444,"Vastgesteld")&gt;1),1,0))</f>
        <v>0</v>
      </c>
    </row>
    <row r="4445">
      <c r="S4445" s="15" t="str">
        <f>IF(J4445="","",J4445&amp;"|"&amp;E4445&amp;"|"&amp;F4445&amp;"|"&amp;I4445&amp;"|"&amp;O4445)</f>
        <v/>
      </c>
      <c r="T4445" s="15" t="str">
        <f>IF(OR(S4445="",D4445&lt;&gt;"Vastgesteld"),"",_xlfn.MAXIFS($G$6:$G$5005,$S$6:$S$5005,S4445,$D$6:$D$5005,"Vastgesteld"))</f>
        <v/>
      </c>
      <c r="U4445" s="15">
        <f>IF(T4445="",0,IF(AND(G4445=T4445,COUNTIFS($S$6:S4445,S4445,$G$6:G4445,G4445,$D$6:D4445,"Vastgesteld")=1),1,0))</f>
        <v>0</v>
      </c>
      <c r="V4445" s="15">
        <f>IF(T4445="",0,IF(AND(G4445=T4445,COUNTIFS($S$6:S4445,S4445,$G$6:G4445,G4445,$D$6:D4445,"Vastgesteld")&gt;1),1,0))</f>
        <v>0</v>
      </c>
    </row>
    <row r="4446">
      <c r="S4446" s="15" t="str">
        <f>IF(J4446="","",J4446&amp;"|"&amp;E4446&amp;"|"&amp;F4446&amp;"|"&amp;I4446&amp;"|"&amp;O4446)</f>
        <v/>
      </c>
      <c r="T4446" s="15" t="str">
        <f>IF(OR(S4446="",D4446&lt;&gt;"Vastgesteld"),"",_xlfn.MAXIFS($G$6:$G$5005,$S$6:$S$5005,S4446,$D$6:$D$5005,"Vastgesteld"))</f>
        <v/>
      </c>
      <c r="U4446" s="15">
        <f>IF(T4446="",0,IF(AND(G4446=T4446,COUNTIFS($S$6:S4446,S4446,$G$6:G4446,G4446,$D$6:D4446,"Vastgesteld")=1),1,0))</f>
        <v>0</v>
      </c>
      <c r="V4446" s="15">
        <f>IF(T4446="",0,IF(AND(G4446=T4446,COUNTIFS($S$6:S4446,S4446,$G$6:G4446,G4446,$D$6:D4446,"Vastgesteld")&gt;1),1,0))</f>
        <v>0</v>
      </c>
    </row>
    <row r="4447">
      <c r="S4447" s="15" t="str">
        <f>IF(J4447="","",J4447&amp;"|"&amp;E4447&amp;"|"&amp;F4447&amp;"|"&amp;I4447&amp;"|"&amp;O4447)</f>
        <v/>
      </c>
      <c r="T4447" s="15" t="str">
        <f>IF(OR(S4447="",D4447&lt;&gt;"Vastgesteld"),"",_xlfn.MAXIFS($G$6:$G$5005,$S$6:$S$5005,S4447,$D$6:$D$5005,"Vastgesteld"))</f>
        <v/>
      </c>
      <c r="U4447" s="15">
        <f>IF(T4447="",0,IF(AND(G4447=T4447,COUNTIFS($S$6:S4447,S4447,$G$6:G4447,G4447,$D$6:D4447,"Vastgesteld")=1),1,0))</f>
        <v>0</v>
      </c>
      <c r="V4447" s="15">
        <f>IF(T4447="",0,IF(AND(G4447=T4447,COUNTIFS($S$6:S4447,S4447,$G$6:G4447,G4447,$D$6:D4447,"Vastgesteld")&gt;1),1,0))</f>
        <v>0</v>
      </c>
    </row>
    <row r="4448">
      <c r="S4448" s="15" t="str">
        <f>IF(J4448="","",J4448&amp;"|"&amp;E4448&amp;"|"&amp;F4448&amp;"|"&amp;I4448&amp;"|"&amp;O4448)</f>
        <v/>
      </c>
      <c r="T4448" s="15" t="str">
        <f>IF(OR(S4448="",D4448&lt;&gt;"Vastgesteld"),"",_xlfn.MAXIFS($G$6:$G$5005,$S$6:$S$5005,S4448,$D$6:$D$5005,"Vastgesteld"))</f>
        <v/>
      </c>
      <c r="U4448" s="15">
        <f>IF(T4448="",0,IF(AND(G4448=T4448,COUNTIFS($S$6:S4448,S4448,$G$6:G4448,G4448,$D$6:D4448,"Vastgesteld")=1),1,0))</f>
        <v>0</v>
      </c>
      <c r="V4448" s="15">
        <f>IF(T4448="",0,IF(AND(G4448=T4448,COUNTIFS($S$6:S4448,S4448,$G$6:G4448,G4448,$D$6:D4448,"Vastgesteld")&gt;1),1,0))</f>
        <v>0</v>
      </c>
    </row>
    <row r="4449">
      <c r="S4449" s="15" t="str">
        <f>IF(J4449="","",J4449&amp;"|"&amp;E4449&amp;"|"&amp;F4449&amp;"|"&amp;I4449&amp;"|"&amp;O4449)</f>
        <v/>
      </c>
      <c r="T4449" s="15" t="str">
        <f>IF(OR(S4449="",D4449&lt;&gt;"Vastgesteld"),"",_xlfn.MAXIFS($G$6:$G$5005,$S$6:$S$5005,S4449,$D$6:$D$5005,"Vastgesteld"))</f>
        <v/>
      </c>
      <c r="U4449" s="15">
        <f>IF(T4449="",0,IF(AND(G4449=T4449,COUNTIFS($S$6:S4449,S4449,$G$6:G4449,G4449,$D$6:D4449,"Vastgesteld")=1),1,0))</f>
        <v>0</v>
      </c>
      <c r="V4449" s="15">
        <f>IF(T4449="",0,IF(AND(G4449=T4449,COUNTIFS($S$6:S4449,S4449,$G$6:G4449,G4449,$D$6:D4449,"Vastgesteld")&gt;1),1,0))</f>
        <v>0</v>
      </c>
    </row>
    <row r="4450">
      <c r="S4450" s="15" t="str">
        <f>IF(J4450="","",J4450&amp;"|"&amp;E4450&amp;"|"&amp;F4450&amp;"|"&amp;I4450&amp;"|"&amp;O4450)</f>
        <v/>
      </c>
      <c r="T4450" s="15" t="str">
        <f>IF(OR(S4450="",D4450&lt;&gt;"Vastgesteld"),"",_xlfn.MAXIFS($G$6:$G$5005,$S$6:$S$5005,S4450,$D$6:$D$5005,"Vastgesteld"))</f>
        <v/>
      </c>
      <c r="U4450" s="15">
        <f>IF(T4450="",0,IF(AND(G4450=T4450,COUNTIFS($S$6:S4450,S4450,$G$6:G4450,G4450,$D$6:D4450,"Vastgesteld")=1),1,0))</f>
        <v>0</v>
      </c>
      <c r="V4450" s="15">
        <f>IF(T4450="",0,IF(AND(G4450=T4450,COUNTIFS($S$6:S4450,S4450,$G$6:G4450,G4450,$D$6:D4450,"Vastgesteld")&gt;1),1,0))</f>
        <v>0</v>
      </c>
    </row>
    <row r="4451">
      <c r="S4451" s="15" t="str">
        <f>IF(J4451="","",J4451&amp;"|"&amp;E4451&amp;"|"&amp;F4451&amp;"|"&amp;I4451&amp;"|"&amp;O4451)</f>
        <v/>
      </c>
      <c r="T4451" s="15" t="str">
        <f>IF(OR(S4451="",D4451&lt;&gt;"Vastgesteld"),"",_xlfn.MAXIFS($G$6:$G$5005,$S$6:$S$5005,S4451,$D$6:$D$5005,"Vastgesteld"))</f>
        <v/>
      </c>
      <c r="U4451" s="15">
        <f>IF(T4451="",0,IF(AND(G4451=T4451,COUNTIFS($S$6:S4451,S4451,$G$6:G4451,G4451,$D$6:D4451,"Vastgesteld")=1),1,0))</f>
        <v>0</v>
      </c>
      <c r="V4451" s="15">
        <f>IF(T4451="",0,IF(AND(G4451=T4451,COUNTIFS($S$6:S4451,S4451,$G$6:G4451,G4451,$D$6:D4451,"Vastgesteld")&gt;1),1,0))</f>
        <v>0</v>
      </c>
    </row>
    <row r="4452">
      <c r="S4452" s="15" t="str">
        <f>IF(J4452="","",J4452&amp;"|"&amp;E4452&amp;"|"&amp;F4452&amp;"|"&amp;I4452&amp;"|"&amp;O4452)</f>
        <v/>
      </c>
      <c r="T4452" s="15" t="str">
        <f>IF(OR(S4452="",D4452&lt;&gt;"Vastgesteld"),"",_xlfn.MAXIFS($G$6:$G$5005,$S$6:$S$5005,S4452,$D$6:$D$5005,"Vastgesteld"))</f>
        <v/>
      </c>
      <c r="U4452" s="15">
        <f>IF(T4452="",0,IF(AND(G4452=T4452,COUNTIFS($S$6:S4452,S4452,$G$6:G4452,G4452,$D$6:D4452,"Vastgesteld")=1),1,0))</f>
        <v>0</v>
      </c>
      <c r="V4452" s="15">
        <f>IF(T4452="",0,IF(AND(G4452=T4452,COUNTIFS($S$6:S4452,S4452,$G$6:G4452,G4452,$D$6:D4452,"Vastgesteld")&gt;1),1,0))</f>
        <v>0</v>
      </c>
    </row>
    <row r="4453">
      <c r="S4453" s="15" t="str">
        <f>IF(J4453="","",J4453&amp;"|"&amp;E4453&amp;"|"&amp;F4453&amp;"|"&amp;I4453&amp;"|"&amp;O4453)</f>
        <v/>
      </c>
      <c r="T4453" s="15" t="str">
        <f>IF(OR(S4453="",D4453&lt;&gt;"Vastgesteld"),"",_xlfn.MAXIFS($G$6:$G$5005,$S$6:$S$5005,S4453,$D$6:$D$5005,"Vastgesteld"))</f>
        <v/>
      </c>
      <c r="U4453" s="15">
        <f>IF(T4453="",0,IF(AND(G4453=T4453,COUNTIFS($S$6:S4453,S4453,$G$6:G4453,G4453,$D$6:D4453,"Vastgesteld")=1),1,0))</f>
        <v>0</v>
      </c>
      <c r="V4453" s="15">
        <f>IF(T4453="",0,IF(AND(G4453=T4453,COUNTIFS($S$6:S4453,S4453,$G$6:G4453,G4453,$D$6:D4453,"Vastgesteld")&gt;1),1,0))</f>
        <v>0</v>
      </c>
    </row>
    <row r="4454">
      <c r="S4454" s="15" t="str">
        <f>IF(J4454="","",J4454&amp;"|"&amp;E4454&amp;"|"&amp;F4454&amp;"|"&amp;I4454&amp;"|"&amp;O4454)</f>
        <v/>
      </c>
      <c r="T4454" s="15" t="str">
        <f>IF(OR(S4454="",D4454&lt;&gt;"Vastgesteld"),"",_xlfn.MAXIFS($G$6:$G$5005,$S$6:$S$5005,S4454,$D$6:$D$5005,"Vastgesteld"))</f>
        <v/>
      </c>
      <c r="U4454" s="15">
        <f>IF(T4454="",0,IF(AND(G4454=T4454,COUNTIFS($S$6:S4454,S4454,$G$6:G4454,G4454,$D$6:D4454,"Vastgesteld")=1),1,0))</f>
        <v>0</v>
      </c>
      <c r="V4454" s="15">
        <f>IF(T4454="",0,IF(AND(G4454=T4454,COUNTIFS($S$6:S4454,S4454,$G$6:G4454,G4454,$D$6:D4454,"Vastgesteld")&gt;1),1,0))</f>
        <v>0</v>
      </c>
    </row>
    <row r="4455">
      <c r="S4455" s="15" t="str">
        <f>IF(J4455="","",J4455&amp;"|"&amp;E4455&amp;"|"&amp;F4455&amp;"|"&amp;I4455&amp;"|"&amp;O4455)</f>
        <v/>
      </c>
      <c r="T4455" s="15" t="str">
        <f>IF(OR(S4455="",D4455&lt;&gt;"Vastgesteld"),"",_xlfn.MAXIFS($G$6:$G$5005,$S$6:$S$5005,S4455,$D$6:$D$5005,"Vastgesteld"))</f>
        <v/>
      </c>
      <c r="U4455" s="15">
        <f>IF(T4455="",0,IF(AND(G4455=T4455,COUNTIFS($S$6:S4455,S4455,$G$6:G4455,G4455,$D$6:D4455,"Vastgesteld")=1),1,0))</f>
        <v>0</v>
      </c>
      <c r="V4455" s="15">
        <f>IF(T4455="",0,IF(AND(G4455=T4455,COUNTIFS($S$6:S4455,S4455,$G$6:G4455,G4455,$D$6:D4455,"Vastgesteld")&gt;1),1,0))</f>
        <v>0</v>
      </c>
    </row>
    <row r="4456">
      <c r="S4456" s="15" t="str">
        <f>IF(J4456="","",J4456&amp;"|"&amp;E4456&amp;"|"&amp;F4456&amp;"|"&amp;I4456&amp;"|"&amp;O4456)</f>
        <v/>
      </c>
      <c r="T4456" s="15" t="str">
        <f>IF(OR(S4456="",D4456&lt;&gt;"Vastgesteld"),"",_xlfn.MAXIFS($G$6:$G$5005,$S$6:$S$5005,S4456,$D$6:$D$5005,"Vastgesteld"))</f>
        <v/>
      </c>
      <c r="U4456" s="15">
        <f>IF(T4456="",0,IF(AND(G4456=T4456,COUNTIFS($S$6:S4456,S4456,$G$6:G4456,G4456,$D$6:D4456,"Vastgesteld")=1),1,0))</f>
        <v>0</v>
      </c>
      <c r="V4456" s="15">
        <f>IF(T4456="",0,IF(AND(G4456=T4456,COUNTIFS($S$6:S4456,S4456,$G$6:G4456,G4456,$D$6:D4456,"Vastgesteld")&gt;1),1,0))</f>
        <v>0</v>
      </c>
    </row>
    <row r="4457">
      <c r="S4457" s="15" t="str">
        <f>IF(J4457="","",J4457&amp;"|"&amp;E4457&amp;"|"&amp;F4457&amp;"|"&amp;I4457&amp;"|"&amp;O4457)</f>
        <v/>
      </c>
      <c r="T4457" s="15" t="str">
        <f>IF(OR(S4457="",D4457&lt;&gt;"Vastgesteld"),"",_xlfn.MAXIFS($G$6:$G$5005,$S$6:$S$5005,S4457,$D$6:$D$5005,"Vastgesteld"))</f>
        <v/>
      </c>
      <c r="U4457" s="15">
        <f>IF(T4457="",0,IF(AND(G4457=T4457,COUNTIFS($S$6:S4457,S4457,$G$6:G4457,G4457,$D$6:D4457,"Vastgesteld")=1),1,0))</f>
        <v>0</v>
      </c>
      <c r="V4457" s="15">
        <f>IF(T4457="",0,IF(AND(G4457=T4457,COUNTIFS($S$6:S4457,S4457,$G$6:G4457,G4457,$D$6:D4457,"Vastgesteld")&gt;1),1,0))</f>
        <v>0</v>
      </c>
    </row>
    <row r="4458">
      <c r="S4458" s="15" t="str">
        <f>IF(J4458="","",J4458&amp;"|"&amp;E4458&amp;"|"&amp;F4458&amp;"|"&amp;I4458&amp;"|"&amp;O4458)</f>
        <v/>
      </c>
      <c r="T4458" s="15" t="str">
        <f>IF(OR(S4458="",D4458&lt;&gt;"Vastgesteld"),"",_xlfn.MAXIFS($G$6:$G$5005,$S$6:$S$5005,S4458,$D$6:$D$5005,"Vastgesteld"))</f>
        <v/>
      </c>
      <c r="U4458" s="15">
        <f>IF(T4458="",0,IF(AND(G4458=T4458,COUNTIFS($S$6:S4458,S4458,$G$6:G4458,G4458,$D$6:D4458,"Vastgesteld")=1),1,0))</f>
        <v>0</v>
      </c>
      <c r="V4458" s="15">
        <f>IF(T4458="",0,IF(AND(G4458=T4458,COUNTIFS($S$6:S4458,S4458,$G$6:G4458,G4458,$D$6:D4458,"Vastgesteld")&gt;1),1,0))</f>
        <v>0</v>
      </c>
    </row>
    <row r="4459">
      <c r="S4459" s="15" t="str">
        <f>IF(J4459="","",J4459&amp;"|"&amp;E4459&amp;"|"&amp;F4459&amp;"|"&amp;I4459&amp;"|"&amp;O4459)</f>
        <v/>
      </c>
      <c r="T4459" s="15" t="str">
        <f>IF(OR(S4459="",D4459&lt;&gt;"Vastgesteld"),"",_xlfn.MAXIFS($G$6:$G$5005,$S$6:$S$5005,S4459,$D$6:$D$5005,"Vastgesteld"))</f>
        <v/>
      </c>
      <c r="U4459" s="15">
        <f>IF(T4459="",0,IF(AND(G4459=T4459,COUNTIFS($S$6:S4459,S4459,$G$6:G4459,G4459,$D$6:D4459,"Vastgesteld")=1),1,0))</f>
        <v>0</v>
      </c>
      <c r="V4459" s="15">
        <f>IF(T4459="",0,IF(AND(G4459=T4459,COUNTIFS($S$6:S4459,S4459,$G$6:G4459,G4459,$D$6:D4459,"Vastgesteld")&gt;1),1,0))</f>
        <v>0</v>
      </c>
    </row>
    <row r="4460">
      <c r="S4460" s="15" t="str">
        <f>IF(J4460="","",J4460&amp;"|"&amp;E4460&amp;"|"&amp;F4460&amp;"|"&amp;I4460&amp;"|"&amp;O4460)</f>
        <v/>
      </c>
      <c r="T4460" s="15" t="str">
        <f>IF(OR(S4460="",D4460&lt;&gt;"Vastgesteld"),"",_xlfn.MAXIFS($G$6:$G$5005,$S$6:$S$5005,S4460,$D$6:$D$5005,"Vastgesteld"))</f>
        <v/>
      </c>
      <c r="U4460" s="15">
        <f>IF(T4460="",0,IF(AND(G4460=T4460,COUNTIFS($S$6:S4460,S4460,$G$6:G4460,G4460,$D$6:D4460,"Vastgesteld")=1),1,0))</f>
        <v>0</v>
      </c>
      <c r="V4460" s="15">
        <f>IF(T4460="",0,IF(AND(G4460=T4460,COUNTIFS($S$6:S4460,S4460,$G$6:G4460,G4460,$D$6:D4460,"Vastgesteld")&gt;1),1,0))</f>
        <v>0</v>
      </c>
    </row>
    <row r="4461">
      <c r="S4461" s="15" t="str">
        <f>IF(J4461="","",J4461&amp;"|"&amp;E4461&amp;"|"&amp;F4461&amp;"|"&amp;I4461&amp;"|"&amp;O4461)</f>
        <v/>
      </c>
      <c r="T4461" s="15" t="str">
        <f>IF(OR(S4461="",D4461&lt;&gt;"Vastgesteld"),"",_xlfn.MAXIFS($G$6:$G$5005,$S$6:$S$5005,S4461,$D$6:$D$5005,"Vastgesteld"))</f>
        <v/>
      </c>
      <c r="U4461" s="15">
        <f>IF(T4461="",0,IF(AND(G4461=T4461,COUNTIFS($S$6:S4461,S4461,$G$6:G4461,G4461,$D$6:D4461,"Vastgesteld")=1),1,0))</f>
        <v>0</v>
      </c>
      <c r="V4461" s="15">
        <f>IF(T4461="",0,IF(AND(G4461=T4461,COUNTIFS($S$6:S4461,S4461,$G$6:G4461,G4461,$D$6:D4461,"Vastgesteld")&gt;1),1,0))</f>
        <v>0</v>
      </c>
    </row>
    <row r="4462">
      <c r="S4462" s="15" t="str">
        <f>IF(J4462="","",J4462&amp;"|"&amp;E4462&amp;"|"&amp;F4462&amp;"|"&amp;I4462&amp;"|"&amp;O4462)</f>
        <v/>
      </c>
      <c r="T4462" s="15" t="str">
        <f>IF(OR(S4462="",D4462&lt;&gt;"Vastgesteld"),"",_xlfn.MAXIFS($G$6:$G$5005,$S$6:$S$5005,S4462,$D$6:$D$5005,"Vastgesteld"))</f>
        <v/>
      </c>
      <c r="U4462" s="15">
        <f>IF(T4462="",0,IF(AND(G4462=T4462,COUNTIFS($S$6:S4462,S4462,$G$6:G4462,G4462,$D$6:D4462,"Vastgesteld")=1),1,0))</f>
        <v>0</v>
      </c>
      <c r="V4462" s="15">
        <f>IF(T4462="",0,IF(AND(G4462=T4462,COUNTIFS($S$6:S4462,S4462,$G$6:G4462,G4462,$D$6:D4462,"Vastgesteld")&gt;1),1,0))</f>
        <v>0</v>
      </c>
    </row>
    <row r="4463">
      <c r="S4463" s="15" t="str">
        <f>IF(J4463="","",J4463&amp;"|"&amp;E4463&amp;"|"&amp;F4463&amp;"|"&amp;I4463&amp;"|"&amp;O4463)</f>
        <v/>
      </c>
      <c r="T4463" s="15" t="str">
        <f>IF(OR(S4463="",D4463&lt;&gt;"Vastgesteld"),"",_xlfn.MAXIFS($G$6:$G$5005,$S$6:$S$5005,S4463,$D$6:$D$5005,"Vastgesteld"))</f>
        <v/>
      </c>
      <c r="U4463" s="15">
        <f>IF(T4463="",0,IF(AND(G4463=T4463,COUNTIFS($S$6:S4463,S4463,$G$6:G4463,G4463,$D$6:D4463,"Vastgesteld")=1),1,0))</f>
        <v>0</v>
      </c>
      <c r="V4463" s="15">
        <f>IF(T4463="",0,IF(AND(G4463=T4463,COUNTIFS($S$6:S4463,S4463,$G$6:G4463,G4463,$D$6:D4463,"Vastgesteld")&gt;1),1,0))</f>
        <v>0</v>
      </c>
    </row>
    <row r="4464">
      <c r="S4464" s="15" t="str">
        <f>IF(J4464="","",J4464&amp;"|"&amp;E4464&amp;"|"&amp;F4464&amp;"|"&amp;I4464&amp;"|"&amp;O4464)</f>
        <v/>
      </c>
      <c r="T4464" s="15" t="str">
        <f>IF(OR(S4464="",D4464&lt;&gt;"Vastgesteld"),"",_xlfn.MAXIFS($G$6:$G$5005,$S$6:$S$5005,S4464,$D$6:$D$5005,"Vastgesteld"))</f>
        <v/>
      </c>
      <c r="U4464" s="15">
        <f>IF(T4464="",0,IF(AND(G4464=T4464,COUNTIFS($S$6:S4464,S4464,$G$6:G4464,G4464,$D$6:D4464,"Vastgesteld")=1),1,0))</f>
        <v>0</v>
      </c>
      <c r="V4464" s="15">
        <f>IF(T4464="",0,IF(AND(G4464=T4464,COUNTIFS($S$6:S4464,S4464,$G$6:G4464,G4464,$D$6:D4464,"Vastgesteld")&gt;1),1,0))</f>
        <v>0</v>
      </c>
    </row>
    <row r="4465">
      <c r="S4465" s="15" t="str">
        <f>IF(J4465="","",J4465&amp;"|"&amp;E4465&amp;"|"&amp;F4465&amp;"|"&amp;I4465&amp;"|"&amp;O4465)</f>
        <v/>
      </c>
      <c r="T4465" s="15" t="str">
        <f>IF(OR(S4465="",D4465&lt;&gt;"Vastgesteld"),"",_xlfn.MAXIFS($G$6:$G$5005,$S$6:$S$5005,S4465,$D$6:$D$5005,"Vastgesteld"))</f>
        <v/>
      </c>
      <c r="U4465" s="15">
        <f>IF(T4465="",0,IF(AND(G4465=T4465,COUNTIFS($S$6:S4465,S4465,$G$6:G4465,G4465,$D$6:D4465,"Vastgesteld")=1),1,0))</f>
        <v>0</v>
      </c>
      <c r="V4465" s="15">
        <f>IF(T4465="",0,IF(AND(G4465=T4465,COUNTIFS($S$6:S4465,S4465,$G$6:G4465,G4465,$D$6:D4465,"Vastgesteld")&gt;1),1,0))</f>
        <v>0</v>
      </c>
    </row>
    <row r="4466">
      <c r="S4466" s="15" t="str">
        <f>IF(J4466="","",J4466&amp;"|"&amp;E4466&amp;"|"&amp;F4466&amp;"|"&amp;I4466&amp;"|"&amp;O4466)</f>
        <v/>
      </c>
      <c r="T4466" s="15" t="str">
        <f>IF(OR(S4466="",D4466&lt;&gt;"Vastgesteld"),"",_xlfn.MAXIFS($G$6:$G$5005,$S$6:$S$5005,S4466,$D$6:$D$5005,"Vastgesteld"))</f>
        <v/>
      </c>
      <c r="U4466" s="15">
        <f>IF(T4466="",0,IF(AND(G4466=T4466,COUNTIFS($S$6:S4466,S4466,$G$6:G4466,G4466,$D$6:D4466,"Vastgesteld")=1),1,0))</f>
        <v>0</v>
      </c>
      <c r="V4466" s="15">
        <f>IF(T4466="",0,IF(AND(G4466=T4466,COUNTIFS($S$6:S4466,S4466,$G$6:G4466,G4466,$D$6:D4466,"Vastgesteld")&gt;1),1,0))</f>
        <v>0</v>
      </c>
    </row>
    <row r="4467">
      <c r="S4467" s="15" t="str">
        <f>IF(J4467="","",J4467&amp;"|"&amp;E4467&amp;"|"&amp;F4467&amp;"|"&amp;I4467&amp;"|"&amp;O4467)</f>
        <v/>
      </c>
      <c r="T4467" s="15" t="str">
        <f>IF(OR(S4467="",D4467&lt;&gt;"Vastgesteld"),"",_xlfn.MAXIFS($G$6:$G$5005,$S$6:$S$5005,S4467,$D$6:$D$5005,"Vastgesteld"))</f>
        <v/>
      </c>
      <c r="U4467" s="15">
        <f>IF(T4467="",0,IF(AND(G4467=T4467,COUNTIFS($S$6:S4467,S4467,$G$6:G4467,G4467,$D$6:D4467,"Vastgesteld")=1),1,0))</f>
        <v>0</v>
      </c>
      <c r="V4467" s="15">
        <f>IF(T4467="",0,IF(AND(G4467=T4467,COUNTIFS($S$6:S4467,S4467,$G$6:G4467,G4467,$D$6:D4467,"Vastgesteld")&gt;1),1,0))</f>
        <v>0</v>
      </c>
    </row>
    <row r="4468">
      <c r="S4468" s="15" t="str">
        <f>IF(J4468="","",J4468&amp;"|"&amp;E4468&amp;"|"&amp;F4468&amp;"|"&amp;I4468&amp;"|"&amp;O4468)</f>
        <v/>
      </c>
      <c r="T4468" s="15" t="str">
        <f>IF(OR(S4468="",D4468&lt;&gt;"Vastgesteld"),"",_xlfn.MAXIFS($G$6:$G$5005,$S$6:$S$5005,S4468,$D$6:$D$5005,"Vastgesteld"))</f>
        <v/>
      </c>
      <c r="U4468" s="15">
        <f>IF(T4468="",0,IF(AND(G4468=T4468,COUNTIFS($S$6:S4468,S4468,$G$6:G4468,G4468,$D$6:D4468,"Vastgesteld")=1),1,0))</f>
        <v>0</v>
      </c>
      <c r="V4468" s="15">
        <f>IF(T4468="",0,IF(AND(G4468=T4468,COUNTIFS($S$6:S4468,S4468,$G$6:G4468,G4468,$D$6:D4468,"Vastgesteld")&gt;1),1,0))</f>
        <v>0</v>
      </c>
    </row>
    <row r="4469">
      <c r="S4469" s="15" t="str">
        <f>IF(J4469="","",J4469&amp;"|"&amp;E4469&amp;"|"&amp;F4469&amp;"|"&amp;I4469&amp;"|"&amp;O4469)</f>
        <v/>
      </c>
      <c r="T4469" s="15" t="str">
        <f>IF(OR(S4469="",D4469&lt;&gt;"Vastgesteld"),"",_xlfn.MAXIFS($G$6:$G$5005,$S$6:$S$5005,S4469,$D$6:$D$5005,"Vastgesteld"))</f>
        <v/>
      </c>
      <c r="U4469" s="15">
        <f>IF(T4469="",0,IF(AND(G4469=T4469,COUNTIFS($S$6:S4469,S4469,$G$6:G4469,G4469,$D$6:D4469,"Vastgesteld")=1),1,0))</f>
        <v>0</v>
      </c>
      <c r="V4469" s="15">
        <f>IF(T4469="",0,IF(AND(G4469=T4469,COUNTIFS($S$6:S4469,S4469,$G$6:G4469,G4469,$D$6:D4469,"Vastgesteld")&gt;1),1,0))</f>
        <v>0</v>
      </c>
    </row>
    <row r="4470">
      <c r="S4470" s="15" t="str">
        <f>IF(J4470="","",J4470&amp;"|"&amp;E4470&amp;"|"&amp;F4470&amp;"|"&amp;I4470&amp;"|"&amp;O4470)</f>
        <v/>
      </c>
      <c r="T4470" s="15" t="str">
        <f>IF(OR(S4470="",D4470&lt;&gt;"Vastgesteld"),"",_xlfn.MAXIFS($G$6:$G$5005,$S$6:$S$5005,S4470,$D$6:$D$5005,"Vastgesteld"))</f>
        <v/>
      </c>
      <c r="U4470" s="15">
        <f>IF(T4470="",0,IF(AND(G4470=T4470,COUNTIFS($S$6:S4470,S4470,$G$6:G4470,G4470,$D$6:D4470,"Vastgesteld")=1),1,0))</f>
        <v>0</v>
      </c>
      <c r="V4470" s="15">
        <f>IF(T4470="",0,IF(AND(G4470=T4470,COUNTIFS($S$6:S4470,S4470,$G$6:G4470,G4470,$D$6:D4470,"Vastgesteld")&gt;1),1,0))</f>
        <v>0</v>
      </c>
    </row>
    <row r="4471">
      <c r="S4471" s="15" t="str">
        <f>IF(J4471="","",J4471&amp;"|"&amp;E4471&amp;"|"&amp;F4471&amp;"|"&amp;I4471&amp;"|"&amp;O4471)</f>
        <v/>
      </c>
      <c r="T4471" s="15" t="str">
        <f>IF(OR(S4471="",D4471&lt;&gt;"Vastgesteld"),"",_xlfn.MAXIFS($G$6:$G$5005,$S$6:$S$5005,S4471,$D$6:$D$5005,"Vastgesteld"))</f>
        <v/>
      </c>
      <c r="U4471" s="15">
        <f>IF(T4471="",0,IF(AND(G4471=T4471,COUNTIFS($S$6:S4471,S4471,$G$6:G4471,G4471,$D$6:D4471,"Vastgesteld")=1),1,0))</f>
        <v>0</v>
      </c>
      <c r="V4471" s="15">
        <f>IF(T4471="",0,IF(AND(G4471=T4471,COUNTIFS($S$6:S4471,S4471,$G$6:G4471,G4471,$D$6:D4471,"Vastgesteld")&gt;1),1,0))</f>
        <v>0</v>
      </c>
    </row>
    <row r="4472">
      <c r="S4472" s="15" t="str">
        <f>IF(J4472="","",J4472&amp;"|"&amp;E4472&amp;"|"&amp;F4472&amp;"|"&amp;I4472&amp;"|"&amp;O4472)</f>
        <v/>
      </c>
      <c r="T4472" s="15" t="str">
        <f>IF(OR(S4472="",D4472&lt;&gt;"Vastgesteld"),"",_xlfn.MAXIFS($G$6:$G$5005,$S$6:$S$5005,S4472,$D$6:$D$5005,"Vastgesteld"))</f>
        <v/>
      </c>
      <c r="U4472" s="15">
        <f>IF(T4472="",0,IF(AND(G4472=T4472,COUNTIFS($S$6:S4472,S4472,$G$6:G4472,G4472,$D$6:D4472,"Vastgesteld")=1),1,0))</f>
        <v>0</v>
      </c>
      <c r="V4472" s="15">
        <f>IF(T4472="",0,IF(AND(G4472=T4472,COUNTIFS($S$6:S4472,S4472,$G$6:G4472,G4472,$D$6:D4472,"Vastgesteld")&gt;1),1,0))</f>
        <v>0</v>
      </c>
    </row>
    <row r="4473">
      <c r="S4473" s="15" t="str">
        <f>IF(J4473="","",J4473&amp;"|"&amp;E4473&amp;"|"&amp;F4473&amp;"|"&amp;I4473&amp;"|"&amp;O4473)</f>
        <v/>
      </c>
      <c r="T4473" s="15" t="str">
        <f>IF(OR(S4473="",D4473&lt;&gt;"Vastgesteld"),"",_xlfn.MAXIFS($G$6:$G$5005,$S$6:$S$5005,S4473,$D$6:$D$5005,"Vastgesteld"))</f>
        <v/>
      </c>
      <c r="U4473" s="15">
        <f>IF(T4473="",0,IF(AND(G4473=T4473,COUNTIFS($S$6:S4473,S4473,$G$6:G4473,G4473,$D$6:D4473,"Vastgesteld")=1),1,0))</f>
        <v>0</v>
      </c>
      <c r="V4473" s="15">
        <f>IF(T4473="",0,IF(AND(G4473=T4473,COUNTIFS($S$6:S4473,S4473,$G$6:G4473,G4473,$D$6:D4473,"Vastgesteld")&gt;1),1,0))</f>
        <v>0</v>
      </c>
    </row>
    <row r="4474">
      <c r="S4474" s="15" t="str">
        <f>IF(J4474="","",J4474&amp;"|"&amp;E4474&amp;"|"&amp;F4474&amp;"|"&amp;I4474&amp;"|"&amp;O4474)</f>
        <v/>
      </c>
      <c r="T4474" s="15" t="str">
        <f>IF(OR(S4474="",D4474&lt;&gt;"Vastgesteld"),"",_xlfn.MAXIFS($G$6:$G$5005,$S$6:$S$5005,S4474,$D$6:$D$5005,"Vastgesteld"))</f>
        <v/>
      </c>
      <c r="U4474" s="15">
        <f>IF(T4474="",0,IF(AND(G4474=T4474,COUNTIFS($S$6:S4474,S4474,$G$6:G4474,G4474,$D$6:D4474,"Vastgesteld")=1),1,0))</f>
        <v>0</v>
      </c>
      <c r="V4474" s="15">
        <f>IF(T4474="",0,IF(AND(G4474=T4474,COUNTIFS($S$6:S4474,S4474,$G$6:G4474,G4474,$D$6:D4474,"Vastgesteld")&gt;1),1,0))</f>
        <v>0</v>
      </c>
    </row>
    <row r="4475">
      <c r="S4475" s="15" t="str">
        <f>IF(J4475="","",J4475&amp;"|"&amp;E4475&amp;"|"&amp;F4475&amp;"|"&amp;I4475&amp;"|"&amp;O4475)</f>
        <v/>
      </c>
      <c r="T4475" s="15" t="str">
        <f>IF(OR(S4475="",D4475&lt;&gt;"Vastgesteld"),"",_xlfn.MAXIFS($G$6:$G$5005,$S$6:$S$5005,S4475,$D$6:$D$5005,"Vastgesteld"))</f>
        <v/>
      </c>
      <c r="U4475" s="15">
        <f>IF(T4475="",0,IF(AND(G4475=T4475,COUNTIFS($S$6:S4475,S4475,$G$6:G4475,G4475,$D$6:D4475,"Vastgesteld")=1),1,0))</f>
        <v>0</v>
      </c>
      <c r="V4475" s="15">
        <f>IF(T4475="",0,IF(AND(G4475=T4475,COUNTIFS($S$6:S4475,S4475,$G$6:G4475,G4475,$D$6:D4475,"Vastgesteld")&gt;1),1,0))</f>
        <v>0</v>
      </c>
    </row>
    <row r="4476">
      <c r="S4476" s="15" t="str">
        <f>IF(J4476="","",J4476&amp;"|"&amp;E4476&amp;"|"&amp;F4476&amp;"|"&amp;I4476&amp;"|"&amp;O4476)</f>
        <v/>
      </c>
      <c r="T4476" s="15" t="str">
        <f>IF(OR(S4476="",D4476&lt;&gt;"Vastgesteld"),"",_xlfn.MAXIFS($G$6:$G$5005,$S$6:$S$5005,S4476,$D$6:$D$5005,"Vastgesteld"))</f>
        <v/>
      </c>
      <c r="U4476" s="15">
        <f>IF(T4476="",0,IF(AND(G4476=T4476,COUNTIFS($S$6:S4476,S4476,$G$6:G4476,G4476,$D$6:D4476,"Vastgesteld")=1),1,0))</f>
        <v>0</v>
      </c>
      <c r="V4476" s="15">
        <f>IF(T4476="",0,IF(AND(G4476=T4476,COUNTIFS($S$6:S4476,S4476,$G$6:G4476,G4476,$D$6:D4476,"Vastgesteld")&gt;1),1,0))</f>
        <v>0</v>
      </c>
    </row>
    <row r="4477">
      <c r="S4477" s="15" t="str">
        <f>IF(J4477="","",J4477&amp;"|"&amp;E4477&amp;"|"&amp;F4477&amp;"|"&amp;I4477&amp;"|"&amp;O4477)</f>
        <v/>
      </c>
      <c r="T4477" s="15" t="str">
        <f>IF(OR(S4477="",D4477&lt;&gt;"Vastgesteld"),"",_xlfn.MAXIFS($G$6:$G$5005,$S$6:$S$5005,S4477,$D$6:$D$5005,"Vastgesteld"))</f>
        <v/>
      </c>
      <c r="U4477" s="15">
        <f>IF(T4477="",0,IF(AND(G4477=T4477,COUNTIFS($S$6:S4477,S4477,$G$6:G4477,G4477,$D$6:D4477,"Vastgesteld")=1),1,0))</f>
        <v>0</v>
      </c>
      <c r="V4477" s="15">
        <f>IF(T4477="",0,IF(AND(G4477=T4477,COUNTIFS($S$6:S4477,S4477,$G$6:G4477,G4477,$D$6:D4477,"Vastgesteld")&gt;1),1,0))</f>
        <v>0</v>
      </c>
    </row>
    <row r="4478">
      <c r="S4478" s="15" t="str">
        <f>IF(J4478="","",J4478&amp;"|"&amp;E4478&amp;"|"&amp;F4478&amp;"|"&amp;I4478&amp;"|"&amp;O4478)</f>
        <v/>
      </c>
      <c r="T4478" s="15" t="str">
        <f>IF(OR(S4478="",D4478&lt;&gt;"Vastgesteld"),"",_xlfn.MAXIFS($G$6:$G$5005,$S$6:$S$5005,S4478,$D$6:$D$5005,"Vastgesteld"))</f>
        <v/>
      </c>
      <c r="U4478" s="15">
        <f>IF(T4478="",0,IF(AND(G4478=T4478,COUNTIFS($S$6:S4478,S4478,$G$6:G4478,G4478,$D$6:D4478,"Vastgesteld")=1),1,0))</f>
        <v>0</v>
      </c>
      <c r="V4478" s="15">
        <f>IF(T4478="",0,IF(AND(G4478=T4478,COUNTIFS($S$6:S4478,S4478,$G$6:G4478,G4478,$D$6:D4478,"Vastgesteld")&gt;1),1,0))</f>
        <v>0</v>
      </c>
    </row>
    <row r="4479">
      <c r="S4479" s="15" t="str">
        <f>IF(J4479="","",J4479&amp;"|"&amp;E4479&amp;"|"&amp;F4479&amp;"|"&amp;I4479&amp;"|"&amp;O4479)</f>
        <v/>
      </c>
      <c r="T4479" s="15" t="str">
        <f>IF(OR(S4479="",D4479&lt;&gt;"Vastgesteld"),"",_xlfn.MAXIFS($G$6:$G$5005,$S$6:$S$5005,S4479,$D$6:$D$5005,"Vastgesteld"))</f>
        <v/>
      </c>
      <c r="U4479" s="15">
        <f>IF(T4479="",0,IF(AND(G4479=T4479,COUNTIFS($S$6:S4479,S4479,$G$6:G4479,G4479,$D$6:D4479,"Vastgesteld")=1),1,0))</f>
        <v>0</v>
      </c>
      <c r="V4479" s="15">
        <f>IF(T4479="",0,IF(AND(G4479=T4479,COUNTIFS($S$6:S4479,S4479,$G$6:G4479,G4479,$D$6:D4479,"Vastgesteld")&gt;1),1,0))</f>
        <v>0</v>
      </c>
    </row>
    <row r="4480">
      <c r="S4480" s="15" t="str">
        <f>IF(J4480="","",J4480&amp;"|"&amp;E4480&amp;"|"&amp;F4480&amp;"|"&amp;I4480&amp;"|"&amp;O4480)</f>
        <v/>
      </c>
      <c r="T4480" s="15" t="str">
        <f>IF(OR(S4480="",D4480&lt;&gt;"Vastgesteld"),"",_xlfn.MAXIFS($G$6:$G$5005,$S$6:$S$5005,S4480,$D$6:$D$5005,"Vastgesteld"))</f>
        <v/>
      </c>
      <c r="U4480" s="15">
        <f>IF(T4480="",0,IF(AND(G4480=T4480,COUNTIFS($S$6:S4480,S4480,$G$6:G4480,G4480,$D$6:D4480,"Vastgesteld")=1),1,0))</f>
        <v>0</v>
      </c>
      <c r="V4480" s="15">
        <f>IF(T4480="",0,IF(AND(G4480=T4480,COUNTIFS($S$6:S4480,S4480,$G$6:G4480,G4480,$D$6:D4480,"Vastgesteld")&gt;1),1,0))</f>
        <v>0</v>
      </c>
    </row>
    <row r="4481">
      <c r="S4481" s="15" t="str">
        <f>IF(J4481="","",J4481&amp;"|"&amp;E4481&amp;"|"&amp;F4481&amp;"|"&amp;I4481&amp;"|"&amp;O4481)</f>
        <v/>
      </c>
      <c r="T4481" s="15" t="str">
        <f>IF(OR(S4481="",D4481&lt;&gt;"Vastgesteld"),"",_xlfn.MAXIFS($G$6:$G$5005,$S$6:$S$5005,S4481,$D$6:$D$5005,"Vastgesteld"))</f>
        <v/>
      </c>
      <c r="U4481" s="15">
        <f>IF(T4481="",0,IF(AND(G4481=T4481,COUNTIFS($S$6:S4481,S4481,$G$6:G4481,G4481,$D$6:D4481,"Vastgesteld")=1),1,0))</f>
        <v>0</v>
      </c>
      <c r="V4481" s="15">
        <f>IF(T4481="",0,IF(AND(G4481=T4481,COUNTIFS($S$6:S4481,S4481,$G$6:G4481,G4481,$D$6:D4481,"Vastgesteld")&gt;1),1,0))</f>
        <v>0</v>
      </c>
    </row>
    <row r="4482">
      <c r="S4482" s="15" t="str">
        <f>IF(J4482="","",J4482&amp;"|"&amp;E4482&amp;"|"&amp;F4482&amp;"|"&amp;I4482&amp;"|"&amp;O4482)</f>
        <v/>
      </c>
      <c r="T4482" s="15" t="str">
        <f>IF(OR(S4482="",D4482&lt;&gt;"Vastgesteld"),"",_xlfn.MAXIFS($G$6:$G$5005,$S$6:$S$5005,S4482,$D$6:$D$5005,"Vastgesteld"))</f>
        <v/>
      </c>
      <c r="U4482" s="15">
        <f>IF(T4482="",0,IF(AND(G4482=T4482,COUNTIFS($S$6:S4482,S4482,$G$6:G4482,G4482,$D$6:D4482,"Vastgesteld")=1),1,0))</f>
        <v>0</v>
      </c>
      <c r="V4482" s="15">
        <f>IF(T4482="",0,IF(AND(G4482=T4482,COUNTIFS($S$6:S4482,S4482,$G$6:G4482,G4482,$D$6:D4482,"Vastgesteld")&gt;1),1,0))</f>
        <v>0</v>
      </c>
    </row>
    <row r="4483">
      <c r="S4483" s="15" t="str">
        <f>IF(J4483="","",J4483&amp;"|"&amp;E4483&amp;"|"&amp;F4483&amp;"|"&amp;I4483&amp;"|"&amp;O4483)</f>
        <v/>
      </c>
      <c r="T4483" s="15" t="str">
        <f>IF(OR(S4483="",D4483&lt;&gt;"Vastgesteld"),"",_xlfn.MAXIFS($G$6:$G$5005,$S$6:$S$5005,S4483,$D$6:$D$5005,"Vastgesteld"))</f>
        <v/>
      </c>
      <c r="U4483" s="15">
        <f>IF(T4483="",0,IF(AND(G4483=T4483,COUNTIFS($S$6:S4483,S4483,$G$6:G4483,G4483,$D$6:D4483,"Vastgesteld")=1),1,0))</f>
        <v>0</v>
      </c>
      <c r="V4483" s="15">
        <f>IF(T4483="",0,IF(AND(G4483=T4483,COUNTIFS($S$6:S4483,S4483,$G$6:G4483,G4483,$D$6:D4483,"Vastgesteld")&gt;1),1,0))</f>
        <v>0</v>
      </c>
    </row>
    <row r="4484">
      <c r="S4484" s="15" t="str">
        <f>IF(J4484="","",J4484&amp;"|"&amp;E4484&amp;"|"&amp;F4484&amp;"|"&amp;I4484&amp;"|"&amp;O4484)</f>
        <v/>
      </c>
      <c r="T4484" s="15" t="str">
        <f>IF(OR(S4484="",D4484&lt;&gt;"Vastgesteld"),"",_xlfn.MAXIFS($G$6:$G$5005,$S$6:$S$5005,S4484,$D$6:$D$5005,"Vastgesteld"))</f>
        <v/>
      </c>
      <c r="U4484" s="15">
        <f>IF(T4484="",0,IF(AND(G4484=T4484,COUNTIFS($S$6:S4484,S4484,$G$6:G4484,G4484,$D$6:D4484,"Vastgesteld")=1),1,0))</f>
        <v>0</v>
      </c>
      <c r="V4484" s="15">
        <f>IF(T4484="",0,IF(AND(G4484=T4484,COUNTIFS($S$6:S4484,S4484,$G$6:G4484,G4484,$D$6:D4484,"Vastgesteld")&gt;1),1,0))</f>
        <v>0</v>
      </c>
    </row>
    <row r="4485">
      <c r="S4485" s="15" t="str">
        <f>IF(J4485="","",J4485&amp;"|"&amp;E4485&amp;"|"&amp;F4485&amp;"|"&amp;I4485&amp;"|"&amp;O4485)</f>
        <v/>
      </c>
      <c r="T4485" s="15" t="str">
        <f>IF(OR(S4485="",D4485&lt;&gt;"Vastgesteld"),"",_xlfn.MAXIFS($G$6:$G$5005,$S$6:$S$5005,S4485,$D$6:$D$5005,"Vastgesteld"))</f>
        <v/>
      </c>
      <c r="U4485" s="15">
        <f>IF(T4485="",0,IF(AND(G4485=T4485,COUNTIFS($S$6:S4485,S4485,$G$6:G4485,G4485,$D$6:D4485,"Vastgesteld")=1),1,0))</f>
        <v>0</v>
      </c>
      <c r="V4485" s="15">
        <f>IF(T4485="",0,IF(AND(G4485=T4485,COUNTIFS($S$6:S4485,S4485,$G$6:G4485,G4485,$D$6:D4485,"Vastgesteld")&gt;1),1,0))</f>
        <v>0</v>
      </c>
    </row>
    <row r="4486">
      <c r="S4486" s="15" t="str">
        <f>IF(J4486="","",J4486&amp;"|"&amp;E4486&amp;"|"&amp;F4486&amp;"|"&amp;I4486&amp;"|"&amp;O4486)</f>
        <v/>
      </c>
      <c r="T4486" s="15" t="str">
        <f>IF(OR(S4486="",D4486&lt;&gt;"Vastgesteld"),"",_xlfn.MAXIFS($G$6:$G$5005,$S$6:$S$5005,S4486,$D$6:$D$5005,"Vastgesteld"))</f>
        <v/>
      </c>
      <c r="U4486" s="15">
        <f>IF(T4486="",0,IF(AND(G4486=T4486,COUNTIFS($S$6:S4486,S4486,$G$6:G4486,G4486,$D$6:D4486,"Vastgesteld")=1),1,0))</f>
        <v>0</v>
      </c>
      <c r="V4486" s="15">
        <f>IF(T4486="",0,IF(AND(G4486=T4486,COUNTIFS($S$6:S4486,S4486,$G$6:G4486,G4486,$D$6:D4486,"Vastgesteld")&gt;1),1,0))</f>
        <v>0</v>
      </c>
    </row>
    <row r="4487">
      <c r="S4487" s="15" t="str">
        <f>IF(J4487="","",J4487&amp;"|"&amp;E4487&amp;"|"&amp;F4487&amp;"|"&amp;I4487&amp;"|"&amp;O4487)</f>
        <v/>
      </c>
      <c r="T4487" s="15" t="str">
        <f>IF(OR(S4487="",D4487&lt;&gt;"Vastgesteld"),"",_xlfn.MAXIFS($G$6:$G$5005,$S$6:$S$5005,S4487,$D$6:$D$5005,"Vastgesteld"))</f>
        <v/>
      </c>
      <c r="U4487" s="15">
        <f>IF(T4487="",0,IF(AND(G4487=T4487,COUNTIFS($S$6:S4487,S4487,$G$6:G4487,G4487,$D$6:D4487,"Vastgesteld")=1),1,0))</f>
        <v>0</v>
      </c>
      <c r="V4487" s="15">
        <f>IF(T4487="",0,IF(AND(G4487=T4487,COUNTIFS($S$6:S4487,S4487,$G$6:G4487,G4487,$D$6:D4487,"Vastgesteld")&gt;1),1,0))</f>
        <v>0</v>
      </c>
    </row>
    <row r="4488">
      <c r="S4488" s="15" t="str">
        <f>IF(J4488="","",J4488&amp;"|"&amp;E4488&amp;"|"&amp;F4488&amp;"|"&amp;I4488&amp;"|"&amp;O4488)</f>
        <v/>
      </c>
      <c r="T4488" s="15" t="str">
        <f>IF(OR(S4488="",D4488&lt;&gt;"Vastgesteld"),"",_xlfn.MAXIFS($G$6:$G$5005,$S$6:$S$5005,S4488,$D$6:$D$5005,"Vastgesteld"))</f>
        <v/>
      </c>
      <c r="U4488" s="15">
        <f>IF(T4488="",0,IF(AND(G4488=T4488,COUNTIFS($S$6:S4488,S4488,$G$6:G4488,G4488,$D$6:D4488,"Vastgesteld")=1),1,0))</f>
        <v>0</v>
      </c>
      <c r="V4488" s="15">
        <f>IF(T4488="",0,IF(AND(G4488=T4488,COUNTIFS($S$6:S4488,S4488,$G$6:G4488,G4488,$D$6:D4488,"Vastgesteld")&gt;1),1,0))</f>
        <v>0</v>
      </c>
    </row>
    <row r="4489">
      <c r="S4489" s="15" t="str">
        <f>IF(J4489="","",J4489&amp;"|"&amp;E4489&amp;"|"&amp;F4489&amp;"|"&amp;I4489&amp;"|"&amp;O4489)</f>
        <v/>
      </c>
      <c r="T4489" s="15" t="str">
        <f>IF(OR(S4489="",D4489&lt;&gt;"Vastgesteld"),"",_xlfn.MAXIFS($G$6:$G$5005,$S$6:$S$5005,S4489,$D$6:$D$5005,"Vastgesteld"))</f>
        <v/>
      </c>
      <c r="U4489" s="15">
        <f>IF(T4489="",0,IF(AND(G4489=T4489,COUNTIFS($S$6:S4489,S4489,$G$6:G4489,G4489,$D$6:D4489,"Vastgesteld")=1),1,0))</f>
        <v>0</v>
      </c>
      <c r="V4489" s="15">
        <f>IF(T4489="",0,IF(AND(G4489=T4489,COUNTIFS($S$6:S4489,S4489,$G$6:G4489,G4489,$D$6:D4489,"Vastgesteld")&gt;1),1,0))</f>
        <v>0</v>
      </c>
    </row>
    <row r="4490">
      <c r="S4490" s="15" t="str">
        <f>IF(J4490="","",J4490&amp;"|"&amp;E4490&amp;"|"&amp;F4490&amp;"|"&amp;I4490&amp;"|"&amp;O4490)</f>
        <v/>
      </c>
      <c r="T4490" s="15" t="str">
        <f>IF(OR(S4490="",D4490&lt;&gt;"Vastgesteld"),"",_xlfn.MAXIFS($G$6:$G$5005,$S$6:$S$5005,S4490,$D$6:$D$5005,"Vastgesteld"))</f>
        <v/>
      </c>
      <c r="U4490" s="15">
        <f>IF(T4490="",0,IF(AND(G4490=T4490,COUNTIFS($S$6:S4490,S4490,$G$6:G4490,G4490,$D$6:D4490,"Vastgesteld")=1),1,0))</f>
        <v>0</v>
      </c>
      <c r="V4490" s="15">
        <f>IF(T4490="",0,IF(AND(G4490=T4490,COUNTIFS($S$6:S4490,S4490,$G$6:G4490,G4490,$D$6:D4490,"Vastgesteld")&gt;1),1,0))</f>
        <v>0</v>
      </c>
    </row>
    <row r="4491">
      <c r="S4491" s="15" t="str">
        <f>IF(J4491="","",J4491&amp;"|"&amp;E4491&amp;"|"&amp;F4491&amp;"|"&amp;I4491&amp;"|"&amp;O4491)</f>
        <v/>
      </c>
      <c r="T4491" s="15" t="str">
        <f>IF(OR(S4491="",D4491&lt;&gt;"Vastgesteld"),"",_xlfn.MAXIFS($G$6:$G$5005,$S$6:$S$5005,S4491,$D$6:$D$5005,"Vastgesteld"))</f>
        <v/>
      </c>
      <c r="U4491" s="15">
        <f>IF(T4491="",0,IF(AND(G4491=T4491,COUNTIFS($S$6:S4491,S4491,$G$6:G4491,G4491,$D$6:D4491,"Vastgesteld")=1),1,0))</f>
        <v>0</v>
      </c>
      <c r="V4491" s="15">
        <f>IF(T4491="",0,IF(AND(G4491=T4491,COUNTIFS($S$6:S4491,S4491,$G$6:G4491,G4491,$D$6:D4491,"Vastgesteld")&gt;1),1,0))</f>
        <v>0</v>
      </c>
    </row>
    <row r="4492">
      <c r="S4492" s="15" t="str">
        <f>IF(J4492="","",J4492&amp;"|"&amp;E4492&amp;"|"&amp;F4492&amp;"|"&amp;I4492&amp;"|"&amp;O4492)</f>
        <v/>
      </c>
      <c r="T4492" s="15" t="str">
        <f>IF(OR(S4492="",D4492&lt;&gt;"Vastgesteld"),"",_xlfn.MAXIFS($G$6:$G$5005,$S$6:$S$5005,S4492,$D$6:$D$5005,"Vastgesteld"))</f>
        <v/>
      </c>
      <c r="U4492" s="15">
        <f>IF(T4492="",0,IF(AND(G4492=T4492,COUNTIFS($S$6:S4492,S4492,$G$6:G4492,G4492,$D$6:D4492,"Vastgesteld")=1),1,0))</f>
        <v>0</v>
      </c>
      <c r="V4492" s="15">
        <f>IF(T4492="",0,IF(AND(G4492=T4492,COUNTIFS($S$6:S4492,S4492,$G$6:G4492,G4492,$D$6:D4492,"Vastgesteld")&gt;1),1,0))</f>
        <v>0</v>
      </c>
    </row>
    <row r="4493">
      <c r="S4493" s="15" t="str">
        <f>IF(J4493="","",J4493&amp;"|"&amp;E4493&amp;"|"&amp;F4493&amp;"|"&amp;I4493&amp;"|"&amp;O4493)</f>
        <v/>
      </c>
      <c r="T4493" s="15" t="str">
        <f>IF(OR(S4493="",D4493&lt;&gt;"Vastgesteld"),"",_xlfn.MAXIFS($G$6:$G$5005,$S$6:$S$5005,S4493,$D$6:$D$5005,"Vastgesteld"))</f>
        <v/>
      </c>
      <c r="U4493" s="15">
        <f>IF(T4493="",0,IF(AND(G4493=T4493,COUNTIFS($S$6:S4493,S4493,$G$6:G4493,G4493,$D$6:D4493,"Vastgesteld")=1),1,0))</f>
        <v>0</v>
      </c>
      <c r="V4493" s="15">
        <f>IF(T4493="",0,IF(AND(G4493=T4493,COUNTIFS($S$6:S4493,S4493,$G$6:G4493,G4493,$D$6:D4493,"Vastgesteld")&gt;1),1,0))</f>
        <v>0</v>
      </c>
    </row>
    <row r="4494">
      <c r="S4494" s="15" t="str">
        <f>IF(J4494="","",J4494&amp;"|"&amp;E4494&amp;"|"&amp;F4494&amp;"|"&amp;I4494&amp;"|"&amp;O4494)</f>
        <v/>
      </c>
      <c r="T4494" s="15" t="str">
        <f>IF(OR(S4494="",D4494&lt;&gt;"Vastgesteld"),"",_xlfn.MAXIFS($G$6:$G$5005,$S$6:$S$5005,S4494,$D$6:$D$5005,"Vastgesteld"))</f>
        <v/>
      </c>
      <c r="U4494" s="15">
        <f>IF(T4494="",0,IF(AND(G4494=T4494,COUNTIFS($S$6:S4494,S4494,$G$6:G4494,G4494,$D$6:D4494,"Vastgesteld")=1),1,0))</f>
        <v>0</v>
      </c>
      <c r="V4494" s="15">
        <f>IF(T4494="",0,IF(AND(G4494=T4494,COUNTIFS($S$6:S4494,S4494,$G$6:G4494,G4494,$D$6:D4494,"Vastgesteld")&gt;1),1,0))</f>
        <v>0</v>
      </c>
    </row>
    <row r="4495">
      <c r="S4495" s="15" t="str">
        <f>IF(J4495="","",J4495&amp;"|"&amp;E4495&amp;"|"&amp;F4495&amp;"|"&amp;I4495&amp;"|"&amp;O4495)</f>
        <v/>
      </c>
      <c r="T4495" s="15" t="str">
        <f>IF(OR(S4495="",D4495&lt;&gt;"Vastgesteld"),"",_xlfn.MAXIFS($G$6:$G$5005,$S$6:$S$5005,S4495,$D$6:$D$5005,"Vastgesteld"))</f>
        <v/>
      </c>
      <c r="U4495" s="15">
        <f>IF(T4495="",0,IF(AND(G4495=T4495,COUNTIFS($S$6:S4495,S4495,$G$6:G4495,G4495,$D$6:D4495,"Vastgesteld")=1),1,0))</f>
        <v>0</v>
      </c>
      <c r="V4495" s="15">
        <f>IF(T4495="",0,IF(AND(G4495=T4495,COUNTIFS($S$6:S4495,S4495,$G$6:G4495,G4495,$D$6:D4495,"Vastgesteld")&gt;1),1,0))</f>
        <v>0</v>
      </c>
    </row>
    <row r="4496">
      <c r="S4496" s="15" t="str">
        <f>IF(J4496="","",J4496&amp;"|"&amp;E4496&amp;"|"&amp;F4496&amp;"|"&amp;I4496&amp;"|"&amp;O4496)</f>
        <v/>
      </c>
      <c r="T4496" s="15" t="str">
        <f>IF(OR(S4496="",D4496&lt;&gt;"Vastgesteld"),"",_xlfn.MAXIFS($G$6:$G$5005,$S$6:$S$5005,S4496,$D$6:$D$5005,"Vastgesteld"))</f>
        <v/>
      </c>
      <c r="U4496" s="15">
        <f>IF(T4496="",0,IF(AND(G4496=T4496,COUNTIFS($S$6:S4496,S4496,$G$6:G4496,G4496,$D$6:D4496,"Vastgesteld")=1),1,0))</f>
        <v>0</v>
      </c>
      <c r="V4496" s="15">
        <f>IF(T4496="",0,IF(AND(G4496=T4496,COUNTIFS($S$6:S4496,S4496,$G$6:G4496,G4496,$D$6:D4496,"Vastgesteld")&gt;1),1,0))</f>
        <v>0</v>
      </c>
    </row>
    <row r="4497">
      <c r="S4497" s="15" t="str">
        <f>IF(J4497="","",J4497&amp;"|"&amp;E4497&amp;"|"&amp;F4497&amp;"|"&amp;I4497&amp;"|"&amp;O4497)</f>
        <v/>
      </c>
      <c r="T4497" s="15" t="str">
        <f>IF(OR(S4497="",D4497&lt;&gt;"Vastgesteld"),"",_xlfn.MAXIFS($G$6:$G$5005,$S$6:$S$5005,S4497,$D$6:$D$5005,"Vastgesteld"))</f>
        <v/>
      </c>
      <c r="U4497" s="15">
        <f>IF(T4497="",0,IF(AND(G4497=T4497,COUNTIFS($S$6:S4497,S4497,$G$6:G4497,G4497,$D$6:D4497,"Vastgesteld")=1),1,0))</f>
        <v>0</v>
      </c>
      <c r="V4497" s="15">
        <f>IF(T4497="",0,IF(AND(G4497=T4497,COUNTIFS($S$6:S4497,S4497,$G$6:G4497,G4497,$D$6:D4497,"Vastgesteld")&gt;1),1,0))</f>
        <v>0</v>
      </c>
    </row>
    <row r="4498">
      <c r="S4498" s="15" t="str">
        <f>IF(J4498="","",J4498&amp;"|"&amp;E4498&amp;"|"&amp;F4498&amp;"|"&amp;I4498&amp;"|"&amp;O4498)</f>
        <v/>
      </c>
      <c r="T4498" s="15" t="str">
        <f>IF(OR(S4498="",D4498&lt;&gt;"Vastgesteld"),"",_xlfn.MAXIFS($G$6:$G$5005,$S$6:$S$5005,S4498,$D$6:$D$5005,"Vastgesteld"))</f>
        <v/>
      </c>
      <c r="U4498" s="15">
        <f>IF(T4498="",0,IF(AND(G4498=T4498,COUNTIFS($S$6:S4498,S4498,$G$6:G4498,G4498,$D$6:D4498,"Vastgesteld")=1),1,0))</f>
        <v>0</v>
      </c>
      <c r="V4498" s="15">
        <f>IF(T4498="",0,IF(AND(G4498=T4498,COUNTIFS($S$6:S4498,S4498,$G$6:G4498,G4498,$D$6:D4498,"Vastgesteld")&gt;1),1,0))</f>
        <v>0</v>
      </c>
    </row>
    <row r="4499">
      <c r="S4499" s="15" t="str">
        <f>IF(J4499="","",J4499&amp;"|"&amp;E4499&amp;"|"&amp;F4499&amp;"|"&amp;I4499&amp;"|"&amp;O4499)</f>
        <v/>
      </c>
      <c r="T4499" s="15" t="str">
        <f>IF(OR(S4499="",D4499&lt;&gt;"Vastgesteld"),"",_xlfn.MAXIFS($G$6:$G$5005,$S$6:$S$5005,S4499,$D$6:$D$5005,"Vastgesteld"))</f>
        <v/>
      </c>
      <c r="U4499" s="15">
        <f>IF(T4499="",0,IF(AND(G4499=T4499,COUNTIFS($S$6:S4499,S4499,$G$6:G4499,G4499,$D$6:D4499,"Vastgesteld")=1),1,0))</f>
        <v>0</v>
      </c>
      <c r="V4499" s="15">
        <f>IF(T4499="",0,IF(AND(G4499=T4499,COUNTIFS($S$6:S4499,S4499,$G$6:G4499,G4499,$D$6:D4499,"Vastgesteld")&gt;1),1,0))</f>
        <v>0</v>
      </c>
    </row>
    <row r="4500">
      <c r="S4500" s="15" t="str">
        <f>IF(J4500="","",J4500&amp;"|"&amp;E4500&amp;"|"&amp;F4500&amp;"|"&amp;I4500&amp;"|"&amp;O4500)</f>
        <v/>
      </c>
      <c r="T4500" s="15" t="str">
        <f>IF(OR(S4500="",D4500&lt;&gt;"Vastgesteld"),"",_xlfn.MAXIFS($G$6:$G$5005,$S$6:$S$5005,S4500,$D$6:$D$5005,"Vastgesteld"))</f>
        <v/>
      </c>
      <c r="U4500" s="15">
        <f>IF(T4500="",0,IF(AND(G4500=T4500,COUNTIFS($S$6:S4500,S4500,$G$6:G4500,G4500,$D$6:D4500,"Vastgesteld")=1),1,0))</f>
        <v>0</v>
      </c>
      <c r="V4500" s="15">
        <f>IF(T4500="",0,IF(AND(G4500=T4500,COUNTIFS($S$6:S4500,S4500,$G$6:G4500,G4500,$D$6:D4500,"Vastgesteld")&gt;1),1,0))</f>
        <v>0</v>
      </c>
    </row>
    <row r="4501">
      <c r="S4501" s="15" t="str">
        <f>IF(J4501="","",J4501&amp;"|"&amp;E4501&amp;"|"&amp;F4501&amp;"|"&amp;I4501&amp;"|"&amp;O4501)</f>
        <v/>
      </c>
      <c r="T4501" s="15" t="str">
        <f>IF(OR(S4501="",D4501&lt;&gt;"Vastgesteld"),"",_xlfn.MAXIFS($G$6:$G$5005,$S$6:$S$5005,S4501,$D$6:$D$5005,"Vastgesteld"))</f>
        <v/>
      </c>
      <c r="U4501" s="15">
        <f>IF(T4501="",0,IF(AND(G4501=T4501,COUNTIFS($S$6:S4501,S4501,$G$6:G4501,G4501,$D$6:D4501,"Vastgesteld")=1),1,0))</f>
        <v>0</v>
      </c>
      <c r="V4501" s="15">
        <f>IF(T4501="",0,IF(AND(G4501=T4501,COUNTIFS($S$6:S4501,S4501,$G$6:G4501,G4501,$D$6:D4501,"Vastgesteld")&gt;1),1,0))</f>
        <v>0</v>
      </c>
    </row>
    <row r="4502">
      <c r="S4502" s="15" t="str">
        <f>IF(J4502="","",J4502&amp;"|"&amp;E4502&amp;"|"&amp;F4502&amp;"|"&amp;I4502&amp;"|"&amp;O4502)</f>
        <v/>
      </c>
      <c r="T4502" s="15" t="str">
        <f>IF(OR(S4502="",D4502&lt;&gt;"Vastgesteld"),"",_xlfn.MAXIFS($G$6:$G$5005,$S$6:$S$5005,S4502,$D$6:$D$5005,"Vastgesteld"))</f>
        <v/>
      </c>
      <c r="U4502" s="15">
        <f>IF(T4502="",0,IF(AND(G4502=T4502,COUNTIFS($S$6:S4502,S4502,$G$6:G4502,G4502,$D$6:D4502,"Vastgesteld")=1),1,0))</f>
        <v>0</v>
      </c>
      <c r="V4502" s="15">
        <f>IF(T4502="",0,IF(AND(G4502=T4502,COUNTIFS($S$6:S4502,S4502,$G$6:G4502,G4502,$D$6:D4502,"Vastgesteld")&gt;1),1,0))</f>
        <v>0</v>
      </c>
    </row>
    <row r="4503">
      <c r="S4503" s="15" t="str">
        <f>IF(J4503="","",J4503&amp;"|"&amp;E4503&amp;"|"&amp;F4503&amp;"|"&amp;I4503&amp;"|"&amp;O4503)</f>
        <v/>
      </c>
      <c r="T4503" s="15" t="str">
        <f>IF(OR(S4503="",D4503&lt;&gt;"Vastgesteld"),"",_xlfn.MAXIFS($G$6:$G$5005,$S$6:$S$5005,S4503,$D$6:$D$5005,"Vastgesteld"))</f>
        <v/>
      </c>
      <c r="U4503" s="15">
        <f>IF(T4503="",0,IF(AND(G4503=T4503,COUNTIFS($S$6:S4503,S4503,$G$6:G4503,G4503,$D$6:D4503,"Vastgesteld")=1),1,0))</f>
        <v>0</v>
      </c>
      <c r="V4503" s="15">
        <f>IF(T4503="",0,IF(AND(G4503=T4503,COUNTIFS($S$6:S4503,S4503,$G$6:G4503,G4503,$D$6:D4503,"Vastgesteld")&gt;1),1,0))</f>
        <v>0</v>
      </c>
    </row>
    <row r="4504">
      <c r="S4504" s="15" t="str">
        <f>IF(J4504="","",J4504&amp;"|"&amp;E4504&amp;"|"&amp;F4504&amp;"|"&amp;I4504&amp;"|"&amp;O4504)</f>
        <v/>
      </c>
      <c r="T4504" s="15" t="str">
        <f>IF(OR(S4504="",D4504&lt;&gt;"Vastgesteld"),"",_xlfn.MAXIFS($G$6:$G$5005,$S$6:$S$5005,S4504,$D$6:$D$5005,"Vastgesteld"))</f>
        <v/>
      </c>
      <c r="U4504" s="15">
        <f>IF(T4504="",0,IF(AND(G4504=T4504,COUNTIFS($S$6:S4504,S4504,$G$6:G4504,G4504,$D$6:D4504,"Vastgesteld")=1),1,0))</f>
        <v>0</v>
      </c>
      <c r="V4504" s="15">
        <f>IF(T4504="",0,IF(AND(G4504=T4504,COUNTIFS($S$6:S4504,S4504,$G$6:G4504,G4504,$D$6:D4504,"Vastgesteld")&gt;1),1,0))</f>
        <v>0</v>
      </c>
    </row>
    <row r="4505">
      <c r="S4505" s="15" t="str">
        <f>IF(J4505="","",J4505&amp;"|"&amp;E4505&amp;"|"&amp;F4505&amp;"|"&amp;I4505&amp;"|"&amp;O4505)</f>
        <v/>
      </c>
      <c r="T4505" s="15" t="str">
        <f>IF(OR(S4505="",D4505&lt;&gt;"Vastgesteld"),"",_xlfn.MAXIFS($G$6:$G$5005,$S$6:$S$5005,S4505,$D$6:$D$5005,"Vastgesteld"))</f>
        <v/>
      </c>
      <c r="U4505" s="15">
        <f>IF(T4505="",0,IF(AND(G4505=T4505,COUNTIFS($S$6:S4505,S4505,$G$6:G4505,G4505,$D$6:D4505,"Vastgesteld")=1),1,0))</f>
        <v>0</v>
      </c>
      <c r="V4505" s="15">
        <f>IF(T4505="",0,IF(AND(G4505=T4505,COUNTIFS($S$6:S4505,S4505,$G$6:G4505,G4505,$D$6:D4505,"Vastgesteld")&gt;1),1,0))</f>
        <v>0</v>
      </c>
    </row>
    <row r="4506">
      <c r="S4506" s="15" t="str">
        <f>IF(J4506="","",J4506&amp;"|"&amp;E4506&amp;"|"&amp;F4506&amp;"|"&amp;I4506&amp;"|"&amp;O4506)</f>
        <v/>
      </c>
      <c r="T4506" s="15" t="str">
        <f>IF(OR(S4506="",D4506&lt;&gt;"Vastgesteld"),"",_xlfn.MAXIFS($G$6:$G$5005,$S$6:$S$5005,S4506,$D$6:$D$5005,"Vastgesteld"))</f>
        <v/>
      </c>
      <c r="U4506" s="15">
        <f>IF(T4506="",0,IF(AND(G4506=T4506,COUNTIFS($S$6:S4506,S4506,$G$6:G4506,G4506,$D$6:D4506,"Vastgesteld")=1),1,0))</f>
        <v>0</v>
      </c>
      <c r="V4506" s="15">
        <f>IF(T4506="",0,IF(AND(G4506=T4506,COUNTIFS($S$6:S4506,S4506,$G$6:G4506,G4506,$D$6:D4506,"Vastgesteld")&gt;1),1,0))</f>
        <v>0</v>
      </c>
    </row>
    <row r="4507">
      <c r="S4507" s="15" t="str">
        <f>IF(J4507="","",J4507&amp;"|"&amp;E4507&amp;"|"&amp;F4507&amp;"|"&amp;I4507&amp;"|"&amp;O4507)</f>
        <v/>
      </c>
      <c r="T4507" s="15" t="str">
        <f>IF(OR(S4507="",D4507&lt;&gt;"Vastgesteld"),"",_xlfn.MAXIFS($G$6:$G$5005,$S$6:$S$5005,S4507,$D$6:$D$5005,"Vastgesteld"))</f>
        <v/>
      </c>
      <c r="U4507" s="15">
        <f>IF(T4507="",0,IF(AND(G4507=T4507,COUNTIFS($S$6:S4507,S4507,$G$6:G4507,G4507,$D$6:D4507,"Vastgesteld")=1),1,0))</f>
        <v>0</v>
      </c>
      <c r="V4507" s="15">
        <f>IF(T4507="",0,IF(AND(G4507=T4507,COUNTIFS($S$6:S4507,S4507,$G$6:G4507,G4507,$D$6:D4507,"Vastgesteld")&gt;1),1,0))</f>
        <v>0</v>
      </c>
    </row>
    <row r="4508">
      <c r="S4508" s="15" t="str">
        <f>IF(J4508="","",J4508&amp;"|"&amp;E4508&amp;"|"&amp;F4508&amp;"|"&amp;I4508&amp;"|"&amp;O4508)</f>
        <v/>
      </c>
      <c r="T4508" s="15" t="str">
        <f>IF(OR(S4508="",D4508&lt;&gt;"Vastgesteld"),"",_xlfn.MAXIFS($G$6:$G$5005,$S$6:$S$5005,S4508,$D$6:$D$5005,"Vastgesteld"))</f>
        <v/>
      </c>
      <c r="U4508" s="15">
        <f>IF(T4508="",0,IF(AND(G4508=T4508,COUNTIFS($S$6:S4508,S4508,$G$6:G4508,G4508,$D$6:D4508,"Vastgesteld")=1),1,0))</f>
        <v>0</v>
      </c>
      <c r="V4508" s="15">
        <f>IF(T4508="",0,IF(AND(G4508=T4508,COUNTIFS($S$6:S4508,S4508,$G$6:G4508,G4508,$D$6:D4508,"Vastgesteld")&gt;1),1,0))</f>
        <v>0</v>
      </c>
    </row>
    <row r="4509">
      <c r="S4509" s="15" t="str">
        <f>IF(J4509="","",J4509&amp;"|"&amp;E4509&amp;"|"&amp;F4509&amp;"|"&amp;I4509&amp;"|"&amp;O4509)</f>
        <v/>
      </c>
      <c r="T4509" s="15" t="str">
        <f>IF(OR(S4509="",D4509&lt;&gt;"Vastgesteld"),"",_xlfn.MAXIFS($G$6:$G$5005,$S$6:$S$5005,S4509,$D$6:$D$5005,"Vastgesteld"))</f>
        <v/>
      </c>
      <c r="U4509" s="15">
        <f>IF(T4509="",0,IF(AND(G4509=T4509,COUNTIFS($S$6:S4509,S4509,$G$6:G4509,G4509,$D$6:D4509,"Vastgesteld")=1),1,0))</f>
        <v>0</v>
      </c>
      <c r="V4509" s="15">
        <f>IF(T4509="",0,IF(AND(G4509=T4509,COUNTIFS($S$6:S4509,S4509,$G$6:G4509,G4509,$D$6:D4509,"Vastgesteld")&gt;1),1,0))</f>
        <v>0</v>
      </c>
    </row>
    <row r="4510">
      <c r="S4510" s="15" t="str">
        <f>IF(J4510="","",J4510&amp;"|"&amp;E4510&amp;"|"&amp;F4510&amp;"|"&amp;I4510&amp;"|"&amp;O4510)</f>
        <v/>
      </c>
      <c r="T4510" s="15" t="str">
        <f>IF(OR(S4510="",D4510&lt;&gt;"Vastgesteld"),"",_xlfn.MAXIFS($G$6:$G$5005,$S$6:$S$5005,S4510,$D$6:$D$5005,"Vastgesteld"))</f>
        <v/>
      </c>
      <c r="U4510" s="15">
        <f>IF(T4510="",0,IF(AND(G4510=T4510,COUNTIFS($S$6:S4510,S4510,$G$6:G4510,G4510,$D$6:D4510,"Vastgesteld")=1),1,0))</f>
        <v>0</v>
      </c>
      <c r="V4510" s="15">
        <f>IF(T4510="",0,IF(AND(G4510=T4510,COUNTIFS($S$6:S4510,S4510,$G$6:G4510,G4510,$D$6:D4510,"Vastgesteld")&gt;1),1,0))</f>
        <v>0</v>
      </c>
    </row>
    <row r="4511">
      <c r="S4511" s="15" t="str">
        <f>IF(J4511="","",J4511&amp;"|"&amp;E4511&amp;"|"&amp;F4511&amp;"|"&amp;I4511&amp;"|"&amp;O4511)</f>
        <v/>
      </c>
      <c r="T4511" s="15" t="str">
        <f>IF(OR(S4511="",D4511&lt;&gt;"Vastgesteld"),"",_xlfn.MAXIFS($G$6:$G$5005,$S$6:$S$5005,S4511,$D$6:$D$5005,"Vastgesteld"))</f>
        <v/>
      </c>
      <c r="U4511" s="15">
        <f>IF(T4511="",0,IF(AND(G4511=T4511,COUNTIFS($S$6:S4511,S4511,$G$6:G4511,G4511,$D$6:D4511,"Vastgesteld")=1),1,0))</f>
        <v>0</v>
      </c>
      <c r="V4511" s="15">
        <f>IF(T4511="",0,IF(AND(G4511=T4511,COUNTIFS($S$6:S4511,S4511,$G$6:G4511,G4511,$D$6:D4511,"Vastgesteld")&gt;1),1,0))</f>
        <v>0</v>
      </c>
    </row>
    <row r="4512">
      <c r="S4512" s="15" t="str">
        <f>IF(J4512="","",J4512&amp;"|"&amp;E4512&amp;"|"&amp;F4512&amp;"|"&amp;I4512&amp;"|"&amp;O4512)</f>
        <v/>
      </c>
      <c r="T4512" s="15" t="str">
        <f>IF(OR(S4512="",D4512&lt;&gt;"Vastgesteld"),"",_xlfn.MAXIFS($G$6:$G$5005,$S$6:$S$5005,S4512,$D$6:$D$5005,"Vastgesteld"))</f>
        <v/>
      </c>
      <c r="U4512" s="15">
        <f>IF(T4512="",0,IF(AND(G4512=T4512,COUNTIFS($S$6:S4512,S4512,$G$6:G4512,G4512,$D$6:D4512,"Vastgesteld")=1),1,0))</f>
        <v>0</v>
      </c>
      <c r="V4512" s="15">
        <f>IF(T4512="",0,IF(AND(G4512=T4512,COUNTIFS($S$6:S4512,S4512,$G$6:G4512,G4512,$D$6:D4512,"Vastgesteld")&gt;1),1,0))</f>
        <v>0</v>
      </c>
    </row>
    <row r="4513">
      <c r="S4513" s="15" t="str">
        <f>IF(J4513="","",J4513&amp;"|"&amp;E4513&amp;"|"&amp;F4513&amp;"|"&amp;I4513&amp;"|"&amp;O4513)</f>
        <v/>
      </c>
      <c r="T4513" s="15" t="str">
        <f>IF(OR(S4513="",D4513&lt;&gt;"Vastgesteld"),"",_xlfn.MAXIFS($G$6:$G$5005,$S$6:$S$5005,S4513,$D$6:$D$5005,"Vastgesteld"))</f>
        <v/>
      </c>
      <c r="U4513" s="15">
        <f>IF(T4513="",0,IF(AND(G4513=T4513,COUNTIFS($S$6:S4513,S4513,$G$6:G4513,G4513,$D$6:D4513,"Vastgesteld")=1),1,0))</f>
        <v>0</v>
      </c>
      <c r="V4513" s="15">
        <f>IF(T4513="",0,IF(AND(G4513=T4513,COUNTIFS($S$6:S4513,S4513,$G$6:G4513,G4513,$D$6:D4513,"Vastgesteld")&gt;1),1,0))</f>
        <v>0</v>
      </c>
    </row>
    <row r="4514">
      <c r="S4514" s="15" t="str">
        <f>IF(J4514="","",J4514&amp;"|"&amp;E4514&amp;"|"&amp;F4514&amp;"|"&amp;I4514&amp;"|"&amp;O4514)</f>
        <v/>
      </c>
      <c r="T4514" s="15" t="str">
        <f>IF(OR(S4514="",D4514&lt;&gt;"Vastgesteld"),"",_xlfn.MAXIFS($G$6:$G$5005,$S$6:$S$5005,S4514,$D$6:$D$5005,"Vastgesteld"))</f>
        <v/>
      </c>
      <c r="U4514" s="15">
        <f>IF(T4514="",0,IF(AND(G4514=T4514,COUNTIFS($S$6:S4514,S4514,$G$6:G4514,G4514,$D$6:D4514,"Vastgesteld")=1),1,0))</f>
        <v>0</v>
      </c>
      <c r="V4514" s="15">
        <f>IF(T4514="",0,IF(AND(G4514=T4514,COUNTIFS($S$6:S4514,S4514,$G$6:G4514,G4514,$D$6:D4514,"Vastgesteld")&gt;1),1,0))</f>
        <v>0</v>
      </c>
    </row>
    <row r="4515">
      <c r="S4515" s="15" t="str">
        <f>IF(J4515="","",J4515&amp;"|"&amp;E4515&amp;"|"&amp;F4515&amp;"|"&amp;I4515&amp;"|"&amp;O4515)</f>
        <v/>
      </c>
      <c r="T4515" s="15" t="str">
        <f>IF(OR(S4515="",D4515&lt;&gt;"Vastgesteld"),"",_xlfn.MAXIFS($G$6:$G$5005,$S$6:$S$5005,S4515,$D$6:$D$5005,"Vastgesteld"))</f>
        <v/>
      </c>
      <c r="U4515" s="15">
        <f>IF(T4515="",0,IF(AND(G4515=T4515,COUNTIFS($S$6:S4515,S4515,$G$6:G4515,G4515,$D$6:D4515,"Vastgesteld")=1),1,0))</f>
        <v>0</v>
      </c>
      <c r="V4515" s="15">
        <f>IF(T4515="",0,IF(AND(G4515=T4515,COUNTIFS($S$6:S4515,S4515,$G$6:G4515,G4515,$D$6:D4515,"Vastgesteld")&gt;1),1,0))</f>
        <v>0</v>
      </c>
    </row>
    <row r="4516">
      <c r="S4516" s="15" t="str">
        <f>IF(J4516="","",J4516&amp;"|"&amp;E4516&amp;"|"&amp;F4516&amp;"|"&amp;I4516&amp;"|"&amp;O4516)</f>
        <v/>
      </c>
      <c r="T4516" s="15" t="str">
        <f>IF(OR(S4516="",D4516&lt;&gt;"Vastgesteld"),"",_xlfn.MAXIFS($G$6:$G$5005,$S$6:$S$5005,S4516,$D$6:$D$5005,"Vastgesteld"))</f>
        <v/>
      </c>
      <c r="U4516" s="15">
        <f>IF(T4516="",0,IF(AND(G4516=T4516,COUNTIFS($S$6:S4516,S4516,$G$6:G4516,G4516,$D$6:D4516,"Vastgesteld")=1),1,0))</f>
        <v>0</v>
      </c>
      <c r="V4516" s="15">
        <f>IF(T4516="",0,IF(AND(G4516=T4516,COUNTIFS($S$6:S4516,S4516,$G$6:G4516,G4516,$D$6:D4516,"Vastgesteld")&gt;1),1,0))</f>
        <v>0</v>
      </c>
    </row>
    <row r="4517">
      <c r="S4517" s="15" t="str">
        <f>IF(J4517="","",J4517&amp;"|"&amp;E4517&amp;"|"&amp;F4517&amp;"|"&amp;I4517&amp;"|"&amp;O4517)</f>
        <v/>
      </c>
      <c r="T4517" s="15" t="str">
        <f>IF(OR(S4517="",D4517&lt;&gt;"Vastgesteld"),"",_xlfn.MAXIFS($G$6:$G$5005,$S$6:$S$5005,S4517,$D$6:$D$5005,"Vastgesteld"))</f>
        <v/>
      </c>
      <c r="U4517" s="15">
        <f>IF(T4517="",0,IF(AND(G4517=T4517,COUNTIFS($S$6:S4517,S4517,$G$6:G4517,G4517,$D$6:D4517,"Vastgesteld")=1),1,0))</f>
        <v>0</v>
      </c>
      <c r="V4517" s="15">
        <f>IF(T4517="",0,IF(AND(G4517=T4517,COUNTIFS($S$6:S4517,S4517,$G$6:G4517,G4517,$D$6:D4517,"Vastgesteld")&gt;1),1,0))</f>
        <v>0</v>
      </c>
    </row>
    <row r="4518">
      <c r="S4518" s="15" t="str">
        <f>IF(J4518="","",J4518&amp;"|"&amp;E4518&amp;"|"&amp;F4518&amp;"|"&amp;I4518&amp;"|"&amp;O4518)</f>
        <v/>
      </c>
      <c r="T4518" s="15" t="str">
        <f>IF(OR(S4518="",D4518&lt;&gt;"Vastgesteld"),"",_xlfn.MAXIFS($G$6:$G$5005,$S$6:$S$5005,S4518,$D$6:$D$5005,"Vastgesteld"))</f>
        <v/>
      </c>
      <c r="U4518" s="15">
        <f>IF(T4518="",0,IF(AND(G4518=T4518,COUNTIFS($S$6:S4518,S4518,$G$6:G4518,G4518,$D$6:D4518,"Vastgesteld")=1),1,0))</f>
        <v>0</v>
      </c>
      <c r="V4518" s="15">
        <f>IF(T4518="",0,IF(AND(G4518=T4518,COUNTIFS($S$6:S4518,S4518,$G$6:G4518,G4518,$D$6:D4518,"Vastgesteld")&gt;1),1,0))</f>
        <v>0</v>
      </c>
    </row>
    <row r="4519">
      <c r="S4519" s="15" t="str">
        <f>IF(J4519="","",J4519&amp;"|"&amp;E4519&amp;"|"&amp;F4519&amp;"|"&amp;I4519&amp;"|"&amp;O4519)</f>
        <v/>
      </c>
      <c r="T4519" s="15" t="str">
        <f>IF(OR(S4519="",D4519&lt;&gt;"Vastgesteld"),"",_xlfn.MAXIFS($G$6:$G$5005,$S$6:$S$5005,S4519,$D$6:$D$5005,"Vastgesteld"))</f>
        <v/>
      </c>
      <c r="U4519" s="15">
        <f>IF(T4519="",0,IF(AND(G4519=T4519,COUNTIFS($S$6:S4519,S4519,$G$6:G4519,G4519,$D$6:D4519,"Vastgesteld")=1),1,0))</f>
        <v>0</v>
      </c>
      <c r="V4519" s="15">
        <f>IF(T4519="",0,IF(AND(G4519=T4519,COUNTIFS($S$6:S4519,S4519,$G$6:G4519,G4519,$D$6:D4519,"Vastgesteld")&gt;1),1,0))</f>
        <v>0</v>
      </c>
    </row>
    <row r="4520">
      <c r="S4520" s="15" t="str">
        <f>IF(J4520="","",J4520&amp;"|"&amp;E4520&amp;"|"&amp;F4520&amp;"|"&amp;I4520&amp;"|"&amp;O4520)</f>
        <v/>
      </c>
      <c r="T4520" s="15" t="str">
        <f>IF(OR(S4520="",D4520&lt;&gt;"Vastgesteld"),"",_xlfn.MAXIFS($G$6:$G$5005,$S$6:$S$5005,S4520,$D$6:$D$5005,"Vastgesteld"))</f>
        <v/>
      </c>
      <c r="U4520" s="15">
        <f>IF(T4520="",0,IF(AND(G4520=T4520,COUNTIFS($S$6:S4520,S4520,$G$6:G4520,G4520,$D$6:D4520,"Vastgesteld")=1),1,0))</f>
        <v>0</v>
      </c>
      <c r="V4520" s="15">
        <f>IF(T4520="",0,IF(AND(G4520=T4520,COUNTIFS($S$6:S4520,S4520,$G$6:G4520,G4520,$D$6:D4520,"Vastgesteld")&gt;1),1,0))</f>
        <v>0</v>
      </c>
    </row>
    <row r="4521">
      <c r="S4521" s="15" t="str">
        <f>IF(J4521="","",J4521&amp;"|"&amp;E4521&amp;"|"&amp;F4521&amp;"|"&amp;I4521&amp;"|"&amp;O4521)</f>
        <v/>
      </c>
      <c r="T4521" s="15" t="str">
        <f>IF(OR(S4521="",D4521&lt;&gt;"Vastgesteld"),"",_xlfn.MAXIFS($G$6:$G$5005,$S$6:$S$5005,S4521,$D$6:$D$5005,"Vastgesteld"))</f>
        <v/>
      </c>
      <c r="U4521" s="15">
        <f>IF(T4521="",0,IF(AND(G4521=T4521,COUNTIFS($S$6:S4521,S4521,$G$6:G4521,G4521,$D$6:D4521,"Vastgesteld")=1),1,0))</f>
        <v>0</v>
      </c>
      <c r="V4521" s="15">
        <f>IF(T4521="",0,IF(AND(G4521=T4521,COUNTIFS($S$6:S4521,S4521,$G$6:G4521,G4521,$D$6:D4521,"Vastgesteld")&gt;1),1,0))</f>
        <v>0</v>
      </c>
    </row>
    <row r="4522">
      <c r="S4522" s="15" t="str">
        <f>IF(J4522="","",J4522&amp;"|"&amp;E4522&amp;"|"&amp;F4522&amp;"|"&amp;I4522&amp;"|"&amp;O4522)</f>
        <v/>
      </c>
      <c r="T4522" s="15" t="str">
        <f>IF(OR(S4522="",D4522&lt;&gt;"Vastgesteld"),"",_xlfn.MAXIFS($G$6:$G$5005,$S$6:$S$5005,S4522,$D$6:$D$5005,"Vastgesteld"))</f>
        <v/>
      </c>
      <c r="U4522" s="15">
        <f>IF(T4522="",0,IF(AND(G4522=T4522,COUNTIFS($S$6:S4522,S4522,$G$6:G4522,G4522,$D$6:D4522,"Vastgesteld")=1),1,0))</f>
        <v>0</v>
      </c>
      <c r="V4522" s="15">
        <f>IF(T4522="",0,IF(AND(G4522=T4522,COUNTIFS($S$6:S4522,S4522,$G$6:G4522,G4522,$D$6:D4522,"Vastgesteld")&gt;1),1,0))</f>
        <v>0</v>
      </c>
    </row>
    <row r="4523">
      <c r="S4523" s="15" t="str">
        <f>IF(J4523="","",J4523&amp;"|"&amp;E4523&amp;"|"&amp;F4523&amp;"|"&amp;I4523&amp;"|"&amp;O4523)</f>
        <v/>
      </c>
      <c r="T4523" s="15" t="str">
        <f>IF(OR(S4523="",D4523&lt;&gt;"Vastgesteld"),"",_xlfn.MAXIFS($G$6:$G$5005,$S$6:$S$5005,S4523,$D$6:$D$5005,"Vastgesteld"))</f>
        <v/>
      </c>
      <c r="U4523" s="15">
        <f>IF(T4523="",0,IF(AND(G4523=T4523,COUNTIFS($S$6:S4523,S4523,$G$6:G4523,G4523,$D$6:D4523,"Vastgesteld")=1),1,0))</f>
        <v>0</v>
      </c>
      <c r="V4523" s="15">
        <f>IF(T4523="",0,IF(AND(G4523=T4523,COUNTIFS($S$6:S4523,S4523,$G$6:G4523,G4523,$D$6:D4523,"Vastgesteld")&gt;1),1,0))</f>
        <v>0</v>
      </c>
    </row>
    <row r="4524">
      <c r="S4524" s="15" t="str">
        <f>IF(J4524="","",J4524&amp;"|"&amp;E4524&amp;"|"&amp;F4524&amp;"|"&amp;I4524&amp;"|"&amp;O4524)</f>
        <v/>
      </c>
      <c r="T4524" s="15" t="str">
        <f>IF(OR(S4524="",D4524&lt;&gt;"Vastgesteld"),"",_xlfn.MAXIFS($G$6:$G$5005,$S$6:$S$5005,S4524,$D$6:$D$5005,"Vastgesteld"))</f>
        <v/>
      </c>
      <c r="U4524" s="15">
        <f>IF(T4524="",0,IF(AND(G4524=T4524,COUNTIFS($S$6:S4524,S4524,$G$6:G4524,G4524,$D$6:D4524,"Vastgesteld")=1),1,0))</f>
        <v>0</v>
      </c>
      <c r="V4524" s="15">
        <f>IF(T4524="",0,IF(AND(G4524=T4524,COUNTIFS($S$6:S4524,S4524,$G$6:G4524,G4524,$D$6:D4524,"Vastgesteld")&gt;1),1,0))</f>
        <v>0</v>
      </c>
    </row>
    <row r="4525">
      <c r="S4525" s="15" t="str">
        <f>IF(J4525="","",J4525&amp;"|"&amp;E4525&amp;"|"&amp;F4525&amp;"|"&amp;I4525&amp;"|"&amp;O4525)</f>
        <v/>
      </c>
      <c r="T4525" s="15" t="str">
        <f>IF(OR(S4525="",D4525&lt;&gt;"Vastgesteld"),"",_xlfn.MAXIFS($G$6:$G$5005,$S$6:$S$5005,S4525,$D$6:$D$5005,"Vastgesteld"))</f>
        <v/>
      </c>
      <c r="U4525" s="15">
        <f>IF(T4525="",0,IF(AND(G4525=T4525,COUNTIFS($S$6:S4525,S4525,$G$6:G4525,G4525,$D$6:D4525,"Vastgesteld")=1),1,0))</f>
        <v>0</v>
      </c>
      <c r="V4525" s="15">
        <f>IF(T4525="",0,IF(AND(G4525=T4525,COUNTIFS($S$6:S4525,S4525,$G$6:G4525,G4525,$D$6:D4525,"Vastgesteld")&gt;1),1,0))</f>
        <v>0</v>
      </c>
    </row>
    <row r="4526">
      <c r="S4526" s="15" t="str">
        <f>IF(J4526="","",J4526&amp;"|"&amp;E4526&amp;"|"&amp;F4526&amp;"|"&amp;I4526&amp;"|"&amp;O4526)</f>
        <v/>
      </c>
      <c r="T4526" s="15" t="str">
        <f>IF(OR(S4526="",D4526&lt;&gt;"Vastgesteld"),"",_xlfn.MAXIFS($G$6:$G$5005,$S$6:$S$5005,S4526,$D$6:$D$5005,"Vastgesteld"))</f>
        <v/>
      </c>
      <c r="U4526" s="15">
        <f>IF(T4526="",0,IF(AND(G4526=T4526,COUNTIFS($S$6:S4526,S4526,$G$6:G4526,G4526,$D$6:D4526,"Vastgesteld")=1),1,0))</f>
        <v>0</v>
      </c>
      <c r="V4526" s="15">
        <f>IF(T4526="",0,IF(AND(G4526=T4526,COUNTIFS($S$6:S4526,S4526,$G$6:G4526,G4526,$D$6:D4526,"Vastgesteld")&gt;1),1,0))</f>
        <v>0</v>
      </c>
    </row>
    <row r="4527">
      <c r="S4527" s="15" t="str">
        <f>IF(J4527="","",J4527&amp;"|"&amp;E4527&amp;"|"&amp;F4527&amp;"|"&amp;I4527&amp;"|"&amp;O4527)</f>
        <v/>
      </c>
      <c r="T4527" s="15" t="str">
        <f>IF(OR(S4527="",D4527&lt;&gt;"Vastgesteld"),"",_xlfn.MAXIFS($G$6:$G$5005,$S$6:$S$5005,S4527,$D$6:$D$5005,"Vastgesteld"))</f>
        <v/>
      </c>
      <c r="U4527" s="15">
        <f>IF(T4527="",0,IF(AND(G4527=T4527,COUNTIFS($S$6:S4527,S4527,$G$6:G4527,G4527,$D$6:D4527,"Vastgesteld")=1),1,0))</f>
        <v>0</v>
      </c>
      <c r="V4527" s="15">
        <f>IF(T4527="",0,IF(AND(G4527=T4527,COUNTIFS($S$6:S4527,S4527,$G$6:G4527,G4527,$D$6:D4527,"Vastgesteld")&gt;1),1,0))</f>
        <v>0</v>
      </c>
    </row>
    <row r="4528">
      <c r="S4528" s="15" t="str">
        <f>IF(J4528="","",J4528&amp;"|"&amp;E4528&amp;"|"&amp;F4528&amp;"|"&amp;I4528&amp;"|"&amp;O4528)</f>
        <v/>
      </c>
      <c r="T4528" s="15" t="str">
        <f>IF(OR(S4528="",D4528&lt;&gt;"Vastgesteld"),"",_xlfn.MAXIFS($G$6:$G$5005,$S$6:$S$5005,S4528,$D$6:$D$5005,"Vastgesteld"))</f>
        <v/>
      </c>
      <c r="U4528" s="15">
        <f>IF(T4528="",0,IF(AND(G4528=T4528,COUNTIFS($S$6:S4528,S4528,$G$6:G4528,G4528,$D$6:D4528,"Vastgesteld")=1),1,0))</f>
        <v>0</v>
      </c>
      <c r="V4528" s="15">
        <f>IF(T4528="",0,IF(AND(G4528=T4528,COUNTIFS($S$6:S4528,S4528,$G$6:G4528,G4528,$D$6:D4528,"Vastgesteld")&gt;1),1,0))</f>
        <v>0</v>
      </c>
    </row>
    <row r="4529">
      <c r="S4529" s="15" t="str">
        <f>IF(J4529="","",J4529&amp;"|"&amp;E4529&amp;"|"&amp;F4529&amp;"|"&amp;I4529&amp;"|"&amp;O4529)</f>
        <v/>
      </c>
      <c r="T4529" s="15" t="str">
        <f>IF(OR(S4529="",D4529&lt;&gt;"Vastgesteld"),"",_xlfn.MAXIFS($G$6:$G$5005,$S$6:$S$5005,S4529,$D$6:$D$5005,"Vastgesteld"))</f>
        <v/>
      </c>
      <c r="U4529" s="15">
        <f>IF(T4529="",0,IF(AND(G4529=T4529,COUNTIFS($S$6:S4529,S4529,$G$6:G4529,G4529,$D$6:D4529,"Vastgesteld")=1),1,0))</f>
        <v>0</v>
      </c>
      <c r="V4529" s="15">
        <f>IF(T4529="",0,IF(AND(G4529=T4529,COUNTIFS($S$6:S4529,S4529,$G$6:G4529,G4529,$D$6:D4529,"Vastgesteld")&gt;1),1,0))</f>
        <v>0</v>
      </c>
    </row>
    <row r="4530">
      <c r="S4530" s="15" t="str">
        <f>IF(J4530="","",J4530&amp;"|"&amp;E4530&amp;"|"&amp;F4530&amp;"|"&amp;I4530&amp;"|"&amp;O4530)</f>
        <v/>
      </c>
      <c r="T4530" s="15" t="str">
        <f>IF(OR(S4530="",D4530&lt;&gt;"Vastgesteld"),"",_xlfn.MAXIFS($G$6:$G$5005,$S$6:$S$5005,S4530,$D$6:$D$5005,"Vastgesteld"))</f>
        <v/>
      </c>
      <c r="U4530" s="15">
        <f>IF(T4530="",0,IF(AND(G4530=T4530,COUNTIFS($S$6:S4530,S4530,$G$6:G4530,G4530,$D$6:D4530,"Vastgesteld")=1),1,0))</f>
        <v>0</v>
      </c>
      <c r="V4530" s="15">
        <f>IF(T4530="",0,IF(AND(G4530=T4530,COUNTIFS($S$6:S4530,S4530,$G$6:G4530,G4530,$D$6:D4530,"Vastgesteld")&gt;1),1,0))</f>
        <v>0</v>
      </c>
    </row>
    <row r="4531">
      <c r="S4531" s="15" t="str">
        <f>IF(J4531="","",J4531&amp;"|"&amp;E4531&amp;"|"&amp;F4531&amp;"|"&amp;I4531&amp;"|"&amp;O4531)</f>
        <v/>
      </c>
      <c r="T4531" s="15" t="str">
        <f>IF(OR(S4531="",D4531&lt;&gt;"Vastgesteld"),"",_xlfn.MAXIFS($G$6:$G$5005,$S$6:$S$5005,S4531,$D$6:$D$5005,"Vastgesteld"))</f>
        <v/>
      </c>
      <c r="U4531" s="15">
        <f>IF(T4531="",0,IF(AND(G4531=T4531,COUNTIFS($S$6:S4531,S4531,$G$6:G4531,G4531,$D$6:D4531,"Vastgesteld")=1),1,0))</f>
        <v>0</v>
      </c>
      <c r="V4531" s="15">
        <f>IF(T4531="",0,IF(AND(G4531=T4531,COUNTIFS($S$6:S4531,S4531,$G$6:G4531,G4531,$D$6:D4531,"Vastgesteld")&gt;1),1,0))</f>
        <v>0</v>
      </c>
    </row>
    <row r="4532">
      <c r="S4532" s="15" t="str">
        <f>IF(J4532="","",J4532&amp;"|"&amp;E4532&amp;"|"&amp;F4532&amp;"|"&amp;I4532&amp;"|"&amp;O4532)</f>
        <v/>
      </c>
      <c r="T4532" s="15" t="str">
        <f>IF(OR(S4532="",D4532&lt;&gt;"Vastgesteld"),"",_xlfn.MAXIFS($G$6:$G$5005,$S$6:$S$5005,S4532,$D$6:$D$5005,"Vastgesteld"))</f>
        <v/>
      </c>
      <c r="U4532" s="15">
        <f>IF(T4532="",0,IF(AND(G4532=T4532,COUNTIFS($S$6:S4532,S4532,$G$6:G4532,G4532,$D$6:D4532,"Vastgesteld")=1),1,0))</f>
        <v>0</v>
      </c>
      <c r="V4532" s="15">
        <f>IF(T4532="",0,IF(AND(G4532=T4532,COUNTIFS($S$6:S4532,S4532,$G$6:G4532,G4532,$D$6:D4532,"Vastgesteld")&gt;1),1,0))</f>
        <v>0</v>
      </c>
    </row>
    <row r="4533">
      <c r="S4533" s="15" t="str">
        <f>IF(J4533="","",J4533&amp;"|"&amp;E4533&amp;"|"&amp;F4533&amp;"|"&amp;I4533&amp;"|"&amp;O4533)</f>
        <v/>
      </c>
      <c r="T4533" s="15" t="str">
        <f>IF(OR(S4533="",D4533&lt;&gt;"Vastgesteld"),"",_xlfn.MAXIFS($G$6:$G$5005,$S$6:$S$5005,S4533,$D$6:$D$5005,"Vastgesteld"))</f>
        <v/>
      </c>
      <c r="U4533" s="15">
        <f>IF(T4533="",0,IF(AND(G4533=T4533,COUNTIFS($S$6:S4533,S4533,$G$6:G4533,G4533,$D$6:D4533,"Vastgesteld")=1),1,0))</f>
        <v>0</v>
      </c>
      <c r="V4533" s="15">
        <f>IF(T4533="",0,IF(AND(G4533=T4533,COUNTIFS($S$6:S4533,S4533,$G$6:G4533,G4533,$D$6:D4533,"Vastgesteld")&gt;1),1,0))</f>
        <v>0</v>
      </c>
    </row>
    <row r="4534">
      <c r="S4534" s="15" t="str">
        <f>IF(J4534="","",J4534&amp;"|"&amp;E4534&amp;"|"&amp;F4534&amp;"|"&amp;I4534&amp;"|"&amp;O4534)</f>
        <v/>
      </c>
      <c r="T4534" s="15" t="str">
        <f>IF(OR(S4534="",D4534&lt;&gt;"Vastgesteld"),"",_xlfn.MAXIFS($G$6:$G$5005,$S$6:$S$5005,S4534,$D$6:$D$5005,"Vastgesteld"))</f>
        <v/>
      </c>
      <c r="U4534" s="15">
        <f>IF(T4534="",0,IF(AND(G4534=T4534,COUNTIFS($S$6:S4534,S4534,$G$6:G4534,G4534,$D$6:D4534,"Vastgesteld")=1),1,0))</f>
        <v>0</v>
      </c>
      <c r="V4534" s="15">
        <f>IF(T4534="",0,IF(AND(G4534=T4534,COUNTIFS($S$6:S4534,S4534,$G$6:G4534,G4534,$D$6:D4534,"Vastgesteld")&gt;1),1,0))</f>
        <v>0</v>
      </c>
    </row>
    <row r="4535">
      <c r="S4535" s="15" t="str">
        <f>IF(J4535="","",J4535&amp;"|"&amp;E4535&amp;"|"&amp;F4535&amp;"|"&amp;I4535&amp;"|"&amp;O4535)</f>
        <v/>
      </c>
      <c r="T4535" s="15" t="str">
        <f>IF(OR(S4535="",D4535&lt;&gt;"Vastgesteld"),"",_xlfn.MAXIFS($G$6:$G$5005,$S$6:$S$5005,S4535,$D$6:$D$5005,"Vastgesteld"))</f>
        <v/>
      </c>
      <c r="U4535" s="15">
        <f>IF(T4535="",0,IF(AND(G4535=T4535,COUNTIFS($S$6:S4535,S4535,$G$6:G4535,G4535,$D$6:D4535,"Vastgesteld")=1),1,0))</f>
        <v>0</v>
      </c>
      <c r="V4535" s="15">
        <f>IF(T4535="",0,IF(AND(G4535=T4535,COUNTIFS($S$6:S4535,S4535,$G$6:G4535,G4535,$D$6:D4535,"Vastgesteld")&gt;1),1,0))</f>
        <v>0</v>
      </c>
    </row>
    <row r="4536">
      <c r="S4536" s="15" t="str">
        <f>IF(J4536="","",J4536&amp;"|"&amp;E4536&amp;"|"&amp;F4536&amp;"|"&amp;I4536&amp;"|"&amp;O4536)</f>
        <v/>
      </c>
      <c r="T4536" s="15" t="str">
        <f>IF(OR(S4536="",D4536&lt;&gt;"Vastgesteld"),"",_xlfn.MAXIFS($G$6:$G$5005,$S$6:$S$5005,S4536,$D$6:$D$5005,"Vastgesteld"))</f>
        <v/>
      </c>
      <c r="U4536" s="15">
        <f>IF(T4536="",0,IF(AND(G4536=T4536,COUNTIFS($S$6:S4536,S4536,$G$6:G4536,G4536,$D$6:D4536,"Vastgesteld")=1),1,0))</f>
        <v>0</v>
      </c>
      <c r="V4536" s="15">
        <f>IF(T4536="",0,IF(AND(G4536=T4536,COUNTIFS($S$6:S4536,S4536,$G$6:G4536,G4536,$D$6:D4536,"Vastgesteld")&gt;1),1,0))</f>
        <v>0</v>
      </c>
    </row>
    <row r="4537">
      <c r="S4537" s="15" t="str">
        <f>IF(J4537="","",J4537&amp;"|"&amp;E4537&amp;"|"&amp;F4537&amp;"|"&amp;I4537&amp;"|"&amp;O4537)</f>
        <v/>
      </c>
      <c r="T4537" s="15" t="str">
        <f>IF(OR(S4537="",D4537&lt;&gt;"Vastgesteld"),"",_xlfn.MAXIFS($G$6:$G$5005,$S$6:$S$5005,S4537,$D$6:$D$5005,"Vastgesteld"))</f>
        <v/>
      </c>
      <c r="U4537" s="15">
        <f>IF(T4537="",0,IF(AND(G4537=T4537,COUNTIFS($S$6:S4537,S4537,$G$6:G4537,G4537,$D$6:D4537,"Vastgesteld")=1),1,0))</f>
        <v>0</v>
      </c>
      <c r="V4537" s="15">
        <f>IF(T4537="",0,IF(AND(G4537=T4537,COUNTIFS($S$6:S4537,S4537,$G$6:G4537,G4537,$D$6:D4537,"Vastgesteld")&gt;1),1,0))</f>
        <v>0</v>
      </c>
    </row>
    <row r="4538">
      <c r="S4538" s="15" t="str">
        <f>IF(J4538="","",J4538&amp;"|"&amp;E4538&amp;"|"&amp;F4538&amp;"|"&amp;I4538&amp;"|"&amp;O4538)</f>
        <v/>
      </c>
      <c r="T4538" s="15" t="str">
        <f>IF(OR(S4538="",D4538&lt;&gt;"Vastgesteld"),"",_xlfn.MAXIFS($G$6:$G$5005,$S$6:$S$5005,S4538,$D$6:$D$5005,"Vastgesteld"))</f>
        <v/>
      </c>
      <c r="U4538" s="15">
        <f>IF(T4538="",0,IF(AND(G4538=T4538,COUNTIFS($S$6:S4538,S4538,$G$6:G4538,G4538,$D$6:D4538,"Vastgesteld")=1),1,0))</f>
        <v>0</v>
      </c>
      <c r="V4538" s="15">
        <f>IF(T4538="",0,IF(AND(G4538=T4538,COUNTIFS($S$6:S4538,S4538,$G$6:G4538,G4538,$D$6:D4538,"Vastgesteld")&gt;1),1,0))</f>
        <v>0</v>
      </c>
    </row>
    <row r="4539">
      <c r="S4539" s="15" t="str">
        <f>IF(J4539="","",J4539&amp;"|"&amp;E4539&amp;"|"&amp;F4539&amp;"|"&amp;I4539&amp;"|"&amp;O4539)</f>
        <v/>
      </c>
      <c r="T4539" s="15" t="str">
        <f>IF(OR(S4539="",D4539&lt;&gt;"Vastgesteld"),"",_xlfn.MAXIFS($G$6:$G$5005,$S$6:$S$5005,S4539,$D$6:$D$5005,"Vastgesteld"))</f>
        <v/>
      </c>
      <c r="U4539" s="15">
        <f>IF(T4539="",0,IF(AND(G4539=T4539,COUNTIFS($S$6:S4539,S4539,$G$6:G4539,G4539,$D$6:D4539,"Vastgesteld")=1),1,0))</f>
        <v>0</v>
      </c>
      <c r="V4539" s="15">
        <f>IF(T4539="",0,IF(AND(G4539=T4539,COUNTIFS($S$6:S4539,S4539,$G$6:G4539,G4539,$D$6:D4539,"Vastgesteld")&gt;1),1,0))</f>
        <v>0</v>
      </c>
    </row>
    <row r="4540">
      <c r="S4540" s="15" t="str">
        <f>IF(J4540="","",J4540&amp;"|"&amp;E4540&amp;"|"&amp;F4540&amp;"|"&amp;I4540&amp;"|"&amp;O4540)</f>
        <v/>
      </c>
      <c r="T4540" s="15" t="str">
        <f>IF(OR(S4540="",D4540&lt;&gt;"Vastgesteld"),"",_xlfn.MAXIFS($G$6:$G$5005,$S$6:$S$5005,S4540,$D$6:$D$5005,"Vastgesteld"))</f>
        <v/>
      </c>
      <c r="U4540" s="15">
        <f>IF(T4540="",0,IF(AND(G4540=T4540,COUNTIFS($S$6:S4540,S4540,$G$6:G4540,G4540,$D$6:D4540,"Vastgesteld")=1),1,0))</f>
        <v>0</v>
      </c>
      <c r="V4540" s="15">
        <f>IF(T4540="",0,IF(AND(G4540=T4540,COUNTIFS($S$6:S4540,S4540,$G$6:G4540,G4540,$D$6:D4540,"Vastgesteld")&gt;1),1,0))</f>
        <v>0</v>
      </c>
    </row>
    <row r="4541">
      <c r="S4541" s="15" t="str">
        <f>IF(J4541="","",J4541&amp;"|"&amp;E4541&amp;"|"&amp;F4541&amp;"|"&amp;I4541&amp;"|"&amp;O4541)</f>
        <v/>
      </c>
      <c r="T4541" s="15" t="str">
        <f>IF(OR(S4541="",D4541&lt;&gt;"Vastgesteld"),"",_xlfn.MAXIFS($G$6:$G$5005,$S$6:$S$5005,S4541,$D$6:$D$5005,"Vastgesteld"))</f>
        <v/>
      </c>
      <c r="U4541" s="15">
        <f>IF(T4541="",0,IF(AND(G4541=T4541,COUNTIFS($S$6:S4541,S4541,$G$6:G4541,G4541,$D$6:D4541,"Vastgesteld")=1),1,0))</f>
        <v>0</v>
      </c>
      <c r="V4541" s="15">
        <f>IF(T4541="",0,IF(AND(G4541=T4541,COUNTIFS($S$6:S4541,S4541,$G$6:G4541,G4541,$D$6:D4541,"Vastgesteld")&gt;1),1,0))</f>
        <v>0</v>
      </c>
    </row>
    <row r="4542">
      <c r="S4542" s="15" t="str">
        <f>IF(J4542="","",J4542&amp;"|"&amp;E4542&amp;"|"&amp;F4542&amp;"|"&amp;I4542&amp;"|"&amp;O4542)</f>
        <v/>
      </c>
      <c r="T4542" s="15" t="str">
        <f>IF(OR(S4542="",D4542&lt;&gt;"Vastgesteld"),"",_xlfn.MAXIFS($G$6:$G$5005,$S$6:$S$5005,S4542,$D$6:$D$5005,"Vastgesteld"))</f>
        <v/>
      </c>
      <c r="U4542" s="15">
        <f>IF(T4542="",0,IF(AND(G4542=T4542,COUNTIFS($S$6:S4542,S4542,$G$6:G4542,G4542,$D$6:D4542,"Vastgesteld")=1),1,0))</f>
        <v>0</v>
      </c>
      <c r="V4542" s="15">
        <f>IF(T4542="",0,IF(AND(G4542=T4542,COUNTIFS($S$6:S4542,S4542,$G$6:G4542,G4542,$D$6:D4542,"Vastgesteld")&gt;1),1,0))</f>
        <v>0</v>
      </c>
    </row>
    <row r="4543">
      <c r="S4543" s="15" t="str">
        <f>IF(J4543="","",J4543&amp;"|"&amp;E4543&amp;"|"&amp;F4543&amp;"|"&amp;I4543&amp;"|"&amp;O4543)</f>
        <v/>
      </c>
      <c r="T4543" s="15" t="str">
        <f>IF(OR(S4543="",D4543&lt;&gt;"Vastgesteld"),"",_xlfn.MAXIFS($G$6:$G$5005,$S$6:$S$5005,S4543,$D$6:$D$5005,"Vastgesteld"))</f>
        <v/>
      </c>
      <c r="U4543" s="15">
        <f>IF(T4543="",0,IF(AND(G4543=T4543,COUNTIFS($S$6:S4543,S4543,$G$6:G4543,G4543,$D$6:D4543,"Vastgesteld")=1),1,0))</f>
        <v>0</v>
      </c>
      <c r="V4543" s="15">
        <f>IF(T4543="",0,IF(AND(G4543=T4543,COUNTIFS($S$6:S4543,S4543,$G$6:G4543,G4543,$D$6:D4543,"Vastgesteld")&gt;1),1,0))</f>
        <v>0</v>
      </c>
    </row>
    <row r="4544">
      <c r="S4544" s="15" t="str">
        <f>IF(J4544="","",J4544&amp;"|"&amp;E4544&amp;"|"&amp;F4544&amp;"|"&amp;I4544&amp;"|"&amp;O4544)</f>
        <v/>
      </c>
      <c r="T4544" s="15" t="str">
        <f>IF(OR(S4544="",D4544&lt;&gt;"Vastgesteld"),"",_xlfn.MAXIFS($G$6:$G$5005,$S$6:$S$5005,S4544,$D$6:$D$5005,"Vastgesteld"))</f>
        <v/>
      </c>
      <c r="U4544" s="15">
        <f>IF(T4544="",0,IF(AND(G4544=T4544,COUNTIFS($S$6:S4544,S4544,$G$6:G4544,G4544,$D$6:D4544,"Vastgesteld")=1),1,0))</f>
        <v>0</v>
      </c>
      <c r="V4544" s="15">
        <f>IF(T4544="",0,IF(AND(G4544=T4544,COUNTIFS($S$6:S4544,S4544,$G$6:G4544,G4544,$D$6:D4544,"Vastgesteld")&gt;1),1,0))</f>
        <v>0</v>
      </c>
    </row>
    <row r="4545">
      <c r="S4545" s="15" t="str">
        <f>IF(J4545="","",J4545&amp;"|"&amp;E4545&amp;"|"&amp;F4545&amp;"|"&amp;I4545&amp;"|"&amp;O4545)</f>
        <v/>
      </c>
      <c r="T4545" s="15" t="str">
        <f>IF(OR(S4545="",D4545&lt;&gt;"Vastgesteld"),"",_xlfn.MAXIFS($G$6:$G$5005,$S$6:$S$5005,S4545,$D$6:$D$5005,"Vastgesteld"))</f>
        <v/>
      </c>
      <c r="U4545" s="15">
        <f>IF(T4545="",0,IF(AND(G4545=T4545,COUNTIFS($S$6:S4545,S4545,$G$6:G4545,G4545,$D$6:D4545,"Vastgesteld")=1),1,0))</f>
        <v>0</v>
      </c>
      <c r="V4545" s="15">
        <f>IF(T4545="",0,IF(AND(G4545=T4545,COUNTIFS($S$6:S4545,S4545,$G$6:G4545,G4545,$D$6:D4545,"Vastgesteld")&gt;1),1,0))</f>
        <v>0</v>
      </c>
    </row>
    <row r="4546">
      <c r="S4546" s="15" t="str">
        <f>IF(J4546="","",J4546&amp;"|"&amp;E4546&amp;"|"&amp;F4546&amp;"|"&amp;I4546&amp;"|"&amp;O4546)</f>
        <v/>
      </c>
      <c r="T4546" s="15" t="str">
        <f>IF(OR(S4546="",D4546&lt;&gt;"Vastgesteld"),"",_xlfn.MAXIFS($G$6:$G$5005,$S$6:$S$5005,S4546,$D$6:$D$5005,"Vastgesteld"))</f>
        <v/>
      </c>
      <c r="U4546" s="15">
        <f>IF(T4546="",0,IF(AND(G4546=T4546,COUNTIFS($S$6:S4546,S4546,$G$6:G4546,G4546,$D$6:D4546,"Vastgesteld")=1),1,0))</f>
        <v>0</v>
      </c>
      <c r="V4546" s="15">
        <f>IF(T4546="",0,IF(AND(G4546=T4546,COUNTIFS($S$6:S4546,S4546,$G$6:G4546,G4546,$D$6:D4546,"Vastgesteld")&gt;1),1,0))</f>
        <v>0</v>
      </c>
    </row>
    <row r="4547">
      <c r="S4547" s="15" t="str">
        <f>IF(J4547="","",J4547&amp;"|"&amp;E4547&amp;"|"&amp;F4547&amp;"|"&amp;I4547&amp;"|"&amp;O4547)</f>
        <v/>
      </c>
      <c r="T4547" s="15" t="str">
        <f>IF(OR(S4547="",D4547&lt;&gt;"Vastgesteld"),"",_xlfn.MAXIFS($G$6:$G$5005,$S$6:$S$5005,S4547,$D$6:$D$5005,"Vastgesteld"))</f>
        <v/>
      </c>
      <c r="U4547" s="15">
        <f>IF(T4547="",0,IF(AND(G4547=T4547,COUNTIFS($S$6:S4547,S4547,$G$6:G4547,G4547,$D$6:D4547,"Vastgesteld")=1),1,0))</f>
        <v>0</v>
      </c>
      <c r="V4547" s="15">
        <f>IF(T4547="",0,IF(AND(G4547=T4547,COUNTIFS($S$6:S4547,S4547,$G$6:G4547,G4547,$D$6:D4547,"Vastgesteld")&gt;1),1,0))</f>
        <v>0</v>
      </c>
    </row>
    <row r="4548">
      <c r="S4548" s="15" t="str">
        <f>IF(J4548="","",J4548&amp;"|"&amp;E4548&amp;"|"&amp;F4548&amp;"|"&amp;I4548&amp;"|"&amp;O4548)</f>
        <v/>
      </c>
      <c r="T4548" s="15" t="str">
        <f>IF(OR(S4548="",D4548&lt;&gt;"Vastgesteld"),"",_xlfn.MAXIFS($G$6:$G$5005,$S$6:$S$5005,S4548,$D$6:$D$5005,"Vastgesteld"))</f>
        <v/>
      </c>
      <c r="U4548" s="15">
        <f>IF(T4548="",0,IF(AND(G4548=T4548,COUNTIFS($S$6:S4548,S4548,$G$6:G4548,G4548,$D$6:D4548,"Vastgesteld")=1),1,0))</f>
        <v>0</v>
      </c>
      <c r="V4548" s="15">
        <f>IF(T4548="",0,IF(AND(G4548=T4548,COUNTIFS($S$6:S4548,S4548,$G$6:G4548,G4548,$D$6:D4548,"Vastgesteld")&gt;1),1,0))</f>
        <v>0</v>
      </c>
    </row>
    <row r="4549">
      <c r="S4549" s="15" t="str">
        <f>IF(J4549="","",J4549&amp;"|"&amp;E4549&amp;"|"&amp;F4549&amp;"|"&amp;I4549&amp;"|"&amp;O4549)</f>
        <v/>
      </c>
      <c r="T4549" s="15" t="str">
        <f>IF(OR(S4549="",D4549&lt;&gt;"Vastgesteld"),"",_xlfn.MAXIFS($G$6:$G$5005,$S$6:$S$5005,S4549,$D$6:$D$5005,"Vastgesteld"))</f>
        <v/>
      </c>
      <c r="U4549" s="15">
        <f>IF(T4549="",0,IF(AND(G4549=T4549,COUNTIFS($S$6:S4549,S4549,$G$6:G4549,G4549,$D$6:D4549,"Vastgesteld")=1),1,0))</f>
        <v>0</v>
      </c>
      <c r="V4549" s="15">
        <f>IF(T4549="",0,IF(AND(G4549=T4549,COUNTIFS($S$6:S4549,S4549,$G$6:G4549,G4549,$D$6:D4549,"Vastgesteld")&gt;1),1,0))</f>
        <v>0</v>
      </c>
    </row>
    <row r="4550">
      <c r="S4550" s="15" t="str">
        <f>IF(J4550="","",J4550&amp;"|"&amp;E4550&amp;"|"&amp;F4550&amp;"|"&amp;I4550&amp;"|"&amp;O4550)</f>
        <v/>
      </c>
      <c r="T4550" s="15" t="str">
        <f>IF(OR(S4550="",D4550&lt;&gt;"Vastgesteld"),"",_xlfn.MAXIFS($G$6:$G$5005,$S$6:$S$5005,S4550,$D$6:$D$5005,"Vastgesteld"))</f>
        <v/>
      </c>
      <c r="U4550" s="15">
        <f>IF(T4550="",0,IF(AND(G4550=T4550,COUNTIFS($S$6:S4550,S4550,$G$6:G4550,G4550,$D$6:D4550,"Vastgesteld")=1),1,0))</f>
        <v>0</v>
      </c>
      <c r="V4550" s="15">
        <f>IF(T4550="",0,IF(AND(G4550=T4550,COUNTIFS($S$6:S4550,S4550,$G$6:G4550,G4550,$D$6:D4550,"Vastgesteld")&gt;1),1,0))</f>
        <v>0</v>
      </c>
    </row>
    <row r="4551">
      <c r="S4551" s="15" t="str">
        <f>IF(J4551="","",J4551&amp;"|"&amp;E4551&amp;"|"&amp;F4551&amp;"|"&amp;I4551&amp;"|"&amp;O4551)</f>
        <v/>
      </c>
      <c r="T4551" s="15" t="str">
        <f>IF(OR(S4551="",D4551&lt;&gt;"Vastgesteld"),"",_xlfn.MAXIFS($G$6:$G$5005,$S$6:$S$5005,S4551,$D$6:$D$5005,"Vastgesteld"))</f>
        <v/>
      </c>
      <c r="U4551" s="15">
        <f>IF(T4551="",0,IF(AND(G4551=T4551,COUNTIFS($S$6:S4551,S4551,$G$6:G4551,G4551,$D$6:D4551,"Vastgesteld")=1),1,0))</f>
        <v>0</v>
      </c>
      <c r="V4551" s="15">
        <f>IF(T4551="",0,IF(AND(G4551=T4551,COUNTIFS($S$6:S4551,S4551,$G$6:G4551,G4551,$D$6:D4551,"Vastgesteld")&gt;1),1,0))</f>
        <v>0</v>
      </c>
    </row>
    <row r="4552">
      <c r="S4552" s="15" t="str">
        <f>IF(J4552="","",J4552&amp;"|"&amp;E4552&amp;"|"&amp;F4552&amp;"|"&amp;I4552&amp;"|"&amp;O4552)</f>
        <v/>
      </c>
      <c r="T4552" s="15" t="str">
        <f>IF(OR(S4552="",D4552&lt;&gt;"Vastgesteld"),"",_xlfn.MAXIFS($G$6:$G$5005,$S$6:$S$5005,S4552,$D$6:$D$5005,"Vastgesteld"))</f>
        <v/>
      </c>
      <c r="U4552" s="15">
        <f>IF(T4552="",0,IF(AND(G4552=T4552,COUNTIFS($S$6:S4552,S4552,$G$6:G4552,G4552,$D$6:D4552,"Vastgesteld")=1),1,0))</f>
        <v>0</v>
      </c>
      <c r="V4552" s="15">
        <f>IF(T4552="",0,IF(AND(G4552=T4552,COUNTIFS($S$6:S4552,S4552,$G$6:G4552,G4552,$D$6:D4552,"Vastgesteld")&gt;1),1,0))</f>
        <v>0</v>
      </c>
    </row>
    <row r="4553">
      <c r="S4553" s="15" t="str">
        <f>IF(J4553="","",J4553&amp;"|"&amp;E4553&amp;"|"&amp;F4553&amp;"|"&amp;I4553&amp;"|"&amp;O4553)</f>
        <v/>
      </c>
      <c r="T4553" s="15" t="str">
        <f>IF(OR(S4553="",D4553&lt;&gt;"Vastgesteld"),"",_xlfn.MAXIFS($G$6:$G$5005,$S$6:$S$5005,S4553,$D$6:$D$5005,"Vastgesteld"))</f>
        <v/>
      </c>
      <c r="U4553" s="15">
        <f>IF(T4553="",0,IF(AND(G4553=T4553,COUNTIFS($S$6:S4553,S4553,$G$6:G4553,G4553,$D$6:D4553,"Vastgesteld")=1),1,0))</f>
        <v>0</v>
      </c>
      <c r="V4553" s="15">
        <f>IF(T4553="",0,IF(AND(G4553=T4553,COUNTIFS($S$6:S4553,S4553,$G$6:G4553,G4553,$D$6:D4553,"Vastgesteld")&gt;1),1,0))</f>
        <v>0</v>
      </c>
    </row>
    <row r="4554">
      <c r="S4554" s="15" t="str">
        <f>IF(J4554="","",J4554&amp;"|"&amp;E4554&amp;"|"&amp;F4554&amp;"|"&amp;I4554&amp;"|"&amp;O4554)</f>
        <v/>
      </c>
      <c r="T4554" s="15" t="str">
        <f>IF(OR(S4554="",D4554&lt;&gt;"Vastgesteld"),"",_xlfn.MAXIFS($G$6:$G$5005,$S$6:$S$5005,S4554,$D$6:$D$5005,"Vastgesteld"))</f>
        <v/>
      </c>
      <c r="U4554" s="15">
        <f>IF(T4554="",0,IF(AND(G4554=T4554,COUNTIFS($S$6:S4554,S4554,$G$6:G4554,G4554,$D$6:D4554,"Vastgesteld")=1),1,0))</f>
        <v>0</v>
      </c>
      <c r="V4554" s="15">
        <f>IF(T4554="",0,IF(AND(G4554=T4554,COUNTIFS($S$6:S4554,S4554,$G$6:G4554,G4554,$D$6:D4554,"Vastgesteld")&gt;1),1,0))</f>
        <v>0</v>
      </c>
    </row>
    <row r="4555">
      <c r="S4555" s="15" t="str">
        <f>IF(J4555="","",J4555&amp;"|"&amp;E4555&amp;"|"&amp;F4555&amp;"|"&amp;I4555&amp;"|"&amp;O4555)</f>
        <v/>
      </c>
      <c r="T4555" s="15" t="str">
        <f>IF(OR(S4555="",D4555&lt;&gt;"Vastgesteld"),"",_xlfn.MAXIFS($G$6:$G$5005,$S$6:$S$5005,S4555,$D$6:$D$5005,"Vastgesteld"))</f>
        <v/>
      </c>
      <c r="U4555" s="15">
        <f>IF(T4555="",0,IF(AND(G4555=T4555,COUNTIFS($S$6:S4555,S4555,$G$6:G4555,G4555,$D$6:D4555,"Vastgesteld")=1),1,0))</f>
        <v>0</v>
      </c>
      <c r="V4555" s="15">
        <f>IF(T4555="",0,IF(AND(G4555=T4555,COUNTIFS($S$6:S4555,S4555,$G$6:G4555,G4555,$D$6:D4555,"Vastgesteld")&gt;1),1,0))</f>
        <v>0</v>
      </c>
    </row>
    <row r="4556">
      <c r="S4556" s="15" t="str">
        <f>IF(J4556="","",J4556&amp;"|"&amp;E4556&amp;"|"&amp;F4556&amp;"|"&amp;I4556&amp;"|"&amp;O4556)</f>
        <v/>
      </c>
      <c r="T4556" s="15" t="str">
        <f>IF(OR(S4556="",D4556&lt;&gt;"Vastgesteld"),"",_xlfn.MAXIFS($G$6:$G$5005,$S$6:$S$5005,S4556,$D$6:$D$5005,"Vastgesteld"))</f>
        <v/>
      </c>
      <c r="U4556" s="15">
        <f>IF(T4556="",0,IF(AND(G4556=T4556,COUNTIFS($S$6:S4556,S4556,$G$6:G4556,G4556,$D$6:D4556,"Vastgesteld")=1),1,0))</f>
        <v>0</v>
      </c>
      <c r="V4556" s="15">
        <f>IF(T4556="",0,IF(AND(G4556=T4556,COUNTIFS($S$6:S4556,S4556,$G$6:G4556,G4556,$D$6:D4556,"Vastgesteld")&gt;1),1,0))</f>
        <v>0</v>
      </c>
    </row>
    <row r="4557">
      <c r="S4557" s="15" t="str">
        <f>IF(J4557="","",J4557&amp;"|"&amp;E4557&amp;"|"&amp;F4557&amp;"|"&amp;I4557&amp;"|"&amp;O4557)</f>
        <v/>
      </c>
      <c r="T4557" s="15" t="str">
        <f>IF(OR(S4557="",D4557&lt;&gt;"Vastgesteld"),"",_xlfn.MAXIFS($G$6:$G$5005,$S$6:$S$5005,S4557,$D$6:$D$5005,"Vastgesteld"))</f>
        <v/>
      </c>
      <c r="U4557" s="15">
        <f>IF(T4557="",0,IF(AND(G4557=T4557,COUNTIFS($S$6:S4557,S4557,$G$6:G4557,G4557,$D$6:D4557,"Vastgesteld")=1),1,0))</f>
        <v>0</v>
      </c>
      <c r="V4557" s="15">
        <f>IF(T4557="",0,IF(AND(G4557=T4557,COUNTIFS($S$6:S4557,S4557,$G$6:G4557,G4557,$D$6:D4557,"Vastgesteld")&gt;1),1,0))</f>
        <v>0</v>
      </c>
    </row>
    <row r="4558">
      <c r="S4558" s="15" t="str">
        <f>IF(J4558="","",J4558&amp;"|"&amp;E4558&amp;"|"&amp;F4558&amp;"|"&amp;I4558&amp;"|"&amp;O4558)</f>
        <v/>
      </c>
      <c r="T4558" s="15" t="str">
        <f>IF(OR(S4558="",D4558&lt;&gt;"Vastgesteld"),"",_xlfn.MAXIFS($G$6:$G$5005,$S$6:$S$5005,S4558,$D$6:$D$5005,"Vastgesteld"))</f>
        <v/>
      </c>
      <c r="U4558" s="15">
        <f>IF(T4558="",0,IF(AND(G4558=T4558,COUNTIFS($S$6:S4558,S4558,$G$6:G4558,G4558,$D$6:D4558,"Vastgesteld")=1),1,0))</f>
        <v>0</v>
      </c>
      <c r="V4558" s="15">
        <f>IF(T4558="",0,IF(AND(G4558=T4558,COUNTIFS($S$6:S4558,S4558,$G$6:G4558,G4558,$D$6:D4558,"Vastgesteld")&gt;1),1,0))</f>
        <v>0</v>
      </c>
    </row>
    <row r="4559">
      <c r="S4559" s="15" t="str">
        <f>IF(J4559="","",J4559&amp;"|"&amp;E4559&amp;"|"&amp;F4559&amp;"|"&amp;I4559&amp;"|"&amp;O4559)</f>
        <v/>
      </c>
      <c r="T4559" s="15" t="str">
        <f>IF(OR(S4559="",D4559&lt;&gt;"Vastgesteld"),"",_xlfn.MAXIFS($G$6:$G$5005,$S$6:$S$5005,S4559,$D$6:$D$5005,"Vastgesteld"))</f>
        <v/>
      </c>
      <c r="U4559" s="15">
        <f>IF(T4559="",0,IF(AND(G4559=T4559,COUNTIFS($S$6:S4559,S4559,$G$6:G4559,G4559,$D$6:D4559,"Vastgesteld")=1),1,0))</f>
        <v>0</v>
      </c>
      <c r="V4559" s="15">
        <f>IF(T4559="",0,IF(AND(G4559=T4559,COUNTIFS($S$6:S4559,S4559,$G$6:G4559,G4559,$D$6:D4559,"Vastgesteld")&gt;1),1,0))</f>
        <v>0</v>
      </c>
    </row>
    <row r="4560">
      <c r="S4560" s="15" t="str">
        <f>IF(J4560="","",J4560&amp;"|"&amp;E4560&amp;"|"&amp;F4560&amp;"|"&amp;I4560&amp;"|"&amp;O4560)</f>
        <v/>
      </c>
      <c r="T4560" s="15" t="str">
        <f>IF(OR(S4560="",D4560&lt;&gt;"Vastgesteld"),"",_xlfn.MAXIFS($G$6:$G$5005,$S$6:$S$5005,S4560,$D$6:$D$5005,"Vastgesteld"))</f>
        <v/>
      </c>
      <c r="U4560" s="15">
        <f>IF(T4560="",0,IF(AND(G4560=T4560,COUNTIFS($S$6:S4560,S4560,$G$6:G4560,G4560,$D$6:D4560,"Vastgesteld")=1),1,0))</f>
        <v>0</v>
      </c>
      <c r="V4560" s="15">
        <f>IF(T4560="",0,IF(AND(G4560=T4560,COUNTIFS($S$6:S4560,S4560,$G$6:G4560,G4560,$D$6:D4560,"Vastgesteld")&gt;1),1,0))</f>
        <v>0</v>
      </c>
    </row>
    <row r="4561">
      <c r="S4561" s="15" t="str">
        <f>IF(J4561="","",J4561&amp;"|"&amp;E4561&amp;"|"&amp;F4561&amp;"|"&amp;I4561&amp;"|"&amp;O4561)</f>
        <v/>
      </c>
      <c r="T4561" s="15" t="str">
        <f>IF(OR(S4561="",D4561&lt;&gt;"Vastgesteld"),"",_xlfn.MAXIFS($G$6:$G$5005,$S$6:$S$5005,S4561,$D$6:$D$5005,"Vastgesteld"))</f>
        <v/>
      </c>
      <c r="U4561" s="15">
        <f>IF(T4561="",0,IF(AND(G4561=T4561,COUNTIFS($S$6:S4561,S4561,$G$6:G4561,G4561,$D$6:D4561,"Vastgesteld")=1),1,0))</f>
        <v>0</v>
      </c>
      <c r="V4561" s="15">
        <f>IF(T4561="",0,IF(AND(G4561=T4561,COUNTIFS($S$6:S4561,S4561,$G$6:G4561,G4561,$D$6:D4561,"Vastgesteld")&gt;1),1,0))</f>
        <v>0</v>
      </c>
    </row>
    <row r="4562">
      <c r="S4562" s="15" t="str">
        <f>IF(J4562="","",J4562&amp;"|"&amp;E4562&amp;"|"&amp;F4562&amp;"|"&amp;I4562&amp;"|"&amp;O4562)</f>
        <v/>
      </c>
      <c r="T4562" s="15" t="str">
        <f>IF(OR(S4562="",D4562&lt;&gt;"Vastgesteld"),"",_xlfn.MAXIFS($G$6:$G$5005,$S$6:$S$5005,S4562,$D$6:$D$5005,"Vastgesteld"))</f>
        <v/>
      </c>
      <c r="U4562" s="15">
        <f>IF(T4562="",0,IF(AND(G4562=T4562,COUNTIFS($S$6:S4562,S4562,$G$6:G4562,G4562,$D$6:D4562,"Vastgesteld")=1),1,0))</f>
        <v>0</v>
      </c>
      <c r="V4562" s="15">
        <f>IF(T4562="",0,IF(AND(G4562=T4562,COUNTIFS($S$6:S4562,S4562,$G$6:G4562,G4562,$D$6:D4562,"Vastgesteld")&gt;1),1,0))</f>
        <v>0</v>
      </c>
    </row>
    <row r="4563">
      <c r="S4563" s="15" t="str">
        <f>IF(J4563="","",J4563&amp;"|"&amp;E4563&amp;"|"&amp;F4563&amp;"|"&amp;I4563&amp;"|"&amp;O4563)</f>
        <v/>
      </c>
      <c r="T4563" s="15" t="str">
        <f>IF(OR(S4563="",D4563&lt;&gt;"Vastgesteld"),"",_xlfn.MAXIFS($G$6:$G$5005,$S$6:$S$5005,S4563,$D$6:$D$5005,"Vastgesteld"))</f>
        <v/>
      </c>
      <c r="U4563" s="15">
        <f>IF(T4563="",0,IF(AND(G4563=T4563,COUNTIFS($S$6:S4563,S4563,$G$6:G4563,G4563,$D$6:D4563,"Vastgesteld")=1),1,0))</f>
        <v>0</v>
      </c>
      <c r="V4563" s="15">
        <f>IF(T4563="",0,IF(AND(G4563=T4563,COUNTIFS($S$6:S4563,S4563,$G$6:G4563,G4563,$D$6:D4563,"Vastgesteld")&gt;1),1,0))</f>
        <v>0</v>
      </c>
    </row>
    <row r="4564">
      <c r="S4564" s="15" t="str">
        <f>IF(J4564="","",J4564&amp;"|"&amp;E4564&amp;"|"&amp;F4564&amp;"|"&amp;I4564&amp;"|"&amp;O4564)</f>
        <v/>
      </c>
      <c r="T4564" s="15" t="str">
        <f>IF(OR(S4564="",D4564&lt;&gt;"Vastgesteld"),"",_xlfn.MAXIFS($G$6:$G$5005,$S$6:$S$5005,S4564,$D$6:$D$5005,"Vastgesteld"))</f>
        <v/>
      </c>
      <c r="U4564" s="15">
        <f>IF(T4564="",0,IF(AND(G4564=T4564,COUNTIFS($S$6:S4564,S4564,$G$6:G4564,G4564,$D$6:D4564,"Vastgesteld")=1),1,0))</f>
        <v>0</v>
      </c>
      <c r="V4564" s="15">
        <f>IF(T4564="",0,IF(AND(G4564=T4564,COUNTIFS($S$6:S4564,S4564,$G$6:G4564,G4564,$D$6:D4564,"Vastgesteld")&gt;1),1,0))</f>
        <v>0</v>
      </c>
    </row>
    <row r="4565">
      <c r="S4565" s="15" t="str">
        <f>IF(J4565="","",J4565&amp;"|"&amp;E4565&amp;"|"&amp;F4565&amp;"|"&amp;I4565&amp;"|"&amp;O4565)</f>
        <v/>
      </c>
      <c r="T4565" s="15" t="str">
        <f>IF(OR(S4565="",D4565&lt;&gt;"Vastgesteld"),"",_xlfn.MAXIFS($G$6:$G$5005,$S$6:$S$5005,S4565,$D$6:$D$5005,"Vastgesteld"))</f>
        <v/>
      </c>
      <c r="U4565" s="15">
        <f>IF(T4565="",0,IF(AND(G4565=T4565,COUNTIFS($S$6:S4565,S4565,$G$6:G4565,G4565,$D$6:D4565,"Vastgesteld")=1),1,0))</f>
        <v>0</v>
      </c>
      <c r="V4565" s="15">
        <f>IF(T4565="",0,IF(AND(G4565=T4565,COUNTIFS($S$6:S4565,S4565,$G$6:G4565,G4565,$D$6:D4565,"Vastgesteld")&gt;1),1,0))</f>
        <v>0</v>
      </c>
    </row>
    <row r="4566">
      <c r="S4566" s="15" t="str">
        <f>IF(J4566="","",J4566&amp;"|"&amp;E4566&amp;"|"&amp;F4566&amp;"|"&amp;I4566&amp;"|"&amp;O4566)</f>
        <v/>
      </c>
      <c r="T4566" s="15" t="str">
        <f>IF(OR(S4566="",D4566&lt;&gt;"Vastgesteld"),"",_xlfn.MAXIFS($G$6:$G$5005,$S$6:$S$5005,S4566,$D$6:$D$5005,"Vastgesteld"))</f>
        <v/>
      </c>
      <c r="U4566" s="15">
        <f>IF(T4566="",0,IF(AND(G4566=T4566,COUNTIFS($S$6:S4566,S4566,$G$6:G4566,G4566,$D$6:D4566,"Vastgesteld")=1),1,0))</f>
        <v>0</v>
      </c>
      <c r="V4566" s="15">
        <f>IF(T4566="",0,IF(AND(G4566=T4566,COUNTIFS($S$6:S4566,S4566,$G$6:G4566,G4566,$D$6:D4566,"Vastgesteld")&gt;1),1,0))</f>
        <v>0</v>
      </c>
    </row>
    <row r="4567">
      <c r="S4567" s="15" t="str">
        <f>IF(J4567="","",J4567&amp;"|"&amp;E4567&amp;"|"&amp;F4567&amp;"|"&amp;I4567&amp;"|"&amp;O4567)</f>
        <v/>
      </c>
      <c r="T4567" s="15" t="str">
        <f>IF(OR(S4567="",D4567&lt;&gt;"Vastgesteld"),"",_xlfn.MAXIFS($G$6:$G$5005,$S$6:$S$5005,S4567,$D$6:$D$5005,"Vastgesteld"))</f>
        <v/>
      </c>
      <c r="U4567" s="15">
        <f>IF(T4567="",0,IF(AND(G4567=T4567,COUNTIFS($S$6:S4567,S4567,$G$6:G4567,G4567,$D$6:D4567,"Vastgesteld")=1),1,0))</f>
        <v>0</v>
      </c>
      <c r="V4567" s="15">
        <f>IF(T4567="",0,IF(AND(G4567=T4567,COUNTIFS($S$6:S4567,S4567,$G$6:G4567,G4567,$D$6:D4567,"Vastgesteld")&gt;1),1,0))</f>
        <v>0</v>
      </c>
    </row>
    <row r="4568">
      <c r="S4568" s="15" t="str">
        <f>IF(J4568="","",J4568&amp;"|"&amp;E4568&amp;"|"&amp;F4568&amp;"|"&amp;I4568&amp;"|"&amp;O4568)</f>
        <v/>
      </c>
      <c r="T4568" s="15" t="str">
        <f>IF(OR(S4568="",D4568&lt;&gt;"Vastgesteld"),"",_xlfn.MAXIFS($G$6:$G$5005,$S$6:$S$5005,S4568,$D$6:$D$5005,"Vastgesteld"))</f>
        <v/>
      </c>
      <c r="U4568" s="15">
        <f>IF(T4568="",0,IF(AND(G4568=T4568,COUNTIFS($S$6:S4568,S4568,$G$6:G4568,G4568,$D$6:D4568,"Vastgesteld")=1),1,0))</f>
        <v>0</v>
      </c>
      <c r="V4568" s="15">
        <f>IF(T4568="",0,IF(AND(G4568=T4568,COUNTIFS($S$6:S4568,S4568,$G$6:G4568,G4568,$D$6:D4568,"Vastgesteld")&gt;1),1,0))</f>
        <v>0</v>
      </c>
    </row>
    <row r="4569">
      <c r="S4569" s="15" t="str">
        <f>IF(J4569="","",J4569&amp;"|"&amp;E4569&amp;"|"&amp;F4569&amp;"|"&amp;I4569&amp;"|"&amp;O4569)</f>
        <v/>
      </c>
      <c r="T4569" s="15" t="str">
        <f>IF(OR(S4569="",D4569&lt;&gt;"Vastgesteld"),"",_xlfn.MAXIFS($G$6:$G$5005,$S$6:$S$5005,S4569,$D$6:$D$5005,"Vastgesteld"))</f>
        <v/>
      </c>
      <c r="U4569" s="15">
        <f>IF(T4569="",0,IF(AND(G4569=T4569,COUNTIFS($S$6:S4569,S4569,$G$6:G4569,G4569,$D$6:D4569,"Vastgesteld")=1),1,0))</f>
        <v>0</v>
      </c>
      <c r="V4569" s="15">
        <f>IF(T4569="",0,IF(AND(G4569=T4569,COUNTIFS($S$6:S4569,S4569,$G$6:G4569,G4569,$D$6:D4569,"Vastgesteld")&gt;1),1,0))</f>
        <v>0</v>
      </c>
    </row>
    <row r="4570">
      <c r="S4570" s="15" t="str">
        <f>IF(J4570="","",J4570&amp;"|"&amp;E4570&amp;"|"&amp;F4570&amp;"|"&amp;I4570&amp;"|"&amp;O4570)</f>
        <v/>
      </c>
      <c r="T4570" s="15" t="str">
        <f>IF(OR(S4570="",D4570&lt;&gt;"Vastgesteld"),"",_xlfn.MAXIFS($G$6:$G$5005,$S$6:$S$5005,S4570,$D$6:$D$5005,"Vastgesteld"))</f>
        <v/>
      </c>
      <c r="U4570" s="15">
        <f>IF(T4570="",0,IF(AND(G4570=T4570,COUNTIFS($S$6:S4570,S4570,$G$6:G4570,G4570,$D$6:D4570,"Vastgesteld")=1),1,0))</f>
        <v>0</v>
      </c>
      <c r="V4570" s="15">
        <f>IF(T4570="",0,IF(AND(G4570=T4570,COUNTIFS($S$6:S4570,S4570,$G$6:G4570,G4570,$D$6:D4570,"Vastgesteld")&gt;1),1,0))</f>
        <v>0</v>
      </c>
    </row>
    <row r="4571">
      <c r="S4571" s="15" t="str">
        <f>IF(J4571="","",J4571&amp;"|"&amp;E4571&amp;"|"&amp;F4571&amp;"|"&amp;I4571&amp;"|"&amp;O4571)</f>
        <v/>
      </c>
      <c r="T4571" s="15" t="str">
        <f>IF(OR(S4571="",D4571&lt;&gt;"Vastgesteld"),"",_xlfn.MAXIFS($G$6:$G$5005,$S$6:$S$5005,S4571,$D$6:$D$5005,"Vastgesteld"))</f>
        <v/>
      </c>
      <c r="U4571" s="15">
        <f>IF(T4571="",0,IF(AND(G4571=T4571,COUNTIFS($S$6:S4571,S4571,$G$6:G4571,G4571,$D$6:D4571,"Vastgesteld")=1),1,0))</f>
        <v>0</v>
      </c>
      <c r="V4571" s="15">
        <f>IF(T4571="",0,IF(AND(G4571=T4571,COUNTIFS($S$6:S4571,S4571,$G$6:G4571,G4571,$D$6:D4571,"Vastgesteld")&gt;1),1,0))</f>
        <v>0</v>
      </c>
    </row>
    <row r="4572">
      <c r="S4572" s="15" t="str">
        <f>IF(J4572="","",J4572&amp;"|"&amp;E4572&amp;"|"&amp;F4572&amp;"|"&amp;I4572&amp;"|"&amp;O4572)</f>
        <v/>
      </c>
      <c r="T4572" s="15" t="str">
        <f>IF(OR(S4572="",D4572&lt;&gt;"Vastgesteld"),"",_xlfn.MAXIFS($G$6:$G$5005,$S$6:$S$5005,S4572,$D$6:$D$5005,"Vastgesteld"))</f>
        <v/>
      </c>
      <c r="U4572" s="15">
        <f>IF(T4572="",0,IF(AND(G4572=T4572,COUNTIFS($S$6:S4572,S4572,$G$6:G4572,G4572,$D$6:D4572,"Vastgesteld")=1),1,0))</f>
        <v>0</v>
      </c>
      <c r="V4572" s="15">
        <f>IF(T4572="",0,IF(AND(G4572=T4572,COUNTIFS($S$6:S4572,S4572,$G$6:G4572,G4572,$D$6:D4572,"Vastgesteld")&gt;1),1,0))</f>
        <v>0</v>
      </c>
    </row>
    <row r="4573">
      <c r="S4573" s="15" t="str">
        <f>IF(J4573="","",J4573&amp;"|"&amp;E4573&amp;"|"&amp;F4573&amp;"|"&amp;I4573&amp;"|"&amp;O4573)</f>
        <v/>
      </c>
      <c r="T4573" s="15" t="str">
        <f>IF(OR(S4573="",D4573&lt;&gt;"Vastgesteld"),"",_xlfn.MAXIFS($G$6:$G$5005,$S$6:$S$5005,S4573,$D$6:$D$5005,"Vastgesteld"))</f>
        <v/>
      </c>
      <c r="U4573" s="15">
        <f>IF(T4573="",0,IF(AND(G4573=T4573,COUNTIFS($S$6:S4573,S4573,$G$6:G4573,G4573,$D$6:D4573,"Vastgesteld")=1),1,0))</f>
        <v>0</v>
      </c>
      <c r="V4573" s="15">
        <f>IF(T4573="",0,IF(AND(G4573=T4573,COUNTIFS($S$6:S4573,S4573,$G$6:G4573,G4573,$D$6:D4573,"Vastgesteld")&gt;1),1,0))</f>
        <v>0</v>
      </c>
    </row>
    <row r="4574">
      <c r="S4574" s="15" t="str">
        <f>IF(J4574="","",J4574&amp;"|"&amp;E4574&amp;"|"&amp;F4574&amp;"|"&amp;I4574&amp;"|"&amp;O4574)</f>
        <v/>
      </c>
      <c r="T4574" s="15" t="str">
        <f>IF(OR(S4574="",D4574&lt;&gt;"Vastgesteld"),"",_xlfn.MAXIFS($G$6:$G$5005,$S$6:$S$5005,S4574,$D$6:$D$5005,"Vastgesteld"))</f>
        <v/>
      </c>
      <c r="U4574" s="15">
        <f>IF(T4574="",0,IF(AND(G4574=T4574,COUNTIFS($S$6:S4574,S4574,$G$6:G4574,G4574,$D$6:D4574,"Vastgesteld")=1),1,0))</f>
        <v>0</v>
      </c>
      <c r="V4574" s="15">
        <f>IF(T4574="",0,IF(AND(G4574=T4574,COUNTIFS($S$6:S4574,S4574,$G$6:G4574,G4574,$D$6:D4574,"Vastgesteld")&gt;1),1,0))</f>
        <v>0</v>
      </c>
    </row>
    <row r="4575">
      <c r="S4575" s="15" t="str">
        <f>IF(J4575="","",J4575&amp;"|"&amp;E4575&amp;"|"&amp;F4575&amp;"|"&amp;I4575&amp;"|"&amp;O4575)</f>
        <v/>
      </c>
      <c r="T4575" s="15" t="str">
        <f>IF(OR(S4575="",D4575&lt;&gt;"Vastgesteld"),"",_xlfn.MAXIFS($G$6:$G$5005,$S$6:$S$5005,S4575,$D$6:$D$5005,"Vastgesteld"))</f>
        <v/>
      </c>
      <c r="U4575" s="15">
        <f>IF(T4575="",0,IF(AND(G4575=T4575,COUNTIFS($S$6:S4575,S4575,$G$6:G4575,G4575,$D$6:D4575,"Vastgesteld")=1),1,0))</f>
        <v>0</v>
      </c>
      <c r="V4575" s="15">
        <f>IF(T4575="",0,IF(AND(G4575=T4575,COUNTIFS($S$6:S4575,S4575,$G$6:G4575,G4575,$D$6:D4575,"Vastgesteld")&gt;1),1,0))</f>
        <v>0</v>
      </c>
    </row>
    <row r="4576">
      <c r="S4576" s="15" t="str">
        <f>IF(J4576="","",J4576&amp;"|"&amp;E4576&amp;"|"&amp;F4576&amp;"|"&amp;I4576&amp;"|"&amp;O4576)</f>
        <v/>
      </c>
      <c r="T4576" s="15" t="str">
        <f>IF(OR(S4576="",D4576&lt;&gt;"Vastgesteld"),"",_xlfn.MAXIFS($G$6:$G$5005,$S$6:$S$5005,S4576,$D$6:$D$5005,"Vastgesteld"))</f>
        <v/>
      </c>
      <c r="U4576" s="15">
        <f>IF(T4576="",0,IF(AND(G4576=T4576,COUNTIFS($S$6:S4576,S4576,$G$6:G4576,G4576,$D$6:D4576,"Vastgesteld")=1),1,0))</f>
        <v>0</v>
      </c>
      <c r="V4576" s="15">
        <f>IF(T4576="",0,IF(AND(G4576=T4576,COUNTIFS($S$6:S4576,S4576,$G$6:G4576,G4576,$D$6:D4576,"Vastgesteld")&gt;1),1,0))</f>
        <v>0</v>
      </c>
    </row>
    <row r="4577">
      <c r="S4577" s="15" t="str">
        <f>IF(J4577="","",J4577&amp;"|"&amp;E4577&amp;"|"&amp;F4577&amp;"|"&amp;I4577&amp;"|"&amp;O4577)</f>
        <v/>
      </c>
      <c r="T4577" s="15" t="str">
        <f>IF(OR(S4577="",D4577&lt;&gt;"Vastgesteld"),"",_xlfn.MAXIFS($G$6:$G$5005,$S$6:$S$5005,S4577,$D$6:$D$5005,"Vastgesteld"))</f>
        <v/>
      </c>
      <c r="U4577" s="15">
        <f>IF(T4577="",0,IF(AND(G4577=T4577,COUNTIFS($S$6:S4577,S4577,$G$6:G4577,G4577,$D$6:D4577,"Vastgesteld")=1),1,0))</f>
        <v>0</v>
      </c>
      <c r="V4577" s="15">
        <f>IF(T4577="",0,IF(AND(G4577=T4577,COUNTIFS($S$6:S4577,S4577,$G$6:G4577,G4577,$D$6:D4577,"Vastgesteld")&gt;1),1,0))</f>
        <v>0</v>
      </c>
    </row>
    <row r="4578">
      <c r="S4578" s="15" t="str">
        <f>IF(J4578="","",J4578&amp;"|"&amp;E4578&amp;"|"&amp;F4578&amp;"|"&amp;I4578&amp;"|"&amp;O4578)</f>
        <v/>
      </c>
      <c r="T4578" s="15" t="str">
        <f>IF(OR(S4578="",D4578&lt;&gt;"Vastgesteld"),"",_xlfn.MAXIFS($G$6:$G$5005,$S$6:$S$5005,S4578,$D$6:$D$5005,"Vastgesteld"))</f>
        <v/>
      </c>
      <c r="U4578" s="15">
        <f>IF(T4578="",0,IF(AND(G4578=T4578,COUNTIFS($S$6:S4578,S4578,$G$6:G4578,G4578,$D$6:D4578,"Vastgesteld")=1),1,0))</f>
        <v>0</v>
      </c>
      <c r="V4578" s="15">
        <f>IF(T4578="",0,IF(AND(G4578=T4578,COUNTIFS($S$6:S4578,S4578,$G$6:G4578,G4578,$D$6:D4578,"Vastgesteld")&gt;1),1,0))</f>
        <v>0</v>
      </c>
    </row>
    <row r="4579">
      <c r="S4579" s="15" t="str">
        <f>IF(J4579="","",J4579&amp;"|"&amp;E4579&amp;"|"&amp;F4579&amp;"|"&amp;I4579&amp;"|"&amp;O4579)</f>
        <v/>
      </c>
      <c r="T4579" s="15" t="str">
        <f>IF(OR(S4579="",D4579&lt;&gt;"Vastgesteld"),"",_xlfn.MAXIFS($G$6:$G$5005,$S$6:$S$5005,S4579,$D$6:$D$5005,"Vastgesteld"))</f>
        <v/>
      </c>
      <c r="U4579" s="15">
        <f>IF(T4579="",0,IF(AND(G4579=T4579,COUNTIFS($S$6:S4579,S4579,$G$6:G4579,G4579,$D$6:D4579,"Vastgesteld")=1),1,0))</f>
        <v>0</v>
      </c>
      <c r="V4579" s="15">
        <f>IF(T4579="",0,IF(AND(G4579=T4579,COUNTIFS($S$6:S4579,S4579,$G$6:G4579,G4579,$D$6:D4579,"Vastgesteld")&gt;1),1,0))</f>
        <v>0</v>
      </c>
    </row>
    <row r="4580">
      <c r="S4580" s="15" t="str">
        <f>IF(J4580="","",J4580&amp;"|"&amp;E4580&amp;"|"&amp;F4580&amp;"|"&amp;I4580&amp;"|"&amp;O4580)</f>
        <v/>
      </c>
      <c r="T4580" s="15" t="str">
        <f>IF(OR(S4580="",D4580&lt;&gt;"Vastgesteld"),"",_xlfn.MAXIFS($G$6:$G$5005,$S$6:$S$5005,S4580,$D$6:$D$5005,"Vastgesteld"))</f>
        <v/>
      </c>
      <c r="U4580" s="15">
        <f>IF(T4580="",0,IF(AND(G4580=T4580,COUNTIFS($S$6:S4580,S4580,$G$6:G4580,G4580,$D$6:D4580,"Vastgesteld")=1),1,0))</f>
        <v>0</v>
      </c>
      <c r="V4580" s="15">
        <f>IF(T4580="",0,IF(AND(G4580=T4580,COUNTIFS($S$6:S4580,S4580,$G$6:G4580,G4580,$D$6:D4580,"Vastgesteld")&gt;1),1,0))</f>
        <v>0</v>
      </c>
    </row>
    <row r="4581">
      <c r="S4581" s="15" t="str">
        <f>IF(J4581="","",J4581&amp;"|"&amp;E4581&amp;"|"&amp;F4581&amp;"|"&amp;I4581&amp;"|"&amp;O4581)</f>
        <v/>
      </c>
      <c r="T4581" s="15" t="str">
        <f>IF(OR(S4581="",D4581&lt;&gt;"Vastgesteld"),"",_xlfn.MAXIFS($G$6:$G$5005,$S$6:$S$5005,S4581,$D$6:$D$5005,"Vastgesteld"))</f>
        <v/>
      </c>
      <c r="U4581" s="15">
        <f>IF(T4581="",0,IF(AND(G4581=T4581,COUNTIFS($S$6:S4581,S4581,$G$6:G4581,G4581,$D$6:D4581,"Vastgesteld")=1),1,0))</f>
        <v>0</v>
      </c>
      <c r="V4581" s="15">
        <f>IF(T4581="",0,IF(AND(G4581=T4581,COUNTIFS($S$6:S4581,S4581,$G$6:G4581,G4581,$D$6:D4581,"Vastgesteld")&gt;1),1,0))</f>
        <v>0</v>
      </c>
    </row>
    <row r="4582">
      <c r="S4582" s="15" t="str">
        <f>IF(J4582="","",J4582&amp;"|"&amp;E4582&amp;"|"&amp;F4582&amp;"|"&amp;I4582&amp;"|"&amp;O4582)</f>
        <v/>
      </c>
      <c r="T4582" s="15" t="str">
        <f>IF(OR(S4582="",D4582&lt;&gt;"Vastgesteld"),"",_xlfn.MAXIFS($G$6:$G$5005,$S$6:$S$5005,S4582,$D$6:$D$5005,"Vastgesteld"))</f>
        <v/>
      </c>
      <c r="U4582" s="15">
        <f>IF(T4582="",0,IF(AND(G4582=T4582,COUNTIFS($S$6:S4582,S4582,$G$6:G4582,G4582,$D$6:D4582,"Vastgesteld")=1),1,0))</f>
        <v>0</v>
      </c>
      <c r="V4582" s="15">
        <f>IF(T4582="",0,IF(AND(G4582=T4582,COUNTIFS($S$6:S4582,S4582,$G$6:G4582,G4582,$D$6:D4582,"Vastgesteld")&gt;1),1,0))</f>
        <v>0</v>
      </c>
    </row>
    <row r="4583">
      <c r="S4583" s="15" t="str">
        <f>IF(J4583="","",J4583&amp;"|"&amp;E4583&amp;"|"&amp;F4583&amp;"|"&amp;I4583&amp;"|"&amp;O4583)</f>
        <v/>
      </c>
      <c r="T4583" s="15" t="str">
        <f>IF(OR(S4583="",D4583&lt;&gt;"Vastgesteld"),"",_xlfn.MAXIFS($G$6:$G$5005,$S$6:$S$5005,S4583,$D$6:$D$5005,"Vastgesteld"))</f>
        <v/>
      </c>
      <c r="U4583" s="15">
        <f>IF(T4583="",0,IF(AND(G4583=T4583,COUNTIFS($S$6:S4583,S4583,$G$6:G4583,G4583,$D$6:D4583,"Vastgesteld")=1),1,0))</f>
        <v>0</v>
      </c>
      <c r="V4583" s="15">
        <f>IF(T4583="",0,IF(AND(G4583=T4583,COUNTIFS($S$6:S4583,S4583,$G$6:G4583,G4583,$D$6:D4583,"Vastgesteld")&gt;1),1,0))</f>
        <v>0</v>
      </c>
    </row>
    <row r="4584">
      <c r="S4584" s="15" t="str">
        <f>IF(J4584="","",J4584&amp;"|"&amp;E4584&amp;"|"&amp;F4584&amp;"|"&amp;I4584&amp;"|"&amp;O4584)</f>
        <v/>
      </c>
      <c r="T4584" s="15" t="str">
        <f>IF(OR(S4584="",D4584&lt;&gt;"Vastgesteld"),"",_xlfn.MAXIFS($G$6:$G$5005,$S$6:$S$5005,S4584,$D$6:$D$5005,"Vastgesteld"))</f>
        <v/>
      </c>
      <c r="U4584" s="15">
        <f>IF(T4584="",0,IF(AND(G4584=T4584,COUNTIFS($S$6:S4584,S4584,$G$6:G4584,G4584,$D$6:D4584,"Vastgesteld")=1),1,0))</f>
        <v>0</v>
      </c>
      <c r="V4584" s="15">
        <f>IF(T4584="",0,IF(AND(G4584=T4584,COUNTIFS($S$6:S4584,S4584,$G$6:G4584,G4584,$D$6:D4584,"Vastgesteld")&gt;1),1,0))</f>
        <v>0</v>
      </c>
    </row>
    <row r="4585">
      <c r="S4585" s="15" t="str">
        <f>IF(J4585="","",J4585&amp;"|"&amp;E4585&amp;"|"&amp;F4585&amp;"|"&amp;I4585&amp;"|"&amp;O4585)</f>
        <v/>
      </c>
      <c r="T4585" s="15" t="str">
        <f>IF(OR(S4585="",D4585&lt;&gt;"Vastgesteld"),"",_xlfn.MAXIFS($G$6:$G$5005,$S$6:$S$5005,S4585,$D$6:$D$5005,"Vastgesteld"))</f>
        <v/>
      </c>
      <c r="U4585" s="15">
        <f>IF(T4585="",0,IF(AND(G4585=T4585,COUNTIFS($S$6:S4585,S4585,$G$6:G4585,G4585,$D$6:D4585,"Vastgesteld")=1),1,0))</f>
        <v>0</v>
      </c>
      <c r="V4585" s="15">
        <f>IF(T4585="",0,IF(AND(G4585=T4585,COUNTIFS($S$6:S4585,S4585,$G$6:G4585,G4585,$D$6:D4585,"Vastgesteld")&gt;1),1,0))</f>
        <v>0</v>
      </c>
    </row>
    <row r="4586">
      <c r="S4586" s="15" t="str">
        <f>IF(J4586="","",J4586&amp;"|"&amp;E4586&amp;"|"&amp;F4586&amp;"|"&amp;I4586&amp;"|"&amp;O4586)</f>
        <v/>
      </c>
      <c r="T4586" s="15" t="str">
        <f>IF(OR(S4586="",D4586&lt;&gt;"Vastgesteld"),"",_xlfn.MAXIFS($G$6:$G$5005,$S$6:$S$5005,S4586,$D$6:$D$5005,"Vastgesteld"))</f>
        <v/>
      </c>
      <c r="U4586" s="15">
        <f>IF(T4586="",0,IF(AND(G4586=T4586,COUNTIFS($S$6:S4586,S4586,$G$6:G4586,G4586,$D$6:D4586,"Vastgesteld")=1),1,0))</f>
        <v>0</v>
      </c>
      <c r="V4586" s="15">
        <f>IF(T4586="",0,IF(AND(G4586=T4586,COUNTIFS($S$6:S4586,S4586,$G$6:G4586,G4586,$D$6:D4586,"Vastgesteld")&gt;1),1,0))</f>
        <v>0</v>
      </c>
    </row>
    <row r="4587">
      <c r="S4587" s="15" t="str">
        <f>IF(J4587="","",J4587&amp;"|"&amp;E4587&amp;"|"&amp;F4587&amp;"|"&amp;I4587&amp;"|"&amp;O4587)</f>
        <v/>
      </c>
      <c r="T4587" s="15" t="str">
        <f>IF(OR(S4587="",D4587&lt;&gt;"Vastgesteld"),"",_xlfn.MAXIFS($G$6:$G$5005,$S$6:$S$5005,S4587,$D$6:$D$5005,"Vastgesteld"))</f>
        <v/>
      </c>
      <c r="U4587" s="15">
        <f>IF(T4587="",0,IF(AND(G4587=T4587,COUNTIFS($S$6:S4587,S4587,$G$6:G4587,G4587,$D$6:D4587,"Vastgesteld")=1),1,0))</f>
        <v>0</v>
      </c>
      <c r="V4587" s="15">
        <f>IF(T4587="",0,IF(AND(G4587=T4587,COUNTIFS($S$6:S4587,S4587,$G$6:G4587,G4587,$D$6:D4587,"Vastgesteld")&gt;1),1,0))</f>
        <v>0</v>
      </c>
    </row>
    <row r="4588">
      <c r="S4588" s="15" t="str">
        <f>IF(J4588="","",J4588&amp;"|"&amp;E4588&amp;"|"&amp;F4588&amp;"|"&amp;I4588&amp;"|"&amp;O4588)</f>
        <v/>
      </c>
      <c r="T4588" s="15" t="str">
        <f>IF(OR(S4588="",D4588&lt;&gt;"Vastgesteld"),"",_xlfn.MAXIFS($G$6:$G$5005,$S$6:$S$5005,S4588,$D$6:$D$5005,"Vastgesteld"))</f>
        <v/>
      </c>
      <c r="U4588" s="15">
        <f>IF(T4588="",0,IF(AND(G4588=T4588,COUNTIFS($S$6:S4588,S4588,$G$6:G4588,G4588,$D$6:D4588,"Vastgesteld")=1),1,0))</f>
        <v>0</v>
      </c>
      <c r="V4588" s="15">
        <f>IF(T4588="",0,IF(AND(G4588=T4588,COUNTIFS($S$6:S4588,S4588,$G$6:G4588,G4588,$D$6:D4588,"Vastgesteld")&gt;1),1,0))</f>
        <v>0</v>
      </c>
    </row>
    <row r="4589">
      <c r="S4589" s="15" t="str">
        <f>IF(J4589="","",J4589&amp;"|"&amp;E4589&amp;"|"&amp;F4589&amp;"|"&amp;I4589&amp;"|"&amp;O4589)</f>
        <v/>
      </c>
      <c r="T4589" s="15" t="str">
        <f>IF(OR(S4589="",D4589&lt;&gt;"Vastgesteld"),"",_xlfn.MAXIFS($G$6:$G$5005,$S$6:$S$5005,S4589,$D$6:$D$5005,"Vastgesteld"))</f>
        <v/>
      </c>
      <c r="U4589" s="15">
        <f>IF(T4589="",0,IF(AND(G4589=T4589,COUNTIFS($S$6:S4589,S4589,$G$6:G4589,G4589,$D$6:D4589,"Vastgesteld")=1),1,0))</f>
        <v>0</v>
      </c>
      <c r="V4589" s="15">
        <f>IF(T4589="",0,IF(AND(G4589=T4589,COUNTIFS($S$6:S4589,S4589,$G$6:G4589,G4589,$D$6:D4589,"Vastgesteld")&gt;1),1,0))</f>
        <v>0</v>
      </c>
    </row>
    <row r="4590">
      <c r="S4590" s="15" t="str">
        <f>IF(J4590="","",J4590&amp;"|"&amp;E4590&amp;"|"&amp;F4590&amp;"|"&amp;I4590&amp;"|"&amp;O4590)</f>
        <v/>
      </c>
      <c r="T4590" s="15" t="str">
        <f>IF(OR(S4590="",D4590&lt;&gt;"Vastgesteld"),"",_xlfn.MAXIFS($G$6:$G$5005,$S$6:$S$5005,S4590,$D$6:$D$5005,"Vastgesteld"))</f>
        <v/>
      </c>
      <c r="U4590" s="15">
        <f>IF(T4590="",0,IF(AND(G4590=T4590,COUNTIFS($S$6:S4590,S4590,$G$6:G4590,G4590,$D$6:D4590,"Vastgesteld")=1),1,0))</f>
        <v>0</v>
      </c>
      <c r="V4590" s="15">
        <f>IF(T4590="",0,IF(AND(G4590=T4590,COUNTIFS($S$6:S4590,S4590,$G$6:G4590,G4590,$D$6:D4590,"Vastgesteld")&gt;1),1,0))</f>
        <v>0</v>
      </c>
    </row>
    <row r="4591">
      <c r="S4591" s="15" t="str">
        <f>IF(J4591="","",J4591&amp;"|"&amp;E4591&amp;"|"&amp;F4591&amp;"|"&amp;I4591&amp;"|"&amp;O4591)</f>
        <v/>
      </c>
      <c r="T4591" s="15" t="str">
        <f>IF(OR(S4591="",D4591&lt;&gt;"Vastgesteld"),"",_xlfn.MAXIFS($G$6:$G$5005,$S$6:$S$5005,S4591,$D$6:$D$5005,"Vastgesteld"))</f>
        <v/>
      </c>
      <c r="U4591" s="15">
        <f>IF(T4591="",0,IF(AND(G4591=T4591,COUNTIFS($S$6:S4591,S4591,$G$6:G4591,G4591,$D$6:D4591,"Vastgesteld")=1),1,0))</f>
        <v>0</v>
      </c>
      <c r="V4591" s="15">
        <f>IF(T4591="",0,IF(AND(G4591=T4591,COUNTIFS($S$6:S4591,S4591,$G$6:G4591,G4591,$D$6:D4591,"Vastgesteld")&gt;1),1,0))</f>
        <v>0</v>
      </c>
    </row>
    <row r="4592">
      <c r="S4592" s="15" t="str">
        <f>IF(J4592="","",J4592&amp;"|"&amp;E4592&amp;"|"&amp;F4592&amp;"|"&amp;I4592&amp;"|"&amp;O4592)</f>
        <v/>
      </c>
      <c r="T4592" s="15" t="str">
        <f>IF(OR(S4592="",D4592&lt;&gt;"Vastgesteld"),"",_xlfn.MAXIFS($G$6:$G$5005,$S$6:$S$5005,S4592,$D$6:$D$5005,"Vastgesteld"))</f>
        <v/>
      </c>
      <c r="U4592" s="15">
        <f>IF(T4592="",0,IF(AND(G4592=T4592,COUNTIFS($S$6:S4592,S4592,$G$6:G4592,G4592,$D$6:D4592,"Vastgesteld")=1),1,0))</f>
        <v>0</v>
      </c>
      <c r="V4592" s="15">
        <f>IF(T4592="",0,IF(AND(G4592=T4592,COUNTIFS($S$6:S4592,S4592,$G$6:G4592,G4592,$D$6:D4592,"Vastgesteld")&gt;1),1,0))</f>
        <v>0</v>
      </c>
    </row>
    <row r="4593">
      <c r="S4593" s="15" t="str">
        <f>IF(J4593="","",J4593&amp;"|"&amp;E4593&amp;"|"&amp;F4593&amp;"|"&amp;I4593&amp;"|"&amp;O4593)</f>
        <v/>
      </c>
      <c r="T4593" s="15" t="str">
        <f>IF(OR(S4593="",D4593&lt;&gt;"Vastgesteld"),"",_xlfn.MAXIFS($G$6:$G$5005,$S$6:$S$5005,S4593,$D$6:$D$5005,"Vastgesteld"))</f>
        <v/>
      </c>
      <c r="U4593" s="15">
        <f>IF(T4593="",0,IF(AND(G4593=T4593,COUNTIFS($S$6:S4593,S4593,$G$6:G4593,G4593,$D$6:D4593,"Vastgesteld")=1),1,0))</f>
        <v>0</v>
      </c>
      <c r="V4593" s="15">
        <f>IF(T4593="",0,IF(AND(G4593=T4593,COUNTIFS($S$6:S4593,S4593,$G$6:G4593,G4593,$D$6:D4593,"Vastgesteld")&gt;1),1,0))</f>
        <v>0</v>
      </c>
    </row>
    <row r="4594">
      <c r="S4594" s="15" t="str">
        <f>IF(J4594="","",J4594&amp;"|"&amp;E4594&amp;"|"&amp;F4594&amp;"|"&amp;I4594&amp;"|"&amp;O4594)</f>
        <v/>
      </c>
      <c r="T4594" s="15" t="str">
        <f>IF(OR(S4594="",D4594&lt;&gt;"Vastgesteld"),"",_xlfn.MAXIFS($G$6:$G$5005,$S$6:$S$5005,S4594,$D$6:$D$5005,"Vastgesteld"))</f>
        <v/>
      </c>
      <c r="U4594" s="15">
        <f>IF(T4594="",0,IF(AND(G4594=T4594,COUNTIFS($S$6:S4594,S4594,$G$6:G4594,G4594,$D$6:D4594,"Vastgesteld")=1),1,0))</f>
        <v>0</v>
      </c>
      <c r="V4594" s="15">
        <f>IF(T4594="",0,IF(AND(G4594=T4594,COUNTIFS($S$6:S4594,S4594,$G$6:G4594,G4594,$D$6:D4594,"Vastgesteld")&gt;1),1,0))</f>
        <v>0</v>
      </c>
    </row>
    <row r="4595">
      <c r="S4595" s="15" t="str">
        <f>IF(J4595="","",J4595&amp;"|"&amp;E4595&amp;"|"&amp;F4595&amp;"|"&amp;I4595&amp;"|"&amp;O4595)</f>
        <v/>
      </c>
      <c r="T4595" s="15" t="str">
        <f>IF(OR(S4595="",D4595&lt;&gt;"Vastgesteld"),"",_xlfn.MAXIFS($G$6:$G$5005,$S$6:$S$5005,S4595,$D$6:$D$5005,"Vastgesteld"))</f>
        <v/>
      </c>
      <c r="U4595" s="15">
        <f>IF(T4595="",0,IF(AND(G4595=T4595,COUNTIFS($S$6:S4595,S4595,$G$6:G4595,G4595,$D$6:D4595,"Vastgesteld")=1),1,0))</f>
        <v>0</v>
      </c>
      <c r="V4595" s="15">
        <f>IF(T4595="",0,IF(AND(G4595=T4595,COUNTIFS($S$6:S4595,S4595,$G$6:G4595,G4595,$D$6:D4595,"Vastgesteld")&gt;1),1,0))</f>
        <v>0</v>
      </c>
    </row>
    <row r="4596">
      <c r="S4596" s="15" t="str">
        <f>IF(J4596="","",J4596&amp;"|"&amp;E4596&amp;"|"&amp;F4596&amp;"|"&amp;I4596&amp;"|"&amp;O4596)</f>
        <v/>
      </c>
      <c r="T4596" s="15" t="str">
        <f>IF(OR(S4596="",D4596&lt;&gt;"Vastgesteld"),"",_xlfn.MAXIFS($G$6:$G$5005,$S$6:$S$5005,S4596,$D$6:$D$5005,"Vastgesteld"))</f>
        <v/>
      </c>
      <c r="U4596" s="15">
        <f>IF(T4596="",0,IF(AND(G4596=T4596,COUNTIFS($S$6:S4596,S4596,$G$6:G4596,G4596,$D$6:D4596,"Vastgesteld")=1),1,0))</f>
        <v>0</v>
      </c>
      <c r="V4596" s="15">
        <f>IF(T4596="",0,IF(AND(G4596=T4596,COUNTIFS($S$6:S4596,S4596,$G$6:G4596,G4596,$D$6:D4596,"Vastgesteld")&gt;1),1,0))</f>
        <v>0</v>
      </c>
    </row>
    <row r="4597">
      <c r="S4597" s="15" t="str">
        <f>IF(J4597="","",J4597&amp;"|"&amp;E4597&amp;"|"&amp;F4597&amp;"|"&amp;I4597&amp;"|"&amp;O4597)</f>
        <v/>
      </c>
      <c r="T4597" s="15" t="str">
        <f>IF(OR(S4597="",D4597&lt;&gt;"Vastgesteld"),"",_xlfn.MAXIFS($G$6:$G$5005,$S$6:$S$5005,S4597,$D$6:$D$5005,"Vastgesteld"))</f>
        <v/>
      </c>
      <c r="U4597" s="15">
        <f>IF(T4597="",0,IF(AND(G4597=T4597,COUNTIFS($S$6:S4597,S4597,$G$6:G4597,G4597,$D$6:D4597,"Vastgesteld")=1),1,0))</f>
        <v>0</v>
      </c>
      <c r="V4597" s="15">
        <f>IF(T4597="",0,IF(AND(G4597=T4597,COUNTIFS($S$6:S4597,S4597,$G$6:G4597,G4597,$D$6:D4597,"Vastgesteld")&gt;1),1,0))</f>
        <v>0</v>
      </c>
    </row>
    <row r="4598">
      <c r="S4598" s="15" t="str">
        <f>IF(J4598="","",J4598&amp;"|"&amp;E4598&amp;"|"&amp;F4598&amp;"|"&amp;I4598&amp;"|"&amp;O4598)</f>
        <v/>
      </c>
      <c r="T4598" s="15" t="str">
        <f>IF(OR(S4598="",D4598&lt;&gt;"Vastgesteld"),"",_xlfn.MAXIFS($G$6:$G$5005,$S$6:$S$5005,S4598,$D$6:$D$5005,"Vastgesteld"))</f>
        <v/>
      </c>
      <c r="U4598" s="15">
        <f>IF(T4598="",0,IF(AND(G4598=T4598,COUNTIFS($S$6:S4598,S4598,$G$6:G4598,G4598,$D$6:D4598,"Vastgesteld")=1),1,0))</f>
        <v>0</v>
      </c>
      <c r="V4598" s="15">
        <f>IF(T4598="",0,IF(AND(G4598=T4598,COUNTIFS($S$6:S4598,S4598,$G$6:G4598,G4598,$D$6:D4598,"Vastgesteld")&gt;1),1,0))</f>
        <v>0</v>
      </c>
    </row>
    <row r="4599">
      <c r="S4599" s="15" t="str">
        <f>IF(J4599="","",J4599&amp;"|"&amp;E4599&amp;"|"&amp;F4599&amp;"|"&amp;I4599&amp;"|"&amp;O4599)</f>
        <v/>
      </c>
      <c r="T4599" s="15" t="str">
        <f>IF(OR(S4599="",D4599&lt;&gt;"Vastgesteld"),"",_xlfn.MAXIFS($G$6:$G$5005,$S$6:$S$5005,S4599,$D$6:$D$5005,"Vastgesteld"))</f>
        <v/>
      </c>
      <c r="U4599" s="15">
        <f>IF(T4599="",0,IF(AND(G4599=T4599,COUNTIFS($S$6:S4599,S4599,$G$6:G4599,G4599,$D$6:D4599,"Vastgesteld")=1),1,0))</f>
        <v>0</v>
      </c>
      <c r="V4599" s="15">
        <f>IF(T4599="",0,IF(AND(G4599=T4599,COUNTIFS($S$6:S4599,S4599,$G$6:G4599,G4599,$D$6:D4599,"Vastgesteld")&gt;1),1,0))</f>
        <v>0</v>
      </c>
    </row>
    <row r="4600">
      <c r="S4600" s="15" t="str">
        <f>IF(J4600="","",J4600&amp;"|"&amp;E4600&amp;"|"&amp;F4600&amp;"|"&amp;I4600&amp;"|"&amp;O4600)</f>
        <v/>
      </c>
      <c r="T4600" s="15" t="str">
        <f>IF(OR(S4600="",D4600&lt;&gt;"Vastgesteld"),"",_xlfn.MAXIFS($G$6:$G$5005,$S$6:$S$5005,S4600,$D$6:$D$5005,"Vastgesteld"))</f>
        <v/>
      </c>
      <c r="U4600" s="15">
        <f>IF(T4600="",0,IF(AND(G4600=T4600,COUNTIFS($S$6:S4600,S4600,$G$6:G4600,G4600,$D$6:D4600,"Vastgesteld")=1),1,0))</f>
        <v>0</v>
      </c>
      <c r="V4600" s="15">
        <f>IF(T4600="",0,IF(AND(G4600=T4600,COUNTIFS($S$6:S4600,S4600,$G$6:G4600,G4600,$D$6:D4600,"Vastgesteld")&gt;1),1,0))</f>
        <v>0</v>
      </c>
    </row>
    <row r="4601">
      <c r="S4601" s="15" t="str">
        <f>IF(J4601="","",J4601&amp;"|"&amp;E4601&amp;"|"&amp;F4601&amp;"|"&amp;I4601&amp;"|"&amp;O4601)</f>
        <v/>
      </c>
      <c r="T4601" s="15" t="str">
        <f>IF(OR(S4601="",D4601&lt;&gt;"Vastgesteld"),"",_xlfn.MAXIFS($G$6:$G$5005,$S$6:$S$5005,S4601,$D$6:$D$5005,"Vastgesteld"))</f>
        <v/>
      </c>
      <c r="U4601" s="15">
        <f>IF(T4601="",0,IF(AND(G4601=T4601,COUNTIFS($S$6:S4601,S4601,$G$6:G4601,G4601,$D$6:D4601,"Vastgesteld")=1),1,0))</f>
        <v>0</v>
      </c>
      <c r="V4601" s="15">
        <f>IF(T4601="",0,IF(AND(G4601=T4601,COUNTIFS($S$6:S4601,S4601,$G$6:G4601,G4601,$D$6:D4601,"Vastgesteld")&gt;1),1,0))</f>
        <v>0</v>
      </c>
    </row>
    <row r="4602">
      <c r="S4602" s="15" t="str">
        <f>IF(J4602="","",J4602&amp;"|"&amp;E4602&amp;"|"&amp;F4602&amp;"|"&amp;I4602&amp;"|"&amp;O4602)</f>
        <v/>
      </c>
      <c r="T4602" s="15" t="str">
        <f>IF(OR(S4602="",D4602&lt;&gt;"Vastgesteld"),"",_xlfn.MAXIFS($G$6:$G$5005,$S$6:$S$5005,S4602,$D$6:$D$5005,"Vastgesteld"))</f>
        <v/>
      </c>
      <c r="U4602" s="15">
        <f>IF(T4602="",0,IF(AND(G4602=T4602,COUNTIFS($S$6:S4602,S4602,$G$6:G4602,G4602,$D$6:D4602,"Vastgesteld")=1),1,0))</f>
        <v>0</v>
      </c>
      <c r="V4602" s="15">
        <f>IF(T4602="",0,IF(AND(G4602=T4602,COUNTIFS($S$6:S4602,S4602,$G$6:G4602,G4602,$D$6:D4602,"Vastgesteld")&gt;1),1,0))</f>
        <v>0</v>
      </c>
    </row>
    <row r="4603">
      <c r="S4603" s="15" t="str">
        <f>IF(J4603="","",J4603&amp;"|"&amp;E4603&amp;"|"&amp;F4603&amp;"|"&amp;I4603&amp;"|"&amp;O4603)</f>
        <v/>
      </c>
      <c r="T4603" s="15" t="str">
        <f>IF(OR(S4603="",D4603&lt;&gt;"Vastgesteld"),"",_xlfn.MAXIFS($G$6:$G$5005,$S$6:$S$5005,S4603,$D$6:$D$5005,"Vastgesteld"))</f>
        <v/>
      </c>
      <c r="U4603" s="15">
        <f>IF(T4603="",0,IF(AND(G4603=T4603,COUNTIFS($S$6:S4603,S4603,$G$6:G4603,G4603,$D$6:D4603,"Vastgesteld")=1),1,0))</f>
        <v>0</v>
      </c>
      <c r="V4603" s="15">
        <f>IF(T4603="",0,IF(AND(G4603=T4603,COUNTIFS($S$6:S4603,S4603,$G$6:G4603,G4603,$D$6:D4603,"Vastgesteld")&gt;1),1,0))</f>
        <v>0</v>
      </c>
    </row>
    <row r="4604">
      <c r="S4604" s="15" t="str">
        <f>IF(J4604="","",J4604&amp;"|"&amp;E4604&amp;"|"&amp;F4604&amp;"|"&amp;I4604&amp;"|"&amp;O4604)</f>
        <v/>
      </c>
      <c r="T4604" s="15" t="str">
        <f>IF(OR(S4604="",D4604&lt;&gt;"Vastgesteld"),"",_xlfn.MAXIFS($G$6:$G$5005,$S$6:$S$5005,S4604,$D$6:$D$5005,"Vastgesteld"))</f>
        <v/>
      </c>
      <c r="U4604" s="15">
        <f>IF(T4604="",0,IF(AND(G4604=T4604,COUNTIFS($S$6:S4604,S4604,$G$6:G4604,G4604,$D$6:D4604,"Vastgesteld")=1),1,0))</f>
        <v>0</v>
      </c>
      <c r="V4604" s="15">
        <f>IF(T4604="",0,IF(AND(G4604=T4604,COUNTIFS($S$6:S4604,S4604,$G$6:G4604,G4604,$D$6:D4604,"Vastgesteld")&gt;1),1,0))</f>
        <v>0</v>
      </c>
    </row>
    <row r="4605">
      <c r="S4605" s="15" t="str">
        <f>IF(J4605="","",J4605&amp;"|"&amp;E4605&amp;"|"&amp;F4605&amp;"|"&amp;I4605&amp;"|"&amp;O4605)</f>
        <v/>
      </c>
      <c r="T4605" s="15" t="str">
        <f>IF(OR(S4605="",D4605&lt;&gt;"Vastgesteld"),"",_xlfn.MAXIFS($G$6:$G$5005,$S$6:$S$5005,S4605,$D$6:$D$5005,"Vastgesteld"))</f>
        <v/>
      </c>
      <c r="U4605" s="15">
        <f>IF(T4605="",0,IF(AND(G4605=T4605,COUNTIFS($S$6:S4605,S4605,$G$6:G4605,G4605,$D$6:D4605,"Vastgesteld")=1),1,0))</f>
        <v>0</v>
      </c>
      <c r="V4605" s="15">
        <f>IF(T4605="",0,IF(AND(G4605=T4605,COUNTIFS($S$6:S4605,S4605,$G$6:G4605,G4605,$D$6:D4605,"Vastgesteld")&gt;1),1,0))</f>
        <v>0</v>
      </c>
    </row>
    <row r="4606">
      <c r="S4606" s="15" t="str">
        <f>IF(J4606="","",J4606&amp;"|"&amp;E4606&amp;"|"&amp;F4606&amp;"|"&amp;I4606&amp;"|"&amp;O4606)</f>
        <v/>
      </c>
      <c r="T4606" s="15" t="str">
        <f>IF(OR(S4606="",D4606&lt;&gt;"Vastgesteld"),"",_xlfn.MAXIFS($G$6:$G$5005,$S$6:$S$5005,S4606,$D$6:$D$5005,"Vastgesteld"))</f>
        <v/>
      </c>
      <c r="U4606" s="15">
        <f>IF(T4606="",0,IF(AND(G4606=T4606,COUNTIFS($S$6:S4606,S4606,$G$6:G4606,G4606,$D$6:D4606,"Vastgesteld")=1),1,0))</f>
        <v>0</v>
      </c>
      <c r="V4606" s="15">
        <f>IF(T4606="",0,IF(AND(G4606=T4606,COUNTIFS($S$6:S4606,S4606,$G$6:G4606,G4606,$D$6:D4606,"Vastgesteld")&gt;1),1,0))</f>
        <v>0</v>
      </c>
    </row>
    <row r="4607">
      <c r="S4607" s="15" t="str">
        <f>IF(J4607="","",J4607&amp;"|"&amp;E4607&amp;"|"&amp;F4607&amp;"|"&amp;I4607&amp;"|"&amp;O4607)</f>
        <v/>
      </c>
      <c r="T4607" s="15" t="str">
        <f>IF(OR(S4607="",D4607&lt;&gt;"Vastgesteld"),"",_xlfn.MAXIFS($G$6:$G$5005,$S$6:$S$5005,S4607,$D$6:$D$5005,"Vastgesteld"))</f>
        <v/>
      </c>
      <c r="U4607" s="15">
        <f>IF(T4607="",0,IF(AND(G4607=T4607,COUNTIFS($S$6:S4607,S4607,$G$6:G4607,G4607,$D$6:D4607,"Vastgesteld")=1),1,0))</f>
        <v>0</v>
      </c>
      <c r="V4607" s="15">
        <f>IF(T4607="",0,IF(AND(G4607=T4607,COUNTIFS($S$6:S4607,S4607,$G$6:G4607,G4607,$D$6:D4607,"Vastgesteld")&gt;1),1,0))</f>
        <v>0</v>
      </c>
    </row>
    <row r="4608">
      <c r="S4608" s="15" t="str">
        <f>IF(J4608="","",J4608&amp;"|"&amp;E4608&amp;"|"&amp;F4608&amp;"|"&amp;I4608&amp;"|"&amp;O4608)</f>
        <v/>
      </c>
      <c r="T4608" s="15" t="str">
        <f>IF(OR(S4608="",D4608&lt;&gt;"Vastgesteld"),"",_xlfn.MAXIFS($G$6:$G$5005,$S$6:$S$5005,S4608,$D$6:$D$5005,"Vastgesteld"))</f>
        <v/>
      </c>
      <c r="U4608" s="15">
        <f>IF(T4608="",0,IF(AND(G4608=T4608,COUNTIFS($S$6:S4608,S4608,$G$6:G4608,G4608,$D$6:D4608,"Vastgesteld")=1),1,0))</f>
        <v>0</v>
      </c>
      <c r="V4608" s="15">
        <f>IF(T4608="",0,IF(AND(G4608=T4608,COUNTIFS($S$6:S4608,S4608,$G$6:G4608,G4608,$D$6:D4608,"Vastgesteld")&gt;1),1,0))</f>
        <v>0</v>
      </c>
    </row>
    <row r="4609">
      <c r="S4609" s="15" t="str">
        <f>IF(J4609="","",J4609&amp;"|"&amp;E4609&amp;"|"&amp;F4609&amp;"|"&amp;I4609&amp;"|"&amp;O4609)</f>
        <v/>
      </c>
      <c r="T4609" s="15" t="str">
        <f>IF(OR(S4609="",D4609&lt;&gt;"Vastgesteld"),"",_xlfn.MAXIFS($G$6:$G$5005,$S$6:$S$5005,S4609,$D$6:$D$5005,"Vastgesteld"))</f>
        <v/>
      </c>
      <c r="U4609" s="15">
        <f>IF(T4609="",0,IF(AND(G4609=T4609,COUNTIFS($S$6:S4609,S4609,$G$6:G4609,G4609,$D$6:D4609,"Vastgesteld")=1),1,0))</f>
        <v>0</v>
      </c>
      <c r="V4609" s="15">
        <f>IF(T4609="",0,IF(AND(G4609=T4609,COUNTIFS($S$6:S4609,S4609,$G$6:G4609,G4609,$D$6:D4609,"Vastgesteld")&gt;1),1,0))</f>
        <v>0</v>
      </c>
    </row>
    <row r="4610">
      <c r="S4610" s="15" t="str">
        <f>IF(J4610="","",J4610&amp;"|"&amp;E4610&amp;"|"&amp;F4610&amp;"|"&amp;I4610&amp;"|"&amp;O4610)</f>
        <v/>
      </c>
      <c r="T4610" s="15" t="str">
        <f>IF(OR(S4610="",D4610&lt;&gt;"Vastgesteld"),"",_xlfn.MAXIFS($G$6:$G$5005,$S$6:$S$5005,S4610,$D$6:$D$5005,"Vastgesteld"))</f>
        <v/>
      </c>
      <c r="U4610" s="15">
        <f>IF(T4610="",0,IF(AND(G4610=T4610,COUNTIFS($S$6:S4610,S4610,$G$6:G4610,G4610,$D$6:D4610,"Vastgesteld")=1),1,0))</f>
        <v>0</v>
      </c>
      <c r="V4610" s="15">
        <f>IF(T4610="",0,IF(AND(G4610=T4610,COUNTIFS($S$6:S4610,S4610,$G$6:G4610,G4610,$D$6:D4610,"Vastgesteld")&gt;1),1,0))</f>
        <v>0</v>
      </c>
    </row>
    <row r="4611">
      <c r="S4611" s="15" t="str">
        <f>IF(J4611="","",J4611&amp;"|"&amp;E4611&amp;"|"&amp;F4611&amp;"|"&amp;I4611&amp;"|"&amp;O4611)</f>
        <v/>
      </c>
      <c r="T4611" s="15" t="str">
        <f>IF(OR(S4611="",D4611&lt;&gt;"Vastgesteld"),"",_xlfn.MAXIFS($G$6:$G$5005,$S$6:$S$5005,S4611,$D$6:$D$5005,"Vastgesteld"))</f>
        <v/>
      </c>
      <c r="U4611" s="15">
        <f>IF(T4611="",0,IF(AND(G4611=T4611,COUNTIFS($S$6:S4611,S4611,$G$6:G4611,G4611,$D$6:D4611,"Vastgesteld")=1),1,0))</f>
        <v>0</v>
      </c>
      <c r="V4611" s="15">
        <f>IF(T4611="",0,IF(AND(G4611=T4611,COUNTIFS($S$6:S4611,S4611,$G$6:G4611,G4611,$D$6:D4611,"Vastgesteld")&gt;1),1,0))</f>
        <v>0</v>
      </c>
    </row>
    <row r="4612">
      <c r="S4612" s="15" t="str">
        <f>IF(J4612="","",J4612&amp;"|"&amp;E4612&amp;"|"&amp;F4612&amp;"|"&amp;I4612&amp;"|"&amp;O4612)</f>
        <v/>
      </c>
      <c r="T4612" s="15" t="str">
        <f>IF(OR(S4612="",D4612&lt;&gt;"Vastgesteld"),"",_xlfn.MAXIFS($G$6:$G$5005,$S$6:$S$5005,S4612,$D$6:$D$5005,"Vastgesteld"))</f>
        <v/>
      </c>
      <c r="U4612" s="15">
        <f>IF(T4612="",0,IF(AND(G4612=T4612,COUNTIFS($S$6:S4612,S4612,$G$6:G4612,G4612,$D$6:D4612,"Vastgesteld")=1),1,0))</f>
        <v>0</v>
      </c>
      <c r="V4612" s="15">
        <f>IF(T4612="",0,IF(AND(G4612=T4612,COUNTIFS($S$6:S4612,S4612,$G$6:G4612,G4612,$D$6:D4612,"Vastgesteld")&gt;1),1,0))</f>
        <v>0</v>
      </c>
    </row>
    <row r="4613">
      <c r="S4613" s="15" t="str">
        <f>IF(J4613="","",J4613&amp;"|"&amp;E4613&amp;"|"&amp;F4613&amp;"|"&amp;I4613&amp;"|"&amp;O4613)</f>
        <v/>
      </c>
      <c r="T4613" s="15" t="str">
        <f>IF(OR(S4613="",D4613&lt;&gt;"Vastgesteld"),"",_xlfn.MAXIFS($G$6:$G$5005,$S$6:$S$5005,S4613,$D$6:$D$5005,"Vastgesteld"))</f>
        <v/>
      </c>
      <c r="U4613" s="15">
        <f>IF(T4613="",0,IF(AND(G4613=T4613,COUNTIFS($S$6:S4613,S4613,$G$6:G4613,G4613,$D$6:D4613,"Vastgesteld")=1),1,0))</f>
        <v>0</v>
      </c>
      <c r="V4613" s="15">
        <f>IF(T4613="",0,IF(AND(G4613=T4613,COUNTIFS($S$6:S4613,S4613,$G$6:G4613,G4613,$D$6:D4613,"Vastgesteld")&gt;1),1,0))</f>
        <v>0</v>
      </c>
    </row>
    <row r="4614">
      <c r="S4614" s="15" t="str">
        <f>IF(J4614="","",J4614&amp;"|"&amp;E4614&amp;"|"&amp;F4614&amp;"|"&amp;I4614&amp;"|"&amp;O4614)</f>
        <v/>
      </c>
      <c r="T4614" s="15" t="str">
        <f>IF(OR(S4614="",D4614&lt;&gt;"Vastgesteld"),"",_xlfn.MAXIFS($G$6:$G$5005,$S$6:$S$5005,S4614,$D$6:$D$5005,"Vastgesteld"))</f>
        <v/>
      </c>
      <c r="U4614" s="15">
        <f>IF(T4614="",0,IF(AND(G4614=T4614,COUNTIFS($S$6:S4614,S4614,$G$6:G4614,G4614,$D$6:D4614,"Vastgesteld")=1),1,0))</f>
        <v>0</v>
      </c>
      <c r="V4614" s="15">
        <f>IF(T4614="",0,IF(AND(G4614=T4614,COUNTIFS($S$6:S4614,S4614,$G$6:G4614,G4614,$D$6:D4614,"Vastgesteld")&gt;1),1,0))</f>
        <v>0</v>
      </c>
    </row>
    <row r="4615">
      <c r="S4615" s="15" t="str">
        <f>IF(J4615="","",J4615&amp;"|"&amp;E4615&amp;"|"&amp;F4615&amp;"|"&amp;I4615&amp;"|"&amp;O4615)</f>
        <v/>
      </c>
      <c r="T4615" s="15" t="str">
        <f>IF(OR(S4615="",D4615&lt;&gt;"Vastgesteld"),"",_xlfn.MAXIFS($G$6:$G$5005,$S$6:$S$5005,S4615,$D$6:$D$5005,"Vastgesteld"))</f>
        <v/>
      </c>
      <c r="U4615" s="15">
        <f>IF(T4615="",0,IF(AND(G4615=T4615,COUNTIFS($S$6:S4615,S4615,$G$6:G4615,G4615,$D$6:D4615,"Vastgesteld")=1),1,0))</f>
        <v>0</v>
      </c>
      <c r="V4615" s="15">
        <f>IF(T4615="",0,IF(AND(G4615=T4615,COUNTIFS($S$6:S4615,S4615,$G$6:G4615,G4615,$D$6:D4615,"Vastgesteld")&gt;1),1,0))</f>
        <v>0</v>
      </c>
    </row>
    <row r="4616">
      <c r="S4616" s="15" t="str">
        <f>IF(J4616="","",J4616&amp;"|"&amp;E4616&amp;"|"&amp;F4616&amp;"|"&amp;I4616&amp;"|"&amp;O4616)</f>
        <v/>
      </c>
      <c r="T4616" s="15" t="str">
        <f>IF(OR(S4616="",D4616&lt;&gt;"Vastgesteld"),"",_xlfn.MAXIFS($G$6:$G$5005,$S$6:$S$5005,S4616,$D$6:$D$5005,"Vastgesteld"))</f>
        <v/>
      </c>
      <c r="U4616" s="15">
        <f>IF(T4616="",0,IF(AND(G4616=T4616,COUNTIFS($S$6:S4616,S4616,$G$6:G4616,G4616,$D$6:D4616,"Vastgesteld")=1),1,0))</f>
        <v>0</v>
      </c>
      <c r="V4616" s="15">
        <f>IF(T4616="",0,IF(AND(G4616=T4616,COUNTIFS($S$6:S4616,S4616,$G$6:G4616,G4616,$D$6:D4616,"Vastgesteld")&gt;1),1,0))</f>
        <v>0</v>
      </c>
    </row>
    <row r="4617">
      <c r="S4617" s="15" t="str">
        <f>IF(J4617="","",J4617&amp;"|"&amp;E4617&amp;"|"&amp;F4617&amp;"|"&amp;I4617&amp;"|"&amp;O4617)</f>
        <v/>
      </c>
      <c r="T4617" s="15" t="str">
        <f>IF(OR(S4617="",D4617&lt;&gt;"Vastgesteld"),"",_xlfn.MAXIFS($G$6:$G$5005,$S$6:$S$5005,S4617,$D$6:$D$5005,"Vastgesteld"))</f>
        <v/>
      </c>
      <c r="U4617" s="15">
        <f>IF(T4617="",0,IF(AND(G4617=T4617,COUNTIFS($S$6:S4617,S4617,$G$6:G4617,G4617,$D$6:D4617,"Vastgesteld")=1),1,0))</f>
        <v>0</v>
      </c>
      <c r="V4617" s="15">
        <f>IF(T4617="",0,IF(AND(G4617=T4617,COUNTIFS($S$6:S4617,S4617,$G$6:G4617,G4617,$D$6:D4617,"Vastgesteld")&gt;1),1,0))</f>
        <v>0</v>
      </c>
    </row>
    <row r="4618">
      <c r="S4618" s="15" t="str">
        <f>IF(J4618="","",J4618&amp;"|"&amp;E4618&amp;"|"&amp;F4618&amp;"|"&amp;I4618&amp;"|"&amp;O4618)</f>
        <v/>
      </c>
      <c r="T4618" s="15" t="str">
        <f>IF(OR(S4618="",D4618&lt;&gt;"Vastgesteld"),"",_xlfn.MAXIFS($G$6:$G$5005,$S$6:$S$5005,S4618,$D$6:$D$5005,"Vastgesteld"))</f>
        <v/>
      </c>
      <c r="U4618" s="15">
        <f>IF(T4618="",0,IF(AND(G4618=T4618,COUNTIFS($S$6:S4618,S4618,$G$6:G4618,G4618,$D$6:D4618,"Vastgesteld")=1),1,0))</f>
        <v>0</v>
      </c>
      <c r="V4618" s="15">
        <f>IF(T4618="",0,IF(AND(G4618=T4618,COUNTIFS($S$6:S4618,S4618,$G$6:G4618,G4618,$D$6:D4618,"Vastgesteld")&gt;1),1,0))</f>
        <v>0</v>
      </c>
    </row>
    <row r="4619">
      <c r="S4619" s="15" t="str">
        <f>IF(J4619="","",J4619&amp;"|"&amp;E4619&amp;"|"&amp;F4619&amp;"|"&amp;I4619&amp;"|"&amp;O4619)</f>
        <v/>
      </c>
      <c r="T4619" s="15" t="str">
        <f>IF(OR(S4619="",D4619&lt;&gt;"Vastgesteld"),"",_xlfn.MAXIFS($G$6:$G$5005,$S$6:$S$5005,S4619,$D$6:$D$5005,"Vastgesteld"))</f>
        <v/>
      </c>
      <c r="U4619" s="15">
        <f>IF(T4619="",0,IF(AND(G4619=T4619,COUNTIFS($S$6:S4619,S4619,$G$6:G4619,G4619,$D$6:D4619,"Vastgesteld")=1),1,0))</f>
        <v>0</v>
      </c>
      <c r="V4619" s="15">
        <f>IF(T4619="",0,IF(AND(G4619=T4619,COUNTIFS($S$6:S4619,S4619,$G$6:G4619,G4619,$D$6:D4619,"Vastgesteld")&gt;1),1,0))</f>
        <v>0</v>
      </c>
    </row>
    <row r="4620">
      <c r="S4620" s="15" t="str">
        <f>IF(J4620="","",J4620&amp;"|"&amp;E4620&amp;"|"&amp;F4620&amp;"|"&amp;I4620&amp;"|"&amp;O4620)</f>
        <v/>
      </c>
      <c r="T4620" s="15" t="str">
        <f>IF(OR(S4620="",D4620&lt;&gt;"Vastgesteld"),"",_xlfn.MAXIFS($G$6:$G$5005,$S$6:$S$5005,S4620,$D$6:$D$5005,"Vastgesteld"))</f>
        <v/>
      </c>
      <c r="U4620" s="15">
        <f>IF(T4620="",0,IF(AND(G4620=T4620,COUNTIFS($S$6:S4620,S4620,$G$6:G4620,G4620,$D$6:D4620,"Vastgesteld")=1),1,0))</f>
        <v>0</v>
      </c>
      <c r="V4620" s="15">
        <f>IF(T4620="",0,IF(AND(G4620=T4620,COUNTIFS($S$6:S4620,S4620,$G$6:G4620,G4620,$D$6:D4620,"Vastgesteld")&gt;1),1,0))</f>
        <v>0</v>
      </c>
    </row>
    <row r="4621">
      <c r="S4621" s="15" t="str">
        <f>IF(J4621="","",J4621&amp;"|"&amp;E4621&amp;"|"&amp;F4621&amp;"|"&amp;I4621&amp;"|"&amp;O4621)</f>
        <v/>
      </c>
      <c r="T4621" s="15" t="str">
        <f>IF(OR(S4621="",D4621&lt;&gt;"Vastgesteld"),"",_xlfn.MAXIFS($G$6:$G$5005,$S$6:$S$5005,S4621,$D$6:$D$5005,"Vastgesteld"))</f>
        <v/>
      </c>
      <c r="U4621" s="15">
        <f>IF(T4621="",0,IF(AND(G4621=T4621,COUNTIFS($S$6:S4621,S4621,$G$6:G4621,G4621,$D$6:D4621,"Vastgesteld")=1),1,0))</f>
        <v>0</v>
      </c>
      <c r="V4621" s="15">
        <f>IF(T4621="",0,IF(AND(G4621=T4621,COUNTIFS($S$6:S4621,S4621,$G$6:G4621,G4621,$D$6:D4621,"Vastgesteld")&gt;1),1,0))</f>
        <v>0</v>
      </c>
    </row>
    <row r="4622">
      <c r="S4622" s="15" t="str">
        <f>IF(J4622="","",J4622&amp;"|"&amp;E4622&amp;"|"&amp;F4622&amp;"|"&amp;I4622&amp;"|"&amp;O4622)</f>
        <v/>
      </c>
      <c r="T4622" s="15" t="str">
        <f>IF(OR(S4622="",D4622&lt;&gt;"Vastgesteld"),"",_xlfn.MAXIFS($G$6:$G$5005,$S$6:$S$5005,S4622,$D$6:$D$5005,"Vastgesteld"))</f>
        <v/>
      </c>
      <c r="U4622" s="15">
        <f>IF(T4622="",0,IF(AND(G4622=T4622,COUNTIFS($S$6:S4622,S4622,$G$6:G4622,G4622,$D$6:D4622,"Vastgesteld")=1),1,0))</f>
        <v>0</v>
      </c>
      <c r="V4622" s="15">
        <f>IF(T4622="",0,IF(AND(G4622=T4622,COUNTIFS($S$6:S4622,S4622,$G$6:G4622,G4622,$D$6:D4622,"Vastgesteld")&gt;1),1,0))</f>
        <v>0</v>
      </c>
    </row>
    <row r="4623">
      <c r="S4623" s="15" t="str">
        <f>IF(J4623="","",J4623&amp;"|"&amp;E4623&amp;"|"&amp;F4623&amp;"|"&amp;I4623&amp;"|"&amp;O4623)</f>
        <v/>
      </c>
      <c r="T4623" s="15" t="str">
        <f>IF(OR(S4623="",D4623&lt;&gt;"Vastgesteld"),"",_xlfn.MAXIFS($G$6:$G$5005,$S$6:$S$5005,S4623,$D$6:$D$5005,"Vastgesteld"))</f>
        <v/>
      </c>
      <c r="U4623" s="15">
        <f>IF(T4623="",0,IF(AND(G4623=T4623,COUNTIFS($S$6:S4623,S4623,$G$6:G4623,G4623,$D$6:D4623,"Vastgesteld")=1),1,0))</f>
        <v>0</v>
      </c>
      <c r="V4623" s="15">
        <f>IF(T4623="",0,IF(AND(G4623=T4623,COUNTIFS($S$6:S4623,S4623,$G$6:G4623,G4623,$D$6:D4623,"Vastgesteld")&gt;1),1,0))</f>
        <v>0</v>
      </c>
    </row>
    <row r="4624">
      <c r="S4624" s="15" t="str">
        <f>IF(J4624="","",J4624&amp;"|"&amp;E4624&amp;"|"&amp;F4624&amp;"|"&amp;I4624&amp;"|"&amp;O4624)</f>
        <v/>
      </c>
      <c r="T4624" s="15" t="str">
        <f>IF(OR(S4624="",D4624&lt;&gt;"Vastgesteld"),"",_xlfn.MAXIFS($G$6:$G$5005,$S$6:$S$5005,S4624,$D$6:$D$5005,"Vastgesteld"))</f>
        <v/>
      </c>
      <c r="U4624" s="15">
        <f>IF(T4624="",0,IF(AND(G4624=T4624,COUNTIFS($S$6:S4624,S4624,$G$6:G4624,G4624,$D$6:D4624,"Vastgesteld")=1),1,0))</f>
        <v>0</v>
      </c>
      <c r="V4624" s="15">
        <f>IF(T4624="",0,IF(AND(G4624=T4624,COUNTIFS($S$6:S4624,S4624,$G$6:G4624,G4624,$D$6:D4624,"Vastgesteld")&gt;1),1,0))</f>
        <v>0</v>
      </c>
    </row>
    <row r="4625">
      <c r="S4625" s="15" t="str">
        <f>IF(J4625="","",J4625&amp;"|"&amp;E4625&amp;"|"&amp;F4625&amp;"|"&amp;I4625&amp;"|"&amp;O4625)</f>
        <v/>
      </c>
      <c r="T4625" s="15" t="str">
        <f>IF(OR(S4625="",D4625&lt;&gt;"Vastgesteld"),"",_xlfn.MAXIFS($G$6:$G$5005,$S$6:$S$5005,S4625,$D$6:$D$5005,"Vastgesteld"))</f>
        <v/>
      </c>
      <c r="U4625" s="15">
        <f>IF(T4625="",0,IF(AND(G4625=T4625,COUNTIFS($S$6:S4625,S4625,$G$6:G4625,G4625,$D$6:D4625,"Vastgesteld")=1),1,0))</f>
        <v>0</v>
      </c>
      <c r="V4625" s="15">
        <f>IF(T4625="",0,IF(AND(G4625=T4625,COUNTIFS($S$6:S4625,S4625,$G$6:G4625,G4625,$D$6:D4625,"Vastgesteld")&gt;1),1,0))</f>
        <v>0</v>
      </c>
    </row>
    <row r="4626">
      <c r="S4626" s="15" t="str">
        <f>IF(J4626="","",J4626&amp;"|"&amp;E4626&amp;"|"&amp;F4626&amp;"|"&amp;I4626&amp;"|"&amp;O4626)</f>
        <v/>
      </c>
      <c r="T4626" s="15" t="str">
        <f>IF(OR(S4626="",D4626&lt;&gt;"Vastgesteld"),"",_xlfn.MAXIFS($G$6:$G$5005,$S$6:$S$5005,S4626,$D$6:$D$5005,"Vastgesteld"))</f>
        <v/>
      </c>
      <c r="U4626" s="15">
        <f>IF(T4626="",0,IF(AND(G4626=T4626,COUNTIFS($S$6:S4626,S4626,$G$6:G4626,G4626,$D$6:D4626,"Vastgesteld")=1),1,0))</f>
        <v>0</v>
      </c>
      <c r="V4626" s="15">
        <f>IF(T4626="",0,IF(AND(G4626=T4626,COUNTIFS($S$6:S4626,S4626,$G$6:G4626,G4626,$D$6:D4626,"Vastgesteld")&gt;1),1,0))</f>
        <v>0</v>
      </c>
    </row>
    <row r="4627">
      <c r="S4627" s="15" t="str">
        <f>IF(J4627="","",J4627&amp;"|"&amp;E4627&amp;"|"&amp;F4627&amp;"|"&amp;I4627&amp;"|"&amp;O4627)</f>
        <v/>
      </c>
      <c r="T4627" s="15" t="str">
        <f>IF(OR(S4627="",D4627&lt;&gt;"Vastgesteld"),"",_xlfn.MAXIFS($G$6:$G$5005,$S$6:$S$5005,S4627,$D$6:$D$5005,"Vastgesteld"))</f>
        <v/>
      </c>
      <c r="U4627" s="15">
        <f>IF(T4627="",0,IF(AND(G4627=T4627,COUNTIFS($S$6:S4627,S4627,$G$6:G4627,G4627,$D$6:D4627,"Vastgesteld")=1),1,0))</f>
        <v>0</v>
      </c>
      <c r="V4627" s="15">
        <f>IF(T4627="",0,IF(AND(G4627=T4627,COUNTIFS($S$6:S4627,S4627,$G$6:G4627,G4627,$D$6:D4627,"Vastgesteld")&gt;1),1,0))</f>
        <v>0</v>
      </c>
    </row>
    <row r="4628">
      <c r="S4628" s="15" t="str">
        <f>IF(J4628="","",J4628&amp;"|"&amp;E4628&amp;"|"&amp;F4628&amp;"|"&amp;I4628&amp;"|"&amp;O4628)</f>
        <v/>
      </c>
      <c r="T4628" s="15" t="str">
        <f>IF(OR(S4628="",D4628&lt;&gt;"Vastgesteld"),"",_xlfn.MAXIFS($G$6:$G$5005,$S$6:$S$5005,S4628,$D$6:$D$5005,"Vastgesteld"))</f>
        <v/>
      </c>
      <c r="U4628" s="15">
        <f>IF(T4628="",0,IF(AND(G4628=T4628,COUNTIFS($S$6:S4628,S4628,$G$6:G4628,G4628,$D$6:D4628,"Vastgesteld")=1),1,0))</f>
        <v>0</v>
      </c>
      <c r="V4628" s="15">
        <f>IF(T4628="",0,IF(AND(G4628=T4628,COUNTIFS($S$6:S4628,S4628,$G$6:G4628,G4628,$D$6:D4628,"Vastgesteld")&gt;1),1,0))</f>
        <v>0</v>
      </c>
    </row>
    <row r="4629">
      <c r="S4629" s="15" t="str">
        <f>IF(J4629="","",J4629&amp;"|"&amp;E4629&amp;"|"&amp;F4629&amp;"|"&amp;I4629&amp;"|"&amp;O4629)</f>
        <v/>
      </c>
      <c r="T4629" s="15" t="str">
        <f>IF(OR(S4629="",D4629&lt;&gt;"Vastgesteld"),"",_xlfn.MAXIFS($G$6:$G$5005,$S$6:$S$5005,S4629,$D$6:$D$5005,"Vastgesteld"))</f>
        <v/>
      </c>
      <c r="U4629" s="15">
        <f>IF(T4629="",0,IF(AND(G4629=T4629,COUNTIFS($S$6:S4629,S4629,$G$6:G4629,G4629,$D$6:D4629,"Vastgesteld")=1),1,0))</f>
        <v>0</v>
      </c>
      <c r="V4629" s="15">
        <f>IF(T4629="",0,IF(AND(G4629=T4629,COUNTIFS($S$6:S4629,S4629,$G$6:G4629,G4629,$D$6:D4629,"Vastgesteld")&gt;1),1,0))</f>
        <v>0</v>
      </c>
    </row>
    <row r="4630">
      <c r="S4630" s="15" t="str">
        <f>IF(J4630="","",J4630&amp;"|"&amp;E4630&amp;"|"&amp;F4630&amp;"|"&amp;I4630&amp;"|"&amp;O4630)</f>
        <v/>
      </c>
      <c r="T4630" s="15" t="str">
        <f>IF(OR(S4630="",D4630&lt;&gt;"Vastgesteld"),"",_xlfn.MAXIFS($G$6:$G$5005,$S$6:$S$5005,S4630,$D$6:$D$5005,"Vastgesteld"))</f>
        <v/>
      </c>
      <c r="U4630" s="15">
        <f>IF(T4630="",0,IF(AND(G4630=T4630,COUNTIFS($S$6:S4630,S4630,$G$6:G4630,G4630,$D$6:D4630,"Vastgesteld")=1),1,0))</f>
        <v>0</v>
      </c>
      <c r="V4630" s="15">
        <f>IF(T4630="",0,IF(AND(G4630=T4630,COUNTIFS($S$6:S4630,S4630,$G$6:G4630,G4630,$D$6:D4630,"Vastgesteld")&gt;1),1,0))</f>
        <v>0</v>
      </c>
    </row>
    <row r="4631">
      <c r="S4631" s="15" t="str">
        <f>IF(J4631="","",J4631&amp;"|"&amp;E4631&amp;"|"&amp;F4631&amp;"|"&amp;I4631&amp;"|"&amp;O4631)</f>
        <v/>
      </c>
      <c r="T4631" s="15" t="str">
        <f>IF(OR(S4631="",D4631&lt;&gt;"Vastgesteld"),"",_xlfn.MAXIFS($G$6:$G$5005,$S$6:$S$5005,S4631,$D$6:$D$5005,"Vastgesteld"))</f>
        <v/>
      </c>
      <c r="U4631" s="15">
        <f>IF(T4631="",0,IF(AND(G4631=T4631,COUNTIFS($S$6:S4631,S4631,$G$6:G4631,G4631,$D$6:D4631,"Vastgesteld")=1),1,0))</f>
        <v>0</v>
      </c>
      <c r="V4631" s="15">
        <f>IF(T4631="",0,IF(AND(G4631=T4631,COUNTIFS($S$6:S4631,S4631,$G$6:G4631,G4631,$D$6:D4631,"Vastgesteld")&gt;1),1,0))</f>
        <v>0</v>
      </c>
    </row>
    <row r="4632">
      <c r="S4632" s="15" t="str">
        <f>IF(J4632="","",J4632&amp;"|"&amp;E4632&amp;"|"&amp;F4632&amp;"|"&amp;I4632&amp;"|"&amp;O4632)</f>
        <v/>
      </c>
      <c r="T4632" s="15" t="str">
        <f>IF(OR(S4632="",D4632&lt;&gt;"Vastgesteld"),"",_xlfn.MAXIFS($G$6:$G$5005,$S$6:$S$5005,S4632,$D$6:$D$5005,"Vastgesteld"))</f>
        <v/>
      </c>
      <c r="U4632" s="15">
        <f>IF(T4632="",0,IF(AND(G4632=T4632,COUNTIFS($S$6:S4632,S4632,$G$6:G4632,G4632,$D$6:D4632,"Vastgesteld")=1),1,0))</f>
        <v>0</v>
      </c>
      <c r="V4632" s="15">
        <f>IF(T4632="",0,IF(AND(G4632=T4632,COUNTIFS($S$6:S4632,S4632,$G$6:G4632,G4632,$D$6:D4632,"Vastgesteld")&gt;1),1,0))</f>
        <v>0</v>
      </c>
    </row>
    <row r="4633">
      <c r="S4633" s="15" t="str">
        <f>IF(J4633="","",J4633&amp;"|"&amp;E4633&amp;"|"&amp;F4633&amp;"|"&amp;I4633&amp;"|"&amp;O4633)</f>
        <v/>
      </c>
      <c r="T4633" s="15" t="str">
        <f>IF(OR(S4633="",D4633&lt;&gt;"Vastgesteld"),"",_xlfn.MAXIFS($G$6:$G$5005,$S$6:$S$5005,S4633,$D$6:$D$5005,"Vastgesteld"))</f>
        <v/>
      </c>
      <c r="U4633" s="15">
        <f>IF(T4633="",0,IF(AND(G4633=T4633,COUNTIFS($S$6:S4633,S4633,$G$6:G4633,G4633,$D$6:D4633,"Vastgesteld")=1),1,0))</f>
        <v>0</v>
      </c>
      <c r="V4633" s="15">
        <f>IF(T4633="",0,IF(AND(G4633=T4633,COUNTIFS($S$6:S4633,S4633,$G$6:G4633,G4633,$D$6:D4633,"Vastgesteld")&gt;1),1,0))</f>
        <v>0</v>
      </c>
    </row>
    <row r="4634">
      <c r="S4634" s="15" t="str">
        <f>IF(J4634="","",J4634&amp;"|"&amp;E4634&amp;"|"&amp;F4634&amp;"|"&amp;I4634&amp;"|"&amp;O4634)</f>
        <v/>
      </c>
      <c r="T4634" s="15" t="str">
        <f>IF(OR(S4634="",D4634&lt;&gt;"Vastgesteld"),"",_xlfn.MAXIFS($G$6:$G$5005,$S$6:$S$5005,S4634,$D$6:$D$5005,"Vastgesteld"))</f>
        <v/>
      </c>
      <c r="U4634" s="15">
        <f>IF(T4634="",0,IF(AND(G4634=T4634,COUNTIFS($S$6:S4634,S4634,$G$6:G4634,G4634,$D$6:D4634,"Vastgesteld")=1),1,0))</f>
        <v>0</v>
      </c>
      <c r="V4634" s="15">
        <f>IF(T4634="",0,IF(AND(G4634=T4634,COUNTIFS($S$6:S4634,S4634,$G$6:G4634,G4634,$D$6:D4634,"Vastgesteld")&gt;1),1,0))</f>
        <v>0</v>
      </c>
    </row>
    <row r="4635">
      <c r="S4635" s="15" t="str">
        <f>IF(J4635="","",J4635&amp;"|"&amp;E4635&amp;"|"&amp;F4635&amp;"|"&amp;I4635&amp;"|"&amp;O4635)</f>
        <v/>
      </c>
      <c r="T4635" s="15" t="str">
        <f>IF(OR(S4635="",D4635&lt;&gt;"Vastgesteld"),"",_xlfn.MAXIFS($G$6:$G$5005,$S$6:$S$5005,S4635,$D$6:$D$5005,"Vastgesteld"))</f>
        <v/>
      </c>
      <c r="U4635" s="15">
        <f>IF(T4635="",0,IF(AND(G4635=T4635,COUNTIFS($S$6:S4635,S4635,$G$6:G4635,G4635,$D$6:D4635,"Vastgesteld")=1),1,0))</f>
        <v>0</v>
      </c>
      <c r="V4635" s="15">
        <f>IF(T4635="",0,IF(AND(G4635=T4635,COUNTIFS($S$6:S4635,S4635,$G$6:G4635,G4635,$D$6:D4635,"Vastgesteld")&gt;1),1,0))</f>
        <v>0</v>
      </c>
    </row>
    <row r="4636">
      <c r="S4636" s="15" t="str">
        <f>IF(J4636="","",J4636&amp;"|"&amp;E4636&amp;"|"&amp;F4636&amp;"|"&amp;I4636&amp;"|"&amp;O4636)</f>
        <v/>
      </c>
      <c r="T4636" s="15" t="str">
        <f>IF(OR(S4636="",D4636&lt;&gt;"Vastgesteld"),"",_xlfn.MAXIFS($G$6:$G$5005,$S$6:$S$5005,S4636,$D$6:$D$5005,"Vastgesteld"))</f>
        <v/>
      </c>
      <c r="U4636" s="15">
        <f>IF(T4636="",0,IF(AND(G4636=T4636,COUNTIFS($S$6:S4636,S4636,$G$6:G4636,G4636,$D$6:D4636,"Vastgesteld")=1),1,0))</f>
        <v>0</v>
      </c>
      <c r="V4636" s="15">
        <f>IF(T4636="",0,IF(AND(G4636=T4636,COUNTIFS($S$6:S4636,S4636,$G$6:G4636,G4636,$D$6:D4636,"Vastgesteld")&gt;1),1,0))</f>
        <v>0</v>
      </c>
    </row>
    <row r="4637">
      <c r="S4637" s="15" t="str">
        <f>IF(J4637="","",J4637&amp;"|"&amp;E4637&amp;"|"&amp;F4637&amp;"|"&amp;I4637&amp;"|"&amp;O4637)</f>
        <v/>
      </c>
      <c r="T4637" s="15" t="str">
        <f>IF(OR(S4637="",D4637&lt;&gt;"Vastgesteld"),"",_xlfn.MAXIFS($G$6:$G$5005,$S$6:$S$5005,S4637,$D$6:$D$5005,"Vastgesteld"))</f>
        <v/>
      </c>
      <c r="U4637" s="15">
        <f>IF(T4637="",0,IF(AND(G4637=T4637,COUNTIFS($S$6:S4637,S4637,$G$6:G4637,G4637,$D$6:D4637,"Vastgesteld")=1),1,0))</f>
        <v>0</v>
      </c>
      <c r="V4637" s="15">
        <f>IF(T4637="",0,IF(AND(G4637=T4637,COUNTIFS($S$6:S4637,S4637,$G$6:G4637,G4637,$D$6:D4637,"Vastgesteld")&gt;1),1,0))</f>
        <v>0</v>
      </c>
    </row>
    <row r="4638">
      <c r="S4638" s="15" t="str">
        <f>IF(J4638="","",J4638&amp;"|"&amp;E4638&amp;"|"&amp;F4638&amp;"|"&amp;I4638&amp;"|"&amp;O4638)</f>
        <v/>
      </c>
      <c r="T4638" s="15" t="str">
        <f>IF(OR(S4638="",D4638&lt;&gt;"Vastgesteld"),"",_xlfn.MAXIFS($G$6:$G$5005,$S$6:$S$5005,S4638,$D$6:$D$5005,"Vastgesteld"))</f>
        <v/>
      </c>
      <c r="U4638" s="15">
        <f>IF(T4638="",0,IF(AND(G4638=T4638,COUNTIFS($S$6:S4638,S4638,$G$6:G4638,G4638,$D$6:D4638,"Vastgesteld")=1),1,0))</f>
        <v>0</v>
      </c>
      <c r="V4638" s="15">
        <f>IF(T4638="",0,IF(AND(G4638=T4638,COUNTIFS($S$6:S4638,S4638,$G$6:G4638,G4638,$D$6:D4638,"Vastgesteld")&gt;1),1,0))</f>
        <v>0</v>
      </c>
    </row>
    <row r="4639">
      <c r="S4639" s="15" t="str">
        <f>IF(J4639="","",J4639&amp;"|"&amp;E4639&amp;"|"&amp;F4639&amp;"|"&amp;I4639&amp;"|"&amp;O4639)</f>
        <v/>
      </c>
      <c r="T4639" s="15" t="str">
        <f>IF(OR(S4639="",D4639&lt;&gt;"Vastgesteld"),"",_xlfn.MAXIFS($G$6:$G$5005,$S$6:$S$5005,S4639,$D$6:$D$5005,"Vastgesteld"))</f>
        <v/>
      </c>
      <c r="U4639" s="15">
        <f>IF(T4639="",0,IF(AND(G4639=T4639,COUNTIFS($S$6:S4639,S4639,$G$6:G4639,G4639,$D$6:D4639,"Vastgesteld")=1),1,0))</f>
        <v>0</v>
      </c>
      <c r="V4639" s="15">
        <f>IF(T4639="",0,IF(AND(G4639=T4639,COUNTIFS($S$6:S4639,S4639,$G$6:G4639,G4639,$D$6:D4639,"Vastgesteld")&gt;1),1,0))</f>
        <v>0</v>
      </c>
    </row>
    <row r="4640">
      <c r="S4640" s="15" t="str">
        <f>IF(J4640="","",J4640&amp;"|"&amp;E4640&amp;"|"&amp;F4640&amp;"|"&amp;I4640&amp;"|"&amp;O4640)</f>
        <v/>
      </c>
      <c r="T4640" s="15" t="str">
        <f>IF(OR(S4640="",D4640&lt;&gt;"Vastgesteld"),"",_xlfn.MAXIFS($G$6:$G$5005,$S$6:$S$5005,S4640,$D$6:$D$5005,"Vastgesteld"))</f>
        <v/>
      </c>
      <c r="U4640" s="15">
        <f>IF(T4640="",0,IF(AND(G4640=T4640,COUNTIFS($S$6:S4640,S4640,$G$6:G4640,G4640,$D$6:D4640,"Vastgesteld")=1),1,0))</f>
        <v>0</v>
      </c>
      <c r="V4640" s="15">
        <f>IF(T4640="",0,IF(AND(G4640=T4640,COUNTIFS($S$6:S4640,S4640,$G$6:G4640,G4640,$D$6:D4640,"Vastgesteld")&gt;1),1,0))</f>
        <v>0</v>
      </c>
    </row>
    <row r="4641">
      <c r="S4641" s="15" t="str">
        <f>IF(J4641="","",J4641&amp;"|"&amp;E4641&amp;"|"&amp;F4641&amp;"|"&amp;I4641&amp;"|"&amp;O4641)</f>
        <v/>
      </c>
      <c r="T4641" s="15" t="str">
        <f>IF(OR(S4641="",D4641&lt;&gt;"Vastgesteld"),"",_xlfn.MAXIFS($G$6:$G$5005,$S$6:$S$5005,S4641,$D$6:$D$5005,"Vastgesteld"))</f>
        <v/>
      </c>
      <c r="U4641" s="15">
        <f>IF(T4641="",0,IF(AND(G4641=T4641,COUNTIFS($S$6:S4641,S4641,$G$6:G4641,G4641,$D$6:D4641,"Vastgesteld")=1),1,0))</f>
        <v>0</v>
      </c>
      <c r="V4641" s="15">
        <f>IF(T4641="",0,IF(AND(G4641=T4641,COUNTIFS($S$6:S4641,S4641,$G$6:G4641,G4641,$D$6:D4641,"Vastgesteld")&gt;1),1,0))</f>
        <v>0</v>
      </c>
    </row>
    <row r="4642">
      <c r="S4642" s="15" t="str">
        <f>IF(J4642="","",J4642&amp;"|"&amp;E4642&amp;"|"&amp;F4642&amp;"|"&amp;I4642&amp;"|"&amp;O4642)</f>
        <v/>
      </c>
      <c r="T4642" s="15" t="str">
        <f>IF(OR(S4642="",D4642&lt;&gt;"Vastgesteld"),"",_xlfn.MAXIFS($G$6:$G$5005,$S$6:$S$5005,S4642,$D$6:$D$5005,"Vastgesteld"))</f>
        <v/>
      </c>
      <c r="U4642" s="15">
        <f>IF(T4642="",0,IF(AND(G4642=T4642,COUNTIFS($S$6:S4642,S4642,$G$6:G4642,G4642,$D$6:D4642,"Vastgesteld")=1),1,0))</f>
        <v>0</v>
      </c>
      <c r="V4642" s="15">
        <f>IF(T4642="",0,IF(AND(G4642=T4642,COUNTIFS($S$6:S4642,S4642,$G$6:G4642,G4642,$D$6:D4642,"Vastgesteld")&gt;1),1,0))</f>
        <v>0</v>
      </c>
    </row>
    <row r="4643">
      <c r="S4643" s="15" t="str">
        <f>IF(J4643="","",J4643&amp;"|"&amp;E4643&amp;"|"&amp;F4643&amp;"|"&amp;I4643&amp;"|"&amp;O4643)</f>
        <v/>
      </c>
      <c r="T4643" s="15" t="str">
        <f>IF(OR(S4643="",D4643&lt;&gt;"Vastgesteld"),"",_xlfn.MAXIFS($G$6:$G$5005,$S$6:$S$5005,S4643,$D$6:$D$5005,"Vastgesteld"))</f>
        <v/>
      </c>
      <c r="U4643" s="15">
        <f>IF(T4643="",0,IF(AND(G4643=T4643,COUNTIFS($S$6:S4643,S4643,$G$6:G4643,G4643,$D$6:D4643,"Vastgesteld")=1),1,0))</f>
        <v>0</v>
      </c>
      <c r="V4643" s="15">
        <f>IF(T4643="",0,IF(AND(G4643=T4643,COUNTIFS($S$6:S4643,S4643,$G$6:G4643,G4643,$D$6:D4643,"Vastgesteld")&gt;1),1,0))</f>
        <v>0</v>
      </c>
    </row>
    <row r="4644">
      <c r="S4644" s="15" t="str">
        <f>IF(J4644="","",J4644&amp;"|"&amp;E4644&amp;"|"&amp;F4644&amp;"|"&amp;I4644&amp;"|"&amp;O4644)</f>
        <v/>
      </c>
      <c r="T4644" s="15" t="str">
        <f>IF(OR(S4644="",D4644&lt;&gt;"Vastgesteld"),"",_xlfn.MAXIFS($G$6:$G$5005,$S$6:$S$5005,S4644,$D$6:$D$5005,"Vastgesteld"))</f>
        <v/>
      </c>
      <c r="U4644" s="15">
        <f>IF(T4644="",0,IF(AND(G4644=T4644,COUNTIFS($S$6:S4644,S4644,$G$6:G4644,G4644,$D$6:D4644,"Vastgesteld")=1),1,0))</f>
        <v>0</v>
      </c>
      <c r="V4644" s="15">
        <f>IF(T4644="",0,IF(AND(G4644=T4644,COUNTIFS($S$6:S4644,S4644,$G$6:G4644,G4644,$D$6:D4644,"Vastgesteld")&gt;1),1,0))</f>
        <v>0</v>
      </c>
    </row>
    <row r="4645">
      <c r="S4645" s="15" t="str">
        <f>IF(J4645="","",J4645&amp;"|"&amp;E4645&amp;"|"&amp;F4645&amp;"|"&amp;I4645&amp;"|"&amp;O4645)</f>
        <v/>
      </c>
      <c r="T4645" s="15" t="str">
        <f>IF(OR(S4645="",D4645&lt;&gt;"Vastgesteld"),"",_xlfn.MAXIFS($G$6:$G$5005,$S$6:$S$5005,S4645,$D$6:$D$5005,"Vastgesteld"))</f>
        <v/>
      </c>
      <c r="U4645" s="15">
        <f>IF(T4645="",0,IF(AND(G4645=T4645,COUNTIFS($S$6:S4645,S4645,$G$6:G4645,G4645,$D$6:D4645,"Vastgesteld")=1),1,0))</f>
        <v>0</v>
      </c>
      <c r="V4645" s="15">
        <f>IF(T4645="",0,IF(AND(G4645=T4645,COUNTIFS($S$6:S4645,S4645,$G$6:G4645,G4645,$D$6:D4645,"Vastgesteld")&gt;1),1,0))</f>
        <v>0</v>
      </c>
    </row>
    <row r="4646">
      <c r="S4646" s="15" t="str">
        <f>IF(J4646="","",J4646&amp;"|"&amp;E4646&amp;"|"&amp;F4646&amp;"|"&amp;I4646&amp;"|"&amp;O4646)</f>
        <v/>
      </c>
      <c r="T4646" s="15" t="str">
        <f>IF(OR(S4646="",D4646&lt;&gt;"Vastgesteld"),"",_xlfn.MAXIFS($G$6:$G$5005,$S$6:$S$5005,S4646,$D$6:$D$5005,"Vastgesteld"))</f>
        <v/>
      </c>
      <c r="U4646" s="15">
        <f>IF(T4646="",0,IF(AND(G4646=T4646,COUNTIFS($S$6:S4646,S4646,$G$6:G4646,G4646,$D$6:D4646,"Vastgesteld")=1),1,0))</f>
        <v>0</v>
      </c>
      <c r="V4646" s="15">
        <f>IF(T4646="",0,IF(AND(G4646=T4646,COUNTIFS($S$6:S4646,S4646,$G$6:G4646,G4646,$D$6:D4646,"Vastgesteld")&gt;1),1,0))</f>
        <v>0</v>
      </c>
    </row>
    <row r="4647">
      <c r="S4647" s="15" t="str">
        <f>IF(J4647="","",J4647&amp;"|"&amp;E4647&amp;"|"&amp;F4647&amp;"|"&amp;I4647&amp;"|"&amp;O4647)</f>
        <v/>
      </c>
      <c r="T4647" s="15" t="str">
        <f>IF(OR(S4647="",D4647&lt;&gt;"Vastgesteld"),"",_xlfn.MAXIFS($G$6:$G$5005,$S$6:$S$5005,S4647,$D$6:$D$5005,"Vastgesteld"))</f>
        <v/>
      </c>
      <c r="U4647" s="15">
        <f>IF(T4647="",0,IF(AND(G4647=T4647,COUNTIFS($S$6:S4647,S4647,$G$6:G4647,G4647,$D$6:D4647,"Vastgesteld")=1),1,0))</f>
        <v>0</v>
      </c>
      <c r="V4647" s="15">
        <f>IF(T4647="",0,IF(AND(G4647=T4647,COUNTIFS($S$6:S4647,S4647,$G$6:G4647,G4647,$D$6:D4647,"Vastgesteld")&gt;1),1,0))</f>
        <v>0</v>
      </c>
    </row>
    <row r="4648">
      <c r="S4648" s="15" t="str">
        <f>IF(J4648="","",J4648&amp;"|"&amp;E4648&amp;"|"&amp;F4648&amp;"|"&amp;I4648&amp;"|"&amp;O4648)</f>
        <v/>
      </c>
      <c r="T4648" s="15" t="str">
        <f>IF(OR(S4648="",D4648&lt;&gt;"Vastgesteld"),"",_xlfn.MAXIFS($G$6:$G$5005,$S$6:$S$5005,S4648,$D$6:$D$5005,"Vastgesteld"))</f>
        <v/>
      </c>
      <c r="U4648" s="15">
        <f>IF(T4648="",0,IF(AND(G4648=T4648,COUNTIFS($S$6:S4648,S4648,$G$6:G4648,G4648,$D$6:D4648,"Vastgesteld")=1),1,0))</f>
        <v>0</v>
      </c>
      <c r="V4648" s="15">
        <f>IF(T4648="",0,IF(AND(G4648=T4648,COUNTIFS($S$6:S4648,S4648,$G$6:G4648,G4648,$D$6:D4648,"Vastgesteld")&gt;1),1,0))</f>
        <v>0</v>
      </c>
    </row>
    <row r="4649">
      <c r="S4649" s="15" t="str">
        <f>IF(J4649="","",J4649&amp;"|"&amp;E4649&amp;"|"&amp;F4649&amp;"|"&amp;I4649&amp;"|"&amp;O4649)</f>
        <v/>
      </c>
      <c r="T4649" s="15" t="str">
        <f>IF(OR(S4649="",D4649&lt;&gt;"Vastgesteld"),"",_xlfn.MAXIFS($G$6:$G$5005,$S$6:$S$5005,S4649,$D$6:$D$5005,"Vastgesteld"))</f>
        <v/>
      </c>
      <c r="U4649" s="15">
        <f>IF(T4649="",0,IF(AND(G4649=T4649,COUNTIFS($S$6:S4649,S4649,$G$6:G4649,G4649,$D$6:D4649,"Vastgesteld")=1),1,0))</f>
        <v>0</v>
      </c>
      <c r="V4649" s="15">
        <f>IF(T4649="",0,IF(AND(G4649=T4649,COUNTIFS($S$6:S4649,S4649,$G$6:G4649,G4649,$D$6:D4649,"Vastgesteld")&gt;1),1,0))</f>
        <v>0</v>
      </c>
    </row>
    <row r="4650">
      <c r="S4650" s="15" t="str">
        <f>IF(J4650="","",J4650&amp;"|"&amp;E4650&amp;"|"&amp;F4650&amp;"|"&amp;I4650&amp;"|"&amp;O4650)</f>
        <v/>
      </c>
      <c r="T4650" s="15" t="str">
        <f>IF(OR(S4650="",D4650&lt;&gt;"Vastgesteld"),"",_xlfn.MAXIFS($G$6:$G$5005,$S$6:$S$5005,S4650,$D$6:$D$5005,"Vastgesteld"))</f>
        <v/>
      </c>
      <c r="U4650" s="15">
        <f>IF(T4650="",0,IF(AND(G4650=T4650,COUNTIFS($S$6:S4650,S4650,$G$6:G4650,G4650,$D$6:D4650,"Vastgesteld")=1),1,0))</f>
        <v>0</v>
      </c>
      <c r="V4650" s="15">
        <f>IF(T4650="",0,IF(AND(G4650=T4650,COUNTIFS($S$6:S4650,S4650,$G$6:G4650,G4650,$D$6:D4650,"Vastgesteld")&gt;1),1,0))</f>
        <v>0</v>
      </c>
    </row>
    <row r="4651">
      <c r="S4651" s="15" t="str">
        <f>IF(J4651="","",J4651&amp;"|"&amp;E4651&amp;"|"&amp;F4651&amp;"|"&amp;I4651&amp;"|"&amp;O4651)</f>
        <v/>
      </c>
      <c r="T4651" s="15" t="str">
        <f>IF(OR(S4651="",D4651&lt;&gt;"Vastgesteld"),"",_xlfn.MAXIFS($G$6:$G$5005,$S$6:$S$5005,S4651,$D$6:$D$5005,"Vastgesteld"))</f>
        <v/>
      </c>
      <c r="U4651" s="15">
        <f>IF(T4651="",0,IF(AND(G4651=T4651,COUNTIFS($S$6:S4651,S4651,$G$6:G4651,G4651,$D$6:D4651,"Vastgesteld")=1),1,0))</f>
        <v>0</v>
      </c>
      <c r="V4651" s="15">
        <f>IF(T4651="",0,IF(AND(G4651=T4651,COUNTIFS($S$6:S4651,S4651,$G$6:G4651,G4651,$D$6:D4651,"Vastgesteld")&gt;1),1,0))</f>
        <v>0</v>
      </c>
    </row>
    <row r="4652">
      <c r="S4652" s="15" t="str">
        <f>IF(J4652="","",J4652&amp;"|"&amp;E4652&amp;"|"&amp;F4652&amp;"|"&amp;I4652&amp;"|"&amp;O4652)</f>
        <v/>
      </c>
      <c r="T4652" s="15" t="str">
        <f>IF(OR(S4652="",D4652&lt;&gt;"Vastgesteld"),"",_xlfn.MAXIFS($G$6:$G$5005,$S$6:$S$5005,S4652,$D$6:$D$5005,"Vastgesteld"))</f>
        <v/>
      </c>
      <c r="U4652" s="15">
        <f>IF(T4652="",0,IF(AND(G4652=T4652,COUNTIFS($S$6:S4652,S4652,$G$6:G4652,G4652,$D$6:D4652,"Vastgesteld")=1),1,0))</f>
        <v>0</v>
      </c>
      <c r="V4652" s="15">
        <f>IF(T4652="",0,IF(AND(G4652=T4652,COUNTIFS($S$6:S4652,S4652,$G$6:G4652,G4652,$D$6:D4652,"Vastgesteld")&gt;1),1,0))</f>
        <v>0</v>
      </c>
    </row>
    <row r="4653">
      <c r="S4653" s="15" t="str">
        <f>IF(J4653="","",J4653&amp;"|"&amp;E4653&amp;"|"&amp;F4653&amp;"|"&amp;I4653&amp;"|"&amp;O4653)</f>
        <v/>
      </c>
      <c r="T4653" s="15" t="str">
        <f>IF(OR(S4653="",D4653&lt;&gt;"Vastgesteld"),"",_xlfn.MAXIFS($G$6:$G$5005,$S$6:$S$5005,S4653,$D$6:$D$5005,"Vastgesteld"))</f>
        <v/>
      </c>
      <c r="U4653" s="15">
        <f>IF(T4653="",0,IF(AND(G4653=T4653,COUNTIFS($S$6:S4653,S4653,$G$6:G4653,G4653,$D$6:D4653,"Vastgesteld")=1),1,0))</f>
        <v>0</v>
      </c>
      <c r="V4653" s="15">
        <f>IF(T4653="",0,IF(AND(G4653=T4653,COUNTIFS($S$6:S4653,S4653,$G$6:G4653,G4653,$D$6:D4653,"Vastgesteld")&gt;1),1,0))</f>
        <v>0</v>
      </c>
    </row>
    <row r="4654">
      <c r="S4654" s="15" t="str">
        <f>IF(J4654="","",J4654&amp;"|"&amp;E4654&amp;"|"&amp;F4654&amp;"|"&amp;I4654&amp;"|"&amp;O4654)</f>
        <v/>
      </c>
      <c r="T4654" s="15" t="str">
        <f>IF(OR(S4654="",D4654&lt;&gt;"Vastgesteld"),"",_xlfn.MAXIFS($G$6:$G$5005,$S$6:$S$5005,S4654,$D$6:$D$5005,"Vastgesteld"))</f>
        <v/>
      </c>
      <c r="U4654" s="15">
        <f>IF(T4654="",0,IF(AND(G4654=T4654,COUNTIFS($S$6:S4654,S4654,$G$6:G4654,G4654,$D$6:D4654,"Vastgesteld")=1),1,0))</f>
        <v>0</v>
      </c>
      <c r="V4654" s="15">
        <f>IF(T4654="",0,IF(AND(G4654=T4654,COUNTIFS($S$6:S4654,S4654,$G$6:G4654,G4654,$D$6:D4654,"Vastgesteld")&gt;1),1,0))</f>
        <v>0</v>
      </c>
    </row>
    <row r="4655">
      <c r="S4655" s="15" t="str">
        <f>IF(J4655="","",J4655&amp;"|"&amp;E4655&amp;"|"&amp;F4655&amp;"|"&amp;I4655&amp;"|"&amp;O4655)</f>
        <v/>
      </c>
      <c r="T4655" s="15" t="str">
        <f>IF(OR(S4655="",D4655&lt;&gt;"Vastgesteld"),"",_xlfn.MAXIFS($G$6:$G$5005,$S$6:$S$5005,S4655,$D$6:$D$5005,"Vastgesteld"))</f>
        <v/>
      </c>
      <c r="U4655" s="15">
        <f>IF(T4655="",0,IF(AND(G4655=T4655,COUNTIFS($S$6:S4655,S4655,$G$6:G4655,G4655,$D$6:D4655,"Vastgesteld")=1),1,0))</f>
        <v>0</v>
      </c>
      <c r="V4655" s="15">
        <f>IF(T4655="",0,IF(AND(G4655=T4655,COUNTIFS($S$6:S4655,S4655,$G$6:G4655,G4655,$D$6:D4655,"Vastgesteld")&gt;1),1,0))</f>
        <v>0</v>
      </c>
    </row>
    <row r="4656">
      <c r="S4656" s="15" t="str">
        <f>IF(J4656="","",J4656&amp;"|"&amp;E4656&amp;"|"&amp;F4656&amp;"|"&amp;I4656&amp;"|"&amp;O4656)</f>
        <v/>
      </c>
      <c r="T4656" s="15" t="str">
        <f>IF(OR(S4656="",D4656&lt;&gt;"Vastgesteld"),"",_xlfn.MAXIFS($G$6:$G$5005,$S$6:$S$5005,S4656,$D$6:$D$5005,"Vastgesteld"))</f>
        <v/>
      </c>
      <c r="U4656" s="15">
        <f>IF(T4656="",0,IF(AND(G4656=T4656,COUNTIFS($S$6:S4656,S4656,$G$6:G4656,G4656,$D$6:D4656,"Vastgesteld")=1),1,0))</f>
        <v>0</v>
      </c>
      <c r="V4656" s="15">
        <f>IF(T4656="",0,IF(AND(G4656=T4656,COUNTIFS($S$6:S4656,S4656,$G$6:G4656,G4656,$D$6:D4656,"Vastgesteld")&gt;1),1,0))</f>
        <v>0</v>
      </c>
    </row>
    <row r="4657">
      <c r="S4657" s="15" t="str">
        <f>IF(J4657="","",J4657&amp;"|"&amp;E4657&amp;"|"&amp;F4657&amp;"|"&amp;I4657&amp;"|"&amp;O4657)</f>
        <v/>
      </c>
      <c r="T4657" s="15" t="str">
        <f>IF(OR(S4657="",D4657&lt;&gt;"Vastgesteld"),"",_xlfn.MAXIFS($G$6:$G$5005,$S$6:$S$5005,S4657,$D$6:$D$5005,"Vastgesteld"))</f>
        <v/>
      </c>
      <c r="U4657" s="15">
        <f>IF(T4657="",0,IF(AND(G4657=T4657,COUNTIFS($S$6:S4657,S4657,$G$6:G4657,G4657,$D$6:D4657,"Vastgesteld")=1),1,0))</f>
        <v>0</v>
      </c>
      <c r="V4657" s="15">
        <f>IF(T4657="",0,IF(AND(G4657=T4657,COUNTIFS($S$6:S4657,S4657,$G$6:G4657,G4657,$D$6:D4657,"Vastgesteld")&gt;1),1,0))</f>
        <v>0</v>
      </c>
    </row>
    <row r="4658">
      <c r="S4658" s="15" t="str">
        <f>IF(J4658="","",J4658&amp;"|"&amp;E4658&amp;"|"&amp;F4658&amp;"|"&amp;I4658&amp;"|"&amp;O4658)</f>
        <v/>
      </c>
      <c r="T4658" s="15" t="str">
        <f>IF(OR(S4658="",D4658&lt;&gt;"Vastgesteld"),"",_xlfn.MAXIFS($G$6:$G$5005,$S$6:$S$5005,S4658,$D$6:$D$5005,"Vastgesteld"))</f>
        <v/>
      </c>
      <c r="U4658" s="15">
        <f>IF(T4658="",0,IF(AND(G4658=T4658,COUNTIFS($S$6:S4658,S4658,$G$6:G4658,G4658,$D$6:D4658,"Vastgesteld")=1),1,0))</f>
        <v>0</v>
      </c>
      <c r="V4658" s="15">
        <f>IF(T4658="",0,IF(AND(G4658=T4658,COUNTIFS($S$6:S4658,S4658,$G$6:G4658,G4658,$D$6:D4658,"Vastgesteld")&gt;1),1,0))</f>
        <v>0</v>
      </c>
    </row>
    <row r="4659">
      <c r="S4659" s="15" t="str">
        <f>IF(J4659="","",J4659&amp;"|"&amp;E4659&amp;"|"&amp;F4659&amp;"|"&amp;I4659&amp;"|"&amp;O4659)</f>
        <v/>
      </c>
      <c r="T4659" s="15" t="str">
        <f>IF(OR(S4659="",D4659&lt;&gt;"Vastgesteld"),"",_xlfn.MAXIFS($G$6:$G$5005,$S$6:$S$5005,S4659,$D$6:$D$5005,"Vastgesteld"))</f>
        <v/>
      </c>
      <c r="U4659" s="15">
        <f>IF(T4659="",0,IF(AND(G4659=T4659,COUNTIFS($S$6:S4659,S4659,$G$6:G4659,G4659,$D$6:D4659,"Vastgesteld")=1),1,0))</f>
        <v>0</v>
      </c>
      <c r="V4659" s="15">
        <f>IF(T4659="",0,IF(AND(G4659=T4659,COUNTIFS($S$6:S4659,S4659,$G$6:G4659,G4659,$D$6:D4659,"Vastgesteld")&gt;1),1,0))</f>
        <v>0</v>
      </c>
    </row>
    <row r="4660">
      <c r="S4660" s="15" t="str">
        <f>IF(J4660="","",J4660&amp;"|"&amp;E4660&amp;"|"&amp;F4660&amp;"|"&amp;I4660&amp;"|"&amp;O4660)</f>
        <v/>
      </c>
      <c r="T4660" s="15" t="str">
        <f>IF(OR(S4660="",D4660&lt;&gt;"Vastgesteld"),"",_xlfn.MAXIFS($G$6:$G$5005,$S$6:$S$5005,S4660,$D$6:$D$5005,"Vastgesteld"))</f>
        <v/>
      </c>
      <c r="U4660" s="15">
        <f>IF(T4660="",0,IF(AND(G4660=T4660,COUNTIFS($S$6:S4660,S4660,$G$6:G4660,G4660,$D$6:D4660,"Vastgesteld")=1),1,0))</f>
        <v>0</v>
      </c>
      <c r="V4660" s="15">
        <f>IF(T4660="",0,IF(AND(G4660=T4660,COUNTIFS($S$6:S4660,S4660,$G$6:G4660,G4660,$D$6:D4660,"Vastgesteld")&gt;1),1,0))</f>
        <v>0</v>
      </c>
    </row>
    <row r="4661">
      <c r="S4661" s="15" t="str">
        <f>IF(J4661="","",J4661&amp;"|"&amp;E4661&amp;"|"&amp;F4661&amp;"|"&amp;I4661&amp;"|"&amp;O4661)</f>
        <v/>
      </c>
      <c r="T4661" s="15" t="str">
        <f>IF(OR(S4661="",D4661&lt;&gt;"Vastgesteld"),"",_xlfn.MAXIFS($G$6:$G$5005,$S$6:$S$5005,S4661,$D$6:$D$5005,"Vastgesteld"))</f>
        <v/>
      </c>
      <c r="U4661" s="15">
        <f>IF(T4661="",0,IF(AND(G4661=T4661,COUNTIFS($S$6:S4661,S4661,$G$6:G4661,G4661,$D$6:D4661,"Vastgesteld")=1),1,0))</f>
        <v>0</v>
      </c>
      <c r="V4661" s="15">
        <f>IF(T4661="",0,IF(AND(G4661=T4661,COUNTIFS($S$6:S4661,S4661,$G$6:G4661,G4661,$D$6:D4661,"Vastgesteld")&gt;1),1,0))</f>
        <v>0</v>
      </c>
    </row>
    <row r="4662">
      <c r="S4662" s="15" t="str">
        <f>IF(J4662="","",J4662&amp;"|"&amp;E4662&amp;"|"&amp;F4662&amp;"|"&amp;I4662&amp;"|"&amp;O4662)</f>
        <v/>
      </c>
      <c r="T4662" s="15" t="str">
        <f>IF(OR(S4662="",D4662&lt;&gt;"Vastgesteld"),"",_xlfn.MAXIFS($G$6:$G$5005,$S$6:$S$5005,S4662,$D$6:$D$5005,"Vastgesteld"))</f>
        <v/>
      </c>
      <c r="U4662" s="15">
        <f>IF(T4662="",0,IF(AND(G4662=T4662,COUNTIFS($S$6:S4662,S4662,$G$6:G4662,G4662,$D$6:D4662,"Vastgesteld")=1),1,0))</f>
        <v>0</v>
      </c>
      <c r="V4662" s="15">
        <f>IF(T4662="",0,IF(AND(G4662=T4662,COUNTIFS($S$6:S4662,S4662,$G$6:G4662,G4662,$D$6:D4662,"Vastgesteld")&gt;1),1,0))</f>
        <v>0</v>
      </c>
    </row>
    <row r="4663">
      <c r="S4663" s="15" t="str">
        <f>IF(J4663="","",J4663&amp;"|"&amp;E4663&amp;"|"&amp;F4663&amp;"|"&amp;I4663&amp;"|"&amp;O4663)</f>
        <v/>
      </c>
      <c r="T4663" s="15" t="str">
        <f>IF(OR(S4663="",D4663&lt;&gt;"Vastgesteld"),"",_xlfn.MAXIFS($G$6:$G$5005,$S$6:$S$5005,S4663,$D$6:$D$5005,"Vastgesteld"))</f>
        <v/>
      </c>
      <c r="U4663" s="15">
        <f>IF(T4663="",0,IF(AND(G4663=T4663,COUNTIFS($S$6:S4663,S4663,$G$6:G4663,G4663,$D$6:D4663,"Vastgesteld")=1),1,0))</f>
        <v>0</v>
      </c>
      <c r="V4663" s="15">
        <f>IF(T4663="",0,IF(AND(G4663=T4663,COUNTIFS($S$6:S4663,S4663,$G$6:G4663,G4663,$D$6:D4663,"Vastgesteld")&gt;1),1,0))</f>
        <v>0</v>
      </c>
    </row>
    <row r="4664">
      <c r="S4664" s="15" t="str">
        <f>IF(J4664="","",J4664&amp;"|"&amp;E4664&amp;"|"&amp;F4664&amp;"|"&amp;I4664&amp;"|"&amp;O4664)</f>
        <v/>
      </c>
      <c r="T4664" s="15" t="str">
        <f>IF(OR(S4664="",D4664&lt;&gt;"Vastgesteld"),"",_xlfn.MAXIFS($G$6:$G$5005,$S$6:$S$5005,S4664,$D$6:$D$5005,"Vastgesteld"))</f>
        <v/>
      </c>
      <c r="U4664" s="15">
        <f>IF(T4664="",0,IF(AND(G4664=T4664,COUNTIFS($S$6:S4664,S4664,$G$6:G4664,G4664,$D$6:D4664,"Vastgesteld")=1),1,0))</f>
        <v>0</v>
      </c>
      <c r="V4664" s="15">
        <f>IF(T4664="",0,IF(AND(G4664=T4664,COUNTIFS($S$6:S4664,S4664,$G$6:G4664,G4664,$D$6:D4664,"Vastgesteld")&gt;1),1,0))</f>
        <v>0</v>
      </c>
    </row>
    <row r="4665">
      <c r="S4665" s="15" t="str">
        <f>IF(J4665="","",J4665&amp;"|"&amp;E4665&amp;"|"&amp;F4665&amp;"|"&amp;I4665&amp;"|"&amp;O4665)</f>
        <v/>
      </c>
      <c r="T4665" s="15" t="str">
        <f>IF(OR(S4665="",D4665&lt;&gt;"Vastgesteld"),"",_xlfn.MAXIFS($G$6:$G$5005,$S$6:$S$5005,S4665,$D$6:$D$5005,"Vastgesteld"))</f>
        <v/>
      </c>
      <c r="U4665" s="15">
        <f>IF(T4665="",0,IF(AND(G4665=T4665,COUNTIFS($S$6:S4665,S4665,$G$6:G4665,G4665,$D$6:D4665,"Vastgesteld")=1),1,0))</f>
        <v>0</v>
      </c>
      <c r="V4665" s="15">
        <f>IF(T4665="",0,IF(AND(G4665=T4665,COUNTIFS($S$6:S4665,S4665,$G$6:G4665,G4665,$D$6:D4665,"Vastgesteld")&gt;1),1,0))</f>
        <v>0</v>
      </c>
    </row>
    <row r="4666">
      <c r="S4666" s="15" t="str">
        <f>IF(J4666="","",J4666&amp;"|"&amp;E4666&amp;"|"&amp;F4666&amp;"|"&amp;I4666&amp;"|"&amp;O4666)</f>
        <v/>
      </c>
      <c r="T4666" s="15" t="str">
        <f>IF(OR(S4666="",D4666&lt;&gt;"Vastgesteld"),"",_xlfn.MAXIFS($G$6:$G$5005,$S$6:$S$5005,S4666,$D$6:$D$5005,"Vastgesteld"))</f>
        <v/>
      </c>
      <c r="U4666" s="15">
        <f>IF(T4666="",0,IF(AND(G4666=T4666,COUNTIFS($S$6:S4666,S4666,$G$6:G4666,G4666,$D$6:D4666,"Vastgesteld")=1),1,0))</f>
        <v>0</v>
      </c>
      <c r="V4666" s="15">
        <f>IF(T4666="",0,IF(AND(G4666=T4666,COUNTIFS($S$6:S4666,S4666,$G$6:G4666,G4666,$D$6:D4666,"Vastgesteld")&gt;1),1,0))</f>
        <v>0</v>
      </c>
    </row>
    <row r="4667">
      <c r="S4667" s="15" t="str">
        <f>IF(J4667="","",J4667&amp;"|"&amp;E4667&amp;"|"&amp;F4667&amp;"|"&amp;I4667&amp;"|"&amp;O4667)</f>
        <v/>
      </c>
      <c r="T4667" s="15" t="str">
        <f>IF(OR(S4667="",D4667&lt;&gt;"Vastgesteld"),"",_xlfn.MAXIFS($G$6:$G$5005,$S$6:$S$5005,S4667,$D$6:$D$5005,"Vastgesteld"))</f>
        <v/>
      </c>
      <c r="U4667" s="15">
        <f>IF(T4667="",0,IF(AND(G4667=T4667,COUNTIFS($S$6:S4667,S4667,$G$6:G4667,G4667,$D$6:D4667,"Vastgesteld")=1),1,0))</f>
        <v>0</v>
      </c>
      <c r="V4667" s="15">
        <f>IF(T4667="",0,IF(AND(G4667=T4667,COUNTIFS($S$6:S4667,S4667,$G$6:G4667,G4667,$D$6:D4667,"Vastgesteld")&gt;1),1,0))</f>
        <v>0</v>
      </c>
    </row>
    <row r="4668">
      <c r="S4668" s="15" t="str">
        <f>IF(J4668="","",J4668&amp;"|"&amp;E4668&amp;"|"&amp;F4668&amp;"|"&amp;I4668&amp;"|"&amp;O4668)</f>
        <v/>
      </c>
      <c r="T4668" s="15" t="str">
        <f>IF(OR(S4668="",D4668&lt;&gt;"Vastgesteld"),"",_xlfn.MAXIFS($G$6:$G$5005,$S$6:$S$5005,S4668,$D$6:$D$5005,"Vastgesteld"))</f>
        <v/>
      </c>
      <c r="U4668" s="15">
        <f>IF(T4668="",0,IF(AND(G4668=T4668,COUNTIFS($S$6:S4668,S4668,$G$6:G4668,G4668,$D$6:D4668,"Vastgesteld")=1),1,0))</f>
        <v>0</v>
      </c>
      <c r="V4668" s="15">
        <f>IF(T4668="",0,IF(AND(G4668=T4668,COUNTIFS($S$6:S4668,S4668,$G$6:G4668,G4668,$D$6:D4668,"Vastgesteld")&gt;1),1,0))</f>
        <v>0</v>
      </c>
    </row>
    <row r="4669">
      <c r="S4669" s="15" t="str">
        <f>IF(J4669="","",J4669&amp;"|"&amp;E4669&amp;"|"&amp;F4669&amp;"|"&amp;I4669&amp;"|"&amp;O4669)</f>
        <v/>
      </c>
      <c r="T4669" s="15" t="str">
        <f>IF(OR(S4669="",D4669&lt;&gt;"Vastgesteld"),"",_xlfn.MAXIFS($G$6:$G$5005,$S$6:$S$5005,S4669,$D$6:$D$5005,"Vastgesteld"))</f>
        <v/>
      </c>
      <c r="U4669" s="15">
        <f>IF(T4669="",0,IF(AND(G4669=T4669,COUNTIFS($S$6:S4669,S4669,$G$6:G4669,G4669,$D$6:D4669,"Vastgesteld")=1),1,0))</f>
        <v>0</v>
      </c>
      <c r="V4669" s="15">
        <f>IF(T4669="",0,IF(AND(G4669=T4669,COUNTIFS($S$6:S4669,S4669,$G$6:G4669,G4669,$D$6:D4669,"Vastgesteld")&gt;1),1,0))</f>
        <v>0</v>
      </c>
    </row>
    <row r="4670">
      <c r="S4670" s="15" t="str">
        <f>IF(J4670="","",J4670&amp;"|"&amp;E4670&amp;"|"&amp;F4670&amp;"|"&amp;I4670&amp;"|"&amp;O4670)</f>
        <v/>
      </c>
      <c r="T4670" s="15" t="str">
        <f>IF(OR(S4670="",D4670&lt;&gt;"Vastgesteld"),"",_xlfn.MAXIFS($G$6:$G$5005,$S$6:$S$5005,S4670,$D$6:$D$5005,"Vastgesteld"))</f>
        <v/>
      </c>
      <c r="U4670" s="15">
        <f>IF(T4670="",0,IF(AND(G4670=T4670,COUNTIFS($S$6:S4670,S4670,$G$6:G4670,G4670,$D$6:D4670,"Vastgesteld")=1),1,0))</f>
        <v>0</v>
      </c>
      <c r="V4670" s="15">
        <f>IF(T4670="",0,IF(AND(G4670=T4670,COUNTIFS($S$6:S4670,S4670,$G$6:G4670,G4670,$D$6:D4670,"Vastgesteld")&gt;1),1,0))</f>
        <v>0</v>
      </c>
    </row>
    <row r="4671">
      <c r="S4671" s="15" t="str">
        <f>IF(J4671="","",J4671&amp;"|"&amp;E4671&amp;"|"&amp;F4671&amp;"|"&amp;I4671&amp;"|"&amp;O4671)</f>
        <v/>
      </c>
      <c r="T4671" s="15" t="str">
        <f>IF(OR(S4671="",D4671&lt;&gt;"Vastgesteld"),"",_xlfn.MAXIFS($G$6:$G$5005,$S$6:$S$5005,S4671,$D$6:$D$5005,"Vastgesteld"))</f>
        <v/>
      </c>
      <c r="U4671" s="15">
        <f>IF(T4671="",0,IF(AND(G4671=T4671,COUNTIFS($S$6:S4671,S4671,$G$6:G4671,G4671,$D$6:D4671,"Vastgesteld")=1),1,0))</f>
        <v>0</v>
      </c>
      <c r="V4671" s="15">
        <f>IF(T4671="",0,IF(AND(G4671=T4671,COUNTIFS($S$6:S4671,S4671,$G$6:G4671,G4671,$D$6:D4671,"Vastgesteld")&gt;1),1,0))</f>
        <v>0</v>
      </c>
    </row>
    <row r="4672">
      <c r="S4672" s="15" t="str">
        <f>IF(J4672="","",J4672&amp;"|"&amp;E4672&amp;"|"&amp;F4672&amp;"|"&amp;I4672&amp;"|"&amp;O4672)</f>
        <v/>
      </c>
      <c r="T4672" s="15" t="str">
        <f>IF(OR(S4672="",D4672&lt;&gt;"Vastgesteld"),"",_xlfn.MAXIFS($G$6:$G$5005,$S$6:$S$5005,S4672,$D$6:$D$5005,"Vastgesteld"))</f>
        <v/>
      </c>
      <c r="U4672" s="15">
        <f>IF(T4672="",0,IF(AND(G4672=T4672,COUNTIFS($S$6:S4672,S4672,$G$6:G4672,G4672,$D$6:D4672,"Vastgesteld")=1),1,0))</f>
        <v>0</v>
      </c>
      <c r="V4672" s="15">
        <f>IF(T4672="",0,IF(AND(G4672=T4672,COUNTIFS($S$6:S4672,S4672,$G$6:G4672,G4672,$D$6:D4672,"Vastgesteld")&gt;1),1,0))</f>
        <v>0</v>
      </c>
    </row>
    <row r="4673">
      <c r="S4673" s="15" t="str">
        <f>IF(J4673="","",J4673&amp;"|"&amp;E4673&amp;"|"&amp;F4673&amp;"|"&amp;I4673&amp;"|"&amp;O4673)</f>
        <v/>
      </c>
      <c r="T4673" s="15" t="str">
        <f>IF(OR(S4673="",D4673&lt;&gt;"Vastgesteld"),"",_xlfn.MAXIFS($G$6:$G$5005,$S$6:$S$5005,S4673,$D$6:$D$5005,"Vastgesteld"))</f>
        <v/>
      </c>
      <c r="U4673" s="15">
        <f>IF(T4673="",0,IF(AND(G4673=T4673,COUNTIFS($S$6:S4673,S4673,$G$6:G4673,G4673,$D$6:D4673,"Vastgesteld")=1),1,0))</f>
        <v>0</v>
      </c>
      <c r="V4673" s="15">
        <f>IF(T4673="",0,IF(AND(G4673=T4673,COUNTIFS($S$6:S4673,S4673,$G$6:G4673,G4673,$D$6:D4673,"Vastgesteld")&gt;1),1,0))</f>
        <v>0</v>
      </c>
    </row>
    <row r="4674">
      <c r="S4674" s="15" t="str">
        <f>IF(J4674="","",J4674&amp;"|"&amp;E4674&amp;"|"&amp;F4674&amp;"|"&amp;I4674&amp;"|"&amp;O4674)</f>
        <v/>
      </c>
      <c r="T4674" s="15" t="str">
        <f>IF(OR(S4674="",D4674&lt;&gt;"Vastgesteld"),"",_xlfn.MAXIFS($G$6:$G$5005,$S$6:$S$5005,S4674,$D$6:$D$5005,"Vastgesteld"))</f>
        <v/>
      </c>
      <c r="U4674" s="15">
        <f>IF(T4674="",0,IF(AND(G4674=T4674,COUNTIFS($S$6:S4674,S4674,$G$6:G4674,G4674,$D$6:D4674,"Vastgesteld")=1),1,0))</f>
        <v>0</v>
      </c>
      <c r="V4674" s="15">
        <f>IF(T4674="",0,IF(AND(G4674=T4674,COUNTIFS($S$6:S4674,S4674,$G$6:G4674,G4674,$D$6:D4674,"Vastgesteld")&gt;1),1,0))</f>
        <v>0</v>
      </c>
    </row>
    <row r="4675">
      <c r="S4675" s="15" t="str">
        <f>IF(J4675="","",J4675&amp;"|"&amp;E4675&amp;"|"&amp;F4675&amp;"|"&amp;I4675&amp;"|"&amp;O4675)</f>
        <v/>
      </c>
      <c r="T4675" s="15" t="str">
        <f>IF(OR(S4675="",D4675&lt;&gt;"Vastgesteld"),"",_xlfn.MAXIFS($G$6:$G$5005,$S$6:$S$5005,S4675,$D$6:$D$5005,"Vastgesteld"))</f>
        <v/>
      </c>
      <c r="U4675" s="15">
        <f>IF(T4675="",0,IF(AND(G4675=T4675,COUNTIFS($S$6:S4675,S4675,$G$6:G4675,G4675,$D$6:D4675,"Vastgesteld")=1),1,0))</f>
        <v>0</v>
      </c>
      <c r="V4675" s="15">
        <f>IF(T4675="",0,IF(AND(G4675=T4675,COUNTIFS($S$6:S4675,S4675,$G$6:G4675,G4675,$D$6:D4675,"Vastgesteld")&gt;1),1,0))</f>
        <v>0</v>
      </c>
    </row>
    <row r="4676">
      <c r="S4676" s="15" t="str">
        <f>IF(J4676="","",J4676&amp;"|"&amp;E4676&amp;"|"&amp;F4676&amp;"|"&amp;I4676&amp;"|"&amp;O4676)</f>
        <v/>
      </c>
      <c r="T4676" s="15" t="str">
        <f>IF(OR(S4676="",D4676&lt;&gt;"Vastgesteld"),"",_xlfn.MAXIFS($G$6:$G$5005,$S$6:$S$5005,S4676,$D$6:$D$5005,"Vastgesteld"))</f>
        <v/>
      </c>
      <c r="U4676" s="15">
        <f>IF(T4676="",0,IF(AND(G4676=T4676,COUNTIFS($S$6:S4676,S4676,$G$6:G4676,G4676,$D$6:D4676,"Vastgesteld")=1),1,0))</f>
        <v>0</v>
      </c>
      <c r="V4676" s="15">
        <f>IF(T4676="",0,IF(AND(G4676=T4676,COUNTIFS($S$6:S4676,S4676,$G$6:G4676,G4676,$D$6:D4676,"Vastgesteld")&gt;1),1,0))</f>
        <v>0</v>
      </c>
    </row>
    <row r="4677">
      <c r="S4677" s="15" t="str">
        <f>IF(J4677="","",J4677&amp;"|"&amp;E4677&amp;"|"&amp;F4677&amp;"|"&amp;I4677&amp;"|"&amp;O4677)</f>
        <v/>
      </c>
      <c r="T4677" s="15" t="str">
        <f>IF(OR(S4677="",D4677&lt;&gt;"Vastgesteld"),"",_xlfn.MAXIFS($G$6:$G$5005,$S$6:$S$5005,S4677,$D$6:$D$5005,"Vastgesteld"))</f>
        <v/>
      </c>
      <c r="U4677" s="15">
        <f>IF(T4677="",0,IF(AND(G4677=T4677,COUNTIFS($S$6:S4677,S4677,$G$6:G4677,G4677,$D$6:D4677,"Vastgesteld")=1),1,0))</f>
        <v>0</v>
      </c>
      <c r="V4677" s="15">
        <f>IF(T4677="",0,IF(AND(G4677=T4677,COUNTIFS($S$6:S4677,S4677,$G$6:G4677,G4677,$D$6:D4677,"Vastgesteld")&gt;1),1,0))</f>
        <v>0</v>
      </c>
    </row>
    <row r="4678">
      <c r="S4678" s="15" t="str">
        <f>IF(J4678="","",J4678&amp;"|"&amp;E4678&amp;"|"&amp;F4678&amp;"|"&amp;I4678&amp;"|"&amp;O4678)</f>
        <v/>
      </c>
      <c r="T4678" s="15" t="str">
        <f>IF(OR(S4678="",D4678&lt;&gt;"Vastgesteld"),"",_xlfn.MAXIFS($G$6:$G$5005,$S$6:$S$5005,S4678,$D$6:$D$5005,"Vastgesteld"))</f>
        <v/>
      </c>
      <c r="U4678" s="15">
        <f>IF(T4678="",0,IF(AND(G4678=T4678,COUNTIFS($S$6:S4678,S4678,$G$6:G4678,G4678,$D$6:D4678,"Vastgesteld")=1),1,0))</f>
        <v>0</v>
      </c>
      <c r="V4678" s="15">
        <f>IF(T4678="",0,IF(AND(G4678=T4678,COUNTIFS($S$6:S4678,S4678,$G$6:G4678,G4678,$D$6:D4678,"Vastgesteld")&gt;1),1,0))</f>
        <v>0</v>
      </c>
    </row>
    <row r="4679">
      <c r="S4679" s="15" t="str">
        <f>IF(J4679="","",J4679&amp;"|"&amp;E4679&amp;"|"&amp;F4679&amp;"|"&amp;I4679&amp;"|"&amp;O4679)</f>
        <v/>
      </c>
      <c r="T4679" s="15" t="str">
        <f>IF(OR(S4679="",D4679&lt;&gt;"Vastgesteld"),"",_xlfn.MAXIFS($G$6:$G$5005,$S$6:$S$5005,S4679,$D$6:$D$5005,"Vastgesteld"))</f>
        <v/>
      </c>
      <c r="U4679" s="15">
        <f>IF(T4679="",0,IF(AND(G4679=T4679,COUNTIFS($S$6:S4679,S4679,$G$6:G4679,G4679,$D$6:D4679,"Vastgesteld")=1),1,0))</f>
        <v>0</v>
      </c>
      <c r="V4679" s="15">
        <f>IF(T4679="",0,IF(AND(G4679=T4679,COUNTIFS($S$6:S4679,S4679,$G$6:G4679,G4679,$D$6:D4679,"Vastgesteld")&gt;1),1,0))</f>
        <v>0</v>
      </c>
    </row>
    <row r="4680">
      <c r="S4680" s="15" t="str">
        <f>IF(J4680="","",J4680&amp;"|"&amp;E4680&amp;"|"&amp;F4680&amp;"|"&amp;I4680&amp;"|"&amp;O4680)</f>
        <v/>
      </c>
      <c r="T4680" s="15" t="str">
        <f>IF(OR(S4680="",D4680&lt;&gt;"Vastgesteld"),"",_xlfn.MAXIFS($G$6:$G$5005,$S$6:$S$5005,S4680,$D$6:$D$5005,"Vastgesteld"))</f>
        <v/>
      </c>
      <c r="U4680" s="15">
        <f>IF(T4680="",0,IF(AND(G4680=T4680,COUNTIFS($S$6:S4680,S4680,$G$6:G4680,G4680,$D$6:D4680,"Vastgesteld")=1),1,0))</f>
        <v>0</v>
      </c>
      <c r="V4680" s="15">
        <f>IF(T4680="",0,IF(AND(G4680=T4680,COUNTIFS($S$6:S4680,S4680,$G$6:G4680,G4680,$D$6:D4680,"Vastgesteld")&gt;1),1,0))</f>
        <v>0</v>
      </c>
    </row>
    <row r="4681">
      <c r="S4681" s="15" t="str">
        <f>IF(J4681="","",J4681&amp;"|"&amp;E4681&amp;"|"&amp;F4681&amp;"|"&amp;I4681&amp;"|"&amp;O4681)</f>
        <v/>
      </c>
      <c r="T4681" s="15" t="str">
        <f>IF(OR(S4681="",D4681&lt;&gt;"Vastgesteld"),"",_xlfn.MAXIFS($G$6:$G$5005,$S$6:$S$5005,S4681,$D$6:$D$5005,"Vastgesteld"))</f>
        <v/>
      </c>
      <c r="U4681" s="15">
        <f>IF(T4681="",0,IF(AND(G4681=T4681,COUNTIFS($S$6:S4681,S4681,$G$6:G4681,G4681,$D$6:D4681,"Vastgesteld")=1),1,0))</f>
        <v>0</v>
      </c>
      <c r="V4681" s="15">
        <f>IF(T4681="",0,IF(AND(G4681=T4681,COUNTIFS($S$6:S4681,S4681,$G$6:G4681,G4681,$D$6:D4681,"Vastgesteld")&gt;1),1,0))</f>
        <v>0</v>
      </c>
    </row>
    <row r="4682">
      <c r="S4682" s="15" t="str">
        <f>IF(J4682="","",J4682&amp;"|"&amp;E4682&amp;"|"&amp;F4682&amp;"|"&amp;I4682&amp;"|"&amp;O4682)</f>
        <v/>
      </c>
      <c r="T4682" s="15" t="str">
        <f>IF(OR(S4682="",D4682&lt;&gt;"Vastgesteld"),"",_xlfn.MAXIFS($G$6:$G$5005,$S$6:$S$5005,S4682,$D$6:$D$5005,"Vastgesteld"))</f>
        <v/>
      </c>
      <c r="U4682" s="15">
        <f>IF(T4682="",0,IF(AND(G4682=T4682,COUNTIFS($S$6:S4682,S4682,$G$6:G4682,G4682,$D$6:D4682,"Vastgesteld")=1),1,0))</f>
        <v>0</v>
      </c>
      <c r="V4682" s="15">
        <f>IF(T4682="",0,IF(AND(G4682=T4682,COUNTIFS($S$6:S4682,S4682,$G$6:G4682,G4682,$D$6:D4682,"Vastgesteld")&gt;1),1,0))</f>
        <v>0</v>
      </c>
    </row>
    <row r="4683">
      <c r="S4683" s="15" t="str">
        <f>IF(J4683="","",J4683&amp;"|"&amp;E4683&amp;"|"&amp;F4683&amp;"|"&amp;I4683&amp;"|"&amp;O4683)</f>
        <v/>
      </c>
      <c r="T4683" s="15" t="str">
        <f>IF(OR(S4683="",D4683&lt;&gt;"Vastgesteld"),"",_xlfn.MAXIFS($G$6:$G$5005,$S$6:$S$5005,S4683,$D$6:$D$5005,"Vastgesteld"))</f>
        <v/>
      </c>
      <c r="U4683" s="15">
        <f>IF(T4683="",0,IF(AND(G4683=T4683,COUNTIFS($S$6:S4683,S4683,$G$6:G4683,G4683,$D$6:D4683,"Vastgesteld")=1),1,0))</f>
        <v>0</v>
      </c>
      <c r="V4683" s="15">
        <f>IF(T4683="",0,IF(AND(G4683=T4683,COUNTIFS($S$6:S4683,S4683,$G$6:G4683,G4683,$D$6:D4683,"Vastgesteld")&gt;1),1,0))</f>
        <v>0</v>
      </c>
    </row>
    <row r="4684">
      <c r="S4684" s="15" t="str">
        <f>IF(J4684="","",J4684&amp;"|"&amp;E4684&amp;"|"&amp;F4684&amp;"|"&amp;I4684&amp;"|"&amp;O4684)</f>
        <v/>
      </c>
      <c r="T4684" s="15" t="str">
        <f>IF(OR(S4684="",D4684&lt;&gt;"Vastgesteld"),"",_xlfn.MAXIFS($G$6:$G$5005,$S$6:$S$5005,S4684,$D$6:$D$5005,"Vastgesteld"))</f>
        <v/>
      </c>
      <c r="U4684" s="15">
        <f>IF(T4684="",0,IF(AND(G4684=T4684,COUNTIFS($S$6:S4684,S4684,$G$6:G4684,G4684,$D$6:D4684,"Vastgesteld")=1),1,0))</f>
        <v>0</v>
      </c>
      <c r="V4684" s="15">
        <f>IF(T4684="",0,IF(AND(G4684=T4684,COUNTIFS($S$6:S4684,S4684,$G$6:G4684,G4684,$D$6:D4684,"Vastgesteld")&gt;1),1,0))</f>
        <v>0</v>
      </c>
    </row>
    <row r="4685">
      <c r="S4685" s="15" t="str">
        <f>IF(J4685="","",J4685&amp;"|"&amp;E4685&amp;"|"&amp;F4685&amp;"|"&amp;I4685&amp;"|"&amp;O4685)</f>
        <v/>
      </c>
      <c r="T4685" s="15" t="str">
        <f>IF(OR(S4685="",D4685&lt;&gt;"Vastgesteld"),"",_xlfn.MAXIFS($G$6:$G$5005,$S$6:$S$5005,S4685,$D$6:$D$5005,"Vastgesteld"))</f>
        <v/>
      </c>
      <c r="U4685" s="15">
        <f>IF(T4685="",0,IF(AND(G4685=T4685,COUNTIFS($S$6:S4685,S4685,$G$6:G4685,G4685,$D$6:D4685,"Vastgesteld")=1),1,0))</f>
        <v>0</v>
      </c>
      <c r="V4685" s="15">
        <f>IF(T4685="",0,IF(AND(G4685=T4685,COUNTIFS($S$6:S4685,S4685,$G$6:G4685,G4685,$D$6:D4685,"Vastgesteld")&gt;1),1,0))</f>
        <v>0</v>
      </c>
    </row>
    <row r="4686">
      <c r="S4686" s="15" t="str">
        <f>IF(J4686="","",J4686&amp;"|"&amp;E4686&amp;"|"&amp;F4686&amp;"|"&amp;I4686&amp;"|"&amp;O4686)</f>
        <v/>
      </c>
      <c r="T4686" s="15" t="str">
        <f>IF(OR(S4686="",D4686&lt;&gt;"Vastgesteld"),"",_xlfn.MAXIFS($G$6:$G$5005,$S$6:$S$5005,S4686,$D$6:$D$5005,"Vastgesteld"))</f>
        <v/>
      </c>
      <c r="U4686" s="15">
        <f>IF(T4686="",0,IF(AND(G4686=T4686,COUNTIFS($S$6:S4686,S4686,$G$6:G4686,G4686,$D$6:D4686,"Vastgesteld")=1),1,0))</f>
        <v>0</v>
      </c>
      <c r="V4686" s="15">
        <f>IF(T4686="",0,IF(AND(G4686=T4686,COUNTIFS($S$6:S4686,S4686,$G$6:G4686,G4686,$D$6:D4686,"Vastgesteld")&gt;1),1,0))</f>
        <v>0</v>
      </c>
    </row>
    <row r="4687">
      <c r="S4687" s="15" t="str">
        <f>IF(J4687="","",J4687&amp;"|"&amp;E4687&amp;"|"&amp;F4687&amp;"|"&amp;I4687&amp;"|"&amp;O4687)</f>
        <v/>
      </c>
      <c r="T4687" s="15" t="str">
        <f>IF(OR(S4687="",D4687&lt;&gt;"Vastgesteld"),"",_xlfn.MAXIFS($G$6:$G$5005,$S$6:$S$5005,S4687,$D$6:$D$5005,"Vastgesteld"))</f>
        <v/>
      </c>
      <c r="U4687" s="15">
        <f>IF(T4687="",0,IF(AND(G4687=T4687,COUNTIFS($S$6:S4687,S4687,$G$6:G4687,G4687,$D$6:D4687,"Vastgesteld")=1),1,0))</f>
        <v>0</v>
      </c>
      <c r="V4687" s="15">
        <f>IF(T4687="",0,IF(AND(G4687=T4687,COUNTIFS($S$6:S4687,S4687,$G$6:G4687,G4687,$D$6:D4687,"Vastgesteld")&gt;1),1,0))</f>
        <v>0</v>
      </c>
    </row>
    <row r="4688">
      <c r="S4688" s="15" t="str">
        <f>IF(J4688="","",J4688&amp;"|"&amp;E4688&amp;"|"&amp;F4688&amp;"|"&amp;I4688&amp;"|"&amp;O4688)</f>
        <v/>
      </c>
      <c r="T4688" s="15" t="str">
        <f>IF(OR(S4688="",D4688&lt;&gt;"Vastgesteld"),"",_xlfn.MAXIFS($G$6:$G$5005,$S$6:$S$5005,S4688,$D$6:$D$5005,"Vastgesteld"))</f>
        <v/>
      </c>
      <c r="U4688" s="15">
        <f>IF(T4688="",0,IF(AND(G4688=T4688,COUNTIFS($S$6:S4688,S4688,$G$6:G4688,G4688,$D$6:D4688,"Vastgesteld")=1),1,0))</f>
        <v>0</v>
      </c>
      <c r="V4688" s="15">
        <f>IF(T4688="",0,IF(AND(G4688=T4688,COUNTIFS($S$6:S4688,S4688,$G$6:G4688,G4688,$D$6:D4688,"Vastgesteld")&gt;1),1,0))</f>
        <v>0</v>
      </c>
    </row>
    <row r="4689">
      <c r="S4689" s="15" t="str">
        <f>IF(J4689="","",J4689&amp;"|"&amp;E4689&amp;"|"&amp;F4689&amp;"|"&amp;I4689&amp;"|"&amp;O4689)</f>
        <v/>
      </c>
      <c r="T4689" s="15" t="str">
        <f>IF(OR(S4689="",D4689&lt;&gt;"Vastgesteld"),"",_xlfn.MAXIFS($G$6:$G$5005,$S$6:$S$5005,S4689,$D$6:$D$5005,"Vastgesteld"))</f>
        <v/>
      </c>
      <c r="U4689" s="15">
        <f>IF(T4689="",0,IF(AND(G4689=T4689,COUNTIFS($S$6:S4689,S4689,$G$6:G4689,G4689,$D$6:D4689,"Vastgesteld")=1),1,0))</f>
        <v>0</v>
      </c>
      <c r="V4689" s="15">
        <f>IF(T4689="",0,IF(AND(G4689=T4689,COUNTIFS($S$6:S4689,S4689,$G$6:G4689,G4689,$D$6:D4689,"Vastgesteld")&gt;1),1,0))</f>
        <v>0</v>
      </c>
    </row>
    <row r="4690">
      <c r="S4690" s="15" t="str">
        <f>IF(J4690="","",J4690&amp;"|"&amp;E4690&amp;"|"&amp;F4690&amp;"|"&amp;I4690&amp;"|"&amp;O4690)</f>
        <v/>
      </c>
      <c r="T4690" s="15" t="str">
        <f>IF(OR(S4690="",D4690&lt;&gt;"Vastgesteld"),"",_xlfn.MAXIFS($G$6:$G$5005,$S$6:$S$5005,S4690,$D$6:$D$5005,"Vastgesteld"))</f>
        <v/>
      </c>
      <c r="U4690" s="15">
        <f>IF(T4690="",0,IF(AND(G4690=T4690,COUNTIFS($S$6:S4690,S4690,$G$6:G4690,G4690,$D$6:D4690,"Vastgesteld")=1),1,0))</f>
        <v>0</v>
      </c>
      <c r="V4690" s="15">
        <f>IF(T4690="",0,IF(AND(G4690=T4690,COUNTIFS($S$6:S4690,S4690,$G$6:G4690,G4690,$D$6:D4690,"Vastgesteld")&gt;1),1,0))</f>
        <v>0</v>
      </c>
    </row>
    <row r="4691">
      <c r="S4691" s="15" t="str">
        <f>IF(J4691="","",J4691&amp;"|"&amp;E4691&amp;"|"&amp;F4691&amp;"|"&amp;I4691&amp;"|"&amp;O4691)</f>
        <v/>
      </c>
      <c r="T4691" s="15" t="str">
        <f>IF(OR(S4691="",D4691&lt;&gt;"Vastgesteld"),"",_xlfn.MAXIFS($G$6:$G$5005,$S$6:$S$5005,S4691,$D$6:$D$5005,"Vastgesteld"))</f>
        <v/>
      </c>
      <c r="U4691" s="15">
        <f>IF(T4691="",0,IF(AND(G4691=T4691,COUNTIFS($S$6:S4691,S4691,$G$6:G4691,G4691,$D$6:D4691,"Vastgesteld")=1),1,0))</f>
        <v>0</v>
      </c>
      <c r="V4691" s="15">
        <f>IF(T4691="",0,IF(AND(G4691=T4691,COUNTIFS($S$6:S4691,S4691,$G$6:G4691,G4691,$D$6:D4691,"Vastgesteld")&gt;1),1,0))</f>
        <v>0</v>
      </c>
    </row>
    <row r="4692">
      <c r="S4692" s="15" t="str">
        <f>IF(J4692="","",J4692&amp;"|"&amp;E4692&amp;"|"&amp;F4692&amp;"|"&amp;I4692&amp;"|"&amp;O4692)</f>
        <v/>
      </c>
      <c r="T4692" s="15" t="str">
        <f>IF(OR(S4692="",D4692&lt;&gt;"Vastgesteld"),"",_xlfn.MAXIFS($G$6:$G$5005,$S$6:$S$5005,S4692,$D$6:$D$5005,"Vastgesteld"))</f>
        <v/>
      </c>
      <c r="U4692" s="15">
        <f>IF(T4692="",0,IF(AND(G4692=T4692,COUNTIFS($S$6:S4692,S4692,$G$6:G4692,G4692,$D$6:D4692,"Vastgesteld")=1),1,0))</f>
        <v>0</v>
      </c>
      <c r="V4692" s="15">
        <f>IF(T4692="",0,IF(AND(G4692=T4692,COUNTIFS($S$6:S4692,S4692,$G$6:G4692,G4692,$D$6:D4692,"Vastgesteld")&gt;1),1,0))</f>
        <v>0</v>
      </c>
    </row>
    <row r="4693">
      <c r="S4693" s="15" t="str">
        <f>IF(J4693="","",J4693&amp;"|"&amp;E4693&amp;"|"&amp;F4693&amp;"|"&amp;I4693&amp;"|"&amp;O4693)</f>
        <v/>
      </c>
      <c r="T4693" s="15" t="str">
        <f>IF(OR(S4693="",D4693&lt;&gt;"Vastgesteld"),"",_xlfn.MAXIFS($G$6:$G$5005,$S$6:$S$5005,S4693,$D$6:$D$5005,"Vastgesteld"))</f>
        <v/>
      </c>
      <c r="U4693" s="15">
        <f>IF(T4693="",0,IF(AND(G4693=T4693,COUNTIFS($S$6:S4693,S4693,$G$6:G4693,G4693,$D$6:D4693,"Vastgesteld")=1),1,0))</f>
        <v>0</v>
      </c>
      <c r="V4693" s="15">
        <f>IF(T4693="",0,IF(AND(G4693=T4693,COUNTIFS($S$6:S4693,S4693,$G$6:G4693,G4693,$D$6:D4693,"Vastgesteld")&gt;1),1,0))</f>
        <v>0</v>
      </c>
    </row>
    <row r="4694">
      <c r="S4694" s="15" t="str">
        <f>IF(J4694="","",J4694&amp;"|"&amp;E4694&amp;"|"&amp;F4694&amp;"|"&amp;I4694&amp;"|"&amp;O4694)</f>
        <v/>
      </c>
      <c r="T4694" s="15" t="str">
        <f>IF(OR(S4694="",D4694&lt;&gt;"Vastgesteld"),"",_xlfn.MAXIFS($G$6:$G$5005,$S$6:$S$5005,S4694,$D$6:$D$5005,"Vastgesteld"))</f>
        <v/>
      </c>
      <c r="U4694" s="15">
        <f>IF(T4694="",0,IF(AND(G4694=T4694,COUNTIFS($S$6:S4694,S4694,$G$6:G4694,G4694,$D$6:D4694,"Vastgesteld")=1),1,0))</f>
        <v>0</v>
      </c>
      <c r="V4694" s="15">
        <f>IF(T4694="",0,IF(AND(G4694=T4694,COUNTIFS($S$6:S4694,S4694,$G$6:G4694,G4694,$D$6:D4694,"Vastgesteld")&gt;1),1,0))</f>
        <v>0</v>
      </c>
    </row>
    <row r="4695">
      <c r="S4695" s="15" t="str">
        <f>IF(J4695="","",J4695&amp;"|"&amp;E4695&amp;"|"&amp;F4695&amp;"|"&amp;I4695&amp;"|"&amp;O4695)</f>
        <v/>
      </c>
      <c r="T4695" s="15" t="str">
        <f>IF(OR(S4695="",D4695&lt;&gt;"Vastgesteld"),"",_xlfn.MAXIFS($G$6:$G$5005,$S$6:$S$5005,S4695,$D$6:$D$5005,"Vastgesteld"))</f>
        <v/>
      </c>
      <c r="U4695" s="15">
        <f>IF(T4695="",0,IF(AND(G4695=T4695,COUNTIFS($S$6:S4695,S4695,$G$6:G4695,G4695,$D$6:D4695,"Vastgesteld")=1),1,0))</f>
        <v>0</v>
      </c>
      <c r="V4695" s="15">
        <f>IF(T4695="",0,IF(AND(G4695=T4695,COUNTIFS($S$6:S4695,S4695,$G$6:G4695,G4695,$D$6:D4695,"Vastgesteld")&gt;1),1,0))</f>
        <v>0</v>
      </c>
    </row>
    <row r="4696">
      <c r="S4696" s="15" t="str">
        <f>IF(J4696="","",J4696&amp;"|"&amp;E4696&amp;"|"&amp;F4696&amp;"|"&amp;I4696&amp;"|"&amp;O4696)</f>
        <v/>
      </c>
      <c r="T4696" s="15" t="str">
        <f>IF(OR(S4696="",D4696&lt;&gt;"Vastgesteld"),"",_xlfn.MAXIFS($G$6:$G$5005,$S$6:$S$5005,S4696,$D$6:$D$5005,"Vastgesteld"))</f>
        <v/>
      </c>
      <c r="U4696" s="15">
        <f>IF(T4696="",0,IF(AND(G4696=T4696,COUNTIFS($S$6:S4696,S4696,$G$6:G4696,G4696,$D$6:D4696,"Vastgesteld")=1),1,0))</f>
        <v>0</v>
      </c>
      <c r="V4696" s="15">
        <f>IF(T4696="",0,IF(AND(G4696=T4696,COUNTIFS($S$6:S4696,S4696,$G$6:G4696,G4696,$D$6:D4696,"Vastgesteld")&gt;1),1,0))</f>
        <v>0</v>
      </c>
    </row>
    <row r="4697">
      <c r="S4697" s="15" t="str">
        <f>IF(J4697="","",J4697&amp;"|"&amp;E4697&amp;"|"&amp;F4697&amp;"|"&amp;I4697&amp;"|"&amp;O4697)</f>
        <v/>
      </c>
      <c r="T4697" s="15" t="str">
        <f>IF(OR(S4697="",D4697&lt;&gt;"Vastgesteld"),"",_xlfn.MAXIFS($G$6:$G$5005,$S$6:$S$5005,S4697,$D$6:$D$5005,"Vastgesteld"))</f>
        <v/>
      </c>
      <c r="U4697" s="15">
        <f>IF(T4697="",0,IF(AND(G4697=T4697,COUNTIFS($S$6:S4697,S4697,$G$6:G4697,G4697,$D$6:D4697,"Vastgesteld")=1),1,0))</f>
        <v>0</v>
      </c>
      <c r="V4697" s="15">
        <f>IF(T4697="",0,IF(AND(G4697=T4697,COUNTIFS($S$6:S4697,S4697,$G$6:G4697,G4697,$D$6:D4697,"Vastgesteld")&gt;1),1,0))</f>
        <v>0</v>
      </c>
    </row>
    <row r="4698">
      <c r="S4698" s="15" t="str">
        <f>IF(J4698="","",J4698&amp;"|"&amp;E4698&amp;"|"&amp;F4698&amp;"|"&amp;I4698&amp;"|"&amp;O4698)</f>
        <v/>
      </c>
      <c r="T4698" s="15" t="str">
        <f>IF(OR(S4698="",D4698&lt;&gt;"Vastgesteld"),"",_xlfn.MAXIFS($G$6:$G$5005,$S$6:$S$5005,S4698,$D$6:$D$5005,"Vastgesteld"))</f>
        <v/>
      </c>
      <c r="U4698" s="15">
        <f>IF(T4698="",0,IF(AND(G4698=T4698,COUNTIFS($S$6:S4698,S4698,$G$6:G4698,G4698,$D$6:D4698,"Vastgesteld")=1),1,0))</f>
        <v>0</v>
      </c>
      <c r="V4698" s="15">
        <f>IF(T4698="",0,IF(AND(G4698=T4698,COUNTIFS($S$6:S4698,S4698,$G$6:G4698,G4698,$D$6:D4698,"Vastgesteld")&gt;1),1,0))</f>
        <v>0</v>
      </c>
    </row>
    <row r="4699">
      <c r="S4699" s="15" t="str">
        <f>IF(J4699="","",J4699&amp;"|"&amp;E4699&amp;"|"&amp;F4699&amp;"|"&amp;I4699&amp;"|"&amp;O4699)</f>
        <v/>
      </c>
      <c r="T4699" s="15" t="str">
        <f>IF(OR(S4699="",D4699&lt;&gt;"Vastgesteld"),"",_xlfn.MAXIFS($G$6:$G$5005,$S$6:$S$5005,S4699,$D$6:$D$5005,"Vastgesteld"))</f>
        <v/>
      </c>
      <c r="U4699" s="15">
        <f>IF(T4699="",0,IF(AND(G4699=T4699,COUNTIFS($S$6:S4699,S4699,$G$6:G4699,G4699,$D$6:D4699,"Vastgesteld")=1),1,0))</f>
        <v>0</v>
      </c>
      <c r="V4699" s="15">
        <f>IF(T4699="",0,IF(AND(G4699=T4699,COUNTIFS($S$6:S4699,S4699,$G$6:G4699,G4699,$D$6:D4699,"Vastgesteld")&gt;1),1,0))</f>
        <v>0</v>
      </c>
    </row>
    <row r="4700">
      <c r="S4700" s="15" t="str">
        <f>IF(J4700="","",J4700&amp;"|"&amp;E4700&amp;"|"&amp;F4700&amp;"|"&amp;I4700&amp;"|"&amp;O4700)</f>
        <v/>
      </c>
      <c r="T4700" s="15" t="str">
        <f>IF(OR(S4700="",D4700&lt;&gt;"Vastgesteld"),"",_xlfn.MAXIFS($G$6:$G$5005,$S$6:$S$5005,S4700,$D$6:$D$5005,"Vastgesteld"))</f>
        <v/>
      </c>
      <c r="U4700" s="15">
        <f>IF(T4700="",0,IF(AND(G4700=T4700,COUNTIFS($S$6:S4700,S4700,$G$6:G4700,G4700,$D$6:D4700,"Vastgesteld")=1),1,0))</f>
        <v>0</v>
      </c>
      <c r="V4700" s="15">
        <f>IF(T4700="",0,IF(AND(G4700=T4700,COUNTIFS($S$6:S4700,S4700,$G$6:G4700,G4700,$D$6:D4700,"Vastgesteld")&gt;1),1,0))</f>
        <v>0</v>
      </c>
    </row>
    <row r="4701">
      <c r="S4701" s="15" t="str">
        <f>IF(J4701="","",J4701&amp;"|"&amp;E4701&amp;"|"&amp;F4701&amp;"|"&amp;I4701&amp;"|"&amp;O4701)</f>
        <v/>
      </c>
      <c r="T4701" s="15" t="str">
        <f>IF(OR(S4701="",D4701&lt;&gt;"Vastgesteld"),"",_xlfn.MAXIFS($G$6:$G$5005,$S$6:$S$5005,S4701,$D$6:$D$5005,"Vastgesteld"))</f>
        <v/>
      </c>
      <c r="U4701" s="15">
        <f>IF(T4701="",0,IF(AND(G4701=T4701,COUNTIFS($S$6:S4701,S4701,$G$6:G4701,G4701,$D$6:D4701,"Vastgesteld")=1),1,0))</f>
        <v>0</v>
      </c>
      <c r="V4701" s="15">
        <f>IF(T4701="",0,IF(AND(G4701=T4701,COUNTIFS($S$6:S4701,S4701,$G$6:G4701,G4701,$D$6:D4701,"Vastgesteld")&gt;1),1,0))</f>
        <v>0</v>
      </c>
    </row>
    <row r="4702">
      <c r="S4702" s="15" t="str">
        <f>IF(J4702="","",J4702&amp;"|"&amp;E4702&amp;"|"&amp;F4702&amp;"|"&amp;I4702&amp;"|"&amp;O4702)</f>
        <v/>
      </c>
      <c r="T4702" s="15" t="str">
        <f>IF(OR(S4702="",D4702&lt;&gt;"Vastgesteld"),"",_xlfn.MAXIFS($G$6:$G$5005,$S$6:$S$5005,S4702,$D$6:$D$5005,"Vastgesteld"))</f>
        <v/>
      </c>
      <c r="U4702" s="15">
        <f>IF(T4702="",0,IF(AND(G4702=T4702,COUNTIFS($S$6:S4702,S4702,$G$6:G4702,G4702,$D$6:D4702,"Vastgesteld")=1),1,0))</f>
        <v>0</v>
      </c>
      <c r="V4702" s="15">
        <f>IF(T4702="",0,IF(AND(G4702=T4702,COUNTIFS($S$6:S4702,S4702,$G$6:G4702,G4702,$D$6:D4702,"Vastgesteld")&gt;1),1,0))</f>
        <v>0</v>
      </c>
    </row>
    <row r="4703">
      <c r="S4703" s="15" t="str">
        <f>IF(J4703="","",J4703&amp;"|"&amp;E4703&amp;"|"&amp;F4703&amp;"|"&amp;I4703&amp;"|"&amp;O4703)</f>
        <v/>
      </c>
      <c r="T4703" s="15" t="str">
        <f>IF(OR(S4703="",D4703&lt;&gt;"Vastgesteld"),"",_xlfn.MAXIFS($G$6:$G$5005,$S$6:$S$5005,S4703,$D$6:$D$5005,"Vastgesteld"))</f>
        <v/>
      </c>
      <c r="U4703" s="15">
        <f>IF(T4703="",0,IF(AND(G4703=T4703,COUNTIFS($S$6:S4703,S4703,$G$6:G4703,G4703,$D$6:D4703,"Vastgesteld")=1),1,0))</f>
        <v>0</v>
      </c>
      <c r="V4703" s="15">
        <f>IF(T4703="",0,IF(AND(G4703=T4703,COUNTIFS($S$6:S4703,S4703,$G$6:G4703,G4703,$D$6:D4703,"Vastgesteld")&gt;1),1,0))</f>
        <v>0</v>
      </c>
    </row>
    <row r="4704">
      <c r="S4704" s="15" t="str">
        <f>IF(J4704="","",J4704&amp;"|"&amp;E4704&amp;"|"&amp;F4704&amp;"|"&amp;I4704&amp;"|"&amp;O4704)</f>
        <v/>
      </c>
      <c r="T4704" s="15" t="str">
        <f>IF(OR(S4704="",D4704&lt;&gt;"Vastgesteld"),"",_xlfn.MAXIFS($G$6:$G$5005,$S$6:$S$5005,S4704,$D$6:$D$5005,"Vastgesteld"))</f>
        <v/>
      </c>
      <c r="U4704" s="15">
        <f>IF(T4704="",0,IF(AND(G4704=T4704,COUNTIFS($S$6:S4704,S4704,$G$6:G4704,G4704,$D$6:D4704,"Vastgesteld")=1),1,0))</f>
        <v>0</v>
      </c>
      <c r="V4704" s="15">
        <f>IF(T4704="",0,IF(AND(G4704=T4704,COUNTIFS($S$6:S4704,S4704,$G$6:G4704,G4704,$D$6:D4704,"Vastgesteld")&gt;1),1,0))</f>
        <v>0</v>
      </c>
    </row>
    <row r="4705">
      <c r="S4705" s="15" t="str">
        <f>IF(J4705="","",J4705&amp;"|"&amp;E4705&amp;"|"&amp;F4705&amp;"|"&amp;I4705&amp;"|"&amp;O4705)</f>
        <v/>
      </c>
      <c r="T4705" s="15" t="str">
        <f>IF(OR(S4705="",D4705&lt;&gt;"Vastgesteld"),"",_xlfn.MAXIFS($G$6:$G$5005,$S$6:$S$5005,S4705,$D$6:$D$5005,"Vastgesteld"))</f>
        <v/>
      </c>
      <c r="U4705" s="15">
        <f>IF(T4705="",0,IF(AND(G4705=T4705,COUNTIFS($S$6:S4705,S4705,$G$6:G4705,G4705,$D$6:D4705,"Vastgesteld")=1),1,0))</f>
        <v>0</v>
      </c>
      <c r="V4705" s="15">
        <f>IF(T4705="",0,IF(AND(G4705=T4705,COUNTIFS($S$6:S4705,S4705,$G$6:G4705,G4705,$D$6:D4705,"Vastgesteld")&gt;1),1,0))</f>
        <v>0</v>
      </c>
    </row>
    <row r="4706">
      <c r="S4706" s="15" t="str">
        <f>IF(J4706="","",J4706&amp;"|"&amp;E4706&amp;"|"&amp;F4706&amp;"|"&amp;I4706&amp;"|"&amp;O4706)</f>
        <v/>
      </c>
      <c r="T4706" s="15" t="str">
        <f>IF(OR(S4706="",D4706&lt;&gt;"Vastgesteld"),"",_xlfn.MAXIFS($G$6:$G$5005,$S$6:$S$5005,S4706,$D$6:$D$5005,"Vastgesteld"))</f>
        <v/>
      </c>
      <c r="U4706" s="15">
        <f>IF(T4706="",0,IF(AND(G4706=T4706,COUNTIFS($S$6:S4706,S4706,$G$6:G4706,G4706,$D$6:D4706,"Vastgesteld")=1),1,0))</f>
        <v>0</v>
      </c>
      <c r="V4706" s="15">
        <f>IF(T4706="",0,IF(AND(G4706=T4706,COUNTIFS($S$6:S4706,S4706,$G$6:G4706,G4706,$D$6:D4706,"Vastgesteld")&gt;1),1,0))</f>
        <v>0</v>
      </c>
    </row>
    <row r="4707">
      <c r="S4707" s="15" t="str">
        <f>IF(J4707="","",J4707&amp;"|"&amp;E4707&amp;"|"&amp;F4707&amp;"|"&amp;I4707&amp;"|"&amp;O4707)</f>
        <v/>
      </c>
      <c r="T4707" s="15" t="str">
        <f>IF(OR(S4707="",D4707&lt;&gt;"Vastgesteld"),"",_xlfn.MAXIFS($G$6:$G$5005,$S$6:$S$5005,S4707,$D$6:$D$5005,"Vastgesteld"))</f>
        <v/>
      </c>
      <c r="U4707" s="15">
        <f>IF(T4707="",0,IF(AND(G4707=T4707,COUNTIFS($S$6:S4707,S4707,$G$6:G4707,G4707,$D$6:D4707,"Vastgesteld")=1),1,0))</f>
        <v>0</v>
      </c>
      <c r="V4707" s="15">
        <f>IF(T4707="",0,IF(AND(G4707=T4707,COUNTIFS($S$6:S4707,S4707,$G$6:G4707,G4707,$D$6:D4707,"Vastgesteld")&gt;1),1,0))</f>
        <v>0</v>
      </c>
    </row>
    <row r="4708">
      <c r="S4708" s="15" t="str">
        <f>IF(J4708="","",J4708&amp;"|"&amp;E4708&amp;"|"&amp;F4708&amp;"|"&amp;I4708&amp;"|"&amp;O4708)</f>
        <v/>
      </c>
      <c r="T4708" s="15" t="str">
        <f>IF(OR(S4708="",D4708&lt;&gt;"Vastgesteld"),"",_xlfn.MAXIFS($G$6:$G$5005,$S$6:$S$5005,S4708,$D$6:$D$5005,"Vastgesteld"))</f>
        <v/>
      </c>
      <c r="U4708" s="15">
        <f>IF(T4708="",0,IF(AND(G4708=T4708,COUNTIFS($S$6:S4708,S4708,$G$6:G4708,G4708,$D$6:D4708,"Vastgesteld")=1),1,0))</f>
        <v>0</v>
      </c>
      <c r="V4708" s="15">
        <f>IF(T4708="",0,IF(AND(G4708=T4708,COUNTIFS($S$6:S4708,S4708,$G$6:G4708,G4708,$D$6:D4708,"Vastgesteld")&gt;1),1,0))</f>
        <v>0</v>
      </c>
    </row>
    <row r="4709">
      <c r="S4709" s="15" t="str">
        <f>IF(J4709="","",J4709&amp;"|"&amp;E4709&amp;"|"&amp;F4709&amp;"|"&amp;I4709&amp;"|"&amp;O4709)</f>
        <v/>
      </c>
      <c r="T4709" s="15" t="str">
        <f>IF(OR(S4709="",D4709&lt;&gt;"Vastgesteld"),"",_xlfn.MAXIFS($G$6:$G$5005,$S$6:$S$5005,S4709,$D$6:$D$5005,"Vastgesteld"))</f>
        <v/>
      </c>
      <c r="U4709" s="15">
        <f>IF(T4709="",0,IF(AND(G4709=T4709,COUNTIFS($S$6:S4709,S4709,$G$6:G4709,G4709,$D$6:D4709,"Vastgesteld")=1),1,0))</f>
        <v>0</v>
      </c>
      <c r="V4709" s="15">
        <f>IF(T4709="",0,IF(AND(G4709=T4709,COUNTIFS($S$6:S4709,S4709,$G$6:G4709,G4709,$D$6:D4709,"Vastgesteld")&gt;1),1,0))</f>
        <v>0</v>
      </c>
    </row>
    <row r="4710">
      <c r="S4710" s="15" t="str">
        <f>IF(J4710="","",J4710&amp;"|"&amp;E4710&amp;"|"&amp;F4710&amp;"|"&amp;I4710&amp;"|"&amp;O4710)</f>
        <v/>
      </c>
      <c r="T4710" s="15" t="str">
        <f>IF(OR(S4710="",D4710&lt;&gt;"Vastgesteld"),"",_xlfn.MAXIFS($G$6:$G$5005,$S$6:$S$5005,S4710,$D$6:$D$5005,"Vastgesteld"))</f>
        <v/>
      </c>
      <c r="U4710" s="15">
        <f>IF(T4710="",0,IF(AND(G4710=T4710,COUNTIFS($S$6:S4710,S4710,$G$6:G4710,G4710,$D$6:D4710,"Vastgesteld")=1),1,0))</f>
        <v>0</v>
      </c>
      <c r="V4710" s="15">
        <f>IF(T4710="",0,IF(AND(G4710=T4710,COUNTIFS($S$6:S4710,S4710,$G$6:G4710,G4710,$D$6:D4710,"Vastgesteld")&gt;1),1,0))</f>
        <v>0</v>
      </c>
    </row>
    <row r="4711">
      <c r="S4711" s="15" t="str">
        <f>IF(J4711="","",J4711&amp;"|"&amp;E4711&amp;"|"&amp;F4711&amp;"|"&amp;I4711&amp;"|"&amp;O4711)</f>
        <v/>
      </c>
      <c r="T4711" s="15" t="str">
        <f>IF(OR(S4711="",D4711&lt;&gt;"Vastgesteld"),"",_xlfn.MAXIFS($G$6:$G$5005,$S$6:$S$5005,S4711,$D$6:$D$5005,"Vastgesteld"))</f>
        <v/>
      </c>
      <c r="U4711" s="15">
        <f>IF(T4711="",0,IF(AND(G4711=T4711,COUNTIFS($S$6:S4711,S4711,$G$6:G4711,G4711,$D$6:D4711,"Vastgesteld")=1),1,0))</f>
        <v>0</v>
      </c>
      <c r="V4711" s="15">
        <f>IF(T4711="",0,IF(AND(G4711=T4711,COUNTIFS($S$6:S4711,S4711,$G$6:G4711,G4711,$D$6:D4711,"Vastgesteld")&gt;1),1,0))</f>
        <v>0</v>
      </c>
    </row>
    <row r="4712">
      <c r="S4712" s="15" t="str">
        <f>IF(J4712="","",J4712&amp;"|"&amp;E4712&amp;"|"&amp;F4712&amp;"|"&amp;I4712&amp;"|"&amp;O4712)</f>
        <v/>
      </c>
      <c r="T4712" s="15" t="str">
        <f>IF(OR(S4712="",D4712&lt;&gt;"Vastgesteld"),"",_xlfn.MAXIFS($G$6:$G$5005,$S$6:$S$5005,S4712,$D$6:$D$5005,"Vastgesteld"))</f>
        <v/>
      </c>
      <c r="U4712" s="15">
        <f>IF(T4712="",0,IF(AND(G4712=T4712,COUNTIFS($S$6:S4712,S4712,$G$6:G4712,G4712,$D$6:D4712,"Vastgesteld")=1),1,0))</f>
        <v>0</v>
      </c>
      <c r="V4712" s="15">
        <f>IF(T4712="",0,IF(AND(G4712=T4712,COUNTIFS($S$6:S4712,S4712,$G$6:G4712,G4712,$D$6:D4712,"Vastgesteld")&gt;1),1,0))</f>
        <v>0</v>
      </c>
    </row>
    <row r="4713">
      <c r="S4713" s="15" t="str">
        <f>IF(J4713="","",J4713&amp;"|"&amp;E4713&amp;"|"&amp;F4713&amp;"|"&amp;I4713&amp;"|"&amp;O4713)</f>
        <v/>
      </c>
      <c r="T4713" s="15" t="str">
        <f>IF(OR(S4713="",D4713&lt;&gt;"Vastgesteld"),"",_xlfn.MAXIFS($G$6:$G$5005,$S$6:$S$5005,S4713,$D$6:$D$5005,"Vastgesteld"))</f>
        <v/>
      </c>
      <c r="U4713" s="15">
        <f>IF(T4713="",0,IF(AND(G4713=T4713,COUNTIFS($S$6:S4713,S4713,$G$6:G4713,G4713,$D$6:D4713,"Vastgesteld")=1),1,0))</f>
        <v>0</v>
      </c>
      <c r="V4713" s="15">
        <f>IF(T4713="",0,IF(AND(G4713=T4713,COUNTIFS($S$6:S4713,S4713,$G$6:G4713,G4713,$D$6:D4713,"Vastgesteld")&gt;1),1,0))</f>
        <v>0</v>
      </c>
    </row>
    <row r="4714">
      <c r="S4714" s="15" t="str">
        <f>IF(J4714="","",J4714&amp;"|"&amp;E4714&amp;"|"&amp;F4714&amp;"|"&amp;I4714&amp;"|"&amp;O4714)</f>
        <v/>
      </c>
      <c r="T4714" s="15" t="str">
        <f>IF(OR(S4714="",D4714&lt;&gt;"Vastgesteld"),"",_xlfn.MAXIFS($G$6:$G$5005,$S$6:$S$5005,S4714,$D$6:$D$5005,"Vastgesteld"))</f>
        <v/>
      </c>
      <c r="U4714" s="15">
        <f>IF(T4714="",0,IF(AND(G4714=T4714,COUNTIFS($S$6:S4714,S4714,$G$6:G4714,G4714,$D$6:D4714,"Vastgesteld")=1),1,0))</f>
        <v>0</v>
      </c>
      <c r="V4714" s="15">
        <f>IF(T4714="",0,IF(AND(G4714=T4714,COUNTIFS($S$6:S4714,S4714,$G$6:G4714,G4714,$D$6:D4714,"Vastgesteld")&gt;1),1,0))</f>
        <v>0</v>
      </c>
    </row>
    <row r="4715">
      <c r="S4715" s="15" t="str">
        <f>IF(J4715="","",J4715&amp;"|"&amp;E4715&amp;"|"&amp;F4715&amp;"|"&amp;I4715&amp;"|"&amp;O4715)</f>
        <v/>
      </c>
      <c r="T4715" s="15" t="str">
        <f>IF(OR(S4715="",D4715&lt;&gt;"Vastgesteld"),"",_xlfn.MAXIFS($G$6:$G$5005,$S$6:$S$5005,S4715,$D$6:$D$5005,"Vastgesteld"))</f>
        <v/>
      </c>
      <c r="U4715" s="15">
        <f>IF(T4715="",0,IF(AND(G4715=T4715,COUNTIFS($S$6:S4715,S4715,$G$6:G4715,G4715,$D$6:D4715,"Vastgesteld")=1),1,0))</f>
        <v>0</v>
      </c>
      <c r="V4715" s="15">
        <f>IF(T4715="",0,IF(AND(G4715=T4715,COUNTIFS($S$6:S4715,S4715,$G$6:G4715,G4715,$D$6:D4715,"Vastgesteld")&gt;1),1,0))</f>
        <v>0</v>
      </c>
    </row>
    <row r="4716">
      <c r="S4716" s="15" t="str">
        <f>IF(J4716="","",J4716&amp;"|"&amp;E4716&amp;"|"&amp;F4716&amp;"|"&amp;I4716&amp;"|"&amp;O4716)</f>
        <v/>
      </c>
      <c r="T4716" s="15" t="str">
        <f>IF(OR(S4716="",D4716&lt;&gt;"Vastgesteld"),"",_xlfn.MAXIFS($G$6:$G$5005,$S$6:$S$5005,S4716,$D$6:$D$5005,"Vastgesteld"))</f>
        <v/>
      </c>
      <c r="U4716" s="15">
        <f>IF(T4716="",0,IF(AND(G4716=T4716,COUNTIFS($S$6:S4716,S4716,$G$6:G4716,G4716,$D$6:D4716,"Vastgesteld")=1),1,0))</f>
        <v>0</v>
      </c>
      <c r="V4716" s="15">
        <f>IF(T4716="",0,IF(AND(G4716=T4716,COUNTIFS($S$6:S4716,S4716,$G$6:G4716,G4716,$D$6:D4716,"Vastgesteld")&gt;1),1,0))</f>
        <v>0</v>
      </c>
    </row>
    <row r="4717">
      <c r="S4717" s="15" t="str">
        <f>IF(J4717="","",J4717&amp;"|"&amp;E4717&amp;"|"&amp;F4717&amp;"|"&amp;I4717&amp;"|"&amp;O4717)</f>
        <v/>
      </c>
      <c r="T4717" s="15" t="str">
        <f>IF(OR(S4717="",D4717&lt;&gt;"Vastgesteld"),"",_xlfn.MAXIFS($G$6:$G$5005,$S$6:$S$5005,S4717,$D$6:$D$5005,"Vastgesteld"))</f>
        <v/>
      </c>
      <c r="U4717" s="15">
        <f>IF(T4717="",0,IF(AND(G4717=T4717,COUNTIFS($S$6:S4717,S4717,$G$6:G4717,G4717,$D$6:D4717,"Vastgesteld")=1),1,0))</f>
        <v>0</v>
      </c>
      <c r="V4717" s="15">
        <f>IF(T4717="",0,IF(AND(G4717=T4717,COUNTIFS($S$6:S4717,S4717,$G$6:G4717,G4717,$D$6:D4717,"Vastgesteld")&gt;1),1,0))</f>
        <v>0</v>
      </c>
    </row>
    <row r="4718">
      <c r="S4718" s="15" t="str">
        <f>IF(J4718="","",J4718&amp;"|"&amp;E4718&amp;"|"&amp;F4718&amp;"|"&amp;I4718&amp;"|"&amp;O4718)</f>
        <v/>
      </c>
      <c r="T4718" s="15" t="str">
        <f>IF(OR(S4718="",D4718&lt;&gt;"Vastgesteld"),"",_xlfn.MAXIFS($G$6:$G$5005,$S$6:$S$5005,S4718,$D$6:$D$5005,"Vastgesteld"))</f>
        <v/>
      </c>
      <c r="U4718" s="15">
        <f>IF(T4718="",0,IF(AND(G4718=T4718,COUNTIFS($S$6:S4718,S4718,$G$6:G4718,G4718,$D$6:D4718,"Vastgesteld")=1),1,0))</f>
        <v>0</v>
      </c>
      <c r="V4718" s="15">
        <f>IF(T4718="",0,IF(AND(G4718=T4718,COUNTIFS($S$6:S4718,S4718,$G$6:G4718,G4718,$D$6:D4718,"Vastgesteld")&gt;1),1,0))</f>
        <v>0</v>
      </c>
    </row>
    <row r="4719">
      <c r="S4719" s="15" t="str">
        <f>IF(J4719="","",J4719&amp;"|"&amp;E4719&amp;"|"&amp;F4719&amp;"|"&amp;I4719&amp;"|"&amp;O4719)</f>
        <v/>
      </c>
      <c r="T4719" s="15" t="str">
        <f>IF(OR(S4719="",D4719&lt;&gt;"Vastgesteld"),"",_xlfn.MAXIFS($G$6:$G$5005,$S$6:$S$5005,S4719,$D$6:$D$5005,"Vastgesteld"))</f>
        <v/>
      </c>
      <c r="U4719" s="15">
        <f>IF(T4719="",0,IF(AND(G4719=T4719,COUNTIFS($S$6:S4719,S4719,$G$6:G4719,G4719,$D$6:D4719,"Vastgesteld")=1),1,0))</f>
        <v>0</v>
      </c>
      <c r="V4719" s="15">
        <f>IF(T4719="",0,IF(AND(G4719=T4719,COUNTIFS($S$6:S4719,S4719,$G$6:G4719,G4719,$D$6:D4719,"Vastgesteld")&gt;1),1,0))</f>
        <v>0</v>
      </c>
    </row>
    <row r="4720">
      <c r="S4720" s="15" t="str">
        <f>IF(J4720="","",J4720&amp;"|"&amp;E4720&amp;"|"&amp;F4720&amp;"|"&amp;I4720&amp;"|"&amp;O4720)</f>
        <v/>
      </c>
      <c r="T4720" s="15" t="str">
        <f>IF(OR(S4720="",D4720&lt;&gt;"Vastgesteld"),"",_xlfn.MAXIFS($G$6:$G$5005,$S$6:$S$5005,S4720,$D$6:$D$5005,"Vastgesteld"))</f>
        <v/>
      </c>
      <c r="U4720" s="15">
        <f>IF(T4720="",0,IF(AND(G4720=T4720,COUNTIFS($S$6:S4720,S4720,$G$6:G4720,G4720,$D$6:D4720,"Vastgesteld")=1),1,0))</f>
        <v>0</v>
      </c>
      <c r="V4720" s="15">
        <f>IF(T4720="",0,IF(AND(G4720=T4720,COUNTIFS($S$6:S4720,S4720,$G$6:G4720,G4720,$D$6:D4720,"Vastgesteld")&gt;1),1,0))</f>
        <v>0</v>
      </c>
    </row>
    <row r="4721">
      <c r="S4721" s="15" t="str">
        <f>IF(J4721="","",J4721&amp;"|"&amp;E4721&amp;"|"&amp;F4721&amp;"|"&amp;I4721&amp;"|"&amp;O4721)</f>
        <v/>
      </c>
      <c r="T4721" s="15" t="str">
        <f>IF(OR(S4721="",D4721&lt;&gt;"Vastgesteld"),"",_xlfn.MAXIFS($G$6:$G$5005,$S$6:$S$5005,S4721,$D$6:$D$5005,"Vastgesteld"))</f>
        <v/>
      </c>
      <c r="U4721" s="15">
        <f>IF(T4721="",0,IF(AND(G4721=T4721,COUNTIFS($S$6:S4721,S4721,$G$6:G4721,G4721,$D$6:D4721,"Vastgesteld")=1),1,0))</f>
        <v>0</v>
      </c>
      <c r="V4721" s="15">
        <f>IF(T4721="",0,IF(AND(G4721=T4721,COUNTIFS($S$6:S4721,S4721,$G$6:G4721,G4721,$D$6:D4721,"Vastgesteld")&gt;1),1,0))</f>
        <v>0</v>
      </c>
    </row>
    <row r="4722">
      <c r="S4722" s="15" t="str">
        <f>IF(J4722="","",J4722&amp;"|"&amp;E4722&amp;"|"&amp;F4722&amp;"|"&amp;I4722&amp;"|"&amp;O4722)</f>
        <v/>
      </c>
      <c r="T4722" s="15" t="str">
        <f>IF(OR(S4722="",D4722&lt;&gt;"Vastgesteld"),"",_xlfn.MAXIFS($G$6:$G$5005,$S$6:$S$5005,S4722,$D$6:$D$5005,"Vastgesteld"))</f>
        <v/>
      </c>
      <c r="U4722" s="15">
        <f>IF(T4722="",0,IF(AND(G4722=T4722,COUNTIFS($S$6:S4722,S4722,$G$6:G4722,G4722,$D$6:D4722,"Vastgesteld")=1),1,0))</f>
        <v>0</v>
      </c>
      <c r="V4722" s="15">
        <f>IF(T4722="",0,IF(AND(G4722=T4722,COUNTIFS($S$6:S4722,S4722,$G$6:G4722,G4722,$D$6:D4722,"Vastgesteld")&gt;1),1,0))</f>
        <v>0</v>
      </c>
    </row>
    <row r="4723">
      <c r="S4723" s="15" t="str">
        <f>IF(J4723="","",J4723&amp;"|"&amp;E4723&amp;"|"&amp;F4723&amp;"|"&amp;I4723&amp;"|"&amp;O4723)</f>
        <v/>
      </c>
      <c r="T4723" s="15" t="str">
        <f>IF(OR(S4723="",D4723&lt;&gt;"Vastgesteld"),"",_xlfn.MAXIFS($G$6:$G$5005,$S$6:$S$5005,S4723,$D$6:$D$5005,"Vastgesteld"))</f>
        <v/>
      </c>
      <c r="U4723" s="15">
        <f>IF(T4723="",0,IF(AND(G4723=T4723,COUNTIFS($S$6:S4723,S4723,$G$6:G4723,G4723,$D$6:D4723,"Vastgesteld")=1),1,0))</f>
        <v>0</v>
      </c>
      <c r="V4723" s="15">
        <f>IF(T4723="",0,IF(AND(G4723=T4723,COUNTIFS($S$6:S4723,S4723,$G$6:G4723,G4723,$D$6:D4723,"Vastgesteld")&gt;1),1,0))</f>
        <v>0</v>
      </c>
    </row>
    <row r="4724">
      <c r="S4724" s="15" t="str">
        <f>IF(J4724="","",J4724&amp;"|"&amp;E4724&amp;"|"&amp;F4724&amp;"|"&amp;I4724&amp;"|"&amp;O4724)</f>
        <v/>
      </c>
      <c r="T4724" s="15" t="str">
        <f>IF(OR(S4724="",D4724&lt;&gt;"Vastgesteld"),"",_xlfn.MAXIFS($G$6:$G$5005,$S$6:$S$5005,S4724,$D$6:$D$5005,"Vastgesteld"))</f>
        <v/>
      </c>
      <c r="U4724" s="15">
        <f>IF(T4724="",0,IF(AND(G4724=T4724,COUNTIFS($S$6:S4724,S4724,$G$6:G4724,G4724,$D$6:D4724,"Vastgesteld")=1),1,0))</f>
        <v>0</v>
      </c>
      <c r="V4724" s="15">
        <f>IF(T4724="",0,IF(AND(G4724=T4724,COUNTIFS($S$6:S4724,S4724,$G$6:G4724,G4724,$D$6:D4724,"Vastgesteld")&gt;1),1,0))</f>
        <v>0</v>
      </c>
    </row>
    <row r="4725">
      <c r="S4725" s="15" t="str">
        <f>IF(J4725="","",J4725&amp;"|"&amp;E4725&amp;"|"&amp;F4725&amp;"|"&amp;I4725&amp;"|"&amp;O4725)</f>
        <v/>
      </c>
      <c r="T4725" s="15" t="str">
        <f>IF(OR(S4725="",D4725&lt;&gt;"Vastgesteld"),"",_xlfn.MAXIFS($G$6:$G$5005,$S$6:$S$5005,S4725,$D$6:$D$5005,"Vastgesteld"))</f>
        <v/>
      </c>
      <c r="U4725" s="15">
        <f>IF(T4725="",0,IF(AND(G4725=T4725,COUNTIFS($S$6:S4725,S4725,$G$6:G4725,G4725,$D$6:D4725,"Vastgesteld")=1),1,0))</f>
        <v>0</v>
      </c>
      <c r="V4725" s="15">
        <f>IF(T4725="",0,IF(AND(G4725=T4725,COUNTIFS($S$6:S4725,S4725,$G$6:G4725,G4725,$D$6:D4725,"Vastgesteld")&gt;1),1,0))</f>
        <v>0</v>
      </c>
    </row>
    <row r="4726">
      <c r="S4726" s="15" t="str">
        <f>IF(J4726="","",J4726&amp;"|"&amp;E4726&amp;"|"&amp;F4726&amp;"|"&amp;I4726&amp;"|"&amp;O4726)</f>
        <v/>
      </c>
      <c r="T4726" s="15" t="str">
        <f>IF(OR(S4726="",D4726&lt;&gt;"Vastgesteld"),"",_xlfn.MAXIFS($G$6:$G$5005,$S$6:$S$5005,S4726,$D$6:$D$5005,"Vastgesteld"))</f>
        <v/>
      </c>
      <c r="U4726" s="15">
        <f>IF(T4726="",0,IF(AND(G4726=T4726,COUNTIFS($S$6:S4726,S4726,$G$6:G4726,G4726,$D$6:D4726,"Vastgesteld")=1),1,0))</f>
        <v>0</v>
      </c>
      <c r="V4726" s="15">
        <f>IF(T4726="",0,IF(AND(G4726=T4726,COUNTIFS($S$6:S4726,S4726,$G$6:G4726,G4726,$D$6:D4726,"Vastgesteld")&gt;1),1,0))</f>
        <v>0</v>
      </c>
    </row>
    <row r="4727">
      <c r="S4727" s="15" t="str">
        <f>IF(J4727="","",J4727&amp;"|"&amp;E4727&amp;"|"&amp;F4727&amp;"|"&amp;I4727&amp;"|"&amp;O4727)</f>
        <v/>
      </c>
      <c r="T4727" s="15" t="str">
        <f>IF(OR(S4727="",D4727&lt;&gt;"Vastgesteld"),"",_xlfn.MAXIFS($G$6:$G$5005,$S$6:$S$5005,S4727,$D$6:$D$5005,"Vastgesteld"))</f>
        <v/>
      </c>
      <c r="U4727" s="15">
        <f>IF(T4727="",0,IF(AND(G4727=T4727,COUNTIFS($S$6:S4727,S4727,$G$6:G4727,G4727,$D$6:D4727,"Vastgesteld")=1),1,0))</f>
        <v>0</v>
      </c>
      <c r="V4727" s="15">
        <f>IF(T4727="",0,IF(AND(G4727=T4727,COUNTIFS($S$6:S4727,S4727,$G$6:G4727,G4727,$D$6:D4727,"Vastgesteld")&gt;1),1,0))</f>
        <v>0</v>
      </c>
    </row>
    <row r="4728">
      <c r="S4728" s="15" t="str">
        <f>IF(J4728="","",J4728&amp;"|"&amp;E4728&amp;"|"&amp;F4728&amp;"|"&amp;I4728&amp;"|"&amp;O4728)</f>
        <v/>
      </c>
      <c r="T4728" s="15" t="str">
        <f>IF(OR(S4728="",D4728&lt;&gt;"Vastgesteld"),"",_xlfn.MAXIFS($G$6:$G$5005,$S$6:$S$5005,S4728,$D$6:$D$5005,"Vastgesteld"))</f>
        <v/>
      </c>
      <c r="U4728" s="15">
        <f>IF(T4728="",0,IF(AND(G4728=T4728,COUNTIFS($S$6:S4728,S4728,$G$6:G4728,G4728,$D$6:D4728,"Vastgesteld")=1),1,0))</f>
        <v>0</v>
      </c>
      <c r="V4728" s="15">
        <f>IF(T4728="",0,IF(AND(G4728=T4728,COUNTIFS($S$6:S4728,S4728,$G$6:G4728,G4728,$D$6:D4728,"Vastgesteld")&gt;1),1,0))</f>
        <v>0</v>
      </c>
    </row>
    <row r="4729">
      <c r="S4729" s="15" t="str">
        <f>IF(J4729="","",J4729&amp;"|"&amp;E4729&amp;"|"&amp;F4729&amp;"|"&amp;I4729&amp;"|"&amp;O4729)</f>
        <v/>
      </c>
      <c r="T4729" s="15" t="str">
        <f>IF(OR(S4729="",D4729&lt;&gt;"Vastgesteld"),"",_xlfn.MAXIFS($G$6:$G$5005,$S$6:$S$5005,S4729,$D$6:$D$5005,"Vastgesteld"))</f>
        <v/>
      </c>
      <c r="U4729" s="15">
        <f>IF(T4729="",0,IF(AND(G4729=T4729,COUNTIFS($S$6:S4729,S4729,$G$6:G4729,G4729,$D$6:D4729,"Vastgesteld")=1),1,0))</f>
        <v>0</v>
      </c>
      <c r="V4729" s="15">
        <f>IF(T4729="",0,IF(AND(G4729=T4729,COUNTIFS($S$6:S4729,S4729,$G$6:G4729,G4729,$D$6:D4729,"Vastgesteld")&gt;1),1,0))</f>
        <v>0</v>
      </c>
    </row>
    <row r="4730">
      <c r="S4730" s="15" t="str">
        <f>IF(J4730="","",J4730&amp;"|"&amp;E4730&amp;"|"&amp;F4730&amp;"|"&amp;I4730&amp;"|"&amp;O4730)</f>
        <v/>
      </c>
      <c r="T4730" s="15" t="str">
        <f>IF(OR(S4730="",D4730&lt;&gt;"Vastgesteld"),"",_xlfn.MAXIFS($G$6:$G$5005,$S$6:$S$5005,S4730,$D$6:$D$5005,"Vastgesteld"))</f>
        <v/>
      </c>
      <c r="U4730" s="15">
        <f>IF(T4730="",0,IF(AND(G4730=T4730,COUNTIFS($S$6:S4730,S4730,$G$6:G4730,G4730,$D$6:D4730,"Vastgesteld")=1),1,0))</f>
        <v>0</v>
      </c>
      <c r="V4730" s="15">
        <f>IF(T4730="",0,IF(AND(G4730=T4730,COUNTIFS($S$6:S4730,S4730,$G$6:G4730,G4730,$D$6:D4730,"Vastgesteld")&gt;1),1,0))</f>
        <v>0</v>
      </c>
    </row>
    <row r="4731">
      <c r="S4731" s="15" t="str">
        <f>IF(J4731="","",J4731&amp;"|"&amp;E4731&amp;"|"&amp;F4731&amp;"|"&amp;I4731&amp;"|"&amp;O4731)</f>
        <v/>
      </c>
      <c r="T4731" s="15" t="str">
        <f>IF(OR(S4731="",D4731&lt;&gt;"Vastgesteld"),"",_xlfn.MAXIFS($G$6:$G$5005,$S$6:$S$5005,S4731,$D$6:$D$5005,"Vastgesteld"))</f>
        <v/>
      </c>
      <c r="U4731" s="15">
        <f>IF(T4731="",0,IF(AND(G4731=T4731,COUNTIFS($S$6:S4731,S4731,$G$6:G4731,G4731,$D$6:D4731,"Vastgesteld")=1),1,0))</f>
        <v>0</v>
      </c>
      <c r="V4731" s="15">
        <f>IF(T4731="",0,IF(AND(G4731=T4731,COUNTIFS($S$6:S4731,S4731,$G$6:G4731,G4731,$D$6:D4731,"Vastgesteld")&gt;1),1,0))</f>
        <v>0</v>
      </c>
    </row>
    <row r="4732">
      <c r="S4732" s="15" t="str">
        <f>IF(J4732="","",J4732&amp;"|"&amp;E4732&amp;"|"&amp;F4732&amp;"|"&amp;I4732&amp;"|"&amp;O4732)</f>
        <v/>
      </c>
      <c r="T4732" s="15" t="str">
        <f>IF(OR(S4732="",D4732&lt;&gt;"Vastgesteld"),"",_xlfn.MAXIFS($G$6:$G$5005,$S$6:$S$5005,S4732,$D$6:$D$5005,"Vastgesteld"))</f>
        <v/>
      </c>
      <c r="U4732" s="15">
        <f>IF(T4732="",0,IF(AND(G4732=T4732,COUNTIFS($S$6:S4732,S4732,$G$6:G4732,G4732,$D$6:D4732,"Vastgesteld")=1),1,0))</f>
        <v>0</v>
      </c>
      <c r="V4732" s="15">
        <f>IF(T4732="",0,IF(AND(G4732=T4732,COUNTIFS($S$6:S4732,S4732,$G$6:G4732,G4732,$D$6:D4732,"Vastgesteld")&gt;1),1,0))</f>
        <v>0</v>
      </c>
    </row>
    <row r="4733">
      <c r="S4733" s="15" t="str">
        <f>IF(J4733="","",J4733&amp;"|"&amp;E4733&amp;"|"&amp;F4733&amp;"|"&amp;I4733&amp;"|"&amp;O4733)</f>
        <v/>
      </c>
      <c r="T4733" s="15" t="str">
        <f>IF(OR(S4733="",D4733&lt;&gt;"Vastgesteld"),"",_xlfn.MAXIFS($G$6:$G$5005,$S$6:$S$5005,S4733,$D$6:$D$5005,"Vastgesteld"))</f>
        <v/>
      </c>
      <c r="U4733" s="15">
        <f>IF(T4733="",0,IF(AND(G4733=T4733,COUNTIFS($S$6:S4733,S4733,$G$6:G4733,G4733,$D$6:D4733,"Vastgesteld")=1),1,0))</f>
        <v>0</v>
      </c>
      <c r="V4733" s="15">
        <f>IF(T4733="",0,IF(AND(G4733=T4733,COUNTIFS($S$6:S4733,S4733,$G$6:G4733,G4733,$D$6:D4733,"Vastgesteld")&gt;1),1,0))</f>
        <v>0</v>
      </c>
    </row>
    <row r="4734">
      <c r="S4734" s="15" t="str">
        <f>IF(J4734="","",J4734&amp;"|"&amp;E4734&amp;"|"&amp;F4734&amp;"|"&amp;I4734&amp;"|"&amp;O4734)</f>
        <v/>
      </c>
      <c r="T4734" s="15" t="str">
        <f>IF(OR(S4734="",D4734&lt;&gt;"Vastgesteld"),"",_xlfn.MAXIFS($G$6:$G$5005,$S$6:$S$5005,S4734,$D$6:$D$5005,"Vastgesteld"))</f>
        <v/>
      </c>
      <c r="U4734" s="15">
        <f>IF(T4734="",0,IF(AND(G4734=T4734,COUNTIFS($S$6:S4734,S4734,$G$6:G4734,G4734,$D$6:D4734,"Vastgesteld")=1),1,0))</f>
        <v>0</v>
      </c>
      <c r="V4734" s="15">
        <f>IF(T4734="",0,IF(AND(G4734=T4734,COUNTIFS($S$6:S4734,S4734,$G$6:G4734,G4734,$D$6:D4734,"Vastgesteld")&gt;1),1,0))</f>
        <v>0</v>
      </c>
    </row>
    <row r="4735">
      <c r="S4735" s="15" t="str">
        <f>IF(J4735="","",J4735&amp;"|"&amp;E4735&amp;"|"&amp;F4735&amp;"|"&amp;I4735&amp;"|"&amp;O4735)</f>
        <v/>
      </c>
      <c r="T4735" s="15" t="str">
        <f>IF(OR(S4735="",D4735&lt;&gt;"Vastgesteld"),"",_xlfn.MAXIFS($G$6:$G$5005,$S$6:$S$5005,S4735,$D$6:$D$5005,"Vastgesteld"))</f>
        <v/>
      </c>
      <c r="U4735" s="15">
        <f>IF(T4735="",0,IF(AND(G4735=T4735,COUNTIFS($S$6:S4735,S4735,$G$6:G4735,G4735,$D$6:D4735,"Vastgesteld")=1),1,0))</f>
        <v>0</v>
      </c>
      <c r="V4735" s="15">
        <f>IF(T4735="",0,IF(AND(G4735=T4735,COUNTIFS($S$6:S4735,S4735,$G$6:G4735,G4735,$D$6:D4735,"Vastgesteld")&gt;1),1,0))</f>
        <v>0</v>
      </c>
    </row>
    <row r="4736">
      <c r="S4736" s="15" t="str">
        <f>IF(J4736="","",J4736&amp;"|"&amp;E4736&amp;"|"&amp;F4736&amp;"|"&amp;I4736&amp;"|"&amp;O4736)</f>
        <v/>
      </c>
      <c r="T4736" s="15" t="str">
        <f>IF(OR(S4736="",D4736&lt;&gt;"Vastgesteld"),"",_xlfn.MAXIFS($G$6:$G$5005,$S$6:$S$5005,S4736,$D$6:$D$5005,"Vastgesteld"))</f>
        <v/>
      </c>
      <c r="U4736" s="15">
        <f>IF(T4736="",0,IF(AND(G4736=T4736,COUNTIFS($S$6:S4736,S4736,$G$6:G4736,G4736,$D$6:D4736,"Vastgesteld")=1),1,0))</f>
        <v>0</v>
      </c>
      <c r="V4736" s="15">
        <f>IF(T4736="",0,IF(AND(G4736=T4736,COUNTIFS($S$6:S4736,S4736,$G$6:G4736,G4736,$D$6:D4736,"Vastgesteld")&gt;1),1,0))</f>
        <v>0</v>
      </c>
    </row>
    <row r="4737">
      <c r="S4737" s="15" t="str">
        <f>IF(J4737="","",J4737&amp;"|"&amp;E4737&amp;"|"&amp;F4737&amp;"|"&amp;I4737&amp;"|"&amp;O4737)</f>
        <v/>
      </c>
      <c r="T4737" s="15" t="str">
        <f>IF(OR(S4737="",D4737&lt;&gt;"Vastgesteld"),"",_xlfn.MAXIFS($G$6:$G$5005,$S$6:$S$5005,S4737,$D$6:$D$5005,"Vastgesteld"))</f>
        <v/>
      </c>
      <c r="U4737" s="15">
        <f>IF(T4737="",0,IF(AND(G4737=T4737,COUNTIFS($S$6:S4737,S4737,$G$6:G4737,G4737,$D$6:D4737,"Vastgesteld")=1),1,0))</f>
        <v>0</v>
      </c>
      <c r="V4737" s="15">
        <f>IF(T4737="",0,IF(AND(G4737=T4737,COUNTIFS($S$6:S4737,S4737,$G$6:G4737,G4737,$D$6:D4737,"Vastgesteld")&gt;1),1,0))</f>
        <v>0</v>
      </c>
    </row>
    <row r="4738">
      <c r="S4738" s="15" t="str">
        <f>IF(J4738="","",J4738&amp;"|"&amp;E4738&amp;"|"&amp;F4738&amp;"|"&amp;I4738&amp;"|"&amp;O4738)</f>
        <v/>
      </c>
      <c r="T4738" s="15" t="str">
        <f>IF(OR(S4738="",D4738&lt;&gt;"Vastgesteld"),"",_xlfn.MAXIFS($G$6:$G$5005,$S$6:$S$5005,S4738,$D$6:$D$5005,"Vastgesteld"))</f>
        <v/>
      </c>
      <c r="U4738" s="15">
        <f>IF(T4738="",0,IF(AND(G4738=T4738,COUNTIFS($S$6:S4738,S4738,$G$6:G4738,G4738,$D$6:D4738,"Vastgesteld")=1),1,0))</f>
        <v>0</v>
      </c>
      <c r="V4738" s="15">
        <f>IF(T4738="",0,IF(AND(G4738=T4738,COUNTIFS($S$6:S4738,S4738,$G$6:G4738,G4738,$D$6:D4738,"Vastgesteld")&gt;1),1,0))</f>
        <v>0</v>
      </c>
    </row>
    <row r="4739">
      <c r="S4739" s="15" t="str">
        <f>IF(J4739="","",J4739&amp;"|"&amp;E4739&amp;"|"&amp;F4739&amp;"|"&amp;I4739&amp;"|"&amp;O4739)</f>
        <v/>
      </c>
      <c r="T4739" s="15" t="str">
        <f>IF(OR(S4739="",D4739&lt;&gt;"Vastgesteld"),"",_xlfn.MAXIFS($G$6:$G$5005,$S$6:$S$5005,S4739,$D$6:$D$5005,"Vastgesteld"))</f>
        <v/>
      </c>
      <c r="U4739" s="15">
        <f>IF(T4739="",0,IF(AND(G4739=T4739,COUNTIFS($S$6:S4739,S4739,$G$6:G4739,G4739,$D$6:D4739,"Vastgesteld")=1),1,0))</f>
        <v>0</v>
      </c>
      <c r="V4739" s="15">
        <f>IF(T4739="",0,IF(AND(G4739=T4739,COUNTIFS($S$6:S4739,S4739,$G$6:G4739,G4739,$D$6:D4739,"Vastgesteld")&gt;1),1,0))</f>
        <v>0</v>
      </c>
    </row>
    <row r="4740">
      <c r="S4740" s="15" t="str">
        <f>IF(J4740="","",J4740&amp;"|"&amp;E4740&amp;"|"&amp;F4740&amp;"|"&amp;I4740&amp;"|"&amp;O4740)</f>
        <v/>
      </c>
      <c r="T4740" s="15" t="str">
        <f>IF(OR(S4740="",D4740&lt;&gt;"Vastgesteld"),"",_xlfn.MAXIFS($G$6:$G$5005,$S$6:$S$5005,S4740,$D$6:$D$5005,"Vastgesteld"))</f>
        <v/>
      </c>
      <c r="U4740" s="15">
        <f>IF(T4740="",0,IF(AND(G4740=T4740,COUNTIFS($S$6:S4740,S4740,$G$6:G4740,G4740,$D$6:D4740,"Vastgesteld")=1),1,0))</f>
        <v>0</v>
      </c>
      <c r="V4740" s="15">
        <f>IF(T4740="",0,IF(AND(G4740=T4740,COUNTIFS($S$6:S4740,S4740,$G$6:G4740,G4740,$D$6:D4740,"Vastgesteld")&gt;1),1,0))</f>
        <v>0</v>
      </c>
    </row>
    <row r="4741">
      <c r="S4741" s="15" t="str">
        <f>IF(J4741="","",J4741&amp;"|"&amp;E4741&amp;"|"&amp;F4741&amp;"|"&amp;I4741&amp;"|"&amp;O4741)</f>
        <v/>
      </c>
      <c r="T4741" s="15" t="str">
        <f>IF(OR(S4741="",D4741&lt;&gt;"Vastgesteld"),"",_xlfn.MAXIFS($G$6:$G$5005,$S$6:$S$5005,S4741,$D$6:$D$5005,"Vastgesteld"))</f>
        <v/>
      </c>
      <c r="U4741" s="15">
        <f>IF(T4741="",0,IF(AND(G4741=T4741,COUNTIFS($S$6:S4741,S4741,$G$6:G4741,G4741,$D$6:D4741,"Vastgesteld")=1),1,0))</f>
        <v>0</v>
      </c>
      <c r="V4741" s="15">
        <f>IF(T4741="",0,IF(AND(G4741=T4741,COUNTIFS($S$6:S4741,S4741,$G$6:G4741,G4741,$D$6:D4741,"Vastgesteld")&gt;1),1,0))</f>
        <v>0</v>
      </c>
    </row>
    <row r="4742">
      <c r="S4742" s="15" t="str">
        <f>IF(J4742="","",J4742&amp;"|"&amp;E4742&amp;"|"&amp;F4742&amp;"|"&amp;I4742&amp;"|"&amp;O4742)</f>
        <v/>
      </c>
      <c r="T4742" s="15" t="str">
        <f>IF(OR(S4742="",D4742&lt;&gt;"Vastgesteld"),"",_xlfn.MAXIFS($G$6:$G$5005,$S$6:$S$5005,S4742,$D$6:$D$5005,"Vastgesteld"))</f>
        <v/>
      </c>
      <c r="U4742" s="15">
        <f>IF(T4742="",0,IF(AND(G4742=T4742,COUNTIFS($S$6:S4742,S4742,$G$6:G4742,G4742,$D$6:D4742,"Vastgesteld")=1),1,0))</f>
        <v>0</v>
      </c>
      <c r="V4742" s="15">
        <f>IF(T4742="",0,IF(AND(G4742=T4742,COUNTIFS($S$6:S4742,S4742,$G$6:G4742,G4742,$D$6:D4742,"Vastgesteld")&gt;1),1,0))</f>
        <v>0</v>
      </c>
    </row>
    <row r="4743">
      <c r="S4743" s="15" t="str">
        <f>IF(J4743="","",J4743&amp;"|"&amp;E4743&amp;"|"&amp;F4743&amp;"|"&amp;I4743&amp;"|"&amp;O4743)</f>
        <v/>
      </c>
      <c r="T4743" s="15" t="str">
        <f>IF(OR(S4743="",D4743&lt;&gt;"Vastgesteld"),"",_xlfn.MAXIFS($G$6:$G$5005,$S$6:$S$5005,S4743,$D$6:$D$5005,"Vastgesteld"))</f>
        <v/>
      </c>
      <c r="U4743" s="15">
        <f>IF(T4743="",0,IF(AND(G4743=T4743,COUNTIFS($S$6:S4743,S4743,$G$6:G4743,G4743,$D$6:D4743,"Vastgesteld")=1),1,0))</f>
        <v>0</v>
      </c>
      <c r="V4743" s="15">
        <f>IF(T4743="",0,IF(AND(G4743=T4743,COUNTIFS($S$6:S4743,S4743,$G$6:G4743,G4743,$D$6:D4743,"Vastgesteld")&gt;1),1,0))</f>
        <v>0</v>
      </c>
    </row>
    <row r="4744">
      <c r="S4744" s="15" t="str">
        <f>IF(J4744="","",J4744&amp;"|"&amp;E4744&amp;"|"&amp;F4744&amp;"|"&amp;I4744&amp;"|"&amp;O4744)</f>
        <v/>
      </c>
      <c r="T4744" s="15" t="str">
        <f>IF(OR(S4744="",D4744&lt;&gt;"Vastgesteld"),"",_xlfn.MAXIFS($G$6:$G$5005,$S$6:$S$5005,S4744,$D$6:$D$5005,"Vastgesteld"))</f>
        <v/>
      </c>
      <c r="U4744" s="15">
        <f>IF(T4744="",0,IF(AND(G4744=T4744,COUNTIFS($S$6:S4744,S4744,$G$6:G4744,G4744,$D$6:D4744,"Vastgesteld")=1),1,0))</f>
        <v>0</v>
      </c>
      <c r="V4744" s="15">
        <f>IF(T4744="",0,IF(AND(G4744=T4744,COUNTIFS($S$6:S4744,S4744,$G$6:G4744,G4744,$D$6:D4744,"Vastgesteld")&gt;1),1,0))</f>
        <v>0</v>
      </c>
    </row>
    <row r="4745">
      <c r="S4745" s="15" t="str">
        <f>IF(J4745="","",J4745&amp;"|"&amp;E4745&amp;"|"&amp;F4745&amp;"|"&amp;I4745&amp;"|"&amp;O4745)</f>
        <v/>
      </c>
      <c r="T4745" s="15" t="str">
        <f>IF(OR(S4745="",D4745&lt;&gt;"Vastgesteld"),"",_xlfn.MAXIFS($G$6:$G$5005,$S$6:$S$5005,S4745,$D$6:$D$5005,"Vastgesteld"))</f>
        <v/>
      </c>
      <c r="U4745" s="15">
        <f>IF(T4745="",0,IF(AND(G4745=T4745,COUNTIFS($S$6:S4745,S4745,$G$6:G4745,G4745,$D$6:D4745,"Vastgesteld")=1),1,0))</f>
        <v>0</v>
      </c>
      <c r="V4745" s="15">
        <f>IF(T4745="",0,IF(AND(G4745=T4745,COUNTIFS($S$6:S4745,S4745,$G$6:G4745,G4745,$D$6:D4745,"Vastgesteld")&gt;1),1,0))</f>
        <v>0</v>
      </c>
    </row>
    <row r="4746">
      <c r="S4746" s="15" t="str">
        <f>IF(J4746="","",J4746&amp;"|"&amp;E4746&amp;"|"&amp;F4746&amp;"|"&amp;I4746&amp;"|"&amp;O4746)</f>
        <v/>
      </c>
      <c r="T4746" s="15" t="str">
        <f>IF(OR(S4746="",D4746&lt;&gt;"Vastgesteld"),"",_xlfn.MAXIFS($G$6:$G$5005,$S$6:$S$5005,S4746,$D$6:$D$5005,"Vastgesteld"))</f>
        <v/>
      </c>
      <c r="U4746" s="15">
        <f>IF(T4746="",0,IF(AND(G4746=T4746,COUNTIFS($S$6:S4746,S4746,$G$6:G4746,G4746,$D$6:D4746,"Vastgesteld")=1),1,0))</f>
        <v>0</v>
      </c>
      <c r="V4746" s="15">
        <f>IF(T4746="",0,IF(AND(G4746=T4746,COUNTIFS($S$6:S4746,S4746,$G$6:G4746,G4746,$D$6:D4746,"Vastgesteld")&gt;1),1,0))</f>
        <v>0</v>
      </c>
    </row>
    <row r="4747">
      <c r="S4747" s="15" t="str">
        <f>IF(J4747="","",J4747&amp;"|"&amp;E4747&amp;"|"&amp;F4747&amp;"|"&amp;I4747&amp;"|"&amp;O4747)</f>
        <v/>
      </c>
      <c r="T4747" s="15" t="str">
        <f>IF(OR(S4747="",D4747&lt;&gt;"Vastgesteld"),"",_xlfn.MAXIFS($G$6:$G$5005,$S$6:$S$5005,S4747,$D$6:$D$5005,"Vastgesteld"))</f>
        <v/>
      </c>
      <c r="U4747" s="15">
        <f>IF(T4747="",0,IF(AND(G4747=T4747,COUNTIFS($S$6:S4747,S4747,$G$6:G4747,G4747,$D$6:D4747,"Vastgesteld")=1),1,0))</f>
        <v>0</v>
      </c>
      <c r="V4747" s="15">
        <f>IF(T4747="",0,IF(AND(G4747=T4747,COUNTIFS($S$6:S4747,S4747,$G$6:G4747,G4747,$D$6:D4747,"Vastgesteld")&gt;1),1,0))</f>
        <v>0</v>
      </c>
    </row>
    <row r="4748">
      <c r="S4748" s="15" t="str">
        <f>IF(J4748="","",J4748&amp;"|"&amp;E4748&amp;"|"&amp;F4748&amp;"|"&amp;I4748&amp;"|"&amp;O4748)</f>
        <v/>
      </c>
      <c r="T4748" s="15" t="str">
        <f>IF(OR(S4748="",D4748&lt;&gt;"Vastgesteld"),"",_xlfn.MAXIFS($G$6:$G$5005,$S$6:$S$5005,S4748,$D$6:$D$5005,"Vastgesteld"))</f>
        <v/>
      </c>
      <c r="U4748" s="15">
        <f>IF(T4748="",0,IF(AND(G4748=T4748,COUNTIFS($S$6:S4748,S4748,$G$6:G4748,G4748,$D$6:D4748,"Vastgesteld")=1),1,0))</f>
        <v>0</v>
      </c>
      <c r="V4748" s="15">
        <f>IF(T4748="",0,IF(AND(G4748=T4748,COUNTIFS($S$6:S4748,S4748,$G$6:G4748,G4748,$D$6:D4748,"Vastgesteld")&gt;1),1,0))</f>
        <v>0</v>
      </c>
    </row>
    <row r="4749">
      <c r="S4749" s="15" t="str">
        <f>IF(J4749="","",J4749&amp;"|"&amp;E4749&amp;"|"&amp;F4749&amp;"|"&amp;I4749&amp;"|"&amp;O4749)</f>
        <v/>
      </c>
      <c r="T4749" s="15" t="str">
        <f>IF(OR(S4749="",D4749&lt;&gt;"Vastgesteld"),"",_xlfn.MAXIFS($G$6:$G$5005,$S$6:$S$5005,S4749,$D$6:$D$5005,"Vastgesteld"))</f>
        <v/>
      </c>
      <c r="U4749" s="15">
        <f>IF(T4749="",0,IF(AND(G4749=T4749,COUNTIFS($S$6:S4749,S4749,$G$6:G4749,G4749,$D$6:D4749,"Vastgesteld")=1),1,0))</f>
        <v>0</v>
      </c>
      <c r="V4749" s="15">
        <f>IF(T4749="",0,IF(AND(G4749=T4749,COUNTIFS($S$6:S4749,S4749,$G$6:G4749,G4749,$D$6:D4749,"Vastgesteld")&gt;1),1,0))</f>
        <v>0</v>
      </c>
    </row>
    <row r="4750">
      <c r="S4750" s="15" t="str">
        <f>IF(J4750="","",J4750&amp;"|"&amp;E4750&amp;"|"&amp;F4750&amp;"|"&amp;I4750&amp;"|"&amp;O4750)</f>
        <v/>
      </c>
      <c r="T4750" s="15" t="str">
        <f>IF(OR(S4750="",D4750&lt;&gt;"Vastgesteld"),"",_xlfn.MAXIFS($G$6:$G$5005,$S$6:$S$5005,S4750,$D$6:$D$5005,"Vastgesteld"))</f>
        <v/>
      </c>
      <c r="U4750" s="15">
        <f>IF(T4750="",0,IF(AND(G4750=T4750,COUNTIFS($S$6:S4750,S4750,$G$6:G4750,G4750,$D$6:D4750,"Vastgesteld")=1),1,0))</f>
        <v>0</v>
      </c>
      <c r="V4750" s="15">
        <f>IF(T4750="",0,IF(AND(G4750=T4750,COUNTIFS($S$6:S4750,S4750,$G$6:G4750,G4750,$D$6:D4750,"Vastgesteld")&gt;1),1,0))</f>
        <v>0</v>
      </c>
    </row>
    <row r="4751">
      <c r="S4751" s="15" t="str">
        <f>IF(J4751="","",J4751&amp;"|"&amp;E4751&amp;"|"&amp;F4751&amp;"|"&amp;I4751&amp;"|"&amp;O4751)</f>
        <v/>
      </c>
      <c r="T4751" s="15" t="str">
        <f>IF(OR(S4751="",D4751&lt;&gt;"Vastgesteld"),"",_xlfn.MAXIFS($G$6:$G$5005,$S$6:$S$5005,S4751,$D$6:$D$5005,"Vastgesteld"))</f>
        <v/>
      </c>
      <c r="U4751" s="15">
        <f>IF(T4751="",0,IF(AND(G4751=T4751,COUNTIFS($S$6:S4751,S4751,$G$6:G4751,G4751,$D$6:D4751,"Vastgesteld")=1),1,0))</f>
        <v>0</v>
      </c>
      <c r="V4751" s="15">
        <f>IF(T4751="",0,IF(AND(G4751=T4751,COUNTIFS($S$6:S4751,S4751,$G$6:G4751,G4751,$D$6:D4751,"Vastgesteld")&gt;1),1,0))</f>
        <v>0</v>
      </c>
    </row>
    <row r="4752">
      <c r="S4752" s="15" t="str">
        <f>IF(J4752="","",J4752&amp;"|"&amp;E4752&amp;"|"&amp;F4752&amp;"|"&amp;I4752&amp;"|"&amp;O4752)</f>
        <v/>
      </c>
      <c r="T4752" s="15" t="str">
        <f>IF(OR(S4752="",D4752&lt;&gt;"Vastgesteld"),"",_xlfn.MAXIFS($G$6:$G$5005,$S$6:$S$5005,S4752,$D$6:$D$5005,"Vastgesteld"))</f>
        <v/>
      </c>
      <c r="U4752" s="15">
        <f>IF(T4752="",0,IF(AND(G4752=T4752,COUNTIFS($S$6:S4752,S4752,$G$6:G4752,G4752,$D$6:D4752,"Vastgesteld")=1),1,0))</f>
        <v>0</v>
      </c>
      <c r="V4752" s="15">
        <f>IF(T4752="",0,IF(AND(G4752=T4752,COUNTIFS($S$6:S4752,S4752,$G$6:G4752,G4752,$D$6:D4752,"Vastgesteld")&gt;1),1,0))</f>
        <v>0</v>
      </c>
    </row>
    <row r="4753">
      <c r="S4753" s="15" t="str">
        <f>IF(J4753="","",J4753&amp;"|"&amp;E4753&amp;"|"&amp;F4753&amp;"|"&amp;I4753&amp;"|"&amp;O4753)</f>
        <v/>
      </c>
      <c r="T4753" s="15" t="str">
        <f>IF(OR(S4753="",D4753&lt;&gt;"Vastgesteld"),"",_xlfn.MAXIFS($G$6:$G$5005,$S$6:$S$5005,S4753,$D$6:$D$5005,"Vastgesteld"))</f>
        <v/>
      </c>
      <c r="U4753" s="15">
        <f>IF(T4753="",0,IF(AND(G4753=T4753,COUNTIFS($S$6:S4753,S4753,$G$6:G4753,G4753,$D$6:D4753,"Vastgesteld")=1),1,0))</f>
        <v>0</v>
      </c>
      <c r="V4753" s="15">
        <f>IF(T4753="",0,IF(AND(G4753=T4753,COUNTIFS($S$6:S4753,S4753,$G$6:G4753,G4753,$D$6:D4753,"Vastgesteld")&gt;1),1,0))</f>
        <v>0</v>
      </c>
    </row>
    <row r="4754">
      <c r="S4754" s="15" t="str">
        <f>IF(J4754="","",J4754&amp;"|"&amp;E4754&amp;"|"&amp;F4754&amp;"|"&amp;I4754&amp;"|"&amp;O4754)</f>
        <v/>
      </c>
      <c r="T4754" s="15" t="str">
        <f>IF(OR(S4754="",D4754&lt;&gt;"Vastgesteld"),"",_xlfn.MAXIFS($G$6:$G$5005,$S$6:$S$5005,S4754,$D$6:$D$5005,"Vastgesteld"))</f>
        <v/>
      </c>
      <c r="U4754" s="15">
        <f>IF(T4754="",0,IF(AND(G4754=T4754,COUNTIFS($S$6:S4754,S4754,$G$6:G4754,G4754,$D$6:D4754,"Vastgesteld")=1),1,0))</f>
        <v>0</v>
      </c>
      <c r="V4754" s="15">
        <f>IF(T4754="",0,IF(AND(G4754=T4754,COUNTIFS($S$6:S4754,S4754,$G$6:G4754,G4754,$D$6:D4754,"Vastgesteld")&gt;1),1,0))</f>
        <v>0</v>
      </c>
    </row>
    <row r="4755">
      <c r="S4755" s="15" t="str">
        <f>IF(J4755="","",J4755&amp;"|"&amp;E4755&amp;"|"&amp;F4755&amp;"|"&amp;I4755&amp;"|"&amp;O4755)</f>
        <v/>
      </c>
      <c r="T4755" s="15" t="str">
        <f>IF(OR(S4755="",D4755&lt;&gt;"Vastgesteld"),"",_xlfn.MAXIFS($G$6:$G$5005,$S$6:$S$5005,S4755,$D$6:$D$5005,"Vastgesteld"))</f>
        <v/>
      </c>
      <c r="U4755" s="15">
        <f>IF(T4755="",0,IF(AND(G4755=T4755,COUNTIFS($S$6:S4755,S4755,$G$6:G4755,G4755,$D$6:D4755,"Vastgesteld")=1),1,0))</f>
        <v>0</v>
      </c>
      <c r="V4755" s="15">
        <f>IF(T4755="",0,IF(AND(G4755=T4755,COUNTIFS($S$6:S4755,S4755,$G$6:G4755,G4755,$D$6:D4755,"Vastgesteld")&gt;1),1,0))</f>
        <v>0</v>
      </c>
    </row>
    <row r="4756">
      <c r="S4756" s="15" t="str">
        <f>IF(J4756="","",J4756&amp;"|"&amp;E4756&amp;"|"&amp;F4756&amp;"|"&amp;I4756&amp;"|"&amp;O4756)</f>
        <v/>
      </c>
      <c r="T4756" s="15" t="str">
        <f>IF(OR(S4756="",D4756&lt;&gt;"Vastgesteld"),"",_xlfn.MAXIFS($G$6:$G$5005,$S$6:$S$5005,S4756,$D$6:$D$5005,"Vastgesteld"))</f>
        <v/>
      </c>
      <c r="U4756" s="15">
        <f>IF(T4756="",0,IF(AND(G4756=T4756,COUNTIFS($S$6:S4756,S4756,$G$6:G4756,G4756,$D$6:D4756,"Vastgesteld")=1),1,0))</f>
        <v>0</v>
      </c>
      <c r="V4756" s="15">
        <f>IF(T4756="",0,IF(AND(G4756=T4756,COUNTIFS($S$6:S4756,S4756,$G$6:G4756,G4756,$D$6:D4756,"Vastgesteld")&gt;1),1,0))</f>
        <v>0</v>
      </c>
    </row>
    <row r="4757">
      <c r="S4757" s="15" t="str">
        <f>IF(J4757="","",J4757&amp;"|"&amp;E4757&amp;"|"&amp;F4757&amp;"|"&amp;I4757&amp;"|"&amp;O4757)</f>
        <v/>
      </c>
      <c r="T4757" s="15" t="str">
        <f>IF(OR(S4757="",D4757&lt;&gt;"Vastgesteld"),"",_xlfn.MAXIFS($G$6:$G$5005,$S$6:$S$5005,S4757,$D$6:$D$5005,"Vastgesteld"))</f>
        <v/>
      </c>
      <c r="U4757" s="15">
        <f>IF(T4757="",0,IF(AND(G4757=T4757,COUNTIFS($S$6:S4757,S4757,$G$6:G4757,G4757,$D$6:D4757,"Vastgesteld")=1),1,0))</f>
        <v>0</v>
      </c>
      <c r="V4757" s="15">
        <f>IF(T4757="",0,IF(AND(G4757=T4757,COUNTIFS($S$6:S4757,S4757,$G$6:G4757,G4757,$D$6:D4757,"Vastgesteld")&gt;1),1,0))</f>
        <v>0</v>
      </c>
    </row>
    <row r="4758">
      <c r="S4758" s="15" t="str">
        <f>IF(J4758="","",J4758&amp;"|"&amp;E4758&amp;"|"&amp;F4758&amp;"|"&amp;I4758&amp;"|"&amp;O4758)</f>
        <v/>
      </c>
      <c r="T4758" s="15" t="str">
        <f>IF(OR(S4758="",D4758&lt;&gt;"Vastgesteld"),"",_xlfn.MAXIFS($G$6:$G$5005,$S$6:$S$5005,S4758,$D$6:$D$5005,"Vastgesteld"))</f>
        <v/>
      </c>
      <c r="U4758" s="15">
        <f>IF(T4758="",0,IF(AND(G4758=T4758,COUNTIFS($S$6:S4758,S4758,$G$6:G4758,G4758,$D$6:D4758,"Vastgesteld")=1),1,0))</f>
        <v>0</v>
      </c>
      <c r="V4758" s="15">
        <f>IF(T4758="",0,IF(AND(G4758=T4758,COUNTIFS($S$6:S4758,S4758,$G$6:G4758,G4758,$D$6:D4758,"Vastgesteld")&gt;1),1,0))</f>
        <v>0</v>
      </c>
    </row>
    <row r="4759">
      <c r="S4759" s="15" t="str">
        <f>IF(J4759="","",J4759&amp;"|"&amp;E4759&amp;"|"&amp;F4759&amp;"|"&amp;I4759&amp;"|"&amp;O4759)</f>
        <v/>
      </c>
      <c r="T4759" s="15" t="str">
        <f>IF(OR(S4759="",D4759&lt;&gt;"Vastgesteld"),"",_xlfn.MAXIFS($G$6:$G$5005,$S$6:$S$5005,S4759,$D$6:$D$5005,"Vastgesteld"))</f>
        <v/>
      </c>
      <c r="U4759" s="15">
        <f>IF(T4759="",0,IF(AND(G4759=T4759,COUNTIFS($S$6:S4759,S4759,$G$6:G4759,G4759,$D$6:D4759,"Vastgesteld")=1),1,0))</f>
        <v>0</v>
      </c>
      <c r="V4759" s="15">
        <f>IF(T4759="",0,IF(AND(G4759=T4759,COUNTIFS($S$6:S4759,S4759,$G$6:G4759,G4759,$D$6:D4759,"Vastgesteld")&gt;1),1,0))</f>
        <v>0</v>
      </c>
    </row>
    <row r="4760">
      <c r="S4760" s="15" t="str">
        <f>IF(J4760="","",J4760&amp;"|"&amp;E4760&amp;"|"&amp;F4760&amp;"|"&amp;I4760&amp;"|"&amp;O4760)</f>
        <v/>
      </c>
      <c r="T4760" s="15" t="str">
        <f>IF(OR(S4760="",D4760&lt;&gt;"Vastgesteld"),"",_xlfn.MAXIFS($G$6:$G$5005,$S$6:$S$5005,S4760,$D$6:$D$5005,"Vastgesteld"))</f>
        <v/>
      </c>
      <c r="U4760" s="15">
        <f>IF(T4760="",0,IF(AND(G4760=T4760,COUNTIFS($S$6:S4760,S4760,$G$6:G4760,G4760,$D$6:D4760,"Vastgesteld")=1),1,0))</f>
        <v>0</v>
      </c>
      <c r="V4760" s="15">
        <f>IF(T4760="",0,IF(AND(G4760=T4760,COUNTIFS($S$6:S4760,S4760,$G$6:G4760,G4760,$D$6:D4760,"Vastgesteld")&gt;1),1,0))</f>
        <v>0</v>
      </c>
    </row>
    <row r="4761">
      <c r="S4761" s="15" t="str">
        <f>IF(J4761="","",J4761&amp;"|"&amp;E4761&amp;"|"&amp;F4761&amp;"|"&amp;I4761&amp;"|"&amp;O4761)</f>
        <v/>
      </c>
      <c r="T4761" s="15" t="str">
        <f>IF(OR(S4761="",D4761&lt;&gt;"Vastgesteld"),"",_xlfn.MAXIFS($G$6:$G$5005,$S$6:$S$5005,S4761,$D$6:$D$5005,"Vastgesteld"))</f>
        <v/>
      </c>
      <c r="U4761" s="15">
        <f>IF(T4761="",0,IF(AND(G4761=T4761,COUNTIFS($S$6:S4761,S4761,$G$6:G4761,G4761,$D$6:D4761,"Vastgesteld")=1),1,0))</f>
        <v>0</v>
      </c>
      <c r="V4761" s="15">
        <f>IF(T4761="",0,IF(AND(G4761=T4761,COUNTIFS($S$6:S4761,S4761,$G$6:G4761,G4761,$D$6:D4761,"Vastgesteld")&gt;1),1,0))</f>
        <v>0</v>
      </c>
    </row>
    <row r="4762">
      <c r="S4762" s="15" t="str">
        <f>IF(J4762="","",J4762&amp;"|"&amp;E4762&amp;"|"&amp;F4762&amp;"|"&amp;I4762&amp;"|"&amp;O4762)</f>
        <v/>
      </c>
      <c r="T4762" s="15" t="str">
        <f>IF(OR(S4762="",D4762&lt;&gt;"Vastgesteld"),"",_xlfn.MAXIFS($G$6:$G$5005,$S$6:$S$5005,S4762,$D$6:$D$5005,"Vastgesteld"))</f>
        <v/>
      </c>
      <c r="U4762" s="15">
        <f>IF(T4762="",0,IF(AND(G4762=T4762,COUNTIFS($S$6:S4762,S4762,$G$6:G4762,G4762,$D$6:D4762,"Vastgesteld")=1),1,0))</f>
        <v>0</v>
      </c>
      <c r="V4762" s="15">
        <f>IF(T4762="",0,IF(AND(G4762=T4762,COUNTIFS($S$6:S4762,S4762,$G$6:G4762,G4762,$D$6:D4762,"Vastgesteld")&gt;1),1,0))</f>
        <v>0</v>
      </c>
    </row>
    <row r="4763">
      <c r="S4763" s="15" t="str">
        <f>IF(J4763="","",J4763&amp;"|"&amp;E4763&amp;"|"&amp;F4763&amp;"|"&amp;I4763&amp;"|"&amp;O4763)</f>
        <v/>
      </c>
      <c r="T4763" s="15" t="str">
        <f>IF(OR(S4763="",D4763&lt;&gt;"Vastgesteld"),"",_xlfn.MAXIFS($G$6:$G$5005,$S$6:$S$5005,S4763,$D$6:$D$5005,"Vastgesteld"))</f>
        <v/>
      </c>
      <c r="U4763" s="15">
        <f>IF(T4763="",0,IF(AND(G4763=T4763,COUNTIFS($S$6:S4763,S4763,$G$6:G4763,G4763,$D$6:D4763,"Vastgesteld")=1),1,0))</f>
        <v>0</v>
      </c>
      <c r="V4763" s="15">
        <f>IF(T4763="",0,IF(AND(G4763=T4763,COUNTIFS($S$6:S4763,S4763,$G$6:G4763,G4763,$D$6:D4763,"Vastgesteld")&gt;1),1,0))</f>
        <v>0</v>
      </c>
    </row>
    <row r="4764">
      <c r="S4764" s="15" t="str">
        <f>IF(J4764="","",J4764&amp;"|"&amp;E4764&amp;"|"&amp;F4764&amp;"|"&amp;I4764&amp;"|"&amp;O4764)</f>
        <v/>
      </c>
      <c r="T4764" s="15" t="str">
        <f>IF(OR(S4764="",D4764&lt;&gt;"Vastgesteld"),"",_xlfn.MAXIFS($G$6:$G$5005,$S$6:$S$5005,S4764,$D$6:$D$5005,"Vastgesteld"))</f>
        <v/>
      </c>
      <c r="U4764" s="15">
        <f>IF(T4764="",0,IF(AND(G4764=T4764,COUNTIFS($S$6:S4764,S4764,$G$6:G4764,G4764,$D$6:D4764,"Vastgesteld")=1),1,0))</f>
        <v>0</v>
      </c>
      <c r="V4764" s="15">
        <f>IF(T4764="",0,IF(AND(G4764=T4764,COUNTIFS($S$6:S4764,S4764,$G$6:G4764,G4764,$D$6:D4764,"Vastgesteld")&gt;1),1,0))</f>
        <v>0</v>
      </c>
    </row>
    <row r="4765">
      <c r="S4765" s="15" t="str">
        <f>IF(J4765="","",J4765&amp;"|"&amp;E4765&amp;"|"&amp;F4765&amp;"|"&amp;I4765&amp;"|"&amp;O4765)</f>
        <v/>
      </c>
      <c r="T4765" s="15" t="str">
        <f>IF(OR(S4765="",D4765&lt;&gt;"Vastgesteld"),"",_xlfn.MAXIFS($G$6:$G$5005,$S$6:$S$5005,S4765,$D$6:$D$5005,"Vastgesteld"))</f>
        <v/>
      </c>
      <c r="U4765" s="15">
        <f>IF(T4765="",0,IF(AND(G4765=T4765,COUNTIFS($S$6:S4765,S4765,$G$6:G4765,G4765,$D$6:D4765,"Vastgesteld")=1),1,0))</f>
        <v>0</v>
      </c>
      <c r="V4765" s="15">
        <f>IF(T4765="",0,IF(AND(G4765=T4765,COUNTIFS($S$6:S4765,S4765,$G$6:G4765,G4765,$D$6:D4765,"Vastgesteld")&gt;1),1,0))</f>
        <v>0</v>
      </c>
    </row>
    <row r="4766">
      <c r="S4766" s="15" t="str">
        <f>IF(J4766="","",J4766&amp;"|"&amp;E4766&amp;"|"&amp;F4766&amp;"|"&amp;I4766&amp;"|"&amp;O4766)</f>
        <v/>
      </c>
      <c r="T4766" s="15" t="str">
        <f>IF(OR(S4766="",D4766&lt;&gt;"Vastgesteld"),"",_xlfn.MAXIFS($G$6:$G$5005,$S$6:$S$5005,S4766,$D$6:$D$5005,"Vastgesteld"))</f>
        <v/>
      </c>
      <c r="U4766" s="15">
        <f>IF(T4766="",0,IF(AND(G4766=T4766,COUNTIFS($S$6:S4766,S4766,$G$6:G4766,G4766,$D$6:D4766,"Vastgesteld")=1),1,0))</f>
        <v>0</v>
      </c>
      <c r="V4766" s="15">
        <f>IF(T4766="",0,IF(AND(G4766=T4766,COUNTIFS($S$6:S4766,S4766,$G$6:G4766,G4766,$D$6:D4766,"Vastgesteld")&gt;1),1,0))</f>
        <v>0</v>
      </c>
    </row>
    <row r="4767">
      <c r="S4767" s="15" t="str">
        <f>IF(J4767="","",J4767&amp;"|"&amp;E4767&amp;"|"&amp;F4767&amp;"|"&amp;I4767&amp;"|"&amp;O4767)</f>
        <v/>
      </c>
      <c r="T4767" s="15" t="str">
        <f>IF(OR(S4767="",D4767&lt;&gt;"Vastgesteld"),"",_xlfn.MAXIFS($G$6:$G$5005,$S$6:$S$5005,S4767,$D$6:$D$5005,"Vastgesteld"))</f>
        <v/>
      </c>
      <c r="U4767" s="15">
        <f>IF(T4767="",0,IF(AND(G4767=T4767,COUNTIFS($S$6:S4767,S4767,$G$6:G4767,G4767,$D$6:D4767,"Vastgesteld")=1),1,0))</f>
        <v>0</v>
      </c>
      <c r="V4767" s="15">
        <f>IF(T4767="",0,IF(AND(G4767=T4767,COUNTIFS($S$6:S4767,S4767,$G$6:G4767,G4767,$D$6:D4767,"Vastgesteld")&gt;1),1,0))</f>
        <v>0</v>
      </c>
    </row>
    <row r="4768">
      <c r="S4768" s="15" t="str">
        <f>IF(J4768="","",J4768&amp;"|"&amp;E4768&amp;"|"&amp;F4768&amp;"|"&amp;I4768&amp;"|"&amp;O4768)</f>
        <v/>
      </c>
      <c r="T4768" s="15" t="str">
        <f>IF(OR(S4768="",D4768&lt;&gt;"Vastgesteld"),"",_xlfn.MAXIFS($G$6:$G$5005,$S$6:$S$5005,S4768,$D$6:$D$5005,"Vastgesteld"))</f>
        <v/>
      </c>
      <c r="U4768" s="15">
        <f>IF(T4768="",0,IF(AND(G4768=T4768,COUNTIFS($S$6:S4768,S4768,$G$6:G4768,G4768,$D$6:D4768,"Vastgesteld")=1),1,0))</f>
        <v>0</v>
      </c>
      <c r="V4768" s="15">
        <f>IF(T4768="",0,IF(AND(G4768=T4768,COUNTIFS($S$6:S4768,S4768,$G$6:G4768,G4768,$D$6:D4768,"Vastgesteld")&gt;1),1,0))</f>
        <v>0</v>
      </c>
    </row>
    <row r="4769">
      <c r="S4769" s="15" t="str">
        <f>IF(J4769="","",J4769&amp;"|"&amp;E4769&amp;"|"&amp;F4769&amp;"|"&amp;I4769&amp;"|"&amp;O4769)</f>
        <v/>
      </c>
      <c r="T4769" s="15" t="str">
        <f>IF(OR(S4769="",D4769&lt;&gt;"Vastgesteld"),"",_xlfn.MAXIFS($G$6:$G$5005,$S$6:$S$5005,S4769,$D$6:$D$5005,"Vastgesteld"))</f>
        <v/>
      </c>
      <c r="U4769" s="15">
        <f>IF(T4769="",0,IF(AND(G4769=T4769,COUNTIFS($S$6:S4769,S4769,$G$6:G4769,G4769,$D$6:D4769,"Vastgesteld")=1),1,0))</f>
        <v>0</v>
      </c>
      <c r="V4769" s="15">
        <f>IF(T4769="",0,IF(AND(G4769=T4769,COUNTIFS($S$6:S4769,S4769,$G$6:G4769,G4769,$D$6:D4769,"Vastgesteld")&gt;1),1,0))</f>
        <v>0</v>
      </c>
    </row>
    <row r="4770">
      <c r="S4770" s="15" t="str">
        <f>IF(J4770="","",J4770&amp;"|"&amp;E4770&amp;"|"&amp;F4770&amp;"|"&amp;I4770&amp;"|"&amp;O4770)</f>
        <v/>
      </c>
      <c r="T4770" s="15" t="str">
        <f>IF(OR(S4770="",D4770&lt;&gt;"Vastgesteld"),"",_xlfn.MAXIFS($G$6:$G$5005,$S$6:$S$5005,S4770,$D$6:$D$5005,"Vastgesteld"))</f>
        <v/>
      </c>
      <c r="U4770" s="15">
        <f>IF(T4770="",0,IF(AND(G4770=T4770,COUNTIFS($S$6:S4770,S4770,$G$6:G4770,G4770,$D$6:D4770,"Vastgesteld")=1),1,0))</f>
        <v>0</v>
      </c>
      <c r="V4770" s="15">
        <f>IF(T4770="",0,IF(AND(G4770=T4770,COUNTIFS($S$6:S4770,S4770,$G$6:G4770,G4770,$D$6:D4770,"Vastgesteld")&gt;1),1,0))</f>
        <v>0</v>
      </c>
    </row>
    <row r="4771">
      <c r="S4771" s="15" t="str">
        <f>IF(J4771="","",J4771&amp;"|"&amp;E4771&amp;"|"&amp;F4771&amp;"|"&amp;I4771&amp;"|"&amp;O4771)</f>
        <v/>
      </c>
      <c r="T4771" s="15" t="str">
        <f>IF(OR(S4771="",D4771&lt;&gt;"Vastgesteld"),"",_xlfn.MAXIFS($G$6:$G$5005,$S$6:$S$5005,S4771,$D$6:$D$5005,"Vastgesteld"))</f>
        <v/>
      </c>
      <c r="U4771" s="15">
        <f>IF(T4771="",0,IF(AND(G4771=T4771,COUNTIFS($S$6:S4771,S4771,$G$6:G4771,G4771,$D$6:D4771,"Vastgesteld")=1),1,0))</f>
        <v>0</v>
      </c>
      <c r="V4771" s="15">
        <f>IF(T4771="",0,IF(AND(G4771=T4771,COUNTIFS($S$6:S4771,S4771,$G$6:G4771,G4771,$D$6:D4771,"Vastgesteld")&gt;1),1,0))</f>
        <v>0</v>
      </c>
    </row>
    <row r="4772">
      <c r="S4772" s="15" t="str">
        <f>IF(J4772="","",J4772&amp;"|"&amp;E4772&amp;"|"&amp;F4772&amp;"|"&amp;I4772&amp;"|"&amp;O4772)</f>
        <v/>
      </c>
      <c r="T4772" s="15" t="str">
        <f>IF(OR(S4772="",D4772&lt;&gt;"Vastgesteld"),"",_xlfn.MAXIFS($G$6:$G$5005,$S$6:$S$5005,S4772,$D$6:$D$5005,"Vastgesteld"))</f>
        <v/>
      </c>
      <c r="U4772" s="15">
        <f>IF(T4772="",0,IF(AND(G4772=T4772,COUNTIFS($S$6:S4772,S4772,$G$6:G4772,G4772,$D$6:D4772,"Vastgesteld")=1),1,0))</f>
        <v>0</v>
      </c>
      <c r="V4772" s="15">
        <f>IF(T4772="",0,IF(AND(G4772=T4772,COUNTIFS($S$6:S4772,S4772,$G$6:G4772,G4772,$D$6:D4772,"Vastgesteld")&gt;1),1,0))</f>
        <v>0</v>
      </c>
    </row>
    <row r="4773">
      <c r="S4773" s="15" t="str">
        <f>IF(J4773="","",J4773&amp;"|"&amp;E4773&amp;"|"&amp;F4773&amp;"|"&amp;I4773&amp;"|"&amp;O4773)</f>
        <v/>
      </c>
      <c r="T4773" s="15" t="str">
        <f>IF(OR(S4773="",D4773&lt;&gt;"Vastgesteld"),"",_xlfn.MAXIFS($G$6:$G$5005,$S$6:$S$5005,S4773,$D$6:$D$5005,"Vastgesteld"))</f>
        <v/>
      </c>
      <c r="U4773" s="15">
        <f>IF(T4773="",0,IF(AND(G4773=T4773,COUNTIFS($S$6:S4773,S4773,$G$6:G4773,G4773,$D$6:D4773,"Vastgesteld")=1),1,0))</f>
        <v>0</v>
      </c>
      <c r="V4773" s="15">
        <f>IF(T4773="",0,IF(AND(G4773=T4773,COUNTIFS($S$6:S4773,S4773,$G$6:G4773,G4773,$D$6:D4773,"Vastgesteld")&gt;1),1,0))</f>
        <v>0</v>
      </c>
    </row>
    <row r="4774">
      <c r="S4774" s="15" t="str">
        <f>IF(J4774="","",J4774&amp;"|"&amp;E4774&amp;"|"&amp;F4774&amp;"|"&amp;I4774&amp;"|"&amp;O4774)</f>
        <v/>
      </c>
      <c r="T4774" s="15" t="str">
        <f>IF(OR(S4774="",D4774&lt;&gt;"Vastgesteld"),"",_xlfn.MAXIFS($G$6:$G$5005,$S$6:$S$5005,S4774,$D$6:$D$5005,"Vastgesteld"))</f>
        <v/>
      </c>
      <c r="U4774" s="15">
        <f>IF(T4774="",0,IF(AND(G4774=T4774,COUNTIFS($S$6:S4774,S4774,$G$6:G4774,G4774,$D$6:D4774,"Vastgesteld")=1),1,0))</f>
        <v>0</v>
      </c>
      <c r="V4774" s="15">
        <f>IF(T4774="",0,IF(AND(G4774=T4774,COUNTIFS($S$6:S4774,S4774,$G$6:G4774,G4774,$D$6:D4774,"Vastgesteld")&gt;1),1,0))</f>
        <v>0</v>
      </c>
    </row>
    <row r="4775">
      <c r="S4775" s="15" t="str">
        <f>IF(J4775="","",J4775&amp;"|"&amp;E4775&amp;"|"&amp;F4775&amp;"|"&amp;I4775&amp;"|"&amp;O4775)</f>
        <v/>
      </c>
      <c r="T4775" s="15" t="str">
        <f>IF(OR(S4775="",D4775&lt;&gt;"Vastgesteld"),"",_xlfn.MAXIFS($G$6:$G$5005,$S$6:$S$5005,S4775,$D$6:$D$5005,"Vastgesteld"))</f>
        <v/>
      </c>
      <c r="U4775" s="15">
        <f>IF(T4775="",0,IF(AND(G4775=T4775,COUNTIFS($S$6:S4775,S4775,$G$6:G4775,G4775,$D$6:D4775,"Vastgesteld")=1),1,0))</f>
        <v>0</v>
      </c>
      <c r="V4775" s="15">
        <f>IF(T4775="",0,IF(AND(G4775=T4775,COUNTIFS($S$6:S4775,S4775,$G$6:G4775,G4775,$D$6:D4775,"Vastgesteld")&gt;1),1,0))</f>
        <v>0</v>
      </c>
    </row>
    <row r="4776">
      <c r="S4776" s="15" t="str">
        <f>IF(J4776="","",J4776&amp;"|"&amp;E4776&amp;"|"&amp;F4776&amp;"|"&amp;I4776&amp;"|"&amp;O4776)</f>
        <v/>
      </c>
      <c r="T4776" s="15" t="str">
        <f>IF(OR(S4776="",D4776&lt;&gt;"Vastgesteld"),"",_xlfn.MAXIFS($G$6:$G$5005,$S$6:$S$5005,S4776,$D$6:$D$5005,"Vastgesteld"))</f>
        <v/>
      </c>
      <c r="U4776" s="15">
        <f>IF(T4776="",0,IF(AND(G4776=T4776,COUNTIFS($S$6:S4776,S4776,$G$6:G4776,G4776,$D$6:D4776,"Vastgesteld")=1),1,0))</f>
        <v>0</v>
      </c>
      <c r="V4776" s="15">
        <f>IF(T4776="",0,IF(AND(G4776=T4776,COUNTIFS($S$6:S4776,S4776,$G$6:G4776,G4776,$D$6:D4776,"Vastgesteld")&gt;1),1,0))</f>
        <v>0</v>
      </c>
    </row>
    <row r="4777">
      <c r="S4777" s="15" t="str">
        <f>IF(J4777="","",J4777&amp;"|"&amp;E4777&amp;"|"&amp;F4777&amp;"|"&amp;I4777&amp;"|"&amp;O4777)</f>
        <v/>
      </c>
      <c r="T4777" s="15" t="str">
        <f>IF(OR(S4777="",D4777&lt;&gt;"Vastgesteld"),"",_xlfn.MAXIFS($G$6:$G$5005,$S$6:$S$5005,S4777,$D$6:$D$5005,"Vastgesteld"))</f>
        <v/>
      </c>
      <c r="U4777" s="15">
        <f>IF(T4777="",0,IF(AND(G4777=T4777,COUNTIFS($S$6:S4777,S4777,$G$6:G4777,G4777,$D$6:D4777,"Vastgesteld")=1),1,0))</f>
        <v>0</v>
      </c>
      <c r="V4777" s="15">
        <f>IF(T4777="",0,IF(AND(G4777=T4777,COUNTIFS($S$6:S4777,S4777,$G$6:G4777,G4777,$D$6:D4777,"Vastgesteld")&gt;1),1,0))</f>
        <v>0</v>
      </c>
    </row>
    <row r="4778">
      <c r="S4778" s="15" t="str">
        <f>IF(J4778="","",J4778&amp;"|"&amp;E4778&amp;"|"&amp;F4778&amp;"|"&amp;I4778&amp;"|"&amp;O4778)</f>
        <v/>
      </c>
      <c r="T4778" s="15" t="str">
        <f>IF(OR(S4778="",D4778&lt;&gt;"Vastgesteld"),"",_xlfn.MAXIFS($G$6:$G$5005,$S$6:$S$5005,S4778,$D$6:$D$5005,"Vastgesteld"))</f>
        <v/>
      </c>
      <c r="U4778" s="15">
        <f>IF(T4778="",0,IF(AND(G4778=T4778,COUNTIFS($S$6:S4778,S4778,$G$6:G4778,G4778,$D$6:D4778,"Vastgesteld")=1),1,0))</f>
        <v>0</v>
      </c>
      <c r="V4778" s="15">
        <f>IF(T4778="",0,IF(AND(G4778=T4778,COUNTIFS($S$6:S4778,S4778,$G$6:G4778,G4778,$D$6:D4778,"Vastgesteld")&gt;1),1,0))</f>
        <v>0</v>
      </c>
    </row>
    <row r="4779">
      <c r="S4779" s="15" t="str">
        <f>IF(J4779="","",J4779&amp;"|"&amp;E4779&amp;"|"&amp;F4779&amp;"|"&amp;I4779&amp;"|"&amp;O4779)</f>
        <v/>
      </c>
      <c r="T4779" s="15" t="str">
        <f>IF(OR(S4779="",D4779&lt;&gt;"Vastgesteld"),"",_xlfn.MAXIFS($G$6:$G$5005,$S$6:$S$5005,S4779,$D$6:$D$5005,"Vastgesteld"))</f>
        <v/>
      </c>
      <c r="U4779" s="15">
        <f>IF(T4779="",0,IF(AND(G4779=T4779,COUNTIFS($S$6:S4779,S4779,$G$6:G4779,G4779,$D$6:D4779,"Vastgesteld")=1),1,0))</f>
        <v>0</v>
      </c>
      <c r="V4779" s="15">
        <f>IF(T4779="",0,IF(AND(G4779=T4779,COUNTIFS($S$6:S4779,S4779,$G$6:G4779,G4779,$D$6:D4779,"Vastgesteld")&gt;1),1,0))</f>
        <v>0</v>
      </c>
    </row>
    <row r="4780">
      <c r="S4780" s="15" t="str">
        <f>IF(J4780="","",J4780&amp;"|"&amp;E4780&amp;"|"&amp;F4780&amp;"|"&amp;I4780&amp;"|"&amp;O4780)</f>
        <v/>
      </c>
      <c r="T4780" s="15" t="str">
        <f>IF(OR(S4780="",D4780&lt;&gt;"Vastgesteld"),"",_xlfn.MAXIFS($G$6:$G$5005,$S$6:$S$5005,S4780,$D$6:$D$5005,"Vastgesteld"))</f>
        <v/>
      </c>
      <c r="U4780" s="15">
        <f>IF(T4780="",0,IF(AND(G4780=T4780,COUNTIFS($S$6:S4780,S4780,$G$6:G4780,G4780,$D$6:D4780,"Vastgesteld")=1),1,0))</f>
        <v>0</v>
      </c>
      <c r="V4780" s="15">
        <f>IF(T4780="",0,IF(AND(G4780=T4780,COUNTIFS($S$6:S4780,S4780,$G$6:G4780,G4780,$D$6:D4780,"Vastgesteld")&gt;1),1,0))</f>
        <v>0</v>
      </c>
    </row>
    <row r="4781">
      <c r="S4781" s="15" t="str">
        <f>IF(J4781="","",J4781&amp;"|"&amp;E4781&amp;"|"&amp;F4781&amp;"|"&amp;I4781&amp;"|"&amp;O4781)</f>
        <v/>
      </c>
      <c r="T4781" s="15" t="str">
        <f>IF(OR(S4781="",D4781&lt;&gt;"Vastgesteld"),"",_xlfn.MAXIFS($G$6:$G$5005,$S$6:$S$5005,S4781,$D$6:$D$5005,"Vastgesteld"))</f>
        <v/>
      </c>
      <c r="U4781" s="15">
        <f>IF(T4781="",0,IF(AND(G4781=T4781,COUNTIFS($S$6:S4781,S4781,$G$6:G4781,G4781,$D$6:D4781,"Vastgesteld")=1),1,0))</f>
        <v>0</v>
      </c>
      <c r="V4781" s="15">
        <f>IF(T4781="",0,IF(AND(G4781=T4781,COUNTIFS($S$6:S4781,S4781,$G$6:G4781,G4781,$D$6:D4781,"Vastgesteld")&gt;1),1,0))</f>
        <v>0</v>
      </c>
    </row>
    <row r="4782">
      <c r="S4782" s="15" t="str">
        <f>IF(J4782="","",J4782&amp;"|"&amp;E4782&amp;"|"&amp;F4782&amp;"|"&amp;I4782&amp;"|"&amp;O4782)</f>
        <v/>
      </c>
      <c r="T4782" s="15" t="str">
        <f>IF(OR(S4782="",D4782&lt;&gt;"Vastgesteld"),"",_xlfn.MAXIFS($G$6:$G$5005,$S$6:$S$5005,S4782,$D$6:$D$5005,"Vastgesteld"))</f>
        <v/>
      </c>
      <c r="U4782" s="15">
        <f>IF(T4782="",0,IF(AND(G4782=T4782,COUNTIFS($S$6:S4782,S4782,$G$6:G4782,G4782,$D$6:D4782,"Vastgesteld")=1),1,0))</f>
        <v>0</v>
      </c>
      <c r="V4782" s="15">
        <f>IF(T4782="",0,IF(AND(G4782=T4782,COUNTIFS($S$6:S4782,S4782,$G$6:G4782,G4782,$D$6:D4782,"Vastgesteld")&gt;1),1,0))</f>
        <v>0</v>
      </c>
    </row>
    <row r="4783">
      <c r="S4783" s="15" t="str">
        <f>IF(J4783="","",J4783&amp;"|"&amp;E4783&amp;"|"&amp;F4783&amp;"|"&amp;I4783&amp;"|"&amp;O4783)</f>
        <v/>
      </c>
      <c r="T4783" s="15" t="str">
        <f>IF(OR(S4783="",D4783&lt;&gt;"Vastgesteld"),"",_xlfn.MAXIFS($G$6:$G$5005,$S$6:$S$5005,S4783,$D$6:$D$5005,"Vastgesteld"))</f>
        <v/>
      </c>
      <c r="U4783" s="15">
        <f>IF(T4783="",0,IF(AND(G4783=T4783,COUNTIFS($S$6:S4783,S4783,$G$6:G4783,G4783,$D$6:D4783,"Vastgesteld")=1),1,0))</f>
        <v>0</v>
      </c>
      <c r="V4783" s="15">
        <f>IF(T4783="",0,IF(AND(G4783=T4783,COUNTIFS($S$6:S4783,S4783,$G$6:G4783,G4783,$D$6:D4783,"Vastgesteld")&gt;1),1,0))</f>
        <v>0</v>
      </c>
    </row>
    <row r="4784">
      <c r="S4784" s="15" t="str">
        <f>IF(J4784="","",J4784&amp;"|"&amp;E4784&amp;"|"&amp;F4784&amp;"|"&amp;I4784&amp;"|"&amp;O4784)</f>
        <v/>
      </c>
      <c r="T4784" s="15" t="str">
        <f>IF(OR(S4784="",D4784&lt;&gt;"Vastgesteld"),"",_xlfn.MAXIFS($G$6:$G$5005,$S$6:$S$5005,S4784,$D$6:$D$5005,"Vastgesteld"))</f>
        <v/>
      </c>
      <c r="U4784" s="15">
        <f>IF(T4784="",0,IF(AND(G4784=T4784,COUNTIFS($S$6:S4784,S4784,$G$6:G4784,G4784,$D$6:D4784,"Vastgesteld")=1),1,0))</f>
        <v>0</v>
      </c>
      <c r="V4784" s="15">
        <f>IF(T4784="",0,IF(AND(G4784=T4784,COUNTIFS($S$6:S4784,S4784,$G$6:G4784,G4784,$D$6:D4784,"Vastgesteld")&gt;1),1,0))</f>
        <v>0</v>
      </c>
    </row>
    <row r="4785">
      <c r="S4785" s="15" t="str">
        <f>IF(J4785="","",J4785&amp;"|"&amp;E4785&amp;"|"&amp;F4785&amp;"|"&amp;I4785&amp;"|"&amp;O4785)</f>
        <v/>
      </c>
      <c r="T4785" s="15" t="str">
        <f>IF(OR(S4785="",D4785&lt;&gt;"Vastgesteld"),"",_xlfn.MAXIFS($G$6:$G$5005,$S$6:$S$5005,S4785,$D$6:$D$5005,"Vastgesteld"))</f>
        <v/>
      </c>
      <c r="U4785" s="15">
        <f>IF(T4785="",0,IF(AND(G4785=T4785,COUNTIFS($S$6:S4785,S4785,$G$6:G4785,G4785,$D$6:D4785,"Vastgesteld")=1),1,0))</f>
        <v>0</v>
      </c>
      <c r="V4785" s="15">
        <f>IF(T4785="",0,IF(AND(G4785=T4785,COUNTIFS($S$6:S4785,S4785,$G$6:G4785,G4785,$D$6:D4785,"Vastgesteld")&gt;1),1,0))</f>
        <v>0</v>
      </c>
    </row>
    <row r="4786">
      <c r="S4786" s="15" t="str">
        <f>IF(J4786="","",J4786&amp;"|"&amp;E4786&amp;"|"&amp;F4786&amp;"|"&amp;I4786&amp;"|"&amp;O4786)</f>
        <v/>
      </c>
      <c r="T4786" s="15" t="str">
        <f>IF(OR(S4786="",D4786&lt;&gt;"Vastgesteld"),"",_xlfn.MAXIFS($G$6:$G$5005,$S$6:$S$5005,S4786,$D$6:$D$5005,"Vastgesteld"))</f>
        <v/>
      </c>
      <c r="U4786" s="15">
        <f>IF(T4786="",0,IF(AND(G4786=T4786,COUNTIFS($S$6:S4786,S4786,$G$6:G4786,G4786,$D$6:D4786,"Vastgesteld")=1),1,0))</f>
        <v>0</v>
      </c>
      <c r="V4786" s="15">
        <f>IF(T4786="",0,IF(AND(G4786=T4786,COUNTIFS($S$6:S4786,S4786,$G$6:G4786,G4786,$D$6:D4786,"Vastgesteld")&gt;1),1,0))</f>
        <v>0</v>
      </c>
    </row>
    <row r="4787">
      <c r="S4787" s="15" t="str">
        <f>IF(J4787="","",J4787&amp;"|"&amp;E4787&amp;"|"&amp;F4787&amp;"|"&amp;I4787&amp;"|"&amp;O4787)</f>
        <v/>
      </c>
      <c r="T4787" s="15" t="str">
        <f>IF(OR(S4787="",D4787&lt;&gt;"Vastgesteld"),"",_xlfn.MAXIFS($G$6:$G$5005,$S$6:$S$5005,S4787,$D$6:$D$5005,"Vastgesteld"))</f>
        <v/>
      </c>
      <c r="U4787" s="15">
        <f>IF(T4787="",0,IF(AND(G4787=T4787,COUNTIFS($S$6:S4787,S4787,$G$6:G4787,G4787,$D$6:D4787,"Vastgesteld")=1),1,0))</f>
        <v>0</v>
      </c>
      <c r="V4787" s="15">
        <f>IF(T4787="",0,IF(AND(G4787=T4787,COUNTIFS($S$6:S4787,S4787,$G$6:G4787,G4787,$D$6:D4787,"Vastgesteld")&gt;1),1,0))</f>
        <v>0</v>
      </c>
    </row>
    <row r="4788">
      <c r="S4788" s="15" t="str">
        <f>IF(J4788="","",J4788&amp;"|"&amp;E4788&amp;"|"&amp;F4788&amp;"|"&amp;I4788&amp;"|"&amp;O4788)</f>
        <v/>
      </c>
      <c r="T4788" s="15" t="str">
        <f>IF(OR(S4788="",D4788&lt;&gt;"Vastgesteld"),"",_xlfn.MAXIFS($G$6:$G$5005,$S$6:$S$5005,S4788,$D$6:$D$5005,"Vastgesteld"))</f>
        <v/>
      </c>
      <c r="U4788" s="15">
        <f>IF(T4788="",0,IF(AND(G4788=T4788,COUNTIFS($S$6:S4788,S4788,$G$6:G4788,G4788,$D$6:D4788,"Vastgesteld")=1),1,0))</f>
        <v>0</v>
      </c>
      <c r="V4788" s="15">
        <f>IF(T4788="",0,IF(AND(G4788=T4788,COUNTIFS($S$6:S4788,S4788,$G$6:G4788,G4788,$D$6:D4788,"Vastgesteld")&gt;1),1,0))</f>
        <v>0</v>
      </c>
    </row>
    <row r="4789">
      <c r="S4789" s="15" t="str">
        <f>IF(J4789="","",J4789&amp;"|"&amp;E4789&amp;"|"&amp;F4789&amp;"|"&amp;I4789&amp;"|"&amp;O4789)</f>
        <v/>
      </c>
      <c r="T4789" s="15" t="str">
        <f>IF(OR(S4789="",D4789&lt;&gt;"Vastgesteld"),"",_xlfn.MAXIFS($G$6:$G$5005,$S$6:$S$5005,S4789,$D$6:$D$5005,"Vastgesteld"))</f>
        <v/>
      </c>
      <c r="U4789" s="15">
        <f>IF(T4789="",0,IF(AND(G4789=T4789,COUNTIFS($S$6:S4789,S4789,$G$6:G4789,G4789,$D$6:D4789,"Vastgesteld")=1),1,0))</f>
        <v>0</v>
      </c>
      <c r="V4789" s="15">
        <f>IF(T4789="",0,IF(AND(G4789=T4789,COUNTIFS($S$6:S4789,S4789,$G$6:G4789,G4789,$D$6:D4789,"Vastgesteld")&gt;1),1,0))</f>
        <v>0</v>
      </c>
    </row>
    <row r="4790">
      <c r="S4790" s="15" t="str">
        <f>IF(J4790="","",J4790&amp;"|"&amp;E4790&amp;"|"&amp;F4790&amp;"|"&amp;I4790&amp;"|"&amp;O4790)</f>
        <v/>
      </c>
      <c r="T4790" s="15" t="str">
        <f>IF(OR(S4790="",D4790&lt;&gt;"Vastgesteld"),"",_xlfn.MAXIFS($G$6:$G$5005,$S$6:$S$5005,S4790,$D$6:$D$5005,"Vastgesteld"))</f>
        <v/>
      </c>
      <c r="U4790" s="15">
        <f>IF(T4790="",0,IF(AND(G4790=T4790,COUNTIFS($S$6:S4790,S4790,$G$6:G4790,G4790,$D$6:D4790,"Vastgesteld")=1),1,0))</f>
        <v>0</v>
      </c>
      <c r="V4790" s="15">
        <f>IF(T4790="",0,IF(AND(G4790=T4790,COUNTIFS($S$6:S4790,S4790,$G$6:G4790,G4790,$D$6:D4790,"Vastgesteld")&gt;1),1,0))</f>
        <v>0</v>
      </c>
    </row>
    <row r="4791">
      <c r="S4791" s="15" t="str">
        <f>IF(J4791="","",J4791&amp;"|"&amp;E4791&amp;"|"&amp;F4791&amp;"|"&amp;I4791&amp;"|"&amp;O4791)</f>
        <v/>
      </c>
      <c r="T4791" s="15" t="str">
        <f>IF(OR(S4791="",D4791&lt;&gt;"Vastgesteld"),"",_xlfn.MAXIFS($G$6:$G$5005,$S$6:$S$5005,S4791,$D$6:$D$5005,"Vastgesteld"))</f>
        <v/>
      </c>
      <c r="U4791" s="15">
        <f>IF(T4791="",0,IF(AND(G4791=T4791,COUNTIFS($S$6:S4791,S4791,$G$6:G4791,G4791,$D$6:D4791,"Vastgesteld")=1),1,0))</f>
        <v>0</v>
      </c>
      <c r="V4791" s="15">
        <f>IF(T4791="",0,IF(AND(G4791=T4791,COUNTIFS($S$6:S4791,S4791,$G$6:G4791,G4791,$D$6:D4791,"Vastgesteld")&gt;1),1,0))</f>
        <v>0</v>
      </c>
    </row>
    <row r="4792">
      <c r="S4792" s="15" t="str">
        <f>IF(J4792="","",J4792&amp;"|"&amp;E4792&amp;"|"&amp;F4792&amp;"|"&amp;I4792&amp;"|"&amp;O4792)</f>
        <v/>
      </c>
      <c r="T4792" s="15" t="str">
        <f>IF(OR(S4792="",D4792&lt;&gt;"Vastgesteld"),"",_xlfn.MAXIFS($G$6:$G$5005,$S$6:$S$5005,S4792,$D$6:$D$5005,"Vastgesteld"))</f>
        <v/>
      </c>
      <c r="U4792" s="15">
        <f>IF(T4792="",0,IF(AND(G4792=T4792,COUNTIFS($S$6:S4792,S4792,$G$6:G4792,G4792,$D$6:D4792,"Vastgesteld")=1),1,0))</f>
        <v>0</v>
      </c>
      <c r="V4792" s="15">
        <f>IF(T4792="",0,IF(AND(G4792=T4792,COUNTIFS($S$6:S4792,S4792,$G$6:G4792,G4792,$D$6:D4792,"Vastgesteld")&gt;1),1,0))</f>
        <v>0</v>
      </c>
    </row>
    <row r="4793">
      <c r="S4793" s="15" t="str">
        <f>IF(J4793="","",J4793&amp;"|"&amp;E4793&amp;"|"&amp;F4793&amp;"|"&amp;I4793&amp;"|"&amp;O4793)</f>
        <v/>
      </c>
      <c r="T4793" s="15" t="str">
        <f>IF(OR(S4793="",D4793&lt;&gt;"Vastgesteld"),"",_xlfn.MAXIFS($G$6:$G$5005,$S$6:$S$5005,S4793,$D$6:$D$5005,"Vastgesteld"))</f>
        <v/>
      </c>
      <c r="U4793" s="15">
        <f>IF(T4793="",0,IF(AND(G4793=T4793,COUNTIFS($S$6:S4793,S4793,$G$6:G4793,G4793,$D$6:D4793,"Vastgesteld")=1),1,0))</f>
        <v>0</v>
      </c>
      <c r="V4793" s="15">
        <f>IF(T4793="",0,IF(AND(G4793=T4793,COUNTIFS($S$6:S4793,S4793,$G$6:G4793,G4793,$D$6:D4793,"Vastgesteld")&gt;1),1,0))</f>
        <v>0</v>
      </c>
    </row>
    <row r="4794">
      <c r="S4794" s="15" t="str">
        <f>IF(J4794="","",J4794&amp;"|"&amp;E4794&amp;"|"&amp;F4794&amp;"|"&amp;I4794&amp;"|"&amp;O4794)</f>
        <v/>
      </c>
      <c r="T4794" s="15" t="str">
        <f>IF(OR(S4794="",D4794&lt;&gt;"Vastgesteld"),"",_xlfn.MAXIFS($G$6:$G$5005,$S$6:$S$5005,S4794,$D$6:$D$5005,"Vastgesteld"))</f>
        <v/>
      </c>
      <c r="U4794" s="15">
        <f>IF(T4794="",0,IF(AND(G4794=T4794,COUNTIFS($S$6:S4794,S4794,$G$6:G4794,G4794,$D$6:D4794,"Vastgesteld")=1),1,0))</f>
        <v>0</v>
      </c>
      <c r="V4794" s="15">
        <f>IF(T4794="",0,IF(AND(G4794=T4794,COUNTIFS($S$6:S4794,S4794,$G$6:G4794,G4794,$D$6:D4794,"Vastgesteld")&gt;1),1,0))</f>
        <v>0</v>
      </c>
    </row>
    <row r="4795">
      <c r="S4795" s="15" t="str">
        <f>IF(J4795="","",J4795&amp;"|"&amp;E4795&amp;"|"&amp;F4795&amp;"|"&amp;I4795&amp;"|"&amp;O4795)</f>
        <v/>
      </c>
      <c r="T4795" s="15" t="str">
        <f>IF(OR(S4795="",D4795&lt;&gt;"Vastgesteld"),"",_xlfn.MAXIFS($G$6:$G$5005,$S$6:$S$5005,S4795,$D$6:$D$5005,"Vastgesteld"))</f>
        <v/>
      </c>
      <c r="U4795" s="15">
        <f>IF(T4795="",0,IF(AND(G4795=T4795,COUNTIFS($S$6:S4795,S4795,$G$6:G4795,G4795,$D$6:D4795,"Vastgesteld")=1),1,0))</f>
        <v>0</v>
      </c>
      <c r="V4795" s="15">
        <f>IF(T4795="",0,IF(AND(G4795=T4795,COUNTIFS($S$6:S4795,S4795,$G$6:G4795,G4795,$D$6:D4795,"Vastgesteld")&gt;1),1,0))</f>
        <v>0</v>
      </c>
    </row>
    <row r="4796">
      <c r="S4796" s="15" t="str">
        <f>IF(J4796="","",J4796&amp;"|"&amp;E4796&amp;"|"&amp;F4796&amp;"|"&amp;I4796&amp;"|"&amp;O4796)</f>
        <v/>
      </c>
      <c r="T4796" s="15" t="str">
        <f>IF(OR(S4796="",D4796&lt;&gt;"Vastgesteld"),"",_xlfn.MAXIFS($G$6:$G$5005,$S$6:$S$5005,S4796,$D$6:$D$5005,"Vastgesteld"))</f>
        <v/>
      </c>
      <c r="U4796" s="15">
        <f>IF(T4796="",0,IF(AND(G4796=T4796,COUNTIFS($S$6:S4796,S4796,$G$6:G4796,G4796,$D$6:D4796,"Vastgesteld")=1),1,0))</f>
        <v>0</v>
      </c>
      <c r="V4796" s="15">
        <f>IF(T4796="",0,IF(AND(G4796=T4796,COUNTIFS($S$6:S4796,S4796,$G$6:G4796,G4796,$D$6:D4796,"Vastgesteld")&gt;1),1,0))</f>
        <v>0</v>
      </c>
    </row>
    <row r="4797">
      <c r="S4797" s="15" t="str">
        <f>IF(J4797="","",J4797&amp;"|"&amp;E4797&amp;"|"&amp;F4797&amp;"|"&amp;I4797&amp;"|"&amp;O4797)</f>
        <v/>
      </c>
      <c r="T4797" s="15" t="str">
        <f>IF(OR(S4797="",D4797&lt;&gt;"Vastgesteld"),"",_xlfn.MAXIFS($G$6:$G$5005,$S$6:$S$5005,S4797,$D$6:$D$5005,"Vastgesteld"))</f>
        <v/>
      </c>
      <c r="U4797" s="15">
        <f>IF(T4797="",0,IF(AND(G4797=T4797,COUNTIFS($S$6:S4797,S4797,$G$6:G4797,G4797,$D$6:D4797,"Vastgesteld")=1),1,0))</f>
        <v>0</v>
      </c>
      <c r="V4797" s="15">
        <f>IF(T4797="",0,IF(AND(G4797=T4797,COUNTIFS($S$6:S4797,S4797,$G$6:G4797,G4797,$D$6:D4797,"Vastgesteld")&gt;1),1,0))</f>
        <v>0</v>
      </c>
    </row>
    <row r="4798">
      <c r="S4798" s="15" t="str">
        <f>IF(J4798="","",J4798&amp;"|"&amp;E4798&amp;"|"&amp;F4798&amp;"|"&amp;I4798&amp;"|"&amp;O4798)</f>
        <v/>
      </c>
      <c r="T4798" s="15" t="str">
        <f>IF(OR(S4798="",D4798&lt;&gt;"Vastgesteld"),"",_xlfn.MAXIFS($G$6:$G$5005,$S$6:$S$5005,S4798,$D$6:$D$5005,"Vastgesteld"))</f>
        <v/>
      </c>
      <c r="U4798" s="15">
        <f>IF(T4798="",0,IF(AND(G4798=T4798,COUNTIFS($S$6:S4798,S4798,$G$6:G4798,G4798,$D$6:D4798,"Vastgesteld")=1),1,0))</f>
        <v>0</v>
      </c>
      <c r="V4798" s="15">
        <f>IF(T4798="",0,IF(AND(G4798=T4798,COUNTIFS($S$6:S4798,S4798,$G$6:G4798,G4798,$D$6:D4798,"Vastgesteld")&gt;1),1,0))</f>
        <v>0</v>
      </c>
    </row>
    <row r="4799">
      <c r="S4799" s="15" t="str">
        <f>IF(J4799="","",J4799&amp;"|"&amp;E4799&amp;"|"&amp;F4799&amp;"|"&amp;I4799&amp;"|"&amp;O4799)</f>
        <v/>
      </c>
      <c r="T4799" s="15" t="str">
        <f>IF(OR(S4799="",D4799&lt;&gt;"Vastgesteld"),"",_xlfn.MAXIFS($G$6:$G$5005,$S$6:$S$5005,S4799,$D$6:$D$5005,"Vastgesteld"))</f>
        <v/>
      </c>
      <c r="U4799" s="15">
        <f>IF(T4799="",0,IF(AND(G4799=T4799,COUNTIFS($S$6:S4799,S4799,$G$6:G4799,G4799,$D$6:D4799,"Vastgesteld")=1),1,0))</f>
        <v>0</v>
      </c>
      <c r="V4799" s="15">
        <f>IF(T4799="",0,IF(AND(G4799=T4799,COUNTIFS($S$6:S4799,S4799,$G$6:G4799,G4799,$D$6:D4799,"Vastgesteld")&gt;1),1,0))</f>
        <v>0</v>
      </c>
    </row>
    <row r="4800">
      <c r="S4800" s="15" t="str">
        <f>IF(J4800="","",J4800&amp;"|"&amp;E4800&amp;"|"&amp;F4800&amp;"|"&amp;I4800&amp;"|"&amp;O4800)</f>
        <v/>
      </c>
      <c r="T4800" s="15" t="str">
        <f>IF(OR(S4800="",D4800&lt;&gt;"Vastgesteld"),"",_xlfn.MAXIFS($G$6:$G$5005,$S$6:$S$5005,S4800,$D$6:$D$5005,"Vastgesteld"))</f>
        <v/>
      </c>
      <c r="U4800" s="15">
        <f>IF(T4800="",0,IF(AND(G4800=T4800,COUNTIFS($S$6:S4800,S4800,$G$6:G4800,G4800,$D$6:D4800,"Vastgesteld")=1),1,0))</f>
        <v>0</v>
      </c>
      <c r="V4800" s="15">
        <f>IF(T4800="",0,IF(AND(G4800=T4800,COUNTIFS($S$6:S4800,S4800,$G$6:G4800,G4800,$D$6:D4800,"Vastgesteld")&gt;1),1,0))</f>
        <v>0</v>
      </c>
    </row>
    <row r="4801">
      <c r="S4801" s="15" t="str">
        <f>IF(J4801="","",J4801&amp;"|"&amp;E4801&amp;"|"&amp;F4801&amp;"|"&amp;I4801&amp;"|"&amp;O4801)</f>
        <v/>
      </c>
      <c r="T4801" s="15" t="str">
        <f>IF(OR(S4801="",D4801&lt;&gt;"Vastgesteld"),"",_xlfn.MAXIFS($G$6:$G$5005,$S$6:$S$5005,S4801,$D$6:$D$5005,"Vastgesteld"))</f>
        <v/>
      </c>
      <c r="U4801" s="15">
        <f>IF(T4801="",0,IF(AND(G4801=T4801,COUNTIFS($S$6:S4801,S4801,$G$6:G4801,G4801,$D$6:D4801,"Vastgesteld")=1),1,0))</f>
        <v>0</v>
      </c>
      <c r="V4801" s="15">
        <f>IF(T4801="",0,IF(AND(G4801=T4801,COUNTIFS($S$6:S4801,S4801,$G$6:G4801,G4801,$D$6:D4801,"Vastgesteld")&gt;1),1,0))</f>
        <v>0</v>
      </c>
    </row>
    <row r="4802">
      <c r="S4802" s="15" t="str">
        <f>IF(J4802="","",J4802&amp;"|"&amp;E4802&amp;"|"&amp;F4802&amp;"|"&amp;I4802&amp;"|"&amp;O4802)</f>
        <v/>
      </c>
      <c r="T4802" s="15" t="str">
        <f>IF(OR(S4802="",D4802&lt;&gt;"Vastgesteld"),"",_xlfn.MAXIFS($G$6:$G$5005,$S$6:$S$5005,S4802,$D$6:$D$5005,"Vastgesteld"))</f>
        <v/>
      </c>
      <c r="U4802" s="15">
        <f>IF(T4802="",0,IF(AND(G4802=T4802,COUNTIFS($S$6:S4802,S4802,$G$6:G4802,G4802,$D$6:D4802,"Vastgesteld")=1),1,0))</f>
        <v>0</v>
      </c>
      <c r="V4802" s="15">
        <f>IF(T4802="",0,IF(AND(G4802=T4802,COUNTIFS($S$6:S4802,S4802,$G$6:G4802,G4802,$D$6:D4802,"Vastgesteld")&gt;1),1,0))</f>
        <v>0</v>
      </c>
    </row>
    <row r="4803">
      <c r="S4803" s="15" t="str">
        <f>IF(J4803="","",J4803&amp;"|"&amp;E4803&amp;"|"&amp;F4803&amp;"|"&amp;I4803&amp;"|"&amp;O4803)</f>
        <v/>
      </c>
      <c r="T4803" s="15" t="str">
        <f>IF(OR(S4803="",D4803&lt;&gt;"Vastgesteld"),"",_xlfn.MAXIFS($G$6:$G$5005,$S$6:$S$5005,S4803,$D$6:$D$5005,"Vastgesteld"))</f>
        <v/>
      </c>
      <c r="U4803" s="15">
        <f>IF(T4803="",0,IF(AND(G4803=T4803,COUNTIFS($S$6:S4803,S4803,$G$6:G4803,G4803,$D$6:D4803,"Vastgesteld")=1),1,0))</f>
        <v>0</v>
      </c>
      <c r="V4803" s="15">
        <f>IF(T4803="",0,IF(AND(G4803=T4803,COUNTIFS($S$6:S4803,S4803,$G$6:G4803,G4803,$D$6:D4803,"Vastgesteld")&gt;1),1,0))</f>
        <v>0</v>
      </c>
    </row>
    <row r="4804">
      <c r="S4804" s="15" t="str">
        <f>IF(J4804="","",J4804&amp;"|"&amp;E4804&amp;"|"&amp;F4804&amp;"|"&amp;I4804&amp;"|"&amp;O4804)</f>
        <v/>
      </c>
      <c r="T4804" s="15" t="str">
        <f>IF(OR(S4804="",D4804&lt;&gt;"Vastgesteld"),"",_xlfn.MAXIFS($G$6:$G$5005,$S$6:$S$5005,S4804,$D$6:$D$5005,"Vastgesteld"))</f>
        <v/>
      </c>
      <c r="U4804" s="15">
        <f>IF(T4804="",0,IF(AND(G4804=T4804,COUNTIFS($S$6:S4804,S4804,$G$6:G4804,G4804,$D$6:D4804,"Vastgesteld")=1),1,0))</f>
        <v>0</v>
      </c>
      <c r="V4804" s="15">
        <f>IF(T4804="",0,IF(AND(G4804=T4804,COUNTIFS($S$6:S4804,S4804,$G$6:G4804,G4804,$D$6:D4804,"Vastgesteld")&gt;1),1,0))</f>
        <v>0</v>
      </c>
    </row>
    <row r="4805">
      <c r="S4805" s="15" t="str">
        <f>IF(J4805="","",J4805&amp;"|"&amp;E4805&amp;"|"&amp;F4805&amp;"|"&amp;I4805&amp;"|"&amp;O4805)</f>
        <v/>
      </c>
      <c r="T4805" s="15" t="str">
        <f>IF(OR(S4805="",D4805&lt;&gt;"Vastgesteld"),"",_xlfn.MAXIFS($G$6:$G$5005,$S$6:$S$5005,S4805,$D$6:$D$5005,"Vastgesteld"))</f>
        <v/>
      </c>
      <c r="U4805" s="15">
        <f>IF(T4805="",0,IF(AND(G4805=T4805,COUNTIFS($S$6:S4805,S4805,$G$6:G4805,G4805,$D$6:D4805,"Vastgesteld")=1),1,0))</f>
        <v>0</v>
      </c>
      <c r="V4805" s="15">
        <f>IF(T4805="",0,IF(AND(G4805=T4805,COUNTIFS($S$6:S4805,S4805,$G$6:G4805,G4805,$D$6:D4805,"Vastgesteld")&gt;1),1,0))</f>
        <v>0</v>
      </c>
    </row>
    <row r="4806">
      <c r="S4806" s="15" t="str">
        <f>IF(J4806="","",J4806&amp;"|"&amp;E4806&amp;"|"&amp;F4806&amp;"|"&amp;I4806&amp;"|"&amp;O4806)</f>
        <v/>
      </c>
      <c r="T4806" s="15" t="str">
        <f>IF(OR(S4806="",D4806&lt;&gt;"Vastgesteld"),"",_xlfn.MAXIFS($G$6:$G$5005,$S$6:$S$5005,S4806,$D$6:$D$5005,"Vastgesteld"))</f>
        <v/>
      </c>
      <c r="U4806" s="15">
        <f>IF(T4806="",0,IF(AND(G4806=T4806,COUNTIFS($S$6:S4806,S4806,$G$6:G4806,G4806,$D$6:D4806,"Vastgesteld")=1),1,0))</f>
        <v>0</v>
      </c>
      <c r="V4806" s="15">
        <f>IF(T4806="",0,IF(AND(G4806=T4806,COUNTIFS($S$6:S4806,S4806,$G$6:G4806,G4806,$D$6:D4806,"Vastgesteld")&gt;1),1,0))</f>
        <v>0</v>
      </c>
    </row>
    <row r="4807">
      <c r="S4807" s="15" t="str">
        <f>IF(J4807="","",J4807&amp;"|"&amp;E4807&amp;"|"&amp;F4807&amp;"|"&amp;I4807&amp;"|"&amp;O4807)</f>
        <v/>
      </c>
      <c r="T4807" s="15" t="str">
        <f>IF(OR(S4807="",D4807&lt;&gt;"Vastgesteld"),"",_xlfn.MAXIFS($G$6:$G$5005,$S$6:$S$5005,S4807,$D$6:$D$5005,"Vastgesteld"))</f>
        <v/>
      </c>
      <c r="U4807" s="15">
        <f>IF(T4807="",0,IF(AND(G4807=T4807,COUNTIFS($S$6:S4807,S4807,$G$6:G4807,G4807,$D$6:D4807,"Vastgesteld")=1),1,0))</f>
        <v>0</v>
      </c>
      <c r="V4807" s="15">
        <f>IF(T4807="",0,IF(AND(G4807=T4807,COUNTIFS($S$6:S4807,S4807,$G$6:G4807,G4807,$D$6:D4807,"Vastgesteld")&gt;1),1,0))</f>
        <v>0</v>
      </c>
    </row>
    <row r="4808">
      <c r="S4808" s="15" t="str">
        <f>IF(J4808="","",J4808&amp;"|"&amp;E4808&amp;"|"&amp;F4808&amp;"|"&amp;I4808&amp;"|"&amp;O4808)</f>
        <v/>
      </c>
      <c r="T4808" s="15" t="str">
        <f>IF(OR(S4808="",D4808&lt;&gt;"Vastgesteld"),"",_xlfn.MAXIFS($G$6:$G$5005,$S$6:$S$5005,S4808,$D$6:$D$5005,"Vastgesteld"))</f>
        <v/>
      </c>
      <c r="U4808" s="15">
        <f>IF(T4808="",0,IF(AND(G4808=T4808,COUNTIFS($S$6:S4808,S4808,$G$6:G4808,G4808,$D$6:D4808,"Vastgesteld")=1),1,0))</f>
        <v>0</v>
      </c>
      <c r="V4808" s="15">
        <f>IF(T4808="",0,IF(AND(G4808=T4808,COUNTIFS($S$6:S4808,S4808,$G$6:G4808,G4808,$D$6:D4808,"Vastgesteld")&gt;1),1,0))</f>
        <v>0</v>
      </c>
    </row>
    <row r="4809">
      <c r="S4809" s="15" t="str">
        <f>IF(J4809="","",J4809&amp;"|"&amp;E4809&amp;"|"&amp;F4809&amp;"|"&amp;I4809&amp;"|"&amp;O4809)</f>
        <v/>
      </c>
      <c r="T4809" s="15" t="str">
        <f>IF(OR(S4809="",D4809&lt;&gt;"Vastgesteld"),"",_xlfn.MAXIFS($G$6:$G$5005,$S$6:$S$5005,S4809,$D$6:$D$5005,"Vastgesteld"))</f>
        <v/>
      </c>
      <c r="U4809" s="15">
        <f>IF(T4809="",0,IF(AND(G4809=T4809,COUNTIFS($S$6:S4809,S4809,$G$6:G4809,G4809,$D$6:D4809,"Vastgesteld")=1),1,0))</f>
        <v>0</v>
      </c>
      <c r="V4809" s="15">
        <f>IF(T4809="",0,IF(AND(G4809=T4809,COUNTIFS($S$6:S4809,S4809,$G$6:G4809,G4809,$D$6:D4809,"Vastgesteld")&gt;1),1,0))</f>
        <v>0</v>
      </c>
    </row>
    <row r="4810">
      <c r="S4810" s="15" t="str">
        <f>IF(J4810="","",J4810&amp;"|"&amp;E4810&amp;"|"&amp;F4810&amp;"|"&amp;I4810&amp;"|"&amp;O4810)</f>
        <v/>
      </c>
      <c r="T4810" s="15" t="str">
        <f>IF(OR(S4810="",D4810&lt;&gt;"Vastgesteld"),"",_xlfn.MAXIFS($G$6:$G$5005,$S$6:$S$5005,S4810,$D$6:$D$5005,"Vastgesteld"))</f>
        <v/>
      </c>
      <c r="U4810" s="15">
        <f>IF(T4810="",0,IF(AND(G4810=T4810,COUNTIFS($S$6:S4810,S4810,$G$6:G4810,G4810,$D$6:D4810,"Vastgesteld")=1),1,0))</f>
        <v>0</v>
      </c>
      <c r="V4810" s="15">
        <f>IF(T4810="",0,IF(AND(G4810=T4810,COUNTIFS($S$6:S4810,S4810,$G$6:G4810,G4810,$D$6:D4810,"Vastgesteld")&gt;1),1,0))</f>
        <v>0</v>
      </c>
    </row>
    <row r="4811">
      <c r="S4811" s="15" t="str">
        <f>IF(J4811="","",J4811&amp;"|"&amp;E4811&amp;"|"&amp;F4811&amp;"|"&amp;I4811&amp;"|"&amp;O4811)</f>
        <v/>
      </c>
      <c r="T4811" s="15" t="str">
        <f>IF(OR(S4811="",D4811&lt;&gt;"Vastgesteld"),"",_xlfn.MAXIFS($G$6:$G$5005,$S$6:$S$5005,S4811,$D$6:$D$5005,"Vastgesteld"))</f>
        <v/>
      </c>
      <c r="U4811" s="15">
        <f>IF(T4811="",0,IF(AND(G4811=T4811,COUNTIFS($S$6:S4811,S4811,$G$6:G4811,G4811,$D$6:D4811,"Vastgesteld")=1),1,0))</f>
        <v>0</v>
      </c>
      <c r="V4811" s="15">
        <f>IF(T4811="",0,IF(AND(G4811=T4811,COUNTIFS($S$6:S4811,S4811,$G$6:G4811,G4811,$D$6:D4811,"Vastgesteld")&gt;1),1,0))</f>
        <v>0</v>
      </c>
    </row>
    <row r="4812">
      <c r="S4812" s="15" t="str">
        <f>IF(J4812="","",J4812&amp;"|"&amp;E4812&amp;"|"&amp;F4812&amp;"|"&amp;I4812&amp;"|"&amp;O4812)</f>
        <v/>
      </c>
      <c r="T4812" s="15" t="str">
        <f>IF(OR(S4812="",D4812&lt;&gt;"Vastgesteld"),"",_xlfn.MAXIFS($G$6:$G$5005,$S$6:$S$5005,S4812,$D$6:$D$5005,"Vastgesteld"))</f>
        <v/>
      </c>
      <c r="U4812" s="15">
        <f>IF(T4812="",0,IF(AND(G4812=T4812,COUNTIFS($S$6:S4812,S4812,$G$6:G4812,G4812,$D$6:D4812,"Vastgesteld")=1),1,0))</f>
        <v>0</v>
      </c>
      <c r="V4812" s="15">
        <f>IF(T4812="",0,IF(AND(G4812=T4812,COUNTIFS($S$6:S4812,S4812,$G$6:G4812,G4812,$D$6:D4812,"Vastgesteld")&gt;1),1,0))</f>
        <v>0</v>
      </c>
    </row>
    <row r="4813">
      <c r="S4813" s="15" t="str">
        <f>IF(J4813="","",J4813&amp;"|"&amp;E4813&amp;"|"&amp;F4813&amp;"|"&amp;I4813&amp;"|"&amp;O4813)</f>
        <v/>
      </c>
      <c r="T4813" s="15" t="str">
        <f>IF(OR(S4813="",D4813&lt;&gt;"Vastgesteld"),"",_xlfn.MAXIFS($G$6:$G$5005,$S$6:$S$5005,S4813,$D$6:$D$5005,"Vastgesteld"))</f>
        <v/>
      </c>
      <c r="U4813" s="15">
        <f>IF(T4813="",0,IF(AND(G4813=T4813,COUNTIFS($S$6:S4813,S4813,$G$6:G4813,G4813,$D$6:D4813,"Vastgesteld")=1),1,0))</f>
        <v>0</v>
      </c>
      <c r="V4813" s="15">
        <f>IF(T4813="",0,IF(AND(G4813=T4813,COUNTIFS($S$6:S4813,S4813,$G$6:G4813,G4813,$D$6:D4813,"Vastgesteld")&gt;1),1,0))</f>
        <v>0</v>
      </c>
    </row>
    <row r="4814">
      <c r="S4814" s="15" t="str">
        <f>IF(J4814="","",J4814&amp;"|"&amp;E4814&amp;"|"&amp;F4814&amp;"|"&amp;I4814&amp;"|"&amp;O4814)</f>
        <v/>
      </c>
      <c r="T4814" s="15" t="str">
        <f>IF(OR(S4814="",D4814&lt;&gt;"Vastgesteld"),"",_xlfn.MAXIFS($G$6:$G$5005,$S$6:$S$5005,S4814,$D$6:$D$5005,"Vastgesteld"))</f>
        <v/>
      </c>
      <c r="U4814" s="15">
        <f>IF(T4814="",0,IF(AND(G4814=T4814,COUNTIFS($S$6:S4814,S4814,$G$6:G4814,G4814,$D$6:D4814,"Vastgesteld")=1),1,0))</f>
        <v>0</v>
      </c>
      <c r="V4814" s="15">
        <f>IF(T4814="",0,IF(AND(G4814=T4814,COUNTIFS($S$6:S4814,S4814,$G$6:G4814,G4814,$D$6:D4814,"Vastgesteld")&gt;1),1,0))</f>
        <v>0</v>
      </c>
    </row>
    <row r="4815">
      <c r="S4815" s="15" t="str">
        <f>IF(J4815="","",J4815&amp;"|"&amp;E4815&amp;"|"&amp;F4815&amp;"|"&amp;I4815&amp;"|"&amp;O4815)</f>
        <v/>
      </c>
      <c r="T4815" s="15" t="str">
        <f>IF(OR(S4815="",D4815&lt;&gt;"Vastgesteld"),"",_xlfn.MAXIFS($G$6:$G$5005,$S$6:$S$5005,S4815,$D$6:$D$5005,"Vastgesteld"))</f>
        <v/>
      </c>
      <c r="U4815" s="15">
        <f>IF(T4815="",0,IF(AND(G4815=T4815,COUNTIFS($S$6:S4815,S4815,$G$6:G4815,G4815,$D$6:D4815,"Vastgesteld")=1),1,0))</f>
        <v>0</v>
      </c>
      <c r="V4815" s="15">
        <f>IF(T4815="",0,IF(AND(G4815=T4815,COUNTIFS($S$6:S4815,S4815,$G$6:G4815,G4815,$D$6:D4815,"Vastgesteld")&gt;1),1,0))</f>
        <v>0</v>
      </c>
    </row>
    <row r="4816">
      <c r="S4816" s="15" t="str">
        <f>IF(J4816="","",J4816&amp;"|"&amp;E4816&amp;"|"&amp;F4816&amp;"|"&amp;I4816&amp;"|"&amp;O4816)</f>
        <v/>
      </c>
      <c r="T4816" s="15" t="str">
        <f>IF(OR(S4816="",D4816&lt;&gt;"Vastgesteld"),"",_xlfn.MAXIFS($G$6:$G$5005,$S$6:$S$5005,S4816,$D$6:$D$5005,"Vastgesteld"))</f>
        <v/>
      </c>
      <c r="U4816" s="15">
        <f>IF(T4816="",0,IF(AND(G4816=T4816,COUNTIFS($S$6:S4816,S4816,$G$6:G4816,G4816,$D$6:D4816,"Vastgesteld")=1),1,0))</f>
        <v>0</v>
      </c>
      <c r="V4816" s="15">
        <f>IF(T4816="",0,IF(AND(G4816=T4816,COUNTIFS($S$6:S4816,S4816,$G$6:G4816,G4816,$D$6:D4816,"Vastgesteld")&gt;1),1,0))</f>
        <v>0</v>
      </c>
    </row>
    <row r="4817">
      <c r="S4817" s="15" t="str">
        <f>IF(J4817="","",J4817&amp;"|"&amp;E4817&amp;"|"&amp;F4817&amp;"|"&amp;I4817&amp;"|"&amp;O4817)</f>
        <v/>
      </c>
      <c r="T4817" s="15" t="str">
        <f>IF(OR(S4817="",D4817&lt;&gt;"Vastgesteld"),"",_xlfn.MAXIFS($G$6:$G$5005,$S$6:$S$5005,S4817,$D$6:$D$5005,"Vastgesteld"))</f>
        <v/>
      </c>
      <c r="U4817" s="15">
        <f>IF(T4817="",0,IF(AND(G4817=T4817,COUNTIFS($S$6:S4817,S4817,$G$6:G4817,G4817,$D$6:D4817,"Vastgesteld")=1),1,0))</f>
        <v>0</v>
      </c>
      <c r="V4817" s="15">
        <f>IF(T4817="",0,IF(AND(G4817=T4817,COUNTIFS($S$6:S4817,S4817,$G$6:G4817,G4817,$D$6:D4817,"Vastgesteld")&gt;1),1,0))</f>
        <v>0</v>
      </c>
    </row>
    <row r="4818">
      <c r="S4818" s="15" t="str">
        <f>IF(J4818="","",J4818&amp;"|"&amp;E4818&amp;"|"&amp;F4818&amp;"|"&amp;I4818&amp;"|"&amp;O4818)</f>
        <v/>
      </c>
      <c r="T4818" s="15" t="str">
        <f>IF(OR(S4818="",D4818&lt;&gt;"Vastgesteld"),"",_xlfn.MAXIFS($G$6:$G$5005,$S$6:$S$5005,S4818,$D$6:$D$5005,"Vastgesteld"))</f>
        <v/>
      </c>
      <c r="U4818" s="15">
        <f>IF(T4818="",0,IF(AND(G4818=T4818,COUNTIFS($S$6:S4818,S4818,$G$6:G4818,G4818,$D$6:D4818,"Vastgesteld")=1),1,0))</f>
        <v>0</v>
      </c>
      <c r="V4818" s="15">
        <f>IF(T4818="",0,IF(AND(G4818=T4818,COUNTIFS($S$6:S4818,S4818,$G$6:G4818,G4818,$D$6:D4818,"Vastgesteld")&gt;1),1,0))</f>
        <v>0</v>
      </c>
    </row>
    <row r="4819">
      <c r="S4819" s="15" t="str">
        <f>IF(J4819="","",J4819&amp;"|"&amp;E4819&amp;"|"&amp;F4819&amp;"|"&amp;I4819&amp;"|"&amp;O4819)</f>
        <v/>
      </c>
      <c r="T4819" s="15" t="str">
        <f>IF(OR(S4819="",D4819&lt;&gt;"Vastgesteld"),"",_xlfn.MAXIFS($G$6:$G$5005,$S$6:$S$5005,S4819,$D$6:$D$5005,"Vastgesteld"))</f>
        <v/>
      </c>
      <c r="U4819" s="15">
        <f>IF(T4819="",0,IF(AND(G4819=T4819,COUNTIFS($S$6:S4819,S4819,$G$6:G4819,G4819,$D$6:D4819,"Vastgesteld")=1),1,0))</f>
        <v>0</v>
      </c>
      <c r="V4819" s="15">
        <f>IF(T4819="",0,IF(AND(G4819=T4819,COUNTIFS($S$6:S4819,S4819,$G$6:G4819,G4819,$D$6:D4819,"Vastgesteld")&gt;1),1,0))</f>
        <v>0</v>
      </c>
    </row>
    <row r="4820">
      <c r="S4820" s="15" t="str">
        <f>IF(J4820="","",J4820&amp;"|"&amp;E4820&amp;"|"&amp;F4820&amp;"|"&amp;I4820&amp;"|"&amp;O4820)</f>
        <v/>
      </c>
      <c r="T4820" s="15" t="str">
        <f>IF(OR(S4820="",D4820&lt;&gt;"Vastgesteld"),"",_xlfn.MAXIFS($G$6:$G$5005,$S$6:$S$5005,S4820,$D$6:$D$5005,"Vastgesteld"))</f>
        <v/>
      </c>
      <c r="U4820" s="15">
        <f>IF(T4820="",0,IF(AND(G4820=T4820,COUNTIFS($S$6:S4820,S4820,$G$6:G4820,G4820,$D$6:D4820,"Vastgesteld")=1),1,0))</f>
        <v>0</v>
      </c>
      <c r="V4820" s="15">
        <f>IF(T4820="",0,IF(AND(G4820=T4820,COUNTIFS($S$6:S4820,S4820,$G$6:G4820,G4820,$D$6:D4820,"Vastgesteld")&gt;1),1,0))</f>
        <v>0</v>
      </c>
    </row>
    <row r="4821">
      <c r="S4821" s="15" t="str">
        <f>IF(J4821="","",J4821&amp;"|"&amp;E4821&amp;"|"&amp;F4821&amp;"|"&amp;I4821&amp;"|"&amp;O4821)</f>
        <v/>
      </c>
      <c r="T4821" s="15" t="str">
        <f>IF(OR(S4821="",D4821&lt;&gt;"Vastgesteld"),"",_xlfn.MAXIFS($G$6:$G$5005,$S$6:$S$5005,S4821,$D$6:$D$5005,"Vastgesteld"))</f>
        <v/>
      </c>
      <c r="U4821" s="15">
        <f>IF(T4821="",0,IF(AND(G4821=T4821,COUNTIFS($S$6:S4821,S4821,$G$6:G4821,G4821,$D$6:D4821,"Vastgesteld")=1),1,0))</f>
        <v>0</v>
      </c>
      <c r="V4821" s="15">
        <f>IF(T4821="",0,IF(AND(G4821=T4821,COUNTIFS($S$6:S4821,S4821,$G$6:G4821,G4821,$D$6:D4821,"Vastgesteld")&gt;1),1,0))</f>
        <v>0</v>
      </c>
    </row>
    <row r="4822">
      <c r="S4822" s="15" t="str">
        <f>IF(J4822="","",J4822&amp;"|"&amp;E4822&amp;"|"&amp;F4822&amp;"|"&amp;I4822&amp;"|"&amp;O4822)</f>
        <v/>
      </c>
      <c r="T4822" s="15" t="str">
        <f>IF(OR(S4822="",D4822&lt;&gt;"Vastgesteld"),"",_xlfn.MAXIFS($G$6:$G$5005,$S$6:$S$5005,S4822,$D$6:$D$5005,"Vastgesteld"))</f>
        <v/>
      </c>
      <c r="U4822" s="15">
        <f>IF(T4822="",0,IF(AND(G4822=T4822,COUNTIFS($S$6:S4822,S4822,$G$6:G4822,G4822,$D$6:D4822,"Vastgesteld")=1),1,0))</f>
        <v>0</v>
      </c>
      <c r="V4822" s="15">
        <f>IF(T4822="",0,IF(AND(G4822=T4822,COUNTIFS($S$6:S4822,S4822,$G$6:G4822,G4822,$D$6:D4822,"Vastgesteld")&gt;1),1,0))</f>
        <v>0</v>
      </c>
    </row>
    <row r="4823">
      <c r="S4823" s="15" t="str">
        <f>IF(J4823="","",J4823&amp;"|"&amp;E4823&amp;"|"&amp;F4823&amp;"|"&amp;I4823&amp;"|"&amp;O4823)</f>
        <v/>
      </c>
      <c r="T4823" s="15" t="str">
        <f>IF(OR(S4823="",D4823&lt;&gt;"Vastgesteld"),"",_xlfn.MAXIFS($G$6:$G$5005,$S$6:$S$5005,S4823,$D$6:$D$5005,"Vastgesteld"))</f>
        <v/>
      </c>
      <c r="U4823" s="15">
        <f>IF(T4823="",0,IF(AND(G4823=T4823,COUNTIFS($S$6:S4823,S4823,$G$6:G4823,G4823,$D$6:D4823,"Vastgesteld")=1),1,0))</f>
        <v>0</v>
      </c>
      <c r="V4823" s="15">
        <f>IF(T4823="",0,IF(AND(G4823=T4823,COUNTIFS($S$6:S4823,S4823,$G$6:G4823,G4823,$D$6:D4823,"Vastgesteld")&gt;1),1,0))</f>
        <v>0</v>
      </c>
    </row>
    <row r="4824">
      <c r="S4824" s="15" t="str">
        <f>IF(J4824="","",J4824&amp;"|"&amp;E4824&amp;"|"&amp;F4824&amp;"|"&amp;I4824&amp;"|"&amp;O4824)</f>
        <v/>
      </c>
      <c r="T4824" s="15" t="str">
        <f>IF(OR(S4824="",D4824&lt;&gt;"Vastgesteld"),"",_xlfn.MAXIFS($G$6:$G$5005,$S$6:$S$5005,S4824,$D$6:$D$5005,"Vastgesteld"))</f>
        <v/>
      </c>
      <c r="U4824" s="15">
        <f>IF(T4824="",0,IF(AND(G4824=T4824,COUNTIFS($S$6:S4824,S4824,$G$6:G4824,G4824,$D$6:D4824,"Vastgesteld")=1),1,0))</f>
        <v>0</v>
      </c>
      <c r="V4824" s="15">
        <f>IF(T4824="",0,IF(AND(G4824=T4824,COUNTIFS($S$6:S4824,S4824,$G$6:G4824,G4824,$D$6:D4824,"Vastgesteld")&gt;1),1,0))</f>
        <v>0</v>
      </c>
    </row>
    <row r="4825">
      <c r="S4825" s="15" t="str">
        <f>IF(J4825="","",J4825&amp;"|"&amp;E4825&amp;"|"&amp;F4825&amp;"|"&amp;I4825&amp;"|"&amp;O4825)</f>
        <v/>
      </c>
      <c r="T4825" s="15" t="str">
        <f>IF(OR(S4825="",D4825&lt;&gt;"Vastgesteld"),"",_xlfn.MAXIFS($G$6:$G$5005,$S$6:$S$5005,S4825,$D$6:$D$5005,"Vastgesteld"))</f>
        <v/>
      </c>
      <c r="U4825" s="15">
        <f>IF(T4825="",0,IF(AND(G4825=T4825,COUNTIFS($S$6:S4825,S4825,$G$6:G4825,G4825,$D$6:D4825,"Vastgesteld")=1),1,0))</f>
        <v>0</v>
      </c>
      <c r="V4825" s="15">
        <f>IF(T4825="",0,IF(AND(G4825=T4825,COUNTIFS($S$6:S4825,S4825,$G$6:G4825,G4825,$D$6:D4825,"Vastgesteld")&gt;1),1,0))</f>
        <v>0</v>
      </c>
    </row>
    <row r="4826">
      <c r="S4826" s="15" t="str">
        <f>IF(J4826="","",J4826&amp;"|"&amp;E4826&amp;"|"&amp;F4826&amp;"|"&amp;I4826&amp;"|"&amp;O4826)</f>
        <v/>
      </c>
      <c r="T4826" s="15" t="str">
        <f>IF(OR(S4826="",D4826&lt;&gt;"Vastgesteld"),"",_xlfn.MAXIFS($G$6:$G$5005,$S$6:$S$5005,S4826,$D$6:$D$5005,"Vastgesteld"))</f>
        <v/>
      </c>
      <c r="U4826" s="15">
        <f>IF(T4826="",0,IF(AND(G4826=T4826,COUNTIFS($S$6:S4826,S4826,$G$6:G4826,G4826,$D$6:D4826,"Vastgesteld")=1),1,0))</f>
        <v>0</v>
      </c>
      <c r="V4826" s="15">
        <f>IF(T4826="",0,IF(AND(G4826=T4826,COUNTIFS($S$6:S4826,S4826,$G$6:G4826,G4826,$D$6:D4826,"Vastgesteld")&gt;1),1,0))</f>
        <v>0</v>
      </c>
    </row>
    <row r="4827">
      <c r="S4827" s="15" t="str">
        <f>IF(J4827="","",J4827&amp;"|"&amp;E4827&amp;"|"&amp;F4827&amp;"|"&amp;I4827&amp;"|"&amp;O4827)</f>
        <v/>
      </c>
      <c r="T4827" s="15" t="str">
        <f>IF(OR(S4827="",D4827&lt;&gt;"Vastgesteld"),"",_xlfn.MAXIFS($G$6:$G$5005,$S$6:$S$5005,S4827,$D$6:$D$5005,"Vastgesteld"))</f>
        <v/>
      </c>
      <c r="U4827" s="15">
        <f>IF(T4827="",0,IF(AND(G4827=T4827,COUNTIFS($S$6:S4827,S4827,$G$6:G4827,G4827,$D$6:D4827,"Vastgesteld")=1),1,0))</f>
        <v>0</v>
      </c>
      <c r="V4827" s="15">
        <f>IF(T4827="",0,IF(AND(G4827=T4827,COUNTIFS($S$6:S4827,S4827,$G$6:G4827,G4827,$D$6:D4827,"Vastgesteld")&gt;1),1,0))</f>
        <v>0</v>
      </c>
    </row>
    <row r="4828">
      <c r="S4828" s="15" t="str">
        <f>IF(J4828="","",J4828&amp;"|"&amp;E4828&amp;"|"&amp;F4828&amp;"|"&amp;I4828&amp;"|"&amp;O4828)</f>
        <v/>
      </c>
      <c r="T4828" s="15" t="str">
        <f>IF(OR(S4828="",D4828&lt;&gt;"Vastgesteld"),"",_xlfn.MAXIFS($G$6:$G$5005,$S$6:$S$5005,S4828,$D$6:$D$5005,"Vastgesteld"))</f>
        <v/>
      </c>
      <c r="U4828" s="15">
        <f>IF(T4828="",0,IF(AND(G4828=T4828,COUNTIFS($S$6:S4828,S4828,$G$6:G4828,G4828,$D$6:D4828,"Vastgesteld")=1),1,0))</f>
        <v>0</v>
      </c>
      <c r="V4828" s="15">
        <f>IF(T4828="",0,IF(AND(G4828=T4828,COUNTIFS($S$6:S4828,S4828,$G$6:G4828,G4828,$D$6:D4828,"Vastgesteld")&gt;1),1,0))</f>
        <v>0</v>
      </c>
    </row>
    <row r="4829">
      <c r="S4829" s="15" t="str">
        <f>IF(J4829="","",J4829&amp;"|"&amp;E4829&amp;"|"&amp;F4829&amp;"|"&amp;I4829&amp;"|"&amp;O4829)</f>
        <v/>
      </c>
      <c r="T4829" s="15" t="str">
        <f>IF(OR(S4829="",D4829&lt;&gt;"Vastgesteld"),"",_xlfn.MAXIFS($G$6:$G$5005,$S$6:$S$5005,S4829,$D$6:$D$5005,"Vastgesteld"))</f>
        <v/>
      </c>
      <c r="U4829" s="15">
        <f>IF(T4829="",0,IF(AND(G4829=T4829,COUNTIFS($S$6:S4829,S4829,$G$6:G4829,G4829,$D$6:D4829,"Vastgesteld")=1),1,0))</f>
        <v>0</v>
      </c>
      <c r="V4829" s="15">
        <f>IF(T4829="",0,IF(AND(G4829=T4829,COUNTIFS($S$6:S4829,S4829,$G$6:G4829,G4829,$D$6:D4829,"Vastgesteld")&gt;1),1,0))</f>
        <v>0</v>
      </c>
    </row>
    <row r="4830">
      <c r="S4830" s="15" t="str">
        <f>IF(J4830="","",J4830&amp;"|"&amp;E4830&amp;"|"&amp;F4830&amp;"|"&amp;I4830&amp;"|"&amp;O4830)</f>
        <v/>
      </c>
      <c r="T4830" s="15" t="str">
        <f>IF(OR(S4830="",D4830&lt;&gt;"Vastgesteld"),"",_xlfn.MAXIFS($G$6:$G$5005,$S$6:$S$5005,S4830,$D$6:$D$5005,"Vastgesteld"))</f>
        <v/>
      </c>
      <c r="U4830" s="15">
        <f>IF(T4830="",0,IF(AND(G4830=T4830,COUNTIFS($S$6:S4830,S4830,$G$6:G4830,G4830,$D$6:D4830,"Vastgesteld")=1),1,0))</f>
        <v>0</v>
      </c>
      <c r="V4830" s="15">
        <f>IF(T4830="",0,IF(AND(G4830=T4830,COUNTIFS($S$6:S4830,S4830,$G$6:G4830,G4830,$D$6:D4830,"Vastgesteld")&gt;1),1,0))</f>
        <v>0</v>
      </c>
    </row>
    <row r="4831">
      <c r="S4831" s="15" t="str">
        <f>IF(J4831="","",J4831&amp;"|"&amp;E4831&amp;"|"&amp;F4831&amp;"|"&amp;I4831&amp;"|"&amp;O4831)</f>
        <v/>
      </c>
      <c r="T4831" s="15" t="str">
        <f>IF(OR(S4831="",D4831&lt;&gt;"Vastgesteld"),"",_xlfn.MAXIFS($G$6:$G$5005,$S$6:$S$5005,S4831,$D$6:$D$5005,"Vastgesteld"))</f>
        <v/>
      </c>
      <c r="U4831" s="15">
        <f>IF(T4831="",0,IF(AND(G4831=T4831,COUNTIFS($S$6:S4831,S4831,$G$6:G4831,G4831,$D$6:D4831,"Vastgesteld")=1),1,0))</f>
        <v>0</v>
      </c>
      <c r="V4831" s="15">
        <f>IF(T4831="",0,IF(AND(G4831=T4831,COUNTIFS($S$6:S4831,S4831,$G$6:G4831,G4831,$D$6:D4831,"Vastgesteld")&gt;1),1,0))</f>
        <v>0</v>
      </c>
    </row>
    <row r="4832">
      <c r="S4832" s="15" t="str">
        <f>IF(J4832="","",J4832&amp;"|"&amp;E4832&amp;"|"&amp;F4832&amp;"|"&amp;I4832&amp;"|"&amp;O4832)</f>
        <v/>
      </c>
      <c r="T4832" s="15" t="str">
        <f>IF(OR(S4832="",D4832&lt;&gt;"Vastgesteld"),"",_xlfn.MAXIFS($G$6:$G$5005,$S$6:$S$5005,S4832,$D$6:$D$5005,"Vastgesteld"))</f>
        <v/>
      </c>
      <c r="U4832" s="15">
        <f>IF(T4832="",0,IF(AND(G4832=T4832,COUNTIFS($S$6:S4832,S4832,$G$6:G4832,G4832,$D$6:D4832,"Vastgesteld")=1),1,0))</f>
        <v>0</v>
      </c>
      <c r="V4832" s="15">
        <f>IF(T4832="",0,IF(AND(G4832=T4832,COUNTIFS($S$6:S4832,S4832,$G$6:G4832,G4832,$D$6:D4832,"Vastgesteld")&gt;1),1,0))</f>
        <v>0</v>
      </c>
    </row>
    <row r="4833">
      <c r="S4833" s="15" t="str">
        <f>IF(J4833="","",J4833&amp;"|"&amp;E4833&amp;"|"&amp;F4833&amp;"|"&amp;I4833&amp;"|"&amp;O4833)</f>
        <v/>
      </c>
      <c r="T4833" s="15" t="str">
        <f>IF(OR(S4833="",D4833&lt;&gt;"Vastgesteld"),"",_xlfn.MAXIFS($G$6:$G$5005,$S$6:$S$5005,S4833,$D$6:$D$5005,"Vastgesteld"))</f>
        <v/>
      </c>
      <c r="U4833" s="15">
        <f>IF(T4833="",0,IF(AND(G4833=T4833,COUNTIFS($S$6:S4833,S4833,$G$6:G4833,G4833,$D$6:D4833,"Vastgesteld")=1),1,0))</f>
        <v>0</v>
      </c>
      <c r="V4833" s="15">
        <f>IF(T4833="",0,IF(AND(G4833=T4833,COUNTIFS($S$6:S4833,S4833,$G$6:G4833,G4833,$D$6:D4833,"Vastgesteld")&gt;1),1,0))</f>
        <v>0</v>
      </c>
    </row>
    <row r="4834">
      <c r="S4834" s="15" t="str">
        <f>IF(J4834="","",J4834&amp;"|"&amp;E4834&amp;"|"&amp;F4834&amp;"|"&amp;I4834&amp;"|"&amp;O4834)</f>
        <v/>
      </c>
      <c r="T4834" s="15" t="str">
        <f>IF(OR(S4834="",D4834&lt;&gt;"Vastgesteld"),"",_xlfn.MAXIFS($G$6:$G$5005,$S$6:$S$5005,S4834,$D$6:$D$5005,"Vastgesteld"))</f>
        <v/>
      </c>
      <c r="U4834" s="15">
        <f>IF(T4834="",0,IF(AND(G4834=T4834,COUNTIFS($S$6:S4834,S4834,$G$6:G4834,G4834,$D$6:D4834,"Vastgesteld")=1),1,0))</f>
        <v>0</v>
      </c>
      <c r="V4834" s="15">
        <f>IF(T4834="",0,IF(AND(G4834=T4834,COUNTIFS($S$6:S4834,S4834,$G$6:G4834,G4834,$D$6:D4834,"Vastgesteld")&gt;1),1,0))</f>
        <v>0</v>
      </c>
    </row>
    <row r="4835">
      <c r="S4835" s="15" t="str">
        <f>IF(J4835="","",J4835&amp;"|"&amp;E4835&amp;"|"&amp;F4835&amp;"|"&amp;I4835&amp;"|"&amp;O4835)</f>
        <v/>
      </c>
      <c r="T4835" s="15" t="str">
        <f>IF(OR(S4835="",D4835&lt;&gt;"Vastgesteld"),"",_xlfn.MAXIFS($G$6:$G$5005,$S$6:$S$5005,S4835,$D$6:$D$5005,"Vastgesteld"))</f>
        <v/>
      </c>
      <c r="U4835" s="15">
        <f>IF(T4835="",0,IF(AND(G4835=T4835,COUNTIFS($S$6:S4835,S4835,$G$6:G4835,G4835,$D$6:D4835,"Vastgesteld")=1),1,0))</f>
        <v>0</v>
      </c>
      <c r="V4835" s="15">
        <f>IF(T4835="",0,IF(AND(G4835=T4835,COUNTIFS($S$6:S4835,S4835,$G$6:G4835,G4835,$D$6:D4835,"Vastgesteld")&gt;1),1,0))</f>
        <v>0</v>
      </c>
    </row>
    <row r="4836">
      <c r="S4836" s="15" t="str">
        <f>IF(J4836="","",J4836&amp;"|"&amp;E4836&amp;"|"&amp;F4836&amp;"|"&amp;I4836&amp;"|"&amp;O4836)</f>
        <v/>
      </c>
      <c r="T4836" s="15" t="str">
        <f>IF(OR(S4836="",D4836&lt;&gt;"Vastgesteld"),"",_xlfn.MAXIFS($G$6:$G$5005,$S$6:$S$5005,S4836,$D$6:$D$5005,"Vastgesteld"))</f>
        <v/>
      </c>
      <c r="U4836" s="15">
        <f>IF(T4836="",0,IF(AND(G4836=T4836,COUNTIFS($S$6:S4836,S4836,$G$6:G4836,G4836,$D$6:D4836,"Vastgesteld")=1),1,0))</f>
        <v>0</v>
      </c>
      <c r="V4836" s="15">
        <f>IF(T4836="",0,IF(AND(G4836=T4836,COUNTIFS($S$6:S4836,S4836,$G$6:G4836,G4836,$D$6:D4836,"Vastgesteld")&gt;1),1,0))</f>
        <v>0</v>
      </c>
    </row>
    <row r="4837">
      <c r="S4837" s="15" t="str">
        <f>IF(J4837="","",J4837&amp;"|"&amp;E4837&amp;"|"&amp;F4837&amp;"|"&amp;I4837&amp;"|"&amp;O4837)</f>
        <v/>
      </c>
      <c r="T4837" s="15" t="str">
        <f>IF(OR(S4837="",D4837&lt;&gt;"Vastgesteld"),"",_xlfn.MAXIFS($G$6:$G$5005,$S$6:$S$5005,S4837,$D$6:$D$5005,"Vastgesteld"))</f>
        <v/>
      </c>
      <c r="U4837" s="15">
        <f>IF(T4837="",0,IF(AND(G4837=T4837,COUNTIFS($S$6:S4837,S4837,$G$6:G4837,G4837,$D$6:D4837,"Vastgesteld")=1),1,0))</f>
        <v>0</v>
      </c>
      <c r="V4837" s="15">
        <f>IF(T4837="",0,IF(AND(G4837=T4837,COUNTIFS($S$6:S4837,S4837,$G$6:G4837,G4837,$D$6:D4837,"Vastgesteld")&gt;1),1,0))</f>
        <v>0</v>
      </c>
    </row>
    <row r="4838">
      <c r="S4838" s="15" t="str">
        <f>IF(J4838="","",J4838&amp;"|"&amp;E4838&amp;"|"&amp;F4838&amp;"|"&amp;I4838&amp;"|"&amp;O4838)</f>
        <v/>
      </c>
      <c r="T4838" s="15" t="str">
        <f>IF(OR(S4838="",D4838&lt;&gt;"Vastgesteld"),"",_xlfn.MAXIFS($G$6:$G$5005,$S$6:$S$5005,S4838,$D$6:$D$5005,"Vastgesteld"))</f>
        <v/>
      </c>
      <c r="U4838" s="15">
        <f>IF(T4838="",0,IF(AND(G4838=T4838,COUNTIFS($S$6:S4838,S4838,$G$6:G4838,G4838,$D$6:D4838,"Vastgesteld")=1),1,0))</f>
        <v>0</v>
      </c>
      <c r="V4838" s="15">
        <f>IF(T4838="",0,IF(AND(G4838=T4838,COUNTIFS($S$6:S4838,S4838,$G$6:G4838,G4838,$D$6:D4838,"Vastgesteld")&gt;1),1,0))</f>
        <v>0</v>
      </c>
    </row>
    <row r="4839">
      <c r="S4839" s="15" t="str">
        <f>IF(J4839="","",J4839&amp;"|"&amp;E4839&amp;"|"&amp;F4839&amp;"|"&amp;I4839&amp;"|"&amp;O4839)</f>
        <v/>
      </c>
      <c r="T4839" s="15" t="str">
        <f>IF(OR(S4839="",D4839&lt;&gt;"Vastgesteld"),"",_xlfn.MAXIFS($G$6:$G$5005,$S$6:$S$5005,S4839,$D$6:$D$5005,"Vastgesteld"))</f>
        <v/>
      </c>
      <c r="U4839" s="15">
        <f>IF(T4839="",0,IF(AND(G4839=T4839,COUNTIFS($S$6:S4839,S4839,$G$6:G4839,G4839,$D$6:D4839,"Vastgesteld")=1),1,0))</f>
        <v>0</v>
      </c>
      <c r="V4839" s="15">
        <f>IF(T4839="",0,IF(AND(G4839=T4839,COUNTIFS($S$6:S4839,S4839,$G$6:G4839,G4839,$D$6:D4839,"Vastgesteld")&gt;1),1,0))</f>
        <v>0</v>
      </c>
    </row>
    <row r="4840">
      <c r="S4840" s="15" t="str">
        <f>IF(J4840="","",J4840&amp;"|"&amp;E4840&amp;"|"&amp;F4840&amp;"|"&amp;I4840&amp;"|"&amp;O4840)</f>
        <v/>
      </c>
      <c r="T4840" s="15" t="str">
        <f>IF(OR(S4840="",D4840&lt;&gt;"Vastgesteld"),"",_xlfn.MAXIFS($G$6:$G$5005,$S$6:$S$5005,S4840,$D$6:$D$5005,"Vastgesteld"))</f>
        <v/>
      </c>
      <c r="U4840" s="15">
        <f>IF(T4840="",0,IF(AND(G4840=T4840,COUNTIFS($S$6:S4840,S4840,$G$6:G4840,G4840,$D$6:D4840,"Vastgesteld")=1),1,0))</f>
        <v>0</v>
      </c>
      <c r="V4840" s="15">
        <f>IF(T4840="",0,IF(AND(G4840=T4840,COUNTIFS($S$6:S4840,S4840,$G$6:G4840,G4840,$D$6:D4840,"Vastgesteld")&gt;1),1,0))</f>
        <v>0</v>
      </c>
    </row>
    <row r="4841">
      <c r="S4841" s="15" t="str">
        <f>IF(J4841="","",J4841&amp;"|"&amp;E4841&amp;"|"&amp;F4841&amp;"|"&amp;I4841&amp;"|"&amp;O4841)</f>
        <v/>
      </c>
      <c r="T4841" s="15" t="str">
        <f>IF(OR(S4841="",D4841&lt;&gt;"Vastgesteld"),"",_xlfn.MAXIFS($G$6:$G$5005,$S$6:$S$5005,S4841,$D$6:$D$5005,"Vastgesteld"))</f>
        <v/>
      </c>
      <c r="U4841" s="15">
        <f>IF(T4841="",0,IF(AND(G4841=T4841,COUNTIFS($S$6:S4841,S4841,$G$6:G4841,G4841,$D$6:D4841,"Vastgesteld")=1),1,0))</f>
        <v>0</v>
      </c>
      <c r="V4841" s="15">
        <f>IF(T4841="",0,IF(AND(G4841=T4841,COUNTIFS($S$6:S4841,S4841,$G$6:G4841,G4841,$D$6:D4841,"Vastgesteld")&gt;1),1,0))</f>
        <v>0</v>
      </c>
    </row>
    <row r="4842">
      <c r="S4842" s="15" t="str">
        <f>IF(J4842="","",J4842&amp;"|"&amp;E4842&amp;"|"&amp;F4842&amp;"|"&amp;I4842&amp;"|"&amp;O4842)</f>
        <v/>
      </c>
      <c r="T4842" s="15" t="str">
        <f>IF(OR(S4842="",D4842&lt;&gt;"Vastgesteld"),"",_xlfn.MAXIFS($G$6:$G$5005,$S$6:$S$5005,S4842,$D$6:$D$5005,"Vastgesteld"))</f>
        <v/>
      </c>
      <c r="U4842" s="15">
        <f>IF(T4842="",0,IF(AND(G4842=T4842,COUNTIFS($S$6:S4842,S4842,$G$6:G4842,G4842,$D$6:D4842,"Vastgesteld")=1),1,0))</f>
        <v>0</v>
      </c>
      <c r="V4842" s="15">
        <f>IF(T4842="",0,IF(AND(G4842=T4842,COUNTIFS($S$6:S4842,S4842,$G$6:G4842,G4842,$D$6:D4842,"Vastgesteld")&gt;1),1,0))</f>
        <v>0</v>
      </c>
    </row>
    <row r="4843">
      <c r="S4843" s="15" t="str">
        <f>IF(J4843="","",J4843&amp;"|"&amp;E4843&amp;"|"&amp;F4843&amp;"|"&amp;I4843&amp;"|"&amp;O4843)</f>
        <v/>
      </c>
      <c r="T4843" s="15" t="str">
        <f>IF(OR(S4843="",D4843&lt;&gt;"Vastgesteld"),"",_xlfn.MAXIFS($G$6:$G$5005,$S$6:$S$5005,S4843,$D$6:$D$5005,"Vastgesteld"))</f>
        <v/>
      </c>
      <c r="U4843" s="15">
        <f>IF(T4843="",0,IF(AND(G4843=T4843,COUNTIFS($S$6:S4843,S4843,$G$6:G4843,G4843,$D$6:D4843,"Vastgesteld")=1),1,0))</f>
        <v>0</v>
      </c>
      <c r="V4843" s="15">
        <f>IF(T4843="",0,IF(AND(G4843=T4843,COUNTIFS($S$6:S4843,S4843,$G$6:G4843,G4843,$D$6:D4843,"Vastgesteld")&gt;1),1,0))</f>
        <v>0</v>
      </c>
    </row>
    <row r="4844">
      <c r="S4844" s="15" t="str">
        <f>IF(J4844="","",J4844&amp;"|"&amp;E4844&amp;"|"&amp;F4844&amp;"|"&amp;I4844&amp;"|"&amp;O4844)</f>
        <v/>
      </c>
      <c r="T4844" s="15" t="str">
        <f>IF(OR(S4844="",D4844&lt;&gt;"Vastgesteld"),"",_xlfn.MAXIFS($G$6:$G$5005,$S$6:$S$5005,S4844,$D$6:$D$5005,"Vastgesteld"))</f>
        <v/>
      </c>
      <c r="U4844" s="15">
        <f>IF(T4844="",0,IF(AND(G4844=T4844,COUNTIFS($S$6:S4844,S4844,$G$6:G4844,G4844,$D$6:D4844,"Vastgesteld")=1),1,0))</f>
        <v>0</v>
      </c>
      <c r="V4844" s="15">
        <f>IF(T4844="",0,IF(AND(G4844=T4844,COUNTIFS($S$6:S4844,S4844,$G$6:G4844,G4844,$D$6:D4844,"Vastgesteld")&gt;1),1,0))</f>
        <v>0</v>
      </c>
    </row>
    <row r="4845">
      <c r="S4845" s="15" t="str">
        <f>IF(J4845="","",J4845&amp;"|"&amp;E4845&amp;"|"&amp;F4845&amp;"|"&amp;I4845&amp;"|"&amp;O4845)</f>
        <v/>
      </c>
      <c r="T4845" s="15" t="str">
        <f>IF(OR(S4845="",D4845&lt;&gt;"Vastgesteld"),"",_xlfn.MAXIFS($G$6:$G$5005,$S$6:$S$5005,S4845,$D$6:$D$5005,"Vastgesteld"))</f>
        <v/>
      </c>
      <c r="U4845" s="15">
        <f>IF(T4845="",0,IF(AND(G4845=T4845,COUNTIFS($S$6:S4845,S4845,$G$6:G4845,G4845,$D$6:D4845,"Vastgesteld")=1),1,0))</f>
        <v>0</v>
      </c>
      <c r="V4845" s="15">
        <f>IF(T4845="",0,IF(AND(G4845=T4845,COUNTIFS($S$6:S4845,S4845,$G$6:G4845,G4845,$D$6:D4845,"Vastgesteld")&gt;1),1,0))</f>
        <v>0</v>
      </c>
    </row>
    <row r="4846">
      <c r="S4846" s="15" t="str">
        <f>IF(J4846="","",J4846&amp;"|"&amp;E4846&amp;"|"&amp;F4846&amp;"|"&amp;I4846&amp;"|"&amp;O4846)</f>
        <v/>
      </c>
      <c r="T4846" s="15" t="str">
        <f>IF(OR(S4846="",D4846&lt;&gt;"Vastgesteld"),"",_xlfn.MAXIFS($G$6:$G$5005,$S$6:$S$5005,S4846,$D$6:$D$5005,"Vastgesteld"))</f>
        <v/>
      </c>
      <c r="U4846" s="15">
        <f>IF(T4846="",0,IF(AND(G4846=T4846,COUNTIFS($S$6:S4846,S4846,$G$6:G4846,G4846,$D$6:D4846,"Vastgesteld")=1),1,0))</f>
        <v>0</v>
      </c>
      <c r="V4846" s="15">
        <f>IF(T4846="",0,IF(AND(G4846=T4846,COUNTIFS($S$6:S4846,S4846,$G$6:G4846,G4846,$D$6:D4846,"Vastgesteld")&gt;1),1,0))</f>
        <v>0</v>
      </c>
    </row>
    <row r="4847">
      <c r="S4847" s="15" t="str">
        <f>IF(J4847="","",J4847&amp;"|"&amp;E4847&amp;"|"&amp;F4847&amp;"|"&amp;I4847&amp;"|"&amp;O4847)</f>
        <v/>
      </c>
      <c r="T4847" s="15" t="str">
        <f>IF(OR(S4847="",D4847&lt;&gt;"Vastgesteld"),"",_xlfn.MAXIFS($G$6:$G$5005,$S$6:$S$5005,S4847,$D$6:$D$5005,"Vastgesteld"))</f>
        <v/>
      </c>
      <c r="U4847" s="15">
        <f>IF(T4847="",0,IF(AND(G4847=T4847,COUNTIFS($S$6:S4847,S4847,$G$6:G4847,G4847,$D$6:D4847,"Vastgesteld")=1),1,0))</f>
        <v>0</v>
      </c>
      <c r="V4847" s="15">
        <f>IF(T4847="",0,IF(AND(G4847=T4847,COUNTIFS($S$6:S4847,S4847,$G$6:G4847,G4847,$D$6:D4847,"Vastgesteld")&gt;1),1,0))</f>
        <v>0</v>
      </c>
    </row>
    <row r="4848">
      <c r="S4848" s="15" t="str">
        <f>IF(J4848="","",J4848&amp;"|"&amp;E4848&amp;"|"&amp;F4848&amp;"|"&amp;I4848&amp;"|"&amp;O4848)</f>
        <v/>
      </c>
      <c r="T4848" s="15" t="str">
        <f>IF(OR(S4848="",D4848&lt;&gt;"Vastgesteld"),"",_xlfn.MAXIFS($G$6:$G$5005,$S$6:$S$5005,S4848,$D$6:$D$5005,"Vastgesteld"))</f>
        <v/>
      </c>
      <c r="U4848" s="15">
        <f>IF(T4848="",0,IF(AND(G4848=T4848,COUNTIFS($S$6:S4848,S4848,$G$6:G4848,G4848,$D$6:D4848,"Vastgesteld")=1),1,0))</f>
        <v>0</v>
      </c>
      <c r="V4848" s="15">
        <f>IF(T4848="",0,IF(AND(G4848=T4848,COUNTIFS($S$6:S4848,S4848,$G$6:G4848,G4848,$D$6:D4848,"Vastgesteld")&gt;1),1,0))</f>
        <v>0</v>
      </c>
    </row>
    <row r="4849">
      <c r="S4849" s="15" t="str">
        <f>IF(J4849="","",J4849&amp;"|"&amp;E4849&amp;"|"&amp;F4849&amp;"|"&amp;I4849&amp;"|"&amp;O4849)</f>
        <v/>
      </c>
      <c r="T4849" s="15" t="str">
        <f>IF(OR(S4849="",D4849&lt;&gt;"Vastgesteld"),"",_xlfn.MAXIFS($G$6:$G$5005,$S$6:$S$5005,S4849,$D$6:$D$5005,"Vastgesteld"))</f>
        <v/>
      </c>
      <c r="U4849" s="15">
        <f>IF(T4849="",0,IF(AND(G4849=T4849,COUNTIFS($S$6:S4849,S4849,$G$6:G4849,G4849,$D$6:D4849,"Vastgesteld")=1),1,0))</f>
        <v>0</v>
      </c>
      <c r="V4849" s="15">
        <f>IF(T4849="",0,IF(AND(G4849=T4849,COUNTIFS($S$6:S4849,S4849,$G$6:G4849,G4849,$D$6:D4849,"Vastgesteld")&gt;1),1,0))</f>
        <v>0</v>
      </c>
    </row>
    <row r="4850">
      <c r="S4850" s="15" t="str">
        <f>IF(J4850="","",J4850&amp;"|"&amp;E4850&amp;"|"&amp;F4850&amp;"|"&amp;I4850&amp;"|"&amp;O4850)</f>
        <v/>
      </c>
      <c r="T4850" s="15" t="str">
        <f>IF(OR(S4850="",D4850&lt;&gt;"Vastgesteld"),"",_xlfn.MAXIFS($G$6:$G$5005,$S$6:$S$5005,S4850,$D$6:$D$5005,"Vastgesteld"))</f>
        <v/>
      </c>
      <c r="U4850" s="15">
        <f>IF(T4850="",0,IF(AND(G4850=T4850,COUNTIFS($S$6:S4850,S4850,$G$6:G4850,G4850,$D$6:D4850,"Vastgesteld")=1),1,0))</f>
        <v>0</v>
      </c>
      <c r="V4850" s="15">
        <f>IF(T4850="",0,IF(AND(G4850=T4850,COUNTIFS($S$6:S4850,S4850,$G$6:G4850,G4850,$D$6:D4850,"Vastgesteld")&gt;1),1,0))</f>
        <v>0</v>
      </c>
    </row>
    <row r="4851">
      <c r="S4851" s="15" t="str">
        <f>IF(J4851="","",J4851&amp;"|"&amp;E4851&amp;"|"&amp;F4851&amp;"|"&amp;I4851&amp;"|"&amp;O4851)</f>
        <v/>
      </c>
      <c r="T4851" s="15" t="str">
        <f>IF(OR(S4851="",D4851&lt;&gt;"Vastgesteld"),"",_xlfn.MAXIFS($G$6:$G$5005,$S$6:$S$5005,S4851,$D$6:$D$5005,"Vastgesteld"))</f>
        <v/>
      </c>
      <c r="U4851" s="15">
        <f>IF(T4851="",0,IF(AND(G4851=T4851,COUNTIFS($S$6:S4851,S4851,$G$6:G4851,G4851,$D$6:D4851,"Vastgesteld")=1),1,0))</f>
        <v>0</v>
      </c>
      <c r="V4851" s="15">
        <f>IF(T4851="",0,IF(AND(G4851=T4851,COUNTIFS($S$6:S4851,S4851,$G$6:G4851,G4851,$D$6:D4851,"Vastgesteld")&gt;1),1,0))</f>
        <v>0</v>
      </c>
    </row>
    <row r="4852">
      <c r="S4852" s="15" t="str">
        <f>IF(J4852="","",J4852&amp;"|"&amp;E4852&amp;"|"&amp;F4852&amp;"|"&amp;I4852&amp;"|"&amp;O4852)</f>
        <v/>
      </c>
      <c r="T4852" s="15" t="str">
        <f>IF(OR(S4852="",D4852&lt;&gt;"Vastgesteld"),"",_xlfn.MAXIFS($G$6:$G$5005,$S$6:$S$5005,S4852,$D$6:$D$5005,"Vastgesteld"))</f>
        <v/>
      </c>
      <c r="U4852" s="15">
        <f>IF(T4852="",0,IF(AND(G4852=T4852,COUNTIFS($S$6:S4852,S4852,$G$6:G4852,G4852,$D$6:D4852,"Vastgesteld")=1),1,0))</f>
        <v>0</v>
      </c>
      <c r="V4852" s="15">
        <f>IF(T4852="",0,IF(AND(G4852=T4852,COUNTIFS($S$6:S4852,S4852,$G$6:G4852,G4852,$D$6:D4852,"Vastgesteld")&gt;1),1,0))</f>
        <v>0</v>
      </c>
    </row>
    <row r="4853">
      <c r="S4853" s="15" t="str">
        <f>IF(J4853="","",J4853&amp;"|"&amp;E4853&amp;"|"&amp;F4853&amp;"|"&amp;I4853&amp;"|"&amp;O4853)</f>
        <v/>
      </c>
      <c r="T4853" s="15" t="str">
        <f>IF(OR(S4853="",D4853&lt;&gt;"Vastgesteld"),"",_xlfn.MAXIFS($G$6:$G$5005,$S$6:$S$5005,S4853,$D$6:$D$5005,"Vastgesteld"))</f>
        <v/>
      </c>
      <c r="U4853" s="15">
        <f>IF(T4853="",0,IF(AND(G4853=T4853,COUNTIFS($S$6:S4853,S4853,$G$6:G4853,G4853,$D$6:D4853,"Vastgesteld")=1),1,0))</f>
        <v>0</v>
      </c>
      <c r="V4853" s="15">
        <f>IF(T4853="",0,IF(AND(G4853=T4853,COUNTIFS($S$6:S4853,S4853,$G$6:G4853,G4853,$D$6:D4853,"Vastgesteld")&gt;1),1,0))</f>
        <v>0</v>
      </c>
    </row>
    <row r="4854">
      <c r="S4854" s="15" t="str">
        <f>IF(J4854="","",J4854&amp;"|"&amp;E4854&amp;"|"&amp;F4854&amp;"|"&amp;I4854&amp;"|"&amp;O4854)</f>
        <v/>
      </c>
      <c r="T4854" s="15" t="str">
        <f>IF(OR(S4854="",D4854&lt;&gt;"Vastgesteld"),"",_xlfn.MAXIFS($G$6:$G$5005,$S$6:$S$5005,S4854,$D$6:$D$5005,"Vastgesteld"))</f>
        <v/>
      </c>
      <c r="U4854" s="15">
        <f>IF(T4854="",0,IF(AND(G4854=T4854,COUNTIFS($S$6:S4854,S4854,$G$6:G4854,G4854,$D$6:D4854,"Vastgesteld")=1),1,0))</f>
        <v>0</v>
      </c>
      <c r="V4854" s="15">
        <f>IF(T4854="",0,IF(AND(G4854=T4854,COUNTIFS($S$6:S4854,S4854,$G$6:G4854,G4854,$D$6:D4854,"Vastgesteld")&gt;1),1,0))</f>
        <v>0</v>
      </c>
    </row>
    <row r="4855">
      <c r="S4855" s="15" t="str">
        <f>IF(J4855="","",J4855&amp;"|"&amp;E4855&amp;"|"&amp;F4855&amp;"|"&amp;I4855&amp;"|"&amp;O4855)</f>
        <v/>
      </c>
      <c r="T4855" s="15" t="str">
        <f>IF(OR(S4855="",D4855&lt;&gt;"Vastgesteld"),"",_xlfn.MAXIFS($G$6:$G$5005,$S$6:$S$5005,S4855,$D$6:$D$5005,"Vastgesteld"))</f>
        <v/>
      </c>
      <c r="U4855" s="15">
        <f>IF(T4855="",0,IF(AND(G4855=T4855,COUNTIFS($S$6:S4855,S4855,$G$6:G4855,G4855,$D$6:D4855,"Vastgesteld")=1),1,0))</f>
        <v>0</v>
      </c>
      <c r="V4855" s="15">
        <f>IF(T4855="",0,IF(AND(G4855=T4855,COUNTIFS($S$6:S4855,S4855,$G$6:G4855,G4855,$D$6:D4855,"Vastgesteld")&gt;1),1,0))</f>
        <v>0</v>
      </c>
    </row>
    <row r="4856">
      <c r="S4856" s="15" t="str">
        <f>IF(J4856="","",J4856&amp;"|"&amp;E4856&amp;"|"&amp;F4856&amp;"|"&amp;I4856&amp;"|"&amp;O4856)</f>
        <v/>
      </c>
      <c r="T4856" s="15" t="str">
        <f>IF(OR(S4856="",D4856&lt;&gt;"Vastgesteld"),"",_xlfn.MAXIFS($G$6:$G$5005,$S$6:$S$5005,S4856,$D$6:$D$5005,"Vastgesteld"))</f>
        <v/>
      </c>
      <c r="U4856" s="15">
        <f>IF(T4856="",0,IF(AND(G4856=T4856,COUNTIFS($S$6:S4856,S4856,$G$6:G4856,G4856,$D$6:D4856,"Vastgesteld")=1),1,0))</f>
        <v>0</v>
      </c>
      <c r="V4856" s="15">
        <f>IF(T4856="",0,IF(AND(G4856=T4856,COUNTIFS($S$6:S4856,S4856,$G$6:G4856,G4856,$D$6:D4856,"Vastgesteld")&gt;1),1,0))</f>
        <v>0</v>
      </c>
    </row>
    <row r="4857">
      <c r="S4857" s="15" t="str">
        <f>IF(J4857="","",J4857&amp;"|"&amp;E4857&amp;"|"&amp;F4857&amp;"|"&amp;I4857&amp;"|"&amp;O4857)</f>
        <v/>
      </c>
      <c r="T4857" s="15" t="str">
        <f>IF(OR(S4857="",D4857&lt;&gt;"Vastgesteld"),"",_xlfn.MAXIFS($G$6:$G$5005,$S$6:$S$5005,S4857,$D$6:$D$5005,"Vastgesteld"))</f>
        <v/>
      </c>
      <c r="U4857" s="15">
        <f>IF(T4857="",0,IF(AND(G4857=T4857,COUNTIFS($S$6:S4857,S4857,$G$6:G4857,G4857,$D$6:D4857,"Vastgesteld")=1),1,0))</f>
        <v>0</v>
      </c>
      <c r="V4857" s="15">
        <f>IF(T4857="",0,IF(AND(G4857=T4857,COUNTIFS($S$6:S4857,S4857,$G$6:G4857,G4857,$D$6:D4857,"Vastgesteld")&gt;1),1,0))</f>
        <v>0</v>
      </c>
    </row>
    <row r="4858">
      <c r="S4858" s="15" t="str">
        <f>IF(J4858="","",J4858&amp;"|"&amp;E4858&amp;"|"&amp;F4858&amp;"|"&amp;I4858&amp;"|"&amp;O4858)</f>
        <v/>
      </c>
      <c r="T4858" s="15" t="str">
        <f>IF(OR(S4858="",D4858&lt;&gt;"Vastgesteld"),"",_xlfn.MAXIFS($G$6:$G$5005,$S$6:$S$5005,S4858,$D$6:$D$5005,"Vastgesteld"))</f>
        <v/>
      </c>
      <c r="U4858" s="15">
        <f>IF(T4858="",0,IF(AND(G4858=T4858,COUNTIFS($S$6:S4858,S4858,$G$6:G4858,G4858,$D$6:D4858,"Vastgesteld")=1),1,0))</f>
        <v>0</v>
      </c>
      <c r="V4858" s="15">
        <f>IF(T4858="",0,IF(AND(G4858=T4858,COUNTIFS($S$6:S4858,S4858,$G$6:G4858,G4858,$D$6:D4858,"Vastgesteld")&gt;1),1,0))</f>
        <v>0</v>
      </c>
    </row>
    <row r="4859">
      <c r="S4859" s="15" t="str">
        <f>IF(J4859="","",J4859&amp;"|"&amp;E4859&amp;"|"&amp;F4859&amp;"|"&amp;I4859&amp;"|"&amp;O4859)</f>
        <v/>
      </c>
      <c r="T4859" s="15" t="str">
        <f>IF(OR(S4859="",D4859&lt;&gt;"Vastgesteld"),"",_xlfn.MAXIFS($G$6:$G$5005,$S$6:$S$5005,S4859,$D$6:$D$5005,"Vastgesteld"))</f>
        <v/>
      </c>
      <c r="U4859" s="15">
        <f>IF(T4859="",0,IF(AND(G4859=T4859,COUNTIFS($S$6:S4859,S4859,$G$6:G4859,G4859,$D$6:D4859,"Vastgesteld")=1),1,0))</f>
        <v>0</v>
      </c>
      <c r="V4859" s="15">
        <f>IF(T4859="",0,IF(AND(G4859=T4859,COUNTIFS($S$6:S4859,S4859,$G$6:G4859,G4859,$D$6:D4859,"Vastgesteld")&gt;1),1,0))</f>
        <v>0</v>
      </c>
    </row>
    <row r="4860">
      <c r="S4860" s="15" t="str">
        <f>IF(J4860="","",J4860&amp;"|"&amp;E4860&amp;"|"&amp;F4860&amp;"|"&amp;I4860&amp;"|"&amp;O4860)</f>
        <v/>
      </c>
      <c r="T4860" s="15" t="str">
        <f>IF(OR(S4860="",D4860&lt;&gt;"Vastgesteld"),"",_xlfn.MAXIFS($G$6:$G$5005,$S$6:$S$5005,S4860,$D$6:$D$5005,"Vastgesteld"))</f>
        <v/>
      </c>
      <c r="U4860" s="15">
        <f>IF(T4860="",0,IF(AND(G4860=T4860,COUNTIFS($S$6:S4860,S4860,$G$6:G4860,G4860,$D$6:D4860,"Vastgesteld")=1),1,0))</f>
        <v>0</v>
      </c>
      <c r="V4860" s="15">
        <f>IF(T4860="",0,IF(AND(G4860=T4860,COUNTIFS($S$6:S4860,S4860,$G$6:G4860,G4860,$D$6:D4860,"Vastgesteld")&gt;1),1,0))</f>
        <v>0</v>
      </c>
    </row>
    <row r="4861">
      <c r="S4861" s="15" t="str">
        <f>IF(J4861="","",J4861&amp;"|"&amp;E4861&amp;"|"&amp;F4861&amp;"|"&amp;I4861&amp;"|"&amp;O4861)</f>
        <v/>
      </c>
      <c r="T4861" s="15" t="str">
        <f>IF(OR(S4861="",D4861&lt;&gt;"Vastgesteld"),"",_xlfn.MAXIFS($G$6:$G$5005,$S$6:$S$5005,S4861,$D$6:$D$5005,"Vastgesteld"))</f>
        <v/>
      </c>
      <c r="U4861" s="15">
        <f>IF(T4861="",0,IF(AND(G4861=T4861,COUNTIFS($S$6:S4861,S4861,$G$6:G4861,G4861,$D$6:D4861,"Vastgesteld")=1),1,0))</f>
        <v>0</v>
      </c>
      <c r="V4861" s="15">
        <f>IF(T4861="",0,IF(AND(G4861=T4861,COUNTIFS($S$6:S4861,S4861,$G$6:G4861,G4861,$D$6:D4861,"Vastgesteld")&gt;1),1,0))</f>
        <v>0</v>
      </c>
    </row>
    <row r="4862">
      <c r="S4862" s="15" t="str">
        <f>IF(J4862="","",J4862&amp;"|"&amp;E4862&amp;"|"&amp;F4862&amp;"|"&amp;I4862&amp;"|"&amp;O4862)</f>
        <v/>
      </c>
      <c r="T4862" s="15" t="str">
        <f>IF(OR(S4862="",D4862&lt;&gt;"Vastgesteld"),"",_xlfn.MAXIFS($G$6:$G$5005,$S$6:$S$5005,S4862,$D$6:$D$5005,"Vastgesteld"))</f>
        <v/>
      </c>
      <c r="U4862" s="15">
        <f>IF(T4862="",0,IF(AND(G4862=T4862,COUNTIFS($S$6:S4862,S4862,$G$6:G4862,G4862,$D$6:D4862,"Vastgesteld")=1),1,0))</f>
        <v>0</v>
      </c>
      <c r="V4862" s="15">
        <f>IF(T4862="",0,IF(AND(G4862=T4862,COUNTIFS($S$6:S4862,S4862,$G$6:G4862,G4862,$D$6:D4862,"Vastgesteld")&gt;1),1,0))</f>
        <v>0</v>
      </c>
    </row>
    <row r="4863">
      <c r="S4863" s="15" t="str">
        <f>IF(J4863="","",J4863&amp;"|"&amp;E4863&amp;"|"&amp;F4863&amp;"|"&amp;I4863&amp;"|"&amp;O4863)</f>
        <v/>
      </c>
      <c r="T4863" s="15" t="str">
        <f>IF(OR(S4863="",D4863&lt;&gt;"Vastgesteld"),"",_xlfn.MAXIFS($G$6:$G$5005,$S$6:$S$5005,S4863,$D$6:$D$5005,"Vastgesteld"))</f>
        <v/>
      </c>
      <c r="U4863" s="15">
        <f>IF(T4863="",0,IF(AND(G4863=T4863,COUNTIFS($S$6:S4863,S4863,$G$6:G4863,G4863,$D$6:D4863,"Vastgesteld")=1),1,0))</f>
        <v>0</v>
      </c>
      <c r="V4863" s="15">
        <f>IF(T4863="",0,IF(AND(G4863=T4863,COUNTIFS($S$6:S4863,S4863,$G$6:G4863,G4863,$D$6:D4863,"Vastgesteld")&gt;1),1,0))</f>
        <v>0</v>
      </c>
    </row>
    <row r="4864">
      <c r="S4864" s="15" t="str">
        <f>IF(J4864="","",J4864&amp;"|"&amp;E4864&amp;"|"&amp;F4864&amp;"|"&amp;I4864&amp;"|"&amp;O4864)</f>
        <v/>
      </c>
      <c r="T4864" s="15" t="str">
        <f>IF(OR(S4864="",D4864&lt;&gt;"Vastgesteld"),"",_xlfn.MAXIFS($G$6:$G$5005,$S$6:$S$5005,S4864,$D$6:$D$5005,"Vastgesteld"))</f>
        <v/>
      </c>
      <c r="U4864" s="15">
        <f>IF(T4864="",0,IF(AND(G4864=T4864,COUNTIFS($S$6:S4864,S4864,$G$6:G4864,G4864,$D$6:D4864,"Vastgesteld")=1),1,0))</f>
        <v>0</v>
      </c>
      <c r="V4864" s="15">
        <f>IF(T4864="",0,IF(AND(G4864=T4864,COUNTIFS($S$6:S4864,S4864,$G$6:G4864,G4864,$D$6:D4864,"Vastgesteld")&gt;1),1,0))</f>
        <v>0</v>
      </c>
    </row>
    <row r="4865">
      <c r="S4865" s="15" t="str">
        <f>IF(J4865="","",J4865&amp;"|"&amp;E4865&amp;"|"&amp;F4865&amp;"|"&amp;I4865&amp;"|"&amp;O4865)</f>
        <v/>
      </c>
      <c r="T4865" s="15" t="str">
        <f>IF(OR(S4865="",D4865&lt;&gt;"Vastgesteld"),"",_xlfn.MAXIFS($G$6:$G$5005,$S$6:$S$5005,S4865,$D$6:$D$5005,"Vastgesteld"))</f>
        <v/>
      </c>
      <c r="U4865" s="15">
        <f>IF(T4865="",0,IF(AND(G4865=T4865,COUNTIFS($S$6:S4865,S4865,$G$6:G4865,G4865,$D$6:D4865,"Vastgesteld")=1),1,0))</f>
        <v>0</v>
      </c>
      <c r="V4865" s="15">
        <f>IF(T4865="",0,IF(AND(G4865=T4865,COUNTIFS($S$6:S4865,S4865,$G$6:G4865,G4865,$D$6:D4865,"Vastgesteld")&gt;1),1,0))</f>
        <v>0</v>
      </c>
    </row>
    <row r="4866">
      <c r="S4866" s="15" t="str">
        <f>IF(J4866="","",J4866&amp;"|"&amp;E4866&amp;"|"&amp;F4866&amp;"|"&amp;I4866&amp;"|"&amp;O4866)</f>
        <v/>
      </c>
      <c r="T4866" s="15" t="str">
        <f>IF(OR(S4866="",D4866&lt;&gt;"Vastgesteld"),"",_xlfn.MAXIFS($G$6:$G$5005,$S$6:$S$5005,S4866,$D$6:$D$5005,"Vastgesteld"))</f>
        <v/>
      </c>
      <c r="U4866" s="15">
        <f>IF(T4866="",0,IF(AND(G4866=T4866,COUNTIFS($S$6:S4866,S4866,$G$6:G4866,G4866,$D$6:D4866,"Vastgesteld")=1),1,0))</f>
        <v>0</v>
      </c>
      <c r="V4866" s="15">
        <f>IF(T4866="",0,IF(AND(G4866=T4866,COUNTIFS($S$6:S4866,S4866,$G$6:G4866,G4866,$D$6:D4866,"Vastgesteld")&gt;1),1,0))</f>
        <v>0</v>
      </c>
    </row>
    <row r="4867">
      <c r="S4867" s="15" t="str">
        <f>IF(J4867="","",J4867&amp;"|"&amp;E4867&amp;"|"&amp;F4867&amp;"|"&amp;I4867&amp;"|"&amp;O4867)</f>
        <v/>
      </c>
      <c r="T4867" s="15" t="str">
        <f>IF(OR(S4867="",D4867&lt;&gt;"Vastgesteld"),"",_xlfn.MAXIFS($G$6:$G$5005,$S$6:$S$5005,S4867,$D$6:$D$5005,"Vastgesteld"))</f>
        <v/>
      </c>
      <c r="U4867" s="15">
        <f>IF(T4867="",0,IF(AND(G4867=T4867,COUNTIFS($S$6:S4867,S4867,$G$6:G4867,G4867,$D$6:D4867,"Vastgesteld")=1),1,0))</f>
        <v>0</v>
      </c>
      <c r="V4867" s="15">
        <f>IF(T4867="",0,IF(AND(G4867=T4867,COUNTIFS($S$6:S4867,S4867,$G$6:G4867,G4867,$D$6:D4867,"Vastgesteld")&gt;1),1,0))</f>
        <v>0</v>
      </c>
    </row>
    <row r="4868">
      <c r="S4868" s="15" t="str">
        <f>IF(J4868="","",J4868&amp;"|"&amp;E4868&amp;"|"&amp;F4868&amp;"|"&amp;I4868&amp;"|"&amp;O4868)</f>
        <v/>
      </c>
      <c r="T4868" s="15" t="str">
        <f>IF(OR(S4868="",D4868&lt;&gt;"Vastgesteld"),"",_xlfn.MAXIFS($G$6:$G$5005,$S$6:$S$5005,S4868,$D$6:$D$5005,"Vastgesteld"))</f>
        <v/>
      </c>
      <c r="U4868" s="15">
        <f>IF(T4868="",0,IF(AND(G4868=T4868,COUNTIFS($S$6:S4868,S4868,$G$6:G4868,G4868,$D$6:D4868,"Vastgesteld")=1),1,0))</f>
        <v>0</v>
      </c>
      <c r="V4868" s="15">
        <f>IF(T4868="",0,IF(AND(G4868=T4868,COUNTIFS($S$6:S4868,S4868,$G$6:G4868,G4868,$D$6:D4868,"Vastgesteld")&gt;1),1,0))</f>
        <v>0</v>
      </c>
    </row>
    <row r="4869">
      <c r="S4869" s="15" t="str">
        <f>IF(J4869="","",J4869&amp;"|"&amp;E4869&amp;"|"&amp;F4869&amp;"|"&amp;I4869&amp;"|"&amp;O4869)</f>
        <v/>
      </c>
      <c r="T4869" s="15" t="str">
        <f>IF(OR(S4869="",D4869&lt;&gt;"Vastgesteld"),"",_xlfn.MAXIFS($G$6:$G$5005,$S$6:$S$5005,S4869,$D$6:$D$5005,"Vastgesteld"))</f>
        <v/>
      </c>
      <c r="U4869" s="15">
        <f>IF(T4869="",0,IF(AND(G4869=T4869,COUNTIFS($S$6:S4869,S4869,$G$6:G4869,G4869,$D$6:D4869,"Vastgesteld")=1),1,0))</f>
        <v>0</v>
      </c>
      <c r="V4869" s="15">
        <f>IF(T4869="",0,IF(AND(G4869=T4869,COUNTIFS($S$6:S4869,S4869,$G$6:G4869,G4869,$D$6:D4869,"Vastgesteld")&gt;1),1,0))</f>
        <v>0</v>
      </c>
    </row>
    <row r="4870">
      <c r="S4870" s="15" t="str">
        <f>IF(J4870="","",J4870&amp;"|"&amp;E4870&amp;"|"&amp;F4870&amp;"|"&amp;I4870&amp;"|"&amp;O4870)</f>
        <v/>
      </c>
      <c r="T4870" s="15" t="str">
        <f>IF(OR(S4870="",D4870&lt;&gt;"Vastgesteld"),"",_xlfn.MAXIFS($G$6:$G$5005,$S$6:$S$5005,S4870,$D$6:$D$5005,"Vastgesteld"))</f>
        <v/>
      </c>
      <c r="U4870" s="15">
        <f>IF(T4870="",0,IF(AND(G4870=T4870,COUNTIFS($S$6:S4870,S4870,$G$6:G4870,G4870,$D$6:D4870,"Vastgesteld")=1),1,0))</f>
        <v>0</v>
      </c>
      <c r="V4870" s="15">
        <f>IF(T4870="",0,IF(AND(G4870=T4870,COUNTIFS($S$6:S4870,S4870,$G$6:G4870,G4870,$D$6:D4870,"Vastgesteld")&gt;1),1,0))</f>
        <v>0</v>
      </c>
    </row>
    <row r="4871">
      <c r="S4871" s="15" t="str">
        <f>IF(J4871="","",J4871&amp;"|"&amp;E4871&amp;"|"&amp;F4871&amp;"|"&amp;I4871&amp;"|"&amp;O4871)</f>
        <v/>
      </c>
      <c r="T4871" s="15" t="str">
        <f>IF(OR(S4871="",D4871&lt;&gt;"Vastgesteld"),"",_xlfn.MAXIFS($G$6:$G$5005,$S$6:$S$5005,S4871,$D$6:$D$5005,"Vastgesteld"))</f>
        <v/>
      </c>
      <c r="U4871" s="15">
        <f>IF(T4871="",0,IF(AND(G4871=T4871,COUNTIFS($S$6:S4871,S4871,$G$6:G4871,G4871,$D$6:D4871,"Vastgesteld")=1),1,0))</f>
        <v>0</v>
      </c>
      <c r="V4871" s="15">
        <f>IF(T4871="",0,IF(AND(G4871=T4871,COUNTIFS($S$6:S4871,S4871,$G$6:G4871,G4871,$D$6:D4871,"Vastgesteld")&gt;1),1,0))</f>
        <v>0</v>
      </c>
    </row>
    <row r="4872">
      <c r="S4872" s="15" t="str">
        <f>IF(J4872="","",J4872&amp;"|"&amp;E4872&amp;"|"&amp;F4872&amp;"|"&amp;I4872&amp;"|"&amp;O4872)</f>
        <v/>
      </c>
      <c r="T4872" s="15" t="str">
        <f>IF(OR(S4872="",D4872&lt;&gt;"Vastgesteld"),"",_xlfn.MAXIFS($G$6:$G$5005,$S$6:$S$5005,S4872,$D$6:$D$5005,"Vastgesteld"))</f>
        <v/>
      </c>
      <c r="U4872" s="15">
        <f>IF(T4872="",0,IF(AND(G4872=T4872,COUNTIFS($S$6:S4872,S4872,$G$6:G4872,G4872,$D$6:D4872,"Vastgesteld")=1),1,0))</f>
        <v>0</v>
      </c>
      <c r="V4872" s="15">
        <f>IF(T4872="",0,IF(AND(G4872=T4872,COUNTIFS($S$6:S4872,S4872,$G$6:G4872,G4872,$D$6:D4872,"Vastgesteld")&gt;1),1,0))</f>
        <v>0</v>
      </c>
    </row>
    <row r="4873">
      <c r="S4873" s="15" t="str">
        <f>IF(J4873="","",J4873&amp;"|"&amp;E4873&amp;"|"&amp;F4873&amp;"|"&amp;I4873&amp;"|"&amp;O4873)</f>
        <v/>
      </c>
      <c r="T4873" s="15" t="str">
        <f>IF(OR(S4873="",D4873&lt;&gt;"Vastgesteld"),"",_xlfn.MAXIFS($G$6:$G$5005,$S$6:$S$5005,S4873,$D$6:$D$5005,"Vastgesteld"))</f>
        <v/>
      </c>
      <c r="U4873" s="15">
        <f>IF(T4873="",0,IF(AND(G4873=T4873,COUNTIFS($S$6:S4873,S4873,$G$6:G4873,G4873,$D$6:D4873,"Vastgesteld")=1),1,0))</f>
        <v>0</v>
      </c>
      <c r="V4873" s="15">
        <f>IF(T4873="",0,IF(AND(G4873=T4873,COUNTIFS($S$6:S4873,S4873,$G$6:G4873,G4873,$D$6:D4873,"Vastgesteld")&gt;1),1,0))</f>
        <v>0</v>
      </c>
    </row>
    <row r="4874">
      <c r="S4874" s="15" t="str">
        <f>IF(J4874="","",J4874&amp;"|"&amp;E4874&amp;"|"&amp;F4874&amp;"|"&amp;I4874&amp;"|"&amp;O4874)</f>
        <v/>
      </c>
      <c r="T4874" s="15" t="str">
        <f>IF(OR(S4874="",D4874&lt;&gt;"Vastgesteld"),"",_xlfn.MAXIFS($G$6:$G$5005,$S$6:$S$5005,S4874,$D$6:$D$5005,"Vastgesteld"))</f>
        <v/>
      </c>
      <c r="U4874" s="15">
        <f>IF(T4874="",0,IF(AND(G4874=T4874,COUNTIFS($S$6:S4874,S4874,$G$6:G4874,G4874,$D$6:D4874,"Vastgesteld")=1),1,0))</f>
        <v>0</v>
      </c>
      <c r="V4874" s="15">
        <f>IF(T4874="",0,IF(AND(G4874=T4874,COUNTIFS($S$6:S4874,S4874,$G$6:G4874,G4874,$D$6:D4874,"Vastgesteld")&gt;1),1,0))</f>
        <v>0</v>
      </c>
    </row>
    <row r="4875">
      <c r="S4875" s="15" t="str">
        <f>IF(J4875="","",J4875&amp;"|"&amp;E4875&amp;"|"&amp;F4875&amp;"|"&amp;I4875&amp;"|"&amp;O4875)</f>
        <v/>
      </c>
      <c r="T4875" s="15" t="str">
        <f>IF(OR(S4875="",D4875&lt;&gt;"Vastgesteld"),"",_xlfn.MAXIFS($G$6:$G$5005,$S$6:$S$5005,S4875,$D$6:$D$5005,"Vastgesteld"))</f>
        <v/>
      </c>
      <c r="U4875" s="15">
        <f>IF(T4875="",0,IF(AND(G4875=T4875,COUNTIFS($S$6:S4875,S4875,$G$6:G4875,G4875,$D$6:D4875,"Vastgesteld")=1),1,0))</f>
        <v>0</v>
      </c>
      <c r="V4875" s="15">
        <f>IF(T4875="",0,IF(AND(G4875=T4875,COUNTIFS($S$6:S4875,S4875,$G$6:G4875,G4875,$D$6:D4875,"Vastgesteld")&gt;1),1,0))</f>
        <v>0</v>
      </c>
    </row>
    <row r="4876">
      <c r="S4876" s="15" t="str">
        <f>IF(J4876="","",J4876&amp;"|"&amp;E4876&amp;"|"&amp;F4876&amp;"|"&amp;I4876&amp;"|"&amp;O4876)</f>
        <v/>
      </c>
      <c r="T4876" s="15" t="str">
        <f>IF(OR(S4876="",D4876&lt;&gt;"Vastgesteld"),"",_xlfn.MAXIFS($G$6:$G$5005,$S$6:$S$5005,S4876,$D$6:$D$5005,"Vastgesteld"))</f>
        <v/>
      </c>
      <c r="U4876" s="15">
        <f>IF(T4876="",0,IF(AND(G4876=T4876,COUNTIFS($S$6:S4876,S4876,$G$6:G4876,G4876,$D$6:D4876,"Vastgesteld")=1),1,0))</f>
        <v>0</v>
      </c>
      <c r="V4876" s="15">
        <f>IF(T4876="",0,IF(AND(G4876=T4876,COUNTIFS($S$6:S4876,S4876,$G$6:G4876,G4876,$D$6:D4876,"Vastgesteld")&gt;1),1,0))</f>
        <v>0</v>
      </c>
    </row>
    <row r="4877">
      <c r="S4877" s="15" t="str">
        <f>IF(J4877="","",J4877&amp;"|"&amp;E4877&amp;"|"&amp;F4877&amp;"|"&amp;I4877&amp;"|"&amp;O4877)</f>
        <v/>
      </c>
      <c r="T4877" s="15" t="str">
        <f>IF(OR(S4877="",D4877&lt;&gt;"Vastgesteld"),"",_xlfn.MAXIFS($G$6:$G$5005,$S$6:$S$5005,S4877,$D$6:$D$5005,"Vastgesteld"))</f>
        <v/>
      </c>
      <c r="U4877" s="15">
        <f>IF(T4877="",0,IF(AND(G4877=T4877,COUNTIFS($S$6:S4877,S4877,$G$6:G4877,G4877,$D$6:D4877,"Vastgesteld")=1),1,0))</f>
        <v>0</v>
      </c>
      <c r="V4877" s="15">
        <f>IF(T4877="",0,IF(AND(G4877=T4877,COUNTIFS($S$6:S4877,S4877,$G$6:G4877,G4877,$D$6:D4877,"Vastgesteld")&gt;1),1,0))</f>
        <v>0</v>
      </c>
    </row>
    <row r="4878">
      <c r="S4878" s="15" t="str">
        <f>IF(J4878="","",J4878&amp;"|"&amp;E4878&amp;"|"&amp;F4878&amp;"|"&amp;I4878&amp;"|"&amp;O4878)</f>
        <v/>
      </c>
      <c r="T4878" s="15" t="str">
        <f>IF(OR(S4878="",D4878&lt;&gt;"Vastgesteld"),"",_xlfn.MAXIFS($G$6:$G$5005,$S$6:$S$5005,S4878,$D$6:$D$5005,"Vastgesteld"))</f>
        <v/>
      </c>
      <c r="U4878" s="15">
        <f>IF(T4878="",0,IF(AND(G4878=T4878,COUNTIFS($S$6:S4878,S4878,$G$6:G4878,G4878,$D$6:D4878,"Vastgesteld")=1),1,0))</f>
        <v>0</v>
      </c>
      <c r="V4878" s="15">
        <f>IF(T4878="",0,IF(AND(G4878=T4878,COUNTIFS($S$6:S4878,S4878,$G$6:G4878,G4878,$D$6:D4878,"Vastgesteld")&gt;1),1,0))</f>
        <v>0</v>
      </c>
    </row>
    <row r="4879">
      <c r="S4879" s="15" t="str">
        <f>IF(J4879="","",J4879&amp;"|"&amp;E4879&amp;"|"&amp;F4879&amp;"|"&amp;I4879&amp;"|"&amp;O4879)</f>
        <v/>
      </c>
      <c r="T4879" s="15" t="str">
        <f>IF(OR(S4879="",D4879&lt;&gt;"Vastgesteld"),"",_xlfn.MAXIFS($G$6:$G$5005,$S$6:$S$5005,S4879,$D$6:$D$5005,"Vastgesteld"))</f>
        <v/>
      </c>
      <c r="U4879" s="15">
        <f>IF(T4879="",0,IF(AND(G4879=T4879,COUNTIFS($S$6:S4879,S4879,$G$6:G4879,G4879,$D$6:D4879,"Vastgesteld")=1),1,0))</f>
        <v>0</v>
      </c>
      <c r="V4879" s="15">
        <f>IF(T4879="",0,IF(AND(G4879=T4879,COUNTIFS($S$6:S4879,S4879,$G$6:G4879,G4879,$D$6:D4879,"Vastgesteld")&gt;1),1,0))</f>
        <v>0</v>
      </c>
    </row>
    <row r="4880">
      <c r="S4880" s="15" t="str">
        <f>IF(J4880="","",J4880&amp;"|"&amp;E4880&amp;"|"&amp;F4880&amp;"|"&amp;I4880&amp;"|"&amp;O4880)</f>
        <v/>
      </c>
      <c r="T4880" s="15" t="str">
        <f>IF(OR(S4880="",D4880&lt;&gt;"Vastgesteld"),"",_xlfn.MAXIFS($G$6:$G$5005,$S$6:$S$5005,S4880,$D$6:$D$5005,"Vastgesteld"))</f>
        <v/>
      </c>
      <c r="U4880" s="15">
        <f>IF(T4880="",0,IF(AND(G4880=T4880,COUNTIFS($S$6:S4880,S4880,$G$6:G4880,G4880,$D$6:D4880,"Vastgesteld")=1),1,0))</f>
        <v>0</v>
      </c>
      <c r="V4880" s="15">
        <f>IF(T4880="",0,IF(AND(G4880=T4880,COUNTIFS($S$6:S4880,S4880,$G$6:G4880,G4880,$D$6:D4880,"Vastgesteld")&gt;1),1,0))</f>
        <v>0</v>
      </c>
    </row>
    <row r="4881">
      <c r="S4881" s="15" t="str">
        <f>IF(J4881="","",J4881&amp;"|"&amp;E4881&amp;"|"&amp;F4881&amp;"|"&amp;I4881&amp;"|"&amp;O4881)</f>
        <v/>
      </c>
      <c r="T4881" s="15" t="str">
        <f>IF(OR(S4881="",D4881&lt;&gt;"Vastgesteld"),"",_xlfn.MAXIFS($G$6:$G$5005,$S$6:$S$5005,S4881,$D$6:$D$5005,"Vastgesteld"))</f>
        <v/>
      </c>
      <c r="U4881" s="15">
        <f>IF(T4881="",0,IF(AND(G4881=T4881,COUNTIFS($S$6:S4881,S4881,$G$6:G4881,G4881,$D$6:D4881,"Vastgesteld")=1),1,0))</f>
        <v>0</v>
      </c>
      <c r="V4881" s="15">
        <f>IF(T4881="",0,IF(AND(G4881=T4881,COUNTIFS($S$6:S4881,S4881,$G$6:G4881,G4881,$D$6:D4881,"Vastgesteld")&gt;1),1,0))</f>
        <v>0</v>
      </c>
    </row>
    <row r="4882">
      <c r="S4882" s="15" t="str">
        <f>IF(J4882="","",J4882&amp;"|"&amp;E4882&amp;"|"&amp;F4882&amp;"|"&amp;I4882&amp;"|"&amp;O4882)</f>
        <v/>
      </c>
      <c r="T4882" s="15" t="str">
        <f>IF(OR(S4882="",D4882&lt;&gt;"Vastgesteld"),"",_xlfn.MAXIFS($G$6:$G$5005,$S$6:$S$5005,S4882,$D$6:$D$5005,"Vastgesteld"))</f>
        <v/>
      </c>
      <c r="U4882" s="15">
        <f>IF(T4882="",0,IF(AND(G4882=T4882,COUNTIFS($S$6:S4882,S4882,$G$6:G4882,G4882,$D$6:D4882,"Vastgesteld")=1),1,0))</f>
        <v>0</v>
      </c>
      <c r="V4882" s="15">
        <f>IF(T4882="",0,IF(AND(G4882=T4882,COUNTIFS($S$6:S4882,S4882,$G$6:G4882,G4882,$D$6:D4882,"Vastgesteld")&gt;1),1,0))</f>
        <v>0</v>
      </c>
    </row>
    <row r="4883">
      <c r="S4883" s="15" t="str">
        <f>IF(J4883="","",J4883&amp;"|"&amp;E4883&amp;"|"&amp;F4883&amp;"|"&amp;I4883&amp;"|"&amp;O4883)</f>
        <v/>
      </c>
      <c r="T4883" s="15" t="str">
        <f>IF(OR(S4883="",D4883&lt;&gt;"Vastgesteld"),"",_xlfn.MAXIFS($G$6:$G$5005,$S$6:$S$5005,S4883,$D$6:$D$5005,"Vastgesteld"))</f>
        <v/>
      </c>
      <c r="U4883" s="15">
        <f>IF(T4883="",0,IF(AND(G4883=T4883,COUNTIFS($S$6:S4883,S4883,$G$6:G4883,G4883,$D$6:D4883,"Vastgesteld")=1),1,0))</f>
        <v>0</v>
      </c>
      <c r="V4883" s="15">
        <f>IF(T4883="",0,IF(AND(G4883=T4883,COUNTIFS($S$6:S4883,S4883,$G$6:G4883,G4883,$D$6:D4883,"Vastgesteld")&gt;1),1,0))</f>
        <v>0</v>
      </c>
    </row>
    <row r="4884">
      <c r="S4884" s="15" t="str">
        <f>IF(J4884="","",J4884&amp;"|"&amp;E4884&amp;"|"&amp;F4884&amp;"|"&amp;I4884&amp;"|"&amp;O4884)</f>
        <v/>
      </c>
      <c r="T4884" s="15" t="str">
        <f>IF(OR(S4884="",D4884&lt;&gt;"Vastgesteld"),"",_xlfn.MAXIFS($G$6:$G$5005,$S$6:$S$5005,S4884,$D$6:$D$5005,"Vastgesteld"))</f>
        <v/>
      </c>
      <c r="U4884" s="15">
        <f>IF(T4884="",0,IF(AND(G4884=T4884,COUNTIFS($S$6:S4884,S4884,$G$6:G4884,G4884,$D$6:D4884,"Vastgesteld")=1),1,0))</f>
        <v>0</v>
      </c>
      <c r="V4884" s="15">
        <f>IF(T4884="",0,IF(AND(G4884=T4884,COUNTIFS($S$6:S4884,S4884,$G$6:G4884,G4884,$D$6:D4884,"Vastgesteld")&gt;1),1,0))</f>
        <v>0</v>
      </c>
    </row>
    <row r="4885">
      <c r="S4885" s="15" t="str">
        <f>IF(J4885="","",J4885&amp;"|"&amp;E4885&amp;"|"&amp;F4885&amp;"|"&amp;I4885&amp;"|"&amp;O4885)</f>
        <v/>
      </c>
      <c r="T4885" s="15" t="str">
        <f>IF(OR(S4885="",D4885&lt;&gt;"Vastgesteld"),"",_xlfn.MAXIFS($G$6:$G$5005,$S$6:$S$5005,S4885,$D$6:$D$5005,"Vastgesteld"))</f>
        <v/>
      </c>
      <c r="U4885" s="15">
        <f>IF(T4885="",0,IF(AND(G4885=T4885,COUNTIFS($S$6:S4885,S4885,$G$6:G4885,G4885,$D$6:D4885,"Vastgesteld")=1),1,0))</f>
        <v>0</v>
      </c>
      <c r="V4885" s="15">
        <f>IF(T4885="",0,IF(AND(G4885=T4885,COUNTIFS($S$6:S4885,S4885,$G$6:G4885,G4885,$D$6:D4885,"Vastgesteld")&gt;1),1,0))</f>
        <v>0</v>
      </c>
    </row>
    <row r="4886">
      <c r="S4886" s="15" t="str">
        <f>IF(J4886="","",J4886&amp;"|"&amp;E4886&amp;"|"&amp;F4886&amp;"|"&amp;I4886&amp;"|"&amp;O4886)</f>
        <v/>
      </c>
      <c r="T4886" s="15" t="str">
        <f>IF(OR(S4886="",D4886&lt;&gt;"Vastgesteld"),"",_xlfn.MAXIFS($G$6:$G$5005,$S$6:$S$5005,S4886,$D$6:$D$5005,"Vastgesteld"))</f>
        <v/>
      </c>
      <c r="U4886" s="15">
        <f>IF(T4886="",0,IF(AND(G4886=T4886,COUNTIFS($S$6:S4886,S4886,$G$6:G4886,G4886,$D$6:D4886,"Vastgesteld")=1),1,0))</f>
        <v>0</v>
      </c>
      <c r="V4886" s="15">
        <f>IF(T4886="",0,IF(AND(G4886=T4886,COUNTIFS($S$6:S4886,S4886,$G$6:G4886,G4886,$D$6:D4886,"Vastgesteld")&gt;1),1,0))</f>
        <v>0</v>
      </c>
    </row>
    <row r="4887">
      <c r="S4887" s="15" t="str">
        <f>IF(J4887="","",J4887&amp;"|"&amp;E4887&amp;"|"&amp;F4887&amp;"|"&amp;I4887&amp;"|"&amp;O4887)</f>
        <v/>
      </c>
      <c r="T4887" s="15" t="str">
        <f>IF(OR(S4887="",D4887&lt;&gt;"Vastgesteld"),"",_xlfn.MAXIFS($G$6:$G$5005,$S$6:$S$5005,S4887,$D$6:$D$5005,"Vastgesteld"))</f>
        <v/>
      </c>
      <c r="U4887" s="15">
        <f>IF(T4887="",0,IF(AND(G4887=T4887,COUNTIFS($S$6:S4887,S4887,$G$6:G4887,G4887,$D$6:D4887,"Vastgesteld")=1),1,0))</f>
        <v>0</v>
      </c>
      <c r="V4887" s="15">
        <f>IF(T4887="",0,IF(AND(G4887=T4887,COUNTIFS($S$6:S4887,S4887,$G$6:G4887,G4887,$D$6:D4887,"Vastgesteld")&gt;1),1,0))</f>
        <v>0</v>
      </c>
    </row>
    <row r="4888">
      <c r="S4888" s="15" t="str">
        <f>IF(J4888="","",J4888&amp;"|"&amp;E4888&amp;"|"&amp;F4888&amp;"|"&amp;I4888&amp;"|"&amp;O4888)</f>
        <v/>
      </c>
      <c r="T4888" s="15" t="str">
        <f>IF(OR(S4888="",D4888&lt;&gt;"Vastgesteld"),"",_xlfn.MAXIFS($G$6:$G$5005,$S$6:$S$5005,S4888,$D$6:$D$5005,"Vastgesteld"))</f>
        <v/>
      </c>
      <c r="U4888" s="15">
        <f>IF(T4888="",0,IF(AND(G4888=T4888,COUNTIFS($S$6:S4888,S4888,$G$6:G4888,G4888,$D$6:D4888,"Vastgesteld")=1),1,0))</f>
        <v>0</v>
      </c>
      <c r="V4888" s="15">
        <f>IF(T4888="",0,IF(AND(G4888=T4888,COUNTIFS($S$6:S4888,S4888,$G$6:G4888,G4888,$D$6:D4888,"Vastgesteld")&gt;1),1,0))</f>
        <v>0</v>
      </c>
    </row>
    <row r="4889">
      <c r="S4889" s="15" t="str">
        <f>IF(J4889="","",J4889&amp;"|"&amp;E4889&amp;"|"&amp;F4889&amp;"|"&amp;I4889&amp;"|"&amp;O4889)</f>
        <v/>
      </c>
      <c r="T4889" s="15" t="str">
        <f>IF(OR(S4889="",D4889&lt;&gt;"Vastgesteld"),"",_xlfn.MAXIFS($G$6:$G$5005,$S$6:$S$5005,S4889,$D$6:$D$5005,"Vastgesteld"))</f>
        <v/>
      </c>
      <c r="U4889" s="15">
        <f>IF(T4889="",0,IF(AND(G4889=T4889,COUNTIFS($S$6:S4889,S4889,$G$6:G4889,G4889,$D$6:D4889,"Vastgesteld")=1),1,0))</f>
        <v>0</v>
      </c>
      <c r="V4889" s="15">
        <f>IF(T4889="",0,IF(AND(G4889=T4889,COUNTIFS($S$6:S4889,S4889,$G$6:G4889,G4889,$D$6:D4889,"Vastgesteld")&gt;1),1,0))</f>
        <v>0</v>
      </c>
    </row>
    <row r="4890">
      <c r="S4890" s="15" t="str">
        <f>IF(J4890="","",J4890&amp;"|"&amp;E4890&amp;"|"&amp;F4890&amp;"|"&amp;I4890&amp;"|"&amp;O4890)</f>
        <v/>
      </c>
      <c r="T4890" s="15" t="str">
        <f>IF(OR(S4890="",D4890&lt;&gt;"Vastgesteld"),"",_xlfn.MAXIFS($G$6:$G$5005,$S$6:$S$5005,S4890,$D$6:$D$5005,"Vastgesteld"))</f>
        <v/>
      </c>
      <c r="U4890" s="15">
        <f>IF(T4890="",0,IF(AND(G4890=T4890,COUNTIFS($S$6:S4890,S4890,$G$6:G4890,G4890,$D$6:D4890,"Vastgesteld")=1),1,0))</f>
        <v>0</v>
      </c>
      <c r="V4890" s="15">
        <f>IF(T4890="",0,IF(AND(G4890=T4890,COUNTIFS($S$6:S4890,S4890,$G$6:G4890,G4890,$D$6:D4890,"Vastgesteld")&gt;1),1,0))</f>
        <v>0</v>
      </c>
    </row>
    <row r="4891">
      <c r="S4891" s="15" t="str">
        <f>IF(J4891="","",J4891&amp;"|"&amp;E4891&amp;"|"&amp;F4891&amp;"|"&amp;I4891&amp;"|"&amp;O4891)</f>
        <v/>
      </c>
      <c r="T4891" s="15" t="str">
        <f>IF(OR(S4891="",D4891&lt;&gt;"Vastgesteld"),"",_xlfn.MAXIFS($G$6:$G$5005,$S$6:$S$5005,S4891,$D$6:$D$5005,"Vastgesteld"))</f>
        <v/>
      </c>
      <c r="U4891" s="15">
        <f>IF(T4891="",0,IF(AND(G4891=T4891,COUNTIFS($S$6:S4891,S4891,$G$6:G4891,G4891,$D$6:D4891,"Vastgesteld")=1),1,0))</f>
        <v>0</v>
      </c>
      <c r="V4891" s="15">
        <f>IF(T4891="",0,IF(AND(G4891=T4891,COUNTIFS($S$6:S4891,S4891,$G$6:G4891,G4891,$D$6:D4891,"Vastgesteld")&gt;1),1,0))</f>
        <v>0</v>
      </c>
    </row>
    <row r="4892">
      <c r="S4892" s="15" t="str">
        <f>IF(J4892="","",J4892&amp;"|"&amp;E4892&amp;"|"&amp;F4892&amp;"|"&amp;I4892&amp;"|"&amp;O4892)</f>
        <v/>
      </c>
      <c r="T4892" s="15" t="str">
        <f>IF(OR(S4892="",D4892&lt;&gt;"Vastgesteld"),"",_xlfn.MAXIFS($G$6:$G$5005,$S$6:$S$5005,S4892,$D$6:$D$5005,"Vastgesteld"))</f>
        <v/>
      </c>
      <c r="U4892" s="15">
        <f>IF(T4892="",0,IF(AND(G4892=T4892,COUNTIFS($S$6:S4892,S4892,$G$6:G4892,G4892,$D$6:D4892,"Vastgesteld")=1),1,0))</f>
        <v>0</v>
      </c>
      <c r="V4892" s="15">
        <f>IF(T4892="",0,IF(AND(G4892=T4892,COUNTIFS($S$6:S4892,S4892,$G$6:G4892,G4892,$D$6:D4892,"Vastgesteld")&gt;1),1,0))</f>
        <v>0</v>
      </c>
    </row>
    <row r="4893">
      <c r="S4893" s="15" t="str">
        <f>IF(J4893="","",J4893&amp;"|"&amp;E4893&amp;"|"&amp;F4893&amp;"|"&amp;I4893&amp;"|"&amp;O4893)</f>
        <v/>
      </c>
      <c r="T4893" s="15" t="str">
        <f>IF(OR(S4893="",D4893&lt;&gt;"Vastgesteld"),"",_xlfn.MAXIFS($G$6:$G$5005,$S$6:$S$5005,S4893,$D$6:$D$5005,"Vastgesteld"))</f>
        <v/>
      </c>
      <c r="U4893" s="15">
        <f>IF(T4893="",0,IF(AND(G4893=T4893,COUNTIFS($S$6:S4893,S4893,$G$6:G4893,G4893,$D$6:D4893,"Vastgesteld")=1),1,0))</f>
        <v>0</v>
      </c>
      <c r="V4893" s="15">
        <f>IF(T4893="",0,IF(AND(G4893=T4893,COUNTIFS($S$6:S4893,S4893,$G$6:G4893,G4893,$D$6:D4893,"Vastgesteld")&gt;1),1,0))</f>
        <v>0</v>
      </c>
    </row>
    <row r="4894">
      <c r="S4894" s="15" t="str">
        <f>IF(J4894="","",J4894&amp;"|"&amp;E4894&amp;"|"&amp;F4894&amp;"|"&amp;I4894&amp;"|"&amp;O4894)</f>
        <v/>
      </c>
      <c r="T4894" s="15" t="str">
        <f>IF(OR(S4894="",D4894&lt;&gt;"Vastgesteld"),"",_xlfn.MAXIFS($G$6:$G$5005,$S$6:$S$5005,S4894,$D$6:$D$5005,"Vastgesteld"))</f>
        <v/>
      </c>
      <c r="U4894" s="15">
        <f>IF(T4894="",0,IF(AND(G4894=T4894,COUNTIFS($S$6:S4894,S4894,$G$6:G4894,G4894,$D$6:D4894,"Vastgesteld")=1),1,0))</f>
        <v>0</v>
      </c>
      <c r="V4894" s="15">
        <f>IF(T4894="",0,IF(AND(G4894=T4894,COUNTIFS($S$6:S4894,S4894,$G$6:G4894,G4894,$D$6:D4894,"Vastgesteld")&gt;1),1,0))</f>
        <v>0</v>
      </c>
    </row>
    <row r="4895">
      <c r="S4895" s="15" t="str">
        <f>IF(J4895="","",J4895&amp;"|"&amp;E4895&amp;"|"&amp;F4895&amp;"|"&amp;I4895&amp;"|"&amp;O4895)</f>
        <v/>
      </c>
      <c r="T4895" s="15" t="str">
        <f>IF(OR(S4895="",D4895&lt;&gt;"Vastgesteld"),"",_xlfn.MAXIFS($G$6:$G$5005,$S$6:$S$5005,S4895,$D$6:$D$5005,"Vastgesteld"))</f>
        <v/>
      </c>
      <c r="U4895" s="15">
        <f>IF(T4895="",0,IF(AND(G4895=T4895,COUNTIFS($S$6:S4895,S4895,$G$6:G4895,G4895,$D$6:D4895,"Vastgesteld")=1),1,0))</f>
        <v>0</v>
      </c>
      <c r="V4895" s="15">
        <f>IF(T4895="",0,IF(AND(G4895=T4895,COUNTIFS($S$6:S4895,S4895,$G$6:G4895,G4895,$D$6:D4895,"Vastgesteld")&gt;1),1,0))</f>
        <v>0</v>
      </c>
    </row>
    <row r="4896">
      <c r="S4896" s="15" t="str">
        <f>IF(J4896="","",J4896&amp;"|"&amp;E4896&amp;"|"&amp;F4896&amp;"|"&amp;I4896&amp;"|"&amp;O4896)</f>
        <v/>
      </c>
      <c r="T4896" s="15" t="str">
        <f>IF(OR(S4896="",D4896&lt;&gt;"Vastgesteld"),"",_xlfn.MAXIFS($G$6:$G$5005,$S$6:$S$5005,S4896,$D$6:$D$5005,"Vastgesteld"))</f>
        <v/>
      </c>
      <c r="U4896" s="15">
        <f>IF(T4896="",0,IF(AND(G4896=T4896,COUNTIFS($S$6:S4896,S4896,$G$6:G4896,G4896,$D$6:D4896,"Vastgesteld")=1),1,0))</f>
        <v>0</v>
      </c>
      <c r="V4896" s="15">
        <f>IF(T4896="",0,IF(AND(G4896=T4896,COUNTIFS($S$6:S4896,S4896,$G$6:G4896,G4896,$D$6:D4896,"Vastgesteld")&gt;1),1,0))</f>
        <v>0</v>
      </c>
    </row>
    <row r="4897">
      <c r="S4897" s="15" t="str">
        <f>IF(J4897="","",J4897&amp;"|"&amp;E4897&amp;"|"&amp;F4897&amp;"|"&amp;I4897&amp;"|"&amp;O4897)</f>
        <v/>
      </c>
      <c r="T4897" s="15" t="str">
        <f>IF(OR(S4897="",D4897&lt;&gt;"Vastgesteld"),"",_xlfn.MAXIFS($G$6:$G$5005,$S$6:$S$5005,S4897,$D$6:$D$5005,"Vastgesteld"))</f>
        <v/>
      </c>
      <c r="U4897" s="15">
        <f>IF(T4897="",0,IF(AND(G4897=T4897,COUNTIFS($S$6:S4897,S4897,$G$6:G4897,G4897,$D$6:D4897,"Vastgesteld")=1),1,0))</f>
        <v>0</v>
      </c>
      <c r="V4897" s="15">
        <f>IF(T4897="",0,IF(AND(G4897=T4897,COUNTIFS($S$6:S4897,S4897,$G$6:G4897,G4897,$D$6:D4897,"Vastgesteld")&gt;1),1,0))</f>
        <v>0</v>
      </c>
    </row>
    <row r="4898">
      <c r="S4898" s="15" t="str">
        <f>IF(J4898="","",J4898&amp;"|"&amp;E4898&amp;"|"&amp;F4898&amp;"|"&amp;I4898&amp;"|"&amp;O4898)</f>
        <v/>
      </c>
      <c r="T4898" s="15" t="str">
        <f>IF(OR(S4898="",D4898&lt;&gt;"Vastgesteld"),"",_xlfn.MAXIFS($G$6:$G$5005,$S$6:$S$5005,S4898,$D$6:$D$5005,"Vastgesteld"))</f>
        <v/>
      </c>
      <c r="U4898" s="15">
        <f>IF(T4898="",0,IF(AND(G4898=T4898,COUNTIFS($S$6:S4898,S4898,$G$6:G4898,G4898,$D$6:D4898,"Vastgesteld")=1),1,0))</f>
        <v>0</v>
      </c>
      <c r="V4898" s="15">
        <f>IF(T4898="",0,IF(AND(G4898=T4898,COUNTIFS($S$6:S4898,S4898,$G$6:G4898,G4898,$D$6:D4898,"Vastgesteld")&gt;1),1,0))</f>
        <v>0</v>
      </c>
    </row>
    <row r="4899">
      <c r="S4899" s="15" t="str">
        <f>IF(J4899="","",J4899&amp;"|"&amp;E4899&amp;"|"&amp;F4899&amp;"|"&amp;I4899&amp;"|"&amp;O4899)</f>
        <v/>
      </c>
      <c r="T4899" s="15" t="str">
        <f>IF(OR(S4899="",D4899&lt;&gt;"Vastgesteld"),"",_xlfn.MAXIFS($G$6:$G$5005,$S$6:$S$5005,S4899,$D$6:$D$5005,"Vastgesteld"))</f>
        <v/>
      </c>
      <c r="U4899" s="15">
        <f>IF(T4899="",0,IF(AND(G4899=T4899,COUNTIFS($S$6:S4899,S4899,$G$6:G4899,G4899,$D$6:D4899,"Vastgesteld")=1),1,0))</f>
        <v>0</v>
      </c>
      <c r="V4899" s="15">
        <f>IF(T4899="",0,IF(AND(G4899=T4899,COUNTIFS($S$6:S4899,S4899,$G$6:G4899,G4899,$D$6:D4899,"Vastgesteld")&gt;1),1,0))</f>
        <v>0</v>
      </c>
    </row>
    <row r="4900">
      <c r="S4900" s="15" t="str">
        <f>IF(J4900="","",J4900&amp;"|"&amp;E4900&amp;"|"&amp;F4900&amp;"|"&amp;I4900&amp;"|"&amp;O4900)</f>
        <v/>
      </c>
      <c r="T4900" s="15" t="str">
        <f>IF(OR(S4900="",D4900&lt;&gt;"Vastgesteld"),"",_xlfn.MAXIFS($G$6:$G$5005,$S$6:$S$5005,S4900,$D$6:$D$5005,"Vastgesteld"))</f>
        <v/>
      </c>
      <c r="U4900" s="15">
        <f>IF(T4900="",0,IF(AND(G4900=T4900,COUNTIFS($S$6:S4900,S4900,$G$6:G4900,G4900,$D$6:D4900,"Vastgesteld")=1),1,0))</f>
        <v>0</v>
      </c>
      <c r="V4900" s="15">
        <f>IF(T4900="",0,IF(AND(G4900=T4900,COUNTIFS($S$6:S4900,S4900,$G$6:G4900,G4900,$D$6:D4900,"Vastgesteld")&gt;1),1,0))</f>
        <v>0</v>
      </c>
    </row>
    <row r="4901">
      <c r="S4901" s="15" t="str">
        <f>IF(J4901="","",J4901&amp;"|"&amp;E4901&amp;"|"&amp;F4901&amp;"|"&amp;I4901&amp;"|"&amp;O4901)</f>
        <v/>
      </c>
      <c r="T4901" s="15" t="str">
        <f>IF(OR(S4901="",D4901&lt;&gt;"Vastgesteld"),"",_xlfn.MAXIFS($G$6:$G$5005,$S$6:$S$5005,S4901,$D$6:$D$5005,"Vastgesteld"))</f>
        <v/>
      </c>
      <c r="U4901" s="15">
        <f>IF(T4901="",0,IF(AND(G4901=T4901,COUNTIFS($S$6:S4901,S4901,$G$6:G4901,G4901,$D$6:D4901,"Vastgesteld")=1),1,0))</f>
        <v>0</v>
      </c>
      <c r="V4901" s="15">
        <f>IF(T4901="",0,IF(AND(G4901=T4901,COUNTIFS($S$6:S4901,S4901,$G$6:G4901,G4901,$D$6:D4901,"Vastgesteld")&gt;1),1,0))</f>
        <v>0</v>
      </c>
    </row>
    <row r="4902">
      <c r="S4902" s="15" t="str">
        <f>IF(J4902="","",J4902&amp;"|"&amp;E4902&amp;"|"&amp;F4902&amp;"|"&amp;I4902&amp;"|"&amp;O4902)</f>
        <v/>
      </c>
      <c r="T4902" s="15" t="str">
        <f>IF(OR(S4902="",D4902&lt;&gt;"Vastgesteld"),"",_xlfn.MAXIFS($G$6:$G$5005,$S$6:$S$5005,S4902,$D$6:$D$5005,"Vastgesteld"))</f>
        <v/>
      </c>
      <c r="U4902" s="15">
        <f>IF(T4902="",0,IF(AND(G4902=T4902,COUNTIFS($S$6:S4902,S4902,$G$6:G4902,G4902,$D$6:D4902,"Vastgesteld")=1),1,0))</f>
        <v>0</v>
      </c>
      <c r="V4902" s="15">
        <f>IF(T4902="",0,IF(AND(G4902=T4902,COUNTIFS($S$6:S4902,S4902,$G$6:G4902,G4902,$D$6:D4902,"Vastgesteld")&gt;1),1,0))</f>
        <v>0</v>
      </c>
    </row>
    <row r="4903">
      <c r="S4903" s="15" t="str">
        <f>IF(J4903="","",J4903&amp;"|"&amp;E4903&amp;"|"&amp;F4903&amp;"|"&amp;I4903&amp;"|"&amp;O4903)</f>
        <v/>
      </c>
      <c r="T4903" s="15" t="str">
        <f>IF(OR(S4903="",D4903&lt;&gt;"Vastgesteld"),"",_xlfn.MAXIFS($G$6:$G$5005,$S$6:$S$5005,S4903,$D$6:$D$5005,"Vastgesteld"))</f>
        <v/>
      </c>
      <c r="U4903" s="15">
        <f>IF(T4903="",0,IF(AND(G4903=T4903,COUNTIFS($S$6:S4903,S4903,$G$6:G4903,G4903,$D$6:D4903,"Vastgesteld")=1),1,0))</f>
        <v>0</v>
      </c>
      <c r="V4903" s="15">
        <f>IF(T4903="",0,IF(AND(G4903=T4903,COUNTIFS($S$6:S4903,S4903,$G$6:G4903,G4903,$D$6:D4903,"Vastgesteld")&gt;1),1,0))</f>
        <v>0</v>
      </c>
    </row>
    <row r="4904">
      <c r="S4904" s="15" t="str">
        <f>IF(J4904="","",J4904&amp;"|"&amp;E4904&amp;"|"&amp;F4904&amp;"|"&amp;I4904&amp;"|"&amp;O4904)</f>
        <v/>
      </c>
      <c r="T4904" s="15" t="str">
        <f>IF(OR(S4904="",D4904&lt;&gt;"Vastgesteld"),"",_xlfn.MAXIFS($G$6:$G$5005,$S$6:$S$5005,S4904,$D$6:$D$5005,"Vastgesteld"))</f>
        <v/>
      </c>
      <c r="U4904" s="15">
        <f>IF(T4904="",0,IF(AND(G4904=T4904,COUNTIFS($S$6:S4904,S4904,$G$6:G4904,G4904,$D$6:D4904,"Vastgesteld")=1),1,0))</f>
        <v>0</v>
      </c>
      <c r="V4904" s="15">
        <f>IF(T4904="",0,IF(AND(G4904=T4904,COUNTIFS($S$6:S4904,S4904,$G$6:G4904,G4904,$D$6:D4904,"Vastgesteld")&gt;1),1,0))</f>
        <v>0</v>
      </c>
    </row>
    <row r="4905">
      <c r="S4905" s="15" t="str">
        <f>IF(J4905="","",J4905&amp;"|"&amp;E4905&amp;"|"&amp;F4905&amp;"|"&amp;I4905&amp;"|"&amp;O4905)</f>
        <v/>
      </c>
      <c r="T4905" s="15" t="str">
        <f>IF(OR(S4905="",D4905&lt;&gt;"Vastgesteld"),"",_xlfn.MAXIFS($G$6:$G$5005,$S$6:$S$5005,S4905,$D$6:$D$5005,"Vastgesteld"))</f>
        <v/>
      </c>
      <c r="U4905" s="15">
        <f>IF(T4905="",0,IF(AND(G4905=T4905,COUNTIFS($S$6:S4905,S4905,$G$6:G4905,G4905,$D$6:D4905,"Vastgesteld")=1),1,0))</f>
        <v>0</v>
      </c>
      <c r="V4905" s="15">
        <f>IF(T4905="",0,IF(AND(G4905=T4905,COUNTIFS($S$6:S4905,S4905,$G$6:G4905,G4905,$D$6:D4905,"Vastgesteld")&gt;1),1,0))</f>
        <v>0</v>
      </c>
    </row>
    <row r="4906">
      <c r="S4906" s="15" t="str">
        <f>IF(J4906="","",J4906&amp;"|"&amp;E4906&amp;"|"&amp;F4906&amp;"|"&amp;I4906&amp;"|"&amp;O4906)</f>
        <v/>
      </c>
      <c r="T4906" s="15" t="str">
        <f>IF(OR(S4906="",D4906&lt;&gt;"Vastgesteld"),"",_xlfn.MAXIFS($G$6:$G$5005,$S$6:$S$5005,S4906,$D$6:$D$5005,"Vastgesteld"))</f>
        <v/>
      </c>
      <c r="U4906" s="15">
        <f>IF(T4906="",0,IF(AND(G4906=T4906,COUNTIFS($S$6:S4906,S4906,$G$6:G4906,G4906,$D$6:D4906,"Vastgesteld")=1),1,0))</f>
        <v>0</v>
      </c>
      <c r="V4906" s="15">
        <f>IF(T4906="",0,IF(AND(G4906=T4906,COUNTIFS($S$6:S4906,S4906,$G$6:G4906,G4906,$D$6:D4906,"Vastgesteld")&gt;1),1,0))</f>
        <v>0</v>
      </c>
    </row>
    <row r="4907">
      <c r="S4907" s="15" t="str">
        <f>IF(J4907="","",J4907&amp;"|"&amp;E4907&amp;"|"&amp;F4907&amp;"|"&amp;I4907&amp;"|"&amp;O4907)</f>
        <v/>
      </c>
      <c r="T4907" s="15" t="str">
        <f>IF(OR(S4907="",D4907&lt;&gt;"Vastgesteld"),"",_xlfn.MAXIFS($G$6:$G$5005,$S$6:$S$5005,S4907,$D$6:$D$5005,"Vastgesteld"))</f>
        <v/>
      </c>
      <c r="U4907" s="15">
        <f>IF(T4907="",0,IF(AND(G4907=T4907,COUNTIFS($S$6:S4907,S4907,$G$6:G4907,G4907,$D$6:D4907,"Vastgesteld")=1),1,0))</f>
        <v>0</v>
      </c>
      <c r="V4907" s="15">
        <f>IF(T4907="",0,IF(AND(G4907=T4907,COUNTIFS($S$6:S4907,S4907,$G$6:G4907,G4907,$D$6:D4907,"Vastgesteld")&gt;1),1,0))</f>
        <v>0</v>
      </c>
    </row>
    <row r="4908">
      <c r="S4908" s="15" t="str">
        <f>IF(J4908="","",J4908&amp;"|"&amp;E4908&amp;"|"&amp;F4908&amp;"|"&amp;I4908&amp;"|"&amp;O4908)</f>
        <v/>
      </c>
      <c r="T4908" s="15" t="str">
        <f>IF(OR(S4908="",D4908&lt;&gt;"Vastgesteld"),"",_xlfn.MAXIFS($G$6:$G$5005,$S$6:$S$5005,S4908,$D$6:$D$5005,"Vastgesteld"))</f>
        <v/>
      </c>
      <c r="U4908" s="15">
        <f>IF(T4908="",0,IF(AND(G4908=T4908,COUNTIFS($S$6:S4908,S4908,$G$6:G4908,G4908,$D$6:D4908,"Vastgesteld")=1),1,0))</f>
        <v>0</v>
      </c>
      <c r="V4908" s="15">
        <f>IF(T4908="",0,IF(AND(G4908=T4908,COUNTIFS($S$6:S4908,S4908,$G$6:G4908,G4908,$D$6:D4908,"Vastgesteld")&gt;1),1,0))</f>
        <v>0</v>
      </c>
    </row>
    <row r="4909">
      <c r="S4909" s="15" t="str">
        <f>IF(J4909="","",J4909&amp;"|"&amp;E4909&amp;"|"&amp;F4909&amp;"|"&amp;I4909&amp;"|"&amp;O4909)</f>
        <v/>
      </c>
      <c r="T4909" s="15" t="str">
        <f>IF(OR(S4909="",D4909&lt;&gt;"Vastgesteld"),"",_xlfn.MAXIFS($G$6:$G$5005,$S$6:$S$5005,S4909,$D$6:$D$5005,"Vastgesteld"))</f>
        <v/>
      </c>
      <c r="U4909" s="15">
        <f>IF(T4909="",0,IF(AND(G4909=T4909,COUNTIFS($S$6:S4909,S4909,$G$6:G4909,G4909,$D$6:D4909,"Vastgesteld")=1),1,0))</f>
        <v>0</v>
      </c>
      <c r="V4909" s="15">
        <f>IF(T4909="",0,IF(AND(G4909=T4909,COUNTIFS($S$6:S4909,S4909,$G$6:G4909,G4909,$D$6:D4909,"Vastgesteld")&gt;1),1,0))</f>
        <v>0</v>
      </c>
    </row>
    <row r="4910">
      <c r="S4910" s="15" t="str">
        <f>IF(J4910="","",J4910&amp;"|"&amp;E4910&amp;"|"&amp;F4910&amp;"|"&amp;I4910&amp;"|"&amp;O4910)</f>
        <v/>
      </c>
      <c r="T4910" s="15" t="str">
        <f>IF(OR(S4910="",D4910&lt;&gt;"Vastgesteld"),"",_xlfn.MAXIFS($G$6:$G$5005,$S$6:$S$5005,S4910,$D$6:$D$5005,"Vastgesteld"))</f>
        <v/>
      </c>
      <c r="U4910" s="15">
        <f>IF(T4910="",0,IF(AND(G4910=T4910,COUNTIFS($S$6:S4910,S4910,$G$6:G4910,G4910,$D$6:D4910,"Vastgesteld")=1),1,0))</f>
        <v>0</v>
      </c>
      <c r="V4910" s="15">
        <f>IF(T4910="",0,IF(AND(G4910=T4910,COUNTIFS($S$6:S4910,S4910,$G$6:G4910,G4910,$D$6:D4910,"Vastgesteld")&gt;1),1,0))</f>
        <v>0</v>
      </c>
    </row>
    <row r="4911">
      <c r="S4911" s="15" t="str">
        <f>IF(J4911="","",J4911&amp;"|"&amp;E4911&amp;"|"&amp;F4911&amp;"|"&amp;I4911&amp;"|"&amp;O4911)</f>
        <v/>
      </c>
      <c r="T4911" s="15" t="str">
        <f>IF(OR(S4911="",D4911&lt;&gt;"Vastgesteld"),"",_xlfn.MAXIFS($G$6:$G$5005,$S$6:$S$5005,S4911,$D$6:$D$5005,"Vastgesteld"))</f>
        <v/>
      </c>
      <c r="U4911" s="15">
        <f>IF(T4911="",0,IF(AND(G4911=T4911,COUNTIFS($S$6:S4911,S4911,$G$6:G4911,G4911,$D$6:D4911,"Vastgesteld")=1),1,0))</f>
        <v>0</v>
      </c>
      <c r="V4911" s="15">
        <f>IF(T4911="",0,IF(AND(G4911=T4911,COUNTIFS($S$6:S4911,S4911,$G$6:G4911,G4911,$D$6:D4911,"Vastgesteld")&gt;1),1,0))</f>
        <v>0</v>
      </c>
    </row>
    <row r="4912">
      <c r="S4912" s="15" t="str">
        <f>IF(J4912="","",J4912&amp;"|"&amp;E4912&amp;"|"&amp;F4912&amp;"|"&amp;I4912&amp;"|"&amp;O4912)</f>
        <v/>
      </c>
      <c r="T4912" s="15" t="str">
        <f>IF(OR(S4912="",D4912&lt;&gt;"Vastgesteld"),"",_xlfn.MAXIFS($G$6:$G$5005,$S$6:$S$5005,S4912,$D$6:$D$5005,"Vastgesteld"))</f>
        <v/>
      </c>
      <c r="U4912" s="15">
        <f>IF(T4912="",0,IF(AND(G4912=T4912,COUNTIFS($S$6:S4912,S4912,$G$6:G4912,G4912,$D$6:D4912,"Vastgesteld")=1),1,0))</f>
        <v>0</v>
      </c>
      <c r="V4912" s="15">
        <f>IF(T4912="",0,IF(AND(G4912=T4912,COUNTIFS($S$6:S4912,S4912,$G$6:G4912,G4912,$D$6:D4912,"Vastgesteld")&gt;1),1,0))</f>
        <v>0</v>
      </c>
    </row>
    <row r="4913">
      <c r="S4913" s="15" t="str">
        <f>IF(J4913="","",J4913&amp;"|"&amp;E4913&amp;"|"&amp;F4913&amp;"|"&amp;I4913&amp;"|"&amp;O4913)</f>
        <v/>
      </c>
      <c r="T4913" s="15" t="str">
        <f>IF(OR(S4913="",D4913&lt;&gt;"Vastgesteld"),"",_xlfn.MAXIFS($G$6:$G$5005,$S$6:$S$5005,S4913,$D$6:$D$5005,"Vastgesteld"))</f>
        <v/>
      </c>
      <c r="U4913" s="15">
        <f>IF(T4913="",0,IF(AND(G4913=T4913,COUNTIFS($S$6:S4913,S4913,$G$6:G4913,G4913,$D$6:D4913,"Vastgesteld")=1),1,0))</f>
        <v>0</v>
      </c>
      <c r="V4913" s="15">
        <f>IF(T4913="",0,IF(AND(G4913=T4913,COUNTIFS($S$6:S4913,S4913,$G$6:G4913,G4913,$D$6:D4913,"Vastgesteld")&gt;1),1,0))</f>
        <v>0</v>
      </c>
    </row>
    <row r="4914">
      <c r="S4914" s="15" t="str">
        <f>IF(J4914="","",J4914&amp;"|"&amp;E4914&amp;"|"&amp;F4914&amp;"|"&amp;I4914&amp;"|"&amp;O4914)</f>
        <v/>
      </c>
      <c r="T4914" s="15" t="str">
        <f>IF(OR(S4914="",D4914&lt;&gt;"Vastgesteld"),"",_xlfn.MAXIFS($G$6:$G$5005,$S$6:$S$5005,S4914,$D$6:$D$5005,"Vastgesteld"))</f>
        <v/>
      </c>
      <c r="U4914" s="15">
        <f>IF(T4914="",0,IF(AND(G4914=T4914,COUNTIFS($S$6:S4914,S4914,$G$6:G4914,G4914,$D$6:D4914,"Vastgesteld")=1),1,0))</f>
        <v>0</v>
      </c>
      <c r="V4914" s="15">
        <f>IF(T4914="",0,IF(AND(G4914=T4914,COUNTIFS($S$6:S4914,S4914,$G$6:G4914,G4914,$D$6:D4914,"Vastgesteld")&gt;1),1,0))</f>
        <v>0</v>
      </c>
    </row>
    <row r="4915">
      <c r="S4915" s="15" t="str">
        <f>IF(J4915="","",J4915&amp;"|"&amp;E4915&amp;"|"&amp;F4915&amp;"|"&amp;I4915&amp;"|"&amp;O4915)</f>
        <v/>
      </c>
      <c r="T4915" s="15" t="str">
        <f>IF(OR(S4915="",D4915&lt;&gt;"Vastgesteld"),"",_xlfn.MAXIFS($G$6:$G$5005,$S$6:$S$5005,S4915,$D$6:$D$5005,"Vastgesteld"))</f>
        <v/>
      </c>
      <c r="U4915" s="15">
        <f>IF(T4915="",0,IF(AND(G4915=T4915,COUNTIFS($S$6:S4915,S4915,$G$6:G4915,G4915,$D$6:D4915,"Vastgesteld")=1),1,0))</f>
        <v>0</v>
      </c>
      <c r="V4915" s="15">
        <f>IF(T4915="",0,IF(AND(G4915=T4915,COUNTIFS($S$6:S4915,S4915,$G$6:G4915,G4915,$D$6:D4915,"Vastgesteld")&gt;1),1,0))</f>
        <v>0</v>
      </c>
    </row>
    <row r="4916">
      <c r="S4916" s="15" t="str">
        <f>IF(J4916="","",J4916&amp;"|"&amp;E4916&amp;"|"&amp;F4916&amp;"|"&amp;I4916&amp;"|"&amp;O4916)</f>
        <v/>
      </c>
      <c r="T4916" s="15" t="str">
        <f>IF(OR(S4916="",D4916&lt;&gt;"Vastgesteld"),"",_xlfn.MAXIFS($G$6:$G$5005,$S$6:$S$5005,S4916,$D$6:$D$5005,"Vastgesteld"))</f>
        <v/>
      </c>
      <c r="U4916" s="15">
        <f>IF(T4916="",0,IF(AND(G4916=T4916,COUNTIFS($S$6:S4916,S4916,$G$6:G4916,G4916,$D$6:D4916,"Vastgesteld")=1),1,0))</f>
        <v>0</v>
      </c>
      <c r="V4916" s="15">
        <f>IF(T4916="",0,IF(AND(G4916=T4916,COUNTIFS($S$6:S4916,S4916,$G$6:G4916,G4916,$D$6:D4916,"Vastgesteld")&gt;1),1,0))</f>
        <v>0</v>
      </c>
    </row>
    <row r="4917">
      <c r="S4917" s="15" t="str">
        <f>IF(J4917="","",J4917&amp;"|"&amp;E4917&amp;"|"&amp;F4917&amp;"|"&amp;I4917&amp;"|"&amp;O4917)</f>
        <v/>
      </c>
      <c r="T4917" s="15" t="str">
        <f>IF(OR(S4917="",D4917&lt;&gt;"Vastgesteld"),"",_xlfn.MAXIFS($G$6:$G$5005,$S$6:$S$5005,S4917,$D$6:$D$5005,"Vastgesteld"))</f>
        <v/>
      </c>
      <c r="U4917" s="15">
        <f>IF(T4917="",0,IF(AND(G4917=T4917,COUNTIFS($S$6:S4917,S4917,$G$6:G4917,G4917,$D$6:D4917,"Vastgesteld")=1),1,0))</f>
        <v>0</v>
      </c>
      <c r="V4917" s="15">
        <f>IF(T4917="",0,IF(AND(G4917=T4917,COUNTIFS($S$6:S4917,S4917,$G$6:G4917,G4917,$D$6:D4917,"Vastgesteld")&gt;1),1,0))</f>
        <v>0</v>
      </c>
    </row>
    <row r="4918">
      <c r="S4918" s="15" t="str">
        <f>IF(J4918="","",J4918&amp;"|"&amp;E4918&amp;"|"&amp;F4918&amp;"|"&amp;I4918&amp;"|"&amp;O4918)</f>
        <v/>
      </c>
      <c r="T4918" s="15" t="str">
        <f>IF(OR(S4918="",D4918&lt;&gt;"Vastgesteld"),"",_xlfn.MAXIFS($G$6:$G$5005,$S$6:$S$5005,S4918,$D$6:$D$5005,"Vastgesteld"))</f>
        <v/>
      </c>
      <c r="U4918" s="15">
        <f>IF(T4918="",0,IF(AND(G4918=T4918,COUNTIFS($S$6:S4918,S4918,$G$6:G4918,G4918,$D$6:D4918,"Vastgesteld")=1),1,0))</f>
        <v>0</v>
      </c>
      <c r="V4918" s="15">
        <f>IF(T4918="",0,IF(AND(G4918=T4918,COUNTIFS($S$6:S4918,S4918,$G$6:G4918,G4918,$D$6:D4918,"Vastgesteld")&gt;1),1,0))</f>
        <v>0</v>
      </c>
    </row>
    <row r="4919">
      <c r="S4919" s="15" t="str">
        <f>IF(J4919="","",J4919&amp;"|"&amp;E4919&amp;"|"&amp;F4919&amp;"|"&amp;I4919&amp;"|"&amp;O4919)</f>
        <v/>
      </c>
      <c r="T4919" s="15" t="str">
        <f>IF(OR(S4919="",D4919&lt;&gt;"Vastgesteld"),"",_xlfn.MAXIFS($G$6:$G$5005,$S$6:$S$5005,S4919,$D$6:$D$5005,"Vastgesteld"))</f>
        <v/>
      </c>
      <c r="U4919" s="15">
        <f>IF(T4919="",0,IF(AND(G4919=T4919,COUNTIFS($S$6:S4919,S4919,$G$6:G4919,G4919,$D$6:D4919,"Vastgesteld")=1),1,0))</f>
        <v>0</v>
      </c>
      <c r="V4919" s="15">
        <f>IF(T4919="",0,IF(AND(G4919=T4919,COUNTIFS($S$6:S4919,S4919,$G$6:G4919,G4919,$D$6:D4919,"Vastgesteld")&gt;1),1,0))</f>
        <v>0</v>
      </c>
    </row>
    <row r="4920">
      <c r="S4920" s="15" t="str">
        <f>IF(J4920="","",J4920&amp;"|"&amp;E4920&amp;"|"&amp;F4920&amp;"|"&amp;I4920&amp;"|"&amp;O4920)</f>
        <v/>
      </c>
      <c r="T4920" s="15" t="str">
        <f>IF(OR(S4920="",D4920&lt;&gt;"Vastgesteld"),"",_xlfn.MAXIFS($G$6:$G$5005,$S$6:$S$5005,S4920,$D$6:$D$5005,"Vastgesteld"))</f>
        <v/>
      </c>
      <c r="U4920" s="15">
        <f>IF(T4920="",0,IF(AND(G4920=T4920,COUNTIFS($S$6:S4920,S4920,$G$6:G4920,G4920,$D$6:D4920,"Vastgesteld")=1),1,0))</f>
        <v>0</v>
      </c>
      <c r="V4920" s="15">
        <f>IF(T4920="",0,IF(AND(G4920=T4920,COUNTIFS($S$6:S4920,S4920,$G$6:G4920,G4920,$D$6:D4920,"Vastgesteld")&gt;1),1,0))</f>
        <v>0</v>
      </c>
    </row>
    <row r="4921">
      <c r="S4921" s="15" t="str">
        <f>IF(J4921="","",J4921&amp;"|"&amp;E4921&amp;"|"&amp;F4921&amp;"|"&amp;I4921&amp;"|"&amp;O4921)</f>
        <v/>
      </c>
      <c r="T4921" s="15" t="str">
        <f>IF(OR(S4921="",D4921&lt;&gt;"Vastgesteld"),"",_xlfn.MAXIFS($G$6:$G$5005,$S$6:$S$5005,S4921,$D$6:$D$5005,"Vastgesteld"))</f>
        <v/>
      </c>
      <c r="U4921" s="15">
        <f>IF(T4921="",0,IF(AND(G4921=T4921,COUNTIFS($S$6:S4921,S4921,$G$6:G4921,G4921,$D$6:D4921,"Vastgesteld")=1),1,0))</f>
        <v>0</v>
      </c>
      <c r="V4921" s="15">
        <f>IF(T4921="",0,IF(AND(G4921=T4921,COUNTIFS($S$6:S4921,S4921,$G$6:G4921,G4921,$D$6:D4921,"Vastgesteld")&gt;1),1,0))</f>
        <v>0</v>
      </c>
    </row>
    <row r="4922">
      <c r="S4922" s="15" t="str">
        <f>IF(J4922="","",J4922&amp;"|"&amp;E4922&amp;"|"&amp;F4922&amp;"|"&amp;I4922&amp;"|"&amp;O4922)</f>
        <v/>
      </c>
      <c r="T4922" s="15" t="str">
        <f>IF(OR(S4922="",D4922&lt;&gt;"Vastgesteld"),"",_xlfn.MAXIFS($G$6:$G$5005,$S$6:$S$5005,S4922,$D$6:$D$5005,"Vastgesteld"))</f>
        <v/>
      </c>
      <c r="U4922" s="15">
        <f>IF(T4922="",0,IF(AND(G4922=T4922,COUNTIFS($S$6:S4922,S4922,$G$6:G4922,G4922,$D$6:D4922,"Vastgesteld")=1),1,0))</f>
        <v>0</v>
      </c>
      <c r="V4922" s="15">
        <f>IF(T4922="",0,IF(AND(G4922=T4922,COUNTIFS($S$6:S4922,S4922,$G$6:G4922,G4922,$D$6:D4922,"Vastgesteld")&gt;1),1,0))</f>
        <v>0</v>
      </c>
    </row>
    <row r="4923">
      <c r="S4923" s="15" t="str">
        <f>IF(J4923="","",J4923&amp;"|"&amp;E4923&amp;"|"&amp;F4923&amp;"|"&amp;I4923&amp;"|"&amp;O4923)</f>
        <v/>
      </c>
      <c r="T4923" s="15" t="str">
        <f>IF(OR(S4923="",D4923&lt;&gt;"Vastgesteld"),"",_xlfn.MAXIFS($G$6:$G$5005,$S$6:$S$5005,S4923,$D$6:$D$5005,"Vastgesteld"))</f>
        <v/>
      </c>
      <c r="U4923" s="15">
        <f>IF(T4923="",0,IF(AND(G4923=T4923,COUNTIFS($S$6:S4923,S4923,$G$6:G4923,G4923,$D$6:D4923,"Vastgesteld")=1),1,0))</f>
        <v>0</v>
      </c>
      <c r="V4923" s="15">
        <f>IF(T4923="",0,IF(AND(G4923=T4923,COUNTIFS($S$6:S4923,S4923,$G$6:G4923,G4923,$D$6:D4923,"Vastgesteld")&gt;1),1,0))</f>
        <v>0</v>
      </c>
    </row>
    <row r="4924">
      <c r="S4924" s="15" t="str">
        <f>IF(J4924="","",J4924&amp;"|"&amp;E4924&amp;"|"&amp;F4924&amp;"|"&amp;I4924&amp;"|"&amp;O4924)</f>
        <v/>
      </c>
      <c r="T4924" s="15" t="str">
        <f>IF(OR(S4924="",D4924&lt;&gt;"Vastgesteld"),"",_xlfn.MAXIFS($G$6:$G$5005,$S$6:$S$5005,S4924,$D$6:$D$5005,"Vastgesteld"))</f>
        <v/>
      </c>
      <c r="U4924" s="15">
        <f>IF(T4924="",0,IF(AND(G4924=T4924,COUNTIFS($S$6:S4924,S4924,$G$6:G4924,G4924,$D$6:D4924,"Vastgesteld")=1),1,0))</f>
        <v>0</v>
      </c>
      <c r="V4924" s="15">
        <f>IF(T4924="",0,IF(AND(G4924=T4924,COUNTIFS($S$6:S4924,S4924,$G$6:G4924,G4924,$D$6:D4924,"Vastgesteld")&gt;1),1,0))</f>
        <v>0</v>
      </c>
    </row>
    <row r="4925">
      <c r="S4925" s="15" t="str">
        <f>IF(J4925="","",J4925&amp;"|"&amp;E4925&amp;"|"&amp;F4925&amp;"|"&amp;I4925&amp;"|"&amp;O4925)</f>
        <v/>
      </c>
      <c r="T4925" s="15" t="str">
        <f>IF(OR(S4925="",D4925&lt;&gt;"Vastgesteld"),"",_xlfn.MAXIFS($G$6:$G$5005,$S$6:$S$5005,S4925,$D$6:$D$5005,"Vastgesteld"))</f>
        <v/>
      </c>
      <c r="U4925" s="15">
        <f>IF(T4925="",0,IF(AND(G4925=T4925,COUNTIFS($S$6:S4925,S4925,$G$6:G4925,G4925,$D$6:D4925,"Vastgesteld")=1),1,0))</f>
        <v>0</v>
      </c>
      <c r="V4925" s="15">
        <f>IF(T4925="",0,IF(AND(G4925=T4925,COUNTIFS($S$6:S4925,S4925,$G$6:G4925,G4925,$D$6:D4925,"Vastgesteld")&gt;1),1,0))</f>
        <v>0</v>
      </c>
    </row>
    <row r="4926">
      <c r="S4926" s="15" t="str">
        <f>IF(J4926="","",J4926&amp;"|"&amp;E4926&amp;"|"&amp;F4926&amp;"|"&amp;I4926&amp;"|"&amp;O4926)</f>
        <v/>
      </c>
      <c r="T4926" s="15" t="str">
        <f>IF(OR(S4926="",D4926&lt;&gt;"Vastgesteld"),"",_xlfn.MAXIFS($G$6:$G$5005,$S$6:$S$5005,S4926,$D$6:$D$5005,"Vastgesteld"))</f>
        <v/>
      </c>
      <c r="U4926" s="15">
        <f>IF(T4926="",0,IF(AND(G4926=T4926,COUNTIFS($S$6:S4926,S4926,$G$6:G4926,G4926,$D$6:D4926,"Vastgesteld")=1),1,0))</f>
        <v>0</v>
      </c>
      <c r="V4926" s="15">
        <f>IF(T4926="",0,IF(AND(G4926=T4926,COUNTIFS($S$6:S4926,S4926,$G$6:G4926,G4926,$D$6:D4926,"Vastgesteld")&gt;1),1,0))</f>
        <v>0</v>
      </c>
    </row>
    <row r="4927">
      <c r="S4927" s="15" t="str">
        <f>IF(J4927="","",J4927&amp;"|"&amp;E4927&amp;"|"&amp;F4927&amp;"|"&amp;I4927&amp;"|"&amp;O4927)</f>
        <v/>
      </c>
      <c r="T4927" s="15" t="str">
        <f>IF(OR(S4927="",D4927&lt;&gt;"Vastgesteld"),"",_xlfn.MAXIFS($G$6:$G$5005,$S$6:$S$5005,S4927,$D$6:$D$5005,"Vastgesteld"))</f>
        <v/>
      </c>
      <c r="U4927" s="15">
        <f>IF(T4927="",0,IF(AND(G4927=T4927,COUNTIFS($S$6:S4927,S4927,$G$6:G4927,G4927,$D$6:D4927,"Vastgesteld")=1),1,0))</f>
        <v>0</v>
      </c>
      <c r="V4927" s="15">
        <f>IF(T4927="",0,IF(AND(G4927=T4927,COUNTIFS($S$6:S4927,S4927,$G$6:G4927,G4927,$D$6:D4927,"Vastgesteld")&gt;1),1,0))</f>
        <v>0</v>
      </c>
    </row>
    <row r="4928">
      <c r="S4928" s="15" t="str">
        <f>IF(J4928="","",J4928&amp;"|"&amp;E4928&amp;"|"&amp;F4928&amp;"|"&amp;I4928&amp;"|"&amp;O4928)</f>
        <v/>
      </c>
      <c r="T4928" s="15" t="str">
        <f>IF(OR(S4928="",D4928&lt;&gt;"Vastgesteld"),"",_xlfn.MAXIFS($G$6:$G$5005,$S$6:$S$5005,S4928,$D$6:$D$5005,"Vastgesteld"))</f>
        <v/>
      </c>
      <c r="U4928" s="15">
        <f>IF(T4928="",0,IF(AND(G4928=T4928,COUNTIFS($S$6:S4928,S4928,$G$6:G4928,G4928,$D$6:D4928,"Vastgesteld")=1),1,0))</f>
        <v>0</v>
      </c>
      <c r="V4928" s="15">
        <f>IF(T4928="",0,IF(AND(G4928=T4928,COUNTIFS($S$6:S4928,S4928,$G$6:G4928,G4928,$D$6:D4928,"Vastgesteld")&gt;1),1,0))</f>
        <v>0</v>
      </c>
    </row>
    <row r="4929">
      <c r="S4929" s="15" t="str">
        <f>IF(J4929="","",J4929&amp;"|"&amp;E4929&amp;"|"&amp;F4929&amp;"|"&amp;I4929&amp;"|"&amp;O4929)</f>
        <v/>
      </c>
      <c r="T4929" s="15" t="str">
        <f>IF(OR(S4929="",D4929&lt;&gt;"Vastgesteld"),"",_xlfn.MAXIFS($G$6:$G$5005,$S$6:$S$5005,S4929,$D$6:$D$5005,"Vastgesteld"))</f>
        <v/>
      </c>
      <c r="U4929" s="15">
        <f>IF(T4929="",0,IF(AND(G4929=T4929,COUNTIFS($S$6:S4929,S4929,$G$6:G4929,G4929,$D$6:D4929,"Vastgesteld")=1),1,0))</f>
        <v>0</v>
      </c>
      <c r="V4929" s="15">
        <f>IF(T4929="",0,IF(AND(G4929=T4929,COUNTIFS($S$6:S4929,S4929,$G$6:G4929,G4929,$D$6:D4929,"Vastgesteld")&gt;1),1,0))</f>
        <v>0</v>
      </c>
    </row>
    <row r="4930">
      <c r="S4930" s="15" t="str">
        <f>IF(J4930="","",J4930&amp;"|"&amp;E4930&amp;"|"&amp;F4930&amp;"|"&amp;I4930&amp;"|"&amp;O4930)</f>
        <v/>
      </c>
      <c r="T4930" s="15" t="str">
        <f>IF(OR(S4930="",D4930&lt;&gt;"Vastgesteld"),"",_xlfn.MAXIFS($G$6:$G$5005,$S$6:$S$5005,S4930,$D$6:$D$5005,"Vastgesteld"))</f>
        <v/>
      </c>
      <c r="U4930" s="15">
        <f>IF(T4930="",0,IF(AND(G4930=T4930,COUNTIFS($S$6:S4930,S4930,$G$6:G4930,G4930,$D$6:D4930,"Vastgesteld")=1),1,0))</f>
        <v>0</v>
      </c>
      <c r="V4930" s="15">
        <f>IF(T4930="",0,IF(AND(G4930=T4930,COUNTIFS($S$6:S4930,S4930,$G$6:G4930,G4930,$D$6:D4930,"Vastgesteld")&gt;1),1,0))</f>
        <v>0</v>
      </c>
    </row>
    <row r="4931">
      <c r="S4931" s="15" t="str">
        <f>IF(J4931="","",J4931&amp;"|"&amp;E4931&amp;"|"&amp;F4931&amp;"|"&amp;I4931&amp;"|"&amp;O4931)</f>
        <v/>
      </c>
      <c r="T4931" s="15" t="str">
        <f>IF(OR(S4931="",D4931&lt;&gt;"Vastgesteld"),"",_xlfn.MAXIFS($G$6:$G$5005,$S$6:$S$5005,S4931,$D$6:$D$5005,"Vastgesteld"))</f>
        <v/>
      </c>
      <c r="U4931" s="15">
        <f>IF(T4931="",0,IF(AND(G4931=T4931,COUNTIFS($S$6:S4931,S4931,$G$6:G4931,G4931,$D$6:D4931,"Vastgesteld")=1),1,0))</f>
        <v>0</v>
      </c>
      <c r="V4931" s="15">
        <f>IF(T4931="",0,IF(AND(G4931=T4931,COUNTIFS($S$6:S4931,S4931,$G$6:G4931,G4931,$D$6:D4931,"Vastgesteld")&gt;1),1,0))</f>
        <v>0</v>
      </c>
    </row>
    <row r="4932">
      <c r="S4932" s="15" t="str">
        <f>IF(J4932="","",J4932&amp;"|"&amp;E4932&amp;"|"&amp;F4932&amp;"|"&amp;I4932&amp;"|"&amp;O4932)</f>
        <v/>
      </c>
      <c r="T4932" s="15" t="str">
        <f>IF(OR(S4932="",D4932&lt;&gt;"Vastgesteld"),"",_xlfn.MAXIFS($G$6:$G$5005,$S$6:$S$5005,S4932,$D$6:$D$5005,"Vastgesteld"))</f>
        <v/>
      </c>
      <c r="U4932" s="15">
        <f>IF(T4932="",0,IF(AND(G4932=T4932,COUNTIFS($S$6:S4932,S4932,$G$6:G4932,G4932,$D$6:D4932,"Vastgesteld")=1),1,0))</f>
        <v>0</v>
      </c>
      <c r="V4932" s="15">
        <f>IF(T4932="",0,IF(AND(G4932=T4932,COUNTIFS($S$6:S4932,S4932,$G$6:G4932,G4932,$D$6:D4932,"Vastgesteld")&gt;1),1,0))</f>
        <v>0</v>
      </c>
    </row>
    <row r="4933">
      <c r="S4933" s="15" t="str">
        <f>IF(J4933="","",J4933&amp;"|"&amp;E4933&amp;"|"&amp;F4933&amp;"|"&amp;I4933&amp;"|"&amp;O4933)</f>
        <v/>
      </c>
      <c r="T4933" s="15" t="str">
        <f>IF(OR(S4933="",D4933&lt;&gt;"Vastgesteld"),"",_xlfn.MAXIFS($G$6:$G$5005,$S$6:$S$5005,S4933,$D$6:$D$5005,"Vastgesteld"))</f>
        <v/>
      </c>
      <c r="U4933" s="15">
        <f>IF(T4933="",0,IF(AND(G4933=T4933,COUNTIFS($S$6:S4933,S4933,$G$6:G4933,G4933,$D$6:D4933,"Vastgesteld")=1),1,0))</f>
        <v>0</v>
      </c>
      <c r="V4933" s="15">
        <f>IF(T4933="",0,IF(AND(G4933=T4933,COUNTIFS($S$6:S4933,S4933,$G$6:G4933,G4933,$D$6:D4933,"Vastgesteld")&gt;1),1,0))</f>
        <v>0</v>
      </c>
    </row>
    <row r="4934">
      <c r="S4934" s="15" t="str">
        <f>IF(J4934="","",J4934&amp;"|"&amp;E4934&amp;"|"&amp;F4934&amp;"|"&amp;I4934&amp;"|"&amp;O4934)</f>
        <v/>
      </c>
      <c r="T4934" s="15" t="str">
        <f>IF(OR(S4934="",D4934&lt;&gt;"Vastgesteld"),"",_xlfn.MAXIFS($G$6:$G$5005,$S$6:$S$5005,S4934,$D$6:$D$5005,"Vastgesteld"))</f>
        <v/>
      </c>
      <c r="U4934" s="15">
        <f>IF(T4934="",0,IF(AND(G4934=T4934,COUNTIFS($S$6:S4934,S4934,$G$6:G4934,G4934,$D$6:D4934,"Vastgesteld")=1),1,0))</f>
        <v>0</v>
      </c>
      <c r="V4934" s="15">
        <f>IF(T4934="",0,IF(AND(G4934=T4934,COUNTIFS($S$6:S4934,S4934,$G$6:G4934,G4934,$D$6:D4934,"Vastgesteld")&gt;1),1,0))</f>
        <v>0</v>
      </c>
    </row>
    <row r="4935">
      <c r="S4935" s="15" t="str">
        <f>IF(J4935="","",J4935&amp;"|"&amp;E4935&amp;"|"&amp;F4935&amp;"|"&amp;I4935&amp;"|"&amp;O4935)</f>
        <v/>
      </c>
      <c r="T4935" s="15" t="str">
        <f>IF(OR(S4935="",D4935&lt;&gt;"Vastgesteld"),"",_xlfn.MAXIFS($G$6:$G$5005,$S$6:$S$5005,S4935,$D$6:$D$5005,"Vastgesteld"))</f>
        <v/>
      </c>
      <c r="U4935" s="15">
        <f>IF(T4935="",0,IF(AND(G4935=T4935,COUNTIFS($S$6:S4935,S4935,$G$6:G4935,G4935,$D$6:D4935,"Vastgesteld")=1),1,0))</f>
        <v>0</v>
      </c>
      <c r="V4935" s="15">
        <f>IF(T4935="",0,IF(AND(G4935=T4935,COUNTIFS($S$6:S4935,S4935,$G$6:G4935,G4935,$D$6:D4935,"Vastgesteld")&gt;1),1,0))</f>
        <v>0</v>
      </c>
    </row>
    <row r="4936">
      <c r="S4936" s="15" t="str">
        <f>IF(J4936="","",J4936&amp;"|"&amp;E4936&amp;"|"&amp;F4936&amp;"|"&amp;I4936&amp;"|"&amp;O4936)</f>
        <v/>
      </c>
      <c r="T4936" s="15" t="str">
        <f>IF(OR(S4936="",D4936&lt;&gt;"Vastgesteld"),"",_xlfn.MAXIFS($G$6:$G$5005,$S$6:$S$5005,S4936,$D$6:$D$5005,"Vastgesteld"))</f>
        <v/>
      </c>
      <c r="U4936" s="15">
        <f>IF(T4936="",0,IF(AND(G4936=T4936,COUNTIFS($S$6:S4936,S4936,$G$6:G4936,G4936,$D$6:D4936,"Vastgesteld")=1),1,0))</f>
        <v>0</v>
      </c>
      <c r="V4936" s="15">
        <f>IF(T4936="",0,IF(AND(G4936=T4936,COUNTIFS($S$6:S4936,S4936,$G$6:G4936,G4936,$D$6:D4936,"Vastgesteld")&gt;1),1,0))</f>
        <v>0</v>
      </c>
    </row>
    <row r="4937">
      <c r="S4937" s="15" t="str">
        <f>IF(J4937="","",J4937&amp;"|"&amp;E4937&amp;"|"&amp;F4937&amp;"|"&amp;I4937&amp;"|"&amp;O4937)</f>
        <v/>
      </c>
      <c r="T4937" s="15" t="str">
        <f>IF(OR(S4937="",D4937&lt;&gt;"Vastgesteld"),"",_xlfn.MAXIFS($G$6:$G$5005,$S$6:$S$5005,S4937,$D$6:$D$5005,"Vastgesteld"))</f>
        <v/>
      </c>
      <c r="U4937" s="15">
        <f>IF(T4937="",0,IF(AND(G4937=T4937,COUNTIFS($S$6:S4937,S4937,$G$6:G4937,G4937,$D$6:D4937,"Vastgesteld")=1),1,0))</f>
        <v>0</v>
      </c>
      <c r="V4937" s="15">
        <f>IF(T4937="",0,IF(AND(G4937=T4937,COUNTIFS($S$6:S4937,S4937,$G$6:G4937,G4937,$D$6:D4937,"Vastgesteld")&gt;1),1,0))</f>
        <v>0</v>
      </c>
    </row>
    <row r="4938">
      <c r="S4938" s="15" t="str">
        <f>IF(J4938="","",J4938&amp;"|"&amp;E4938&amp;"|"&amp;F4938&amp;"|"&amp;I4938&amp;"|"&amp;O4938)</f>
        <v/>
      </c>
      <c r="T4938" s="15" t="str">
        <f>IF(OR(S4938="",D4938&lt;&gt;"Vastgesteld"),"",_xlfn.MAXIFS($G$6:$G$5005,$S$6:$S$5005,S4938,$D$6:$D$5005,"Vastgesteld"))</f>
        <v/>
      </c>
      <c r="U4938" s="15">
        <f>IF(T4938="",0,IF(AND(G4938=T4938,COUNTIFS($S$6:S4938,S4938,$G$6:G4938,G4938,$D$6:D4938,"Vastgesteld")=1),1,0))</f>
        <v>0</v>
      </c>
      <c r="V4938" s="15">
        <f>IF(T4938="",0,IF(AND(G4938=T4938,COUNTIFS($S$6:S4938,S4938,$G$6:G4938,G4938,$D$6:D4938,"Vastgesteld")&gt;1),1,0))</f>
        <v>0</v>
      </c>
    </row>
    <row r="4939">
      <c r="S4939" s="15" t="str">
        <f>IF(J4939="","",J4939&amp;"|"&amp;E4939&amp;"|"&amp;F4939&amp;"|"&amp;I4939&amp;"|"&amp;O4939)</f>
        <v/>
      </c>
      <c r="T4939" s="15" t="str">
        <f>IF(OR(S4939="",D4939&lt;&gt;"Vastgesteld"),"",_xlfn.MAXIFS($G$6:$G$5005,$S$6:$S$5005,S4939,$D$6:$D$5005,"Vastgesteld"))</f>
        <v/>
      </c>
      <c r="U4939" s="15">
        <f>IF(T4939="",0,IF(AND(G4939=T4939,COUNTIFS($S$6:S4939,S4939,$G$6:G4939,G4939,$D$6:D4939,"Vastgesteld")=1),1,0))</f>
        <v>0</v>
      </c>
      <c r="V4939" s="15">
        <f>IF(T4939="",0,IF(AND(G4939=T4939,COUNTIFS($S$6:S4939,S4939,$G$6:G4939,G4939,$D$6:D4939,"Vastgesteld")&gt;1),1,0))</f>
        <v>0</v>
      </c>
    </row>
    <row r="4940">
      <c r="S4940" s="15" t="str">
        <f>IF(J4940="","",J4940&amp;"|"&amp;E4940&amp;"|"&amp;F4940&amp;"|"&amp;I4940&amp;"|"&amp;O4940)</f>
        <v/>
      </c>
      <c r="T4940" s="15" t="str">
        <f>IF(OR(S4940="",D4940&lt;&gt;"Vastgesteld"),"",_xlfn.MAXIFS($G$6:$G$5005,$S$6:$S$5005,S4940,$D$6:$D$5005,"Vastgesteld"))</f>
        <v/>
      </c>
      <c r="U4940" s="15">
        <f>IF(T4940="",0,IF(AND(G4940=T4940,COUNTIFS($S$6:S4940,S4940,$G$6:G4940,G4940,$D$6:D4940,"Vastgesteld")=1),1,0))</f>
        <v>0</v>
      </c>
      <c r="V4940" s="15">
        <f>IF(T4940="",0,IF(AND(G4940=T4940,COUNTIFS($S$6:S4940,S4940,$G$6:G4940,G4940,$D$6:D4940,"Vastgesteld")&gt;1),1,0))</f>
        <v>0</v>
      </c>
    </row>
    <row r="4941">
      <c r="S4941" s="15" t="str">
        <f>IF(J4941="","",J4941&amp;"|"&amp;E4941&amp;"|"&amp;F4941&amp;"|"&amp;I4941&amp;"|"&amp;O4941)</f>
        <v/>
      </c>
      <c r="T4941" s="15" t="str">
        <f>IF(OR(S4941="",D4941&lt;&gt;"Vastgesteld"),"",_xlfn.MAXIFS($G$6:$G$5005,$S$6:$S$5005,S4941,$D$6:$D$5005,"Vastgesteld"))</f>
        <v/>
      </c>
      <c r="U4941" s="15">
        <f>IF(T4941="",0,IF(AND(G4941=T4941,COUNTIFS($S$6:S4941,S4941,$G$6:G4941,G4941,$D$6:D4941,"Vastgesteld")=1),1,0))</f>
        <v>0</v>
      </c>
      <c r="V4941" s="15">
        <f>IF(T4941="",0,IF(AND(G4941=T4941,COUNTIFS($S$6:S4941,S4941,$G$6:G4941,G4941,$D$6:D4941,"Vastgesteld")&gt;1),1,0))</f>
        <v>0</v>
      </c>
    </row>
    <row r="4942">
      <c r="S4942" s="15" t="str">
        <f>IF(J4942="","",J4942&amp;"|"&amp;E4942&amp;"|"&amp;F4942&amp;"|"&amp;I4942&amp;"|"&amp;O4942)</f>
        <v/>
      </c>
      <c r="T4942" s="15" t="str">
        <f>IF(OR(S4942="",D4942&lt;&gt;"Vastgesteld"),"",_xlfn.MAXIFS($G$6:$G$5005,$S$6:$S$5005,S4942,$D$6:$D$5005,"Vastgesteld"))</f>
        <v/>
      </c>
      <c r="U4942" s="15">
        <f>IF(T4942="",0,IF(AND(G4942=T4942,COUNTIFS($S$6:S4942,S4942,$G$6:G4942,G4942,$D$6:D4942,"Vastgesteld")=1),1,0))</f>
        <v>0</v>
      </c>
      <c r="V4942" s="15">
        <f>IF(T4942="",0,IF(AND(G4942=T4942,COUNTIFS($S$6:S4942,S4942,$G$6:G4942,G4942,$D$6:D4942,"Vastgesteld")&gt;1),1,0))</f>
        <v>0</v>
      </c>
    </row>
    <row r="4943">
      <c r="S4943" s="15" t="str">
        <f>IF(J4943="","",J4943&amp;"|"&amp;E4943&amp;"|"&amp;F4943&amp;"|"&amp;I4943&amp;"|"&amp;O4943)</f>
        <v/>
      </c>
      <c r="T4943" s="15" t="str">
        <f>IF(OR(S4943="",D4943&lt;&gt;"Vastgesteld"),"",_xlfn.MAXIFS($G$6:$G$5005,$S$6:$S$5005,S4943,$D$6:$D$5005,"Vastgesteld"))</f>
        <v/>
      </c>
      <c r="U4943" s="15">
        <f>IF(T4943="",0,IF(AND(G4943=T4943,COUNTIFS($S$6:S4943,S4943,$G$6:G4943,G4943,$D$6:D4943,"Vastgesteld")=1),1,0))</f>
        <v>0</v>
      </c>
      <c r="V4943" s="15">
        <f>IF(T4943="",0,IF(AND(G4943=T4943,COUNTIFS($S$6:S4943,S4943,$G$6:G4943,G4943,$D$6:D4943,"Vastgesteld")&gt;1),1,0))</f>
        <v>0</v>
      </c>
    </row>
    <row r="4944">
      <c r="S4944" s="15" t="str">
        <f>IF(J4944="","",J4944&amp;"|"&amp;E4944&amp;"|"&amp;F4944&amp;"|"&amp;I4944&amp;"|"&amp;O4944)</f>
        <v/>
      </c>
      <c r="T4944" s="15" t="str">
        <f>IF(OR(S4944="",D4944&lt;&gt;"Vastgesteld"),"",_xlfn.MAXIFS($G$6:$G$5005,$S$6:$S$5005,S4944,$D$6:$D$5005,"Vastgesteld"))</f>
        <v/>
      </c>
      <c r="U4944" s="15">
        <f>IF(T4944="",0,IF(AND(G4944=T4944,COUNTIFS($S$6:S4944,S4944,$G$6:G4944,G4944,$D$6:D4944,"Vastgesteld")=1),1,0))</f>
        <v>0</v>
      </c>
      <c r="V4944" s="15">
        <f>IF(T4944="",0,IF(AND(G4944=T4944,COUNTIFS($S$6:S4944,S4944,$G$6:G4944,G4944,$D$6:D4944,"Vastgesteld")&gt;1),1,0))</f>
        <v>0</v>
      </c>
    </row>
    <row r="4945">
      <c r="S4945" s="15" t="str">
        <f>IF(J4945="","",J4945&amp;"|"&amp;E4945&amp;"|"&amp;F4945&amp;"|"&amp;I4945&amp;"|"&amp;O4945)</f>
        <v/>
      </c>
      <c r="T4945" s="15" t="str">
        <f>IF(OR(S4945="",D4945&lt;&gt;"Vastgesteld"),"",_xlfn.MAXIFS($G$6:$G$5005,$S$6:$S$5005,S4945,$D$6:$D$5005,"Vastgesteld"))</f>
        <v/>
      </c>
      <c r="U4945" s="15">
        <f>IF(T4945="",0,IF(AND(G4945=T4945,COUNTIFS($S$6:S4945,S4945,$G$6:G4945,G4945,$D$6:D4945,"Vastgesteld")=1),1,0))</f>
        <v>0</v>
      </c>
      <c r="V4945" s="15">
        <f>IF(T4945="",0,IF(AND(G4945=T4945,COUNTIFS($S$6:S4945,S4945,$G$6:G4945,G4945,$D$6:D4945,"Vastgesteld")&gt;1),1,0))</f>
        <v>0</v>
      </c>
    </row>
    <row r="4946">
      <c r="S4946" s="15" t="str">
        <f>IF(J4946="","",J4946&amp;"|"&amp;E4946&amp;"|"&amp;F4946&amp;"|"&amp;I4946&amp;"|"&amp;O4946)</f>
        <v/>
      </c>
      <c r="T4946" s="15" t="str">
        <f>IF(OR(S4946="",D4946&lt;&gt;"Vastgesteld"),"",_xlfn.MAXIFS($G$6:$G$5005,$S$6:$S$5005,S4946,$D$6:$D$5005,"Vastgesteld"))</f>
        <v/>
      </c>
      <c r="U4946" s="15">
        <f>IF(T4946="",0,IF(AND(G4946=T4946,COUNTIFS($S$6:S4946,S4946,$G$6:G4946,G4946,$D$6:D4946,"Vastgesteld")=1),1,0))</f>
        <v>0</v>
      </c>
      <c r="V4946" s="15">
        <f>IF(T4946="",0,IF(AND(G4946=T4946,COUNTIFS($S$6:S4946,S4946,$G$6:G4946,G4946,$D$6:D4946,"Vastgesteld")&gt;1),1,0))</f>
        <v>0</v>
      </c>
    </row>
    <row r="4947">
      <c r="S4947" s="15" t="str">
        <f>IF(J4947="","",J4947&amp;"|"&amp;E4947&amp;"|"&amp;F4947&amp;"|"&amp;I4947&amp;"|"&amp;O4947)</f>
        <v/>
      </c>
      <c r="T4947" s="15" t="str">
        <f>IF(OR(S4947="",D4947&lt;&gt;"Vastgesteld"),"",_xlfn.MAXIFS($G$6:$G$5005,$S$6:$S$5005,S4947,$D$6:$D$5005,"Vastgesteld"))</f>
        <v/>
      </c>
      <c r="U4947" s="15">
        <f>IF(T4947="",0,IF(AND(G4947=T4947,COUNTIFS($S$6:S4947,S4947,$G$6:G4947,G4947,$D$6:D4947,"Vastgesteld")=1),1,0))</f>
        <v>0</v>
      </c>
      <c r="V4947" s="15">
        <f>IF(T4947="",0,IF(AND(G4947=T4947,COUNTIFS($S$6:S4947,S4947,$G$6:G4947,G4947,$D$6:D4947,"Vastgesteld")&gt;1),1,0))</f>
        <v>0</v>
      </c>
    </row>
    <row r="4948">
      <c r="S4948" s="15" t="str">
        <f>IF(J4948="","",J4948&amp;"|"&amp;E4948&amp;"|"&amp;F4948&amp;"|"&amp;I4948&amp;"|"&amp;O4948)</f>
        <v/>
      </c>
      <c r="T4948" s="15" t="str">
        <f>IF(OR(S4948="",D4948&lt;&gt;"Vastgesteld"),"",_xlfn.MAXIFS($G$6:$G$5005,$S$6:$S$5005,S4948,$D$6:$D$5005,"Vastgesteld"))</f>
        <v/>
      </c>
      <c r="U4948" s="15">
        <f>IF(T4948="",0,IF(AND(G4948=T4948,COUNTIFS($S$6:S4948,S4948,$G$6:G4948,G4948,$D$6:D4948,"Vastgesteld")=1),1,0))</f>
        <v>0</v>
      </c>
      <c r="V4948" s="15">
        <f>IF(T4948="",0,IF(AND(G4948=T4948,COUNTIFS($S$6:S4948,S4948,$G$6:G4948,G4948,$D$6:D4948,"Vastgesteld")&gt;1),1,0))</f>
        <v>0</v>
      </c>
    </row>
    <row r="4949">
      <c r="S4949" s="15" t="str">
        <f>IF(J4949="","",J4949&amp;"|"&amp;E4949&amp;"|"&amp;F4949&amp;"|"&amp;I4949&amp;"|"&amp;O4949)</f>
        <v/>
      </c>
      <c r="T4949" s="15" t="str">
        <f>IF(OR(S4949="",D4949&lt;&gt;"Vastgesteld"),"",_xlfn.MAXIFS($G$6:$G$5005,$S$6:$S$5005,S4949,$D$6:$D$5005,"Vastgesteld"))</f>
        <v/>
      </c>
      <c r="U4949" s="15">
        <f>IF(T4949="",0,IF(AND(G4949=T4949,COUNTIFS($S$6:S4949,S4949,$G$6:G4949,G4949,$D$6:D4949,"Vastgesteld")=1),1,0))</f>
        <v>0</v>
      </c>
      <c r="V4949" s="15">
        <f>IF(T4949="",0,IF(AND(G4949=T4949,COUNTIFS($S$6:S4949,S4949,$G$6:G4949,G4949,$D$6:D4949,"Vastgesteld")&gt;1),1,0))</f>
        <v>0</v>
      </c>
    </row>
    <row r="4950">
      <c r="S4950" s="15" t="str">
        <f>IF(J4950="","",J4950&amp;"|"&amp;E4950&amp;"|"&amp;F4950&amp;"|"&amp;I4950&amp;"|"&amp;O4950)</f>
        <v/>
      </c>
      <c r="T4950" s="15" t="str">
        <f>IF(OR(S4950="",D4950&lt;&gt;"Vastgesteld"),"",_xlfn.MAXIFS($G$6:$G$5005,$S$6:$S$5005,S4950,$D$6:$D$5005,"Vastgesteld"))</f>
        <v/>
      </c>
      <c r="U4950" s="15">
        <f>IF(T4950="",0,IF(AND(G4950=T4950,COUNTIFS($S$6:S4950,S4950,$G$6:G4950,G4950,$D$6:D4950,"Vastgesteld")=1),1,0))</f>
        <v>0</v>
      </c>
      <c r="V4950" s="15">
        <f>IF(T4950="",0,IF(AND(G4950=T4950,COUNTIFS($S$6:S4950,S4950,$G$6:G4950,G4950,$D$6:D4950,"Vastgesteld")&gt;1),1,0))</f>
        <v>0</v>
      </c>
    </row>
    <row r="4951">
      <c r="S4951" s="15" t="str">
        <f>IF(J4951="","",J4951&amp;"|"&amp;E4951&amp;"|"&amp;F4951&amp;"|"&amp;I4951&amp;"|"&amp;O4951)</f>
        <v/>
      </c>
      <c r="T4951" s="15" t="str">
        <f>IF(OR(S4951="",D4951&lt;&gt;"Vastgesteld"),"",_xlfn.MAXIFS($G$6:$G$5005,$S$6:$S$5005,S4951,$D$6:$D$5005,"Vastgesteld"))</f>
        <v/>
      </c>
      <c r="U4951" s="15">
        <f>IF(T4951="",0,IF(AND(G4951=T4951,COUNTIFS($S$6:S4951,S4951,$G$6:G4951,G4951,$D$6:D4951,"Vastgesteld")=1),1,0))</f>
        <v>0</v>
      </c>
      <c r="V4951" s="15">
        <f>IF(T4951="",0,IF(AND(G4951=T4951,COUNTIFS($S$6:S4951,S4951,$G$6:G4951,G4951,$D$6:D4951,"Vastgesteld")&gt;1),1,0))</f>
        <v>0</v>
      </c>
    </row>
    <row r="4952">
      <c r="S4952" s="15" t="str">
        <f>IF(J4952="","",J4952&amp;"|"&amp;E4952&amp;"|"&amp;F4952&amp;"|"&amp;I4952&amp;"|"&amp;O4952)</f>
        <v/>
      </c>
      <c r="T4952" s="15" t="str">
        <f>IF(OR(S4952="",D4952&lt;&gt;"Vastgesteld"),"",_xlfn.MAXIFS($G$6:$G$5005,$S$6:$S$5005,S4952,$D$6:$D$5005,"Vastgesteld"))</f>
        <v/>
      </c>
      <c r="U4952" s="15">
        <f>IF(T4952="",0,IF(AND(G4952=T4952,COUNTIFS($S$6:S4952,S4952,$G$6:G4952,G4952,$D$6:D4952,"Vastgesteld")=1),1,0))</f>
        <v>0</v>
      </c>
      <c r="V4952" s="15">
        <f>IF(T4952="",0,IF(AND(G4952=T4952,COUNTIFS($S$6:S4952,S4952,$G$6:G4952,G4952,$D$6:D4952,"Vastgesteld")&gt;1),1,0))</f>
        <v>0</v>
      </c>
    </row>
    <row r="4953">
      <c r="S4953" s="15" t="str">
        <f>IF(J4953="","",J4953&amp;"|"&amp;E4953&amp;"|"&amp;F4953&amp;"|"&amp;I4953&amp;"|"&amp;O4953)</f>
        <v/>
      </c>
      <c r="T4953" s="15" t="str">
        <f>IF(OR(S4953="",D4953&lt;&gt;"Vastgesteld"),"",_xlfn.MAXIFS($G$6:$G$5005,$S$6:$S$5005,S4953,$D$6:$D$5005,"Vastgesteld"))</f>
        <v/>
      </c>
      <c r="U4953" s="15">
        <f>IF(T4953="",0,IF(AND(G4953=T4953,COUNTIFS($S$6:S4953,S4953,$G$6:G4953,G4953,$D$6:D4953,"Vastgesteld")=1),1,0))</f>
        <v>0</v>
      </c>
      <c r="V4953" s="15">
        <f>IF(T4953="",0,IF(AND(G4953=T4953,COUNTIFS($S$6:S4953,S4953,$G$6:G4953,G4953,$D$6:D4953,"Vastgesteld")&gt;1),1,0))</f>
        <v>0</v>
      </c>
    </row>
    <row r="4954">
      <c r="S4954" s="15" t="str">
        <f>IF(J4954="","",J4954&amp;"|"&amp;E4954&amp;"|"&amp;F4954&amp;"|"&amp;I4954&amp;"|"&amp;O4954)</f>
        <v/>
      </c>
      <c r="T4954" s="15" t="str">
        <f>IF(OR(S4954="",D4954&lt;&gt;"Vastgesteld"),"",_xlfn.MAXIFS($G$6:$G$5005,$S$6:$S$5005,S4954,$D$6:$D$5005,"Vastgesteld"))</f>
        <v/>
      </c>
      <c r="U4954" s="15">
        <f>IF(T4954="",0,IF(AND(G4954=T4954,COUNTIFS($S$6:S4954,S4954,$G$6:G4954,G4954,$D$6:D4954,"Vastgesteld")=1),1,0))</f>
        <v>0</v>
      </c>
      <c r="V4954" s="15">
        <f>IF(T4954="",0,IF(AND(G4954=T4954,COUNTIFS($S$6:S4954,S4954,$G$6:G4954,G4954,$D$6:D4954,"Vastgesteld")&gt;1),1,0))</f>
        <v>0</v>
      </c>
    </row>
    <row r="4955">
      <c r="S4955" s="15" t="str">
        <f>IF(J4955="","",J4955&amp;"|"&amp;E4955&amp;"|"&amp;F4955&amp;"|"&amp;I4955&amp;"|"&amp;O4955)</f>
        <v/>
      </c>
      <c r="T4955" s="15" t="str">
        <f>IF(OR(S4955="",D4955&lt;&gt;"Vastgesteld"),"",_xlfn.MAXIFS($G$6:$G$5005,$S$6:$S$5005,S4955,$D$6:$D$5005,"Vastgesteld"))</f>
        <v/>
      </c>
      <c r="U4955" s="15">
        <f>IF(T4955="",0,IF(AND(G4955=T4955,COUNTIFS($S$6:S4955,S4955,$G$6:G4955,G4955,$D$6:D4955,"Vastgesteld")=1),1,0))</f>
        <v>0</v>
      </c>
      <c r="V4955" s="15">
        <f>IF(T4955="",0,IF(AND(G4955=T4955,COUNTIFS($S$6:S4955,S4955,$G$6:G4955,G4955,$D$6:D4955,"Vastgesteld")&gt;1),1,0))</f>
        <v>0</v>
      </c>
    </row>
    <row r="4956">
      <c r="S4956" s="15" t="str">
        <f>IF(J4956="","",J4956&amp;"|"&amp;E4956&amp;"|"&amp;F4956&amp;"|"&amp;I4956&amp;"|"&amp;O4956)</f>
        <v/>
      </c>
      <c r="T4956" s="15" t="str">
        <f>IF(OR(S4956="",D4956&lt;&gt;"Vastgesteld"),"",_xlfn.MAXIFS($G$6:$G$5005,$S$6:$S$5005,S4956,$D$6:$D$5005,"Vastgesteld"))</f>
        <v/>
      </c>
      <c r="U4956" s="15">
        <f>IF(T4956="",0,IF(AND(G4956=T4956,COUNTIFS($S$6:S4956,S4956,$G$6:G4956,G4956,$D$6:D4956,"Vastgesteld")=1),1,0))</f>
        <v>0</v>
      </c>
      <c r="V4956" s="15">
        <f>IF(T4956="",0,IF(AND(G4956=T4956,COUNTIFS($S$6:S4956,S4956,$G$6:G4956,G4956,$D$6:D4956,"Vastgesteld")&gt;1),1,0))</f>
        <v>0</v>
      </c>
    </row>
    <row r="4957">
      <c r="S4957" s="15" t="str">
        <f>IF(J4957="","",J4957&amp;"|"&amp;E4957&amp;"|"&amp;F4957&amp;"|"&amp;I4957&amp;"|"&amp;O4957)</f>
        <v/>
      </c>
      <c r="T4957" s="15" t="str">
        <f>IF(OR(S4957="",D4957&lt;&gt;"Vastgesteld"),"",_xlfn.MAXIFS($G$6:$G$5005,$S$6:$S$5005,S4957,$D$6:$D$5005,"Vastgesteld"))</f>
        <v/>
      </c>
      <c r="U4957" s="15">
        <f>IF(T4957="",0,IF(AND(G4957=T4957,COUNTIFS($S$6:S4957,S4957,$G$6:G4957,G4957,$D$6:D4957,"Vastgesteld")=1),1,0))</f>
        <v>0</v>
      </c>
      <c r="V4957" s="15">
        <f>IF(T4957="",0,IF(AND(G4957=T4957,COUNTIFS($S$6:S4957,S4957,$G$6:G4957,G4957,$D$6:D4957,"Vastgesteld")&gt;1),1,0))</f>
        <v>0</v>
      </c>
    </row>
    <row r="4958">
      <c r="S4958" s="15" t="str">
        <f>IF(J4958="","",J4958&amp;"|"&amp;E4958&amp;"|"&amp;F4958&amp;"|"&amp;I4958&amp;"|"&amp;O4958)</f>
        <v/>
      </c>
      <c r="T4958" s="15" t="str">
        <f>IF(OR(S4958="",D4958&lt;&gt;"Vastgesteld"),"",_xlfn.MAXIFS($G$6:$G$5005,$S$6:$S$5005,S4958,$D$6:$D$5005,"Vastgesteld"))</f>
        <v/>
      </c>
      <c r="U4958" s="15">
        <f>IF(T4958="",0,IF(AND(G4958=T4958,COUNTIFS($S$6:S4958,S4958,$G$6:G4958,G4958,$D$6:D4958,"Vastgesteld")=1),1,0))</f>
        <v>0</v>
      </c>
      <c r="V4958" s="15">
        <f>IF(T4958="",0,IF(AND(G4958=T4958,COUNTIFS($S$6:S4958,S4958,$G$6:G4958,G4958,$D$6:D4958,"Vastgesteld")&gt;1),1,0))</f>
        <v>0</v>
      </c>
    </row>
    <row r="4959">
      <c r="S4959" s="15" t="str">
        <f>IF(J4959="","",J4959&amp;"|"&amp;E4959&amp;"|"&amp;F4959&amp;"|"&amp;I4959&amp;"|"&amp;O4959)</f>
        <v/>
      </c>
      <c r="T4959" s="15" t="str">
        <f>IF(OR(S4959="",D4959&lt;&gt;"Vastgesteld"),"",_xlfn.MAXIFS($G$6:$G$5005,$S$6:$S$5005,S4959,$D$6:$D$5005,"Vastgesteld"))</f>
        <v/>
      </c>
      <c r="U4959" s="15">
        <f>IF(T4959="",0,IF(AND(G4959=T4959,COUNTIFS($S$6:S4959,S4959,$G$6:G4959,G4959,$D$6:D4959,"Vastgesteld")=1),1,0))</f>
        <v>0</v>
      </c>
      <c r="V4959" s="15">
        <f>IF(T4959="",0,IF(AND(G4959=T4959,COUNTIFS($S$6:S4959,S4959,$G$6:G4959,G4959,$D$6:D4959,"Vastgesteld")&gt;1),1,0))</f>
        <v>0</v>
      </c>
    </row>
    <row r="4960">
      <c r="S4960" s="15" t="str">
        <f>IF(J4960="","",J4960&amp;"|"&amp;E4960&amp;"|"&amp;F4960&amp;"|"&amp;I4960&amp;"|"&amp;O4960)</f>
        <v/>
      </c>
      <c r="T4960" s="15" t="str">
        <f>IF(OR(S4960="",D4960&lt;&gt;"Vastgesteld"),"",_xlfn.MAXIFS($G$6:$G$5005,$S$6:$S$5005,S4960,$D$6:$D$5005,"Vastgesteld"))</f>
        <v/>
      </c>
      <c r="U4960" s="15">
        <f>IF(T4960="",0,IF(AND(G4960=T4960,COUNTIFS($S$6:S4960,S4960,$G$6:G4960,G4960,$D$6:D4960,"Vastgesteld")=1),1,0))</f>
        <v>0</v>
      </c>
      <c r="V4960" s="15">
        <f>IF(T4960="",0,IF(AND(G4960=T4960,COUNTIFS($S$6:S4960,S4960,$G$6:G4960,G4960,$D$6:D4960,"Vastgesteld")&gt;1),1,0))</f>
        <v>0</v>
      </c>
    </row>
    <row r="4961">
      <c r="S4961" s="15" t="str">
        <f>IF(J4961="","",J4961&amp;"|"&amp;E4961&amp;"|"&amp;F4961&amp;"|"&amp;I4961&amp;"|"&amp;O4961)</f>
        <v/>
      </c>
      <c r="T4961" s="15" t="str">
        <f>IF(OR(S4961="",D4961&lt;&gt;"Vastgesteld"),"",_xlfn.MAXIFS($G$6:$G$5005,$S$6:$S$5005,S4961,$D$6:$D$5005,"Vastgesteld"))</f>
        <v/>
      </c>
      <c r="U4961" s="15">
        <f>IF(T4961="",0,IF(AND(G4961=T4961,COUNTIFS($S$6:S4961,S4961,$G$6:G4961,G4961,$D$6:D4961,"Vastgesteld")=1),1,0))</f>
        <v>0</v>
      </c>
      <c r="V4961" s="15">
        <f>IF(T4961="",0,IF(AND(G4961=T4961,COUNTIFS($S$6:S4961,S4961,$G$6:G4961,G4961,$D$6:D4961,"Vastgesteld")&gt;1),1,0))</f>
        <v>0</v>
      </c>
    </row>
    <row r="4962">
      <c r="S4962" s="15" t="str">
        <f>IF(J4962="","",J4962&amp;"|"&amp;E4962&amp;"|"&amp;F4962&amp;"|"&amp;I4962&amp;"|"&amp;O4962)</f>
        <v/>
      </c>
      <c r="T4962" s="15" t="str">
        <f>IF(OR(S4962="",D4962&lt;&gt;"Vastgesteld"),"",_xlfn.MAXIFS($G$6:$G$5005,$S$6:$S$5005,S4962,$D$6:$D$5005,"Vastgesteld"))</f>
        <v/>
      </c>
      <c r="U4962" s="15">
        <f>IF(T4962="",0,IF(AND(G4962=T4962,COUNTIFS($S$6:S4962,S4962,$G$6:G4962,G4962,$D$6:D4962,"Vastgesteld")=1),1,0))</f>
        <v>0</v>
      </c>
      <c r="V4962" s="15">
        <f>IF(T4962="",0,IF(AND(G4962=T4962,COUNTIFS($S$6:S4962,S4962,$G$6:G4962,G4962,$D$6:D4962,"Vastgesteld")&gt;1),1,0))</f>
        <v>0</v>
      </c>
    </row>
    <row r="4963">
      <c r="S4963" s="15" t="str">
        <f>IF(J4963="","",J4963&amp;"|"&amp;E4963&amp;"|"&amp;F4963&amp;"|"&amp;I4963&amp;"|"&amp;O4963)</f>
        <v/>
      </c>
      <c r="T4963" s="15" t="str">
        <f>IF(OR(S4963="",D4963&lt;&gt;"Vastgesteld"),"",_xlfn.MAXIFS($G$6:$G$5005,$S$6:$S$5005,S4963,$D$6:$D$5005,"Vastgesteld"))</f>
        <v/>
      </c>
      <c r="U4963" s="15">
        <f>IF(T4963="",0,IF(AND(G4963=T4963,COUNTIFS($S$6:S4963,S4963,$G$6:G4963,G4963,$D$6:D4963,"Vastgesteld")=1),1,0))</f>
        <v>0</v>
      </c>
      <c r="V4963" s="15">
        <f>IF(T4963="",0,IF(AND(G4963=T4963,COUNTIFS($S$6:S4963,S4963,$G$6:G4963,G4963,$D$6:D4963,"Vastgesteld")&gt;1),1,0))</f>
        <v>0</v>
      </c>
    </row>
    <row r="4964">
      <c r="S4964" s="15" t="str">
        <f>IF(J4964="","",J4964&amp;"|"&amp;E4964&amp;"|"&amp;F4964&amp;"|"&amp;I4964&amp;"|"&amp;O4964)</f>
        <v/>
      </c>
      <c r="T4964" s="15" t="str">
        <f>IF(OR(S4964="",D4964&lt;&gt;"Vastgesteld"),"",_xlfn.MAXIFS($G$6:$G$5005,$S$6:$S$5005,S4964,$D$6:$D$5005,"Vastgesteld"))</f>
        <v/>
      </c>
      <c r="U4964" s="15">
        <f>IF(T4964="",0,IF(AND(G4964=T4964,COUNTIFS($S$6:S4964,S4964,$G$6:G4964,G4964,$D$6:D4964,"Vastgesteld")=1),1,0))</f>
        <v>0</v>
      </c>
      <c r="V4964" s="15">
        <f>IF(T4964="",0,IF(AND(G4964=T4964,COUNTIFS($S$6:S4964,S4964,$G$6:G4964,G4964,$D$6:D4964,"Vastgesteld")&gt;1),1,0))</f>
        <v>0</v>
      </c>
    </row>
    <row r="4965">
      <c r="S4965" s="15" t="str">
        <f>IF(J4965="","",J4965&amp;"|"&amp;E4965&amp;"|"&amp;F4965&amp;"|"&amp;I4965&amp;"|"&amp;O4965)</f>
        <v/>
      </c>
      <c r="T4965" s="15" t="str">
        <f>IF(OR(S4965="",D4965&lt;&gt;"Vastgesteld"),"",_xlfn.MAXIFS($G$6:$G$5005,$S$6:$S$5005,S4965,$D$6:$D$5005,"Vastgesteld"))</f>
        <v/>
      </c>
      <c r="U4965" s="15">
        <f>IF(T4965="",0,IF(AND(G4965=T4965,COUNTIFS($S$6:S4965,S4965,$G$6:G4965,G4965,$D$6:D4965,"Vastgesteld")=1),1,0))</f>
        <v>0</v>
      </c>
      <c r="V4965" s="15">
        <f>IF(T4965="",0,IF(AND(G4965=T4965,COUNTIFS($S$6:S4965,S4965,$G$6:G4965,G4965,$D$6:D4965,"Vastgesteld")&gt;1),1,0))</f>
        <v>0</v>
      </c>
    </row>
    <row r="4966">
      <c r="S4966" s="15" t="str">
        <f>IF(J4966="","",J4966&amp;"|"&amp;E4966&amp;"|"&amp;F4966&amp;"|"&amp;I4966&amp;"|"&amp;O4966)</f>
        <v/>
      </c>
      <c r="T4966" s="15" t="str">
        <f>IF(OR(S4966="",D4966&lt;&gt;"Vastgesteld"),"",_xlfn.MAXIFS($G$6:$G$5005,$S$6:$S$5005,S4966,$D$6:$D$5005,"Vastgesteld"))</f>
        <v/>
      </c>
      <c r="U4966" s="15">
        <f>IF(T4966="",0,IF(AND(G4966=T4966,COUNTIFS($S$6:S4966,S4966,$G$6:G4966,G4966,$D$6:D4966,"Vastgesteld")=1),1,0))</f>
        <v>0</v>
      </c>
      <c r="V4966" s="15">
        <f>IF(T4966="",0,IF(AND(G4966=T4966,COUNTIFS($S$6:S4966,S4966,$G$6:G4966,G4966,$D$6:D4966,"Vastgesteld")&gt;1),1,0))</f>
        <v>0</v>
      </c>
    </row>
    <row r="4967">
      <c r="S4967" s="15" t="str">
        <f>IF(J4967="","",J4967&amp;"|"&amp;E4967&amp;"|"&amp;F4967&amp;"|"&amp;I4967&amp;"|"&amp;O4967)</f>
        <v/>
      </c>
      <c r="T4967" s="15" t="str">
        <f>IF(OR(S4967="",D4967&lt;&gt;"Vastgesteld"),"",_xlfn.MAXIFS($G$6:$G$5005,$S$6:$S$5005,S4967,$D$6:$D$5005,"Vastgesteld"))</f>
        <v/>
      </c>
      <c r="U4967" s="15">
        <f>IF(T4967="",0,IF(AND(G4967=T4967,COUNTIFS($S$6:S4967,S4967,$G$6:G4967,G4967,$D$6:D4967,"Vastgesteld")=1),1,0))</f>
        <v>0</v>
      </c>
      <c r="V4967" s="15">
        <f>IF(T4967="",0,IF(AND(G4967=T4967,COUNTIFS($S$6:S4967,S4967,$G$6:G4967,G4967,$D$6:D4967,"Vastgesteld")&gt;1),1,0))</f>
        <v>0</v>
      </c>
    </row>
    <row r="4968">
      <c r="S4968" s="15" t="str">
        <f>IF(J4968="","",J4968&amp;"|"&amp;E4968&amp;"|"&amp;F4968&amp;"|"&amp;I4968&amp;"|"&amp;O4968)</f>
        <v/>
      </c>
      <c r="T4968" s="15" t="str">
        <f>IF(OR(S4968="",D4968&lt;&gt;"Vastgesteld"),"",_xlfn.MAXIFS($G$6:$G$5005,$S$6:$S$5005,S4968,$D$6:$D$5005,"Vastgesteld"))</f>
        <v/>
      </c>
      <c r="U4968" s="15">
        <f>IF(T4968="",0,IF(AND(G4968=T4968,COUNTIFS($S$6:S4968,S4968,$G$6:G4968,G4968,$D$6:D4968,"Vastgesteld")=1),1,0))</f>
        <v>0</v>
      </c>
      <c r="V4968" s="15">
        <f>IF(T4968="",0,IF(AND(G4968=T4968,COUNTIFS($S$6:S4968,S4968,$G$6:G4968,G4968,$D$6:D4968,"Vastgesteld")&gt;1),1,0))</f>
        <v>0</v>
      </c>
    </row>
    <row r="4969">
      <c r="S4969" s="15" t="str">
        <f>IF(J4969="","",J4969&amp;"|"&amp;E4969&amp;"|"&amp;F4969&amp;"|"&amp;I4969&amp;"|"&amp;O4969)</f>
        <v/>
      </c>
      <c r="T4969" s="15" t="str">
        <f>IF(OR(S4969="",D4969&lt;&gt;"Vastgesteld"),"",_xlfn.MAXIFS($G$6:$G$5005,$S$6:$S$5005,S4969,$D$6:$D$5005,"Vastgesteld"))</f>
        <v/>
      </c>
      <c r="U4969" s="15">
        <f>IF(T4969="",0,IF(AND(G4969=T4969,COUNTIFS($S$6:S4969,S4969,$G$6:G4969,G4969,$D$6:D4969,"Vastgesteld")=1),1,0))</f>
        <v>0</v>
      </c>
      <c r="V4969" s="15">
        <f>IF(T4969="",0,IF(AND(G4969=T4969,COUNTIFS($S$6:S4969,S4969,$G$6:G4969,G4969,$D$6:D4969,"Vastgesteld")&gt;1),1,0))</f>
        <v>0</v>
      </c>
    </row>
    <row r="4970">
      <c r="S4970" s="15" t="str">
        <f>IF(J4970="","",J4970&amp;"|"&amp;E4970&amp;"|"&amp;F4970&amp;"|"&amp;I4970&amp;"|"&amp;O4970)</f>
        <v/>
      </c>
      <c r="T4970" s="15" t="str">
        <f>IF(OR(S4970="",D4970&lt;&gt;"Vastgesteld"),"",_xlfn.MAXIFS($G$6:$G$5005,$S$6:$S$5005,S4970,$D$6:$D$5005,"Vastgesteld"))</f>
        <v/>
      </c>
      <c r="U4970" s="15">
        <f>IF(T4970="",0,IF(AND(G4970=T4970,COUNTIFS($S$6:S4970,S4970,$G$6:G4970,G4970,$D$6:D4970,"Vastgesteld")=1),1,0))</f>
        <v>0</v>
      </c>
      <c r="V4970" s="15">
        <f>IF(T4970="",0,IF(AND(G4970=T4970,COUNTIFS($S$6:S4970,S4970,$G$6:G4970,G4970,$D$6:D4970,"Vastgesteld")&gt;1),1,0))</f>
        <v>0</v>
      </c>
    </row>
    <row r="4971">
      <c r="S4971" s="15" t="str">
        <f>IF(J4971="","",J4971&amp;"|"&amp;E4971&amp;"|"&amp;F4971&amp;"|"&amp;I4971&amp;"|"&amp;O4971)</f>
        <v/>
      </c>
      <c r="T4971" s="15" t="str">
        <f>IF(OR(S4971="",D4971&lt;&gt;"Vastgesteld"),"",_xlfn.MAXIFS($G$6:$G$5005,$S$6:$S$5005,S4971,$D$6:$D$5005,"Vastgesteld"))</f>
        <v/>
      </c>
      <c r="U4971" s="15">
        <f>IF(T4971="",0,IF(AND(G4971=T4971,COUNTIFS($S$6:S4971,S4971,$G$6:G4971,G4971,$D$6:D4971,"Vastgesteld")=1),1,0))</f>
        <v>0</v>
      </c>
      <c r="V4971" s="15">
        <f>IF(T4971="",0,IF(AND(G4971=T4971,COUNTIFS($S$6:S4971,S4971,$G$6:G4971,G4971,$D$6:D4971,"Vastgesteld")&gt;1),1,0))</f>
        <v>0</v>
      </c>
    </row>
    <row r="4972">
      <c r="S4972" s="15" t="str">
        <f>IF(J4972="","",J4972&amp;"|"&amp;E4972&amp;"|"&amp;F4972&amp;"|"&amp;I4972&amp;"|"&amp;O4972)</f>
        <v/>
      </c>
      <c r="T4972" s="15" t="str">
        <f>IF(OR(S4972="",D4972&lt;&gt;"Vastgesteld"),"",_xlfn.MAXIFS($G$6:$G$5005,$S$6:$S$5005,S4972,$D$6:$D$5005,"Vastgesteld"))</f>
        <v/>
      </c>
      <c r="U4972" s="15">
        <f>IF(T4972="",0,IF(AND(G4972=T4972,COUNTIFS($S$6:S4972,S4972,$G$6:G4972,G4972,$D$6:D4972,"Vastgesteld")=1),1,0))</f>
        <v>0</v>
      </c>
      <c r="V4972" s="15">
        <f>IF(T4972="",0,IF(AND(G4972=T4972,COUNTIFS($S$6:S4972,S4972,$G$6:G4972,G4972,$D$6:D4972,"Vastgesteld")&gt;1),1,0))</f>
        <v>0</v>
      </c>
    </row>
    <row r="4973">
      <c r="S4973" s="15" t="str">
        <f>IF(J4973="","",J4973&amp;"|"&amp;E4973&amp;"|"&amp;F4973&amp;"|"&amp;I4973&amp;"|"&amp;O4973)</f>
        <v/>
      </c>
      <c r="T4973" s="15" t="str">
        <f>IF(OR(S4973="",D4973&lt;&gt;"Vastgesteld"),"",_xlfn.MAXIFS($G$6:$G$5005,$S$6:$S$5005,S4973,$D$6:$D$5005,"Vastgesteld"))</f>
        <v/>
      </c>
      <c r="U4973" s="15">
        <f>IF(T4973="",0,IF(AND(G4973=T4973,COUNTIFS($S$6:S4973,S4973,$G$6:G4973,G4973,$D$6:D4973,"Vastgesteld")=1),1,0))</f>
        <v>0</v>
      </c>
      <c r="V4973" s="15">
        <f>IF(T4973="",0,IF(AND(G4973=T4973,COUNTIFS($S$6:S4973,S4973,$G$6:G4973,G4973,$D$6:D4973,"Vastgesteld")&gt;1),1,0))</f>
        <v>0</v>
      </c>
    </row>
    <row r="4974">
      <c r="S4974" s="15" t="str">
        <f>IF(J4974="","",J4974&amp;"|"&amp;E4974&amp;"|"&amp;F4974&amp;"|"&amp;I4974&amp;"|"&amp;O4974)</f>
        <v/>
      </c>
      <c r="T4974" s="15" t="str">
        <f>IF(OR(S4974="",D4974&lt;&gt;"Vastgesteld"),"",_xlfn.MAXIFS($G$6:$G$5005,$S$6:$S$5005,S4974,$D$6:$D$5005,"Vastgesteld"))</f>
        <v/>
      </c>
      <c r="U4974" s="15">
        <f>IF(T4974="",0,IF(AND(G4974=T4974,COUNTIFS($S$6:S4974,S4974,$G$6:G4974,G4974,$D$6:D4974,"Vastgesteld")=1),1,0))</f>
        <v>0</v>
      </c>
      <c r="V4974" s="15">
        <f>IF(T4974="",0,IF(AND(G4974=T4974,COUNTIFS($S$6:S4974,S4974,$G$6:G4974,G4974,$D$6:D4974,"Vastgesteld")&gt;1),1,0))</f>
        <v>0</v>
      </c>
    </row>
    <row r="4975">
      <c r="S4975" s="15" t="str">
        <f>IF(J4975="","",J4975&amp;"|"&amp;E4975&amp;"|"&amp;F4975&amp;"|"&amp;I4975&amp;"|"&amp;O4975)</f>
        <v/>
      </c>
      <c r="T4975" s="15" t="str">
        <f>IF(OR(S4975="",D4975&lt;&gt;"Vastgesteld"),"",_xlfn.MAXIFS($G$6:$G$5005,$S$6:$S$5005,S4975,$D$6:$D$5005,"Vastgesteld"))</f>
        <v/>
      </c>
      <c r="U4975" s="15">
        <f>IF(T4975="",0,IF(AND(G4975=T4975,COUNTIFS($S$6:S4975,S4975,$G$6:G4975,G4975,$D$6:D4975,"Vastgesteld")=1),1,0))</f>
        <v>0</v>
      </c>
      <c r="V4975" s="15">
        <f>IF(T4975="",0,IF(AND(G4975=T4975,COUNTIFS($S$6:S4975,S4975,$G$6:G4975,G4975,$D$6:D4975,"Vastgesteld")&gt;1),1,0))</f>
        <v>0</v>
      </c>
    </row>
    <row r="4976">
      <c r="S4976" s="15" t="str">
        <f>IF(J4976="","",J4976&amp;"|"&amp;E4976&amp;"|"&amp;F4976&amp;"|"&amp;I4976&amp;"|"&amp;O4976)</f>
        <v/>
      </c>
      <c r="T4976" s="15" t="str">
        <f>IF(OR(S4976="",D4976&lt;&gt;"Vastgesteld"),"",_xlfn.MAXIFS($G$6:$G$5005,$S$6:$S$5005,S4976,$D$6:$D$5005,"Vastgesteld"))</f>
        <v/>
      </c>
      <c r="U4976" s="15">
        <f>IF(T4976="",0,IF(AND(G4976=T4976,COUNTIFS($S$6:S4976,S4976,$G$6:G4976,G4976,$D$6:D4976,"Vastgesteld")=1),1,0))</f>
        <v>0</v>
      </c>
      <c r="V4976" s="15">
        <f>IF(T4976="",0,IF(AND(G4976=T4976,COUNTIFS($S$6:S4976,S4976,$G$6:G4976,G4976,$D$6:D4976,"Vastgesteld")&gt;1),1,0))</f>
        <v>0</v>
      </c>
    </row>
    <row r="4977">
      <c r="S4977" s="15" t="str">
        <f>IF(J4977="","",J4977&amp;"|"&amp;E4977&amp;"|"&amp;F4977&amp;"|"&amp;I4977&amp;"|"&amp;O4977)</f>
        <v/>
      </c>
      <c r="T4977" s="15" t="str">
        <f>IF(OR(S4977="",D4977&lt;&gt;"Vastgesteld"),"",_xlfn.MAXIFS($G$6:$G$5005,$S$6:$S$5005,S4977,$D$6:$D$5005,"Vastgesteld"))</f>
        <v/>
      </c>
      <c r="U4977" s="15">
        <f>IF(T4977="",0,IF(AND(G4977=T4977,COUNTIFS($S$6:S4977,S4977,$G$6:G4977,G4977,$D$6:D4977,"Vastgesteld")=1),1,0))</f>
        <v>0</v>
      </c>
      <c r="V4977" s="15">
        <f>IF(T4977="",0,IF(AND(G4977=T4977,COUNTIFS($S$6:S4977,S4977,$G$6:G4977,G4977,$D$6:D4977,"Vastgesteld")&gt;1),1,0))</f>
        <v>0</v>
      </c>
    </row>
    <row r="4978">
      <c r="S4978" s="15" t="str">
        <f>IF(J4978="","",J4978&amp;"|"&amp;E4978&amp;"|"&amp;F4978&amp;"|"&amp;I4978&amp;"|"&amp;O4978)</f>
        <v/>
      </c>
      <c r="T4978" s="15" t="str">
        <f>IF(OR(S4978="",D4978&lt;&gt;"Vastgesteld"),"",_xlfn.MAXIFS($G$6:$G$5005,$S$6:$S$5005,S4978,$D$6:$D$5005,"Vastgesteld"))</f>
        <v/>
      </c>
      <c r="U4978" s="15">
        <f>IF(T4978="",0,IF(AND(G4978=T4978,COUNTIFS($S$6:S4978,S4978,$G$6:G4978,G4978,$D$6:D4978,"Vastgesteld")=1),1,0))</f>
        <v>0</v>
      </c>
      <c r="V4978" s="15">
        <f>IF(T4978="",0,IF(AND(G4978=T4978,COUNTIFS($S$6:S4978,S4978,$G$6:G4978,G4978,$D$6:D4978,"Vastgesteld")&gt;1),1,0))</f>
        <v>0</v>
      </c>
    </row>
    <row r="4979">
      <c r="S4979" s="15" t="str">
        <f>IF(J4979="","",J4979&amp;"|"&amp;E4979&amp;"|"&amp;F4979&amp;"|"&amp;I4979&amp;"|"&amp;O4979)</f>
        <v/>
      </c>
      <c r="T4979" s="15" t="str">
        <f>IF(OR(S4979="",D4979&lt;&gt;"Vastgesteld"),"",_xlfn.MAXIFS($G$6:$G$5005,$S$6:$S$5005,S4979,$D$6:$D$5005,"Vastgesteld"))</f>
        <v/>
      </c>
      <c r="U4979" s="15">
        <f>IF(T4979="",0,IF(AND(G4979=T4979,COUNTIFS($S$6:S4979,S4979,$G$6:G4979,G4979,$D$6:D4979,"Vastgesteld")=1),1,0))</f>
        <v>0</v>
      </c>
      <c r="V4979" s="15">
        <f>IF(T4979="",0,IF(AND(G4979=T4979,COUNTIFS($S$6:S4979,S4979,$G$6:G4979,G4979,$D$6:D4979,"Vastgesteld")&gt;1),1,0))</f>
        <v>0</v>
      </c>
    </row>
    <row r="4980">
      <c r="S4980" s="15" t="str">
        <f>IF(J4980="","",J4980&amp;"|"&amp;E4980&amp;"|"&amp;F4980&amp;"|"&amp;I4980&amp;"|"&amp;O4980)</f>
        <v/>
      </c>
      <c r="T4980" s="15" t="str">
        <f>IF(OR(S4980="",D4980&lt;&gt;"Vastgesteld"),"",_xlfn.MAXIFS($G$6:$G$5005,$S$6:$S$5005,S4980,$D$6:$D$5005,"Vastgesteld"))</f>
        <v/>
      </c>
      <c r="U4980" s="15">
        <f>IF(T4980="",0,IF(AND(G4980=T4980,COUNTIFS($S$6:S4980,S4980,$G$6:G4980,G4980,$D$6:D4980,"Vastgesteld")=1),1,0))</f>
        <v>0</v>
      </c>
      <c r="V4980" s="15">
        <f>IF(T4980="",0,IF(AND(G4980=T4980,COUNTIFS($S$6:S4980,S4980,$G$6:G4980,G4980,$D$6:D4980,"Vastgesteld")&gt;1),1,0))</f>
        <v>0</v>
      </c>
    </row>
    <row r="4981">
      <c r="S4981" s="15" t="str">
        <f>IF(J4981="","",J4981&amp;"|"&amp;E4981&amp;"|"&amp;F4981&amp;"|"&amp;I4981&amp;"|"&amp;O4981)</f>
        <v/>
      </c>
      <c r="T4981" s="15" t="str">
        <f>IF(OR(S4981="",D4981&lt;&gt;"Vastgesteld"),"",_xlfn.MAXIFS($G$6:$G$5005,$S$6:$S$5005,S4981,$D$6:$D$5005,"Vastgesteld"))</f>
        <v/>
      </c>
      <c r="U4981" s="15">
        <f>IF(T4981="",0,IF(AND(G4981=T4981,COUNTIFS($S$6:S4981,S4981,$G$6:G4981,G4981,$D$6:D4981,"Vastgesteld")=1),1,0))</f>
        <v>0</v>
      </c>
      <c r="V4981" s="15">
        <f>IF(T4981="",0,IF(AND(G4981=T4981,COUNTIFS($S$6:S4981,S4981,$G$6:G4981,G4981,$D$6:D4981,"Vastgesteld")&gt;1),1,0))</f>
        <v>0</v>
      </c>
    </row>
    <row r="4982">
      <c r="S4982" s="15" t="str">
        <f>IF(J4982="","",J4982&amp;"|"&amp;E4982&amp;"|"&amp;F4982&amp;"|"&amp;I4982&amp;"|"&amp;O4982)</f>
        <v/>
      </c>
      <c r="T4982" s="15" t="str">
        <f>IF(OR(S4982="",D4982&lt;&gt;"Vastgesteld"),"",_xlfn.MAXIFS($G$6:$G$5005,$S$6:$S$5005,S4982,$D$6:$D$5005,"Vastgesteld"))</f>
        <v/>
      </c>
      <c r="U4982" s="15">
        <f>IF(T4982="",0,IF(AND(G4982=T4982,COUNTIFS($S$6:S4982,S4982,$G$6:G4982,G4982,$D$6:D4982,"Vastgesteld")=1),1,0))</f>
        <v>0</v>
      </c>
      <c r="V4982" s="15">
        <f>IF(T4982="",0,IF(AND(G4982=T4982,COUNTIFS($S$6:S4982,S4982,$G$6:G4982,G4982,$D$6:D4982,"Vastgesteld")&gt;1),1,0))</f>
        <v>0</v>
      </c>
    </row>
    <row r="4983">
      <c r="S4983" s="15" t="str">
        <f>IF(J4983="","",J4983&amp;"|"&amp;E4983&amp;"|"&amp;F4983&amp;"|"&amp;I4983&amp;"|"&amp;O4983)</f>
        <v/>
      </c>
      <c r="T4983" s="15" t="str">
        <f>IF(OR(S4983="",D4983&lt;&gt;"Vastgesteld"),"",_xlfn.MAXIFS($G$6:$G$5005,$S$6:$S$5005,S4983,$D$6:$D$5005,"Vastgesteld"))</f>
        <v/>
      </c>
      <c r="U4983" s="15">
        <f>IF(T4983="",0,IF(AND(G4983=T4983,COUNTIFS($S$6:S4983,S4983,$G$6:G4983,G4983,$D$6:D4983,"Vastgesteld")=1),1,0))</f>
        <v>0</v>
      </c>
      <c r="V4983" s="15">
        <f>IF(T4983="",0,IF(AND(G4983=T4983,COUNTIFS($S$6:S4983,S4983,$G$6:G4983,G4983,$D$6:D4983,"Vastgesteld")&gt;1),1,0))</f>
        <v>0</v>
      </c>
    </row>
    <row r="4984">
      <c r="S4984" s="15" t="str">
        <f>IF(J4984="","",J4984&amp;"|"&amp;E4984&amp;"|"&amp;F4984&amp;"|"&amp;I4984&amp;"|"&amp;O4984)</f>
        <v/>
      </c>
      <c r="T4984" s="15" t="str">
        <f>IF(OR(S4984="",D4984&lt;&gt;"Vastgesteld"),"",_xlfn.MAXIFS($G$6:$G$5005,$S$6:$S$5005,S4984,$D$6:$D$5005,"Vastgesteld"))</f>
        <v/>
      </c>
      <c r="U4984" s="15">
        <f>IF(T4984="",0,IF(AND(G4984=T4984,COUNTIFS($S$6:S4984,S4984,$G$6:G4984,G4984,$D$6:D4984,"Vastgesteld")=1),1,0))</f>
        <v>0</v>
      </c>
      <c r="V4984" s="15">
        <f>IF(T4984="",0,IF(AND(G4984=T4984,COUNTIFS($S$6:S4984,S4984,$G$6:G4984,G4984,$D$6:D4984,"Vastgesteld")&gt;1),1,0))</f>
        <v>0</v>
      </c>
    </row>
    <row r="4985">
      <c r="S4985" s="15" t="str">
        <f>IF(J4985="","",J4985&amp;"|"&amp;E4985&amp;"|"&amp;F4985&amp;"|"&amp;I4985&amp;"|"&amp;O4985)</f>
        <v/>
      </c>
      <c r="T4985" s="15" t="str">
        <f>IF(OR(S4985="",D4985&lt;&gt;"Vastgesteld"),"",_xlfn.MAXIFS($G$6:$G$5005,$S$6:$S$5005,S4985,$D$6:$D$5005,"Vastgesteld"))</f>
        <v/>
      </c>
      <c r="U4985" s="15">
        <f>IF(T4985="",0,IF(AND(G4985=T4985,COUNTIFS($S$6:S4985,S4985,$G$6:G4985,G4985,$D$6:D4985,"Vastgesteld")=1),1,0))</f>
        <v>0</v>
      </c>
      <c r="V4985" s="15">
        <f>IF(T4985="",0,IF(AND(G4985=T4985,COUNTIFS($S$6:S4985,S4985,$G$6:G4985,G4985,$D$6:D4985,"Vastgesteld")&gt;1),1,0))</f>
        <v>0</v>
      </c>
    </row>
    <row r="4986">
      <c r="S4986" s="15" t="str">
        <f>IF(J4986="","",J4986&amp;"|"&amp;E4986&amp;"|"&amp;F4986&amp;"|"&amp;I4986&amp;"|"&amp;O4986)</f>
        <v/>
      </c>
      <c r="T4986" s="15" t="str">
        <f>IF(OR(S4986="",D4986&lt;&gt;"Vastgesteld"),"",_xlfn.MAXIFS($G$6:$G$5005,$S$6:$S$5005,S4986,$D$6:$D$5005,"Vastgesteld"))</f>
        <v/>
      </c>
      <c r="U4986" s="15">
        <f>IF(T4986="",0,IF(AND(G4986=T4986,COUNTIFS($S$6:S4986,S4986,$G$6:G4986,G4986,$D$6:D4986,"Vastgesteld")=1),1,0))</f>
        <v>0</v>
      </c>
      <c r="V4986" s="15">
        <f>IF(T4986="",0,IF(AND(G4986=T4986,COUNTIFS($S$6:S4986,S4986,$G$6:G4986,G4986,$D$6:D4986,"Vastgesteld")&gt;1),1,0))</f>
        <v>0</v>
      </c>
    </row>
    <row r="4987">
      <c r="S4987" s="15" t="str">
        <f>IF(J4987="","",J4987&amp;"|"&amp;E4987&amp;"|"&amp;F4987&amp;"|"&amp;I4987&amp;"|"&amp;O4987)</f>
        <v/>
      </c>
      <c r="T4987" s="15" t="str">
        <f>IF(OR(S4987="",D4987&lt;&gt;"Vastgesteld"),"",_xlfn.MAXIFS($G$6:$G$5005,$S$6:$S$5005,S4987,$D$6:$D$5005,"Vastgesteld"))</f>
        <v/>
      </c>
      <c r="U4987" s="15">
        <f>IF(T4987="",0,IF(AND(G4987=T4987,COUNTIFS($S$6:S4987,S4987,$G$6:G4987,G4987,$D$6:D4987,"Vastgesteld")=1),1,0))</f>
        <v>0</v>
      </c>
      <c r="V4987" s="15">
        <f>IF(T4987="",0,IF(AND(G4987=T4987,COUNTIFS($S$6:S4987,S4987,$G$6:G4987,G4987,$D$6:D4987,"Vastgesteld")&gt;1),1,0))</f>
        <v>0</v>
      </c>
    </row>
    <row r="4988">
      <c r="S4988" s="15" t="str">
        <f>IF(J4988="","",J4988&amp;"|"&amp;E4988&amp;"|"&amp;F4988&amp;"|"&amp;I4988&amp;"|"&amp;O4988)</f>
        <v/>
      </c>
      <c r="T4988" s="15" t="str">
        <f>IF(OR(S4988="",D4988&lt;&gt;"Vastgesteld"),"",_xlfn.MAXIFS($G$6:$G$5005,$S$6:$S$5005,S4988,$D$6:$D$5005,"Vastgesteld"))</f>
        <v/>
      </c>
      <c r="U4988" s="15">
        <f>IF(T4988="",0,IF(AND(G4988=T4988,COUNTIFS($S$6:S4988,S4988,$G$6:G4988,G4988,$D$6:D4988,"Vastgesteld")=1),1,0))</f>
        <v>0</v>
      </c>
      <c r="V4988" s="15">
        <f>IF(T4988="",0,IF(AND(G4988=T4988,COUNTIFS($S$6:S4988,S4988,$G$6:G4988,G4988,$D$6:D4988,"Vastgesteld")&gt;1),1,0))</f>
        <v>0</v>
      </c>
    </row>
    <row r="4989">
      <c r="S4989" s="15" t="str">
        <f>IF(J4989="","",J4989&amp;"|"&amp;E4989&amp;"|"&amp;F4989&amp;"|"&amp;I4989&amp;"|"&amp;O4989)</f>
        <v/>
      </c>
      <c r="T4989" s="15" t="str">
        <f>IF(OR(S4989="",D4989&lt;&gt;"Vastgesteld"),"",_xlfn.MAXIFS($G$6:$G$5005,$S$6:$S$5005,S4989,$D$6:$D$5005,"Vastgesteld"))</f>
        <v/>
      </c>
      <c r="U4989" s="15">
        <f>IF(T4989="",0,IF(AND(G4989=T4989,COUNTIFS($S$6:S4989,S4989,$G$6:G4989,G4989,$D$6:D4989,"Vastgesteld")=1),1,0))</f>
        <v>0</v>
      </c>
      <c r="V4989" s="15">
        <f>IF(T4989="",0,IF(AND(G4989=T4989,COUNTIFS($S$6:S4989,S4989,$G$6:G4989,G4989,$D$6:D4989,"Vastgesteld")&gt;1),1,0))</f>
        <v>0</v>
      </c>
    </row>
    <row r="4990">
      <c r="S4990" s="15" t="str">
        <f>IF(J4990="","",J4990&amp;"|"&amp;E4990&amp;"|"&amp;F4990&amp;"|"&amp;I4990&amp;"|"&amp;O4990)</f>
        <v/>
      </c>
      <c r="T4990" s="15" t="str">
        <f>IF(OR(S4990="",D4990&lt;&gt;"Vastgesteld"),"",_xlfn.MAXIFS($G$6:$G$5005,$S$6:$S$5005,S4990,$D$6:$D$5005,"Vastgesteld"))</f>
        <v/>
      </c>
      <c r="U4990" s="15">
        <f>IF(T4990="",0,IF(AND(G4990=T4990,COUNTIFS($S$6:S4990,S4990,$G$6:G4990,G4990,$D$6:D4990,"Vastgesteld")=1),1,0))</f>
        <v>0</v>
      </c>
      <c r="V4990" s="15">
        <f>IF(T4990="",0,IF(AND(G4990=T4990,COUNTIFS($S$6:S4990,S4990,$G$6:G4990,G4990,$D$6:D4990,"Vastgesteld")&gt;1),1,0))</f>
        <v>0</v>
      </c>
    </row>
    <row r="4991">
      <c r="S4991" s="15" t="str">
        <f>IF(J4991="","",J4991&amp;"|"&amp;E4991&amp;"|"&amp;F4991&amp;"|"&amp;I4991&amp;"|"&amp;O4991)</f>
        <v/>
      </c>
      <c r="T4991" s="15" t="str">
        <f>IF(OR(S4991="",D4991&lt;&gt;"Vastgesteld"),"",_xlfn.MAXIFS($G$6:$G$5005,$S$6:$S$5005,S4991,$D$6:$D$5005,"Vastgesteld"))</f>
        <v/>
      </c>
      <c r="U4991" s="15">
        <f>IF(T4991="",0,IF(AND(G4991=T4991,COUNTIFS($S$6:S4991,S4991,$G$6:G4991,G4991,$D$6:D4991,"Vastgesteld")=1),1,0))</f>
        <v>0</v>
      </c>
      <c r="V4991" s="15">
        <f>IF(T4991="",0,IF(AND(G4991=T4991,COUNTIFS($S$6:S4991,S4991,$G$6:G4991,G4991,$D$6:D4991,"Vastgesteld")&gt;1),1,0))</f>
        <v>0</v>
      </c>
    </row>
    <row r="4992">
      <c r="S4992" s="15" t="str">
        <f>IF(J4992="","",J4992&amp;"|"&amp;E4992&amp;"|"&amp;F4992&amp;"|"&amp;I4992&amp;"|"&amp;O4992)</f>
        <v/>
      </c>
      <c r="T4992" s="15" t="str">
        <f>IF(OR(S4992="",D4992&lt;&gt;"Vastgesteld"),"",_xlfn.MAXIFS($G$6:$G$5005,$S$6:$S$5005,S4992,$D$6:$D$5005,"Vastgesteld"))</f>
        <v/>
      </c>
      <c r="U4992" s="15">
        <f>IF(T4992="",0,IF(AND(G4992=T4992,COUNTIFS($S$6:S4992,S4992,$G$6:G4992,G4992,$D$6:D4992,"Vastgesteld")=1),1,0))</f>
        <v>0</v>
      </c>
      <c r="V4992" s="15">
        <f>IF(T4992="",0,IF(AND(G4992=T4992,COUNTIFS($S$6:S4992,S4992,$G$6:G4992,G4992,$D$6:D4992,"Vastgesteld")&gt;1),1,0))</f>
        <v>0</v>
      </c>
    </row>
    <row r="4993">
      <c r="S4993" s="15" t="str">
        <f>IF(J4993="","",J4993&amp;"|"&amp;E4993&amp;"|"&amp;F4993&amp;"|"&amp;I4993&amp;"|"&amp;O4993)</f>
        <v/>
      </c>
      <c r="T4993" s="15" t="str">
        <f>IF(OR(S4993="",D4993&lt;&gt;"Vastgesteld"),"",_xlfn.MAXIFS($G$6:$G$5005,$S$6:$S$5005,S4993,$D$6:$D$5005,"Vastgesteld"))</f>
        <v/>
      </c>
      <c r="U4993" s="15">
        <f>IF(T4993="",0,IF(AND(G4993=T4993,COUNTIFS($S$6:S4993,S4993,$G$6:G4993,G4993,$D$6:D4993,"Vastgesteld")=1),1,0))</f>
        <v>0</v>
      </c>
      <c r="V4993" s="15">
        <f>IF(T4993="",0,IF(AND(G4993=T4993,COUNTIFS($S$6:S4993,S4993,$G$6:G4993,G4993,$D$6:D4993,"Vastgesteld")&gt;1),1,0))</f>
        <v>0</v>
      </c>
    </row>
    <row r="4994">
      <c r="S4994" s="15" t="str">
        <f>IF(J4994="","",J4994&amp;"|"&amp;E4994&amp;"|"&amp;F4994&amp;"|"&amp;I4994&amp;"|"&amp;O4994)</f>
        <v/>
      </c>
      <c r="T4994" s="15" t="str">
        <f>IF(OR(S4994="",D4994&lt;&gt;"Vastgesteld"),"",_xlfn.MAXIFS($G$6:$G$5005,$S$6:$S$5005,S4994,$D$6:$D$5005,"Vastgesteld"))</f>
        <v/>
      </c>
      <c r="U4994" s="15">
        <f>IF(T4994="",0,IF(AND(G4994=T4994,COUNTIFS($S$6:S4994,S4994,$G$6:G4994,G4994,$D$6:D4994,"Vastgesteld")=1),1,0))</f>
        <v>0</v>
      </c>
      <c r="V4994" s="15">
        <f>IF(T4994="",0,IF(AND(G4994=T4994,COUNTIFS($S$6:S4994,S4994,$G$6:G4994,G4994,$D$6:D4994,"Vastgesteld")&gt;1),1,0))</f>
        <v>0</v>
      </c>
    </row>
    <row r="4995">
      <c r="S4995" s="15" t="str">
        <f>IF(J4995="","",J4995&amp;"|"&amp;E4995&amp;"|"&amp;F4995&amp;"|"&amp;I4995&amp;"|"&amp;O4995)</f>
        <v/>
      </c>
      <c r="T4995" s="15" t="str">
        <f>IF(OR(S4995="",D4995&lt;&gt;"Vastgesteld"),"",_xlfn.MAXIFS($G$6:$G$5005,$S$6:$S$5005,S4995,$D$6:$D$5005,"Vastgesteld"))</f>
        <v/>
      </c>
      <c r="U4995" s="15">
        <f>IF(T4995="",0,IF(AND(G4995=T4995,COUNTIFS($S$6:S4995,S4995,$G$6:G4995,G4995,$D$6:D4995,"Vastgesteld")=1),1,0))</f>
        <v>0</v>
      </c>
      <c r="V4995" s="15">
        <f>IF(T4995="",0,IF(AND(G4995=T4995,COUNTIFS($S$6:S4995,S4995,$G$6:G4995,G4995,$D$6:D4995,"Vastgesteld")&gt;1),1,0))</f>
        <v>0</v>
      </c>
    </row>
    <row r="4996">
      <c r="S4996" s="15" t="str">
        <f>IF(J4996="","",J4996&amp;"|"&amp;E4996&amp;"|"&amp;F4996&amp;"|"&amp;I4996&amp;"|"&amp;O4996)</f>
        <v/>
      </c>
      <c r="T4996" s="15" t="str">
        <f>IF(OR(S4996="",D4996&lt;&gt;"Vastgesteld"),"",_xlfn.MAXIFS($G$6:$G$5005,$S$6:$S$5005,S4996,$D$6:$D$5005,"Vastgesteld"))</f>
        <v/>
      </c>
      <c r="U4996" s="15">
        <f>IF(T4996="",0,IF(AND(G4996=T4996,COUNTIFS($S$6:S4996,S4996,$G$6:G4996,G4996,$D$6:D4996,"Vastgesteld")=1),1,0))</f>
        <v>0</v>
      </c>
      <c r="V4996" s="15">
        <f>IF(T4996="",0,IF(AND(G4996=T4996,COUNTIFS($S$6:S4996,S4996,$G$6:G4996,G4996,$D$6:D4996,"Vastgesteld")&gt;1),1,0))</f>
        <v>0</v>
      </c>
    </row>
    <row r="4997">
      <c r="S4997" s="15" t="str">
        <f>IF(J4997="","",J4997&amp;"|"&amp;E4997&amp;"|"&amp;F4997&amp;"|"&amp;I4997&amp;"|"&amp;O4997)</f>
        <v/>
      </c>
      <c r="T4997" s="15" t="str">
        <f>IF(OR(S4997="",D4997&lt;&gt;"Vastgesteld"),"",_xlfn.MAXIFS($G$6:$G$5005,$S$6:$S$5005,S4997,$D$6:$D$5005,"Vastgesteld"))</f>
        <v/>
      </c>
      <c r="U4997" s="15">
        <f>IF(T4997="",0,IF(AND(G4997=T4997,COUNTIFS($S$6:S4997,S4997,$G$6:G4997,G4997,$D$6:D4997,"Vastgesteld")=1),1,0))</f>
        <v>0</v>
      </c>
      <c r="V4997" s="15">
        <f>IF(T4997="",0,IF(AND(G4997=T4997,COUNTIFS($S$6:S4997,S4997,$G$6:G4997,G4997,$D$6:D4997,"Vastgesteld")&gt;1),1,0))</f>
        <v>0</v>
      </c>
    </row>
    <row r="4998">
      <c r="S4998" s="15" t="str">
        <f>IF(J4998="","",J4998&amp;"|"&amp;E4998&amp;"|"&amp;F4998&amp;"|"&amp;I4998&amp;"|"&amp;O4998)</f>
        <v/>
      </c>
      <c r="T4998" s="15" t="str">
        <f>IF(OR(S4998="",D4998&lt;&gt;"Vastgesteld"),"",_xlfn.MAXIFS($G$6:$G$5005,$S$6:$S$5005,S4998,$D$6:$D$5005,"Vastgesteld"))</f>
        <v/>
      </c>
      <c r="U4998" s="15">
        <f>IF(T4998="",0,IF(AND(G4998=T4998,COUNTIFS($S$6:S4998,S4998,$G$6:G4998,G4998,$D$6:D4998,"Vastgesteld")=1),1,0))</f>
        <v>0</v>
      </c>
      <c r="V4998" s="15">
        <f>IF(T4998="",0,IF(AND(G4998=T4998,COUNTIFS($S$6:S4998,S4998,$G$6:G4998,G4998,$D$6:D4998,"Vastgesteld")&gt;1),1,0))</f>
        <v>0</v>
      </c>
    </row>
    <row r="4999">
      <c r="S4999" s="15" t="str">
        <f>IF(J4999="","",J4999&amp;"|"&amp;E4999&amp;"|"&amp;F4999&amp;"|"&amp;I4999&amp;"|"&amp;O4999)</f>
        <v/>
      </c>
      <c r="T4999" s="15" t="str">
        <f>IF(OR(S4999="",D4999&lt;&gt;"Vastgesteld"),"",_xlfn.MAXIFS($G$6:$G$5005,$S$6:$S$5005,S4999,$D$6:$D$5005,"Vastgesteld"))</f>
        <v/>
      </c>
      <c r="U4999" s="15">
        <f>IF(T4999="",0,IF(AND(G4999=T4999,COUNTIFS($S$6:S4999,S4999,$G$6:G4999,G4999,$D$6:D4999,"Vastgesteld")=1),1,0))</f>
        <v>0</v>
      </c>
      <c r="V4999" s="15">
        <f>IF(T4999="",0,IF(AND(G4999=T4999,COUNTIFS($S$6:S4999,S4999,$G$6:G4999,G4999,$D$6:D4999,"Vastgesteld")&gt;1),1,0))</f>
        <v>0</v>
      </c>
    </row>
    <row r="5000">
      <c r="S5000" s="15" t="str">
        <f>IF(J5000="","",J5000&amp;"|"&amp;E5000&amp;"|"&amp;F5000&amp;"|"&amp;I5000&amp;"|"&amp;O5000)</f>
        <v/>
      </c>
      <c r="T5000" s="15" t="str">
        <f>IF(OR(S5000="",D5000&lt;&gt;"Vastgesteld"),"",_xlfn.MAXIFS($G$6:$G$5005,$S$6:$S$5005,S5000,$D$6:$D$5005,"Vastgesteld"))</f>
        <v/>
      </c>
      <c r="U5000" s="15">
        <f>IF(T5000="",0,IF(AND(G5000=T5000,COUNTIFS($S$6:S5000,S5000,$G$6:G5000,G5000,$D$6:D5000,"Vastgesteld")=1),1,0))</f>
        <v>0</v>
      </c>
      <c r="V5000" s="15">
        <f>IF(T5000="",0,IF(AND(G5000=T5000,COUNTIFS($S$6:S5000,S5000,$G$6:G5000,G5000,$D$6:D5000,"Vastgesteld")&gt;1),1,0))</f>
        <v>0</v>
      </c>
    </row>
    <row r="5001">
      <c r="S5001" s="15" t="str">
        <f>IF(J5001="","",J5001&amp;"|"&amp;E5001&amp;"|"&amp;F5001&amp;"|"&amp;I5001&amp;"|"&amp;O5001)</f>
        <v/>
      </c>
      <c r="T5001" s="15" t="str">
        <f>IF(OR(S5001="",D5001&lt;&gt;"Vastgesteld"),"",_xlfn.MAXIFS($G$6:$G$5005,$S$6:$S$5005,S5001,$D$6:$D$5005,"Vastgesteld"))</f>
        <v/>
      </c>
      <c r="U5001" s="15">
        <f>IF(T5001="",0,IF(AND(G5001=T5001,COUNTIFS($S$6:S5001,S5001,$G$6:G5001,G5001,$D$6:D5001,"Vastgesteld")=1),1,0))</f>
        <v>0</v>
      </c>
      <c r="V5001" s="15">
        <f>IF(T5001="",0,IF(AND(G5001=T5001,COUNTIFS($S$6:S5001,S5001,$G$6:G5001,G5001,$D$6:D5001,"Vastgesteld")&gt;1),1,0))</f>
        <v>0</v>
      </c>
    </row>
    <row r="5002">
      <c r="S5002" s="15" t="str">
        <f>IF(J5002="","",J5002&amp;"|"&amp;E5002&amp;"|"&amp;F5002&amp;"|"&amp;I5002&amp;"|"&amp;O5002)</f>
        <v/>
      </c>
      <c r="T5002" s="15" t="str">
        <f>IF(OR(S5002="",D5002&lt;&gt;"Vastgesteld"),"",_xlfn.MAXIFS($G$6:$G$5005,$S$6:$S$5005,S5002,$D$6:$D$5005,"Vastgesteld"))</f>
        <v/>
      </c>
      <c r="U5002" s="15">
        <f>IF(T5002="",0,IF(AND(G5002=T5002,COUNTIFS($S$6:S5002,S5002,$G$6:G5002,G5002,$D$6:D5002,"Vastgesteld")=1),1,0))</f>
        <v>0</v>
      </c>
      <c r="V5002" s="15">
        <f>IF(T5002="",0,IF(AND(G5002=T5002,COUNTIFS($S$6:S5002,S5002,$G$6:G5002,G5002,$D$6:D5002,"Vastgesteld")&gt;1),1,0))</f>
        <v>0</v>
      </c>
    </row>
    <row r="5003">
      <c r="S5003" s="15" t="str">
        <f>IF(J5003="","",J5003&amp;"|"&amp;E5003&amp;"|"&amp;F5003&amp;"|"&amp;I5003&amp;"|"&amp;O5003)</f>
        <v/>
      </c>
      <c r="T5003" s="15" t="str">
        <f>IF(OR(S5003="",D5003&lt;&gt;"Vastgesteld"),"",_xlfn.MAXIFS($G$6:$G$5005,$S$6:$S$5005,S5003,$D$6:$D$5005,"Vastgesteld"))</f>
        <v/>
      </c>
      <c r="U5003" s="15">
        <f>IF(T5003="",0,IF(AND(G5003=T5003,COUNTIFS($S$6:S5003,S5003,$G$6:G5003,G5003,$D$6:D5003,"Vastgesteld")=1),1,0))</f>
        <v>0</v>
      </c>
      <c r="V5003" s="15">
        <f>IF(T5003="",0,IF(AND(G5003=T5003,COUNTIFS($S$6:S5003,S5003,$G$6:G5003,G5003,$D$6:D5003,"Vastgesteld")&gt;1),1,0))</f>
        <v>0</v>
      </c>
    </row>
    <row r="5004">
      <c r="S5004" s="15" t="str">
        <f>IF(J5004="","",J5004&amp;"|"&amp;E5004&amp;"|"&amp;F5004&amp;"|"&amp;I5004&amp;"|"&amp;O5004)</f>
        <v/>
      </c>
      <c r="T5004" s="15" t="str">
        <f>IF(OR(S5004="",D5004&lt;&gt;"Vastgesteld"),"",_xlfn.MAXIFS($G$6:$G$5005,$S$6:$S$5005,S5004,$D$6:$D$5005,"Vastgesteld"))</f>
        <v/>
      </c>
      <c r="U5004" s="15">
        <f>IF(T5004="",0,IF(AND(G5004=T5004,COUNTIFS($S$6:S5004,S5004,$G$6:G5004,G5004,$D$6:D5004,"Vastgesteld")=1),1,0))</f>
        <v>0</v>
      </c>
      <c r="V5004" s="15">
        <f>IF(T5004="",0,IF(AND(G5004=T5004,COUNTIFS($S$6:S5004,S5004,$G$6:G5004,G5004,$D$6:D5004,"Vastgesteld")&gt;1),1,0))</f>
        <v>0</v>
      </c>
    </row>
    <row r="5005">
      <c r="S5005" s="15" t="str">
        <f>IF(J5005="","",J5005&amp;"|"&amp;E5005&amp;"|"&amp;F5005&amp;"|"&amp;I5005&amp;"|"&amp;O5005)</f>
        <v/>
      </c>
      <c r="T5005" s="15" t="str">
        <f>IF(OR(S5005="",D5005&lt;&gt;"Vastgesteld"),"",_xlfn.MAXIFS($G$6:$G$5005,$S$6:$S$5005,S5005,$D$6:$D$5005,"Vastgesteld"))</f>
        <v/>
      </c>
      <c r="U5005" s="15">
        <f>IF(T5005="",0,IF(AND(G5005=T5005,COUNTIFS($S$6:S5005,S5005,$G$6:G5005,G5005,$D$6:D5005,"Vastgesteld")=1),1,0))</f>
        <v>0</v>
      </c>
      <c r="V5005" s="15">
        <f>IF(T5005="",0,IF(AND(G5005=T5005,COUNTIFS($S$6:S5005,S5005,$G$6:G5005,G5005,$D$6:D5005,"Vastgesteld")&gt;1),1,0))</f>
        <v>0</v>
      </c>
    </row>
  </sheetData>
  <autoFilter ref="A5:V865"/>
  <pageMargins left="0.75" right="0.75" top="1" bottom="1" header="0.5" footer="0.5"/>
</worksheet>
</file>

<file path=xl/worksheets/sheet14.xml><?xml version="1.0" encoding="utf-8"?>
<worksheet xmlns="http://schemas.openxmlformats.org/spreadsheetml/2006/main">
  <sheetPr>
    <tabColor rgb="002E7D32"/>
    <outlinePr summaryBelow="1" summaryRight="1"/>
    <pageSetUpPr/>
  </sheetPr>
  <dimension ref="A1:AN1407"/>
  <sheetViews>
    <sheetView showGridLines="0" zoomScale="85" workbookViewId="0">
      <pane ySplit="7" topLeftCell="A8" activePane="bottomLeft" state="frozen"/>
      <selection pane="bottomLeft" activeCell="A1" sqref="A1"/>
    </sheetView>
  </sheetViews>
  <sheetFormatPr baseColWidth="8" defaultRowHeight="15"/>
  <cols>
    <col width="15" customWidth="1" min="1" max="1"/>
    <col width="22" customWidth="1" min="2" max="2"/>
    <col width="10" customWidth="1" min="3" max="3"/>
    <col width="11" customWidth="1" min="4" max="4"/>
    <col width="8" customWidth="1" min="5" max="5"/>
    <col width="7" customWidth="1" min="6" max="6"/>
    <col width="6" customWidth="1" min="7" max="7"/>
    <col width="10" customWidth="1" min="8" max="8"/>
    <col width="7" customWidth="1" min="9" max="9"/>
    <col width="16" customWidth="1" min="10" max="10"/>
    <col width="10" customWidth="1" min="11" max="11"/>
    <col width="24" customWidth="1" min="12" max="12"/>
    <col width="10" customWidth="1" min="13" max="13"/>
    <col width="5" customWidth="1" min="14" max="14"/>
    <col width="24" customWidth="1" min="15" max="15"/>
    <col width="13" customWidth="1" min="16" max="16"/>
    <col width="7" customWidth="1" min="17" max="17"/>
    <col width="20" customWidth="1" min="18" max="18"/>
    <col width="28" customWidth="1" min="19" max="19"/>
    <col width="13" customWidth="1" min="20" max="20"/>
    <col width="10" customWidth="1" min="21" max="21"/>
  </cols>
  <sheetData>
    <row r="1" ht="28" customHeight="1">
      <c r="A1" s="1" t="n"/>
      <c r="B1" s="2" t="inlineStr">
        <is>
          <t>Vastleggen — concept uit huidige upload</t>
        </is>
      </c>
      <c r="C1" s="1" t="n"/>
      <c r="D1" s="1" t="n"/>
      <c r="E1" s="1" t="n"/>
      <c r="F1" s="1" t="n"/>
      <c r="G1" s="1" t="n"/>
      <c r="H1" s="1" t="n"/>
      <c r="I1" s="1" t="n"/>
      <c r="J1" s="1" t="n"/>
      <c r="K1" s="1" t="n"/>
      <c r="L1" s="1" t="n"/>
      <c r="M1" s="1" t="n"/>
      <c r="N1" s="1" t="n"/>
      <c r="O1" s="1" t="n"/>
      <c r="P1" s="1" t="n"/>
      <c r="Q1" s="1" t="n"/>
      <c r="R1" s="1" t="n"/>
      <c r="S1" s="1" t="n"/>
      <c r="T1" s="1" t="n"/>
      <c r="U1" s="1" t="n"/>
      <c r="V1" s="1" t="n"/>
    </row>
    <row r="2">
      <c r="B2" s="110" t="inlineStr">
        <is>
          <t>HANDMATIGE STAP (geen knop/macro): kopieer A8:R&lt;laatste regel&gt; en plak als WAARDEN in Vastlegging op de 'eerste vrije rij'. Daarna Importlog bijwerken.</t>
        </is>
      </c>
    </row>
    <row r="3">
      <c r="B3" s="17" t="inlineStr">
        <is>
          <t>Te plakken regels:</t>
        </is>
      </c>
      <c r="E3">
        <f>COUNTIF(J8:J1407,"?*")</f>
        <v>280</v>
      </c>
      <c r="F3" s="5" t="inlineStr">
        <is>
          <t>→ rijen 8 t/m</t>
        </is>
      </c>
      <c r="H3">
        <f>7+E3</f>
        <v>287</v>
      </c>
      <c r="J3" s="17" t="inlineStr">
        <is>
          <t>Al vastgesteld (zelfde versie):</t>
        </is>
      </c>
      <c r="N3">
        <f>COUNTIFS(L_Versiejaar,P_UploadVJ,L_Versie,P_UploadVersie,L_Status,"Vastgesteld")</f>
        <v>260</v>
      </c>
    </row>
    <row r="4">
      <c r="B4" s="31" t="str">
        <f>IF(N3&gt;0,"LET OP: "&amp;P_UploadVersie&amp;" "&amp;P_UploadVJ&amp;" is al vastgesteld. Opnieuw plakken = CORRECTIE (revisie +1, toelichting verplicht in Parameters › P_ToelCorrectie). Alleen doen bij een bewuste correctie.","Versie "&amp;P_UploadVersie&amp;" "&amp;P_UploadVJ&amp;" is nog niet vastgesteld: plakken legt revisie 0 vast.")</f>
        <v>LET OP: Q3 2026 is al vastgesteld. Opnieuw plakken = CORRECTIE (revisie +1, toelichting verplicht in Parameters › P_ToelCorrectie). Alleen doen bij een bewuste correctie.</v>
      </c>
    </row>
    <row r="5">
      <c r="B5" s="110" t="str">
        <f>IF(Controle!$D$4&gt;0,"Controle bevat "&amp;Controle!$D$4&amp;" FOUT(en): eerst oplossen vóór vastleggen.",IF(AND(N3&gt;0,P_ToelCorrectie=""),"Controle: geen fouten. Let op: bij een correctie eerst P_ToelCorrectie invullen.","Controle: geen fouten."))</f>
        <v>Controle: geen fouten. Let op: bij een correctie eerst P_ToelCorrectie invullen.</v>
      </c>
    </row>
    <row r="6">
      <c r="B6" s="3" t="str">
        <f>IF(SUM(U8:U1407)=0,"Concept sluit volledig aan op vastgelegde waarden (of er is nog niets vastgelegd).","Concept wijkt af van vastgelegde waarden: zie kolom U (verschil).")</f>
        <v>Concept sluit volledig aan op vastgelegde waarden (of er is nog niets vastgelegd).</v>
      </c>
      <c r="AJ6" s="17" t="inlineStr">
        <is>
          <t>k</t>
        </is>
      </c>
      <c r="AK6" s="17" t="inlineStr">
        <is>
          <t>offset</t>
        </is>
      </c>
      <c r="AL6" s="17" t="inlineStr">
        <is>
          <t>kengetal</t>
        </is>
      </c>
      <c r="AM6" s="17" t="inlineStr">
        <is>
          <t>eenheid</t>
        </is>
      </c>
      <c r="AN6" s="17" t="inlineStr">
        <is>
          <t>bron</t>
        </is>
      </c>
    </row>
    <row r="7" ht="30" customHeight="1">
      <c r="A7" s="32" t="inlineStr">
        <is>
          <t>ImportID</t>
        </is>
      </c>
      <c r="B7" s="33" t="inlineStr">
        <is>
          <t>Bronbestand</t>
        </is>
      </c>
      <c r="C7" s="33" t="inlineStr">
        <is>
          <t>Importdatum</t>
        </is>
      </c>
      <c r="D7" s="33" t="inlineStr">
        <is>
          <t>Status</t>
        </is>
      </c>
      <c r="E7" s="33" t="inlineStr">
        <is>
          <t>Versiejaar</t>
        </is>
      </c>
      <c r="F7" s="33" t="inlineStr">
        <is>
          <t>Versie</t>
        </is>
      </c>
      <c r="G7" s="33" t="inlineStr">
        <is>
          <t>Revisie</t>
        </is>
      </c>
      <c r="H7" s="33" t="inlineStr">
        <is>
          <t>Peildatum</t>
        </is>
      </c>
      <c r="I7" s="33" t="inlineStr">
        <is>
          <t>Doeljaar</t>
        </is>
      </c>
      <c r="J7" s="33" t="inlineStr">
        <is>
          <t>WBS</t>
        </is>
      </c>
      <c r="K7" s="33" t="inlineStr">
        <is>
          <t>Projectdefinitie</t>
        </is>
      </c>
      <c r="L7" s="33" t="inlineStr">
        <is>
          <t>Projectnaam</t>
        </is>
      </c>
      <c r="M7" s="33" t="inlineStr">
        <is>
          <t>Type</t>
        </is>
      </c>
      <c r="N7" s="33" t="inlineStr">
        <is>
          <t>IFRS</t>
        </is>
      </c>
      <c r="O7" s="33" t="inlineStr">
        <is>
          <t>Kengetal</t>
        </is>
      </c>
      <c r="P7" s="33" t="inlineStr">
        <is>
          <t>Waarde</t>
        </is>
      </c>
      <c r="Q7" s="33" t="inlineStr">
        <is>
          <t>Eenheid</t>
        </is>
      </c>
      <c r="R7" s="33" t="inlineStr">
        <is>
          <t>Toelichting</t>
        </is>
      </c>
      <c r="S7" s="33" t="inlineStr">
        <is>
          <t>Sleutel</t>
        </is>
      </c>
      <c r="T7" s="33" t="inlineStr">
        <is>
          <t>Vastgelegd (actief)</t>
        </is>
      </c>
      <c r="U7" s="33" t="inlineStr">
        <is>
          <t>Verschil</t>
        </is>
      </c>
      <c r="V7" s="33" t="inlineStr"/>
      <c r="W7" s="33" t="inlineStr"/>
      <c r="X7" s="33" t="inlineStr"/>
      <c r="Y7" s="33" t="inlineStr"/>
      <c r="Z7" s="33" t="inlineStr">
        <is>
          <t>map-idx</t>
        </is>
      </c>
      <c r="AA7" s="33" t="inlineStr">
        <is>
          <t>k</t>
        </is>
      </c>
      <c r="AB7" s="33" t="inlineStr">
        <is>
          <t>waarde</t>
        </is>
      </c>
      <c r="AC7" s="33" t="inlineStr">
        <is>
          <t>geldig</t>
        </is>
      </c>
      <c r="AD7" s="33" t="inlineStr">
        <is>
          <t>volgnr</t>
        </is>
      </c>
      <c r="AE7" s="33" t="inlineStr">
        <is>
          <t>rij-idx</t>
        </is>
      </c>
    </row>
    <row r="8">
      <c r="A8" s="92" t="str">
        <f>IF($AG8="","",P_ImportID)</f>
        <v>IMP-2026-Q3-01</v>
      </c>
      <c r="B8" s="92" t="str">
        <f>IF($AG8="","",IF(INDEX($AN$8:$AN$21,INDEX($AC$8:$AC$1407,$AG8)+1)="Z",P_BronZ,P_BronE))</f>
        <v>ZPMW03_FICTIEF_20_projecten.xlsx</v>
      </c>
      <c r="C8" s="108">
        <f>IF($AG8="","",P_Importdatum)</f>
        <v>46324.0</v>
      </c>
      <c r="D8" s="92" t="str">
        <f>IF($AG8="","",P_StatusVastleg)</f>
        <v>Vastgesteld</v>
      </c>
      <c r="E8" s="92">
        <f>IF($AG8="","",P_UploadVJ)</f>
        <v>2026</v>
      </c>
      <c r="F8" s="92" t="str">
        <f>IF($AG8="","",P_UploadVersie)</f>
        <v>Q3</v>
      </c>
      <c r="G8" s="92">
        <f>IF($AG8="","",IF(COUNTIFS(L_Sleutel,$S8,L_Status,"Vastgesteld")=0,0,_xlfn.MAXIFS(L_Revisie,L_Sleutel,$S8,L_Status,"Vastgesteld")+1))</f>
        <v>1</v>
      </c>
      <c r="H8" s="108">
        <f>IF($AG8="","",P_Peildatum)</f>
        <v>46295.0</v>
      </c>
      <c r="I8" s="92">
        <f>IF($AG8="","",P_RJ+INDEX($AK$8:$AK$21,INDEX($AC$8:$AC$1407,$AG8)+1))</f>
        <v>2026</v>
      </c>
      <c r="J8" s="92" t="str">
        <f>IF($AG8="","",INDEX(V_WBS,INDEX($AB$8:$AB$1407,$AG8)))</f>
        <v>G.900001.8.9090</v>
      </c>
      <c r="K8" s="92" t="str">
        <f>IF($AG8="","",INDEX(V_Projdef,INDEX($AB$8:$AB$1407,$AG8)))</f>
        <v>G.900001</v>
      </c>
      <c r="L8" s="92" t="str">
        <f>IF($AG8="","",INDEX(V_Naam,INDEX($AB$8:$AB$1407,$AG8)))</f>
        <v>Lindehaven, Parkzoom fase 1</v>
      </c>
      <c r="M8" s="92" t="str">
        <f>IF($AG8="","",INDEX(V_Type,INDEX($AB$8:$AB$1407,$AG8)))</f>
        <v>Opstal</v>
      </c>
      <c r="N8" s="92" t="str">
        <f>IF($AG8="","",INDEX(V_IFRS,INDEX($AB$8:$AB$1407,$AG8)))</f>
        <v>J</v>
      </c>
      <c r="O8" s="92" t="str">
        <f>IF($AG8="","",INDEX($AL$8:$AL$21,INDEX($AC$8:$AC$1407,$AG8)+1))</f>
        <v>Omzet FY</v>
      </c>
      <c r="P8" s="109">
        <f>IF($AG8="","",INDEX($AD$8:$AD$1407,$AG8))</f>
        <v>5593600</v>
      </c>
      <c r="Q8" s="92" t="str">
        <f>IF($AG8="","",INDEX($AM$8:$AM$21,INDEX($AC$8:$AC$1407,$AG8)+1))</f>
        <v>EUR</v>
      </c>
      <c r="R8" s="92" t="str">
        <f>IF($AG8="","",IF($G8&gt;0,P_ToelCorrectie&amp;"",""))</f>
        <v/>
      </c>
      <c r="S8" s="15" t="str">
        <f>IF(J8="","",J8&amp;"|"&amp;E8&amp;"|"&amp;F8&amp;"|"&amp;I8&amp;"|"&amp;O8)</f>
        <v>G.900001.8.9090|2026|Q3|2026|Omzet FY</v>
      </c>
      <c r="T8" s="111">
        <f>IF(S8="","",IF(COUNTIFS(L_Sleutel,S8,L_Actief,1)=0,"",SUMIFS(L_Waarde,L_Sleutel,S8,L_Actief,1)))</f>
        <v>5593600</v>
      </c>
      <c r="U8" s="111">
        <f>IF(OR(S8="",T8=""),0,P8-T8)</f>
        <v>0</v>
      </c>
      <c r="AB8" s="112" t="n">
        <v>1</v>
      </c>
      <c r="AC8" s="112" t="n">
        <v>0</v>
      </c>
      <c r="AD8" s="112">
        <f>VERW_Project!P6</f>
        <v>5593600</v>
      </c>
      <c r="AE8" s="112">
        <f>IF(AND(VERW_Project!$A6&lt;&gt;"",ISNUMBER(AD8)),1,0)</f>
        <v>1</v>
      </c>
      <c r="AF8" s="112">
        <f>IF(AE8=1,SUM($AE$8:AE8),"")</f>
        <v>1</v>
      </c>
      <c r="AG8">
        <f>IFERROR(MATCH(1,$AF$8:$AF$1407,0),"")</f>
        <v>1</v>
      </c>
      <c r="AJ8" s="34" t="n">
        <v>0</v>
      </c>
      <c r="AK8" s="34" t="n">
        <v>0</v>
      </c>
      <c r="AL8" s="34" t="inlineStr">
        <is>
          <t>Omzet FY</t>
        </is>
      </c>
      <c r="AM8" s="34" t="inlineStr">
        <is>
          <t>EUR</t>
        </is>
      </c>
      <c r="AN8" s="34" t="inlineStr">
        <is>
          <t>Z</t>
        </is>
      </c>
    </row>
    <row r="9">
      <c r="A9" s="92" t="str">
        <f>IF($AG9="","",P_ImportID)</f>
        <v>IMP-2026-Q3-01</v>
      </c>
      <c r="B9" s="92" t="str">
        <f>IF($AG9="","",IF(INDEX($AN$8:$AN$21,INDEX($AC$8:$AC$1407,$AG9)+1)="Z",P_BronZ,P_BronE))</f>
        <v>ZPMW03_FICTIEF_20_projecten.xlsx</v>
      </c>
      <c r="C9" s="108">
        <f>IF($AG9="","",P_Importdatum)</f>
        <v>46324.0</v>
      </c>
      <c r="D9" s="92" t="str">
        <f>IF($AG9="","",P_StatusVastleg)</f>
        <v>Vastgesteld</v>
      </c>
      <c r="E9" s="92">
        <f>IF($AG9="","",P_UploadVJ)</f>
        <v>2026</v>
      </c>
      <c r="F9" s="92" t="str">
        <f>IF($AG9="","",P_UploadVersie)</f>
        <v>Q3</v>
      </c>
      <c r="G9" s="92">
        <f>IF($AG9="","",IF(COUNTIFS(L_Sleutel,$S9,L_Status,"Vastgesteld")=0,0,_xlfn.MAXIFS(L_Revisie,L_Sleutel,$S9,L_Status,"Vastgesteld")+1))</f>
        <v>1</v>
      </c>
      <c r="H9" s="108">
        <f>IF($AG9="","",P_Peildatum)</f>
        <v>46295.0</v>
      </c>
      <c r="I9" s="92">
        <f>IF($AG9="","",P_RJ+INDEX($AK$8:$AK$21,INDEX($AC$8:$AC$1407,$AG9)+1))</f>
        <v>2026</v>
      </c>
      <c r="J9" s="92" t="str">
        <f>IF($AG9="","",INDEX(V_WBS,INDEX($AB$8:$AB$1407,$AG9)))</f>
        <v>G.900001.8.9090</v>
      </c>
      <c r="K9" s="92" t="str">
        <f>IF($AG9="","",INDEX(V_Projdef,INDEX($AB$8:$AB$1407,$AG9)))</f>
        <v>G.900001</v>
      </c>
      <c r="L9" s="92" t="str">
        <f>IF($AG9="","",INDEX(V_Naam,INDEX($AB$8:$AB$1407,$AG9)))</f>
        <v>Lindehaven, Parkzoom fase 1</v>
      </c>
      <c r="M9" s="92" t="str">
        <f>IF($AG9="","",INDEX(V_Type,INDEX($AB$8:$AB$1407,$AG9)))</f>
        <v>Opstal</v>
      </c>
      <c r="N9" s="92" t="str">
        <f>IF($AG9="","",INDEX(V_IFRS,INDEX($AB$8:$AB$1407,$AG9)))</f>
        <v>J</v>
      </c>
      <c r="O9" s="92" t="str">
        <f>IF($AG9="","",INDEX($AL$8:$AL$21,INDEX($AC$8:$AC$1407,$AG9)+1))</f>
        <v>BOR FY</v>
      </c>
      <c r="P9" s="109">
        <f>IF($AG9="","",INDEX($AD$8:$AD$1407,$AG9))</f>
        <v>503424</v>
      </c>
      <c r="Q9" s="92" t="str">
        <f>IF($AG9="","",INDEX($AM$8:$AM$21,INDEX($AC$8:$AC$1407,$AG9)+1))</f>
        <v>EUR</v>
      </c>
      <c r="R9" s="92" t="str">
        <f>IF($AG9="","",IF($G9&gt;0,P_ToelCorrectie&amp;"",""))</f>
        <v/>
      </c>
      <c r="S9" s="15" t="str">
        <f>IF(J9="","",J9&amp;"|"&amp;E9&amp;"|"&amp;F9&amp;"|"&amp;I9&amp;"|"&amp;O9)</f>
        <v>G.900001.8.9090|2026|Q3|2026|BOR FY</v>
      </c>
      <c r="T9" s="111">
        <f>IF(S9="","",IF(COUNTIFS(L_Sleutel,S9,L_Actief,1)=0,"",SUMIFS(L_Waarde,L_Sleutel,S9,L_Actief,1)))</f>
        <v>503424</v>
      </c>
      <c r="U9" s="111">
        <f>IF(OR(S9="",T9=""),0,P9-T9)</f>
        <v>0</v>
      </c>
      <c r="AB9" s="112" t="n">
        <v>1</v>
      </c>
      <c r="AC9" s="112" t="n">
        <v>1</v>
      </c>
      <c r="AD9" s="112">
        <f>VERW_Project!Q6</f>
        <v>503424</v>
      </c>
      <c r="AE9" s="112">
        <f>IF(AND(VERW_Project!$A6&lt;&gt;"",ISNUMBER(AD9)),1,0)</f>
        <v>1</v>
      </c>
      <c r="AF9" s="112">
        <f>IF(AE9=1,SUM($AE$8:AE9),"")</f>
        <v>2</v>
      </c>
      <c r="AG9">
        <f>IFERROR(MATCH(2,$AF$8:$AF$1407,0),"")</f>
        <v>2</v>
      </c>
      <c r="AJ9" s="34" t="n">
        <v>1</v>
      </c>
      <c r="AK9" s="34" t="n">
        <v>0</v>
      </c>
      <c r="AL9" s="34" t="inlineStr">
        <is>
          <t>BOR FY</t>
        </is>
      </c>
      <c r="AM9" s="34" t="inlineStr">
        <is>
          <t>EUR</t>
        </is>
      </c>
      <c r="AN9" s="34" t="inlineStr">
        <is>
          <t>Z</t>
        </is>
      </c>
    </row>
    <row r="10">
      <c r="A10" s="92" t="str">
        <f>IF($AG10="","",P_ImportID)</f>
        <v>IMP-2026-Q3-01</v>
      </c>
      <c r="B10" s="92" t="str">
        <f>IF($AG10="","",IF(INDEX($AN$8:$AN$21,INDEX($AC$8:$AC$1407,$AG10)+1)="Z",P_BronZ,P_BronE))</f>
        <v>ZPMW03_FICTIEF_20_projecten.xlsx</v>
      </c>
      <c r="C10" s="108">
        <f>IF($AG10="","",P_Importdatum)</f>
        <v>46324.0</v>
      </c>
      <c r="D10" s="92" t="str">
        <f>IF($AG10="","",P_StatusVastleg)</f>
        <v>Vastgesteld</v>
      </c>
      <c r="E10" s="92">
        <f>IF($AG10="","",P_UploadVJ)</f>
        <v>2026</v>
      </c>
      <c r="F10" s="92" t="str">
        <f>IF($AG10="","",P_UploadVersie)</f>
        <v>Q3</v>
      </c>
      <c r="G10" s="92">
        <f>IF($AG10="","",IF(COUNTIFS(L_Sleutel,$S10,L_Status,"Vastgesteld")=0,0,_xlfn.MAXIFS(L_Revisie,L_Sleutel,$S10,L_Status,"Vastgesteld")+1))</f>
        <v>1</v>
      </c>
      <c r="H10" s="108">
        <f>IF($AG10="","",P_Peildatum)</f>
        <v>46295.0</v>
      </c>
      <c r="I10" s="92">
        <f>IF($AG10="","",P_RJ+INDEX($AK$8:$AK$21,INDEX($AC$8:$AC$1407,$AG10)+1))</f>
        <v>2026</v>
      </c>
      <c r="J10" s="92" t="str">
        <f>IF($AG10="","",INDEX(V_WBS,INDEX($AB$8:$AB$1407,$AG10)))</f>
        <v>G.900001.8.9090</v>
      </c>
      <c r="K10" s="92" t="str">
        <f>IF($AG10="","",INDEX(V_Projdef,INDEX($AB$8:$AB$1407,$AG10)))</f>
        <v>G.900001</v>
      </c>
      <c r="L10" s="92" t="str">
        <f>IF($AG10="","",INDEX(V_Naam,INDEX($AB$8:$AB$1407,$AG10)))</f>
        <v>Lindehaven, Parkzoom fase 1</v>
      </c>
      <c r="M10" s="92" t="str">
        <f>IF($AG10="","",INDEX(V_Type,INDEX($AB$8:$AB$1407,$AG10)))</f>
        <v>Opstal</v>
      </c>
      <c r="N10" s="92" t="str">
        <f>IF($AG10="","",INDEX(V_IFRS,INDEX($AB$8:$AB$1407,$AG10)))</f>
        <v>J</v>
      </c>
      <c r="O10" s="92" t="str">
        <f>IF($AG10="","",INDEX($AL$8:$AL$21,INDEX($AC$8:$AC$1407,$AG10)+1))</f>
        <v>Omzet actual YTD</v>
      </c>
      <c r="P10" s="109">
        <f>IF($AG10="","",INDEX($AD$8:$AD$1407,$AG10))</f>
        <v>3635840</v>
      </c>
      <c r="Q10" s="92" t="str">
        <f>IF($AG10="","",INDEX($AM$8:$AM$21,INDEX($AC$8:$AC$1407,$AG10)+1))</f>
        <v>EUR</v>
      </c>
      <c r="R10" s="92" t="str">
        <f>IF($AG10="","",IF($G10&gt;0,P_ToelCorrectie&amp;"",""))</f>
        <v/>
      </c>
      <c r="S10" s="15" t="str">
        <f>IF(J10="","",J10&amp;"|"&amp;E10&amp;"|"&amp;F10&amp;"|"&amp;I10&amp;"|"&amp;O10)</f>
        <v>G.900001.8.9090|2026|Q3|2026|Omzet actual YTD</v>
      </c>
      <c r="T10" s="111">
        <f>IF(S10="","",IF(COUNTIFS(L_Sleutel,S10,L_Actief,1)=0,"",SUMIFS(L_Waarde,L_Sleutel,S10,L_Actief,1)))</f>
        <v>3635840</v>
      </c>
      <c r="U10" s="111">
        <f>IF(OR(S10="",T10=""),0,P10-T10)</f>
        <v>0</v>
      </c>
      <c r="AB10" s="112" t="n">
        <v>1</v>
      </c>
      <c r="AC10" s="112" t="n">
        <v>2</v>
      </c>
      <c r="AD10" s="112">
        <f>VERW_Project!L6</f>
        <v>3635840</v>
      </c>
      <c r="AE10" s="112">
        <f>IF(AND(VERW_Project!$A6&lt;&gt;"",ISNUMBER(AD10)),1,0)</f>
        <v>1</v>
      </c>
      <c r="AF10" s="112">
        <f>IF(AE10=1,SUM($AE$8:AE10),"")</f>
        <v>3</v>
      </c>
      <c r="AG10">
        <f>IFERROR(MATCH(3,$AF$8:$AF$1407,0),"")</f>
        <v>3</v>
      </c>
      <c r="AJ10" s="34" t="n">
        <v>2</v>
      </c>
      <c r="AK10" s="34" t="n">
        <v>0</v>
      </c>
      <c r="AL10" s="34" t="inlineStr">
        <is>
          <t>Omzet actual YTD</t>
        </is>
      </c>
      <c r="AM10" s="34" t="inlineStr">
        <is>
          <t>EUR</t>
        </is>
      </c>
      <c r="AN10" s="34" t="inlineStr">
        <is>
          <t>Z</t>
        </is>
      </c>
    </row>
    <row r="11">
      <c r="A11" s="92" t="str">
        <f>IF($AG11="","",P_ImportID)</f>
        <v>IMP-2026-Q3-01</v>
      </c>
      <c r="B11" s="92" t="str">
        <f>IF($AG11="","",IF(INDEX($AN$8:$AN$21,INDEX($AC$8:$AC$1407,$AG11)+1)="Z",P_BronZ,P_BronE))</f>
        <v>ZPMW03_FICTIEF_20_projecten.xlsx</v>
      </c>
      <c r="C11" s="108">
        <f>IF($AG11="","",P_Importdatum)</f>
        <v>46324.0</v>
      </c>
      <c r="D11" s="92" t="str">
        <f>IF($AG11="","",P_StatusVastleg)</f>
        <v>Vastgesteld</v>
      </c>
      <c r="E11" s="92">
        <f>IF($AG11="","",P_UploadVJ)</f>
        <v>2026</v>
      </c>
      <c r="F11" s="92" t="str">
        <f>IF($AG11="","",P_UploadVersie)</f>
        <v>Q3</v>
      </c>
      <c r="G11" s="92">
        <f>IF($AG11="","",IF(COUNTIFS(L_Sleutel,$S11,L_Status,"Vastgesteld")=0,0,_xlfn.MAXIFS(L_Revisie,L_Sleutel,$S11,L_Status,"Vastgesteld")+1))</f>
        <v>1</v>
      </c>
      <c r="H11" s="108">
        <f>IF($AG11="","",P_Peildatum)</f>
        <v>46295.0</v>
      </c>
      <c r="I11" s="92">
        <f>IF($AG11="","",P_RJ+INDEX($AK$8:$AK$21,INDEX($AC$8:$AC$1407,$AG11)+1))</f>
        <v>2026</v>
      </c>
      <c r="J11" s="92" t="str">
        <f>IF($AG11="","",INDEX(V_WBS,INDEX($AB$8:$AB$1407,$AG11)))</f>
        <v>G.900001.8.9090</v>
      </c>
      <c r="K11" s="92" t="str">
        <f>IF($AG11="","",INDEX(V_Projdef,INDEX($AB$8:$AB$1407,$AG11)))</f>
        <v>G.900001</v>
      </c>
      <c r="L11" s="92" t="str">
        <f>IF($AG11="","",INDEX(V_Naam,INDEX($AB$8:$AB$1407,$AG11)))</f>
        <v>Lindehaven, Parkzoom fase 1</v>
      </c>
      <c r="M11" s="92" t="str">
        <f>IF($AG11="","",INDEX(V_Type,INDEX($AB$8:$AB$1407,$AG11)))</f>
        <v>Opstal</v>
      </c>
      <c r="N11" s="92" t="str">
        <f>IF($AG11="","",INDEX(V_IFRS,INDEX($AB$8:$AB$1407,$AG11)))</f>
        <v>J</v>
      </c>
      <c r="O11" s="92" t="str">
        <f>IF($AG11="","",INDEX($AL$8:$AL$21,INDEX($AC$8:$AC$1407,$AG11)+1))</f>
        <v>BOR actual YTD</v>
      </c>
      <c r="P11" s="109">
        <f>IF($AG11="","",INDEX($AD$8:$AD$1407,$AG11))</f>
        <v>327225.6</v>
      </c>
      <c r="Q11" s="92" t="str">
        <f>IF($AG11="","",INDEX($AM$8:$AM$21,INDEX($AC$8:$AC$1407,$AG11)+1))</f>
        <v>EUR</v>
      </c>
      <c r="R11" s="92" t="str">
        <f>IF($AG11="","",IF($G11&gt;0,P_ToelCorrectie&amp;"",""))</f>
        <v/>
      </c>
      <c r="S11" s="15" t="str">
        <f>IF(J11="","",J11&amp;"|"&amp;E11&amp;"|"&amp;F11&amp;"|"&amp;I11&amp;"|"&amp;O11)</f>
        <v>G.900001.8.9090|2026|Q3|2026|BOR actual YTD</v>
      </c>
      <c r="T11" s="111">
        <f>IF(S11="","",IF(COUNTIFS(L_Sleutel,S11,L_Actief,1)=0,"",SUMIFS(L_Waarde,L_Sleutel,S11,L_Actief,1)))</f>
        <v>327225.6</v>
      </c>
      <c r="U11" s="111">
        <f>IF(OR(S11="",T11=""),0,P11-T11)</f>
        <v>0</v>
      </c>
      <c r="AB11" s="112" t="n">
        <v>1</v>
      </c>
      <c r="AC11" s="112" t="n">
        <v>3</v>
      </c>
      <c r="AD11" s="112">
        <f>VERW_Project!M6</f>
        <v>327225.6</v>
      </c>
      <c r="AE11" s="112">
        <f>IF(AND(VERW_Project!$A6&lt;&gt;"",ISNUMBER(AD11)),1,0)</f>
        <v>1</v>
      </c>
      <c r="AF11" s="112">
        <f>IF(AE11=1,SUM($AE$8:AE11),"")</f>
        <v>4</v>
      </c>
      <c r="AG11">
        <f>IFERROR(MATCH(4,$AF$8:$AF$1407,0),"")</f>
        <v>4</v>
      </c>
      <c r="AJ11" s="34" t="n">
        <v>3</v>
      </c>
      <c r="AK11" s="34" t="n">
        <v>0</v>
      </c>
      <c r="AL11" s="34" t="inlineStr">
        <is>
          <t>BOR actual YTD</t>
        </is>
      </c>
      <c r="AM11" s="34" t="inlineStr">
        <is>
          <t>EUR</t>
        </is>
      </c>
      <c r="AN11" s="34" t="inlineStr">
        <is>
          <t>Z</t>
        </is>
      </c>
    </row>
    <row r="12">
      <c r="A12" s="92" t="str">
        <f>IF($AG12="","",P_ImportID)</f>
        <v>IMP-2026-Q3-01</v>
      </c>
      <c r="B12" s="92" t="str">
        <f>IF($AG12="","",IF(INDEX($AN$8:$AN$21,INDEX($AC$8:$AC$1407,$AG12)+1)="Z",P_BronZ,P_BronE))</f>
        <v>ZPMW03_FICTIEF_20_projecten.xlsx</v>
      </c>
      <c r="C12" s="108">
        <f>IF($AG12="","",P_Importdatum)</f>
        <v>46324.0</v>
      </c>
      <c r="D12" s="92" t="str">
        <f>IF($AG12="","",P_StatusVastleg)</f>
        <v>Vastgesteld</v>
      </c>
      <c r="E12" s="92">
        <f>IF($AG12="","",P_UploadVJ)</f>
        <v>2026</v>
      </c>
      <c r="F12" s="92" t="str">
        <f>IF($AG12="","",P_UploadVersie)</f>
        <v>Q3</v>
      </c>
      <c r="G12" s="92">
        <f>IF($AG12="","",IF(COUNTIFS(L_Sleutel,$S12,L_Status,"Vastgesteld")=0,0,_xlfn.MAXIFS(L_Revisie,L_Sleutel,$S12,L_Status,"Vastgesteld")+1))</f>
        <v>1</v>
      </c>
      <c r="H12" s="108">
        <f>IF($AG12="","",P_Peildatum)</f>
        <v>46295.0</v>
      </c>
      <c r="I12" s="92">
        <f>IF($AG12="","",P_RJ+INDEX($AK$8:$AK$21,INDEX($AC$8:$AC$1407,$AG12)+1))</f>
        <v>2027</v>
      </c>
      <c r="J12" s="92" t="str">
        <f>IF($AG12="","",INDEX(V_WBS,INDEX($AB$8:$AB$1407,$AG12)))</f>
        <v>G.900001.8.9090</v>
      </c>
      <c r="K12" s="92" t="str">
        <f>IF($AG12="","",INDEX(V_Projdef,INDEX($AB$8:$AB$1407,$AG12)))</f>
        <v>G.900001</v>
      </c>
      <c r="L12" s="92" t="str">
        <f>IF($AG12="","",INDEX(V_Naam,INDEX($AB$8:$AB$1407,$AG12)))</f>
        <v>Lindehaven, Parkzoom fase 1</v>
      </c>
      <c r="M12" s="92" t="str">
        <f>IF($AG12="","",INDEX(V_Type,INDEX($AB$8:$AB$1407,$AG12)))</f>
        <v>Opstal</v>
      </c>
      <c r="N12" s="92" t="str">
        <f>IF($AG12="","",INDEX(V_IFRS,INDEX($AB$8:$AB$1407,$AG12)))</f>
        <v>J</v>
      </c>
      <c r="O12" s="92" t="str">
        <f>IF($AG12="","",INDEX($AL$8:$AL$21,INDEX($AC$8:$AC$1407,$AG12)+1))</f>
        <v>Omzet FY</v>
      </c>
      <c r="P12" s="109">
        <f>IF($AG12="","",INDEX($AD$8:$AD$1407,$AG12))</f>
        <v>4496960</v>
      </c>
      <c r="Q12" s="92" t="str">
        <f>IF($AG12="","",INDEX($AM$8:$AM$21,INDEX($AC$8:$AC$1407,$AG12)+1))</f>
        <v>EUR</v>
      </c>
      <c r="R12" s="92" t="str">
        <f>IF($AG12="","",IF($G12&gt;0,P_ToelCorrectie&amp;"",""))</f>
        <v/>
      </c>
      <c r="S12" s="15" t="str">
        <f>IF(J12="","",J12&amp;"|"&amp;E12&amp;"|"&amp;F12&amp;"|"&amp;I12&amp;"|"&amp;O12)</f>
        <v>G.900001.8.9090|2026|Q3|2027|Omzet FY</v>
      </c>
      <c r="T12" s="111">
        <f>IF(S12="","",IF(COUNTIFS(L_Sleutel,S12,L_Actief,1)=0,"",SUMIFS(L_Waarde,L_Sleutel,S12,L_Actief,1)))</f>
        <v>4496960</v>
      </c>
      <c r="U12" s="111">
        <f>IF(OR(S12="",T12=""),0,P12-T12)</f>
        <v>0</v>
      </c>
      <c r="AB12" s="112" t="n">
        <v>1</v>
      </c>
      <c r="AC12" s="112" t="n">
        <v>4</v>
      </c>
      <c r="AD12" s="112">
        <f>VERW_Project!R6</f>
        <v>4496960</v>
      </c>
      <c r="AE12" s="112">
        <f>IF(AND(VERW_Project!$A6&lt;&gt;"",ISNUMBER(AD12)),1,0)</f>
        <v>1</v>
      </c>
      <c r="AF12" s="112">
        <f>IF(AE12=1,SUM($AE$8:AE12),"")</f>
        <v>5</v>
      </c>
      <c r="AG12">
        <f>IFERROR(MATCH(5,$AF$8:$AF$1407,0),"")</f>
        <v>5</v>
      </c>
      <c r="AJ12" s="34" t="n">
        <v>4</v>
      </c>
      <c r="AK12" s="34" t="n">
        <v>1</v>
      </c>
      <c r="AL12" s="34" t="inlineStr">
        <is>
          <t>Omzet FY</t>
        </is>
      </c>
      <c r="AM12" s="34" t="inlineStr">
        <is>
          <t>EUR</t>
        </is>
      </c>
      <c r="AN12" s="34" t="inlineStr">
        <is>
          <t>Z</t>
        </is>
      </c>
    </row>
    <row r="13">
      <c r="A13" s="92" t="str">
        <f>IF($AG13="","",P_ImportID)</f>
        <v>IMP-2026-Q3-01</v>
      </c>
      <c r="B13" s="92" t="str">
        <f>IF($AG13="","",IF(INDEX($AN$8:$AN$21,INDEX($AC$8:$AC$1407,$AG13)+1)="Z",P_BronZ,P_BronE))</f>
        <v>ZPMW03_FICTIEF_20_projecten.xlsx</v>
      </c>
      <c r="C13" s="108">
        <f>IF($AG13="","",P_Importdatum)</f>
        <v>46324.0</v>
      </c>
      <c r="D13" s="92" t="str">
        <f>IF($AG13="","",P_StatusVastleg)</f>
        <v>Vastgesteld</v>
      </c>
      <c r="E13" s="92">
        <f>IF($AG13="","",P_UploadVJ)</f>
        <v>2026</v>
      </c>
      <c r="F13" s="92" t="str">
        <f>IF($AG13="","",P_UploadVersie)</f>
        <v>Q3</v>
      </c>
      <c r="G13" s="92">
        <f>IF($AG13="","",IF(COUNTIFS(L_Sleutel,$S13,L_Status,"Vastgesteld")=0,0,_xlfn.MAXIFS(L_Revisie,L_Sleutel,$S13,L_Status,"Vastgesteld")+1))</f>
        <v>1</v>
      </c>
      <c r="H13" s="108">
        <f>IF($AG13="","",P_Peildatum)</f>
        <v>46295.0</v>
      </c>
      <c r="I13" s="92">
        <f>IF($AG13="","",P_RJ+INDEX($AK$8:$AK$21,INDEX($AC$8:$AC$1407,$AG13)+1))</f>
        <v>2027</v>
      </c>
      <c r="J13" s="92" t="str">
        <f>IF($AG13="","",INDEX(V_WBS,INDEX($AB$8:$AB$1407,$AG13)))</f>
        <v>G.900001.8.9090</v>
      </c>
      <c r="K13" s="92" t="str">
        <f>IF($AG13="","",INDEX(V_Projdef,INDEX($AB$8:$AB$1407,$AG13)))</f>
        <v>G.900001</v>
      </c>
      <c r="L13" s="92" t="str">
        <f>IF($AG13="","",INDEX(V_Naam,INDEX($AB$8:$AB$1407,$AG13)))</f>
        <v>Lindehaven, Parkzoom fase 1</v>
      </c>
      <c r="M13" s="92" t="str">
        <f>IF($AG13="","",INDEX(V_Type,INDEX($AB$8:$AB$1407,$AG13)))</f>
        <v>Opstal</v>
      </c>
      <c r="N13" s="92" t="str">
        <f>IF($AG13="","",INDEX(V_IFRS,INDEX($AB$8:$AB$1407,$AG13)))</f>
        <v>J</v>
      </c>
      <c r="O13" s="92" t="str">
        <f>IF($AG13="","",INDEX($AL$8:$AL$21,INDEX($AC$8:$AC$1407,$AG13)+1))</f>
        <v>BOR FY</v>
      </c>
      <c r="P13" s="109">
        <f>IF($AG13="","",INDEX($AD$8:$AD$1407,$AG13))</f>
        <v>404726.4</v>
      </c>
      <c r="Q13" s="92" t="str">
        <f>IF($AG13="","",INDEX($AM$8:$AM$21,INDEX($AC$8:$AC$1407,$AG13)+1))</f>
        <v>EUR</v>
      </c>
      <c r="R13" s="92" t="str">
        <f>IF($AG13="","",IF($G13&gt;0,P_ToelCorrectie&amp;"",""))</f>
        <v/>
      </c>
      <c r="S13" s="15" t="str">
        <f>IF(J13="","",J13&amp;"|"&amp;E13&amp;"|"&amp;F13&amp;"|"&amp;I13&amp;"|"&amp;O13)</f>
        <v>G.900001.8.9090|2026|Q3|2027|BOR FY</v>
      </c>
      <c r="T13" s="111">
        <f>IF(S13="","",IF(COUNTIFS(L_Sleutel,S13,L_Actief,1)=0,"",SUMIFS(L_Waarde,L_Sleutel,S13,L_Actief,1)))</f>
        <v>404726.4</v>
      </c>
      <c r="U13" s="111">
        <f>IF(OR(S13="",T13=""),0,P13-T13)</f>
        <v>0</v>
      </c>
      <c r="AB13" s="112" t="n">
        <v>1</v>
      </c>
      <c r="AC13" s="112" t="n">
        <v>5</v>
      </c>
      <c r="AD13" s="112">
        <f>VERW_Project!S6</f>
        <v>404726.4</v>
      </c>
      <c r="AE13" s="112">
        <f>IF(AND(VERW_Project!$A6&lt;&gt;"",ISNUMBER(AD13)),1,0)</f>
        <v>1</v>
      </c>
      <c r="AF13" s="112">
        <f>IF(AE13=1,SUM($AE$8:AE13),"")</f>
        <v>6</v>
      </c>
      <c r="AG13">
        <f>IFERROR(MATCH(6,$AF$8:$AF$1407,0),"")</f>
        <v>6</v>
      </c>
      <c r="AJ13" s="34" t="n">
        <v>5</v>
      </c>
      <c r="AK13" s="34" t="n">
        <v>1</v>
      </c>
      <c r="AL13" s="34" t="inlineStr">
        <is>
          <t>BOR FY</t>
        </is>
      </c>
      <c r="AM13" s="34" t="inlineStr">
        <is>
          <t>EUR</t>
        </is>
      </c>
      <c r="AN13" s="34" t="inlineStr">
        <is>
          <t>Z</t>
        </is>
      </c>
    </row>
    <row r="14">
      <c r="A14" s="92" t="str">
        <f>IF($AG14="","",P_ImportID)</f>
        <v>IMP-2026-Q3-01</v>
      </c>
      <c r="B14" s="92" t="str">
        <f>IF($AG14="","",IF(INDEX($AN$8:$AN$21,INDEX($AC$8:$AC$1407,$AG14)+1)="Z",P_BronZ,P_BronE))</f>
        <v>Woningetalage_FICTIEF_20_projecten.xlsx</v>
      </c>
      <c r="C14" s="108">
        <f>IF($AG14="","",P_Importdatum)</f>
        <v>46324.0</v>
      </c>
      <c r="D14" s="92" t="str">
        <f>IF($AG14="","",P_StatusVastleg)</f>
        <v>Vastgesteld</v>
      </c>
      <c r="E14" s="92">
        <f>IF($AG14="","",P_UploadVJ)</f>
        <v>2026</v>
      </c>
      <c r="F14" s="92" t="str">
        <f>IF($AG14="","",P_UploadVersie)</f>
        <v>Q3</v>
      </c>
      <c r="G14" s="92">
        <f>IF($AG14="","",IF(COUNTIFS(L_Sleutel,$S14,L_Status,"Vastgesteld")=0,0,_xlfn.MAXIFS(L_Revisie,L_Sleutel,$S14,L_Status,"Vastgesteld")+1))</f>
        <v>1</v>
      </c>
      <c r="H14" s="108">
        <f>IF($AG14="","",P_Peildatum)</f>
        <v>46295.0</v>
      </c>
      <c r="I14" s="92">
        <f>IF($AG14="","",P_RJ+INDEX($AK$8:$AK$21,INDEX($AC$8:$AC$1407,$AG14)+1))</f>
        <v>2026</v>
      </c>
      <c r="J14" s="92" t="str">
        <f>IF($AG14="","",INDEX(V_WBS,INDEX($AB$8:$AB$1407,$AG14)))</f>
        <v>G.900001.8.9090</v>
      </c>
      <c r="K14" s="92" t="str">
        <f>IF($AG14="","",INDEX(V_Projdef,INDEX($AB$8:$AB$1407,$AG14)))</f>
        <v>G.900001</v>
      </c>
      <c r="L14" s="92" t="str">
        <f>IF($AG14="","",INDEX(V_Naam,INDEX($AB$8:$AB$1407,$AG14)))</f>
        <v>Lindehaven, Parkzoom fase 1</v>
      </c>
      <c r="M14" s="92" t="str">
        <f>IF($AG14="","",INDEX(V_Type,INDEX($AB$8:$AB$1407,$AG14)))</f>
        <v>Opstal</v>
      </c>
      <c r="N14" s="92" t="str">
        <f>IF($AG14="","",INDEX(V_IFRS,INDEX($AB$8:$AB$1407,$AG14)))</f>
        <v>J</v>
      </c>
      <c r="O14" s="92" t="str">
        <f>IF($AG14="","",INDEX($AL$8:$AL$21,INDEX($AC$8:$AC$1407,$AG14)+1))</f>
        <v>Woningverkopen FY</v>
      </c>
      <c r="P14" s="109">
        <f>IF($AG14="","",INDEX($AD$8:$AD$1407,$AG14))</f>
        <v>8</v>
      </c>
      <c r="Q14" s="92" t="str">
        <f>IF($AG14="","",INDEX($AM$8:$AM$21,INDEX($AC$8:$AC$1407,$AG14)+1))</f>
        <v>aantal</v>
      </c>
      <c r="R14" s="92" t="str">
        <f>IF($AG14="","",IF($G14&gt;0,P_ToelCorrectie&amp;"",""))</f>
        <v/>
      </c>
      <c r="S14" s="15" t="str">
        <f>IF(J14="","",J14&amp;"|"&amp;E14&amp;"|"&amp;F14&amp;"|"&amp;I14&amp;"|"&amp;O14)</f>
        <v>G.900001.8.9090|2026|Q3|2026|Woningverkopen FY</v>
      </c>
      <c r="T14" s="111">
        <f>IF(S14="","",IF(COUNTIFS(L_Sleutel,S14,L_Actief,1)=0,"",SUMIFS(L_Waarde,L_Sleutel,S14,L_Actief,1)))</f>
        <v>8</v>
      </c>
      <c r="U14" s="111">
        <f>IF(OR(S14="",T14=""),0,P14-T14)</f>
        <v>0</v>
      </c>
      <c r="AB14" s="112" t="n">
        <v>1</v>
      </c>
      <c r="AC14" s="112" t="n">
        <v>6</v>
      </c>
      <c r="AD14" s="112">
        <f>VERW_Project!BW6</f>
        <v>8</v>
      </c>
      <c r="AE14" s="112">
        <f>IF(AND(VERW_Project!$A6&lt;&gt;"",ISNUMBER(AD14)),1,0)</f>
        <v>1</v>
      </c>
      <c r="AF14" s="112">
        <f>IF(AE14=1,SUM($AE$8:AE14),"")</f>
        <v>7</v>
      </c>
      <c r="AG14">
        <f>IFERROR(MATCH(7,$AF$8:$AF$1407,0),"")</f>
        <v>7</v>
      </c>
      <c r="AJ14" s="34" t="n">
        <v>6</v>
      </c>
      <c r="AK14" s="34" t="n">
        <v>0</v>
      </c>
      <c r="AL14" s="34" t="inlineStr">
        <is>
          <t>Woningverkopen FY</t>
        </is>
      </c>
      <c r="AM14" s="34" t="inlineStr">
        <is>
          <t>aantal</t>
        </is>
      </c>
      <c r="AN14" s="34" t="inlineStr">
        <is>
          <t>E</t>
        </is>
      </c>
    </row>
    <row r="15">
      <c r="A15" s="92" t="str">
        <f>IF($AG15="","",P_ImportID)</f>
        <v>IMP-2026-Q3-01</v>
      </c>
      <c r="B15" s="92" t="str">
        <f>IF($AG15="","",IF(INDEX($AN$8:$AN$21,INDEX($AC$8:$AC$1407,$AG15)+1)="Z",P_BronZ,P_BronE))</f>
        <v>Woningetalage_FICTIEF_20_projecten.xlsx</v>
      </c>
      <c r="C15" s="108">
        <f>IF($AG15="","",P_Importdatum)</f>
        <v>46324.0</v>
      </c>
      <c r="D15" s="92" t="str">
        <f>IF($AG15="","",P_StatusVastleg)</f>
        <v>Vastgesteld</v>
      </c>
      <c r="E15" s="92">
        <f>IF($AG15="","",P_UploadVJ)</f>
        <v>2026</v>
      </c>
      <c r="F15" s="92" t="str">
        <f>IF($AG15="","",P_UploadVersie)</f>
        <v>Q3</v>
      </c>
      <c r="G15" s="92">
        <f>IF($AG15="","",IF(COUNTIFS(L_Sleutel,$S15,L_Status,"Vastgesteld")=0,0,_xlfn.MAXIFS(L_Revisie,L_Sleutel,$S15,L_Status,"Vastgesteld")+1))</f>
        <v>1</v>
      </c>
      <c r="H15" s="108">
        <f>IF($AG15="","",P_Peildatum)</f>
        <v>46295.0</v>
      </c>
      <c r="I15" s="92">
        <f>IF($AG15="","",P_RJ+INDEX($AK$8:$AK$21,INDEX($AC$8:$AC$1407,$AG15)+1))</f>
        <v>2026</v>
      </c>
      <c r="J15" s="92" t="str">
        <f>IF($AG15="","",INDEX(V_WBS,INDEX($AB$8:$AB$1407,$AG15)))</f>
        <v>G.900001.8.9090</v>
      </c>
      <c r="K15" s="92" t="str">
        <f>IF($AG15="","",INDEX(V_Projdef,INDEX($AB$8:$AB$1407,$AG15)))</f>
        <v>G.900001</v>
      </c>
      <c r="L15" s="92" t="str">
        <f>IF($AG15="","",INDEX(V_Naam,INDEX($AB$8:$AB$1407,$AG15)))</f>
        <v>Lindehaven, Parkzoom fase 1</v>
      </c>
      <c r="M15" s="92" t="str">
        <f>IF($AG15="","",INDEX(V_Type,INDEX($AB$8:$AB$1407,$AG15)))</f>
        <v>Opstal</v>
      </c>
      <c r="N15" s="92" t="str">
        <f>IF($AG15="","",INDEX(V_IFRS,INDEX($AB$8:$AB$1407,$AG15)))</f>
        <v>J</v>
      </c>
      <c r="O15" s="92" t="str">
        <f>IF($AG15="","",INDEX($AL$8:$AL$21,INDEX($AC$8:$AC$1407,$AG15)+1))</f>
        <v>Woningen verkocht t/m vorig jaar</v>
      </c>
      <c r="P15" s="109">
        <f>IF($AG15="","",INDEX($AD$8:$AD$1407,$AG15))</f>
        <v>6</v>
      </c>
      <c r="Q15" s="92" t="str">
        <f>IF($AG15="","",INDEX($AM$8:$AM$21,INDEX($AC$8:$AC$1407,$AG15)+1))</f>
        <v>aantal</v>
      </c>
      <c r="R15" s="92" t="str">
        <f>IF($AG15="","",IF($G15&gt;0,P_ToelCorrectie&amp;"",""))</f>
        <v/>
      </c>
      <c r="S15" s="15" t="str">
        <f>IF(J15="","",J15&amp;"|"&amp;E15&amp;"|"&amp;F15&amp;"|"&amp;I15&amp;"|"&amp;O15)</f>
        <v>G.900001.8.9090|2026|Q3|2026|Woningen verkocht t/m vorig jaar</v>
      </c>
      <c r="T15" s="111">
        <f>IF(S15="","",IF(COUNTIFS(L_Sleutel,S15,L_Actief,1)=0,"",SUMIFS(L_Waarde,L_Sleutel,S15,L_Actief,1)))</f>
        <v>6</v>
      </c>
      <c r="U15" s="111">
        <f>IF(OR(S15="",T15=""),0,P15-T15)</f>
        <v>0</v>
      </c>
      <c r="AB15" s="112" t="n">
        <v>1</v>
      </c>
      <c r="AC15" s="112" t="n">
        <v>7</v>
      </c>
      <c r="AD15" s="112">
        <f>VERW_Project!AW6</f>
        <v>6</v>
      </c>
      <c r="AE15" s="112">
        <f>IF(AND(VERW_Project!$A6&lt;&gt;"",ISNUMBER(AD15)),1,0)</f>
        <v>1</v>
      </c>
      <c r="AF15" s="112">
        <f>IF(AE15=1,SUM($AE$8:AE15),"")</f>
        <v>8</v>
      </c>
      <c r="AG15">
        <f>IFERROR(MATCH(8,$AF$8:$AF$1407,0),"")</f>
        <v>8</v>
      </c>
      <c r="AJ15" s="34" t="n">
        <v>7</v>
      </c>
      <c r="AK15" s="34" t="n">
        <v>0</v>
      </c>
      <c r="AL15" s="34" t="inlineStr">
        <is>
          <t>Woningen verkocht t/m vorig jaar</t>
        </is>
      </c>
      <c r="AM15" s="34" t="inlineStr">
        <is>
          <t>aantal</t>
        </is>
      </c>
      <c r="AN15" s="34" t="inlineStr">
        <is>
          <t>E</t>
        </is>
      </c>
    </row>
    <row r="16">
      <c r="A16" s="92" t="str">
        <f>IF($AG16="","",P_ImportID)</f>
        <v>IMP-2026-Q3-01</v>
      </c>
      <c r="B16" s="92" t="str">
        <f>IF($AG16="","",IF(INDEX($AN$8:$AN$21,INDEX($AC$8:$AC$1407,$AG16)+1)="Z",P_BronZ,P_BronE))</f>
        <v>Woningetalage_FICTIEF_20_projecten.xlsx</v>
      </c>
      <c r="C16" s="108">
        <f>IF($AG16="","",P_Importdatum)</f>
        <v>46324.0</v>
      </c>
      <c r="D16" s="92" t="str">
        <f>IF($AG16="","",P_StatusVastleg)</f>
        <v>Vastgesteld</v>
      </c>
      <c r="E16" s="92">
        <f>IF($AG16="","",P_UploadVJ)</f>
        <v>2026</v>
      </c>
      <c r="F16" s="92" t="str">
        <f>IF($AG16="","",P_UploadVersie)</f>
        <v>Q3</v>
      </c>
      <c r="G16" s="92">
        <f>IF($AG16="","",IF(COUNTIFS(L_Sleutel,$S16,L_Status,"Vastgesteld")=0,0,_xlfn.MAXIFS(L_Revisie,L_Sleutel,$S16,L_Status,"Vastgesteld")+1))</f>
        <v>1</v>
      </c>
      <c r="H16" s="108">
        <f>IF($AG16="","",P_Peildatum)</f>
        <v>46295.0</v>
      </c>
      <c r="I16" s="92">
        <f>IF($AG16="","",P_RJ+INDEX($AK$8:$AK$21,INDEX($AC$8:$AC$1407,$AG16)+1))</f>
        <v>2026</v>
      </c>
      <c r="J16" s="92" t="str">
        <f>IF($AG16="","",INDEX(V_WBS,INDEX($AB$8:$AB$1407,$AG16)))</f>
        <v>G.900001.8.9090</v>
      </c>
      <c r="K16" s="92" t="str">
        <f>IF($AG16="","",INDEX(V_Projdef,INDEX($AB$8:$AB$1407,$AG16)))</f>
        <v>G.900001</v>
      </c>
      <c r="L16" s="92" t="str">
        <f>IF($AG16="","",INDEX(V_Naam,INDEX($AB$8:$AB$1407,$AG16)))</f>
        <v>Lindehaven, Parkzoom fase 1</v>
      </c>
      <c r="M16" s="92" t="str">
        <f>IF($AG16="","",INDEX(V_Type,INDEX($AB$8:$AB$1407,$AG16)))</f>
        <v>Opstal</v>
      </c>
      <c r="N16" s="92" t="str">
        <f>IF($AG16="","",INDEX(V_IFRS,INDEX($AB$8:$AB$1407,$AG16)))</f>
        <v>J</v>
      </c>
      <c r="O16" s="92" t="str">
        <f>IF($AG16="","",INDEX($AL$8:$AL$21,INDEX($AC$8:$AC$1407,$AG16)+1))</f>
        <v>Woningverkopen Q1</v>
      </c>
      <c r="P16" s="109">
        <f>IF($AG16="","",INDEX($AD$8:$AD$1407,$AG16))</f>
        <v>0</v>
      </c>
      <c r="Q16" s="92" t="str">
        <f>IF($AG16="","",INDEX($AM$8:$AM$21,INDEX($AC$8:$AC$1407,$AG16)+1))</f>
        <v>aantal</v>
      </c>
      <c r="R16" s="92" t="str">
        <f>IF($AG16="","",IF($G16&gt;0,P_ToelCorrectie&amp;"",""))</f>
        <v/>
      </c>
      <c r="S16" s="15" t="str">
        <f>IF(J16="","",J16&amp;"|"&amp;E16&amp;"|"&amp;F16&amp;"|"&amp;I16&amp;"|"&amp;O16)</f>
        <v>G.900001.8.9090|2026|Q3|2026|Woningverkopen Q1</v>
      </c>
      <c r="T16" s="111">
        <f>IF(S16="","",IF(COUNTIFS(L_Sleutel,S16,L_Actief,1)=0,"",SUMIFS(L_Waarde,L_Sleutel,S16,L_Actief,1)))</f>
        <v>0</v>
      </c>
      <c r="U16" s="111">
        <f>IF(OR(S16="",T16=""),0,P16-T16)</f>
        <v>0</v>
      </c>
      <c r="AB16" s="112" t="n">
        <v>1</v>
      </c>
      <c r="AC16" s="112" t="n">
        <v>8</v>
      </c>
      <c r="AD16" s="112">
        <f>VERW_Project!BQ6</f>
        <v>0</v>
      </c>
      <c r="AE16" s="112">
        <f>IF(AND(VERW_Project!$A6&lt;&gt;"",ISNUMBER(AD16)),1,0)</f>
        <v>1</v>
      </c>
      <c r="AF16" s="112">
        <f>IF(AE16=1,SUM($AE$8:AE16),"")</f>
        <v>9</v>
      </c>
      <c r="AG16">
        <f>IFERROR(MATCH(9,$AF$8:$AF$1407,0),"")</f>
        <v>9</v>
      </c>
      <c r="AJ16" s="34" t="n">
        <v>8</v>
      </c>
      <c r="AK16" s="34" t="n">
        <v>0</v>
      </c>
      <c r="AL16" s="34" t="inlineStr">
        <is>
          <t>Woningverkopen Q1</t>
        </is>
      </c>
      <c r="AM16" s="34" t="inlineStr">
        <is>
          <t>aantal</t>
        </is>
      </c>
      <c r="AN16" s="34" t="inlineStr">
        <is>
          <t>E</t>
        </is>
      </c>
    </row>
    <row r="17">
      <c r="A17" s="92" t="str">
        <f>IF($AG17="","",P_ImportID)</f>
        <v>IMP-2026-Q3-01</v>
      </c>
      <c r="B17" s="92" t="str">
        <f>IF($AG17="","",IF(INDEX($AN$8:$AN$21,INDEX($AC$8:$AC$1407,$AG17)+1)="Z",P_BronZ,P_BronE))</f>
        <v>Woningetalage_FICTIEF_20_projecten.xlsx</v>
      </c>
      <c r="C17" s="108">
        <f>IF($AG17="","",P_Importdatum)</f>
        <v>46324.0</v>
      </c>
      <c r="D17" s="92" t="str">
        <f>IF($AG17="","",P_StatusVastleg)</f>
        <v>Vastgesteld</v>
      </c>
      <c r="E17" s="92">
        <f>IF($AG17="","",P_UploadVJ)</f>
        <v>2026</v>
      </c>
      <c r="F17" s="92" t="str">
        <f>IF($AG17="","",P_UploadVersie)</f>
        <v>Q3</v>
      </c>
      <c r="G17" s="92">
        <f>IF($AG17="","",IF(COUNTIFS(L_Sleutel,$S17,L_Status,"Vastgesteld")=0,0,_xlfn.MAXIFS(L_Revisie,L_Sleutel,$S17,L_Status,"Vastgesteld")+1))</f>
        <v>1</v>
      </c>
      <c r="H17" s="108">
        <f>IF($AG17="","",P_Peildatum)</f>
        <v>46295.0</v>
      </c>
      <c r="I17" s="92">
        <f>IF($AG17="","",P_RJ+INDEX($AK$8:$AK$21,INDEX($AC$8:$AC$1407,$AG17)+1))</f>
        <v>2026</v>
      </c>
      <c r="J17" s="92" t="str">
        <f>IF($AG17="","",INDEX(V_WBS,INDEX($AB$8:$AB$1407,$AG17)))</f>
        <v>G.900001.8.9090</v>
      </c>
      <c r="K17" s="92" t="str">
        <f>IF($AG17="","",INDEX(V_Projdef,INDEX($AB$8:$AB$1407,$AG17)))</f>
        <v>G.900001</v>
      </c>
      <c r="L17" s="92" t="str">
        <f>IF($AG17="","",INDEX(V_Naam,INDEX($AB$8:$AB$1407,$AG17)))</f>
        <v>Lindehaven, Parkzoom fase 1</v>
      </c>
      <c r="M17" s="92" t="str">
        <f>IF($AG17="","",INDEX(V_Type,INDEX($AB$8:$AB$1407,$AG17)))</f>
        <v>Opstal</v>
      </c>
      <c r="N17" s="92" t="str">
        <f>IF($AG17="","",INDEX(V_IFRS,INDEX($AB$8:$AB$1407,$AG17)))</f>
        <v>J</v>
      </c>
      <c r="O17" s="92" t="str">
        <f>IF($AG17="","",INDEX($AL$8:$AL$21,INDEX($AC$8:$AC$1407,$AG17)+1))</f>
        <v>Woningverkopen Q2</v>
      </c>
      <c r="P17" s="109">
        <f>IF($AG17="","",INDEX($AD$8:$AD$1407,$AG17))</f>
        <v>1</v>
      </c>
      <c r="Q17" s="92" t="str">
        <f>IF($AG17="","",INDEX($AM$8:$AM$21,INDEX($AC$8:$AC$1407,$AG17)+1))</f>
        <v>aantal</v>
      </c>
      <c r="R17" s="92" t="str">
        <f>IF($AG17="","",IF($G17&gt;0,P_ToelCorrectie&amp;"",""))</f>
        <v/>
      </c>
      <c r="S17" s="15" t="str">
        <f>IF(J17="","",J17&amp;"|"&amp;E17&amp;"|"&amp;F17&amp;"|"&amp;I17&amp;"|"&amp;O17)</f>
        <v>G.900001.8.9090|2026|Q3|2026|Woningverkopen Q2</v>
      </c>
      <c r="T17" s="111">
        <f>IF(S17="","",IF(COUNTIFS(L_Sleutel,S17,L_Actief,1)=0,"",SUMIFS(L_Waarde,L_Sleutel,S17,L_Actief,1)))</f>
        <v>1</v>
      </c>
      <c r="U17" s="111">
        <f>IF(OR(S17="",T17=""),0,P17-T17)</f>
        <v>0</v>
      </c>
      <c r="AB17" s="112" t="n">
        <v>1</v>
      </c>
      <c r="AC17" s="112" t="n">
        <v>9</v>
      </c>
      <c r="AD17" s="112">
        <f>VERW_Project!BR6</f>
        <v>1</v>
      </c>
      <c r="AE17" s="112">
        <f>IF(AND(VERW_Project!$A6&lt;&gt;"",ISNUMBER(AD17)),1,0)</f>
        <v>1</v>
      </c>
      <c r="AF17" s="112">
        <f>IF(AE17=1,SUM($AE$8:AE17),"")</f>
        <v>10</v>
      </c>
      <c r="AG17">
        <f>IFERROR(MATCH(10,$AF$8:$AF$1407,0),"")</f>
        <v>10</v>
      </c>
      <c r="AJ17" s="34" t="n">
        <v>9</v>
      </c>
      <c r="AK17" s="34" t="n">
        <v>0</v>
      </c>
      <c r="AL17" s="34" t="inlineStr">
        <is>
          <t>Woningverkopen Q2</t>
        </is>
      </c>
      <c r="AM17" s="34" t="inlineStr">
        <is>
          <t>aantal</t>
        </is>
      </c>
      <c r="AN17" s="34" t="inlineStr">
        <is>
          <t>E</t>
        </is>
      </c>
    </row>
    <row r="18">
      <c r="A18" s="92" t="str">
        <f>IF($AG18="","",P_ImportID)</f>
        <v>IMP-2026-Q3-01</v>
      </c>
      <c r="B18" s="92" t="str">
        <f>IF($AG18="","",IF(INDEX($AN$8:$AN$21,INDEX($AC$8:$AC$1407,$AG18)+1)="Z",P_BronZ,P_BronE))</f>
        <v>Woningetalage_FICTIEF_20_projecten.xlsx</v>
      </c>
      <c r="C18" s="108">
        <f>IF($AG18="","",P_Importdatum)</f>
        <v>46324.0</v>
      </c>
      <c r="D18" s="92" t="str">
        <f>IF($AG18="","",P_StatusVastleg)</f>
        <v>Vastgesteld</v>
      </c>
      <c r="E18" s="92">
        <f>IF($AG18="","",P_UploadVJ)</f>
        <v>2026</v>
      </c>
      <c r="F18" s="92" t="str">
        <f>IF($AG18="","",P_UploadVersie)</f>
        <v>Q3</v>
      </c>
      <c r="G18" s="92">
        <f>IF($AG18="","",IF(COUNTIFS(L_Sleutel,$S18,L_Status,"Vastgesteld")=0,0,_xlfn.MAXIFS(L_Revisie,L_Sleutel,$S18,L_Status,"Vastgesteld")+1))</f>
        <v>1</v>
      </c>
      <c r="H18" s="108">
        <f>IF($AG18="","",P_Peildatum)</f>
        <v>46295.0</v>
      </c>
      <c r="I18" s="92">
        <f>IF($AG18="","",P_RJ+INDEX($AK$8:$AK$21,INDEX($AC$8:$AC$1407,$AG18)+1))</f>
        <v>2026</v>
      </c>
      <c r="J18" s="92" t="str">
        <f>IF($AG18="","",INDEX(V_WBS,INDEX($AB$8:$AB$1407,$AG18)))</f>
        <v>G.900001.8.9090</v>
      </c>
      <c r="K18" s="92" t="str">
        <f>IF($AG18="","",INDEX(V_Projdef,INDEX($AB$8:$AB$1407,$AG18)))</f>
        <v>G.900001</v>
      </c>
      <c r="L18" s="92" t="str">
        <f>IF($AG18="","",INDEX(V_Naam,INDEX($AB$8:$AB$1407,$AG18)))</f>
        <v>Lindehaven, Parkzoom fase 1</v>
      </c>
      <c r="M18" s="92" t="str">
        <f>IF($AG18="","",INDEX(V_Type,INDEX($AB$8:$AB$1407,$AG18)))</f>
        <v>Opstal</v>
      </c>
      <c r="N18" s="92" t="str">
        <f>IF($AG18="","",INDEX(V_IFRS,INDEX($AB$8:$AB$1407,$AG18)))</f>
        <v>J</v>
      </c>
      <c r="O18" s="92" t="str">
        <f>IF($AG18="","",INDEX($AL$8:$AL$21,INDEX($AC$8:$AC$1407,$AG18)+1))</f>
        <v>Woningverkopen Q3</v>
      </c>
      <c r="P18" s="109">
        <f>IF($AG18="","",INDEX($AD$8:$AD$1407,$AG18))</f>
        <v>1</v>
      </c>
      <c r="Q18" s="92" t="str">
        <f>IF($AG18="","",INDEX($AM$8:$AM$21,INDEX($AC$8:$AC$1407,$AG18)+1))</f>
        <v>aantal</v>
      </c>
      <c r="R18" s="92" t="str">
        <f>IF($AG18="","",IF($G18&gt;0,P_ToelCorrectie&amp;"",""))</f>
        <v/>
      </c>
      <c r="S18" s="15" t="str">
        <f>IF(J18="","",J18&amp;"|"&amp;E18&amp;"|"&amp;F18&amp;"|"&amp;I18&amp;"|"&amp;O18)</f>
        <v>G.900001.8.9090|2026|Q3|2026|Woningverkopen Q3</v>
      </c>
      <c r="T18" s="111">
        <f>IF(S18="","",IF(COUNTIFS(L_Sleutel,S18,L_Actief,1)=0,"",SUMIFS(L_Waarde,L_Sleutel,S18,L_Actief,1)))</f>
        <v>1</v>
      </c>
      <c r="U18" s="111">
        <f>IF(OR(S18="",T18=""),0,P18-T18)</f>
        <v>0</v>
      </c>
      <c r="AB18" s="112" t="n">
        <v>1</v>
      </c>
      <c r="AC18" s="112" t="n">
        <v>10</v>
      </c>
      <c r="AD18" s="112">
        <f>VERW_Project!BS6</f>
        <v>1</v>
      </c>
      <c r="AE18" s="112">
        <f>IF(AND(VERW_Project!$A6&lt;&gt;"",ISNUMBER(AD18)),1,0)</f>
        <v>1</v>
      </c>
      <c r="AF18" s="112">
        <f>IF(AE18=1,SUM($AE$8:AE18),"")</f>
        <v>11</v>
      </c>
      <c r="AG18">
        <f>IFERROR(MATCH(11,$AF$8:$AF$1407,0),"")</f>
        <v>11</v>
      </c>
      <c r="AJ18" s="34" t="n">
        <v>10</v>
      </c>
      <c r="AK18" s="34" t="n">
        <v>0</v>
      </c>
      <c r="AL18" s="34" t="inlineStr">
        <is>
          <t>Woningverkopen Q3</t>
        </is>
      </c>
      <c r="AM18" s="34" t="inlineStr">
        <is>
          <t>aantal</t>
        </is>
      </c>
      <c r="AN18" s="34" t="inlineStr">
        <is>
          <t>E</t>
        </is>
      </c>
    </row>
    <row r="19">
      <c r="A19" s="92" t="str">
        <f>IF($AG19="","",P_ImportID)</f>
        <v>IMP-2026-Q3-01</v>
      </c>
      <c r="B19" s="92" t="str">
        <f>IF($AG19="","",IF(INDEX($AN$8:$AN$21,INDEX($AC$8:$AC$1407,$AG19)+1)="Z",P_BronZ,P_BronE))</f>
        <v>Woningetalage_FICTIEF_20_projecten.xlsx</v>
      </c>
      <c r="C19" s="108">
        <f>IF($AG19="","",P_Importdatum)</f>
        <v>46324.0</v>
      </c>
      <c r="D19" s="92" t="str">
        <f>IF($AG19="","",P_StatusVastleg)</f>
        <v>Vastgesteld</v>
      </c>
      <c r="E19" s="92">
        <f>IF($AG19="","",P_UploadVJ)</f>
        <v>2026</v>
      </c>
      <c r="F19" s="92" t="str">
        <f>IF($AG19="","",P_UploadVersie)</f>
        <v>Q3</v>
      </c>
      <c r="G19" s="92">
        <f>IF($AG19="","",IF(COUNTIFS(L_Sleutel,$S19,L_Status,"Vastgesteld")=0,0,_xlfn.MAXIFS(L_Revisie,L_Sleutel,$S19,L_Status,"Vastgesteld")+1))</f>
        <v>1</v>
      </c>
      <c r="H19" s="108">
        <f>IF($AG19="","",P_Peildatum)</f>
        <v>46295.0</v>
      </c>
      <c r="I19" s="92">
        <f>IF($AG19="","",P_RJ+INDEX($AK$8:$AK$21,INDEX($AC$8:$AC$1407,$AG19)+1))</f>
        <v>2026</v>
      </c>
      <c r="J19" s="92" t="str">
        <f>IF($AG19="","",INDEX(V_WBS,INDEX($AB$8:$AB$1407,$AG19)))</f>
        <v>G.900001.8.9090</v>
      </c>
      <c r="K19" s="92" t="str">
        <f>IF($AG19="","",INDEX(V_Projdef,INDEX($AB$8:$AB$1407,$AG19)))</f>
        <v>G.900001</v>
      </c>
      <c r="L19" s="92" t="str">
        <f>IF($AG19="","",INDEX(V_Naam,INDEX($AB$8:$AB$1407,$AG19)))</f>
        <v>Lindehaven, Parkzoom fase 1</v>
      </c>
      <c r="M19" s="92" t="str">
        <f>IF($AG19="","",INDEX(V_Type,INDEX($AB$8:$AB$1407,$AG19)))</f>
        <v>Opstal</v>
      </c>
      <c r="N19" s="92" t="str">
        <f>IF($AG19="","",INDEX(V_IFRS,INDEX($AB$8:$AB$1407,$AG19)))</f>
        <v>J</v>
      </c>
      <c r="O19" s="92" t="str">
        <f>IF($AG19="","",INDEX($AL$8:$AL$21,INDEX($AC$8:$AC$1407,$AG19)+1))</f>
        <v>Woningverkopen Q4</v>
      </c>
      <c r="P19" s="109">
        <f>IF($AG19="","",INDEX($AD$8:$AD$1407,$AG19))</f>
        <v>6</v>
      </c>
      <c r="Q19" s="92" t="str">
        <f>IF($AG19="","",INDEX($AM$8:$AM$21,INDEX($AC$8:$AC$1407,$AG19)+1))</f>
        <v>aantal</v>
      </c>
      <c r="R19" s="92" t="str">
        <f>IF($AG19="","",IF($G19&gt;0,P_ToelCorrectie&amp;"",""))</f>
        <v/>
      </c>
      <c r="S19" s="15" t="str">
        <f>IF(J19="","",J19&amp;"|"&amp;E19&amp;"|"&amp;F19&amp;"|"&amp;I19&amp;"|"&amp;O19)</f>
        <v>G.900001.8.9090|2026|Q3|2026|Woningverkopen Q4</v>
      </c>
      <c r="T19" s="111">
        <f>IF(S19="","",IF(COUNTIFS(L_Sleutel,S19,L_Actief,1)=0,"",SUMIFS(L_Waarde,L_Sleutel,S19,L_Actief,1)))</f>
        <v>6</v>
      </c>
      <c r="U19" s="111">
        <f>IF(OR(S19="",T19=""),0,P19-T19)</f>
        <v>0</v>
      </c>
      <c r="AB19" s="112" t="n">
        <v>1</v>
      </c>
      <c r="AC19" s="112" t="n">
        <v>11</v>
      </c>
      <c r="AD19" s="112">
        <f>VERW_Project!BT6</f>
        <v>6</v>
      </c>
      <c r="AE19" s="112">
        <f>IF(AND(VERW_Project!$A6&lt;&gt;"",ISNUMBER(AD19)),1,0)</f>
        <v>1</v>
      </c>
      <c r="AF19" s="112">
        <f>IF(AE19=1,SUM($AE$8:AE19),"")</f>
        <v>12</v>
      </c>
      <c r="AG19">
        <f>IFERROR(MATCH(12,$AF$8:$AF$1407,0),"")</f>
        <v>12</v>
      </c>
      <c r="AJ19" s="34" t="n">
        <v>11</v>
      </c>
      <c r="AK19" s="34" t="n">
        <v>0</v>
      </c>
      <c r="AL19" s="34" t="inlineStr">
        <is>
          <t>Woningverkopen Q4</t>
        </is>
      </c>
      <c r="AM19" s="34" t="inlineStr">
        <is>
          <t>aantal</t>
        </is>
      </c>
      <c r="AN19" s="34" t="inlineStr">
        <is>
          <t>E</t>
        </is>
      </c>
    </row>
    <row r="20">
      <c r="A20" s="92" t="str">
        <f>IF($AG20="","",P_ImportID)</f>
        <v>IMP-2026-Q3-01</v>
      </c>
      <c r="B20" s="92" t="str">
        <f>IF($AG20="","",IF(INDEX($AN$8:$AN$21,INDEX($AC$8:$AC$1407,$AG20)+1)="Z",P_BronZ,P_BronE))</f>
        <v>Woningetalage_FICTIEF_20_projecten.xlsx</v>
      </c>
      <c r="C20" s="108">
        <f>IF($AG20="","",P_Importdatum)</f>
        <v>46324.0</v>
      </c>
      <c r="D20" s="92" t="str">
        <f>IF($AG20="","",P_StatusVastleg)</f>
        <v>Vastgesteld</v>
      </c>
      <c r="E20" s="92">
        <f>IF($AG20="","",P_UploadVJ)</f>
        <v>2026</v>
      </c>
      <c r="F20" s="92" t="str">
        <f>IF($AG20="","",P_UploadVersie)</f>
        <v>Q3</v>
      </c>
      <c r="G20" s="92">
        <f>IF($AG20="","",IF(COUNTIFS(L_Sleutel,$S20,L_Status,"Vastgesteld")=0,0,_xlfn.MAXIFS(L_Revisie,L_Sleutel,$S20,L_Status,"Vastgesteld")+1))</f>
        <v>1</v>
      </c>
      <c r="H20" s="108">
        <f>IF($AG20="","",P_Peildatum)</f>
        <v>46295.0</v>
      </c>
      <c r="I20" s="92">
        <f>IF($AG20="","",P_RJ+INDEX($AK$8:$AK$21,INDEX($AC$8:$AC$1407,$AG20)+1))</f>
        <v>2026</v>
      </c>
      <c r="J20" s="92" t="str">
        <f>IF($AG20="","",INDEX(V_WBS,INDEX($AB$8:$AB$1407,$AG20)))</f>
        <v>G.900001.8.9090</v>
      </c>
      <c r="K20" s="92" t="str">
        <f>IF($AG20="","",INDEX(V_Projdef,INDEX($AB$8:$AB$1407,$AG20)))</f>
        <v>G.900001</v>
      </c>
      <c r="L20" s="92" t="str">
        <f>IF($AG20="","",INDEX(V_Naam,INDEX($AB$8:$AB$1407,$AG20)))</f>
        <v>Lindehaven, Parkzoom fase 1</v>
      </c>
      <c r="M20" s="92" t="str">
        <f>IF($AG20="","",INDEX(V_Type,INDEX($AB$8:$AB$1407,$AG20)))</f>
        <v>Opstal</v>
      </c>
      <c r="N20" s="92" t="str">
        <f>IF($AG20="","",INDEX(V_IFRS,INDEX($AB$8:$AB$1407,$AG20)))</f>
        <v>J</v>
      </c>
      <c r="O20" s="92" t="str">
        <f>IF($AG20="","",INDEX($AL$8:$AL$21,INDEX($AC$8:$AC$1407,$AG20)+1))</f>
        <v>Woningverkopen actual YTD</v>
      </c>
      <c r="P20" s="109">
        <f>IF($AG20="","",INDEX($AD$8:$AD$1407,$AG20))</f>
        <v>2</v>
      </c>
      <c r="Q20" s="92" t="str">
        <f>IF($AG20="","",INDEX($AM$8:$AM$21,INDEX($AC$8:$AC$1407,$AG20)+1))</f>
        <v>aantal</v>
      </c>
      <c r="R20" s="92" t="str">
        <f>IF($AG20="","",IF($G20&gt;0,P_ToelCorrectie&amp;"",""))</f>
        <v/>
      </c>
      <c r="S20" s="15" t="str">
        <f>IF(J20="","",J20&amp;"|"&amp;E20&amp;"|"&amp;F20&amp;"|"&amp;I20&amp;"|"&amp;O20)</f>
        <v>G.900001.8.9090|2026|Q3|2026|Woningverkopen actual YTD</v>
      </c>
      <c r="T20" s="111">
        <f>IF(S20="","",IF(COUNTIFS(L_Sleutel,S20,L_Actief,1)=0,"",SUMIFS(L_Waarde,L_Sleutel,S20,L_Actief,1)))</f>
        <v>2</v>
      </c>
      <c r="U20" s="111">
        <f>IF(OR(S20="",T20=""),0,P20-T20)</f>
        <v>0</v>
      </c>
      <c r="AB20" s="112" t="n">
        <v>1</v>
      </c>
      <c r="AC20" s="112" t="n">
        <v>12</v>
      </c>
      <c r="AD20" s="112">
        <f>VERW_Project!BU6</f>
        <v>2</v>
      </c>
      <c r="AE20" s="112">
        <f>IF(AND(VERW_Project!$A6&lt;&gt;"",ISNUMBER(AD20)),1,0)</f>
        <v>1</v>
      </c>
      <c r="AF20" s="112">
        <f>IF(AE20=1,SUM($AE$8:AE20),"")</f>
        <v>13</v>
      </c>
      <c r="AG20">
        <f>IFERROR(MATCH(13,$AF$8:$AF$1407,0),"")</f>
        <v>13</v>
      </c>
      <c r="AJ20" s="34" t="n">
        <v>12</v>
      </c>
      <c r="AK20" s="34" t="n">
        <v>0</v>
      </c>
      <c r="AL20" s="34" t="inlineStr">
        <is>
          <t>Woningverkopen actual YTD</t>
        </is>
      </c>
      <c r="AM20" s="34" t="inlineStr">
        <is>
          <t>aantal</t>
        </is>
      </c>
      <c r="AN20" s="34" t="inlineStr">
        <is>
          <t>E</t>
        </is>
      </c>
    </row>
    <row r="21">
      <c r="A21" s="92" t="str">
        <f>IF($AG21="","",P_ImportID)</f>
        <v>IMP-2026-Q3-01</v>
      </c>
      <c r="B21" s="92" t="str">
        <f>IF($AG21="","",IF(INDEX($AN$8:$AN$21,INDEX($AC$8:$AC$1407,$AG21)+1)="Z",P_BronZ,P_BronE))</f>
        <v>Woningetalage_FICTIEF_20_projecten.xlsx</v>
      </c>
      <c r="C21" s="108">
        <f>IF($AG21="","",P_Importdatum)</f>
        <v>46324.0</v>
      </c>
      <c r="D21" s="92" t="str">
        <f>IF($AG21="","",P_StatusVastleg)</f>
        <v>Vastgesteld</v>
      </c>
      <c r="E21" s="92">
        <f>IF($AG21="","",P_UploadVJ)</f>
        <v>2026</v>
      </c>
      <c r="F21" s="92" t="str">
        <f>IF($AG21="","",P_UploadVersie)</f>
        <v>Q3</v>
      </c>
      <c r="G21" s="92">
        <f>IF($AG21="","",IF(COUNTIFS(L_Sleutel,$S21,L_Status,"Vastgesteld")=0,0,_xlfn.MAXIFS(L_Revisie,L_Sleutel,$S21,L_Status,"Vastgesteld")+1))</f>
        <v>0</v>
      </c>
      <c r="H21" s="108">
        <f>IF($AG21="","",P_Peildatum)</f>
        <v>46295.0</v>
      </c>
      <c r="I21" s="92">
        <f>IF($AG21="","",P_RJ+INDEX($AK$8:$AK$21,INDEX($AC$8:$AC$1407,$AG21)+1))</f>
        <v>2027</v>
      </c>
      <c r="J21" s="92" t="str">
        <f>IF($AG21="","",INDEX(V_WBS,INDEX($AB$8:$AB$1407,$AG21)))</f>
        <v>G.900001.8.9090</v>
      </c>
      <c r="K21" s="92" t="str">
        <f>IF($AG21="","",INDEX(V_Projdef,INDEX($AB$8:$AB$1407,$AG21)))</f>
        <v>G.900001</v>
      </c>
      <c r="L21" s="92" t="str">
        <f>IF($AG21="","",INDEX(V_Naam,INDEX($AB$8:$AB$1407,$AG21)))</f>
        <v>Lindehaven, Parkzoom fase 1</v>
      </c>
      <c r="M21" s="92" t="str">
        <f>IF($AG21="","",INDEX(V_Type,INDEX($AB$8:$AB$1407,$AG21)))</f>
        <v>Opstal</v>
      </c>
      <c r="N21" s="92" t="str">
        <f>IF($AG21="","",INDEX(V_IFRS,INDEX($AB$8:$AB$1407,$AG21)))</f>
        <v>J</v>
      </c>
      <c r="O21" s="92" t="str">
        <f>IF($AG21="","",INDEX($AL$8:$AL$21,INDEX($AC$8:$AC$1407,$AG21)+1))</f>
        <v>Woningverkopen FY</v>
      </c>
      <c r="P21" s="109">
        <f>IF($AG21="","",INDEX($AD$8:$AD$1407,$AG21))</f>
        <v>12</v>
      </c>
      <c r="Q21" s="92" t="str">
        <f>IF($AG21="","",INDEX($AM$8:$AM$21,INDEX($AC$8:$AC$1407,$AG21)+1))</f>
        <v>aantal</v>
      </c>
      <c r="R21" s="92" t="str">
        <f>IF($AG21="","",IF($G21&gt;0,P_ToelCorrectie&amp;"",""))</f>
        <v/>
      </c>
      <c r="S21" s="15" t="str">
        <f>IF(J21="","",J21&amp;"|"&amp;E21&amp;"|"&amp;F21&amp;"|"&amp;I21&amp;"|"&amp;O21)</f>
        <v>G.900001.8.9090|2026|Q3|2027|Woningverkopen FY</v>
      </c>
      <c r="T21" s="111" t="str">
        <f>IF(S21="","",IF(COUNTIFS(L_Sleutel,S21,L_Actief,1)=0,"",SUMIFS(L_Waarde,L_Sleutel,S21,L_Actief,1)))</f>
        <v/>
      </c>
      <c r="U21" s="111">
        <f>IF(OR(S21="",T21=""),0,P21-T21)</f>
        <v>0</v>
      </c>
      <c r="AB21" s="112" t="n">
        <v>1</v>
      </c>
      <c r="AC21" s="112" t="n">
        <v>13</v>
      </c>
      <c r="AD21" s="112">
        <f>VERW_Project!BX6</f>
        <v>12</v>
      </c>
      <c r="AE21" s="112">
        <f>IF(AND(VERW_Project!$A6&lt;&gt;"",ISNUMBER(AD21)),1,0)</f>
        <v>1</v>
      </c>
      <c r="AF21" s="112">
        <f>IF(AE21=1,SUM($AE$8:AE21),"")</f>
        <v>14</v>
      </c>
      <c r="AG21">
        <f>IFERROR(MATCH(14,$AF$8:$AF$1407,0),"")</f>
        <v>14</v>
      </c>
      <c r="AJ21" s="34" t="n">
        <v>13</v>
      </c>
      <c r="AK21" s="34" t="n">
        <v>1</v>
      </c>
      <c r="AL21" s="34" t="inlineStr">
        <is>
          <t>Woningverkopen FY</t>
        </is>
      </c>
      <c r="AM21" s="34" t="inlineStr">
        <is>
          <t>aantal</t>
        </is>
      </c>
      <c r="AN21" s="34" t="inlineStr">
        <is>
          <t>E</t>
        </is>
      </c>
    </row>
    <row r="22">
      <c r="A22" s="92" t="str">
        <f>IF($AG22="","",P_ImportID)</f>
        <v>IMP-2026-Q3-01</v>
      </c>
      <c r="B22" s="92" t="str">
        <f>IF($AG22="","",IF(INDEX($AN$8:$AN$21,INDEX($AC$8:$AC$1407,$AG22)+1)="Z",P_BronZ,P_BronE))</f>
        <v>ZPMW03_FICTIEF_20_projecten.xlsx</v>
      </c>
      <c r="C22" s="108">
        <f>IF($AG22="","",P_Importdatum)</f>
        <v>46324.0</v>
      </c>
      <c r="D22" s="92" t="str">
        <f>IF($AG22="","",P_StatusVastleg)</f>
        <v>Vastgesteld</v>
      </c>
      <c r="E22" s="92">
        <f>IF($AG22="","",P_UploadVJ)</f>
        <v>2026</v>
      </c>
      <c r="F22" s="92" t="str">
        <f>IF($AG22="","",P_UploadVersie)</f>
        <v>Q3</v>
      </c>
      <c r="G22" s="92">
        <f>IF($AG22="","",IF(COUNTIFS(L_Sleutel,$S22,L_Status,"Vastgesteld")=0,0,_xlfn.MAXIFS(L_Revisie,L_Sleutel,$S22,L_Status,"Vastgesteld")+1))</f>
        <v>1</v>
      </c>
      <c r="H22" s="108">
        <f>IF($AG22="","",P_Peildatum)</f>
        <v>46295.0</v>
      </c>
      <c r="I22" s="92">
        <f>IF($AG22="","",P_RJ+INDEX($AK$8:$AK$21,INDEX($AC$8:$AC$1407,$AG22)+1))</f>
        <v>2026</v>
      </c>
      <c r="J22" s="92" t="str">
        <f>IF($AG22="","",INDEX(V_WBS,INDEX($AB$8:$AB$1407,$AG22)))</f>
        <v>G.900002.8.9090</v>
      </c>
      <c r="K22" s="92" t="str">
        <f>IF($AG22="","",INDEX(V_Projdef,INDEX($AB$8:$AB$1407,$AG22)))</f>
        <v>G.900002</v>
      </c>
      <c r="L22" s="92" t="str">
        <f>IF($AG22="","",INDEX(V_Naam,INDEX($AB$8:$AB$1407,$AG22)))</f>
        <v>Duinwaard, De Watergaarde</v>
      </c>
      <c r="M22" s="92" t="str">
        <f>IF($AG22="","",INDEX(V_Type,INDEX($AB$8:$AB$1407,$AG22)))</f>
        <v>Opstal</v>
      </c>
      <c r="N22" s="92" t="str">
        <f>IF($AG22="","",INDEX(V_IFRS,INDEX($AB$8:$AB$1407,$AG22)))</f>
        <v>J</v>
      </c>
      <c r="O22" s="92" t="str">
        <f>IF($AG22="","",INDEX($AL$8:$AL$21,INDEX($AC$8:$AC$1407,$AG22)+1))</f>
        <v>Omzet FY</v>
      </c>
      <c r="P22" s="109">
        <f>IF($AG22="","",INDEX($AD$8:$AD$1407,$AG22))</f>
        <v>3720000</v>
      </c>
      <c r="Q22" s="92" t="str">
        <f>IF($AG22="","",INDEX($AM$8:$AM$21,INDEX($AC$8:$AC$1407,$AG22)+1))</f>
        <v>EUR</v>
      </c>
      <c r="R22" s="92" t="str">
        <f>IF($AG22="","",IF($G22&gt;0,P_ToelCorrectie&amp;"",""))</f>
        <v/>
      </c>
      <c r="S22" s="15" t="str">
        <f>IF(J22="","",J22&amp;"|"&amp;E22&amp;"|"&amp;F22&amp;"|"&amp;I22&amp;"|"&amp;O22)</f>
        <v>G.900002.8.9090|2026|Q3|2026|Omzet FY</v>
      </c>
      <c r="T22" s="111">
        <f>IF(S22="","",IF(COUNTIFS(L_Sleutel,S22,L_Actief,1)=0,"",SUMIFS(L_Waarde,L_Sleutel,S22,L_Actief,1)))</f>
        <v>3720000</v>
      </c>
      <c r="U22" s="111">
        <f>IF(OR(S22="",T22=""),0,P22-T22)</f>
        <v>0</v>
      </c>
      <c r="AB22" s="112" t="n">
        <v>2</v>
      </c>
      <c r="AC22" s="112" t="n">
        <v>0</v>
      </c>
      <c r="AD22" s="112">
        <f>VERW_Project!P7</f>
        <v>3720000</v>
      </c>
      <c r="AE22" s="112">
        <f>IF(AND(VERW_Project!$A7&lt;&gt;"",ISNUMBER(AD22)),1,0)</f>
        <v>1</v>
      </c>
      <c r="AF22" s="112">
        <f>IF(AE22=1,SUM($AE$8:AE22),"")</f>
        <v>15</v>
      </c>
      <c r="AG22">
        <f>IFERROR(MATCH(15,$AF$8:$AF$1407,0),"")</f>
        <v>15</v>
      </c>
    </row>
    <row r="23">
      <c r="A23" s="92" t="str">
        <f>IF($AG23="","",P_ImportID)</f>
        <v>IMP-2026-Q3-01</v>
      </c>
      <c r="B23" s="92" t="str">
        <f>IF($AG23="","",IF(INDEX($AN$8:$AN$21,INDEX($AC$8:$AC$1407,$AG23)+1)="Z",P_BronZ,P_BronE))</f>
        <v>ZPMW03_FICTIEF_20_projecten.xlsx</v>
      </c>
      <c r="C23" s="108">
        <f>IF($AG23="","",P_Importdatum)</f>
        <v>46324.0</v>
      </c>
      <c r="D23" s="92" t="str">
        <f>IF($AG23="","",P_StatusVastleg)</f>
        <v>Vastgesteld</v>
      </c>
      <c r="E23" s="92">
        <f>IF($AG23="","",P_UploadVJ)</f>
        <v>2026</v>
      </c>
      <c r="F23" s="92" t="str">
        <f>IF($AG23="","",P_UploadVersie)</f>
        <v>Q3</v>
      </c>
      <c r="G23" s="92">
        <f>IF($AG23="","",IF(COUNTIFS(L_Sleutel,$S23,L_Status,"Vastgesteld")=0,0,_xlfn.MAXIFS(L_Revisie,L_Sleutel,$S23,L_Status,"Vastgesteld")+1))</f>
        <v>1</v>
      </c>
      <c r="H23" s="108">
        <f>IF($AG23="","",P_Peildatum)</f>
        <v>46295.0</v>
      </c>
      <c r="I23" s="92">
        <f>IF($AG23="","",P_RJ+INDEX($AK$8:$AK$21,INDEX($AC$8:$AC$1407,$AG23)+1))</f>
        <v>2026</v>
      </c>
      <c r="J23" s="92" t="str">
        <f>IF($AG23="","",INDEX(V_WBS,INDEX($AB$8:$AB$1407,$AG23)))</f>
        <v>G.900002.8.9090</v>
      </c>
      <c r="K23" s="92" t="str">
        <f>IF($AG23="","",INDEX(V_Projdef,INDEX($AB$8:$AB$1407,$AG23)))</f>
        <v>G.900002</v>
      </c>
      <c r="L23" s="92" t="str">
        <f>IF($AG23="","",INDEX(V_Naam,INDEX($AB$8:$AB$1407,$AG23)))</f>
        <v>Duinwaard, De Watergaarde</v>
      </c>
      <c r="M23" s="92" t="str">
        <f>IF($AG23="","",INDEX(V_Type,INDEX($AB$8:$AB$1407,$AG23)))</f>
        <v>Opstal</v>
      </c>
      <c r="N23" s="92" t="str">
        <f>IF($AG23="","",INDEX(V_IFRS,INDEX($AB$8:$AB$1407,$AG23)))</f>
        <v>J</v>
      </c>
      <c r="O23" s="92" t="str">
        <f>IF($AG23="","",INDEX($AL$8:$AL$21,INDEX($AC$8:$AC$1407,$AG23)+1))</f>
        <v>BOR FY</v>
      </c>
      <c r="P23" s="109">
        <f>IF($AG23="","",INDEX($AD$8:$AD$1407,$AG23))</f>
        <v>446400</v>
      </c>
      <c r="Q23" s="92" t="str">
        <f>IF($AG23="","",INDEX($AM$8:$AM$21,INDEX($AC$8:$AC$1407,$AG23)+1))</f>
        <v>EUR</v>
      </c>
      <c r="R23" s="92" t="str">
        <f>IF($AG23="","",IF($G23&gt;0,P_ToelCorrectie&amp;"",""))</f>
        <v/>
      </c>
      <c r="S23" s="15" t="str">
        <f>IF(J23="","",J23&amp;"|"&amp;E23&amp;"|"&amp;F23&amp;"|"&amp;I23&amp;"|"&amp;O23)</f>
        <v>G.900002.8.9090|2026|Q3|2026|BOR FY</v>
      </c>
      <c r="T23" s="111">
        <f>IF(S23="","",IF(COUNTIFS(L_Sleutel,S23,L_Actief,1)=0,"",SUMIFS(L_Waarde,L_Sleutel,S23,L_Actief,1)))</f>
        <v>446400</v>
      </c>
      <c r="U23" s="111">
        <f>IF(OR(S23="",T23=""),0,P23-T23)</f>
        <v>0</v>
      </c>
      <c r="AB23" s="112" t="n">
        <v>2</v>
      </c>
      <c r="AC23" s="112" t="n">
        <v>1</v>
      </c>
      <c r="AD23" s="112">
        <f>VERW_Project!Q7</f>
        <v>446400</v>
      </c>
      <c r="AE23" s="112">
        <f>IF(AND(VERW_Project!$A7&lt;&gt;"",ISNUMBER(AD23)),1,0)</f>
        <v>1</v>
      </c>
      <c r="AF23" s="112">
        <f>IF(AE23=1,SUM($AE$8:AE23),"")</f>
        <v>16</v>
      </c>
      <c r="AG23">
        <f>IFERROR(MATCH(16,$AF$8:$AF$1407,0),"")</f>
        <v>16</v>
      </c>
    </row>
    <row r="24">
      <c r="A24" s="92" t="str">
        <f>IF($AG24="","",P_ImportID)</f>
        <v>IMP-2026-Q3-01</v>
      </c>
      <c r="B24" s="92" t="str">
        <f>IF($AG24="","",IF(INDEX($AN$8:$AN$21,INDEX($AC$8:$AC$1407,$AG24)+1)="Z",P_BronZ,P_BronE))</f>
        <v>ZPMW03_FICTIEF_20_projecten.xlsx</v>
      </c>
      <c r="C24" s="108">
        <f>IF($AG24="","",P_Importdatum)</f>
        <v>46324.0</v>
      </c>
      <c r="D24" s="92" t="str">
        <f>IF($AG24="","",P_StatusVastleg)</f>
        <v>Vastgesteld</v>
      </c>
      <c r="E24" s="92">
        <f>IF($AG24="","",P_UploadVJ)</f>
        <v>2026</v>
      </c>
      <c r="F24" s="92" t="str">
        <f>IF($AG24="","",P_UploadVersie)</f>
        <v>Q3</v>
      </c>
      <c r="G24" s="92">
        <f>IF($AG24="","",IF(COUNTIFS(L_Sleutel,$S24,L_Status,"Vastgesteld")=0,0,_xlfn.MAXIFS(L_Revisie,L_Sleutel,$S24,L_Status,"Vastgesteld")+1))</f>
        <v>1</v>
      </c>
      <c r="H24" s="108">
        <f>IF($AG24="","",P_Peildatum)</f>
        <v>46295.0</v>
      </c>
      <c r="I24" s="92">
        <f>IF($AG24="","",P_RJ+INDEX($AK$8:$AK$21,INDEX($AC$8:$AC$1407,$AG24)+1))</f>
        <v>2026</v>
      </c>
      <c r="J24" s="92" t="str">
        <f>IF($AG24="","",INDEX(V_WBS,INDEX($AB$8:$AB$1407,$AG24)))</f>
        <v>G.900002.8.9090</v>
      </c>
      <c r="K24" s="92" t="str">
        <f>IF($AG24="","",INDEX(V_Projdef,INDEX($AB$8:$AB$1407,$AG24)))</f>
        <v>G.900002</v>
      </c>
      <c r="L24" s="92" t="str">
        <f>IF($AG24="","",INDEX(V_Naam,INDEX($AB$8:$AB$1407,$AG24)))</f>
        <v>Duinwaard, De Watergaarde</v>
      </c>
      <c r="M24" s="92" t="str">
        <f>IF($AG24="","",INDEX(V_Type,INDEX($AB$8:$AB$1407,$AG24)))</f>
        <v>Opstal</v>
      </c>
      <c r="N24" s="92" t="str">
        <f>IF($AG24="","",INDEX(V_IFRS,INDEX($AB$8:$AB$1407,$AG24)))</f>
        <v>J</v>
      </c>
      <c r="O24" s="92" t="str">
        <f>IF($AG24="","",INDEX($AL$8:$AL$21,INDEX($AC$8:$AC$1407,$AG24)+1))</f>
        <v>Omzet actual YTD</v>
      </c>
      <c r="P24" s="109">
        <f>IF($AG24="","",INDEX($AD$8:$AD$1407,$AG24))</f>
        <v>2418000</v>
      </c>
      <c r="Q24" s="92" t="str">
        <f>IF($AG24="","",INDEX($AM$8:$AM$21,INDEX($AC$8:$AC$1407,$AG24)+1))</f>
        <v>EUR</v>
      </c>
      <c r="R24" s="92" t="str">
        <f>IF($AG24="","",IF($G24&gt;0,P_ToelCorrectie&amp;"",""))</f>
        <v/>
      </c>
      <c r="S24" s="15" t="str">
        <f>IF(J24="","",J24&amp;"|"&amp;E24&amp;"|"&amp;F24&amp;"|"&amp;I24&amp;"|"&amp;O24)</f>
        <v>G.900002.8.9090|2026|Q3|2026|Omzet actual YTD</v>
      </c>
      <c r="T24" s="111">
        <f>IF(S24="","",IF(COUNTIFS(L_Sleutel,S24,L_Actief,1)=0,"",SUMIFS(L_Waarde,L_Sleutel,S24,L_Actief,1)))</f>
        <v>2418000</v>
      </c>
      <c r="U24" s="111">
        <f>IF(OR(S24="",T24=""),0,P24-T24)</f>
        <v>0</v>
      </c>
      <c r="AB24" s="112" t="n">
        <v>2</v>
      </c>
      <c r="AC24" s="112" t="n">
        <v>2</v>
      </c>
      <c r="AD24" s="112">
        <f>VERW_Project!L7</f>
        <v>2418000</v>
      </c>
      <c r="AE24" s="112">
        <f>IF(AND(VERW_Project!$A7&lt;&gt;"",ISNUMBER(AD24)),1,0)</f>
        <v>1</v>
      </c>
      <c r="AF24" s="112">
        <f>IF(AE24=1,SUM($AE$8:AE24),"")</f>
        <v>17</v>
      </c>
      <c r="AG24">
        <f>IFERROR(MATCH(17,$AF$8:$AF$1407,0),"")</f>
        <v>17</v>
      </c>
    </row>
    <row r="25">
      <c r="A25" s="92" t="str">
        <f>IF($AG25="","",P_ImportID)</f>
        <v>IMP-2026-Q3-01</v>
      </c>
      <c r="B25" s="92" t="str">
        <f>IF($AG25="","",IF(INDEX($AN$8:$AN$21,INDEX($AC$8:$AC$1407,$AG25)+1)="Z",P_BronZ,P_BronE))</f>
        <v>ZPMW03_FICTIEF_20_projecten.xlsx</v>
      </c>
      <c r="C25" s="108">
        <f>IF($AG25="","",P_Importdatum)</f>
        <v>46324.0</v>
      </c>
      <c r="D25" s="92" t="str">
        <f>IF($AG25="","",P_StatusVastleg)</f>
        <v>Vastgesteld</v>
      </c>
      <c r="E25" s="92">
        <f>IF($AG25="","",P_UploadVJ)</f>
        <v>2026</v>
      </c>
      <c r="F25" s="92" t="str">
        <f>IF($AG25="","",P_UploadVersie)</f>
        <v>Q3</v>
      </c>
      <c r="G25" s="92">
        <f>IF($AG25="","",IF(COUNTIFS(L_Sleutel,$S25,L_Status,"Vastgesteld")=0,0,_xlfn.MAXIFS(L_Revisie,L_Sleutel,$S25,L_Status,"Vastgesteld")+1))</f>
        <v>1</v>
      </c>
      <c r="H25" s="108">
        <f>IF($AG25="","",P_Peildatum)</f>
        <v>46295.0</v>
      </c>
      <c r="I25" s="92">
        <f>IF($AG25="","",P_RJ+INDEX($AK$8:$AK$21,INDEX($AC$8:$AC$1407,$AG25)+1))</f>
        <v>2026</v>
      </c>
      <c r="J25" s="92" t="str">
        <f>IF($AG25="","",INDEX(V_WBS,INDEX($AB$8:$AB$1407,$AG25)))</f>
        <v>G.900002.8.9090</v>
      </c>
      <c r="K25" s="92" t="str">
        <f>IF($AG25="","",INDEX(V_Projdef,INDEX($AB$8:$AB$1407,$AG25)))</f>
        <v>G.900002</v>
      </c>
      <c r="L25" s="92" t="str">
        <f>IF($AG25="","",INDEX(V_Naam,INDEX($AB$8:$AB$1407,$AG25)))</f>
        <v>Duinwaard, De Watergaarde</v>
      </c>
      <c r="M25" s="92" t="str">
        <f>IF($AG25="","",INDEX(V_Type,INDEX($AB$8:$AB$1407,$AG25)))</f>
        <v>Opstal</v>
      </c>
      <c r="N25" s="92" t="str">
        <f>IF($AG25="","",INDEX(V_IFRS,INDEX($AB$8:$AB$1407,$AG25)))</f>
        <v>J</v>
      </c>
      <c r="O25" s="92" t="str">
        <f>IF($AG25="","",INDEX($AL$8:$AL$21,INDEX($AC$8:$AC$1407,$AG25)+1))</f>
        <v>BOR actual YTD</v>
      </c>
      <c r="P25" s="109">
        <f>IF($AG25="","",INDEX($AD$8:$AD$1407,$AG25))</f>
        <v>290160</v>
      </c>
      <c r="Q25" s="92" t="str">
        <f>IF($AG25="","",INDEX($AM$8:$AM$21,INDEX($AC$8:$AC$1407,$AG25)+1))</f>
        <v>EUR</v>
      </c>
      <c r="R25" s="92" t="str">
        <f>IF($AG25="","",IF($G25&gt;0,P_ToelCorrectie&amp;"",""))</f>
        <v/>
      </c>
      <c r="S25" s="15" t="str">
        <f>IF(J25="","",J25&amp;"|"&amp;E25&amp;"|"&amp;F25&amp;"|"&amp;I25&amp;"|"&amp;O25)</f>
        <v>G.900002.8.9090|2026|Q3|2026|BOR actual YTD</v>
      </c>
      <c r="T25" s="111">
        <f>IF(S25="","",IF(COUNTIFS(L_Sleutel,S25,L_Actief,1)=0,"",SUMIFS(L_Waarde,L_Sleutel,S25,L_Actief,1)))</f>
        <v>290160</v>
      </c>
      <c r="U25" s="111">
        <f>IF(OR(S25="",T25=""),0,P25-T25)</f>
        <v>0</v>
      </c>
      <c r="AB25" s="112" t="n">
        <v>2</v>
      </c>
      <c r="AC25" s="112" t="n">
        <v>3</v>
      </c>
      <c r="AD25" s="112">
        <f>VERW_Project!M7</f>
        <v>290160</v>
      </c>
      <c r="AE25" s="112">
        <f>IF(AND(VERW_Project!$A7&lt;&gt;"",ISNUMBER(AD25)),1,0)</f>
        <v>1</v>
      </c>
      <c r="AF25" s="112">
        <f>IF(AE25=1,SUM($AE$8:AE25),"")</f>
        <v>18</v>
      </c>
      <c r="AG25">
        <f>IFERROR(MATCH(18,$AF$8:$AF$1407,0),"")</f>
        <v>18</v>
      </c>
    </row>
    <row r="26">
      <c r="A26" s="92" t="str">
        <f>IF($AG26="","",P_ImportID)</f>
        <v>IMP-2026-Q3-01</v>
      </c>
      <c r="B26" s="92" t="str">
        <f>IF($AG26="","",IF(INDEX($AN$8:$AN$21,INDEX($AC$8:$AC$1407,$AG26)+1)="Z",P_BronZ,P_BronE))</f>
        <v>ZPMW03_FICTIEF_20_projecten.xlsx</v>
      </c>
      <c r="C26" s="108">
        <f>IF($AG26="","",P_Importdatum)</f>
        <v>46324.0</v>
      </c>
      <c r="D26" s="92" t="str">
        <f>IF($AG26="","",P_StatusVastleg)</f>
        <v>Vastgesteld</v>
      </c>
      <c r="E26" s="92">
        <f>IF($AG26="","",P_UploadVJ)</f>
        <v>2026</v>
      </c>
      <c r="F26" s="92" t="str">
        <f>IF($AG26="","",P_UploadVersie)</f>
        <v>Q3</v>
      </c>
      <c r="G26" s="92">
        <f>IF($AG26="","",IF(COUNTIFS(L_Sleutel,$S26,L_Status,"Vastgesteld")=0,0,_xlfn.MAXIFS(L_Revisie,L_Sleutel,$S26,L_Status,"Vastgesteld")+1))</f>
        <v>1</v>
      </c>
      <c r="H26" s="108">
        <f>IF($AG26="","",P_Peildatum)</f>
        <v>46295.0</v>
      </c>
      <c r="I26" s="92">
        <f>IF($AG26="","",P_RJ+INDEX($AK$8:$AK$21,INDEX($AC$8:$AC$1407,$AG26)+1))</f>
        <v>2027</v>
      </c>
      <c r="J26" s="92" t="str">
        <f>IF($AG26="","",INDEX(V_WBS,INDEX($AB$8:$AB$1407,$AG26)))</f>
        <v>G.900002.8.9090</v>
      </c>
      <c r="K26" s="92" t="str">
        <f>IF($AG26="","",INDEX(V_Projdef,INDEX($AB$8:$AB$1407,$AG26)))</f>
        <v>G.900002</v>
      </c>
      <c r="L26" s="92" t="str">
        <f>IF($AG26="","",INDEX(V_Naam,INDEX($AB$8:$AB$1407,$AG26)))</f>
        <v>Duinwaard, De Watergaarde</v>
      </c>
      <c r="M26" s="92" t="str">
        <f>IF($AG26="","",INDEX(V_Type,INDEX($AB$8:$AB$1407,$AG26)))</f>
        <v>Opstal</v>
      </c>
      <c r="N26" s="92" t="str">
        <f>IF($AG26="","",INDEX(V_IFRS,INDEX($AB$8:$AB$1407,$AG26)))</f>
        <v>J</v>
      </c>
      <c r="O26" s="92" t="str">
        <f>IF($AG26="","",INDEX($AL$8:$AL$21,INDEX($AC$8:$AC$1407,$AG26)+1))</f>
        <v>Omzet FY</v>
      </c>
      <c r="P26" s="109">
        <f>IF($AG26="","",INDEX($AD$8:$AD$1407,$AG26))</f>
        <v>5803200</v>
      </c>
      <c r="Q26" s="92" t="str">
        <f>IF($AG26="","",INDEX($AM$8:$AM$21,INDEX($AC$8:$AC$1407,$AG26)+1))</f>
        <v>EUR</v>
      </c>
      <c r="R26" s="92" t="str">
        <f>IF($AG26="","",IF($G26&gt;0,P_ToelCorrectie&amp;"",""))</f>
        <v/>
      </c>
      <c r="S26" s="15" t="str">
        <f>IF(J26="","",J26&amp;"|"&amp;E26&amp;"|"&amp;F26&amp;"|"&amp;I26&amp;"|"&amp;O26)</f>
        <v>G.900002.8.9090|2026|Q3|2027|Omzet FY</v>
      </c>
      <c r="T26" s="111">
        <f>IF(S26="","",IF(COUNTIFS(L_Sleutel,S26,L_Actief,1)=0,"",SUMIFS(L_Waarde,L_Sleutel,S26,L_Actief,1)))</f>
        <v>5803200</v>
      </c>
      <c r="U26" s="111">
        <f>IF(OR(S26="",T26=""),0,P26-T26)</f>
        <v>0</v>
      </c>
      <c r="AB26" s="112" t="n">
        <v>2</v>
      </c>
      <c r="AC26" s="112" t="n">
        <v>4</v>
      </c>
      <c r="AD26" s="112">
        <f>VERW_Project!R7</f>
        <v>5803200</v>
      </c>
      <c r="AE26" s="112">
        <f>IF(AND(VERW_Project!$A7&lt;&gt;"",ISNUMBER(AD26)),1,0)</f>
        <v>1</v>
      </c>
      <c r="AF26" s="112">
        <f>IF(AE26=1,SUM($AE$8:AE26),"")</f>
        <v>19</v>
      </c>
      <c r="AG26">
        <f>IFERROR(MATCH(19,$AF$8:$AF$1407,0),"")</f>
        <v>19</v>
      </c>
    </row>
    <row r="27">
      <c r="A27" s="92" t="str">
        <f>IF($AG27="","",P_ImportID)</f>
        <v>IMP-2026-Q3-01</v>
      </c>
      <c r="B27" s="92" t="str">
        <f>IF($AG27="","",IF(INDEX($AN$8:$AN$21,INDEX($AC$8:$AC$1407,$AG27)+1)="Z",P_BronZ,P_BronE))</f>
        <v>ZPMW03_FICTIEF_20_projecten.xlsx</v>
      </c>
      <c r="C27" s="108">
        <f>IF($AG27="","",P_Importdatum)</f>
        <v>46324.0</v>
      </c>
      <c r="D27" s="92" t="str">
        <f>IF($AG27="","",P_StatusVastleg)</f>
        <v>Vastgesteld</v>
      </c>
      <c r="E27" s="92">
        <f>IF($AG27="","",P_UploadVJ)</f>
        <v>2026</v>
      </c>
      <c r="F27" s="92" t="str">
        <f>IF($AG27="","",P_UploadVersie)</f>
        <v>Q3</v>
      </c>
      <c r="G27" s="92">
        <f>IF($AG27="","",IF(COUNTIFS(L_Sleutel,$S27,L_Status,"Vastgesteld")=0,0,_xlfn.MAXIFS(L_Revisie,L_Sleutel,$S27,L_Status,"Vastgesteld")+1))</f>
        <v>1</v>
      </c>
      <c r="H27" s="108">
        <f>IF($AG27="","",P_Peildatum)</f>
        <v>46295.0</v>
      </c>
      <c r="I27" s="92">
        <f>IF($AG27="","",P_RJ+INDEX($AK$8:$AK$21,INDEX($AC$8:$AC$1407,$AG27)+1))</f>
        <v>2027</v>
      </c>
      <c r="J27" s="92" t="str">
        <f>IF($AG27="","",INDEX(V_WBS,INDEX($AB$8:$AB$1407,$AG27)))</f>
        <v>G.900002.8.9090</v>
      </c>
      <c r="K27" s="92" t="str">
        <f>IF($AG27="","",INDEX(V_Projdef,INDEX($AB$8:$AB$1407,$AG27)))</f>
        <v>G.900002</v>
      </c>
      <c r="L27" s="92" t="str">
        <f>IF($AG27="","",INDEX(V_Naam,INDEX($AB$8:$AB$1407,$AG27)))</f>
        <v>Duinwaard, De Watergaarde</v>
      </c>
      <c r="M27" s="92" t="str">
        <f>IF($AG27="","",INDEX(V_Type,INDEX($AB$8:$AB$1407,$AG27)))</f>
        <v>Opstal</v>
      </c>
      <c r="N27" s="92" t="str">
        <f>IF($AG27="","",INDEX(V_IFRS,INDEX($AB$8:$AB$1407,$AG27)))</f>
        <v>J</v>
      </c>
      <c r="O27" s="92" t="str">
        <f>IF($AG27="","",INDEX($AL$8:$AL$21,INDEX($AC$8:$AC$1407,$AG27)+1))</f>
        <v>BOR FY</v>
      </c>
      <c r="P27" s="109">
        <f>IF($AG27="","",INDEX($AD$8:$AD$1407,$AG27))</f>
        <v>696384</v>
      </c>
      <c r="Q27" s="92" t="str">
        <f>IF($AG27="","",INDEX($AM$8:$AM$21,INDEX($AC$8:$AC$1407,$AG27)+1))</f>
        <v>EUR</v>
      </c>
      <c r="R27" s="92" t="str">
        <f>IF($AG27="","",IF($G27&gt;0,P_ToelCorrectie&amp;"",""))</f>
        <v/>
      </c>
      <c r="S27" s="15" t="str">
        <f>IF(J27="","",J27&amp;"|"&amp;E27&amp;"|"&amp;F27&amp;"|"&amp;I27&amp;"|"&amp;O27)</f>
        <v>G.900002.8.9090|2026|Q3|2027|BOR FY</v>
      </c>
      <c r="T27" s="111">
        <f>IF(S27="","",IF(COUNTIFS(L_Sleutel,S27,L_Actief,1)=0,"",SUMIFS(L_Waarde,L_Sleutel,S27,L_Actief,1)))</f>
        <v>696384</v>
      </c>
      <c r="U27" s="111">
        <f>IF(OR(S27="",T27=""),0,P27-T27)</f>
        <v>0</v>
      </c>
      <c r="AB27" s="112" t="n">
        <v>2</v>
      </c>
      <c r="AC27" s="112" t="n">
        <v>5</v>
      </c>
      <c r="AD27" s="112">
        <f>VERW_Project!S7</f>
        <v>696384</v>
      </c>
      <c r="AE27" s="112">
        <f>IF(AND(VERW_Project!$A7&lt;&gt;"",ISNUMBER(AD27)),1,0)</f>
        <v>1</v>
      </c>
      <c r="AF27" s="112">
        <f>IF(AE27=1,SUM($AE$8:AE27),"")</f>
        <v>20</v>
      </c>
      <c r="AG27">
        <f>IFERROR(MATCH(20,$AF$8:$AF$1407,0),"")</f>
        <v>20</v>
      </c>
    </row>
    <row r="28">
      <c r="A28" s="92" t="str">
        <f>IF($AG28="","",P_ImportID)</f>
        <v>IMP-2026-Q3-01</v>
      </c>
      <c r="B28" s="92" t="str">
        <f>IF($AG28="","",IF(INDEX($AN$8:$AN$21,INDEX($AC$8:$AC$1407,$AG28)+1)="Z",P_BronZ,P_BronE))</f>
        <v>Woningetalage_FICTIEF_20_projecten.xlsx</v>
      </c>
      <c r="C28" s="108">
        <f>IF($AG28="","",P_Importdatum)</f>
        <v>46324.0</v>
      </c>
      <c r="D28" s="92" t="str">
        <f>IF($AG28="","",P_StatusVastleg)</f>
        <v>Vastgesteld</v>
      </c>
      <c r="E28" s="92">
        <f>IF($AG28="","",P_UploadVJ)</f>
        <v>2026</v>
      </c>
      <c r="F28" s="92" t="str">
        <f>IF($AG28="","",P_UploadVersie)</f>
        <v>Q3</v>
      </c>
      <c r="G28" s="92">
        <f>IF($AG28="","",IF(COUNTIFS(L_Sleutel,$S28,L_Status,"Vastgesteld")=0,0,_xlfn.MAXIFS(L_Revisie,L_Sleutel,$S28,L_Status,"Vastgesteld")+1))</f>
        <v>1</v>
      </c>
      <c r="H28" s="108">
        <f>IF($AG28="","",P_Peildatum)</f>
        <v>46295.0</v>
      </c>
      <c r="I28" s="92">
        <f>IF($AG28="","",P_RJ+INDEX($AK$8:$AK$21,INDEX($AC$8:$AC$1407,$AG28)+1))</f>
        <v>2026</v>
      </c>
      <c r="J28" s="92" t="str">
        <f>IF($AG28="","",INDEX(V_WBS,INDEX($AB$8:$AB$1407,$AG28)))</f>
        <v>G.900002.8.9090</v>
      </c>
      <c r="K28" s="92" t="str">
        <f>IF($AG28="","",INDEX(V_Projdef,INDEX($AB$8:$AB$1407,$AG28)))</f>
        <v>G.900002</v>
      </c>
      <c r="L28" s="92" t="str">
        <f>IF($AG28="","",INDEX(V_Naam,INDEX($AB$8:$AB$1407,$AG28)))</f>
        <v>Duinwaard, De Watergaarde</v>
      </c>
      <c r="M28" s="92" t="str">
        <f>IF($AG28="","",INDEX(V_Type,INDEX($AB$8:$AB$1407,$AG28)))</f>
        <v>Opstal</v>
      </c>
      <c r="N28" s="92" t="str">
        <f>IF($AG28="","",INDEX(V_IFRS,INDEX($AB$8:$AB$1407,$AG28)))</f>
        <v>J</v>
      </c>
      <c r="O28" s="92" t="str">
        <f>IF($AG28="","",INDEX($AL$8:$AL$21,INDEX($AC$8:$AC$1407,$AG28)+1))</f>
        <v>Woningverkopen FY</v>
      </c>
      <c r="P28" s="109">
        <f>IF($AG28="","",INDEX($AD$8:$AD$1407,$AG28))</f>
        <v>13</v>
      </c>
      <c r="Q28" s="92" t="str">
        <f>IF($AG28="","",INDEX($AM$8:$AM$21,INDEX($AC$8:$AC$1407,$AG28)+1))</f>
        <v>aantal</v>
      </c>
      <c r="R28" s="92" t="str">
        <f>IF($AG28="","",IF($G28&gt;0,P_ToelCorrectie&amp;"",""))</f>
        <v/>
      </c>
      <c r="S28" s="15" t="str">
        <f>IF(J28="","",J28&amp;"|"&amp;E28&amp;"|"&amp;F28&amp;"|"&amp;I28&amp;"|"&amp;O28)</f>
        <v>G.900002.8.9090|2026|Q3|2026|Woningverkopen FY</v>
      </c>
      <c r="T28" s="111">
        <f>IF(S28="","",IF(COUNTIFS(L_Sleutel,S28,L_Actief,1)=0,"",SUMIFS(L_Waarde,L_Sleutel,S28,L_Actief,1)))</f>
        <v>13</v>
      </c>
      <c r="U28" s="111">
        <f>IF(OR(S28="",T28=""),0,P28-T28)</f>
        <v>0</v>
      </c>
      <c r="AB28" s="112" t="n">
        <v>2</v>
      </c>
      <c r="AC28" s="112" t="n">
        <v>6</v>
      </c>
      <c r="AD28" s="112">
        <f>VERW_Project!BW7</f>
        <v>13</v>
      </c>
      <c r="AE28" s="112">
        <f>IF(AND(VERW_Project!$A7&lt;&gt;"",ISNUMBER(AD28)),1,0)</f>
        <v>1</v>
      </c>
      <c r="AF28" s="112">
        <f>IF(AE28=1,SUM($AE$8:AE28),"")</f>
        <v>21</v>
      </c>
      <c r="AG28">
        <f>IFERROR(MATCH(21,$AF$8:$AF$1407,0),"")</f>
        <v>21</v>
      </c>
    </row>
    <row r="29">
      <c r="A29" s="92" t="str">
        <f>IF($AG29="","",P_ImportID)</f>
        <v>IMP-2026-Q3-01</v>
      </c>
      <c r="B29" s="92" t="str">
        <f>IF($AG29="","",IF(INDEX($AN$8:$AN$21,INDEX($AC$8:$AC$1407,$AG29)+1)="Z",P_BronZ,P_BronE))</f>
        <v>Woningetalage_FICTIEF_20_projecten.xlsx</v>
      </c>
      <c r="C29" s="108">
        <f>IF($AG29="","",P_Importdatum)</f>
        <v>46324.0</v>
      </c>
      <c r="D29" s="92" t="str">
        <f>IF($AG29="","",P_StatusVastleg)</f>
        <v>Vastgesteld</v>
      </c>
      <c r="E29" s="92">
        <f>IF($AG29="","",P_UploadVJ)</f>
        <v>2026</v>
      </c>
      <c r="F29" s="92" t="str">
        <f>IF($AG29="","",P_UploadVersie)</f>
        <v>Q3</v>
      </c>
      <c r="G29" s="92">
        <f>IF($AG29="","",IF(COUNTIFS(L_Sleutel,$S29,L_Status,"Vastgesteld")=0,0,_xlfn.MAXIFS(L_Revisie,L_Sleutel,$S29,L_Status,"Vastgesteld")+1))</f>
        <v>1</v>
      </c>
      <c r="H29" s="108">
        <f>IF($AG29="","",P_Peildatum)</f>
        <v>46295.0</v>
      </c>
      <c r="I29" s="92">
        <f>IF($AG29="","",P_RJ+INDEX($AK$8:$AK$21,INDEX($AC$8:$AC$1407,$AG29)+1))</f>
        <v>2026</v>
      </c>
      <c r="J29" s="92" t="str">
        <f>IF($AG29="","",INDEX(V_WBS,INDEX($AB$8:$AB$1407,$AG29)))</f>
        <v>G.900002.8.9090</v>
      </c>
      <c r="K29" s="92" t="str">
        <f>IF($AG29="","",INDEX(V_Projdef,INDEX($AB$8:$AB$1407,$AG29)))</f>
        <v>G.900002</v>
      </c>
      <c r="L29" s="92" t="str">
        <f>IF($AG29="","",INDEX(V_Naam,INDEX($AB$8:$AB$1407,$AG29)))</f>
        <v>Duinwaard, De Watergaarde</v>
      </c>
      <c r="M29" s="92" t="str">
        <f>IF($AG29="","",INDEX(V_Type,INDEX($AB$8:$AB$1407,$AG29)))</f>
        <v>Opstal</v>
      </c>
      <c r="N29" s="92" t="str">
        <f>IF($AG29="","",INDEX(V_IFRS,INDEX($AB$8:$AB$1407,$AG29)))</f>
        <v>J</v>
      </c>
      <c r="O29" s="92" t="str">
        <f>IF($AG29="","",INDEX($AL$8:$AL$21,INDEX($AC$8:$AC$1407,$AG29)+1))</f>
        <v>Woningen verkocht t/m vorig jaar</v>
      </c>
      <c r="P29" s="109">
        <f>IF($AG29="","",INDEX($AD$8:$AD$1407,$AG29))</f>
        <v>9</v>
      </c>
      <c r="Q29" s="92" t="str">
        <f>IF($AG29="","",INDEX($AM$8:$AM$21,INDEX($AC$8:$AC$1407,$AG29)+1))</f>
        <v>aantal</v>
      </c>
      <c r="R29" s="92" t="str">
        <f>IF($AG29="","",IF($G29&gt;0,P_ToelCorrectie&amp;"",""))</f>
        <v/>
      </c>
      <c r="S29" s="15" t="str">
        <f>IF(J29="","",J29&amp;"|"&amp;E29&amp;"|"&amp;F29&amp;"|"&amp;I29&amp;"|"&amp;O29)</f>
        <v>G.900002.8.9090|2026|Q3|2026|Woningen verkocht t/m vorig jaar</v>
      </c>
      <c r="T29" s="111">
        <f>IF(S29="","",IF(COUNTIFS(L_Sleutel,S29,L_Actief,1)=0,"",SUMIFS(L_Waarde,L_Sleutel,S29,L_Actief,1)))</f>
        <v>9</v>
      </c>
      <c r="U29" s="111">
        <f>IF(OR(S29="",T29=""),0,P29-T29)</f>
        <v>0</v>
      </c>
      <c r="AB29" s="112" t="n">
        <v>2</v>
      </c>
      <c r="AC29" s="112" t="n">
        <v>7</v>
      </c>
      <c r="AD29" s="112">
        <f>VERW_Project!AW7</f>
        <v>9</v>
      </c>
      <c r="AE29" s="112">
        <f>IF(AND(VERW_Project!$A7&lt;&gt;"",ISNUMBER(AD29)),1,0)</f>
        <v>1</v>
      </c>
      <c r="AF29" s="112">
        <f>IF(AE29=1,SUM($AE$8:AE29),"")</f>
        <v>22</v>
      </c>
      <c r="AG29">
        <f>IFERROR(MATCH(22,$AF$8:$AF$1407,0),"")</f>
        <v>22</v>
      </c>
    </row>
    <row r="30">
      <c r="A30" s="92" t="str">
        <f>IF($AG30="","",P_ImportID)</f>
        <v>IMP-2026-Q3-01</v>
      </c>
      <c r="B30" s="92" t="str">
        <f>IF($AG30="","",IF(INDEX($AN$8:$AN$21,INDEX($AC$8:$AC$1407,$AG30)+1)="Z",P_BronZ,P_BronE))</f>
        <v>Woningetalage_FICTIEF_20_projecten.xlsx</v>
      </c>
      <c r="C30" s="108">
        <f>IF($AG30="","",P_Importdatum)</f>
        <v>46324.0</v>
      </c>
      <c r="D30" s="92" t="str">
        <f>IF($AG30="","",P_StatusVastleg)</f>
        <v>Vastgesteld</v>
      </c>
      <c r="E30" s="92">
        <f>IF($AG30="","",P_UploadVJ)</f>
        <v>2026</v>
      </c>
      <c r="F30" s="92" t="str">
        <f>IF($AG30="","",P_UploadVersie)</f>
        <v>Q3</v>
      </c>
      <c r="G30" s="92">
        <f>IF($AG30="","",IF(COUNTIFS(L_Sleutel,$S30,L_Status,"Vastgesteld")=0,0,_xlfn.MAXIFS(L_Revisie,L_Sleutel,$S30,L_Status,"Vastgesteld")+1))</f>
        <v>1</v>
      </c>
      <c r="H30" s="108">
        <f>IF($AG30="","",P_Peildatum)</f>
        <v>46295.0</v>
      </c>
      <c r="I30" s="92">
        <f>IF($AG30="","",P_RJ+INDEX($AK$8:$AK$21,INDEX($AC$8:$AC$1407,$AG30)+1))</f>
        <v>2026</v>
      </c>
      <c r="J30" s="92" t="str">
        <f>IF($AG30="","",INDEX(V_WBS,INDEX($AB$8:$AB$1407,$AG30)))</f>
        <v>G.900002.8.9090</v>
      </c>
      <c r="K30" s="92" t="str">
        <f>IF($AG30="","",INDEX(V_Projdef,INDEX($AB$8:$AB$1407,$AG30)))</f>
        <v>G.900002</v>
      </c>
      <c r="L30" s="92" t="str">
        <f>IF($AG30="","",INDEX(V_Naam,INDEX($AB$8:$AB$1407,$AG30)))</f>
        <v>Duinwaard, De Watergaarde</v>
      </c>
      <c r="M30" s="92" t="str">
        <f>IF($AG30="","",INDEX(V_Type,INDEX($AB$8:$AB$1407,$AG30)))</f>
        <v>Opstal</v>
      </c>
      <c r="N30" s="92" t="str">
        <f>IF($AG30="","",INDEX(V_IFRS,INDEX($AB$8:$AB$1407,$AG30)))</f>
        <v>J</v>
      </c>
      <c r="O30" s="92" t="str">
        <f>IF($AG30="","",INDEX($AL$8:$AL$21,INDEX($AC$8:$AC$1407,$AG30)+1))</f>
        <v>Woningverkopen Q1</v>
      </c>
      <c r="P30" s="109">
        <f>IF($AG30="","",INDEX($AD$8:$AD$1407,$AG30))</f>
        <v>1</v>
      </c>
      <c r="Q30" s="92" t="str">
        <f>IF($AG30="","",INDEX($AM$8:$AM$21,INDEX($AC$8:$AC$1407,$AG30)+1))</f>
        <v>aantal</v>
      </c>
      <c r="R30" s="92" t="str">
        <f>IF($AG30="","",IF($G30&gt;0,P_ToelCorrectie&amp;"",""))</f>
        <v/>
      </c>
      <c r="S30" s="15" t="str">
        <f>IF(J30="","",J30&amp;"|"&amp;E30&amp;"|"&amp;F30&amp;"|"&amp;I30&amp;"|"&amp;O30)</f>
        <v>G.900002.8.9090|2026|Q3|2026|Woningverkopen Q1</v>
      </c>
      <c r="T30" s="111">
        <f>IF(S30="","",IF(COUNTIFS(L_Sleutel,S30,L_Actief,1)=0,"",SUMIFS(L_Waarde,L_Sleutel,S30,L_Actief,1)))</f>
        <v>1</v>
      </c>
      <c r="U30" s="111">
        <f>IF(OR(S30="",T30=""),0,P30-T30)</f>
        <v>0</v>
      </c>
      <c r="AB30" s="112" t="n">
        <v>2</v>
      </c>
      <c r="AC30" s="112" t="n">
        <v>8</v>
      </c>
      <c r="AD30" s="112">
        <f>VERW_Project!BQ7</f>
        <v>1</v>
      </c>
      <c r="AE30" s="112">
        <f>IF(AND(VERW_Project!$A7&lt;&gt;"",ISNUMBER(AD30)),1,0)</f>
        <v>1</v>
      </c>
      <c r="AF30" s="112">
        <f>IF(AE30=1,SUM($AE$8:AE30),"")</f>
        <v>23</v>
      </c>
      <c r="AG30">
        <f>IFERROR(MATCH(23,$AF$8:$AF$1407,0),"")</f>
        <v>23</v>
      </c>
    </row>
    <row r="31">
      <c r="A31" s="92" t="str">
        <f>IF($AG31="","",P_ImportID)</f>
        <v>IMP-2026-Q3-01</v>
      </c>
      <c r="B31" s="92" t="str">
        <f>IF($AG31="","",IF(INDEX($AN$8:$AN$21,INDEX($AC$8:$AC$1407,$AG31)+1)="Z",P_BronZ,P_BronE))</f>
        <v>Woningetalage_FICTIEF_20_projecten.xlsx</v>
      </c>
      <c r="C31" s="108">
        <f>IF($AG31="","",P_Importdatum)</f>
        <v>46324.0</v>
      </c>
      <c r="D31" s="92" t="str">
        <f>IF($AG31="","",P_StatusVastleg)</f>
        <v>Vastgesteld</v>
      </c>
      <c r="E31" s="92">
        <f>IF($AG31="","",P_UploadVJ)</f>
        <v>2026</v>
      </c>
      <c r="F31" s="92" t="str">
        <f>IF($AG31="","",P_UploadVersie)</f>
        <v>Q3</v>
      </c>
      <c r="G31" s="92">
        <f>IF($AG31="","",IF(COUNTIFS(L_Sleutel,$S31,L_Status,"Vastgesteld")=0,0,_xlfn.MAXIFS(L_Revisie,L_Sleutel,$S31,L_Status,"Vastgesteld")+1))</f>
        <v>1</v>
      </c>
      <c r="H31" s="108">
        <f>IF($AG31="","",P_Peildatum)</f>
        <v>46295.0</v>
      </c>
      <c r="I31" s="92">
        <f>IF($AG31="","",P_RJ+INDEX($AK$8:$AK$21,INDEX($AC$8:$AC$1407,$AG31)+1))</f>
        <v>2026</v>
      </c>
      <c r="J31" s="92" t="str">
        <f>IF($AG31="","",INDEX(V_WBS,INDEX($AB$8:$AB$1407,$AG31)))</f>
        <v>G.900002.8.9090</v>
      </c>
      <c r="K31" s="92" t="str">
        <f>IF($AG31="","",INDEX(V_Projdef,INDEX($AB$8:$AB$1407,$AG31)))</f>
        <v>G.900002</v>
      </c>
      <c r="L31" s="92" t="str">
        <f>IF($AG31="","",INDEX(V_Naam,INDEX($AB$8:$AB$1407,$AG31)))</f>
        <v>Duinwaard, De Watergaarde</v>
      </c>
      <c r="M31" s="92" t="str">
        <f>IF($AG31="","",INDEX(V_Type,INDEX($AB$8:$AB$1407,$AG31)))</f>
        <v>Opstal</v>
      </c>
      <c r="N31" s="92" t="str">
        <f>IF($AG31="","",INDEX(V_IFRS,INDEX($AB$8:$AB$1407,$AG31)))</f>
        <v>J</v>
      </c>
      <c r="O31" s="92" t="str">
        <f>IF($AG31="","",INDEX($AL$8:$AL$21,INDEX($AC$8:$AC$1407,$AG31)+1))</f>
        <v>Woningverkopen Q2</v>
      </c>
      <c r="P31" s="109">
        <f>IF($AG31="","",INDEX($AD$8:$AD$1407,$AG31))</f>
        <v>3</v>
      </c>
      <c r="Q31" s="92" t="str">
        <f>IF($AG31="","",INDEX($AM$8:$AM$21,INDEX($AC$8:$AC$1407,$AG31)+1))</f>
        <v>aantal</v>
      </c>
      <c r="R31" s="92" t="str">
        <f>IF($AG31="","",IF($G31&gt;0,P_ToelCorrectie&amp;"",""))</f>
        <v/>
      </c>
      <c r="S31" s="15" t="str">
        <f>IF(J31="","",J31&amp;"|"&amp;E31&amp;"|"&amp;F31&amp;"|"&amp;I31&amp;"|"&amp;O31)</f>
        <v>G.900002.8.9090|2026|Q3|2026|Woningverkopen Q2</v>
      </c>
      <c r="T31" s="111">
        <f>IF(S31="","",IF(COUNTIFS(L_Sleutel,S31,L_Actief,1)=0,"",SUMIFS(L_Waarde,L_Sleutel,S31,L_Actief,1)))</f>
        <v>3</v>
      </c>
      <c r="U31" s="111">
        <f>IF(OR(S31="",T31=""),0,P31-T31)</f>
        <v>0</v>
      </c>
      <c r="AB31" s="112" t="n">
        <v>2</v>
      </c>
      <c r="AC31" s="112" t="n">
        <v>9</v>
      </c>
      <c r="AD31" s="112">
        <f>VERW_Project!BR7</f>
        <v>3</v>
      </c>
      <c r="AE31" s="112">
        <f>IF(AND(VERW_Project!$A7&lt;&gt;"",ISNUMBER(AD31)),1,0)</f>
        <v>1</v>
      </c>
      <c r="AF31" s="112">
        <f>IF(AE31=1,SUM($AE$8:AE31),"")</f>
        <v>24</v>
      </c>
      <c r="AG31">
        <f>IFERROR(MATCH(24,$AF$8:$AF$1407,0),"")</f>
        <v>24</v>
      </c>
    </row>
    <row r="32">
      <c r="A32" s="92" t="str">
        <f>IF($AG32="","",P_ImportID)</f>
        <v>IMP-2026-Q3-01</v>
      </c>
      <c r="B32" s="92" t="str">
        <f>IF($AG32="","",IF(INDEX($AN$8:$AN$21,INDEX($AC$8:$AC$1407,$AG32)+1)="Z",P_BronZ,P_BronE))</f>
        <v>Woningetalage_FICTIEF_20_projecten.xlsx</v>
      </c>
      <c r="C32" s="108">
        <f>IF($AG32="","",P_Importdatum)</f>
        <v>46324.0</v>
      </c>
      <c r="D32" s="92" t="str">
        <f>IF($AG32="","",P_StatusVastleg)</f>
        <v>Vastgesteld</v>
      </c>
      <c r="E32" s="92">
        <f>IF($AG32="","",P_UploadVJ)</f>
        <v>2026</v>
      </c>
      <c r="F32" s="92" t="str">
        <f>IF($AG32="","",P_UploadVersie)</f>
        <v>Q3</v>
      </c>
      <c r="G32" s="92">
        <f>IF($AG32="","",IF(COUNTIFS(L_Sleutel,$S32,L_Status,"Vastgesteld")=0,0,_xlfn.MAXIFS(L_Revisie,L_Sleutel,$S32,L_Status,"Vastgesteld")+1))</f>
        <v>1</v>
      </c>
      <c r="H32" s="108">
        <f>IF($AG32="","",P_Peildatum)</f>
        <v>46295.0</v>
      </c>
      <c r="I32" s="92">
        <f>IF($AG32="","",P_RJ+INDEX($AK$8:$AK$21,INDEX($AC$8:$AC$1407,$AG32)+1))</f>
        <v>2026</v>
      </c>
      <c r="J32" s="92" t="str">
        <f>IF($AG32="","",INDEX(V_WBS,INDEX($AB$8:$AB$1407,$AG32)))</f>
        <v>G.900002.8.9090</v>
      </c>
      <c r="K32" s="92" t="str">
        <f>IF($AG32="","",INDEX(V_Projdef,INDEX($AB$8:$AB$1407,$AG32)))</f>
        <v>G.900002</v>
      </c>
      <c r="L32" s="92" t="str">
        <f>IF($AG32="","",INDEX(V_Naam,INDEX($AB$8:$AB$1407,$AG32)))</f>
        <v>Duinwaard, De Watergaarde</v>
      </c>
      <c r="M32" s="92" t="str">
        <f>IF($AG32="","",INDEX(V_Type,INDEX($AB$8:$AB$1407,$AG32)))</f>
        <v>Opstal</v>
      </c>
      <c r="N32" s="92" t="str">
        <f>IF($AG32="","",INDEX(V_IFRS,INDEX($AB$8:$AB$1407,$AG32)))</f>
        <v>J</v>
      </c>
      <c r="O32" s="92" t="str">
        <f>IF($AG32="","",INDEX($AL$8:$AL$21,INDEX($AC$8:$AC$1407,$AG32)+1))</f>
        <v>Woningverkopen Q3</v>
      </c>
      <c r="P32" s="109">
        <f>IF($AG32="","",INDEX($AD$8:$AD$1407,$AG32))</f>
        <v>3</v>
      </c>
      <c r="Q32" s="92" t="str">
        <f>IF($AG32="","",INDEX($AM$8:$AM$21,INDEX($AC$8:$AC$1407,$AG32)+1))</f>
        <v>aantal</v>
      </c>
      <c r="R32" s="92" t="str">
        <f>IF($AG32="","",IF($G32&gt;0,P_ToelCorrectie&amp;"",""))</f>
        <v/>
      </c>
      <c r="S32" s="15" t="str">
        <f>IF(J32="","",J32&amp;"|"&amp;E32&amp;"|"&amp;F32&amp;"|"&amp;I32&amp;"|"&amp;O32)</f>
        <v>G.900002.8.9090|2026|Q3|2026|Woningverkopen Q3</v>
      </c>
      <c r="T32" s="111">
        <f>IF(S32="","",IF(COUNTIFS(L_Sleutel,S32,L_Actief,1)=0,"",SUMIFS(L_Waarde,L_Sleutel,S32,L_Actief,1)))</f>
        <v>3</v>
      </c>
      <c r="U32" s="111">
        <f>IF(OR(S32="",T32=""),0,P32-T32)</f>
        <v>0</v>
      </c>
      <c r="AB32" s="112" t="n">
        <v>2</v>
      </c>
      <c r="AC32" s="112" t="n">
        <v>10</v>
      </c>
      <c r="AD32" s="112">
        <f>VERW_Project!BS7</f>
        <v>3</v>
      </c>
      <c r="AE32" s="112">
        <f>IF(AND(VERW_Project!$A7&lt;&gt;"",ISNUMBER(AD32)),1,0)</f>
        <v>1</v>
      </c>
      <c r="AF32" s="112">
        <f>IF(AE32=1,SUM($AE$8:AE32),"")</f>
        <v>25</v>
      </c>
      <c r="AG32">
        <f>IFERROR(MATCH(25,$AF$8:$AF$1407,0),"")</f>
        <v>25</v>
      </c>
    </row>
    <row r="33">
      <c r="A33" s="92" t="str">
        <f>IF($AG33="","",P_ImportID)</f>
        <v>IMP-2026-Q3-01</v>
      </c>
      <c r="B33" s="92" t="str">
        <f>IF($AG33="","",IF(INDEX($AN$8:$AN$21,INDEX($AC$8:$AC$1407,$AG33)+1)="Z",P_BronZ,P_BronE))</f>
        <v>Woningetalage_FICTIEF_20_projecten.xlsx</v>
      </c>
      <c r="C33" s="108">
        <f>IF($AG33="","",P_Importdatum)</f>
        <v>46324.0</v>
      </c>
      <c r="D33" s="92" t="str">
        <f>IF($AG33="","",P_StatusVastleg)</f>
        <v>Vastgesteld</v>
      </c>
      <c r="E33" s="92">
        <f>IF($AG33="","",P_UploadVJ)</f>
        <v>2026</v>
      </c>
      <c r="F33" s="92" t="str">
        <f>IF($AG33="","",P_UploadVersie)</f>
        <v>Q3</v>
      </c>
      <c r="G33" s="92">
        <f>IF($AG33="","",IF(COUNTIFS(L_Sleutel,$S33,L_Status,"Vastgesteld")=0,0,_xlfn.MAXIFS(L_Revisie,L_Sleutel,$S33,L_Status,"Vastgesteld")+1))</f>
        <v>1</v>
      </c>
      <c r="H33" s="108">
        <f>IF($AG33="","",P_Peildatum)</f>
        <v>46295.0</v>
      </c>
      <c r="I33" s="92">
        <f>IF($AG33="","",P_RJ+INDEX($AK$8:$AK$21,INDEX($AC$8:$AC$1407,$AG33)+1))</f>
        <v>2026</v>
      </c>
      <c r="J33" s="92" t="str">
        <f>IF($AG33="","",INDEX(V_WBS,INDEX($AB$8:$AB$1407,$AG33)))</f>
        <v>G.900002.8.9090</v>
      </c>
      <c r="K33" s="92" t="str">
        <f>IF($AG33="","",INDEX(V_Projdef,INDEX($AB$8:$AB$1407,$AG33)))</f>
        <v>G.900002</v>
      </c>
      <c r="L33" s="92" t="str">
        <f>IF($AG33="","",INDEX(V_Naam,INDEX($AB$8:$AB$1407,$AG33)))</f>
        <v>Duinwaard, De Watergaarde</v>
      </c>
      <c r="M33" s="92" t="str">
        <f>IF($AG33="","",INDEX(V_Type,INDEX($AB$8:$AB$1407,$AG33)))</f>
        <v>Opstal</v>
      </c>
      <c r="N33" s="92" t="str">
        <f>IF($AG33="","",INDEX(V_IFRS,INDEX($AB$8:$AB$1407,$AG33)))</f>
        <v>J</v>
      </c>
      <c r="O33" s="92" t="str">
        <f>IF($AG33="","",INDEX($AL$8:$AL$21,INDEX($AC$8:$AC$1407,$AG33)+1))</f>
        <v>Woningverkopen Q4</v>
      </c>
      <c r="P33" s="109">
        <f>IF($AG33="","",INDEX($AD$8:$AD$1407,$AG33))</f>
        <v>6</v>
      </c>
      <c r="Q33" s="92" t="str">
        <f>IF($AG33="","",INDEX($AM$8:$AM$21,INDEX($AC$8:$AC$1407,$AG33)+1))</f>
        <v>aantal</v>
      </c>
      <c r="R33" s="92" t="str">
        <f>IF($AG33="","",IF($G33&gt;0,P_ToelCorrectie&amp;"",""))</f>
        <v/>
      </c>
      <c r="S33" s="15" t="str">
        <f>IF(J33="","",J33&amp;"|"&amp;E33&amp;"|"&amp;F33&amp;"|"&amp;I33&amp;"|"&amp;O33)</f>
        <v>G.900002.8.9090|2026|Q3|2026|Woningverkopen Q4</v>
      </c>
      <c r="T33" s="111">
        <f>IF(S33="","",IF(COUNTIFS(L_Sleutel,S33,L_Actief,1)=0,"",SUMIFS(L_Waarde,L_Sleutel,S33,L_Actief,1)))</f>
        <v>6</v>
      </c>
      <c r="U33" s="111">
        <f>IF(OR(S33="",T33=""),0,P33-T33)</f>
        <v>0</v>
      </c>
      <c r="AB33" s="112" t="n">
        <v>2</v>
      </c>
      <c r="AC33" s="112" t="n">
        <v>11</v>
      </c>
      <c r="AD33" s="112">
        <f>VERW_Project!BT7</f>
        <v>6</v>
      </c>
      <c r="AE33" s="112">
        <f>IF(AND(VERW_Project!$A7&lt;&gt;"",ISNUMBER(AD33)),1,0)</f>
        <v>1</v>
      </c>
      <c r="AF33" s="112">
        <f>IF(AE33=1,SUM($AE$8:AE33),"")</f>
        <v>26</v>
      </c>
      <c r="AG33">
        <f>IFERROR(MATCH(26,$AF$8:$AF$1407,0),"")</f>
        <v>26</v>
      </c>
    </row>
    <row r="34">
      <c r="A34" s="92" t="str">
        <f>IF($AG34="","",P_ImportID)</f>
        <v>IMP-2026-Q3-01</v>
      </c>
      <c r="B34" s="92" t="str">
        <f>IF($AG34="","",IF(INDEX($AN$8:$AN$21,INDEX($AC$8:$AC$1407,$AG34)+1)="Z",P_BronZ,P_BronE))</f>
        <v>Woningetalage_FICTIEF_20_projecten.xlsx</v>
      </c>
      <c r="C34" s="108">
        <f>IF($AG34="","",P_Importdatum)</f>
        <v>46324.0</v>
      </c>
      <c r="D34" s="92" t="str">
        <f>IF($AG34="","",P_StatusVastleg)</f>
        <v>Vastgesteld</v>
      </c>
      <c r="E34" s="92">
        <f>IF($AG34="","",P_UploadVJ)</f>
        <v>2026</v>
      </c>
      <c r="F34" s="92" t="str">
        <f>IF($AG34="","",P_UploadVersie)</f>
        <v>Q3</v>
      </c>
      <c r="G34" s="92">
        <f>IF($AG34="","",IF(COUNTIFS(L_Sleutel,$S34,L_Status,"Vastgesteld")=0,0,_xlfn.MAXIFS(L_Revisie,L_Sleutel,$S34,L_Status,"Vastgesteld")+1))</f>
        <v>1</v>
      </c>
      <c r="H34" s="108">
        <f>IF($AG34="","",P_Peildatum)</f>
        <v>46295.0</v>
      </c>
      <c r="I34" s="92">
        <f>IF($AG34="","",P_RJ+INDEX($AK$8:$AK$21,INDEX($AC$8:$AC$1407,$AG34)+1))</f>
        <v>2026</v>
      </c>
      <c r="J34" s="92" t="str">
        <f>IF($AG34="","",INDEX(V_WBS,INDEX($AB$8:$AB$1407,$AG34)))</f>
        <v>G.900002.8.9090</v>
      </c>
      <c r="K34" s="92" t="str">
        <f>IF($AG34="","",INDEX(V_Projdef,INDEX($AB$8:$AB$1407,$AG34)))</f>
        <v>G.900002</v>
      </c>
      <c r="L34" s="92" t="str">
        <f>IF($AG34="","",INDEX(V_Naam,INDEX($AB$8:$AB$1407,$AG34)))</f>
        <v>Duinwaard, De Watergaarde</v>
      </c>
      <c r="M34" s="92" t="str">
        <f>IF($AG34="","",INDEX(V_Type,INDEX($AB$8:$AB$1407,$AG34)))</f>
        <v>Opstal</v>
      </c>
      <c r="N34" s="92" t="str">
        <f>IF($AG34="","",INDEX(V_IFRS,INDEX($AB$8:$AB$1407,$AG34)))</f>
        <v>J</v>
      </c>
      <c r="O34" s="92" t="str">
        <f>IF($AG34="","",INDEX($AL$8:$AL$21,INDEX($AC$8:$AC$1407,$AG34)+1))</f>
        <v>Woningverkopen actual YTD</v>
      </c>
      <c r="P34" s="109">
        <f>IF($AG34="","",INDEX($AD$8:$AD$1407,$AG34))</f>
        <v>7</v>
      </c>
      <c r="Q34" s="92" t="str">
        <f>IF($AG34="","",INDEX($AM$8:$AM$21,INDEX($AC$8:$AC$1407,$AG34)+1))</f>
        <v>aantal</v>
      </c>
      <c r="R34" s="92" t="str">
        <f>IF($AG34="","",IF($G34&gt;0,P_ToelCorrectie&amp;"",""))</f>
        <v/>
      </c>
      <c r="S34" s="15" t="str">
        <f>IF(J34="","",J34&amp;"|"&amp;E34&amp;"|"&amp;F34&amp;"|"&amp;I34&amp;"|"&amp;O34)</f>
        <v>G.900002.8.9090|2026|Q3|2026|Woningverkopen actual YTD</v>
      </c>
      <c r="T34" s="111">
        <f>IF(S34="","",IF(COUNTIFS(L_Sleutel,S34,L_Actief,1)=0,"",SUMIFS(L_Waarde,L_Sleutel,S34,L_Actief,1)))</f>
        <v>7</v>
      </c>
      <c r="U34" s="111">
        <f>IF(OR(S34="",T34=""),0,P34-T34)</f>
        <v>0</v>
      </c>
      <c r="AB34" s="112" t="n">
        <v>2</v>
      </c>
      <c r="AC34" s="112" t="n">
        <v>12</v>
      </c>
      <c r="AD34" s="112">
        <f>VERW_Project!BU7</f>
        <v>7</v>
      </c>
      <c r="AE34" s="112">
        <f>IF(AND(VERW_Project!$A7&lt;&gt;"",ISNUMBER(AD34)),1,0)</f>
        <v>1</v>
      </c>
      <c r="AF34" s="112">
        <f>IF(AE34=1,SUM($AE$8:AE34),"")</f>
        <v>27</v>
      </c>
      <c r="AG34">
        <f>IFERROR(MATCH(27,$AF$8:$AF$1407,0),"")</f>
        <v>27</v>
      </c>
    </row>
    <row r="35">
      <c r="A35" s="92" t="str">
        <f>IF($AG35="","",P_ImportID)</f>
        <v>IMP-2026-Q3-01</v>
      </c>
      <c r="B35" s="92" t="str">
        <f>IF($AG35="","",IF(INDEX($AN$8:$AN$21,INDEX($AC$8:$AC$1407,$AG35)+1)="Z",P_BronZ,P_BronE))</f>
        <v>Woningetalage_FICTIEF_20_projecten.xlsx</v>
      </c>
      <c r="C35" s="108">
        <f>IF($AG35="","",P_Importdatum)</f>
        <v>46324.0</v>
      </c>
      <c r="D35" s="92" t="str">
        <f>IF($AG35="","",P_StatusVastleg)</f>
        <v>Vastgesteld</v>
      </c>
      <c r="E35" s="92">
        <f>IF($AG35="","",P_UploadVJ)</f>
        <v>2026</v>
      </c>
      <c r="F35" s="92" t="str">
        <f>IF($AG35="","",P_UploadVersie)</f>
        <v>Q3</v>
      </c>
      <c r="G35" s="92">
        <f>IF($AG35="","",IF(COUNTIFS(L_Sleutel,$S35,L_Status,"Vastgesteld")=0,0,_xlfn.MAXIFS(L_Revisie,L_Sleutel,$S35,L_Status,"Vastgesteld")+1))</f>
        <v>0</v>
      </c>
      <c r="H35" s="108">
        <f>IF($AG35="","",P_Peildatum)</f>
        <v>46295.0</v>
      </c>
      <c r="I35" s="92">
        <f>IF($AG35="","",P_RJ+INDEX($AK$8:$AK$21,INDEX($AC$8:$AC$1407,$AG35)+1))</f>
        <v>2027</v>
      </c>
      <c r="J35" s="92" t="str">
        <f>IF($AG35="","",INDEX(V_WBS,INDEX($AB$8:$AB$1407,$AG35)))</f>
        <v>G.900002.8.9090</v>
      </c>
      <c r="K35" s="92" t="str">
        <f>IF($AG35="","",INDEX(V_Projdef,INDEX($AB$8:$AB$1407,$AG35)))</f>
        <v>G.900002</v>
      </c>
      <c r="L35" s="92" t="str">
        <f>IF($AG35="","",INDEX(V_Naam,INDEX($AB$8:$AB$1407,$AG35)))</f>
        <v>Duinwaard, De Watergaarde</v>
      </c>
      <c r="M35" s="92" t="str">
        <f>IF($AG35="","",INDEX(V_Type,INDEX($AB$8:$AB$1407,$AG35)))</f>
        <v>Opstal</v>
      </c>
      <c r="N35" s="92" t="str">
        <f>IF($AG35="","",INDEX(V_IFRS,INDEX($AB$8:$AB$1407,$AG35)))</f>
        <v>J</v>
      </c>
      <c r="O35" s="92" t="str">
        <f>IF($AG35="","",INDEX($AL$8:$AL$21,INDEX($AC$8:$AC$1407,$AG35)+1))</f>
        <v>Woningverkopen FY</v>
      </c>
      <c r="P35" s="109">
        <f>IF($AG35="","",INDEX($AD$8:$AD$1407,$AG35))</f>
        <v>17</v>
      </c>
      <c r="Q35" s="92" t="str">
        <f>IF($AG35="","",INDEX($AM$8:$AM$21,INDEX($AC$8:$AC$1407,$AG35)+1))</f>
        <v>aantal</v>
      </c>
      <c r="R35" s="92" t="str">
        <f>IF($AG35="","",IF($G35&gt;0,P_ToelCorrectie&amp;"",""))</f>
        <v/>
      </c>
      <c r="S35" s="15" t="str">
        <f>IF(J35="","",J35&amp;"|"&amp;E35&amp;"|"&amp;F35&amp;"|"&amp;I35&amp;"|"&amp;O35)</f>
        <v>G.900002.8.9090|2026|Q3|2027|Woningverkopen FY</v>
      </c>
      <c r="T35" s="111" t="str">
        <f>IF(S35="","",IF(COUNTIFS(L_Sleutel,S35,L_Actief,1)=0,"",SUMIFS(L_Waarde,L_Sleutel,S35,L_Actief,1)))</f>
        <v/>
      </c>
      <c r="U35" s="111">
        <f>IF(OR(S35="",T35=""),0,P35-T35)</f>
        <v>0</v>
      </c>
      <c r="AB35" s="112" t="n">
        <v>2</v>
      </c>
      <c r="AC35" s="112" t="n">
        <v>13</v>
      </c>
      <c r="AD35" s="112">
        <f>VERW_Project!BX7</f>
        <v>17</v>
      </c>
      <c r="AE35" s="112">
        <f>IF(AND(VERW_Project!$A7&lt;&gt;"",ISNUMBER(AD35)),1,0)</f>
        <v>1</v>
      </c>
      <c r="AF35" s="112">
        <f>IF(AE35=1,SUM($AE$8:AE35),"")</f>
        <v>28</v>
      </c>
      <c r="AG35">
        <f>IFERROR(MATCH(28,$AF$8:$AF$1407,0),"")</f>
        <v>28</v>
      </c>
    </row>
    <row r="36">
      <c r="A36" s="92" t="str">
        <f>IF($AG36="","",P_ImportID)</f>
        <v>IMP-2026-Q3-01</v>
      </c>
      <c r="B36" s="92" t="str">
        <f>IF($AG36="","",IF(INDEX($AN$8:$AN$21,INDEX($AC$8:$AC$1407,$AG36)+1)="Z",P_BronZ,P_BronE))</f>
        <v>ZPMW03_FICTIEF_20_projecten.xlsx</v>
      </c>
      <c r="C36" s="108">
        <f>IF($AG36="","",P_Importdatum)</f>
        <v>46324.0</v>
      </c>
      <c r="D36" s="92" t="str">
        <f>IF($AG36="","",P_StatusVastleg)</f>
        <v>Vastgesteld</v>
      </c>
      <c r="E36" s="92">
        <f>IF($AG36="","",P_UploadVJ)</f>
        <v>2026</v>
      </c>
      <c r="F36" s="92" t="str">
        <f>IF($AG36="","",P_UploadVersie)</f>
        <v>Q3</v>
      </c>
      <c r="G36" s="92">
        <f>IF($AG36="","",IF(COUNTIFS(L_Sleutel,$S36,L_Status,"Vastgesteld")=0,0,_xlfn.MAXIFS(L_Revisie,L_Sleutel,$S36,L_Status,"Vastgesteld")+1))</f>
        <v>1</v>
      </c>
      <c r="H36" s="108">
        <f>IF($AG36="","",P_Peildatum)</f>
        <v>46295.0</v>
      </c>
      <c r="I36" s="92">
        <f>IF($AG36="","",P_RJ+INDEX($AK$8:$AK$21,INDEX($AC$8:$AC$1407,$AG36)+1))</f>
        <v>2026</v>
      </c>
      <c r="J36" s="92" t="str">
        <f>IF($AG36="","",INDEX(V_WBS,INDEX($AB$8:$AB$1407,$AG36)))</f>
        <v>G.900003.8.9090</v>
      </c>
      <c r="K36" s="92" t="str">
        <f>IF($AG36="","",INDEX(V_Projdef,INDEX($AB$8:$AB$1407,$AG36)))</f>
        <v>G.900003</v>
      </c>
      <c r="L36" s="92" t="str">
        <f>IF($AG36="","",INDEX(V_Naam,INDEX($AB$8:$AB$1407,$AG36)))</f>
        <v>Veldendam, Stationshof</v>
      </c>
      <c r="M36" s="92" t="str">
        <f>IF($AG36="","",INDEX(V_Type,INDEX($AB$8:$AB$1407,$AG36)))</f>
        <v>Opstal</v>
      </c>
      <c r="N36" s="92" t="str">
        <f>IF($AG36="","",INDEX(V_IFRS,INDEX($AB$8:$AB$1407,$AG36)))</f>
        <v>J</v>
      </c>
      <c r="O36" s="92" t="str">
        <f>IF($AG36="","",INDEX($AL$8:$AL$21,INDEX($AC$8:$AC$1407,$AG36)+1))</f>
        <v>Omzet FY</v>
      </c>
      <c r="P36" s="109">
        <f>IF($AG36="","",INDEX($AD$8:$AD$1407,$AG36))</f>
        <v>4560000</v>
      </c>
      <c r="Q36" s="92" t="str">
        <f>IF($AG36="","",INDEX($AM$8:$AM$21,INDEX($AC$8:$AC$1407,$AG36)+1))</f>
        <v>EUR</v>
      </c>
      <c r="R36" s="92" t="str">
        <f>IF($AG36="","",IF($G36&gt;0,P_ToelCorrectie&amp;"",""))</f>
        <v/>
      </c>
      <c r="S36" s="15" t="str">
        <f>IF(J36="","",J36&amp;"|"&amp;E36&amp;"|"&amp;F36&amp;"|"&amp;I36&amp;"|"&amp;O36)</f>
        <v>G.900003.8.9090|2026|Q3|2026|Omzet FY</v>
      </c>
      <c r="T36" s="111">
        <f>IF(S36="","",IF(COUNTIFS(L_Sleutel,S36,L_Actief,1)=0,"",SUMIFS(L_Waarde,L_Sleutel,S36,L_Actief,1)))</f>
        <v>4560000</v>
      </c>
      <c r="U36" s="111">
        <f>IF(OR(S36="",T36=""),0,P36-T36)</f>
        <v>0</v>
      </c>
      <c r="AB36" s="112" t="n">
        <v>3</v>
      </c>
      <c r="AC36" s="112" t="n">
        <v>0</v>
      </c>
      <c r="AD36" s="112">
        <f>VERW_Project!P8</f>
        <v>4560000</v>
      </c>
      <c r="AE36" s="112">
        <f>IF(AND(VERW_Project!$A8&lt;&gt;"",ISNUMBER(AD36)),1,0)</f>
        <v>1</v>
      </c>
      <c r="AF36" s="112">
        <f>IF(AE36=1,SUM($AE$8:AE36),"")</f>
        <v>29</v>
      </c>
      <c r="AG36">
        <f>IFERROR(MATCH(29,$AF$8:$AF$1407,0),"")</f>
        <v>29</v>
      </c>
    </row>
    <row r="37">
      <c r="A37" s="92" t="str">
        <f>IF($AG37="","",P_ImportID)</f>
        <v>IMP-2026-Q3-01</v>
      </c>
      <c r="B37" s="92" t="str">
        <f>IF($AG37="","",IF(INDEX($AN$8:$AN$21,INDEX($AC$8:$AC$1407,$AG37)+1)="Z",P_BronZ,P_BronE))</f>
        <v>ZPMW03_FICTIEF_20_projecten.xlsx</v>
      </c>
      <c r="C37" s="108">
        <f>IF($AG37="","",P_Importdatum)</f>
        <v>46324.0</v>
      </c>
      <c r="D37" s="92" t="str">
        <f>IF($AG37="","",P_StatusVastleg)</f>
        <v>Vastgesteld</v>
      </c>
      <c r="E37" s="92">
        <f>IF($AG37="","",P_UploadVJ)</f>
        <v>2026</v>
      </c>
      <c r="F37" s="92" t="str">
        <f>IF($AG37="","",P_UploadVersie)</f>
        <v>Q3</v>
      </c>
      <c r="G37" s="92">
        <f>IF($AG37="","",IF(COUNTIFS(L_Sleutel,$S37,L_Status,"Vastgesteld")=0,0,_xlfn.MAXIFS(L_Revisie,L_Sleutel,$S37,L_Status,"Vastgesteld")+1))</f>
        <v>1</v>
      </c>
      <c r="H37" s="108">
        <f>IF($AG37="","",P_Peildatum)</f>
        <v>46295.0</v>
      </c>
      <c r="I37" s="92">
        <f>IF($AG37="","",P_RJ+INDEX($AK$8:$AK$21,INDEX($AC$8:$AC$1407,$AG37)+1))</f>
        <v>2026</v>
      </c>
      <c r="J37" s="92" t="str">
        <f>IF($AG37="","",INDEX(V_WBS,INDEX($AB$8:$AB$1407,$AG37)))</f>
        <v>G.900003.8.9090</v>
      </c>
      <c r="K37" s="92" t="str">
        <f>IF($AG37="","",INDEX(V_Projdef,INDEX($AB$8:$AB$1407,$AG37)))</f>
        <v>G.900003</v>
      </c>
      <c r="L37" s="92" t="str">
        <f>IF($AG37="","",INDEX(V_Naam,INDEX($AB$8:$AB$1407,$AG37)))</f>
        <v>Veldendam, Stationshof</v>
      </c>
      <c r="M37" s="92" t="str">
        <f>IF($AG37="","",INDEX(V_Type,INDEX($AB$8:$AB$1407,$AG37)))</f>
        <v>Opstal</v>
      </c>
      <c r="N37" s="92" t="str">
        <f>IF($AG37="","",INDEX(V_IFRS,INDEX($AB$8:$AB$1407,$AG37)))</f>
        <v>J</v>
      </c>
      <c r="O37" s="92" t="str">
        <f>IF($AG37="","",INDEX($AL$8:$AL$21,INDEX($AC$8:$AC$1407,$AG37)+1))</f>
        <v>BOR FY</v>
      </c>
      <c r="P37" s="109">
        <f>IF($AG37="","",INDEX($AD$8:$AD$1407,$AG37))</f>
        <v>342000</v>
      </c>
      <c r="Q37" s="92" t="str">
        <f>IF($AG37="","",INDEX($AM$8:$AM$21,INDEX($AC$8:$AC$1407,$AG37)+1))</f>
        <v>EUR</v>
      </c>
      <c r="R37" s="92" t="str">
        <f>IF($AG37="","",IF($G37&gt;0,P_ToelCorrectie&amp;"",""))</f>
        <v/>
      </c>
      <c r="S37" s="15" t="str">
        <f>IF(J37="","",J37&amp;"|"&amp;E37&amp;"|"&amp;F37&amp;"|"&amp;I37&amp;"|"&amp;O37)</f>
        <v>G.900003.8.9090|2026|Q3|2026|BOR FY</v>
      </c>
      <c r="T37" s="111">
        <f>IF(S37="","",IF(COUNTIFS(L_Sleutel,S37,L_Actief,1)=0,"",SUMIFS(L_Waarde,L_Sleutel,S37,L_Actief,1)))</f>
        <v>342000</v>
      </c>
      <c r="U37" s="111">
        <f>IF(OR(S37="",T37=""),0,P37-T37)</f>
        <v>0</v>
      </c>
      <c r="AB37" s="112" t="n">
        <v>3</v>
      </c>
      <c r="AC37" s="112" t="n">
        <v>1</v>
      </c>
      <c r="AD37" s="112">
        <f>VERW_Project!Q8</f>
        <v>342000</v>
      </c>
      <c r="AE37" s="112">
        <f>IF(AND(VERW_Project!$A8&lt;&gt;"",ISNUMBER(AD37)),1,0)</f>
        <v>1</v>
      </c>
      <c r="AF37" s="112">
        <f>IF(AE37=1,SUM($AE$8:AE37),"")</f>
        <v>30</v>
      </c>
      <c r="AG37">
        <f>IFERROR(MATCH(30,$AF$8:$AF$1407,0),"")</f>
        <v>30</v>
      </c>
    </row>
    <row r="38">
      <c r="A38" s="92" t="str">
        <f>IF($AG38="","",P_ImportID)</f>
        <v>IMP-2026-Q3-01</v>
      </c>
      <c r="B38" s="92" t="str">
        <f>IF($AG38="","",IF(INDEX($AN$8:$AN$21,INDEX($AC$8:$AC$1407,$AG38)+1)="Z",P_BronZ,P_BronE))</f>
        <v>ZPMW03_FICTIEF_20_projecten.xlsx</v>
      </c>
      <c r="C38" s="108">
        <f>IF($AG38="","",P_Importdatum)</f>
        <v>46324.0</v>
      </c>
      <c r="D38" s="92" t="str">
        <f>IF($AG38="","",P_StatusVastleg)</f>
        <v>Vastgesteld</v>
      </c>
      <c r="E38" s="92">
        <f>IF($AG38="","",P_UploadVJ)</f>
        <v>2026</v>
      </c>
      <c r="F38" s="92" t="str">
        <f>IF($AG38="","",P_UploadVersie)</f>
        <v>Q3</v>
      </c>
      <c r="G38" s="92">
        <f>IF($AG38="","",IF(COUNTIFS(L_Sleutel,$S38,L_Status,"Vastgesteld")=0,0,_xlfn.MAXIFS(L_Revisie,L_Sleutel,$S38,L_Status,"Vastgesteld")+1))</f>
        <v>1</v>
      </c>
      <c r="H38" s="108">
        <f>IF($AG38="","",P_Peildatum)</f>
        <v>46295.0</v>
      </c>
      <c r="I38" s="92">
        <f>IF($AG38="","",P_RJ+INDEX($AK$8:$AK$21,INDEX($AC$8:$AC$1407,$AG38)+1))</f>
        <v>2026</v>
      </c>
      <c r="J38" s="92" t="str">
        <f>IF($AG38="","",INDEX(V_WBS,INDEX($AB$8:$AB$1407,$AG38)))</f>
        <v>G.900003.8.9090</v>
      </c>
      <c r="K38" s="92" t="str">
        <f>IF($AG38="","",INDEX(V_Projdef,INDEX($AB$8:$AB$1407,$AG38)))</f>
        <v>G.900003</v>
      </c>
      <c r="L38" s="92" t="str">
        <f>IF($AG38="","",INDEX(V_Naam,INDEX($AB$8:$AB$1407,$AG38)))</f>
        <v>Veldendam, Stationshof</v>
      </c>
      <c r="M38" s="92" t="str">
        <f>IF($AG38="","",INDEX(V_Type,INDEX($AB$8:$AB$1407,$AG38)))</f>
        <v>Opstal</v>
      </c>
      <c r="N38" s="92" t="str">
        <f>IF($AG38="","",INDEX(V_IFRS,INDEX($AB$8:$AB$1407,$AG38)))</f>
        <v>J</v>
      </c>
      <c r="O38" s="92" t="str">
        <f>IF($AG38="","",INDEX($AL$8:$AL$21,INDEX($AC$8:$AC$1407,$AG38)+1))</f>
        <v>Omzet actual YTD</v>
      </c>
      <c r="P38" s="109">
        <f>IF($AG38="","",INDEX($AD$8:$AD$1407,$AG38))</f>
        <v>2964000</v>
      </c>
      <c r="Q38" s="92" t="str">
        <f>IF($AG38="","",INDEX($AM$8:$AM$21,INDEX($AC$8:$AC$1407,$AG38)+1))</f>
        <v>EUR</v>
      </c>
      <c r="R38" s="92" t="str">
        <f>IF($AG38="","",IF($G38&gt;0,P_ToelCorrectie&amp;"",""))</f>
        <v/>
      </c>
      <c r="S38" s="15" t="str">
        <f>IF(J38="","",J38&amp;"|"&amp;E38&amp;"|"&amp;F38&amp;"|"&amp;I38&amp;"|"&amp;O38)</f>
        <v>G.900003.8.9090|2026|Q3|2026|Omzet actual YTD</v>
      </c>
      <c r="T38" s="111">
        <f>IF(S38="","",IF(COUNTIFS(L_Sleutel,S38,L_Actief,1)=0,"",SUMIFS(L_Waarde,L_Sleutel,S38,L_Actief,1)))</f>
        <v>2964000</v>
      </c>
      <c r="U38" s="111">
        <f>IF(OR(S38="",T38=""),0,P38-T38)</f>
        <v>0</v>
      </c>
      <c r="AB38" s="112" t="n">
        <v>3</v>
      </c>
      <c r="AC38" s="112" t="n">
        <v>2</v>
      </c>
      <c r="AD38" s="112">
        <f>VERW_Project!L8</f>
        <v>2964000</v>
      </c>
      <c r="AE38" s="112">
        <f>IF(AND(VERW_Project!$A8&lt;&gt;"",ISNUMBER(AD38)),1,0)</f>
        <v>1</v>
      </c>
      <c r="AF38" s="112">
        <f>IF(AE38=1,SUM($AE$8:AE38),"")</f>
        <v>31</v>
      </c>
      <c r="AG38">
        <f>IFERROR(MATCH(31,$AF$8:$AF$1407,0),"")</f>
        <v>31</v>
      </c>
    </row>
    <row r="39">
      <c r="A39" s="92" t="str">
        <f>IF($AG39="","",P_ImportID)</f>
        <v>IMP-2026-Q3-01</v>
      </c>
      <c r="B39" s="92" t="str">
        <f>IF($AG39="","",IF(INDEX($AN$8:$AN$21,INDEX($AC$8:$AC$1407,$AG39)+1)="Z",P_BronZ,P_BronE))</f>
        <v>ZPMW03_FICTIEF_20_projecten.xlsx</v>
      </c>
      <c r="C39" s="108">
        <f>IF($AG39="","",P_Importdatum)</f>
        <v>46324.0</v>
      </c>
      <c r="D39" s="92" t="str">
        <f>IF($AG39="","",P_StatusVastleg)</f>
        <v>Vastgesteld</v>
      </c>
      <c r="E39" s="92">
        <f>IF($AG39="","",P_UploadVJ)</f>
        <v>2026</v>
      </c>
      <c r="F39" s="92" t="str">
        <f>IF($AG39="","",P_UploadVersie)</f>
        <v>Q3</v>
      </c>
      <c r="G39" s="92">
        <f>IF($AG39="","",IF(COUNTIFS(L_Sleutel,$S39,L_Status,"Vastgesteld")=0,0,_xlfn.MAXIFS(L_Revisie,L_Sleutel,$S39,L_Status,"Vastgesteld")+1))</f>
        <v>1</v>
      </c>
      <c r="H39" s="108">
        <f>IF($AG39="","",P_Peildatum)</f>
        <v>46295.0</v>
      </c>
      <c r="I39" s="92">
        <f>IF($AG39="","",P_RJ+INDEX($AK$8:$AK$21,INDEX($AC$8:$AC$1407,$AG39)+1))</f>
        <v>2026</v>
      </c>
      <c r="J39" s="92" t="str">
        <f>IF($AG39="","",INDEX(V_WBS,INDEX($AB$8:$AB$1407,$AG39)))</f>
        <v>G.900003.8.9090</v>
      </c>
      <c r="K39" s="92" t="str">
        <f>IF($AG39="","",INDEX(V_Projdef,INDEX($AB$8:$AB$1407,$AG39)))</f>
        <v>G.900003</v>
      </c>
      <c r="L39" s="92" t="str">
        <f>IF($AG39="","",INDEX(V_Naam,INDEX($AB$8:$AB$1407,$AG39)))</f>
        <v>Veldendam, Stationshof</v>
      </c>
      <c r="M39" s="92" t="str">
        <f>IF($AG39="","",INDEX(V_Type,INDEX($AB$8:$AB$1407,$AG39)))</f>
        <v>Opstal</v>
      </c>
      <c r="N39" s="92" t="str">
        <f>IF($AG39="","",INDEX(V_IFRS,INDEX($AB$8:$AB$1407,$AG39)))</f>
        <v>J</v>
      </c>
      <c r="O39" s="92" t="str">
        <f>IF($AG39="","",INDEX($AL$8:$AL$21,INDEX($AC$8:$AC$1407,$AG39)+1))</f>
        <v>BOR actual YTD</v>
      </c>
      <c r="P39" s="109">
        <f>IF($AG39="","",INDEX($AD$8:$AD$1407,$AG39))</f>
        <v>222300</v>
      </c>
      <c r="Q39" s="92" t="str">
        <f>IF($AG39="","",INDEX($AM$8:$AM$21,INDEX($AC$8:$AC$1407,$AG39)+1))</f>
        <v>EUR</v>
      </c>
      <c r="R39" s="92" t="str">
        <f>IF($AG39="","",IF($G39&gt;0,P_ToelCorrectie&amp;"",""))</f>
        <v/>
      </c>
      <c r="S39" s="15" t="str">
        <f>IF(J39="","",J39&amp;"|"&amp;E39&amp;"|"&amp;F39&amp;"|"&amp;I39&amp;"|"&amp;O39)</f>
        <v>G.900003.8.9090|2026|Q3|2026|BOR actual YTD</v>
      </c>
      <c r="T39" s="111">
        <f>IF(S39="","",IF(COUNTIFS(L_Sleutel,S39,L_Actief,1)=0,"",SUMIFS(L_Waarde,L_Sleutel,S39,L_Actief,1)))</f>
        <v>222300</v>
      </c>
      <c r="U39" s="111">
        <f>IF(OR(S39="",T39=""),0,P39-T39)</f>
        <v>0</v>
      </c>
      <c r="AB39" s="112" t="n">
        <v>3</v>
      </c>
      <c r="AC39" s="112" t="n">
        <v>3</v>
      </c>
      <c r="AD39" s="112">
        <f>VERW_Project!M8</f>
        <v>222300</v>
      </c>
      <c r="AE39" s="112">
        <f>IF(AND(VERW_Project!$A8&lt;&gt;"",ISNUMBER(AD39)),1,0)</f>
        <v>1</v>
      </c>
      <c r="AF39" s="112">
        <f>IF(AE39=1,SUM($AE$8:AE39),"")</f>
        <v>32</v>
      </c>
      <c r="AG39">
        <f>IFERROR(MATCH(32,$AF$8:$AF$1407,0),"")</f>
        <v>32</v>
      </c>
    </row>
    <row r="40">
      <c r="A40" s="92" t="str">
        <f>IF($AG40="","",P_ImportID)</f>
        <v>IMP-2026-Q3-01</v>
      </c>
      <c r="B40" s="92" t="str">
        <f>IF($AG40="","",IF(INDEX($AN$8:$AN$21,INDEX($AC$8:$AC$1407,$AG40)+1)="Z",P_BronZ,P_BronE))</f>
        <v>ZPMW03_FICTIEF_20_projecten.xlsx</v>
      </c>
      <c r="C40" s="108">
        <f>IF($AG40="","",P_Importdatum)</f>
        <v>46324.0</v>
      </c>
      <c r="D40" s="92" t="str">
        <f>IF($AG40="","",P_StatusVastleg)</f>
        <v>Vastgesteld</v>
      </c>
      <c r="E40" s="92">
        <f>IF($AG40="","",P_UploadVJ)</f>
        <v>2026</v>
      </c>
      <c r="F40" s="92" t="str">
        <f>IF($AG40="","",P_UploadVersie)</f>
        <v>Q3</v>
      </c>
      <c r="G40" s="92">
        <f>IF($AG40="","",IF(COUNTIFS(L_Sleutel,$S40,L_Status,"Vastgesteld")=0,0,_xlfn.MAXIFS(L_Revisie,L_Sleutel,$S40,L_Status,"Vastgesteld")+1))</f>
        <v>1</v>
      </c>
      <c r="H40" s="108">
        <f>IF($AG40="","",P_Peildatum)</f>
        <v>46295.0</v>
      </c>
      <c r="I40" s="92">
        <f>IF($AG40="","",P_RJ+INDEX($AK$8:$AK$21,INDEX($AC$8:$AC$1407,$AG40)+1))</f>
        <v>2027</v>
      </c>
      <c r="J40" s="92" t="str">
        <f>IF($AG40="","",INDEX(V_WBS,INDEX($AB$8:$AB$1407,$AG40)))</f>
        <v>G.900003.8.9090</v>
      </c>
      <c r="K40" s="92" t="str">
        <f>IF($AG40="","",INDEX(V_Projdef,INDEX($AB$8:$AB$1407,$AG40)))</f>
        <v>G.900003</v>
      </c>
      <c r="L40" s="92" t="str">
        <f>IF($AG40="","",INDEX(V_Naam,INDEX($AB$8:$AB$1407,$AG40)))</f>
        <v>Veldendam, Stationshof</v>
      </c>
      <c r="M40" s="92" t="str">
        <f>IF($AG40="","",INDEX(V_Type,INDEX($AB$8:$AB$1407,$AG40)))</f>
        <v>Opstal</v>
      </c>
      <c r="N40" s="92" t="str">
        <f>IF($AG40="","",INDEX(V_IFRS,INDEX($AB$8:$AB$1407,$AG40)))</f>
        <v>J</v>
      </c>
      <c r="O40" s="92" t="str">
        <f>IF($AG40="","",INDEX($AL$8:$AL$21,INDEX($AC$8:$AC$1407,$AG40)+1))</f>
        <v>Omzet FY</v>
      </c>
      <c r="P40" s="109">
        <f>IF($AG40="","",INDEX($AD$8:$AD$1407,$AG40))</f>
        <v>13832000</v>
      </c>
      <c r="Q40" s="92" t="str">
        <f>IF($AG40="","",INDEX($AM$8:$AM$21,INDEX($AC$8:$AC$1407,$AG40)+1))</f>
        <v>EUR</v>
      </c>
      <c r="R40" s="92" t="str">
        <f>IF($AG40="","",IF($G40&gt;0,P_ToelCorrectie&amp;"",""))</f>
        <v/>
      </c>
      <c r="S40" s="15" t="str">
        <f>IF(J40="","",J40&amp;"|"&amp;E40&amp;"|"&amp;F40&amp;"|"&amp;I40&amp;"|"&amp;O40)</f>
        <v>G.900003.8.9090|2026|Q3|2027|Omzet FY</v>
      </c>
      <c r="T40" s="111">
        <f>IF(S40="","",IF(COUNTIFS(L_Sleutel,S40,L_Actief,1)=0,"",SUMIFS(L_Waarde,L_Sleutel,S40,L_Actief,1)))</f>
        <v>13832000</v>
      </c>
      <c r="U40" s="111">
        <f>IF(OR(S40="",T40=""),0,P40-T40)</f>
        <v>0</v>
      </c>
      <c r="AB40" s="112" t="n">
        <v>3</v>
      </c>
      <c r="AC40" s="112" t="n">
        <v>4</v>
      </c>
      <c r="AD40" s="112">
        <f>VERW_Project!R8</f>
        <v>13832000</v>
      </c>
      <c r="AE40" s="112">
        <f>IF(AND(VERW_Project!$A8&lt;&gt;"",ISNUMBER(AD40)),1,0)</f>
        <v>1</v>
      </c>
      <c r="AF40" s="112">
        <f>IF(AE40=1,SUM($AE$8:AE40),"")</f>
        <v>33</v>
      </c>
      <c r="AG40">
        <f>IFERROR(MATCH(33,$AF$8:$AF$1407,0),"")</f>
        <v>33</v>
      </c>
    </row>
    <row r="41">
      <c r="A41" s="92" t="str">
        <f>IF($AG41="","",P_ImportID)</f>
        <v>IMP-2026-Q3-01</v>
      </c>
      <c r="B41" s="92" t="str">
        <f>IF($AG41="","",IF(INDEX($AN$8:$AN$21,INDEX($AC$8:$AC$1407,$AG41)+1)="Z",P_BronZ,P_BronE))</f>
        <v>ZPMW03_FICTIEF_20_projecten.xlsx</v>
      </c>
      <c r="C41" s="108">
        <f>IF($AG41="","",P_Importdatum)</f>
        <v>46324.0</v>
      </c>
      <c r="D41" s="92" t="str">
        <f>IF($AG41="","",P_StatusVastleg)</f>
        <v>Vastgesteld</v>
      </c>
      <c r="E41" s="92">
        <f>IF($AG41="","",P_UploadVJ)</f>
        <v>2026</v>
      </c>
      <c r="F41" s="92" t="str">
        <f>IF($AG41="","",P_UploadVersie)</f>
        <v>Q3</v>
      </c>
      <c r="G41" s="92">
        <f>IF($AG41="","",IF(COUNTIFS(L_Sleutel,$S41,L_Status,"Vastgesteld")=0,0,_xlfn.MAXIFS(L_Revisie,L_Sleutel,$S41,L_Status,"Vastgesteld")+1))</f>
        <v>1</v>
      </c>
      <c r="H41" s="108">
        <f>IF($AG41="","",P_Peildatum)</f>
        <v>46295.0</v>
      </c>
      <c r="I41" s="92">
        <f>IF($AG41="","",P_RJ+INDEX($AK$8:$AK$21,INDEX($AC$8:$AC$1407,$AG41)+1))</f>
        <v>2027</v>
      </c>
      <c r="J41" s="92" t="str">
        <f>IF($AG41="","",INDEX(V_WBS,INDEX($AB$8:$AB$1407,$AG41)))</f>
        <v>G.900003.8.9090</v>
      </c>
      <c r="K41" s="92" t="str">
        <f>IF($AG41="","",INDEX(V_Projdef,INDEX($AB$8:$AB$1407,$AG41)))</f>
        <v>G.900003</v>
      </c>
      <c r="L41" s="92" t="str">
        <f>IF($AG41="","",INDEX(V_Naam,INDEX($AB$8:$AB$1407,$AG41)))</f>
        <v>Veldendam, Stationshof</v>
      </c>
      <c r="M41" s="92" t="str">
        <f>IF($AG41="","",INDEX(V_Type,INDEX($AB$8:$AB$1407,$AG41)))</f>
        <v>Opstal</v>
      </c>
      <c r="N41" s="92" t="str">
        <f>IF($AG41="","",INDEX(V_IFRS,INDEX($AB$8:$AB$1407,$AG41)))</f>
        <v>J</v>
      </c>
      <c r="O41" s="92" t="str">
        <f>IF($AG41="","",INDEX($AL$8:$AL$21,INDEX($AC$8:$AC$1407,$AG41)+1))</f>
        <v>BOR FY</v>
      </c>
      <c r="P41" s="109">
        <f>IF($AG41="","",INDEX($AD$8:$AD$1407,$AG41))</f>
        <v>1037400</v>
      </c>
      <c r="Q41" s="92" t="str">
        <f>IF($AG41="","",INDEX($AM$8:$AM$21,INDEX($AC$8:$AC$1407,$AG41)+1))</f>
        <v>EUR</v>
      </c>
      <c r="R41" s="92" t="str">
        <f>IF($AG41="","",IF($G41&gt;0,P_ToelCorrectie&amp;"",""))</f>
        <v/>
      </c>
      <c r="S41" s="15" t="str">
        <f>IF(J41="","",J41&amp;"|"&amp;E41&amp;"|"&amp;F41&amp;"|"&amp;I41&amp;"|"&amp;O41)</f>
        <v>G.900003.8.9090|2026|Q3|2027|BOR FY</v>
      </c>
      <c r="T41" s="111">
        <f>IF(S41="","",IF(COUNTIFS(L_Sleutel,S41,L_Actief,1)=0,"",SUMIFS(L_Waarde,L_Sleutel,S41,L_Actief,1)))</f>
        <v>1037400</v>
      </c>
      <c r="U41" s="111">
        <f>IF(OR(S41="",T41=""),0,P41-T41)</f>
        <v>0</v>
      </c>
      <c r="AB41" s="112" t="n">
        <v>3</v>
      </c>
      <c r="AC41" s="112" t="n">
        <v>5</v>
      </c>
      <c r="AD41" s="112">
        <f>VERW_Project!S8</f>
        <v>1037400</v>
      </c>
      <c r="AE41" s="112">
        <f>IF(AND(VERW_Project!$A8&lt;&gt;"",ISNUMBER(AD41)),1,0)</f>
        <v>1</v>
      </c>
      <c r="AF41" s="112">
        <f>IF(AE41=1,SUM($AE$8:AE41),"")</f>
        <v>34</v>
      </c>
      <c r="AG41">
        <f>IFERROR(MATCH(34,$AF$8:$AF$1407,0),"")</f>
        <v>34</v>
      </c>
    </row>
    <row r="42">
      <c r="A42" s="92" t="str">
        <f>IF($AG42="","",P_ImportID)</f>
        <v>IMP-2026-Q3-01</v>
      </c>
      <c r="B42" s="92" t="str">
        <f>IF($AG42="","",IF(INDEX($AN$8:$AN$21,INDEX($AC$8:$AC$1407,$AG42)+1)="Z",P_BronZ,P_BronE))</f>
        <v>Woningetalage_FICTIEF_20_projecten.xlsx</v>
      </c>
      <c r="C42" s="108">
        <f>IF($AG42="","",P_Importdatum)</f>
        <v>46324.0</v>
      </c>
      <c r="D42" s="92" t="str">
        <f>IF($AG42="","",P_StatusVastleg)</f>
        <v>Vastgesteld</v>
      </c>
      <c r="E42" s="92">
        <f>IF($AG42="","",P_UploadVJ)</f>
        <v>2026</v>
      </c>
      <c r="F42" s="92" t="str">
        <f>IF($AG42="","",P_UploadVersie)</f>
        <v>Q3</v>
      </c>
      <c r="G42" s="92">
        <f>IF($AG42="","",IF(COUNTIFS(L_Sleutel,$S42,L_Status,"Vastgesteld")=0,0,_xlfn.MAXIFS(L_Revisie,L_Sleutel,$S42,L_Status,"Vastgesteld")+1))</f>
        <v>1</v>
      </c>
      <c r="H42" s="108">
        <f>IF($AG42="","",P_Peildatum)</f>
        <v>46295.0</v>
      </c>
      <c r="I42" s="92">
        <f>IF($AG42="","",P_RJ+INDEX($AK$8:$AK$21,INDEX($AC$8:$AC$1407,$AG42)+1))</f>
        <v>2026</v>
      </c>
      <c r="J42" s="92" t="str">
        <f>IF($AG42="","",INDEX(V_WBS,INDEX($AB$8:$AB$1407,$AG42)))</f>
        <v>G.900003.8.9090</v>
      </c>
      <c r="K42" s="92" t="str">
        <f>IF($AG42="","",INDEX(V_Projdef,INDEX($AB$8:$AB$1407,$AG42)))</f>
        <v>G.900003</v>
      </c>
      <c r="L42" s="92" t="str">
        <f>IF($AG42="","",INDEX(V_Naam,INDEX($AB$8:$AB$1407,$AG42)))</f>
        <v>Veldendam, Stationshof</v>
      </c>
      <c r="M42" s="92" t="str">
        <f>IF($AG42="","",INDEX(V_Type,INDEX($AB$8:$AB$1407,$AG42)))</f>
        <v>Opstal</v>
      </c>
      <c r="N42" s="92" t="str">
        <f>IF($AG42="","",INDEX(V_IFRS,INDEX($AB$8:$AB$1407,$AG42)))</f>
        <v>J</v>
      </c>
      <c r="O42" s="92" t="str">
        <f>IF($AG42="","",INDEX($AL$8:$AL$21,INDEX($AC$8:$AC$1407,$AG42)+1))</f>
        <v>Woningverkopen FY</v>
      </c>
      <c r="P42" s="109">
        <f>IF($AG42="","",INDEX($AD$8:$AD$1407,$AG42))</f>
        <v>20</v>
      </c>
      <c r="Q42" s="92" t="str">
        <f>IF($AG42="","",INDEX($AM$8:$AM$21,INDEX($AC$8:$AC$1407,$AG42)+1))</f>
        <v>aantal</v>
      </c>
      <c r="R42" s="92" t="str">
        <f>IF($AG42="","",IF($G42&gt;0,P_ToelCorrectie&amp;"",""))</f>
        <v/>
      </c>
      <c r="S42" s="15" t="str">
        <f>IF(J42="","",J42&amp;"|"&amp;E42&amp;"|"&amp;F42&amp;"|"&amp;I42&amp;"|"&amp;O42)</f>
        <v>G.900003.8.9090|2026|Q3|2026|Woningverkopen FY</v>
      </c>
      <c r="T42" s="111">
        <f>IF(S42="","",IF(COUNTIFS(L_Sleutel,S42,L_Actief,1)=0,"",SUMIFS(L_Waarde,L_Sleutel,S42,L_Actief,1)))</f>
        <v>20</v>
      </c>
      <c r="U42" s="111">
        <f>IF(OR(S42="",T42=""),0,P42-T42)</f>
        <v>0</v>
      </c>
      <c r="AB42" s="112" t="n">
        <v>3</v>
      </c>
      <c r="AC42" s="112" t="n">
        <v>6</v>
      </c>
      <c r="AD42" s="112">
        <f>VERW_Project!BW8</f>
        <v>20</v>
      </c>
      <c r="AE42" s="112">
        <f>IF(AND(VERW_Project!$A8&lt;&gt;"",ISNUMBER(AD42)),1,0)</f>
        <v>1</v>
      </c>
      <c r="AF42" s="112">
        <f>IF(AE42=1,SUM($AE$8:AE42),"")</f>
        <v>35</v>
      </c>
      <c r="AG42">
        <f>IFERROR(MATCH(35,$AF$8:$AF$1407,0),"")</f>
        <v>35</v>
      </c>
    </row>
    <row r="43">
      <c r="A43" s="92" t="str">
        <f>IF($AG43="","",P_ImportID)</f>
        <v>IMP-2026-Q3-01</v>
      </c>
      <c r="B43" s="92" t="str">
        <f>IF($AG43="","",IF(INDEX($AN$8:$AN$21,INDEX($AC$8:$AC$1407,$AG43)+1)="Z",P_BronZ,P_BronE))</f>
        <v>Woningetalage_FICTIEF_20_projecten.xlsx</v>
      </c>
      <c r="C43" s="108">
        <f>IF($AG43="","",P_Importdatum)</f>
        <v>46324.0</v>
      </c>
      <c r="D43" s="92" t="str">
        <f>IF($AG43="","",P_StatusVastleg)</f>
        <v>Vastgesteld</v>
      </c>
      <c r="E43" s="92">
        <f>IF($AG43="","",P_UploadVJ)</f>
        <v>2026</v>
      </c>
      <c r="F43" s="92" t="str">
        <f>IF($AG43="","",P_UploadVersie)</f>
        <v>Q3</v>
      </c>
      <c r="G43" s="92">
        <f>IF($AG43="","",IF(COUNTIFS(L_Sleutel,$S43,L_Status,"Vastgesteld")=0,0,_xlfn.MAXIFS(L_Revisie,L_Sleutel,$S43,L_Status,"Vastgesteld")+1))</f>
        <v>1</v>
      </c>
      <c r="H43" s="108">
        <f>IF($AG43="","",P_Peildatum)</f>
        <v>46295.0</v>
      </c>
      <c r="I43" s="92">
        <f>IF($AG43="","",P_RJ+INDEX($AK$8:$AK$21,INDEX($AC$8:$AC$1407,$AG43)+1))</f>
        <v>2026</v>
      </c>
      <c r="J43" s="92" t="str">
        <f>IF($AG43="","",INDEX(V_WBS,INDEX($AB$8:$AB$1407,$AG43)))</f>
        <v>G.900003.8.9090</v>
      </c>
      <c r="K43" s="92" t="str">
        <f>IF($AG43="","",INDEX(V_Projdef,INDEX($AB$8:$AB$1407,$AG43)))</f>
        <v>G.900003</v>
      </c>
      <c r="L43" s="92" t="str">
        <f>IF($AG43="","",INDEX(V_Naam,INDEX($AB$8:$AB$1407,$AG43)))</f>
        <v>Veldendam, Stationshof</v>
      </c>
      <c r="M43" s="92" t="str">
        <f>IF($AG43="","",INDEX(V_Type,INDEX($AB$8:$AB$1407,$AG43)))</f>
        <v>Opstal</v>
      </c>
      <c r="N43" s="92" t="str">
        <f>IF($AG43="","",INDEX(V_IFRS,INDEX($AB$8:$AB$1407,$AG43)))</f>
        <v>J</v>
      </c>
      <c r="O43" s="92" t="str">
        <f>IF($AG43="","",INDEX($AL$8:$AL$21,INDEX($AC$8:$AC$1407,$AG43)+1))</f>
        <v>Woningen verkocht t/m vorig jaar</v>
      </c>
      <c r="P43" s="109">
        <f>IF($AG43="","",INDEX($AD$8:$AD$1407,$AG43))</f>
        <v>15</v>
      </c>
      <c r="Q43" s="92" t="str">
        <f>IF($AG43="","",INDEX($AM$8:$AM$21,INDEX($AC$8:$AC$1407,$AG43)+1))</f>
        <v>aantal</v>
      </c>
      <c r="R43" s="92" t="str">
        <f>IF($AG43="","",IF($G43&gt;0,P_ToelCorrectie&amp;"",""))</f>
        <v/>
      </c>
      <c r="S43" s="15" t="str">
        <f>IF(J43="","",J43&amp;"|"&amp;E43&amp;"|"&amp;F43&amp;"|"&amp;I43&amp;"|"&amp;O43)</f>
        <v>G.900003.8.9090|2026|Q3|2026|Woningen verkocht t/m vorig jaar</v>
      </c>
      <c r="T43" s="111">
        <f>IF(S43="","",IF(COUNTIFS(L_Sleutel,S43,L_Actief,1)=0,"",SUMIFS(L_Waarde,L_Sleutel,S43,L_Actief,1)))</f>
        <v>15</v>
      </c>
      <c r="U43" s="111">
        <f>IF(OR(S43="",T43=""),0,P43-T43)</f>
        <v>0</v>
      </c>
      <c r="AB43" s="112" t="n">
        <v>3</v>
      </c>
      <c r="AC43" s="112" t="n">
        <v>7</v>
      </c>
      <c r="AD43" s="112">
        <f>VERW_Project!AW8</f>
        <v>15</v>
      </c>
      <c r="AE43" s="112">
        <f>IF(AND(VERW_Project!$A8&lt;&gt;"",ISNUMBER(AD43)),1,0)</f>
        <v>1</v>
      </c>
      <c r="AF43" s="112">
        <f>IF(AE43=1,SUM($AE$8:AE43),"")</f>
        <v>36</v>
      </c>
      <c r="AG43">
        <f>IFERROR(MATCH(36,$AF$8:$AF$1407,0),"")</f>
        <v>36</v>
      </c>
    </row>
    <row r="44">
      <c r="A44" s="92" t="str">
        <f>IF($AG44="","",P_ImportID)</f>
        <v>IMP-2026-Q3-01</v>
      </c>
      <c r="B44" s="92" t="str">
        <f>IF($AG44="","",IF(INDEX($AN$8:$AN$21,INDEX($AC$8:$AC$1407,$AG44)+1)="Z",P_BronZ,P_BronE))</f>
        <v>Woningetalage_FICTIEF_20_projecten.xlsx</v>
      </c>
      <c r="C44" s="108">
        <f>IF($AG44="","",P_Importdatum)</f>
        <v>46324.0</v>
      </c>
      <c r="D44" s="92" t="str">
        <f>IF($AG44="","",P_StatusVastleg)</f>
        <v>Vastgesteld</v>
      </c>
      <c r="E44" s="92">
        <f>IF($AG44="","",P_UploadVJ)</f>
        <v>2026</v>
      </c>
      <c r="F44" s="92" t="str">
        <f>IF($AG44="","",P_UploadVersie)</f>
        <v>Q3</v>
      </c>
      <c r="G44" s="92">
        <f>IF($AG44="","",IF(COUNTIFS(L_Sleutel,$S44,L_Status,"Vastgesteld")=0,0,_xlfn.MAXIFS(L_Revisie,L_Sleutel,$S44,L_Status,"Vastgesteld")+1))</f>
        <v>1</v>
      </c>
      <c r="H44" s="108">
        <f>IF($AG44="","",P_Peildatum)</f>
        <v>46295.0</v>
      </c>
      <c r="I44" s="92">
        <f>IF($AG44="","",P_RJ+INDEX($AK$8:$AK$21,INDEX($AC$8:$AC$1407,$AG44)+1))</f>
        <v>2026</v>
      </c>
      <c r="J44" s="92" t="str">
        <f>IF($AG44="","",INDEX(V_WBS,INDEX($AB$8:$AB$1407,$AG44)))</f>
        <v>G.900003.8.9090</v>
      </c>
      <c r="K44" s="92" t="str">
        <f>IF($AG44="","",INDEX(V_Projdef,INDEX($AB$8:$AB$1407,$AG44)))</f>
        <v>G.900003</v>
      </c>
      <c r="L44" s="92" t="str">
        <f>IF($AG44="","",INDEX(V_Naam,INDEX($AB$8:$AB$1407,$AG44)))</f>
        <v>Veldendam, Stationshof</v>
      </c>
      <c r="M44" s="92" t="str">
        <f>IF($AG44="","",INDEX(V_Type,INDEX($AB$8:$AB$1407,$AG44)))</f>
        <v>Opstal</v>
      </c>
      <c r="N44" s="92" t="str">
        <f>IF($AG44="","",INDEX(V_IFRS,INDEX($AB$8:$AB$1407,$AG44)))</f>
        <v>J</v>
      </c>
      <c r="O44" s="92" t="str">
        <f>IF($AG44="","",INDEX($AL$8:$AL$21,INDEX($AC$8:$AC$1407,$AG44)+1))</f>
        <v>Woningverkopen Q1</v>
      </c>
      <c r="P44" s="109">
        <f>IF($AG44="","",INDEX($AD$8:$AD$1407,$AG44))</f>
        <v>1</v>
      </c>
      <c r="Q44" s="92" t="str">
        <f>IF($AG44="","",INDEX($AM$8:$AM$21,INDEX($AC$8:$AC$1407,$AG44)+1))</f>
        <v>aantal</v>
      </c>
      <c r="R44" s="92" t="str">
        <f>IF($AG44="","",IF($G44&gt;0,P_ToelCorrectie&amp;"",""))</f>
        <v/>
      </c>
      <c r="S44" s="15" t="str">
        <f>IF(J44="","",J44&amp;"|"&amp;E44&amp;"|"&amp;F44&amp;"|"&amp;I44&amp;"|"&amp;O44)</f>
        <v>G.900003.8.9090|2026|Q3|2026|Woningverkopen Q1</v>
      </c>
      <c r="T44" s="111">
        <f>IF(S44="","",IF(COUNTIFS(L_Sleutel,S44,L_Actief,1)=0,"",SUMIFS(L_Waarde,L_Sleutel,S44,L_Actief,1)))</f>
        <v>1</v>
      </c>
      <c r="U44" s="111">
        <f>IF(OR(S44="",T44=""),0,P44-T44)</f>
        <v>0</v>
      </c>
      <c r="AB44" s="112" t="n">
        <v>3</v>
      </c>
      <c r="AC44" s="112" t="n">
        <v>8</v>
      </c>
      <c r="AD44" s="112">
        <f>VERW_Project!BQ8</f>
        <v>1</v>
      </c>
      <c r="AE44" s="112">
        <f>IF(AND(VERW_Project!$A8&lt;&gt;"",ISNUMBER(AD44)),1,0)</f>
        <v>1</v>
      </c>
      <c r="AF44" s="112">
        <f>IF(AE44=1,SUM($AE$8:AE44),"")</f>
        <v>37</v>
      </c>
      <c r="AG44">
        <f>IFERROR(MATCH(37,$AF$8:$AF$1407,0),"")</f>
        <v>37</v>
      </c>
    </row>
    <row r="45">
      <c r="A45" s="92" t="str">
        <f>IF($AG45="","",P_ImportID)</f>
        <v>IMP-2026-Q3-01</v>
      </c>
      <c r="B45" s="92" t="str">
        <f>IF($AG45="","",IF(INDEX($AN$8:$AN$21,INDEX($AC$8:$AC$1407,$AG45)+1)="Z",P_BronZ,P_BronE))</f>
        <v>Woningetalage_FICTIEF_20_projecten.xlsx</v>
      </c>
      <c r="C45" s="108">
        <f>IF($AG45="","",P_Importdatum)</f>
        <v>46324.0</v>
      </c>
      <c r="D45" s="92" t="str">
        <f>IF($AG45="","",P_StatusVastleg)</f>
        <v>Vastgesteld</v>
      </c>
      <c r="E45" s="92">
        <f>IF($AG45="","",P_UploadVJ)</f>
        <v>2026</v>
      </c>
      <c r="F45" s="92" t="str">
        <f>IF($AG45="","",P_UploadVersie)</f>
        <v>Q3</v>
      </c>
      <c r="G45" s="92">
        <f>IF($AG45="","",IF(COUNTIFS(L_Sleutel,$S45,L_Status,"Vastgesteld")=0,0,_xlfn.MAXIFS(L_Revisie,L_Sleutel,$S45,L_Status,"Vastgesteld")+1))</f>
        <v>1</v>
      </c>
      <c r="H45" s="108">
        <f>IF($AG45="","",P_Peildatum)</f>
        <v>46295.0</v>
      </c>
      <c r="I45" s="92">
        <f>IF($AG45="","",P_RJ+INDEX($AK$8:$AK$21,INDEX($AC$8:$AC$1407,$AG45)+1))</f>
        <v>2026</v>
      </c>
      <c r="J45" s="92" t="str">
        <f>IF($AG45="","",INDEX(V_WBS,INDEX($AB$8:$AB$1407,$AG45)))</f>
        <v>G.900003.8.9090</v>
      </c>
      <c r="K45" s="92" t="str">
        <f>IF($AG45="","",INDEX(V_Projdef,INDEX($AB$8:$AB$1407,$AG45)))</f>
        <v>G.900003</v>
      </c>
      <c r="L45" s="92" t="str">
        <f>IF($AG45="","",INDEX(V_Naam,INDEX($AB$8:$AB$1407,$AG45)))</f>
        <v>Veldendam, Stationshof</v>
      </c>
      <c r="M45" s="92" t="str">
        <f>IF($AG45="","",INDEX(V_Type,INDEX($AB$8:$AB$1407,$AG45)))</f>
        <v>Opstal</v>
      </c>
      <c r="N45" s="92" t="str">
        <f>IF($AG45="","",INDEX(V_IFRS,INDEX($AB$8:$AB$1407,$AG45)))</f>
        <v>J</v>
      </c>
      <c r="O45" s="92" t="str">
        <f>IF($AG45="","",INDEX($AL$8:$AL$21,INDEX($AC$8:$AC$1407,$AG45)+1))</f>
        <v>Woningverkopen Q2</v>
      </c>
      <c r="P45" s="109">
        <f>IF($AG45="","",INDEX($AD$8:$AD$1407,$AG45))</f>
        <v>4</v>
      </c>
      <c r="Q45" s="92" t="str">
        <f>IF($AG45="","",INDEX($AM$8:$AM$21,INDEX($AC$8:$AC$1407,$AG45)+1))</f>
        <v>aantal</v>
      </c>
      <c r="R45" s="92" t="str">
        <f>IF($AG45="","",IF($G45&gt;0,P_ToelCorrectie&amp;"",""))</f>
        <v/>
      </c>
      <c r="S45" s="15" t="str">
        <f>IF(J45="","",J45&amp;"|"&amp;E45&amp;"|"&amp;F45&amp;"|"&amp;I45&amp;"|"&amp;O45)</f>
        <v>G.900003.8.9090|2026|Q3|2026|Woningverkopen Q2</v>
      </c>
      <c r="T45" s="111">
        <f>IF(S45="","",IF(COUNTIFS(L_Sleutel,S45,L_Actief,1)=0,"",SUMIFS(L_Waarde,L_Sleutel,S45,L_Actief,1)))</f>
        <v>4</v>
      </c>
      <c r="U45" s="111">
        <f>IF(OR(S45="",T45=""),0,P45-T45)</f>
        <v>0</v>
      </c>
      <c r="AB45" s="112" t="n">
        <v>3</v>
      </c>
      <c r="AC45" s="112" t="n">
        <v>9</v>
      </c>
      <c r="AD45" s="112">
        <f>VERW_Project!BR8</f>
        <v>4</v>
      </c>
      <c r="AE45" s="112">
        <f>IF(AND(VERW_Project!$A8&lt;&gt;"",ISNUMBER(AD45)),1,0)</f>
        <v>1</v>
      </c>
      <c r="AF45" s="112">
        <f>IF(AE45=1,SUM($AE$8:AE45),"")</f>
        <v>38</v>
      </c>
      <c r="AG45">
        <f>IFERROR(MATCH(38,$AF$8:$AF$1407,0),"")</f>
        <v>38</v>
      </c>
    </row>
    <row r="46">
      <c r="A46" s="92" t="str">
        <f>IF($AG46="","",P_ImportID)</f>
        <v>IMP-2026-Q3-01</v>
      </c>
      <c r="B46" s="92" t="str">
        <f>IF($AG46="","",IF(INDEX($AN$8:$AN$21,INDEX($AC$8:$AC$1407,$AG46)+1)="Z",P_BronZ,P_BronE))</f>
        <v>Woningetalage_FICTIEF_20_projecten.xlsx</v>
      </c>
      <c r="C46" s="108">
        <f>IF($AG46="","",P_Importdatum)</f>
        <v>46324.0</v>
      </c>
      <c r="D46" s="92" t="str">
        <f>IF($AG46="","",P_StatusVastleg)</f>
        <v>Vastgesteld</v>
      </c>
      <c r="E46" s="92">
        <f>IF($AG46="","",P_UploadVJ)</f>
        <v>2026</v>
      </c>
      <c r="F46" s="92" t="str">
        <f>IF($AG46="","",P_UploadVersie)</f>
        <v>Q3</v>
      </c>
      <c r="G46" s="92">
        <f>IF($AG46="","",IF(COUNTIFS(L_Sleutel,$S46,L_Status,"Vastgesteld")=0,0,_xlfn.MAXIFS(L_Revisie,L_Sleutel,$S46,L_Status,"Vastgesteld")+1))</f>
        <v>1</v>
      </c>
      <c r="H46" s="108">
        <f>IF($AG46="","",P_Peildatum)</f>
        <v>46295.0</v>
      </c>
      <c r="I46" s="92">
        <f>IF($AG46="","",P_RJ+INDEX($AK$8:$AK$21,INDEX($AC$8:$AC$1407,$AG46)+1))</f>
        <v>2026</v>
      </c>
      <c r="J46" s="92" t="str">
        <f>IF($AG46="","",INDEX(V_WBS,INDEX($AB$8:$AB$1407,$AG46)))</f>
        <v>G.900003.8.9090</v>
      </c>
      <c r="K46" s="92" t="str">
        <f>IF($AG46="","",INDEX(V_Projdef,INDEX($AB$8:$AB$1407,$AG46)))</f>
        <v>G.900003</v>
      </c>
      <c r="L46" s="92" t="str">
        <f>IF($AG46="","",INDEX(V_Naam,INDEX($AB$8:$AB$1407,$AG46)))</f>
        <v>Veldendam, Stationshof</v>
      </c>
      <c r="M46" s="92" t="str">
        <f>IF($AG46="","",INDEX(V_Type,INDEX($AB$8:$AB$1407,$AG46)))</f>
        <v>Opstal</v>
      </c>
      <c r="N46" s="92" t="str">
        <f>IF($AG46="","",INDEX(V_IFRS,INDEX($AB$8:$AB$1407,$AG46)))</f>
        <v>J</v>
      </c>
      <c r="O46" s="92" t="str">
        <f>IF($AG46="","",INDEX($AL$8:$AL$21,INDEX($AC$8:$AC$1407,$AG46)+1))</f>
        <v>Woningverkopen Q3</v>
      </c>
      <c r="P46" s="109">
        <f>IF($AG46="","",INDEX($AD$8:$AD$1407,$AG46))</f>
        <v>4</v>
      </c>
      <c r="Q46" s="92" t="str">
        <f>IF($AG46="","",INDEX($AM$8:$AM$21,INDEX($AC$8:$AC$1407,$AG46)+1))</f>
        <v>aantal</v>
      </c>
      <c r="R46" s="92" t="str">
        <f>IF($AG46="","",IF($G46&gt;0,P_ToelCorrectie&amp;"",""))</f>
        <v/>
      </c>
      <c r="S46" s="15" t="str">
        <f>IF(J46="","",J46&amp;"|"&amp;E46&amp;"|"&amp;F46&amp;"|"&amp;I46&amp;"|"&amp;O46)</f>
        <v>G.900003.8.9090|2026|Q3|2026|Woningverkopen Q3</v>
      </c>
      <c r="T46" s="111">
        <f>IF(S46="","",IF(COUNTIFS(L_Sleutel,S46,L_Actief,1)=0,"",SUMIFS(L_Waarde,L_Sleutel,S46,L_Actief,1)))</f>
        <v>4</v>
      </c>
      <c r="U46" s="111">
        <f>IF(OR(S46="",T46=""),0,P46-T46)</f>
        <v>0</v>
      </c>
      <c r="AB46" s="112" t="n">
        <v>3</v>
      </c>
      <c r="AC46" s="112" t="n">
        <v>10</v>
      </c>
      <c r="AD46" s="112">
        <f>VERW_Project!BS8</f>
        <v>4</v>
      </c>
      <c r="AE46" s="112">
        <f>IF(AND(VERW_Project!$A8&lt;&gt;"",ISNUMBER(AD46)),1,0)</f>
        <v>1</v>
      </c>
      <c r="AF46" s="112">
        <f>IF(AE46=1,SUM($AE$8:AE46),"")</f>
        <v>39</v>
      </c>
      <c r="AG46">
        <f>IFERROR(MATCH(39,$AF$8:$AF$1407,0),"")</f>
        <v>39</v>
      </c>
    </row>
    <row r="47">
      <c r="A47" s="92" t="str">
        <f>IF($AG47="","",P_ImportID)</f>
        <v>IMP-2026-Q3-01</v>
      </c>
      <c r="B47" s="92" t="str">
        <f>IF($AG47="","",IF(INDEX($AN$8:$AN$21,INDEX($AC$8:$AC$1407,$AG47)+1)="Z",P_BronZ,P_BronE))</f>
        <v>Woningetalage_FICTIEF_20_projecten.xlsx</v>
      </c>
      <c r="C47" s="108">
        <f>IF($AG47="","",P_Importdatum)</f>
        <v>46324.0</v>
      </c>
      <c r="D47" s="92" t="str">
        <f>IF($AG47="","",P_StatusVastleg)</f>
        <v>Vastgesteld</v>
      </c>
      <c r="E47" s="92">
        <f>IF($AG47="","",P_UploadVJ)</f>
        <v>2026</v>
      </c>
      <c r="F47" s="92" t="str">
        <f>IF($AG47="","",P_UploadVersie)</f>
        <v>Q3</v>
      </c>
      <c r="G47" s="92">
        <f>IF($AG47="","",IF(COUNTIFS(L_Sleutel,$S47,L_Status,"Vastgesteld")=0,0,_xlfn.MAXIFS(L_Revisie,L_Sleutel,$S47,L_Status,"Vastgesteld")+1))</f>
        <v>1</v>
      </c>
      <c r="H47" s="108">
        <f>IF($AG47="","",P_Peildatum)</f>
        <v>46295.0</v>
      </c>
      <c r="I47" s="92">
        <f>IF($AG47="","",P_RJ+INDEX($AK$8:$AK$21,INDEX($AC$8:$AC$1407,$AG47)+1))</f>
        <v>2026</v>
      </c>
      <c r="J47" s="92" t="str">
        <f>IF($AG47="","",INDEX(V_WBS,INDEX($AB$8:$AB$1407,$AG47)))</f>
        <v>G.900003.8.9090</v>
      </c>
      <c r="K47" s="92" t="str">
        <f>IF($AG47="","",INDEX(V_Projdef,INDEX($AB$8:$AB$1407,$AG47)))</f>
        <v>G.900003</v>
      </c>
      <c r="L47" s="92" t="str">
        <f>IF($AG47="","",INDEX(V_Naam,INDEX($AB$8:$AB$1407,$AG47)))</f>
        <v>Veldendam, Stationshof</v>
      </c>
      <c r="M47" s="92" t="str">
        <f>IF($AG47="","",INDEX(V_Type,INDEX($AB$8:$AB$1407,$AG47)))</f>
        <v>Opstal</v>
      </c>
      <c r="N47" s="92" t="str">
        <f>IF($AG47="","",INDEX(V_IFRS,INDEX($AB$8:$AB$1407,$AG47)))</f>
        <v>J</v>
      </c>
      <c r="O47" s="92" t="str">
        <f>IF($AG47="","",INDEX($AL$8:$AL$21,INDEX($AC$8:$AC$1407,$AG47)+1))</f>
        <v>Woningverkopen Q4</v>
      </c>
      <c r="P47" s="109">
        <f>IF($AG47="","",INDEX($AD$8:$AD$1407,$AG47))</f>
        <v>11</v>
      </c>
      <c r="Q47" s="92" t="str">
        <f>IF($AG47="","",INDEX($AM$8:$AM$21,INDEX($AC$8:$AC$1407,$AG47)+1))</f>
        <v>aantal</v>
      </c>
      <c r="R47" s="92" t="str">
        <f>IF($AG47="","",IF($G47&gt;0,P_ToelCorrectie&amp;"",""))</f>
        <v/>
      </c>
      <c r="S47" s="15" t="str">
        <f>IF(J47="","",J47&amp;"|"&amp;E47&amp;"|"&amp;F47&amp;"|"&amp;I47&amp;"|"&amp;O47)</f>
        <v>G.900003.8.9090|2026|Q3|2026|Woningverkopen Q4</v>
      </c>
      <c r="T47" s="111">
        <f>IF(S47="","",IF(COUNTIFS(L_Sleutel,S47,L_Actief,1)=0,"",SUMIFS(L_Waarde,L_Sleutel,S47,L_Actief,1)))</f>
        <v>11</v>
      </c>
      <c r="U47" s="111">
        <f>IF(OR(S47="",T47=""),0,P47-T47)</f>
        <v>0</v>
      </c>
      <c r="AB47" s="112" t="n">
        <v>3</v>
      </c>
      <c r="AC47" s="112" t="n">
        <v>11</v>
      </c>
      <c r="AD47" s="112">
        <f>VERW_Project!BT8</f>
        <v>11</v>
      </c>
      <c r="AE47" s="112">
        <f>IF(AND(VERW_Project!$A8&lt;&gt;"",ISNUMBER(AD47)),1,0)</f>
        <v>1</v>
      </c>
      <c r="AF47" s="112">
        <f>IF(AE47=1,SUM($AE$8:AE47),"")</f>
        <v>40</v>
      </c>
      <c r="AG47">
        <f>IFERROR(MATCH(40,$AF$8:$AF$1407,0),"")</f>
        <v>40</v>
      </c>
    </row>
    <row r="48">
      <c r="A48" s="92" t="str">
        <f>IF($AG48="","",P_ImportID)</f>
        <v>IMP-2026-Q3-01</v>
      </c>
      <c r="B48" s="92" t="str">
        <f>IF($AG48="","",IF(INDEX($AN$8:$AN$21,INDEX($AC$8:$AC$1407,$AG48)+1)="Z",P_BronZ,P_BronE))</f>
        <v>Woningetalage_FICTIEF_20_projecten.xlsx</v>
      </c>
      <c r="C48" s="108">
        <f>IF($AG48="","",P_Importdatum)</f>
        <v>46324.0</v>
      </c>
      <c r="D48" s="92" t="str">
        <f>IF($AG48="","",P_StatusVastleg)</f>
        <v>Vastgesteld</v>
      </c>
      <c r="E48" s="92">
        <f>IF($AG48="","",P_UploadVJ)</f>
        <v>2026</v>
      </c>
      <c r="F48" s="92" t="str">
        <f>IF($AG48="","",P_UploadVersie)</f>
        <v>Q3</v>
      </c>
      <c r="G48" s="92">
        <f>IF($AG48="","",IF(COUNTIFS(L_Sleutel,$S48,L_Status,"Vastgesteld")=0,0,_xlfn.MAXIFS(L_Revisie,L_Sleutel,$S48,L_Status,"Vastgesteld")+1))</f>
        <v>1</v>
      </c>
      <c r="H48" s="108">
        <f>IF($AG48="","",P_Peildatum)</f>
        <v>46295.0</v>
      </c>
      <c r="I48" s="92">
        <f>IF($AG48="","",P_RJ+INDEX($AK$8:$AK$21,INDEX($AC$8:$AC$1407,$AG48)+1))</f>
        <v>2026</v>
      </c>
      <c r="J48" s="92" t="str">
        <f>IF($AG48="","",INDEX(V_WBS,INDEX($AB$8:$AB$1407,$AG48)))</f>
        <v>G.900003.8.9090</v>
      </c>
      <c r="K48" s="92" t="str">
        <f>IF($AG48="","",INDEX(V_Projdef,INDEX($AB$8:$AB$1407,$AG48)))</f>
        <v>G.900003</v>
      </c>
      <c r="L48" s="92" t="str">
        <f>IF($AG48="","",INDEX(V_Naam,INDEX($AB$8:$AB$1407,$AG48)))</f>
        <v>Veldendam, Stationshof</v>
      </c>
      <c r="M48" s="92" t="str">
        <f>IF($AG48="","",INDEX(V_Type,INDEX($AB$8:$AB$1407,$AG48)))</f>
        <v>Opstal</v>
      </c>
      <c r="N48" s="92" t="str">
        <f>IF($AG48="","",INDEX(V_IFRS,INDEX($AB$8:$AB$1407,$AG48)))</f>
        <v>J</v>
      </c>
      <c r="O48" s="92" t="str">
        <f>IF($AG48="","",INDEX($AL$8:$AL$21,INDEX($AC$8:$AC$1407,$AG48)+1))</f>
        <v>Woningverkopen actual YTD</v>
      </c>
      <c r="P48" s="109">
        <f>IF($AG48="","",INDEX($AD$8:$AD$1407,$AG48))</f>
        <v>9</v>
      </c>
      <c r="Q48" s="92" t="str">
        <f>IF($AG48="","",INDEX($AM$8:$AM$21,INDEX($AC$8:$AC$1407,$AG48)+1))</f>
        <v>aantal</v>
      </c>
      <c r="R48" s="92" t="str">
        <f>IF($AG48="","",IF($G48&gt;0,P_ToelCorrectie&amp;"",""))</f>
        <v/>
      </c>
      <c r="S48" s="15" t="str">
        <f>IF(J48="","",J48&amp;"|"&amp;E48&amp;"|"&amp;F48&amp;"|"&amp;I48&amp;"|"&amp;O48)</f>
        <v>G.900003.8.9090|2026|Q3|2026|Woningverkopen actual YTD</v>
      </c>
      <c r="T48" s="111">
        <f>IF(S48="","",IF(COUNTIFS(L_Sleutel,S48,L_Actief,1)=0,"",SUMIFS(L_Waarde,L_Sleutel,S48,L_Actief,1)))</f>
        <v>9</v>
      </c>
      <c r="U48" s="111">
        <f>IF(OR(S48="",T48=""),0,P48-T48)</f>
        <v>0</v>
      </c>
      <c r="AB48" s="112" t="n">
        <v>3</v>
      </c>
      <c r="AC48" s="112" t="n">
        <v>12</v>
      </c>
      <c r="AD48" s="112">
        <f>VERW_Project!BU8</f>
        <v>9</v>
      </c>
      <c r="AE48" s="112">
        <f>IF(AND(VERW_Project!$A8&lt;&gt;"",ISNUMBER(AD48)),1,0)</f>
        <v>1</v>
      </c>
      <c r="AF48" s="112">
        <f>IF(AE48=1,SUM($AE$8:AE48),"")</f>
        <v>41</v>
      </c>
      <c r="AG48">
        <f>IFERROR(MATCH(41,$AF$8:$AF$1407,0),"")</f>
        <v>41</v>
      </c>
    </row>
    <row r="49">
      <c r="A49" s="92" t="str">
        <f>IF($AG49="","",P_ImportID)</f>
        <v>IMP-2026-Q3-01</v>
      </c>
      <c r="B49" s="92" t="str">
        <f>IF($AG49="","",IF(INDEX($AN$8:$AN$21,INDEX($AC$8:$AC$1407,$AG49)+1)="Z",P_BronZ,P_BronE))</f>
        <v>Woningetalage_FICTIEF_20_projecten.xlsx</v>
      </c>
      <c r="C49" s="108">
        <f>IF($AG49="","",P_Importdatum)</f>
        <v>46324.0</v>
      </c>
      <c r="D49" s="92" t="str">
        <f>IF($AG49="","",P_StatusVastleg)</f>
        <v>Vastgesteld</v>
      </c>
      <c r="E49" s="92">
        <f>IF($AG49="","",P_UploadVJ)</f>
        <v>2026</v>
      </c>
      <c r="F49" s="92" t="str">
        <f>IF($AG49="","",P_UploadVersie)</f>
        <v>Q3</v>
      </c>
      <c r="G49" s="92">
        <f>IF($AG49="","",IF(COUNTIFS(L_Sleutel,$S49,L_Status,"Vastgesteld")=0,0,_xlfn.MAXIFS(L_Revisie,L_Sleutel,$S49,L_Status,"Vastgesteld")+1))</f>
        <v>0</v>
      </c>
      <c r="H49" s="108">
        <f>IF($AG49="","",P_Peildatum)</f>
        <v>46295.0</v>
      </c>
      <c r="I49" s="92">
        <f>IF($AG49="","",P_RJ+INDEX($AK$8:$AK$21,INDEX($AC$8:$AC$1407,$AG49)+1))</f>
        <v>2027</v>
      </c>
      <c r="J49" s="92" t="str">
        <f>IF($AG49="","",INDEX(V_WBS,INDEX($AB$8:$AB$1407,$AG49)))</f>
        <v>G.900003.8.9090</v>
      </c>
      <c r="K49" s="92" t="str">
        <f>IF($AG49="","",INDEX(V_Projdef,INDEX($AB$8:$AB$1407,$AG49)))</f>
        <v>G.900003</v>
      </c>
      <c r="L49" s="92" t="str">
        <f>IF($AG49="","",INDEX(V_Naam,INDEX($AB$8:$AB$1407,$AG49)))</f>
        <v>Veldendam, Stationshof</v>
      </c>
      <c r="M49" s="92" t="str">
        <f>IF($AG49="","",INDEX(V_Type,INDEX($AB$8:$AB$1407,$AG49)))</f>
        <v>Opstal</v>
      </c>
      <c r="N49" s="92" t="str">
        <f>IF($AG49="","",INDEX(V_IFRS,INDEX($AB$8:$AB$1407,$AG49)))</f>
        <v>J</v>
      </c>
      <c r="O49" s="92" t="str">
        <f>IF($AG49="","",INDEX($AL$8:$AL$21,INDEX($AC$8:$AC$1407,$AG49)+1))</f>
        <v>Woningverkopen FY</v>
      </c>
      <c r="P49" s="109">
        <f>IF($AG49="","",INDEX($AD$8:$AD$1407,$AG49))</f>
        <v>27</v>
      </c>
      <c r="Q49" s="92" t="str">
        <f>IF($AG49="","",INDEX($AM$8:$AM$21,INDEX($AC$8:$AC$1407,$AG49)+1))</f>
        <v>aantal</v>
      </c>
      <c r="R49" s="92" t="str">
        <f>IF($AG49="","",IF($G49&gt;0,P_ToelCorrectie&amp;"",""))</f>
        <v/>
      </c>
      <c r="S49" s="15" t="str">
        <f>IF(J49="","",J49&amp;"|"&amp;E49&amp;"|"&amp;F49&amp;"|"&amp;I49&amp;"|"&amp;O49)</f>
        <v>G.900003.8.9090|2026|Q3|2027|Woningverkopen FY</v>
      </c>
      <c r="T49" s="111" t="str">
        <f>IF(S49="","",IF(COUNTIFS(L_Sleutel,S49,L_Actief,1)=0,"",SUMIFS(L_Waarde,L_Sleutel,S49,L_Actief,1)))</f>
        <v/>
      </c>
      <c r="U49" s="111">
        <f>IF(OR(S49="",T49=""),0,P49-T49)</f>
        <v>0</v>
      </c>
      <c r="AB49" s="112" t="n">
        <v>3</v>
      </c>
      <c r="AC49" s="112" t="n">
        <v>13</v>
      </c>
      <c r="AD49" s="112">
        <f>VERW_Project!BX8</f>
        <v>27</v>
      </c>
      <c r="AE49" s="112">
        <f>IF(AND(VERW_Project!$A8&lt;&gt;"",ISNUMBER(AD49)),1,0)</f>
        <v>1</v>
      </c>
      <c r="AF49" s="112">
        <f>IF(AE49=1,SUM($AE$8:AE49),"")</f>
        <v>42</v>
      </c>
      <c r="AG49">
        <f>IFERROR(MATCH(42,$AF$8:$AF$1407,0),"")</f>
        <v>42</v>
      </c>
    </row>
    <row r="50">
      <c r="A50" s="92" t="str">
        <f>IF($AG50="","",P_ImportID)</f>
        <v>IMP-2026-Q3-01</v>
      </c>
      <c r="B50" s="92" t="str">
        <f>IF($AG50="","",IF(INDEX($AN$8:$AN$21,INDEX($AC$8:$AC$1407,$AG50)+1)="Z",P_BronZ,P_BronE))</f>
        <v>ZPMW03_FICTIEF_20_projecten.xlsx</v>
      </c>
      <c r="C50" s="108">
        <f>IF($AG50="","",P_Importdatum)</f>
        <v>46324.0</v>
      </c>
      <c r="D50" s="92" t="str">
        <f>IF($AG50="","",P_StatusVastleg)</f>
        <v>Vastgesteld</v>
      </c>
      <c r="E50" s="92">
        <f>IF($AG50="","",P_UploadVJ)</f>
        <v>2026</v>
      </c>
      <c r="F50" s="92" t="str">
        <f>IF($AG50="","",P_UploadVersie)</f>
        <v>Q3</v>
      </c>
      <c r="G50" s="92">
        <f>IF($AG50="","",IF(COUNTIFS(L_Sleutel,$S50,L_Status,"Vastgesteld")=0,0,_xlfn.MAXIFS(L_Revisie,L_Sleutel,$S50,L_Status,"Vastgesteld")+1))</f>
        <v>1</v>
      </c>
      <c r="H50" s="108">
        <f>IF($AG50="","",P_Peildatum)</f>
        <v>46295.0</v>
      </c>
      <c r="I50" s="92">
        <f>IF($AG50="","",P_RJ+INDEX($AK$8:$AK$21,INDEX($AC$8:$AC$1407,$AG50)+1))</f>
        <v>2026</v>
      </c>
      <c r="J50" s="92" t="str">
        <f>IF($AG50="","",INDEX(V_WBS,INDEX($AB$8:$AB$1407,$AG50)))</f>
        <v>G.900004.8.9090</v>
      </c>
      <c r="K50" s="92" t="str">
        <f>IF($AG50="","",INDEX(V_Projdef,INDEX($AB$8:$AB$1407,$AG50)))</f>
        <v>G.900004</v>
      </c>
      <c r="L50" s="92" t="str">
        <f>IF($AG50="","",INDEX(V_Naam,INDEX($AB$8:$AB$1407,$AG50)))</f>
        <v>Meerhovenstad, Het Kompas</v>
      </c>
      <c r="M50" s="92" t="str">
        <f>IF($AG50="","",INDEX(V_Type,INDEX($AB$8:$AB$1407,$AG50)))</f>
        <v>Deelneming</v>
      </c>
      <c r="N50" s="92" t="str">
        <f>IF($AG50="","",INDEX(V_IFRS,INDEX($AB$8:$AB$1407,$AG50)))</f>
        <v>N</v>
      </c>
      <c r="O50" s="92" t="str">
        <f>IF($AG50="","",INDEX($AL$8:$AL$21,INDEX($AC$8:$AC$1407,$AG50)+1))</f>
        <v>Omzet FY</v>
      </c>
      <c r="P50" s="109">
        <f>IF($AG50="","",INDEX($AD$8:$AD$1407,$AG50))</f>
        <v>2419200</v>
      </c>
      <c r="Q50" s="92" t="str">
        <f>IF($AG50="","",INDEX($AM$8:$AM$21,INDEX($AC$8:$AC$1407,$AG50)+1))</f>
        <v>EUR</v>
      </c>
      <c r="R50" s="92" t="str">
        <f>IF($AG50="","",IF($G50&gt;0,P_ToelCorrectie&amp;"",""))</f>
        <v/>
      </c>
      <c r="S50" s="15" t="str">
        <f>IF(J50="","",J50&amp;"|"&amp;E50&amp;"|"&amp;F50&amp;"|"&amp;I50&amp;"|"&amp;O50)</f>
        <v>G.900004.8.9090|2026|Q3|2026|Omzet FY</v>
      </c>
      <c r="T50" s="111">
        <f>IF(S50="","",IF(COUNTIFS(L_Sleutel,S50,L_Actief,1)=0,"",SUMIFS(L_Waarde,L_Sleutel,S50,L_Actief,1)))</f>
        <v>2419200</v>
      </c>
      <c r="U50" s="111">
        <f>IF(OR(S50="",T50=""),0,P50-T50)</f>
        <v>0</v>
      </c>
      <c r="AB50" s="112" t="n">
        <v>4</v>
      </c>
      <c r="AC50" s="112" t="n">
        <v>0</v>
      </c>
      <c r="AD50" s="112">
        <f>VERW_Project!P9</f>
        <v>2419200</v>
      </c>
      <c r="AE50" s="112">
        <f>IF(AND(VERW_Project!$A9&lt;&gt;"",ISNUMBER(AD50)),1,0)</f>
        <v>1</v>
      </c>
      <c r="AF50" s="112">
        <f>IF(AE50=1,SUM($AE$8:AE50),"")</f>
        <v>43</v>
      </c>
      <c r="AG50">
        <f>IFERROR(MATCH(43,$AF$8:$AF$1407,0),"")</f>
        <v>43</v>
      </c>
    </row>
    <row r="51">
      <c r="A51" s="92" t="str">
        <f>IF($AG51="","",P_ImportID)</f>
        <v>IMP-2026-Q3-01</v>
      </c>
      <c r="B51" s="92" t="str">
        <f>IF($AG51="","",IF(INDEX($AN$8:$AN$21,INDEX($AC$8:$AC$1407,$AG51)+1)="Z",P_BronZ,P_BronE))</f>
        <v>ZPMW03_FICTIEF_20_projecten.xlsx</v>
      </c>
      <c r="C51" s="108">
        <f>IF($AG51="","",P_Importdatum)</f>
        <v>46324.0</v>
      </c>
      <c r="D51" s="92" t="str">
        <f>IF($AG51="","",P_StatusVastleg)</f>
        <v>Vastgesteld</v>
      </c>
      <c r="E51" s="92">
        <f>IF($AG51="","",P_UploadVJ)</f>
        <v>2026</v>
      </c>
      <c r="F51" s="92" t="str">
        <f>IF($AG51="","",P_UploadVersie)</f>
        <v>Q3</v>
      </c>
      <c r="G51" s="92">
        <f>IF($AG51="","",IF(COUNTIFS(L_Sleutel,$S51,L_Status,"Vastgesteld")=0,0,_xlfn.MAXIFS(L_Revisie,L_Sleutel,$S51,L_Status,"Vastgesteld")+1))</f>
        <v>1</v>
      </c>
      <c r="H51" s="108">
        <f>IF($AG51="","",P_Peildatum)</f>
        <v>46295.0</v>
      </c>
      <c r="I51" s="92">
        <f>IF($AG51="","",P_RJ+INDEX($AK$8:$AK$21,INDEX($AC$8:$AC$1407,$AG51)+1))</f>
        <v>2026</v>
      </c>
      <c r="J51" s="92" t="str">
        <f>IF($AG51="","",INDEX(V_WBS,INDEX($AB$8:$AB$1407,$AG51)))</f>
        <v>G.900004.8.9090</v>
      </c>
      <c r="K51" s="92" t="str">
        <f>IF($AG51="","",INDEX(V_Projdef,INDEX($AB$8:$AB$1407,$AG51)))</f>
        <v>G.900004</v>
      </c>
      <c r="L51" s="92" t="str">
        <f>IF($AG51="","",INDEX(V_Naam,INDEX($AB$8:$AB$1407,$AG51)))</f>
        <v>Meerhovenstad, Het Kompas</v>
      </c>
      <c r="M51" s="92" t="str">
        <f>IF($AG51="","",INDEX(V_Type,INDEX($AB$8:$AB$1407,$AG51)))</f>
        <v>Deelneming</v>
      </c>
      <c r="N51" s="92" t="str">
        <f>IF($AG51="","",INDEX(V_IFRS,INDEX($AB$8:$AB$1407,$AG51)))</f>
        <v>N</v>
      </c>
      <c r="O51" s="92" t="str">
        <f>IF($AG51="","",INDEX($AL$8:$AL$21,INDEX($AC$8:$AC$1407,$AG51)+1))</f>
        <v>BOR FY</v>
      </c>
      <c r="P51" s="109">
        <f>IF($AG51="","",INDEX($AD$8:$AD$1407,$AG51))</f>
        <v>266112</v>
      </c>
      <c r="Q51" s="92" t="str">
        <f>IF($AG51="","",INDEX($AM$8:$AM$21,INDEX($AC$8:$AC$1407,$AG51)+1))</f>
        <v>EUR</v>
      </c>
      <c r="R51" s="92" t="str">
        <f>IF($AG51="","",IF($G51&gt;0,P_ToelCorrectie&amp;"",""))</f>
        <v/>
      </c>
      <c r="S51" s="15" t="str">
        <f>IF(J51="","",J51&amp;"|"&amp;E51&amp;"|"&amp;F51&amp;"|"&amp;I51&amp;"|"&amp;O51)</f>
        <v>G.900004.8.9090|2026|Q3|2026|BOR FY</v>
      </c>
      <c r="T51" s="111">
        <f>IF(S51="","",IF(COUNTIFS(L_Sleutel,S51,L_Actief,1)=0,"",SUMIFS(L_Waarde,L_Sleutel,S51,L_Actief,1)))</f>
        <v>266112</v>
      </c>
      <c r="U51" s="111">
        <f>IF(OR(S51="",T51=""),0,P51-T51)</f>
        <v>0</v>
      </c>
      <c r="AB51" s="112" t="n">
        <v>4</v>
      </c>
      <c r="AC51" s="112" t="n">
        <v>1</v>
      </c>
      <c r="AD51" s="112">
        <f>VERW_Project!Q9</f>
        <v>266112</v>
      </c>
      <c r="AE51" s="112">
        <f>IF(AND(VERW_Project!$A9&lt;&gt;"",ISNUMBER(AD51)),1,0)</f>
        <v>1</v>
      </c>
      <c r="AF51" s="112">
        <f>IF(AE51=1,SUM($AE$8:AE51),"")</f>
        <v>44</v>
      </c>
      <c r="AG51">
        <f>IFERROR(MATCH(44,$AF$8:$AF$1407,0),"")</f>
        <v>44</v>
      </c>
    </row>
    <row r="52">
      <c r="A52" s="92" t="str">
        <f>IF($AG52="","",P_ImportID)</f>
        <v>IMP-2026-Q3-01</v>
      </c>
      <c r="B52" s="92" t="str">
        <f>IF($AG52="","",IF(INDEX($AN$8:$AN$21,INDEX($AC$8:$AC$1407,$AG52)+1)="Z",P_BronZ,P_BronE))</f>
        <v>ZPMW03_FICTIEF_20_projecten.xlsx</v>
      </c>
      <c r="C52" s="108">
        <f>IF($AG52="","",P_Importdatum)</f>
        <v>46324.0</v>
      </c>
      <c r="D52" s="92" t="str">
        <f>IF($AG52="","",P_StatusVastleg)</f>
        <v>Vastgesteld</v>
      </c>
      <c r="E52" s="92">
        <f>IF($AG52="","",P_UploadVJ)</f>
        <v>2026</v>
      </c>
      <c r="F52" s="92" t="str">
        <f>IF($AG52="","",P_UploadVersie)</f>
        <v>Q3</v>
      </c>
      <c r="G52" s="92">
        <f>IF($AG52="","",IF(COUNTIFS(L_Sleutel,$S52,L_Status,"Vastgesteld")=0,0,_xlfn.MAXIFS(L_Revisie,L_Sleutel,$S52,L_Status,"Vastgesteld")+1))</f>
        <v>1</v>
      </c>
      <c r="H52" s="108">
        <f>IF($AG52="","",P_Peildatum)</f>
        <v>46295.0</v>
      </c>
      <c r="I52" s="92">
        <f>IF($AG52="","",P_RJ+INDEX($AK$8:$AK$21,INDEX($AC$8:$AC$1407,$AG52)+1))</f>
        <v>2026</v>
      </c>
      <c r="J52" s="92" t="str">
        <f>IF($AG52="","",INDEX(V_WBS,INDEX($AB$8:$AB$1407,$AG52)))</f>
        <v>G.900004.8.9090</v>
      </c>
      <c r="K52" s="92" t="str">
        <f>IF($AG52="","",INDEX(V_Projdef,INDEX($AB$8:$AB$1407,$AG52)))</f>
        <v>G.900004</v>
      </c>
      <c r="L52" s="92" t="str">
        <f>IF($AG52="","",INDEX(V_Naam,INDEX($AB$8:$AB$1407,$AG52)))</f>
        <v>Meerhovenstad, Het Kompas</v>
      </c>
      <c r="M52" s="92" t="str">
        <f>IF($AG52="","",INDEX(V_Type,INDEX($AB$8:$AB$1407,$AG52)))</f>
        <v>Deelneming</v>
      </c>
      <c r="N52" s="92" t="str">
        <f>IF($AG52="","",INDEX(V_IFRS,INDEX($AB$8:$AB$1407,$AG52)))</f>
        <v>N</v>
      </c>
      <c r="O52" s="92" t="str">
        <f>IF($AG52="","",INDEX($AL$8:$AL$21,INDEX($AC$8:$AC$1407,$AG52)+1))</f>
        <v>Omzet actual YTD</v>
      </c>
      <c r="P52" s="109">
        <f>IF($AG52="","",INDEX($AD$8:$AD$1407,$AG52))</f>
        <v>1572480</v>
      </c>
      <c r="Q52" s="92" t="str">
        <f>IF($AG52="","",INDEX($AM$8:$AM$21,INDEX($AC$8:$AC$1407,$AG52)+1))</f>
        <v>EUR</v>
      </c>
      <c r="R52" s="92" t="str">
        <f>IF($AG52="","",IF($G52&gt;0,P_ToelCorrectie&amp;"",""))</f>
        <v/>
      </c>
      <c r="S52" s="15" t="str">
        <f>IF(J52="","",J52&amp;"|"&amp;E52&amp;"|"&amp;F52&amp;"|"&amp;I52&amp;"|"&amp;O52)</f>
        <v>G.900004.8.9090|2026|Q3|2026|Omzet actual YTD</v>
      </c>
      <c r="T52" s="111">
        <f>IF(S52="","",IF(COUNTIFS(L_Sleutel,S52,L_Actief,1)=0,"",SUMIFS(L_Waarde,L_Sleutel,S52,L_Actief,1)))</f>
        <v>1572480</v>
      </c>
      <c r="U52" s="111">
        <f>IF(OR(S52="",T52=""),0,P52-T52)</f>
        <v>0</v>
      </c>
      <c r="AB52" s="112" t="n">
        <v>4</v>
      </c>
      <c r="AC52" s="112" t="n">
        <v>2</v>
      </c>
      <c r="AD52" s="112">
        <f>VERW_Project!L9</f>
        <v>1572480</v>
      </c>
      <c r="AE52" s="112">
        <f>IF(AND(VERW_Project!$A9&lt;&gt;"",ISNUMBER(AD52)),1,0)</f>
        <v>1</v>
      </c>
      <c r="AF52" s="112">
        <f>IF(AE52=1,SUM($AE$8:AE52),"")</f>
        <v>45</v>
      </c>
      <c r="AG52">
        <f>IFERROR(MATCH(45,$AF$8:$AF$1407,0),"")</f>
        <v>45</v>
      </c>
    </row>
    <row r="53">
      <c r="A53" s="92" t="str">
        <f>IF($AG53="","",P_ImportID)</f>
        <v>IMP-2026-Q3-01</v>
      </c>
      <c r="B53" s="92" t="str">
        <f>IF($AG53="","",IF(INDEX($AN$8:$AN$21,INDEX($AC$8:$AC$1407,$AG53)+1)="Z",P_BronZ,P_BronE))</f>
        <v>ZPMW03_FICTIEF_20_projecten.xlsx</v>
      </c>
      <c r="C53" s="108">
        <f>IF($AG53="","",P_Importdatum)</f>
        <v>46324.0</v>
      </c>
      <c r="D53" s="92" t="str">
        <f>IF($AG53="","",P_StatusVastleg)</f>
        <v>Vastgesteld</v>
      </c>
      <c r="E53" s="92">
        <f>IF($AG53="","",P_UploadVJ)</f>
        <v>2026</v>
      </c>
      <c r="F53" s="92" t="str">
        <f>IF($AG53="","",P_UploadVersie)</f>
        <v>Q3</v>
      </c>
      <c r="G53" s="92">
        <f>IF($AG53="","",IF(COUNTIFS(L_Sleutel,$S53,L_Status,"Vastgesteld")=0,0,_xlfn.MAXIFS(L_Revisie,L_Sleutel,$S53,L_Status,"Vastgesteld")+1))</f>
        <v>1</v>
      </c>
      <c r="H53" s="108">
        <f>IF($AG53="","",P_Peildatum)</f>
        <v>46295.0</v>
      </c>
      <c r="I53" s="92">
        <f>IF($AG53="","",P_RJ+INDEX($AK$8:$AK$21,INDEX($AC$8:$AC$1407,$AG53)+1))</f>
        <v>2026</v>
      </c>
      <c r="J53" s="92" t="str">
        <f>IF($AG53="","",INDEX(V_WBS,INDEX($AB$8:$AB$1407,$AG53)))</f>
        <v>G.900004.8.9090</v>
      </c>
      <c r="K53" s="92" t="str">
        <f>IF($AG53="","",INDEX(V_Projdef,INDEX($AB$8:$AB$1407,$AG53)))</f>
        <v>G.900004</v>
      </c>
      <c r="L53" s="92" t="str">
        <f>IF($AG53="","",INDEX(V_Naam,INDEX($AB$8:$AB$1407,$AG53)))</f>
        <v>Meerhovenstad, Het Kompas</v>
      </c>
      <c r="M53" s="92" t="str">
        <f>IF($AG53="","",INDEX(V_Type,INDEX($AB$8:$AB$1407,$AG53)))</f>
        <v>Deelneming</v>
      </c>
      <c r="N53" s="92" t="str">
        <f>IF($AG53="","",INDEX(V_IFRS,INDEX($AB$8:$AB$1407,$AG53)))</f>
        <v>N</v>
      </c>
      <c r="O53" s="92" t="str">
        <f>IF($AG53="","",INDEX($AL$8:$AL$21,INDEX($AC$8:$AC$1407,$AG53)+1))</f>
        <v>BOR actual YTD</v>
      </c>
      <c r="P53" s="109">
        <f>IF($AG53="","",INDEX($AD$8:$AD$1407,$AG53))</f>
        <v>172972.8</v>
      </c>
      <c r="Q53" s="92" t="str">
        <f>IF($AG53="","",INDEX($AM$8:$AM$21,INDEX($AC$8:$AC$1407,$AG53)+1))</f>
        <v>EUR</v>
      </c>
      <c r="R53" s="92" t="str">
        <f>IF($AG53="","",IF($G53&gt;0,P_ToelCorrectie&amp;"",""))</f>
        <v/>
      </c>
      <c r="S53" s="15" t="str">
        <f>IF(J53="","",J53&amp;"|"&amp;E53&amp;"|"&amp;F53&amp;"|"&amp;I53&amp;"|"&amp;O53)</f>
        <v>G.900004.8.9090|2026|Q3|2026|BOR actual YTD</v>
      </c>
      <c r="T53" s="111">
        <f>IF(S53="","",IF(COUNTIFS(L_Sleutel,S53,L_Actief,1)=0,"",SUMIFS(L_Waarde,L_Sleutel,S53,L_Actief,1)))</f>
        <v>172972.8</v>
      </c>
      <c r="U53" s="111">
        <f>IF(OR(S53="",T53=""),0,P53-T53)</f>
        <v>0</v>
      </c>
      <c r="AB53" s="112" t="n">
        <v>4</v>
      </c>
      <c r="AC53" s="112" t="n">
        <v>3</v>
      </c>
      <c r="AD53" s="112">
        <f>VERW_Project!M9</f>
        <v>172972.8</v>
      </c>
      <c r="AE53" s="112">
        <f>IF(AND(VERW_Project!$A9&lt;&gt;"",ISNUMBER(AD53)),1,0)</f>
        <v>1</v>
      </c>
      <c r="AF53" s="112">
        <f>IF(AE53=1,SUM($AE$8:AE53),"")</f>
        <v>46</v>
      </c>
      <c r="AG53">
        <f>IFERROR(MATCH(46,$AF$8:$AF$1407,0),"")</f>
        <v>46</v>
      </c>
    </row>
    <row r="54">
      <c r="A54" s="92" t="str">
        <f>IF($AG54="","",P_ImportID)</f>
        <v>IMP-2026-Q3-01</v>
      </c>
      <c r="B54" s="92" t="str">
        <f>IF($AG54="","",IF(INDEX($AN$8:$AN$21,INDEX($AC$8:$AC$1407,$AG54)+1)="Z",P_BronZ,P_BronE))</f>
        <v>ZPMW03_FICTIEF_20_projecten.xlsx</v>
      </c>
      <c r="C54" s="108">
        <f>IF($AG54="","",P_Importdatum)</f>
        <v>46324.0</v>
      </c>
      <c r="D54" s="92" t="str">
        <f>IF($AG54="","",P_StatusVastleg)</f>
        <v>Vastgesteld</v>
      </c>
      <c r="E54" s="92">
        <f>IF($AG54="","",P_UploadVJ)</f>
        <v>2026</v>
      </c>
      <c r="F54" s="92" t="str">
        <f>IF($AG54="","",P_UploadVersie)</f>
        <v>Q3</v>
      </c>
      <c r="G54" s="92">
        <f>IF($AG54="","",IF(COUNTIFS(L_Sleutel,$S54,L_Status,"Vastgesteld")=0,0,_xlfn.MAXIFS(L_Revisie,L_Sleutel,$S54,L_Status,"Vastgesteld")+1))</f>
        <v>1</v>
      </c>
      <c r="H54" s="108">
        <f>IF($AG54="","",P_Peildatum)</f>
        <v>46295.0</v>
      </c>
      <c r="I54" s="92">
        <f>IF($AG54="","",P_RJ+INDEX($AK$8:$AK$21,INDEX($AC$8:$AC$1407,$AG54)+1))</f>
        <v>2027</v>
      </c>
      <c r="J54" s="92" t="str">
        <f>IF($AG54="","",INDEX(V_WBS,INDEX($AB$8:$AB$1407,$AG54)))</f>
        <v>G.900004.8.9090</v>
      </c>
      <c r="K54" s="92" t="str">
        <f>IF($AG54="","",INDEX(V_Projdef,INDEX($AB$8:$AB$1407,$AG54)))</f>
        <v>G.900004</v>
      </c>
      <c r="L54" s="92" t="str">
        <f>IF($AG54="","",INDEX(V_Naam,INDEX($AB$8:$AB$1407,$AG54)))</f>
        <v>Meerhovenstad, Het Kompas</v>
      </c>
      <c r="M54" s="92" t="str">
        <f>IF($AG54="","",INDEX(V_Type,INDEX($AB$8:$AB$1407,$AG54)))</f>
        <v>Deelneming</v>
      </c>
      <c r="N54" s="92" t="str">
        <f>IF($AG54="","",INDEX(V_IFRS,INDEX($AB$8:$AB$1407,$AG54)))</f>
        <v>N</v>
      </c>
      <c r="O54" s="92" t="str">
        <f>IF($AG54="","",INDEX($AL$8:$AL$21,INDEX($AC$8:$AC$1407,$AG54)+1))</f>
        <v>Omzet FY</v>
      </c>
      <c r="P54" s="109">
        <f>IF($AG54="","",INDEX($AD$8:$AD$1407,$AG54))</f>
        <v>1609920</v>
      </c>
      <c r="Q54" s="92" t="str">
        <f>IF($AG54="","",INDEX($AM$8:$AM$21,INDEX($AC$8:$AC$1407,$AG54)+1))</f>
        <v>EUR</v>
      </c>
      <c r="R54" s="92" t="str">
        <f>IF($AG54="","",IF($G54&gt;0,P_ToelCorrectie&amp;"",""))</f>
        <v/>
      </c>
      <c r="S54" s="15" t="str">
        <f>IF(J54="","",J54&amp;"|"&amp;E54&amp;"|"&amp;F54&amp;"|"&amp;I54&amp;"|"&amp;O54)</f>
        <v>G.900004.8.9090|2026|Q3|2027|Omzet FY</v>
      </c>
      <c r="T54" s="111">
        <f>IF(S54="","",IF(COUNTIFS(L_Sleutel,S54,L_Actief,1)=0,"",SUMIFS(L_Waarde,L_Sleutel,S54,L_Actief,1)))</f>
        <v>1609920</v>
      </c>
      <c r="U54" s="111">
        <f>IF(OR(S54="",T54=""),0,P54-T54)</f>
        <v>0</v>
      </c>
      <c r="AB54" s="112" t="n">
        <v>4</v>
      </c>
      <c r="AC54" s="112" t="n">
        <v>4</v>
      </c>
      <c r="AD54" s="112">
        <f>VERW_Project!R9</f>
        <v>1609920</v>
      </c>
      <c r="AE54" s="112">
        <f>IF(AND(VERW_Project!$A9&lt;&gt;"",ISNUMBER(AD54)),1,0)</f>
        <v>1</v>
      </c>
      <c r="AF54" s="112">
        <f>IF(AE54=1,SUM($AE$8:AE54),"")</f>
        <v>47</v>
      </c>
      <c r="AG54">
        <f>IFERROR(MATCH(47,$AF$8:$AF$1407,0),"")</f>
        <v>47</v>
      </c>
    </row>
    <row r="55">
      <c r="A55" s="92" t="str">
        <f>IF($AG55="","",P_ImportID)</f>
        <v>IMP-2026-Q3-01</v>
      </c>
      <c r="B55" s="92" t="str">
        <f>IF($AG55="","",IF(INDEX($AN$8:$AN$21,INDEX($AC$8:$AC$1407,$AG55)+1)="Z",P_BronZ,P_BronE))</f>
        <v>ZPMW03_FICTIEF_20_projecten.xlsx</v>
      </c>
      <c r="C55" s="108">
        <f>IF($AG55="","",P_Importdatum)</f>
        <v>46324.0</v>
      </c>
      <c r="D55" s="92" t="str">
        <f>IF($AG55="","",P_StatusVastleg)</f>
        <v>Vastgesteld</v>
      </c>
      <c r="E55" s="92">
        <f>IF($AG55="","",P_UploadVJ)</f>
        <v>2026</v>
      </c>
      <c r="F55" s="92" t="str">
        <f>IF($AG55="","",P_UploadVersie)</f>
        <v>Q3</v>
      </c>
      <c r="G55" s="92">
        <f>IF($AG55="","",IF(COUNTIFS(L_Sleutel,$S55,L_Status,"Vastgesteld")=0,0,_xlfn.MAXIFS(L_Revisie,L_Sleutel,$S55,L_Status,"Vastgesteld")+1))</f>
        <v>1</v>
      </c>
      <c r="H55" s="108">
        <f>IF($AG55="","",P_Peildatum)</f>
        <v>46295.0</v>
      </c>
      <c r="I55" s="92">
        <f>IF($AG55="","",P_RJ+INDEX($AK$8:$AK$21,INDEX($AC$8:$AC$1407,$AG55)+1))</f>
        <v>2027</v>
      </c>
      <c r="J55" s="92" t="str">
        <f>IF($AG55="","",INDEX(V_WBS,INDEX($AB$8:$AB$1407,$AG55)))</f>
        <v>G.900004.8.9090</v>
      </c>
      <c r="K55" s="92" t="str">
        <f>IF($AG55="","",INDEX(V_Projdef,INDEX($AB$8:$AB$1407,$AG55)))</f>
        <v>G.900004</v>
      </c>
      <c r="L55" s="92" t="str">
        <f>IF($AG55="","",INDEX(V_Naam,INDEX($AB$8:$AB$1407,$AG55)))</f>
        <v>Meerhovenstad, Het Kompas</v>
      </c>
      <c r="M55" s="92" t="str">
        <f>IF($AG55="","",INDEX(V_Type,INDEX($AB$8:$AB$1407,$AG55)))</f>
        <v>Deelneming</v>
      </c>
      <c r="N55" s="92" t="str">
        <f>IF($AG55="","",INDEX(V_IFRS,INDEX($AB$8:$AB$1407,$AG55)))</f>
        <v>N</v>
      </c>
      <c r="O55" s="92" t="str">
        <f>IF($AG55="","",INDEX($AL$8:$AL$21,INDEX($AC$8:$AC$1407,$AG55)+1))</f>
        <v>BOR FY</v>
      </c>
      <c r="P55" s="109">
        <f>IF($AG55="","",INDEX($AD$8:$AD$1407,$AG55))</f>
        <v>177091.2</v>
      </c>
      <c r="Q55" s="92" t="str">
        <f>IF($AG55="","",INDEX($AM$8:$AM$21,INDEX($AC$8:$AC$1407,$AG55)+1))</f>
        <v>EUR</v>
      </c>
      <c r="R55" s="92" t="str">
        <f>IF($AG55="","",IF($G55&gt;0,P_ToelCorrectie&amp;"",""))</f>
        <v/>
      </c>
      <c r="S55" s="15" t="str">
        <f>IF(J55="","",J55&amp;"|"&amp;E55&amp;"|"&amp;F55&amp;"|"&amp;I55&amp;"|"&amp;O55)</f>
        <v>G.900004.8.9090|2026|Q3|2027|BOR FY</v>
      </c>
      <c r="T55" s="111">
        <f>IF(S55="","",IF(COUNTIFS(L_Sleutel,S55,L_Actief,1)=0,"",SUMIFS(L_Waarde,L_Sleutel,S55,L_Actief,1)))</f>
        <v>177091.2</v>
      </c>
      <c r="U55" s="111">
        <f>IF(OR(S55="",T55=""),0,P55-T55)</f>
        <v>0</v>
      </c>
      <c r="AB55" s="112" t="n">
        <v>4</v>
      </c>
      <c r="AC55" s="112" t="n">
        <v>5</v>
      </c>
      <c r="AD55" s="112">
        <f>VERW_Project!S9</f>
        <v>177091.2</v>
      </c>
      <c r="AE55" s="112">
        <f>IF(AND(VERW_Project!$A9&lt;&gt;"",ISNUMBER(AD55)),1,0)</f>
        <v>1</v>
      </c>
      <c r="AF55" s="112">
        <f>IF(AE55=1,SUM($AE$8:AE55),"")</f>
        <v>48</v>
      </c>
      <c r="AG55">
        <f>IFERROR(MATCH(48,$AF$8:$AF$1407,0),"")</f>
        <v>48</v>
      </c>
    </row>
    <row r="56">
      <c r="A56" s="92" t="str">
        <f>IF($AG56="","",P_ImportID)</f>
        <v>IMP-2026-Q3-01</v>
      </c>
      <c r="B56" s="92" t="str">
        <f>IF($AG56="","",IF(INDEX($AN$8:$AN$21,INDEX($AC$8:$AC$1407,$AG56)+1)="Z",P_BronZ,P_BronE))</f>
        <v>Woningetalage_FICTIEF_20_projecten.xlsx</v>
      </c>
      <c r="C56" s="108">
        <f>IF($AG56="","",P_Importdatum)</f>
        <v>46324.0</v>
      </c>
      <c r="D56" s="92" t="str">
        <f>IF($AG56="","",P_StatusVastleg)</f>
        <v>Vastgesteld</v>
      </c>
      <c r="E56" s="92">
        <f>IF($AG56="","",P_UploadVJ)</f>
        <v>2026</v>
      </c>
      <c r="F56" s="92" t="str">
        <f>IF($AG56="","",P_UploadVersie)</f>
        <v>Q3</v>
      </c>
      <c r="G56" s="92">
        <f>IF($AG56="","",IF(COUNTIFS(L_Sleutel,$S56,L_Status,"Vastgesteld")=0,0,_xlfn.MAXIFS(L_Revisie,L_Sleutel,$S56,L_Status,"Vastgesteld")+1))</f>
        <v>1</v>
      </c>
      <c r="H56" s="108">
        <f>IF($AG56="","",P_Peildatum)</f>
        <v>46295.0</v>
      </c>
      <c r="I56" s="92">
        <f>IF($AG56="","",P_RJ+INDEX($AK$8:$AK$21,INDEX($AC$8:$AC$1407,$AG56)+1))</f>
        <v>2026</v>
      </c>
      <c r="J56" s="92" t="str">
        <f>IF($AG56="","",INDEX(V_WBS,INDEX($AB$8:$AB$1407,$AG56)))</f>
        <v>G.900004.8.9090</v>
      </c>
      <c r="K56" s="92" t="str">
        <f>IF($AG56="","",INDEX(V_Projdef,INDEX($AB$8:$AB$1407,$AG56)))</f>
        <v>G.900004</v>
      </c>
      <c r="L56" s="92" t="str">
        <f>IF($AG56="","",INDEX(V_Naam,INDEX($AB$8:$AB$1407,$AG56)))</f>
        <v>Meerhovenstad, Het Kompas</v>
      </c>
      <c r="M56" s="92" t="str">
        <f>IF($AG56="","",INDEX(V_Type,INDEX($AB$8:$AB$1407,$AG56)))</f>
        <v>Deelneming</v>
      </c>
      <c r="N56" s="92" t="str">
        <f>IF($AG56="","",INDEX(V_IFRS,INDEX($AB$8:$AB$1407,$AG56)))</f>
        <v>N</v>
      </c>
      <c r="O56" s="92" t="str">
        <f>IF($AG56="","",INDEX($AL$8:$AL$21,INDEX($AC$8:$AC$1407,$AG56)+1))</f>
        <v>Woningverkopen FY</v>
      </c>
      <c r="P56" s="109">
        <f>IF($AG56="","",INDEX($AD$8:$AD$1407,$AG56))</f>
        <v>6</v>
      </c>
      <c r="Q56" s="92" t="str">
        <f>IF($AG56="","",INDEX($AM$8:$AM$21,INDEX($AC$8:$AC$1407,$AG56)+1))</f>
        <v>aantal</v>
      </c>
      <c r="R56" s="92" t="str">
        <f>IF($AG56="","",IF($G56&gt;0,P_ToelCorrectie&amp;"",""))</f>
        <v/>
      </c>
      <c r="S56" s="15" t="str">
        <f>IF(J56="","",J56&amp;"|"&amp;E56&amp;"|"&amp;F56&amp;"|"&amp;I56&amp;"|"&amp;O56)</f>
        <v>G.900004.8.9090|2026|Q3|2026|Woningverkopen FY</v>
      </c>
      <c r="T56" s="111">
        <f>IF(S56="","",IF(COUNTIFS(L_Sleutel,S56,L_Actief,1)=0,"",SUMIFS(L_Waarde,L_Sleutel,S56,L_Actief,1)))</f>
        <v>6</v>
      </c>
      <c r="U56" s="111">
        <f>IF(OR(S56="",T56=""),0,P56-T56)</f>
        <v>0</v>
      </c>
      <c r="AB56" s="112" t="n">
        <v>4</v>
      </c>
      <c r="AC56" s="112" t="n">
        <v>6</v>
      </c>
      <c r="AD56" s="112">
        <f>VERW_Project!BW9</f>
        <v>6</v>
      </c>
      <c r="AE56" s="112">
        <f>IF(AND(VERW_Project!$A9&lt;&gt;"",ISNUMBER(AD56)),1,0)</f>
        <v>1</v>
      </c>
      <c r="AF56" s="112">
        <f>IF(AE56=1,SUM($AE$8:AE56),"")</f>
        <v>49</v>
      </c>
      <c r="AG56">
        <f>IFERROR(MATCH(49,$AF$8:$AF$1407,0),"")</f>
        <v>49</v>
      </c>
    </row>
    <row r="57">
      <c r="A57" s="92" t="str">
        <f>IF($AG57="","",P_ImportID)</f>
        <v>IMP-2026-Q3-01</v>
      </c>
      <c r="B57" s="92" t="str">
        <f>IF($AG57="","",IF(INDEX($AN$8:$AN$21,INDEX($AC$8:$AC$1407,$AG57)+1)="Z",P_BronZ,P_BronE))</f>
        <v>Woningetalage_FICTIEF_20_projecten.xlsx</v>
      </c>
      <c r="C57" s="108">
        <f>IF($AG57="","",P_Importdatum)</f>
        <v>46324.0</v>
      </c>
      <c r="D57" s="92" t="str">
        <f>IF($AG57="","",P_StatusVastleg)</f>
        <v>Vastgesteld</v>
      </c>
      <c r="E57" s="92">
        <f>IF($AG57="","",P_UploadVJ)</f>
        <v>2026</v>
      </c>
      <c r="F57" s="92" t="str">
        <f>IF($AG57="","",P_UploadVersie)</f>
        <v>Q3</v>
      </c>
      <c r="G57" s="92">
        <f>IF($AG57="","",IF(COUNTIFS(L_Sleutel,$S57,L_Status,"Vastgesteld")=0,0,_xlfn.MAXIFS(L_Revisie,L_Sleutel,$S57,L_Status,"Vastgesteld")+1))</f>
        <v>1</v>
      </c>
      <c r="H57" s="108">
        <f>IF($AG57="","",P_Peildatum)</f>
        <v>46295.0</v>
      </c>
      <c r="I57" s="92">
        <f>IF($AG57="","",P_RJ+INDEX($AK$8:$AK$21,INDEX($AC$8:$AC$1407,$AG57)+1))</f>
        <v>2026</v>
      </c>
      <c r="J57" s="92" t="str">
        <f>IF($AG57="","",INDEX(V_WBS,INDEX($AB$8:$AB$1407,$AG57)))</f>
        <v>G.900004.8.9090</v>
      </c>
      <c r="K57" s="92" t="str">
        <f>IF($AG57="","",INDEX(V_Projdef,INDEX($AB$8:$AB$1407,$AG57)))</f>
        <v>G.900004</v>
      </c>
      <c r="L57" s="92" t="str">
        <f>IF($AG57="","",INDEX(V_Naam,INDEX($AB$8:$AB$1407,$AG57)))</f>
        <v>Meerhovenstad, Het Kompas</v>
      </c>
      <c r="M57" s="92" t="str">
        <f>IF($AG57="","",INDEX(V_Type,INDEX($AB$8:$AB$1407,$AG57)))</f>
        <v>Deelneming</v>
      </c>
      <c r="N57" s="92" t="str">
        <f>IF($AG57="","",INDEX(V_IFRS,INDEX($AB$8:$AB$1407,$AG57)))</f>
        <v>N</v>
      </c>
      <c r="O57" s="92" t="str">
        <f>IF($AG57="","",INDEX($AL$8:$AL$21,INDEX($AC$8:$AC$1407,$AG57)+1))</f>
        <v>Woningen verkocht t/m vorig jaar</v>
      </c>
      <c r="P57" s="109">
        <f>IF($AG57="","",INDEX($AD$8:$AD$1407,$AG57))</f>
        <v>4</v>
      </c>
      <c r="Q57" s="92" t="str">
        <f>IF($AG57="","",INDEX($AM$8:$AM$21,INDEX($AC$8:$AC$1407,$AG57)+1))</f>
        <v>aantal</v>
      </c>
      <c r="R57" s="92" t="str">
        <f>IF($AG57="","",IF($G57&gt;0,P_ToelCorrectie&amp;"",""))</f>
        <v/>
      </c>
      <c r="S57" s="15" t="str">
        <f>IF(J57="","",J57&amp;"|"&amp;E57&amp;"|"&amp;F57&amp;"|"&amp;I57&amp;"|"&amp;O57)</f>
        <v>G.900004.8.9090|2026|Q3|2026|Woningen verkocht t/m vorig jaar</v>
      </c>
      <c r="T57" s="111">
        <f>IF(S57="","",IF(COUNTIFS(L_Sleutel,S57,L_Actief,1)=0,"",SUMIFS(L_Waarde,L_Sleutel,S57,L_Actief,1)))</f>
        <v>4</v>
      </c>
      <c r="U57" s="111">
        <f>IF(OR(S57="",T57=""),0,P57-T57)</f>
        <v>0</v>
      </c>
      <c r="AB57" s="112" t="n">
        <v>4</v>
      </c>
      <c r="AC57" s="112" t="n">
        <v>7</v>
      </c>
      <c r="AD57" s="112">
        <f>VERW_Project!AW9</f>
        <v>4</v>
      </c>
      <c r="AE57" s="112">
        <f>IF(AND(VERW_Project!$A9&lt;&gt;"",ISNUMBER(AD57)),1,0)</f>
        <v>1</v>
      </c>
      <c r="AF57" s="112">
        <f>IF(AE57=1,SUM($AE$8:AE57),"")</f>
        <v>50</v>
      </c>
      <c r="AG57">
        <f>IFERROR(MATCH(50,$AF$8:$AF$1407,0),"")</f>
        <v>50</v>
      </c>
    </row>
    <row r="58">
      <c r="A58" s="92" t="str">
        <f>IF($AG58="","",P_ImportID)</f>
        <v>IMP-2026-Q3-01</v>
      </c>
      <c r="B58" s="92" t="str">
        <f>IF($AG58="","",IF(INDEX($AN$8:$AN$21,INDEX($AC$8:$AC$1407,$AG58)+1)="Z",P_BronZ,P_BronE))</f>
        <v>Woningetalage_FICTIEF_20_projecten.xlsx</v>
      </c>
      <c r="C58" s="108">
        <f>IF($AG58="","",P_Importdatum)</f>
        <v>46324.0</v>
      </c>
      <c r="D58" s="92" t="str">
        <f>IF($AG58="","",P_StatusVastleg)</f>
        <v>Vastgesteld</v>
      </c>
      <c r="E58" s="92">
        <f>IF($AG58="","",P_UploadVJ)</f>
        <v>2026</v>
      </c>
      <c r="F58" s="92" t="str">
        <f>IF($AG58="","",P_UploadVersie)</f>
        <v>Q3</v>
      </c>
      <c r="G58" s="92">
        <f>IF($AG58="","",IF(COUNTIFS(L_Sleutel,$S58,L_Status,"Vastgesteld")=0,0,_xlfn.MAXIFS(L_Revisie,L_Sleutel,$S58,L_Status,"Vastgesteld")+1))</f>
        <v>1</v>
      </c>
      <c r="H58" s="108">
        <f>IF($AG58="","",P_Peildatum)</f>
        <v>46295.0</v>
      </c>
      <c r="I58" s="92">
        <f>IF($AG58="","",P_RJ+INDEX($AK$8:$AK$21,INDEX($AC$8:$AC$1407,$AG58)+1))</f>
        <v>2026</v>
      </c>
      <c r="J58" s="92" t="str">
        <f>IF($AG58="","",INDEX(V_WBS,INDEX($AB$8:$AB$1407,$AG58)))</f>
        <v>G.900004.8.9090</v>
      </c>
      <c r="K58" s="92" t="str">
        <f>IF($AG58="","",INDEX(V_Projdef,INDEX($AB$8:$AB$1407,$AG58)))</f>
        <v>G.900004</v>
      </c>
      <c r="L58" s="92" t="str">
        <f>IF($AG58="","",INDEX(V_Naam,INDEX($AB$8:$AB$1407,$AG58)))</f>
        <v>Meerhovenstad, Het Kompas</v>
      </c>
      <c r="M58" s="92" t="str">
        <f>IF($AG58="","",INDEX(V_Type,INDEX($AB$8:$AB$1407,$AG58)))</f>
        <v>Deelneming</v>
      </c>
      <c r="N58" s="92" t="str">
        <f>IF($AG58="","",INDEX(V_IFRS,INDEX($AB$8:$AB$1407,$AG58)))</f>
        <v>N</v>
      </c>
      <c r="O58" s="92" t="str">
        <f>IF($AG58="","",INDEX($AL$8:$AL$21,INDEX($AC$8:$AC$1407,$AG58)+1))</f>
        <v>Woningverkopen Q1</v>
      </c>
      <c r="P58" s="109">
        <f>IF($AG58="","",INDEX($AD$8:$AD$1407,$AG58))</f>
        <v>0</v>
      </c>
      <c r="Q58" s="92" t="str">
        <f>IF($AG58="","",INDEX($AM$8:$AM$21,INDEX($AC$8:$AC$1407,$AG58)+1))</f>
        <v>aantal</v>
      </c>
      <c r="R58" s="92" t="str">
        <f>IF($AG58="","",IF($G58&gt;0,P_ToelCorrectie&amp;"",""))</f>
        <v/>
      </c>
      <c r="S58" s="15" t="str">
        <f>IF(J58="","",J58&amp;"|"&amp;E58&amp;"|"&amp;F58&amp;"|"&amp;I58&amp;"|"&amp;O58)</f>
        <v>G.900004.8.9090|2026|Q3|2026|Woningverkopen Q1</v>
      </c>
      <c r="T58" s="111">
        <f>IF(S58="","",IF(COUNTIFS(L_Sleutel,S58,L_Actief,1)=0,"",SUMIFS(L_Waarde,L_Sleutel,S58,L_Actief,1)))</f>
        <v>0</v>
      </c>
      <c r="U58" s="111">
        <f>IF(OR(S58="",T58=""),0,P58-T58)</f>
        <v>0</v>
      </c>
      <c r="AB58" s="112" t="n">
        <v>4</v>
      </c>
      <c r="AC58" s="112" t="n">
        <v>8</v>
      </c>
      <c r="AD58" s="112">
        <f>VERW_Project!BQ9</f>
        <v>0</v>
      </c>
      <c r="AE58" s="112">
        <f>IF(AND(VERW_Project!$A9&lt;&gt;"",ISNUMBER(AD58)),1,0)</f>
        <v>1</v>
      </c>
      <c r="AF58" s="112">
        <f>IF(AE58=1,SUM($AE$8:AE58),"")</f>
        <v>51</v>
      </c>
      <c r="AG58">
        <f>IFERROR(MATCH(51,$AF$8:$AF$1407,0),"")</f>
        <v>51</v>
      </c>
    </row>
    <row r="59">
      <c r="A59" s="92" t="str">
        <f>IF($AG59="","",P_ImportID)</f>
        <v>IMP-2026-Q3-01</v>
      </c>
      <c r="B59" s="92" t="str">
        <f>IF($AG59="","",IF(INDEX($AN$8:$AN$21,INDEX($AC$8:$AC$1407,$AG59)+1)="Z",P_BronZ,P_BronE))</f>
        <v>Woningetalage_FICTIEF_20_projecten.xlsx</v>
      </c>
      <c r="C59" s="108">
        <f>IF($AG59="","",P_Importdatum)</f>
        <v>46324.0</v>
      </c>
      <c r="D59" s="92" t="str">
        <f>IF($AG59="","",P_StatusVastleg)</f>
        <v>Vastgesteld</v>
      </c>
      <c r="E59" s="92">
        <f>IF($AG59="","",P_UploadVJ)</f>
        <v>2026</v>
      </c>
      <c r="F59" s="92" t="str">
        <f>IF($AG59="","",P_UploadVersie)</f>
        <v>Q3</v>
      </c>
      <c r="G59" s="92">
        <f>IF($AG59="","",IF(COUNTIFS(L_Sleutel,$S59,L_Status,"Vastgesteld")=0,0,_xlfn.MAXIFS(L_Revisie,L_Sleutel,$S59,L_Status,"Vastgesteld")+1))</f>
        <v>1</v>
      </c>
      <c r="H59" s="108">
        <f>IF($AG59="","",P_Peildatum)</f>
        <v>46295.0</v>
      </c>
      <c r="I59" s="92">
        <f>IF($AG59="","",P_RJ+INDEX($AK$8:$AK$21,INDEX($AC$8:$AC$1407,$AG59)+1))</f>
        <v>2026</v>
      </c>
      <c r="J59" s="92" t="str">
        <f>IF($AG59="","",INDEX(V_WBS,INDEX($AB$8:$AB$1407,$AG59)))</f>
        <v>G.900004.8.9090</v>
      </c>
      <c r="K59" s="92" t="str">
        <f>IF($AG59="","",INDEX(V_Projdef,INDEX($AB$8:$AB$1407,$AG59)))</f>
        <v>G.900004</v>
      </c>
      <c r="L59" s="92" t="str">
        <f>IF($AG59="","",INDEX(V_Naam,INDEX($AB$8:$AB$1407,$AG59)))</f>
        <v>Meerhovenstad, Het Kompas</v>
      </c>
      <c r="M59" s="92" t="str">
        <f>IF($AG59="","",INDEX(V_Type,INDEX($AB$8:$AB$1407,$AG59)))</f>
        <v>Deelneming</v>
      </c>
      <c r="N59" s="92" t="str">
        <f>IF($AG59="","",INDEX(V_IFRS,INDEX($AB$8:$AB$1407,$AG59)))</f>
        <v>N</v>
      </c>
      <c r="O59" s="92" t="str">
        <f>IF($AG59="","",INDEX($AL$8:$AL$21,INDEX($AC$8:$AC$1407,$AG59)+1))</f>
        <v>Woningverkopen Q2</v>
      </c>
      <c r="P59" s="109">
        <f>IF($AG59="","",INDEX($AD$8:$AD$1407,$AG59))</f>
        <v>0</v>
      </c>
      <c r="Q59" s="92" t="str">
        <f>IF($AG59="","",INDEX($AM$8:$AM$21,INDEX($AC$8:$AC$1407,$AG59)+1))</f>
        <v>aantal</v>
      </c>
      <c r="R59" s="92" t="str">
        <f>IF($AG59="","",IF($G59&gt;0,P_ToelCorrectie&amp;"",""))</f>
        <v/>
      </c>
      <c r="S59" s="15" t="str">
        <f>IF(J59="","",J59&amp;"|"&amp;E59&amp;"|"&amp;F59&amp;"|"&amp;I59&amp;"|"&amp;O59)</f>
        <v>G.900004.8.9090|2026|Q3|2026|Woningverkopen Q2</v>
      </c>
      <c r="T59" s="111">
        <f>IF(S59="","",IF(COUNTIFS(L_Sleutel,S59,L_Actief,1)=0,"",SUMIFS(L_Waarde,L_Sleutel,S59,L_Actief,1)))</f>
        <v>0</v>
      </c>
      <c r="U59" s="111">
        <f>IF(OR(S59="",T59=""),0,P59-T59)</f>
        <v>0</v>
      </c>
      <c r="AB59" s="112" t="n">
        <v>4</v>
      </c>
      <c r="AC59" s="112" t="n">
        <v>9</v>
      </c>
      <c r="AD59" s="112">
        <f>VERW_Project!BR9</f>
        <v>0</v>
      </c>
      <c r="AE59" s="112">
        <f>IF(AND(VERW_Project!$A9&lt;&gt;"",ISNUMBER(AD59)),1,0)</f>
        <v>1</v>
      </c>
      <c r="AF59" s="112">
        <f>IF(AE59=1,SUM($AE$8:AE59),"")</f>
        <v>52</v>
      </c>
      <c r="AG59">
        <f>IFERROR(MATCH(52,$AF$8:$AF$1407,0),"")</f>
        <v>52</v>
      </c>
    </row>
    <row r="60">
      <c r="A60" s="92" t="str">
        <f>IF($AG60="","",P_ImportID)</f>
        <v>IMP-2026-Q3-01</v>
      </c>
      <c r="B60" s="92" t="str">
        <f>IF($AG60="","",IF(INDEX($AN$8:$AN$21,INDEX($AC$8:$AC$1407,$AG60)+1)="Z",P_BronZ,P_BronE))</f>
        <v>Woningetalage_FICTIEF_20_projecten.xlsx</v>
      </c>
      <c r="C60" s="108">
        <f>IF($AG60="","",P_Importdatum)</f>
        <v>46324.0</v>
      </c>
      <c r="D60" s="92" t="str">
        <f>IF($AG60="","",P_StatusVastleg)</f>
        <v>Vastgesteld</v>
      </c>
      <c r="E60" s="92">
        <f>IF($AG60="","",P_UploadVJ)</f>
        <v>2026</v>
      </c>
      <c r="F60" s="92" t="str">
        <f>IF($AG60="","",P_UploadVersie)</f>
        <v>Q3</v>
      </c>
      <c r="G60" s="92">
        <f>IF($AG60="","",IF(COUNTIFS(L_Sleutel,$S60,L_Status,"Vastgesteld")=0,0,_xlfn.MAXIFS(L_Revisie,L_Sleutel,$S60,L_Status,"Vastgesteld")+1))</f>
        <v>1</v>
      </c>
      <c r="H60" s="108">
        <f>IF($AG60="","",P_Peildatum)</f>
        <v>46295.0</v>
      </c>
      <c r="I60" s="92">
        <f>IF($AG60="","",P_RJ+INDEX($AK$8:$AK$21,INDEX($AC$8:$AC$1407,$AG60)+1))</f>
        <v>2026</v>
      </c>
      <c r="J60" s="92" t="str">
        <f>IF($AG60="","",INDEX(V_WBS,INDEX($AB$8:$AB$1407,$AG60)))</f>
        <v>G.900004.8.9090</v>
      </c>
      <c r="K60" s="92" t="str">
        <f>IF($AG60="","",INDEX(V_Projdef,INDEX($AB$8:$AB$1407,$AG60)))</f>
        <v>G.900004</v>
      </c>
      <c r="L60" s="92" t="str">
        <f>IF($AG60="","",INDEX(V_Naam,INDEX($AB$8:$AB$1407,$AG60)))</f>
        <v>Meerhovenstad, Het Kompas</v>
      </c>
      <c r="M60" s="92" t="str">
        <f>IF($AG60="","",INDEX(V_Type,INDEX($AB$8:$AB$1407,$AG60)))</f>
        <v>Deelneming</v>
      </c>
      <c r="N60" s="92" t="str">
        <f>IF($AG60="","",INDEX(V_IFRS,INDEX($AB$8:$AB$1407,$AG60)))</f>
        <v>N</v>
      </c>
      <c r="O60" s="92" t="str">
        <f>IF($AG60="","",INDEX($AL$8:$AL$21,INDEX($AC$8:$AC$1407,$AG60)+1))</f>
        <v>Woningverkopen Q3</v>
      </c>
      <c r="P60" s="109">
        <f>IF($AG60="","",INDEX($AD$8:$AD$1407,$AG60))</f>
        <v>0</v>
      </c>
      <c r="Q60" s="92" t="str">
        <f>IF($AG60="","",INDEX($AM$8:$AM$21,INDEX($AC$8:$AC$1407,$AG60)+1))</f>
        <v>aantal</v>
      </c>
      <c r="R60" s="92" t="str">
        <f>IF($AG60="","",IF($G60&gt;0,P_ToelCorrectie&amp;"",""))</f>
        <v/>
      </c>
      <c r="S60" s="15" t="str">
        <f>IF(J60="","",J60&amp;"|"&amp;E60&amp;"|"&amp;F60&amp;"|"&amp;I60&amp;"|"&amp;O60)</f>
        <v>G.900004.8.9090|2026|Q3|2026|Woningverkopen Q3</v>
      </c>
      <c r="T60" s="111">
        <f>IF(S60="","",IF(COUNTIFS(L_Sleutel,S60,L_Actief,1)=0,"",SUMIFS(L_Waarde,L_Sleutel,S60,L_Actief,1)))</f>
        <v>0</v>
      </c>
      <c r="U60" s="111">
        <f>IF(OR(S60="",T60=""),0,P60-T60)</f>
        <v>0</v>
      </c>
      <c r="AB60" s="112" t="n">
        <v>4</v>
      </c>
      <c r="AC60" s="112" t="n">
        <v>10</v>
      </c>
      <c r="AD60" s="112">
        <f>VERW_Project!BS9</f>
        <v>0</v>
      </c>
      <c r="AE60" s="112">
        <f>IF(AND(VERW_Project!$A9&lt;&gt;"",ISNUMBER(AD60)),1,0)</f>
        <v>1</v>
      </c>
      <c r="AF60" s="112">
        <f>IF(AE60=1,SUM($AE$8:AE60),"")</f>
        <v>53</v>
      </c>
      <c r="AG60">
        <f>IFERROR(MATCH(53,$AF$8:$AF$1407,0),"")</f>
        <v>53</v>
      </c>
    </row>
    <row r="61">
      <c r="A61" s="92" t="str">
        <f>IF($AG61="","",P_ImportID)</f>
        <v>IMP-2026-Q3-01</v>
      </c>
      <c r="B61" s="92" t="str">
        <f>IF($AG61="","",IF(INDEX($AN$8:$AN$21,INDEX($AC$8:$AC$1407,$AG61)+1)="Z",P_BronZ,P_BronE))</f>
        <v>Woningetalage_FICTIEF_20_projecten.xlsx</v>
      </c>
      <c r="C61" s="108">
        <f>IF($AG61="","",P_Importdatum)</f>
        <v>46324.0</v>
      </c>
      <c r="D61" s="92" t="str">
        <f>IF($AG61="","",P_StatusVastleg)</f>
        <v>Vastgesteld</v>
      </c>
      <c r="E61" s="92">
        <f>IF($AG61="","",P_UploadVJ)</f>
        <v>2026</v>
      </c>
      <c r="F61" s="92" t="str">
        <f>IF($AG61="","",P_UploadVersie)</f>
        <v>Q3</v>
      </c>
      <c r="G61" s="92">
        <f>IF($AG61="","",IF(COUNTIFS(L_Sleutel,$S61,L_Status,"Vastgesteld")=0,0,_xlfn.MAXIFS(L_Revisie,L_Sleutel,$S61,L_Status,"Vastgesteld")+1))</f>
        <v>1</v>
      </c>
      <c r="H61" s="108">
        <f>IF($AG61="","",P_Peildatum)</f>
        <v>46295.0</v>
      </c>
      <c r="I61" s="92">
        <f>IF($AG61="","",P_RJ+INDEX($AK$8:$AK$21,INDEX($AC$8:$AC$1407,$AG61)+1))</f>
        <v>2026</v>
      </c>
      <c r="J61" s="92" t="str">
        <f>IF($AG61="","",INDEX(V_WBS,INDEX($AB$8:$AB$1407,$AG61)))</f>
        <v>G.900004.8.9090</v>
      </c>
      <c r="K61" s="92" t="str">
        <f>IF($AG61="","",INDEX(V_Projdef,INDEX($AB$8:$AB$1407,$AG61)))</f>
        <v>G.900004</v>
      </c>
      <c r="L61" s="92" t="str">
        <f>IF($AG61="","",INDEX(V_Naam,INDEX($AB$8:$AB$1407,$AG61)))</f>
        <v>Meerhovenstad, Het Kompas</v>
      </c>
      <c r="M61" s="92" t="str">
        <f>IF($AG61="","",INDEX(V_Type,INDEX($AB$8:$AB$1407,$AG61)))</f>
        <v>Deelneming</v>
      </c>
      <c r="N61" s="92" t="str">
        <f>IF($AG61="","",INDEX(V_IFRS,INDEX($AB$8:$AB$1407,$AG61)))</f>
        <v>N</v>
      </c>
      <c r="O61" s="92" t="str">
        <f>IF($AG61="","",INDEX($AL$8:$AL$21,INDEX($AC$8:$AC$1407,$AG61)+1))</f>
        <v>Woningverkopen Q4</v>
      </c>
      <c r="P61" s="109">
        <f>IF($AG61="","",INDEX($AD$8:$AD$1407,$AG61))</f>
        <v>6</v>
      </c>
      <c r="Q61" s="92" t="str">
        <f>IF($AG61="","",INDEX($AM$8:$AM$21,INDEX($AC$8:$AC$1407,$AG61)+1))</f>
        <v>aantal</v>
      </c>
      <c r="R61" s="92" t="str">
        <f>IF($AG61="","",IF($G61&gt;0,P_ToelCorrectie&amp;"",""))</f>
        <v/>
      </c>
      <c r="S61" s="15" t="str">
        <f>IF(J61="","",J61&amp;"|"&amp;E61&amp;"|"&amp;F61&amp;"|"&amp;I61&amp;"|"&amp;O61)</f>
        <v>G.900004.8.9090|2026|Q3|2026|Woningverkopen Q4</v>
      </c>
      <c r="T61" s="111">
        <f>IF(S61="","",IF(COUNTIFS(L_Sleutel,S61,L_Actief,1)=0,"",SUMIFS(L_Waarde,L_Sleutel,S61,L_Actief,1)))</f>
        <v>6</v>
      </c>
      <c r="U61" s="111">
        <f>IF(OR(S61="",T61=""),0,P61-T61)</f>
        <v>0</v>
      </c>
      <c r="AB61" s="112" t="n">
        <v>4</v>
      </c>
      <c r="AC61" s="112" t="n">
        <v>11</v>
      </c>
      <c r="AD61" s="112">
        <f>VERW_Project!BT9</f>
        <v>6</v>
      </c>
      <c r="AE61" s="112">
        <f>IF(AND(VERW_Project!$A9&lt;&gt;"",ISNUMBER(AD61)),1,0)</f>
        <v>1</v>
      </c>
      <c r="AF61" s="112">
        <f>IF(AE61=1,SUM($AE$8:AE61),"")</f>
        <v>54</v>
      </c>
      <c r="AG61">
        <f>IFERROR(MATCH(54,$AF$8:$AF$1407,0),"")</f>
        <v>54</v>
      </c>
    </row>
    <row r="62">
      <c r="A62" s="92" t="str">
        <f>IF($AG62="","",P_ImportID)</f>
        <v>IMP-2026-Q3-01</v>
      </c>
      <c r="B62" s="92" t="str">
        <f>IF($AG62="","",IF(INDEX($AN$8:$AN$21,INDEX($AC$8:$AC$1407,$AG62)+1)="Z",P_BronZ,P_BronE))</f>
        <v>Woningetalage_FICTIEF_20_projecten.xlsx</v>
      </c>
      <c r="C62" s="108">
        <f>IF($AG62="","",P_Importdatum)</f>
        <v>46324.0</v>
      </c>
      <c r="D62" s="92" t="str">
        <f>IF($AG62="","",P_StatusVastleg)</f>
        <v>Vastgesteld</v>
      </c>
      <c r="E62" s="92">
        <f>IF($AG62="","",P_UploadVJ)</f>
        <v>2026</v>
      </c>
      <c r="F62" s="92" t="str">
        <f>IF($AG62="","",P_UploadVersie)</f>
        <v>Q3</v>
      </c>
      <c r="G62" s="92">
        <f>IF($AG62="","",IF(COUNTIFS(L_Sleutel,$S62,L_Status,"Vastgesteld")=0,0,_xlfn.MAXIFS(L_Revisie,L_Sleutel,$S62,L_Status,"Vastgesteld")+1))</f>
        <v>1</v>
      </c>
      <c r="H62" s="108">
        <f>IF($AG62="","",P_Peildatum)</f>
        <v>46295.0</v>
      </c>
      <c r="I62" s="92">
        <f>IF($AG62="","",P_RJ+INDEX($AK$8:$AK$21,INDEX($AC$8:$AC$1407,$AG62)+1))</f>
        <v>2026</v>
      </c>
      <c r="J62" s="92" t="str">
        <f>IF($AG62="","",INDEX(V_WBS,INDEX($AB$8:$AB$1407,$AG62)))</f>
        <v>G.900004.8.9090</v>
      </c>
      <c r="K62" s="92" t="str">
        <f>IF($AG62="","",INDEX(V_Projdef,INDEX($AB$8:$AB$1407,$AG62)))</f>
        <v>G.900004</v>
      </c>
      <c r="L62" s="92" t="str">
        <f>IF($AG62="","",INDEX(V_Naam,INDEX($AB$8:$AB$1407,$AG62)))</f>
        <v>Meerhovenstad, Het Kompas</v>
      </c>
      <c r="M62" s="92" t="str">
        <f>IF($AG62="","",INDEX(V_Type,INDEX($AB$8:$AB$1407,$AG62)))</f>
        <v>Deelneming</v>
      </c>
      <c r="N62" s="92" t="str">
        <f>IF($AG62="","",INDEX(V_IFRS,INDEX($AB$8:$AB$1407,$AG62)))</f>
        <v>N</v>
      </c>
      <c r="O62" s="92" t="str">
        <f>IF($AG62="","",INDEX($AL$8:$AL$21,INDEX($AC$8:$AC$1407,$AG62)+1))</f>
        <v>Woningverkopen actual YTD</v>
      </c>
      <c r="P62" s="109">
        <f>IF($AG62="","",INDEX($AD$8:$AD$1407,$AG62))</f>
        <v>0</v>
      </c>
      <c r="Q62" s="92" t="str">
        <f>IF($AG62="","",INDEX($AM$8:$AM$21,INDEX($AC$8:$AC$1407,$AG62)+1))</f>
        <v>aantal</v>
      </c>
      <c r="R62" s="92" t="str">
        <f>IF($AG62="","",IF($G62&gt;0,P_ToelCorrectie&amp;"",""))</f>
        <v/>
      </c>
      <c r="S62" s="15" t="str">
        <f>IF(J62="","",J62&amp;"|"&amp;E62&amp;"|"&amp;F62&amp;"|"&amp;I62&amp;"|"&amp;O62)</f>
        <v>G.900004.8.9090|2026|Q3|2026|Woningverkopen actual YTD</v>
      </c>
      <c r="T62" s="111">
        <f>IF(S62="","",IF(COUNTIFS(L_Sleutel,S62,L_Actief,1)=0,"",SUMIFS(L_Waarde,L_Sleutel,S62,L_Actief,1)))</f>
        <v>0</v>
      </c>
      <c r="U62" s="111">
        <f>IF(OR(S62="",T62=""),0,P62-T62)</f>
        <v>0</v>
      </c>
      <c r="AB62" s="112" t="n">
        <v>4</v>
      </c>
      <c r="AC62" s="112" t="n">
        <v>12</v>
      </c>
      <c r="AD62" s="112">
        <f>VERW_Project!BU9</f>
        <v>0</v>
      </c>
      <c r="AE62" s="112">
        <f>IF(AND(VERW_Project!$A9&lt;&gt;"",ISNUMBER(AD62)),1,0)</f>
        <v>1</v>
      </c>
      <c r="AF62" s="112">
        <f>IF(AE62=1,SUM($AE$8:AE62),"")</f>
        <v>55</v>
      </c>
      <c r="AG62">
        <f>IFERROR(MATCH(55,$AF$8:$AF$1407,0),"")</f>
        <v>55</v>
      </c>
    </row>
    <row r="63">
      <c r="A63" s="92" t="str">
        <f>IF($AG63="","",P_ImportID)</f>
        <v>IMP-2026-Q3-01</v>
      </c>
      <c r="B63" s="92" t="str">
        <f>IF($AG63="","",IF(INDEX($AN$8:$AN$21,INDEX($AC$8:$AC$1407,$AG63)+1)="Z",P_BronZ,P_BronE))</f>
        <v>Woningetalage_FICTIEF_20_projecten.xlsx</v>
      </c>
      <c r="C63" s="108">
        <f>IF($AG63="","",P_Importdatum)</f>
        <v>46324.0</v>
      </c>
      <c r="D63" s="92" t="str">
        <f>IF($AG63="","",P_StatusVastleg)</f>
        <v>Vastgesteld</v>
      </c>
      <c r="E63" s="92">
        <f>IF($AG63="","",P_UploadVJ)</f>
        <v>2026</v>
      </c>
      <c r="F63" s="92" t="str">
        <f>IF($AG63="","",P_UploadVersie)</f>
        <v>Q3</v>
      </c>
      <c r="G63" s="92">
        <f>IF($AG63="","",IF(COUNTIFS(L_Sleutel,$S63,L_Status,"Vastgesteld")=0,0,_xlfn.MAXIFS(L_Revisie,L_Sleutel,$S63,L_Status,"Vastgesteld")+1))</f>
        <v>0</v>
      </c>
      <c r="H63" s="108">
        <f>IF($AG63="","",P_Peildatum)</f>
        <v>46295.0</v>
      </c>
      <c r="I63" s="92">
        <f>IF($AG63="","",P_RJ+INDEX($AK$8:$AK$21,INDEX($AC$8:$AC$1407,$AG63)+1))</f>
        <v>2027</v>
      </c>
      <c r="J63" s="92" t="str">
        <f>IF($AG63="","",INDEX(V_WBS,INDEX($AB$8:$AB$1407,$AG63)))</f>
        <v>G.900004.8.9090</v>
      </c>
      <c r="K63" s="92" t="str">
        <f>IF($AG63="","",INDEX(V_Projdef,INDEX($AB$8:$AB$1407,$AG63)))</f>
        <v>G.900004</v>
      </c>
      <c r="L63" s="92" t="str">
        <f>IF($AG63="","",INDEX(V_Naam,INDEX($AB$8:$AB$1407,$AG63)))</f>
        <v>Meerhovenstad, Het Kompas</v>
      </c>
      <c r="M63" s="92" t="str">
        <f>IF($AG63="","",INDEX(V_Type,INDEX($AB$8:$AB$1407,$AG63)))</f>
        <v>Deelneming</v>
      </c>
      <c r="N63" s="92" t="str">
        <f>IF($AG63="","",INDEX(V_IFRS,INDEX($AB$8:$AB$1407,$AG63)))</f>
        <v>N</v>
      </c>
      <c r="O63" s="92" t="str">
        <f>IF($AG63="","",INDEX($AL$8:$AL$21,INDEX($AC$8:$AC$1407,$AG63)+1))</f>
        <v>Woningverkopen FY</v>
      </c>
      <c r="P63" s="109">
        <f>IF($AG63="","",INDEX($AD$8:$AD$1407,$AG63))</f>
        <v>9</v>
      </c>
      <c r="Q63" s="92" t="str">
        <f>IF($AG63="","",INDEX($AM$8:$AM$21,INDEX($AC$8:$AC$1407,$AG63)+1))</f>
        <v>aantal</v>
      </c>
      <c r="R63" s="92" t="str">
        <f>IF($AG63="","",IF($G63&gt;0,P_ToelCorrectie&amp;"",""))</f>
        <v/>
      </c>
      <c r="S63" s="15" t="str">
        <f>IF(J63="","",J63&amp;"|"&amp;E63&amp;"|"&amp;F63&amp;"|"&amp;I63&amp;"|"&amp;O63)</f>
        <v>G.900004.8.9090|2026|Q3|2027|Woningverkopen FY</v>
      </c>
      <c r="T63" s="111" t="str">
        <f>IF(S63="","",IF(COUNTIFS(L_Sleutel,S63,L_Actief,1)=0,"",SUMIFS(L_Waarde,L_Sleutel,S63,L_Actief,1)))</f>
        <v/>
      </c>
      <c r="U63" s="111">
        <f>IF(OR(S63="",T63=""),0,P63-T63)</f>
        <v>0</v>
      </c>
      <c r="AB63" s="112" t="n">
        <v>4</v>
      </c>
      <c r="AC63" s="112" t="n">
        <v>13</v>
      </c>
      <c r="AD63" s="112">
        <f>VERW_Project!BX9</f>
        <v>9</v>
      </c>
      <c r="AE63" s="112">
        <f>IF(AND(VERW_Project!$A9&lt;&gt;"",ISNUMBER(AD63)),1,0)</f>
        <v>1</v>
      </c>
      <c r="AF63" s="112">
        <f>IF(AE63=1,SUM($AE$8:AE63),"")</f>
        <v>56</v>
      </c>
      <c r="AG63">
        <f>IFERROR(MATCH(56,$AF$8:$AF$1407,0),"")</f>
        <v>56</v>
      </c>
    </row>
    <row r="64">
      <c r="A64" s="92" t="str">
        <f>IF($AG64="","",P_ImportID)</f>
        <v>IMP-2026-Q3-01</v>
      </c>
      <c r="B64" s="92" t="str">
        <f>IF($AG64="","",IF(INDEX($AN$8:$AN$21,INDEX($AC$8:$AC$1407,$AG64)+1)="Z",P_BronZ,P_BronE))</f>
        <v>ZPMW03_FICTIEF_20_projecten.xlsx</v>
      </c>
      <c r="C64" s="108">
        <f>IF($AG64="","",P_Importdatum)</f>
        <v>46324.0</v>
      </c>
      <c r="D64" s="92" t="str">
        <f>IF($AG64="","",P_StatusVastleg)</f>
        <v>Vastgesteld</v>
      </c>
      <c r="E64" s="92">
        <f>IF($AG64="","",P_UploadVJ)</f>
        <v>2026</v>
      </c>
      <c r="F64" s="92" t="str">
        <f>IF($AG64="","",P_UploadVersie)</f>
        <v>Q3</v>
      </c>
      <c r="G64" s="92">
        <f>IF($AG64="","",IF(COUNTIFS(L_Sleutel,$S64,L_Status,"Vastgesteld")=0,0,_xlfn.MAXIFS(L_Revisie,L_Sleutel,$S64,L_Status,"Vastgesteld")+1))</f>
        <v>1</v>
      </c>
      <c r="H64" s="108">
        <f>IF($AG64="","",P_Peildatum)</f>
        <v>46295.0</v>
      </c>
      <c r="I64" s="92">
        <f>IF($AG64="","",P_RJ+INDEX($AK$8:$AK$21,INDEX($AC$8:$AC$1407,$AG64)+1))</f>
        <v>2026</v>
      </c>
      <c r="J64" s="92" t="str">
        <f>IF($AG64="","",INDEX(V_WBS,INDEX($AB$8:$AB$1407,$AG64)))</f>
        <v>G.900005.8.9090</v>
      </c>
      <c r="K64" s="92" t="str">
        <f>IF($AG64="","",INDEX(V_Projdef,INDEX($AB$8:$AB$1407,$AG64)))</f>
        <v>G.900005</v>
      </c>
      <c r="L64" s="92" t="str">
        <f>IF($AG64="","",INDEX(V_Naam,INDEX($AB$8:$AB$1407,$AG64)))</f>
        <v>Zilverdam, Kadezicht</v>
      </c>
      <c r="M64" s="92" t="str">
        <f>IF($AG64="","",INDEX(V_Type,INDEX($AB$8:$AB$1407,$AG64)))</f>
        <v>Opstal</v>
      </c>
      <c r="N64" s="92" t="str">
        <f>IF($AG64="","",INDEX(V_IFRS,INDEX($AB$8:$AB$1407,$AG64)))</f>
        <v>J</v>
      </c>
      <c r="O64" s="92" t="str">
        <f>IF($AG64="","",INDEX($AL$8:$AL$21,INDEX($AC$8:$AC$1407,$AG64)+1))</f>
        <v>Omzet FY</v>
      </c>
      <c r="P64" s="109">
        <f>IF($AG64="","",INDEX($AD$8:$AD$1407,$AG64))</f>
        <v>6720000</v>
      </c>
      <c r="Q64" s="92" t="str">
        <f>IF($AG64="","",INDEX($AM$8:$AM$21,INDEX($AC$8:$AC$1407,$AG64)+1))</f>
        <v>EUR</v>
      </c>
      <c r="R64" s="92" t="str">
        <f>IF($AG64="","",IF($G64&gt;0,P_ToelCorrectie&amp;"",""))</f>
        <v/>
      </c>
      <c r="S64" s="15" t="str">
        <f>IF(J64="","",J64&amp;"|"&amp;E64&amp;"|"&amp;F64&amp;"|"&amp;I64&amp;"|"&amp;O64)</f>
        <v>G.900005.8.9090|2026|Q3|2026|Omzet FY</v>
      </c>
      <c r="T64" s="111">
        <f>IF(S64="","",IF(COUNTIFS(L_Sleutel,S64,L_Actief,1)=0,"",SUMIFS(L_Waarde,L_Sleutel,S64,L_Actief,1)))</f>
        <v>6720000</v>
      </c>
      <c r="U64" s="111">
        <f>IF(OR(S64="",T64=""),0,P64-T64)</f>
        <v>0</v>
      </c>
      <c r="AB64" s="112" t="n">
        <v>5</v>
      </c>
      <c r="AC64" s="112" t="n">
        <v>0</v>
      </c>
      <c r="AD64" s="112">
        <f>VERW_Project!P10</f>
        <v>6720000</v>
      </c>
      <c r="AE64" s="112">
        <f>IF(AND(VERW_Project!$A10&lt;&gt;"",ISNUMBER(AD64)),1,0)</f>
        <v>1</v>
      </c>
      <c r="AF64" s="112">
        <f>IF(AE64=1,SUM($AE$8:AE64),"")</f>
        <v>57</v>
      </c>
      <c r="AG64">
        <f>IFERROR(MATCH(57,$AF$8:$AF$1407,0),"")</f>
        <v>57</v>
      </c>
    </row>
    <row r="65">
      <c r="A65" s="92" t="str">
        <f>IF($AG65="","",P_ImportID)</f>
        <v>IMP-2026-Q3-01</v>
      </c>
      <c r="B65" s="92" t="str">
        <f>IF($AG65="","",IF(INDEX($AN$8:$AN$21,INDEX($AC$8:$AC$1407,$AG65)+1)="Z",P_BronZ,P_BronE))</f>
        <v>ZPMW03_FICTIEF_20_projecten.xlsx</v>
      </c>
      <c r="C65" s="108">
        <f>IF($AG65="","",P_Importdatum)</f>
        <v>46324.0</v>
      </c>
      <c r="D65" s="92" t="str">
        <f>IF($AG65="","",P_StatusVastleg)</f>
        <v>Vastgesteld</v>
      </c>
      <c r="E65" s="92">
        <f>IF($AG65="","",P_UploadVJ)</f>
        <v>2026</v>
      </c>
      <c r="F65" s="92" t="str">
        <f>IF($AG65="","",P_UploadVersie)</f>
        <v>Q3</v>
      </c>
      <c r="G65" s="92">
        <f>IF($AG65="","",IF(COUNTIFS(L_Sleutel,$S65,L_Status,"Vastgesteld")=0,0,_xlfn.MAXIFS(L_Revisie,L_Sleutel,$S65,L_Status,"Vastgesteld")+1))</f>
        <v>1</v>
      </c>
      <c r="H65" s="108">
        <f>IF($AG65="","",P_Peildatum)</f>
        <v>46295.0</v>
      </c>
      <c r="I65" s="92">
        <f>IF($AG65="","",P_RJ+INDEX($AK$8:$AK$21,INDEX($AC$8:$AC$1407,$AG65)+1))</f>
        <v>2026</v>
      </c>
      <c r="J65" s="92" t="str">
        <f>IF($AG65="","",INDEX(V_WBS,INDEX($AB$8:$AB$1407,$AG65)))</f>
        <v>G.900005.8.9090</v>
      </c>
      <c r="K65" s="92" t="str">
        <f>IF($AG65="","",INDEX(V_Projdef,INDEX($AB$8:$AB$1407,$AG65)))</f>
        <v>G.900005</v>
      </c>
      <c r="L65" s="92" t="str">
        <f>IF($AG65="","",INDEX(V_Naam,INDEX($AB$8:$AB$1407,$AG65)))</f>
        <v>Zilverdam, Kadezicht</v>
      </c>
      <c r="M65" s="92" t="str">
        <f>IF($AG65="","",INDEX(V_Type,INDEX($AB$8:$AB$1407,$AG65)))</f>
        <v>Opstal</v>
      </c>
      <c r="N65" s="92" t="str">
        <f>IF($AG65="","",INDEX(V_IFRS,INDEX($AB$8:$AB$1407,$AG65)))</f>
        <v>J</v>
      </c>
      <c r="O65" s="92" t="str">
        <f>IF($AG65="","",INDEX($AL$8:$AL$21,INDEX($AC$8:$AC$1407,$AG65)+1))</f>
        <v>BOR FY</v>
      </c>
      <c r="P65" s="109">
        <f>IF($AG65="","",INDEX($AD$8:$AD$1407,$AG65))</f>
        <v>436800</v>
      </c>
      <c r="Q65" s="92" t="str">
        <f>IF($AG65="","",INDEX($AM$8:$AM$21,INDEX($AC$8:$AC$1407,$AG65)+1))</f>
        <v>EUR</v>
      </c>
      <c r="R65" s="92" t="str">
        <f>IF($AG65="","",IF($G65&gt;0,P_ToelCorrectie&amp;"",""))</f>
        <v/>
      </c>
      <c r="S65" s="15" t="str">
        <f>IF(J65="","",J65&amp;"|"&amp;E65&amp;"|"&amp;F65&amp;"|"&amp;I65&amp;"|"&amp;O65)</f>
        <v>G.900005.8.9090|2026|Q3|2026|BOR FY</v>
      </c>
      <c r="T65" s="111">
        <f>IF(S65="","",IF(COUNTIFS(L_Sleutel,S65,L_Actief,1)=0,"",SUMIFS(L_Waarde,L_Sleutel,S65,L_Actief,1)))</f>
        <v>436800</v>
      </c>
      <c r="U65" s="111">
        <f>IF(OR(S65="",T65=""),0,P65-T65)</f>
        <v>0</v>
      </c>
      <c r="AB65" s="112" t="n">
        <v>5</v>
      </c>
      <c r="AC65" s="112" t="n">
        <v>1</v>
      </c>
      <c r="AD65" s="112">
        <f>VERW_Project!Q10</f>
        <v>436800</v>
      </c>
      <c r="AE65" s="112">
        <f>IF(AND(VERW_Project!$A10&lt;&gt;"",ISNUMBER(AD65)),1,0)</f>
        <v>1</v>
      </c>
      <c r="AF65" s="112">
        <f>IF(AE65=1,SUM($AE$8:AE65),"")</f>
        <v>58</v>
      </c>
      <c r="AG65">
        <f>IFERROR(MATCH(58,$AF$8:$AF$1407,0),"")</f>
        <v>58</v>
      </c>
    </row>
    <row r="66">
      <c r="A66" s="92" t="str">
        <f>IF($AG66="","",P_ImportID)</f>
        <v>IMP-2026-Q3-01</v>
      </c>
      <c r="B66" s="92" t="str">
        <f>IF($AG66="","",IF(INDEX($AN$8:$AN$21,INDEX($AC$8:$AC$1407,$AG66)+1)="Z",P_BronZ,P_BronE))</f>
        <v>ZPMW03_FICTIEF_20_projecten.xlsx</v>
      </c>
      <c r="C66" s="108">
        <f>IF($AG66="","",P_Importdatum)</f>
        <v>46324.0</v>
      </c>
      <c r="D66" s="92" t="str">
        <f>IF($AG66="","",P_StatusVastleg)</f>
        <v>Vastgesteld</v>
      </c>
      <c r="E66" s="92">
        <f>IF($AG66="","",P_UploadVJ)</f>
        <v>2026</v>
      </c>
      <c r="F66" s="92" t="str">
        <f>IF($AG66="","",P_UploadVersie)</f>
        <v>Q3</v>
      </c>
      <c r="G66" s="92">
        <f>IF($AG66="","",IF(COUNTIFS(L_Sleutel,$S66,L_Status,"Vastgesteld")=0,0,_xlfn.MAXIFS(L_Revisie,L_Sleutel,$S66,L_Status,"Vastgesteld")+1))</f>
        <v>1</v>
      </c>
      <c r="H66" s="108">
        <f>IF($AG66="","",P_Peildatum)</f>
        <v>46295.0</v>
      </c>
      <c r="I66" s="92">
        <f>IF($AG66="","",P_RJ+INDEX($AK$8:$AK$21,INDEX($AC$8:$AC$1407,$AG66)+1))</f>
        <v>2026</v>
      </c>
      <c r="J66" s="92" t="str">
        <f>IF($AG66="","",INDEX(V_WBS,INDEX($AB$8:$AB$1407,$AG66)))</f>
        <v>G.900005.8.9090</v>
      </c>
      <c r="K66" s="92" t="str">
        <f>IF($AG66="","",INDEX(V_Projdef,INDEX($AB$8:$AB$1407,$AG66)))</f>
        <v>G.900005</v>
      </c>
      <c r="L66" s="92" t="str">
        <f>IF($AG66="","",INDEX(V_Naam,INDEX($AB$8:$AB$1407,$AG66)))</f>
        <v>Zilverdam, Kadezicht</v>
      </c>
      <c r="M66" s="92" t="str">
        <f>IF($AG66="","",INDEX(V_Type,INDEX($AB$8:$AB$1407,$AG66)))</f>
        <v>Opstal</v>
      </c>
      <c r="N66" s="92" t="str">
        <f>IF($AG66="","",INDEX(V_IFRS,INDEX($AB$8:$AB$1407,$AG66)))</f>
        <v>J</v>
      </c>
      <c r="O66" s="92" t="str">
        <f>IF($AG66="","",INDEX($AL$8:$AL$21,INDEX($AC$8:$AC$1407,$AG66)+1))</f>
        <v>Omzet actual YTD</v>
      </c>
      <c r="P66" s="109">
        <f>IF($AG66="","",INDEX($AD$8:$AD$1407,$AG66))</f>
        <v>4368000</v>
      </c>
      <c r="Q66" s="92" t="str">
        <f>IF($AG66="","",INDEX($AM$8:$AM$21,INDEX($AC$8:$AC$1407,$AG66)+1))</f>
        <v>EUR</v>
      </c>
      <c r="R66" s="92" t="str">
        <f>IF($AG66="","",IF($G66&gt;0,P_ToelCorrectie&amp;"",""))</f>
        <v/>
      </c>
      <c r="S66" s="15" t="str">
        <f>IF(J66="","",J66&amp;"|"&amp;E66&amp;"|"&amp;F66&amp;"|"&amp;I66&amp;"|"&amp;O66)</f>
        <v>G.900005.8.9090|2026|Q3|2026|Omzet actual YTD</v>
      </c>
      <c r="T66" s="111">
        <f>IF(S66="","",IF(COUNTIFS(L_Sleutel,S66,L_Actief,1)=0,"",SUMIFS(L_Waarde,L_Sleutel,S66,L_Actief,1)))</f>
        <v>4368000</v>
      </c>
      <c r="U66" s="111">
        <f>IF(OR(S66="",T66=""),0,P66-T66)</f>
        <v>0</v>
      </c>
      <c r="AB66" s="112" t="n">
        <v>5</v>
      </c>
      <c r="AC66" s="112" t="n">
        <v>2</v>
      </c>
      <c r="AD66" s="112">
        <f>VERW_Project!L10</f>
        <v>4368000</v>
      </c>
      <c r="AE66" s="112">
        <f>IF(AND(VERW_Project!$A10&lt;&gt;"",ISNUMBER(AD66)),1,0)</f>
        <v>1</v>
      </c>
      <c r="AF66" s="112">
        <f>IF(AE66=1,SUM($AE$8:AE66),"")</f>
        <v>59</v>
      </c>
      <c r="AG66">
        <f>IFERROR(MATCH(59,$AF$8:$AF$1407,0),"")</f>
        <v>59</v>
      </c>
    </row>
    <row r="67">
      <c r="A67" s="92" t="str">
        <f>IF($AG67="","",P_ImportID)</f>
        <v>IMP-2026-Q3-01</v>
      </c>
      <c r="B67" s="92" t="str">
        <f>IF($AG67="","",IF(INDEX($AN$8:$AN$21,INDEX($AC$8:$AC$1407,$AG67)+1)="Z",P_BronZ,P_BronE))</f>
        <v>ZPMW03_FICTIEF_20_projecten.xlsx</v>
      </c>
      <c r="C67" s="108">
        <f>IF($AG67="","",P_Importdatum)</f>
        <v>46324.0</v>
      </c>
      <c r="D67" s="92" t="str">
        <f>IF($AG67="","",P_StatusVastleg)</f>
        <v>Vastgesteld</v>
      </c>
      <c r="E67" s="92">
        <f>IF($AG67="","",P_UploadVJ)</f>
        <v>2026</v>
      </c>
      <c r="F67" s="92" t="str">
        <f>IF($AG67="","",P_UploadVersie)</f>
        <v>Q3</v>
      </c>
      <c r="G67" s="92">
        <f>IF($AG67="","",IF(COUNTIFS(L_Sleutel,$S67,L_Status,"Vastgesteld")=0,0,_xlfn.MAXIFS(L_Revisie,L_Sleutel,$S67,L_Status,"Vastgesteld")+1))</f>
        <v>1</v>
      </c>
      <c r="H67" s="108">
        <f>IF($AG67="","",P_Peildatum)</f>
        <v>46295.0</v>
      </c>
      <c r="I67" s="92">
        <f>IF($AG67="","",P_RJ+INDEX($AK$8:$AK$21,INDEX($AC$8:$AC$1407,$AG67)+1))</f>
        <v>2026</v>
      </c>
      <c r="J67" s="92" t="str">
        <f>IF($AG67="","",INDEX(V_WBS,INDEX($AB$8:$AB$1407,$AG67)))</f>
        <v>G.900005.8.9090</v>
      </c>
      <c r="K67" s="92" t="str">
        <f>IF($AG67="","",INDEX(V_Projdef,INDEX($AB$8:$AB$1407,$AG67)))</f>
        <v>G.900005</v>
      </c>
      <c r="L67" s="92" t="str">
        <f>IF($AG67="","",INDEX(V_Naam,INDEX($AB$8:$AB$1407,$AG67)))</f>
        <v>Zilverdam, Kadezicht</v>
      </c>
      <c r="M67" s="92" t="str">
        <f>IF($AG67="","",INDEX(V_Type,INDEX($AB$8:$AB$1407,$AG67)))</f>
        <v>Opstal</v>
      </c>
      <c r="N67" s="92" t="str">
        <f>IF($AG67="","",INDEX(V_IFRS,INDEX($AB$8:$AB$1407,$AG67)))</f>
        <v>J</v>
      </c>
      <c r="O67" s="92" t="str">
        <f>IF($AG67="","",INDEX($AL$8:$AL$21,INDEX($AC$8:$AC$1407,$AG67)+1))</f>
        <v>BOR actual YTD</v>
      </c>
      <c r="P67" s="109">
        <f>IF($AG67="","",INDEX($AD$8:$AD$1407,$AG67))</f>
        <v>283920</v>
      </c>
      <c r="Q67" s="92" t="str">
        <f>IF($AG67="","",INDEX($AM$8:$AM$21,INDEX($AC$8:$AC$1407,$AG67)+1))</f>
        <v>EUR</v>
      </c>
      <c r="R67" s="92" t="str">
        <f>IF($AG67="","",IF($G67&gt;0,P_ToelCorrectie&amp;"",""))</f>
        <v/>
      </c>
      <c r="S67" s="15" t="str">
        <f>IF(J67="","",J67&amp;"|"&amp;E67&amp;"|"&amp;F67&amp;"|"&amp;I67&amp;"|"&amp;O67)</f>
        <v>G.900005.8.9090|2026|Q3|2026|BOR actual YTD</v>
      </c>
      <c r="T67" s="111">
        <f>IF(S67="","",IF(COUNTIFS(L_Sleutel,S67,L_Actief,1)=0,"",SUMIFS(L_Waarde,L_Sleutel,S67,L_Actief,1)))</f>
        <v>283920</v>
      </c>
      <c r="U67" s="111">
        <f>IF(OR(S67="",T67=""),0,P67-T67)</f>
        <v>0</v>
      </c>
      <c r="AB67" s="112" t="n">
        <v>5</v>
      </c>
      <c r="AC67" s="112" t="n">
        <v>3</v>
      </c>
      <c r="AD67" s="112">
        <f>VERW_Project!M10</f>
        <v>283920</v>
      </c>
      <c r="AE67" s="112">
        <f>IF(AND(VERW_Project!$A10&lt;&gt;"",ISNUMBER(AD67)),1,0)</f>
        <v>1</v>
      </c>
      <c r="AF67" s="112">
        <f>IF(AE67=1,SUM($AE$8:AE67),"")</f>
        <v>60</v>
      </c>
      <c r="AG67">
        <f>IFERROR(MATCH(60,$AF$8:$AF$1407,0),"")</f>
        <v>60</v>
      </c>
    </row>
    <row r="68">
      <c r="A68" s="92" t="str">
        <f>IF($AG68="","",P_ImportID)</f>
        <v>IMP-2026-Q3-01</v>
      </c>
      <c r="B68" s="92" t="str">
        <f>IF($AG68="","",IF(INDEX($AN$8:$AN$21,INDEX($AC$8:$AC$1407,$AG68)+1)="Z",P_BronZ,P_BronE))</f>
        <v>ZPMW03_FICTIEF_20_projecten.xlsx</v>
      </c>
      <c r="C68" s="108">
        <f>IF($AG68="","",P_Importdatum)</f>
        <v>46324.0</v>
      </c>
      <c r="D68" s="92" t="str">
        <f>IF($AG68="","",P_StatusVastleg)</f>
        <v>Vastgesteld</v>
      </c>
      <c r="E68" s="92">
        <f>IF($AG68="","",P_UploadVJ)</f>
        <v>2026</v>
      </c>
      <c r="F68" s="92" t="str">
        <f>IF($AG68="","",P_UploadVersie)</f>
        <v>Q3</v>
      </c>
      <c r="G68" s="92">
        <f>IF($AG68="","",IF(COUNTIFS(L_Sleutel,$S68,L_Status,"Vastgesteld")=0,0,_xlfn.MAXIFS(L_Revisie,L_Sleutel,$S68,L_Status,"Vastgesteld")+1))</f>
        <v>1</v>
      </c>
      <c r="H68" s="108">
        <f>IF($AG68="","",P_Peildatum)</f>
        <v>46295.0</v>
      </c>
      <c r="I68" s="92">
        <f>IF($AG68="","",P_RJ+INDEX($AK$8:$AK$21,INDEX($AC$8:$AC$1407,$AG68)+1))</f>
        <v>2027</v>
      </c>
      <c r="J68" s="92" t="str">
        <f>IF($AG68="","",INDEX(V_WBS,INDEX($AB$8:$AB$1407,$AG68)))</f>
        <v>G.900005.8.9090</v>
      </c>
      <c r="K68" s="92" t="str">
        <f>IF($AG68="","",INDEX(V_Projdef,INDEX($AB$8:$AB$1407,$AG68)))</f>
        <v>G.900005</v>
      </c>
      <c r="L68" s="92" t="str">
        <f>IF($AG68="","",INDEX(V_Naam,INDEX($AB$8:$AB$1407,$AG68)))</f>
        <v>Zilverdam, Kadezicht</v>
      </c>
      <c r="M68" s="92" t="str">
        <f>IF($AG68="","",INDEX(V_Type,INDEX($AB$8:$AB$1407,$AG68)))</f>
        <v>Opstal</v>
      </c>
      <c r="N68" s="92" t="str">
        <f>IF($AG68="","",INDEX(V_IFRS,INDEX($AB$8:$AB$1407,$AG68)))</f>
        <v>J</v>
      </c>
      <c r="O68" s="92" t="str">
        <f>IF($AG68="","",INDEX($AL$8:$AL$21,INDEX($AC$8:$AC$1407,$AG68)+1))</f>
        <v>Omzet FY</v>
      </c>
      <c r="P68" s="109">
        <f>IF($AG68="","",INDEX($AD$8:$AD$1407,$AG68))</f>
        <v>32760000</v>
      </c>
      <c r="Q68" s="92" t="str">
        <f>IF($AG68="","",INDEX($AM$8:$AM$21,INDEX($AC$8:$AC$1407,$AG68)+1))</f>
        <v>EUR</v>
      </c>
      <c r="R68" s="92" t="str">
        <f>IF($AG68="","",IF($G68&gt;0,P_ToelCorrectie&amp;"",""))</f>
        <v/>
      </c>
      <c r="S68" s="15" t="str">
        <f>IF(J68="","",J68&amp;"|"&amp;E68&amp;"|"&amp;F68&amp;"|"&amp;I68&amp;"|"&amp;O68)</f>
        <v>G.900005.8.9090|2026|Q3|2027|Omzet FY</v>
      </c>
      <c r="T68" s="111">
        <f>IF(S68="","",IF(COUNTIFS(L_Sleutel,S68,L_Actief,1)=0,"",SUMIFS(L_Waarde,L_Sleutel,S68,L_Actief,1)))</f>
        <v>32760000</v>
      </c>
      <c r="U68" s="111">
        <f>IF(OR(S68="",T68=""),0,P68-T68)</f>
        <v>0</v>
      </c>
      <c r="AB68" s="112" t="n">
        <v>5</v>
      </c>
      <c r="AC68" s="112" t="n">
        <v>4</v>
      </c>
      <c r="AD68" s="112">
        <f>VERW_Project!R10</f>
        <v>32760000</v>
      </c>
      <c r="AE68" s="112">
        <f>IF(AND(VERW_Project!$A10&lt;&gt;"",ISNUMBER(AD68)),1,0)</f>
        <v>1</v>
      </c>
      <c r="AF68" s="112">
        <f>IF(AE68=1,SUM($AE$8:AE68),"")</f>
        <v>61</v>
      </c>
      <c r="AG68">
        <f>IFERROR(MATCH(61,$AF$8:$AF$1407,0),"")</f>
        <v>61</v>
      </c>
    </row>
    <row r="69">
      <c r="A69" s="92" t="str">
        <f>IF($AG69="","",P_ImportID)</f>
        <v>IMP-2026-Q3-01</v>
      </c>
      <c r="B69" s="92" t="str">
        <f>IF($AG69="","",IF(INDEX($AN$8:$AN$21,INDEX($AC$8:$AC$1407,$AG69)+1)="Z",P_BronZ,P_BronE))</f>
        <v>ZPMW03_FICTIEF_20_projecten.xlsx</v>
      </c>
      <c r="C69" s="108">
        <f>IF($AG69="","",P_Importdatum)</f>
        <v>46324.0</v>
      </c>
      <c r="D69" s="92" t="str">
        <f>IF($AG69="","",P_StatusVastleg)</f>
        <v>Vastgesteld</v>
      </c>
      <c r="E69" s="92">
        <f>IF($AG69="","",P_UploadVJ)</f>
        <v>2026</v>
      </c>
      <c r="F69" s="92" t="str">
        <f>IF($AG69="","",P_UploadVersie)</f>
        <v>Q3</v>
      </c>
      <c r="G69" s="92">
        <f>IF($AG69="","",IF(COUNTIFS(L_Sleutel,$S69,L_Status,"Vastgesteld")=0,0,_xlfn.MAXIFS(L_Revisie,L_Sleutel,$S69,L_Status,"Vastgesteld")+1))</f>
        <v>1</v>
      </c>
      <c r="H69" s="108">
        <f>IF($AG69="","",P_Peildatum)</f>
        <v>46295.0</v>
      </c>
      <c r="I69" s="92">
        <f>IF($AG69="","",P_RJ+INDEX($AK$8:$AK$21,INDEX($AC$8:$AC$1407,$AG69)+1))</f>
        <v>2027</v>
      </c>
      <c r="J69" s="92" t="str">
        <f>IF($AG69="","",INDEX(V_WBS,INDEX($AB$8:$AB$1407,$AG69)))</f>
        <v>G.900005.8.9090</v>
      </c>
      <c r="K69" s="92" t="str">
        <f>IF($AG69="","",INDEX(V_Projdef,INDEX($AB$8:$AB$1407,$AG69)))</f>
        <v>G.900005</v>
      </c>
      <c r="L69" s="92" t="str">
        <f>IF($AG69="","",INDEX(V_Naam,INDEX($AB$8:$AB$1407,$AG69)))</f>
        <v>Zilverdam, Kadezicht</v>
      </c>
      <c r="M69" s="92" t="str">
        <f>IF($AG69="","",INDEX(V_Type,INDEX($AB$8:$AB$1407,$AG69)))</f>
        <v>Opstal</v>
      </c>
      <c r="N69" s="92" t="str">
        <f>IF($AG69="","",INDEX(V_IFRS,INDEX($AB$8:$AB$1407,$AG69)))</f>
        <v>J</v>
      </c>
      <c r="O69" s="92" t="str">
        <f>IF($AG69="","",INDEX($AL$8:$AL$21,INDEX($AC$8:$AC$1407,$AG69)+1))</f>
        <v>BOR FY</v>
      </c>
      <c r="P69" s="109">
        <f>IF($AG69="","",INDEX($AD$8:$AD$1407,$AG69))</f>
        <v>2129400</v>
      </c>
      <c r="Q69" s="92" t="str">
        <f>IF($AG69="","",INDEX($AM$8:$AM$21,INDEX($AC$8:$AC$1407,$AG69)+1))</f>
        <v>EUR</v>
      </c>
      <c r="R69" s="92" t="str">
        <f>IF($AG69="","",IF($G69&gt;0,P_ToelCorrectie&amp;"",""))</f>
        <v/>
      </c>
      <c r="S69" s="15" t="str">
        <f>IF(J69="","",J69&amp;"|"&amp;E69&amp;"|"&amp;F69&amp;"|"&amp;I69&amp;"|"&amp;O69)</f>
        <v>G.900005.8.9090|2026|Q3|2027|BOR FY</v>
      </c>
      <c r="T69" s="111">
        <f>IF(S69="","",IF(COUNTIFS(L_Sleutel,S69,L_Actief,1)=0,"",SUMIFS(L_Waarde,L_Sleutel,S69,L_Actief,1)))</f>
        <v>2129400</v>
      </c>
      <c r="U69" s="111">
        <f>IF(OR(S69="",T69=""),0,P69-T69)</f>
        <v>0</v>
      </c>
      <c r="AB69" s="112" t="n">
        <v>5</v>
      </c>
      <c r="AC69" s="112" t="n">
        <v>5</v>
      </c>
      <c r="AD69" s="112">
        <f>VERW_Project!S10</f>
        <v>2129400</v>
      </c>
      <c r="AE69" s="112">
        <f>IF(AND(VERW_Project!$A10&lt;&gt;"",ISNUMBER(AD69)),1,0)</f>
        <v>1</v>
      </c>
      <c r="AF69" s="112">
        <f>IF(AE69=1,SUM($AE$8:AE69),"")</f>
        <v>62</v>
      </c>
      <c r="AG69">
        <f>IFERROR(MATCH(62,$AF$8:$AF$1407,0),"")</f>
        <v>62</v>
      </c>
    </row>
    <row r="70">
      <c r="A70" s="92" t="str">
        <f>IF($AG70="","",P_ImportID)</f>
        <v>IMP-2026-Q3-01</v>
      </c>
      <c r="B70" s="92" t="str">
        <f>IF($AG70="","",IF(INDEX($AN$8:$AN$21,INDEX($AC$8:$AC$1407,$AG70)+1)="Z",P_BronZ,P_BronE))</f>
        <v>Woningetalage_FICTIEF_20_projecten.xlsx</v>
      </c>
      <c r="C70" s="108">
        <f>IF($AG70="","",P_Importdatum)</f>
        <v>46324.0</v>
      </c>
      <c r="D70" s="92" t="str">
        <f>IF($AG70="","",P_StatusVastleg)</f>
        <v>Vastgesteld</v>
      </c>
      <c r="E70" s="92">
        <f>IF($AG70="","",P_UploadVJ)</f>
        <v>2026</v>
      </c>
      <c r="F70" s="92" t="str">
        <f>IF($AG70="","",P_UploadVersie)</f>
        <v>Q3</v>
      </c>
      <c r="G70" s="92">
        <f>IF($AG70="","",IF(COUNTIFS(L_Sleutel,$S70,L_Status,"Vastgesteld")=0,0,_xlfn.MAXIFS(L_Revisie,L_Sleutel,$S70,L_Status,"Vastgesteld")+1))</f>
        <v>1</v>
      </c>
      <c r="H70" s="108">
        <f>IF($AG70="","",P_Peildatum)</f>
        <v>46295.0</v>
      </c>
      <c r="I70" s="92">
        <f>IF($AG70="","",P_RJ+INDEX($AK$8:$AK$21,INDEX($AC$8:$AC$1407,$AG70)+1))</f>
        <v>2026</v>
      </c>
      <c r="J70" s="92" t="str">
        <f>IF($AG70="","",INDEX(V_WBS,INDEX($AB$8:$AB$1407,$AG70)))</f>
        <v>G.900005.8.9090</v>
      </c>
      <c r="K70" s="92" t="str">
        <f>IF($AG70="","",INDEX(V_Projdef,INDEX($AB$8:$AB$1407,$AG70)))</f>
        <v>G.900005</v>
      </c>
      <c r="L70" s="92" t="str">
        <f>IF($AG70="","",INDEX(V_Naam,INDEX($AB$8:$AB$1407,$AG70)))</f>
        <v>Zilverdam, Kadezicht</v>
      </c>
      <c r="M70" s="92" t="str">
        <f>IF($AG70="","",INDEX(V_Type,INDEX($AB$8:$AB$1407,$AG70)))</f>
        <v>Opstal</v>
      </c>
      <c r="N70" s="92" t="str">
        <f>IF($AG70="","",INDEX(V_IFRS,INDEX($AB$8:$AB$1407,$AG70)))</f>
        <v>J</v>
      </c>
      <c r="O70" s="92" t="str">
        <f>IF($AG70="","",INDEX($AL$8:$AL$21,INDEX($AC$8:$AC$1407,$AG70)+1))</f>
        <v>Woningverkopen FY</v>
      </c>
      <c r="P70" s="109">
        <f>IF($AG70="","",INDEX($AD$8:$AD$1407,$AG70))</f>
        <v>32</v>
      </c>
      <c r="Q70" s="92" t="str">
        <f>IF($AG70="","",INDEX($AM$8:$AM$21,INDEX($AC$8:$AC$1407,$AG70)+1))</f>
        <v>aantal</v>
      </c>
      <c r="R70" s="92" t="str">
        <f>IF($AG70="","",IF($G70&gt;0,P_ToelCorrectie&amp;"",""))</f>
        <v/>
      </c>
      <c r="S70" s="15" t="str">
        <f>IF(J70="","",J70&amp;"|"&amp;E70&amp;"|"&amp;F70&amp;"|"&amp;I70&amp;"|"&amp;O70)</f>
        <v>G.900005.8.9090|2026|Q3|2026|Woningverkopen FY</v>
      </c>
      <c r="T70" s="111">
        <f>IF(S70="","",IF(COUNTIFS(L_Sleutel,S70,L_Actief,1)=0,"",SUMIFS(L_Waarde,L_Sleutel,S70,L_Actief,1)))</f>
        <v>32</v>
      </c>
      <c r="U70" s="111">
        <f>IF(OR(S70="",T70=""),0,P70-T70)</f>
        <v>0</v>
      </c>
      <c r="AB70" s="112" t="n">
        <v>5</v>
      </c>
      <c r="AC70" s="112" t="n">
        <v>6</v>
      </c>
      <c r="AD70" s="112">
        <f>VERW_Project!BW10</f>
        <v>32</v>
      </c>
      <c r="AE70" s="112">
        <f>IF(AND(VERW_Project!$A10&lt;&gt;"",ISNUMBER(AD70)),1,0)</f>
        <v>1</v>
      </c>
      <c r="AF70" s="112">
        <f>IF(AE70=1,SUM($AE$8:AE70),"")</f>
        <v>63</v>
      </c>
      <c r="AG70">
        <f>IFERROR(MATCH(63,$AF$8:$AF$1407,0),"")</f>
        <v>63</v>
      </c>
    </row>
    <row r="71">
      <c r="A71" s="92" t="str">
        <f>IF($AG71="","",P_ImportID)</f>
        <v>IMP-2026-Q3-01</v>
      </c>
      <c r="B71" s="92" t="str">
        <f>IF($AG71="","",IF(INDEX($AN$8:$AN$21,INDEX($AC$8:$AC$1407,$AG71)+1)="Z",P_BronZ,P_BronE))</f>
        <v>Woningetalage_FICTIEF_20_projecten.xlsx</v>
      </c>
      <c r="C71" s="108">
        <f>IF($AG71="","",P_Importdatum)</f>
        <v>46324.0</v>
      </c>
      <c r="D71" s="92" t="str">
        <f>IF($AG71="","",P_StatusVastleg)</f>
        <v>Vastgesteld</v>
      </c>
      <c r="E71" s="92">
        <f>IF($AG71="","",P_UploadVJ)</f>
        <v>2026</v>
      </c>
      <c r="F71" s="92" t="str">
        <f>IF($AG71="","",P_UploadVersie)</f>
        <v>Q3</v>
      </c>
      <c r="G71" s="92">
        <f>IF($AG71="","",IF(COUNTIFS(L_Sleutel,$S71,L_Status,"Vastgesteld")=0,0,_xlfn.MAXIFS(L_Revisie,L_Sleutel,$S71,L_Status,"Vastgesteld")+1))</f>
        <v>1</v>
      </c>
      <c r="H71" s="108">
        <f>IF($AG71="","",P_Peildatum)</f>
        <v>46295.0</v>
      </c>
      <c r="I71" s="92">
        <f>IF($AG71="","",P_RJ+INDEX($AK$8:$AK$21,INDEX($AC$8:$AC$1407,$AG71)+1))</f>
        <v>2026</v>
      </c>
      <c r="J71" s="92" t="str">
        <f>IF($AG71="","",INDEX(V_WBS,INDEX($AB$8:$AB$1407,$AG71)))</f>
        <v>G.900005.8.9090</v>
      </c>
      <c r="K71" s="92" t="str">
        <f>IF($AG71="","",INDEX(V_Projdef,INDEX($AB$8:$AB$1407,$AG71)))</f>
        <v>G.900005</v>
      </c>
      <c r="L71" s="92" t="str">
        <f>IF($AG71="","",INDEX(V_Naam,INDEX($AB$8:$AB$1407,$AG71)))</f>
        <v>Zilverdam, Kadezicht</v>
      </c>
      <c r="M71" s="92" t="str">
        <f>IF($AG71="","",INDEX(V_Type,INDEX($AB$8:$AB$1407,$AG71)))</f>
        <v>Opstal</v>
      </c>
      <c r="N71" s="92" t="str">
        <f>IF($AG71="","",INDEX(V_IFRS,INDEX($AB$8:$AB$1407,$AG71)))</f>
        <v>J</v>
      </c>
      <c r="O71" s="92" t="str">
        <f>IF($AG71="","",INDEX($AL$8:$AL$21,INDEX($AC$8:$AC$1407,$AG71)+1))</f>
        <v>Woningen verkocht t/m vorig jaar</v>
      </c>
      <c r="P71" s="109">
        <f>IF($AG71="","",INDEX($AD$8:$AD$1407,$AG71))</f>
        <v>24</v>
      </c>
      <c r="Q71" s="92" t="str">
        <f>IF($AG71="","",INDEX($AM$8:$AM$21,INDEX($AC$8:$AC$1407,$AG71)+1))</f>
        <v>aantal</v>
      </c>
      <c r="R71" s="92" t="str">
        <f>IF($AG71="","",IF($G71&gt;0,P_ToelCorrectie&amp;"",""))</f>
        <v/>
      </c>
      <c r="S71" s="15" t="str">
        <f>IF(J71="","",J71&amp;"|"&amp;E71&amp;"|"&amp;F71&amp;"|"&amp;I71&amp;"|"&amp;O71)</f>
        <v>G.900005.8.9090|2026|Q3|2026|Woningen verkocht t/m vorig jaar</v>
      </c>
      <c r="T71" s="111">
        <f>IF(S71="","",IF(COUNTIFS(L_Sleutel,S71,L_Actief,1)=0,"",SUMIFS(L_Waarde,L_Sleutel,S71,L_Actief,1)))</f>
        <v>24</v>
      </c>
      <c r="U71" s="111">
        <f>IF(OR(S71="",T71=""),0,P71-T71)</f>
        <v>0</v>
      </c>
      <c r="AB71" s="112" t="n">
        <v>5</v>
      </c>
      <c r="AC71" s="112" t="n">
        <v>7</v>
      </c>
      <c r="AD71" s="112">
        <f>VERW_Project!AW10</f>
        <v>24</v>
      </c>
      <c r="AE71" s="112">
        <f>IF(AND(VERW_Project!$A10&lt;&gt;"",ISNUMBER(AD71)),1,0)</f>
        <v>1</v>
      </c>
      <c r="AF71" s="112">
        <f>IF(AE71=1,SUM($AE$8:AE71),"")</f>
        <v>64</v>
      </c>
      <c r="AG71">
        <f>IFERROR(MATCH(64,$AF$8:$AF$1407,0),"")</f>
        <v>64</v>
      </c>
    </row>
    <row r="72">
      <c r="A72" s="92" t="str">
        <f>IF($AG72="","",P_ImportID)</f>
        <v>IMP-2026-Q3-01</v>
      </c>
      <c r="B72" s="92" t="str">
        <f>IF($AG72="","",IF(INDEX($AN$8:$AN$21,INDEX($AC$8:$AC$1407,$AG72)+1)="Z",P_BronZ,P_BronE))</f>
        <v>Woningetalage_FICTIEF_20_projecten.xlsx</v>
      </c>
      <c r="C72" s="108">
        <f>IF($AG72="","",P_Importdatum)</f>
        <v>46324.0</v>
      </c>
      <c r="D72" s="92" t="str">
        <f>IF($AG72="","",P_StatusVastleg)</f>
        <v>Vastgesteld</v>
      </c>
      <c r="E72" s="92">
        <f>IF($AG72="","",P_UploadVJ)</f>
        <v>2026</v>
      </c>
      <c r="F72" s="92" t="str">
        <f>IF($AG72="","",P_UploadVersie)</f>
        <v>Q3</v>
      </c>
      <c r="G72" s="92">
        <f>IF($AG72="","",IF(COUNTIFS(L_Sleutel,$S72,L_Status,"Vastgesteld")=0,0,_xlfn.MAXIFS(L_Revisie,L_Sleutel,$S72,L_Status,"Vastgesteld")+1))</f>
        <v>1</v>
      </c>
      <c r="H72" s="108">
        <f>IF($AG72="","",P_Peildatum)</f>
        <v>46295.0</v>
      </c>
      <c r="I72" s="92">
        <f>IF($AG72="","",P_RJ+INDEX($AK$8:$AK$21,INDEX($AC$8:$AC$1407,$AG72)+1))</f>
        <v>2026</v>
      </c>
      <c r="J72" s="92" t="str">
        <f>IF($AG72="","",INDEX(V_WBS,INDEX($AB$8:$AB$1407,$AG72)))</f>
        <v>G.900005.8.9090</v>
      </c>
      <c r="K72" s="92" t="str">
        <f>IF($AG72="","",INDEX(V_Projdef,INDEX($AB$8:$AB$1407,$AG72)))</f>
        <v>G.900005</v>
      </c>
      <c r="L72" s="92" t="str">
        <f>IF($AG72="","",INDEX(V_Naam,INDEX($AB$8:$AB$1407,$AG72)))</f>
        <v>Zilverdam, Kadezicht</v>
      </c>
      <c r="M72" s="92" t="str">
        <f>IF($AG72="","",INDEX(V_Type,INDEX($AB$8:$AB$1407,$AG72)))</f>
        <v>Opstal</v>
      </c>
      <c r="N72" s="92" t="str">
        <f>IF($AG72="","",INDEX(V_IFRS,INDEX($AB$8:$AB$1407,$AG72)))</f>
        <v>J</v>
      </c>
      <c r="O72" s="92" t="str">
        <f>IF($AG72="","",INDEX($AL$8:$AL$21,INDEX($AC$8:$AC$1407,$AG72)+1))</f>
        <v>Woningverkopen Q1</v>
      </c>
      <c r="P72" s="109">
        <f>IF($AG72="","",INDEX($AD$8:$AD$1407,$AG72))</f>
        <v>4</v>
      </c>
      <c r="Q72" s="92" t="str">
        <f>IF($AG72="","",INDEX($AM$8:$AM$21,INDEX($AC$8:$AC$1407,$AG72)+1))</f>
        <v>aantal</v>
      </c>
      <c r="R72" s="92" t="str">
        <f>IF($AG72="","",IF($G72&gt;0,P_ToelCorrectie&amp;"",""))</f>
        <v/>
      </c>
      <c r="S72" s="15" t="str">
        <f>IF(J72="","",J72&amp;"|"&amp;E72&amp;"|"&amp;F72&amp;"|"&amp;I72&amp;"|"&amp;O72)</f>
        <v>G.900005.8.9090|2026|Q3|2026|Woningverkopen Q1</v>
      </c>
      <c r="T72" s="111">
        <f>IF(S72="","",IF(COUNTIFS(L_Sleutel,S72,L_Actief,1)=0,"",SUMIFS(L_Waarde,L_Sleutel,S72,L_Actief,1)))</f>
        <v>4</v>
      </c>
      <c r="U72" s="111">
        <f>IF(OR(S72="",T72=""),0,P72-T72)</f>
        <v>0</v>
      </c>
      <c r="AB72" s="112" t="n">
        <v>5</v>
      </c>
      <c r="AC72" s="112" t="n">
        <v>8</v>
      </c>
      <c r="AD72" s="112">
        <f>VERW_Project!BQ10</f>
        <v>4</v>
      </c>
      <c r="AE72" s="112">
        <f>IF(AND(VERW_Project!$A10&lt;&gt;"",ISNUMBER(AD72)),1,0)</f>
        <v>1</v>
      </c>
      <c r="AF72" s="112">
        <f>IF(AE72=1,SUM($AE$8:AE72),"")</f>
        <v>65</v>
      </c>
      <c r="AG72">
        <f>IFERROR(MATCH(65,$AF$8:$AF$1407,0),"")</f>
        <v>65</v>
      </c>
    </row>
    <row r="73">
      <c r="A73" s="92" t="str">
        <f>IF($AG73="","",P_ImportID)</f>
        <v>IMP-2026-Q3-01</v>
      </c>
      <c r="B73" s="92" t="str">
        <f>IF($AG73="","",IF(INDEX($AN$8:$AN$21,INDEX($AC$8:$AC$1407,$AG73)+1)="Z",P_BronZ,P_BronE))</f>
        <v>Woningetalage_FICTIEF_20_projecten.xlsx</v>
      </c>
      <c r="C73" s="108">
        <f>IF($AG73="","",P_Importdatum)</f>
        <v>46324.0</v>
      </c>
      <c r="D73" s="92" t="str">
        <f>IF($AG73="","",P_StatusVastleg)</f>
        <v>Vastgesteld</v>
      </c>
      <c r="E73" s="92">
        <f>IF($AG73="","",P_UploadVJ)</f>
        <v>2026</v>
      </c>
      <c r="F73" s="92" t="str">
        <f>IF($AG73="","",P_UploadVersie)</f>
        <v>Q3</v>
      </c>
      <c r="G73" s="92">
        <f>IF($AG73="","",IF(COUNTIFS(L_Sleutel,$S73,L_Status,"Vastgesteld")=0,0,_xlfn.MAXIFS(L_Revisie,L_Sleutel,$S73,L_Status,"Vastgesteld")+1))</f>
        <v>1</v>
      </c>
      <c r="H73" s="108">
        <f>IF($AG73="","",P_Peildatum)</f>
        <v>46295.0</v>
      </c>
      <c r="I73" s="92">
        <f>IF($AG73="","",P_RJ+INDEX($AK$8:$AK$21,INDEX($AC$8:$AC$1407,$AG73)+1))</f>
        <v>2026</v>
      </c>
      <c r="J73" s="92" t="str">
        <f>IF($AG73="","",INDEX(V_WBS,INDEX($AB$8:$AB$1407,$AG73)))</f>
        <v>G.900005.8.9090</v>
      </c>
      <c r="K73" s="92" t="str">
        <f>IF($AG73="","",INDEX(V_Projdef,INDEX($AB$8:$AB$1407,$AG73)))</f>
        <v>G.900005</v>
      </c>
      <c r="L73" s="92" t="str">
        <f>IF($AG73="","",INDEX(V_Naam,INDEX($AB$8:$AB$1407,$AG73)))</f>
        <v>Zilverdam, Kadezicht</v>
      </c>
      <c r="M73" s="92" t="str">
        <f>IF($AG73="","",INDEX(V_Type,INDEX($AB$8:$AB$1407,$AG73)))</f>
        <v>Opstal</v>
      </c>
      <c r="N73" s="92" t="str">
        <f>IF($AG73="","",INDEX(V_IFRS,INDEX($AB$8:$AB$1407,$AG73)))</f>
        <v>J</v>
      </c>
      <c r="O73" s="92" t="str">
        <f>IF($AG73="","",INDEX($AL$8:$AL$21,INDEX($AC$8:$AC$1407,$AG73)+1))</f>
        <v>Woningverkopen Q2</v>
      </c>
      <c r="P73" s="109">
        <f>IF($AG73="","",INDEX($AD$8:$AD$1407,$AG73))</f>
        <v>8</v>
      </c>
      <c r="Q73" s="92" t="str">
        <f>IF($AG73="","",INDEX($AM$8:$AM$21,INDEX($AC$8:$AC$1407,$AG73)+1))</f>
        <v>aantal</v>
      </c>
      <c r="R73" s="92" t="str">
        <f>IF($AG73="","",IF($G73&gt;0,P_ToelCorrectie&amp;"",""))</f>
        <v/>
      </c>
      <c r="S73" s="15" t="str">
        <f>IF(J73="","",J73&amp;"|"&amp;E73&amp;"|"&amp;F73&amp;"|"&amp;I73&amp;"|"&amp;O73)</f>
        <v>G.900005.8.9090|2026|Q3|2026|Woningverkopen Q2</v>
      </c>
      <c r="T73" s="111">
        <f>IF(S73="","",IF(COUNTIFS(L_Sleutel,S73,L_Actief,1)=0,"",SUMIFS(L_Waarde,L_Sleutel,S73,L_Actief,1)))</f>
        <v>8</v>
      </c>
      <c r="U73" s="111">
        <f>IF(OR(S73="",T73=""),0,P73-T73)</f>
        <v>0</v>
      </c>
      <c r="AB73" s="112" t="n">
        <v>5</v>
      </c>
      <c r="AC73" s="112" t="n">
        <v>9</v>
      </c>
      <c r="AD73" s="112">
        <f>VERW_Project!BR10</f>
        <v>8</v>
      </c>
      <c r="AE73" s="112">
        <f>IF(AND(VERW_Project!$A10&lt;&gt;"",ISNUMBER(AD73)),1,0)</f>
        <v>1</v>
      </c>
      <c r="AF73" s="112">
        <f>IF(AE73=1,SUM($AE$8:AE73),"")</f>
        <v>66</v>
      </c>
      <c r="AG73">
        <f>IFERROR(MATCH(66,$AF$8:$AF$1407,0),"")</f>
        <v>66</v>
      </c>
    </row>
    <row r="74">
      <c r="A74" s="92" t="str">
        <f>IF($AG74="","",P_ImportID)</f>
        <v>IMP-2026-Q3-01</v>
      </c>
      <c r="B74" s="92" t="str">
        <f>IF($AG74="","",IF(INDEX($AN$8:$AN$21,INDEX($AC$8:$AC$1407,$AG74)+1)="Z",P_BronZ,P_BronE))</f>
        <v>Woningetalage_FICTIEF_20_projecten.xlsx</v>
      </c>
      <c r="C74" s="108">
        <f>IF($AG74="","",P_Importdatum)</f>
        <v>46324.0</v>
      </c>
      <c r="D74" s="92" t="str">
        <f>IF($AG74="","",P_StatusVastleg)</f>
        <v>Vastgesteld</v>
      </c>
      <c r="E74" s="92">
        <f>IF($AG74="","",P_UploadVJ)</f>
        <v>2026</v>
      </c>
      <c r="F74" s="92" t="str">
        <f>IF($AG74="","",P_UploadVersie)</f>
        <v>Q3</v>
      </c>
      <c r="G74" s="92">
        <f>IF($AG74="","",IF(COUNTIFS(L_Sleutel,$S74,L_Status,"Vastgesteld")=0,0,_xlfn.MAXIFS(L_Revisie,L_Sleutel,$S74,L_Status,"Vastgesteld")+1))</f>
        <v>1</v>
      </c>
      <c r="H74" s="108">
        <f>IF($AG74="","",P_Peildatum)</f>
        <v>46295.0</v>
      </c>
      <c r="I74" s="92">
        <f>IF($AG74="","",P_RJ+INDEX($AK$8:$AK$21,INDEX($AC$8:$AC$1407,$AG74)+1))</f>
        <v>2026</v>
      </c>
      <c r="J74" s="92" t="str">
        <f>IF($AG74="","",INDEX(V_WBS,INDEX($AB$8:$AB$1407,$AG74)))</f>
        <v>G.900005.8.9090</v>
      </c>
      <c r="K74" s="92" t="str">
        <f>IF($AG74="","",INDEX(V_Projdef,INDEX($AB$8:$AB$1407,$AG74)))</f>
        <v>G.900005</v>
      </c>
      <c r="L74" s="92" t="str">
        <f>IF($AG74="","",INDEX(V_Naam,INDEX($AB$8:$AB$1407,$AG74)))</f>
        <v>Zilverdam, Kadezicht</v>
      </c>
      <c r="M74" s="92" t="str">
        <f>IF($AG74="","",INDEX(V_Type,INDEX($AB$8:$AB$1407,$AG74)))</f>
        <v>Opstal</v>
      </c>
      <c r="N74" s="92" t="str">
        <f>IF($AG74="","",INDEX(V_IFRS,INDEX($AB$8:$AB$1407,$AG74)))</f>
        <v>J</v>
      </c>
      <c r="O74" s="92" t="str">
        <f>IF($AG74="","",INDEX($AL$8:$AL$21,INDEX($AC$8:$AC$1407,$AG74)+1))</f>
        <v>Woningverkopen Q3</v>
      </c>
      <c r="P74" s="109">
        <f>IF($AG74="","",INDEX($AD$8:$AD$1407,$AG74))</f>
        <v>8</v>
      </c>
      <c r="Q74" s="92" t="str">
        <f>IF($AG74="","",INDEX($AM$8:$AM$21,INDEX($AC$8:$AC$1407,$AG74)+1))</f>
        <v>aantal</v>
      </c>
      <c r="R74" s="92" t="str">
        <f>IF($AG74="","",IF($G74&gt;0,P_ToelCorrectie&amp;"",""))</f>
        <v/>
      </c>
      <c r="S74" s="15" t="str">
        <f>IF(J74="","",J74&amp;"|"&amp;E74&amp;"|"&amp;F74&amp;"|"&amp;I74&amp;"|"&amp;O74)</f>
        <v>G.900005.8.9090|2026|Q3|2026|Woningverkopen Q3</v>
      </c>
      <c r="T74" s="111">
        <f>IF(S74="","",IF(COUNTIFS(L_Sleutel,S74,L_Actief,1)=0,"",SUMIFS(L_Waarde,L_Sleutel,S74,L_Actief,1)))</f>
        <v>8</v>
      </c>
      <c r="U74" s="111">
        <f>IF(OR(S74="",T74=""),0,P74-T74)</f>
        <v>0</v>
      </c>
      <c r="AB74" s="112" t="n">
        <v>5</v>
      </c>
      <c r="AC74" s="112" t="n">
        <v>10</v>
      </c>
      <c r="AD74" s="112">
        <f>VERW_Project!BS10</f>
        <v>8</v>
      </c>
      <c r="AE74" s="112">
        <f>IF(AND(VERW_Project!$A10&lt;&gt;"",ISNUMBER(AD74)),1,0)</f>
        <v>1</v>
      </c>
      <c r="AF74" s="112">
        <f>IF(AE74=1,SUM($AE$8:AE74),"")</f>
        <v>67</v>
      </c>
      <c r="AG74">
        <f>IFERROR(MATCH(67,$AF$8:$AF$1407,0),"")</f>
        <v>67</v>
      </c>
    </row>
    <row r="75">
      <c r="A75" s="92" t="str">
        <f>IF($AG75="","",P_ImportID)</f>
        <v>IMP-2026-Q3-01</v>
      </c>
      <c r="B75" s="92" t="str">
        <f>IF($AG75="","",IF(INDEX($AN$8:$AN$21,INDEX($AC$8:$AC$1407,$AG75)+1)="Z",P_BronZ,P_BronE))</f>
        <v>Woningetalage_FICTIEF_20_projecten.xlsx</v>
      </c>
      <c r="C75" s="108">
        <f>IF($AG75="","",P_Importdatum)</f>
        <v>46324.0</v>
      </c>
      <c r="D75" s="92" t="str">
        <f>IF($AG75="","",P_StatusVastleg)</f>
        <v>Vastgesteld</v>
      </c>
      <c r="E75" s="92">
        <f>IF($AG75="","",P_UploadVJ)</f>
        <v>2026</v>
      </c>
      <c r="F75" s="92" t="str">
        <f>IF($AG75="","",P_UploadVersie)</f>
        <v>Q3</v>
      </c>
      <c r="G75" s="92">
        <f>IF($AG75="","",IF(COUNTIFS(L_Sleutel,$S75,L_Status,"Vastgesteld")=0,0,_xlfn.MAXIFS(L_Revisie,L_Sleutel,$S75,L_Status,"Vastgesteld")+1))</f>
        <v>1</v>
      </c>
      <c r="H75" s="108">
        <f>IF($AG75="","",P_Peildatum)</f>
        <v>46295.0</v>
      </c>
      <c r="I75" s="92">
        <f>IF($AG75="","",P_RJ+INDEX($AK$8:$AK$21,INDEX($AC$8:$AC$1407,$AG75)+1))</f>
        <v>2026</v>
      </c>
      <c r="J75" s="92" t="str">
        <f>IF($AG75="","",INDEX(V_WBS,INDEX($AB$8:$AB$1407,$AG75)))</f>
        <v>G.900005.8.9090</v>
      </c>
      <c r="K75" s="92" t="str">
        <f>IF($AG75="","",INDEX(V_Projdef,INDEX($AB$8:$AB$1407,$AG75)))</f>
        <v>G.900005</v>
      </c>
      <c r="L75" s="92" t="str">
        <f>IF($AG75="","",INDEX(V_Naam,INDEX($AB$8:$AB$1407,$AG75)))</f>
        <v>Zilverdam, Kadezicht</v>
      </c>
      <c r="M75" s="92" t="str">
        <f>IF($AG75="","",INDEX(V_Type,INDEX($AB$8:$AB$1407,$AG75)))</f>
        <v>Opstal</v>
      </c>
      <c r="N75" s="92" t="str">
        <f>IF($AG75="","",INDEX(V_IFRS,INDEX($AB$8:$AB$1407,$AG75)))</f>
        <v>J</v>
      </c>
      <c r="O75" s="92" t="str">
        <f>IF($AG75="","",INDEX($AL$8:$AL$21,INDEX($AC$8:$AC$1407,$AG75)+1))</f>
        <v>Woningverkopen Q4</v>
      </c>
      <c r="P75" s="109">
        <f>IF($AG75="","",INDEX($AD$8:$AD$1407,$AG75))</f>
        <v>12</v>
      </c>
      <c r="Q75" s="92" t="str">
        <f>IF($AG75="","",INDEX($AM$8:$AM$21,INDEX($AC$8:$AC$1407,$AG75)+1))</f>
        <v>aantal</v>
      </c>
      <c r="R75" s="92" t="str">
        <f>IF($AG75="","",IF($G75&gt;0,P_ToelCorrectie&amp;"",""))</f>
        <v/>
      </c>
      <c r="S75" s="15" t="str">
        <f>IF(J75="","",J75&amp;"|"&amp;E75&amp;"|"&amp;F75&amp;"|"&amp;I75&amp;"|"&amp;O75)</f>
        <v>G.900005.8.9090|2026|Q3|2026|Woningverkopen Q4</v>
      </c>
      <c r="T75" s="111">
        <f>IF(S75="","",IF(COUNTIFS(L_Sleutel,S75,L_Actief,1)=0,"",SUMIFS(L_Waarde,L_Sleutel,S75,L_Actief,1)))</f>
        <v>12</v>
      </c>
      <c r="U75" s="111">
        <f>IF(OR(S75="",T75=""),0,P75-T75)</f>
        <v>0</v>
      </c>
      <c r="AB75" s="112" t="n">
        <v>5</v>
      </c>
      <c r="AC75" s="112" t="n">
        <v>11</v>
      </c>
      <c r="AD75" s="112">
        <f>VERW_Project!BT10</f>
        <v>12</v>
      </c>
      <c r="AE75" s="112">
        <f>IF(AND(VERW_Project!$A10&lt;&gt;"",ISNUMBER(AD75)),1,0)</f>
        <v>1</v>
      </c>
      <c r="AF75" s="112">
        <f>IF(AE75=1,SUM($AE$8:AE75),"")</f>
        <v>68</v>
      </c>
      <c r="AG75">
        <f>IFERROR(MATCH(68,$AF$8:$AF$1407,0),"")</f>
        <v>68</v>
      </c>
    </row>
    <row r="76">
      <c r="A76" s="92" t="str">
        <f>IF($AG76="","",P_ImportID)</f>
        <v>IMP-2026-Q3-01</v>
      </c>
      <c r="B76" s="92" t="str">
        <f>IF($AG76="","",IF(INDEX($AN$8:$AN$21,INDEX($AC$8:$AC$1407,$AG76)+1)="Z",P_BronZ,P_BronE))</f>
        <v>Woningetalage_FICTIEF_20_projecten.xlsx</v>
      </c>
      <c r="C76" s="108">
        <f>IF($AG76="","",P_Importdatum)</f>
        <v>46324.0</v>
      </c>
      <c r="D76" s="92" t="str">
        <f>IF($AG76="","",P_StatusVastleg)</f>
        <v>Vastgesteld</v>
      </c>
      <c r="E76" s="92">
        <f>IF($AG76="","",P_UploadVJ)</f>
        <v>2026</v>
      </c>
      <c r="F76" s="92" t="str">
        <f>IF($AG76="","",P_UploadVersie)</f>
        <v>Q3</v>
      </c>
      <c r="G76" s="92">
        <f>IF($AG76="","",IF(COUNTIFS(L_Sleutel,$S76,L_Status,"Vastgesteld")=0,0,_xlfn.MAXIFS(L_Revisie,L_Sleutel,$S76,L_Status,"Vastgesteld")+1))</f>
        <v>1</v>
      </c>
      <c r="H76" s="108">
        <f>IF($AG76="","",P_Peildatum)</f>
        <v>46295.0</v>
      </c>
      <c r="I76" s="92">
        <f>IF($AG76="","",P_RJ+INDEX($AK$8:$AK$21,INDEX($AC$8:$AC$1407,$AG76)+1))</f>
        <v>2026</v>
      </c>
      <c r="J76" s="92" t="str">
        <f>IF($AG76="","",INDEX(V_WBS,INDEX($AB$8:$AB$1407,$AG76)))</f>
        <v>G.900005.8.9090</v>
      </c>
      <c r="K76" s="92" t="str">
        <f>IF($AG76="","",INDEX(V_Projdef,INDEX($AB$8:$AB$1407,$AG76)))</f>
        <v>G.900005</v>
      </c>
      <c r="L76" s="92" t="str">
        <f>IF($AG76="","",INDEX(V_Naam,INDEX($AB$8:$AB$1407,$AG76)))</f>
        <v>Zilverdam, Kadezicht</v>
      </c>
      <c r="M76" s="92" t="str">
        <f>IF($AG76="","",INDEX(V_Type,INDEX($AB$8:$AB$1407,$AG76)))</f>
        <v>Opstal</v>
      </c>
      <c r="N76" s="92" t="str">
        <f>IF($AG76="","",INDEX(V_IFRS,INDEX($AB$8:$AB$1407,$AG76)))</f>
        <v>J</v>
      </c>
      <c r="O76" s="92" t="str">
        <f>IF($AG76="","",INDEX($AL$8:$AL$21,INDEX($AC$8:$AC$1407,$AG76)+1))</f>
        <v>Woningverkopen actual YTD</v>
      </c>
      <c r="P76" s="109">
        <f>IF($AG76="","",INDEX($AD$8:$AD$1407,$AG76))</f>
        <v>20</v>
      </c>
      <c r="Q76" s="92" t="str">
        <f>IF($AG76="","",INDEX($AM$8:$AM$21,INDEX($AC$8:$AC$1407,$AG76)+1))</f>
        <v>aantal</v>
      </c>
      <c r="R76" s="92" t="str">
        <f>IF($AG76="","",IF($G76&gt;0,P_ToelCorrectie&amp;"",""))</f>
        <v/>
      </c>
      <c r="S76" s="15" t="str">
        <f>IF(J76="","",J76&amp;"|"&amp;E76&amp;"|"&amp;F76&amp;"|"&amp;I76&amp;"|"&amp;O76)</f>
        <v>G.900005.8.9090|2026|Q3|2026|Woningverkopen actual YTD</v>
      </c>
      <c r="T76" s="111">
        <f>IF(S76="","",IF(COUNTIFS(L_Sleutel,S76,L_Actief,1)=0,"",SUMIFS(L_Waarde,L_Sleutel,S76,L_Actief,1)))</f>
        <v>20</v>
      </c>
      <c r="U76" s="111">
        <f>IF(OR(S76="",T76=""),0,P76-T76)</f>
        <v>0</v>
      </c>
      <c r="AB76" s="112" t="n">
        <v>5</v>
      </c>
      <c r="AC76" s="112" t="n">
        <v>12</v>
      </c>
      <c r="AD76" s="112">
        <f>VERW_Project!BU10</f>
        <v>20</v>
      </c>
      <c r="AE76" s="112">
        <f>IF(AND(VERW_Project!$A10&lt;&gt;"",ISNUMBER(AD76)),1,0)</f>
        <v>1</v>
      </c>
      <c r="AF76" s="112">
        <f>IF(AE76=1,SUM($AE$8:AE76),"")</f>
        <v>69</v>
      </c>
      <c r="AG76">
        <f>IFERROR(MATCH(69,$AF$8:$AF$1407,0),"")</f>
        <v>69</v>
      </c>
    </row>
    <row r="77">
      <c r="A77" s="92" t="str">
        <f>IF($AG77="","",P_ImportID)</f>
        <v>IMP-2026-Q3-01</v>
      </c>
      <c r="B77" s="92" t="str">
        <f>IF($AG77="","",IF(INDEX($AN$8:$AN$21,INDEX($AC$8:$AC$1407,$AG77)+1)="Z",P_BronZ,P_BronE))</f>
        <v>Woningetalage_FICTIEF_20_projecten.xlsx</v>
      </c>
      <c r="C77" s="108">
        <f>IF($AG77="","",P_Importdatum)</f>
        <v>46324.0</v>
      </c>
      <c r="D77" s="92" t="str">
        <f>IF($AG77="","",P_StatusVastleg)</f>
        <v>Vastgesteld</v>
      </c>
      <c r="E77" s="92">
        <f>IF($AG77="","",P_UploadVJ)</f>
        <v>2026</v>
      </c>
      <c r="F77" s="92" t="str">
        <f>IF($AG77="","",P_UploadVersie)</f>
        <v>Q3</v>
      </c>
      <c r="G77" s="92">
        <f>IF($AG77="","",IF(COUNTIFS(L_Sleutel,$S77,L_Status,"Vastgesteld")=0,0,_xlfn.MAXIFS(L_Revisie,L_Sleutel,$S77,L_Status,"Vastgesteld")+1))</f>
        <v>0</v>
      </c>
      <c r="H77" s="108">
        <f>IF($AG77="","",P_Peildatum)</f>
        <v>46295.0</v>
      </c>
      <c r="I77" s="92">
        <f>IF($AG77="","",P_RJ+INDEX($AK$8:$AK$21,INDEX($AC$8:$AC$1407,$AG77)+1))</f>
        <v>2027</v>
      </c>
      <c r="J77" s="92" t="str">
        <f>IF($AG77="","",INDEX(V_WBS,INDEX($AB$8:$AB$1407,$AG77)))</f>
        <v>G.900005.8.9090</v>
      </c>
      <c r="K77" s="92" t="str">
        <f>IF($AG77="","",INDEX(V_Projdef,INDEX($AB$8:$AB$1407,$AG77)))</f>
        <v>G.900005</v>
      </c>
      <c r="L77" s="92" t="str">
        <f>IF($AG77="","",INDEX(V_Naam,INDEX($AB$8:$AB$1407,$AG77)))</f>
        <v>Zilverdam, Kadezicht</v>
      </c>
      <c r="M77" s="92" t="str">
        <f>IF($AG77="","",INDEX(V_Type,INDEX($AB$8:$AB$1407,$AG77)))</f>
        <v>Opstal</v>
      </c>
      <c r="N77" s="92" t="str">
        <f>IF($AG77="","",INDEX(V_IFRS,INDEX($AB$8:$AB$1407,$AG77)))</f>
        <v>J</v>
      </c>
      <c r="O77" s="92" t="str">
        <f>IF($AG77="","",INDEX($AL$8:$AL$21,INDEX($AC$8:$AC$1407,$AG77)+1))</f>
        <v>Woningverkopen FY</v>
      </c>
      <c r="P77" s="109">
        <f>IF($AG77="","",INDEX($AD$8:$AD$1407,$AG77))</f>
        <v>42</v>
      </c>
      <c r="Q77" s="92" t="str">
        <f>IF($AG77="","",INDEX($AM$8:$AM$21,INDEX($AC$8:$AC$1407,$AG77)+1))</f>
        <v>aantal</v>
      </c>
      <c r="R77" s="92" t="str">
        <f>IF($AG77="","",IF($G77&gt;0,P_ToelCorrectie&amp;"",""))</f>
        <v/>
      </c>
      <c r="S77" s="15" t="str">
        <f>IF(J77="","",J77&amp;"|"&amp;E77&amp;"|"&amp;F77&amp;"|"&amp;I77&amp;"|"&amp;O77)</f>
        <v>G.900005.8.9090|2026|Q3|2027|Woningverkopen FY</v>
      </c>
      <c r="T77" s="111" t="str">
        <f>IF(S77="","",IF(COUNTIFS(L_Sleutel,S77,L_Actief,1)=0,"",SUMIFS(L_Waarde,L_Sleutel,S77,L_Actief,1)))</f>
        <v/>
      </c>
      <c r="U77" s="111">
        <f>IF(OR(S77="",T77=""),0,P77-T77)</f>
        <v>0</v>
      </c>
      <c r="AB77" s="112" t="n">
        <v>5</v>
      </c>
      <c r="AC77" s="112" t="n">
        <v>13</v>
      </c>
      <c r="AD77" s="112">
        <f>VERW_Project!BX10</f>
        <v>42</v>
      </c>
      <c r="AE77" s="112">
        <f>IF(AND(VERW_Project!$A10&lt;&gt;"",ISNUMBER(AD77)),1,0)</f>
        <v>1</v>
      </c>
      <c r="AF77" s="112">
        <f>IF(AE77=1,SUM($AE$8:AE77),"")</f>
        <v>70</v>
      </c>
      <c r="AG77">
        <f>IFERROR(MATCH(70,$AF$8:$AF$1407,0),"")</f>
        <v>70</v>
      </c>
    </row>
    <row r="78">
      <c r="A78" s="92" t="str">
        <f>IF($AG78="","",P_ImportID)</f>
        <v>IMP-2026-Q3-01</v>
      </c>
      <c r="B78" s="92" t="str">
        <f>IF($AG78="","",IF(INDEX($AN$8:$AN$21,INDEX($AC$8:$AC$1407,$AG78)+1)="Z",P_BronZ,P_BronE))</f>
        <v>ZPMW03_FICTIEF_20_projecten.xlsx</v>
      </c>
      <c r="C78" s="108">
        <f>IF($AG78="","",P_Importdatum)</f>
        <v>46324.0</v>
      </c>
      <c r="D78" s="92" t="str">
        <f>IF($AG78="","",P_StatusVastleg)</f>
        <v>Vastgesteld</v>
      </c>
      <c r="E78" s="92">
        <f>IF($AG78="","",P_UploadVJ)</f>
        <v>2026</v>
      </c>
      <c r="F78" s="92" t="str">
        <f>IF($AG78="","",P_UploadVersie)</f>
        <v>Q3</v>
      </c>
      <c r="G78" s="92">
        <f>IF($AG78="","",IF(COUNTIFS(L_Sleutel,$S78,L_Status,"Vastgesteld")=0,0,_xlfn.MAXIFS(L_Revisie,L_Sleutel,$S78,L_Status,"Vastgesteld")+1))</f>
        <v>1</v>
      </c>
      <c r="H78" s="108">
        <f>IF($AG78="","",P_Peildatum)</f>
        <v>46295.0</v>
      </c>
      <c r="I78" s="92">
        <f>IF($AG78="","",P_RJ+INDEX($AK$8:$AK$21,INDEX($AC$8:$AC$1407,$AG78)+1))</f>
        <v>2026</v>
      </c>
      <c r="J78" s="92" t="str">
        <f>IF($AG78="","",INDEX(V_WBS,INDEX($AB$8:$AB$1407,$AG78)))</f>
        <v>G.900006.8.9090</v>
      </c>
      <c r="K78" s="92" t="str">
        <f>IF($AG78="","",INDEX(V_Projdef,INDEX($AB$8:$AB$1407,$AG78)))</f>
        <v>G.900006</v>
      </c>
      <c r="L78" s="92" t="str">
        <f>IF($AG78="","",INDEX(V_Naam,INDEX($AB$8:$AB$1407,$AG78)))</f>
        <v>Boswaard, De Eiken</v>
      </c>
      <c r="M78" s="92" t="str">
        <f>IF($AG78="","",INDEX(V_Type,INDEX($AB$8:$AB$1407,$AG78)))</f>
        <v>Opstal</v>
      </c>
      <c r="N78" s="92" t="str">
        <f>IF($AG78="","",INDEX(V_IFRS,INDEX($AB$8:$AB$1407,$AG78)))</f>
        <v>J</v>
      </c>
      <c r="O78" s="92" t="str">
        <f>IF($AG78="","",INDEX($AL$8:$AL$21,INDEX($AC$8:$AC$1407,$AG78)+1))</f>
        <v>Omzet FY</v>
      </c>
      <c r="P78" s="109">
        <f>IF($AG78="","",INDEX($AD$8:$AD$1407,$AG78))</f>
        <v>6566400</v>
      </c>
      <c r="Q78" s="92" t="str">
        <f>IF($AG78="","",INDEX($AM$8:$AM$21,INDEX($AC$8:$AC$1407,$AG78)+1))</f>
        <v>EUR</v>
      </c>
      <c r="R78" s="92" t="str">
        <f>IF($AG78="","",IF($G78&gt;0,P_ToelCorrectie&amp;"",""))</f>
        <v/>
      </c>
      <c r="S78" s="15" t="str">
        <f>IF(J78="","",J78&amp;"|"&amp;E78&amp;"|"&amp;F78&amp;"|"&amp;I78&amp;"|"&amp;O78)</f>
        <v>G.900006.8.9090|2026|Q3|2026|Omzet FY</v>
      </c>
      <c r="T78" s="111">
        <f>IF(S78="","",IF(COUNTIFS(L_Sleutel,S78,L_Actief,1)=0,"",SUMIFS(L_Waarde,L_Sleutel,S78,L_Actief,1)))</f>
        <v>6566400</v>
      </c>
      <c r="U78" s="111">
        <f>IF(OR(S78="",T78=""),0,P78-T78)</f>
        <v>0</v>
      </c>
      <c r="AB78" s="112" t="n">
        <v>6</v>
      </c>
      <c r="AC78" s="112" t="n">
        <v>0</v>
      </c>
      <c r="AD78" s="112">
        <f>VERW_Project!P11</f>
        <v>6566400</v>
      </c>
      <c r="AE78" s="112">
        <f>IF(AND(VERW_Project!$A11&lt;&gt;"",ISNUMBER(AD78)),1,0)</f>
        <v>1</v>
      </c>
      <c r="AF78" s="112">
        <f>IF(AE78=1,SUM($AE$8:AE78),"")</f>
        <v>71</v>
      </c>
      <c r="AG78">
        <f>IFERROR(MATCH(71,$AF$8:$AF$1407,0),"")</f>
        <v>71</v>
      </c>
    </row>
    <row r="79">
      <c r="A79" s="92" t="str">
        <f>IF($AG79="","",P_ImportID)</f>
        <v>IMP-2026-Q3-01</v>
      </c>
      <c r="B79" s="92" t="str">
        <f>IF($AG79="","",IF(INDEX($AN$8:$AN$21,INDEX($AC$8:$AC$1407,$AG79)+1)="Z",P_BronZ,P_BronE))</f>
        <v>ZPMW03_FICTIEF_20_projecten.xlsx</v>
      </c>
      <c r="C79" s="108">
        <f>IF($AG79="","",P_Importdatum)</f>
        <v>46324.0</v>
      </c>
      <c r="D79" s="92" t="str">
        <f>IF($AG79="","",P_StatusVastleg)</f>
        <v>Vastgesteld</v>
      </c>
      <c r="E79" s="92">
        <f>IF($AG79="","",P_UploadVJ)</f>
        <v>2026</v>
      </c>
      <c r="F79" s="92" t="str">
        <f>IF($AG79="","",P_UploadVersie)</f>
        <v>Q3</v>
      </c>
      <c r="G79" s="92">
        <f>IF($AG79="","",IF(COUNTIFS(L_Sleutel,$S79,L_Status,"Vastgesteld")=0,0,_xlfn.MAXIFS(L_Revisie,L_Sleutel,$S79,L_Status,"Vastgesteld")+1))</f>
        <v>1</v>
      </c>
      <c r="H79" s="108">
        <f>IF($AG79="","",P_Peildatum)</f>
        <v>46295.0</v>
      </c>
      <c r="I79" s="92">
        <f>IF($AG79="","",P_RJ+INDEX($AK$8:$AK$21,INDEX($AC$8:$AC$1407,$AG79)+1))</f>
        <v>2026</v>
      </c>
      <c r="J79" s="92" t="str">
        <f>IF($AG79="","",INDEX(V_WBS,INDEX($AB$8:$AB$1407,$AG79)))</f>
        <v>G.900006.8.9090</v>
      </c>
      <c r="K79" s="92" t="str">
        <f>IF($AG79="","",INDEX(V_Projdef,INDEX($AB$8:$AB$1407,$AG79)))</f>
        <v>G.900006</v>
      </c>
      <c r="L79" s="92" t="str">
        <f>IF($AG79="","",INDEX(V_Naam,INDEX($AB$8:$AB$1407,$AG79)))</f>
        <v>Boswaard, De Eiken</v>
      </c>
      <c r="M79" s="92" t="str">
        <f>IF($AG79="","",INDEX(V_Type,INDEX($AB$8:$AB$1407,$AG79)))</f>
        <v>Opstal</v>
      </c>
      <c r="N79" s="92" t="str">
        <f>IF($AG79="","",INDEX(V_IFRS,INDEX($AB$8:$AB$1407,$AG79)))</f>
        <v>J</v>
      </c>
      <c r="O79" s="92" t="str">
        <f>IF($AG79="","",INDEX($AL$8:$AL$21,INDEX($AC$8:$AC$1407,$AG79)+1))</f>
        <v>BOR FY</v>
      </c>
      <c r="P79" s="109">
        <f>IF($AG79="","",INDEX($AD$8:$AD$1407,$AG79))</f>
        <v>919296</v>
      </c>
      <c r="Q79" s="92" t="str">
        <f>IF($AG79="","",INDEX($AM$8:$AM$21,INDEX($AC$8:$AC$1407,$AG79)+1))</f>
        <v>EUR</v>
      </c>
      <c r="R79" s="92" t="str">
        <f>IF($AG79="","",IF($G79&gt;0,P_ToelCorrectie&amp;"",""))</f>
        <v/>
      </c>
      <c r="S79" s="15" t="str">
        <f>IF(J79="","",J79&amp;"|"&amp;E79&amp;"|"&amp;F79&amp;"|"&amp;I79&amp;"|"&amp;O79)</f>
        <v>G.900006.8.9090|2026|Q3|2026|BOR FY</v>
      </c>
      <c r="T79" s="111">
        <f>IF(S79="","",IF(COUNTIFS(L_Sleutel,S79,L_Actief,1)=0,"",SUMIFS(L_Waarde,L_Sleutel,S79,L_Actief,1)))</f>
        <v>919296</v>
      </c>
      <c r="U79" s="111">
        <f>IF(OR(S79="",T79=""),0,P79-T79)</f>
        <v>0</v>
      </c>
      <c r="AB79" s="112" t="n">
        <v>6</v>
      </c>
      <c r="AC79" s="112" t="n">
        <v>1</v>
      </c>
      <c r="AD79" s="112">
        <f>VERW_Project!Q11</f>
        <v>919296</v>
      </c>
      <c r="AE79" s="112">
        <f>IF(AND(VERW_Project!$A11&lt;&gt;"",ISNUMBER(AD79)),1,0)</f>
        <v>1</v>
      </c>
      <c r="AF79" s="112">
        <f>IF(AE79=1,SUM($AE$8:AE79),"")</f>
        <v>72</v>
      </c>
      <c r="AG79">
        <f>IFERROR(MATCH(72,$AF$8:$AF$1407,0),"")</f>
        <v>72</v>
      </c>
    </row>
    <row r="80">
      <c r="A80" s="92" t="str">
        <f>IF($AG80="","",P_ImportID)</f>
        <v>IMP-2026-Q3-01</v>
      </c>
      <c r="B80" s="92" t="str">
        <f>IF($AG80="","",IF(INDEX($AN$8:$AN$21,INDEX($AC$8:$AC$1407,$AG80)+1)="Z",P_BronZ,P_BronE))</f>
        <v>ZPMW03_FICTIEF_20_projecten.xlsx</v>
      </c>
      <c r="C80" s="108">
        <f>IF($AG80="","",P_Importdatum)</f>
        <v>46324.0</v>
      </c>
      <c r="D80" s="92" t="str">
        <f>IF($AG80="","",P_StatusVastleg)</f>
        <v>Vastgesteld</v>
      </c>
      <c r="E80" s="92">
        <f>IF($AG80="","",P_UploadVJ)</f>
        <v>2026</v>
      </c>
      <c r="F80" s="92" t="str">
        <f>IF($AG80="","",P_UploadVersie)</f>
        <v>Q3</v>
      </c>
      <c r="G80" s="92">
        <f>IF($AG80="","",IF(COUNTIFS(L_Sleutel,$S80,L_Status,"Vastgesteld")=0,0,_xlfn.MAXIFS(L_Revisie,L_Sleutel,$S80,L_Status,"Vastgesteld")+1))</f>
        <v>1</v>
      </c>
      <c r="H80" s="108">
        <f>IF($AG80="","",P_Peildatum)</f>
        <v>46295.0</v>
      </c>
      <c r="I80" s="92">
        <f>IF($AG80="","",P_RJ+INDEX($AK$8:$AK$21,INDEX($AC$8:$AC$1407,$AG80)+1))</f>
        <v>2026</v>
      </c>
      <c r="J80" s="92" t="str">
        <f>IF($AG80="","",INDEX(V_WBS,INDEX($AB$8:$AB$1407,$AG80)))</f>
        <v>G.900006.8.9090</v>
      </c>
      <c r="K80" s="92" t="str">
        <f>IF($AG80="","",INDEX(V_Projdef,INDEX($AB$8:$AB$1407,$AG80)))</f>
        <v>G.900006</v>
      </c>
      <c r="L80" s="92" t="str">
        <f>IF($AG80="","",INDEX(V_Naam,INDEX($AB$8:$AB$1407,$AG80)))</f>
        <v>Boswaard, De Eiken</v>
      </c>
      <c r="M80" s="92" t="str">
        <f>IF($AG80="","",INDEX(V_Type,INDEX($AB$8:$AB$1407,$AG80)))</f>
        <v>Opstal</v>
      </c>
      <c r="N80" s="92" t="str">
        <f>IF($AG80="","",INDEX(V_IFRS,INDEX($AB$8:$AB$1407,$AG80)))</f>
        <v>J</v>
      </c>
      <c r="O80" s="92" t="str">
        <f>IF($AG80="","",INDEX($AL$8:$AL$21,INDEX($AC$8:$AC$1407,$AG80)+1))</f>
        <v>Omzet actual YTD</v>
      </c>
      <c r="P80" s="109">
        <f>IF($AG80="","",INDEX($AD$8:$AD$1407,$AG80))</f>
        <v>4268160</v>
      </c>
      <c r="Q80" s="92" t="str">
        <f>IF($AG80="","",INDEX($AM$8:$AM$21,INDEX($AC$8:$AC$1407,$AG80)+1))</f>
        <v>EUR</v>
      </c>
      <c r="R80" s="92" t="str">
        <f>IF($AG80="","",IF($G80&gt;0,P_ToelCorrectie&amp;"",""))</f>
        <v/>
      </c>
      <c r="S80" s="15" t="str">
        <f>IF(J80="","",J80&amp;"|"&amp;E80&amp;"|"&amp;F80&amp;"|"&amp;I80&amp;"|"&amp;O80)</f>
        <v>G.900006.8.9090|2026|Q3|2026|Omzet actual YTD</v>
      </c>
      <c r="T80" s="111">
        <f>IF(S80="","",IF(COUNTIFS(L_Sleutel,S80,L_Actief,1)=0,"",SUMIFS(L_Waarde,L_Sleutel,S80,L_Actief,1)))</f>
        <v>4268160</v>
      </c>
      <c r="U80" s="111">
        <f>IF(OR(S80="",T80=""),0,P80-T80)</f>
        <v>0</v>
      </c>
      <c r="AB80" s="112" t="n">
        <v>6</v>
      </c>
      <c r="AC80" s="112" t="n">
        <v>2</v>
      </c>
      <c r="AD80" s="112">
        <f>VERW_Project!L11</f>
        <v>4268160</v>
      </c>
      <c r="AE80" s="112">
        <f>IF(AND(VERW_Project!$A11&lt;&gt;"",ISNUMBER(AD80)),1,0)</f>
        <v>1</v>
      </c>
      <c r="AF80" s="112">
        <f>IF(AE80=1,SUM($AE$8:AE80),"")</f>
        <v>73</v>
      </c>
      <c r="AG80">
        <f>IFERROR(MATCH(73,$AF$8:$AF$1407,0),"")</f>
        <v>73</v>
      </c>
    </row>
    <row r="81">
      <c r="A81" s="92" t="str">
        <f>IF($AG81="","",P_ImportID)</f>
        <v>IMP-2026-Q3-01</v>
      </c>
      <c r="B81" s="92" t="str">
        <f>IF($AG81="","",IF(INDEX($AN$8:$AN$21,INDEX($AC$8:$AC$1407,$AG81)+1)="Z",P_BronZ,P_BronE))</f>
        <v>ZPMW03_FICTIEF_20_projecten.xlsx</v>
      </c>
      <c r="C81" s="108">
        <f>IF($AG81="","",P_Importdatum)</f>
        <v>46324.0</v>
      </c>
      <c r="D81" s="92" t="str">
        <f>IF($AG81="","",P_StatusVastleg)</f>
        <v>Vastgesteld</v>
      </c>
      <c r="E81" s="92">
        <f>IF($AG81="","",P_UploadVJ)</f>
        <v>2026</v>
      </c>
      <c r="F81" s="92" t="str">
        <f>IF($AG81="","",P_UploadVersie)</f>
        <v>Q3</v>
      </c>
      <c r="G81" s="92">
        <f>IF($AG81="","",IF(COUNTIFS(L_Sleutel,$S81,L_Status,"Vastgesteld")=0,0,_xlfn.MAXIFS(L_Revisie,L_Sleutel,$S81,L_Status,"Vastgesteld")+1))</f>
        <v>1</v>
      </c>
      <c r="H81" s="108">
        <f>IF($AG81="","",P_Peildatum)</f>
        <v>46295.0</v>
      </c>
      <c r="I81" s="92">
        <f>IF($AG81="","",P_RJ+INDEX($AK$8:$AK$21,INDEX($AC$8:$AC$1407,$AG81)+1))</f>
        <v>2026</v>
      </c>
      <c r="J81" s="92" t="str">
        <f>IF($AG81="","",INDEX(V_WBS,INDEX($AB$8:$AB$1407,$AG81)))</f>
        <v>G.900006.8.9090</v>
      </c>
      <c r="K81" s="92" t="str">
        <f>IF($AG81="","",INDEX(V_Projdef,INDEX($AB$8:$AB$1407,$AG81)))</f>
        <v>G.900006</v>
      </c>
      <c r="L81" s="92" t="str">
        <f>IF($AG81="","",INDEX(V_Naam,INDEX($AB$8:$AB$1407,$AG81)))</f>
        <v>Boswaard, De Eiken</v>
      </c>
      <c r="M81" s="92" t="str">
        <f>IF($AG81="","",INDEX(V_Type,INDEX($AB$8:$AB$1407,$AG81)))</f>
        <v>Opstal</v>
      </c>
      <c r="N81" s="92" t="str">
        <f>IF($AG81="","",INDEX(V_IFRS,INDEX($AB$8:$AB$1407,$AG81)))</f>
        <v>J</v>
      </c>
      <c r="O81" s="92" t="str">
        <f>IF($AG81="","",INDEX($AL$8:$AL$21,INDEX($AC$8:$AC$1407,$AG81)+1))</f>
        <v>BOR actual YTD</v>
      </c>
      <c r="P81" s="109">
        <f>IF($AG81="","",INDEX($AD$8:$AD$1407,$AG81))</f>
        <v>597542.4</v>
      </c>
      <c r="Q81" s="92" t="str">
        <f>IF($AG81="","",INDEX($AM$8:$AM$21,INDEX($AC$8:$AC$1407,$AG81)+1))</f>
        <v>EUR</v>
      </c>
      <c r="R81" s="92" t="str">
        <f>IF($AG81="","",IF($G81&gt;0,P_ToelCorrectie&amp;"",""))</f>
        <v/>
      </c>
      <c r="S81" s="15" t="str">
        <f>IF(J81="","",J81&amp;"|"&amp;E81&amp;"|"&amp;F81&amp;"|"&amp;I81&amp;"|"&amp;O81)</f>
        <v>G.900006.8.9090|2026|Q3|2026|BOR actual YTD</v>
      </c>
      <c r="T81" s="111">
        <f>IF(S81="","",IF(COUNTIFS(L_Sleutel,S81,L_Actief,1)=0,"",SUMIFS(L_Waarde,L_Sleutel,S81,L_Actief,1)))</f>
        <v>597542.4</v>
      </c>
      <c r="U81" s="111">
        <f>IF(OR(S81="",T81=""),0,P81-T81)</f>
        <v>0</v>
      </c>
      <c r="AB81" s="112" t="n">
        <v>6</v>
      </c>
      <c r="AC81" s="112" t="n">
        <v>3</v>
      </c>
      <c r="AD81" s="112">
        <f>VERW_Project!M11</f>
        <v>597542.4</v>
      </c>
      <c r="AE81" s="112">
        <f>IF(AND(VERW_Project!$A11&lt;&gt;"",ISNUMBER(AD81)),1,0)</f>
        <v>1</v>
      </c>
      <c r="AF81" s="112">
        <f>IF(AE81=1,SUM($AE$8:AE81),"")</f>
        <v>74</v>
      </c>
      <c r="AG81">
        <f>IFERROR(MATCH(74,$AF$8:$AF$1407,0),"")</f>
        <v>74</v>
      </c>
    </row>
    <row r="82">
      <c r="A82" s="92" t="str">
        <f>IF($AG82="","",P_ImportID)</f>
        <v>IMP-2026-Q3-01</v>
      </c>
      <c r="B82" s="92" t="str">
        <f>IF($AG82="","",IF(INDEX($AN$8:$AN$21,INDEX($AC$8:$AC$1407,$AG82)+1)="Z",P_BronZ,P_BronE))</f>
        <v>ZPMW03_FICTIEF_20_projecten.xlsx</v>
      </c>
      <c r="C82" s="108">
        <f>IF($AG82="","",P_Importdatum)</f>
        <v>46324.0</v>
      </c>
      <c r="D82" s="92" t="str">
        <f>IF($AG82="","",P_StatusVastleg)</f>
        <v>Vastgesteld</v>
      </c>
      <c r="E82" s="92">
        <f>IF($AG82="","",P_UploadVJ)</f>
        <v>2026</v>
      </c>
      <c r="F82" s="92" t="str">
        <f>IF($AG82="","",P_UploadVersie)</f>
        <v>Q3</v>
      </c>
      <c r="G82" s="92">
        <f>IF($AG82="","",IF(COUNTIFS(L_Sleutel,$S82,L_Status,"Vastgesteld")=0,0,_xlfn.MAXIFS(L_Revisie,L_Sleutel,$S82,L_Status,"Vastgesteld")+1))</f>
        <v>1</v>
      </c>
      <c r="H82" s="108">
        <f>IF($AG82="","",P_Peildatum)</f>
        <v>46295.0</v>
      </c>
      <c r="I82" s="92">
        <f>IF($AG82="","",P_RJ+INDEX($AK$8:$AK$21,INDEX($AC$8:$AC$1407,$AG82)+1))</f>
        <v>2027</v>
      </c>
      <c r="J82" s="92" t="str">
        <f>IF($AG82="","",INDEX(V_WBS,INDEX($AB$8:$AB$1407,$AG82)))</f>
        <v>G.900006.8.9090</v>
      </c>
      <c r="K82" s="92" t="str">
        <f>IF($AG82="","",INDEX(V_Projdef,INDEX($AB$8:$AB$1407,$AG82)))</f>
        <v>G.900006</v>
      </c>
      <c r="L82" s="92" t="str">
        <f>IF($AG82="","",INDEX(V_Naam,INDEX($AB$8:$AB$1407,$AG82)))</f>
        <v>Boswaard, De Eiken</v>
      </c>
      <c r="M82" s="92" t="str">
        <f>IF($AG82="","",INDEX(V_Type,INDEX($AB$8:$AB$1407,$AG82)))</f>
        <v>Opstal</v>
      </c>
      <c r="N82" s="92" t="str">
        <f>IF($AG82="","",INDEX(V_IFRS,INDEX($AB$8:$AB$1407,$AG82)))</f>
        <v>J</v>
      </c>
      <c r="O82" s="92" t="str">
        <f>IF($AG82="","",INDEX($AL$8:$AL$21,INDEX($AC$8:$AC$1407,$AG82)+1))</f>
        <v>Omzet FY</v>
      </c>
      <c r="P82" s="109">
        <f>IF($AG82="","",INDEX($AD$8:$AD$1407,$AG82))</f>
        <v>6963840</v>
      </c>
      <c r="Q82" s="92" t="str">
        <f>IF($AG82="","",INDEX($AM$8:$AM$21,INDEX($AC$8:$AC$1407,$AG82)+1))</f>
        <v>EUR</v>
      </c>
      <c r="R82" s="92" t="str">
        <f>IF($AG82="","",IF($G82&gt;0,P_ToelCorrectie&amp;"",""))</f>
        <v/>
      </c>
      <c r="S82" s="15" t="str">
        <f>IF(J82="","",J82&amp;"|"&amp;E82&amp;"|"&amp;F82&amp;"|"&amp;I82&amp;"|"&amp;O82)</f>
        <v>G.900006.8.9090|2026|Q3|2027|Omzet FY</v>
      </c>
      <c r="T82" s="111">
        <f>IF(S82="","",IF(COUNTIFS(L_Sleutel,S82,L_Actief,1)=0,"",SUMIFS(L_Waarde,L_Sleutel,S82,L_Actief,1)))</f>
        <v>6963840</v>
      </c>
      <c r="U82" s="111">
        <f>IF(OR(S82="",T82=""),0,P82-T82)</f>
        <v>0</v>
      </c>
      <c r="AB82" s="112" t="n">
        <v>6</v>
      </c>
      <c r="AC82" s="112" t="n">
        <v>4</v>
      </c>
      <c r="AD82" s="112">
        <f>VERW_Project!R11</f>
        <v>6963840</v>
      </c>
      <c r="AE82" s="112">
        <f>IF(AND(VERW_Project!$A11&lt;&gt;"",ISNUMBER(AD82)),1,0)</f>
        <v>1</v>
      </c>
      <c r="AF82" s="112">
        <f>IF(AE82=1,SUM($AE$8:AE82),"")</f>
        <v>75</v>
      </c>
      <c r="AG82">
        <f>IFERROR(MATCH(75,$AF$8:$AF$1407,0),"")</f>
        <v>75</v>
      </c>
    </row>
    <row r="83">
      <c r="A83" s="92" t="str">
        <f>IF($AG83="","",P_ImportID)</f>
        <v>IMP-2026-Q3-01</v>
      </c>
      <c r="B83" s="92" t="str">
        <f>IF($AG83="","",IF(INDEX($AN$8:$AN$21,INDEX($AC$8:$AC$1407,$AG83)+1)="Z",P_BronZ,P_BronE))</f>
        <v>ZPMW03_FICTIEF_20_projecten.xlsx</v>
      </c>
      <c r="C83" s="108">
        <f>IF($AG83="","",P_Importdatum)</f>
        <v>46324.0</v>
      </c>
      <c r="D83" s="92" t="str">
        <f>IF($AG83="","",P_StatusVastleg)</f>
        <v>Vastgesteld</v>
      </c>
      <c r="E83" s="92">
        <f>IF($AG83="","",P_UploadVJ)</f>
        <v>2026</v>
      </c>
      <c r="F83" s="92" t="str">
        <f>IF($AG83="","",P_UploadVersie)</f>
        <v>Q3</v>
      </c>
      <c r="G83" s="92">
        <f>IF($AG83="","",IF(COUNTIFS(L_Sleutel,$S83,L_Status,"Vastgesteld")=0,0,_xlfn.MAXIFS(L_Revisie,L_Sleutel,$S83,L_Status,"Vastgesteld")+1))</f>
        <v>1</v>
      </c>
      <c r="H83" s="108">
        <f>IF($AG83="","",P_Peildatum)</f>
        <v>46295.0</v>
      </c>
      <c r="I83" s="92">
        <f>IF($AG83="","",P_RJ+INDEX($AK$8:$AK$21,INDEX($AC$8:$AC$1407,$AG83)+1))</f>
        <v>2027</v>
      </c>
      <c r="J83" s="92" t="str">
        <f>IF($AG83="","",INDEX(V_WBS,INDEX($AB$8:$AB$1407,$AG83)))</f>
        <v>G.900006.8.9090</v>
      </c>
      <c r="K83" s="92" t="str">
        <f>IF($AG83="","",INDEX(V_Projdef,INDEX($AB$8:$AB$1407,$AG83)))</f>
        <v>G.900006</v>
      </c>
      <c r="L83" s="92" t="str">
        <f>IF($AG83="","",INDEX(V_Naam,INDEX($AB$8:$AB$1407,$AG83)))</f>
        <v>Boswaard, De Eiken</v>
      </c>
      <c r="M83" s="92" t="str">
        <f>IF($AG83="","",INDEX(V_Type,INDEX($AB$8:$AB$1407,$AG83)))</f>
        <v>Opstal</v>
      </c>
      <c r="N83" s="92" t="str">
        <f>IF($AG83="","",INDEX(V_IFRS,INDEX($AB$8:$AB$1407,$AG83)))</f>
        <v>J</v>
      </c>
      <c r="O83" s="92" t="str">
        <f>IF($AG83="","",INDEX($AL$8:$AL$21,INDEX($AC$8:$AC$1407,$AG83)+1))</f>
        <v>BOR FY</v>
      </c>
      <c r="P83" s="109">
        <f>IF($AG83="","",INDEX($AD$8:$AD$1407,$AG83))</f>
        <v>974937.6</v>
      </c>
      <c r="Q83" s="92" t="str">
        <f>IF($AG83="","",INDEX($AM$8:$AM$21,INDEX($AC$8:$AC$1407,$AG83)+1))</f>
        <v>EUR</v>
      </c>
      <c r="R83" s="92" t="str">
        <f>IF($AG83="","",IF($G83&gt;0,P_ToelCorrectie&amp;"",""))</f>
        <v/>
      </c>
      <c r="S83" s="15" t="str">
        <f>IF(J83="","",J83&amp;"|"&amp;E83&amp;"|"&amp;F83&amp;"|"&amp;I83&amp;"|"&amp;O83)</f>
        <v>G.900006.8.9090|2026|Q3|2027|BOR FY</v>
      </c>
      <c r="T83" s="111">
        <f>IF(S83="","",IF(COUNTIFS(L_Sleutel,S83,L_Actief,1)=0,"",SUMIFS(L_Waarde,L_Sleutel,S83,L_Actief,1)))</f>
        <v>974937.6</v>
      </c>
      <c r="U83" s="111">
        <f>IF(OR(S83="",T83=""),0,P83-T83)</f>
        <v>0</v>
      </c>
      <c r="AB83" s="112" t="n">
        <v>6</v>
      </c>
      <c r="AC83" s="112" t="n">
        <v>5</v>
      </c>
      <c r="AD83" s="112">
        <f>VERW_Project!S11</f>
        <v>974937.6</v>
      </c>
      <c r="AE83" s="112">
        <f>IF(AND(VERW_Project!$A11&lt;&gt;"",ISNUMBER(AD83)),1,0)</f>
        <v>1</v>
      </c>
      <c r="AF83" s="112">
        <f>IF(AE83=1,SUM($AE$8:AE83),"")</f>
        <v>76</v>
      </c>
      <c r="AG83">
        <f>IFERROR(MATCH(76,$AF$8:$AF$1407,0),"")</f>
        <v>76</v>
      </c>
    </row>
    <row r="84">
      <c r="A84" s="92" t="str">
        <f>IF($AG84="","",P_ImportID)</f>
        <v>IMP-2026-Q3-01</v>
      </c>
      <c r="B84" s="92" t="str">
        <f>IF($AG84="","",IF(INDEX($AN$8:$AN$21,INDEX($AC$8:$AC$1407,$AG84)+1)="Z",P_BronZ,P_BronE))</f>
        <v>Woningetalage_FICTIEF_20_projecten.xlsx</v>
      </c>
      <c r="C84" s="108">
        <f>IF($AG84="","",P_Importdatum)</f>
        <v>46324.0</v>
      </c>
      <c r="D84" s="92" t="str">
        <f>IF($AG84="","",P_StatusVastleg)</f>
        <v>Vastgesteld</v>
      </c>
      <c r="E84" s="92">
        <f>IF($AG84="","",P_UploadVJ)</f>
        <v>2026</v>
      </c>
      <c r="F84" s="92" t="str">
        <f>IF($AG84="","",P_UploadVersie)</f>
        <v>Q3</v>
      </c>
      <c r="G84" s="92">
        <f>IF($AG84="","",IF(COUNTIFS(L_Sleutel,$S84,L_Status,"Vastgesteld")=0,0,_xlfn.MAXIFS(L_Revisie,L_Sleutel,$S84,L_Status,"Vastgesteld")+1))</f>
        <v>1</v>
      </c>
      <c r="H84" s="108">
        <f>IF($AG84="","",P_Peildatum)</f>
        <v>46295.0</v>
      </c>
      <c r="I84" s="92">
        <f>IF($AG84="","",P_RJ+INDEX($AK$8:$AK$21,INDEX($AC$8:$AC$1407,$AG84)+1))</f>
        <v>2026</v>
      </c>
      <c r="J84" s="92" t="str">
        <f>IF($AG84="","",INDEX(V_WBS,INDEX($AB$8:$AB$1407,$AG84)))</f>
        <v>G.900006.8.9090</v>
      </c>
      <c r="K84" s="92" t="str">
        <f>IF($AG84="","",INDEX(V_Projdef,INDEX($AB$8:$AB$1407,$AG84)))</f>
        <v>G.900006</v>
      </c>
      <c r="L84" s="92" t="str">
        <f>IF($AG84="","",INDEX(V_Naam,INDEX($AB$8:$AB$1407,$AG84)))</f>
        <v>Boswaard, De Eiken</v>
      </c>
      <c r="M84" s="92" t="str">
        <f>IF($AG84="","",INDEX(V_Type,INDEX($AB$8:$AB$1407,$AG84)))</f>
        <v>Opstal</v>
      </c>
      <c r="N84" s="92" t="str">
        <f>IF($AG84="","",INDEX(V_IFRS,INDEX($AB$8:$AB$1407,$AG84)))</f>
        <v>J</v>
      </c>
      <c r="O84" s="92" t="str">
        <f>IF($AG84="","",INDEX($AL$8:$AL$21,INDEX($AC$8:$AC$1407,$AG84)+1))</f>
        <v>Woningverkopen FY</v>
      </c>
      <c r="P84" s="109">
        <f>IF($AG84="","",INDEX($AD$8:$AD$1407,$AG84))</f>
        <v>9</v>
      </c>
      <c r="Q84" s="92" t="str">
        <f>IF($AG84="","",INDEX($AM$8:$AM$21,INDEX($AC$8:$AC$1407,$AG84)+1))</f>
        <v>aantal</v>
      </c>
      <c r="R84" s="92" t="str">
        <f>IF($AG84="","",IF($G84&gt;0,P_ToelCorrectie&amp;"",""))</f>
        <v/>
      </c>
      <c r="S84" s="15" t="str">
        <f>IF(J84="","",J84&amp;"|"&amp;E84&amp;"|"&amp;F84&amp;"|"&amp;I84&amp;"|"&amp;O84)</f>
        <v>G.900006.8.9090|2026|Q3|2026|Woningverkopen FY</v>
      </c>
      <c r="T84" s="111">
        <f>IF(S84="","",IF(COUNTIFS(L_Sleutel,S84,L_Actief,1)=0,"",SUMIFS(L_Waarde,L_Sleutel,S84,L_Actief,1)))</f>
        <v>9</v>
      </c>
      <c r="U84" s="111">
        <f>IF(OR(S84="",T84=""),0,P84-T84)</f>
        <v>0</v>
      </c>
      <c r="AB84" s="112" t="n">
        <v>6</v>
      </c>
      <c r="AC84" s="112" t="n">
        <v>6</v>
      </c>
      <c r="AD84" s="112">
        <f>VERW_Project!BW11</f>
        <v>9</v>
      </c>
      <c r="AE84" s="112">
        <f>IF(AND(VERW_Project!$A11&lt;&gt;"",ISNUMBER(AD84)),1,0)</f>
        <v>1</v>
      </c>
      <c r="AF84" s="112">
        <f>IF(AE84=1,SUM($AE$8:AE84),"")</f>
        <v>77</v>
      </c>
      <c r="AG84">
        <f>IFERROR(MATCH(77,$AF$8:$AF$1407,0),"")</f>
        <v>77</v>
      </c>
    </row>
    <row r="85">
      <c r="A85" s="92" t="str">
        <f>IF($AG85="","",P_ImportID)</f>
        <v>IMP-2026-Q3-01</v>
      </c>
      <c r="B85" s="92" t="str">
        <f>IF($AG85="","",IF(INDEX($AN$8:$AN$21,INDEX($AC$8:$AC$1407,$AG85)+1)="Z",P_BronZ,P_BronE))</f>
        <v>Woningetalage_FICTIEF_20_projecten.xlsx</v>
      </c>
      <c r="C85" s="108">
        <f>IF($AG85="","",P_Importdatum)</f>
        <v>46324.0</v>
      </c>
      <c r="D85" s="92" t="str">
        <f>IF($AG85="","",P_StatusVastleg)</f>
        <v>Vastgesteld</v>
      </c>
      <c r="E85" s="92">
        <f>IF($AG85="","",P_UploadVJ)</f>
        <v>2026</v>
      </c>
      <c r="F85" s="92" t="str">
        <f>IF($AG85="","",P_UploadVersie)</f>
        <v>Q3</v>
      </c>
      <c r="G85" s="92">
        <f>IF($AG85="","",IF(COUNTIFS(L_Sleutel,$S85,L_Status,"Vastgesteld")=0,0,_xlfn.MAXIFS(L_Revisie,L_Sleutel,$S85,L_Status,"Vastgesteld")+1))</f>
        <v>1</v>
      </c>
      <c r="H85" s="108">
        <f>IF($AG85="","",P_Peildatum)</f>
        <v>46295.0</v>
      </c>
      <c r="I85" s="92">
        <f>IF($AG85="","",P_RJ+INDEX($AK$8:$AK$21,INDEX($AC$8:$AC$1407,$AG85)+1))</f>
        <v>2026</v>
      </c>
      <c r="J85" s="92" t="str">
        <f>IF($AG85="","",INDEX(V_WBS,INDEX($AB$8:$AB$1407,$AG85)))</f>
        <v>G.900006.8.9090</v>
      </c>
      <c r="K85" s="92" t="str">
        <f>IF($AG85="","",INDEX(V_Projdef,INDEX($AB$8:$AB$1407,$AG85)))</f>
        <v>G.900006</v>
      </c>
      <c r="L85" s="92" t="str">
        <f>IF($AG85="","",INDEX(V_Naam,INDEX($AB$8:$AB$1407,$AG85)))</f>
        <v>Boswaard, De Eiken</v>
      </c>
      <c r="M85" s="92" t="str">
        <f>IF($AG85="","",INDEX(V_Type,INDEX($AB$8:$AB$1407,$AG85)))</f>
        <v>Opstal</v>
      </c>
      <c r="N85" s="92" t="str">
        <f>IF($AG85="","",INDEX(V_IFRS,INDEX($AB$8:$AB$1407,$AG85)))</f>
        <v>J</v>
      </c>
      <c r="O85" s="92" t="str">
        <f>IF($AG85="","",INDEX($AL$8:$AL$21,INDEX($AC$8:$AC$1407,$AG85)+1))</f>
        <v>Woningen verkocht t/m vorig jaar</v>
      </c>
      <c r="P85" s="109">
        <f>IF($AG85="","",INDEX($AD$8:$AD$1407,$AG85))</f>
        <v>7</v>
      </c>
      <c r="Q85" s="92" t="str">
        <f>IF($AG85="","",INDEX($AM$8:$AM$21,INDEX($AC$8:$AC$1407,$AG85)+1))</f>
        <v>aantal</v>
      </c>
      <c r="R85" s="92" t="str">
        <f>IF($AG85="","",IF($G85&gt;0,P_ToelCorrectie&amp;"",""))</f>
        <v/>
      </c>
      <c r="S85" s="15" t="str">
        <f>IF(J85="","",J85&amp;"|"&amp;E85&amp;"|"&amp;F85&amp;"|"&amp;I85&amp;"|"&amp;O85)</f>
        <v>G.900006.8.9090|2026|Q3|2026|Woningen verkocht t/m vorig jaar</v>
      </c>
      <c r="T85" s="111">
        <f>IF(S85="","",IF(COUNTIFS(L_Sleutel,S85,L_Actief,1)=0,"",SUMIFS(L_Waarde,L_Sleutel,S85,L_Actief,1)))</f>
        <v>7</v>
      </c>
      <c r="U85" s="111">
        <f>IF(OR(S85="",T85=""),0,P85-T85)</f>
        <v>0</v>
      </c>
      <c r="AB85" s="112" t="n">
        <v>6</v>
      </c>
      <c r="AC85" s="112" t="n">
        <v>7</v>
      </c>
      <c r="AD85" s="112">
        <f>VERW_Project!AW11</f>
        <v>7</v>
      </c>
      <c r="AE85" s="112">
        <f>IF(AND(VERW_Project!$A11&lt;&gt;"",ISNUMBER(AD85)),1,0)</f>
        <v>1</v>
      </c>
      <c r="AF85" s="112">
        <f>IF(AE85=1,SUM($AE$8:AE85),"")</f>
        <v>78</v>
      </c>
      <c r="AG85">
        <f>IFERROR(MATCH(78,$AF$8:$AF$1407,0),"")</f>
        <v>78</v>
      </c>
    </row>
    <row r="86">
      <c r="A86" s="92" t="str">
        <f>IF($AG86="","",P_ImportID)</f>
        <v>IMP-2026-Q3-01</v>
      </c>
      <c r="B86" s="92" t="str">
        <f>IF($AG86="","",IF(INDEX($AN$8:$AN$21,INDEX($AC$8:$AC$1407,$AG86)+1)="Z",P_BronZ,P_BronE))</f>
        <v>Woningetalage_FICTIEF_20_projecten.xlsx</v>
      </c>
      <c r="C86" s="108">
        <f>IF($AG86="","",P_Importdatum)</f>
        <v>46324.0</v>
      </c>
      <c r="D86" s="92" t="str">
        <f>IF($AG86="","",P_StatusVastleg)</f>
        <v>Vastgesteld</v>
      </c>
      <c r="E86" s="92">
        <f>IF($AG86="","",P_UploadVJ)</f>
        <v>2026</v>
      </c>
      <c r="F86" s="92" t="str">
        <f>IF($AG86="","",P_UploadVersie)</f>
        <v>Q3</v>
      </c>
      <c r="G86" s="92">
        <f>IF($AG86="","",IF(COUNTIFS(L_Sleutel,$S86,L_Status,"Vastgesteld")=0,0,_xlfn.MAXIFS(L_Revisie,L_Sleutel,$S86,L_Status,"Vastgesteld")+1))</f>
        <v>1</v>
      </c>
      <c r="H86" s="108">
        <f>IF($AG86="","",P_Peildatum)</f>
        <v>46295.0</v>
      </c>
      <c r="I86" s="92">
        <f>IF($AG86="","",P_RJ+INDEX($AK$8:$AK$21,INDEX($AC$8:$AC$1407,$AG86)+1))</f>
        <v>2026</v>
      </c>
      <c r="J86" s="92" t="str">
        <f>IF($AG86="","",INDEX(V_WBS,INDEX($AB$8:$AB$1407,$AG86)))</f>
        <v>G.900006.8.9090</v>
      </c>
      <c r="K86" s="92" t="str">
        <f>IF($AG86="","",INDEX(V_Projdef,INDEX($AB$8:$AB$1407,$AG86)))</f>
        <v>G.900006</v>
      </c>
      <c r="L86" s="92" t="str">
        <f>IF($AG86="","",INDEX(V_Naam,INDEX($AB$8:$AB$1407,$AG86)))</f>
        <v>Boswaard, De Eiken</v>
      </c>
      <c r="M86" s="92" t="str">
        <f>IF($AG86="","",INDEX(V_Type,INDEX($AB$8:$AB$1407,$AG86)))</f>
        <v>Opstal</v>
      </c>
      <c r="N86" s="92" t="str">
        <f>IF($AG86="","",INDEX(V_IFRS,INDEX($AB$8:$AB$1407,$AG86)))</f>
        <v>J</v>
      </c>
      <c r="O86" s="92" t="str">
        <f>IF($AG86="","",INDEX($AL$8:$AL$21,INDEX($AC$8:$AC$1407,$AG86)+1))</f>
        <v>Woningverkopen Q1</v>
      </c>
      <c r="P86" s="109">
        <f>IF($AG86="","",INDEX($AD$8:$AD$1407,$AG86))</f>
        <v>0</v>
      </c>
      <c r="Q86" s="92" t="str">
        <f>IF($AG86="","",INDEX($AM$8:$AM$21,INDEX($AC$8:$AC$1407,$AG86)+1))</f>
        <v>aantal</v>
      </c>
      <c r="R86" s="92" t="str">
        <f>IF($AG86="","",IF($G86&gt;0,P_ToelCorrectie&amp;"",""))</f>
        <v/>
      </c>
      <c r="S86" s="15" t="str">
        <f>IF(J86="","",J86&amp;"|"&amp;E86&amp;"|"&amp;F86&amp;"|"&amp;I86&amp;"|"&amp;O86)</f>
        <v>G.900006.8.9090|2026|Q3|2026|Woningverkopen Q1</v>
      </c>
      <c r="T86" s="111">
        <f>IF(S86="","",IF(COUNTIFS(L_Sleutel,S86,L_Actief,1)=0,"",SUMIFS(L_Waarde,L_Sleutel,S86,L_Actief,1)))</f>
        <v>0</v>
      </c>
      <c r="U86" s="111">
        <f>IF(OR(S86="",T86=""),0,P86-T86)</f>
        <v>0</v>
      </c>
      <c r="AB86" s="112" t="n">
        <v>6</v>
      </c>
      <c r="AC86" s="112" t="n">
        <v>8</v>
      </c>
      <c r="AD86" s="112">
        <f>VERW_Project!BQ11</f>
        <v>0</v>
      </c>
      <c r="AE86" s="112">
        <f>IF(AND(VERW_Project!$A11&lt;&gt;"",ISNUMBER(AD86)),1,0)</f>
        <v>1</v>
      </c>
      <c r="AF86" s="112">
        <f>IF(AE86=1,SUM($AE$8:AE86),"")</f>
        <v>79</v>
      </c>
      <c r="AG86">
        <f>IFERROR(MATCH(79,$AF$8:$AF$1407,0),"")</f>
        <v>79</v>
      </c>
    </row>
    <row r="87">
      <c r="A87" s="92" t="str">
        <f>IF($AG87="","",P_ImportID)</f>
        <v>IMP-2026-Q3-01</v>
      </c>
      <c r="B87" s="92" t="str">
        <f>IF($AG87="","",IF(INDEX($AN$8:$AN$21,INDEX($AC$8:$AC$1407,$AG87)+1)="Z",P_BronZ,P_BronE))</f>
        <v>Woningetalage_FICTIEF_20_projecten.xlsx</v>
      </c>
      <c r="C87" s="108">
        <f>IF($AG87="","",P_Importdatum)</f>
        <v>46324.0</v>
      </c>
      <c r="D87" s="92" t="str">
        <f>IF($AG87="","",P_StatusVastleg)</f>
        <v>Vastgesteld</v>
      </c>
      <c r="E87" s="92">
        <f>IF($AG87="","",P_UploadVJ)</f>
        <v>2026</v>
      </c>
      <c r="F87" s="92" t="str">
        <f>IF($AG87="","",P_UploadVersie)</f>
        <v>Q3</v>
      </c>
      <c r="G87" s="92">
        <f>IF($AG87="","",IF(COUNTIFS(L_Sleutel,$S87,L_Status,"Vastgesteld")=0,0,_xlfn.MAXIFS(L_Revisie,L_Sleutel,$S87,L_Status,"Vastgesteld")+1))</f>
        <v>1</v>
      </c>
      <c r="H87" s="108">
        <f>IF($AG87="","",P_Peildatum)</f>
        <v>46295.0</v>
      </c>
      <c r="I87" s="92">
        <f>IF($AG87="","",P_RJ+INDEX($AK$8:$AK$21,INDEX($AC$8:$AC$1407,$AG87)+1))</f>
        <v>2026</v>
      </c>
      <c r="J87" s="92" t="str">
        <f>IF($AG87="","",INDEX(V_WBS,INDEX($AB$8:$AB$1407,$AG87)))</f>
        <v>G.900006.8.9090</v>
      </c>
      <c r="K87" s="92" t="str">
        <f>IF($AG87="","",INDEX(V_Projdef,INDEX($AB$8:$AB$1407,$AG87)))</f>
        <v>G.900006</v>
      </c>
      <c r="L87" s="92" t="str">
        <f>IF($AG87="","",INDEX(V_Naam,INDEX($AB$8:$AB$1407,$AG87)))</f>
        <v>Boswaard, De Eiken</v>
      </c>
      <c r="M87" s="92" t="str">
        <f>IF($AG87="","",INDEX(V_Type,INDEX($AB$8:$AB$1407,$AG87)))</f>
        <v>Opstal</v>
      </c>
      <c r="N87" s="92" t="str">
        <f>IF($AG87="","",INDEX(V_IFRS,INDEX($AB$8:$AB$1407,$AG87)))</f>
        <v>J</v>
      </c>
      <c r="O87" s="92" t="str">
        <f>IF($AG87="","",INDEX($AL$8:$AL$21,INDEX($AC$8:$AC$1407,$AG87)+1))</f>
        <v>Woningverkopen Q2</v>
      </c>
      <c r="P87" s="109">
        <f>IF($AG87="","",INDEX($AD$8:$AD$1407,$AG87))</f>
        <v>1</v>
      </c>
      <c r="Q87" s="92" t="str">
        <f>IF($AG87="","",INDEX($AM$8:$AM$21,INDEX($AC$8:$AC$1407,$AG87)+1))</f>
        <v>aantal</v>
      </c>
      <c r="R87" s="92" t="str">
        <f>IF($AG87="","",IF($G87&gt;0,P_ToelCorrectie&amp;"",""))</f>
        <v/>
      </c>
      <c r="S87" s="15" t="str">
        <f>IF(J87="","",J87&amp;"|"&amp;E87&amp;"|"&amp;F87&amp;"|"&amp;I87&amp;"|"&amp;O87)</f>
        <v>G.900006.8.9090|2026|Q3|2026|Woningverkopen Q2</v>
      </c>
      <c r="T87" s="111">
        <f>IF(S87="","",IF(COUNTIFS(L_Sleutel,S87,L_Actief,1)=0,"",SUMIFS(L_Waarde,L_Sleutel,S87,L_Actief,1)))</f>
        <v>1</v>
      </c>
      <c r="U87" s="111">
        <f>IF(OR(S87="",T87=""),0,P87-T87)</f>
        <v>0</v>
      </c>
      <c r="AB87" s="112" t="n">
        <v>6</v>
      </c>
      <c r="AC87" s="112" t="n">
        <v>9</v>
      </c>
      <c r="AD87" s="112">
        <f>VERW_Project!BR11</f>
        <v>1</v>
      </c>
      <c r="AE87" s="112">
        <f>IF(AND(VERW_Project!$A11&lt;&gt;"",ISNUMBER(AD87)),1,0)</f>
        <v>1</v>
      </c>
      <c r="AF87" s="112">
        <f>IF(AE87=1,SUM($AE$8:AE87),"")</f>
        <v>80</v>
      </c>
      <c r="AG87">
        <f>IFERROR(MATCH(80,$AF$8:$AF$1407,0),"")</f>
        <v>80</v>
      </c>
    </row>
    <row r="88">
      <c r="A88" s="92" t="str">
        <f>IF($AG88="","",P_ImportID)</f>
        <v>IMP-2026-Q3-01</v>
      </c>
      <c r="B88" s="92" t="str">
        <f>IF($AG88="","",IF(INDEX($AN$8:$AN$21,INDEX($AC$8:$AC$1407,$AG88)+1)="Z",P_BronZ,P_BronE))</f>
        <v>Woningetalage_FICTIEF_20_projecten.xlsx</v>
      </c>
      <c r="C88" s="108">
        <f>IF($AG88="","",P_Importdatum)</f>
        <v>46324.0</v>
      </c>
      <c r="D88" s="92" t="str">
        <f>IF($AG88="","",P_StatusVastleg)</f>
        <v>Vastgesteld</v>
      </c>
      <c r="E88" s="92">
        <f>IF($AG88="","",P_UploadVJ)</f>
        <v>2026</v>
      </c>
      <c r="F88" s="92" t="str">
        <f>IF($AG88="","",P_UploadVersie)</f>
        <v>Q3</v>
      </c>
      <c r="G88" s="92">
        <f>IF($AG88="","",IF(COUNTIFS(L_Sleutel,$S88,L_Status,"Vastgesteld")=0,0,_xlfn.MAXIFS(L_Revisie,L_Sleutel,$S88,L_Status,"Vastgesteld")+1))</f>
        <v>1</v>
      </c>
      <c r="H88" s="108">
        <f>IF($AG88="","",P_Peildatum)</f>
        <v>46295.0</v>
      </c>
      <c r="I88" s="92">
        <f>IF($AG88="","",P_RJ+INDEX($AK$8:$AK$21,INDEX($AC$8:$AC$1407,$AG88)+1))</f>
        <v>2026</v>
      </c>
      <c r="J88" s="92" t="str">
        <f>IF($AG88="","",INDEX(V_WBS,INDEX($AB$8:$AB$1407,$AG88)))</f>
        <v>G.900006.8.9090</v>
      </c>
      <c r="K88" s="92" t="str">
        <f>IF($AG88="","",INDEX(V_Projdef,INDEX($AB$8:$AB$1407,$AG88)))</f>
        <v>G.900006</v>
      </c>
      <c r="L88" s="92" t="str">
        <f>IF($AG88="","",INDEX(V_Naam,INDEX($AB$8:$AB$1407,$AG88)))</f>
        <v>Boswaard, De Eiken</v>
      </c>
      <c r="M88" s="92" t="str">
        <f>IF($AG88="","",INDEX(V_Type,INDEX($AB$8:$AB$1407,$AG88)))</f>
        <v>Opstal</v>
      </c>
      <c r="N88" s="92" t="str">
        <f>IF($AG88="","",INDEX(V_IFRS,INDEX($AB$8:$AB$1407,$AG88)))</f>
        <v>J</v>
      </c>
      <c r="O88" s="92" t="str">
        <f>IF($AG88="","",INDEX($AL$8:$AL$21,INDEX($AC$8:$AC$1407,$AG88)+1))</f>
        <v>Woningverkopen Q3</v>
      </c>
      <c r="P88" s="109">
        <f>IF($AG88="","",INDEX($AD$8:$AD$1407,$AG88))</f>
        <v>1</v>
      </c>
      <c r="Q88" s="92" t="str">
        <f>IF($AG88="","",INDEX($AM$8:$AM$21,INDEX($AC$8:$AC$1407,$AG88)+1))</f>
        <v>aantal</v>
      </c>
      <c r="R88" s="92" t="str">
        <f>IF($AG88="","",IF($G88&gt;0,P_ToelCorrectie&amp;"",""))</f>
        <v/>
      </c>
      <c r="S88" s="15" t="str">
        <f>IF(J88="","",J88&amp;"|"&amp;E88&amp;"|"&amp;F88&amp;"|"&amp;I88&amp;"|"&amp;O88)</f>
        <v>G.900006.8.9090|2026|Q3|2026|Woningverkopen Q3</v>
      </c>
      <c r="T88" s="111">
        <f>IF(S88="","",IF(COUNTIFS(L_Sleutel,S88,L_Actief,1)=0,"",SUMIFS(L_Waarde,L_Sleutel,S88,L_Actief,1)))</f>
        <v>1</v>
      </c>
      <c r="U88" s="111">
        <f>IF(OR(S88="",T88=""),0,P88-T88)</f>
        <v>0</v>
      </c>
      <c r="AB88" s="112" t="n">
        <v>6</v>
      </c>
      <c r="AC88" s="112" t="n">
        <v>10</v>
      </c>
      <c r="AD88" s="112">
        <f>VERW_Project!BS11</f>
        <v>1</v>
      </c>
      <c r="AE88" s="112">
        <f>IF(AND(VERW_Project!$A11&lt;&gt;"",ISNUMBER(AD88)),1,0)</f>
        <v>1</v>
      </c>
      <c r="AF88" s="112">
        <f>IF(AE88=1,SUM($AE$8:AE88),"")</f>
        <v>81</v>
      </c>
      <c r="AG88">
        <f>IFERROR(MATCH(81,$AF$8:$AF$1407,0),"")</f>
        <v>81</v>
      </c>
    </row>
    <row r="89">
      <c r="A89" s="92" t="str">
        <f>IF($AG89="","",P_ImportID)</f>
        <v>IMP-2026-Q3-01</v>
      </c>
      <c r="B89" s="92" t="str">
        <f>IF($AG89="","",IF(INDEX($AN$8:$AN$21,INDEX($AC$8:$AC$1407,$AG89)+1)="Z",P_BronZ,P_BronE))</f>
        <v>Woningetalage_FICTIEF_20_projecten.xlsx</v>
      </c>
      <c r="C89" s="108">
        <f>IF($AG89="","",P_Importdatum)</f>
        <v>46324.0</v>
      </c>
      <c r="D89" s="92" t="str">
        <f>IF($AG89="","",P_StatusVastleg)</f>
        <v>Vastgesteld</v>
      </c>
      <c r="E89" s="92">
        <f>IF($AG89="","",P_UploadVJ)</f>
        <v>2026</v>
      </c>
      <c r="F89" s="92" t="str">
        <f>IF($AG89="","",P_UploadVersie)</f>
        <v>Q3</v>
      </c>
      <c r="G89" s="92">
        <f>IF($AG89="","",IF(COUNTIFS(L_Sleutel,$S89,L_Status,"Vastgesteld")=0,0,_xlfn.MAXIFS(L_Revisie,L_Sleutel,$S89,L_Status,"Vastgesteld")+1))</f>
        <v>1</v>
      </c>
      <c r="H89" s="108">
        <f>IF($AG89="","",P_Peildatum)</f>
        <v>46295.0</v>
      </c>
      <c r="I89" s="92">
        <f>IF($AG89="","",P_RJ+INDEX($AK$8:$AK$21,INDEX($AC$8:$AC$1407,$AG89)+1))</f>
        <v>2026</v>
      </c>
      <c r="J89" s="92" t="str">
        <f>IF($AG89="","",INDEX(V_WBS,INDEX($AB$8:$AB$1407,$AG89)))</f>
        <v>G.900006.8.9090</v>
      </c>
      <c r="K89" s="92" t="str">
        <f>IF($AG89="","",INDEX(V_Projdef,INDEX($AB$8:$AB$1407,$AG89)))</f>
        <v>G.900006</v>
      </c>
      <c r="L89" s="92" t="str">
        <f>IF($AG89="","",INDEX(V_Naam,INDEX($AB$8:$AB$1407,$AG89)))</f>
        <v>Boswaard, De Eiken</v>
      </c>
      <c r="M89" s="92" t="str">
        <f>IF($AG89="","",INDEX(V_Type,INDEX($AB$8:$AB$1407,$AG89)))</f>
        <v>Opstal</v>
      </c>
      <c r="N89" s="92" t="str">
        <f>IF($AG89="","",INDEX(V_IFRS,INDEX($AB$8:$AB$1407,$AG89)))</f>
        <v>J</v>
      </c>
      <c r="O89" s="92" t="str">
        <f>IF($AG89="","",INDEX($AL$8:$AL$21,INDEX($AC$8:$AC$1407,$AG89)+1))</f>
        <v>Woningverkopen Q4</v>
      </c>
      <c r="P89" s="109">
        <f>IF($AG89="","",INDEX($AD$8:$AD$1407,$AG89))</f>
        <v>7</v>
      </c>
      <c r="Q89" s="92" t="str">
        <f>IF($AG89="","",INDEX($AM$8:$AM$21,INDEX($AC$8:$AC$1407,$AG89)+1))</f>
        <v>aantal</v>
      </c>
      <c r="R89" s="92" t="str">
        <f>IF($AG89="","",IF($G89&gt;0,P_ToelCorrectie&amp;"",""))</f>
        <v/>
      </c>
      <c r="S89" s="15" t="str">
        <f>IF(J89="","",J89&amp;"|"&amp;E89&amp;"|"&amp;F89&amp;"|"&amp;I89&amp;"|"&amp;O89)</f>
        <v>G.900006.8.9090|2026|Q3|2026|Woningverkopen Q4</v>
      </c>
      <c r="T89" s="111">
        <f>IF(S89="","",IF(COUNTIFS(L_Sleutel,S89,L_Actief,1)=0,"",SUMIFS(L_Waarde,L_Sleutel,S89,L_Actief,1)))</f>
        <v>7</v>
      </c>
      <c r="U89" s="111">
        <f>IF(OR(S89="",T89=""),0,P89-T89)</f>
        <v>0</v>
      </c>
      <c r="AB89" s="112" t="n">
        <v>6</v>
      </c>
      <c r="AC89" s="112" t="n">
        <v>11</v>
      </c>
      <c r="AD89" s="112">
        <f>VERW_Project!BT11</f>
        <v>7</v>
      </c>
      <c r="AE89" s="112">
        <f>IF(AND(VERW_Project!$A11&lt;&gt;"",ISNUMBER(AD89)),1,0)</f>
        <v>1</v>
      </c>
      <c r="AF89" s="112">
        <f>IF(AE89=1,SUM($AE$8:AE89),"")</f>
        <v>82</v>
      </c>
      <c r="AG89">
        <f>IFERROR(MATCH(82,$AF$8:$AF$1407,0),"")</f>
        <v>82</v>
      </c>
    </row>
    <row r="90">
      <c r="A90" s="92" t="str">
        <f>IF($AG90="","",P_ImportID)</f>
        <v>IMP-2026-Q3-01</v>
      </c>
      <c r="B90" s="92" t="str">
        <f>IF($AG90="","",IF(INDEX($AN$8:$AN$21,INDEX($AC$8:$AC$1407,$AG90)+1)="Z",P_BronZ,P_BronE))</f>
        <v>Woningetalage_FICTIEF_20_projecten.xlsx</v>
      </c>
      <c r="C90" s="108">
        <f>IF($AG90="","",P_Importdatum)</f>
        <v>46324.0</v>
      </c>
      <c r="D90" s="92" t="str">
        <f>IF($AG90="","",P_StatusVastleg)</f>
        <v>Vastgesteld</v>
      </c>
      <c r="E90" s="92">
        <f>IF($AG90="","",P_UploadVJ)</f>
        <v>2026</v>
      </c>
      <c r="F90" s="92" t="str">
        <f>IF($AG90="","",P_UploadVersie)</f>
        <v>Q3</v>
      </c>
      <c r="G90" s="92">
        <f>IF($AG90="","",IF(COUNTIFS(L_Sleutel,$S90,L_Status,"Vastgesteld")=0,0,_xlfn.MAXIFS(L_Revisie,L_Sleutel,$S90,L_Status,"Vastgesteld")+1))</f>
        <v>1</v>
      </c>
      <c r="H90" s="108">
        <f>IF($AG90="","",P_Peildatum)</f>
        <v>46295.0</v>
      </c>
      <c r="I90" s="92">
        <f>IF($AG90="","",P_RJ+INDEX($AK$8:$AK$21,INDEX($AC$8:$AC$1407,$AG90)+1))</f>
        <v>2026</v>
      </c>
      <c r="J90" s="92" t="str">
        <f>IF($AG90="","",INDEX(V_WBS,INDEX($AB$8:$AB$1407,$AG90)))</f>
        <v>G.900006.8.9090</v>
      </c>
      <c r="K90" s="92" t="str">
        <f>IF($AG90="","",INDEX(V_Projdef,INDEX($AB$8:$AB$1407,$AG90)))</f>
        <v>G.900006</v>
      </c>
      <c r="L90" s="92" t="str">
        <f>IF($AG90="","",INDEX(V_Naam,INDEX($AB$8:$AB$1407,$AG90)))</f>
        <v>Boswaard, De Eiken</v>
      </c>
      <c r="M90" s="92" t="str">
        <f>IF($AG90="","",INDEX(V_Type,INDEX($AB$8:$AB$1407,$AG90)))</f>
        <v>Opstal</v>
      </c>
      <c r="N90" s="92" t="str">
        <f>IF($AG90="","",INDEX(V_IFRS,INDEX($AB$8:$AB$1407,$AG90)))</f>
        <v>J</v>
      </c>
      <c r="O90" s="92" t="str">
        <f>IF($AG90="","",INDEX($AL$8:$AL$21,INDEX($AC$8:$AC$1407,$AG90)+1))</f>
        <v>Woningverkopen actual YTD</v>
      </c>
      <c r="P90" s="109">
        <f>IF($AG90="","",INDEX($AD$8:$AD$1407,$AG90))</f>
        <v>2</v>
      </c>
      <c r="Q90" s="92" t="str">
        <f>IF($AG90="","",INDEX($AM$8:$AM$21,INDEX($AC$8:$AC$1407,$AG90)+1))</f>
        <v>aantal</v>
      </c>
      <c r="R90" s="92" t="str">
        <f>IF($AG90="","",IF($G90&gt;0,P_ToelCorrectie&amp;"",""))</f>
        <v/>
      </c>
      <c r="S90" s="15" t="str">
        <f>IF(J90="","",J90&amp;"|"&amp;E90&amp;"|"&amp;F90&amp;"|"&amp;I90&amp;"|"&amp;O90)</f>
        <v>G.900006.8.9090|2026|Q3|2026|Woningverkopen actual YTD</v>
      </c>
      <c r="T90" s="111">
        <f>IF(S90="","",IF(COUNTIFS(L_Sleutel,S90,L_Actief,1)=0,"",SUMIFS(L_Waarde,L_Sleutel,S90,L_Actief,1)))</f>
        <v>2</v>
      </c>
      <c r="U90" s="111">
        <f>IF(OR(S90="",T90=""),0,P90-T90)</f>
        <v>0</v>
      </c>
      <c r="AB90" s="112" t="n">
        <v>6</v>
      </c>
      <c r="AC90" s="112" t="n">
        <v>12</v>
      </c>
      <c r="AD90" s="112">
        <f>VERW_Project!BU11</f>
        <v>2</v>
      </c>
      <c r="AE90" s="112">
        <f>IF(AND(VERW_Project!$A11&lt;&gt;"",ISNUMBER(AD90)),1,0)</f>
        <v>1</v>
      </c>
      <c r="AF90" s="112">
        <f>IF(AE90=1,SUM($AE$8:AE90),"")</f>
        <v>83</v>
      </c>
      <c r="AG90">
        <f>IFERROR(MATCH(83,$AF$8:$AF$1407,0),"")</f>
        <v>83</v>
      </c>
    </row>
    <row r="91">
      <c r="A91" s="92" t="str">
        <f>IF($AG91="","",P_ImportID)</f>
        <v>IMP-2026-Q3-01</v>
      </c>
      <c r="B91" s="92" t="str">
        <f>IF($AG91="","",IF(INDEX($AN$8:$AN$21,INDEX($AC$8:$AC$1407,$AG91)+1)="Z",P_BronZ,P_BronE))</f>
        <v>Woningetalage_FICTIEF_20_projecten.xlsx</v>
      </c>
      <c r="C91" s="108">
        <f>IF($AG91="","",P_Importdatum)</f>
        <v>46324.0</v>
      </c>
      <c r="D91" s="92" t="str">
        <f>IF($AG91="","",P_StatusVastleg)</f>
        <v>Vastgesteld</v>
      </c>
      <c r="E91" s="92">
        <f>IF($AG91="","",P_UploadVJ)</f>
        <v>2026</v>
      </c>
      <c r="F91" s="92" t="str">
        <f>IF($AG91="","",P_UploadVersie)</f>
        <v>Q3</v>
      </c>
      <c r="G91" s="92">
        <f>IF($AG91="","",IF(COUNTIFS(L_Sleutel,$S91,L_Status,"Vastgesteld")=0,0,_xlfn.MAXIFS(L_Revisie,L_Sleutel,$S91,L_Status,"Vastgesteld")+1))</f>
        <v>0</v>
      </c>
      <c r="H91" s="108">
        <f>IF($AG91="","",P_Peildatum)</f>
        <v>46295.0</v>
      </c>
      <c r="I91" s="92">
        <f>IF($AG91="","",P_RJ+INDEX($AK$8:$AK$21,INDEX($AC$8:$AC$1407,$AG91)+1))</f>
        <v>2027</v>
      </c>
      <c r="J91" s="92" t="str">
        <f>IF($AG91="","",INDEX(V_WBS,INDEX($AB$8:$AB$1407,$AG91)))</f>
        <v>G.900006.8.9090</v>
      </c>
      <c r="K91" s="92" t="str">
        <f>IF($AG91="","",INDEX(V_Projdef,INDEX($AB$8:$AB$1407,$AG91)))</f>
        <v>G.900006</v>
      </c>
      <c r="L91" s="92" t="str">
        <f>IF($AG91="","",INDEX(V_Naam,INDEX($AB$8:$AB$1407,$AG91)))</f>
        <v>Boswaard, De Eiken</v>
      </c>
      <c r="M91" s="92" t="str">
        <f>IF($AG91="","",INDEX(V_Type,INDEX($AB$8:$AB$1407,$AG91)))</f>
        <v>Opstal</v>
      </c>
      <c r="N91" s="92" t="str">
        <f>IF($AG91="","",INDEX(V_IFRS,INDEX($AB$8:$AB$1407,$AG91)))</f>
        <v>J</v>
      </c>
      <c r="O91" s="92" t="str">
        <f>IF($AG91="","",INDEX($AL$8:$AL$21,INDEX($AC$8:$AC$1407,$AG91)+1))</f>
        <v>Woningverkopen FY</v>
      </c>
      <c r="P91" s="109">
        <f>IF($AG91="","",INDEX($AD$8:$AD$1407,$AG91))</f>
        <v>13</v>
      </c>
      <c r="Q91" s="92" t="str">
        <f>IF($AG91="","",INDEX($AM$8:$AM$21,INDEX($AC$8:$AC$1407,$AG91)+1))</f>
        <v>aantal</v>
      </c>
      <c r="R91" s="92" t="str">
        <f>IF($AG91="","",IF($G91&gt;0,P_ToelCorrectie&amp;"",""))</f>
        <v/>
      </c>
      <c r="S91" s="15" t="str">
        <f>IF(J91="","",J91&amp;"|"&amp;E91&amp;"|"&amp;F91&amp;"|"&amp;I91&amp;"|"&amp;O91)</f>
        <v>G.900006.8.9090|2026|Q3|2027|Woningverkopen FY</v>
      </c>
      <c r="T91" s="111" t="str">
        <f>IF(S91="","",IF(COUNTIFS(L_Sleutel,S91,L_Actief,1)=0,"",SUMIFS(L_Waarde,L_Sleutel,S91,L_Actief,1)))</f>
        <v/>
      </c>
      <c r="U91" s="111">
        <f>IF(OR(S91="",T91=""),0,P91-T91)</f>
        <v>0</v>
      </c>
      <c r="AB91" s="112" t="n">
        <v>6</v>
      </c>
      <c r="AC91" s="112" t="n">
        <v>13</v>
      </c>
      <c r="AD91" s="112">
        <f>VERW_Project!BX11</f>
        <v>13</v>
      </c>
      <c r="AE91" s="112">
        <f>IF(AND(VERW_Project!$A11&lt;&gt;"",ISNUMBER(AD91)),1,0)</f>
        <v>1</v>
      </c>
      <c r="AF91" s="112">
        <f>IF(AE91=1,SUM($AE$8:AE91),"")</f>
        <v>84</v>
      </c>
      <c r="AG91">
        <f>IFERROR(MATCH(84,$AF$8:$AF$1407,0),"")</f>
        <v>84</v>
      </c>
    </row>
    <row r="92">
      <c r="A92" s="92" t="str">
        <f>IF($AG92="","",P_ImportID)</f>
        <v>IMP-2026-Q3-01</v>
      </c>
      <c r="B92" s="92" t="str">
        <f>IF($AG92="","",IF(INDEX($AN$8:$AN$21,INDEX($AC$8:$AC$1407,$AG92)+1)="Z",P_BronZ,P_BronE))</f>
        <v>ZPMW03_FICTIEF_20_projecten.xlsx</v>
      </c>
      <c r="C92" s="108">
        <f>IF($AG92="","",P_Importdatum)</f>
        <v>46324.0</v>
      </c>
      <c r="D92" s="92" t="str">
        <f>IF($AG92="","",P_StatusVastleg)</f>
        <v>Vastgesteld</v>
      </c>
      <c r="E92" s="92">
        <f>IF($AG92="","",P_UploadVJ)</f>
        <v>2026</v>
      </c>
      <c r="F92" s="92" t="str">
        <f>IF($AG92="","",P_UploadVersie)</f>
        <v>Q3</v>
      </c>
      <c r="G92" s="92">
        <f>IF($AG92="","",IF(COUNTIFS(L_Sleutel,$S92,L_Status,"Vastgesteld")=0,0,_xlfn.MAXIFS(L_Revisie,L_Sleutel,$S92,L_Status,"Vastgesteld")+1))</f>
        <v>1</v>
      </c>
      <c r="H92" s="108">
        <f>IF($AG92="","",P_Peildatum)</f>
        <v>46295.0</v>
      </c>
      <c r="I92" s="92">
        <f>IF($AG92="","",P_RJ+INDEX($AK$8:$AK$21,INDEX($AC$8:$AC$1407,$AG92)+1))</f>
        <v>2026</v>
      </c>
      <c r="J92" s="92" t="str">
        <f>IF($AG92="","",INDEX(V_WBS,INDEX($AB$8:$AB$1407,$AG92)))</f>
        <v>G.900007.8.9090</v>
      </c>
      <c r="K92" s="92" t="str">
        <f>IF($AG92="","",INDEX(V_Projdef,INDEX($AB$8:$AB$1407,$AG92)))</f>
        <v>G.900007</v>
      </c>
      <c r="L92" s="92" t="str">
        <f>IF($AG92="","",INDEX(V_Naam,INDEX($AB$8:$AB$1407,$AG92)))</f>
        <v>Rietdam, Havenkwartier</v>
      </c>
      <c r="M92" s="92" t="str">
        <f>IF($AG92="","",INDEX(V_Type,INDEX($AB$8:$AB$1407,$AG92)))</f>
        <v>Opstal</v>
      </c>
      <c r="N92" s="92" t="str">
        <f>IF($AG92="","",INDEX(V_IFRS,INDEX($AB$8:$AB$1407,$AG92)))</f>
        <v>J</v>
      </c>
      <c r="O92" s="92" t="str">
        <f>IF($AG92="","",INDEX($AL$8:$AL$21,INDEX($AC$8:$AC$1407,$AG92)+1))</f>
        <v>Omzet FY</v>
      </c>
      <c r="P92" s="109">
        <f>IF($AG92="","",INDEX($AD$8:$AD$1407,$AG92))</f>
        <v>6080000</v>
      </c>
      <c r="Q92" s="92" t="str">
        <f>IF($AG92="","",INDEX($AM$8:$AM$21,INDEX($AC$8:$AC$1407,$AG92)+1))</f>
        <v>EUR</v>
      </c>
      <c r="R92" s="92" t="str">
        <f>IF($AG92="","",IF($G92&gt;0,P_ToelCorrectie&amp;"",""))</f>
        <v/>
      </c>
      <c r="S92" s="15" t="str">
        <f>IF(J92="","",J92&amp;"|"&amp;E92&amp;"|"&amp;F92&amp;"|"&amp;I92&amp;"|"&amp;O92)</f>
        <v>G.900007.8.9090|2026|Q3|2026|Omzet FY</v>
      </c>
      <c r="T92" s="111">
        <f>IF(S92="","",IF(COUNTIFS(L_Sleutel,S92,L_Actief,1)=0,"",SUMIFS(L_Waarde,L_Sleutel,S92,L_Actief,1)))</f>
        <v>6080000</v>
      </c>
      <c r="U92" s="111">
        <f>IF(OR(S92="",T92=""),0,P92-T92)</f>
        <v>0</v>
      </c>
      <c r="AB92" s="112" t="n">
        <v>7</v>
      </c>
      <c r="AC92" s="112" t="n">
        <v>0</v>
      </c>
      <c r="AD92" s="112">
        <f>VERW_Project!P12</f>
        <v>6080000</v>
      </c>
      <c r="AE92" s="112">
        <f>IF(AND(VERW_Project!$A12&lt;&gt;"",ISNUMBER(AD92)),1,0)</f>
        <v>1</v>
      </c>
      <c r="AF92" s="112">
        <f>IF(AE92=1,SUM($AE$8:AE92),"")</f>
        <v>85</v>
      </c>
      <c r="AG92">
        <f>IFERROR(MATCH(85,$AF$8:$AF$1407,0),"")</f>
        <v>85</v>
      </c>
    </row>
    <row r="93">
      <c r="A93" s="92" t="str">
        <f>IF($AG93="","",P_ImportID)</f>
        <v>IMP-2026-Q3-01</v>
      </c>
      <c r="B93" s="92" t="str">
        <f>IF($AG93="","",IF(INDEX($AN$8:$AN$21,INDEX($AC$8:$AC$1407,$AG93)+1)="Z",P_BronZ,P_BronE))</f>
        <v>ZPMW03_FICTIEF_20_projecten.xlsx</v>
      </c>
      <c r="C93" s="108">
        <f>IF($AG93="","",P_Importdatum)</f>
        <v>46324.0</v>
      </c>
      <c r="D93" s="92" t="str">
        <f>IF($AG93="","",P_StatusVastleg)</f>
        <v>Vastgesteld</v>
      </c>
      <c r="E93" s="92">
        <f>IF($AG93="","",P_UploadVJ)</f>
        <v>2026</v>
      </c>
      <c r="F93" s="92" t="str">
        <f>IF($AG93="","",P_UploadVersie)</f>
        <v>Q3</v>
      </c>
      <c r="G93" s="92">
        <f>IF($AG93="","",IF(COUNTIFS(L_Sleutel,$S93,L_Status,"Vastgesteld")=0,0,_xlfn.MAXIFS(L_Revisie,L_Sleutel,$S93,L_Status,"Vastgesteld")+1))</f>
        <v>1</v>
      </c>
      <c r="H93" s="108">
        <f>IF($AG93="","",P_Peildatum)</f>
        <v>46295.0</v>
      </c>
      <c r="I93" s="92">
        <f>IF($AG93="","",P_RJ+INDEX($AK$8:$AK$21,INDEX($AC$8:$AC$1407,$AG93)+1))</f>
        <v>2026</v>
      </c>
      <c r="J93" s="92" t="str">
        <f>IF($AG93="","",INDEX(V_WBS,INDEX($AB$8:$AB$1407,$AG93)))</f>
        <v>G.900007.8.9090</v>
      </c>
      <c r="K93" s="92" t="str">
        <f>IF($AG93="","",INDEX(V_Projdef,INDEX($AB$8:$AB$1407,$AG93)))</f>
        <v>G.900007</v>
      </c>
      <c r="L93" s="92" t="str">
        <f>IF($AG93="","",INDEX(V_Naam,INDEX($AB$8:$AB$1407,$AG93)))</f>
        <v>Rietdam, Havenkwartier</v>
      </c>
      <c r="M93" s="92" t="str">
        <f>IF($AG93="","",INDEX(V_Type,INDEX($AB$8:$AB$1407,$AG93)))</f>
        <v>Opstal</v>
      </c>
      <c r="N93" s="92" t="str">
        <f>IF($AG93="","",INDEX(V_IFRS,INDEX($AB$8:$AB$1407,$AG93)))</f>
        <v>J</v>
      </c>
      <c r="O93" s="92" t="str">
        <f>IF($AG93="","",INDEX($AL$8:$AL$21,INDEX($AC$8:$AC$1407,$AG93)+1))</f>
        <v>BOR FY</v>
      </c>
      <c r="P93" s="109">
        <f>IF($AG93="","",INDEX($AD$8:$AD$1407,$AG93))</f>
        <v>608000</v>
      </c>
      <c r="Q93" s="92" t="str">
        <f>IF($AG93="","",INDEX($AM$8:$AM$21,INDEX($AC$8:$AC$1407,$AG93)+1))</f>
        <v>EUR</v>
      </c>
      <c r="R93" s="92" t="str">
        <f>IF($AG93="","",IF($G93&gt;0,P_ToelCorrectie&amp;"",""))</f>
        <v/>
      </c>
      <c r="S93" s="15" t="str">
        <f>IF(J93="","",J93&amp;"|"&amp;E93&amp;"|"&amp;F93&amp;"|"&amp;I93&amp;"|"&amp;O93)</f>
        <v>G.900007.8.9090|2026|Q3|2026|BOR FY</v>
      </c>
      <c r="T93" s="111">
        <f>IF(S93="","",IF(COUNTIFS(L_Sleutel,S93,L_Actief,1)=0,"",SUMIFS(L_Waarde,L_Sleutel,S93,L_Actief,1)))</f>
        <v>608000</v>
      </c>
      <c r="U93" s="111">
        <f>IF(OR(S93="",T93=""),0,P93-T93)</f>
        <v>0</v>
      </c>
      <c r="AB93" s="112" t="n">
        <v>7</v>
      </c>
      <c r="AC93" s="112" t="n">
        <v>1</v>
      </c>
      <c r="AD93" s="112">
        <f>VERW_Project!Q12</f>
        <v>608000</v>
      </c>
      <c r="AE93" s="112">
        <f>IF(AND(VERW_Project!$A12&lt;&gt;"",ISNUMBER(AD93)),1,0)</f>
        <v>1</v>
      </c>
      <c r="AF93" s="112">
        <f>IF(AE93=1,SUM($AE$8:AE93),"")</f>
        <v>86</v>
      </c>
      <c r="AG93">
        <f>IFERROR(MATCH(86,$AF$8:$AF$1407,0),"")</f>
        <v>86</v>
      </c>
    </row>
    <row r="94">
      <c r="A94" s="92" t="str">
        <f>IF($AG94="","",P_ImportID)</f>
        <v>IMP-2026-Q3-01</v>
      </c>
      <c r="B94" s="92" t="str">
        <f>IF($AG94="","",IF(INDEX($AN$8:$AN$21,INDEX($AC$8:$AC$1407,$AG94)+1)="Z",P_BronZ,P_BronE))</f>
        <v>ZPMW03_FICTIEF_20_projecten.xlsx</v>
      </c>
      <c r="C94" s="108">
        <f>IF($AG94="","",P_Importdatum)</f>
        <v>46324.0</v>
      </c>
      <c r="D94" s="92" t="str">
        <f>IF($AG94="","",P_StatusVastleg)</f>
        <v>Vastgesteld</v>
      </c>
      <c r="E94" s="92">
        <f>IF($AG94="","",P_UploadVJ)</f>
        <v>2026</v>
      </c>
      <c r="F94" s="92" t="str">
        <f>IF($AG94="","",P_UploadVersie)</f>
        <v>Q3</v>
      </c>
      <c r="G94" s="92">
        <f>IF($AG94="","",IF(COUNTIFS(L_Sleutel,$S94,L_Status,"Vastgesteld")=0,0,_xlfn.MAXIFS(L_Revisie,L_Sleutel,$S94,L_Status,"Vastgesteld")+1))</f>
        <v>1</v>
      </c>
      <c r="H94" s="108">
        <f>IF($AG94="","",P_Peildatum)</f>
        <v>46295.0</v>
      </c>
      <c r="I94" s="92">
        <f>IF($AG94="","",P_RJ+INDEX($AK$8:$AK$21,INDEX($AC$8:$AC$1407,$AG94)+1))</f>
        <v>2026</v>
      </c>
      <c r="J94" s="92" t="str">
        <f>IF($AG94="","",INDEX(V_WBS,INDEX($AB$8:$AB$1407,$AG94)))</f>
        <v>G.900007.8.9090</v>
      </c>
      <c r="K94" s="92" t="str">
        <f>IF($AG94="","",INDEX(V_Projdef,INDEX($AB$8:$AB$1407,$AG94)))</f>
        <v>G.900007</v>
      </c>
      <c r="L94" s="92" t="str">
        <f>IF($AG94="","",INDEX(V_Naam,INDEX($AB$8:$AB$1407,$AG94)))</f>
        <v>Rietdam, Havenkwartier</v>
      </c>
      <c r="M94" s="92" t="str">
        <f>IF($AG94="","",INDEX(V_Type,INDEX($AB$8:$AB$1407,$AG94)))</f>
        <v>Opstal</v>
      </c>
      <c r="N94" s="92" t="str">
        <f>IF($AG94="","",INDEX(V_IFRS,INDEX($AB$8:$AB$1407,$AG94)))</f>
        <v>J</v>
      </c>
      <c r="O94" s="92" t="str">
        <f>IF($AG94="","",INDEX($AL$8:$AL$21,INDEX($AC$8:$AC$1407,$AG94)+1))</f>
        <v>Omzet actual YTD</v>
      </c>
      <c r="P94" s="109">
        <f>IF($AG94="","",INDEX($AD$8:$AD$1407,$AG94))</f>
        <v>3952000</v>
      </c>
      <c r="Q94" s="92" t="str">
        <f>IF($AG94="","",INDEX($AM$8:$AM$21,INDEX($AC$8:$AC$1407,$AG94)+1))</f>
        <v>EUR</v>
      </c>
      <c r="R94" s="92" t="str">
        <f>IF($AG94="","",IF($G94&gt;0,P_ToelCorrectie&amp;"",""))</f>
        <v/>
      </c>
      <c r="S94" s="15" t="str">
        <f>IF(J94="","",J94&amp;"|"&amp;E94&amp;"|"&amp;F94&amp;"|"&amp;I94&amp;"|"&amp;O94)</f>
        <v>G.900007.8.9090|2026|Q3|2026|Omzet actual YTD</v>
      </c>
      <c r="T94" s="111">
        <f>IF(S94="","",IF(COUNTIFS(L_Sleutel,S94,L_Actief,1)=0,"",SUMIFS(L_Waarde,L_Sleutel,S94,L_Actief,1)))</f>
        <v>3952000</v>
      </c>
      <c r="U94" s="111">
        <f>IF(OR(S94="",T94=""),0,P94-T94)</f>
        <v>0</v>
      </c>
      <c r="AB94" s="112" t="n">
        <v>7</v>
      </c>
      <c r="AC94" s="112" t="n">
        <v>2</v>
      </c>
      <c r="AD94" s="112">
        <f>VERW_Project!L12</f>
        <v>3952000</v>
      </c>
      <c r="AE94" s="112">
        <f>IF(AND(VERW_Project!$A12&lt;&gt;"",ISNUMBER(AD94)),1,0)</f>
        <v>1</v>
      </c>
      <c r="AF94" s="112">
        <f>IF(AE94=1,SUM($AE$8:AE94),"")</f>
        <v>87</v>
      </c>
      <c r="AG94">
        <f>IFERROR(MATCH(87,$AF$8:$AF$1407,0),"")</f>
        <v>87</v>
      </c>
    </row>
    <row r="95">
      <c r="A95" s="92" t="str">
        <f>IF($AG95="","",P_ImportID)</f>
        <v>IMP-2026-Q3-01</v>
      </c>
      <c r="B95" s="92" t="str">
        <f>IF($AG95="","",IF(INDEX($AN$8:$AN$21,INDEX($AC$8:$AC$1407,$AG95)+1)="Z",P_BronZ,P_BronE))</f>
        <v>ZPMW03_FICTIEF_20_projecten.xlsx</v>
      </c>
      <c r="C95" s="108">
        <f>IF($AG95="","",P_Importdatum)</f>
        <v>46324.0</v>
      </c>
      <c r="D95" s="92" t="str">
        <f>IF($AG95="","",P_StatusVastleg)</f>
        <v>Vastgesteld</v>
      </c>
      <c r="E95" s="92">
        <f>IF($AG95="","",P_UploadVJ)</f>
        <v>2026</v>
      </c>
      <c r="F95" s="92" t="str">
        <f>IF($AG95="","",P_UploadVersie)</f>
        <v>Q3</v>
      </c>
      <c r="G95" s="92">
        <f>IF($AG95="","",IF(COUNTIFS(L_Sleutel,$S95,L_Status,"Vastgesteld")=0,0,_xlfn.MAXIFS(L_Revisie,L_Sleutel,$S95,L_Status,"Vastgesteld")+1))</f>
        <v>1</v>
      </c>
      <c r="H95" s="108">
        <f>IF($AG95="","",P_Peildatum)</f>
        <v>46295.0</v>
      </c>
      <c r="I95" s="92">
        <f>IF($AG95="","",P_RJ+INDEX($AK$8:$AK$21,INDEX($AC$8:$AC$1407,$AG95)+1))</f>
        <v>2026</v>
      </c>
      <c r="J95" s="92" t="str">
        <f>IF($AG95="","",INDEX(V_WBS,INDEX($AB$8:$AB$1407,$AG95)))</f>
        <v>G.900007.8.9090</v>
      </c>
      <c r="K95" s="92" t="str">
        <f>IF($AG95="","",INDEX(V_Projdef,INDEX($AB$8:$AB$1407,$AG95)))</f>
        <v>G.900007</v>
      </c>
      <c r="L95" s="92" t="str">
        <f>IF($AG95="","",INDEX(V_Naam,INDEX($AB$8:$AB$1407,$AG95)))</f>
        <v>Rietdam, Havenkwartier</v>
      </c>
      <c r="M95" s="92" t="str">
        <f>IF($AG95="","",INDEX(V_Type,INDEX($AB$8:$AB$1407,$AG95)))</f>
        <v>Opstal</v>
      </c>
      <c r="N95" s="92" t="str">
        <f>IF($AG95="","",INDEX(V_IFRS,INDEX($AB$8:$AB$1407,$AG95)))</f>
        <v>J</v>
      </c>
      <c r="O95" s="92" t="str">
        <f>IF($AG95="","",INDEX($AL$8:$AL$21,INDEX($AC$8:$AC$1407,$AG95)+1))</f>
        <v>BOR actual YTD</v>
      </c>
      <c r="P95" s="109">
        <f>IF($AG95="","",INDEX($AD$8:$AD$1407,$AG95))</f>
        <v>395200</v>
      </c>
      <c r="Q95" s="92" t="str">
        <f>IF($AG95="","",INDEX($AM$8:$AM$21,INDEX($AC$8:$AC$1407,$AG95)+1))</f>
        <v>EUR</v>
      </c>
      <c r="R95" s="92" t="str">
        <f>IF($AG95="","",IF($G95&gt;0,P_ToelCorrectie&amp;"",""))</f>
        <v/>
      </c>
      <c r="S95" s="15" t="str">
        <f>IF(J95="","",J95&amp;"|"&amp;E95&amp;"|"&amp;F95&amp;"|"&amp;I95&amp;"|"&amp;O95)</f>
        <v>G.900007.8.9090|2026|Q3|2026|BOR actual YTD</v>
      </c>
      <c r="T95" s="111">
        <f>IF(S95="","",IF(COUNTIFS(L_Sleutel,S95,L_Actief,1)=0,"",SUMIFS(L_Waarde,L_Sleutel,S95,L_Actief,1)))</f>
        <v>395200</v>
      </c>
      <c r="U95" s="111">
        <f>IF(OR(S95="",T95=""),0,P95-T95)</f>
        <v>0</v>
      </c>
      <c r="AB95" s="112" t="n">
        <v>7</v>
      </c>
      <c r="AC95" s="112" t="n">
        <v>3</v>
      </c>
      <c r="AD95" s="112">
        <f>VERW_Project!M12</f>
        <v>395200</v>
      </c>
      <c r="AE95" s="112">
        <f>IF(AND(VERW_Project!$A12&lt;&gt;"",ISNUMBER(AD95)),1,0)</f>
        <v>1</v>
      </c>
      <c r="AF95" s="112">
        <f>IF(AE95=1,SUM($AE$8:AE95),"")</f>
        <v>88</v>
      </c>
      <c r="AG95">
        <f>IFERROR(MATCH(88,$AF$8:$AF$1407,0),"")</f>
        <v>88</v>
      </c>
    </row>
    <row r="96">
      <c r="A96" s="92" t="str">
        <f>IF($AG96="","",P_ImportID)</f>
        <v>IMP-2026-Q3-01</v>
      </c>
      <c r="B96" s="92" t="str">
        <f>IF($AG96="","",IF(INDEX($AN$8:$AN$21,INDEX($AC$8:$AC$1407,$AG96)+1)="Z",P_BronZ,P_BronE))</f>
        <v>ZPMW03_FICTIEF_20_projecten.xlsx</v>
      </c>
      <c r="C96" s="108">
        <f>IF($AG96="","",P_Importdatum)</f>
        <v>46324.0</v>
      </c>
      <c r="D96" s="92" t="str">
        <f>IF($AG96="","",P_StatusVastleg)</f>
        <v>Vastgesteld</v>
      </c>
      <c r="E96" s="92">
        <f>IF($AG96="","",P_UploadVJ)</f>
        <v>2026</v>
      </c>
      <c r="F96" s="92" t="str">
        <f>IF($AG96="","",P_UploadVersie)</f>
        <v>Q3</v>
      </c>
      <c r="G96" s="92">
        <f>IF($AG96="","",IF(COUNTIFS(L_Sleutel,$S96,L_Status,"Vastgesteld")=0,0,_xlfn.MAXIFS(L_Revisie,L_Sleutel,$S96,L_Status,"Vastgesteld")+1))</f>
        <v>1</v>
      </c>
      <c r="H96" s="108">
        <f>IF($AG96="","",P_Peildatum)</f>
        <v>46295.0</v>
      </c>
      <c r="I96" s="92">
        <f>IF($AG96="","",P_RJ+INDEX($AK$8:$AK$21,INDEX($AC$8:$AC$1407,$AG96)+1))</f>
        <v>2027</v>
      </c>
      <c r="J96" s="92" t="str">
        <f>IF($AG96="","",INDEX(V_WBS,INDEX($AB$8:$AB$1407,$AG96)))</f>
        <v>G.900007.8.9090</v>
      </c>
      <c r="K96" s="92" t="str">
        <f>IF($AG96="","",INDEX(V_Projdef,INDEX($AB$8:$AB$1407,$AG96)))</f>
        <v>G.900007</v>
      </c>
      <c r="L96" s="92" t="str">
        <f>IF($AG96="","",INDEX(V_Naam,INDEX($AB$8:$AB$1407,$AG96)))</f>
        <v>Rietdam, Havenkwartier</v>
      </c>
      <c r="M96" s="92" t="str">
        <f>IF($AG96="","",INDEX(V_Type,INDEX($AB$8:$AB$1407,$AG96)))</f>
        <v>Opstal</v>
      </c>
      <c r="N96" s="92" t="str">
        <f>IF($AG96="","",INDEX(V_IFRS,INDEX($AB$8:$AB$1407,$AG96)))</f>
        <v>J</v>
      </c>
      <c r="O96" s="92" t="str">
        <f>IF($AG96="","",INDEX($AL$8:$AL$21,INDEX($AC$8:$AC$1407,$AG96)+1))</f>
        <v>Omzet FY</v>
      </c>
      <c r="P96" s="109">
        <f>IF($AG96="","",INDEX($AD$8:$AD$1407,$AG96))</f>
        <v>11856000</v>
      </c>
      <c r="Q96" s="92" t="str">
        <f>IF($AG96="","",INDEX($AM$8:$AM$21,INDEX($AC$8:$AC$1407,$AG96)+1))</f>
        <v>EUR</v>
      </c>
      <c r="R96" s="92" t="str">
        <f>IF($AG96="","",IF($G96&gt;0,P_ToelCorrectie&amp;"",""))</f>
        <v/>
      </c>
      <c r="S96" s="15" t="str">
        <f>IF(J96="","",J96&amp;"|"&amp;E96&amp;"|"&amp;F96&amp;"|"&amp;I96&amp;"|"&amp;O96)</f>
        <v>G.900007.8.9090|2026|Q3|2027|Omzet FY</v>
      </c>
      <c r="T96" s="111">
        <f>IF(S96="","",IF(COUNTIFS(L_Sleutel,S96,L_Actief,1)=0,"",SUMIFS(L_Waarde,L_Sleutel,S96,L_Actief,1)))</f>
        <v>11856000</v>
      </c>
      <c r="U96" s="111">
        <f>IF(OR(S96="",T96=""),0,P96-T96)</f>
        <v>0</v>
      </c>
      <c r="AB96" s="112" t="n">
        <v>7</v>
      </c>
      <c r="AC96" s="112" t="n">
        <v>4</v>
      </c>
      <c r="AD96" s="112">
        <f>VERW_Project!R12</f>
        <v>11856000</v>
      </c>
      <c r="AE96" s="112">
        <f>IF(AND(VERW_Project!$A12&lt;&gt;"",ISNUMBER(AD96)),1,0)</f>
        <v>1</v>
      </c>
      <c r="AF96" s="112">
        <f>IF(AE96=1,SUM($AE$8:AE96),"")</f>
        <v>89</v>
      </c>
      <c r="AG96">
        <f>IFERROR(MATCH(89,$AF$8:$AF$1407,0),"")</f>
        <v>89</v>
      </c>
    </row>
    <row r="97">
      <c r="A97" s="92" t="str">
        <f>IF($AG97="","",P_ImportID)</f>
        <v>IMP-2026-Q3-01</v>
      </c>
      <c r="B97" s="92" t="str">
        <f>IF($AG97="","",IF(INDEX($AN$8:$AN$21,INDEX($AC$8:$AC$1407,$AG97)+1)="Z",P_BronZ,P_BronE))</f>
        <v>ZPMW03_FICTIEF_20_projecten.xlsx</v>
      </c>
      <c r="C97" s="108">
        <f>IF($AG97="","",P_Importdatum)</f>
        <v>46324.0</v>
      </c>
      <c r="D97" s="92" t="str">
        <f>IF($AG97="","",P_StatusVastleg)</f>
        <v>Vastgesteld</v>
      </c>
      <c r="E97" s="92">
        <f>IF($AG97="","",P_UploadVJ)</f>
        <v>2026</v>
      </c>
      <c r="F97" s="92" t="str">
        <f>IF($AG97="","",P_UploadVersie)</f>
        <v>Q3</v>
      </c>
      <c r="G97" s="92">
        <f>IF($AG97="","",IF(COUNTIFS(L_Sleutel,$S97,L_Status,"Vastgesteld")=0,0,_xlfn.MAXIFS(L_Revisie,L_Sleutel,$S97,L_Status,"Vastgesteld")+1))</f>
        <v>1</v>
      </c>
      <c r="H97" s="108">
        <f>IF($AG97="","",P_Peildatum)</f>
        <v>46295.0</v>
      </c>
      <c r="I97" s="92">
        <f>IF($AG97="","",P_RJ+INDEX($AK$8:$AK$21,INDEX($AC$8:$AC$1407,$AG97)+1))</f>
        <v>2027</v>
      </c>
      <c r="J97" s="92" t="str">
        <f>IF($AG97="","",INDEX(V_WBS,INDEX($AB$8:$AB$1407,$AG97)))</f>
        <v>G.900007.8.9090</v>
      </c>
      <c r="K97" s="92" t="str">
        <f>IF($AG97="","",INDEX(V_Projdef,INDEX($AB$8:$AB$1407,$AG97)))</f>
        <v>G.900007</v>
      </c>
      <c r="L97" s="92" t="str">
        <f>IF($AG97="","",INDEX(V_Naam,INDEX($AB$8:$AB$1407,$AG97)))</f>
        <v>Rietdam, Havenkwartier</v>
      </c>
      <c r="M97" s="92" t="str">
        <f>IF($AG97="","",INDEX(V_Type,INDEX($AB$8:$AB$1407,$AG97)))</f>
        <v>Opstal</v>
      </c>
      <c r="N97" s="92" t="str">
        <f>IF($AG97="","",INDEX(V_IFRS,INDEX($AB$8:$AB$1407,$AG97)))</f>
        <v>J</v>
      </c>
      <c r="O97" s="92" t="str">
        <f>IF($AG97="","",INDEX($AL$8:$AL$21,INDEX($AC$8:$AC$1407,$AG97)+1))</f>
        <v>BOR FY</v>
      </c>
      <c r="P97" s="109">
        <f>IF($AG97="","",INDEX($AD$8:$AD$1407,$AG97))</f>
        <v>1185600</v>
      </c>
      <c r="Q97" s="92" t="str">
        <f>IF($AG97="","",INDEX($AM$8:$AM$21,INDEX($AC$8:$AC$1407,$AG97)+1))</f>
        <v>EUR</v>
      </c>
      <c r="R97" s="92" t="str">
        <f>IF($AG97="","",IF($G97&gt;0,P_ToelCorrectie&amp;"",""))</f>
        <v/>
      </c>
      <c r="S97" s="15" t="str">
        <f>IF(J97="","",J97&amp;"|"&amp;E97&amp;"|"&amp;F97&amp;"|"&amp;I97&amp;"|"&amp;O97)</f>
        <v>G.900007.8.9090|2026|Q3|2027|BOR FY</v>
      </c>
      <c r="T97" s="111">
        <f>IF(S97="","",IF(COUNTIFS(L_Sleutel,S97,L_Actief,1)=0,"",SUMIFS(L_Waarde,L_Sleutel,S97,L_Actief,1)))</f>
        <v>1185600</v>
      </c>
      <c r="U97" s="111">
        <f>IF(OR(S97="",T97=""),0,P97-T97)</f>
        <v>0</v>
      </c>
      <c r="AB97" s="112" t="n">
        <v>7</v>
      </c>
      <c r="AC97" s="112" t="n">
        <v>5</v>
      </c>
      <c r="AD97" s="112">
        <f>VERW_Project!S12</f>
        <v>1185600</v>
      </c>
      <c r="AE97" s="112">
        <f>IF(AND(VERW_Project!$A12&lt;&gt;"",ISNUMBER(AD97)),1,0)</f>
        <v>1</v>
      </c>
      <c r="AF97" s="112">
        <f>IF(AE97=1,SUM($AE$8:AE97),"")</f>
        <v>90</v>
      </c>
      <c r="AG97">
        <f>IFERROR(MATCH(90,$AF$8:$AF$1407,0),"")</f>
        <v>90</v>
      </c>
    </row>
    <row r="98">
      <c r="A98" s="92" t="str">
        <f>IF($AG98="","",P_ImportID)</f>
        <v>IMP-2026-Q3-01</v>
      </c>
      <c r="B98" s="92" t="str">
        <f>IF($AG98="","",IF(INDEX($AN$8:$AN$21,INDEX($AC$8:$AC$1407,$AG98)+1)="Z",P_BronZ,P_BronE))</f>
        <v>Woningetalage_FICTIEF_20_projecten.xlsx</v>
      </c>
      <c r="C98" s="108">
        <f>IF($AG98="","",P_Importdatum)</f>
        <v>46324.0</v>
      </c>
      <c r="D98" s="92" t="str">
        <f>IF($AG98="","",P_StatusVastleg)</f>
        <v>Vastgesteld</v>
      </c>
      <c r="E98" s="92">
        <f>IF($AG98="","",P_UploadVJ)</f>
        <v>2026</v>
      </c>
      <c r="F98" s="92" t="str">
        <f>IF($AG98="","",P_UploadVersie)</f>
        <v>Q3</v>
      </c>
      <c r="G98" s="92">
        <f>IF($AG98="","",IF(COUNTIFS(L_Sleutel,$S98,L_Status,"Vastgesteld")=0,0,_xlfn.MAXIFS(L_Revisie,L_Sleutel,$S98,L_Status,"Vastgesteld")+1))</f>
        <v>1</v>
      </c>
      <c r="H98" s="108">
        <f>IF($AG98="","",P_Peildatum)</f>
        <v>46295.0</v>
      </c>
      <c r="I98" s="92">
        <f>IF($AG98="","",P_RJ+INDEX($AK$8:$AK$21,INDEX($AC$8:$AC$1407,$AG98)+1))</f>
        <v>2026</v>
      </c>
      <c r="J98" s="92" t="str">
        <f>IF($AG98="","",INDEX(V_WBS,INDEX($AB$8:$AB$1407,$AG98)))</f>
        <v>G.900007.8.9090</v>
      </c>
      <c r="K98" s="92" t="str">
        <f>IF($AG98="","",INDEX(V_Projdef,INDEX($AB$8:$AB$1407,$AG98)))</f>
        <v>G.900007</v>
      </c>
      <c r="L98" s="92" t="str">
        <f>IF($AG98="","",INDEX(V_Naam,INDEX($AB$8:$AB$1407,$AG98)))</f>
        <v>Rietdam, Havenkwartier</v>
      </c>
      <c r="M98" s="92" t="str">
        <f>IF($AG98="","",INDEX(V_Type,INDEX($AB$8:$AB$1407,$AG98)))</f>
        <v>Opstal</v>
      </c>
      <c r="N98" s="92" t="str">
        <f>IF($AG98="","",INDEX(V_IFRS,INDEX($AB$8:$AB$1407,$AG98)))</f>
        <v>J</v>
      </c>
      <c r="O98" s="92" t="str">
        <f>IF($AG98="","",INDEX($AL$8:$AL$21,INDEX($AC$8:$AC$1407,$AG98)+1))</f>
        <v>Woningverkopen FY</v>
      </c>
      <c r="P98" s="109">
        <f>IF($AG98="","",INDEX($AD$8:$AD$1407,$AG98))</f>
        <v>21</v>
      </c>
      <c r="Q98" s="92" t="str">
        <f>IF($AG98="","",INDEX($AM$8:$AM$21,INDEX($AC$8:$AC$1407,$AG98)+1))</f>
        <v>aantal</v>
      </c>
      <c r="R98" s="92" t="str">
        <f>IF($AG98="","",IF($G98&gt;0,P_ToelCorrectie&amp;"",""))</f>
        <v/>
      </c>
      <c r="S98" s="15" t="str">
        <f>IF(J98="","",J98&amp;"|"&amp;E98&amp;"|"&amp;F98&amp;"|"&amp;I98&amp;"|"&amp;O98)</f>
        <v>G.900007.8.9090|2026|Q3|2026|Woningverkopen FY</v>
      </c>
      <c r="T98" s="111">
        <f>IF(S98="","",IF(COUNTIFS(L_Sleutel,S98,L_Actief,1)=0,"",SUMIFS(L_Waarde,L_Sleutel,S98,L_Actief,1)))</f>
        <v>21</v>
      </c>
      <c r="U98" s="111">
        <f>IF(OR(S98="",T98=""),0,P98-T98)</f>
        <v>0</v>
      </c>
      <c r="AB98" s="112" t="n">
        <v>7</v>
      </c>
      <c r="AC98" s="112" t="n">
        <v>6</v>
      </c>
      <c r="AD98" s="112">
        <f>VERW_Project!BW12</f>
        <v>21</v>
      </c>
      <c r="AE98" s="112">
        <f>IF(AND(VERW_Project!$A12&lt;&gt;"",ISNUMBER(AD98)),1,0)</f>
        <v>1</v>
      </c>
      <c r="AF98" s="112">
        <f>IF(AE98=1,SUM($AE$8:AE98),"")</f>
        <v>91</v>
      </c>
      <c r="AG98">
        <f>IFERROR(MATCH(91,$AF$8:$AF$1407,0),"")</f>
        <v>91</v>
      </c>
    </row>
    <row r="99">
      <c r="A99" s="92" t="str">
        <f>IF($AG99="","",P_ImportID)</f>
        <v>IMP-2026-Q3-01</v>
      </c>
      <c r="B99" s="92" t="str">
        <f>IF($AG99="","",IF(INDEX($AN$8:$AN$21,INDEX($AC$8:$AC$1407,$AG99)+1)="Z",P_BronZ,P_BronE))</f>
        <v>Woningetalage_FICTIEF_20_projecten.xlsx</v>
      </c>
      <c r="C99" s="108">
        <f>IF($AG99="","",P_Importdatum)</f>
        <v>46324.0</v>
      </c>
      <c r="D99" s="92" t="str">
        <f>IF($AG99="","",P_StatusVastleg)</f>
        <v>Vastgesteld</v>
      </c>
      <c r="E99" s="92">
        <f>IF($AG99="","",P_UploadVJ)</f>
        <v>2026</v>
      </c>
      <c r="F99" s="92" t="str">
        <f>IF($AG99="","",P_UploadVersie)</f>
        <v>Q3</v>
      </c>
      <c r="G99" s="92">
        <f>IF($AG99="","",IF(COUNTIFS(L_Sleutel,$S99,L_Status,"Vastgesteld")=0,0,_xlfn.MAXIFS(L_Revisie,L_Sleutel,$S99,L_Status,"Vastgesteld")+1))</f>
        <v>1</v>
      </c>
      <c r="H99" s="108">
        <f>IF($AG99="","",P_Peildatum)</f>
        <v>46295.0</v>
      </c>
      <c r="I99" s="92">
        <f>IF($AG99="","",P_RJ+INDEX($AK$8:$AK$21,INDEX($AC$8:$AC$1407,$AG99)+1))</f>
        <v>2026</v>
      </c>
      <c r="J99" s="92" t="str">
        <f>IF($AG99="","",INDEX(V_WBS,INDEX($AB$8:$AB$1407,$AG99)))</f>
        <v>G.900007.8.9090</v>
      </c>
      <c r="K99" s="92" t="str">
        <f>IF($AG99="","",INDEX(V_Projdef,INDEX($AB$8:$AB$1407,$AG99)))</f>
        <v>G.900007</v>
      </c>
      <c r="L99" s="92" t="str">
        <f>IF($AG99="","",INDEX(V_Naam,INDEX($AB$8:$AB$1407,$AG99)))</f>
        <v>Rietdam, Havenkwartier</v>
      </c>
      <c r="M99" s="92" t="str">
        <f>IF($AG99="","",INDEX(V_Type,INDEX($AB$8:$AB$1407,$AG99)))</f>
        <v>Opstal</v>
      </c>
      <c r="N99" s="92" t="str">
        <f>IF($AG99="","",INDEX(V_IFRS,INDEX($AB$8:$AB$1407,$AG99)))</f>
        <v>J</v>
      </c>
      <c r="O99" s="92" t="str">
        <f>IF($AG99="","",INDEX($AL$8:$AL$21,INDEX($AC$8:$AC$1407,$AG99)+1))</f>
        <v>Woningen verkocht t/m vorig jaar</v>
      </c>
      <c r="P99" s="109">
        <f>IF($AG99="","",INDEX($AD$8:$AD$1407,$AG99))</f>
        <v>0</v>
      </c>
      <c r="Q99" s="92" t="str">
        <f>IF($AG99="","",INDEX($AM$8:$AM$21,INDEX($AC$8:$AC$1407,$AG99)+1))</f>
        <v>aantal</v>
      </c>
      <c r="R99" s="92" t="str">
        <f>IF($AG99="","",IF($G99&gt;0,P_ToelCorrectie&amp;"",""))</f>
        <v/>
      </c>
      <c r="S99" s="15" t="str">
        <f>IF(J99="","",J99&amp;"|"&amp;E99&amp;"|"&amp;F99&amp;"|"&amp;I99&amp;"|"&amp;O99)</f>
        <v>G.900007.8.9090|2026|Q3|2026|Woningen verkocht t/m vorig jaar</v>
      </c>
      <c r="T99" s="111">
        <f>IF(S99="","",IF(COUNTIFS(L_Sleutel,S99,L_Actief,1)=0,"",SUMIFS(L_Waarde,L_Sleutel,S99,L_Actief,1)))</f>
        <v>0</v>
      </c>
      <c r="U99" s="111">
        <f>IF(OR(S99="",T99=""),0,P99-T99)</f>
        <v>0</v>
      </c>
      <c r="AB99" s="112" t="n">
        <v>7</v>
      </c>
      <c r="AC99" s="112" t="n">
        <v>7</v>
      </c>
      <c r="AD99" s="112">
        <f>VERW_Project!AW12</f>
        <v>0</v>
      </c>
      <c r="AE99" s="112">
        <f>IF(AND(VERW_Project!$A12&lt;&gt;"",ISNUMBER(AD99)),1,0)</f>
        <v>1</v>
      </c>
      <c r="AF99" s="112">
        <f>IF(AE99=1,SUM($AE$8:AE99),"")</f>
        <v>92</v>
      </c>
      <c r="AG99">
        <f>IFERROR(MATCH(92,$AF$8:$AF$1407,0),"")</f>
        <v>92</v>
      </c>
    </row>
    <row r="100">
      <c r="A100" s="92" t="str">
        <f>IF($AG100="","",P_ImportID)</f>
        <v>IMP-2026-Q3-01</v>
      </c>
      <c r="B100" s="92" t="str">
        <f>IF($AG100="","",IF(INDEX($AN$8:$AN$21,INDEX($AC$8:$AC$1407,$AG100)+1)="Z",P_BronZ,P_BronE))</f>
        <v>Woningetalage_FICTIEF_20_projecten.xlsx</v>
      </c>
      <c r="C100" s="108">
        <f>IF($AG100="","",P_Importdatum)</f>
        <v>46324.0</v>
      </c>
      <c r="D100" s="92" t="str">
        <f>IF($AG100="","",P_StatusVastleg)</f>
        <v>Vastgesteld</v>
      </c>
      <c r="E100" s="92">
        <f>IF($AG100="","",P_UploadVJ)</f>
        <v>2026</v>
      </c>
      <c r="F100" s="92" t="str">
        <f>IF($AG100="","",P_UploadVersie)</f>
        <v>Q3</v>
      </c>
      <c r="G100" s="92">
        <f>IF($AG100="","",IF(COUNTIFS(L_Sleutel,$S100,L_Status,"Vastgesteld")=0,0,_xlfn.MAXIFS(L_Revisie,L_Sleutel,$S100,L_Status,"Vastgesteld")+1))</f>
        <v>1</v>
      </c>
      <c r="H100" s="108">
        <f>IF($AG100="","",P_Peildatum)</f>
        <v>46295.0</v>
      </c>
      <c r="I100" s="92">
        <f>IF($AG100="","",P_RJ+INDEX($AK$8:$AK$21,INDEX($AC$8:$AC$1407,$AG100)+1))</f>
        <v>2026</v>
      </c>
      <c r="J100" s="92" t="str">
        <f>IF($AG100="","",INDEX(V_WBS,INDEX($AB$8:$AB$1407,$AG100)))</f>
        <v>G.900007.8.9090</v>
      </c>
      <c r="K100" s="92" t="str">
        <f>IF($AG100="","",INDEX(V_Projdef,INDEX($AB$8:$AB$1407,$AG100)))</f>
        <v>G.900007</v>
      </c>
      <c r="L100" s="92" t="str">
        <f>IF($AG100="","",INDEX(V_Naam,INDEX($AB$8:$AB$1407,$AG100)))</f>
        <v>Rietdam, Havenkwartier</v>
      </c>
      <c r="M100" s="92" t="str">
        <f>IF($AG100="","",INDEX(V_Type,INDEX($AB$8:$AB$1407,$AG100)))</f>
        <v>Opstal</v>
      </c>
      <c r="N100" s="92" t="str">
        <f>IF($AG100="","",INDEX(V_IFRS,INDEX($AB$8:$AB$1407,$AG100)))</f>
        <v>J</v>
      </c>
      <c r="O100" s="92" t="str">
        <f>IF($AG100="","",INDEX($AL$8:$AL$21,INDEX($AC$8:$AC$1407,$AG100)+1))</f>
        <v>Woningverkopen Q1</v>
      </c>
      <c r="P100" s="109">
        <f>IF($AG100="","",INDEX($AD$8:$AD$1407,$AG100))</f>
        <v>1</v>
      </c>
      <c r="Q100" s="92" t="str">
        <f>IF($AG100="","",INDEX($AM$8:$AM$21,INDEX($AC$8:$AC$1407,$AG100)+1))</f>
        <v>aantal</v>
      </c>
      <c r="R100" s="92" t="str">
        <f>IF($AG100="","",IF($G100&gt;0,P_ToelCorrectie&amp;"",""))</f>
        <v/>
      </c>
      <c r="S100" s="15" t="str">
        <f>IF(J100="","",J100&amp;"|"&amp;E100&amp;"|"&amp;F100&amp;"|"&amp;I100&amp;"|"&amp;O100)</f>
        <v>G.900007.8.9090|2026|Q3|2026|Woningverkopen Q1</v>
      </c>
      <c r="T100" s="111">
        <f>IF(S100="","",IF(COUNTIFS(L_Sleutel,S100,L_Actief,1)=0,"",SUMIFS(L_Waarde,L_Sleutel,S100,L_Actief,1)))</f>
        <v>1</v>
      </c>
      <c r="U100" s="111">
        <f>IF(OR(S100="",T100=""),0,P100-T100)</f>
        <v>0</v>
      </c>
      <c r="AB100" s="112" t="n">
        <v>7</v>
      </c>
      <c r="AC100" s="112" t="n">
        <v>8</v>
      </c>
      <c r="AD100" s="112">
        <f>VERW_Project!BQ12</f>
        <v>1</v>
      </c>
      <c r="AE100" s="112">
        <f>IF(AND(VERW_Project!$A12&lt;&gt;"",ISNUMBER(AD100)),1,0)</f>
        <v>1</v>
      </c>
      <c r="AF100" s="112">
        <f>IF(AE100=1,SUM($AE$8:AE100),"")</f>
        <v>93</v>
      </c>
      <c r="AG100">
        <f>IFERROR(MATCH(93,$AF$8:$AF$1407,0),"")</f>
        <v>93</v>
      </c>
    </row>
    <row r="101">
      <c r="A101" s="92" t="str">
        <f>IF($AG101="","",P_ImportID)</f>
        <v>IMP-2026-Q3-01</v>
      </c>
      <c r="B101" s="92" t="str">
        <f>IF($AG101="","",IF(INDEX($AN$8:$AN$21,INDEX($AC$8:$AC$1407,$AG101)+1)="Z",P_BronZ,P_BronE))</f>
        <v>Woningetalage_FICTIEF_20_projecten.xlsx</v>
      </c>
      <c r="C101" s="108">
        <f>IF($AG101="","",P_Importdatum)</f>
        <v>46324.0</v>
      </c>
      <c r="D101" s="92" t="str">
        <f>IF($AG101="","",P_StatusVastleg)</f>
        <v>Vastgesteld</v>
      </c>
      <c r="E101" s="92">
        <f>IF($AG101="","",P_UploadVJ)</f>
        <v>2026</v>
      </c>
      <c r="F101" s="92" t="str">
        <f>IF($AG101="","",P_UploadVersie)</f>
        <v>Q3</v>
      </c>
      <c r="G101" s="92">
        <f>IF($AG101="","",IF(COUNTIFS(L_Sleutel,$S101,L_Status,"Vastgesteld")=0,0,_xlfn.MAXIFS(L_Revisie,L_Sleutel,$S101,L_Status,"Vastgesteld")+1))</f>
        <v>1</v>
      </c>
      <c r="H101" s="108">
        <f>IF($AG101="","",P_Peildatum)</f>
        <v>46295.0</v>
      </c>
      <c r="I101" s="92">
        <f>IF($AG101="","",P_RJ+INDEX($AK$8:$AK$21,INDEX($AC$8:$AC$1407,$AG101)+1))</f>
        <v>2026</v>
      </c>
      <c r="J101" s="92" t="str">
        <f>IF($AG101="","",INDEX(V_WBS,INDEX($AB$8:$AB$1407,$AG101)))</f>
        <v>G.900007.8.9090</v>
      </c>
      <c r="K101" s="92" t="str">
        <f>IF($AG101="","",INDEX(V_Projdef,INDEX($AB$8:$AB$1407,$AG101)))</f>
        <v>G.900007</v>
      </c>
      <c r="L101" s="92" t="str">
        <f>IF($AG101="","",INDEX(V_Naam,INDEX($AB$8:$AB$1407,$AG101)))</f>
        <v>Rietdam, Havenkwartier</v>
      </c>
      <c r="M101" s="92" t="str">
        <f>IF($AG101="","",INDEX(V_Type,INDEX($AB$8:$AB$1407,$AG101)))</f>
        <v>Opstal</v>
      </c>
      <c r="N101" s="92" t="str">
        <f>IF($AG101="","",INDEX(V_IFRS,INDEX($AB$8:$AB$1407,$AG101)))</f>
        <v>J</v>
      </c>
      <c r="O101" s="92" t="str">
        <f>IF($AG101="","",INDEX($AL$8:$AL$21,INDEX($AC$8:$AC$1407,$AG101)+1))</f>
        <v>Woningverkopen Q2</v>
      </c>
      <c r="P101" s="109">
        <f>IF($AG101="","",INDEX($AD$8:$AD$1407,$AG101))</f>
        <v>4</v>
      </c>
      <c r="Q101" s="92" t="str">
        <f>IF($AG101="","",INDEX($AM$8:$AM$21,INDEX($AC$8:$AC$1407,$AG101)+1))</f>
        <v>aantal</v>
      </c>
      <c r="R101" s="92" t="str">
        <f>IF($AG101="","",IF($G101&gt;0,P_ToelCorrectie&amp;"",""))</f>
        <v/>
      </c>
      <c r="S101" s="15" t="str">
        <f>IF(J101="","",J101&amp;"|"&amp;E101&amp;"|"&amp;F101&amp;"|"&amp;I101&amp;"|"&amp;O101)</f>
        <v>G.900007.8.9090|2026|Q3|2026|Woningverkopen Q2</v>
      </c>
      <c r="T101" s="111">
        <f>IF(S101="","",IF(COUNTIFS(L_Sleutel,S101,L_Actief,1)=0,"",SUMIFS(L_Waarde,L_Sleutel,S101,L_Actief,1)))</f>
        <v>4</v>
      </c>
      <c r="U101" s="111">
        <f>IF(OR(S101="",T101=""),0,P101-T101)</f>
        <v>0</v>
      </c>
      <c r="AB101" s="112" t="n">
        <v>7</v>
      </c>
      <c r="AC101" s="112" t="n">
        <v>9</v>
      </c>
      <c r="AD101" s="112">
        <f>VERW_Project!BR12</f>
        <v>4</v>
      </c>
      <c r="AE101" s="112">
        <f>IF(AND(VERW_Project!$A12&lt;&gt;"",ISNUMBER(AD101)),1,0)</f>
        <v>1</v>
      </c>
      <c r="AF101" s="112">
        <f>IF(AE101=1,SUM($AE$8:AE101),"")</f>
        <v>94</v>
      </c>
      <c r="AG101">
        <f>IFERROR(MATCH(94,$AF$8:$AF$1407,0),"")</f>
        <v>94</v>
      </c>
    </row>
    <row r="102">
      <c r="A102" s="92" t="str">
        <f>IF($AG102="","",P_ImportID)</f>
        <v>IMP-2026-Q3-01</v>
      </c>
      <c r="B102" s="92" t="str">
        <f>IF($AG102="","",IF(INDEX($AN$8:$AN$21,INDEX($AC$8:$AC$1407,$AG102)+1)="Z",P_BronZ,P_BronE))</f>
        <v>Woningetalage_FICTIEF_20_projecten.xlsx</v>
      </c>
      <c r="C102" s="108">
        <f>IF($AG102="","",P_Importdatum)</f>
        <v>46324.0</v>
      </c>
      <c r="D102" s="92" t="str">
        <f>IF($AG102="","",P_StatusVastleg)</f>
        <v>Vastgesteld</v>
      </c>
      <c r="E102" s="92">
        <f>IF($AG102="","",P_UploadVJ)</f>
        <v>2026</v>
      </c>
      <c r="F102" s="92" t="str">
        <f>IF($AG102="","",P_UploadVersie)</f>
        <v>Q3</v>
      </c>
      <c r="G102" s="92">
        <f>IF($AG102="","",IF(COUNTIFS(L_Sleutel,$S102,L_Status,"Vastgesteld")=0,0,_xlfn.MAXIFS(L_Revisie,L_Sleutel,$S102,L_Status,"Vastgesteld")+1))</f>
        <v>1</v>
      </c>
      <c r="H102" s="108">
        <f>IF($AG102="","",P_Peildatum)</f>
        <v>46295.0</v>
      </c>
      <c r="I102" s="92">
        <f>IF($AG102="","",P_RJ+INDEX($AK$8:$AK$21,INDEX($AC$8:$AC$1407,$AG102)+1))</f>
        <v>2026</v>
      </c>
      <c r="J102" s="92" t="str">
        <f>IF($AG102="","",INDEX(V_WBS,INDEX($AB$8:$AB$1407,$AG102)))</f>
        <v>G.900007.8.9090</v>
      </c>
      <c r="K102" s="92" t="str">
        <f>IF($AG102="","",INDEX(V_Projdef,INDEX($AB$8:$AB$1407,$AG102)))</f>
        <v>G.900007</v>
      </c>
      <c r="L102" s="92" t="str">
        <f>IF($AG102="","",INDEX(V_Naam,INDEX($AB$8:$AB$1407,$AG102)))</f>
        <v>Rietdam, Havenkwartier</v>
      </c>
      <c r="M102" s="92" t="str">
        <f>IF($AG102="","",INDEX(V_Type,INDEX($AB$8:$AB$1407,$AG102)))</f>
        <v>Opstal</v>
      </c>
      <c r="N102" s="92" t="str">
        <f>IF($AG102="","",INDEX(V_IFRS,INDEX($AB$8:$AB$1407,$AG102)))</f>
        <v>J</v>
      </c>
      <c r="O102" s="92" t="str">
        <f>IF($AG102="","",INDEX($AL$8:$AL$21,INDEX($AC$8:$AC$1407,$AG102)+1))</f>
        <v>Woningverkopen Q3</v>
      </c>
      <c r="P102" s="109">
        <f>IF($AG102="","",INDEX($AD$8:$AD$1407,$AG102))</f>
        <v>4</v>
      </c>
      <c r="Q102" s="92" t="str">
        <f>IF($AG102="","",INDEX($AM$8:$AM$21,INDEX($AC$8:$AC$1407,$AG102)+1))</f>
        <v>aantal</v>
      </c>
      <c r="R102" s="92" t="str">
        <f>IF($AG102="","",IF($G102&gt;0,P_ToelCorrectie&amp;"",""))</f>
        <v/>
      </c>
      <c r="S102" s="15" t="str">
        <f>IF(J102="","",J102&amp;"|"&amp;E102&amp;"|"&amp;F102&amp;"|"&amp;I102&amp;"|"&amp;O102)</f>
        <v>G.900007.8.9090|2026|Q3|2026|Woningverkopen Q3</v>
      </c>
      <c r="T102" s="111">
        <f>IF(S102="","",IF(COUNTIFS(L_Sleutel,S102,L_Actief,1)=0,"",SUMIFS(L_Waarde,L_Sleutel,S102,L_Actief,1)))</f>
        <v>4</v>
      </c>
      <c r="U102" s="111">
        <f>IF(OR(S102="",T102=""),0,P102-T102)</f>
        <v>0</v>
      </c>
      <c r="AB102" s="112" t="n">
        <v>7</v>
      </c>
      <c r="AC102" s="112" t="n">
        <v>10</v>
      </c>
      <c r="AD102" s="112">
        <f>VERW_Project!BS12</f>
        <v>4</v>
      </c>
      <c r="AE102" s="112">
        <f>IF(AND(VERW_Project!$A12&lt;&gt;"",ISNUMBER(AD102)),1,0)</f>
        <v>1</v>
      </c>
      <c r="AF102" s="112">
        <f>IF(AE102=1,SUM($AE$8:AE102),"")</f>
        <v>95</v>
      </c>
      <c r="AG102">
        <f>IFERROR(MATCH(95,$AF$8:$AF$1407,0),"")</f>
        <v>95</v>
      </c>
    </row>
    <row r="103">
      <c r="A103" s="92" t="str">
        <f>IF($AG103="","",P_ImportID)</f>
        <v>IMP-2026-Q3-01</v>
      </c>
      <c r="B103" s="92" t="str">
        <f>IF($AG103="","",IF(INDEX($AN$8:$AN$21,INDEX($AC$8:$AC$1407,$AG103)+1)="Z",P_BronZ,P_BronE))</f>
        <v>Woningetalage_FICTIEF_20_projecten.xlsx</v>
      </c>
      <c r="C103" s="108">
        <f>IF($AG103="","",P_Importdatum)</f>
        <v>46324.0</v>
      </c>
      <c r="D103" s="92" t="str">
        <f>IF($AG103="","",P_StatusVastleg)</f>
        <v>Vastgesteld</v>
      </c>
      <c r="E103" s="92">
        <f>IF($AG103="","",P_UploadVJ)</f>
        <v>2026</v>
      </c>
      <c r="F103" s="92" t="str">
        <f>IF($AG103="","",P_UploadVersie)</f>
        <v>Q3</v>
      </c>
      <c r="G103" s="92">
        <f>IF($AG103="","",IF(COUNTIFS(L_Sleutel,$S103,L_Status,"Vastgesteld")=0,0,_xlfn.MAXIFS(L_Revisie,L_Sleutel,$S103,L_Status,"Vastgesteld")+1))</f>
        <v>1</v>
      </c>
      <c r="H103" s="108">
        <f>IF($AG103="","",P_Peildatum)</f>
        <v>46295.0</v>
      </c>
      <c r="I103" s="92">
        <f>IF($AG103="","",P_RJ+INDEX($AK$8:$AK$21,INDEX($AC$8:$AC$1407,$AG103)+1))</f>
        <v>2026</v>
      </c>
      <c r="J103" s="92" t="str">
        <f>IF($AG103="","",INDEX(V_WBS,INDEX($AB$8:$AB$1407,$AG103)))</f>
        <v>G.900007.8.9090</v>
      </c>
      <c r="K103" s="92" t="str">
        <f>IF($AG103="","",INDEX(V_Projdef,INDEX($AB$8:$AB$1407,$AG103)))</f>
        <v>G.900007</v>
      </c>
      <c r="L103" s="92" t="str">
        <f>IF($AG103="","",INDEX(V_Naam,INDEX($AB$8:$AB$1407,$AG103)))</f>
        <v>Rietdam, Havenkwartier</v>
      </c>
      <c r="M103" s="92" t="str">
        <f>IF($AG103="","",INDEX(V_Type,INDEX($AB$8:$AB$1407,$AG103)))</f>
        <v>Opstal</v>
      </c>
      <c r="N103" s="92" t="str">
        <f>IF($AG103="","",INDEX(V_IFRS,INDEX($AB$8:$AB$1407,$AG103)))</f>
        <v>J</v>
      </c>
      <c r="O103" s="92" t="str">
        <f>IF($AG103="","",INDEX($AL$8:$AL$21,INDEX($AC$8:$AC$1407,$AG103)+1))</f>
        <v>Woningverkopen Q4</v>
      </c>
      <c r="P103" s="109">
        <f>IF($AG103="","",INDEX($AD$8:$AD$1407,$AG103))</f>
        <v>12</v>
      </c>
      <c r="Q103" s="92" t="str">
        <f>IF($AG103="","",INDEX($AM$8:$AM$21,INDEX($AC$8:$AC$1407,$AG103)+1))</f>
        <v>aantal</v>
      </c>
      <c r="R103" s="92" t="str">
        <f>IF($AG103="","",IF($G103&gt;0,P_ToelCorrectie&amp;"",""))</f>
        <v/>
      </c>
      <c r="S103" s="15" t="str">
        <f>IF(J103="","",J103&amp;"|"&amp;E103&amp;"|"&amp;F103&amp;"|"&amp;I103&amp;"|"&amp;O103)</f>
        <v>G.900007.8.9090|2026|Q3|2026|Woningverkopen Q4</v>
      </c>
      <c r="T103" s="111">
        <f>IF(S103="","",IF(COUNTIFS(L_Sleutel,S103,L_Actief,1)=0,"",SUMIFS(L_Waarde,L_Sleutel,S103,L_Actief,1)))</f>
        <v>12</v>
      </c>
      <c r="U103" s="111">
        <f>IF(OR(S103="",T103=""),0,P103-T103)</f>
        <v>0</v>
      </c>
      <c r="AB103" s="112" t="n">
        <v>7</v>
      </c>
      <c r="AC103" s="112" t="n">
        <v>11</v>
      </c>
      <c r="AD103" s="112">
        <f>VERW_Project!BT12</f>
        <v>12</v>
      </c>
      <c r="AE103" s="112">
        <f>IF(AND(VERW_Project!$A12&lt;&gt;"",ISNUMBER(AD103)),1,0)</f>
        <v>1</v>
      </c>
      <c r="AF103" s="112">
        <f>IF(AE103=1,SUM($AE$8:AE103),"")</f>
        <v>96</v>
      </c>
      <c r="AG103">
        <f>IFERROR(MATCH(96,$AF$8:$AF$1407,0),"")</f>
        <v>96</v>
      </c>
    </row>
    <row r="104">
      <c r="A104" s="92" t="str">
        <f>IF($AG104="","",P_ImportID)</f>
        <v>IMP-2026-Q3-01</v>
      </c>
      <c r="B104" s="92" t="str">
        <f>IF($AG104="","",IF(INDEX($AN$8:$AN$21,INDEX($AC$8:$AC$1407,$AG104)+1)="Z",P_BronZ,P_BronE))</f>
        <v>Woningetalage_FICTIEF_20_projecten.xlsx</v>
      </c>
      <c r="C104" s="108">
        <f>IF($AG104="","",P_Importdatum)</f>
        <v>46324.0</v>
      </c>
      <c r="D104" s="92" t="str">
        <f>IF($AG104="","",P_StatusVastleg)</f>
        <v>Vastgesteld</v>
      </c>
      <c r="E104" s="92">
        <f>IF($AG104="","",P_UploadVJ)</f>
        <v>2026</v>
      </c>
      <c r="F104" s="92" t="str">
        <f>IF($AG104="","",P_UploadVersie)</f>
        <v>Q3</v>
      </c>
      <c r="G104" s="92">
        <f>IF($AG104="","",IF(COUNTIFS(L_Sleutel,$S104,L_Status,"Vastgesteld")=0,0,_xlfn.MAXIFS(L_Revisie,L_Sleutel,$S104,L_Status,"Vastgesteld")+1))</f>
        <v>1</v>
      </c>
      <c r="H104" s="108">
        <f>IF($AG104="","",P_Peildatum)</f>
        <v>46295.0</v>
      </c>
      <c r="I104" s="92">
        <f>IF($AG104="","",P_RJ+INDEX($AK$8:$AK$21,INDEX($AC$8:$AC$1407,$AG104)+1))</f>
        <v>2026</v>
      </c>
      <c r="J104" s="92" t="str">
        <f>IF($AG104="","",INDEX(V_WBS,INDEX($AB$8:$AB$1407,$AG104)))</f>
        <v>G.900007.8.9090</v>
      </c>
      <c r="K104" s="92" t="str">
        <f>IF($AG104="","",INDEX(V_Projdef,INDEX($AB$8:$AB$1407,$AG104)))</f>
        <v>G.900007</v>
      </c>
      <c r="L104" s="92" t="str">
        <f>IF($AG104="","",INDEX(V_Naam,INDEX($AB$8:$AB$1407,$AG104)))</f>
        <v>Rietdam, Havenkwartier</v>
      </c>
      <c r="M104" s="92" t="str">
        <f>IF($AG104="","",INDEX(V_Type,INDEX($AB$8:$AB$1407,$AG104)))</f>
        <v>Opstal</v>
      </c>
      <c r="N104" s="92" t="str">
        <f>IF($AG104="","",INDEX(V_IFRS,INDEX($AB$8:$AB$1407,$AG104)))</f>
        <v>J</v>
      </c>
      <c r="O104" s="92" t="str">
        <f>IF($AG104="","",INDEX($AL$8:$AL$21,INDEX($AC$8:$AC$1407,$AG104)+1))</f>
        <v>Woningverkopen actual YTD</v>
      </c>
      <c r="P104" s="109">
        <f>IF($AG104="","",INDEX($AD$8:$AD$1407,$AG104))</f>
        <v>9</v>
      </c>
      <c r="Q104" s="92" t="str">
        <f>IF($AG104="","",INDEX($AM$8:$AM$21,INDEX($AC$8:$AC$1407,$AG104)+1))</f>
        <v>aantal</v>
      </c>
      <c r="R104" s="92" t="str">
        <f>IF($AG104="","",IF($G104&gt;0,P_ToelCorrectie&amp;"",""))</f>
        <v/>
      </c>
      <c r="S104" s="15" t="str">
        <f>IF(J104="","",J104&amp;"|"&amp;E104&amp;"|"&amp;F104&amp;"|"&amp;I104&amp;"|"&amp;O104)</f>
        <v>G.900007.8.9090|2026|Q3|2026|Woningverkopen actual YTD</v>
      </c>
      <c r="T104" s="111">
        <f>IF(S104="","",IF(COUNTIFS(L_Sleutel,S104,L_Actief,1)=0,"",SUMIFS(L_Waarde,L_Sleutel,S104,L_Actief,1)))</f>
        <v>9</v>
      </c>
      <c r="U104" s="111">
        <f>IF(OR(S104="",T104=""),0,P104-T104)</f>
        <v>0</v>
      </c>
      <c r="AB104" s="112" t="n">
        <v>7</v>
      </c>
      <c r="AC104" s="112" t="n">
        <v>12</v>
      </c>
      <c r="AD104" s="112">
        <f>VERW_Project!BU12</f>
        <v>9</v>
      </c>
      <c r="AE104" s="112">
        <f>IF(AND(VERW_Project!$A12&lt;&gt;"",ISNUMBER(AD104)),1,0)</f>
        <v>1</v>
      </c>
      <c r="AF104" s="112">
        <f>IF(AE104=1,SUM($AE$8:AE104),"")</f>
        <v>97</v>
      </c>
      <c r="AG104">
        <f>IFERROR(MATCH(97,$AF$8:$AF$1407,0),"")</f>
        <v>97</v>
      </c>
    </row>
    <row r="105">
      <c r="A105" s="92" t="str">
        <f>IF($AG105="","",P_ImportID)</f>
        <v>IMP-2026-Q3-01</v>
      </c>
      <c r="B105" s="92" t="str">
        <f>IF($AG105="","",IF(INDEX($AN$8:$AN$21,INDEX($AC$8:$AC$1407,$AG105)+1)="Z",P_BronZ,P_BronE))</f>
        <v>Woningetalage_FICTIEF_20_projecten.xlsx</v>
      </c>
      <c r="C105" s="108">
        <f>IF($AG105="","",P_Importdatum)</f>
        <v>46324.0</v>
      </c>
      <c r="D105" s="92" t="str">
        <f>IF($AG105="","",P_StatusVastleg)</f>
        <v>Vastgesteld</v>
      </c>
      <c r="E105" s="92">
        <f>IF($AG105="","",P_UploadVJ)</f>
        <v>2026</v>
      </c>
      <c r="F105" s="92" t="str">
        <f>IF($AG105="","",P_UploadVersie)</f>
        <v>Q3</v>
      </c>
      <c r="G105" s="92">
        <f>IF($AG105="","",IF(COUNTIFS(L_Sleutel,$S105,L_Status,"Vastgesteld")=0,0,_xlfn.MAXIFS(L_Revisie,L_Sleutel,$S105,L_Status,"Vastgesteld")+1))</f>
        <v>0</v>
      </c>
      <c r="H105" s="108">
        <f>IF($AG105="","",P_Peildatum)</f>
        <v>46295.0</v>
      </c>
      <c r="I105" s="92">
        <f>IF($AG105="","",P_RJ+INDEX($AK$8:$AK$21,INDEX($AC$8:$AC$1407,$AG105)+1))</f>
        <v>2027</v>
      </c>
      <c r="J105" s="92" t="str">
        <f>IF($AG105="","",INDEX(V_WBS,INDEX($AB$8:$AB$1407,$AG105)))</f>
        <v>G.900007.8.9090</v>
      </c>
      <c r="K105" s="92" t="str">
        <f>IF($AG105="","",INDEX(V_Projdef,INDEX($AB$8:$AB$1407,$AG105)))</f>
        <v>G.900007</v>
      </c>
      <c r="L105" s="92" t="str">
        <f>IF($AG105="","",INDEX(V_Naam,INDEX($AB$8:$AB$1407,$AG105)))</f>
        <v>Rietdam, Havenkwartier</v>
      </c>
      <c r="M105" s="92" t="str">
        <f>IF($AG105="","",INDEX(V_Type,INDEX($AB$8:$AB$1407,$AG105)))</f>
        <v>Opstal</v>
      </c>
      <c r="N105" s="92" t="str">
        <f>IF($AG105="","",INDEX(V_IFRS,INDEX($AB$8:$AB$1407,$AG105)))</f>
        <v>J</v>
      </c>
      <c r="O105" s="92" t="str">
        <f>IF($AG105="","",INDEX($AL$8:$AL$21,INDEX($AC$8:$AC$1407,$AG105)+1))</f>
        <v>Woningverkopen FY</v>
      </c>
      <c r="P105" s="109">
        <f>IF($AG105="","",INDEX($AD$8:$AD$1407,$AG105))</f>
        <v>28</v>
      </c>
      <c r="Q105" s="92" t="str">
        <f>IF($AG105="","",INDEX($AM$8:$AM$21,INDEX($AC$8:$AC$1407,$AG105)+1))</f>
        <v>aantal</v>
      </c>
      <c r="R105" s="92" t="str">
        <f>IF($AG105="","",IF($G105&gt;0,P_ToelCorrectie&amp;"",""))</f>
        <v/>
      </c>
      <c r="S105" s="15" t="str">
        <f>IF(J105="","",J105&amp;"|"&amp;E105&amp;"|"&amp;F105&amp;"|"&amp;I105&amp;"|"&amp;O105)</f>
        <v>G.900007.8.9090|2026|Q3|2027|Woningverkopen FY</v>
      </c>
      <c r="T105" s="111" t="str">
        <f>IF(S105="","",IF(COUNTIFS(L_Sleutel,S105,L_Actief,1)=0,"",SUMIFS(L_Waarde,L_Sleutel,S105,L_Actief,1)))</f>
        <v/>
      </c>
      <c r="U105" s="111">
        <f>IF(OR(S105="",T105=""),0,P105-T105)</f>
        <v>0</v>
      </c>
      <c r="AB105" s="112" t="n">
        <v>7</v>
      </c>
      <c r="AC105" s="112" t="n">
        <v>13</v>
      </c>
      <c r="AD105" s="112">
        <f>VERW_Project!BX12</f>
        <v>28</v>
      </c>
      <c r="AE105" s="112">
        <f>IF(AND(VERW_Project!$A12&lt;&gt;"",ISNUMBER(AD105)),1,0)</f>
        <v>1</v>
      </c>
      <c r="AF105" s="112">
        <f>IF(AE105=1,SUM($AE$8:AE105),"")</f>
        <v>98</v>
      </c>
      <c r="AG105">
        <f>IFERROR(MATCH(98,$AF$8:$AF$1407,0),"")</f>
        <v>98</v>
      </c>
    </row>
    <row r="106">
      <c r="A106" s="92" t="str">
        <f>IF($AG106="","",P_ImportID)</f>
        <v>IMP-2026-Q3-01</v>
      </c>
      <c r="B106" s="92" t="str">
        <f>IF($AG106="","",IF(INDEX($AN$8:$AN$21,INDEX($AC$8:$AC$1407,$AG106)+1)="Z",P_BronZ,P_BronE))</f>
        <v>ZPMW03_FICTIEF_20_projecten.xlsx</v>
      </c>
      <c r="C106" s="108">
        <f>IF($AG106="","",P_Importdatum)</f>
        <v>46324.0</v>
      </c>
      <c r="D106" s="92" t="str">
        <f>IF($AG106="","",P_StatusVastleg)</f>
        <v>Vastgesteld</v>
      </c>
      <c r="E106" s="92">
        <f>IF($AG106="","",P_UploadVJ)</f>
        <v>2026</v>
      </c>
      <c r="F106" s="92" t="str">
        <f>IF($AG106="","",P_UploadVersie)</f>
        <v>Q3</v>
      </c>
      <c r="G106" s="92">
        <f>IF($AG106="","",IF(COUNTIFS(L_Sleutel,$S106,L_Status,"Vastgesteld")=0,0,_xlfn.MAXIFS(L_Revisie,L_Sleutel,$S106,L_Status,"Vastgesteld")+1))</f>
        <v>1</v>
      </c>
      <c r="H106" s="108">
        <f>IF($AG106="","",P_Peildatum)</f>
        <v>46295.0</v>
      </c>
      <c r="I106" s="92">
        <f>IF($AG106="","",P_RJ+INDEX($AK$8:$AK$21,INDEX($AC$8:$AC$1407,$AG106)+1))</f>
        <v>2026</v>
      </c>
      <c r="J106" s="92" t="str">
        <f>IF($AG106="","",INDEX(V_WBS,INDEX($AB$8:$AB$1407,$AG106)))</f>
        <v>G.900008.8.9090</v>
      </c>
      <c r="K106" s="92" t="str">
        <f>IF($AG106="","",INDEX(V_Projdef,INDEX($AB$8:$AB$1407,$AG106)))</f>
        <v>G.900008</v>
      </c>
      <c r="L106" s="92" t="str">
        <f>IF($AG106="","",INDEX(V_Naam,INDEX($AB$8:$AB$1407,$AG106)))</f>
        <v>Lindehaven, De Brink</v>
      </c>
      <c r="M106" s="92" t="str">
        <f>IF($AG106="","",INDEX(V_Type,INDEX($AB$8:$AB$1407,$AG106)))</f>
        <v>Opstal</v>
      </c>
      <c r="N106" s="92" t="str">
        <f>IF($AG106="","",INDEX(V_IFRS,INDEX($AB$8:$AB$1407,$AG106)))</f>
        <v>J</v>
      </c>
      <c r="O106" s="92" t="str">
        <f>IF($AG106="","",INDEX($AL$8:$AL$21,INDEX($AC$8:$AC$1407,$AG106)+1))</f>
        <v>Omzet FY</v>
      </c>
      <c r="P106" s="109">
        <f>IF($AG106="","",INDEX($AD$8:$AD$1407,$AG106))</f>
        <v>1953000</v>
      </c>
      <c r="Q106" s="92" t="str">
        <f>IF($AG106="","",INDEX($AM$8:$AM$21,INDEX($AC$8:$AC$1407,$AG106)+1))</f>
        <v>EUR</v>
      </c>
      <c r="R106" s="92" t="str">
        <f>IF($AG106="","",IF($G106&gt;0,P_ToelCorrectie&amp;"",""))</f>
        <v/>
      </c>
      <c r="S106" s="15" t="str">
        <f>IF(J106="","",J106&amp;"|"&amp;E106&amp;"|"&amp;F106&amp;"|"&amp;I106&amp;"|"&amp;O106)</f>
        <v>G.900008.8.9090|2026|Q3|2026|Omzet FY</v>
      </c>
      <c r="T106" s="111">
        <f>IF(S106="","",IF(COUNTIFS(L_Sleutel,S106,L_Actief,1)=0,"",SUMIFS(L_Waarde,L_Sleutel,S106,L_Actief,1)))</f>
        <v>1953000</v>
      </c>
      <c r="U106" s="111">
        <f>IF(OR(S106="",T106=""),0,P106-T106)</f>
        <v>0</v>
      </c>
      <c r="AB106" s="112" t="n">
        <v>8</v>
      </c>
      <c r="AC106" s="112" t="n">
        <v>0</v>
      </c>
      <c r="AD106" s="112">
        <f>VERW_Project!P13</f>
        <v>1953000</v>
      </c>
      <c r="AE106" s="112">
        <f>IF(AND(VERW_Project!$A13&lt;&gt;"",ISNUMBER(AD106)),1,0)</f>
        <v>1</v>
      </c>
      <c r="AF106" s="112">
        <f>IF(AE106=1,SUM($AE$8:AE106),"")</f>
        <v>99</v>
      </c>
      <c r="AG106">
        <f>IFERROR(MATCH(99,$AF$8:$AF$1407,0),"")</f>
        <v>99</v>
      </c>
    </row>
    <row r="107">
      <c r="A107" s="92" t="str">
        <f>IF($AG107="","",P_ImportID)</f>
        <v>IMP-2026-Q3-01</v>
      </c>
      <c r="B107" s="92" t="str">
        <f>IF($AG107="","",IF(INDEX($AN$8:$AN$21,INDEX($AC$8:$AC$1407,$AG107)+1)="Z",P_BronZ,P_BronE))</f>
        <v>ZPMW03_FICTIEF_20_projecten.xlsx</v>
      </c>
      <c r="C107" s="108">
        <f>IF($AG107="","",P_Importdatum)</f>
        <v>46324.0</v>
      </c>
      <c r="D107" s="92" t="str">
        <f>IF($AG107="","",P_StatusVastleg)</f>
        <v>Vastgesteld</v>
      </c>
      <c r="E107" s="92">
        <f>IF($AG107="","",P_UploadVJ)</f>
        <v>2026</v>
      </c>
      <c r="F107" s="92" t="str">
        <f>IF($AG107="","",P_UploadVersie)</f>
        <v>Q3</v>
      </c>
      <c r="G107" s="92">
        <f>IF($AG107="","",IF(COUNTIFS(L_Sleutel,$S107,L_Status,"Vastgesteld")=0,0,_xlfn.MAXIFS(L_Revisie,L_Sleutel,$S107,L_Status,"Vastgesteld")+1))</f>
        <v>1</v>
      </c>
      <c r="H107" s="108">
        <f>IF($AG107="","",P_Peildatum)</f>
        <v>46295.0</v>
      </c>
      <c r="I107" s="92">
        <f>IF($AG107="","",P_RJ+INDEX($AK$8:$AK$21,INDEX($AC$8:$AC$1407,$AG107)+1))</f>
        <v>2026</v>
      </c>
      <c r="J107" s="92" t="str">
        <f>IF($AG107="","",INDEX(V_WBS,INDEX($AB$8:$AB$1407,$AG107)))</f>
        <v>G.900008.8.9090</v>
      </c>
      <c r="K107" s="92" t="str">
        <f>IF($AG107="","",INDEX(V_Projdef,INDEX($AB$8:$AB$1407,$AG107)))</f>
        <v>G.900008</v>
      </c>
      <c r="L107" s="92" t="str">
        <f>IF($AG107="","",INDEX(V_Naam,INDEX($AB$8:$AB$1407,$AG107)))</f>
        <v>Lindehaven, De Brink</v>
      </c>
      <c r="M107" s="92" t="str">
        <f>IF($AG107="","",INDEX(V_Type,INDEX($AB$8:$AB$1407,$AG107)))</f>
        <v>Opstal</v>
      </c>
      <c r="N107" s="92" t="str">
        <f>IF($AG107="","",INDEX(V_IFRS,INDEX($AB$8:$AB$1407,$AG107)))</f>
        <v>J</v>
      </c>
      <c r="O107" s="92" t="str">
        <f>IF($AG107="","",INDEX($AL$8:$AL$21,INDEX($AC$8:$AC$1407,$AG107)+1))</f>
        <v>BOR FY</v>
      </c>
      <c r="P107" s="109">
        <f>IF($AG107="","",INDEX($AD$8:$AD$1407,$AG107))</f>
        <v>-58590</v>
      </c>
      <c r="Q107" s="92" t="str">
        <f>IF($AG107="","",INDEX($AM$8:$AM$21,INDEX($AC$8:$AC$1407,$AG107)+1))</f>
        <v>EUR</v>
      </c>
      <c r="R107" s="92" t="str">
        <f>IF($AG107="","",IF($G107&gt;0,P_ToelCorrectie&amp;"",""))</f>
        <v/>
      </c>
      <c r="S107" s="15" t="str">
        <f>IF(J107="","",J107&amp;"|"&amp;E107&amp;"|"&amp;F107&amp;"|"&amp;I107&amp;"|"&amp;O107)</f>
        <v>G.900008.8.9090|2026|Q3|2026|BOR FY</v>
      </c>
      <c r="T107" s="111">
        <f>IF(S107="","",IF(COUNTIFS(L_Sleutel,S107,L_Actief,1)=0,"",SUMIFS(L_Waarde,L_Sleutel,S107,L_Actief,1)))</f>
        <v>-58590</v>
      </c>
      <c r="U107" s="111">
        <f>IF(OR(S107="",T107=""),0,P107-T107)</f>
        <v>0</v>
      </c>
      <c r="AB107" s="112" t="n">
        <v>8</v>
      </c>
      <c r="AC107" s="112" t="n">
        <v>1</v>
      </c>
      <c r="AD107" s="112">
        <f>VERW_Project!Q13</f>
        <v>-58590</v>
      </c>
      <c r="AE107" s="112">
        <f>IF(AND(VERW_Project!$A13&lt;&gt;"",ISNUMBER(AD107)),1,0)</f>
        <v>1</v>
      </c>
      <c r="AF107" s="112">
        <f>IF(AE107=1,SUM($AE$8:AE107),"")</f>
        <v>100</v>
      </c>
      <c r="AG107">
        <f>IFERROR(MATCH(100,$AF$8:$AF$1407,0),"")</f>
        <v>100</v>
      </c>
    </row>
    <row r="108">
      <c r="A108" s="92" t="str">
        <f>IF($AG108="","",P_ImportID)</f>
        <v>IMP-2026-Q3-01</v>
      </c>
      <c r="B108" s="92" t="str">
        <f>IF($AG108="","",IF(INDEX($AN$8:$AN$21,INDEX($AC$8:$AC$1407,$AG108)+1)="Z",P_BronZ,P_BronE))</f>
        <v>ZPMW03_FICTIEF_20_projecten.xlsx</v>
      </c>
      <c r="C108" s="108">
        <f>IF($AG108="","",P_Importdatum)</f>
        <v>46324.0</v>
      </c>
      <c r="D108" s="92" t="str">
        <f>IF($AG108="","",P_StatusVastleg)</f>
        <v>Vastgesteld</v>
      </c>
      <c r="E108" s="92">
        <f>IF($AG108="","",P_UploadVJ)</f>
        <v>2026</v>
      </c>
      <c r="F108" s="92" t="str">
        <f>IF($AG108="","",P_UploadVersie)</f>
        <v>Q3</v>
      </c>
      <c r="G108" s="92">
        <f>IF($AG108="","",IF(COUNTIFS(L_Sleutel,$S108,L_Status,"Vastgesteld")=0,0,_xlfn.MAXIFS(L_Revisie,L_Sleutel,$S108,L_Status,"Vastgesteld")+1))</f>
        <v>1</v>
      </c>
      <c r="H108" s="108">
        <f>IF($AG108="","",P_Peildatum)</f>
        <v>46295.0</v>
      </c>
      <c r="I108" s="92">
        <f>IF($AG108="","",P_RJ+INDEX($AK$8:$AK$21,INDEX($AC$8:$AC$1407,$AG108)+1))</f>
        <v>2026</v>
      </c>
      <c r="J108" s="92" t="str">
        <f>IF($AG108="","",INDEX(V_WBS,INDEX($AB$8:$AB$1407,$AG108)))</f>
        <v>G.900008.8.9090</v>
      </c>
      <c r="K108" s="92" t="str">
        <f>IF($AG108="","",INDEX(V_Projdef,INDEX($AB$8:$AB$1407,$AG108)))</f>
        <v>G.900008</v>
      </c>
      <c r="L108" s="92" t="str">
        <f>IF($AG108="","",INDEX(V_Naam,INDEX($AB$8:$AB$1407,$AG108)))</f>
        <v>Lindehaven, De Brink</v>
      </c>
      <c r="M108" s="92" t="str">
        <f>IF($AG108="","",INDEX(V_Type,INDEX($AB$8:$AB$1407,$AG108)))</f>
        <v>Opstal</v>
      </c>
      <c r="N108" s="92" t="str">
        <f>IF($AG108="","",INDEX(V_IFRS,INDEX($AB$8:$AB$1407,$AG108)))</f>
        <v>J</v>
      </c>
      <c r="O108" s="92" t="str">
        <f>IF($AG108="","",INDEX($AL$8:$AL$21,INDEX($AC$8:$AC$1407,$AG108)+1))</f>
        <v>Omzet actual YTD</v>
      </c>
      <c r="P108" s="109">
        <f>IF($AG108="","",INDEX($AD$8:$AD$1407,$AG108))</f>
        <v>1269450</v>
      </c>
      <c r="Q108" s="92" t="str">
        <f>IF($AG108="","",INDEX($AM$8:$AM$21,INDEX($AC$8:$AC$1407,$AG108)+1))</f>
        <v>EUR</v>
      </c>
      <c r="R108" s="92" t="str">
        <f>IF($AG108="","",IF($G108&gt;0,P_ToelCorrectie&amp;"",""))</f>
        <v/>
      </c>
      <c r="S108" s="15" t="str">
        <f>IF(J108="","",J108&amp;"|"&amp;E108&amp;"|"&amp;F108&amp;"|"&amp;I108&amp;"|"&amp;O108)</f>
        <v>G.900008.8.9090|2026|Q3|2026|Omzet actual YTD</v>
      </c>
      <c r="T108" s="111">
        <f>IF(S108="","",IF(COUNTIFS(L_Sleutel,S108,L_Actief,1)=0,"",SUMIFS(L_Waarde,L_Sleutel,S108,L_Actief,1)))</f>
        <v>1269450</v>
      </c>
      <c r="U108" s="111">
        <f>IF(OR(S108="",T108=""),0,P108-T108)</f>
        <v>0</v>
      </c>
      <c r="AB108" s="112" t="n">
        <v>8</v>
      </c>
      <c r="AC108" s="112" t="n">
        <v>2</v>
      </c>
      <c r="AD108" s="112">
        <f>VERW_Project!L13</f>
        <v>1269450</v>
      </c>
      <c r="AE108" s="112">
        <f>IF(AND(VERW_Project!$A13&lt;&gt;"",ISNUMBER(AD108)),1,0)</f>
        <v>1</v>
      </c>
      <c r="AF108" s="112">
        <f>IF(AE108=1,SUM($AE$8:AE108),"")</f>
        <v>101</v>
      </c>
      <c r="AG108">
        <f>IFERROR(MATCH(101,$AF$8:$AF$1407,0),"")</f>
        <v>101</v>
      </c>
    </row>
    <row r="109">
      <c r="A109" s="92" t="str">
        <f>IF($AG109="","",P_ImportID)</f>
        <v>IMP-2026-Q3-01</v>
      </c>
      <c r="B109" s="92" t="str">
        <f>IF($AG109="","",IF(INDEX($AN$8:$AN$21,INDEX($AC$8:$AC$1407,$AG109)+1)="Z",P_BronZ,P_BronE))</f>
        <v>ZPMW03_FICTIEF_20_projecten.xlsx</v>
      </c>
      <c r="C109" s="108">
        <f>IF($AG109="","",P_Importdatum)</f>
        <v>46324.0</v>
      </c>
      <c r="D109" s="92" t="str">
        <f>IF($AG109="","",P_StatusVastleg)</f>
        <v>Vastgesteld</v>
      </c>
      <c r="E109" s="92">
        <f>IF($AG109="","",P_UploadVJ)</f>
        <v>2026</v>
      </c>
      <c r="F109" s="92" t="str">
        <f>IF($AG109="","",P_UploadVersie)</f>
        <v>Q3</v>
      </c>
      <c r="G109" s="92">
        <f>IF($AG109="","",IF(COUNTIFS(L_Sleutel,$S109,L_Status,"Vastgesteld")=0,0,_xlfn.MAXIFS(L_Revisie,L_Sleutel,$S109,L_Status,"Vastgesteld")+1))</f>
        <v>1</v>
      </c>
      <c r="H109" s="108">
        <f>IF($AG109="","",P_Peildatum)</f>
        <v>46295.0</v>
      </c>
      <c r="I109" s="92">
        <f>IF($AG109="","",P_RJ+INDEX($AK$8:$AK$21,INDEX($AC$8:$AC$1407,$AG109)+1))</f>
        <v>2026</v>
      </c>
      <c r="J109" s="92" t="str">
        <f>IF($AG109="","",INDEX(V_WBS,INDEX($AB$8:$AB$1407,$AG109)))</f>
        <v>G.900008.8.9090</v>
      </c>
      <c r="K109" s="92" t="str">
        <f>IF($AG109="","",INDEX(V_Projdef,INDEX($AB$8:$AB$1407,$AG109)))</f>
        <v>G.900008</v>
      </c>
      <c r="L109" s="92" t="str">
        <f>IF($AG109="","",INDEX(V_Naam,INDEX($AB$8:$AB$1407,$AG109)))</f>
        <v>Lindehaven, De Brink</v>
      </c>
      <c r="M109" s="92" t="str">
        <f>IF($AG109="","",INDEX(V_Type,INDEX($AB$8:$AB$1407,$AG109)))</f>
        <v>Opstal</v>
      </c>
      <c r="N109" s="92" t="str">
        <f>IF($AG109="","",INDEX(V_IFRS,INDEX($AB$8:$AB$1407,$AG109)))</f>
        <v>J</v>
      </c>
      <c r="O109" s="92" t="str">
        <f>IF($AG109="","",INDEX($AL$8:$AL$21,INDEX($AC$8:$AC$1407,$AG109)+1))</f>
        <v>BOR actual YTD</v>
      </c>
      <c r="P109" s="109">
        <f>IF($AG109="","",INDEX($AD$8:$AD$1407,$AG109))</f>
        <v>-38083.5</v>
      </c>
      <c r="Q109" s="92" t="str">
        <f>IF($AG109="","",INDEX($AM$8:$AM$21,INDEX($AC$8:$AC$1407,$AG109)+1))</f>
        <v>EUR</v>
      </c>
      <c r="R109" s="92" t="str">
        <f>IF($AG109="","",IF($G109&gt;0,P_ToelCorrectie&amp;"",""))</f>
        <v/>
      </c>
      <c r="S109" s="15" t="str">
        <f>IF(J109="","",J109&amp;"|"&amp;E109&amp;"|"&amp;F109&amp;"|"&amp;I109&amp;"|"&amp;O109)</f>
        <v>G.900008.8.9090|2026|Q3|2026|BOR actual YTD</v>
      </c>
      <c r="T109" s="111">
        <f>IF(S109="","",IF(COUNTIFS(L_Sleutel,S109,L_Actief,1)=0,"",SUMIFS(L_Waarde,L_Sleutel,S109,L_Actief,1)))</f>
        <v>-38083.5</v>
      </c>
      <c r="U109" s="111">
        <f>IF(OR(S109="",T109=""),0,P109-T109)</f>
        <v>0</v>
      </c>
      <c r="AB109" s="112" t="n">
        <v>8</v>
      </c>
      <c r="AC109" s="112" t="n">
        <v>3</v>
      </c>
      <c r="AD109" s="112">
        <f>VERW_Project!M13</f>
        <v>-38083.5</v>
      </c>
      <c r="AE109" s="112">
        <f>IF(AND(VERW_Project!$A13&lt;&gt;"",ISNUMBER(AD109)),1,0)</f>
        <v>1</v>
      </c>
      <c r="AF109" s="112">
        <f>IF(AE109=1,SUM($AE$8:AE109),"")</f>
        <v>102</v>
      </c>
      <c r="AG109">
        <f>IFERROR(MATCH(102,$AF$8:$AF$1407,0),"")</f>
        <v>102</v>
      </c>
    </row>
    <row r="110">
      <c r="A110" s="92" t="str">
        <f>IF($AG110="","",P_ImportID)</f>
        <v>IMP-2026-Q3-01</v>
      </c>
      <c r="B110" s="92" t="str">
        <f>IF($AG110="","",IF(INDEX($AN$8:$AN$21,INDEX($AC$8:$AC$1407,$AG110)+1)="Z",P_BronZ,P_BronE))</f>
        <v>ZPMW03_FICTIEF_20_projecten.xlsx</v>
      </c>
      <c r="C110" s="108">
        <f>IF($AG110="","",P_Importdatum)</f>
        <v>46324.0</v>
      </c>
      <c r="D110" s="92" t="str">
        <f>IF($AG110="","",P_StatusVastleg)</f>
        <v>Vastgesteld</v>
      </c>
      <c r="E110" s="92">
        <f>IF($AG110="","",P_UploadVJ)</f>
        <v>2026</v>
      </c>
      <c r="F110" s="92" t="str">
        <f>IF($AG110="","",P_UploadVersie)</f>
        <v>Q3</v>
      </c>
      <c r="G110" s="92">
        <f>IF($AG110="","",IF(COUNTIFS(L_Sleutel,$S110,L_Status,"Vastgesteld")=0,0,_xlfn.MAXIFS(L_Revisie,L_Sleutel,$S110,L_Status,"Vastgesteld")+1))</f>
        <v>1</v>
      </c>
      <c r="H110" s="108">
        <f>IF($AG110="","",P_Peildatum)</f>
        <v>46295.0</v>
      </c>
      <c r="I110" s="92">
        <f>IF($AG110="","",P_RJ+INDEX($AK$8:$AK$21,INDEX($AC$8:$AC$1407,$AG110)+1))</f>
        <v>2027</v>
      </c>
      <c r="J110" s="92" t="str">
        <f>IF($AG110="","",INDEX(V_WBS,INDEX($AB$8:$AB$1407,$AG110)))</f>
        <v>G.900008.8.9090</v>
      </c>
      <c r="K110" s="92" t="str">
        <f>IF($AG110="","",INDEX(V_Projdef,INDEX($AB$8:$AB$1407,$AG110)))</f>
        <v>G.900008</v>
      </c>
      <c r="L110" s="92" t="str">
        <f>IF($AG110="","",INDEX(V_Naam,INDEX($AB$8:$AB$1407,$AG110)))</f>
        <v>Lindehaven, De Brink</v>
      </c>
      <c r="M110" s="92" t="str">
        <f>IF($AG110="","",INDEX(V_Type,INDEX($AB$8:$AB$1407,$AG110)))</f>
        <v>Opstal</v>
      </c>
      <c r="N110" s="92" t="str">
        <f>IF($AG110="","",INDEX(V_IFRS,INDEX($AB$8:$AB$1407,$AG110)))</f>
        <v>J</v>
      </c>
      <c r="O110" s="92" t="str">
        <f>IF($AG110="","",INDEX($AL$8:$AL$21,INDEX($AC$8:$AC$1407,$AG110)+1))</f>
        <v>Omzet FY</v>
      </c>
      <c r="P110" s="109">
        <f>IF($AG110="","",INDEX($AD$8:$AD$1407,$AG110))</f>
        <v>7193550</v>
      </c>
      <c r="Q110" s="92" t="str">
        <f>IF($AG110="","",INDEX($AM$8:$AM$21,INDEX($AC$8:$AC$1407,$AG110)+1))</f>
        <v>EUR</v>
      </c>
      <c r="R110" s="92" t="str">
        <f>IF($AG110="","",IF($G110&gt;0,P_ToelCorrectie&amp;"",""))</f>
        <v/>
      </c>
      <c r="S110" s="15" t="str">
        <f>IF(J110="","",J110&amp;"|"&amp;E110&amp;"|"&amp;F110&amp;"|"&amp;I110&amp;"|"&amp;O110)</f>
        <v>G.900008.8.9090|2026|Q3|2027|Omzet FY</v>
      </c>
      <c r="T110" s="111">
        <f>IF(S110="","",IF(COUNTIFS(L_Sleutel,S110,L_Actief,1)=0,"",SUMIFS(L_Waarde,L_Sleutel,S110,L_Actief,1)))</f>
        <v>7193550</v>
      </c>
      <c r="U110" s="111">
        <f>IF(OR(S110="",T110=""),0,P110-T110)</f>
        <v>0</v>
      </c>
      <c r="AB110" s="112" t="n">
        <v>8</v>
      </c>
      <c r="AC110" s="112" t="n">
        <v>4</v>
      </c>
      <c r="AD110" s="112">
        <f>VERW_Project!R13</f>
        <v>7193550</v>
      </c>
      <c r="AE110" s="112">
        <f>IF(AND(VERW_Project!$A13&lt;&gt;"",ISNUMBER(AD110)),1,0)</f>
        <v>1</v>
      </c>
      <c r="AF110" s="112">
        <f>IF(AE110=1,SUM($AE$8:AE110),"")</f>
        <v>103</v>
      </c>
      <c r="AG110">
        <f>IFERROR(MATCH(103,$AF$8:$AF$1407,0),"")</f>
        <v>103</v>
      </c>
    </row>
    <row r="111">
      <c r="A111" s="92" t="str">
        <f>IF($AG111="","",P_ImportID)</f>
        <v>IMP-2026-Q3-01</v>
      </c>
      <c r="B111" s="92" t="str">
        <f>IF($AG111="","",IF(INDEX($AN$8:$AN$21,INDEX($AC$8:$AC$1407,$AG111)+1)="Z",P_BronZ,P_BronE))</f>
        <v>ZPMW03_FICTIEF_20_projecten.xlsx</v>
      </c>
      <c r="C111" s="108">
        <f>IF($AG111="","",P_Importdatum)</f>
        <v>46324.0</v>
      </c>
      <c r="D111" s="92" t="str">
        <f>IF($AG111="","",P_StatusVastleg)</f>
        <v>Vastgesteld</v>
      </c>
      <c r="E111" s="92">
        <f>IF($AG111="","",P_UploadVJ)</f>
        <v>2026</v>
      </c>
      <c r="F111" s="92" t="str">
        <f>IF($AG111="","",P_UploadVersie)</f>
        <v>Q3</v>
      </c>
      <c r="G111" s="92">
        <f>IF($AG111="","",IF(COUNTIFS(L_Sleutel,$S111,L_Status,"Vastgesteld")=0,0,_xlfn.MAXIFS(L_Revisie,L_Sleutel,$S111,L_Status,"Vastgesteld")+1))</f>
        <v>1</v>
      </c>
      <c r="H111" s="108">
        <f>IF($AG111="","",P_Peildatum)</f>
        <v>46295.0</v>
      </c>
      <c r="I111" s="92">
        <f>IF($AG111="","",P_RJ+INDEX($AK$8:$AK$21,INDEX($AC$8:$AC$1407,$AG111)+1))</f>
        <v>2027</v>
      </c>
      <c r="J111" s="92" t="str">
        <f>IF($AG111="","",INDEX(V_WBS,INDEX($AB$8:$AB$1407,$AG111)))</f>
        <v>G.900008.8.9090</v>
      </c>
      <c r="K111" s="92" t="str">
        <f>IF($AG111="","",INDEX(V_Projdef,INDEX($AB$8:$AB$1407,$AG111)))</f>
        <v>G.900008</v>
      </c>
      <c r="L111" s="92" t="str">
        <f>IF($AG111="","",INDEX(V_Naam,INDEX($AB$8:$AB$1407,$AG111)))</f>
        <v>Lindehaven, De Brink</v>
      </c>
      <c r="M111" s="92" t="str">
        <f>IF($AG111="","",INDEX(V_Type,INDEX($AB$8:$AB$1407,$AG111)))</f>
        <v>Opstal</v>
      </c>
      <c r="N111" s="92" t="str">
        <f>IF($AG111="","",INDEX(V_IFRS,INDEX($AB$8:$AB$1407,$AG111)))</f>
        <v>J</v>
      </c>
      <c r="O111" s="92" t="str">
        <f>IF($AG111="","",INDEX($AL$8:$AL$21,INDEX($AC$8:$AC$1407,$AG111)+1))</f>
        <v>BOR FY</v>
      </c>
      <c r="P111" s="109">
        <f>IF($AG111="","",INDEX($AD$8:$AD$1407,$AG111))</f>
        <v>-215806.5</v>
      </c>
      <c r="Q111" s="92" t="str">
        <f>IF($AG111="","",INDEX($AM$8:$AM$21,INDEX($AC$8:$AC$1407,$AG111)+1))</f>
        <v>EUR</v>
      </c>
      <c r="R111" s="92" t="str">
        <f>IF($AG111="","",IF($G111&gt;0,P_ToelCorrectie&amp;"",""))</f>
        <v/>
      </c>
      <c r="S111" s="15" t="str">
        <f>IF(J111="","",J111&amp;"|"&amp;E111&amp;"|"&amp;F111&amp;"|"&amp;I111&amp;"|"&amp;O111)</f>
        <v>G.900008.8.9090|2026|Q3|2027|BOR FY</v>
      </c>
      <c r="T111" s="111">
        <f>IF(S111="","",IF(COUNTIFS(L_Sleutel,S111,L_Actief,1)=0,"",SUMIFS(L_Waarde,L_Sleutel,S111,L_Actief,1)))</f>
        <v>-215806.5</v>
      </c>
      <c r="U111" s="111">
        <f>IF(OR(S111="",T111=""),0,P111-T111)</f>
        <v>0</v>
      </c>
      <c r="AB111" s="112" t="n">
        <v>8</v>
      </c>
      <c r="AC111" s="112" t="n">
        <v>5</v>
      </c>
      <c r="AD111" s="112">
        <f>VERW_Project!S13</f>
        <v>-215806.5</v>
      </c>
      <c r="AE111" s="112">
        <f>IF(AND(VERW_Project!$A13&lt;&gt;"",ISNUMBER(AD111)),1,0)</f>
        <v>1</v>
      </c>
      <c r="AF111" s="112">
        <f>IF(AE111=1,SUM($AE$8:AE111),"")</f>
        <v>104</v>
      </c>
      <c r="AG111">
        <f>IFERROR(MATCH(104,$AF$8:$AF$1407,0),"")</f>
        <v>104</v>
      </c>
    </row>
    <row r="112">
      <c r="A112" s="92" t="str">
        <f>IF($AG112="","",P_ImportID)</f>
        <v>IMP-2026-Q3-01</v>
      </c>
      <c r="B112" s="92" t="str">
        <f>IF($AG112="","",IF(INDEX($AN$8:$AN$21,INDEX($AC$8:$AC$1407,$AG112)+1)="Z",P_BronZ,P_BronE))</f>
        <v>Woningetalage_FICTIEF_20_projecten.xlsx</v>
      </c>
      <c r="C112" s="108">
        <f>IF($AG112="","",P_Importdatum)</f>
        <v>46324.0</v>
      </c>
      <c r="D112" s="92" t="str">
        <f>IF($AG112="","",P_StatusVastleg)</f>
        <v>Vastgesteld</v>
      </c>
      <c r="E112" s="92">
        <f>IF($AG112="","",P_UploadVJ)</f>
        <v>2026</v>
      </c>
      <c r="F112" s="92" t="str">
        <f>IF($AG112="","",P_UploadVersie)</f>
        <v>Q3</v>
      </c>
      <c r="G112" s="92">
        <f>IF($AG112="","",IF(COUNTIFS(L_Sleutel,$S112,L_Status,"Vastgesteld")=0,0,_xlfn.MAXIFS(L_Revisie,L_Sleutel,$S112,L_Status,"Vastgesteld")+1))</f>
        <v>1</v>
      </c>
      <c r="H112" s="108">
        <f>IF($AG112="","",P_Peildatum)</f>
        <v>46295.0</v>
      </c>
      <c r="I112" s="92">
        <f>IF($AG112="","",P_RJ+INDEX($AK$8:$AK$21,INDEX($AC$8:$AC$1407,$AG112)+1))</f>
        <v>2026</v>
      </c>
      <c r="J112" s="92" t="str">
        <f>IF($AG112="","",INDEX(V_WBS,INDEX($AB$8:$AB$1407,$AG112)))</f>
        <v>G.900008.8.9090</v>
      </c>
      <c r="K112" s="92" t="str">
        <f>IF($AG112="","",INDEX(V_Projdef,INDEX($AB$8:$AB$1407,$AG112)))</f>
        <v>G.900008</v>
      </c>
      <c r="L112" s="92" t="str">
        <f>IF($AG112="","",INDEX(V_Naam,INDEX($AB$8:$AB$1407,$AG112)))</f>
        <v>Lindehaven, De Brink</v>
      </c>
      <c r="M112" s="92" t="str">
        <f>IF($AG112="","",INDEX(V_Type,INDEX($AB$8:$AB$1407,$AG112)))</f>
        <v>Opstal</v>
      </c>
      <c r="N112" s="92" t="str">
        <f>IF($AG112="","",INDEX(V_IFRS,INDEX($AB$8:$AB$1407,$AG112)))</f>
        <v>J</v>
      </c>
      <c r="O112" s="92" t="str">
        <f>IF($AG112="","",INDEX($AL$8:$AL$21,INDEX($AC$8:$AC$1407,$AG112)+1))</f>
        <v>Woningverkopen FY</v>
      </c>
      <c r="P112" s="109">
        <f>IF($AG112="","",INDEX($AD$8:$AD$1407,$AG112))</f>
        <v>14</v>
      </c>
      <c r="Q112" s="92" t="str">
        <f>IF($AG112="","",INDEX($AM$8:$AM$21,INDEX($AC$8:$AC$1407,$AG112)+1))</f>
        <v>aantal</v>
      </c>
      <c r="R112" s="92" t="str">
        <f>IF($AG112="","",IF($G112&gt;0,P_ToelCorrectie&amp;"",""))</f>
        <v/>
      </c>
      <c r="S112" s="15" t="str">
        <f>IF(J112="","",J112&amp;"|"&amp;E112&amp;"|"&amp;F112&amp;"|"&amp;I112&amp;"|"&amp;O112)</f>
        <v>G.900008.8.9090|2026|Q3|2026|Woningverkopen FY</v>
      </c>
      <c r="T112" s="111">
        <f>IF(S112="","",IF(COUNTIFS(L_Sleutel,S112,L_Actief,1)=0,"",SUMIFS(L_Waarde,L_Sleutel,S112,L_Actief,1)))</f>
        <v>14</v>
      </c>
      <c r="U112" s="111">
        <f>IF(OR(S112="",T112=""),0,P112-T112)</f>
        <v>0</v>
      </c>
      <c r="AB112" s="112" t="n">
        <v>8</v>
      </c>
      <c r="AC112" s="112" t="n">
        <v>6</v>
      </c>
      <c r="AD112" s="112">
        <f>VERW_Project!BW13</f>
        <v>14</v>
      </c>
      <c r="AE112" s="112">
        <f>IF(AND(VERW_Project!$A13&lt;&gt;"",ISNUMBER(AD112)),1,0)</f>
        <v>1</v>
      </c>
      <c r="AF112" s="112">
        <f>IF(AE112=1,SUM($AE$8:AE112),"")</f>
        <v>105</v>
      </c>
      <c r="AG112">
        <f>IFERROR(MATCH(105,$AF$8:$AF$1407,0),"")</f>
        <v>105</v>
      </c>
    </row>
    <row r="113">
      <c r="A113" s="92" t="str">
        <f>IF($AG113="","",P_ImportID)</f>
        <v>IMP-2026-Q3-01</v>
      </c>
      <c r="B113" s="92" t="str">
        <f>IF($AG113="","",IF(INDEX($AN$8:$AN$21,INDEX($AC$8:$AC$1407,$AG113)+1)="Z",P_BronZ,P_BronE))</f>
        <v>Woningetalage_FICTIEF_20_projecten.xlsx</v>
      </c>
      <c r="C113" s="108">
        <f>IF($AG113="","",P_Importdatum)</f>
        <v>46324.0</v>
      </c>
      <c r="D113" s="92" t="str">
        <f>IF($AG113="","",P_StatusVastleg)</f>
        <v>Vastgesteld</v>
      </c>
      <c r="E113" s="92">
        <f>IF($AG113="","",P_UploadVJ)</f>
        <v>2026</v>
      </c>
      <c r="F113" s="92" t="str">
        <f>IF($AG113="","",P_UploadVersie)</f>
        <v>Q3</v>
      </c>
      <c r="G113" s="92">
        <f>IF($AG113="","",IF(COUNTIFS(L_Sleutel,$S113,L_Status,"Vastgesteld")=0,0,_xlfn.MAXIFS(L_Revisie,L_Sleutel,$S113,L_Status,"Vastgesteld")+1))</f>
        <v>1</v>
      </c>
      <c r="H113" s="108">
        <f>IF($AG113="","",P_Peildatum)</f>
        <v>46295.0</v>
      </c>
      <c r="I113" s="92">
        <f>IF($AG113="","",P_RJ+INDEX($AK$8:$AK$21,INDEX($AC$8:$AC$1407,$AG113)+1))</f>
        <v>2026</v>
      </c>
      <c r="J113" s="92" t="str">
        <f>IF($AG113="","",INDEX(V_WBS,INDEX($AB$8:$AB$1407,$AG113)))</f>
        <v>G.900008.8.9090</v>
      </c>
      <c r="K113" s="92" t="str">
        <f>IF($AG113="","",INDEX(V_Projdef,INDEX($AB$8:$AB$1407,$AG113)))</f>
        <v>G.900008</v>
      </c>
      <c r="L113" s="92" t="str">
        <f>IF($AG113="","",INDEX(V_Naam,INDEX($AB$8:$AB$1407,$AG113)))</f>
        <v>Lindehaven, De Brink</v>
      </c>
      <c r="M113" s="92" t="str">
        <f>IF($AG113="","",INDEX(V_Type,INDEX($AB$8:$AB$1407,$AG113)))</f>
        <v>Opstal</v>
      </c>
      <c r="N113" s="92" t="str">
        <f>IF($AG113="","",INDEX(V_IFRS,INDEX($AB$8:$AB$1407,$AG113)))</f>
        <v>J</v>
      </c>
      <c r="O113" s="92" t="str">
        <f>IF($AG113="","",INDEX($AL$8:$AL$21,INDEX($AC$8:$AC$1407,$AG113)+1))</f>
        <v>Woningen verkocht t/m vorig jaar</v>
      </c>
      <c r="P113" s="109">
        <f>IF($AG113="","",INDEX($AD$8:$AD$1407,$AG113))</f>
        <v>0</v>
      </c>
      <c r="Q113" s="92" t="str">
        <f>IF($AG113="","",INDEX($AM$8:$AM$21,INDEX($AC$8:$AC$1407,$AG113)+1))</f>
        <v>aantal</v>
      </c>
      <c r="R113" s="92" t="str">
        <f>IF($AG113="","",IF($G113&gt;0,P_ToelCorrectie&amp;"",""))</f>
        <v/>
      </c>
      <c r="S113" s="15" t="str">
        <f>IF(J113="","",J113&amp;"|"&amp;E113&amp;"|"&amp;F113&amp;"|"&amp;I113&amp;"|"&amp;O113)</f>
        <v>G.900008.8.9090|2026|Q3|2026|Woningen verkocht t/m vorig jaar</v>
      </c>
      <c r="T113" s="111">
        <f>IF(S113="","",IF(COUNTIFS(L_Sleutel,S113,L_Actief,1)=0,"",SUMIFS(L_Waarde,L_Sleutel,S113,L_Actief,1)))</f>
        <v>0</v>
      </c>
      <c r="U113" s="111">
        <f>IF(OR(S113="",T113=""),0,P113-T113)</f>
        <v>0</v>
      </c>
      <c r="AB113" s="112" t="n">
        <v>8</v>
      </c>
      <c r="AC113" s="112" t="n">
        <v>7</v>
      </c>
      <c r="AD113" s="112">
        <f>VERW_Project!AW13</f>
        <v>0</v>
      </c>
      <c r="AE113" s="112">
        <f>IF(AND(VERW_Project!$A13&lt;&gt;"",ISNUMBER(AD113)),1,0)</f>
        <v>1</v>
      </c>
      <c r="AF113" s="112">
        <f>IF(AE113=1,SUM($AE$8:AE113),"")</f>
        <v>106</v>
      </c>
      <c r="AG113">
        <f>IFERROR(MATCH(106,$AF$8:$AF$1407,0),"")</f>
        <v>106</v>
      </c>
    </row>
    <row r="114">
      <c r="A114" s="92" t="str">
        <f>IF($AG114="","",P_ImportID)</f>
        <v>IMP-2026-Q3-01</v>
      </c>
      <c r="B114" s="92" t="str">
        <f>IF($AG114="","",IF(INDEX($AN$8:$AN$21,INDEX($AC$8:$AC$1407,$AG114)+1)="Z",P_BronZ,P_BronE))</f>
        <v>Woningetalage_FICTIEF_20_projecten.xlsx</v>
      </c>
      <c r="C114" s="108">
        <f>IF($AG114="","",P_Importdatum)</f>
        <v>46324.0</v>
      </c>
      <c r="D114" s="92" t="str">
        <f>IF($AG114="","",P_StatusVastleg)</f>
        <v>Vastgesteld</v>
      </c>
      <c r="E114" s="92">
        <f>IF($AG114="","",P_UploadVJ)</f>
        <v>2026</v>
      </c>
      <c r="F114" s="92" t="str">
        <f>IF($AG114="","",P_UploadVersie)</f>
        <v>Q3</v>
      </c>
      <c r="G114" s="92">
        <f>IF($AG114="","",IF(COUNTIFS(L_Sleutel,$S114,L_Status,"Vastgesteld")=0,0,_xlfn.MAXIFS(L_Revisie,L_Sleutel,$S114,L_Status,"Vastgesteld")+1))</f>
        <v>1</v>
      </c>
      <c r="H114" s="108">
        <f>IF($AG114="","",P_Peildatum)</f>
        <v>46295.0</v>
      </c>
      <c r="I114" s="92">
        <f>IF($AG114="","",P_RJ+INDEX($AK$8:$AK$21,INDEX($AC$8:$AC$1407,$AG114)+1))</f>
        <v>2026</v>
      </c>
      <c r="J114" s="92" t="str">
        <f>IF($AG114="","",INDEX(V_WBS,INDEX($AB$8:$AB$1407,$AG114)))</f>
        <v>G.900008.8.9090</v>
      </c>
      <c r="K114" s="92" t="str">
        <f>IF($AG114="","",INDEX(V_Projdef,INDEX($AB$8:$AB$1407,$AG114)))</f>
        <v>G.900008</v>
      </c>
      <c r="L114" s="92" t="str">
        <f>IF($AG114="","",INDEX(V_Naam,INDEX($AB$8:$AB$1407,$AG114)))</f>
        <v>Lindehaven, De Brink</v>
      </c>
      <c r="M114" s="92" t="str">
        <f>IF($AG114="","",INDEX(V_Type,INDEX($AB$8:$AB$1407,$AG114)))</f>
        <v>Opstal</v>
      </c>
      <c r="N114" s="92" t="str">
        <f>IF($AG114="","",INDEX(V_IFRS,INDEX($AB$8:$AB$1407,$AG114)))</f>
        <v>J</v>
      </c>
      <c r="O114" s="92" t="str">
        <f>IF($AG114="","",INDEX($AL$8:$AL$21,INDEX($AC$8:$AC$1407,$AG114)+1))</f>
        <v>Woningverkopen Q1</v>
      </c>
      <c r="P114" s="109">
        <f>IF($AG114="","",INDEX($AD$8:$AD$1407,$AG114))</f>
        <v>1</v>
      </c>
      <c r="Q114" s="92" t="str">
        <f>IF($AG114="","",INDEX($AM$8:$AM$21,INDEX($AC$8:$AC$1407,$AG114)+1))</f>
        <v>aantal</v>
      </c>
      <c r="R114" s="92" t="str">
        <f>IF($AG114="","",IF($G114&gt;0,P_ToelCorrectie&amp;"",""))</f>
        <v/>
      </c>
      <c r="S114" s="15" t="str">
        <f>IF(J114="","",J114&amp;"|"&amp;E114&amp;"|"&amp;F114&amp;"|"&amp;I114&amp;"|"&amp;O114)</f>
        <v>G.900008.8.9090|2026|Q3|2026|Woningverkopen Q1</v>
      </c>
      <c r="T114" s="111">
        <f>IF(S114="","",IF(COUNTIFS(L_Sleutel,S114,L_Actief,1)=0,"",SUMIFS(L_Waarde,L_Sleutel,S114,L_Actief,1)))</f>
        <v>1</v>
      </c>
      <c r="U114" s="111">
        <f>IF(OR(S114="",T114=""),0,P114-T114)</f>
        <v>0</v>
      </c>
      <c r="AB114" s="112" t="n">
        <v>8</v>
      </c>
      <c r="AC114" s="112" t="n">
        <v>8</v>
      </c>
      <c r="AD114" s="112">
        <f>VERW_Project!BQ13</f>
        <v>1</v>
      </c>
      <c r="AE114" s="112">
        <f>IF(AND(VERW_Project!$A13&lt;&gt;"",ISNUMBER(AD114)),1,0)</f>
        <v>1</v>
      </c>
      <c r="AF114" s="112">
        <f>IF(AE114=1,SUM($AE$8:AE114),"")</f>
        <v>107</v>
      </c>
      <c r="AG114">
        <f>IFERROR(MATCH(107,$AF$8:$AF$1407,0),"")</f>
        <v>107</v>
      </c>
    </row>
    <row r="115">
      <c r="A115" s="92" t="str">
        <f>IF($AG115="","",P_ImportID)</f>
        <v>IMP-2026-Q3-01</v>
      </c>
      <c r="B115" s="92" t="str">
        <f>IF($AG115="","",IF(INDEX($AN$8:$AN$21,INDEX($AC$8:$AC$1407,$AG115)+1)="Z",P_BronZ,P_BronE))</f>
        <v>Woningetalage_FICTIEF_20_projecten.xlsx</v>
      </c>
      <c r="C115" s="108">
        <f>IF($AG115="","",P_Importdatum)</f>
        <v>46324.0</v>
      </c>
      <c r="D115" s="92" t="str">
        <f>IF($AG115="","",P_StatusVastleg)</f>
        <v>Vastgesteld</v>
      </c>
      <c r="E115" s="92">
        <f>IF($AG115="","",P_UploadVJ)</f>
        <v>2026</v>
      </c>
      <c r="F115" s="92" t="str">
        <f>IF($AG115="","",P_UploadVersie)</f>
        <v>Q3</v>
      </c>
      <c r="G115" s="92">
        <f>IF($AG115="","",IF(COUNTIFS(L_Sleutel,$S115,L_Status,"Vastgesteld")=0,0,_xlfn.MAXIFS(L_Revisie,L_Sleutel,$S115,L_Status,"Vastgesteld")+1))</f>
        <v>1</v>
      </c>
      <c r="H115" s="108">
        <f>IF($AG115="","",P_Peildatum)</f>
        <v>46295.0</v>
      </c>
      <c r="I115" s="92">
        <f>IF($AG115="","",P_RJ+INDEX($AK$8:$AK$21,INDEX($AC$8:$AC$1407,$AG115)+1))</f>
        <v>2026</v>
      </c>
      <c r="J115" s="92" t="str">
        <f>IF($AG115="","",INDEX(V_WBS,INDEX($AB$8:$AB$1407,$AG115)))</f>
        <v>G.900008.8.9090</v>
      </c>
      <c r="K115" s="92" t="str">
        <f>IF($AG115="","",INDEX(V_Projdef,INDEX($AB$8:$AB$1407,$AG115)))</f>
        <v>G.900008</v>
      </c>
      <c r="L115" s="92" t="str">
        <f>IF($AG115="","",INDEX(V_Naam,INDEX($AB$8:$AB$1407,$AG115)))</f>
        <v>Lindehaven, De Brink</v>
      </c>
      <c r="M115" s="92" t="str">
        <f>IF($AG115="","",INDEX(V_Type,INDEX($AB$8:$AB$1407,$AG115)))</f>
        <v>Opstal</v>
      </c>
      <c r="N115" s="92" t="str">
        <f>IF($AG115="","",INDEX(V_IFRS,INDEX($AB$8:$AB$1407,$AG115)))</f>
        <v>J</v>
      </c>
      <c r="O115" s="92" t="str">
        <f>IF($AG115="","",INDEX($AL$8:$AL$21,INDEX($AC$8:$AC$1407,$AG115)+1))</f>
        <v>Woningverkopen Q2</v>
      </c>
      <c r="P115" s="109">
        <f>IF($AG115="","",INDEX($AD$8:$AD$1407,$AG115))</f>
        <v>3</v>
      </c>
      <c r="Q115" s="92" t="str">
        <f>IF($AG115="","",INDEX($AM$8:$AM$21,INDEX($AC$8:$AC$1407,$AG115)+1))</f>
        <v>aantal</v>
      </c>
      <c r="R115" s="92" t="str">
        <f>IF($AG115="","",IF($G115&gt;0,P_ToelCorrectie&amp;"",""))</f>
        <v/>
      </c>
      <c r="S115" s="15" t="str">
        <f>IF(J115="","",J115&amp;"|"&amp;E115&amp;"|"&amp;F115&amp;"|"&amp;I115&amp;"|"&amp;O115)</f>
        <v>G.900008.8.9090|2026|Q3|2026|Woningverkopen Q2</v>
      </c>
      <c r="T115" s="111">
        <f>IF(S115="","",IF(COUNTIFS(L_Sleutel,S115,L_Actief,1)=0,"",SUMIFS(L_Waarde,L_Sleutel,S115,L_Actief,1)))</f>
        <v>3</v>
      </c>
      <c r="U115" s="111">
        <f>IF(OR(S115="",T115=""),0,P115-T115)</f>
        <v>0</v>
      </c>
      <c r="AB115" s="112" t="n">
        <v>8</v>
      </c>
      <c r="AC115" s="112" t="n">
        <v>9</v>
      </c>
      <c r="AD115" s="112">
        <f>VERW_Project!BR13</f>
        <v>3</v>
      </c>
      <c r="AE115" s="112">
        <f>IF(AND(VERW_Project!$A13&lt;&gt;"",ISNUMBER(AD115)),1,0)</f>
        <v>1</v>
      </c>
      <c r="AF115" s="112">
        <f>IF(AE115=1,SUM($AE$8:AE115),"")</f>
        <v>108</v>
      </c>
      <c r="AG115">
        <f>IFERROR(MATCH(108,$AF$8:$AF$1407,0),"")</f>
        <v>108</v>
      </c>
    </row>
    <row r="116">
      <c r="A116" s="92" t="str">
        <f>IF($AG116="","",P_ImportID)</f>
        <v>IMP-2026-Q3-01</v>
      </c>
      <c r="B116" s="92" t="str">
        <f>IF($AG116="","",IF(INDEX($AN$8:$AN$21,INDEX($AC$8:$AC$1407,$AG116)+1)="Z",P_BronZ,P_BronE))</f>
        <v>Woningetalage_FICTIEF_20_projecten.xlsx</v>
      </c>
      <c r="C116" s="108">
        <f>IF($AG116="","",P_Importdatum)</f>
        <v>46324.0</v>
      </c>
      <c r="D116" s="92" t="str">
        <f>IF($AG116="","",P_StatusVastleg)</f>
        <v>Vastgesteld</v>
      </c>
      <c r="E116" s="92">
        <f>IF($AG116="","",P_UploadVJ)</f>
        <v>2026</v>
      </c>
      <c r="F116" s="92" t="str">
        <f>IF($AG116="","",P_UploadVersie)</f>
        <v>Q3</v>
      </c>
      <c r="G116" s="92">
        <f>IF($AG116="","",IF(COUNTIFS(L_Sleutel,$S116,L_Status,"Vastgesteld")=0,0,_xlfn.MAXIFS(L_Revisie,L_Sleutel,$S116,L_Status,"Vastgesteld")+1))</f>
        <v>1</v>
      </c>
      <c r="H116" s="108">
        <f>IF($AG116="","",P_Peildatum)</f>
        <v>46295.0</v>
      </c>
      <c r="I116" s="92">
        <f>IF($AG116="","",P_RJ+INDEX($AK$8:$AK$21,INDEX($AC$8:$AC$1407,$AG116)+1))</f>
        <v>2026</v>
      </c>
      <c r="J116" s="92" t="str">
        <f>IF($AG116="","",INDEX(V_WBS,INDEX($AB$8:$AB$1407,$AG116)))</f>
        <v>G.900008.8.9090</v>
      </c>
      <c r="K116" s="92" t="str">
        <f>IF($AG116="","",INDEX(V_Projdef,INDEX($AB$8:$AB$1407,$AG116)))</f>
        <v>G.900008</v>
      </c>
      <c r="L116" s="92" t="str">
        <f>IF($AG116="","",INDEX(V_Naam,INDEX($AB$8:$AB$1407,$AG116)))</f>
        <v>Lindehaven, De Brink</v>
      </c>
      <c r="M116" s="92" t="str">
        <f>IF($AG116="","",INDEX(V_Type,INDEX($AB$8:$AB$1407,$AG116)))</f>
        <v>Opstal</v>
      </c>
      <c r="N116" s="92" t="str">
        <f>IF($AG116="","",INDEX(V_IFRS,INDEX($AB$8:$AB$1407,$AG116)))</f>
        <v>J</v>
      </c>
      <c r="O116" s="92" t="str">
        <f>IF($AG116="","",INDEX($AL$8:$AL$21,INDEX($AC$8:$AC$1407,$AG116)+1))</f>
        <v>Woningverkopen Q3</v>
      </c>
      <c r="P116" s="109">
        <f>IF($AG116="","",INDEX($AD$8:$AD$1407,$AG116))</f>
        <v>3</v>
      </c>
      <c r="Q116" s="92" t="str">
        <f>IF($AG116="","",INDEX($AM$8:$AM$21,INDEX($AC$8:$AC$1407,$AG116)+1))</f>
        <v>aantal</v>
      </c>
      <c r="R116" s="92" t="str">
        <f>IF($AG116="","",IF($G116&gt;0,P_ToelCorrectie&amp;"",""))</f>
        <v/>
      </c>
      <c r="S116" s="15" t="str">
        <f>IF(J116="","",J116&amp;"|"&amp;E116&amp;"|"&amp;F116&amp;"|"&amp;I116&amp;"|"&amp;O116)</f>
        <v>G.900008.8.9090|2026|Q3|2026|Woningverkopen Q3</v>
      </c>
      <c r="T116" s="111">
        <f>IF(S116="","",IF(COUNTIFS(L_Sleutel,S116,L_Actief,1)=0,"",SUMIFS(L_Waarde,L_Sleutel,S116,L_Actief,1)))</f>
        <v>3</v>
      </c>
      <c r="U116" s="111">
        <f>IF(OR(S116="",T116=""),0,P116-T116)</f>
        <v>0</v>
      </c>
      <c r="AB116" s="112" t="n">
        <v>8</v>
      </c>
      <c r="AC116" s="112" t="n">
        <v>10</v>
      </c>
      <c r="AD116" s="112">
        <f>VERW_Project!BS13</f>
        <v>3</v>
      </c>
      <c r="AE116" s="112">
        <f>IF(AND(VERW_Project!$A13&lt;&gt;"",ISNUMBER(AD116)),1,0)</f>
        <v>1</v>
      </c>
      <c r="AF116" s="112">
        <f>IF(AE116=1,SUM($AE$8:AE116),"")</f>
        <v>109</v>
      </c>
      <c r="AG116">
        <f>IFERROR(MATCH(109,$AF$8:$AF$1407,0),"")</f>
        <v>109</v>
      </c>
    </row>
    <row r="117">
      <c r="A117" s="92" t="str">
        <f>IF($AG117="","",P_ImportID)</f>
        <v>IMP-2026-Q3-01</v>
      </c>
      <c r="B117" s="92" t="str">
        <f>IF($AG117="","",IF(INDEX($AN$8:$AN$21,INDEX($AC$8:$AC$1407,$AG117)+1)="Z",P_BronZ,P_BronE))</f>
        <v>Woningetalage_FICTIEF_20_projecten.xlsx</v>
      </c>
      <c r="C117" s="108">
        <f>IF($AG117="","",P_Importdatum)</f>
        <v>46324.0</v>
      </c>
      <c r="D117" s="92" t="str">
        <f>IF($AG117="","",P_StatusVastleg)</f>
        <v>Vastgesteld</v>
      </c>
      <c r="E117" s="92">
        <f>IF($AG117="","",P_UploadVJ)</f>
        <v>2026</v>
      </c>
      <c r="F117" s="92" t="str">
        <f>IF($AG117="","",P_UploadVersie)</f>
        <v>Q3</v>
      </c>
      <c r="G117" s="92">
        <f>IF($AG117="","",IF(COUNTIFS(L_Sleutel,$S117,L_Status,"Vastgesteld")=0,0,_xlfn.MAXIFS(L_Revisie,L_Sleutel,$S117,L_Status,"Vastgesteld")+1))</f>
        <v>1</v>
      </c>
      <c r="H117" s="108">
        <f>IF($AG117="","",P_Peildatum)</f>
        <v>46295.0</v>
      </c>
      <c r="I117" s="92">
        <f>IF($AG117="","",P_RJ+INDEX($AK$8:$AK$21,INDEX($AC$8:$AC$1407,$AG117)+1))</f>
        <v>2026</v>
      </c>
      <c r="J117" s="92" t="str">
        <f>IF($AG117="","",INDEX(V_WBS,INDEX($AB$8:$AB$1407,$AG117)))</f>
        <v>G.900008.8.9090</v>
      </c>
      <c r="K117" s="92" t="str">
        <f>IF($AG117="","",INDEX(V_Projdef,INDEX($AB$8:$AB$1407,$AG117)))</f>
        <v>G.900008</v>
      </c>
      <c r="L117" s="92" t="str">
        <f>IF($AG117="","",INDEX(V_Naam,INDEX($AB$8:$AB$1407,$AG117)))</f>
        <v>Lindehaven, De Brink</v>
      </c>
      <c r="M117" s="92" t="str">
        <f>IF($AG117="","",INDEX(V_Type,INDEX($AB$8:$AB$1407,$AG117)))</f>
        <v>Opstal</v>
      </c>
      <c r="N117" s="92" t="str">
        <f>IF($AG117="","",INDEX(V_IFRS,INDEX($AB$8:$AB$1407,$AG117)))</f>
        <v>J</v>
      </c>
      <c r="O117" s="92" t="str">
        <f>IF($AG117="","",INDEX($AL$8:$AL$21,INDEX($AC$8:$AC$1407,$AG117)+1))</f>
        <v>Woningverkopen Q4</v>
      </c>
      <c r="P117" s="109">
        <f>IF($AG117="","",INDEX($AD$8:$AD$1407,$AG117))</f>
        <v>7</v>
      </c>
      <c r="Q117" s="92" t="str">
        <f>IF($AG117="","",INDEX($AM$8:$AM$21,INDEX($AC$8:$AC$1407,$AG117)+1))</f>
        <v>aantal</v>
      </c>
      <c r="R117" s="92" t="str">
        <f>IF($AG117="","",IF($G117&gt;0,P_ToelCorrectie&amp;"",""))</f>
        <v/>
      </c>
      <c r="S117" s="15" t="str">
        <f>IF(J117="","",J117&amp;"|"&amp;E117&amp;"|"&amp;F117&amp;"|"&amp;I117&amp;"|"&amp;O117)</f>
        <v>G.900008.8.9090|2026|Q3|2026|Woningverkopen Q4</v>
      </c>
      <c r="T117" s="111">
        <f>IF(S117="","",IF(COUNTIFS(L_Sleutel,S117,L_Actief,1)=0,"",SUMIFS(L_Waarde,L_Sleutel,S117,L_Actief,1)))</f>
        <v>7</v>
      </c>
      <c r="U117" s="111">
        <f>IF(OR(S117="",T117=""),0,P117-T117)</f>
        <v>0</v>
      </c>
      <c r="AB117" s="112" t="n">
        <v>8</v>
      </c>
      <c r="AC117" s="112" t="n">
        <v>11</v>
      </c>
      <c r="AD117" s="112">
        <f>VERW_Project!BT13</f>
        <v>7</v>
      </c>
      <c r="AE117" s="112">
        <f>IF(AND(VERW_Project!$A13&lt;&gt;"",ISNUMBER(AD117)),1,0)</f>
        <v>1</v>
      </c>
      <c r="AF117" s="112">
        <f>IF(AE117=1,SUM($AE$8:AE117),"")</f>
        <v>110</v>
      </c>
      <c r="AG117">
        <f>IFERROR(MATCH(110,$AF$8:$AF$1407,0),"")</f>
        <v>110</v>
      </c>
    </row>
    <row r="118">
      <c r="A118" s="92" t="str">
        <f>IF($AG118="","",P_ImportID)</f>
        <v>IMP-2026-Q3-01</v>
      </c>
      <c r="B118" s="92" t="str">
        <f>IF($AG118="","",IF(INDEX($AN$8:$AN$21,INDEX($AC$8:$AC$1407,$AG118)+1)="Z",P_BronZ,P_BronE))</f>
        <v>Woningetalage_FICTIEF_20_projecten.xlsx</v>
      </c>
      <c r="C118" s="108">
        <f>IF($AG118="","",P_Importdatum)</f>
        <v>46324.0</v>
      </c>
      <c r="D118" s="92" t="str">
        <f>IF($AG118="","",P_StatusVastleg)</f>
        <v>Vastgesteld</v>
      </c>
      <c r="E118" s="92">
        <f>IF($AG118="","",P_UploadVJ)</f>
        <v>2026</v>
      </c>
      <c r="F118" s="92" t="str">
        <f>IF($AG118="","",P_UploadVersie)</f>
        <v>Q3</v>
      </c>
      <c r="G118" s="92">
        <f>IF($AG118="","",IF(COUNTIFS(L_Sleutel,$S118,L_Status,"Vastgesteld")=0,0,_xlfn.MAXIFS(L_Revisie,L_Sleutel,$S118,L_Status,"Vastgesteld")+1))</f>
        <v>1</v>
      </c>
      <c r="H118" s="108">
        <f>IF($AG118="","",P_Peildatum)</f>
        <v>46295.0</v>
      </c>
      <c r="I118" s="92">
        <f>IF($AG118="","",P_RJ+INDEX($AK$8:$AK$21,INDEX($AC$8:$AC$1407,$AG118)+1))</f>
        <v>2026</v>
      </c>
      <c r="J118" s="92" t="str">
        <f>IF($AG118="","",INDEX(V_WBS,INDEX($AB$8:$AB$1407,$AG118)))</f>
        <v>G.900008.8.9090</v>
      </c>
      <c r="K118" s="92" t="str">
        <f>IF($AG118="","",INDEX(V_Projdef,INDEX($AB$8:$AB$1407,$AG118)))</f>
        <v>G.900008</v>
      </c>
      <c r="L118" s="92" t="str">
        <f>IF($AG118="","",INDEX(V_Naam,INDEX($AB$8:$AB$1407,$AG118)))</f>
        <v>Lindehaven, De Brink</v>
      </c>
      <c r="M118" s="92" t="str">
        <f>IF($AG118="","",INDEX(V_Type,INDEX($AB$8:$AB$1407,$AG118)))</f>
        <v>Opstal</v>
      </c>
      <c r="N118" s="92" t="str">
        <f>IF($AG118="","",INDEX(V_IFRS,INDEX($AB$8:$AB$1407,$AG118)))</f>
        <v>J</v>
      </c>
      <c r="O118" s="92" t="str">
        <f>IF($AG118="","",INDEX($AL$8:$AL$21,INDEX($AC$8:$AC$1407,$AG118)+1))</f>
        <v>Woningverkopen actual YTD</v>
      </c>
      <c r="P118" s="109">
        <f>IF($AG118="","",INDEX($AD$8:$AD$1407,$AG118))</f>
        <v>7</v>
      </c>
      <c r="Q118" s="92" t="str">
        <f>IF($AG118="","",INDEX($AM$8:$AM$21,INDEX($AC$8:$AC$1407,$AG118)+1))</f>
        <v>aantal</v>
      </c>
      <c r="R118" s="92" t="str">
        <f>IF($AG118="","",IF($G118&gt;0,P_ToelCorrectie&amp;"",""))</f>
        <v/>
      </c>
      <c r="S118" s="15" t="str">
        <f>IF(J118="","",J118&amp;"|"&amp;E118&amp;"|"&amp;F118&amp;"|"&amp;I118&amp;"|"&amp;O118)</f>
        <v>G.900008.8.9090|2026|Q3|2026|Woningverkopen actual YTD</v>
      </c>
      <c r="T118" s="111">
        <f>IF(S118="","",IF(COUNTIFS(L_Sleutel,S118,L_Actief,1)=0,"",SUMIFS(L_Waarde,L_Sleutel,S118,L_Actief,1)))</f>
        <v>7</v>
      </c>
      <c r="U118" s="111">
        <f>IF(OR(S118="",T118=""),0,P118-T118)</f>
        <v>0</v>
      </c>
      <c r="AB118" s="112" t="n">
        <v>8</v>
      </c>
      <c r="AC118" s="112" t="n">
        <v>12</v>
      </c>
      <c r="AD118" s="112">
        <f>VERW_Project!BU13</f>
        <v>7</v>
      </c>
      <c r="AE118" s="112">
        <f>IF(AND(VERW_Project!$A13&lt;&gt;"",ISNUMBER(AD118)),1,0)</f>
        <v>1</v>
      </c>
      <c r="AF118" s="112">
        <f>IF(AE118=1,SUM($AE$8:AE118),"")</f>
        <v>111</v>
      </c>
      <c r="AG118">
        <f>IFERROR(MATCH(111,$AF$8:$AF$1407,0),"")</f>
        <v>111</v>
      </c>
    </row>
    <row r="119">
      <c r="A119" s="92" t="str">
        <f>IF($AG119="","",P_ImportID)</f>
        <v>IMP-2026-Q3-01</v>
      </c>
      <c r="B119" s="92" t="str">
        <f>IF($AG119="","",IF(INDEX($AN$8:$AN$21,INDEX($AC$8:$AC$1407,$AG119)+1)="Z",P_BronZ,P_BronE))</f>
        <v>Woningetalage_FICTIEF_20_projecten.xlsx</v>
      </c>
      <c r="C119" s="108">
        <f>IF($AG119="","",P_Importdatum)</f>
        <v>46324.0</v>
      </c>
      <c r="D119" s="92" t="str">
        <f>IF($AG119="","",P_StatusVastleg)</f>
        <v>Vastgesteld</v>
      </c>
      <c r="E119" s="92">
        <f>IF($AG119="","",P_UploadVJ)</f>
        <v>2026</v>
      </c>
      <c r="F119" s="92" t="str">
        <f>IF($AG119="","",P_UploadVersie)</f>
        <v>Q3</v>
      </c>
      <c r="G119" s="92">
        <f>IF($AG119="","",IF(COUNTIFS(L_Sleutel,$S119,L_Status,"Vastgesteld")=0,0,_xlfn.MAXIFS(L_Revisie,L_Sleutel,$S119,L_Status,"Vastgesteld")+1))</f>
        <v>0</v>
      </c>
      <c r="H119" s="108">
        <f>IF($AG119="","",P_Peildatum)</f>
        <v>46295.0</v>
      </c>
      <c r="I119" s="92">
        <f>IF($AG119="","",P_RJ+INDEX($AK$8:$AK$21,INDEX($AC$8:$AC$1407,$AG119)+1))</f>
        <v>2027</v>
      </c>
      <c r="J119" s="92" t="str">
        <f>IF($AG119="","",INDEX(V_WBS,INDEX($AB$8:$AB$1407,$AG119)))</f>
        <v>G.900008.8.9090</v>
      </c>
      <c r="K119" s="92" t="str">
        <f>IF($AG119="","",INDEX(V_Projdef,INDEX($AB$8:$AB$1407,$AG119)))</f>
        <v>G.900008</v>
      </c>
      <c r="L119" s="92" t="str">
        <f>IF($AG119="","",INDEX(V_Naam,INDEX($AB$8:$AB$1407,$AG119)))</f>
        <v>Lindehaven, De Brink</v>
      </c>
      <c r="M119" s="92" t="str">
        <f>IF($AG119="","",INDEX(V_Type,INDEX($AB$8:$AB$1407,$AG119)))</f>
        <v>Opstal</v>
      </c>
      <c r="N119" s="92" t="str">
        <f>IF($AG119="","",INDEX(V_IFRS,INDEX($AB$8:$AB$1407,$AG119)))</f>
        <v>J</v>
      </c>
      <c r="O119" s="92" t="str">
        <f>IF($AG119="","",INDEX($AL$8:$AL$21,INDEX($AC$8:$AC$1407,$AG119)+1))</f>
        <v>Woningverkopen FY</v>
      </c>
      <c r="P119" s="109">
        <f>IF($AG119="","",INDEX($AD$8:$AD$1407,$AG119))</f>
        <v>18</v>
      </c>
      <c r="Q119" s="92" t="str">
        <f>IF($AG119="","",INDEX($AM$8:$AM$21,INDEX($AC$8:$AC$1407,$AG119)+1))</f>
        <v>aantal</v>
      </c>
      <c r="R119" s="92" t="str">
        <f>IF($AG119="","",IF($G119&gt;0,P_ToelCorrectie&amp;"",""))</f>
        <v/>
      </c>
      <c r="S119" s="15" t="str">
        <f>IF(J119="","",J119&amp;"|"&amp;E119&amp;"|"&amp;F119&amp;"|"&amp;I119&amp;"|"&amp;O119)</f>
        <v>G.900008.8.9090|2026|Q3|2027|Woningverkopen FY</v>
      </c>
      <c r="T119" s="111" t="str">
        <f>IF(S119="","",IF(COUNTIFS(L_Sleutel,S119,L_Actief,1)=0,"",SUMIFS(L_Waarde,L_Sleutel,S119,L_Actief,1)))</f>
        <v/>
      </c>
      <c r="U119" s="111">
        <f>IF(OR(S119="",T119=""),0,P119-T119)</f>
        <v>0</v>
      </c>
      <c r="AB119" s="112" t="n">
        <v>8</v>
      </c>
      <c r="AC119" s="112" t="n">
        <v>13</v>
      </c>
      <c r="AD119" s="112">
        <f>VERW_Project!BX13</f>
        <v>18</v>
      </c>
      <c r="AE119" s="112">
        <f>IF(AND(VERW_Project!$A13&lt;&gt;"",ISNUMBER(AD119)),1,0)</f>
        <v>1</v>
      </c>
      <c r="AF119" s="112">
        <f>IF(AE119=1,SUM($AE$8:AE119),"")</f>
        <v>112</v>
      </c>
      <c r="AG119">
        <f>IFERROR(MATCH(112,$AF$8:$AF$1407,0),"")</f>
        <v>112</v>
      </c>
    </row>
    <row r="120">
      <c r="A120" s="92" t="str">
        <f>IF($AG120="","",P_ImportID)</f>
        <v>IMP-2026-Q3-01</v>
      </c>
      <c r="B120" s="92" t="str">
        <f>IF($AG120="","",IF(INDEX($AN$8:$AN$21,INDEX($AC$8:$AC$1407,$AG120)+1)="Z",P_BronZ,P_BronE))</f>
        <v>ZPMW03_FICTIEF_20_projecten.xlsx</v>
      </c>
      <c r="C120" s="108">
        <f>IF($AG120="","",P_Importdatum)</f>
        <v>46324.0</v>
      </c>
      <c r="D120" s="92" t="str">
        <f>IF($AG120="","",P_StatusVastleg)</f>
        <v>Vastgesteld</v>
      </c>
      <c r="E120" s="92">
        <f>IF($AG120="","",P_UploadVJ)</f>
        <v>2026</v>
      </c>
      <c r="F120" s="92" t="str">
        <f>IF($AG120="","",P_UploadVersie)</f>
        <v>Q3</v>
      </c>
      <c r="G120" s="92">
        <f>IF($AG120="","",IF(COUNTIFS(L_Sleutel,$S120,L_Status,"Vastgesteld")=0,0,_xlfn.MAXIFS(L_Revisie,L_Sleutel,$S120,L_Status,"Vastgesteld")+1))</f>
        <v>1</v>
      </c>
      <c r="H120" s="108">
        <f>IF($AG120="","",P_Peildatum)</f>
        <v>46295.0</v>
      </c>
      <c r="I120" s="92">
        <f>IF($AG120="","",P_RJ+INDEX($AK$8:$AK$21,INDEX($AC$8:$AC$1407,$AG120)+1))</f>
        <v>2026</v>
      </c>
      <c r="J120" s="92" t="str">
        <f>IF($AG120="","",INDEX(V_WBS,INDEX($AB$8:$AB$1407,$AG120)))</f>
        <v>G.900009.8.9090</v>
      </c>
      <c r="K120" s="92" t="str">
        <f>IF($AG120="","",INDEX(V_Projdef,INDEX($AB$8:$AB$1407,$AG120)))</f>
        <v>G.900009</v>
      </c>
      <c r="L120" s="92" t="str">
        <f>IF($AG120="","",INDEX(V_Naam,INDEX($AB$8:$AB$1407,$AG120)))</f>
        <v>Duinwaard, Duinrand</v>
      </c>
      <c r="M120" s="92" t="str">
        <f>IF($AG120="","",INDEX(V_Type,INDEX($AB$8:$AB$1407,$AG120)))</f>
        <v>Opstal</v>
      </c>
      <c r="N120" s="92" t="str">
        <f>IF($AG120="","",INDEX(V_IFRS,INDEX($AB$8:$AB$1407,$AG120)))</f>
        <v>J</v>
      </c>
      <c r="O120" s="92" t="str">
        <f>IF($AG120="","",INDEX($AL$8:$AL$21,INDEX($AC$8:$AC$1407,$AG120)+1))</f>
        <v>Omzet FY</v>
      </c>
      <c r="P120" s="109">
        <f>IF($AG120="","",INDEX($AD$8:$AD$1407,$AG120))</f>
        <v>16632000</v>
      </c>
      <c r="Q120" s="92" t="str">
        <f>IF($AG120="","",INDEX($AM$8:$AM$21,INDEX($AC$8:$AC$1407,$AG120)+1))</f>
        <v>EUR</v>
      </c>
      <c r="R120" s="92" t="str">
        <f>IF($AG120="","",IF($G120&gt;0,P_ToelCorrectie&amp;"",""))</f>
        <v/>
      </c>
      <c r="S120" s="15" t="str">
        <f>IF(J120="","",J120&amp;"|"&amp;E120&amp;"|"&amp;F120&amp;"|"&amp;I120&amp;"|"&amp;O120)</f>
        <v>G.900009.8.9090|2026|Q3|2026|Omzet FY</v>
      </c>
      <c r="T120" s="111">
        <f>IF(S120="","",IF(COUNTIFS(L_Sleutel,S120,L_Actief,1)=0,"",SUMIFS(L_Waarde,L_Sleutel,S120,L_Actief,1)))</f>
        <v>16632000</v>
      </c>
      <c r="U120" s="111">
        <f>IF(OR(S120="",T120=""),0,P120-T120)</f>
        <v>0</v>
      </c>
      <c r="AB120" s="112" t="n">
        <v>9</v>
      </c>
      <c r="AC120" s="112" t="n">
        <v>0</v>
      </c>
      <c r="AD120" s="112">
        <f>VERW_Project!P14</f>
        <v>16632000</v>
      </c>
      <c r="AE120" s="112">
        <f>IF(AND(VERW_Project!$A14&lt;&gt;"",ISNUMBER(AD120)),1,0)</f>
        <v>1</v>
      </c>
      <c r="AF120" s="112">
        <f>IF(AE120=1,SUM($AE$8:AE120),"")</f>
        <v>113</v>
      </c>
      <c r="AG120">
        <f>IFERROR(MATCH(113,$AF$8:$AF$1407,0),"")</f>
        <v>113</v>
      </c>
    </row>
    <row r="121">
      <c r="A121" s="92" t="str">
        <f>IF($AG121="","",P_ImportID)</f>
        <v>IMP-2026-Q3-01</v>
      </c>
      <c r="B121" s="92" t="str">
        <f>IF($AG121="","",IF(INDEX($AN$8:$AN$21,INDEX($AC$8:$AC$1407,$AG121)+1)="Z",P_BronZ,P_BronE))</f>
        <v>ZPMW03_FICTIEF_20_projecten.xlsx</v>
      </c>
      <c r="C121" s="108">
        <f>IF($AG121="","",P_Importdatum)</f>
        <v>46324.0</v>
      </c>
      <c r="D121" s="92" t="str">
        <f>IF($AG121="","",P_StatusVastleg)</f>
        <v>Vastgesteld</v>
      </c>
      <c r="E121" s="92">
        <f>IF($AG121="","",P_UploadVJ)</f>
        <v>2026</v>
      </c>
      <c r="F121" s="92" t="str">
        <f>IF($AG121="","",P_UploadVersie)</f>
        <v>Q3</v>
      </c>
      <c r="G121" s="92">
        <f>IF($AG121="","",IF(COUNTIFS(L_Sleutel,$S121,L_Status,"Vastgesteld")=0,0,_xlfn.MAXIFS(L_Revisie,L_Sleutel,$S121,L_Status,"Vastgesteld")+1))</f>
        <v>1</v>
      </c>
      <c r="H121" s="108">
        <f>IF($AG121="","",P_Peildatum)</f>
        <v>46295.0</v>
      </c>
      <c r="I121" s="92">
        <f>IF($AG121="","",P_RJ+INDEX($AK$8:$AK$21,INDEX($AC$8:$AC$1407,$AG121)+1))</f>
        <v>2026</v>
      </c>
      <c r="J121" s="92" t="str">
        <f>IF($AG121="","",INDEX(V_WBS,INDEX($AB$8:$AB$1407,$AG121)))</f>
        <v>G.900009.8.9090</v>
      </c>
      <c r="K121" s="92" t="str">
        <f>IF($AG121="","",INDEX(V_Projdef,INDEX($AB$8:$AB$1407,$AG121)))</f>
        <v>G.900009</v>
      </c>
      <c r="L121" s="92" t="str">
        <f>IF($AG121="","",INDEX(V_Naam,INDEX($AB$8:$AB$1407,$AG121)))</f>
        <v>Duinwaard, Duinrand</v>
      </c>
      <c r="M121" s="92" t="str">
        <f>IF($AG121="","",INDEX(V_Type,INDEX($AB$8:$AB$1407,$AG121)))</f>
        <v>Opstal</v>
      </c>
      <c r="N121" s="92" t="str">
        <f>IF($AG121="","",INDEX(V_IFRS,INDEX($AB$8:$AB$1407,$AG121)))</f>
        <v>J</v>
      </c>
      <c r="O121" s="92" t="str">
        <f>IF($AG121="","",INDEX($AL$8:$AL$21,INDEX($AC$8:$AC$1407,$AG121)+1))</f>
        <v>BOR FY</v>
      </c>
      <c r="P121" s="109">
        <f>IF($AG121="","",INDEX($AD$8:$AD$1407,$AG121))</f>
        <v>1330560</v>
      </c>
      <c r="Q121" s="92" t="str">
        <f>IF($AG121="","",INDEX($AM$8:$AM$21,INDEX($AC$8:$AC$1407,$AG121)+1))</f>
        <v>EUR</v>
      </c>
      <c r="R121" s="92" t="str">
        <f>IF($AG121="","",IF($G121&gt;0,P_ToelCorrectie&amp;"",""))</f>
        <v/>
      </c>
      <c r="S121" s="15" t="str">
        <f>IF(J121="","",J121&amp;"|"&amp;E121&amp;"|"&amp;F121&amp;"|"&amp;I121&amp;"|"&amp;O121)</f>
        <v>G.900009.8.9090|2026|Q3|2026|BOR FY</v>
      </c>
      <c r="T121" s="111">
        <f>IF(S121="","",IF(COUNTIFS(L_Sleutel,S121,L_Actief,1)=0,"",SUMIFS(L_Waarde,L_Sleutel,S121,L_Actief,1)))</f>
        <v>1330560</v>
      </c>
      <c r="U121" s="111">
        <f>IF(OR(S121="",T121=""),0,P121-T121)</f>
        <v>0</v>
      </c>
      <c r="AB121" s="112" t="n">
        <v>9</v>
      </c>
      <c r="AC121" s="112" t="n">
        <v>1</v>
      </c>
      <c r="AD121" s="112">
        <f>VERW_Project!Q14</f>
        <v>1330560</v>
      </c>
      <c r="AE121" s="112">
        <f>IF(AND(VERW_Project!$A14&lt;&gt;"",ISNUMBER(AD121)),1,0)</f>
        <v>1</v>
      </c>
      <c r="AF121" s="112">
        <f>IF(AE121=1,SUM($AE$8:AE121),"")</f>
        <v>114</v>
      </c>
      <c r="AG121">
        <f>IFERROR(MATCH(114,$AF$8:$AF$1407,0),"")</f>
        <v>114</v>
      </c>
    </row>
    <row r="122">
      <c r="A122" s="92" t="str">
        <f>IF($AG122="","",P_ImportID)</f>
        <v>IMP-2026-Q3-01</v>
      </c>
      <c r="B122" s="92" t="str">
        <f>IF($AG122="","",IF(INDEX($AN$8:$AN$21,INDEX($AC$8:$AC$1407,$AG122)+1)="Z",P_BronZ,P_BronE))</f>
        <v>ZPMW03_FICTIEF_20_projecten.xlsx</v>
      </c>
      <c r="C122" s="108">
        <f>IF($AG122="","",P_Importdatum)</f>
        <v>46324.0</v>
      </c>
      <c r="D122" s="92" t="str">
        <f>IF($AG122="","",P_StatusVastleg)</f>
        <v>Vastgesteld</v>
      </c>
      <c r="E122" s="92">
        <f>IF($AG122="","",P_UploadVJ)</f>
        <v>2026</v>
      </c>
      <c r="F122" s="92" t="str">
        <f>IF($AG122="","",P_UploadVersie)</f>
        <v>Q3</v>
      </c>
      <c r="G122" s="92">
        <f>IF($AG122="","",IF(COUNTIFS(L_Sleutel,$S122,L_Status,"Vastgesteld")=0,0,_xlfn.MAXIFS(L_Revisie,L_Sleutel,$S122,L_Status,"Vastgesteld")+1))</f>
        <v>1</v>
      </c>
      <c r="H122" s="108">
        <f>IF($AG122="","",P_Peildatum)</f>
        <v>46295.0</v>
      </c>
      <c r="I122" s="92">
        <f>IF($AG122="","",P_RJ+INDEX($AK$8:$AK$21,INDEX($AC$8:$AC$1407,$AG122)+1))</f>
        <v>2026</v>
      </c>
      <c r="J122" s="92" t="str">
        <f>IF($AG122="","",INDEX(V_WBS,INDEX($AB$8:$AB$1407,$AG122)))</f>
        <v>G.900009.8.9090</v>
      </c>
      <c r="K122" s="92" t="str">
        <f>IF($AG122="","",INDEX(V_Projdef,INDEX($AB$8:$AB$1407,$AG122)))</f>
        <v>G.900009</v>
      </c>
      <c r="L122" s="92" t="str">
        <f>IF($AG122="","",INDEX(V_Naam,INDEX($AB$8:$AB$1407,$AG122)))</f>
        <v>Duinwaard, Duinrand</v>
      </c>
      <c r="M122" s="92" t="str">
        <f>IF($AG122="","",INDEX(V_Type,INDEX($AB$8:$AB$1407,$AG122)))</f>
        <v>Opstal</v>
      </c>
      <c r="N122" s="92" t="str">
        <f>IF($AG122="","",INDEX(V_IFRS,INDEX($AB$8:$AB$1407,$AG122)))</f>
        <v>J</v>
      </c>
      <c r="O122" s="92" t="str">
        <f>IF($AG122="","",INDEX($AL$8:$AL$21,INDEX($AC$8:$AC$1407,$AG122)+1))</f>
        <v>Omzet actual YTD</v>
      </c>
      <c r="P122" s="109">
        <f>IF($AG122="","",INDEX($AD$8:$AD$1407,$AG122))</f>
        <v>10810800</v>
      </c>
      <c r="Q122" s="92" t="str">
        <f>IF($AG122="","",INDEX($AM$8:$AM$21,INDEX($AC$8:$AC$1407,$AG122)+1))</f>
        <v>EUR</v>
      </c>
      <c r="R122" s="92" t="str">
        <f>IF($AG122="","",IF($G122&gt;0,P_ToelCorrectie&amp;"",""))</f>
        <v/>
      </c>
      <c r="S122" s="15" t="str">
        <f>IF(J122="","",J122&amp;"|"&amp;E122&amp;"|"&amp;F122&amp;"|"&amp;I122&amp;"|"&amp;O122)</f>
        <v>G.900009.8.9090|2026|Q3|2026|Omzet actual YTD</v>
      </c>
      <c r="T122" s="111">
        <f>IF(S122="","",IF(COUNTIFS(L_Sleutel,S122,L_Actief,1)=0,"",SUMIFS(L_Waarde,L_Sleutel,S122,L_Actief,1)))</f>
        <v>10810800</v>
      </c>
      <c r="U122" s="111">
        <f>IF(OR(S122="",T122=""),0,P122-T122)</f>
        <v>0</v>
      </c>
      <c r="AB122" s="112" t="n">
        <v>9</v>
      </c>
      <c r="AC122" s="112" t="n">
        <v>2</v>
      </c>
      <c r="AD122" s="112">
        <f>VERW_Project!L14</f>
        <v>10810800</v>
      </c>
      <c r="AE122" s="112">
        <f>IF(AND(VERW_Project!$A14&lt;&gt;"",ISNUMBER(AD122)),1,0)</f>
        <v>1</v>
      </c>
      <c r="AF122" s="112">
        <f>IF(AE122=1,SUM($AE$8:AE122),"")</f>
        <v>115</v>
      </c>
      <c r="AG122">
        <f>IFERROR(MATCH(115,$AF$8:$AF$1407,0),"")</f>
        <v>115</v>
      </c>
    </row>
    <row r="123">
      <c r="A123" s="92" t="str">
        <f>IF($AG123="","",P_ImportID)</f>
        <v>IMP-2026-Q3-01</v>
      </c>
      <c r="B123" s="92" t="str">
        <f>IF($AG123="","",IF(INDEX($AN$8:$AN$21,INDEX($AC$8:$AC$1407,$AG123)+1)="Z",P_BronZ,P_BronE))</f>
        <v>ZPMW03_FICTIEF_20_projecten.xlsx</v>
      </c>
      <c r="C123" s="108">
        <f>IF($AG123="","",P_Importdatum)</f>
        <v>46324.0</v>
      </c>
      <c r="D123" s="92" t="str">
        <f>IF($AG123="","",P_StatusVastleg)</f>
        <v>Vastgesteld</v>
      </c>
      <c r="E123" s="92">
        <f>IF($AG123="","",P_UploadVJ)</f>
        <v>2026</v>
      </c>
      <c r="F123" s="92" t="str">
        <f>IF($AG123="","",P_UploadVersie)</f>
        <v>Q3</v>
      </c>
      <c r="G123" s="92">
        <f>IF($AG123="","",IF(COUNTIFS(L_Sleutel,$S123,L_Status,"Vastgesteld")=0,0,_xlfn.MAXIFS(L_Revisie,L_Sleutel,$S123,L_Status,"Vastgesteld")+1))</f>
        <v>1</v>
      </c>
      <c r="H123" s="108">
        <f>IF($AG123="","",P_Peildatum)</f>
        <v>46295.0</v>
      </c>
      <c r="I123" s="92">
        <f>IF($AG123="","",P_RJ+INDEX($AK$8:$AK$21,INDEX($AC$8:$AC$1407,$AG123)+1))</f>
        <v>2026</v>
      </c>
      <c r="J123" s="92" t="str">
        <f>IF($AG123="","",INDEX(V_WBS,INDEX($AB$8:$AB$1407,$AG123)))</f>
        <v>G.900009.8.9090</v>
      </c>
      <c r="K123" s="92" t="str">
        <f>IF($AG123="","",INDEX(V_Projdef,INDEX($AB$8:$AB$1407,$AG123)))</f>
        <v>G.900009</v>
      </c>
      <c r="L123" s="92" t="str">
        <f>IF($AG123="","",INDEX(V_Naam,INDEX($AB$8:$AB$1407,$AG123)))</f>
        <v>Duinwaard, Duinrand</v>
      </c>
      <c r="M123" s="92" t="str">
        <f>IF($AG123="","",INDEX(V_Type,INDEX($AB$8:$AB$1407,$AG123)))</f>
        <v>Opstal</v>
      </c>
      <c r="N123" s="92" t="str">
        <f>IF($AG123="","",INDEX(V_IFRS,INDEX($AB$8:$AB$1407,$AG123)))</f>
        <v>J</v>
      </c>
      <c r="O123" s="92" t="str">
        <f>IF($AG123="","",INDEX($AL$8:$AL$21,INDEX($AC$8:$AC$1407,$AG123)+1))</f>
        <v>BOR actual YTD</v>
      </c>
      <c r="P123" s="109">
        <f>IF($AG123="","",INDEX($AD$8:$AD$1407,$AG123))</f>
        <v>864864</v>
      </c>
      <c r="Q123" s="92" t="str">
        <f>IF($AG123="","",INDEX($AM$8:$AM$21,INDEX($AC$8:$AC$1407,$AG123)+1))</f>
        <v>EUR</v>
      </c>
      <c r="R123" s="92" t="str">
        <f>IF($AG123="","",IF($G123&gt;0,P_ToelCorrectie&amp;"",""))</f>
        <v/>
      </c>
      <c r="S123" s="15" t="str">
        <f>IF(J123="","",J123&amp;"|"&amp;E123&amp;"|"&amp;F123&amp;"|"&amp;I123&amp;"|"&amp;O123)</f>
        <v>G.900009.8.9090|2026|Q3|2026|BOR actual YTD</v>
      </c>
      <c r="T123" s="111">
        <f>IF(S123="","",IF(COUNTIFS(L_Sleutel,S123,L_Actief,1)=0,"",SUMIFS(L_Waarde,L_Sleutel,S123,L_Actief,1)))</f>
        <v>864864</v>
      </c>
      <c r="U123" s="111">
        <f>IF(OR(S123="",T123=""),0,P123-T123)</f>
        <v>0</v>
      </c>
      <c r="AB123" s="112" t="n">
        <v>9</v>
      </c>
      <c r="AC123" s="112" t="n">
        <v>3</v>
      </c>
      <c r="AD123" s="112">
        <f>VERW_Project!M14</f>
        <v>864864</v>
      </c>
      <c r="AE123" s="112">
        <f>IF(AND(VERW_Project!$A14&lt;&gt;"",ISNUMBER(AD123)),1,0)</f>
        <v>1</v>
      </c>
      <c r="AF123" s="112">
        <f>IF(AE123=1,SUM($AE$8:AE123),"")</f>
        <v>116</v>
      </c>
      <c r="AG123">
        <f>IFERROR(MATCH(116,$AF$8:$AF$1407,0),"")</f>
        <v>116</v>
      </c>
    </row>
    <row r="124">
      <c r="A124" s="92" t="str">
        <f>IF($AG124="","",P_ImportID)</f>
        <v>IMP-2026-Q3-01</v>
      </c>
      <c r="B124" s="92" t="str">
        <f>IF($AG124="","",IF(INDEX($AN$8:$AN$21,INDEX($AC$8:$AC$1407,$AG124)+1)="Z",P_BronZ,P_BronE))</f>
        <v>ZPMW03_FICTIEF_20_projecten.xlsx</v>
      </c>
      <c r="C124" s="108">
        <f>IF($AG124="","",P_Importdatum)</f>
        <v>46324.0</v>
      </c>
      <c r="D124" s="92" t="str">
        <f>IF($AG124="","",P_StatusVastleg)</f>
        <v>Vastgesteld</v>
      </c>
      <c r="E124" s="92">
        <f>IF($AG124="","",P_UploadVJ)</f>
        <v>2026</v>
      </c>
      <c r="F124" s="92" t="str">
        <f>IF($AG124="","",P_UploadVersie)</f>
        <v>Q3</v>
      </c>
      <c r="G124" s="92">
        <f>IF($AG124="","",IF(COUNTIFS(L_Sleutel,$S124,L_Status,"Vastgesteld")=0,0,_xlfn.MAXIFS(L_Revisie,L_Sleutel,$S124,L_Status,"Vastgesteld")+1))</f>
        <v>1</v>
      </c>
      <c r="H124" s="108">
        <f>IF($AG124="","",P_Peildatum)</f>
        <v>46295.0</v>
      </c>
      <c r="I124" s="92">
        <f>IF($AG124="","",P_RJ+INDEX($AK$8:$AK$21,INDEX($AC$8:$AC$1407,$AG124)+1))</f>
        <v>2027</v>
      </c>
      <c r="J124" s="92" t="str">
        <f>IF($AG124="","",INDEX(V_WBS,INDEX($AB$8:$AB$1407,$AG124)))</f>
        <v>G.900009.8.9090</v>
      </c>
      <c r="K124" s="92" t="str">
        <f>IF($AG124="","",INDEX(V_Projdef,INDEX($AB$8:$AB$1407,$AG124)))</f>
        <v>G.900009</v>
      </c>
      <c r="L124" s="92" t="str">
        <f>IF($AG124="","",INDEX(V_Naam,INDEX($AB$8:$AB$1407,$AG124)))</f>
        <v>Duinwaard, Duinrand</v>
      </c>
      <c r="M124" s="92" t="str">
        <f>IF($AG124="","",INDEX(V_Type,INDEX($AB$8:$AB$1407,$AG124)))</f>
        <v>Opstal</v>
      </c>
      <c r="N124" s="92" t="str">
        <f>IF($AG124="","",INDEX(V_IFRS,INDEX($AB$8:$AB$1407,$AG124)))</f>
        <v>J</v>
      </c>
      <c r="O124" s="92" t="str">
        <f>IF($AG124="","",INDEX($AL$8:$AL$21,INDEX($AC$8:$AC$1407,$AG124)+1))</f>
        <v>Omzet FY</v>
      </c>
      <c r="P124" s="109">
        <f>IF($AG124="","",INDEX($AD$8:$AD$1407,$AG124))</f>
        <v>14929200</v>
      </c>
      <c r="Q124" s="92" t="str">
        <f>IF($AG124="","",INDEX($AM$8:$AM$21,INDEX($AC$8:$AC$1407,$AG124)+1))</f>
        <v>EUR</v>
      </c>
      <c r="R124" s="92" t="str">
        <f>IF($AG124="","",IF($G124&gt;0,P_ToelCorrectie&amp;"",""))</f>
        <v/>
      </c>
      <c r="S124" s="15" t="str">
        <f>IF(J124="","",J124&amp;"|"&amp;E124&amp;"|"&amp;F124&amp;"|"&amp;I124&amp;"|"&amp;O124)</f>
        <v>G.900009.8.9090|2026|Q3|2027|Omzet FY</v>
      </c>
      <c r="T124" s="111">
        <f>IF(S124="","",IF(COUNTIFS(L_Sleutel,S124,L_Actief,1)=0,"",SUMIFS(L_Waarde,L_Sleutel,S124,L_Actief,1)))</f>
        <v>14929200</v>
      </c>
      <c r="U124" s="111">
        <f>IF(OR(S124="",T124=""),0,P124-T124)</f>
        <v>0</v>
      </c>
      <c r="AB124" s="112" t="n">
        <v>9</v>
      </c>
      <c r="AC124" s="112" t="n">
        <v>4</v>
      </c>
      <c r="AD124" s="112">
        <f>VERW_Project!R14</f>
        <v>14929200</v>
      </c>
      <c r="AE124" s="112">
        <f>IF(AND(VERW_Project!$A14&lt;&gt;"",ISNUMBER(AD124)),1,0)</f>
        <v>1</v>
      </c>
      <c r="AF124" s="112">
        <f>IF(AE124=1,SUM($AE$8:AE124),"")</f>
        <v>117</v>
      </c>
      <c r="AG124">
        <f>IFERROR(MATCH(117,$AF$8:$AF$1407,0),"")</f>
        <v>117</v>
      </c>
    </row>
    <row r="125">
      <c r="A125" s="92" t="str">
        <f>IF($AG125="","",P_ImportID)</f>
        <v>IMP-2026-Q3-01</v>
      </c>
      <c r="B125" s="92" t="str">
        <f>IF($AG125="","",IF(INDEX($AN$8:$AN$21,INDEX($AC$8:$AC$1407,$AG125)+1)="Z",P_BronZ,P_BronE))</f>
        <v>ZPMW03_FICTIEF_20_projecten.xlsx</v>
      </c>
      <c r="C125" s="108">
        <f>IF($AG125="","",P_Importdatum)</f>
        <v>46324.0</v>
      </c>
      <c r="D125" s="92" t="str">
        <f>IF($AG125="","",P_StatusVastleg)</f>
        <v>Vastgesteld</v>
      </c>
      <c r="E125" s="92">
        <f>IF($AG125="","",P_UploadVJ)</f>
        <v>2026</v>
      </c>
      <c r="F125" s="92" t="str">
        <f>IF($AG125="","",P_UploadVersie)</f>
        <v>Q3</v>
      </c>
      <c r="G125" s="92">
        <f>IF($AG125="","",IF(COUNTIFS(L_Sleutel,$S125,L_Status,"Vastgesteld")=0,0,_xlfn.MAXIFS(L_Revisie,L_Sleutel,$S125,L_Status,"Vastgesteld")+1))</f>
        <v>1</v>
      </c>
      <c r="H125" s="108">
        <f>IF($AG125="","",P_Peildatum)</f>
        <v>46295.0</v>
      </c>
      <c r="I125" s="92">
        <f>IF($AG125="","",P_RJ+INDEX($AK$8:$AK$21,INDEX($AC$8:$AC$1407,$AG125)+1))</f>
        <v>2027</v>
      </c>
      <c r="J125" s="92" t="str">
        <f>IF($AG125="","",INDEX(V_WBS,INDEX($AB$8:$AB$1407,$AG125)))</f>
        <v>G.900009.8.9090</v>
      </c>
      <c r="K125" s="92" t="str">
        <f>IF($AG125="","",INDEX(V_Projdef,INDEX($AB$8:$AB$1407,$AG125)))</f>
        <v>G.900009</v>
      </c>
      <c r="L125" s="92" t="str">
        <f>IF($AG125="","",INDEX(V_Naam,INDEX($AB$8:$AB$1407,$AG125)))</f>
        <v>Duinwaard, Duinrand</v>
      </c>
      <c r="M125" s="92" t="str">
        <f>IF($AG125="","",INDEX(V_Type,INDEX($AB$8:$AB$1407,$AG125)))</f>
        <v>Opstal</v>
      </c>
      <c r="N125" s="92" t="str">
        <f>IF($AG125="","",INDEX(V_IFRS,INDEX($AB$8:$AB$1407,$AG125)))</f>
        <v>J</v>
      </c>
      <c r="O125" s="92" t="str">
        <f>IF($AG125="","",INDEX($AL$8:$AL$21,INDEX($AC$8:$AC$1407,$AG125)+1))</f>
        <v>BOR FY</v>
      </c>
      <c r="P125" s="109">
        <f>IF($AG125="","",INDEX($AD$8:$AD$1407,$AG125))</f>
        <v>1194336</v>
      </c>
      <c r="Q125" s="92" t="str">
        <f>IF($AG125="","",INDEX($AM$8:$AM$21,INDEX($AC$8:$AC$1407,$AG125)+1))</f>
        <v>EUR</v>
      </c>
      <c r="R125" s="92" t="str">
        <f>IF($AG125="","",IF($G125&gt;0,P_ToelCorrectie&amp;"",""))</f>
        <v/>
      </c>
      <c r="S125" s="15" t="str">
        <f>IF(J125="","",J125&amp;"|"&amp;E125&amp;"|"&amp;F125&amp;"|"&amp;I125&amp;"|"&amp;O125)</f>
        <v>G.900009.8.9090|2026|Q3|2027|BOR FY</v>
      </c>
      <c r="T125" s="111">
        <f>IF(S125="","",IF(COUNTIFS(L_Sleutel,S125,L_Actief,1)=0,"",SUMIFS(L_Waarde,L_Sleutel,S125,L_Actief,1)))</f>
        <v>1194336</v>
      </c>
      <c r="U125" s="111">
        <f>IF(OR(S125="",T125=""),0,P125-T125)</f>
        <v>0</v>
      </c>
      <c r="AB125" s="112" t="n">
        <v>9</v>
      </c>
      <c r="AC125" s="112" t="n">
        <v>5</v>
      </c>
      <c r="AD125" s="112">
        <f>VERW_Project!S14</f>
        <v>1194336</v>
      </c>
      <c r="AE125" s="112">
        <f>IF(AND(VERW_Project!$A14&lt;&gt;"",ISNUMBER(AD125)),1,0)</f>
        <v>1</v>
      </c>
      <c r="AF125" s="112">
        <f>IF(AE125=1,SUM($AE$8:AE125),"")</f>
        <v>118</v>
      </c>
      <c r="AG125">
        <f>IFERROR(MATCH(118,$AF$8:$AF$1407,0),"")</f>
        <v>118</v>
      </c>
    </row>
    <row r="126">
      <c r="A126" s="92" t="str">
        <f>IF($AG126="","",P_ImportID)</f>
        <v>IMP-2026-Q3-01</v>
      </c>
      <c r="B126" s="92" t="str">
        <f>IF($AG126="","",IF(INDEX($AN$8:$AN$21,INDEX($AC$8:$AC$1407,$AG126)+1)="Z",P_BronZ,P_BronE))</f>
        <v>Woningetalage_FICTIEF_20_projecten.xlsx</v>
      </c>
      <c r="C126" s="108">
        <f>IF($AG126="","",P_Importdatum)</f>
        <v>46324.0</v>
      </c>
      <c r="D126" s="92" t="str">
        <f>IF($AG126="","",P_StatusVastleg)</f>
        <v>Vastgesteld</v>
      </c>
      <c r="E126" s="92">
        <f>IF($AG126="","",P_UploadVJ)</f>
        <v>2026</v>
      </c>
      <c r="F126" s="92" t="str">
        <f>IF($AG126="","",P_UploadVersie)</f>
        <v>Q3</v>
      </c>
      <c r="G126" s="92">
        <f>IF($AG126="","",IF(COUNTIFS(L_Sleutel,$S126,L_Status,"Vastgesteld")=0,0,_xlfn.MAXIFS(L_Revisie,L_Sleutel,$S126,L_Status,"Vastgesteld")+1))</f>
        <v>1</v>
      </c>
      <c r="H126" s="108">
        <f>IF($AG126="","",P_Peildatum)</f>
        <v>46295.0</v>
      </c>
      <c r="I126" s="92">
        <f>IF($AG126="","",P_RJ+INDEX($AK$8:$AK$21,INDEX($AC$8:$AC$1407,$AG126)+1))</f>
        <v>2026</v>
      </c>
      <c r="J126" s="92" t="str">
        <f>IF($AG126="","",INDEX(V_WBS,INDEX($AB$8:$AB$1407,$AG126)))</f>
        <v>G.900009.8.9090</v>
      </c>
      <c r="K126" s="92" t="str">
        <f>IF($AG126="","",INDEX(V_Projdef,INDEX($AB$8:$AB$1407,$AG126)))</f>
        <v>G.900009</v>
      </c>
      <c r="L126" s="92" t="str">
        <f>IF($AG126="","",INDEX(V_Naam,INDEX($AB$8:$AB$1407,$AG126)))</f>
        <v>Duinwaard, Duinrand</v>
      </c>
      <c r="M126" s="92" t="str">
        <f>IF($AG126="","",INDEX(V_Type,INDEX($AB$8:$AB$1407,$AG126)))</f>
        <v>Opstal</v>
      </c>
      <c r="N126" s="92" t="str">
        <f>IF($AG126="","",INDEX(V_IFRS,INDEX($AB$8:$AB$1407,$AG126)))</f>
        <v>J</v>
      </c>
      <c r="O126" s="92" t="str">
        <f>IF($AG126="","",INDEX($AL$8:$AL$21,INDEX($AC$8:$AC$1407,$AG126)+1))</f>
        <v>Woningverkopen FY</v>
      </c>
      <c r="P126" s="109">
        <f>IF($AG126="","",INDEX($AD$8:$AD$1407,$AG126))</f>
        <v>29</v>
      </c>
      <c r="Q126" s="92" t="str">
        <f>IF($AG126="","",INDEX($AM$8:$AM$21,INDEX($AC$8:$AC$1407,$AG126)+1))</f>
        <v>aantal</v>
      </c>
      <c r="R126" s="92" t="str">
        <f>IF($AG126="","",IF($G126&gt;0,P_ToelCorrectie&amp;"",""))</f>
        <v/>
      </c>
      <c r="S126" s="15" t="str">
        <f>IF(J126="","",J126&amp;"|"&amp;E126&amp;"|"&amp;F126&amp;"|"&amp;I126&amp;"|"&amp;O126)</f>
        <v>G.900009.8.9090|2026|Q3|2026|Woningverkopen FY</v>
      </c>
      <c r="T126" s="111">
        <f>IF(S126="","",IF(COUNTIFS(L_Sleutel,S126,L_Actief,1)=0,"",SUMIFS(L_Waarde,L_Sleutel,S126,L_Actief,1)))</f>
        <v>29</v>
      </c>
      <c r="U126" s="111">
        <f>IF(OR(S126="",T126=""),0,P126-T126)</f>
        <v>0</v>
      </c>
      <c r="AB126" s="112" t="n">
        <v>9</v>
      </c>
      <c r="AC126" s="112" t="n">
        <v>6</v>
      </c>
      <c r="AD126" s="112">
        <f>VERW_Project!BW14</f>
        <v>29</v>
      </c>
      <c r="AE126" s="112">
        <f>IF(AND(VERW_Project!$A14&lt;&gt;"",ISNUMBER(AD126)),1,0)</f>
        <v>1</v>
      </c>
      <c r="AF126" s="112">
        <f>IF(AE126=1,SUM($AE$8:AE126),"")</f>
        <v>119</v>
      </c>
      <c r="AG126">
        <f>IFERROR(MATCH(119,$AF$8:$AF$1407,0),"")</f>
        <v>119</v>
      </c>
    </row>
    <row r="127">
      <c r="A127" s="92" t="str">
        <f>IF($AG127="","",P_ImportID)</f>
        <v>IMP-2026-Q3-01</v>
      </c>
      <c r="B127" s="92" t="str">
        <f>IF($AG127="","",IF(INDEX($AN$8:$AN$21,INDEX($AC$8:$AC$1407,$AG127)+1)="Z",P_BronZ,P_BronE))</f>
        <v>Woningetalage_FICTIEF_20_projecten.xlsx</v>
      </c>
      <c r="C127" s="108">
        <f>IF($AG127="","",P_Importdatum)</f>
        <v>46324.0</v>
      </c>
      <c r="D127" s="92" t="str">
        <f>IF($AG127="","",P_StatusVastleg)</f>
        <v>Vastgesteld</v>
      </c>
      <c r="E127" s="92">
        <f>IF($AG127="","",P_UploadVJ)</f>
        <v>2026</v>
      </c>
      <c r="F127" s="92" t="str">
        <f>IF($AG127="","",P_UploadVersie)</f>
        <v>Q3</v>
      </c>
      <c r="G127" s="92">
        <f>IF($AG127="","",IF(COUNTIFS(L_Sleutel,$S127,L_Status,"Vastgesteld")=0,0,_xlfn.MAXIFS(L_Revisie,L_Sleutel,$S127,L_Status,"Vastgesteld")+1))</f>
        <v>1</v>
      </c>
      <c r="H127" s="108">
        <f>IF($AG127="","",P_Peildatum)</f>
        <v>46295.0</v>
      </c>
      <c r="I127" s="92">
        <f>IF($AG127="","",P_RJ+INDEX($AK$8:$AK$21,INDEX($AC$8:$AC$1407,$AG127)+1))</f>
        <v>2026</v>
      </c>
      <c r="J127" s="92" t="str">
        <f>IF($AG127="","",INDEX(V_WBS,INDEX($AB$8:$AB$1407,$AG127)))</f>
        <v>G.900009.8.9090</v>
      </c>
      <c r="K127" s="92" t="str">
        <f>IF($AG127="","",INDEX(V_Projdef,INDEX($AB$8:$AB$1407,$AG127)))</f>
        <v>G.900009</v>
      </c>
      <c r="L127" s="92" t="str">
        <f>IF($AG127="","",INDEX(V_Naam,INDEX($AB$8:$AB$1407,$AG127)))</f>
        <v>Duinwaard, Duinrand</v>
      </c>
      <c r="M127" s="92" t="str">
        <f>IF($AG127="","",INDEX(V_Type,INDEX($AB$8:$AB$1407,$AG127)))</f>
        <v>Opstal</v>
      </c>
      <c r="N127" s="92" t="str">
        <f>IF($AG127="","",INDEX(V_IFRS,INDEX($AB$8:$AB$1407,$AG127)))</f>
        <v>J</v>
      </c>
      <c r="O127" s="92" t="str">
        <f>IF($AG127="","",INDEX($AL$8:$AL$21,INDEX($AC$8:$AC$1407,$AG127)+1))</f>
        <v>Woningen verkocht t/m vorig jaar</v>
      </c>
      <c r="P127" s="109">
        <f>IF($AG127="","",INDEX($AD$8:$AD$1407,$AG127))</f>
        <v>0</v>
      </c>
      <c r="Q127" s="92" t="str">
        <f>IF($AG127="","",INDEX($AM$8:$AM$21,INDEX($AC$8:$AC$1407,$AG127)+1))</f>
        <v>aantal</v>
      </c>
      <c r="R127" s="92" t="str">
        <f>IF($AG127="","",IF($G127&gt;0,P_ToelCorrectie&amp;"",""))</f>
        <v/>
      </c>
      <c r="S127" s="15" t="str">
        <f>IF(J127="","",J127&amp;"|"&amp;E127&amp;"|"&amp;F127&amp;"|"&amp;I127&amp;"|"&amp;O127)</f>
        <v>G.900009.8.9090|2026|Q3|2026|Woningen verkocht t/m vorig jaar</v>
      </c>
      <c r="T127" s="111">
        <f>IF(S127="","",IF(COUNTIFS(L_Sleutel,S127,L_Actief,1)=0,"",SUMIFS(L_Waarde,L_Sleutel,S127,L_Actief,1)))</f>
        <v>0</v>
      </c>
      <c r="U127" s="111">
        <f>IF(OR(S127="",T127=""),0,P127-T127)</f>
        <v>0</v>
      </c>
      <c r="AB127" s="112" t="n">
        <v>9</v>
      </c>
      <c r="AC127" s="112" t="n">
        <v>7</v>
      </c>
      <c r="AD127" s="112">
        <f>VERW_Project!AW14</f>
        <v>0</v>
      </c>
      <c r="AE127" s="112">
        <f>IF(AND(VERW_Project!$A14&lt;&gt;"",ISNUMBER(AD127)),1,0)</f>
        <v>1</v>
      </c>
      <c r="AF127" s="112">
        <f>IF(AE127=1,SUM($AE$8:AE127),"")</f>
        <v>120</v>
      </c>
      <c r="AG127">
        <f>IFERROR(MATCH(120,$AF$8:$AF$1407,0),"")</f>
        <v>120</v>
      </c>
    </row>
    <row r="128">
      <c r="A128" s="92" t="str">
        <f>IF($AG128="","",P_ImportID)</f>
        <v>IMP-2026-Q3-01</v>
      </c>
      <c r="B128" s="92" t="str">
        <f>IF($AG128="","",IF(INDEX($AN$8:$AN$21,INDEX($AC$8:$AC$1407,$AG128)+1)="Z",P_BronZ,P_BronE))</f>
        <v>Woningetalage_FICTIEF_20_projecten.xlsx</v>
      </c>
      <c r="C128" s="108">
        <f>IF($AG128="","",P_Importdatum)</f>
        <v>46324.0</v>
      </c>
      <c r="D128" s="92" t="str">
        <f>IF($AG128="","",P_StatusVastleg)</f>
        <v>Vastgesteld</v>
      </c>
      <c r="E128" s="92">
        <f>IF($AG128="","",P_UploadVJ)</f>
        <v>2026</v>
      </c>
      <c r="F128" s="92" t="str">
        <f>IF($AG128="","",P_UploadVersie)</f>
        <v>Q3</v>
      </c>
      <c r="G128" s="92">
        <f>IF($AG128="","",IF(COUNTIFS(L_Sleutel,$S128,L_Status,"Vastgesteld")=0,0,_xlfn.MAXIFS(L_Revisie,L_Sleutel,$S128,L_Status,"Vastgesteld")+1))</f>
        <v>1</v>
      </c>
      <c r="H128" s="108">
        <f>IF($AG128="","",P_Peildatum)</f>
        <v>46295.0</v>
      </c>
      <c r="I128" s="92">
        <f>IF($AG128="","",P_RJ+INDEX($AK$8:$AK$21,INDEX($AC$8:$AC$1407,$AG128)+1))</f>
        <v>2026</v>
      </c>
      <c r="J128" s="92" t="str">
        <f>IF($AG128="","",INDEX(V_WBS,INDEX($AB$8:$AB$1407,$AG128)))</f>
        <v>G.900009.8.9090</v>
      </c>
      <c r="K128" s="92" t="str">
        <f>IF($AG128="","",INDEX(V_Projdef,INDEX($AB$8:$AB$1407,$AG128)))</f>
        <v>G.900009</v>
      </c>
      <c r="L128" s="92" t="str">
        <f>IF($AG128="","",INDEX(V_Naam,INDEX($AB$8:$AB$1407,$AG128)))</f>
        <v>Duinwaard, Duinrand</v>
      </c>
      <c r="M128" s="92" t="str">
        <f>IF($AG128="","",INDEX(V_Type,INDEX($AB$8:$AB$1407,$AG128)))</f>
        <v>Opstal</v>
      </c>
      <c r="N128" s="92" t="str">
        <f>IF($AG128="","",INDEX(V_IFRS,INDEX($AB$8:$AB$1407,$AG128)))</f>
        <v>J</v>
      </c>
      <c r="O128" s="92" t="str">
        <f>IF($AG128="","",INDEX($AL$8:$AL$21,INDEX($AC$8:$AC$1407,$AG128)+1))</f>
        <v>Woningverkopen Q1</v>
      </c>
      <c r="P128" s="109">
        <f>IF($AG128="","",INDEX($AD$8:$AD$1407,$AG128))</f>
        <v>4</v>
      </c>
      <c r="Q128" s="92" t="str">
        <f>IF($AG128="","",INDEX($AM$8:$AM$21,INDEX($AC$8:$AC$1407,$AG128)+1))</f>
        <v>aantal</v>
      </c>
      <c r="R128" s="92" t="str">
        <f>IF($AG128="","",IF($G128&gt;0,P_ToelCorrectie&amp;"",""))</f>
        <v/>
      </c>
      <c r="S128" s="15" t="str">
        <f>IF(J128="","",J128&amp;"|"&amp;E128&amp;"|"&amp;F128&amp;"|"&amp;I128&amp;"|"&amp;O128)</f>
        <v>G.900009.8.9090|2026|Q3|2026|Woningverkopen Q1</v>
      </c>
      <c r="T128" s="111">
        <f>IF(S128="","",IF(COUNTIFS(L_Sleutel,S128,L_Actief,1)=0,"",SUMIFS(L_Waarde,L_Sleutel,S128,L_Actief,1)))</f>
        <v>4</v>
      </c>
      <c r="U128" s="111">
        <f>IF(OR(S128="",T128=""),0,P128-T128)</f>
        <v>0</v>
      </c>
      <c r="AB128" s="112" t="n">
        <v>9</v>
      </c>
      <c r="AC128" s="112" t="n">
        <v>8</v>
      </c>
      <c r="AD128" s="112">
        <f>VERW_Project!BQ14</f>
        <v>4</v>
      </c>
      <c r="AE128" s="112">
        <f>IF(AND(VERW_Project!$A14&lt;&gt;"",ISNUMBER(AD128)),1,0)</f>
        <v>1</v>
      </c>
      <c r="AF128" s="112">
        <f>IF(AE128=1,SUM($AE$8:AE128),"")</f>
        <v>121</v>
      </c>
      <c r="AG128">
        <f>IFERROR(MATCH(121,$AF$8:$AF$1407,0),"")</f>
        <v>121</v>
      </c>
    </row>
    <row r="129">
      <c r="A129" s="92" t="str">
        <f>IF($AG129="","",P_ImportID)</f>
        <v>IMP-2026-Q3-01</v>
      </c>
      <c r="B129" s="92" t="str">
        <f>IF($AG129="","",IF(INDEX($AN$8:$AN$21,INDEX($AC$8:$AC$1407,$AG129)+1)="Z",P_BronZ,P_BronE))</f>
        <v>Woningetalage_FICTIEF_20_projecten.xlsx</v>
      </c>
      <c r="C129" s="108">
        <f>IF($AG129="","",P_Importdatum)</f>
        <v>46324.0</v>
      </c>
      <c r="D129" s="92" t="str">
        <f>IF($AG129="","",P_StatusVastleg)</f>
        <v>Vastgesteld</v>
      </c>
      <c r="E129" s="92">
        <f>IF($AG129="","",P_UploadVJ)</f>
        <v>2026</v>
      </c>
      <c r="F129" s="92" t="str">
        <f>IF($AG129="","",P_UploadVersie)</f>
        <v>Q3</v>
      </c>
      <c r="G129" s="92">
        <f>IF($AG129="","",IF(COUNTIFS(L_Sleutel,$S129,L_Status,"Vastgesteld")=0,0,_xlfn.MAXIFS(L_Revisie,L_Sleutel,$S129,L_Status,"Vastgesteld")+1))</f>
        <v>1</v>
      </c>
      <c r="H129" s="108">
        <f>IF($AG129="","",P_Peildatum)</f>
        <v>46295.0</v>
      </c>
      <c r="I129" s="92">
        <f>IF($AG129="","",P_RJ+INDEX($AK$8:$AK$21,INDEX($AC$8:$AC$1407,$AG129)+1))</f>
        <v>2026</v>
      </c>
      <c r="J129" s="92" t="str">
        <f>IF($AG129="","",INDEX(V_WBS,INDEX($AB$8:$AB$1407,$AG129)))</f>
        <v>G.900009.8.9090</v>
      </c>
      <c r="K129" s="92" t="str">
        <f>IF($AG129="","",INDEX(V_Projdef,INDEX($AB$8:$AB$1407,$AG129)))</f>
        <v>G.900009</v>
      </c>
      <c r="L129" s="92" t="str">
        <f>IF($AG129="","",INDEX(V_Naam,INDEX($AB$8:$AB$1407,$AG129)))</f>
        <v>Duinwaard, Duinrand</v>
      </c>
      <c r="M129" s="92" t="str">
        <f>IF($AG129="","",INDEX(V_Type,INDEX($AB$8:$AB$1407,$AG129)))</f>
        <v>Opstal</v>
      </c>
      <c r="N129" s="92" t="str">
        <f>IF($AG129="","",INDEX(V_IFRS,INDEX($AB$8:$AB$1407,$AG129)))</f>
        <v>J</v>
      </c>
      <c r="O129" s="92" t="str">
        <f>IF($AG129="","",INDEX($AL$8:$AL$21,INDEX($AC$8:$AC$1407,$AG129)+1))</f>
        <v>Woningverkopen Q2</v>
      </c>
      <c r="P129" s="109">
        <f>IF($AG129="","",INDEX($AD$8:$AD$1407,$AG129))</f>
        <v>7</v>
      </c>
      <c r="Q129" s="92" t="str">
        <f>IF($AG129="","",INDEX($AM$8:$AM$21,INDEX($AC$8:$AC$1407,$AG129)+1))</f>
        <v>aantal</v>
      </c>
      <c r="R129" s="92" t="str">
        <f>IF($AG129="","",IF($G129&gt;0,P_ToelCorrectie&amp;"",""))</f>
        <v/>
      </c>
      <c r="S129" s="15" t="str">
        <f>IF(J129="","",J129&amp;"|"&amp;E129&amp;"|"&amp;F129&amp;"|"&amp;I129&amp;"|"&amp;O129)</f>
        <v>G.900009.8.9090|2026|Q3|2026|Woningverkopen Q2</v>
      </c>
      <c r="T129" s="111">
        <f>IF(S129="","",IF(COUNTIFS(L_Sleutel,S129,L_Actief,1)=0,"",SUMIFS(L_Waarde,L_Sleutel,S129,L_Actief,1)))</f>
        <v>7</v>
      </c>
      <c r="U129" s="111">
        <f>IF(OR(S129="",T129=""),0,P129-T129)</f>
        <v>0</v>
      </c>
      <c r="AB129" s="112" t="n">
        <v>9</v>
      </c>
      <c r="AC129" s="112" t="n">
        <v>9</v>
      </c>
      <c r="AD129" s="112">
        <f>VERW_Project!BR14</f>
        <v>7</v>
      </c>
      <c r="AE129" s="112">
        <f>IF(AND(VERW_Project!$A14&lt;&gt;"",ISNUMBER(AD129)),1,0)</f>
        <v>1</v>
      </c>
      <c r="AF129" s="112">
        <f>IF(AE129=1,SUM($AE$8:AE129),"")</f>
        <v>122</v>
      </c>
      <c r="AG129">
        <f>IFERROR(MATCH(122,$AF$8:$AF$1407,0),"")</f>
        <v>122</v>
      </c>
    </row>
    <row r="130">
      <c r="A130" s="92" t="str">
        <f>IF($AG130="","",P_ImportID)</f>
        <v>IMP-2026-Q3-01</v>
      </c>
      <c r="B130" s="92" t="str">
        <f>IF($AG130="","",IF(INDEX($AN$8:$AN$21,INDEX($AC$8:$AC$1407,$AG130)+1)="Z",P_BronZ,P_BronE))</f>
        <v>Woningetalage_FICTIEF_20_projecten.xlsx</v>
      </c>
      <c r="C130" s="108">
        <f>IF($AG130="","",P_Importdatum)</f>
        <v>46324.0</v>
      </c>
      <c r="D130" s="92" t="str">
        <f>IF($AG130="","",P_StatusVastleg)</f>
        <v>Vastgesteld</v>
      </c>
      <c r="E130" s="92">
        <f>IF($AG130="","",P_UploadVJ)</f>
        <v>2026</v>
      </c>
      <c r="F130" s="92" t="str">
        <f>IF($AG130="","",P_UploadVersie)</f>
        <v>Q3</v>
      </c>
      <c r="G130" s="92">
        <f>IF($AG130="","",IF(COUNTIFS(L_Sleutel,$S130,L_Status,"Vastgesteld")=0,0,_xlfn.MAXIFS(L_Revisie,L_Sleutel,$S130,L_Status,"Vastgesteld")+1))</f>
        <v>1</v>
      </c>
      <c r="H130" s="108">
        <f>IF($AG130="","",P_Peildatum)</f>
        <v>46295.0</v>
      </c>
      <c r="I130" s="92">
        <f>IF($AG130="","",P_RJ+INDEX($AK$8:$AK$21,INDEX($AC$8:$AC$1407,$AG130)+1))</f>
        <v>2026</v>
      </c>
      <c r="J130" s="92" t="str">
        <f>IF($AG130="","",INDEX(V_WBS,INDEX($AB$8:$AB$1407,$AG130)))</f>
        <v>G.900009.8.9090</v>
      </c>
      <c r="K130" s="92" t="str">
        <f>IF($AG130="","",INDEX(V_Projdef,INDEX($AB$8:$AB$1407,$AG130)))</f>
        <v>G.900009</v>
      </c>
      <c r="L130" s="92" t="str">
        <f>IF($AG130="","",INDEX(V_Naam,INDEX($AB$8:$AB$1407,$AG130)))</f>
        <v>Duinwaard, Duinrand</v>
      </c>
      <c r="M130" s="92" t="str">
        <f>IF($AG130="","",INDEX(V_Type,INDEX($AB$8:$AB$1407,$AG130)))</f>
        <v>Opstal</v>
      </c>
      <c r="N130" s="92" t="str">
        <f>IF($AG130="","",INDEX(V_IFRS,INDEX($AB$8:$AB$1407,$AG130)))</f>
        <v>J</v>
      </c>
      <c r="O130" s="92" t="str">
        <f>IF($AG130="","",INDEX($AL$8:$AL$21,INDEX($AC$8:$AC$1407,$AG130)+1))</f>
        <v>Woningverkopen Q3</v>
      </c>
      <c r="P130" s="109">
        <f>IF($AG130="","",INDEX($AD$8:$AD$1407,$AG130))</f>
        <v>7</v>
      </c>
      <c r="Q130" s="92" t="str">
        <f>IF($AG130="","",INDEX($AM$8:$AM$21,INDEX($AC$8:$AC$1407,$AG130)+1))</f>
        <v>aantal</v>
      </c>
      <c r="R130" s="92" t="str">
        <f>IF($AG130="","",IF($G130&gt;0,P_ToelCorrectie&amp;"",""))</f>
        <v/>
      </c>
      <c r="S130" s="15" t="str">
        <f>IF(J130="","",J130&amp;"|"&amp;E130&amp;"|"&amp;F130&amp;"|"&amp;I130&amp;"|"&amp;O130)</f>
        <v>G.900009.8.9090|2026|Q3|2026|Woningverkopen Q3</v>
      </c>
      <c r="T130" s="111">
        <f>IF(S130="","",IF(COUNTIFS(L_Sleutel,S130,L_Actief,1)=0,"",SUMIFS(L_Waarde,L_Sleutel,S130,L_Actief,1)))</f>
        <v>7</v>
      </c>
      <c r="U130" s="111">
        <f>IF(OR(S130="",T130=""),0,P130-T130)</f>
        <v>0</v>
      </c>
      <c r="AB130" s="112" t="n">
        <v>9</v>
      </c>
      <c r="AC130" s="112" t="n">
        <v>10</v>
      </c>
      <c r="AD130" s="112">
        <f>VERW_Project!BS14</f>
        <v>7</v>
      </c>
      <c r="AE130" s="112">
        <f>IF(AND(VERW_Project!$A14&lt;&gt;"",ISNUMBER(AD130)),1,0)</f>
        <v>1</v>
      </c>
      <c r="AF130" s="112">
        <f>IF(AE130=1,SUM($AE$8:AE130),"")</f>
        <v>123</v>
      </c>
      <c r="AG130">
        <f>IFERROR(MATCH(123,$AF$8:$AF$1407,0),"")</f>
        <v>123</v>
      </c>
    </row>
    <row r="131">
      <c r="A131" s="92" t="str">
        <f>IF($AG131="","",P_ImportID)</f>
        <v>IMP-2026-Q3-01</v>
      </c>
      <c r="B131" s="92" t="str">
        <f>IF($AG131="","",IF(INDEX($AN$8:$AN$21,INDEX($AC$8:$AC$1407,$AG131)+1)="Z",P_BronZ,P_BronE))</f>
        <v>Woningetalage_FICTIEF_20_projecten.xlsx</v>
      </c>
      <c r="C131" s="108">
        <f>IF($AG131="","",P_Importdatum)</f>
        <v>46324.0</v>
      </c>
      <c r="D131" s="92" t="str">
        <f>IF($AG131="","",P_StatusVastleg)</f>
        <v>Vastgesteld</v>
      </c>
      <c r="E131" s="92">
        <f>IF($AG131="","",P_UploadVJ)</f>
        <v>2026</v>
      </c>
      <c r="F131" s="92" t="str">
        <f>IF($AG131="","",P_UploadVersie)</f>
        <v>Q3</v>
      </c>
      <c r="G131" s="92">
        <f>IF($AG131="","",IF(COUNTIFS(L_Sleutel,$S131,L_Status,"Vastgesteld")=0,0,_xlfn.MAXIFS(L_Revisie,L_Sleutel,$S131,L_Status,"Vastgesteld")+1))</f>
        <v>1</v>
      </c>
      <c r="H131" s="108">
        <f>IF($AG131="","",P_Peildatum)</f>
        <v>46295.0</v>
      </c>
      <c r="I131" s="92">
        <f>IF($AG131="","",P_RJ+INDEX($AK$8:$AK$21,INDEX($AC$8:$AC$1407,$AG131)+1))</f>
        <v>2026</v>
      </c>
      <c r="J131" s="92" t="str">
        <f>IF($AG131="","",INDEX(V_WBS,INDEX($AB$8:$AB$1407,$AG131)))</f>
        <v>G.900009.8.9090</v>
      </c>
      <c r="K131" s="92" t="str">
        <f>IF($AG131="","",INDEX(V_Projdef,INDEX($AB$8:$AB$1407,$AG131)))</f>
        <v>G.900009</v>
      </c>
      <c r="L131" s="92" t="str">
        <f>IF($AG131="","",INDEX(V_Naam,INDEX($AB$8:$AB$1407,$AG131)))</f>
        <v>Duinwaard, Duinrand</v>
      </c>
      <c r="M131" s="92" t="str">
        <f>IF($AG131="","",INDEX(V_Type,INDEX($AB$8:$AB$1407,$AG131)))</f>
        <v>Opstal</v>
      </c>
      <c r="N131" s="92" t="str">
        <f>IF($AG131="","",INDEX(V_IFRS,INDEX($AB$8:$AB$1407,$AG131)))</f>
        <v>J</v>
      </c>
      <c r="O131" s="92" t="str">
        <f>IF($AG131="","",INDEX($AL$8:$AL$21,INDEX($AC$8:$AC$1407,$AG131)+1))</f>
        <v>Woningverkopen Q4</v>
      </c>
      <c r="P131" s="109">
        <f>IF($AG131="","",INDEX($AD$8:$AD$1407,$AG131))</f>
        <v>11</v>
      </c>
      <c r="Q131" s="92" t="str">
        <f>IF($AG131="","",INDEX($AM$8:$AM$21,INDEX($AC$8:$AC$1407,$AG131)+1))</f>
        <v>aantal</v>
      </c>
      <c r="R131" s="92" t="str">
        <f>IF($AG131="","",IF($G131&gt;0,P_ToelCorrectie&amp;"",""))</f>
        <v/>
      </c>
      <c r="S131" s="15" t="str">
        <f>IF(J131="","",J131&amp;"|"&amp;E131&amp;"|"&amp;F131&amp;"|"&amp;I131&amp;"|"&amp;O131)</f>
        <v>G.900009.8.9090|2026|Q3|2026|Woningverkopen Q4</v>
      </c>
      <c r="T131" s="111">
        <f>IF(S131="","",IF(COUNTIFS(L_Sleutel,S131,L_Actief,1)=0,"",SUMIFS(L_Waarde,L_Sleutel,S131,L_Actief,1)))</f>
        <v>11</v>
      </c>
      <c r="U131" s="111">
        <f>IF(OR(S131="",T131=""),0,P131-T131)</f>
        <v>0</v>
      </c>
      <c r="AB131" s="112" t="n">
        <v>9</v>
      </c>
      <c r="AC131" s="112" t="n">
        <v>11</v>
      </c>
      <c r="AD131" s="112">
        <f>VERW_Project!BT14</f>
        <v>11</v>
      </c>
      <c r="AE131" s="112">
        <f>IF(AND(VERW_Project!$A14&lt;&gt;"",ISNUMBER(AD131)),1,0)</f>
        <v>1</v>
      </c>
      <c r="AF131" s="112">
        <f>IF(AE131=1,SUM($AE$8:AE131),"")</f>
        <v>124</v>
      </c>
      <c r="AG131">
        <f>IFERROR(MATCH(124,$AF$8:$AF$1407,0),"")</f>
        <v>124</v>
      </c>
    </row>
    <row r="132">
      <c r="A132" s="92" t="str">
        <f>IF($AG132="","",P_ImportID)</f>
        <v>IMP-2026-Q3-01</v>
      </c>
      <c r="B132" s="92" t="str">
        <f>IF($AG132="","",IF(INDEX($AN$8:$AN$21,INDEX($AC$8:$AC$1407,$AG132)+1)="Z",P_BronZ,P_BronE))</f>
        <v>Woningetalage_FICTIEF_20_projecten.xlsx</v>
      </c>
      <c r="C132" s="108">
        <f>IF($AG132="","",P_Importdatum)</f>
        <v>46324.0</v>
      </c>
      <c r="D132" s="92" t="str">
        <f>IF($AG132="","",P_StatusVastleg)</f>
        <v>Vastgesteld</v>
      </c>
      <c r="E132" s="92">
        <f>IF($AG132="","",P_UploadVJ)</f>
        <v>2026</v>
      </c>
      <c r="F132" s="92" t="str">
        <f>IF($AG132="","",P_UploadVersie)</f>
        <v>Q3</v>
      </c>
      <c r="G132" s="92">
        <f>IF($AG132="","",IF(COUNTIFS(L_Sleutel,$S132,L_Status,"Vastgesteld")=0,0,_xlfn.MAXIFS(L_Revisie,L_Sleutel,$S132,L_Status,"Vastgesteld")+1))</f>
        <v>1</v>
      </c>
      <c r="H132" s="108">
        <f>IF($AG132="","",P_Peildatum)</f>
        <v>46295.0</v>
      </c>
      <c r="I132" s="92">
        <f>IF($AG132="","",P_RJ+INDEX($AK$8:$AK$21,INDEX($AC$8:$AC$1407,$AG132)+1))</f>
        <v>2026</v>
      </c>
      <c r="J132" s="92" t="str">
        <f>IF($AG132="","",INDEX(V_WBS,INDEX($AB$8:$AB$1407,$AG132)))</f>
        <v>G.900009.8.9090</v>
      </c>
      <c r="K132" s="92" t="str">
        <f>IF($AG132="","",INDEX(V_Projdef,INDEX($AB$8:$AB$1407,$AG132)))</f>
        <v>G.900009</v>
      </c>
      <c r="L132" s="92" t="str">
        <f>IF($AG132="","",INDEX(V_Naam,INDEX($AB$8:$AB$1407,$AG132)))</f>
        <v>Duinwaard, Duinrand</v>
      </c>
      <c r="M132" s="92" t="str">
        <f>IF($AG132="","",INDEX(V_Type,INDEX($AB$8:$AB$1407,$AG132)))</f>
        <v>Opstal</v>
      </c>
      <c r="N132" s="92" t="str">
        <f>IF($AG132="","",INDEX(V_IFRS,INDEX($AB$8:$AB$1407,$AG132)))</f>
        <v>J</v>
      </c>
      <c r="O132" s="92" t="str">
        <f>IF($AG132="","",INDEX($AL$8:$AL$21,INDEX($AC$8:$AC$1407,$AG132)+1))</f>
        <v>Woningverkopen actual YTD</v>
      </c>
      <c r="P132" s="109">
        <f>IF($AG132="","",INDEX($AD$8:$AD$1407,$AG132))</f>
        <v>18</v>
      </c>
      <c r="Q132" s="92" t="str">
        <f>IF($AG132="","",INDEX($AM$8:$AM$21,INDEX($AC$8:$AC$1407,$AG132)+1))</f>
        <v>aantal</v>
      </c>
      <c r="R132" s="92" t="str">
        <f>IF($AG132="","",IF($G132&gt;0,P_ToelCorrectie&amp;"",""))</f>
        <v/>
      </c>
      <c r="S132" s="15" t="str">
        <f>IF(J132="","",J132&amp;"|"&amp;E132&amp;"|"&amp;F132&amp;"|"&amp;I132&amp;"|"&amp;O132)</f>
        <v>G.900009.8.9090|2026|Q3|2026|Woningverkopen actual YTD</v>
      </c>
      <c r="T132" s="111">
        <f>IF(S132="","",IF(COUNTIFS(L_Sleutel,S132,L_Actief,1)=0,"",SUMIFS(L_Waarde,L_Sleutel,S132,L_Actief,1)))</f>
        <v>18</v>
      </c>
      <c r="U132" s="111">
        <f>IF(OR(S132="",T132=""),0,P132-T132)</f>
        <v>0</v>
      </c>
      <c r="AB132" s="112" t="n">
        <v>9</v>
      </c>
      <c r="AC132" s="112" t="n">
        <v>12</v>
      </c>
      <c r="AD132" s="112">
        <f>VERW_Project!BU14</f>
        <v>18</v>
      </c>
      <c r="AE132" s="112">
        <f>IF(AND(VERW_Project!$A14&lt;&gt;"",ISNUMBER(AD132)),1,0)</f>
        <v>1</v>
      </c>
      <c r="AF132" s="112">
        <f>IF(AE132=1,SUM($AE$8:AE132),"")</f>
        <v>125</v>
      </c>
      <c r="AG132">
        <f>IFERROR(MATCH(125,$AF$8:$AF$1407,0),"")</f>
        <v>125</v>
      </c>
    </row>
    <row r="133">
      <c r="A133" s="92" t="str">
        <f>IF($AG133="","",P_ImportID)</f>
        <v>IMP-2026-Q3-01</v>
      </c>
      <c r="B133" s="92" t="str">
        <f>IF($AG133="","",IF(INDEX($AN$8:$AN$21,INDEX($AC$8:$AC$1407,$AG133)+1)="Z",P_BronZ,P_BronE))</f>
        <v>Woningetalage_FICTIEF_20_projecten.xlsx</v>
      </c>
      <c r="C133" s="108">
        <f>IF($AG133="","",P_Importdatum)</f>
        <v>46324.0</v>
      </c>
      <c r="D133" s="92" t="str">
        <f>IF($AG133="","",P_StatusVastleg)</f>
        <v>Vastgesteld</v>
      </c>
      <c r="E133" s="92">
        <f>IF($AG133="","",P_UploadVJ)</f>
        <v>2026</v>
      </c>
      <c r="F133" s="92" t="str">
        <f>IF($AG133="","",P_UploadVersie)</f>
        <v>Q3</v>
      </c>
      <c r="G133" s="92">
        <f>IF($AG133="","",IF(COUNTIFS(L_Sleutel,$S133,L_Status,"Vastgesteld")=0,0,_xlfn.MAXIFS(L_Revisie,L_Sleutel,$S133,L_Status,"Vastgesteld")+1))</f>
        <v>0</v>
      </c>
      <c r="H133" s="108">
        <f>IF($AG133="","",P_Peildatum)</f>
        <v>46295.0</v>
      </c>
      <c r="I133" s="92">
        <f>IF($AG133="","",P_RJ+INDEX($AK$8:$AK$21,INDEX($AC$8:$AC$1407,$AG133)+1))</f>
        <v>2027</v>
      </c>
      <c r="J133" s="92" t="str">
        <f>IF($AG133="","",INDEX(V_WBS,INDEX($AB$8:$AB$1407,$AG133)))</f>
        <v>G.900009.8.9090</v>
      </c>
      <c r="K133" s="92" t="str">
        <f>IF($AG133="","",INDEX(V_Projdef,INDEX($AB$8:$AB$1407,$AG133)))</f>
        <v>G.900009</v>
      </c>
      <c r="L133" s="92" t="str">
        <f>IF($AG133="","",INDEX(V_Naam,INDEX($AB$8:$AB$1407,$AG133)))</f>
        <v>Duinwaard, Duinrand</v>
      </c>
      <c r="M133" s="92" t="str">
        <f>IF($AG133="","",INDEX(V_Type,INDEX($AB$8:$AB$1407,$AG133)))</f>
        <v>Opstal</v>
      </c>
      <c r="N133" s="92" t="str">
        <f>IF($AG133="","",INDEX(V_IFRS,INDEX($AB$8:$AB$1407,$AG133)))</f>
        <v>J</v>
      </c>
      <c r="O133" s="92" t="str">
        <f>IF($AG133="","",INDEX($AL$8:$AL$21,INDEX($AC$8:$AC$1407,$AG133)+1))</f>
        <v>Woningverkopen FY</v>
      </c>
      <c r="P133" s="109">
        <f>IF($AG133="","",INDEX($AD$8:$AD$1407,$AG133))</f>
        <v>39</v>
      </c>
      <c r="Q133" s="92" t="str">
        <f>IF($AG133="","",INDEX($AM$8:$AM$21,INDEX($AC$8:$AC$1407,$AG133)+1))</f>
        <v>aantal</v>
      </c>
      <c r="R133" s="92" t="str">
        <f>IF($AG133="","",IF($G133&gt;0,P_ToelCorrectie&amp;"",""))</f>
        <v/>
      </c>
      <c r="S133" s="15" t="str">
        <f>IF(J133="","",J133&amp;"|"&amp;E133&amp;"|"&amp;F133&amp;"|"&amp;I133&amp;"|"&amp;O133)</f>
        <v>G.900009.8.9090|2026|Q3|2027|Woningverkopen FY</v>
      </c>
      <c r="T133" s="111" t="str">
        <f>IF(S133="","",IF(COUNTIFS(L_Sleutel,S133,L_Actief,1)=0,"",SUMIFS(L_Waarde,L_Sleutel,S133,L_Actief,1)))</f>
        <v/>
      </c>
      <c r="U133" s="111">
        <f>IF(OR(S133="",T133=""),0,P133-T133)</f>
        <v>0</v>
      </c>
      <c r="AB133" s="112" t="n">
        <v>9</v>
      </c>
      <c r="AC133" s="112" t="n">
        <v>13</v>
      </c>
      <c r="AD133" s="112">
        <f>VERW_Project!BX14</f>
        <v>39</v>
      </c>
      <c r="AE133" s="112">
        <f>IF(AND(VERW_Project!$A14&lt;&gt;"",ISNUMBER(AD133)),1,0)</f>
        <v>1</v>
      </c>
      <c r="AF133" s="112">
        <f>IF(AE133=1,SUM($AE$8:AE133),"")</f>
        <v>126</v>
      </c>
      <c r="AG133">
        <f>IFERROR(MATCH(126,$AF$8:$AF$1407,0),"")</f>
        <v>126</v>
      </c>
    </row>
    <row r="134">
      <c r="A134" s="92" t="str">
        <f>IF($AG134="","",P_ImportID)</f>
        <v>IMP-2026-Q3-01</v>
      </c>
      <c r="B134" s="92" t="str">
        <f>IF($AG134="","",IF(INDEX($AN$8:$AN$21,INDEX($AC$8:$AC$1407,$AG134)+1)="Z",P_BronZ,P_BronE))</f>
        <v>ZPMW03_FICTIEF_20_projecten.xlsx</v>
      </c>
      <c r="C134" s="108">
        <f>IF($AG134="","",P_Importdatum)</f>
        <v>46324.0</v>
      </c>
      <c r="D134" s="92" t="str">
        <f>IF($AG134="","",P_StatusVastleg)</f>
        <v>Vastgesteld</v>
      </c>
      <c r="E134" s="92">
        <f>IF($AG134="","",P_UploadVJ)</f>
        <v>2026</v>
      </c>
      <c r="F134" s="92" t="str">
        <f>IF($AG134="","",P_UploadVersie)</f>
        <v>Q3</v>
      </c>
      <c r="G134" s="92">
        <f>IF($AG134="","",IF(COUNTIFS(L_Sleutel,$S134,L_Status,"Vastgesteld")=0,0,_xlfn.MAXIFS(L_Revisie,L_Sleutel,$S134,L_Status,"Vastgesteld")+1))</f>
        <v>1</v>
      </c>
      <c r="H134" s="108">
        <f>IF($AG134="","",P_Peildatum)</f>
        <v>46295.0</v>
      </c>
      <c r="I134" s="92">
        <f>IF($AG134="","",P_RJ+INDEX($AK$8:$AK$21,INDEX($AC$8:$AC$1407,$AG134)+1))</f>
        <v>2026</v>
      </c>
      <c r="J134" s="92" t="str">
        <f>IF($AG134="","",INDEX(V_WBS,INDEX($AB$8:$AB$1407,$AG134)))</f>
        <v>G.900010.8.9090</v>
      </c>
      <c r="K134" s="92" t="str">
        <f>IF($AG134="","",INDEX(V_Projdef,INDEX($AB$8:$AB$1407,$AG134)))</f>
        <v>G.900010</v>
      </c>
      <c r="L134" s="92" t="str">
        <f>IF($AG134="","",INDEX(V_Naam,INDEX($AB$8:$AB$1407,$AG134)))</f>
        <v>Veldendam, Groene Singel</v>
      </c>
      <c r="M134" s="92" t="str">
        <f>IF($AG134="","",INDEX(V_Type,INDEX($AB$8:$AB$1407,$AG134)))</f>
        <v>Opstal</v>
      </c>
      <c r="N134" s="92" t="str">
        <f>IF($AG134="","",INDEX(V_IFRS,INDEX($AB$8:$AB$1407,$AG134)))</f>
        <v>J</v>
      </c>
      <c r="O134" s="92" t="str">
        <f>IF($AG134="","",INDEX($AL$8:$AL$21,INDEX($AC$8:$AC$1407,$AG134)+1))</f>
        <v>Omzet FY</v>
      </c>
      <c r="P134" s="109">
        <f>IF($AG134="","",INDEX($AD$8:$AD$1407,$AG134))</f>
        <v>3132000</v>
      </c>
      <c r="Q134" s="92" t="str">
        <f>IF($AG134="","",INDEX($AM$8:$AM$21,INDEX($AC$8:$AC$1407,$AG134)+1))</f>
        <v>EUR</v>
      </c>
      <c r="R134" s="92" t="str">
        <f>IF($AG134="","",IF($G134&gt;0,P_ToelCorrectie&amp;"",""))</f>
        <v/>
      </c>
      <c r="S134" s="15" t="str">
        <f>IF(J134="","",J134&amp;"|"&amp;E134&amp;"|"&amp;F134&amp;"|"&amp;I134&amp;"|"&amp;O134)</f>
        <v>G.900010.8.9090|2026|Q3|2026|Omzet FY</v>
      </c>
      <c r="T134" s="111">
        <f>IF(S134="","",IF(COUNTIFS(L_Sleutel,S134,L_Actief,1)=0,"",SUMIFS(L_Waarde,L_Sleutel,S134,L_Actief,1)))</f>
        <v>3132000</v>
      </c>
      <c r="U134" s="111">
        <f>IF(OR(S134="",T134=""),0,P134-T134)</f>
        <v>0</v>
      </c>
      <c r="AB134" s="112" t="n">
        <v>10</v>
      </c>
      <c r="AC134" s="112" t="n">
        <v>0</v>
      </c>
      <c r="AD134" s="112">
        <f>VERW_Project!P15</f>
        <v>3132000</v>
      </c>
      <c r="AE134" s="112">
        <f>IF(AND(VERW_Project!$A15&lt;&gt;"",ISNUMBER(AD134)),1,0)</f>
        <v>1</v>
      </c>
      <c r="AF134" s="112">
        <f>IF(AE134=1,SUM($AE$8:AE134),"")</f>
        <v>127</v>
      </c>
      <c r="AG134">
        <f>IFERROR(MATCH(127,$AF$8:$AF$1407,0),"")</f>
        <v>127</v>
      </c>
    </row>
    <row r="135">
      <c r="A135" s="92" t="str">
        <f>IF($AG135="","",P_ImportID)</f>
        <v>IMP-2026-Q3-01</v>
      </c>
      <c r="B135" s="92" t="str">
        <f>IF($AG135="","",IF(INDEX($AN$8:$AN$21,INDEX($AC$8:$AC$1407,$AG135)+1)="Z",P_BronZ,P_BronE))</f>
        <v>ZPMW03_FICTIEF_20_projecten.xlsx</v>
      </c>
      <c r="C135" s="108">
        <f>IF($AG135="","",P_Importdatum)</f>
        <v>46324.0</v>
      </c>
      <c r="D135" s="92" t="str">
        <f>IF($AG135="","",P_StatusVastleg)</f>
        <v>Vastgesteld</v>
      </c>
      <c r="E135" s="92">
        <f>IF($AG135="","",P_UploadVJ)</f>
        <v>2026</v>
      </c>
      <c r="F135" s="92" t="str">
        <f>IF($AG135="","",P_UploadVersie)</f>
        <v>Q3</v>
      </c>
      <c r="G135" s="92">
        <f>IF($AG135="","",IF(COUNTIFS(L_Sleutel,$S135,L_Status,"Vastgesteld")=0,0,_xlfn.MAXIFS(L_Revisie,L_Sleutel,$S135,L_Status,"Vastgesteld")+1))</f>
        <v>1</v>
      </c>
      <c r="H135" s="108">
        <f>IF($AG135="","",P_Peildatum)</f>
        <v>46295.0</v>
      </c>
      <c r="I135" s="92">
        <f>IF($AG135="","",P_RJ+INDEX($AK$8:$AK$21,INDEX($AC$8:$AC$1407,$AG135)+1))</f>
        <v>2026</v>
      </c>
      <c r="J135" s="92" t="str">
        <f>IF($AG135="","",INDEX(V_WBS,INDEX($AB$8:$AB$1407,$AG135)))</f>
        <v>G.900010.8.9090</v>
      </c>
      <c r="K135" s="92" t="str">
        <f>IF($AG135="","",INDEX(V_Projdef,INDEX($AB$8:$AB$1407,$AG135)))</f>
        <v>G.900010</v>
      </c>
      <c r="L135" s="92" t="str">
        <f>IF($AG135="","",INDEX(V_Naam,INDEX($AB$8:$AB$1407,$AG135)))</f>
        <v>Veldendam, Groene Singel</v>
      </c>
      <c r="M135" s="92" t="str">
        <f>IF($AG135="","",INDEX(V_Type,INDEX($AB$8:$AB$1407,$AG135)))</f>
        <v>Opstal</v>
      </c>
      <c r="N135" s="92" t="str">
        <f>IF($AG135="","",INDEX(V_IFRS,INDEX($AB$8:$AB$1407,$AG135)))</f>
        <v>J</v>
      </c>
      <c r="O135" s="92" t="str">
        <f>IF($AG135="","",INDEX($AL$8:$AL$21,INDEX($AC$8:$AC$1407,$AG135)+1))</f>
        <v>BOR FY</v>
      </c>
      <c r="P135" s="109">
        <f>IF($AG135="","",INDEX($AD$8:$AD$1407,$AG135))</f>
        <v>407160</v>
      </c>
      <c r="Q135" s="92" t="str">
        <f>IF($AG135="","",INDEX($AM$8:$AM$21,INDEX($AC$8:$AC$1407,$AG135)+1))</f>
        <v>EUR</v>
      </c>
      <c r="R135" s="92" t="str">
        <f>IF($AG135="","",IF($G135&gt;0,P_ToelCorrectie&amp;"",""))</f>
        <v/>
      </c>
      <c r="S135" s="15" t="str">
        <f>IF(J135="","",J135&amp;"|"&amp;E135&amp;"|"&amp;F135&amp;"|"&amp;I135&amp;"|"&amp;O135)</f>
        <v>G.900010.8.9090|2026|Q3|2026|BOR FY</v>
      </c>
      <c r="T135" s="111">
        <f>IF(S135="","",IF(COUNTIFS(L_Sleutel,S135,L_Actief,1)=0,"",SUMIFS(L_Waarde,L_Sleutel,S135,L_Actief,1)))</f>
        <v>407160</v>
      </c>
      <c r="U135" s="111">
        <f>IF(OR(S135="",T135=""),0,P135-T135)</f>
        <v>0</v>
      </c>
      <c r="AB135" s="112" t="n">
        <v>10</v>
      </c>
      <c r="AC135" s="112" t="n">
        <v>1</v>
      </c>
      <c r="AD135" s="112">
        <f>VERW_Project!Q15</f>
        <v>407160</v>
      </c>
      <c r="AE135" s="112">
        <f>IF(AND(VERW_Project!$A15&lt;&gt;"",ISNUMBER(AD135)),1,0)</f>
        <v>1</v>
      </c>
      <c r="AF135" s="112">
        <f>IF(AE135=1,SUM($AE$8:AE135),"")</f>
        <v>128</v>
      </c>
      <c r="AG135">
        <f>IFERROR(MATCH(128,$AF$8:$AF$1407,0),"")</f>
        <v>128</v>
      </c>
    </row>
    <row r="136">
      <c r="A136" s="92" t="str">
        <f>IF($AG136="","",P_ImportID)</f>
        <v>IMP-2026-Q3-01</v>
      </c>
      <c r="B136" s="92" t="str">
        <f>IF($AG136="","",IF(INDEX($AN$8:$AN$21,INDEX($AC$8:$AC$1407,$AG136)+1)="Z",P_BronZ,P_BronE))</f>
        <v>ZPMW03_FICTIEF_20_projecten.xlsx</v>
      </c>
      <c r="C136" s="108">
        <f>IF($AG136="","",P_Importdatum)</f>
        <v>46324.0</v>
      </c>
      <c r="D136" s="92" t="str">
        <f>IF($AG136="","",P_StatusVastleg)</f>
        <v>Vastgesteld</v>
      </c>
      <c r="E136" s="92">
        <f>IF($AG136="","",P_UploadVJ)</f>
        <v>2026</v>
      </c>
      <c r="F136" s="92" t="str">
        <f>IF($AG136="","",P_UploadVersie)</f>
        <v>Q3</v>
      </c>
      <c r="G136" s="92">
        <f>IF($AG136="","",IF(COUNTIFS(L_Sleutel,$S136,L_Status,"Vastgesteld")=0,0,_xlfn.MAXIFS(L_Revisie,L_Sleutel,$S136,L_Status,"Vastgesteld")+1))</f>
        <v>1</v>
      </c>
      <c r="H136" s="108">
        <f>IF($AG136="","",P_Peildatum)</f>
        <v>46295.0</v>
      </c>
      <c r="I136" s="92">
        <f>IF($AG136="","",P_RJ+INDEX($AK$8:$AK$21,INDEX($AC$8:$AC$1407,$AG136)+1))</f>
        <v>2026</v>
      </c>
      <c r="J136" s="92" t="str">
        <f>IF($AG136="","",INDEX(V_WBS,INDEX($AB$8:$AB$1407,$AG136)))</f>
        <v>G.900010.8.9090</v>
      </c>
      <c r="K136" s="92" t="str">
        <f>IF($AG136="","",INDEX(V_Projdef,INDEX($AB$8:$AB$1407,$AG136)))</f>
        <v>G.900010</v>
      </c>
      <c r="L136" s="92" t="str">
        <f>IF($AG136="","",INDEX(V_Naam,INDEX($AB$8:$AB$1407,$AG136)))</f>
        <v>Veldendam, Groene Singel</v>
      </c>
      <c r="M136" s="92" t="str">
        <f>IF($AG136="","",INDEX(V_Type,INDEX($AB$8:$AB$1407,$AG136)))</f>
        <v>Opstal</v>
      </c>
      <c r="N136" s="92" t="str">
        <f>IF($AG136="","",INDEX(V_IFRS,INDEX($AB$8:$AB$1407,$AG136)))</f>
        <v>J</v>
      </c>
      <c r="O136" s="92" t="str">
        <f>IF($AG136="","",INDEX($AL$8:$AL$21,INDEX($AC$8:$AC$1407,$AG136)+1))</f>
        <v>Omzet actual YTD</v>
      </c>
      <c r="P136" s="109">
        <f>IF($AG136="","",INDEX($AD$8:$AD$1407,$AG136))</f>
        <v>2035800</v>
      </c>
      <c r="Q136" s="92" t="str">
        <f>IF($AG136="","",INDEX($AM$8:$AM$21,INDEX($AC$8:$AC$1407,$AG136)+1))</f>
        <v>EUR</v>
      </c>
      <c r="R136" s="92" t="str">
        <f>IF($AG136="","",IF($G136&gt;0,P_ToelCorrectie&amp;"",""))</f>
        <v/>
      </c>
      <c r="S136" s="15" t="str">
        <f>IF(J136="","",J136&amp;"|"&amp;E136&amp;"|"&amp;F136&amp;"|"&amp;I136&amp;"|"&amp;O136)</f>
        <v>G.900010.8.9090|2026|Q3|2026|Omzet actual YTD</v>
      </c>
      <c r="T136" s="111">
        <f>IF(S136="","",IF(COUNTIFS(L_Sleutel,S136,L_Actief,1)=0,"",SUMIFS(L_Waarde,L_Sleutel,S136,L_Actief,1)))</f>
        <v>2035800</v>
      </c>
      <c r="U136" s="111">
        <f>IF(OR(S136="",T136=""),0,P136-T136)</f>
        <v>0</v>
      </c>
      <c r="AB136" s="112" t="n">
        <v>10</v>
      </c>
      <c r="AC136" s="112" t="n">
        <v>2</v>
      </c>
      <c r="AD136" s="112">
        <f>VERW_Project!L15</f>
        <v>2035800</v>
      </c>
      <c r="AE136" s="112">
        <f>IF(AND(VERW_Project!$A15&lt;&gt;"",ISNUMBER(AD136)),1,0)</f>
        <v>1</v>
      </c>
      <c r="AF136" s="112">
        <f>IF(AE136=1,SUM($AE$8:AE136),"")</f>
        <v>129</v>
      </c>
      <c r="AG136">
        <f>IFERROR(MATCH(129,$AF$8:$AF$1407,0),"")</f>
        <v>129</v>
      </c>
    </row>
    <row r="137">
      <c r="A137" s="92" t="str">
        <f>IF($AG137="","",P_ImportID)</f>
        <v>IMP-2026-Q3-01</v>
      </c>
      <c r="B137" s="92" t="str">
        <f>IF($AG137="","",IF(INDEX($AN$8:$AN$21,INDEX($AC$8:$AC$1407,$AG137)+1)="Z",P_BronZ,P_BronE))</f>
        <v>ZPMW03_FICTIEF_20_projecten.xlsx</v>
      </c>
      <c r="C137" s="108">
        <f>IF($AG137="","",P_Importdatum)</f>
        <v>46324.0</v>
      </c>
      <c r="D137" s="92" t="str">
        <f>IF($AG137="","",P_StatusVastleg)</f>
        <v>Vastgesteld</v>
      </c>
      <c r="E137" s="92">
        <f>IF($AG137="","",P_UploadVJ)</f>
        <v>2026</v>
      </c>
      <c r="F137" s="92" t="str">
        <f>IF($AG137="","",P_UploadVersie)</f>
        <v>Q3</v>
      </c>
      <c r="G137" s="92">
        <f>IF($AG137="","",IF(COUNTIFS(L_Sleutel,$S137,L_Status,"Vastgesteld")=0,0,_xlfn.MAXIFS(L_Revisie,L_Sleutel,$S137,L_Status,"Vastgesteld")+1))</f>
        <v>1</v>
      </c>
      <c r="H137" s="108">
        <f>IF($AG137="","",P_Peildatum)</f>
        <v>46295.0</v>
      </c>
      <c r="I137" s="92">
        <f>IF($AG137="","",P_RJ+INDEX($AK$8:$AK$21,INDEX($AC$8:$AC$1407,$AG137)+1))</f>
        <v>2026</v>
      </c>
      <c r="J137" s="92" t="str">
        <f>IF($AG137="","",INDEX(V_WBS,INDEX($AB$8:$AB$1407,$AG137)))</f>
        <v>G.900010.8.9090</v>
      </c>
      <c r="K137" s="92" t="str">
        <f>IF($AG137="","",INDEX(V_Projdef,INDEX($AB$8:$AB$1407,$AG137)))</f>
        <v>G.900010</v>
      </c>
      <c r="L137" s="92" t="str">
        <f>IF($AG137="","",INDEX(V_Naam,INDEX($AB$8:$AB$1407,$AG137)))</f>
        <v>Veldendam, Groene Singel</v>
      </c>
      <c r="M137" s="92" t="str">
        <f>IF($AG137="","",INDEX(V_Type,INDEX($AB$8:$AB$1407,$AG137)))</f>
        <v>Opstal</v>
      </c>
      <c r="N137" s="92" t="str">
        <f>IF($AG137="","",INDEX(V_IFRS,INDEX($AB$8:$AB$1407,$AG137)))</f>
        <v>J</v>
      </c>
      <c r="O137" s="92" t="str">
        <f>IF($AG137="","",INDEX($AL$8:$AL$21,INDEX($AC$8:$AC$1407,$AG137)+1))</f>
        <v>BOR actual YTD</v>
      </c>
      <c r="P137" s="109">
        <f>IF($AG137="","",INDEX($AD$8:$AD$1407,$AG137))</f>
        <v>264654</v>
      </c>
      <c r="Q137" s="92" t="str">
        <f>IF($AG137="","",INDEX($AM$8:$AM$21,INDEX($AC$8:$AC$1407,$AG137)+1))</f>
        <v>EUR</v>
      </c>
      <c r="R137" s="92" t="str">
        <f>IF($AG137="","",IF($G137&gt;0,P_ToelCorrectie&amp;"",""))</f>
        <v/>
      </c>
      <c r="S137" s="15" t="str">
        <f>IF(J137="","",J137&amp;"|"&amp;E137&amp;"|"&amp;F137&amp;"|"&amp;I137&amp;"|"&amp;O137)</f>
        <v>G.900010.8.9090|2026|Q3|2026|BOR actual YTD</v>
      </c>
      <c r="T137" s="111">
        <f>IF(S137="","",IF(COUNTIFS(L_Sleutel,S137,L_Actief,1)=0,"",SUMIFS(L_Waarde,L_Sleutel,S137,L_Actief,1)))</f>
        <v>264654</v>
      </c>
      <c r="U137" s="111">
        <f>IF(OR(S137="",T137=""),0,P137-T137)</f>
        <v>0</v>
      </c>
      <c r="AB137" s="112" t="n">
        <v>10</v>
      </c>
      <c r="AC137" s="112" t="n">
        <v>3</v>
      </c>
      <c r="AD137" s="112">
        <f>VERW_Project!M15</f>
        <v>264654</v>
      </c>
      <c r="AE137" s="112">
        <f>IF(AND(VERW_Project!$A15&lt;&gt;"",ISNUMBER(AD137)),1,0)</f>
        <v>1</v>
      </c>
      <c r="AF137" s="112">
        <f>IF(AE137=1,SUM($AE$8:AE137),"")</f>
        <v>130</v>
      </c>
      <c r="AG137">
        <f>IFERROR(MATCH(130,$AF$8:$AF$1407,0),"")</f>
        <v>130</v>
      </c>
    </row>
    <row r="138">
      <c r="A138" s="92" t="str">
        <f>IF($AG138="","",P_ImportID)</f>
        <v>IMP-2026-Q3-01</v>
      </c>
      <c r="B138" s="92" t="str">
        <f>IF($AG138="","",IF(INDEX($AN$8:$AN$21,INDEX($AC$8:$AC$1407,$AG138)+1)="Z",P_BronZ,P_BronE))</f>
        <v>ZPMW03_FICTIEF_20_projecten.xlsx</v>
      </c>
      <c r="C138" s="108">
        <f>IF($AG138="","",P_Importdatum)</f>
        <v>46324.0</v>
      </c>
      <c r="D138" s="92" t="str">
        <f>IF($AG138="","",P_StatusVastleg)</f>
        <v>Vastgesteld</v>
      </c>
      <c r="E138" s="92">
        <f>IF($AG138="","",P_UploadVJ)</f>
        <v>2026</v>
      </c>
      <c r="F138" s="92" t="str">
        <f>IF($AG138="","",P_UploadVersie)</f>
        <v>Q3</v>
      </c>
      <c r="G138" s="92">
        <f>IF($AG138="","",IF(COUNTIFS(L_Sleutel,$S138,L_Status,"Vastgesteld")=0,0,_xlfn.MAXIFS(L_Revisie,L_Sleutel,$S138,L_Status,"Vastgesteld")+1))</f>
        <v>1</v>
      </c>
      <c r="H138" s="108">
        <f>IF($AG138="","",P_Peildatum)</f>
        <v>46295.0</v>
      </c>
      <c r="I138" s="92">
        <f>IF($AG138="","",P_RJ+INDEX($AK$8:$AK$21,INDEX($AC$8:$AC$1407,$AG138)+1))</f>
        <v>2027</v>
      </c>
      <c r="J138" s="92" t="str">
        <f>IF($AG138="","",INDEX(V_WBS,INDEX($AB$8:$AB$1407,$AG138)))</f>
        <v>G.900010.8.9090</v>
      </c>
      <c r="K138" s="92" t="str">
        <f>IF($AG138="","",INDEX(V_Projdef,INDEX($AB$8:$AB$1407,$AG138)))</f>
        <v>G.900010</v>
      </c>
      <c r="L138" s="92" t="str">
        <f>IF($AG138="","",INDEX(V_Naam,INDEX($AB$8:$AB$1407,$AG138)))</f>
        <v>Veldendam, Groene Singel</v>
      </c>
      <c r="M138" s="92" t="str">
        <f>IF($AG138="","",INDEX(V_Type,INDEX($AB$8:$AB$1407,$AG138)))</f>
        <v>Opstal</v>
      </c>
      <c r="N138" s="92" t="str">
        <f>IF($AG138="","",INDEX(V_IFRS,INDEX($AB$8:$AB$1407,$AG138)))</f>
        <v>J</v>
      </c>
      <c r="O138" s="92" t="str">
        <f>IF($AG138="","",INDEX($AL$8:$AL$21,INDEX($AC$8:$AC$1407,$AG138)+1))</f>
        <v>Omzet FY</v>
      </c>
      <c r="P138" s="109">
        <f>IF($AG138="","",INDEX($AD$8:$AD$1407,$AG138))</f>
        <v>18322200</v>
      </c>
      <c r="Q138" s="92" t="str">
        <f>IF($AG138="","",INDEX($AM$8:$AM$21,INDEX($AC$8:$AC$1407,$AG138)+1))</f>
        <v>EUR</v>
      </c>
      <c r="R138" s="92" t="str">
        <f>IF($AG138="","",IF($G138&gt;0,P_ToelCorrectie&amp;"",""))</f>
        <v/>
      </c>
      <c r="S138" s="15" t="str">
        <f>IF(J138="","",J138&amp;"|"&amp;E138&amp;"|"&amp;F138&amp;"|"&amp;I138&amp;"|"&amp;O138)</f>
        <v>G.900010.8.9090|2026|Q3|2027|Omzet FY</v>
      </c>
      <c r="T138" s="111">
        <f>IF(S138="","",IF(COUNTIFS(L_Sleutel,S138,L_Actief,1)=0,"",SUMIFS(L_Waarde,L_Sleutel,S138,L_Actief,1)))</f>
        <v>18322200</v>
      </c>
      <c r="U138" s="111">
        <f>IF(OR(S138="",T138=""),0,P138-T138)</f>
        <v>0</v>
      </c>
      <c r="AB138" s="112" t="n">
        <v>10</v>
      </c>
      <c r="AC138" s="112" t="n">
        <v>4</v>
      </c>
      <c r="AD138" s="112">
        <f>VERW_Project!R15</f>
        <v>18322200</v>
      </c>
      <c r="AE138" s="112">
        <f>IF(AND(VERW_Project!$A15&lt;&gt;"",ISNUMBER(AD138)),1,0)</f>
        <v>1</v>
      </c>
      <c r="AF138" s="112">
        <f>IF(AE138=1,SUM($AE$8:AE138),"")</f>
        <v>131</v>
      </c>
      <c r="AG138">
        <f>IFERROR(MATCH(131,$AF$8:$AF$1407,0),"")</f>
        <v>131</v>
      </c>
    </row>
    <row r="139">
      <c r="A139" s="92" t="str">
        <f>IF($AG139="","",P_ImportID)</f>
        <v>IMP-2026-Q3-01</v>
      </c>
      <c r="B139" s="92" t="str">
        <f>IF($AG139="","",IF(INDEX($AN$8:$AN$21,INDEX($AC$8:$AC$1407,$AG139)+1)="Z",P_BronZ,P_BronE))</f>
        <v>ZPMW03_FICTIEF_20_projecten.xlsx</v>
      </c>
      <c r="C139" s="108">
        <f>IF($AG139="","",P_Importdatum)</f>
        <v>46324.0</v>
      </c>
      <c r="D139" s="92" t="str">
        <f>IF($AG139="","",P_StatusVastleg)</f>
        <v>Vastgesteld</v>
      </c>
      <c r="E139" s="92">
        <f>IF($AG139="","",P_UploadVJ)</f>
        <v>2026</v>
      </c>
      <c r="F139" s="92" t="str">
        <f>IF($AG139="","",P_UploadVersie)</f>
        <v>Q3</v>
      </c>
      <c r="G139" s="92">
        <f>IF($AG139="","",IF(COUNTIFS(L_Sleutel,$S139,L_Status,"Vastgesteld")=0,0,_xlfn.MAXIFS(L_Revisie,L_Sleutel,$S139,L_Status,"Vastgesteld")+1))</f>
        <v>1</v>
      </c>
      <c r="H139" s="108">
        <f>IF($AG139="","",P_Peildatum)</f>
        <v>46295.0</v>
      </c>
      <c r="I139" s="92">
        <f>IF($AG139="","",P_RJ+INDEX($AK$8:$AK$21,INDEX($AC$8:$AC$1407,$AG139)+1))</f>
        <v>2027</v>
      </c>
      <c r="J139" s="92" t="str">
        <f>IF($AG139="","",INDEX(V_WBS,INDEX($AB$8:$AB$1407,$AG139)))</f>
        <v>G.900010.8.9090</v>
      </c>
      <c r="K139" s="92" t="str">
        <f>IF($AG139="","",INDEX(V_Projdef,INDEX($AB$8:$AB$1407,$AG139)))</f>
        <v>G.900010</v>
      </c>
      <c r="L139" s="92" t="str">
        <f>IF($AG139="","",INDEX(V_Naam,INDEX($AB$8:$AB$1407,$AG139)))</f>
        <v>Veldendam, Groene Singel</v>
      </c>
      <c r="M139" s="92" t="str">
        <f>IF($AG139="","",INDEX(V_Type,INDEX($AB$8:$AB$1407,$AG139)))</f>
        <v>Opstal</v>
      </c>
      <c r="N139" s="92" t="str">
        <f>IF($AG139="","",INDEX(V_IFRS,INDEX($AB$8:$AB$1407,$AG139)))</f>
        <v>J</v>
      </c>
      <c r="O139" s="92" t="str">
        <f>IF($AG139="","",INDEX($AL$8:$AL$21,INDEX($AC$8:$AC$1407,$AG139)+1))</f>
        <v>BOR FY</v>
      </c>
      <c r="P139" s="109">
        <f>IF($AG139="","",INDEX($AD$8:$AD$1407,$AG139))</f>
        <v>2381886</v>
      </c>
      <c r="Q139" s="92" t="str">
        <f>IF($AG139="","",INDEX($AM$8:$AM$21,INDEX($AC$8:$AC$1407,$AG139)+1))</f>
        <v>EUR</v>
      </c>
      <c r="R139" s="92" t="str">
        <f>IF($AG139="","",IF($G139&gt;0,P_ToelCorrectie&amp;"",""))</f>
        <v/>
      </c>
      <c r="S139" s="15" t="str">
        <f>IF(J139="","",J139&amp;"|"&amp;E139&amp;"|"&amp;F139&amp;"|"&amp;I139&amp;"|"&amp;O139)</f>
        <v>G.900010.8.9090|2026|Q3|2027|BOR FY</v>
      </c>
      <c r="T139" s="111">
        <f>IF(S139="","",IF(COUNTIFS(L_Sleutel,S139,L_Actief,1)=0,"",SUMIFS(L_Waarde,L_Sleutel,S139,L_Actief,1)))</f>
        <v>2381886</v>
      </c>
      <c r="U139" s="111">
        <f>IF(OR(S139="",T139=""),0,P139-T139)</f>
        <v>0</v>
      </c>
      <c r="AB139" s="112" t="n">
        <v>10</v>
      </c>
      <c r="AC139" s="112" t="n">
        <v>5</v>
      </c>
      <c r="AD139" s="112">
        <f>VERW_Project!S15</f>
        <v>2381886</v>
      </c>
      <c r="AE139" s="112">
        <f>IF(AND(VERW_Project!$A15&lt;&gt;"",ISNUMBER(AD139)),1,0)</f>
        <v>1</v>
      </c>
      <c r="AF139" s="112">
        <f>IF(AE139=1,SUM($AE$8:AE139),"")</f>
        <v>132</v>
      </c>
      <c r="AG139">
        <f>IFERROR(MATCH(132,$AF$8:$AF$1407,0),"")</f>
        <v>132</v>
      </c>
    </row>
    <row r="140">
      <c r="A140" s="92" t="str">
        <f>IF($AG140="","",P_ImportID)</f>
        <v>IMP-2026-Q3-01</v>
      </c>
      <c r="B140" s="92" t="str">
        <f>IF($AG140="","",IF(INDEX($AN$8:$AN$21,INDEX($AC$8:$AC$1407,$AG140)+1)="Z",P_BronZ,P_BronE))</f>
        <v>Woningetalage_FICTIEF_20_projecten.xlsx</v>
      </c>
      <c r="C140" s="108">
        <f>IF($AG140="","",P_Importdatum)</f>
        <v>46324.0</v>
      </c>
      <c r="D140" s="92" t="str">
        <f>IF($AG140="","",P_StatusVastleg)</f>
        <v>Vastgesteld</v>
      </c>
      <c r="E140" s="92">
        <f>IF($AG140="","",P_UploadVJ)</f>
        <v>2026</v>
      </c>
      <c r="F140" s="92" t="str">
        <f>IF($AG140="","",P_UploadVersie)</f>
        <v>Q3</v>
      </c>
      <c r="G140" s="92">
        <f>IF($AG140="","",IF(COUNTIFS(L_Sleutel,$S140,L_Status,"Vastgesteld")=0,0,_xlfn.MAXIFS(L_Revisie,L_Sleutel,$S140,L_Status,"Vastgesteld")+1))</f>
        <v>1</v>
      </c>
      <c r="H140" s="108">
        <f>IF($AG140="","",P_Peildatum)</f>
        <v>46295.0</v>
      </c>
      <c r="I140" s="92">
        <f>IF($AG140="","",P_RJ+INDEX($AK$8:$AK$21,INDEX($AC$8:$AC$1407,$AG140)+1))</f>
        <v>2026</v>
      </c>
      <c r="J140" s="92" t="str">
        <f>IF($AG140="","",INDEX(V_WBS,INDEX($AB$8:$AB$1407,$AG140)))</f>
        <v>G.900010.8.9090</v>
      </c>
      <c r="K140" s="92" t="str">
        <f>IF($AG140="","",INDEX(V_Projdef,INDEX($AB$8:$AB$1407,$AG140)))</f>
        <v>G.900010</v>
      </c>
      <c r="L140" s="92" t="str">
        <f>IF($AG140="","",INDEX(V_Naam,INDEX($AB$8:$AB$1407,$AG140)))</f>
        <v>Veldendam, Groene Singel</v>
      </c>
      <c r="M140" s="92" t="str">
        <f>IF($AG140="","",INDEX(V_Type,INDEX($AB$8:$AB$1407,$AG140)))</f>
        <v>Opstal</v>
      </c>
      <c r="N140" s="92" t="str">
        <f>IF($AG140="","",INDEX(V_IFRS,INDEX($AB$8:$AB$1407,$AG140)))</f>
        <v>J</v>
      </c>
      <c r="O140" s="92" t="str">
        <f>IF($AG140="","",INDEX($AL$8:$AL$21,INDEX($AC$8:$AC$1407,$AG140)+1))</f>
        <v>Woningverkopen FY</v>
      </c>
      <c r="P140" s="109">
        <f>IF($AG140="","",INDEX($AD$8:$AD$1407,$AG140))</f>
        <v>18</v>
      </c>
      <c r="Q140" s="92" t="str">
        <f>IF($AG140="","",INDEX($AM$8:$AM$21,INDEX($AC$8:$AC$1407,$AG140)+1))</f>
        <v>aantal</v>
      </c>
      <c r="R140" s="92" t="str">
        <f>IF($AG140="","",IF($G140&gt;0,P_ToelCorrectie&amp;"",""))</f>
        <v/>
      </c>
      <c r="S140" s="15" t="str">
        <f>IF(J140="","",J140&amp;"|"&amp;E140&amp;"|"&amp;F140&amp;"|"&amp;I140&amp;"|"&amp;O140)</f>
        <v>G.900010.8.9090|2026|Q3|2026|Woningverkopen FY</v>
      </c>
      <c r="T140" s="111">
        <f>IF(S140="","",IF(COUNTIFS(L_Sleutel,S140,L_Actief,1)=0,"",SUMIFS(L_Waarde,L_Sleutel,S140,L_Actief,1)))</f>
        <v>18</v>
      </c>
      <c r="U140" s="111">
        <f>IF(OR(S140="",T140=""),0,P140-T140)</f>
        <v>0</v>
      </c>
      <c r="AB140" s="112" t="n">
        <v>10</v>
      </c>
      <c r="AC140" s="112" t="n">
        <v>6</v>
      </c>
      <c r="AD140" s="112">
        <f>VERW_Project!BW15</f>
        <v>18</v>
      </c>
      <c r="AE140" s="112">
        <f>IF(AND(VERW_Project!$A15&lt;&gt;"",ISNUMBER(AD140)),1,0)</f>
        <v>1</v>
      </c>
      <c r="AF140" s="112">
        <f>IF(AE140=1,SUM($AE$8:AE140),"")</f>
        <v>133</v>
      </c>
      <c r="AG140">
        <f>IFERROR(MATCH(133,$AF$8:$AF$1407,0),"")</f>
        <v>133</v>
      </c>
    </row>
    <row r="141">
      <c r="A141" s="92" t="str">
        <f>IF($AG141="","",P_ImportID)</f>
        <v>IMP-2026-Q3-01</v>
      </c>
      <c r="B141" s="92" t="str">
        <f>IF($AG141="","",IF(INDEX($AN$8:$AN$21,INDEX($AC$8:$AC$1407,$AG141)+1)="Z",P_BronZ,P_BronE))</f>
        <v>Woningetalage_FICTIEF_20_projecten.xlsx</v>
      </c>
      <c r="C141" s="108">
        <f>IF($AG141="","",P_Importdatum)</f>
        <v>46324.0</v>
      </c>
      <c r="D141" s="92" t="str">
        <f>IF($AG141="","",P_StatusVastleg)</f>
        <v>Vastgesteld</v>
      </c>
      <c r="E141" s="92">
        <f>IF($AG141="","",P_UploadVJ)</f>
        <v>2026</v>
      </c>
      <c r="F141" s="92" t="str">
        <f>IF($AG141="","",P_UploadVersie)</f>
        <v>Q3</v>
      </c>
      <c r="G141" s="92">
        <f>IF($AG141="","",IF(COUNTIFS(L_Sleutel,$S141,L_Status,"Vastgesteld")=0,0,_xlfn.MAXIFS(L_Revisie,L_Sleutel,$S141,L_Status,"Vastgesteld")+1))</f>
        <v>1</v>
      </c>
      <c r="H141" s="108">
        <f>IF($AG141="","",P_Peildatum)</f>
        <v>46295.0</v>
      </c>
      <c r="I141" s="92">
        <f>IF($AG141="","",P_RJ+INDEX($AK$8:$AK$21,INDEX($AC$8:$AC$1407,$AG141)+1))</f>
        <v>2026</v>
      </c>
      <c r="J141" s="92" t="str">
        <f>IF($AG141="","",INDEX(V_WBS,INDEX($AB$8:$AB$1407,$AG141)))</f>
        <v>G.900010.8.9090</v>
      </c>
      <c r="K141" s="92" t="str">
        <f>IF($AG141="","",INDEX(V_Projdef,INDEX($AB$8:$AB$1407,$AG141)))</f>
        <v>G.900010</v>
      </c>
      <c r="L141" s="92" t="str">
        <f>IF($AG141="","",INDEX(V_Naam,INDEX($AB$8:$AB$1407,$AG141)))</f>
        <v>Veldendam, Groene Singel</v>
      </c>
      <c r="M141" s="92" t="str">
        <f>IF($AG141="","",INDEX(V_Type,INDEX($AB$8:$AB$1407,$AG141)))</f>
        <v>Opstal</v>
      </c>
      <c r="N141" s="92" t="str">
        <f>IF($AG141="","",INDEX(V_IFRS,INDEX($AB$8:$AB$1407,$AG141)))</f>
        <v>J</v>
      </c>
      <c r="O141" s="92" t="str">
        <f>IF($AG141="","",INDEX($AL$8:$AL$21,INDEX($AC$8:$AC$1407,$AG141)+1))</f>
        <v>Woningen verkocht t/m vorig jaar</v>
      </c>
      <c r="P141" s="109">
        <f>IF($AG141="","",INDEX($AD$8:$AD$1407,$AG141))</f>
        <v>0</v>
      </c>
      <c r="Q141" s="92" t="str">
        <f>IF($AG141="","",INDEX($AM$8:$AM$21,INDEX($AC$8:$AC$1407,$AG141)+1))</f>
        <v>aantal</v>
      </c>
      <c r="R141" s="92" t="str">
        <f>IF($AG141="","",IF($G141&gt;0,P_ToelCorrectie&amp;"",""))</f>
        <v/>
      </c>
      <c r="S141" s="15" t="str">
        <f>IF(J141="","",J141&amp;"|"&amp;E141&amp;"|"&amp;F141&amp;"|"&amp;I141&amp;"|"&amp;O141)</f>
        <v>G.900010.8.9090|2026|Q3|2026|Woningen verkocht t/m vorig jaar</v>
      </c>
      <c r="T141" s="111">
        <f>IF(S141="","",IF(COUNTIFS(L_Sleutel,S141,L_Actief,1)=0,"",SUMIFS(L_Waarde,L_Sleutel,S141,L_Actief,1)))</f>
        <v>0</v>
      </c>
      <c r="U141" s="111">
        <f>IF(OR(S141="",T141=""),0,P141-T141)</f>
        <v>0</v>
      </c>
      <c r="AB141" s="112" t="n">
        <v>10</v>
      </c>
      <c r="AC141" s="112" t="n">
        <v>7</v>
      </c>
      <c r="AD141" s="112">
        <f>VERW_Project!AW15</f>
        <v>0</v>
      </c>
      <c r="AE141" s="112">
        <f>IF(AND(VERW_Project!$A15&lt;&gt;"",ISNUMBER(AD141)),1,0)</f>
        <v>1</v>
      </c>
      <c r="AF141" s="112">
        <f>IF(AE141=1,SUM($AE$8:AE141),"")</f>
        <v>134</v>
      </c>
      <c r="AG141">
        <f>IFERROR(MATCH(134,$AF$8:$AF$1407,0),"")</f>
        <v>134</v>
      </c>
    </row>
    <row r="142">
      <c r="A142" s="92" t="str">
        <f>IF($AG142="","",P_ImportID)</f>
        <v>IMP-2026-Q3-01</v>
      </c>
      <c r="B142" s="92" t="str">
        <f>IF($AG142="","",IF(INDEX($AN$8:$AN$21,INDEX($AC$8:$AC$1407,$AG142)+1)="Z",P_BronZ,P_BronE))</f>
        <v>Woningetalage_FICTIEF_20_projecten.xlsx</v>
      </c>
      <c r="C142" s="108">
        <f>IF($AG142="","",P_Importdatum)</f>
        <v>46324.0</v>
      </c>
      <c r="D142" s="92" t="str">
        <f>IF($AG142="","",P_StatusVastleg)</f>
        <v>Vastgesteld</v>
      </c>
      <c r="E142" s="92">
        <f>IF($AG142="","",P_UploadVJ)</f>
        <v>2026</v>
      </c>
      <c r="F142" s="92" t="str">
        <f>IF($AG142="","",P_UploadVersie)</f>
        <v>Q3</v>
      </c>
      <c r="G142" s="92">
        <f>IF($AG142="","",IF(COUNTIFS(L_Sleutel,$S142,L_Status,"Vastgesteld")=0,0,_xlfn.MAXIFS(L_Revisie,L_Sleutel,$S142,L_Status,"Vastgesteld")+1))</f>
        <v>1</v>
      </c>
      <c r="H142" s="108">
        <f>IF($AG142="","",P_Peildatum)</f>
        <v>46295.0</v>
      </c>
      <c r="I142" s="92">
        <f>IF($AG142="","",P_RJ+INDEX($AK$8:$AK$21,INDEX($AC$8:$AC$1407,$AG142)+1))</f>
        <v>2026</v>
      </c>
      <c r="J142" s="92" t="str">
        <f>IF($AG142="","",INDEX(V_WBS,INDEX($AB$8:$AB$1407,$AG142)))</f>
        <v>G.900010.8.9090</v>
      </c>
      <c r="K142" s="92" t="str">
        <f>IF($AG142="","",INDEX(V_Projdef,INDEX($AB$8:$AB$1407,$AG142)))</f>
        <v>G.900010</v>
      </c>
      <c r="L142" s="92" t="str">
        <f>IF($AG142="","",INDEX(V_Naam,INDEX($AB$8:$AB$1407,$AG142)))</f>
        <v>Veldendam, Groene Singel</v>
      </c>
      <c r="M142" s="92" t="str">
        <f>IF($AG142="","",INDEX(V_Type,INDEX($AB$8:$AB$1407,$AG142)))</f>
        <v>Opstal</v>
      </c>
      <c r="N142" s="92" t="str">
        <f>IF($AG142="","",INDEX(V_IFRS,INDEX($AB$8:$AB$1407,$AG142)))</f>
        <v>J</v>
      </c>
      <c r="O142" s="92" t="str">
        <f>IF($AG142="","",INDEX($AL$8:$AL$21,INDEX($AC$8:$AC$1407,$AG142)+1))</f>
        <v>Woningverkopen Q1</v>
      </c>
      <c r="P142" s="109">
        <f>IF($AG142="","",INDEX($AD$8:$AD$1407,$AG142))</f>
        <v>1</v>
      </c>
      <c r="Q142" s="92" t="str">
        <f>IF($AG142="","",INDEX($AM$8:$AM$21,INDEX($AC$8:$AC$1407,$AG142)+1))</f>
        <v>aantal</v>
      </c>
      <c r="R142" s="92" t="str">
        <f>IF($AG142="","",IF($G142&gt;0,P_ToelCorrectie&amp;"",""))</f>
        <v/>
      </c>
      <c r="S142" s="15" t="str">
        <f>IF(J142="","",J142&amp;"|"&amp;E142&amp;"|"&amp;F142&amp;"|"&amp;I142&amp;"|"&amp;O142)</f>
        <v>G.900010.8.9090|2026|Q3|2026|Woningverkopen Q1</v>
      </c>
      <c r="T142" s="111">
        <f>IF(S142="","",IF(COUNTIFS(L_Sleutel,S142,L_Actief,1)=0,"",SUMIFS(L_Waarde,L_Sleutel,S142,L_Actief,1)))</f>
        <v>1</v>
      </c>
      <c r="U142" s="111">
        <f>IF(OR(S142="",T142=""),0,P142-T142)</f>
        <v>0</v>
      </c>
      <c r="AB142" s="112" t="n">
        <v>10</v>
      </c>
      <c r="AC142" s="112" t="n">
        <v>8</v>
      </c>
      <c r="AD142" s="112">
        <f>VERW_Project!BQ15</f>
        <v>1</v>
      </c>
      <c r="AE142" s="112">
        <f>IF(AND(VERW_Project!$A15&lt;&gt;"",ISNUMBER(AD142)),1,0)</f>
        <v>1</v>
      </c>
      <c r="AF142" s="112">
        <f>IF(AE142=1,SUM($AE$8:AE142),"")</f>
        <v>135</v>
      </c>
      <c r="AG142">
        <f>IFERROR(MATCH(135,$AF$8:$AF$1407,0),"")</f>
        <v>135</v>
      </c>
    </row>
    <row r="143">
      <c r="A143" s="92" t="str">
        <f>IF($AG143="","",P_ImportID)</f>
        <v>IMP-2026-Q3-01</v>
      </c>
      <c r="B143" s="92" t="str">
        <f>IF($AG143="","",IF(INDEX($AN$8:$AN$21,INDEX($AC$8:$AC$1407,$AG143)+1)="Z",P_BronZ,P_BronE))</f>
        <v>Woningetalage_FICTIEF_20_projecten.xlsx</v>
      </c>
      <c r="C143" s="108">
        <f>IF($AG143="","",P_Importdatum)</f>
        <v>46324.0</v>
      </c>
      <c r="D143" s="92" t="str">
        <f>IF($AG143="","",P_StatusVastleg)</f>
        <v>Vastgesteld</v>
      </c>
      <c r="E143" s="92">
        <f>IF($AG143="","",P_UploadVJ)</f>
        <v>2026</v>
      </c>
      <c r="F143" s="92" t="str">
        <f>IF($AG143="","",P_UploadVersie)</f>
        <v>Q3</v>
      </c>
      <c r="G143" s="92">
        <f>IF($AG143="","",IF(COUNTIFS(L_Sleutel,$S143,L_Status,"Vastgesteld")=0,0,_xlfn.MAXIFS(L_Revisie,L_Sleutel,$S143,L_Status,"Vastgesteld")+1))</f>
        <v>1</v>
      </c>
      <c r="H143" s="108">
        <f>IF($AG143="","",P_Peildatum)</f>
        <v>46295.0</v>
      </c>
      <c r="I143" s="92">
        <f>IF($AG143="","",P_RJ+INDEX($AK$8:$AK$21,INDEX($AC$8:$AC$1407,$AG143)+1))</f>
        <v>2026</v>
      </c>
      <c r="J143" s="92" t="str">
        <f>IF($AG143="","",INDEX(V_WBS,INDEX($AB$8:$AB$1407,$AG143)))</f>
        <v>G.900010.8.9090</v>
      </c>
      <c r="K143" s="92" t="str">
        <f>IF($AG143="","",INDEX(V_Projdef,INDEX($AB$8:$AB$1407,$AG143)))</f>
        <v>G.900010</v>
      </c>
      <c r="L143" s="92" t="str">
        <f>IF($AG143="","",INDEX(V_Naam,INDEX($AB$8:$AB$1407,$AG143)))</f>
        <v>Veldendam, Groene Singel</v>
      </c>
      <c r="M143" s="92" t="str">
        <f>IF($AG143="","",INDEX(V_Type,INDEX($AB$8:$AB$1407,$AG143)))</f>
        <v>Opstal</v>
      </c>
      <c r="N143" s="92" t="str">
        <f>IF($AG143="","",INDEX(V_IFRS,INDEX($AB$8:$AB$1407,$AG143)))</f>
        <v>J</v>
      </c>
      <c r="O143" s="92" t="str">
        <f>IF($AG143="","",INDEX($AL$8:$AL$21,INDEX($AC$8:$AC$1407,$AG143)+1))</f>
        <v>Woningverkopen Q2</v>
      </c>
      <c r="P143" s="109">
        <f>IF($AG143="","",INDEX($AD$8:$AD$1407,$AG143))</f>
        <v>4</v>
      </c>
      <c r="Q143" s="92" t="str">
        <f>IF($AG143="","",INDEX($AM$8:$AM$21,INDEX($AC$8:$AC$1407,$AG143)+1))</f>
        <v>aantal</v>
      </c>
      <c r="R143" s="92" t="str">
        <f>IF($AG143="","",IF($G143&gt;0,P_ToelCorrectie&amp;"",""))</f>
        <v/>
      </c>
      <c r="S143" s="15" t="str">
        <f>IF(J143="","",J143&amp;"|"&amp;E143&amp;"|"&amp;F143&amp;"|"&amp;I143&amp;"|"&amp;O143)</f>
        <v>G.900010.8.9090|2026|Q3|2026|Woningverkopen Q2</v>
      </c>
      <c r="T143" s="111">
        <f>IF(S143="","",IF(COUNTIFS(L_Sleutel,S143,L_Actief,1)=0,"",SUMIFS(L_Waarde,L_Sleutel,S143,L_Actief,1)))</f>
        <v>4</v>
      </c>
      <c r="U143" s="111">
        <f>IF(OR(S143="",T143=""),0,P143-T143)</f>
        <v>0</v>
      </c>
      <c r="AB143" s="112" t="n">
        <v>10</v>
      </c>
      <c r="AC143" s="112" t="n">
        <v>9</v>
      </c>
      <c r="AD143" s="112">
        <f>VERW_Project!BR15</f>
        <v>4</v>
      </c>
      <c r="AE143" s="112">
        <f>IF(AND(VERW_Project!$A15&lt;&gt;"",ISNUMBER(AD143)),1,0)</f>
        <v>1</v>
      </c>
      <c r="AF143" s="112">
        <f>IF(AE143=1,SUM($AE$8:AE143),"")</f>
        <v>136</v>
      </c>
      <c r="AG143">
        <f>IFERROR(MATCH(136,$AF$8:$AF$1407,0),"")</f>
        <v>136</v>
      </c>
    </row>
    <row r="144">
      <c r="A144" s="92" t="str">
        <f>IF($AG144="","",P_ImportID)</f>
        <v>IMP-2026-Q3-01</v>
      </c>
      <c r="B144" s="92" t="str">
        <f>IF($AG144="","",IF(INDEX($AN$8:$AN$21,INDEX($AC$8:$AC$1407,$AG144)+1)="Z",P_BronZ,P_BronE))</f>
        <v>Woningetalage_FICTIEF_20_projecten.xlsx</v>
      </c>
      <c r="C144" s="108">
        <f>IF($AG144="","",P_Importdatum)</f>
        <v>46324.0</v>
      </c>
      <c r="D144" s="92" t="str">
        <f>IF($AG144="","",P_StatusVastleg)</f>
        <v>Vastgesteld</v>
      </c>
      <c r="E144" s="92">
        <f>IF($AG144="","",P_UploadVJ)</f>
        <v>2026</v>
      </c>
      <c r="F144" s="92" t="str">
        <f>IF($AG144="","",P_UploadVersie)</f>
        <v>Q3</v>
      </c>
      <c r="G144" s="92">
        <f>IF($AG144="","",IF(COUNTIFS(L_Sleutel,$S144,L_Status,"Vastgesteld")=0,0,_xlfn.MAXIFS(L_Revisie,L_Sleutel,$S144,L_Status,"Vastgesteld")+1))</f>
        <v>1</v>
      </c>
      <c r="H144" s="108">
        <f>IF($AG144="","",P_Peildatum)</f>
        <v>46295.0</v>
      </c>
      <c r="I144" s="92">
        <f>IF($AG144="","",P_RJ+INDEX($AK$8:$AK$21,INDEX($AC$8:$AC$1407,$AG144)+1))</f>
        <v>2026</v>
      </c>
      <c r="J144" s="92" t="str">
        <f>IF($AG144="","",INDEX(V_WBS,INDEX($AB$8:$AB$1407,$AG144)))</f>
        <v>G.900010.8.9090</v>
      </c>
      <c r="K144" s="92" t="str">
        <f>IF($AG144="","",INDEX(V_Projdef,INDEX($AB$8:$AB$1407,$AG144)))</f>
        <v>G.900010</v>
      </c>
      <c r="L144" s="92" t="str">
        <f>IF($AG144="","",INDEX(V_Naam,INDEX($AB$8:$AB$1407,$AG144)))</f>
        <v>Veldendam, Groene Singel</v>
      </c>
      <c r="M144" s="92" t="str">
        <f>IF($AG144="","",INDEX(V_Type,INDEX($AB$8:$AB$1407,$AG144)))</f>
        <v>Opstal</v>
      </c>
      <c r="N144" s="92" t="str">
        <f>IF($AG144="","",INDEX(V_IFRS,INDEX($AB$8:$AB$1407,$AG144)))</f>
        <v>J</v>
      </c>
      <c r="O144" s="92" t="str">
        <f>IF($AG144="","",INDEX($AL$8:$AL$21,INDEX($AC$8:$AC$1407,$AG144)+1))</f>
        <v>Woningverkopen Q3</v>
      </c>
      <c r="P144" s="109">
        <f>IF($AG144="","",INDEX($AD$8:$AD$1407,$AG144))</f>
        <v>4</v>
      </c>
      <c r="Q144" s="92" t="str">
        <f>IF($AG144="","",INDEX($AM$8:$AM$21,INDEX($AC$8:$AC$1407,$AG144)+1))</f>
        <v>aantal</v>
      </c>
      <c r="R144" s="92" t="str">
        <f>IF($AG144="","",IF($G144&gt;0,P_ToelCorrectie&amp;"",""))</f>
        <v/>
      </c>
      <c r="S144" s="15" t="str">
        <f>IF(J144="","",J144&amp;"|"&amp;E144&amp;"|"&amp;F144&amp;"|"&amp;I144&amp;"|"&amp;O144)</f>
        <v>G.900010.8.9090|2026|Q3|2026|Woningverkopen Q3</v>
      </c>
      <c r="T144" s="111">
        <f>IF(S144="","",IF(COUNTIFS(L_Sleutel,S144,L_Actief,1)=0,"",SUMIFS(L_Waarde,L_Sleutel,S144,L_Actief,1)))</f>
        <v>4</v>
      </c>
      <c r="U144" s="111">
        <f>IF(OR(S144="",T144=""),0,P144-T144)</f>
        <v>0</v>
      </c>
      <c r="AB144" s="112" t="n">
        <v>10</v>
      </c>
      <c r="AC144" s="112" t="n">
        <v>10</v>
      </c>
      <c r="AD144" s="112">
        <f>VERW_Project!BS15</f>
        <v>4</v>
      </c>
      <c r="AE144" s="112">
        <f>IF(AND(VERW_Project!$A15&lt;&gt;"",ISNUMBER(AD144)),1,0)</f>
        <v>1</v>
      </c>
      <c r="AF144" s="112">
        <f>IF(AE144=1,SUM($AE$8:AE144),"")</f>
        <v>137</v>
      </c>
      <c r="AG144">
        <f>IFERROR(MATCH(137,$AF$8:$AF$1407,0),"")</f>
        <v>137</v>
      </c>
    </row>
    <row r="145">
      <c r="A145" s="92" t="str">
        <f>IF($AG145="","",P_ImportID)</f>
        <v>IMP-2026-Q3-01</v>
      </c>
      <c r="B145" s="92" t="str">
        <f>IF($AG145="","",IF(INDEX($AN$8:$AN$21,INDEX($AC$8:$AC$1407,$AG145)+1)="Z",P_BronZ,P_BronE))</f>
        <v>Woningetalage_FICTIEF_20_projecten.xlsx</v>
      </c>
      <c r="C145" s="108">
        <f>IF($AG145="","",P_Importdatum)</f>
        <v>46324.0</v>
      </c>
      <c r="D145" s="92" t="str">
        <f>IF($AG145="","",P_StatusVastleg)</f>
        <v>Vastgesteld</v>
      </c>
      <c r="E145" s="92">
        <f>IF($AG145="","",P_UploadVJ)</f>
        <v>2026</v>
      </c>
      <c r="F145" s="92" t="str">
        <f>IF($AG145="","",P_UploadVersie)</f>
        <v>Q3</v>
      </c>
      <c r="G145" s="92">
        <f>IF($AG145="","",IF(COUNTIFS(L_Sleutel,$S145,L_Status,"Vastgesteld")=0,0,_xlfn.MAXIFS(L_Revisie,L_Sleutel,$S145,L_Status,"Vastgesteld")+1))</f>
        <v>1</v>
      </c>
      <c r="H145" s="108">
        <f>IF($AG145="","",P_Peildatum)</f>
        <v>46295.0</v>
      </c>
      <c r="I145" s="92">
        <f>IF($AG145="","",P_RJ+INDEX($AK$8:$AK$21,INDEX($AC$8:$AC$1407,$AG145)+1))</f>
        <v>2026</v>
      </c>
      <c r="J145" s="92" t="str">
        <f>IF($AG145="","",INDEX(V_WBS,INDEX($AB$8:$AB$1407,$AG145)))</f>
        <v>G.900010.8.9090</v>
      </c>
      <c r="K145" s="92" t="str">
        <f>IF($AG145="","",INDEX(V_Projdef,INDEX($AB$8:$AB$1407,$AG145)))</f>
        <v>G.900010</v>
      </c>
      <c r="L145" s="92" t="str">
        <f>IF($AG145="","",INDEX(V_Naam,INDEX($AB$8:$AB$1407,$AG145)))</f>
        <v>Veldendam, Groene Singel</v>
      </c>
      <c r="M145" s="92" t="str">
        <f>IF($AG145="","",INDEX(V_Type,INDEX($AB$8:$AB$1407,$AG145)))</f>
        <v>Opstal</v>
      </c>
      <c r="N145" s="92" t="str">
        <f>IF($AG145="","",INDEX(V_IFRS,INDEX($AB$8:$AB$1407,$AG145)))</f>
        <v>J</v>
      </c>
      <c r="O145" s="92" t="str">
        <f>IF($AG145="","",INDEX($AL$8:$AL$21,INDEX($AC$8:$AC$1407,$AG145)+1))</f>
        <v>Woningverkopen Q4</v>
      </c>
      <c r="P145" s="109">
        <f>IF($AG145="","",INDEX($AD$8:$AD$1407,$AG145))</f>
        <v>9</v>
      </c>
      <c r="Q145" s="92" t="str">
        <f>IF($AG145="","",INDEX($AM$8:$AM$21,INDEX($AC$8:$AC$1407,$AG145)+1))</f>
        <v>aantal</v>
      </c>
      <c r="R145" s="92" t="str">
        <f>IF($AG145="","",IF($G145&gt;0,P_ToelCorrectie&amp;"",""))</f>
        <v/>
      </c>
      <c r="S145" s="15" t="str">
        <f>IF(J145="","",J145&amp;"|"&amp;E145&amp;"|"&amp;F145&amp;"|"&amp;I145&amp;"|"&amp;O145)</f>
        <v>G.900010.8.9090|2026|Q3|2026|Woningverkopen Q4</v>
      </c>
      <c r="T145" s="111">
        <f>IF(S145="","",IF(COUNTIFS(L_Sleutel,S145,L_Actief,1)=0,"",SUMIFS(L_Waarde,L_Sleutel,S145,L_Actief,1)))</f>
        <v>9</v>
      </c>
      <c r="U145" s="111">
        <f>IF(OR(S145="",T145=""),0,P145-T145)</f>
        <v>0</v>
      </c>
      <c r="AB145" s="112" t="n">
        <v>10</v>
      </c>
      <c r="AC145" s="112" t="n">
        <v>11</v>
      </c>
      <c r="AD145" s="112">
        <f>VERW_Project!BT15</f>
        <v>9</v>
      </c>
      <c r="AE145" s="112">
        <f>IF(AND(VERW_Project!$A15&lt;&gt;"",ISNUMBER(AD145)),1,0)</f>
        <v>1</v>
      </c>
      <c r="AF145" s="112">
        <f>IF(AE145=1,SUM($AE$8:AE145),"")</f>
        <v>138</v>
      </c>
      <c r="AG145">
        <f>IFERROR(MATCH(138,$AF$8:$AF$1407,0),"")</f>
        <v>138</v>
      </c>
    </row>
    <row r="146">
      <c r="A146" s="92" t="str">
        <f>IF($AG146="","",P_ImportID)</f>
        <v>IMP-2026-Q3-01</v>
      </c>
      <c r="B146" s="92" t="str">
        <f>IF($AG146="","",IF(INDEX($AN$8:$AN$21,INDEX($AC$8:$AC$1407,$AG146)+1)="Z",P_BronZ,P_BronE))</f>
        <v>Woningetalage_FICTIEF_20_projecten.xlsx</v>
      </c>
      <c r="C146" s="108">
        <f>IF($AG146="","",P_Importdatum)</f>
        <v>46324.0</v>
      </c>
      <c r="D146" s="92" t="str">
        <f>IF($AG146="","",P_StatusVastleg)</f>
        <v>Vastgesteld</v>
      </c>
      <c r="E146" s="92">
        <f>IF($AG146="","",P_UploadVJ)</f>
        <v>2026</v>
      </c>
      <c r="F146" s="92" t="str">
        <f>IF($AG146="","",P_UploadVersie)</f>
        <v>Q3</v>
      </c>
      <c r="G146" s="92">
        <f>IF($AG146="","",IF(COUNTIFS(L_Sleutel,$S146,L_Status,"Vastgesteld")=0,0,_xlfn.MAXIFS(L_Revisie,L_Sleutel,$S146,L_Status,"Vastgesteld")+1))</f>
        <v>1</v>
      </c>
      <c r="H146" s="108">
        <f>IF($AG146="","",P_Peildatum)</f>
        <v>46295.0</v>
      </c>
      <c r="I146" s="92">
        <f>IF($AG146="","",P_RJ+INDEX($AK$8:$AK$21,INDEX($AC$8:$AC$1407,$AG146)+1))</f>
        <v>2026</v>
      </c>
      <c r="J146" s="92" t="str">
        <f>IF($AG146="","",INDEX(V_WBS,INDEX($AB$8:$AB$1407,$AG146)))</f>
        <v>G.900010.8.9090</v>
      </c>
      <c r="K146" s="92" t="str">
        <f>IF($AG146="","",INDEX(V_Projdef,INDEX($AB$8:$AB$1407,$AG146)))</f>
        <v>G.900010</v>
      </c>
      <c r="L146" s="92" t="str">
        <f>IF($AG146="","",INDEX(V_Naam,INDEX($AB$8:$AB$1407,$AG146)))</f>
        <v>Veldendam, Groene Singel</v>
      </c>
      <c r="M146" s="92" t="str">
        <f>IF($AG146="","",INDEX(V_Type,INDEX($AB$8:$AB$1407,$AG146)))</f>
        <v>Opstal</v>
      </c>
      <c r="N146" s="92" t="str">
        <f>IF($AG146="","",INDEX(V_IFRS,INDEX($AB$8:$AB$1407,$AG146)))</f>
        <v>J</v>
      </c>
      <c r="O146" s="92" t="str">
        <f>IF($AG146="","",INDEX($AL$8:$AL$21,INDEX($AC$8:$AC$1407,$AG146)+1))</f>
        <v>Woningverkopen actual YTD</v>
      </c>
      <c r="P146" s="109">
        <f>IF($AG146="","",INDEX($AD$8:$AD$1407,$AG146))</f>
        <v>9</v>
      </c>
      <c r="Q146" s="92" t="str">
        <f>IF($AG146="","",INDEX($AM$8:$AM$21,INDEX($AC$8:$AC$1407,$AG146)+1))</f>
        <v>aantal</v>
      </c>
      <c r="R146" s="92" t="str">
        <f>IF($AG146="","",IF($G146&gt;0,P_ToelCorrectie&amp;"",""))</f>
        <v/>
      </c>
      <c r="S146" s="15" t="str">
        <f>IF(J146="","",J146&amp;"|"&amp;E146&amp;"|"&amp;F146&amp;"|"&amp;I146&amp;"|"&amp;O146)</f>
        <v>G.900010.8.9090|2026|Q3|2026|Woningverkopen actual YTD</v>
      </c>
      <c r="T146" s="111">
        <f>IF(S146="","",IF(COUNTIFS(L_Sleutel,S146,L_Actief,1)=0,"",SUMIFS(L_Waarde,L_Sleutel,S146,L_Actief,1)))</f>
        <v>9</v>
      </c>
      <c r="U146" s="111">
        <f>IF(OR(S146="",T146=""),0,P146-T146)</f>
        <v>0</v>
      </c>
      <c r="AB146" s="112" t="n">
        <v>10</v>
      </c>
      <c r="AC146" s="112" t="n">
        <v>12</v>
      </c>
      <c r="AD146" s="112">
        <f>VERW_Project!BU15</f>
        <v>9</v>
      </c>
      <c r="AE146" s="112">
        <f>IF(AND(VERW_Project!$A15&lt;&gt;"",ISNUMBER(AD146)),1,0)</f>
        <v>1</v>
      </c>
      <c r="AF146" s="112">
        <f>IF(AE146=1,SUM($AE$8:AE146),"")</f>
        <v>139</v>
      </c>
      <c r="AG146">
        <f>IFERROR(MATCH(139,$AF$8:$AF$1407,0),"")</f>
        <v>139</v>
      </c>
    </row>
    <row r="147">
      <c r="A147" s="92" t="str">
        <f>IF($AG147="","",P_ImportID)</f>
        <v>IMP-2026-Q3-01</v>
      </c>
      <c r="B147" s="92" t="str">
        <f>IF($AG147="","",IF(INDEX($AN$8:$AN$21,INDEX($AC$8:$AC$1407,$AG147)+1)="Z",P_BronZ,P_BronE))</f>
        <v>Woningetalage_FICTIEF_20_projecten.xlsx</v>
      </c>
      <c r="C147" s="108">
        <f>IF($AG147="","",P_Importdatum)</f>
        <v>46324.0</v>
      </c>
      <c r="D147" s="92" t="str">
        <f>IF($AG147="","",P_StatusVastleg)</f>
        <v>Vastgesteld</v>
      </c>
      <c r="E147" s="92">
        <f>IF($AG147="","",P_UploadVJ)</f>
        <v>2026</v>
      </c>
      <c r="F147" s="92" t="str">
        <f>IF($AG147="","",P_UploadVersie)</f>
        <v>Q3</v>
      </c>
      <c r="G147" s="92">
        <f>IF($AG147="","",IF(COUNTIFS(L_Sleutel,$S147,L_Status,"Vastgesteld")=0,0,_xlfn.MAXIFS(L_Revisie,L_Sleutel,$S147,L_Status,"Vastgesteld")+1))</f>
        <v>0</v>
      </c>
      <c r="H147" s="108">
        <f>IF($AG147="","",P_Peildatum)</f>
        <v>46295.0</v>
      </c>
      <c r="I147" s="92">
        <f>IF($AG147="","",P_RJ+INDEX($AK$8:$AK$21,INDEX($AC$8:$AC$1407,$AG147)+1))</f>
        <v>2027</v>
      </c>
      <c r="J147" s="92" t="str">
        <f>IF($AG147="","",INDEX(V_WBS,INDEX($AB$8:$AB$1407,$AG147)))</f>
        <v>G.900010.8.9090</v>
      </c>
      <c r="K147" s="92" t="str">
        <f>IF($AG147="","",INDEX(V_Projdef,INDEX($AB$8:$AB$1407,$AG147)))</f>
        <v>G.900010</v>
      </c>
      <c r="L147" s="92" t="str">
        <f>IF($AG147="","",INDEX(V_Naam,INDEX($AB$8:$AB$1407,$AG147)))</f>
        <v>Veldendam, Groene Singel</v>
      </c>
      <c r="M147" s="92" t="str">
        <f>IF($AG147="","",INDEX(V_Type,INDEX($AB$8:$AB$1407,$AG147)))</f>
        <v>Opstal</v>
      </c>
      <c r="N147" s="92" t="str">
        <f>IF($AG147="","",INDEX(V_IFRS,INDEX($AB$8:$AB$1407,$AG147)))</f>
        <v>J</v>
      </c>
      <c r="O147" s="92" t="str">
        <f>IF($AG147="","",INDEX($AL$8:$AL$21,INDEX($AC$8:$AC$1407,$AG147)+1))</f>
        <v>Woningverkopen FY</v>
      </c>
      <c r="P147" s="109">
        <f>IF($AG147="","",INDEX($AD$8:$AD$1407,$AG147))</f>
        <v>24</v>
      </c>
      <c r="Q147" s="92" t="str">
        <f>IF($AG147="","",INDEX($AM$8:$AM$21,INDEX($AC$8:$AC$1407,$AG147)+1))</f>
        <v>aantal</v>
      </c>
      <c r="R147" s="92" t="str">
        <f>IF($AG147="","",IF($G147&gt;0,P_ToelCorrectie&amp;"",""))</f>
        <v/>
      </c>
      <c r="S147" s="15" t="str">
        <f>IF(J147="","",J147&amp;"|"&amp;E147&amp;"|"&amp;F147&amp;"|"&amp;I147&amp;"|"&amp;O147)</f>
        <v>G.900010.8.9090|2026|Q3|2027|Woningverkopen FY</v>
      </c>
      <c r="T147" s="111" t="str">
        <f>IF(S147="","",IF(COUNTIFS(L_Sleutel,S147,L_Actief,1)=0,"",SUMIFS(L_Waarde,L_Sleutel,S147,L_Actief,1)))</f>
        <v/>
      </c>
      <c r="U147" s="111">
        <f>IF(OR(S147="",T147=""),0,P147-T147)</f>
        <v>0</v>
      </c>
      <c r="AB147" s="112" t="n">
        <v>10</v>
      </c>
      <c r="AC147" s="112" t="n">
        <v>13</v>
      </c>
      <c r="AD147" s="112">
        <f>VERW_Project!BX15</f>
        <v>24</v>
      </c>
      <c r="AE147" s="112">
        <f>IF(AND(VERW_Project!$A15&lt;&gt;"",ISNUMBER(AD147)),1,0)</f>
        <v>1</v>
      </c>
      <c r="AF147" s="112">
        <f>IF(AE147=1,SUM($AE$8:AE147),"")</f>
        <v>140</v>
      </c>
      <c r="AG147">
        <f>IFERROR(MATCH(140,$AF$8:$AF$1407,0),"")</f>
        <v>140</v>
      </c>
    </row>
    <row r="148">
      <c r="A148" s="92" t="str">
        <f>IF($AG148="","",P_ImportID)</f>
        <v>IMP-2026-Q3-01</v>
      </c>
      <c r="B148" s="92" t="str">
        <f>IF($AG148="","",IF(INDEX($AN$8:$AN$21,INDEX($AC$8:$AC$1407,$AG148)+1)="Z",P_BronZ,P_BronE))</f>
        <v>ZPMW03_FICTIEF_20_projecten.xlsx</v>
      </c>
      <c r="C148" s="108">
        <f>IF($AG148="","",P_Importdatum)</f>
        <v>46324.0</v>
      </c>
      <c r="D148" s="92" t="str">
        <f>IF($AG148="","",P_StatusVastleg)</f>
        <v>Vastgesteld</v>
      </c>
      <c r="E148" s="92">
        <f>IF($AG148="","",P_UploadVJ)</f>
        <v>2026</v>
      </c>
      <c r="F148" s="92" t="str">
        <f>IF($AG148="","",P_UploadVersie)</f>
        <v>Q3</v>
      </c>
      <c r="G148" s="92">
        <f>IF($AG148="","",IF(COUNTIFS(L_Sleutel,$S148,L_Status,"Vastgesteld")=0,0,_xlfn.MAXIFS(L_Revisie,L_Sleutel,$S148,L_Status,"Vastgesteld")+1))</f>
        <v>1</v>
      </c>
      <c r="H148" s="108">
        <f>IF($AG148="","",P_Peildatum)</f>
        <v>46295.0</v>
      </c>
      <c r="I148" s="92">
        <f>IF($AG148="","",P_RJ+INDEX($AK$8:$AK$21,INDEX($AC$8:$AC$1407,$AG148)+1))</f>
        <v>2026</v>
      </c>
      <c r="J148" s="92" t="str">
        <f>IF($AG148="","",INDEX(V_WBS,INDEX($AB$8:$AB$1407,$AG148)))</f>
        <v>G.900011.8.9090</v>
      </c>
      <c r="K148" s="92" t="str">
        <f>IF($AG148="","",INDEX(V_Projdef,INDEX($AB$8:$AB$1407,$AG148)))</f>
        <v>G.900011</v>
      </c>
      <c r="L148" s="92" t="str">
        <f>IF($AG148="","",INDEX(V_Naam,INDEX($AB$8:$AB$1407,$AG148)))</f>
        <v>Meerhovenstad, Hofstaete</v>
      </c>
      <c r="M148" s="92" t="str">
        <f>IF($AG148="","",INDEX(V_Type,INDEX($AB$8:$AB$1407,$AG148)))</f>
        <v>Opstal</v>
      </c>
      <c r="N148" s="92" t="str">
        <f>IF($AG148="","",INDEX(V_IFRS,INDEX($AB$8:$AB$1407,$AG148)))</f>
        <v>J</v>
      </c>
      <c r="O148" s="92" t="str">
        <f>IF($AG148="","",INDEX($AL$8:$AL$21,INDEX($AC$8:$AC$1407,$AG148)+1))</f>
        <v>Omzet FY</v>
      </c>
      <c r="P148" s="109">
        <f>IF($AG148="","",INDEX($AD$8:$AD$1407,$AG148))</f>
        <v>14592000</v>
      </c>
      <c r="Q148" s="92" t="str">
        <f>IF($AG148="","",INDEX($AM$8:$AM$21,INDEX($AC$8:$AC$1407,$AG148)+1))</f>
        <v>EUR</v>
      </c>
      <c r="R148" s="92" t="str">
        <f>IF($AG148="","",IF($G148&gt;0,P_ToelCorrectie&amp;"",""))</f>
        <v/>
      </c>
      <c r="S148" s="15" t="str">
        <f>IF(J148="","",J148&amp;"|"&amp;E148&amp;"|"&amp;F148&amp;"|"&amp;I148&amp;"|"&amp;O148)</f>
        <v>G.900011.8.9090|2026|Q3|2026|Omzet FY</v>
      </c>
      <c r="T148" s="111">
        <f>IF(S148="","",IF(COUNTIFS(L_Sleutel,S148,L_Actief,1)=0,"",SUMIFS(L_Waarde,L_Sleutel,S148,L_Actief,1)))</f>
        <v>14592000</v>
      </c>
      <c r="U148" s="111">
        <f>IF(OR(S148="",T148=""),0,P148-T148)</f>
        <v>0</v>
      </c>
      <c r="AB148" s="112" t="n">
        <v>11</v>
      </c>
      <c r="AC148" s="112" t="n">
        <v>0</v>
      </c>
      <c r="AD148" s="112">
        <f>VERW_Project!P16</f>
        <v>14592000</v>
      </c>
      <c r="AE148" s="112">
        <f>IF(AND(VERW_Project!$A16&lt;&gt;"",ISNUMBER(AD148)),1,0)</f>
        <v>1</v>
      </c>
      <c r="AF148" s="112">
        <f>IF(AE148=1,SUM($AE$8:AE148),"")</f>
        <v>141</v>
      </c>
      <c r="AG148">
        <f>IFERROR(MATCH(141,$AF$8:$AF$1407,0),"")</f>
        <v>141</v>
      </c>
    </row>
    <row r="149">
      <c r="A149" s="92" t="str">
        <f>IF($AG149="","",P_ImportID)</f>
        <v>IMP-2026-Q3-01</v>
      </c>
      <c r="B149" s="92" t="str">
        <f>IF($AG149="","",IF(INDEX($AN$8:$AN$21,INDEX($AC$8:$AC$1407,$AG149)+1)="Z",P_BronZ,P_BronE))</f>
        <v>ZPMW03_FICTIEF_20_projecten.xlsx</v>
      </c>
      <c r="C149" s="108">
        <f>IF($AG149="","",P_Importdatum)</f>
        <v>46324.0</v>
      </c>
      <c r="D149" s="92" t="str">
        <f>IF($AG149="","",P_StatusVastleg)</f>
        <v>Vastgesteld</v>
      </c>
      <c r="E149" s="92">
        <f>IF($AG149="","",P_UploadVJ)</f>
        <v>2026</v>
      </c>
      <c r="F149" s="92" t="str">
        <f>IF($AG149="","",P_UploadVersie)</f>
        <v>Q3</v>
      </c>
      <c r="G149" s="92">
        <f>IF($AG149="","",IF(COUNTIFS(L_Sleutel,$S149,L_Status,"Vastgesteld")=0,0,_xlfn.MAXIFS(L_Revisie,L_Sleutel,$S149,L_Status,"Vastgesteld")+1))</f>
        <v>1</v>
      </c>
      <c r="H149" s="108">
        <f>IF($AG149="","",P_Peildatum)</f>
        <v>46295.0</v>
      </c>
      <c r="I149" s="92">
        <f>IF($AG149="","",P_RJ+INDEX($AK$8:$AK$21,INDEX($AC$8:$AC$1407,$AG149)+1))</f>
        <v>2026</v>
      </c>
      <c r="J149" s="92" t="str">
        <f>IF($AG149="","",INDEX(V_WBS,INDEX($AB$8:$AB$1407,$AG149)))</f>
        <v>G.900011.8.9090</v>
      </c>
      <c r="K149" s="92" t="str">
        <f>IF($AG149="","",INDEX(V_Projdef,INDEX($AB$8:$AB$1407,$AG149)))</f>
        <v>G.900011</v>
      </c>
      <c r="L149" s="92" t="str">
        <f>IF($AG149="","",INDEX(V_Naam,INDEX($AB$8:$AB$1407,$AG149)))</f>
        <v>Meerhovenstad, Hofstaete</v>
      </c>
      <c r="M149" s="92" t="str">
        <f>IF($AG149="","",INDEX(V_Type,INDEX($AB$8:$AB$1407,$AG149)))</f>
        <v>Opstal</v>
      </c>
      <c r="N149" s="92" t="str">
        <f>IF($AG149="","",INDEX(V_IFRS,INDEX($AB$8:$AB$1407,$AG149)))</f>
        <v>J</v>
      </c>
      <c r="O149" s="92" t="str">
        <f>IF($AG149="","",INDEX($AL$8:$AL$21,INDEX($AC$8:$AC$1407,$AG149)+1))</f>
        <v>BOR FY</v>
      </c>
      <c r="P149" s="109">
        <f>IF($AG149="","",INDEX($AD$8:$AD$1407,$AG149))</f>
        <v>1313280</v>
      </c>
      <c r="Q149" s="92" t="str">
        <f>IF($AG149="","",INDEX($AM$8:$AM$21,INDEX($AC$8:$AC$1407,$AG149)+1))</f>
        <v>EUR</v>
      </c>
      <c r="R149" s="92" t="str">
        <f>IF($AG149="","",IF($G149&gt;0,P_ToelCorrectie&amp;"",""))</f>
        <v/>
      </c>
      <c r="S149" s="15" t="str">
        <f>IF(J149="","",J149&amp;"|"&amp;E149&amp;"|"&amp;F149&amp;"|"&amp;I149&amp;"|"&amp;O149)</f>
        <v>G.900011.8.9090|2026|Q3|2026|BOR FY</v>
      </c>
      <c r="T149" s="111">
        <f>IF(S149="","",IF(COUNTIFS(L_Sleutel,S149,L_Actief,1)=0,"",SUMIFS(L_Waarde,L_Sleutel,S149,L_Actief,1)))</f>
        <v>1313280</v>
      </c>
      <c r="U149" s="111">
        <f>IF(OR(S149="",T149=""),0,P149-T149)</f>
        <v>0</v>
      </c>
      <c r="AB149" s="112" t="n">
        <v>11</v>
      </c>
      <c r="AC149" s="112" t="n">
        <v>1</v>
      </c>
      <c r="AD149" s="112">
        <f>VERW_Project!Q16</f>
        <v>1313280</v>
      </c>
      <c r="AE149" s="112">
        <f>IF(AND(VERW_Project!$A16&lt;&gt;"",ISNUMBER(AD149)),1,0)</f>
        <v>1</v>
      </c>
      <c r="AF149" s="112">
        <f>IF(AE149=1,SUM($AE$8:AE149),"")</f>
        <v>142</v>
      </c>
      <c r="AG149">
        <f>IFERROR(MATCH(142,$AF$8:$AF$1407,0),"")</f>
        <v>142</v>
      </c>
    </row>
    <row r="150">
      <c r="A150" s="92" t="str">
        <f>IF($AG150="","",P_ImportID)</f>
        <v>IMP-2026-Q3-01</v>
      </c>
      <c r="B150" s="92" t="str">
        <f>IF($AG150="","",IF(INDEX($AN$8:$AN$21,INDEX($AC$8:$AC$1407,$AG150)+1)="Z",P_BronZ,P_BronE))</f>
        <v>ZPMW03_FICTIEF_20_projecten.xlsx</v>
      </c>
      <c r="C150" s="108">
        <f>IF($AG150="","",P_Importdatum)</f>
        <v>46324.0</v>
      </c>
      <c r="D150" s="92" t="str">
        <f>IF($AG150="","",P_StatusVastleg)</f>
        <v>Vastgesteld</v>
      </c>
      <c r="E150" s="92">
        <f>IF($AG150="","",P_UploadVJ)</f>
        <v>2026</v>
      </c>
      <c r="F150" s="92" t="str">
        <f>IF($AG150="","",P_UploadVersie)</f>
        <v>Q3</v>
      </c>
      <c r="G150" s="92">
        <f>IF($AG150="","",IF(COUNTIFS(L_Sleutel,$S150,L_Status,"Vastgesteld")=0,0,_xlfn.MAXIFS(L_Revisie,L_Sleutel,$S150,L_Status,"Vastgesteld")+1))</f>
        <v>1</v>
      </c>
      <c r="H150" s="108">
        <f>IF($AG150="","",P_Peildatum)</f>
        <v>46295.0</v>
      </c>
      <c r="I150" s="92">
        <f>IF($AG150="","",P_RJ+INDEX($AK$8:$AK$21,INDEX($AC$8:$AC$1407,$AG150)+1))</f>
        <v>2026</v>
      </c>
      <c r="J150" s="92" t="str">
        <f>IF($AG150="","",INDEX(V_WBS,INDEX($AB$8:$AB$1407,$AG150)))</f>
        <v>G.900011.8.9090</v>
      </c>
      <c r="K150" s="92" t="str">
        <f>IF($AG150="","",INDEX(V_Projdef,INDEX($AB$8:$AB$1407,$AG150)))</f>
        <v>G.900011</v>
      </c>
      <c r="L150" s="92" t="str">
        <f>IF($AG150="","",INDEX(V_Naam,INDEX($AB$8:$AB$1407,$AG150)))</f>
        <v>Meerhovenstad, Hofstaete</v>
      </c>
      <c r="M150" s="92" t="str">
        <f>IF($AG150="","",INDEX(V_Type,INDEX($AB$8:$AB$1407,$AG150)))</f>
        <v>Opstal</v>
      </c>
      <c r="N150" s="92" t="str">
        <f>IF($AG150="","",INDEX(V_IFRS,INDEX($AB$8:$AB$1407,$AG150)))</f>
        <v>J</v>
      </c>
      <c r="O150" s="92" t="str">
        <f>IF($AG150="","",INDEX($AL$8:$AL$21,INDEX($AC$8:$AC$1407,$AG150)+1))</f>
        <v>Omzet actual YTD</v>
      </c>
      <c r="P150" s="109">
        <f>IF($AG150="","",INDEX($AD$8:$AD$1407,$AG150))</f>
        <v>9484800</v>
      </c>
      <c r="Q150" s="92" t="str">
        <f>IF($AG150="","",INDEX($AM$8:$AM$21,INDEX($AC$8:$AC$1407,$AG150)+1))</f>
        <v>EUR</v>
      </c>
      <c r="R150" s="92" t="str">
        <f>IF($AG150="","",IF($G150&gt;0,P_ToelCorrectie&amp;"",""))</f>
        <v/>
      </c>
      <c r="S150" s="15" t="str">
        <f>IF(J150="","",J150&amp;"|"&amp;E150&amp;"|"&amp;F150&amp;"|"&amp;I150&amp;"|"&amp;O150)</f>
        <v>G.900011.8.9090|2026|Q3|2026|Omzet actual YTD</v>
      </c>
      <c r="T150" s="111">
        <f>IF(S150="","",IF(COUNTIFS(L_Sleutel,S150,L_Actief,1)=0,"",SUMIFS(L_Waarde,L_Sleutel,S150,L_Actief,1)))</f>
        <v>9484800</v>
      </c>
      <c r="U150" s="111">
        <f>IF(OR(S150="",T150=""),0,P150-T150)</f>
        <v>0</v>
      </c>
      <c r="AB150" s="112" t="n">
        <v>11</v>
      </c>
      <c r="AC150" s="112" t="n">
        <v>2</v>
      </c>
      <c r="AD150" s="112">
        <f>VERW_Project!L16</f>
        <v>9484800</v>
      </c>
      <c r="AE150" s="112">
        <f>IF(AND(VERW_Project!$A16&lt;&gt;"",ISNUMBER(AD150)),1,0)</f>
        <v>1</v>
      </c>
      <c r="AF150" s="112">
        <f>IF(AE150=1,SUM($AE$8:AE150),"")</f>
        <v>143</v>
      </c>
      <c r="AG150">
        <f>IFERROR(MATCH(143,$AF$8:$AF$1407,0),"")</f>
        <v>143</v>
      </c>
    </row>
    <row r="151">
      <c r="A151" s="92" t="str">
        <f>IF($AG151="","",P_ImportID)</f>
        <v>IMP-2026-Q3-01</v>
      </c>
      <c r="B151" s="92" t="str">
        <f>IF($AG151="","",IF(INDEX($AN$8:$AN$21,INDEX($AC$8:$AC$1407,$AG151)+1)="Z",P_BronZ,P_BronE))</f>
        <v>ZPMW03_FICTIEF_20_projecten.xlsx</v>
      </c>
      <c r="C151" s="108">
        <f>IF($AG151="","",P_Importdatum)</f>
        <v>46324.0</v>
      </c>
      <c r="D151" s="92" t="str">
        <f>IF($AG151="","",P_StatusVastleg)</f>
        <v>Vastgesteld</v>
      </c>
      <c r="E151" s="92">
        <f>IF($AG151="","",P_UploadVJ)</f>
        <v>2026</v>
      </c>
      <c r="F151" s="92" t="str">
        <f>IF($AG151="","",P_UploadVersie)</f>
        <v>Q3</v>
      </c>
      <c r="G151" s="92">
        <f>IF($AG151="","",IF(COUNTIFS(L_Sleutel,$S151,L_Status,"Vastgesteld")=0,0,_xlfn.MAXIFS(L_Revisie,L_Sleutel,$S151,L_Status,"Vastgesteld")+1))</f>
        <v>1</v>
      </c>
      <c r="H151" s="108">
        <f>IF($AG151="","",P_Peildatum)</f>
        <v>46295.0</v>
      </c>
      <c r="I151" s="92">
        <f>IF($AG151="","",P_RJ+INDEX($AK$8:$AK$21,INDEX($AC$8:$AC$1407,$AG151)+1))</f>
        <v>2026</v>
      </c>
      <c r="J151" s="92" t="str">
        <f>IF($AG151="","",INDEX(V_WBS,INDEX($AB$8:$AB$1407,$AG151)))</f>
        <v>G.900011.8.9090</v>
      </c>
      <c r="K151" s="92" t="str">
        <f>IF($AG151="","",INDEX(V_Projdef,INDEX($AB$8:$AB$1407,$AG151)))</f>
        <v>G.900011</v>
      </c>
      <c r="L151" s="92" t="str">
        <f>IF($AG151="","",INDEX(V_Naam,INDEX($AB$8:$AB$1407,$AG151)))</f>
        <v>Meerhovenstad, Hofstaete</v>
      </c>
      <c r="M151" s="92" t="str">
        <f>IF($AG151="","",INDEX(V_Type,INDEX($AB$8:$AB$1407,$AG151)))</f>
        <v>Opstal</v>
      </c>
      <c r="N151" s="92" t="str">
        <f>IF($AG151="","",INDEX(V_IFRS,INDEX($AB$8:$AB$1407,$AG151)))</f>
        <v>J</v>
      </c>
      <c r="O151" s="92" t="str">
        <f>IF($AG151="","",INDEX($AL$8:$AL$21,INDEX($AC$8:$AC$1407,$AG151)+1))</f>
        <v>BOR actual YTD</v>
      </c>
      <c r="P151" s="109">
        <f>IF($AG151="","",INDEX($AD$8:$AD$1407,$AG151))</f>
        <v>853632</v>
      </c>
      <c r="Q151" s="92" t="str">
        <f>IF($AG151="","",INDEX($AM$8:$AM$21,INDEX($AC$8:$AC$1407,$AG151)+1))</f>
        <v>EUR</v>
      </c>
      <c r="R151" s="92" t="str">
        <f>IF($AG151="","",IF($G151&gt;0,P_ToelCorrectie&amp;"",""))</f>
        <v/>
      </c>
      <c r="S151" s="15" t="str">
        <f>IF(J151="","",J151&amp;"|"&amp;E151&amp;"|"&amp;F151&amp;"|"&amp;I151&amp;"|"&amp;O151)</f>
        <v>G.900011.8.9090|2026|Q3|2026|BOR actual YTD</v>
      </c>
      <c r="T151" s="111">
        <f>IF(S151="","",IF(COUNTIFS(L_Sleutel,S151,L_Actief,1)=0,"",SUMIFS(L_Waarde,L_Sleutel,S151,L_Actief,1)))</f>
        <v>853632</v>
      </c>
      <c r="U151" s="111">
        <f>IF(OR(S151="",T151=""),0,P151-T151)</f>
        <v>0</v>
      </c>
      <c r="AB151" s="112" t="n">
        <v>11</v>
      </c>
      <c r="AC151" s="112" t="n">
        <v>3</v>
      </c>
      <c r="AD151" s="112">
        <f>VERW_Project!M16</f>
        <v>853632</v>
      </c>
      <c r="AE151" s="112">
        <f>IF(AND(VERW_Project!$A16&lt;&gt;"",ISNUMBER(AD151)),1,0)</f>
        <v>1</v>
      </c>
      <c r="AF151" s="112">
        <f>IF(AE151=1,SUM($AE$8:AE151),"")</f>
        <v>144</v>
      </c>
      <c r="AG151">
        <f>IFERROR(MATCH(144,$AF$8:$AF$1407,0),"")</f>
        <v>144</v>
      </c>
    </row>
    <row r="152">
      <c r="A152" s="92" t="str">
        <f>IF($AG152="","",P_ImportID)</f>
        <v>IMP-2026-Q3-01</v>
      </c>
      <c r="B152" s="92" t="str">
        <f>IF($AG152="","",IF(INDEX($AN$8:$AN$21,INDEX($AC$8:$AC$1407,$AG152)+1)="Z",P_BronZ,P_BronE))</f>
        <v>ZPMW03_FICTIEF_20_projecten.xlsx</v>
      </c>
      <c r="C152" s="108">
        <f>IF($AG152="","",P_Importdatum)</f>
        <v>46324.0</v>
      </c>
      <c r="D152" s="92" t="str">
        <f>IF($AG152="","",P_StatusVastleg)</f>
        <v>Vastgesteld</v>
      </c>
      <c r="E152" s="92">
        <f>IF($AG152="","",P_UploadVJ)</f>
        <v>2026</v>
      </c>
      <c r="F152" s="92" t="str">
        <f>IF($AG152="","",P_UploadVersie)</f>
        <v>Q3</v>
      </c>
      <c r="G152" s="92">
        <f>IF($AG152="","",IF(COUNTIFS(L_Sleutel,$S152,L_Status,"Vastgesteld")=0,0,_xlfn.MAXIFS(L_Revisie,L_Sleutel,$S152,L_Status,"Vastgesteld")+1))</f>
        <v>1</v>
      </c>
      <c r="H152" s="108">
        <f>IF($AG152="","",P_Peildatum)</f>
        <v>46295.0</v>
      </c>
      <c r="I152" s="92">
        <f>IF($AG152="","",P_RJ+INDEX($AK$8:$AK$21,INDEX($AC$8:$AC$1407,$AG152)+1))</f>
        <v>2027</v>
      </c>
      <c r="J152" s="92" t="str">
        <f>IF($AG152="","",INDEX(V_WBS,INDEX($AB$8:$AB$1407,$AG152)))</f>
        <v>G.900011.8.9090</v>
      </c>
      <c r="K152" s="92" t="str">
        <f>IF($AG152="","",INDEX(V_Projdef,INDEX($AB$8:$AB$1407,$AG152)))</f>
        <v>G.900011</v>
      </c>
      <c r="L152" s="92" t="str">
        <f>IF($AG152="","",INDEX(V_Naam,INDEX($AB$8:$AB$1407,$AG152)))</f>
        <v>Meerhovenstad, Hofstaete</v>
      </c>
      <c r="M152" s="92" t="str">
        <f>IF($AG152="","",INDEX(V_Type,INDEX($AB$8:$AB$1407,$AG152)))</f>
        <v>Opstal</v>
      </c>
      <c r="N152" s="92" t="str">
        <f>IF($AG152="","",INDEX(V_IFRS,INDEX($AB$8:$AB$1407,$AG152)))</f>
        <v>J</v>
      </c>
      <c r="O152" s="92" t="str">
        <f>IF($AG152="","",INDEX($AL$8:$AL$21,INDEX($AC$8:$AC$1407,$AG152)+1))</f>
        <v>Omzet FY</v>
      </c>
      <c r="P152" s="109">
        <f>IF($AG152="","",INDEX($AD$8:$AD$1407,$AG152))</f>
        <v>15475200</v>
      </c>
      <c r="Q152" s="92" t="str">
        <f>IF($AG152="","",INDEX($AM$8:$AM$21,INDEX($AC$8:$AC$1407,$AG152)+1))</f>
        <v>EUR</v>
      </c>
      <c r="R152" s="92" t="str">
        <f>IF($AG152="","",IF($G152&gt;0,P_ToelCorrectie&amp;"",""))</f>
        <v/>
      </c>
      <c r="S152" s="15" t="str">
        <f>IF(J152="","",J152&amp;"|"&amp;E152&amp;"|"&amp;F152&amp;"|"&amp;I152&amp;"|"&amp;O152)</f>
        <v>G.900011.8.9090|2026|Q3|2027|Omzet FY</v>
      </c>
      <c r="T152" s="111">
        <f>IF(S152="","",IF(COUNTIFS(L_Sleutel,S152,L_Actief,1)=0,"",SUMIFS(L_Waarde,L_Sleutel,S152,L_Actief,1)))</f>
        <v>15475200</v>
      </c>
      <c r="U152" s="111">
        <f>IF(OR(S152="",T152=""),0,P152-T152)</f>
        <v>0</v>
      </c>
      <c r="AB152" s="112" t="n">
        <v>11</v>
      </c>
      <c r="AC152" s="112" t="n">
        <v>4</v>
      </c>
      <c r="AD152" s="112">
        <f>VERW_Project!R16</f>
        <v>15475200</v>
      </c>
      <c r="AE152" s="112">
        <f>IF(AND(VERW_Project!$A16&lt;&gt;"",ISNUMBER(AD152)),1,0)</f>
        <v>1</v>
      </c>
      <c r="AF152" s="112">
        <f>IF(AE152=1,SUM($AE$8:AE152),"")</f>
        <v>145</v>
      </c>
      <c r="AG152">
        <f>IFERROR(MATCH(145,$AF$8:$AF$1407,0),"")</f>
        <v>145</v>
      </c>
    </row>
    <row r="153">
      <c r="A153" s="92" t="str">
        <f>IF($AG153="","",P_ImportID)</f>
        <v>IMP-2026-Q3-01</v>
      </c>
      <c r="B153" s="92" t="str">
        <f>IF($AG153="","",IF(INDEX($AN$8:$AN$21,INDEX($AC$8:$AC$1407,$AG153)+1)="Z",P_BronZ,P_BronE))</f>
        <v>ZPMW03_FICTIEF_20_projecten.xlsx</v>
      </c>
      <c r="C153" s="108">
        <f>IF($AG153="","",P_Importdatum)</f>
        <v>46324.0</v>
      </c>
      <c r="D153" s="92" t="str">
        <f>IF($AG153="","",P_StatusVastleg)</f>
        <v>Vastgesteld</v>
      </c>
      <c r="E153" s="92">
        <f>IF($AG153="","",P_UploadVJ)</f>
        <v>2026</v>
      </c>
      <c r="F153" s="92" t="str">
        <f>IF($AG153="","",P_UploadVersie)</f>
        <v>Q3</v>
      </c>
      <c r="G153" s="92">
        <f>IF($AG153="","",IF(COUNTIFS(L_Sleutel,$S153,L_Status,"Vastgesteld")=0,0,_xlfn.MAXIFS(L_Revisie,L_Sleutel,$S153,L_Status,"Vastgesteld")+1))</f>
        <v>1</v>
      </c>
      <c r="H153" s="108">
        <f>IF($AG153="","",P_Peildatum)</f>
        <v>46295.0</v>
      </c>
      <c r="I153" s="92">
        <f>IF($AG153="","",P_RJ+INDEX($AK$8:$AK$21,INDEX($AC$8:$AC$1407,$AG153)+1))</f>
        <v>2027</v>
      </c>
      <c r="J153" s="92" t="str">
        <f>IF($AG153="","",INDEX(V_WBS,INDEX($AB$8:$AB$1407,$AG153)))</f>
        <v>G.900011.8.9090</v>
      </c>
      <c r="K153" s="92" t="str">
        <f>IF($AG153="","",INDEX(V_Projdef,INDEX($AB$8:$AB$1407,$AG153)))</f>
        <v>G.900011</v>
      </c>
      <c r="L153" s="92" t="str">
        <f>IF($AG153="","",INDEX(V_Naam,INDEX($AB$8:$AB$1407,$AG153)))</f>
        <v>Meerhovenstad, Hofstaete</v>
      </c>
      <c r="M153" s="92" t="str">
        <f>IF($AG153="","",INDEX(V_Type,INDEX($AB$8:$AB$1407,$AG153)))</f>
        <v>Opstal</v>
      </c>
      <c r="N153" s="92" t="str">
        <f>IF($AG153="","",INDEX(V_IFRS,INDEX($AB$8:$AB$1407,$AG153)))</f>
        <v>J</v>
      </c>
      <c r="O153" s="92" t="str">
        <f>IF($AG153="","",INDEX($AL$8:$AL$21,INDEX($AC$8:$AC$1407,$AG153)+1))</f>
        <v>BOR FY</v>
      </c>
      <c r="P153" s="109">
        <f>IF($AG153="","",INDEX($AD$8:$AD$1407,$AG153))</f>
        <v>1392768</v>
      </c>
      <c r="Q153" s="92" t="str">
        <f>IF($AG153="","",INDEX($AM$8:$AM$21,INDEX($AC$8:$AC$1407,$AG153)+1))</f>
        <v>EUR</v>
      </c>
      <c r="R153" s="92" t="str">
        <f>IF($AG153="","",IF($G153&gt;0,P_ToelCorrectie&amp;"",""))</f>
        <v/>
      </c>
      <c r="S153" s="15" t="str">
        <f>IF(J153="","",J153&amp;"|"&amp;E153&amp;"|"&amp;F153&amp;"|"&amp;I153&amp;"|"&amp;O153)</f>
        <v>G.900011.8.9090|2026|Q3|2027|BOR FY</v>
      </c>
      <c r="T153" s="111">
        <f>IF(S153="","",IF(COUNTIFS(L_Sleutel,S153,L_Actief,1)=0,"",SUMIFS(L_Waarde,L_Sleutel,S153,L_Actief,1)))</f>
        <v>1392768</v>
      </c>
      <c r="U153" s="111">
        <f>IF(OR(S153="",T153=""),0,P153-T153)</f>
        <v>0</v>
      </c>
      <c r="AB153" s="112" t="n">
        <v>11</v>
      </c>
      <c r="AC153" s="112" t="n">
        <v>5</v>
      </c>
      <c r="AD153" s="112">
        <f>VERW_Project!S16</f>
        <v>1392768</v>
      </c>
      <c r="AE153" s="112">
        <f>IF(AND(VERW_Project!$A16&lt;&gt;"",ISNUMBER(AD153)),1,0)</f>
        <v>1</v>
      </c>
      <c r="AF153" s="112">
        <f>IF(AE153=1,SUM($AE$8:AE153),"")</f>
        <v>146</v>
      </c>
      <c r="AG153">
        <f>IFERROR(MATCH(146,$AF$8:$AF$1407,0),"")</f>
        <v>146</v>
      </c>
    </row>
    <row r="154">
      <c r="A154" s="92" t="str">
        <f>IF($AG154="","",P_ImportID)</f>
        <v>IMP-2026-Q3-01</v>
      </c>
      <c r="B154" s="92" t="str">
        <f>IF($AG154="","",IF(INDEX($AN$8:$AN$21,INDEX($AC$8:$AC$1407,$AG154)+1)="Z",P_BronZ,P_BronE))</f>
        <v>Woningetalage_FICTIEF_20_projecten.xlsx</v>
      </c>
      <c r="C154" s="108">
        <f>IF($AG154="","",P_Importdatum)</f>
        <v>46324.0</v>
      </c>
      <c r="D154" s="92" t="str">
        <f>IF($AG154="","",P_StatusVastleg)</f>
        <v>Vastgesteld</v>
      </c>
      <c r="E154" s="92">
        <f>IF($AG154="","",P_UploadVJ)</f>
        <v>2026</v>
      </c>
      <c r="F154" s="92" t="str">
        <f>IF($AG154="","",P_UploadVersie)</f>
        <v>Q3</v>
      </c>
      <c r="G154" s="92">
        <f>IF($AG154="","",IF(COUNTIFS(L_Sleutel,$S154,L_Status,"Vastgesteld")=0,0,_xlfn.MAXIFS(L_Revisie,L_Sleutel,$S154,L_Status,"Vastgesteld")+1))</f>
        <v>1</v>
      </c>
      <c r="H154" s="108">
        <f>IF($AG154="","",P_Peildatum)</f>
        <v>46295.0</v>
      </c>
      <c r="I154" s="92">
        <f>IF($AG154="","",P_RJ+INDEX($AK$8:$AK$21,INDEX($AC$8:$AC$1407,$AG154)+1))</f>
        <v>2026</v>
      </c>
      <c r="J154" s="92" t="str">
        <f>IF($AG154="","",INDEX(V_WBS,INDEX($AB$8:$AB$1407,$AG154)))</f>
        <v>G.900011.8.9090</v>
      </c>
      <c r="K154" s="92" t="str">
        <f>IF($AG154="","",INDEX(V_Projdef,INDEX($AB$8:$AB$1407,$AG154)))</f>
        <v>G.900011</v>
      </c>
      <c r="L154" s="92" t="str">
        <f>IF($AG154="","",INDEX(V_Naam,INDEX($AB$8:$AB$1407,$AG154)))</f>
        <v>Meerhovenstad, Hofstaete</v>
      </c>
      <c r="M154" s="92" t="str">
        <f>IF($AG154="","",INDEX(V_Type,INDEX($AB$8:$AB$1407,$AG154)))</f>
        <v>Opstal</v>
      </c>
      <c r="N154" s="92" t="str">
        <f>IF($AG154="","",INDEX(V_IFRS,INDEX($AB$8:$AB$1407,$AG154)))</f>
        <v>J</v>
      </c>
      <c r="O154" s="92" t="str">
        <f>IF($AG154="","",INDEX($AL$8:$AL$21,INDEX($AC$8:$AC$1407,$AG154)+1))</f>
        <v>Woningverkopen FY</v>
      </c>
      <c r="P154" s="109">
        <f>IF($AG154="","",INDEX($AD$8:$AD$1407,$AG154))</f>
        <v>32</v>
      </c>
      <c r="Q154" s="92" t="str">
        <f>IF($AG154="","",INDEX($AM$8:$AM$21,INDEX($AC$8:$AC$1407,$AG154)+1))</f>
        <v>aantal</v>
      </c>
      <c r="R154" s="92" t="str">
        <f>IF($AG154="","",IF($G154&gt;0,P_ToelCorrectie&amp;"",""))</f>
        <v/>
      </c>
      <c r="S154" s="15" t="str">
        <f>IF(J154="","",J154&amp;"|"&amp;E154&amp;"|"&amp;F154&amp;"|"&amp;I154&amp;"|"&amp;O154)</f>
        <v>G.900011.8.9090|2026|Q3|2026|Woningverkopen FY</v>
      </c>
      <c r="T154" s="111">
        <f>IF(S154="","",IF(COUNTIFS(L_Sleutel,S154,L_Actief,1)=0,"",SUMIFS(L_Waarde,L_Sleutel,S154,L_Actief,1)))</f>
        <v>32</v>
      </c>
      <c r="U154" s="111">
        <f>IF(OR(S154="",T154=""),0,P154-T154)</f>
        <v>0</v>
      </c>
      <c r="AB154" s="112" t="n">
        <v>11</v>
      </c>
      <c r="AC154" s="112" t="n">
        <v>6</v>
      </c>
      <c r="AD154" s="112">
        <f>VERW_Project!BW16</f>
        <v>32</v>
      </c>
      <c r="AE154" s="112">
        <f>IF(AND(VERW_Project!$A16&lt;&gt;"",ISNUMBER(AD154)),1,0)</f>
        <v>1</v>
      </c>
      <c r="AF154" s="112">
        <f>IF(AE154=1,SUM($AE$8:AE154),"")</f>
        <v>147</v>
      </c>
      <c r="AG154">
        <f>IFERROR(MATCH(147,$AF$8:$AF$1407,0),"")</f>
        <v>147</v>
      </c>
    </row>
    <row r="155">
      <c r="A155" s="92" t="str">
        <f>IF($AG155="","",P_ImportID)</f>
        <v>IMP-2026-Q3-01</v>
      </c>
      <c r="B155" s="92" t="str">
        <f>IF($AG155="","",IF(INDEX($AN$8:$AN$21,INDEX($AC$8:$AC$1407,$AG155)+1)="Z",P_BronZ,P_BronE))</f>
        <v>Woningetalage_FICTIEF_20_projecten.xlsx</v>
      </c>
      <c r="C155" s="108">
        <f>IF($AG155="","",P_Importdatum)</f>
        <v>46324.0</v>
      </c>
      <c r="D155" s="92" t="str">
        <f>IF($AG155="","",P_StatusVastleg)</f>
        <v>Vastgesteld</v>
      </c>
      <c r="E155" s="92">
        <f>IF($AG155="","",P_UploadVJ)</f>
        <v>2026</v>
      </c>
      <c r="F155" s="92" t="str">
        <f>IF($AG155="","",P_UploadVersie)</f>
        <v>Q3</v>
      </c>
      <c r="G155" s="92">
        <f>IF($AG155="","",IF(COUNTIFS(L_Sleutel,$S155,L_Status,"Vastgesteld")=0,0,_xlfn.MAXIFS(L_Revisie,L_Sleutel,$S155,L_Status,"Vastgesteld")+1))</f>
        <v>1</v>
      </c>
      <c r="H155" s="108">
        <f>IF($AG155="","",P_Peildatum)</f>
        <v>46295.0</v>
      </c>
      <c r="I155" s="92">
        <f>IF($AG155="","",P_RJ+INDEX($AK$8:$AK$21,INDEX($AC$8:$AC$1407,$AG155)+1))</f>
        <v>2026</v>
      </c>
      <c r="J155" s="92" t="str">
        <f>IF($AG155="","",INDEX(V_WBS,INDEX($AB$8:$AB$1407,$AG155)))</f>
        <v>G.900011.8.9090</v>
      </c>
      <c r="K155" s="92" t="str">
        <f>IF($AG155="","",INDEX(V_Projdef,INDEX($AB$8:$AB$1407,$AG155)))</f>
        <v>G.900011</v>
      </c>
      <c r="L155" s="92" t="str">
        <f>IF($AG155="","",INDEX(V_Naam,INDEX($AB$8:$AB$1407,$AG155)))</f>
        <v>Meerhovenstad, Hofstaete</v>
      </c>
      <c r="M155" s="92" t="str">
        <f>IF($AG155="","",INDEX(V_Type,INDEX($AB$8:$AB$1407,$AG155)))</f>
        <v>Opstal</v>
      </c>
      <c r="N155" s="92" t="str">
        <f>IF($AG155="","",INDEX(V_IFRS,INDEX($AB$8:$AB$1407,$AG155)))</f>
        <v>J</v>
      </c>
      <c r="O155" s="92" t="str">
        <f>IF($AG155="","",INDEX($AL$8:$AL$21,INDEX($AC$8:$AC$1407,$AG155)+1))</f>
        <v>Woningen verkocht t/m vorig jaar</v>
      </c>
      <c r="P155" s="109">
        <f>IF($AG155="","",INDEX($AD$8:$AD$1407,$AG155))</f>
        <v>0</v>
      </c>
      <c r="Q155" s="92" t="str">
        <f>IF($AG155="","",INDEX($AM$8:$AM$21,INDEX($AC$8:$AC$1407,$AG155)+1))</f>
        <v>aantal</v>
      </c>
      <c r="R155" s="92" t="str">
        <f>IF($AG155="","",IF($G155&gt;0,P_ToelCorrectie&amp;"",""))</f>
        <v/>
      </c>
      <c r="S155" s="15" t="str">
        <f>IF(J155="","",J155&amp;"|"&amp;E155&amp;"|"&amp;F155&amp;"|"&amp;I155&amp;"|"&amp;O155)</f>
        <v>G.900011.8.9090|2026|Q3|2026|Woningen verkocht t/m vorig jaar</v>
      </c>
      <c r="T155" s="111">
        <f>IF(S155="","",IF(COUNTIFS(L_Sleutel,S155,L_Actief,1)=0,"",SUMIFS(L_Waarde,L_Sleutel,S155,L_Actief,1)))</f>
        <v>0</v>
      </c>
      <c r="U155" s="111">
        <f>IF(OR(S155="",T155=""),0,P155-T155)</f>
        <v>0</v>
      </c>
      <c r="AB155" s="112" t="n">
        <v>11</v>
      </c>
      <c r="AC155" s="112" t="n">
        <v>7</v>
      </c>
      <c r="AD155" s="112">
        <f>VERW_Project!AW16</f>
        <v>0</v>
      </c>
      <c r="AE155" s="112">
        <f>IF(AND(VERW_Project!$A16&lt;&gt;"",ISNUMBER(AD155)),1,0)</f>
        <v>1</v>
      </c>
      <c r="AF155" s="112">
        <f>IF(AE155=1,SUM($AE$8:AE155),"")</f>
        <v>148</v>
      </c>
      <c r="AG155">
        <f>IFERROR(MATCH(148,$AF$8:$AF$1407,0),"")</f>
        <v>148</v>
      </c>
    </row>
    <row r="156">
      <c r="A156" s="92" t="str">
        <f>IF($AG156="","",P_ImportID)</f>
        <v>IMP-2026-Q3-01</v>
      </c>
      <c r="B156" s="92" t="str">
        <f>IF($AG156="","",IF(INDEX($AN$8:$AN$21,INDEX($AC$8:$AC$1407,$AG156)+1)="Z",P_BronZ,P_BronE))</f>
        <v>Woningetalage_FICTIEF_20_projecten.xlsx</v>
      </c>
      <c r="C156" s="108">
        <f>IF($AG156="","",P_Importdatum)</f>
        <v>46324.0</v>
      </c>
      <c r="D156" s="92" t="str">
        <f>IF($AG156="","",P_StatusVastleg)</f>
        <v>Vastgesteld</v>
      </c>
      <c r="E156" s="92">
        <f>IF($AG156="","",P_UploadVJ)</f>
        <v>2026</v>
      </c>
      <c r="F156" s="92" t="str">
        <f>IF($AG156="","",P_UploadVersie)</f>
        <v>Q3</v>
      </c>
      <c r="G156" s="92">
        <f>IF($AG156="","",IF(COUNTIFS(L_Sleutel,$S156,L_Status,"Vastgesteld")=0,0,_xlfn.MAXIFS(L_Revisie,L_Sleutel,$S156,L_Status,"Vastgesteld")+1))</f>
        <v>1</v>
      </c>
      <c r="H156" s="108">
        <f>IF($AG156="","",P_Peildatum)</f>
        <v>46295.0</v>
      </c>
      <c r="I156" s="92">
        <f>IF($AG156="","",P_RJ+INDEX($AK$8:$AK$21,INDEX($AC$8:$AC$1407,$AG156)+1))</f>
        <v>2026</v>
      </c>
      <c r="J156" s="92" t="str">
        <f>IF($AG156="","",INDEX(V_WBS,INDEX($AB$8:$AB$1407,$AG156)))</f>
        <v>G.900011.8.9090</v>
      </c>
      <c r="K156" s="92" t="str">
        <f>IF($AG156="","",INDEX(V_Projdef,INDEX($AB$8:$AB$1407,$AG156)))</f>
        <v>G.900011</v>
      </c>
      <c r="L156" s="92" t="str">
        <f>IF($AG156="","",INDEX(V_Naam,INDEX($AB$8:$AB$1407,$AG156)))</f>
        <v>Meerhovenstad, Hofstaete</v>
      </c>
      <c r="M156" s="92" t="str">
        <f>IF($AG156="","",INDEX(V_Type,INDEX($AB$8:$AB$1407,$AG156)))</f>
        <v>Opstal</v>
      </c>
      <c r="N156" s="92" t="str">
        <f>IF($AG156="","",INDEX(V_IFRS,INDEX($AB$8:$AB$1407,$AG156)))</f>
        <v>J</v>
      </c>
      <c r="O156" s="92" t="str">
        <f>IF($AG156="","",INDEX($AL$8:$AL$21,INDEX($AC$8:$AC$1407,$AG156)+1))</f>
        <v>Woningverkopen Q1</v>
      </c>
      <c r="P156" s="109">
        <f>IF($AG156="","",INDEX($AD$8:$AD$1407,$AG156))</f>
        <v>4</v>
      </c>
      <c r="Q156" s="92" t="str">
        <f>IF($AG156="","",INDEX($AM$8:$AM$21,INDEX($AC$8:$AC$1407,$AG156)+1))</f>
        <v>aantal</v>
      </c>
      <c r="R156" s="92" t="str">
        <f>IF($AG156="","",IF($G156&gt;0,P_ToelCorrectie&amp;"",""))</f>
        <v/>
      </c>
      <c r="S156" s="15" t="str">
        <f>IF(J156="","",J156&amp;"|"&amp;E156&amp;"|"&amp;F156&amp;"|"&amp;I156&amp;"|"&amp;O156)</f>
        <v>G.900011.8.9090|2026|Q3|2026|Woningverkopen Q1</v>
      </c>
      <c r="T156" s="111">
        <f>IF(S156="","",IF(COUNTIFS(L_Sleutel,S156,L_Actief,1)=0,"",SUMIFS(L_Waarde,L_Sleutel,S156,L_Actief,1)))</f>
        <v>4</v>
      </c>
      <c r="U156" s="111">
        <f>IF(OR(S156="",T156=""),0,P156-T156)</f>
        <v>0</v>
      </c>
      <c r="AB156" s="112" t="n">
        <v>11</v>
      </c>
      <c r="AC156" s="112" t="n">
        <v>8</v>
      </c>
      <c r="AD156" s="112">
        <f>VERW_Project!BQ16</f>
        <v>4</v>
      </c>
      <c r="AE156" s="112">
        <f>IF(AND(VERW_Project!$A16&lt;&gt;"",ISNUMBER(AD156)),1,0)</f>
        <v>1</v>
      </c>
      <c r="AF156" s="112">
        <f>IF(AE156=1,SUM($AE$8:AE156),"")</f>
        <v>149</v>
      </c>
      <c r="AG156">
        <f>IFERROR(MATCH(149,$AF$8:$AF$1407,0),"")</f>
        <v>149</v>
      </c>
    </row>
    <row r="157">
      <c r="A157" s="92" t="str">
        <f>IF($AG157="","",P_ImportID)</f>
        <v>IMP-2026-Q3-01</v>
      </c>
      <c r="B157" s="92" t="str">
        <f>IF($AG157="","",IF(INDEX($AN$8:$AN$21,INDEX($AC$8:$AC$1407,$AG157)+1)="Z",P_BronZ,P_BronE))</f>
        <v>Woningetalage_FICTIEF_20_projecten.xlsx</v>
      </c>
      <c r="C157" s="108">
        <f>IF($AG157="","",P_Importdatum)</f>
        <v>46324.0</v>
      </c>
      <c r="D157" s="92" t="str">
        <f>IF($AG157="","",P_StatusVastleg)</f>
        <v>Vastgesteld</v>
      </c>
      <c r="E157" s="92">
        <f>IF($AG157="","",P_UploadVJ)</f>
        <v>2026</v>
      </c>
      <c r="F157" s="92" t="str">
        <f>IF($AG157="","",P_UploadVersie)</f>
        <v>Q3</v>
      </c>
      <c r="G157" s="92">
        <f>IF($AG157="","",IF(COUNTIFS(L_Sleutel,$S157,L_Status,"Vastgesteld")=0,0,_xlfn.MAXIFS(L_Revisie,L_Sleutel,$S157,L_Status,"Vastgesteld")+1))</f>
        <v>1</v>
      </c>
      <c r="H157" s="108">
        <f>IF($AG157="","",P_Peildatum)</f>
        <v>46295.0</v>
      </c>
      <c r="I157" s="92">
        <f>IF($AG157="","",P_RJ+INDEX($AK$8:$AK$21,INDEX($AC$8:$AC$1407,$AG157)+1))</f>
        <v>2026</v>
      </c>
      <c r="J157" s="92" t="str">
        <f>IF($AG157="","",INDEX(V_WBS,INDEX($AB$8:$AB$1407,$AG157)))</f>
        <v>G.900011.8.9090</v>
      </c>
      <c r="K157" s="92" t="str">
        <f>IF($AG157="","",INDEX(V_Projdef,INDEX($AB$8:$AB$1407,$AG157)))</f>
        <v>G.900011</v>
      </c>
      <c r="L157" s="92" t="str">
        <f>IF($AG157="","",INDEX(V_Naam,INDEX($AB$8:$AB$1407,$AG157)))</f>
        <v>Meerhovenstad, Hofstaete</v>
      </c>
      <c r="M157" s="92" t="str">
        <f>IF($AG157="","",INDEX(V_Type,INDEX($AB$8:$AB$1407,$AG157)))</f>
        <v>Opstal</v>
      </c>
      <c r="N157" s="92" t="str">
        <f>IF($AG157="","",INDEX(V_IFRS,INDEX($AB$8:$AB$1407,$AG157)))</f>
        <v>J</v>
      </c>
      <c r="O157" s="92" t="str">
        <f>IF($AG157="","",INDEX($AL$8:$AL$21,INDEX($AC$8:$AC$1407,$AG157)+1))</f>
        <v>Woningverkopen Q2</v>
      </c>
      <c r="P157" s="109">
        <f>IF($AG157="","",INDEX($AD$8:$AD$1407,$AG157))</f>
        <v>8</v>
      </c>
      <c r="Q157" s="92" t="str">
        <f>IF($AG157="","",INDEX($AM$8:$AM$21,INDEX($AC$8:$AC$1407,$AG157)+1))</f>
        <v>aantal</v>
      </c>
      <c r="R157" s="92" t="str">
        <f>IF($AG157="","",IF($G157&gt;0,P_ToelCorrectie&amp;"",""))</f>
        <v/>
      </c>
      <c r="S157" s="15" t="str">
        <f>IF(J157="","",J157&amp;"|"&amp;E157&amp;"|"&amp;F157&amp;"|"&amp;I157&amp;"|"&amp;O157)</f>
        <v>G.900011.8.9090|2026|Q3|2026|Woningverkopen Q2</v>
      </c>
      <c r="T157" s="111">
        <f>IF(S157="","",IF(COUNTIFS(L_Sleutel,S157,L_Actief,1)=0,"",SUMIFS(L_Waarde,L_Sleutel,S157,L_Actief,1)))</f>
        <v>8</v>
      </c>
      <c r="U157" s="111">
        <f>IF(OR(S157="",T157=""),0,P157-T157)</f>
        <v>0</v>
      </c>
      <c r="AB157" s="112" t="n">
        <v>11</v>
      </c>
      <c r="AC157" s="112" t="n">
        <v>9</v>
      </c>
      <c r="AD157" s="112">
        <f>VERW_Project!BR16</f>
        <v>8</v>
      </c>
      <c r="AE157" s="112">
        <f>IF(AND(VERW_Project!$A16&lt;&gt;"",ISNUMBER(AD157)),1,0)</f>
        <v>1</v>
      </c>
      <c r="AF157" s="112">
        <f>IF(AE157=1,SUM($AE$8:AE157),"")</f>
        <v>150</v>
      </c>
      <c r="AG157">
        <f>IFERROR(MATCH(150,$AF$8:$AF$1407,0),"")</f>
        <v>150</v>
      </c>
    </row>
    <row r="158">
      <c r="A158" s="92" t="str">
        <f>IF($AG158="","",P_ImportID)</f>
        <v>IMP-2026-Q3-01</v>
      </c>
      <c r="B158" s="92" t="str">
        <f>IF($AG158="","",IF(INDEX($AN$8:$AN$21,INDEX($AC$8:$AC$1407,$AG158)+1)="Z",P_BronZ,P_BronE))</f>
        <v>Woningetalage_FICTIEF_20_projecten.xlsx</v>
      </c>
      <c r="C158" s="108">
        <f>IF($AG158="","",P_Importdatum)</f>
        <v>46324.0</v>
      </c>
      <c r="D158" s="92" t="str">
        <f>IF($AG158="","",P_StatusVastleg)</f>
        <v>Vastgesteld</v>
      </c>
      <c r="E158" s="92">
        <f>IF($AG158="","",P_UploadVJ)</f>
        <v>2026</v>
      </c>
      <c r="F158" s="92" t="str">
        <f>IF($AG158="","",P_UploadVersie)</f>
        <v>Q3</v>
      </c>
      <c r="G158" s="92">
        <f>IF($AG158="","",IF(COUNTIFS(L_Sleutel,$S158,L_Status,"Vastgesteld")=0,0,_xlfn.MAXIFS(L_Revisie,L_Sleutel,$S158,L_Status,"Vastgesteld")+1))</f>
        <v>1</v>
      </c>
      <c r="H158" s="108">
        <f>IF($AG158="","",P_Peildatum)</f>
        <v>46295.0</v>
      </c>
      <c r="I158" s="92">
        <f>IF($AG158="","",P_RJ+INDEX($AK$8:$AK$21,INDEX($AC$8:$AC$1407,$AG158)+1))</f>
        <v>2026</v>
      </c>
      <c r="J158" s="92" t="str">
        <f>IF($AG158="","",INDEX(V_WBS,INDEX($AB$8:$AB$1407,$AG158)))</f>
        <v>G.900011.8.9090</v>
      </c>
      <c r="K158" s="92" t="str">
        <f>IF($AG158="","",INDEX(V_Projdef,INDEX($AB$8:$AB$1407,$AG158)))</f>
        <v>G.900011</v>
      </c>
      <c r="L158" s="92" t="str">
        <f>IF($AG158="","",INDEX(V_Naam,INDEX($AB$8:$AB$1407,$AG158)))</f>
        <v>Meerhovenstad, Hofstaete</v>
      </c>
      <c r="M158" s="92" t="str">
        <f>IF($AG158="","",INDEX(V_Type,INDEX($AB$8:$AB$1407,$AG158)))</f>
        <v>Opstal</v>
      </c>
      <c r="N158" s="92" t="str">
        <f>IF($AG158="","",INDEX(V_IFRS,INDEX($AB$8:$AB$1407,$AG158)))</f>
        <v>J</v>
      </c>
      <c r="O158" s="92" t="str">
        <f>IF($AG158="","",INDEX($AL$8:$AL$21,INDEX($AC$8:$AC$1407,$AG158)+1))</f>
        <v>Woningverkopen Q3</v>
      </c>
      <c r="P158" s="109">
        <f>IF($AG158="","",INDEX($AD$8:$AD$1407,$AG158))</f>
        <v>8</v>
      </c>
      <c r="Q158" s="92" t="str">
        <f>IF($AG158="","",INDEX($AM$8:$AM$21,INDEX($AC$8:$AC$1407,$AG158)+1))</f>
        <v>aantal</v>
      </c>
      <c r="R158" s="92" t="str">
        <f>IF($AG158="","",IF($G158&gt;0,P_ToelCorrectie&amp;"",""))</f>
        <v/>
      </c>
      <c r="S158" s="15" t="str">
        <f>IF(J158="","",J158&amp;"|"&amp;E158&amp;"|"&amp;F158&amp;"|"&amp;I158&amp;"|"&amp;O158)</f>
        <v>G.900011.8.9090|2026|Q3|2026|Woningverkopen Q3</v>
      </c>
      <c r="T158" s="111">
        <f>IF(S158="","",IF(COUNTIFS(L_Sleutel,S158,L_Actief,1)=0,"",SUMIFS(L_Waarde,L_Sleutel,S158,L_Actief,1)))</f>
        <v>8</v>
      </c>
      <c r="U158" s="111">
        <f>IF(OR(S158="",T158=""),0,P158-T158)</f>
        <v>0</v>
      </c>
      <c r="AB158" s="112" t="n">
        <v>11</v>
      </c>
      <c r="AC158" s="112" t="n">
        <v>10</v>
      </c>
      <c r="AD158" s="112">
        <f>VERW_Project!BS16</f>
        <v>8</v>
      </c>
      <c r="AE158" s="112">
        <f>IF(AND(VERW_Project!$A16&lt;&gt;"",ISNUMBER(AD158)),1,0)</f>
        <v>1</v>
      </c>
      <c r="AF158" s="112">
        <f>IF(AE158=1,SUM($AE$8:AE158),"")</f>
        <v>151</v>
      </c>
      <c r="AG158">
        <f>IFERROR(MATCH(151,$AF$8:$AF$1407,0),"")</f>
        <v>151</v>
      </c>
    </row>
    <row r="159">
      <c r="A159" s="92" t="str">
        <f>IF($AG159="","",P_ImportID)</f>
        <v>IMP-2026-Q3-01</v>
      </c>
      <c r="B159" s="92" t="str">
        <f>IF($AG159="","",IF(INDEX($AN$8:$AN$21,INDEX($AC$8:$AC$1407,$AG159)+1)="Z",P_BronZ,P_BronE))</f>
        <v>Woningetalage_FICTIEF_20_projecten.xlsx</v>
      </c>
      <c r="C159" s="108">
        <f>IF($AG159="","",P_Importdatum)</f>
        <v>46324.0</v>
      </c>
      <c r="D159" s="92" t="str">
        <f>IF($AG159="","",P_StatusVastleg)</f>
        <v>Vastgesteld</v>
      </c>
      <c r="E159" s="92">
        <f>IF($AG159="","",P_UploadVJ)</f>
        <v>2026</v>
      </c>
      <c r="F159" s="92" t="str">
        <f>IF($AG159="","",P_UploadVersie)</f>
        <v>Q3</v>
      </c>
      <c r="G159" s="92">
        <f>IF($AG159="","",IF(COUNTIFS(L_Sleutel,$S159,L_Status,"Vastgesteld")=0,0,_xlfn.MAXIFS(L_Revisie,L_Sleutel,$S159,L_Status,"Vastgesteld")+1))</f>
        <v>1</v>
      </c>
      <c r="H159" s="108">
        <f>IF($AG159="","",P_Peildatum)</f>
        <v>46295.0</v>
      </c>
      <c r="I159" s="92">
        <f>IF($AG159="","",P_RJ+INDEX($AK$8:$AK$21,INDEX($AC$8:$AC$1407,$AG159)+1))</f>
        <v>2026</v>
      </c>
      <c r="J159" s="92" t="str">
        <f>IF($AG159="","",INDEX(V_WBS,INDEX($AB$8:$AB$1407,$AG159)))</f>
        <v>G.900011.8.9090</v>
      </c>
      <c r="K159" s="92" t="str">
        <f>IF($AG159="","",INDEX(V_Projdef,INDEX($AB$8:$AB$1407,$AG159)))</f>
        <v>G.900011</v>
      </c>
      <c r="L159" s="92" t="str">
        <f>IF($AG159="","",INDEX(V_Naam,INDEX($AB$8:$AB$1407,$AG159)))</f>
        <v>Meerhovenstad, Hofstaete</v>
      </c>
      <c r="M159" s="92" t="str">
        <f>IF($AG159="","",INDEX(V_Type,INDEX($AB$8:$AB$1407,$AG159)))</f>
        <v>Opstal</v>
      </c>
      <c r="N159" s="92" t="str">
        <f>IF($AG159="","",INDEX(V_IFRS,INDEX($AB$8:$AB$1407,$AG159)))</f>
        <v>J</v>
      </c>
      <c r="O159" s="92" t="str">
        <f>IF($AG159="","",INDEX($AL$8:$AL$21,INDEX($AC$8:$AC$1407,$AG159)+1))</f>
        <v>Woningverkopen Q4</v>
      </c>
      <c r="P159" s="109">
        <f>IF($AG159="","",INDEX($AD$8:$AD$1407,$AG159))</f>
        <v>12</v>
      </c>
      <c r="Q159" s="92" t="str">
        <f>IF($AG159="","",INDEX($AM$8:$AM$21,INDEX($AC$8:$AC$1407,$AG159)+1))</f>
        <v>aantal</v>
      </c>
      <c r="R159" s="92" t="str">
        <f>IF($AG159="","",IF($G159&gt;0,P_ToelCorrectie&amp;"",""))</f>
        <v/>
      </c>
      <c r="S159" s="15" t="str">
        <f>IF(J159="","",J159&amp;"|"&amp;E159&amp;"|"&amp;F159&amp;"|"&amp;I159&amp;"|"&amp;O159)</f>
        <v>G.900011.8.9090|2026|Q3|2026|Woningverkopen Q4</v>
      </c>
      <c r="T159" s="111">
        <f>IF(S159="","",IF(COUNTIFS(L_Sleutel,S159,L_Actief,1)=0,"",SUMIFS(L_Waarde,L_Sleutel,S159,L_Actief,1)))</f>
        <v>12</v>
      </c>
      <c r="U159" s="111">
        <f>IF(OR(S159="",T159=""),0,P159-T159)</f>
        <v>0</v>
      </c>
      <c r="AB159" s="112" t="n">
        <v>11</v>
      </c>
      <c r="AC159" s="112" t="n">
        <v>11</v>
      </c>
      <c r="AD159" s="112">
        <f>VERW_Project!BT16</f>
        <v>12</v>
      </c>
      <c r="AE159" s="112">
        <f>IF(AND(VERW_Project!$A16&lt;&gt;"",ISNUMBER(AD159)),1,0)</f>
        <v>1</v>
      </c>
      <c r="AF159" s="112">
        <f>IF(AE159=1,SUM($AE$8:AE159),"")</f>
        <v>152</v>
      </c>
      <c r="AG159">
        <f>IFERROR(MATCH(152,$AF$8:$AF$1407,0),"")</f>
        <v>152</v>
      </c>
    </row>
    <row r="160">
      <c r="A160" s="92" t="str">
        <f>IF($AG160="","",P_ImportID)</f>
        <v>IMP-2026-Q3-01</v>
      </c>
      <c r="B160" s="92" t="str">
        <f>IF($AG160="","",IF(INDEX($AN$8:$AN$21,INDEX($AC$8:$AC$1407,$AG160)+1)="Z",P_BronZ,P_BronE))</f>
        <v>Woningetalage_FICTIEF_20_projecten.xlsx</v>
      </c>
      <c r="C160" s="108">
        <f>IF($AG160="","",P_Importdatum)</f>
        <v>46324.0</v>
      </c>
      <c r="D160" s="92" t="str">
        <f>IF($AG160="","",P_StatusVastleg)</f>
        <v>Vastgesteld</v>
      </c>
      <c r="E160" s="92">
        <f>IF($AG160="","",P_UploadVJ)</f>
        <v>2026</v>
      </c>
      <c r="F160" s="92" t="str">
        <f>IF($AG160="","",P_UploadVersie)</f>
        <v>Q3</v>
      </c>
      <c r="G160" s="92">
        <f>IF($AG160="","",IF(COUNTIFS(L_Sleutel,$S160,L_Status,"Vastgesteld")=0,0,_xlfn.MAXIFS(L_Revisie,L_Sleutel,$S160,L_Status,"Vastgesteld")+1))</f>
        <v>1</v>
      </c>
      <c r="H160" s="108">
        <f>IF($AG160="","",P_Peildatum)</f>
        <v>46295.0</v>
      </c>
      <c r="I160" s="92">
        <f>IF($AG160="","",P_RJ+INDEX($AK$8:$AK$21,INDEX($AC$8:$AC$1407,$AG160)+1))</f>
        <v>2026</v>
      </c>
      <c r="J160" s="92" t="str">
        <f>IF($AG160="","",INDEX(V_WBS,INDEX($AB$8:$AB$1407,$AG160)))</f>
        <v>G.900011.8.9090</v>
      </c>
      <c r="K160" s="92" t="str">
        <f>IF($AG160="","",INDEX(V_Projdef,INDEX($AB$8:$AB$1407,$AG160)))</f>
        <v>G.900011</v>
      </c>
      <c r="L160" s="92" t="str">
        <f>IF($AG160="","",INDEX(V_Naam,INDEX($AB$8:$AB$1407,$AG160)))</f>
        <v>Meerhovenstad, Hofstaete</v>
      </c>
      <c r="M160" s="92" t="str">
        <f>IF($AG160="","",INDEX(V_Type,INDEX($AB$8:$AB$1407,$AG160)))</f>
        <v>Opstal</v>
      </c>
      <c r="N160" s="92" t="str">
        <f>IF($AG160="","",INDEX(V_IFRS,INDEX($AB$8:$AB$1407,$AG160)))</f>
        <v>J</v>
      </c>
      <c r="O160" s="92" t="str">
        <f>IF($AG160="","",INDEX($AL$8:$AL$21,INDEX($AC$8:$AC$1407,$AG160)+1))</f>
        <v>Woningverkopen actual YTD</v>
      </c>
      <c r="P160" s="109">
        <f>IF($AG160="","",INDEX($AD$8:$AD$1407,$AG160))</f>
        <v>20</v>
      </c>
      <c r="Q160" s="92" t="str">
        <f>IF($AG160="","",INDEX($AM$8:$AM$21,INDEX($AC$8:$AC$1407,$AG160)+1))</f>
        <v>aantal</v>
      </c>
      <c r="R160" s="92" t="str">
        <f>IF($AG160="","",IF($G160&gt;0,P_ToelCorrectie&amp;"",""))</f>
        <v/>
      </c>
      <c r="S160" s="15" t="str">
        <f>IF(J160="","",J160&amp;"|"&amp;E160&amp;"|"&amp;F160&amp;"|"&amp;I160&amp;"|"&amp;O160)</f>
        <v>G.900011.8.9090|2026|Q3|2026|Woningverkopen actual YTD</v>
      </c>
      <c r="T160" s="111">
        <f>IF(S160="","",IF(COUNTIFS(L_Sleutel,S160,L_Actief,1)=0,"",SUMIFS(L_Waarde,L_Sleutel,S160,L_Actief,1)))</f>
        <v>20</v>
      </c>
      <c r="U160" s="111">
        <f>IF(OR(S160="",T160=""),0,P160-T160)</f>
        <v>0</v>
      </c>
      <c r="AB160" s="112" t="n">
        <v>11</v>
      </c>
      <c r="AC160" s="112" t="n">
        <v>12</v>
      </c>
      <c r="AD160" s="112">
        <f>VERW_Project!BU16</f>
        <v>20</v>
      </c>
      <c r="AE160" s="112">
        <f>IF(AND(VERW_Project!$A16&lt;&gt;"",ISNUMBER(AD160)),1,0)</f>
        <v>1</v>
      </c>
      <c r="AF160" s="112">
        <f>IF(AE160=1,SUM($AE$8:AE160),"")</f>
        <v>153</v>
      </c>
      <c r="AG160">
        <f>IFERROR(MATCH(153,$AF$8:$AF$1407,0),"")</f>
        <v>153</v>
      </c>
    </row>
    <row r="161">
      <c r="A161" s="92" t="str">
        <f>IF($AG161="","",P_ImportID)</f>
        <v>IMP-2026-Q3-01</v>
      </c>
      <c r="B161" s="92" t="str">
        <f>IF($AG161="","",IF(INDEX($AN$8:$AN$21,INDEX($AC$8:$AC$1407,$AG161)+1)="Z",P_BronZ,P_BronE))</f>
        <v>Woningetalage_FICTIEF_20_projecten.xlsx</v>
      </c>
      <c r="C161" s="108">
        <f>IF($AG161="","",P_Importdatum)</f>
        <v>46324.0</v>
      </c>
      <c r="D161" s="92" t="str">
        <f>IF($AG161="","",P_StatusVastleg)</f>
        <v>Vastgesteld</v>
      </c>
      <c r="E161" s="92">
        <f>IF($AG161="","",P_UploadVJ)</f>
        <v>2026</v>
      </c>
      <c r="F161" s="92" t="str">
        <f>IF($AG161="","",P_UploadVersie)</f>
        <v>Q3</v>
      </c>
      <c r="G161" s="92">
        <f>IF($AG161="","",IF(COUNTIFS(L_Sleutel,$S161,L_Status,"Vastgesteld")=0,0,_xlfn.MAXIFS(L_Revisie,L_Sleutel,$S161,L_Status,"Vastgesteld")+1))</f>
        <v>0</v>
      </c>
      <c r="H161" s="108">
        <f>IF($AG161="","",P_Peildatum)</f>
        <v>46295.0</v>
      </c>
      <c r="I161" s="92">
        <f>IF($AG161="","",P_RJ+INDEX($AK$8:$AK$21,INDEX($AC$8:$AC$1407,$AG161)+1))</f>
        <v>2027</v>
      </c>
      <c r="J161" s="92" t="str">
        <f>IF($AG161="","",INDEX(V_WBS,INDEX($AB$8:$AB$1407,$AG161)))</f>
        <v>G.900011.8.9090</v>
      </c>
      <c r="K161" s="92" t="str">
        <f>IF($AG161="","",INDEX(V_Projdef,INDEX($AB$8:$AB$1407,$AG161)))</f>
        <v>G.900011</v>
      </c>
      <c r="L161" s="92" t="str">
        <f>IF($AG161="","",INDEX(V_Naam,INDEX($AB$8:$AB$1407,$AG161)))</f>
        <v>Meerhovenstad, Hofstaete</v>
      </c>
      <c r="M161" s="92" t="str">
        <f>IF($AG161="","",INDEX(V_Type,INDEX($AB$8:$AB$1407,$AG161)))</f>
        <v>Opstal</v>
      </c>
      <c r="N161" s="92" t="str">
        <f>IF($AG161="","",INDEX(V_IFRS,INDEX($AB$8:$AB$1407,$AG161)))</f>
        <v>J</v>
      </c>
      <c r="O161" s="92" t="str">
        <f>IF($AG161="","",INDEX($AL$8:$AL$21,INDEX($AC$8:$AC$1407,$AG161)+1))</f>
        <v>Woningverkopen FY</v>
      </c>
      <c r="P161" s="109">
        <f>IF($AG161="","",INDEX($AD$8:$AD$1407,$AG161))</f>
        <v>42</v>
      </c>
      <c r="Q161" s="92" t="str">
        <f>IF($AG161="","",INDEX($AM$8:$AM$21,INDEX($AC$8:$AC$1407,$AG161)+1))</f>
        <v>aantal</v>
      </c>
      <c r="R161" s="92" t="str">
        <f>IF($AG161="","",IF($G161&gt;0,P_ToelCorrectie&amp;"",""))</f>
        <v/>
      </c>
      <c r="S161" s="15" t="str">
        <f>IF(J161="","",J161&amp;"|"&amp;E161&amp;"|"&amp;F161&amp;"|"&amp;I161&amp;"|"&amp;O161)</f>
        <v>G.900011.8.9090|2026|Q3|2027|Woningverkopen FY</v>
      </c>
      <c r="T161" s="111" t="str">
        <f>IF(S161="","",IF(COUNTIFS(L_Sleutel,S161,L_Actief,1)=0,"",SUMIFS(L_Waarde,L_Sleutel,S161,L_Actief,1)))</f>
        <v/>
      </c>
      <c r="U161" s="111">
        <f>IF(OR(S161="",T161=""),0,P161-T161)</f>
        <v>0</v>
      </c>
      <c r="AB161" s="112" t="n">
        <v>11</v>
      </c>
      <c r="AC161" s="112" t="n">
        <v>13</v>
      </c>
      <c r="AD161" s="112">
        <f>VERW_Project!BX16</f>
        <v>42</v>
      </c>
      <c r="AE161" s="112">
        <f>IF(AND(VERW_Project!$A16&lt;&gt;"",ISNUMBER(AD161)),1,0)</f>
        <v>1</v>
      </c>
      <c r="AF161" s="112">
        <f>IF(AE161=1,SUM($AE$8:AE161),"")</f>
        <v>154</v>
      </c>
      <c r="AG161">
        <f>IFERROR(MATCH(154,$AF$8:$AF$1407,0),"")</f>
        <v>154</v>
      </c>
    </row>
    <row r="162">
      <c r="A162" s="92" t="str">
        <f>IF($AG162="","",P_ImportID)</f>
        <v>IMP-2026-Q3-01</v>
      </c>
      <c r="B162" s="92" t="str">
        <f>IF($AG162="","",IF(INDEX($AN$8:$AN$21,INDEX($AC$8:$AC$1407,$AG162)+1)="Z",P_BronZ,P_BronE))</f>
        <v>ZPMW03_FICTIEF_20_projecten.xlsx</v>
      </c>
      <c r="C162" s="108">
        <f>IF($AG162="","",P_Importdatum)</f>
        <v>46324.0</v>
      </c>
      <c r="D162" s="92" t="str">
        <f>IF($AG162="","",P_StatusVastleg)</f>
        <v>Vastgesteld</v>
      </c>
      <c r="E162" s="92">
        <f>IF($AG162="","",P_UploadVJ)</f>
        <v>2026</v>
      </c>
      <c r="F162" s="92" t="str">
        <f>IF($AG162="","",P_UploadVersie)</f>
        <v>Q3</v>
      </c>
      <c r="G162" s="92">
        <f>IF($AG162="","",IF(COUNTIFS(L_Sleutel,$S162,L_Status,"Vastgesteld")=0,0,_xlfn.MAXIFS(L_Revisie,L_Sleutel,$S162,L_Status,"Vastgesteld")+1))</f>
        <v>1</v>
      </c>
      <c r="H162" s="108">
        <f>IF($AG162="","",P_Peildatum)</f>
        <v>46295.0</v>
      </c>
      <c r="I162" s="92">
        <f>IF($AG162="","",P_RJ+INDEX($AK$8:$AK$21,INDEX($AC$8:$AC$1407,$AG162)+1))</f>
        <v>2026</v>
      </c>
      <c r="J162" s="92" t="str">
        <f>IF($AG162="","",INDEX(V_WBS,INDEX($AB$8:$AB$1407,$AG162)))</f>
        <v>G.900012.8.9090</v>
      </c>
      <c r="K162" s="92" t="str">
        <f>IF($AG162="","",INDEX(V_Projdef,INDEX($AB$8:$AB$1407,$AG162)))</f>
        <v>G.900012</v>
      </c>
      <c r="L162" s="92" t="str">
        <f>IF($AG162="","",INDEX(V_Naam,INDEX($AB$8:$AB$1407,$AG162)))</f>
        <v>Zilverdam, De Werf</v>
      </c>
      <c r="M162" s="92" t="str">
        <f>IF($AG162="","",INDEX(V_Type,INDEX($AB$8:$AB$1407,$AG162)))</f>
        <v>Deelneming</v>
      </c>
      <c r="N162" s="92" t="str">
        <f>IF($AG162="","",INDEX(V_IFRS,INDEX($AB$8:$AB$1407,$AG162)))</f>
        <v>N</v>
      </c>
      <c r="O162" s="92" t="str">
        <f>IF($AG162="","",INDEX($AL$8:$AL$21,INDEX($AC$8:$AC$1407,$AG162)+1))</f>
        <v>Omzet FY</v>
      </c>
      <c r="P162" s="109">
        <f>IF($AG162="","",INDEX($AD$8:$AD$1407,$AG162))</f>
        <v>1435000</v>
      </c>
      <c r="Q162" s="92" t="str">
        <f>IF($AG162="","",INDEX($AM$8:$AM$21,INDEX($AC$8:$AC$1407,$AG162)+1))</f>
        <v>EUR</v>
      </c>
      <c r="R162" s="92" t="str">
        <f>IF($AG162="","",IF($G162&gt;0,P_ToelCorrectie&amp;"",""))</f>
        <v/>
      </c>
      <c r="S162" s="15" t="str">
        <f>IF(J162="","",J162&amp;"|"&amp;E162&amp;"|"&amp;F162&amp;"|"&amp;I162&amp;"|"&amp;O162)</f>
        <v>G.900012.8.9090|2026|Q3|2026|Omzet FY</v>
      </c>
      <c r="T162" s="111">
        <f>IF(S162="","",IF(COUNTIFS(L_Sleutel,S162,L_Actief,1)=0,"",SUMIFS(L_Waarde,L_Sleutel,S162,L_Actief,1)))</f>
        <v>1435000</v>
      </c>
      <c r="U162" s="111">
        <f>IF(OR(S162="",T162=""),0,P162-T162)</f>
        <v>0</v>
      </c>
      <c r="AB162" s="112" t="n">
        <v>12</v>
      </c>
      <c r="AC162" s="112" t="n">
        <v>0</v>
      </c>
      <c r="AD162" s="112">
        <f>VERW_Project!P17</f>
        <v>1435000</v>
      </c>
      <c r="AE162" s="112">
        <f>IF(AND(VERW_Project!$A17&lt;&gt;"",ISNUMBER(AD162)),1,0)</f>
        <v>1</v>
      </c>
      <c r="AF162" s="112">
        <f>IF(AE162=1,SUM($AE$8:AE162),"")</f>
        <v>155</v>
      </c>
      <c r="AG162">
        <f>IFERROR(MATCH(155,$AF$8:$AF$1407,0),"")</f>
        <v>155</v>
      </c>
    </row>
    <row r="163">
      <c r="A163" s="92" t="str">
        <f>IF($AG163="","",P_ImportID)</f>
        <v>IMP-2026-Q3-01</v>
      </c>
      <c r="B163" s="92" t="str">
        <f>IF($AG163="","",IF(INDEX($AN$8:$AN$21,INDEX($AC$8:$AC$1407,$AG163)+1)="Z",P_BronZ,P_BronE))</f>
        <v>ZPMW03_FICTIEF_20_projecten.xlsx</v>
      </c>
      <c r="C163" s="108">
        <f>IF($AG163="","",P_Importdatum)</f>
        <v>46324.0</v>
      </c>
      <c r="D163" s="92" t="str">
        <f>IF($AG163="","",P_StatusVastleg)</f>
        <v>Vastgesteld</v>
      </c>
      <c r="E163" s="92">
        <f>IF($AG163="","",P_UploadVJ)</f>
        <v>2026</v>
      </c>
      <c r="F163" s="92" t="str">
        <f>IF($AG163="","",P_UploadVersie)</f>
        <v>Q3</v>
      </c>
      <c r="G163" s="92">
        <f>IF($AG163="","",IF(COUNTIFS(L_Sleutel,$S163,L_Status,"Vastgesteld")=0,0,_xlfn.MAXIFS(L_Revisie,L_Sleutel,$S163,L_Status,"Vastgesteld")+1))</f>
        <v>1</v>
      </c>
      <c r="H163" s="108">
        <f>IF($AG163="","",P_Peildatum)</f>
        <v>46295.0</v>
      </c>
      <c r="I163" s="92">
        <f>IF($AG163="","",P_RJ+INDEX($AK$8:$AK$21,INDEX($AC$8:$AC$1407,$AG163)+1))</f>
        <v>2026</v>
      </c>
      <c r="J163" s="92" t="str">
        <f>IF($AG163="","",INDEX(V_WBS,INDEX($AB$8:$AB$1407,$AG163)))</f>
        <v>G.900012.8.9090</v>
      </c>
      <c r="K163" s="92" t="str">
        <f>IF($AG163="","",INDEX(V_Projdef,INDEX($AB$8:$AB$1407,$AG163)))</f>
        <v>G.900012</v>
      </c>
      <c r="L163" s="92" t="str">
        <f>IF($AG163="","",INDEX(V_Naam,INDEX($AB$8:$AB$1407,$AG163)))</f>
        <v>Zilverdam, De Werf</v>
      </c>
      <c r="M163" s="92" t="str">
        <f>IF($AG163="","",INDEX(V_Type,INDEX($AB$8:$AB$1407,$AG163)))</f>
        <v>Deelneming</v>
      </c>
      <c r="N163" s="92" t="str">
        <f>IF($AG163="","",INDEX(V_IFRS,INDEX($AB$8:$AB$1407,$AG163)))</f>
        <v>N</v>
      </c>
      <c r="O163" s="92" t="str">
        <f>IF($AG163="","",INDEX($AL$8:$AL$21,INDEX($AC$8:$AC$1407,$AG163)+1))</f>
        <v>BOR FY</v>
      </c>
      <c r="P163" s="109">
        <f>IF($AG163="","",INDEX($AD$8:$AD$1407,$AG163))</f>
        <v>172200</v>
      </c>
      <c r="Q163" s="92" t="str">
        <f>IF($AG163="","",INDEX($AM$8:$AM$21,INDEX($AC$8:$AC$1407,$AG163)+1))</f>
        <v>EUR</v>
      </c>
      <c r="R163" s="92" t="str">
        <f>IF($AG163="","",IF($G163&gt;0,P_ToelCorrectie&amp;"",""))</f>
        <v/>
      </c>
      <c r="S163" s="15" t="str">
        <f>IF(J163="","",J163&amp;"|"&amp;E163&amp;"|"&amp;F163&amp;"|"&amp;I163&amp;"|"&amp;O163)</f>
        <v>G.900012.8.9090|2026|Q3|2026|BOR FY</v>
      </c>
      <c r="T163" s="111">
        <f>IF(S163="","",IF(COUNTIFS(L_Sleutel,S163,L_Actief,1)=0,"",SUMIFS(L_Waarde,L_Sleutel,S163,L_Actief,1)))</f>
        <v>172200</v>
      </c>
      <c r="U163" s="111">
        <f>IF(OR(S163="",T163=""),0,P163-T163)</f>
        <v>0</v>
      </c>
      <c r="AB163" s="112" t="n">
        <v>12</v>
      </c>
      <c r="AC163" s="112" t="n">
        <v>1</v>
      </c>
      <c r="AD163" s="112">
        <f>VERW_Project!Q17</f>
        <v>172200</v>
      </c>
      <c r="AE163" s="112">
        <f>IF(AND(VERW_Project!$A17&lt;&gt;"",ISNUMBER(AD163)),1,0)</f>
        <v>1</v>
      </c>
      <c r="AF163" s="112">
        <f>IF(AE163=1,SUM($AE$8:AE163),"")</f>
        <v>156</v>
      </c>
      <c r="AG163">
        <f>IFERROR(MATCH(156,$AF$8:$AF$1407,0),"")</f>
        <v>156</v>
      </c>
    </row>
    <row r="164">
      <c r="A164" s="92" t="str">
        <f>IF($AG164="","",P_ImportID)</f>
        <v>IMP-2026-Q3-01</v>
      </c>
      <c r="B164" s="92" t="str">
        <f>IF($AG164="","",IF(INDEX($AN$8:$AN$21,INDEX($AC$8:$AC$1407,$AG164)+1)="Z",P_BronZ,P_BronE))</f>
        <v>ZPMW03_FICTIEF_20_projecten.xlsx</v>
      </c>
      <c r="C164" s="108">
        <f>IF($AG164="","",P_Importdatum)</f>
        <v>46324.0</v>
      </c>
      <c r="D164" s="92" t="str">
        <f>IF($AG164="","",P_StatusVastleg)</f>
        <v>Vastgesteld</v>
      </c>
      <c r="E164" s="92">
        <f>IF($AG164="","",P_UploadVJ)</f>
        <v>2026</v>
      </c>
      <c r="F164" s="92" t="str">
        <f>IF($AG164="","",P_UploadVersie)</f>
        <v>Q3</v>
      </c>
      <c r="G164" s="92">
        <f>IF($AG164="","",IF(COUNTIFS(L_Sleutel,$S164,L_Status,"Vastgesteld")=0,0,_xlfn.MAXIFS(L_Revisie,L_Sleutel,$S164,L_Status,"Vastgesteld")+1))</f>
        <v>1</v>
      </c>
      <c r="H164" s="108">
        <f>IF($AG164="","",P_Peildatum)</f>
        <v>46295.0</v>
      </c>
      <c r="I164" s="92">
        <f>IF($AG164="","",P_RJ+INDEX($AK$8:$AK$21,INDEX($AC$8:$AC$1407,$AG164)+1))</f>
        <v>2026</v>
      </c>
      <c r="J164" s="92" t="str">
        <f>IF($AG164="","",INDEX(V_WBS,INDEX($AB$8:$AB$1407,$AG164)))</f>
        <v>G.900012.8.9090</v>
      </c>
      <c r="K164" s="92" t="str">
        <f>IF($AG164="","",INDEX(V_Projdef,INDEX($AB$8:$AB$1407,$AG164)))</f>
        <v>G.900012</v>
      </c>
      <c r="L164" s="92" t="str">
        <f>IF($AG164="","",INDEX(V_Naam,INDEX($AB$8:$AB$1407,$AG164)))</f>
        <v>Zilverdam, De Werf</v>
      </c>
      <c r="M164" s="92" t="str">
        <f>IF($AG164="","",INDEX(V_Type,INDEX($AB$8:$AB$1407,$AG164)))</f>
        <v>Deelneming</v>
      </c>
      <c r="N164" s="92" t="str">
        <f>IF($AG164="","",INDEX(V_IFRS,INDEX($AB$8:$AB$1407,$AG164)))</f>
        <v>N</v>
      </c>
      <c r="O164" s="92" t="str">
        <f>IF($AG164="","",INDEX($AL$8:$AL$21,INDEX($AC$8:$AC$1407,$AG164)+1))</f>
        <v>Omzet actual YTD</v>
      </c>
      <c r="P164" s="109">
        <f>IF($AG164="","",INDEX($AD$8:$AD$1407,$AG164))</f>
        <v>932750</v>
      </c>
      <c r="Q164" s="92" t="str">
        <f>IF($AG164="","",INDEX($AM$8:$AM$21,INDEX($AC$8:$AC$1407,$AG164)+1))</f>
        <v>EUR</v>
      </c>
      <c r="R164" s="92" t="str">
        <f>IF($AG164="","",IF($G164&gt;0,P_ToelCorrectie&amp;"",""))</f>
        <v/>
      </c>
      <c r="S164" s="15" t="str">
        <f>IF(J164="","",J164&amp;"|"&amp;E164&amp;"|"&amp;F164&amp;"|"&amp;I164&amp;"|"&amp;O164)</f>
        <v>G.900012.8.9090|2026|Q3|2026|Omzet actual YTD</v>
      </c>
      <c r="T164" s="111">
        <f>IF(S164="","",IF(COUNTIFS(L_Sleutel,S164,L_Actief,1)=0,"",SUMIFS(L_Waarde,L_Sleutel,S164,L_Actief,1)))</f>
        <v>932750</v>
      </c>
      <c r="U164" s="111">
        <f>IF(OR(S164="",T164=""),0,P164-T164)</f>
        <v>0</v>
      </c>
      <c r="AB164" s="112" t="n">
        <v>12</v>
      </c>
      <c r="AC164" s="112" t="n">
        <v>2</v>
      </c>
      <c r="AD164" s="112">
        <f>VERW_Project!L17</f>
        <v>932750</v>
      </c>
      <c r="AE164" s="112">
        <f>IF(AND(VERW_Project!$A17&lt;&gt;"",ISNUMBER(AD164)),1,0)</f>
        <v>1</v>
      </c>
      <c r="AF164" s="112">
        <f>IF(AE164=1,SUM($AE$8:AE164),"")</f>
        <v>157</v>
      </c>
      <c r="AG164">
        <f>IFERROR(MATCH(157,$AF$8:$AF$1407,0),"")</f>
        <v>157</v>
      </c>
    </row>
    <row r="165">
      <c r="A165" s="92" t="str">
        <f>IF($AG165="","",P_ImportID)</f>
        <v>IMP-2026-Q3-01</v>
      </c>
      <c r="B165" s="92" t="str">
        <f>IF($AG165="","",IF(INDEX($AN$8:$AN$21,INDEX($AC$8:$AC$1407,$AG165)+1)="Z",P_BronZ,P_BronE))</f>
        <v>ZPMW03_FICTIEF_20_projecten.xlsx</v>
      </c>
      <c r="C165" s="108">
        <f>IF($AG165="","",P_Importdatum)</f>
        <v>46324.0</v>
      </c>
      <c r="D165" s="92" t="str">
        <f>IF($AG165="","",P_StatusVastleg)</f>
        <v>Vastgesteld</v>
      </c>
      <c r="E165" s="92">
        <f>IF($AG165="","",P_UploadVJ)</f>
        <v>2026</v>
      </c>
      <c r="F165" s="92" t="str">
        <f>IF($AG165="","",P_UploadVersie)</f>
        <v>Q3</v>
      </c>
      <c r="G165" s="92">
        <f>IF($AG165="","",IF(COUNTIFS(L_Sleutel,$S165,L_Status,"Vastgesteld")=0,0,_xlfn.MAXIFS(L_Revisie,L_Sleutel,$S165,L_Status,"Vastgesteld")+1))</f>
        <v>1</v>
      </c>
      <c r="H165" s="108">
        <f>IF($AG165="","",P_Peildatum)</f>
        <v>46295.0</v>
      </c>
      <c r="I165" s="92">
        <f>IF($AG165="","",P_RJ+INDEX($AK$8:$AK$21,INDEX($AC$8:$AC$1407,$AG165)+1))</f>
        <v>2026</v>
      </c>
      <c r="J165" s="92" t="str">
        <f>IF($AG165="","",INDEX(V_WBS,INDEX($AB$8:$AB$1407,$AG165)))</f>
        <v>G.900012.8.9090</v>
      </c>
      <c r="K165" s="92" t="str">
        <f>IF($AG165="","",INDEX(V_Projdef,INDEX($AB$8:$AB$1407,$AG165)))</f>
        <v>G.900012</v>
      </c>
      <c r="L165" s="92" t="str">
        <f>IF($AG165="","",INDEX(V_Naam,INDEX($AB$8:$AB$1407,$AG165)))</f>
        <v>Zilverdam, De Werf</v>
      </c>
      <c r="M165" s="92" t="str">
        <f>IF($AG165="","",INDEX(V_Type,INDEX($AB$8:$AB$1407,$AG165)))</f>
        <v>Deelneming</v>
      </c>
      <c r="N165" s="92" t="str">
        <f>IF($AG165="","",INDEX(V_IFRS,INDEX($AB$8:$AB$1407,$AG165)))</f>
        <v>N</v>
      </c>
      <c r="O165" s="92" t="str">
        <f>IF($AG165="","",INDEX($AL$8:$AL$21,INDEX($AC$8:$AC$1407,$AG165)+1))</f>
        <v>BOR actual YTD</v>
      </c>
      <c r="P165" s="109">
        <f>IF($AG165="","",INDEX($AD$8:$AD$1407,$AG165))</f>
        <v>111930</v>
      </c>
      <c r="Q165" s="92" t="str">
        <f>IF($AG165="","",INDEX($AM$8:$AM$21,INDEX($AC$8:$AC$1407,$AG165)+1))</f>
        <v>EUR</v>
      </c>
      <c r="R165" s="92" t="str">
        <f>IF($AG165="","",IF($G165&gt;0,P_ToelCorrectie&amp;"",""))</f>
        <v/>
      </c>
      <c r="S165" s="15" t="str">
        <f>IF(J165="","",J165&amp;"|"&amp;E165&amp;"|"&amp;F165&amp;"|"&amp;I165&amp;"|"&amp;O165)</f>
        <v>G.900012.8.9090|2026|Q3|2026|BOR actual YTD</v>
      </c>
      <c r="T165" s="111">
        <f>IF(S165="","",IF(COUNTIFS(L_Sleutel,S165,L_Actief,1)=0,"",SUMIFS(L_Waarde,L_Sleutel,S165,L_Actief,1)))</f>
        <v>111930</v>
      </c>
      <c r="U165" s="111">
        <f>IF(OR(S165="",T165=""),0,P165-T165)</f>
        <v>0</v>
      </c>
      <c r="AB165" s="112" t="n">
        <v>12</v>
      </c>
      <c r="AC165" s="112" t="n">
        <v>3</v>
      </c>
      <c r="AD165" s="112">
        <f>VERW_Project!M17</f>
        <v>111930</v>
      </c>
      <c r="AE165" s="112">
        <f>IF(AND(VERW_Project!$A17&lt;&gt;"",ISNUMBER(AD165)),1,0)</f>
        <v>1</v>
      </c>
      <c r="AF165" s="112">
        <f>IF(AE165=1,SUM($AE$8:AE165),"")</f>
        <v>158</v>
      </c>
      <c r="AG165">
        <f>IFERROR(MATCH(158,$AF$8:$AF$1407,0),"")</f>
        <v>158</v>
      </c>
    </row>
    <row r="166">
      <c r="A166" s="92" t="str">
        <f>IF($AG166="","",P_ImportID)</f>
        <v>IMP-2026-Q3-01</v>
      </c>
      <c r="B166" s="92" t="str">
        <f>IF($AG166="","",IF(INDEX($AN$8:$AN$21,INDEX($AC$8:$AC$1407,$AG166)+1)="Z",P_BronZ,P_BronE))</f>
        <v>ZPMW03_FICTIEF_20_projecten.xlsx</v>
      </c>
      <c r="C166" s="108">
        <f>IF($AG166="","",P_Importdatum)</f>
        <v>46324.0</v>
      </c>
      <c r="D166" s="92" t="str">
        <f>IF($AG166="","",P_StatusVastleg)</f>
        <v>Vastgesteld</v>
      </c>
      <c r="E166" s="92">
        <f>IF($AG166="","",P_UploadVJ)</f>
        <v>2026</v>
      </c>
      <c r="F166" s="92" t="str">
        <f>IF($AG166="","",P_UploadVersie)</f>
        <v>Q3</v>
      </c>
      <c r="G166" s="92">
        <f>IF($AG166="","",IF(COUNTIFS(L_Sleutel,$S166,L_Status,"Vastgesteld")=0,0,_xlfn.MAXIFS(L_Revisie,L_Sleutel,$S166,L_Status,"Vastgesteld")+1))</f>
        <v>1</v>
      </c>
      <c r="H166" s="108">
        <f>IF($AG166="","",P_Peildatum)</f>
        <v>46295.0</v>
      </c>
      <c r="I166" s="92">
        <f>IF($AG166="","",P_RJ+INDEX($AK$8:$AK$21,INDEX($AC$8:$AC$1407,$AG166)+1))</f>
        <v>2027</v>
      </c>
      <c r="J166" s="92" t="str">
        <f>IF($AG166="","",INDEX(V_WBS,INDEX($AB$8:$AB$1407,$AG166)))</f>
        <v>G.900012.8.9090</v>
      </c>
      <c r="K166" s="92" t="str">
        <f>IF($AG166="","",INDEX(V_Projdef,INDEX($AB$8:$AB$1407,$AG166)))</f>
        <v>G.900012</v>
      </c>
      <c r="L166" s="92" t="str">
        <f>IF($AG166="","",INDEX(V_Naam,INDEX($AB$8:$AB$1407,$AG166)))</f>
        <v>Zilverdam, De Werf</v>
      </c>
      <c r="M166" s="92" t="str">
        <f>IF($AG166="","",INDEX(V_Type,INDEX($AB$8:$AB$1407,$AG166)))</f>
        <v>Deelneming</v>
      </c>
      <c r="N166" s="92" t="str">
        <f>IF($AG166="","",INDEX(V_IFRS,INDEX($AB$8:$AB$1407,$AG166)))</f>
        <v>N</v>
      </c>
      <c r="O166" s="92" t="str">
        <f>IF($AG166="","",INDEX($AL$8:$AL$21,INDEX($AC$8:$AC$1407,$AG166)+1))</f>
        <v>Omzet FY</v>
      </c>
      <c r="P166" s="109">
        <f>IF($AG166="","",INDEX($AD$8:$AD$1407,$AG166))</f>
        <v>2798250</v>
      </c>
      <c r="Q166" s="92" t="str">
        <f>IF($AG166="","",INDEX($AM$8:$AM$21,INDEX($AC$8:$AC$1407,$AG166)+1))</f>
        <v>EUR</v>
      </c>
      <c r="R166" s="92" t="str">
        <f>IF($AG166="","",IF($G166&gt;0,P_ToelCorrectie&amp;"",""))</f>
        <v/>
      </c>
      <c r="S166" s="15" t="str">
        <f>IF(J166="","",J166&amp;"|"&amp;E166&amp;"|"&amp;F166&amp;"|"&amp;I166&amp;"|"&amp;O166)</f>
        <v>G.900012.8.9090|2026|Q3|2027|Omzet FY</v>
      </c>
      <c r="T166" s="111">
        <f>IF(S166="","",IF(COUNTIFS(L_Sleutel,S166,L_Actief,1)=0,"",SUMIFS(L_Waarde,L_Sleutel,S166,L_Actief,1)))</f>
        <v>2798250</v>
      </c>
      <c r="U166" s="111">
        <f>IF(OR(S166="",T166=""),0,P166-T166)</f>
        <v>0</v>
      </c>
      <c r="AB166" s="112" t="n">
        <v>12</v>
      </c>
      <c r="AC166" s="112" t="n">
        <v>4</v>
      </c>
      <c r="AD166" s="112">
        <f>VERW_Project!R17</f>
        <v>2798250</v>
      </c>
      <c r="AE166" s="112">
        <f>IF(AND(VERW_Project!$A17&lt;&gt;"",ISNUMBER(AD166)),1,0)</f>
        <v>1</v>
      </c>
      <c r="AF166" s="112">
        <f>IF(AE166=1,SUM($AE$8:AE166),"")</f>
        <v>159</v>
      </c>
      <c r="AG166">
        <f>IFERROR(MATCH(159,$AF$8:$AF$1407,0),"")</f>
        <v>159</v>
      </c>
    </row>
    <row r="167">
      <c r="A167" s="92" t="str">
        <f>IF($AG167="","",P_ImportID)</f>
        <v>IMP-2026-Q3-01</v>
      </c>
      <c r="B167" s="92" t="str">
        <f>IF($AG167="","",IF(INDEX($AN$8:$AN$21,INDEX($AC$8:$AC$1407,$AG167)+1)="Z",P_BronZ,P_BronE))</f>
        <v>ZPMW03_FICTIEF_20_projecten.xlsx</v>
      </c>
      <c r="C167" s="108">
        <f>IF($AG167="","",P_Importdatum)</f>
        <v>46324.0</v>
      </c>
      <c r="D167" s="92" t="str">
        <f>IF($AG167="","",P_StatusVastleg)</f>
        <v>Vastgesteld</v>
      </c>
      <c r="E167" s="92">
        <f>IF($AG167="","",P_UploadVJ)</f>
        <v>2026</v>
      </c>
      <c r="F167" s="92" t="str">
        <f>IF($AG167="","",P_UploadVersie)</f>
        <v>Q3</v>
      </c>
      <c r="G167" s="92">
        <f>IF($AG167="","",IF(COUNTIFS(L_Sleutel,$S167,L_Status,"Vastgesteld")=0,0,_xlfn.MAXIFS(L_Revisie,L_Sleutel,$S167,L_Status,"Vastgesteld")+1))</f>
        <v>1</v>
      </c>
      <c r="H167" s="108">
        <f>IF($AG167="","",P_Peildatum)</f>
        <v>46295.0</v>
      </c>
      <c r="I167" s="92">
        <f>IF($AG167="","",P_RJ+INDEX($AK$8:$AK$21,INDEX($AC$8:$AC$1407,$AG167)+1))</f>
        <v>2027</v>
      </c>
      <c r="J167" s="92" t="str">
        <f>IF($AG167="","",INDEX(V_WBS,INDEX($AB$8:$AB$1407,$AG167)))</f>
        <v>G.900012.8.9090</v>
      </c>
      <c r="K167" s="92" t="str">
        <f>IF($AG167="","",INDEX(V_Projdef,INDEX($AB$8:$AB$1407,$AG167)))</f>
        <v>G.900012</v>
      </c>
      <c r="L167" s="92" t="str">
        <f>IF($AG167="","",INDEX(V_Naam,INDEX($AB$8:$AB$1407,$AG167)))</f>
        <v>Zilverdam, De Werf</v>
      </c>
      <c r="M167" s="92" t="str">
        <f>IF($AG167="","",INDEX(V_Type,INDEX($AB$8:$AB$1407,$AG167)))</f>
        <v>Deelneming</v>
      </c>
      <c r="N167" s="92" t="str">
        <f>IF($AG167="","",INDEX(V_IFRS,INDEX($AB$8:$AB$1407,$AG167)))</f>
        <v>N</v>
      </c>
      <c r="O167" s="92" t="str">
        <f>IF($AG167="","",INDEX($AL$8:$AL$21,INDEX($AC$8:$AC$1407,$AG167)+1))</f>
        <v>BOR FY</v>
      </c>
      <c r="P167" s="109">
        <f>IF($AG167="","",INDEX($AD$8:$AD$1407,$AG167))</f>
        <v>335790</v>
      </c>
      <c r="Q167" s="92" t="str">
        <f>IF($AG167="","",INDEX($AM$8:$AM$21,INDEX($AC$8:$AC$1407,$AG167)+1))</f>
        <v>EUR</v>
      </c>
      <c r="R167" s="92" t="str">
        <f>IF($AG167="","",IF($G167&gt;0,P_ToelCorrectie&amp;"",""))</f>
        <v/>
      </c>
      <c r="S167" s="15" t="str">
        <f>IF(J167="","",J167&amp;"|"&amp;E167&amp;"|"&amp;F167&amp;"|"&amp;I167&amp;"|"&amp;O167)</f>
        <v>G.900012.8.9090|2026|Q3|2027|BOR FY</v>
      </c>
      <c r="T167" s="111">
        <f>IF(S167="","",IF(COUNTIFS(L_Sleutel,S167,L_Actief,1)=0,"",SUMIFS(L_Waarde,L_Sleutel,S167,L_Actief,1)))</f>
        <v>335790</v>
      </c>
      <c r="U167" s="111">
        <f>IF(OR(S167="",T167=""),0,P167-T167)</f>
        <v>0</v>
      </c>
      <c r="AB167" s="112" t="n">
        <v>12</v>
      </c>
      <c r="AC167" s="112" t="n">
        <v>5</v>
      </c>
      <c r="AD167" s="112">
        <f>VERW_Project!S17</f>
        <v>335790</v>
      </c>
      <c r="AE167" s="112">
        <f>IF(AND(VERW_Project!$A17&lt;&gt;"",ISNUMBER(AD167)),1,0)</f>
        <v>1</v>
      </c>
      <c r="AF167" s="112">
        <f>IF(AE167=1,SUM($AE$8:AE167),"")</f>
        <v>160</v>
      </c>
      <c r="AG167">
        <f>IFERROR(MATCH(160,$AF$8:$AF$1407,0),"")</f>
        <v>160</v>
      </c>
    </row>
    <row r="168">
      <c r="A168" s="92" t="str">
        <f>IF($AG168="","",P_ImportID)</f>
        <v>IMP-2026-Q3-01</v>
      </c>
      <c r="B168" s="92" t="str">
        <f>IF($AG168="","",IF(INDEX($AN$8:$AN$21,INDEX($AC$8:$AC$1407,$AG168)+1)="Z",P_BronZ,P_BronE))</f>
        <v>Woningetalage_FICTIEF_20_projecten.xlsx</v>
      </c>
      <c r="C168" s="108">
        <f>IF($AG168="","",P_Importdatum)</f>
        <v>46324.0</v>
      </c>
      <c r="D168" s="92" t="str">
        <f>IF($AG168="","",P_StatusVastleg)</f>
        <v>Vastgesteld</v>
      </c>
      <c r="E168" s="92">
        <f>IF($AG168="","",P_UploadVJ)</f>
        <v>2026</v>
      </c>
      <c r="F168" s="92" t="str">
        <f>IF($AG168="","",P_UploadVersie)</f>
        <v>Q3</v>
      </c>
      <c r="G168" s="92">
        <f>IF($AG168="","",IF(COUNTIFS(L_Sleutel,$S168,L_Status,"Vastgesteld")=0,0,_xlfn.MAXIFS(L_Revisie,L_Sleutel,$S168,L_Status,"Vastgesteld")+1))</f>
        <v>1</v>
      </c>
      <c r="H168" s="108">
        <f>IF($AG168="","",P_Peildatum)</f>
        <v>46295.0</v>
      </c>
      <c r="I168" s="92">
        <f>IF($AG168="","",P_RJ+INDEX($AK$8:$AK$21,INDEX($AC$8:$AC$1407,$AG168)+1))</f>
        <v>2026</v>
      </c>
      <c r="J168" s="92" t="str">
        <f>IF($AG168="","",INDEX(V_WBS,INDEX($AB$8:$AB$1407,$AG168)))</f>
        <v>G.900012.8.9090</v>
      </c>
      <c r="K168" s="92" t="str">
        <f>IF($AG168="","",INDEX(V_Projdef,INDEX($AB$8:$AB$1407,$AG168)))</f>
        <v>G.900012</v>
      </c>
      <c r="L168" s="92" t="str">
        <f>IF($AG168="","",INDEX(V_Naam,INDEX($AB$8:$AB$1407,$AG168)))</f>
        <v>Zilverdam, De Werf</v>
      </c>
      <c r="M168" s="92" t="str">
        <f>IF($AG168="","",INDEX(V_Type,INDEX($AB$8:$AB$1407,$AG168)))</f>
        <v>Deelneming</v>
      </c>
      <c r="N168" s="92" t="str">
        <f>IF($AG168="","",INDEX(V_IFRS,INDEX($AB$8:$AB$1407,$AG168)))</f>
        <v>N</v>
      </c>
      <c r="O168" s="92" t="str">
        <f>IF($AG168="","",INDEX($AL$8:$AL$21,INDEX($AC$8:$AC$1407,$AG168)+1))</f>
        <v>Woningverkopen FY</v>
      </c>
      <c r="P168" s="109">
        <f>IF($AG168="","",INDEX($AD$8:$AD$1407,$AG168))</f>
        <v>9</v>
      </c>
      <c r="Q168" s="92" t="str">
        <f>IF($AG168="","",INDEX($AM$8:$AM$21,INDEX($AC$8:$AC$1407,$AG168)+1))</f>
        <v>aantal</v>
      </c>
      <c r="R168" s="92" t="str">
        <f>IF($AG168="","",IF($G168&gt;0,P_ToelCorrectie&amp;"",""))</f>
        <v/>
      </c>
      <c r="S168" s="15" t="str">
        <f>IF(J168="","",J168&amp;"|"&amp;E168&amp;"|"&amp;F168&amp;"|"&amp;I168&amp;"|"&amp;O168)</f>
        <v>G.900012.8.9090|2026|Q3|2026|Woningverkopen FY</v>
      </c>
      <c r="T168" s="111">
        <f>IF(S168="","",IF(COUNTIFS(L_Sleutel,S168,L_Actief,1)=0,"",SUMIFS(L_Waarde,L_Sleutel,S168,L_Actief,1)))</f>
        <v>9</v>
      </c>
      <c r="U168" s="111">
        <f>IF(OR(S168="",T168=""),0,P168-T168)</f>
        <v>0</v>
      </c>
      <c r="AB168" s="112" t="n">
        <v>12</v>
      </c>
      <c r="AC168" s="112" t="n">
        <v>6</v>
      </c>
      <c r="AD168" s="112">
        <f>VERW_Project!BW17</f>
        <v>9</v>
      </c>
      <c r="AE168" s="112">
        <f>IF(AND(VERW_Project!$A17&lt;&gt;"",ISNUMBER(AD168)),1,0)</f>
        <v>1</v>
      </c>
      <c r="AF168" s="112">
        <f>IF(AE168=1,SUM($AE$8:AE168),"")</f>
        <v>161</v>
      </c>
      <c r="AG168">
        <f>IFERROR(MATCH(161,$AF$8:$AF$1407,0),"")</f>
        <v>161</v>
      </c>
    </row>
    <row r="169">
      <c r="A169" s="92" t="str">
        <f>IF($AG169="","",P_ImportID)</f>
        <v>IMP-2026-Q3-01</v>
      </c>
      <c r="B169" s="92" t="str">
        <f>IF($AG169="","",IF(INDEX($AN$8:$AN$21,INDEX($AC$8:$AC$1407,$AG169)+1)="Z",P_BronZ,P_BronE))</f>
        <v>Woningetalage_FICTIEF_20_projecten.xlsx</v>
      </c>
      <c r="C169" s="108">
        <f>IF($AG169="","",P_Importdatum)</f>
        <v>46324.0</v>
      </c>
      <c r="D169" s="92" t="str">
        <f>IF($AG169="","",P_StatusVastleg)</f>
        <v>Vastgesteld</v>
      </c>
      <c r="E169" s="92">
        <f>IF($AG169="","",P_UploadVJ)</f>
        <v>2026</v>
      </c>
      <c r="F169" s="92" t="str">
        <f>IF($AG169="","",P_UploadVersie)</f>
        <v>Q3</v>
      </c>
      <c r="G169" s="92">
        <f>IF($AG169="","",IF(COUNTIFS(L_Sleutel,$S169,L_Status,"Vastgesteld")=0,0,_xlfn.MAXIFS(L_Revisie,L_Sleutel,$S169,L_Status,"Vastgesteld")+1))</f>
        <v>1</v>
      </c>
      <c r="H169" s="108">
        <f>IF($AG169="","",P_Peildatum)</f>
        <v>46295.0</v>
      </c>
      <c r="I169" s="92">
        <f>IF($AG169="","",P_RJ+INDEX($AK$8:$AK$21,INDEX($AC$8:$AC$1407,$AG169)+1))</f>
        <v>2026</v>
      </c>
      <c r="J169" s="92" t="str">
        <f>IF($AG169="","",INDEX(V_WBS,INDEX($AB$8:$AB$1407,$AG169)))</f>
        <v>G.900012.8.9090</v>
      </c>
      <c r="K169" s="92" t="str">
        <f>IF($AG169="","",INDEX(V_Projdef,INDEX($AB$8:$AB$1407,$AG169)))</f>
        <v>G.900012</v>
      </c>
      <c r="L169" s="92" t="str">
        <f>IF($AG169="","",INDEX(V_Naam,INDEX($AB$8:$AB$1407,$AG169)))</f>
        <v>Zilverdam, De Werf</v>
      </c>
      <c r="M169" s="92" t="str">
        <f>IF($AG169="","",INDEX(V_Type,INDEX($AB$8:$AB$1407,$AG169)))</f>
        <v>Deelneming</v>
      </c>
      <c r="N169" s="92" t="str">
        <f>IF($AG169="","",INDEX(V_IFRS,INDEX($AB$8:$AB$1407,$AG169)))</f>
        <v>N</v>
      </c>
      <c r="O169" s="92" t="str">
        <f>IF($AG169="","",INDEX($AL$8:$AL$21,INDEX($AC$8:$AC$1407,$AG169)+1))</f>
        <v>Woningen verkocht t/m vorig jaar</v>
      </c>
      <c r="P169" s="109">
        <f>IF($AG169="","",INDEX($AD$8:$AD$1407,$AG169))</f>
        <v>0</v>
      </c>
      <c r="Q169" s="92" t="str">
        <f>IF($AG169="","",INDEX($AM$8:$AM$21,INDEX($AC$8:$AC$1407,$AG169)+1))</f>
        <v>aantal</v>
      </c>
      <c r="R169" s="92" t="str">
        <f>IF($AG169="","",IF($G169&gt;0,P_ToelCorrectie&amp;"",""))</f>
        <v/>
      </c>
      <c r="S169" s="15" t="str">
        <f>IF(J169="","",J169&amp;"|"&amp;E169&amp;"|"&amp;F169&amp;"|"&amp;I169&amp;"|"&amp;O169)</f>
        <v>G.900012.8.9090|2026|Q3|2026|Woningen verkocht t/m vorig jaar</v>
      </c>
      <c r="T169" s="111">
        <f>IF(S169="","",IF(COUNTIFS(L_Sleutel,S169,L_Actief,1)=0,"",SUMIFS(L_Waarde,L_Sleutel,S169,L_Actief,1)))</f>
        <v>0</v>
      </c>
      <c r="U169" s="111">
        <f>IF(OR(S169="",T169=""),0,P169-T169)</f>
        <v>0</v>
      </c>
      <c r="AB169" s="112" t="n">
        <v>12</v>
      </c>
      <c r="AC169" s="112" t="n">
        <v>7</v>
      </c>
      <c r="AD169" s="112">
        <f>VERW_Project!AW17</f>
        <v>0</v>
      </c>
      <c r="AE169" s="112">
        <f>IF(AND(VERW_Project!$A17&lt;&gt;"",ISNUMBER(AD169)),1,0)</f>
        <v>1</v>
      </c>
      <c r="AF169" s="112">
        <f>IF(AE169=1,SUM($AE$8:AE169),"")</f>
        <v>162</v>
      </c>
      <c r="AG169">
        <f>IFERROR(MATCH(162,$AF$8:$AF$1407,0),"")</f>
        <v>162</v>
      </c>
    </row>
    <row r="170">
      <c r="A170" s="92" t="str">
        <f>IF($AG170="","",P_ImportID)</f>
        <v>IMP-2026-Q3-01</v>
      </c>
      <c r="B170" s="92" t="str">
        <f>IF($AG170="","",IF(INDEX($AN$8:$AN$21,INDEX($AC$8:$AC$1407,$AG170)+1)="Z",P_BronZ,P_BronE))</f>
        <v>Woningetalage_FICTIEF_20_projecten.xlsx</v>
      </c>
      <c r="C170" s="108">
        <f>IF($AG170="","",P_Importdatum)</f>
        <v>46324.0</v>
      </c>
      <c r="D170" s="92" t="str">
        <f>IF($AG170="","",P_StatusVastleg)</f>
        <v>Vastgesteld</v>
      </c>
      <c r="E170" s="92">
        <f>IF($AG170="","",P_UploadVJ)</f>
        <v>2026</v>
      </c>
      <c r="F170" s="92" t="str">
        <f>IF($AG170="","",P_UploadVersie)</f>
        <v>Q3</v>
      </c>
      <c r="G170" s="92">
        <f>IF($AG170="","",IF(COUNTIFS(L_Sleutel,$S170,L_Status,"Vastgesteld")=0,0,_xlfn.MAXIFS(L_Revisie,L_Sleutel,$S170,L_Status,"Vastgesteld")+1))</f>
        <v>1</v>
      </c>
      <c r="H170" s="108">
        <f>IF($AG170="","",P_Peildatum)</f>
        <v>46295.0</v>
      </c>
      <c r="I170" s="92">
        <f>IF($AG170="","",P_RJ+INDEX($AK$8:$AK$21,INDEX($AC$8:$AC$1407,$AG170)+1))</f>
        <v>2026</v>
      </c>
      <c r="J170" s="92" t="str">
        <f>IF($AG170="","",INDEX(V_WBS,INDEX($AB$8:$AB$1407,$AG170)))</f>
        <v>G.900012.8.9090</v>
      </c>
      <c r="K170" s="92" t="str">
        <f>IF($AG170="","",INDEX(V_Projdef,INDEX($AB$8:$AB$1407,$AG170)))</f>
        <v>G.900012</v>
      </c>
      <c r="L170" s="92" t="str">
        <f>IF($AG170="","",INDEX(V_Naam,INDEX($AB$8:$AB$1407,$AG170)))</f>
        <v>Zilverdam, De Werf</v>
      </c>
      <c r="M170" s="92" t="str">
        <f>IF($AG170="","",INDEX(V_Type,INDEX($AB$8:$AB$1407,$AG170)))</f>
        <v>Deelneming</v>
      </c>
      <c r="N170" s="92" t="str">
        <f>IF($AG170="","",INDEX(V_IFRS,INDEX($AB$8:$AB$1407,$AG170)))</f>
        <v>N</v>
      </c>
      <c r="O170" s="92" t="str">
        <f>IF($AG170="","",INDEX($AL$8:$AL$21,INDEX($AC$8:$AC$1407,$AG170)+1))</f>
        <v>Woningverkopen Q1</v>
      </c>
      <c r="P170" s="109">
        <f>IF($AG170="","",INDEX($AD$8:$AD$1407,$AG170))</f>
        <v>0</v>
      </c>
      <c r="Q170" s="92" t="str">
        <f>IF($AG170="","",INDEX($AM$8:$AM$21,INDEX($AC$8:$AC$1407,$AG170)+1))</f>
        <v>aantal</v>
      </c>
      <c r="R170" s="92" t="str">
        <f>IF($AG170="","",IF($G170&gt;0,P_ToelCorrectie&amp;"",""))</f>
        <v/>
      </c>
      <c r="S170" s="15" t="str">
        <f>IF(J170="","",J170&amp;"|"&amp;E170&amp;"|"&amp;F170&amp;"|"&amp;I170&amp;"|"&amp;O170)</f>
        <v>G.900012.8.9090|2026|Q3|2026|Woningverkopen Q1</v>
      </c>
      <c r="T170" s="111">
        <f>IF(S170="","",IF(COUNTIFS(L_Sleutel,S170,L_Actief,1)=0,"",SUMIFS(L_Waarde,L_Sleutel,S170,L_Actief,1)))</f>
        <v>0</v>
      </c>
      <c r="U170" s="111">
        <f>IF(OR(S170="",T170=""),0,P170-T170)</f>
        <v>0</v>
      </c>
      <c r="AB170" s="112" t="n">
        <v>12</v>
      </c>
      <c r="AC170" s="112" t="n">
        <v>8</v>
      </c>
      <c r="AD170" s="112">
        <f>VERW_Project!BQ17</f>
        <v>0</v>
      </c>
      <c r="AE170" s="112">
        <f>IF(AND(VERW_Project!$A17&lt;&gt;"",ISNUMBER(AD170)),1,0)</f>
        <v>1</v>
      </c>
      <c r="AF170" s="112">
        <f>IF(AE170=1,SUM($AE$8:AE170),"")</f>
        <v>163</v>
      </c>
      <c r="AG170">
        <f>IFERROR(MATCH(163,$AF$8:$AF$1407,0),"")</f>
        <v>163</v>
      </c>
    </row>
    <row r="171">
      <c r="A171" s="92" t="str">
        <f>IF($AG171="","",P_ImportID)</f>
        <v>IMP-2026-Q3-01</v>
      </c>
      <c r="B171" s="92" t="str">
        <f>IF($AG171="","",IF(INDEX($AN$8:$AN$21,INDEX($AC$8:$AC$1407,$AG171)+1)="Z",P_BronZ,P_BronE))</f>
        <v>Woningetalage_FICTIEF_20_projecten.xlsx</v>
      </c>
      <c r="C171" s="108">
        <f>IF($AG171="","",P_Importdatum)</f>
        <v>46324.0</v>
      </c>
      <c r="D171" s="92" t="str">
        <f>IF($AG171="","",P_StatusVastleg)</f>
        <v>Vastgesteld</v>
      </c>
      <c r="E171" s="92">
        <f>IF($AG171="","",P_UploadVJ)</f>
        <v>2026</v>
      </c>
      <c r="F171" s="92" t="str">
        <f>IF($AG171="","",P_UploadVersie)</f>
        <v>Q3</v>
      </c>
      <c r="G171" s="92">
        <f>IF($AG171="","",IF(COUNTIFS(L_Sleutel,$S171,L_Status,"Vastgesteld")=0,0,_xlfn.MAXIFS(L_Revisie,L_Sleutel,$S171,L_Status,"Vastgesteld")+1))</f>
        <v>1</v>
      </c>
      <c r="H171" s="108">
        <f>IF($AG171="","",P_Peildatum)</f>
        <v>46295.0</v>
      </c>
      <c r="I171" s="92">
        <f>IF($AG171="","",P_RJ+INDEX($AK$8:$AK$21,INDEX($AC$8:$AC$1407,$AG171)+1))</f>
        <v>2026</v>
      </c>
      <c r="J171" s="92" t="str">
        <f>IF($AG171="","",INDEX(V_WBS,INDEX($AB$8:$AB$1407,$AG171)))</f>
        <v>G.900012.8.9090</v>
      </c>
      <c r="K171" s="92" t="str">
        <f>IF($AG171="","",INDEX(V_Projdef,INDEX($AB$8:$AB$1407,$AG171)))</f>
        <v>G.900012</v>
      </c>
      <c r="L171" s="92" t="str">
        <f>IF($AG171="","",INDEX(V_Naam,INDEX($AB$8:$AB$1407,$AG171)))</f>
        <v>Zilverdam, De Werf</v>
      </c>
      <c r="M171" s="92" t="str">
        <f>IF($AG171="","",INDEX(V_Type,INDEX($AB$8:$AB$1407,$AG171)))</f>
        <v>Deelneming</v>
      </c>
      <c r="N171" s="92" t="str">
        <f>IF($AG171="","",INDEX(V_IFRS,INDEX($AB$8:$AB$1407,$AG171)))</f>
        <v>N</v>
      </c>
      <c r="O171" s="92" t="str">
        <f>IF($AG171="","",INDEX($AL$8:$AL$21,INDEX($AC$8:$AC$1407,$AG171)+1))</f>
        <v>Woningverkopen Q2</v>
      </c>
      <c r="P171" s="109">
        <f>IF($AG171="","",INDEX($AD$8:$AD$1407,$AG171))</f>
        <v>1</v>
      </c>
      <c r="Q171" s="92" t="str">
        <f>IF($AG171="","",INDEX($AM$8:$AM$21,INDEX($AC$8:$AC$1407,$AG171)+1))</f>
        <v>aantal</v>
      </c>
      <c r="R171" s="92" t="str">
        <f>IF($AG171="","",IF($G171&gt;0,P_ToelCorrectie&amp;"",""))</f>
        <v/>
      </c>
      <c r="S171" s="15" t="str">
        <f>IF(J171="","",J171&amp;"|"&amp;E171&amp;"|"&amp;F171&amp;"|"&amp;I171&amp;"|"&amp;O171)</f>
        <v>G.900012.8.9090|2026|Q3|2026|Woningverkopen Q2</v>
      </c>
      <c r="T171" s="111">
        <f>IF(S171="","",IF(COUNTIFS(L_Sleutel,S171,L_Actief,1)=0,"",SUMIFS(L_Waarde,L_Sleutel,S171,L_Actief,1)))</f>
        <v>1</v>
      </c>
      <c r="U171" s="111">
        <f>IF(OR(S171="",T171=""),0,P171-T171)</f>
        <v>0</v>
      </c>
      <c r="AB171" s="112" t="n">
        <v>12</v>
      </c>
      <c r="AC171" s="112" t="n">
        <v>9</v>
      </c>
      <c r="AD171" s="112">
        <f>VERW_Project!BR17</f>
        <v>1</v>
      </c>
      <c r="AE171" s="112">
        <f>IF(AND(VERW_Project!$A17&lt;&gt;"",ISNUMBER(AD171)),1,0)</f>
        <v>1</v>
      </c>
      <c r="AF171" s="112">
        <f>IF(AE171=1,SUM($AE$8:AE171),"")</f>
        <v>164</v>
      </c>
      <c r="AG171">
        <f>IFERROR(MATCH(164,$AF$8:$AF$1407,0),"")</f>
        <v>164</v>
      </c>
    </row>
    <row r="172">
      <c r="A172" s="92" t="str">
        <f>IF($AG172="","",P_ImportID)</f>
        <v>IMP-2026-Q3-01</v>
      </c>
      <c r="B172" s="92" t="str">
        <f>IF($AG172="","",IF(INDEX($AN$8:$AN$21,INDEX($AC$8:$AC$1407,$AG172)+1)="Z",P_BronZ,P_BronE))</f>
        <v>Woningetalage_FICTIEF_20_projecten.xlsx</v>
      </c>
      <c r="C172" s="108">
        <f>IF($AG172="","",P_Importdatum)</f>
        <v>46324.0</v>
      </c>
      <c r="D172" s="92" t="str">
        <f>IF($AG172="","",P_StatusVastleg)</f>
        <v>Vastgesteld</v>
      </c>
      <c r="E172" s="92">
        <f>IF($AG172="","",P_UploadVJ)</f>
        <v>2026</v>
      </c>
      <c r="F172" s="92" t="str">
        <f>IF($AG172="","",P_UploadVersie)</f>
        <v>Q3</v>
      </c>
      <c r="G172" s="92">
        <f>IF($AG172="","",IF(COUNTIFS(L_Sleutel,$S172,L_Status,"Vastgesteld")=0,0,_xlfn.MAXIFS(L_Revisie,L_Sleutel,$S172,L_Status,"Vastgesteld")+1))</f>
        <v>1</v>
      </c>
      <c r="H172" s="108">
        <f>IF($AG172="","",P_Peildatum)</f>
        <v>46295.0</v>
      </c>
      <c r="I172" s="92">
        <f>IF($AG172="","",P_RJ+INDEX($AK$8:$AK$21,INDEX($AC$8:$AC$1407,$AG172)+1))</f>
        <v>2026</v>
      </c>
      <c r="J172" s="92" t="str">
        <f>IF($AG172="","",INDEX(V_WBS,INDEX($AB$8:$AB$1407,$AG172)))</f>
        <v>G.900012.8.9090</v>
      </c>
      <c r="K172" s="92" t="str">
        <f>IF($AG172="","",INDEX(V_Projdef,INDEX($AB$8:$AB$1407,$AG172)))</f>
        <v>G.900012</v>
      </c>
      <c r="L172" s="92" t="str">
        <f>IF($AG172="","",INDEX(V_Naam,INDEX($AB$8:$AB$1407,$AG172)))</f>
        <v>Zilverdam, De Werf</v>
      </c>
      <c r="M172" s="92" t="str">
        <f>IF($AG172="","",INDEX(V_Type,INDEX($AB$8:$AB$1407,$AG172)))</f>
        <v>Deelneming</v>
      </c>
      <c r="N172" s="92" t="str">
        <f>IF($AG172="","",INDEX(V_IFRS,INDEX($AB$8:$AB$1407,$AG172)))</f>
        <v>N</v>
      </c>
      <c r="O172" s="92" t="str">
        <f>IF($AG172="","",INDEX($AL$8:$AL$21,INDEX($AC$8:$AC$1407,$AG172)+1))</f>
        <v>Woningverkopen Q3</v>
      </c>
      <c r="P172" s="109">
        <f>IF($AG172="","",INDEX($AD$8:$AD$1407,$AG172))</f>
        <v>1</v>
      </c>
      <c r="Q172" s="92" t="str">
        <f>IF($AG172="","",INDEX($AM$8:$AM$21,INDEX($AC$8:$AC$1407,$AG172)+1))</f>
        <v>aantal</v>
      </c>
      <c r="R172" s="92" t="str">
        <f>IF($AG172="","",IF($G172&gt;0,P_ToelCorrectie&amp;"",""))</f>
        <v/>
      </c>
      <c r="S172" s="15" t="str">
        <f>IF(J172="","",J172&amp;"|"&amp;E172&amp;"|"&amp;F172&amp;"|"&amp;I172&amp;"|"&amp;O172)</f>
        <v>G.900012.8.9090|2026|Q3|2026|Woningverkopen Q3</v>
      </c>
      <c r="T172" s="111">
        <f>IF(S172="","",IF(COUNTIFS(L_Sleutel,S172,L_Actief,1)=0,"",SUMIFS(L_Waarde,L_Sleutel,S172,L_Actief,1)))</f>
        <v>1</v>
      </c>
      <c r="U172" s="111">
        <f>IF(OR(S172="",T172=""),0,P172-T172)</f>
        <v>0</v>
      </c>
      <c r="AB172" s="112" t="n">
        <v>12</v>
      </c>
      <c r="AC172" s="112" t="n">
        <v>10</v>
      </c>
      <c r="AD172" s="112">
        <f>VERW_Project!BS17</f>
        <v>1</v>
      </c>
      <c r="AE172" s="112">
        <f>IF(AND(VERW_Project!$A17&lt;&gt;"",ISNUMBER(AD172)),1,0)</f>
        <v>1</v>
      </c>
      <c r="AF172" s="112">
        <f>IF(AE172=1,SUM($AE$8:AE172),"")</f>
        <v>165</v>
      </c>
      <c r="AG172">
        <f>IFERROR(MATCH(165,$AF$8:$AF$1407,0),"")</f>
        <v>165</v>
      </c>
    </row>
    <row r="173">
      <c r="A173" s="92" t="str">
        <f>IF($AG173="","",P_ImportID)</f>
        <v>IMP-2026-Q3-01</v>
      </c>
      <c r="B173" s="92" t="str">
        <f>IF($AG173="","",IF(INDEX($AN$8:$AN$21,INDEX($AC$8:$AC$1407,$AG173)+1)="Z",P_BronZ,P_BronE))</f>
        <v>Woningetalage_FICTIEF_20_projecten.xlsx</v>
      </c>
      <c r="C173" s="108">
        <f>IF($AG173="","",P_Importdatum)</f>
        <v>46324.0</v>
      </c>
      <c r="D173" s="92" t="str">
        <f>IF($AG173="","",P_StatusVastleg)</f>
        <v>Vastgesteld</v>
      </c>
      <c r="E173" s="92">
        <f>IF($AG173="","",P_UploadVJ)</f>
        <v>2026</v>
      </c>
      <c r="F173" s="92" t="str">
        <f>IF($AG173="","",P_UploadVersie)</f>
        <v>Q3</v>
      </c>
      <c r="G173" s="92">
        <f>IF($AG173="","",IF(COUNTIFS(L_Sleutel,$S173,L_Status,"Vastgesteld")=0,0,_xlfn.MAXIFS(L_Revisie,L_Sleutel,$S173,L_Status,"Vastgesteld")+1))</f>
        <v>1</v>
      </c>
      <c r="H173" s="108">
        <f>IF($AG173="","",P_Peildatum)</f>
        <v>46295.0</v>
      </c>
      <c r="I173" s="92">
        <f>IF($AG173="","",P_RJ+INDEX($AK$8:$AK$21,INDEX($AC$8:$AC$1407,$AG173)+1))</f>
        <v>2026</v>
      </c>
      <c r="J173" s="92" t="str">
        <f>IF($AG173="","",INDEX(V_WBS,INDEX($AB$8:$AB$1407,$AG173)))</f>
        <v>G.900012.8.9090</v>
      </c>
      <c r="K173" s="92" t="str">
        <f>IF($AG173="","",INDEX(V_Projdef,INDEX($AB$8:$AB$1407,$AG173)))</f>
        <v>G.900012</v>
      </c>
      <c r="L173" s="92" t="str">
        <f>IF($AG173="","",INDEX(V_Naam,INDEX($AB$8:$AB$1407,$AG173)))</f>
        <v>Zilverdam, De Werf</v>
      </c>
      <c r="M173" s="92" t="str">
        <f>IF($AG173="","",INDEX(V_Type,INDEX($AB$8:$AB$1407,$AG173)))</f>
        <v>Deelneming</v>
      </c>
      <c r="N173" s="92" t="str">
        <f>IF($AG173="","",INDEX(V_IFRS,INDEX($AB$8:$AB$1407,$AG173)))</f>
        <v>N</v>
      </c>
      <c r="O173" s="92" t="str">
        <f>IF($AG173="","",INDEX($AL$8:$AL$21,INDEX($AC$8:$AC$1407,$AG173)+1))</f>
        <v>Woningverkopen Q4</v>
      </c>
      <c r="P173" s="109">
        <f>IF($AG173="","",INDEX($AD$8:$AD$1407,$AG173))</f>
        <v>7</v>
      </c>
      <c r="Q173" s="92" t="str">
        <f>IF($AG173="","",INDEX($AM$8:$AM$21,INDEX($AC$8:$AC$1407,$AG173)+1))</f>
        <v>aantal</v>
      </c>
      <c r="R173" s="92" t="str">
        <f>IF($AG173="","",IF($G173&gt;0,P_ToelCorrectie&amp;"",""))</f>
        <v/>
      </c>
      <c r="S173" s="15" t="str">
        <f>IF(J173="","",J173&amp;"|"&amp;E173&amp;"|"&amp;F173&amp;"|"&amp;I173&amp;"|"&amp;O173)</f>
        <v>G.900012.8.9090|2026|Q3|2026|Woningverkopen Q4</v>
      </c>
      <c r="T173" s="111">
        <f>IF(S173="","",IF(COUNTIFS(L_Sleutel,S173,L_Actief,1)=0,"",SUMIFS(L_Waarde,L_Sleutel,S173,L_Actief,1)))</f>
        <v>7</v>
      </c>
      <c r="U173" s="111">
        <f>IF(OR(S173="",T173=""),0,P173-T173)</f>
        <v>0</v>
      </c>
      <c r="AB173" s="112" t="n">
        <v>12</v>
      </c>
      <c r="AC173" s="112" t="n">
        <v>11</v>
      </c>
      <c r="AD173" s="112">
        <f>VERW_Project!BT17</f>
        <v>7</v>
      </c>
      <c r="AE173" s="112">
        <f>IF(AND(VERW_Project!$A17&lt;&gt;"",ISNUMBER(AD173)),1,0)</f>
        <v>1</v>
      </c>
      <c r="AF173" s="112">
        <f>IF(AE173=1,SUM($AE$8:AE173),"")</f>
        <v>166</v>
      </c>
      <c r="AG173">
        <f>IFERROR(MATCH(166,$AF$8:$AF$1407,0),"")</f>
        <v>166</v>
      </c>
    </row>
    <row r="174">
      <c r="A174" s="92" t="str">
        <f>IF($AG174="","",P_ImportID)</f>
        <v>IMP-2026-Q3-01</v>
      </c>
      <c r="B174" s="92" t="str">
        <f>IF($AG174="","",IF(INDEX($AN$8:$AN$21,INDEX($AC$8:$AC$1407,$AG174)+1)="Z",P_BronZ,P_BronE))</f>
        <v>Woningetalage_FICTIEF_20_projecten.xlsx</v>
      </c>
      <c r="C174" s="108">
        <f>IF($AG174="","",P_Importdatum)</f>
        <v>46324.0</v>
      </c>
      <c r="D174" s="92" t="str">
        <f>IF($AG174="","",P_StatusVastleg)</f>
        <v>Vastgesteld</v>
      </c>
      <c r="E174" s="92">
        <f>IF($AG174="","",P_UploadVJ)</f>
        <v>2026</v>
      </c>
      <c r="F174" s="92" t="str">
        <f>IF($AG174="","",P_UploadVersie)</f>
        <v>Q3</v>
      </c>
      <c r="G174" s="92">
        <f>IF($AG174="","",IF(COUNTIFS(L_Sleutel,$S174,L_Status,"Vastgesteld")=0,0,_xlfn.MAXIFS(L_Revisie,L_Sleutel,$S174,L_Status,"Vastgesteld")+1))</f>
        <v>1</v>
      </c>
      <c r="H174" s="108">
        <f>IF($AG174="","",P_Peildatum)</f>
        <v>46295.0</v>
      </c>
      <c r="I174" s="92">
        <f>IF($AG174="","",P_RJ+INDEX($AK$8:$AK$21,INDEX($AC$8:$AC$1407,$AG174)+1))</f>
        <v>2026</v>
      </c>
      <c r="J174" s="92" t="str">
        <f>IF($AG174="","",INDEX(V_WBS,INDEX($AB$8:$AB$1407,$AG174)))</f>
        <v>G.900012.8.9090</v>
      </c>
      <c r="K174" s="92" t="str">
        <f>IF($AG174="","",INDEX(V_Projdef,INDEX($AB$8:$AB$1407,$AG174)))</f>
        <v>G.900012</v>
      </c>
      <c r="L174" s="92" t="str">
        <f>IF($AG174="","",INDEX(V_Naam,INDEX($AB$8:$AB$1407,$AG174)))</f>
        <v>Zilverdam, De Werf</v>
      </c>
      <c r="M174" s="92" t="str">
        <f>IF($AG174="","",INDEX(V_Type,INDEX($AB$8:$AB$1407,$AG174)))</f>
        <v>Deelneming</v>
      </c>
      <c r="N174" s="92" t="str">
        <f>IF($AG174="","",INDEX(V_IFRS,INDEX($AB$8:$AB$1407,$AG174)))</f>
        <v>N</v>
      </c>
      <c r="O174" s="92" t="str">
        <f>IF($AG174="","",INDEX($AL$8:$AL$21,INDEX($AC$8:$AC$1407,$AG174)+1))</f>
        <v>Woningverkopen actual YTD</v>
      </c>
      <c r="P174" s="109">
        <f>IF($AG174="","",INDEX($AD$8:$AD$1407,$AG174))</f>
        <v>2</v>
      </c>
      <c r="Q174" s="92" t="str">
        <f>IF($AG174="","",INDEX($AM$8:$AM$21,INDEX($AC$8:$AC$1407,$AG174)+1))</f>
        <v>aantal</v>
      </c>
      <c r="R174" s="92" t="str">
        <f>IF($AG174="","",IF($G174&gt;0,P_ToelCorrectie&amp;"",""))</f>
        <v/>
      </c>
      <c r="S174" s="15" t="str">
        <f>IF(J174="","",J174&amp;"|"&amp;E174&amp;"|"&amp;F174&amp;"|"&amp;I174&amp;"|"&amp;O174)</f>
        <v>G.900012.8.9090|2026|Q3|2026|Woningverkopen actual YTD</v>
      </c>
      <c r="T174" s="111">
        <f>IF(S174="","",IF(COUNTIFS(L_Sleutel,S174,L_Actief,1)=0,"",SUMIFS(L_Waarde,L_Sleutel,S174,L_Actief,1)))</f>
        <v>2</v>
      </c>
      <c r="U174" s="111">
        <f>IF(OR(S174="",T174=""),0,P174-T174)</f>
        <v>0</v>
      </c>
      <c r="AB174" s="112" t="n">
        <v>12</v>
      </c>
      <c r="AC174" s="112" t="n">
        <v>12</v>
      </c>
      <c r="AD174" s="112">
        <f>VERW_Project!BU17</f>
        <v>2</v>
      </c>
      <c r="AE174" s="112">
        <f>IF(AND(VERW_Project!$A17&lt;&gt;"",ISNUMBER(AD174)),1,0)</f>
        <v>1</v>
      </c>
      <c r="AF174" s="112">
        <f>IF(AE174=1,SUM($AE$8:AE174),"")</f>
        <v>167</v>
      </c>
      <c r="AG174">
        <f>IFERROR(MATCH(167,$AF$8:$AF$1407,0),"")</f>
        <v>167</v>
      </c>
    </row>
    <row r="175">
      <c r="A175" s="92" t="str">
        <f>IF($AG175="","",P_ImportID)</f>
        <v>IMP-2026-Q3-01</v>
      </c>
      <c r="B175" s="92" t="str">
        <f>IF($AG175="","",IF(INDEX($AN$8:$AN$21,INDEX($AC$8:$AC$1407,$AG175)+1)="Z",P_BronZ,P_BronE))</f>
        <v>Woningetalage_FICTIEF_20_projecten.xlsx</v>
      </c>
      <c r="C175" s="108">
        <f>IF($AG175="","",P_Importdatum)</f>
        <v>46324.0</v>
      </c>
      <c r="D175" s="92" t="str">
        <f>IF($AG175="","",P_StatusVastleg)</f>
        <v>Vastgesteld</v>
      </c>
      <c r="E175" s="92">
        <f>IF($AG175="","",P_UploadVJ)</f>
        <v>2026</v>
      </c>
      <c r="F175" s="92" t="str">
        <f>IF($AG175="","",P_UploadVersie)</f>
        <v>Q3</v>
      </c>
      <c r="G175" s="92">
        <f>IF($AG175="","",IF(COUNTIFS(L_Sleutel,$S175,L_Status,"Vastgesteld")=0,0,_xlfn.MAXIFS(L_Revisie,L_Sleutel,$S175,L_Status,"Vastgesteld")+1))</f>
        <v>0</v>
      </c>
      <c r="H175" s="108">
        <f>IF($AG175="","",P_Peildatum)</f>
        <v>46295.0</v>
      </c>
      <c r="I175" s="92">
        <f>IF($AG175="","",P_RJ+INDEX($AK$8:$AK$21,INDEX($AC$8:$AC$1407,$AG175)+1))</f>
        <v>2027</v>
      </c>
      <c r="J175" s="92" t="str">
        <f>IF($AG175="","",INDEX(V_WBS,INDEX($AB$8:$AB$1407,$AG175)))</f>
        <v>G.900012.8.9090</v>
      </c>
      <c r="K175" s="92" t="str">
        <f>IF($AG175="","",INDEX(V_Projdef,INDEX($AB$8:$AB$1407,$AG175)))</f>
        <v>G.900012</v>
      </c>
      <c r="L175" s="92" t="str">
        <f>IF($AG175="","",INDEX(V_Naam,INDEX($AB$8:$AB$1407,$AG175)))</f>
        <v>Zilverdam, De Werf</v>
      </c>
      <c r="M175" s="92" t="str">
        <f>IF($AG175="","",INDEX(V_Type,INDEX($AB$8:$AB$1407,$AG175)))</f>
        <v>Deelneming</v>
      </c>
      <c r="N175" s="92" t="str">
        <f>IF($AG175="","",INDEX(V_IFRS,INDEX($AB$8:$AB$1407,$AG175)))</f>
        <v>N</v>
      </c>
      <c r="O175" s="92" t="str">
        <f>IF($AG175="","",INDEX($AL$8:$AL$21,INDEX($AC$8:$AC$1407,$AG175)+1))</f>
        <v>Woningverkopen FY</v>
      </c>
      <c r="P175" s="109">
        <f>IF($AG175="","",INDEX($AD$8:$AD$1407,$AG175))</f>
        <v>12</v>
      </c>
      <c r="Q175" s="92" t="str">
        <f>IF($AG175="","",INDEX($AM$8:$AM$21,INDEX($AC$8:$AC$1407,$AG175)+1))</f>
        <v>aantal</v>
      </c>
      <c r="R175" s="92" t="str">
        <f>IF($AG175="","",IF($G175&gt;0,P_ToelCorrectie&amp;"",""))</f>
        <v/>
      </c>
      <c r="S175" s="15" t="str">
        <f>IF(J175="","",J175&amp;"|"&amp;E175&amp;"|"&amp;F175&amp;"|"&amp;I175&amp;"|"&amp;O175)</f>
        <v>G.900012.8.9090|2026|Q3|2027|Woningverkopen FY</v>
      </c>
      <c r="T175" s="111" t="str">
        <f>IF(S175="","",IF(COUNTIFS(L_Sleutel,S175,L_Actief,1)=0,"",SUMIFS(L_Waarde,L_Sleutel,S175,L_Actief,1)))</f>
        <v/>
      </c>
      <c r="U175" s="111">
        <f>IF(OR(S175="",T175=""),0,P175-T175)</f>
        <v>0</v>
      </c>
      <c r="AB175" s="112" t="n">
        <v>12</v>
      </c>
      <c r="AC175" s="112" t="n">
        <v>13</v>
      </c>
      <c r="AD175" s="112">
        <f>VERW_Project!BX17</f>
        <v>12</v>
      </c>
      <c r="AE175" s="112">
        <f>IF(AND(VERW_Project!$A17&lt;&gt;"",ISNUMBER(AD175)),1,0)</f>
        <v>1</v>
      </c>
      <c r="AF175" s="112">
        <f>IF(AE175=1,SUM($AE$8:AE175),"")</f>
        <v>168</v>
      </c>
      <c r="AG175">
        <f>IFERROR(MATCH(168,$AF$8:$AF$1407,0),"")</f>
        <v>168</v>
      </c>
    </row>
    <row r="176">
      <c r="A176" s="92" t="str">
        <f>IF($AG176="","",P_ImportID)</f>
        <v>IMP-2026-Q3-01</v>
      </c>
      <c r="B176" s="92" t="str">
        <f>IF($AG176="","",IF(INDEX($AN$8:$AN$21,INDEX($AC$8:$AC$1407,$AG176)+1)="Z",P_BronZ,P_BronE))</f>
        <v>ZPMW03_FICTIEF_20_projecten.xlsx</v>
      </c>
      <c r="C176" s="108">
        <f>IF($AG176="","",P_Importdatum)</f>
        <v>46324.0</v>
      </c>
      <c r="D176" s="92" t="str">
        <f>IF($AG176="","",P_StatusVastleg)</f>
        <v>Vastgesteld</v>
      </c>
      <c r="E176" s="92">
        <f>IF($AG176="","",P_UploadVJ)</f>
        <v>2026</v>
      </c>
      <c r="F176" s="92" t="str">
        <f>IF($AG176="","",P_UploadVersie)</f>
        <v>Q3</v>
      </c>
      <c r="G176" s="92">
        <f>IF($AG176="","",IF(COUNTIFS(L_Sleutel,$S176,L_Status,"Vastgesteld")=0,0,_xlfn.MAXIFS(L_Revisie,L_Sleutel,$S176,L_Status,"Vastgesteld")+1))</f>
        <v>1</v>
      </c>
      <c r="H176" s="108">
        <f>IF($AG176="","",P_Peildatum)</f>
        <v>46295.0</v>
      </c>
      <c r="I176" s="92">
        <f>IF($AG176="","",P_RJ+INDEX($AK$8:$AK$21,INDEX($AC$8:$AC$1407,$AG176)+1))</f>
        <v>2026</v>
      </c>
      <c r="J176" s="92" t="str">
        <f>IF($AG176="","",INDEX(V_WBS,INDEX($AB$8:$AB$1407,$AG176)))</f>
        <v>G.900013.8.9090</v>
      </c>
      <c r="K176" s="92" t="str">
        <f>IF($AG176="","",INDEX(V_Projdef,INDEX($AB$8:$AB$1407,$AG176)))</f>
        <v>G.900013</v>
      </c>
      <c r="L176" s="92" t="str">
        <f>IF($AG176="","",INDEX(V_Naam,INDEX($AB$8:$AB$1407,$AG176)))</f>
        <v>Boswaard, Boskamers</v>
      </c>
      <c r="M176" s="92" t="str">
        <f>IF($AG176="","",INDEX(V_Type,INDEX($AB$8:$AB$1407,$AG176)))</f>
        <v>Opstal</v>
      </c>
      <c r="N176" s="92" t="str">
        <f>IF($AG176="","",INDEX(V_IFRS,INDEX($AB$8:$AB$1407,$AG176)))</f>
        <v>J</v>
      </c>
      <c r="O176" s="92" t="str">
        <f>IF($AG176="","",INDEX($AL$8:$AL$21,INDEX($AC$8:$AC$1407,$AG176)+1))</f>
        <v>Omzet FY</v>
      </c>
      <c r="P176" s="109">
        <f>IF($AG176="","",INDEX($AD$8:$AD$1407,$AG176))</f>
        <v>3780000</v>
      </c>
      <c r="Q176" s="92" t="str">
        <f>IF($AG176="","",INDEX($AM$8:$AM$21,INDEX($AC$8:$AC$1407,$AG176)+1))</f>
        <v>EUR</v>
      </c>
      <c r="R176" s="92" t="str">
        <f>IF($AG176="","",IF($G176&gt;0,P_ToelCorrectie&amp;"",""))</f>
        <v/>
      </c>
      <c r="S176" s="15" t="str">
        <f>IF(J176="","",J176&amp;"|"&amp;E176&amp;"|"&amp;F176&amp;"|"&amp;I176&amp;"|"&amp;O176)</f>
        <v>G.900013.8.9090|2026|Q3|2026|Omzet FY</v>
      </c>
      <c r="T176" s="111">
        <f>IF(S176="","",IF(COUNTIFS(L_Sleutel,S176,L_Actief,1)=0,"",SUMIFS(L_Waarde,L_Sleutel,S176,L_Actief,1)))</f>
        <v>3780000</v>
      </c>
      <c r="U176" s="111">
        <f>IF(OR(S176="",T176=""),0,P176-T176)</f>
        <v>0</v>
      </c>
      <c r="AB176" s="112" t="n">
        <v>13</v>
      </c>
      <c r="AC176" s="112" t="n">
        <v>0</v>
      </c>
      <c r="AD176" s="112">
        <f>VERW_Project!P18</f>
        <v>3780000</v>
      </c>
      <c r="AE176" s="112">
        <f>IF(AND(VERW_Project!$A18&lt;&gt;"",ISNUMBER(AD176)),1,0)</f>
        <v>1</v>
      </c>
      <c r="AF176" s="112">
        <f>IF(AE176=1,SUM($AE$8:AE176),"")</f>
        <v>169</v>
      </c>
      <c r="AG176">
        <f>IFERROR(MATCH(169,$AF$8:$AF$1407,0),"")</f>
        <v>169</v>
      </c>
    </row>
    <row r="177">
      <c r="A177" s="92" t="str">
        <f>IF($AG177="","",P_ImportID)</f>
        <v>IMP-2026-Q3-01</v>
      </c>
      <c r="B177" s="92" t="str">
        <f>IF($AG177="","",IF(INDEX($AN$8:$AN$21,INDEX($AC$8:$AC$1407,$AG177)+1)="Z",P_BronZ,P_BronE))</f>
        <v>ZPMW03_FICTIEF_20_projecten.xlsx</v>
      </c>
      <c r="C177" s="108">
        <f>IF($AG177="","",P_Importdatum)</f>
        <v>46324.0</v>
      </c>
      <c r="D177" s="92" t="str">
        <f>IF($AG177="","",P_StatusVastleg)</f>
        <v>Vastgesteld</v>
      </c>
      <c r="E177" s="92">
        <f>IF($AG177="","",P_UploadVJ)</f>
        <v>2026</v>
      </c>
      <c r="F177" s="92" t="str">
        <f>IF($AG177="","",P_UploadVersie)</f>
        <v>Q3</v>
      </c>
      <c r="G177" s="92">
        <f>IF($AG177="","",IF(COUNTIFS(L_Sleutel,$S177,L_Status,"Vastgesteld")=0,0,_xlfn.MAXIFS(L_Revisie,L_Sleutel,$S177,L_Status,"Vastgesteld")+1))</f>
        <v>1</v>
      </c>
      <c r="H177" s="108">
        <f>IF($AG177="","",P_Peildatum)</f>
        <v>46295.0</v>
      </c>
      <c r="I177" s="92">
        <f>IF($AG177="","",P_RJ+INDEX($AK$8:$AK$21,INDEX($AC$8:$AC$1407,$AG177)+1))</f>
        <v>2026</v>
      </c>
      <c r="J177" s="92" t="str">
        <f>IF($AG177="","",INDEX(V_WBS,INDEX($AB$8:$AB$1407,$AG177)))</f>
        <v>G.900013.8.9090</v>
      </c>
      <c r="K177" s="92" t="str">
        <f>IF($AG177="","",INDEX(V_Projdef,INDEX($AB$8:$AB$1407,$AG177)))</f>
        <v>G.900013</v>
      </c>
      <c r="L177" s="92" t="str">
        <f>IF($AG177="","",INDEX(V_Naam,INDEX($AB$8:$AB$1407,$AG177)))</f>
        <v>Boswaard, Boskamers</v>
      </c>
      <c r="M177" s="92" t="str">
        <f>IF($AG177="","",INDEX(V_Type,INDEX($AB$8:$AB$1407,$AG177)))</f>
        <v>Opstal</v>
      </c>
      <c r="N177" s="92" t="str">
        <f>IF($AG177="","",INDEX(V_IFRS,INDEX($AB$8:$AB$1407,$AG177)))</f>
        <v>J</v>
      </c>
      <c r="O177" s="92" t="str">
        <f>IF($AG177="","",INDEX($AL$8:$AL$21,INDEX($AC$8:$AC$1407,$AG177)+1))</f>
        <v>BOR FY</v>
      </c>
      <c r="P177" s="109">
        <f>IF($AG177="","",INDEX($AD$8:$AD$1407,$AG177))</f>
        <v>283500</v>
      </c>
      <c r="Q177" s="92" t="str">
        <f>IF($AG177="","",INDEX($AM$8:$AM$21,INDEX($AC$8:$AC$1407,$AG177)+1))</f>
        <v>EUR</v>
      </c>
      <c r="R177" s="92" t="str">
        <f>IF($AG177="","",IF($G177&gt;0,P_ToelCorrectie&amp;"",""))</f>
        <v/>
      </c>
      <c r="S177" s="15" t="str">
        <f>IF(J177="","",J177&amp;"|"&amp;E177&amp;"|"&amp;F177&amp;"|"&amp;I177&amp;"|"&amp;O177)</f>
        <v>G.900013.8.9090|2026|Q3|2026|BOR FY</v>
      </c>
      <c r="T177" s="111">
        <f>IF(S177="","",IF(COUNTIFS(L_Sleutel,S177,L_Actief,1)=0,"",SUMIFS(L_Waarde,L_Sleutel,S177,L_Actief,1)))</f>
        <v>283500</v>
      </c>
      <c r="U177" s="111">
        <f>IF(OR(S177="",T177=""),0,P177-T177)</f>
        <v>0</v>
      </c>
      <c r="AB177" s="112" t="n">
        <v>13</v>
      </c>
      <c r="AC177" s="112" t="n">
        <v>1</v>
      </c>
      <c r="AD177" s="112">
        <f>VERW_Project!Q18</f>
        <v>283500</v>
      </c>
      <c r="AE177" s="112">
        <f>IF(AND(VERW_Project!$A18&lt;&gt;"",ISNUMBER(AD177)),1,0)</f>
        <v>1</v>
      </c>
      <c r="AF177" s="112">
        <f>IF(AE177=1,SUM($AE$8:AE177),"")</f>
        <v>170</v>
      </c>
      <c r="AG177">
        <f>IFERROR(MATCH(170,$AF$8:$AF$1407,0),"")</f>
        <v>170</v>
      </c>
    </row>
    <row r="178">
      <c r="A178" s="92" t="str">
        <f>IF($AG178="","",P_ImportID)</f>
        <v>IMP-2026-Q3-01</v>
      </c>
      <c r="B178" s="92" t="str">
        <f>IF($AG178="","",IF(INDEX($AN$8:$AN$21,INDEX($AC$8:$AC$1407,$AG178)+1)="Z",P_BronZ,P_BronE))</f>
        <v>ZPMW03_FICTIEF_20_projecten.xlsx</v>
      </c>
      <c r="C178" s="108">
        <f>IF($AG178="","",P_Importdatum)</f>
        <v>46324.0</v>
      </c>
      <c r="D178" s="92" t="str">
        <f>IF($AG178="","",P_StatusVastleg)</f>
        <v>Vastgesteld</v>
      </c>
      <c r="E178" s="92">
        <f>IF($AG178="","",P_UploadVJ)</f>
        <v>2026</v>
      </c>
      <c r="F178" s="92" t="str">
        <f>IF($AG178="","",P_UploadVersie)</f>
        <v>Q3</v>
      </c>
      <c r="G178" s="92">
        <f>IF($AG178="","",IF(COUNTIFS(L_Sleutel,$S178,L_Status,"Vastgesteld")=0,0,_xlfn.MAXIFS(L_Revisie,L_Sleutel,$S178,L_Status,"Vastgesteld")+1))</f>
        <v>1</v>
      </c>
      <c r="H178" s="108">
        <f>IF($AG178="","",P_Peildatum)</f>
        <v>46295.0</v>
      </c>
      <c r="I178" s="92">
        <f>IF($AG178="","",P_RJ+INDEX($AK$8:$AK$21,INDEX($AC$8:$AC$1407,$AG178)+1))</f>
        <v>2026</v>
      </c>
      <c r="J178" s="92" t="str">
        <f>IF($AG178="","",INDEX(V_WBS,INDEX($AB$8:$AB$1407,$AG178)))</f>
        <v>G.900013.8.9090</v>
      </c>
      <c r="K178" s="92" t="str">
        <f>IF($AG178="","",INDEX(V_Projdef,INDEX($AB$8:$AB$1407,$AG178)))</f>
        <v>G.900013</v>
      </c>
      <c r="L178" s="92" t="str">
        <f>IF($AG178="","",INDEX(V_Naam,INDEX($AB$8:$AB$1407,$AG178)))</f>
        <v>Boswaard, Boskamers</v>
      </c>
      <c r="M178" s="92" t="str">
        <f>IF($AG178="","",INDEX(V_Type,INDEX($AB$8:$AB$1407,$AG178)))</f>
        <v>Opstal</v>
      </c>
      <c r="N178" s="92" t="str">
        <f>IF($AG178="","",INDEX(V_IFRS,INDEX($AB$8:$AB$1407,$AG178)))</f>
        <v>J</v>
      </c>
      <c r="O178" s="92" t="str">
        <f>IF($AG178="","",INDEX($AL$8:$AL$21,INDEX($AC$8:$AC$1407,$AG178)+1))</f>
        <v>Omzet actual YTD</v>
      </c>
      <c r="P178" s="109">
        <f>IF($AG178="","",INDEX($AD$8:$AD$1407,$AG178))</f>
        <v>2457000</v>
      </c>
      <c r="Q178" s="92" t="str">
        <f>IF($AG178="","",INDEX($AM$8:$AM$21,INDEX($AC$8:$AC$1407,$AG178)+1))</f>
        <v>EUR</v>
      </c>
      <c r="R178" s="92" t="str">
        <f>IF($AG178="","",IF($G178&gt;0,P_ToelCorrectie&amp;"",""))</f>
        <v/>
      </c>
      <c r="S178" s="15" t="str">
        <f>IF(J178="","",J178&amp;"|"&amp;E178&amp;"|"&amp;F178&amp;"|"&amp;I178&amp;"|"&amp;O178)</f>
        <v>G.900013.8.9090|2026|Q3|2026|Omzet actual YTD</v>
      </c>
      <c r="T178" s="111">
        <f>IF(S178="","",IF(COUNTIFS(L_Sleutel,S178,L_Actief,1)=0,"",SUMIFS(L_Waarde,L_Sleutel,S178,L_Actief,1)))</f>
        <v>2457000</v>
      </c>
      <c r="U178" s="111">
        <f>IF(OR(S178="",T178=""),0,P178-T178)</f>
        <v>0</v>
      </c>
      <c r="AB178" s="112" t="n">
        <v>13</v>
      </c>
      <c r="AC178" s="112" t="n">
        <v>2</v>
      </c>
      <c r="AD178" s="112">
        <f>VERW_Project!L18</f>
        <v>2457000</v>
      </c>
      <c r="AE178" s="112">
        <f>IF(AND(VERW_Project!$A18&lt;&gt;"",ISNUMBER(AD178)),1,0)</f>
        <v>1</v>
      </c>
      <c r="AF178" s="112">
        <f>IF(AE178=1,SUM($AE$8:AE178),"")</f>
        <v>171</v>
      </c>
      <c r="AG178">
        <f>IFERROR(MATCH(171,$AF$8:$AF$1407,0),"")</f>
        <v>171</v>
      </c>
    </row>
    <row r="179">
      <c r="A179" s="92" t="str">
        <f>IF($AG179="","",P_ImportID)</f>
        <v>IMP-2026-Q3-01</v>
      </c>
      <c r="B179" s="92" t="str">
        <f>IF($AG179="","",IF(INDEX($AN$8:$AN$21,INDEX($AC$8:$AC$1407,$AG179)+1)="Z",P_BronZ,P_BronE))</f>
        <v>ZPMW03_FICTIEF_20_projecten.xlsx</v>
      </c>
      <c r="C179" s="108">
        <f>IF($AG179="","",P_Importdatum)</f>
        <v>46324.0</v>
      </c>
      <c r="D179" s="92" t="str">
        <f>IF($AG179="","",P_StatusVastleg)</f>
        <v>Vastgesteld</v>
      </c>
      <c r="E179" s="92">
        <f>IF($AG179="","",P_UploadVJ)</f>
        <v>2026</v>
      </c>
      <c r="F179" s="92" t="str">
        <f>IF($AG179="","",P_UploadVersie)</f>
        <v>Q3</v>
      </c>
      <c r="G179" s="92">
        <f>IF($AG179="","",IF(COUNTIFS(L_Sleutel,$S179,L_Status,"Vastgesteld")=0,0,_xlfn.MAXIFS(L_Revisie,L_Sleutel,$S179,L_Status,"Vastgesteld")+1))</f>
        <v>1</v>
      </c>
      <c r="H179" s="108">
        <f>IF($AG179="","",P_Peildatum)</f>
        <v>46295.0</v>
      </c>
      <c r="I179" s="92">
        <f>IF($AG179="","",P_RJ+INDEX($AK$8:$AK$21,INDEX($AC$8:$AC$1407,$AG179)+1))</f>
        <v>2026</v>
      </c>
      <c r="J179" s="92" t="str">
        <f>IF($AG179="","",INDEX(V_WBS,INDEX($AB$8:$AB$1407,$AG179)))</f>
        <v>G.900013.8.9090</v>
      </c>
      <c r="K179" s="92" t="str">
        <f>IF($AG179="","",INDEX(V_Projdef,INDEX($AB$8:$AB$1407,$AG179)))</f>
        <v>G.900013</v>
      </c>
      <c r="L179" s="92" t="str">
        <f>IF($AG179="","",INDEX(V_Naam,INDEX($AB$8:$AB$1407,$AG179)))</f>
        <v>Boswaard, Boskamers</v>
      </c>
      <c r="M179" s="92" t="str">
        <f>IF($AG179="","",INDEX(V_Type,INDEX($AB$8:$AB$1407,$AG179)))</f>
        <v>Opstal</v>
      </c>
      <c r="N179" s="92" t="str">
        <f>IF($AG179="","",INDEX(V_IFRS,INDEX($AB$8:$AB$1407,$AG179)))</f>
        <v>J</v>
      </c>
      <c r="O179" s="92" t="str">
        <f>IF($AG179="","",INDEX($AL$8:$AL$21,INDEX($AC$8:$AC$1407,$AG179)+1))</f>
        <v>BOR actual YTD</v>
      </c>
      <c r="P179" s="109">
        <f>IF($AG179="","",INDEX($AD$8:$AD$1407,$AG179))</f>
        <v>184275</v>
      </c>
      <c r="Q179" s="92" t="str">
        <f>IF($AG179="","",INDEX($AM$8:$AM$21,INDEX($AC$8:$AC$1407,$AG179)+1))</f>
        <v>EUR</v>
      </c>
      <c r="R179" s="92" t="str">
        <f>IF($AG179="","",IF($G179&gt;0,P_ToelCorrectie&amp;"",""))</f>
        <v/>
      </c>
      <c r="S179" s="15" t="str">
        <f>IF(J179="","",J179&amp;"|"&amp;E179&amp;"|"&amp;F179&amp;"|"&amp;I179&amp;"|"&amp;O179)</f>
        <v>G.900013.8.9090|2026|Q3|2026|BOR actual YTD</v>
      </c>
      <c r="T179" s="111">
        <f>IF(S179="","",IF(COUNTIFS(L_Sleutel,S179,L_Actief,1)=0,"",SUMIFS(L_Waarde,L_Sleutel,S179,L_Actief,1)))</f>
        <v>184275</v>
      </c>
      <c r="U179" s="111">
        <f>IF(OR(S179="",T179=""),0,P179-T179)</f>
        <v>0</v>
      </c>
      <c r="AB179" s="112" t="n">
        <v>13</v>
      </c>
      <c r="AC179" s="112" t="n">
        <v>3</v>
      </c>
      <c r="AD179" s="112">
        <f>VERW_Project!M18</f>
        <v>184275</v>
      </c>
      <c r="AE179" s="112">
        <f>IF(AND(VERW_Project!$A18&lt;&gt;"",ISNUMBER(AD179)),1,0)</f>
        <v>1</v>
      </c>
      <c r="AF179" s="112">
        <f>IF(AE179=1,SUM($AE$8:AE179),"")</f>
        <v>172</v>
      </c>
      <c r="AG179">
        <f>IFERROR(MATCH(172,$AF$8:$AF$1407,0),"")</f>
        <v>172</v>
      </c>
    </row>
    <row r="180">
      <c r="A180" s="92" t="str">
        <f>IF($AG180="","",P_ImportID)</f>
        <v>IMP-2026-Q3-01</v>
      </c>
      <c r="B180" s="92" t="str">
        <f>IF($AG180="","",IF(INDEX($AN$8:$AN$21,INDEX($AC$8:$AC$1407,$AG180)+1)="Z",P_BronZ,P_BronE))</f>
        <v>ZPMW03_FICTIEF_20_projecten.xlsx</v>
      </c>
      <c r="C180" s="108">
        <f>IF($AG180="","",P_Importdatum)</f>
        <v>46324.0</v>
      </c>
      <c r="D180" s="92" t="str">
        <f>IF($AG180="","",P_StatusVastleg)</f>
        <v>Vastgesteld</v>
      </c>
      <c r="E180" s="92">
        <f>IF($AG180="","",P_UploadVJ)</f>
        <v>2026</v>
      </c>
      <c r="F180" s="92" t="str">
        <f>IF($AG180="","",P_UploadVersie)</f>
        <v>Q3</v>
      </c>
      <c r="G180" s="92">
        <f>IF($AG180="","",IF(COUNTIFS(L_Sleutel,$S180,L_Status,"Vastgesteld")=0,0,_xlfn.MAXIFS(L_Revisie,L_Sleutel,$S180,L_Status,"Vastgesteld")+1))</f>
        <v>1</v>
      </c>
      <c r="H180" s="108">
        <f>IF($AG180="","",P_Peildatum)</f>
        <v>46295.0</v>
      </c>
      <c r="I180" s="92">
        <f>IF($AG180="","",P_RJ+INDEX($AK$8:$AK$21,INDEX($AC$8:$AC$1407,$AG180)+1))</f>
        <v>2027</v>
      </c>
      <c r="J180" s="92" t="str">
        <f>IF($AG180="","",INDEX(V_WBS,INDEX($AB$8:$AB$1407,$AG180)))</f>
        <v>G.900013.8.9090</v>
      </c>
      <c r="K180" s="92" t="str">
        <f>IF($AG180="","",INDEX(V_Projdef,INDEX($AB$8:$AB$1407,$AG180)))</f>
        <v>G.900013</v>
      </c>
      <c r="L180" s="92" t="str">
        <f>IF($AG180="","",INDEX(V_Naam,INDEX($AB$8:$AB$1407,$AG180)))</f>
        <v>Boswaard, Boskamers</v>
      </c>
      <c r="M180" s="92" t="str">
        <f>IF($AG180="","",INDEX(V_Type,INDEX($AB$8:$AB$1407,$AG180)))</f>
        <v>Opstal</v>
      </c>
      <c r="N180" s="92" t="str">
        <f>IF($AG180="","",INDEX(V_IFRS,INDEX($AB$8:$AB$1407,$AG180)))</f>
        <v>J</v>
      </c>
      <c r="O180" s="92" t="str">
        <f>IF($AG180="","",INDEX($AL$8:$AL$21,INDEX($AC$8:$AC$1407,$AG180)+1))</f>
        <v>Omzet FY</v>
      </c>
      <c r="P180" s="109">
        <f>IF($AG180="","",INDEX($AD$8:$AD$1407,$AG180))</f>
        <v>13923000</v>
      </c>
      <c r="Q180" s="92" t="str">
        <f>IF($AG180="","",INDEX($AM$8:$AM$21,INDEX($AC$8:$AC$1407,$AG180)+1))</f>
        <v>EUR</v>
      </c>
      <c r="R180" s="92" t="str">
        <f>IF($AG180="","",IF($G180&gt;0,P_ToelCorrectie&amp;"",""))</f>
        <v/>
      </c>
      <c r="S180" s="15" t="str">
        <f>IF(J180="","",J180&amp;"|"&amp;E180&amp;"|"&amp;F180&amp;"|"&amp;I180&amp;"|"&amp;O180)</f>
        <v>G.900013.8.9090|2026|Q3|2027|Omzet FY</v>
      </c>
      <c r="T180" s="111">
        <f>IF(S180="","",IF(COUNTIFS(L_Sleutel,S180,L_Actief,1)=0,"",SUMIFS(L_Waarde,L_Sleutel,S180,L_Actief,1)))</f>
        <v>13923000</v>
      </c>
      <c r="U180" s="111">
        <f>IF(OR(S180="",T180=""),0,P180-T180)</f>
        <v>0</v>
      </c>
      <c r="AB180" s="112" t="n">
        <v>13</v>
      </c>
      <c r="AC180" s="112" t="n">
        <v>4</v>
      </c>
      <c r="AD180" s="112">
        <f>VERW_Project!R18</f>
        <v>13923000</v>
      </c>
      <c r="AE180" s="112">
        <f>IF(AND(VERW_Project!$A18&lt;&gt;"",ISNUMBER(AD180)),1,0)</f>
        <v>1</v>
      </c>
      <c r="AF180" s="112">
        <f>IF(AE180=1,SUM($AE$8:AE180),"")</f>
        <v>173</v>
      </c>
      <c r="AG180">
        <f>IFERROR(MATCH(173,$AF$8:$AF$1407,0),"")</f>
        <v>173</v>
      </c>
    </row>
    <row r="181">
      <c r="A181" s="92" t="str">
        <f>IF($AG181="","",P_ImportID)</f>
        <v>IMP-2026-Q3-01</v>
      </c>
      <c r="B181" s="92" t="str">
        <f>IF($AG181="","",IF(INDEX($AN$8:$AN$21,INDEX($AC$8:$AC$1407,$AG181)+1)="Z",P_BronZ,P_BronE))</f>
        <v>ZPMW03_FICTIEF_20_projecten.xlsx</v>
      </c>
      <c r="C181" s="108">
        <f>IF($AG181="","",P_Importdatum)</f>
        <v>46324.0</v>
      </c>
      <c r="D181" s="92" t="str">
        <f>IF($AG181="","",P_StatusVastleg)</f>
        <v>Vastgesteld</v>
      </c>
      <c r="E181" s="92">
        <f>IF($AG181="","",P_UploadVJ)</f>
        <v>2026</v>
      </c>
      <c r="F181" s="92" t="str">
        <f>IF($AG181="","",P_UploadVersie)</f>
        <v>Q3</v>
      </c>
      <c r="G181" s="92">
        <f>IF($AG181="","",IF(COUNTIFS(L_Sleutel,$S181,L_Status,"Vastgesteld")=0,0,_xlfn.MAXIFS(L_Revisie,L_Sleutel,$S181,L_Status,"Vastgesteld")+1))</f>
        <v>1</v>
      </c>
      <c r="H181" s="108">
        <f>IF($AG181="","",P_Peildatum)</f>
        <v>46295.0</v>
      </c>
      <c r="I181" s="92">
        <f>IF($AG181="","",P_RJ+INDEX($AK$8:$AK$21,INDEX($AC$8:$AC$1407,$AG181)+1))</f>
        <v>2027</v>
      </c>
      <c r="J181" s="92" t="str">
        <f>IF($AG181="","",INDEX(V_WBS,INDEX($AB$8:$AB$1407,$AG181)))</f>
        <v>G.900013.8.9090</v>
      </c>
      <c r="K181" s="92" t="str">
        <f>IF($AG181="","",INDEX(V_Projdef,INDEX($AB$8:$AB$1407,$AG181)))</f>
        <v>G.900013</v>
      </c>
      <c r="L181" s="92" t="str">
        <f>IF($AG181="","",INDEX(V_Naam,INDEX($AB$8:$AB$1407,$AG181)))</f>
        <v>Boswaard, Boskamers</v>
      </c>
      <c r="M181" s="92" t="str">
        <f>IF($AG181="","",INDEX(V_Type,INDEX($AB$8:$AB$1407,$AG181)))</f>
        <v>Opstal</v>
      </c>
      <c r="N181" s="92" t="str">
        <f>IF($AG181="","",INDEX(V_IFRS,INDEX($AB$8:$AB$1407,$AG181)))</f>
        <v>J</v>
      </c>
      <c r="O181" s="92" t="str">
        <f>IF($AG181="","",INDEX($AL$8:$AL$21,INDEX($AC$8:$AC$1407,$AG181)+1))</f>
        <v>BOR FY</v>
      </c>
      <c r="P181" s="109">
        <f>IF($AG181="","",INDEX($AD$8:$AD$1407,$AG181))</f>
        <v>1044225</v>
      </c>
      <c r="Q181" s="92" t="str">
        <f>IF($AG181="","",INDEX($AM$8:$AM$21,INDEX($AC$8:$AC$1407,$AG181)+1))</f>
        <v>EUR</v>
      </c>
      <c r="R181" s="92" t="str">
        <f>IF($AG181="","",IF($G181&gt;0,P_ToelCorrectie&amp;"",""))</f>
        <v/>
      </c>
      <c r="S181" s="15" t="str">
        <f>IF(J181="","",J181&amp;"|"&amp;E181&amp;"|"&amp;F181&amp;"|"&amp;I181&amp;"|"&amp;O181)</f>
        <v>G.900013.8.9090|2026|Q3|2027|BOR FY</v>
      </c>
      <c r="T181" s="111">
        <f>IF(S181="","",IF(COUNTIFS(L_Sleutel,S181,L_Actief,1)=0,"",SUMIFS(L_Waarde,L_Sleutel,S181,L_Actief,1)))</f>
        <v>1044225</v>
      </c>
      <c r="U181" s="111">
        <f>IF(OR(S181="",T181=""),0,P181-T181)</f>
        <v>0</v>
      </c>
      <c r="AB181" s="112" t="n">
        <v>13</v>
      </c>
      <c r="AC181" s="112" t="n">
        <v>5</v>
      </c>
      <c r="AD181" s="112">
        <f>VERW_Project!S18</f>
        <v>1044225</v>
      </c>
      <c r="AE181" s="112">
        <f>IF(AND(VERW_Project!$A18&lt;&gt;"",ISNUMBER(AD181)),1,0)</f>
        <v>1</v>
      </c>
      <c r="AF181" s="112">
        <f>IF(AE181=1,SUM($AE$8:AE181),"")</f>
        <v>174</v>
      </c>
      <c r="AG181">
        <f>IFERROR(MATCH(174,$AF$8:$AF$1407,0),"")</f>
        <v>174</v>
      </c>
    </row>
    <row r="182">
      <c r="A182" s="92" t="str">
        <f>IF($AG182="","",P_ImportID)</f>
        <v>IMP-2026-Q3-01</v>
      </c>
      <c r="B182" s="92" t="str">
        <f>IF($AG182="","",IF(INDEX($AN$8:$AN$21,INDEX($AC$8:$AC$1407,$AG182)+1)="Z",P_BronZ,P_BronE))</f>
        <v>Woningetalage_FICTIEF_20_projecten.xlsx</v>
      </c>
      <c r="C182" s="108">
        <f>IF($AG182="","",P_Importdatum)</f>
        <v>46324.0</v>
      </c>
      <c r="D182" s="92" t="str">
        <f>IF($AG182="","",P_StatusVastleg)</f>
        <v>Vastgesteld</v>
      </c>
      <c r="E182" s="92">
        <f>IF($AG182="","",P_UploadVJ)</f>
        <v>2026</v>
      </c>
      <c r="F182" s="92" t="str">
        <f>IF($AG182="","",P_UploadVersie)</f>
        <v>Q3</v>
      </c>
      <c r="G182" s="92">
        <f>IF($AG182="","",IF(COUNTIFS(L_Sleutel,$S182,L_Status,"Vastgesteld")=0,0,_xlfn.MAXIFS(L_Revisie,L_Sleutel,$S182,L_Status,"Vastgesteld")+1))</f>
        <v>1</v>
      </c>
      <c r="H182" s="108">
        <f>IF($AG182="","",P_Peildatum)</f>
        <v>46295.0</v>
      </c>
      <c r="I182" s="92">
        <f>IF($AG182="","",P_RJ+INDEX($AK$8:$AK$21,INDEX($AC$8:$AC$1407,$AG182)+1))</f>
        <v>2026</v>
      </c>
      <c r="J182" s="92" t="str">
        <f>IF($AG182="","",INDEX(V_WBS,INDEX($AB$8:$AB$1407,$AG182)))</f>
        <v>G.900013.8.9090</v>
      </c>
      <c r="K182" s="92" t="str">
        <f>IF($AG182="","",INDEX(V_Projdef,INDEX($AB$8:$AB$1407,$AG182)))</f>
        <v>G.900013</v>
      </c>
      <c r="L182" s="92" t="str">
        <f>IF($AG182="","",INDEX(V_Naam,INDEX($AB$8:$AB$1407,$AG182)))</f>
        <v>Boswaard, Boskamers</v>
      </c>
      <c r="M182" s="92" t="str">
        <f>IF($AG182="","",INDEX(V_Type,INDEX($AB$8:$AB$1407,$AG182)))</f>
        <v>Opstal</v>
      </c>
      <c r="N182" s="92" t="str">
        <f>IF($AG182="","",INDEX(V_IFRS,INDEX($AB$8:$AB$1407,$AG182)))</f>
        <v>J</v>
      </c>
      <c r="O182" s="92" t="str">
        <f>IF($AG182="","",INDEX($AL$8:$AL$21,INDEX($AC$8:$AC$1407,$AG182)+1))</f>
        <v>Woningverkopen FY</v>
      </c>
      <c r="P182" s="109">
        <f>IF($AG182="","",INDEX($AD$8:$AD$1407,$AG182))</f>
        <v>20</v>
      </c>
      <c r="Q182" s="92" t="str">
        <f>IF($AG182="","",INDEX($AM$8:$AM$21,INDEX($AC$8:$AC$1407,$AG182)+1))</f>
        <v>aantal</v>
      </c>
      <c r="R182" s="92" t="str">
        <f>IF($AG182="","",IF($G182&gt;0,P_ToelCorrectie&amp;"",""))</f>
        <v/>
      </c>
      <c r="S182" s="15" t="str">
        <f>IF(J182="","",J182&amp;"|"&amp;E182&amp;"|"&amp;F182&amp;"|"&amp;I182&amp;"|"&amp;O182)</f>
        <v>G.900013.8.9090|2026|Q3|2026|Woningverkopen FY</v>
      </c>
      <c r="T182" s="111">
        <f>IF(S182="","",IF(COUNTIFS(L_Sleutel,S182,L_Actief,1)=0,"",SUMIFS(L_Waarde,L_Sleutel,S182,L_Actief,1)))</f>
        <v>20</v>
      </c>
      <c r="U182" s="111">
        <f>IF(OR(S182="",T182=""),0,P182-T182)</f>
        <v>0</v>
      </c>
      <c r="AB182" s="112" t="n">
        <v>13</v>
      </c>
      <c r="AC182" s="112" t="n">
        <v>6</v>
      </c>
      <c r="AD182" s="112">
        <f>VERW_Project!BW18</f>
        <v>20</v>
      </c>
      <c r="AE182" s="112">
        <f>IF(AND(VERW_Project!$A18&lt;&gt;"",ISNUMBER(AD182)),1,0)</f>
        <v>1</v>
      </c>
      <c r="AF182" s="112">
        <f>IF(AE182=1,SUM($AE$8:AE182),"")</f>
        <v>175</v>
      </c>
      <c r="AG182">
        <f>IFERROR(MATCH(175,$AF$8:$AF$1407,0),"")</f>
        <v>175</v>
      </c>
    </row>
    <row r="183">
      <c r="A183" s="92" t="str">
        <f>IF($AG183="","",P_ImportID)</f>
        <v>IMP-2026-Q3-01</v>
      </c>
      <c r="B183" s="92" t="str">
        <f>IF($AG183="","",IF(INDEX($AN$8:$AN$21,INDEX($AC$8:$AC$1407,$AG183)+1)="Z",P_BronZ,P_BronE))</f>
        <v>Woningetalage_FICTIEF_20_projecten.xlsx</v>
      </c>
      <c r="C183" s="108">
        <f>IF($AG183="","",P_Importdatum)</f>
        <v>46324.0</v>
      </c>
      <c r="D183" s="92" t="str">
        <f>IF($AG183="","",P_StatusVastleg)</f>
        <v>Vastgesteld</v>
      </c>
      <c r="E183" s="92">
        <f>IF($AG183="","",P_UploadVJ)</f>
        <v>2026</v>
      </c>
      <c r="F183" s="92" t="str">
        <f>IF($AG183="","",P_UploadVersie)</f>
        <v>Q3</v>
      </c>
      <c r="G183" s="92">
        <f>IF($AG183="","",IF(COUNTIFS(L_Sleutel,$S183,L_Status,"Vastgesteld")=0,0,_xlfn.MAXIFS(L_Revisie,L_Sleutel,$S183,L_Status,"Vastgesteld")+1))</f>
        <v>1</v>
      </c>
      <c r="H183" s="108">
        <f>IF($AG183="","",P_Peildatum)</f>
        <v>46295.0</v>
      </c>
      <c r="I183" s="92">
        <f>IF($AG183="","",P_RJ+INDEX($AK$8:$AK$21,INDEX($AC$8:$AC$1407,$AG183)+1))</f>
        <v>2026</v>
      </c>
      <c r="J183" s="92" t="str">
        <f>IF($AG183="","",INDEX(V_WBS,INDEX($AB$8:$AB$1407,$AG183)))</f>
        <v>G.900013.8.9090</v>
      </c>
      <c r="K183" s="92" t="str">
        <f>IF($AG183="","",INDEX(V_Projdef,INDEX($AB$8:$AB$1407,$AG183)))</f>
        <v>G.900013</v>
      </c>
      <c r="L183" s="92" t="str">
        <f>IF($AG183="","",INDEX(V_Naam,INDEX($AB$8:$AB$1407,$AG183)))</f>
        <v>Boswaard, Boskamers</v>
      </c>
      <c r="M183" s="92" t="str">
        <f>IF($AG183="","",INDEX(V_Type,INDEX($AB$8:$AB$1407,$AG183)))</f>
        <v>Opstal</v>
      </c>
      <c r="N183" s="92" t="str">
        <f>IF($AG183="","",INDEX(V_IFRS,INDEX($AB$8:$AB$1407,$AG183)))</f>
        <v>J</v>
      </c>
      <c r="O183" s="92" t="str">
        <f>IF($AG183="","",INDEX($AL$8:$AL$21,INDEX($AC$8:$AC$1407,$AG183)+1))</f>
        <v>Woningen verkocht t/m vorig jaar</v>
      </c>
      <c r="P183" s="109">
        <f>IF($AG183="","",INDEX($AD$8:$AD$1407,$AG183))</f>
        <v>0</v>
      </c>
      <c r="Q183" s="92" t="str">
        <f>IF($AG183="","",INDEX($AM$8:$AM$21,INDEX($AC$8:$AC$1407,$AG183)+1))</f>
        <v>aantal</v>
      </c>
      <c r="R183" s="92" t="str">
        <f>IF($AG183="","",IF($G183&gt;0,P_ToelCorrectie&amp;"",""))</f>
        <v/>
      </c>
      <c r="S183" s="15" t="str">
        <f>IF(J183="","",J183&amp;"|"&amp;E183&amp;"|"&amp;F183&amp;"|"&amp;I183&amp;"|"&amp;O183)</f>
        <v>G.900013.8.9090|2026|Q3|2026|Woningen verkocht t/m vorig jaar</v>
      </c>
      <c r="T183" s="111">
        <f>IF(S183="","",IF(COUNTIFS(L_Sleutel,S183,L_Actief,1)=0,"",SUMIFS(L_Waarde,L_Sleutel,S183,L_Actief,1)))</f>
        <v>0</v>
      </c>
      <c r="U183" s="111">
        <f>IF(OR(S183="",T183=""),0,P183-T183)</f>
        <v>0</v>
      </c>
      <c r="AB183" s="112" t="n">
        <v>13</v>
      </c>
      <c r="AC183" s="112" t="n">
        <v>7</v>
      </c>
      <c r="AD183" s="112">
        <f>VERW_Project!AW18</f>
        <v>0</v>
      </c>
      <c r="AE183" s="112">
        <f>IF(AND(VERW_Project!$A18&lt;&gt;"",ISNUMBER(AD183)),1,0)</f>
        <v>1</v>
      </c>
      <c r="AF183" s="112">
        <f>IF(AE183=1,SUM($AE$8:AE183),"")</f>
        <v>176</v>
      </c>
      <c r="AG183">
        <f>IFERROR(MATCH(176,$AF$8:$AF$1407,0),"")</f>
        <v>176</v>
      </c>
    </row>
    <row r="184">
      <c r="A184" s="92" t="str">
        <f>IF($AG184="","",P_ImportID)</f>
        <v>IMP-2026-Q3-01</v>
      </c>
      <c r="B184" s="92" t="str">
        <f>IF($AG184="","",IF(INDEX($AN$8:$AN$21,INDEX($AC$8:$AC$1407,$AG184)+1)="Z",P_BronZ,P_BronE))</f>
        <v>Woningetalage_FICTIEF_20_projecten.xlsx</v>
      </c>
      <c r="C184" s="108">
        <f>IF($AG184="","",P_Importdatum)</f>
        <v>46324.0</v>
      </c>
      <c r="D184" s="92" t="str">
        <f>IF($AG184="","",P_StatusVastleg)</f>
        <v>Vastgesteld</v>
      </c>
      <c r="E184" s="92">
        <f>IF($AG184="","",P_UploadVJ)</f>
        <v>2026</v>
      </c>
      <c r="F184" s="92" t="str">
        <f>IF($AG184="","",P_UploadVersie)</f>
        <v>Q3</v>
      </c>
      <c r="G184" s="92">
        <f>IF($AG184="","",IF(COUNTIFS(L_Sleutel,$S184,L_Status,"Vastgesteld")=0,0,_xlfn.MAXIFS(L_Revisie,L_Sleutel,$S184,L_Status,"Vastgesteld")+1))</f>
        <v>1</v>
      </c>
      <c r="H184" s="108">
        <f>IF($AG184="","",P_Peildatum)</f>
        <v>46295.0</v>
      </c>
      <c r="I184" s="92">
        <f>IF($AG184="","",P_RJ+INDEX($AK$8:$AK$21,INDEX($AC$8:$AC$1407,$AG184)+1))</f>
        <v>2026</v>
      </c>
      <c r="J184" s="92" t="str">
        <f>IF($AG184="","",INDEX(V_WBS,INDEX($AB$8:$AB$1407,$AG184)))</f>
        <v>G.900013.8.9090</v>
      </c>
      <c r="K184" s="92" t="str">
        <f>IF($AG184="","",INDEX(V_Projdef,INDEX($AB$8:$AB$1407,$AG184)))</f>
        <v>G.900013</v>
      </c>
      <c r="L184" s="92" t="str">
        <f>IF($AG184="","",INDEX(V_Naam,INDEX($AB$8:$AB$1407,$AG184)))</f>
        <v>Boswaard, Boskamers</v>
      </c>
      <c r="M184" s="92" t="str">
        <f>IF($AG184="","",INDEX(V_Type,INDEX($AB$8:$AB$1407,$AG184)))</f>
        <v>Opstal</v>
      </c>
      <c r="N184" s="92" t="str">
        <f>IF($AG184="","",INDEX(V_IFRS,INDEX($AB$8:$AB$1407,$AG184)))</f>
        <v>J</v>
      </c>
      <c r="O184" s="92" t="str">
        <f>IF($AG184="","",INDEX($AL$8:$AL$21,INDEX($AC$8:$AC$1407,$AG184)+1))</f>
        <v>Woningverkopen Q1</v>
      </c>
      <c r="P184" s="109">
        <f>IF($AG184="","",INDEX($AD$8:$AD$1407,$AG184))</f>
        <v>1</v>
      </c>
      <c r="Q184" s="92" t="str">
        <f>IF($AG184="","",INDEX($AM$8:$AM$21,INDEX($AC$8:$AC$1407,$AG184)+1))</f>
        <v>aantal</v>
      </c>
      <c r="R184" s="92" t="str">
        <f>IF($AG184="","",IF($G184&gt;0,P_ToelCorrectie&amp;"",""))</f>
        <v/>
      </c>
      <c r="S184" s="15" t="str">
        <f>IF(J184="","",J184&amp;"|"&amp;E184&amp;"|"&amp;F184&amp;"|"&amp;I184&amp;"|"&amp;O184)</f>
        <v>G.900013.8.9090|2026|Q3|2026|Woningverkopen Q1</v>
      </c>
      <c r="T184" s="111">
        <f>IF(S184="","",IF(COUNTIFS(L_Sleutel,S184,L_Actief,1)=0,"",SUMIFS(L_Waarde,L_Sleutel,S184,L_Actief,1)))</f>
        <v>1</v>
      </c>
      <c r="U184" s="111">
        <f>IF(OR(S184="",T184=""),0,P184-T184)</f>
        <v>0</v>
      </c>
      <c r="AB184" s="112" t="n">
        <v>13</v>
      </c>
      <c r="AC184" s="112" t="n">
        <v>8</v>
      </c>
      <c r="AD184" s="112">
        <f>VERW_Project!BQ18</f>
        <v>1</v>
      </c>
      <c r="AE184" s="112">
        <f>IF(AND(VERW_Project!$A18&lt;&gt;"",ISNUMBER(AD184)),1,0)</f>
        <v>1</v>
      </c>
      <c r="AF184" s="112">
        <f>IF(AE184=1,SUM($AE$8:AE184),"")</f>
        <v>177</v>
      </c>
      <c r="AG184">
        <f>IFERROR(MATCH(177,$AF$8:$AF$1407,0),"")</f>
        <v>177</v>
      </c>
    </row>
    <row r="185">
      <c r="A185" s="92" t="str">
        <f>IF($AG185="","",P_ImportID)</f>
        <v>IMP-2026-Q3-01</v>
      </c>
      <c r="B185" s="92" t="str">
        <f>IF($AG185="","",IF(INDEX($AN$8:$AN$21,INDEX($AC$8:$AC$1407,$AG185)+1)="Z",P_BronZ,P_BronE))</f>
        <v>Woningetalage_FICTIEF_20_projecten.xlsx</v>
      </c>
      <c r="C185" s="108">
        <f>IF($AG185="","",P_Importdatum)</f>
        <v>46324.0</v>
      </c>
      <c r="D185" s="92" t="str">
        <f>IF($AG185="","",P_StatusVastleg)</f>
        <v>Vastgesteld</v>
      </c>
      <c r="E185" s="92">
        <f>IF($AG185="","",P_UploadVJ)</f>
        <v>2026</v>
      </c>
      <c r="F185" s="92" t="str">
        <f>IF($AG185="","",P_UploadVersie)</f>
        <v>Q3</v>
      </c>
      <c r="G185" s="92">
        <f>IF($AG185="","",IF(COUNTIFS(L_Sleutel,$S185,L_Status,"Vastgesteld")=0,0,_xlfn.MAXIFS(L_Revisie,L_Sleutel,$S185,L_Status,"Vastgesteld")+1))</f>
        <v>1</v>
      </c>
      <c r="H185" s="108">
        <f>IF($AG185="","",P_Peildatum)</f>
        <v>46295.0</v>
      </c>
      <c r="I185" s="92">
        <f>IF($AG185="","",P_RJ+INDEX($AK$8:$AK$21,INDEX($AC$8:$AC$1407,$AG185)+1))</f>
        <v>2026</v>
      </c>
      <c r="J185" s="92" t="str">
        <f>IF($AG185="","",INDEX(V_WBS,INDEX($AB$8:$AB$1407,$AG185)))</f>
        <v>G.900013.8.9090</v>
      </c>
      <c r="K185" s="92" t="str">
        <f>IF($AG185="","",INDEX(V_Projdef,INDEX($AB$8:$AB$1407,$AG185)))</f>
        <v>G.900013</v>
      </c>
      <c r="L185" s="92" t="str">
        <f>IF($AG185="","",INDEX(V_Naam,INDEX($AB$8:$AB$1407,$AG185)))</f>
        <v>Boswaard, Boskamers</v>
      </c>
      <c r="M185" s="92" t="str">
        <f>IF($AG185="","",INDEX(V_Type,INDEX($AB$8:$AB$1407,$AG185)))</f>
        <v>Opstal</v>
      </c>
      <c r="N185" s="92" t="str">
        <f>IF($AG185="","",INDEX(V_IFRS,INDEX($AB$8:$AB$1407,$AG185)))</f>
        <v>J</v>
      </c>
      <c r="O185" s="92" t="str">
        <f>IF($AG185="","",INDEX($AL$8:$AL$21,INDEX($AC$8:$AC$1407,$AG185)+1))</f>
        <v>Woningverkopen Q2</v>
      </c>
      <c r="P185" s="109">
        <f>IF($AG185="","",INDEX($AD$8:$AD$1407,$AG185))</f>
        <v>4</v>
      </c>
      <c r="Q185" s="92" t="str">
        <f>IF($AG185="","",INDEX($AM$8:$AM$21,INDEX($AC$8:$AC$1407,$AG185)+1))</f>
        <v>aantal</v>
      </c>
      <c r="R185" s="92" t="str">
        <f>IF($AG185="","",IF($G185&gt;0,P_ToelCorrectie&amp;"",""))</f>
        <v/>
      </c>
      <c r="S185" s="15" t="str">
        <f>IF(J185="","",J185&amp;"|"&amp;E185&amp;"|"&amp;F185&amp;"|"&amp;I185&amp;"|"&amp;O185)</f>
        <v>G.900013.8.9090|2026|Q3|2026|Woningverkopen Q2</v>
      </c>
      <c r="T185" s="111">
        <f>IF(S185="","",IF(COUNTIFS(L_Sleutel,S185,L_Actief,1)=0,"",SUMIFS(L_Waarde,L_Sleutel,S185,L_Actief,1)))</f>
        <v>4</v>
      </c>
      <c r="U185" s="111">
        <f>IF(OR(S185="",T185=""),0,P185-T185)</f>
        <v>0</v>
      </c>
      <c r="AB185" s="112" t="n">
        <v>13</v>
      </c>
      <c r="AC185" s="112" t="n">
        <v>9</v>
      </c>
      <c r="AD185" s="112">
        <f>VERW_Project!BR18</f>
        <v>4</v>
      </c>
      <c r="AE185" s="112">
        <f>IF(AND(VERW_Project!$A18&lt;&gt;"",ISNUMBER(AD185)),1,0)</f>
        <v>1</v>
      </c>
      <c r="AF185" s="112">
        <f>IF(AE185=1,SUM($AE$8:AE185),"")</f>
        <v>178</v>
      </c>
      <c r="AG185">
        <f>IFERROR(MATCH(178,$AF$8:$AF$1407,0),"")</f>
        <v>178</v>
      </c>
    </row>
    <row r="186">
      <c r="A186" s="92" t="str">
        <f>IF($AG186="","",P_ImportID)</f>
        <v>IMP-2026-Q3-01</v>
      </c>
      <c r="B186" s="92" t="str">
        <f>IF($AG186="","",IF(INDEX($AN$8:$AN$21,INDEX($AC$8:$AC$1407,$AG186)+1)="Z",P_BronZ,P_BronE))</f>
        <v>Woningetalage_FICTIEF_20_projecten.xlsx</v>
      </c>
      <c r="C186" s="108">
        <f>IF($AG186="","",P_Importdatum)</f>
        <v>46324.0</v>
      </c>
      <c r="D186" s="92" t="str">
        <f>IF($AG186="","",P_StatusVastleg)</f>
        <v>Vastgesteld</v>
      </c>
      <c r="E186" s="92">
        <f>IF($AG186="","",P_UploadVJ)</f>
        <v>2026</v>
      </c>
      <c r="F186" s="92" t="str">
        <f>IF($AG186="","",P_UploadVersie)</f>
        <v>Q3</v>
      </c>
      <c r="G186" s="92">
        <f>IF($AG186="","",IF(COUNTIFS(L_Sleutel,$S186,L_Status,"Vastgesteld")=0,0,_xlfn.MAXIFS(L_Revisie,L_Sleutel,$S186,L_Status,"Vastgesteld")+1))</f>
        <v>1</v>
      </c>
      <c r="H186" s="108">
        <f>IF($AG186="","",P_Peildatum)</f>
        <v>46295.0</v>
      </c>
      <c r="I186" s="92">
        <f>IF($AG186="","",P_RJ+INDEX($AK$8:$AK$21,INDEX($AC$8:$AC$1407,$AG186)+1))</f>
        <v>2026</v>
      </c>
      <c r="J186" s="92" t="str">
        <f>IF($AG186="","",INDEX(V_WBS,INDEX($AB$8:$AB$1407,$AG186)))</f>
        <v>G.900013.8.9090</v>
      </c>
      <c r="K186" s="92" t="str">
        <f>IF($AG186="","",INDEX(V_Projdef,INDEX($AB$8:$AB$1407,$AG186)))</f>
        <v>G.900013</v>
      </c>
      <c r="L186" s="92" t="str">
        <f>IF($AG186="","",INDEX(V_Naam,INDEX($AB$8:$AB$1407,$AG186)))</f>
        <v>Boswaard, Boskamers</v>
      </c>
      <c r="M186" s="92" t="str">
        <f>IF($AG186="","",INDEX(V_Type,INDEX($AB$8:$AB$1407,$AG186)))</f>
        <v>Opstal</v>
      </c>
      <c r="N186" s="92" t="str">
        <f>IF($AG186="","",INDEX(V_IFRS,INDEX($AB$8:$AB$1407,$AG186)))</f>
        <v>J</v>
      </c>
      <c r="O186" s="92" t="str">
        <f>IF($AG186="","",INDEX($AL$8:$AL$21,INDEX($AC$8:$AC$1407,$AG186)+1))</f>
        <v>Woningverkopen Q3</v>
      </c>
      <c r="P186" s="109">
        <f>IF($AG186="","",INDEX($AD$8:$AD$1407,$AG186))</f>
        <v>4</v>
      </c>
      <c r="Q186" s="92" t="str">
        <f>IF($AG186="","",INDEX($AM$8:$AM$21,INDEX($AC$8:$AC$1407,$AG186)+1))</f>
        <v>aantal</v>
      </c>
      <c r="R186" s="92" t="str">
        <f>IF($AG186="","",IF($G186&gt;0,P_ToelCorrectie&amp;"",""))</f>
        <v/>
      </c>
      <c r="S186" s="15" t="str">
        <f>IF(J186="","",J186&amp;"|"&amp;E186&amp;"|"&amp;F186&amp;"|"&amp;I186&amp;"|"&amp;O186)</f>
        <v>G.900013.8.9090|2026|Q3|2026|Woningverkopen Q3</v>
      </c>
      <c r="T186" s="111">
        <f>IF(S186="","",IF(COUNTIFS(L_Sleutel,S186,L_Actief,1)=0,"",SUMIFS(L_Waarde,L_Sleutel,S186,L_Actief,1)))</f>
        <v>4</v>
      </c>
      <c r="U186" s="111">
        <f>IF(OR(S186="",T186=""),0,P186-T186)</f>
        <v>0</v>
      </c>
      <c r="AB186" s="112" t="n">
        <v>13</v>
      </c>
      <c r="AC186" s="112" t="n">
        <v>10</v>
      </c>
      <c r="AD186" s="112">
        <f>VERW_Project!BS18</f>
        <v>4</v>
      </c>
      <c r="AE186" s="112">
        <f>IF(AND(VERW_Project!$A18&lt;&gt;"",ISNUMBER(AD186)),1,0)</f>
        <v>1</v>
      </c>
      <c r="AF186" s="112">
        <f>IF(AE186=1,SUM($AE$8:AE186),"")</f>
        <v>179</v>
      </c>
      <c r="AG186">
        <f>IFERROR(MATCH(179,$AF$8:$AF$1407,0),"")</f>
        <v>179</v>
      </c>
    </row>
    <row r="187">
      <c r="A187" s="92" t="str">
        <f>IF($AG187="","",P_ImportID)</f>
        <v>IMP-2026-Q3-01</v>
      </c>
      <c r="B187" s="92" t="str">
        <f>IF($AG187="","",IF(INDEX($AN$8:$AN$21,INDEX($AC$8:$AC$1407,$AG187)+1)="Z",P_BronZ,P_BronE))</f>
        <v>Woningetalage_FICTIEF_20_projecten.xlsx</v>
      </c>
      <c r="C187" s="108">
        <f>IF($AG187="","",P_Importdatum)</f>
        <v>46324.0</v>
      </c>
      <c r="D187" s="92" t="str">
        <f>IF($AG187="","",P_StatusVastleg)</f>
        <v>Vastgesteld</v>
      </c>
      <c r="E187" s="92">
        <f>IF($AG187="","",P_UploadVJ)</f>
        <v>2026</v>
      </c>
      <c r="F187" s="92" t="str">
        <f>IF($AG187="","",P_UploadVersie)</f>
        <v>Q3</v>
      </c>
      <c r="G187" s="92">
        <f>IF($AG187="","",IF(COUNTIFS(L_Sleutel,$S187,L_Status,"Vastgesteld")=0,0,_xlfn.MAXIFS(L_Revisie,L_Sleutel,$S187,L_Status,"Vastgesteld")+1))</f>
        <v>1</v>
      </c>
      <c r="H187" s="108">
        <f>IF($AG187="","",P_Peildatum)</f>
        <v>46295.0</v>
      </c>
      <c r="I187" s="92">
        <f>IF($AG187="","",P_RJ+INDEX($AK$8:$AK$21,INDEX($AC$8:$AC$1407,$AG187)+1))</f>
        <v>2026</v>
      </c>
      <c r="J187" s="92" t="str">
        <f>IF($AG187="","",INDEX(V_WBS,INDEX($AB$8:$AB$1407,$AG187)))</f>
        <v>G.900013.8.9090</v>
      </c>
      <c r="K187" s="92" t="str">
        <f>IF($AG187="","",INDEX(V_Projdef,INDEX($AB$8:$AB$1407,$AG187)))</f>
        <v>G.900013</v>
      </c>
      <c r="L187" s="92" t="str">
        <f>IF($AG187="","",INDEX(V_Naam,INDEX($AB$8:$AB$1407,$AG187)))</f>
        <v>Boswaard, Boskamers</v>
      </c>
      <c r="M187" s="92" t="str">
        <f>IF($AG187="","",INDEX(V_Type,INDEX($AB$8:$AB$1407,$AG187)))</f>
        <v>Opstal</v>
      </c>
      <c r="N187" s="92" t="str">
        <f>IF($AG187="","",INDEX(V_IFRS,INDEX($AB$8:$AB$1407,$AG187)))</f>
        <v>J</v>
      </c>
      <c r="O187" s="92" t="str">
        <f>IF($AG187="","",INDEX($AL$8:$AL$21,INDEX($AC$8:$AC$1407,$AG187)+1))</f>
        <v>Woningverkopen Q4</v>
      </c>
      <c r="P187" s="109">
        <f>IF($AG187="","",INDEX($AD$8:$AD$1407,$AG187))</f>
        <v>11</v>
      </c>
      <c r="Q187" s="92" t="str">
        <f>IF($AG187="","",INDEX($AM$8:$AM$21,INDEX($AC$8:$AC$1407,$AG187)+1))</f>
        <v>aantal</v>
      </c>
      <c r="R187" s="92" t="str">
        <f>IF($AG187="","",IF($G187&gt;0,P_ToelCorrectie&amp;"",""))</f>
        <v/>
      </c>
      <c r="S187" s="15" t="str">
        <f>IF(J187="","",J187&amp;"|"&amp;E187&amp;"|"&amp;F187&amp;"|"&amp;I187&amp;"|"&amp;O187)</f>
        <v>G.900013.8.9090|2026|Q3|2026|Woningverkopen Q4</v>
      </c>
      <c r="T187" s="111">
        <f>IF(S187="","",IF(COUNTIFS(L_Sleutel,S187,L_Actief,1)=0,"",SUMIFS(L_Waarde,L_Sleutel,S187,L_Actief,1)))</f>
        <v>11</v>
      </c>
      <c r="U187" s="111">
        <f>IF(OR(S187="",T187=""),0,P187-T187)</f>
        <v>0</v>
      </c>
      <c r="AB187" s="112" t="n">
        <v>13</v>
      </c>
      <c r="AC187" s="112" t="n">
        <v>11</v>
      </c>
      <c r="AD187" s="112">
        <f>VERW_Project!BT18</f>
        <v>11</v>
      </c>
      <c r="AE187" s="112">
        <f>IF(AND(VERW_Project!$A18&lt;&gt;"",ISNUMBER(AD187)),1,0)</f>
        <v>1</v>
      </c>
      <c r="AF187" s="112">
        <f>IF(AE187=1,SUM($AE$8:AE187),"")</f>
        <v>180</v>
      </c>
      <c r="AG187">
        <f>IFERROR(MATCH(180,$AF$8:$AF$1407,0),"")</f>
        <v>180</v>
      </c>
    </row>
    <row r="188">
      <c r="A188" s="92" t="str">
        <f>IF($AG188="","",P_ImportID)</f>
        <v>IMP-2026-Q3-01</v>
      </c>
      <c r="B188" s="92" t="str">
        <f>IF($AG188="","",IF(INDEX($AN$8:$AN$21,INDEX($AC$8:$AC$1407,$AG188)+1)="Z",P_BronZ,P_BronE))</f>
        <v>Woningetalage_FICTIEF_20_projecten.xlsx</v>
      </c>
      <c r="C188" s="108">
        <f>IF($AG188="","",P_Importdatum)</f>
        <v>46324.0</v>
      </c>
      <c r="D188" s="92" t="str">
        <f>IF($AG188="","",P_StatusVastleg)</f>
        <v>Vastgesteld</v>
      </c>
      <c r="E188" s="92">
        <f>IF($AG188="","",P_UploadVJ)</f>
        <v>2026</v>
      </c>
      <c r="F188" s="92" t="str">
        <f>IF($AG188="","",P_UploadVersie)</f>
        <v>Q3</v>
      </c>
      <c r="G188" s="92">
        <f>IF($AG188="","",IF(COUNTIFS(L_Sleutel,$S188,L_Status,"Vastgesteld")=0,0,_xlfn.MAXIFS(L_Revisie,L_Sleutel,$S188,L_Status,"Vastgesteld")+1))</f>
        <v>1</v>
      </c>
      <c r="H188" s="108">
        <f>IF($AG188="","",P_Peildatum)</f>
        <v>46295.0</v>
      </c>
      <c r="I188" s="92">
        <f>IF($AG188="","",P_RJ+INDEX($AK$8:$AK$21,INDEX($AC$8:$AC$1407,$AG188)+1))</f>
        <v>2026</v>
      </c>
      <c r="J188" s="92" t="str">
        <f>IF($AG188="","",INDEX(V_WBS,INDEX($AB$8:$AB$1407,$AG188)))</f>
        <v>G.900013.8.9090</v>
      </c>
      <c r="K188" s="92" t="str">
        <f>IF($AG188="","",INDEX(V_Projdef,INDEX($AB$8:$AB$1407,$AG188)))</f>
        <v>G.900013</v>
      </c>
      <c r="L188" s="92" t="str">
        <f>IF($AG188="","",INDEX(V_Naam,INDEX($AB$8:$AB$1407,$AG188)))</f>
        <v>Boswaard, Boskamers</v>
      </c>
      <c r="M188" s="92" t="str">
        <f>IF($AG188="","",INDEX(V_Type,INDEX($AB$8:$AB$1407,$AG188)))</f>
        <v>Opstal</v>
      </c>
      <c r="N188" s="92" t="str">
        <f>IF($AG188="","",INDEX(V_IFRS,INDEX($AB$8:$AB$1407,$AG188)))</f>
        <v>J</v>
      </c>
      <c r="O188" s="92" t="str">
        <f>IF($AG188="","",INDEX($AL$8:$AL$21,INDEX($AC$8:$AC$1407,$AG188)+1))</f>
        <v>Woningverkopen actual YTD</v>
      </c>
      <c r="P188" s="109">
        <f>IF($AG188="","",INDEX($AD$8:$AD$1407,$AG188))</f>
        <v>9</v>
      </c>
      <c r="Q188" s="92" t="str">
        <f>IF($AG188="","",INDEX($AM$8:$AM$21,INDEX($AC$8:$AC$1407,$AG188)+1))</f>
        <v>aantal</v>
      </c>
      <c r="R188" s="92" t="str">
        <f>IF($AG188="","",IF($G188&gt;0,P_ToelCorrectie&amp;"",""))</f>
        <v/>
      </c>
      <c r="S188" s="15" t="str">
        <f>IF(J188="","",J188&amp;"|"&amp;E188&amp;"|"&amp;F188&amp;"|"&amp;I188&amp;"|"&amp;O188)</f>
        <v>G.900013.8.9090|2026|Q3|2026|Woningverkopen actual YTD</v>
      </c>
      <c r="T188" s="111">
        <f>IF(S188="","",IF(COUNTIFS(L_Sleutel,S188,L_Actief,1)=0,"",SUMIFS(L_Waarde,L_Sleutel,S188,L_Actief,1)))</f>
        <v>9</v>
      </c>
      <c r="U188" s="111">
        <f>IF(OR(S188="",T188=""),0,P188-T188)</f>
        <v>0</v>
      </c>
      <c r="AB188" s="112" t="n">
        <v>13</v>
      </c>
      <c r="AC188" s="112" t="n">
        <v>12</v>
      </c>
      <c r="AD188" s="112">
        <f>VERW_Project!BU18</f>
        <v>9</v>
      </c>
      <c r="AE188" s="112">
        <f>IF(AND(VERW_Project!$A18&lt;&gt;"",ISNUMBER(AD188)),1,0)</f>
        <v>1</v>
      </c>
      <c r="AF188" s="112">
        <f>IF(AE188=1,SUM($AE$8:AE188),"")</f>
        <v>181</v>
      </c>
      <c r="AG188">
        <f>IFERROR(MATCH(181,$AF$8:$AF$1407,0),"")</f>
        <v>181</v>
      </c>
    </row>
    <row r="189">
      <c r="A189" s="92" t="str">
        <f>IF($AG189="","",P_ImportID)</f>
        <v>IMP-2026-Q3-01</v>
      </c>
      <c r="B189" s="92" t="str">
        <f>IF($AG189="","",IF(INDEX($AN$8:$AN$21,INDEX($AC$8:$AC$1407,$AG189)+1)="Z",P_BronZ,P_BronE))</f>
        <v>Woningetalage_FICTIEF_20_projecten.xlsx</v>
      </c>
      <c r="C189" s="108">
        <f>IF($AG189="","",P_Importdatum)</f>
        <v>46324.0</v>
      </c>
      <c r="D189" s="92" t="str">
        <f>IF($AG189="","",P_StatusVastleg)</f>
        <v>Vastgesteld</v>
      </c>
      <c r="E189" s="92">
        <f>IF($AG189="","",P_UploadVJ)</f>
        <v>2026</v>
      </c>
      <c r="F189" s="92" t="str">
        <f>IF($AG189="","",P_UploadVersie)</f>
        <v>Q3</v>
      </c>
      <c r="G189" s="92">
        <f>IF($AG189="","",IF(COUNTIFS(L_Sleutel,$S189,L_Status,"Vastgesteld")=0,0,_xlfn.MAXIFS(L_Revisie,L_Sleutel,$S189,L_Status,"Vastgesteld")+1))</f>
        <v>0</v>
      </c>
      <c r="H189" s="108">
        <f>IF($AG189="","",P_Peildatum)</f>
        <v>46295.0</v>
      </c>
      <c r="I189" s="92">
        <f>IF($AG189="","",P_RJ+INDEX($AK$8:$AK$21,INDEX($AC$8:$AC$1407,$AG189)+1))</f>
        <v>2027</v>
      </c>
      <c r="J189" s="92" t="str">
        <f>IF($AG189="","",INDEX(V_WBS,INDEX($AB$8:$AB$1407,$AG189)))</f>
        <v>G.900013.8.9090</v>
      </c>
      <c r="K189" s="92" t="str">
        <f>IF($AG189="","",INDEX(V_Projdef,INDEX($AB$8:$AB$1407,$AG189)))</f>
        <v>G.900013</v>
      </c>
      <c r="L189" s="92" t="str">
        <f>IF($AG189="","",INDEX(V_Naam,INDEX($AB$8:$AB$1407,$AG189)))</f>
        <v>Boswaard, Boskamers</v>
      </c>
      <c r="M189" s="92" t="str">
        <f>IF($AG189="","",INDEX(V_Type,INDEX($AB$8:$AB$1407,$AG189)))</f>
        <v>Opstal</v>
      </c>
      <c r="N189" s="92" t="str">
        <f>IF($AG189="","",INDEX(V_IFRS,INDEX($AB$8:$AB$1407,$AG189)))</f>
        <v>J</v>
      </c>
      <c r="O189" s="92" t="str">
        <f>IF($AG189="","",INDEX($AL$8:$AL$21,INDEX($AC$8:$AC$1407,$AG189)+1))</f>
        <v>Woningverkopen FY</v>
      </c>
      <c r="P189" s="109">
        <f>IF($AG189="","",INDEX($AD$8:$AD$1407,$AG189))</f>
        <v>26</v>
      </c>
      <c r="Q189" s="92" t="str">
        <f>IF($AG189="","",INDEX($AM$8:$AM$21,INDEX($AC$8:$AC$1407,$AG189)+1))</f>
        <v>aantal</v>
      </c>
      <c r="R189" s="92" t="str">
        <f>IF($AG189="","",IF($G189&gt;0,P_ToelCorrectie&amp;"",""))</f>
        <v/>
      </c>
      <c r="S189" s="15" t="str">
        <f>IF(J189="","",J189&amp;"|"&amp;E189&amp;"|"&amp;F189&amp;"|"&amp;I189&amp;"|"&amp;O189)</f>
        <v>G.900013.8.9090|2026|Q3|2027|Woningverkopen FY</v>
      </c>
      <c r="T189" s="111" t="str">
        <f>IF(S189="","",IF(COUNTIFS(L_Sleutel,S189,L_Actief,1)=0,"",SUMIFS(L_Waarde,L_Sleutel,S189,L_Actief,1)))</f>
        <v/>
      </c>
      <c r="U189" s="111">
        <f>IF(OR(S189="",T189=""),0,P189-T189)</f>
        <v>0</v>
      </c>
      <c r="AB189" s="112" t="n">
        <v>13</v>
      </c>
      <c r="AC189" s="112" t="n">
        <v>13</v>
      </c>
      <c r="AD189" s="112">
        <f>VERW_Project!BX18</f>
        <v>26</v>
      </c>
      <c r="AE189" s="112">
        <f>IF(AND(VERW_Project!$A18&lt;&gt;"",ISNUMBER(AD189)),1,0)</f>
        <v>1</v>
      </c>
      <c r="AF189" s="112">
        <f>IF(AE189=1,SUM($AE$8:AE189),"")</f>
        <v>182</v>
      </c>
      <c r="AG189">
        <f>IFERROR(MATCH(182,$AF$8:$AF$1407,0),"")</f>
        <v>182</v>
      </c>
    </row>
    <row r="190">
      <c r="A190" s="92" t="str">
        <f>IF($AG190="","",P_ImportID)</f>
        <v>IMP-2026-Q3-01</v>
      </c>
      <c r="B190" s="92" t="str">
        <f>IF($AG190="","",IF(INDEX($AN$8:$AN$21,INDEX($AC$8:$AC$1407,$AG190)+1)="Z",P_BronZ,P_BronE))</f>
        <v>ZPMW03_FICTIEF_20_projecten.xlsx</v>
      </c>
      <c r="C190" s="108">
        <f>IF($AG190="","",P_Importdatum)</f>
        <v>46324.0</v>
      </c>
      <c r="D190" s="92" t="str">
        <f>IF($AG190="","",P_StatusVastleg)</f>
        <v>Vastgesteld</v>
      </c>
      <c r="E190" s="92">
        <f>IF($AG190="","",P_UploadVJ)</f>
        <v>2026</v>
      </c>
      <c r="F190" s="92" t="str">
        <f>IF($AG190="","",P_UploadVersie)</f>
        <v>Q3</v>
      </c>
      <c r="G190" s="92">
        <f>IF($AG190="","",IF(COUNTIFS(L_Sleutel,$S190,L_Status,"Vastgesteld")=0,0,_xlfn.MAXIFS(L_Revisie,L_Sleutel,$S190,L_Status,"Vastgesteld")+1))</f>
        <v>1</v>
      </c>
      <c r="H190" s="108">
        <f>IF($AG190="","",P_Peildatum)</f>
        <v>46295.0</v>
      </c>
      <c r="I190" s="92">
        <f>IF($AG190="","",P_RJ+INDEX($AK$8:$AK$21,INDEX($AC$8:$AC$1407,$AG190)+1))</f>
        <v>2026</v>
      </c>
      <c r="J190" s="92" t="str">
        <f>IF($AG190="","",INDEX(V_WBS,INDEX($AB$8:$AB$1407,$AG190)))</f>
        <v>G.900014.8.9090</v>
      </c>
      <c r="K190" s="92" t="str">
        <f>IF($AG190="","",INDEX(V_Projdef,INDEX($AB$8:$AB$1407,$AG190)))</f>
        <v>G.900014</v>
      </c>
      <c r="L190" s="92" t="str">
        <f>IF($AG190="","",INDEX(V_Naam,INDEX($AB$8:$AB$1407,$AG190)))</f>
        <v>Rietdam, Rietoevers</v>
      </c>
      <c r="M190" s="92" t="str">
        <f>IF($AG190="","",INDEX(V_Type,INDEX($AB$8:$AB$1407,$AG190)))</f>
        <v>Opstal</v>
      </c>
      <c r="N190" s="92" t="str">
        <f>IF($AG190="","",INDEX(V_IFRS,INDEX($AB$8:$AB$1407,$AG190)))</f>
        <v>J</v>
      </c>
      <c r="O190" s="92" t="str">
        <f>IF($AG190="","",INDEX($AL$8:$AL$21,INDEX($AC$8:$AC$1407,$AG190)+1))</f>
        <v>Omzet FY</v>
      </c>
      <c r="P190" s="109">
        <f>IF($AG190="","",INDEX($AD$8:$AD$1407,$AG190))</f>
        <v>8769600</v>
      </c>
      <c r="Q190" s="92" t="str">
        <f>IF($AG190="","",INDEX($AM$8:$AM$21,INDEX($AC$8:$AC$1407,$AG190)+1))</f>
        <v>EUR</v>
      </c>
      <c r="R190" s="92" t="str">
        <f>IF($AG190="","",IF($G190&gt;0,P_ToelCorrectie&amp;"",""))</f>
        <v/>
      </c>
      <c r="S190" s="15" t="str">
        <f>IF(J190="","",J190&amp;"|"&amp;E190&amp;"|"&amp;F190&amp;"|"&amp;I190&amp;"|"&amp;O190)</f>
        <v>G.900014.8.9090|2026|Q3|2026|Omzet FY</v>
      </c>
      <c r="T190" s="111">
        <f>IF(S190="","",IF(COUNTIFS(L_Sleutel,S190,L_Actief,1)=0,"",SUMIFS(L_Waarde,L_Sleutel,S190,L_Actief,1)))</f>
        <v>8769600</v>
      </c>
      <c r="U190" s="111">
        <f>IF(OR(S190="",T190=""),0,P190-T190)</f>
        <v>0</v>
      </c>
      <c r="AB190" s="112" t="n">
        <v>14</v>
      </c>
      <c r="AC190" s="112" t="n">
        <v>0</v>
      </c>
      <c r="AD190" s="112">
        <f>VERW_Project!P19</f>
        <v>8769600</v>
      </c>
      <c r="AE190" s="112">
        <f>IF(AND(VERW_Project!$A19&lt;&gt;"",ISNUMBER(AD190)),1,0)</f>
        <v>1</v>
      </c>
      <c r="AF190" s="112">
        <f>IF(AE190=1,SUM($AE$8:AE190),"")</f>
        <v>183</v>
      </c>
      <c r="AG190">
        <f>IFERROR(MATCH(183,$AF$8:$AF$1407,0),"")</f>
        <v>183</v>
      </c>
    </row>
    <row r="191">
      <c r="A191" s="92" t="str">
        <f>IF($AG191="","",P_ImportID)</f>
        <v>IMP-2026-Q3-01</v>
      </c>
      <c r="B191" s="92" t="str">
        <f>IF($AG191="","",IF(INDEX($AN$8:$AN$21,INDEX($AC$8:$AC$1407,$AG191)+1)="Z",P_BronZ,P_BronE))</f>
        <v>ZPMW03_FICTIEF_20_projecten.xlsx</v>
      </c>
      <c r="C191" s="108">
        <f>IF($AG191="","",P_Importdatum)</f>
        <v>46324.0</v>
      </c>
      <c r="D191" s="92" t="str">
        <f>IF($AG191="","",P_StatusVastleg)</f>
        <v>Vastgesteld</v>
      </c>
      <c r="E191" s="92">
        <f>IF($AG191="","",P_UploadVJ)</f>
        <v>2026</v>
      </c>
      <c r="F191" s="92" t="str">
        <f>IF($AG191="","",P_UploadVersie)</f>
        <v>Q3</v>
      </c>
      <c r="G191" s="92">
        <f>IF($AG191="","",IF(COUNTIFS(L_Sleutel,$S191,L_Status,"Vastgesteld")=0,0,_xlfn.MAXIFS(L_Revisie,L_Sleutel,$S191,L_Status,"Vastgesteld")+1))</f>
        <v>1</v>
      </c>
      <c r="H191" s="108">
        <f>IF($AG191="","",P_Peildatum)</f>
        <v>46295.0</v>
      </c>
      <c r="I191" s="92">
        <f>IF($AG191="","",P_RJ+INDEX($AK$8:$AK$21,INDEX($AC$8:$AC$1407,$AG191)+1))</f>
        <v>2026</v>
      </c>
      <c r="J191" s="92" t="str">
        <f>IF($AG191="","",INDEX(V_WBS,INDEX($AB$8:$AB$1407,$AG191)))</f>
        <v>G.900014.8.9090</v>
      </c>
      <c r="K191" s="92" t="str">
        <f>IF($AG191="","",INDEX(V_Projdef,INDEX($AB$8:$AB$1407,$AG191)))</f>
        <v>G.900014</v>
      </c>
      <c r="L191" s="92" t="str">
        <f>IF($AG191="","",INDEX(V_Naam,INDEX($AB$8:$AB$1407,$AG191)))</f>
        <v>Rietdam, Rietoevers</v>
      </c>
      <c r="M191" s="92" t="str">
        <f>IF($AG191="","",INDEX(V_Type,INDEX($AB$8:$AB$1407,$AG191)))</f>
        <v>Opstal</v>
      </c>
      <c r="N191" s="92" t="str">
        <f>IF($AG191="","",INDEX(V_IFRS,INDEX($AB$8:$AB$1407,$AG191)))</f>
        <v>J</v>
      </c>
      <c r="O191" s="92" t="str">
        <f>IF($AG191="","",INDEX($AL$8:$AL$21,INDEX($AC$8:$AC$1407,$AG191)+1))</f>
        <v>BOR FY</v>
      </c>
      <c r="P191" s="109">
        <f>IF($AG191="","",INDEX($AD$8:$AD$1407,$AG191))</f>
        <v>964656</v>
      </c>
      <c r="Q191" s="92" t="str">
        <f>IF($AG191="","",INDEX($AM$8:$AM$21,INDEX($AC$8:$AC$1407,$AG191)+1))</f>
        <v>EUR</v>
      </c>
      <c r="R191" s="92" t="str">
        <f>IF($AG191="","",IF($G191&gt;0,P_ToelCorrectie&amp;"",""))</f>
        <v/>
      </c>
      <c r="S191" s="15" t="str">
        <f>IF(J191="","",J191&amp;"|"&amp;E191&amp;"|"&amp;F191&amp;"|"&amp;I191&amp;"|"&amp;O191)</f>
        <v>G.900014.8.9090|2026|Q3|2026|BOR FY</v>
      </c>
      <c r="T191" s="111">
        <f>IF(S191="","",IF(COUNTIFS(L_Sleutel,S191,L_Actief,1)=0,"",SUMIFS(L_Waarde,L_Sleutel,S191,L_Actief,1)))</f>
        <v>964656</v>
      </c>
      <c r="U191" s="111">
        <f>IF(OR(S191="",T191=""),0,P191-T191)</f>
        <v>0</v>
      </c>
      <c r="AB191" s="112" t="n">
        <v>14</v>
      </c>
      <c r="AC191" s="112" t="n">
        <v>1</v>
      </c>
      <c r="AD191" s="112">
        <f>VERW_Project!Q19</f>
        <v>964656</v>
      </c>
      <c r="AE191" s="112">
        <f>IF(AND(VERW_Project!$A19&lt;&gt;"",ISNUMBER(AD191)),1,0)</f>
        <v>1</v>
      </c>
      <c r="AF191" s="112">
        <f>IF(AE191=1,SUM($AE$8:AE191),"")</f>
        <v>184</v>
      </c>
      <c r="AG191">
        <f>IFERROR(MATCH(184,$AF$8:$AF$1407,0),"")</f>
        <v>184</v>
      </c>
    </row>
    <row r="192">
      <c r="A192" s="92" t="str">
        <f>IF($AG192="","",P_ImportID)</f>
        <v>IMP-2026-Q3-01</v>
      </c>
      <c r="B192" s="92" t="str">
        <f>IF($AG192="","",IF(INDEX($AN$8:$AN$21,INDEX($AC$8:$AC$1407,$AG192)+1)="Z",P_BronZ,P_BronE))</f>
        <v>ZPMW03_FICTIEF_20_projecten.xlsx</v>
      </c>
      <c r="C192" s="108">
        <f>IF($AG192="","",P_Importdatum)</f>
        <v>46324.0</v>
      </c>
      <c r="D192" s="92" t="str">
        <f>IF($AG192="","",P_StatusVastleg)</f>
        <v>Vastgesteld</v>
      </c>
      <c r="E192" s="92">
        <f>IF($AG192="","",P_UploadVJ)</f>
        <v>2026</v>
      </c>
      <c r="F192" s="92" t="str">
        <f>IF($AG192="","",P_UploadVersie)</f>
        <v>Q3</v>
      </c>
      <c r="G192" s="92">
        <f>IF($AG192="","",IF(COUNTIFS(L_Sleutel,$S192,L_Status,"Vastgesteld")=0,0,_xlfn.MAXIFS(L_Revisie,L_Sleutel,$S192,L_Status,"Vastgesteld")+1))</f>
        <v>1</v>
      </c>
      <c r="H192" s="108">
        <f>IF($AG192="","",P_Peildatum)</f>
        <v>46295.0</v>
      </c>
      <c r="I192" s="92">
        <f>IF($AG192="","",P_RJ+INDEX($AK$8:$AK$21,INDEX($AC$8:$AC$1407,$AG192)+1))</f>
        <v>2026</v>
      </c>
      <c r="J192" s="92" t="str">
        <f>IF($AG192="","",INDEX(V_WBS,INDEX($AB$8:$AB$1407,$AG192)))</f>
        <v>G.900014.8.9090</v>
      </c>
      <c r="K192" s="92" t="str">
        <f>IF($AG192="","",INDEX(V_Projdef,INDEX($AB$8:$AB$1407,$AG192)))</f>
        <v>G.900014</v>
      </c>
      <c r="L192" s="92" t="str">
        <f>IF($AG192="","",INDEX(V_Naam,INDEX($AB$8:$AB$1407,$AG192)))</f>
        <v>Rietdam, Rietoevers</v>
      </c>
      <c r="M192" s="92" t="str">
        <f>IF($AG192="","",INDEX(V_Type,INDEX($AB$8:$AB$1407,$AG192)))</f>
        <v>Opstal</v>
      </c>
      <c r="N192" s="92" t="str">
        <f>IF($AG192="","",INDEX(V_IFRS,INDEX($AB$8:$AB$1407,$AG192)))</f>
        <v>J</v>
      </c>
      <c r="O192" s="92" t="str">
        <f>IF($AG192="","",INDEX($AL$8:$AL$21,INDEX($AC$8:$AC$1407,$AG192)+1))</f>
        <v>Omzet actual YTD</v>
      </c>
      <c r="P192" s="109">
        <f>IF($AG192="","",INDEX($AD$8:$AD$1407,$AG192))</f>
        <v>5700240</v>
      </c>
      <c r="Q192" s="92" t="str">
        <f>IF($AG192="","",INDEX($AM$8:$AM$21,INDEX($AC$8:$AC$1407,$AG192)+1))</f>
        <v>EUR</v>
      </c>
      <c r="R192" s="92" t="str">
        <f>IF($AG192="","",IF($G192&gt;0,P_ToelCorrectie&amp;"",""))</f>
        <v/>
      </c>
      <c r="S192" s="15" t="str">
        <f>IF(J192="","",J192&amp;"|"&amp;E192&amp;"|"&amp;F192&amp;"|"&amp;I192&amp;"|"&amp;O192)</f>
        <v>G.900014.8.9090|2026|Q3|2026|Omzet actual YTD</v>
      </c>
      <c r="T192" s="111">
        <f>IF(S192="","",IF(COUNTIFS(L_Sleutel,S192,L_Actief,1)=0,"",SUMIFS(L_Waarde,L_Sleutel,S192,L_Actief,1)))</f>
        <v>5700240</v>
      </c>
      <c r="U192" s="111">
        <f>IF(OR(S192="",T192=""),0,P192-T192)</f>
        <v>0</v>
      </c>
      <c r="AB192" s="112" t="n">
        <v>14</v>
      </c>
      <c r="AC192" s="112" t="n">
        <v>2</v>
      </c>
      <c r="AD192" s="112">
        <f>VERW_Project!L19</f>
        <v>5700240</v>
      </c>
      <c r="AE192" s="112">
        <f>IF(AND(VERW_Project!$A19&lt;&gt;"",ISNUMBER(AD192)),1,0)</f>
        <v>1</v>
      </c>
      <c r="AF192" s="112">
        <f>IF(AE192=1,SUM($AE$8:AE192),"")</f>
        <v>185</v>
      </c>
      <c r="AG192">
        <f>IFERROR(MATCH(185,$AF$8:$AF$1407,0),"")</f>
        <v>185</v>
      </c>
    </row>
    <row r="193">
      <c r="A193" s="92" t="str">
        <f>IF($AG193="","",P_ImportID)</f>
        <v>IMP-2026-Q3-01</v>
      </c>
      <c r="B193" s="92" t="str">
        <f>IF($AG193="","",IF(INDEX($AN$8:$AN$21,INDEX($AC$8:$AC$1407,$AG193)+1)="Z",P_BronZ,P_BronE))</f>
        <v>ZPMW03_FICTIEF_20_projecten.xlsx</v>
      </c>
      <c r="C193" s="108">
        <f>IF($AG193="","",P_Importdatum)</f>
        <v>46324.0</v>
      </c>
      <c r="D193" s="92" t="str">
        <f>IF($AG193="","",P_StatusVastleg)</f>
        <v>Vastgesteld</v>
      </c>
      <c r="E193" s="92">
        <f>IF($AG193="","",P_UploadVJ)</f>
        <v>2026</v>
      </c>
      <c r="F193" s="92" t="str">
        <f>IF($AG193="","",P_UploadVersie)</f>
        <v>Q3</v>
      </c>
      <c r="G193" s="92">
        <f>IF($AG193="","",IF(COUNTIFS(L_Sleutel,$S193,L_Status,"Vastgesteld")=0,0,_xlfn.MAXIFS(L_Revisie,L_Sleutel,$S193,L_Status,"Vastgesteld")+1))</f>
        <v>1</v>
      </c>
      <c r="H193" s="108">
        <f>IF($AG193="","",P_Peildatum)</f>
        <v>46295.0</v>
      </c>
      <c r="I193" s="92">
        <f>IF($AG193="","",P_RJ+INDEX($AK$8:$AK$21,INDEX($AC$8:$AC$1407,$AG193)+1))</f>
        <v>2026</v>
      </c>
      <c r="J193" s="92" t="str">
        <f>IF($AG193="","",INDEX(V_WBS,INDEX($AB$8:$AB$1407,$AG193)))</f>
        <v>G.900014.8.9090</v>
      </c>
      <c r="K193" s="92" t="str">
        <f>IF($AG193="","",INDEX(V_Projdef,INDEX($AB$8:$AB$1407,$AG193)))</f>
        <v>G.900014</v>
      </c>
      <c r="L193" s="92" t="str">
        <f>IF($AG193="","",INDEX(V_Naam,INDEX($AB$8:$AB$1407,$AG193)))</f>
        <v>Rietdam, Rietoevers</v>
      </c>
      <c r="M193" s="92" t="str">
        <f>IF($AG193="","",INDEX(V_Type,INDEX($AB$8:$AB$1407,$AG193)))</f>
        <v>Opstal</v>
      </c>
      <c r="N193" s="92" t="str">
        <f>IF($AG193="","",INDEX(V_IFRS,INDEX($AB$8:$AB$1407,$AG193)))</f>
        <v>J</v>
      </c>
      <c r="O193" s="92" t="str">
        <f>IF($AG193="","",INDEX($AL$8:$AL$21,INDEX($AC$8:$AC$1407,$AG193)+1))</f>
        <v>BOR actual YTD</v>
      </c>
      <c r="P193" s="109">
        <f>IF($AG193="","",INDEX($AD$8:$AD$1407,$AG193))</f>
        <v>627026.4</v>
      </c>
      <c r="Q193" s="92" t="str">
        <f>IF($AG193="","",INDEX($AM$8:$AM$21,INDEX($AC$8:$AC$1407,$AG193)+1))</f>
        <v>EUR</v>
      </c>
      <c r="R193" s="92" t="str">
        <f>IF($AG193="","",IF($G193&gt;0,P_ToelCorrectie&amp;"",""))</f>
        <v/>
      </c>
      <c r="S193" s="15" t="str">
        <f>IF(J193="","",J193&amp;"|"&amp;E193&amp;"|"&amp;F193&amp;"|"&amp;I193&amp;"|"&amp;O193)</f>
        <v>G.900014.8.9090|2026|Q3|2026|BOR actual YTD</v>
      </c>
      <c r="T193" s="111">
        <f>IF(S193="","",IF(COUNTIFS(L_Sleutel,S193,L_Actief,1)=0,"",SUMIFS(L_Waarde,L_Sleutel,S193,L_Actief,1)))</f>
        <v>627026.4</v>
      </c>
      <c r="U193" s="111">
        <f>IF(OR(S193="",T193=""),0,P193-T193)</f>
        <v>0</v>
      </c>
      <c r="AB193" s="112" t="n">
        <v>14</v>
      </c>
      <c r="AC193" s="112" t="n">
        <v>3</v>
      </c>
      <c r="AD193" s="112">
        <f>VERW_Project!M19</f>
        <v>627026.4</v>
      </c>
      <c r="AE193" s="112">
        <f>IF(AND(VERW_Project!$A19&lt;&gt;"",ISNUMBER(AD193)),1,0)</f>
        <v>1</v>
      </c>
      <c r="AF193" s="112">
        <f>IF(AE193=1,SUM($AE$8:AE193),"")</f>
        <v>186</v>
      </c>
      <c r="AG193">
        <f>IFERROR(MATCH(186,$AF$8:$AF$1407,0),"")</f>
        <v>186</v>
      </c>
    </row>
    <row r="194">
      <c r="A194" s="92" t="str">
        <f>IF($AG194="","",P_ImportID)</f>
        <v>IMP-2026-Q3-01</v>
      </c>
      <c r="B194" s="92" t="str">
        <f>IF($AG194="","",IF(INDEX($AN$8:$AN$21,INDEX($AC$8:$AC$1407,$AG194)+1)="Z",P_BronZ,P_BronE))</f>
        <v>ZPMW03_FICTIEF_20_projecten.xlsx</v>
      </c>
      <c r="C194" s="108">
        <f>IF($AG194="","",P_Importdatum)</f>
        <v>46324.0</v>
      </c>
      <c r="D194" s="92" t="str">
        <f>IF($AG194="","",P_StatusVastleg)</f>
        <v>Vastgesteld</v>
      </c>
      <c r="E194" s="92">
        <f>IF($AG194="","",P_UploadVJ)</f>
        <v>2026</v>
      </c>
      <c r="F194" s="92" t="str">
        <f>IF($AG194="","",P_UploadVersie)</f>
        <v>Q3</v>
      </c>
      <c r="G194" s="92">
        <f>IF($AG194="","",IF(COUNTIFS(L_Sleutel,$S194,L_Status,"Vastgesteld")=0,0,_xlfn.MAXIFS(L_Revisie,L_Sleutel,$S194,L_Status,"Vastgesteld")+1))</f>
        <v>1</v>
      </c>
      <c r="H194" s="108">
        <f>IF($AG194="","",P_Peildatum)</f>
        <v>46295.0</v>
      </c>
      <c r="I194" s="92">
        <f>IF($AG194="","",P_RJ+INDEX($AK$8:$AK$21,INDEX($AC$8:$AC$1407,$AG194)+1))</f>
        <v>2027</v>
      </c>
      <c r="J194" s="92" t="str">
        <f>IF($AG194="","",INDEX(V_WBS,INDEX($AB$8:$AB$1407,$AG194)))</f>
        <v>G.900014.8.9090</v>
      </c>
      <c r="K194" s="92" t="str">
        <f>IF($AG194="","",INDEX(V_Projdef,INDEX($AB$8:$AB$1407,$AG194)))</f>
        <v>G.900014</v>
      </c>
      <c r="L194" s="92" t="str">
        <f>IF($AG194="","",INDEX(V_Naam,INDEX($AB$8:$AB$1407,$AG194)))</f>
        <v>Rietdam, Rietoevers</v>
      </c>
      <c r="M194" s="92" t="str">
        <f>IF($AG194="","",INDEX(V_Type,INDEX($AB$8:$AB$1407,$AG194)))</f>
        <v>Opstal</v>
      </c>
      <c r="N194" s="92" t="str">
        <f>IF($AG194="","",INDEX(V_IFRS,INDEX($AB$8:$AB$1407,$AG194)))</f>
        <v>J</v>
      </c>
      <c r="O194" s="92" t="str">
        <f>IF($AG194="","",INDEX($AL$8:$AL$21,INDEX($AC$8:$AC$1407,$AG194)+1))</f>
        <v>Omzet FY</v>
      </c>
      <c r="P194" s="109">
        <f>IF($AG194="","",INDEX($AD$8:$AD$1407,$AG194))</f>
        <v>7871760</v>
      </c>
      <c r="Q194" s="92" t="str">
        <f>IF($AG194="","",INDEX($AM$8:$AM$21,INDEX($AC$8:$AC$1407,$AG194)+1))</f>
        <v>EUR</v>
      </c>
      <c r="R194" s="92" t="str">
        <f>IF($AG194="","",IF($G194&gt;0,P_ToelCorrectie&amp;"",""))</f>
        <v/>
      </c>
      <c r="S194" s="15" t="str">
        <f>IF(J194="","",J194&amp;"|"&amp;E194&amp;"|"&amp;F194&amp;"|"&amp;I194&amp;"|"&amp;O194)</f>
        <v>G.900014.8.9090|2026|Q3|2027|Omzet FY</v>
      </c>
      <c r="T194" s="111">
        <f>IF(S194="","",IF(COUNTIFS(L_Sleutel,S194,L_Actief,1)=0,"",SUMIFS(L_Waarde,L_Sleutel,S194,L_Actief,1)))</f>
        <v>7871760</v>
      </c>
      <c r="U194" s="111">
        <f>IF(OR(S194="",T194=""),0,P194-T194)</f>
        <v>0</v>
      </c>
      <c r="AB194" s="112" t="n">
        <v>14</v>
      </c>
      <c r="AC194" s="112" t="n">
        <v>4</v>
      </c>
      <c r="AD194" s="112">
        <f>VERW_Project!R19</f>
        <v>7871760</v>
      </c>
      <c r="AE194" s="112">
        <f>IF(AND(VERW_Project!$A19&lt;&gt;"",ISNUMBER(AD194)),1,0)</f>
        <v>1</v>
      </c>
      <c r="AF194" s="112">
        <f>IF(AE194=1,SUM($AE$8:AE194),"")</f>
        <v>187</v>
      </c>
      <c r="AG194">
        <f>IFERROR(MATCH(187,$AF$8:$AF$1407,0),"")</f>
        <v>187</v>
      </c>
    </row>
    <row r="195">
      <c r="A195" s="92" t="str">
        <f>IF($AG195="","",P_ImportID)</f>
        <v>IMP-2026-Q3-01</v>
      </c>
      <c r="B195" s="92" t="str">
        <f>IF($AG195="","",IF(INDEX($AN$8:$AN$21,INDEX($AC$8:$AC$1407,$AG195)+1)="Z",P_BronZ,P_BronE))</f>
        <v>ZPMW03_FICTIEF_20_projecten.xlsx</v>
      </c>
      <c r="C195" s="108">
        <f>IF($AG195="","",P_Importdatum)</f>
        <v>46324.0</v>
      </c>
      <c r="D195" s="92" t="str">
        <f>IF($AG195="","",P_StatusVastleg)</f>
        <v>Vastgesteld</v>
      </c>
      <c r="E195" s="92">
        <f>IF($AG195="","",P_UploadVJ)</f>
        <v>2026</v>
      </c>
      <c r="F195" s="92" t="str">
        <f>IF($AG195="","",P_UploadVersie)</f>
        <v>Q3</v>
      </c>
      <c r="G195" s="92">
        <f>IF($AG195="","",IF(COUNTIFS(L_Sleutel,$S195,L_Status,"Vastgesteld")=0,0,_xlfn.MAXIFS(L_Revisie,L_Sleutel,$S195,L_Status,"Vastgesteld")+1))</f>
        <v>1</v>
      </c>
      <c r="H195" s="108">
        <f>IF($AG195="","",P_Peildatum)</f>
        <v>46295.0</v>
      </c>
      <c r="I195" s="92">
        <f>IF($AG195="","",P_RJ+INDEX($AK$8:$AK$21,INDEX($AC$8:$AC$1407,$AG195)+1))</f>
        <v>2027</v>
      </c>
      <c r="J195" s="92" t="str">
        <f>IF($AG195="","",INDEX(V_WBS,INDEX($AB$8:$AB$1407,$AG195)))</f>
        <v>G.900014.8.9090</v>
      </c>
      <c r="K195" s="92" t="str">
        <f>IF($AG195="","",INDEX(V_Projdef,INDEX($AB$8:$AB$1407,$AG195)))</f>
        <v>G.900014</v>
      </c>
      <c r="L195" s="92" t="str">
        <f>IF($AG195="","",INDEX(V_Naam,INDEX($AB$8:$AB$1407,$AG195)))</f>
        <v>Rietdam, Rietoevers</v>
      </c>
      <c r="M195" s="92" t="str">
        <f>IF($AG195="","",INDEX(V_Type,INDEX($AB$8:$AB$1407,$AG195)))</f>
        <v>Opstal</v>
      </c>
      <c r="N195" s="92" t="str">
        <f>IF($AG195="","",INDEX(V_IFRS,INDEX($AB$8:$AB$1407,$AG195)))</f>
        <v>J</v>
      </c>
      <c r="O195" s="92" t="str">
        <f>IF($AG195="","",INDEX($AL$8:$AL$21,INDEX($AC$8:$AC$1407,$AG195)+1))</f>
        <v>BOR FY</v>
      </c>
      <c r="P195" s="109">
        <f>IF($AG195="","",INDEX($AD$8:$AD$1407,$AG195))</f>
        <v>865893.6</v>
      </c>
      <c r="Q195" s="92" t="str">
        <f>IF($AG195="","",INDEX($AM$8:$AM$21,INDEX($AC$8:$AC$1407,$AG195)+1))</f>
        <v>EUR</v>
      </c>
      <c r="R195" s="92" t="str">
        <f>IF($AG195="","",IF($G195&gt;0,P_ToelCorrectie&amp;"",""))</f>
        <v/>
      </c>
      <c r="S195" s="15" t="str">
        <f>IF(J195="","",J195&amp;"|"&amp;E195&amp;"|"&amp;F195&amp;"|"&amp;I195&amp;"|"&amp;O195)</f>
        <v>G.900014.8.9090|2026|Q3|2027|BOR FY</v>
      </c>
      <c r="T195" s="111">
        <f>IF(S195="","",IF(COUNTIFS(L_Sleutel,S195,L_Actief,1)=0,"",SUMIFS(L_Waarde,L_Sleutel,S195,L_Actief,1)))</f>
        <v>865893.6</v>
      </c>
      <c r="U195" s="111">
        <f>IF(OR(S195="",T195=""),0,P195-T195)</f>
        <v>0</v>
      </c>
      <c r="AB195" s="112" t="n">
        <v>14</v>
      </c>
      <c r="AC195" s="112" t="n">
        <v>5</v>
      </c>
      <c r="AD195" s="112">
        <f>VERW_Project!S19</f>
        <v>865893.6</v>
      </c>
      <c r="AE195" s="112">
        <f>IF(AND(VERW_Project!$A19&lt;&gt;"",ISNUMBER(AD195)),1,0)</f>
        <v>1</v>
      </c>
      <c r="AF195" s="112">
        <f>IF(AE195=1,SUM($AE$8:AE195),"")</f>
        <v>188</v>
      </c>
      <c r="AG195">
        <f>IFERROR(MATCH(188,$AF$8:$AF$1407,0),"")</f>
        <v>188</v>
      </c>
    </row>
    <row r="196">
      <c r="A196" s="92" t="str">
        <f>IF($AG196="","",P_ImportID)</f>
        <v>IMP-2026-Q3-01</v>
      </c>
      <c r="B196" s="92" t="str">
        <f>IF($AG196="","",IF(INDEX($AN$8:$AN$21,INDEX($AC$8:$AC$1407,$AG196)+1)="Z",P_BronZ,P_BronE))</f>
        <v>Woningetalage_FICTIEF_20_projecten.xlsx</v>
      </c>
      <c r="C196" s="108">
        <f>IF($AG196="","",P_Importdatum)</f>
        <v>46324.0</v>
      </c>
      <c r="D196" s="92" t="str">
        <f>IF($AG196="","",P_StatusVastleg)</f>
        <v>Vastgesteld</v>
      </c>
      <c r="E196" s="92">
        <f>IF($AG196="","",P_UploadVJ)</f>
        <v>2026</v>
      </c>
      <c r="F196" s="92" t="str">
        <f>IF($AG196="","",P_UploadVersie)</f>
        <v>Q3</v>
      </c>
      <c r="G196" s="92">
        <f>IF($AG196="","",IF(COUNTIFS(L_Sleutel,$S196,L_Status,"Vastgesteld")=0,0,_xlfn.MAXIFS(L_Revisie,L_Sleutel,$S196,L_Status,"Vastgesteld")+1))</f>
        <v>1</v>
      </c>
      <c r="H196" s="108">
        <f>IF($AG196="","",P_Peildatum)</f>
        <v>46295.0</v>
      </c>
      <c r="I196" s="92">
        <f>IF($AG196="","",P_RJ+INDEX($AK$8:$AK$21,INDEX($AC$8:$AC$1407,$AG196)+1))</f>
        <v>2026</v>
      </c>
      <c r="J196" s="92" t="str">
        <f>IF($AG196="","",INDEX(V_WBS,INDEX($AB$8:$AB$1407,$AG196)))</f>
        <v>G.900014.8.9090</v>
      </c>
      <c r="K196" s="92" t="str">
        <f>IF($AG196="","",INDEX(V_Projdef,INDEX($AB$8:$AB$1407,$AG196)))</f>
        <v>G.900014</v>
      </c>
      <c r="L196" s="92" t="str">
        <f>IF($AG196="","",INDEX(V_Naam,INDEX($AB$8:$AB$1407,$AG196)))</f>
        <v>Rietdam, Rietoevers</v>
      </c>
      <c r="M196" s="92" t="str">
        <f>IF($AG196="","",INDEX(V_Type,INDEX($AB$8:$AB$1407,$AG196)))</f>
        <v>Opstal</v>
      </c>
      <c r="N196" s="92" t="str">
        <f>IF($AG196="","",INDEX(V_IFRS,INDEX($AB$8:$AB$1407,$AG196)))</f>
        <v>J</v>
      </c>
      <c r="O196" s="92" t="str">
        <f>IF($AG196="","",INDEX($AL$8:$AL$21,INDEX($AC$8:$AC$1407,$AG196)+1))</f>
        <v>Woningverkopen FY</v>
      </c>
      <c r="P196" s="109">
        <f>IF($AG196="","",INDEX($AD$8:$AD$1407,$AG196))</f>
        <v>24</v>
      </c>
      <c r="Q196" s="92" t="str">
        <f>IF($AG196="","",INDEX($AM$8:$AM$21,INDEX($AC$8:$AC$1407,$AG196)+1))</f>
        <v>aantal</v>
      </c>
      <c r="R196" s="92" t="str">
        <f>IF($AG196="","",IF($G196&gt;0,P_ToelCorrectie&amp;"",""))</f>
        <v/>
      </c>
      <c r="S196" s="15" t="str">
        <f>IF(J196="","",J196&amp;"|"&amp;E196&amp;"|"&amp;F196&amp;"|"&amp;I196&amp;"|"&amp;O196)</f>
        <v>G.900014.8.9090|2026|Q3|2026|Woningverkopen FY</v>
      </c>
      <c r="T196" s="111">
        <f>IF(S196="","",IF(COUNTIFS(L_Sleutel,S196,L_Actief,1)=0,"",SUMIFS(L_Waarde,L_Sleutel,S196,L_Actief,1)))</f>
        <v>24</v>
      </c>
      <c r="U196" s="111">
        <f>IF(OR(S196="",T196=""),0,P196-T196)</f>
        <v>0</v>
      </c>
      <c r="AB196" s="112" t="n">
        <v>14</v>
      </c>
      <c r="AC196" s="112" t="n">
        <v>6</v>
      </c>
      <c r="AD196" s="112">
        <f>VERW_Project!BW19</f>
        <v>24</v>
      </c>
      <c r="AE196" s="112">
        <f>IF(AND(VERW_Project!$A19&lt;&gt;"",ISNUMBER(AD196)),1,0)</f>
        <v>1</v>
      </c>
      <c r="AF196" s="112">
        <f>IF(AE196=1,SUM($AE$8:AE196),"")</f>
        <v>189</v>
      </c>
      <c r="AG196">
        <f>IFERROR(MATCH(189,$AF$8:$AF$1407,0),"")</f>
        <v>189</v>
      </c>
    </row>
    <row r="197">
      <c r="A197" s="92" t="str">
        <f>IF($AG197="","",P_ImportID)</f>
        <v>IMP-2026-Q3-01</v>
      </c>
      <c r="B197" s="92" t="str">
        <f>IF($AG197="","",IF(INDEX($AN$8:$AN$21,INDEX($AC$8:$AC$1407,$AG197)+1)="Z",P_BronZ,P_BronE))</f>
        <v>Woningetalage_FICTIEF_20_projecten.xlsx</v>
      </c>
      <c r="C197" s="108">
        <f>IF($AG197="","",P_Importdatum)</f>
        <v>46324.0</v>
      </c>
      <c r="D197" s="92" t="str">
        <f>IF($AG197="","",P_StatusVastleg)</f>
        <v>Vastgesteld</v>
      </c>
      <c r="E197" s="92">
        <f>IF($AG197="","",P_UploadVJ)</f>
        <v>2026</v>
      </c>
      <c r="F197" s="92" t="str">
        <f>IF($AG197="","",P_UploadVersie)</f>
        <v>Q3</v>
      </c>
      <c r="G197" s="92">
        <f>IF($AG197="","",IF(COUNTIFS(L_Sleutel,$S197,L_Status,"Vastgesteld")=0,0,_xlfn.MAXIFS(L_Revisie,L_Sleutel,$S197,L_Status,"Vastgesteld")+1))</f>
        <v>1</v>
      </c>
      <c r="H197" s="108">
        <f>IF($AG197="","",P_Peildatum)</f>
        <v>46295.0</v>
      </c>
      <c r="I197" s="92">
        <f>IF($AG197="","",P_RJ+INDEX($AK$8:$AK$21,INDEX($AC$8:$AC$1407,$AG197)+1))</f>
        <v>2026</v>
      </c>
      <c r="J197" s="92" t="str">
        <f>IF($AG197="","",INDEX(V_WBS,INDEX($AB$8:$AB$1407,$AG197)))</f>
        <v>G.900014.8.9090</v>
      </c>
      <c r="K197" s="92" t="str">
        <f>IF($AG197="","",INDEX(V_Projdef,INDEX($AB$8:$AB$1407,$AG197)))</f>
        <v>G.900014</v>
      </c>
      <c r="L197" s="92" t="str">
        <f>IF($AG197="","",INDEX(V_Naam,INDEX($AB$8:$AB$1407,$AG197)))</f>
        <v>Rietdam, Rietoevers</v>
      </c>
      <c r="M197" s="92" t="str">
        <f>IF($AG197="","",INDEX(V_Type,INDEX($AB$8:$AB$1407,$AG197)))</f>
        <v>Opstal</v>
      </c>
      <c r="N197" s="92" t="str">
        <f>IF($AG197="","",INDEX(V_IFRS,INDEX($AB$8:$AB$1407,$AG197)))</f>
        <v>J</v>
      </c>
      <c r="O197" s="92" t="str">
        <f>IF($AG197="","",INDEX($AL$8:$AL$21,INDEX($AC$8:$AC$1407,$AG197)+1))</f>
        <v>Woningen verkocht t/m vorig jaar</v>
      </c>
      <c r="P197" s="109">
        <f>IF($AG197="","",INDEX($AD$8:$AD$1407,$AG197))</f>
        <v>0</v>
      </c>
      <c r="Q197" s="92" t="str">
        <f>IF($AG197="","",INDEX($AM$8:$AM$21,INDEX($AC$8:$AC$1407,$AG197)+1))</f>
        <v>aantal</v>
      </c>
      <c r="R197" s="92" t="str">
        <f>IF($AG197="","",IF($G197&gt;0,P_ToelCorrectie&amp;"",""))</f>
        <v/>
      </c>
      <c r="S197" s="15" t="str">
        <f>IF(J197="","",J197&amp;"|"&amp;E197&amp;"|"&amp;F197&amp;"|"&amp;I197&amp;"|"&amp;O197)</f>
        <v>G.900014.8.9090|2026|Q3|2026|Woningen verkocht t/m vorig jaar</v>
      </c>
      <c r="T197" s="111">
        <f>IF(S197="","",IF(COUNTIFS(L_Sleutel,S197,L_Actief,1)=0,"",SUMIFS(L_Waarde,L_Sleutel,S197,L_Actief,1)))</f>
        <v>0</v>
      </c>
      <c r="U197" s="111">
        <f>IF(OR(S197="",T197=""),0,P197-T197)</f>
        <v>0</v>
      </c>
      <c r="AB197" s="112" t="n">
        <v>14</v>
      </c>
      <c r="AC197" s="112" t="n">
        <v>7</v>
      </c>
      <c r="AD197" s="112">
        <f>VERW_Project!AW19</f>
        <v>0</v>
      </c>
      <c r="AE197" s="112">
        <f>IF(AND(VERW_Project!$A19&lt;&gt;"",ISNUMBER(AD197)),1,0)</f>
        <v>1</v>
      </c>
      <c r="AF197" s="112">
        <f>IF(AE197=1,SUM($AE$8:AE197),"")</f>
        <v>190</v>
      </c>
      <c r="AG197">
        <f>IFERROR(MATCH(190,$AF$8:$AF$1407,0),"")</f>
        <v>190</v>
      </c>
    </row>
    <row r="198">
      <c r="A198" s="92" t="str">
        <f>IF($AG198="","",P_ImportID)</f>
        <v>IMP-2026-Q3-01</v>
      </c>
      <c r="B198" s="92" t="str">
        <f>IF($AG198="","",IF(INDEX($AN$8:$AN$21,INDEX($AC$8:$AC$1407,$AG198)+1)="Z",P_BronZ,P_BronE))</f>
        <v>Woningetalage_FICTIEF_20_projecten.xlsx</v>
      </c>
      <c r="C198" s="108">
        <f>IF($AG198="","",P_Importdatum)</f>
        <v>46324.0</v>
      </c>
      <c r="D198" s="92" t="str">
        <f>IF($AG198="","",P_StatusVastleg)</f>
        <v>Vastgesteld</v>
      </c>
      <c r="E198" s="92">
        <f>IF($AG198="","",P_UploadVJ)</f>
        <v>2026</v>
      </c>
      <c r="F198" s="92" t="str">
        <f>IF($AG198="","",P_UploadVersie)</f>
        <v>Q3</v>
      </c>
      <c r="G198" s="92">
        <f>IF($AG198="","",IF(COUNTIFS(L_Sleutel,$S198,L_Status,"Vastgesteld")=0,0,_xlfn.MAXIFS(L_Revisie,L_Sleutel,$S198,L_Status,"Vastgesteld")+1))</f>
        <v>1</v>
      </c>
      <c r="H198" s="108">
        <f>IF($AG198="","",P_Peildatum)</f>
        <v>46295.0</v>
      </c>
      <c r="I198" s="92">
        <f>IF($AG198="","",P_RJ+INDEX($AK$8:$AK$21,INDEX($AC$8:$AC$1407,$AG198)+1))</f>
        <v>2026</v>
      </c>
      <c r="J198" s="92" t="str">
        <f>IF($AG198="","",INDEX(V_WBS,INDEX($AB$8:$AB$1407,$AG198)))</f>
        <v>G.900014.8.9090</v>
      </c>
      <c r="K198" s="92" t="str">
        <f>IF($AG198="","",INDEX(V_Projdef,INDEX($AB$8:$AB$1407,$AG198)))</f>
        <v>G.900014</v>
      </c>
      <c r="L198" s="92" t="str">
        <f>IF($AG198="","",INDEX(V_Naam,INDEX($AB$8:$AB$1407,$AG198)))</f>
        <v>Rietdam, Rietoevers</v>
      </c>
      <c r="M198" s="92" t="str">
        <f>IF($AG198="","",INDEX(V_Type,INDEX($AB$8:$AB$1407,$AG198)))</f>
        <v>Opstal</v>
      </c>
      <c r="N198" s="92" t="str">
        <f>IF($AG198="","",INDEX(V_IFRS,INDEX($AB$8:$AB$1407,$AG198)))</f>
        <v>J</v>
      </c>
      <c r="O198" s="92" t="str">
        <f>IF($AG198="","",INDEX($AL$8:$AL$21,INDEX($AC$8:$AC$1407,$AG198)+1))</f>
        <v>Woningverkopen Q1</v>
      </c>
      <c r="P198" s="109">
        <f>IF($AG198="","",INDEX($AD$8:$AD$1407,$AG198))</f>
        <v>4</v>
      </c>
      <c r="Q198" s="92" t="str">
        <f>IF($AG198="","",INDEX($AM$8:$AM$21,INDEX($AC$8:$AC$1407,$AG198)+1))</f>
        <v>aantal</v>
      </c>
      <c r="R198" s="92" t="str">
        <f>IF($AG198="","",IF($G198&gt;0,P_ToelCorrectie&amp;"",""))</f>
        <v/>
      </c>
      <c r="S198" s="15" t="str">
        <f>IF(J198="","",J198&amp;"|"&amp;E198&amp;"|"&amp;F198&amp;"|"&amp;I198&amp;"|"&amp;O198)</f>
        <v>G.900014.8.9090|2026|Q3|2026|Woningverkopen Q1</v>
      </c>
      <c r="T198" s="111">
        <f>IF(S198="","",IF(COUNTIFS(L_Sleutel,S198,L_Actief,1)=0,"",SUMIFS(L_Waarde,L_Sleutel,S198,L_Actief,1)))</f>
        <v>4</v>
      </c>
      <c r="U198" s="111">
        <f>IF(OR(S198="",T198=""),0,P198-T198)</f>
        <v>0</v>
      </c>
      <c r="AB198" s="112" t="n">
        <v>14</v>
      </c>
      <c r="AC198" s="112" t="n">
        <v>8</v>
      </c>
      <c r="AD198" s="112">
        <f>VERW_Project!BQ19</f>
        <v>4</v>
      </c>
      <c r="AE198" s="112">
        <f>IF(AND(VERW_Project!$A19&lt;&gt;"",ISNUMBER(AD198)),1,0)</f>
        <v>1</v>
      </c>
      <c r="AF198" s="112">
        <f>IF(AE198=1,SUM($AE$8:AE198),"")</f>
        <v>191</v>
      </c>
      <c r="AG198">
        <f>IFERROR(MATCH(191,$AF$8:$AF$1407,0),"")</f>
        <v>191</v>
      </c>
    </row>
    <row r="199">
      <c r="A199" s="92" t="str">
        <f>IF($AG199="","",P_ImportID)</f>
        <v>IMP-2026-Q3-01</v>
      </c>
      <c r="B199" s="92" t="str">
        <f>IF($AG199="","",IF(INDEX($AN$8:$AN$21,INDEX($AC$8:$AC$1407,$AG199)+1)="Z",P_BronZ,P_BronE))</f>
        <v>Woningetalage_FICTIEF_20_projecten.xlsx</v>
      </c>
      <c r="C199" s="108">
        <f>IF($AG199="","",P_Importdatum)</f>
        <v>46324.0</v>
      </c>
      <c r="D199" s="92" t="str">
        <f>IF($AG199="","",P_StatusVastleg)</f>
        <v>Vastgesteld</v>
      </c>
      <c r="E199" s="92">
        <f>IF($AG199="","",P_UploadVJ)</f>
        <v>2026</v>
      </c>
      <c r="F199" s="92" t="str">
        <f>IF($AG199="","",P_UploadVersie)</f>
        <v>Q3</v>
      </c>
      <c r="G199" s="92">
        <f>IF($AG199="","",IF(COUNTIFS(L_Sleutel,$S199,L_Status,"Vastgesteld")=0,0,_xlfn.MAXIFS(L_Revisie,L_Sleutel,$S199,L_Status,"Vastgesteld")+1))</f>
        <v>1</v>
      </c>
      <c r="H199" s="108">
        <f>IF($AG199="","",P_Peildatum)</f>
        <v>46295.0</v>
      </c>
      <c r="I199" s="92">
        <f>IF($AG199="","",P_RJ+INDEX($AK$8:$AK$21,INDEX($AC$8:$AC$1407,$AG199)+1))</f>
        <v>2026</v>
      </c>
      <c r="J199" s="92" t="str">
        <f>IF($AG199="","",INDEX(V_WBS,INDEX($AB$8:$AB$1407,$AG199)))</f>
        <v>G.900014.8.9090</v>
      </c>
      <c r="K199" s="92" t="str">
        <f>IF($AG199="","",INDEX(V_Projdef,INDEX($AB$8:$AB$1407,$AG199)))</f>
        <v>G.900014</v>
      </c>
      <c r="L199" s="92" t="str">
        <f>IF($AG199="","",INDEX(V_Naam,INDEX($AB$8:$AB$1407,$AG199)))</f>
        <v>Rietdam, Rietoevers</v>
      </c>
      <c r="M199" s="92" t="str">
        <f>IF($AG199="","",INDEX(V_Type,INDEX($AB$8:$AB$1407,$AG199)))</f>
        <v>Opstal</v>
      </c>
      <c r="N199" s="92" t="str">
        <f>IF($AG199="","",INDEX(V_IFRS,INDEX($AB$8:$AB$1407,$AG199)))</f>
        <v>J</v>
      </c>
      <c r="O199" s="92" t="str">
        <f>IF($AG199="","",INDEX($AL$8:$AL$21,INDEX($AC$8:$AC$1407,$AG199)+1))</f>
        <v>Woningverkopen Q2</v>
      </c>
      <c r="P199" s="109">
        <f>IF($AG199="","",INDEX($AD$8:$AD$1407,$AG199))</f>
        <v>7</v>
      </c>
      <c r="Q199" s="92" t="str">
        <f>IF($AG199="","",INDEX($AM$8:$AM$21,INDEX($AC$8:$AC$1407,$AG199)+1))</f>
        <v>aantal</v>
      </c>
      <c r="R199" s="92" t="str">
        <f>IF($AG199="","",IF($G199&gt;0,P_ToelCorrectie&amp;"",""))</f>
        <v/>
      </c>
      <c r="S199" s="15" t="str">
        <f>IF(J199="","",J199&amp;"|"&amp;E199&amp;"|"&amp;F199&amp;"|"&amp;I199&amp;"|"&amp;O199)</f>
        <v>G.900014.8.9090|2026|Q3|2026|Woningverkopen Q2</v>
      </c>
      <c r="T199" s="111">
        <f>IF(S199="","",IF(COUNTIFS(L_Sleutel,S199,L_Actief,1)=0,"",SUMIFS(L_Waarde,L_Sleutel,S199,L_Actief,1)))</f>
        <v>7</v>
      </c>
      <c r="U199" s="111">
        <f>IF(OR(S199="",T199=""),0,P199-T199)</f>
        <v>0</v>
      </c>
      <c r="AB199" s="112" t="n">
        <v>14</v>
      </c>
      <c r="AC199" s="112" t="n">
        <v>9</v>
      </c>
      <c r="AD199" s="112">
        <f>VERW_Project!BR19</f>
        <v>7</v>
      </c>
      <c r="AE199" s="112">
        <f>IF(AND(VERW_Project!$A19&lt;&gt;"",ISNUMBER(AD199)),1,0)</f>
        <v>1</v>
      </c>
      <c r="AF199" s="112">
        <f>IF(AE199=1,SUM($AE$8:AE199),"")</f>
        <v>192</v>
      </c>
      <c r="AG199">
        <f>IFERROR(MATCH(192,$AF$8:$AF$1407,0),"")</f>
        <v>192</v>
      </c>
    </row>
    <row r="200">
      <c r="A200" s="92" t="str">
        <f>IF($AG200="","",P_ImportID)</f>
        <v>IMP-2026-Q3-01</v>
      </c>
      <c r="B200" s="92" t="str">
        <f>IF($AG200="","",IF(INDEX($AN$8:$AN$21,INDEX($AC$8:$AC$1407,$AG200)+1)="Z",P_BronZ,P_BronE))</f>
        <v>Woningetalage_FICTIEF_20_projecten.xlsx</v>
      </c>
      <c r="C200" s="108">
        <f>IF($AG200="","",P_Importdatum)</f>
        <v>46324.0</v>
      </c>
      <c r="D200" s="92" t="str">
        <f>IF($AG200="","",P_StatusVastleg)</f>
        <v>Vastgesteld</v>
      </c>
      <c r="E200" s="92">
        <f>IF($AG200="","",P_UploadVJ)</f>
        <v>2026</v>
      </c>
      <c r="F200" s="92" t="str">
        <f>IF($AG200="","",P_UploadVersie)</f>
        <v>Q3</v>
      </c>
      <c r="G200" s="92">
        <f>IF($AG200="","",IF(COUNTIFS(L_Sleutel,$S200,L_Status,"Vastgesteld")=0,0,_xlfn.MAXIFS(L_Revisie,L_Sleutel,$S200,L_Status,"Vastgesteld")+1))</f>
        <v>1</v>
      </c>
      <c r="H200" s="108">
        <f>IF($AG200="","",P_Peildatum)</f>
        <v>46295.0</v>
      </c>
      <c r="I200" s="92">
        <f>IF($AG200="","",P_RJ+INDEX($AK$8:$AK$21,INDEX($AC$8:$AC$1407,$AG200)+1))</f>
        <v>2026</v>
      </c>
      <c r="J200" s="92" t="str">
        <f>IF($AG200="","",INDEX(V_WBS,INDEX($AB$8:$AB$1407,$AG200)))</f>
        <v>G.900014.8.9090</v>
      </c>
      <c r="K200" s="92" t="str">
        <f>IF($AG200="","",INDEX(V_Projdef,INDEX($AB$8:$AB$1407,$AG200)))</f>
        <v>G.900014</v>
      </c>
      <c r="L200" s="92" t="str">
        <f>IF($AG200="","",INDEX(V_Naam,INDEX($AB$8:$AB$1407,$AG200)))</f>
        <v>Rietdam, Rietoevers</v>
      </c>
      <c r="M200" s="92" t="str">
        <f>IF($AG200="","",INDEX(V_Type,INDEX($AB$8:$AB$1407,$AG200)))</f>
        <v>Opstal</v>
      </c>
      <c r="N200" s="92" t="str">
        <f>IF($AG200="","",INDEX(V_IFRS,INDEX($AB$8:$AB$1407,$AG200)))</f>
        <v>J</v>
      </c>
      <c r="O200" s="92" t="str">
        <f>IF($AG200="","",INDEX($AL$8:$AL$21,INDEX($AC$8:$AC$1407,$AG200)+1))</f>
        <v>Woningverkopen Q3</v>
      </c>
      <c r="P200" s="109">
        <f>IF($AG200="","",INDEX($AD$8:$AD$1407,$AG200))</f>
        <v>7</v>
      </c>
      <c r="Q200" s="92" t="str">
        <f>IF($AG200="","",INDEX($AM$8:$AM$21,INDEX($AC$8:$AC$1407,$AG200)+1))</f>
        <v>aantal</v>
      </c>
      <c r="R200" s="92" t="str">
        <f>IF($AG200="","",IF($G200&gt;0,P_ToelCorrectie&amp;"",""))</f>
        <v/>
      </c>
      <c r="S200" s="15" t="str">
        <f>IF(J200="","",J200&amp;"|"&amp;E200&amp;"|"&amp;F200&amp;"|"&amp;I200&amp;"|"&amp;O200)</f>
        <v>G.900014.8.9090|2026|Q3|2026|Woningverkopen Q3</v>
      </c>
      <c r="T200" s="111">
        <f>IF(S200="","",IF(COUNTIFS(L_Sleutel,S200,L_Actief,1)=0,"",SUMIFS(L_Waarde,L_Sleutel,S200,L_Actief,1)))</f>
        <v>7</v>
      </c>
      <c r="U200" s="111">
        <f>IF(OR(S200="",T200=""),0,P200-T200)</f>
        <v>0</v>
      </c>
      <c r="AB200" s="112" t="n">
        <v>14</v>
      </c>
      <c r="AC200" s="112" t="n">
        <v>10</v>
      </c>
      <c r="AD200" s="112">
        <f>VERW_Project!BS19</f>
        <v>7</v>
      </c>
      <c r="AE200" s="112">
        <f>IF(AND(VERW_Project!$A19&lt;&gt;"",ISNUMBER(AD200)),1,0)</f>
        <v>1</v>
      </c>
      <c r="AF200" s="112">
        <f>IF(AE200=1,SUM($AE$8:AE200),"")</f>
        <v>193</v>
      </c>
      <c r="AG200">
        <f>IFERROR(MATCH(193,$AF$8:$AF$1407,0),"")</f>
        <v>193</v>
      </c>
    </row>
    <row r="201">
      <c r="A201" s="92" t="str">
        <f>IF($AG201="","",P_ImportID)</f>
        <v>IMP-2026-Q3-01</v>
      </c>
      <c r="B201" s="92" t="str">
        <f>IF($AG201="","",IF(INDEX($AN$8:$AN$21,INDEX($AC$8:$AC$1407,$AG201)+1)="Z",P_BronZ,P_BronE))</f>
        <v>Woningetalage_FICTIEF_20_projecten.xlsx</v>
      </c>
      <c r="C201" s="108">
        <f>IF($AG201="","",P_Importdatum)</f>
        <v>46324.0</v>
      </c>
      <c r="D201" s="92" t="str">
        <f>IF($AG201="","",P_StatusVastleg)</f>
        <v>Vastgesteld</v>
      </c>
      <c r="E201" s="92">
        <f>IF($AG201="","",P_UploadVJ)</f>
        <v>2026</v>
      </c>
      <c r="F201" s="92" t="str">
        <f>IF($AG201="","",P_UploadVersie)</f>
        <v>Q3</v>
      </c>
      <c r="G201" s="92">
        <f>IF($AG201="","",IF(COUNTIFS(L_Sleutel,$S201,L_Status,"Vastgesteld")=0,0,_xlfn.MAXIFS(L_Revisie,L_Sleutel,$S201,L_Status,"Vastgesteld")+1))</f>
        <v>1</v>
      </c>
      <c r="H201" s="108">
        <f>IF($AG201="","",P_Peildatum)</f>
        <v>46295.0</v>
      </c>
      <c r="I201" s="92">
        <f>IF($AG201="","",P_RJ+INDEX($AK$8:$AK$21,INDEX($AC$8:$AC$1407,$AG201)+1))</f>
        <v>2026</v>
      </c>
      <c r="J201" s="92" t="str">
        <f>IF($AG201="","",INDEX(V_WBS,INDEX($AB$8:$AB$1407,$AG201)))</f>
        <v>G.900014.8.9090</v>
      </c>
      <c r="K201" s="92" t="str">
        <f>IF($AG201="","",INDEX(V_Projdef,INDEX($AB$8:$AB$1407,$AG201)))</f>
        <v>G.900014</v>
      </c>
      <c r="L201" s="92" t="str">
        <f>IF($AG201="","",INDEX(V_Naam,INDEX($AB$8:$AB$1407,$AG201)))</f>
        <v>Rietdam, Rietoevers</v>
      </c>
      <c r="M201" s="92" t="str">
        <f>IF($AG201="","",INDEX(V_Type,INDEX($AB$8:$AB$1407,$AG201)))</f>
        <v>Opstal</v>
      </c>
      <c r="N201" s="92" t="str">
        <f>IF($AG201="","",INDEX(V_IFRS,INDEX($AB$8:$AB$1407,$AG201)))</f>
        <v>J</v>
      </c>
      <c r="O201" s="92" t="str">
        <f>IF($AG201="","",INDEX($AL$8:$AL$21,INDEX($AC$8:$AC$1407,$AG201)+1))</f>
        <v>Woningverkopen Q4</v>
      </c>
      <c r="P201" s="109">
        <f>IF($AG201="","",INDEX($AD$8:$AD$1407,$AG201))</f>
        <v>6</v>
      </c>
      <c r="Q201" s="92" t="str">
        <f>IF($AG201="","",INDEX($AM$8:$AM$21,INDEX($AC$8:$AC$1407,$AG201)+1))</f>
        <v>aantal</v>
      </c>
      <c r="R201" s="92" t="str">
        <f>IF($AG201="","",IF($G201&gt;0,P_ToelCorrectie&amp;"",""))</f>
        <v/>
      </c>
      <c r="S201" s="15" t="str">
        <f>IF(J201="","",J201&amp;"|"&amp;E201&amp;"|"&amp;F201&amp;"|"&amp;I201&amp;"|"&amp;O201)</f>
        <v>G.900014.8.9090|2026|Q3|2026|Woningverkopen Q4</v>
      </c>
      <c r="T201" s="111">
        <f>IF(S201="","",IF(COUNTIFS(L_Sleutel,S201,L_Actief,1)=0,"",SUMIFS(L_Waarde,L_Sleutel,S201,L_Actief,1)))</f>
        <v>6</v>
      </c>
      <c r="U201" s="111">
        <f>IF(OR(S201="",T201=""),0,P201-T201)</f>
        <v>0</v>
      </c>
      <c r="AB201" s="112" t="n">
        <v>14</v>
      </c>
      <c r="AC201" s="112" t="n">
        <v>11</v>
      </c>
      <c r="AD201" s="112">
        <f>VERW_Project!BT19</f>
        <v>6</v>
      </c>
      <c r="AE201" s="112">
        <f>IF(AND(VERW_Project!$A19&lt;&gt;"",ISNUMBER(AD201)),1,0)</f>
        <v>1</v>
      </c>
      <c r="AF201" s="112">
        <f>IF(AE201=1,SUM($AE$8:AE201),"")</f>
        <v>194</v>
      </c>
      <c r="AG201">
        <f>IFERROR(MATCH(194,$AF$8:$AF$1407,0),"")</f>
        <v>194</v>
      </c>
    </row>
    <row r="202">
      <c r="A202" s="92" t="str">
        <f>IF($AG202="","",P_ImportID)</f>
        <v>IMP-2026-Q3-01</v>
      </c>
      <c r="B202" s="92" t="str">
        <f>IF($AG202="","",IF(INDEX($AN$8:$AN$21,INDEX($AC$8:$AC$1407,$AG202)+1)="Z",P_BronZ,P_BronE))</f>
        <v>Woningetalage_FICTIEF_20_projecten.xlsx</v>
      </c>
      <c r="C202" s="108">
        <f>IF($AG202="","",P_Importdatum)</f>
        <v>46324.0</v>
      </c>
      <c r="D202" s="92" t="str">
        <f>IF($AG202="","",P_StatusVastleg)</f>
        <v>Vastgesteld</v>
      </c>
      <c r="E202" s="92">
        <f>IF($AG202="","",P_UploadVJ)</f>
        <v>2026</v>
      </c>
      <c r="F202" s="92" t="str">
        <f>IF($AG202="","",P_UploadVersie)</f>
        <v>Q3</v>
      </c>
      <c r="G202" s="92">
        <f>IF($AG202="","",IF(COUNTIFS(L_Sleutel,$S202,L_Status,"Vastgesteld")=0,0,_xlfn.MAXIFS(L_Revisie,L_Sleutel,$S202,L_Status,"Vastgesteld")+1))</f>
        <v>1</v>
      </c>
      <c r="H202" s="108">
        <f>IF($AG202="","",P_Peildatum)</f>
        <v>46295.0</v>
      </c>
      <c r="I202" s="92">
        <f>IF($AG202="","",P_RJ+INDEX($AK$8:$AK$21,INDEX($AC$8:$AC$1407,$AG202)+1))</f>
        <v>2026</v>
      </c>
      <c r="J202" s="92" t="str">
        <f>IF($AG202="","",INDEX(V_WBS,INDEX($AB$8:$AB$1407,$AG202)))</f>
        <v>G.900014.8.9090</v>
      </c>
      <c r="K202" s="92" t="str">
        <f>IF($AG202="","",INDEX(V_Projdef,INDEX($AB$8:$AB$1407,$AG202)))</f>
        <v>G.900014</v>
      </c>
      <c r="L202" s="92" t="str">
        <f>IF($AG202="","",INDEX(V_Naam,INDEX($AB$8:$AB$1407,$AG202)))</f>
        <v>Rietdam, Rietoevers</v>
      </c>
      <c r="M202" s="92" t="str">
        <f>IF($AG202="","",INDEX(V_Type,INDEX($AB$8:$AB$1407,$AG202)))</f>
        <v>Opstal</v>
      </c>
      <c r="N202" s="92" t="str">
        <f>IF($AG202="","",INDEX(V_IFRS,INDEX($AB$8:$AB$1407,$AG202)))</f>
        <v>J</v>
      </c>
      <c r="O202" s="92" t="str">
        <f>IF($AG202="","",INDEX($AL$8:$AL$21,INDEX($AC$8:$AC$1407,$AG202)+1))</f>
        <v>Woningverkopen actual YTD</v>
      </c>
      <c r="P202" s="109">
        <f>IF($AG202="","",INDEX($AD$8:$AD$1407,$AG202))</f>
        <v>18</v>
      </c>
      <c r="Q202" s="92" t="str">
        <f>IF($AG202="","",INDEX($AM$8:$AM$21,INDEX($AC$8:$AC$1407,$AG202)+1))</f>
        <v>aantal</v>
      </c>
      <c r="R202" s="92" t="str">
        <f>IF($AG202="","",IF($G202&gt;0,P_ToelCorrectie&amp;"",""))</f>
        <v/>
      </c>
      <c r="S202" s="15" t="str">
        <f>IF(J202="","",J202&amp;"|"&amp;E202&amp;"|"&amp;F202&amp;"|"&amp;I202&amp;"|"&amp;O202)</f>
        <v>G.900014.8.9090|2026|Q3|2026|Woningverkopen actual YTD</v>
      </c>
      <c r="T202" s="111">
        <f>IF(S202="","",IF(COUNTIFS(L_Sleutel,S202,L_Actief,1)=0,"",SUMIFS(L_Waarde,L_Sleutel,S202,L_Actief,1)))</f>
        <v>18</v>
      </c>
      <c r="U202" s="111">
        <f>IF(OR(S202="",T202=""),0,P202-T202)</f>
        <v>0</v>
      </c>
      <c r="AB202" s="112" t="n">
        <v>14</v>
      </c>
      <c r="AC202" s="112" t="n">
        <v>12</v>
      </c>
      <c r="AD202" s="112">
        <f>VERW_Project!BU19</f>
        <v>18</v>
      </c>
      <c r="AE202" s="112">
        <f>IF(AND(VERW_Project!$A19&lt;&gt;"",ISNUMBER(AD202)),1,0)</f>
        <v>1</v>
      </c>
      <c r="AF202" s="112">
        <f>IF(AE202=1,SUM($AE$8:AE202),"")</f>
        <v>195</v>
      </c>
      <c r="AG202">
        <f>IFERROR(MATCH(195,$AF$8:$AF$1407,0),"")</f>
        <v>195</v>
      </c>
    </row>
    <row r="203">
      <c r="A203" s="92" t="str">
        <f>IF($AG203="","",P_ImportID)</f>
        <v>IMP-2026-Q3-01</v>
      </c>
      <c r="B203" s="92" t="str">
        <f>IF($AG203="","",IF(INDEX($AN$8:$AN$21,INDEX($AC$8:$AC$1407,$AG203)+1)="Z",P_BronZ,P_BronE))</f>
        <v>Woningetalage_FICTIEF_20_projecten.xlsx</v>
      </c>
      <c r="C203" s="108">
        <f>IF($AG203="","",P_Importdatum)</f>
        <v>46324.0</v>
      </c>
      <c r="D203" s="92" t="str">
        <f>IF($AG203="","",P_StatusVastleg)</f>
        <v>Vastgesteld</v>
      </c>
      <c r="E203" s="92">
        <f>IF($AG203="","",P_UploadVJ)</f>
        <v>2026</v>
      </c>
      <c r="F203" s="92" t="str">
        <f>IF($AG203="","",P_UploadVersie)</f>
        <v>Q3</v>
      </c>
      <c r="G203" s="92">
        <f>IF($AG203="","",IF(COUNTIFS(L_Sleutel,$S203,L_Status,"Vastgesteld")=0,0,_xlfn.MAXIFS(L_Revisie,L_Sleutel,$S203,L_Status,"Vastgesteld")+1))</f>
        <v>0</v>
      </c>
      <c r="H203" s="108">
        <f>IF($AG203="","",P_Peildatum)</f>
        <v>46295.0</v>
      </c>
      <c r="I203" s="92">
        <f>IF($AG203="","",P_RJ+INDEX($AK$8:$AK$21,INDEX($AC$8:$AC$1407,$AG203)+1))</f>
        <v>2027</v>
      </c>
      <c r="J203" s="92" t="str">
        <f>IF($AG203="","",INDEX(V_WBS,INDEX($AB$8:$AB$1407,$AG203)))</f>
        <v>G.900014.8.9090</v>
      </c>
      <c r="K203" s="92" t="str">
        <f>IF($AG203="","",INDEX(V_Projdef,INDEX($AB$8:$AB$1407,$AG203)))</f>
        <v>G.900014</v>
      </c>
      <c r="L203" s="92" t="str">
        <f>IF($AG203="","",INDEX(V_Naam,INDEX($AB$8:$AB$1407,$AG203)))</f>
        <v>Rietdam, Rietoevers</v>
      </c>
      <c r="M203" s="92" t="str">
        <f>IF($AG203="","",INDEX(V_Type,INDEX($AB$8:$AB$1407,$AG203)))</f>
        <v>Opstal</v>
      </c>
      <c r="N203" s="92" t="str">
        <f>IF($AG203="","",INDEX(V_IFRS,INDEX($AB$8:$AB$1407,$AG203)))</f>
        <v>J</v>
      </c>
      <c r="O203" s="92" t="str">
        <f>IF($AG203="","",INDEX($AL$8:$AL$21,INDEX($AC$8:$AC$1407,$AG203)+1))</f>
        <v>Woningverkopen FY</v>
      </c>
      <c r="P203" s="109">
        <f>IF($AG203="","",INDEX($AD$8:$AD$1407,$AG203))</f>
        <v>32</v>
      </c>
      <c r="Q203" s="92" t="str">
        <f>IF($AG203="","",INDEX($AM$8:$AM$21,INDEX($AC$8:$AC$1407,$AG203)+1))</f>
        <v>aantal</v>
      </c>
      <c r="R203" s="92" t="str">
        <f>IF($AG203="","",IF($G203&gt;0,P_ToelCorrectie&amp;"",""))</f>
        <v/>
      </c>
      <c r="S203" s="15" t="str">
        <f>IF(J203="","",J203&amp;"|"&amp;E203&amp;"|"&amp;F203&amp;"|"&amp;I203&amp;"|"&amp;O203)</f>
        <v>G.900014.8.9090|2026|Q3|2027|Woningverkopen FY</v>
      </c>
      <c r="T203" s="111" t="str">
        <f>IF(S203="","",IF(COUNTIFS(L_Sleutel,S203,L_Actief,1)=0,"",SUMIFS(L_Waarde,L_Sleutel,S203,L_Actief,1)))</f>
        <v/>
      </c>
      <c r="U203" s="111">
        <f>IF(OR(S203="",T203=""),0,P203-T203)</f>
        <v>0</v>
      </c>
      <c r="AB203" s="112" t="n">
        <v>14</v>
      </c>
      <c r="AC203" s="112" t="n">
        <v>13</v>
      </c>
      <c r="AD203" s="112">
        <f>VERW_Project!BX19</f>
        <v>32</v>
      </c>
      <c r="AE203" s="112">
        <f>IF(AND(VERW_Project!$A19&lt;&gt;"",ISNUMBER(AD203)),1,0)</f>
        <v>1</v>
      </c>
      <c r="AF203" s="112">
        <f>IF(AE203=1,SUM($AE$8:AE203),"")</f>
        <v>196</v>
      </c>
      <c r="AG203">
        <f>IFERROR(MATCH(196,$AF$8:$AF$1407,0),"")</f>
        <v>196</v>
      </c>
    </row>
    <row r="204">
      <c r="A204" s="92" t="str">
        <f>IF($AG204="","",P_ImportID)</f>
        <v>IMP-2026-Q3-01</v>
      </c>
      <c r="B204" s="92" t="str">
        <f>IF($AG204="","",IF(INDEX($AN$8:$AN$21,INDEX($AC$8:$AC$1407,$AG204)+1)="Z",P_BronZ,P_BronE))</f>
        <v>ZPMW03_FICTIEF_20_projecten.xlsx</v>
      </c>
      <c r="C204" s="108">
        <f>IF($AG204="","",P_Importdatum)</f>
        <v>46324.0</v>
      </c>
      <c r="D204" s="92" t="str">
        <f>IF($AG204="","",P_StatusVastleg)</f>
        <v>Vastgesteld</v>
      </c>
      <c r="E204" s="92">
        <f>IF($AG204="","",P_UploadVJ)</f>
        <v>2026</v>
      </c>
      <c r="F204" s="92" t="str">
        <f>IF($AG204="","",P_UploadVersie)</f>
        <v>Q3</v>
      </c>
      <c r="G204" s="92">
        <f>IF($AG204="","",IF(COUNTIFS(L_Sleutel,$S204,L_Status,"Vastgesteld")=0,0,_xlfn.MAXIFS(L_Revisie,L_Sleutel,$S204,L_Status,"Vastgesteld")+1))</f>
        <v>1</v>
      </c>
      <c r="H204" s="108">
        <f>IF($AG204="","",P_Peildatum)</f>
        <v>46295.0</v>
      </c>
      <c r="I204" s="92">
        <f>IF($AG204="","",P_RJ+INDEX($AK$8:$AK$21,INDEX($AC$8:$AC$1407,$AG204)+1))</f>
        <v>2026</v>
      </c>
      <c r="J204" s="92" t="str">
        <f>IF($AG204="","",INDEX(V_WBS,INDEX($AB$8:$AB$1407,$AG204)))</f>
        <v>G.900015.8.9090</v>
      </c>
      <c r="K204" s="92" t="str">
        <f>IF($AG204="","",INDEX(V_Projdef,INDEX($AB$8:$AB$1407,$AG204)))</f>
        <v>G.900015</v>
      </c>
      <c r="L204" s="92" t="str">
        <f>IF($AG204="","",INDEX(V_Naam,INDEX($AB$8:$AB$1407,$AG204)))</f>
        <v>Lindehaven, Parkzoom fase 2</v>
      </c>
      <c r="M204" s="92" t="str">
        <f>IF($AG204="","",INDEX(V_Type,INDEX($AB$8:$AB$1407,$AG204)))</f>
        <v>Opstal</v>
      </c>
      <c r="N204" s="92" t="str">
        <f>IF($AG204="","",INDEX(V_IFRS,INDEX($AB$8:$AB$1407,$AG204)))</f>
        <v>J</v>
      </c>
      <c r="O204" s="92" t="str">
        <f>IF($AG204="","",INDEX($AL$8:$AL$21,INDEX($AC$8:$AC$1407,$AG204)+1))</f>
        <v>Omzet FY</v>
      </c>
      <c r="P204" s="109">
        <f>IF($AG204="","",INDEX($AD$8:$AD$1407,$AG204))</f>
        <v>3300000</v>
      </c>
      <c r="Q204" s="92" t="str">
        <f>IF($AG204="","",INDEX($AM$8:$AM$21,INDEX($AC$8:$AC$1407,$AG204)+1))</f>
        <v>EUR</v>
      </c>
      <c r="R204" s="92" t="str">
        <f>IF($AG204="","",IF($G204&gt;0,P_ToelCorrectie&amp;"",""))</f>
        <v/>
      </c>
      <c r="S204" s="15" t="str">
        <f>IF(J204="","",J204&amp;"|"&amp;E204&amp;"|"&amp;F204&amp;"|"&amp;I204&amp;"|"&amp;O204)</f>
        <v>G.900015.8.9090|2026|Q3|2026|Omzet FY</v>
      </c>
      <c r="T204" s="111">
        <f>IF(S204="","",IF(COUNTIFS(L_Sleutel,S204,L_Actief,1)=0,"",SUMIFS(L_Waarde,L_Sleutel,S204,L_Actief,1)))</f>
        <v>3300000</v>
      </c>
      <c r="U204" s="111">
        <f>IF(OR(S204="",T204=""),0,P204-T204)</f>
        <v>0</v>
      </c>
      <c r="AB204" s="112" t="n">
        <v>15</v>
      </c>
      <c r="AC204" s="112" t="n">
        <v>0</v>
      </c>
      <c r="AD204" s="112">
        <f>VERW_Project!P20</f>
        <v>3300000</v>
      </c>
      <c r="AE204" s="112">
        <f>IF(AND(VERW_Project!$A20&lt;&gt;"",ISNUMBER(AD204)),1,0)</f>
        <v>1</v>
      </c>
      <c r="AF204" s="112">
        <f>IF(AE204=1,SUM($AE$8:AE204),"")</f>
        <v>197</v>
      </c>
      <c r="AG204">
        <f>IFERROR(MATCH(197,$AF$8:$AF$1407,0),"")</f>
        <v>197</v>
      </c>
    </row>
    <row r="205">
      <c r="A205" s="92" t="str">
        <f>IF($AG205="","",P_ImportID)</f>
        <v>IMP-2026-Q3-01</v>
      </c>
      <c r="B205" s="92" t="str">
        <f>IF($AG205="","",IF(INDEX($AN$8:$AN$21,INDEX($AC$8:$AC$1407,$AG205)+1)="Z",P_BronZ,P_BronE))</f>
        <v>ZPMW03_FICTIEF_20_projecten.xlsx</v>
      </c>
      <c r="C205" s="108">
        <f>IF($AG205="","",P_Importdatum)</f>
        <v>46324.0</v>
      </c>
      <c r="D205" s="92" t="str">
        <f>IF($AG205="","",P_StatusVastleg)</f>
        <v>Vastgesteld</v>
      </c>
      <c r="E205" s="92">
        <f>IF($AG205="","",P_UploadVJ)</f>
        <v>2026</v>
      </c>
      <c r="F205" s="92" t="str">
        <f>IF($AG205="","",P_UploadVersie)</f>
        <v>Q3</v>
      </c>
      <c r="G205" s="92">
        <f>IF($AG205="","",IF(COUNTIFS(L_Sleutel,$S205,L_Status,"Vastgesteld")=0,0,_xlfn.MAXIFS(L_Revisie,L_Sleutel,$S205,L_Status,"Vastgesteld")+1))</f>
        <v>1</v>
      </c>
      <c r="H205" s="108">
        <f>IF($AG205="","",P_Peildatum)</f>
        <v>46295.0</v>
      </c>
      <c r="I205" s="92">
        <f>IF($AG205="","",P_RJ+INDEX($AK$8:$AK$21,INDEX($AC$8:$AC$1407,$AG205)+1))</f>
        <v>2026</v>
      </c>
      <c r="J205" s="92" t="str">
        <f>IF($AG205="","",INDEX(V_WBS,INDEX($AB$8:$AB$1407,$AG205)))</f>
        <v>G.900015.8.9090</v>
      </c>
      <c r="K205" s="92" t="str">
        <f>IF($AG205="","",INDEX(V_Projdef,INDEX($AB$8:$AB$1407,$AG205)))</f>
        <v>G.900015</v>
      </c>
      <c r="L205" s="92" t="str">
        <f>IF($AG205="","",INDEX(V_Naam,INDEX($AB$8:$AB$1407,$AG205)))</f>
        <v>Lindehaven, Parkzoom fase 2</v>
      </c>
      <c r="M205" s="92" t="str">
        <f>IF($AG205="","",INDEX(V_Type,INDEX($AB$8:$AB$1407,$AG205)))</f>
        <v>Opstal</v>
      </c>
      <c r="N205" s="92" t="str">
        <f>IF($AG205="","",INDEX(V_IFRS,INDEX($AB$8:$AB$1407,$AG205)))</f>
        <v>J</v>
      </c>
      <c r="O205" s="92" t="str">
        <f>IF($AG205="","",INDEX($AL$8:$AL$21,INDEX($AC$8:$AC$1407,$AG205)+1))</f>
        <v>BOR FY</v>
      </c>
      <c r="P205" s="109">
        <f>IF($AG205="","",INDEX($AD$8:$AD$1407,$AG205))</f>
        <v>214500</v>
      </c>
      <c r="Q205" s="92" t="str">
        <f>IF($AG205="","",INDEX($AM$8:$AM$21,INDEX($AC$8:$AC$1407,$AG205)+1))</f>
        <v>EUR</v>
      </c>
      <c r="R205" s="92" t="str">
        <f>IF($AG205="","",IF($G205&gt;0,P_ToelCorrectie&amp;"",""))</f>
        <v/>
      </c>
      <c r="S205" s="15" t="str">
        <f>IF(J205="","",J205&amp;"|"&amp;E205&amp;"|"&amp;F205&amp;"|"&amp;I205&amp;"|"&amp;O205)</f>
        <v>G.900015.8.9090|2026|Q3|2026|BOR FY</v>
      </c>
      <c r="T205" s="111">
        <f>IF(S205="","",IF(COUNTIFS(L_Sleutel,S205,L_Actief,1)=0,"",SUMIFS(L_Waarde,L_Sleutel,S205,L_Actief,1)))</f>
        <v>214500</v>
      </c>
      <c r="U205" s="111">
        <f>IF(OR(S205="",T205=""),0,P205-T205)</f>
        <v>0</v>
      </c>
      <c r="AB205" s="112" t="n">
        <v>15</v>
      </c>
      <c r="AC205" s="112" t="n">
        <v>1</v>
      </c>
      <c r="AD205" s="112">
        <f>VERW_Project!Q20</f>
        <v>214500</v>
      </c>
      <c r="AE205" s="112">
        <f>IF(AND(VERW_Project!$A20&lt;&gt;"",ISNUMBER(AD205)),1,0)</f>
        <v>1</v>
      </c>
      <c r="AF205" s="112">
        <f>IF(AE205=1,SUM($AE$8:AE205),"")</f>
        <v>198</v>
      </c>
      <c r="AG205">
        <f>IFERROR(MATCH(198,$AF$8:$AF$1407,0),"")</f>
        <v>198</v>
      </c>
    </row>
    <row r="206">
      <c r="A206" s="92" t="str">
        <f>IF($AG206="","",P_ImportID)</f>
        <v>IMP-2026-Q3-01</v>
      </c>
      <c r="B206" s="92" t="str">
        <f>IF($AG206="","",IF(INDEX($AN$8:$AN$21,INDEX($AC$8:$AC$1407,$AG206)+1)="Z",P_BronZ,P_BronE))</f>
        <v>ZPMW03_FICTIEF_20_projecten.xlsx</v>
      </c>
      <c r="C206" s="108">
        <f>IF($AG206="","",P_Importdatum)</f>
        <v>46324.0</v>
      </c>
      <c r="D206" s="92" t="str">
        <f>IF($AG206="","",P_StatusVastleg)</f>
        <v>Vastgesteld</v>
      </c>
      <c r="E206" s="92">
        <f>IF($AG206="","",P_UploadVJ)</f>
        <v>2026</v>
      </c>
      <c r="F206" s="92" t="str">
        <f>IF($AG206="","",P_UploadVersie)</f>
        <v>Q3</v>
      </c>
      <c r="G206" s="92">
        <f>IF($AG206="","",IF(COUNTIFS(L_Sleutel,$S206,L_Status,"Vastgesteld")=0,0,_xlfn.MAXIFS(L_Revisie,L_Sleutel,$S206,L_Status,"Vastgesteld")+1))</f>
        <v>1</v>
      </c>
      <c r="H206" s="108">
        <f>IF($AG206="","",P_Peildatum)</f>
        <v>46295.0</v>
      </c>
      <c r="I206" s="92">
        <f>IF($AG206="","",P_RJ+INDEX($AK$8:$AK$21,INDEX($AC$8:$AC$1407,$AG206)+1))</f>
        <v>2026</v>
      </c>
      <c r="J206" s="92" t="str">
        <f>IF($AG206="","",INDEX(V_WBS,INDEX($AB$8:$AB$1407,$AG206)))</f>
        <v>G.900015.8.9090</v>
      </c>
      <c r="K206" s="92" t="str">
        <f>IF($AG206="","",INDEX(V_Projdef,INDEX($AB$8:$AB$1407,$AG206)))</f>
        <v>G.900015</v>
      </c>
      <c r="L206" s="92" t="str">
        <f>IF($AG206="","",INDEX(V_Naam,INDEX($AB$8:$AB$1407,$AG206)))</f>
        <v>Lindehaven, Parkzoom fase 2</v>
      </c>
      <c r="M206" s="92" t="str">
        <f>IF($AG206="","",INDEX(V_Type,INDEX($AB$8:$AB$1407,$AG206)))</f>
        <v>Opstal</v>
      </c>
      <c r="N206" s="92" t="str">
        <f>IF($AG206="","",INDEX(V_IFRS,INDEX($AB$8:$AB$1407,$AG206)))</f>
        <v>J</v>
      </c>
      <c r="O206" s="92" t="str">
        <f>IF($AG206="","",INDEX($AL$8:$AL$21,INDEX($AC$8:$AC$1407,$AG206)+1))</f>
        <v>Omzet actual YTD</v>
      </c>
      <c r="P206" s="109">
        <f>IF($AG206="","",INDEX($AD$8:$AD$1407,$AG206))</f>
        <v>2145000</v>
      </c>
      <c r="Q206" s="92" t="str">
        <f>IF($AG206="","",INDEX($AM$8:$AM$21,INDEX($AC$8:$AC$1407,$AG206)+1))</f>
        <v>EUR</v>
      </c>
      <c r="R206" s="92" t="str">
        <f>IF($AG206="","",IF($G206&gt;0,P_ToelCorrectie&amp;"",""))</f>
        <v/>
      </c>
      <c r="S206" s="15" t="str">
        <f>IF(J206="","",J206&amp;"|"&amp;E206&amp;"|"&amp;F206&amp;"|"&amp;I206&amp;"|"&amp;O206)</f>
        <v>G.900015.8.9090|2026|Q3|2026|Omzet actual YTD</v>
      </c>
      <c r="T206" s="111">
        <f>IF(S206="","",IF(COUNTIFS(L_Sleutel,S206,L_Actief,1)=0,"",SUMIFS(L_Waarde,L_Sleutel,S206,L_Actief,1)))</f>
        <v>2145000</v>
      </c>
      <c r="U206" s="111">
        <f>IF(OR(S206="",T206=""),0,P206-T206)</f>
        <v>0</v>
      </c>
      <c r="AB206" s="112" t="n">
        <v>15</v>
      </c>
      <c r="AC206" s="112" t="n">
        <v>2</v>
      </c>
      <c r="AD206" s="112">
        <f>VERW_Project!L20</f>
        <v>2145000</v>
      </c>
      <c r="AE206" s="112">
        <f>IF(AND(VERW_Project!$A20&lt;&gt;"",ISNUMBER(AD206)),1,0)</f>
        <v>1</v>
      </c>
      <c r="AF206" s="112">
        <f>IF(AE206=1,SUM($AE$8:AE206),"")</f>
        <v>199</v>
      </c>
      <c r="AG206">
        <f>IFERROR(MATCH(199,$AF$8:$AF$1407,0),"")</f>
        <v>199</v>
      </c>
    </row>
    <row r="207">
      <c r="A207" s="92" t="str">
        <f>IF($AG207="","",P_ImportID)</f>
        <v>IMP-2026-Q3-01</v>
      </c>
      <c r="B207" s="92" t="str">
        <f>IF($AG207="","",IF(INDEX($AN$8:$AN$21,INDEX($AC$8:$AC$1407,$AG207)+1)="Z",P_BronZ,P_BronE))</f>
        <v>ZPMW03_FICTIEF_20_projecten.xlsx</v>
      </c>
      <c r="C207" s="108">
        <f>IF($AG207="","",P_Importdatum)</f>
        <v>46324.0</v>
      </c>
      <c r="D207" s="92" t="str">
        <f>IF($AG207="","",P_StatusVastleg)</f>
        <v>Vastgesteld</v>
      </c>
      <c r="E207" s="92">
        <f>IF($AG207="","",P_UploadVJ)</f>
        <v>2026</v>
      </c>
      <c r="F207" s="92" t="str">
        <f>IF($AG207="","",P_UploadVersie)</f>
        <v>Q3</v>
      </c>
      <c r="G207" s="92">
        <f>IF($AG207="","",IF(COUNTIFS(L_Sleutel,$S207,L_Status,"Vastgesteld")=0,0,_xlfn.MAXIFS(L_Revisie,L_Sleutel,$S207,L_Status,"Vastgesteld")+1))</f>
        <v>1</v>
      </c>
      <c r="H207" s="108">
        <f>IF($AG207="","",P_Peildatum)</f>
        <v>46295.0</v>
      </c>
      <c r="I207" s="92">
        <f>IF($AG207="","",P_RJ+INDEX($AK$8:$AK$21,INDEX($AC$8:$AC$1407,$AG207)+1))</f>
        <v>2026</v>
      </c>
      <c r="J207" s="92" t="str">
        <f>IF($AG207="","",INDEX(V_WBS,INDEX($AB$8:$AB$1407,$AG207)))</f>
        <v>G.900015.8.9090</v>
      </c>
      <c r="K207" s="92" t="str">
        <f>IF($AG207="","",INDEX(V_Projdef,INDEX($AB$8:$AB$1407,$AG207)))</f>
        <v>G.900015</v>
      </c>
      <c r="L207" s="92" t="str">
        <f>IF($AG207="","",INDEX(V_Naam,INDEX($AB$8:$AB$1407,$AG207)))</f>
        <v>Lindehaven, Parkzoom fase 2</v>
      </c>
      <c r="M207" s="92" t="str">
        <f>IF($AG207="","",INDEX(V_Type,INDEX($AB$8:$AB$1407,$AG207)))</f>
        <v>Opstal</v>
      </c>
      <c r="N207" s="92" t="str">
        <f>IF($AG207="","",INDEX(V_IFRS,INDEX($AB$8:$AB$1407,$AG207)))</f>
        <v>J</v>
      </c>
      <c r="O207" s="92" t="str">
        <f>IF($AG207="","",INDEX($AL$8:$AL$21,INDEX($AC$8:$AC$1407,$AG207)+1))</f>
        <v>BOR actual YTD</v>
      </c>
      <c r="P207" s="109">
        <f>IF($AG207="","",INDEX($AD$8:$AD$1407,$AG207))</f>
        <v>139425</v>
      </c>
      <c r="Q207" s="92" t="str">
        <f>IF($AG207="","",INDEX($AM$8:$AM$21,INDEX($AC$8:$AC$1407,$AG207)+1))</f>
        <v>EUR</v>
      </c>
      <c r="R207" s="92" t="str">
        <f>IF($AG207="","",IF($G207&gt;0,P_ToelCorrectie&amp;"",""))</f>
        <v/>
      </c>
      <c r="S207" s="15" t="str">
        <f>IF(J207="","",J207&amp;"|"&amp;E207&amp;"|"&amp;F207&amp;"|"&amp;I207&amp;"|"&amp;O207)</f>
        <v>G.900015.8.9090|2026|Q3|2026|BOR actual YTD</v>
      </c>
      <c r="T207" s="111">
        <f>IF(S207="","",IF(COUNTIFS(L_Sleutel,S207,L_Actief,1)=0,"",SUMIFS(L_Waarde,L_Sleutel,S207,L_Actief,1)))</f>
        <v>139425</v>
      </c>
      <c r="U207" s="111">
        <f>IF(OR(S207="",T207=""),0,P207-T207)</f>
        <v>0</v>
      </c>
      <c r="AB207" s="112" t="n">
        <v>15</v>
      </c>
      <c r="AC207" s="112" t="n">
        <v>3</v>
      </c>
      <c r="AD207" s="112">
        <f>VERW_Project!M20</f>
        <v>139425</v>
      </c>
      <c r="AE207" s="112">
        <f>IF(AND(VERW_Project!$A20&lt;&gt;"",ISNUMBER(AD207)),1,0)</f>
        <v>1</v>
      </c>
      <c r="AF207" s="112">
        <f>IF(AE207=1,SUM($AE$8:AE207),"")</f>
        <v>200</v>
      </c>
      <c r="AG207">
        <f>IFERROR(MATCH(200,$AF$8:$AF$1407,0),"")</f>
        <v>200</v>
      </c>
    </row>
    <row r="208">
      <c r="A208" s="92" t="str">
        <f>IF($AG208="","",P_ImportID)</f>
        <v>IMP-2026-Q3-01</v>
      </c>
      <c r="B208" s="92" t="str">
        <f>IF($AG208="","",IF(INDEX($AN$8:$AN$21,INDEX($AC$8:$AC$1407,$AG208)+1)="Z",P_BronZ,P_BronE))</f>
        <v>ZPMW03_FICTIEF_20_projecten.xlsx</v>
      </c>
      <c r="C208" s="108">
        <f>IF($AG208="","",P_Importdatum)</f>
        <v>46324.0</v>
      </c>
      <c r="D208" s="92" t="str">
        <f>IF($AG208="","",P_StatusVastleg)</f>
        <v>Vastgesteld</v>
      </c>
      <c r="E208" s="92">
        <f>IF($AG208="","",P_UploadVJ)</f>
        <v>2026</v>
      </c>
      <c r="F208" s="92" t="str">
        <f>IF($AG208="","",P_UploadVersie)</f>
        <v>Q3</v>
      </c>
      <c r="G208" s="92">
        <f>IF($AG208="","",IF(COUNTIFS(L_Sleutel,$S208,L_Status,"Vastgesteld")=0,0,_xlfn.MAXIFS(L_Revisie,L_Sleutel,$S208,L_Status,"Vastgesteld")+1))</f>
        <v>1</v>
      </c>
      <c r="H208" s="108">
        <f>IF($AG208="","",P_Peildatum)</f>
        <v>46295.0</v>
      </c>
      <c r="I208" s="92">
        <f>IF($AG208="","",P_RJ+INDEX($AK$8:$AK$21,INDEX($AC$8:$AC$1407,$AG208)+1))</f>
        <v>2027</v>
      </c>
      <c r="J208" s="92" t="str">
        <f>IF($AG208="","",INDEX(V_WBS,INDEX($AB$8:$AB$1407,$AG208)))</f>
        <v>G.900015.8.9090</v>
      </c>
      <c r="K208" s="92" t="str">
        <f>IF($AG208="","",INDEX(V_Projdef,INDEX($AB$8:$AB$1407,$AG208)))</f>
        <v>G.900015</v>
      </c>
      <c r="L208" s="92" t="str">
        <f>IF($AG208="","",INDEX(V_Naam,INDEX($AB$8:$AB$1407,$AG208)))</f>
        <v>Lindehaven, Parkzoom fase 2</v>
      </c>
      <c r="M208" s="92" t="str">
        <f>IF($AG208="","",INDEX(V_Type,INDEX($AB$8:$AB$1407,$AG208)))</f>
        <v>Opstal</v>
      </c>
      <c r="N208" s="92" t="str">
        <f>IF($AG208="","",INDEX(V_IFRS,INDEX($AB$8:$AB$1407,$AG208)))</f>
        <v>J</v>
      </c>
      <c r="O208" s="92" t="str">
        <f>IF($AG208="","",INDEX($AL$8:$AL$21,INDEX($AC$8:$AC$1407,$AG208)+1))</f>
        <v>Omzet FY</v>
      </c>
      <c r="P208" s="109">
        <f>IF($AG208="","",INDEX($AD$8:$AD$1407,$AG208))</f>
        <v>19305000</v>
      </c>
      <c r="Q208" s="92" t="str">
        <f>IF($AG208="","",INDEX($AM$8:$AM$21,INDEX($AC$8:$AC$1407,$AG208)+1))</f>
        <v>EUR</v>
      </c>
      <c r="R208" s="92" t="str">
        <f>IF($AG208="","",IF($G208&gt;0,P_ToelCorrectie&amp;"",""))</f>
        <v/>
      </c>
      <c r="S208" s="15" t="str">
        <f>IF(J208="","",J208&amp;"|"&amp;E208&amp;"|"&amp;F208&amp;"|"&amp;I208&amp;"|"&amp;O208)</f>
        <v>G.900015.8.9090|2026|Q3|2027|Omzet FY</v>
      </c>
      <c r="T208" s="111">
        <f>IF(S208="","",IF(COUNTIFS(L_Sleutel,S208,L_Actief,1)=0,"",SUMIFS(L_Waarde,L_Sleutel,S208,L_Actief,1)))</f>
        <v>19305000</v>
      </c>
      <c r="U208" s="111">
        <f>IF(OR(S208="",T208=""),0,P208-T208)</f>
        <v>0</v>
      </c>
      <c r="AB208" s="112" t="n">
        <v>15</v>
      </c>
      <c r="AC208" s="112" t="n">
        <v>4</v>
      </c>
      <c r="AD208" s="112">
        <f>VERW_Project!R20</f>
        <v>19305000</v>
      </c>
      <c r="AE208" s="112">
        <f>IF(AND(VERW_Project!$A20&lt;&gt;"",ISNUMBER(AD208)),1,0)</f>
        <v>1</v>
      </c>
      <c r="AF208" s="112">
        <f>IF(AE208=1,SUM($AE$8:AE208),"")</f>
        <v>201</v>
      </c>
      <c r="AG208">
        <f>IFERROR(MATCH(201,$AF$8:$AF$1407,0),"")</f>
        <v>201</v>
      </c>
    </row>
    <row r="209">
      <c r="A209" s="92" t="str">
        <f>IF($AG209="","",P_ImportID)</f>
        <v>IMP-2026-Q3-01</v>
      </c>
      <c r="B209" s="92" t="str">
        <f>IF($AG209="","",IF(INDEX($AN$8:$AN$21,INDEX($AC$8:$AC$1407,$AG209)+1)="Z",P_BronZ,P_BronE))</f>
        <v>ZPMW03_FICTIEF_20_projecten.xlsx</v>
      </c>
      <c r="C209" s="108">
        <f>IF($AG209="","",P_Importdatum)</f>
        <v>46324.0</v>
      </c>
      <c r="D209" s="92" t="str">
        <f>IF($AG209="","",P_StatusVastleg)</f>
        <v>Vastgesteld</v>
      </c>
      <c r="E209" s="92">
        <f>IF($AG209="","",P_UploadVJ)</f>
        <v>2026</v>
      </c>
      <c r="F209" s="92" t="str">
        <f>IF($AG209="","",P_UploadVersie)</f>
        <v>Q3</v>
      </c>
      <c r="G209" s="92">
        <f>IF($AG209="","",IF(COUNTIFS(L_Sleutel,$S209,L_Status,"Vastgesteld")=0,0,_xlfn.MAXIFS(L_Revisie,L_Sleutel,$S209,L_Status,"Vastgesteld")+1))</f>
        <v>1</v>
      </c>
      <c r="H209" s="108">
        <f>IF($AG209="","",P_Peildatum)</f>
        <v>46295.0</v>
      </c>
      <c r="I209" s="92">
        <f>IF($AG209="","",P_RJ+INDEX($AK$8:$AK$21,INDEX($AC$8:$AC$1407,$AG209)+1))</f>
        <v>2027</v>
      </c>
      <c r="J209" s="92" t="str">
        <f>IF($AG209="","",INDEX(V_WBS,INDEX($AB$8:$AB$1407,$AG209)))</f>
        <v>G.900015.8.9090</v>
      </c>
      <c r="K209" s="92" t="str">
        <f>IF($AG209="","",INDEX(V_Projdef,INDEX($AB$8:$AB$1407,$AG209)))</f>
        <v>G.900015</v>
      </c>
      <c r="L209" s="92" t="str">
        <f>IF($AG209="","",INDEX(V_Naam,INDEX($AB$8:$AB$1407,$AG209)))</f>
        <v>Lindehaven, Parkzoom fase 2</v>
      </c>
      <c r="M209" s="92" t="str">
        <f>IF($AG209="","",INDEX(V_Type,INDEX($AB$8:$AB$1407,$AG209)))</f>
        <v>Opstal</v>
      </c>
      <c r="N209" s="92" t="str">
        <f>IF($AG209="","",INDEX(V_IFRS,INDEX($AB$8:$AB$1407,$AG209)))</f>
        <v>J</v>
      </c>
      <c r="O209" s="92" t="str">
        <f>IF($AG209="","",INDEX($AL$8:$AL$21,INDEX($AC$8:$AC$1407,$AG209)+1))</f>
        <v>BOR FY</v>
      </c>
      <c r="P209" s="109">
        <f>IF($AG209="","",INDEX($AD$8:$AD$1407,$AG209))</f>
        <v>1254825</v>
      </c>
      <c r="Q209" s="92" t="str">
        <f>IF($AG209="","",INDEX($AM$8:$AM$21,INDEX($AC$8:$AC$1407,$AG209)+1))</f>
        <v>EUR</v>
      </c>
      <c r="R209" s="92" t="str">
        <f>IF($AG209="","",IF($G209&gt;0,P_ToelCorrectie&amp;"",""))</f>
        <v/>
      </c>
      <c r="S209" s="15" t="str">
        <f>IF(J209="","",J209&amp;"|"&amp;E209&amp;"|"&amp;F209&amp;"|"&amp;I209&amp;"|"&amp;O209)</f>
        <v>G.900015.8.9090|2026|Q3|2027|BOR FY</v>
      </c>
      <c r="T209" s="111">
        <f>IF(S209="","",IF(COUNTIFS(L_Sleutel,S209,L_Actief,1)=0,"",SUMIFS(L_Waarde,L_Sleutel,S209,L_Actief,1)))</f>
        <v>1254825</v>
      </c>
      <c r="U209" s="111">
        <f>IF(OR(S209="",T209=""),0,P209-T209)</f>
        <v>0</v>
      </c>
      <c r="AB209" s="112" t="n">
        <v>15</v>
      </c>
      <c r="AC209" s="112" t="n">
        <v>5</v>
      </c>
      <c r="AD209" s="112">
        <f>VERW_Project!S20</f>
        <v>1254825</v>
      </c>
      <c r="AE209" s="112">
        <f>IF(AND(VERW_Project!$A20&lt;&gt;"",ISNUMBER(AD209)),1,0)</f>
        <v>1</v>
      </c>
      <c r="AF209" s="112">
        <f>IF(AE209=1,SUM($AE$8:AE209),"")</f>
        <v>202</v>
      </c>
      <c r="AG209">
        <f>IFERROR(MATCH(202,$AF$8:$AF$1407,0),"")</f>
        <v>202</v>
      </c>
    </row>
    <row r="210">
      <c r="A210" s="92" t="str">
        <f>IF($AG210="","",P_ImportID)</f>
        <v>IMP-2026-Q3-01</v>
      </c>
      <c r="B210" s="92" t="str">
        <f>IF($AG210="","",IF(INDEX($AN$8:$AN$21,INDEX($AC$8:$AC$1407,$AG210)+1)="Z",P_BronZ,P_BronE))</f>
        <v>Woningetalage_FICTIEF_20_projecten.xlsx</v>
      </c>
      <c r="C210" s="108">
        <f>IF($AG210="","",P_Importdatum)</f>
        <v>46324.0</v>
      </c>
      <c r="D210" s="92" t="str">
        <f>IF($AG210="","",P_StatusVastleg)</f>
        <v>Vastgesteld</v>
      </c>
      <c r="E210" s="92">
        <f>IF($AG210="","",P_UploadVJ)</f>
        <v>2026</v>
      </c>
      <c r="F210" s="92" t="str">
        <f>IF($AG210="","",P_UploadVersie)</f>
        <v>Q3</v>
      </c>
      <c r="G210" s="92">
        <f>IF($AG210="","",IF(COUNTIFS(L_Sleutel,$S210,L_Status,"Vastgesteld")=0,0,_xlfn.MAXIFS(L_Revisie,L_Sleutel,$S210,L_Status,"Vastgesteld")+1))</f>
        <v>1</v>
      </c>
      <c r="H210" s="108">
        <f>IF($AG210="","",P_Peildatum)</f>
        <v>46295.0</v>
      </c>
      <c r="I210" s="92">
        <f>IF($AG210="","",P_RJ+INDEX($AK$8:$AK$21,INDEX($AC$8:$AC$1407,$AG210)+1))</f>
        <v>2026</v>
      </c>
      <c r="J210" s="92" t="str">
        <f>IF($AG210="","",INDEX(V_WBS,INDEX($AB$8:$AB$1407,$AG210)))</f>
        <v>G.900015.8.9090</v>
      </c>
      <c r="K210" s="92" t="str">
        <f>IF($AG210="","",INDEX(V_Projdef,INDEX($AB$8:$AB$1407,$AG210)))</f>
        <v>G.900015</v>
      </c>
      <c r="L210" s="92" t="str">
        <f>IF($AG210="","",INDEX(V_Naam,INDEX($AB$8:$AB$1407,$AG210)))</f>
        <v>Lindehaven, Parkzoom fase 2</v>
      </c>
      <c r="M210" s="92" t="str">
        <f>IF($AG210="","",INDEX(V_Type,INDEX($AB$8:$AB$1407,$AG210)))</f>
        <v>Opstal</v>
      </c>
      <c r="N210" s="92" t="str">
        <f>IF($AG210="","",INDEX(V_IFRS,INDEX($AB$8:$AB$1407,$AG210)))</f>
        <v>J</v>
      </c>
      <c r="O210" s="92" t="str">
        <f>IF($AG210="","",INDEX($AL$8:$AL$21,INDEX($AC$8:$AC$1407,$AG210)+1))</f>
        <v>Woningverkopen FY</v>
      </c>
      <c r="P210" s="109">
        <f>IF($AG210="","",INDEX($AD$8:$AD$1407,$AG210))</f>
        <v>36</v>
      </c>
      <c r="Q210" s="92" t="str">
        <f>IF($AG210="","",INDEX($AM$8:$AM$21,INDEX($AC$8:$AC$1407,$AG210)+1))</f>
        <v>aantal</v>
      </c>
      <c r="R210" s="92" t="str">
        <f>IF($AG210="","",IF($G210&gt;0,P_ToelCorrectie&amp;"",""))</f>
        <v/>
      </c>
      <c r="S210" s="15" t="str">
        <f>IF(J210="","",J210&amp;"|"&amp;E210&amp;"|"&amp;F210&amp;"|"&amp;I210&amp;"|"&amp;O210)</f>
        <v>G.900015.8.9090|2026|Q3|2026|Woningverkopen FY</v>
      </c>
      <c r="T210" s="111">
        <f>IF(S210="","",IF(COUNTIFS(L_Sleutel,S210,L_Actief,1)=0,"",SUMIFS(L_Waarde,L_Sleutel,S210,L_Actief,1)))</f>
        <v>36</v>
      </c>
      <c r="U210" s="111">
        <f>IF(OR(S210="",T210=""),0,P210-T210)</f>
        <v>0</v>
      </c>
      <c r="AB210" s="112" t="n">
        <v>15</v>
      </c>
      <c r="AC210" s="112" t="n">
        <v>6</v>
      </c>
      <c r="AD210" s="112">
        <f>VERW_Project!BW20</f>
        <v>36</v>
      </c>
      <c r="AE210" s="112">
        <f>IF(AND(VERW_Project!$A20&lt;&gt;"",ISNUMBER(AD210)),1,0)</f>
        <v>1</v>
      </c>
      <c r="AF210" s="112">
        <f>IF(AE210=1,SUM($AE$8:AE210),"")</f>
        <v>203</v>
      </c>
      <c r="AG210">
        <f>IFERROR(MATCH(203,$AF$8:$AF$1407,0),"")</f>
        <v>203</v>
      </c>
    </row>
    <row r="211">
      <c r="A211" s="92" t="str">
        <f>IF($AG211="","",P_ImportID)</f>
        <v>IMP-2026-Q3-01</v>
      </c>
      <c r="B211" s="92" t="str">
        <f>IF($AG211="","",IF(INDEX($AN$8:$AN$21,INDEX($AC$8:$AC$1407,$AG211)+1)="Z",P_BronZ,P_BronE))</f>
        <v>Woningetalage_FICTIEF_20_projecten.xlsx</v>
      </c>
      <c r="C211" s="108">
        <f>IF($AG211="","",P_Importdatum)</f>
        <v>46324.0</v>
      </c>
      <c r="D211" s="92" t="str">
        <f>IF($AG211="","",P_StatusVastleg)</f>
        <v>Vastgesteld</v>
      </c>
      <c r="E211" s="92">
        <f>IF($AG211="","",P_UploadVJ)</f>
        <v>2026</v>
      </c>
      <c r="F211" s="92" t="str">
        <f>IF($AG211="","",P_UploadVersie)</f>
        <v>Q3</v>
      </c>
      <c r="G211" s="92">
        <f>IF($AG211="","",IF(COUNTIFS(L_Sleutel,$S211,L_Status,"Vastgesteld")=0,0,_xlfn.MAXIFS(L_Revisie,L_Sleutel,$S211,L_Status,"Vastgesteld")+1))</f>
        <v>1</v>
      </c>
      <c r="H211" s="108">
        <f>IF($AG211="","",P_Peildatum)</f>
        <v>46295.0</v>
      </c>
      <c r="I211" s="92">
        <f>IF($AG211="","",P_RJ+INDEX($AK$8:$AK$21,INDEX($AC$8:$AC$1407,$AG211)+1))</f>
        <v>2026</v>
      </c>
      <c r="J211" s="92" t="str">
        <f>IF($AG211="","",INDEX(V_WBS,INDEX($AB$8:$AB$1407,$AG211)))</f>
        <v>G.900015.8.9090</v>
      </c>
      <c r="K211" s="92" t="str">
        <f>IF($AG211="","",INDEX(V_Projdef,INDEX($AB$8:$AB$1407,$AG211)))</f>
        <v>G.900015</v>
      </c>
      <c r="L211" s="92" t="str">
        <f>IF($AG211="","",INDEX(V_Naam,INDEX($AB$8:$AB$1407,$AG211)))</f>
        <v>Lindehaven, Parkzoom fase 2</v>
      </c>
      <c r="M211" s="92" t="str">
        <f>IF($AG211="","",INDEX(V_Type,INDEX($AB$8:$AB$1407,$AG211)))</f>
        <v>Opstal</v>
      </c>
      <c r="N211" s="92" t="str">
        <f>IF($AG211="","",INDEX(V_IFRS,INDEX($AB$8:$AB$1407,$AG211)))</f>
        <v>J</v>
      </c>
      <c r="O211" s="92" t="str">
        <f>IF($AG211="","",INDEX($AL$8:$AL$21,INDEX($AC$8:$AC$1407,$AG211)+1))</f>
        <v>Woningen verkocht t/m vorig jaar</v>
      </c>
      <c r="P211" s="109">
        <f>IF($AG211="","",INDEX($AD$8:$AD$1407,$AG211))</f>
        <v>0</v>
      </c>
      <c r="Q211" s="92" t="str">
        <f>IF($AG211="","",INDEX($AM$8:$AM$21,INDEX($AC$8:$AC$1407,$AG211)+1))</f>
        <v>aantal</v>
      </c>
      <c r="R211" s="92" t="str">
        <f>IF($AG211="","",IF($G211&gt;0,P_ToelCorrectie&amp;"",""))</f>
        <v/>
      </c>
      <c r="S211" s="15" t="str">
        <f>IF(J211="","",J211&amp;"|"&amp;E211&amp;"|"&amp;F211&amp;"|"&amp;I211&amp;"|"&amp;O211)</f>
        <v>G.900015.8.9090|2026|Q3|2026|Woningen verkocht t/m vorig jaar</v>
      </c>
      <c r="T211" s="111">
        <f>IF(S211="","",IF(COUNTIFS(L_Sleutel,S211,L_Actief,1)=0,"",SUMIFS(L_Waarde,L_Sleutel,S211,L_Actief,1)))</f>
        <v>0</v>
      </c>
      <c r="U211" s="111">
        <f>IF(OR(S211="",T211=""),0,P211-T211)</f>
        <v>0</v>
      </c>
      <c r="AB211" s="112" t="n">
        <v>15</v>
      </c>
      <c r="AC211" s="112" t="n">
        <v>7</v>
      </c>
      <c r="AD211" s="112">
        <f>VERW_Project!AW20</f>
        <v>0</v>
      </c>
      <c r="AE211" s="112">
        <f>IF(AND(VERW_Project!$A20&lt;&gt;"",ISNUMBER(AD211)),1,0)</f>
        <v>1</v>
      </c>
      <c r="AF211" s="112">
        <f>IF(AE211=1,SUM($AE$8:AE211),"")</f>
        <v>204</v>
      </c>
      <c r="AG211">
        <f>IFERROR(MATCH(204,$AF$8:$AF$1407,0),"")</f>
        <v>204</v>
      </c>
    </row>
    <row r="212">
      <c r="A212" s="92" t="str">
        <f>IF($AG212="","",P_ImportID)</f>
        <v>IMP-2026-Q3-01</v>
      </c>
      <c r="B212" s="92" t="str">
        <f>IF($AG212="","",IF(INDEX($AN$8:$AN$21,INDEX($AC$8:$AC$1407,$AG212)+1)="Z",P_BronZ,P_BronE))</f>
        <v>Woningetalage_FICTIEF_20_projecten.xlsx</v>
      </c>
      <c r="C212" s="108">
        <f>IF($AG212="","",P_Importdatum)</f>
        <v>46324.0</v>
      </c>
      <c r="D212" s="92" t="str">
        <f>IF($AG212="","",P_StatusVastleg)</f>
        <v>Vastgesteld</v>
      </c>
      <c r="E212" s="92">
        <f>IF($AG212="","",P_UploadVJ)</f>
        <v>2026</v>
      </c>
      <c r="F212" s="92" t="str">
        <f>IF($AG212="","",P_UploadVersie)</f>
        <v>Q3</v>
      </c>
      <c r="G212" s="92">
        <f>IF($AG212="","",IF(COUNTIFS(L_Sleutel,$S212,L_Status,"Vastgesteld")=0,0,_xlfn.MAXIFS(L_Revisie,L_Sleutel,$S212,L_Status,"Vastgesteld")+1))</f>
        <v>1</v>
      </c>
      <c r="H212" s="108">
        <f>IF($AG212="","",P_Peildatum)</f>
        <v>46295.0</v>
      </c>
      <c r="I212" s="92">
        <f>IF($AG212="","",P_RJ+INDEX($AK$8:$AK$21,INDEX($AC$8:$AC$1407,$AG212)+1))</f>
        <v>2026</v>
      </c>
      <c r="J212" s="92" t="str">
        <f>IF($AG212="","",INDEX(V_WBS,INDEX($AB$8:$AB$1407,$AG212)))</f>
        <v>G.900015.8.9090</v>
      </c>
      <c r="K212" s="92" t="str">
        <f>IF($AG212="","",INDEX(V_Projdef,INDEX($AB$8:$AB$1407,$AG212)))</f>
        <v>G.900015</v>
      </c>
      <c r="L212" s="92" t="str">
        <f>IF($AG212="","",INDEX(V_Naam,INDEX($AB$8:$AB$1407,$AG212)))</f>
        <v>Lindehaven, Parkzoom fase 2</v>
      </c>
      <c r="M212" s="92" t="str">
        <f>IF($AG212="","",INDEX(V_Type,INDEX($AB$8:$AB$1407,$AG212)))</f>
        <v>Opstal</v>
      </c>
      <c r="N212" s="92" t="str">
        <f>IF($AG212="","",INDEX(V_IFRS,INDEX($AB$8:$AB$1407,$AG212)))</f>
        <v>J</v>
      </c>
      <c r="O212" s="92" t="str">
        <f>IF($AG212="","",INDEX($AL$8:$AL$21,INDEX($AC$8:$AC$1407,$AG212)+1))</f>
        <v>Woningverkopen Q1</v>
      </c>
      <c r="P212" s="109">
        <f>IF($AG212="","",INDEX($AD$8:$AD$1407,$AG212))</f>
        <v>5</v>
      </c>
      <c r="Q212" s="92" t="str">
        <f>IF($AG212="","",INDEX($AM$8:$AM$21,INDEX($AC$8:$AC$1407,$AG212)+1))</f>
        <v>aantal</v>
      </c>
      <c r="R212" s="92" t="str">
        <f>IF($AG212="","",IF($G212&gt;0,P_ToelCorrectie&amp;"",""))</f>
        <v/>
      </c>
      <c r="S212" s="15" t="str">
        <f>IF(J212="","",J212&amp;"|"&amp;E212&amp;"|"&amp;F212&amp;"|"&amp;I212&amp;"|"&amp;O212)</f>
        <v>G.900015.8.9090|2026|Q3|2026|Woningverkopen Q1</v>
      </c>
      <c r="T212" s="111">
        <f>IF(S212="","",IF(COUNTIFS(L_Sleutel,S212,L_Actief,1)=0,"",SUMIFS(L_Waarde,L_Sleutel,S212,L_Actief,1)))</f>
        <v>5</v>
      </c>
      <c r="U212" s="111">
        <f>IF(OR(S212="",T212=""),0,P212-T212)</f>
        <v>0</v>
      </c>
      <c r="AB212" s="112" t="n">
        <v>15</v>
      </c>
      <c r="AC212" s="112" t="n">
        <v>8</v>
      </c>
      <c r="AD212" s="112">
        <f>VERW_Project!BQ20</f>
        <v>5</v>
      </c>
      <c r="AE212" s="112">
        <f>IF(AND(VERW_Project!$A20&lt;&gt;"",ISNUMBER(AD212)),1,0)</f>
        <v>1</v>
      </c>
      <c r="AF212" s="112">
        <f>IF(AE212=1,SUM($AE$8:AE212),"")</f>
        <v>205</v>
      </c>
      <c r="AG212">
        <f>IFERROR(MATCH(205,$AF$8:$AF$1407,0),"")</f>
        <v>205</v>
      </c>
    </row>
    <row r="213">
      <c r="A213" s="92" t="str">
        <f>IF($AG213="","",P_ImportID)</f>
        <v>IMP-2026-Q3-01</v>
      </c>
      <c r="B213" s="92" t="str">
        <f>IF($AG213="","",IF(INDEX($AN$8:$AN$21,INDEX($AC$8:$AC$1407,$AG213)+1)="Z",P_BronZ,P_BronE))</f>
        <v>Woningetalage_FICTIEF_20_projecten.xlsx</v>
      </c>
      <c r="C213" s="108">
        <f>IF($AG213="","",P_Importdatum)</f>
        <v>46324.0</v>
      </c>
      <c r="D213" s="92" t="str">
        <f>IF($AG213="","",P_StatusVastleg)</f>
        <v>Vastgesteld</v>
      </c>
      <c r="E213" s="92">
        <f>IF($AG213="","",P_UploadVJ)</f>
        <v>2026</v>
      </c>
      <c r="F213" s="92" t="str">
        <f>IF($AG213="","",P_UploadVersie)</f>
        <v>Q3</v>
      </c>
      <c r="G213" s="92">
        <f>IF($AG213="","",IF(COUNTIFS(L_Sleutel,$S213,L_Status,"Vastgesteld")=0,0,_xlfn.MAXIFS(L_Revisie,L_Sleutel,$S213,L_Status,"Vastgesteld")+1))</f>
        <v>1</v>
      </c>
      <c r="H213" s="108">
        <f>IF($AG213="","",P_Peildatum)</f>
        <v>46295.0</v>
      </c>
      <c r="I213" s="92">
        <f>IF($AG213="","",P_RJ+INDEX($AK$8:$AK$21,INDEX($AC$8:$AC$1407,$AG213)+1))</f>
        <v>2026</v>
      </c>
      <c r="J213" s="92" t="str">
        <f>IF($AG213="","",INDEX(V_WBS,INDEX($AB$8:$AB$1407,$AG213)))</f>
        <v>G.900015.8.9090</v>
      </c>
      <c r="K213" s="92" t="str">
        <f>IF($AG213="","",INDEX(V_Projdef,INDEX($AB$8:$AB$1407,$AG213)))</f>
        <v>G.900015</v>
      </c>
      <c r="L213" s="92" t="str">
        <f>IF($AG213="","",INDEX(V_Naam,INDEX($AB$8:$AB$1407,$AG213)))</f>
        <v>Lindehaven, Parkzoom fase 2</v>
      </c>
      <c r="M213" s="92" t="str">
        <f>IF($AG213="","",INDEX(V_Type,INDEX($AB$8:$AB$1407,$AG213)))</f>
        <v>Opstal</v>
      </c>
      <c r="N213" s="92" t="str">
        <f>IF($AG213="","",INDEX(V_IFRS,INDEX($AB$8:$AB$1407,$AG213)))</f>
        <v>J</v>
      </c>
      <c r="O213" s="92" t="str">
        <f>IF($AG213="","",INDEX($AL$8:$AL$21,INDEX($AC$8:$AC$1407,$AG213)+1))</f>
        <v>Woningverkopen Q2</v>
      </c>
      <c r="P213" s="109">
        <f>IF($AG213="","",INDEX($AD$8:$AD$1407,$AG213))</f>
        <v>10</v>
      </c>
      <c r="Q213" s="92" t="str">
        <f>IF($AG213="","",INDEX($AM$8:$AM$21,INDEX($AC$8:$AC$1407,$AG213)+1))</f>
        <v>aantal</v>
      </c>
      <c r="R213" s="92" t="str">
        <f>IF($AG213="","",IF($G213&gt;0,P_ToelCorrectie&amp;"",""))</f>
        <v/>
      </c>
      <c r="S213" s="15" t="str">
        <f>IF(J213="","",J213&amp;"|"&amp;E213&amp;"|"&amp;F213&amp;"|"&amp;I213&amp;"|"&amp;O213)</f>
        <v>G.900015.8.9090|2026|Q3|2026|Woningverkopen Q2</v>
      </c>
      <c r="T213" s="111">
        <f>IF(S213="","",IF(COUNTIFS(L_Sleutel,S213,L_Actief,1)=0,"",SUMIFS(L_Waarde,L_Sleutel,S213,L_Actief,1)))</f>
        <v>10</v>
      </c>
      <c r="U213" s="111">
        <f>IF(OR(S213="",T213=""),0,P213-T213)</f>
        <v>0</v>
      </c>
      <c r="AB213" s="112" t="n">
        <v>15</v>
      </c>
      <c r="AC213" s="112" t="n">
        <v>9</v>
      </c>
      <c r="AD213" s="112">
        <f>VERW_Project!BR20</f>
        <v>10</v>
      </c>
      <c r="AE213" s="112">
        <f>IF(AND(VERW_Project!$A20&lt;&gt;"",ISNUMBER(AD213)),1,0)</f>
        <v>1</v>
      </c>
      <c r="AF213" s="112">
        <f>IF(AE213=1,SUM($AE$8:AE213),"")</f>
        <v>206</v>
      </c>
      <c r="AG213">
        <f>IFERROR(MATCH(206,$AF$8:$AF$1407,0),"")</f>
        <v>206</v>
      </c>
    </row>
    <row r="214">
      <c r="A214" s="92" t="str">
        <f>IF($AG214="","",P_ImportID)</f>
        <v>IMP-2026-Q3-01</v>
      </c>
      <c r="B214" s="92" t="str">
        <f>IF($AG214="","",IF(INDEX($AN$8:$AN$21,INDEX($AC$8:$AC$1407,$AG214)+1)="Z",P_BronZ,P_BronE))</f>
        <v>Woningetalage_FICTIEF_20_projecten.xlsx</v>
      </c>
      <c r="C214" s="108">
        <f>IF($AG214="","",P_Importdatum)</f>
        <v>46324.0</v>
      </c>
      <c r="D214" s="92" t="str">
        <f>IF($AG214="","",P_StatusVastleg)</f>
        <v>Vastgesteld</v>
      </c>
      <c r="E214" s="92">
        <f>IF($AG214="","",P_UploadVJ)</f>
        <v>2026</v>
      </c>
      <c r="F214" s="92" t="str">
        <f>IF($AG214="","",P_UploadVersie)</f>
        <v>Q3</v>
      </c>
      <c r="G214" s="92">
        <f>IF($AG214="","",IF(COUNTIFS(L_Sleutel,$S214,L_Status,"Vastgesteld")=0,0,_xlfn.MAXIFS(L_Revisie,L_Sleutel,$S214,L_Status,"Vastgesteld")+1))</f>
        <v>1</v>
      </c>
      <c r="H214" s="108">
        <f>IF($AG214="","",P_Peildatum)</f>
        <v>46295.0</v>
      </c>
      <c r="I214" s="92">
        <f>IF($AG214="","",P_RJ+INDEX($AK$8:$AK$21,INDEX($AC$8:$AC$1407,$AG214)+1))</f>
        <v>2026</v>
      </c>
      <c r="J214" s="92" t="str">
        <f>IF($AG214="","",INDEX(V_WBS,INDEX($AB$8:$AB$1407,$AG214)))</f>
        <v>G.900015.8.9090</v>
      </c>
      <c r="K214" s="92" t="str">
        <f>IF($AG214="","",INDEX(V_Projdef,INDEX($AB$8:$AB$1407,$AG214)))</f>
        <v>G.900015</v>
      </c>
      <c r="L214" s="92" t="str">
        <f>IF($AG214="","",INDEX(V_Naam,INDEX($AB$8:$AB$1407,$AG214)))</f>
        <v>Lindehaven, Parkzoom fase 2</v>
      </c>
      <c r="M214" s="92" t="str">
        <f>IF($AG214="","",INDEX(V_Type,INDEX($AB$8:$AB$1407,$AG214)))</f>
        <v>Opstal</v>
      </c>
      <c r="N214" s="92" t="str">
        <f>IF($AG214="","",INDEX(V_IFRS,INDEX($AB$8:$AB$1407,$AG214)))</f>
        <v>J</v>
      </c>
      <c r="O214" s="92" t="str">
        <f>IF($AG214="","",INDEX($AL$8:$AL$21,INDEX($AC$8:$AC$1407,$AG214)+1))</f>
        <v>Woningverkopen Q3</v>
      </c>
      <c r="P214" s="109">
        <f>IF($AG214="","",INDEX($AD$8:$AD$1407,$AG214))</f>
        <v>10</v>
      </c>
      <c r="Q214" s="92" t="str">
        <f>IF($AG214="","",INDEX($AM$8:$AM$21,INDEX($AC$8:$AC$1407,$AG214)+1))</f>
        <v>aantal</v>
      </c>
      <c r="R214" s="92" t="str">
        <f>IF($AG214="","",IF($G214&gt;0,P_ToelCorrectie&amp;"",""))</f>
        <v/>
      </c>
      <c r="S214" s="15" t="str">
        <f>IF(J214="","",J214&amp;"|"&amp;E214&amp;"|"&amp;F214&amp;"|"&amp;I214&amp;"|"&amp;O214)</f>
        <v>G.900015.8.9090|2026|Q3|2026|Woningverkopen Q3</v>
      </c>
      <c r="T214" s="111">
        <f>IF(S214="","",IF(COUNTIFS(L_Sleutel,S214,L_Actief,1)=0,"",SUMIFS(L_Waarde,L_Sleutel,S214,L_Actief,1)))</f>
        <v>10</v>
      </c>
      <c r="U214" s="111">
        <f>IF(OR(S214="",T214=""),0,P214-T214)</f>
        <v>0</v>
      </c>
      <c r="AB214" s="112" t="n">
        <v>15</v>
      </c>
      <c r="AC214" s="112" t="n">
        <v>10</v>
      </c>
      <c r="AD214" s="112">
        <f>VERW_Project!BS20</f>
        <v>10</v>
      </c>
      <c r="AE214" s="112">
        <f>IF(AND(VERW_Project!$A20&lt;&gt;"",ISNUMBER(AD214)),1,0)</f>
        <v>1</v>
      </c>
      <c r="AF214" s="112">
        <f>IF(AE214=1,SUM($AE$8:AE214),"")</f>
        <v>207</v>
      </c>
      <c r="AG214">
        <f>IFERROR(MATCH(207,$AF$8:$AF$1407,0),"")</f>
        <v>207</v>
      </c>
    </row>
    <row r="215">
      <c r="A215" s="92" t="str">
        <f>IF($AG215="","",P_ImportID)</f>
        <v>IMP-2026-Q3-01</v>
      </c>
      <c r="B215" s="92" t="str">
        <f>IF($AG215="","",IF(INDEX($AN$8:$AN$21,INDEX($AC$8:$AC$1407,$AG215)+1)="Z",P_BronZ,P_BronE))</f>
        <v>Woningetalage_FICTIEF_20_projecten.xlsx</v>
      </c>
      <c r="C215" s="108">
        <f>IF($AG215="","",P_Importdatum)</f>
        <v>46324.0</v>
      </c>
      <c r="D215" s="92" t="str">
        <f>IF($AG215="","",P_StatusVastleg)</f>
        <v>Vastgesteld</v>
      </c>
      <c r="E215" s="92">
        <f>IF($AG215="","",P_UploadVJ)</f>
        <v>2026</v>
      </c>
      <c r="F215" s="92" t="str">
        <f>IF($AG215="","",P_UploadVersie)</f>
        <v>Q3</v>
      </c>
      <c r="G215" s="92">
        <f>IF($AG215="","",IF(COUNTIFS(L_Sleutel,$S215,L_Status,"Vastgesteld")=0,0,_xlfn.MAXIFS(L_Revisie,L_Sleutel,$S215,L_Status,"Vastgesteld")+1))</f>
        <v>1</v>
      </c>
      <c r="H215" s="108">
        <f>IF($AG215="","",P_Peildatum)</f>
        <v>46295.0</v>
      </c>
      <c r="I215" s="92">
        <f>IF($AG215="","",P_RJ+INDEX($AK$8:$AK$21,INDEX($AC$8:$AC$1407,$AG215)+1))</f>
        <v>2026</v>
      </c>
      <c r="J215" s="92" t="str">
        <f>IF($AG215="","",INDEX(V_WBS,INDEX($AB$8:$AB$1407,$AG215)))</f>
        <v>G.900015.8.9090</v>
      </c>
      <c r="K215" s="92" t="str">
        <f>IF($AG215="","",INDEX(V_Projdef,INDEX($AB$8:$AB$1407,$AG215)))</f>
        <v>G.900015</v>
      </c>
      <c r="L215" s="92" t="str">
        <f>IF($AG215="","",INDEX(V_Naam,INDEX($AB$8:$AB$1407,$AG215)))</f>
        <v>Lindehaven, Parkzoom fase 2</v>
      </c>
      <c r="M215" s="92" t="str">
        <f>IF($AG215="","",INDEX(V_Type,INDEX($AB$8:$AB$1407,$AG215)))</f>
        <v>Opstal</v>
      </c>
      <c r="N215" s="92" t="str">
        <f>IF($AG215="","",INDEX(V_IFRS,INDEX($AB$8:$AB$1407,$AG215)))</f>
        <v>J</v>
      </c>
      <c r="O215" s="92" t="str">
        <f>IF($AG215="","",INDEX($AL$8:$AL$21,INDEX($AC$8:$AC$1407,$AG215)+1))</f>
        <v>Woningverkopen Q4</v>
      </c>
      <c r="P215" s="109">
        <f>IF($AG215="","",INDEX($AD$8:$AD$1407,$AG215))</f>
        <v>11</v>
      </c>
      <c r="Q215" s="92" t="str">
        <f>IF($AG215="","",INDEX($AM$8:$AM$21,INDEX($AC$8:$AC$1407,$AG215)+1))</f>
        <v>aantal</v>
      </c>
      <c r="R215" s="92" t="str">
        <f>IF($AG215="","",IF($G215&gt;0,P_ToelCorrectie&amp;"",""))</f>
        <v/>
      </c>
      <c r="S215" s="15" t="str">
        <f>IF(J215="","",J215&amp;"|"&amp;E215&amp;"|"&amp;F215&amp;"|"&amp;I215&amp;"|"&amp;O215)</f>
        <v>G.900015.8.9090|2026|Q3|2026|Woningverkopen Q4</v>
      </c>
      <c r="T215" s="111">
        <f>IF(S215="","",IF(COUNTIFS(L_Sleutel,S215,L_Actief,1)=0,"",SUMIFS(L_Waarde,L_Sleutel,S215,L_Actief,1)))</f>
        <v>11</v>
      </c>
      <c r="U215" s="111">
        <f>IF(OR(S215="",T215=""),0,P215-T215)</f>
        <v>0</v>
      </c>
      <c r="AB215" s="112" t="n">
        <v>15</v>
      </c>
      <c r="AC215" s="112" t="n">
        <v>11</v>
      </c>
      <c r="AD215" s="112">
        <f>VERW_Project!BT20</f>
        <v>11</v>
      </c>
      <c r="AE215" s="112">
        <f>IF(AND(VERW_Project!$A20&lt;&gt;"",ISNUMBER(AD215)),1,0)</f>
        <v>1</v>
      </c>
      <c r="AF215" s="112">
        <f>IF(AE215=1,SUM($AE$8:AE215),"")</f>
        <v>208</v>
      </c>
      <c r="AG215">
        <f>IFERROR(MATCH(208,$AF$8:$AF$1407,0),"")</f>
        <v>208</v>
      </c>
    </row>
    <row r="216">
      <c r="A216" s="92" t="str">
        <f>IF($AG216="","",P_ImportID)</f>
        <v>IMP-2026-Q3-01</v>
      </c>
      <c r="B216" s="92" t="str">
        <f>IF($AG216="","",IF(INDEX($AN$8:$AN$21,INDEX($AC$8:$AC$1407,$AG216)+1)="Z",P_BronZ,P_BronE))</f>
        <v>Woningetalage_FICTIEF_20_projecten.xlsx</v>
      </c>
      <c r="C216" s="108">
        <f>IF($AG216="","",P_Importdatum)</f>
        <v>46324.0</v>
      </c>
      <c r="D216" s="92" t="str">
        <f>IF($AG216="","",P_StatusVastleg)</f>
        <v>Vastgesteld</v>
      </c>
      <c r="E216" s="92">
        <f>IF($AG216="","",P_UploadVJ)</f>
        <v>2026</v>
      </c>
      <c r="F216" s="92" t="str">
        <f>IF($AG216="","",P_UploadVersie)</f>
        <v>Q3</v>
      </c>
      <c r="G216" s="92">
        <f>IF($AG216="","",IF(COUNTIFS(L_Sleutel,$S216,L_Status,"Vastgesteld")=0,0,_xlfn.MAXIFS(L_Revisie,L_Sleutel,$S216,L_Status,"Vastgesteld")+1))</f>
        <v>1</v>
      </c>
      <c r="H216" s="108">
        <f>IF($AG216="","",P_Peildatum)</f>
        <v>46295.0</v>
      </c>
      <c r="I216" s="92">
        <f>IF($AG216="","",P_RJ+INDEX($AK$8:$AK$21,INDEX($AC$8:$AC$1407,$AG216)+1))</f>
        <v>2026</v>
      </c>
      <c r="J216" s="92" t="str">
        <f>IF($AG216="","",INDEX(V_WBS,INDEX($AB$8:$AB$1407,$AG216)))</f>
        <v>G.900015.8.9090</v>
      </c>
      <c r="K216" s="92" t="str">
        <f>IF($AG216="","",INDEX(V_Projdef,INDEX($AB$8:$AB$1407,$AG216)))</f>
        <v>G.900015</v>
      </c>
      <c r="L216" s="92" t="str">
        <f>IF($AG216="","",INDEX(V_Naam,INDEX($AB$8:$AB$1407,$AG216)))</f>
        <v>Lindehaven, Parkzoom fase 2</v>
      </c>
      <c r="M216" s="92" t="str">
        <f>IF($AG216="","",INDEX(V_Type,INDEX($AB$8:$AB$1407,$AG216)))</f>
        <v>Opstal</v>
      </c>
      <c r="N216" s="92" t="str">
        <f>IF($AG216="","",INDEX(V_IFRS,INDEX($AB$8:$AB$1407,$AG216)))</f>
        <v>J</v>
      </c>
      <c r="O216" s="92" t="str">
        <f>IF($AG216="","",INDEX($AL$8:$AL$21,INDEX($AC$8:$AC$1407,$AG216)+1))</f>
        <v>Woningverkopen actual YTD</v>
      </c>
      <c r="P216" s="109">
        <f>IF($AG216="","",INDEX($AD$8:$AD$1407,$AG216))</f>
        <v>25</v>
      </c>
      <c r="Q216" s="92" t="str">
        <f>IF($AG216="","",INDEX($AM$8:$AM$21,INDEX($AC$8:$AC$1407,$AG216)+1))</f>
        <v>aantal</v>
      </c>
      <c r="R216" s="92" t="str">
        <f>IF($AG216="","",IF($G216&gt;0,P_ToelCorrectie&amp;"",""))</f>
        <v/>
      </c>
      <c r="S216" s="15" t="str">
        <f>IF(J216="","",J216&amp;"|"&amp;E216&amp;"|"&amp;F216&amp;"|"&amp;I216&amp;"|"&amp;O216)</f>
        <v>G.900015.8.9090|2026|Q3|2026|Woningverkopen actual YTD</v>
      </c>
      <c r="T216" s="111">
        <f>IF(S216="","",IF(COUNTIFS(L_Sleutel,S216,L_Actief,1)=0,"",SUMIFS(L_Waarde,L_Sleutel,S216,L_Actief,1)))</f>
        <v>25</v>
      </c>
      <c r="U216" s="111">
        <f>IF(OR(S216="",T216=""),0,P216-T216)</f>
        <v>0</v>
      </c>
      <c r="AB216" s="112" t="n">
        <v>15</v>
      </c>
      <c r="AC216" s="112" t="n">
        <v>12</v>
      </c>
      <c r="AD216" s="112">
        <f>VERW_Project!BU20</f>
        <v>25</v>
      </c>
      <c r="AE216" s="112">
        <f>IF(AND(VERW_Project!$A20&lt;&gt;"",ISNUMBER(AD216)),1,0)</f>
        <v>1</v>
      </c>
      <c r="AF216" s="112">
        <f>IF(AE216=1,SUM($AE$8:AE216),"")</f>
        <v>209</v>
      </c>
      <c r="AG216">
        <f>IFERROR(MATCH(209,$AF$8:$AF$1407,0),"")</f>
        <v>209</v>
      </c>
    </row>
    <row r="217">
      <c r="A217" s="92" t="str">
        <f>IF($AG217="","",P_ImportID)</f>
        <v>IMP-2026-Q3-01</v>
      </c>
      <c r="B217" s="92" t="str">
        <f>IF($AG217="","",IF(INDEX($AN$8:$AN$21,INDEX($AC$8:$AC$1407,$AG217)+1)="Z",P_BronZ,P_BronE))</f>
        <v>Woningetalage_FICTIEF_20_projecten.xlsx</v>
      </c>
      <c r="C217" s="108">
        <f>IF($AG217="","",P_Importdatum)</f>
        <v>46324.0</v>
      </c>
      <c r="D217" s="92" t="str">
        <f>IF($AG217="","",P_StatusVastleg)</f>
        <v>Vastgesteld</v>
      </c>
      <c r="E217" s="92">
        <f>IF($AG217="","",P_UploadVJ)</f>
        <v>2026</v>
      </c>
      <c r="F217" s="92" t="str">
        <f>IF($AG217="","",P_UploadVersie)</f>
        <v>Q3</v>
      </c>
      <c r="G217" s="92">
        <f>IF($AG217="","",IF(COUNTIFS(L_Sleutel,$S217,L_Status,"Vastgesteld")=0,0,_xlfn.MAXIFS(L_Revisie,L_Sleutel,$S217,L_Status,"Vastgesteld")+1))</f>
        <v>0</v>
      </c>
      <c r="H217" s="108">
        <f>IF($AG217="","",P_Peildatum)</f>
        <v>46295.0</v>
      </c>
      <c r="I217" s="92">
        <f>IF($AG217="","",P_RJ+INDEX($AK$8:$AK$21,INDEX($AC$8:$AC$1407,$AG217)+1))</f>
        <v>2027</v>
      </c>
      <c r="J217" s="92" t="str">
        <f>IF($AG217="","",INDEX(V_WBS,INDEX($AB$8:$AB$1407,$AG217)))</f>
        <v>G.900015.8.9090</v>
      </c>
      <c r="K217" s="92" t="str">
        <f>IF($AG217="","",INDEX(V_Projdef,INDEX($AB$8:$AB$1407,$AG217)))</f>
        <v>G.900015</v>
      </c>
      <c r="L217" s="92" t="str">
        <f>IF($AG217="","",INDEX(V_Naam,INDEX($AB$8:$AB$1407,$AG217)))</f>
        <v>Lindehaven, Parkzoom fase 2</v>
      </c>
      <c r="M217" s="92" t="str">
        <f>IF($AG217="","",INDEX(V_Type,INDEX($AB$8:$AB$1407,$AG217)))</f>
        <v>Opstal</v>
      </c>
      <c r="N217" s="92" t="str">
        <f>IF($AG217="","",INDEX(V_IFRS,INDEX($AB$8:$AB$1407,$AG217)))</f>
        <v>J</v>
      </c>
      <c r="O217" s="92" t="str">
        <f>IF($AG217="","",INDEX($AL$8:$AL$21,INDEX($AC$8:$AC$1407,$AG217)+1))</f>
        <v>Woningverkopen FY</v>
      </c>
      <c r="P217" s="109">
        <f>IF($AG217="","",INDEX($AD$8:$AD$1407,$AG217))</f>
        <v>49</v>
      </c>
      <c r="Q217" s="92" t="str">
        <f>IF($AG217="","",INDEX($AM$8:$AM$21,INDEX($AC$8:$AC$1407,$AG217)+1))</f>
        <v>aantal</v>
      </c>
      <c r="R217" s="92" t="str">
        <f>IF($AG217="","",IF($G217&gt;0,P_ToelCorrectie&amp;"",""))</f>
        <v/>
      </c>
      <c r="S217" s="15" t="str">
        <f>IF(J217="","",J217&amp;"|"&amp;E217&amp;"|"&amp;F217&amp;"|"&amp;I217&amp;"|"&amp;O217)</f>
        <v>G.900015.8.9090|2026|Q3|2027|Woningverkopen FY</v>
      </c>
      <c r="T217" s="111" t="str">
        <f>IF(S217="","",IF(COUNTIFS(L_Sleutel,S217,L_Actief,1)=0,"",SUMIFS(L_Waarde,L_Sleutel,S217,L_Actief,1)))</f>
        <v/>
      </c>
      <c r="U217" s="111">
        <f>IF(OR(S217="",T217=""),0,P217-T217)</f>
        <v>0</v>
      </c>
      <c r="AB217" s="112" t="n">
        <v>15</v>
      </c>
      <c r="AC217" s="112" t="n">
        <v>13</v>
      </c>
      <c r="AD217" s="112">
        <f>VERW_Project!BX20</f>
        <v>49</v>
      </c>
      <c r="AE217" s="112">
        <f>IF(AND(VERW_Project!$A20&lt;&gt;"",ISNUMBER(AD217)),1,0)</f>
        <v>1</v>
      </c>
      <c r="AF217" s="112">
        <f>IF(AE217=1,SUM($AE$8:AE217),"")</f>
        <v>210</v>
      </c>
      <c r="AG217">
        <f>IFERROR(MATCH(210,$AF$8:$AF$1407,0),"")</f>
        <v>210</v>
      </c>
    </row>
    <row r="218">
      <c r="A218" s="92" t="str">
        <f>IF($AG218="","",P_ImportID)</f>
        <v>IMP-2026-Q3-01</v>
      </c>
      <c r="B218" s="92" t="str">
        <f>IF($AG218="","",IF(INDEX($AN$8:$AN$21,INDEX($AC$8:$AC$1407,$AG218)+1)="Z",P_BronZ,P_BronE))</f>
        <v>ZPMW03_FICTIEF_20_projecten.xlsx</v>
      </c>
      <c r="C218" s="108">
        <f>IF($AG218="","",P_Importdatum)</f>
        <v>46324.0</v>
      </c>
      <c r="D218" s="92" t="str">
        <f>IF($AG218="","",P_StatusVastleg)</f>
        <v>Vastgesteld</v>
      </c>
      <c r="E218" s="92">
        <f>IF($AG218="","",P_UploadVJ)</f>
        <v>2026</v>
      </c>
      <c r="F218" s="92" t="str">
        <f>IF($AG218="","",P_UploadVersie)</f>
        <v>Q3</v>
      </c>
      <c r="G218" s="92">
        <f>IF($AG218="","",IF(COUNTIFS(L_Sleutel,$S218,L_Status,"Vastgesteld")=0,0,_xlfn.MAXIFS(L_Revisie,L_Sleutel,$S218,L_Status,"Vastgesteld")+1))</f>
        <v>1</v>
      </c>
      <c r="H218" s="108">
        <f>IF($AG218="","",P_Peildatum)</f>
        <v>46295.0</v>
      </c>
      <c r="I218" s="92">
        <f>IF($AG218="","",P_RJ+INDEX($AK$8:$AK$21,INDEX($AC$8:$AC$1407,$AG218)+1))</f>
        <v>2026</v>
      </c>
      <c r="J218" s="92" t="str">
        <f>IF($AG218="","",INDEX(V_WBS,INDEX($AB$8:$AB$1407,$AG218)))</f>
        <v>G.900016.8.9090</v>
      </c>
      <c r="K218" s="92" t="str">
        <f>IF($AG218="","",INDEX(V_Projdef,INDEX($AB$8:$AB$1407,$AG218)))</f>
        <v>G.900016</v>
      </c>
      <c r="L218" s="92" t="str">
        <f>IF($AG218="","",INDEX(V_Naam,INDEX($AB$8:$AB$1407,$AG218)))</f>
        <v>Duinwaard, De Lantaarn</v>
      </c>
      <c r="M218" s="92" t="str">
        <f>IF($AG218="","",INDEX(V_Type,INDEX($AB$8:$AB$1407,$AG218)))</f>
        <v>Opstal</v>
      </c>
      <c r="N218" s="92" t="str">
        <f>IF($AG218="","",INDEX(V_IFRS,INDEX($AB$8:$AB$1407,$AG218)))</f>
        <v>J</v>
      </c>
      <c r="O218" s="92" t="str">
        <f>IF($AG218="","",INDEX($AL$8:$AL$21,INDEX($AC$8:$AC$1407,$AG218)+1))</f>
        <v>Omzet FY</v>
      </c>
      <c r="P218" s="109">
        <f>IF($AG218="","",INDEX($AD$8:$AD$1407,$AG218))</f>
        <v>4864000</v>
      </c>
      <c r="Q218" s="92" t="str">
        <f>IF($AG218="","",INDEX($AM$8:$AM$21,INDEX($AC$8:$AC$1407,$AG218)+1))</f>
        <v>EUR</v>
      </c>
      <c r="R218" s="92" t="str">
        <f>IF($AG218="","",IF($G218&gt;0,P_ToelCorrectie&amp;"",""))</f>
        <v/>
      </c>
      <c r="S218" s="15" t="str">
        <f>IF(J218="","",J218&amp;"|"&amp;E218&amp;"|"&amp;F218&amp;"|"&amp;I218&amp;"|"&amp;O218)</f>
        <v>G.900016.8.9090|2026|Q3|2026|Omzet FY</v>
      </c>
      <c r="T218" s="111">
        <f>IF(S218="","",IF(COUNTIFS(L_Sleutel,S218,L_Actief,1)=0,"",SUMIFS(L_Waarde,L_Sleutel,S218,L_Actief,1)))</f>
        <v>4864000</v>
      </c>
      <c r="U218" s="111">
        <f>IF(OR(S218="",T218=""),0,P218-T218)</f>
        <v>0</v>
      </c>
      <c r="AB218" s="112" t="n">
        <v>16</v>
      </c>
      <c r="AC218" s="112" t="n">
        <v>0</v>
      </c>
      <c r="AD218" s="112">
        <f>VERW_Project!P21</f>
        <v>4864000</v>
      </c>
      <c r="AE218" s="112">
        <f>IF(AND(VERW_Project!$A21&lt;&gt;"",ISNUMBER(AD218)),1,0)</f>
        <v>1</v>
      </c>
      <c r="AF218" s="112">
        <f>IF(AE218=1,SUM($AE$8:AE218),"")</f>
        <v>211</v>
      </c>
      <c r="AG218">
        <f>IFERROR(MATCH(211,$AF$8:$AF$1407,0),"")</f>
        <v>211</v>
      </c>
    </row>
    <row r="219">
      <c r="A219" s="92" t="str">
        <f>IF($AG219="","",P_ImportID)</f>
        <v>IMP-2026-Q3-01</v>
      </c>
      <c r="B219" s="92" t="str">
        <f>IF($AG219="","",IF(INDEX($AN$8:$AN$21,INDEX($AC$8:$AC$1407,$AG219)+1)="Z",P_BronZ,P_BronE))</f>
        <v>ZPMW03_FICTIEF_20_projecten.xlsx</v>
      </c>
      <c r="C219" s="108">
        <f>IF($AG219="","",P_Importdatum)</f>
        <v>46324.0</v>
      </c>
      <c r="D219" s="92" t="str">
        <f>IF($AG219="","",P_StatusVastleg)</f>
        <v>Vastgesteld</v>
      </c>
      <c r="E219" s="92">
        <f>IF($AG219="","",P_UploadVJ)</f>
        <v>2026</v>
      </c>
      <c r="F219" s="92" t="str">
        <f>IF($AG219="","",P_UploadVersie)</f>
        <v>Q3</v>
      </c>
      <c r="G219" s="92">
        <f>IF($AG219="","",IF(COUNTIFS(L_Sleutel,$S219,L_Status,"Vastgesteld")=0,0,_xlfn.MAXIFS(L_Revisie,L_Sleutel,$S219,L_Status,"Vastgesteld")+1))</f>
        <v>1</v>
      </c>
      <c r="H219" s="108">
        <f>IF($AG219="","",P_Peildatum)</f>
        <v>46295.0</v>
      </c>
      <c r="I219" s="92">
        <f>IF($AG219="","",P_RJ+INDEX($AK$8:$AK$21,INDEX($AC$8:$AC$1407,$AG219)+1))</f>
        <v>2026</v>
      </c>
      <c r="J219" s="92" t="str">
        <f>IF($AG219="","",INDEX(V_WBS,INDEX($AB$8:$AB$1407,$AG219)))</f>
        <v>G.900016.8.9090</v>
      </c>
      <c r="K219" s="92" t="str">
        <f>IF($AG219="","",INDEX(V_Projdef,INDEX($AB$8:$AB$1407,$AG219)))</f>
        <v>G.900016</v>
      </c>
      <c r="L219" s="92" t="str">
        <f>IF($AG219="","",INDEX(V_Naam,INDEX($AB$8:$AB$1407,$AG219)))</f>
        <v>Duinwaard, De Lantaarn</v>
      </c>
      <c r="M219" s="92" t="str">
        <f>IF($AG219="","",INDEX(V_Type,INDEX($AB$8:$AB$1407,$AG219)))</f>
        <v>Opstal</v>
      </c>
      <c r="N219" s="92" t="str">
        <f>IF($AG219="","",INDEX(V_IFRS,INDEX($AB$8:$AB$1407,$AG219)))</f>
        <v>J</v>
      </c>
      <c r="O219" s="92" t="str">
        <f>IF($AG219="","",INDEX($AL$8:$AL$21,INDEX($AC$8:$AC$1407,$AG219)+1))</f>
        <v>BOR FY</v>
      </c>
      <c r="P219" s="109">
        <f>IF($AG219="","",INDEX($AD$8:$AD$1407,$AG219))</f>
        <v>680960</v>
      </c>
      <c r="Q219" s="92" t="str">
        <f>IF($AG219="","",INDEX($AM$8:$AM$21,INDEX($AC$8:$AC$1407,$AG219)+1))</f>
        <v>EUR</v>
      </c>
      <c r="R219" s="92" t="str">
        <f>IF($AG219="","",IF($G219&gt;0,P_ToelCorrectie&amp;"",""))</f>
        <v/>
      </c>
      <c r="S219" s="15" t="str">
        <f>IF(J219="","",J219&amp;"|"&amp;E219&amp;"|"&amp;F219&amp;"|"&amp;I219&amp;"|"&amp;O219)</f>
        <v>G.900016.8.9090|2026|Q3|2026|BOR FY</v>
      </c>
      <c r="T219" s="111">
        <f>IF(S219="","",IF(COUNTIFS(L_Sleutel,S219,L_Actief,1)=0,"",SUMIFS(L_Waarde,L_Sleutel,S219,L_Actief,1)))</f>
        <v>680960</v>
      </c>
      <c r="U219" s="111">
        <f>IF(OR(S219="",T219=""),0,P219-T219)</f>
        <v>0</v>
      </c>
      <c r="AB219" s="112" t="n">
        <v>16</v>
      </c>
      <c r="AC219" s="112" t="n">
        <v>1</v>
      </c>
      <c r="AD219" s="112">
        <f>VERW_Project!Q21</f>
        <v>680960</v>
      </c>
      <c r="AE219" s="112">
        <f>IF(AND(VERW_Project!$A21&lt;&gt;"",ISNUMBER(AD219)),1,0)</f>
        <v>1</v>
      </c>
      <c r="AF219" s="112">
        <f>IF(AE219=1,SUM($AE$8:AE219),"")</f>
        <v>212</v>
      </c>
      <c r="AG219">
        <f>IFERROR(MATCH(212,$AF$8:$AF$1407,0),"")</f>
        <v>212</v>
      </c>
    </row>
    <row r="220">
      <c r="A220" s="92" t="str">
        <f>IF($AG220="","",P_ImportID)</f>
        <v>IMP-2026-Q3-01</v>
      </c>
      <c r="B220" s="92" t="str">
        <f>IF($AG220="","",IF(INDEX($AN$8:$AN$21,INDEX($AC$8:$AC$1407,$AG220)+1)="Z",P_BronZ,P_BronE))</f>
        <v>ZPMW03_FICTIEF_20_projecten.xlsx</v>
      </c>
      <c r="C220" s="108">
        <f>IF($AG220="","",P_Importdatum)</f>
        <v>46324.0</v>
      </c>
      <c r="D220" s="92" t="str">
        <f>IF($AG220="","",P_StatusVastleg)</f>
        <v>Vastgesteld</v>
      </c>
      <c r="E220" s="92">
        <f>IF($AG220="","",P_UploadVJ)</f>
        <v>2026</v>
      </c>
      <c r="F220" s="92" t="str">
        <f>IF($AG220="","",P_UploadVersie)</f>
        <v>Q3</v>
      </c>
      <c r="G220" s="92">
        <f>IF($AG220="","",IF(COUNTIFS(L_Sleutel,$S220,L_Status,"Vastgesteld")=0,0,_xlfn.MAXIFS(L_Revisie,L_Sleutel,$S220,L_Status,"Vastgesteld")+1))</f>
        <v>1</v>
      </c>
      <c r="H220" s="108">
        <f>IF($AG220="","",P_Peildatum)</f>
        <v>46295.0</v>
      </c>
      <c r="I220" s="92">
        <f>IF($AG220="","",P_RJ+INDEX($AK$8:$AK$21,INDEX($AC$8:$AC$1407,$AG220)+1))</f>
        <v>2026</v>
      </c>
      <c r="J220" s="92" t="str">
        <f>IF($AG220="","",INDEX(V_WBS,INDEX($AB$8:$AB$1407,$AG220)))</f>
        <v>G.900016.8.9090</v>
      </c>
      <c r="K220" s="92" t="str">
        <f>IF($AG220="","",INDEX(V_Projdef,INDEX($AB$8:$AB$1407,$AG220)))</f>
        <v>G.900016</v>
      </c>
      <c r="L220" s="92" t="str">
        <f>IF($AG220="","",INDEX(V_Naam,INDEX($AB$8:$AB$1407,$AG220)))</f>
        <v>Duinwaard, De Lantaarn</v>
      </c>
      <c r="M220" s="92" t="str">
        <f>IF($AG220="","",INDEX(V_Type,INDEX($AB$8:$AB$1407,$AG220)))</f>
        <v>Opstal</v>
      </c>
      <c r="N220" s="92" t="str">
        <f>IF($AG220="","",INDEX(V_IFRS,INDEX($AB$8:$AB$1407,$AG220)))</f>
        <v>J</v>
      </c>
      <c r="O220" s="92" t="str">
        <f>IF($AG220="","",INDEX($AL$8:$AL$21,INDEX($AC$8:$AC$1407,$AG220)+1))</f>
        <v>Omzet actual YTD</v>
      </c>
      <c r="P220" s="109">
        <f>IF($AG220="","",INDEX($AD$8:$AD$1407,$AG220))</f>
        <v>3161600</v>
      </c>
      <c r="Q220" s="92" t="str">
        <f>IF($AG220="","",INDEX($AM$8:$AM$21,INDEX($AC$8:$AC$1407,$AG220)+1))</f>
        <v>EUR</v>
      </c>
      <c r="R220" s="92" t="str">
        <f>IF($AG220="","",IF($G220&gt;0,P_ToelCorrectie&amp;"",""))</f>
        <v/>
      </c>
      <c r="S220" s="15" t="str">
        <f>IF(J220="","",J220&amp;"|"&amp;E220&amp;"|"&amp;F220&amp;"|"&amp;I220&amp;"|"&amp;O220)</f>
        <v>G.900016.8.9090|2026|Q3|2026|Omzet actual YTD</v>
      </c>
      <c r="T220" s="111">
        <f>IF(S220="","",IF(COUNTIFS(L_Sleutel,S220,L_Actief,1)=0,"",SUMIFS(L_Waarde,L_Sleutel,S220,L_Actief,1)))</f>
        <v>3161600</v>
      </c>
      <c r="U220" s="111">
        <f>IF(OR(S220="",T220=""),0,P220-T220)</f>
        <v>0</v>
      </c>
      <c r="AB220" s="112" t="n">
        <v>16</v>
      </c>
      <c r="AC220" s="112" t="n">
        <v>2</v>
      </c>
      <c r="AD220" s="112">
        <f>VERW_Project!L21</f>
        <v>3161600</v>
      </c>
      <c r="AE220" s="112">
        <f>IF(AND(VERW_Project!$A21&lt;&gt;"",ISNUMBER(AD220)),1,0)</f>
        <v>1</v>
      </c>
      <c r="AF220" s="112">
        <f>IF(AE220=1,SUM($AE$8:AE220),"")</f>
        <v>213</v>
      </c>
      <c r="AG220">
        <f>IFERROR(MATCH(213,$AF$8:$AF$1407,0),"")</f>
        <v>213</v>
      </c>
    </row>
    <row r="221">
      <c r="A221" s="92" t="str">
        <f>IF($AG221="","",P_ImportID)</f>
        <v>IMP-2026-Q3-01</v>
      </c>
      <c r="B221" s="92" t="str">
        <f>IF($AG221="","",IF(INDEX($AN$8:$AN$21,INDEX($AC$8:$AC$1407,$AG221)+1)="Z",P_BronZ,P_BronE))</f>
        <v>ZPMW03_FICTIEF_20_projecten.xlsx</v>
      </c>
      <c r="C221" s="108">
        <f>IF($AG221="","",P_Importdatum)</f>
        <v>46324.0</v>
      </c>
      <c r="D221" s="92" t="str">
        <f>IF($AG221="","",P_StatusVastleg)</f>
        <v>Vastgesteld</v>
      </c>
      <c r="E221" s="92">
        <f>IF($AG221="","",P_UploadVJ)</f>
        <v>2026</v>
      </c>
      <c r="F221" s="92" t="str">
        <f>IF($AG221="","",P_UploadVersie)</f>
        <v>Q3</v>
      </c>
      <c r="G221" s="92">
        <f>IF($AG221="","",IF(COUNTIFS(L_Sleutel,$S221,L_Status,"Vastgesteld")=0,0,_xlfn.MAXIFS(L_Revisie,L_Sleutel,$S221,L_Status,"Vastgesteld")+1))</f>
        <v>1</v>
      </c>
      <c r="H221" s="108">
        <f>IF($AG221="","",P_Peildatum)</f>
        <v>46295.0</v>
      </c>
      <c r="I221" s="92">
        <f>IF($AG221="","",P_RJ+INDEX($AK$8:$AK$21,INDEX($AC$8:$AC$1407,$AG221)+1))</f>
        <v>2026</v>
      </c>
      <c r="J221" s="92" t="str">
        <f>IF($AG221="","",INDEX(V_WBS,INDEX($AB$8:$AB$1407,$AG221)))</f>
        <v>G.900016.8.9090</v>
      </c>
      <c r="K221" s="92" t="str">
        <f>IF($AG221="","",INDEX(V_Projdef,INDEX($AB$8:$AB$1407,$AG221)))</f>
        <v>G.900016</v>
      </c>
      <c r="L221" s="92" t="str">
        <f>IF($AG221="","",INDEX(V_Naam,INDEX($AB$8:$AB$1407,$AG221)))</f>
        <v>Duinwaard, De Lantaarn</v>
      </c>
      <c r="M221" s="92" t="str">
        <f>IF($AG221="","",INDEX(V_Type,INDEX($AB$8:$AB$1407,$AG221)))</f>
        <v>Opstal</v>
      </c>
      <c r="N221" s="92" t="str">
        <f>IF($AG221="","",INDEX(V_IFRS,INDEX($AB$8:$AB$1407,$AG221)))</f>
        <v>J</v>
      </c>
      <c r="O221" s="92" t="str">
        <f>IF($AG221="","",INDEX($AL$8:$AL$21,INDEX($AC$8:$AC$1407,$AG221)+1))</f>
        <v>BOR actual YTD</v>
      </c>
      <c r="P221" s="109">
        <f>IF($AG221="","",INDEX($AD$8:$AD$1407,$AG221))</f>
        <v>442624</v>
      </c>
      <c r="Q221" s="92" t="str">
        <f>IF($AG221="","",INDEX($AM$8:$AM$21,INDEX($AC$8:$AC$1407,$AG221)+1))</f>
        <v>EUR</v>
      </c>
      <c r="R221" s="92" t="str">
        <f>IF($AG221="","",IF($G221&gt;0,P_ToelCorrectie&amp;"",""))</f>
        <v/>
      </c>
      <c r="S221" s="15" t="str">
        <f>IF(J221="","",J221&amp;"|"&amp;E221&amp;"|"&amp;F221&amp;"|"&amp;I221&amp;"|"&amp;O221)</f>
        <v>G.900016.8.9090|2026|Q3|2026|BOR actual YTD</v>
      </c>
      <c r="T221" s="111">
        <f>IF(S221="","",IF(COUNTIFS(L_Sleutel,S221,L_Actief,1)=0,"",SUMIFS(L_Waarde,L_Sleutel,S221,L_Actief,1)))</f>
        <v>442624</v>
      </c>
      <c r="U221" s="111">
        <f>IF(OR(S221="",T221=""),0,P221-T221)</f>
        <v>0</v>
      </c>
      <c r="AB221" s="112" t="n">
        <v>16</v>
      </c>
      <c r="AC221" s="112" t="n">
        <v>3</v>
      </c>
      <c r="AD221" s="112">
        <f>VERW_Project!M21</f>
        <v>442624</v>
      </c>
      <c r="AE221" s="112">
        <f>IF(AND(VERW_Project!$A21&lt;&gt;"",ISNUMBER(AD221)),1,0)</f>
        <v>1</v>
      </c>
      <c r="AF221" s="112">
        <f>IF(AE221=1,SUM($AE$8:AE221),"")</f>
        <v>214</v>
      </c>
      <c r="AG221">
        <f>IFERROR(MATCH(214,$AF$8:$AF$1407,0),"")</f>
        <v>214</v>
      </c>
    </row>
    <row r="222">
      <c r="A222" s="92" t="str">
        <f>IF($AG222="","",P_ImportID)</f>
        <v>IMP-2026-Q3-01</v>
      </c>
      <c r="B222" s="92" t="str">
        <f>IF($AG222="","",IF(INDEX($AN$8:$AN$21,INDEX($AC$8:$AC$1407,$AG222)+1)="Z",P_BronZ,P_BronE))</f>
        <v>ZPMW03_FICTIEF_20_projecten.xlsx</v>
      </c>
      <c r="C222" s="108">
        <f>IF($AG222="","",P_Importdatum)</f>
        <v>46324.0</v>
      </c>
      <c r="D222" s="92" t="str">
        <f>IF($AG222="","",P_StatusVastleg)</f>
        <v>Vastgesteld</v>
      </c>
      <c r="E222" s="92">
        <f>IF($AG222="","",P_UploadVJ)</f>
        <v>2026</v>
      </c>
      <c r="F222" s="92" t="str">
        <f>IF($AG222="","",P_UploadVersie)</f>
        <v>Q3</v>
      </c>
      <c r="G222" s="92">
        <f>IF($AG222="","",IF(COUNTIFS(L_Sleutel,$S222,L_Status,"Vastgesteld")=0,0,_xlfn.MAXIFS(L_Revisie,L_Sleutel,$S222,L_Status,"Vastgesteld")+1))</f>
        <v>1</v>
      </c>
      <c r="H222" s="108">
        <f>IF($AG222="","",P_Peildatum)</f>
        <v>46295.0</v>
      </c>
      <c r="I222" s="92">
        <f>IF($AG222="","",P_RJ+INDEX($AK$8:$AK$21,INDEX($AC$8:$AC$1407,$AG222)+1))</f>
        <v>2027</v>
      </c>
      <c r="J222" s="92" t="str">
        <f>IF($AG222="","",INDEX(V_WBS,INDEX($AB$8:$AB$1407,$AG222)))</f>
        <v>G.900016.8.9090</v>
      </c>
      <c r="K222" s="92" t="str">
        <f>IF($AG222="","",INDEX(V_Projdef,INDEX($AB$8:$AB$1407,$AG222)))</f>
        <v>G.900016</v>
      </c>
      <c r="L222" s="92" t="str">
        <f>IF($AG222="","",INDEX(V_Naam,INDEX($AB$8:$AB$1407,$AG222)))</f>
        <v>Duinwaard, De Lantaarn</v>
      </c>
      <c r="M222" s="92" t="str">
        <f>IF($AG222="","",INDEX(V_Type,INDEX($AB$8:$AB$1407,$AG222)))</f>
        <v>Opstal</v>
      </c>
      <c r="N222" s="92" t="str">
        <f>IF($AG222="","",INDEX(V_IFRS,INDEX($AB$8:$AB$1407,$AG222)))</f>
        <v>J</v>
      </c>
      <c r="O222" s="92" t="str">
        <f>IF($AG222="","",INDEX($AL$8:$AL$21,INDEX($AC$8:$AC$1407,$AG222)+1))</f>
        <v>Omzet FY</v>
      </c>
      <c r="P222" s="109">
        <f>IF($AG222="","",INDEX($AD$8:$AD$1407,$AG222))</f>
        <v>5158400</v>
      </c>
      <c r="Q222" s="92" t="str">
        <f>IF($AG222="","",INDEX($AM$8:$AM$21,INDEX($AC$8:$AC$1407,$AG222)+1))</f>
        <v>EUR</v>
      </c>
      <c r="R222" s="92" t="str">
        <f>IF($AG222="","",IF($G222&gt;0,P_ToelCorrectie&amp;"",""))</f>
        <v/>
      </c>
      <c r="S222" s="15" t="str">
        <f>IF(J222="","",J222&amp;"|"&amp;E222&amp;"|"&amp;F222&amp;"|"&amp;I222&amp;"|"&amp;O222)</f>
        <v>G.900016.8.9090|2026|Q3|2027|Omzet FY</v>
      </c>
      <c r="T222" s="111">
        <f>IF(S222="","",IF(COUNTIFS(L_Sleutel,S222,L_Actief,1)=0,"",SUMIFS(L_Waarde,L_Sleutel,S222,L_Actief,1)))</f>
        <v>5158400</v>
      </c>
      <c r="U222" s="111">
        <f>IF(OR(S222="",T222=""),0,P222-T222)</f>
        <v>0</v>
      </c>
      <c r="AB222" s="112" t="n">
        <v>16</v>
      </c>
      <c r="AC222" s="112" t="n">
        <v>4</v>
      </c>
      <c r="AD222" s="112">
        <f>VERW_Project!R21</f>
        <v>5158400</v>
      </c>
      <c r="AE222" s="112">
        <f>IF(AND(VERW_Project!$A21&lt;&gt;"",ISNUMBER(AD222)),1,0)</f>
        <v>1</v>
      </c>
      <c r="AF222" s="112">
        <f>IF(AE222=1,SUM($AE$8:AE222),"")</f>
        <v>215</v>
      </c>
      <c r="AG222">
        <f>IFERROR(MATCH(215,$AF$8:$AF$1407,0),"")</f>
        <v>215</v>
      </c>
    </row>
    <row r="223">
      <c r="A223" s="92" t="str">
        <f>IF($AG223="","",P_ImportID)</f>
        <v>IMP-2026-Q3-01</v>
      </c>
      <c r="B223" s="92" t="str">
        <f>IF($AG223="","",IF(INDEX($AN$8:$AN$21,INDEX($AC$8:$AC$1407,$AG223)+1)="Z",P_BronZ,P_BronE))</f>
        <v>ZPMW03_FICTIEF_20_projecten.xlsx</v>
      </c>
      <c r="C223" s="108">
        <f>IF($AG223="","",P_Importdatum)</f>
        <v>46324.0</v>
      </c>
      <c r="D223" s="92" t="str">
        <f>IF($AG223="","",P_StatusVastleg)</f>
        <v>Vastgesteld</v>
      </c>
      <c r="E223" s="92">
        <f>IF($AG223="","",P_UploadVJ)</f>
        <v>2026</v>
      </c>
      <c r="F223" s="92" t="str">
        <f>IF($AG223="","",P_UploadVersie)</f>
        <v>Q3</v>
      </c>
      <c r="G223" s="92">
        <f>IF($AG223="","",IF(COUNTIFS(L_Sleutel,$S223,L_Status,"Vastgesteld")=0,0,_xlfn.MAXIFS(L_Revisie,L_Sleutel,$S223,L_Status,"Vastgesteld")+1))</f>
        <v>1</v>
      </c>
      <c r="H223" s="108">
        <f>IF($AG223="","",P_Peildatum)</f>
        <v>46295.0</v>
      </c>
      <c r="I223" s="92">
        <f>IF($AG223="","",P_RJ+INDEX($AK$8:$AK$21,INDEX($AC$8:$AC$1407,$AG223)+1))</f>
        <v>2027</v>
      </c>
      <c r="J223" s="92" t="str">
        <f>IF($AG223="","",INDEX(V_WBS,INDEX($AB$8:$AB$1407,$AG223)))</f>
        <v>G.900016.8.9090</v>
      </c>
      <c r="K223" s="92" t="str">
        <f>IF($AG223="","",INDEX(V_Projdef,INDEX($AB$8:$AB$1407,$AG223)))</f>
        <v>G.900016</v>
      </c>
      <c r="L223" s="92" t="str">
        <f>IF($AG223="","",INDEX(V_Naam,INDEX($AB$8:$AB$1407,$AG223)))</f>
        <v>Duinwaard, De Lantaarn</v>
      </c>
      <c r="M223" s="92" t="str">
        <f>IF($AG223="","",INDEX(V_Type,INDEX($AB$8:$AB$1407,$AG223)))</f>
        <v>Opstal</v>
      </c>
      <c r="N223" s="92" t="str">
        <f>IF($AG223="","",INDEX(V_IFRS,INDEX($AB$8:$AB$1407,$AG223)))</f>
        <v>J</v>
      </c>
      <c r="O223" s="92" t="str">
        <f>IF($AG223="","",INDEX($AL$8:$AL$21,INDEX($AC$8:$AC$1407,$AG223)+1))</f>
        <v>BOR FY</v>
      </c>
      <c r="P223" s="109">
        <f>IF($AG223="","",INDEX($AD$8:$AD$1407,$AG223))</f>
        <v>722176</v>
      </c>
      <c r="Q223" s="92" t="str">
        <f>IF($AG223="","",INDEX($AM$8:$AM$21,INDEX($AC$8:$AC$1407,$AG223)+1))</f>
        <v>EUR</v>
      </c>
      <c r="R223" s="92" t="str">
        <f>IF($AG223="","",IF($G223&gt;0,P_ToelCorrectie&amp;"",""))</f>
        <v/>
      </c>
      <c r="S223" s="15" t="str">
        <f>IF(J223="","",J223&amp;"|"&amp;E223&amp;"|"&amp;F223&amp;"|"&amp;I223&amp;"|"&amp;O223)</f>
        <v>G.900016.8.9090|2026|Q3|2027|BOR FY</v>
      </c>
      <c r="T223" s="111">
        <f>IF(S223="","",IF(COUNTIFS(L_Sleutel,S223,L_Actief,1)=0,"",SUMIFS(L_Waarde,L_Sleutel,S223,L_Actief,1)))</f>
        <v>722176</v>
      </c>
      <c r="U223" s="111">
        <f>IF(OR(S223="",T223=""),0,P223-T223)</f>
        <v>0</v>
      </c>
      <c r="AB223" s="112" t="n">
        <v>16</v>
      </c>
      <c r="AC223" s="112" t="n">
        <v>5</v>
      </c>
      <c r="AD223" s="112">
        <f>VERW_Project!S21</f>
        <v>722176</v>
      </c>
      <c r="AE223" s="112">
        <f>IF(AND(VERW_Project!$A21&lt;&gt;"",ISNUMBER(AD223)),1,0)</f>
        <v>1</v>
      </c>
      <c r="AF223" s="112">
        <f>IF(AE223=1,SUM($AE$8:AE223),"")</f>
        <v>216</v>
      </c>
      <c r="AG223">
        <f>IFERROR(MATCH(216,$AF$8:$AF$1407,0),"")</f>
        <v>216</v>
      </c>
    </row>
    <row r="224">
      <c r="A224" s="92" t="str">
        <f>IF($AG224="","",P_ImportID)</f>
        <v>IMP-2026-Q3-01</v>
      </c>
      <c r="B224" s="92" t="str">
        <f>IF($AG224="","",IF(INDEX($AN$8:$AN$21,INDEX($AC$8:$AC$1407,$AG224)+1)="Z",P_BronZ,P_BronE))</f>
        <v>Woningetalage_FICTIEF_20_projecten.xlsx</v>
      </c>
      <c r="C224" s="108">
        <f>IF($AG224="","",P_Importdatum)</f>
        <v>46324.0</v>
      </c>
      <c r="D224" s="92" t="str">
        <f>IF($AG224="","",P_StatusVastleg)</f>
        <v>Vastgesteld</v>
      </c>
      <c r="E224" s="92">
        <f>IF($AG224="","",P_UploadVJ)</f>
        <v>2026</v>
      </c>
      <c r="F224" s="92" t="str">
        <f>IF($AG224="","",P_UploadVersie)</f>
        <v>Q3</v>
      </c>
      <c r="G224" s="92">
        <f>IF($AG224="","",IF(COUNTIFS(L_Sleutel,$S224,L_Status,"Vastgesteld")=0,0,_xlfn.MAXIFS(L_Revisie,L_Sleutel,$S224,L_Status,"Vastgesteld")+1))</f>
        <v>1</v>
      </c>
      <c r="H224" s="108">
        <f>IF($AG224="","",P_Peildatum)</f>
        <v>46295.0</v>
      </c>
      <c r="I224" s="92">
        <f>IF($AG224="","",P_RJ+INDEX($AK$8:$AK$21,INDEX($AC$8:$AC$1407,$AG224)+1))</f>
        <v>2026</v>
      </c>
      <c r="J224" s="92" t="str">
        <f>IF($AG224="","",INDEX(V_WBS,INDEX($AB$8:$AB$1407,$AG224)))</f>
        <v>G.900016.8.9090</v>
      </c>
      <c r="K224" s="92" t="str">
        <f>IF($AG224="","",INDEX(V_Projdef,INDEX($AB$8:$AB$1407,$AG224)))</f>
        <v>G.900016</v>
      </c>
      <c r="L224" s="92" t="str">
        <f>IF($AG224="","",INDEX(V_Naam,INDEX($AB$8:$AB$1407,$AG224)))</f>
        <v>Duinwaard, De Lantaarn</v>
      </c>
      <c r="M224" s="92" t="str">
        <f>IF($AG224="","",INDEX(V_Type,INDEX($AB$8:$AB$1407,$AG224)))</f>
        <v>Opstal</v>
      </c>
      <c r="N224" s="92" t="str">
        <f>IF($AG224="","",INDEX(V_IFRS,INDEX($AB$8:$AB$1407,$AG224)))</f>
        <v>J</v>
      </c>
      <c r="O224" s="92" t="str">
        <f>IF($AG224="","",INDEX($AL$8:$AL$21,INDEX($AC$8:$AC$1407,$AG224)+1))</f>
        <v>Woningverkopen FY</v>
      </c>
      <c r="P224" s="109">
        <f>IF($AG224="","",INDEX($AD$8:$AD$1407,$AG224))</f>
        <v>13</v>
      </c>
      <c r="Q224" s="92" t="str">
        <f>IF($AG224="","",INDEX($AM$8:$AM$21,INDEX($AC$8:$AC$1407,$AG224)+1))</f>
        <v>aantal</v>
      </c>
      <c r="R224" s="92" t="str">
        <f>IF($AG224="","",IF($G224&gt;0,P_ToelCorrectie&amp;"",""))</f>
        <v/>
      </c>
      <c r="S224" s="15" t="str">
        <f>IF(J224="","",J224&amp;"|"&amp;E224&amp;"|"&amp;F224&amp;"|"&amp;I224&amp;"|"&amp;O224)</f>
        <v>G.900016.8.9090|2026|Q3|2026|Woningverkopen FY</v>
      </c>
      <c r="T224" s="111">
        <f>IF(S224="","",IF(COUNTIFS(L_Sleutel,S224,L_Actief,1)=0,"",SUMIFS(L_Waarde,L_Sleutel,S224,L_Actief,1)))</f>
        <v>13</v>
      </c>
      <c r="U224" s="111">
        <f>IF(OR(S224="",T224=""),0,P224-T224)</f>
        <v>0</v>
      </c>
      <c r="AB224" s="112" t="n">
        <v>16</v>
      </c>
      <c r="AC224" s="112" t="n">
        <v>6</v>
      </c>
      <c r="AD224" s="112">
        <f>VERW_Project!BW21</f>
        <v>13</v>
      </c>
      <c r="AE224" s="112">
        <f>IF(AND(VERW_Project!$A21&lt;&gt;"",ISNUMBER(AD224)),1,0)</f>
        <v>1</v>
      </c>
      <c r="AF224" s="112">
        <f>IF(AE224=1,SUM($AE$8:AE224),"")</f>
        <v>217</v>
      </c>
      <c r="AG224">
        <f>IFERROR(MATCH(217,$AF$8:$AF$1407,0),"")</f>
        <v>217</v>
      </c>
    </row>
    <row r="225">
      <c r="A225" s="92" t="str">
        <f>IF($AG225="","",P_ImportID)</f>
        <v>IMP-2026-Q3-01</v>
      </c>
      <c r="B225" s="92" t="str">
        <f>IF($AG225="","",IF(INDEX($AN$8:$AN$21,INDEX($AC$8:$AC$1407,$AG225)+1)="Z",P_BronZ,P_BronE))</f>
        <v>Woningetalage_FICTIEF_20_projecten.xlsx</v>
      </c>
      <c r="C225" s="108">
        <f>IF($AG225="","",P_Importdatum)</f>
        <v>46324.0</v>
      </c>
      <c r="D225" s="92" t="str">
        <f>IF($AG225="","",P_StatusVastleg)</f>
        <v>Vastgesteld</v>
      </c>
      <c r="E225" s="92">
        <f>IF($AG225="","",P_UploadVJ)</f>
        <v>2026</v>
      </c>
      <c r="F225" s="92" t="str">
        <f>IF($AG225="","",P_UploadVersie)</f>
        <v>Q3</v>
      </c>
      <c r="G225" s="92">
        <f>IF($AG225="","",IF(COUNTIFS(L_Sleutel,$S225,L_Status,"Vastgesteld")=0,0,_xlfn.MAXIFS(L_Revisie,L_Sleutel,$S225,L_Status,"Vastgesteld")+1))</f>
        <v>1</v>
      </c>
      <c r="H225" s="108">
        <f>IF($AG225="","",P_Peildatum)</f>
        <v>46295.0</v>
      </c>
      <c r="I225" s="92">
        <f>IF($AG225="","",P_RJ+INDEX($AK$8:$AK$21,INDEX($AC$8:$AC$1407,$AG225)+1))</f>
        <v>2026</v>
      </c>
      <c r="J225" s="92" t="str">
        <f>IF($AG225="","",INDEX(V_WBS,INDEX($AB$8:$AB$1407,$AG225)))</f>
        <v>G.900016.8.9090</v>
      </c>
      <c r="K225" s="92" t="str">
        <f>IF($AG225="","",INDEX(V_Projdef,INDEX($AB$8:$AB$1407,$AG225)))</f>
        <v>G.900016</v>
      </c>
      <c r="L225" s="92" t="str">
        <f>IF($AG225="","",INDEX(V_Naam,INDEX($AB$8:$AB$1407,$AG225)))</f>
        <v>Duinwaard, De Lantaarn</v>
      </c>
      <c r="M225" s="92" t="str">
        <f>IF($AG225="","",INDEX(V_Type,INDEX($AB$8:$AB$1407,$AG225)))</f>
        <v>Opstal</v>
      </c>
      <c r="N225" s="92" t="str">
        <f>IF($AG225="","",INDEX(V_IFRS,INDEX($AB$8:$AB$1407,$AG225)))</f>
        <v>J</v>
      </c>
      <c r="O225" s="92" t="str">
        <f>IF($AG225="","",INDEX($AL$8:$AL$21,INDEX($AC$8:$AC$1407,$AG225)+1))</f>
        <v>Woningen verkocht t/m vorig jaar</v>
      </c>
      <c r="P225" s="109">
        <f>IF($AG225="","",INDEX($AD$8:$AD$1407,$AG225))</f>
        <v>0</v>
      </c>
      <c r="Q225" s="92" t="str">
        <f>IF($AG225="","",INDEX($AM$8:$AM$21,INDEX($AC$8:$AC$1407,$AG225)+1))</f>
        <v>aantal</v>
      </c>
      <c r="R225" s="92" t="str">
        <f>IF($AG225="","",IF($G225&gt;0,P_ToelCorrectie&amp;"",""))</f>
        <v/>
      </c>
      <c r="S225" s="15" t="str">
        <f>IF(J225="","",J225&amp;"|"&amp;E225&amp;"|"&amp;F225&amp;"|"&amp;I225&amp;"|"&amp;O225)</f>
        <v>G.900016.8.9090|2026|Q3|2026|Woningen verkocht t/m vorig jaar</v>
      </c>
      <c r="T225" s="111">
        <f>IF(S225="","",IF(COUNTIFS(L_Sleutel,S225,L_Actief,1)=0,"",SUMIFS(L_Waarde,L_Sleutel,S225,L_Actief,1)))</f>
        <v>0</v>
      </c>
      <c r="U225" s="111">
        <f>IF(OR(S225="",T225=""),0,P225-T225)</f>
        <v>0</v>
      </c>
      <c r="AB225" s="112" t="n">
        <v>16</v>
      </c>
      <c r="AC225" s="112" t="n">
        <v>7</v>
      </c>
      <c r="AD225" s="112">
        <f>VERW_Project!AW21</f>
        <v>0</v>
      </c>
      <c r="AE225" s="112">
        <f>IF(AND(VERW_Project!$A21&lt;&gt;"",ISNUMBER(AD225)),1,0)</f>
        <v>1</v>
      </c>
      <c r="AF225" s="112">
        <f>IF(AE225=1,SUM($AE$8:AE225),"")</f>
        <v>218</v>
      </c>
      <c r="AG225">
        <f>IFERROR(MATCH(218,$AF$8:$AF$1407,0),"")</f>
        <v>218</v>
      </c>
    </row>
    <row r="226">
      <c r="A226" s="92" t="str">
        <f>IF($AG226="","",P_ImportID)</f>
        <v>IMP-2026-Q3-01</v>
      </c>
      <c r="B226" s="92" t="str">
        <f>IF($AG226="","",IF(INDEX($AN$8:$AN$21,INDEX($AC$8:$AC$1407,$AG226)+1)="Z",P_BronZ,P_BronE))</f>
        <v>Woningetalage_FICTIEF_20_projecten.xlsx</v>
      </c>
      <c r="C226" s="108">
        <f>IF($AG226="","",P_Importdatum)</f>
        <v>46324.0</v>
      </c>
      <c r="D226" s="92" t="str">
        <f>IF($AG226="","",P_StatusVastleg)</f>
        <v>Vastgesteld</v>
      </c>
      <c r="E226" s="92">
        <f>IF($AG226="","",P_UploadVJ)</f>
        <v>2026</v>
      </c>
      <c r="F226" s="92" t="str">
        <f>IF($AG226="","",P_UploadVersie)</f>
        <v>Q3</v>
      </c>
      <c r="G226" s="92">
        <f>IF($AG226="","",IF(COUNTIFS(L_Sleutel,$S226,L_Status,"Vastgesteld")=0,0,_xlfn.MAXIFS(L_Revisie,L_Sleutel,$S226,L_Status,"Vastgesteld")+1))</f>
        <v>1</v>
      </c>
      <c r="H226" s="108">
        <f>IF($AG226="","",P_Peildatum)</f>
        <v>46295.0</v>
      </c>
      <c r="I226" s="92">
        <f>IF($AG226="","",P_RJ+INDEX($AK$8:$AK$21,INDEX($AC$8:$AC$1407,$AG226)+1))</f>
        <v>2026</v>
      </c>
      <c r="J226" s="92" t="str">
        <f>IF($AG226="","",INDEX(V_WBS,INDEX($AB$8:$AB$1407,$AG226)))</f>
        <v>G.900016.8.9090</v>
      </c>
      <c r="K226" s="92" t="str">
        <f>IF($AG226="","",INDEX(V_Projdef,INDEX($AB$8:$AB$1407,$AG226)))</f>
        <v>G.900016</v>
      </c>
      <c r="L226" s="92" t="str">
        <f>IF($AG226="","",INDEX(V_Naam,INDEX($AB$8:$AB$1407,$AG226)))</f>
        <v>Duinwaard, De Lantaarn</v>
      </c>
      <c r="M226" s="92" t="str">
        <f>IF($AG226="","",INDEX(V_Type,INDEX($AB$8:$AB$1407,$AG226)))</f>
        <v>Opstal</v>
      </c>
      <c r="N226" s="92" t="str">
        <f>IF($AG226="","",INDEX(V_IFRS,INDEX($AB$8:$AB$1407,$AG226)))</f>
        <v>J</v>
      </c>
      <c r="O226" s="92" t="str">
        <f>IF($AG226="","",INDEX($AL$8:$AL$21,INDEX($AC$8:$AC$1407,$AG226)+1))</f>
        <v>Woningverkopen Q1</v>
      </c>
      <c r="P226" s="109">
        <f>IF($AG226="","",INDEX($AD$8:$AD$1407,$AG226))</f>
        <v>1</v>
      </c>
      <c r="Q226" s="92" t="str">
        <f>IF($AG226="","",INDEX($AM$8:$AM$21,INDEX($AC$8:$AC$1407,$AG226)+1))</f>
        <v>aantal</v>
      </c>
      <c r="R226" s="92" t="str">
        <f>IF($AG226="","",IF($G226&gt;0,P_ToelCorrectie&amp;"",""))</f>
        <v/>
      </c>
      <c r="S226" s="15" t="str">
        <f>IF(J226="","",J226&amp;"|"&amp;E226&amp;"|"&amp;F226&amp;"|"&amp;I226&amp;"|"&amp;O226)</f>
        <v>G.900016.8.9090|2026|Q3|2026|Woningverkopen Q1</v>
      </c>
      <c r="T226" s="111">
        <f>IF(S226="","",IF(COUNTIFS(L_Sleutel,S226,L_Actief,1)=0,"",SUMIFS(L_Waarde,L_Sleutel,S226,L_Actief,1)))</f>
        <v>1</v>
      </c>
      <c r="U226" s="111">
        <f>IF(OR(S226="",T226=""),0,P226-T226)</f>
        <v>0</v>
      </c>
      <c r="AB226" s="112" t="n">
        <v>16</v>
      </c>
      <c r="AC226" s="112" t="n">
        <v>8</v>
      </c>
      <c r="AD226" s="112">
        <f>VERW_Project!BQ21</f>
        <v>1</v>
      </c>
      <c r="AE226" s="112">
        <f>IF(AND(VERW_Project!$A21&lt;&gt;"",ISNUMBER(AD226)),1,0)</f>
        <v>1</v>
      </c>
      <c r="AF226" s="112">
        <f>IF(AE226=1,SUM($AE$8:AE226),"")</f>
        <v>219</v>
      </c>
      <c r="AG226">
        <f>IFERROR(MATCH(219,$AF$8:$AF$1407,0),"")</f>
        <v>219</v>
      </c>
    </row>
    <row r="227">
      <c r="A227" s="92" t="str">
        <f>IF($AG227="","",P_ImportID)</f>
        <v>IMP-2026-Q3-01</v>
      </c>
      <c r="B227" s="92" t="str">
        <f>IF($AG227="","",IF(INDEX($AN$8:$AN$21,INDEX($AC$8:$AC$1407,$AG227)+1)="Z",P_BronZ,P_BronE))</f>
        <v>Woningetalage_FICTIEF_20_projecten.xlsx</v>
      </c>
      <c r="C227" s="108">
        <f>IF($AG227="","",P_Importdatum)</f>
        <v>46324.0</v>
      </c>
      <c r="D227" s="92" t="str">
        <f>IF($AG227="","",P_StatusVastleg)</f>
        <v>Vastgesteld</v>
      </c>
      <c r="E227" s="92">
        <f>IF($AG227="","",P_UploadVJ)</f>
        <v>2026</v>
      </c>
      <c r="F227" s="92" t="str">
        <f>IF($AG227="","",P_UploadVersie)</f>
        <v>Q3</v>
      </c>
      <c r="G227" s="92">
        <f>IF($AG227="","",IF(COUNTIFS(L_Sleutel,$S227,L_Status,"Vastgesteld")=0,0,_xlfn.MAXIFS(L_Revisie,L_Sleutel,$S227,L_Status,"Vastgesteld")+1))</f>
        <v>1</v>
      </c>
      <c r="H227" s="108">
        <f>IF($AG227="","",P_Peildatum)</f>
        <v>46295.0</v>
      </c>
      <c r="I227" s="92">
        <f>IF($AG227="","",P_RJ+INDEX($AK$8:$AK$21,INDEX($AC$8:$AC$1407,$AG227)+1))</f>
        <v>2026</v>
      </c>
      <c r="J227" s="92" t="str">
        <f>IF($AG227="","",INDEX(V_WBS,INDEX($AB$8:$AB$1407,$AG227)))</f>
        <v>G.900016.8.9090</v>
      </c>
      <c r="K227" s="92" t="str">
        <f>IF($AG227="","",INDEX(V_Projdef,INDEX($AB$8:$AB$1407,$AG227)))</f>
        <v>G.900016</v>
      </c>
      <c r="L227" s="92" t="str">
        <f>IF($AG227="","",INDEX(V_Naam,INDEX($AB$8:$AB$1407,$AG227)))</f>
        <v>Duinwaard, De Lantaarn</v>
      </c>
      <c r="M227" s="92" t="str">
        <f>IF($AG227="","",INDEX(V_Type,INDEX($AB$8:$AB$1407,$AG227)))</f>
        <v>Opstal</v>
      </c>
      <c r="N227" s="92" t="str">
        <f>IF($AG227="","",INDEX(V_IFRS,INDEX($AB$8:$AB$1407,$AG227)))</f>
        <v>J</v>
      </c>
      <c r="O227" s="92" t="str">
        <f>IF($AG227="","",INDEX($AL$8:$AL$21,INDEX($AC$8:$AC$1407,$AG227)+1))</f>
        <v>Woningverkopen Q2</v>
      </c>
      <c r="P227" s="109">
        <f>IF($AG227="","",INDEX($AD$8:$AD$1407,$AG227))</f>
        <v>3</v>
      </c>
      <c r="Q227" s="92" t="str">
        <f>IF($AG227="","",INDEX($AM$8:$AM$21,INDEX($AC$8:$AC$1407,$AG227)+1))</f>
        <v>aantal</v>
      </c>
      <c r="R227" s="92" t="str">
        <f>IF($AG227="","",IF($G227&gt;0,P_ToelCorrectie&amp;"",""))</f>
        <v/>
      </c>
      <c r="S227" s="15" t="str">
        <f>IF(J227="","",J227&amp;"|"&amp;E227&amp;"|"&amp;F227&amp;"|"&amp;I227&amp;"|"&amp;O227)</f>
        <v>G.900016.8.9090|2026|Q3|2026|Woningverkopen Q2</v>
      </c>
      <c r="T227" s="111">
        <f>IF(S227="","",IF(COUNTIFS(L_Sleutel,S227,L_Actief,1)=0,"",SUMIFS(L_Waarde,L_Sleutel,S227,L_Actief,1)))</f>
        <v>3</v>
      </c>
      <c r="U227" s="111">
        <f>IF(OR(S227="",T227=""),0,P227-T227)</f>
        <v>0</v>
      </c>
      <c r="AB227" s="112" t="n">
        <v>16</v>
      </c>
      <c r="AC227" s="112" t="n">
        <v>9</v>
      </c>
      <c r="AD227" s="112">
        <f>VERW_Project!BR21</f>
        <v>3</v>
      </c>
      <c r="AE227" s="112">
        <f>IF(AND(VERW_Project!$A21&lt;&gt;"",ISNUMBER(AD227)),1,0)</f>
        <v>1</v>
      </c>
      <c r="AF227" s="112">
        <f>IF(AE227=1,SUM($AE$8:AE227),"")</f>
        <v>220</v>
      </c>
      <c r="AG227">
        <f>IFERROR(MATCH(220,$AF$8:$AF$1407,0),"")</f>
        <v>220</v>
      </c>
    </row>
    <row r="228">
      <c r="A228" s="92" t="str">
        <f>IF($AG228="","",P_ImportID)</f>
        <v>IMP-2026-Q3-01</v>
      </c>
      <c r="B228" s="92" t="str">
        <f>IF($AG228="","",IF(INDEX($AN$8:$AN$21,INDEX($AC$8:$AC$1407,$AG228)+1)="Z",P_BronZ,P_BronE))</f>
        <v>Woningetalage_FICTIEF_20_projecten.xlsx</v>
      </c>
      <c r="C228" s="108">
        <f>IF($AG228="","",P_Importdatum)</f>
        <v>46324.0</v>
      </c>
      <c r="D228" s="92" t="str">
        <f>IF($AG228="","",P_StatusVastleg)</f>
        <v>Vastgesteld</v>
      </c>
      <c r="E228" s="92">
        <f>IF($AG228="","",P_UploadVJ)</f>
        <v>2026</v>
      </c>
      <c r="F228" s="92" t="str">
        <f>IF($AG228="","",P_UploadVersie)</f>
        <v>Q3</v>
      </c>
      <c r="G228" s="92">
        <f>IF($AG228="","",IF(COUNTIFS(L_Sleutel,$S228,L_Status,"Vastgesteld")=0,0,_xlfn.MAXIFS(L_Revisie,L_Sleutel,$S228,L_Status,"Vastgesteld")+1))</f>
        <v>1</v>
      </c>
      <c r="H228" s="108">
        <f>IF($AG228="","",P_Peildatum)</f>
        <v>46295.0</v>
      </c>
      <c r="I228" s="92">
        <f>IF($AG228="","",P_RJ+INDEX($AK$8:$AK$21,INDEX($AC$8:$AC$1407,$AG228)+1))</f>
        <v>2026</v>
      </c>
      <c r="J228" s="92" t="str">
        <f>IF($AG228="","",INDEX(V_WBS,INDEX($AB$8:$AB$1407,$AG228)))</f>
        <v>G.900016.8.9090</v>
      </c>
      <c r="K228" s="92" t="str">
        <f>IF($AG228="","",INDEX(V_Projdef,INDEX($AB$8:$AB$1407,$AG228)))</f>
        <v>G.900016</v>
      </c>
      <c r="L228" s="92" t="str">
        <f>IF($AG228="","",INDEX(V_Naam,INDEX($AB$8:$AB$1407,$AG228)))</f>
        <v>Duinwaard, De Lantaarn</v>
      </c>
      <c r="M228" s="92" t="str">
        <f>IF($AG228="","",INDEX(V_Type,INDEX($AB$8:$AB$1407,$AG228)))</f>
        <v>Opstal</v>
      </c>
      <c r="N228" s="92" t="str">
        <f>IF($AG228="","",INDEX(V_IFRS,INDEX($AB$8:$AB$1407,$AG228)))</f>
        <v>J</v>
      </c>
      <c r="O228" s="92" t="str">
        <f>IF($AG228="","",INDEX($AL$8:$AL$21,INDEX($AC$8:$AC$1407,$AG228)+1))</f>
        <v>Woningverkopen Q3</v>
      </c>
      <c r="P228" s="109">
        <f>IF($AG228="","",INDEX($AD$8:$AD$1407,$AG228))</f>
        <v>3</v>
      </c>
      <c r="Q228" s="92" t="str">
        <f>IF($AG228="","",INDEX($AM$8:$AM$21,INDEX($AC$8:$AC$1407,$AG228)+1))</f>
        <v>aantal</v>
      </c>
      <c r="R228" s="92" t="str">
        <f>IF($AG228="","",IF($G228&gt;0,P_ToelCorrectie&amp;"",""))</f>
        <v/>
      </c>
      <c r="S228" s="15" t="str">
        <f>IF(J228="","",J228&amp;"|"&amp;E228&amp;"|"&amp;F228&amp;"|"&amp;I228&amp;"|"&amp;O228)</f>
        <v>G.900016.8.9090|2026|Q3|2026|Woningverkopen Q3</v>
      </c>
      <c r="T228" s="111">
        <f>IF(S228="","",IF(COUNTIFS(L_Sleutel,S228,L_Actief,1)=0,"",SUMIFS(L_Waarde,L_Sleutel,S228,L_Actief,1)))</f>
        <v>3</v>
      </c>
      <c r="U228" s="111">
        <f>IF(OR(S228="",T228=""),0,P228-T228)</f>
        <v>0</v>
      </c>
      <c r="AB228" s="112" t="n">
        <v>16</v>
      </c>
      <c r="AC228" s="112" t="n">
        <v>10</v>
      </c>
      <c r="AD228" s="112">
        <f>VERW_Project!BS21</f>
        <v>3</v>
      </c>
      <c r="AE228" s="112">
        <f>IF(AND(VERW_Project!$A21&lt;&gt;"",ISNUMBER(AD228)),1,0)</f>
        <v>1</v>
      </c>
      <c r="AF228" s="112">
        <f>IF(AE228=1,SUM($AE$8:AE228),"")</f>
        <v>221</v>
      </c>
      <c r="AG228">
        <f>IFERROR(MATCH(221,$AF$8:$AF$1407,0),"")</f>
        <v>221</v>
      </c>
    </row>
    <row r="229">
      <c r="A229" s="92" t="str">
        <f>IF($AG229="","",P_ImportID)</f>
        <v>IMP-2026-Q3-01</v>
      </c>
      <c r="B229" s="92" t="str">
        <f>IF($AG229="","",IF(INDEX($AN$8:$AN$21,INDEX($AC$8:$AC$1407,$AG229)+1)="Z",P_BronZ,P_BronE))</f>
        <v>Woningetalage_FICTIEF_20_projecten.xlsx</v>
      </c>
      <c r="C229" s="108">
        <f>IF($AG229="","",P_Importdatum)</f>
        <v>46324.0</v>
      </c>
      <c r="D229" s="92" t="str">
        <f>IF($AG229="","",P_StatusVastleg)</f>
        <v>Vastgesteld</v>
      </c>
      <c r="E229" s="92">
        <f>IF($AG229="","",P_UploadVJ)</f>
        <v>2026</v>
      </c>
      <c r="F229" s="92" t="str">
        <f>IF($AG229="","",P_UploadVersie)</f>
        <v>Q3</v>
      </c>
      <c r="G229" s="92">
        <f>IF($AG229="","",IF(COUNTIFS(L_Sleutel,$S229,L_Status,"Vastgesteld")=0,0,_xlfn.MAXIFS(L_Revisie,L_Sleutel,$S229,L_Status,"Vastgesteld")+1))</f>
        <v>1</v>
      </c>
      <c r="H229" s="108">
        <f>IF($AG229="","",P_Peildatum)</f>
        <v>46295.0</v>
      </c>
      <c r="I229" s="92">
        <f>IF($AG229="","",P_RJ+INDEX($AK$8:$AK$21,INDEX($AC$8:$AC$1407,$AG229)+1))</f>
        <v>2026</v>
      </c>
      <c r="J229" s="92" t="str">
        <f>IF($AG229="","",INDEX(V_WBS,INDEX($AB$8:$AB$1407,$AG229)))</f>
        <v>G.900016.8.9090</v>
      </c>
      <c r="K229" s="92" t="str">
        <f>IF($AG229="","",INDEX(V_Projdef,INDEX($AB$8:$AB$1407,$AG229)))</f>
        <v>G.900016</v>
      </c>
      <c r="L229" s="92" t="str">
        <f>IF($AG229="","",INDEX(V_Naam,INDEX($AB$8:$AB$1407,$AG229)))</f>
        <v>Duinwaard, De Lantaarn</v>
      </c>
      <c r="M229" s="92" t="str">
        <f>IF($AG229="","",INDEX(V_Type,INDEX($AB$8:$AB$1407,$AG229)))</f>
        <v>Opstal</v>
      </c>
      <c r="N229" s="92" t="str">
        <f>IF($AG229="","",INDEX(V_IFRS,INDEX($AB$8:$AB$1407,$AG229)))</f>
        <v>J</v>
      </c>
      <c r="O229" s="92" t="str">
        <f>IF($AG229="","",INDEX($AL$8:$AL$21,INDEX($AC$8:$AC$1407,$AG229)+1))</f>
        <v>Woningverkopen Q4</v>
      </c>
      <c r="P229" s="109">
        <f>IF($AG229="","",INDEX($AD$8:$AD$1407,$AG229))</f>
        <v>6</v>
      </c>
      <c r="Q229" s="92" t="str">
        <f>IF($AG229="","",INDEX($AM$8:$AM$21,INDEX($AC$8:$AC$1407,$AG229)+1))</f>
        <v>aantal</v>
      </c>
      <c r="R229" s="92" t="str">
        <f>IF($AG229="","",IF($G229&gt;0,P_ToelCorrectie&amp;"",""))</f>
        <v/>
      </c>
      <c r="S229" s="15" t="str">
        <f>IF(J229="","",J229&amp;"|"&amp;E229&amp;"|"&amp;F229&amp;"|"&amp;I229&amp;"|"&amp;O229)</f>
        <v>G.900016.8.9090|2026|Q3|2026|Woningverkopen Q4</v>
      </c>
      <c r="T229" s="111">
        <f>IF(S229="","",IF(COUNTIFS(L_Sleutel,S229,L_Actief,1)=0,"",SUMIFS(L_Waarde,L_Sleutel,S229,L_Actief,1)))</f>
        <v>6</v>
      </c>
      <c r="U229" s="111">
        <f>IF(OR(S229="",T229=""),0,P229-T229)</f>
        <v>0</v>
      </c>
      <c r="AB229" s="112" t="n">
        <v>16</v>
      </c>
      <c r="AC229" s="112" t="n">
        <v>11</v>
      </c>
      <c r="AD229" s="112">
        <f>VERW_Project!BT21</f>
        <v>6</v>
      </c>
      <c r="AE229" s="112">
        <f>IF(AND(VERW_Project!$A21&lt;&gt;"",ISNUMBER(AD229)),1,0)</f>
        <v>1</v>
      </c>
      <c r="AF229" s="112">
        <f>IF(AE229=1,SUM($AE$8:AE229),"")</f>
        <v>222</v>
      </c>
      <c r="AG229">
        <f>IFERROR(MATCH(222,$AF$8:$AF$1407,0),"")</f>
        <v>222</v>
      </c>
    </row>
    <row r="230">
      <c r="A230" s="92" t="str">
        <f>IF($AG230="","",P_ImportID)</f>
        <v>IMP-2026-Q3-01</v>
      </c>
      <c r="B230" s="92" t="str">
        <f>IF($AG230="","",IF(INDEX($AN$8:$AN$21,INDEX($AC$8:$AC$1407,$AG230)+1)="Z",P_BronZ,P_BronE))</f>
        <v>Woningetalage_FICTIEF_20_projecten.xlsx</v>
      </c>
      <c r="C230" s="108">
        <f>IF($AG230="","",P_Importdatum)</f>
        <v>46324.0</v>
      </c>
      <c r="D230" s="92" t="str">
        <f>IF($AG230="","",P_StatusVastleg)</f>
        <v>Vastgesteld</v>
      </c>
      <c r="E230" s="92">
        <f>IF($AG230="","",P_UploadVJ)</f>
        <v>2026</v>
      </c>
      <c r="F230" s="92" t="str">
        <f>IF($AG230="","",P_UploadVersie)</f>
        <v>Q3</v>
      </c>
      <c r="G230" s="92">
        <f>IF($AG230="","",IF(COUNTIFS(L_Sleutel,$S230,L_Status,"Vastgesteld")=0,0,_xlfn.MAXIFS(L_Revisie,L_Sleutel,$S230,L_Status,"Vastgesteld")+1))</f>
        <v>1</v>
      </c>
      <c r="H230" s="108">
        <f>IF($AG230="","",P_Peildatum)</f>
        <v>46295.0</v>
      </c>
      <c r="I230" s="92">
        <f>IF($AG230="","",P_RJ+INDEX($AK$8:$AK$21,INDEX($AC$8:$AC$1407,$AG230)+1))</f>
        <v>2026</v>
      </c>
      <c r="J230" s="92" t="str">
        <f>IF($AG230="","",INDEX(V_WBS,INDEX($AB$8:$AB$1407,$AG230)))</f>
        <v>G.900016.8.9090</v>
      </c>
      <c r="K230" s="92" t="str">
        <f>IF($AG230="","",INDEX(V_Projdef,INDEX($AB$8:$AB$1407,$AG230)))</f>
        <v>G.900016</v>
      </c>
      <c r="L230" s="92" t="str">
        <f>IF($AG230="","",INDEX(V_Naam,INDEX($AB$8:$AB$1407,$AG230)))</f>
        <v>Duinwaard, De Lantaarn</v>
      </c>
      <c r="M230" s="92" t="str">
        <f>IF($AG230="","",INDEX(V_Type,INDEX($AB$8:$AB$1407,$AG230)))</f>
        <v>Opstal</v>
      </c>
      <c r="N230" s="92" t="str">
        <f>IF($AG230="","",INDEX(V_IFRS,INDEX($AB$8:$AB$1407,$AG230)))</f>
        <v>J</v>
      </c>
      <c r="O230" s="92" t="str">
        <f>IF($AG230="","",INDEX($AL$8:$AL$21,INDEX($AC$8:$AC$1407,$AG230)+1))</f>
        <v>Woningverkopen actual YTD</v>
      </c>
      <c r="P230" s="109">
        <f>IF($AG230="","",INDEX($AD$8:$AD$1407,$AG230))</f>
        <v>7</v>
      </c>
      <c r="Q230" s="92" t="str">
        <f>IF($AG230="","",INDEX($AM$8:$AM$21,INDEX($AC$8:$AC$1407,$AG230)+1))</f>
        <v>aantal</v>
      </c>
      <c r="R230" s="92" t="str">
        <f>IF($AG230="","",IF($G230&gt;0,P_ToelCorrectie&amp;"",""))</f>
        <v/>
      </c>
      <c r="S230" s="15" t="str">
        <f>IF(J230="","",J230&amp;"|"&amp;E230&amp;"|"&amp;F230&amp;"|"&amp;I230&amp;"|"&amp;O230)</f>
        <v>G.900016.8.9090|2026|Q3|2026|Woningverkopen actual YTD</v>
      </c>
      <c r="T230" s="111">
        <f>IF(S230="","",IF(COUNTIFS(L_Sleutel,S230,L_Actief,1)=0,"",SUMIFS(L_Waarde,L_Sleutel,S230,L_Actief,1)))</f>
        <v>7</v>
      </c>
      <c r="U230" s="111">
        <f>IF(OR(S230="",T230=""),0,P230-T230)</f>
        <v>0</v>
      </c>
      <c r="AB230" s="112" t="n">
        <v>16</v>
      </c>
      <c r="AC230" s="112" t="n">
        <v>12</v>
      </c>
      <c r="AD230" s="112">
        <f>VERW_Project!BU21</f>
        <v>7</v>
      </c>
      <c r="AE230" s="112">
        <f>IF(AND(VERW_Project!$A21&lt;&gt;"",ISNUMBER(AD230)),1,0)</f>
        <v>1</v>
      </c>
      <c r="AF230" s="112">
        <f>IF(AE230=1,SUM($AE$8:AE230),"")</f>
        <v>223</v>
      </c>
      <c r="AG230">
        <f>IFERROR(MATCH(223,$AF$8:$AF$1407,0),"")</f>
        <v>223</v>
      </c>
    </row>
    <row r="231">
      <c r="A231" s="92" t="str">
        <f>IF($AG231="","",P_ImportID)</f>
        <v>IMP-2026-Q3-01</v>
      </c>
      <c r="B231" s="92" t="str">
        <f>IF($AG231="","",IF(INDEX($AN$8:$AN$21,INDEX($AC$8:$AC$1407,$AG231)+1)="Z",P_BronZ,P_BronE))</f>
        <v>Woningetalage_FICTIEF_20_projecten.xlsx</v>
      </c>
      <c r="C231" s="108">
        <f>IF($AG231="","",P_Importdatum)</f>
        <v>46324.0</v>
      </c>
      <c r="D231" s="92" t="str">
        <f>IF($AG231="","",P_StatusVastleg)</f>
        <v>Vastgesteld</v>
      </c>
      <c r="E231" s="92">
        <f>IF($AG231="","",P_UploadVJ)</f>
        <v>2026</v>
      </c>
      <c r="F231" s="92" t="str">
        <f>IF($AG231="","",P_UploadVersie)</f>
        <v>Q3</v>
      </c>
      <c r="G231" s="92">
        <f>IF($AG231="","",IF(COUNTIFS(L_Sleutel,$S231,L_Status,"Vastgesteld")=0,0,_xlfn.MAXIFS(L_Revisie,L_Sleutel,$S231,L_Status,"Vastgesteld")+1))</f>
        <v>0</v>
      </c>
      <c r="H231" s="108">
        <f>IF($AG231="","",P_Peildatum)</f>
        <v>46295.0</v>
      </c>
      <c r="I231" s="92">
        <f>IF($AG231="","",P_RJ+INDEX($AK$8:$AK$21,INDEX($AC$8:$AC$1407,$AG231)+1))</f>
        <v>2027</v>
      </c>
      <c r="J231" s="92" t="str">
        <f>IF($AG231="","",INDEX(V_WBS,INDEX($AB$8:$AB$1407,$AG231)))</f>
        <v>G.900016.8.9090</v>
      </c>
      <c r="K231" s="92" t="str">
        <f>IF($AG231="","",INDEX(V_Projdef,INDEX($AB$8:$AB$1407,$AG231)))</f>
        <v>G.900016</v>
      </c>
      <c r="L231" s="92" t="str">
        <f>IF($AG231="","",INDEX(V_Naam,INDEX($AB$8:$AB$1407,$AG231)))</f>
        <v>Duinwaard, De Lantaarn</v>
      </c>
      <c r="M231" s="92" t="str">
        <f>IF($AG231="","",INDEX(V_Type,INDEX($AB$8:$AB$1407,$AG231)))</f>
        <v>Opstal</v>
      </c>
      <c r="N231" s="92" t="str">
        <f>IF($AG231="","",INDEX(V_IFRS,INDEX($AB$8:$AB$1407,$AG231)))</f>
        <v>J</v>
      </c>
      <c r="O231" s="92" t="str">
        <f>IF($AG231="","",INDEX($AL$8:$AL$21,INDEX($AC$8:$AC$1407,$AG231)+1))</f>
        <v>Woningverkopen FY</v>
      </c>
      <c r="P231" s="109">
        <f>IF($AG231="","",INDEX($AD$8:$AD$1407,$AG231))</f>
        <v>18</v>
      </c>
      <c r="Q231" s="92" t="str">
        <f>IF($AG231="","",INDEX($AM$8:$AM$21,INDEX($AC$8:$AC$1407,$AG231)+1))</f>
        <v>aantal</v>
      </c>
      <c r="R231" s="92" t="str">
        <f>IF($AG231="","",IF($G231&gt;0,P_ToelCorrectie&amp;"",""))</f>
        <v/>
      </c>
      <c r="S231" s="15" t="str">
        <f>IF(J231="","",J231&amp;"|"&amp;E231&amp;"|"&amp;F231&amp;"|"&amp;I231&amp;"|"&amp;O231)</f>
        <v>G.900016.8.9090|2026|Q3|2027|Woningverkopen FY</v>
      </c>
      <c r="T231" s="111" t="str">
        <f>IF(S231="","",IF(COUNTIFS(L_Sleutel,S231,L_Actief,1)=0,"",SUMIFS(L_Waarde,L_Sleutel,S231,L_Actief,1)))</f>
        <v/>
      </c>
      <c r="U231" s="111">
        <f>IF(OR(S231="",T231=""),0,P231-T231)</f>
        <v>0</v>
      </c>
      <c r="AB231" s="112" t="n">
        <v>16</v>
      </c>
      <c r="AC231" s="112" t="n">
        <v>13</v>
      </c>
      <c r="AD231" s="112">
        <f>VERW_Project!BX21</f>
        <v>18</v>
      </c>
      <c r="AE231" s="112">
        <f>IF(AND(VERW_Project!$A21&lt;&gt;"",ISNUMBER(AD231)),1,0)</f>
        <v>1</v>
      </c>
      <c r="AF231" s="112">
        <f>IF(AE231=1,SUM($AE$8:AE231),"")</f>
        <v>224</v>
      </c>
      <c r="AG231">
        <f>IFERROR(MATCH(224,$AF$8:$AF$1407,0),"")</f>
        <v>224</v>
      </c>
    </row>
    <row r="232">
      <c r="A232" s="92" t="str">
        <f>IF($AG232="","",P_ImportID)</f>
        <v>IMP-2026-Q3-01</v>
      </c>
      <c r="B232" s="92" t="str">
        <f>IF($AG232="","",IF(INDEX($AN$8:$AN$21,INDEX($AC$8:$AC$1407,$AG232)+1)="Z",P_BronZ,P_BronE))</f>
        <v>ZPMW03_FICTIEF_20_projecten.xlsx</v>
      </c>
      <c r="C232" s="108">
        <f>IF($AG232="","",P_Importdatum)</f>
        <v>46324.0</v>
      </c>
      <c r="D232" s="92" t="str">
        <f>IF($AG232="","",P_StatusVastleg)</f>
        <v>Vastgesteld</v>
      </c>
      <c r="E232" s="92">
        <f>IF($AG232="","",P_UploadVJ)</f>
        <v>2026</v>
      </c>
      <c r="F232" s="92" t="str">
        <f>IF($AG232="","",P_UploadVersie)</f>
        <v>Q3</v>
      </c>
      <c r="G232" s="92">
        <f>IF($AG232="","",IF(COUNTIFS(L_Sleutel,$S232,L_Status,"Vastgesteld")=0,0,_xlfn.MAXIFS(L_Revisie,L_Sleutel,$S232,L_Status,"Vastgesteld")+1))</f>
        <v>1</v>
      </c>
      <c r="H232" s="108">
        <f>IF($AG232="","",P_Peildatum)</f>
        <v>46295.0</v>
      </c>
      <c r="I232" s="92">
        <f>IF($AG232="","",P_RJ+INDEX($AK$8:$AK$21,INDEX($AC$8:$AC$1407,$AG232)+1))</f>
        <v>2026</v>
      </c>
      <c r="J232" s="92" t="str">
        <f>IF($AG232="","",INDEX(V_WBS,INDEX($AB$8:$AB$1407,$AG232)))</f>
        <v>G.900017.8.9090</v>
      </c>
      <c r="K232" s="92" t="str">
        <f>IF($AG232="","",INDEX(V_Projdef,INDEX($AB$8:$AB$1407,$AG232)))</f>
        <v>G.900017</v>
      </c>
      <c r="L232" s="92" t="str">
        <f>IF($AG232="","",INDEX(V_Naam,INDEX($AB$8:$AB$1407,$AG232)))</f>
        <v>Veldendam, Spoorpark</v>
      </c>
      <c r="M232" s="92" t="str">
        <f>IF($AG232="","",INDEX(V_Type,INDEX($AB$8:$AB$1407,$AG232)))</f>
        <v>Opstal</v>
      </c>
      <c r="N232" s="92" t="str">
        <f>IF($AG232="","",INDEX(V_IFRS,INDEX($AB$8:$AB$1407,$AG232)))</f>
        <v>J</v>
      </c>
      <c r="O232" s="92" t="str">
        <f>IF($AG232="","",INDEX($AL$8:$AL$21,INDEX($AC$8:$AC$1407,$AG232)+1))</f>
        <v>Omzet FY</v>
      </c>
      <c r="P232" s="109">
        <f>IF($AG232="","",INDEX($AD$8:$AD$1407,$AG232))</f>
        <v>11760000</v>
      </c>
      <c r="Q232" s="92" t="str">
        <f>IF($AG232="","",INDEX($AM$8:$AM$21,INDEX($AC$8:$AC$1407,$AG232)+1))</f>
        <v>EUR</v>
      </c>
      <c r="R232" s="92" t="str">
        <f>IF($AG232="","",IF($G232&gt;0,P_ToelCorrectie&amp;"",""))</f>
        <v/>
      </c>
      <c r="S232" s="15" t="str">
        <f>IF(J232="","",J232&amp;"|"&amp;E232&amp;"|"&amp;F232&amp;"|"&amp;I232&amp;"|"&amp;O232)</f>
        <v>G.900017.8.9090|2026|Q3|2026|Omzet FY</v>
      </c>
      <c r="T232" s="111">
        <f>IF(S232="","",IF(COUNTIFS(L_Sleutel,S232,L_Actief,1)=0,"",SUMIFS(L_Waarde,L_Sleutel,S232,L_Actief,1)))</f>
        <v>11760000</v>
      </c>
      <c r="U232" s="111">
        <f>IF(OR(S232="",T232=""),0,P232-T232)</f>
        <v>0</v>
      </c>
      <c r="AB232" s="112" t="n">
        <v>17</v>
      </c>
      <c r="AC232" s="112" t="n">
        <v>0</v>
      </c>
      <c r="AD232" s="112">
        <f>VERW_Project!P22</f>
        <v>11760000</v>
      </c>
      <c r="AE232" s="112">
        <f>IF(AND(VERW_Project!$A22&lt;&gt;"",ISNUMBER(AD232)),1,0)</f>
        <v>1</v>
      </c>
      <c r="AF232" s="112">
        <f>IF(AE232=1,SUM($AE$8:AE232),"")</f>
        <v>225</v>
      </c>
      <c r="AG232">
        <f>IFERROR(MATCH(225,$AF$8:$AF$1407,0),"")</f>
        <v>225</v>
      </c>
    </row>
    <row r="233">
      <c r="A233" s="92" t="str">
        <f>IF($AG233="","",P_ImportID)</f>
        <v>IMP-2026-Q3-01</v>
      </c>
      <c r="B233" s="92" t="str">
        <f>IF($AG233="","",IF(INDEX($AN$8:$AN$21,INDEX($AC$8:$AC$1407,$AG233)+1)="Z",P_BronZ,P_BronE))</f>
        <v>ZPMW03_FICTIEF_20_projecten.xlsx</v>
      </c>
      <c r="C233" s="108">
        <f>IF($AG233="","",P_Importdatum)</f>
        <v>46324.0</v>
      </c>
      <c r="D233" s="92" t="str">
        <f>IF($AG233="","",P_StatusVastleg)</f>
        <v>Vastgesteld</v>
      </c>
      <c r="E233" s="92">
        <f>IF($AG233="","",P_UploadVJ)</f>
        <v>2026</v>
      </c>
      <c r="F233" s="92" t="str">
        <f>IF($AG233="","",P_UploadVersie)</f>
        <v>Q3</v>
      </c>
      <c r="G233" s="92">
        <f>IF($AG233="","",IF(COUNTIFS(L_Sleutel,$S233,L_Status,"Vastgesteld")=0,0,_xlfn.MAXIFS(L_Revisie,L_Sleutel,$S233,L_Status,"Vastgesteld")+1))</f>
        <v>1</v>
      </c>
      <c r="H233" s="108">
        <f>IF($AG233="","",P_Peildatum)</f>
        <v>46295.0</v>
      </c>
      <c r="I233" s="92">
        <f>IF($AG233="","",P_RJ+INDEX($AK$8:$AK$21,INDEX($AC$8:$AC$1407,$AG233)+1))</f>
        <v>2026</v>
      </c>
      <c r="J233" s="92" t="str">
        <f>IF($AG233="","",INDEX(V_WBS,INDEX($AB$8:$AB$1407,$AG233)))</f>
        <v>G.900017.8.9090</v>
      </c>
      <c r="K233" s="92" t="str">
        <f>IF($AG233="","",INDEX(V_Projdef,INDEX($AB$8:$AB$1407,$AG233)))</f>
        <v>G.900017</v>
      </c>
      <c r="L233" s="92" t="str">
        <f>IF($AG233="","",INDEX(V_Naam,INDEX($AB$8:$AB$1407,$AG233)))</f>
        <v>Veldendam, Spoorpark</v>
      </c>
      <c r="M233" s="92" t="str">
        <f>IF($AG233="","",INDEX(V_Type,INDEX($AB$8:$AB$1407,$AG233)))</f>
        <v>Opstal</v>
      </c>
      <c r="N233" s="92" t="str">
        <f>IF($AG233="","",INDEX(V_IFRS,INDEX($AB$8:$AB$1407,$AG233)))</f>
        <v>J</v>
      </c>
      <c r="O233" s="92" t="str">
        <f>IF($AG233="","",INDEX($AL$8:$AL$21,INDEX($AC$8:$AC$1407,$AG233)+1))</f>
        <v>BOR FY</v>
      </c>
      <c r="P233" s="109">
        <f>IF($AG233="","",INDEX($AD$8:$AD$1407,$AG233))</f>
        <v>1176000</v>
      </c>
      <c r="Q233" s="92" t="str">
        <f>IF($AG233="","",INDEX($AM$8:$AM$21,INDEX($AC$8:$AC$1407,$AG233)+1))</f>
        <v>EUR</v>
      </c>
      <c r="R233" s="92" t="str">
        <f>IF($AG233="","",IF($G233&gt;0,P_ToelCorrectie&amp;"",""))</f>
        <v/>
      </c>
      <c r="S233" s="15" t="str">
        <f>IF(J233="","",J233&amp;"|"&amp;E233&amp;"|"&amp;F233&amp;"|"&amp;I233&amp;"|"&amp;O233)</f>
        <v>G.900017.8.9090|2026|Q3|2026|BOR FY</v>
      </c>
      <c r="T233" s="111">
        <f>IF(S233="","",IF(COUNTIFS(L_Sleutel,S233,L_Actief,1)=0,"",SUMIFS(L_Waarde,L_Sleutel,S233,L_Actief,1)))</f>
        <v>1176000</v>
      </c>
      <c r="U233" s="111">
        <f>IF(OR(S233="",T233=""),0,P233-T233)</f>
        <v>0</v>
      </c>
      <c r="AB233" s="112" t="n">
        <v>17</v>
      </c>
      <c r="AC233" s="112" t="n">
        <v>1</v>
      </c>
      <c r="AD233" s="112">
        <f>VERW_Project!Q22</f>
        <v>1176000</v>
      </c>
      <c r="AE233" s="112">
        <f>IF(AND(VERW_Project!$A22&lt;&gt;"",ISNUMBER(AD233)),1,0)</f>
        <v>1</v>
      </c>
      <c r="AF233" s="112">
        <f>IF(AE233=1,SUM($AE$8:AE233),"")</f>
        <v>226</v>
      </c>
      <c r="AG233">
        <f>IFERROR(MATCH(226,$AF$8:$AF$1407,0),"")</f>
        <v>226</v>
      </c>
    </row>
    <row r="234">
      <c r="A234" s="92" t="str">
        <f>IF($AG234="","",P_ImportID)</f>
        <v>IMP-2026-Q3-01</v>
      </c>
      <c r="B234" s="92" t="str">
        <f>IF($AG234="","",IF(INDEX($AN$8:$AN$21,INDEX($AC$8:$AC$1407,$AG234)+1)="Z",P_BronZ,P_BronE))</f>
        <v>ZPMW03_FICTIEF_20_projecten.xlsx</v>
      </c>
      <c r="C234" s="108">
        <f>IF($AG234="","",P_Importdatum)</f>
        <v>46324.0</v>
      </c>
      <c r="D234" s="92" t="str">
        <f>IF($AG234="","",P_StatusVastleg)</f>
        <v>Vastgesteld</v>
      </c>
      <c r="E234" s="92">
        <f>IF($AG234="","",P_UploadVJ)</f>
        <v>2026</v>
      </c>
      <c r="F234" s="92" t="str">
        <f>IF($AG234="","",P_UploadVersie)</f>
        <v>Q3</v>
      </c>
      <c r="G234" s="92">
        <f>IF($AG234="","",IF(COUNTIFS(L_Sleutel,$S234,L_Status,"Vastgesteld")=0,0,_xlfn.MAXIFS(L_Revisie,L_Sleutel,$S234,L_Status,"Vastgesteld")+1))</f>
        <v>1</v>
      </c>
      <c r="H234" s="108">
        <f>IF($AG234="","",P_Peildatum)</f>
        <v>46295.0</v>
      </c>
      <c r="I234" s="92">
        <f>IF($AG234="","",P_RJ+INDEX($AK$8:$AK$21,INDEX($AC$8:$AC$1407,$AG234)+1))</f>
        <v>2026</v>
      </c>
      <c r="J234" s="92" t="str">
        <f>IF($AG234="","",INDEX(V_WBS,INDEX($AB$8:$AB$1407,$AG234)))</f>
        <v>G.900017.8.9090</v>
      </c>
      <c r="K234" s="92" t="str">
        <f>IF($AG234="","",INDEX(V_Projdef,INDEX($AB$8:$AB$1407,$AG234)))</f>
        <v>G.900017</v>
      </c>
      <c r="L234" s="92" t="str">
        <f>IF($AG234="","",INDEX(V_Naam,INDEX($AB$8:$AB$1407,$AG234)))</f>
        <v>Veldendam, Spoorpark</v>
      </c>
      <c r="M234" s="92" t="str">
        <f>IF($AG234="","",INDEX(V_Type,INDEX($AB$8:$AB$1407,$AG234)))</f>
        <v>Opstal</v>
      </c>
      <c r="N234" s="92" t="str">
        <f>IF($AG234="","",INDEX(V_IFRS,INDEX($AB$8:$AB$1407,$AG234)))</f>
        <v>J</v>
      </c>
      <c r="O234" s="92" t="str">
        <f>IF($AG234="","",INDEX($AL$8:$AL$21,INDEX($AC$8:$AC$1407,$AG234)+1))</f>
        <v>Omzet actual YTD</v>
      </c>
      <c r="P234" s="109">
        <f>IF($AG234="","",INDEX($AD$8:$AD$1407,$AG234))</f>
        <v>7644000</v>
      </c>
      <c r="Q234" s="92" t="str">
        <f>IF($AG234="","",INDEX($AM$8:$AM$21,INDEX($AC$8:$AC$1407,$AG234)+1))</f>
        <v>EUR</v>
      </c>
      <c r="R234" s="92" t="str">
        <f>IF($AG234="","",IF($G234&gt;0,P_ToelCorrectie&amp;"",""))</f>
        <v/>
      </c>
      <c r="S234" s="15" t="str">
        <f>IF(J234="","",J234&amp;"|"&amp;E234&amp;"|"&amp;F234&amp;"|"&amp;I234&amp;"|"&amp;O234)</f>
        <v>G.900017.8.9090|2026|Q3|2026|Omzet actual YTD</v>
      </c>
      <c r="T234" s="111">
        <f>IF(S234="","",IF(COUNTIFS(L_Sleutel,S234,L_Actief,1)=0,"",SUMIFS(L_Waarde,L_Sleutel,S234,L_Actief,1)))</f>
        <v>7644000</v>
      </c>
      <c r="U234" s="111">
        <f>IF(OR(S234="",T234=""),0,P234-T234)</f>
        <v>0</v>
      </c>
      <c r="AB234" s="112" t="n">
        <v>17</v>
      </c>
      <c r="AC234" s="112" t="n">
        <v>2</v>
      </c>
      <c r="AD234" s="112">
        <f>VERW_Project!L22</f>
        <v>7644000</v>
      </c>
      <c r="AE234" s="112">
        <f>IF(AND(VERW_Project!$A22&lt;&gt;"",ISNUMBER(AD234)),1,0)</f>
        <v>1</v>
      </c>
      <c r="AF234" s="112">
        <f>IF(AE234=1,SUM($AE$8:AE234),"")</f>
        <v>227</v>
      </c>
      <c r="AG234">
        <f>IFERROR(MATCH(227,$AF$8:$AF$1407,0),"")</f>
        <v>227</v>
      </c>
    </row>
    <row r="235">
      <c r="A235" s="92" t="str">
        <f>IF($AG235="","",P_ImportID)</f>
        <v>IMP-2026-Q3-01</v>
      </c>
      <c r="B235" s="92" t="str">
        <f>IF($AG235="","",IF(INDEX($AN$8:$AN$21,INDEX($AC$8:$AC$1407,$AG235)+1)="Z",P_BronZ,P_BronE))</f>
        <v>ZPMW03_FICTIEF_20_projecten.xlsx</v>
      </c>
      <c r="C235" s="108">
        <f>IF($AG235="","",P_Importdatum)</f>
        <v>46324.0</v>
      </c>
      <c r="D235" s="92" t="str">
        <f>IF($AG235="","",P_StatusVastleg)</f>
        <v>Vastgesteld</v>
      </c>
      <c r="E235" s="92">
        <f>IF($AG235="","",P_UploadVJ)</f>
        <v>2026</v>
      </c>
      <c r="F235" s="92" t="str">
        <f>IF($AG235="","",P_UploadVersie)</f>
        <v>Q3</v>
      </c>
      <c r="G235" s="92">
        <f>IF($AG235="","",IF(COUNTIFS(L_Sleutel,$S235,L_Status,"Vastgesteld")=0,0,_xlfn.MAXIFS(L_Revisie,L_Sleutel,$S235,L_Status,"Vastgesteld")+1))</f>
        <v>1</v>
      </c>
      <c r="H235" s="108">
        <f>IF($AG235="","",P_Peildatum)</f>
        <v>46295.0</v>
      </c>
      <c r="I235" s="92">
        <f>IF($AG235="","",P_RJ+INDEX($AK$8:$AK$21,INDEX($AC$8:$AC$1407,$AG235)+1))</f>
        <v>2026</v>
      </c>
      <c r="J235" s="92" t="str">
        <f>IF($AG235="","",INDEX(V_WBS,INDEX($AB$8:$AB$1407,$AG235)))</f>
        <v>G.900017.8.9090</v>
      </c>
      <c r="K235" s="92" t="str">
        <f>IF($AG235="","",INDEX(V_Projdef,INDEX($AB$8:$AB$1407,$AG235)))</f>
        <v>G.900017</v>
      </c>
      <c r="L235" s="92" t="str">
        <f>IF($AG235="","",INDEX(V_Naam,INDEX($AB$8:$AB$1407,$AG235)))</f>
        <v>Veldendam, Spoorpark</v>
      </c>
      <c r="M235" s="92" t="str">
        <f>IF($AG235="","",INDEX(V_Type,INDEX($AB$8:$AB$1407,$AG235)))</f>
        <v>Opstal</v>
      </c>
      <c r="N235" s="92" t="str">
        <f>IF($AG235="","",INDEX(V_IFRS,INDEX($AB$8:$AB$1407,$AG235)))</f>
        <v>J</v>
      </c>
      <c r="O235" s="92" t="str">
        <f>IF($AG235="","",INDEX($AL$8:$AL$21,INDEX($AC$8:$AC$1407,$AG235)+1))</f>
        <v>BOR actual YTD</v>
      </c>
      <c r="P235" s="109">
        <f>IF($AG235="","",INDEX($AD$8:$AD$1407,$AG235))</f>
        <v>764400</v>
      </c>
      <c r="Q235" s="92" t="str">
        <f>IF($AG235="","",INDEX($AM$8:$AM$21,INDEX($AC$8:$AC$1407,$AG235)+1))</f>
        <v>EUR</v>
      </c>
      <c r="R235" s="92" t="str">
        <f>IF($AG235="","",IF($G235&gt;0,P_ToelCorrectie&amp;"",""))</f>
        <v/>
      </c>
      <c r="S235" s="15" t="str">
        <f>IF(J235="","",J235&amp;"|"&amp;E235&amp;"|"&amp;F235&amp;"|"&amp;I235&amp;"|"&amp;O235)</f>
        <v>G.900017.8.9090|2026|Q3|2026|BOR actual YTD</v>
      </c>
      <c r="T235" s="111">
        <f>IF(S235="","",IF(COUNTIFS(L_Sleutel,S235,L_Actief,1)=0,"",SUMIFS(L_Waarde,L_Sleutel,S235,L_Actief,1)))</f>
        <v>764400</v>
      </c>
      <c r="U235" s="111">
        <f>IF(OR(S235="",T235=""),0,P235-T235)</f>
        <v>0</v>
      </c>
      <c r="AB235" s="112" t="n">
        <v>17</v>
      </c>
      <c r="AC235" s="112" t="n">
        <v>3</v>
      </c>
      <c r="AD235" s="112">
        <f>VERW_Project!M22</f>
        <v>764400</v>
      </c>
      <c r="AE235" s="112">
        <f>IF(AND(VERW_Project!$A22&lt;&gt;"",ISNUMBER(AD235)),1,0)</f>
        <v>1</v>
      </c>
      <c r="AF235" s="112">
        <f>IF(AE235=1,SUM($AE$8:AE235),"")</f>
        <v>228</v>
      </c>
      <c r="AG235">
        <f>IFERROR(MATCH(228,$AF$8:$AF$1407,0),"")</f>
        <v>228</v>
      </c>
    </row>
    <row r="236">
      <c r="A236" s="92" t="str">
        <f>IF($AG236="","",P_ImportID)</f>
        <v>IMP-2026-Q3-01</v>
      </c>
      <c r="B236" s="92" t="str">
        <f>IF($AG236="","",IF(INDEX($AN$8:$AN$21,INDEX($AC$8:$AC$1407,$AG236)+1)="Z",P_BronZ,P_BronE))</f>
        <v>ZPMW03_FICTIEF_20_projecten.xlsx</v>
      </c>
      <c r="C236" s="108">
        <f>IF($AG236="","",P_Importdatum)</f>
        <v>46324.0</v>
      </c>
      <c r="D236" s="92" t="str">
        <f>IF($AG236="","",P_StatusVastleg)</f>
        <v>Vastgesteld</v>
      </c>
      <c r="E236" s="92">
        <f>IF($AG236="","",P_UploadVJ)</f>
        <v>2026</v>
      </c>
      <c r="F236" s="92" t="str">
        <f>IF($AG236="","",P_UploadVersie)</f>
        <v>Q3</v>
      </c>
      <c r="G236" s="92">
        <f>IF($AG236="","",IF(COUNTIFS(L_Sleutel,$S236,L_Status,"Vastgesteld")=0,0,_xlfn.MAXIFS(L_Revisie,L_Sleutel,$S236,L_Status,"Vastgesteld")+1))</f>
        <v>1</v>
      </c>
      <c r="H236" s="108">
        <f>IF($AG236="","",P_Peildatum)</f>
        <v>46295.0</v>
      </c>
      <c r="I236" s="92">
        <f>IF($AG236="","",P_RJ+INDEX($AK$8:$AK$21,INDEX($AC$8:$AC$1407,$AG236)+1))</f>
        <v>2027</v>
      </c>
      <c r="J236" s="92" t="str">
        <f>IF($AG236="","",INDEX(V_WBS,INDEX($AB$8:$AB$1407,$AG236)))</f>
        <v>G.900017.8.9090</v>
      </c>
      <c r="K236" s="92" t="str">
        <f>IF($AG236="","",INDEX(V_Projdef,INDEX($AB$8:$AB$1407,$AG236)))</f>
        <v>G.900017</v>
      </c>
      <c r="L236" s="92" t="str">
        <f>IF($AG236="","",INDEX(V_Naam,INDEX($AB$8:$AB$1407,$AG236)))</f>
        <v>Veldendam, Spoorpark</v>
      </c>
      <c r="M236" s="92" t="str">
        <f>IF($AG236="","",INDEX(V_Type,INDEX($AB$8:$AB$1407,$AG236)))</f>
        <v>Opstal</v>
      </c>
      <c r="N236" s="92" t="str">
        <f>IF($AG236="","",INDEX(V_IFRS,INDEX($AB$8:$AB$1407,$AG236)))</f>
        <v>J</v>
      </c>
      <c r="O236" s="92" t="str">
        <f>IF($AG236="","",INDEX($AL$8:$AL$21,INDEX($AC$8:$AC$1407,$AG236)+1))</f>
        <v>Omzet FY</v>
      </c>
      <c r="P236" s="109">
        <f>IF($AG236="","",INDEX($AD$8:$AD$1407,$AG236))</f>
        <v>22932000</v>
      </c>
      <c r="Q236" s="92" t="str">
        <f>IF($AG236="","",INDEX($AM$8:$AM$21,INDEX($AC$8:$AC$1407,$AG236)+1))</f>
        <v>EUR</v>
      </c>
      <c r="R236" s="92" t="str">
        <f>IF($AG236="","",IF($G236&gt;0,P_ToelCorrectie&amp;"",""))</f>
        <v/>
      </c>
      <c r="S236" s="15" t="str">
        <f>IF(J236="","",J236&amp;"|"&amp;E236&amp;"|"&amp;F236&amp;"|"&amp;I236&amp;"|"&amp;O236)</f>
        <v>G.900017.8.9090|2026|Q3|2027|Omzet FY</v>
      </c>
      <c r="T236" s="111">
        <f>IF(S236="","",IF(COUNTIFS(L_Sleutel,S236,L_Actief,1)=0,"",SUMIFS(L_Waarde,L_Sleutel,S236,L_Actief,1)))</f>
        <v>22932000</v>
      </c>
      <c r="U236" s="111">
        <f>IF(OR(S236="",T236=""),0,P236-T236)</f>
        <v>0</v>
      </c>
      <c r="AB236" s="112" t="n">
        <v>17</v>
      </c>
      <c r="AC236" s="112" t="n">
        <v>4</v>
      </c>
      <c r="AD236" s="112">
        <f>VERW_Project!R22</f>
        <v>22932000</v>
      </c>
      <c r="AE236" s="112">
        <f>IF(AND(VERW_Project!$A22&lt;&gt;"",ISNUMBER(AD236)),1,0)</f>
        <v>1</v>
      </c>
      <c r="AF236" s="112">
        <f>IF(AE236=1,SUM($AE$8:AE236),"")</f>
        <v>229</v>
      </c>
      <c r="AG236">
        <f>IFERROR(MATCH(229,$AF$8:$AF$1407,0),"")</f>
        <v>229</v>
      </c>
    </row>
    <row r="237">
      <c r="A237" s="92" t="str">
        <f>IF($AG237="","",P_ImportID)</f>
        <v>IMP-2026-Q3-01</v>
      </c>
      <c r="B237" s="92" t="str">
        <f>IF($AG237="","",IF(INDEX($AN$8:$AN$21,INDEX($AC$8:$AC$1407,$AG237)+1)="Z",P_BronZ,P_BronE))</f>
        <v>ZPMW03_FICTIEF_20_projecten.xlsx</v>
      </c>
      <c r="C237" s="108">
        <f>IF($AG237="","",P_Importdatum)</f>
        <v>46324.0</v>
      </c>
      <c r="D237" s="92" t="str">
        <f>IF($AG237="","",P_StatusVastleg)</f>
        <v>Vastgesteld</v>
      </c>
      <c r="E237" s="92">
        <f>IF($AG237="","",P_UploadVJ)</f>
        <v>2026</v>
      </c>
      <c r="F237" s="92" t="str">
        <f>IF($AG237="","",P_UploadVersie)</f>
        <v>Q3</v>
      </c>
      <c r="G237" s="92">
        <f>IF($AG237="","",IF(COUNTIFS(L_Sleutel,$S237,L_Status,"Vastgesteld")=0,0,_xlfn.MAXIFS(L_Revisie,L_Sleutel,$S237,L_Status,"Vastgesteld")+1))</f>
        <v>1</v>
      </c>
      <c r="H237" s="108">
        <f>IF($AG237="","",P_Peildatum)</f>
        <v>46295.0</v>
      </c>
      <c r="I237" s="92">
        <f>IF($AG237="","",P_RJ+INDEX($AK$8:$AK$21,INDEX($AC$8:$AC$1407,$AG237)+1))</f>
        <v>2027</v>
      </c>
      <c r="J237" s="92" t="str">
        <f>IF($AG237="","",INDEX(V_WBS,INDEX($AB$8:$AB$1407,$AG237)))</f>
        <v>G.900017.8.9090</v>
      </c>
      <c r="K237" s="92" t="str">
        <f>IF($AG237="","",INDEX(V_Projdef,INDEX($AB$8:$AB$1407,$AG237)))</f>
        <v>G.900017</v>
      </c>
      <c r="L237" s="92" t="str">
        <f>IF($AG237="","",INDEX(V_Naam,INDEX($AB$8:$AB$1407,$AG237)))</f>
        <v>Veldendam, Spoorpark</v>
      </c>
      <c r="M237" s="92" t="str">
        <f>IF($AG237="","",INDEX(V_Type,INDEX($AB$8:$AB$1407,$AG237)))</f>
        <v>Opstal</v>
      </c>
      <c r="N237" s="92" t="str">
        <f>IF($AG237="","",INDEX(V_IFRS,INDEX($AB$8:$AB$1407,$AG237)))</f>
        <v>J</v>
      </c>
      <c r="O237" s="92" t="str">
        <f>IF($AG237="","",INDEX($AL$8:$AL$21,INDEX($AC$8:$AC$1407,$AG237)+1))</f>
        <v>BOR FY</v>
      </c>
      <c r="P237" s="109">
        <f>IF($AG237="","",INDEX($AD$8:$AD$1407,$AG237))</f>
        <v>2293200</v>
      </c>
      <c r="Q237" s="92" t="str">
        <f>IF($AG237="","",INDEX($AM$8:$AM$21,INDEX($AC$8:$AC$1407,$AG237)+1))</f>
        <v>EUR</v>
      </c>
      <c r="R237" s="92" t="str">
        <f>IF($AG237="","",IF($G237&gt;0,P_ToelCorrectie&amp;"",""))</f>
        <v/>
      </c>
      <c r="S237" s="15" t="str">
        <f>IF(J237="","",J237&amp;"|"&amp;E237&amp;"|"&amp;F237&amp;"|"&amp;I237&amp;"|"&amp;O237)</f>
        <v>G.900017.8.9090|2026|Q3|2027|BOR FY</v>
      </c>
      <c r="T237" s="111">
        <f>IF(S237="","",IF(COUNTIFS(L_Sleutel,S237,L_Actief,1)=0,"",SUMIFS(L_Waarde,L_Sleutel,S237,L_Actief,1)))</f>
        <v>2293200</v>
      </c>
      <c r="U237" s="111">
        <f>IF(OR(S237="",T237=""),0,P237-T237)</f>
        <v>0</v>
      </c>
      <c r="AB237" s="112" t="n">
        <v>17</v>
      </c>
      <c r="AC237" s="112" t="n">
        <v>5</v>
      </c>
      <c r="AD237" s="112">
        <f>VERW_Project!S22</f>
        <v>2293200</v>
      </c>
      <c r="AE237" s="112">
        <f>IF(AND(VERW_Project!$A22&lt;&gt;"",ISNUMBER(AD237)),1,0)</f>
        <v>1</v>
      </c>
      <c r="AF237" s="112">
        <f>IF(AE237=1,SUM($AE$8:AE237),"")</f>
        <v>230</v>
      </c>
      <c r="AG237">
        <f>IFERROR(MATCH(230,$AF$8:$AF$1407,0),"")</f>
        <v>230</v>
      </c>
    </row>
    <row r="238">
      <c r="A238" s="92" t="str">
        <f>IF($AG238="","",P_ImportID)</f>
        <v>IMP-2026-Q3-01</v>
      </c>
      <c r="B238" s="92" t="str">
        <f>IF($AG238="","",IF(INDEX($AN$8:$AN$21,INDEX($AC$8:$AC$1407,$AG238)+1)="Z",P_BronZ,P_BronE))</f>
        <v>Woningetalage_FICTIEF_20_projecten.xlsx</v>
      </c>
      <c r="C238" s="108">
        <f>IF($AG238="","",P_Importdatum)</f>
        <v>46324.0</v>
      </c>
      <c r="D238" s="92" t="str">
        <f>IF($AG238="","",P_StatusVastleg)</f>
        <v>Vastgesteld</v>
      </c>
      <c r="E238" s="92">
        <f>IF($AG238="","",P_UploadVJ)</f>
        <v>2026</v>
      </c>
      <c r="F238" s="92" t="str">
        <f>IF($AG238="","",P_UploadVersie)</f>
        <v>Q3</v>
      </c>
      <c r="G238" s="92">
        <f>IF($AG238="","",IF(COUNTIFS(L_Sleutel,$S238,L_Status,"Vastgesteld")=0,0,_xlfn.MAXIFS(L_Revisie,L_Sleutel,$S238,L_Status,"Vastgesteld")+1))</f>
        <v>1</v>
      </c>
      <c r="H238" s="108">
        <f>IF($AG238="","",P_Peildatum)</f>
        <v>46295.0</v>
      </c>
      <c r="I238" s="92">
        <f>IF($AG238="","",P_RJ+INDEX($AK$8:$AK$21,INDEX($AC$8:$AC$1407,$AG238)+1))</f>
        <v>2026</v>
      </c>
      <c r="J238" s="92" t="str">
        <f>IF($AG238="","",INDEX(V_WBS,INDEX($AB$8:$AB$1407,$AG238)))</f>
        <v>G.900017.8.9090</v>
      </c>
      <c r="K238" s="92" t="str">
        <f>IF($AG238="","",INDEX(V_Projdef,INDEX($AB$8:$AB$1407,$AG238)))</f>
        <v>G.900017</v>
      </c>
      <c r="L238" s="92" t="str">
        <f>IF($AG238="","",INDEX(V_Naam,INDEX($AB$8:$AB$1407,$AG238)))</f>
        <v>Veldendam, Spoorpark</v>
      </c>
      <c r="M238" s="92" t="str">
        <f>IF($AG238="","",INDEX(V_Type,INDEX($AB$8:$AB$1407,$AG238)))</f>
        <v>Opstal</v>
      </c>
      <c r="N238" s="92" t="str">
        <f>IF($AG238="","",INDEX(V_IFRS,INDEX($AB$8:$AB$1407,$AG238)))</f>
        <v>J</v>
      </c>
      <c r="O238" s="92" t="str">
        <f>IF($AG238="","",INDEX($AL$8:$AL$21,INDEX($AC$8:$AC$1407,$AG238)+1))</f>
        <v>Woningverkopen FY</v>
      </c>
      <c r="P238" s="109">
        <f>IF($AG238="","",INDEX($AD$8:$AD$1407,$AG238))</f>
        <v>28</v>
      </c>
      <c r="Q238" s="92" t="str">
        <f>IF($AG238="","",INDEX($AM$8:$AM$21,INDEX($AC$8:$AC$1407,$AG238)+1))</f>
        <v>aantal</v>
      </c>
      <c r="R238" s="92" t="str">
        <f>IF($AG238="","",IF($G238&gt;0,P_ToelCorrectie&amp;"",""))</f>
        <v/>
      </c>
      <c r="S238" s="15" t="str">
        <f>IF(J238="","",J238&amp;"|"&amp;E238&amp;"|"&amp;F238&amp;"|"&amp;I238&amp;"|"&amp;O238)</f>
        <v>G.900017.8.9090|2026|Q3|2026|Woningverkopen FY</v>
      </c>
      <c r="T238" s="111">
        <f>IF(S238="","",IF(COUNTIFS(L_Sleutel,S238,L_Actief,1)=0,"",SUMIFS(L_Waarde,L_Sleutel,S238,L_Actief,1)))</f>
        <v>28</v>
      </c>
      <c r="U238" s="111">
        <f>IF(OR(S238="",T238=""),0,P238-T238)</f>
        <v>0</v>
      </c>
      <c r="AB238" s="112" t="n">
        <v>17</v>
      </c>
      <c r="AC238" s="112" t="n">
        <v>6</v>
      </c>
      <c r="AD238" s="112">
        <f>VERW_Project!BW22</f>
        <v>28</v>
      </c>
      <c r="AE238" s="112">
        <f>IF(AND(VERW_Project!$A22&lt;&gt;"",ISNUMBER(AD238)),1,0)</f>
        <v>1</v>
      </c>
      <c r="AF238" s="112">
        <f>IF(AE238=1,SUM($AE$8:AE238),"")</f>
        <v>231</v>
      </c>
      <c r="AG238">
        <f>IFERROR(MATCH(231,$AF$8:$AF$1407,0),"")</f>
        <v>231</v>
      </c>
    </row>
    <row r="239">
      <c r="A239" s="92" t="str">
        <f>IF($AG239="","",P_ImportID)</f>
        <v>IMP-2026-Q3-01</v>
      </c>
      <c r="B239" s="92" t="str">
        <f>IF($AG239="","",IF(INDEX($AN$8:$AN$21,INDEX($AC$8:$AC$1407,$AG239)+1)="Z",P_BronZ,P_BronE))</f>
        <v>Woningetalage_FICTIEF_20_projecten.xlsx</v>
      </c>
      <c r="C239" s="108">
        <f>IF($AG239="","",P_Importdatum)</f>
        <v>46324.0</v>
      </c>
      <c r="D239" s="92" t="str">
        <f>IF($AG239="","",P_StatusVastleg)</f>
        <v>Vastgesteld</v>
      </c>
      <c r="E239" s="92">
        <f>IF($AG239="","",P_UploadVJ)</f>
        <v>2026</v>
      </c>
      <c r="F239" s="92" t="str">
        <f>IF($AG239="","",P_UploadVersie)</f>
        <v>Q3</v>
      </c>
      <c r="G239" s="92">
        <f>IF($AG239="","",IF(COUNTIFS(L_Sleutel,$S239,L_Status,"Vastgesteld")=0,0,_xlfn.MAXIFS(L_Revisie,L_Sleutel,$S239,L_Status,"Vastgesteld")+1))</f>
        <v>1</v>
      </c>
      <c r="H239" s="108">
        <f>IF($AG239="","",P_Peildatum)</f>
        <v>46295.0</v>
      </c>
      <c r="I239" s="92">
        <f>IF($AG239="","",P_RJ+INDEX($AK$8:$AK$21,INDEX($AC$8:$AC$1407,$AG239)+1))</f>
        <v>2026</v>
      </c>
      <c r="J239" s="92" t="str">
        <f>IF($AG239="","",INDEX(V_WBS,INDEX($AB$8:$AB$1407,$AG239)))</f>
        <v>G.900017.8.9090</v>
      </c>
      <c r="K239" s="92" t="str">
        <f>IF($AG239="","",INDEX(V_Projdef,INDEX($AB$8:$AB$1407,$AG239)))</f>
        <v>G.900017</v>
      </c>
      <c r="L239" s="92" t="str">
        <f>IF($AG239="","",INDEX(V_Naam,INDEX($AB$8:$AB$1407,$AG239)))</f>
        <v>Veldendam, Spoorpark</v>
      </c>
      <c r="M239" s="92" t="str">
        <f>IF($AG239="","",INDEX(V_Type,INDEX($AB$8:$AB$1407,$AG239)))</f>
        <v>Opstal</v>
      </c>
      <c r="N239" s="92" t="str">
        <f>IF($AG239="","",INDEX(V_IFRS,INDEX($AB$8:$AB$1407,$AG239)))</f>
        <v>J</v>
      </c>
      <c r="O239" s="92" t="str">
        <f>IF($AG239="","",INDEX($AL$8:$AL$21,INDEX($AC$8:$AC$1407,$AG239)+1))</f>
        <v>Woningen verkocht t/m vorig jaar</v>
      </c>
      <c r="P239" s="109">
        <f>IF($AG239="","",INDEX($AD$8:$AD$1407,$AG239))</f>
        <v>0</v>
      </c>
      <c r="Q239" s="92" t="str">
        <f>IF($AG239="","",INDEX($AM$8:$AM$21,INDEX($AC$8:$AC$1407,$AG239)+1))</f>
        <v>aantal</v>
      </c>
      <c r="R239" s="92" t="str">
        <f>IF($AG239="","",IF($G239&gt;0,P_ToelCorrectie&amp;"",""))</f>
        <v/>
      </c>
      <c r="S239" s="15" t="str">
        <f>IF(J239="","",J239&amp;"|"&amp;E239&amp;"|"&amp;F239&amp;"|"&amp;I239&amp;"|"&amp;O239)</f>
        <v>G.900017.8.9090|2026|Q3|2026|Woningen verkocht t/m vorig jaar</v>
      </c>
      <c r="T239" s="111">
        <f>IF(S239="","",IF(COUNTIFS(L_Sleutel,S239,L_Actief,1)=0,"",SUMIFS(L_Waarde,L_Sleutel,S239,L_Actief,1)))</f>
        <v>0</v>
      </c>
      <c r="U239" s="111">
        <f>IF(OR(S239="",T239=""),0,P239-T239)</f>
        <v>0</v>
      </c>
      <c r="AB239" s="112" t="n">
        <v>17</v>
      </c>
      <c r="AC239" s="112" t="n">
        <v>7</v>
      </c>
      <c r="AD239" s="112">
        <f>VERW_Project!AW22</f>
        <v>0</v>
      </c>
      <c r="AE239" s="112">
        <f>IF(AND(VERW_Project!$A22&lt;&gt;"",ISNUMBER(AD239)),1,0)</f>
        <v>1</v>
      </c>
      <c r="AF239" s="112">
        <f>IF(AE239=1,SUM($AE$8:AE239),"")</f>
        <v>232</v>
      </c>
      <c r="AG239">
        <f>IFERROR(MATCH(232,$AF$8:$AF$1407,0),"")</f>
        <v>232</v>
      </c>
    </row>
    <row r="240">
      <c r="A240" s="92" t="str">
        <f>IF($AG240="","",P_ImportID)</f>
        <v>IMP-2026-Q3-01</v>
      </c>
      <c r="B240" s="92" t="str">
        <f>IF($AG240="","",IF(INDEX($AN$8:$AN$21,INDEX($AC$8:$AC$1407,$AG240)+1)="Z",P_BronZ,P_BronE))</f>
        <v>Woningetalage_FICTIEF_20_projecten.xlsx</v>
      </c>
      <c r="C240" s="108">
        <f>IF($AG240="","",P_Importdatum)</f>
        <v>46324.0</v>
      </c>
      <c r="D240" s="92" t="str">
        <f>IF($AG240="","",P_StatusVastleg)</f>
        <v>Vastgesteld</v>
      </c>
      <c r="E240" s="92">
        <f>IF($AG240="","",P_UploadVJ)</f>
        <v>2026</v>
      </c>
      <c r="F240" s="92" t="str">
        <f>IF($AG240="","",P_UploadVersie)</f>
        <v>Q3</v>
      </c>
      <c r="G240" s="92">
        <f>IF($AG240="","",IF(COUNTIFS(L_Sleutel,$S240,L_Status,"Vastgesteld")=0,0,_xlfn.MAXIFS(L_Revisie,L_Sleutel,$S240,L_Status,"Vastgesteld")+1))</f>
        <v>1</v>
      </c>
      <c r="H240" s="108">
        <f>IF($AG240="","",P_Peildatum)</f>
        <v>46295.0</v>
      </c>
      <c r="I240" s="92">
        <f>IF($AG240="","",P_RJ+INDEX($AK$8:$AK$21,INDEX($AC$8:$AC$1407,$AG240)+1))</f>
        <v>2026</v>
      </c>
      <c r="J240" s="92" t="str">
        <f>IF($AG240="","",INDEX(V_WBS,INDEX($AB$8:$AB$1407,$AG240)))</f>
        <v>G.900017.8.9090</v>
      </c>
      <c r="K240" s="92" t="str">
        <f>IF($AG240="","",INDEX(V_Projdef,INDEX($AB$8:$AB$1407,$AG240)))</f>
        <v>G.900017</v>
      </c>
      <c r="L240" s="92" t="str">
        <f>IF($AG240="","",INDEX(V_Naam,INDEX($AB$8:$AB$1407,$AG240)))</f>
        <v>Veldendam, Spoorpark</v>
      </c>
      <c r="M240" s="92" t="str">
        <f>IF($AG240="","",INDEX(V_Type,INDEX($AB$8:$AB$1407,$AG240)))</f>
        <v>Opstal</v>
      </c>
      <c r="N240" s="92" t="str">
        <f>IF($AG240="","",INDEX(V_IFRS,INDEX($AB$8:$AB$1407,$AG240)))</f>
        <v>J</v>
      </c>
      <c r="O240" s="92" t="str">
        <f>IF($AG240="","",INDEX($AL$8:$AL$21,INDEX($AC$8:$AC$1407,$AG240)+1))</f>
        <v>Woningverkopen Q1</v>
      </c>
      <c r="P240" s="109">
        <f>IF($AG240="","",INDEX($AD$8:$AD$1407,$AG240))</f>
        <v>4</v>
      </c>
      <c r="Q240" s="92" t="str">
        <f>IF($AG240="","",INDEX($AM$8:$AM$21,INDEX($AC$8:$AC$1407,$AG240)+1))</f>
        <v>aantal</v>
      </c>
      <c r="R240" s="92" t="str">
        <f>IF($AG240="","",IF($G240&gt;0,P_ToelCorrectie&amp;"",""))</f>
        <v/>
      </c>
      <c r="S240" s="15" t="str">
        <f>IF(J240="","",J240&amp;"|"&amp;E240&amp;"|"&amp;F240&amp;"|"&amp;I240&amp;"|"&amp;O240)</f>
        <v>G.900017.8.9090|2026|Q3|2026|Woningverkopen Q1</v>
      </c>
      <c r="T240" s="111">
        <f>IF(S240="","",IF(COUNTIFS(L_Sleutel,S240,L_Actief,1)=0,"",SUMIFS(L_Waarde,L_Sleutel,S240,L_Actief,1)))</f>
        <v>4</v>
      </c>
      <c r="U240" s="111">
        <f>IF(OR(S240="",T240=""),0,P240-T240)</f>
        <v>0</v>
      </c>
      <c r="AB240" s="112" t="n">
        <v>17</v>
      </c>
      <c r="AC240" s="112" t="n">
        <v>8</v>
      </c>
      <c r="AD240" s="112">
        <f>VERW_Project!BQ22</f>
        <v>4</v>
      </c>
      <c r="AE240" s="112">
        <f>IF(AND(VERW_Project!$A22&lt;&gt;"",ISNUMBER(AD240)),1,0)</f>
        <v>1</v>
      </c>
      <c r="AF240" s="112">
        <f>IF(AE240=1,SUM($AE$8:AE240),"")</f>
        <v>233</v>
      </c>
      <c r="AG240">
        <f>IFERROR(MATCH(233,$AF$8:$AF$1407,0),"")</f>
        <v>233</v>
      </c>
    </row>
    <row r="241">
      <c r="A241" s="92" t="str">
        <f>IF($AG241="","",P_ImportID)</f>
        <v>IMP-2026-Q3-01</v>
      </c>
      <c r="B241" s="92" t="str">
        <f>IF($AG241="","",IF(INDEX($AN$8:$AN$21,INDEX($AC$8:$AC$1407,$AG241)+1)="Z",P_BronZ,P_BronE))</f>
        <v>Woningetalage_FICTIEF_20_projecten.xlsx</v>
      </c>
      <c r="C241" s="108">
        <f>IF($AG241="","",P_Importdatum)</f>
        <v>46324.0</v>
      </c>
      <c r="D241" s="92" t="str">
        <f>IF($AG241="","",P_StatusVastleg)</f>
        <v>Vastgesteld</v>
      </c>
      <c r="E241" s="92">
        <f>IF($AG241="","",P_UploadVJ)</f>
        <v>2026</v>
      </c>
      <c r="F241" s="92" t="str">
        <f>IF($AG241="","",P_UploadVersie)</f>
        <v>Q3</v>
      </c>
      <c r="G241" s="92">
        <f>IF($AG241="","",IF(COUNTIFS(L_Sleutel,$S241,L_Status,"Vastgesteld")=0,0,_xlfn.MAXIFS(L_Revisie,L_Sleutel,$S241,L_Status,"Vastgesteld")+1))</f>
        <v>1</v>
      </c>
      <c r="H241" s="108">
        <f>IF($AG241="","",P_Peildatum)</f>
        <v>46295.0</v>
      </c>
      <c r="I241" s="92">
        <f>IF($AG241="","",P_RJ+INDEX($AK$8:$AK$21,INDEX($AC$8:$AC$1407,$AG241)+1))</f>
        <v>2026</v>
      </c>
      <c r="J241" s="92" t="str">
        <f>IF($AG241="","",INDEX(V_WBS,INDEX($AB$8:$AB$1407,$AG241)))</f>
        <v>G.900017.8.9090</v>
      </c>
      <c r="K241" s="92" t="str">
        <f>IF($AG241="","",INDEX(V_Projdef,INDEX($AB$8:$AB$1407,$AG241)))</f>
        <v>G.900017</v>
      </c>
      <c r="L241" s="92" t="str">
        <f>IF($AG241="","",INDEX(V_Naam,INDEX($AB$8:$AB$1407,$AG241)))</f>
        <v>Veldendam, Spoorpark</v>
      </c>
      <c r="M241" s="92" t="str">
        <f>IF($AG241="","",INDEX(V_Type,INDEX($AB$8:$AB$1407,$AG241)))</f>
        <v>Opstal</v>
      </c>
      <c r="N241" s="92" t="str">
        <f>IF($AG241="","",INDEX(V_IFRS,INDEX($AB$8:$AB$1407,$AG241)))</f>
        <v>J</v>
      </c>
      <c r="O241" s="92" t="str">
        <f>IF($AG241="","",INDEX($AL$8:$AL$21,INDEX($AC$8:$AC$1407,$AG241)+1))</f>
        <v>Woningverkopen Q2</v>
      </c>
      <c r="P241" s="109">
        <f>IF($AG241="","",INDEX($AD$8:$AD$1407,$AG241))</f>
        <v>7</v>
      </c>
      <c r="Q241" s="92" t="str">
        <f>IF($AG241="","",INDEX($AM$8:$AM$21,INDEX($AC$8:$AC$1407,$AG241)+1))</f>
        <v>aantal</v>
      </c>
      <c r="R241" s="92" t="str">
        <f>IF($AG241="","",IF($G241&gt;0,P_ToelCorrectie&amp;"",""))</f>
        <v/>
      </c>
      <c r="S241" s="15" t="str">
        <f>IF(J241="","",J241&amp;"|"&amp;E241&amp;"|"&amp;F241&amp;"|"&amp;I241&amp;"|"&amp;O241)</f>
        <v>G.900017.8.9090|2026|Q3|2026|Woningverkopen Q2</v>
      </c>
      <c r="T241" s="111">
        <f>IF(S241="","",IF(COUNTIFS(L_Sleutel,S241,L_Actief,1)=0,"",SUMIFS(L_Waarde,L_Sleutel,S241,L_Actief,1)))</f>
        <v>7</v>
      </c>
      <c r="U241" s="111">
        <f>IF(OR(S241="",T241=""),0,P241-T241)</f>
        <v>0</v>
      </c>
      <c r="AB241" s="112" t="n">
        <v>17</v>
      </c>
      <c r="AC241" s="112" t="n">
        <v>9</v>
      </c>
      <c r="AD241" s="112">
        <f>VERW_Project!BR22</f>
        <v>7</v>
      </c>
      <c r="AE241" s="112">
        <f>IF(AND(VERW_Project!$A22&lt;&gt;"",ISNUMBER(AD241)),1,0)</f>
        <v>1</v>
      </c>
      <c r="AF241" s="112">
        <f>IF(AE241=1,SUM($AE$8:AE241),"")</f>
        <v>234</v>
      </c>
      <c r="AG241">
        <f>IFERROR(MATCH(234,$AF$8:$AF$1407,0),"")</f>
        <v>234</v>
      </c>
    </row>
    <row r="242">
      <c r="A242" s="92" t="str">
        <f>IF($AG242="","",P_ImportID)</f>
        <v>IMP-2026-Q3-01</v>
      </c>
      <c r="B242" s="92" t="str">
        <f>IF($AG242="","",IF(INDEX($AN$8:$AN$21,INDEX($AC$8:$AC$1407,$AG242)+1)="Z",P_BronZ,P_BronE))</f>
        <v>Woningetalage_FICTIEF_20_projecten.xlsx</v>
      </c>
      <c r="C242" s="108">
        <f>IF($AG242="","",P_Importdatum)</f>
        <v>46324.0</v>
      </c>
      <c r="D242" s="92" t="str">
        <f>IF($AG242="","",P_StatusVastleg)</f>
        <v>Vastgesteld</v>
      </c>
      <c r="E242" s="92">
        <f>IF($AG242="","",P_UploadVJ)</f>
        <v>2026</v>
      </c>
      <c r="F242" s="92" t="str">
        <f>IF($AG242="","",P_UploadVersie)</f>
        <v>Q3</v>
      </c>
      <c r="G242" s="92">
        <f>IF($AG242="","",IF(COUNTIFS(L_Sleutel,$S242,L_Status,"Vastgesteld")=0,0,_xlfn.MAXIFS(L_Revisie,L_Sleutel,$S242,L_Status,"Vastgesteld")+1))</f>
        <v>1</v>
      </c>
      <c r="H242" s="108">
        <f>IF($AG242="","",P_Peildatum)</f>
        <v>46295.0</v>
      </c>
      <c r="I242" s="92">
        <f>IF($AG242="","",P_RJ+INDEX($AK$8:$AK$21,INDEX($AC$8:$AC$1407,$AG242)+1))</f>
        <v>2026</v>
      </c>
      <c r="J242" s="92" t="str">
        <f>IF($AG242="","",INDEX(V_WBS,INDEX($AB$8:$AB$1407,$AG242)))</f>
        <v>G.900017.8.9090</v>
      </c>
      <c r="K242" s="92" t="str">
        <f>IF($AG242="","",INDEX(V_Projdef,INDEX($AB$8:$AB$1407,$AG242)))</f>
        <v>G.900017</v>
      </c>
      <c r="L242" s="92" t="str">
        <f>IF($AG242="","",INDEX(V_Naam,INDEX($AB$8:$AB$1407,$AG242)))</f>
        <v>Veldendam, Spoorpark</v>
      </c>
      <c r="M242" s="92" t="str">
        <f>IF($AG242="","",INDEX(V_Type,INDEX($AB$8:$AB$1407,$AG242)))</f>
        <v>Opstal</v>
      </c>
      <c r="N242" s="92" t="str">
        <f>IF($AG242="","",INDEX(V_IFRS,INDEX($AB$8:$AB$1407,$AG242)))</f>
        <v>J</v>
      </c>
      <c r="O242" s="92" t="str">
        <f>IF($AG242="","",INDEX($AL$8:$AL$21,INDEX($AC$8:$AC$1407,$AG242)+1))</f>
        <v>Woningverkopen Q3</v>
      </c>
      <c r="P242" s="109">
        <f>IF($AG242="","",INDEX($AD$8:$AD$1407,$AG242))</f>
        <v>7</v>
      </c>
      <c r="Q242" s="92" t="str">
        <f>IF($AG242="","",INDEX($AM$8:$AM$21,INDEX($AC$8:$AC$1407,$AG242)+1))</f>
        <v>aantal</v>
      </c>
      <c r="R242" s="92" t="str">
        <f>IF($AG242="","",IF($G242&gt;0,P_ToelCorrectie&amp;"",""))</f>
        <v/>
      </c>
      <c r="S242" s="15" t="str">
        <f>IF(J242="","",J242&amp;"|"&amp;E242&amp;"|"&amp;F242&amp;"|"&amp;I242&amp;"|"&amp;O242)</f>
        <v>G.900017.8.9090|2026|Q3|2026|Woningverkopen Q3</v>
      </c>
      <c r="T242" s="111">
        <f>IF(S242="","",IF(COUNTIFS(L_Sleutel,S242,L_Actief,1)=0,"",SUMIFS(L_Waarde,L_Sleutel,S242,L_Actief,1)))</f>
        <v>7</v>
      </c>
      <c r="U242" s="111">
        <f>IF(OR(S242="",T242=""),0,P242-T242)</f>
        <v>0</v>
      </c>
      <c r="AB242" s="112" t="n">
        <v>17</v>
      </c>
      <c r="AC242" s="112" t="n">
        <v>10</v>
      </c>
      <c r="AD242" s="112">
        <f>VERW_Project!BS22</f>
        <v>7</v>
      </c>
      <c r="AE242" s="112">
        <f>IF(AND(VERW_Project!$A22&lt;&gt;"",ISNUMBER(AD242)),1,0)</f>
        <v>1</v>
      </c>
      <c r="AF242" s="112">
        <f>IF(AE242=1,SUM($AE$8:AE242),"")</f>
        <v>235</v>
      </c>
      <c r="AG242">
        <f>IFERROR(MATCH(235,$AF$8:$AF$1407,0),"")</f>
        <v>235</v>
      </c>
    </row>
    <row r="243">
      <c r="A243" s="92" t="str">
        <f>IF($AG243="","",P_ImportID)</f>
        <v>IMP-2026-Q3-01</v>
      </c>
      <c r="B243" s="92" t="str">
        <f>IF($AG243="","",IF(INDEX($AN$8:$AN$21,INDEX($AC$8:$AC$1407,$AG243)+1)="Z",P_BronZ,P_BronE))</f>
        <v>Woningetalage_FICTIEF_20_projecten.xlsx</v>
      </c>
      <c r="C243" s="108">
        <f>IF($AG243="","",P_Importdatum)</f>
        <v>46324.0</v>
      </c>
      <c r="D243" s="92" t="str">
        <f>IF($AG243="","",P_StatusVastleg)</f>
        <v>Vastgesteld</v>
      </c>
      <c r="E243" s="92">
        <f>IF($AG243="","",P_UploadVJ)</f>
        <v>2026</v>
      </c>
      <c r="F243" s="92" t="str">
        <f>IF($AG243="","",P_UploadVersie)</f>
        <v>Q3</v>
      </c>
      <c r="G243" s="92">
        <f>IF($AG243="","",IF(COUNTIFS(L_Sleutel,$S243,L_Status,"Vastgesteld")=0,0,_xlfn.MAXIFS(L_Revisie,L_Sleutel,$S243,L_Status,"Vastgesteld")+1))</f>
        <v>1</v>
      </c>
      <c r="H243" s="108">
        <f>IF($AG243="","",P_Peildatum)</f>
        <v>46295.0</v>
      </c>
      <c r="I243" s="92">
        <f>IF($AG243="","",P_RJ+INDEX($AK$8:$AK$21,INDEX($AC$8:$AC$1407,$AG243)+1))</f>
        <v>2026</v>
      </c>
      <c r="J243" s="92" t="str">
        <f>IF($AG243="","",INDEX(V_WBS,INDEX($AB$8:$AB$1407,$AG243)))</f>
        <v>G.900017.8.9090</v>
      </c>
      <c r="K243" s="92" t="str">
        <f>IF($AG243="","",INDEX(V_Projdef,INDEX($AB$8:$AB$1407,$AG243)))</f>
        <v>G.900017</v>
      </c>
      <c r="L243" s="92" t="str">
        <f>IF($AG243="","",INDEX(V_Naam,INDEX($AB$8:$AB$1407,$AG243)))</f>
        <v>Veldendam, Spoorpark</v>
      </c>
      <c r="M243" s="92" t="str">
        <f>IF($AG243="","",INDEX(V_Type,INDEX($AB$8:$AB$1407,$AG243)))</f>
        <v>Opstal</v>
      </c>
      <c r="N243" s="92" t="str">
        <f>IF($AG243="","",INDEX(V_IFRS,INDEX($AB$8:$AB$1407,$AG243)))</f>
        <v>J</v>
      </c>
      <c r="O243" s="92" t="str">
        <f>IF($AG243="","",INDEX($AL$8:$AL$21,INDEX($AC$8:$AC$1407,$AG243)+1))</f>
        <v>Woningverkopen Q4</v>
      </c>
      <c r="P243" s="109">
        <f>IF($AG243="","",INDEX($AD$8:$AD$1407,$AG243))</f>
        <v>10</v>
      </c>
      <c r="Q243" s="92" t="str">
        <f>IF($AG243="","",INDEX($AM$8:$AM$21,INDEX($AC$8:$AC$1407,$AG243)+1))</f>
        <v>aantal</v>
      </c>
      <c r="R243" s="92" t="str">
        <f>IF($AG243="","",IF($G243&gt;0,P_ToelCorrectie&amp;"",""))</f>
        <v/>
      </c>
      <c r="S243" s="15" t="str">
        <f>IF(J243="","",J243&amp;"|"&amp;E243&amp;"|"&amp;F243&amp;"|"&amp;I243&amp;"|"&amp;O243)</f>
        <v>G.900017.8.9090|2026|Q3|2026|Woningverkopen Q4</v>
      </c>
      <c r="T243" s="111">
        <f>IF(S243="","",IF(COUNTIFS(L_Sleutel,S243,L_Actief,1)=0,"",SUMIFS(L_Waarde,L_Sleutel,S243,L_Actief,1)))</f>
        <v>10</v>
      </c>
      <c r="U243" s="111">
        <f>IF(OR(S243="",T243=""),0,P243-T243)</f>
        <v>0</v>
      </c>
      <c r="AB243" s="112" t="n">
        <v>17</v>
      </c>
      <c r="AC243" s="112" t="n">
        <v>11</v>
      </c>
      <c r="AD243" s="112">
        <f>VERW_Project!BT22</f>
        <v>10</v>
      </c>
      <c r="AE243" s="112">
        <f>IF(AND(VERW_Project!$A22&lt;&gt;"",ISNUMBER(AD243)),1,0)</f>
        <v>1</v>
      </c>
      <c r="AF243" s="112">
        <f>IF(AE243=1,SUM($AE$8:AE243),"")</f>
        <v>236</v>
      </c>
      <c r="AG243">
        <f>IFERROR(MATCH(236,$AF$8:$AF$1407,0),"")</f>
        <v>236</v>
      </c>
    </row>
    <row r="244">
      <c r="A244" s="92" t="str">
        <f>IF($AG244="","",P_ImportID)</f>
        <v>IMP-2026-Q3-01</v>
      </c>
      <c r="B244" s="92" t="str">
        <f>IF($AG244="","",IF(INDEX($AN$8:$AN$21,INDEX($AC$8:$AC$1407,$AG244)+1)="Z",P_BronZ,P_BronE))</f>
        <v>Woningetalage_FICTIEF_20_projecten.xlsx</v>
      </c>
      <c r="C244" s="108">
        <f>IF($AG244="","",P_Importdatum)</f>
        <v>46324.0</v>
      </c>
      <c r="D244" s="92" t="str">
        <f>IF($AG244="","",P_StatusVastleg)</f>
        <v>Vastgesteld</v>
      </c>
      <c r="E244" s="92">
        <f>IF($AG244="","",P_UploadVJ)</f>
        <v>2026</v>
      </c>
      <c r="F244" s="92" t="str">
        <f>IF($AG244="","",P_UploadVersie)</f>
        <v>Q3</v>
      </c>
      <c r="G244" s="92">
        <f>IF($AG244="","",IF(COUNTIFS(L_Sleutel,$S244,L_Status,"Vastgesteld")=0,0,_xlfn.MAXIFS(L_Revisie,L_Sleutel,$S244,L_Status,"Vastgesteld")+1))</f>
        <v>1</v>
      </c>
      <c r="H244" s="108">
        <f>IF($AG244="","",P_Peildatum)</f>
        <v>46295.0</v>
      </c>
      <c r="I244" s="92">
        <f>IF($AG244="","",P_RJ+INDEX($AK$8:$AK$21,INDEX($AC$8:$AC$1407,$AG244)+1))</f>
        <v>2026</v>
      </c>
      <c r="J244" s="92" t="str">
        <f>IF($AG244="","",INDEX(V_WBS,INDEX($AB$8:$AB$1407,$AG244)))</f>
        <v>G.900017.8.9090</v>
      </c>
      <c r="K244" s="92" t="str">
        <f>IF($AG244="","",INDEX(V_Projdef,INDEX($AB$8:$AB$1407,$AG244)))</f>
        <v>G.900017</v>
      </c>
      <c r="L244" s="92" t="str">
        <f>IF($AG244="","",INDEX(V_Naam,INDEX($AB$8:$AB$1407,$AG244)))</f>
        <v>Veldendam, Spoorpark</v>
      </c>
      <c r="M244" s="92" t="str">
        <f>IF($AG244="","",INDEX(V_Type,INDEX($AB$8:$AB$1407,$AG244)))</f>
        <v>Opstal</v>
      </c>
      <c r="N244" s="92" t="str">
        <f>IF($AG244="","",INDEX(V_IFRS,INDEX($AB$8:$AB$1407,$AG244)))</f>
        <v>J</v>
      </c>
      <c r="O244" s="92" t="str">
        <f>IF($AG244="","",INDEX($AL$8:$AL$21,INDEX($AC$8:$AC$1407,$AG244)+1))</f>
        <v>Woningverkopen actual YTD</v>
      </c>
      <c r="P244" s="109">
        <f>IF($AG244="","",INDEX($AD$8:$AD$1407,$AG244))</f>
        <v>18</v>
      </c>
      <c r="Q244" s="92" t="str">
        <f>IF($AG244="","",INDEX($AM$8:$AM$21,INDEX($AC$8:$AC$1407,$AG244)+1))</f>
        <v>aantal</v>
      </c>
      <c r="R244" s="92" t="str">
        <f>IF($AG244="","",IF($G244&gt;0,P_ToelCorrectie&amp;"",""))</f>
        <v/>
      </c>
      <c r="S244" s="15" t="str">
        <f>IF(J244="","",J244&amp;"|"&amp;E244&amp;"|"&amp;F244&amp;"|"&amp;I244&amp;"|"&amp;O244)</f>
        <v>G.900017.8.9090|2026|Q3|2026|Woningverkopen actual YTD</v>
      </c>
      <c r="T244" s="111">
        <f>IF(S244="","",IF(COUNTIFS(L_Sleutel,S244,L_Actief,1)=0,"",SUMIFS(L_Waarde,L_Sleutel,S244,L_Actief,1)))</f>
        <v>18</v>
      </c>
      <c r="U244" s="111">
        <f>IF(OR(S244="",T244=""),0,P244-T244)</f>
        <v>0</v>
      </c>
      <c r="AB244" s="112" t="n">
        <v>17</v>
      </c>
      <c r="AC244" s="112" t="n">
        <v>12</v>
      </c>
      <c r="AD244" s="112">
        <f>VERW_Project!BU22</f>
        <v>18</v>
      </c>
      <c r="AE244" s="112">
        <f>IF(AND(VERW_Project!$A22&lt;&gt;"",ISNUMBER(AD244)),1,0)</f>
        <v>1</v>
      </c>
      <c r="AF244" s="112">
        <f>IF(AE244=1,SUM($AE$8:AE244),"")</f>
        <v>237</v>
      </c>
      <c r="AG244">
        <f>IFERROR(MATCH(237,$AF$8:$AF$1407,0),"")</f>
        <v>237</v>
      </c>
    </row>
    <row r="245">
      <c r="A245" s="92" t="str">
        <f>IF($AG245="","",P_ImportID)</f>
        <v>IMP-2026-Q3-01</v>
      </c>
      <c r="B245" s="92" t="str">
        <f>IF($AG245="","",IF(INDEX($AN$8:$AN$21,INDEX($AC$8:$AC$1407,$AG245)+1)="Z",P_BronZ,P_BronE))</f>
        <v>Woningetalage_FICTIEF_20_projecten.xlsx</v>
      </c>
      <c r="C245" s="108">
        <f>IF($AG245="","",P_Importdatum)</f>
        <v>46324.0</v>
      </c>
      <c r="D245" s="92" t="str">
        <f>IF($AG245="","",P_StatusVastleg)</f>
        <v>Vastgesteld</v>
      </c>
      <c r="E245" s="92">
        <f>IF($AG245="","",P_UploadVJ)</f>
        <v>2026</v>
      </c>
      <c r="F245" s="92" t="str">
        <f>IF($AG245="","",P_UploadVersie)</f>
        <v>Q3</v>
      </c>
      <c r="G245" s="92">
        <f>IF($AG245="","",IF(COUNTIFS(L_Sleutel,$S245,L_Status,"Vastgesteld")=0,0,_xlfn.MAXIFS(L_Revisie,L_Sleutel,$S245,L_Status,"Vastgesteld")+1))</f>
        <v>0</v>
      </c>
      <c r="H245" s="108">
        <f>IF($AG245="","",P_Peildatum)</f>
        <v>46295.0</v>
      </c>
      <c r="I245" s="92">
        <f>IF($AG245="","",P_RJ+INDEX($AK$8:$AK$21,INDEX($AC$8:$AC$1407,$AG245)+1))</f>
        <v>2027</v>
      </c>
      <c r="J245" s="92" t="str">
        <f>IF($AG245="","",INDEX(V_WBS,INDEX($AB$8:$AB$1407,$AG245)))</f>
        <v>G.900017.8.9090</v>
      </c>
      <c r="K245" s="92" t="str">
        <f>IF($AG245="","",INDEX(V_Projdef,INDEX($AB$8:$AB$1407,$AG245)))</f>
        <v>G.900017</v>
      </c>
      <c r="L245" s="92" t="str">
        <f>IF($AG245="","",INDEX(V_Naam,INDEX($AB$8:$AB$1407,$AG245)))</f>
        <v>Veldendam, Spoorpark</v>
      </c>
      <c r="M245" s="92" t="str">
        <f>IF($AG245="","",INDEX(V_Type,INDEX($AB$8:$AB$1407,$AG245)))</f>
        <v>Opstal</v>
      </c>
      <c r="N245" s="92" t="str">
        <f>IF($AG245="","",INDEX(V_IFRS,INDEX($AB$8:$AB$1407,$AG245)))</f>
        <v>J</v>
      </c>
      <c r="O245" s="92" t="str">
        <f>IF($AG245="","",INDEX($AL$8:$AL$21,INDEX($AC$8:$AC$1407,$AG245)+1))</f>
        <v>Woningverkopen FY</v>
      </c>
      <c r="P245" s="109">
        <f>IF($AG245="","",INDEX($AD$8:$AD$1407,$AG245))</f>
        <v>37</v>
      </c>
      <c r="Q245" s="92" t="str">
        <f>IF($AG245="","",INDEX($AM$8:$AM$21,INDEX($AC$8:$AC$1407,$AG245)+1))</f>
        <v>aantal</v>
      </c>
      <c r="R245" s="92" t="str">
        <f>IF($AG245="","",IF($G245&gt;0,P_ToelCorrectie&amp;"",""))</f>
        <v/>
      </c>
      <c r="S245" s="15" t="str">
        <f>IF(J245="","",J245&amp;"|"&amp;E245&amp;"|"&amp;F245&amp;"|"&amp;I245&amp;"|"&amp;O245)</f>
        <v>G.900017.8.9090|2026|Q3|2027|Woningverkopen FY</v>
      </c>
      <c r="T245" s="111" t="str">
        <f>IF(S245="","",IF(COUNTIFS(L_Sleutel,S245,L_Actief,1)=0,"",SUMIFS(L_Waarde,L_Sleutel,S245,L_Actief,1)))</f>
        <v/>
      </c>
      <c r="U245" s="111">
        <f>IF(OR(S245="",T245=""),0,P245-T245)</f>
        <v>0</v>
      </c>
      <c r="AB245" s="112" t="n">
        <v>17</v>
      </c>
      <c r="AC245" s="112" t="n">
        <v>13</v>
      </c>
      <c r="AD245" s="112">
        <f>VERW_Project!BX22</f>
        <v>37</v>
      </c>
      <c r="AE245" s="112">
        <f>IF(AND(VERW_Project!$A22&lt;&gt;"",ISNUMBER(AD245)),1,0)</f>
        <v>1</v>
      </c>
      <c r="AF245" s="112">
        <f>IF(AE245=1,SUM($AE$8:AE245),"")</f>
        <v>238</v>
      </c>
      <c r="AG245">
        <f>IFERROR(MATCH(238,$AF$8:$AF$1407,0),"")</f>
        <v>238</v>
      </c>
    </row>
    <row r="246">
      <c r="A246" s="92" t="str">
        <f>IF($AG246="","",P_ImportID)</f>
        <v>IMP-2026-Q3-01</v>
      </c>
      <c r="B246" s="92" t="str">
        <f>IF($AG246="","",IF(INDEX($AN$8:$AN$21,INDEX($AC$8:$AC$1407,$AG246)+1)="Z",P_BronZ,P_BronE))</f>
        <v>ZPMW03_FICTIEF_20_projecten.xlsx</v>
      </c>
      <c r="C246" s="108">
        <f>IF($AG246="","",P_Importdatum)</f>
        <v>46324.0</v>
      </c>
      <c r="D246" s="92" t="str">
        <f>IF($AG246="","",P_StatusVastleg)</f>
        <v>Vastgesteld</v>
      </c>
      <c r="E246" s="92">
        <f>IF($AG246="","",P_UploadVJ)</f>
        <v>2026</v>
      </c>
      <c r="F246" s="92" t="str">
        <f>IF($AG246="","",P_UploadVersie)</f>
        <v>Q3</v>
      </c>
      <c r="G246" s="92">
        <f>IF($AG246="","",IF(COUNTIFS(L_Sleutel,$S246,L_Status,"Vastgesteld")=0,0,_xlfn.MAXIFS(L_Revisie,L_Sleutel,$S246,L_Status,"Vastgesteld")+1))</f>
        <v>1</v>
      </c>
      <c r="H246" s="108">
        <f>IF($AG246="","",P_Peildatum)</f>
        <v>46295.0</v>
      </c>
      <c r="I246" s="92">
        <f>IF($AG246="","",P_RJ+INDEX($AK$8:$AK$21,INDEX($AC$8:$AC$1407,$AG246)+1))</f>
        <v>2026</v>
      </c>
      <c r="J246" s="92" t="str">
        <f>IF($AG246="","",INDEX(V_WBS,INDEX($AB$8:$AB$1407,$AG246)))</f>
        <v>G.900018.8.9090</v>
      </c>
      <c r="K246" s="92" t="str">
        <f>IF($AG246="","",INDEX(V_Projdef,INDEX($AB$8:$AB$1407,$AG246)))</f>
        <v>G.900018</v>
      </c>
      <c r="L246" s="92" t="str">
        <f>IF($AG246="","",INDEX(V_Naam,INDEX($AB$8:$AB$1407,$AG246)))</f>
        <v>Meerhovenstad, De Boog</v>
      </c>
      <c r="M246" s="92" t="str">
        <f>IF($AG246="","",INDEX(V_Type,INDEX($AB$8:$AB$1407,$AG246)))</f>
        <v>Deelneming</v>
      </c>
      <c r="N246" s="92" t="str">
        <f>IF($AG246="","",INDEX(V_IFRS,INDEX($AB$8:$AB$1407,$AG246)))</f>
        <v>N</v>
      </c>
      <c r="O246" s="92" t="str">
        <f>IF($AG246="","",INDEX($AL$8:$AL$21,INDEX($AC$8:$AC$1407,$AG246)+1))</f>
        <v>Omzet FY</v>
      </c>
      <c r="P246" s="109">
        <f>IF($AG246="","",INDEX($AD$8:$AD$1407,$AG246))</f>
        <v>1806000</v>
      </c>
      <c r="Q246" s="92" t="str">
        <f>IF($AG246="","",INDEX($AM$8:$AM$21,INDEX($AC$8:$AC$1407,$AG246)+1))</f>
        <v>EUR</v>
      </c>
      <c r="R246" s="92" t="str">
        <f>IF($AG246="","",IF($G246&gt;0,P_ToelCorrectie&amp;"",""))</f>
        <v/>
      </c>
      <c r="S246" s="15" t="str">
        <f>IF(J246="","",J246&amp;"|"&amp;E246&amp;"|"&amp;F246&amp;"|"&amp;I246&amp;"|"&amp;O246)</f>
        <v>G.900018.8.9090|2026|Q3|2026|Omzet FY</v>
      </c>
      <c r="T246" s="111">
        <f>IF(S246="","",IF(COUNTIFS(L_Sleutel,S246,L_Actief,1)=0,"",SUMIFS(L_Waarde,L_Sleutel,S246,L_Actief,1)))</f>
        <v>1806000</v>
      </c>
      <c r="U246" s="111">
        <f>IF(OR(S246="",T246=""),0,P246-T246)</f>
        <v>0</v>
      </c>
      <c r="AB246" s="112" t="n">
        <v>18</v>
      </c>
      <c r="AC246" s="112" t="n">
        <v>0</v>
      </c>
      <c r="AD246" s="112">
        <f>VERW_Project!P23</f>
        <v>1806000</v>
      </c>
      <c r="AE246" s="112">
        <f>IF(AND(VERW_Project!$A23&lt;&gt;"",ISNUMBER(AD246)),1,0)</f>
        <v>1</v>
      </c>
      <c r="AF246" s="112">
        <f>IF(AE246=1,SUM($AE$8:AE246),"")</f>
        <v>239</v>
      </c>
      <c r="AG246">
        <f>IFERROR(MATCH(239,$AF$8:$AF$1407,0),"")</f>
        <v>239</v>
      </c>
    </row>
    <row r="247">
      <c r="A247" s="92" t="str">
        <f>IF($AG247="","",P_ImportID)</f>
        <v>IMP-2026-Q3-01</v>
      </c>
      <c r="B247" s="92" t="str">
        <f>IF($AG247="","",IF(INDEX($AN$8:$AN$21,INDEX($AC$8:$AC$1407,$AG247)+1)="Z",P_BronZ,P_BronE))</f>
        <v>ZPMW03_FICTIEF_20_projecten.xlsx</v>
      </c>
      <c r="C247" s="108">
        <f>IF($AG247="","",P_Importdatum)</f>
        <v>46324.0</v>
      </c>
      <c r="D247" s="92" t="str">
        <f>IF($AG247="","",P_StatusVastleg)</f>
        <v>Vastgesteld</v>
      </c>
      <c r="E247" s="92">
        <f>IF($AG247="","",P_UploadVJ)</f>
        <v>2026</v>
      </c>
      <c r="F247" s="92" t="str">
        <f>IF($AG247="","",P_UploadVersie)</f>
        <v>Q3</v>
      </c>
      <c r="G247" s="92">
        <f>IF($AG247="","",IF(COUNTIFS(L_Sleutel,$S247,L_Status,"Vastgesteld")=0,0,_xlfn.MAXIFS(L_Revisie,L_Sleutel,$S247,L_Status,"Vastgesteld")+1))</f>
        <v>1</v>
      </c>
      <c r="H247" s="108">
        <f>IF($AG247="","",P_Peildatum)</f>
        <v>46295.0</v>
      </c>
      <c r="I247" s="92">
        <f>IF($AG247="","",P_RJ+INDEX($AK$8:$AK$21,INDEX($AC$8:$AC$1407,$AG247)+1))</f>
        <v>2026</v>
      </c>
      <c r="J247" s="92" t="str">
        <f>IF($AG247="","",INDEX(V_WBS,INDEX($AB$8:$AB$1407,$AG247)))</f>
        <v>G.900018.8.9090</v>
      </c>
      <c r="K247" s="92" t="str">
        <f>IF($AG247="","",INDEX(V_Projdef,INDEX($AB$8:$AB$1407,$AG247)))</f>
        <v>G.900018</v>
      </c>
      <c r="L247" s="92" t="str">
        <f>IF($AG247="","",INDEX(V_Naam,INDEX($AB$8:$AB$1407,$AG247)))</f>
        <v>Meerhovenstad, De Boog</v>
      </c>
      <c r="M247" s="92" t="str">
        <f>IF($AG247="","",INDEX(V_Type,INDEX($AB$8:$AB$1407,$AG247)))</f>
        <v>Deelneming</v>
      </c>
      <c r="N247" s="92" t="str">
        <f>IF($AG247="","",INDEX(V_IFRS,INDEX($AB$8:$AB$1407,$AG247)))</f>
        <v>N</v>
      </c>
      <c r="O247" s="92" t="str">
        <f>IF($AG247="","",INDEX($AL$8:$AL$21,INDEX($AC$8:$AC$1407,$AG247)+1))</f>
        <v>BOR FY</v>
      </c>
      <c r="P247" s="109">
        <f>IF($AG247="","",INDEX($AD$8:$AD$1407,$AG247))</f>
        <v>-54180</v>
      </c>
      <c r="Q247" s="92" t="str">
        <f>IF($AG247="","",INDEX($AM$8:$AM$21,INDEX($AC$8:$AC$1407,$AG247)+1))</f>
        <v>EUR</v>
      </c>
      <c r="R247" s="92" t="str">
        <f>IF($AG247="","",IF($G247&gt;0,P_ToelCorrectie&amp;"",""))</f>
        <v/>
      </c>
      <c r="S247" s="15" t="str">
        <f>IF(J247="","",J247&amp;"|"&amp;E247&amp;"|"&amp;F247&amp;"|"&amp;I247&amp;"|"&amp;O247)</f>
        <v>G.900018.8.9090|2026|Q3|2026|BOR FY</v>
      </c>
      <c r="T247" s="111">
        <f>IF(S247="","",IF(COUNTIFS(L_Sleutel,S247,L_Actief,1)=0,"",SUMIFS(L_Waarde,L_Sleutel,S247,L_Actief,1)))</f>
        <v>-54180</v>
      </c>
      <c r="U247" s="111">
        <f>IF(OR(S247="",T247=""),0,P247-T247)</f>
        <v>0</v>
      </c>
      <c r="AB247" s="112" t="n">
        <v>18</v>
      </c>
      <c r="AC247" s="112" t="n">
        <v>1</v>
      </c>
      <c r="AD247" s="112">
        <f>VERW_Project!Q23</f>
        <v>-54180</v>
      </c>
      <c r="AE247" s="112">
        <f>IF(AND(VERW_Project!$A23&lt;&gt;"",ISNUMBER(AD247)),1,0)</f>
        <v>1</v>
      </c>
      <c r="AF247" s="112">
        <f>IF(AE247=1,SUM($AE$8:AE247),"")</f>
        <v>240</v>
      </c>
      <c r="AG247">
        <f>IFERROR(MATCH(240,$AF$8:$AF$1407,0),"")</f>
        <v>240</v>
      </c>
    </row>
    <row r="248">
      <c r="A248" s="92" t="str">
        <f>IF($AG248="","",P_ImportID)</f>
        <v>IMP-2026-Q3-01</v>
      </c>
      <c r="B248" s="92" t="str">
        <f>IF($AG248="","",IF(INDEX($AN$8:$AN$21,INDEX($AC$8:$AC$1407,$AG248)+1)="Z",P_BronZ,P_BronE))</f>
        <v>ZPMW03_FICTIEF_20_projecten.xlsx</v>
      </c>
      <c r="C248" s="108">
        <f>IF($AG248="","",P_Importdatum)</f>
        <v>46324.0</v>
      </c>
      <c r="D248" s="92" t="str">
        <f>IF($AG248="","",P_StatusVastleg)</f>
        <v>Vastgesteld</v>
      </c>
      <c r="E248" s="92">
        <f>IF($AG248="","",P_UploadVJ)</f>
        <v>2026</v>
      </c>
      <c r="F248" s="92" t="str">
        <f>IF($AG248="","",P_UploadVersie)</f>
        <v>Q3</v>
      </c>
      <c r="G248" s="92">
        <f>IF($AG248="","",IF(COUNTIFS(L_Sleutel,$S248,L_Status,"Vastgesteld")=0,0,_xlfn.MAXIFS(L_Revisie,L_Sleutel,$S248,L_Status,"Vastgesteld")+1))</f>
        <v>1</v>
      </c>
      <c r="H248" s="108">
        <f>IF($AG248="","",P_Peildatum)</f>
        <v>46295.0</v>
      </c>
      <c r="I248" s="92">
        <f>IF($AG248="","",P_RJ+INDEX($AK$8:$AK$21,INDEX($AC$8:$AC$1407,$AG248)+1))</f>
        <v>2026</v>
      </c>
      <c r="J248" s="92" t="str">
        <f>IF($AG248="","",INDEX(V_WBS,INDEX($AB$8:$AB$1407,$AG248)))</f>
        <v>G.900018.8.9090</v>
      </c>
      <c r="K248" s="92" t="str">
        <f>IF($AG248="","",INDEX(V_Projdef,INDEX($AB$8:$AB$1407,$AG248)))</f>
        <v>G.900018</v>
      </c>
      <c r="L248" s="92" t="str">
        <f>IF($AG248="","",INDEX(V_Naam,INDEX($AB$8:$AB$1407,$AG248)))</f>
        <v>Meerhovenstad, De Boog</v>
      </c>
      <c r="M248" s="92" t="str">
        <f>IF($AG248="","",INDEX(V_Type,INDEX($AB$8:$AB$1407,$AG248)))</f>
        <v>Deelneming</v>
      </c>
      <c r="N248" s="92" t="str">
        <f>IF($AG248="","",INDEX(V_IFRS,INDEX($AB$8:$AB$1407,$AG248)))</f>
        <v>N</v>
      </c>
      <c r="O248" s="92" t="str">
        <f>IF($AG248="","",INDEX($AL$8:$AL$21,INDEX($AC$8:$AC$1407,$AG248)+1))</f>
        <v>Omzet actual YTD</v>
      </c>
      <c r="P248" s="109">
        <f>IF($AG248="","",INDEX($AD$8:$AD$1407,$AG248))</f>
        <v>1173900</v>
      </c>
      <c r="Q248" s="92" t="str">
        <f>IF($AG248="","",INDEX($AM$8:$AM$21,INDEX($AC$8:$AC$1407,$AG248)+1))</f>
        <v>EUR</v>
      </c>
      <c r="R248" s="92" t="str">
        <f>IF($AG248="","",IF($G248&gt;0,P_ToelCorrectie&amp;"",""))</f>
        <v/>
      </c>
      <c r="S248" s="15" t="str">
        <f>IF(J248="","",J248&amp;"|"&amp;E248&amp;"|"&amp;F248&amp;"|"&amp;I248&amp;"|"&amp;O248)</f>
        <v>G.900018.8.9090|2026|Q3|2026|Omzet actual YTD</v>
      </c>
      <c r="T248" s="111">
        <f>IF(S248="","",IF(COUNTIFS(L_Sleutel,S248,L_Actief,1)=0,"",SUMIFS(L_Waarde,L_Sleutel,S248,L_Actief,1)))</f>
        <v>1173900</v>
      </c>
      <c r="U248" s="111">
        <f>IF(OR(S248="",T248=""),0,P248-T248)</f>
        <v>0</v>
      </c>
      <c r="AB248" s="112" t="n">
        <v>18</v>
      </c>
      <c r="AC248" s="112" t="n">
        <v>2</v>
      </c>
      <c r="AD248" s="112">
        <f>VERW_Project!L23</f>
        <v>1173900</v>
      </c>
      <c r="AE248" s="112">
        <f>IF(AND(VERW_Project!$A23&lt;&gt;"",ISNUMBER(AD248)),1,0)</f>
        <v>1</v>
      </c>
      <c r="AF248" s="112">
        <f>IF(AE248=1,SUM($AE$8:AE248),"")</f>
        <v>241</v>
      </c>
      <c r="AG248">
        <f>IFERROR(MATCH(241,$AF$8:$AF$1407,0),"")</f>
        <v>241</v>
      </c>
    </row>
    <row r="249">
      <c r="A249" s="92" t="str">
        <f>IF($AG249="","",P_ImportID)</f>
        <v>IMP-2026-Q3-01</v>
      </c>
      <c r="B249" s="92" t="str">
        <f>IF($AG249="","",IF(INDEX($AN$8:$AN$21,INDEX($AC$8:$AC$1407,$AG249)+1)="Z",P_BronZ,P_BronE))</f>
        <v>ZPMW03_FICTIEF_20_projecten.xlsx</v>
      </c>
      <c r="C249" s="108">
        <f>IF($AG249="","",P_Importdatum)</f>
        <v>46324.0</v>
      </c>
      <c r="D249" s="92" t="str">
        <f>IF($AG249="","",P_StatusVastleg)</f>
        <v>Vastgesteld</v>
      </c>
      <c r="E249" s="92">
        <f>IF($AG249="","",P_UploadVJ)</f>
        <v>2026</v>
      </c>
      <c r="F249" s="92" t="str">
        <f>IF($AG249="","",P_UploadVersie)</f>
        <v>Q3</v>
      </c>
      <c r="G249" s="92">
        <f>IF($AG249="","",IF(COUNTIFS(L_Sleutel,$S249,L_Status,"Vastgesteld")=0,0,_xlfn.MAXIFS(L_Revisie,L_Sleutel,$S249,L_Status,"Vastgesteld")+1))</f>
        <v>1</v>
      </c>
      <c r="H249" s="108">
        <f>IF($AG249="","",P_Peildatum)</f>
        <v>46295.0</v>
      </c>
      <c r="I249" s="92">
        <f>IF($AG249="","",P_RJ+INDEX($AK$8:$AK$21,INDEX($AC$8:$AC$1407,$AG249)+1))</f>
        <v>2026</v>
      </c>
      <c r="J249" s="92" t="str">
        <f>IF($AG249="","",INDEX(V_WBS,INDEX($AB$8:$AB$1407,$AG249)))</f>
        <v>G.900018.8.9090</v>
      </c>
      <c r="K249" s="92" t="str">
        <f>IF($AG249="","",INDEX(V_Projdef,INDEX($AB$8:$AB$1407,$AG249)))</f>
        <v>G.900018</v>
      </c>
      <c r="L249" s="92" t="str">
        <f>IF($AG249="","",INDEX(V_Naam,INDEX($AB$8:$AB$1407,$AG249)))</f>
        <v>Meerhovenstad, De Boog</v>
      </c>
      <c r="M249" s="92" t="str">
        <f>IF($AG249="","",INDEX(V_Type,INDEX($AB$8:$AB$1407,$AG249)))</f>
        <v>Deelneming</v>
      </c>
      <c r="N249" s="92" t="str">
        <f>IF($AG249="","",INDEX(V_IFRS,INDEX($AB$8:$AB$1407,$AG249)))</f>
        <v>N</v>
      </c>
      <c r="O249" s="92" t="str">
        <f>IF($AG249="","",INDEX($AL$8:$AL$21,INDEX($AC$8:$AC$1407,$AG249)+1))</f>
        <v>BOR actual YTD</v>
      </c>
      <c r="P249" s="109">
        <f>IF($AG249="","",INDEX($AD$8:$AD$1407,$AG249))</f>
        <v>-35217</v>
      </c>
      <c r="Q249" s="92" t="str">
        <f>IF($AG249="","",INDEX($AM$8:$AM$21,INDEX($AC$8:$AC$1407,$AG249)+1))</f>
        <v>EUR</v>
      </c>
      <c r="R249" s="92" t="str">
        <f>IF($AG249="","",IF($G249&gt;0,P_ToelCorrectie&amp;"",""))</f>
        <v/>
      </c>
      <c r="S249" s="15" t="str">
        <f>IF(J249="","",J249&amp;"|"&amp;E249&amp;"|"&amp;F249&amp;"|"&amp;I249&amp;"|"&amp;O249)</f>
        <v>G.900018.8.9090|2026|Q3|2026|BOR actual YTD</v>
      </c>
      <c r="T249" s="111">
        <f>IF(S249="","",IF(COUNTIFS(L_Sleutel,S249,L_Actief,1)=0,"",SUMIFS(L_Waarde,L_Sleutel,S249,L_Actief,1)))</f>
        <v>-35217</v>
      </c>
      <c r="U249" s="111">
        <f>IF(OR(S249="",T249=""),0,P249-T249)</f>
        <v>0</v>
      </c>
      <c r="AB249" s="112" t="n">
        <v>18</v>
      </c>
      <c r="AC249" s="112" t="n">
        <v>3</v>
      </c>
      <c r="AD249" s="112">
        <f>VERW_Project!M23</f>
        <v>-35217</v>
      </c>
      <c r="AE249" s="112">
        <f>IF(AND(VERW_Project!$A23&lt;&gt;"",ISNUMBER(AD249)),1,0)</f>
        <v>1</v>
      </c>
      <c r="AF249" s="112">
        <f>IF(AE249=1,SUM($AE$8:AE249),"")</f>
        <v>242</v>
      </c>
      <c r="AG249">
        <f>IFERROR(MATCH(242,$AF$8:$AF$1407,0),"")</f>
        <v>242</v>
      </c>
    </row>
    <row r="250">
      <c r="A250" s="92" t="str">
        <f>IF($AG250="","",P_ImportID)</f>
        <v>IMP-2026-Q3-01</v>
      </c>
      <c r="B250" s="92" t="str">
        <f>IF($AG250="","",IF(INDEX($AN$8:$AN$21,INDEX($AC$8:$AC$1407,$AG250)+1)="Z",P_BronZ,P_BronE))</f>
        <v>ZPMW03_FICTIEF_20_projecten.xlsx</v>
      </c>
      <c r="C250" s="108">
        <f>IF($AG250="","",P_Importdatum)</f>
        <v>46324.0</v>
      </c>
      <c r="D250" s="92" t="str">
        <f>IF($AG250="","",P_StatusVastleg)</f>
        <v>Vastgesteld</v>
      </c>
      <c r="E250" s="92">
        <f>IF($AG250="","",P_UploadVJ)</f>
        <v>2026</v>
      </c>
      <c r="F250" s="92" t="str">
        <f>IF($AG250="","",P_UploadVersie)</f>
        <v>Q3</v>
      </c>
      <c r="G250" s="92">
        <f>IF($AG250="","",IF(COUNTIFS(L_Sleutel,$S250,L_Status,"Vastgesteld")=0,0,_xlfn.MAXIFS(L_Revisie,L_Sleutel,$S250,L_Status,"Vastgesteld")+1))</f>
        <v>1</v>
      </c>
      <c r="H250" s="108">
        <f>IF($AG250="","",P_Peildatum)</f>
        <v>46295.0</v>
      </c>
      <c r="I250" s="92">
        <f>IF($AG250="","",P_RJ+INDEX($AK$8:$AK$21,INDEX($AC$8:$AC$1407,$AG250)+1))</f>
        <v>2027</v>
      </c>
      <c r="J250" s="92" t="str">
        <f>IF($AG250="","",INDEX(V_WBS,INDEX($AB$8:$AB$1407,$AG250)))</f>
        <v>G.900018.8.9090</v>
      </c>
      <c r="K250" s="92" t="str">
        <f>IF($AG250="","",INDEX(V_Projdef,INDEX($AB$8:$AB$1407,$AG250)))</f>
        <v>G.900018</v>
      </c>
      <c r="L250" s="92" t="str">
        <f>IF($AG250="","",INDEX(V_Naam,INDEX($AB$8:$AB$1407,$AG250)))</f>
        <v>Meerhovenstad, De Boog</v>
      </c>
      <c r="M250" s="92" t="str">
        <f>IF($AG250="","",INDEX(V_Type,INDEX($AB$8:$AB$1407,$AG250)))</f>
        <v>Deelneming</v>
      </c>
      <c r="N250" s="92" t="str">
        <f>IF($AG250="","",INDEX(V_IFRS,INDEX($AB$8:$AB$1407,$AG250)))</f>
        <v>N</v>
      </c>
      <c r="O250" s="92" t="str">
        <f>IF($AG250="","",INDEX($AL$8:$AL$21,INDEX($AC$8:$AC$1407,$AG250)+1))</f>
        <v>Omzet FY</v>
      </c>
      <c r="P250" s="109">
        <f>IF($AG250="","",INDEX($AD$8:$AD$1407,$AG250))</f>
        <v>6652100</v>
      </c>
      <c r="Q250" s="92" t="str">
        <f>IF($AG250="","",INDEX($AM$8:$AM$21,INDEX($AC$8:$AC$1407,$AG250)+1))</f>
        <v>EUR</v>
      </c>
      <c r="R250" s="92" t="str">
        <f>IF($AG250="","",IF($G250&gt;0,P_ToelCorrectie&amp;"",""))</f>
        <v/>
      </c>
      <c r="S250" s="15" t="str">
        <f>IF(J250="","",J250&amp;"|"&amp;E250&amp;"|"&amp;F250&amp;"|"&amp;I250&amp;"|"&amp;O250)</f>
        <v>G.900018.8.9090|2026|Q3|2027|Omzet FY</v>
      </c>
      <c r="T250" s="111">
        <f>IF(S250="","",IF(COUNTIFS(L_Sleutel,S250,L_Actief,1)=0,"",SUMIFS(L_Waarde,L_Sleutel,S250,L_Actief,1)))</f>
        <v>6652100</v>
      </c>
      <c r="U250" s="111">
        <f>IF(OR(S250="",T250=""),0,P250-T250)</f>
        <v>0</v>
      </c>
      <c r="AB250" s="112" t="n">
        <v>18</v>
      </c>
      <c r="AC250" s="112" t="n">
        <v>4</v>
      </c>
      <c r="AD250" s="112">
        <f>VERW_Project!R23</f>
        <v>6652100</v>
      </c>
      <c r="AE250" s="112">
        <f>IF(AND(VERW_Project!$A23&lt;&gt;"",ISNUMBER(AD250)),1,0)</f>
        <v>1</v>
      </c>
      <c r="AF250" s="112">
        <f>IF(AE250=1,SUM($AE$8:AE250),"")</f>
        <v>243</v>
      </c>
      <c r="AG250">
        <f>IFERROR(MATCH(243,$AF$8:$AF$1407,0),"")</f>
        <v>243</v>
      </c>
    </row>
    <row r="251">
      <c r="A251" s="92" t="str">
        <f>IF($AG251="","",P_ImportID)</f>
        <v>IMP-2026-Q3-01</v>
      </c>
      <c r="B251" s="92" t="str">
        <f>IF($AG251="","",IF(INDEX($AN$8:$AN$21,INDEX($AC$8:$AC$1407,$AG251)+1)="Z",P_BronZ,P_BronE))</f>
        <v>ZPMW03_FICTIEF_20_projecten.xlsx</v>
      </c>
      <c r="C251" s="108">
        <f>IF($AG251="","",P_Importdatum)</f>
        <v>46324.0</v>
      </c>
      <c r="D251" s="92" t="str">
        <f>IF($AG251="","",P_StatusVastleg)</f>
        <v>Vastgesteld</v>
      </c>
      <c r="E251" s="92">
        <f>IF($AG251="","",P_UploadVJ)</f>
        <v>2026</v>
      </c>
      <c r="F251" s="92" t="str">
        <f>IF($AG251="","",P_UploadVersie)</f>
        <v>Q3</v>
      </c>
      <c r="G251" s="92">
        <f>IF($AG251="","",IF(COUNTIFS(L_Sleutel,$S251,L_Status,"Vastgesteld")=0,0,_xlfn.MAXIFS(L_Revisie,L_Sleutel,$S251,L_Status,"Vastgesteld")+1))</f>
        <v>1</v>
      </c>
      <c r="H251" s="108">
        <f>IF($AG251="","",P_Peildatum)</f>
        <v>46295.0</v>
      </c>
      <c r="I251" s="92">
        <f>IF($AG251="","",P_RJ+INDEX($AK$8:$AK$21,INDEX($AC$8:$AC$1407,$AG251)+1))</f>
        <v>2027</v>
      </c>
      <c r="J251" s="92" t="str">
        <f>IF($AG251="","",INDEX(V_WBS,INDEX($AB$8:$AB$1407,$AG251)))</f>
        <v>G.900018.8.9090</v>
      </c>
      <c r="K251" s="92" t="str">
        <f>IF($AG251="","",INDEX(V_Projdef,INDEX($AB$8:$AB$1407,$AG251)))</f>
        <v>G.900018</v>
      </c>
      <c r="L251" s="92" t="str">
        <f>IF($AG251="","",INDEX(V_Naam,INDEX($AB$8:$AB$1407,$AG251)))</f>
        <v>Meerhovenstad, De Boog</v>
      </c>
      <c r="M251" s="92" t="str">
        <f>IF($AG251="","",INDEX(V_Type,INDEX($AB$8:$AB$1407,$AG251)))</f>
        <v>Deelneming</v>
      </c>
      <c r="N251" s="92" t="str">
        <f>IF($AG251="","",INDEX(V_IFRS,INDEX($AB$8:$AB$1407,$AG251)))</f>
        <v>N</v>
      </c>
      <c r="O251" s="92" t="str">
        <f>IF($AG251="","",INDEX($AL$8:$AL$21,INDEX($AC$8:$AC$1407,$AG251)+1))</f>
        <v>BOR FY</v>
      </c>
      <c r="P251" s="109">
        <f>IF($AG251="","",INDEX($AD$8:$AD$1407,$AG251))</f>
        <v>-199563</v>
      </c>
      <c r="Q251" s="92" t="str">
        <f>IF($AG251="","",INDEX($AM$8:$AM$21,INDEX($AC$8:$AC$1407,$AG251)+1))</f>
        <v>EUR</v>
      </c>
      <c r="R251" s="92" t="str">
        <f>IF($AG251="","",IF($G251&gt;0,P_ToelCorrectie&amp;"",""))</f>
        <v/>
      </c>
      <c r="S251" s="15" t="str">
        <f>IF(J251="","",J251&amp;"|"&amp;E251&amp;"|"&amp;F251&amp;"|"&amp;I251&amp;"|"&amp;O251)</f>
        <v>G.900018.8.9090|2026|Q3|2027|BOR FY</v>
      </c>
      <c r="T251" s="111">
        <f>IF(S251="","",IF(COUNTIFS(L_Sleutel,S251,L_Actief,1)=0,"",SUMIFS(L_Waarde,L_Sleutel,S251,L_Actief,1)))</f>
        <v>-199563</v>
      </c>
      <c r="U251" s="111">
        <f>IF(OR(S251="",T251=""),0,P251-T251)</f>
        <v>0</v>
      </c>
      <c r="AB251" s="112" t="n">
        <v>18</v>
      </c>
      <c r="AC251" s="112" t="n">
        <v>5</v>
      </c>
      <c r="AD251" s="112">
        <f>VERW_Project!S23</f>
        <v>-199563</v>
      </c>
      <c r="AE251" s="112">
        <f>IF(AND(VERW_Project!$A23&lt;&gt;"",ISNUMBER(AD251)),1,0)</f>
        <v>1</v>
      </c>
      <c r="AF251" s="112">
        <f>IF(AE251=1,SUM($AE$8:AE251),"")</f>
        <v>244</v>
      </c>
      <c r="AG251">
        <f>IFERROR(MATCH(244,$AF$8:$AF$1407,0),"")</f>
        <v>244</v>
      </c>
    </row>
    <row r="252">
      <c r="A252" s="92" t="str">
        <f>IF($AG252="","",P_ImportID)</f>
        <v>IMP-2026-Q3-01</v>
      </c>
      <c r="B252" s="92" t="str">
        <f>IF($AG252="","",IF(INDEX($AN$8:$AN$21,INDEX($AC$8:$AC$1407,$AG252)+1)="Z",P_BronZ,P_BronE))</f>
        <v>Woningetalage_FICTIEF_20_projecten.xlsx</v>
      </c>
      <c r="C252" s="108">
        <f>IF($AG252="","",P_Importdatum)</f>
        <v>46324.0</v>
      </c>
      <c r="D252" s="92" t="str">
        <f>IF($AG252="","",P_StatusVastleg)</f>
        <v>Vastgesteld</v>
      </c>
      <c r="E252" s="92">
        <f>IF($AG252="","",P_UploadVJ)</f>
        <v>2026</v>
      </c>
      <c r="F252" s="92" t="str">
        <f>IF($AG252="","",P_UploadVersie)</f>
        <v>Q3</v>
      </c>
      <c r="G252" s="92">
        <f>IF($AG252="","",IF(COUNTIFS(L_Sleutel,$S252,L_Status,"Vastgesteld")=0,0,_xlfn.MAXIFS(L_Revisie,L_Sleutel,$S252,L_Status,"Vastgesteld")+1))</f>
        <v>1</v>
      </c>
      <c r="H252" s="108">
        <f>IF($AG252="","",P_Peildatum)</f>
        <v>46295.0</v>
      </c>
      <c r="I252" s="92">
        <f>IF($AG252="","",P_RJ+INDEX($AK$8:$AK$21,INDEX($AC$8:$AC$1407,$AG252)+1))</f>
        <v>2026</v>
      </c>
      <c r="J252" s="92" t="str">
        <f>IF($AG252="","",INDEX(V_WBS,INDEX($AB$8:$AB$1407,$AG252)))</f>
        <v>G.900018.8.9090</v>
      </c>
      <c r="K252" s="92" t="str">
        <f>IF($AG252="","",INDEX(V_Projdef,INDEX($AB$8:$AB$1407,$AG252)))</f>
        <v>G.900018</v>
      </c>
      <c r="L252" s="92" t="str">
        <f>IF($AG252="","",INDEX(V_Naam,INDEX($AB$8:$AB$1407,$AG252)))</f>
        <v>Meerhovenstad, De Boog</v>
      </c>
      <c r="M252" s="92" t="str">
        <f>IF($AG252="","",INDEX(V_Type,INDEX($AB$8:$AB$1407,$AG252)))</f>
        <v>Deelneming</v>
      </c>
      <c r="N252" s="92" t="str">
        <f>IF($AG252="","",INDEX(V_IFRS,INDEX($AB$8:$AB$1407,$AG252)))</f>
        <v>N</v>
      </c>
      <c r="O252" s="92" t="str">
        <f>IF($AG252="","",INDEX($AL$8:$AL$21,INDEX($AC$8:$AC$1407,$AG252)+1))</f>
        <v>Woningverkopen FY</v>
      </c>
      <c r="P252" s="109">
        <f>IF($AG252="","",INDEX($AD$8:$AD$1407,$AG252))</f>
        <v>18</v>
      </c>
      <c r="Q252" s="92" t="str">
        <f>IF($AG252="","",INDEX($AM$8:$AM$21,INDEX($AC$8:$AC$1407,$AG252)+1))</f>
        <v>aantal</v>
      </c>
      <c r="R252" s="92" t="str">
        <f>IF($AG252="","",IF($G252&gt;0,P_ToelCorrectie&amp;"",""))</f>
        <v/>
      </c>
      <c r="S252" s="15" t="str">
        <f>IF(J252="","",J252&amp;"|"&amp;E252&amp;"|"&amp;F252&amp;"|"&amp;I252&amp;"|"&amp;O252)</f>
        <v>G.900018.8.9090|2026|Q3|2026|Woningverkopen FY</v>
      </c>
      <c r="T252" s="111">
        <f>IF(S252="","",IF(COUNTIFS(L_Sleutel,S252,L_Actief,1)=0,"",SUMIFS(L_Waarde,L_Sleutel,S252,L_Actief,1)))</f>
        <v>18</v>
      </c>
      <c r="U252" s="111">
        <f>IF(OR(S252="",T252=""),0,P252-T252)</f>
        <v>0</v>
      </c>
      <c r="AB252" s="112" t="n">
        <v>18</v>
      </c>
      <c r="AC252" s="112" t="n">
        <v>6</v>
      </c>
      <c r="AD252" s="112">
        <f>VERW_Project!BW23</f>
        <v>18</v>
      </c>
      <c r="AE252" s="112">
        <f>IF(AND(VERW_Project!$A23&lt;&gt;"",ISNUMBER(AD252)),1,0)</f>
        <v>1</v>
      </c>
      <c r="AF252" s="112">
        <f>IF(AE252=1,SUM($AE$8:AE252),"")</f>
        <v>245</v>
      </c>
      <c r="AG252">
        <f>IFERROR(MATCH(245,$AF$8:$AF$1407,0),"")</f>
        <v>245</v>
      </c>
    </row>
    <row r="253">
      <c r="A253" s="92" t="str">
        <f>IF($AG253="","",P_ImportID)</f>
        <v>IMP-2026-Q3-01</v>
      </c>
      <c r="B253" s="92" t="str">
        <f>IF($AG253="","",IF(INDEX($AN$8:$AN$21,INDEX($AC$8:$AC$1407,$AG253)+1)="Z",P_BronZ,P_BronE))</f>
        <v>Woningetalage_FICTIEF_20_projecten.xlsx</v>
      </c>
      <c r="C253" s="108">
        <f>IF($AG253="","",P_Importdatum)</f>
        <v>46324.0</v>
      </c>
      <c r="D253" s="92" t="str">
        <f>IF($AG253="","",P_StatusVastleg)</f>
        <v>Vastgesteld</v>
      </c>
      <c r="E253" s="92">
        <f>IF($AG253="","",P_UploadVJ)</f>
        <v>2026</v>
      </c>
      <c r="F253" s="92" t="str">
        <f>IF($AG253="","",P_UploadVersie)</f>
        <v>Q3</v>
      </c>
      <c r="G253" s="92">
        <f>IF($AG253="","",IF(COUNTIFS(L_Sleutel,$S253,L_Status,"Vastgesteld")=0,0,_xlfn.MAXIFS(L_Revisie,L_Sleutel,$S253,L_Status,"Vastgesteld")+1))</f>
        <v>1</v>
      </c>
      <c r="H253" s="108">
        <f>IF($AG253="","",P_Peildatum)</f>
        <v>46295.0</v>
      </c>
      <c r="I253" s="92">
        <f>IF($AG253="","",P_RJ+INDEX($AK$8:$AK$21,INDEX($AC$8:$AC$1407,$AG253)+1))</f>
        <v>2026</v>
      </c>
      <c r="J253" s="92" t="str">
        <f>IF($AG253="","",INDEX(V_WBS,INDEX($AB$8:$AB$1407,$AG253)))</f>
        <v>G.900018.8.9090</v>
      </c>
      <c r="K253" s="92" t="str">
        <f>IF($AG253="","",INDEX(V_Projdef,INDEX($AB$8:$AB$1407,$AG253)))</f>
        <v>G.900018</v>
      </c>
      <c r="L253" s="92" t="str">
        <f>IF($AG253="","",INDEX(V_Naam,INDEX($AB$8:$AB$1407,$AG253)))</f>
        <v>Meerhovenstad, De Boog</v>
      </c>
      <c r="M253" s="92" t="str">
        <f>IF($AG253="","",INDEX(V_Type,INDEX($AB$8:$AB$1407,$AG253)))</f>
        <v>Deelneming</v>
      </c>
      <c r="N253" s="92" t="str">
        <f>IF($AG253="","",INDEX(V_IFRS,INDEX($AB$8:$AB$1407,$AG253)))</f>
        <v>N</v>
      </c>
      <c r="O253" s="92" t="str">
        <f>IF($AG253="","",INDEX($AL$8:$AL$21,INDEX($AC$8:$AC$1407,$AG253)+1))</f>
        <v>Woningen verkocht t/m vorig jaar</v>
      </c>
      <c r="P253" s="109">
        <f>IF($AG253="","",INDEX($AD$8:$AD$1407,$AG253))</f>
        <v>0</v>
      </c>
      <c r="Q253" s="92" t="str">
        <f>IF($AG253="","",INDEX($AM$8:$AM$21,INDEX($AC$8:$AC$1407,$AG253)+1))</f>
        <v>aantal</v>
      </c>
      <c r="R253" s="92" t="str">
        <f>IF($AG253="","",IF($G253&gt;0,P_ToelCorrectie&amp;"",""))</f>
        <v/>
      </c>
      <c r="S253" s="15" t="str">
        <f>IF(J253="","",J253&amp;"|"&amp;E253&amp;"|"&amp;F253&amp;"|"&amp;I253&amp;"|"&amp;O253)</f>
        <v>G.900018.8.9090|2026|Q3|2026|Woningen verkocht t/m vorig jaar</v>
      </c>
      <c r="T253" s="111">
        <f>IF(S253="","",IF(COUNTIFS(L_Sleutel,S253,L_Actief,1)=0,"",SUMIFS(L_Waarde,L_Sleutel,S253,L_Actief,1)))</f>
        <v>0</v>
      </c>
      <c r="U253" s="111">
        <f>IF(OR(S253="",T253=""),0,P253-T253)</f>
        <v>0</v>
      </c>
      <c r="AB253" s="112" t="n">
        <v>18</v>
      </c>
      <c r="AC253" s="112" t="n">
        <v>7</v>
      </c>
      <c r="AD253" s="112">
        <f>VERW_Project!AW23</f>
        <v>0</v>
      </c>
      <c r="AE253" s="112">
        <f>IF(AND(VERW_Project!$A23&lt;&gt;"",ISNUMBER(AD253)),1,0)</f>
        <v>1</v>
      </c>
      <c r="AF253" s="112">
        <f>IF(AE253=1,SUM($AE$8:AE253),"")</f>
        <v>246</v>
      </c>
      <c r="AG253">
        <f>IFERROR(MATCH(246,$AF$8:$AF$1407,0),"")</f>
        <v>246</v>
      </c>
    </row>
    <row r="254">
      <c r="A254" s="92" t="str">
        <f>IF($AG254="","",P_ImportID)</f>
        <v>IMP-2026-Q3-01</v>
      </c>
      <c r="B254" s="92" t="str">
        <f>IF($AG254="","",IF(INDEX($AN$8:$AN$21,INDEX($AC$8:$AC$1407,$AG254)+1)="Z",P_BronZ,P_BronE))</f>
        <v>Woningetalage_FICTIEF_20_projecten.xlsx</v>
      </c>
      <c r="C254" s="108">
        <f>IF($AG254="","",P_Importdatum)</f>
        <v>46324.0</v>
      </c>
      <c r="D254" s="92" t="str">
        <f>IF($AG254="","",P_StatusVastleg)</f>
        <v>Vastgesteld</v>
      </c>
      <c r="E254" s="92">
        <f>IF($AG254="","",P_UploadVJ)</f>
        <v>2026</v>
      </c>
      <c r="F254" s="92" t="str">
        <f>IF($AG254="","",P_UploadVersie)</f>
        <v>Q3</v>
      </c>
      <c r="G254" s="92">
        <f>IF($AG254="","",IF(COUNTIFS(L_Sleutel,$S254,L_Status,"Vastgesteld")=0,0,_xlfn.MAXIFS(L_Revisie,L_Sleutel,$S254,L_Status,"Vastgesteld")+1))</f>
        <v>1</v>
      </c>
      <c r="H254" s="108">
        <f>IF($AG254="","",P_Peildatum)</f>
        <v>46295.0</v>
      </c>
      <c r="I254" s="92">
        <f>IF($AG254="","",P_RJ+INDEX($AK$8:$AK$21,INDEX($AC$8:$AC$1407,$AG254)+1))</f>
        <v>2026</v>
      </c>
      <c r="J254" s="92" t="str">
        <f>IF($AG254="","",INDEX(V_WBS,INDEX($AB$8:$AB$1407,$AG254)))</f>
        <v>G.900018.8.9090</v>
      </c>
      <c r="K254" s="92" t="str">
        <f>IF($AG254="","",INDEX(V_Projdef,INDEX($AB$8:$AB$1407,$AG254)))</f>
        <v>G.900018</v>
      </c>
      <c r="L254" s="92" t="str">
        <f>IF($AG254="","",INDEX(V_Naam,INDEX($AB$8:$AB$1407,$AG254)))</f>
        <v>Meerhovenstad, De Boog</v>
      </c>
      <c r="M254" s="92" t="str">
        <f>IF($AG254="","",INDEX(V_Type,INDEX($AB$8:$AB$1407,$AG254)))</f>
        <v>Deelneming</v>
      </c>
      <c r="N254" s="92" t="str">
        <f>IF($AG254="","",INDEX(V_IFRS,INDEX($AB$8:$AB$1407,$AG254)))</f>
        <v>N</v>
      </c>
      <c r="O254" s="92" t="str">
        <f>IF($AG254="","",INDEX($AL$8:$AL$21,INDEX($AC$8:$AC$1407,$AG254)+1))</f>
        <v>Woningverkopen Q1</v>
      </c>
      <c r="P254" s="109">
        <f>IF($AG254="","",INDEX($AD$8:$AD$1407,$AG254))</f>
        <v>1</v>
      </c>
      <c r="Q254" s="92" t="str">
        <f>IF($AG254="","",INDEX($AM$8:$AM$21,INDEX($AC$8:$AC$1407,$AG254)+1))</f>
        <v>aantal</v>
      </c>
      <c r="R254" s="92" t="str">
        <f>IF($AG254="","",IF($G254&gt;0,P_ToelCorrectie&amp;"",""))</f>
        <v/>
      </c>
      <c r="S254" s="15" t="str">
        <f>IF(J254="","",J254&amp;"|"&amp;E254&amp;"|"&amp;F254&amp;"|"&amp;I254&amp;"|"&amp;O254)</f>
        <v>G.900018.8.9090|2026|Q3|2026|Woningverkopen Q1</v>
      </c>
      <c r="T254" s="111">
        <f>IF(S254="","",IF(COUNTIFS(L_Sleutel,S254,L_Actief,1)=0,"",SUMIFS(L_Waarde,L_Sleutel,S254,L_Actief,1)))</f>
        <v>1</v>
      </c>
      <c r="U254" s="111">
        <f>IF(OR(S254="",T254=""),0,P254-T254)</f>
        <v>0</v>
      </c>
      <c r="AB254" s="112" t="n">
        <v>18</v>
      </c>
      <c r="AC254" s="112" t="n">
        <v>8</v>
      </c>
      <c r="AD254" s="112">
        <f>VERW_Project!BQ23</f>
        <v>1</v>
      </c>
      <c r="AE254" s="112">
        <f>IF(AND(VERW_Project!$A23&lt;&gt;"",ISNUMBER(AD254)),1,0)</f>
        <v>1</v>
      </c>
      <c r="AF254" s="112">
        <f>IF(AE254=1,SUM($AE$8:AE254),"")</f>
        <v>247</v>
      </c>
      <c r="AG254">
        <f>IFERROR(MATCH(247,$AF$8:$AF$1407,0),"")</f>
        <v>247</v>
      </c>
    </row>
    <row r="255">
      <c r="A255" s="92" t="str">
        <f>IF($AG255="","",P_ImportID)</f>
        <v>IMP-2026-Q3-01</v>
      </c>
      <c r="B255" s="92" t="str">
        <f>IF($AG255="","",IF(INDEX($AN$8:$AN$21,INDEX($AC$8:$AC$1407,$AG255)+1)="Z",P_BronZ,P_BronE))</f>
        <v>Woningetalage_FICTIEF_20_projecten.xlsx</v>
      </c>
      <c r="C255" s="108">
        <f>IF($AG255="","",P_Importdatum)</f>
        <v>46324.0</v>
      </c>
      <c r="D255" s="92" t="str">
        <f>IF($AG255="","",P_StatusVastleg)</f>
        <v>Vastgesteld</v>
      </c>
      <c r="E255" s="92">
        <f>IF($AG255="","",P_UploadVJ)</f>
        <v>2026</v>
      </c>
      <c r="F255" s="92" t="str">
        <f>IF($AG255="","",P_UploadVersie)</f>
        <v>Q3</v>
      </c>
      <c r="G255" s="92">
        <f>IF($AG255="","",IF(COUNTIFS(L_Sleutel,$S255,L_Status,"Vastgesteld")=0,0,_xlfn.MAXIFS(L_Revisie,L_Sleutel,$S255,L_Status,"Vastgesteld")+1))</f>
        <v>1</v>
      </c>
      <c r="H255" s="108">
        <f>IF($AG255="","",P_Peildatum)</f>
        <v>46295.0</v>
      </c>
      <c r="I255" s="92">
        <f>IF($AG255="","",P_RJ+INDEX($AK$8:$AK$21,INDEX($AC$8:$AC$1407,$AG255)+1))</f>
        <v>2026</v>
      </c>
      <c r="J255" s="92" t="str">
        <f>IF($AG255="","",INDEX(V_WBS,INDEX($AB$8:$AB$1407,$AG255)))</f>
        <v>G.900018.8.9090</v>
      </c>
      <c r="K255" s="92" t="str">
        <f>IF($AG255="","",INDEX(V_Projdef,INDEX($AB$8:$AB$1407,$AG255)))</f>
        <v>G.900018</v>
      </c>
      <c r="L255" s="92" t="str">
        <f>IF($AG255="","",INDEX(V_Naam,INDEX($AB$8:$AB$1407,$AG255)))</f>
        <v>Meerhovenstad, De Boog</v>
      </c>
      <c r="M255" s="92" t="str">
        <f>IF($AG255="","",INDEX(V_Type,INDEX($AB$8:$AB$1407,$AG255)))</f>
        <v>Deelneming</v>
      </c>
      <c r="N255" s="92" t="str">
        <f>IF($AG255="","",INDEX(V_IFRS,INDEX($AB$8:$AB$1407,$AG255)))</f>
        <v>N</v>
      </c>
      <c r="O255" s="92" t="str">
        <f>IF($AG255="","",INDEX($AL$8:$AL$21,INDEX($AC$8:$AC$1407,$AG255)+1))</f>
        <v>Woningverkopen Q2</v>
      </c>
      <c r="P255" s="109">
        <f>IF($AG255="","",INDEX($AD$8:$AD$1407,$AG255))</f>
        <v>4</v>
      </c>
      <c r="Q255" s="92" t="str">
        <f>IF($AG255="","",INDEX($AM$8:$AM$21,INDEX($AC$8:$AC$1407,$AG255)+1))</f>
        <v>aantal</v>
      </c>
      <c r="R255" s="92" t="str">
        <f>IF($AG255="","",IF($G255&gt;0,P_ToelCorrectie&amp;"",""))</f>
        <v/>
      </c>
      <c r="S255" s="15" t="str">
        <f>IF(J255="","",J255&amp;"|"&amp;E255&amp;"|"&amp;F255&amp;"|"&amp;I255&amp;"|"&amp;O255)</f>
        <v>G.900018.8.9090|2026|Q3|2026|Woningverkopen Q2</v>
      </c>
      <c r="T255" s="111">
        <f>IF(S255="","",IF(COUNTIFS(L_Sleutel,S255,L_Actief,1)=0,"",SUMIFS(L_Waarde,L_Sleutel,S255,L_Actief,1)))</f>
        <v>4</v>
      </c>
      <c r="U255" s="111">
        <f>IF(OR(S255="",T255=""),0,P255-T255)</f>
        <v>0</v>
      </c>
      <c r="AB255" s="112" t="n">
        <v>18</v>
      </c>
      <c r="AC255" s="112" t="n">
        <v>9</v>
      </c>
      <c r="AD255" s="112">
        <f>VERW_Project!BR23</f>
        <v>4</v>
      </c>
      <c r="AE255" s="112">
        <f>IF(AND(VERW_Project!$A23&lt;&gt;"",ISNUMBER(AD255)),1,0)</f>
        <v>1</v>
      </c>
      <c r="AF255" s="112">
        <f>IF(AE255=1,SUM($AE$8:AE255),"")</f>
        <v>248</v>
      </c>
      <c r="AG255">
        <f>IFERROR(MATCH(248,$AF$8:$AF$1407,0),"")</f>
        <v>248</v>
      </c>
    </row>
    <row r="256">
      <c r="A256" s="92" t="str">
        <f>IF($AG256="","",P_ImportID)</f>
        <v>IMP-2026-Q3-01</v>
      </c>
      <c r="B256" s="92" t="str">
        <f>IF($AG256="","",IF(INDEX($AN$8:$AN$21,INDEX($AC$8:$AC$1407,$AG256)+1)="Z",P_BronZ,P_BronE))</f>
        <v>Woningetalage_FICTIEF_20_projecten.xlsx</v>
      </c>
      <c r="C256" s="108">
        <f>IF($AG256="","",P_Importdatum)</f>
        <v>46324.0</v>
      </c>
      <c r="D256" s="92" t="str">
        <f>IF($AG256="","",P_StatusVastleg)</f>
        <v>Vastgesteld</v>
      </c>
      <c r="E256" s="92">
        <f>IF($AG256="","",P_UploadVJ)</f>
        <v>2026</v>
      </c>
      <c r="F256" s="92" t="str">
        <f>IF($AG256="","",P_UploadVersie)</f>
        <v>Q3</v>
      </c>
      <c r="G256" s="92">
        <f>IF($AG256="","",IF(COUNTIFS(L_Sleutel,$S256,L_Status,"Vastgesteld")=0,0,_xlfn.MAXIFS(L_Revisie,L_Sleutel,$S256,L_Status,"Vastgesteld")+1))</f>
        <v>1</v>
      </c>
      <c r="H256" s="108">
        <f>IF($AG256="","",P_Peildatum)</f>
        <v>46295.0</v>
      </c>
      <c r="I256" s="92">
        <f>IF($AG256="","",P_RJ+INDEX($AK$8:$AK$21,INDEX($AC$8:$AC$1407,$AG256)+1))</f>
        <v>2026</v>
      </c>
      <c r="J256" s="92" t="str">
        <f>IF($AG256="","",INDEX(V_WBS,INDEX($AB$8:$AB$1407,$AG256)))</f>
        <v>G.900018.8.9090</v>
      </c>
      <c r="K256" s="92" t="str">
        <f>IF($AG256="","",INDEX(V_Projdef,INDEX($AB$8:$AB$1407,$AG256)))</f>
        <v>G.900018</v>
      </c>
      <c r="L256" s="92" t="str">
        <f>IF($AG256="","",INDEX(V_Naam,INDEX($AB$8:$AB$1407,$AG256)))</f>
        <v>Meerhovenstad, De Boog</v>
      </c>
      <c r="M256" s="92" t="str">
        <f>IF($AG256="","",INDEX(V_Type,INDEX($AB$8:$AB$1407,$AG256)))</f>
        <v>Deelneming</v>
      </c>
      <c r="N256" s="92" t="str">
        <f>IF($AG256="","",INDEX(V_IFRS,INDEX($AB$8:$AB$1407,$AG256)))</f>
        <v>N</v>
      </c>
      <c r="O256" s="92" t="str">
        <f>IF($AG256="","",INDEX($AL$8:$AL$21,INDEX($AC$8:$AC$1407,$AG256)+1))</f>
        <v>Woningverkopen Q3</v>
      </c>
      <c r="P256" s="109">
        <f>IF($AG256="","",INDEX($AD$8:$AD$1407,$AG256))</f>
        <v>4</v>
      </c>
      <c r="Q256" s="92" t="str">
        <f>IF($AG256="","",INDEX($AM$8:$AM$21,INDEX($AC$8:$AC$1407,$AG256)+1))</f>
        <v>aantal</v>
      </c>
      <c r="R256" s="92" t="str">
        <f>IF($AG256="","",IF($G256&gt;0,P_ToelCorrectie&amp;"",""))</f>
        <v/>
      </c>
      <c r="S256" s="15" t="str">
        <f>IF(J256="","",J256&amp;"|"&amp;E256&amp;"|"&amp;F256&amp;"|"&amp;I256&amp;"|"&amp;O256)</f>
        <v>G.900018.8.9090|2026|Q3|2026|Woningverkopen Q3</v>
      </c>
      <c r="T256" s="111">
        <f>IF(S256="","",IF(COUNTIFS(L_Sleutel,S256,L_Actief,1)=0,"",SUMIFS(L_Waarde,L_Sleutel,S256,L_Actief,1)))</f>
        <v>4</v>
      </c>
      <c r="U256" s="111">
        <f>IF(OR(S256="",T256=""),0,P256-T256)</f>
        <v>0</v>
      </c>
      <c r="AB256" s="112" t="n">
        <v>18</v>
      </c>
      <c r="AC256" s="112" t="n">
        <v>10</v>
      </c>
      <c r="AD256" s="112">
        <f>VERW_Project!BS23</f>
        <v>4</v>
      </c>
      <c r="AE256" s="112">
        <f>IF(AND(VERW_Project!$A23&lt;&gt;"",ISNUMBER(AD256)),1,0)</f>
        <v>1</v>
      </c>
      <c r="AF256" s="112">
        <f>IF(AE256=1,SUM($AE$8:AE256),"")</f>
        <v>249</v>
      </c>
      <c r="AG256">
        <f>IFERROR(MATCH(249,$AF$8:$AF$1407,0),"")</f>
        <v>249</v>
      </c>
    </row>
    <row r="257">
      <c r="A257" s="92" t="str">
        <f>IF($AG257="","",P_ImportID)</f>
        <v>IMP-2026-Q3-01</v>
      </c>
      <c r="B257" s="92" t="str">
        <f>IF($AG257="","",IF(INDEX($AN$8:$AN$21,INDEX($AC$8:$AC$1407,$AG257)+1)="Z",P_BronZ,P_BronE))</f>
        <v>Woningetalage_FICTIEF_20_projecten.xlsx</v>
      </c>
      <c r="C257" s="108">
        <f>IF($AG257="","",P_Importdatum)</f>
        <v>46324.0</v>
      </c>
      <c r="D257" s="92" t="str">
        <f>IF($AG257="","",P_StatusVastleg)</f>
        <v>Vastgesteld</v>
      </c>
      <c r="E257" s="92">
        <f>IF($AG257="","",P_UploadVJ)</f>
        <v>2026</v>
      </c>
      <c r="F257" s="92" t="str">
        <f>IF($AG257="","",P_UploadVersie)</f>
        <v>Q3</v>
      </c>
      <c r="G257" s="92">
        <f>IF($AG257="","",IF(COUNTIFS(L_Sleutel,$S257,L_Status,"Vastgesteld")=0,0,_xlfn.MAXIFS(L_Revisie,L_Sleutel,$S257,L_Status,"Vastgesteld")+1))</f>
        <v>1</v>
      </c>
      <c r="H257" s="108">
        <f>IF($AG257="","",P_Peildatum)</f>
        <v>46295.0</v>
      </c>
      <c r="I257" s="92">
        <f>IF($AG257="","",P_RJ+INDEX($AK$8:$AK$21,INDEX($AC$8:$AC$1407,$AG257)+1))</f>
        <v>2026</v>
      </c>
      <c r="J257" s="92" t="str">
        <f>IF($AG257="","",INDEX(V_WBS,INDEX($AB$8:$AB$1407,$AG257)))</f>
        <v>G.900018.8.9090</v>
      </c>
      <c r="K257" s="92" t="str">
        <f>IF($AG257="","",INDEX(V_Projdef,INDEX($AB$8:$AB$1407,$AG257)))</f>
        <v>G.900018</v>
      </c>
      <c r="L257" s="92" t="str">
        <f>IF($AG257="","",INDEX(V_Naam,INDEX($AB$8:$AB$1407,$AG257)))</f>
        <v>Meerhovenstad, De Boog</v>
      </c>
      <c r="M257" s="92" t="str">
        <f>IF($AG257="","",INDEX(V_Type,INDEX($AB$8:$AB$1407,$AG257)))</f>
        <v>Deelneming</v>
      </c>
      <c r="N257" s="92" t="str">
        <f>IF($AG257="","",INDEX(V_IFRS,INDEX($AB$8:$AB$1407,$AG257)))</f>
        <v>N</v>
      </c>
      <c r="O257" s="92" t="str">
        <f>IF($AG257="","",INDEX($AL$8:$AL$21,INDEX($AC$8:$AC$1407,$AG257)+1))</f>
        <v>Woningverkopen Q4</v>
      </c>
      <c r="P257" s="109">
        <f>IF($AG257="","",INDEX($AD$8:$AD$1407,$AG257))</f>
        <v>9</v>
      </c>
      <c r="Q257" s="92" t="str">
        <f>IF($AG257="","",INDEX($AM$8:$AM$21,INDEX($AC$8:$AC$1407,$AG257)+1))</f>
        <v>aantal</v>
      </c>
      <c r="R257" s="92" t="str">
        <f>IF($AG257="","",IF($G257&gt;0,P_ToelCorrectie&amp;"",""))</f>
        <v/>
      </c>
      <c r="S257" s="15" t="str">
        <f>IF(J257="","",J257&amp;"|"&amp;E257&amp;"|"&amp;F257&amp;"|"&amp;I257&amp;"|"&amp;O257)</f>
        <v>G.900018.8.9090|2026|Q3|2026|Woningverkopen Q4</v>
      </c>
      <c r="T257" s="111">
        <f>IF(S257="","",IF(COUNTIFS(L_Sleutel,S257,L_Actief,1)=0,"",SUMIFS(L_Waarde,L_Sleutel,S257,L_Actief,1)))</f>
        <v>9</v>
      </c>
      <c r="U257" s="111">
        <f>IF(OR(S257="",T257=""),0,P257-T257)</f>
        <v>0</v>
      </c>
      <c r="AB257" s="112" t="n">
        <v>18</v>
      </c>
      <c r="AC257" s="112" t="n">
        <v>11</v>
      </c>
      <c r="AD257" s="112">
        <f>VERW_Project!BT23</f>
        <v>9</v>
      </c>
      <c r="AE257" s="112">
        <f>IF(AND(VERW_Project!$A23&lt;&gt;"",ISNUMBER(AD257)),1,0)</f>
        <v>1</v>
      </c>
      <c r="AF257" s="112">
        <f>IF(AE257=1,SUM($AE$8:AE257),"")</f>
        <v>250</v>
      </c>
      <c r="AG257">
        <f>IFERROR(MATCH(250,$AF$8:$AF$1407,0),"")</f>
        <v>250</v>
      </c>
    </row>
    <row r="258">
      <c r="A258" s="92" t="str">
        <f>IF($AG258="","",P_ImportID)</f>
        <v>IMP-2026-Q3-01</v>
      </c>
      <c r="B258" s="92" t="str">
        <f>IF($AG258="","",IF(INDEX($AN$8:$AN$21,INDEX($AC$8:$AC$1407,$AG258)+1)="Z",P_BronZ,P_BronE))</f>
        <v>Woningetalage_FICTIEF_20_projecten.xlsx</v>
      </c>
      <c r="C258" s="108">
        <f>IF($AG258="","",P_Importdatum)</f>
        <v>46324.0</v>
      </c>
      <c r="D258" s="92" t="str">
        <f>IF($AG258="","",P_StatusVastleg)</f>
        <v>Vastgesteld</v>
      </c>
      <c r="E258" s="92">
        <f>IF($AG258="","",P_UploadVJ)</f>
        <v>2026</v>
      </c>
      <c r="F258" s="92" t="str">
        <f>IF($AG258="","",P_UploadVersie)</f>
        <v>Q3</v>
      </c>
      <c r="G258" s="92">
        <f>IF($AG258="","",IF(COUNTIFS(L_Sleutel,$S258,L_Status,"Vastgesteld")=0,0,_xlfn.MAXIFS(L_Revisie,L_Sleutel,$S258,L_Status,"Vastgesteld")+1))</f>
        <v>1</v>
      </c>
      <c r="H258" s="108">
        <f>IF($AG258="","",P_Peildatum)</f>
        <v>46295.0</v>
      </c>
      <c r="I258" s="92">
        <f>IF($AG258="","",P_RJ+INDEX($AK$8:$AK$21,INDEX($AC$8:$AC$1407,$AG258)+1))</f>
        <v>2026</v>
      </c>
      <c r="J258" s="92" t="str">
        <f>IF($AG258="","",INDEX(V_WBS,INDEX($AB$8:$AB$1407,$AG258)))</f>
        <v>G.900018.8.9090</v>
      </c>
      <c r="K258" s="92" t="str">
        <f>IF($AG258="","",INDEX(V_Projdef,INDEX($AB$8:$AB$1407,$AG258)))</f>
        <v>G.900018</v>
      </c>
      <c r="L258" s="92" t="str">
        <f>IF($AG258="","",INDEX(V_Naam,INDEX($AB$8:$AB$1407,$AG258)))</f>
        <v>Meerhovenstad, De Boog</v>
      </c>
      <c r="M258" s="92" t="str">
        <f>IF($AG258="","",INDEX(V_Type,INDEX($AB$8:$AB$1407,$AG258)))</f>
        <v>Deelneming</v>
      </c>
      <c r="N258" s="92" t="str">
        <f>IF($AG258="","",INDEX(V_IFRS,INDEX($AB$8:$AB$1407,$AG258)))</f>
        <v>N</v>
      </c>
      <c r="O258" s="92" t="str">
        <f>IF($AG258="","",INDEX($AL$8:$AL$21,INDEX($AC$8:$AC$1407,$AG258)+1))</f>
        <v>Woningverkopen actual YTD</v>
      </c>
      <c r="P258" s="109">
        <f>IF($AG258="","",INDEX($AD$8:$AD$1407,$AG258))</f>
        <v>9</v>
      </c>
      <c r="Q258" s="92" t="str">
        <f>IF($AG258="","",INDEX($AM$8:$AM$21,INDEX($AC$8:$AC$1407,$AG258)+1))</f>
        <v>aantal</v>
      </c>
      <c r="R258" s="92" t="str">
        <f>IF($AG258="","",IF($G258&gt;0,P_ToelCorrectie&amp;"",""))</f>
        <v/>
      </c>
      <c r="S258" s="15" t="str">
        <f>IF(J258="","",J258&amp;"|"&amp;E258&amp;"|"&amp;F258&amp;"|"&amp;I258&amp;"|"&amp;O258)</f>
        <v>G.900018.8.9090|2026|Q3|2026|Woningverkopen actual YTD</v>
      </c>
      <c r="T258" s="111">
        <f>IF(S258="","",IF(COUNTIFS(L_Sleutel,S258,L_Actief,1)=0,"",SUMIFS(L_Waarde,L_Sleutel,S258,L_Actief,1)))</f>
        <v>9</v>
      </c>
      <c r="U258" s="111">
        <f>IF(OR(S258="",T258=""),0,P258-T258)</f>
        <v>0</v>
      </c>
      <c r="AB258" s="112" t="n">
        <v>18</v>
      </c>
      <c r="AC258" s="112" t="n">
        <v>12</v>
      </c>
      <c r="AD258" s="112">
        <f>VERW_Project!BU23</f>
        <v>9</v>
      </c>
      <c r="AE258" s="112">
        <f>IF(AND(VERW_Project!$A23&lt;&gt;"",ISNUMBER(AD258)),1,0)</f>
        <v>1</v>
      </c>
      <c r="AF258" s="112">
        <f>IF(AE258=1,SUM($AE$8:AE258),"")</f>
        <v>251</v>
      </c>
      <c r="AG258">
        <f>IFERROR(MATCH(251,$AF$8:$AF$1407,0),"")</f>
        <v>251</v>
      </c>
    </row>
    <row r="259">
      <c r="A259" s="92" t="str">
        <f>IF($AG259="","",P_ImportID)</f>
        <v>IMP-2026-Q3-01</v>
      </c>
      <c r="B259" s="92" t="str">
        <f>IF($AG259="","",IF(INDEX($AN$8:$AN$21,INDEX($AC$8:$AC$1407,$AG259)+1)="Z",P_BronZ,P_BronE))</f>
        <v>Woningetalage_FICTIEF_20_projecten.xlsx</v>
      </c>
      <c r="C259" s="108">
        <f>IF($AG259="","",P_Importdatum)</f>
        <v>46324.0</v>
      </c>
      <c r="D259" s="92" t="str">
        <f>IF($AG259="","",P_StatusVastleg)</f>
        <v>Vastgesteld</v>
      </c>
      <c r="E259" s="92">
        <f>IF($AG259="","",P_UploadVJ)</f>
        <v>2026</v>
      </c>
      <c r="F259" s="92" t="str">
        <f>IF($AG259="","",P_UploadVersie)</f>
        <v>Q3</v>
      </c>
      <c r="G259" s="92">
        <f>IF($AG259="","",IF(COUNTIFS(L_Sleutel,$S259,L_Status,"Vastgesteld")=0,0,_xlfn.MAXIFS(L_Revisie,L_Sleutel,$S259,L_Status,"Vastgesteld")+1))</f>
        <v>0</v>
      </c>
      <c r="H259" s="108">
        <f>IF($AG259="","",P_Peildatum)</f>
        <v>46295.0</v>
      </c>
      <c r="I259" s="92">
        <f>IF($AG259="","",P_RJ+INDEX($AK$8:$AK$21,INDEX($AC$8:$AC$1407,$AG259)+1))</f>
        <v>2027</v>
      </c>
      <c r="J259" s="92" t="str">
        <f>IF($AG259="","",INDEX(V_WBS,INDEX($AB$8:$AB$1407,$AG259)))</f>
        <v>G.900018.8.9090</v>
      </c>
      <c r="K259" s="92" t="str">
        <f>IF($AG259="","",INDEX(V_Projdef,INDEX($AB$8:$AB$1407,$AG259)))</f>
        <v>G.900018</v>
      </c>
      <c r="L259" s="92" t="str">
        <f>IF($AG259="","",INDEX(V_Naam,INDEX($AB$8:$AB$1407,$AG259)))</f>
        <v>Meerhovenstad, De Boog</v>
      </c>
      <c r="M259" s="92" t="str">
        <f>IF($AG259="","",INDEX(V_Type,INDEX($AB$8:$AB$1407,$AG259)))</f>
        <v>Deelneming</v>
      </c>
      <c r="N259" s="92" t="str">
        <f>IF($AG259="","",INDEX(V_IFRS,INDEX($AB$8:$AB$1407,$AG259)))</f>
        <v>N</v>
      </c>
      <c r="O259" s="92" t="str">
        <f>IF($AG259="","",INDEX($AL$8:$AL$21,INDEX($AC$8:$AC$1407,$AG259)+1))</f>
        <v>Woningverkopen FY</v>
      </c>
      <c r="P259" s="109">
        <f>IF($AG259="","",INDEX($AD$8:$AD$1407,$AG259))</f>
        <v>25</v>
      </c>
      <c r="Q259" s="92" t="str">
        <f>IF($AG259="","",INDEX($AM$8:$AM$21,INDEX($AC$8:$AC$1407,$AG259)+1))</f>
        <v>aantal</v>
      </c>
      <c r="R259" s="92" t="str">
        <f>IF($AG259="","",IF($G259&gt;0,P_ToelCorrectie&amp;"",""))</f>
        <v/>
      </c>
      <c r="S259" s="15" t="str">
        <f>IF(J259="","",J259&amp;"|"&amp;E259&amp;"|"&amp;F259&amp;"|"&amp;I259&amp;"|"&amp;O259)</f>
        <v>G.900018.8.9090|2026|Q3|2027|Woningverkopen FY</v>
      </c>
      <c r="T259" s="111" t="str">
        <f>IF(S259="","",IF(COUNTIFS(L_Sleutel,S259,L_Actief,1)=0,"",SUMIFS(L_Waarde,L_Sleutel,S259,L_Actief,1)))</f>
        <v/>
      </c>
      <c r="U259" s="111">
        <f>IF(OR(S259="",T259=""),0,P259-T259)</f>
        <v>0</v>
      </c>
      <c r="AB259" s="112" t="n">
        <v>18</v>
      </c>
      <c r="AC259" s="112" t="n">
        <v>13</v>
      </c>
      <c r="AD259" s="112">
        <f>VERW_Project!BX23</f>
        <v>25</v>
      </c>
      <c r="AE259" s="112">
        <f>IF(AND(VERW_Project!$A23&lt;&gt;"",ISNUMBER(AD259)),1,0)</f>
        <v>1</v>
      </c>
      <c r="AF259" s="112">
        <f>IF(AE259=1,SUM($AE$8:AE259),"")</f>
        <v>252</v>
      </c>
      <c r="AG259">
        <f>IFERROR(MATCH(252,$AF$8:$AF$1407,0),"")</f>
        <v>252</v>
      </c>
    </row>
    <row r="260">
      <c r="A260" s="92" t="str">
        <f>IF($AG260="","",P_ImportID)</f>
        <v>IMP-2026-Q3-01</v>
      </c>
      <c r="B260" s="92" t="str">
        <f>IF($AG260="","",IF(INDEX($AN$8:$AN$21,INDEX($AC$8:$AC$1407,$AG260)+1)="Z",P_BronZ,P_BronE))</f>
        <v>ZPMW03_FICTIEF_20_projecten.xlsx</v>
      </c>
      <c r="C260" s="108">
        <f>IF($AG260="","",P_Importdatum)</f>
        <v>46324.0</v>
      </c>
      <c r="D260" s="92" t="str">
        <f>IF($AG260="","",P_StatusVastleg)</f>
        <v>Vastgesteld</v>
      </c>
      <c r="E260" s="92">
        <f>IF($AG260="","",P_UploadVJ)</f>
        <v>2026</v>
      </c>
      <c r="F260" s="92" t="str">
        <f>IF($AG260="","",P_UploadVersie)</f>
        <v>Q3</v>
      </c>
      <c r="G260" s="92">
        <f>IF($AG260="","",IF(COUNTIFS(L_Sleutel,$S260,L_Status,"Vastgesteld")=0,0,_xlfn.MAXIFS(L_Revisie,L_Sleutel,$S260,L_Status,"Vastgesteld")+1))</f>
        <v>1</v>
      </c>
      <c r="H260" s="108">
        <f>IF($AG260="","",P_Peildatum)</f>
        <v>46295.0</v>
      </c>
      <c r="I260" s="92">
        <f>IF($AG260="","",P_RJ+INDEX($AK$8:$AK$21,INDEX($AC$8:$AC$1407,$AG260)+1))</f>
        <v>2026</v>
      </c>
      <c r="J260" s="92" t="str">
        <f>IF($AG260="","",INDEX(V_WBS,INDEX($AB$8:$AB$1407,$AG260)))</f>
        <v>G.900019.8.9090</v>
      </c>
      <c r="K260" s="92" t="str">
        <f>IF($AG260="","",INDEX(V_Projdef,INDEX($AB$8:$AB$1407,$AG260)))</f>
        <v>G.900019</v>
      </c>
      <c r="L260" s="92" t="str">
        <f>IF($AG260="","",INDEX(V_Naam,INDEX($AB$8:$AB$1407,$AG260)))</f>
        <v>Zilverdam, Havenlicht</v>
      </c>
      <c r="M260" s="92" t="str">
        <f>IF($AG260="","",INDEX(V_Type,INDEX($AB$8:$AB$1407,$AG260)))</f>
        <v>Opstal</v>
      </c>
      <c r="N260" s="92" t="str">
        <f>IF($AG260="","",INDEX(V_IFRS,INDEX($AB$8:$AB$1407,$AG260)))</f>
        <v>J</v>
      </c>
      <c r="O260" s="92" t="str">
        <f>IF($AG260="","",INDEX($AL$8:$AL$21,INDEX($AC$8:$AC$1407,$AG260)+1))</f>
        <v>Omzet FY</v>
      </c>
      <c r="P260" s="109">
        <f>IF($AG260="","",INDEX($AD$8:$AD$1407,$AG260))</f>
        <v>6174000</v>
      </c>
      <c r="Q260" s="92" t="str">
        <f>IF($AG260="","",INDEX($AM$8:$AM$21,INDEX($AC$8:$AC$1407,$AG260)+1))</f>
        <v>EUR</v>
      </c>
      <c r="R260" s="92" t="str">
        <f>IF($AG260="","",IF($G260&gt;0,P_ToelCorrectie&amp;"",""))</f>
        <v/>
      </c>
      <c r="S260" s="15" t="str">
        <f>IF(J260="","",J260&amp;"|"&amp;E260&amp;"|"&amp;F260&amp;"|"&amp;I260&amp;"|"&amp;O260)</f>
        <v>G.900019.8.9090|2026|Q3|2026|Omzet FY</v>
      </c>
      <c r="T260" s="111">
        <f>IF(S260="","",IF(COUNTIFS(L_Sleutel,S260,L_Actief,1)=0,"",SUMIFS(L_Waarde,L_Sleutel,S260,L_Actief,1)))</f>
        <v>6174000</v>
      </c>
      <c r="U260" s="111">
        <f>IF(OR(S260="",T260=""),0,P260-T260)</f>
        <v>0</v>
      </c>
      <c r="AB260" s="112" t="n">
        <v>19</v>
      </c>
      <c r="AC260" s="112" t="n">
        <v>0</v>
      </c>
      <c r="AD260" s="112">
        <f>VERW_Project!P24</f>
        <v>6174000</v>
      </c>
      <c r="AE260" s="112">
        <f>IF(AND(VERW_Project!$A24&lt;&gt;"",ISNUMBER(AD260)),1,0)</f>
        <v>1</v>
      </c>
      <c r="AF260" s="112">
        <f>IF(AE260=1,SUM($AE$8:AE260),"")</f>
        <v>253</v>
      </c>
      <c r="AG260">
        <f>IFERROR(MATCH(253,$AF$8:$AF$1407,0),"")</f>
        <v>253</v>
      </c>
    </row>
    <row r="261">
      <c r="A261" s="92" t="str">
        <f>IF($AG261="","",P_ImportID)</f>
        <v>IMP-2026-Q3-01</v>
      </c>
      <c r="B261" s="92" t="str">
        <f>IF($AG261="","",IF(INDEX($AN$8:$AN$21,INDEX($AC$8:$AC$1407,$AG261)+1)="Z",P_BronZ,P_BronE))</f>
        <v>ZPMW03_FICTIEF_20_projecten.xlsx</v>
      </c>
      <c r="C261" s="108">
        <f>IF($AG261="","",P_Importdatum)</f>
        <v>46324.0</v>
      </c>
      <c r="D261" s="92" t="str">
        <f>IF($AG261="","",P_StatusVastleg)</f>
        <v>Vastgesteld</v>
      </c>
      <c r="E261" s="92">
        <f>IF($AG261="","",P_UploadVJ)</f>
        <v>2026</v>
      </c>
      <c r="F261" s="92" t="str">
        <f>IF($AG261="","",P_UploadVersie)</f>
        <v>Q3</v>
      </c>
      <c r="G261" s="92">
        <f>IF($AG261="","",IF(COUNTIFS(L_Sleutel,$S261,L_Status,"Vastgesteld")=0,0,_xlfn.MAXIFS(L_Revisie,L_Sleutel,$S261,L_Status,"Vastgesteld")+1))</f>
        <v>1</v>
      </c>
      <c r="H261" s="108">
        <f>IF($AG261="","",P_Peildatum)</f>
        <v>46295.0</v>
      </c>
      <c r="I261" s="92">
        <f>IF($AG261="","",P_RJ+INDEX($AK$8:$AK$21,INDEX($AC$8:$AC$1407,$AG261)+1))</f>
        <v>2026</v>
      </c>
      <c r="J261" s="92" t="str">
        <f>IF($AG261="","",INDEX(V_WBS,INDEX($AB$8:$AB$1407,$AG261)))</f>
        <v>G.900019.8.9090</v>
      </c>
      <c r="K261" s="92" t="str">
        <f>IF($AG261="","",INDEX(V_Projdef,INDEX($AB$8:$AB$1407,$AG261)))</f>
        <v>G.900019</v>
      </c>
      <c r="L261" s="92" t="str">
        <f>IF($AG261="","",INDEX(V_Naam,INDEX($AB$8:$AB$1407,$AG261)))</f>
        <v>Zilverdam, Havenlicht</v>
      </c>
      <c r="M261" s="92" t="str">
        <f>IF($AG261="","",INDEX(V_Type,INDEX($AB$8:$AB$1407,$AG261)))</f>
        <v>Opstal</v>
      </c>
      <c r="N261" s="92" t="str">
        <f>IF($AG261="","",INDEX(V_IFRS,INDEX($AB$8:$AB$1407,$AG261)))</f>
        <v>J</v>
      </c>
      <c r="O261" s="92" t="str">
        <f>IF($AG261="","",INDEX($AL$8:$AL$21,INDEX($AC$8:$AC$1407,$AG261)+1))</f>
        <v>BOR FY</v>
      </c>
      <c r="P261" s="109">
        <f>IF($AG261="","",INDEX($AD$8:$AD$1407,$AG261))</f>
        <v>493920</v>
      </c>
      <c r="Q261" s="92" t="str">
        <f>IF($AG261="","",INDEX($AM$8:$AM$21,INDEX($AC$8:$AC$1407,$AG261)+1))</f>
        <v>EUR</v>
      </c>
      <c r="R261" s="92" t="str">
        <f>IF($AG261="","",IF($G261&gt;0,P_ToelCorrectie&amp;"",""))</f>
        <v/>
      </c>
      <c r="S261" s="15" t="str">
        <f>IF(J261="","",J261&amp;"|"&amp;E261&amp;"|"&amp;F261&amp;"|"&amp;I261&amp;"|"&amp;O261)</f>
        <v>G.900019.8.9090|2026|Q3|2026|BOR FY</v>
      </c>
      <c r="T261" s="111">
        <f>IF(S261="","",IF(COUNTIFS(L_Sleutel,S261,L_Actief,1)=0,"",SUMIFS(L_Waarde,L_Sleutel,S261,L_Actief,1)))</f>
        <v>493920</v>
      </c>
      <c r="U261" s="111">
        <f>IF(OR(S261="",T261=""),0,P261-T261)</f>
        <v>0</v>
      </c>
      <c r="AB261" s="112" t="n">
        <v>19</v>
      </c>
      <c r="AC261" s="112" t="n">
        <v>1</v>
      </c>
      <c r="AD261" s="112">
        <f>VERW_Project!Q24</f>
        <v>493920</v>
      </c>
      <c r="AE261" s="112">
        <f>IF(AND(VERW_Project!$A24&lt;&gt;"",ISNUMBER(AD261)),1,0)</f>
        <v>1</v>
      </c>
      <c r="AF261" s="112">
        <f>IF(AE261=1,SUM($AE$8:AE261),"")</f>
        <v>254</v>
      </c>
      <c r="AG261">
        <f>IFERROR(MATCH(254,$AF$8:$AF$1407,0),"")</f>
        <v>254</v>
      </c>
    </row>
    <row r="262">
      <c r="A262" s="92" t="str">
        <f>IF($AG262="","",P_ImportID)</f>
        <v>IMP-2026-Q3-01</v>
      </c>
      <c r="B262" s="92" t="str">
        <f>IF($AG262="","",IF(INDEX($AN$8:$AN$21,INDEX($AC$8:$AC$1407,$AG262)+1)="Z",P_BronZ,P_BronE))</f>
        <v>ZPMW03_FICTIEF_20_projecten.xlsx</v>
      </c>
      <c r="C262" s="108">
        <f>IF($AG262="","",P_Importdatum)</f>
        <v>46324.0</v>
      </c>
      <c r="D262" s="92" t="str">
        <f>IF($AG262="","",P_StatusVastleg)</f>
        <v>Vastgesteld</v>
      </c>
      <c r="E262" s="92">
        <f>IF($AG262="","",P_UploadVJ)</f>
        <v>2026</v>
      </c>
      <c r="F262" s="92" t="str">
        <f>IF($AG262="","",P_UploadVersie)</f>
        <v>Q3</v>
      </c>
      <c r="G262" s="92">
        <f>IF($AG262="","",IF(COUNTIFS(L_Sleutel,$S262,L_Status,"Vastgesteld")=0,0,_xlfn.MAXIFS(L_Revisie,L_Sleutel,$S262,L_Status,"Vastgesteld")+1))</f>
        <v>1</v>
      </c>
      <c r="H262" s="108">
        <f>IF($AG262="","",P_Peildatum)</f>
        <v>46295.0</v>
      </c>
      <c r="I262" s="92">
        <f>IF($AG262="","",P_RJ+INDEX($AK$8:$AK$21,INDEX($AC$8:$AC$1407,$AG262)+1))</f>
        <v>2026</v>
      </c>
      <c r="J262" s="92" t="str">
        <f>IF($AG262="","",INDEX(V_WBS,INDEX($AB$8:$AB$1407,$AG262)))</f>
        <v>G.900019.8.9090</v>
      </c>
      <c r="K262" s="92" t="str">
        <f>IF($AG262="","",INDEX(V_Projdef,INDEX($AB$8:$AB$1407,$AG262)))</f>
        <v>G.900019</v>
      </c>
      <c r="L262" s="92" t="str">
        <f>IF($AG262="","",INDEX(V_Naam,INDEX($AB$8:$AB$1407,$AG262)))</f>
        <v>Zilverdam, Havenlicht</v>
      </c>
      <c r="M262" s="92" t="str">
        <f>IF($AG262="","",INDEX(V_Type,INDEX($AB$8:$AB$1407,$AG262)))</f>
        <v>Opstal</v>
      </c>
      <c r="N262" s="92" t="str">
        <f>IF($AG262="","",INDEX(V_IFRS,INDEX($AB$8:$AB$1407,$AG262)))</f>
        <v>J</v>
      </c>
      <c r="O262" s="92" t="str">
        <f>IF($AG262="","",INDEX($AL$8:$AL$21,INDEX($AC$8:$AC$1407,$AG262)+1))</f>
        <v>Omzet actual YTD</v>
      </c>
      <c r="P262" s="109">
        <f>IF($AG262="","",INDEX($AD$8:$AD$1407,$AG262))</f>
        <v>4013100</v>
      </c>
      <c r="Q262" s="92" t="str">
        <f>IF($AG262="","",INDEX($AM$8:$AM$21,INDEX($AC$8:$AC$1407,$AG262)+1))</f>
        <v>EUR</v>
      </c>
      <c r="R262" s="92" t="str">
        <f>IF($AG262="","",IF($G262&gt;0,P_ToelCorrectie&amp;"",""))</f>
        <v/>
      </c>
      <c r="S262" s="15" t="str">
        <f>IF(J262="","",J262&amp;"|"&amp;E262&amp;"|"&amp;F262&amp;"|"&amp;I262&amp;"|"&amp;O262)</f>
        <v>G.900019.8.9090|2026|Q3|2026|Omzet actual YTD</v>
      </c>
      <c r="T262" s="111">
        <f>IF(S262="","",IF(COUNTIFS(L_Sleutel,S262,L_Actief,1)=0,"",SUMIFS(L_Waarde,L_Sleutel,S262,L_Actief,1)))</f>
        <v>4013100</v>
      </c>
      <c r="U262" s="111">
        <f>IF(OR(S262="",T262=""),0,P262-T262)</f>
        <v>0</v>
      </c>
      <c r="AB262" s="112" t="n">
        <v>19</v>
      </c>
      <c r="AC262" s="112" t="n">
        <v>2</v>
      </c>
      <c r="AD262" s="112">
        <f>VERW_Project!L24</f>
        <v>4013100</v>
      </c>
      <c r="AE262" s="112">
        <f>IF(AND(VERW_Project!$A24&lt;&gt;"",ISNUMBER(AD262)),1,0)</f>
        <v>1</v>
      </c>
      <c r="AF262" s="112">
        <f>IF(AE262=1,SUM($AE$8:AE262),"")</f>
        <v>255</v>
      </c>
      <c r="AG262">
        <f>IFERROR(MATCH(255,$AF$8:$AF$1407,0),"")</f>
        <v>255</v>
      </c>
    </row>
    <row r="263">
      <c r="A263" s="92" t="str">
        <f>IF($AG263="","",P_ImportID)</f>
        <v>IMP-2026-Q3-01</v>
      </c>
      <c r="B263" s="92" t="str">
        <f>IF($AG263="","",IF(INDEX($AN$8:$AN$21,INDEX($AC$8:$AC$1407,$AG263)+1)="Z",P_BronZ,P_BronE))</f>
        <v>ZPMW03_FICTIEF_20_projecten.xlsx</v>
      </c>
      <c r="C263" s="108">
        <f>IF($AG263="","",P_Importdatum)</f>
        <v>46324.0</v>
      </c>
      <c r="D263" s="92" t="str">
        <f>IF($AG263="","",P_StatusVastleg)</f>
        <v>Vastgesteld</v>
      </c>
      <c r="E263" s="92">
        <f>IF($AG263="","",P_UploadVJ)</f>
        <v>2026</v>
      </c>
      <c r="F263" s="92" t="str">
        <f>IF($AG263="","",P_UploadVersie)</f>
        <v>Q3</v>
      </c>
      <c r="G263" s="92">
        <f>IF($AG263="","",IF(COUNTIFS(L_Sleutel,$S263,L_Status,"Vastgesteld")=0,0,_xlfn.MAXIFS(L_Revisie,L_Sleutel,$S263,L_Status,"Vastgesteld")+1))</f>
        <v>1</v>
      </c>
      <c r="H263" s="108">
        <f>IF($AG263="","",P_Peildatum)</f>
        <v>46295.0</v>
      </c>
      <c r="I263" s="92">
        <f>IF($AG263="","",P_RJ+INDEX($AK$8:$AK$21,INDEX($AC$8:$AC$1407,$AG263)+1))</f>
        <v>2026</v>
      </c>
      <c r="J263" s="92" t="str">
        <f>IF($AG263="","",INDEX(V_WBS,INDEX($AB$8:$AB$1407,$AG263)))</f>
        <v>G.900019.8.9090</v>
      </c>
      <c r="K263" s="92" t="str">
        <f>IF($AG263="","",INDEX(V_Projdef,INDEX($AB$8:$AB$1407,$AG263)))</f>
        <v>G.900019</v>
      </c>
      <c r="L263" s="92" t="str">
        <f>IF($AG263="","",INDEX(V_Naam,INDEX($AB$8:$AB$1407,$AG263)))</f>
        <v>Zilverdam, Havenlicht</v>
      </c>
      <c r="M263" s="92" t="str">
        <f>IF($AG263="","",INDEX(V_Type,INDEX($AB$8:$AB$1407,$AG263)))</f>
        <v>Opstal</v>
      </c>
      <c r="N263" s="92" t="str">
        <f>IF($AG263="","",INDEX(V_IFRS,INDEX($AB$8:$AB$1407,$AG263)))</f>
        <v>J</v>
      </c>
      <c r="O263" s="92" t="str">
        <f>IF($AG263="","",INDEX($AL$8:$AL$21,INDEX($AC$8:$AC$1407,$AG263)+1))</f>
        <v>BOR actual YTD</v>
      </c>
      <c r="P263" s="109">
        <f>IF($AG263="","",INDEX($AD$8:$AD$1407,$AG263))</f>
        <v>321048</v>
      </c>
      <c r="Q263" s="92" t="str">
        <f>IF($AG263="","",INDEX($AM$8:$AM$21,INDEX($AC$8:$AC$1407,$AG263)+1))</f>
        <v>EUR</v>
      </c>
      <c r="R263" s="92" t="str">
        <f>IF($AG263="","",IF($G263&gt;0,P_ToelCorrectie&amp;"",""))</f>
        <v/>
      </c>
      <c r="S263" s="15" t="str">
        <f>IF(J263="","",J263&amp;"|"&amp;E263&amp;"|"&amp;F263&amp;"|"&amp;I263&amp;"|"&amp;O263)</f>
        <v>G.900019.8.9090|2026|Q3|2026|BOR actual YTD</v>
      </c>
      <c r="T263" s="111">
        <f>IF(S263="","",IF(COUNTIFS(L_Sleutel,S263,L_Actief,1)=0,"",SUMIFS(L_Waarde,L_Sleutel,S263,L_Actief,1)))</f>
        <v>321048</v>
      </c>
      <c r="U263" s="111">
        <f>IF(OR(S263="",T263=""),0,P263-T263)</f>
        <v>0</v>
      </c>
      <c r="AB263" s="112" t="n">
        <v>19</v>
      </c>
      <c r="AC263" s="112" t="n">
        <v>3</v>
      </c>
      <c r="AD263" s="112">
        <f>VERW_Project!M24</f>
        <v>321048</v>
      </c>
      <c r="AE263" s="112">
        <f>IF(AND(VERW_Project!$A24&lt;&gt;"",ISNUMBER(AD263)),1,0)</f>
        <v>1</v>
      </c>
      <c r="AF263" s="112">
        <f>IF(AE263=1,SUM($AE$8:AE263),"")</f>
        <v>256</v>
      </c>
      <c r="AG263">
        <f>IFERROR(MATCH(256,$AF$8:$AF$1407,0),"")</f>
        <v>256</v>
      </c>
    </row>
    <row r="264">
      <c r="A264" s="92" t="str">
        <f>IF($AG264="","",P_ImportID)</f>
        <v>IMP-2026-Q3-01</v>
      </c>
      <c r="B264" s="92" t="str">
        <f>IF($AG264="","",IF(INDEX($AN$8:$AN$21,INDEX($AC$8:$AC$1407,$AG264)+1)="Z",P_BronZ,P_BronE))</f>
        <v>ZPMW03_FICTIEF_20_projecten.xlsx</v>
      </c>
      <c r="C264" s="108">
        <f>IF($AG264="","",P_Importdatum)</f>
        <v>46324.0</v>
      </c>
      <c r="D264" s="92" t="str">
        <f>IF($AG264="","",P_StatusVastleg)</f>
        <v>Vastgesteld</v>
      </c>
      <c r="E264" s="92">
        <f>IF($AG264="","",P_UploadVJ)</f>
        <v>2026</v>
      </c>
      <c r="F264" s="92" t="str">
        <f>IF($AG264="","",P_UploadVersie)</f>
        <v>Q3</v>
      </c>
      <c r="G264" s="92">
        <f>IF($AG264="","",IF(COUNTIFS(L_Sleutel,$S264,L_Status,"Vastgesteld")=0,0,_xlfn.MAXIFS(L_Revisie,L_Sleutel,$S264,L_Status,"Vastgesteld")+1))</f>
        <v>1</v>
      </c>
      <c r="H264" s="108">
        <f>IF($AG264="","",P_Peildatum)</f>
        <v>46295.0</v>
      </c>
      <c r="I264" s="92">
        <f>IF($AG264="","",P_RJ+INDEX($AK$8:$AK$21,INDEX($AC$8:$AC$1407,$AG264)+1))</f>
        <v>2027</v>
      </c>
      <c r="J264" s="92" t="str">
        <f>IF($AG264="","",INDEX(V_WBS,INDEX($AB$8:$AB$1407,$AG264)))</f>
        <v>G.900019.8.9090</v>
      </c>
      <c r="K264" s="92" t="str">
        <f>IF($AG264="","",INDEX(V_Projdef,INDEX($AB$8:$AB$1407,$AG264)))</f>
        <v>G.900019</v>
      </c>
      <c r="L264" s="92" t="str">
        <f>IF($AG264="","",INDEX(V_Naam,INDEX($AB$8:$AB$1407,$AG264)))</f>
        <v>Zilverdam, Havenlicht</v>
      </c>
      <c r="M264" s="92" t="str">
        <f>IF($AG264="","",INDEX(V_Type,INDEX($AB$8:$AB$1407,$AG264)))</f>
        <v>Opstal</v>
      </c>
      <c r="N264" s="92" t="str">
        <f>IF($AG264="","",INDEX(V_IFRS,INDEX($AB$8:$AB$1407,$AG264)))</f>
        <v>J</v>
      </c>
      <c r="O264" s="92" t="str">
        <f>IF($AG264="","",INDEX($AL$8:$AL$21,INDEX($AC$8:$AC$1407,$AG264)+1))</f>
        <v>Omzet FY</v>
      </c>
      <c r="P264" s="109">
        <f>IF($AG264="","",INDEX($AD$8:$AD$1407,$AG264))</f>
        <v>5541900</v>
      </c>
      <c r="Q264" s="92" t="str">
        <f>IF($AG264="","",INDEX($AM$8:$AM$21,INDEX($AC$8:$AC$1407,$AG264)+1))</f>
        <v>EUR</v>
      </c>
      <c r="R264" s="92" t="str">
        <f>IF($AG264="","",IF($G264&gt;0,P_ToelCorrectie&amp;"",""))</f>
        <v/>
      </c>
      <c r="S264" s="15" t="str">
        <f>IF(J264="","",J264&amp;"|"&amp;E264&amp;"|"&amp;F264&amp;"|"&amp;I264&amp;"|"&amp;O264)</f>
        <v>G.900019.8.9090|2026|Q3|2027|Omzet FY</v>
      </c>
      <c r="T264" s="111">
        <f>IF(S264="","",IF(COUNTIFS(L_Sleutel,S264,L_Actief,1)=0,"",SUMIFS(L_Waarde,L_Sleutel,S264,L_Actief,1)))</f>
        <v>5541900</v>
      </c>
      <c r="U264" s="111">
        <f>IF(OR(S264="",T264=""),0,P264-T264)</f>
        <v>0</v>
      </c>
      <c r="AB264" s="112" t="n">
        <v>19</v>
      </c>
      <c r="AC264" s="112" t="n">
        <v>4</v>
      </c>
      <c r="AD264" s="112">
        <f>VERW_Project!R24</f>
        <v>5541900</v>
      </c>
      <c r="AE264" s="112">
        <f>IF(AND(VERW_Project!$A24&lt;&gt;"",ISNUMBER(AD264)),1,0)</f>
        <v>1</v>
      </c>
      <c r="AF264" s="112">
        <f>IF(AE264=1,SUM($AE$8:AE264),"")</f>
        <v>257</v>
      </c>
      <c r="AG264">
        <f>IFERROR(MATCH(257,$AF$8:$AF$1407,0),"")</f>
        <v>257</v>
      </c>
    </row>
    <row r="265">
      <c r="A265" s="92" t="str">
        <f>IF($AG265="","",P_ImportID)</f>
        <v>IMP-2026-Q3-01</v>
      </c>
      <c r="B265" s="92" t="str">
        <f>IF($AG265="","",IF(INDEX($AN$8:$AN$21,INDEX($AC$8:$AC$1407,$AG265)+1)="Z",P_BronZ,P_BronE))</f>
        <v>ZPMW03_FICTIEF_20_projecten.xlsx</v>
      </c>
      <c r="C265" s="108">
        <f>IF($AG265="","",P_Importdatum)</f>
        <v>46324.0</v>
      </c>
      <c r="D265" s="92" t="str">
        <f>IF($AG265="","",P_StatusVastleg)</f>
        <v>Vastgesteld</v>
      </c>
      <c r="E265" s="92">
        <f>IF($AG265="","",P_UploadVJ)</f>
        <v>2026</v>
      </c>
      <c r="F265" s="92" t="str">
        <f>IF($AG265="","",P_UploadVersie)</f>
        <v>Q3</v>
      </c>
      <c r="G265" s="92">
        <f>IF($AG265="","",IF(COUNTIFS(L_Sleutel,$S265,L_Status,"Vastgesteld")=0,0,_xlfn.MAXIFS(L_Revisie,L_Sleutel,$S265,L_Status,"Vastgesteld")+1))</f>
        <v>1</v>
      </c>
      <c r="H265" s="108">
        <f>IF($AG265="","",P_Peildatum)</f>
        <v>46295.0</v>
      </c>
      <c r="I265" s="92">
        <f>IF($AG265="","",P_RJ+INDEX($AK$8:$AK$21,INDEX($AC$8:$AC$1407,$AG265)+1))</f>
        <v>2027</v>
      </c>
      <c r="J265" s="92" t="str">
        <f>IF($AG265="","",INDEX(V_WBS,INDEX($AB$8:$AB$1407,$AG265)))</f>
        <v>G.900019.8.9090</v>
      </c>
      <c r="K265" s="92" t="str">
        <f>IF($AG265="","",INDEX(V_Projdef,INDEX($AB$8:$AB$1407,$AG265)))</f>
        <v>G.900019</v>
      </c>
      <c r="L265" s="92" t="str">
        <f>IF($AG265="","",INDEX(V_Naam,INDEX($AB$8:$AB$1407,$AG265)))</f>
        <v>Zilverdam, Havenlicht</v>
      </c>
      <c r="M265" s="92" t="str">
        <f>IF($AG265="","",INDEX(V_Type,INDEX($AB$8:$AB$1407,$AG265)))</f>
        <v>Opstal</v>
      </c>
      <c r="N265" s="92" t="str">
        <f>IF($AG265="","",INDEX(V_IFRS,INDEX($AB$8:$AB$1407,$AG265)))</f>
        <v>J</v>
      </c>
      <c r="O265" s="92" t="str">
        <f>IF($AG265="","",INDEX($AL$8:$AL$21,INDEX($AC$8:$AC$1407,$AG265)+1))</f>
        <v>BOR FY</v>
      </c>
      <c r="P265" s="109">
        <f>IF($AG265="","",INDEX($AD$8:$AD$1407,$AG265))</f>
        <v>443352</v>
      </c>
      <c r="Q265" s="92" t="str">
        <f>IF($AG265="","",INDEX($AM$8:$AM$21,INDEX($AC$8:$AC$1407,$AG265)+1))</f>
        <v>EUR</v>
      </c>
      <c r="R265" s="92" t="str">
        <f>IF($AG265="","",IF($G265&gt;0,P_ToelCorrectie&amp;"",""))</f>
        <v/>
      </c>
      <c r="S265" s="15" t="str">
        <f>IF(J265="","",J265&amp;"|"&amp;E265&amp;"|"&amp;F265&amp;"|"&amp;I265&amp;"|"&amp;O265)</f>
        <v>G.900019.8.9090|2026|Q3|2027|BOR FY</v>
      </c>
      <c r="T265" s="111">
        <f>IF(S265="","",IF(COUNTIFS(L_Sleutel,S265,L_Actief,1)=0,"",SUMIFS(L_Waarde,L_Sleutel,S265,L_Actief,1)))</f>
        <v>443352</v>
      </c>
      <c r="U265" s="111">
        <f>IF(OR(S265="",T265=""),0,P265-T265)</f>
        <v>0</v>
      </c>
      <c r="AB265" s="112" t="n">
        <v>19</v>
      </c>
      <c r="AC265" s="112" t="n">
        <v>5</v>
      </c>
      <c r="AD265" s="112">
        <f>VERW_Project!S24</f>
        <v>443352</v>
      </c>
      <c r="AE265" s="112">
        <f>IF(AND(VERW_Project!$A24&lt;&gt;"",ISNUMBER(AD265)),1,0)</f>
        <v>1</v>
      </c>
      <c r="AF265" s="112">
        <f>IF(AE265=1,SUM($AE$8:AE265),"")</f>
        <v>258</v>
      </c>
      <c r="AG265">
        <f>IFERROR(MATCH(258,$AF$8:$AF$1407,0),"")</f>
        <v>258</v>
      </c>
    </row>
    <row r="266">
      <c r="A266" s="92" t="str">
        <f>IF($AG266="","",P_ImportID)</f>
        <v>IMP-2026-Q3-01</v>
      </c>
      <c r="B266" s="92" t="str">
        <f>IF($AG266="","",IF(INDEX($AN$8:$AN$21,INDEX($AC$8:$AC$1407,$AG266)+1)="Z",P_BronZ,P_BronE))</f>
        <v>Woningetalage_FICTIEF_20_projecten.xlsx</v>
      </c>
      <c r="C266" s="108">
        <f>IF($AG266="","",P_Importdatum)</f>
        <v>46324.0</v>
      </c>
      <c r="D266" s="92" t="str">
        <f>IF($AG266="","",P_StatusVastleg)</f>
        <v>Vastgesteld</v>
      </c>
      <c r="E266" s="92">
        <f>IF($AG266="","",P_UploadVJ)</f>
        <v>2026</v>
      </c>
      <c r="F266" s="92" t="str">
        <f>IF($AG266="","",P_UploadVersie)</f>
        <v>Q3</v>
      </c>
      <c r="G266" s="92">
        <f>IF($AG266="","",IF(COUNTIFS(L_Sleutel,$S266,L_Status,"Vastgesteld")=0,0,_xlfn.MAXIFS(L_Revisie,L_Sleutel,$S266,L_Status,"Vastgesteld")+1))</f>
        <v>1</v>
      </c>
      <c r="H266" s="108">
        <f>IF($AG266="","",P_Peildatum)</f>
        <v>46295.0</v>
      </c>
      <c r="I266" s="92">
        <f>IF($AG266="","",P_RJ+INDEX($AK$8:$AK$21,INDEX($AC$8:$AC$1407,$AG266)+1))</f>
        <v>2026</v>
      </c>
      <c r="J266" s="92" t="str">
        <f>IF($AG266="","",INDEX(V_WBS,INDEX($AB$8:$AB$1407,$AG266)))</f>
        <v>G.900019.8.9090</v>
      </c>
      <c r="K266" s="92" t="str">
        <f>IF($AG266="","",INDEX(V_Projdef,INDEX($AB$8:$AB$1407,$AG266)))</f>
        <v>G.900019</v>
      </c>
      <c r="L266" s="92" t="str">
        <f>IF($AG266="","",INDEX(V_Naam,INDEX($AB$8:$AB$1407,$AG266)))</f>
        <v>Zilverdam, Havenlicht</v>
      </c>
      <c r="M266" s="92" t="str">
        <f>IF($AG266="","",INDEX(V_Type,INDEX($AB$8:$AB$1407,$AG266)))</f>
        <v>Opstal</v>
      </c>
      <c r="N266" s="92" t="str">
        <f>IF($AG266="","",INDEX(V_IFRS,INDEX($AB$8:$AB$1407,$AG266)))</f>
        <v>J</v>
      </c>
      <c r="O266" s="92" t="str">
        <f>IF($AG266="","",INDEX($AL$8:$AL$21,INDEX($AC$8:$AC$1407,$AG266)+1))</f>
        <v>Woningverkopen FY</v>
      </c>
      <c r="P266" s="109">
        <f>IF($AG266="","",INDEX($AD$8:$AD$1407,$AG266))</f>
        <v>10</v>
      </c>
      <c r="Q266" s="92" t="str">
        <f>IF($AG266="","",INDEX($AM$8:$AM$21,INDEX($AC$8:$AC$1407,$AG266)+1))</f>
        <v>aantal</v>
      </c>
      <c r="R266" s="92" t="str">
        <f>IF($AG266="","",IF($G266&gt;0,P_ToelCorrectie&amp;"",""))</f>
        <v/>
      </c>
      <c r="S266" s="15" t="str">
        <f>IF(J266="","",J266&amp;"|"&amp;E266&amp;"|"&amp;F266&amp;"|"&amp;I266&amp;"|"&amp;O266)</f>
        <v>G.900019.8.9090|2026|Q3|2026|Woningverkopen FY</v>
      </c>
      <c r="T266" s="111">
        <f>IF(S266="","",IF(COUNTIFS(L_Sleutel,S266,L_Actief,1)=0,"",SUMIFS(L_Waarde,L_Sleutel,S266,L_Actief,1)))</f>
        <v>10</v>
      </c>
      <c r="U266" s="111">
        <f>IF(OR(S266="",T266=""),0,P266-T266)</f>
        <v>0</v>
      </c>
      <c r="AB266" s="112" t="n">
        <v>19</v>
      </c>
      <c r="AC266" s="112" t="n">
        <v>6</v>
      </c>
      <c r="AD266" s="112">
        <f>VERW_Project!BW24</f>
        <v>10</v>
      </c>
      <c r="AE266" s="112">
        <f>IF(AND(VERW_Project!$A24&lt;&gt;"",ISNUMBER(AD266)),1,0)</f>
        <v>1</v>
      </c>
      <c r="AF266" s="112">
        <f>IF(AE266=1,SUM($AE$8:AE266),"")</f>
        <v>259</v>
      </c>
      <c r="AG266">
        <f>IFERROR(MATCH(259,$AF$8:$AF$1407,0),"")</f>
        <v>259</v>
      </c>
    </row>
    <row r="267">
      <c r="A267" s="92" t="str">
        <f>IF($AG267="","",P_ImportID)</f>
        <v>IMP-2026-Q3-01</v>
      </c>
      <c r="B267" s="92" t="str">
        <f>IF($AG267="","",IF(INDEX($AN$8:$AN$21,INDEX($AC$8:$AC$1407,$AG267)+1)="Z",P_BronZ,P_BronE))</f>
        <v>Woningetalage_FICTIEF_20_projecten.xlsx</v>
      </c>
      <c r="C267" s="108">
        <f>IF($AG267="","",P_Importdatum)</f>
        <v>46324.0</v>
      </c>
      <c r="D267" s="92" t="str">
        <f>IF($AG267="","",P_StatusVastleg)</f>
        <v>Vastgesteld</v>
      </c>
      <c r="E267" s="92">
        <f>IF($AG267="","",P_UploadVJ)</f>
        <v>2026</v>
      </c>
      <c r="F267" s="92" t="str">
        <f>IF($AG267="","",P_UploadVersie)</f>
        <v>Q3</v>
      </c>
      <c r="G267" s="92">
        <f>IF($AG267="","",IF(COUNTIFS(L_Sleutel,$S267,L_Status,"Vastgesteld")=0,0,_xlfn.MAXIFS(L_Revisie,L_Sleutel,$S267,L_Status,"Vastgesteld")+1))</f>
        <v>1</v>
      </c>
      <c r="H267" s="108">
        <f>IF($AG267="","",P_Peildatum)</f>
        <v>46295.0</v>
      </c>
      <c r="I267" s="92">
        <f>IF($AG267="","",P_RJ+INDEX($AK$8:$AK$21,INDEX($AC$8:$AC$1407,$AG267)+1))</f>
        <v>2026</v>
      </c>
      <c r="J267" s="92" t="str">
        <f>IF($AG267="","",INDEX(V_WBS,INDEX($AB$8:$AB$1407,$AG267)))</f>
        <v>G.900019.8.9090</v>
      </c>
      <c r="K267" s="92" t="str">
        <f>IF($AG267="","",INDEX(V_Projdef,INDEX($AB$8:$AB$1407,$AG267)))</f>
        <v>G.900019</v>
      </c>
      <c r="L267" s="92" t="str">
        <f>IF($AG267="","",INDEX(V_Naam,INDEX($AB$8:$AB$1407,$AG267)))</f>
        <v>Zilverdam, Havenlicht</v>
      </c>
      <c r="M267" s="92" t="str">
        <f>IF($AG267="","",INDEX(V_Type,INDEX($AB$8:$AB$1407,$AG267)))</f>
        <v>Opstal</v>
      </c>
      <c r="N267" s="92" t="str">
        <f>IF($AG267="","",INDEX(V_IFRS,INDEX($AB$8:$AB$1407,$AG267)))</f>
        <v>J</v>
      </c>
      <c r="O267" s="92" t="str">
        <f>IF($AG267="","",INDEX($AL$8:$AL$21,INDEX($AC$8:$AC$1407,$AG267)+1))</f>
        <v>Woningen verkocht t/m vorig jaar</v>
      </c>
      <c r="P267" s="109">
        <f>IF($AG267="","",INDEX($AD$8:$AD$1407,$AG267))</f>
        <v>0</v>
      </c>
      <c r="Q267" s="92" t="str">
        <f>IF($AG267="","",INDEX($AM$8:$AM$21,INDEX($AC$8:$AC$1407,$AG267)+1))</f>
        <v>aantal</v>
      </c>
      <c r="R267" s="92" t="str">
        <f>IF($AG267="","",IF($G267&gt;0,P_ToelCorrectie&amp;"",""))</f>
        <v/>
      </c>
      <c r="S267" s="15" t="str">
        <f>IF(J267="","",J267&amp;"|"&amp;E267&amp;"|"&amp;F267&amp;"|"&amp;I267&amp;"|"&amp;O267)</f>
        <v>G.900019.8.9090|2026|Q3|2026|Woningen verkocht t/m vorig jaar</v>
      </c>
      <c r="T267" s="111">
        <f>IF(S267="","",IF(COUNTIFS(L_Sleutel,S267,L_Actief,1)=0,"",SUMIFS(L_Waarde,L_Sleutel,S267,L_Actief,1)))</f>
        <v>0</v>
      </c>
      <c r="U267" s="111">
        <f>IF(OR(S267="",T267=""),0,P267-T267)</f>
        <v>0</v>
      </c>
      <c r="AB267" s="112" t="n">
        <v>19</v>
      </c>
      <c r="AC267" s="112" t="n">
        <v>7</v>
      </c>
      <c r="AD267" s="112">
        <f>VERW_Project!AW24</f>
        <v>0</v>
      </c>
      <c r="AE267" s="112">
        <f>IF(AND(VERW_Project!$A24&lt;&gt;"",ISNUMBER(AD267)),1,0)</f>
        <v>1</v>
      </c>
      <c r="AF267" s="112">
        <f>IF(AE267=1,SUM($AE$8:AE267),"")</f>
        <v>260</v>
      </c>
      <c r="AG267">
        <f>IFERROR(MATCH(260,$AF$8:$AF$1407,0),"")</f>
        <v>260</v>
      </c>
    </row>
    <row r="268">
      <c r="A268" s="92" t="str">
        <f>IF($AG268="","",P_ImportID)</f>
        <v>IMP-2026-Q3-01</v>
      </c>
      <c r="B268" s="92" t="str">
        <f>IF($AG268="","",IF(INDEX($AN$8:$AN$21,INDEX($AC$8:$AC$1407,$AG268)+1)="Z",P_BronZ,P_BronE))</f>
        <v>Woningetalage_FICTIEF_20_projecten.xlsx</v>
      </c>
      <c r="C268" s="108">
        <f>IF($AG268="","",P_Importdatum)</f>
        <v>46324.0</v>
      </c>
      <c r="D268" s="92" t="str">
        <f>IF($AG268="","",P_StatusVastleg)</f>
        <v>Vastgesteld</v>
      </c>
      <c r="E268" s="92">
        <f>IF($AG268="","",P_UploadVJ)</f>
        <v>2026</v>
      </c>
      <c r="F268" s="92" t="str">
        <f>IF($AG268="","",P_UploadVersie)</f>
        <v>Q3</v>
      </c>
      <c r="G268" s="92">
        <f>IF($AG268="","",IF(COUNTIFS(L_Sleutel,$S268,L_Status,"Vastgesteld")=0,0,_xlfn.MAXIFS(L_Revisie,L_Sleutel,$S268,L_Status,"Vastgesteld")+1))</f>
        <v>1</v>
      </c>
      <c r="H268" s="108">
        <f>IF($AG268="","",P_Peildatum)</f>
        <v>46295.0</v>
      </c>
      <c r="I268" s="92">
        <f>IF($AG268="","",P_RJ+INDEX($AK$8:$AK$21,INDEX($AC$8:$AC$1407,$AG268)+1))</f>
        <v>2026</v>
      </c>
      <c r="J268" s="92" t="str">
        <f>IF($AG268="","",INDEX(V_WBS,INDEX($AB$8:$AB$1407,$AG268)))</f>
        <v>G.900019.8.9090</v>
      </c>
      <c r="K268" s="92" t="str">
        <f>IF($AG268="","",INDEX(V_Projdef,INDEX($AB$8:$AB$1407,$AG268)))</f>
        <v>G.900019</v>
      </c>
      <c r="L268" s="92" t="str">
        <f>IF($AG268="","",INDEX(V_Naam,INDEX($AB$8:$AB$1407,$AG268)))</f>
        <v>Zilverdam, Havenlicht</v>
      </c>
      <c r="M268" s="92" t="str">
        <f>IF($AG268="","",INDEX(V_Type,INDEX($AB$8:$AB$1407,$AG268)))</f>
        <v>Opstal</v>
      </c>
      <c r="N268" s="92" t="str">
        <f>IF($AG268="","",INDEX(V_IFRS,INDEX($AB$8:$AB$1407,$AG268)))</f>
        <v>J</v>
      </c>
      <c r="O268" s="92" t="str">
        <f>IF($AG268="","",INDEX($AL$8:$AL$21,INDEX($AC$8:$AC$1407,$AG268)+1))</f>
        <v>Woningverkopen Q1</v>
      </c>
      <c r="P268" s="109">
        <f>IF($AG268="","",INDEX($AD$8:$AD$1407,$AG268))</f>
        <v>0</v>
      </c>
      <c r="Q268" s="92" t="str">
        <f>IF($AG268="","",INDEX($AM$8:$AM$21,INDEX($AC$8:$AC$1407,$AG268)+1))</f>
        <v>aantal</v>
      </c>
      <c r="R268" s="92" t="str">
        <f>IF($AG268="","",IF($G268&gt;0,P_ToelCorrectie&amp;"",""))</f>
        <v/>
      </c>
      <c r="S268" s="15" t="str">
        <f>IF(J268="","",J268&amp;"|"&amp;E268&amp;"|"&amp;F268&amp;"|"&amp;I268&amp;"|"&amp;O268)</f>
        <v>G.900019.8.9090|2026|Q3|2026|Woningverkopen Q1</v>
      </c>
      <c r="T268" s="111">
        <f>IF(S268="","",IF(COUNTIFS(L_Sleutel,S268,L_Actief,1)=0,"",SUMIFS(L_Waarde,L_Sleutel,S268,L_Actief,1)))</f>
        <v>0</v>
      </c>
      <c r="U268" s="111">
        <f>IF(OR(S268="",T268=""),0,P268-T268)</f>
        <v>0</v>
      </c>
      <c r="AB268" s="112" t="n">
        <v>19</v>
      </c>
      <c r="AC268" s="112" t="n">
        <v>8</v>
      </c>
      <c r="AD268" s="112">
        <f>VERW_Project!BQ24</f>
        <v>0</v>
      </c>
      <c r="AE268" s="112">
        <f>IF(AND(VERW_Project!$A24&lt;&gt;"",ISNUMBER(AD268)),1,0)</f>
        <v>1</v>
      </c>
      <c r="AF268" s="112">
        <f>IF(AE268=1,SUM($AE$8:AE268),"")</f>
        <v>261</v>
      </c>
      <c r="AG268">
        <f>IFERROR(MATCH(261,$AF$8:$AF$1407,0),"")</f>
        <v>261</v>
      </c>
    </row>
    <row r="269">
      <c r="A269" s="92" t="str">
        <f>IF($AG269="","",P_ImportID)</f>
        <v>IMP-2026-Q3-01</v>
      </c>
      <c r="B269" s="92" t="str">
        <f>IF($AG269="","",IF(INDEX($AN$8:$AN$21,INDEX($AC$8:$AC$1407,$AG269)+1)="Z",P_BronZ,P_BronE))</f>
        <v>Woningetalage_FICTIEF_20_projecten.xlsx</v>
      </c>
      <c r="C269" s="108">
        <f>IF($AG269="","",P_Importdatum)</f>
        <v>46324.0</v>
      </c>
      <c r="D269" s="92" t="str">
        <f>IF($AG269="","",P_StatusVastleg)</f>
        <v>Vastgesteld</v>
      </c>
      <c r="E269" s="92">
        <f>IF($AG269="","",P_UploadVJ)</f>
        <v>2026</v>
      </c>
      <c r="F269" s="92" t="str">
        <f>IF($AG269="","",P_UploadVersie)</f>
        <v>Q3</v>
      </c>
      <c r="G269" s="92">
        <f>IF($AG269="","",IF(COUNTIFS(L_Sleutel,$S269,L_Status,"Vastgesteld")=0,0,_xlfn.MAXIFS(L_Revisie,L_Sleutel,$S269,L_Status,"Vastgesteld")+1))</f>
        <v>1</v>
      </c>
      <c r="H269" s="108">
        <f>IF($AG269="","",P_Peildatum)</f>
        <v>46295.0</v>
      </c>
      <c r="I269" s="92">
        <f>IF($AG269="","",P_RJ+INDEX($AK$8:$AK$21,INDEX($AC$8:$AC$1407,$AG269)+1))</f>
        <v>2026</v>
      </c>
      <c r="J269" s="92" t="str">
        <f>IF($AG269="","",INDEX(V_WBS,INDEX($AB$8:$AB$1407,$AG269)))</f>
        <v>G.900019.8.9090</v>
      </c>
      <c r="K269" s="92" t="str">
        <f>IF($AG269="","",INDEX(V_Projdef,INDEX($AB$8:$AB$1407,$AG269)))</f>
        <v>G.900019</v>
      </c>
      <c r="L269" s="92" t="str">
        <f>IF($AG269="","",INDEX(V_Naam,INDEX($AB$8:$AB$1407,$AG269)))</f>
        <v>Zilverdam, Havenlicht</v>
      </c>
      <c r="M269" s="92" t="str">
        <f>IF($AG269="","",INDEX(V_Type,INDEX($AB$8:$AB$1407,$AG269)))</f>
        <v>Opstal</v>
      </c>
      <c r="N269" s="92" t="str">
        <f>IF($AG269="","",INDEX(V_IFRS,INDEX($AB$8:$AB$1407,$AG269)))</f>
        <v>J</v>
      </c>
      <c r="O269" s="92" t="str">
        <f>IF($AG269="","",INDEX($AL$8:$AL$21,INDEX($AC$8:$AC$1407,$AG269)+1))</f>
        <v>Woningverkopen Q2</v>
      </c>
      <c r="P269" s="109">
        <f>IF($AG269="","",INDEX($AD$8:$AD$1407,$AG269))</f>
        <v>1</v>
      </c>
      <c r="Q269" s="92" t="str">
        <f>IF($AG269="","",INDEX($AM$8:$AM$21,INDEX($AC$8:$AC$1407,$AG269)+1))</f>
        <v>aantal</v>
      </c>
      <c r="R269" s="92" t="str">
        <f>IF($AG269="","",IF($G269&gt;0,P_ToelCorrectie&amp;"",""))</f>
        <v/>
      </c>
      <c r="S269" s="15" t="str">
        <f>IF(J269="","",J269&amp;"|"&amp;E269&amp;"|"&amp;F269&amp;"|"&amp;I269&amp;"|"&amp;O269)</f>
        <v>G.900019.8.9090|2026|Q3|2026|Woningverkopen Q2</v>
      </c>
      <c r="T269" s="111">
        <f>IF(S269="","",IF(COUNTIFS(L_Sleutel,S269,L_Actief,1)=0,"",SUMIFS(L_Waarde,L_Sleutel,S269,L_Actief,1)))</f>
        <v>1</v>
      </c>
      <c r="U269" s="111">
        <f>IF(OR(S269="",T269=""),0,P269-T269)</f>
        <v>0</v>
      </c>
      <c r="AB269" s="112" t="n">
        <v>19</v>
      </c>
      <c r="AC269" s="112" t="n">
        <v>9</v>
      </c>
      <c r="AD269" s="112">
        <f>VERW_Project!BR24</f>
        <v>1</v>
      </c>
      <c r="AE269" s="112">
        <f>IF(AND(VERW_Project!$A24&lt;&gt;"",ISNUMBER(AD269)),1,0)</f>
        <v>1</v>
      </c>
      <c r="AF269" s="112">
        <f>IF(AE269=1,SUM($AE$8:AE269),"")</f>
        <v>262</v>
      </c>
      <c r="AG269">
        <f>IFERROR(MATCH(262,$AF$8:$AF$1407,0),"")</f>
        <v>262</v>
      </c>
    </row>
    <row r="270">
      <c r="A270" s="92" t="str">
        <f>IF($AG270="","",P_ImportID)</f>
        <v>IMP-2026-Q3-01</v>
      </c>
      <c r="B270" s="92" t="str">
        <f>IF($AG270="","",IF(INDEX($AN$8:$AN$21,INDEX($AC$8:$AC$1407,$AG270)+1)="Z",P_BronZ,P_BronE))</f>
        <v>Woningetalage_FICTIEF_20_projecten.xlsx</v>
      </c>
      <c r="C270" s="108">
        <f>IF($AG270="","",P_Importdatum)</f>
        <v>46324.0</v>
      </c>
      <c r="D270" s="92" t="str">
        <f>IF($AG270="","",P_StatusVastleg)</f>
        <v>Vastgesteld</v>
      </c>
      <c r="E270" s="92">
        <f>IF($AG270="","",P_UploadVJ)</f>
        <v>2026</v>
      </c>
      <c r="F270" s="92" t="str">
        <f>IF($AG270="","",P_UploadVersie)</f>
        <v>Q3</v>
      </c>
      <c r="G270" s="92">
        <f>IF($AG270="","",IF(COUNTIFS(L_Sleutel,$S270,L_Status,"Vastgesteld")=0,0,_xlfn.MAXIFS(L_Revisie,L_Sleutel,$S270,L_Status,"Vastgesteld")+1))</f>
        <v>1</v>
      </c>
      <c r="H270" s="108">
        <f>IF($AG270="","",P_Peildatum)</f>
        <v>46295.0</v>
      </c>
      <c r="I270" s="92">
        <f>IF($AG270="","",P_RJ+INDEX($AK$8:$AK$21,INDEX($AC$8:$AC$1407,$AG270)+1))</f>
        <v>2026</v>
      </c>
      <c r="J270" s="92" t="str">
        <f>IF($AG270="","",INDEX(V_WBS,INDEX($AB$8:$AB$1407,$AG270)))</f>
        <v>G.900019.8.9090</v>
      </c>
      <c r="K270" s="92" t="str">
        <f>IF($AG270="","",INDEX(V_Projdef,INDEX($AB$8:$AB$1407,$AG270)))</f>
        <v>G.900019</v>
      </c>
      <c r="L270" s="92" t="str">
        <f>IF($AG270="","",INDEX(V_Naam,INDEX($AB$8:$AB$1407,$AG270)))</f>
        <v>Zilverdam, Havenlicht</v>
      </c>
      <c r="M270" s="92" t="str">
        <f>IF($AG270="","",INDEX(V_Type,INDEX($AB$8:$AB$1407,$AG270)))</f>
        <v>Opstal</v>
      </c>
      <c r="N270" s="92" t="str">
        <f>IF($AG270="","",INDEX(V_IFRS,INDEX($AB$8:$AB$1407,$AG270)))</f>
        <v>J</v>
      </c>
      <c r="O270" s="92" t="str">
        <f>IF($AG270="","",INDEX($AL$8:$AL$21,INDEX($AC$8:$AC$1407,$AG270)+1))</f>
        <v>Woningverkopen Q3</v>
      </c>
      <c r="P270" s="109">
        <f>IF($AG270="","",INDEX($AD$8:$AD$1407,$AG270))</f>
        <v>1</v>
      </c>
      <c r="Q270" s="92" t="str">
        <f>IF($AG270="","",INDEX($AM$8:$AM$21,INDEX($AC$8:$AC$1407,$AG270)+1))</f>
        <v>aantal</v>
      </c>
      <c r="R270" s="92" t="str">
        <f>IF($AG270="","",IF($G270&gt;0,P_ToelCorrectie&amp;"",""))</f>
        <v/>
      </c>
      <c r="S270" s="15" t="str">
        <f>IF(J270="","",J270&amp;"|"&amp;E270&amp;"|"&amp;F270&amp;"|"&amp;I270&amp;"|"&amp;O270)</f>
        <v>G.900019.8.9090|2026|Q3|2026|Woningverkopen Q3</v>
      </c>
      <c r="T270" s="111">
        <f>IF(S270="","",IF(COUNTIFS(L_Sleutel,S270,L_Actief,1)=0,"",SUMIFS(L_Waarde,L_Sleutel,S270,L_Actief,1)))</f>
        <v>1</v>
      </c>
      <c r="U270" s="111">
        <f>IF(OR(S270="",T270=""),0,P270-T270)</f>
        <v>0</v>
      </c>
      <c r="AB270" s="112" t="n">
        <v>19</v>
      </c>
      <c r="AC270" s="112" t="n">
        <v>10</v>
      </c>
      <c r="AD270" s="112">
        <f>VERW_Project!BS24</f>
        <v>1</v>
      </c>
      <c r="AE270" s="112">
        <f>IF(AND(VERW_Project!$A24&lt;&gt;"",ISNUMBER(AD270)),1,0)</f>
        <v>1</v>
      </c>
      <c r="AF270" s="112">
        <f>IF(AE270=1,SUM($AE$8:AE270),"")</f>
        <v>263</v>
      </c>
      <c r="AG270">
        <f>IFERROR(MATCH(263,$AF$8:$AF$1407,0),"")</f>
        <v>263</v>
      </c>
    </row>
    <row r="271">
      <c r="A271" s="92" t="str">
        <f>IF($AG271="","",P_ImportID)</f>
        <v>IMP-2026-Q3-01</v>
      </c>
      <c r="B271" s="92" t="str">
        <f>IF($AG271="","",IF(INDEX($AN$8:$AN$21,INDEX($AC$8:$AC$1407,$AG271)+1)="Z",P_BronZ,P_BronE))</f>
        <v>Woningetalage_FICTIEF_20_projecten.xlsx</v>
      </c>
      <c r="C271" s="108">
        <f>IF($AG271="","",P_Importdatum)</f>
        <v>46324.0</v>
      </c>
      <c r="D271" s="92" t="str">
        <f>IF($AG271="","",P_StatusVastleg)</f>
        <v>Vastgesteld</v>
      </c>
      <c r="E271" s="92">
        <f>IF($AG271="","",P_UploadVJ)</f>
        <v>2026</v>
      </c>
      <c r="F271" s="92" t="str">
        <f>IF($AG271="","",P_UploadVersie)</f>
        <v>Q3</v>
      </c>
      <c r="G271" s="92">
        <f>IF($AG271="","",IF(COUNTIFS(L_Sleutel,$S271,L_Status,"Vastgesteld")=0,0,_xlfn.MAXIFS(L_Revisie,L_Sleutel,$S271,L_Status,"Vastgesteld")+1))</f>
        <v>1</v>
      </c>
      <c r="H271" s="108">
        <f>IF($AG271="","",P_Peildatum)</f>
        <v>46295.0</v>
      </c>
      <c r="I271" s="92">
        <f>IF($AG271="","",P_RJ+INDEX($AK$8:$AK$21,INDEX($AC$8:$AC$1407,$AG271)+1))</f>
        <v>2026</v>
      </c>
      <c r="J271" s="92" t="str">
        <f>IF($AG271="","",INDEX(V_WBS,INDEX($AB$8:$AB$1407,$AG271)))</f>
        <v>G.900019.8.9090</v>
      </c>
      <c r="K271" s="92" t="str">
        <f>IF($AG271="","",INDEX(V_Projdef,INDEX($AB$8:$AB$1407,$AG271)))</f>
        <v>G.900019</v>
      </c>
      <c r="L271" s="92" t="str">
        <f>IF($AG271="","",INDEX(V_Naam,INDEX($AB$8:$AB$1407,$AG271)))</f>
        <v>Zilverdam, Havenlicht</v>
      </c>
      <c r="M271" s="92" t="str">
        <f>IF($AG271="","",INDEX(V_Type,INDEX($AB$8:$AB$1407,$AG271)))</f>
        <v>Opstal</v>
      </c>
      <c r="N271" s="92" t="str">
        <f>IF($AG271="","",INDEX(V_IFRS,INDEX($AB$8:$AB$1407,$AG271)))</f>
        <v>J</v>
      </c>
      <c r="O271" s="92" t="str">
        <f>IF($AG271="","",INDEX($AL$8:$AL$21,INDEX($AC$8:$AC$1407,$AG271)+1))</f>
        <v>Woningverkopen Q4</v>
      </c>
      <c r="P271" s="109">
        <f>IF($AG271="","",INDEX($AD$8:$AD$1407,$AG271))</f>
        <v>8</v>
      </c>
      <c r="Q271" s="92" t="str">
        <f>IF($AG271="","",INDEX($AM$8:$AM$21,INDEX($AC$8:$AC$1407,$AG271)+1))</f>
        <v>aantal</v>
      </c>
      <c r="R271" s="92" t="str">
        <f>IF($AG271="","",IF($G271&gt;0,P_ToelCorrectie&amp;"",""))</f>
        <v/>
      </c>
      <c r="S271" s="15" t="str">
        <f>IF(J271="","",J271&amp;"|"&amp;E271&amp;"|"&amp;F271&amp;"|"&amp;I271&amp;"|"&amp;O271)</f>
        <v>G.900019.8.9090|2026|Q3|2026|Woningverkopen Q4</v>
      </c>
      <c r="T271" s="111">
        <f>IF(S271="","",IF(COUNTIFS(L_Sleutel,S271,L_Actief,1)=0,"",SUMIFS(L_Waarde,L_Sleutel,S271,L_Actief,1)))</f>
        <v>8</v>
      </c>
      <c r="U271" s="111">
        <f>IF(OR(S271="",T271=""),0,P271-T271)</f>
        <v>0</v>
      </c>
      <c r="AB271" s="112" t="n">
        <v>19</v>
      </c>
      <c r="AC271" s="112" t="n">
        <v>11</v>
      </c>
      <c r="AD271" s="112">
        <f>VERW_Project!BT24</f>
        <v>8</v>
      </c>
      <c r="AE271" s="112">
        <f>IF(AND(VERW_Project!$A24&lt;&gt;"",ISNUMBER(AD271)),1,0)</f>
        <v>1</v>
      </c>
      <c r="AF271" s="112">
        <f>IF(AE271=1,SUM($AE$8:AE271),"")</f>
        <v>264</v>
      </c>
      <c r="AG271">
        <f>IFERROR(MATCH(264,$AF$8:$AF$1407,0),"")</f>
        <v>264</v>
      </c>
    </row>
    <row r="272">
      <c r="A272" s="92" t="str">
        <f>IF($AG272="","",P_ImportID)</f>
        <v>IMP-2026-Q3-01</v>
      </c>
      <c r="B272" s="92" t="str">
        <f>IF($AG272="","",IF(INDEX($AN$8:$AN$21,INDEX($AC$8:$AC$1407,$AG272)+1)="Z",P_BronZ,P_BronE))</f>
        <v>Woningetalage_FICTIEF_20_projecten.xlsx</v>
      </c>
      <c r="C272" s="108">
        <f>IF($AG272="","",P_Importdatum)</f>
        <v>46324.0</v>
      </c>
      <c r="D272" s="92" t="str">
        <f>IF($AG272="","",P_StatusVastleg)</f>
        <v>Vastgesteld</v>
      </c>
      <c r="E272" s="92">
        <f>IF($AG272="","",P_UploadVJ)</f>
        <v>2026</v>
      </c>
      <c r="F272" s="92" t="str">
        <f>IF($AG272="","",P_UploadVersie)</f>
        <v>Q3</v>
      </c>
      <c r="G272" s="92">
        <f>IF($AG272="","",IF(COUNTIFS(L_Sleutel,$S272,L_Status,"Vastgesteld")=0,0,_xlfn.MAXIFS(L_Revisie,L_Sleutel,$S272,L_Status,"Vastgesteld")+1))</f>
        <v>1</v>
      </c>
      <c r="H272" s="108">
        <f>IF($AG272="","",P_Peildatum)</f>
        <v>46295.0</v>
      </c>
      <c r="I272" s="92">
        <f>IF($AG272="","",P_RJ+INDEX($AK$8:$AK$21,INDEX($AC$8:$AC$1407,$AG272)+1))</f>
        <v>2026</v>
      </c>
      <c r="J272" s="92" t="str">
        <f>IF($AG272="","",INDEX(V_WBS,INDEX($AB$8:$AB$1407,$AG272)))</f>
        <v>G.900019.8.9090</v>
      </c>
      <c r="K272" s="92" t="str">
        <f>IF($AG272="","",INDEX(V_Projdef,INDEX($AB$8:$AB$1407,$AG272)))</f>
        <v>G.900019</v>
      </c>
      <c r="L272" s="92" t="str">
        <f>IF($AG272="","",INDEX(V_Naam,INDEX($AB$8:$AB$1407,$AG272)))</f>
        <v>Zilverdam, Havenlicht</v>
      </c>
      <c r="M272" s="92" t="str">
        <f>IF($AG272="","",INDEX(V_Type,INDEX($AB$8:$AB$1407,$AG272)))</f>
        <v>Opstal</v>
      </c>
      <c r="N272" s="92" t="str">
        <f>IF($AG272="","",INDEX(V_IFRS,INDEX($AB$8:$AB$1407,$AG272)))</f>
        <v>J</v>
      </c>
      <c r="O272" s="92" t="str">
        <f>IF($AG272="","",INDEX($AL$8:$AL$21,INDEX($AC$8:$AC$1407,$AG272)+1))</f>
        <v>Woningverkopen actual YTD</v>
      </c>
      <c r="P272" s="109">
        <f>IF($AG272="","",INDEX($AD$8:$AD$1407,$AG272))</f>
        <v>2</v>
      </c>
      <c r="Q272" s="92" t="str">
        <f>IF($AG272="","",INDEX($AM$8:$AM$21,INDEX($AC$8:$AC$1407,$AG272)+1))</f>
        <v>aantal</v>
      </c>
      <c r="R272" s="92" t="str">
        <f>IF($AG272="","",IF($G272&gt;0,P_ToelCorrectie&amp;"",""))</f>
        <v/>
      </c>
      <c r="S272" s="15" t="str">
        <f>IF(J272="","",J272&amp;"|"&amp;E272&amp;"|"&amp;F272&amp;"|"&amp;I272&amp;"|"&amp;O272)</f>
        <v>G.900019.8.9090|2026|Q3|2026|Woningverkopen actual YTD</v>
      </c>
      <c r="T272" s="111">
        <f>IF(S272="","",IF(COUNTIFS(L_Sleutel,S272,L_Actief,1)=0,"",SUMIFS(L_Waarde,L_Sleutel,S272,L_Actief,1)))</f>
        <v>2</v>
      </c>
      <c r="U272" s="111">
        <f>IF(OR(S272="",T272=""),0,P272-T272)</f>
        <v>0</v>
      </c>
      <c r="AB272" s="112" t="n">
        <v>19</v>
      </c>
      <c r="AC272" s="112" t="n">
        <v>12</v>
      </c>
      <c r="AD272" s="112">
        <f>VERW_Project!BU24</f>
        <v>2</v>
      </c>
      <c r="AE272" s="112">
        <f>IF(AND(VERW_Project!$A24&lt;&gt;"",ISNUMBER(AD272)),1,0)</f>
        <v>1</v>
      </c>
      <c r="AF272" s="112">
        <f>IF(AE272=1,SUM($AE$8:AE272),"")</f>
        <v>265</v>
      </c>
      <c r="AG272">
        <f>IFERROR(MATCH(265,$AF$8:$AF$1407,0),"")</f>
        <v>265</v>
      </c>
    </row>
    <row r="273">
      <c r="A273" s="92" t="str">
        <f>IF($AG273="","",P_ImportID)</f>
        <v>IMP-2026-Q3-01</v>
      </c>
      <c r="B273" s="92" t="str">
        <f>IF($AG273="","",IF(INDEX($AN$8:$AN$21,INDEX($AC$8:$AC$1407,$AG273)+1)="Z",P_BronZ,P_BronE))</f>
        <v>Woningetalage_FICTIEF_20_projecten.xlsx</v>
      </c>
      <c r="C273" s="108">
        <f>IF($AG273="","",P_Importdatum)</f>
        <v>46324.0</v>
      </c>
      <c r="D273" s="92" t="str">
        <f>IF($AG273="","",P_StatusVastleg)</f>
        <v>Vastgesteld</v>
      </c>
      <c r="E273" s="92">
        <f>IF($AG273="","",P_UploadVJ)</f>
        <v>2026</v>
      </c>
      <c r="F273" s="92" t="str">
        <f>IF($AG273="","",P_UploadVersie)</f>
        <v>Q3</v>
      </c>
      <c r="G273" s="92">
        <f>IF($AG273="","",IF(COUNTIFS(L_Sleutel,$S273,L_Status,"Vastgesteld")=0,0,_xlfn.MAXIFS(L_Revisie,L_Sleutel,$S273,L_Status,"Vastgesteld")+1))</f>
        <v>0</v>
      </c>
      <c r="H273" s="108">
        <f>IF($AG273="","",P_Peildatum)</f>
        <v>46295.0</v>
      </c>
      <c r="I273" s="92">
        <f>IF($AG273="","",P_RJ+INDEX($AK$8:$AK$21,INDEX($AC$8:$AC$1407,$AG273)+1))</f>
        <v>2027</v>
      </c>
      <c r="J273" s="92" t="str">
        <f>IF($AG273="","",INDEX(V_WBS,INDEX($AB$8:$AB$1407,$AG273)))</f>
        <v>G.900019.8.9090</v>
      </c>
      <c r="K273" s="92" t="str">
        <f>IF($AG273="","",INDEX(V_Projdef,INDEX($AB$8:$AB$1407,$AG273)))</f>
        <v>G.900019</v>
      </c>
      <c r="L273" s="92" t="str">
        <f>IF($AG273="","",INDEX(V_Naam,INDEX($AB$8:$AB$1407,$AG273)))</f>
        <v>Zilverdam, Havenlicht</v>
      </c>
      <c r="M273" s="92" t="str">
        <f>IF($AG273="","",INDEX(V_Type,INDEX($AB$8:$AB$1407,$AG273)))</f>
        <v>Opstal</v>
      </c>
      <c r="N273" s="92" t="str">
        <f>IF($AG273="","",INDEX(V_IFRS,INDEX($AB$8:$AB$1407,$AG273)))</f>
        <v>J</v>
      </c>
      <c r="O273" s="92" t="str">
        <f>IF($AG273="","",INDEX($AL$8:$AL$21,INDEX($AC$8:$AC$1407,$AG273)+1))</f>
        <v>Woningverkopen FY</v>
      </c>
      <c r="P273" s="109">
        <f>IF($AG273="","",INDEX($AD$8:$AD$1407,$AG273))</f>
        <v>13</v>
      </c>
      <c r="Q273" s="92" t="str">
        <f>IF($AG273="","",INDEX($AM$8:$AM$21,INDEX($AC$8:$AC$1407,$AG273)+1))</f>
        <v>aantal</v>
      </c>
      <c r="R273" s="92" t="str">
        <f>IF($AG273="","",IF($G273&gt;0,P_ToelCorrectie&amp;"",""))</f>
        <v/>
      </c>
      <c r="S273" s="15" t="str">
        <f>IF(J273="","",J273&amp;"|"&amp;E273&amp;"|"&amp;F273&amp;"|"&amp;I273&amp;"|"&amp;O273)</f>
        <v>G.900019.8.9090|2026|Q3|2027|Woningverkopen FY</v>
      </c>
      <c r="T273" s="111" t="str">
        <f>IF(S273="","",IF(COUNTIFS(L_Sleutel,S273,L_Actief,1)=0,"",SUMIFS(L_Waarde,L_Sleutel,S273,L_Actief,1)))</f>
        <v/>
      </c>
      <c r="U273" s="111">
        <f>IF(OR(S273="",T273=""),0,P273-T273)</f>
        <v>0</v>
      </c>
      <c r="AB273" s="112" t="n">
        <v>19</v>
      </c>
      <c r="AC273" s="112" t="n">
        <v>13</v>
      </c>
      <c r="AD273" s="112">
        <f>VERW_Project!BX24</f>
        <v>13</v>
      </c>
      <c r="AE273" s="112">
        <f>IF(AND(VERW_Project!$A24&lt;&gt;"",ISNUMBER(AD273)),1,0)</f>
        <v>1</v>
      </c>
      <c r="AF273" s="112">
        <f>IF(AE273=1,SUM($AE$8:AE273),"")</f>
        <v>266</v>
      </c>
      <c r="AG273">
        <f>IFERROR(MATCH(266,$AF$8:$AF$1407,0),"")</f>
        <v>266</v>
      </c>
    </row>
    <row r="274">
      <c r="A274" s="92" t="str">
        <f>IF($AG274="","",P_ImportID)</f>
        <v>IMP-2026-Q3-01</v>
      </c>
      <c r="B274" s="92" t="str">
        <f>IF($AG274="","",IF(INDEX($AN$8:$AN$21,INDEX($AC$8:$AC$1407,$AG274)+1)="Z",P_BronZ,P_BronE))</f>
        <v>ZPMW03_FICTIEF_20_projecten.xlsx</v>
      </c>
      <c r="C274" s="108">
        <f>IF($AG274="","",P_Importdatum)</f>
        <v>46324.0</v>
      </c>
      <c r="D274" s="92" t="str">
        <f>IF($AG274="","",P_StatusVastleg)</f>
        <v>Vastgesteld</v>
      </c>
      <c r="E274" s="92">
        <f>IF($AG274="","",P_UploadVJ)</f>
        <v>2026</v>
      </c>
      <c r="F274" s="92" t="str">
        <f>IF($AG274="","",P_UploadVersie)</f>
        <v>Q3</v>
      </c>
      <c r="G274" s="92">
        <f>IF($AG274="","",IF(COUNTIFS(L_Sleutel,$S274,L_Status,"Vastgesteld")=0,0,_xlfn.MAXIFS(L_Revisie,L_Sleutel,$S274,L_Status,"Vastgesteld")+1))</f>
        <v>1</v>
      </c>
      <c r="H274" s="108">
        <f>IF($AG274="","",P_Peildatum)</f>
        <v>46295.0</v>
      </c>
      <c r="I274" s="92">
        <f>IF($AG274="","",P_RJ+INDEX($AK$8:$AK$21,INDEX($AC$8:$AC$1407,$AG274)+1))</f>
        <v>2026</v>
      </c>
      <c r="J274" s="92" t="str">
        <f>IF($AG274="","",INDEX(V_WBS,INDEX($AB$8:$AB$1407,$AG274)))</f>
        <v>G.900020.8.9090</v>
      </c>
      <c r="K274" s="92" t="str">
        <f>IF($AG274="","",INDEX(V_Projdef,INDEX($AB$8:$AB$1407,$AG274)))</f>
        <v>G.900020</v>
      </c>
      <c r="L274" s="92" t="str">
        <f>IF($AG274="","",INDEX(V_Naam,INDEX($AB$8:$AB$1407,$AG274)))</f>
        <v>Boswaard, Parkeergebouw</v>
      </c>
      <c r="M274" s="92" t="str">
        <f>IF($AG274="","",INDEX(V_Type,INDEX($AB$8:$AB$1407,$AG274)))</f>
        <v>Opstal</v>
      </c>
      <c r="N274" s="92" t="str">
        <f>IF($AG274="","",INDEX(V_IFRS,INDEX($AB$8:$AB$1407,$AG274)))</f>
        <v>J</v>
      </c>
      <c r="O274" s="92" t="str">
        <f>IF($AG274="","",INDEX($AL$8:$AL$21,INDEX($AC$8:$AC$1407,$AG274)+1))</f>
        <v>Omzet FY</v>
      </c>
      <c r="P274" s="109">
        <f>IF($AG274="","",INDEX($AD$8:$AD$1407,$AG274))</f>
        <v>240000</v>
      </c>
      <c r="Q274" s="92" t="str">
        <f>IF($AG274="","",INDEX($AM$8:$AM$21,INDEX($AC$8:$AC$1407,$AG274)+1))</f>
        <v>EUR</v>
      </c>
      <c r="R274" s="92" t="str">
        <f>IF($AG274="","",IF($G274&gt;0,P_ToelCorrectie&amp;"",""))</f>
        <v/>
      </c>
      <c r="S274" s="15" t="str">
        <f>IF(J274="","",J274&amp;"|"&amp;E274&amp;"|"&amp;F274&amp;"|"&amp;I274&amp;"|"&amp;O274)</f>
        <v>G.900020.8.9090|2026|Q3|2026|Omzet FY</v>
      </c>
      <c r="T274" s="111">
        <f>IF(S274="","",IF(COUNTIFS(L_Sleutel,S274,L_Actief,1)=0,"",SUMIFS(L_Waarde,L_Sleutel,S274,L_Actief,1)))</f>
        <v>240000</v>
      </c>
      <c r="U274" s="111">
        <f>IF(OR(S274="",T274=""),0,P274-T274)</f>
        <v>0</v>
      </c>
      <c r="AB274" s="112" t="n">
        <v>20</v>
      </c>
      <c r="AC274" s="112" t="n">
        <v>0</v>
      </c>
      <c r="AD274" s="112">
        <f>VERW_Project!P25</f>
        <v>240000</v>
      </c>
      <c r="AE274" s="112">
        <f>IF(AND(VERW_Project!$A25&lt;&gt;"",ISNUMBER(AD274)),1,0)</f>
        <v>1</v>
      </c>
      <c r="AF274" s="112">
        <f>IF(AE274=1,SUM($AE$8:AE274),"")</f>
        <v>267</v>
      </c>
      <c r="AG274">
        <f>IFERROR(MATCH(267,$AF$8:$AF$1407,0),"")</f>
        <v>267</v>
      </c>
    </row>
    <row r="275">
      <c r="A275" s="92" t="str">
        <f>IF($AG275="","",P_ImportID)</f>
        <v>IMP-2026-Q3-01</v>
      </c>
      <c r="B275" s="92" t="str">
        <f>IF($AG275="","",IF(INDEX($AN$8:$AN$21,INDEX($AC$8:$AC$1407,$AG275)+1)="Z",P_BronZ,P_BronE))</f>
        <v>ZPMW03_FICTIEF_20_projecten.xlsx</v>
      </c>
      <c r="C275" s="108">
        <f>IF($AG275="","",P_Importdatum)</f>
        <v>46324.0</v>
      </c>
      <c r="D275" s="92" t="str">
        <f>IF($AG275="","",P_StatusVastleg)</f>
        <v>Vastgesteld</v>
      </c>
      <c r="E275" s="92">
        <f>IF($AG275="","",P_UploadVJ)</f>
        <v>2026</v>
      </c>
      <c r="F275" s="92" t="str">
        <f>IF($AG275="","",P_UploadVersie)</f>
        <v>Q3</v>
      </c>
      <c r="G275" s="92">
        <f>IF($AG275="","",IF(COUNTIFS(L_Sleutel,$S275,L_Status,"Vastgesteld")=0,0,_xlfn.MAXIFS(L_Revisie,L_Sleutel,$S275,L_Status,"Vastgesteld")+1))</f>
        <v>1</v>
      </c>
      <c r="H275" s="108">
        <f>IF($AG275="","",P_Peildatum)</f>
        <v>46295.0</v>
      </c>
      <c r="I275" s="92">
        <f>IF($AG275="","",P_RJ+INDEX($AK$8:$AK$21,INDEX($AC$8:$AC$1407,$AG275)+1))</f>
        <v>2026</v>
      </c>
      <c r="J275" s="92" t="str">
        <f>IF($AG275="","",INDEX(V_WBS,INDEX($AB$8:$AB$1407,$AG275)))</f>
        <v>G.900020.8.9090</v>
      </c>
      <c r="K275" s="92" t="str">
        <f>IF($AG275="","",INDEX(V_Projdef,INDEX($AB$8:$AB$1407,$AG275)))</f>
        <v>G.900020</v>
      </c>
      <c r="L275" s="92" t="str">
        <f>IF($AG275="","",INDEX(V_Naam,INDEX($AB$8:$AB$1407,$AG275)))</f>
        <v>Boswaard, Parkeergebouw</v>
      </c>
      <c r="M275" s="92" t="str">
        <f>IF($AG275="","",INDEX(V_Type,INDEX($AB$8:$AB$1407,$AG275)))</f>
        <v>Opstal</v>
      </c>
      <c r="N275" s="92" t="str">
        <f>IF($AG275="","",INDEX(V_IFRS,INDEX($AB$8:$AB$1407,$AG275)))</f>
        <v>J</v>
      </c>
      <c r="O275" s="92" t="str">
        <f>IF($AG275="","",INDEX($AL$8:$AL$21,INDEX($AC$8:$AC$1407,$AG275)+1))</f>
        <v>BOR FY</v>
      </c>
      <c r="P275" s="109">
        <f>IF($AG275="","",INDEX($AD$8:$AD$1407,$AG275))</f>
        <v>31200</v>
      </c>
      <c r="Q275" s="92" t="str">
        <f>IF($AG275="","",INDEX($AM$8:$AM$21,INDEX($AC$8:$AC$1407,$AG275)+1))</f>
        <v>EUR</v>
      </c>
      <c r="R275" s="92" t="str">
        <f>IF($AG275="","",IF($G275&gt;0,P_ToelCorrectie&amp;"",""))</f>
        <v/>
      </c>
      <c r="S275" s="15" t="str">
        <f>IF(J275="","",J275&amp;"|"&amp;E275&amp;"|"&amp;F275&amp;"|"&amp;I275&amp;"|"&amp;O275)</f>
        <v>G.900020.8.9090|2026|Q3|2026|BOR FY</v>
      </c>
      <c r="T275" s="111">
        <f>IF(S275="","",IF(COUNTIFS(L_Sleutel,S275,L_Actief,1)=0,"",SUMIFS(L_Waarde,L_Sleutel,S275,L_Actief,1)))</f>
        <v>31200</v>
      </c>
      <c r="U275" s="111">
        <f>IF(OR(S275="",T275=""),0,P275-T275)</f>
        <v>0</v>
      </c>
      <c r="AB275" s="112" t="n">
        <v>20</v>
      </c>
      <c r="AC275" s="112" t="n">
        <v>1</v>
      </c>
      <c r="AD275" s="112">
        <f>VERW_Project!Q25</f>
        <v>31200</v>
      </c>
      <c r="AE275" s="112">
        <f>IF(AND(VERW_Project!$A25&lt;&gt;"",ISNUMBER(AD275)),1,0)</f>
        <v>1</v>
      </c>
      <c r="AF275" s="112">
        <f>IF(AE275=1,SUM($AE$8:AE275),"")</f>
        <v>268</v>
      </c>
      <c r="AG275">
        <f>IFERROR(MATCH(268,$AF$8:$AF$1407,0),"")</f>
        <v>268</v>
      </c>
    </row>
    <row r="276">
      <c r="A276" s="92" t="str">
        <f>IF($AG276="","",P_ImportID)</f>
        <v>IMP-2026-Q3-01</v>
      </c>
      <c r="B276" s="92" t="str">
        <f>IF($AG276="","",IF(INDEX($AN$8:$AN$21,INDEX($AC$8:$AC$1407,$AG276)+1)="Z",P_BronZ,P_BronE))</f>
        <v>ZPMW03_FICTIEF_20_projecten.xlsx</v>
      </c>
      <c r="C276" s="108">
        <f>IF($AG276="","",P_Importdatum)</f>
        <v>46324.0</v>
      </c>
      <c r="D276" s="92" t="str">
        <f>IF($AG276="","",P_StatusVastleg)</f>
        <v>Vastgesteld</v>
      </c>
      <c r="E276" s="92">
        <f>IF($AG276="","",P_UploadVJ)</f>
        <v>2026</v>
      </c>
      <c r="F276" s="92" t="str">
        <f>IF($AG276="","",P_UploadVersie)</f>
        <v>Q3</v>
      </c>
      <c r="G276" s="92">
        <f>IF($AG276="","",IF(COUNTIFS(L_Sleutel,$S276,L_Status,"Vastgesteld")=0,0,_xlfn.MAXIFS(L_Revisie,L_Sleutel,$S276,L_Status,"Vastgesteld")+1))</f>
        <v>1</v>
      </c>
      <c r="H276" s="108">
        <f>IF($AG276="","",P_Peildatum)</f>
        <v>46295.0</v>
      </c>
      <c r="I276" s="92">
        <f>IF($AG276="","",P_RJ+INDEX($AK$8:$AK$21,INDEX($AC$8:$AC$1407,$AG276)+1))</f>
        <v>2026</v>
      </c>
      <c r="J276" s="92" t="str">
        <f>IF($AG276="","",INDEX(V_WBS,INDEX($AB$8:$AB$1407,$AG276)))</f>
        <v>G.900020.8.9090</v>
      </c>
      <c r="K276" s="92" t="str">
        <f>IF($AG276="","",INDEX(V_Projdef,INDEX($AB$8:$AB$1407,$AG276)))</f>
        <v>G.900020</v>
      </c>
      <c r="L276" s="92" t="str">
        <f>IF($AG276="","",INDEX(V_Naam,INDEX($AB$8:$AB$1407,$AG276)))</f>
        <v>Boswaard, Parkeergebouw</v>
      </c>
      <c r="M276" s="92" t="str">
        <f>IF($AG276="","",INDEX(V_Type,INDEX($AB$8:$AB$1407,$AG276)))</f>
        <v>Opstal</v>
      </c>
      <c r="N276" s="92" t="str">
        <f>IF($AG276="","",INDEX(V_IFRS,INDEX($AB$8:$AB$1407,$AG276)))</f>
        <v>J</v>
      </c>
      <c r="O276" s="92" t="str">
        <f>IF($AG276="","",INDEX($AL$8:$AL$21,INDEX($AC$8:$AC$1407,$AG276)+1))</f>
        <v>Omzet actual YTD</v>
      </c>
      <c r="P276" s="109">
        <f>IF($AG276="","",INDEX($AD$8:$AD$1407,$AG276))</f>
        <v>156000</v>
      </c>
      <c r="Q276" s="92" t="str">
        <f>IF($AG276="","",INDEX($AM$8:$AM$21,INDEX($AC$8:$AC$1407,$AG276)+1))</f>
        <v>EUR</v>
      </c>
      <c r="R276" s="92" t="str">
        <f>IF($AG276="","",IF($G276&gt;0,P_ToelCorrectie&amp;"",""))</f>
        <v/>
      </c>
      <c r="S276" s="15" t="str">
        <f>IF(J276="","",J276&amp;"|"&amp;E276&amp;"|"&amp;F276&amp;"|"&amp;I276&amp;"|"&amp;O276)</f>
        <v>G.900020.8.9090|2026|Q3|2026|Omzet actual YTD</v>
      </c>
      <c r="T276" s="111">
        <f>IF(S276="","",IF(COUNTIFS(L_Sleutel,S276,L_Actief,1)=0,"",SUMIFS(L_Waarde,L_Sleutel,S276,L_Actief,1)))</f>
        <v>156000</v>
      </c>
      <c r="U276" s="111">
        <f>IF(OR(S276="",T276=""),0,P276-T276)</f>
        <v>0</v>
      </c>
      <c r="AB276" s="112" t="n">
        <v>20</v>
      </c>
      <c r="AC276" s="112" t="n">
        <v>2</v>
      </c>
      <c r="AD276" s="112">
        <f>VERW_Project!L25</f>
        <v>156000</v>
      </c>
      <c r="AE276" s="112">
        <f>IF(AND(VERW_Project!$A25&lt;&gt;"",ISNUMBER(AD276)),1,0)</f>
        <v>1</v>
      </c>
      <c r="AF276" s="112">
        <f>IF(AE276=1,SUM($AE$8:AE276),"")</f>
        <v>269</v>
      </c>
      <c r="AG276">
        <f>IFERROR(MATCH(269,$AF$8:$AF$1407,0),"")</f>
        <v>269</v>
      </c>
    </row>
    <row r="277">
      <c r="A277" s="92" t="str">
        <f>IF($AG277="","",P_ImportID)</f>
        <v>IMP-2026-Q3-01</v>
      </c>
      <c r="B277" s="92" t="str">
        <f>IF($AG277="","",IF(INDEX($AN$8:$AN$21,INDEX($AC$8:$AC$1407,$AG277)+1)="Z",P_BronZ,P_BronE))</f>
        <v>ZPMW03_FICTIEF_20_projecten.xlsx</v>
      </c>
      <c r="C277" s="108">
        <f>IF($AG277="","",P_Importdatum)</f>
        <v>46324.0</v>
      </c>
      <c r="D277" s="92" t="str">
        <f>IF($AG277="","",P_StatusVastleg)</f>
        <v>Vastgesteld</v>
      </c>
      <c r="E277" s="92">
        <f>IF($AG277="","",P_UploadVJ)</f>
        <v>2026</v>
      </c>
      <c r="F277" s="92" t="str">
        <f>IF($AG277="","",P_UploadVersie)</f>
        <v>Q3</v>
      </c>
      <c r="G277" s="92">
        <f>IF($AG277="","",IF(COUNTIFS(L_Sleutel,$S277,L_Status,"Vastgesteld")=0,0,_xlfn.MAXIFS(L_Revisie,L_Sleutel,$S277,L_Status,"Vastgesteld")+1))</f>
        <v>1</v>
      </c>
      <c r="H277" s="108">
        <f>IF($AG277="","",P_Peildatum)</f>
        <v>46295.0</v>
      </c>
      <c r="I277" s="92">
        <f>IF($AG277="","",P_RJ+INDEX($AK$8:$AK$21,INDEX($AC$8:$AC$1407,$AG277)+1))</f>
        <v>2026</v>
      </c>
      <c r="J277" s="92" t="str">
        <f>IF($AG277="","",INDEX(V_WBS,INDEX($AB$8:$AB$1407,$AG277)))</f>
        <v>G.900020.8.9090</v>
      </c>
      <c r="K277" s="92" t="str">
        <f>IF($AG277="","",INDEX(V_Projdef,INDEX($AB$8:$AB$1407,$AG277)))</f>
        <v>G.900020</v>
      </c>
      <c r="L277" s="92" t="str">
        <f>IF($AG277="","",INDEX(V_Naam,INDEX($AB$8:$AB$1407,$AG277)))</f>
        <v>Boswaard, Parkeergebouw</v>
      </c>
      <c r="M277" s="92" t="str">
        <f>IF($AG277="","",INDEX(V_Type,INDEX($AB$8:$AB$1407,$AG277)))</f>
        <v>Opstal</v>
      </c>
      <c r="N277" s="92" t="str">
        <f>IF($AG277="","",INDEX(V_IFRS,INDEX($AB$8:$AB$1407,$AG277)))</f>
        <v>J</v>
      </c>
      <c r="O277" s="92" t="str">
        <f>IF($AG277="","",INDEX($AL$8:$AL$21,INDEX($AC$8:$AC$1407,$AG277)+1))</f>
        <v>BOR actual YTD</v>
      </c>
      <c r="P277" s="109">
        <f>IF($AG277="","",INDEX($AD$8:$AD$1407,$AG277))</f>
        <v>20280</v>
      </c>
      <c r="Q277" s="92" t="str">
        <f>IF($AG277="","",INDEX($AM$8:$AM$21,INDEX($AC$8:$AC$1407,$AG277)+1))</f>
        <v>EUR</v>
      </c>
      <c r="R277" s="92" t="str">
        <f>IF($AG277="","",IF($G277&gt;0,P_ToelCorrectie&amp;"",""))</f>
        <v/>
      </c>
      <c r="S277" s="15" t="str">
        <f>IF(J277="","",J277&amp;"|"&amp;E277&amp;"|"&amp;F277&amp;"|"&amp;I277&amp;"|"&amp;O277)</f>
        <v>G.900020.8.9090|2026|Q3|2026|BOR actual YTD</v>
      </c>
      <c r="T277" s="111">
        <f>IF(S277="","",IF(COUNTIFS(L_Sleutel,S277,L_Actief,1)=0,"",SUMIFS(L_Waarde,L_Sleutel,S277,L_Actief,1)))</f>
        <v>20280</v>
      </c>
      <c r="U277" s="111">
        <f>IF(OR(S277="",T277=""),0,P277-T277)</f>
        <v>0</v>
      </c>
      <c r="AB277" s="112" t="n">
        <v>20</v>
      </c>
      <c r="AC277" s="112" t="n">
        <v>3</v>
      </c>
      <c r="AD277" s="112">
        <f>VERW_Project!M25</f>
        <v>20280</v>
      </c>
      <c r="AE277" s="112">
        <f>IF(AND(VERW_Project!$A25&lt;&gt;"",ISNUMBER(AD277)),1,0)</f>
        <v>1</v>
      </c>
      <c r="AF277" s="112">
        <f>IF(AE277=1,SUM($AE$8:AE277),"")</f>
        <v>270</v>
      </c>
      <c r="AG277">
        <f>IFERROR(MATCH(270,$AF$8:$AF$1407,0),"")</f>
        <v>270</v>
      </c>
    </row>
    <row r="278">
      <c r="A278" s="92" t="str">
        <f>IF($AG278="","",P_ImportID)</f>
        <v>IMP-2026-Q3-01</v>
      </c>
      <c r="B278" s="92" t="str">
        <f>IF($AG278="","",IF(INDEX($AN$8:$AN$21,INDEX($AC$8:$AC$1407,$AG278)+1)="Z",P_BronZ,P_BronE))</f>
        <v>ZPMW03_FICTIEF_20_projecten.xlsx</v>
      </c>
      <c r="C278" s="108">
        <f>IF($AG278="","",P_Importdatum)</f>
        <v>46324.0</v>
      </c>
      <c r="D278" s="92" t="str">
        <f>IF($AG278="","",P_StatusVastleg)</f>
        <v>Vastgesteld</v>
      </c>
      <c r="E278" s="92">
        <f>IF($AG278="","",P_UploadVJ)</f>
        <v>2026</v>
      </c>
      <c r="F278" s="92" t="str">
        <f>IF($AG278="","",P_UploadVersie)</f>
        <v>Q3</v>
      </c>
      <c r="G278" s="92">
        <f>IF($AG278="","",IF(COUNTIFS(L_Sleutel,$S278,L_Status,"Vastgesteld")=0,0,_xlfn.MAXIFS(L_Revisie,L_Sleutel,$S278,L_Status,"Vastgesteld")+1))</f>
        <v>1</v>
      </c>
      <c r="H278" s="108">
        <f>IF($AG278="","",P_Peildatum)</f>
        <v>46295.0</v>
      </c>
      <c r="I278" s="92">
        <f>IF($AG278="","",P_RJ+INDEX($AK$8:$AK$21,INDEX($AC$8:$AC$1407,$AG278)+1))</f>
        <v>2027</v>
      </c>
      <c r="J278" s="92" t="str">
        <f>IF($AG278="","",INDEX(V_WBS,INDEX($AB$8:$AB$1407,$AG278)))</f>
        <v>G.900020.8.9090</v>
      </c>
      <c r="K278" s="92" t="str">
        <f>IF($AG278="","",INDEX(V_Projdef,INDEX($AB$8:$AB$1407,$AG278)))</f>
        <v>G.900020</v>
      </c>
      <c r="L278" s="92" t="str">
        <f>IF($AG278="","",INDEX(V_Naam,INDEX($AB$8:$AB$1407,$AG278)))</f>
        <v>Boswaard, Parkeergebouw</v>
      </c>
      <c r="M278" s="92" t="str">
        <f>IF($AG278="","",INDEX(V_Type,INDEX($AB$8:$AB$1407,$AG278)))</f>
        <v>Opstal</v>
      </c>
      <c r="N278" s="92" t="str">
        <f>IF($AG278="","",INDEX(V_IFRS,INDEX($AB$8:$AB$1407,$AG278)))</f>
        <v>J</v>
      </c>
      <c r="O278" s="92" t="str">
        <f>IF($AG278="","",INDEX($AL$8:$AL$21,INDEX($AC$8:$AC$1407,$AG278)+1))</f>
        <v>Omzet FY</v>
      </c>
      <c r="P278" s="109">
        <f>IF($AG278="","",INDEX($AD$8:$AD$1407,$AG278))</f>
        <v>1404000</v>
      </c>
      <c r="Q278" s="92" t="str">
        <f>IF($AG278="","",INDEX($AM$8:$AM$21,INDEX($AC$8:$AC$1407,$AG278)+1))</f>
        <v>EUR</v>
      </c>
      <c r="R278" s="92" t="str">
        <f>IF($AG278="","",IF($G278&gt;0,P_ToelCorrectie&amp;"",""))</f>
        <v/>
      </c>
      <c r="S278" s="15" t="str">
        <f>IF(J278="","",J278&amp;"|"&amp;E278&amp;"|"&amp;F278&amp;"|"&amp;I278&amp;"|"&amp;O278)</f>
        <v>G.900020.8.9090|2026|Q3|2027|Omzet FY</v>
      </c>
      <c r="T278" s="111">
        <f>IF(S278="","",IF(COUNTIFS(L_Sleutel,S278,L_Actief,1)=0,"",SUMIFS(L_Waarde,L_Sleutel,S278,L_Actief,1)))</f>
        <v>1404000</v>
      </c>
      <c r="U278" s="111">
        <f>IF(OR(S278="",T278=""),0,P278-T278)</f>
        <v>0</v>
      </c>
      <c r="AB278" s="112" t="n">
        <v>20</v>
      </c>
      <c r="AC278" s="112" t="n">
        <v>4</v>
      </c>
      <c r="AD278" s="112">
        <f>VERW_Project!R25</f>
        <v>1404000</v>
      </c>
      <c r="AE278" s="112">
        <f>IF(AND(VERW_Project!$A25&lt;&gt;"",ISNUMBER(AD278)),1,0)</f>
        <v>1</v>
      </c>
      <c r="AF278" s="112">
        <f>IF(AE278=1,SUM($AE$8:AE278),"")</f>
        <v>271</v>
      </c>
      <c r="AG278">
        <f>IFERROR(MATCH(271,$AF$8:$AF$1407,0),"")</f>
        <v>271</v>
      </c>
    </row>
    <row r="279">
      <c r="A279" s="92" t="str">
        <f>IF($AG279="","",P_ImportID)</f>
        <v>IMP-2026-Q3-01</v>
      </c>
      <c r="B279" s="92" t="str">
        <f>IF($AG279="","",IF(INDEX($AN$8:$AN$21,INDEX($AC$8:$AC$1407,$AG279)+1)="Z",P_BronZ,P_BronE))</f>
        <v>ZPMW03_FICTIEF_20_projecten.xlsx</v>
      </c>
      <c r="C279" s="108">
        <f>IF($AG279="","",P_Importdatum)</f>
        <v>46324.0</v>
      </c>
      <c r="D279" s="92" t="str">
        <f>IF($AG279="","",P_StatusVastleg)</f>
        <v>Vastgesteld</v>
      </c>
      <c r="E279" s="92">
        <f>IF($AG279="","",P_UploadVJ)</f>
        <v>2026</v>
      </c>
      <c r="F279" s="92" t="str">
        <f>IF($AG279="","",P_UploadVersie)</f>
        <v>Q3</v>
      </c>
      <c r="G279" s="92">
        <f>IF($AG279="","",IF(COUNTIFS(L_Sleutel,$S279,L_Status,"Vastgesteld")=0,0,_xlfn.MAXIFS(L_Revisie,L_Sleutel,$S279,L_Status,"Vastgesteld")+1))</f>
        <v>1</v>
      </c>
      <c r="H279" s="108">
        <f>IF($AG279="","",P_Peildatum)</f>
        <v>46295.0</v>
      </c>
      <c r="I279" s="92">
        <f>IF($AG279="","",P_RJ+INDEX($AK$8:$AK$21,INDEX($AC$8:$AC$1407,$AG279)+1))</f>
        <v>2027</v>
      </c>
      <c r="J279" s="92" t="str">
        <f>IF($AG279="","",INDEX(V_WBS,INDEX($AB$8:$AB$1407,$AG279)))</f>
        <v>G.900020.8.9090</v>
      </c>
      <c r="K279" s="92" t="str">
        <f>IF($AG279="","",INDEX(V_Projdef,INDEX($AB$8:$AB$1407,$AG279)))</f>
        <v>G.900020</v>
      </c>
      <c r="L279" s="92" t="str">
        <f>IF($AG279="","",INDEX(V_Naam,INDEX($AB$8:$AB$1407,$AG279)))</f>
        <v>Boswaard, Parkeergebouw</v>
      </c>
      <c r="M279" s="92" t="str">
        <f>IF($AG279="","",INDEX(V_Type,INDEX($AB$8:$AB$1407,$AG279)))</f>
        <v>Opstal</v>
      </c>
      <c r="N279" s="92" t="str">
        <f>IF($AG279="","",INDEX(V_IFRS,INDEX($AB$8:$AB$1407,$AG279)))</f>
        <v>J</v>
      </c>
      <c r="O279" s="92" t="str">
        <f>IF($AG279="","",INDEX($AL$8:$AL$21,INDEX($AC$8:$AC$1407,$AG279)+1))</f>
        <v>BOR FY</v>
      </c>
      <c r="P279" s="109">
        <f>IF($AG279="","",INDEX($AD$8:$AD$1407,$AG279))</f>
        <v>182520</v>
      </c>
      <c r="Q279" s="92" t="str">
        <f>IF($AG279="","",INDEX($AM$8:$AM$21,INDEX($AC$8:$AC$1407,$AG279)+1))</f>
        <v>EUR</v>
      </c>
      <c r="R279" s="92" t="str">
        <f>IF($AG279="","",IF($G279&gt;0,P_ToelCorrectie&amp;"",""))</f>
        <v/>
      </c>
      <c r="S279" s="15" t="str">
        <f>IF(J279="","",J279&amp;"|"&amp;E279&amp;"|"&amp;F279&amp;"|"&amp;I279&amp;"|"&amp;O279)</f>
        <v>G.900020.8.9090|2026|Q3|2027|BOR FY</v>
      </c>
      <c r="T279" s="111">
        <f>IF(S279="","",IF(COUNTIFS(L_Sleutel,S279,L_Actief,1)=0,"",SUMIFS(L_Waarde,L_Sleutel,S279,L_Actief,1)))</f>
        <v>182520</v>
      </c>
      <c r="U279" s="111">
        <f>IF(OR(S279="",T279=""),0,P279-T279)</f>
        <v>0</v>
      </c>
      <c r="AB279" s="112" t="n">
        <v>20</v>
      </c>
      <c r="AC279" s="112" t="n">
        <v>5</v>
      </c>
      <c r="AD279" s="112">
        <f>VERW_Project!S25</f>
        <v>182520</v>
      </c>
      <c r="AE279" s="112">
        <f>IF(AND(VERW_Project!$A25&lt;&gt;"",ISNUMBER(AD279)),1,0)</f>
        <v>1</v>
      </c>
      <c r="AF279" s="112">
        <f>IF(AE279=1,SUM($AE$8:AE279),"")</f>
        <v>272</v>
      </c>
      <c r="AG279">
        <f>IFERROR(MATCH(272,$AF$8:$AF$1407,0),"")</f>
        <v>272</v>
      </c>
    </row>
    <row r="280">
      <c r="A280" s="92" t="str">
        <f>IF($AG280="","",P_ImportID)</f>
        <v>IMP-2026-Q3-01</v>
      </c>
      <c r="B280" s="92" t="str">
        <f>IF($AG280="","",IF(INDEX($AN$8:$AN$21,INDEX($AC$8:$AC$1407,$AG280)+1)="Z",P_BronZ,P_BronE))</f>
        <v>Woningetalage_FICTIEF_20_projecten.xlsx</v>
      </c>
      <c r="C280" s="108">
        <f>IF($AG280="","",P_Importdatum)</f>
        <v>46324.0</v>
      </c>
      <c r="D280" s="92" t="str">
        <f>IF($AG280="","",P_StatusVastleg)</f>
        <v>Vastgesteld</v>
      </c>
      <c r="E280" s="92">
        <f>IF($AG280="","",P_UploadVJ)</f>
        <v>2026</v>
      </c>
      <c r="F280" s="92" t="str">
        <f>IF($AG280="","",P_UploadVersie)</f>
        <v>Q3</v>
      </c>
      <c r="G280" s="92">
        <f>IF($AG280="","",IF(COUNTIFS(L_Sleutel,$S280,L_Status,"Vastgesteld")=0,0,_xlfn.MAXIFS(L_Revisie,L_Sleutel,$S280,L_Status,"Vastgesteld")+1))</f>
        <v>1</v>
      </c>
      <c r="H280" s="108">
        <f>IF($AG280="","",P_Peildatum)</f>
        <v>46295.0</v>
      </c>
      <c r="I280" s="92">
        <f>IF($AG280="","",P_RJ+INDEX($AK$8:$AK$21,INDEX($AC$8:$AC$1407,$AG280)+1))</f>
        <v>2026</v>
      </c>
      <c r="J280" s="92" t="str">
        <f>IF($AG280="","",INDEX(V_WBS,INDEX($AB$8:$AB$1407,$AG280)))</f>
        <v>G.900020.8.9090</v>
      </c>
      <c r="K280" s="92" t="str">
        <f>IF($AG280="","",INDEX(V_Projdef,INDEX($AB$8:$AB$1407,$AG280)))</f>
        <v>G.900020</v>
      </c>
      <c r="L280" s="92" t="str">
        <f>IF($AG280="","",INDEX(V_Naam,INDEX($AB$8:$AB$1407,$AG280)))</f>
        <v>Boswaard, Parkeergebouw</v>
      </c>
      <c r="M280" s="92" t="str">
        <f>IF($AG280="","",INDEX(V_Type,INDEX($AB$8:$AB$1407,$AG280)))</f>
        <v>Opstal</v>
      </c>
      <c r="N280" s="92" t="str">
        <f>IF($AG280="","",INDEX(V_IFRS,INDEX($AB$8:$AB$1407,$AG280)))</f>
        <v>J</v>
      </c>
      <c r="O280" s="92" t="str">
        <f>IF($AG280="","",INDEX($AL$8:$AL$21,INDEX($AC$8:$AC$1407,$AG280)+1))</f>
        <v>Woningverkopen FY</v>
      </c>
      <c r="P280" s="109">
        <f>IF($AG280="","",INDEX($AD$8:$AD$1407,$AG280))</f>
        <v>0</v>
      </c>
      <c r="Q280" s="92" t="str">
        <f>IF($AG280="","",INDEX($AM$8:$AM$21,INDEX($AC$8:$AC$1407,$AG280)+1))</f>
        <v>aantal</v>
      </c>
      <c r="R280" s="92" t="str">
        <f>IF($AG280="","",IF($G280&gt;0,P_ToelCorrectie&amp;"",""))</f>
        <v/>
      </c>
      <c r="S280" s="15" t="str">
        <f>IF(J280="","",J280&amp;"|"&amp;E280&amp;"|"&amp;F280&amp;"|"&amp;I280&amp;"|"&amp;O280)</f>
        <v>G.900020.8.9090|2026|Q3|2026|Woningverkopen FY</v>
      </c>
      <c r="T280" s="111">
        <f>IF(S280="","",IF(COUNTIFS(L_Sleutel,S280,L_Actief,1)=0,"",SUMIFS(L_Waarde,L_Sleutel,S280,L_Actief,1)))</f>
        <v>0</v>
      </c>
      <c r="U280" s="111">
        <f>IF(OR(S280="",T280=""),0,P280-T280)</f>
        <v>0</v>
      </c>
      <c r="AB280" s="112" t="n">
        <v>20</v>
      </c>
      <c r="AC280" s="112" t="n">
        <v>6</v>
      </c>
      <c r="AD280" s="112">
        <f>VERW_Project!BW25</f>
        <v>0</v>
      </c>
      <c r="AE280" s="112">
        <f>IF(AND(VERW_Project!$A25&lt;&gt;"",ISNUMBER(AD280)),1,0)</f>
        <v>1</v>
      </c>
      <c r="AF280" s="112">
        <f>IF(AE280=1,SUM($AE$8:AE280),"")</f>
        <v>273</v>
      </c>
      <c r="AG280">
        <f>IFERROR(MATCH(273,$AF$8:$AF$1407,0),"")</f>
        <v>273</v>
      </c>
    </row>
    <row r="281">
      <c r="A281" s="92" t="str">
        <f>IF($AG281="","",P_ImportID)</f>
        <v>IMP-2026-Q3-01</v>
      </c>
      <c r="B281" s="92" t="str">
        <f>IF($AG281="","",IF(INDEX($AN$8:$AN$21,INDEX($AC$8:$AC$1407,$AG281)+1)="Z",P_BronZ,P_BronE))</f>
        <v>Woningetalage_FICTIEF_20_projecten.xlsx</v>
      </c>
      <c r="C281" s="108">
        <f>IF($AG281="","",P_Importdatum)</f>
        <v>46324.0</v>
      </c>
      <c r="D281" s="92" t="str">
        <f>IF($AG281="","",P_StatusVastleg)</f>
        <v>Vastgesteld</v>
      </c>
      <c r="E281" s="92">
        <f>IF($AG281="","",P_UploadVJ)</f>
        <v>2026</v>
      </c>
      <c r="F281" s="92" t="str">
        <f>IF($AG281="","",P_UploadVersie)</f>
        <v>Q3</v>
      </c>
      <c r="G281" s="92">
        <f>IF($AG281="","",IF(COUNTIFS(L_Sleutel,$S281,L_Status,"Vastgesteld")=0,0,_xlfn.MAXIFS(L_Revisie,L_Sleutel,$S281,L_Status,"Vastgesteld")+1))</f>
        <v>1</v>
      </c>
      <c r="H281" s="108">
        <f>IF($AG281="","",P_Peildatum)</f>
        <v>46295.0</v>
      </c>
      <c r="I281" s="92">
        <f>IF($AG281="","",P_RJ+INDEX($AK$8:$AK$21,INDEX($AC$8:$AC$1407,$AG281)+1))</f>
        <v>2026</v>
      </c>
      <c r="J281" s="92" t="str">
        <f>IF($AG281="","",INDEX(V_WBS,INDEX($AB$8:$AB$1407,$AG281)))</f>
        <v>G.900020.8.9090</v>
      </c>
      <c r="K281" s="92" t="str">
        <f>IF($AG281="","",INDEX(V_Projdef,INDEX($AB$8:$AB$1407,$AG281)))</f>
        <v>G.900020</v>
      </c>
      <c r="L281" s="92" t="str">
        <f>IF($AG281="","",INDEX(V_Naam,INDEX($AB$8:$AB$1407,$AG281)))</f>
        <v>Boswaard, Parkeergebouw</v>
      </c>
      <c r="M281" s="92" t="str">
        <f>IF($AG281="","",INDEX(V_Type,INDEX($AB$8:$AB$1407,$AG281)))</f>
        <v>Opstal</v>
      </c>
      <c r="N281" s="92" t="str">
        <f>IF($AG281="","",INDEX(V_IFRS,INDEX($AB$8:$AB$1407,$AG281)))</f>
        <v>J</v>
      </c>
      <c r="O281" s="92" t="str">
        <f>IF($AG281="","",INDEX($AL$8:$AL$21,INDEX($AC$8:$AC$1407,$AG281)+1))</f>
        <v>Woningen verkocht t/m vorig jaar</v>
      </c>
      <c r="P281" s="109">
        <f>IF($AG281="","",INDEX($AD$8:$AD$1407,$AG281))</f>
        <v>0</v>
      </c>
      <c r="Q281" s="92" t="str">
        <f>IF($AG281="","",INDEX($AM$8:$AM$21,INDEX($AC$8:$AC$1407,$AG281)+1))</f>
        <v>aantal</v>
      </c>
      <c r="R281" s="92" t="str">
        <f>IF($AG281="","",IF($G281&gt;0,P_ToelCorrectie&amp;"",""))</f>
        <v/>
      </c>
      <c r="S281" s="15" t="str">
        <f>IF(J281="","",J281&amp;"|"&amp;E281&amp;"|"&amp;F281&amp;"|"&amp;I281&amp;"|"&amp;O281)</f>
        <v>G.900020.8.9090|2026|Q3|2026|Woningen verkocht t/m vorig jaar</v>
      </c>
      <c r="T281" s="111">
        <f>IF(S281="","",IF(COUNTIFS(L_Sleutel,S281,L_Actief,1)=0,"",SUMIFS(L_Waarde,L_Sleutel,S281,L_Actief,1)))</f>
        <v>0</v>
      </c>
      <c r="U281" s="111">
        <f>IF(OR(S281="",T281=""),0,P281-T281)</f>
        <v>0</v>
      </c>
      <c r="AB281" s="112" t="n">
        <v>20</v>
      </c>
      <c r="AC281" s="112" t="n">
        <v>7</v>
      </c>
      <c r="AD281" s="112">
        <f>VERW_Project!AW25</f>
        <v>0</v>
      </c>
      <c r="AE281" s="112">
        <f>IF(AND(VERW_Project!$A25&lt;&gt;"",ISNUMBER(AD281)),1,0)</f>
        <v>1</v>
      </c>
      <c r="AF281" s="112">
        <f>IF(AE281=1,SUM($AE$8:AE281),"")</f>
        <v>274</v>
      </c>
      <c r="AG281">
        <f>IFERROR(MATCH(274,$AF$8:$AF$1407,0),"")</f>
        <v>274</v>
      </c>
    </row>
    <row r="282">
      <c r="A282" s="92" t="str">
        <f>IF($AG282="","",P_ImportID)</f>
        <v>IMP-2026-Q3-01</v>
      </c>
      <c r="B282" s="92" t="str">
        <f>IF($AG282="","",IF(INDEX($AN$8:$AN$21,INDEX($AC$8:$AC$1407,$AG282)+1)="Z",P_BronZ,P_BronE))</f>
        <v>Woningetalage_FICTIEF_20_projecten.xlsx</v>
      </c>
      <c r="C282" s="108">
        <f>IF($AG282="","",P_Importdatum)</f>
        <v>46324.0</v>
      </c>
      <c r="D282" s="92" t="str">
        <f>IF($AG282="","",P_StatusVastleg)</f>
        <v>Vastgesteld</v>
      </c>
      <c r="E282" s="92">
        <f>IF($AG282="","",P_UploadVJ)</f>
        <v>2026</v>
      </c>
      <c r="F282" s="92" t="str">
        <f>IF($AG282="","",P_UploadVersie)</f>
        <v>Q3</v>
      </c>
      <c r="G282" s="92">
        <f>IF($AG282="","",IF(COUNTIFS(L_Sleutel,$S282,L_Status,"Vastgesteld")=0,0,_xlfn.MAXIFS(L_Revisie,L_Sleutel,$S282,L_Status,"Vastgesteld")+1))</f>
        <v>1</v>
      </c>
      <c r="H282" s="108">
        <f>IF($AG282="","",P_Peildatum)</f>
        <v>46295.0</v>
      </c>
      <c r="I282" s="92">
        <f>IF($AG282="","",P_RJ+INDEX($AK$8:$AK$21,INDEX($AC$8:$AC$1407,$AG282)+1))</f>
        <v>2026</v>
      </c>
      <c r="J282" s="92" t="str">
        <f>IF($AG282="","",INDEX(V_WBS,INDEX($AB$8:$AB$1407,$AG282)))</f>
        <v>G.900020.8.9090</v>
      </c>
      <c r="K282" s="92" t="str">
        <f>IF($AG282="","",INDEX(V_Projdef,INDEX($AB$8:$AB$1407,$AG282)))</f>
        <v>G.900020</v>
      </c>
      <c r="L282" s="92" t="str">
        <f>IF($AG282="","",INDEX(V_Naam,INDEX($AB$8:$AB$1407,$AG282)))</f>
        <v>Boswaard, Parkeergebouw</v>
      </c>
      <c r="M282" s="92" t="str">
        <f>IF($AG282="","",INDEX(V_Type,INDEX($AB$8:$AB$1407,$AG282)))</f>
        <v>Opstal</v>
      </c>
      <c r="N282" s="92" t="str">
        <f>IF($AG282="","",INDEX(V_IFRS,INDEX($AB$8:$AB$1407,$AG282)))</f>
        <v>J</v>
      </c>
      <c r="O282" s="92" t="str">
        <f>IF($AG282="","",INDEX($AL$8:$AL$21,INDEX($AC$8:$AC$1407,$AG282)+1))</f>
        <v>Woningverkopen Q1</v>
      </c>
      <c r="P282" s="109">
        <f>IF($AG282="","",INDEX($AD$8:$AD$1407,$AG282))</f>
        <v>0</v>
      </c>
      <c r="Q282" s="92" t="str">
        <f>IF($AG282="","",INDEX($AM$8:$AM$21,INDEX($AC$8:$AC$1407,$AG282)+1))</f>
        <v>aantal</v>
      </c>
      <c r="R282" s="92" t="str">
        <f>IF($AG282="","",IF($G282&gt;0,P_ToelCorrectie&amp;"",""))</f>
        <v/>
      </c>
      <c r="S282" s="15" t="str">
        <f>IF(J282="","",J282&amp;"|"&amp;E282&amp;"|"&amp;F282&amp;"|"&amp;I282&amp;"|"&amp;O282)</f>
        <v>G.900020.8.9090|2026|Q3|2026|Woningverkopen Q1</v>
      </c>
      <c r="T282" s="111">
        <f>IF(S282="","",IF(COUNTIFS(L_Sleutel,S282,L_Actief,1)=0,"",SUMIFS(L_Waarde,L_Sleutel,S282,L_Actief,1)))</f>
        <v>0</v>
      </c>
      <c r="U282" s="111">
        <f>IF(OR(S282="",T282=""),0,P282-T282)</f>
        <v>0</v>
      </c>
      <c r="AB282" s="112" t="n">
        <v>20</v>
      </c>
      <c r="AC282" s="112" t="n">
        <v>8</v>
      </c>
      <c r="AD282" s="112">
        <f>VERW_Project!BQ25</f>
        <v>0</v>
      </c>
      <c r="AE282" s="112">
        <f>IF(AND(VERW_Project!$A25&lt;&gt;"",ISNUMBER(AD282)),1,0)</f>
        <v>1</v>
      </c>
      <c r="AF282" s="112">
        <f>IF(AE282=1,SUM($AE$8:AE282),"")</f>
        <v>275</v>
      </c>
      <c r="AG282">
        <f>IFERROR(MATCH(275,$AF$8:$AF$1407,0),"")</f>
        <v>275</v>
      </c>
    </row>
    <row r="283">
      <c r="A283" s="92" t="str">
        <f>IF($AG283="","",P_ImportID)</f>
        <v>IMP-2026-Q3-01</v>
      </c>
      <c r="B283" s="92" t="str">
        <f>IF($AG283="","",IF(INDEX($AN$8:$AN$21,INDEX($AC$8:$AC$1407,$AG283)+1)="Z",P_BronZ,P_BronE))</f>
        <v>Woningetalage_FICTIEF_20_projecten.xlsx</v>
      </c>
      <c r="C283" s="108">
        <f>IF($AG283="","",P_Importdatum)</f>
        <v>46324.0</v>
      </c>
      <c r="D283" s="92" t="str">
        <f>IF($AG283="","",P_StatusVastleg)</f>
        <v>Vastgesteld</v>
      </c>
      <c r="E283" s="92">
        <f>IF($AG283="","",P_UploadVJ)</f>
        <v>2026</v>
      </c>
      <c r="F283" s="92" t="str">
        <f>IF($AG283="","",P_UploadVersie)</f>
        <v>Q3</v>
      </c>
      <c r="G283" s="92">
        <f>IF($AG283="","",IF(COUNTIFS(L_Sleutel,$S283,L_Status,"Vastgesteld")=0,0,_xlfn.MAXIFS(L_Revisie,L_Sleutel,$S283,L_Status,"Vastgesteld")+1))</f>
        <v>1</v>
      </c>
      <c r="H283" s="108">
        <f>IF($AG283="","",P_Peildatum)</f>
        <v>46295.0</v>
      </c>
      <c r="I283" s="92">
        <f>IF($AG283="","",P_RJ+INDEX($AK$8:$AK$21,INDEX($AC$8:$AC$1407,$AG283)+1))</f>
        <v>2026</v>
      </c>
      <c r="J283" s="92" t="str">
        <f>IF($AG283="","",INDEX(V_WBS,INDEX($AB$8:$AB$1407,$AG283)))</f>
        <v>G.900020.8.9090</v>
      </c>
      <c r="K283" s="92" t="str">
        <f>IF($AG283="","",INDEX(V_Projdef,INDEX($AB$8:$AB$1407,$AG283)))</f>
        <v>G.900020</v>
      </c>
      <c r="L283" s="92" t="str">
        <f>IF($AG283="","",INDEX(V_Naam,INDEX($AB$8:$AB$1407,$AG283)))</f>
        <v>Boswaard, Parkeergebouw</v>
      </c>
      <c r="M283" s="92" t="str">
        <f>IF($AG283="","",INDEX(V_Type,INDEX($AB$8:$AB$1407,$AG283)))</f>
        <v>Opstal</v>
      </c>
      <c r="N283" s="92" t="str">
        <f>IF($AG283="","",INDEX(V_IFRS,INDEX($AB$8:$AB$1407,$AG283)))</f>
        <v>J</v>
      </c>
      <c r="O283" s="92" t="str">
        <f>IF($AG283="","",INDEX($AL$8:$AL$21,INDEX($AC$8:$AC$1407,$AG283)+1))</f>
        <v>Woningverkopen Q2</v>
      </c>
      <c r="P283" s="109">
        <f>IF($AG283="","",INDEX($AD$8:$AD$1407,$AG283))</f>
        <v>0</v>
      </c>
      <c r="Q283" s="92" t="str">
        <f>IF($AG283="","",INDEX($AM$8:$AM$21,INDEX($AC$8:$AC$1407,$AG283)+1))</f>
        <v>aantal</v>
      </c>
      <c r="R283" s="92" t="str">
        <f>IF($AG283="","",IF($G283&gt;0,P_ToelCorrectie&amp;"",""))</f>
        <v/>
      </c>
      <c r="S283" s="15" t="str">
        <f>IF(J283="","",J283&amp;"|"&amp;E283&amp;"|"&amp;F283&amp;"|"&amp;I283&amp;"|"&amp;O283)</f>
        <v>G.900020.8.9090|2026|Q3|2026|Woningverkopen Q2</v>
      </c>
      <c r="T283" s="111">
        <f>IF(S283="","",IF(COUNTIFS(L_Sleutel,S283,L_Actief,1)=0,"",SUMIFS(L_Waarde,L_Sleutel,S283,L_Actief,1)))</f>
        <v>0</v>
      </c>
      <c r="U283" s="111">
        <f>IF(OR(S283="",T283=""),0,P283-T283)</f>
        <v>0</v>
      </c>
      <c r="AB283" s="112" t="n">
        <v>20</v>
      </c>
      <c r="AC283" s="112" t="n">
        <v>9</v>
      </c>
      <c r="AD283" s="112">
        <f>VERW_Project!BR25</f>
        <v>0</v>
      </c>
      <c r="AE283" s="112">
        <f>IF(AND(VERW_Project!$A25&lt;&gt;"",ISNUMBER(AD283)),1,0)</f>
        <v>1</v>
      </c>
      <c r="AF283" s="112">
        <f>IF(AE283=1,SUM($AE$8:AE283),"")</f>
        <v>276</v>
      </c>
      <c r="AG283">
        <f>IFERROR(MATCH(276,$AF$8:$AF$1407,0),"")</f>
        <v>276</v>
      </c>
    </row>
    <row r="284">
      <c r="A284" s="92" t="str">
        <f>IF($AG284="","",P_ImportID)</f>
        <v>IMP-2026-Q3-01</v>
      </c>
      <c r="B284" s="92" t="str">
        <f>IF($AG284="","",IF(INDEX($AN$8:$AN$21,INDEX($AC$8:$AC$1407,$AG284)+1)="Z",P_BronZ,P_BronE))</f>
        <v>Woningetalage_FICTIEF_20_projecten.xlsx</v>
      </c>
      <c r="C284" s="108">
        <f>IF($AG284="","",P_Importdatum)</f>
        <v>46324.0</v>
      </c>
      <c r="D284" s="92" t="str">
        <f>IF($AG284="","",P_StatusVastleg)</f>
        <v>Vastgesteld</v>
      </c>
      <c r="E284" s="92">
        <f>IF($AG284="","",P_UploadVJ)</f>
        <v>2026</v>
      </c>
      <c r="F284" s="92" t="str">
        <f>IF($AG284="","",P_UploadVersie)</f>
        <v>Q3</v>
      </c>
      <c r="G284" s="92">
        <f>IF($AG284="","",IF(COUNTIFS(L_Sleutel,$S284,L_Status,"Vastgesteld")=0,0,_xlfn.MAXIFS(L_Revisie,L_Sleutel,$S284,L_Status,"Vastgesteld")+1))</f>
        <v>1</v>
      </c>
      <c r="H284" s="108">
        <f>IF($AG284="","",P_Peildatum)</f>
        <v>46295.0</v>
      </c>
      <c r="I284" s="92">
        <f>IF($AG284="","",P_RJ+INDEX($AK$8:$AK$21,INDEX($AC$8:$AC$1407,$AG284)+1))</f>
        <v>2026</v>
      </c>
      <c r="J284" s="92" t="str">
        <f>IF($AG284="","",INDEX(V_WBS,INDEX($AB$8:$AB$1407,$AG284)))</f>
        <v>G.900020.8.9090</v>
      </c>
      <c r="K284" s="92" t="str">
        <f>IF($AG284="","",INDEX(V_Projdef,INDEX($AB$8:$AB$1407,$AG284)))</f>
        <v>G.900020</v>
      </c>
      <c r="L284" s="92" t="str">
        <f>IF($AG284="","",INDEX(V_Naam,INDEX($AB$8:$AB$1407,$AG284)))</f>
        <v>Boswaard, Parkeergebouw</v>
      </c>
      <c r="M284" s="92" t="str">
        <f>IF($AG284="","",INDEX(V_Type,INDEX($AB$8:$AB$1407,$AG284)))</f>
        <v>Opstal</v>
      </c>
      <c r="N284" s="92" t="str">
        <f>IF($AG284="","",INDEX(V_IFRS,INDEX($AB$8:$AB$1407,$AG284)))</f>
        <v>J</v>
      </c>
      <c r="O284" s="92" t="str">
        <f>IF($AG284="","",INDEX($AL$8:$AL$21,INDEX($AC$8:$AC$1407,$AG284)+1))</f>
        <v>Woningverkopen Q3</v>
      </c>
      <c r="P284" s="109">
        <f>IF($AG284="","",INDEX($AD$8:$AD$1407,$AG284))</f>
        <v>0</v>
      </c>
      <c r="Q284" s="92" t="str">
        <f>IF($AG284="","",INDEX($AM$8:$AM$21,INDEX($AC$8:$AC$1407,$AG284)+1))</f>
        <v>aantal</v>
      </c>
      <c r="R284" s="92" t="str">
        <f>IF($AG284="","",IF($G284&gt;0,P_ToelCorrectie&amp;"",""))</f>
        <v/>
      </c>
      <c r="S284" s="15" t="str">
        <f>IF(J284="","",J284&amp;"|"&amp;E284&amp;"|"&amp;F284&amp;"|"&amp;I284&amp;"|"&amp;O284)</f>
        <v>G.900020.8.9090|2026|Q3|2026|Woningverkopen Q3</v>
      </c>
      <c r="T284" s="111">
        <f>IF(S284="","",IF(COUNTIFS(L_Sleutel,S284,L_Actief,1)=0,"",SUMIFS(L_Waarde,L_Sleutel,S284,L_Actief,1)))</f>
        <v>0</v>
      </c>
      <c r="U284" s="111">
        <f>IF(OR(S284="",T284=""),0,P284-T284)</f>
        <v>0</v>
      </c>
      <c r="AB284" s="112" t="n">
        <v>20</v>
      </c>
      <c r="AC284" s="112" t="n">
        <v>10</v>
      </c>
      <c r="AD284" s="112">
        <f>VERW_Project!BS25</f>
        <v>0</v>
      </c>
      <c r="AE284" s="112">
        <f>IF(AND(VERW_Project!$A25&lt;&gt;"",ISNUMBER(AD284)),1,0)</f>
        <v>1</v>
      </c>
      <c r="AF284" s="112">
        <f>IF(AE284=1,SUM($AE$8:AE284),"")</f>
        <v>277</v>
      </c>
      <c r="AG284">
        <f>IFERROR(MATCH(277,$AF$8:$AF$1407,0),"")</f>
        <v>277</v>
      </c>
    </row>
    <row r="285">
      <c r="A285" s="92" t="str">
        <f>IF($AG285="","",P_ImportID)</f>
        <v>IMP-2026-Q3-01</v>
      </c>
      <c r="B285" s="92" t="str">
        <f>IF($AG285="","",IF(INDEX($AN$8:$AN$21,INDEX($AC$8:$AC$1407,$AG285)+1)="Z",P_BronZ,P_BronE))</f>
        <v>Woningetalage_FICTIEF_20_projecten.xlsx</v>
      </c>
      <c r="C285" s="108">
        <f>IF($AG285="","",P_Importdatum)</f>
        <v>46324.0</v>
      </c>
      <c r="D285" s="92" t="str">
        <f>IF($AG285="","",P_StatusVastleg)</f>
        <v>Vastgesteld</v>
      </c>
      <c r="E285" s="92">
        <f>IF($AG285="","",P_UploadVJ)</f>
        <v>2026</v>
      </c>
      <c r="F285" s="92" t="str">
        <f>IF($AG285="","",P_UploadVersie)</f>
        <v>Q3</v>
      </c>
      <c r="G285" s="92">
        <f>IF($AG285="","",IF(COUNTIFS(L_Sleutel,$S285,L_Status,"Vastgesteld")=0,0,_xlfn.MAXIFS(L_Revisie,L_Sleutel,$S285,L_Status,"Vastgesteld")+1))</f>
        <v>1</v>
      </c>
      <c r="H285" s="108">
        <f>IF($AG285="","",P_Peildatum)</f>
        <v>46295.0</v>
      </c>
      <c r="I285" s="92">
        <f>IF($AG285="","",P_RJ+INDEX($AK$8:$AK$21,INDEX($AC$8:$AC$1407,$AG285)+1))</f>
        <v>2026</v>
      </c>
      <c r="J285" s="92" t="str">
        <f>IF($AG285="","",INDEX(V_WBS,INDEX($AB$8:$AB$1407,$AG285)))</f>
        <v>G.900020.8.9090</v>
      </c>
      <c r="K285" s="92" t="str">
        <f>IF($AG285="","",INDEX(V_Projdef,INDEX($AB$8:$AB$1407,$AG285)))</f>
        <v>G.900020</v>
      </c>
      <c r="L285" s="92" t="str">
        <f>IF($AG285="","",INDEX(V_Naam,INDEX($AB$8:$AB$1407,$AG285)))</f>
        <v>Boswaard, Parkeergebouw</v>
      </c>
      <c r="M285" s="92" t="str">
        <f>IF($AG285="","",INDEX(V_Type,INDEX($AB$8:$AB$1407,$AG285)))</f>
        <v>Opstal</v>
      </c>
      <c r="N285" s="92" t="str">
        <f>IF($AG285="","",INDEX(V_IFRS,INDEX($AB$8:$AB$1407,$AG285)))</f>
        <v>J</v>
      </c>
      <c r="O285" s="92" t="str">
        <f>IF($AG285="","",INDEX($AL$8:$AL$21,INDEX($AC$8:$AC$1407,$AG285)+1))</f>
        <v>Woningverkopen Q4</v>
      </c>
      <c r="P285" s="109">
        <f>IF($AG285="","",INDEX($AD$8:$AD$1407,$AG285))</f>
        <v>0</v>
      </c>
      <c r="Q285" s="92" t="str">
        <f>IF($AG285="","",INDEX($AM$8:$AM$21,INDEX($AC$8:$AC$1407,$AG285)+1))</f>
        <v>aantal</v>
      </c>
      <c r="R285" s="92" t="str">
        <f>IF($AG285="","",IF($G285&gt;0,P_ToelCorrectie&amp;"",""))</f>
        <v/>
      </c>
      <c r="S285" s="15" t="str">
        <f>IF(J285="","",J285&amp;"|"&amp;E285&amp;"|"&amp;F285&amp;"|"&amp;I285&amp;"|"&amp;O285)</f>
        <v>G.900020.8.9090|2026|Q3|2026|Woningverkopen Q4</v>
      </c>
      <c r="T285" s="111">
        <f>IF(S285="","",IF(COUNTIFS(L_Sleutel,S285,L_Actief,1)=0,"",SUMIFS(L_Waarde,L_Sleutel,S285,L_Actief,1)))</f>
        <v>0</v>
      </c>
      <c r="U285" s="111">
        <f>IF(OR(S285="",T285=""),0,P285-T285)</f>
        <v>0</v>
      </c>
      <c r="AB285" s="112" t="n">
        <v>20</v>
      </c>
      <c r="AC285" s="112" t="n">
        <v>11</v>
      </c>
      <c r="AD285" s="112">
        <f>VERW_Project!BT25</f>
        <v>0</v>
      </c>
      <c r="AE285" s="112">
        <f>IF(AND(VERW_Project!$A25&lt;&gt;"",ISNUMBER(AD285)),1,0)</f>
        <v>1</v>
      </c>
      <c r="AF285" s="112">
        <f>IF(AE285=1,SUM($AE$8:AE285),"")</f>
        <v>278</v>
      </c>
      <c r="AG285">
        <f>IFERROR(MATCH(278,$AF$8:$AF$1407,0),"")</f>
        <v>278</v>
      </c>
    </row>
    <row r="286">
      <c r="A286" s="92" t="str">
        <f>IF($AG286="","",P_ImportID)</f>
        <v>IMP-2026-Q3-01</v>
      </c>
      <c r="B286" s="92" t="str">
        <f>IF($AG286="","",IF(INDEX($AN$8:$AN$21,INDEX($AC$8:$AC$1407,$AG286)+1)="Z",P_BronZ,P_BronE))</f>
        <v>Woningetalage_FICTIEF_20_projecten.xlsx</v>
      </c>
      <c r="C286" s="108">
        <f>IF($AG286="","",P_Importdatum)</f>
        <v>46324.0</v>
      </c>
      <c r="D286" s="92" t="str">
        <f>IF($AG286="","",P_StatusVastleg)</f>
        <v>Vastgesteld</v>
      </c>
      <c r="E286" s="92">
        <f>IF($AG286="","",P_UploadVJ)</f>
        <v>2026</v>
      </c>
      <c r="F286" s="92" t="str">
        <f>IF($AG286="","",P_UploadVersie)</f>
        <v>Q3</v>
      </c>
      <c r="G286" s="92">
        <f>IF($AG286="","",IF(COUNTIFS(L_Sleutel,$S286,L_Status,"Vastgesteld")=0,0,_xlfn.MAXIFS(L_Revisie,L_Sleutel,$S286,L_Status,"Vastgesteld")+1))</f>
        <v>1</v>
      </c>
      <c r="H286" s="108">
        <f>IF($AG286="","",P_Peildatum)</f>
        <v>46295.0</v>
      </c>
      <c r="I286" s="92">
        <f>IF($AG286="","",P_RJ+INDEX($AK$8:$AK$21,INDEX($AC$8:$AC$1407,$AG286)+1))</f>
        <v>2026</v>
      </c>
      <c r="J286" s="92" t="str">
        <f>IF($AG286="","",INDEX(V_WBS,INDEX($AB$8:$AB$1407,$AG286)))</f>
        <v>G.900020.8.9090</v>
      </c>
      <c r="K286" s="92" t="str">
        <f>IF($AG286="","",INDEX(V_Projdef,INDEX($AB$8:$AB$1407,$AG286)))</f>
        <v>G.900020</v>
      </c>
      <c r="L286" s="92" t="str">
        <f>IF($AG286="","",INDEX(V_Naam,INDEX($AB$8:$AB$1407,$AG286)))</f>
        <v>Boswaard, Parkeergebouw</v>
      </c>
      <c r="M286" s="92" t="str">
        <f>IF($AG286="","",INDEX(V_Type,INDEX($AB$8:$AB$1407,$AG286)))</f>
        <v>Opstal</v>
      </c>
      <c r="N286" s="92" t="str">
        <f>IF($AG286="","",INDEX(V_IFRS,INDEX($AB$8:$AB$1407,$AG286)))</f>
        <v>J</v>
      </c>
      <c r="O286" s="92" t="str">
        <f>IF($AG286="","",INDEX($AL$8:$AL$21,INDEX($AC$8:$AC$1407,$AG286)+1))</f>
        <v>Woningverkopen actual YTD</v>
      </c>
      <c r="P286" s="109">
        <f>IF($AG286="","",INDEX($AD$8:$AD$1407,$AG286))</f>
        <v>0</v>
      </c>
      <c r="Q286" s="92" t="str">
        <f>IF($AG286="","",INDEX($AM$8:$AM$21,INDEX($AC$8:$AC$1407,$AG286)+1))</f>
        <v>aantal</v>
      </c>
      <c r="R286" s="92" t="str">
        <f>IF($AG286="","",IF($G286&gt;0,P_ToelCorrectie&amp;"",""))</f>
        <v/>
      </c>
      <c r="S286" s="15" t="str">
        <f>IF(J286="","",J286&amp;"|"&amp;E286&amp;"|"&amp;F286&amp;"|"&amp;I286&amp;"|"&amp;O286)</f>
        <v>G.900020.8.9090|2026|Q3|2026|Woningverkopen actual YTD</v>
      </c>
      <c r="T286" s="111">
        <f>IF(S286="","",IF(COUNTIFS(L_Sleutel,S286,L_Actief,1)=0,"",SUMIFS(L_Waarde,L_Sleutel,S286,L_Actief,1)))</f>
        <v>0</v>
      </c>
      <c r="U286" s="111">
        <f>IF(OR(S286="",T286=""),0,P286-T286)</f>
        <v>0</v>
      </c>
      <c r="AB286" s="112" t="n">
        <v>20</v>
      </c>
      <c r="AC286" s="112" t="n">
        <v>12</v>
      </c>
      <c r="AD286" s="112">
        <f>VERW_Project!BU25</f>
        <v>0</v>
      </c>
      <c r="AE286" s="112">
        <f>IF(AND(VERW_Project!$A25&lt;&gt;"",ISNUMBER(AD286)),1,0)</f>
        <v>1</v>
      </c>
      <c r="AF286" s="112">
        <f>IF(AE286=1,SUM($AE$8:AE286),"")</f>
        <v>279</v>
      </c>
      <c r="AG286">
        <f>IFERROR(MATCH(279,$AF$8:$AF$1407,0),"")</f>
        <v>279</v>
      </c>
    </row>
    <row r="287">
      <c r="A287" s="92" t="str">
        <f>IF($AG287="","",P_ImportID)</f>
        <v>IMP-2026-Q3-01</v>
      </c>
      <c r="B287" s="92" t="str">
        <f>IF($AG287="","",IF(INDEX($AN$8:$AN$21,INDEX($AC$8:$AC$1407,$AG287)+1)="Z",P_BronZ,P_BronE))</f>
        <v>Woningetalage_FICTIEF_20_projecten.xlsx</v>
      </c>
      <c r="C287" s="108">
        <f>IF($AG287="","",P_Importdatum)</f>
        <v>46324.0</v>
      </c>
      <c r="D287" s="92" t="str">
        <f>IF($AG287="","",P_StatusVastleg)</f>
        <v>Vastgesteld</v>
      </c>
      <c r="E287" s="92">
        <f>IF($AG287="","",P_UploadVJ)</f>
        <v>2026</v>
      </c>
      <c r="F287" s="92" t="str">
        <f>IF($AG287="","",P_UploadVersie)</f>
        <v>Q3</v>
      </c>
      <c r="G287" s="92">
        <f>IF($AG287="","",IF(COUNTIFS(L_Sleutel,$S287,L_Status,"Vastgesteld")=0,0,_xlfn.MAXIFS(L_Revisie,L_Sleutel,$S287,L_Status,"Vastgesteld")+1))</f>
        <v>0</v>
      </c>
      <c r="H287" s="108">
        <f>IF($AG287="","",P_Peildatum)</f>
        <v>46295.0</v>
      </c>
      <c r="I287" s="92">
        <f>IF($AG287="","",P_RJ+INDEX($AK$8:$AK$21,INDEX($AC$8:$AC$1407,$AG287)+1))</f>
        <v>2027</v>
      </c>
      <c r="J287" s="92" t="str">
        <f>IF($AG287="","",INDEX(V_WBS,INDEX($AB$8:$AB$1407,$AG287)))</f>
        <v>G.900020.8.9090</v>
      </c>
      <c r="K287" s="92" t="str">
        <f>IF($AG287="","",INDEX(V_Projdef,INDEX($AB$8:$AB$1407,$AG287)))</f>
        <v>G.900020</v>
      </c>
      <c r="L287" s="92" t="str">
        <f>IF($AG287="","",INDEX(V_Naam,INDEX($AB$8:$AB$1407,$AG287)))</f>
        <v>Boswaard, Parkeergebouw</v>
      </c>
      <c r="M287" s="92" t="str">
        <f>IF($AG287="","",INDEX(V_Type,INDEX($AB$8:$AB$1407,$AG287)))</f>
        <v>Opstal</v>
      </c>
      <c r="N287" s="92" t="str">
        <f>IF($AG287="","",INDEX(V_IFRS,INDEX($AB$8:$AB$1407,$AG287)))</f>
        <v>J</v>
      </c>
      <c r="O287" s="92" t="str">
        <f>IF($AG287="","",INDEX($AL$8:$AL$21,INDEX($AC$8:$AC$1407,$AG287)+1))</f>
        <v>Woningverkopen FY</v>
      </c>
      <c r="P287" s="109">
        <f>IF($AG287="","",INDEX($AD$8:$AD$1407,$AG287))</f>
        <v>0</v>
      </c>
      <c r="Q287" s="92" t="str">
        <f>IF($AG287="","",INDEX($AM$8:$AM$21,INDEX($AC$8:$AC$1407,$AG287)+1))</f>
        <v>aantal</v>
      </c>
      <c r="R287" s="92" t="str">
        <f>IF($AG287="","",IF($G287&gt;0,P_ToelCorrectie&amp;"",""))</f>
        <v/>
      </c>
      <c r="S287" s="15" t="str">
        <f>IF(J287="","",J287&amp;"|"&amp;E287&amp;"|"&amp;F287&amp;"|"&amp;I287&amp;"|"&amp;O287)</f>
        <v>G.900020.8.9090|2026|Q3|2027|Woningverkopen FY</v>
      </c>
      <c r="T287" s="111" t="str">
        <f>IF(S287="","",IF(COUNTIFS(L_Sleutel,S287,L_Actief,1)=0,"",SUMIFS(L_Waarde,L_Sleutel,S287,L_Actief,1)))</f>
        <v/>
      </c>
      <c r="U287" s="111">
        <f>IF(OR(S287="",T287=""),0,P287-T287)</f>
        <v>0</v>
      </c>
      <c r="AB287" s="112" t="n">
        <v>20</v>
      </c>
      <c r="AC287" s="112" t="n">
        <v>13</v>
      </c>
      <c r="AD287" s="112">
        <f>VERW_Project!BX25</f>
        <v>0</v>
      </c>
      <c r="AE287" s="112">
        <f>IF(AND(VERW_Project!$A25&lt;&gt;"",ISNUMBER(AD287)),1,0)</f>
        <v>1</v>
      </c>
      <c r="AF287" s="112">
        <f>IF(AE287=1,SUM($AE$8:AE287),"")</f>
        <v>280</v>
      </c>
      <c r="AG287">
        <f>IFERROR(MATCH(280,$AF$8:$AF$1407,0),"")</f>
        <v>280</v>
      </c>
    </row>
    <row r="288">
      <c r="A288" s="92" t="str">
        <f>IF($AG288="","",P_ImportID)</f>
        <v/>
      </c>
      <c r="B288" s="92" t="str">
        <f>IF($AG288="","",IF(INDEX($AN$8:$AN$21,INDEX($AC$8:$AC$1407,$AG288)+1)="Z",P_BronZ,P_BronE))</f>
        <v/>
      </c>
      <c r="C288" s="108" t="str">
        <f>IF($AG288="","",P_Importdatum)</f>
        <v/>
      </c>
      <c r="D288" s="92" t="str">
        <f>IF($AG288="","",P_StatusVastleg)</f>
        <v/>
      </c>
      <c r="E288" s="92" t="str">
        <f>IF($AG288="","",P_UploadVJ)</f>
        <v/>
      </c>
      <c r="F288" s="92" t="str">
        <f>IF($AG288="","",P_UploadVersie)</f>
        <v/>
      </c>
      <c r="G288" s="92" t="str">
        <f>IF($AG288="","",IF(COUNTIFS(L_Sleutel,$S288,L_Status,"Vastgesteld")=0,0,_xlfn.MAXIFS(L_Revisie,L_Sleutel,$S288,L_Status,"Vastgesteld")+1))</f>
        <v/>
      </c>
      <c r="H288" s="108" t="str">
        <f>IF($AG288="","",P_Peildatum)</f>
        <v/>
      </c>
      <c r="I288" s="92" t="str">
        <f>IF($AG288="","",P_RJ+INDEX($AK$8:$AK$21,INDEX($AC$8:$AC$1407,$AG288)+1))</f>
        <v/>
      </c>
      <c r="J288" s="92" t="str">
        <f>IF($AG288="","",INDEX(V_WBS,INDEX($AB$8:$AB$1407,$AG288)))</f>
        <v/>
      </c>
      <c r="K288" s="92" t="str">
        <f>IF($AG288="","",INDEX(V_Projdef,INDEX($AB$8:$AB$1407,$AG288)))</f>
        <v/>
      </c>
      <c r="L288" s="92" t="str">
        <f>IF($AG288="","",INDEX(V_Naam,INDEX($AB$8:$AB$1407,$AG288)))</f>
        <v/>
      </c>
      <c r="M288" s="92" t="str">
        <f>IF($AG288="","",INDEX(V_Type,INDEX($AB$8:$AB$1407,$AG288)))</f>
        <v/>
      </c>
      <c r="N288" s="92" t="str">
        <f>IF($AG288="","",INDEX(V_IFRS,INDEX($AB$8:$AB$1407,$AG288)))</f>
        <v/>
      </c>
      <c r="O288" s="92" t="str">
        <f>IF($AG288="","",INDEX($AL$8:$AL$21,INDEX($AC$8:$AC$1407,$AG288)+1))</f>
        <v/>
      </c>
      <c r="P288" s="109" t="str">
        <f>IF($AG288="","",INDEX($AD$8:$AD$1407,$AG288))</f>
        <v/>
      </c>
      <c r="Q288" s="92" t="str">
        <f>IF($AG288="","",INDEX($AM$8:$AM$21,INDEX($AC$8:$AC$1407,$AG288)+1))</f>
        <v/>
      </c>
      <c r="R288" s="92" t="str">
        <f>IF($AG288="","",IF($G288&gt;0,P_ToelCorrectie&amp;"",""))</f>
        <v/>
      </c>
      <c r="S288" s="15" t="str">
        <f>IF(J288="","",J288&amp;"|"&amp;E288&amp;"|"&amp;F288&amp;"|"&amp;I288&amp;"|"&amp;O288)</f>
        <v/>
      </c>
      <c r="T288" s="111" t="str">
        <f>IF(S288="","",IF(COUNTIFS(L_Sleutel,S288,L_Actief,1)=0,"",SUMIFS(L_Waarde,L_Sleutel,S288,L_Actief,1)))</f>
        <v/>
      </c>
      <c r="U288" s="111">
        <f>IF(OR(S288="",T288=""),0,P288-T288)</f>
        <v>0</v>
      </c>
      <c r="AB288" s="112" t="n">
        <v>21</v>
      </c>
      <c r="AC288" s="112" t="n">
        <v>0</v>
      </c>
      <c r="AD288" s="112" t="str">
        <f>VERW_Project!P26</f>
        <v/>
      </c>
      <c r="AE288" s="112">
        <f>IF(AND(VERW_Project!$A26&lt;&gt;"",ISNUMBER(AD288)),1,0)</f>
        <v>0</v>
      </c>
      <c r="AF288" s="112" t="str">
        <f>IF(AE288=1,SUM($AE$8:AE288),"")</f>
        <v/>
      </c>
      <c r="AG288" t="str">
        <f>IFERROR(MATCH(281,$AF$8:$AF$1407,0),"")</f>
        <v/>
      </c>
    </row>
    <row r="289">
      <c r="A289" s="92" t="str">
        <f>IF($AG289="","",P_ImportID)</f>
        <v/>
      </c>
      <c r="B289" s="92" t="str">
        <f>IF($AG289="","",IF(INDEX($AN$8:$AN$21,INDEX($AC$8:$AC$1407,$AG289)+1)="Z",P_BronZ,P_BronE))</f>
        <v/>
      </c>
      <c r="C289" s="108" t="str">
        <f>IF($AG289="","",P_Importdatum)</f>
        <v/>
      </c>
      <c r="D289" s="92" t="str">
        <f>IF($AG289="","",P_StatusVastleg)</f>
        <v/>
      </c>
      <c r="E289" s="92" t="str">
        <f>IF($AG289="","",P_UploadVJ)</f>
        <v/>
      </c>
      <c r="F289" s="92" t="str">
        <f>IF($AG289="","",P_UploadVersie)</f>
        <v/>
      </c>
      <c r="G289" s="92" t="str">
        <f>IF($AG289="","",IF(COUNTIFS(L_Sleutel,$S289,L_Status,"Vastgesteld")=0,0,_xlfn.MAXIFS(L_Revisie,L_Sleutel,$S289,L_Status,"Vastgesteld")+1))</f>
        <v/>
      </c>
      <c r="H289" s="108" t="str">
        <f>IF($AG289="","",P_Peildatum)</f>
        <v/>
      </c>
      <c r="I289" s="92" t="str">
        <f>IF($AG289="","",P_RJ+INDEX($AK$8:$AK$21,INDEX($AC$8:$AC$1407,$AG289)+1))</f>
        <v/>
      </c>
      <c r="J289" s="92" t="str">
        <f>IF($AG289="","",INDEX(V_WBS,INDEX($AB$8:$AB$1407,$AG289)))</f>
        <v/>
      </c>
      <c r="K289" s="92" t="str">
        <f>IF($AG289="","",INDEX(V_Projdef,INDEX($AB$8:$AB$1407,$AG289)))</f>
        <v/>
      </c>
      <c r="L289" s="92" t="str">
        <f>IF($AG289="","",INDEX(V_Naam,INDEX($AB$8:$AB$1407,$AG289)))</f>
        <v/>
      </c>
      <c r="M289" s="92" t="str">
        <f>IF($AG289="","",INDEX(V_Type,INDEX($AB$8:$AB$1407,$AG289)))</f>
        <v/>
      </c>
      <c r="N289" s="92" t="str">
        <f>IF($AG289="","",INDEX(V_IFRS,INDEX($AB$8:$AB$1407,$AG289)))</f>
        <v/>
      </c>
      <c r="O289" s="92" t="str">
        <f>IF($AG289="","",INDEX($AL$8:$AL$21,INDEX($AC$8:$AC$1407,$AG289)+1))</f>
        <v/>
      </c>
      <c r="P289" s="109" t="str">
        <f>IF($AG289="","",INDEX($AD$8:$AD$1407,$AG289))</f>
        <v/>
      </c>
      <c r="Q289" s="92" t="str">
        <f>IF($AG289="","",INDEX($AM$8:$AM$21,INDEX($AC$8:$AC$1407,$AG289)+1))</f>
        <v/>
      </c>
      <c r="R289" s="92" t="str">
        <f>IF($AG289="","",IF($G289&gt;0,P_ToelCorrectie&amp;"",""))</f>
        <v/>
      </c>
      <c r="S289" s="15" t="str">
        <f>IF(J289="","",J289&amp;"|"&amp;E289&amp;"|"&amp;F289&amp;"|"&amp;I289&amp;"|"&amp;O289)</f>
        <v/>
      </c>
      <c r="T289" s="111" t="str">
        <f>IF(S289="","",IF(COUNTIFS(L_Sleutel,S289,L_Actief,1)=0,"",SUMIFS(L_Waarde,L_Sleutel,S289,L_Actief,1)))</f>
        <v/>
      </c>
      <c r="U289" s="111">
        <f>IF(OR(S289="",T289=""),0,P289-T289)</f>
        <v>0</v>
      </c>
      <c r="AB289" s="112" t="n">
        <v>21</v>
      </c>
      <c r="AC289" s="112" t="n">
        <v>1</v>
      </c>
      <c r="AD289" s="112" t="str">
        <f>VERW_Project!Q26</f>
        <v/>
      </c>
      <c r="AE289" s="112">
        <f>IF(AND(VERW_Project!$A26&lt;&gt;"",ISNUMBER(AD289)),1,0)</f>
        <v>0</v>
      </c>
      <c r="AF289" s="112" t="str">
        <f>IF(AE289=1,SUM($AE$8:AE289),"")</f>
        <v/>
      </c>
      <c r="AG289" t="str">
        <f>IFERROR(MATCH(282,$AF$8:$AF$1407,0),"")</f>
        <v/>
      </c>
    </row>
    <row r="290">
      <c r="A290" s="92" t="str">
        <f>IF($AG290="","",P_ImportID)</f>
        <v/>
      </c>
      <c r="B290" s="92" t="str">
        <f>IF($AG290="","",IF(INDEX($AN$8:$AN$21,INDEX($AC$8:$AC$1407,$AG290)+1)="Z",P_BronZ,P_BronE))</f>
        <v/>
      </c>
      <c r="C290" s="108" t="str">
        <f>IF($AG290="","",P_Importdatum)</f>
        <v/>
      </c>
      <c r="D290" s="92" t="str">
        <f>IF($AG290="","",P_StatusVastleg)</f>
        <v/>
      </c>
      <c r="E290" s="92" t="str">
        <f>IF($AG290="","",P_UploadVJ)</f>
        <v/>
      </c>
      <c r="F290" s="92" t="str">
        <f>IF($AG290="","",P_UploadVersie)</f>
        <v/>
      </c>
      <c r="G290" s="92" t="str">
        <f>IF($AG290="","",IF(COUNTIFS(L_Sleutel,$S290,L_Status,"Vastgesteld")=0,0,_xlfn.MAXIFS(L_Revisie,L_Sleutel,$S290,L_Status,"Vastgesteld")+1))</f>
        <v/>
      </c>
      <c r="H290" s="108" t="str">
        <f>IF($AG290="","",P_Peildatum)</f>
        <v/>
      </c>
      <c r="I290" s="92" t="str">
        <f>IF($AG290="","",P_RJ+INDEX($AK$8:$AK$21,INDEX($AC$8:$AC$1407,$AG290)+1))</f>
        <v/>
      </c>
      <c r="J290" s="92" t="str">
        <f>IF($AG290="","",INDEX(V_WBS,INDEX($AB$8:$AB$1407,$AG290)))</f>
        <v/>
      </c>
      <c r="K290" s="92" t="str">
        <f>IF($AG290="","",INDEX(V_Projdef,INDEX($AB$8:$AB$1407,$AG290)))</f>
        <v/>
      </c>
      <c r="L290" s="92" t="str">
        <f>IF($AG290="","",INDEX(V_Naam,INDEX($AB$8:$AB$1407,$AG290)))</f>
        <v/>
      </c>
      <c r="M290" s="92" t="str">
        <f>IF($AG290="","",INDEX(V_Type,INDEX($AB$8:$AB$1407,$AG290)))</f>
        <v/>
      </c>
      <c r="N290" s="92" t="str">
        <f>IF($AG290="","",INDEX(V_IFRS,INDEX($AB$8:$AB$1407,$AG290)))</f>
        <v/>
      </c>
      <c r="O290" s="92" t="str">
        <f>IF($AG290="","",INDEX($AL$8:$AL$21,INDEX($AC$8:$AC$1407,$AG290)+1))</f>
        <v/>
      </c>
      <c r="P290" s="109" t="str">
        <f>IF($AG290="","",INDEX($AD$8:$AD$1407,$AG290))</f>
        <v/>
      </c>
      <c r="Q290" s="92" t="str">
        <f>IF($AG290="","",INDEX($AM$8:$AM$21,INDEX($AC$8:$AC$1407,$AG290)+1))</f>
        <v/>
      </c>
      <c r="R290" s="92" t="str">
        <f>IF($AG290="","",IF($G290&gt;0,P_ToelCorrectie&amp;"",""))</f>
        <v/>
      </c>
      <c r="S290" s="15" t="str">
        <f>IF(J290="","",J290&amp;"|"&amp;E290&amp;"|"&amp;F290&amp;"|"&amp;I290&amp;"|"&amp;O290)</f>
        <v/>
      </c>
      <c r="T290" s="111" t="str">
        <f>IF(S290="","",IF(COUNTIFS(L_Sleutel,S290,L_Actief,1)=0,"",SUMIFS(L_Waarde,L_Sleutel,S290,L_Actief,1)))</f>
        <v/>
      </c>
      <c r="U290" s="111">
        <f>IF(OR(S290="",T290=""),0,P290-T290)</f>
        <v>0</v>
      </c>
      <c r="AB290" s="112" t="n">
        <v>21</v>
      </c>
      <c r="AC290" s="112" t="n">
        <v>2</v>
      </c>
      <c r="AD290" s="112" t="str">
        <f>VERW_Project!L26</f>
        <v/>
      </c>
      <c r="AE290" s="112">
        <f>IF(AND(VERW_Project!$A26&lt;&gt;"",ISNUMBER(AD290)),1,0)</f>
        <v>0</v>
      </c>
      <c r="AF290" s="112" t="str">
        <f>IF(AE290=1,SUM($AE$8:AE290),"")</f>
        <v/>
      </c>
      <c r="AG290" t="str">
        <f>IFERROR(MATCH(283,$AF$8:$AF$1407,0),"")</f>
        <v/>
      </c>
    </row>
    <row r="291">
      <c r="A291" s="92" t="str">
        <f>IF($AG291="","",P_ImportID)</f>
        <v/>
      </c>
      <c r="B291" s="92" t="str">
        <f>IF($AG291="","",IF(INDEX($AN$8:$AN$21,INDEX($AC$8:$AC$1407,$AG291)+1)="Z",P_BronZ,P_BronE))</f>
        <v/>
      </c>
      <c r="C291" s="108" t="str">
        <f>IF($AG291="","",P_Importdatum)</f>
        <v/>
      </c>
      <c r="D291" s="92" t="str">
        <f>IF($AG291="","",P_StatusVastleg)</f>
        <v/>
      </c>
      <c r="E291" s="92" t="str">
        <f>IF($AG291="","",P_UploadVJ)</f>
        <v/>
      </c>
      <c r="F291" s="92" t="str">
        <f>IF($AG291="","",P_UploadVersie)</f>
        <v/>
      </c>
      <c r="G291" s="92" t="str">
        <f>IF($AG291="","",IF(COUNTIFS(L_Sleutel,$S291,L_Status,"Vastgesteld")=0,0,_xlfn.MAXIFS(L_Revisie,L_Sleutel,$S291,L_Status,"Vastgesteld")+1))</f>
        <v/>
      </c>
      <c r="H291" s="108" t="str">
        <f>IF($AG291="","",P_Peildatum)</f>
        <v/>
      </c>
      <c r="I291" s="92" t="str">
        <f>IF($AG291="","",P_RJ+INDEX($AK$8:$AK$21,INDEX($AC$8:$AC$1407,$AG291)+1))</f>
        <v/>
      </c>
      <c r="J291" s="92" t="str">
        <f>IF($AG291="","",INDEX(V_WBS,INDEX($AB$8:$AB$1407,$AG291)))</f>
        <v/>
      </c>
      <c r="K291" s="92" t="str">
        <f>IF($AG291="","",INDEX(V_Projdef,INDEX($AB$8:$AB$1407,$AG291)))</f>
        <v/>
      </c>
      <c r="L291" s="92" t="str">
        <f>IF($AG291="","",INDEX(V_Naam,INDEX($AB$8:$AB$1407,$AG291)))</f>
        <v/>
      </c>
      <c r="M291" s="92" t="str">
        <f>IF($AG291="","",INDEX(V_Type,INDEX($AB$8:$AB$1407,$AG291)))</f>
        <v/>
      </c>
      <c r="N291" s="92" t="str">
        <f>IF($AG291="","",INDEX(V_IFRS,INDEX($AB$8:$AB$1407,$AG291)))</f>
        <v/>
      </c>
      <c r="O291" s="92" t="str">
        <f>IF($AG291="","",INDEX($AL$8:$AL$21,INDEX($AC$8:$AC$1407,$AG291)+1))</f>
        <v/>
      </c>
      <c r="P291" s="109" t="str">
        <f>IF($AG291="","",INDEX($AD$8:$AD$1407,$AG291))</f>
        <v/>
      </c>
      <c r="Q291" s="92" t="str">
        <f>IF($AG291="","",INDEX($AM$8:$AM$21,INDEX($AC$8:$AC$1407,$AG291)+1))</f>
        <v/>
      </c>
      <c r="R291" s="92" t="str">
        <f>IF($AG291="","",IF($G291&gt;0,P_ToelCorrectie&amp;"",""))</f>
        <v/>
      </c>
      <c r="S291" s="15" t="str">
        <f>IF(J291="","",J291&amp;"|"&amp;E291&amp;"|"&amp;F291&amp;"|"&amp;I291&amp;"|"&amp;O291)</f>
        <v/>
      </c>
      <c r="T291" s="111" t="str">
        <f>IF(S291="","",IF(COUNTIFS(L_Sleutel,S291,L_Actief,1)=0,"",SUMIFS(L_Waarde,L_Sleutel,S291,L_Actief,1)))</f>
        <v/>
      </c>
      <c r="U291" s="111">
        <f>IF(OR(S291="",T291=""),0,P291-T291)</f>
        <v>0</v>
      </c>
      <c r="AB291" s="112" t="n">
        <v>21</v>
      </c>
      <c r="AC291" s="112" t="n">
        <v>3</v>
      </c>
      <c r="AD291" s="112" t="str">
        <f>VERW_Project!M26</f>
        <v/>
      </c>
      <c r="AE291" s="112">
        <f>IF(AND(VERW_Project!$A26&lt;&gt;"",ISNUMBER(AD291)),1,0)</f>
        <v>0</v>
      </c>
      <c r="AF291" s="112" t="str">
        <f>IF(AE291=1,SUM($AE$8:AE291),"")</f>
        <v/>
      </c>
      <c r="AG291" t="str">
        <f>IFERROR(MATCH(284,$AF$8:$AF$1407,0),"")</f>
        <v/>
      </c>
    </row>
    <row r="292">
      <c r="A292" s="92" t="str">
        <f>IF($AG292="","",P_ImportID)</f>
        <v/>
      </c>
      <c r="B292" s="92" t="str">
        <f>IF($AG292="","",IF(INDEX($AN$8:$AN$21,INDEX($AC$8:$AC$1407,$AG292)+1)="Z",P_BronZ,P_BronE))</f>
        <v/>
      </c>
      <c r="C292" s="108" t="str">
        <f>IF($AG292="","",P_Importdatum)</f>
        <v/>
      </c>
      <c r="D292" s="92" t="str">
        <f>IF($AG292="","",P_StatusVastleg)</f>
        <v/>
      </c>
      <c r="E292" s="92" t="str">
        <f>IF($AG292="","",P_UploadVJ)</f>
        <v/>
      </c>
      <c r="F292" s="92" t="str">
        <f>IF($AG292="","",P_UploadVersie)</f>
        <v/>
      </c>
      <c r="G292" s="92" t="str">
        <f>IF($AG292="","",IF(COUNTIFS(L_Sleutel,$S292,L_Status,"Vastgesteld")=0,0,_xlfn.MAXIFS(L_Revisie,L_Sleutel,$S292,L_Status,"Vastgesteld")+1))</f>
        <v/>
      </c>
      <c r="H292" s="108" t="str">
        <f>IF($AG292="","",P_Peildatum)</f>
        <v/>
      </c>
      <c r="I292" s="92" t="str">
        <f>IF($AG292="","",P_RJ+INDEX($AK$8:$AK$21,INDEX($AC$8:$AC$1407,$AG292)+1))</f>
        <v/>
      </c>
      <c r="J292" s="92" t="str">
        <f>IF($AG292="","",INDEX(V_WBS,INDEX($AB$8:$AB$1407,$AG292)))</f>
        <v/>
      </c>
      <c r="K292" s="92" t="str">
        <f>IF($AG292="","",INDEX(V_Projdef,INDEX($AB$8:$AB$1407,$AG292)))</f>
        <v/>
      </c>
      <c r="L292" s="92" t="str">
        <f>IF($AG292="","",INDEX(V_Naam,INDEX($AB$8:$AB$1407,$AG292)))</f>
        <v/>
      </c>
      <c r="M292" s="92" t="str">
        <f>IF($AG292="","",INDEX(V_Type,INDEX($AB$8:$AB$1407,$AG292)))</f>
        <v/>
      </c>
      <c r="N292" s="92" t="str">
        <f>IF($AG292="","",INDEX(V_IFRS,INDEX($AB$8:$AB$1407,$AG292)))</f>
        <v/>
      </c>
      <c r="O292" s="92" t="str">
        <f>IF($AG292="","",INDEX($AL$8:$AL$21,INDEX($AC$8:$AC$1407,$AG292)+1))</f>
        <v/>
      </c>
      <c r="P292" s="109" t="str">
        <f>IF($AG292="","",INDEX($AD$8:$AD$1407,$AG292))</f>
        <v/>
      </c>
      <c r="Q292" s="92" t="str">
        <f>IF($AG292="","",INDEX($AM$8:$AM$21,INDEX($AC$8:$AC$1407,$AG292)+1))</f>
        <v/>
      </c>
      <c r="R292" s="92" t="str">
        <f>IF($AG292="","",IF($G292&gt;0,P_ToelCorrectie&amp;"",""))</f>
        <v/>
      </c>
      <c r="S292" s="15" t="str">
        <f>IF(J292="","",J292&amp;"|"&amp;E292&amp;"|"&amp;F292&amp;"|"&amp;I292&amp;"|"&amp;O292)</f>
        <v/>
      </c>
      <c r="T292" s="111" t="str">
        <f>IF(S292="","",IF(COUNTIFS(L_Sleutel,S292,L_Actief,1)=0,"",SUMIFS(L_Waarde,L_Sleutel,S292,L_Actief,1)))</f>
        <v/>
      </c>
      <c r="U292" s="111">
        <f>IF(OR(S292="",T292=""),0,P292-T292)</f>
        <v>0</v>
      </c>
      <c r="AB292" s="112" t="n">
        <v>21</v>
      </c>
      <c r="AC292" s="112" t="n">
        <v>4</v>
      </c>
      <c r="AD292" s="112" t="str">
        <f>VERW_Project!R26</f>
        <v/>
      </c>
      <c r="AE292" s="112">
        <f>IF(AND(VERW_Project!$A26&lt;&gt;"",ISNUMBER(AD292)),1,0)</f>
        <v>0</v>
      </c>
      <c r="AF292" s="112" t="str">
        <f>IF(AE292=1,SUM($AE$8:AE292),"")</f>
        <v/>
      </c>
      <c r="AG292" t="str">
        <f>IFERROR(MATCH(285,$AF$8:$AF$1407,0),"")</f>
        <v/>
      </c>
    </row>
    <row r="293">
      <c r="A293" s="92" t="str">
        <f>IF($AG293="","",P_ImportID)</f>
        <v/>
      </c>
      <c r="B293" s="92" t="str">
        <f>IF($AG293="","",IF(INDEX($AN$8:$AN$21,INDEX($AC$8:$AC$1407,$AG293)+1)="Z",P_BronZ,P_BronE))</f>
        <v/>
      </c>
      <c r="C293" s="108" t="str">
        <f>IF($AG293="","",P_Importdatum)</f>
        <v/>
      </c>
      <c r="D293" s="92" t="str">
        <f>IF($AG293="","",P_StatusVastleg)</f>
        <v/>
      </c>
      <c r="E293" s="92" t="str">
        <f>IF($AG293="","",P_UploadVJ)</f>
        <v/>
      </c>
      <c r="F293" s="92" t="str">
        <f>IF($AG293="","",P_UploadVersie)</f>
        <v/>
      </c>
      <c r="G293" s="92" t="str">
        <f>IF($AG293="","",IF(COUNTIFS(L_Sleutel,$S293,L_Status,"Vastgesteld")=0,0,_xlfn.MAXIFS(L_Revisie,L_Sleutel,$S293,L_Status,"Vastgesteld")+1))</f>
        <v/>
      </c>
      <c r="H293" s="108" t="str">
        <f>IF($AG293="","",P_Peildatum)</f>
        <v/>
      </c>
      <c r="I293" s="92" t="str">
        <f>IF($AG293="","",P_RJ+INDEX($AK$8:$AK$21,INDEX($AC$8:$AC$1407,$AG293)+1))</f>
        <v/>
      </c>
      <c r="J293" s="92" t="str">
        <f>IF($AG293="","",INDEX(V_WBS,INDEX($AB$8:$AB$1407,$AG293)))</f>
        <v/>
      </c>
      <c r="K293" s="92" t="str">
        <f>IF($AG293="","",INDEX(V_Projdef,INDEX($AB$8:$AB$1407,$AG293)))</f>
        <v/>
      </c>
      <c r="L293" s="92" t="str">
        <f>IF($AG293="","",INDEX(V_Naam,INDEX($AB$8:$AB$1407,$AG293)))</f>
        <v/>
      </c>
      <c r="M293" s="92" t="str">
        <f>IF($AG293="","",INDEX(V_Type,INDEX($AB$8:$AB$1407,$AG293)))</f>
        <v/>
      </c>
      <c r="N293" s="92" t="str">
        <f>IF($AG293="","",INDEX(V_IFRS,INDEX($AB$8:$AB$1407,$AG293)))</f>
        <v/>
      </c>
      <c r="O293" s="92" t="str">
        <f>IF($AG293="","",INDEX($AL$8:$AL$21,INDEX($AC$8:$AC$1407,$AG293)+1))</f>
        <v/>
      </c>
      <c r="P293" s="109" t="str">
        <f>IF($AG293="","",INDEX($AD$8:$AD$1407,$AG293))</f>
        <v/>
      </c>
      <c r="Q293" s="92" t="str">
        <f>IF($AG293="","",INDEX($AM$8:$AM$21,INDEX($AC$8:$AC$1407,$AG293)+1))</f>
        <v/>
      </c>
      <c r="R293" s="92" t="str">
        <f>IF($AG293="","",IF($G293&gt;0,P_ToelCorrectie&amp;"",""))</f>
        <v/>
      </c>
      <c r="S293" s="15" t="str">
        <f>IF(J293="","",J293&amp;"|"&amp;E293&amp;"|"&amp;F293&amp;"|"&amp;I293&amp;"|"&amp;O293)</f>
        <v/>
      </c>
      <c r="T293" s="111" t="str">
        <f>IF(S293="","",IF(COUNTIFS(L_Sleutel,S293,L_Actief,1)=0,"",SUMIFS(L_Waarde,L_Sleutel,S293,L_Actief,1)))</f>
        <v/>
      </c>
      <c r="U293" s="111">
        <f>IF(OR(S293="",T293=""),0,P293-T293)</f>
        <v>0</v>
      </c>
      <c r="AB293" s="112" t="n">
        <v>21</v>
      </c>
      <c r="AC293" s="112" t="n">
        <v>5</v>
      </c>
      <c r="AD293" s="112" t="str">
        <f>VERW_Project!S26</f>
        <v/>
      </c>
      <c r="AE293" s="112">
        <f>IF(AND(VERW_Project!$A26&lt;&gt;"",ISNUMBER(AD293)),1,0)</f>
        <v>0</v>
      </c>
      <c r="AF293" s="112" t="str">
        <f>IF(AE293=1,SUM($AE$8:AE293),"")</f>
        <v/>
      </c>
      <c r="AG293" t="str">
        <f>IFERROR(MATCH(286,$AF$8:$AF$1407,0),"")</f>
        <v/>
      </c>
    </row>
    <row r="294">
      <c r="A294" s="92" t="str">
        <f>IF($AG294="","",P_ImportID)</f>
        <v/>
      </c>
      <c r="B294" s="92" t="str">
        <f>IF($AG294="","",IF(INDEX($AN$8:$AN$21,INDEX($AC$8:$AC$1407,$AG294)+1)="Z",P_BronZ,P_BronE))</f>
        <v/>
      </c>
      <c r="C294" s="108" t="str">
        <f>IF($AG294="","",P_Importdatum)</f>
        <v/>
      </c>
      <c r="D294" s="92" t="str">
        <f>IF($AG294="","",P_StatusVastleg)</f>
        <v/>
      </c>
      <c r="E294" s="92" t="str">
        <f>IF($AG294="","",P_UploadVJ)</f>
        <v/>
      </c>
      <c r="F294" s="92" t="str">
        <f>IF($AG294="","",P_UploadVersie)</f>
        <v/>
      </c>
      <c r="G294" s="92" t="str">
        <f>IF($AG294="","",IF(COUNTIFS(L_Sleutel,$S294,L_Status,"Vastgesteld")=0,0,_xlfn.MAXIFS(L_Revisie,L_Sleutel,$S294,L_Status,"Vastgesteld")+1))</f>
        <v/>
      </c>
      <c r="H294" s="108" t="str">
        <f>IF($AG294="","",P_Peildatum)</f>
        <v/>
      </c>
      <c r="I294" s="92" t="str">
        <f>IF($AG294="","",P_RJ+INDEX($AK$8:$AK$21,INDEX($AC$8:$AC$1407,$AG294)+1))</f>
        <v/>
      </c>
      <c r="J294" s="92" t="str">
        <f>IF($AG294="","",INDEX(V_WBS,INDEX($AB$8:$AB$1407,$AG294)))</f>
        <v/>
      </c>
      <c r="K294" s="92" t="str">
        <f>IF($AG294="","",INDEX(V_Projdef,INDEX($AB$8:$AB$1407,$AG294)))</f>
        <v/>
      </c>
      <c r="L294" s="92" t="str">
        <f>IF($AG294="","",INDEX(V_Naam,INDEX($AB$8:$AB$1407,$AG294)))</f>
        <v/>
      </c>
      <c r="M294" s="92" t="str">
        <f>IF($AG294="","",INDEX(V_Type,INDEX($AB$8:$AB$1407,$AG294)))</f>
        <v/>
      </c>
      <c r="N294" s="92" t="str">
        <f>IF($AG294="","",INDEX(V_IFRS,INDEX($AB$8:$AB$1407,$AG294)))</f>
        <v/>
      </c>
      <c r="O294" s="92" t="str">
        <f>IF($AG294="","",INDEX($AL$8:$AL$21,INDEX($AC$8:$AC$1407,$AG294)+1))</f>
        <v/>
      </c>
      <c r="P294" s="109" t="str">
        <f>IF($AG294="","",INDEX($AD$8:$AD$1407,$AG294))</f>
        <v/>
      </c>
      <c r="Q294" s="92" t="str">
        <f>IF($AG294="","",INDEX($AM$8:$AM$21,INDEX($AC$8:$AC$1407,$AG294)+1))</f>
        <v/>
      </c>
      <c r="R294" s="92" t="str">
        <f>IF($AG294="","",IF($G294&gt;0,P_ToelCorrectie&amp;"",""))</f>
        <v/>
      </c>
      <c r="S294" s="15" t="str">
        <f>IF(J294="","",J294&amp;"|"&amp;E294&amp;"|"&amp;F294&amp;"|"&amp;I294&amp;"|"&amp;O294)</f>
        <v/>
      </c>
      <c r="T294" s="111" t="str">
        <f>IF(S294="","",IF(COUNTIFS(L_Sleutel,S294,L_Actief,1)=0,"",SUMIFS(L_Waarde,L_Sleutel,S294,L_Actief,1)))</f>
        <v/>
      </c>
      <c r="U294" s="111">
        <f>IF(OR(S294="",T294=""),0,P294-T294)</f>
        <v>0</v>
      </c>
      <c r="AB294" s="112" t="n">
        <v>21</v>
      </c>
      <c r="AC294" s="112" t="n">
        <v>6</v>
      </c>
      <c r="AD294" s="112" t="str">
        <f>VERW_Project!BW26</f>
        <v/>
      </c>
      <c r="AE294" s="112">
        <f>IF(AND(VERW_Project!$A26&lt;&gt;"",ISNUMBER(AD294)),1,0)</f>
        <v>0</v>
      </c>
      <c r="AF294" s="112" t="str">
        <f>IF(AE294=1,SUM($AE$8:AE294),"")</f>
        <v/>
      </c>
      <c r="AG294" t="str">
        <f>IFERROR(MATCH(287,$AF$8:$AF$1407,0),"")</f>
        <v/>
      </c>
    </row>
    <row r="295">
      <c r="A295" s="92" t="str">
        <f>IF($AG295="","",P_ImportID)</f>
        <v/>
      </c>
      <c r="B295" s="92" t="str">
        <f>IF($AG295="","",IF(INDEX($AN$8:$AN$21,INDEX($AC$8:$AC$1407,$AG295)+1)="Z",P_BronZ,P_BronE))</f>
        <v/>
      </c>
      <c r="C295" s="108" t="str">
        <f>IF($AG295="","",P_Importdatum)</f>
        <v/>
      </c>
      <c r="D295" s="92" t="str">
        <f>IF($AG295="","",P_StatusVastleg)</f>
        <v/>
      </c>
      <c r="E295" s="92" t="str">
        <f>IF($AG295="","",P_UploadVJ)</f>
        <v/>
      </c>
      <c r="F295" s="92" t="str">
        <f>IF($AG295="","",P_UploadVersie)</f>
        <v/>
      </c>
      <c r="G295" s="92" t="str">
        <f>IF($AG295="","",IF(COUNTIFS(L_Sleutel,$S295,L_Status,"Vastgesteld")=0,0,_xlfn.MAXIFS(L_Revisie,L_Sleutel,$S295,L_Status,"Vastgesteld")+1))</f>
        <v/>
      </c>
      <c r="H295" s="108" t="str">
        <f>IF($AG295="","",P_Peildatum)</f>
        <v/>
      </c>
      <c r="I295" s="92" t="str">
        <f>IF($AG295="","",P_RJ+INDEX($AK$8:$AK$21,INDEX($AC$8:$AC$1407,$AG295)+1))</f>
        <v/>
      </c>
      <c r="J295" s="92" t="str">
        <f>IF($AG295="","",INDEX(V_WBS,INDEX($AB$8:$AB$1407,$AG295)))</f>
        <v/>
      </c>
      <c r="K295" s="92" t="str">
        <f>IF($AG295="","",INDEX(V_Projdef,INDEX($AB$8:$AB$1407,$AG295)))</f>
        <v/>
      </c>
      <c r="L295" s="92" t="str">
        <f>IF($AG295="","",INDEX(V_Naam,INDEX($AB$8:$AB$1407,$AG295)))</f>
        <v/>
      </c>
      <c r="M295" s="92" t="str">
        <f>IF($AG295="","",INDEX(V_Type,INDEX($AB$8:$AB$1407,$AG295)))</f>
        <v/>
      </c>
      <c r="N295" s="92" t="str">
        <f>IF($AG295="","",INDEX(V_IFRS,INDEX($AB$8:$AB$1407,$AG295)))</f>
        <v/>
      </c>
      <c r="O295" s="92" t="str">
        <f>IF($AG295="","",INDEX($AL$8:$AL$21,INDEX($AC$8:$AC$1407,$AG295)+1))</f>
        <v/>
      </c>
      <c r="P295" s="109" t="str">
        <f>IF($AG295="","",INDEX($AD$8:$AD$1407,$AG295))</f>
        <v/>
      </c>
      <c r="Q295" s="92" t="str">
        <f>IF($AG295="","",INDEX($AM$8:$AM$21,INDEX($AC$8:$AC$1407,$AG295)+1))</f>
        <v/>
      </c>
      <c r="R295" s="92" t="str">
        <f>IF($AG295="","",IF($G295&gt;0,P_ToelCorrectie&amp;"",""))</f>
        <v/>
      </c>
      <c r="S295" s="15" t="str">
        <f>IF(J295="","",J295&amp;"|"&amp;E295&amp;"|"&amp;F295&amp;"|"&amp;I295&amp;"|"&amp;O295)</f>
        <v/>
      </c>
      <c r="T295" s="111" t="str">
        <f>IF(S295="","",IF(COUNTIFS(L_Sleutel,S295,L_Actief,1)=0,"",SUMIFS(L_Waarde,L_Sleutel,S295,L_Actief,1)))</f>
        <v/>
      </c>
      <c r="U295" s="111">
        <f>IF(OR(S295="",T295=""),0,P295-T295)</f>
        <v>0</v>
      </c>
      <c r="AB295" s="112" t="n">
        <v>21</v>
      </c>
      <c r="AC295" s="112" t="n">
        <v>7</v>
      </c>
      <c r="AD295" s="112" t="str">
        <f>VERW_Project!AW26</f>
        <v/>
      </c>
      <c r="AE295" s="112">
        <f>IF(AND(VERW_Project!$A26&lt;&gt;"",ISNUMBER(AD295)),1,0)</f>
        <v>0</v>
      </c>
      <c r="AF295" s="112" t="str">
        <f>IF(AE295=1,SUM($AE$8:AE295),"")</f>
        <v/>
      </c>
      <c r="AG295" t="str">
        <f>IFERROR(MATCH(288,$AF$8:$AF$1407,0),"")</f>
        <v/>
      </c>
    </row>
    <row r="296">
      <c r="A296" s="92" t="str">
        <f>IF($AG296="","",P_ImportID)</f>
        <v/>
      </c>
      <c r="B296" s="92" t="str">
        <f>IF($AG296="","",IF(INDEX($AN$8:$AN$21,INDEX($AC$8:$AC$1407,$AG296)+1)="Z",P_BronZ,P_BronE))</f>
        <v/>
      </c>
      <c r="C296" s="108" t="str">
        <f>IF($AG296="","",P_Importdatum)</f>
        <v/>
      </c>
      <c r="D296" s="92" t="str">
        <f>IF($AG296="","",P_StatusVastleg)</f>
        <v/>
      </c>
      <c r="E296" s="92" t="str">
        <f>IF($AG296="","",P_UploadVJ)</f>
        <v/>
      </c>
      <c r="F296" s="92" t="str">
        <f>IF($AG296="","",P_UploadVersie)</f>
        <v/>
      </c>
      <c r="G296" s="92" t="str">
        <f>IF($AG296="","",IF(COUNTIFS(L_Sleutel,$S296,L_Status,"Vastgesteld")=0,0,_xlfn.MAXIFS(L_Revisie,L_Sleutel,$S296,L_Status,"Vastgesteld")+1))</f>
        <v/>
      </c>
      <c r="H296" s="108" t="str">
        <f>IF($AG296="","",P_Peildatum)</f>
        <v/>
      </c>
      <c r="I296" s="92" t="str">
        <f>IF($AG296="","",P_RJ+INDEX($AK$8:$AK$21,INDEX($AC$8:$AC$1407,$AG296)+1))</f>
        <v/>
      </c>
      <c r="J296" s="92" t="str">
        <f>IF($AG296="","",INDEX(V_WBS,INDEX($AB$8:$AB$1407,$AG296)))</f>
        <v/>
      </c>
      <c r="K296" s="92" t="str">
        <f>IF($AG296="","",INDEX(V_Projdef,INDEX($AB$8:$AB$1407,$AG296)))</f>
        <v/>
      </c>
      <c r="L296" s="92" t="str">
        <f>IF($AG296="","",INDEX(V_Naam,INDEX($AB$8:$AB$1407,$AG296)))</f>
        <v/>
      </c>
      <c r="M296" s="92" t="str">
        <f>IF($AG296="","",INDEX(V_Type,INDEX($AB$8:$AB$1407,$AG296)))</f>
        <v/>
      </c>
      <c r="N296" s="92" t="str">
        <f>IF($AG296="","",INDEX(V_IFRS,INDEX($AB$8:$AB$1407,$AG296)))</f>
        <v/>
      </c>
      <c r="O296" s="92" t="str">
        <f>IF($AG296="","",INDEX($AL$8:$AL$21,INDEX($AC$8:$AC$1407,$AG296)+1))</f>
        <v/>
      </c>
      <c r="P296" s="109" t="str">
        <f>IF($AG296="","",INDEX($AD$8:$AD$1407,$AG296))</f>
        <v/>
      </c>
      <c r="Q296" s="92" t="str">
        <f>IF($AG296="","",INDEX($AM$8:$AM$21,INDEX($AC$8:$AC$1407,$AG296)+1))</f>
        <v/>
      </c>
      <c r="R296" s="92" t="str">
        <f>IF($AG296="","",IF($G296&gt;0,P_ToelCorrectie&amp;"",""))</f>
        <v/>
      </c>
      <c r="S296" s="15" t="str">
        <f>IF(J296="","",J296&amp;"|"&amp;E296&amp;"|"&amp;F296&amp;"|"&amp;I296&amp;"|"&amp;O296)</f>
        <v/>
      </c>
      <c r="T296" s="111" t="str">
        <f>IF(S296="","",IF(COUNTIFS(L_Sleutel,S296,L_Actief,1)=0,"",SUMIFS(L_Waarde,L_Sleutel,S296,L_Actief,1)))</f>
        <v/>
      </c>
      <c r="U296" s="111">
        <f>IF(OR(S296="",T296=""),0,P296-T296)</f>
        <v>0</v>
      </c>
      <c r="AB296" s="112" t="n">
        <v>21</v>
      </c>
      <c r="AC296" s="112" t="n">
        <v>8</v>
      </c>
      <c r="AD296" s="112" t="str">
        <f>VERW_Project!BQ26</f>
        <v/>
      </c>
      <c r="AE296" s="112">
        <f>IF(AND(VERW_Project!$A26&lt;&gt;"",ISNUMBER(AD296)),1,0)</f>
        <v>0</v>
      </c>
      <c r="AF296" s="112" t="str">
        <f>IF(AE296=1,SUM($AE$8:AE296),"")</f>
        <v/>
      </c>
      <c r="AG296" t="str">
        <f>IFERROR(MATCH(289,$AF$8:$AF$1407,0),"")</f>
        <v/>
      </c>
    </row>
    <row r="297">
      <c r="A297" s="92" t="str">
        <f>IF($AG297="","",P_ImportID)</f>
        <v/>
      </c>
      <c r="B297" s="92" t="str">
        <f>IF($AG297="","",IF(INDEX($AN$8:$AN$21,INDEX($AC$8:$AC$1407,$AG297)+1)="Z",P_BronZ,P_BronE))</f>
        <v/>
      </c>
      <c r="C297" s="108" t="str">
        <f>IF($AG297="","",P_Importdatum)</f>
        <v/>
      </c>
      <c r="D297" s="92" t="str">
        <f>IF($AG297="","",P_StatusVastleg)</f>
        <v/>
      </c>
      <c r="E297" s="92" t="str">
        <f>IF($AG297="","",P_UploadVJ)</f>
        <v/>
      </c>
      <c r="F297" s="92" t="str">
        <f>IF($AG297="","",P_UploadVersie)</f>
        <v/>
      </c>
      <c r="G297" s="92" t="str">
        <f>IF($AG297="","",IF(COUNTIFS(L_Sleutel,$S297,L_Status,"Vastgesteld")=0,0,_xlfn.MAXIFS(L_Revisie,L_Sleutel,$S297,L_Status,"Vastgesteld")+1))</f>
        <v/>
      </c>
      <c r="H297" s="108" t="str">
        <f>IF($AG297="","",P_Peildatum)</f>
        <v/>
      </c>
      <c r="I297" s="92" t="str">
        <f>IF($AG297="","",P_RJ+INDEX($AK$8:$AK$21,INDEX($AC$8:$AC$1407,$AG297)+1))</f>
        <v/>
      </c>
      <c r="J297" s="92" t="str">
        <f>IF($AG297="","",INDEX(V_WBS,INDEX($AB$8:$AB$1407,$AG297)))</f>
        <v/>
      </c>
      <c r="K297" s="92" t="str">
        <f>IF($AG297="","",INDEX(V_Projdef,INDEX($AB$8:$AB$1407,$AG297)))</f>
        <v/>
      </c>
      <c r="L297" s="92" t="str">
        <f>IF($AG297="","",INDEX(V_Naam,INDEX($AB$8:$AB$1407,$AG297)))</f>
        <v/>
      </c>
      <c r="M297" s="92" t="str">
        <f>IF($AG297="","",INDEX(V_Type,INDEX($AB$8:$AB$1407,$AG297)))</f>
        <v/>
      </c>
      <c r="N297" s="92" t="str">
        <f>IF($AG297="","",INDEX(V_IFRS,INDEX($AB$8:$AB$1407,$AG297)))</f>
        <v/>
      </c>
      <c r="O297" s="92" t="str">
        <f>IF($AG297="","",INDEX($AL$8:$AL$21,INDEX($AC$8:$AC$1407,$AG297)+1))</f>
        <v/>
      </c>
      <c r="P297" s="109" t="str">
        <f>IF($AG297="","",INDEX($AD$8:$AD$1407,$AG297))</f>
        <v/>
      </c>
      <c r="Q297" s="92" t="str">
        <f>IF($AG297="","",INDEX($AM$8:$AM$21,INDEX($AC$8:$AC$1407,$AG297)+1))</f>
        <v/>
      </c>
      <c r="R297" s="92" t="str">
        <f>IF($AG297="","",IF($G297&gt;0,P_ToelCorrectie&amp;"",""))</f>
        <v/>
      </c>
      <c r="S297" s="15" t="str">
        <f>IF(J297="","",J297&amp;"|"&amp;E297&amp;"|"&amp;F297&amp;"|"&amp;I297&amp;"|"&amp;O297)</f>
        <v/>
      </c>
      <c r="T297" s="111" t="str">
        <f>IF(S297="","",IF(COUNTIFS(L_Sleutel,S297,L_Actief,1)=0,"",SUMIFS(L_Waarde,L_Sleutel,S297,L_Actief,1)))</f>
        <v/>
      </c>
      <c r="U297" s="111">
        <f>IF(OR(S297="",T297=""),0,P297-T297)</f>
        <v>0</v>
      </c>
      <c r="AB297" s="112" t="n">
        <v>21</v>
      </c>
      <c r="AC297" s="112" t="n">
        <v>9</v>
      </c>
      <c r="AD297" s="112" t="str">
        <f>VERW_Project!BR26</f>
        <v/>
      </c>
      <c r="AE297" s="112">
        <f>IF(AND(VERW_Project!$A26&lt;&gt;"",ISNUMBER(AD297)),1,0)</f>
        <v>0</v>
      </c>
      <c r="AF297" s="112" t="str">
        <f>IF(AE297=1,SUM($AE$8:AE297),"")</f>
        <v/>
      </c>
      <c r="AG297" t="str">
        <f>IFERROR(MATCH(290,$AF$8:$AF$1407,0),"")</f>
        <v/>
      </c>
    </row>
    <row r="298">
      <c r="A298" s="92" t="str">
        <f>IF($AG298="","",P_ImportID)</f>
        <v/>
      </c>
      <c r="B298" s="92" t="str">
        <f>IF($AG298="","",IF(INDEX($AN$8:$AN$21,INDEX($AC$8:$AC$1407,$AG298)+1)="Z",P_BronZ,P_BronE))</f>
        <v/>
      </c>
      <c r="C298" s="108" t="str">
        <f>IF($AG298="","",P_Importdatum)</f>
        <v/>
      </c>
      <c r="D298" s="92" t="str">
        <f>IF($AG298="","",P_StatusVastleg)</f>
        <v/>
      </c>
      <c r="E298" s="92" t="str">
        <f>IF($AG298="","",P_UploadVJ)</f>
        <v/>
      </c>
      <c r="F298" s="92" t="str">
        <f>IF($AG298="","",P_UploadVersie)</f>
        <v/>
      </c>
      <c r="G298" s="92" t="str">
        <f>IF($AG298="","",IF(COUNTIFS(L_Sleutel,$S298,L_Status,"Vastgesteld")=0,0,_xlfn.MAXIFS(L_Revisie,L_Sleutel,$S298,L_Status,"Vastgesteld")+1))</f>
        <v/>
      </c>
      <c r="H298" s="108" t="str">
        <f>IF($AG298="","",P_Peildatum)</f>
        <v/>
      </c>
      <c r="I298" s="92" t="str">
        <f>IF($AG298="","",P_RJ+INDEX($AK$8:$AK$21,INDEX($AC$8:$AC$1407,$AG298)+1))</f>
        <v/>
      </c>
      <c r="J298" s="92" t="str">
        <f>IF($AG298="","",INDEX(V_WBS,INDEX($AB$8:$AB$1407,$AG298)))</f>
        <v/>
      </c>
      <c r="K298" s="92" t="str">
        <f>IF($AG298="","",INDEX(V_Projdef,INDEX($AB$8:$AB$1407,$AG298)))</f>
        <v/>
      </c>
      <c r="L298" s="92" t="str">
        <f>IF($AG298="","",INDEX(V_Naam,INDEX($AB$8:$AB$1407,$AG298)))</f>
        <v/>
      </c>
      <c r="M298" s="92" t="str">
        <f>IF($AG298="","",INDEX(V_Type,INDEX($AB$8:$AB$1407,$AG298)))</f>
        <v/>
      </c>
      <c r="N298" s="92" t="str">
        <f>IF($AG298="","",INDEX(V_IFRS,INDEX($AB$8:$AB$1407,$AG298)))</f>
        <v/>
      </c>
      <c r="O298" s="92" t="str">
        <f>IF($AG298="","",INDEX($AL$8:$AL$21,INDEX($AC$8:$AC$1407,$AG298)+1))</f>
        <v/>
      </c>
      <c r="P298" s="109" t="str">
        <f>IF($AG298="","",INDEX($AD$8:$AD$1407,$AG298))</f>
        <v/>
      </c>
      <c r="Q298" s="92" t="str">
        <f>IF($AG298="","",INDEX($AM$8:$AM$21,INDEX($AC$8:$AC$1407,$AG298)+1))</f>
        <v/>
      </c>
      <c r="R298" s="92" t="str">
        <f>IF($AG298="","",IF($G298&gt;0,P_ToelCorrectie&amp;"",""))</f>
        <v/>
      </c>
      <c r="S298" s="15" t="str">
        <f>IF(J298="","",J298&amp;"|"&amp;E298&amp;"|"&amp;F298&amp;"|"&amp;I298&amp;"|"&amp;O298)</f>
        <v/>
      </c>
      <c r="T298" s="111" t="str">
        <f>IF(S298="","",IF(COUNTIFS(L_Sleutel,S298,L_Actief,1)=0,"",SUMIFS(L_Waarde,L_Sleutel,S298,L_Actief,1)))</f>
        <v/>
      </c>
      <c r="U298" s="111">
        <f>IF(OR(S298="",T298=""),0,P298-T298)</f>
        <v>0</v>
      </c>
      <c r="AB298" s="112" t="n">
        <v>21</v>
      </c>
      <c r="AC298" s="112" t="n">
        <v>10</v>
      </c>
      <c r="AD298" s="112" t="str">
        <f>VERW_Project!BS26</f>
        <v/>
      </c>
      <c r="AE298" s="112">
        <f>IF(AND(VERW_Project!$A26&lt;&gt;"",ISNUMBER(AD298)),1,0)</f>
        <v>0</v>
      </c>
      <c r="AF298" s="112" t="str">
        <f>IF(AE298=1,SUM($AE$8:AE298),"")</f>
        <v/>
      </c>
      <c r="AG298" t="str">
        <f>IFERROR(MATCH(291,$AF$8:$AF$1407,0),"")</f>
        <v/>
      </c>
    </row>
    <row r="299">
      <c r="A299" s="92" t="str">
        <f>IF($AG299="","",P_ImportID)</f>
        <v/>
      </c>
      <c r="B299" s="92" t="str">
        <f>IF($AG299="","",IF(INDEX($AN$8:$AN$21,INDEX($AC$8:$AC$1407,$AG299)+1)="Z",P_BronZ,P_BronE))</f>
        <v/>
      </c>
      <c r="C299" s="108" t="str">
        <f>IF($AG299="","",P_Importdatum)</f>
        <v/>
      </c>
      <c r="D299" s="92" t="str">
        <f>IF($AG299="","",P_StatusVastleg)</f>
        <v/>
      </c>
      <c r="E299" s="92" t="str">
        <f>IF($AG299="","",P_UploadVJ)</f>
        <v/>
      </c>
      <c r="F299" s="92" t="str">
        <f>IF($AG299="","",P_UploadVersie)</f>
        <v/>
      </c>
      <c r="G299" s="92" t="str">
        <f>IF($AG299="","",IF(COUNTIFS(L_Sleutel,$S299,L_Status,"Vastgesteld")=0,0,_xlfn.MAXIFS(L_Revisie,L_Sleutel,$S299,L_Status,"Vastgesteld")+1))</f>
        <v/>
      </c>
      <c r="H299" s="108" t="str">
        <f>IF($AG299="","",P_Peildatum)</f>
        <v/>
      </c>
      <c r="I299" s="92" t="str">
        <f>IF($AG299="","",P_RJ+INDEX($AK$8:$AK$21,INDEX($AC$8:$AC$1407,$AG299)+1))</f>
        <v/>
      </c>
      <c r="J299" s="92" t="str">
        <f>IF($AG299="","",INDEX(V_WBS,INDEX($AB$8:$AB$1407,$AG299)))</f>
        <v/>
      </c>
      <c r="K299" s="92" t="str">
        <f>IF($AG299="","",INDEX(V_Projdef,INDEX($AB$8:$AB$1407,$AG299)))</f>
        <v/>
      </c>
      <c r="L299" s="92" t="str">
        <f>IF($AG299="","",INDEX(V_Naam,INDEX($AB$8:$AB$1407,$AG299)))</f>
        <v/>
      </c>
      <c r="M299" s="92" t="str">
        <f>IF($AG299="","",INDEX(V_Type,INDEX($AB$8:$AB$1407,$AG299)))</f>
        <v/>
      </c>
      <c r="N299" s="92" t="str">
        <f>IF($AG299="","",INDEX(V_IFRS,INDEX($AB$8:$AB$1407,$AG299)))</f>
        <v/>
      </c>
      <c r="O299" s="92" t="str">
        <f>IF($AG299="","",INDEX($AL$8:$AL$21,INDEX($AC$8:$AC$1407,$AG299)+1))</f>
        <v/>
      </c>
      <c r="P299" s="109" t="str">
        <f>IF($AG299="","",INDEX($AD$8:$AD$1407,$AG299))</f>
        <v/>
      </c>
      <c r="Q299" s="92" t="str">
        <f>IF($AG299="","",INDEX($AM$8:$AM$21,INDEX($AC$8:$AC$1407,$AG299)+1))</f>
        <v/>
      </c>
      <c r="R299" s="92" t="str">
        <f>IF($AG299="","",IF($G299&gt;0,P_ToelCorrectie&amp;"",""))</f>
        <v/>
      </c>
      <c r="S299" s="15" t="str">
        <f>IF(J299="","",J299&amp;"|"&amp;E299&amp;"|"&amp;F299&amp;"|"&amp;I299&amp;"|"&amp;O299)</f>
        <v/>
      </c>
      <c r="T299" s="111" t="str">
        <f>IF(S299="","",IF(COUNTIFS(L_Sleutel,S299,L_Actief,1)=0,"",SUMIFS(L_Waarde,L_Sleutel,S299,L_Actief,1)))</f>
        <v/>
      </c>
      <c r="U299" s="111">
        <f>IF(OR(S299="",T299=""),0,P299-T299)</f>
        <v>0</v>
      </c>
      <c r="AB299" s="112" t="n">
        <v>21</v>
      </c>
      <c r="AC299" s="112" t="n">
        <v>11</v>
      </c>
      <c r="AD299" s="112" t="str">
        <f>VERW_Project!BT26</f>
        <v/>
      </c>
      <c r="AE299" s="112">
        <f>IF(AND(VERW_Project!$A26&lt;&gt;"",ISNUMBER(AD299)),1,0)</f>
        <v>0</v>
      </c>
      <c r="AF299" s="112" t="str">
        <f>IF(AE299=1,SUM($AE$8:AE299),"")</f>
        <v/>
      </c>
      <c r="AG299" t="str">
        <f>IFERROR(MATCH(292,$AF$8:$AF$1407,0),"")</f>
        <v/>
      </c>
    </row>
    <row r="300">
      <c r="A300" s="92" t="str">
        <f>IF($AG300="","",P_ImportID)</f>
        <v/>
      </c>
      <c r="B300" s="92" t="str">
        <f>IF($AG300="","",IF(INDEX($AN$8:$AN$21,INDEX($AC$8:$AC$1407,$AG300)+1)="Z",P_BronZ,P_BronE))</f>
        <v/>
      </c>
      <c r="C300" s="108" t="str">
        <f>IF($AG300="","",P_Importdatum)</f>
        <v/>
      </c>
      <c r="D300" s="92" t="str">
        <f>IF($AG300="","",P_StatusVastleg)</f>
        <v/>
      </c>
      <c r="E300" s="92" t="str">
        <f>IF($AG300="","",P_UploadVJ)</f>
        <v/>
      </c>
      <c r="F300" s="92" t="str">
        <f>IF($AG300="","",P_UploadVersie)</f>
        <v/>
      </c>
      <c r="G300" s="92" t="str">
        <f>IF($AG300="","",IF(COUNTIFS(L_Sleutel,$S300,L_Status,"Vastgesteld")=0,0,_xlfn.MAXIFS(L_Revisie,L_Sleutel,$S300,L_Status,"Vastgesteld")+1))</f>
        <v/>
      </c>
      <c r="H300" s="108" t="str">
        <f>IF($AG300="","",P_Peildatum)</f>
        <v/>
      </c>
      <c r="I300" s="92" t="str">
        <f>IF($AG300="","",P_RJ+INDEX($AK$8:$AK$21,INDEX($AC$8:$AC$1407,$AG300)+1))</f>
        <v/>
      </c>
      <c r="J300" s="92" t="str">
        <f>IF($AG300="","",INDEX(V_WBS,INDEX($AB$8:$AB$1407,$AG300)))</f>
        <v/>
      </c>
      <c r="K300" s="92" t="str">
        <f>IF($AG300="","",INDEX(V_Projdef,INDEX($AB$8:$AB$1407,$AG300)))</f>
        <v/>
      </c>
      <c r="L300" s="92" t="str">
        <f>IF($AG300="","",INDEX(V_Naam,INDEX($AB$8:$AB$1407,$AG300)))</f>
        <v/>
      </c>
      <c r="M300" s="92" t="str">
        <f>IF($AG300="","",INDEX(V_Type,INDEX($AB$8:$AB$1407,$AG300)))</f>
        <v/>
      </c>
      <c r="N300" s="92" t="str">
        <f>IF($AG300="","",INDEX(V_IFRS,INDEX($AB$8:$AB$1407,$AG300)))</f>
        <v/>
      </c>
      <c r="O300" s="92" t="str">
        <f>IF($AG300="","",INDEX($AL$8:$AL$21,INDEX($AC$8:$AC$1407,$AG300)+1))</f>
        <v/>
      </c>
      <c r="P300" s="109" t="str">
        <f>IF($AG300="","",INDEX($AD$8:$AD$1407,$AG300))</f>
        <v/>
      </c>
      <c r="Q300" s="92" t="str">
        <f>IF($AG300="","",INDEX($AM$8:$AM$21,INDEX($AC$8:$AC$1407,$AG300)+1))</f>
        <v/>
      </c>
      <c r="R300" s="92" t="str">
        <f>IF($AG300="","",IF($G300&gt;0,P_ToelCorrectie&amp;"",""))</f>
        <v/>
      </c>
      <c r="S300" s="15" t="str">
        <f>IF(J300="","",J300&amp;"|"&amp;E300&amp;"|"&amp;F300&amp;"|"&amp;I300&amp;"|"&amp;O300)</f>
        <v/>
      </c>
      <c r="T300" s="111" t="str">
        <f>IF(S300="","",IF(COUNTIFS(L_Sleutel,S300,L_Actief,1)=0,"",SUMIFS(L_Waarde,L_Sleutel,S300,L_Actief,1)))</f>
        <v/>
      </c>
      <c r="U300" s="111">
        <f>IF(OR(S300="",T300=""),0,P300-T300)</f>
        <v>0</v>
      </c>
      <c r="AB300" s="112" t="n">
        <v>21</v>
      </c>
      <c r="AC300" s="112" t="n">
        <v>12</v>
      </c>
      <c r="AD300" s="112" t="str">
        <f>VERW_Project!BU26</f>
        <v/>
      </c>
      <c r="AE300" s="112">
        <f>IF(AND(VERW_Project!$A26&lt;&gt;"",ISNUMBER(AD300)),1,0)</f>
        <v>0</v>
      </c>
      <c r="AF300" s="112" t="str">
        <f>IF(AE300=1,SUM($AE$8:AE300),"")</f>
        <v/>
      </c>
      <c r="AG300" t="str">
        <f>IFERROR(MATCH(293,$AF$8:$AF$1407,0),"")</f>
        <v/>
      </c>
    </row>
    <row r="301">
      <c r="A301" s="92" t="str">
        <f>IF($AG301="","",P_ImportID)</f>
        <v/>
      </c>
      <c r="B301" s="92" t="str">
        <f>IF($AG301="","",IF(INDEX($AN$8:$AN$21,INDEX($AC$8:$AC$1407,$AG301)+1)="Z",P_BronZ,P_BronE))</f>
        <v/>
      </c>
      <c r="C301" s="108" t="str">
        <f>IF($AG301="","",P_Importdatum)</f>
        <v/>
      </c>
      <c r="D301" s="92" t="str">
        <f>IF($AG301="","",P_StatusVastleg)</f>
        <v/>
      </c>
      <c r="E301" s="92" t="str">
        <f>IF($AG301="","",P_UploadVJ)</f>
        <v/>
      </c>
      <c r="F301" s="92" t="str">
        <f>IF($AG301="","",P_UploadVersie)</f>
        <v/>
      </c>
      <c r="G301" s="92" t="str">
        <f>IF($AG301="","",IF(COUNTIFS(L_Sleutel,$S301,L_Status,"Vastgesteld")=0,0,_xlfn.MAXIFS(L_Revisie,L_Sleutel,$S301,L_Status,"Vastgesteld")+1))</f>
        <v/>
      </c>
      <c r="H301" s="108" t="str">
        <f>IF($AG301="","",P_Peildatum)</f>
        <v/>
      </c>
      <c r="I301" s="92" t="str">
        <f>IF($AG301="","",P_RJ+INDEX($AK$8:$AK$21,INDEX($AC$8:$AC$1407,$AG301)+1))</f>
        <v/>
      </c>
      <c r="J301" s="92" t="str">
        <f>IF($AG301="","",INDEX(V_WBS,INDEX($AB$8:$AB$1407,$AG301)))</f>
        <v/>
      </c>
      <c r="K301" s="92" t="str">
        <f>IF($AG301="","",INDEX(V_Projdef,INDEX($AB$8:$AB$1407,$AG301)))</f>
        <v/>
      </c>
      <c r="L301" s="92" t="str">
        <f>IF($AG301="","",INDEX(V_Naam,INDEX($AB$8:$AB$1407,$AG301)))</f>
        <v/>
      </c>
      <c r="M301" s="92" t="str">
        <f>IF($AG301="","",INDEX(V_Type,INDEX($AB$8:$AB$1407,$AG301)))</f>
        <v/>
      </c>
      <c r="N301" s="92" t="str">
        <f>IF($AG301="","",INDEX(V_IFRS,INDEX($AB$8:$AB$1407,$AG301)))</f>
        <v/>
      </c>
      <c r="O301" s="92" t="str">
        <f>IF($AG301="","",INDEX($AL$8:$AL$21,INDEX($AC$8:$AC$1407,$AG301)+1))</f>
        <v/>
      </c>
      <c r="P301" s="109" t="str">
        <f>IF($AG301="","",INDEX($AD$8:$AD$1407,$AG301))</f>
        <v/>
      </c>
      <c r="Q301" s="92" t="str">
        <f>IF($AG301="","",INDEX($AM$8:$AM$21,INDEX($AC$8:$AC$1407,$AG301)+1))</f>
        <v/>
      </c>
      <c r="R301" s="92" t="str">
        <f>IF($AG301="","",IF($G301&gt;0,P_ToelCorrectie&amp;"",""))</f>
        <v/>
      </c>
      <c r="S301" s="15" t="str">
        <f>IF(J301="","",J301&amp;"|"&amp;E301&amp;"|"&amp;F301&amp;"|"&amp;I301&amp;"|"&amp;O301)</f>
        <v/>
      </c>
      <c r="T301" s="111" t="str">
        <f>IF(S301="","",IF(COUNTIFS(L_Sleutel,S301,L_Actief,1)=0,"",SUMIFS(L_Waarde,L_Sleutel,S301,L_Actief,1)))</f>
        <v/>
      </c>
      <c r="U301" s="111">
        <f>IF(OR(S301="",T301=""),0,P301-T301)</f>
        <v>0</v>
      </c>
      <c r="AB301" s="112" t="n">
        <v>21</v>
      </c>
      <c r="AC301" s="112" t="n">
        <v>13</v>
      </c>
      <c r="AD301" s="112" t="str">
        <f>VERW_Project!BX26</f>
        <v/>
      </c>
      <c r="AE301" s="112">
        <f>IF(AND(VERW_Project!$A26&lt;&gt;"",ISNUMBER(AD301)),1,0)</f>
        <v>0</v>
      </c>
      <c r="AF301" s="112" t="str">
        <f>IF(AE301=1,SUM($AE$8:AE301),"")</f>
        <v/>
      </c>
      <c r="AG301" t="str">
        <f>IFERROR(MATCH(294,$AF$8:$AF$1407,0),"")</f>
        <v/>
      </c>
    </row>
    <row r="302">
      <c r="A302" s="92" t="str">
        <f>IF($AG302="","",P_ImportID)</f>
        <v/>
      </c>
      <c r="B302" s="92" t="str">
        <f>IF($AG302="","",IF(INDEX($AN$8:$AN$21,INDEX($AC$8:$AC$1407,$AG302)+1)="Z",P_BronZ,P_BronE))</f>
        <v/>
      </c>
      <c r="C302" s="108" t="str">
        <f>IF($AG302="","",P_Importdatum)</f>
        <v/>
      </c>
      <c r="D302" s="92" t="str">
        <f>IF($AG302="","",P_StatusVastleg)</f>
        <v/>
      </c>
      <c r="E302" s="92" t="str">
        <f>IF($AG302="","",P_UploadVJ)</f>
        <v/>
      </c>
      <c r="F302" s="92" t="str">
        <f>IF($AG302="","",P_UploadVersie)</f>
        <v/>
      </c>
      <c r="G302" s="92" t="str">
        <f>IF($AG302="","",IF(COUNTIFS(L_Sleutel,$S302,L_Status,"Vastgesteld")=0,0,_xlfn.MAXIFS(L_Revisie,L_Sleutel,$S302,L_Status,"Vastgesteld")+1))</f>
        <v/>
      </c>
      <c r="H302" s="108" t="str">
        <f>IF($AG302="","",P_Peildatum)</f>
        <v/>
      </c>
      <c r="I302" s="92" t="str">
        <f>IF($AG302="","",P_RJ+INDEX($AK$8:$AK$21,INDEX($AC$8:$AC$1407,$AG302)+1))</f>
        <v/>
      </c>
      <c r="J302" s="92" t="str">
        <f>IF($AG302="","",INDEX(V_WBS,INDEX($AB$8:$AB$1407,$AG302)))</f>
        <v/>
      </c>
      <c r="K302" s="92" t="str">
        <f>IF($AG302="","",INDEX(V_Projdef,INDEX($AB$8:$AB$1407,$AG302)))</f>
        <v/>
      </c>
      <c r="L302" s="92" t="str">
        <f>IF($AG302="","",INDEX(V_Naam,INDEX($AB$8:$AB$1407,$AG302)))</f>
        <v/>
      </c>
      <c r="M302" s="92" t="str">
        <f>IF($AG302="","",INDEX(V_Type,INDEX($AB$8:$AB$1407,$AG302)))</f>
        <v/>
      </c>
      <c r="N302" s="92" t="str">
        <f>IF($AG302="","",INDEX(V_IFRS,INDEX($AB$8:$AB$1407,$AG302)))</f>
        <v/>
      </c>
      <c r="O302" s="92" t="str">
        <f>IF($AG302="","",INDEX($AL$8:$AL$21,INDEX($AC$8:$AC$1407,$AG302)+1))</f>
        <v/>
      </c>
      <c r="P302" s="109" t="str">
        <f>IF($AG302="","",INDEX($AD$8:$AD$1407,$AG302))</f>
        <v/>
      </c>
      <c r="Q302" s="92" t="str">
        <f>IF($AG302="","",INDEX($AM$8:$AM$21,INDEX($AC$8:$AC$1407,$AG302)+1))</f>
        <v/>
      </c>
      <c r="R302" s="92" t="str">
        <f>IF($AG302="","",IF($G302&gt;0,P_ToelCorrectie&amp;"",""))</f>
        <v/>
      </c>
      <c r="S302" s="15" t="str">
        <f>IF(J302="","",J302&amp;"|"&amp;E302&amp;"|"&amp;F302&amp;"|"&amp;I302&amp;"|"&amp;O302)</f>
        <v/>
      </c>
      <c r="T302" s="111" t="str">
        <f>IF(S302="","",IF(COUNTIFS(L_Sleutel,S302,L_Actief,1)=0,"",SUMIFS(L_Waarde,L_Sleutel,S302,L_Actief,1)))</f>
        <v/>
      </c>
      <c r="U302" s="111">
        <f>IF(OR(S302="",T302=""),0,P302-T302)</f>
        <v>0</v>
      </c>
      <c r="AB302" s="112" t="n">
        <v>22</v>
      </c>
      <c r="AC302" s="112" t="n">
        <v>0</v>
      </c>
      <c r="AD302" s="112" t="str">
        <f>VERW_Project!P27</f>
        <v/>
      </c>
      <c r="AE302" s="112">
        <f>IF(AND(VERW_Project!$A27&lt;&gt;"",ISNUMBER(AD302)),1,0)</f>
        <v>0</v>
      </c>
      <c r="AF302" s="112" t="str">
        <f>IF(AE302=1,SUM($AE$8:AE302),"")</f>
        <v/>
      </c>
      <c r="AG302" t="str">
        <f>IFERROR(MATCH(295,$AF$8:$AF$1407,0),"")</f>
        <v/>
      </c>
    </row>
    <row r="303">
      <c r="A303" s="92" t="str">
        <f>IF($AG303="","",P_ImportID)</f>
        <v/>
      </c>
      <c r="B303" s="92" t="str">
        <f>IF($AG303="","",IF(INDEX($AN$8:$AN$21,INDEX($AC$8:$AC$1407,$AG303)+1)="Z",P_BronZ,P_BronE))</f>
        <v/>
      </c>
      <c r="C303" s="108" t="str">
        <f>IF($AG303="","",P_Importdatum)</f>
        <v/>
      </c>
      <c r="D303" s="92" t="str">
        <f>IF($AG303="","",P_StatusVastleg)</f>
        <v/>
      </c>
      <c r="E303" s="92" t="str">
        <f>IF($AG303="","",P_UploadVJ)</f>
        <v/>
      </c>
      <c r="F303" s="92" t="str">
        <f>IF($AG303="","",P_UploadVersie)</f>
        <v/>
      </c>
      <c r="G303" s="92" t="str">
        <f>IF($AG303="","",IF(COUNTIFS(L_Sleutel,$S303,L_Status,"Vastgesteld")=0,0,_xlfn.MAXIFS(L_Revisie,L_Sleutel,$S303,L_Status,"Vastgesteld")+1))</f>
        <v/>
      </c>
      <c r="H303" s="108" t="str">
        <f>IF($AG303="","",P_Peildatum)</f>
        <v/>
      </c>
      <c r="I303" s="92" t="str">
        <f>IF($AG303="","",P_RJ+INDEX($AK$8:$AK$21,INDEX($AC$8:$AC$1407,$AG303)+1))</f>
        <v/>
      </c>
      <c r="J303" s="92" t="str">
        <f>IF($AG303="","",INDEX(V_WBS,INDEX($AB$8:$AB$1407,$AG303)))</f>
        <v/>
      </c>
      <c r="K303" s="92" t="str">
        <f>IF($AG303="","",INDEX(V_Projdef,INDEX($AB$8:$AB$1407,$AG303)))</f>
        <v/>
      </c>
      <c r="L303" s="92" t="str">
        <f>IF($AG303="","",INDEX(V_Naam,INDEX($AB$8:$AB$1407,$AG303)))</f>
        <v/>
      </c>
      <c r="M303" s="92" t="str">
        <f>IF($AG303="","",INDEX(V_Type,INDEX($AB$8:$AB$1407,$AG303)))</f>
        <v/>
      </c>
      <c r="N303" s="92" t="str">
        <f>IF($AG303="","",INDEX(V_IFRS,INDEX($AB$8:$AB$1407,$AG303)))</f>
        <v/>
      </c>
      <c r="O303" s="92" t="str">
        <f>IF($AG303="","",INDEX($AL$8:$AL$21,INDEX($AC$8:$AC$1407,$AG303)+1))</f>
        <v/>
      </c>
      <c r="P303" s="109" t="str">
        <f>IF($AG303="","",INDEX($AD$8:$AD$1407,$AG303))</f>
        <v/>
      </c>
      <c r="Q303" s="92" t="str">
        <f>IF($AG303="","",INDEX($AM$8:$AM$21,INDEX($AC$8:$AC$1407,$AG303)+1))</f>
        <v/>
      </c>
      <c r="R303" s="92" t="str">
        <f>IF($AG303="","",IF($G303&gt;0,P_ToelCorrectie&amp;"",""))</f>
        <v/>
      </c>
      <c r="S303" s="15" t="str">
        <f>IF(J303="","",J303&amp;"|"&amp;E303&amp;"|"&amp;F303&amp;"|"&amp;I303&amp;"|"&amp;O303)</f>
        <v/>
      </c>
      <c r="T303" s="111" t="str">
        <f>IF(S303="","",IF(COUNTIFS(L_Sleutel,S303,L_Actief,1)=0,"",SUMIFS(L_Waarde,L_Sleutel,S303,L_Actief,1)))</f>
        <v/>
      </c>
      <c r="U303" s="111">
        <f>IF(OR(S303="",T303=""),0,P303-T303)</f>
        <v>0</v>
      </c>
      <c r="AB303" s="112" t="n">
        <v>22</v>
      </c>
      <c r="AC303" s="112" t="n">
        <v>1</v>
      </c>
      <c r="AD303" s="112" t="str">
        <f>VERW_Project!Q27</f>
        <v/>
      </c>
      <c r="AE303" s="112">
        <f>IF(AND(VERW_Project!$A27&lt;&gt;"",ISNUMBER(AD303)),1,0)</f>
        <v>0</v>
      </c>
      <c r="AF303" s="112" t="str">
        <f>IF(AE303=1,SUM($AE$8:AE303),"")</f>
        <v/>
      </c>
      <c r="AG303" t="str">
        <f>IFERROR(MATCH(296,$AF$8:$AF$1407,0),"")</f>
        <v/>
      </c>
    </row>
    <row r="304">
      <c r="A304" s="92" t="str">
        <f>IF($AG304="","",P_ImportID)</f>
        <v/>
      </c>
      <c r="B304" s="92" t="str">
        <f>IF($AG304="","",IF(INDEX($AN$8:$AN$21,INDEX($AC$8:$AC$1407,$AG304)+1)="Z",P_BronZ,P_BronE))</f>
        <v/>
      </c>
      <c r="C304" s="108" t="str">
        <f>IF($AG304="","",P_Importdatum)</f>
        <v/>
      </c>
      <c r="D304" s="92" t="str">
        <f>IF($AG304="","",P_StatusVastleg)</f>
        <v/>
      </c>
      <c r="E304" s="92" t="str">
        <f>IF($AG304="","",P_UploadVJ)</f>
        <v/>
      </c>
      <c r="F304" s="92" t="str">
        <f>IF($AG304="","",P_UploadVersie)</f>
        <v/>
      </c>
      <c r="G304" s="92" t="str">
        <f>IF($AG304="","",IF(COUNTIFS(L_Sleutel,$S304,L_Status,"Vastgesteld")=0,0,_xlfn.MAXIFS(L_Revisie,L_Sleutel,$S304,L_Status,"Vastgesteld")+1))</f>
        <v/>
      </c>
      <c r="H304" s="108" t="str">
        <f>IF($AG304="","",P_Peildatum)</f>
        <v/>
      </c>
      <c r="I304" s="92" t="str">
        <f>IF($AG304="","",P_RJ+INDEX($AK$8:$AK$21,INDEX($AC$8:$AC$1407,$AG304)+1))</f>
        <v/>
      </c>
      <c r="J304" s="92" t="str">
        <f>IF($AG304="","",INDEX(V_WBS,INDEX($AB$8:$AB$1407,$AG304)))</f>
        <v/>
      </c>
      <c r="K304" s="92" t="str">
        <f>IF($AG304="","",INDEX(V_Projdef,INDEX($AB$8:$AB$1407,$AG304)))</f>
        <v/>
      </c>
      <c r="L304" s="92" t="str">
        <f>IF($AG304="","",INDEX(V_Naam,INDEX($AB$8:$AB$1407,$AG304)))</f>
        <v/>
      </c>
      <c r="M304" s="92" t="str">
        <f>IF($AG304="","",INDEX(V_Type,INDEX($AB$8:$AB$1407,$AG304)))</f>
        <v/>
      </c>
      <c r="N304" s="92" t="str">
        <f>IF($AG304="","",INDEX(V_IFRS,INDEX($AB$8:$AB$1407,$AG304)))</f>
        <v/>
      </c>
      <c r="O304" s="92" t="str">
        <f>IF($AG304="","",INDEX($AL$8:$AL$21,INDEX($AC$8:$AC$1407,$AG304)+1))</f>
        <v/>
      </c>
      <c r="P304" s="109" t="str">
        <f>IF($AG304="","",INDEX($AD$8:$AD$1407,$AG304))</f>
        <v/>
      </c>
      <c r="Q304" s="92" t="str">
        <f>IF($AG304="","",INDEX($AM$8:$AM$21,INDEX($AC$8:$AC$1407,$AG304)+1))</f>
        <v/>
      </c>
      <c r="R304" s="92" t="str">
        <f>IF($AG304="","",IF($G304&gt;0,P_ToelCorrectie&amp;"",""))</f>
        <v/>
      </c>
      <c r="S304" s="15" t="str">
        <f>IF(J304="","",J304&amp;"|"&amp;E304&amp;"|"&amp;F304&amp;"|"&amp;I304&amp;"|"&amp;O304)</f>
        <v/>
      </c>
      <c r="T304" s="111" t="str">
        <f>IF(S304="","",IF(COUNTIFS(L_Sleutel,S304,L_Actief,1)=0,"",SUMIFS(L_Waarde,L_Sleutel,S304,L_Actief,1)))</f>
        <v/>
      </c>
      <c r="U304" s="111">
        <f>IF(OR(S304="",T304=""),0,P304-T304)</f>
        <v>0</v>
      </c>
      <c r="AB304" s="112" t="n">
        <v>22</v>
      </c>
      <c r="AC304" s="112" t="n">
        <v>2</v>
      </c>
      <c r="AD304" s="112" t="str">
        <f>VERW_Project!L27</f>
        <v/>
      </c>
      <c r="AE304" s="112">
        <f>IF(AND(VERW_Project!$A27&lt;&gt;"",ISNUMBER(AD304)),1,0)</f>
        <v>0</v>
      </c>
      <c r="AF304" s="112" t="str">
        <f>IF(AE304=1,SUM($AE$8:AE304),"")</f>
        <v/>
      </c>
      <c r="AG304" t="str">
        <f>IFERROR(MATCH(297,$AF$8:$AF$1407,0),"")</f>
        <v/>
      </c>
    </row>
    <row r="305">
      <c r="A305" s="92" t="str">
        <f>IF($AG305="","",P_ImportID)</f>
        <v/>
      </c>
      <c r="B305" s="92" t="str">
        <f>IF($AG305="","",IF(INDEX($AN$8:$AN$21,INDEX($AC$8:$AC$1407,$AG305)+1)="Z",P_BronZ,P_BronE))</f>
        <v/>
      </c>
      <c r="C305" s="108" t="str">
        <f>IF($AG305="","",P_Importdatum)</f>
        <v/>
      </c>
      <c r="D305" s="92" t="str">
        <f>IF($AG305="","",P_StatusVastleg)</f>
        <v/>
      </c>
      <c r="E305" s="92" t="str">
        <f>IF($AG305="","",P_UploadVJ)</f>
        <v/>
      </c>
      <c r="F305" s="92" t="str">
        <f>IF($AG305="","",P_UploadVersie)</f>
        <v/>
      </c>
      <c r="G305" s="92" t="str">
        <f>IF($AG305="","",IF(COUNTIFS(L_Sleutel,$S305,L_Status,"Vastgesteld")=0,0,_xlfn.MAXIFS(L_Revisie,L_Sleutel,$S305,L_Status,"Vastgesteld")+1))</f>
        <v/>
      </c>
      <c r="H305" s="108" t="str">
        <f>IF($AG305="","",P_Peildatum)</f>
        <v/>
      </c>
      <c r="I305" s="92" t="str">
        <f>IF($AG305="","",P_RJ+INDEX($AK$8:$AK$21,INDEX($AC$8:$AC$1407,$AG305)+1))</f>
        <v/>
      </c>
      <c r="J305" s="92" t="str">
        <f>IF($AG305="","",INDEX(V_WBS,INDEX($AB$8:$AB$1407,$AG305)))</f>
        <v/>
      </c>
      <c r="K305" s="92" t="str">
        <f>IF($AG305="","",INDEX(V_Projdef,INDEX($AB$8:$AB$1407,$AG305)))</f>
        <v/>
      </c>
      <c r="L305" s="92" t="str">
        <f>IF($AG305="","",INDEX(V_Naam,INDEX($AB$8:$AB$1407,$AG305)))</f>
        <v/>
      </c>
      <c r="M305" s="92" t="str">
        <f>IF($AG305="","",INDEX(V_Type,INDEX($AB$8:$AB$1407,$AG305)))</f>
        <v/>
      </c>
      <c r="N305" s="92" t="str">
        <f>IF($AG305="","",INDEX(V_IFRS,INDEX($AB$8:$AB$1407,$AG305)))</f>
        <v/>
      </c>
      <c r="O305" s="92" t="str">
        <f>IF($AG305="","",INDEX($AL$8:$AL$21,INDEX($AC$8:$AC$1407,$AG305)+1))</f>
        <v/>
      </c>
      <c r="P305" s="109" t="str">
        <f>IF($AG305="","",INDEX($AD$8:$AD$1407,$AG305))</f>
        <v/>
      </c>
      <c r="Q305" s="92" t="str">
        <f>IF($AG305="","",INDEX($AM$8:$AM$21,INDEX($AC$8:$AC$1407,$AG305)+1))</f>
        <v/>
      </c>
      <c r="R305" s="92" t="str">
        <f>IF($AG305="","",IF($G305&gt;0,P_ToelCorrectie&amp;"",""))</f>
        <v/>
      </c>
      <c r="S305" s="15" t="str">
        <f>IF(J305="","",J305&amp;"|"&amp;E305&amp;"|"&amp;F305&amp;"|"&amp;I305&amp;"|"&amp;O305)</f>
        <v/>
      </c>
      <c r="T305" s="111" t="str">
        <f>IF(S305="","",IF(COUNTIFS(L_Sleutel,S305,L_Actief,1)=0,"",SUMIFS(L_Waarde,L_Sleutel,S305,L_Actief,1)))</f>
        <v/>
      </c>
      <c r="U305" s="111">
        <f>IF(OR(S305="",T305=""),0,P305-T305)</f>
        <v>0</v>
      </c>
      <c r="AB305" s="112" t="n">
        <v>22</v>
      </c>
      <c r="AC305" s="112" t="n">
        <v>3</v>
      </c>
      <c r="AD305" s="112" t="str">
        <f>VERW_Project!M27</f>
        <v/>
      </c>
      <c r="AE305" s="112">
        <f>IF(AND(VERW_Project!$A27&lt;&gt;"",ISNUMBER(AD305)),1,0)</f>
        <v>0</v>
      </c>
      <c r="AF305" s="112" t="str">
        <f>IF(AE305=1,SUM($AE$8:AE305),"")</f>
        <v/>
      </c>
      <c r="AG305" t="str">
        <f>IFERROR(MATCH(298,$AF$8:$AF$1407,0),"")</f>
        <v/>
      </c>
    </row>
    <row r="306">
      <c r="A306" s="92" t="str">
        <f>IF($AG306="","",P_ImportID)</f>
        <v/>
      </c>
      <c r="B306" s="92" t="str">
        <f>IF($AG306="","",IF(INDEX($AN$8:$AN$21,INDEX($AC$8:$AC$1407,$AG306)+1)="Z",P_BronZ,P_BronE))</f>
        <v/>
      </c>
      <c r="C306" s="108" t="str">
        <f>IF($AG306="","",P_Importdatum)</f>
        <v/>
      </c>
      <c r="D306" s="92" t="str">
        <f>IF($AG306="","",P_StatusVastleg)</f>
        <v/>
      </c>
      <c r="E306" s="92" t="str">
        <f>IF($AG306="","",P_UploadVJ)</f>
        <v/>
      </c>
      <c r="F306" s="92" t="str">
        <f>IF($AG306="","",P_UploadVersie)</f>
        <v/>
      </c>
      <c r="G306" s="92" t="str">
        <f>IF($AG306="","",IF(COUNTIFS(L_Sleutel,$S306,L_Status,"Vastgesteld")=0,0,_xlfn.MAXIFS(L_Revisie,L_Sleutel,$S306,L_Status,"Vastgesteld")+1))</f>
        <v/>
      </c>
      <c r="H306" s="108" t="str">
        <f>IF($AG306="","",P_Peildatum)</f>
        <v/>
      </c>
      <c r="I306" s="92" t="str">
        <f>IF($AG306="","",P_RJ+INDEX($AK$8:$AK$21,INDEX($AC$8:$AC$1407,$AG306)+1))</f>
        <v/>
      </c>
      <c r="J306" s="92" t="str">
        <f>IF($AG306="","",INDEX(V_WBS,INDEX($AB$8:$AB$1407,$AG306)))</f>
        <v/>
      </c>
      <c r="K306" s="92" t="str">
        <f>IF($AG306="","",INDEX(V_Projdef,INDEX($AB$8:$AB$1407,$AG306)))</f>
        <v/>
      </c>
      <c r="L306" s="92" t="str">
        <f>IF($AG306="","",INDEX(V_Naam,INDEX($AB$8:$AB$1407,$AG306)))</f>
        <v/>
      </c>
      <c r="M306" s="92" t="str">
        <f>IF($AG306="","",INDEX(V_Type,INDEX($AB$8:$AB$1407,$AG306)))</f>
        <v/>
      </c>
      <c r="N306" s="92" t="str">
        <f>IF($AG306="","",INDEX(V_IFRS,INDEX($AB$8:$AB$1407,$AG306)))</f>
        <v/>
      </c>
      <c r="O306" s="92" t="str">
        <f>IF($AG306="","",INDEX($AL$8:$AL$21,INDEX($AC$8:$AC$1407,$AG306)+1))</f>
        <v/>
      </c>
      <c r="P306" s="109" t="str">
        <f>IF($AG306="","",INDEX($AD$8:$AD$1407,$AG306))</f>
        <v/>
      </c>
      <c r="Q306" s="92" t="str">
        <f>IF($AG306="","",INDEX($AM$8:$AM$21,INDEX($AC$8:$AC$1407,$AG306)+1))</f>
        <v/>
      </c>
      <c r="R306" s="92" t="str">
        <f>IF($AG306="","",IF($G306&gt;0,P_ToelCorrectie&amp;"",""))</f>
        <v/>
      </c>
      <c r="S306" s="15" t="str">
        <f>IF(J306="","",J306&amp;"|"&amp;E306&amp;"|"&amp;F306&amp;"|"&amp;I306&amp;"|"&amp;O306)</f>
        <v/>
      </c>
      <c r="T306" s="111" t="str">
        <f>IF(S306="","",IF(COUNTIFS(L_Sleutel,S306,L_Actief,1)=0,"",SUMIFS(L_Waarde,L_Sleutel,S306,L_Actief,1)))</f>
        <v/>
      </c>
      <c r="U306" s="111">
        <f>IF(OR(S306="",T306=""),0,P306-T306)</f>
        <v>0</v>
      </c>
      <c r="AB306" s="112" t="n">
        <v>22</v>
      </c>
      <c r="AC306" s="112" t="n">
        <v>4</v>
      </c>
      <c r="AD306" s="112" t="str">
        <f>VERW_Project!R27</f>
        <v/>
      </c>
      <c r="AE306" s="112">
        <f>IF(AND(VERW_Project!$A27&lt;&gt;"",ISNUMBER(AD306)),1,0)</f>
        <v>0</v>
      </c>
      <c r="AF306" s="112" t="str">
        <f>IF(AE306=1,SUM($AE$8:AE306),"")</f>
        <v/>
      </c>
      <c r="AG306" t="str">
        <f>IFERROR(MATCH(299,$AF$8:$AF$1407,0),"")</f>
        <v/>
      </c>
    </row>
    <row r="307">
      <c r="A307" s="92" t="str">
        <f>IF($AG307="","",P_ImportID)</f>
        <v/>
      </c>
      <c r="B307" s="92" t="str">
        <f>IF($AG307="","",IF(INDEX($AN$8:$AN$21,INDEX($AC$8:$AC$1407,$AG307)+1)="Z",P_BronZ,P_BronE))</f>
        <v/>
      </c>
      <c r="C307" s="108" t="str">
        <f>IF($AG307="","",P_Importdatum)</f>
        <v/>
      </c>
      <c r="D307" s="92" t="str">
        <f>IF($AG307="","",P_StatusVastleg)</f>
        <v/>
      </c>
      <c r="E307" s="92" t="str">
        <f>IF($AG307="","",P_UploadVJ)</f>
        <v/>
      </c>
      <c r="F307" s="92" t="str">
        <f>IF($AG307="","",P_UploadVersie)</f>
        <v/>
      </c>
      <c r="G307" s="92" t="str">
        <f>IF($AG307="","",IF(COUNTIFS(L_Sleutel,$S307,L_Status,"Vastgesteld")=0,0,_xlfn.MAXIFS(L_Revisie,L_Sleutel,$S307,L_Status,"Vastgesteld")+1))</f>
        <v/>
      </c>
      <c r="H307" s="108" t="str">
        <f>IF($AG307="","",P_Peildatum)</f>
        <v/>
      </c>
      <c r="I307" s="92" t="str">
        <f>IF($AG307="","",P_RJ+INDEX($AK$8:$AK$21,INDEX($AC$8:$AC$1407,$AG307)+1))</f>
        <v/>
      </c>
      <c r="J307" s="92" t="str">
        <f>IF($AG307="","",INDEX(V_WBS,INDEX($AB$8:$AB$1407,$AG307)))</f>
        <v/>
      </c>
      <c r="K307" s="92" t="str">
        <f>IF($AG307="","",INDEX(V_Projdef,INDEX($AB$8:$AB$1407,$AG307)))</f>
        <v/>
      </c>
      <c r="L307" s="92" t="str">
        <f>IF($AG307="","",INDEX(V_Naam,INDEX($AB$8:$AB$1407,$AG307)))</f>
        <v/>
      </c>
      <c r="M307" s="92" t="str">
        <f>IF($AG307="","",INDEX(V_Type,INDEX($AB$8:$AB$1407,$AG307)))</f>
        <v/>
      </c>
      <c r="N307" s="92" t="str">
        <f>IF($AG307="","",INDEX(V_IFRS,INDEX($AB$8:$AB$1407,$AG307)))</f>
        <v/>
      </c>
      <c r="O307" s="92" t="str">
        <f>IF($AG307="","",INDEX($AL$8:$AL$21,INDEX($AC$8:$AC$1407,$AG307)+1))</f>
        <v/>
      </c>
      <c r="P307" s="109" t="str">
        <f>IF($AG307="","",INDEX($AD$8:$AD$1407,$AG307))</f>
        <v/>
      </c>
      <c r="Q307" s="92" t="str">
        <f>IF($AG307="","",INDEX($AM$8:$AM$21,INDEX($AC$8:$AC$1407,$AG307)+1))</f>
        <v/>
      </c>
      <c r="R307" s="92" t="str">
        <f>IF($AG307="","",IF($G307&gt;0,P_ToelCorrectie&amp;"",""))</f>
        <v/>
      </c>
      <c r="S307" s="15" t="str">
        <f>IF(J307="","",J307&amp;"|"&amp;E307&amp;"|"&amp;F307&amp;"|"&amp;I307&amp;"|"&amp;O307)</f>
        <v/>
      </c>
      <c r="T307" s="111" t="str">
        <f>IF(S307="","",IF(COUNTIFS(L_Sleutel,S307,L_Actief,1)=0,"",SUMIFS(L_Waarde,L_Sleutel,S307,L_Actief,1)))</f>
        <v/>
      </c>
      <c r="U307" s="111">
        <f>IF(OR(S307="",T307=""),0,P307-T307)</f>
        <v>0</v>
      </c>
      <c r="AB307" s="112" t="n">
        <v>22</v>
      </c>
      <c r="AC307" s="112" t="n">
        <v>5</v>
      </c>
      <c r="AD307" s="112" t="str">
        <f>VERW_Project!S27</f>
        <v/>
      </c>
      <c r="AE307" s="112">
        <f>IF(AND(VERW_Project!$A27&lt;&gt;"",ISNUMBER(AD307)),1,0)</f>
        <v>0</v>
      </c>
      <c r="AF307" s="112" t="str">
        <f>IF(AE307=1,SUM($AE$8:AE307),"")</f>
        <v/>
      </c>
      <c r="AG307" t="str">
        <f>IFERROR(MATCH(300,$AF$8:$AF$1407,0),"")</f>
        <v/>
      </c>
    </row>
    <row r="308">
      <c r="A308" s="92" t="str">
        <f>IF($AG308="","",P_ImportID)</f>
        <v/>
      </c>
      <c r="B308" s="92" t="str">
        <f>IF($AG308="","",IF(INDEX($AN$8:$AN$21,INDEX($AC$8:$AC$1407,$AG308)+1)="Z",P_BronZ,P_BronE))</f>
        <v/>
      </c>
      <c r="C308" s="108" t="str">
        <f>IF($AG308="","",P_Importdatum)</f>
        <v/>
      </c>
      <c r="D308" s="92" t="str">
        <f>IF($AG308="","",P_StatusVastleg)</f>
        <v/>
      </c>
      <c r="E308" s="92" t="str">
        <f>IF($AG308="","",P_UploadVJ)</f>
        <v/>
      </c>
      <c r="F308" s="92" t="str">
        <f>IF($AG308="","",P_UploadVersie)</f>
        <v/>
      </c>
      <c r="G308" s="92" t="str">
        <f>IF($AG308="","",IF(COUNTIFS(L_Sleutel,$S308,L_Status,"Vastgesteld")=0,0,_xlfn.MAXIFS(L_Revisie,L_Sleutel,$S308,L_Status,"Vastgesteld")+1))</f>
        <v/>
      </c>
      <c r="H308" s="108" t="str">
        <f>IF($AG308="","",P_Peildatum)</f>
        <v/>
      </c>
      <c r="I308" s="92" t="str">
        <f>IF($AG308="","",P_RJ+INDEX($AK$8:$AK$21,INDEX($AC$8:$AC$1407,$AG308)+1))</f>
        <v/>
      </c>
      <c r="J308" s="92" t="str">
        <f>IF($AG308="","",INDEX(V_WBS,INDEX($AB$8:$AB$1407,$AG308)))</f>
        <v/>
      </c>
      <c r="K308" s="92" t="str">
        <f>IF($AG308="","",INDEX(V_Projdef,INDEX($AB$8:$AB$1407,$AG308)))</f>
        <v/>
      </c>
      <c r="L308" s="92" t="str">
        <f>IF($AG308="","",INDEX(V_Naam,INDEX($AB$8:$AB$1407,$AG308)))</f>
        <v/>
      </c>
      <c r="M308" s="92" t="str">
        <f>IF($AG308="","",INDEX(V_Type,INDEX($AB$8:$AB$1407,$AG308)))</f>
        <v/>
      </c>
      <c r="N308" s="92" t="str">
        <f>IF($AG308="","",INDEX(V_IFRS,INDEX($AB$8:$AB$1407,$AG308)))</f>
        <v/>
      </c>
      <c r="O308" s="92" t="str">
        <f>IF($AG308="","",INDEX($AL$8:$AL$21,INDEX($AC$8:$AC$1407,$AG308)+1))</f>
        <v/>
      </c>
      <c r="P308" s="109" t="str">
        <f>IF($AG308="","",INDEX($AD$8:$AD$1407,$AG308))</f>
        <v/>
      </c>
      <c r="Q308" s="92" t="str">
        <f>IF($AG308="","",INDEX($AM$8:$AM$21,INDEX($AC$8:$AC$1407,$AG308)+1))</f>
        <v/>
      </c>
      <c r="R308" s="92" t="str">
        <f>IF($AG308="","",IF($G308&gt;0,P_ToelCorrectie&amp;"",""))</f>
        <v/>
      </c>
      <c r="S308" s="15" t="str">
        <f>IF(J308="","",J308&amp;"|"&amp;E308&amp;"|"&amp;F308&amp;"|"&amp;I308&amp;"|"&amp;O308)</f>
        <v/>
      </c>
      <c r="T308" s="111" t="str">
        <f>IF(S308="","",IF(COUNTIFS(L_Sleutel,S308,L_Actief,1)=0,"",SUMIFS(L_Waarde,L_Sleutel,S308,L_Actief,1)))</f>
        <v/>
      </c>
      <c r="U308" s="111">
        <f>IF(OR(S308="",T308=""),0,P308-T308)</f>
        <v>0</v>
      </c>
      <c r="AB308" s="112" t="n">
        <v>22</v>
      </c>
      <c r="AC308" s="112" t="n">
        <v>6</v>
      </c>
      <c r="AD308" s="112" t="str">
        <f>VERW_Project!BW27</f>
        <v/>
      </c>
      <c r="AE308" s="112">
        <f>IF(AND(VERW_Project!$A27&lt;&gt;"",ISNUMBER(AD308)),1,0)</f>
        <v>0</v>
      </c>
      <c r="AF308" s="112" t="str">
        <f>IF(AE308=1,SUM($AE$8:AE308),"")</f>
        <v/>
      </c>
      <c r="AG308" t="str">
        <f>IFERROR(MATCH(301,$AF$8:$AF$1407,0),"")</f>
        <v/>
      </c>
    </row>
    <row r="309">
      <c r="A309" s="92" t="str">
        <f>IF($AG309="","",P_ImportID)</f>
        <v/>
      </c>
      <c r="B309" s="92" t="str">
        <f>IF($AG309="","",IF(INDEX($AN$8:$AN$21,INDEX($AC$8:$AC$1407,$AG309)+1)="Z",P_BronZ,P_BronE))</f>
        <v/>
      </c>
      <c r="C309" s="108" t="str">
        <f>IF($AG309="","",P_Importdatum)</f>
        <v/>
      </c>
      <c r="D309" s="92" t="str">
        <f>IF($AG309="","",P_StatusVastleg)</f>
        <v/>
      </c>
      <c r="E309" s="92" t="str">
        <f>IF($AG309="","",P_UploadVJ)</f>
        <v/>
      </c>
      <c r="F309" s="92" t="str">
        <f>IF($AG309="","",P_UploadVersie)</f>
        <v/>
      </c>
      <c r="G309" s="92" t="str">
        <f>IF($AG309="","",IF(COUNTIFS(L_Sleutel,$S309,L_Status,"Vastgesteld")=0,0,_xlfn.MAXIFS(L_Revisie,L_Sleutel,$S309,L_Status,"Vastgesteld")+1))</f>
        <v/>
      </c>
      <c r="H309" s="108" t="str">
        <f>IF($AG309="","",P_Peildatum)</f>
        <v/>
      </c>
      <c r="I309" s="92" t="str">
        <f>IF($AG309="","",P_RJ+INDEX($AK$8:$AK$21,INDEX($AC$8:$AC$1407,$AG309)+1))</f>
        <v/>
      </c>
      <c r="J309" s="92" t="str">
        <f>IF($AG309="","",INDEX(V_WBS,INDEX($AB$8:$AB$1407,$AG309)))</f>
        <v/>
      </c>
      <c r="K309" s="92" t="str">
        <f>IF($AG309="","",INDEX(V_Projdef,INDEX($AB$8:$AB$1407,$AG309)))</f>
        <v/>
      </c>
      <c r="L309" s="92" t="str">
        <f>IF($AG309="","",INDEX(V_Naam,INDEX($AB$8:$AB$1407,$AG309)))</f>
        <v/>
      </c>
      <c r="M309" s="92" t="str">
        <f>IF($AG309="","",INDEX(V_Type,INDEX($AB$8:$AB$1407,$AG309)))</f>
        <v/>
      </c>
      <c r="N309" s="92" t="str">
        <f>IF($AG309="","",INDEX(V_IFRS,INDEX($AB$8:$AB$1407,$AG309)))</f>
        <v/>
      </c>
      <c r="O309" s="92" t="str">
        <f>IF($AG309="","",INDEX($AL$8:$AL$21,INDEX($AC$8:$AC$1407,$AG309)+1))</f>
        <v/>
      </c>
      <c r="P309" s="109" t="str">
        <f>IF($AG309="","",INDEX($AD$8:$AD$1407,$AG309))</f>
        <v/>
      </c>
      <c r="Q309" s="92" t="str">
        <f>IF($AG309="","",INDEX($AM$8:$AM$21,INDEX($AC$8:$AC$1407,$AG309)+1))</f>
        <v/>
      </c>
      <c r="R309" s="92" t="str">
        <f>IF($AG309="","",IF($G309&gt;0,P_ToelCorrectie&amp;"",""))</f>
        <v/>
      </c>
      <c r="S309" s="15" t="str">
        <f>IF(J309="","",J309&amp;"|"&amp;E309&amp;"|"&amp;F309&amp;"|"&amp;I309&amp;"|"&amp;O309)</f>
        <v/>
      </c>
      <c r="T309" s="111" t="str">
        <f>IF(S309="","",IF(COUNTIFS(L_Sleutel,S309,L_Actief,1)=0,"",SUMIFS(L_Waarde,L_Sleutel,S309,L_Actief,1)))</f>
        <v/>
      </c>
      <c r="U309" s="111">
        <f>IF(OR(S309="",T309=""),0,P309-T309)</f>
        <v>0</v>
      </c>
      <c r="AB309" s="112" t="n">
        <v>22</v>
      </c>
      <c r="AC309" s="112" t="n">
        <v>7</v>
      </c>
      <c r="AD309" s="112" t="str">
        <f>VERW_Project!AW27</f>
        <v/>
      </c>
      <c r="AE309" s="112">
        <f>IF(AND(VERW_Project!$A27&lt;&gt;"",ISNUMBER(AD309)),1,0)</f>
        <v>0</v>
      </c>
      <c r="AF309" s="112" t="str">
        <f>IF(AE309=1,SUM($AE$8:AE309),"")</f>
        <v/>
      </c>
      <c r="AG309" t="str">
        <f>IFERROR(MATCH(302,$AF$8:$AF$1407,0),"")</f>
        <v/>
      </c>
    </row>
    <row r="310">
      <c r="A310" s="92" t="str">
        <f>IF($AG310="","",P_ImportID)</f>
        <v/>
      </c>
      <c r="B310" s="92" t="str">
        <f>IF($AG310="","",IF(INDEX($AN$8:$AN$21,INDEX($AC$8:$AC$1407,$AG310)+1)="Z",P_BronZ,P_BronE))</f>
        <v/>
      </c>
      <c r="C310" s="108" t="str">
        <f>IF($AG310="","",P_Importdatum)</f>
        <v/>
      </c>
      <c r="D310" s="92" t="str">
        <f>IF($AG310="","",P_StatusVastleg)</f>
        <v/>
      </c>
      <c r="E310" s="92" t="str">
        <f>IF($AG310="","",P_UploadVJ)</f>
        <v/>
      </c>
      <c r="F310" s="92" t="str">
        <f>IF($AG310="","",P_UploadVersie)</f>
        <v/>
      </c>
      <c r="G310" s="92" t="str">
        <f>IF($AG310="","",IF(COUNTIFS(L_Sleutel,$S310,L_Status,"Vastgesteld")=0,0,_xlfn.MAXIFS(L_Revisie,L_Sleutel,$S310,L_Status,"Vastgesteld")+1))</f>
        <v/>
      </c>
      <c r="H310" s="108" t="str">
        <f>IF($AG310="","",P_Peildatum)</f>
        <v/>
      </c>
      <c r="I310" s="92" t="str">
        <f>IF($AG310="","",P_RJ+INDEX($AK$8:$AK$21,INDEX($AC$8:$AC$1407,$AG310)+1))</f>
        <v/>
      </c>
      <c r="J310" s="92" t="str">
        <f>IF($AG310="","",INDEX(V_WBS,INDEX($AB$8:$AB$1407,$AG310)))</f>
        <v/>
      </c>
      <c r="K310" s="92" t="str">
        <f>IF($AG310="","",INDEX(V_Projdef,INDEX($AB$8:$AB$1407,$AG310)))</f>
        <v/>
      </c>
      <c r="L310" s="92" t="str">
        <f>IF($AG310="","",INDEX(V_Naam,INDEX($AB$8:$AB$1407,$AG310)))</f>
        <v/>
      </c>
      <c r="M310" s="92" t="str">
        <f>IF($AG310="","",INDEX(V_Type,INDEX($AB$8:$AB$1407,$AG310)))</f>
        <v/>
      </c>
      <c r="N310" s="92" t="str">
        <f>IF($AG310="","",INDEX(V_IFRS,INDEX($AB$8:$AB$1407,$AG310)))</f>
        <v/>
      </c>
      <c r="O310" s="92" t="str">
        <f>IF($AG310="","",INDEX($AL$8:$AL$21,INDEX($AC$8:$AC$1407,$AG310)+1))</f>
        <v/>
      </c>
      <c r="P310" s="109" t="str">
        <f>IF($AG310="","",INDEX($AD$8:$AD$1407,$AG310))</f>
        <v/>
      </c>
      <c r="Q310" s="92" t="str">
        <f>IF($AG310="","",INDEX($AM$8:$AM$21,INDEX($AC$8:$AC$1407,$AG310)+1))</f>
        <v/>
      </c>
      <c r="R310" s="92" t="str">
        <f>IF($AG310="","",IF($G310&gt;0,P_ToelCorrectie&amp;"",""))</f>
        <v/>
      </c>
      <c r="S310" s="15" t="str">
        <f>IF(J310="","",J310&amp;"|"&amp;E310&amp;"|"&amp;F310&amp;"|"&amp;I310&amp;"|"&amp;O310)</f>
        <v/>
      </c>
      <c r="T310" s="111" t="str">
        <f>IF(S310="","",IF(COUNTIFS(L_Sleutel,S310,L_Actief,1)=0,"",SUMIFS(L_Waarde,L_Sleutel,S310,L_Actief,1)))</f>
        <v/>
      </c>
      <c r="U310" s="111">
        <f>IF(OR(S310="",T310=""),0,P310-T310)</f>
        <v>0</v>
      </c>
      <c r="AB310" s="112" t="n">
        <v>22</v>
      </c>
      <c r="AC310" s="112" t="n">
        <v>8</v>
      </c>
      <c r="AD310" s="112" t="str">
        <f>VERW_Project!BQ27</f>
        <v/>
      </c>
      <c r="AE310" s="112">
        <f>IF(AND(VERW_Project!$A27&lt;&gt;"",ISNUMBER(AD310)),1,0)</f>
        <v>0</v>
      </c>
      <c r="AF310" s="112" t="str">
        <f>IF(AE310=1,SUM($AE$8:AE310),"")</f>
        <v/>
      </c>
      <c r="AG310" t="str">
        <f>IFERROR(MATCH(303,$AF$8:$AF$1407,0),"")</f>
        <v/>
      </c>
    </row>
    <row r="311">
      <c r="A311" s="92" t="str">
        <f>IF($AG311="","",P_ImportID)</f>
        <v/>
      </c>
      <c r="B311" s="92" t="str">
        <f>IF($AG311="","",IF(INDEX($AN$8:$AN$21,INDEX($AC$8:$AC$1407,$AG311)+1)="Z",P_BronZ,P_BronE))</f>
        <v/>
      </c>
      <c r="C311" s="108" t="str">
        <f>IF($AG311="","",P_Importdatum)</f>
        <v/>
      </c>
      <c r="D311" s="92" t="str">
        <f>IF($AG311="","",P_StatusVastleg)</f>
        <v/>
      </c>
      <c r="E311" s="92" t="str">
        <f>IF($AG311="","",P_UploadVJ)</f>
        <v/>
      </c>
      <c r="F311" s="92" t="str">
        <f>IF($AG311="","",P_UploadVersie)</f>
        <v/>
      </c>
      <c r="G311" s="92" t="str">
        <f>IF($AG311="","",IF(COUNTIFS(L_Sleutel,$S311,L_Status,"Vastgesteld")=0,0,_xlfn.MAXIFS(L_Revisie,L_Sleutel,$S311,L_Status,"Vastgesteld")+1))</f>
        <v/>
      </c>
      <c r="H311" s="108" t="str">
        <f>IF($AG311="","",P_Peildatum)</f>
        <v/>
      </c>
      <c r="I311" s="92" t="str">
        <f>IF($AG311="","",P_RJ+INDEX($AK$8:$AK$21,INDEX($AC$8:$AC$1407,$AG311)+1))</f>
        <v/>
      </c>
      <c r="J311" s="92" t="str">
        <f>IF($AG311="","",INDEX(V_WBS,INDEX($AB$8:$AB$1407,$AG311)))</f>
        <v/>
      </c>
      <c r="K311" s="92" t="str">
        <f>IF($AG311="","",INDEX(V_Projdef,INDEX($AB$8:$AB$1407,$AG311)))</f>
        <v/>
      </c>
      <c r="L311" s="92" t="str">
        <f>IF($AG311="","",INDEX(V_Naam,INDEX($AB$8:$AB$1407,$AG311)))</f>
        <v/>
      </c>
      <c r="M311" s="92" t="str">
        <f>IF($AG311="","",INDEX(V_Type,INDEX($AB$8:$AB$1407,$AG311)))</f>
        <v/>
      </c>
      <c r="N311" s="92" t="str">
        <f>IF($AG311="","",INDEX(V_IFRS,INDEX($AB$8:$AB$1407,$AG311)))</f>
        <v/>
      </c>
      <c r="O311" s="92" t="str">
        <f>IF($AG311="","",INDEX($AL$8:$AL$21,INDEX($AC$8:$AC$1407,$AG311)+1))</f>
        <v/>
      </c>
      <c r="P311" s="109" t="str">
        <f>IF($AG311="","",INDEX($AD$8:$AD$1407,$AG311))</f>
        <v/>
      </c>
      <c r="Q311" s="92" t="str">
        <f>IF($AG311="","",INDEX($AM$8:$AM$21,INDEX($AC$8:$AC$1407,$AG311)+1))</f>
        <v/>
      </c>
      <c r="R311" s="92" t="str">
        <f>IF($AG311="","",IF($G311&gt;0,P_ToelCorrectie&amp;"",""))</f>
        <v/>
      </c>
      <c r="S311" s="15" t="str">
        <f>IF(J311="","",J311&amp;"|"&amp;E311&amp;"|"&amp;F311&amp;"|"&amp;I311&amp;"|"&amp;O311)</f>
        <v/>
      </c>
      <c r="T311" s="111" t="str">
        <f>IF(S311="","",IF(COUNTIFS(L_Sleutel,S311,L_Actief,1)=0,"",SUMIFS(L_Waarde,L_Sleutel,S311,L_Actief,1)))</f>
        <v/>
      </c>
      <c r="U311" s="111">
        <f>IF(OR(S311="",T311=""),0,P311-T311)</f>
        <v>0</v>
      </c>
      <c r="AB311" s="112" t="n">
        <v>22</v>
      </c>
      <c r="AC311" s="112" t="n">
        <v>9</v>
      </c>
      <c r="AD311" s="112" t="str">
        <f>VERW_Project!BR27</f>
        <v/>
      </c>
      <c r="AE311" s="112">
        <f>IF(AND(VERW_Project!$A27&lt;&gt;"",ISNUMBER(AD311)),1,0)</f>
        <v>0</v>
      </c>
      <c r="AF311" s="112" t="str">
        <f>IF(AE311=1,SUM($AE$8:AE311),"")</f>
        <v/>
      </c>
      <c r="AG311" t="str">
        <f>IFERROR(MATCH(304,$AF$8:$AF$1407,0),"")</f>
        <v/>
      </c>
    </row>
    <row r="312">
      <c r="A312" s="92" t="str">
        <f>IF($AG312="","",P_ImportID)</f>
        <v/>
      </c>
      <c r="B312" s="92" t="str">
        <f>IF($AG312="","",IF(INDEX($AN$8:$AN$21,INDEX($AC$8:$AC$1407,$AG312)+1)="Z",P_BronZ,P_BronE))</f>
        <v/>
      </c>
      <c r="C312" s="108" t="str">
        <f>IF($AG312="","",P_Importdatum)</f>
        <v/>
      </c>
      <c r="D312" s="92" t="str">
        <f>IF($AG312="","",P_StatusVastleg)</f>
        <v/>
      </c>
      <c r="E312" s="92" t="str">
        <f>IF($AG312="","",P_UploadVJ)</f>
        <v/>
      </c>
      <c r="F312" s="92" t="str">
        <f>IF($AG312="","",P_UploadVersie)</f>
        <v/>
      </c>
      <c r="G312" s="92" t="str">
        <f>IF($AG312="","",IF(COUNTIFS(L_Sleutel,$S312,L_Status,"Vastgesteld")=0,0,_xlfn.MAXIFS(L_Revisie,L_Sleutel,$S312,L_Status,"Vastgesteld")+1))</f>
        <v/>
      </c>
      <c r="H312" s="108" t="str">
        <f>IF($AG312="","",P_Peildatum)</f>
        <v/>
      </c>
      <c r="I312" s="92" t="str">
        <f>IF($AG312="","",P_RJ+INDEX($AK$8:$AK$21,INDEX($AC$8:$AC$1407,$AG312)+1))</f>
        <v/>
      </c>
      <c r="J312" s="92" t="str">
        <f>IF($AG312="","",INDEX(V_WBS,INDEX($AB$8:$AB$1407,$AG312)))</f>
        <v/>
      </c>
      <c r="K312" s="92" t="str">
        <f>IF($AG312="","",INDEX(V_Projdef,INDEX($AB$8:$AB$1407,$AG312)))</f>
        <v/>
      </c>
      <c r="L312" s="92" t="str">
        <f>IF($AG312="","",INDEX(V_Naam,INDEX($AB$8:$AB$1407,$AG312)))</f>
        <v/>
      </c>
      <c r="M312" s="92" t="str">
        <f>IF($AG312="","",INDEX(V_Type,INDEX($AB$8:$AB$1407,$AG312)))</f>
        <v/>
      </c>
      <c r="N312" s="92" t="str">
        <f>IF($AG312="","",INDEX(V_IFRS,INDEX($AB$8:$AB$1407,$AG312)))</f>
        <v/>
      </c>
      <c r="O312" s="92" t="str">
        <f>IF($AG312="","",INDEX($AL$8:$AL$21,INDEX($AC$8:$AC$1407,$AG312)+1))</f>
        <v/>
      </c>
      <c r="P312" s="109" t="str">
        <f>IF($AG312="","",INDEX($AD$8:$AD$1407,$AG312))</f>
        <v/>
      </c>
      <c r="Q312" s="92" t="str">
        <f>IF($AG312="","",INDEX($AM$8:$AM$21,INDEX($AC$8:$AC$1407,$AG312)+1))</f>
        <v/>
      </c>
      <c r="R312" s="92" t="str">
        <f>IF($AG312="","",IF($G312&gt;0,P_ToelCorrectie&amp;"",""))</f>
        <v/>
      </c>
      <c r="S312" s="15" t="str">
        <f>IF(J312="","",J312&amp;"|"&amp;E312&amp;"|"&amp;F312&amp;"|"&amp;I312&amp;"|"&amp;O312)</f>
        <v/>
      </c>
      <c r="T312" s="111" t="str">
        <f>IF(S312="","",IF(COUNTIFS(L_Sleutel,S312,L_Actief,1)=0,"",SUMIFS(L_Waarde,L_Sleutel,S312,L_Actief,1)))</f>
        <v/>
      </c>
      <c r="U312" s="111">
        <f>IF(OR(S312="",T312=""),0,P312-T312)</f>
        <v>0</v>
      </c>
      <c r="AB312" s="112" t="n">
        <v>22</v>
      </c>
      <c r="AC312" s="112" t="n">
        <v>10</v>
      </c>
      <c r="AD312" s="112" t="str">
        <f>VERW_Project!BS27</f>
        <v/>
      </c>
      <c r="AE312" s="112">
        <f>IF(AND(VERW_Project!$A27&lt;&gt;"",ISNUMBER(AD312)),1,0)</f>
        <v>0</v>
      </c>
      <c r="AF312" s="112" t="str">
        <f>IF(AE312=1,SUM($AE$8:AE312),"")</f>
        <v/>
      </c>
      <c r="AG312" t="str">
        <f>IFERROR(MATCH(305,$AF$8:$AF$1407,0),"")</f>
        <v/>
      </c>
    </row>
    <row r="313">
      <c r="A313" s="92" t="str">
        <f>IF($AG313="","",P_ImportID)</f>
        <v/>
      </c>
      <c r="B313" s="92" t="str">
        <f>IF($AG313="","",IF(INDEX($AN$8:$AN$21,INDEX($AC$8:$AC$1407,$AG313)+1)="Z",P_BronZ,P_BronE))</f>
        <v/>
      </c>
      <c r="C313" s="108" t="str">
        <f>IF($AG313="","",P_Importdatum)</f>
        <v/>
      </c>
      <c r="D313" s="92" t="str">
        <f>IF($AG313="","",P_StatusVastleg)</f>
        <v/>
      </c>
      <c r="E313" s="92" t="str">
        <f>IF($AG313="","",P_UploadVJ)</f>
        <v/>
      </c>
      <c r="F313" s="92" t="str">
        <f>IF($AG313="","",P_UploadVersie)</f>
        <v/>
      </c>
      <c r="G313" s="92" t="str">
        <f>IF($AG313="","",IF(COUNTIFS(L_Sleutel,$S313,L_Status,"Vastgesteld")=0,0,_xlfn.MAXIFS(L_Revisie,L_Sleutel,$S313,L_Status,"Vastgesteld")+1))</f>
        <v/>
      </c>
      <c r="H313" s="108" t="str">
        <f>IF($AG313="","",P_Peildatum)</f>
        <v/>
      </c>
      <c r="I313" s="92" t="str">
        <f>IF($AG313="","",P_RJ+INDEX($AK$8:$AK$21,INDEX($AC$8:$AC$1407,$AG313)+1))</f>
        <v/>
      </c>
      <c r="J313" s="92" t="str">
        <f>IF($AG313="","",INDEX(V_WBS,INDEX($AB$8:$AB$1407,$AG313)))</f>
        <v/>
      </c>
      <c r="K313" s="92" t="str">
        <f>IF($AG313="","",INDEX(V_Projdef,INDEX($AB$8:$AB$1407,$AG313)))</f>
        <v/>
      </c>
      <c r="L313" s="92" t="str">
        <f>IF($AG313="","",INDEX(V_Naam,INDEX($AB$8:$AB$1407,$AG313)))</f>
        <v/>
      </c>
      <c r="M313" s="92" t="str">
        <f>IF($AG313="","",INDEX(V_Type,INDEX($AB$8:$AB$1407,$AG313)))</f>
        <v/>
      </c>
      <c r="N313" s="92" t="str">
        <f>IF($AG313="","",INDEX(V_IFRS,INDEX($AB$8:$AB$1407,$AG313)))</f>
        <v/>
      </c>
      <c r="O313" s="92" t="str">
        <f>IF($AG313="","",INDEX($AL$8:$AL$21,INDEX($AC$8:$AC$1407,$AG313)+1))</f>
        <v/>
      </c>
      <c r="P313" s="109" t="str">
        <f>IF($AG313="","",INDEX($AD$8:$AD$1407,$AG313))</f>
        <v/>
      </c>
      <c r="Q313" s="92" t="str">
        <f>IF($AG313="","",INDEX($AM$8:$AM$21,INDEX($AC$8:$AC$1407,$AG313)+1))</f>
        <v/>
      </c>
      <c r="R313" s="92" t="str">
        <f>IF($AG313="","",IF($G313&gt;0,P_ToelCorrectie&amp;"",""))</f>
        <v/>
      </c>
      <c r="S313" s="15" t="str">
        <f>IF(J313="","",J313&amp;"|"&amp;E313&amp;"|"&amp;F313&amp;"|"&amp;I313&amp;"|"&amp;O313)</f>
        <v/>
      </c>
      <c r="T313" s="111" t="str">
        <f>IF(S313="","",IF(COUNTIFS(L_Sleutel,S313,L_Actief,1)=0,"",SUMIFS(L_Waarde,L_Sleutel,S313,L_Actief,1)))</f>
        <v/>
      </c>
      <c r="U313" s="111">
        <f>IF(OR(S313="",T313=""),0,P313-T313)</f>
        <v>0</v>
      </c>
      <c r="AB313" s="112" t="n">
        <v>22</v>
      </c>
      <c r="AC313" s="112" t="n">
        <v>11</v>
      </c>
      <c r="AD313" s="112" t="str">
        <f>VERW_Project!BT27</f>
        <v/>
      </c>
      <c r="AE313" s="112">
        <f>IF(AND(VERW_Project!$A27&lt;&gt;"",ISNUMBER(AD313)),1,0)</f>
        <v>0</v>
      </c>
      <c r="AF313" s="112" t="str">
        <f>IF(AE313=1,SUM($AE$8:AE313),"")</f>
        <v/>
      </c>
      <c r="AG313" t="str">
        <f>IFERROR(MATCH(306,$AF$8:$AF$1407,0),"")</f>
        <v/>
      </c>
    </row>
    <row r="314">
      <c r="A314" s="92" t="str">
        <f>IF($AG314="","",P_ImportID)</f>
        <v/>
      </c>
      <c r="B314" s="92" t="str">
        <f>IF($AG314="","",IF(INDEX($AN$8:$AN$21,INDEX($AC$8:$AC$1407,$AG314)+1)="Z",P_BronZ,P_BronE))</f>
        <v/>
      </c>
      <c r="C314" s="108" t="str">
        <f>IF($AG314="","",P_Importdatum)</f>
        <v/>
      </c>
      <c r="D314" s="92" t="str">
        <f>IF($AG314="","",P_StatusVastleg)</f>
        <v/>
      </c>
      <c r="E314" s="92" t="str">
        <f>IF($AG314="","",P_UploadVJ)</f>
        <v/>
      </c>
      <c r="F314" s="92" t="str">
        <f>IF($AG314="","",P_UploadVersie)</f>
        <v/>
      </c>
      <c r="G314" s="92" t="str">
        <f>IF($AG314="","",IF(COUNTIFS(L_Sleutel,$S314,L_Status,"Vastgesteld")=0,0,_xlfn.MAXIFS(L_Revisie,L_Sleutel,$S314,L_Status,"Vastgesteld")+1))</f>
        <v/>
      </c>
      <c r="H314" s="108" t="str">
        <f>IF($AG314="","",P_Peildatum)</f>
        <v/>
      </c>
      <c r="I314" s="92" t="str">
        <f>IF($AG314="","",P_RJ+INDEX($AK$8:$AK$21,INDEX($AC$8:$AC$1407,$AG314)+1))</f>
        <v/>
      </c>
      <c r="J314" s="92" t="str">
        <f>IF($AG314="","",INDEX(V_WBS,INDEX($AB$8:$AB$1407,$AG314)))</f>
        <v/>
      </c>
      <c r="K314" s="92" t="str">
        <f>IF($AG314="","",INDEX(V_Projdef,INDEX($AB$8:$AB$1407,$AG314)))</f>
        <v/>
      </c>
      <c r="L314" s="92" t="str">
        <f>IF($AG314="","",INDEX(V_Naam,INDEX($AB$8:$AB$1407,$AG314)))</f>
        <v/>
      </c>
      <c r="M314" s="92" t="str">
        <f>IF($AG314="","",INDEX(V_Type,INDEX($AB$8:$AB$1407,$AG314)))</f>
        <v/>
      </c>
      <c r="N314" s="92" t="str">
        <f>IF($AG314="","",INDEX(V_IFRS,INDEX($AB$8:$AB$1407,$AG314)))</f>
        <v/>
      </c>
      <c r="O314" s="92" t="str">
        <f>IF($AG314="","",INDEX($AL$8:$AL$21,INDEX($AC$8:$AC$1407,$AG314)+1))</f>
        <v/>
      </c>
      <c r="P314" s="109" t="str">
        <f>IF($AG314="","",INDEX($AD$8:$AD$1407,$AG314))</f>
        <v/>
      </c>
      <c r="Q314" s="92" t="str">
        <f>IF($AG314="","",INDEX($AM$8:$AM$21,INDEX($AC$8:$AC$1407,$AG314)+1))</f>
        <v/>
      </c>
      <c r="R314" s="92" t="str">
        <f>IF($AG314="","",IF($G314&gt;0,P_ToelCorrectie&amp;"",""))</f>
        <v/>
      </c>
      <c r="S314" s="15" t="str">
        <f>IF(J314="","",J314&amp;"|"&amp;E314&amp;"|"&amp;F314&amp;"|"&amp;I314&amp;"|"&amp;O314)</f>
        <v/>
      </c>
      <c r="T314" s="111" t="str">
        <f>IF(S314="","",IF(COUNTIFS(L_Sleutel,S314,L_Actief,1)=0,"",SUMIFS(L_Waarde,L_Sleutel,S314,L_Actief,1)))</f>
        <v/>
      </c>
      <c r="U314" s="111">
        <f>IF(OR(S314="",T314=""),0,P314-T314)</f>
        <v>0</v>
      </c>
      <c r="AB314" s="112" t="n">
        <v>22</v>
      </c>
      <c r="AC314" s="112" t="n">
        <v>12</v>
      </c>
      <c r="AD314" s="112" t="str">
        <f>VERW_Project!BU27</f>
        <v/>
      </c>
      <c r="AE314" s="112">
        <f>IF(AND(VERW_Project!$A27&lt;&gt;"",ISNUMBER(AD314)),1,0)</f>
        <v>0</v>
      </c>
      <c r="AF314" s="112" t="str">
        <f>IF(AE314=1,SUM($AE$8:AE314),"")</f>
        <v/>
      </c>
      <c r="AG314" t="str">
        <f>IFERROR(MATCH(307,$AF$8:$AF$1407,0),"")</f>
        <v/>
      </c>
    </row>
    <row r="315">
      <c r="A315" s="92" t="str">
        <f>IF($AG315="","",P_ImportID)</f>
        <v/>
      </c>
      <c r="B315" s="92" t="str">
        <f>IF($AG315="","",IF(INDEX($AN$8:$AN$21,INDEX($AC$8:$AC$1407,$AG315)+1)="Z",P_BronZ,P_BronE))</f>
        <v/>
      </c>
      <c r="C315" s="108" t="str">
        <f>IF($AG315="","",P_Importdatum)</f>
        <v/>
      </c>
      <c r="D315" s="92" t="str">
        <f>IF($AG315="","",P_StatusVastleg)</f>
        <v/>
      </c>
      <c r="E315" s="92" t="str">
        <f>IF($AG315="","",P_UploadVJ)</f>
        <v/>
      </c>
      <c r="F315" s="92" t="str">
        <f>IF($AG315="","",P_UploadVersie)</f>
        <v/>
      </c>
      <c r="G315" s="92" t="str">
        <f>IF($AG315="","",IF(COUNTIFS(L_Sleutel,$S315,L_Status,"Vastgesteld")=0,0,_xlfn.MAXIFS(L_Revisie,L_Sleutel,$S315,L_Status,"Vastgesteld")+1))</f>
        <v/>
      </c>
      <c r="H315" s="108" t="str">
        <f>IF($AG315="","",P_Peildatum)</f>
        <v/>
      </c>
      <c r="I315" s="92" t="str">
        <f>IF($AG315="","",P_RJ+INDEX($AK$8:$AK$21,INDEX($AC$8:$AC$1407,$AG315)+1))</f>
        <v/>
      </c>
      <c r="J315" s="92" t="str">
        <f>IF($AG315="","",INDEX(V_WBS,INDEX($AB$8:$AB$1407,$AG315)))</f>
        <v/>
      </c>
      <c r="K315" s="92" t="str">
        <f>IF($AG315="","",INDEX(V_Projdef,INDEX($AB$8:$AB$1407,$AG315)))</f>
        <v/>
      </c>
      <c r="L315" s="92" t="str">
        <f>IF($AG315="","",INDEX(V_Naam,INDEX($AB$8:$AB$1407,$AG315)))</f>
        <v/>
      </c>
      <c r="M315" s="92" t="str">
        <f>IF($AG315="","",INDEX(V_Type,INDEX($AB$8:$AB$1407,$AG315)))</f>
        <v/>
      </c>
      <c r="N315" s="92" t="str">
        <f>IF($AG315="","",INDEX(V_IFRS,INDEX($AB$8:$AB$1407,$AG315)))</f>
        <v/>
      </c>
      <c r="O315" s="92" t="str">
        <f>IF($AG315="","",INDEX($AL$8:$AL$21,INDEX($AC$8:$AC$1407,$AG315)+1))</f>
        <v/>
      </c>
      <c r="P315" s="109" t="str">
        <f>IF($AG315="","",INDEX($AD$8:$AD$1407,$AG315))</f>
        <v/>
      </c>
      <c r="Q315" s="92" t="str">
        <f>IF($AG315="","",INDEX($AM$8:$AM$21,INDEX($AC$8:$AC$1407,$AG315)+1))</f>
        <v/>
      </c>
      <c r="R315" s="92" t="str">
        <f>IF($AG315="","",IF($G315&gt;0,P_ToelCorrectie&amp;"",""))</f>
        <v/>
      </c>
      <c r="S315" s="15" t="str">
        <f>IF(J315="","",J315&amp;"|"&amp;E315&amp;"|"&amp;F315&amp;"|"&amp;I315&amp;"|"&amp;O315)</f>
        <v/>
      </c>
      <c r="T315" s="111" t="str">
        <f>IF(S315="","",IF(COUNTIFS(L_Sleutel,S315,L_Actief,1)=0,"",SUMIFS(L_Waarde,L_Sleutel,S315,L_Actief,1)))</f>
        <v/>
      </c>
      <c r="U315" s="111">
        <f>IF(OR(S315="",T315=""),0,P315-T315)</f>
        <v>0</v>
      </c>
      <c r="AB315" s="112" t="n">
        <v>22</v>
      </c>
      <c r="AC315" s="112" t="n">
        <v>13</v>
      </c>
      <c r="AD315" s="112" t="str">
        <f>VERW_Project!BX27</f>
        <v/>
      </c>
      <c r="AE315" s="112">
        <f>IF(AND(VERW_Project!$A27&lt;&gt;"",ISNUMBER(AD315)),1,0)</f>
        <v>0</v>
      </c>
      <c r="AF315" s="112" t="str">
        <f>IF(AE315=1,SUM($AE$8:AE315),"")</f>
        <v/>
      </c>
      <c r="AG315" t="str">
        <f>IFERROR(MATCH(308,$AF$8:$AF$1407,0),"")</f>
        <v/>
      </c>
    </row>
    <row r="316">
      <c r="A316" s="92" t="str">
        <f>IF($AG316="","",P_ImportID)</f>
        <v/>
      </c>
      <c r="B316" s="92" t="str">
        <f>IF($AG316="","",IF(INDEX($AN$8:$AN$21,INDEX($AC$8:$AC$1407,$AG316)+1)="Z",P_BronZ,P_BronE))</f>
        <v/>
      </c>
      <c r="C316" s="108" t="str">
        <f>IF($AG316="","",P_Importdatum)</f>
        <v/>
      </c>
      <c r="D316" s="92" t="str">
        <f>IF($AG316="","",P_StatusVastleg)</f>
        <v/>
      </c>
      <c r="E316" s="92" t="str">
        <f>IF($AG316="","",P_UploadVJ)</f>
        <v/>
      </c>
      <c r="F316" s="92" t="str">
        <f>IF($AG316="","",P_UploadVersie)</f>
        <v/>
      </c>
      <c r="G316" s="92" t="str">
        <f>IF($AG316="","",IF(COUNTIFS(L_Sleutel,$S316,L_Status,"Vastgesteld")=0,0,_xlfn.MAXIFS(L_Revisie,L_Sleutel,$S316,L_Status,"Vastgesteld")+1))</f>
        <v/>
      </c>
      <c r="H316" s="108" t="str">
        <f>IF($AG316="","",P_Peildatum)</f>
        <v/>
      </c>
      <c r="I316" s="92" t="str">
        <f>IF($AG316="","",P_RJ+INDEX($AK$8:$AK$21,INDEX($AC$8:$AC$1407,$AG316)+1))</f>
        <v/>
      </c>
      <c r="J316" s="92" t="str">
        <f>IF($AG316="","",INDEX(V_WBS,INDEX($AB$8:$AB$1407,$AG316)))</f>
        <v/>
      </c>
      <c r="K316" s="92" t="str">
        <f>IF($AG316="","",INDEX(V_Projdef,INDEX($AB$8:$AB$1407,$AG316)))</f>
        <v/>
      </c>
      <c r="L316" s="92" t="str">
        <f>IF($AG316="","",INDEX(V_Naam,INDEX($AB$8:$AB$1407,$AG316)))</f>
        <v/>
      </c>
      <c r="M316" s="92" t="str">
        <f>IF($AG316="","",INDEX(V_Type,INDEX($AB$8:$AB$1407,$AG316)))</f>
        <v/>
      </c>
      <c r="N316" s="92" t="str">
        <f>IF($AG316="","",INDEX(V_IFRS,INDEX($AB$8:$AB$1407,$AG316)))</f>
        <v/>
      </c>
      <c r="O316" s="92" t="str">
        <f>IF($AG316="","",INDEX($AL$8:$AL$21,INDEX($AC$8:$AC$1407,$AG316)+1))</f>
        <v/>
      </c>
      <c r="P316" s="109" t="str">
        <f>IF($AG316="","",INDEX($AD$8:$AD$1407,$AG316))</f>
        <v/>
      </c>
      <c r="Q316" s="92" t="str">
        <f>IF($AG316="","",INDEX($AM$8:$AM$21,INDEX($AC$8:$AC$1407,$AG316)+1))</f>
        <v/>
      </c>
      <c r="R316" s="92" t="str">
        <f>IF($AG316="","",IF($G316&gt;0,P_ToelCorrectie&amp;"",""))</f>
        <v/>
      </c>
      <c r="S316" s="15" t="str">
        <f>IF(J316="","",J316&amp;"|"&amp;E316&amp;"|"&amp;F316&amp;"|"&amp;I316&amp;"|"&amp;O316)</f>
        <v/>
      </c>
      <c r="T316" s="111" t="str">
        <f>IF(S316="","",IF(COUNTIFS(L_Sleutel,S316,L_Actief,1)=0,"",SUMIFS(L_Waarde,L_Sleutel,S316,L_Actief,1)))</f>
        <v/>
      </c>
      <c r="U316" s="111">
        <f>IF(OR(S316="",T316=""),0,P316-T316)</f>
        <v>0</v>
      </c>
      <c r="AB316" s="112" t="n">
        <v>23</v>
      </c>
      <c r="AC316" s="112" t="n">
        <v>0</v>
      </c>
      <c r="AD316" s="112" t="str">
        <f>VERW_Project!P28</f>
        <v/>
      </c>
      <c r="AE316" s="112">
        <f>IF(AND(VERW_Project!$A28&lt;&gt;"",ISNUMBER(AD316)),1,0)</f>
        <v>0</v>
      </c>
      <c r="AF316" s="112" t="str">
        <f>IF(AE316=1,SUM($AE$8:AE316),"")</f>
        <v/>
      </c>
      <c r="AG316" t="str">
        <f>IFERROR(MATCH(309,$AF$8:$AF$1407,0),"")</f>
        <v/>
      </c>
    </row>
    <row r="317">
      <c r="A317" s="92" t="str">
        <f>IF($AG317="","",P_ImportID)</f>
        <v/>
      </c>
      <c r="B317" s="92" t="str">
        <f>IF($AG317="","",IF(INDEX($AN$8:$AN$21,INDEX($AC$8:$AC$1407,$AG317)+1)="Z",P_BronZ,P_BronE))</f>
        <v/>
      </c>
      <c r="C317" s="108" t="str">
        <f>IF($AG317="","",P_Importdatum)</f>
        <v/>
      </c>
      <c r="D317" s="92" t="str">
        <f>IF($AG317="","",P_StatusVastleg)</f>
        <v/>
      </c>
      <c r="E317" s="92" t="str">
        <f>IF($AG317="","",P_UploadVJ)</f>
        <v/>
      </c>
      <c r="F317" s="92" t="str">
        <f>IF($AG317="","",P_UploadVersie)</f>
        <v/>
      </c>
      <c r="G317" s="92" t="str">
        <f>IF($AG317="","",IF(COUNTIFS(L_Sleutel,$S317,L_Status,"Vastgesteld")=0,0,_xlfn.MAXIFS(L_Revisie,L_Sleutel,$S317,L_Status,"Vastgesteld")+1))</f>
        <v/>
      </c>
      <c r="H317" s="108" t="str">
        <f>IF($AG317="","",P_Peildatum)</f>
        <v/>
      </c>
      <c r="I317" s="92" t="str">
        <f>IF($AG317="","",P_RJ+INDEX($AK$8:$AK$21,INDEX($AC$8:$AC$1407,$AG317)+1))</f>
        <v/>
      </c>
      <c r="J317" s="92" t="str">
        <f>IF($AG317="","",INDEX(V_WBS,INDEX($AB$8:$AB$1407,$AG317)))</f>
        <v/>
      </c>
      <c r="K317" s="92" t="str">
        <f>IF($AG317="","",INDEX(V_Projdef,INDEX($AB$8:$AB$1407,$AG317)))</f>
        <v/>
      </c>
      <c r="L317" s="92" t="str">
        <f>IF($AG317="","",INDEX(V_Naam,INDEX($AB$8:$AB$1407,$AG317)))</f>
        <v/>
      </c>
      <c r="M317" s="92" t="str">
        <f>IF($AG317="","",INDEX(V_Type,INDEX($AB$8:$AB$1407,$AG317)))</f>
        <v/>
      </c>
      <c r="N317" s="92" t="str">
        <f>IF($AG317="","",INDEX(V_IFRS,INDEX($AB$8:$AB$1407,$AG317)))</f>
        <v/>
      </c>
      <c r="O317" s="92" t="str">
        <f>IF($AG317="","",INDEX($AL$8:$AL$21,INDEX($AC$8:$AC$1407,$AG317)+1))</f>
        <v/>
      </c>
      <c r="P317" s="109" t="str">
        <f>IF($AG317="","",INDEX($AD$8:$AD$1407,$AG317))</f>
        <v/>
      </c>
      <c r="Q317" s="92" t="str">
        <f>IF($AG317="","",INDEX($AM$8:$AM$21,INDEX($AC$8:$AC$1407,$AG317)+1))</f>
        <v/>
      </c>
      <c r="R317" s="92" t="str">
        <f>IF($AG317="","",IF($G317&gt;0,P_ToelCorrectie&amp;"",""))</f>
        <v/>
      </c>
      <c r="S317" s="15" t="str">
        <f>IF(J317="","",J317&amp;"|"&amp;E317&amp;"|"&amp;F317&amp;"|"&amp;I317&amp;"|"&amp;O317)</f>
        <v/>
      </c>
      <c r="T317" s="111" t="str">
        <f>IF(S317="","",IF(COUNTIFS(L_Sleutel,S317,L_Actief,1)=0,"",SUMIFS(L_Waarde,L_Sleutel,S317,L_Actief,1)))</f>
        <v/>
      </c>
      <c r="U317" s="111">
        <f>IF(OR(S317="",T317=""),0,P317-T317)</f>
        <v>0</v>
      </c>
      <c r="AB317" s="112" t="n">
        <v>23</v>
      </c>
      <c r="AC317" s="112" t="n">
        <v>1</v>
      </c>
      <c r="AD317" s="112" t="str">
        <f>VERW_Project!Q28</f>
        <v/>
      </c>
      <c r="AE317" s="112">
        <f>IF(AND(VERW_Project!$A28&lt;&gt;"",ISNUMBER(AD317)),1,0)</f>
        <v>0</v>
      </c>
      <c r="AF317" s="112" t="str">
        <f>IF(AE317=1,SUM($AE$8:AE317),"")</f>
        <v/>
      </c>
      <c r="AG317" t="str">
        <f>IFERROR(MATCH(310,$AF$8:$AF$1407,0),"")</f>
        <v/>
      </c>
    </row>
    <row r="318">
      <c r="A318" s="92" t="str">
        <f>IF($AG318="","",P_ImportID)</f>
        <v/>
      </c>
      <c r="B318" s="92" t="str">
        <f>IF($AG318="","",IF(INDEX($AN$8:$AN$21,INDEX($AC$8:$AC$1407,$AG318)+1)="Z",P_BronZ,P_BronE))</f>
        <v/>
      </c>
      <c r="C318" s="108" t="str">
        <f>IF($AG318="","",P_Importdatum)</f>
        <v/>
      </c>
      <c r="D318" s="92" t="str">
        <f>IF($AG318="","",P_StatusVastleg)</f>
        <v/>
      </c>
      <c r="E318" s="92" t="str">
        <f>IF($AG318="","",P_UploadVJ)</f>
        <v/>
      </c>
      <c r="F318" s="92" t="str">
        <f>IF($AG318="","",P_UploadVersie)</f>
        <v/>
      </c>
      <c r="G318" s="92" t="str">
        <f>IF($AG318="","",IF(COUNTIFS(L_Sleutel,$S318,L_Status,"Vastgesteld")=0,0,_xlfn.MAXIFS(L_Revisie,L_Sleutel,$S318,L_Status,"Vastgesteld")+1))</f>
        <v/>
      </c>
      <c r="H318" s="108" t="str">
        <f>IF($AG318="","",P_Peildatum)</f>
        <v/>
      </c>
      <c r="I318" s="92" t="str">
        <f>IF($AG318="","",P_RJ+INDEX($AK$8:$AK$21,INDEX($AC$8:$AC$1407,$AG318)+1))</f>
        <v/>
      </c>
      <c r="J318" s="92" t="str">
        <f>IF($AG318="","",INDEX(V_WBS,INDEX($AB$8:$AB$1407,$AG318)))</f>
        <v/>
      </c>
      <c r="K318" s="92" t="str">
        <f>IF($AG318="","",INDEX(V_Projdef,INDEX($AB$8:$AB$1407,$AG318)))</f>
        <v/>
      </c>
      <c r="L318" s="92" t="str">
        <f>IF($AG318="","",INDEX(V_Naam,INDEX($AB$8:$AB$1407,$AG318)))</f>
        <v/>
      </c>
      <c r="M318" s="92" t="str">
        <f>IF($AG318="","",INDEX(V_Type,INDEX($AB$8:$AB$1407,$AG318)))</f>
        <v/>
      </c>
      <c r="N318" s="92" t="str">
        <f>IF($AG318="","",INDEX(V_IFRS,INDEX($AB$8:$AB$1407,$AG318)))</f>
        <v/>
      </c>
      <c r="O318" s="92" t="str">
        <f>IF($AG318="","",INDEX($AL$8:$AL$21,INDEX($AC$8:$AC$1407,$AG318)+1))</f>
        <v/>
      </c>
      <c r="P318" s="109" t="str">
        <f>IF($AG318="","",INDEX($AD$8:$AD$1407,$AG318))</f>
        <v/>
      </c>
      <c r="Q318" s="92" t="str">
        <f>IF($AG318="","",INDEX($AM$8:$AM$21,INDEX($AC$8:$AC$1407,$AG318)+1))</f>
        <v/>
      </c>
      <c r="R318" s="92" t="str">
        <f>IF($AG318="","",IF($G318&gt;0,P_ToelCorrectie&amp;"",""))</f>
        <v/>
      </c>
      <c r="S318" s="15" t="str">
        <f>IF(J318="","",J318&amp;"|"&amp;E318&amp;"|"&amp;F318&amp;"|"&amp;I318&amp;"|"&amp;O318)</f>
        <v/>
      </c>
      <c r="T318" s="111" t="str">
        <f>IF(S318="","",IF(COUNTIFS(L_Sleutel,S318,L_Actief,1)=0,"",SUMIFS(L_Waarde,L_Sleutel,S318,L_Actief,1)))</f>
        <v/>
      </c>
      <c r="U318" s="111">
        <f>IF(OR(S318="",T318=""),0,P318-T318)</f>
        <v>0</v>
      </c>
      <c r="AB318" s="112" t="n">
        <v>23</v>
      </c>
      <c r="AC318" s="112" t="n">
        <v>2</v>
      </c>
      <c r="AD318" s="112" t="str">
        <f>VERW_Project!L28</f>
        <v/>
      </c>
      <c r="AE318" s="112">
        <f>IF(AND(VERW_Project!$A28&lt;&gt;"",ISNUMBER(AD318)),1,0)</f>
        <v>0</v>
      </c>
      <c r="AF318" s="112" t="str">
        <f>IF(AE318=1,SUM($AE$8:AE318),"")</f>
        <v/>
      </c>
      <c r="AG318" t="str">
        <f>IFERROR(MATCH(311,$AF$8:$AF$1407,0),"")</f>
        <v/>
      </c>
    </row>
    <row r="319">
      <c r="A319" s="92" t="str">
        <f>IF($AG319="","",P_ImportID)</f>
        <v/>
      </c>
      <c r="B319" s="92" t="str">
        <f>IF($AG319="","",IF(INDEX($AN$8:$AN$21,INDEX($AC$8:$AC$1407,$AG319)+1)="Z",P_BronZ,P_BronE))</f>
        <v/>
      </c>
      <c r="C319" s="108" t="str">
        <f>IF($AG319="","",P_Importdatum)</f>
        <v/>
      </c>
      <c r="D319" s="92" t="str">
        <f>IF($AG319="","",P_StatusVastleg)</f>
        <v/>
      </c>
      <c r="E319" s="92" t="str">
        <f>IF($AG319="","",P_UploadVJ)</f>
        <v/>
      </c>
      <c r="F319" s="92" t="str">
        <f>IF($AG319="","",P_UploadVersie)</f>
        <v/>
      </c>
      <c r="G319" s="92" t="str">
        <f>IF($AG319="","",IF(COUNTIFS(L_Sleutel,$S319,L_Status,"Vastgesteld")=0,0,_xlfn.MAXIFS(L_Revisie,L_Sleutel,$S319,L_Status,"Vastgesteld")+1))</f>
        <v/>
      </c>
      <c r="H319" s="108" t="str">
        <f>IF($AG319="","",P_Peildatum)</f>
        <v/>
      </c>
      <c r="I319" s="92" t="str">
        <f>IF($AG319="","",P_RJ+INDEX($AK$8:$AK$21,INDEX($AC$8:$AC$1407,$AG319)+1))</f>
        <v/>
      </c>
      <c r="J319" s="92" t="str">
        <f>IF($AG319="","",INDEX(V_WBS,INDEX($AB$8:$AB$1407,$AG319)))</f>
        <v/>
      </c>
      <c r="K319" s="92" t="str">
        <f>IF($AG319="","",INDEX(V_Projdef,INDEX($AB$8:$AB$1407,$AG319)))</f>
        <v/>
      </c>
      <c r="L319" s="92" t="str">
        <f>IF($AG319="","",INDEX(V_Naam,INDEX($AB$8:$AB$1407,$AG319)))</f>
        <v/>
      </c>
      <c r="M319" s="92" t="str">
        <f>IF($AG319="","",INDEX(V_Type,INDEX($AB$8:$AB$1407,$AG319)))</f>
        <v/>
      </c>
      <c r="N319" s="92" t="str">
        <f>IF($AG319="","",INDEX(V_IFRS,INDEX($AB$8:$AB$1407,$AG319)))</f>
        <v/>
      </c>
      <c r="O319" s="92" t="str">
        <f>IF($AG319="","",INDEX($AL$8:$AL$21,INDEX($AC$8:$AC$1407,$AG319)+1))</f>
        <v/>
      </c>
      <c r="P319" s="109" t="str">
        <f>IF($AG319="","",INDEX($AD$8:$AD$1407,$AG319))</f>
        <v/>
      </c>
      <c r="Q319" s="92" t="str">
        <f>IF($AG319="","",INDEX($AM$8:$AM$21,INDEX($AC$8:$AC$1407,$AG319)+1))</f>
        <v/>
      </c>
      <c r="R319" s="92" t="str">
        <f>IF($AG319="","",IF($G319&gt;0,P_ToelCorrectie&amp;"",""))</f>
        <v/>
      </c>
      <c r="S319" s="15" t="str">
        <f>IF(J319="","",J319&amp;"|"&amp;E319&amp;"|"&amp;F319&amp;"|"&amp;I319&amp;"|"&amp;O319)</f>
        <v/>
      </c>
      <c r="T319" s="111" t="str">
        <f>IF(S319="","",IF(COUNTIFS(L_Sleutel,S319,L_Actief,1)=0,"",SUMIFS(L_Waarde,L_Sleutel,S319,L_Actief,1)))</f>
        <v/>
      </c>
      <c r="U319" s="111">
        <f>IF(OR(S319="",T319=""),0,P319-T319)</f>
        <v>0</v>
      </c>
      <c r="AB319" s="112" t="n">
        <v>23</v>
      </c>
      <c r="AC319" s="112" t="n">
        <v>3</v>
      </c>
      <c r="AD319" s="112" t="str">
        <f>VERW_Project!M28</f>
        <v/>
      </c>
      <c r="AE319" s="112">
        <f>IF(AND(VERW_Project!$A28&lt;&gt;"",ISNUMBER(AD319)),1,0)</f>
        <v>0</v>
      </c>
      <c r="AF319" s="112" t="str">
        <f>IF(AE319=1,SUM($AE$8:AE319),"")</f>
        <v/>
      </c>
      <c r="AG319" t="str">
        <f>IFERROR(MATCH(312,$AF$8:$AF$1407,0),"")</f>
        <v/>
      </c>
    </row>
    <row r="320">
      <c r="A320" s="92" t="str">
        <f>IF($AG320="","",P_ImportID)</f>
        <v/>
      </c>
      <c r="B320" s="92" t="str">
        <f>IF($AG320="","",IF(INDEX($AN$8:$AN$21,INDEX($AC$8:$AC$1407,$AG320)+1)="Z",P_BronZ,P_BronE))</f>
        <v/>
      </c>
      <c r="C320" s="108" t="str">
        <f>IF($AG320="","",P_Importdatum)</f>
        <v/>
      </c>
      <c r="D320" s="92" t="str">
        <f>IF($AG320="","",P_StatusVastleg)</f>
        <v/>
      </c>
      <c r="E320" s="92" t="str">
        <f>IF($AG320="","",P_UploadVJ)</f>
        <v/>
      </c>
      <c r="F320" s="92" t="str">
        <f>IF($AG320="","",P_UploadVersie)</f>
        <v/>
      </c>
      <c r="G320" s="92" t="str">
        <f>IF($AG320="","",IF(COUNTIFS(L_Sleutel,$S320,L_Status,"Vastgesteld")=0,0,_xlfn.MAXIFS(L_Revisie,L_Sleutel,$S320,L_Status,"Vastgesteld")+1))</f>
        <v/>
      </c>
      <c r="H320" s="108" t="str">
        <f>IF($AG320="","",P_Peildatum)</f>
        <v/>
      </c>
      <c r="I320" s="92" t="str">
        <f>IF($AG320="","",P_RJ+INDEX($AK$8:$AK$21,INDEX($AC$8:$AC$1407,$AG320)+1))</f>
        <v/>
      </c>
      <c r="J320" s="92" t="str">
        <f>IF($AG320="","",INDEX(V_WBS,INDEX($AB$8:$AB$1407,$AG320)))</f>
        <v/>
      </c>
      <c r="K320" s="92" t="str">
        <f>IF($AG320="","",INDEX(V_Projdef,INDEX($AB$8:$AB$1407,$AG320)))</f>
        <v/>
      </c>
      <c r="L320" s="92" t="str">
        <f>IF($AG320="","",INDEX(V_Naam,INDEX($AB$8:$AB$1407,$AG320)))</f>
        <v/>
      </c>
      <c r="M320" s="92" t="str">
        <f>IF($AG320="","",INDEX(V_Type,INDEX($AB$8:$AB$1407,$AG320)))</f>
        <v/>
      </c>
      <c r="N320" s="92" t="str">
        <f>IF($AG320="","",INDEX(V_IFRS,INDEX($AB$8:$AB$1407,$AG320)))</f>
        <v/>
      </c>
      <c r="O320" s="92" t="str">
        <f>IF($AG320="","",INDEX($AL$8:$AL$21,INDEX($AC$8:$AC$1407,$AG320)+1))</f>
        <v/>
      </c>
      <c r="P320" s="109" t="str">
        <f>IF($AG320="","",INDEX($AD$8:$AD$1407,$AG320))</f>
        <v/>
      </c>
      <c r="Q320" s="92" t="str">
        <f>IF($AG320="","",INDEX($AM$8:$AM$21,INDEX($AC$8:$AC$1407,$AG320)+1))</f>
        <v/>
      </c>
      <c r="R320" s="92" t="str">
        <f>IF($AG320="","",IF($G320&gt;0,P_ToelCorrectie&amp;"",""))</f>
        <v/>
      </c>
      <c r="S320" s="15" t="str">
        <f>IF(J320="","",J320&amp;"|"&amp;E320&amp;"|"&amp;F320&amp;"|"&amp;I320&amp;"|"&amp;O320)</f>
        <v/>
      </c>
      <c r="T320" s="111" t="str">
        <f>IF(S320="","",IF(COUNTIFS(L_Sleutel,S320,L_Actief,1)=0,"",SUMIFS(L_Waarde,L_Sleutel,S320,L_Actief,1)))</f>
        <v/>
      </c>
      <c r="U320" s="111">
        <f>IF(OR(S320="",T320=""),0,P320-T320)</f>
        <v>0</v>
      </c>
      <c r="AB320" s="112" t="n">
        <v>23</v>
      </c>
      <c r="AC320" s="112" t="n">
        <v>4</v>
      </c>
      <c r="AD320" s="112" t="str">
        <f>VERW_Project!R28</f>
        <v/>
      </c>
      <c r="AE320" s="112">
        <f>IF(AND(VERW_Project!$A28&lt;&gt;"",ISNUMBER(AD320)),1,0)</f>
        <v>0</v>
      </c>
      <c r="AF320" s="112" t="str">
        <f>IF(AE320=1,SUM($AE$8:AE320),"")</f>
        <v/>
      </c>
      <c r="AG320" t="str">
        <f>IFERROR(MATCH(313,$AF$8:$AF$1407,0),"")</f>
        <v/>
      </c>
    </row>
    <row r="321">
      <c r="A321" s="92" t="str">
        <f>IF($AG321="","",P_ImportID)</f>
        <v/>
      </c>
      <c r="B321" s="92" t="str">
        <f>IF($AG321="","",IF(INDEX($AN$8:$AN$21,INDEX($AC$8:$AC$1407,$AG321)+1)="Z",P_BronZ,P_BronE))</f>
        <v/>
      </c>
      <c r="C321" s="108" t="str">
        <f>IF($AG321="","",P_Importdatum)</f>
        <v/>
      </c>
      <c r="D321" s="92" t="str">
        <f>IF($AG321="","",P_StatusVastleg)</f>
        <v/>
      </c>
      <c r="E321" s="92" t="str">
        <f>IF($AG321="","",P_UploadVJ)</f>
        <v/>
      </c>
      <c r="F321" s="92" t="str">
        <f>IF($AG321="","",P_UploadVersie)</f>
        <v/>
      </c>
      <c r="G321" s="92" t="str">
        <f>IF($AG321="","",IF(COUNTIFS(L_Sleutel,$S321,L_Status,"Vastgesteld")=0,0,_xlfn.MAXIFS(L_Revisie,L_Sleutel,$S321,L_Status,"Vastgesteld")+1))</f>
        <v/>
      </c>
      <c r="H321" s="108" t="str">
        <f>IF($AG321="","",P_Peildatum)</f>
        <v/>
      </c>
      <c r="I321" s="92" t="str">
        <f>IF($AG321="","",P_RJ+INDEX($AK$8:$AK$21,INDEX($AC$8:$AC$1407,$AG321)+1))</f>
        <v/>
      </c>
      <c r="J321" s="92" t="str">
        <f>IF($AG321="","",INDEX(V_WBS,INDEX($AB$8:$AB$1407,$AG321)))</f>
        <v/>
      </c>
      <c r="K321" s="92" t="str">
        <f>IF($AG321="","",INDEX(V_Projdef,INDEX($AB$8:$AB$1407,$AG321)))</f>
        <v/>
      </c>
      <c r="L321" s="92" t="str">
        <f>IF($AG321="","",INDEX(V_Naam,INDEX($AB$8:$AB$1407,$AG321)))</f>
        <v/>
      </c>
      <c r="M321" s="92" t="str">
        <f>IF($AG321="","",INDEX(V_Type,INDEX($AB$8:$AB$1407,$AG321)))</f>
        <v/>
      </c>
      <c r="N321" s="92" t="str">
        <f>IF($AG321="","",INDEX(V_IFRS,INDEX($AB$8:$AB$1407,$AG321)))</f>
        <v/>
      </c>
      <c r="O321" s="92" t="str">
        <f>IF($AG321="","",INDEX($AL$8:$AL$21,INDEX($AC$8:$AC$1407,$AG321)+1))</f>
        <v/>
      </c>
      <c r="P321" s="109" t="str">
        <f>IF($AG321="","",INDEX($AD$8:$AD$1407,$AG321))</f>
        <v/>
      </c>
      <c r="Q321" s="92" t="str">
        <f>IF($AG321="","",INDEX($AM$8:$AM$21,INDEX($AC$8:$AC$1407,$AG321)+1))</f>
        <v/>
      </c>
      <c r="R321" s="92" t="str">
        <f>IF($AG321="","",IF($G321&gt;0,P_ToelCorrectie&amp;"",""))</f>
        <v/>
      </c>
      <c r="S321" s="15" t="str">
        <f>IF(J321="","",J321&amp;"|"&amp;E321&amp;"|"&amp;F321&amp;"|"&amp;I321&amp;"|"&amp;O321)</f>
        <v/>
      </c>
      <c r="T321" s="111" t="str">
        <f>IF(S321="","",IF(COUNTIFS(L_Sleutel,S321,L_Actief,1)=0,"",SUMIFS(L_Waarde,L_Sleutel,S321,L_Actief,1)))</f>
        <v/>
      </c>
      <c r="U321" s="111">
        <f>IF(OR(S321="",T321=""),0,P321-T321)</f>
        <v>0</v>
      </c>
      <c r="AB321" s="112" t="n">
        <v>23</v>
      </c>
      <c r="AC321" s="112" t="n">
        <v>5</v>
      </c>
      <c r="AD321" s="112" t="str">
        <f>VERW_Project!S28</f>
        <v/>
      </c>
      <c r="AE321" s="112">
        <f>IF(AND(VERW_Project!$A28&lt;&gt;"",ISNUMBER(AD321)),1,0)</f>
        <v>0</v>
      </c>
      <c r="AF321" s="112" t="str">
        <f>IF(AE321=1,SUM($AE$8:AE321),"")</f>
        <v/>
      </c>
      <c r="AG321" t="str">
        <f>IFERROR(MATCH(314,$AF$8:$AF$1407,0),"")</f>
        <v/>
      </c>
    </row>
    <row r="322">
      <c r="A322" s="92" t="str">
        <f>IF($AG322="","",P_ImportID)</f>
        <v/>
      </c>
      <c r="B322" s="92" t="str">
        <f>IF($AG322="","",IF(INDEX($AN$8:$AN$21,INDEX($AC$8:$AC$1407,$AG322)+1)="Z",P_BronZ,P_BronE))</f>
        <v/>
      </c>
      <c r="C322" s="108" t="str">
        <f>IF($AG322="","",P_Importdatum)</f>
        <v/>
      </c>
      <c r="D322" s="92" t="str">
        <f>IF($AG322="","",P_StatusVastleg)</f>
        <v/>
      </c>
      <c r="E322" s="92" t="str">
        <f>IF($AG322="","",P_UploadVJ)</f>
        <v/>
      </c>
      <c r="F322" s="92" t="str">
        <f>IF($AG322="","",P_UploadVersie)</f>
        <v/>
      </c>
      <c r="G322" s="92" t="str">
        <f>IF($AG322="","",IF(COUNTIFS(L_Sleutel,$S322,L_Status,"Vastgesteld")=0,0,_xlfn.MAXIFS(L_Revisie,L_Sleutel,$S322,L_Status,"Vastgesteld")+1))</f>
        <v/>
      </c>
      <c r="H322" s="108" t="str">
        <f>IF($AG322="","",P_Peildatum)</f>
        <v/>
      </c>
      <c r="I322" s="92" t="str">
        <f>IF($AG322="","",P_RJ+INDEX($AK$8:$AK$21,INDEX($AC$8:$AC$1407,$AG322)+1))</f>
        <v/>
      </c>
      <c r="J322" s="92" t="str">
        <f>IF($AG322="","",INDEX(V_WBS,INDEX($AB$8:$AB$1407,$AG322)))</f>
        <v/>
      </c>
      <c r="K322" s="92" t="str">
        <f>IF($AG322="","",INDEX(V_Projdef,INDEX($AB$8:$AB$1407,$AG322)))</f>
        <v/>
      </c>
      <c r="L322" s="92" t="str">
        <f>IF($AG322="","",INDEX(V_Naam,INDEX($AB$8:$AB$1407,$AG322)))</f>
        <v/>
      </c>
      <c r="M322" s="92" t="str">
        <f>IF($AG322="","",INDEX(V_Type,INDEX($AB$8:$AB$1407,$AG322)))</f>
        <v/>
      </c>
      <c r="N322" s="92" t="str">
        <f>IF($AG322="","",INDEX(V_IFRS,INDEX($AB$8:$AB$1407,$AG322)))</f>
        <v/>
      </c>
      <c r="O322" s="92" t="str">
        <f>IF($AG322="","",INDEX($AL$8:$AL$21,INDEX($AC$8:$AC$1407,$AG322)+1))</f>
        <v/>
      </c>
      <c r="P322" s="109" t="str">
        <f>IF($AG322="","",INDEX($AD$8:$AD$1407,$AG322))</f>
        <v/>
      </c>
      <c r="Q322" s="92" t="str">
        <f>IF($AG322="","",INDEX($AM$8:$AM$21,INDEX($AC$8:$AC$1407,$AG322)+1))</f>
        <v/>
      </c>
      <c r="R322" s="92" t="str">
        <f>IF($AG322="","",IF($G322&gt;0,P_ToelCorrectie&amp;"",""))</f>
        <v/>
      </c>
      <c r="S322" s="15" t="str">
        <f>IF(J322="","",J322&amp;"|"&amp;E322&amp;"|"&amp;F322&amp;"|"&amp;I322&amp;"|"&amp;O322)</f>
        <v/>
      </c>
      <c r="T322" s="111" t="str">
        <f>IF(S322="","",IF(COUNTIFS(L_Sleutel,S322,L_Actief,1)=0,"",SUMIFS(L_Waarde,L_Sleutel,S322,L_Actief,1)))</f>
        <v/>
      </c>
      <c r="U322" s="111">
        <f>IF(OR(S322="",T322=""),0,P322-T322)</f>
        <v>0</v>
      </c>
      <c r="AB322" s="112" t="n">
        <v>23</v>
      </c>
      <c r="AC322" s="112" t="n">
        <v>6</v>
      </c>
      <c r="AD322" s="112" t="str">
        <f>VERW_Project!BW28</f>
        <v/>
      </c>
      <c r="AE322" s="112">
        <f>IF(AND(VERW_Project!$A28&lt;&gt;"",ISNUMBER(AD322)),1,0)</f>
        <v>0</v>
      </c>
      <c r="AF322" s="112" t="str">
        <f>IF(AE322=1,SUM($AE$8:AE322),"")</f>
        <v/>
      </c>
      <c r="AG322" t="str">
        <f>IFERROR(MATCH(315,$AF$8:$AF$1407,0),"")</f>
        <v/>
      </c>
    </row>
    <row r="323">
      <c r="A323" s="92" t="str">
        <f>IF($AG323="","",P_ImportID)</f>
        <v/>
      </c>
      <c r="B323" s="92" t="str">
        <f>IF($AG323="","",IF(INDEX($AN$8:$AN$21,INDEX($AC$8:$AC$1407,$AG323)+1)="Z",P_BronZ,P_BronE))</f>
        <v/>
      </c>
      <c r="C323" s="108" t="str">
        <f>IF($AG323="","",P_Importdatum)</f>
        <v/>
      </c>
      <c r="D323" s="92" t="str">
        <f>IF($AG323="","",P_StatusVastleg)</f>
        <v/>
      </c>
      <c r="E323" s="92" t="str">
        <f>IF($AG323="","",P_UploadVJ)</f>
        <v/>
      </c>
      <c r="F323" s="92" t="str">
        <f>IF($AG323="","",P_UploadVersie)</f>
        <v/>
      </c>
      <c r="G323" s="92" t="str">
        <f>IF($AG323="","",IF(COUNTIFS(L_Sleutel,$S323,L_Status,"Vastgesteld")=0,0,_xlfn.MAXIFS(L_Revisie,L_Sleutel,$S323,L_Status,"Vastgesteld")+1))</f>
        <v/>
      </c>
      <c r="H323" s="108" t="str">
        <f>IF($AG323="","",P_Peildatum)</f>
        <v/>
      </c>
      <c r="I323" s="92" t="str">
        <f>IF($AG323="","",P_RJ+INDEX($AK$8:$AK$21,INDEX($AC$8:$AC$1407,$AG323)+1))</f>
        <v/>
      </c>
      <c r="J323" s="92" t="str">
        <f>IF($AG323="","",INDEX(V_WBS,INDEX($AB$8:$AB$1407,$AG323)))</f>
        <v/>
      </c>
      <c r="K323" s="92" t="str">
        <f>IF($AG323="","",INDEX(V_Projdef,INDEX($AB$8:$AB$1407,$AG323)))</f>
        <v/>
      </c>
      <c r="L323" s="92" t="str">
        <f>IF($AG323="","",INDEX(V_Naam,INDEX($AB$8:$AB$1407,$AG323)))</f>
        <v/>
      </c>
      <c r="M323" s="92" t="str">
        <f>IF($AG323="","",INDEX(V_Type,INDEX($AB$8:$AB$1407,$AG323)))</f>
        <v/>
      </c>
      <c r="N323" s="92" t="str">
        <f>IF($AG323="","",INDEX(V_IFRS,INDEX($AB$8:$AB$1407,$AG323)))</f>
        <v/>
      </c>
      <c r="O323" s="92" t="str">
        <f>IF($AG323="","",INDEX($AL$8:$AL$21,INDEX($AC$8:$AC$1407,$AG323)+1))</f>
        <v/>
      </c>
      <c r="P323" s="109" t="str">
        <f>IF($AG323="","",INDEX($AD$8:$AD$1407,$AG323))</f>
        <v/>
      </c>
      <c r="Q323" s="92" t="str">
        <f>IF($AG323="","",INDEX($AM$8:$AM$21,INDEX($AC$8:$AC$1407,$AG323)+1))</f>
        <v/>
      </c>
      <c r="R323" s="92" t="str">
        <f>IF($AG323="","",IF($G323&gt;0,P_ToelCorrectie&amp;"",""))</f>
        <v/>
      </c>
      <c r="S323" s="15" t="str">
        <f>IF(J323="","",J323&amp;"|"&amp;E323&amp;"|"&amp;F323&amp;"|"&amp;I323&amp;"|"&amp;O323)</f>
        <v/>
      </c>
      <c r="T323" s="111" t="str">
        <f>IF(S323="","",IF(COUNTIFS(L_Sleutel,S323,L_Actief,1)=0,"",SUMIFS(L_Waarde,L_Sleutel,S323,L_Actief,1)))</f>
        <v/>
      </c>
      <c r="U323" s="111">
        <f>IF(OR(S323="",T323=""),0,P323-T323)</f>
        <v>0</v>
      </c>
      <c r="AB323" s="112" t="n">
        <v>23</v>
      </c>
      <c r="AC323" s="112" t="n">
        <v>7</v>
      </c>
      <c r="AD323" s="112" t="str">
        <f>VERW_Project!AW28</f>
        <v/>
      </c>
      <c r="AE323" s="112">
        <f>IF(AND(VERW_Project!$A28&lt;&gt;"",ISNUMBER(AD323)),1,0)</f>
        <v>0</v>
      </c>
      <c r="AF323" s="112" t="str">
        <f>IF(AE323=1,SUM($AE$8:AE323),"")</f>
        <v/>
      </c>
      <c r="AG323" t="str">
        <f>IFERROR(MATCH(316,$AF$8:$AF$1407,0),"")</f>
        <v/>
      </c>
    </row>
    <row r="324">
      <c r="A324" s="92" t="str">
        <f>IF($AG324="","",P_ImportID)</f>
        <v/>
      </c>
      <c r="B324" s="92" t="str">
        <f>IF($AG324="","",IF(INDEX($AN$8:$AN$21,INDEX($AC$8:$AC$1407,$AG324)+1)="Z",P_BronZ,P_BronE))</f>
        <v/>
      </c>
      <c r="C324" s="108" t="str">
        <f>IF($AG324="","",P_Importdatum)</f>
        <v/>
      </c>
      <c r="D324" s="92" t="str">
        <f>IF($AG324="","",P_StatusVastleg)</f>
        <v/>
      </c>
      <c r="E324" s="92" t="str">
        <f>IF($AG324="","",P_UploadVJ)</f>
        <v/>
      </c>
      <c r="F324" s="92" t="str">
        <f>IF($AG324="","",P_UploadVersie)</f>
        <v/>
      </c>
      <c r="G324" s="92" t="str">
        <f>IF($AG324="","",IF(COUNTIFS(L_Sleutel,$S324,L_Status,"Vastgesteld")=0,0,_xlfn.MAXIFS(L_Revisie,L_Sleutel,$S324,L_Status,"Vastgesteld")+1))</f>
        <v/>
      </c>
      <c r="H324" s="108" t="str">
        <f>IF($AG324="","",P_Peildatum)</f>
        <v/>
      </c>
      <c r="I324" s="92" t="str">
        <f>IF($AG324="","",P_RJ+INDEX($AK$8:$AK$21,INDEX($AC$8:$AC$1407,$AG324)+1))</f>
        <v/>
      </c>
      <c r="J324" s="92" t="str">
        <f>IF($AG324="","",INDEX(V_WBS,INDEX($AB$8:$AB$1407,$AG324)))</f>
        <v/>
      </c>
      <c r="K324" s="92" t="str">
        <f>IF($AG324="","",INDEX(V_Projdef,INDEX($AB$8:$AB$1407,$AG324)))</f>
        <v/>
      </c>
      <c r="L324" s="92" t="str">
        <f>IF($AG324="","",INDEX(V_Naam,INDEX($AB$8:$AB$1407,$AG324)))</f>
        <v/>
      </c>
      <c r="M324" s="92" t="str">
        <f>IF($AG324="","",INDEX(V_Type,INDEX($AB$8:$AB$1407,$AG324)))</f>
        <v/>
      </c>
      <c r="N324" s="92" t="str">
        <f>IF($AG324="","",INDEX(V_IFRS,INDEX($AB$8:$AB$1407,$AG324)))</f>
        <v/>
      </c>
      <c r="O324" s="92" t="str">
        <f>IF($AG324="","",INDEX($AL$8:$AL$21,INDEX($AC$8:$AC$1407,$AG324)+1))</f>
        <v/>
      </c>
      <c r="P324" s="109" t="str">
        <f>IF($AG324="","",INDEX($AD$8:$AD$1407,$AG324))</f>
        <v/>
      </c>
      <c r="Q324" s="92" t="str">
        <f>IF($AG324="","",INDEX($AM$8:$AM$21,INDEX($AC$8:$AC$1407,$AG324)+1))</f>
        <v/>
      </c>
      <c r="R324" s="92" t="str">
        <f>IF($AG324="","",IF($G324&gt;0,P_ToelCorrectie&amp;"",""))</f>
        <v/>
      </c>
      <c r="S324" s="15" t="str">
        <f>IF(J324="","",J324&amp;"|"&amp;E324&amp;"|"&amp;F324&amp;"|"&amp;I324&amp;"|"&amp;O324)</f>
        <v/>
      </c>
      <c r="T324" s="111" t="str">
        <f>IF(S324="","",IF(COUNTIFS(L_Sleutel,S324,L_Actief,1)=0,"",SUMIFS(L_Waarde,L_Sleutel,S324,L_Actief,1)))</f>
        <v/>
      </c>
      <c r="U324" s="111">
        <f>IF(OR(S324="",T324=""),0,P324-T324)</f>
        <v>0</v>
      </c>
      <c r="AB324" s="112" t="n">
        <v>23</v>
      </c>
      <c r="AC324" s="112" t="n">
        <v>8</v>
      </c>
      <c r="AD324" s="112" t="str">
        <f>VERW_Project!BQ28</f>
        <v/>
      </c>
      <c r="AE324" s="112">
        <f>IF(AND(VERW_Project!$A28&lt;&gt;"",ISNUMBER(AD324)),1,0)</f>
        <v>0</v>
      </c>
      <c r="AF324" s="112" t="str">
        <f>IF(AE324=1,SUM($AE$8:AE324),"")</f>
        <v/>
      </c>
      <c r="AG324" t="str">
        <f>IFERROR(MATCH(317,$AF$8:$AF$1407,0),"")</f>
        <v/>
      </c>
    </row>
    <row r="325">
      <c r="A325" s="92" t="str">
        <f>IF($AG325="","",P_ImportID)</f>
        <v/>
      </c>
      <c r="B325" s="92" t="str">
        <f>IF($AG325="","",IF(INDEX($AN$8:$AN$21,INDEX($AC$8:$AC$1407,$AG325)+1)="Z",P_BronZ,P_BronE))</f>
        <v/>
      </c>
      <c r="C325" s="108" t="str">
        <f>IF($AG325="","",P_Importdatum)</f>
        <v/>
      </c>
      <c r="D325" s="92" t="str">
        <f>IF($AG325="","",P_StatusVastleg)</f>
        <v/>
      </c>
      <c r="E325" s="92" t="str">
        <f>IF($AG325="","",P_UploadVJ)</f>
        <v/>
      </c>
      <c r="F325" s="92" t="str">
        <f>IF($AG325="","",P_UploadVersie)</f>
        <v/>
      </c>
      <c r="G325" s="92" t="str">
        <f>IF($AG325="","",IF(COUNTIFS(L_Sleutel,$S325,L_Status,"Vastgesteld")=0,0,_xlfn.MAXIFS(L_Revisie,L_Sleutel,$S325,L_Status,"Vastgesteld")+1))</f>
        <v/>
      </c>
      <c r="H325" s="108" t="str">
        <f>IF($AG325="","",P_Peildatum)</f>
        <v/>
      </c>
      <c r="I325" s="92" t="str">
        <f>IF($AG325="","",P_RJ+INDEX($AK$8:$AK$21,INDEX($AC$8:$AC$1407,$AG325)+1))</f>
        <v/>
      </c>
      <c r="J325" s="92" t="str">
        <f>IF($AG325="","",INDEX(V_WBS,INDEX($AB$8:$AB$1407,$AG325)))</f>
        <v/>
      </c>
      <c r="K325" s="92" t="str">
        <f>IF($AG325="","",INDEX(V_Projdef,INDEX($AB$8:$AB$1407,$AG325)))</f>
        <v/>
      </c>
      <c r="L325" s="92" t="str">
        <f>IF($AG325="","",INDEX(V_Naam,INDEX($AB$8:$AB$1407,$AG325)))</f>
        <v/>
      </c>
      <c r="M325" s="92" t="str">
        <f>IF($AG325="","",INDEX(V_Type,INDEX($AB$8:$AB$1407,$AG325)))</f>
        <v/>
      </c>
      <c r="N325" s="92" t="str">
        <f>IF($AG325="","",INDEX(V_IFRS,INDEX($AB$8:$AB$1407,$AG325)))</f>
        <v/>
      </c>
      <c r="O325" s="92" t="str">
        <f>IF($AG325="","",INDEX($AL$8:$AL$21,INDEX($AC$8:$AC$1407,$AG325)+1))</f>
        <v/>
      </c>
      <c r="P325" s="109" t="str">
        <f>IF($AG325="","",INDEX($AD$8:$AD$1407,$AG325))</f>
        <v/>
      </c>
      <c r="Q325" s="92" t="str">
        <f>IF($AG325="","",INDEX($AM$8:$AM$21,INDEX($AC$8:$AC$1407,$AG325)+1))</f>
        <v/>
      </c>
      <c r="R325" s="92" t="str">
        <f>IF($AG325="","",IF($G325&gt;0,P_ToelCorrectie&amp;"",""))</f>
        <v/>
      </c>
      <c r="S325" s="15" t="str">
        <f>IF(J325="","",J325&amp;"|"&amp;E325&amp;"|"&amp;F325&amp;"|"&amp;I325&amp;"|"&amp;O325)</f>
        <v/>
      </c>
      <c r="T325" s="111" t="str">
        <f>IF(S325="","",IF(COUNTIFS(L_Sleutel,S325,L_Actief,1)=0,"",SUMIFS(L_Waarde,L_Sleutel,S325,L_Actief,1)))</f>
        <v/>
      </c>
      <c r="U325" s="111">
        <f>IF(OR(S325="",T325=""),0,P325-T325)</f>
        <v>0</v>
      </c>
      <c r="AB325" s="112" t="n">
        <v>23</v>
      </c>
      <c r="AC325" s="112" t="n">
        <v>9</v>
      </c>
      <c r="AD325" s="112" t="str">
        <f>VERW_Project!BR28</f>
        <v/>
      </c>
      <c r="AE325" s="112">
        <f>IF(AND(VERW_Project!$A28&lt;&gt;"",ISNUMBER(AD325)),1,0)</f>
        <v>0</v>
      </c>
      <c r="AF325" s="112" t="str">
        <f>IF(AE325=1,SUM($AE$8:AE325),"")</f>
        <v/>
      </c>
      <c r="AG325" t="str">
        <f>IFERROR(MATCH(318,$AF$8:$AF$1407,0),"")</f>
        <v/>
      </c>
    </row>
    <row r="326">
      <c r="A326" s="92" t="str">
        <f>IF($AG326="","",P_ImportID)</f>
        <v/>
      </c>
      <c r="B326" s="92" t="str">
        <f>IF($AG326="","",IF(INDEX($AN$8:$AN$21,INDEX($AC$8:$AC$1407,$AG326)+1)="Z",P_BronZ,P_BronE))</f>
        <v/>
      </c>
      <c r="C326" s="108" t="str">
        <f>IF($AG326="","",P_Importdatum)</f>
        <v/>
      </c>
      <c r="D326" s="92" t="str">
        <f>IF($AG326="","",P_StatusVastleg)</f>
        <v/>
      </c>
      <c r="E326" s="92" t="str">
        <f>IF($AG326="","",P_UploadVJ)</f>
        <v/>
      </c>
      <c r="F326" s="92" t="str">
        <f>IF($AG326="","",P_UploadVersie)</f>
        <v/>
      </c>
      <c r="G326" s="92" t="str">
        <f>IF($AG326="","",IF(COUNTIFS(L_Sleutel,$S326,L_Status,"Vastgesteld")=0,0,_xlfn.MAXIFS(L_Revisie,L_Sleutel,$S326,L_Status,"Vastgesteld")+1))</f>
        <v/>
      </c>
      <c r="H326" s="108" t="str">
        <f>IF($AG326="","",P_Peildatum)</f>
        <v/>
      </c>
      <c r="I326" s="92" t="str">
        <f>IF($AG326="","",P_RJ+INDEX($AK$8:$AK$21,INDEX($AC$8:$AC$1407,$AG326)+1))</f>
        <v/>
      </c>
      <c r="J326" s="92" t="str">
        <f>IF($AG326="","",INDEX(V_WBS,INDEX($AB$8:$AB$1407,$AG326)))</f>
        <v/>
      </c>
      <c r="K326" s="92" t="str">
        <f>IF($AG326="","",INDEX(V_Projdef,INDEX($AB$8:$AB$1407,$AG326)))</f>
        <v/>
      </c>
      <c r="L326" s="92" t="str">
        <f>IF($AG326="","",INDEX(V_Naam,INDEX($AB$8:$AB$1407,$AG326)))</f>
        <v/>
      </c>
      <c r="M326" s="92" t="str">
        <f>IF($AG326="","",INDEX(V_Type,INDEX($AB$8:$AB$1407,$AG326)))</f>
        <v/>
      </c>
      <c r="N326" s="92" t="str">
        <f>IF($AG326="","",INDEX(V_IFRS,INDEX($AB$8:$AB$1407,$AG326)))</f>
        <v/>
      </c>
      <c r="O326" s="92" t="str">
        <f>IF($AG326="","",INDEX($AL$8:$AL$21,INDEX($AC$8:$AC$1407,$AG326)+1))</f>
        <v/>
      </c>
      <c r="P326" s="109" t="str">
        <f>IF($AG326="","",INDEX($AD$8:$AD$1407,$AG326))</f>
        <v/>
      </c>
      <c r="Q326" s="92" t="str">
        <f>IF($AG326="","",INDEX($AM$8:$AM$21,INDEX($AC$8:$AC$1407,$AG326)+1))</f>
        <v/>
      </c>
      <c r="R326" s="92" t="str">
        <f>IF($AG326="","",IF($G326&gt;0,P_ToelCorrectie&amp;"",""))</f>
        <v/>
      </c>
      <c r="S326" s="15" t="str">
        <f>IF(J326="","",J326&amp;"|"&amp;E326&amp;"|"&amp;F326&amp;"|"&amp;I326&amp;"|"&amp;O326)</f>
        <v/>
      </c>
      <c r="T326" s="111" t="str">
        <f>IF(S326="","",IF(COUNTIFS(L_Sleutel,S326,L_Actief,1)=0,"",SUMIFS(L_Waarde,L_Sleutel,S326,L_Actief,1)))</f>
        <v/>
      </c>
      <c r="U326" s="111">
        <f>IF(OR(S326="",T326=""),0,P326-T326)</f>
        <v>0</v>
      </c>
      <c r="AB326" s="112" t="n">
        <v>23</v>
      </c>
      <c r="AC326" s="112" t="n">
        <v>10</v>
      </c>
      <c r="AD326" s="112" t="str">
        <f>VERW_Project!BS28</f>
        <v/>
      </c>
      <c r="AE326" s="112">
        <f>IF(AND(VERW_Project!$A28&lt;&gt;"",ISNUMBER(AD326)),1,0)</f>
        <v>0</v>
      </c>
      <c r="AF326" s="112" t="str">
        <f>IF(AE326=1,SUM($AE$8:AE326),"")</f>
        <v/>
      </c>
      <c r="AG326" t="str">
        <f>IFERROR(MATCH(319,$AF$8:$AF$1407,0),"")</f>
        <v/>
      </c>
    </row>
    <row r="327">
      <c r="A327" s="92" t="str">
        <f>IF($AG327="","",P_ImportID)</f>
        <v/>
      </c>
      <c r="B327" s="92" t="str">
        <f>IF($AG327="","",IF(INDEX($AN$8:$AN$21,INDEX($AC$8:$AC$1407,$AG327)+1)="Z",P_BronZ,P_BronE))</f>
        <v/>
      </c>
      <c r="C327" s="108" t="str">
        <f>IF($AG327="","",P_Importdatum)</f>
        <v/>
      </c>
      <c r="D327" s="92" t="str">
        <f>IF($AG327="","",P_StatusVastleg)</f>
        <v/>
      </c>
      <c r="E327" s="92" t="str">
        <f>IF($AG327="","",P_UploadVJ)</f>
        <v/>
      </c>
      <c r="F327" s="92" t="str">
        <f>IF($AG327="","",P_UploadVersie)</f>
        <v/>
      </c>
      <c r="G327" s="92" t="str">
        <f>IF($AG327="","",IF(COUNTIFS(L_Sleutel,$S327,L_Status,"Vastgesteld")=0,0,_xlfn.MAXIFS(L_Revisie,L_Sleutel,$S327,L_Status,"Vastgesteld")+1))</f>
        <v/>
      </c>
      <c r="H327" s="108" t="str">
        <f>IF($AG327="","",P_Peildatum)</f>
        <v/>
      </c>
      <c r="I327" s="92" t="str">
        <f>IF($AG327="","",P_RJ+INDEX($AK$8:$AK$21,INDEX($AC$8:$AC$1407,$AG327)+1))</f>
        <v/>
      </c>
      <c r="J327" s="92" t="str">
        <f>IF($AG327="","",INDEX(V_WBS,INDEX($AB$8:$AB$1407,$AG327)))</f>
        <v/>
      </c>
      <c r="K327" s="92" t="str">
        <f>IF($AG327="","",INDEX(V_Projdef,INDEX($AB$8:$AB$1407,$AG327)))</f>
        <v/>
      </c>
      <c r="L327" s="92" t="str">
        <f>IF($AG327="","",INDEX(V_Naam,INDEX($AB$8:$AB$1407,$AG327)))</f>
        <v/>
      </c>
      <c r="M327" s="92" t="str">
        <f>IF($AG327="","",INDEX(V_Type,INDEX($AB$8:$AB$1407,$AG327)))</f>
        <v/>
      </c>
      <c r="N327" s="92" t="str">
        <f>IF($AG327="","",INDEX(V_IFRS,INDEX($AB$8:$AB$1407,$AG327)))</f>
        <v/>
      </c>
      <c r="O327" s="92" t="str">
        <f>IF($AG327="","",INDEX($AL$8:$AL$21,INDEX($AC$8:$AC$1407,$AG327)+1))</f>
        <v/>
      </c>
      <c r="P327" s="109" t="str">
        <f>IF($AG327="","",INDEX($AD$8:$AD$1407,$AG327))</f>
        <v/>
      </c>
      <c r="Q327" s="92" t="str">
        <f>IF($AG327="","",INDEX($AM$8:$AM$21,INDEX($AC$8:$AC$1407,$AG327)+1))</f>
        <v/>
      </c>
      <c r="R327" s="92" t="str">
        <f>IF($AG327="","",IF($G327&gt;0,P_ToelCorrectie&amp;"",""))</f>
        <v/>
      </c>
      <c r="S327" s="15" t="str">
        <f>IF(J327="","",J327&amp;"|"&amp;E327&amp;"|"&amp;F327&amp;"|"&amp;I327&amp;"|"&amp;O327)</f>
        <v/>
      </c>
      <c r="T327" s="111" t="str">
        <f>IF(S327="","",IF(COUNTIFS(L_Sleutel,S327,L_Actief,1)=0,"",SUMIFS(L_Waarde,L_Sleutel,S327,L_Actief,1)))</f>
        <v/>
      </c>
      <c r="U327" s="111">
        <f>IF(OR(S327="",T327=""),0,P327-T327)</f>
        <v>0</v>
      </c>
      <c r="AB327" s="112" t="n">
        <v>23</v>
      </c>
      <c r="AC327" s="112" t="n">
        <v>11</v>
      </c>
      <c r="AD327" s="112" t="str">
        <f>VERW_Project!BT28</f>
        <v/>
      </c>
      <c r="AE327" s="112">
        <f>IF(AND(VERW_Project!$A28&lt;&gt;"",ISNUMBER(AD327)),1,0)</f>
        <v>0</v>
      </c>
      <c r="AF327" s="112" t="str">
        <f>IF(AE327=1,SUM($AE$8:AE327),"")</f>
        <v/>
      </c>
      <c r="AG327" t="str">
        <f>IFERROR(MATCH(320,$AF$8:$AF$1407,0),"")</f>
        <v/>
      </c>
    </row>
    <row r="328">
      <c r="A328" s="92" t="str">
        <f>IF($AG328="","",P_ImportID)</f>
        <v/>
      </c>
      <c r="B328" s="92" t="str">
        <f>IF($AG328="","",IF(INDEX($AN$8:$AN$21,INDEX($AC$8:$AC$1407,$AG328)+1)="Z",P_BronZ,P_BronE))</f>
        <v/>
      </c>
      <c r="C328" s="108" t="str">
        <f>IF($AG328="","",P_Importdatum)</f>
        <v/>
      </c>
      <c r="D328" s="92" t="str">
        <f>IF($AG328="","",P_StatusVastleg)</f>
        <v/>
      </c>
      <c r="E328" s="92" t="str">
        <f>IF($AG328="","",P_UploadVJ)</f>
        <v/>
      </c>
      <c r="F328" s="92" t="str">
        <f>IF($AG328="","",P_UploadVersie)</f>
        <v/>
      </c>
      <c r="G328" s="92" t="str">
        <f>IF($AG328="","",IF(COUNTIFS(L_Sleutel,$S328,L_Status,"Vastgesteld")=0,0,_xlfn.MAXIFS(L_Revisie,L_Sleutel,$S328,L_Status,"Vastgesteld")+1))</f>
        <v/>
      </c>
      <c r="H328" s="108" t="str">
        <f>IF($AG328="","",P_Peildatum)</f>
        <v/>
      </c>
      <c r="I328" s="92" t="str">
        <f>IF($AG328="","",P_RJ+INDEX($AK$8:$AK$21,INDEX($AC$8:$AC$1407,$AG328)+1))</f>
        <v/>
      </c>
      <c r="J328" s="92" t="str">
        <f>IF($AG328="","",INDEX(V_WBS,INDEX($AB$8:$AB$1407,$AG328)))</f>
        <v/>
      </c>
      <c r="K328" s="92" t="str">
        <f>IF($AG328="","",INDEX(V_Projdef,INDEX($AB$8:$AB$1407,$AG328)))</f>
        <v/>
      </c>
      <c r="L328" s="92" t="str">
        <f>IF($AG328="","",INDEX(V_Naam,INDEX($AB$8:$AB$1407,$AG328)))</f>
        <v/>
      </c>
      <c r="M328" s="92" t="str">
        <f>IF($AG328="","",INDEX(V_Type,INDEX($AB$8:$AB$1407,$AG328)))</f>
        <v/>
      </c>
      <c r="N328" s="92" t="str">
        <f>IF($AG328="","",INDEX(V_IFRS,INDEX($AB$8:$AB$1407,$AG328)))</f>
        <v/>
      </c>
      <c r="O328" s="92" t="str">
        <f>IF($AG328="","",INDEX($AL$8:$AL$21,INDEX($AC$8:$AC$1407,$AG328)+1))</f>
        <v/>
      </c>
      <c r="P328" s="109" t="str">
        <f>IF($AG328="","",INDEX($AD$8:$AD$1407,$AG328))</f>
        <v/>
      </c>
      <c r="Q328" s="92" t="str">
        <f>IF($AG328="","",INDEX($AM$8:$AM$21,INDEX($AC$8:$AC$1407,$AG328)+1))</f>
        <v/>
      </c>
      <c r="R328" s="92" t="str">
        <f>IF($AG328="","",IF($G328&gt;0,P_ToelCorrectie&amp;"",""))</f>
        <v/>
      </c>
      <c r="S328" s="15" t="str">
        <f>IF(J328="","",J328&amp;"|"&amp;E328&amp;"|"&amp;F328&amp;"|"&amp;I328&amp;"|"&amp;O328)</f>
        <v/>
      </c>
      <c r="T328" s="111" t="str">
        <f>IF(S328="","",IF(COUNTIFS(L_Sleutel,S328,L_Actief,1)=0,"",SUMIFS(L_Waarde,L_Sleutel,S328,L_Actief,1)))</f>
        <v/>
      </c>
      <c r="U328" s="111">
        <f>IF(OR(S328="",T328=""),0,P328-T328)</f>
        <v>0</v>
      </c>
      <c r="AB328" s="112" t="n">
        <v>23</v>
      </c>
      <c r="AC328" s="112" t="n">
        <v>12</v>
      </c>
      <c r="AD328" s="112" t="str">
        <f>VERW_Project!BU28</f>
        <v/>
      </c>
      <c r="AE328" s="112">
        <f>IF(AND(VERW_Project!$A28&lt;&gt;"",ISNUMBER(AD328)),1,0)</f>
        <v>0</v>
      </c>
      <c r="AF328" s="112" t="str">
        <f>IF(AE328=1,SUM($AE$8:AE328),"")</f>
        <v/>
      </c>
      <c r="AG328" t="str">
        <f>IFERROR(MATCH(321,$AF$8:$AF$1407,0),"")</f>
        <v/>
      </c>
    </row>
    <row r="329">
      <c r="A329" s="92" t="str">
        <f>IF($AG329="","",P_ImportID)</f>
        <v/>
      </c>
      <c r="B329" s="92" t="str">
        <f>IF($AG329="","",IF(INDEX($AN$8:$AN$21,INDEX($AC$8:$AC$1407,$AG329)+1)="Z",P_BronZ,P_BronE))</f>
        <v/>
      </c>
      <c r="C329" s="108" t="str">
        <f>IF($AG329="","",P_Importdatum)</f>
        <v/>
      </c>
      <c r="D329" s="92" t="str">
        <f>IF($AG329="","",P_StatusVastleg)</f>
        <v/>
      </c>
      <c r="E329" s="92" t="str">
        <f>IF($AG329="","",P_UploadVJ)</f>
        <v/>
      </c>
      <c r="F329" s="92" t="str">
        <f>IF($AG329="","",P_UploadVersie)</f>
        <v/>
      </c>
      <c r="G329" s="92" t="str">
        <f>IF($AG329="","",IF(COUNTIFS(L_Sleutel,$S329,L_Status,"Vastgesteld")=0,0,_xlfn.MAXIFS(L_Revisie,L_Sleutel,$S329,L_Status,"Vastgesteld")+1))</f>
        <v/>
      </c>
      <c r="H329" s="108" t="str">
        <f>IF($AG329="","",P_Peildatum)</f>
        <v/>
      </c>
      <c r="I329" s="92" t="str">
        <f>IF($AG329="","",P_RJ+INDEX($AK$8:$AK$21,INDEX($AC$8:$AC$1407,$AG329)+1))</f>
        <v/>
      </c>
      <c r="J329" s="92" t="str">
        <f>IF($AG329="","",INDEX(V_WBS,INDEX($AB$8:$AB$1407,$AG329)))</f>
        <v/>
      </c>
      <c r="K329" s="92" t="str">
        <f>IF($AG329="","",INDEX(V_Projdef,INDEX($AB$8:$AB$1407,$AG329)))</f>
        <v/>
      </c>
      <c r="L329" s="92" t="str">
        <f>IF($AG329="","",INDEX(V_Naam,INDEX($AB$8:$AB$1407,$AG329)))</f>
        <v/>
      </c>
      <c r="M329" s="92" t="str">
        <f>IF($AG329="","",INDEX(V_Type,INDEX($AB$8:$AB$1407,$AG329)))</f>
        <v/>
      </c>
      <c r="N329" s="92" t="str">
        <f>IF($AG329="","",INDEX(V_IFRS,INDEX($AB$8:$AB$1407,$AG329)))</f>
        <v/>
      </c>
      <c r="O329" s="92" t="str">
        <f>IF($AG329="","",INDEX($AL$8:$AL$21,INDEX($AC$8:$AC$1407,$AG329)+1))</f>
        <v/>
      </c>
      <c r="P329" s="109" t="str">
        <f>IF($AG329="","",INDEX($AD$8:$AD$1407,$AG329))</f>
        <v/>
      </c>
      <c r="Q329" s="92" t="str">
        <f>IF($AG329="","",INDEX($AM$8:$AM$21,INDEX($AC$8:$AC$1407,$AG329)+1))</f>
        <v/>
      </c>
      <c r="R329" s="92" t="str">
        <f>IF($AG329="","",IF($G329&gt;0,P_ToelCorrectie&amp;"",""))</f>
        <v/>
      </c>
      <c r="S329" s="15" t="str">
        <f>IF(J329="","",J329&amp;"|"&amp;E329&amp;"|"&amp;F329&amp;"|"&amp;I329&amp;"|"&amp;O329)</f>
        <v/>
      </c>
      <c r="T329" s="111" t="str">
        <f>IF(S329="","",IF(COUNTIFS(L_Sleutel,S329,L_Actief,1)=0,"",SUMIFS(L_Waarde,L_Sleutel,S329,L_Actief,1)))</f>
        <v/>
      </c>
      <c r="U329" s="111">
        <f>IF(OR(S329="",T329=""),0,P329-T329)</f>
        <v>0</v>
      </c>
      <c r="AB329" s="112" t="n">
        <v>23</v>
      </c>
      <c r="AC329" s="112" t="n">
        <v>13</v>
      </c>
      <c r="AD329" s="112" t="str">
        <f>VERW_Project!BX28</f>
        <v/>
      </c>
      <c r="AE329" s="112">
        <f>IF(AND(VERW_Project!$A28&lt;&gt;"",ISNUMBER(AD329)),1,0)</f>
        <v>0</v>
      </c>
      <c r="AF329" s="112" t="str">
        <f>IF(AE329=1,SUM($AE$8:AE329),"")</f>
        <v/>
      </c>
      <c r="AG329" t="str">
        <f>IFERROR(MATCH(322,$AF$8:$AF$1407,0),"")</f>
        <v/>
      </c>
    </row>
    <row r="330">
      <c r="A330" s="92" t="str">
        <f>IF($AG330="","",P_ImportID)</f>
        <v/>
      </c>
      <c r="B330" s="92" t="str">
        <f>IF($AG330="","",IF(INDEX($AN$8:$AN$21,INDEX($AC$8:$AC$1407,$AG330)+1)="Z",P_BronZ,P_BronE))</f>
        <v/>
      </c>
      <c r="C330" s="108" t="str">
        <f>IF($AG330="","",P_Importdatum)</f>
        <v/>
      </c>
      <c r="D330" s="92" t="str">
        <f>IF($AG330="","",P_StatusVastleg)</f>
        <v/>
      </c>
      <c r="E330" s="92" t="str">
        <f>IF($AG330="","",P_UploadVJ)</f>
        <v/>
      </c>
      <c r="F330" s="92" t="str">
        <f>IF($AG330="","",P_UploadVersie)</f>
        <v/>
      </c>
      <c r="G330" s="92" t="str">
        <f>IF($AG330="","",IF(COUNTIFS(L_Sleutel,$S330,L_Status,"Vastgesteld")=0,0,_xlfn.MAXIFS(L_Revisie,L_Sleutel,$S330,L_Status,"Vastgesteld")+1))</f>
        <v/>
      </c>
      <c r="H330" s="108" t="str">
        <f>IF($AG330="","",P_Peildatum)</f>
        <v/>
      </c>
      <c r="I330" s="92" t="str">
        <f>IF($AG330="","",P_RJ+INDEX($AK$8:$AK$21,INDEX($AC$8:$AC$1407,$AG330)+1))</f>
        <v/>
      </c>
      <c r="J330" s="92" t="str">
        <f>IF($AG330="","",INDEX(V_WBS,INDEX($AB$8:$AB$1407,$AG330)))</f>
        <v/>
      </c>
      <c r="K330" s="92" t="str">
        <f>IF($AG330="","",INDEX(V_Projdef,INDEX($AB$8:$AB$1407,$AG330)))</f>
        <v/>
      </c>
      <c r="L330" s="92" t="str">
        <f>IF($AG330="","",INDEX(V_Naam,INDEX($AB$8:$AB$1407,$AG330)))</f>
        <v/>
      </c>
      <c r="M330" s="92" t="str">
        <f>IF($AG330="","",INDEX(V_Type,INDEX($AB$8:$AB$1407,$AG330)))</f>
        <v/>
      </c>
      <c r="N330" s="92" t="str">
        <f>IF($AG330="","",INDEX(V_IFRS,INDEX($AB$8:$AB$1407,$AG330)))</f>
        <v/>
      </c>
      <c r="O330" s="92" t="str">
        <f>IF($AG330="","",INDEX($AL$8:$AL$21,INDEX($AC$8:$AC$1407,$AG330)+1))</f>
        <v/>
      </c>
      <c r="P330" s="109" t="str">
        <f>IF($AG330="","",INDEX($AD$8:$AD$1407,$AG330))</f>
        <v/>
      </c>
      <c r="Q330" s="92" t="str">
        <f>IF($AG330="","",INDEX($AM$8:$AM$21,INDEX($AC$8:$AC$1407,$AG330)+1))</f>
        <v/>
      </c>
      <c r="R330" s="92" t="str">
        <f>IF($AG330="","",IF($G330&gt;0,P_ToelCorrectie&amp;"",""))</f>
        <v/>
      </c>
      <c r="S330" s="15" t="str">
        <f>IF(J330="","",J330&amp;"|"&amp;E330&amp;"|"&amp;F330&amp;"|"&amp;I330&amp;"|"&amp;O330)</f>
        <v/>
      </c>
      <c r="T330" s="111" t="str">
        <f>IF(S330="","",IF(COUNTIFS(L_Sleutel,S330,L_Actief,1)=0,"",SUMIFS(L_Waarde,L_Sleutel,S330,L_Actief,1)))</f>
        <v/>
      </c>
      <c r="U330" s="111">
        <f>IF(OR(S330="",T330=""),0,P330-T330)</f>
        <v>0</v>
      </c>
      <c r="AB330" s="112" t="n">
        <v>24</v>
      </c>
      <c r="AC330" s="112" t="n">
        <v>0</v>
      </c>
      <c r="AD330" s="112" t="str">
        <f>VERW_Project!P29</f>
        <v/>
      </c>
      <c r="AE330" s="112">
        <f>IF(AND(VERW_Project!$A29&lt;&gt;"",ISNUMBER(AD330)),1,0)</f>
        <v>0</v>
      </c>
      <c r="AF330" s="112" t="str">
        <f>IF(AE330=1,SUM($AE$8:AE330),"")</f>
        <v/>
      </c>
      <c r="AG330" t="str">
        <f>IFERROR(MATCH(323,$AF$8:$AF$1407,0),"")</f>
        <v/>
      </c>
    </row>
    <row r="331">
      <c r="A331" s="92" t="str">
        <f>IF($AG331="","",P_ImportID)</f>
        <v/>
      </c>
      <c r="B331" s="92" t="str">
        <f>IF($AG331="","",IF(INDEX($AN$8:$AN$21,INDEX($AC$8:$AC$1407,$AG331)+1)="Z",P_BronZ,P_BronE))</f>
        <v/>
      </c>
      <c r="C331" s="108" t="str">
        <f>IF($AG331="","",P_Importdatum)</f>
        <v/>
      </c>
      <c r="D331" s="92" t="str">
        <f>IF($AG331="","",P_StatusVastleg)</f>
        <v/>
      </c>
      <c r="E331" s="92" t="str">
        <f>IF($AG331="","",P_UploadVJ)</f>
        <v/>
      </c>
      <c r="F331" s="92" t="str">
        <f>IF($AG331="","",P_UploadVersie)</f>
        <v/>
      </c>
      <c r="G331" s="92" t="str">
        <f>IF($AG331="","",IF(COUNTIFS(L_Sleutel,$S331,L_Status,"Vastgesteld")=0,0,_xlfn.MAXIFS(L_Revisie,L_Sleutel,$S331,L_Status,"Vastgesteld")+1))</f>
        <v/>
      </c>
      <c r="H331" s="108" t="str">
        <f>IF($AG331="","",P_Peildatum)</f>
        <v/>
      </c>
      <c r="I331" s="92" t="str">
        <f>IF($AG331="","",P_RJ+INDEX($AK$8:$AK$21,INDEX($AC$8:$AC$1407,$AG331)+1))</f>
        <v/>
      </c>
      <c r="J331" s="92" t="str">
        <f>IF($AG331="","",INDEX(V_WBS,INDEX($AB$8:$AB$1407,$AG331)))</f>
        <v/>
      </c>
      <c r="K331" s="92" t="str">
        <f>IF($AG331="","",INDEX(V_Projdef,INDEX($AB$8:$AB$1407,$AG331)))</f>
        <v/>
      </c>
      <c r="L331" s="92" t="str">
        <f>IF($AG331="","",INDEX(V_Naam,INDEX($AB$8:$AB$1407,$AG331)))</f>
        <v/>
      </c>
      <c r="M331" s="92" t="str">
        <f>IF($AG331="","",INDEX(V_Type,INDEX($AB$8:$AB$1407,$AG331)))</f>
        <v/>
      </c>
      <c r="N331" s="92" t="str">
        <f>IF($AG331="","",INDEX(V_IFRS,INDEX($AB$8:$AB$1407,$AG331)))</f>
        <v/>
      </c>
      <c r="O331" s="92" t="str">
        <f>IF($AG331="","",INDEX($AL$8:$AL$21,INDEX($AC$8:$AC$1407,$AG331)+1))</f>
        <v/>
      </c>
      <c r="P331" s="109" t="str">
        <f>IF($AG331="","",INDEX($AD$8:$AD$1407,$AG331))</f>
        <v/>
      </c>
      <c r="Q331" s="92" t="str">
        <f>IF($AG331="","",INDEX($AM$8:$AM$21,INDEX($AC$8:$AC$1407,$AG331)+1))</f>
        <v/>
      </c>
      <c r="R331" s="92" t="str">
        <f>IF($AG331="","",IF($G331&gt;0,P_ToelCorrectie&amp;"",""))</f>
        <v/>
      </c>
      <c r="S331" s="15" t="str">
        <f>IF(J331="","",J331&amp;"|"&amp;E331&amp;"|"&amp;F331&amp;"|"&amp;I331&amp;"|"&amp;O331)</f>
        <v/>
      </c>
      <c r="T331" s="111" t="str">
        <f>IF(S331="","",IF(COUNTIFS(L_Sleutel,S331,L_Actief,1)=0,"",SUMIFS(L_Waarde,L_Sleutel,S331,L_Actief,1)))</f>
        <v/>
      </c>
      <c r="U331" s="111">
        <f>IF(OR(S331="",T331=""),0,P331-T331)</f>
        <v>0</v>
      </c>
      <c r="AB331" s="112" t="n">
        <v>24</v>
      </c>
      <c r="AC331" s="112" t="n">
        <v>1</v>
      </c>
      <c r="AD331" s="112" t="str">
        <f>VERW_Project!Q29</f>
        <v/>
      </c>
      <c r="AE331" s="112">
        <f>IF(AND(VERW_Project!$A29&lt;&gt;"",ISNUMBER(AD331)),1,0)</f>
        <v>0</v>
      </c>
      <c r="AF331" s="112" t="str">
        <f>IF(AE331=1,SUM($AE$8:AE331),"")</f>
        <v/>
      </c>
      <c r="AG331" t="str">
        <f>IFERROR(MATCH(324,$AF$8:$AF$1407,0),"")</f>
        <v/>
      </c>
    </row>
    <row r="332">
      <c r="A332" s="92" t="str">
        <f>IF($AG332="","",P_ImportID)</f>
        <v/>
      </c>
      <c r="B332" s="92" t="str">
        <f>IF($AG332="","",IF(INDEX($AN$8:$AN$21,INDEX($AC$8:$AC$1407,$AG332)+1)="Z",P_BronZ,P_BronE))</f>
        <v/>
      </c>
      <c r="C332" s="108" t="str">
        <f>IF($AG332="","",P_Importdatum)</f>
        <v/>
      </c>
      <c r="D332" s="92" t="str">
        <f>IF($AG332="","",P_StatusVastleg)</f>
        <v/>
      </c>
      <c r="E332" s="92" t="str">
        <f>IF($AG332="","",P_UploadVJ)</f>
        <v/>
      </c>
      <c r="F332" s="92" t="str">
        <f>IF($AG332="","",P_UploadVersie)</f>
        <v/>
      </c>
      <c r="G332" s="92" t="str">
        <f>IF($AG332="","",IF(COUNTIFS(L_Sleutel,$S332,L_Status,"Vastgesteld")=0,0,_xlfn.MAXIFS(L_Revisie,L_Sleutel,$S332,L_Status,"Vastgesteld")+1))</f>
        <v/>
      </c>
      <c r="H332" s="108" t="str">
        <f>IF($AG332="","",P_Peildatum)</f>
        <v/>
      </c>
      <c r="I332" s="92" t="str">
        <f>IF($AG332="","",P_RJ+INDEX($AK$8:$AK$21,INDEX($AC$8:$AC$1407,$AG332)+1))</f>
        <v/>
      </c>
      <c r="J332" s="92" t="str">
        <f>IF($AG332="","",INDEX(V_WBS,INDEX($AB$8:$AB$1407,$AG332)))</f>
        <v/>
      </c>
      <c r="K332" s="92" t="str">
        <f>IF($AG332="","",INDEX(V_Projdef,INDEX($AB$8:$AB$1407,$AG332)))</f>
        <v/>
      </c>
      <c r="L332" s="92" t="str">
        <f>IF($AG332="","",INDEX(V_Naam,INDEX($AB$8:$AB$1407,$AG332)))</f>
        <v/>
      </c>
      <c r="M332" s="92" t="str">
        <f>IF($AG332="","",INDEX(V_Type,INDEX($AB$8:$AB$1407,$AG332)))</f>
        <v/>
      </c>
      <c r="N332" s="92" t="str">
        <f>IF($AG332="","",INDEX(V_IFRS,INDEX($AB$8:$AB$1407,$AG332)))</f>
        <v/>
      </c>
      <c r="O332" s="92" t="str">
        <f>IF($AG332="","",INDEX($AL$8:$AL$21,INDEX($AC$8:$AC$1407,$AG332)+1))</f>
        <v/>
      </c>
      <c r="P332" s="109" t="str">
        <f>IF($AG332="","",INDEX($AD$8:$AD$1407,$AG332))</f>
        <v/>
      </c>
      <c r="Q332" s="92" t="str">
        <f>IF($AG332="","",INDEX($AM$8:$AM$21,INDEX($AC$8:$AC$1407,$AG332)+1))</f>
        <v/>
      </c>
      <c r="R332" s="92" t="str">
        <f>IF($AG332="","",IF($G332&gt;0,P_ToelCorrectie&amp;"",""))</f>
        <v/>
      </c>
      <c r="S332" s="15" t="str">
        <f>IF(J332="","",J332&amp;"|"&amp;E332&amp;"|"&amp;F332&amp;"|"&amp;I332&amp;"|"&amp;O332)</f>
        <v/>
      </c>
      <c r="T332" s="111" t="str">
        <f>IF(S332="","",IF(COUNTIFS(L_Sleutel,S332,L_Actief,1)=0,"",SUMIFS(L_Waarde,L_Sleutel,S332,L_Actief,1)))</f>
        <v/>
      </c>
      <c r="U332" s="111">
        <f>IF(OR(S332="",T332=""),0,P332-T332)</f>
        <v>0</v>
      </c>
      <c r="AB332" s="112" t="n">
        <v>24</v>
      </c>
      <c r="AC332" s="112" t="n">
        <v>2</v>
      </c>
      <c r="AD332" s="112" t="str">
        <f>VERW_Project!L29</f>
        <v/>
      </c>
      <c r="AE332" s="112">
        <f>IF(AND(VERW_Project!$A29&lt;&gt;"",ISNUMBER(AD332)),1,0)</f>
        <v>0</v>
      </c>
      <c r="AF332" s="112" t="str">
        <f>IF(AE332=1,SUM($AE$8:AE332),"")</f>
        <v/>
      </c>
      <c r="AG332" t="str">
        <f>IFERROR(MATCH(325,$AF$8:$AF$1407,0),"")</f>
        <v/>
      </c>
    </row>
    <row r="333">
      <c r="A333" s="92" t="str">
        <f>IF($AG333="","",P_ImportID)</f>
        <v/>
      </c>
      <c r="B333" s="92" t="str">
        <f>IF($AG333="","",IF(INDEX($AN$8:$AN$21,INDEX($AC$8:$AC$1407,$AG333)+1)="Z",P_BronZ,P_BronE))</f>
        <v/>
      </c>
      <c r="C333" s="108" t="str">
        <f>IF($AG333="","",P_Importdatum)</f>
        <v/>
      </c>
      <c r="D333" s="92" t="str">
        <f>IF($AG333="","",P_StatusVastleg)</f>
        <v/>
      </c>
      <c r="E333" s="92" t="str">
        <f>IF($AG333="","",P_UploadVJ)</f>
        <v/>
      </c>
      <c r="F333" s="92" t="str">
        <f>IF($AG333="","",P_UploadVersie)</f>
        <v/>
      </c>
      <c r="G333" s="92" t="str">
        <f>IF($AG333="","",IF(COUNTIFS(L_Sleutel,$S333,L_Status,"Vastgesteld")=0,0,_xlfn.MAXIFS(L_Revisie,L_Sleutel,$S333,L_Status,"Vastgesteld")+1))</f>
        <v/>
      </c>
      <c r="H333" s="108" t="str">
        <f>IF($AG333="","",P_Peildatum)</f>
        <v/>
      </c>
      <c r="I333" s="92" t="str">
        <f>IF($AG333="","",P_RJ+INDEX($AK$8:$AK$21,INDEX($AC$8:$AC$1407,$AG333)+1))</f>
        <v/>
      </c>
      <c r="J333" s="92" t="str">
        <f>IF($AG333="","",INDEX(V_WBS,INDEX($AB$8:$AB$1407,$AG333)))</f>
        <v/>
      </c>
      <c r="K333" s="92" t="str">
        <f>IF($AG333="","",INDEX(V_Projdef,INDEX($AB$8:$AB$1407,$AG333)))</f>
        <v/>
      </c>
      <c r="L333" s="92" t="str">
        <f>IF($AG333="","",INDEX(V_Naam,INDEX($AB$8:$AB$1407,$AG333)))</f>
        <v/>
      </c>
      <c r="M333" s="92" t="str">
        <f>IF($AG333="","",INDEX(V_Type,INDEX($AB$8:$AB$1407,$AG333)))</f>
        <v/>
      </c>
      <c r="N333" s="92" t="str">
        <f>IF($AG333="","",INDEX(V_IFRS,INDEX($AB$8:$AB$1407,$AG333)))</f>
        <v/>
      </c>
      <c r="O333" s="92" t="str">
        <f>IF($AG333="","",INDEX($AL$8:$AL$21,INDEX($AC$8:$AC$1407,$AG333)+1))</f>
        <v/>
      </c>
      <c r="P333" s="109" t="str">
        <f>IF($AG333="","",INDEX($AD$8:$AD$1407,$AG333))</f>
        <v/>
      </c>
      <c r="Q333" s="92" t="str">
        <f>IF($AG333="","",INDEX($AM$8:$AM$21,INDEX($AC$8:$AC$1407,$AG333)+1))</f>
        <v/>
      </c>
      <c r="R333" s="92" t="str">
        <f>IF($AG333="","",IF($G333&gt;0,P_ToelCorrectie&amp;"",""))</f>
        <v/>
      </c>
      <c r="S333" s="15" t="str">
        <f>IF(J333="","",J333&amp;"|"&amp;E333&amp;"|"&amp;F333&amp;"|"&amp;I333&amp;"|"&amp;O333)</f>
        <v/>
      </c>
      <c r="T333" s="111" t="str">
        <f>IF(S333="","",IF(COUNTIFS(L_Sleutel,S333,L_Actief,1)=0,"",SUMIFS(L_Waarde,L_Sleutel,S333,L_Actief,1)))</f>
        <v/>
      </c>
      <c r="U333" s="111">
        <f>IF(OR(S333="",T333=""),0,P333-T333)</f>
        <v>0</v>
      </c>
      <c r="AB333" s="112" t="n">
        <v>24</v>
      </c>
      <c r="AC333" s="112" t="n">
        <v>3</v>
      </c>
      <c r="AD333" s="112" t="str">
        <f>VERW_Project!M29</f>
        <v/>
      </c>
      <c r="AE333" s="112">
        <f>IF(AND(VERW_Project!$A29&lt;&gt;"",ISNUMBER(AD333)),1,0)</f>
        <v>0</v>
      </c>
      <c r="AF333" s="112" t="str">
        <f>IF(AE333=1,SUM($AE$8:AE333),"")</f>
        <v/>
      </c>
      <c r="AG333" t="str">
        <f>IFERROR(MATCH(326,$AF$8:$AF$1407,0),"")</f>
        <v/>
      </c>
    </row>
    <row r="334">
      <c r="A334" s="92" t="str">
        <f>IF($AG334="","",P_ImportID)</f>
        <v/>
      </c>
      <c r="B334" s="92" t="str">
        <f>IF($AG334="","",IF(INDEX($AN$8:$AN$21,INDEX($AC$8:$AC$1407,$AG334)+1)="Z",P_BronZ,P_BronE))</f>
        <v/>
      </c>
      <c r="C334" s="108" t="str">
        <f>IF($AG334="","",P_Importdatum)</f>
        <v/>
      </c>
      <c r="D334" s="92" t="str">
        <f>IF($AG334="","",P_StatusVastleg)</f>
        <v/>
      </c>
      <c r="E334" s="92" t="str">
        <f>IF($AG334="","",P_UploadVJ)</f>
        <v/>
      </c>
      <c r="F334" s="92" t="str">
        <f>IF($AG334="","",P_UploadVersie)</f>
        <v/>
      </c>
      <c r="G334" s="92" t="str">
        <f>IF($AG334="","",IF(COUNTIFS(L_Sleutel,$S334,L_Status,"Vastgesteld")=0,0,_xlfn.MAXIFS(L_Revisie,L_Sleutel,$S334,L_Status,"Vastgesteld")+1))</f>
        <v/>
      </c>
      <c r="H334" s="108" t="str">
        <f>IF($AG334="","",P_Peildatum)</f>
        <v/>
      </c>
      <c r="I334" s="92" t="str">
        <f>IF($AG334="","",P_RJ+INDEX($AK$8:$AK$21,INDEX($AC$8:$AC$1407,$AG334)+1))</f>
        <v/>
      </c>
      <c r="J334" s="92" t="str">
        <f>IF($AG334="","",INDEX(V_WBS,INDEX($AB$8:$AB$1407,$AG334)))</f>
        <v/>
      </c>
      <c r="K334" s="92" t="str">
        <f>IF($AG334="","",INDEX(V_Projdef,INDEX($AB$8:$AB$1407,$AG334)))</f>
        <v/>
      </c>
      <c r="L334" s="92" t="str">
        <f>IF($AG334="","",INDEX(V_Naam,INDEX($AB$8:$AB$1407,$AG334)))</f>
        <v/>
      </c>
      <c r="M334" s="92" t="str">
        <f>IF($AG334="","",INDEX(V_Type,INDEX($AB$8:$AB$1407,$AG334)))</f>
        <v/>
      </c>
      <c r="N334" s="92" t="str">
        <f>IF($AG334="","",INDEX(V_IFRS,INDEX($AB$8:$AB$1407,$AG334)))</f>
        <v/>
      </c>
      <c r="O334" s="92" t="str">
        <f>IF($AG334="","",INDEX($AL$8:$AL$21,INDEX($AC$8:$AC$1407,$AG334)+1))</f>
        <v/>
      </c>
      <c r="P334" s="109" t="str">
        <f>IF($AG334="","",INDEX($AD$8:$AD$1407,$AG334))</f>
        <v/>
      </c>
      <c r="Q334" s="92" t="str">
        <f>IF($AG334="","",INDEX($AM$8:$AM$21,INDEX($AC$8:$AC$1407,$AG334)+1))</f>
        <v/>
      </c>
      <c r="R334" s="92" t="str">
        <f>IF($AG334="","",IF($G334&gt;0,P_ToelCorrectie&amp;"",""))</f>
        <v/>
      </c>
      <c r="S334" s="15" t="str">
        <f>IF(J334="","",J334&amp;"|"&amp;E334&amp;"|"&amp;F334&amp;"|"&amp;I334&amp;"|"&amp;O334)</f>
        <v/>
      </c>
      <c r="T334" s="111" t="str">
        <f>IF(S334="","",IF(COUNTIFS(L_Sleutel,S334,L_Actief,1)=0,"",SUMIFS(L_Waarde,L_Sleutel,S334,L_Actief,1)))</f>
        <v/>
      </c>
      <c r="U334" s="111">
        <f>IF(OR(S334="",T334=""),0,P334-T334)</f>
        <v>0</v>
      </c>
      <c r="AB334" s="112" t="n">
        <v>24</v>
      </c>
      <c r="AC334" s="112" t="n">
        <v>4</v>
      </c>
      <c r="AD334" s="112" t="str">
        <f>VERW_Project!R29</f>
        <v/>
      </c>
      <c r="AE334" s="112">
        <f>IF(AND(VERW_Project!$A29&lt;&gt;"",ISNUMBER(AD334)),1,0)</f>
        <v>0</v>
      </c>
      <c r="AF334" s="112" t="str">
        <f>IF(AE334=1,SUM($AE$8:AE334),"")</f>
        <v/>
      </c>
      <c r="AG334" t="str">
        <f>IFERROR(MATCH(327,$AF$8:$AF$1407,0),"")</f>
        <v/>
      </c>
    </row>
    <row r="335">
      <c r="A335" s="92" t="str">
        <f>IF($AG335="","",P_ImportID)</f>
        <v/>
      </c>
      <c r="B335" s="92" t="str">
        <f>IF($AG335="","",IF(INDEX($AN$8:$AN$21,INDEX($AC$8:$AC$1407,$AG335)+1)="Z",P_BronZ,P_BronE))</f>
        <v/>
      </c>
      <c r="C335" s="108" t="str">
        <f>IF($AG335="","",P_Importdatum)</f>
        <v/>
      </c>
      <c r="D335" s="92" t="str">
        <f>IF($AG335="","",P_StatusVastleg)</f>
        <v/>
      </c>
      <c r="E335" s="92" t="str">
        <f>IF($AG335="","",P_UploadVJ)</f>
        <v/>
      </c>
      <c r="F335" s="92" t="str">
        <f>IF($AG335="","",P_UploadVersie)</f>
        <v/>
      </c>
      <c r="G335" s="92" t="str">
        <f>IF($AG335="","",IF(COUNTIFS(L_Sleutel,$S335,L_Status,"Vastgesteld")=0,0,_xlfn.MAXIFS(L_Revisie,L_Sleutel,$S335,L_Status,"Vastgesteld")+1))</f>
        <v/>
      </c>
      <c r="H335" s="108" t="str">
        <f>IF($AG335="","",P_Peildatum)</f>
        <v/>
      </c>
      <c r="I335" s="92" t="str">
        <f>IF($AG335="","",P_RJ+INDEX($AK$8:$AK$21,INDEX($AC$8:$AC$1407,$AG335)+1))</f>
        <v/>
      </c>
      <c r="J335" s="92" t="str">
        <f>IF($AG335="","",INDEX(V_WBS,INDEX($AB$8:$AB$1407,$AG335)))</f>
        <v/>
      </c>
      <c r="K335" s="92" t="str">
        <f>IF($AG335="","",INDEX(V_Projdef,INDEX($AB$8:$AB$1407,$AG335)))</f>
        <v/>
      </c>
      <c r="L335" s="92" t="str">
        <f>IF($AG335="","",INDEX(V_Naam,INDEX($AB$8:$AB$1407,$AG335)))</f>
        <v/>
      </c>
      <c r="M335" s="92" t="str">
        <f>IF($AG335="","",INDEX(V_Type,INDEX($AB$8:$AB$1407,$AG335)))</f>
        <v/>
      </c>
      <c r="N335" s="92" t="str">
        <f>IF($AG335="","",INDEX(V_IFRS,INDEX($AB$8:$AB$1407,$AG335)))</f>
        <v/>
      </c>
      <c r="O335" s="92" t="str">
        <f>IF($AG335="","",INDEX($AL$8:$AL$21,INDEX($AC$8:$AC$1407,$AG335)+1))</f>
        <v/>
      </c>
      <c r="P335" s="109" t="str">
        <f>IF($AG335="","",INDEX($AD$8:$AD$1407,$AG335))</f>
        <v/>
      </c>
      <c r="Q335" s="92" t="str">
        <f>IF($AG335="","",INDEX($AM$8:$AM$21,INDEX($AC$8:$AC$1407,$AG335)+1))</f>
        <v/>
      </c>
      <c r="R335" s="92" t="str">
        <f>IF($AG335="","",IF($G335&gt;0,P_ToelCorrectie&amp;"",""))</f>
        <v/>
      </c>
      <c r="S335" s="15" t="str">
        <f>IF(J335="","",J335&amp;"|"&amp;E335&amp;"|"&amp;F335&amp;"|"&amp;I335&amp;"|"&amp;O335)</f>
        <v/>
      </c>
      <c r="T335" s="111" t="str">
        <f>IF(S335="","",IF(COUNTIFS(L_Sleutel,S335,L_Actief,1)=0,"",SUMIFS(L_Waarde,L_Sleutel,S335,L_Actief,1)))</f>
        <v/>
      </c>
      <c r="U335" s="111">
        <f>IF(OR(S335="",T335=""),0,P335-T335)</f>
        <v>0</v>
      </c>
      <c r="AB335" s="112" t="n">
        <v>24</v>
      </c>
      <c r="AC335" s="112" t="n">
        <v>5</v>
      </c>
      <c r="AD335" s="112" t="str">
        <f>VERW_Project!S29</f>
        <v/>
      </c>
      <c r="AE335" s="112">
        <f>IF(AND(VERW_Project!$A29&lt;&gt;"",ISNUMBER(AD335)),1,0)</f>
        <v>0</v>
      </c>
      <c r="AF335" s="112" t="str">
        <f>IF(AE335=1,SUM($AE$8:AE335),"")</f>
        <v/>
      </c>
      <c r="AG335" t="str">
        <f>IFERROR(MATCH(328,$AF$8:$AF$1407,0),"")</f>
        <v/>
      </c>
    </row>
    <row r="336">
      <c r="A336" s="92" t="str">
        <f>IF($AG336="","",P_ImportID)</f>
        <v/>
      </c>
      <c r="B336" s="92" t="str">
        <f>IF($AG336="","",IF(INDEX($AN$8:$AN$21,INDEX($AC$8:$AC$1407,$AG336)+1)="Z",P_BronZ,P_BronE))</f>
        <v/>
      </c>
      <c r="C336" s="108" t="str">
        <f>IF($AG336="","",P_Importdatum)</f>
        <v/>
      </c>
      <c r="D336" s="92" t="str">
        <f>IF($AG336="","",P_StatusVastleg)</f>
        <v/>
      </c>
      <c r="E336" s="92" t="str">
        <f>IF($AG336="","",P_UploadVJ)</f>
        <v/>
      </c>
      <c r="F336" s="92" t="str">
        <f>IF($AG336="","",P_UploadVersie)</f>
        <v/>
      </c>
      <c r="G336" s="92" t="str">
        <f>IF($AG336="","",IF(COUNTIFS(L_Sleutel,$S336,L_Status,"Vastgesteld")=0,0,_xlfn.MAXIFS(L_Revisie,L_Sleutel,$S336,L_Status,"Vastgesteld")+1))</f>
        <v/>
      </c>
      <c r="H336" s="108" t="str">
        <f>IF($AG336="","",P_Peildatum)</f>
        <v/>
      </c>
      <c r="I336" s="92" t="str">
        <f>IF($AG336="","",P_RJ+INDEX($AK$8:$AK$21,INDEX($AC$8:$AC$1407,$AG336)+1))</f>
        <v/>
      </c>
      <c r="J336" s="92" t="str">
        <f>IF($AG336="","",INDEX(V_WBS,INDEX($AB$8:$AB$1407,$AG336)))</f>
        <v/>
      </c>
      <c r="K336" s="92" t="str">
        <f>IF($AG336="","",INDEX(V_Projdef,INDEX($AB$8:$AB$1407,$AG336)))</f>
        <v/>
      </c>
      <c r="L336" s="92" t="str">
        <f>IF($AG336="","",INDEX(V_Naam,INDEX($AB$8:$AB$1407,$AG336)))</f>
        <v/>
      </c>
      <c r="M336" s="92" t="str">
        <f>IF($AG336="","",INDEX(V_Type,INDEX($AB$8:$AB$1407,$AG336)))</f>
        <v/>
      </c>
      <c r="N336" s="92" t="str">
        <f>IF($AG336="","",INDEX(V_IFRS,INDEX($AB$8:$AB$1407,$AG336)))</f>
        <v/>
      </c>
      <c r="O336" s="92" t="str">
        <f>IF($AG336="","",INDEX($AL$8:$AL$21,INDEX($AC$8:$AC$1407,$AG336)+1))</f>
        <v/>
      </c>
      <c r="P336" s="109" t="str">
        <f>IF($AG336="","",INDEX($AD$8:$AD$1407,$AG336))</f>
        <v/>
      </c>
      <c r="Q336" s="92" t="str">
        <f>IF($AG336="","",INDEX($AM$8:$AM$21,INDEX($AC$8:$AC$1407,$AG336)+1))</f>
        <v/>
      </c>
      <c r="R336" s="92" t="str">
        <f>IF($AG336="","",IF($G336&gt;0,P_ToelCorrectie&amp;"",""))</f>
        <v/>
      </c>
      <c r="S336" s="15" t="str">
        <f>IF(J336="","",J336&amp;"|"&amp;E336&amp;"|"&amp;F336&amp;"|"&amp;I336&amp;"|"&amp;O336)</f>
        <v/>
      </c>
      <c r="T336" s="111" t="str">
        <f>IF(S336="","",IF(COUNTIFS(L_Sleutel,S336,L_Actief,1)=0,"",SUMIFS(L_Waarde,L_Sleutel,S336,L_Actief,1)))</f>
        <v/>
      </c>
      <c r="U336" s="111">
        <f>IF(OR(S336="",T336=""),0,P336-T336)</f>
        <v>0</v>
      </c>
      <c r="AB336" s="112" t="n">
        <v>24</v>
      </c>
      <c r="AC336" s="112" t="n">
        <v>6</v>
      </c>
      <c r="AD336" s="112" t="str">
        <f>VERW_Project!BW29</f>
        <v/>
      </c>
      <c r="AE336" s="112">
        <f>IF(AND(VERW_Project!$A29&lt;&gt;"",ISNUMBER(AD336)),1,0)</f>
        <v>0</v>
      </c>
      <c r="AF336" s="112" t="str">
        <f>IF(AE336=1,SUM($AE$8:AE336),"")</f>
        <v/>
      </c>
      <c r="AG336" t="str">
        <f>IFERROR(MATCH(329,$AF$8:$AF$1407,0),"")</f>
        <v/>
      </c>
    </row>
    <row r="337">
      <c r="A337" s="92" t="str">
        <f>IF($AG337="","",P_ImportID)</f>
        <v/>
      </c>
      <c r="B337" s="92" t="str">
        <f>IF($AG337="","",IF(INDEX($AN$8:$AN$21,INDEX($AC$8:$AC$1407,$AG337)+1)="Z",P_BronZ,P_BronE))</f>
        <v/>
      </c>
      <c r="C337" s="108" t="str">
        <f>IF($AG337="","",P_Importdatum)</f>
        <v/>
      </c>
      <c r="D337" s="92" t="str">
        <f>IF($AG337="","",P_StatusVastleg)</f>
        <v/>
      </c>
      <c r="E337" s="92" t="str">
        <f>IF($AG337="","",P_UploadVJ)</f>
        <v/>
      </c>
      <c r="F337" s="92" t="str">
        <f>IF($AG337="","",P_UploadVersie)</f>
        <v/>
      </c>
      <c r="G337" s="92" t="str">
        <f>IF($AG337="","",IF(COUNTIFS(L_Sleutel,$S337,L_Status,"Vastgesteld")=0,0,_xlfn.MAXIFS(L_Revisie,L_Sleutel,$S337,L_Status,"Vastgesteld")+1))</f>
        <v/>
      </c>
      <c r="H337" s="108" t="str">
        <f>IF($AG337="","",P_Peildatum)</f>
        <v/>
      </c>
      <c r="I337" s="92" t="str">
        <f>IF($AG337="","",P_RJ+INDEX($AK$8:$AK$21,INDEX($AC$8:$AC$1407,$AG337)+1))</f>
        <v/>
      </c>
      <c r="J337" s="92" t="str">
        <f>IF($AG337="","",INDEX(V_WBS,INDEX($AB$8:$AB$1407,$AG337)))</f>
        <v/>
      </c>
      <c r="K337" s="92" t="str">
        <f>IF($AG337="","",INDEX(V_Projdef,INDEX($AB$8:$AB$1407,$AG337)))</f>
        <v/>
      </c>
      <c r="L337" s="92" t="str">
        <f>IF($AG337="","",INDEX(V_Naam,INDEX($AB$8:$AB$1407,$AG337)))</f>
        <v/>
      </c>
      <c r="M337" s="92" t="str">
        <f>IF($AG337="","",INDEX(V_Type,INDEX($AB$8:$AB$1407,$AG337)))</f>
        <v/>
      </c>
      <c r="N337" s="92" t="str">
        <f>IF($AG337="","",INDEX(V_IFRS,INDEX($AB$8:$AB$1407,$AG337)))</f>
        <v/>
      </c>
      <c r="O337" s="92" t="str">
        <f>IF($AG337="","",INDEX($AL$8:$AL$21,INDEX($AC$8:$AC$1407,$AG337)+1))</f>
        <v/>
      </c>
      <c r="P337" s="109" t="str">
        <f>IF($AG337="","",INDEX($AD$8:$AD$1407,$AG337))</f>
        <v/>
      </c>
      <c r="Q337" s="92" t="str">
        <f>IF($AG337="","",INDEX($AM$8:$AM$21,INDEX($AC$8:$AC$1407,$AG337)+1))</f>
        <v/>
      </c>
      <c r="R337" s="92" t="str">
        <f>IF($AG337="","",IF($G337&gt;0,P_ToelCorrectie&amp;"",""))</f>
        <v/>
      </c>
      <c r="S337" s="15" t="str">
        <f>IF(J337="","",J337&amp;"|"&amp;E337&amp;"|"&amp;F337&amp;"|"&amp;I337&amp;"|"&amp;O337)</f>
        <v/>
      </c>
      <c r="T337" s="111" t="str">
        <f>IF(S337="","",IF(COUNTIFS(L_Sleutel,S337,L_Actief,1)=0,"",SUMIFS(L_Waarde,L_Sleutel,S337,L_Actief,1)))</f>
        <v/>
      </c>
      <c r="U337" s="111">
        <f>IF(OR(S337="",T337=""),0,P337-T337)</f>
        <v>0</v>
      </c>
      <c r="AB337" s="112" t="n">
        <v>24</v>
      </c>
      <c r="AC337" s="112" t="n">
        <v>7</v>
      </c>
      <c r="AD337" s="112" t="str">
        <f>VERW_Project!AW29</f>
        <v/>
      </c>
      <c r="AE337" s="112">
        <f>IF(AND(VERW_Project!$A29&lt;&gt;"",ISNUMBER(AD337)),1,0)</f>
        <v>0</v>
      </c>
      <c r="AF337" s="112" t="str">
        <f>IF(AE337=1,SUM($AE$8:AE337),"")</f>
        <v/>
      </c>
      <c r="AG337" t="str">
        <f>IFERROR(MATCH(330,$AF$8:$AF$1407,0),"")</f>
        <v/>
      </c>
    </row>
    <row r="338">
      <c r="A338" s="92" t="str">
        <f>IF($AG338="","",P_ImportID)</f>
        <v/>
      </c>
      <c r="B338" s="92" t="str">
        <f>IF($AG338="","",IF(INDEX($AN$8:$AN$21,INDEX($AC$8:$AC$1407,$AG338)+1)="Z",P_BronZ,P_BronE))</f>
        <v/>
      </c>
      <c r="C338" s="108" t="str">
        <f>IF($AG338="","",P_Importdatum)</f>
        <v/>
      </c>
      <c r="D338" s="92" t="str">
        <f>IF($AG338="","",P_StatusVastleg)</f>
        <v/>
      </c>
      <c r="E338" s="92" t="str">
        <f>IF($AG338="","",P_UploadVJ)</f>
        <v/>
      </c>
      <c r="F338" s="92" t="str">
        <f>IF($AG338="","",P_UploadVersie)</f>
        <v/>
      </c>
      <c r="G338" s="92" t="str">
        <f>IF($AG338="","",IF(COUNTIFS(L_Sleutel,$S338,L_Status,"Vastgesteld")=0,0,_xlfn.MAXIFS(L_Revisie,L_Sleutel,$S338,L_Status,"Vastgesteld")+1))</f>
        <v/>
      </c>
      <c r="H338" s="108" t="str">
        <f>IF($AG338="","",P_Peildatum)</f>
        <v/>
      </c>
      <c r="I338" s="92" t="str">
        <f>IF($AG338="","",P_RJ+INDEX($AK$8:$AK$21,INDEX($AC$8:$AC$1407,$AG338)+1))</f>
        <v/>
      </c>
      <c r="J338" s="92" t="str">
        <f>IF($AG338="","",INDEX(V_WBS,INDEX($AB$8:$AB$1407,$AG338)))</f>
        <v/>
      </c>
      <c r="K338" s="92" t="str">
        <f>IF($AG338="","",INDEX(V_Projdef,INDEX($AB$8:$AB$1407,$AG338)))</f>
        <v/>
      </c>
      <c r="L338" s="92" t="str">
        <f>IF($AG338="","",INDEX(V_Naam,INDEX($AB$8:$AB$1407,$AG338)))</f>
        <v/>
      </c>
      <c r="M338" s="92" t="str">
        <f>IF($AG338="","",INDEX(V_Type,INDEX($AB$8:$AB$1407,$AG338)))</f>
        <v/>
      </c>
      <c r="N338" s="92" t="str">
        <f>IF($AG338="","",INDEX(V_IFRS,INDEX($AB$8:$AB$1407,$AG338)))</f>
        <v/>
      </c>
      <c r="O338" s="92" t="str">
        <f>IF($AG338="","",INDEX($AL$8:$AL$21,INDEX($AC$8:$AC$1407,$AG338)+1))</f>
        <v/>
      </c>
      <c r="P338" s="109" t="str">
        <f>IF($AG338="","",INDEX($AD$8:$AD$1407,$AG338))</f>
        <v/>
      </c>
      <c r="Q338" s="92" t="str">
        <f>IF($AG338="","",INDEX($AM$8:$AM$21,INDEX($AC$8:$AC$1407,$AG338)+1))</f>
        <v/>
      </c>
      <c r="R338" s="92" t="str">
        <f>IF($AG338="","",IF($G338&gt;0,P_ToelCorrectie&amp;"",""))</f>
        <v/>
      </c>
      <c r="S338" s="15" t="str">
        <f>IF(J338="","",J338&amp;"|"&amp;E338&amp;"|"&amp;F338&amp;"|"&amp;I338&amp;"|"&amp;O338)</f>
        <v/>
      </c>
      <c r="T338" s="111" t="str">
        <f>IF(S338="","",IF(COUNTIFS(L_Sleutel,S338,L_Actief,1)=0,"",SUMIFS(L_Waarde,L_Sleutel,S338,L_Actief,1)))</f>
        <v/>
      </c>
      <c r="U338" s="111">
        <f>IF(OR(S338="",T338=""),0,P338-T338)</f>
        <v>0</v>
      </c>
      <c r="AB338" s="112" t="n">
        <v>24</v>
      </c>
      <c r="AC338" s="112" t="n">
        <v>8</v>
      </c>
      <c r="AD338" s="112" t="str">
        <f>VERW_Project!BQ29</f>
        <v/>
      </c>
      <c r="AE338" s="112">
        <f>IF(AND(VERW_Project!$A29&lt;&gt;"",ISNUMBER(AD338)),1,0)</f>
        <v>0</v>
      </c>
      <c r="AF338" s="112" t="str">
        <f>IF(AE338=1,SUM($AE$8:AE338),"")</f>
        <v/>
      </c>
      <c r="AG338" t="str">
        <f>IFERROR(MATCH(331,$AF$8:$AF$1407,0),"")</f>
        <v/>
      </c>
    </row>
    <row r="339">
      <c r="A339" s="92" t="str">
        <f>IF($AG339="","",P_ImportID)</f>
        <v/>
      </c>
      <c r="B339" s="92" t="str">
        <f>IF($AG339="","",IF(INDEX($AN$8:$AN$21,INDEX($AC$8:$AC$1407,$AG339)+1)="Z",P_BronZ,P_BronE))</f>
        <v/>
      </c>
      <c r="C339" s="108" t="str">
        <f>IF($AG339="","",P_Importdatum)</f>
        <v/>
      </c>
      <c r="D339" s="92" t="str">
        <f>IF($AG339="","",P_StatusVastleg)</f>
        <v/>
      </c>
      <c r="E339" s="92" t="str">
        <f>IF($AG339="","",P_UploadVJ)</f>
        <v/>
      </c>
      <c r="F339" s="92" t="str">
        <f>IF($AG339="","",P_UploadVersie)</f>
        <v/>
      </c>
      <c r="G339" s="92" t="str">
        <f>IF($AG339="","",IF(COUNTIFS(L_Sleutel,$S339,L_Status,"Vastgesteld")=0,0,_xlfn.MAXIFS(L_Revisie,L_Sleutel,$S339,L_Status,"Vastgesteld")+1))</f>
        <v/>
      </c>
      <c r="H339" s="108" t="str">
        <f>IF($AG339="","",P_Peildatum)</f>
        <v/>
      </c>
      <c r="I339" s="92" t="str">
        <f>IF($AG339="","",P_RJ+INDEX($AK$8:$AK$21,INDEX($AC$8:$AC$1407,$AG339)+1))</f>
        <v/>
      </c>
      <c r="J339" s="92" t="str">
        <f>IF($AG339="","",INDEX(V_WBS,INDEX($AB$8:$AB$1407,$AG339)))</f>
        <v/>
      </c>
      <c r="K339" s="92" t="str">
        <f>IF($AG339="","",INDEX(V_Projdef,INDEX($AB$8:$AB$1407,$AG339)))</f>
        <v/>
      </c>
      <c r="L339" s="92" t="str">
        <f>IF($AG339="","",INDEX(V_Naam,INDEX($AB$8:$AB$1407,$AG339)))</f>
        <v/>
      </c>
      <c r="M339" s="92" t="str">
        <f>IF($AG339="","",INDEX(V_Type,INDEX($AB$8:$AB$1407,$AG339)))</f>
        <v/>
      </c>
      <c r="N339" s="92" t="str">
        <f>IF($AG339="","",INDEX(V_IFRS,INDEX($AB$8:$AB$1407,$AG339)))</f>
        <v/>
      </c>
      <c r="O339" s="92" t="str">
        <f>IF($AG339="","",INDEX($AL$8:$AL$21,INDEX($AC$8:$AC$1407,$AG339)+1))</f>
        <v/>
      </c>
      <c r="P339" s="109" t="str">
        <f>IF($AG339="","",INDEX($AD$8:$AD$1407,$AG339))</f>
        <v/>
      </c>
      <c r="Q339" s="92" t="str">
        <f>IF($AG339="","",INDEX($AM$8:$AM$21,INDEX($AC$8:$AC$1407,$AG339)+1))</f>
        <v/>
      </c>
      <c r="R339" s="92" t="str">
        <f>IF($AG339="","",IF($G339&gt;0,P_ToelCorrectie&amp;"",""))</f>
        <v/>
      </c>
      <c r="S339" s="15" t="str">
        <f>IF(J339="","",J339&amp;"|"&amp;E339&amp;"|"&amp;F339&amp;"|"&amp;I339&amp;"|"&amp;O339)</f>
        <v/>
      </c>
      <c r="T339" s="111" t="str">
        <f>IF(S339="","",IF(COUNTIFS(L_Sleutel,S339,L_Actief,1)=0,"",SUMIFS(L_Waarde,L_Sleutel,S339,L_Actief,1)))</f>
        <v/>
      </c>
      <c r="U339" s="111">
        <f>IF(OR(S339="",T339=""),0,P339-T339)</f>
        <v>0</v>
      </c>
      <c r="AB339" s="112" t="n">
        <v>24</v>
      </c>
      <c r="AC339" s="112" t="n">
        <v>9</v>
      </c>
      <c r="AD339" s="112" t="str">
        <f>VERW_Project!BR29</f>
        <v/>
      </c>
      <c r="AE339" s="112">
        <f>IF(AND(VERW_Project!$A29&lt;&gt;"",ISNUMBER(AD339)),1,0)</f>
        <v>0</v>
      </c>
      <c r="AF339" s="112" t="str">
        <f>IF(AE339=1,SUM($AE$8:AE339),"")</f>
        <v/>
      </c>
      <c r="AG339" t="str">
        <f>IFERROR(MATCH(332,$AF$8:$AF$1407,0),"")</f>
        <v/>
      </c>
    </row>
    <row r="340">
      <c r="A340" s="92" t="str">
        <f>IF($AG340="","",P_ImportID)</f>
        <v/>
      </c>
      <c r="B340" s="92" t="str">
        <f>IF($AG340="","",IF(INDEX($AN$8:$AN$21,INDEX($AC$8:$AC$1407,$AG340)+1)="Z",P_BronZ,P_BronE))</f>
        <v/>
      </c>
      <c r="C340" s="108" t="str">
        <f>IF($AG340="","",P_Importdatum)</f>
        <v/>
      </c>
      <c r="D340" s="92" t="str">
        <f>IF($AG340="","",P_StatusVastleg)</f>
        <v/>
      </c>
      <c r="E340" s="92" t="str">
        <f>IF($AG340="","",P_UploadVJ)</f>
        <v/>
      </c>
      <c r="F340" s="92" t="str">
        <f>IF($AG340="","",P_UploadVersie)</f>
        <v/>
      </c>
      <c r="G340" s="92" t="str">
        <f>IF($AG340="","",IF(COUNTIFS(L_Sleutel,$S340,L_Status,"Vastgesteld")=0,0,_xlfn.MAXIFS(L_Revisie,L_Sleutel,$S340,L_Status,"Vastgesteld")+1))</f>
        <v/>
      </c>
      <c r="H340" s="108" t="str">
        <f>IF($AG340="","",P_Peildatum)</f>
        <v/>
      </c>
      <c r="I340" s="92" t="str">
        <f>IF($AG340="","",P_RJ+INDEX($AK$8:$AK$21,INDEX($AC$8:$AC$1407,$AG340)+1))</f>
        <v/>
      </c>
      <c r="J340" s="92" t="str">
        <f>IF($AG340="","",INDEX(V_WBS,INDEX($AB$8:$AB$1407,$AG340)))</f>
        <v/>
      </c>
      <c r="K340" s="92" t="str">
        <f>IF($AG340="","",INDEX(V_Projdef,INDEX($AB$8:$AB$1407,$AG340)))</f>
        <v/>
      </c>
      <c r="L340" s="92" t="str">
        <f>IF($AG340="","",INDEX(V_Naam,INDEX($AB$8:$AB$1407,$AG340)))</f>
        <v/>
      </c>
      <c r="M340" s="92" t="str">
        <f>IF($AG340="","",INDEX(V_Type,INDEX($AB$8:$AB$1407,$AG340)))</f>
        <v/>
      </c>
      <c r="N340" s="92" t="str">
        <f>IF($AG340="","",INDEX(V_IFRS,INDEX($AB$8:$AB$1407,$AG340)))</f>
        <v/>
      </c>
      <c r="O340" s="92" t="str">
        <f>IF($AG340="","",INDEX($AL$8:$AL$21,INDEX($AC$8:$AC$1407,$AG340)+1))</f>
        <v/>
      </c>
      <c r="P340" s="109" t="str">
        <f>IF($AG340="","",INDEX($AD$8:$AD$1407,$AG340))</f>
        <v/>
      </c>
      <c r="Q340" s="92" t="str">
        <f>IF($AG340="","",INDEX($AM$8:$AM$21,INDEX($AC$8:$AC$1407,$AG340)+1))</f>
        <v/>
      </c>
      <c r="R340" s="92" t="str">
        <f>IF($AG340="","",IF($G340&gt;0,P_ToelCorrectie&amp;"",""))</f>
        <v/>
      </c>
      <c r="S340" s="15" t="str">
        <f>IF(J340="","",J340&amp;"|"&amp;E340&amp;"|"&amp;F340&amp;"|"&amp;I340&amp;"|"&amp;O340)</f>
        <v/>
      </c>
      <c r="T340" s="111" t="str">
        <f>IF(S340="","",IF(COUNTIFS(L_Sleutel,S340,L_Actief,1)=0,"",SUMIFS(L_Waarde,L_Sleutel,S340,L_Actief,1)))</f>
        <v/>
      </c>
      <c r="U340" s="111">
        <f>IF(OR(S340="",T340=""),0,P340-T340)</f>
        <v>0</v>
      </c>
      <c r="AB340" s="112" t="n">
        <v>24</v>
      </c>
      <c r="AC340" s="112" t="n">
        <v>10</v>
      </c>
      <c r="AD340" s="112" t="str">
        <f>VERW_Project!BS29</f>
        <v/>
      </c>
      <c r="AE340" s="112">
        <f>IF(AND(VERW_Project!$A29&lt;&gt;"",ISNUMBER(AD340)),1,0)</f>
        <v>0</v>
      </c>
      <c r="AF340" s="112" t="str">
        <f>IF(AE340=1,SUM($AE$8:AE340),"")</f>
        <v/>
      </c>
      <c r="AG340" t="str">
        <f>IFERROR(MATCH(333,$AF$8:$AF$1407,0),"")</f>
        <v/>
      </c>
    </row>
    <row r="341">
      <c r="A341" s="92" t="str">
        <f>IF($AG341="","",P_ImportID)</f>
        <v/>
      </c>
      <c r="B341" s="92" t="str">
        <f>IF($AG341="","",IF(INDEX($AN$8:$AN$21,INDEX($AC$8:$AC$1407,$AG341)+1)="Z",P_BronZ,P_BronE))</f>
        <v/>
      </c>
      <c r="C341" s="108" t="str">
        <f>IF($AG341="","",P_Importdatum)</f>
        <v/>
      </c>
      <c r="D341" s="92" t="str">
        <f>IF($AG341="","",P_StatusVastleg)</f>
        <v/>
      </c>
      <c r="E341" s="92" t="str">
        <f>IF($AG341="","",P_UploadVJ)</f>
        <v/>
      </c>
      <c r="F341" s="92" t="str">
        <f>IF($AG341="","",P_UploadVersie)</f>
        <v/>
      </c>
      <c r="G341" s="92" t="str">
        <f>IF($AG341="","",IF(COUNTIFS(L_Sleutel,$S341,L_Status,"Vastgesteld")=0,0,_xlfn.MAXIFS(L_Revisie,L_Sleutel,$S341,L_Status,"Vastgesteld")+1))</f>
        <v/>
      </c>
      <c r="H341" s="108" t="str">
        <f>IF($AG341="","",P_Peildatum)</f>
        <v/>
      </c>
      <c r="I341" s="92" t="str">
        <f>IF($AG341="","",P_RJ+INDEX($AK$8:$AK$21,INDEX($AC$8:$AC$1407,$AG341)+1))</f>
        <v/>
      </c>
      <c r="J341" s="92" t="str">
        <f>IF($AG341="","",INDEX(V_WBS,INDEX($AB$8:$AB$1407,$AG341)))</f>
        <v/>
      </c>
      <c r="K341" s="92" t="str">
        <f>IF($AG341="","",INDEX(V_Projdef,INDEX($AB$8:$AB$1407,$AG341)))</f>
        <v/>
      </c>
      <c r="L341" s="92" t="str">
        <f>IF($AG341="","",INDEX(V_Naam,INDEX($AB$8:$AB$1407,$AG341)))</f>
        <v/>
      </c>
      <c r="M341" s="92" t="str">
        <f>IF($AG341="","",INDEX(V_Type,INDEX($AB$8:$AB$1407,$AG341)))</f>
        <v/>
      </c>
      <c r="N341" s="92" t="str">
        <f>IF($AG341="","",INDEX(V_IFRS,INDEX($AB$8:$AB$1407,$AG341)))</f>
        <v/>
      </c>
      <c r="O341" s="92" t="str">
        <f>IF($AG341="","",INDEX($AL$8:$AL$21,INDEX($AC$8:$AC$1407,$AG341)+1))</f>
        <v/>
      </c>
      <c r="P341" s="109" t="str">
        <f>IF($AG341="","",INDEX($AD$8:$AD$1407,$AG341))</f>
        <v/>
      </c>
      <c r="Q341" s="92" t="str">
        <f>IF($AG341="","",INDEX($AM$8:$AM$21,INDEX($AC$8:$AC$1407,$AG341)+1))</f>
        <v/>
      </c>
      <c r="R341" s="92" t="str">
        <f>IF($AG341="","",IF($G341&gt;0,P_ToelCorrectie&amp;"",""))</f>
        <v/>
      </c>
      <c r="S341" s="15" t="str">
        <f>IF(J341="","",J341&amp;"|"&amp;E341&amp;"|"&amp;F341&amp;"|"&amp;I341&amp;"|"&amp;O341)</f>
        <v/>
      </c>
      <c r="T341" s="111" t="str">
        <f>IF(S341="","",IF(COUNTIFS(L_Sleutel,S341,L_Actief,1)=0,"",SUMIFS(L_Waarde,L_Sleutel,S341,L_Actief,1)))</f>
        <v/>
      </c>
      <c r="U341" s="111">
        <f>IF(OR(S341="",T341=""),0,P341-T341)</f>
        <v>0</v>
      </c>
      <c r="AB341" s="112" t="n">
        <v>24</v>
      </c>
      <c r="AC341" s="112" t="n">
        <v>11</v>
      </c>
      <c r="AD341" s="112" t="str">
        <f>VERW_Project!BT29</f>
        <v/>
      </c>
      <c r="AE341" s="112">
        <f>IF(AND(VERW_Project!$A29&lt;&gt;"",ISNUMBER(AD341)),1,0)</f>
        <v>0</v>
      </c>
      <c r="AF341" s="112" t="str">
        <f>IF(AE341=1,SUM($AE$8:AE341),"")</f>
        <v/>
      </c>
      <c r="AG341" t="str">
        <f>IFERROR(MATCH(334,$AF$8:$AF$1407,0),"")</f>
        <v/>
      </c>
    </row>
    <row r="342">
      <c r="A342" s="92" t="str">
        <f>IF($AG342="","",P_ImportID)</f>
        <v/>
      </c>
      <c r="B342" s="92" t="str">
        <f>IF($AG342="","",IF(INDEX($AN$8:$AN$21,INDEX($AC$8:$AC$1407,$AG342)+1)="Z",P_BronZ,P_BronE))</f>
        <v/>
      </c>
      <c r="C342" s="108" t="str">
        <f>IF($AG342="","",P_Importdatum)</f>
        <v/>
      </c>
      <c r="D342" s="92" t="str">
        <f>IF($AG342="","",P_StatusVastleg)</f>
        <v/>
      </c>
      <c r="E342" s="92" t="str">
        <f>IF($AG342="","",P_UploadVJ)</f>
        <v/>
      </c>
      <c r="F342" s="92" t="str">
        <f>IF($AG342="","",P_UploadVersie)</f>
        <v/>
      </c>
      <c r="G342" s="92" t="str">
        <f>IF($AG342="","",IF(COUNTIFS(L_Sleutel,$S342,L_Status,"Vastgesteld")=0,0,_xlfn.MAXIFS(L_Revisie,L_Sleutel,$S342,L_Status,"Vastgesteld")+1))</f>
        <v/>
      </c>
      <c r="H342" s="108" t="str">
        <f>IF($AG342="","",P_Peildatum)</f>
        <v/>
      </c>
      <c r="I342" s="92" t="str">
        <f>IF($AG342="","",P_RJ+INDEX($AK$8:$AK$21,INDEX($AC$8:$AC$1407,$AG342)+1))</f>
        <v/>
      </c>
      <c r="J342" s="92" t="str">
        <f>IF($AG342="","",INDEX(V_WBS,INDEX($AB$8:$AB$1407,$AG342)))</f>
        <v/>
      </c>
      <c r="K342" s="92" t="str">
        <f>IF($AG342="","",INDEX(V_Projdef,INDEX($AB$8:$AB$1407,$AG342)))</f>
        <v/>
      </c>
      <c r="L342" s="92" t="str">
        <f>IF($AG342="","",INDEX(V_Naam,INDEX($AB$8:$AB$1407,$AG342)))</f>
        <v/>
      </c>
      <c r="M342" s="92" t="str">
        <f>IF($AG342="","",INDEX(V_Type,INDEX($AB$8:$AB$1407,$AG342)))</f>
        <v/>
      </c>
      <c r="N342" s="92" t="str">
        <f>IF($AG342="","",INDEX(V_IFRS,INDEX($AB$8:$AB$1407,$AG342)))</f>
        <v/>
      </c>
      <c r="O342" s="92" t="str">
        <f>IF($AG342="","",INDEX($AL$8:$AL$21,INDEX($AC$8:$AC$1407,$AG342)+1))</f>
        <v/>
      </c>
      <c r="P342" s="109" t="str">
        <f>IF($AG342="","",INDEX($AD$8:$AD$1407,$AG342))</f>
        <v/>
      </c>
      <c r="Q342" s="92" t="str">
        <f>IF($AG342="","",INDEX($AM$8:$AM$21,INDEX($AC$8:$AC$1407,$AG342)+1))</f>
        <v/>
      </c>
      <c r="R342" s="92" t="str">
        <f>IF($AG342="","",IF($G342&gt;0,P_ToelCorrectie&amp;"",""))</f>
        <v/>
      </c>
      <c r="S342" s="15" t="str">
        <f>IF(J342="","",J342&amp;"|"&amp;E342&amp;"|"&amp;F342&amp;"|"&amp;I342&amp;"|"&amp;O342)</f>
        <v/>
      </c>
      <c r="T342" s="111" t="str">
        <f>IF(S342="","",IF(COUNTIFS(L_Sleutel,S342,L_Actief,1)=0,"",SUMIFS(L_Waarde,L_Sleutel,S342,L_Actief,1)))</f>
        <v/>
      </c>
      <c r="U342" s="111">
        <f>IF(OR(S342="",T342=""),0,P342-T342)</f>
        <v>0</v>
      </c>
      <c r="AB342" s="112" t="n">
        <v>24</v>
      </c>
      <c r="AC342" s="112" t="n">
        <v>12</v>
      </c>
      <c r="AD342" s="112" t="str">
        <f>VERW_Project!BU29</f>
        <v/>
      </c>
      <c r="AE342" s="112">
        <f>IF(AND(VERW_Project!$A29&lt;&gt;"",ISNUMBER(AD342)),1,0)</f>
        <v>0</v>
      </c>
      <c r="AF342" s="112" t="str">
        <f>IF(AE342=1,SUM($AE$8:AE342),"")</f>
        <v/>
      </c>
      <c r="AG342" t="str">
        <f>IFERROR(MATCH(335,$AF$8:$AF$1407,0),"")</f>
        <v/>
      </c>
    </row>
    <row r="343">
      <c r="A343" s="92" t="str">
        <f>IF($AG343="","",P_ImportID)</f>
        <v/>
      </c>
      <c r="B343" s="92" t="str">
        <f>IF($AG343="","",IF(INDEX($AN$8:$AN$21,INDEX($AC$8:$AC$1407,$AG343)+1)="Z",P_BronZ,P_BronE))</f>
        <v/>
      </c>
      <c r="C343" s="108" t="str">
        <f>IF($AG343="","",P_Importdatum)</f>
        <v/>
      </c>
      <c r="D343" s="92" t="str">
        <f>IF($AG343="","",P_StatusVastleg)</f>
        <v/>
      </c>
      <c r="E343" s="92" t="str">
        <f>IF($AG343="","",P_UploadVJ)</f>
        <v/>
      </c>
      <c r="F343" s="92" t="str">
        <f>IF($AG343="","",P_UploadVersie)</f>
        <v/>
      </c>
      <c r="G343" s="92" t="str">
        <f>IF($AG343="","",IF(COUNTIFS(L_Sleutel,$S343,L_Status,"Vastgesteld")=0,0,_xlfn.MAXIFS(L_Revisie,L_Sleutel,$S343,L_Status,"Vastgesteld")+1))</f>
        <v/>
      </c>
      <c r="H343" s="108" t="str">
        <f>IF($AG343="","",P_Peildatum)</f>
        <v/>
      </c>
      <c r="I343" s="92" t="str">
        <f>IF($AG343="","",P_RJ+INDEX($AK$8:$AK$21,INDEX($AC$8:$AC$1407,$AG343)+1))</f>
        <v/>
      </c>
      <c r="J343" s="92" t="str">
        <f>IF($AG343="","",INDEX(V_WBS,INDEX($AB$8:$AB$1407,$AG343)))</f>
        <v/>
      </c>
      <c r="K343" s="92" t="str">
        <f>IF($AG343="","",INDEX(V_Projdef,INDEX($AB$8:$AB$1407,$AG343)))</f>
        <v/>
      </c>
      <c r="L343" s="92" t="str">
        <f>IF($AG343="","",INDEX(V_Naam,INDEX($AB$8:$AB$1407,$AG343)))</f>
        <v/>
      </c>
      <c r="M343" s="92" t="str">
        <f>IF($AG343="","",INDEX(V_Type,INDEX($AB$8:$AB$1407,$AG343)))</f>
        <v/>
      </c>
      <c r="N343" s="92" t="str">
        <f>IF($AG343="","",INDEX(V_IFRS,INDEX($AB$8:$AB$1407,$AG343)))</f>
        <v/>
      </c>
      <c r="O343" s="92" t="str">
        <f>IF($AG343="","",INDEX($AL$8:$AL$21,INDEX($AC$8:$AC$1407,$AG343)+1))</f>
        <v/>
      </c>
      <c r="P343" s="109" t="str">
        <f>IF($AG343="","",INDEX($AD$8:$AD$1407,$AG343))</f>
        <v/>
      </c>
      <c r="Q343" s="92" t="str">
        <f>IF($AG343="","",INDEX($AM$8:$AM$21,INDEX($AC$8:$AC$1407,$AG343)+1))</f>
        <v/>
      </c>
      <c r="R343" s="92" t="str">
        <f>IF($AG343="","",IF($G343&gt;0,P_ToelCorrectie&amp;"",""))</f>
        <v/>
      </c>
      <c r="S343" s="15" t="str">
        <f>IF(J343="","",J343&amp;"|"&amp;E343&amp;"|"&amp;F343&amp;"|"&amp;I343&amp;"|"&amp;O343)</f>
        <v/>
      </c>
      <c r="T343" s="111" t="str">
        <f>IF(S343="","",IF(COUNTIFS(L_Sleutel,S343,L_Actief,1)=0,"",SUMIFS(L_Waarde,L_Sleutel,S343,L_Actief,1)))</f>
        <v/>
      </c>
      <c r="U343" s="111">
        <f>IF(OR(S343="",T343=""),0,P343-T343)</f>
        <v>0</v>
      </c>
      <c r="AB343" s="112" t="n">
        <v>24</v>
      </c>
      <c r="AC343" s="112" t="n">
        <v>13</v>
      </c>
      <c r="AD343" s="112" t="str">
        <f>VERW_Project!BX29</f>
        <v/>
      </c>
      <c r="AE343" s="112">
        <f>IF(AND(VERW_Project!$A29&lt;&gt;"",ISNUMBER(AD343)),1,0)</f>
        <v>0</v>
      </c>
      <c r="AF343" s="112" t="str">
        <f>IF(AE343=1,SUM($AE$8:AE343),"")</f>
        <v/>
      </c>
      <c r="AG343" t="str">
        <f>IFERROR(MATCH(336,$AF$8:$AF$1407,0),"")</f>
        <v/>
      </c>
    </row>
    <row r="344">
      <c r="A344" s="92" t="str">
        <f>IF($AG344="","",P_ImportID)</f>
        <v/>
      </c>
      <c r="B344" s="92" t="str">
        <f>IF($AG344="","",IF(INDEX($AN$8:$AN$21,INDEX($AC$8:$AC$1407,$AG344)+1)="Z",P_BronZ,P_BronE))</f>
        <v/>
      </c>
      <c r="C344" s="108" t="str">
        <f>IF($AG344="","",P_Importdatum)</f>
        <v/>
      </c>
      <c r="D344" s="92" t="str">
        <f>IF($AG344="","",P_StatusVastleg)</f>
        <v/>
      </c>
      <c r="E344" s="92" t="str">
        <f>IF($AG344="","",P_UploadVJ)</f>
        <v/>
      </c>
      <c r="F344" s="92" t="str">
        <f>IF($AG344="","",P_UploadVersie)</f>
        <v/>
      </c>
      <c r="G344" s="92" t="str">
        <f>IF($AG344="","",IF(COUNTIFS(L_Sleutel,$S344,L_Status,"Vastgesteld")=0,0,_xlfn.MAXIFS(L_Revisie,L_Sleutel,$S344,L_Status,"Vastgesteld")+1))</f>
        <v/>
      </c>
      <c r="H344" s="108" t="str">
        <f>IF($AG344="","",P_Peildatum)</f>
        <v/>
      </c>
      <c r="I344" s="92" t="str">
        <f>IF($AG344="","",P_RJ+INDEX($AK$8:$AK$21,INDEX($AC$8:$AC$1407,$AG344)+1))</f>
        <v/>
      </c>
      <c r="J344" s="92" t="str">
        <f>IF($AG344="","",INDEX(V_WBS,INDEX($AB$8:$AB$1407,$AG344)))</f>
        <v/>
      </c>
      <c r="K344" s="92" t="str">
        <f>IF($AG344="","",INDEX(V_Projdef,INDEX($AB$8:$AB$1407,$AG344)))</f>
        <v/>
      </c>
      <c r="L344" s="92" t="str">
        <f>IF($AG344="","",INDEX(V_Naam,INDEX($AB$8:$AB$1407,$AG344)))</f>
        <v/>
      </c>
      <c r="M344" s="92" t="str">
        <f>IF($AG344="","",INDEX(V_Type,INDEX($AB$8:$AB$1407,$AG344)))</f>
        <v/>
      </c>
      <c r="N344" s="92" t="str">
        <f>IF($AG344="","",INDEX(V_IFRS,INDEX($AB$8:$AB$1407,$AG344)))</f>
        <v/>
      </c>
      <c r="O344" s="92" t="str">
        <f>IF($AG344="","",INDEX($AL$8:$AL$21,INDEX($AC$8:$AC$1407,$AG344)+1))</f>
        <v/>
      </c>
      <c r="P344" s="109" t="str">
        <f>IF($AG344="","",INDEX($AD$8:$AD$1407,$AG344))</f>
        <v/>
      </c>
      <c r="Q344" s="92" t="str">
        <f>IF($AG344="","",INDEX($AM$8:$AM$21,INDEX($AC$8:$AC$1407,$AG344)+1))</f>
        <v/>
      </c>
      <c r="R344" s="92" t="str">
        <f>IF($AG344="","",IF($G344&gt;0,P_ToelCorrectie&amp;"",""))</f>
        <v/>
      </c>
      <c r="S344" s="15" t="str">
        <f>IF(J344="","",J344&amp;"|"&amp;E344&amp;"|"&amp;F344&amp;"|"&amp;I344&amp;"|"&amp;O344)</f>
        <v/>
      </c>
      <c r="T344" s="111" t="str">
        <f>IF(S344="","",IF(COUNTIFS(L_Sleutel,S344,L_Actief,1)=0,"",SUMIFS(L_Waarde,L_Sleutel,S344,L_Actief,1)))</f>
        <v/>
      </c>
      <c r="U344" s="111">
        <f>IF(OR(S344="",T344=""),0,P344-T344)</f>
        <v>0</v>
      </c>
      <c r="AB344" s="112" t="n">
        <v>25</v>
      </c>
      <c r="AC344" s="112" t="n">
        <v>0</v>
      </c>
      <c r="AD344" s="112" t="str">
        <f>VERW_Project!P30</f>
        <v/>
      </c>
      <c r="AE344" s="112">
        <f>IF(AND(VERW_Project!$A30&lt;&gt;"",ISNUMBER(AD344)),1,0)</f>
        <v>0</v>
      </c>
      <c r="AF344" s="112" t="str">
        <f>IF(AE344=1,SUM($AE$8:AE344),"")</f>
        <v/>
      </c>
      <c r="AG344" t="str">
        <f>IFERROR(MATCH(337,$AF$8:$AF$1407,0),"")</f>
        <v/>
      </c>
    </row>
    <row r="345">
      <c r="A345" s="92" t="str">
        <f>IF($AG345="","",P_ImportID)</f>
        <v/>
      </c>
      <c r="B345" s="92" t="str">
        <f>IF($AG345="","",IF(INDEX($AN$8:$AN$21,INDEX($AC$8:$AC$1407,$AG345)+1)="Z",P_BronZ,P_BronE))</f>
        <v/>
      </c>
      <c r="C345" s="108" t="str">
        <f>IF($AG345="","",P_Importdatum)</f>
        <v/>
      </c>
      <c r="D345" s="92" t="str">
        <f>IF($AG345="","",P_StatusVastleg)</f>
        <v/>
      </c>
      <c r="E345" s="92" t="str">
        <f>IF($AG345="","",P_UploadVJ)</f>
        <v/>
      </c>
      <c r="F345" s="92" t="str">
        <f>IF($AG345="","",P_UploadVersie)</f>
        <v/>
      </c>
      <c r="G345" s="92" t="str">
        <f>IF($AG345="","",IF(COUNTIFS(L_Sleutel,$S345,L_Status,"Vastgesteld")=0,0,_xlfn.MAXIFS(L_Revisie,L_Sleutel,$S345,L_Status,"Vastgesteld")+1))</f>
        <v/>
      </c>
      <c r="H345" s="108" t="str">
        <f>IF($AG345="","",P_Peildatum)</f>
        <v/>
      </c>
      <c r="I345" s="92" t="str">
        <f>IF($AG345="","",P_RJ+INDEX($AK$8:$AK$21,INDEX($AC$8:$AC$1407,$AG345)+1))</f>
        <v/>
      </c>
      <c r="J345" s="92" t="str">
        <f>IF($AG345="","",INDEX(V_WBS,INDEX($AB$8:$AB$1407,$AG345)))</f>
        <v/>
      </c>
      <c r="K345" s="92" t="str">
        <f>IF($AG345="","",INDEX(V_Projdef,INDEX($AB$8:$AB$1407,$AG345)))</f>
        <v/>
      </c>
      <c r="L345" s="92" t="str">
        <f>IF($AG345="","",INDEX(V_Naam,INDEX($AB$8:$AB$1407,$AG345)))</f>
        <v/>
      </c>
      <c r="M345" s="92" t="str">
        <f>IF($AG345="","",INDEX(V_Type,INDEX($AB$8:$AB$1407,$AG345)))</f>
        <v/>
      </c>
      <c r="N345" s="92" t="str">
        <f>IF($AG345="","",INDEX(V_IFRS,INDEX($AB$8:$AB$1407,$AG345)))</f>
        <v/>
      </c>
      <c r="O345" s="92" t="str">
        <f>IF($AG345="","",INDEX($AL$8:$AL$21,INDEX($AC$8:$AC$1407,$AG345)+1))</f>
        <v/>
      </c>
      <c r="P345" s="109" t="str">
        <f>IF($AG345="","",INDEX($AD$8:$AD$1407,$AG345))</f>
        <v/>
      </c>
      <c r="Q345" s="92" t="str">
        <f>IF($AG345="","",INDEX($AM$8:$AM$21,INDEX($AC$8:$AC$1407,$AG345)+1))</f>
        <v/>
      </c>
      <c r="R345" s="92" t="str">
        <f>IF($AG345="","",IF($G345&gt;0,P_ToelCorrectie&amp;"",""))</f>
        <v/>
      </c>
      <c r="S345" s="15" t="str">
        <f>IF(J345="","",J345&amp;"|"&amp;E345&amp;"|"&amp;F345&amp;"|"&amp;I345&amp;"|"&amp;O345)</f>
        <v/>
      </c>
      <c r="T345" s="111" t="str">
        <f>IF(S345="","",IF(COUNTIFS(L_Sleutel,S345,L_Actief,1)=0,"",SUMIFS(L_Waarde,L_Sleutel,S345,L_Actief,1)))</f>
        <v/>
      </c>
      <c r="U345" s="111">
        <f>IF(OR(S345="",T345=""),0,P345-T345)</f>
        <v>0</v>
      </c>
      <c r="AB345" s="112" t="n">
        <v>25</v>
      </c>
      <c r="AC345" s="112" t="n">
        <v>1</v>
      </c>
      <c r="AD345" s="112" t="str">
        <f>VERW_Project!Q30</f>
        <v/>
      </c>
      <c r="AE345" s="112">
        <f>IF(AND(VERW_Project!$A30&lt;&gt;"",ISNUMBER(AD345)),1,0)</f>
        <v>0</v>
      </c>
      <c r="AF345" s="112" t="str">
        <f>IF(AE345=1,SUM($AE$8:AE345),"")</f>
        <v/>
      </c>
      <c r="AG345" t="str">
        <f>IFERROR(MATCH(338,$AF$8:$AF$1407,0),"")</f>
        <v/>
      </c>
    </row>
    <row r="346">
      <c r="A346" s="92" t="str">
        <f>IF($AG346="","",P_ImportID)</f>
        <v/>
      </c>
      <c r="B346" s="92" t="str">
        <f>IF($AG346="","",IF(INDEX($AN$8:$AN$21,INDEX($AC$8:$AC$1407,$AG346)+1)="Z",P_BronZ,P_BronE))</f>
        <v/>
      </c>
      <c r="C346" s="108" t="str">
        <f>IF($AG346="","",P_Importdatum)</f>
        <v/>
      </c>
      <c r="D346" s="92" t="str">
        <f>IF($AG346="","",P_StatusVastleg)</f>
        <v/>
      </c>
      <c r="E346" s="92" t="str">
        <f>IF($AG346="","",P_UploadVJ)</f>
        <v/>
      </c>
      <c r="F346" s="92" t="str">
        <f>IF($AG346="","",P_UploadVersie)</f>
        <v/>
      </c>
      <c r="G346" s="92" t="str">
        <f>IF($AG346="","",IF(COUNTIFS(L_Sleutel,$S346,L_Status,"Vastgesteld")=0,0,_xlfn.MAXIFS(L_Revisie,L_Sleutel,$S346,L_Status,"Vastgesteld")+1))</f>
        <v/>
      </c>
      <c r="H346" s="108" t="str">
        <f>IF($AG346="","",P_Peildatum)</f>
        <v/>
      </c>
      <c r="I346" s="92" t="str">
        <f>IF($AG346="","",P_RJ+INDEX($AK$8:$AK$21,INDEX($AC$8:$AC$1407,$AG346)+1))</f>
        <v/>
      </c>
      <c r="J346" s="92" t="str">
        <f>IF($AG346="","",INDEX(V_WBS,INDEX($AB$8:$AB$1407,$AG346)))</f>
        <v/>
      </c>
      <c r="K346" s="92" t="str">
        <f>IF($AG346="","",INDEX(V_Projdef,INDEX($AB$8:$AB$1407,$AG346)))</f>
        <v/>
      </c>
      <c r="L346" s="92" t="str">
        <f>IF($AG346="","",INDEX(V_Naam,INDEX($AB$8:$AB$1407,$AG346)))</f>
        <v/>
      </c>
      <c r="M346" s="92" t="str">
        <f>IF($AG346="","",INDEX(V_Type,INDEX($AB$8:$AB$1407,$AG346)))</f>
        <v/>
      </c>
      <c r="N346" s="92" t="str">
        <f>IF($AG346="","",INDEX(V_IFRS,INDEX($AB$8:$AB$1407,$AG346)))</f>
        <v/>
      </c>
      <c r="O346" s="92" t="str">
        <f>IF($AG346="","",INDEX($AL$8:$AL$21,INDEX($AC$8:$AC$1407,$AG346)+1))</f>
        <v/>
      </c>
      <c r="P346" s="109" t="str">
        <f>IF($AG346="","",INDEX($AD$8:$AD$1407,$AG346))</f>
        <v/>
      </c>
      <c r="Q346" s="92" t="str">
        <f>IF($AG346="","",INDEX($AM$8:$AM$21,INDEX($AC$8:$AC$1407,$AG346)+1))</f>
        <v/>
      </c>
      <c r="R346" s="92" t="str">
        <f>IF($AG346="","",IF($G346&gt;0,P_ToelCorrectie&amp;"",""))</f>
        <v/>
      </c>
      <c r="S346" s="15" t="str">
        <f>IF(J346="","",J346&amp;"|"&amp;E346&amp;"|"&amp;F346&amp;"|"&amp;I346&amp;"|"&amp;O346)</f>
        <v/>
      </c>
      <c r="T346" s="111" t="str">
        <f>IF(S346="","",IF(COUNTIFS(L_Sleutel,S346,L_Actief,1)=0,"",SUMIFS(L_Waarde,L_Sleutel,S346,L_Actief,1)))</f>
        <v/>
      </c>
      <c r="U346" s="111">
        <f>IF(OR(S346="",T346=""),0,P346-T346)</f>
        <v>0</v>
      </c>
      <c r="AB346" s="112" t="n">
        <v>25</v>
      </c>
      <c r="AC346" s="112" t="n">
        <v>2</v>
      </c>
      <c r="AD346" s="112" t="str">
        <f>VERW_Project!L30</f>
        <v/>
      </c>
      <c r="AE346" s="112">
        <f>IF(AND(VERW_Project!$A30&lt;&gt;"",ISNUMBER(AD346)),1,0)</f>
        <v>0</v>
      </c>
      <c r="AF346" s="112" t="str">
        <f>IF(AE346=1,SUM($AE$8:AE346),"")</f>
        <v/>
      </c>
      <c r="AG346" t="str">
        <f>IFERROR(MATCH(339,$AF$8:$AF$1407,0),"")</f>
        <v/>
      </c>
    </row>
    <row r="347">
      <c r="A347" s="92" t="str">
        <f>IF($AG347="","",P_ImportID)</f>
        <v/>
      </c>
      <c r="B347" s="92" t="str">
        <f>IF($AG347="","",IF(INDEX($AN$8:$AN$21,INDEX($AC$8:$AC$1407,$AG347)+1)="Z",P_BronZ,P_BronE))</f>
        <v/>
      </c>
      <c r="C347" s="108" t="str">
        <f>IF($AG347="","",P_Importdatum)</f>
        <v/>
      </c>
      <c r="D347" s="92" t="str">
        <f>IF($AG347="","",P_StatusVastleg)</f>
        <v/>
      </c>
      <c r="E347" s="92" t="str">
        <f>IF($AG347="","",P_UploadVJ)</f>
        <v/>
      </c>
      <c r="F347" s="92" t="str">
        <f>IF($AG347="","",P_UploadVersie)</f>
        <v/>
      </c>
      <c r="G347" s="92" t="str">
        <f>IF($AG347="","",IF(COUNTIFS(L_Sleutel,$S347,L_Status,"Vastgesteld")=0,0,_xlfn.MAXIFS(L_Revisie,L_Sleutel,$S347,L_Status,"Vastgesteld")+1))</f>
        <v/>
      </c>
      <c r="H347" s="108" t="str">
        <f>IF($AG347="","",P_Peildatum)</f>
        <v/>
      </c>
      <c r="I347" s="92" t="str">
        <f>IF($AG347="","",P_RJ+INDEX($AK$8:$AK$21,INDEX($AC$8:$AC$1407,$AG347)+1))</f>
        <v/>
      </c>
      <c r="J347" s="92" t="str">
        <f>IF($AG347="","",INDEX(V_WBS,INDEX($AB$8:$AB$1407,$AG347)))</f>
        <v/>
      </c>
      <c r="K347" s="92" t="str">
        <f>IF($AG347="","",INDEX(V_Projdef,INDEX($AB$8:$AB$1407,$AG347)))</f>
        <v/>
      </c>
      <c r="L347" s="92" t="str">
        <f>IF($AG347="","",INDEX(V_Naam,INDEX($AB$8:$AB$1407,$AG347)))</f>
        <v/>
      </c>
      <c r="M347" s="92" t="str">
        <f>IF($AG347="","",INDEX(V_Type,INDEX($AB$8:$AB$1407,$AG347)))</f>
        <v/>
      </c>
      <c r="N347" s="92" t="str">
        <f>IF($AG347="","",INDEX(V_IFRS,INDEX($AB$8:$AB$1407,$AG347)))</f>
        <v/>
      </c>
      <c r="O347" s="92" t="str">
        <f>IF($AG347="","",INDEX($AL$8:$AL$21,INDEX($AC$8:$AC$1407,$AG347)+1))</f>
        <v/>
      </c>
      <c r="P347" s="109" t="str">
        <f>IF($AG347="","",INDEX($AD$8:$AD$1407,$AG347))</f>
        <v/>
      </c>
      <c r="Q347" s="92" t="str">
        <f>IF($AG347="","",INDEX($AM$8:$AM$21,INDEX($AC$8:$AC$1407,$AG347)+1))</f>
        <v/>
      </c>
      <c r="R347" s="92" t="str">
        <f>IF($AG347="","",IF($G347&gt;0,P_ToelCorrectie&amp;"",""))</f>
        <v/>
      </c>
      <c r="S347" s="15" t="str">
        <f>IF(J347="","",J347&amp;"|"&amp;E347&amp;"|"&amp;F347&amp;"|"&amp;I347&amp;"|"&amp;O347)</f>
        <v/>
      </c>
      <c r="T347" s="111" t="str">
        <f>IF(S347="","",IF(COUNTIFS(L_Sleutel,S347,L_Actief,1)=0,"",SUMIFS(L_Waarde,L_Sleutel,S347,L_Actief,1)))</f>
        <v/>
      </c>
      <c r="U347" s="111">
        <f>IF(OR(S347="",T347=""),0,P347-T347)</f>
        <v>0</v>
      </c>
      <c r="AB347" s="112" t="n">
        <v>25</v>
      </c>
      <c r="AC347" s="112" t="n">
        <v>3</v>
      </c>
      <c r="AD347" s="112" t="str">
        <f>VERW_Project!M30</f>
        <v/>
      </c>
      <c r="AE347" s="112">
        <f>IF(AND(VERW_Project!$A30&lt;&gt;"",ISNUMBER(AD347)),1,0)</f>
        <v>0</v>
      </c>
      <c r="AF347" s="112" t="str">
        <f>IF(AE347=1,SUM($AE$8:AE347),"")</f>
        <v/>
      </c>
      <c r="AG347" t="str">
        <f>IFERROR(MATCH(340,$AF$8:$AF$1407,0),"")</f>
        <v/>
      </c>
    </row>
    <row r="348">
      <c r="A348" s="92" t="str">
        <f>IF($AG348="","",P_ImportID)</f>
        <v/>
      </c>
      <c r="B348" s="92" t="str">
        <f>IF($AG348="","",IF(INDEX($AN$8:$AN$21,INDEX($AC$8:$AC$1407,$AG348)+1)="Z",P_BronZ,P_BronE))</f>
        <v/>
      </c>
      <c r="C348" s="108" t="str">
        <f>IF($AG348="","",P_Importdatum)</f>
        <v/>
      </c>
      <c r="D348" s="92" t="str">
        <f>IF($AG348="","",P_StatusVastleg)</f>
        <v/>
      </c>
      <c r="E348" s="92" t="str">
        <f>IF($AG348="","",P_UploadVJ)</f>
        <v/>
      </c>
      <c r="F348" s="92" t="str">
        <f>IF($AG348="","",P_UploadVersie)</f>
        <v/>
      </c>
      <c r="G348" s="92" t="str">
        <f>IF($AG348="","",IF(COUNTIFS(L_Sleutel,$S348,L_Status,"Vastgesteld")=0,0,_xlfn.MAXIFS(L_Revisie,L_Sleutel,$S348,L_Status,"Vastgesteld")+1))</f>
        <v/>
      </c>
      <c r="H348" s="108" t="str">
        <f>IF($AG348="","",P_Peildatum)</f>
        <v/>
      </c>
      <c r="I348" s="92" t="str">
        <f>IF($AG348="","",P_RJ+INDEX($AK$8:$AK$21,INDEX($AC$8:$AC$1407,$AG348)+1))</f>
        <v/>
      </c>
      <c r="J348" s="92" t="str">
        <f>IF($AG348="","",INDEX(V_WBS,INDEX($AB$8:$AB$1407,$AG348)))</f>
        <v/>
      </c>
      <c r="K348" s="92" t="str">
        <f>IF($AG348="","",INDEX(V_Projdef,INDEX($AB$8:$AB$1407,$AG348)))</f>
        <v/>
      </c>
      <c r="L348" s="92" t="str">
        <f>IF($AG348="","",INDEX(V_Naam,INDEX($AB$8:$AB$1407,$AG348)))</f>
        <v/>
      </c>
      <c r="M348" s="92" t="str">
        <f>IF($AG348="","",INDEX(V_Type,INDEX($AB$8:$AB$1407,$AG348)))</f>
        <v/>
      </c>
      <c r="N348" s="92" t="str">
        <f>IF($AG348="","",INDEX(V_IFRS,INDEX($AB$8:$AB$1407,$AG348)))</f>
        <v/>
      </c>
      <c r="O348" s="92" t="str">
        <f>IF($AG348="","",INDEX($AL$8:$AL$21,INDEX($AC$8:$AC$1407,$AG348)+1))</f>
        <v/>
      </c>
      <c r="P348" s="109" t="str">
        <f>IF($AG348="","",INDEX($AD$8:$AD$1407,$AG348))</f>
        <v/>
      </c>
      <c r="Q348" s="92" t="str">
        <f>IF($AG348="","",INDEX($AM$8:$AM$21,INDEX($AC$8:$AC$1407,$AG348)+1))</f>
        <v/>
      </c>
      <c r="R348" s="92" t="str">
        <f>IF($AG348="","",IF($G348&gt;0,P_ToelCorrectie&amp;"",""))</f>
        <v/>
      </c>
      <c r="S348" s="15" t="str">
        <f>IF(J348="","",J348&amp;"|"&amp;E348&amp;"|"&amp;F348&amp;"|"&amp;I348&amp;"|"&amp;O348)</f>
        <v/>
      </c>
      <c r="T348" s="111" t="str">
        <f>IF(S348="","",IF(COUNTIFS(L_Sleutel,S348,L_Actief,1)=0,"",SUMIFS(L_Waarde,L_Sleutel,S348,L_Actief,1)))</f>
        <v/>
      </c>
      <c r="U348" s="111">
        <f>IF(OR(S348="",T348=""),0,P348-T348)</f>
        <v>0</v>
      </c>
      <c r="AB348" s="112" t="n">
        <v>25</v>
      </c>
      <c r="AC348" s="112" t="n">
        <v>4</v>
      </c>
      <c r="AD348" s="112" t="str">
        <f>VERW_Project!R30</f>
        <v/>
      </c>
      <c r="AE348" s="112">
        <f>IF(AND(VERW_Project!$A30&lt;&gt;"",ISNUMBER(AD348)),1,0)</f>
        <v>0</v>
      </c>
      <c r="AF348" s="112" t="str">
        <f>IF(AE348=1,SUM($AE$8:AE348),"")</f>
        <v/>
      </c>
      <c r="AG348" t="str">
        <f>IFERROR(MATCH(341,$AF$8:$AF$1407,0),"")</f>
        <v/>
      </c>
    </row>
    <row r="349">
      <c r="A349" s="92" t="str">
        <f>IF($AG349="","",P_ImportID)</f>
        <v/>
      </c>
      <c r="B349" s="92" t="str">
        <f>IF($AG349="","",IF(INDEX($AN$8:$AN$21,INDEX($AC$8:$AC$1407,$AG349)+1)="Z",P_BronZ,P_BronE))</f>
        <v/>
      </c>
      <c r="C349" s="108" t="str">
        <f>IF($AG349="","",P_Importdatum)</f>
        <v/>
      </c>
      <c r="D349" s="92" t="str">
        <f>IF($AG349="","",P_StatusVastleg)</f>
        <v/>
      </c>
      <c r="E349" s="92" t="str">
        <f>IF($AG349="","",P_UploadVJ)</f>
        <v/>
      </c>
      <c r="F349" s="92" t="str">
        <f>IF($AG349="","",P_UploadVersie)</f>
        <v/>
      </c>
      <c r="G349" s="92" t="str">
        <f>IF($AG349="","",IF(COUNTIFS(L_Sleutel,$S349,L_Status,"Vastgesteld")=0,0,_xlfn.MAXIFS(L_Revisie,L_Sleutel,$S349,L_Status,"Vastgesteld")+1))</f>
        <v/>
      </c>
      <c r="H349" s="108" t="str">
        <f>IF($AG349="","",P_Peildatum)</f>
        <v/>
      </c>
      <c r="I349" s="92" t="str">
        <f>IF($AG349="","",P_RJ+INDEX($AK$8:$AK$21,INDEX($AC$8:$AC$1407,$AG349)+1))</f>
        <v/>
      </c>
      <c r="J349" s="92" t="str">
        <f>IF($AG349="","",INDEX(V_WBS,INDEX($AB$8:$AB$1407,$AG349)))</f>
        <v/>
      </c>
      <c r="K349" s="92" t="str">
        <f>IF($AG349="","",INDEX(V_Projdef,INDEX($AB$8:$AB$1407,$AG349)))</f>
        <v/>
      </c>
      <c r="L349" s="92" t="str">
        <f>IF($AG349="","",INDEX(V_Naam,INDEX($AB$8:$AB$1407,$AG349)))</f>
        <v/>
      </c>
      <c r="M349" s="92" t="str">
        <f>IF($AG349="","",INDEX(V_Type,INDEX($AB$8:$AB$1407,$AG349)))</f>
        <v/>
      </c>
      <c r="N349" s="92" t="str">
        <f>IF($AG349="","",INDEX(V_IFRS,INDEX($AB$8:$AB$1407,$AG349)))</f>
        <v/>
      </c>
      <c r="O349" s="92" t="str">
        <f>IF($AG349="","",INDEX($AL$8:$AL$21,INDEX($AC$8:$AC$1407,$AG349)+1))</f>
        <v/>
      </c>
      <c r="P349" s="109" t="str">
        <f>IF($AG349="","",INDEX($AD$8:$AD$1407,$AG349))</f>
        <v/>
      </c>
      <c r="Q349" s="92" t="str">
        <f>IF($AG349="","",INDEX($AM$8:$AM$21,INDEX($AC$8:$AC$1407,$AG349)+1))</f>
        <v/>
      </c>
      <c r="R349" s="92" t="str">
        <f>IF($AG349="","",IF($G349&gt;0,P_ToelCorrectie&amp;"",""))</f>
        <v/>
      </c>
      <c r="S349" s="15" t="str">
        <f>IF(J349="","",J349&amp;"|"&amp;E349&amp;"|"&amp;F349&amp;"|"&amp;I349&amp;"|"&amp;O349)</f>
        <v/>
      </c>
      <c r="T349" s="111" t="str">
        <f>IF(S349="","",IF(COUNTIFS(L_Sleutel,S349,L_Actief,1)=0,"",SUMIFS(L_Waarde,L_Sleutel,S349,L_Actief,1)))</f>
        <v/>
      </c>
      <c r="U349" s="111">
        <f>IF(OR(S349="",T349=""),0,P349-T349)</f>
        <v>0</v>
      </c>
      <c r="AB349" s="112" t="n">
        <v>25</v>
      </c>
      <c r="AC349" s="112" t="n">
        <v>5</v>
      </c>
      <c r="AD349" s="112" t="str">
        <f>VERW_Project!S30</f>
        <v/>
      </c>
      <c r="AE349" s="112">
        <f>IF(AND(VERW_Project!$A30&lt;&gt;"",ISNUMBER(AD349)),1,0)</f>
        <v>0</v>
      </c>
      <c r="AF349" s="112" t="str">
        <f>IF(AE349=1,SUM($AE$8:AE349),"")</f>
        <v/>
      </c>
      <c r="AG349" t="str">
        <f>IFERROR(MATCH(342,$AF$8:$AF$1407,0),"")</f>
        <v/>
      </c>
    </row>
    <row r="350">
      <c r="A350" s="92" t="str">
        <f>IF($AG350="","",P_ImportID)</f>
        <v/>
      </c>
      <c r="B350" s="92" t="str">
        <f>IF($AG350="","",IF(INDEX($AN$8:$AN$21,INDEX($AC$8:$AC$1407,$AG350)+1)="Z",P_BronZ,P_BronE))</f>
        <v/>
      </c>
      <c r="C350" s="108" t="str">
        <f>IF($AG350="","",P_Importdatum)</f>
        <v/>
      </c>
      <c r="D350" s="92" t="str">
        <f>IF($AG350="","",P_StatusVastleg)</f>
        <v/>
      </c>
      <c r="E350" s="92" t="str">
        <f>IF($AG350="","",P_UploadVJ)</f>
        <v/>
      </c>
      <c r="F350" s="92" t="str">
        <f>IF($AG350="","",P_UploadVersie)</f>
        <v/>
      </c>
      <c r="G350" s="92" t="str">
        <f>IF($AG350="","",IF(COUNTIFS(L_Sleutel,$S350,L_Status,"Vastgesteld")=0,0,_xlfn.MAXIFS(L_Revisie,L_Sleutel,$S350,L_Status,"Vastgesteld")+1))</f>
        <v/>
      </c>
      <c r="H350" s="108" t="str">
        <f>IF($AG350="","",P_Peildatum)</f>
        <v/>
      </c>
      <c r="I350" s="92" t="str">
        <f>IF($AG350="","",P_RJ+INDEX($AK$8:$AK$21,INDEX($AC$8:$AC$1407,$AG350)+1))</f>
        <v/>
      </c>
      <c r="J350" s="92" t="str">
        <f>IF($AG350="","",INDEX(V_WBS,INDEX($AB$8:$AB$1407,$AG350)))</f>
        <v/>
      </c>
      <c r="K350" s="92" t="str">
        <f>IF($AG350="","",INDEX(V_Projdef,INDEX($AB$8:$AB$1407,$AG350)))</f>
        <v/>
      </c>
      <c r="L350" s="92" t="str">
        <f>IF($AG350="","",INDEX(V_Naam,INDEX($AB$8:$AB$1407,$AG350)))</f>
        <v/>
      </c>
      <c r="M350" s="92" t="str">
        <f>IF($AG350="","",INDEX(V_Type,INDEX($AB$8:$AB$1407,$AG350)))</f>
        <v/>
      </c>
      <c r="N350" s="92" t="str">
        <f>IF($AG350="","",INDEX(V_IFRS,INDEX($AB$8:$AB$1407,$AG350)))</f>
        <v/>
      </c>
      <c r="O350" s="92" t="str">
        <f>IF($AG350="","",INDEX($AL$8:$AL$21,INDEX($AC$8:$AC$1407,$AG350)+1))</f>
        <v/>
      </c>
      <c r="P350" s="109" t="str">
        <f>IF($AG350="","",INDEX($AD$8:$AD$1407,$AG350))</f>
        <v/>
      </c>
      <c r="Q350" s="92" t="str">
        <f>IF($AG350="","",INDEX($AM$8:$AM$21,INDEX($AC$8:$AC$1407,$AG350)+1))</f>
        <v/>
      </c>
      <c r="R350" s="92" t="str">
        <f>IF($AG350="","",IF($G350&gt;0,P_ToelCorrectie&amp;"",""))</f>
        <v/>
      </c>
      <c r="S350" s="15" t="str">
        <f>IF(J350="","",J350&amp;"|"&amp;E350&amp;"|"&amp;F350&amp;"|"&amp;I350&amp;"|"&amp;O350)</f>
        <v/>
      </c>
      <c r="T350" s="111" t="str">
        <f>IF(S350="","",IF(COUNTIFS(L_Sleutel,S350,L_Actief,1)=0,"",SUMIFS(L_Waarde,L_Sleutel,S350,L_Actief,1)))</f>
        <v/>
      </c>
      <c r="U350" s="111">
        <f>IF(OR(S350="",T350=""),0,P350-T350)</f>
        <v>0</v>
      </c>
      <c r="AB350" s="112" t="n">
        <v>25</v>
      </c>
      <c r="AC350" s="112" t="n">
        <v>6</v>
      </c>
      <c r="AD350" s="112" t="str">
        <f>VERW_Project!BW30</f>
        <v/>
      </c>
      <c r="AE350" s="112">
        <f>IF(AND(VERW_Project!$A30&lt;&gt;"",ISNUMBER(AD350)),1,0)</f>
        <v>0</v>
      </c>
      <c r="AF350" s="112" t="str">
        <f>IF(AE350=1,SUM($AE$8:AE350),"")</f>
        <v/>
      </c>
      <c r="AG350" t="str">
        <f>IFERROR(MATCH(343,$AF$8:$AF$1407,0),"")</f>
        <v/>
      </c>
    </row>
    <row r="351">
      <c r="A351" s="92" t="str">
        <f>IF($AG351="","",P_ImportID)</f>
        <v/>
      </c>
      <c r="B351" s="92" t="str">
        <f>IF($AG351="","",IF(INDEX($AN$8:$AN$21,INDEX($AC$8:$AC$1407,$AG351)+1)="Z",P_BronZ,P_BronE))</f>
        <v/>
      </c>
      <c r="C351" s="108" t="str">
        <f>IF($AG351="","",P_Importdatum)</f>
        <v/>
      </c>
      <c r="D351" s="92" t="str">
        <f>IF($AG351="","",P_StatusVastleg)</f>
        <v/>
      </c>
      <c r="E351" s="92" t="str">
        <f>IF($AG351="","",P_UploadVJ)</f>
        <v/>
      </c>
      <c r="F351" s="92" t="str">
        <f>IF($AG351="","",P_UploadVersie)</f>
        <v/>
      </c>
      <c r="G351" s="92" t="str">
        <f>IF($AG351="","",IF(COUNTIFS(L_Sleutel,$S351,L_Status,"Vastgesteld")=0,0,_xlfn.MAXIFS(L_Revisie,L_Sleutel,$S351,L_Status,"Vastgesteld")+1))</f>
        <v/>
      </c>
      <c r="H351" s="108" t="str">
        <f>IF($AG351="","",P_Peildatum)</f>
        <v/>
      </c>
      <c r="I351" s="92" t="str">
        <f>IF($AG351="","",P_RJ+INDEX($AK$8:$AK$21,INDEX($AC$8:$AC$1407,$AG351)+1))</f>
        <v/>
      </c>
      <c r="J351" s="92" t="str">
        <f>IF($AG351="","",INDEX(V_WBS,INDEX($AB$8:$AB$1407,$AG351)))</f>
        <v/>
      </c>
      <c r="K351" s="92" t="str">
        <f>IF($AG351="","",INDEX(V_Projdef,INDEX($AB$8:$AB$1407,$AG351)))</f>
        <v/>
      </c>
      <c r="L351" s="92" t="str">
        <f>IF($AG351="","",INDEX(V_Naam,INDEX($AB$8:$AB$1407,$AG351)))</f>
        <v/>
      </c>
      <c r="M351" s="92" t="str">
        <f>IF($AG351="","",INDEX(V_Type,INDEX($AB$8:$AB$1407,$AG351)))</f>
        <v/>
      </c>
      <c r="N351" s="92" t="str">
        <f>IF($AG351="","",INDEX(V_IFRS,INDEX($AB$8:$AB$1407,$AG351)))</f>
        <v/>
      </c>
      <c r="O351" s="92" t="str">
        <f>IF($AG351="","",INDEX($AL$8:$AL$21,INDEX($AC$8:$AC$1407,$AG351)+1))</f>
        <v/>
      </c>
      <c r="P351" s="109" t="str">
        <f>IF($AG351="","",INDEX($AD$8:$AD$1407,$AG351))</f>
        <v/>
      </c>
      <c r="Q351" s="92" t="str">
        <f>IF($AG351="","",INDEX($AM$8:$AM$21,INDEX($AC$8:$AC$1407,$AG351)+1))</f>
        <v/>
      </c>
      <c r="R351" s="92" t="str">
        <f>IF($AG351="","",IF($G351&gt;0,P_ToelCorrectie&amp;"",""))</f>
        <v/>
      </c>
      <c r="S351" s="15" t="str">
        <f>IF(J351="","",J351&amp;"|"&amp;E351&amp;"|"&amp;F351&amp;"|"&amp;I351&amp;"|"&amp;O351)</f>
        <v/>
      </c>
      <c r="T351" s="111" t="str">
        <f>IF(S351="","",IF(COUNTIFS(L_Sleutel,S351,L_Actief,1)=0,"",SUMIFS(L_Waarde,L_Sleutel,S351,L_Actief,1)))</f>
        <v/>
      </c>
      <c r="U351" s="111">
        <f>IF(OR(S351="",T351=""),0,P351-T351)</f>
        <v>0</v>
      </c>
      <c r="AB351" s="112" t="n">
        <v>25</v>
      </c>
      <c r="AC351" s="112" t="n">
        <v>7</v>
      </c>
      <c r="AD351" s="112" t="str">
        <f>VERW_Project!AW30</f>
        <v/>
      </c>
      <c r="AE351" s="112">
        <f>IF(AND(VERW_Project!$A30&lt;&gt;"",ISNUMBER(AD351)),1,0)</f>
        <v>0</v>
      </c>
      <c r="AF351" s="112" t="str">
        <f>IF(AE351=1,SUM($AE$8:AE351),"")</f>
        <v/>
      </c>
      <c r="AG351" t="str">
        <f>IFERROR(MATCH(344,$AF$8:$AF$1407,0),"")</f>
        <v/>
      </c>
    </row>
    <row r="352">
      <c r="A352" s="92" t="str">
        <f>IF($AG352="","",P_ImportID)</f>
        <v/>
      </c>
      <c r="B352" s="92" t="str">
        <f>IF($AG352="","",IF(INDEX($AN$8:$AN$21,INDEX($AC$8:$AC$1407,$AG352)+1)="Z",P_BronZ,P_BronE))</f>
        <v/>
      </c>
      <c r="C352" s="108" t="str">
        <f>IF($AG352="","",P_Importdatum)</f>
        <v/>
      </c>
      <c r="D352" s="92" t="str">
        <f>IF($AG352="","",P_StatusVastleg)</f>
        <v/>
      </c>
      <c r="E352" s="92" t="str">
        <f>IF($AG352="","",P_UploadVJ)</f>
        <v/>
      </c>
      <c r="F352" s="92" t="str">
        <f>IF($AG352="","",P_UploadVersie)</f>
        <v/>
      </c>
      <c r="G352" s="92" t="str">
        <f>IF($AG352="","",IF(COUNTIFS(L_Sleutel,$S352,L_Status,"Vastgesteld")=0,0,_xlfn.MAXIFS(L_Revisie,L_Sleutel,$S352,L_Status,"Vastgesteld")+1))</f>
        <v/>
      </c>
      <c r="H352" s="108" t="str">
        <f>IF($AG352="","",P_Peildatum)</f>
        <v/>
      </c>
      <c r="I352" s="92" t="str">
        <f>IF($AG352="","",P_RJ+INDEX($AK$8:$AK$21,INDEX($AC$8:$AC$1407,$AG352)+1))</f>
        <v/>
      </c>
      <c r="J352" s="92" t="str">
        <f>IF($AG352="","",INDEX(V_WBS,INDEX($AB$8:$AB$1407,$AG352)))</f>
        <v/>
      </c>
      <c r="K352" s="92" t="str">
        <f>IF($AG352="","",INDEX(V_Projdef,INDEX($AB$8:$AB$1407,$AG352)))</f>
        <v/>
      </c>
      <c r="L352" s="92" t="str">
        <f>IF($AG352="","",INDEX(V_Naam,INDEX($AB$8:$AB$1407,$AG352)))</f>
        <v/>
      </c>
      <c r="M352" s="92" t="str">
        <f>IF($AG352="","",INDEX(V_Type,INDEX($AB$8:$AB$1407,$AG352)))</f>
        <v/>
      </c>
      <c r="N352" s="92" t="str">
        <f>IF($AG352="","",INDEX(V_IFRS,INDEX($AB$8:$AB$1407,$AG352)))</f>
        <v/>
      </c>
      <c r="O352" s="92" t="str">
        <f>IF($AG352="","",INDEX($AL$8:$AL$21,INDEX($AC$8:$AC$1407,$AG352)+1))</f>
        <v/>
      </c>
      <c r="P352" s="109" t="str">
        <f>IF($AG352="","",INDEX($AD$8:$AD$1407,$AG352))</f>
        <v/>
      </c>
      <c r="Q352" s="92" t="str">
        <f>IF($AG352="","",INDEX($AM$8:$AM$21,INDEX($AC$8:$AC$1407,$AG352)+1))</f>
        <v/>
      </c>
      <c r="R352" s="92" t="str">
        <f>IF($AG352="","",IF($G352&gt;0,P_ToelCorrectie&amp;"",""))</f>
        <v/>
      </c>
      <c r="S352" s="15" t="str">
        <f>IF(J352="","",J352&amp;"|"&amp;E352&amp;"|"&amp;F352&amp;"|"&amp;I352&amp;"|"&amp;O352)</f>
        <v/>
      </c>
      <c r="T352" s="111" t="str">
        <f>IF(S352="","",IF(COUNTIFS(L_Sleutel,S352,L_Actief,1)=0,"",SUMIFS(L_Waarde,L_Sleutel,S352,L_Actief,1)))</f>
        <v/>
      </c>
      <c r="U352" s="111">
        <f>IF(OR(S352="",T352=""),0,P352-T352)</f>
        <v>0</v>
      </c>
      <c r="AB352" s="112" t="n">
        <v>25</v>
      </c>
      <c r="AC352" s="112" t="n">
        <v>8</v>
      </c>
      <c r="AD352" s="112" t="str">
        <f>VERW_Project!BQ30</f>
        <v/>
      </c>
      <c r="AE352" s="112">
        <f>IF(AND(VERW_Project!$A30&lt;&gt;"",ISNUMBER(AD352)),1,0)</f>
        <v>0</v>
      </c>
      <c r="AF352" s="112" t="str">
        <f>IF(AE352=1,SUM($AE$8:AE352),"")</f>
        <v/>
      </c>
      <c r="AG352" t="str">
        <f>IFERROR(MATCH(345,$AF$8:$AF$1407,0),"")</f>
        <v/>
      </c>
    </row>
    <row r="353">
      <c r="A353" s="92" t="str">
        <f>IF($AG353="","",P_ImportID)</f>
        <v/>
      </c>
      <c r="B353" s="92" t="str">
        <f>IF($AG353="","",IF(INDEX($AN$8:$AN$21,INDEX($AC$8:$AC$1407,$AG353)+1)="Z",P_BronZ,P_BronE))</f>
        <v/>
      </c>
      <c r="C353" s="108" t="str">
        <f>IF($AG353="","",P_Importdatum)</f>
        <v/>
      </c>
      <c r="D353" s="92" t="str">
        <f>IF($AG353="","",P_StatusVastleg)</f>
        <v/>
      </c>
      <c r="E353" s="92" t="str">
        <f>IF($AG353="","",P_UploadVJ)</f>
        <v/>
      </c>
      <c r="F353" s="92" t="str">
        <f>IF($AG353="","",P_UploadVersie)</f>
        <v/>
      </c>
      <c r="G353" s="92" t="str">
        <f>IF($AG353="","",IF(COUNTIFS(L_Sleutel,$S353,L_Status,"Vastgesteld")=0,0,_xlfn.MAXIFS(L_Revisie,L_Sleutel,$S353,L_Status,"Vastgesteld")+1))</f>
        <v/>
      </c>
      <c r="H353" s="108" t="str">
        <f>IF($AG353="","",P_Peildatum)</f>
        <v/>
      </c>
      <c r="I353" s="92" t="str">
        <f>IF($AG353="","",P_RJ+INDEX($AK$8:$AK$21,INDEX($AC$8:$AC$1407,$AG353)+1))</f>
        <v/>
      </c>
      <c r="J353" s="92" t="str">
        <f>IF($AG353="","",INDEX(V_WBS,INDEX($AB$8:$AB$1407,$AG353)))</f>
        <v/>
      </c>
      <c r="K353" s="92" t="str">
        <f>IF($AG353="","",INDEX(V_Projdef,INDEX($AB$8:$AB$1407,$AG353)))</f>
        <v/>
      </c>
      <c r="L353" s="92" t="str">
        <f>IF($AG353="","",INDEX(V_Naam,INDEX($AB$8:$AB$1407,$AG353)))</f>
        <v/>
      </c>
      <c r="M353" s="92" t="str">
        <f>IF($AG353="","",INDEX(V_Type,INDEX($AB$8:$AB$1407,$AG353)))</f>
        <v/>
      </c>
      <c r="N353" s="92" t="str">
        <f>IF($AG353="","",INDEX(V_IFRS,INDEX($AB$8:$AB$1407,$AG353)))</f>
        <v/>
      </c>
      <c r="O353" s="92" t="str">
        <f>IF($AG353="","",INDEX($AL$8:$AL$21,INDEX($AC$8:$AC$1407,$AG353)+1))</f>
        <v/>
      </c>
      <c r="P353" s="109" t="str">
        <f>IF($AG353="","",INDEX($AD$8:$AD$1407,$AG353))</f>
        <v/>
      </c>
      <c r="Q353" s="92" t="str">
        <f>IF($AG353="","",INDEX($AM$8:$AM$21,INDEX($AC$8:$AC$1407,$AG353)+1))</f>
        <v/>
      </c>
      <c r="R353" s="92" t="str">
        <f>IF($AG353="","",IF($G353&gt;0,P_ToelCorrectie&amp;"",""))</f>
        <v/>
      </c>
      <c r="S353" s="15" t="str">
        <f>IF(J353="","",J353&amp;"|"&amp;E353&amp;"|"&amp;F353&amp;"|"&amp;I353&amp;"|"&amp;O353)</f>
        <v/>
      </c>
      <c r="T353" s="111" t="str">
        <f>IF(S353="","",IF(COUNTIFS(L_Sleutel,S353,L_Actief,1)=0,"",SUMIFS(L_Waarde,L_Sleutel,S353,L_Actief,1)))</f>
        <v/>
      </c>
      <c r="U353" s="111">
        <f>IF(OR(S353="",T353=""),0,P353-T353)</f>
        <v>0</v>
      </c>
      <c r="AB353" s="112" t="n">
        <v>25</v>
      </c>
      <c r="AC353" s="112" t="n">
        <v>9</v>
      </c>
      <c r="AD353" s="112" t="str">
        <f>VERW_Project!BR30</f>
        <v/>
      </c>
      <c r="AE353" s="112">
        <f>IF(AND(VERW_Project!$A30&lt;&gt;"",ISNUMBER(AD353)),1,0)</f>
        <v>0</v>
      </c>
      <c r="AF353" s="112" t="str">
        <f>IF(AE353=1,SUM($AE$8:AE353),"")</f>
        <v/>
      </c>
      <c r="AG353" t="str">
        <f>IFERROR(MATCH(346,$AF$8:$AF$1407,0),"")</f>
        <v/>
      </c>
    </row>
    <row r="354">
      <c r="A354" s="92" t="str">
        <f>IF($AG354="","",P_ImportID)</f>
        <v/>
      </c>
      <c r="B354" s="92" t="str">
        <f>IF($AG354="","",IF(INDEX($AN$8:$AN$21,INDEX($AC$8:$AC$1407,$AG354)+1)="Z",P_BronZ,P_BronE))</f>
        <v/>
      </c>
      <c r="C354" s="108" t="str">
        <f>IF($AG354="","",P_Importdatum)</f>
        <v/>
      </c>
      <c r="D354" s="92" t="str">
        <f>IF($AG354="","",P_StatusVastleg)</f>
        <v/>
      </c>
      <c r="E354" s="92" t="str">
        <f>IF($AG354="","",P_UploadVJ)</f>
        <v/>
      </c>
      <c r="F354" s="92" t="str">
        <f>IF($AG354="","",P_UploadVersie)</f>
        <v/>
      </c>
      <c r="G354" s="92" t="str">
        <f>IF($AG354="","",IF(COUNTIFS(L_Sleutel,$S354,L_Status,"Vastgesteld")=0,0,_xlfn.MAXIFS(L_Revisie,L_Sleutel,$S354,L_Status,"Vastgesteld")+1))</f>
        <v/>
      </c>
      <c r="H354" s="108" t="str">
        <f>IF($AG354="","",P_Peildatum)</f>
        <v/>
      </c>
      <c r="I354" s="92" t="str">
        <f>IF($AG354="","",P_RJ+INDEX($AK$8:$AK$21,INDEX($AC$8:$AC$1407,$AG354)+1))</f>
        <v/>
      </c>
      <c r="J354" s="92" t="str">
        <f>IF($AG354="","",INDEX(V_WBS,INDEX($AB$8:$AB$1407,$AG354)))</f>
        <v/>
      </c>
      <c r="K354" s="92" t="str">
        <f>IF($AG354="","",INDEX(V_Projdef,INDEX($AB$8:$AB$1407,$AG354)))</f>
        <v/>
      </c>
      <c r="L354" s="92" t="str">
        <f>IF($AG354="","",INDEX(V_Naam,INDEX($AB$8:$AB$1407,$AG354)))</f>
        <v/>
      </c>
      <c r="M354" s="92" t="str">
        <f>IF($AG354="","",INDEX(V_Type,INDEX($AB$8:$AB$1407,$AG354)))</f>
        <v/>
      </c>
      <c r="N354" s="92" t="str">
        <f>IF($AG354="","",INDEX(V_IFRS,INDEX($AB$8:$AB$1407,$AG354)))</f>
        <v/>
      </c>
      <c r="O354" s="92" t="str">
        <f>IF($AG354="","",INDEX($AL$8:$AL$21,INDEX($AC$8:$AC$1407,$AG354)+1))</f>
        <v/>
      </c>
      <c r="P354" s="109" t="str">
        <f>IF($AG354="","",INDEX($AD$8:$AD$1407,$AG354))</f>
        <v/>
      </c>
      <c r="Q354" s="92" t="str">
        <f>IF($AG354="","",INDEX($AM$8:$AM$21,INDEX($AC$8:$AC$1407,$AG354)+1))</f>
        <v/>
      </c>
      <c r="R354" s="92" t="str">
        <f>IF($AG354="","",IF($G354&gt;0,P_ToelCorrectie&amp;"",""))</f>
        <v/>
      </c>
      <c r="S354" s="15" t="str">
        <f>IF(J354="","",J354&amp;"|"&amp;E354&amp;"|"&amp;F354&amp;"|"&amp;I354&amp;"|"&amp;O354)</f>
        <v/>
      </c>
      <c r="T354" s="111" t="str">
        <f>IF(S354="","",IF(COUNTIFS(L_Sleutel,S354,L_Actief,1)=0,"",SUMIFS(L_Waarde,L_Sleutel,S354,L_Actief,1)))</f>
        <v/>
      </c>
      <c r="U354" s="111">
        <f>IF(OR(S354="",T354=""),0,P354-T354)</f>
        <v>0</v>
      </c>
      <c r="AB354" s="112" t="n">
        <v>25</v>
      </c>
      <c r="AC354" s="112" t="n">
        <v>10</v>
      </c>
      <c r="AD354" s="112" t="str">
        <f>VERW_Project!BS30</f>
        <v/>
      </c>
      <c r="AE354" s="112">
        <f>IF(AND(VERW_Project!$A30&lt;&gt;"",ISNUMBER(AD354)),1,0)</f>
        <v>0</v>
      </c>
      <c r="AF354" s="112" t="str">
        <f>IF(AE354=1,SUM($AE$8:AE354),"")</f>
        <v/>
      </c>
      <c r="AG354" t="str">
        <f>IFERROR(MATCH(347,$AF$8:$AF$1407,0),"")</f>
        <v/>
      </c>
    </row>
    <row r="355">
      <c r="A355" s="92" t="str">
        <f>IF($AG355="","",P_ImportID)</f>
        <v/>
      </c>
      <c r="B355" s="92" t="str">
        <f>IF($AG355="","",IF(INDEX($AN$8:$AN$21,INDEX($AC$8:$AC$1407,$AG355)+1)="Z",P_BronZ,P_BronE))</f>
        <v/>
      </c>
      <c r="C355" s="108" t="str">
        <f>IF($AG355="","",P_Importdatum)</f>
        <v/>
      </c>
      <c r="D355" s="92" t="str">
        <f>IF($AG355="","",P_StatusVastleg)</f>
        <v/>
      </c>
      <c r="E355" s="92" t="str">
        <f>IF($AG355="","",P_UploadVJ)</f>
        <v/>
      </c>
      <c r="F355" s="92" t="str">
        <f>IF($AG355="","",P_UploadVersie)</f>
        <v/>
      </c>
      <c r="G355" s="92" t="str">
        <f>IF($AG355="","",IF(COUNTIFS(L_Sleutel,$S355,L_Status,"Vastgesteld")=0,0,_xlfn.MAXIFS(L_Revisie,L_Sleutel,$S355,L_Status,"Vastgesteld")+1))</f>
        <v/>
      </c>
      <c r="H355" s="108" t="str">
        <f>IF($AG355="","",P_Peildatum)</f>
        <v/>
      </c>
      <c r="I355" s="92" t="str">
        <f>IF($AG355="","",P_RJ+INDEX($AK$8:$AK$21,INDEX($AC$8:$AC$1407,$AG355)+1))</f>
        <v/>
      </c>
      <c r="J355" s="92" t="str">
        <f>IF($AG355="","",INDEX(V_WBS,INDEX($AB$8:$AB$1407,$AG355)))</f>
        <v/>
      </c>
      <c r="K355" s="92" t="str">
        <f>IF($AG355="","",INDEX(V_Projdef,INDEX($AB$8:$AB$1407,$AG355)))</f>
        <v/>
      </c>
      <c r="L355" s="92" t="str">
        <f>IF($AG355="","",INDEX(V_Naam,INDEX($AB$8:$AB$1407,$AG355)))</f>
        <v/>
      </c>
      <c r="M355" s="92" t="str">
        <f>IF($AG355="","",INDEX(V_Type,INDEX($AB$8:$AB$1407,$AG355)))</f>
        <v/>
      </c>
      <c r="N355" s="92" t="str">
        <f>IF($AG355="","",INDEX(V_IFRS,INDEX($AB$8:$AB$1407,$AG355)))</f>
        <v/>
      </c>
      <c r="O355" s="92" t="str">
        <f>IF($AG355="","",INDEX($AL$8:$AL$21,INDEX($AC$8:$AC$1407,$AG355)+1))</f>
        <v/>
      </c>
      <c r="P355" s="109" t="str">
        <f>IF($AG355="","",INDEX($AD$8:$AD$1407,$AG355))</f>
        <v/>
      </c>
      <c r="Q355" s="92" t="str">
        <f>IF($AG355="","",INDEX($AM$8:$AM$21,INDEX($AC$8:$AC$1407,$AG355)+1))</f>
        <v/>
      </c>
      <c r="R355" s="92" t="str">
        <f>IF($AG355="","",IF($G355&gt;0,P_ToelCorrectie&amp;"",""))</f>
        <v/>
      </c>
      <c r="S355" s="15" t="str">
        <f>IF(J355="","",J355&amp;"|"&amp;E355&amp;"|"&amp;F355&amp;"|"&amp;I355&amp;"|"&amp;O355)</f>
        <v/>
      </c>
      <c r="T355" s="111" t="str">
        <f>IF(S355="","",IF(COUNTIFS(L_Sleutel,S355,L_Actief,1)=0,"",SUMIFS(L_Waarde,L_Sleutel,S355,L_Actief,1)))</f>
        <v/>
      </c>
      <c r="U355" s="111">
        <f>IF(OR(S355="",T355=""),0,P355-T355)</f>
        <v>0</v>
      </c>
      <c r="AB355" s="112" t="n">
        <v>25</v>
      </c>
      <c r="AC355" s="112" t="n">
        <v>11</v>
      </c>
      <c r="AD355" s="112" t="str">
        <f>VERW_Project!BT30</f>
        <v/>
      </c>
      <c r="AE355" s="112">
        <f>IF(AND(VERW_Project!$A30&lt;&gt;"",ISNUMBER(AD355)),1,0)</f>
        <v>0</v>
      </c>
      <c r="AF355" s="112" t="str">
        <f>IF(AE355=1,SUM($AE$8:AE355),"")</f>
        <v/>
      </c>
      <c r="AG355" t="str">
        <f>IFERROR(MATCH(348,$AF$8:$AF$1407,0),"")</f>
        <v/>
      </c>
    </row>
    <row r="356">
      <c r="A356" s="92" t="str">
        <f>IF($AG356="","",P_ImportID)</f>
        <v/>
      </c>
      <c r="B356" s="92" t="str">
        <f>IF($AG356="","",IF(INDEX($AN$8:$AN$21,INDEX($AC$8:$AC$1407,$AG356)+1)="Z",P_BronZ,P_BronE))</f>
        <v/>
      </c>
      <c r="C356" s="108" t="str">
        <f>IF($AG356="","",P_Importdatum)</f>
        <v/>
      </c>
      <c r="D356" s="92" t="str">
        <f>IF($AG356="","",P_StatusVastleg)</f>
        <v/>
      </c>
      <c r="E356" s="92" t="str">
        <f>IF($AG356="","",P_UploadVJ)</f>
        <v/>
      </c>
      <c r="F356" s="92" t="str">
        <f>IF($AG356="","",P_UploadVersie)</f>
        <v/>
      </c>
      <c r="G356" s="92" t="str">
        <f>IF($AG356="","",IF(COUNTIFS(L_Sleutel,$S356,L_Status,"Vastgesteld")=0,0,_xlfn.MAXIFS(L_Revisie,L_Sleutel,$S356,L_Status,"Vastgesteld")+1))</f>
        <v/>
      </c>
      <c r="H356" s="108" t="str">
        <f>IF($AG356="","",P_Peildatum)</f>
        <v/>
      </c>
      <c r="I356" s="92" t="str">
        <f>IF($AG356="","",P_RJ+INDEX($AK$8:$AK$21,INDEX($AC$8:$AC$1407,$AG356)+1))</f>
        <v/>
      </c>
      <c r="J356" s="92" t="str">
        <f>IF($AG356="","",INDEX(V_WBS,INDEX($AB$8:$AB$1407,$AG356)))</f>
        <v/>
      </c>
      <c r="K356" s="92" t="str">
        <f>IF($AG356="","",INDEX(V_Projdef,INDEX($AB$8:$AB$1407,$AG356)))</f>
        <v/>
      </c>
      <c r="L356" s="92" t="str">
        <f>IF($AG356="","",INDEX(V_Naam,INDEX($AB$8:$AB$1407,$AG356)))</f>
        <v/>
      </c>
      <c r="M356" s="92" t="str">
        <f>IF($AG356="","",INDEX(V_Type,INDEX($AB$8:$AB$1407,$AG356)))</f>
        <v/>
      </c>
      <c r="N356" s="92" t="str">
        <f>IF($AG356="","",INDEX(V_IFRS,INDEX($AB$8:$AB$1407,$AG356)))</f>
        <v/>
      </c>
      <c r="O356" s="92" t="str">
        <f>IF($AG356="","",INDEX($AL$8:$AL$21,INDEX($AC$8:$AC$1407,$AG356)+1))</f>
        <v/>
      </c>
      <c r="P356" s="109" t="str">
        <f>IF($AG356="","",INDEX($AD$8:$AD$1407,$AG356))</f>
        <v/>
      </c>
      <c r="Q356" s="92" t="str">
        <f>IF($AG356="","",INDEX($AM$8:$AM$21,INDEX($AC$8:$AC$1407,$AG356)+1))</f>
        <v/>
      </c>
      <c r="R356" s="92" t="str">
        <f>IF($AG356="","",IF($G356&gt;0,P_ToelCorrectie&amp;"",""))</f>
        <v/>
      </c>
      <c r="S356" s="15" t="str">
        <f>IF(J356="","",J356&amp;"|"&amp;E356&amp;"|"&amp;F356&amp;"|"&amp;I356&amp;"|"&amp;O356)</f>
        <v/>
      </c>
      <c r="T356" s="111" t="str">
        <f>IF(S356="","",IF(COUNTIFS(L_Sleutel,S356,L_Actief,1)=0,"",SUMIFS(L_Waarde,L_Sleutel,S356,L_Actief,1)))</f>
        <v/>
      </c>
      <c r="U356" s="111">
        <f>IF(OR(S356="",T356=""),0,P356-T356)</f>
        <v>0</v>
      </c>
      <c r="AB356" s="112" t="n">
        <v>25</v>
      </c>
      <c r="AC356" s="112" t="n">
        <v>12</v>
      </c>
      <c r="AD356" s="112" t="str">
        <f>VERW_Project!BU30</f>
        <v/>
      </c>
      <c r="AE356" s="112">
        <f>IF(AND(VERW_Project!$A30&lt;&gt;"",ISNUMBER(AD356)),1,0)</f>
        <v>0</v>
      </c>
      <c r="AF356" s="112" t="str">
        <f>IF(AE356=1,SUM($AE$8:AE356),"")</f>
        <v/>
      </c>
      <c r="AG356" t="str">
        <f>IFERROR(MATCH(349,$AF$8:$AF$1407,0),"")</f>
        <v/>
      </c>
    </row>
    <row r="357">
      <c r="A357" s="92" t="str">
        <f>IF($AG357="","",P_ImportID)</f>
        <v/>
      </c>
      <c r="B357" s="92" t="str">
        <f>IF($AG357="","",IF(INDEX($AN$8:$AN$21,INDEX($AC$8:$AC$1407,$AG357)+1)="Z",P_BronZ,P_BronE))</f>
        <v/>
      </c>
      <c r="C357" s="108" t="str">
        <f>IF($AG357="","",P_Importdatum)</f>
        <v/>
      </c>
      <c r="D357" s="92" t="str">
        <f>IF($AG357="","",P_StatusVastleg)</f>
        <v/>
      </c>
      <c r="E357" s="92" t="str">
        <f>IF($AG357="","",P_UploadVJ)</f>
        <v/>
      </c>
      <c r="F357" s="92" t="str">
        <f>IF($AG357="","",P_UploadVersie)</f>
        <v/>
      </c>
      <c r="G357" s="92" t="str">
        <f>IF($AG357="","",IF(COUNTIFS(L_Sleutel,$S357,L_Status,"Vastgesteld")=0,0,_xlfn.MAXIFS(L_Revisie,L_Sleutel,$S357,L_Status,"Vastgesteld")+1))</f>
        <v/>
      </c>
      <c r="H357" s="108" t="str">
        <f>IF($AG357="","",P_Peildatum)</f>
        <v/>
      </c>
      <c r="I357" s="92" t="str">
        <f>IF($AG357="","",P_RJ+INDEX($AK$8:$AK$21,INDEX($AC$8:$AC$1407,$AG357)+1))</f>
        <v/>
      </c>
      <c r="J357" s="92" t="str">
        <f>IF($AG357="","",INDEX(V_WBS,INDEX($AB$8:$AB$1407,$AG357)))</f>
        <v/>
      </c>
      <c r="K357" s="92" t="str">
        <f>IF($AG357="","",INDEX(V_Projdef,INDEX($AB$8:$AB$1407,$AG357)))</f>
        <v/>
      </c>
      <c r="L357" s="92" t="str">
        <f>IF($AG357="","",INDEX(V_Naam,INDEX($AB$8:$AB$1407,$AG357)))</f>
        <v/>
      </c>
      <c r="M357" s="92" t="str">
        <f>IF($AG357="","",INDEX(V_Type,INDEX($AB$8:$AB$1407,$AG357)))</f>
        <v/>
      </c>
      <c r="N357" s="92" t="str">
        <f>IF($AG357="","",INDEX(V_IFRS,INDEX($AB$8:$AB$1407,$AG357)))</f>
        <v/>
      </c>
      <c r="O357" s="92" t="str">
        <f>IF($AG357="","",INDEX($AL$8:$AL$21,INDEX($AC$8:$AC$1407,$AG357)+1))</f>
        <v/>
      </c>
      <c r="P357" s="109" t="str">
        <f>IF($AG357="","",INDEX($AD$8:$AD$1407,$AG357))</f>
        <v/>
      </c>
      <c r="Q357" s="92" t="str">
        <f>IF($AG357="","",INDEX($AM$8:$AM$21,INDEX($AC$8:$AC$1407,$AG357)+1))</f>
        <v/>
      </c>
      <c r="R357" s="92" t="str">
        <f>IF($AG357="","",IF($G357&gt;0,P_ToelCorrectie&amp;"",""))</f>
        <v/>
      </c>
      <c r="S357" s="15" t="str">
        <f>IF(J357="","",J357&amp;"|"&amp;E357&amp;"|"&amp;F357&amp;"|"&amp;I357&amp;"|"&amp;O357)</f>
        <v/>
      </c>
      <c r="T357" s="111" t="str">
        <f>IF(S357="","",IF(COUNTIFS(L_Sleutel,S357,L_Actief,1)=0,"",SUMIFS(L_Waarde,L_Sleutel,S357,L_Actief,1)))</f>
        <v/>
      </c>
      <c r="U357" s="111">
        <f>IF(OR(S357="",T357=""),0,P357-T357)</f>
        <v>0</v>
      </c>
      <c r="AB357" s="112" t="n">
        <v>25</v>
      </c>
      <c r="AC357" s="112" t="n">
        <v>13</v>
      </c>
      <c r="AD357" s="112" t="str">
        <f>VERW_Project!BX30</f>
        <v/>
      </c>
      <c r="AE357" s="112">
        <f>IF(AND(VERW_Project!$A30&lt;&gt;"",ISNUMBER(AD357)),1,0)</f>
        <v>0</v>
      </c>
      <c r="AF357" s="112" t="str">
        <f>IF(AE357=1,SUM($AE$8:AE357),"")</f>
        <v/>
      </c>
      <c r="AG357" t="str">
        <f>IFERROR(MATCH(350,$AF$8:$AF$1407,0),"")</f>
        <v/>
      </c>
    </row>
    <row r="358">
      <c r="A358" s="92" t="str">
        <f>IF($AG358="","",P_ImportID)</f>
        <v/>
      </c>
      <c r="B358" s="92" t="str">
        <f>IF($AG358="","",IF(INDEX($AN$8:$AN$21,INDEX($AC$8:$AC$1407,$AG358)+1)="Z",P_BronZ,P_BronE))</f>
        <v/>
      </c>
      <c r="C358" s="108" t="str">
        <f>IF($AG358="","",P_Importdatum)</f>
        <v/>
      </c>
      <c r="D358" s="92" t="str">
        <f>IF($AG358="","",P_StatusVastleg)</f>
        <v/>
      </c>
      <c r="E358" s="92" t="str">
        <f>IF($AG358="","",P_UploadVJ)</f>
        <v/>
      </c>
      <c r="F358" s="92" t="str">
        <f>IF($AG358="","",P_UploadVersie)</f>
        <v/>
      </c>
      <c r="G358" s="92" t="str">
        <f>IF($AG358="","",IF(COUNTIFS(L_Sleutel,$S358,L_Status,"Vastgesteld")=0,0,_xlfn.MAXIFS(L_Revisie,L_Sleutel,$S358,L_Status,"Vastgesteld")+1))</f>
        <v/>
      </c>
      <c r="H358" s="108" t="str">
        <f>IF($AG358="","",P_Peildatum)</f>
        <v/>
      </c>
      <c r="I358" s="92" t="str">
        <f>IF($AG358="","",P_RJ+INDEX($AK$8:$AK$21,INDEX($AC$8:$AC$1407,$AG358)+1))</f>
        <v/>
      </c>
      <c r="J358" s="92" t="str">
        <f>IF($AG358="","",INDEX(V_WBS,INDEX($AB$8:$AB$1407,$AG358)))</f>
        <v/>
      </c>
      <c r="K358" s="92" t="str">
        <f>IF($AG358="","",INDEX(V_Projdef,INDEX($AB$8:$AB$1407,$AG358)))</f>
        <v/>
      </c>
      <c r="L358" s="92" t="str">
        <f>IF($AG358="","",INDEX(V_Naam,INDEX($AB$8:$AB$1407,$AG358)))</f>
        <v/>
      </c>
      <c r="M358" s="92" t="str">
        <f>IF($AG358="","",INDEX(V_Type,INDEX($AB$8:$AB$1407,$AG358)))</f>
        <v/>
      </c>
      <c r="N358" s="92" t="str">
        <f>IF($AG358="","",INDEX(V_IFRS,INDEX($AB$8:$AB$1407,$AG358)))</f>
        <v/>
      </c>
      <c r="O358" s="92" t="str">
        <f>IF($AG358="","",INDEX($AL$8:$AL$21,INDEX($AC$8:$AC$1407,$AG358)+1))</f>
        <v/>
      </c>
      <c r="P358" s="109" t="str">
        <f>IF($AG358="","",INDEX($AD$8:$AD$1407,$AG358))</f>
        <v/>
      </c>
      <c r="Q358" s="92" t="str">
        <f>IF($AG358="","",INDEX($AM$8:$AM$21,INDEX($AC$8:$AC$1407,$AG358)+1))</f>
        <v/>
      </c>
      <c r="R358" s="92" t="str">
        <f>IF($AG358="","",IF($G358&gt;0,P_ToelCorrectie&amp;"",""))</f>
        <v/>
      </c>
      <c r="S358" s="15" t="str">
        <f>IF(J358="","",J358&amp;"|"&amp;E358&amp;"|"&amp;F358&amp;"|"&amp;I358&amp;"|"&amp;O358)</f>
        <v/>
      </c>
      <c r="T358" s="111" t="str">
        <f>IF(S358="","",IF(COUNTIFS(L_Sleutel,S358,L_Actief,1)=0,"",SUMIFS(L_Waarde,L_Sleutel,S358,L_Actief,1)))</f>
        <v/>
      </c>
      <c r="U358" s="111">
        <f>IF(OR(S358="",T358=""),0,P358-T358)</f>
        <v>0</v>
      </c>
      <c r="AB358" s="112" t="n">
        <v>26</v>
      </c>
      <c r="AC358" s="112" t="n">
        <v>0</v>
      </c>
      <c r="AD358" s="112" t="str">
        <f>VERW_Project!P31</f>
        <v/>
      </c>
      <c r="AE358" s="112">
        <f>IF(AND(VERW_Project!$A31&lt;&gt;"",ISNUMBER(AD358)),1,0)</f>
        <v>0</v>
      </c>
      <c r="AF358" s="112" t="str">
        <f>IF(AE358=1,SUM($AE$8:AE358),"")</f>
        <v/>
      </c>
      <c r="AG358" t="str">
        <f>IFERROR(MATCH(351,$AF$8:$AF$1407,0),"")</f>
        <v/>
      </c>
    </row>
    <row r="359">
      <c r="A359" s="92" t="str">
        <f>IF($AG359="","",P_ImportID)</f>
        <v/>
      </c>
      <c r="B359" s="92" t="str">
        <f>IF($AG359="","",IF(INDEX($AN$8:$AN$21,INDEX($AC$8:$AC$1407,$AG359)+1)="Z",P_BronZ,P_BronE))</f>
        <v/>
      </c>
      <c r="C359" s="108" t="str">
        <f>IF($AG359="","",P_Importdatum)</f>
        <v/>
      </c>
      <c r="D359" s="92" t="str">
        <f>IF($AG359="","",P_StatusVastleg)</f>
        <v/>
      </c>
      <c r="E359" s="92" t="str">
        <f>IF($AG359="","",P_UploadVJ)</f>
        <v/>
      </c>
      <c r="F359" s="92" t="str">
        <f>IF($AG359="","",P_UploadVersie)</f>
        <v/>
      </c>
      <c r="G359" s="92" t="str">
        <f>IF($AG359="","",IF(COUNTIFS(L_Sleutel,$S359,L_Status,"Vastgesteld")=0,0,_xlfn.MAXIFS(L_Revisie,L_Sleutel,$S359,L_Status,"Vastgesteld")+1))</f>
        <v/>
      </c>
      <c r="H359" s="108" t="str">
        <f>IF($AG359="","",P_Peildatum)</f>
        <v/>
      </c>
      <c r="I359" s="92" t="str">
        <f>IF($AG359="","",P_RJ+INDEX($AK$8:$AK$21,INDEX($AC$8:$AC$1407,$AG359)+1))</f>
        <v/>
      </c>
      <c r="J359" s="92" t="str">
        <f>IF($AG359="","",INDEX(V_WBS,INDEX($AB$8:$AB$1407,$AG359)))</f>
        <v/>
      </c>
      <c r="K359" s="92" t="str">
        <f>IF($AG359="","",INDEX(V_Projdef,INDEX($AB$8:$AB$1407,$AG359)))</f>
        <v/>
      </c>
      <c r="L359" s="92" t="str">
        <f>IF($AG359="","",INDEX(V_Naam,INDEX($AB$8:$AB$1407,$AG359)))</f>
        <v/>
      </c>
      <c r="M359" s="92" t="str">
        <f>IF($AG359="","",INDEX(V_Type,INDEX($AB$8:$AB$1407,$AG359)))</f>
        <v/>
      </c>
      <c r="N359" s="92" t="str">
        <f>IF($AG359="","",INDEX(V_IFRS,INDEX($AB$8:$AB$1407,$AG359)))</f>
        <v/>
      </c>
      <c r="O359" s="92" t="str">
        <f>IF($AG359="","",INDEX($AL$8:$AL$21,INDEX($AC$8:$AC$1407,$AG359)+1))</f>
        <v/>
      </c>
      <c r="P359" s="109" t="str">
        <f>IF($AG359="","",INDEX($AD$8:$AD$1407,$AG359))</f>
        <v/>
      </c>
      <c r="Q359" s="92" t="str">
        <f>IF($AG359="","",INDEX($AM$8:$AM$21,INDEX($AC$8:$AC$1407,$AG359)+1))</f>
        <v/>
      </c>
      <c r="R359" s="92" t="str">
        <f>IF($AG359="","",IF($G359&gt;0,P_ToelCorrectie&amp;"",""))</f>
        <v/>
      </c>
      <c r="S359" s="15" t="str">
        <f>IF(J359="","",J359&amp;"|"&amp;E359&amp;"|"&amp;F359&amp;"|"&amp;I359&amp;"|"&amp;O359)</f>
        <v/>
      </c>
      <c r="T359" s="111" t="str">
        <f>IF(S359="","",IF(COUNTIFS(L_Sleutel,S359,L_Actief,1)=0,"",SUMIFS(L_Waarde,L_Sleutel,S359,L_Actief,1)))</f>
        <v/>
      </c>
      <c r="U359" s="111">
        <f>IF(OR(S359="",T359=""),0,P359-T359)</f>
        <v>0</v>
      </c>
      <c r="AB359" s="112" t="n">
        <v>26</v>
      </c>
      <c r="AC359" s="112" t="n">
        <v>1</v>
      </c>
      <c r="AD359" s="112" t="str">
        <f>VERW_Project!Q31</f>
        <v/>
      </c>
      <c r="AE359" s="112">
        <f>IF(AND(VERW_Project!$A31&lt;&gt;"",ISNUMBER(AD359)),1,0)</f>
        <v>0</v>
      </c>
      <c r="AF359" s="112" t="str">
        <f>IF(AE359=1,SUM($AE$8:AE359),"")</f>
        <v/>
      </c>
      <c r="AG359" t="str">
        <f>IFERROR(MATCH(352,$AF$8:$AF$1407,0),"")</f>
        <v/>
      </c>
    </row>
    <row r="360">
      <c r="A360" s="92" t="str">
        <f>IF($AG360="","",P_ImportID)</f>
        <v/>
      </c>
      <c r="B360" s="92" t="str">
        <f>IF($AG360="","",IF(INDEX($AN$8:$AN$21,INDEX($AC$8:$AC$1407,$AG360)+1)="Z",P_BronZ,P_BronE))</f>
        <v/>
      </c>
      <c r="C360" s="108" t="str">
        <f>IF($AG360="","",P_Importdatum)</f>
        <v/>
      </c>
      <c r="D360" s="92" t="str">
        <f>IF($AG360="","",P_StatusVastleg)</f>
        <v/>
      </c>
      <c r="E360" s="92" t="str">
        <f>IF($AG360="","",P_UploadVJ)</f>
        <v/>
      </c>
      <c r="F360" s="92" t="str">
        <f>IF($AG360="","",P_UploadVersie)</f>
        <v/>
      </c>
      <c r="G360" s="92" t="str">
        <f>IF($AG360="","",IF(COUNTIFS(L_Sleutel,$S360,L_Status,"Vastgesteld")=0,0,_xlfn.MAXIFS(L_Revisie,L_Sleutel,$S360,L_Status,"Vastgesteld")+1))</f>
        <v/>
      </c>
      <c r="H360" s="108" t="str">
        <f>IF($AG360="","",P_Peildatum)</f>
        <v/>
      </c>
      <c r="I360" s="92" t="str">
        <f>IF($AG360="","",P_RJ+INDEX($AK$8:$AK$21,INDEX($AC$8:$AC$1407,$AG360)+1))</f>
        <v/>
      </c>
      <c r="J360" s="92" t="str">
        <f>IF($AG360="","",INDEX(V_WBS,INDEX($AB$8:$AB$1407,$AG360)))</f>
        <v/>
      </c>
      <c r="K360" s="92" t="str">
        <f>IF($AG360="","",INDEX(V_Projdef,INDEX($AB$8:$AB$1407,$AG360)))</f>
        <v/>
      </c>
      <c r="L360" s="92" t="str">
        <f>IF($AG360="","",INDEX(V_Naam,INDEX($AB$8:$AB$1407,$AG360)))</f>
        <v/>
      </c>
      <c r="M360" s="92" t="str">
        <f>IF($AG360="","",INDEX(V_Type,INDEX($AB$8:$AB$1407,$AG360)))</f>
        <v/>
      </c>
      <c r="N360" s="92" t="str">
        <f>IF($AG360="","",INDEX(V_IFRS,INDEX($AB$8:$AB$1407,$AG360)))</f>
        <v/>
      </c>
      <c r="O360" s="92" t="str">
        <f>IF($AG360="","",INDEX($AL$8:$AL$21,INDEX($AC$8:$AC$1407,$AG360)+1))</f>
        <v/>
      </c>
      <c r="P360" s="109" t="str">
        <f>IF($AG360="","",INDEX($AD$8:$AD$1407,$AG360))</f>
        <v/>
      </c>
      <c r="Q360" s="92" t="str">
        <f>IF($AG360="","",INDEX($AM$8:$AM$21,INDEX($AC$8:$AC$1407,$AG360)+1))</f>
        <v/>
      </c>
      <c r="R360" s="92" t="str">
        <f>IF($AG360="","",IF($G360&gt;0,P_ToelCorrectie&amp;"",""))</f>
        <v/>
      </c>
      <c r="S360" s="15" t="str">
        <f>IF(J360="","",J360&amp;"|"&amp;E360&amp;"|"&amp;F360&amp;"|"&amp;I360&amp;"|"&amp;O360)</f>
        <v/>
      </c>
      <c r="T360" s="111" t="str">
        <f>IF(S360="","",IF(COUNTIFS(L_Sleutel,S360,L_Actief,1)=0,"",SUMIFS(L_Waarde,L_Sleutel,S360,L_Actief,1)))</f>
        <v/>
      </c>
      <c r="U360" s="111">
        <f>IF(OR(S360="",T360=""),0,P360-T360)</f>
        <v>0</v>
      </c>
      <c r="AB360" s="112" t="n">
        <v>26</v>
      </c>
      <c r="AC360" s="112" t="n">
        <v>2</v>
      </c>
      <c r="AD360" s="112" t="str">
        <f>VERW_Project!L31</f>
        <v/>
      </c>
      <c r="AE360" s="112">
        <f>IF(AND(VERW_Project!$A31&lt;&gt;"",ISNUMBER(AD360)),1,0)</f>
        <v>0</v>
      </c>
      <c r="AF360" s="112" t="str">
        <f>IF(AE360=1,SUM($AE$8:AE360),"")</f>
        <v/>
      </c>
      <c r="AG360" t="str">
        <f>IFERROR(MATCH(353,$AF$8:$AF$1407,0),"")</f>
        <v/>
      </c>
    </row>
    <row r="361">
      <c r="A361" s="92" t="str">
        <f>IF($AG361="","",P_ImportID)</f>
        <v/>
      </c>
      <c r="B361" s="92" t="str">
        <f>IF($AG361="","",IF(INDEX($AN$8:$AN$21,INDEX($AC$8:$AC$1407,$AG361)+1)="Z",P_BronZ,P_BronE))</f>
        <v/>
      </c>
      <c r="C361" s="108" t="str">
        <f>IF($AG361="","",P_Importdatum)</f>
        <v/>
      </c>
      <c r="D361" s="92" t="str">
        <f>IF($AG361="","",P_StatusVastleg)</f>
        <v/>
      </c>
      <c r="E361" s="92" t="str">
        <f>IF($AG361="","",P_UploadVJ)</f>
        <v/>
      </c>
      <c r="F361" s="92" t="str">
        <f>IF($AG361="","",P_UploadVersie)</f>
        <v/>
      </c>
      <c r="G361" s="92" t="str">
        <f>IF($AG361="","",IF(COUNTIFS(L_Sleutel,$S361,L_Status,"Vastgesteld")=0,0,_xlfn.MAXIFS(L_Revisie,L_Sleutel,$S361,L_Status,"Vastgesteld")+1))</f>
        <v/>
      </c>
      <c r="H361" s="108" t="str">
        <f>IF($AG361="","",P_Peildatum)</f>
        <v/>
      </c>
      <c r="I361" s="92" t="str">
        <f>IF($AG361="","",P_RJ+INDEX($AK$8:$AK$21,INDEX($AC$8:$AC$1407,$AG361)+1))</f>
        <v/>
      </c>
      <c r="J361" s="92" t="str">
        <f>IF($AG361="","",INDEX(V_WBS,INDEX($AB$8:$AB$1407,$AG361)))</f>
        <v/>
      </c>
      <c r="K361" s="92" t="str">
        <f>IF($AG361="","",INDEX(V_Projdef,INDEX($AB$8:$AB$1407,$AG361)))</f>
        <v/>
      </c>
      <c r="L361" s="92" t="str">
        <f>IF($AG361="","",INDEX(V_Naam,INDEX($AB$8:$AB$1407,$AG361)))</f>
        <v/>
      </c>
      <c r="M361" s="92" t="str">
        <f>IF($AG361="","",INDEX(V_Type,INDEX($AB$8:$AB$1407,$AG361)))</f>
        <v/>
      </c>
      <c r="N361" s="92" t="str">
        <f>IF($AG361="","",INDEX(V_IFRS,INDEX($AB$8:$AB$1407,$AG361)))</f>
        <v/>
      </c>
      <c r="O361" s="92" t="str">
        <f>IF($AG361="","",INDEX($AL$8:$AL$21,INDEX($AC$8:$AC$1407,$AG361)+1))</f>
        <v/>
      </c>
      <c r="P361" s="109" t="str">
        <f>IF($AG361="","",INDEX($AD$8:$AD$1407,$AG361))</f>
        <v/>
      </c>
      <c r="Q361" s="92" t="str">
        <f>IF($AG361="","",INDEX($AM$8:$AM$21,INDEX($AC$8:$AC$1407,$AG361)+1))</f>
        <v/>
      </c>
      <c r="R361" s="92" t="str">
        <f>IF($AG361="","",IF($G361&gt;0,P_ToelCorrectie&amp;"",""))</f>
        <v/>
      </c>
      <c r="S361" s="15" t="str">
        <f>IF(J361="","",J361&amp;"|"&amp;E361&amp;"|"&amp;F361&amp;"|"&amp;I361&amp;"|"&amp;O361)</f>
        <v/>
      </c>
      <c r="T361" s="111" t="str">
        <f>IF(S361="","",IF(COUNTIFS(L_Sleutel,S361,L_Actief,1)=0,"",SUMIFS(L_Waarde,L_Sleutel,S361,L_Actief,1)))</f>
        <v/>
      </c>
      <c r="U361" s="111">
        <f>IF(OR(S361="",T361=""),0,P361-T361)</f>
        <v>0</v>
      </c>
      <c r="AB361" s="112" t="n">
        <v>26</v>
      </c>
      <c r="AC361" s="112" t="n">
        <v>3</v>
      </c>
      <c r="AD361" s="112" t="str">
        <f>VERW_Project!M31</f>
        <v/>
      </c>
      <c r="AE361" s="112">
        <f>IF(AND(VERW_Project!$A31&lt;&gt;"",ISNUMBER(AD361)),1,0)</f>
        <v>0</v>
      </c>
      <c r="AF361" s="112" t="str">
        <f>IF(AE361=1,SUM($AE$8:AE361),"")</f>
        <v/>
      </c>
      <c r="AG361" t="str">
        <f>IFERROR(MATCH(354,$AF$8:$AF$1407,0),"")</f>
        <v/>
      </c>
    </row>
    <row r="362">
      <c r="A362" s="92" t="str">
        <f>IF($AG362="","",P_ImportID)</f>
        <v/>
      </c>
      <c r="B362" s="92" t="str">
        <f>IF($AG362="","",IF(INDEX($AN$8:$AN$21,INDEX($AC$8:$AC$1407,$AG362)+1)="Z",P_BronZ,P_BronE))</f>
        <v/>
      </c>
      <c r="C362" s="108" t="str">
        <f>IF($AG362="","",P_Importdatum)</f>
        <v/>
      </c>
      <c r="D362" s="92" t="str">
        <f>IF($AG362="","",P_StatusVastleg)</f>
        <v/>
      </c>
      <c r="E362" s="92" t="str">
        <f>IF($AG362="","",P_UploadVJ)</f>
        <v/>
      </c>
      <c r="F362" s="92" t="str">
        <f>IF($AG362="","",P_UploadVersie)</f>
        <v/>
      </c>
      <c r="G362" s="92" t="str">
        <f>IF($AG362="","",IF(COUNTIFS(L_Sleutel,$S362,L_Status,"Vastgesteld")=0,0,_xlfn.MAXIFS(L_Revisie,L_Sleutel,$S362,L_Status,"Vastgesteld")+1))</f>
        <v/>
      </c>
      <c r="H362" s="108" t="str">
        <f>IF($AG362="","",P_Peildatum)</f>
        <v/>
      </c>
      <c r="I362" s="92" t="str">
        <f>IF($AG362="","",P_RJ+INDEX($AK$8:$AK$21,INDEX($AC$8:$AC$1407,$AG362)+1))</f>
        <v/>
      </c>
      <c r="J362" s="92" t="str">
        <f>IF($AG362="","",INDEX(V_WBS,INDEX($AB$8:$AB$1407,$AG362)))</f>
        <v/>
      </c>
      <c r="K362" s="92" t="str">
        <f>IF($AG362="","",INDEX(V_Projdef,INDEX($AB$8:$AB$1407,$AG362)))</f>
        <v/>
      </c>
      <c r="L362" s="92" t="str">
        <f>IF($AG362="","",INDEX(V_Naam,INDEX($AB$8:$AB$1407,$AG362)))</f>
        <v/>
      </c>
      <c r="M362" s="92" t="str">
        <f>IF($AG362="","",INDEX(V_Type,INDEX($AB$8:$AB$1407,$AG362)))</f>
        <v/>
      </c>
      <c r="N362" s="92" t="str">
        <f>IF($AG362="","",INDEX(V_IFRS,INDEX($AB$8:$AB$1407,$AG362)))</f>
        <v/>
      </c>
      <c r="O362" s="92" t="str">
        <f>IF($AG362="","",INDEX($AL$8:$AL$21,INDEX($AC$8:$AC$1407,$AG362)+1))</f>
        <v/>
      </c>
      <c r="P362" s="109" t="str">
        <f>IF($AG362="","",INDEX($AD$8:$AD$1407,$AG362))</f>
        <v/>
      </c>
      <c r="Q362" s="92" t="str">
        <f>IF($AG362="","",INDEX($AM$8:$AM$21,INDEX($AC$8:$AC$1407,$AG362)+1))</f>
        <v/>
      </c>
      <c r="R362" s="92" t="str">
        <f>IF($AG362="","",IF($G362&gt;0,P_ToelCorrectie&amp;"",""))</f>
        <v/>
      </c>
      <c r="S362" s="15" t="str">
        <f>IF(J362="","",J362&amp;"|"&amp;E362&amp;"|"&amp;F362&amp;"|"&amp;I362&amp;"|"&amp;O362)</f>
        <v/>
      </c>
      <c r="T362" s="111" t="str">
        <f>IF(S362="","",IF(COUNTIFS(L_Sleutel,S362,L_Actief,1)=0,"",SUMIFS(L_Waarde,L_Sleutel,S362,L_Actief,1)))</f>
        <v/>
      </c>
      <c r="U362" s="111">
        <f>IF(OR(S362="",T362=""),0,P362-T362)</f>
        <v>0</v>
      </c>
      <c r="AB362" s="112" t="n">
        <v>26</v>
      </c>
      <c r="AC362" s="112" t="n">
        <v>4</v>
      </c>
      <c r="AD362" s="112" t="str">
        <f>VERW_Project!R31</f>
        <v/>
      </c>
      <c r="AE362" s="112">
        <f>IF(AND(VERW_Project!$A31&lt;&gt;"",ISNUMBER(AD362)),1,0)</f>
        <v>0</v>
      </c>
      <c r="AF362" s="112" t="str">
        <f>IF(AE362=1,SUM($AE$8:AE362),"")</f>
        <v/>
      </c>
      <c r="AG362" t="str">
        <f>IFERROR(MATCH(355,$AF$8:$AF$1407,0),"")</f>
        <v/>
      </c>
    </row>
    <row r="363">
      <c r="A363" s="92" t="str">
        <f>IF($AG363="","",P_ImportID)</f>
        <v/>
      </c>
      <c r="B363" s="92" t="str">
        <f>IF($AG363="","",IF(INDEX($AN$8:$AN$21,INDEX($AC$8:$AC$1407,$AG363)+1)="Z",P_BronZ,P_BronE))</f>
        <v/>
      </c>
      <c r="C363" s="108" t="str">
        <f>IF($AG363="","",P_Importdatum)</f>
        <v/>
      </c>
      <c r="D363" s="92" t="str">
        <f>IF($AG363="","",P_StatusVastleg)</f>
        <v/>
      </c>
      <c r="E363" s="92" t="str">
        <f>IF($AG363="","",P_UploadVJ)</f>
        <v/>
      </c>
      <c r="F363" s="92" t="str">
        <f>IF($AG363="","",P_UploadVersie)</f>
        <v/>
      </c>
      <c r="G363" s="92" t="str">
        <f>IF($AG363="","",IF(COUNTIFS(L_Sleutel,$S363,L_Status,"Vastgesteld")=0,0,_xlfn.MAXIFS(L_Revisie,L_Sleutel,$S363,L_Status,"Vastgesteld")+1))</f>
        <v/>
      </c>
      <c r="H363" s="108" t="str">
        <f>IF($AG363="","",P_Peildatum)</f>
        <v/>
      </c>
      <c r="I363" s="92" t="str">
        <f>IF($AG363="","",P_RJ+INDEX($AK$8:$AK$21,INDEX($AC$8:$AC$1407,$AG363)+1))</f>
        <v/>
      </c>
      <c r="J363" s="92" t="str">
        <f>IF($AG363="","",INDEX(V_WBS,INDEX($AB$8:$AB$1407,$AG363)))</f>
        <v/>
      </c>
      <c r="K363" s="92" t="str">
        <f>IF($AG363="","",INDEX(V_Projdef,INDEX($AB$8:$AB$1407,$AG363)))</f>
        <v/>
      </c>
      <c r="L363" s="92" t="str">
        <f>IF($AG363="","",INDEX(V_Naam,INDEX($AB$8:$AB$1407,$AG363)))</f>
        <v/>
      </c>
      <c r="M363" s="92" t="str">
        <f>IF($AG363="","",INDEX(V_Type,INDEX($AB$8:$AB$1407,$AG363)))</f>
        <v/>
      </c>
      <c r="N363" s="92" t="str">
        <f>IF($AG363="","",INDEX(V_IFRS,INDEX($AB$8:$AB$1407,$AG363)))</f>
        <v/>
      </c>
      <c r="O363" s="92" t="str">
        <f>IF($AG363="","",INDEX($AL$8:$AL$21,INDEX($AC$8:$AC$1407,$AG363)+1))</f>
        <v/>
      </c>
      <c r="P363" s="109" t="str">
        <f>IF($AG363="","",INDEX($AD$8:$AD$1407,$AG363))</f>
        <v/>
      </c>
      <c r="Q363" s="92" t="str">
        <f>IF($AG363="","",INDEX($AM$8:$AM$21,INDEX($AC$8:$AC$1407,$AG363)+1))</f>
        <v/>
      </c>
      <c r="R363" s="92" t="str">
        <f>IF($AG363="","",IF($G363&gt;0,P_ToelCorrectie&amp;"",""))</f>
        <v/>
      </c>
      <c r="S363" s="15" t="str">
        <f>IF(J363="","",J363&amp;"|"&amp;E363&amp;"|"&amp;F363&amp;"|"&amp;I363&amp;"|"&amp;O363)</f>
        <v/>
      </c>
      <c r="T363" s="111" t="str">
        <f>IF(S363="","",IF(COUNTIFS(L_Sleutel,S363,L_Actief,1)=0,"",SUMIFS(L_Waarde,L_Sleutel,S363,L_Actief,1)))</f>
        <v/>
      </c>
      <c r="U363" s="111">
        <f>IF(OR(S363="",T363=""),0,P363-T363)</f>
        <v>0</v>
      </c>
      <c r="AB363" s="112" t="n">
        <v>26</v>
      </c>
      <c r="AC363" s="112" t="n">
        <v>5</v>
      </c>
      <c r="AD363" s="112" t="str">
        <f>VERW_Project!S31</f>
        <v/>
      </c>
      <c r="AE363" s="112">
        <f>IF(AND(VERW_Project!$A31&lt;&gt;"",ISNUMBER(AD363)),1,0)</f>
        <v>0</v>
      </c>
      <c r="AF363" s="112" t="str">
        <f>IF(AE363=1,SUM($AE$8:AE363),"")</f>
        <v/>
      </c>
      <c r="AG363" t="str">
        <f>IFERROR(MATCH(356,$AF$8:$AF$1407,0),"")</f>
        <v/>
      </c>
    </row>
    <row r="364">
      <c r="A364" s="92" t="str">
        <f>IF($AG364="","",P_ImportID)</f>
        <v/>
      </c>
      <c r="B364" s="92" t="str">
        <f>IF($AG364="","",IF(INDEX($AN$8:$AN$21,INDEX($AC$8:$AC$1407,$AG364)+1)="Z",P_BronZ,P_BronE))</f>
        <v/>
      </c>
      <c r="C364" s="108" t="str">
        <f>IF($AG364="","",P_Importdatum)</f>
        <v/>
      </c>
      <c r="D364" s="92" t="str">
        <f>IF($AG364="","",P_StatusVastleg)</f>
        <v/>
      </c>
      <c r="E364" s="92" t="str">
        <f>IF($AG364="","",P_UploadVJ)</f>
        <v/>
      </c>
      <c r="F364" s="92" t="str">
        <f>IF($AG364="","",P_UploadVersie)</f>
        <v/>
      </c>
      <c r="G364" s="92" t="str">
        <f>IF($AG364="","",IF(COUNTIFS(L_Sleutel,$S364,L_Status,"Vastgesteld")=0,0,_xlfn.MAXIFS(L_Revisie,L_Sleutel,$S364,L_Status,"Vastgesteld")+1))</f>
        <v/>
      </c>
      <c r="H364" s="108" t="str">
        <f>IF($AG364="","",P_Peildatum)</f>
        <v/>
      </c>
      <c r="I364" s="92" t="str">
        <f>IF($AG364="","",P_RJ+INDEX($AK$8:$AK$21,INDEX($AC$8:$AC$1407,$AG364)+1))</f>
        <v/>
      </c>
      <c r="J364" s="92" t="str">
        <f>IF($AG364="","",INDEX(V_WBS,INDEX($AB$8:$AB$1407,$AG364)))</f>
        <v/>
      </c>
      <c r="K364" s="92" t="str">
        <f>IF($AG364="","",INDEX(V_Projdef,INDEX($AB$8:$AB$1407,$AG364)))</f>
        <v/>
      </c>
      <c r="L364" s="92" t="str">
        <f>IF($AG364="","",INDEX(V_Naam,INDEX($AB$8:$AB$1407,$AG364)))</f>
        <v/>
      </c>
      <c r="M364" s="92" t="str">
        <f>IF($AG364="","",INDEX(V_Type,INDEX($AB$8:$AB$1407,$AG364)))</f>
        <v/>
      </c>
      <c r="N364" s="92" t="str">
        <f>IF($AG364="","",INDEX(V_IFRS,INDEX($AB$8:$AB$1407,$AG364)))</f>
        <v/>
      </c>
      <c r="O364" s="92" t="str">
        <f>IF($AG364="","",INDEX($AL$8:$AL$21,INDEX($AC$8:$AC$1407,$AG364)+1))</f>
        <v/>
      </c>
      <c r="P364" s="109" t="str">
        <f>IF($AG364="","",INDEX($AD$8:$AD$1407,$AG364))</f>
        <v/>
      </c>
      <c r="Q364" s="92" t="str">
        <f>IF($AG364="","",INDEX($AM$8:$AM$21,INDEX($AC$8:$AC$1407,$AG364)+1))</f>
        <v/>
      </c>
      <c r="R364" s="92" t="str">
        <f>IF($AG364="","",IF($G364&gt;0,P_ToelCorrectie&amp;"",""))</f>
        <v/>
      </c>
      <c r="S364" s="15" t="str">
        <f>IF(J364="","",J364&amp;"|"&amp;E364&amp;"|"&amp;F364&amp;"|"&amp;I364&amp;"|"&amp;O364)</f>
        <v/>
      </c>
      <c r="T364" s="111" t="str">
        <f>IF(S364="","",IF(COUNTIFS(L_Sleutel,S364,L_Actief,1)=0,"",SUMIFS(L_Waarde,L_Sleutel,S364,L_Actief,1)))</f>
        <v/>
      </c>
      <c r="U364" s="111">
        <f>IF(OR(S364="",T364=""),0,P364-T364)</f>
        <v>0</v>
      </c>
      <c r="AB364" s="112" t="n">
        <v>26</v>
      </c>
      <c r="AC364" s="112" t="n">
        <v>6</v>
      </c>
      <c r="AD364" s="112" t="str">
        <f>VERW_Project!BW31</f>
        <v/>
      </c>
      <c r="AE364" s="112">
        <f>IF(AND(VERW_Project!$A31&lt;&gt;"",ISNUMBER(AD364)),1,0)</f>
        <v>0</v>
      </c>
      <c r="AF364" s="112" t="str">
        <f>IF(AE364=1,SUM($AE$8:AE364),"")</f>
        <v/>
      </c>
      <c r="AG364" t="str">
        <f>IFERROR(MATCH(357,$AF$8:$AF$1407,0),"")</f>
        <v/>
      </c>
    </row>
    <row r="365">
      <c r="A365" s="92" t="str">
        <f>IF($AG365="","",P_ImportID)</f>
        <v/>
      </c>
      <c r="B365" s="92" t="str">
        <f>IF($AG365="","",IF(INDEX($AN$8:$AN$21,INDEX($AC$8:$AC$1407,$AG365)+1)="Z",P_BronZ,P_BronE))</f>
        <v/>
      </c>
      <c r="C365" s="108" t="str">
        <f>IF($AG365="","",P_Importdatum)</f>
        <v/>
      </c>
      <c r="D365" s="92" t="str">
        <f>IF($AG365="","",P_StatusVastleg)</f>
        <v/>
      </c>
      <c r="E365" s="92" t="str">
        <f>IF($AG365="","",P_UploadVJ)</f>
        <v/>
      </c>
      <c r="F365" s="92" t="str">
        <f>IF($AG365="","",P_UploadVersie)</f>
        <v/>
      </c>
      <c r="G365" s="92" t="str">
        <f>IF($AG365="","",IF(COUNTIFS(L_Sleutel,$S365,L_Status,"Vastgesteld")=0,0,_xlfn.MAXIFS(L_Revisie,L_Sleutel,$S365,L_Status,"Vastgesteld")+1))</f>
        <v/>
      </c>
      <c r="H365" s="108" t="str">
        <f>IF($AG365="","",P_Peildatum)</f>
        <v/>
      </c>
      <c r="I365" s="92" t="str">
        <f>IF($AG365="","",P_RJ+INDEX($AK$8:$AK$21,INDEX($AC$8:$AC$1407,$AG365)+1))</f>
        <v/>
      </c>
      <c r="J365" s="92" t="str">
        <f>IF($AG365="","",INDEX(V_WBS,INDEX($AB$8:$AB$1407,$AG365)))</f>
        <v/>
      </c>
      <c r="K365" s="92" t="str">
        <f>IF($AG365="","",INDEX(V_Projdef,INDEX($AB$8:$AB$1407,$AG365)))</f>
        <v/>
      </c>
      <c r="L365" s="92" t="str">
        <f>IF($AG365="","",INDEX(V_Naam,INDEX($AB$8:$AB$1407,$AG365)))</f>
        <v/>
      </c>
      <c r="M365" s="92" t="str">
        <f>IF($AG365="","",INDEX(V_Type,INDEX($AB$8:$AB$1407,$AG365)))</f>
        <v/>
      </c>
      <c r="N365" s="92" t="str">
        <f>IF($AG365="","",INDEX(V_IFRS,INDEX($AB$8:$AB$1407,$AG365)))</f>
        <v/>
      </c>
      <c r="O365" s="92" t="str">
        <f>IF($AG365="","",INDEX($AL$8:$AL$21,INDEX($AC$8:$AC$1407,$AG365)+1))</f>
        <v/>
      </c>
      <c r="P365" s="109" t="str">
        <f>IF($AG365="","",INDEX($AD$8:$AD$1407,$AG365))</f>
        <v/>
      </c>
      <c r="Q365" s="92" t="str">
        <f>IF($AG365="","",INDEX($AM$8:$AM$21,INDEX($AC$8:$AC$1407,$AG365)+1))</f>
        <v/>
      </c>
      <c r="R365" s="92" t="str">
        <f>IF($AG365="","",IF($G365&gt;0,P_ToelCorrectie&amp;"",""))</f>
        <v/>
      </c>
      <c r="S365" s="15" t="str">
        <f>IF(J365="","",J365&amp;"|"&amp;E365&amp;"|"&amp;F365&amp;"|"&amp;I365&amp;"|"&amp;O365)</f>
        <v/>
      </c>
      <c r="T365" s="111" t="str">
        <f>IF(S365="","",IF(COUNTIFS(L_Sleutel,S365,L_Actief,1)=0,"",SUMIFS(L_Waarde,L_Sleutel,S365,L_Actief,1)))</f>
        <v/>
      </c>
      <c r="U365" s="111">
        <f>IF(OR(S365="",T365=""),0,P365-T365)</f>
        <v>0</v>
      </c>
      <c r="AB365" s="112" t="n">
        <v>26</v>
      </c>
      <c r="AC365" s="112" t="n">
        <v>7</v>
      </c>
      <c r="AD365" s="112" t="str">
        <f>VERW_Project!AW31</f>
        <v/>
      </c>
      <c r="AE365" s="112">
        <f>IF(AND(VERW_Project!$A31&lt;&gt;"",ISNUMBER(AD365)),1,0)</f>
        <v>0</v>
      </c>
      <c r="AF365" s="112" t="str">
        <f>IF(AE365=1,SUM($AE$8:AE365),"")</f>
        <v/>
      </c>
      <c r="AG365" t="str">
        <f>IFERROR(MATCH(358,$AF$8:$AF$1407,0),"")</f>
        <v/>
      </c>
    </row>
    <row r="366">
      <c r="A366" s="92" t="str">
        <f>IF($AG366="","",P_ImportID)</f>
        <v/>
      </c>
      <c r="B366" s="92" t="str">
        <f>IF($AG366="","",IF(INDEX($AN$8:$AN$21,INDEX($AC$8:$AC$1407,$AG366)+1)="Z",P_BronZ,P_BronE))</f>
        <v/>
      </c>
      <c r="C366" s="108" t="str">
        <f>IF($AG366="","",P_Importdatum)</f>
        <v/>
      </c>
      <c r="D366" s="92" t="str">
        <f>IF($AG366="","",P_StatusVastleg)</f>
        <v/>
      </c>
      <c r="E366" s="92" t="str">
        <f>IF($AG366="","",P_UploadVJ)</f>
        <v/>
      </c>
      <c r="F366" s="92" t="str">
        <f>IF($AG366="","",P_UploadVersie)</f>
        <v/>
      </c>
      <c r="G366" s="92" t="str">
        <f>IF($AG366="","",IF(COUNTIFS(L_Sleutel,$S366,L_Status,"Vastgesteld")=0,0,_xlfn.MAXIFS(L_Revisie,L_Sleutel,$S366,L_Status,"Vastgesteld")+1))</f>
        <v/>
      </c>
      <c r="H366" s="108" t="str">
        <f>IF($AG366="","",P_Peildatum)</f>
        <v/>
      </c>
      <c r="I366" s="92" t="str">
        <f>IF($AG366="","",P_RJ+INDEX($AK$8:$AK$21,INDEX($AC$8:$AC$1407,$AG366)+1))</f>
        <v/>
      </c>
      <c r="J366" s="92" t="str">
        <f>IF($AG366="","",INDEX(V_WBS,INDEX($AB$8:$AB$1407,$AG366)))</f>
        <v/>
      </c>
      <c r="K366" s="92" t="str">
        <f>IF($AG366="","",INDEX(V_Projdef,INDEX($AB$8:$AB$1407,$AG366)))</f>
        <v/>
      </c>
      <c r="L366" s="92" t="str">
        <f>IF($AG366="","",INDEX(V_Naam,INDEX($AB$8:$AB$1407,$AG366)))</f>
        <v/>
      </c>
      <c r="M366" s="92" t="str">
        <f>IF($AG366="","",INDEX(V_Type,INDEX($AB$8:$AB$1407,$AG366)))</f>
        <v/>
      </c>
      <c r="N366" s="92" t="str">
        <f>IF($AG366="","",INDEX(V_IFRS,INDEX($AB$8:$AB$1407,$AG366)))</f>
        <v/>
      </c>
      <c r="O366" s="92" t="str">
        <f>IF($AG366="","",INDEX($AL$8:$AL$21,INDEX($AC$8:$AC$1407,$AG366)+1))</f>
        <v/>
      </c>
      <c r="P366" s="109" t="str">
        <f>IF($AG366="","",INDEX($AD$8:$AD$1407,$AG366))</f>
        <v/>
      </c>
      <c r="Q366" s="92" t="str">
        <f>IF($AG366="","",INDEX($AM$8:$AM$21,INDEX($AC$8:$AC$1407,$AG366)+1))</f>
        <v/>
      </c>
      <c r="R366" s="92" t="str">
        <f>IF($AG366="","",IF($G366&gt;0,P_ToelCorrectie&amp;"",""))</f>
        <v/>
      </c>
      <c r="S366" s="15" t="str">
        <f>IF(J366="","",J366&amp;"|"&amp;E366&amp;"|"&amp;F366&amp;"|"&amp;I366&amp;"|"&amp;O366)</f>
        <v/>
      </c>
      <c r="T366" s="111" t="str">
        <f>IF(S366="","",IF(COUNTIFS(L_Sleutel,S366,L_Actief,1)=0,"",SUMIFS(L_Waarde,L_Sleutel,S366,L_Actief,1)))</f>
        <v/>
      </c>
      <c r="U366" s="111">
        <f>IF(OR(S366="",T366=""),0,P366-T366)</f>
        <v>0</v>
      </c>
      <c r="AB366" s="112" t="n">
        <v>26</v>
      </c>
      <c r="AC366" s="112" t="n">
        <v>8</v>
      </c>
      <c r="AD366" s="112" t="str">
        <f>VERW_Project!BQ31</f>
        <v/>
      </c>
      <c r="AE366" s="112">
        <f>IF(AND(VERW_Project!$A31&lt;&gt;"",ISNUMBER(AD366)),1,0)</f>
        <v>0</v>
      </c>
      <c r="AF366" s="112" t="str">
        <f>IF(AE366=1,SUM($AE$8:AE366),"")</f>
        <v/>
      </c>
      <c r="AG366" t="str">
        <f>IFERROR(MATCH(359,$AF$8:$AF$1407,0),"")</f>
        <v/>
      </c>
    </row>
    <row r="367">
      <c r="A367" s="92" t="str">
        <f>IF($AG367="","",P_ImportID)</f>
        <v/>
      </c>
      <c r="B367" s="92" t="str">
        <f>IF($AG367="","",IF(INDEX($AN$8:$AN$21,INDEX($AC$8:$AC$1407,$AG367)+1)="Z",P_BronZ,P_BronE))</f>
        <v/>
      </c>
      <c r="C367" s="108" t="str">
        <f>IF($AG367="","",P_Importdatum)</f>
        <v/>
      </c>
      <c r="D367" s="92" t="str">
        <f>IF($AG367="","",P_StatusVastleg)</f>
        <v/>
      </c>
      <c r="E367" s="92" t="str">
        <f>IF($AG367="","",P_UploadVJ)</f>
        <v/>
      </c>
      <c r="F367" s="92" t="str">
        <f>IF($AG367="","",P_UploadVersie)</f>
        <v/>
      </c>
      <c r="G367" s="92" t="str">
        <f>IF($AG367="","",IF(COUNTIFS(L_Sleutel,$S367,L_Status,"Vastgesteld")=0,0,_xlfn.MAXIFS(L_Revisie,L_Sleutel,$S367,L_Status,"Vastgesteld")+1))</f>
        <v/>
      </c>
      <c r="H367" s="108" t="str">
        <f>IF($AG367="","",P_Peildatum)</f>
        <v/>
      </c>
      <c r="I367" s="92" t="str">
        <f>IF($AG367="","",P_RJ+INDEX($AK$8:$AK$21,INDEX($AC$8:$AC$1407,$AG367)+1))</f>
        <v/>
      </c>
      <c r="J367" s="92" t="str">
        <f>IF($AG367="","",INDEX(V_WBS,INDEX($AB$8:$AB$1407,$AG367)))</f>
        <v/>
      </c>
      <c r="K367" s="92" t="str">
        <f>IF($AG367="","",INDEX(V_Projdef,INDEX($AB$8:$AB$1407,$AG367)))</f>
        <v/>
      </c>
      <c r="L367" s="92" t="str">
        <f>IF($AG367="","",INDEX(V_Naam,INDEX($AB$8:$AB$1407,$AG367)))</f>
        <v/>
      </c>
      <c r="M367" s="92" t="str">
        <f>IF($AG367="","",INDEX(V_Type,INDEX($AB$8:$AB$1407,$AG367)))</f>
        <v/>
      </c>
      <c r="N367" s="92" t="str">
        <f>IF($AG367="","",INDEX(V_IFRS,INDEX($AB$8:$AB$1407,$AG367)))</f>
        <v/>
      </c>
      <c r="O367" s="92" t="str">
        <f>IF($AG367="","",INDEX($AL$8:$AL$21,INDEX($AC$8:$AC$1407,$AG367)+1))</f>
        <v/>
      </c>
      <c r="P367" s="109" t="str">
        <f>IF($AG367="","",INDEX($AD$8:$AD$1407,$AG367))</f>
        <v/>
      </c>
      <c r="Q367" s="92" t="str">
        <f>IF($AG367="","",INDEX($AM$8:$AM$21,INDEX($AC$8:$AC$1407,$AG367)+1))</f>
        <v/>
      </c>
      <c r="R367" s="92" t="str">
        <f>IF($AG367="","",IF($G367&gt;0,P_ToelCorrectie&amp;"",""))</f>
        <v/>
      </c>
      <c r="S367" s="15" t="str">
        <f>IF(J367="","",J367&amp;"|"&amp;E367&amp;"|"&amp;F367&amp;"|"&amp;I367&amp;"|"&amp;O367)</f>
        <v/>
      </c>
      <c r="T367" s="111" t="str">
        <f>IF(S367="","",IF(COUNTIFS(L_Sleutel,S367,L_Actief,1)=0,"",SUMIFS(L_Waarde,L_Sleutel,S367,L_Actief,1)))</f>
        <v/>
      </c>
      <c r="U367" s="111">
        <f>IF(OR(S367="",T367=""),0,P367-T367)</f>
        <v>0</v>
      </c>
      <c r="AB367" s="112" t="n">
        <v>26</v>
      </c>
      <c r="AC367" s="112" t="n">
        <v>9</v>
      </c>
      <c r="AD367" s="112" t="str">
        <f>VERW_Project!BR31</f>
        <v/>
      </c>
      <c r="AE367" s="112">
        <f>IF(AND(VERW_Project!$A31&lt;&gt;"",ISNUMBER(AD367)),1,0)</f>
        <v>0</v>
      </c>
      <c r="AF367" s="112" t="str">
        <f>IF(AE367=1,SUM($AE$8:AE367),"")</f>
        <v/>
      </c>
      <c r="AG367" t="str">
        <f>IFERROR(MATCH(360,$AF$8:$AF$1407,0),"")</f>
        <v/>
      </c>
    </row>
    <row r="368">
      <c r="A368" s="92" t="str">
        <f>IF($AG368="","",P_ImportID)</f>
        <v/>
      </c>
      <c r="B368" s="92" t="str">
        <f>IF($AG368="","",IF(INDEX($AN$8:$AN$21,INDEX($AC$8:$AC$1407,$AG368)+1)="Z",P_BronZ,P_BronE))</f>
        <v/>
      </c>
      <c r="C368" s="108" t="str">
        <f>IF($AG368="","",P_Importdatum)</f>
        <v/>
      </c>
      <c r="D368" s="92" t="str">
        <f>IF($AG368="","",P_StatusVastleg)</f>
        <v/>
      </c>
      <c r="E368" s="92" t="str">
        <f>IF($AG368="","",P_UploadVJ)</f>
        <v/>
      </c>
      <c r="F368" s="92" t="str">
        <f>IF($AG368="","",P_UploadVersie)</f>
        <v/>
      </c>
      <c r="G368" s="92" t="str">
        <f>IF($AG368="","",IF(COUNTIFS(L_Sleutel,$S368,L_Status,"Vastgesteld")=0,0,_xlfn.MAXIFS(L_Revisie,L_Sleutel,$S368,L_Status,"Vastgesteld")+1))</f>
        <v/>
      </c>
      <c r="H368" s="108" t="str">
        <f>IF($AG368="","",P_Peildatum)</f>
        <v/>
      </c>
      <c r="I368" s="92" t="str">
        <f>IF($AG368="","",P_RJ+INDEX($AK$8:$AK$21,INDEX($AC$8:$AC$1407,$AG368)+1))</f>
        <v/>
      </c>
      <c r="J368" s="92" t="str">
        <f>IF($AG368="","",INDEX(V_WBS,INDEX($AB$8:$AB$1407,$AG368)))</f>
        <v/>
      </c>
      <c r="K368" s="92" t="str">
        <f>IF($AG368="","",INDEX(V_Projdef,INDEX($AB$8:$AB$1407,$AG368)))</f>
        <v/>
      </c>
      <c r="L368" s="92" t="str">
        <f>IF($AG368="","",INDEX(V_Naam,INDEX($AB$8:$AB$1407,$AG368)))</f>
        <v/>
      </c>
      <c r="M368" s="92" t="str">
        <f>IF($AG368="","",INDEX(V_Type,INDEX($AB$8:$AB$1407,$AG368)))</f>
        <v/>
      </c>
      <c r="N368" s="92" t="str">
        <f>IF($AG368="","",INDEX(V_IFRS,INDEX($AB$8:$AB$1407,$AG368)))</f>
        <v/>
      </c>
      <c r="O368" s="92" t="str">
        <f>IF($AG368="","",INDEX($AL$8:$AL$21,INDEX($AC$8:$AC$1407,$AG368)+1))</f>
        <v/>
      </c>
      <c r="P368" s="109" t="str">
        <f>IF($AG368="","",INDEX($AD$8:$AD$1407,$AG368))</f>
        <v/>
      </c>
      <c r="Q368" s="92" t="str">
        <f>IF($AG368="","",INDEX($AM$8:$AM$21,INDEX($AC$8:$AC$1407,$AG368)+1))</f>
        <v/>
      </c>
      <c r="R368" s="92" t="str">
        <f>IF($AG368="","",IF($G368&gt;0,P_ToelCorrectie&amp;"",""))</f>
        <v/>
      </c>
      <c r="S368" s="15" t="str">
        <f>IF(J368="","",J368&amp;"|"&amp;E368&amp;"|"&amp;F368&amp;"|"&amp;I368&amp;"|"&amp;O368)</f>
        <v/>
      </c>
      <c r="T368" s="111" t="str">
        <f>IF(S368="","",IF(COUNTIFS(L_Sleutel,S368,L_Actief,1)=0,"",SUMIFS(L_Waarde,L_Sleutel,S368,L_Actief,1)))</f>
        <v/>
      </c>
      <c r="U368" s="111">
        <f>IF(OR(S368="",T368=""),0,P368-T368)</f>
        <v>0</v>
      </c>
      <c r="AB368" s="112" t="n">
        <v>26</v>
      </c>
      <c r="AC368" s="112" t="n">
        <v>10</v>
      </c>
      <c r="AD368" s="112" t="str">
        <f>VERW_Project!BS31</f>
        <v/>
      </c>
      <c r="AE368" s="112">
        <f>IF(AND(VERW_Project!$A31&lt;&gt;"",ISNUMBER(AD368)),1,0)</f>
        <v>0</v>
      </c>
      <c r="AF368" s="112" t="str">
        <f>IF(AE368=1,SUM($AE$8:AE368),"")</f>
        <v/>
      </c>
      <c r="AG368" t="str">
        <f>IFERROR(MATCH(361,$AF$8:$AF$1407,0),"")</f>
        <v/>
      </c>
    </row>
    <row r="369">
      <c r="A369" s="92" t="str">
        <f>IF($AG369="","",P_ImportID)</f>
        <v/>
      </c>
      <c r="B369" s="92" t="str">
        <f>IF($AG369="","",IF(INDEX($AN$8:$AN$21,INDEX($AC$8:$AC$1407,$AG369)+1)="Z",P_BronZ,P_BronE))</f>
        <v/>
      </c>
      <c r="C369" s="108" t="str">
        <f>IF($AG369="","",P_Importdatum)</f>
        <v/>
      </c>
      <c r="D369" s="92" t="str">
        <f>IF($AG369="","",P_StatusVastleg)</f>
        <v/>
      </c>
      <c r="E369" s="92" t="str">
        <f>IF($AG369="","",P_UploadVJ)</f>
        <v/>
      </c>
      <c r="F369" s="92" t="str">
        <f>IF($AG369="","",P_UploadVersie)</f>
        <v/>
      </c>
      <c r="G369" s="92" t="str">
        <f>IF($AG369="","",IF(COUNTIFS(L_Sleutel,$S369,L_Status,"Vastgesteld")=0,0,_xlfn.MAXIFS(L_Revisie,L_Sleutel,$S369,L_Status,"Vastgesteld")+1))</f>
        <v/>
      </c>
      <c r="H369" s="108" t="str">
        <f>IF($AG369="","",P_Peildatum)</f>
        <v/>
      </c>
      <c r="I369" s="92" t="str">
        <f>IF($AG369="","",P_RJ+INDEX($AK$8:$AK$21,INDEX($AC$8:$AC$1407,$AG369)+1))</f>
        <v/>
      </c>
      <c r="J369" s="92" t="str">
        <f>IF($AG369="","",INDEX(V_WBS,INDEX($AB$8:$AB$1407,$AG369)))</f>
        <v/>
      </c>
      <c r="K369" s="92" t="str">
        <f>IF($AG369="","",INDEX(V_Projdef,INDEX($AB$8:$AB$1407,$AG369)))</f>
        <v/>
      </c>
      <c r="L369" s="92" t="str">
        <f>IF($AG369="","",INDEX(V_Naam,INDEX($AB$8:$AB$1407,$AG369)))</f>
        <v/>
      </c>
      <c r="M369" s="92" t="str">
        <f>IF($AG369="","",INDEX(V_Type,INDEX($AB$8:$AB$1407,$AG369)))</f>
        <v/>
      </c>
      <c r="N369" s="92" t="str">
        <f>IF($AG369="","",INDEX(V_IFRS,INDEX($AB$8:$AB$1407,$AG369)))</f>
        <v/>
      </c>
      <c r="O369" s="92" t="str">
        <f>IF($AG369="","",INDEX($AL$8:$AL$21,INDEX($AC$8:$AC$1407,$AG369)+1))</f>
        <v/>
      </c>
      <c r="P369" s="109" t="str">
        <f>IF($AG369="","",INDEX($AD$8:$AD$1407,$AG369))</f>
        <v/>
      </c>
      <c r="Q369" s="92" t="str">
        <f>IF($AG369="","",INDEX($AM$8:$AM$21,INDEX($AC$8:$AC$1407,$AG369)+1))</f>
        <v/>
      </c>
      <c r="R369" s="92" t="str">
        <f>IF($AG369="","",IF($G369&gt;0,P_ToelCorrectie&amp;"",""))</f>
        <v/>
      </c>
      <c r="S369" s="15" t="str">
        <f>IF(J369="","",J369&amp;"|"&amp;E369&amp;"|"&amp;F369&amp;"|"&amp;I369&amp;"|"&amp;O369)</f>
        <v/>
      </c>
      <c r="T369" s="111" t="str">
        <f>IF(S369="","",IF(COUNTIFS(L_Sleutel,S369,L_Actief,1)=0,"",SUMIFS(L_Waarde,L_Sleutel,S369,L_Actief,1)))</f>
        <v/>
      </c>
      <c r="U369" s="111">
        <f>IF(OR(S369="",T369=""),0,P369-T369)</f>
        <v>0</v>
      </c>
      <c r="AB369" s="112" t="n">
        <v>26</v>
      </c>
      <c r="AC369" s="112" t="n">
        <v>11</v>
      </c>
      <c r="AD369" s="112" t="str">
        <f>VERW_Project!BT31</f>
        <v/>
      </c>
      <c r="AE369" s="112">
        <f>IF(AND(VERW_Project!$A31&lt;&gt;"",ISNUMBER(AD369)),1,0)</f>
        <v>0</v>
      </c>
      <c r="AF369" s="112" t="str">
        <f>IF(AE369=1,SUM($AE$8:AE369),"")</f>
        <v/>
      </c>
      <c r="AG369" t="str">
        <f>IFERROR(MATCH(362,$AF$8:$AF$1407,0),"")</f>
        <v/>
      </c>
    </row>
    <row r="370">
      <c r="A370" s="92" t="str">
        <f>IF($AG370="","",P_ImportID)</f>
        <v/>
      </c>
      <c r="B370" s="92" t="str">
        <f>IF($AG370="","",IF(INDEX($AN$8:$AN$21,INDEX($AC$8:$AC$1407,$AG370)+1)="Z",P_BronZ,P_BronE))</f>
        <v/>
      </c>
      <c r="C370" s="108" t="str">
        <f>IF($AG370="","",P_Importdatum)</f>
        <v/>
      </c>
      <c r="D370" s="92" t="str">
        <f>IF($AG370="","",P_StatusVastleg)</f>
        <v/>
      </c>
      <c r="E370" s="92" t="str">
        <f>IF($AG370="","",P_UploadVJ)</f>
        <v/>
      </c>
      <c r="F370" s="92" t="str">
        <f>IF($AG370="","",P_UploadVersie)</f>
        <v/>
      </c>
      <c r="G370" s="92" t="str">
        <f>IF($AG370="","",IF(COUNTIFS(L_Sleutel,$S370,L_Status,"Vastgesteld")=0,0,_xlfn.MAXIFS(L_Revisie,L_Sleutel,$S370,L_Status,"Vastgesteld")+1))</f>
        <v/>
      </c>
      <c r="H370" s="108" t="str">
        <f>IF($AG370="","",P_Peildatum)</f>
        <v/>
      </c>
      <c r="I370" s="92" t="str">
        <f>IF($AG370="","",P_RJ+INDEX($AK$8:$AK$21,INDEX($AC$8:$AC$1407,$AG370)+1))</f>
        <v/>
      </c>
      <c r="J370" s="92" t="str">
        <f>IF($AG370="","",INDEX(V_WBS,INDEX($AB$8:$AB$1407,$AG370)))</f>
        <v/>
      </c>
      <c r="K370" s="92" t="str">
        <f>IF($AG370="","",INDEX(V_Projdef,INDEX($AB$8:$AB$1407,$AG370)))</f>
        <v/>
      </c>
      <c r="L370" s="92" t="str">
        <f>IF($AG370="","",INDEX(V_Naam,INDEX($AB$8:$AB$1407,$AG370)))</f>
        <v/>
      </c>
      <c r="M370" s="92" t="str">
        <f>IF($AG370="","",INDEX(V_Type,INDEX($AB$8:$AB$1407,$AG370)))</f>
        <v/>
      </c>
      <c r="N370" s="92" t="str">
        <f>IF($AG370="","",INDEX(V_IFRS,INDEX($AB$8:$AB$1407,$AG370)))</f>
        <v/>
      </c>
      <c r="O370" s="92" t="str">
        <f>IF($AG370="","",INDEX($AL$8:$AL$21,INDEX($AC$8:$AC$1407,$AG370)+1))</f>
        <v/>
      </c>
      <c r="P370" s="109" t="str">
        <f>IF($AG370="","",INDEX($AD$8:$AD$1407,$AG370))</f>
        <v/>
      </c>
      <c r="Q370" s="92" t="str">
        <f>IF($AG370="","",INDEX($AM$8:$AM$21,INDEX($AC$8:$AC$1407,$AG370)+1))</f>
        <v/>
      </c>
      <c r="R370" s="92" t="str">
        <f>IF($AG370="","",IF($G370&gt;0,P_ToelCorrectie&amp;"",""))</f>
        <v/>
      </c>
      <c r="S370" s="15" t="str">
        <f>IF(J370="","",J370&amp;"|"&amp;E370&amp;"|"&amp;F370&amp;"|"&amp;I370&amp;"|"&amp;O370)</f>
        <v/>
      </c>
      <c r="T370" s="111" t="str">
        <f>IF(S370="","",IF(COUNTIFS(L_Sleutel,S370,L_Actief,1)=0,"",SUMIFS(L_Waarde,L_Sleutel,S370,L_Actief,1)))</f>
        <v/>
      </c>
      <c r="U370" s="111">
        <f>IF(OR(S370="",T370=""),0,P370-T370)</f>
        <v>0</v>
      </c>
      <c r="AB370" s="112" t="n">
        <v>26</v>
      </c>
      <c r="AC370" s="112" t="n">
        <v>12</v>
      </c>
      <c r="AD370" s="112" t="str">
        <f>VERW_Project!BU31</f>
        <v/>
      </c>
      <c r="AE370" s="112">
        <f>IF(AND(VERW_Project!$A31&lt;&gt;"",ISNUMBER(AD370)),1,0)</f>
        <v>0</v>
      </c>
      <c r="AF370" s="112" t="str">
        <f>IF(AE370=1,SUM($AE$8:AE370),"")</f>
        <v/>
      </c>
      <c r="AG370" t="str">
        <f>IFERROR(MATCH(363,$AF$8:$AF$1407,0),"")</f>
        <v/>
      </c>
    </row>
    <row r="371">
      <c r="A371" s="92" t="str">
        <f>IF($AG371="","",P_ImportID)</f>
        <v/>
      </c>
      <c r="B371" s="92" t="str">
        <f>IF($AG371="","",IF(INDEX($AN$8:$AN$21,INDEX($AC$8:$AC$1407,$AG371)+1)="Z",P_BronZ,P_BronE))</f>
        <v/>
      </c>
      <c r="C371" s="108" t="str">
        <f>IF($AG371="","",P_Importdatum)</f>
        <v/>
      </c>
      <c r="D371" s="92" t="str">
        <f>IF($AG371="","",P_StatusVastleg)</f>
        <v/>
      </c>
      <c r="E371" s="92" t="str">
        <f>IF($AG371="","",P_UploadVJ)</f>
        <v/>
      </c>
      <c r="F371" s="92" t="str">
        <f>IF($AG371="","",P_UploadVersie)</f>
        <v/>
      </c>
      <c r="G371" s="92" t="str">
        <f>IF($AG371="","",IF(COUNTIFS(L_Sleutel,$S371,L_Status,"Vastgesteld")=0,0,_xlfn.MAXIFS(L_Revisie,L_Sleutel,$S371,L_Status,"Vastgesteld")+1))</f>
        <v/>
      </c>
      <c r="H371" s="108" t="str">
        <f>IF($AG371="","",P_Peildatum)</f>
        <v/>
      </c>
      <c r="I371" s="92" t="str">
        <f>IF($AG371="","",P_RJ+INDEX($AK$8:$AK$21,INDEX($AC$8:$AC$1407,$AG371)+1))</f>
        <v/>
      </c>
      <c r="J371" s="92" t="str">
        <f>IF($AG371="","",INDEX(V_WBS,INDEX($AB$8:$AB$1407,$AG371)))</f>
        <v/>
      </c>
      <c r="K371" s="92" t="str">
        <f>IF($AG371="","",INDEX(V_Projdef,INDEX($AB$8:$AB$1407,$AG371)))</f>
        <v/>
      </c>
      <c r="L371" s="92" t="str">
        <f>IF($AG371="","",INDEX(V_Naam,INDEX($AB$8:$AB$1407,$AG371)))</f>
        <v/>
      </c>
      <c r="M371" s="92" t="str">
        <f>IF($AG371="","",INDEX(V_Type,INDEX($AB$8:$AB$1407,$AG371)))</f>
        <v/>
      </c>
      <c r="N371" s="92" t="str">
        <f>IF($AG371="","",INDEX(V_IFRS,INDEX($AB$8:$AB$1407,$AG371)))</f>
        <v/>
      </c>
      <c r="O371" s="92" t="str">
        <f>IF($AG371="","",INDEX($AL$8:$AL$21,INDEX($AC$8:$AC$1407,$AG371)+1))</f>
        <v/>
      </c>
      <c r="P371" s="109" t="str">
        <f>IF($AG371="","",INDEX($AD$8:$AD$1407,$AG371))</f>
        <v/>
      </c>
      <c r="Q371" s="92" t="str">
        <f>IF($AG371="","",INDEX($AM$8:$AM$21,INDEX($AC$8:$AC$1407,$AG371)+1))</f>
        <v/>
      </c>
      <c r="R371" s="92" t="str">
        <f>IF($AG371="","",IF($G371&gt;0,P_ToelCorrectie&amp;"",""))</f>
        <v/>
      </c>
      <c r="S371" s="15" t="str">
        <f>IF(J371="","",J371&amp;"|"&amp;E371&amp;"|"&amp;F371&amp;"|"&amp;I371&amp;"|"&amp;O371)</f>
        <v/>
      </c>
      <c r="T371" s="111" t="str">
        <f>IF(S371="","",IF(COUNTIFS(L_Sleutel,S371,L_Actief,1)=0,"",SUMIFS(L_Waarde,L_Sleutel,S371,L_Actief,1)))</f>
        <v/>
      </c>
      <c r="U371" s="111">
        <f>IF(OR(S371="",T371=""),0,P371-T371)</f>
        <v>0</v>
      </c>
      <c r="AB371" s="112" t="n">
        <v>26</v>
      </c>
      <c r="AC371" s="112" t="n">
        <v>13</v>
      </c>
      <c r="AD371" s="112" t="str">
        <f>VERW_Project!BX31</f>
        <v/>
      </c>
      <c r="AE371" s="112">
        <f>IF(AND(VERW_Project!$A31&lt;&gt;"",ISNUMBER(AD371)),1,0)</f>
        <v>0</v>
      </c>
      <c r="AF371" s="112" t="str">
        <f>IF(AE371=1,SUM($AE$8:AE371),"")</f>
        <v/>
      </c>
      <c r="AG371" t="str">
        <f>IFERROR(MATCH(364,$AF$8:$AF$1407,0),"")</f>
        <v/>
      </c>
    </row>
    <row r="372">
      <c r="A372" s="92" t="str">
        <f>IF($AG372="","",P_ImportID)</f>
        <v/>
      </c>
      <c r="B372" s="92" t="str">
        <f>IF($AG372="","",IF(INDEX($AN$8:$AN$21,INDEX($AC$8:$AC$1407,$AG372)+1)="Z",P_BronZ,P_BronE))</f>
        <v/>
      </c>
      <c r="C372" s="108" t="str">
        <f>IF($AG372="","",P_Importdatum)</f>
        <v/>
      </c>
      <c r="D372" s="92" t="str">
        <f>IF($AG372="","",P_StatusVastleg)</f>
        <v/>
      </c>
      <c r="E372" s="92" t="str">
        <f>IF($AG372="","",P_UploadVJ)</f>
        <v/>
      </c>
      <c r="F372" s="92" t="str">
        <f>IF($AG372="","",P_UploadVersie)</f>
        <v/>
      </c>
      <c r="G372" s="92" t="str">
        <f>IF($AG372="","",IF(COUNTIFS(L_Sleutel,$S372,L_Status,"Vastgesteld")=0,0,_xlfn.MAXIFS(L_Revisie,L_Sleutel,$S372,L_Status,"Vastgesteld")+1))</f>
        <v/>
      </c>
      <c r="H372" s="108" t="str">
        <f>IF($AG372="","",P_Peildatum)</f>
        <v/>
      </c>
      <c r="I372" s="92" t="str">
        <f>IF($AG372="","",P_RJ+INDEX($AK$8:$AK$21,INDEX($AC$8:$AC$1407,$AG372)+1))</f>
        <v/>
      </c>
      <c r="J372" s="92" t="str">
        <f>IF($AG372="","",INDEX(V_WBS,INDEX($AB$8:$AB$1407,$AG372)))</f>
        <v/>
      </c>
      <c r="K372" s="92" t="str">
        <f>IF($AG372="","",INDEX(V_Projdef,INDEX($AB$8:$AB$1407,$AG372)))</f>
        <v/>
      </c>
      <c r="L372" s="92" t="str">
        <f>IF($AG372="","",INDEX(V_Naam,INDEX($AB$8:$AB$1407,$AG372)))</f>
        <v/>
      </c>
      <c r="M372" s="92" t="str">
        <f>IF($AG372="","",INDEX(V_Type,INDEX($AB$8:$AB$1407,$AG372)))</f>
        <v/>
      </c>
      <c r="N372" s="92" t="str">
        <f>IF($AG372="","",INDEX(V_IFRS,INDEX($AB$8:$AB$1407,$AG372)))</f>
        <v/>
      </c>
      <c r="O372" s="92" t="str">
        <f>IF($AG372="","",INDEX($AL$8:$AL$21,INDEX($AC$8:$AC$1407,$AG372)+1))</f>
        <v/>
      </c>
      <c r="P372" s="109" t="str">
        <f>IF($AG372="","",INDEX($AD$8:$AD$1407,$AG372))</f>
        <v/>
      </c>
      <c r="Q372" s="92" t="str">
        <f>IF($AG372="","",INDEX($AM$8:$AM$21,INDEX($AC$8:$AC$1407,$AG372)+1))</f>
        <v/>
      </c>
      <c r="R372" s="92" t="str">
        <f>IF($AG372="","",IF($G372&gt;0,P_ToelCorrectie&amp;"",""))</f>
        <v/>
      </c>
      <c r="S372" s="15" t="str">
        <f>IF(J372="","",J372&amp;"|"&amp;E372&amp;"|"&amp;F372&amp;"|"&amp;I372&amp;"|"&amp;O372)</f>
        <v/>
      </c>
      <c r="T372" s="111" t="str">
        <f>IF(S372="","",IF(COUNTIFS(L_Sleutel,S372,L_Actief,1)=0,"",SUMIFS(L_Waarde,L_Sleutel,S372,L_Actief,1)))</f>
        <v/>
      </c>
      <c r="U372" s="111">
        <f>IF(OR(S372="",T372=""),0,P372-T372)</f>
        <v>0</v>
      </c>
      <c r="AB372" s="112" t="n">
        <v>27</v>
      </c>
      <c r="AC372" s="112" t="n">
        <v>0</v>
      </c>
      <c r="AD372" s="112" t="str">
        <f>VERW_Project!P32</f>
        <v/>
      </c>
      <c r="AE372" s="112">
        <f>IF(AND(VERW_Project!$A32&lt;&gt;"",ISNUMBER(AD372)),1,0)</f>
        <v>0</v>
      </c>
      <c r="AF372" s="112" t="str">
        <f>IF(AE372=1,SUM($AE$8:AE372),"")</f>
        <v/>
      </c>
      <c r="AG372" t="str">
        <f>IFERROR(MATCH(365,$AF$8:$AF$1407,0),"")</f>
        <v/>
      </c>
    </row>
    <row r="373">
      <c r="A373" s="92" t="str">
        <f>IF($AG373="","",P_ImportID)</f>
        <v/>
      </c>
      <c r="B373" s="92" t="str">
        <f>IF($AG373="","",IF(INDEX($AN$8:$AN$21,INDEX($AC$8:$AC$1407,$AG373)+1)="Z",P_BronZ,P_BronE))</f>
        <v/>
      </c>
      <c r="C373" s="108" t="str">
        <f>IF($AG373="","",P_Importdatum)</f>
        <v/>
      </c>
      <c r="D373" s="92" t="str">
        <f>IF($AG373="","",P_StatusVastleg)</f>
        <v/>
      </c>
      <c r="E373" s="92" t="str">
        <f>IF($AG373="","",P_UploadVJ)</f>
        <v/>
      </c>
      <c r="F373" s="92" t="str">
        <f>IF($AG373="","",P_UploadVersie)</f>
        <v/>
      </c>
      <c r="G373" s="92" t="str">
        <f>IF($AG373="","",IF(COUNTIFS(L_Sleutel,$S373,L_Status,"Vastgesteld")=0,0,_xlfn.MAXIFS(L_Revisie,L_Sleutel,$S373,L_Status,"Vastgesteld")+1))</f>
        <v/>
      </c>
      <c r="H373" s="108" t="str">
        <f>IF($AG373="","",P_Peildatum)</f>
        <v/>
      </c>
      <c r="I373" s="92" t="str">
        <f>IF($AG373="","",P_RJ+INDEX($AK$8:$AK$21,INDEX($AC$8:$AC$1407,$AG373)+1))</f>
        <v/>
      </c>
      <c r="J373" s="92" t="str">
        <f>IF($AG373="","",INDEX(V_WBS,INDEX($AB$8:$AB$1407,$AG373)))</f>
        <v/>
      </c>
      <c r="K373" s="92" t="str">
        <f>IF($AG373="","",INDEX(V_Projdef,INDEX($AB$8:$AB$1407,$AG373)))</f>
        <v/>
      </c>
      <c r="L373" s="92" t="str">
        <f>IF($AG373="","",INDEX(V_Naam,INDEX($AB$8:$AB$1407,$AG373)))</f>
        <v/>
      </c>
      <c r="M373" s="92" t="str">
        <f>IF($AG373="","",INDEX(V_Type,INDEX($AB$8:$AB$1407,$AG373)))</f>
        <v/>
      </c>
      <c r="N373" s="92" t="str">
        <f>IF($AG373="","",INDEX(V_IFRS,INDEX($AB$8:$AB$1407,$AG373)))</f>
        <v/>
      </c>
      <c r="O373" s="92" t="str">
        <f>IF($AG373="","",INDEX($AL$8:$AL$21,INDEX($AC$8:$AC$1407,$AG373)+1))</f>
        <v/>
      </c>
      <c r="P373" s="109" t="str">
        <f>IF($AG373="","",INDEX($AD$8:$AD$1407,$AG373))</f>
        <v/>
      </c>
      <c r="Q373" s="92" t="str">
        <f>IF($AG373="","",INDEX($AM$8:$AM$21,INDEX($AC$8:$AC$1407,$AG373)+1))</f>
        <v/>
      </c>
      <c r="R373" s="92" t="str">
        <f>IF($AG373="","",IF($G373&gt;0,P_ToelCorrectie&amp;"",""))</f>
        <v/>
      </c>
      <c r="S373" s="15" t="str">
        <f>IF(J373="","",J373&amp;"|"&amp;E373&amp;"|"&amp;F373&amp;"|"&amp;I373&amp;"|"&amp;O373)</f>
        <v/>
      </c>
      <c r="T373" s="111" t="str">
        <f>IF(S373="","",IF(COUNTIFS(L_Sleutel,S373,L_Actief,1)=0,"",SUMIFS(L_Waarde,L_Sleutel,S373,L_Actief,1)))</f>
        <v/>
      </c>
      <c r="U373" s="111">
        <f>IF(OR(S373="",T373=""),0,P373-T373)</f>
        <v>0</v>
      </c>
      <c r="AB373" s="112" t="n">
        <v>27</v>
      </c>
      <c r="AC373" s="112" t="n">
        <v>1</v>
      </c>
      <c r="AD373" s="112" t="str">
        <f>VERW_Project!Q32</f>
        <v/>
      </c>
      <c r="AE373" s="112">
        <f>IF(AND(VERW_Project!$A32&lt;&gt;"",ISNUMBER(AD373)),1,0)</f>
        <v>0</v>
      </c>
      <c r="AF373" s="112" t="str">
        <f>IF(AE373=1,SUM($AE$8:AE373),"")</f>
        <v/>
      </c>
      <c r="AG373" t="str">
        <f>IFERROR(MATCH(366,$AF$8:$AF$1407,0),"")</f>
        <v/>
      </c>
    </row>
    <row r="374">
      <c r="A374" s="92" t="str">
        <f>IF($AG374="","",P_ImportID)</f>
        <v/>
      </c>
      <c r="B374" s="92" t="str">
        <f>IF($AG374="","",IF(INDEX($AN$8:$AN$21,INDEX($AC$8:$AC$1407,$AG374)+1)="Z",P_BronZ,P_BronE))</f>
        <v/>
      </c>
      <c r="C374" s="108" t="str">
        <f>IF($AG374="","",P_Importdatum)</f>
        <v/>
      </c>
      <c r="D374" s="92" t="str">
        <f>IF($AG374="","",P_StatusVastleg)</f>
        <v/>
      </c>
      <c r="E374" s="92" t="str">
        <f>IF($AG374="","",P_UploadVJ)</f>
        <v/>
      </c>
      <c r="F374" s="92" t="str">
        <f>IF($AG374="","",P_UploadVersie)</f>
        <v/>
      </c>
      <c r="G374" s="92" t="str">
        <f>IF($AG374="","",IF(COUNTIFS(L_Sleutel,$S374,L_Status,"Vastgesteld")=0,0,_xlfn.MAXIFS(L_Revisie,L_Sleutel,$S374,L_Status,"Vastgesteld")+1))</f>
        <v/>
      </c>
      <c r="H374" s="108" t="str">
        <f>IF($AG374="","",P_Peildatum)</f>
        <v/>
      </c>
      <c r="I374" s="92" t="str">
        <f>IF($AG374="","",P_RJ+INDEX($AK$8:$AK$21,INDEX($AC$8:$AC$1407,$AG374)+1))</f>
        <v/>
      </c>
      <c r="J374" s="92" t="str">
        <f>IF($AG374="","",INDEX(V_WBS,INDEX($AB$8:$AB$1407,$AG374)))</f>
        <v/>
      </c>
      <c r="K374" s="92" t="str">
        <f>IF($AG374="","",INDEX(V_Projdef,INDEX($AB$8:$AB$1407,$AG374)))</f>
        <v/>
      </c>
      <c r="L374" s="92" t="str">
        <f>IF($AG374="","",INDEX(V_Naam,INDEX($AB$8:$AB$1407,$AG374)))</f>
        <v/>
      </c>
      <c r="M374" s="92" t="str">
        <f>IF($AG374="","",INDEX(V_Type,INDEX($AB$8:$AB$1407,$AG374)))</f>
        <v/>
      </c>
      <c r="N374" s="92" t="str">
        <f>IF($AG374="","",INDEX(V_IFRS,INDEX($AB$8:$AB$1407,$AG374)))</f>
        <v/>
      </c>
      <c r="O374" s="92" t="str">
        <f>IF($AG374="","",INDEX($AL$8:$AL$21,INDEX($AC$8:$AC$1407,$AG374)+1))</f>
        <v/>
      </c>
      <c r="P374" s="109" t="str">
        <f>IF($AG374="","",INDEX($AD$8:$AD$1407,$AG374))</f>
        <v/>
      </c>
      <c r="Q374" s="92" t="str">
        <f>IF($AG374="","",INDEX($AM$8:$AM$21,INDEX($AC$8:$AC$1407,$AG374)+1))</f>
        <v/>
      </c>
      <c r="R374" s="92" t="str">
        <f>IF($AG374="","",IF($G374&gt;0,P_ToelCorrectie&amp;"",""))</f>
        <v/>
      </c>
      <c r="S374" s="15" t="str">
        <f>IF(J374="","",J374&amp;"|"&amp;E374&amp;"|"&amp;F374&amp;"|"&amp;I374&amp;"|"&amp;O374)</f>
        <v/>
      </c>
      <c r="T374" s="111" t="str">
        <f>IF(S374="","",IF(COUNTIFS(L_Sleutel,S374,L_Actief,1)=0,"",SUMIFS(L_Waarde,L_Sleutel,S374,L_Actief,1)))</f>
        <v/>
      </c>
      <c r="U374" s="111">
        <f>IF(OR(S374="",T374=""),0,P374-T374)</f>
        <v>0</v>
      </c>
      <c r="AB374" s="112" t="n">
        <v>27</v>
      </c>
      <c r="AC374" s="112" t="n">
        <v>2</v>
      </c>
      <c r="AD374" s="112" t="str">
        <f>VERW_Project!L32</f>
        <v/>
      </c>
      <c r="AE374" s="112">
        <f>IF(AND(VERW_Project!$A32&lt;&gt;"",ISNUMBER(AD374)),1,0)</f>
        <v>0</v>
      </c>
      <c r="AF374" s="112" t="str">
        <f>IF(AE374=1,SUM($AE$8:AE374),"")</f>
        <v/>
      </c>
      <c r="AG374" t="str">
        <f>IFERROR(MATCH(367,$AF$8:$AF$1407,0),"")</f>
        <v/>
      </c>
    </row>
    <row r="375">
      <c r="A375" s="92" t="str">
        <f>IF($AG375="","",P_ImportID)</f>
        <v/>
      </c>
      <c r="B375" s="92" t="str">
        <f>IF($AG375="","",IF(INDEX($AN$8:$AN$21,INDEX($AC$8:$AC$1407,$AG375)+1)="Z",P_BronZ,P_BronE))</f>
        <v/>
      </c>
      <c r="C375" s="108" t="str">
        <f>IF($AG375="","",P_Importdatum)</f>
        <v/>
      </c>
      <c r="D375" s="92" t="str">
        <f>IF($AG375="","",P_StatusVastleg)</f>
        <v/>
      </c>
      <c r="E375" s="92" t="str">
        <f>IF($AG375="","",P_UploadVJ)</f>
        <v/>
      </c>
      <c r="F375" s="92" t="str">
        <f>IF($AG375="","",P_UploadVersie)</f>
        <v/>
      </c>
      <c r="G375" s="92" t="str">
        <f>IF($AG375="","",IF(COUNTIFS(L_Sleutel,$S375,L_Status,"Vastgesteld")=0,0,_xlfn.MAXIFS(L_Revisie,L_Sleutel,$S375,L_Status,"Vastgesteld")+1))</f>
        <v/>
      </c>
      <c r="H375" s="108" t="str">
        <f>IF($AG375="","",P_Peildatum)</f>
        <v/>
      </c>
      <c r="I375" s="92" t="str">
        <f>IF($AG375="","",P_RJ+INDEX($AK$8:$AK$21,INDEX($AC$8:$AC$1407,$AG375)+1))</f>
        <v/>
      </c>
      <c r="J375" s="92" t="str">
        <f>IF($AG375="","",INDEX(V_WBS,INDEX($AB$8:$AB$1407,$AG375)))</f>
        <v/>
      </c>
      <c r="K375" s="92" t="str">
        <f>IF($AG375="","",INDEX(V_Projdef,INDEX($AB$8:$AB$1407,$AG375)))</f>
        <v/>
      </c>
      <c r="L375" s="92" t="str">
        <f>IF($AG375="","",INDEX(V_Naam,INDEX($AB$8:$AB$1407,$AG375)))</f>
        <v/>
      </c>
      <c r="M375" s="92" t="str">
        <f>IF($AG375="","",INDEX(V_Type,INDEX($AB$8:$AB$1407,$AG375)))</f>
        <v/>
      </c>
      <c r="N375" s="92" t="str">
        <f>IF($AG375="","",INDEX(V_IFRS,INDEX($AB$8:$AB$1407,$AG375)))</f>
        <v/>
      </c>
      <c r="O375" s="92" t="str">
        <f>IF($AG375="","",INDEX($AL$8:$AL$21,INDEX($AC$8:$AC$1407,$AG375)+1))</f>
        <v/>
      </c>
      <c r="P375" s="109" t="str">
        <f>IF($AG375="","",INDEX($AD$8:$AD$1407,$AG375))</f>
        <v/>
      </c>
      <c r="Q375" s="92" t="str">
        <f>IF($AG375="","",INDEX($AM$8:$AM$21,INDEX($AC$8:$AC$1407,$AG375)+1))</f>
        <v/>
      </c>
      <c r="R375" s="92" t="str">
        <f>IF($AG375="","",IF($G375&gt;0,P_ToelCorrectie&amp;"",""))</f>
        <v/>
      </c>
      <c r="S375" s="15" t="str">
        <f>IF(J375="","",J375&amp;"|"&amp;E375&amp;"|"&amp;F375&amp;"|"&amp;I375&amp;"|"&amp;O375)</f>
        <v/>
      </c>
      <c r="T375" s="111" t="str">
        <f>IF(S375="","",IF(COUNTIFS(L_Sleutel,S375,L_Actief,1)=0,"",SUMIFS(L_Waarde,L_Sleutel,S375,L_Actief,1)))</f>
        <v/>
      </c>
      <c r="U375" s="111">
        <f>IF(OR(S375="",T375=""),0,P375-T375)</f>
        <v>0</v>
      </c>
      <c r="AB375" s="112" t="n">
        <v>27</v>
      </c>
      <c r="AC375" s="112" t="n">
        <v>3</v>
      </c>
      <c r="AD375" s="112" t="str">
        <f>VERW_Project!M32</f>
        <v/>
      </c>
      <c r="AE375" s="112">
        <f>IF(AND(VERW_Project!$A32&lt;&gt;"",ISNUMBER(AD375)),1,0)</f>
        <v>0</v>
      </c>
      <c r="AF375" s="112" t="str">
        <f>IF(AE375=1,SUM($AE$8:AE375),"")</f>
        <v/>
      </c>
      <c r="AG375" t="str">
        <f>IFERROR(MATCH(368,$AF$8:$AF$1407,0),"")</f>
        <v/>
      </c>
    </row>
    <row r="376">
      <c r="A376" s="92" t="str">
        <f>IF($AG376="","",P_ImportID)</f>
        <v/>
      </c>
      <c r="B376" s="92" t="str">
        <f>IF($AG376="","",IF(INDEX($AN$8:$AN$21,INDEX($AC$8:$AC$1407,$AG376)+1)="Z",P_BronZ,P_BronE))</f>
        <v/>
      </c>
      <c r="C376" s="108" t="str">
        <f>IF($AG376="","",P_Importdatum)</f>
        <v/>
      </c>
      <c r="D376" s="92" t="str">
        <f>IF($AG376="","",P_StatusVastleg)</f>
        <v/>
      </c>
      <c r="E376" s="92" t="str">
        <f>IF($AG376="","",P_UploadVJ)</f>
        <v/>
      </c>
      <c r="F376" s="92" t="str">
        <f>IF($AG376="","",P_UploadVersie)</f>
        <v/>
      </c>
      <c r="G376" s="92" t="str">
        <f>IF($AG376="","",IF(COUNTIFS(L_Sleutel,$S376,L_Status,"Vastgesteld")=0,0,_xlfn.MAXIFS(L_Revisie,L_Sleutel,$S376,L_Status,"Vastgesteld")+1))</f>
        <v/>
      </c>
      <c r="H376" s="108" t="str">
        <f>IF($AG376="","",P_Peildatum)</f>
        <v/>
      </c>
      <c r="I376" s="92" t="str">
        <f>IF($AG376="","",P_RJ+INDEX($AK$8:$AK$21,INDEX($AC$8:$AC$1407,$AG376)+1))</f>
        <v/>
      </c>
      <c r="J376" s="92" t="str">
        <f>IF($AG376="","",INDEX(V_WBS,INDEX($AB$8:$AB$1407,$AG376)))</f>
        <v/>
      </c>
      <c r="K376" s="92" t="str">
        <f>IF($AG376="","",INDEX(V_Projdef,INDEX($AB$8:$AB$1407,$AG376)))</f>
        <v/>
      </c>
      <c r="L376" s="92" t="str">
        <f>IF($AG376="","",INDEX(V_Naam,INDEX($AB$8:$AB$1407,$AG376)))</f>
        <v/>
      </c>
      <c r="M376" s="92" t="str">
        <f>IF($AG376="","",INDEX(V_Type,INDEX($AB$8:$AB$1407,$AG376)))</f>
        <v/>
      </c>
      <c r="N376" s="92" t="str">
        <f>IF($AG376="","",INDEX(V_IFRS,INDEX($AB$8:$AB$1407,$AG376)))</f>
        <v/>
      </c>
      <c r="O376" s="92" t="str">
        <f>IF($AG376="","",INDEX($AL$8:$AL$21,INDEX($AC$8:$AC$1407,$AG376)+1))</f>
        <v/>
      </c>
      <c r="P376" s="109" t="str">
        <f>IF($AG376="","",INDEX($AD$8:$AD$1407,$AG376))</f>
        <v/>
      </c>
      <c r="Q376" s="92" t="str">
        <f>IF($AG376="","",INDEX($AM$8:$AM$21,INDEX($AC$8:$AC$1407,$AG376)+1))</f>
        <v/>
      </c>
      <c r="R376" s="92" t="str">
        <f>IF($AG376="","",IF($G376&gt;0,P_ToelCorrectie&amp;"",""))</f>
        <v/>
      </c>
      <c r="S376" s="15" t="str">
        <f>IF(J376="","",J376&amp;"|"&amp;E376&amp;"|"&amp;F376&amp;"|"&amp;I376&amp;"|"&amp;O376)</f>
        <v/>
      </c>
      <c r="T376" s="111" t="str">
        <f>IF(S376="","",IF(COUNTIFS(L_Sleutel,S376,L_Actief,1)=0,"",SUMIFS(L_Waarde,L_Sleutel,S376,L_Actief,1)))</f>
        <v/>
      </c>
      <c r="U376" s="111">
        <f>IF(OR(S376="",T376=""),0,P376-T376)</f>
        <v>0</v>
      </c>
      <c r="AB376" s="112" t="n">
        <v>27</v>
      </c>
      <c r="AC376" s="112" t="n">
        <v>4</v>
      </c>
      <c r="AD376" s="112" t="str">
        <f>VERW_Project!R32</f>
        <v/>
      </c>
      <c r="AE376" s="112">
        <f>IF(AND(VERW_Project!$A32&lt;&gt;"",ISNUMBER(AD376)),1,0)</f>
        <v>0</v>
      </c>
      <c r="AF376" s="112" t="str">
        <f>IF(AE376=1,SUM($AE$8:AE376),"")</f>
        <v/>
      </c>
      <c r="AG376" t="str">
        <f>IFERROR(MATCH(369,$AF$8:$AF$1407,0),"")</f>
        <v/>
      </c>
    </row>
    <row r="377">
      <c r="A377" s="92" t="str">
        <f>IF($AG377="","",P_ImportID)</f>
        <v/>
      </c>
      <c r="B377" s="92" t="str">
        <f>IF($AG377="","",IF(INDEX($AN$8:$AN$21,INDEX($AC$8:$AC$1407,$AG377)+1)="Z",P_BronZ,P_BronE))</f>
        <v/>
      </c>
      <c r="C377" s="108" t="str">
        <f>IF($AG377="","",P_Importdatum)</f>
        <v/>
      </c>
      <c r="D377" s="92" t="str">
        <f>IF($AG377="","",P_StatusVastleg)</f>
        <v/>
      </c>
      <c r="E377" s="92" t="str">
        <f>IF($AG377="","",P_UploadVJ)</f>
        <v/>
      </c>
      <c r="F377" s="92" t="str">
        <f>IF($AG377="","",P_UploadVersie)</f>
        <v/>
      </c>
      <c r="G377" s="92" t="str">
        <f>IF($AG377="","",IF(COUNTIFS(L_Sleutel,$S377,L_Status,"Vastgesteld")=0,0,_xlfn.MAXIFS(L_Revisie,L_Sleutel,$S377,L_Status,"Vastgesteld")+1))</f>
        <v/>
      </c>
      <c r="H377" s="108" t="str">
        <f>IF($AG377="","",P_Peildatum)</f>
        <v/>
      </c>
      <c r="I377" s="92" t="str">
        <f>IF($AG377="","",P_RJ+INDEX($AK$8:$AK$21,INDEX($AC$8:$AC$1407,$AG377)+1))</f>
        <v/>
      </c>
      <c r="J377" s="92" t="str">
        <f>IF($AG377="","",INDEX(V_WBS,INDEX($AB$8:$AB$1407,$AG377)))</f>
        <v/>
      </c>
      <c r="K377" s="92" t="str">
        <f>IF($AG377="","",INDEX(V_Projdef,INDEX($AB$8:$AB$1407,$AG377)))</f>
        <v/>
      </c>
      <c r="L377" s="92" t="str">
        <f>IF($AG377="","",INDEX(V_Naam,INDEX($AB$8:$AB$1407,$AG377)))</f>
        <v/>
      </c>
      <c r="M377" s="92" t="str">
        <f>IF($AG377="","",INDEX(V_Type,INDEX($AB$8:$AB$1407,$AG377)))</f>
        <v/>
      </c>
      <c r="N377" s="92" t="str">
        <f>IF($AG377="","",INDEX(V_IFRS,INDEX($AB$8:$AB$1407,$AG377)))</f>
        <v/>
      </c>
      <c r="O377" s="92" t="str">
        <f>IF($AG377="","",INDEX($AL$8:$AL$21,INDEX($AC$8:$AC$1407,$AG377)+1))</f>
        <v/>
      </c>
      <c r="P377" s="109" t="str">
        <f>IF($AG377="","",INDEX($AD$8:$AD$1407,$AG377))</f>
        <v/>
      </c>
      <c r="Q377" s="92" t="str">
        <f>IF($AG377="","",INDEX($AM$8:$AM$21,INDEX($AC$8:$AC$1407,$AG377)+1))</f>
        <v/>
      </c>
      <c r="R377" s="92" t="str">
        <f>IF($AG377="","",IF($G377&gt;0,P_ToelCorrectie&amp;"",""))</f>
        <v/>
      </c>
      <c r="S377" s="15" t="str">
        <f>IF(J377="","",J377&amp;"|"&amp;E377&amp;"|"&amp;F377&amp;"|"&amp;I377&amp;"|"&amp;O377)</f>
        <v/>
      </c>
      <c r="T377" s="111" t="str">
        <f>IF(S377="","",IF(COUNTIFS(L_Sleutel,S377,L_Actief,1)=0,"",SUMIFS(L_Waarde,L_Sleutel,S377,L_Actief,1)))</f>
        <v/>
      </c>
      <c r="U377" s="111">
        <f>IF(OR(S377="",T377=""),0,P377-T377)</f>
        <v>0</v>
      </c>
      <c r="AB377" s="112" t="n">
        <v>27</v>
      </c>
      <c r="AC377" s="112" t="n">
        <v>5</v>
      </c>
      <c r="AD377" s="112" t="str">
        <f>VERW_Project!S32</f>
        <v/>
      </c>
      <c r="AE377" s="112">
        <f>IF(AND(VERW_Project!$A32&lt;&gt;"",ISNUMBER(AD377)),1,0)</f>
        <v>0</v>
      </c>
      <c r="AF377" s="112" t="str">
        <f>IF(AE377=1,SUM($AE$8:AE377),"")</f>
        <v/>
      </c>
      <c r="AG377" t="str">
        <f>IFERROR(MATCH(370,$AF$8:$AF$1407,0),"")</f>
        <v/>
      </c>
    </row>
    <row r="378">
      <c r="A378" s="92" t="str">
        <f>IF($AG378="","",P_ImportID)</f>
        <v/>
      </c>
      <c r="B378" s="92" t="str">
        <f>IF($AG378="","",IF(INDEX($AN$8:$AN$21,INDEX($AC$8:$AC$1407,$AG378)+1)="Z",P_BronZ,P_BronE))</f>
        <v/>
      </c>
      <c r="C378" s="108" t="str">
        <f>IF($AG378="","",P_Importdatum)</f>
        <v/>
      </c>
      <c r="D378" s="92" t="str">
        <f>IF($AG378="","",P_StatusVastleg)</f>
        <v/>
      </c>
      <c r="E378" s="92" t="str">
        <f>IF($AG378="","",P_UploadVJ)</f>
        <v/>
      </c>
      <c r="F378" s="92" t="str">
        <f>IF($AG378="","",P_UploadVersie)</f>
        <v/>
      </c>
      <c r="G378" s="92" t="str">
        <f>IF($AG378="","",IF(COUNTIFS(L_Sleutel,$S378,L_Status,"Vastgesteld")=0,0,_xlfn.MAXIFS(L_Revisie,L_Sleutel,$S378,L_Status,"Vastgesteld")+1))</f>
        <v/>
      </c>
      <c r="H378" s="108" t="str">
        <f>IF($AG378="","",P_Peildatum)</f>
        <v/>
      </c>
      <c r="I378" s="92" t="str">
        <f>IF($AG378="","",P_RJ+INDEX($AK$8:$AK$21,INDEX($AC$8:$AC$1407,$AG378)+1))</f>
        <v/>
      </c>
      <c r="J378" s="92" t="str">
        <f>IF($AG378="","",INDEX(V_WBS,INDEX($AB$8:$AB$1407,$AG378)))</f>
        <v/>
      </c>
      <c r="K378" s="92" t="str">
        <f>IF($AG378="","",INDEX(V_Projdef,INDEX($AB$8:$AB$1407,$AG378)))</f>
        <v/>
      </c>
      <c r="L378" s="92" t="str">
        <f>IF($AG378="","",INDEX(V_Naam,INDEX($AB$8:$AB$1407,$AG378)))</f>
        <v/>
      </c>
      <c r="M378" s="92" t="str">
        <f>IF($AG378="","",INDEX(V_Type,INDEX($AB$8:$AB$1407,$AG378)))</f>
        <v/>
      </c>
      <c r="N378" s="92" t="str">
        <f>IF($AG378="","",INDEX(V_IFRS,INDEX($AB$8:$AB$1407,$AG378)))</f>
        <v/>
      </c>
      <c r="O378" s="92" t="str">
        <f>IF($AG378="","",INDEX($AL$8:$AL$21,INDEX($AC$8:$AC$1407,$AG378)+1))</f>
        <v/>
      </c>
      <c r="P378" s="109" t="str">
        <f>IF($AG378="","",INDEX($AD$8:$AD$1407,$AG378))</f>
        <v/>
      </c>
      <c r="Q378" s="92" t="str">
        <f>IF($AG378="","",INDEX($AM$8:$AM$21,INDEX($AC$8:$AC$1407,$AG378)+1))</f>
        <v/>
      </c>
      <c r="R378" s="92" t="str">
        <f>IF($AG378="","",IF($G378&gt;0,P_ToelCorrectie&amp;"",""))</f>
        <v/>
      </c>
      <c r="S378" s="15" t="str">
        <f>IF(J378="","",J378&amp;"|"&amp;E378&amp;"|"&amp;F378&amp;"|"&amp;I378&amp;"|"&amp;O378)</f>
        <v/>
      </c>
      <c r="T378" s="111" t="str">
        <f>IF(S378="","",IF(COUNTIFS(L_Sleutel,S378,L_Actief,1)=0,"",SUMIFS(L_Waarde,L_Sleutel,S378,L_Actief,1)))</f>
        <v/>
      </c>
      <c r="U378" s="111">
        <f>IF(OR(S378="",T378=""),0,P378-T378)</f>
        <v>0</v>
      </c>
      <c r="AB378" s="112" t="n">
        <v>27</v>
      </c>
      <c r="AC378" s="112" t="n">
        <v>6</v>
      </c>
      <c r="AD378" s="112" t="str">
        <f>VERW_Project!BW32</f>
        <v/>
      </c>
      <c r="AE378" s="112">
        <f>IF(AND(VERW_Project!$A32&lt;&gt;"",ISNUMBER(AD378)),1,0)</f>
        <v>0</v>
      </c>
      <c r="AF378" s="112" t="str">
        <f>IF(AE378=1,SUM($AE$8:AE378),"")</f>
        <v/>
      </c>
      <c r="AG378" t="str">
        <f>IFERROR(MATCH(371,$AF$8:$AF$1407,0),"")</f>
        <v/>
      </c>
    </row>
    <row r="379">
      <c r="A379" s="92" t="str">
        <f>IF($AG379="","",P_ImportID)</f>
        <v/>
      </c>
      <c r="B379" s="92" t="str">
        <f>IF($AG379="","",IF(INDEX($AN$8:$AN$21,INDEX($AC$8:$AC$1407,$AG379)+1)="Z",P_BronZ,P_BronE))</f>
        <v/>
      </c>
      <c r="C379" s="108" t="str">
        <f>IF($AG379="","",P_Importdatum)</f>
        <v/>
      </c>
      <c r="D379" s="92" t="str">
        <f>IF($AG379="","",P_StatusVastleg)</f>
        <v/>
      </c>
      <c r="E379" s="92" t="str">
        <f>IF($AG379="","",P_UploadVJ)</f>
        <v/>
      </c>
      <c r="F379" s="92" t="str">
        <f>IF($AG379="","",P_UploadVersie)</f>
        <v/>
      </c>
      <c r="G379" s="92" t="str">
        <f>IF($AG379="","",IF(COUNTIFS(L_Sleutel,$S379,L_Status,"Vastgesteld")=0,0,_xlfn.MAXIFS(L_Revisie,L_Sleutel,$S379,L_Status,"Vastgesteld")+1))</f>
        <v/>
      </c>
      <c r="H379" s="108" t="str">
        <f>IF($AG379="","",P_Peildatum)</f>
        <v/>
      </c>
      <c r="I379" s="92" t="str">
        <f>IF($AG379="","",P_RJ+INDEX($AK$8:$AK$21,INDEX($AC$8:$AC$1407,$AG379)+1))</f>
        <v/>
      </c>
      <c r="J379" s="92" t="str">
        <f>IF($AG379="","",INDEX(V_WBS,INDEX($AB$8:$AB$1407,$AG379)))</f>
        <v/>
      </c>
      <c r="K379" s="92" t="str">
        <f>IF($AG379="","",INDEX(V_Projdef,INDEX($AB$8:$AB$1407,$AG379)))</f>
        <v/>
      </c>
      <c r="L379" s="92" t="str">
        <f>IF($AG379="","",INDEX(V_Naam,INDEX($AB$8:$AB$1407,$AG379)))</f>
        <v/>
      </c>
      <c r="M379" s="92" t="str">
        <f>IF($AG379="","",INDEX(V_Type,INDEX($AB$8:$AB$1407,$AG379)))</f>
        <v/>
      </c>
      <c r="N379" s="92" t="str">
        <f>IF($AG379="","",INDEX(V_IFRS,INDEX($AB$8:$AB$1407,$AG379)))</f>
        <v/>
      </c>
      <c r="O379" s="92" t="str">
        <f>IF($AG379="","",INDEX($AL$8:$AL$21,INDEX($AC$8:$AC$1407,$AG379)+1))</f>
        <v/>
      </c>
      <c r="P379" s="109" t="str">
        <f>IF($AG379="","",INDEX($AD$8:$AD$1407,$AG379))</f>
        <v/>
      </c>
      <c r="Q379" s="92" t="str">
        <f>IF($AG379="","",INDEX($AM$8:$AM$21,INDEX($AC$8:$AC$1407,$AG379)+1))</f>
        <v/>
      </c>
      <c r="R379" s="92" t="str">
        <f>IF($AG379="","",IF($G379&gt;0,P_ToelCorrectie&amp;"",""))</f>
        <v/>
      </c>
      <c r="S379" s="15" t="str">
        <f>IF(J379="","",J379&amp;"|"&amp;E379&amp;"|"&amp;F379&amp;"|"&amp;I379&amp;"|"&amp;O379)</f>
        <v/>
      </c>
      <c r="T379" s="111" t="str">
        <f>IF(S379="","",IF(COUNTIFS(L_Sleutel,S379,L_Actief,1)=0,"",SUMIFS(L_Waarde,L_Sleutel,S379,L_Actief,1)))</f>
        <v/>
      </c>
      <c r="U379" s="111">
        <f>IF(OR(S379="",T379=""),0,P379-T379)</f>
        <v>0</v>
      </c>
      <c r="AB379" s="112" t="n">
        <v>27</v>
      </c>
      <c r="AC379" s="112" t="n">
        <v>7</v>
      </c>
      <c r="AD379" s="112" t="str">
        <f>VERW_Project!AW32</f>
        <v/>
      </c>
      <c r="AE379" s="112">
        <f>IF(AND(VERW_Project!$A32&lt;&gt;"",ISNUMBER(AD379)),1,0)</f>
        <v>0</v>
      </c>
      <c r="AF379" s="112" t="str">
        <f>IF(AE379=1,SUM($AE$8:AE379),"")</f>
        <v/>
      </c>
      <c r="AG379" t="str">
        <f>IFERROR(MATCH(372,$AF$8:$AF$1407,0),"")</f>
        <v/>
      </c>
    </row>
    <row r="380">
      <c r="A380" s="92" t="str">
        <f>IF($AG380="","",P_ImportID)</f>
        <v/>
      </c>
      <c r="B380" s="92" t="str">
        <f>IF($AG380="","",IF(INDEX($AN$8:$AN$21,INDEX($AC$8:$AC$1407,$AG380)+1)="Z",P_BronZ,P_BronE))</f>
        <v/>
      </c>
      <c r="C380" s="108" t="str">
        <f>IF($AG380="","",P_Importdatum)</f>
        <v/>
      </c>
      <c r="D380" s="92" t="str">
        <f>IF($AG380="","",P_StatusVastleg)</f>
        <v/>
      </c>
      <c r="E380" s="92" t="str">
        <f>IF($AG380="","",P_UploadVJ)</f>
        <v/>
      </c>
      <c r="F380" s="92" t="str">
        <f>IF($AG380="","",P_UploadVersie)</f>
        <v/>
      </c>
      <c r="G380" s="92" t="str">
        <f>IF($AG380="","",IF(COUNTIFS(L_Sleutel,$S380,L_Status,"Vastgesteld")=0,0,_xlfn.MAXIFS(L_Revisie,L_Sleutel,$S380,L_Status,"Vastgesteld")+1))</f>
        <v/>
      </c>
      <c r="H380" s="108" t="str">
        <f>IF($AG380="","",P_Peildatum)</f>
        <v/>
      </c>
      <c r="I380" s="92" t="str">
        <f>IF($AG380="","",P_RJ+INDEX($AK$8:$AK$21,INDEX($AC$8:$AC$1407,$AG380)+1))</f>
        <v/>
      </c>
      <c r="J380" s="92" t="str">
        <f>IF($AG380="","",INDEX(V_WBS,INDEX($AB$8:$AB$1407,$AG380)))</f>
        <v/>
      </c>
      <c r="K380" s="92" t="str">
        <f>IF($AG380="","",INDEX(V_Projdef,INDEX($AB$8:$AB$1407,$AG380)))</f>
        <v/>
      </c>
      <c r="L380" s="92" t="str">
        <f>IF($AG380="","",INDEX(V_Naam,INDEX($AB$8:$AB$1407,$AG380)))</f>
        <v/>
      </c>
      <c r="M380" s="92" t="str">
        <f>IF($AG380="","",INDEX(V_Type,INDEX($AB$8:$AB$1407,$AG380)))</f>
        <v/>
      </c>
      <c r="N380" s="92" t="str">
        <f>IF($AG380="","",INDEX(V_IFRS,INDEX($AB$8:$AB$1407,$AG380)))</f>
        <v/>
      </c>
      <c r="O380" s="92" t="str">
        <f>IF($AG380="","",INDEX($AL$8:$AL$21,INDEX($AC$8:$AC$1407,$AG380)+1))</f>
        <v/>
      </c>
      <c r="P380" s="109" t="str">
        <f>IF($AG380="","",INDEX($AD$8:$AD$1407,$AG380))</f>
        <v/>
      </c>
      <c r="Q380" s="92" t="str">
        <f>IF($AG380="","",INDEX($AM$8:$AM$21,INDEX($AC$8:$AC$1407,$AG380)+1))</f>
        <v/>
      </c>
      <c r="R380" s="92" t="str">
        <f>IF($AG380="","",IF($G380&gt;0,P_ToelCorrectie&amp;"",""))</f>
        <v/>
      </c>
      <c r="S380" s="15" t="str">
        <f>IF(J380="","",J380&amp;"|"&amp;E380&amp;"|"&amp;F380&amp;"|"&amp;I380&amp;"|"&amp;O380)</f>
        <v/>
      </c>
      <c r="T380" s="111" t="str">
        <f>IF(S380="","",IF(COUNTIFS(L_Sleutel,S380,L_Actief,1)=0,"",SUMIFS(L_Waarde,L_Sleutel,S380,L_Actief,1)))</f>
        <v/>
      </c>
      <c r="U380" s="111">
        <f>IF(OR(S380="",T380=""),0,P380-T380)</f>
        <v>0</v>
      </c>
      <c r="AB380" s="112" t="n">
        <v>27</v>
      </c>
      <c r="AC380" s="112" t="n">
        <v>8</v>
      </c>
      <c r="AD380" s="112" t="str">
        <f>VERW_Project!BQ32</f>
        <v/>
      </c>
      <c r="AE380" s="112">
        <f>IF(AND(VERW_Project!$A32&lt;&gt;"",ISNUMBER(AD380)),1,0)</f>
        <v>0</v>
      </c>
      <c r="AF380" s="112" t="str">
        <f>IF(AE380=1,SUM($AE$8:AE380),"")</f>
        <v/>
      </c>
      <c r="AG380" t="str">
        <f>IFERROR(MATCH(373,$AF$8:$AF$1407,0),"")</f>
        <v/>
      </c>
    </row>
    <row r="381">
      <c r="A381" s="92" t="str">
        <f>IF($AG381="","",P_ImportID)</f>
        <v/>
      </c>
      <c r="B381" s="92" t="str">
        <f>IF($AG381="","",IF(INDEX($AN$8:$AN$21,INDEX($AC$8:$AC$1407,$AG381)+1)="Z",P_BronZ,P_BronE))</f>
        <v/>
      </c>
      <c r="C381" s="108" t="str">
        <f>IF($AG381="","",P_Importdatum)</f>
        <v/>
      </c>
      <c r="D381" s="92" t="str">
        <f>IF($AG381="","",P_StatusVastleg)</f>
        <v/>
      </c>
      <c r="E381" s="92" t="str">
        <f>IF($AG381="","",P_UploadVJ)</f>
        <v/>
      </c>
      <c r="F381" s="92" t="str">
        <f>IF($AG381="","",P_UploadVersie)</f>
        <v/>
      </c>
      <c r="G381" s="92" t="str">
        <f>IF($AG381="","",IF(COUNTIFS(L_Sleutel,$S381,L_Status,"Vastgesteld")=0,0,_xlfn.MAXIFS(L_Revisie,L_Sleutel,$S381,L_Status,"Vastgesteld")+1))</f>
        <v/>
      </c>
      <c r="H381" s="108" t="str">
        <f>IF($AG381="","",P_Peildatum)</f>
        <v/>
      </c>
      <c r="I381" s="92" t="str">
        <f>IF($AG381="","",P_RJ+INDEX($AK$8:$AK$21,INDEX($AC$8:$AC$1407,$AG381)+1))</f>
        <v/>
      </c>
      <c r="J381" s="92" t="str">
        <f>IF($AG381="","",INDEX(V_WBS,INDEX($AB$8:$AB$1407,$AG381)))</f>
        <v/>
      </c>
      <c r="K381" s="92" t="str">
        <f>IF($AG381="","",INDEX(V_Projdef,INDEX($AB$8:$AB$1407,$AG381)))</f>
        <v/>
      </c>
      <c r="L381" s="92" t="str">
        <f>IF($AG381="","",INDEX(V_Naam,INDEX($AB$8:$AB$1407,$AG381)))</f>
        <v/>
      </c>
      <c r="M381" s="92" t="str">
        <f>IF($AG381="","",INDEX(V_Type,INDEX($AB$8:$AB$1407,$AG381)))</f>
        <v/>
      </c>
      <c r="N381" s="92" t="str">
        <f>IF($AG381="","",INDEX(V_IFRS,INDEX($AB$8:$AB$1407,$AG381)))</f>
        <v/>
      </c>
      <c r="O381" s="92" t="str">
        <f>IF($AG381="","",INDEX($AL$8:$AL$21,INDEX($AC$8:$AC$1407,$AG381)+1))</f>
        <v/>
      </c>
      <c r="P381" s="109" t="str">
        <f>IF($AG381="","",INDEX($AD$8:$AD$1407,$AG381))</f>
        <v/>
      </c>
      <c r="Q381" s="92" t="str">
        <f>IF($AG381="","",INDEX($AM$8:$AM$21,INDEX($AC$8:$AC$1407,$AG381)+1))</f>
        <v/>
      </c>
      <c r="R381" s="92" t="str">
        <f>IF($AG381="","",IF($G381&gt;0,P_ToelCorrectie&amp;"",""))</f>
        <v/>
      </c>
      <c r="S381" s="15" t="str">
        <f>IF(J381="","",J381&amp;"|"&amp;E381&amp;"|"&amp;F381&amp;"|"&amp;I381&amp;"|"&amp;O381)</f>
        <v/>
      </c>
      <c r="T381" s="111" t="str">
        <f>IF(S381="","",IF(COUNTIFS(L_Sleutel,S381,L_Actief,1)=0,"",SUMIFS(L_Waarde,L_Sleutel,S381,L_Actief,1)))</f>
        <v/>
      </c>
      <c r="U381" s="111">
        <f>IF(OR(S381="",T381=""),0,P381-T381)</f>
        <v>0</v>
      </c>
      <c r="AB381" s="112" t="n">
        <v>27</v>
      </c>
      <c r="AC381" s="112" t="n">
        <v>9</v>
      </c>
      <c r="AD381" s="112" t="str">
        <f>VERW_Project!BR32</f>
        <v/>
      </c>
      <c r="AE381" s="112">
        <f>IF(AND(VERW_Project!$A32&lt;&gt;"",ISNUMBER(AD381)),1,0)</f>
        <v>0</v>
      </c>
      <c r="AF381" s="112" t="str">
        <f>IF(AE381=1,SUM($AE$8:AE381),"")</f>
        <v/>
      </c>
      <c r="AG381" t="str">
        <f>IFERROR(MATCH(374,$AF$8:$AF$1407,0),"")</f>
        <v/>
      </c>
    </row>
    <row r="382">
      <c r="A382" s="92" t="str">
        <f>IF($AG382="","",P_ImportID)</f>
        <v/>
      </c>
      <c r="B382" s="92" t="str">
        <f>IF($AG382="","",IF(INDEX($AN$8:$AN$21,INDEX($AC$8:$AC$1407,$AG382)+1)="Z",P_BronZ,P_BronE))</f>
        <v/>
      </c>
      <c r="C382" s="108" t="str">
        <f>IF($AG382="","",P_Importdatum)</f>
        <v/>
      </c>
      <c r="D382" s="92" t="str">
        <f>IF($AG382="","",P_StatusVastleg)</f>
        <v/>
      </c>
      <c r="E382" s="92" t="str">
        <f>IF($AG382="","",P_UploadVJ)</f>
        <v/>
      </c>
      <c r="F382" s="92" t="str">
        <f>IF($AG382="","",P_UploadVersie)</f>
        <v/>
      </c>
      <c r="G382" s="92" t="str">
        <f>IF($AG382="","",IF(COUNTIFS(L_Sleutel,$S382,L_Status,"Vastgesteld")=0,0,_xlfn.MAXIFS(L_Revisie,L_Sleutel,$S382,L_Status,"Vastgesteld")+1))</f>
        <v/>
      </c>
      <c r="H382" s="108" t="str">
        <f>IF($AG382="","",P_Peildatum)</f>
        <v/>
      </c>
      <c r="I382" s="92" t="str">
        <f>IF($AG382="","",P_RJ+INDEX($AK$8:$AK$21,INDEX($AC$8:$AC$1407,$AG382)+1))</f>
        <v/>
      </c>
      <c r="J382" s="92" t="str">
        <f>IF($AG382="","",INDEX(V_WBS,INDEX($AB$8:$AB$1407,$AG382)))</f>
        <v/>
      </c>
      <c r="K382" s="92" t="str">
        <f>IF($AG382="","",INDEX(V_Projdef,INDEX($AB$8:$AB$1407,$AG382)))</f>
        <v/>
      </c>
      <c r="L382" s="92" t="str">
        <f>IF($AG382="","",INDEX(V_Naam,INDEX($AB$8:$AB$1407,$AG382)))</f>
        <v/>
      </c>
      <c r="M382" s="92" t="str">
        <f>IF($AG382="","",INDEX(V_Type,INDEX($AB$8:$AB$1407,$AG382)))</f>
        <v/>
      </c>
      <c r="N382" s="92" t="str">
        <f>IF($AG382="","",INDEX(V_IFRS,INDEX($AB$8:$AB$1407,$AG382)))</f>
        <v/>
      </c>
      <c r="O382" s="92" t="str">
        <f>IF($AG382="","",INDEX($AL$8:$AL$21,INDEX($AC$8:$AC$1407,$AG382)+1))</f>
        <v/>
      </c>
      <c r="P382" s="109" t="str">
        <f>IF($AG382="","",INDEX($AD$8:$AD$1407,$AG382))</f>
        <v/>
      </c>
      <c r="Q382" s="92" t="str">
        <f>IF($AG382="","",INDEX($AM$8:$AM$21,INDEX($AC$8:$AC$1407,$AG382)+1))</f>
        <v/>
      </c>
      <c r="R382" s="92" t="str">
        <f>IF($AG382="","",IF($G382&gt;0,P_ToelCorrectie&amp;"",""))</f>
        <v/>
      </c>
      <c r="S382" s="15" t="str">
        <f>IF(J382="","",J382&amp;"|"&amp;E382&amp;"|"&amp;F382&amp;"|"&amp;I382&amp;"|"&amp;O382)</f>
        <v/>
      </c>
      <c r="T382" s="111" t="str">
        <f>IF(S382="","",IF(COUNTIFS(L_Sleutel,S382,L_Actief,1)=0,"",SUMIFS(L_Waarde,L_Sleutel,S382,L_Actief,1)))</f>
        <v/>
      </c>
      <c r="U382" s="111">
        <f>IF(OR(S382="",T382=""),0,P382-T382)</f>
        <v>0</v>
      </c>
      <c r="AB382" s="112" t="n">
        <v>27</v>
      </c>
      <c r="AC382" s="112" t="n">
        <v>10</v>
      </c>
      <c r="AD382" s="112" t="str">
        <f>VERW_Project!BS32</f>
        <v/>
      </c>
      <c r="AE382" s="112">
        <f>IF(AND(VERW_Project!$A32&lt;&gt;"",ISNUMBER(AD382)),1,0)</f>
        <v>0</v>
      </c>
      <c r="AF382" s="112" t="str">
        <f>IF(AE382=1,SUM($AE$8:AE382),"")</f>
        <v/>
      </c>
      <c r="AG382" t="str">
        <f>IFERROR(MATCH(375,$AF$8:$AF$1407,0),"")</f>
        <v/>
      </c>
    </row>
    <row r="383">
      <c r="A383" s="92" t="str">
        <f>IF($AG383="","",P_ImportID)</f>
        <v/>
      </c>
      <c r="B383" s="92" t="str">
        <f>IF($AG383="","",IF(INDEX($AN$8:$AN$21,INDEX($AC$8:$AC$1407,$AG383)+1)="Z",P_BronZ,P_BronE))</f>
        <v/>
      </c>
      <c r="C383" s="108" t="str">
        <f>IF($AG383="","",P_Importdatum)</f>
        <v/>
      </c>
      <c r="D383" s="92" t="str">
        <f>IF($AG383="","",P_StatusVastleg)</f>
        <v/>
      </c>
      <c r="E383" s="92" t="str">
        <f>IF($AG383="","",P_UploadVJ)</f>
        <v/>
      </c>
      <c r="F383" s="92" t="str">
        <f>IF($AG383="","",P_UploadVersie)</f>
        <v/>
      </c>
      <c r="G383" s="92" t="str">
        <f>IF($AG383="","",IF(COUNTIFS(L_Sleutel,$S383,L_Status,"Vastgesteld")=0,0,_xlfn.MAXIFS(L_Revisie,L_Sleutel,$S383,L_Status,"Vastgesteld")+1))</f>
        <v/>
      </c>
      <c r="H383" s="108" t="str">
        <f>IF($AG383="","",P_Peildatum)</f>
        <v/>
      </c>
      <c r="I383" s="92" t="str">
        <f>IF($AG383="","",P_RJ+INDEX($AK$8:$AK$21,INDEX($AC$8:$AC$1407,$AG383)+1))</f>
        <v/>
      </c>
      <c r="J383" s="92" t="str">
        <f>IF($AG383="","",INDEX(V_WBS,INDEX($AB$8:$AB$1407,$AG383)))</f>
        <v/>
      </c>
      <c r="K383" s="92" t="str">
        <f>IF($AG383="","",INDEX(V_Projdef,INDEX($AB$8:$AB$1407,$AG383)))</f>
        <v/>
      </c>
      <c r="L383" s="92" t="str">
        <f>IF($AG383="","",INDEX(V_Naam,INDEX($AB$8:$AB$1407,$AG383)))</f>
        <v/>
      </c>
      <c r="M383" s="92" t="str">
        <f>IF($AG383="","",INDEX(V_Type,INDEX($AB$8:$AB$1407,$AG383)))</f>
        <v/>
      </c>
      <c r="N383" s="92" t="str">
        <f>IF($AG383="","",INDEX(V_IFRS,INDEX($AB$8:$AB$1407,$AG383)))</f>
        <v/>
      </c>
      <c r="O383" s="92" t="str">
        <f>IF($AG383="","",INDEX($AL$8:$AL$21,INDEX($AC$8:$AC$1407,$AG383)+1))</f>
        <v/>
      </c>
      <c r="P383" s="109" t="str">
        <f>IF($AG383="","",INDEX($AD$8:$AD$1407,$AG383))</f>
        <v/>
      </c>
      <c r="Q383" s="92" t="str">
        <f>IF($AG383="","",INDEX($AM$8:$AM$21,INDEX($AC$8:$AC$1407,$AG383)+1))</f>
        <v/>
      </c>
      <c r="R383" s="92" t="str">
        <f>IF($AG383="","",IF($G383&gt;0,P_ToelCorrectie&amp;"",""))</f>
        <v/>
      </c>
      <c r="S383" s="15" t="str">
        <f>IF(J383="","",J383&amp;"|"&amp;E383&amp;"|"&amp;F383&amp;"|"&amp;I383&amp;"|"&amp;O383)</f>
        <v/>
      </c>
      <c r="T383" s="111" t="str">
        <f>IF(S383="","",IF(COUNTIFS(L_Sleutel,S383,L_Actief,1)=0,"",SUMIFS(L_Waarde,L_Sleutel,S383,L_Actief,1)))</f>
        <v/>
      </c>
      <c r="U383" s="111">
        <f>IF(OR(S383="",T383=""),0,P383-T383)</f>
        <v>0</v>
      </c>
      <c r="AB383" s="112" t="n">
        <v>27</v>
      </c>
      <c r="AC383" s="112" t="n">
        <v>11</v>
      </c>
      <c r="AD383" s="112" t="str">
        <f>VERW_Project!BT32</f>
        <v/>
      </c>
      <c r="AE383" s="112">
        <f>IF(AND(VERW_Project!$A32&lt;&gt;"",ISNUMBER(AD383)),1,0)</f>
        <v>0</v>
      </c>
      <c r="AF383" s="112" t="str">
        <f>IF(AE383=1,SUM($AE$8:AE383),"")</f>
        <v/>
      </c>
      <c r="AG383" t="str">
        <f>IFERROR(MATCH(376,$AF$8:$AF$1407,0),"")</f>
        <v/>
      </c>
    </row>
    <row r="384">
      <c r="A384" s="92" t="str">
        <f>IF($AG384="","",P_ImportID)</f>
        <v/>
      </c>
      <c r="B384" s="92" t="str">
        <f>IF($AG384="","",IF(INDEX($AN$8:$AN$21,INDEX($AC$8:$AC$1407,$AG384)+1)="Z",P_BronZ,P_BronE))</f>
        <v/>
      </c>
      <c r="C384" s="108" t="str">
        <f>IF($AG384="","",P_Importdatum)</f>
        <v/>
      </c>
      <c r="D384" s="92" t="str">
        <f>IF($AG384="","",P_StatusVastleg)</f>
        <v/>
      </c>
      <c r="E384" s="92" t="str">
        <f>IF($AG384="","",P_UploadVJ)</f>
        <v/>
      </c>
      <c r="F384" s="92" t="str">
        <f>IF($AG384="","",P_UploadVersie)</f>
        <v/>
      </c>
      <c r="G384" s="92" t="str">
        <f>IF($AG384="","",IF(COUNTIFS(L_Sleutel,$S384,L_Status,"Vastgesteld")=0,0,_xlfn.MAXIFS(L_Revisie,L_Sleutel,$S384,L_Status,"Vastgesteld")+1))</f>
        <v/>
      </c>
      <c r="H384" s="108" t="str">
        <f>IF($AG384="","",P_Peildatum)</f>
        <v/>
      </c>
      <c r="I384" s="92" t="str">
        <f>IF($AG384="","",P_RJ+INDEX($AK$8:$AK$21,INDEX($AC$8:$AC$1407,$AG384)+1))</f>
        <v/>
      </c>
      <c r="J384" s="92" t="str">
        <f>IF($AG384="","",INDEX(V_WBS,INDEX($AB$8:$AB$1407,$AG384)))</f>
        <v/>
      </c>
      <c r="K384" s="92" t="str">
        <f>IF($AG384="","",INDEX(V_Projdef,INDEX($AB$8:$AB$1407,$AG384)))</f>
        <v/>
      </c>
      <c r="L384" s="92" t="str">
        <f>IF($AG384="","",INDEX(V_Naam,INDEX($AB$8:$AB$1407,$AG384)))</f>
        <v/>
      </c>
      <c r="M384" s="92" t="str">
        <f>IF($AG384="","",INDEX(V_Type,INDEX($AB$8:$AB$1407,$AG384)))</f>
        <v/>
      </c>
      <c r="N384" s="92" t="str">
        <f>IF($AG384="","",INDEX(V_IFRS,INDEX($AB$8:$AB$1407,$AG384)))</f>
        <v/>
      </c>
      <c r="O384" s="92" t="str">
        <f>IF($AG384="","",INDEX($AL$8:$AL$21,INDEX($AC$8:$AC$1407,$AG384)+1))</f>
        <v/>
      </c>
      <c r="P384" s="109" t="str">
        <f>IF($AG384="","",INDEX($AD$8:$AD$1407,$AG384))</f>
        <v/>
      </c>
      <c r="Q384" s="92" t="str">
        <f>IF($AG384="","",INDEX($AM$8:$AM$21,INDEX($AC$8:$AC$1407,$AG384)+1))</f>
        <v/>
      </c>
      <c r="R384" s="92" t="str">
        <f>IF($AG384="","",IF($G384&gt;0,P_ToelCorrectie&amp;"",""))</f>
        <v/>
      </c>
      <c r="S384" s="15" t="str">
        <f>IF(J384="","",J384&amp;"|"&amp;E384&amp;"|"&amp;F384&amp;"|"&amp;I384&amp;"|"&amp;O384)</f>
        <v/>
      </c>
      <c r="T384" s="111" t="str">
        <f>IF(S384="","",IF(COUNTIFS(L_Sleutel,S384,L_Actief,1)=0,"",SUMIFS(L_Waarde,L_Sleutel,S384,L_Actief,1)))</f>
        <v/>
      </c>
      <c r="U384" s="111">
        <f>IF(OR(S384="",T384=""),0,P384-T384)</f>
        <v>0</v>
      </c>
      <c r="AB384" s="112" t="n">
        <v>27</v>
      </c>
      <c r="AC384" s="112" t="n">
        <v>12</v>
      </c>
      <c r="AD384" s="112" t="str">
        <f>VERW_Project!BU32</f>
        <v/>
      </c>
      <c r="AE384" s="112">
        <f>IF(AND(VERW_Project!$A32&lt;&gt;"",ISNUMBER(AD384)),1,0)</f>
        <v>0</v>
      </c>
      <c r="AF384" s="112" t="str">
        <f>IF(AE384=1,SUM($AE$8:AE384),"")</f>
        <v/>
      </c>
      <c r="AG384" t="str">
        <f>IFERROR(MATCH(377,$AF$8:$AF$1407,0),"")</f>
        <v/>
      </c>
    </row>
    <row r="385">
      <c r="A385" s="92" t="str">
        <f>IF($AG385="","",P_ImportID)</f>
        <v/>
      </c>
      <c r="B385" s="92" t="str">
        <f>IF($AG385="","",IF(INDEX($AN$8:$AN$21,INDEX($AC$8:$AC$1407,$AG385)+1)="Z",P_BronZ,P_BronE))</f>
        <v/>
      </c>
      <c r="C385" s="108" t="str">
        <f>IF($AG385="","",P_Importdatum)</f>
        <v/>
      </c>
      <c r="D385" s="92" t="str">
        <f>IF($AG385="","",P_StatusVastleg)</f>
        <v/>
      </c>
      <c r="E385" s="92" t="str">
        <f>IF($AG385="","",P_UploadVJ)</f>
        <v/>
      </c>
      <c r="F385" s="92" t="str">
        <f>IF($AG385="","",P_UploadVersie)</f>
        <v/>
      </c>
      <c r="G385" s="92" t="str">
        <f>IF($AG385="","",IF(COUNTIFS(L_Sleutel,$S385,L_Status,"Vastgesteld")=0,0,_xlfn.MAXIFS(L_Revisie,L_Sleutel,$S385,L_Status,"Vastgesteld")+1))</f>
        <v/>
      </c>
      <c r="H385" s="108" t="str">
        <f>IF($AG385="","",P_Peildatum)</f>
        <v/>
      </c>
      <c r="I385" s="92" t="str">
        <f>IF($AG385="","",P_RJ+INDEX($AK$8:$AK$21,INDEX($AC$8:$AC$1407,$AG385)+1))</f>
        <v/>
      </c>
      <c r="J385" s="92" t="str">
        <f>IF($AG385="","",INDEX(V_WBS,INDEX($AB$8:$AB$1407,$AG385)))</f>
        <v/>
      </c>
      <c r="K385" s="92" t="str">
        <f>IF($AG385="","",INDEX(V_Projdef,INDEX($AB$8:$AB$1407,$AG385)))</f>
        <v/>
      </c>
      <c r="L385" s="92" t="str">
        <f>IF($AG385="","",INDEX(V_Naam,INDEX($AB$8:$AB$1407,$AG385)))</f>
        <v/>
      </c>
      <c r="M385" s="92" t="str">
        <f>IF($AG385="","",INDEX(V_Type,INDEX($AB$8:$AB$1407,$AG385)))</f>
        <v/>
      </c>
      <c r="N385" s="92" t="str">
        <f>IF($AG385="","",INDEX(V_IFRS,INDEX($AB$8:$AB$1407,$AG385)))</f>
        <v/>
      </c>
      <c r="O385" s="92" t="str">
        <f>IF($AG385="","",INDEX($AL$8:$AL$21,INDEX($AC$8:$AC$1407,$AG385)+1))</f>
        <v/>
      </c>
      <c r="P385" s="109" t="str">
        <f>IF($AG385="","",INDEX($AD$8:$AD$1407,$AG385))</f>
        <v/>
      </c>
      <c r="Q385" s="92" t="str">
        <f>IF($AG385="","",INDEX($AM$8:$AM$21,INDEX($AC$8:$AC$1407,$AG385)+1))</f>
        <v/>
      </c>
      <c r="R385" s="92" t="str">
        <f>IF($AG385="","",IF($G385&gt;0,P_ToelCorrectie&amp;"",""))</f>
        <v/>
      </c>
      <c r="S385" s="15" t="str">
        <f>IF(J385="","",J385&amp;"|"&amp;E385&amp;"|"&amp;F385&amp;"|"&amp;I385&amp;"|"&amp;O385)</f>
        <v/>
      </c>
      <c r="T385" s="111" t="str">
        <f>IF(S385="","",IF(COUNTIFS(L_Sleutel,S385,L_Actief,1)=0,"",SUMIFS(L_Waarde,L_Sleutel,S385,L_Actief,1)))</f>
        <v/>
      </c>
      <c r="U385" s="111">
        <f>IF(OR(S385="",T385=""),0,P385-T385)</f>
        <v>0</v>
      </c>
      <c r="AB385" s="112" t="n">
        <v>27</v>
      </c>
      <c r="AC385" s="112" t="n">
        <v>13</v>
      </c>
      <c r="AD385" s="112" t="str">
        <f>VERW_Project!BX32</f>
        <v/>
      </c>
      <c r="AE385" s="112">
        <f>IF(AND(VERW_Project!$A32&lt;&gt;"",ISNUMBER(AD385)),1,0)</f>
        <v>0</v>
      </c>
      <c r="AF385" s="112" t="str">
        <f>IF(AE385=1,SUM($AE$8:AE385),"")</f>
        <v/>
      </c>
      <c r="AG385" t="str">
        <f>IFERROR(MATCH(378,$AF$8:$AF$1407,0),"")</f>
        <v/>
      </c>
    </row>
    <row r="386">
      <c r="A386" s="92" t="str">
        <f>IF($AG386="","",P_ImportID)</f>
        <v/>
      </c>
      <c r="B386" s="92" t="str">
        <f>IF($AG386="","",IF(INDEX($AN$8:$AN$21,INDEX($AC$8:$AC$1407,$AG386)+1)="Z",P_BronZ,P_BronE))</f>
        <v/>
      </c>
      <c r="C386" s="108" t="str">
        <f>IF($AG386="","",P_Importdatum)</f>
        <v/>
      </c>
      <c r="D386" s="92" t="str">
        <f>IF($AG386="","",P_StatusVastleg)</f>
        <v/>
      </c>
      <c r="E386" s="92" t="str">
        <f>IF($AG386="","",P_UploadVJ)</f>
        <v/>
      </c>
      <c r="F386" s="92" t="str">
        <f>IF($AG386="","",P_UploadVersie)</f>
        <v/>
      </c>
      <c r="G386" s="92" t="str">
        <f>IF($AG386="","",IF(COUNTIFS(L_Sleutel,$S386,L_Status,"Vastgesteld")=0,0,_xlfn.MAXIFS(L_Revisie,L_Sleutel,$S386,L_Status,"Vastgesteld")+1))</f>
        <v/>
      </c>
      <c r="H386" s="108" t="str">
        <f>IF($AG386="","",P_Peildatum)</f>
        <v/>
      </c>
      <c r="I386" s="92" t="str">
        <f>IF($AG386="","",P_RJ+INDEX($AK$8:$AK$21,INDEX($AC$8:$AC$1407,$AG386)+1))</f>
        <v/>
      </c>
      <c r="J386" s="92" t="str">
        <f>IF($AG386="","",INDEX(V_WBS,INDEX($AB$8:$AB$1407,$AG386)))</f>
        <v/>
      </c>
      <c r="K386" s="92" t="str">
        <f>IF($AG386="","",INDEX(V_Projdef,INDEX($AB$8:$AB$1407,$AG386)))</f>
        <v/>
      </c>
      <c r="L386" s="92" t="str">
        <f>IF($AG386="","",INDEX(V_Naam,INDEX($AB$8:$AB$1407,$AG386)))</f>
        <v/>
      </c>
      <c r="M386" s="92" t="str">
        <f>IF($AG386="","",INDEX(V_Type,INDEX($AB$8:$AB$1407,$AG386)))</f>
        <v/>
      </c>
      <c r="N386" s="92" t="str">
        <f>IF($AG386="","",INDEX(V_IFRS,INDEX($AB$8:$AB$1407,$AG386)))</f>
        <v/>
      </c>
      <c r="O386" s="92" t="str">
        <f>IF($AG386="","",INDEX($AL$8:$AL$21,INDEX($AC$8:$AC$1407,$AG386)+1))</f>
        <v/>
      </c>
      <c r="P386" s="109" t="str">
        <f>IF($AG386="","",INDEX($AD$8:$AD$1407,$AG386))</f>
        <v/>
      </c>
      <c r="Q386" s="92" t="str">
        <f>IF($AG386="","",INDEX($AM$8:$AM$21,INDEX($AC$8:$AC$1407,$AG386)+1))</f>
        <v/>
      </c>
      <c r="R386" s="92" t="str">
        <f>IF($AG386="","",IF($G386&gt;0,P_ToelCorrectie&amp;"",""))</f>
        <v/>
      </c>
      <c r="S386" s="15" t="str">
        <f>IF(J386="","",J386&amp;"|"&amp;E386&amp;"|"&amp;F386&amp;"|"&amp;I386&amp;"|"&amp;O386)</f>
        <v/>
      </c>
      <c r="T386" s="111" t="str">
        <f>IF(S386="","",IF(COUNTIFS(L_Sleutel,S386,L_Actief,1)=0,"",SUMIFS(L_Waarde,L_Sleutel,S386,L_Actief,1)))</f>
        <v/>
      </c>
      <c r="U386" s="111">
        <f>IF(OR(S386="",T386=""),0,P386-T386)</f>
        <v>0</v>
      </c>
      <c r="AB386" s="112" t="n">
        <v>28</v>
      </c>
      <c r="AC386" s="112" t="n">
        <v>0</v>
      </c>
      <c r="AD386" s="112" t="str">
        <f>VERW_Project!P33</f>
        <v/>
      </c>
      <c r="AE386" s="112">
        <f>IF(AND(VERW_Project!$A33&lt;&gt;"",ISNUMBER(AD386)),1,0)</f>
        <v>0</v>
      </c>
      <c r="AF386" s="112" t="str">
        <f>IF(AE386=1,SUM($AE$8:AE386),"")</f>
        <v/>
      </c>
      <c r="AG386" t="str">
        <f>IFERROR(MATCH(379,$AF$8:$AF$1407,0),"")</f>
        <v/>
      </c>
    </row>
    <row r="387">
      <c r="A387" s="92" t="str">
        <f>IF($AG387="","",P_ImportID)</f>
        <v/>
      </c>
      <c r="B387" s="92" t="str">
        <f>IF($AG387="","",IF(INDEX($AN$8:$AN$21,INDEX($AC$8:$AC$1407,$AG387)+1)="Z",P_BronZ,P_BronE))</f>
        <v/>
      </c>
      <c r="C387" s="108" t="str">
        <f>IF($AG387="","",P_Importdatum)</f>
        <v/>
      </c>
      <c r="D387" s="92" t="str">
        <f>IF($AG387="","",P_StatusVastleg)</f>
        <v/>
      </c>
      <c r="E387" s="92" t="str">
        <f>IF($AG387="","",P_UploadVJ)</f>
        <v/>
      </c>
      <c r="F387" s="92" t="str">
        <f>IF($AG387="","",P_UploadVersie)</f>
        <v/>
      </c>
      <c r="G387" s="92" t="str">
        <f>IF($AG387="","",IF(COUNTIFS(L_Sleutel,$S387,L_Status,"Vastgesteld")=0,0,_xlfn.MAXIFS(L_Revisie,L_Sleutel,$S387,L_Status,"Vastgesteld")+1))</f>
        <v/>
      </c>
      <c r="H387" s="108" t="str">
        <f>IF($AG387="","",P_Peildatum)</f>
        <v/>
      </c>
      <c r="I387" s="92" t="str">
        <f>IF($AG387="","",P_RJ+INDEX($AK$8:$AK$21,INDEX($AC$8:$AC$1407,$AG387)+1))</f>
        <v/>
      </c>
      <c r="J387" s="92" t="str">
        <f>IF($AG387="","",INDEX(V_WBS,INDEX($AB$8:$AB$1407,$AG387)))</f>
        <v/>
      </c>
      <c r="K387" s="92" t="str">
        <f>IF($AG387="","",INDEX(V_Projdef,INDEX($AB$8:$AB$1407,$AG387)))</f>
        <v/>
      </c>
      <c r="L387" s="92" t="str">
        <f>IF($AG387="","",INDEX(V_Naam,INDEX($AB$8:$AB$1407,$AG387)))</f>
        <v/>
      </c>
      <c r="M387" s="92" t="str">
        <f>IF($AG387="","",INDEX(V_Type,INDEX($AB$8:$AB$1407,$AG387)))</f>
        <v/>
      </c>
      <c r="N387" s="92" t="str">
        <f>IF($AG387="","",INDEX(V_IFRS,INDEX($AB$8:$AB$1407,$AG387)))</f>
        <v/>
      </c>
      <c r="O387" s="92" t="str">
        <f>IF($AG387="","",INDEX($AL$8:$AL$21,INDEX($AC$8:$AC$1407,$AG387)+1))</f>
        <v/>
      </c>
      <c r="P387" s="109" t="str">
        <f>IF($AG387="","",INDEX($AD$8:$AD$1407,$AG387))</f>
        <v/>
      </c>
      <c r="Q387" s="92" t="str">
        <f>IF($AG387="","",INDEX($AM$8:$AM$21,INDEX($AC$8:$AC$1407,$AG387)+1))</f>
        <v/>
      </c>
      <c r="R387" s="92" t="str">
        <f>IF($AG387="","",IF($G387&gt;0,P_ToelCorrectie&amp;"",""))</f>
        <v/>
      </c>
      <c r="S387" s="15" t="str">
        <f>IF(J387="","",J387&amp;"|"&amp;E387&amp;"|"&amp;F387&amp;"|"&amp;I387&amp;"|"&amp;O387)</f>
        <v/>
      </c>
      <c r="T387" s="111" t="str">
        <f>IF(S387="","",IF(COUNTIFS(L_Sleutel,S387,L_Actief,1)=0,"",SUMIFS(L_Waarde,L_Sleutel,S387,L_Actief,1)))</f>
        <v/>
      </c>
      <c r="U387" s="111">
        <f>IF(OR(S387="",T387=""),0,P387-T387)</f>
        <v>0</v>
      </c>
      <c r="AB387" s="112" t="n">
        <v>28</v>
      </c>
      <c r="AC387" s="112" t="n">
        <v>1</v>
      </c>
      <c r="AD387" s="112" t="str">
        <f>VERW_Project!Q33</f>
        <v/>
      </c>
      <c r="AE387" s="112">
        <f>IF(AND(VERW_Project!$A33&lt;&gt;"",ISNUMBER(AD387)),1,0)</f>
        <v>0</v>
      </c>
      <c r="AF387" s="112" t="str">
        <f>IF(AE387=1,SUM($AE$8:AE387),"")</f>
        <v/>
      </c>
      <c r="AG387" t="str">
        <f>IFERROR(MATCH(380,$AF$8:$AF$1407,0),"")</f>
        <v/>
      </c>
    </row>
    <row r="388">
      <c r="A388" s="92" t="str">
        <f>IF($AG388="","",P_ImportID)</f>
        <v/>
      </c>
      <c r="B388" s="92" t="str">
        <f>IF($AG388="","",IF(INDEX($AN$8:$AN$21,INDEX($AC$8:$AC$1407,$AG388)+1)="Z",P_BronZ,P_BronE))</f>
        <v/>
      </c>
      <c r="C388" s="108" t="str">
        <f>IF($AG388="","",P_Importdatum)</f>
        <v/>
      </c>
      <c r="D388" s="92" t="str">
        <f>IF($AG388="","",P_StatusVastleg)</f>
        <v/>
      </c>
      <c r="E388" s="92" t="str">
        <f>IF($AG388="","",P_UploadVJ)</f>
        <v/>
      </c>
      <c r="F388" s="92" t="str">
        <f>IF($AG388="","",P_UploadVersie)</f>
        <v/>
      </c>
      <c r="G388" s="92" t="str">
        <f>IF($AG388="","",IF(COUNTIFS(L_Sleutel,$S388,L_Status,"Vastgesteld")=0,0,_xlfn.MAXIFS(L_Revisie,L_Sleutel,$S388,L_Status,"Vastgesteld")+1))</f>
        <v/>
      </c>
      <c r="H388" s="108" t="str">
        <f>IF($AG388="","",P_Peildatum)</f>
        <v/>
      </c>
      <c r="I388" s="92" t="str">
        <f>IF($AG388="","",P_RJ+INDEX($AK$8:$AK$21,INDEX($AC$8:$AC$1407,$AG388)+1))</f>
        <v/>
      </c>
      <c r="J388" s="92" t="str">
        <f>IF($AG388="","",INDEX(V_WBS,INDEX($AB$8:$AB$1407,$AG388)))</f>
        <v/>
      </c>
      <c r="K388" s="92" t="str">
        <f>IF($AG388="","",INDEX(V_Projdef,INDEX($AB$8:$AB$1407,$AG388)))</f>
        <v/>
      </c>
      <c r="L388" s="92" t="str">
        <f>IF($AG388="","",INDEX(V_Naam,INDEX($AB$8:$AB$1407,$AG388)))</f>
        <v/>
      </c>
      <c r="M388" s="92" t="str">
        <f>IF($AG388="","",INDEX(V_Type,INDEX($AB$8:$AB$1407,$AG388)))</f>
        <v/>
      </c>
      <c r="N388" s="92" t="str">
        <f>IF($AG388="","",INDEX(V_IFRS,INDEX($AB$8:$AB$1407,$AG388)))</f>
        <v/>
      </c>
      <c r="O388" s="92" t="str">
        <f>IF($AG388="","",INDEX($AL$8:$AL$21,INDEX($AC$8:$AC$1407,$AG388)+1))</f>
        <v/>
      </c>
      <c r="P388" s="109" t="str">
        <f>IF($AG388="","",INDEX($AD$8:$AD$1407,$AG388))</f>
        <v/>
      </c>
      <c r="Q388" s="92" t="str">
        <f>IF($AG388="","",INDEX($AM$8:$AM$21,INDEX($AC$8:$AC$1407,$AG388)+1))</f>
        <v/>
      </c>
      <c r="R388" s="92" t="str">
        <f>IF($AG388="","",IF($G388&gt;0,P_ToelCorrectie&amp;"",""))</f>
        <v/>
      </c>
      <c r="S388" s="15" t="str">
        <f>IF(J388="","",J388&amp;"|"&amp;E388&amp;"|"&amp;F388&amp;"|"&amp;I388&amp;"|"&amp;O388)</f>
        <v/>
      </c>
      <c r="T388" s="111" t="str">
        <f>IF(S388="","",IF(COUNTIFS(L_Sleutel,S388,L_Actief,1)=0,"",SUMIFS(L_Waarde,L_Sleutel,S388,L_Actief,1)))</f>
        <v/>
      </c>
      <c r="U388" s="111">
        <f>IF(OR(S388="",T388=""),0,P388-T388)</f>
        <v>0</v>
      </c>
      <c r="AB388" s="112" t="n">
        <v>28</v>
      </c>
      <c r="AC388" s="112" t="n">
        <v>2</v>
      </c>
      <c r="AD388" s="112" t="str">
        <f>VERW_Project!L33</f>
        <v/>
      </c>
      <c r="AE388" s="112">
        <f>IF(AND(VERW_Project!$A33&lt;&gt;"",ISNUMBER(AD388)),1,0)</f>
        <v>0</v>
      </c>
      <c r="AF388" s="112" t="str">
        <f>IF(AE388=1,SUM($AE$8:AE388),"")</f>
        <v/>
      </c>
      <c r="AG388" t="str">
        <f>IFERROR(MATCH(381,$AF$8:$AF$1407,0),"")</f>
        <v/>
      </c>
    </row>
    <row r="389">
      <c r="A389" s="92" t="str">
        <f>IF($AG389="","",P_ImportID)</f>
        <v/>
      </c>
      <c r="B389" s="92" t="str">
        <f>IF($AG389="","",IF(INDEX($AN$8:$AN$21,INDEX($AC$8:$AC$1407,$AG389)+1)="Z",P_BronZ,P_BronE))</f>
        <v/>
      </c>
      <c r="C389" s="108" t="str">
        <f>IF($AG389="","",P_Importdatum)</f>
        <v/>
      </c>
      <c r="D389" s="92" t="str">
        <f>IF($AG389="","",P_StatusVastleg)</f>
        <v/>
      </c>
      <c r="E389" s="92" t="str">
        <f>IF($AG389="","",P_UploadVJ)</f>
        <v/>
      </c>
      <c r="F389" s="92" t="str">
        <f>IF($AG389="","",P_UploadVersie)</f>
        <v/>
      </c>
      <c r="G389" s="92" t="str">
        <f>IF($AG389="","",IF(COUNTIFS(L_Sleutel,$S389,L_Status,"Vastgesteld")=0,0,_xlfn.MAXIFS(L_Revisie,L_Sleutel,$S389,L_Status,"Vastgesteld")+1))</f>
        <v/>
      </c>
      <c r="H389" s="108" t="str">
        <f>IF($AG389="","",P_Peildatum)</f>
        <v/>
      </c>
      <c r="I389" s="92" t="str">
        <f>IF($AG389="","",P_RJ+INDEX($AK$8:$AK$21,INDEX($AC$8:$AC$1407,$AG389)+1))</f>
        <v/>
      </c>
      <c r="J389" s="92" t="str">
        <f>IF($AG389="","",INDEX(V_WBS,INDEX($AB$8:$AB$1407,$AG389)))</f>
        <v/>
      </c>
      <c r="K389" s="92" t="str">
        <f>IF($AG389="","",INDEX(V_Projdef,INDEX($AB$8:$AB$1407,$AG389)))</f>
        <v/>
      </c>
      <c r="L389" s="92" t="str">
        <f>IF($AG389="","",INDEX(V_Naam,INDEX($AB$8:$AB$1407,$AG389)))</f>
        <v/>
      </c>
      <c r="M389" s="92" t="str">
        <f>IF($AG389="","",INDEX(V_Type,INDEX($AB$8:$AB$1407,$AG389)))</f>
        <v/>
      </c>
      <c r="N389" s="92" t="str">
        <f>IF($AG389="","",INDEX(V_IFRS,INDEX($AB$8:$AB$1407,$AG389)))</f>
        <v/>
      </c>
      <c r="O389" s="92" t="str">
        <f>IF($AG389="","",INDEX($AL$8:$AL$21,INDEX($AC$8:$AC$1407,$AG389)+1))</f>
        <v/>
      </c>
      <c r="P389" s="109" t="str">
        <f>IF($AG389="","",INDEX($AD$8:$AD$1407,$AG389))</f>
        <v/>
      </c>
      <c r="Q389" s="92" t="str">
        <f>IF($AG389="","",INDEX($AM$8:$AM$21,INDEX($AC$8:$AC$1407,$AG389)+1))</f>
        <v/>
      </c>
      <c r="R389" s="92" t="str">
        <f>IF($AG389="","",IF($G389&gt;0,P_ToelCorrectie&amp;"",""))</f>
        <v/>
      </c>
      <c r="S389" s="15" t="str">
        <f>IF(J389="","",J389&amp;"|"&amp;E389&amp;"|"&amp;F389&amp;"|"&amp;I389&amp;"|"&amp;O389)</f>
        <v/>
      </c>
      <c r="T389" s="111" t="str">
        <f>IF(S389="","",IF(COUNTIFS(L_Sleutel,S389,L_Actief,1)=0,"",SUMIFS(L_Waarde,L_Sleutel,S389,L_Actief,1)))</f>
        <v/>
      </c>
      <c r="U389" s="111">
        <f>IF(OR(S389="",T389=""),0,P389-T389)</f>
        <v>0</v>
      </c>
      <c r="AB389" s="112" t="n">
        <v>28</v>
      </c>
      <c r="AC389" s="112" t="n">
        <v>3</v>
      </c>
      <c r="AD389" s="112" t="str">
        <f>VERW_Project!M33</f>
        <v/>
      </c>
      <c r="AE389" s="112">
        <f>IF(AND(VERW_Project!$A33&lt;&gt;"",ISNUMBER(AD389)),1,0)</f>
        <v>0</v>
      </c>
      <c r="AF389" s="112" t="str">
        <f>IF(AE389=1,SUM($AE$8:AE389),"")</f>
        <v/>
      </c>
      <c r="AG389" t="str">
        <f>IFERROR(MATCH(382,$AF$8:$AF$1407,0),"")</f>
        <v/>
      </c>
    </row>
    <row r="390">
      <c r="A390" s="92" t="str">
        <f>IF($AG390="","",P_ImportID)</f>
        <v/>
      </c>
      <c r="B390" s="92" t="str">
        <f>IF($AG390="","",IF(INDEX($AN$8:$AN$21,INDEX($AC$8:$AC$1407,$AG390)+1)="Z",P_BronZ,P_BronE))</f>
        <v/>
      </c>
      <c r="C390" s="108" t="str">
        <f>IF($AG390="","",P_Importdatum)</f>
        <v/>
      </c>
      <c r="D390" s="92" t="str">
        <f>IF($AG390="","",P_StatusVastleg)</f>
        <v/>
      </c>
      <c r="E390" s="92" t="str">
        <f>IF($AG390="","",P_UploadVJ)</f>
        <v/>
      </c>
      <c r="F390" s="92" t="str">
        <f>IF($AG390="","",P_UploadVersie)</f>
        <v/>
      </c>
      <c r="G390" s="92" t="str">
        <f>IF($AG390="","",IF(COUNTIFS(L_Sleutel,$S390,L_Status,"Vastgesteld")=0,0,_xlfn.MAXIFS(L_Revisie,L_Sleutel,$S390,L_Status,"Vastgesteld")+1))</f>
        <v/>
      </c>
      <c r="H390" s="108" t="str">
        <f>IF($AG390="","",P_Peildatum)</f>
        <v/>
      </c>
      <c r="I390" s="92" t="str">
        <f>IF($AG390="","",P_RJ+INDEX($AK$8:$AK$21,INDEX($AC$8:$AC$1407,$AG390)+1))</f>
        <v/>
      </c>
      <c r="J390" s="92" t="str">
        <f>IF($AG390="","",INDEX(V_WBS,INDEX($AB$8:$AB$1407,$AG390)))</f>
        <v/>
      </c>
      <c r="K390" s="92" t="str">
        <f>IF($AG390="","",INDEX(V_Projdef,INDEX($AB$8:$AB$1407,$AG390)))</f>
        <v/>
      </c>
      <c r="L390" s="92" t="str">
        <f>IF($AG390="","",INDEX(V_Naam,INDEX($AB$8:$AB$1407,$AG390)))</f>
        <v/>
      </c>
      <c r="M390" s="92" t="str">
        <f>IF($AG390="","",INDEX(V_Type,INDEX($AB$8:$AB$1407,$AG390)))</f>
        <v/>
      </c>
      <c r="N390" s="92" t="str">
        <f>IF($AG390="","",INDEX(V_IFRS,INDEX($AB$8:$AB$1407,$AG390)))</f>
        <v/>
      </c>
      <c r="O390" s="92" t="str">
        <f>IF($AG390="","",INDEX($AL$8:$AL$21,INDEX($AC$8:$AC$1407,$AG390)+1))</f>
        <v/>
      </c>
      <c r="P390" s="109" t="str">
        <f>IF($AG390="","",INDEX($AD$8:$AD$1407,$AG390))</f>
        <v/>
      </c>
      <c r="Q390" s="92" t="str">
        <f>IF($AG390="","",INDEX($AM$8:$AM$21,INDEX($AC$8:$AC$1407,$AG390)+1))</f>
        <v/>
      </c>
      <c r="R390" s="92" t="str">
        <f>IF($AG390="","",IF($G390&gt;0,P_ToelCorrectie&amp;"",""))</f>
        <v/>
      </c>
      <c r="S390" s="15" t="str">
        <f>IF(J390="","",J390&amp;"|"&amp;E390&amp;"|"&amp;F390&amp;"|"&amp;I390&amp;"|"&amp;O390)</f>
        <v/>
      </c>
      <c r="T390" s="111" t="str">
        <f>IF(S390="","",IF(COUNTIFS(L_Sleutel,S390,L_Actief,1)=0,"",SUMIFS(L_Waarde,L_Sleutel,S390,L_Actief,1)))</f>
        <v/>
      </c>
      <c r="U390" s="111">
        <f>IF(OR(S390="",T390=""),0,P390-T390)</f>
        <v>0</v>
      </c>
      <c r="AB390" s="112" t="n">
        <v>28</v>
      </c>
      <c r="AC390" s="112" t="n">
        <v>4</v>
      </c>
      <c r="AD390" s="112" t="str">
        <f>VERW_Project!R33</f>
        <v/>
      </c>
      <c r="AE390" s="112">
        <f>IF(AND(VERW_Project!$A33&lt;&gt;"",ISNUMBER(AD390)),1,0)</f>
        <v>0</v>
      </c>
      <c r="AF390" s="112" t="str">
        <f>IF(AE390=1,SUM($AE$8:AE390),"")</f>
        <v/>
      </c>
      <c r="AG390" t="str">
        <f>IFERROR(MATCH(383,$AF$8:$AF$1407,0),"")</f>
        <v/>
      </c>
    </row>
    <row r="391">
      <c r="A391" s="92" t="str">
        <f>IF($AG391="","",P_ImportID)</f>
        <v/>
      </c>
      <c r="B391" s="92" t="str">
        <f>IF($AG391="","",IF(INDEX($AN$8:$AN$21,INDEX($AC$8:$AC$1407,$AG391)+1)="Z",P_BronZ,P_BronE))</f>
        <v/>
      </c>
      <c r="C391" s="108" t="str">
        <f>IF($AG391="","",P_Importdatum)</f>
        <v/>
      </c>
      <c r="D391" s="92" t="str">
        <f>IF($AG391="","",P_StatusVastleg)</f>
        <v/>
      </c>
      <c r="E391" s="92" t="str">
        <f>IF($AG391="","",P_UploadVJ)</f>
        <v/>
      </c>
      <c r="F391" s="92" t="str">
        <f>IF($AG391="","",P_UploadVersie)</f>
        <v/>
      </c>
      <c r="G391" s="92" t="str">
        <f>IF($AG391="","",IF(COUNTIFS(L_Sleutel,$S391,L_Status,"Vastgesteld")=0,0,_xlfn.MAXIFS(L_Revisie,L_Sleutel,$S391,L_Status,"Vastgesteld")+1))</f>
        <v/>
      </c>
      <c r="H391" s="108" t="str">
        <f>IF($AG391="","",P_Peildatum)</f>
        <v/>
      </c>
      <c r="I391" s="92" t="str">
        <f>IF($AG391="","",P_RJ+INDEX($AK$8:$AK$21,INDEX($AC$8:$AC$1407,$AG391)+1))</f>
        <v/>
      </c>
      <c r="J391" s="92" t="str">
        <f>IF($AG391="","",INDEX(V_WBS,INDEX($AB$8:$AB$1407,$AG391)))</f>
        <v/>
      </c>
      <c r="K391" s="92" t="str">
        <f>IF($AG391="","",INDEX(V_Projdef,INDEX($AB$8:$AB$1407,$AG391)))</f>
        <v/>
      </c>
      <c r="L391" s="92" t="str">
        <f>IF($AG391="","",INDEX(V_Naam,INDEX($AB$8:$AB$1407,$AG391)))</f>
        <v/>
      </c>
      <c r="M391" s="92" t="str">
        <f>IF($AG391="","",INDEX(V_Type,INDEX($AB$8:$AB$1407,$AG391)))</f>
        <v/>
      </c>
      <c r="N391" s="92" t="str">
        <f>IF($AG391="","",INDEX(V_IFRS,INDEX($AB$8:$AB$1407,$AG391)))</f>
        <v/>
      </c>
      <c r="O391" s="92" t="str">
        <f>IF($AG391="","",INDEX($AL$8:$AL$21,INDEX($AC$8:$AC$1407,$AG391)+1))</f>
        <v/>
      </c>
      <c r="P391" s="109" t="str">
        <f>IF($AG391="","",INDEX($AD$8:$AD$1407,$AG391))</f>
        <v/>
      </c>
      <c r="Q391" s="92" t="str">
        <f>IF($AG391="","",INDEX($AM$8:$AM$21,INDEX($AC$8:$AC$1407,$AG391)+1))</f>
        <v/>
      </c>
      <c r="R391" s="92" t="str">
        <f>IF($AG391="","",IF($G391&gt;0,P_ToelCorrectie&amp;"",""))</f>
        <v/>
      </c>
      <c r="S391" s="15" t="str">
        <f>IF(J391="","",J391&amp;"|"&amp;E391&amp;"|"&amp;F391&amp;"|"&amp;I391&amp;"|"&amp;O391)</f>
        <v/>
      </c>
      <c r="T391" s="111" t="str">
        <f>IF(S391="","",IF(COUNTIFS(L_Sleutel,S391,L_Actief,1)=0,"",SUMIFS(L_Waarde,L_Sleutel,S391,L_Actief,1)))</f>
        <v/>
      </c>
      <c r="U391" s="111">
        <f>IF(OR(S391="",T391=""),0,P391-T391)</f>
        <v>0</v>
      </c>
      <c r="AB391" s="112" t="n">
        <v>28</v>
      </c>
      <c r="AC391" s="112" t="n">
        <v>5</v>
      </c>
      <c r="AD391" s="112" t="str">
        <f>VERW_Project!S33</f>
        <v/>
      </c>
      <c r="AE391" s="112">
        <f>IF(AND(VERW_Project!$A33&lt;&gt;"",ISNUMBER(AD391)),1,0)</f>
        <v>0</v>
      </c>
      <c r="AF391" s="112" t="str">
        <f>IF(AE391=1,SUM($AE$8:AE391),"")</f>
        <v/>
      </c>
      <c r="AG391" t="str">
        <f>IFERROR(MATCH(384,$AF$8:$AF$1407,0),"")</f>
        <v/>
      </c>
    </row>
    <row r="392">
      <c r="A392" s="92" t="str">
        <f>IF($AG392="","",P_ImportID)</f>
        <v/>
      </c>
      <c r="B392" s="92" t="str">
        <f>IF($AG392="","",IF(INDEX($AN$8:$AN$21,INDEX($AC$8:$AC$1407,$AG392)+1)="Z",P_BronZ,P_BronE))</f>
        <v/>
      </c>
      <c r="C392" s="108" t="str">
        <f>IF($AG392="","",P_Importdatum)</f>
        <v/>
      </c>
      <c r="D392" s="92" t="str">
        <f>IF($AG392="","",P_StatusVastleg)</f>
        <v/>
      </c>
      <c r="E392" s="92" t="str">
        <f>IF($AG392="","",P_UploadVJ)</f>
        <v/>
      </c>
      <c r="F392" s="92" t="str">
        <f>IF($AG392="","",P_UploadVersie)</f>
        <v/>
      </c>
      <c r="G392" s="92" t="str">
        <f>IF($AG392="","",IF(COUNTIFS(L_Sleutel,$S392,L_Status,"Vastgesteld")=0,0,_xlfn.MAXIFS(L_Revisie,L_Sleutel,$S392,L_Status,"Vastgesteld")+1))</f>
        <v/>
      </c>
      <c r="H392" s="108" t="str">
        <f>IF($AG392="","",P_Peildatum)</f>
        <v/>
      </c>
      <c r="I392" s="92" t="str">
        <f>IF($AG392="","",P_RJ+INDEX($AK$8:$AK$21,INDEX($AC$8:$AC$1407,$AG392)+1))</f>
        <v/>
      </c>
      <c r="J392" s="92" t="str">
        <f>IF($AG392="","",INDEX(V_WBS,INDEX($AB$8:$AB$1407,$AG392)))</f>
        <v/>
      </c>
      <c r="K392" s="92" t="str">
        <f>IF($AG392="","",INDEX(V_Projdef,INDEX($AB$8:$AB$1407,$AG392)))</f>
        <v/>
      </c>
      <c r="L392" s="92" t="str">
        <f>IF($AG392="","",INDEX(V_Naam,INDEX($AB$8:$AB$1407,$AG392)))</f>
        <v/>
      </c>
      <c r="M392" s="92" t="str">
        <f>IF($AG392="","",INDEX(V_Type,INDEX($AB$8:$AB$1407,$AG392)))</f>
        <v/>
      </c>
      <c r="N392" s="92" t="str">
        <f>IF($AG392="","",INDEX(V_IFRS,INDEX($AB$8:$AB$1407,$AG392)))</f>
        <v/>
      </c>
      <c r="O392" s="92" t="str">
        <f>IF($AG392="","",INDEX($AL$8:$AL$21,INDEX($AC$8:$AC$1407,$AG392)+1))</f>
        <v/>
      </c>
      <c r="P392" s="109" t="str">
        <f>IF($AG392="","",INDEX($AD$8:$AD$1407,$AG392))</f>
        <v/>
      </c>
      <c r="Q392" s="92" t="str">
        <f>IF($AG392="","",INDEX($AM$8:$AM$21,INDEX($AC$8:$AC$1407,$AG392)+1))</f>
        <v/>
      </c>
      <c r="R392" s="92" t="str">
        <f>IF($AG392="","",IF($G392&gt;0,P_ToelCorrectie&amp;"",""))</f>
        <v/>
      </c>
      <c r="S392" s="15" t="str">
        <f>IF(J392="","",J392&amp;"|"&amp;E392&amp;"|"&amp;F392&amp;"|"&amp;I392&amp;"|"&amp;O392)</f>
        <v/>
      </c>
      <c r="T392" s="111" t="str">
        <f>IF(S392="","",IF(COUNTIFS(L_Sleutel,S392,L_Actief,1)=0,"",SUMIFS(L_Waarde,L_Sleutel,S392,L_Actief,1)))</f>
        <v/>
      </c>
      <c r="U392" s="111">
        <f>IF(OR(S392="",T392=""),0,P392-T392)</f>
        <v>0</v>
      </c>
      <c r="AB392" s="112" t="n">
        <v>28</v>
      </c>
      <c r="AC392" s="112" t="n">
        <v>6</v>
      </c>
      <c r="AD392" s="112" t="str">
        <f>VERW_Project!BW33</f>
        <v/>
      </c>
      <c r="AE392" s="112">
        <f>IF(AND(VERW_Project!$A33&lt;&gt;"",ISNUMBER(AD392)),1,0)</f>
        <v>0</v>
      </c>
      <c r="AF392" s="112" t="str">
        <f>IF(AE392=1,SUM($AE$8:AE392),"")</f>
        <v/>
      </c>
      <c r="AG392" t="str">
        <f>IFERROR(MATCH(385,$AF$8:$AF$1407,0),"")</f>
        <v/>
      </c>
    </row>
    <row r="393">
      <c r="A393" s="92" t="str">
        <f>IF($AG393="","",P_ImportID)</f>
        <v/>
      </c>
      <c r="B393" s="92" t="str">
        <f>IF($AG393="","",IF(INDEX($AN$8:$AN$21,INDEX($AC$8:$AC$1407,$AG393)+1)="Z",P_BronZ,P_BronE))</f>
        <v/>
      </c>
      <c r="C393" s="108" t="str">
        <f>IF($AG393="","",P_Importdatum)</f>
        <v/>
      </c>
      <c r="D393" s="92" t="str">
        <f>IF($AG393="","",P_StatusVastleg)</f>
        <v/>
      </c>
      <c r="E393" s="92" t="str">
        <f>IF($AG393="","",P_UploadVJ)</f>
        <v/>
      </c>
      <c r="F393" s="92" t="str">
        <f>IF($AG393="","",P_UploadVersie)</f>
        <v/>
      </c>
      <c r="G393" s="92" t="str">
        <f>IF($AG393="","",IF(COUNTIFS(L_Sleutel,$S393,L_Status,"Vastgesteld")=0,0,_xlfn.MAXIFS(L_Revisie,L_Sleutel,$S393,L_Status,"Vastgesteld")+1))</f>
        <v/>
      </c>
      <c r="H393" s="108" t="str">
        <f>IF($AG393="","",P_Peildatum)</f>
        <v/>
      </c>
      <c r="I393" s="92" t="str">
        <f>IF($AG393="","",P_RJ+INDEX($AK$8:$AK$21,INDEX($AC$8:$AC$1407,$AG393)+1))</f>
        <v/>
      </c>
      <c r="J393" s="92" t="str">
        <f>IF($AG393="","",INDEX(V_WBS,INDEX($AB$8:$AB$1407,$AG393)))</f>
        <v/>
      </c>
      <c r="K393" s="92" t="str">
        <f>IF($AG393="","",INDEX(V_Projdef,INDEX($AB$8:$AB$1407,$AG393)))</f>
        <v/>
      </c>
      <c r="L393" s="92" t="str">
        <f>IF($AG393="","",INDEX(V_Naam,INDEX($AB$8:$AB$1407,$AG393)))</f>
        <v/>
      </c>
      <c r="M393" s="92" t="str">
        <f>IF($AG393="","",INDEX(V_Type,INDEX($AB$8:$AB$1407,$AG393)))</f>
        <v/>
      </c>
      <c r="N393" s="92" t="str">
        <f>IF($AG393="","",INDEX(V_IFRS,INDEX($AB$8:$AB$1407,$AG393)))</f>
        <v/>
      </c>
      <c r="O393" s="92" t="str">
        <f>IF($AG393="","",INDEX($AL$8:$AL$21,INDEX($AC$8:$AC$1407,$AG393)+1))</f>
        <v/>
      </c>
      <c r="P393" s="109" t="str">
        <f>IF($AG393="","",INDEX($AD$8:$AD$1407,$AG393))</f>
        <v/>
      </c>
      <c r="Q393" s="92" t="str">
        <f>IF($AG393="","",INDEX($AM$8:$AM$21,INDEX($AC$8:$AC$1407,$AG393)+1))</f>
        <v/>
      </c>
      <c r="R393" s="92" t="str">
        <f>IF($AG393="","",IF($G393&gt;0,P_ToelCorrectie&amp;"",""))</f>
        <v/>
      </c>
      <c r="S393" s="15" t="str">
        <f>IF(J393="","",J393&amp;"|"&amp;E393&amp;"|"&amp;F393&amp;"|"&amp;I393&amp;"|"&amp;O393)</f>
        <v/>
      </c>
      <c r="T393" s="111" t="str">
        <f>IF(S393="","",IF(COUNTIFS(L_Sleutel,S393,L_Actief,1)=0,"",SUMIFS(L_Waarde,L_Sleutel,S393,L_Actief,1)))</f>
        <v/>
      </c>
      <c r="U393" s="111">
        <f>IF(OR(S393="",T393=""),0,P393-T393)</f>
        <v>0</v>
      </c>
      <c r="AB393" s="112" t="n">
        <v>28</v>
      </c>
      <c r="AC393" s="112" t="n">
        <v>7</v>
      </c>
      <c r="AD393" s="112" t="str">
        <f>VERW_Project!AW33</f>
        <v/>
      </c>
      <c r="AE393" s="112">
        <f>IF(AND(VERW_Project!$A33&lt;&gt;"",ISNUMBER(AD393)),1,0)</f>
        <v>0</v>
      </c>
      <c r="AF393" s="112" t="str">
        <f>IF(AE393=1,SUM($AE$8:AE393),"")</f>
        <v/>
      </c>
      <c r="AG393" t="str">
        <f>IFERROR(MATCH(386,$AF$8:$AF$1407,0),"")</f>
        <v/>
      </c>
    </row>
    <row r="394">
      <c r="A394" s="92" t="str">
        <f>IF($AG394="","",P_ImportID)</f>
        <v/>
      </c>
      <c r="B394" s="92" t="str">
        <f>IF($AG394="","",IF(INDEX($AN$8:$AN$21,INDEX($AC$8:$AC$1407,$AG394)+1)="Z",P_BronZ,P_BronE))</f>
        <v/>
      </c>
      <c r="C394" s="108" t="str">
        <f>IF($AG394="","",P_Importdatum)</f>
        <v/>
      </c>
      <c r="D394" s="92" t="str">
        <f>IF($AG394="","",P_StatusVastleg)</f>
        <v/>
      </c>
      <c r="E394" s="92" t="str">
        <f>IF($AG394="","",P_UploadVJ)</f>
        <v/>
      </c>
      <c r="F394" s="92" t="str">
        <f>IF($AG394="","",P_UploadVersie)</f>
        <v/>
      </c>
      <c r="G394" s="92" t="str">
        <f>IF($AG394="","",IF(COUNTIFS(L_Sleutel,$S394,L_Status,"Vastgesteld")=0,0,_xlfn.MAXIFS(L_Revisie,L_Sleutel,$S394,L_Status,"Vastgesteld")+1))</f>
        <v/>
      </c>
      <c r="H394" s="108" t="str">
        <f>IF($AG394="","",P_Peildatum)</f>
        <v/>
      </c>
      <c r="I394" s="92" t="str">
        <f>IF($AG394="","",P_RJ+INDEX($AK$8:$AK$21,INDEX($AC$8:$AC$1407,$AG394)+1))</f>
        <v/>
      </c>
      <c r="J394" s="92" t="str">
        <f>IF($AG394="","",INDEX(V_WBS,INDEX($AB$8:$AB$1407,$AG394)))</f>
        <v/>
      </c>
      <c r="K394" s="92" t="str">
        <f>IF($AG394="","",INDEX(V_Projdef,INDEX($AB$8:$AB$1407,$AG394)))</f>
        <v/>
      </c>
      <c r="L394" s="92" t="str">
        <f>IF($AG394="","",INDEX(V_Naam,INDEX($AB$8:$AB$1407,$AG394)))</f>
        <v/>
      </c>
      <c r="M394" s="92" t="str">
        <f>IF($AG394="","",INDEX(V_Type,INDEX($AB$8:$AB$1407,$AG394)))</f>
        <v/>
      </c>
      <c r="N394" s="92" t="str">
        <f>IF($AG394="","",INDEX(V_IFRS,INDEX($AB$8:$AB$1407,$AG394)))</f>
        <v/>
      </c>
      <c r="O394" s="92" t="str">
        <f>IF($AG394="","",INDEX($AL$8:$AL$21,INDEX($AC$8:$AC$1407,$AG394)+1))</f>
        <v/>
      </c>
      <c r="P394" s="109" t="str">
        <f>IF($AG394="","",INDEX($AD$8:$AD$1407,$AG394))</f>
        <v/>
      </c>
      <c r="Q394" s="92" t="str">
        <f>IF($AG394="","",INDEX($AM$8:$AM$21,INDEX($AC$8:$AC$1407,$AG394)+1))</f>
        <v/>
      </c>
      <c r="R394" s="92" t="str">
        <f>IF($AG394="","",IF($G394&gt;0,P_ToelCorrectie&amp;"",""))</f>
        <v/>
      </c>
      <c r="S394" s="15" t="str">
        <f>IF(J394="","",J394&amp;"|"&amp;E394&amp;"|"&amp;F394&amp;"|"&amp;I394&amp;"|"&amp;O394)</f>
        <v/>
      </c>
      <c r="T394" s="111" t="str">
        <f>IF(S394="","",IF(COUNTIFS(L_Sleutel,S394,L_Actief,1)=0,"",SUMIFS(L_Waarde,L_Sleutel,S394,L_Actief,1)))</f>
        <v/>
      </c>
      <c r="U394" s="111">
        <f>IF(OR(S394="",T394=""),0,P394-T394)</f>
        <v>0</v>
      </c>
      <c r="AB394" s="112" t="n">
        <v>28</v>
      </c>
      <c r="AC394" s="112" t="n">
        <v>8</v>
      </c>
      <c r="AD394" s="112" t="str">
        <f>VERW_Project!BQ33</f>
        <v/>
      </c>
      <c r="AE394" s="112">
        <f>IF(AND(VERW_Project!$A33&lt;&gt;"",ISNUMBER(AD394)),1,0)</f>
        <v>0</v>
      </c>
      <c r="AF394" s="112" t="str">
        <f>IF(AE394=1,SUM($AE$8:AE394),"")</f>
        <v/>
      </c>
      <c r="AG394" t="str">
        <f>IFERROR(MATCH(387,$AF$8:$AF$1407,0),"")</f>
        <v/>
      </c>
    </row>
    <row r="395">
      <c r="A395" s="92" t="str">
        <f>IF($AG395="","",P_ImportID)</f>
        <v/>
      </c>
      <c r="B395" s="92" t="str">
        <f>IF($AG395="","",IF(INDEX($AN$8:$AN$21,INDEX($AC$8:$AC$1407,$AG395)+1)="Z",P_BronZ,P_BronE))</f>
        <v/>
      </c>
      <c r="C395" s="108" t="str">
        <f>IF($AG395="","",P_Importdatum)</f>
        <v/>
      </c>
      <c r="D395" s="92" t="str">
        <f>IF($AG395="","",P_StatusVastleg)</f>
        <v/>
      </c>
      <c r="E395" s="92" t="str">
        <f>IF($AG395="","",P_UploadVJ)</f>
        <v/>
      </c>
      <c r="F395" s="92" t="str">
        <f>IF($AG395="","",P_UploadVersie)</f>
        <v/>
      </c>
      <c r="G395" s="92" t="str">
        <f>IF($AG395="","",IF(COUNTIFS(L_Sleutel,$S395,L_Status,"Vastgesteld")=0,0,_xlfn.MAXIFS(L_Revisie,L_Sleutel,$S395,L_Status,"Vastgesteld")+1))</f>
        <v/>
      </c>
      <c r="H395" s="108" t="str">
        <f>IF($AG395="","",P_Peildatum)</f>
        <v/>
      </c>
      <c r="I395" s="92" t="str">
        <f>IF($AG395="","",P_RJ+INDEX($AK$8:$AK$21,INDEX($AC$8:$AC$1407,$AG395)+1))</f>
        <v/>
      </c>
      <c r="J395" s="92" t="str">
        <f>IF($AG395="","",INDEX(V_WBS,INDEX($AB$8:$AB$1407,$AG395)))</f>
        <v/>
      </c>
      <c r="K395" s="92" t="str">
        <f>IF($AG395="","",INDEX(V_Projdef,INDEX($AB$8:$AB$1407,$AG395)))</f>
        <v/>
      </c>
      <c r="L395" s="92" t="str">
        <f>IF($AG395="","",INDEX(V_Naam,INDEX($AB$8:$AB$1407,$AG395)))</f>
        <v/>
      </c>
      <c r="M395" s="92" t="str">
        <f>IF($AG395="","",INDEX(V_Type,INDEX($AB$8:$AB$1407,$AG395)))</f>
        <v/>
      </c>
      <c r="N395" s="92" t="str">
        <f>IF($AG395="","",INDEX(V_IFRS,INDEX($AB$8:$AB$1407,$AG395)))</f>
        <v/>
      </c>
      <c r="O395" s="92" t="str">
        <f>IF($AG395="","",INDEX($AL$8:$AL$21,INDEX($AC$8:$AC$1407,$AG395)+1))</f>
        <v/>
      </c>
      <c r="P395" s="109" t="str">
        <f>IF($AG395="","",INDEX($AD$8:$AD$1407,$AG395))</f>
        <v/>
      </c>
      <c r="Q395" s="92" t="str">
        <f>IF($AG395="","",INDEX($AM$8:$AM$21,INDEX($AC$8:$AC$1407,$AG395)+1))</f>
        <v/>
      </c>
      <c r="R395" s="92" t="str">
        <f>IF($AG395="","",IF($G395&gt;0,P_ToelCorrectie&amp;"",""))</f>
        <v/>
      </c>
      <c r="S395" s="15" t="str">
        <f>IF(J395="","",J395&amp;"|"&amp;E395&amp;"|"&amp;F395&amp;"|"&amp;I395&amp;"|"&amp;O395)</f>
        <v/>
      </c>
      <c r="T395" s="111" t="str">
        <f>IF(S395="","",IF(COUNTIFS(L_Sleutel,S395,L_Actief,1)=0,"",SUMIFS(L_Waarde,L_Sleutel,S395,L_Actief,1)))</f>
        <v/>
      </c>
      <c r="U395" s="111">
        <f>IF(OR(S395="",T395=""),0,P395-T395)</f>
        <v>0</v>
      </c>
      <c r="AB395" s="112" t="n">
        <v>28</v>
      </c>
      <c r="AC395" s="112" t="n">
        <v>9</v>
      </c>
      <c r="AD395" s="112" t="str">
        <f>VERW_Project!BR33</f>
        <v/>
      </c>
      <c r="AE395" s="112">
        <f>IF(AND(VERW_Project!$A33&lt;&gt;"",ISNUMBER(AD395)),1,0)</f>
        <v>0</v>
      </c>
      <c r="AF395" s="112" t="str">
        <f>IF(AE395=1,SUM($AE$8:AE395),"")</f>
        <v/>
      </c>
      <c r="AG395" t="str">
        <f>IFERROR(MATCH(388,$AF$8:$AF$1407,0),"")</f>
        <v/>
      </c>
    </row>
    <row r="396">
      <c r="A396" s="92" t="str">
        <f>IF($AG396="","",P_ImportID)</f>
        <v/>
      </c>
      <c r="B396" s="92" t="str">
        <f>IF($AG396="","",IF(INDEX($AN$8:$AN$21,INDEX($AC$8:$AC$1407,$AG396)+1)="Z",P_BronZ,P_BronE))</f>
        <v/>
      </c>
      <c r="C396" s="108" t="str">
        <f>IF($AG396="","",P_Importdatum)</f>
        <v/>
      </c>
      <c r="D396" s="92" t="str">
        <f>IF($AG396="","",P_StatusVastleg)</f>
        <v/>
      </c>
      <c r="E396" s="92" t="str">
        <f>IF($AG396="","",P_UploadVJ)</f>
        <v/>
      </c>
      <c r="F396" s="92" t="str">
        <f>IF($AG396="","",P_UploadVersie)</f>
        <v/>
      </c>
      <c r="G396" s="92" t="str">
        <f>IF($AG396="","",IF(COUNTIFS(L_Sleutel,$S396,L_Status,"Vastgesteld")=0,0,_xlfn.MAXIFS(L_Revisie,L_Sleutel,$S396,L_Status,"Vastgesteld")+1))</f>
        <v/>
      </c>
      <c r="H396" s="108" t="str">
        <f>IF($AG396="","",P_Peildatum)</f>
        <v/>
      </c>
      <c r="I396" s="92" t="str">
        <f>IF($AG396="","",P_RJ+INDEX($AK$8:$AK$21,INDEX($AC$8:$AC$1407,$AG396)+1))</f>
        <v/>
      </c>
      <c r="J396" s="92" t="str">
        <f>IF($AG396="","",INDEX(V_WBS,INDEX($AB$8:$AB$1407,$AG396)))</f>
        <v/>
      </c>
      <c r="K396" s="92" t="str">
        <f>IF($AG396="","",INDEX(V_Projdef,INDEX($AB$8:$AB$1407,$AG396)))</f>
        <v/>
      </c>
      <c r="L396" s="92" t="str">
        <f>IF($AG396="","",INDEX(V_Naam,INDEX($AB$8:$AB$1407,$AG396)))</f>
        <v/>
      </c>
      <c r="M396" s="92" t="str">
        <f>IF($AG396="","",INDEX(V_Type,INDEX($AB$8:$AB$1407,$AG396)))</f>
        <v/>
      </c>
      <c r="N396" s="92" t="str">
        <f>IF($AG396="","",INDEX(V_IFRS,INDEX($AB$8:$AB$1407,$AG396)))</f>
        <v/>
      </c>
      <c r="O396" s="92" t="str">
        <f>IF($AG396="","",INDEX($AL$8:$AL$21,INDEX($AC$8:$AC$1407,$AG396)+1))</f>
        <v/>
      </c>
      <c r="P396" s="109" t="str">
        <f>IF($AG396="","",INDEX($AD$8:$AD$1407,$AG396))</f>
        <v/>
      </c>
      <c r="Q396" s="92" t="str">
        <f>IF($AG396="","",INDEX($AM$8:$AM$21,INDEX($AC$8:$AC$1407,$AG396)+1))</f>
        <v/>
      </c>
      <c r="R396" s="92" t="str">
        <f>IF($AG396="","",IF($G396&gt;0,P_ToelCorrectie&amp;"",""))</f>
        <v/>
      </c>
      <c r="S396" s="15" t="str">
        <f>IF(J396="","",J396&amp;"|"&amp;E396&amp;"|"&amp;F396&amp;"|"&amp;I396&amp;"|"&amp;O396)</f>
        <v/>
      </c>
      <c r="T396" s="111" t="str">
        <f>IF(S396="","",IF(COUNTIFS(L_Sleutel,S396,L_Actief,1)=0,"",SUMIFS(L_Waarde,L_Sleutel,S396,L_Actief,1)))</f>
        <v/>
      </c>
      <c r="U396" s="111">
        <f>IF(OR(S396="",T396=""),0,P396-T396)</f>
        <v>0</v>
      </c>
      <c r="AB396" s="112" t="n">
        <v>28</v>
      </c>
      <c r="AC396" s="112" t="n">
        <v>10</v>
      </c>
      <c r="AD396" s="112" t="str">
        <f>VERW_Project!BS33</f>
        <v/>
      </c>
      <c r="AE396" s="112">
        <f>IF(AND(VERW_Project!$A33&lt;&gt;"",ISNUMBER(AD396)),1,0)</f>
        <v>0</v>
      </c>
      <c r="AF396" s="112" t="str">
        <f>IF(AE396=1,SUM($AE$8:AE396),"")</f>
        <v/>
      </c>
      <c r="AG396" t="str">
        <f>IFERROR(MATCH(389,$AF$8:$AF$1407,0),"")</f>
        <v/>
      </c>
    </row>
    <row r="397">
      <c r="A397" s="92" t="str">
        <f>IF($AG397="","",P_ImportID)</f>
        <v/>
      </c>
      <c r="B397" s="92" t="str">
        <f>IF($AG397="","",IF(INDEX($AN$8:$AN$21,INDEX($AC$8:$AC$1407,$AG397)+1)="Z",P_BronZ,P_BronE))</f>
        <v/>
      </c>
      <c r="C397" s="108" t="str">
        <f>IF($AG397="","",P_Importdatum)</f>
        <v/>
      </c>
      <c r="D397" s="92" t="str">
        <f>IF($AG397="","",P_StatusVastleg)</f>
        <v/>
      </c>
      <c r="E397" s="92" t="str">
        <f>IF($AG397="","",P_UploadVJ)</f>
        <v/>
      </c>
      <c r="F397" s="92" t="str">
        <f>IF($AG397="","",P_UploadVersie)</f>
        <v/>
      </c>
      <c r="G397" s="92" t="str">
        <f>IF($AG397="","",IF(COUNTIFS(L_Sleutel,$S397,L_Status,"Vastgesteld")=0,0,_xlfn.MAXIFS(L_Revisie,L_Sleutel,$S397,L_Status,"Vastgesteld")+1))</f>
        <v/>
      </c>
      <c r="H397" s="108" t="str">
        <f>IF($AG397="","",P_Peildatum)</f>
        <v/>
      </c>
      <c r="I397" s="92" t="str">
        <f>IF($AG397="","",P_RJ+INDEX($AK$8:$AK$21,INDEX($AC$8:$AC$1407,$AG397)+1))</f>
        <v/>
      </c>
      <c r="J397" s="92" t="str">
        <f>IF($AG397="","",INDEX(V_WBS,INDEX($AB$8:$AB$1407,$AG397)))</f>
        <v/>
      </c>
      <c r="K397" s="92" t="str">
        <f>IF($AG397="","",INDEX(V_Projdef,INDEX($AB$8:$AB$1407,$AG397)))</f>
        <v/>
      </c>
      <c r="L397" s="92" t="str">
        <f>IF($AG397="","",INDEX(V_Naam,INDEX($AB$8:$AB$1407,$AG397)))</f>
        <v/>
      </c>
      <c r="M397" s="92" t="str">
        <f>IF($AG397="","",INDEX(V_Type,INDEX($AB$8:$AB$1407,$AG397)))</f>
        <v/>
      </c>
      <c r="N397" s="92" t="str">
        <f>IF($AG397="","",INDEX(V_IFRS,INDEX($AB$8:$AB$1407,$AG397)))</f>
        <v/>
      </c>
      <c r="O397" s="92" t="str">
        <f>IF($AG397="","",INDEX($AL$8:$AL$21,INDEX($AC$8:$AC$1407,$AG397)+1))</f>
        <v/>
      </c>
      <c r="P397" s="109" t="str">
        <f>IF($AG397="","",INDEX($AD$8:$AD$1407,$AG397))</f>
        <v/>
      </c>
      <c r="Q397" s="92" t="str">
        <f>IF($AG397="","",INDEX($AM$8:$AM$21,INDEX($AC$8:$AC$1407,$AG397)+1))</f>
        <v/>
      </c>
      <c r="R397" s="92" t="str">
        <f>IF($AG397="","",IF($G397&gt;0,P_ToelCorrectie&amp;"",""))</f>
        <v/>
      </c>
      <c r="S397" s="15" t="str">
        <f>IF(J397="","",J397&amp;"|"&amp;E397&amp;"|"&amp;F397&amp;"|"&amp;I397&amp;"|"&amp;O397)</f>
        <v/>
      </c>
      <c r="T397" s="111" t="str">
        <f>IF(S397="","",IF(COUNTIFS(L_Sleutel,S397,L_Actief,1)=0,"",SUMIFS(L_Waarde,L_Sleutel,S397,L_Actief,1)))</f>
        <v/>
      </c>
      <c r="U397" s="111">
        <f>IF(OR(S397="",T397=""),0,P397-T397)</f>
        <v>0</v>
      </c>
      <c r="AB397" s="112" t="n">
        <v>28</v>
      </c>
      <c r="AC397" s="112" t="n">
        <v>11</v>
      </c>
      <c r="AD397" s="112" t="str">
        <f>VERW_Project!BT33</f>
        <v/>
      </c>
      <c r="AE397" s="112">
        <f>IF(AND(VERW_Project!$A33&lt;&gt;"",ISNUMBER(AD397)),1,0)</f>
        <v>0</v>
      </c>
      <c r="AF397" s="112" t="str">
        <f>IF(AE397=1,SUM($AE$8:AE397),"")</f>
        <v/>
      </c>
      <c r="AG397" t="str">
        <f>IFERROR(MATCH(390,$AF$8:$AF$1407,0),"")</f>
        <v/>
      </c>
    </row>
    <row r="398">
      <c r="A398" s="92" t="str">
        <f>IF($AG398="","",P_ImportID)</f>
        <v/>
      </c>
      <c r="B398" s="92" t="str">
        <f>IF($AG398="","",IF(INDEX($AN$8:$AN$21,INDEX($AC$8:$AC$1407,$AG398)+1)="Z",P_BronZ,P_BronE))</f>
        <v/>
      </c>
      <c r="C398" s="108" t="str">
        <f>IF($AG398="","",P_Importdatum)</f>
        <v/>
      </c>
      <c r="D398" s="92" t="str">
        <f>IF($AG398="","",P_StatusVastleg)</f>
        <v/>
      </c>
      <c r="E398" s="92" t="str">
        <f>IF($AG398="","",P_UploadVJ)</f>
        <v/>
      </c>
      <c r="F398" s="92" t="str">
        <f>IF($AG398="","",P_UploadVersie)</f>
        <v/>
      </c>
      <c r="G398" s="92" t="str">
        <f>IF($AG398="","",IF(COUNTIFS(L_Sleutel,$S398,L_Status,"Vastgesteld")=0,0,_xlfn.MAXIFS(L_Revisie,L_Sleutel,$S398,L_Status,"Vastgesteld")+1))</f>
        <v/>
      </c>
      <c r="H398" s="108" t="str">
        <f>IF($AG398="","",P_Peildatum)</f>
        <v/>
      </c>
      <c r="I398" s="92" t="str">
        <f>IF($AG398="","",P_RJ+INDEX($AK$8:$AK$21,INDEX($AC$8:$AC$1407,$AG398)+1))</f>
        <v/>
      </c>
      <c r="J398" s="92" t="str">
        <f>IF($AG398="","",INDEX(V_WBS,INDEX($AB$8:$AB$1407,$AG398)))</f>
        <v/>
      </c>
      <c r="K398" s="92" t="str">
        <f>IF($AG398="","",INDEX(V_Projdef,INDEX($AB$8:$AB$1407,$AG398)))</f>
        <v/>
      </c>
      <c r="L398" s="92" t="str">
        <f>IF($AG398="","",INDEX(V_Naam,INDEX($AB$8:$AB$1407,$AG398)))</f>
        <v/>
      </c>
      <c r="M398" s="92" t="str">
        <f>IF($AG398="","",INDEX(V_Type,INDEX($AB$8:$AB$1407,$AG398)))</f>
        <v/>
      </c>
      <c r="N398" s="92" t="str">
        <f>IF($AG398="","",INDEX(V_IFRS,INDEX($AB$8:$AB$1407,$AG398)))</f>
        <v/>
      </c>
      <c r="O398" s="92" t="str">
        <f>IF($AG398="","",INDEX($AL$8:$AL$21,INDEX($AC$8:$AC$1407,$AG398)+1))</f>
        <v/>
      </c>
      <c r="P398" s="109" t="str">
        <f>IF($AG398="","",INDEX($AD$8:$AD$1407,$AG398))</f>
        <v/>
      </c>
      <c r="Q398" s="92" t="str">
        <f>IF($AG398="","",INDEX($AM$8:$AM$21,INDEX($AC$8:$AC$1407,$AG398)+1))</f>
        <v/>
      </c>
      <c r="R398" s="92" t="str">
        <f>IF($AG398="","",IF($G398&gt;0,P_ToelCorrectie&amp;"",""))</f>
        <v/>
      </c>
      <c r="S398" s="15" t="str">
        <f>IF(J398="","",J398&amp;"|"&amp;E398&amp;"|"&amp;F398&amp;"|"&amp;I398&amp;"|"&amp;O398)</f>
        <v/>
      </c>
      <c r="T398" s="111" t="str">
        <f>IF(S398="","",IF(COUNTIFS(L_Sleutel,S398,L_Actief,1)=0,"",SUMIFS(L_Waarde,L_Sleutel,S398,L_Actief,1)))</f>
        <v/>
      </c>
      <c r="U398" s="111">
        <f>IF(OR(S398="",T398=""),0,P398-T398)</f>
        <v>0</v>
      </c>
      <c r="AB398" s="112" t="n">
        <v>28</v>
      </c>
      <c r="AC398" s="112" t="n">
        <v>12</v>
      </c>
      <c r="AD398" s="112" t="str">
        <f>VERW_Project!BU33</f>
        <v/>
      </c>
      <c r="AE398" s="112">
        <f>IF(AND(VERW_Project!$A33&lt;&gt;"",ISNUMBER(AD398)),1,0)</f>
        <v>0</v>
      </c>
      <c r="AF398" s="112" t="str">
        <f>IF(AE398=1,SUM($AE$8:AE398),"")</f>
        <v/>
      </c>
      <c r="AG398" t="str">
        <f>IFERROR(MATCH(391,$AF$8:$AF$1407,0),"")</f>
        <v/>
      </c>
    </row>
    <row r="399">
      <c r="A399" s="92" t="str">
        <f>IF($AG399="","",P_ImportID)</f>
        <v/>
      </c>
      <c r="B399" s="92" t="str">
        <f>IF($AG399="","",IF(INDEX($AN$8:$AN$21,INDEX($AC$8:$AC$1407,$AG399)+1)="Z",P_BronZ,P_BronE))</f>
        <v/>
      </c>
      <c r="C399" s="108" t="str">
        <f>IF($AG399="","",P_Importdatum)</f>
        <v/>
      </c>
      <c r="D399" s="92" t="str">
        <f>IF($AG399="","",P_StatusVastleg)</f>
        <v/>
      </c>
      <c r="E399" s="92" t="str">
        <f>IF($AG399="","",P_UploadVJ)</f>
        <v/>
      </c>
      <c r="F399" s="92" t="str">
        <f>IF($AG399="","",P_UploadVersie)</f>
        <v/>
      </c>
      <c r="G399" s="92" t="str">
        <f>IF($AG399="","",IF(COUNTIFS(L_Sleutel,$S399,L_Status,"Vastgesteld")=0,0,_xlfn.MAXIFS(L_Revisie,L_Sleutel,$S399,L_Status,"Vastgesteld")+1))</f>
        <v/>
      </c>
      <c r="H399" s="108" t="str">
        <f>IF($AG399="","",P_Peildatum)</f>
        <v/>
      </c>
      <c r="I399" s="92" t="str">
        <f>IF($AG399="","",P_RJ+INDEX($AK$8:$AK$21,INDEX($AC$8:$AC$1407,$AG399)+1))</f>
        <v/>
      </c>
      <c r="J399" s="92" t="str">
        <f>IF($AG399="","",INDEX(V_WBS,INDEX($AB$8:$AB$1407,$AG399)))</f>
        <v/>
      </c>
      <c r="K399" s="92" t="str">
        <f>IF($AG399="","",INDEX(V_Projdef,INDEX($AB$8:$AB$1407,$AG399)))</f>
        <v/>
      </c>
      <c r="L399" s="92" t="str">
        <f>IF($AG399="","",INDEX(V_Naam,INDEX($AB$8:$AB$1407,$AG399)))</f>
        <v/>
      </c>
      <c r="M399" s="92" t="str">
        <f>IF($AG399="","",INDEX(V_Type,INDEX($AB$8:$AB$1407,$AG399)))</f>
        <v/>
      </c>
      <c r="N399" s="92" t="str">
        <f>IF($AG399="","",INDEX(V_IFRS,INDEX($AB$8:$AB$1407,$AG399)))</f>
        <v/>
      </c>
      <c r="O399" s="92" t="str">
        <f>IF($AG399="","",INDEX($AL$8:$AL$21,INDEX($AC$8:$AC$1407,$AG399)+1))</f>
        <v/>
      </c>
      <c r="P399" s="109" t="str">
        <f>IF($AG399="","",INDEX($AD$8:$AD$1407,$AG399))</f>
        <v/>
      </c>
      <c r="Q399" s="92" t="str">
        <f>IF($AG399="","",INDEX($AM$8:$AM$21,INDEX($AC$8:$AC$1407,$AG399)+1))</f>
        <v/>
      </c>
      <c r="R399" s="92" t="str">
        <f>IF($AG399="","",IF($G399&gt;0,P_ToelCorrectie&amp;"",""))</f>
        <v/>
      </c>
      <c r="S399" s="15" t="str">
        <f>IF(J399="","",J399&amp;"|"&amp;E399&amp;"|"&amp;F399&amp;"|"&amp;I399&amp;"|"&amp;O399)</f>
        <v/>
      </c>
      <c r="T399" s="111" t="str">
        <f>IF(S399="","",IF(COUNTIFS(L_Sleutel,S399,L_Actief,1)=0,"",SUMIFS(L_Waarde,L_Sleutel,S399,L_Actief,1)))</f>
        <v/>
      </c>
      <c r="U399" s="111">
        <f>IF(OR(S399="",T399=""),0,P399-T399)</f>
        <v>0</v>
      </c>
      <c r="AB399" s="112" t="n">
        <v>28</v>
      </c>
      <c r="AC399" s="112" t="n">
        <v>13</v>
      </c>
      <c r="AD399" s="112" t="str">
        <f>VERW_Project!BX33</f>
        <v/>
      </c>
      <c r="AE399" s="112">
        <f>IF(AND(VERW_Project!$A33&lt;&gt;"",ISNUMBER(AD399)),1,0)</f>
        <v>0</v>
      </c>
      <c r="AF399" s="112" t="str">
        <f>IF(AE399=1,SUM($AE$8:AE399),"")</f>
        <v/>
      </c>
      <c r="AG399" t="str">
        <f>IFERROR(MATCH(392,$AF$8:$AF$1407,0),"")</f>
        <v/>
      </c>
    </row>
    <row r="400">
      <c r="A400" s="92" t="str">
        <f>IF($AG400="","",P_ImportID)</f>
        <v/>
      </c>
      <c r="B400" s="92" t="str">
        <f>IF($AG400="","",IF(INDEX($AN$8:$AN$21,INDEX($AC$8:$AC$1407,$AG400)+1)="Z",P_BronZ,P_BronE))</f>
        <v/>
      </c>
      <c r="C400" s="108" t="str">
        <f>IF($AG400="","",P_Importdatum)</f>
        <v/>
      </c>
      <c r="D400" s="92" t="str">
        <f>IF($AG400="","",P_StatusVastleg)</f>
        <v/>
      </c>
      <c r="E400" s="92" t="str">
        <f>IF($AG400="","",P_UploadVJ)</f>
        <v/>
      </c>
      <c r="F400" s="92" t="str">
        <f>IF($AG400="","",P_UploadVersie)</f>
        <v/>
      </c>
      <c r="G400" s="92" t="str">
        <f>IF($AG400="","",IF(COUNTIFS(L_Sleutel,$S400,L_Status,"Vastgesteld")=0,0,_xlfn.MAXIFS(L_Revisie,L_Sleutel,$S400,L_Status,"Vastgesteld")+1))</f>
        <v/>
      </c>
      <c r="H400" s="108" t="str">
        <f>IF($AG400="","",P_Peildatum)</f>
        <v/>
      </c>
      <c r="I400" s="92" t="str">
        <f>IF($AG400="","",P_RJ+INDEX($AK$8:$AK$21,INDEX($AC$8:$AC$1407,$AG400)+1))</f>
        <v/>
      </c>
      <c r="J400" s="92" t="str">
        <f>IF($AG400="","",INDEX(V_WBS,INDEX($AB$8:$AB$1407,$AG400)))</f>
        <v/>
      </c>
      <c r="K400" s="92" t="str">
        <f>IF($AG400="","",INDEX(V_Projdef,INDEX($AB$8:$AB$1407,$AG400)))</f>
        <v/>
      </c>
      <c r="L400" s="92" t="str">
        <f>IF($AG400="","",INDEX(V_Naam,INDEX($AB$8:$AB$1407,$AG400)))</f>
        <v/>
      </c>
      <c r="M400" s="92" t="str">
        <f>IF($AG400="","",INDEX(V_Type,INDEX($AB$8:$AB$1407,$AG400)))</f>
        <v/>
      </c>
      <c r="N400" s="92" t="str">
        <f>IF($AG400="","",INDEX(V_IFRS,INDEX($AB$8:$AB$1407,$AG400)))</f>
        <v/>
      </c>
      <c r="O400" s="92" t="str">
        <f>IF($AG400="","",INDEX($AL$8:$AL$21,INDEX($AC$8:$AC$1407,$AG400)+1))</f>
        <v/>
      </c>
      <c r="P400" s="109" t="str">
        <f>IF($AG400="","",INDEX($AD$8:$AD$1407,$AG400))</f>
        <v/>
      </c>
      <c r="Q400" s="92" t="str">
        <f>IF($AG400="","",INDEX($AM$8:$AM$21,INDEX($AC$8:$AC$1407,$AG400)+1))</f>
        <v/>
      </c>
      <c r="R400" s="92" t="str">
        <f>IF($AG400="","",IF($G400&gt;0,P_ToelCorrectie&amp;"",""))</f>
        <v/>
      </c>
      <c r="S400" s="15" t="str">
        <f>IF(J400="","",J400&amp;"|"&amp;E400&amp;"|"&amp;F400&amp;"|"&amp;I400&amp;"|"&amp;O400)</f>
        <v/>
      </c>
      <c r="T400" s="111" t="str">
        <f>IF(S400="","",IF(COUNTIFS(L_Sleutel,S400,L_Actief,1)=0,"",SUMIFS(L_Waarde,L_Sleutel,S400,L_Actief,1)))</f>
        <v/>
      </c>
      <c r="U400" s="111">
        <f>IF(OR(S400="",T400=""),0,P400-T400)</f>
        <v>0</v>
      </c>
      <c r="AB400" s="112" t="n">
        <v>29</v>
      </c>
      <c r="AC400" s="112" t="n">
        <v>0</v>
      </c>
      <c r="AD400" s="112" t="str">
        <f>VERW_Project!P34</f>
        <v/>
      </c>
      <c r="AE400" s="112">
        <f>IF(AND(VERW_Project!$A34&lt;&gt;"",ISNUMBER(AD400)),1,0)</f>
        <v>0</v>
      </c>
      <c r="AF400" s="112" t="str">
        <f>IF(AE400=1,SUM($AE$8:AE400),"")</f>
        <v/>
      </c>
      <c r="AG400" t="str">
        <f>IFERROR(MATCH(393,$AF$8:$AF$1407,0),"")</f>
        <v/>
      </c>
    </row>
    <row r="401">
      <c r="A401" s="92" t="str">
        <f>IF($AG401="","",P_ImportID)</f>
        <v/>
      </c>
      <c r="B401" s="92" t="str">
        <f>IF($AG401="","",IF(INDEX($AN$8:$AN$21,INDEX($AC$8:$AC$1407,$AG401)+1)="Z",P_BronZ,P_BronE))</f>
        <v/>
      </c>
      <c r="C401" s="108" t="str">
        <f>IF($AG401="","",P_Importdatum)</f>
        <v/>
      </c>
      <c r="D401" s="92" t="str">
        <f>IF($AG401="","",P_StatusVastleg)</f>
        <v/>
      </c>
      <c r="E401" s="92" t="str">
        <f>IF($AG401="","",P_UploadVJ)</f>
        <v/>
      </c>
      <c r="F401" s="92" t="str">
        <f>IF($AG401="","",P_UploadVersie)</f>
        <v/>
      </c>
      <c r="G401" s="92" t="str">
        <f>IF($AG401="","",IF(COUNTIFS(L_Sleutel,$S401,L_Status,"Vastgesteld")=0,0,_xlfn.MAXIFS(L_Revisie,L_Sleutel,$S401,L_Status,"Vastgesteld")+1))</f>
        <v/>
      </c>
      <c r="H401" s="108" t="str">
        <f>IF($AG401="","",P_Peildatum)</f>
        <v/>
      </c>
      <c r="I401" s="92" t="str">
        <f>IF($AG401="","",P_RJ+INDEX($AK$8:$AK$21,INDEX($AC$8:$AC$1407,$AG401)+1))</f>
        <v/>
      </c>
      <c r="J401" s="92" t="str">
        <f>IF($AG401="","",INDEX(V_WBS,INDEX($AB$8:$AB$1407,$AG401)))</f>
        <v/>
      </c>
      <c r="K401" s="92" t="str">
        <f>IF($AG401="","",INDEX(V_Projdef,INDEX($AB$8:$AB$1407,$AG401)))</f>
        <v/>
      </c>
      <c r="L401" s="92" t="str">
        <f>IF($AG401="","",INDEX(V_Naam,INDEX($AB$8:$AB$1407,$AG401)))</f>
        <v/>
      </c>
      <c r="M401" s="92" t="str">
        <f>IF($AG401="","",INDEX(V_Type,INDEX($AB$8:$AB$1407,$AG401)))</f>
        <v/>
      </c>
      <c r="N401" s="92" t="str">
        <f>IF($AG401="","",INDEX(V_IFRS,INDEX($AB$8:$AB$1407,$AG401)))</f>
        <v/>
      </c>
      <c r="O401" s="92" t="str">
        <f>IF($AG401="","",INDEX($AL$8:$AL$21,INDEX($AC$8:$AC$1407,$AG401)+1))</f>
        <v/>
      </c>
      <c r="P401" s="109" t="str">
        <f>IF($AG401="","",INDEX($AD$8:$AD$1407,$AG401))</f>
        <v/>
      </c>
      <c r="Q401" s="92" t="str">
        <f>IF($AG401="","",INDEX($AM$8:$AM$21,INDEX($AC$8:$AC$1407,$AG401)+1))</f>
        <v/>
      </c>
      <c r="R401" s="92" t="str">
        <f>IF($AG401="","",IF($G401&gt;0,P_ToelCorrectie&amp;"",""))</f>
        <v/>
      </c>
      <c r="S401" s="15" t="str">
        <f>IF(J401="","",J401&amp;"|"&amp;E401&amp;"|"&amp;F401&amp;"|"&amp;I401&amp;"|"&amp;O401)</f>
        <v/>
      </c>
      <c r="T401" s="111" t="str">
        <f>IF(S401="","",IF(COUNTIFS(L_Sleutel,S401,L_Actief,1)=0,"",SUMIFS(L_Waarde,L_Sleutel,S401,L_Actief,1)))</f>
        <v/>
      </c>
      <c r="U401" s="111">
        <f>IF(OR(S401="",T401=""),0,P401-T401)</f>
        <v>0</v>
      </c>
      <c r="AB401" s="112" t="n">
        <v>29</v>
      </c>
      <c r="AC401" s="112" t="n">
        <v>1</v>
      </c>
      <c r="AD401" s="112" t="str">
        <f>VERW_Project!Q34</f>
        <v/>
      </c>
      <c r="AE401" s="112">
        <f>IF(AND(VERW_Project!$A34&lt;&gt;"",ISNUMBER(AD401)),1,0)</f>
        <v>0</v>
      </c>
      <c r="AF401" s="112" t="str">
        <f>IF(AE401=1,SUM($AE$8:AE401),"")</f>
        <v/>
      </c>
      <c r="AG401" t="str">
        <f>IFERROR(MATCH(394,$AF$8:$AF$1407,0),"")</f>
        <v/>
      </c>
    </row>
    <row r="402">
      <c r="A402" s="92" t="str">
        <f>IF($AG402="","",P_ImportID)</f>
        <v/>
      </c>
      <c r="B402" s="92" t="str">
        <f>IF($AG402="","",IF(INDEX($AN$8:$AN$21,INDEX($AC$8:$AC$1407,$AG402)+1)="Z",P_BronZ,P_BronE))</f>
        <v/>
      </c>
      <c r="C402" s="108" t="str">
        <f>IF($AG402="","",P_Importdatum)</f>
        <v/>
      </c>
      <c r="D402" s="92" t="str">
        <f>IF($AG402="","",P_StatusVastleg)</f>
        <v/>
      </c>
      <c r="E402" s="92" t="str">
        <f>IF($AG402="","",P_UploadVJ)</f>
        <v/>
      </c>
      <c r="F402" s="92" t="str">
        <f>IF($AG402="","",P_UploadVersie)</f>
        <v/>
      </c>
      <c r="G402" s="92" t="str">
        <f>IF($AG402="","",IF(COUNTIFS(L_Sleutel,$S402,L_Status,"Vastgesteld")=0,0,_xlfn.MAXIFS(L_Revisie,L_Sleutel,$S402,L_Status,"Vastgesteld")+1))</f>
        <v/>
      </c>
      <c r="H402" s="108" t="str">
        <f>IF($AG402="","",P_Peildatum)</f>
        <v/>
      </c>
      <c r="I402" s="92" t="str">
        <f>IF($AG402="","",P_RJ+INDEX($AK$8:$AK$21,INDEX($AC$8:$AC$1407,$AG402)+1))</f>
        <v/>
      </c>
      <c r="J402" s="92" t="str">
        <f>IF($AG402="","",INDEX(V_WBS,INDEX($AB$8:$AB$1407,$AG402)))</f>
        <v/>
      </c>
      <c r="K402" s="92" t="str">
        <f>IF($AG402="","",INDEX(V_Projdef,INDEX($AB$8:$AB$1407,$AG402)))</f>
        <v/>
      </c>
      <c r="L402" s="92" t="str">
        <f>IF($AG402="","",INDEX(V_Naam,INDEX($AB$8:$AB$1407,$AG402)))</f>
        <v/>
      </c>
      <c r="M402" s="92" t="str">
        <f>IF($AG402="","",INDEX(V_Type,INDEX($AB$8:$AB$1407,$AG402)))</f>
        <v/>
      </c>
      <c r="N402" s="92" t="str">
        <f>IF($AG402="","",INDEX(V_IFRS,INDEX($AB$8:$AB$1407,$AG402)))</f>
        <v/>
      </c>
      <c r="O402" s="92" t="str">
        <f>IF($AG402="","",INDEX($AL$8:$AL$21,INDEX($AC$8:$AC$1407,$AG402)+1))</f>
        <v/>
      </c>
      <c r="P402" s="109" t="str">
        <f>IF($AG402="","",INDEX($AD$8:$AD$1407,$AG402))</f>
        <v/>
      </c>
      <c r="Q402" s="92" t="str">
        <f>IF($AG402="","",INDEX($AM$8:$AM$21,INDEX($AC$8:$AC$1407,$AG402)+1))</f>
        <v/>
      </c>
      <c r="R402" s="92" t="str">
        <f>IF($AG402="","",IF($G402&gt;0,P_ToelCorrectie&amp;"",""))</f>
        <v/>
      </c>
      <c r="S402" s="15" t="str">
        <f>IF(J402="","",J402&amp;"|"&amp;E402&amp;"|"&amp;F402&amp;"|"&amp;I402&amp;"|"&amp;O402)</f>
        <v/>
      </c>
      <c r="T402" s="111" t="str">
        <f>IF(S402="","",IF(COUNTIFS(L_Sleutel,S402,L_Actief,1)=0,"",SUMIFS(L_Waarde,L_Sleutel,S402,L_Actief,1)))</f>
        <v/>
      </c>
      <c r="U402" s="111">
        <f>IF(OR(S402="",T402=""),0,P402-T402)</f>
        <v>0</v>
      </c>
      <c r="AB402" s="112" t="n">
        <v>29</v>
      </c>
      <c r="AC402" s="112" t="n">
        <v>2</v>
      </c>
      <c r="AD402" s="112" t="str">
        <f>VERW_Project!L34</f>
        <v/>
      </c>
      <c r="AE402" s="112">
        <f>IF(AND(VERW_Project!$A34&lt;&gt;"",ISNUMBER(AD402)),1,0)</f>
        <v>0</v>
      </c>
      <c r="AF402" s="112" t="str">
        <f>IF(AE402=1,SUM($AE$8:AE402),"")</f>
        <v/>
      </c>
      <c r="AG402" t="str">
        <f>IFERROR(MATCH(395,$AF$8:$AF$1407,0),"")</f>
        <v/>
      </c>
    </row>
    <row r="403">
      <c r="A403" s="92" t="str">
        <f>IF($AG403="","",P_ImportID)</f>
        <v/>
      </c>
      <c r="B403" s="92" t="str">
        <f>IF($AG403="","",IF(INDEX($AN$8:$AN$21,INDEX($AC$8:$AC$1407,$AG403)+1)="Z",P_BronZ,P_BronE))</f>
        <v/>
      </c>
      <c r="C403" s="108" t="str">
        <f>IF($AG403="","",P_Importdatum)</f>
        <v/>
      </c>
      <c r="D403" s="92" t="str">
        <f>IF($AG403="","",P_StatusVastleg)</f>
        <v/>
      </c>
      <c r="E403" s="92" t="str">
        <f>IF($AG403="","",P_UploadVJ)</f>
        <v/>
      </c>
      <c r="F403" s="92" t="str">
        <f>IF($AG403="","",P_UploadVersie)</f>
        <v/>
      </c>
      <c r="G403" s="92" t="str">
        <f>IF($AG403="","",IF(COUNTIFS(L_Sleutel,$S403,L_Status,"Vastgesteld")=0,0,_xlfn.MAXIFS(L_Revisie,L_Sleutel,$S403,L_Status,"Vastgesteld")+1))</f>
        <v/>
      </c>
      <c r="H403" s="108" t="str">
        <f>IF($AG403="","",P_Peildatum)</f>
        <v/>
      </c>
      <c r="I403" s="92" t="str">
        <f>IF($AG403="","",P_RJ+INDEX($AK$8:$AK$21,INDEX($AC$8:$AC$1407,$AG403)+1))</f>
        <v/>
      </c>
      <c r="J403" s="92" t="str">
        <f>IF($AG403="","",INDEX(V_WBS,INDEX($AB$8:$AB$1407,$AG403)))</f>
        <v/>
      </c>
      <c r="K403" s="92" t="str">
        <f>IF($AG403="","",INDEX(V_Projdef,INDEX($AB$8:$AB$1407,$AG403)))</f>
        <v/>
      </c>
      <c r="L403" s="92" t="str">
        <f>IF($AG403="","",INDEX(V_Naam,INDEX($AB$8:$AB$1407,$AG403)))</f>
        <v/>
      </c>
      <c r="M403" s="92" t="str">
        <f>IF($AG403="","",INDEX(V_Type,INDEX($AB$8:$AB$1407,$AG403)))</f>
        <v/>
      </c>
      <c r="N403" s="92" t="str">
        <f>IF($AG403="","",INDEX(V_IFRS,INDEX($AB$8:$AB$1407,$AG403)))</f>
        <v/>
      </c>
      <c r="O403" s="92" t="str">
        <f>IF($AG403="","",INDEX($AL$8:$AL$21,INDEX($AC$8:$AC$1407,$AG403)+1))</f>
        <v/>
      </c>
      <c r="P403" s="109" t="str">
        <f>IF($AG403="","",INDEX($AD$8:$AD$1407,$AG403))</f>
        <v/>
      </c>
      <c r="Q403" s="92" t="str">
        <f>IF($AG403="","",INDEX($AM$8:$AM$21,INDEX($AC$8:$AC$1407,$AG403)+1))</f>
        <v/>
      </c>
      <c r="R403" s="92" t="str">
        <f>IF($AG403="","",IF($G403&gt;0,P_ToelCorrectie&amp;"",""))</f>
        <v/>
      </c>
      <c r="S403" s="15" t="str">
        <f>IF(J403="","",J403&amp;"|"&amp;E403&amp;"|"&amp;F403&amp;"|"&amp;I403&amp;"|"&amp;O403)</f>
        <v/>
      </c>
      <c r="T403" s="111" t="str">
        <f>IF(S403="","",IF(COUNTIFS(L_Sleutel,S403,L_Actief,1)=0,"",SUMIFS(L_Waarde,L_Sleutel,S403,L_Actief,1)))</f>
        <v/>
      </c>
      <c r="U403" s="111">
        <f>IF(OR(S403="",T403=""),0,P403-T403)</f>
        <v>0</v>
      </c>
      <c r="AB403" s="112" t="n">
        <v>29</v>
      </c>
      <c r="AC403" s="112" t="n">
        <v>3</v>
      </c>
      <c r="AD403" s="112" t="str">
        <f>VERW_Project!M34</f>
        <v/>
      </c>
      <c r="AE403" s="112">
        <f>IF(AND(VERW_Project!$A34&lt;&gt;"",ISNUMBER(AD403)),1,0)</f>
        <v>0</v>
      </c>
      <c r="AF403" s="112" t="str">
        <f>IF(AE403=1,SUM($AE$8:AE403),"")</f>
        <v/>
      </c>
      <c r="AG403" t="str">
        <f>IFERROR(MATCH(396,$AF$8:$AF$1407,0),"")</f>
        <v/>
      </c>
    </row>
    <row r="404">
      <c r="A404" s="92" t="str">
        <f>IF($AG404="","",P_ImportID)</f>
        <v/>
      </c>
      <c r="B404" s="92" t="str">
        <f>IF($AG404="","",IF(INDEX($AN$8:$AN$21,INDEX($AC$8:$AC$1407,$AG404)+1)="Z",P_BronZ,P_BronE))</f>
        <v/>
      </c>
      <c r="C404" s="108" t="str">
        <f>IF($AG404="","",P_Importdatum)</f>
        <v/>
      </c>
      <c r="D404" s="92" t="str">
        <f>IF($AG404="","",P_StatusVastleg)</f>
        <v/>
      </c>
      <c r="E404" s="92" t="str">
        <f>IF($AG404="","",P_UploadVJ)</f>
        <v/>
      </c>
      <c r="F404" s="92" t="str">
        <f>IF($AG404="","",P_UploadVersie)</f>
        <v/>
      </c>
      <c r="G404" s="92" t="str">
        <f>IF($AG404="","",IF(COUNTIFS(L_Sleutel,$S404,L_Status,"Vastgesteld")=0,0,_xlfn.MAXIFS(L_Revisie,L_Sleutel,$S404,L_Status,"Vastgesteld")+1))</f>
        <v/>
      </c>
      <c r="H404" s="108" t="str">
        <f>IF($AG404="","",P_Peildatum)</f>
        <v/>
      </c>
      <c r="I404" s="92" t="str">
        <f>IF($AG404="","",P_RJ+INDEX($AK$8:$AK$21,INDEX($AC$8:$AC$1407,$AG404)+1))</f>
        <v/>
      </c>
      <c r="J404" s="92" t="str">
        <f>IF($AG404="","",INDEX(V_WBS,INDEX($AB$8:$AB$1407,$AG404)))</f>
        <v/>
      </c>
      <c r="K404" s="92" t="str">
        <f>IF($AG404="","",INDEX(V_Projdef,INDEX($AB$8:$AB$1407,$AG404)))</f>
        <v/>
      </c>
      <c r="L404" s="92" t="str">
        <f>IF($AG404="","",INDEX(V_Naam,INDEX($AB$8:$AB$1407,$AG404)))</f>
        <v/>
      </c>
      <c r="M404" s="92" t="str">
        <f>IF($AG404="","",INDEX(V_Type,INDEX($AB$8:$AB$1407,$AG404)))</f>
        <v/>
      </c>
      <c r="N404" s="92" t="str">
        <f>IF($AG404="","",INDEX(V_IFRS,INDEX($AB$8:$AB$1407,$AG404)))</f>
        <v/>
      </c>
      <c r="O404" s="92" t="str">
        <f>IF($AG404="","",INDEX($AL$8:$AL$21,INDEX($AC$8:$AC$1407,$AG404)+1))</f>
        <v/>
      </c>
      <c r="P404" s="109" t="str">
        <f>IF($AG404="","",INDEX($AD$8:$AD$1407,$AG404))</f>
        <v/>
      </c>
      <c r="Q404" s="92" t="str">
        <f>IF($AG404="","",INDEX($AM$8:$AM$21,INDEX($AC$8:$AC$1407,$AG404)+1))</f>
        <v/>
      </c>
      <c r="R404" s="92" t="str">
        <f>IF($AG404="","",IF($G404&gt;0,P_ToelCorrectie&amp;"",""))</f>
        <v/>
      </c>
      <c r="S404" s="15" t="str">
        <f>IF(J404="","",J404&amp;"|"&amp;E404&amp;"|"&amp;F404&amp;"|"&amp;I404&amp;"|"&amp;O404)</f>
        <v/>
      </c>
      <c r="T404" s="111" t="str">
        <f>IF(S404="","",IF(COUNTIFS(L_Sleutel,S404,L_Actief,1)=0,"",SUMIFS(L_Waarde,L_Sleutel,S404,L_Actief,1)))</f>
        <v/>
      </c>
      <c r="U404" s="111">
        <f>IF(OR(S404="",T404=""),0,P404-T404)</f>
        <v>0</v>
      </c>
      <c r="AB404" s="112" t="n">
        <v>29</v>
      </c>
      <c r="AC404" s="112" t="n">
        <v>4</v>
      </c>
      <c r="AD404" s="112" t="str">
        <f>VERW_Project!R34</f>
        <v/>
      </c>
      <c r="AE404" s="112">
        <f>IF(AND(VERW_Project!$A34&lt;&gt;"",ISNUMBER(AD404)),1,0)</f>
        <v>0</v>
      </c>
      <c r="AF404" s="112" t="str">
        <f>IF(AE404=1,SUM($AE$8:AE404),"")</f>
        <v/>
      </c>
      <c r="AG404" t="str">
        <f>IFERROR(MATCH(397,$AF$8:$AF$1407,0),"")</f>
        <v/>
      </c>
    </row>
    <row r="405">
      <c r="A405" s="92" t="str">
        <f>IF($AG405="","",P_ImportID)</f>
        <v/>
      </c>
      <c r="B405" s="92" t="str">
        <f>IF($AG405="","",IF(INDEX($AN$8:$AN$21,INDEX($AC$8:$AC$1407,$AG405)+1)="Z",P_BronZ,P_BronE))</f>
        <v/>
      </c>
      <c r="C405" s="108" t="str">
        <f>IF($AG405="","",P_Importdatum)</f>
        <v/>
      </c>
      <c r="D405" s="92" t="str">
        <f>IF($AG405="","",P_StatusVastleg)</f>
        <v/>
      </c>
      <c r="E405" s="92" t="str">
        <f>IF($AG405="","",P_UploadVJ)</f>
        <v/>
      </c>
      <c r="F405" s="92" t="str">
        <f>IF($AG405="","",P_UploadVersie)</f>
        <v/>
      </c>
      <c r="G405" s="92" t="str">
        <f>IF($AG405="","",IF(COUNTIFS(L_Sleutel,$S405,L_Status,"Vastgesteld")=0,0,_xlfn.MAXIFS(L_Revisie,L_Sleutel,$S405,L_Status,"Vastgesteld")+1))</f>
        <v/>
      </c>
      <c r="H405" s="108" t="str">
        <f>IF($AG405="","",P_Peildatum)</f>
        <v/>
      </c>
      <c r="I405" s="92" t="str">
        <f>IF($AG405="","",P_RJ+INDEX($AK$8:$AK$21,INDEX($AC$8:$AC$1407,$AG405)+1))</f>
        <v/>
      </c>
      <c r="J405" s="92" t="str">
        <f>IF($AG405="","",INDEX(V_WBS,INDEX($AB$8:$AB$1407,$AG405)))</f>
        <v/>
      </c>
      <c r="K405" s="92" t="str">
        <f>IF($AG405="","",INDEX(V_Projdef,INDEX($AB$8:$AB$1407,$AG405)))</f>
        <v/>
      </c>
      <c r="L405" s="92" t="str">
        <f>IF($AG405="","",INDEX(V_Naam,INDEX($AB$8:$AB$1407,$AG405)))</f>
        <v/>
      </c>
      <c r="M405" s="92" t="str">
        <f>IF($AG405="","",INDEX(V_Type,INDEX($AB$8:$AB$1407,$AG405)))</f>
        <v/>
      </c>
      <c r="N405" s="92" t="str">
        <f>IF($AG405="","",INDEX(V_IFRS,INDEX($AB$8:$AB$1407,$AG405)))</f>
        <v/>
      </c>
      <c r="O405" s="92" t="str">
        <f>IF($AG405="","",INDEX($AL$8:$AL$21,INDEX($AC$8:$AC$1407,$AG405)+1))</f>
        <v/>
      </c>
      <c r="P405" s="109" t="str">
        <f>IF($AG405="","",INDEX($AD$8:$AD$1407,$AG405))</f>
        <v/>
      </c>
      <c r="Q405" s="92" t="str">
        <f>IF($AG405="","",INDEX($AM$8:$AM$21,INDEX($AC$8:$AC$1407,$AG405)+1))</f>
        <v/>
      </c>
      <c r="R405" s="92" t="str">
        <f>IF($AG405="","",IF($G405&gt;0,P_ToelCorrectie&amp;"",""))</f>
        <v/>
      </c>
      <c r="S405" s="15" t="str">
        <f>IF(J405="","",J405&amp;"|"&amp;E405&amp;"|"&amp;F405&amp;"|"&amp;I405&amp;"|"&amp;O405)</f>
        <v/>
      </c>
      <c r="T405" s="111" t="str">
        <f>IF(S405="","",IF(COUNTIFS(L_Sleutel,S405,L_Actief,1)=0,"",SUMIFS(L_Waarde,L_Sleutel,S405,L_Actief,1)))</f>
        <v/>
      </c>
      <c r="U405" s="111">
        <f>IF(OR(S405="",T405=""),0,P405-T405)</f>
        <v>0</v>
      </c>
      <c r="AB405" s="112" t="n">
        <v>29</v>
      </c>
      <c r="AC405" s="112" t="n">
        <v>5</v>
      </c>
      <c r="AD405" s="112" t="str">
        <f>VERW_Project!S34</f>
        <v/>
      </c>
      <c r="AE405" s="112">
        <f>IF(AND(VERW_Project!$A34&lt;&gt;"",ISNUMBER(AD405)),1,0)</f>
        <v>0</v>
      </c>
      <c r="AF405" s="112" t="str">
        <f>IF(AE405=1,SUM($AE$8:AE405),"")</f>
        <v/>
      </c>
      <c r="AG405" t="str">
        <f>IFERROR(MATCH(398,$AF$8:$AF$1407,0),"")</f>
        <v/>
      </c>
    </row>
    <row r="406">
      <c r="A406" s="92" t="str">
        <f>IF($AG406="","",P_ImportID)</f>
        <v/>
      </c>
      <c r="B406" s="92" t="str">
        <f>IF($AG406="","",IF(INDEX($AN$8:$AN$21,INDEX($AC$8:$AC$1407,$AG406)+1)="Z",P_BronZ,P_BronE))</f>
        <v/>
      </c>
      <c r="C406" s="108" t="str">
        <f>IF($AG406="","",P_Importdatum)</f>
        <v/>
      </c>
      <c r="D406" s="92" t="str">
        <f>IF($AG406="","",P_StatusVastleg)</f>
        <v/>
      </c>
      <c r="E406" s="92" t="str">
        <f>IF($AG406="","",P_UploadVJ)</f>
        <v/>
      </c>
      <c r="F406" s="92" t="str">
        <f>IF($AG406="","",P_UploadVersie)</f>
        <v/>
      </c>
      <c r="G406" s="92" t="str">
        <f>IF($AG406="","",IF(COUNTIFS(L_Sleutel,$S406,L_Status,"Vastgesteld")=0,0,_xlfn.MAXIFS(L_Revisie,L_Sleutel,$S406,L_Status,"Vastgesteld")+1))</f>
        <v/>
      </c>
      <c r="H406" s="108" t="str">
        <f>IF($AG406="","",P_Peildatum)</f>
        <v/>
      </c>
      <c r="I406" s="92" t="str">
        <f>IF($AG406="","",P_RJ+INDEX($AK$8:$AK$21,INDEX($AC$8:$AC$1407,$AG406)+1))</f>
        <v/>
      </c>
      <c r="J406" s="92" t="str">
        <f>IF($AG406="","",INDEX(V_WBS,INDEX($AB$8:$AB$1407,$AG406)))</f>
        <v/>
      </c>
      <c r="K406" s="92" t="str">
        <f>IF($AG406="","",INDEX(V_Projdef,INDEX($AB$8:$AB$1407,$AG406)))</f>
        <v/>
      </c>
      <c r="L406" s="92" t="str">
        <f>IF($AG406="","",INDEX(V_Naam,INDEX($AB$8:$AB$1407,$AG406)))</f>
        <v/>
      </c>
      <c r="M406" s="92" t="str">
        <f>IF($AG406="","",INDEX(V_Type,INDEX($AB$8:$AB$1407,$AG406)))</f>
        <v/>
      </c>
      <c r="N406" s="92" t="str">
        <f>IF($AG406="","",INDEX(V_IFRS,INDEX($AB$8:$AB$1407,$AG406)))</f>
        <v/>
      </c>
      <c r="O406" s="92" t="str">
        <f>IF($AG406="","",INDEX($AL$8:$AL$21,INDEX($AC$8:$AC$1407,$AG406)+1))</f>
        <v/>
      </c>
      <c r="P406" s="109" t="str">
        <f>IF($AG406="","",INDEX($AD$8:$AD$1407,$AG406))</f>
        <v/>
      </c>
      <c r="Q406" s="92" t="str">
        <f>IF($AG406="","",INDEX($AM$8:$AM$21,INDEX($AC$8:$AC$1407,$AG406)+1))</f>
        <v/>
      </c>
      <c r="R406" s="92" t="str">
        <f>IF($AG406="","",IF($G406&gt;0,P_ToelCorrectie&amp;"",""))</f>
        <v/>
      </c>
      <c r="S406" s="15" t="str">
        <f>IF(J406="","",J406&amp;"|"&amp;E406&amp;"|"&amp;F406&amp;"|"&amp;I406&amp;"|"&amp;O406)</f>
        <v/>
      </c>
      <c r="T406" s="111" t="str">
        <f>IF(S406="","",IF(COUNTIFS(L_Sleutel,S406,L_Actief,1)=0,"",SUMIFS(L_Waarde,L_Sleutel,S406,L_Actief,1)))</f>
        <v/>
      </c>
      <c r="U406" s="111">
        <f>IF(OR(S406="",T406=""),0,P406-T406)</f>
        <v>0</v>
      </c>
      <c r="AB406" s="112" t="n">
        <v>29</v>
      </c>
      <c r="AC406" s="112" t="n">
        <v>6</v>
      </c>
      <c r="AD406" s="112" t="str">
        <f>VERW_Project!BW34</f>
        <v/>
      </c>
      <c r="AE406" s="112">
        <f>IF(AND(VERW_Project!$A34&lt;&gt;"",ISNUMBER(AD406)),1,0)</f>
        <v>0</v>
      </c>
      <c r="AF406" s="112" t="str">
        <f>IF(AE406=1,SUM($AE$8:AE406),"")</f>
        <v/>
      </c>
      <c r="AG406" t="str">
        <f>IFERROR(MATCH(399,$AF$8:$AF$1407,0),"")</f>
        <v/>
      </c>
    </row>
    <row r="407">
      <c r="A407" s="92" t="str">
        <f>IF($AG407="","",P_ImportID)</f>
        <v/>
      </c>
      <c r="B407" s="92" t="str">
        <f>IF($AG407="","",IF(INDEX($AN$8:$AN$21,INDEX($AC$8:$AC$1407,$AG407)+1)="Z",P_BronZ,P_BronE))</f>
        <v/>
      </c>
      <c r="C407" s="108" t="str">
        <f>IF($AG407="","",P_Importdatum)</f>
        <v/>
      </c>
      <c r="D407" s="92" t="str">
        <f>IF($AG407="","",P_StatusVastleg)</f>
        <v/>
      </c>
      <c r="E407" s="92" t="str">
        <f>IF($AG407="","",P_UploadVJ)</f>
        <v/>
      </c>
      <c r="F407" s="92" t="str">
        <f>IF($AG407="","",P_UploadVersie)</f>
        <v/>
      </c>
      <c r="G407" s="92" t="str">
        <f>IF($AG407="","",IF(COUNTIFS(L_Sleutel,$S407,L_Status,"Vastgesteld")=0,0,_xlfn.MAXIFS(L_Revisie,L_Sleutel,$S407,L_Status,"Vastgesteld")+1))</f>
        <v/>
      </c>
      <c r="H407" s="108" t="str">
        <f>IF($AG407="","",P_Peildatum)</f>
        <v/>
      </c>
      <c r="I407" s="92" t="str">
        <f>IF($AG407="","",P_RJ+INDEX($AK$8:$AK$21,INDEX($AC$8:$AC$1407,$AG407)+1))</f>
        <v/>
      </c>
      <c r="J407" s="92" t="str">
        <f>IF($AG407="","",INDEX(V_WBS,INDEX($AB$8:$AB$1407,$AG407)))</f>
        <v/>
      </c>
      <c r="K407" s="92" t="str">
        <f>IF($AG407="","",INDEX(V_Projdef,INDEX($AB$8:$AB$1407,$AG407)))</f>
        <v/>
      </c>
      <c r="L407" s="92" t="str">
        <f>IF($AG407="","",INDEX(V_Naam,INDEX($AB$8:$AB$1407,$AG407)))</f>
        <v/>
      </c>
      <c r="M407" s="92" t="str">
        <f>IF($AG407="","",INDEX(V_Type,INDEX($AB$8:$AB$1407,$AG407)))</f>
        <v/>
      </c>
      <c r="N407" s="92" t="str">
        <f>IF($AG407="","",INDEX(V_IFRS,INDEX($AB$8:$AB$1407,$AG407)))</f>
        <v/>
      </c>
      <c r="O407" s="92" t="str">
        <f>IF($AG407="","",INDEX($AL$8:$AL$21,INDEX($AC$8:$AC$1407,$AG407)+1))</f>
        <v/>
      </c>
      <c r="P407" s="109" t="str">
        <f>IF($AG407="","",INDEX($AD$8:$AD$1407,$AG407))</f>
        <v/>
      </c>
      <c r="Q407" s="92" t="str">
        <f>IF($AG407="","",INDEX($AM$8:$AM$21,INDEX($AC$8:$AC$1407,$AG407)+1))</f>
        <v/>
      </c>
      <c r="R407" s="92" t="str">
        <f>IF($AG407="","",IF($G407&gt;0,P_ToelCorrectie&amp;"",""))</f>
        <v/>
      </c>
      <c r="S407" s="15" t="str">
        <f>IF(J407="","",J407&amp;"|"&amp;E407&amp;"|"&amp;F407&amp;"|"&amp;I407&amp;"|"&amp;O407)</f>
        <v/>
      </c>
      <c r="T407" s="111" t="str">
        <f>IF(S407="","",IF(COUNTIFS(L_Sleutel,S407,L_Actief,1)=0,"",SUMIFS(L_Waarde,L_Sleutel,S407,L_Actief,1)))</f>
        <v/>
      </c>
      <c r="U407" s="111">
        <f>IF(OR(S407="",T407=""),0,P407-T407)</f>
        <v>0</v>
      </c>
      <c r="AB407" s="112" t="n">
        <v>29</v>
      </c>
      <c r="AC407" s="112" t="n">
        <v>7</v>
      </c>
      <c r="AD407" s="112" t="str">
        <f>VERW_Project!AW34</f>
        <v/>
      </c>
      <c r="AE407" s="112">
        <f>IF(AND(VERW_Project!$A34&lt;&gt;"",ISNUMBER(AD407)),1,0)</f>
        <v>0</v>
      </c>
      <c r="AF407" s="112" t="str">
        <f>IF(AE407=1,SUM($AE$8:AE407),"")</f>
        <v/>
      </c>
      <c r="AG407" t="str">
        <f>IFERROR(MATCH(400,$AF$8:$AF$1407,0),"")</f>
        <v/>
      </c>
    </row>
    <row r="408">
      <c r="A408" s="92" t="str">
        <f>IF($AG408="","",P_ImportID)</f>
        <v/>
      </c>
      <c r="B408" s="92" t="str">
        <f>IF($AG408="","",IF(INDEX($AN$8:$AN$21,INDEX($AC$8:$AC$1407,$AG408)+1)="Z",P_BronZ,P_BronE))</f>
        <v/>
      </c>
      <c r="C408" s="108" t="str">
        <f>IF($AG408="","",P_Importdatum)</f>
        <v/>
      </c>
      <c r="D408" s="92" t="str">
        <f>IF($AG408="","",P_StatusVastleg)</f>
        <v/>
      </c>
      <c r="E408" s="92" t="str">
        <f>IF($AG408="","",P_UploadVJ)</f>
        <v/>
      </c>
      <c r="F408" s="92" t="str">
        <f>IF($AG408="","",P_UploadVersie)</f>
        <v/>
      </c>
      <c r="G408" s="92" t="str">
        <f>IF($AG408="","",IF(COUNTIFS(L_Sleutel,$S408,L_Status,"Vastgesteld")=0,0,_xlfn.MAXIFS(L_Revisie,L_Sleutel,$S408,L_Status,"Vastgesteld")+1))</f>
        <v/>
      </c>
      <c r="H408" s="108" t="str">
        <f>IF($AG408="","",P_Peildatum)</f>
        <v/>
      </c>
      <c r="I408" s="92" t="str">
        <f>IF($AG408="","",P_RJ+INDEX($AK$8:$AK$21,INDEX($AC$8:$AC$1407,$AG408)+1))</f>
        <v/>
      </c>
      <c r="J408" s="92" t="str">
        <f>IF($AG408="","",INDEX(V_WBS,INDEX($AB$8:$AB$1407,$AG408)))</f>
        <v/>
      </c>
      <c r="K408" s="92" t="str">
        <f>IF($AG408="","",INDEX(V_Projdef,INDEX($AB$8:$AB$1407,$AG408)))</f>
        <v/>
      </c>
      <c r="L408" s="92" t="str">
        <f>IF($AG408="","",INDEX(V_Naam,INDEX($AB$8:$AB$1407,$AG408)))</f>
        <v/>
      </c>
      <c r="M408" s="92" t="str">
        <f>IF($AG408="","",INDEX(V_Type,INDEX($AB$8:$AB$1407,$AG408)))</f>
        <v/>
      </c>
      <c r="N408" s="92" t="str">
        <f>IF($AG408="","",INDEX(V_IFRS,INDEX($AB$8:$AB$1407,$AG408)))</f>
        <v/>
      </c>
      <c r="O408" s="92" t="str">
        <f>IF($AG408="","",INDEX($AL$8:$AL$21,INDEX($AC$8:$AC$1407,$AG408)+1))</f>
        <v/>
      </c>
      <c r="P408" s="109" t="str">
        <f>IF($AG408="","",INDEX($AD$8:$AD$1407,$AG408))</f>
        <v/>
      </c>
      <c r="Q408" s="92" t="str">
        <f>IF($AG408="","",INDEX($AM$8:$AM$21,INDEX($AC$8:$AC$1407,$AG408)+1))</f>
        <v/>
      </c>
      <c r="R408" s="92" t="str">
        <f>IF($AG408="","",IF($G408&gt;0,P_ToelCorrectie&amp;"",""))</f>
        <v/>
      </c>
      <c r="S408" s="15" t="str">
        <f>IF(J408="","",J408&amp;"|"&amp;E408&amp;"|"&amp;F408&amp;"|"&amp;I408&amp;"|"&amp;O408)</f>
        <v/>
      </c>
      <c r="T408" s="111" t="str">
        <f>IF(S408="","",IF(COUNTIFS(L_Sleutel,S408,L_Actief,1)=0,"",SUMIFS(L_Waarde,L_Sleutel,S408,L_Actief,1)))</f>
        <v/>
      </c>
      <c r="U408" s="111">
        <f>IF(OR(S408="",T408=""),0,P408-T408)</f>
        <v>0</v>
      </c>
      <c r="AB408" s="112" t="n">
        <v>29</v>
      </c>
      <c r="AC408" s="112" t="n">
        <v>8</v>
      </c>
      <c r="AD408" s="112" t="str">
        <f>VERW_Project!BQ34</f>
        <v/>
      </c>
      <c r="AE408" s="112">
        <f>IF(AND(VERW_Project!$A34&lt;&gt;"",ISNUMBER(AD408)),1,0)</f>
        <v>0</v>
      </c>
      <c r="AF408" s="112" t="str">
        <f>IF(AE408=1,SUM($AE$8:AE408),"")</f>
        <v/>
      </c>
      <c r="AG408" t="str">
        <f>IFERROR(MATCH(401,$AF$8:$AF$1407,0),"")</f>
        <v/>
      </c>
    </row>
    <row r="409">
      <c r="A409" s="92" t="str">
        <f>IF($AG409="","",P_ImportID)</f>
        <v/>
      </c>
      <c r="B409" s="92" t="str">
        <f>IF($AG409="","",IF(INDEX($AN$8:$AN$21,INDEX($AC$8:$AC$1407,$AG409)+1)="Z",P_BronZ,P_BronE))</f>
        <v/>
      </c>
      <c r="C409" s="108" t="str">
        <f>IF($AG409="","",P_Importdatum)</f>
        <v/>
      </c>
      <c r="D409" s="92" t="str">
        <f>IF($AG409="","",P_StatusVastleg)</f>
        <v/>
      </c>
      <c r="E409" s="92" t="str">
        <f>IF($AG409="","",P_UploadVJ)</f>
        <v/>
      </c>
      <c r="F409" s="92" t="str">
        <f>IF($AG409="","",P_UploadVersie)</f>
        <v/>
      </c>
      <c r="G409" s="92" t="str">
        <f>IF($AG409="","",IF(COUNTIFS(L_Sleutel,$S409,L_Status,"Vastgesteld")=0,0,_xlfn.MAXIFS(L_Revisie,L_Sleutel,$S409,L_Status,"Vastgesteld")+1))</f>
        <v/>
      </c>
      <c r="H409" s="108" t="str">
        <f>IF($AG409="","",P_Peildatum)</f>
        <v/>
      </c>
      <c r="I409" s="92" t="str">
        <f>IF($AG409="","",P_RJ+INDEX($AK$8:$AK$21,INDEX($AC$8:$AC$1407,$AG409)+1))</f>
        <v/>
      </c>
      <c r="J409" s="92" t="str">
        <f>IF($AG409="","",INDEX(V_WBS,INDEX($AB$8:$AB$1407,$AG409)))</f>
        <v/>
      </c>
      <c r="K409" s="92" t="str">
        <f>IF($AG409="","",INDEX(V_Projdef,INDEX($AB$8:$AB$1407,$AG409)))</f>
        <v/>
      </c>
      <c r="L409" s="92" t="str">
        <f>IF($AG409="","",INDEX(V_Naam,INDEX($AB$8:$AB$1407,$AG409)))</f>
        <v/>
      </c>
      <c r="M409" s="92" t="str">
        <f>IF($AG409="","",INDEX(V_Type,INDEX($AB$8:$AB$1407,$AG409)))</f>
        <v/>
      </c>
      <c r="N409" s="92" t="str">
        <f>IF($AG409="","",INDEX(V_IFRS,INDEX($AB$8:$AB$1407,$AG409)))</f>
        <v/>
      </c>
      <c r="O409" s="92" t="str">
        <f>IF($AG409="","",INDEX($AL$8:$AL$21,INDEX($AC$8:$AC$1407,$AG409)+1))</f>
        <v/>
      </c>
      <c r="P409" s="109" t="str">
        <f>IF($AG409="","",INDEX($AD$8:$AD$1407,$AG409))</f>
        <v/>
      </c>
      <c r="Q409" s="92" t="str">
        <f>IF($AG409="","",INDEX($AM$8:$AM$21,INDEX($AC$8:$AC$1407,$AG409)+1))</f>
        <v/>
      </c>
      <c r="R409" s="92" t="str">
        <f>IF($AG409="","",IF($G409&gt;0,P_ToelCorrectie&amp;"",""))</f>
        <v/>
      </c>
      <c r="S409" s="15" t="str">
        <f>IF(J409="","",J409&amp;"|"&amp;E409&amp;"|"&amp;F409&amp;"|"&amp;I409&amp;"|"&amp;O409)</f>
        <v/>
      </c>
      <c r="T409" s="111" t="str">
        <f>IF(S409="","",IF(COUNTIFS(L_Sleutel,S409,L_Actief,1)=0,"",SUMIFS(L_Waarde,L_Sleutel,S409,L_Actief,1)))</f>
        <v/>
      </c>
      <c r="U409" s="111">
        <f>IF(OR(S409="",T409=""),0,P409-T409)</f>
        <v>0</v>
      </c>
      <c r="AB409" s="112" t="n">
        <v>29</v>
      </c>
      <c r="AC409" s="112" t="n">
        <v>9</v>
      </c>
      <c r="AD409" s="112" t="str">
        <f>VERW_Project!BR34</f>
        <v/>
      </c>
      <c r="AE409" s="112">
        <f>IF(AND(VERW_Project!$A34&lt;&gt;"",ISNUMBER(AD409)),1,0)</f>
        <v>0</v>
      </c>
      <c r="AF409" s="112" t="str">
        <f>IF(AE409=1,SUM($AE$8:AE409),"")</f>
        <v/>
      </c>
      <c r="AG409" t="str">
        <f>IFERROR(MATCH(402,$AF$8:$AF$1407,0),"")</f>
        <v/>
      </c>
    </row>
    <row r="410">
      <c r="A410" s="92" t="str">
        <f>IF($AG410="","",P_ImportID)</f>
        <v/>
      </c>
      <c r="B410" s="92" t="str">
        <f>IF($AG410="","",IF(INDEX($AN$8:$AN$21,INDEX($AC$8:$AC$1407,$AG410)+1)="Z",P_BronZ,P_BronE))</f>
        <v/>
      </c>
      <c r="C410" s="108" t="str">
        <f>IF($AG410="","",P_Importdatum)</f>
        <v/>
      </c>
      <c r="D410" s="92" t="str">
        <f>IF($AG410="","",P_StatusVastleg)</f>
        <v/>
      </c>
      <c r="E410" s="92" t="str">
        <f>IF($AG410="","",P_UploadVJ)</f>
        <v/>
      </c>
      <c r="F410" s="92" t="str">
        <f>IF($AG410="","",P_UploadVersie)</f>
        <v/>
      </c>
      <c r="G410" s="92" t="str">
        <f>IF($AG410="","",IF(COUNTIFS(L_Sleutel,$S410,L_Status,"Vastgesteld")=0,0,_xlfn.MAXIFS(L_Revisie,L_Sleutel,$S410,L_Status,"Vastgesteld")+1))</f>
        <v/>
      </c>
      <c r="H410" s="108" t="str">
        <f>IF($AG410="","",P_Peildatum)</f>
        <v/>
      </c>
      <c r="I410" s="92" t="str">
        <f>IF($AG410="","",P_RJ+INDEX($AK$8:$AK$21,INDEX($AC$8:$AC$1407,$AG410)+1))</f>
        <v/>
      </c>
      <c r="J410" s="92" t="str">
        <f>IF($AG410="","",INDEX(V_WBS,INDEX($AB$8:$AB$1407,$AG410)))</f>
        <v/>
      </c>
      <c r="K410" s="92" t="str">
        <f>IF($AG410="","",INDEX(V_Projdef,INDEX($AB$8:$AB$1407,$AG410)))</f>
        <v/>
      </c>
      <c r="L410" s="92" t="str">
        <f>IF($AG410="","",INDEX(V_Naam,INDEX($AB$8:$AB$1407,$AG410)))</f>
        <v/>
      </c>
      <c r="M410" s="92" t="str">
        <f>IF($AG410="","",INDEX(V_Type,INDEX($AB$8:$AB$1407,$AG410)))</f>
        <v/>
      </c>
      <c r="N410" s="92" t="str">
        <f>IF($AG410="","",INDEX(V_IFRS,INDEX($AB$8:$AB$1407,$AG410)))</f>
        <v/>
      </c>
      <c r="O410" s="92" t="str">
        <f>IF($AG410="","",INDEX($AL$8:$AL$21,INDEX($AC$8:$AC$1407,$AG410)+1))</f>
        <v/>
      </c>
      <c r="P410" s="109" t="str">
        <f>IF($AG410="","",INDEX($AD$8:$AD$1407,$AG410))</f>
        <v/>
      </c>
      <c r="Q410" s="92" t="str">
        <f>IF($AG410="","",INDEX($AM$8:$AM$21,INDEX($AC$8:$AC$1407,$AG410)+1))</f>
        <v/>
      </c>
      <c r="R410" s="92" t="str">
        <f>IF($AG410="","",IF($G410&gt;0,P_ToelCorrectie&amp;"",""))</f>
        <v/>
      </c>
      <c r="S410" s="15" t="str">
        <f>IF(J410="","",J410&amp;"|"&amp;E410&amp;"|"&amp;F410&amp;"|"&amp;I410&amp;"|"&amp;O410)</f>
        <v/>
      </c>
      <c r="T410" s="111" t="str">
        <f>IF(S410="","",IF(COUNTIFS(L_Sleutel,S410,L_Actief,1)=0,"",SUMIFS(L_Waarde,L_Sleutel,S410,L_Actief,1)))</f>
        <v/>
      </c>
      <c r="U410" s="111">
        <f>IF(OR(S410="",T410=""),0,P410-T410)</f>
        <v>0</v>
      </c>
      <c r="AB410" s="112" t="n">
        <v>29</v>
      </c>
      <c r="AC410" s="112" t="n">
        <v>10</v>
      </c>
      <c r="AD410" s="112" t="str">
        <f>VERW_Project!BS34</f>
        <v/>
      </c>
      <c r="AE410" s="112">
        <f>IF(AND(VERW_Project!$A34&lt;&gt;"",ISNUMBER(AD410)),1,0)</f>
        <v>0</v>
      </c>
      <c r="AF410" s="112" t="str">
        <f>IF(AE410=1,SUM($AE$8:AE410),"")</f>
        <v/>
      </c>
      <c r="AG410" t="str">
        <f>IFERROR(MATCH(403,$AF$8:$AF$1407,0),"")</f>
        <v/>
      </c>
    </row>
    <row r="411">
      <c r="A411" s="92" t="str">
        <f>IF($AG411="","",P_ImportID)</f>
        <v/>
      </c>
      <c r="B411" s="92" t="str">
        <f>IF($AG411="","",IF(INDEX($AN$8:$AN$21,INDEX($AC$8:$AC$1407,$AG411)+1)="Z",P_BronZ,P_BronE))</f>
        <v/>
      </c>
      <c r="C411" s="108" t="str">
        <f>IF($AG411="","",P_Importdatum)</f>
        <v/>
      </c>
      <c r="D411" s="92" t="str">
        <f>IF($AG411="","",P_StatusVastleg)</f>
        <v/>
      </c>
      <c r="E411" s="92" t="str">
        <f>IF($AG411="","",P_UploadVJ)</f>
        <v/>
      </c>
      <c r="F411" s="92" t="str">
        <f>IF($AG411="","",P_UploadVersie)</f>
        <v/>
      </c>
      <c r="G411" s="92" t="str">
        <f>IF($AG411="","",IF(COUNTIFS(L_Sleutel,$S411,L_Status,"Vastgesteld")=0,0,_xlfn.MAXIFS(L_Revisie,L_Sleutel,$S411,L_Status,"Vastgesteld")+1))</f>
        <v/>
      </c>
      <c r="H411" s="108" t="str">
        <f>IF($AG411="","",P_Peildatum)</f>
        <v/>
      </c>
      <c r="I411" s="92" t="str">
        <f>IF($AG411="","",P_RJ+INDEX($AK$8:$AK$21,INDEX($AC$8:$AC$1407,$AG411)+1))</f>
        <v/>
      </c>
      <c r="J411" s="92" t="str">
        <f>IF($AG411="","",INDEX(V_WBS,INDEX($AB$8:$AB$1407,$AG411)))</f>
        <v/>
      </c>
      <c r="K411" s="92" t="str">
        <f>IF($AG411="","",INDEX(V_Projdef,INDEX($AB$8:$AB$1407,$AG411)))</f>
        <v/>
      </c>
      <c r="L411" s="92" t="str">
        <f>IF($AG411="","",INDEX(V_Naam,INDEX($AB$8:$AB$1407,$AG411)))</f>
        <v/>
      </c>
      <c r="M411" s="92" t="str">
        <f>IF($AG411="","",INDEX(V_Type,INDEX($AB$8:$AB$1407,$AG411)))</f>
        <v/>
      </c>
      <c r="N411" s="92" t="str">
        <f>IF($AG411="","",INDEX(V_IFRS,INDEX($AB$8:$AB$1407,$AG411)))</f>
        <v/>
      </c>
      <c r="O411" s="92" t="str">
        <f>IF($AG411="","",INDEX($AL$8:$AL$21,INDEX($AC$8:$AC$1407,$AG411)+1))</f>
        <v/>
      </c>
      <c r="P411" s="109" t="str">
        <f>IF($AG411="","",INDEX($AD$8:$AD$1407,$AG411))</f>
        <v/>
      </c>
      <c r="Q411" s="92" t="str">
        <f>IF($AG411="","",INDEX($AM$8:$AM$21,INDEX($AC$8:$AC$1407,$AG411)+1))</f>
        <v/>
      </c>
      <c r="R411" s="92" t="str">
        <f>IF($AG411="","",IF($G411&gt;0,P_ToelCorrectie&amp;"",""))</f>
        <v/>
      </c>
      <c r="S411" s="15" t="str">
        <f>IF(J411="","",J411&amp;"|"&amp;E411&amp;"|"&amp;F411&amp;"|"&amp;I411&amp;"|"&amp;O411)</f>
        <v/>
      </c>
      <c r="T411" s="111" t="str">
        <f>IF(S411="","",IF(COUNTIFS(L_Sleutel,S411,L_Actief,1)=0,"",SUMIFS(L_Waarde,L_Sleutel,S411,L_Actief,1)))</f>
        <v/>
      </c>
      <c r="U411" s="111">
        <f>IF(OR(S411="",T411=""),0,P411-T411)</f>
        <v>0</v>
      </c>
      <c r="AB411" s="112" t="n">
        <v>29</v>
      </c>
      <c r="AC411" s="112" t="n">
        <v>11</v>
      </c>
      <c r="AD411" s="112" t="str">
        <f>VERW_Project!BT34</f>
        <v/>
      </c>
      <c r="AE411" s="112">
        <f>IF(AND(VERW_Project!$A34&lt;&gt;"",ISNUMBER(AD411)),1,0)</f>
        <v>0</v>
      </c>
      <c r="AF411" s="112" t="str">
        <f>IF(AE411=1,SUM($AE$8:AE411),"")</f>
        <v/>
      </c>
      <c r="AG411" t="str">
        <f>IFERROR(MATCH(404,$AF$8:$AF$1407,0),"")</f>
        <v/>
      </c>
    </row>
    <row r="412">
      <c r="A412" s="92" t="str">
        <f>IF($AG412="","",P_ImportID)</f>
        <v/>
      </c>
      <c r="B412" s="92" t="str">
        <f>IF($AG412="","",IF(INDEX($AN$8:$AN$21,INDEX($AC$8:$AC$1407,$AG412)+1)="Z",P_BronZ,P_BronE))</f>
        <v/>
      </c>
      <c r="C412" s="108" t="str">
        <f>IF($AG412="","",P_Importdatum)</f>
        <v/>
      </c>
      <c r="D412" s="92" t="str">
        <f>IF($AG412="","",P_StatusVastleg)</f>
        <v/>
      </c>
      <c r="E412" s="92" t="str">
        <f>IF($AG412="","",P_UploadVJ)</f>
        <v/>
      </c>
      <c r="F412" s="92" t="str">
        <f>IF($AG412="","",P_UploadVersie)</f>
        <v/>
      </c>
      <c r="G412" s="92" t="str">
        <f>IF($AG412="","",IF(COUNTIFS(L_Sleutel,$S412,L_Status,"Vastgesteld")=0,0,_xlfn.MAXIFS(L_Revisie,L_Sleutel,$S412,L_Status,"Vastgesteld")+1))</f>
        <v/>
      </c>
      <c r="H412" s="108" t="str">
        <f>IF($AG412="","",P_Peildatum)</f>
        <v/>
      </c>
      <c r="I412" s="92" t="str">
        <f>IF($AG412="","",P_RJ+INDEX($AK$8:$AK$21,INDEX($AC$8:$AC$1407,$AG412)+1))</f>
        <v/>
      </c>
      <c r="J412" s="92" t="str">
        <f>IF($AG412="","",INDEX(V_WBS,INDEX($AB$8:$AB$1407,$AG412)))</f>
        <v/>
      </c>
      <c r="K412" s="92" t="str">
        <f>IF($AG412="","",INDEX(V_Projdef,INDEX($AB$8:$AB$1407,$AG412)))</f>
        <v/>
      </c>
      <c r="L412" s="92" t="str">
        <f>IF($AG412="","",INDEX(V_Naam,INDEX($AB$8:$AB$1407,$AG412)))</f>
        <v/>
      </c>
      <c r="M412" s="92" t="str">
        <f>IF($AG412="","",INDEX(V_Type,INDEX($AB$8:$AB$1407,$AG412)))</f>
        <v/>
      </c>
      <c r="N412" s="92" t="str">
        <f>IF($AG412="","",INDEX(V_IFRS,INDEX($AB$8:$AB$1407,$AG412)))</f>
        <v/>
      </c>
      <c r="O412" s="92" t="str">
        <f>IF($AG412="","",INDEX($AL$8:$AL$21,INDEX($AC$8:$AC$1407,$AG412)+1))</f>
        <v/>
      </c>
      <c r="P412" s="109" t="str">
        <f>IF($AG412="","",INDEX($AD$8:$AD$1407,$AG412))</f>
        <v/>
      </c>
      <c r="Q412" s="92" t="str">
        <f>IF($AG412="","",INDEX($AM$8:$AM$21,INDEX($AC$8:$AC$1407,$AG412)+1))</f>
        <v/>
      </c>
      <c r="R412" s="92" t="str">
        <f>IF($AG412="","",IF($G412&gt;0,P_ToelCorrectie&amp;"",""))</f>
        <v/>
      </c>
      <c r="S412" s="15" t="str">
        <f>IF(J412="","",J412&amp;"|"&amp;E412&amp;"|"&amp;F412&amp;"|"&amp;I412&amp;"|"&amp;O412)</f>
        <v/>
      </c>
      <c r="T412" s="111" t="str">
        <f>IF(S412="","",IF(COUNTIFS(L_Sleutel,S412,L_Actief,1)=0,"",SUMIFS(L_Waarde,L_Sleutel,S412,L_Actief,1)))</f>
        <v/>
      </c>
      <c r="U412" s="111">
        <f>IF(OR(S412="",T412=""),0,P412-T412)</f>
        <v>0</v>
      </c>
      <c r="AB412" s="112" t="n">
        <v>29</v>
      </c>
      <c r="AC412" s="112" t="n">
        <v>12</v>
      </c>
      <c r="AD412" s="112" t="str">
        <f>VERW_Project!BU34</f>
        <v/>
      </c>
      <c r="AE412" s="112">
        <f>IF(AND(VERW_Project!$A34&lt;&gt;"",ISNUMBER(AD412)),1,0)</f>
        <v>0</v>
      </c>
      <c r="AF412" s="112" t="str">
        <f>IF(AE412=1,SUM($AE$8:AE412),"")</f>
        <v/>
      </c>
      <c r="AG412" t="str">
        <f>IFERROR(MATCH(405,$AF$8:$AF$1407,0),"")</f>
        <v/>
      </c>
    </row>
    <row r="413">
      <c r="A413" s="92" t="str">
        <f>IF($AG413="","",P_ImportID)</f>
        <v/>
      </c>
      <c r="B413" s="92" t="str">
        <f>IF($AG413="","",IF(INDEX($AN$8:$AN$21,INDEX($AC$8:$AC$1407,$AG413)+1)="Z",P_BronZ,P_BronE))</f>
        <v/>
      </c>
      <c r="C413" s="108" t="str">
        <f>IF($AG413="","",P_Importdatum)</f>
        <v/>
      </c>
      <c r="D413" s="92" t="str">
        <f>IF($AG413="","",P_StatusVastleg)</f>
        <v/>
      </c>
      <c r="E413" s="92" t="str">
        <f>IF($AG413="","",P_UploadVJ)</f>
        <v/>
      </c>
      <c r="F413" s="92" t="str">
        <f>IF($AG413="","",P_UploadVersie)</f>
        <v/>
      </c>
      <c r="G413" s="92" t="str">
        <f>IF($AG413="","",IF(COUNTIFS(L_Sleutel,$S413,L_Status,"Vastgesteld")=0,0,_xlfn.MAXIFS(L_Revisie,L_Sleutel,$S413,L_Status,"Vastgesteld")+1))</f>
        <v/>
      </c>
      <c r="H413" s="108" t="str">
        <f>IF($AG413="","",P_Peildatum)</f>
        <v/>
      </c>
      <c r="I413" s="92" t="str">
        <f>IF($AG413="","",P_RJ+INDEX($AK$8:$AK$21,INDEX($AC$8:$AC$1407,$AG413)+1))</f>
        <v/>
      </c>
      <c r="J413" s="92" t="str">
        <f>IF($AG413="","",INDEX(V_WBS,INDEX($AB$8:$AB$1407,$AG413)))</f>
        <v/>
      </c>
      <c r="K413" s="92" t="str">
        <f>IF($AG413="","",INDEX(V_Projdef,INDEX($AB$8:$AB$1407,$AG413)))</f>
        <v/>
      </c>
      <c r="L413" s="92" t="str">
        <f>IF($AG413="","",INDEX(V_Naam,INDEX($AB$8:$AB$1407,$AG413)))</f>
        <v/>
      </c>
      <c r="M413" s="92" t="str">
        <f>IF($AG413="","",INDEX(V_Type,INDEX($AB$8:$AB$1407,$AG413)))</f>
        <v/>
      </c>
      <c r="N413" s="92" t="str">
        <f>IF($AG413="","",INDEX(V_IFRS,INDEX($AB$8:$AB$1407,$AG413)))</f>
        <v/>
      </c>
      <c r="O413" s="92" t="str">
        <f>IF($AG413="","",INDEX($AL$8:$AL$21,INDEX($AC$8:$AC$1407,$AG413)+1))</f>
        <v/>
      </c>
      <c r="P413" s="109" t="str">
        <f>IF($AG413="","",INDEX($AD$8:$AD$1407,$AG413))</f>
        <v/>
      </c>
      <c r="Q413" s="92" t="str">
        <f>IF($AG413="","",INDEX($AM$8:$AM$21,INDEX($AC$8:$AC$1407,$AG413)+1))</f>
        <v/>
      </c>
      <c r="R413" s="92" t="str">
        <f>IF($AG413="","",IF($G413&gt;0,P_ToelCorrectie&amp;"",""))</f>
        <v/>
      </c>
      <c r="S413" s="15" t="str">
        <f>IF(J413="","",J413&amp;"|"&amp;E413&amp;"|"&amp;F413&amp;"|"&amp;I413&amp;"|"&amp;O413)</f>
        <v/>
      </c>
      <c r="T413" s="111" t="str">
        <f>IF(S413="","",IF(COUNTIFS(L_Sleutel,S413,L_Actief,1)=0,"",SUMIFS(L_Waarde,L_Sleutel,S413,L_Actief,1)))</f>
        <v/>
      </c>
      <c r="U413" s="111">
        <f>IF(OR(S413="",T413=""),0,P413-T413)</f>
        <v>0</v>
      </c>
      <c r="AB413" s="112" t="n">
        <v>29</v>
      </c>
      <c r="AC413" s="112" t="n">
        <v>13</v>
      </c>
      <c r="AD413" s="112" t="str">
        <f>VERW_Project!BX34</f>
        <v/>
      </c>
      <c r="AE413" s="112">
        <f>IF(AND(VERW_Project!$A34&lt;&gt;"",ISNUMBER(AD413)),1,0)</f>
        <v>0</v>
      </c>
      <c r="AF413" s="112" t="str">
        <f>IF(AE413=1,SUM($AE$8:AE413),"")</f>
        <v/>
      </c>
      <c r="AG413" t="str">
        <f>IFERROR(MATCH(406,$AF$8:$AF$1407,0),"")</f>
        <v/>
      </c>
    </row>
    <row r="414">
      <c r="A414" s="92" t="str">
        <f>IF($AG414="","",P_ImportID)</f>
        <v/>
      </c>
      <c r="B414" s="92" t="str">
        <f>IF($AG414="","",IF(INDEX($AN$8:$AN$21,INDEX($AC$8:$AC$1407,$AG414)+1)="Z",P_BronZ,P_BronE))</f>
        <v/>
      </c>
      <c r="C414" s="108" t="str">
        <f>IF($AG414="","",P_Importdatum)</f>
        <v/>
      </c>
      <c r="D414" s="92" t="str">
        <f>IF($AG414="","",P_StatusVastleg)</f>
        <v/>
      </c>
      <c r="E414" s="92" t="str">
        <f>IF($AG414="","",P_UploadVJ)</f>
        <v/>
      </c>
      <c r="F414" s="92" t="str">
        <f>IF($AG414="","",P_UploadVersie)</f>
        <v/>
      </c>
      <c r="G414" s="92" t="str">
        <f>IF($AG414="","",IF(COUNTIFS(L_Sleutel,$S414,L_Status,"Vastgesteld")=0,0,_xlfn.MAXIFS(L_Revisie,L_Sleutel,$S414,L_Status,"Vastgesteld")+1))</f>
        <v/>
      </c>
      <c r="H414" s="108" t="str">
        <f>IF($AG414="","",P_Peildatum)</f>
        <v/>
      </c>
      <c r="I414" s="92" t="str">
        <f>IF($AG414="","",P_RJ+INDEX($AK$8:$AK$21,INDEX($AC$8:$AC$1407,$AG414)+1))</f>
        <v/>
      </c>
      <c r="J414" s="92" t="str">
        <f>IF($AG414="","",INDEX(V_WBS,INDEX($AB$8:$AB$1407,$AG414)))</f>
        <v/>
      </c>
      <c r="K414" s="92" t="str">
        <f>IF($AG414="","",INDEX(V_Projdef,INDEX($AB$8:$AB$1407,$AG414)))</f>
        <v/>
      </c>
      <c r="L414" s="92" t="str">
        <f>IF($AG414="","",INDEX(V_Naam,INDEX($AB$8:$AB$1407,$AG414)))</f>
        <v/>
      </c>
      <c r="M414" s="92" t="str">
        <f>IF($AG414="","",INDEX(V_Type,INDEX($AB$8:$AB$1407,$AG414)))</f>
        <v/>
      </c>
      <c r="N414" s="92" t="str">
        <f>IF($AG414="","",INDEX(V_IFRS,INDEX($AB$8:$AB$1407,$AG414)))</f>
        <v/>
      </c>
      <c r="O414" s="92" t="str">
        <f>IF($AG414="","",INDEX($AL$8:$AL$21,INDEX($AC$8:$AC$1407,$AG414)+1))</f>
        <v/>
      </c>
      <c r="P414" s="109" t="str">
        <f>IF($AG414="","",INDEX($AD$8:$AD$1407,$AG414))</f>
        <v/>
      </c>
      <c r="Q414" s="92" t="str">
        <f>IF($AG414="","",INDEX($AM$8:$AM$21,INDEX($AC$8:$AC$1407,$AG414)+1))</f>
        <v/>
      </c>
      <c r="R414" s="92" t="str">
        <f>IF($AG414="","",IF($G414&gt;0,P_ToelCorrectie&amp;"",""))</f>
        <v/>
      </c>
      <c r="S414" s="15" t="str">
        <f>IF(J414="","",J414&amp;"|"&amp;E414&amp;"|"&amp;F414&amp;"|"&amp;I414&amp;"|"&amp;O414)</f>
        <v/>
      </c>
      <c r="T414" s="111" t="str">
        <f>IF(S414="","",IF(COUNTIFS(L_Sleutel,S414,L_Actief,1)=0,"",SUMIFS(L_Waarde,L_Sleutel,S414,L_Actief,1)))</f>
        <v/>
      </c>
      <c r="U414" s="111">
        <f>IF(OR(S414="",T414=""),0,P414-T414)</f>
        <v>0</v>
      </c>
      <c r="AB414" s="112" t="n">
        <v>30</v>
      </c>
      <c r="AC414" s="112" t="n">
        <v>0</v>
      </c>
      <c r="AD414" s="112" t="str">
        <f>VERW_Project!P35</f>
        <v/>
      </c>
      <c r="AE414" s="112">
        <f>IF(AND(VERW_Project!$A35&lt;&gt;"",ISNUMBER(AD414)),1,0)</f>
        <v>0</v>
      </c>
      <c r="AF414" s="112" t="str">
        <f>IF(AE414=1,SUM($AE$8:AE414),"")</f>
        <v/>
      </c>
      <c r="AG414" t="str">
        <f>IFERROR(MATCH(407,$AF$8:$AF$1407,0),"")</f>
        <v/>
      </c>
    </row>
    <row r="415">
      <c r="A415" s="92" t="str">
        <f>IF($AG415="","",P_ImportID)</f>
        <v/>
      </c>
      <c r="B415" s="92" t="str">
        <f>IF($AG415="","",IF(INDEX($AN$8:$AN$21,INDEX($AC$8:$AC$1407,$AG415)+1)="Z",P_BronZ,P_BronE))</f>
        <v/>
      </c>
      <c r="C415" s="108" t="str">
        <f>IF($AG415="","",P_Importdatum)</f>
        <v/>
      </c>
      <c r="D415" s="92" t="str">
        <f>IF($AG415="","",P_StatusVastleg)</f>
        <v/>
      </c>
      <c r="E415" s="92" t="str">
        <f>IF($AG415="","",P_UploadVJ)</f>
        <v/>
      </c>
      <c r="F415" s="92" t="str">
        <f>IF($AG415="","",P_UploadVersie)</f>
        <v/>
      </c>
      <c r="G415" s="92" t="str">
        <f>IF($AG415="","",IF(COUNTIFS(L_Sleutel,$S415,L_Status,"Vastgesteld")=0,0,_xlfn.MAXIFS(L_Revisie,L_Sleutel,$S415,L_Status,"Vastgesteld")+1))</f>
        <v/>
      </c>
      <c r="H415" s="108" t="str">
        <f>IF($AG415="","",P_Peildatum)</f>
        <v/>
      </c>
      <c r="I415" s="92" t="str">
        <f>IF($AG415="","",P_RJ+INDEX($AK$8:$AK$21,INDEX($AC$8:$AC$1407,$AG415)+1))</f>
        <v/>
      </c>
      <c r="J415" s="92" t="str">
        <f>IF($AG415="","",INDEX(V_WBS,INDEX($AB$8:$AB$1407,$AG415)))</f>
        <v/>
      </c>
      <c r="K415" s="92" t="str">
        <f>IF($AG415="","",INDEX(V_Projdef,INDEX($AB$8:$AB$1407,$AG415)))</f>
        <v/>
      </c>
      <c r="L415" s="92" t="str">
        <f>IF($AG415="","",INDEX(V_Naam,INDEX($AB$8:$AB$1407,$AG415)))</f>
        <v/>
      </c>
      <c r="M415" s="92" t="str">
        <f>IF($AG415="","",INDEX(V_Type,INDEX($AB$8:$AB$1407,$AG415)))</f>
        <v/>
      </c>
      <c r="N415" s="92" t="str">
        <f>IF($AG415="","",INDEX(V_IFRS,INDEX($AB$8:$AB$1407,$AG415)))</f>
        <v/>
      </c>
      <c r="O415" s="92" t="str">
        <f>IF($AG415="","",INDEX($AL$8:$AL$21,INDEX($AC$8:$AC$1407,$AG415)+1))</f>
        <v/>
      </c>
      <c r="P415" s="109" t="str">
        <f>IF($AG415="","",INDEX($AD$8:$AD$1407,$AG415))</f>
        <v/>
      </c>
      <c r="Q415" s="92" t="str">
        <f>IF($AG415="","",INDEX($AM$8:$AM$21,INDEX($AC$8:$AC$1407,$AG415)+1))</f>
        <v/>
      </c>
      <c r="R415" s="92" t="str">
        <f>IF($AG415="","",IF($G415&gt;0,P_ToelCorrectie&amp;"",""))</f>
        <v/>
      </c>
      <c r="S415" s="15" t="str">
        <f>IF(J415="","",J415&amp;"|"&amp;E415&amp;"|"&amp;F415&amp;"|"&amp;I415&amp;"|"&amp;O415)</f>
        <v/>
      </c>
      <c r="T415" s="111" t="str">
        <f>IF(S415="","",IF(COUNTIFS(L_Sleutel,S415,L_Actief,1)=0,"",SUMIFS(L_Waarde,L_Sleutel,S415,L_Actief,1)))</f>
        <v/>
      </c>
      <c r="U415" s="111">
        <f>IF(OR(S415="",T415=""),0,P415-T415)</f>
        <v>0</v>
      </c>
      <c r="AB415" s="112" t="n">
        <v>30</v>
      </c>
      <c r="AC415" s="112" t="n">
        <v>1</v>
      </c>
      <c r="AD415" s="112" t="str">
        <f>VERW_Project!Q35</f>
        <v/>
      </c>
      <c r="AE415" s="112">
        <f>IF(AND(VERW_Project!$A35&lt;&gt;"",ISNUMBER(AD415)),1,0)</f>
        <v>0</v>
      </c>
      <c r="AF415" s="112" t="str">
        <f>IF(AE415=1,SUM($AE$8:AE415),"")</f>
        <v/>
      </c>
      <c r="AG415" t="str">
        <f>IFERROR(MATCH(408,$AF$8:$AF$1407,0),"")</f>
        <v/>
      </c>
    </row>
    <row r="416">
      <c r="A416" s="92" t="str">
        <f>IF($AG416="","",P_ImportID)</f>
        <v/>
      </c>
      <c r="B416" s="92" t="str">
        <f>IF($AG416="","",IF(INDEX($AN$8:$AN$21,INDEX($AC$8:$AC$1407,$AG416)+1)="Z",P_BronZ,P_BronE))</f>
        <v/>
      </c>
      <c r="C416" s="108" t="str">
        <f>IF($AG416="","",P_Importdatum)</f>
        <v/>
      </c>
      <c r="D416" s="92" t="str">
        <f>IF($AG416="","",P_StatusVastleg)</f>
        <v/>
      </c>
      <c r="E416" s="92" t="str">
        <f>IF($AG416="","",P_UploadVJ)</f>
        <v/>
      </c>
      <c r="F416" s="92" t="str">
        <f>IF($AG416="","",P_UploadVersie)</f>
        <v/>
      </c>
      <c r="G416" s="92" t="str">
        <f>IF($AG416="","",IF(COUNTIFS(L_Sleutel,$S416,L_Status,"Vastgesteld")=0,0,_xlfn.MAXIFS(L_Revisie,L_Sleutel,$S416,L_Status,"Vastgesteld")+1))</f>
        <v/>
      </c>
      <c r="H416" s="108" t="str">
        <f>IF($AG416="","",P_Peildatum)</f>
        <v/>
      </c>
      <c r="I416" s="92" t="str">
        <f>IF($AG416="","",P_RJ+INDEX($AK$8:$AK$21,INDEX($AC$8:$AC$1407,$AG416)+1))</f>
        <v/>
      </c>
      <c r="J416" s="92" t="str">
        <f>IF($AG416="","",INDEX(V_WBS,INDEX($AB$8:$AB$1407,$AG416)))</f>
        <v/>
      </c>
      <c r="K416" s="92" t="str">
        <f>IF($AG416="","",INDEX(V_Projdef,INDEX($AB$8:$AB$1407,$AG416)))</f>
        <v/>
      </c>
      <c r="L416" s="92" t="str">
        <f>IF($AG416="","",INDEX(V_Naam,INDEX($AB$8:$AB$1407,$AG416)))</f>
        <v/>
      </c>
      <c r="M416" s="92" t="str">
        <f>IF($AG416="","",INDEX(V_Type,INDEX($AB$8:$AB$1407,$AG416)))</f>
        <v/>
      </c>
      <c r="N416" s="92" t="str">
        <f>IF($AG416="","",INDEX(V_IFRS,INDEX($AB$8:$AB$1407,$AG416)))</f>
        <v/>
      </c>
      <c r="O416" s="92" t="str">
        <f>IF($AG416="","",INDEX($AL$8:$AL$21,INDEX($AC$8:$AC$1407,$AG416)+1))</f>
        <v/>
      </c>
      <c r="P416" s="109" t="str">
        <f>IF($AG416="","",INDEX($AD$8:$AD$1407,$AG416))</f>
        <v/>
      </c>
      <c r="Q416" s="92" t="str">
        <f>IF($AG416="","",INDEX($AM$8:$AM$21,INDEX($AC$8:$AC$1407,$AG416)+1))</f>
        <v/>
      </c>
      <c r="R416" s="92" t="str">
        <f>IF($AG416="","",IF($G416&gt;0,P_ToelCorrectie&amp;"",""))</f>
        <v/>
      </c>
      <c r="S416" s="15" t="str">
        <f>IF(J416="","",J416&amp;"|"&amp;E416&amp;"|"&amp;F416&amp;"|"&amp;I416&amp;"|"&amp;O416)</f>
        <v/>
      </c>
      <c r="T416" s="111" t="str">
        <f>IF(S416="","",IF(COUNTIFS(L_Sleutel,S416,L_Actief,1)=0,"",SUMIFS(L_Waarde,L_Sleutel,S416,L_Actief,1)))</f>
        <v/>
      </c>
      <c r="U416" s="111">
        <f>IF(OR(S416="",T416=""),0,P416-T416)</f>
        <v>0</v>
      </c>
      <c r="AB416" s="112" t="n">
        <v>30</v>
      </c>
      <c r="AC416" s="112" t="n">
        <v>2</v>
      </c>
      <c r="AD416" s="112" t="str">
        <f>VERW_Project!L35</f>
        <v/>
      </c>
      <c r="AE416" s="112">
        <f>IF(AND(VERW_Project!$A35&lt;&gt;"",ISNUMBER(AD416)),1,0)</f>
        <v>0</v>
      </c>
      <c r="AF416" s="112" t="str">
        <f>IF(AE416=1,SUM($AE$8:AE416),"")</f>
        <v/>
      </c>
      <c r="AG416" t="str">
        <f>IFERROR(MATCH(409,$AF$8:$AF$1407,0),"")</f>
        <v/>
      </c>
    </row>
    <row r="417">
      <c r="A417" s="92" t="str">
        <f>IF($AG417="","",P_ImportID)</f>
        <v/>
      </c>
      <c r="B417" s="92" t="str">
        <f>IF($AG417="","",IF(INDEX($AN$8:$AN$21,INDEX($AC$8:$AC$1407,$AG417)+1)="Z",P_BronZ,P_BronE))</f>
        <v/>
      </c>
      <c r="C417" s="108" t="str">
        <f>IF($AG417="","",P_Importdatum)</f>
        <v/>
      </c>
      <c r="D417" s="92" t="str">
        <f>IF($AG417="","",P_StatusVastleg)</f>
        <v/>
      </c>
      <c r="E417" s="92" t="str">
        <f>IF($AG417="","",P_UploadVJ)</f>
        <v/>
      </c>
      <c r="F417" s="92" t="str">
        <f>IF($AG417="","",P_UploadVersie)</f>
        <v/>
      </c>
      <c r="G417" s="92" t="str">
        <f>IF($AG417="","",IF(COUNTIFS(L_Sleutel,$S417,L_Status,"Vastgesteld")=0,0,_xlfn.MAXIFS(L_Revisie,L_Sleutel,$S417,L_Status,"Vastgesteld")+1))</f>
        <v/>
      </c>
      <c r="H417" s="108" t="str">
        <f>IF($AG417="","",P_Peildatum)</f>
        <v/>
      </c>
      <c r="I417" s="92" t="str">
        <f>IF($AG417="","",P_RJ+INDEX($AK$8:$AK$21,INDEX($AC$8:$AC$1407,$AG417)+1))</f>
        <v/>
      </c>
      <c r="J417" s="92" t="str">
        <f>IF($AG417="","",INDEX(V_WBS,INDEX($AB$8:$AB$1407,$AG417)))</f>
        <v/>
      </c>
      <c r="K417" s="92" t="str">
        <f>IF($AG417="","",INDEX(V_Projdef,INDEX($AB$8:$AB$1407,$AG417)))</f>
        <v/>
      </c>
      <c r="L417" s="92" t="str">
        <f>IF($AG417="","",INDEX(V_Naam,INDEX($AB$8:$AB$1407,$AG417)))</f>
        <v/>
      </c>
      <c r="M417" s="92" t="str">
        <f>IF($AG417="","",INDEX(V_Type,INDEX($AB$8:$AB$1407,$AG417)))</f>
        <v/>
      </c>
      <c r="N417" s="92" t="str">
        <f>IF($AG417="","",INDEX(V_IFRS,INDEX($AB$8:$AB$1407,$AG417)))</f>
        <v/>
      </c>
      <c r="O417" s="92" t="str">
        <f>IF($AG417="","",INDEX($AL$8:$AL$21,INDEX($AC$8:$AC$1407,$AG417)+1))</f>
        <v/>
      </c>
      <c r="P417" s="109" t="str">
        <f>IF($AG417="","",INDEX($AD$8:$AD$1407,$AG417))</f>
        <v/>
      </c>
      <c r="Q417" s="92" t="str">
        <f>IF($AG417="","",INDEX($AM$8:$AM$21,INDEX($AC$8:$AC$1407,$AG417)+1))</f>
        <v/>
      </c>
      <c r="R417" s="92" t="str">
        <f>IF($AG417="","",IF($G417&gt;0,P_ToelCorrectie&amp;"",""))</f>
        <v/>
      </c>
      <c r="S417" s="15" t="str">
        <f>IF(J417="","",J417&amp;"|"&amp;E417&amp;"|"&amp;F417&amp;"|"&amp;I417&amp;"|"&amp;O417)</f>
        <v/>
      </c>
      <c r="T417" s="111" t="str">
        <f>IF(S417="","",IF(COUNTIFS(L_Sleutel,S417,L_Actief,1)=0,"",SUMIFS(L_Waarde,L_Sleutel,S417,L_Actief,1)))</f>
        <v/>
      </c>
      <c r="U417" s="111">
        <f>IF(OR(S417="",T417=""),0,P417-T417)</f>
        <v>0</v>
      </c>
      <c r="AB417" s="112" t="n">
        <v>30</v>
      </c>
      <c r="AC417" s="112" t="n">
        <v>3</v>
      </c>
      <c r="AD417" s="112" t="str">
        <f>VERW_Project!M35</f>
        <v/>
      </c>
      <c r="AE417" s="112">
        <f>IF(AND(VERW_Project!$A35&lt;&gt;"",ISNUMBER(AD417)),1,0)</f>
        <v>0</v>
      </c>
      <c r="AF417" s="112" t="str">
        <f>IF(AE417=1,SUM($AE$8:AE417),"")</f>
        <v/>
      </c>
      <c r="AG417" t="str">
        <f>IFERROR(MATCH(410,$AF$8:$AF$1407,0),"")</f>
        <v/>
      </c>
    </row>
    <row r="418">
      <c r="A418" s="92" t="str">
        <f>IF($AG418="","",P_ImportID)</f>
        <v/>
      </c>
      <c r="B418" s="92" t="str">
        <f>IF($AG418="","",IF(INDEX($AN$8:$AN$21,INDEX($AC$8:$AC$1407,$AG418)+1)="Z",P_BronZ,P_BronE))</f>
        <v/>
      </c>
      <c r="C418" s="108" t="str">
        <f>IF($AG418="","",P_Importdatum)</f>
        <v/>
      </c>
      <c r="D418" s="92" t="str">
        <f>IF($AG418="","",P_StatusVastleg)</f>
        <v/>
      </c>
      <c r="E418" s="92" t="str">
        <f>IF($AG418="","",P_UploadVJ)</f>
        <v/>
      </c>
      <c r="F418" s="92" t="str">
        <f>IF($AG418="","",P_UploadVersie)</f>
        <v/>
      </c>
      <c r="G418" s="92" t="str">
        <f>IF($AG418="","",IF(COUNTIFS(L_Sleutel,$S418,L_Status,"Vastgesteld")=0,0,_xlfn.MAXIFS(L_Revisie,L_Sleutel,$S418,L_Status,"Vastgesteld")+1))</f>
        <v/>
      </c>
      <c r="H418" s="108" t="str">
        <f>IF($AG418="","",P_Peildatum)</f>
        <v/>
      </c>
      <c r="I418" s="92" t="str">
        <f>IF($AG418="","",P_RJ+INDEX($AK$8:$AK$21,INDEX($AC$8:$AC$1407,$AG418)+1))</f>
        <v/>
      </c>
      <c r="J418" s="92" t="str">
        <f>IF($AG418="","",INDEX(V_WBS,INDEX($AB$8:$AB$1407,$AG418)))</f>
        <v/>
      </c>
      <c r="K418" s="92" t="str">
        <f>IF($AG418="","",INDEX(V_Projdef,INDEX($AB$8:$AB$1407,$AG418)))</f>
        <v/>
      </c>
      <c r="L418" s="92" t="str">
        <f>IF($AG418="","",INDEX(V_Naam,INDEX($AB$8:$AB$1407,$AG418)))</f>
        <v/>
      </c>
      <c r="M418" s="92" t="str">
        <f>IF($AG418="","",INDEX(V_Type,INDEX($AB$8:$AB$1407,$AG418)))</f>
        <v/>
      </c>
      <c r="N418" s="92" t="str">
        <f>IF($AG418="","",INDEX(V_IFRS,INDEX($AB$8:$AB$1407,$AG418)))</f>
        <v/>
      </c>
      <c r="O418" s="92" t="str">
        <f>IF($AG418="","",INDEX($AL$8:$AL$21,INDEX($AC$8:$AC$1407,$AG418)+1))</f>
        <v/>
      </c>
      <c r="P418" s="109" t="str">
        <f>IF($AG418="","",INDEX($AD$8:$AD$1407,$AG418))</f>
        <v/>
      </c>
      <c r="Q418" s="92" t="str">
        <f>IF($AG418="","",INDEX($AM$8:$AM$21,INDEX($AC$8:$AC$1407,$AG418)+1))</f>
        <v/>
      </c>
      <c r="R418" s="92" t="str">
        <f>IF($AG418="","",IF($G418&gt;0,P_ToelCorrectie&amp;"",""))</f>
        <v/>
      </c>
      <c r="S418" s="15" t="str">
        <f>IF(J418="","",J418&amp;"|"&amp;E418&amp;"|"&amp;F418&amp;"|"&amp;I418&amp;"|"&amp;O418)</f>
        <v/>
      </c>
      <c r="T418" s="111" t="str">
        <f>IF(S418="","",IF(COUNTIFS(L_Sleutel,S418,L_Actief,1)=0,"",SUMIFS(L_Waarde,L_Sleutel,S418,L_Actief,1)))</f>
        <v/>
      </c>
      <c r="U418" s="111">
        <f>IF(OR(S418="",T418=""),0,P418-T418)</f>
        <v>0</v>
      </c>
      <c r="AB418" s="112" t="n">
        <v>30</v>
      </c>
      <c r="AC418" s="112" t="n">
        <v>4</v>
      </c>
      <c r="AD418" s="112" t="str">
        <f>VERW_Project!R35</f>
        <v/>
      </c>
      <c r="AE418" s="112">
        <f>IF(AND(VERW_Project!$A35&lt;&gt;"",ISNUMBER(AD418)),1,0)</f>
        <v>0</v>
      </c>
      <c r="AF418" s="112" t="str">
        <f>IF(AE418=1,SUM($AE$8:AE418),"")</f>
        <v/>
      </c>
      <c r="AG418" t="str">
        <f>IFERROR(MATCH(411,$AF$8:$AF$1407,0),"")</f>
        <v/>
      </c>
    </row>
    <row r="419">
      <c r="A419" s="92" t="str">
        <f>IF($AG419="","",P_ImportID)</f>
        <v/>
      </c>
      <c r="B419" s="92" t="str">
        <f>IF($AG419="","",IF(INDEX($AN$8:$AN$21,INDEX($AC$8:$AC$1407,$AG419)+1)="Z",P_BronZ,P_BronE))</f>
        <v/>
      </c>
      <c r="C419" s="108" t="str">
        <f>IF($AG419="","",P_Importdatum)</f>
        <v/>
      </c>
      <c r="D419" s="92" t="str">
        <f>IF($AG419="","",P_StatusVastleg)</f>
        <v/>
      </c>
      <c r="E419" s="92" t="str">
        <f>IF($AG419="","",P_UploadVJ)</f>
        <v/>
      </c>
      <c r="F419" s="92" t="str">
        <f>IF($AG419="","",P_UploadVersie)</f>
        <v/>
      </c>
      <c r="G419" s="92" t="str">
        <f>IF($AG419="","",IF(COUNTIFS(L_Sleutel,$S419,L_Status,"Vastgesteld")=0,0,_xlfn.MAXIFS(L_Revisie,L_Sleutel,$S419,L_Status,"Vastgesteld")+1))</f>
        <v/>
      </c>
      <c r="H419" s="108" t="str">
        <f>IF($AG419="","",P_Peildatum)</f>
        <v/>
      </c>
      <c r="I419" s="92" t="str">
        <f>IF($AG419="","",P_RJ+INDEX($AK$8:$AK$21,INDEX($AC$8:$AC$1407,$AG419)+1))</f>
        <v/>
      </c>
      <c r="J419" s="92" t="str">
        <f>IF($AG419="","",INDEX(V_WBS,INDEX($AB$8:$AB$1407,$AG419)))</f>
        <v/>
      </c>
      <c r="K419" s="92" t="str">
        <f>IF($AG419="","",INDEX(V_Projdef,INDEX($AB$8:$AB$1407,$AG419)))</f>
        <v/>
      </c>
      <c r="L419" s="92" t="str">
        <f>IF($AG419="","",INDEX(V_Naam,INDEX($AB$8:$AB$1407,$AG419)))</f>
        <v/>
      </c>
      <c r="M419" s="92" t="str">
        <f>IF($AG419="","",INDEX(V_Type,INDEX($AB$8:$AB$1407,$AG419)))</f>
        <v/>
      </c>
      <c r="N419" s="92" t="str">
        <f>IF($AG419="","",INDEX(V_IFRS,INDEX($AB$8:$AB$1407,$AG419)))</f>
        <v/>
      </c>
      <c r="O419" s="92" t="str">
        <f>IF($AG419="","",INDEX($AL$8:$AL$21,INDEX($AC$8:$AC$1407,$AG419)+1))</f>
        <v/>
      </c>
      <c r="P419" s="109" t="str">
        <f>IF($AG419="","",INDEX($AD$8:$AD$1407,$AG419))</f>
        <v/>
      </c>
      <c r="Q419" s="92" t="str">
        <f>IF($AG419="","",INDEX($AM$8:$AM$21,INDEX($AC$8:$AC$1407,$AG419)+1))</f>
        <v/>
      </c>
      <c r="R419" s="92" t="str">
        <f>IF($AG419="","",IF($G419&gt;0,P_ToelCorrectie&amp;"",""))</f>
        <v/>
      </c>
      <c r="S419" s="15" t="str">
        <f>IF(J419="","",J419&amp;"|"&amp;E419&amp;"|"&amp;F419&amp;"|"&amp;I419&amp;"|"&amp;O419)</f>
        <v/>
      </c>
      <c r="T419" s="111" t="str">
        <f>IF(S419="","",IF(COUNTIFS(L_Sleutel,S419,L_Actief,1)=0,"",SUMIFS(L_Waarde,L_Sleutel,S419,L_Actief,1)))</f>
        <v/>
      </c>
      <c r="U419" s="111">
        <f>IF(OR(S419="",T419=""),0,P419-T419)</f>
        <v>0</v>
      </c>
      <c r="AB419" s="112" t="n">
        <v>30</v>
      </c>
      <c r="AC419" s="112" t="n">
        <v>5</v>
      </c>
      <c r="AD419" s="112" t="str">
        <f>VERW_Project!S35</f>
        <v/>
      </c>
      <c r="AE419" s="112">
        <f>IF(AND(VERW_Project!$A35&lt;&gt;"",ISNUMBER(AD419)),1,0)</f>
        <v>0</v>
      </c>
      <c r="AF419" s="112" t="str">
        <f>IF(AE419=1,SUM($AE$8:AE419),"")</f>
        <v/>
      </c>
      <c r="AG419" t="str">
        <f>IFERROR(MATCH(412,$AF$8:$AF$1407,0),"")</f>
        <v/>
      </c>
    </row>
    <row r="420">
      <c r="A420" s="92" t="str">
        <f>IF($AG420="","",P_ImportID)</f>
        <v/>
      </c>
      <c r="B420" s="92" t="str">
        <f>IF($AG420="","",IF(INDEX($AN$8:$AN$21,INDEX($AC$8:$AC$1407,$AG420)+1)="Z",P_BronZ,P_BronE))</f>
        <v/>
      </c>
      <c r="C420" s="108" t="str">
        <f>IF($AG420="","",P_Importdatum)</f>
        <v/>
      </c>
      <c r="D420" s="92" t="str">
        <f>IF($AG420="","",P_StatusVastleg)</f>
        <v/>
      </c>
      <c r="E420" s="92" t="str">
        <f>IF($AG420="","",P_UploadVJ)</f>
        <v/>
      </c>
      <c r="F420" s="92" t="str">
        <f>IF($AG420="","",P_UploadVersie)</f>
        <v/>
      </c>
      <c r="G420" s="92" t="str">
        <f>IF($AG420="","",IF(COUNTIFS(L_Sleutel,$S420,L_Status,"Vastgesteld")=0,0,_xlfn.MAXIFS(L_Revisie,L_Sleutel,$S420,L_Status,"Vastgesteld")+1))</f>
        <v/>
      </c>
      <c r="H420" s="108" t="str">
        <f>IF($AG420="","",P_Peildatum)</f>
        <v/>
      </c>
      <c r="I420" s="92" t="str">
        <f>IF($AG420="","",P_RJ+INDEX($AK$8:$AK$21,INDEX($AC$8:$AC$1407,$AG420)+1))</f>
        <v/>
      </c>
      <c r="J420" s="92" t="str">
        <f>IF($AG420="","",INDEX(V_WBS,INDEX($AB$8:$AB$1407,$AG420)))</f>
        <v/>
      </c>
      <c r="K420" s="92" t="str">
        <f>IF($AG420="","",INDEX(V_Projdef,INDEX($AB$8:$AB$1407,$AG420)))</f>
        <v/>
      </c>
      <c r="L420" s="92" t="str">
        <f>IF($AG420="","",INDEX(V_Naam,INDEX($AB$8:$AB$1407,$AG420)))</f>
        <v/>
      </c>
      <c r="M420" s="92" t="str">
        <f>IF($AG420="","",INDEX(V_Type,INDEX($AB$8:$AB$1407,$AG420)))</f>
        <v/>
      </c>
      <c r="N420" s="92" t="str">
        <f>IF($AG420="","",INDEX(V_IFRS,INDEX($AB$8:$AB$1407,$AG420)))</f>
        <v/>
      </c>
      <c r="O420" s="92" t="str">
        <f>IF($AG420="","",INDEX($AL$8:$AL$21,INDEX($AC$8:$AC$1407,$AG420)+1))</f>
        <v/>
      </c>
      <c r="P420" s="109" t="str">
        <f>IF($AG420="","",INDEX($AD$8:$AD$1407,$AG420))</f>
        <v/>
      </c>
      <c r="Q420" s="92" t="str">
        <f>IF($AG420="","",INDEX($AM$8:$AM$21,INDEX($AC$8:$AC$1407,$AG420)+1))</f>
        <v/>
      </c>
      <c r="R420" s="92" t="str">
        <f>IF($AG420="","",IF($G420&gt;0,P_ToelCorrectie&amp;"",""))</f>
        <v/>
      </c>
      <c r="S420" s="15" t="str">
        <f>IF(J420="","",J420&amp;"|"&amp;E420&amp;"|"&amp;F420&amp;"|"&amp;I420&amp;"|"&amp;O420)</f>
        <v/>
      </c>
      <c r="T420" s="111" t="str">
        <f>IF(S420="","",IF(COUNTIFS(L_Sleutel,S420,L_Actief,1)=0,"",SUMIFS(L_Waarde,L_Sleutel,S420,L_Actief,1)))</f>
        <v/>
      </c>
      <c r="U420" s="111">
        <f>IF(OR(S420="",T420=""),0,P420-T420)</f>
        <v>0</v>
      </c>
      <c r="AB420" s="112" t="n">
        <v>30</v>
      </c>
      <c r="AC420" s="112" t="n">
        <v>6</v>
      </c>
      <c r="AD420" s="112" t="str">
        <f>VERW_Project!BW35</f>
        <v/>
      </c>
      <c r="AE420" s="112">
        <f>IF(AND(VERW_Project!$A35&lt;&gt;"",ISNUMBER(AD420)),1,0)</f>
        <v>0</v>
      </c>
      <c r="AF420" s="112" t="str">
        <f>IF(AE420=1,SUM($AE$8:AE420),"")</f>
        <v/>
      </c>
      <c r="AG420" t="str">
        <f>IFERROR(MATCH(413,$AF$8:$AF$1407,0),"")</f>
        <v/>
      </c>
    </row>
    <row r="421">
      <c r="A421" s="92" t="str">
        <f>IF($AG421="","",P_ImportID)</f>
        <v/>
      </c>
      <c r="B421" s="92" t="str">
        <f>IF($AG421="","",IF(INDEX($AN$8:$AN$21,INDEX($AC$8:$AC$1407,$AG421)+1)="Z",P_BronZ,P_BronE))</f>
        <v/>
      </c>
      <c r="C421" s="108" t="str">
        <f>IF($AG421="","",P_Importdatum)</f>
        <v/>
      </c>
      <c r="D421" s="92" t="str">
        <f>IF($AG421="","",P_StatusVastleg)</f>
        <v/>
      </c>
      <c r="E421" s="92" t="str">
        <f>IF($AG421="","",P_UploadVJ)</f>
        <v/>
      </c>
      <c r="F421" s="92" t="str">
        <f>IF($AG421="","",P_UploadVersie)</f>
        <v/>
      </c>
      <c r="G421" s="92" t="str">
        <f>IF($AG421="","",IF(COUNTIFS(L_Sleutel,$S421,L_Status,"Vastgesteld")=0,0,_xlfn.MAXIFS(L_Revisie,L_Sleutel,$S421,L_Status,"Vastgesteld")+1))</f>
        <v/>
      </c>
      <c r="H421" s="108" t="str">
        <f>IF($AG421="","",P_Peildatum)</f>
        <v/>
      </c>
      <c r="I421" s="92" t="str">
        <f>IF($AG421="","",P_RJ+INDEX($AK$8:$AK$21,INDEX($AC$8:$AC$1407,$AG421)+1))</f>
        <v/>
      </c>
      <c r="J421" s="92" t="str">
        <f>IF($AG421="","",INDEX(V_WBS,INDEX($AB$8:$AB$1407,$AG421)))</f>
        <v/>
      </c>
      <c r="K421" s="92" t="str">
        <f>IF($AG421="","",INDEX(V_Projdef,INDEX($AB$8:$AB$1407,$AG421)))</f>
        <v/>
      </c>
      <c r="L421" s="92" t="str">
        <f>IF($AG421="","",INDEX(V_Naam,INDEX($AB$8:$AB$1407,$AG421)))</f>
        <v/>
      </c>
      <c r="M421" s="92" t="str">
        <f>IF($AG421="","",INDEX(V_Type,INDEX($AB$8:$AB$1407,$AG421)))</f>
        <v/>
      </c>
      <c r="N421" s="92" t="str">
        <f>IF($AG421="","",INDEX(V_IFRS,INDEX($AB$8:$AB$1407,$AG421)))</f>
        <v/>
      </c>
      <c r="O421" s="92" t="str">
        <f>IF($AG421="","",INDEX($AL$8:$AL$21,INDEX($AC$8:$AC$1407,$AG421)+1))</f>
        <v/>
      </c>
      <c r="P421" s="109" t="str">
        <f>IF($AG421="","",INDEX($AD$8:$AD$1407,$AG421))</f>
        <v/>
      </c>
      <c r="Q421" s="92" t="str">
        <f>IF($AG421="","",INDEX($AM$8:$AM$21,INDEX($AC$8:$AC$1407,$AG421)+1))</f>
        <v/>
      </c>
      <c r="R421" s="92" t="str">
        <f>IF($AG421="","",IF($G421&gt;0,P_ToelCorrectie&amp;"",""))</f>
        <v/>
      </c>
      <c r="S421" s="15" t="str">
        <f>IF(J421="","",J421&amp;"|"&amp;E421&amp;"|"&amp;F421&amp;"|"&amp;I421&amp;"|"&amp;O421)</f>
        <v/>
      </c>
      <c r="T421" s="111" t="str">
        <f>IF(S421="","",IF(COUNTIFS(L_Sleutel,S421,L_Actief,1)=0,"",SUMIFS(L_Waarde,L_Sleutel,S421,L_Actief,1)))</f>
        <v/>
      </c>
      <c r="U421" s="111">
        <f>IF(OR(S421="",T421=""),0,P421-T421)</f>
        <v>0</v>
      </c>
      <c r="AB421" s="112" t="n">
        <v>30</v>
      </c>
      <c r="AC421" s="112" t="n">
        <v>7</v>
      </c>
      <c r="AD421" s="112" t="str">
        <f>VERW_Project!AW35</f>
        <v/>
      </c>
      <c r="AE421" s="112">
        <f>IF(AND(VERW_Project!$A35&lt;&gt;"",ISNUMBER(AD421)),1,0)</f>
        <v>0</v>
      </c>
      <c r="AF421" s="112" t="str">
        <f>IF(AE421=1,SUM($AE$8:AE421),"")</f>
        <v/>
      </c>
      <c r="AG421" t="str">
        <f>IFERROR(MATCH(414,$AF$8:$AF$1407,0),"")</f>
        <v/>
      </c>
    </row>
    <row r="422">
      <c r="A422" s="92" t="str">
        <f>IF($AG422="","",P_ImportID)</f>
        <v/>
      </c>
      <c r="B422" s="92" t="str">
        <f>IF($AG422="","",IF(INDEX($AN$8:$AN$21,INDEX($AC$8:$AC$1407,$AG422)+1)="Z",P_BronZ,P_BronE))</f>
        <v/>
      </c>
      <c r="C422" s="108" t="str">
        <f>IF($AG422="","",P_Importdatum)</f>
        <v/>
      </c>
      <c r="D422" s="92" t="str">
        <f>IF($AG422="","",P_StatusVastleg)</f>
        <v/>
      </c>
      <c r="E422" s="92" t="str">
        <f>IF($AG422="","",P_UploadVJ)</f>
        <v/>
      </c>
      <c r="F422" s="92" t="str">
        <f>IF($AG422="","",P_UploadVersie)</f>
        <v/>
      </c>
      <c r="G422" s="92" t="str">
        <f>IF($AG422="","",IF(COUNTIFS(L_Sleutel,$S422,L_Status,"Vastgesteld")=0,0,_xlfn.MAXIFS(L_Revisie,L_Sleutel,$S422,L_Status,"Vastgesteld")+1))</f>
        <v/>
      </c>
      <c r="H422" s="108" t="str">
        <f>IF($AG422="","",P_Peildatum)</f>
        <v/>
      </c>
      <c r="I422" s="92" t="str">
        <f>IF($AG422="","",P_RJ+INDEX($AK$8:$AK$21,INDEX($AC$8:$AC$1407,$AG422)+1))</f>
        <v/>
      </c>
      <c r="J422" s="92" t="str">
        <f>IF($AG422="","",INDEX(V_WBS,INDEX($AB$8:$AB$1407,$AG422)))</f>
        <v/>
      </c>
      <c r="K422" s="92" t="str">
        <f>IF($AG422="","",INDEX(V_Projdef,INDEX($AB$8:$AB$1407,$AG422)))</f>
        <v/>
      </c>
      <c r="L422" s="92" t="str">
        <f>IF($AG422="","",INDEX(V_Naam,INDEX($AB$8:$AB$1407,$AG422)))</f>
        <v/>
      </c>
      <c r="M422" s="92" t="str">
        <f>IF($AG422="","",INDEX(V_Type,INDEX($AB$8:$AB$1407,$AG422)))</f>
        <v/>
      </c>
      <c r="N422" s="92" t="str">
        <f>IF($AG422="","",INDEX(V_IFRS,INDEX($AB$8:$AB$1407,$AG422)))</f>
        <v/>
      </c>
      <c r="O422" s="92" t="str">
        <f>IF($AG422="","",INDEX($AL$8:$AL$21,INDEX($AC$8:$AC$1407,$AG422)+1))</f>
        <v/>
      </c>
      <c r="P422" s="109" t="str">
        <f>IF($AG422="","",INDEX($AD$8:$AD$1407,$AG422))</f>
        <v/>
      </c>
      <c r="Q422" s="92" t="str">
        <f>IF($AG422="","",INDEX($AM$8:$AM$21,INDEX($AC$8:$AC$1407,$AG422)+1))</f>
        <v/>
      </c>
      <c r="R422" s="92" t="str">
        <f>IF($AG422="","",IF($G422&gt;0,P_ToelCorrectie&amp;"",""))</f>
        <v/>
      </c>
      <c r="S422" s="15" t="str">
        <f>IF(J422="","",J422&amp;"|"&amp;E422&amp;"|"&amp;F422&amp;"|"&amp;I422&amp;"|"&amp;O422)</f>
        <v/>
      </c>
      <c r="T422" s="111" t="str">
        <f>IF(S422="","",IF(COUNTIFS(L_Sleutel,S422,L_Actief,1)=0,"",SUMIFS(L_Waarde,L_Sleutel,S422,L_Actief,1)))</f>
        <v/>
      </c>
      <c r="U422" s="111">
        <f>IF(OR(S422="",T422=""),0,P422-T422)</f>
        <v>0</v>
      </c>
      <c r="AB422" s="112" t="n">
        <v>30</v>
      </c>
      <c r="AC422" s="112" t="n">
        <v>8</v>
      </c>
      <c r="AD422" s="112" t="str">
        <f>VERW_Project!BQ35</f>
        <v/>
      </c>
      <c r="AE422" s="112">
        <f>IF(AND(VERW_Project!$A35&lt;&gt;"",ISNUMBER(AD422)),1,0)</f>
        <v>0</v>
      </c>
      <c r="AF422" s="112" t="str">
        <f>IF(AE422=1,SUM($AE$8:AE422),"")</f>
        <v/>
      </c>
      <c r="AG422" t="str">
        <f>IFERROR(MATCH(415,$AF$8:$AF$1407,0),"")</f>
        <v/>
      </c>
    </row>
    <row r="423">
      <c r="A423" s="92" t="str">
        <f>IF($AG423="","",P_ImportID)</f>
        <v/>
      </c>
      <c r="B423" s="92" t="str">
        <f>IF($AG423="","",IF(INDEX($AN$8:$AN$21,INDEX($AC$8:$AC$1407,$AG423)+1)="Z",P_BronZ,P_BronE))</f>
        <v/>
      </c>
      <c r="C423" s="108" t="str">
        <f>IF($AG423="","",P_Importdatum)</f>
        <v/>
      </c>
      <c r="D423" s="92" t="str">
        <f>IF($AG423="","",P_StatusVastleg)</f>
        <v/>
      </c>
      <c r="E423" s="92" t="str">
        <f>IF($AG423="","",P_UploadVJ)</f>
        <v/>
      </c>
      <c r="F423" s="92" t="str">
        <f>IF($AG423="","",P_UploadVersie)</f>
        <v/>
      </c>
      <c r="G423" s="92" t="str">
        <f>IF($AG423="","",IF(COUNTIFS(L_Sleutel,$S423,L_Status,"Vastgesteld")=0,0,_xlfn.MAXIFS(L_Revisie,L_Sleutel,$S423,L_Status,"Vastgesteld")+1))</f>
        <v/>
      </c>
      <c r="H423" s="108" t="str">
        <f>IF($AG423="","",P_Peildatum)</f>
        <v/>
      </c>
      <c r="I423" s="92" t="str">
        <f>IF($AG423="","",P_RJ+INDEX($AK$8:$AK$21,INDEX($AC$8:$AC$1407,$AG423)+1))</f>
        <v/>
      </c>
      <c r="J423" s="92" t="str">
        <f>IF($AG423="","",INDEX(V_WBS,INDEX($AB$8:$AB$1407,$AG423)))</f>
        <v/>
      </c>
      <c r="K423" s="92" t="str">
        <f>IF($AG423="","",INDEX(V_Projdef,INDEX($AB$8:$AB$1407,$AG423)))</f>
        <v/>
      </c>
      <c r="L423" s="92" t="str">
        <f>IF($AG423="","",INDEX(V_Naam,INDEX($AB$8:$AB$1407,$AG423)))</f>
        <v/>
      </c>
      <c r="M423" s="92" t="str">
        <f>IF($AG423="","",INDEX(V_Type,INDEX($AB$8:$AB$1407,$AG423)))</f>
        <v/>
      </c>
      <c r="N423" s="92" t="str">
        <f>IF($AG423="","",INDEX(V_IFRS,INDEX($AB$8:$AB$1407,$AG423)))</f>
        <v/>
      </c>
      <c r="O423" s="92" t="str">
        <f>IF($AG423="","",INDEX($AL$8:$AL$21,INDEX($AC$8:$AC$1407,$AG423)+1))</f>
        <v/>
      </c>
      <c r="P423" s="109" t="str">
        <f>IF($AG423="","",INDEX($AD$8:$AD$1407,$AG423))</f>
        <v/>
      </c>
      <c r="Q423" s="92" t="str">
        <f>IF($AG423="","",INDEX($AM$8:$AM$21,INDEX($AC$8:$AC$1407,$AG423)+1))</f>
        <v/>
      </c>
      <c r="R423" s="92" t="str">
        <f>IF($AG423="","",IF($G423&gt;0,P_ToelCorrectie&amp;"",""))</f>
        <v/>
      </c>
      <c r="S423" s="15" t="str">
        <f>IF(J423="","",J423&amp;"|"&amp;E423&amp;"|"&amp;F423&amp;"|"&amp;I423&amp;"|"&amp;O423)</f>
        <v/>
      </c>
      <c r="T423" s="111" t="str">
        <f>IF(S423="","",IF(COUNTIFS(L_Sleutel,S423,L_Actief,1)=0,"",SUMIFS(L_Waarde,L_Sleutel,S423,L_Actief,1)))</f>
        <v/>
      </c>
      <c r="U423" s="111">
        <f>IF(OR(S423="",T423=""),0,P423-T423)</f>
        <v>0</v>
      </c>
      <c r="AB423" s="112" t="n">
        <v>30</v>
      </c>
      <c r="AC423" s="112" t="n">
        <v>9</v>
      </c>
      <c r="AD423" s="112" t="str">
        <f>VERW_Project!BR35</f>
        <v/>
      </c>
      <c r="AE423" s="112">
        <f>IF(AND(VERW_Project!$A35&lt;&gt;"",ISNUMBER(AD423)),1,0)</f>
        <v>0</v>
      </c>
      <c r="AF423" s="112" t="str">
        <f>IF(AE423=1,SUM($AE$8:AE423),"")</f>
        <v/>
      </c>
      <c r="AG423" t="str">
        <f>IFERROR(MATCH(416,$AF$8:$AF$1407,0),"")</f>
        <v/>
      </c>
    </row>
    <row r="424">
      <c r="A424" s="92" t="str">
        <f>IF($AG424="","",P_ImportID)</f>
        <v/>
      </c>
      <c r="B424" s="92" t="str">
        <f>IF($AG424="","",IF(INDEX($AN$8:$AN$21,INDEX($AC$8:$AC$1407,$AG424)+1)="Z",P_BronZ,P_BronE))</f>
        <v/>
      </c>
      <c r="C424" s="108" t="str">
        <f>IF($AG424="","",P_Importdatum)</f>
        <v/>
      </c>
      <c r="D424" s="92" t="str">
        <f>IF($AG424="","",P_StatusVastleg)</f>
        <v/>
      </c>
      <c r="E424" s="92" t="str">
        <f>IF($AG424="","",P_UploadVJ)</f>
        <v/>
      </c>
      <c r="F424" s="92" t="str">
        <f>IF($AG424="","",P_UploadVersie)</f>
        <v/>
      </c>
      <c r="G424" s="92" t="str">
        <f>IF($AG424="","",IF(COUNTIFS(L_Sleutel,$S424,L_Status,"Vastgesteld")=0,0,_xlfn.MAXIFS(L_Revisie,L_Sleutel,$S424,L_Status,"Vastgesteld")+1))</f>
        <v/>
      </c>
      <c r="H424" s="108" t="str">
        <f>IF($AG424="","",P_Peildatum)</f>
        <v/>
      </c>
      <c r="I424" s="92" t="str">
        <f>IF($AG424="","",P_RJ+INDEX($AK$8:$AK$21,INDEX($AC$8:$AC$1407,$AG424)+1))</f>
        <v/>
      </c>
      <c r="J424" s="92" t="str">
        <f>IF($AG424="","",INDEX(V_WBS,INDEX($AB$8:$AB$1407,$AG424)))</f>
        <v/>
      </c>
      <c r="K424" s="92" t="str">
        <f>IF($AG424="","",INDEX(V_Projdef,INDEX($AB$8:$AB$1407,$AG424)))</f>
        <v/>
      </c>
      <c r="L424" s="92" t="str">
        <f>IF($AG424="","",INDEX(V_Naam,INDEX($AB$8:$AB$1407,$AG424)))</f>
        <v/>
      </c>
      <c r="M424" s="92" t="str">
        <f>IF($AG424="","",INDEX(V_Type,INDEX($AB$8:$AB$1407,$AG424)))</f>
        <v/>
      </c>
      <c r="N424" s="92" t="str">
        <f>IF($AG424="","",INDEX(V_IFRS,INDEX($AB$8:$AB$1407,$AG424)))</f>
        <v/>
      </c>
      <c r="O424" s="92" t="str">
        <f>IF($AG424="","",INDEX($AL$8:$AL$21,INDEX($AC$8:$AC$1407,$AG424)+1))</f>
        <v/>
      </c>
      <c r="P424" s="109" t="str">
        <f>IF($AG424="","",INDEX($AD$8:$AD$1407,$AG424))</f>
        <v/>
      </c>
      <c r="Q424" s="92" t="str">
        <f>IF($AG424="","",INDEX($AM$8:$AM$21,INDEX($AC$8:$AC$1407,$AG424)+1))</f>
        <v/>
      </c>
      <c r="R424" s="92" t="str">
        <f>IF($AG424="","",IF($G424&gt;0,P_ToelCorrectie&amp;"",""))</f>
        <v/>
      </c>
      <c r="S424" s="15" t="str">
        <f>IF(J424="","",J424&amp;"|"&amp;E424&amp;"|"&amp;F424&amp;"|"&amp;I424&amp;"|"&amp;O424)</f>
        <v/>
      </c>
      <c r="T424" s="111" t="str">
        <f>IF(S424="","",IF(COUNTIFS(L_Sleutel,S424,L_Actief,1)=0,"",SUMIFS(L_Waarde,L_Sleutel,S424,L_Actief,1)))</f>
        <v/>
      </c>
      <c r="U424" s="111">
        <f>IF(OR(S424="",T424=""),0,P424-T424)</f>
        <v>0</v>
      </c>
      <c r="AB424" s="112" t="n">
        <v>30</v>
      </c>
      <c r="AC424" s="112" t="n">
        <v>10</v>
      </c>
      <c r="AD424" s="112" t="str">
        <f>VERW_Project!BS35</f>
        <v/>
      </c>
      <c r="AE424" s="112">
        <f>IF(AND(VERW_Project!$A35&lt;&gt;"",ISNUMBER(AD424)),1,0)</f>
        <v>0</v>
      </c>
      <c r="AF424" s="112" t="str">
        <f>IF(AE424=1,SUM($AE$8:AE424),"")</f>
        <v/>
      </c>
      <c r="AG424" t="str">
        <f>IFERROR(MATCH(417,$AF$8:$AF$1407,0),"")</f>
        <v/>
      </c>
    </row>
    <row r="425">
      <c r="A425" s="92" t="str">
        <f>IF($AG425="","",P_ImportID)</f>
        <v/>
      </c>
      <c r="B425" s="92" t="str">
        <f>IF($AG425="","",IF(INDEX($AN$8:$AN$21,INDEX($AC$8:$AC$1407,$AG425)+1)="Z",P_BronZ,P_BronE))</f>
        <v/>
      </c>
      <c r="C425" s="108" t="str">
        <f>IF($AG425="","",P_Importdatum)</f>
        <v/>
      </c>
      <c r="D425" s="92" t="str">
        <f>IF($AG425="","",P_StatusVastleg)</f>
        <v/>
      </c>
      <c r="E425" s="92" t="str">
        <f>IF($AG425="","",P_UploadVJ)</f>
        <v/>
      </c>
      <c r="F425" s="92" t="str">
        <f>IF($AG425="","",P_UploadVersie)</f>
        <v/>
      </c>
      <c r="G425" s="92" t="str">
        <f>IF($AG425="","",IF(COUNTIFS(L_Sleutel,$S425,L_Status,"Vastgesteld")=0,0,_xlfn.MAXIFS(L_Revisie,L_Sleutel,$S425,L_Status,"Vastgesteld")+1))</f>
        <v/>
      </c>
      <c r="H425" s="108" t="str">
        <f>IF($AG425="","",P_Peildatum)</f>
        <v/>
      </c>
      <c r="I425" s="92" t="str">
        <f>IF($AG425="","",P_RJ+INDEX($AK$8:$AK$21,INDEX($AC$8:$AC$1407,$AG425)+1))</f>
        <v/>
      </c>
      <c r="J425" s="92" t="str">
        <f>IF($AG425="","",INDEX(V_WBS,INDEX($AB$8:$AB$1407,$AG425)))</f>
        <v/>
      </c>
      <c r="K425" s="92" t="str">
        <f>IF($AG425="","",INDEX(V_Projdef,INDEX($AB$8:$AB$1407,$AG425)))</f>
        <v/>
      </c>
      <c r="L425" s="92" t="str">
        <f>IF($AG425="","",INDEX(V_Naam,INDEX($AB$8:$AB$1407,$AG425)))</f>
        <v/>
      </c>
      <c r="M425" s="92" t="str">
        <f>IF($AG425="","",INDEX(V_Type,INDEX($AB$8:$AB$1407,$AG425)))</f>
        <v/>
      </c>
      <c r="N425" s="92" t="str">
        <f>IF($AG425="","",INDEX(V_IFRS,INDEX($AB$8:$AB$1407,$AG425)))</f>
        <v/>
      </c>
      <c r="O425" s="92" t="str">
        <f>IF($AG425="","",INDEX($AL$8:$AL$21,INDEX($AC$8:$AC$1407,$AG425)+1))</f>
        <v/>
      </c>
      <c r="P425" s="109" t="str">
        <f>IF($AG425="","",INDEX($AD$8:$AD$1407,$AG425))</f>
        <v/>
      </c>
      <c r="Q425" s="92" t="str">
        <f>IF($AG425="","",INDEX($AM$8:$AM$21,INDEX($AC$8:$AC$1407,$AG425)+1))</f>
        <v/>
      </c>
      <c r="R425" s="92" t="str">
        <f>IF($AG425="","",IF($G425&gt;0,P_ToelCorrectie&amp;"",""))</f>
        <v/>
      </c>
      <c r="S425" s="15" t="str">
        <f>IF(J425="","",J425&amp;"|"&amp;E425&amp;"|"&amp;F425&amp;"|"&amp;I425&amp;"|"&amp;O425)</f>
        <v/>
      </c>
      <c r="T425" s="111" t="str">
        <f>IF(S425="","",IF(COUNTIFS(L_Sleutel,S425,L_Actief,1)=0,"",SUMIFS(L_Waarde,L_Sleutel,S425,L_Actief,1)))</f>
        <v/>
      </c>
      <c r="U425" s="111">
        <f>IF(OR(S425="",T425=""),0,P425-T425)</f>
        <v>0</v>
      </c>
      <c r="AB425" s="112" t="n">
        <v>30</v>
      </c>
      <c r="AC425" s="112" t="n">
        <v>11</v>
      </c>
      <c r="AD425" s="112" t="str">
        <f>VERW_Project!BT35</f>
        <v/>
      </c>
      <c r="AE425" s="112">
        <f>IF(AND(VERW_Project!$A35&lt;&gt;"",ISNUMBER(AD425)),1,0)</f>
        <v>0</v>
      </c>
      <c r="AF425" s="112" t="str">
        <f>IF(AE425=1,SUM($AE$8:AE425),"")</f>
        <v/>
      </c>
      <c r="AG425" t="str">
        <f>IFERROR(MATCH(418,$AF$8:$AF$1407,0),"")</f>
        <v/>
      </c>
    </row>
    <row r="426">
      <c r="A426" s="92" t="str">
        <f>IF($AG426="","",P_ImportID)</f>
        <v/>
      </c>
      <c r="B426" s="92" t="str">
        <f>IF($AG426="","",IF(INDEX($AN$8:$AN$21,INDEX($AC$8:$AC$1407,$AG426)+1)="Z",P_BronZ,P_BronE))</f>
        <v/>
      </c>
      <c r="C426" s="108" t="str">
        <f>IF($AG426="","",P_Importdatum)</f>
        <v/>
      </c>
      <c r="D426" s="92" t="str">
        <f>IF($AG426="","",P_StatusVastleg)</f>
        <v/>
      </c>
      <c r="E426" s="92" t="str">
        <f>IF($AG426="","",P_UploadVJ)</f>
        <v/>
      </c>
      <c r="F426" s="92" t="str">
        <f>IF($AG426="","",P_UploadVersie)</f>
        <v/>
      </c>
      <c r="G426" s="92" t="str">
        <f>IF($AG426="","",IF(COUNTIFS(L_Sleutel,$S426,L_Status,"Vastgesteld")=0,0,_xlfn.MAXIFS(L_Revisie,L_Sleutel,$S426,L_Status,"Vastgesteld")+1))</f>
        <v/>
      </c>
      <c r="H426" s="108" t="str">
        <f>IF($AG426="","",P_Peildatum)</f>
        <v/>
      </c>
      <c r="I426" s="92" t="str">
        <f>IF($AG426="","",P_RJ+INDEX($AK$8:$AK$21,INDEX($AC$8:$AC$1407,$AG426)+1))</f>
        <v/>
      </c>
      <c r="J426" s="92" t="str">
        <f>IF($AG426="","",INDEX(V_WBS,INDEX($AB$8:$AB$1407,$AG426)))</f>
        <v/>
      </c>
      <c r="K426" s="92" t="str">
        <f>IF($AG426="","",INDEX(V_Projdef,INDEX($AB$8:$AB$1407,$AG426)))</f>
        <v/>
      </c>
      <c r="L426" s="92" t="str">
        <f>IF($AG426="","",INDEX(V_Naam,INDEX($AB$8:$AB$1407,$AG426)))</f>
        <v/>
      </c>
      <c r="M426" s="92" t="str">
        <f>IF($AG426="","",INDEX(V_Type,INDEX($AB$8:$AB$1407,$AG426)))</f>
        <v/>
      </c>
      <c r="N426" s="92" t="str">
        <f>IF($AG426="","",INDEX(V_IFRS,INDEX($AB$8:$AB$1407,$AG426)))</f>
        <v/>
      </c>
      <c r="O426" s="92" t="str">
        <f>IF($AG426="","",INDEX($AL$8:$AL$21,INDEX($AC$8:$AC$1407,$AG426)+1))</f>
        <v/>
      </c>
      <c r="P426" s="109" t="str">
        <f>IF($AG426="","",INDEX($AD$8:$AD$1407,$AG426))</f>
        <v/>
      </c>
      <c r="Q426" s="92" t="str">
        <f>IF($AG426="","",INDEX($AM$8:$AM$21,INDEX($AC$8:$AC$1407,$AG426)+1))</f>
        <v/>
      </c>
      <c r="R426" s="92" t="str">
        <f>IF($AG426="","",IF($G426&gt;0,P_ToelCorrectie&amp;"",""))</f>
        <v/>
      </c>
      <c r="S426" s="15" t="str">
        <f>IF(J426="","",J426&amp;"|"&amp;E426&amp;"|"&amp;F426&amp;"|"&amp;I426&amp;"|"&amp;O426)</f>
        <v/>
      </c>
      <c r="T426" s="111" t="str">
        <f>IF(S426="","",IF(COUNTIFS(L_Sleutel,S426,L_Actief,1)=0,"",SUMIFS(L_Waarde,L_Sleutel,S426,L_Actief,1)))</f>
        <v/>
      </c>
      <c r="U426" s="111">
        <f>IF(OR(S426="",T426=""),0,P426-T426)</f>
        <v>0</v>
      </c>
      <c r="AB426" s="112" t="n">
        <v>30</v>
      </c>
      <c r="AC426" s="112" t="n">
        <v>12</v>
      </c>
      <c r="AD426" s="112" t="str">
        <f>VERW_Project!BU35</f>
        <v/>
      </c>
      <c r="AE426" s="112">
        <f>IF(AND(VERW_Project!$A35&lt;&gt;"",ISNUMBER(AD426)),1,0)</f>
        <v>0</v>
      </c>
      <c r="AF426" s="112" t="str">
        <f>IF(AE426=1,SUM($AE$8:AE426),"")</f>
        <v/>
      </c>
      <c r="AG426" t="str">
        <f>IFERROR(MATCH(419,$AF$8:$AF$1407,0),"")</f>
        <v/>
      </c>
    </row>
    <row r="427">
      <c r="A427" s="92" t="str">
        <f>IF($AG427="","",P_ImportID)</f>
        <v/>
      </c>
      <c r="B427" s="92" t="str">
        <f>IF($AG427="","",IF(INDEX($AN$8:$AN$21,INDEX($AC$8:$AC$1407,$AG427)+1)="Z",P_BronZ,P_BronE))</f>
        <v/>
      </c>
      <c r="C427" s="108" t="str">
        <f>IF($AG427="","",P_Importdatum)</f>
        <v/>
      </c>
      <c r="D427" s="92" t="str">
        <f>IF($AG427="","",P_StatusVastleg)</f>
        <v/>
      </c>
      <c r="E427" s="92" t="str">
        <f>IF($AG427="","",P_UploadVJ)</f>
        <v/>
      </c>
      <c r="F427" s="92" t="str">
        <f>IF($AG427="","",P_UploadVersie)</f>
        <v/>
      </c>
      <c r="G427" s="92" t="str">
        <f>IF($AG427="","",IF(COUNTIFS(L_Sleutel,$S427,L_Status,"Vastgesteld")=0,0,_xlfn.MAXIFS(L_Revisie,L_Sleutel,$S427,L_Status,"Vastgesteld")+1))</f>
        <v/>
      </c>
      <c r="H427" s="108" t="str">
        <f>IF($AG427="","",P_Peildatum)</f>
        <v/>
      </c>
      <c r="I427" s="92" t="str">
        <f>IF($AG427="","",P_RJ+INDEX($AK$8:$AK$21,INDEX($AC$8:$AC$1407,$AG427)+1))</f>
        <v/>
      </c>
      <c r="J427" s="92" t="str">
        <f>IF($AG427="","",INDEX(V_WBS,INDEX($AB$8:$AB$1407,$AG427)))</f>
        <v/>
      </c>
      <c r="K427" s="92" t="str">
        <f>IF($AG427="","",INDEX(V_Projdef,INDEX($AB$8:$AB$1407,$AG427)))</f>
        <v/>
      </c>
      <c r="L427" s="92" t="str">
        <f>IF($AG427="","",INDEX(V_Naam,INDEX($AB$8:$AB$1407,$AG427)))</f>
        <v/>
      </c>
      <c r="M427" s="92" t="str">
        <f>IF($AG427="","",INDEX(V_Type,INDEX($AB$8:$AB$1407,$AG427)))</f>
        <v/>
      </c>
      <c r="N427" s="92" t="str">
        <f>IF($AG427="","",INDEX(V_IFRS,INDEX($AB$8:$AB$1407,$AG427)))</f>
        <v/>
      </c>
      <c r="O427" s="92" t="str">
        <f>IF($AG427="","",INDEX($AL$8:$AL$21,INDEX($AC$8:$AC$1407,$AG427)+1))</f>
        <v/>
      </c>
      <c r="P427" s="109" t="str">
        <f>IF($AG427="","",INDEX($AD$8:$AD$1407,$AG427))</f>
        <v/>
      </c>
      <c r="Q427" s="92" t="str">
        <f>IF($AG427="","",INDEX($AM$8:$AM$21,INDEX($AC$8:$AC$1407,$AG427)+1))</f>
        <v/>
      </c>
      <c r="R427" s="92" t="str">
        <f>IF($AG427="","",IF($G427&gt;0,P_ToelCorrectie&amp;"",""))</f>
        <v/>
      </c>
      <c r="S427" s="15" t="str">
        <f>IF(J427="","",J427&amp;"|"&amp;E427&amp;"|"&amp;F427&amp;"|"&amp;I427&amp;"|"&amp;O427)</f>
        <v/>
      </c>
      <c r="T427" s="111" t="str">
        <f>IF(S427="","",IF(COUNTIFS(L_Sleutel,S427,L_Actief,1)=0,"",SUMIFS(L_Waarde,L_Sleutel,S427,L_Actief,1)))</f>
        <v/>
      </c>
      <c r="U427" s="111">
        <f>IF(OR(S427="",T427=""),0,P427-T427)</f>
        <v>0</v>
      </c>
      <c r="AB427" s="112" t="n">
        <v>30</v>
      </c>
      <c r="AC427" s="112" t="n">
        <v>13</v>
      </c>
      <c r="AD427" s="112" t="str">
        <f>VERW_Project!BX35</f>
        <v/>
      </c>
      <c r="AE427" s="112">
        <f>IF(AND(VERW_Project!$A35&lt;&gt;"",ISNUMBER(AD427)),1,0)</f>
        <v>0</v>
      </c>
      <c r="AF427" s="112" t="str">
        <f>IF(AE427=1,SUM($AE$8:AE427),"")</f>
        <v/>
      </c>
      <c r="AG427" t="str">
        <f>IFERROR(MATCH(420,$AF$8:$AF$1407,0),"")</f>
        <v/>
      </c>
    </row>
    <row r="428">
      <c r="A428" s="92" t="str">
        <f>IF($AG428="","",P_ImportID)</f>
        <v/>
      </c>
      <c r="B428" s="92" t="str">
        <f>IF($AG428="","",IF(INDEX($AN$8:$AN$21,INDEX($AC$8:$AC$1407,$AG428)+1)="Z",P_BronZ,P_BronE))</f>
        <v/>
      </c>
      <c r="C428" s="108" t="str">
        <f>IF($AG428="","",P_Importdatum)</f>
        <v/>
      </c>
      <c r="D428" s="92" t="str">
        <f>IF($AG428="","",P_StatusVastleg)</f>
        <v/>
      </c>
      <c r="E428" s="92" t="str">
        <f>IF($AG428="","",P_UploadVJ)</f>
        <v/>
      </c>
      <c r="F428" s="92" t="str">
        <f>IF($AG428="","",P_UploadVersie)</f>
        <v/>
      </c>
      <c r="G428" s="92" t="str">
        <f>IF($AG428="","",IF(COUNTIFS(L_Sleutel,$S428,L_Status,"Vastgesteld")=0,0,_xlfn.MAXIFS(L_Revisie,L_Sleutel,$S428,L_Status,"Vastgesteld")+1))</f>
        <v/>
      </c>
      <c r="H428" s="108" t="str">
        <f>IF($AG428="","",P_Peildatum)</f>
        <v/>
      </c>
      <c r="I428" s="92" t="str">
        <f>IF($AG428="","",P_RJ+INDEX($AK$8:$AK$21,INDEX($AC$8:$AC$1407,$AG428)+1))</f>
        <v/>
      </c>
      <c r="J428" s="92" t="str">
        <f>IF($AG428="","",INDEX(V_WBS,INDEX($AB$8:$AB$1407,$AG428)))</f>
        <v/>
      </c>
      <c r="K428" s="92" t="str">
        <f>IF($AG428="","",INDEX(V_Projdef,INDEX($AB$8:$AB$1407,$AG428)))</f>
        <v/>
      </c>
      <c r="L428" s="92" t="str">
        <f>IF($AG428="","",INDEX(V_Naam,INDEX($AB$8:$AB$1407,$AG428)))</f>
        <v/>
      </c>
      <c r="M428" s="92" t="str">
        <f>IF($AG428="","",INDEX(V_Type,INDEX($AB$8:$AB$1407,$AG428)))</f>
        <v/>
      </c>
      <c r="N428" s="92" t="str">
        <f>IF($AG428="","",INDEX(V_IFRS,INDEX($AB$8:$AB$1407,$AG428)))</f>
        <v/>
      </c>
      <c r="O428" s="92" t="str">
        <f>IF($AG428="","",INDEX($AL$8:$AL$21,INDEX($AC$8:$AC$1407,$AG428)+1))</f>
        <v/>
      </c>
      <c r="P428" s="109" t="str">
        <f>IF($AG428="","",INDEX($AD$8:$AD$1407,$AG428))</f>
        <v/>
      </c>
      <c r="Q428" s="92" t="str">
        <f>IF($AG428="","",INDEX($AM$8:$AM$21,INDEX($AC$8:$AC$1407,$AG428)+1))</f>
        <v/>
      </c>
      <c r="R428" s="92" t="str">
        <f>IF($AG428="","",IF($G428&gt;0,P_ToelCorrectie&amp;"",""))</f>
        <v/>
      </c>
      <c r="S428" s="15" t="str">
        <f>IF(J428="","",J428&amp;"|"&amp;E428&amp;"|"&amp;F428&amp;"|"&amp;I428&amp;"|"&amp;O428)</f>
        <v/>
      </c>
      <c r="T428" s="111" t="str">
        <f>IF(S428="","",IF(COUNTIFS(L_Sleutel,S428,L_Actief,1)=0,"",SUMIFS(L_Waarde,L_Sleutel,S428,L_Actief,1)))</f>
        <v/>
      </c>
      <c r="U428" s="111">
        <f>IF(OR(S428="",T428=""),0,P428-T428)</f>
        <v>0</v>
      </c>
      <c r="AB428" s="112" t="n">
        <v>31</v>
      </c>
      <c r="AC428" s="112" t="n">
        <v>0</v>
      </c>
      <c r="AD428" s="112" t="str">
        <f>VERW_Project!P36</f>
        <v/>
      </c>
      <c r="AE428" s="112">
        <f>IF(AND(VERW_Project!$A36&lt;&gt;"",ISNUMBER(AD428)),1,0)</f>
        <v>0</v>
      </c>
      <c r="AF428" s="112" t="str">
        <f>IF(AE428=1,SUM($AE$8:AE428),"")</f>
        <v/>
      </c>
      <c r="AG428" t="str">
        <f>IFERROR(MATCH(421,$AF$8:$AF$1407,0),"")</f>
        <v/>
      </c>
    </row>
    <row r="429">
      <c r="A429" s="92" t="str">
        <f>IF($AG429="","",P_ImportID)</f>
        <v/>
      </c>
      <c r="B429" s="92" t="str">
        <f>IF($AG429="","",IF(INDEX($AN$8:$AN$21,INDEX($AC$8:$AC$1407,$AG429)+1)="Z",P_BronZ,P_BronE))</f>
        <v/>
      </c>
      <c r="C429" s="108" t="str">
        <f>IF($AG429="","",P_Importdatum)</f>
        <v/>
      </c>
      <c r="D429" s="92" t="str">
        <f>IF($AG429="","",P_StatusVastleg)</f>
        <v/>
      </c>
      <c r="E429" s="92" t="str">
        <f>IF($AG429="","",P_UploadVJ)</f>
        <v/>
      </c>
      <c r="F429" s="92" t="str">
        <f>IF($AG429="","",P_UploadVersie)</f>
        <v/>
      </c>
      <c r="G429" s="92" t="str">
        <f>IF($AG429="","",IF(COUNTIFS(L_Sleutel,$S429,L_Status,"Vastgesteld")=0,0,_xlfn.MAXIFS(L_Revisie,L_Sleutel,$S429,L_Status,"Vastgesteld")+1))</f>
        <v/>
      </c>
      <c r="H429" s="108" t="str">
        <f>IF($AG429="","",P_Peildatum)</f>
        <v/>
      </c>
      <c r="I429" s="92" t="str">
        <f>IF($AG429="","",P_RJ+INDEX($AK$8:$AK$21,INDEX($AC$8:$AC$1407,$AG429)+1))</f>
        <v/>
      </c>
      <c r="J429" s="92" t="str">
        <f>IF($AG429="","",INDEX(V_WBS,INDEX($AB$8:$AB$1407,$AG429)))</f>
        <v/>
      </c>
      <c r="K429" s="92" t="str">
        <f>IF($AG429="","",INDEX(V_Projdef,INDEX($AB$8:$AB$1407,$AG429)))</f>
        <v/>
      </c>
      <c r="L429" s="92" t="str">
        <f>IF($AG429="","",INDEX(V_Naam,INDEX($AB$8:$AB$1407,$AG429)))</f>
        <v/>
      </c>
      <c r="M429" s="92" t="str">
        <f>IF($AG429="","",INDEX(V_Type,INDEX($AB$8:$AB$1407,$AG429)))</f>
        <v/>
      </c>
      <c r="N429" s="92" t="str">
        <f>IF($AG429="","",INDEX(V_IFRS,INDEX($AB$8:$AB$1407,$AG429)))</f>
        <v/>
      </c>
      <c r="O429" s="92" t="str">
        <f>IF($AG429="","",INDEX($AL$8:$AL$21,INDEX($AC$8:$AC$1407,$AG429)+1))</f>
        <v/>
      </c>
      <c r="P429" s="109" t="str">
        <f>IF($AG429="","",INDEX($AD$8:$AD$1407,$AG429))</f>
        <v/>
      </c>
      <c r="Q429" s="92" t="str">
        <f>IF($AG429="","",INDEX($AM$8:$AM$21,INDEX($AC$8:$AC$1407,$AG429)+1))</f>
        <v/>
      </c>
      <c r="R429" s="92" t="str">
        <f>IF($AG429="","",IF($G429&gt;0,P_ToelCorrectie&amp;"",""))</f>
        <v/>
      </c>
      <c r="S429" s="15" t="str">
        <f>IF(J429="","",J429&amp;"|"&amp;E429&amp;"|"&amp;F429&amp;"|"&amp;I429&amp;"|"&amp;O429)</f>
        <v/>
      </c>
      <c r="T429" s="111" t="str">
        <f>IF(S429="","",IF(COUNTIFS(L_Sleutel,S429,L_Actief,1)=0,"",SUMIFS(L_Waarde,L_Sleutel,S429,L_Actief,1)))</f>
        <v/>
      </c>
      <c r="U429" s="111">
        <f>IF(OR(S429="",T429=""),0,P429-T429)</f>
        <v>0</v>
      </c>
      <c r="AB429" s="112" t="n">
        <v>31</v>
      </c>
      <c r="AC429" s="112" t="n">
        <v>1</v>
      </c>
      <c r="AD429" s="112" t="str">
        <f>VERW_Project!Q36</f>
        <v/>
      </c>
      <c r="AE429" s="112">
        <f>IF(AND(VERW_Project!$A36&lt;&gt;"",ISNUMBER(AD429)),1,0)</f>
        <v>0</v>
      </c>
      <c r="AF429" s="112" t="str">
        <f>IF(AE429=1,SUM($AE$8:AE429),"")</f>
        <v/>
      </c>
      <c r="AG429" t="str">
        <f>IFERROR(MATCH(422,$AF$8:$AF$1407,0),"")</f>
        <v/>
      </c>
    </row>
    <row r="430">
      <c r="A430" s="92" t="str">
        <f>IF($AG430="","",P_ImportID)</f>
        <v/>
      </c>
      <c r="B430" s="92" t="str">
        <f>IF($AG430="","",IF(INDEX($AN$8:$AN$21,INDEX($AC$8:$AC$1407,$AG430)+1)="Z",P_BronZ,P_BronE))</f>
        <v/>
      </c>
      <c r="C430" s="108" t="str">
        <f>IF($AG430="","",P_Importdatum)</f>
        <v/>
      </c>
      <c r="D430" s="92" t="str">
        <f>IF($AG430="","",P_StatusVastleg)</f>
        <v/>
      </c>
      <c r="E430" s="92" t="str">
        <f>IF($AG430="","",P_UploadVJ)</f>
        <v/>
      </c>
      <c r="F430" s="92" t="str">
        <f>IF($AG430="","",P_UploadVersie)</f>
        <v/>
      </c>
      <c r="G430" s="92" t="str">
        <f>IF($AG430="","",IF(COUNTIFS(L_Sleutel,$S430,L_Status,"Vastgesteld")=0,0,_xlfn.MAXIFS(L_Revisie,L_Sleutel,$S430,L_Status,"Vastgesteld")+1))</f>
        <v/>
      </c>
      <c r="H430" s="108" t="str">
        <f>IF($AG430="","",P_Peildatum)</f>
        <v/>
      </c>
      <c r="I430" s="92" t="str">
        <f>IF($AG430="","",P_RJ+INDEX($AK$8:$AK$21,INDEX($AC$8:$AC$1407,$AG430)+1))</f>
        <v/>
      </c>
      <c r="J430" s="92" t="str">
        <f>IF($AG430="","",INDEX(V_WBS,INDEX($AB$8:$AB$1407,$AG430)))</f>
        <v/>
      </c>
      <c r="K430" s="92" t="str">
        <f>IF($AG430="","",INDEX(V_Projdef,INDEX($AB$8:$AB$1407,$AG430)))</f>
        <v/>
      </c>
      <c r="L430" s="92" t="str">
        <f>IF($AG430="","",INDEX(V_Naam,INDEX($AB$8:$AB$1407,$AG430)))</f>
        <v/>
      </c>
      <c r="M430" s="92" t="str">
        <f>IF($AG430="","",INDEX(V_Type,INDEX($AB$8:$AB$1407,$AG430)))</f>
        <v/>
      </c>
      <c r="N430" s="92" t="str">
        <f>IF($AG430="","",INDEX(V_IFRS,INDEX($AB$8:$AB$1407,$AG430)))</f>
        <v/>
      </c>
      <c r="O430" s="92" t="str">
        <f>IF($AG430="","",INDEX($AL$8:$AL$21,INDEX($AC$8:$AC$1407,$AG430)+1))</f>
        <v/>
      </c>
      <c r="P430" s="109" t="str">
        <f>IF($AG430="","",INDEX($AD$8:$AD$1407,$AG430))</f>
        <v/>
      </c>
      <c r="Q430" s="92" t="str">
        <f>IF($AG430="","",INDEX($AM$8:$AM$21,INDEX($AC$8:$AC$1407,$AG430)+1))</f>
        <v/>
      </c>
      <c r="R430" s="92" t="str">
        <f>IF($AG430="","",IF($G430&gt;0,P_ToelCorrectie&amp;"",""))</f>
        <v/>
      </c>
      <c r="S430" s="15" t="str">
        <f>IF(J430="","",J430&amp;"|"&amp;E430&amp;"|"&amp;F430&amp;"|"&amp;I430&amp;"|"&amp;O430)</f>
        <v/>
      </c>
      <c r="T430" s="111" t="str">
        <f>IF(S430="","",IF(COUNTIFS(L_Sleutel,S430,L_Actief,1)=0,"",SUMIFS(L_Waarde,L_Sleutel,S430,L_Actief,1)))</f>
        <v/>
      </c>
      <c r="U430" s="111">
        <f>IF(OR(S430="",T430=""),0,P430-T430)</f>
        <v>0</v>
      </c>
      <c r="AB430" s="112" t="n">
        <v>31</v>
      </c>
      <c r="AC430" s="112" t="n">
        <v>2</v>
      </c>
      <c r="AD430" s="112" t="str">
        <f>VERW_Project!L36</f>
        <v/>
      </c>
      <c r="AE430" s="112">
        <f>IF(AND(VERW_Project!$A36&lt;&gt;"",ISNUMBER(AD430)),1,0)</f>
        <v>0</v>
      </c>
      <c r="AF430" s="112" t="str">
        <f>IF(AE430=1,SUM($AE$8:AE430),"")</f>
        <v/>
      </c>
      <c r="AG430" t="str">
        <f>IFERROR(MATCH(423,$AF$8:$AF$1407,0),"")</f>
        <v/>
      </c>
    </row>
    <row r="431">
      <c r="A431" s="92" t="str">
        <f>IF($AG431="","",P_ImportID)</f>
        <v/>
      </c>
      <c r="B431" s="92" t="str">
        <f>IF($AG431="","",IF(INDEX($AN$8:$AN$21,INDEX($AC$8:$AC$1407,$AG431)+1)="Z",P_BronZ,P_BronE))</f>
        <v/>
      </c>
      <c r="C431" s="108" t="str">
        <f>IF($AG431="","",P_Importdatum)</f>
        <v/>
      </c>
      <c r="D431" s="92" t="str">
        <f>IF($AG431="","",P_StatusVastleg)</f>
        <v/>
      </c>
      <c r="E431" s="92" t="str">
        <f>IF($AG431="","",P_UploadVJ)</f>
        <v/>
      </c>
      <c r="F431" s="92" t="str">
        <f>IF($AG431="","",P_UploadVersie)</f>
        <v/>
      </c>
      <c r="G431" s="92" t="str">
        <f>IF($AG431="","",IF(COUNTIFS(L_Sleutel,$S431,L_Status,"Vastgesteld")=0,0,_xlfn.MAXIFS(L_Revisie,L_Sleutel,$S431,L_Status,"Vastgesteld")+1))</f>
        <v/>
      </c>
      <c r="H431" s="108" t="str">
        <f>IF($AG431="","",P_Peildatum)</f>
        <v/>
      </c>
      <c r="I431" s="92" t="str">
        <f>IF($AG431="","",P_RJ+INDEX($AK$8:$AK$21,INDEX($AC$8:$AC$1407,$AG431)+1))</f>
        <v/>
      </c>
      <c r="J431" s="92" t="str">
        <f>IF($AG431="","",INDEX(V_WBS,INDEX($AB$8:$AB$1407,$AG431)))</f>
        <v/>
      </c>
      <c r="K431" s="92" t="str">
        <f>IF($AG431="","",INDEX(V_Projdef,INDEX($AB$8:$AB$1407,$AG431)))</f>
        <v/>
      </c>
      <c r="L431" s="92" t="str">
        <f>IF($AG431="","",INDEX(V_Naam,INDEX($AB$8:$AB$1407,$AG431)))</f>
        <v/>
      </c>
      <c r="M431" s="92" t="str">
        <f>IF($AG431="","",INDEX(V_Type,INDEX($AB$8:$AB$1407,$AG431)))</f>
        <v/>
      </c>
      <c r="N431" s="92" t="str">
        <f>IF($AG431="","",INDEX(V_IFRS,INDEX($AB$8:$AB$1407,$AG431)))</f>
        <v/>
      </c>
      <c r="O431" s="92" t="str">
        <f>IF($AG431="","",INDEX($AL$8:$AL$21,INDEX($AC$8:$AC$1407,$AG431)+1))</f>
        <v/>
      </c>
      <c r="P431" s="109" t="str">
        <f>IF($AG431="","",INDEX($AD$8:$AD$1407,$AG431))</f>
        <v/>
      </c>
      <c r="Q431" s="92" t="str">
        <f>IF($AG431="","",INDEX($AM$8:$AM$21,INDEX($AC$8:$AC$1407,$AG431)+1))</f>
        <v/>
      </c>
      <c r="R431" s="92" t="str">
        <f>IF($AG431="","",IF($G431&gt;0,P_ToelCorrectie&amp;"",""))</f>
        <v/>
      </c>
      <c r="S431" s="15" t="str">
        <f>IF(J431="","",J431&amp;"|"&amp;E431&amp;"|"&amp;F431&amp;"|"&amp;I431&amp;"|"&amp;O431)</f>
        <v/>
      </c>
      <c r="T431" s="111" t="str">
        <f>IF(S431="","",IF(COUNTIFS(L_Sleutel,S431,L_Actief,1)=0,"",SUMIFS(L_Waarde,L_Sleutel,S431,L_Actief,1)))</f>
        <v/>
      </c>
      <c r="U431" s="111">
        <f>IF(OR(S431="",T431=""),0,P431-T431)</f>
        <v>0</v>
      </c>
      <c r="AB431" s="112" t="n">
        <v>31</v>
      </c>
      <c r="AC431" s="112" t="n">
        <v>3</v>
      </c>
      <c r="AD431" s="112" t="str">
        <f>VERW_Project!M36</f>
        <v/>
      </c>
      <c r="AE431" s="112">
        <f>IF(AND(VERW_Project!$A36&lt;&gt;"",ISNUMBER(AD431)),1,0)</f>
        <v>0</v>
      </c>
      <c r="AF431" s="112" t="str">
        <f>IF(AE431=1,SUM($AE$8:AE431),"")</f>
        <v/>
      </c>
      <c r="AG431" t="str">
        <f>IFERROR(MATCH(424,$AF$8:$AF$1407,0),"")</f>
        <v/>
      </c>
    </row>
    <row r="432">
      <c r="A432" s="92" t="str">
        <f>IF($AG432="","",P_ImportID)</f>
        <v/>
      </c>
      <c r="B432" s="92" t="str">
        <f>IF($AG432="","",IF(INDEX($AN$8:$AN$21,INDEX($AC$8:$AC$1407,$AG432)+1)="Z",P_BronZ,P_BronE))</f>
        <v/>
      </c>
      <c r="C432" s="108" t="str">
        <f>IF($AG432="","",P_Importdatum)</f>
        <v/>
      </c>
      <c r="D432" s="92" t="str">
        <f>IF($AG432="","",P_StatusVastleg)</f>
        <v/>
      </c>
      <c r="E432" s="92" t="str">
        <f>IF($AG432="","",P_UploadVJ)</f>
        <v/>
      </c>
      <c r="F432" s="92" t="str">
        <f>IF($AG432="","",P_UploadVersie)</f>
        <v/>
      </c>
      <c r="G432" s="92" t="str">
        <f>IF($AG432="","",IF(COUNTIFS(L_Sleutel,$S432,L_Status,"Vastgesteld")=0,0,_xlfn.MAXIFS(L_Revisie,L_Sleutel,$S432,L_Status,"Vastgesteld")+1))</f>
        <v/>
      </c>
      <c r="H432" s="108" t="str">
        <f>IF($AG432="","",P_Peildatum)</f>
        <v/>
      </c>
      <c r="I432" s="92" t="str">
        <f>IF($AG432="","",P_RJ+INDEX($AK$8:$AK$21,INDEX($AC$8:$AC$1407,$AG432)+1))</f>
        <v/>
      </c>
      <c r="J432" s="92" t="str">
        <f>IF($AG432="","",INDEX(V_WBS,INDEX($AB$8:$AB$1407,$AG432)))</f>
        <v/>
      </c>
      <c r="K432" s="92" t="str">
        <f>IF($AG432="","",INDEX(V_Projdef,INDEX($AB$8:$AB$1407,$AG432)))</f>
        <v/>
      </c>
      <c r="L432" s="92" t="str">
        <f>IF($AG432="","",INDEX(V_Naam,INDEX($AB$8:$AB$1407,$AG432)))</f>
        <v/>
      </c>
      <c r="M432" s="92" t="str">
        <f>IF($AG432="","",INDEX(V_Type,INDEX($AB$8:$AB$1407,$AG432)))</f>
        <v/>
      </c>
      <c r="N432" s="92" t="str">
        <f>IF($AG432="","",INDEX(V_IFRS,INDEX($AB$8:$AB$1407,$AG432)))</f>
        <v/>
      </c>
      <c r="O432" s="92" t="str">
        <f>IF($AG432="","",INDEX($AL$8:$AL$21,INDEX($AC$8:$AC$1407,$AG432)+1))</f>
        <v/>
      </c>
      <c r="P432" s="109" t="str">
        <f>IF($AG432="","",INDEX($AD$8:$AD$1407,$AG432))</f>
        <v/>
      </c>
      <c r="Q432" s="92" t="str">
        <f>IF($AG432="","",INDEX($AM$8:$AM$21,INDEX($AC$8:$AC$1407,$AG432)+1))</f>
        <v/>
      </c>
      <c r="R432" s="92" t="str">
        <f>IF($AG432="","",IF($G432&gt;0,P_ToelCorrectie&amp;"",""))</f>
        <v/>
      </c>
      <c r="S432" s="15" t="str">
        <f>IF(J432="","",J432&amp;"|"&amp;E432&amp;"|"&amp;F432&amp;"|"&amp;I432&amp;"|"&amp;O432)</f>
        <v/>
      </c>
      <c r="T432" s="111" t="str">
        <f>IF(S432="","",IF(COUNTIFS(L_Sleutel,S432,L_Actief,1)=0,"",SUMIFS(L_Waarde,L_Sleutel,S432,L_Actief,1)))</f>
        <v/>
      </c>
      <c r="U432" s="111">
        <f>IF(OR(S432="",T432=""),0,P432-T432)</f>
        <v>0</v>
      </c>
      <c r="AB432" s="112" t="n">
        <v>31</v>
      </c>
      <c r="AC432" s="112" t="n">
        <v>4</v>
      </c>
      <c r="AD432" s="112" t="str">
        <f>VERW_Project!R36</f>
        <v/>
      </c>
      <c r="AE432" s="112">
        <f>IF(AND(VERW_Project!$A36&lt;&gt;"",ISNUMBER(AD432)),1,0)</f>
        <v>0</v>
      </c>
      <c r="AF432" s="112" t="str">
        <f>IF(AE432=1,SUM($AE$8:AE432),"")</f>
        <v/>
      </c>
      <c r="AG432" t="str">
        <f>IFERROR(MATCH(425,$AF$8:$AF$1407,0),"")</f>
        <v/>
      </c>
    </row>
    <row r="433">
      <c r="A433" s="92" t="str">
        <f>IF($AG433="","",P_ImportID)</f>
        <v/>
      </c>
      <c r="B433" s="92" t="str">
        <f>IF($AG433="","",IF(INDEX($AN$8:$AN$21,INDEX($AC$8:$AC$1407,$AG433)+1)="Z",P_BronZ,P_BronE))</f>
        <v/>
      </c>
      <c r="C433" s="108" t="str">
        <f>IF($AG433="","",P_Importdatum)</f>
        <v/>
      </c>
      <c r="D433" s="92" t="str">
        <f>IF($AG433="","",P_StatusVastleg)</f>
        <v/>
      </c>
      <c r="E433" s="92" t="str">
        <f>IF($AG433="","",P_UploadVJ)</f>
        <v/>
      </c>
      <c r="F433" s="92" t="str">
        <f>IF($AG433="","",P_UploadVersie)</f>
        <v/>
      </c>
      <c r="G433" s="92" t="str">
        <f>IF($AG433="","",IF(COUNTIFS(L_Sleutel,$S433,L_Status,"Vastgesteld")=0,0,_xlfn.MAXIFS(L_Revisie,L_Sleutel,$S433,L_Status,"Vastgesteld")+1))</f>
        <v/>
      </c>
      <c r="H433" s="108" t="str">
        <f>IF($AG433="","",P_Peildatum)</f>
        <v/>
      </c>
      <c r="I433" s="92" t="str">
        <f>IF($AG433="","",P_RJ+INDEX($AK$8:$AK$21,INDEX($AC$8:$AC$1407,$AG433)+1))</f>
        <v/>
      </c>
      <c r="J433" s="92" t="str">
        <f>IF($AG433="","",INDEX(V_WBS,INDEX($AB$8:$AB$1407,$AG433)))</f>
        <v/>
      </c>
      <c r="K433" s="92" t="str">
        <f>IF($AG433="","",INDEX(V_Projdef,INDEX($AB$8:$AB$1407,$AG433)))</f>
        <v/>
      </c>
      <c r="L433" s="92" t="str">
        <f>IF($AG433="","",INDEX(V_Naam,INDEX($AB$8:$AB$1407,$AG433)))</f>
        <v/>
      </c>
      <c r="M433" s="92" t="str">
        <f>IF($AG433="","",INDEX(V_Type,INDEX($AB$8:$AB$1407,$AG433)))</f>
        <v/>
      </c>
      <c r="N433" s="92" t="str">
        <f>IF($AG433="","",INDEX(V_IFRS,INDEX($AB$8:$AB$1407,$AG433)))</f>
        <v/>
      </c>
      <c r="O433" s="92" t="str">
        <f>IF($AG433="","",INDEX($AL$8:$AL$21,INDEX($AC$8:$AC$1407,$AG433)+1))</f>
        <v/>
      </c>
      <c r="P433" s="109" t="str">
        <f>IF($AG433="","",INDEX($AD$8:$AD$1407,$AG433))</f>
        <v/>
      </c>
      <c r="Q433" s="92" t="str">
        <f>IF($AG433="","",INDEX($AM$8:$AM$21,INDEX($AC$8:$AC$1407,$AG433)+1))</f>
        <v/>
      </c>
      <c r="R433" s="92" t="str">
        <f>IF($AG433="","",IF($G433&gt;0,P_ToelCorrectie&amp;"",""))</f>
        <v/>
      </c>
      <c r="S433" s="15" t="str">
        <f>IF(J433="","",J433&amp;"|"&amp;E433&amp;"|"&amp;F433&amp;"|"&amp;I433&amp;"|"&amp;O433)</f>
        <v/>
      </c>
      <c r="T433" s="111" t="str">
        <f>IF(S433="","",IF(COUNTIFS(L_Sleutel,S433,L_Actief,1)=0,"",SUMIFS(L_Waarde,L_Sleutel,S433,L_Actief,1)))</f>
        <v/>
      </c>
      <c r="U433" s="111">
        <f>IF(OR(S433="",T433=""),0,P433-T433)</f>
        <v>0</v>
      </c>
      <c r="AB433" s="112" t="n">
        <v>31</v>
      </c>
      <c r="AC433" s="112" t="n">
        <v>5</v>
      </c>
      <c r="AD433" s="112" t="str">
        <f>VERW_Project!S36</f>
        <v/>
      </c>
      <c r="AE433" s="112">
        <f>IF(AND(VERW_Project!$A36&lt;&gt;"",ISNUMBER(AD433)),1,0)</f>
        <v>0</v>
      </c>
      <c r="AF433" s="112" t="str">
        <f>IF(AE433=1,SUM($AE$8:AE433),"")</f>
        <v/>
      </c>
      <c r="AG433" t="str">
        <f>IFERROR(MATCH(426,$AF$8:$AF$1407,0),"")</f>
        <v/>
      </c>
    </row>
    <row r="434">
      <c r="A434" s="92" t="str">
        <f>IF($AG434="","",P_ImportID)</f>
        <v/>
      </c>
      <c r="B434" s="92" t="str">
        <f>IF($AG434="","",IF(INDEX($AN$8:$AN$21,INDEX($AC$8:$AC$1407,$AG434)+1)="Z",P_BronZ,P_BronE))</f>
        <v/>
      </c>
      <c r="C434" s="108" t="str">
        <f>IF($AG434="","",P_Importdatum)</f>
        <v/>
      </c>
      <c r="D434" s="92" t="str">
        <f>IF($AG434="","",P_StatusVastleg)</f>
        <v/>
      </c>
      <c r="E434" s="92" t="str">
        <f>IF($AG434="","",P_UploadVJ)</f>
        <v/>
      </c>
      <c r="F434" s="92" t="str">
        <f>IF($AG434="","",P_UploadVersie)</f>
        <v/>
      </c>
      <c r="G434" s="92" t="str">
        <f>IF($AG434="","",IF(COUNTIFS(L_Sleutel,$S434,L_Status,"Vastgesteld")=0,0,_xlfn.MAXIFS(L_Revisie,L_Sleutel,$S434,L_Status,"Vastgesteld")+1))</f>
        <v/>
      </c>
      <c r="H434" s="108" t="str">
        <f>IF($AG434="","",P_Peildatum)</f>
        <v/>
      </c>
      <c r="I434" s="92" t="str">
        <f>IF($AG434="","",P_RJ+INDEX($AK$8:$AK$21,INDEX($AC$8:$AC$1407,$AG434)+1))</f>
        <v/>
      </c>
      <c r="J434" s="92" t="str">
        <f>IF($AG434="","",INDEX(V_WBS,INDEX($AB$8:$AB$1407,$AG434)))</f>
        <v/>
      </c>
      <c r="K434" s="92" t="str">
        <f>IF($AG434="","",INDEX(V_Projdef,INDEX($AB$8:$AB$1407,$AG434)))</f>
        <v/>
      </c>
      <c r="L434" s="92" t="str">
        <f>IF($AG434="","",INDEX(V_Naam,INDEX($AB$8:$AB$1407,$AG434)))</f>
        <v/>
      </c>
      <c r="M434" s="92" t="str">
        <f>IF($AG434="","",INDEX(V_Type,INDEX($AB$8:$AB$1407,$AG434)))</f>
        <v/>
      </c>
      <c r="N434" s="92" t="str">
        <f>IF($AG434="","",INDEX(V_IFRS,INDEX($AB$8:$AB$1407,$AG434)))</f>
        <v/>
      </c>
      <c r="O434" s="92" t="str">
        <f>IF($AG434="","",INDEX($AL$8:$AL$21,INDEX($AC$8:$AC$1407,$AG434)+1))</f>
        <v/>
      </c>
      <c r="P434" s="109" t="str">
        <f>IF($AG434="","",INDEX($AD$8:$AD$1407,$AG434))</f>
        <v/>
      </c>
      <c r="Q434" s="92" t="str">
        <f>IF($AG434="","",INDEX($AM$8:$AM$21,INDEX($AC$8:$AC$1407,$AG434)+1))</f>
        <v/>
      </c>
      <c r="R434" s="92" t="str">
        <f>IF($AG434="","",IF($G434&gt;0,P_ToelCorrectie&amp;"",""))</f>
        <v/>
      </c>
      <c r="S434" s="15" t="str">
        <f>IF(J434="","",J434&amp;"|"&amp;E434&amp;"|"&amp;F434&amp;"|"&amp;I434&amp;"|"&amp;O434)</f>
        <v/>
      </c>
      <c r="T434" s="111" t="str">
        <f>IF(S434="","",IF(COUNTIFS(L_Sleutel,S434,L_Actief,1)=0,"",SUMIFS(L_Waarde,L_Sleutel,S434,L_Actief,1)))</f>
        <v/>
      </c>
      <c r="U434" s="111">
        <f>IF(OR(S434="",T434=""),0,P434-T434)</f>
        <v>0</v>
      </c>
      <c r="AB434" s="112" t="n">
        <v>31</v>
      </c>
      <c r="AC434" s="112" t="n">
        <v>6</v>
      </c>
      <c r="AD434" s="112" t="str">
        <f>VERW_Project!BW36</f>
        <v/>
      </c>
      <c r="AE434" s="112">
        <f>IF(AND(VERW_Project!$A36&lt;&gt;"",ISNUMBER(AD434)),1,0)</f>
        <v>0</v>
      </c>
      <c r="AF434" s="112" t="str">
        <f>IF(AE434=1,SUM($AE$8:AE434),"")</f>
        <v/>
      </c>
      <c r="AG434" t="str">
        <f>IFERROR(MATCH(427,$AF$8:$AF$1407,0),"")</f>
        <v/>
      </c>
    </row>
    <row r="435">
      <c r="A435" s="92" t="str">
        <f>IF($AG435="","",P_ImportID)</f>
        <v/>
      </c>
      <c r="B435" s="92" t="str">
        <f>IF($AG435="","",IF(INDEX($AN$8:$AN$21,INDEX($AC$8:$AC$1407,$AG435)+1)="Z",P_BronZ,P_BronE))</f>
        <v/>
      </c>
      <c r="C435" s="108" t="str">
        <f>IF($AG435="","",P_Importdatum)</f>
        <v/>
      </c>
      <c r="D435" s="92" t="str">
        <f>IF($AG435="","",P_StatusVastleg)</f>
        <v/>
      </c>
      <c r="E435" s="92" t="str">
        <f>IF($AG435="","",P_UploadVJ)</f>
        <v/>
      </c>
      <c r="F435" s="92" t="str">
        <f>IF($AG435="","",P_UploadVersie)</f>
        <v/>
      </c>
      <c r="G435" s="92" t="str">
        <f>IF($AG435="","",IF(COUNTIFS(L_Sleutel,$S435,L_Status,"Vastgesteld")=0,0,_xlfn.MAXIFS(L_Revisie,L_Sleutel,$S435,L_Status,"Vastgesteld")+1))</f>
        <v/>
      </c>
      <c r="H435" s="108" t="str">
        <f>IF($AG435="","",P_Peildatum)</f>
        <v/>
      </c>
      <c r="I435" s="92" t="str">
        <f>IF($AG435="","",P_RJ+INDEX($AK$8:$AK$21,INDEX($AC$8:$AC$1407,$AG435)+1))</f>
        <v/>
      </c>
      <c r="J435" s="92" t="str">
        <f>IF($AG435="","",INDEX(V_WBS,INDEX($AB$8:$AB$1407,$AG435)))</f>
        <v/>
      </c>
      <c r="K435" s="92" t="str">
        <f>IF($AG435="","",INDEX(V_Projdef,INDEX($AB$8:$AB$1407,$AG435)))</f>
        <v/>
      </c>
      <c r="L435" s="92" t="str">
        <f>IF($AG435="","",INDEX(V_Naam,INDEX($AB$8:$AB$1407,$AG435)))</f>
        <v/>
      </c>
      <c r="M435" s="92" t="str">
        <f>IF($AG435="","",INDEX(V_Type,INDEX($AB$8:$AB$1407,$AG435)))</f>
        <v/>
      </c>
      <c r="N435" s="92" t="str">
        <f>IF($AG435="","",INDEX(V_IFRS,INDEX($AB$8:$AB$1407,$AG435)))</f>
        <v/>
      </c>
      <c r="O435" s="92" t="str">
        <f>IF($AG435="","",INDEX($AL$8:$AL$21,INDEX($AC$8:$AC$1407,$AG435)+1))</f>
        <v/>
      </c>
      <c r="P435" s="109" t="str">
        <f>IF($AG435="","",INDEX($AD$8:$AD$1407,$AG435))</f>
        <v/>
      </c>
      <c r="Q435" s="92" t="str">
        <f>IF($AG435="","",INDEX($AM$8:$AM$21,INDEX($AC$8:$AC$1407,$AG435)+1))</f>
        <v/>
      </c>
      <c r="R435" s="92" t="str">
        <f>IF($AG435="","",IF($G435&gt;0,P_ToelCorrectie&amp;"",""))</f>
        <v/>
      </c>
      <c r="S435" s="15" t="str">
        <f>IF(J435="","",J435&amp;"|"&amp;E435&amp;"|"&amp;F435&amp;"|"&amp;I435&amp;"|"&amp;O435)</f>
        <v/>
      </c>
      <c r="T435" s="111" t="str">
        <f>IF(S435="","",IF(COUNTIFS(L_Sleutel,S435,L_Actief,1)=0,"",SUMIFS(L_Waarde,L_Sleutel,S435,L_Actief,1)))</f>
        <v/>
      </c>
      <c r="U435" s="111">
        <f>IF(OR(S435="",T435=""),0,P435-T435)</f>
        <v>0</v>
      </c>
      <c r="AB435" s="112" t="n">
        <v>31</v>
      </c>
      <c r="AC435" s="112" t="n">
        <v>7</v>
      </c>
      <c r="AD435" s="112" t="str">
        <f>VERW_Project!AW36</f>
        <v/>
      </c>
      <c r="AE435" s="112">
        <f>IF(AND(VERW_Project!$A36&lt;&gt;"",ISNUMBER(AD435)),1,0)</f>
        <v>0</v>
      </c>
      <c r="AF435" s="112" t="str">
        <f>IF(AE435=1,SUM($AE$8:AE435),"")</f>
        <v/>
      </c>
      <c r="AG435" t="str">
        <f>IFERROR(MATCH(428,$AF$8:$AF$1407,0),"")</f>
        <v/>
      </c>
    </row>
    <row r="436">
      <c r="A436" s="92" t="str">
        <f>IF($AG436="","",P_ImportID)</f>
        <v/>
      </c>
      <c r="B436" s="92" t="str">
        <f>IF($AG436="","",IF(INDEX($AN$8:$AN$21,INDEX($AC$8:$AC$1407,$AG436)+1)="Z",P_BronZ,P_BronE))</f>
        <v/>
      </c>
      <c r="C436" s="108" t="str">
        <f>IF($AG436="","",P_Importdatum)</f>
        <v/>
      </c>
      <c r="D436" s="92" t="str">
        <f>IF($AG436="","",P_StatusVastleg)</f>
        <v/>
      </c>
      <c r="E436" s="92" t="str">
        <f>IF($AG436="","",P_UploadVJ)</f>
        <v/>
      </c>
      <c r="F436" s="92" t="str">
        <f>IF($AG436="","",P_UploadVersie)</f>
        <v/>
      </c>
      <c r="G436" s="92" t="str">
        <f>IF($AG436="","",IF(COUNTIFS(L_Sleutel,$S436,L_Status,"Vastgesteld")=0,0,_xlfn.MAXIFS(L_Revisie,L_Sleutel,$S436,L_Status,"Vastgesteld")+1))</f>
        <v/>
      </c>
      <c r="H436" s="108" t="str">
        <f>IF($AG436="","",P_Peildatum)</f>
        <v/>
      </c>
      <c r="I436" s="92" t="str">
        <f>IF($AG436="","",P_RJ+INDEX($AK$8:$AK$21,INDEX($AC$8:$AC$1407,$AG436)+1))</f>
        <v/>
      </c>
      <c r="J436" s="92" t="str">
        <f>IF($AG436="","",INDEX(V_WBS,INDEX($AB$8:$AB$1407,$AG436)))</f>
        <v/>
      </c>
      <c r="K436" s="92" t="str">
        <f>IF($AG436="","",INDEX(V_Projdef,INDEX($AB$8:$AB$1407,$AG436)))</f>
        <v/>
      </c>
      <c r="L436" s="92" t="str">
        <f>IF($AG436="","",INDEX(V_Naam,INDEX($AB$8:$AB$1407,$AG436)))</f>
        <v/>
      </c>
      <c r="M436" s="92" t="str">
        <f>IF($AG436="","",INDEX(V_Type,INDEX($AB$8:$AB$1407,$AG436)))</f>
        <v/>
      </c>
      <c r="N436" s="92" t="str">
        <f>IF($AG436="","",INDEX(V_IFRS,INDEX($AB$8:$AB$1407,$AG436)))</f>
        <v/>
      </c>
      <c r="O436" s="92" t="str">
        <f>IF($AG436="","",INDEX($AL$8:$AL$21,INDEX($AC$8:$AC$1407,$AG436)+1))</f>
        <v/>
      </c>
      <c r="P436" s="109" t="str">
        <f>IF($AG436="","",INDEX($AD$8:$AD$1407,$AG436))</f>
        <v/>
      </c>
      <c r="Q436" s="92" t="str">
        <f>IF($AG436="","",INDEX($AM$8:$AM$21,INDEX($AC$8:$AC$1407,$AG436)+1))</f>
        <v/>
      </c>
      <c r="R436" s="92" t="str">
        <f>IF($AG436="","",IF($G436&gt;0,P_ToelCorrectie&amp;"",""))</f>
        <v/>
      </c>
      <c r="S436" s="15" t="str">
        <f>IF(J436="","",J436&amp;"|"&amp;E436&amp;"|"&amp;F436&amp;"|"&amp;I436&amp;"|"&amp;O436)</f>
        <v/>
      </c>
      <c r="T436" s="111" t="str">
        <f>IF(S436="","",IF(COUNTIFS(L_Sleutel,S436,L_Actief,1)=0,"",SUMIFS(L_Waarde,L_Sleutel,S436,L_Actief,1)))</f>
        <v/>
      </c>
      <c r="U436" s="111">
        <f>IF(OR(S436="",T436=""),0,P436-T436)</f>
        <v>0</v>
      </c>
      <c r="AB436" s="112" t="n">
        <v>31</v>
      </c>
      <c r="AC436" s="112" t="n">
        <v>8</v>
      </c>
      <c r="AD436" s="112" t="str">
        <f>VERW_Project!BQ36</f>
        <v/>
      </c>
      <c r="AE436" s="112">
        <f>IF(AND(VERW_Project!$A36&lt;&gt;"",ISNUMBER(AD436)),1,0)</f>
        <v>0</v>
      </c>
      <c r="AF436" s="112" t="str">
        <f>IF(AE436=1,SUM($AE$8:AE436),"")</f>
        <v/>
      </c>
      <c r="AG436" t="str">
        <f>IFERROR(MATCH(429,$AF$8:$AF$1407,0),"")</f>
        <v/>
      </c>
    </row>
    <row r="437">
      <c r="A437" s="92" t="str">
        <f>IF($AG437="","",P_ImportID)</f>
        <v/>
      </c>
      <c r="B437" s="92" t="str">
        <f>IF($AG437="","",IF(INDEX($AN$8:$AN$21,INDEX($AC$8:$AC$1407,$AG437)+1)="Z",P_BronZ,P_BronE))</f>
        <v/>
      </c>
      <c r="C437" s="108" t="str">
        <f>IF($AG437="","",P_Importdatum)</f>
        <v/>
      </c>
      <c r="D437" s="92" t="str">
        <f>IF($AG437="","",P_StatusVastleg)</f>
        <v/>
      </c>
      <c r="E437" s="92" t="str">
        <f>IF($AG437="","",P_UploadVJ)</f>
        <v/>
      </c>
      <c r="F437" s="92" t="str">
        <f>IF($AG437="","",P_UploadVersie)</f>
        <v/>
      </c>
      <c r="G437" s="92" t="str">
        <f>IF($AG437="","",IF(COUNTIFS(L_Sleutel,$S437,L_Status,"Vastgesteld")=0,0,_xlfn.MAXIFS(L_Revisie,L_Sleutel,$S437,L_Status,"Vastgesteld")+1))</f>
        <v/>
      </c>
      <c r="H437" s="108" t="str">
        <f>IF($AG437="","",P_Peildatum)</f>
        <v/>
      </c>
      <c r="I437" s="92" t="str">
        <f>IF($AG437="","",P_RJ+INDEX($AK$8:$AK$21,INDEX($AC$8:$AC$1407,$AG437)+1))</f>
        <v/>
      </c>
      <c r="J437" s="92" t="str">
        <f>IF($AG437="","",INDEX(V_WBS,INDEX($AB$8:$AB$1407,$AG437)))</f>
        <v/>
      </c>
      <c r="K437" s="92" t="str">
        <f>IF($AG437="","",INDEX(V_Projdef,INDEX($AB$8:$AB$1407,$AG437)))</f>
        <v/>
      </c>
      <c r="L437" s="92" t="str">
        <f>IF($AG437="","",INDEX(V_Naam,INDEX($AB$8:$AB$1407,$AG437)))</f>
        <v/>
      </c>
      <c r="M437" s="92" t="str">
        <f>IF($AG437="","",INDEX(V_Type,INDEX($AB$8:$AB$1407,$AG437)))</f>
        <v/>
      </c>
      <c r="N437" s="92" t="str">
        <f>IF($AG437="","",INDEX(V_IFRS,INDEX($AB$8:$AB$1407,$AG437)))</f>
        <v/>
      </c>
      <c r="O437" s="92" t="str">
        <f>IF($AG437="","",INDEX($AL$8:$AL$21,INDEX($AC$8:$AC$1407,$AG437)+1))</f>
        <v/>
      </c>
      <c r="P437" s="109" t="str">
        <f>IF($AG437="","",INDEX($AD$8:$AD$1407,$AG437))</f>
        <v/>
      </c>
      <c r="Q437" s="92" t="str">
        <f>IF($AG437="","",INDEX($AM$8:$AM$21,INDEX($AC$8:$AC$1407,$AG437)+1))</f>
        <v/>
      </c>
      <c r="R437" s="92" t="str">
        <f>IF($AG437="","",IF($G437&gt;0,P_ToelCorrectie&amp;"",""))</f>
        <v/>
      </c>
      <c r="S437" s="15" t="str">
        <f>IF(J437="","",J437&amp;"|"&amp;E437&amp;"|"&amp;F437&amp;"|"&amp;I437&amp;"|"&amp;O437)</f>
        <v/>
      </c>
      <c r="T437" s="111" t="str">
        <f>IF(S437="","",IF(COUNTIFS(L_Sleutel,S437,L_Actief,1)=0,"",SUMIFS(L_Waarde,L_Sleutel,S437,L_Actief,1)))</f>
        <v/>
      </c>
      <c r="U437" s="111">
        <f>IF(OR(S437="",T437=""),0,P437-T437)</f>
        <v>0</v>
      </c>
      <c r="AB437" s="112" t="n">
        <v>31</v>
      </c>
      <c r="AC437" s="112" t="n">
        <v>9</v>
      </c>
      <c r="AD437" s="112" t="str">
        <f>VERW_Project!BR36</f>
        <v/>
      </c>
      <c r="AE437" s="112">
        <f>IF(AND(VERW_Project!$A36&lt;&gt;"",ISNUMBER(AD437)),1,0)</f>
        <v>0</v>
      </c>
      <c r="AF437" s="112" t="str">
        <f>IF(AE437=1,SUM($AE$8:AE437),"")</f>
        <v/>
      </c>
      <c r="AG437" t="str">
        <f>IFERROR(MATCH(430,$AF$8:$AF$1407,0),"")</f>
        <v/>
      </c>
    </row>
    <row r="438">
      <c r="A438" s="92" t="str">
        <f>IF($AG438="","",P_ImportID)</f>
        <v/>
      </c>
      <c r="B438" s="92" t="str">
        <f>IF($AG438="","",IF(INDEX($AN$8:$AN$21,INDEX($AC$8:$AC$1407,$AG438)+1)="Z",P_BronZ,P_BronE))</f>
        <v/>
      </c>
      <c r="C438" s="108" t="str">
        <f>IF($AG438="","",P_Importdatum)</f>
        <v/>
      </c>
      <c r="D438" s="92" t="str">
        <f>IF($AG438="","",P_StatusVastleg)</f>
        <v/>
      </c>
      <c r="E438" s="92" t="str">
        <f>IF($AG438="","",P_UploadVJ)</f>
        <v/>
      </c>
      <c r="F438" s="92" t="str">
        <f>IF($AG438="","",P_UploadVersie)</f>
        <v/>
      </c>
      <c r="G438" s="92" t="str">
        <f>IF($AG438="","",IF(COUNTIFS(L_Sleutel,$S438,L_Status,"Vastgesteld")=0,0,_xlfn.MAXIFS(L_Revisie,L_Sleutel,$S438,L_Status,"Vastgesteld")+1))</f>
        <v/>
      </c>
      <c r="H438" s="108" t="str">
        <f>IF($AG438="","",P_Peildatum)</f>
        <v/>
      </c>
      <c r="I438" s="92" t="str">
        <f>IF($AG438="","",P_RJ+INDEX($AK$8:$AK$21,INDEX($AC$8:$AC$1407,$AG438)+1))</f>
        <v/>
      </c>
      <c r="J438" s="92" t="str">
        <f>IF($AG438="","",INDEX(V_WBS,INDEX($AB$8:$AB$1407,$AG438)))</f>
        <v/>
      </c>
      <c r="K438" s="92" t="str">
        <f>IF($AG438="","",INDEX(V_Projdef,INDEX($AB$8:$AB$1407,$AG438)))</f>
        <v/>
      </c>
      <c r="L438" s="92" t="str">
        <f>IF($AG438="","",INDEX(V_Naam,INDEX($AB$8:$AB$1407,$AG438)))</f>
        <v/>
      </c>
      <c r="M438" s="92" t="str">
        <f>IF($AG438="","",INDEX(V_Type,INDEX($AB$8:$AB$1407,$AG438)))</f>
        <v/>
      </c>
      <c r="N438" s="92" t="str">
        <f>IF($AG438="","",INDEX(V_IFRS,INDEX($AB$8:$AB$1407,$AG438)))</f>
        <v/>
      </c>
      <c r="O438" s="92" t="str">
        <f>IF($AG438="","",INDEX($AL$8:$AL$21,INDEX($AC$8:$AC$1407,$AG438)+1))</f>
        <v/>
      </c>
      <c r="P438" s="109" t="str">
        <f>IF($AG438="","",INDEX($AD$8:$AD$1407,$AG438))</f>
        <v/>
      </c>
      <c r="Q438" s="92" t="str">
        <f>IF($AG438="","",INDEX($AM$8:$AM$21,INDEX($AC$8:$AC$1407,$AG438)+1))</f>
        <v/>
      </c>
      <c r="R438" s="92" t="str">
        <f>IF($AG438="","",IF($G438&gt;0,P_ToelCorrectie&amp;"",""))</f>
        <v/>
      </c>
      <c r="S438" s="15" t="str">
        <f>IF(J438="","",J438&amp;"|"&amp;E438&amp;"|"&amp;F438&amp;"|"&amp;I438&amp;"|"&amp;O438)</f>
        <v/>
      </c>
      <c r="T438" s="111" t="str">
        <f>IF(S438="","",IF(COUNTIFS(L_Sleutel,S438,L_Actief,1)=0,"",SUMIFS(L_Waarde,L_Sleutel,S438,L_Actief,1)))</f>
        <v/>
      </c>
      <c r="U438" s="111">
        <f>IF(OR(S438="",T438=""),0,P438-T438)</f>
        <v>0</v>
      </c>
      <c r="AB438" s="112" t="n">
        <v>31</v>
      </c>
      <c r="AC438" s="112" t="n">
        <v>10</v>
      </c>
      <c r="AD438" s="112" t="str">
        <f>VERW_Project!BS36</f>
        <v/>
      </c>
      <c r="AE438" s="112">
        <f>IF(AND(VERW_Project!$A36&lt;&gt;"",ISNUMBER(AD438)),1,0)</f>
        <v>0</v>
      </c>
      <c r="AF438" s="112" t="str">
        <f>IF(AE438=1,SUM($AE$8:AE438),"")</f>
        <v/>
      </c>
      <c r="AG438" t="str">
        <f>IFERROR(MATCH(431,$AF$8:$AF$1407,0),"")</f>
        <v/>
      </c>
    </row>
    <row r="439">
      <c r="A439" s="92" t="str">
        <f>IF($AG439="","",P_ImportID)</f>
        <v/>
      </c>
      <c r="B439" s="92" t="str">
        <f>IF($AG439="","",IF(INDEX($AN$8:$AN$21,INDEX($AC$8:$AC$1407,$AG439)+1)="Z",P_BronZ,P_BronE))</f>
        <v/>
      </c>
      <c r="C439" s="108" t="str">
        <f>IF($AG439="","",P_Importdatum)</f>
        <v/>
      </c>
      <c r="D439" s="92" t="str">
        <f>IF($AG439="","",P_StatusVastleg)</f>
        <v/>
      </c>
      <c r="E439" s="92" t="str">
        <f>IF($AG439="","",P_UploadVJ)</f>
        <v/>
      </c>
      <c r="F439" s="92" t="str">
        <f>IF($AG439="","",P_UploadVersie)</f>
        <v/>
      </c>
      <c r="G439" s="92" t="str">
        <f>IF($AG439="","",IF(COUNTIFS(L_Sleutel,$S439,L_Status,"Vastgesteld")=0,0,_xlfn.MAXIFS(L_Revisie,L_Sleutel,$S439,L_Status,"Vastgesteld")+1))</f>
        <v/>
      </c>
      <c r="H439" s="108" t="str">
        <f>IF($AG439="","",P_Peildatum)</f>
        <v/>
      </c>
      <c r="I439" s="92" t="str">
        <f>IF($AG439="","",P_RJ+INDEX($AK$8:$AK$21,INDEX($AC$8:$AC$1407,$AG439)+1))</f>
        <v/>
      </c>
      <c r="J439" s="92" t="str">
        <f>IF($AG439="","",INDEX(V_WBS,INDEX($AB$8:$AB$1407,$AG439)))</f>
        <v/>
      </c>
      <c r="K439" s="92" t="str">
        <f>IF($AG439="","",INDEX(V_Projdef,INDEX($AB$8:$AB$1407,$AG439)))</f>
        <v/>
      </c>
      <c r="L439" s="92" t="str">
        <f>IF($AG439="","",INDEX(V_Naam,INDEX($AB$8:$AB$1407,$AG439)))</f>
        <v/>
      </c>
      <c r="M439" s="92" t="str">
        <f>IF($AG439="","",INDEX(V_Type,INDEX($AB$8:$AB$1407,$AG439)))</f>
        <v/>
      </c>
      <c r="N439" s="92" t="str">
        <f>IF($AG439="","",INDEX(V_IFRS,INDEX($AB$8:$AB$1407,$AG439)))</f>
        <v/>
      </c>
      <c r="O439" s="92" t="str">
        <f>IF($AG439="","",INDEX($AL$8:$AL$21,INDEX($AC$8:$AC$1407,$AG439)+1))</f>
        <v/>
      </c>
      <c r="P439" s="109" t="str">
        <f>IF($AG439="","",INDEX($AD$8:$AD$1407,$AG439))</f>
        <v/>
      </c>
      <c r="Q439" s="92" t="str">
        <f>IF($AG439="","",INDEX($AM$8:$AM$21,INDEX($AC$8:$AC$1407,$AG439)+1))</f>
        <v/>
      </c>
      <c r="R439" s="92" t="str">
        <f>IF($AG439="","",IF($G439&gt;0,P_ToelCorrectie&amp;"",""))</f>
        <v/>
      </c>
      <c r="S439" s="15" t="str">
        <f>IF(J439="","",J439&amp;"|"&amp;E439&amp;"|"&amp;F439&amp;"|"&amp;I439&amp;"|"&amp;O439)</f>
        <v/>
      </c>
      <c r="T439" s="111" t="str">
        <f>IF(S439="","",IF(COUNTIFS(L_Sleutel,S439,L_Actief,1)=0,"",SUMIFS(L_Waarde,L_Sleutel,S439,L_Actief,1)))</f>
        <v/>
      </c>
      <c r="U439" s="111">
        <f>IF(OR(S439="",T439=""),0,P439-T439)</f>
        <v>0</v>
      </c>
      <c r="AB439" s="112" t="n">
        <v>31</v>
      </c>
      <c r="AC439" s="112" t="n">
        <v>11</v>
      </c>
      <c r="AD439" s="112" t="str">
        <f>VERW_Project!BT36</f>
        <v/>
      </c>
      <c r="AE439" s="112">
        <f>IF(AND(VERW_Project!$A36&lt;&gt;"",ISNUMBER(AD439)),1,0)</f>
        <v>0</v>
      </c>
      <c r="AF439" s="112" t="str">
        <f>IF(AE439=1,SUM($AE$8:AE439),"")</f>
        <v/>
      </c>
      <c r="AG439" t="str">
        <f>IFERROR(MATCH(432,$AF$8:$AF$1407,0),"")</f>
        <v/>
      </c>
    </row>
    <row r="440">
      <c r="A440" s="92" t="str">
        <f>IF($AG440="","",P_ImportID)</f>
        <v/>
      </c>
      <c r="B440" s="92" t="str">
        <f>IF($AG440="","",IF(INDEX($AN$8:$AN$21,INDEX($AC$8:$AC$1407,$AG440)+1)="Z",P_BronZ,P_BronE))</f>
        <v/>
      </c>
      <c r="C440" s="108" t="str">
        <f>IF($AG440="","",P_Importdatum)</f>
        <v/>
      </c>
      <c r="D440" s="92" t="str">
        <f>IF($AG440="","",P_StatusVastleg)</f>
        <v/>
      </c>
      <c r="E440" s="92" t="str">
        <f>IF($AG440="","",P_UploadVJ)</f>
        <v/>
      </c>
      <c r="F440" s="92" t="str">
        <f>IF($AG440="","",P_UploadVersie)</f>
        <v/>
      </c>
      <c r="G440" s="92" t="str">
        <f>IF($AG440="","",IF(COUNTIFS(L_Sleutel,$S440,L_Status,"Vastgesteld")=0,0,_xlfn.MAXIFS(L_Revisie,L_Sleutel,$S440,L_Status,"Vastgesteld")+1))</f>
        <v/>
      </c>
      <c r="H440" s="108" t="str">
        <f>IF($AG440="","",P_Peildatum)</f>
        <v/>
      </c>
      <c r="I440" s="92" t="str">
        <f>IF($AG440="","",P_RJ+INDEX($AK$8:$AK$21,INDEX($AC$8:$AC$1407,$AG440)+1))</f>
        <v/>
      </c>
      <c r="J440" s="92" t="str">
        <f>IF($AG440="","",INDEX(V_WBS,INDEX($AB$8:$AB$1407,$AG440)))</f>
        <v/>
      </c>
      <c r="K440" s="92" t="str">
        <f>IF($AG440="","",INDEX(V_Projdef,INDEX($AB$8:$AB$1407,$AG440)))</f>
        <v/>
      </c>
      <c r="L440" s="92" t="str">
        <f>IF($AG440="","",INDEX(V_Naam,INDEX($AB$8:$AB$1407,$AG440)))</f>
        <v/>
      </c>
      <c r="M440" s="92" t="str">
        <f>IF($AG440="","",INDEX(V_Type,INDEX($AB$8:$AB$1407,$AG440)))</f>
        <v/>
      </c>
      <c r="N440" s="92" t="str">
        <f>IF($AG440="","",INDEX(V_IFRS,INDEX($AB$8:$AB$1407,$AG440)))</f>
        <v/>
      </c>
      <c r="O440" s="92" t="str">
        <f>IF($AG440="","",INDEX($AL$8:$AL$21,INDEX($AC$8:$AC$1407,$AG440)+1))</f>
        <v/>
      </c>
      <c r="P440" s="109" t="str">
        <f>IF($AG440="","",INDEX($AD$8:$AD$1407,$AG440))</f>
        <v/>
      </c>
      <c r="Q440" s="92" t="str">
        <f>IF($AG440="","",INDEX($AM$8:$AM$21,INDEX($AC$8:$AC$1407,$AG440)+1))</f>
        <v/>
      </c>
      <c r="R440" s="92" t="str">
        <f>IF($AG440="","",IF($G440&gt;0,P_ToelCorrectie&amp;"",""))</f>
        <v/>
      </c>
      <c r="S440" s="15" t="str">
        <f>IF(J440="","",J440&amp;"|"&amp;E440&amp;"|"&amp;F440&amp;"|"&amp;I440&amp;"|"&amp;O440)</f>
        <v/>
      </c>
      <c r="T440" s="111" t="str">
        <f>IF(S440="","",IF(COUNTIFS(L_Sleutel,S440,L_Actief,1)=0,"",SUMIFS(L_Waarde,L_Sleutel,S440,L_Actief,1)))</f>
        <v/>
      </c>
      <c r="U440" s="111">
        <f>IF(OR(S440="",T440=""),0,P440-T440)</f>
        <v>0</v>
      </c>
      <c r="AB440" s="112" t="n">
        <v>31</v>
      </c>
      <c r="AC440" s="112" t="n">
        <v>12</v>
      </c>
      <c r="AD440" s="112" t="str">
        <f>VERW_Project!BU36</f>
        <v/>
      </c>
      <c r="AE440" s="112">
        <f>IF(AND(VERW_Project!$A36&lt;&gt;"",ISNUMBER(AD440)),1,0)</f>
        <v>0</v>
      </c>
      <c r="AF440" s="112" t="str">
        <f>IF(AE440=1,SUM($AE$8:AE440),"")</f>
        <v/>
      </c>
      <c r="AG440" t="str">
        <f>IFERROR(MATCH(433,$AF$8:$AF$1407,0),"")</f>
        <v/>
      </c>
    </row>
    <row r="441">
      <c r="A441" s="92" t="str">
        <f>IF($AG441="","",P_ImportID)</f>
        <v/>
      </c>
      <c r="B441" s="92" t="str">
        <f>IF($AG441="","",IF(INDEX($AN$8:$AN$21,INDEX($AC$8:$AC$1407,$AG441)+1)="Z",P_BronZ,P_BronE))</f>
        <v/>
      </c>
      <c r="C441" s="108" t="str">
        <f>IF($AG441="","",P_Importdatum)</f>
        <v/>
      </c>
      <c r="D441" s="92" t="str">
        <f>IF($AG441="","",P_StatusVastleg)</f>
        <v/>
      </c>
      <c r="E441" s="92" t="str">
        <f>IF($AG441="","",P_UploadVJ)</f>
        <v/>
      </c>
      <c r="F441" s="92" t="str">
        <f>IF($AG441="","",P_UploadVersie)</f>
        <v/>
      </c>
      <c r="G441" s="92" t="str">
        <f>IF($AG441="","",IF(COUNTIFS(L_Sleutel,$S441,L_Status,"Vastgesteld")=0,0,_xlfn.MAXIFS(L_Revisie,L_Sleutel,$S441,L_Status,"Vastgesteld")+1))</f>
        <v/>
      </c>
      <c r="H441" s="108" t="str">
        <f>IF($AG441="","",P_Peildatum)</f>
        <v/>
      </c>
      <c r="I441" s="92" t="str">
        <f>IF($AG441="","",P_RJ+INDEX($AK$8:$AK$21,INDEX($AC$8:$AC$1407,$AG441)+1))</f>
        <v/>
      </c>
      <c r="J441" s="92" t="str">
        <f>IF($AG441="","",INDEX(V_WBS,INDEX($AB$8:$AB$1407,$AG441)))</f>
        <v/>
      </c>
      <c r="K441" s="92" t="str">
        <f>IF($AG441="","",INDEX(V_Projdef,INDEX($AB$8:$AB$1407,$AG441)))</f>
        <v/>
      </c>
      <c r="L441" s="92" t="str">
        <f>IF($AG441="","",INDEX(V_Naam,INDEX($AB$8:$AB$1407,$AG441)))</f>
        <v/>
      </c>
      <c r="M441" s="92" t="str">
        <f>IF($AG441="","",INDEX(V_Type,INDEX($AB$8:$AB$1407,$AG441)))</f>
        <v/>
      </c>
      <c r="N441" s="92" t="str">
        <f>IF($AG441="","",INDEX(V_IFRS,INDEX($AB$8:$AB$1407,$AG441)))</f>
        <v/>
      </c>
      <c r="O441" s="92" t="str">
        <f>IF($AG441="","",INDEX($AL$8:$AL$21,INDEX($AC$8:$AC$1407,$AG441)+1))</f>
        <v/>
      </c>
      <c r="P441" s="109" t="str">
        <f>IF($AG441="","",INDEX($AD$8:$AD$1407,$AG441))</f>
        <v/>
      </c>
      <c r="Q441" s="92" t="str">
        <f>IF($AG441="","",INDEX($AM$8:$AM$21,INDEX($AC$8:$AC$1407,$AG441)+1))</f>
        <v/>
      </c>
      <c r="R441" s="92" t="str">
        <f>IF($AG441="","",IF($G441&gt;0,P_ToelCorrectie&amp;"",""))</f>
        <v/>
      </c>
      <c r="S441" s="15" t="str">
        <f>IF(J441="","",J441&amp;"|"&amp;E441&amp;"|"&amp;F441&amp;"|"&amp;I441&amp;"|"&amp;O441)</f>
        <v/>
      </c>
      <c r="T441" s="111" t="str">
        <f>IF(S441="","",IF(COUNTIFS(L_Sleutel,S441,L_Actief,1)=0,"",SUMIFS(L_Waarde,L_Sleutel,S441,L_Actief,1)))</f>
        <v/>
      </c>
      <c r="U441" s="111">
        <f>IF(OR(S441="",T441=""),0,P441-T441)</f>
        <v>0</v>
      </c>
      <c r="AB441" s="112" t="n">
        <v>31</v>
      </c>
      <c r="AC441" s="112" t="n">
        <v>13</v>
      </c>
      <c r="AD441" s="112" t="str">
        <f>VERW_Project!BX36</f>
        <v/>
      </c>
      <c r="AE441" s="112">
        <f>IF(AND(VERW_Project!$A36&lt;&gt;"",ISNUMBER(AD441)),1,0)</f>
        <v>0</v>
      </c>
      <c r="AF441" s="112" t="str">
        <f>IF(AE441=1,SUM($AE$8:AE441),"")</f>
        <v/>
      </c>
      <c r="AG441" t="str">
        <f>IFERROR(MATCH(434,$AF$8:$AF$1407,0),"")</f>
        <v/>
      </c>
    </row>
    <row r="442">
      <c r="A442" s="92" t="str">
        <f>IF($AG442="","",P_ImportID)</f>
        <v/>
      </c>
      <c r="B442" s="92" t="str">
        <f>IF($AG442="","",IF(INDEX($AN$8:$AN$21,INDEX($AC$8:$AC$1407,$AG442)+1)="Z",P_BronZ,P_BronE))</f>
        <v/>
      </c>
      <c r="C442" s="108" t="str">
        <f>IF($AG442="","",P_Importdatum)</f>
        <v/>
      </c>
      <c r="D442" s="92" t="str">
        <f>IF($AG442="","",P_StatusVastleg)</f>
        <v/>
      </c>
      <c r="E442" s="92" t="str">
        <f>IF($AG442="","",P_UploadVJ)</f>
        <v/>
      </c>
      <c r="F442" s="92" t="str">
        <f>IF($AG442="","",P_UploadVersie)</f>
        <v/>
      </c>
      <c r="G442" s="92" t="str">
        <f>IF($AG442="","",IF(COUNTIFS(L_Sleutel,$S442,L_Status,"Vastgesteld")=0,0,_xlfn.MAXIFS(L_Revisie,L_Sleutel,$S442,L_Status,"Vastgesteld")+1))</f>
        <v/>
      </c>
      <c r="H442" s="108" t="str">
        <f>IF($AG442="","",P_Peildatum)</f>
        <v/>
      </c>
      <c r="I442" s="92" t="str">
        <f>IF($AG442="","",P_RJ+INDEX($AK$8:$AK$21,INDEX($AC$8:$AC$1407,$AG442)+1))</f>
        <v/>
      </c>
      <c r="J442" s="92" t="str">
        <f>IF($AG442="","",INDEX(V_WBS,INDEX($AB$8:$AB$1407,$AG442)))</f>
        <v/>
      </c>
      <c r="K442" s="92" t="str">
        <f>IF($AG442="","",INDEX(V_Projdef,INDEX($AB$8:$AB$1407,$AG442)))</f>
        <v/>
      </c>
      <c r="L442" s="92" t="str">
        <f>IF($AG442="","",INDEX(V_Naam,INDEX($AB$8:$AB$1407,$AG442)))</f>
        <v/>
      </c>
      <c r="M442" s="92" t="str">
        <f>IF($AG442="","",INDEX(V_Type,INDEX($AB$8:$AB$1407,$AG442)))</f>
        <v/>
      </c>
      <c r="N442" s="92" t="str">
        <f>IF($AG442="","",INDEX(V_IFRS,INDEX($AB$8:$AB$1407,$AG442)))</f>
        <v/>
      </c>
      <c r="O442" s="92" t="str">
        <f>IF($AG442="","",INDEX($AL$8:$AL$21,INDEX($AC$8:$AC$1407,$AG442)+1))</f>
        <v/>
      </c>
      <c r="P442" s="109" t="str">
        <f>IF($AG442="","",INDEX($AD$8:$AD$1407,$AG442))</f>
        <v/>
      </c>
      <c r="Q442" s="92" t="str">
        <f>IF($AG442="","",INDEX($AM$8:$AM$21,INDEX($AC$8:$AC$1407,$AG442)+1))</f>
        <v/>
      </c>
      <c r="R442" s="92" t="str">
        <f>IF($AG442="","",IF($G442&gt;0,P_ToelCorrectie&amp;"",""))</f>
        <v/>
      </c>
      <c r="S442" s="15" t="str">
        <f>IF(J442="","",J442&amp;"|"&amp;E442&amp;"|"&amp;F442&amp;"|"&amp;I442&amp;"|"&amp;O442)</f>
        <v/>
      </c>
      <c r="T442" s="111" t="str">
        <f>IF(S442="","",IF(COUNTIFS(L_Sleutel,S442,L_Actief,1)=0,"",SUMIFS(L_Waarde,L_Sleutel,S442,L_Actief,1)))</f>
        <v/>
      </c>
      <c r="U442" s="111">
        <f>IF(OR(S442="",T442=""),0,P442-T442)</f>
        <v>0</v>
      </c>
      <c r="AB442" s="112" t="n">
        <v>32</v>
      </c>
      <c r="AC442" s="112" t="n">
        <v>0</v>
      </c>
      <c r="AD442" s="112" t="str">
        <f>VERW_Project!P37</f>
        <v/>
      </c>
      <c r="AE442" s="112">
        <f>IF(AND(VERW_Project!$A37&lt;&gt;"",ISNUMBER(AD442)),1,0)</f>
        <v>0</v>
      </c>
      <c r="AF442" s="112" t="str">
        <f>IF(AE442=1,SUM($AE$8:AE442),"")</f>
        <v/>
      </c>
      <c r="AG442" t="str">
        <f>IFERROR(MATCH(435,$AF$8:$AF$1407,0),"")</f>
        <v/>
      </c>
    </row>
    <row r="443">
      <c r="A443" s="92" t="str">
        <f>IF($AG443="","",P_ImportID)</f>
        <v/>
      </c>
      <c r="B443" s="92" t="str">
        <f>IF($AG443="","",IF(INDEX($AN$8:$AN$21,INDEX($AC$8:$AC$1407,$AG443)+1)="Z",P_BronZ,P_BronE))</f>
        <v/>
      </c>
      <c r="C443" s="108" t="str">
        <f>IF($AG443="","",P_Importdatum)</f>
        <v/>
      </c>
      <c r="D443" s="92" t="str">
        <f>IF($AG443="","",P_StatusVastleg)</f>
        <v/>
      </c>
      <c r="E443" s="92" t="str">
        <f>IF($AG443="","",P_UploadVJ)</f>
        <v/>
      </c>
      <c r="F443" s="92" t="str">
        <f>IF($AG443="","",P_UploadVersie)</f>
        <v/>
      </c>
      <c r="G443" s="92" t="str">
        <f>IF($AG443="","",IF(COUNTIFS(L_Sleutel,$S443,L_Status,"Vastgesteld")=0,0,_xlfn.MAXIFS(L_Revisie,L_Sleutel,$S443,L_Status,"Vastgesteld")+1))</f>
        <v/>
      </c>
      <c r="H443" s="108" t="str">
        <f>IF($AG443="","",P_Peildatum)</f>
        <v/>
      </c>
      <c r="I443" s="92" t="str">
        <f>IF($AG443="","",P_RJ+INDEX($AK$8:$AK$21,INDEX($AC$8:$AC$1407,$AG443)+1))</f>
        <v/>
      </c>
      <c r="J443" s="92" t="str">
        <f>IF($AG443="","",INDEX(V_WBS,INDEX($AB$8:$AB$1407,$AG443)))</f>
        <v/>
      </c>
      <c r="K443" s="92" t="str">
        <f>IF($AG443="","",INDEX(V_Projdef,INDEX($AB$8:$AB$1407,$AG443)))</f>
        <v/>
      </c>
      <c r="L443" s="92" t="str">
        <f>IF($AG443="","",INDEX(V_Naam,INDEX($AB$8:$AB$1407,$AG443)))</f>
        <v/>
      </c>
      <c r="M443" s="92" t="str">
        <f>IF($AG443="","",INDEX(V_Type,INDEX($AB$8:$AB$1407,$AG443)))</f>
        <v/>
      </c>
      <c r="N443" s="92" t="str">
        <f>IF($AG443="","",INDEX(V_IFRS,INDEX($AB$8:$AB$1407,$AG443)))</f>
        <v/>
      </c>
      <c r="O443" s="92" t="str">
        <f>IF($AG443="","",INDEX($AL$8:$AL$21,INDEX($AC$8:$AC$1407,$AG443)+1))</f>
        <v/>
      </c>
      <c r="P443" s="109" t="str">
        <f>IF($AG443="","",INDEX($AD$8:$AD$1407,$AG443))</f>
        <v/>
      </c>
      <c r="Q443" s="92" t="str">
        <f>IF($AG443="","",INDEX($AM$8:$AM$21,INDEX($AC$8:$AC$1407,$AG443)+1))</f>
        <v/>
      </c>
      <c r="R443" s="92" t="str">
        <f>IF($AG443="","",IF($G443&gt;0,P_ToelCorrectie&amp;"",""))</f>
        <v/>
      </c>
      <c r="S443" s="15" t="str">
        <f>IF(J443="","",J443&amp;"|"&amp;E443&amp;"|"&amp;F443&amp;"|"&amp;I443&amp;"|"&amp;O443)</f>
        <v/>
      </c>
      <c r="T443" s="111" t="str">
        <f>IF(S443="","",IF(COUNTIFS(L_Sleutel,S443,L_Actief,1)=0,"",SUMIFS(L_Waarde,L_Sleutel,S443,L_Actief,1)))</f>
        <v/>
      </c>
      <c r="U443" s="111">
        <f>IF(OR(S443="",T443=""),0,P443-T443)</f>
        <v>0</v>
      </c>
      <c r="AB443" s="112" t="n">
        <v>32</v>
      </c>
      <c r="AC443" s="112" t="n">
        <v>1</v>
      </c>
      <c r="AD443" s="112" t="str">
        <f>VERW_Project!Q37</f>
        <v/>
      </c>
      <c r="AE443" s="112">
        <f>IF(AND(VERW_Project!$A37&lt;&gt;"",ISNUMBER(AD443)),1,0)</f>
        <v>0</v>
      </c>
      <c r="AF443" s="112" t="str">
        <f>IF(AE443=1,SUM($AE$8:AE443),"")</f>
        <v/>
      </c>
      <c r="AG443" t="str">
        <f>IFERROR(MATCH(436,$AF$8:$AF$1407,0),"")</f>
        <v/>
      </c>
    </row>
    <row r="444">
      <c r="A444" s="92" t="str">
        <f>IF($AG444="","",P_ImportID)</f>
        <v/>
      </c>
      <c r="B444" s="92" t="str">
        <f>IF($AG444="","",IF(INDEX($AN$8:$AN$21,INDEX($AC$8:$AC$1407,$AG444)+1)="Z",P_BronZ,P_BronE))</f>
        <v/>
      </c>
      <c r="C444" s="108" t="str">
        <f>IF($AG444="","",P_Importdatum)</f>
        <v/>
      </c>
      <c r="D444" s="92" t="str">
        <f>IF($AG444="","",P_StatusVastleg)</f>
        <v/>
      </c>
      <c r="E444" s="92" t="str">
        <f>IF($AG444="","",P_UploadVJ)</f>
        <v/>
      </c>
      <c r="F444" s="92" t="str">
        <f>IF($AG444="","",P_UploadVersie)</f>
        <v/>
      </c>
      <c r="G444" s="92" t="str">
        <f>IF($AG444="","",IF(COUNTIFS(L_Sleutel,$S444,L_Status,"Vastgesteld")=0,0,_xlfn.MAXIFS(L_Revisie,L_Sleutel,$S444,L_Status,"Vastgesteld")+1))</f>
        <v/>
      </c>
      <c r="H444" s="108" t="str">
        <f>IF($AG444="","",P_Peildatum)</f>
        <v/>
      </c>
      <c r="I444" s="92" t="str">
        <f>IF($AG444="","",P_RJ+INDEX($AK$8:$AK$21,INDEX($AC$8:$AC$1407,$AG444)+1))</f>
        <v/>
      </c>
      <c r="J444" s="92" t="str">
        <f>IF($AG444="","",INDEX(V_WBS,INDEX($AB$8:$AB$1407,$AG444)))</f>
        <v/>
      </c>
      <c r="K444" s="92" t="str">
        <f>IF($AG444="","",INDEX(V_Projdef,INDEX($AB$8:$AB$1407,$AG444)))</f>
        <v/>
      </c>
      <c r="L444" s="92" t="str">
        <f>IF($AG444="","",INDEX(V_Naam,INDEX($AB$8:$AB$1407,$AG444)))</f>
        <v/>
      </c>
      <c r="M444" s="92" t="str">
        <f>IF($AG444="","",INDEX(V_Type,INDEX($AB$8:$AB$1407,$AG444)))</f>
        <v/>
      </c>
      <c r="N444" s="92" t="str">
        <f>IF($AG444="","",INDEX(V_IFRS,INDEX($AB$8:$AB$1407,$AG444)))</f>
        <v/>
      </c>
      <c r="O444" s="92" t="str">
        <f>IF($AG444="","",INDEX($AL$8:$AL$21,INDEX($AC$8:$AC$1407,$AG444)+1))</f>
        <v/>
      </c>
      <c r="P444" s="109" t="str">
        <f>IF($AG444="","",INDEX($AD$8:$AD$1407,$AG444))</f>
        <v/>
      </c>
      <c r="Q444" s="92" t="str">
        <f>IF($AG444="","",INDEX($AM$8:$AM$21,INDEX($AC$8:$AC$1407,$AG444)+1))</f>
        <v/>
      </c>
      <c r="R444" s="92" t="str">
        <f>IF($AG444="","",IF($G444&gt;0,P_ToelCorrectie&amp;"",""))</f>
        <v/>
      </c>
      <c r="S444" s="15" t="str">
        <f>IF(J444="","",J444&amp;"|"&amp;E444&amp;"|"&amp;F444&amp;"|"&amp;I444&amp;"|"&amp;O444)</f>
        <v/>
      </c>
      <c r="T444" s="111" t="str">
        <f>IF(S444="","",IF(COUNTIFS(L_Sleutel,S444,L_Actief,1)=0,"",SUMIFS(L_Waarde,L_Sleutel,S444,L_Actief,1)))</f>
        <v/>
      </c>
      <c r="U444" s="111">
        <f>IF(OR(S444="",T444=""),0,P444-T444)</f>
        <v>0</v>
      </c>
      <c r="AB444" s="112" t="n">
        <v>32</v>
      </c>
      <c r="AC444" s="112" t="n">
        <v>2</v>
      </c>
      <c r="AD444" s="112" t="str">
        <f>VERW_Project!L37</f>
        <v/>
      </c>
      <c r="AE444" s="112">
        <f>IF(AND(VERW_Project!$A37&lt;&gt;"",ISNUMBER(AD444)),1,0)</f>
        <v>0</v>
      </c>
      <c r="AF444" s="112" t="str">
        <f>IF(AE444=1,SUM($AE$8:AE444),"")</f>
        <v/>
      </c>
      <c r="AG444" t="str">
        <f>IFERROR(MATCH(437,$AF$8:$AF$1407,0),"")</f>
        <v/>
      </c>
    </row>
    <row r="445">
      <c r="A445" s="92" t="str">
        <f>IF($AG445="","",P_ImportID)</f>
        <v/>
      </c>
      <c r="B445" s="92" t="str">
        <f>IF($AG445="","",IF(INDEX($AN$8:$AN$21,INDEX($AC$8:$AC$1407,$AG445)+1)="Z",P_BronZ,P_BronE))</f>
        <v/>
      </c>
      <c r="C445" s="108" t="str">
        <f>IF($AG445="","",P_Importdatum)</f>
        <v/>
      </c>
      <c r="D445" s="92" t="str">
        <f>IF($AG445="","",P_StatusVastleg)</f>
        <v/>
      </c>
      <c r="E445" s="92" t="str">
        <f>IF($AG445="","",P_UploadVJ)</f>
        <v/>
      </c>
      <c r="F445" s="92" t="str">
        <f>IF($AG445="","",P_UploadVersie)</f>
        <v/>
      </c>
      <c r="G445" s="92" t="str">
        <f>IF($AG445="","",IF(COUNTIFS(L_Sleutel,$S445,L_Status,"Vastgesteld")=0,0,_xlfn.MAXIFS(L_Revisie,L_Sleutel,$S445,L_Status,"Vastgesteld")+1))</f>
        <v/>
      </c>
      <c r="H445" s="108" t="str">
        <f>IF($AG445="","",P_Peildatum)</f>
        <v/>
      </c>
      <c r="I445" s="92" t="str">
        <f>IF($AG445="","",P_RJ+INDEX($AK$8:$AK$21,INDEX($AC$8:$AC$1407,$AG445)+1))</f>
        <v/>
      </c>
      <c r="J445" s="92" t="str">
        <f>IF($AG445="","",INDEX(V_WBS,INDEX($AB$8:$AB$1407,$AG445)))</f>
        <v/>
      </c>
      <c r="K445" s="92" t="str">
        <f>IF($AG445="","",INDEX(V_Projdef,INDEX($AB$8:$AB$1407,$AG445)))</f>
        <v/>
      </c>
      <c r="L445" s="92" t="str">
        <f>IF($AG445="","",INDEX(V_Naam,INDEX($AB$8:$AB$1407,$AG445)))</f>
        <v/>
      </c>
      <c r="M445" s="92" t="str">
        <f>IF($AG445="","",INDEX(V_Type,INDEX($AB$8:$AB$1407,$AG445)))</f>
        <v/>
      </c>
      <c r="N445" s="92" t="str">
        <f>IF($AG445="","",INDEX(V_IFRS,INDEX($AB$8:$AB$1407,$AG445)))</f>
        <v/>
      </c>
      <c r="O445" s="92" t="str">
        <f>IF($AG445="","",INDEX($AL$8:$AL$21,INDEX($AC$8:$AC$1407,$AG445)+1))</f>
        <v/>
      </c>
      <c r="P445" s="109" t="str">
        <f>IF($AG445="","",INDEX($AD$8:$AD$1407,$AG445))</f>
        <v/>
      </c>
      <c r="Q445" s="92" t="str">
        <f>IF($AG445="","",INDEX($AM$8:$AM$21,INDEX($AC$8:$AC$1407,$AG445)+1))</f>
        <v/>
      </c>
      <c r="R445" s="92" t="str">
        <f>IF($AG445="","",IF($G445&gt;0,P_ToelCorrectie&amp;"",""))</f>
        <v/>
      </c>
      <c r="S445" s="15" t="str">
        <f>IF(J445="","",J445&amp;"|"&amp;E445&amp;"|"&amp;F445&amp;"|"&amp;I445&amp;"|"&amp;O445)</f>
        <v/>
      </c>
      <c r="T445" s="111" t="str">
        <f>IF(S445="","",IF(COUNTIFS(L_Sleutel,S445,L_Actief,1)=0,"",SUMIFS(L_Waarde,L_Sleutel,S445,L_Actief,1)))</f>
        <v/>
      </c>
      <c r="U445" s="111">
        <f>IF(OR(S445="",T445=""),0,P445-T445)</f>
        <v>0</v>
      </c>
      <c r="AB445" s="112" t="n">
        <v>32</v>
      </c>
      <c r="AC445" s="112" t="n">
        <v>3</v>
      </c>
      <c r="AD445" s="112" t="str">
        <f>VERW_Project!M37</f>
        <v/>
      </c>
      <c r="AE445" s="112">
        <f>IF(AND(VERW_Project!$A37&lt;&gt;"",ISNUMBER(AD445)),1,0)</f>
        <v>0</v>
      </c>
      <c r="AF445" s="112" t="str">
        <f>IF(AE445=1,SUM($AE$8:AE445),"")</f>
        <v/>
      </c>
      <c r="AG445" t="str">
        <f>IFERROR(MATCH(438,$AF$8:$AF$1407,0),"")</f>
        <v/>
      </c>
    </row>
    <row r="446">
      <c r="A446" s="92" t="str">
        <f>IF($AG446="","",P_ImportID)</f>
        <v/>
      </c>
      <c r="B446" s="92" t="str">
        <f>IF($AG446="","",IF(INDEX($AN$8:$AN$21,INDEX($AC$8:$AC$1407,$AG446)+1)="Z",P_BronZ,P_BronE))</f>
        <v/>
      </c>
      <c r="C446" s="108" t="str">
        <f>IF($AG446="","",P_Importdatum)</f>
        <v/>
      </c>
      <c r="D446" s="92" t="str">
        <f>IF($AG446="","",P_StatusVastleg)</f>
        <v/>
      </c>
      <c r="E446" s="92" t="str">
        <f>IF($AG446="","",P_UploadVJ)</f>
        <v/>
      </c>
      <c r="F446" s="92" t="str">
        <f>IF($AG446="","",P_UploadVersie)</f>
        <v/>
      </c>
      <c r="G446" s="92" t="str">
        <f>IF($AG446="","",IF(COUNTIFS(L_Sleutel,$S446,L_Status,"Vastgesteld")=0,0,_xlfn.MAXIFS(L_Revisie,L_Sleutel,$S446,L_Status,"Vastgesteld")+1))</f>
        <v/>
      </c>
      <c r="H446" s="108" t="str">
        <f>IF($AG446="","",P_Peildatum)</f>
        <v/>
      </c>
      <c r="I446" s="92" t="str">
        <f>IF($AG446="","",P_RJ+INDEX($AK$8:$AK$21,INDEX($AC$8:$AC$1407,$AG446)+1))</f>
        <v/>
      </c>
      <c r="J446" s="92" t="str">
        <f>IF($AG446="","",INDEX(V_WBS,INDEX($AB$8:$AB$1407,$AG446)))</f>
        <v/>
      </c>
      <c r="K446" s="92" t="str">
        <f>IF($AG446="","",INDEX(V_Projdef,INDEX($AB$8:$AB$1407,$AG446)))</f>
        <v/>
      </c>
      <c r="L446" s="92" t="str">
        <f>IF($AG446="","",INDEX(V_Naam,INDEX($AB$8:$AB$1407,$AG446)))</f>
        <v/>
      </c>
      <c r="M446" s="92" t="str">
        <f>IF($AG446="","",INDEX(V_Type,INDEX($AB$8:$AB$1407,$AG446)))</f>
        <v/>
      </c>
      <c r="N446" s="92" t="str">
        <f>IF($AG446="","",INDEX(V_IFRS,INDEX($AB$8:$AB$1407,$AG446)))</f>
        <v/>
      </c>
      <c r="O446" s="92" t="str">
        <f>IF($AG446="","",INDEX($AL$8:$AL$21,INDEX($AC$8:$AC$1407,$AG446)+1))</f>
        <v/>
      </c>
      <c r="P446" s="109" t="str">
        <f>IF($AG446="","",INDEX($AD$8:$AD$1407,$AG446))</f>
        <v/>
      </c>
      <c r="Q446" s="92" t="str">
        <f>IF($AG446="","",INDEX($AM$8:$AM$21,INDEX($AC$8:$AC$1407,$AG446)+1))</f>
        <v/>
      </c>
      <c r="R446" s="92" t="str">
        <f>IF($AG446="","",IF($G446&gt;0,P_ToelCorrectie&amp;"",""))</f>
        <v/>
      </c>
      <c r="S446" s="15" t="str">
        <f>IF(J446="","",J446&amp;"|"&amp;E446&amp;"|"&amp;F446&amp;"|"&amp;I446&amp;"|"&amp;O446)</f>
        <v/>
      </c>
      <c r="T446" s="111" t="str">
        <f>IF(S446="","",IF(COUNTIFS(L_Sleutel,S446,L_Actief,1)=0,"",SUMIFS(L_Waarde,L_Sleutel,S446,L_Actief,1)))</f>
        <v/>
      </c>
      <c r="U446" s="111">
        <f>IF(OR(S446="",T446=""),0,P446-T446)</f>
        <v>0</v>
      </c>
      <c r="AB446" s="112" t="n">
        <v>32</v>
      </c>
      <c r="AC446" s="112" t="n">
        <v>4</v>
      </c>
      <c r="AD446" s="112" t="str">
        <f>VERW_Project!R37</f>
        <v/>
      </c>
      <c r="AE446" s="112">
        <f>IF(AND(VERW_Project!$A37&lt;&gt;"",ISNUMBER(AD446)),1,0)</f>
        <v>0</v>
      </c>
      <c r="AF446" s="112" t="str">
        <f>IF(AE446=1,SUM($AE$8:AE446),"")</f>
        <v/>
      </c>
      <c r="AG446" t="str">
        <f>IFERROR(MATCH(439,$AF$8:$AF$1407,0),"")</f>
        <v/>
      </c>
    </row>
    <row r="447">
      <c r="A447" s="92" t="str">
        <f>IF($AG447="","",P_ImportID)</f>
        <v/>
      </c>
      <c r="B447" s="92" t="str">
        <f>IF($AG447="","",IF(INDEX($AN$8:$AN$21,INDEX($AC$8:$AC$1407,$AG447)+1)="Z",P_BronZ,P_BronE))</f>
        <v/>
      </c>
      <c r="C447" s="108" t="str">
        <f>IF($AG447="","",P_Importdatum)</f>
        <v/>
      </c>
      <c r="D447" s="92" t="str">
        <f>IF($AG447="","",P_StatusVastleg)</f>
        <v/>
      </c>
      <c r="E447" s="92" t="str">
        <f>IF($AG447="","",P_UploadVJ)</f>
        <v/>
      </c>
      <c r="F447" s="92" t="str">
        <f>IF($AG447="","",P_UploadVersie)</f>
        <v/>
      </c>
      <c r="G447" s="92" t="str">
        <f>IF($AG447="","",IF(COUNTIFS(L_Sleutel,$S447,L_Status,"Vastgesteld")=0,0,_xlfn.MAXIFS(L_Revisie,L_Sleutel,$S447,L_Status,"Vastgesteld")+1))</f>
        <v/>
      </c>
      <c r="H447" s="108" t="str">
        <f>IF($AG447="","",P_Peildatum)</f>
        <v/>
      </c>
      <c r="I447" s="92" t="str">
        <f>IF($AG447="","",P_RJ+INDEX($AK$8:$AK$21,INDEX($AC$8:$AC$1407,$AG447)+1))</f>
        <v/>
      </c>
      <c r="J447" s="92" t="str">
        <f>IF($AG447="","",INDEX(V_WBS,INDEX($AB$8:$AB$1407,$AG447)))</f>
        <v/>
      </c>
      <c r="K447" s="92" t="str">
        <f>IF($AG447="","",INDEX(V_Projdef,INDEX($AB$8:$AB$1407,$AG447)))</f>
        <v/>
      </c>
      <c r="L447" s="92" t="str">
        <f>IF($AG447="","",INDEX(V_Naam,INDEX($AB$8:$AB$1407,$AG447)))</f>
        <v/>
      </c>
      <c r="M447" s="92" t="str">
        <f>IF($AG447="","",INDEX(V_Type,INDEX($AB$8:$AB$1407,$AG447)))</f>
        <v/>
      </c>
      <c r="N447" s="92" t="str">
        <f>IF($AG447="","",INDEX(V_IFRS,INDEX($AB$8:$AB$1407,$AG447)))</f>
        <v/>
      </c>
      <c r="O447" s="92" t="str">
        <f>IF($AG447="","",INDEX($AL$8:$AL$21,INDEX($AC$8:$AC$1407,$AG447)+1))</f>
        <v/>
      </c>
      <c r="P447" s="109" t="str">
        <f>IF($AG447="","",INDEX($AD$8:$AD$1407,$AG447))</f>
        <v/>
      </c>
      <c r="Q447" s="92" t="str">
        <f>IF($AG447="","",INDEX($AM$8:$AM$21,INDEX($AC$8:$AC$1407,$AG447)+1))</f>
        <v/>
      </c>
      <c r="R447" s="92" t="str">
        <f>IF($AG447="","",IF($G447&gt;0,P_ToelCorrectie&amp;"",""))</f>
        <v/>
      </c>
      <c r="S447" s="15" t="str">
        <f>IF(J447="","",J447&amp;"|"&amp;E447&amp;"|"&amp;F447&amp;"|"&amp;I447&amp;"|"&amp;O447)</f>
        <v/>
      </c>
      <c r="T447" s="111" t="str">
        <f>IF(S447="","",IF(COUNTIFS(L_Sleutel,S447,L_Actief,1)=0,"",SUMIFS(L_Waarde,L_Sleutel,S447,L_Actief,1)))</f>
        <v/>
      </c>
      <c r="U447" s="111">
        <f>IF(OR(S447="",T447=""),0,P447-T447)</f>
        <v>0</v>
      </c>
      <c r="AB447" s="112" t="n">
        <v>32</v>
      </c>
      <c r="AC447" s="112" t="n">
        <v>5</v>
      </c>
      <c r="AD447" s="112" t="str">
        <f>VERW_Project!S37</f>
        <v/>
      </c>
      <c r="AE447" s="112">
        <f>IF(AND(VERW_Project!$A37&lt;&gt;"",ISNUMBER(AD447)),1,0)</f>
        <v>0</v>
      </c>
      <c r="AF447" s="112" t="str">
        <f>IF(AE447=1,SUM($AE$8:AE447),"")</f>
        <v/>
      </c>
      <c r="AG447" t="str">
        <f>IFERROR(MATCH(440,$AF$8:$AF$1407,0),"")</f>
        <v/>
      </c>
    </row>
    <row r="448">
      <c r="A448" s="92" t="str">
        <f>IF($AG448="","",P_ImportID)</f>
        <v/>
      </c>
      <c r="B448" s="92" t="str">
        <f>IF($AG448="","",IF(INDEX($AN$8:$AN$21,INDEX($AC$8:$AC$1407,$AG448)+1)="Z",P_BronZ,P_BronE))</f>
        <v/>
      </c>
      <c r="C448" s="108" t="str">
        <f>IF($AG448="","",P_Importdatum)</f>
        <v/>
      </c>
      <c r="D448" s="92" t="str">
        <f>IF($AG448="","",P_StatusVastleg)</f>
        <v/>
      </c>
      <c r="E448" s="92" t="str">
        <f>IF($AG448="","",P_UploadVJ)</f>
        <v/>
      </c>
      <c r="F448" s="92" t="str">
        <f>IF($AG448="","",P_UploadVersie)</f>
        <v/>
      </c>
      <c r="G448" s="92" t="str">
        <f>IF($AG448="","",IF(COUNTIFS(L_Sleutel,$S448,L_Status,"Vastgesteld")=0,0,_xlfn.MAXIFS(L_Revisie,L_Sleutel,$S448,L_Status,"Vastgesteld")+1))</f>
        <v/>
      </c>
      <c r="H448" s="108" t="str">
        <f>IF($AG448="","",P_Peildatum)</f>
        <v/>
      </c>
      <c r="I448" s="92" t="str">
        <f>IF($AG448="","",P_RJ+INDEX($AK$8:$AK$21,INDEX($AC$8:$AC$1407,$AG448)+1))</f>
        <v/>
      </c>
      <c r="J448" s="92" t="str">
        <f>IF($AG448="","",INDEX(V_WBS,INDEX($AB$8:$AB$1407,$AG448)))</f>
        <v/>
      </c>
      <c r="K448" s="92" t="str">
        <f>IF($AG448="","",INDEX(V_Projdef,INDEX($AB$8:$AB$1407,$AG448)))</f>
        <v/>
      </c>
      <c r="L448" s="92" t="str">
        <f>IF($AG448="","",INDEX(V_Naam,INDEX($AB$8:$AB$1407,$AG448)))</f>
        <v/>
      </c>
      <c r="M448" s="92" t="str">
        <f>IF($AG448="","",INDEX(V_Type,INDEX($AB$8:$AB$1407,$AG448)))</f>
        <v/>
      </c>
      <c r="N448" s="92" t="str">
        <f>IF($AG448="","",INDEX(V_IFRS,INDEX($AB$8:$AB$1407,$AG448)))</f>
        <v/>
      </c>
      <c r="O448" s="92" t="str">
        <f>IF($AG448="","",INDEX($AL$8:$AL$21,INDEX($AC$8:$AC$1407,$AG448)+1))</f>
        <v/>
      </c>
      <c r="P448" s="109" t="str">
        <f>IF($AG448="","",INDEX($AD$8:$AD$1407,$AG448))</f>
        <v/>
      </c>
      <c r="Q448" s="92" t="str">
        <f>IF($AG448="","",INDEX($AM$8:$AM$21,INDEX($AC$8:$AC$1407,$AG448)+1))</f>
        <v/>
      </c>
      <c r="R448" s="92" t="str">
        <f>IF($AG448="","",IF($G448&gt;0,P_ToelCorrectie&amp;"",""))</f>
        <v/>
      </c>
      <c r="S448" s="15" t="str">
        <f>IF(J448="","",J448&amp;"|"&amp;E448&amp;"|"&amp;F448&amp;"|"&amp;I448&amp;"|"&amp;O448)</f>
        <v/>
      </c>
      <c r="T448" s="111" t="str">
        <f>IF(S448="","",IF(COUNTIFS(L_Sleutel,S448,L_Actief,1)=0,"",SUMIFS(L_Waarde,L_Sleutel,S448,L_Actief,1)))</f>
        <v/>
      </c>
      <c r="U448" s="111">
        <f>IF(OR(S448="",T448=""),0,P448-T448)</f>
        <v>0</v>
      </c>
      <c r="AB448" s="112" t="n">
        <v>32</v>
      </c>
      <c r="AC448" s="112" t="n">
        <v>6</v>
      </c>
      <c r="AD448" s="112" t="str">
        <f>VERW_Project!BW37</f>
        <v/>
      </c>
      <c r="AE448" s="112">
        <f>IF(AND(VERW_Project!$A37&lt;&gt;"",ISNUMBER(AD448)),1,0)</f>
        <v>0</v>
      </c>
      <c r="AF448" s="112" t="str">
        <f>IF(AE448=1,SUM($AE$8:AE448),"")</f>
        <v/>
      </c>
      <c r="AG448" t="str">
        <f>IFERROR(MATCH(441,$AF$8:$AF$1407,0),"")</f>
        <v/>
      </c>
    </row>
    <row r="449">
      <c r="A449" s="92" t="str">
        <f>IF($AG449="","",P_ImportID)</f>
        <v/>
      </c>
      <c r="B449" s="92" t="str">
        <f>IF($AG449="","",IF(INDEX($AN$8:$AN$21,INDEX($AC$8:$AC$1407,$AG449)+1)="Z",P_BronZ,P_BronE))</f>
        <v/>
      </c>
      <c r="C449" s="108" t="str">
        <f>IF($AG449="","",P_Importdatum)</f>
        <v/>
      </c>
      <c r="D449" s="92" t="str">
        <f>IF($AG449="","",P_StatusVastleg)</f>
        <v/>
      </c>
      <c r="E449" s="92" t="str">
        <f>IF($AG449="","",P_UploadVJ)</f>
        <v/>
      </c>
      <c r="F449" s="92" t="str">
        <f>IF($AG449="","",P_UploadVersie)</f>
        <v/>
      </c>
      <c r="G449" s="92" t="str">
        <f>IF($AG449="","",IF(COUNTIFS(L_Sleutel,$S449,L_Status,"Vastgesteld")=0,0,_xlfn.MAXIFS(L_Revisie,L_Sleutel,$S449,L_Status,"Vastgesteld")+1))</f>
        <v/>
      </c>
      <c r="H449" s="108" t="str">
        <f>IF($AG449="","",P_Peildatum)</f>
        <v/>
      </c>
      <c r="I449" s="92" t="str">
        <f>IF($AG449="","",P_RJ+INDEX($AK$8:$AK$21,INDEX($AC$8:$AC$1407,$AG449)+1))</f>
        <v/>
      </c>
      <c r="J449" s="92" t="str">
        <f>IF($AG449="","",INDEX(V_WBS,INDEX($AB$8:$AB$1407,$AG449)))</f>
        <v/>
      </c>
      <c r="K449" s="92" t="str">
        <f>IF($AG449="","",INDEX(V_Projdef,INDEX($AB$8:$AB$1407,$AG449)))</f>
        <v/>
      </c>
      <c r="L449" s="92" t="str">
        <f>IF($AG449="","",INDEX(V_Naam,INDEX($AB$8:$AB$1407,$AG449)))</f>
        <v/>
      </c>
      <c r="M449" s="92" t="str">
        <f>IF($AG449="","",INDEX(V_Type,INDEX($AB$8:$AB$1407,$AG449)))</f>
        <v/>
      </c>
      <c r="N449" s="92" t="str">
        <f>IF($AG449="","",INDEX(V_IFRS,INDEX($AB$8:$AB$1407,$AG449)))</f>
        <v/>
      </c>
      <c r="O449" s="92" t="str">
        <f>IF($AG449="","",INDEX($AL$8:$AL$21,INDEX($AC$8:$AC$1407,$AG449)+1))</f>
        <v/>
      </c>
      <c r="P449" s="109" t="str">
        <f>IF($AG449="","",INDEX($AD$8:$AD$1407,$AG449))</f>
        <v/>
      </c>
      <c r="Q449" s="92" t="str">
        <f>IF($AG449="","",INDEX($AM$8:$AM$21,INDEX($AC$8:$AC$1407,$AG449)+1))</f>
        <v/>
      </c>
      <c r="R449" s="92" t="str">
        <f>IF($AG449="","",IF($G449&gt;0,P_ToelCorrectie&amp;"",""))</f>
        <v/>
      </c>
      <c r="S449" s="15" t="str">
        <f>IF(J449="","",J449&amp;"|"&amp;E449&amp;"|"&amp;F449&amp;"|"&amp;I449&amp;"|"&amp;O449)</f>
        <v/>
      </c>
      <c r="T449" s="111" t="str">
        <f>IF(S449="","",IF(COUNTIFS(L_Sleutel,S449,L_Actief,1)=0,"",SUMIFS(L_Waarde,L_Sleutel,S449,L_Actief,1)))</f>
        <v/>
      </c>
      <c r="U449" s="111">
        <f>IF(OR(S449="",T449=""),0,P449-T449)</f>
        <v>0</v>
      </c>
      <c r="AB449" s="112" t="n">
        <v>32</v>
      </c>
      <c r="AC449" s="112" t="n">
        <v>7</v>
      </c>
      <c r="AD449" s="112" t="str">
        <f>VERW_Project!AW37</f>
        <v/>
      </c>
      <c r="AE449" s="112">
        <f>IF(AND(VERW_Project!$A37&lt;&gt;"",ISNUMBER(AD449)),1,0)</f>
        <v>0</v>
      </c>
      <c r="AF449" s="112" t="str">
        <f>IF(AE449=1,SUM($AE$8:AE449),"")</f>
        <v/>
      </c>
      <c r="AG449" t="str">
        <f>IFERROR(MATCH(442,$AF$8:$AF$1407,0),"")</f>
        <v/>
      </c>
    </row>
    <row r="450">
      <c r="A450" s="92" t="str">
        <f>IF($AG450="","",P_ImportID)</f>
        <v/>
      </c>
      <c r="B450" s="92" t="str">
        <f>IF($AG450="","",IF(INDEX($AN$8:$AN$21,INDEX($AC$8:$AC$1407,$AG450)+1)="Z",P_BronZ,P_BronE))</f>
        <v/>
      </c>
      <c r="C450" s="108" t="str">
        <f>IF($AG450="","",P_Importdatum)</f>
        <v/>
      </c>
      <c r="D450" s="92" t="str">
        <f>IF($AG450="","",P_StatusVastleg)</f>
        <v/>
      </c>
      <c r="E450" s="92" t="str">
        <f>IF($AG450="","",P_UploadVJ)</f>
        <v/>
      </c>
      <c r="F450" s="92" t="str">
        <f>IF($AG450="","",P_UploadVersie)</f>
        <v/>
      </c>
      <c r="G450" s="92" t="str">
        <f>IF($AG450="","",IF(COUNTIFS(L_Sleutel,$S450,L_Status,"Vastgesteld")=0,0,_xlfn.MAXIFS(L_Revisie,L_Sleutel,$S450,L_Status,"Vastgesteld")+1))</f>
        <v/>
      </c>
      <c r="H450" s="108" t="str">
        <f>IF($AG450="","",P_Peildatum)</f>
        <v/>
      </c>
      <c r="I450" s="92" t="str">
        <f>IF($AG450="","",P_RJ+INDEX($AK$8:$AK$21,INDEX($AC$8:$AC$1407,$AG450)+1))</f>
        <v/>
      </c>
      <c r="J450" s="92" t="str">
        <f>IF($AG450="","",INDEX(V_WBS,INDEX($AB$8:$AB$1407,$AG450)))</f>
        <v/>
      </c>
      <c r="K450" s="92" t="str">
        <f>IF($AG450="","",INDEX(V_Projdef,INDEX($AB$8:$AB$1407,$AG450)))</f>
        <v/>
      </c>
      <c r="L450" s="92" t="str">
        <f>IF($AG450="","",INDEX(V_Naam,INDEX($AB$8:$AB$1407,$AG450)))</f>
        <v/>
      </c>
      <c r="M450" s="92" t="str">
        <f>IF($AG450="","",INDEX(V_Type,INDEX($AB$8:$AB$1407,$AG450)))</f>
        <v/>
      </c>
      <c r="N450" s="92" t="str">
        <f>IF($AG450="","",INDEX(V_IFRS,INDEX($AB$8:$AB$1407,$AG450)))</f>
        <v/>
      </c>
      <c r="O450" s="92" t="str">
        <f>IF($AG450="","",INDEX($AL$8:$AL$21,INDEX($AC$8:$AC$1407,$AG450)+1))</f>
        <v/>
      </c>
      <c r="P450" s="109" t="str">
        <f>IF($AG450="","",INDEX($AD$8:$AD$1407,$AG450))</f>
        <v/>
      </c>
      <c r="Q450" s="92" t="str">
        <f>IF($AG450="","",INDEX($AM$8:$AM$21,INDEX($AC$8:$AC$1407,$AG450)+1))</f>
        <v/>
      </c>
      <c r="R450" s="92" t="str">
        <f>IF($AG450="","",IF($G450&gt;0,P_ToelCorrectie&amp;"",""))</f>
        <v/>
      </c>
      <c r="S450" s="15" t="str">
        <f>IF(J450="","",J450&amp;"|"&amp;E450&amp;"|"&amp;F450&amp;"|"&amp;I450&amp;"|"&amp;O450)</f>
        <v/>
      </c>
      <c r="T450" s="111" t="str">
        <f>IF(S450="","",IF(COUNTIFS(L_Sleutel,S450,L_Actief,1)=0,"",SUMIFS(L_Waarde,L_Sleutel,S450,L_Actief,1)))</f>
        <v/>
      </c>
      <c r="U450" s="111">
        <f>IF(OR(S450="",T450=""),0,P450-T450)</f>
        <v>0</v>
      </c>
      <c r="AB450" s="112" t="n">
        <v>32</v>
      </c>
      <c r="AC450" s="112" t="n">
        <v>8</v>
      </c>
      <c r="AD450" s="112" t="str">
        <f>VERW_Project!BQ37</f>
        <v/>
      </c>
      <c r="AE450" s="112">
        <f>IF(AND(VERW_Project!$A37&lt;&gt;"",ISNUMBER(AD450)),1,0)</f>
        <v>0</v>
      </c>
      <c r="AF450" s="112" t="str">
        <f>IF(AE450=1,SUM($AE$8:AE450),"")</f>
        <v/>
      </c>
      <c r="AG450" t="str">
        <f>IFERROR(MATCH(443,$AF$8:$AF$1407,0),"")</f>
        <v/>
      </c>
    </row>
    <row r="451">
      <c r="A451" s="92" t="str">
        <f>IF($AG451="","",P_ImportID)</f>
        <v/>
      </c>
      <c r="B451" s="92" t="str">
        <f>IF($AG451="","",IF(INDEX($AN$8:$AN$21,INDEX($AC$8:$AC$1407,$AG451)+1)="Z",P_BronZ,P_BronE))</f>
        <v/>
      </c>
      <c r="C451" s="108" t="str">
        <f>IF($AG451="","",P_Importdatum)</f>
        <v/>
      </c>
      <c r="D451" s="92" t="str">
        <f>IF($AG451="","",P_StatusVastleg)</f>
        <v/>
      </c>
      <c r="E451" s="92" t="str">
        <f>IF($AG451="","",P_UploadVJ)</f>
        <v/>
      </c>
      <c r="F451" s="92" t="str">
        <f>IF($AG451="","",P_UploadVersie)</f>
        <v/>
      </c>
      <c r="G451" s="92" t="str">
        <f>IF($AG451="","",IF(COUNTIFS(L_Sleutel,$S451,L_Status,"Vastgesteld")=0,0,_xlfn.MAXIFS(L_Revisie,L_Sleutel,$S451,L_Status,"Vastgesteld")+1))</f>
        <v/>
      </c>
      <c r="H451" s="108" t="str">
        <f>IF($AG451="","",P_Peildatum)</f>
        <v/>
      </c>
      <c r="I451" s="92" t="str">
        <f>IF($AG451="","",P_RJ+INDEX($AK$8:$AK$21,INDEX($AC$8:$AC$1407,$AG451)+1))</f>
        <v/>
      </c>
      <c r="J451" s="92" t="str">
        <f>IF($AG451="","",INDEX(V_WBS,INDEX($AB$8:$AB$1407,$AG451)))</f>
        <v/>
      </c>
      <c r="K451" s="92" t="str">
        <f>IF($AG451="","",INDEX(V_Projdef,INDEX($AB$8:$AB$1407,$AG451)))</f>
        <v/>
      </c>
      <c r="L451" s="92" t="str">
        <f>IF($AG451="","",INDEX(V_Naam,INDEX($AB$8:$AB$1407,$AG451)))</f>
        <v/>
      </c>
      <c r="M451" s="92" t="str">
        <f>IF($AG451="","",INDEX(V_Type,INDEX($AB$8:$AB$1407,$AG451)))</f>
        <v/>
      </c>
      <c r="N451" s="92" t="str">
        <f>IF($AG451="","",INDEX(V_IFRS,INDEX($AB$8:$AB$1407,$AG451)))</f>
        <v/>
      </c>
      <c r="O451" s="92" t="str">
        <f>IF($AG451="","",INDEX($AL$8:$AL$21,INDEX($AC$8:$AC$1407,$AG451)+1))</f>
        <v/>
      </c>
      <c r="P451" s="109" t="str">
        <f>IF($AG451="","",INDEX($AD$8:$AD$1407,$AG451))</f>
        <v/>
      </c>
      <c r="Q451" s="92" t="str">
        <f>IF($AG451="","",INDEX($AM$8:$AM$21,INDEX($AC$8:$AC$1407,$AG451)+1))</f>
        <v/>
      </c>
      <c r="R451" s="92" t="str">
        <f>IF($AG451="","",IF($G451&gt;0,P_ToelCorrectie&amp;"",""))</f>
        <v/>
      </c>
      <c r="S451" s="15" t="str">
        <f>IF(J451="","",J451&amp;"|"&amp;E451&amp;"|"&amp;F451&amp;"|"&amp;I451&amp;"|"&amp;O451)</f>
        <v/>
      </c>
      <c r="T451" s="111" t="str">
        <f>IF(S451="","",IF(COUNTIFS(L_Sleutel,S451,L_Actief,1)=0,"",SUMIFS(L_Waarde,L_Sleutel,S451,L_Actief,1)))</f>
        <v/>
      </c>
      <c r="U451" s="111">
        <f>IF(OR(S451="",T451=""),0,P451-T451)</f>
        <v>0</v>
      </c>
      <c r="AB451" s="112" t="n">
        <v>32</v>
      </c>
      <c r="AC451" s="112" t="n">
        <v>9</v>
      </c>
      <c r="AD451" s="112" t="str">
        <f>VERW_Project!BR37</f>
        <v/>
      </c>
      <c r="AE451" s="112">
        <f>IF(AND(VERW_Project!$A37&lt;&gt;"",ISNUMBER(AD451)),1,0)</f>
        <v>0</v>
      </c>
      <c r="AF451" s="112" t="str">
        <f>IF(AE451=1,SUM($AE$8:AE451),"")</f>
        <v/>
      </c>
      <c r="AG451" t="str">
        <f>IFERROR(MATCH(444,$AF$8:$AF$1407,0),"")</f>
        <v/>
      </c>
    </row>
    <row r="452">
      <c r="A452" s="92" t="str">
        <f>IF($AG452="","",P_ImportID)</f>
        <v/>
      </c>
      <c r="B452" s="92" t="str">
        <f>IF($AG452="","",IF(INDEX($AN$8:$AN$21,INDEX($AC$8:$AC$1407,$AG452)+1)="Z",P_BronZ,P_BronE))</f>
        <v/>
      </c>
      <c r="C452" s="108" t="str">
        <f>IF($AG452="","",P_Importdatum)</f>
        <v/>
      </c>
      <c r="D452" s="92" t="str">
        <f>IF($AG452="","",P_StatusVastleg)</f>
        <v/>
      </c>
      <c r="E452" s="92" t="str">
        <f>IF($AG452="","",P_UploadVJ)</f>
        <v/>
      </c>
      <c r="F452" s="92" t="str">
        <f>IF($AG452="","",P_UploadVersie)</f>
        <v/>
      </c>
      <c r="G452" s="92" t="str">
        <f>IF($AG452="","",IF(COUNTIFS(L_Sleutel,$S452,L_Status,"Vastgesteld")=0,0,_xlfn.MAXIFS(L_Revisie,L_Sleutel,$S452,L_Status,"Vastgesteld")+1))</f>
        <v/>
      </c>
      <c r="H452" s="108" t="str">
        <f>IF($AG452="","",P_Peildatum)</f>
        <v/>
      </c>
      <c r="I452" s="92" t="str">
        <f>IF($AG452="","",P_RJ+INDEX($AK$8:$AK$21,INDEX($AC$8:$AC$1407,$AG452)+1))</f>
        <v/>
      </c>
      <c r="J452" s="92" t="str">
        <f>IF($AG452="","",INDEX(V_WBS,INDEX($AB$8:$AB$1407,$AG452)))</f>
        <v/>
      </c>
      <c r="K452" s="92" t="str">
        <f>IF($AG452="","",INDEX(V_Projdef,INDEX($AB$8:$AB$1407,$AG452)))</f>
        <v/>
      </c>
      <c r="L452" s="92" t="str">
        <f>IF($AG452="","",INDEX(V_Naam,INDEX($AB$8:$AB$1407,$AG452)))</f>
        <v/>
      </c>
      <c r="M452" s="92" t="str">
        <f>IF($AG452="","",INDEX(V_Type,INDEX($AB$8:$AB$1407,$AG452)))</f>
        <v/>
      </c>
      <c r="N452" s="92" t="str">
        <f>IF($AG452="","",INDEX(V_IFRS,INDEX($AB$8:$AB$1407,$AG452)))</f>
        <v/>
      </c>
      <c r="O452" s="92" t="str">
        <f>IF($AG452="","",INDEX($AL$8:$AL$21,INDEX($AC$8:$AC$1407,$AG452)+1))</f>
        <v/>
      </c>
      <c r="P452" s="109" t="str">
        <f>IF($AG452="","",INDEX($AD$8:$AD$1407,$AG452))</f>
        <v/>
      </c>
      <c r="Q452" s="92" t="str">
        <f>IF($AG452="","",INDEX($AM$8:$AM$21,INDEX($AC$8:$AC$1407,$AG452)+1))</f>
        <v/>
      </c>
      <c r="R452" s="92" t="str">
        <f>IF($AG452="","",IF($G452&gt;0,P_ToelCorrectie&amp;"",""))</f>
        <v/>
      </c>
      <c r="S452" s="15" t="str">
        <f>IF(J452="","",J452&amp;"|"&amp;E452&amp;"|"&amp;F452&amp;"|"&amp;I452&amp;"|"&amp;O452)</f>
        <v/>
      </c>
      <c r="T452" s="111" t="str">
        <f>IF(S452="","",IF(COUNTIFS(L_Sleutel,S452,L_Actief,1)=0,"",SUMIFS(L_Waarde,L_Sleutel,S452,L_Actief,1)))</f>
        <v/>
      </c>
      <c r="U452" s="111">
        <f>IF(OR(S452="",T452=""),0,P452-T452)</f>
        <v>0</v>
      </c>
      <c r="AB452" s="112" t="n">
        <v>32</v>
      </c>
      <c r="AC452" s="112" t="n">
        <v>10</v>
      </c>
      <c r="AD452" s="112" t="str">
        <f>VERW_Project!BS37</f>
        <v/>
      </c>
      <c r="AE452" s="112">
        <f>IF(AND(VERW_Project!$A37&lt;&gt;"",ISNUMBER(AD452)),1,0)</f>
        <v>0</v>
      </c>
      <c r="AF452" s="112" t="str">
        <f>IF(AE452=1,SUM($AE$8:AE452),"")</f>
        <v/>
      </c>
      <c r="AG452" t="str">
        <f>IFERROR(MATCH(445,$AF$8:$AF$1407,0),"")</f>
        <v/>
      </c>
    </row>
    <row r="453">
      <c r="A453" s="92" t="str">
        <f>IF($AG453="","",P_ImportID)</f>
        <v/>
      </c>
      <c r="B453" s="92" t="str">
        <f>IF($AG453="","",IF(INDEX($AN$8:$AN$21,INDEX($AC$8:$AC$1407,$AG453)+1)="Z",P_BronZ,P_BronE))</f>
        <v/>
      </c>
      <c r="C453" s="108" t="str">
        <f>IF($AG453="","",P_Importdatum)</f>
        <v/>
      </c>
      <c r="D453" s="92" t="str">
        <f>IF($AG453="","",P_StatusVastleg)</f>
        <v/>
      </c>
      <c r="E453" s="92" t="str">
        <f>IF($AG453="","",P_UploadVJ)</f>
        <v/>
      </c>
      <c r="F453" s="92" t="str">
        <f>IF($AG453="","",P_UploadVersie)</f>
        <v/>
      </c>
      <c r="G453" s="92" t="str">
        <f>IF($AG453="","",IF(COUNTIFS(L_Sleutel,$S453,L_Status,"Vastgesteld")=0,0,_xlfn.MAXIFS(L_Revisie,L_Sleutel,$S453,L_Status,"Vastgesteld")+1))</f>
        <v/>
      </c>
      <c r="H453" s="108" t="str">
        <f>IF($AG453="","",P_Peildatum)</f>
        <v/>
      </c>
      <c r="I453" s="92" t="str">
        <f>IF($AG453="","",P_RJ+INDEX($AK$8:$AK$21,INDEX($AC$8:$AC$1407,$AG453)+1))</f>
        <v/>
      </c>
      <c r="J453" s="92" t="str">
        <f>IF($AG453="","",INDEX(V_WBS,INDEX($AB$8:$AB$1407,$AG453)))</f>
        <v/>
      </c>
      <c r="K453" s="92" t="str">
        <f>IF($AG453="","",INDEX(V_Projdef,INDEX($AB$8:$AB$1407,$AG453)))</f>
        <v/>
      </c>
      <c r="L453" s="92" t="str">
        <f>IF($AG453="","",INDEX(V_Naam,INDEX($AB$8:$AB$1407,$AG453)))</f>
        <v/>
      </c>
      <c r="M453" s="92" t="str">
        <f>IF($AG453="","",INDEX(V_Type,INDEX($AB$8:$AB$1407,$AG453)))</f>
        <v/>
      </c>
      <c r="N453" s="92" t="str">
        <f>IF($AG453="","",INDEX(V_IFRS,INDEX($AB$8:$AB$1407,$AG453)))</f>
        <v/>
      </c>
      <c r="O453" s="92" t="str">
        <f>IF($AG453="","",INDEX($AL$8:$AL$21,INDEX($AC$8:$AC$1407,$AG453)+1))</f>
        <v/>
      </c>
      <c r="P453" s="109" t="str">
        <f>IF($AG453="","",INDEX($AD$8:$AD$1407,$AG453))</f>
        <v/>
      </c>
      <c r="Q453" s="92" t="str">
        <f>IF($AG453="","",INDEX($AM$8:$AM$21,INDEX($AC$8:$AC$1407,$AG453)+1))</f>
        <v/>
      </c>
      <c r="R453" s="92" t="str">
        <f>IF($AG453="","",IF($G453&gt;0,P_ToelCorrectie&amp;"",""))</f>
        <v/>
      </c>
      <c r="S453" s="15" t="str">
        <f>IF(J453="","",J453&amp;"|"&amp;E453&amp;"|"&amp;F453&amp;"|"&amp;I453&amp;"|"&amp;O453)</f>
        <v/>
      </c>
      <c r="T453" s="111" t="str">
        <f>IF(S453="","",IF(COUNTIFS(L_Sleutel,S453,L_Actief,1)=0,"",SUMIFS(L_Waarde,L_Sleutel,S453,L_Actief,1)))</f>
        <v/>
      </c>
      <c r="U453" s="111">
        <f>IF(OR(S453="",T453=""),0,P453-T453)</f>
        <v>0</v>
      </c>
      <c r="AB453" s="112" t="n">
        <v>32</v>
      </c>
      <c r="AC453" s="112" t="n">
        <v>11</v>
      </c>
      <c r="AD453" s="112" t="str">
        <f>VERW_Project!BT37</f>
        <v/>
      </c>
      <c r="AE453" s="112">
        <f>IF(AND(VERW_Project!$A37&lt;&gt;"",ISNUMBER(AD453)),1,0)</f>
        <v>0</v>
      </c>
      <c r="AF453" s="112" t="str">
        <f>IF(AE453=1,SUM($AE$8:AE453),"")</f>
        <v/>
      </c>
      <c r="AG453" t="str">
        <f>IFERROR(MATCH(446,$AF$8:$AF$1407,0),"")</f>
        <v/>
      </c>
    </row>
    <row r="454">
      <c r="A454" s="92" t="str">
        <f>IF($AG454="","",P_ImportID)</f>
        <v/>
      </c>
      <c r="B454" s="92" t="str">
        <f>IF($AG454="","",IF(INDEX($AN$8:$AN$21,INDEX($AC$8:$AC$1407,$AG454)+1)="Z",P_BronZ,P_BronE))</f>
        <v/>
      </c>
      <c r="C454" s="108" t="str">
        <f>IF($AG454="","",P_Importdatum)</f>
        <v/>
      </c>
      <c r="D454" s="92" t="str">
        <f>IF($AG454="","",P_StatusVastleg)</f>
        <v/>
      </c>
      <c r="E454" s="92" t="str">
        <f>IF($AG454="","",P_UploadVJ)</f>
        <v/>
      </c>
      <c r="F454" s="92" t="str">
        <f>IF($AG454="","",P_UploadVersie)</f>
        <v/>
      </c>
      <c r="G454" s="92" t="str">
        <f>IF($AG454="","",IF(COUNTIFS(L_Sleutel,$S454,L_Status,"Vastgesteld")=0,0,_xlfn.MAXIFS(L_Revisie,L_Sleutel,$S454,L_Status,"Vastgesteld")+1))</f>
        <v/>
      </c>
      <c r="H454" s="108" t="str">
        <f>IF($AG454="","",P_Peildatum)</f>
        <v/>
      </c>
      <c r="I454" s="92" t="str">
        <f>IF($AG454="","",P_RJ+INDEX($AK$8:$AK$21,INDEX($AC$8:$AC$1407,$AG454)+1))</f>
        <v/>
      </c>
      <c r="J454" s="92" t="str">
        <f>IF($AG454="","",INDEX(V_WBS,INDEX($AB$8:$AB$1407,$AG454)))</f>
        <v/>
      </c>
      <c r="K454" s="92" t="str">
        <f>IF($AG454="","",INDEX(V_Projdef,INDEX($AB$8:$AB$1407,$AG454)))</f>
        <v/>
      </c>
      <c r="L454" s="92" t="str">
        <f>IF($AG454="","",INDEX(V_Naam,INDEX($AB$8:$AB$1407,$AG454)))</f>
        <v/>
      </c>
      <c r="M454" s="92" t="str">
        <f>IF($AG454="","",INDEX(V_Type,INDEX($AB$8:$AB$1407,$AG454)))</f>
        <v/>
      </c>
      <c r="N454" s="92" t="str">
        <f>IF($AG454="","",INDEX(V_IFRS,INDEX($AB$8:$AB$1407,$AG454)))</f>
        <v/>
      </c>
      <c r="O454" s="92" t="str">
        <f>IF($AG454="","",INDEX($AL$8:$AL$21,INDEX($AC$8:$AC$1407,$AG454)+1))</f>
        <v/>
      </c>
      <c r="P454" s="109" t="str">
        <f>IF($AG454="","",INDEX($AD$8:$AD$1407,$AG454))</f>
        <v/>
      </c>
      <c r="Q454" s="92" t="str">
        <f>IF($AG454="","",INDEX($AM$8:$AM$21,INDEX($AC$8:$AC$1407,$AG454)+1))</f>
        <v/>
      </c>
      <c r="R454" s="92" t="str">
        <f>IF($AG454="","",IF($G454&gt;0,P_ToelCorrectie&amp;"",""))</f>
        <v/>
      </c>
      <c r="S454" s="15" t="str">
        <f>IF(J454="","",J454&amp;"|"&amp;E454&amp;"|"&amp;F454&amp;"|"&amp;I454&amp;"|"&amp;O454)</f>
        <v/>
      </c>
      <c r="T454" s="111" t="str">
        <f>IF(S454="","",IF(COUNTIFS(L_Sleutel,S454,L_Actief,1)=0,"",SUMIFS(L_Waarde,L_Sleutel,S454,L_Actief,1)))</f>
        <v/>
      </c>
      <c r="U454" s="111">
        <f>IF(OR(S454="",T454=""),0,P454-T454)</f>
        <v>0</v>
      </c>
      <c r="AB454" s="112" t="n">
        <v>32</v>
      </c>
      <c r="AC454" s="112" t="n">
        <v>12</v>
      </c>
      <c r="AD454" s="112" t="str">
        <f>VERW_Project!BU37</f>
        <v/>
      </c>
      <c r="AE454" s="112">
        <f>IF(AND(VERW_Project!$A37&lt;&gt;"",ISNUMBER(AD454)),1,0)</f>
        <v>0</v>
      </c>
      <c r="AF454" s="112" t="str">
        <f>IF(AE454=1,SUM($AE$8:AE454),"")</f>
        <v/>
      </c>
      <c r="AG454" t="str">
        <f>IFERROR(MATCH(447,$AF$8:$AF$1407,0),"")</f>
        <v/>
      </c>
    </row>
    <row r="455">
      <c r="A455" s="92" t="str">
        <f>IF($AG455="","",P_ImportID)</f>
        <v/>
      </c>
      <c r="B455" s="92" t="str">
        <f>IF($AG455="","",IF(INDEX($AN$8:$AN$21,INDEX($AC$8:$AC$1407,$AG455)+1)="Z",P_BronZ,P_BronE))</f>
        <v/>
      </c>
      <c r="C455" s="108" t="str">
        <f>IF($AG455="","",P_Importdatum)</f>
        <v/>
      </c>
      <c r="D455" s="92" t="str">
        <f>IF($AG455="","",P_StatusVastleg)</f>
        <v/>
      </c>
      <c r="E455" s="92" t="str">
        <f>IF($AG455="","",P_UploadVJ)</f>
        <v/>
      </c>
      <c r="F455" s="92" t="str">
        <f>IF($AG455="","",P_UploadVersie)</f>
        <v/>
      </c>
      <c r="G455" s="92" t="str">
        <f>IF($AG455="","",IF(COUNTIFS(L_Sleutel,$S455,L_Status,"Vastgesteld")=0,0,_xlfn.MAXIFS(L_Revisie,L_Sleutel,$S455,L_Status,"Vastgesteld")+1))</f>
        <v/>
      </c>
      <c r="H455" s="108" t="str">
        <f>IF($AG455="","",P_Peildatum)</f>
        <v/>
      </c>
      <c r="I455" s="92" t="str">
        <f>IF($AG455="","",P_RJ+INDEX($AK$8:$AK$21,INDEX($AC$8:$AC$1407,$AG455)+1))</f>
        <v/>
      </c>
      <c r="J455" s="92" t="str">
        <f>IF($AG455="","",INDEX(V_WBS,INDEX($AB$8:$AB$1407,$AG455)))</f>
        <v/>
      </c>
      <c r="K455" s="92" t="str">
        <f>IF($AG455="","",INDEX(V_Projdef,INDEX($AB$8:$AB$1407,$AG455)))</f>
        <v/>
      </c>
      <c r="L455" s="92" t="str">
        <f>IF($AG455="","",INDEX(V_Naam,INDEX($AB$8:$AB$1407,$AG455)))</f>
        <v/>
      </c>
      <c r="M455" s="92" t="str">
        <f>IF($AG455="","",INDEX(V_Type,INDEX($AB$8:$AB$1407,$AG455)))</f>
        <v/>
      </c>
      <c r="N455" s="92" t="str">
        <f>IF($AG455="","",INDEX(V_IFRS,INDEX($AB$8:$AB$1407,$AG455)))</f>
        <v/>
      </c>
      <c r="O455" s="92" t="str">
        <f>IF($AG455="","",INDEX($AL$8:$AL$21,INDEX($AC$8:$AC$1407,$AG455)+1))</f>
        <v/>
      </c>
      <c r="P455" s="109" t="str">
        <f>IF($AG455="","",INDEX($AD$8:$AD$1407,$AG455))</f>
        <v/>
      </c>
      <c r="Q455" s="92" t="str">
        <f>IF($AG455="","",INDEX($AM$8:$AM$21,INDEX($AC$8:$AC$1407,$AG455)+1))</f>
        <v/>
      </c>
      <c r="R455" s="92" t="str">
        <f>IF($AG455="","",IF($G455&gt;0,P_ToelCorrectie&amp;"",""))</f>
        <v/>
      </c>
      <c r="S455" s="15" t="str">
        <f>IF(J455="","",J455&amp;"|"&amp;E455&amp;"|"&amp;F455&amp;"|"&amp;I455&amp;"|"&amp;O455)</f>
        <v/>
      </c>
      <c r="T455" s="111" t="str">
        <f>IF(S455="","",IF(COUNTIFS(L_Sleutel,S455,L_Actief,1)=0,"",SUMIFS(L_Waarde,L_Sleutel,S455,L_Actief,1)))</f>
        <v/>
      </c>
      <c r="U455" s="111">
        <f>IF(OR(S455="",T455=""),0,P455-T455)</f>
        <v>0</v>
      </c>
      <c r="AB455" s="112" t="n">
        <v>32</v>
      </c>
      <c r="AC455" s="112" t="n">
        <v>13</v>
      </c>
      <c r="AD455" s="112" t="str">
        <f>VERW_Project!BX37</f>
        <v/>
      </c>
      <c r="AE455" s="112">
        <f>IF(AND(VERW_Project!$A37&lt;&gt;"",ISNUMBER(AD455)),1,0)</f>
        <v>0</v>
      </c>
      <c r="AF455" s="112" t="str">
        <f>IF(AE455=1,SUM($AE$8:AE455),"")</f>
        <v/>
      </c>
      <c r="AG455" t="str">
        <f>IFERROR(MATCH(448,$AF$8:$AF$1407,0),"")</f>
        <v/>
      </c>
    </row>
    <row r="456">
      <c r="A456" s="92" t="str">
        <f>IF($AG456="","",P_ImportID)</f>
        <v/>
      </c>
      <c r="B456" s="92" t="str">
        <f>IF($AG456="","",IF(INDEX($AN$8:$AN$21,INDEX($AC$8:$AC$1407,$AG456)+1)="Z",P_BronZ,P_BronE))</f>
        <v/>
      </c>
      <c r="C456" s="108" t="str">
        <f>IF($AG456="","",P_Importdatum)</f>
        <v/>
      </c>
      <c r="D456" s="92" t="str">
        <f>IF($AG456="","",P_StatusVastleg)</f>
        <v/>
      </c>
      <c r="E456" s="92" t="str">
        <f>IF($AG456="","",P_UploadVJ)</f>
        <v/>
      </c>
      <c r="F456" s="92" t="str">
        <f>IF($AG456="","",P_UploadVersie)</f>
        <v/>
      </c>
      <c r="G456" s="92" t="str">
        <f>IF($AG456="","",IF(COUNTIFS(L_Sleutel,$S456,L_Status,"Vastgesteld")=0,0,_xlfn.MAXIFS(L_Revisie,L_Sleutel,$S456,L_Status,"Vastgesteld")+1))</f>
        <v/>
      </c>
      <c r="H456" s="108" t="str">
        <f>IF($AG456="","",P_Peildatum)</f>
        <v/>
      </c>
      <c r="I456" s="92" t="str">
        <f>IF($AG456="","",P_RJ+INDEX($AK$8:$AK$21,INDEX($AC$8:$AC$1407,$AG456)+1))</f>
        <v/>
      </c>
      <c r="J456" s="92" t="str">
        <f>IF($AG456="","",INDEX(V_WBS,INDEX($AB$8:$AB$1407,$AG456)))</f>
        <v/>
      </c>
      <c r="K456" s="92" t="str">
        <f>IF($AG456="","",INDEX(V_Projdef,INDEX($AB$8:$AB$1407,$AG456)))</f>
        <v/>
      </c>
      <c r="L456" s="92" t="str">
        <f>IF($AG456="","",INDEX(V_Naam,INDEX($AB$8:$AB$1407,$AG456)))</f>
        <v/>
      </c>
      <c r="M456" s="92" t="str">
        <f>IF($AG456="","",INDEX(V_Type,INDEX($AB$8:$AB$1407,$AG456)))</f>
        <v/>
      </c>
      <c r="N456" s="92" t="str">
        <f>IF($AG456="","",INDEX(V_IFRS,INDEX($AB$8:$AB$1407,$AG456)))</f>
        <v/>
      </c>
      <c r="O456" s="92" t="str">
        <f>IF($AG456="","",INDEX($AL$8:$AL$21,INDEX($AC$8:$AC$1407,$AG456)+1))</f>
        <v/>
      </c>
      <c r="P456" s="109" t="str">
        <f>IF($AG456="","",INDEX($AD$8:$AD$1407,$AG456))</f>
        <v/>
      </c>
      <c r="Q456" s="92" t="str">
        <f>IF($AG456="","",INDEX($AM$8:$AM$21,INDEX($AC$8:$AC$1407,$AG456)+1))</f>
        <v/>
      </c>
      <c r="R456" s="92" t="str">
        <f>IF($AG456="","",IF($G456&gt;0,P_ToelCorrectie&amp;"",""))</f>
        <v/>
      </c>
      <c r="S456" s="15" t="str">
        <f>IF(J456="","",J456&amp;"|"&amp;E456&amp;"|"&amp;F456&amp;"|"&amp;I456&amp;"|"&amp;O456)</f>
        <v/>
      </c>
      <c r="T456" s="111" t="str">
        <f>IF(S456="","",IF(COUNTIFS(L_Sleutel,S456,L_Actief,1)=0,"",SUMIFS(L_Waarde,L_Sleutel,S456,L_Actief,1)))</f>
        <v/>
      </c>
      <c r="U456" s="111">
        <f>IF(OR(S456="",T456=""),0,P456-T456)</f>
        <v>0</v>
      </c>
      <c r="AB456" s="112" t="n">
        <v>33</v>
      </c>
      <c r="AC456" s="112" t="n">
        <v>0</v>
      </c>
      <c r="AD456" s="112" t="str">
        <f>VERW_Project!P38</f>
        <v/>
      </c>
      <c r="AE456" s="112">
        <f>IF(AND(VERW_Project!$A38&lt;&gt;"",ISNUMBER(AD456)),1,0)</f>
        <v>0</v>
      </c>
      <c r="AF456" s="112" t="str">
        <f>IF(AE456=1,SUM($AE$8:AE456),"")</f>
        <v/>
      </c>
      <c r="AG456" t="str">
        <f>IFERROR(MATCH(449,$AF$8:$AF$1407,0),"")</f>
        <v/>
      </c>
    </row>
    <row r="457">
      <c r="A457" s="92" t="str">
        <f>IF($AG457="","",P_ImportID)</f>
        <v/>
      </c>
      <c r="B457" s="92" t="str">
        <f>IF($AG457="","",IF(INDEX($AN$8:$AN$21,INDEX($AC$8:$AC$1407,$AG457)+1)="Z",P_BronZ,P_BronE))</f>
        <v/>
      </c>
      <c r="C457" s="108" t="str">
        <f>IF($AG457="","",P_Importdatum)</f>
        <v/>
      </c>
      <c r="D457" s="92" t="str">
        <f>IF($AG457="","",P_StatusVastleg)</f>
        <v/>
      </c>
      <c r="E457" s="92" t="str">
        <f>IF($AG457="","",P_UploadVJ)</f>
        <v/>
      </c>
      <c r="F457" s="92" t="str">
        <f>IF($AG457="","",P_UploadVersie)</f>
        <v/>
      </c>
      <c r="G457" s="92" t="str">
        <f>IF($AG457="","",IF(COUNTIFS(L_Sleutel,$S457,L_Status,"Vastgesteld")=0,0,_xlfn.MAXIFS(L_Revisie,L_Sleutel,$S457,L_Status,"Vastgesteld")+1))</f>
        <v/>
      </c>
      <c r="H457" s="108" t="str">
        <f>IF($AG457="","",P_Peildatum)</f>
        <v/>
      </c>
      <c r="I457" s="92" t="str">
        <f>IF($AG457="","",P_RJ+INDEX($AK$8:$AK$21,INDEX($AC$8:$AC$1407,$AG457)+1))</f>
        <v/>
      </c>
      <c r="J457" s="92" t="str">
        <f>IF($AG457="","",INDEX(V_WBS,INDEX($AB$8:$AB$1407,$AG457)))</f>
        <v/>
      </c>
      <c r="K457" s="92" t="str">
        <f>IF($AG457="","",INDEX(V_Projdef,INDEX($AB$8:$AB$1407,$AG457)))</f>
        <v/>
      </c>
      <c r="L457" s="92" t="str">
        <f>IF($AG457="","",INDEX(V_Naam,INDEX($AB$8:$AB$1407,$AG457)))</f>
        <v/>
      </c>
      <c r="M457" s="92" t="str">
        <f>IF($AG457="","",INDEX(V_Type,INDEX($AB$8:$AB$1407,$AG457)))</f>
        <v/>
      </c>
      <c r="N457" s="92" t="str">
        <f>IF($AG457="","",INDEX(V_IFRS,INDEX($AB$8:$AB$1407,$AG457)))</f>
        <v/>
      </c>
      <c r="O457" s="92" t="str">
        <f>IF($AG457="","",INDEX($AL$8:$AL$21,INDEX($AC$8:$AC$1407,$AG457)+1))</f>
        <v/>
      </c>
      <c r="P457" s="109" t="str">
        <f>IF($AG457="","",INDEX($AD$8:$AD$1407,$AG457))</f>
        <v/>
      </c>
      <c r="Q457" s="92" t="str">
        <f>IF($AG457="","",INDEX($AM$8:$AM$21,INDEX($AC$8:$AC$1407,$AG457)+1))</f>
        <v/>
      </c>
      <c r="R457" s="92" t="str">
        <f>IF($AG457="","",IF($G457&gt;0,P_ToelCorrectie&amp;"",""))</f>
        <v/>
      </c>
      <c r="S457" s="15" t="str">
        <f>IF(J457="","",J457&amp;"|"&amp;E457&amp;"|"&amp;F457&amp;"|"&amp;I457&amp;"|"&amp;O457)</f>
        <v/>
      </c>
      <c r="T457" s="111" t="str">
        <f>IF(S457="","",IF(COUNTIFS(L_Sleutel,S457,L_Actief,1)=0,"",SUMIFS(L_Waarde,L_Sleutel,S457,L_Actief,1)))</f>
        <v/>
      </c>
      <c r="U457" s="111">
        <f>IF(OR(S457="",T457=""),0,P457-T457)</f>
        <v>0</v>
      </c>
      <c r="AB457" s="112" t="n">
        <v>33</v>
      </c>
      <c r="AC457" s="112" t="n">
        <v>1</v>
      </c>
      <c r="AD457" s="112" t="str">
        <f>VERW_Project!Q38</f>
        <v/>
      </c>
      <c r="AE457" s="112">
        <f>IF(AND(VERW_Project!$A38&lt;&gt;"",ISNUMBER(AD457)),1,0)</f>
        <v>0</v>
      </c>
      <c r="AF457" s="112" t="str">
        <f>IF(AE457=1,SUM($AE$8:AE457),"")</f>
        <v/>
      </c>
      <c r="AG457" t="str">
        <f>IFERROR(MATCH(450,$AF$8:$AF$1407,0),"")</f>
        <v/>
      </c>
    </row>
    <row r="458">
      <c r="A458" s="92" t="str">
        <f>IF($AG458="","",P_ImportID)</f>
        <v/>
      </c>
      <c r="B458" s="92" t="str">
        <f>IF($AG458="","",IF(INDEX($AN$8:$AN$21,INDEX($AC$8:$AC$1407,$AG458)+1)="Z",P_BronZ,P_BronE))</f>
        <v/>
      </c>
      <c r="C458" s="108" t="str">
        <f>IF($AG458="","",P_Importdatum)</f>
        <v/>
      </c>
      <c r="D458" s="92" t="str">
        <f>IF($AG458="","",P_StatusVastleg)</f>
        <v/>
      </c>
      <c r="E458" s="92" t="str">
        <f>IF($AG458="","",P_UploadVJ)</f>
        <v/>
      </c>
      <c r="F458" s="92" t="str">
        <f>IF($AG458="","",P_UploadVersie)</f>
        <v/>
      </c>
      <c r="G458" s="92" t="str">
        <f>IF($AG458="","",IF(COUNTIFS(L_Sleutel,$S458,L_Status,"Vastgesteld")=0,0,_xlfn.MAXIFS(L_Revisie,L_Sleutel,$S458,L_Status,"Vastgesteld")+1))</f>
        <v/>
      </c>
      <c r="H458" s="108" t="str">
        <f>IF($AG458="","",P_Peildatum)</f>
        <v/>
      </c>
      <c r="I458" s="92" t="str">
        <f>IF($AG458="","",P_RJ+INDEX($AK$8:$AK$21,INDEX($AC$8:$AC$1407,$AG458)+1))</f>
        <v/>
      </c>
      <c r="J458" s="92" t="str">
        <f>IF($AG458="","",INDEX(V_WBS,INDEX($AB$8:$AB$1407,$AG458)))</f>
        <v/>
      </c>
      <c r="K458" s="92" t="str">
        <f>IF($AG458="","",INDEX(V_Projdef,INDEX($AB$8:$AB$1407,$AG458)))</f>
        <v/>
      </c>
      <c r="L458" s="92" t="str">
        <f>IF($AG458="","",INDEX(V_Naam,INDEX($AB$8:$AB$1407,$AG458)))</f>
        <v/>
      </c>
      <c r="M458" s="92" t="str">
        <f>IF($AG458="","",INDEX(V_Type,INDEX($AB$8:$AB$1407,$AG458)))</f>
        <v/>
      </c>
      <c r="N458" s="92" t="str">
        <f>IF($AG458="","",INDEX(V_IFRS,INDEX($AB$8:$AB$1407,$AG458)))</f>
        <v/>
      </c>
      <c r="O458" s="92" t="str">
        <f>IF($AG458="","",INDEX($AL$8:$AL$21,INDEX($AC$8:$AC$1407,$AG458)+1))</f>
        <v/>
      </c>
      <c r="P458" s="109" t="str">
        <f>IF($AG458="","",INDEX($AD$8:$AD$1407,$AG458))</f>
        <v/>
      </c>
      <c r="Q458" s="92" t="str">
        <f>IF($AG458="","",INDEX($AM$8:$AM$21,INDEX($AC$8:$AC$1407,$AG458)+1))</f>
        <v/>
      </c>
      <c r="R458" s="92" t="str">
        <f>IF($AG458="","",IF($G458&gt;0,P_ToelCorrectie&amp;"",""))</f>
        <v/>
      </c>
      <c r="S458" s="15" t="str">
        <f>IF(J458="","",J458&amp;"|"&amp;E458&amp;"|"&amp;F458&amp;"|"&amp;I458&amp;"|"&amp;O458)</f>
        <v/>
      </c>
      <c r="T458" s="111" t="str">
        <f>IF(S458="","",IF(COUNTIFS(L_Sleutel,S458,L_Actief,1)=0,"",SUMIFS(L_Waarde,L_Sleutel,S458,L_Actief,1)))</f>
        <v/>
      </c>
      <c r="U458" s="111">
        <f>IF(OR(S458="",T458=""),0,P458-T458)</f>
        <v>0</v>
      </c>
      <c r="AB458" s="112" t="n">
        <v>33</v>
      </c>
      <c r="AC458" s="112" t="n">
        <v>2</v>
      </c>
      <c r="AD458" s="112" t="str">
        <f>VERW_Project!L38</f>
        <v/>
      </c>
      <c r="AE458" s="112">
        <f>IF(AND(VERW_Project!$A38&lt;&gt;"",ISNUMBER(AD458)),1,0)</f>
        <v>0</v>
      </c>
      <c r="AF458" s="112" t="str">
        <f>IF(AE458=1,SUM($AE$8:AE458),"")</f>
        <v/>
      </c>
      <c r="AG458" t="str">
        <f>IFERROR(MATCH(451,$AF$8:$AF$1407,0),"")</f>
        <v/>
      </c>
    </row>
    <row r="459">
      <c r="A459" s="92" t="str">
        <f>IF($AG459="","",P_ImportID)</f>
        <v/>
      </c>
      <c r="B459" s="92" t="str">
        <f>IF($AG459="","",IF(INDEX($AN$8:$AN$21,INDEX($AC$8:$AC$1407,$AG459)+1)="Z",P_BronZ,P_BronE))</f>
        <v/>
      </c>
      <c r="C459" s="108" t="str">
        <f>IF($AG459="","",P_Importdatum)</f>
        <v/>
      </c>
      <c r="D459" s="92" t="str">
        <f>IF($AG459="","",P_StatusVastleg)</f>
        <v/>
      </c>
      <c r="E459" s="92" t="str">
        <f>IF($AG459="","",P_UploadVJ)</f>
        <v/>
      </c>
      <c r="F459" s="92" t="str">
        <f>IF($AG459="","",P_UploadVersie)</f>
        <v/>
      </c>
      <c r="G459" s="92" t="str">
        <f>IF($AG459="","",IF(COUNTIFS(L_Sleutel,$S459,L_Status,"Vastgesteld")=0,0,_xlfn.MAXIFS(L_Revisie,L_Sleutel,$S459,L_Status,"Vastgesteld")+1))</f>
        <v/>
      </c>
      <c r="H459" s="108" t="str">
        <f>IF($AG459="","",P_Peildatum)</f>
        <v/>
      </c>
      <c r="I459" s="92" t="str">
        <f>IF($AG459="","",P_RJ+INDEX($AK$8:$AK$21,INDEX($AC$8:$AC$1407,$AG459)+1))</f>
        <v/>
      </c>
      <c r="J459" s="92" t="str">
        <f>IF($AG459="","",INDEX(V_WBS,INDEX($AB$8:$AB$1407,$AG459)))</f>
        <v/>
      </c>
      <c r="K459" s="92" t="str">
        <f>IF($AG459="","",INDEX(V_Projdef,INDEX($AB$8:$AB$1407,$AG459)))</f>
        <v/>
      </c>
      <c r="L459" s="92" t="str">
        <f>IF($AG459="","",INDEX(V_Naam,INDEX($AB$8:$AB$1407,$AG459)))</f>
        <v/>
      </c>
      <c r="M459" s="92" t="str">
        <f>IF($AG459="","",INDEX(V_Type,INDEX($AB$8:$AB$1407,$AG459)))</f>
        <v/>
      </c>
      <c r="N459" s="92" t="str">
        <f>IF($AG459="","",INDEX(V_IFRS,INDEX($AB$8:$AB$1407,$AG459)))</f>
        <v/>
      </c>
      <c r="O459" s="92" t="str">
        <f>IF($AG459="","",INDEX($AL$8:$AL$21,INDEX($AC$8:$AC$1407,$AG459)+1))</f>
        <v/>
      </c>
      <c r="P459" s="109" t="str">
        <f>IF($AG459="","",INDEX($AD$8:$AD$1407,$AG459))</f>
        <v/>
      </c>
      <c r="Q459" s="92" t="str">
        <f>IF($AG459="","",INDEX($AM$8:$AM$21,INDEX($AC$8:$AC$1407,$AG459)+1))</f>
        <v/>
      </c>
      <c r="R459" s="92" t="str">
        <f>IF($AG459="","",IF($G459&gt;0,P_ToelCorrectie&amp;"",""))</f>
        <v/>
      </c>
      <c r="S459" s="15" t="str">
        <f>IF(J459="","",J459&amp;"|"&amp;E459&amp;"|"&amp;F459&amp;"|"&amp;I459&amp;"|"&amp;O459)</f>
        <v/>
      </c>
      <c r="T459" s="111" t="str">
        <f>IF(S459="","",IF(COUNTIFS(L_Sleutel,S459,L_Actief,1)=0,"",SUMIFS(L_Waarde,L_Sleutel,S459,L_Actief,1)))</f>
        <v/>
      </c>
      <c r="U459" s="111">
        <f>IF(OR(S459="",T459=""),0,P459-T459)</f>
        <v>0</v>
      </c>
      <c r="AB459" s="112" t="n">
        <v>33</v>
      </c>
      <c r="AC459" s="112" t="n">
        <v>3</v>
      </c>
      <c r="AD459" s="112" t="str">
        <f>VERW_Project!M38</f>
        <v/>
      </c>
      <c r="AE459" s="112">
        <f>IF(AND(VERW_Project!$A38&lt;&gt;"",ISNUMBER(AD459)),1,0)</f>
        <v>0</v>
      </c>
      <c r="AF459" s="112" t="str">
        <f>IF(AE459=1,SUM($AE$8:AE459),"")</f>
        <v/>
      </c>
      <c r="AG459" t="str">
        <f>IFERROR(MATCH(452,$AF$8:$AF$1407,0),"")</f>
        <v/>
      </c>
    </row>
    <row r="460">
      <c r="A460" s="92" t="str">
        <f>IF($AG460="","",P_ImportID)</f>
        <v/>
      </c>
      <c r="B460" s="92" t="str">
        <f>IF($AG460="","",IF(INDEX($AN$8:$AN$21,INDEX($AC$8:$AC$1407,$AG460)+1)="Z",P_BronZ,P_BronE))</f>
        <v/>
      </c>
      <c r="C460" s="108" t="str">
        <f>IF($AG460="","",P_Importdatum)</f>
        <v/>
      </c>
      <c r="D460" s="92" t="str">
        <f>IF($AG460="","",P_StatusVastleg)</f>
        <v/>
      </c>
      <c r="E460" s="92" t="str">
        <f>IF($AG460="","",P_UploadVJ)</f>
        <v/>
      </c>
      <c r="F460" s="92" t="str">
        <f>IF($AG460="","",P_UploadVersie)</f>
        <v/>
      </c>
      <c r="G460" s="92" t="str">
        <f>IF($AG460="","",IF(COUNTIFS(L_Sleutel,$S460,L_Status,"Vastgesteld")=0,0,_xlfn.MAXIFS(L_Revisie,L_Sleutel,$S460,L_Status,"Vastgesteld")+1))</f>
        <v/>
      </c>
      <c r="H460" s="108" t="str">
        <f>IF($AG460="","",P_Peildatum)</f>
        <v/>
      </c>
      <c r="I460" s="92" t="str">
        <f>IF($AG460="","",P_RJ+INDEX($AK$8:$AK$21,INDEX($AC$8:$AC$1407,$AG460)+1))</f>
        <v/>
      </c>
      <c r="J460" s="92" t="str">
        <f>IF($AG460="","",INDEX(V_WBS,INDEX($AB$8:$AB$1407,$AG460)))</f>
        <v/>
      </c>
      <c r="K460" s="92" t="str">
        <f>IF($AG460="","",INDEX(V_Projdef,INDEX($AB$8:$AB$1407,$AG460)))</f>
        <v/>
      </c>
      <c r="L460" s="92" t="str">
        <f>IF($AG460="","",INDEX(V_Naam,INDEX($AB$8:$AB$1407,$AG460)))</f>
        <v/>
      </c>
      <c r="M460" s="92" t="str">
        <f>IF($AG460="","",INDEX(V_Type,INDEX($AB$8:$AB$1407,$AG460)))</f>
        <v/>
      </c>
      <c r="N460" s="92" t="str">
        <f>IF($AG460="","",INDEX(V_IFRS,INDEX($AB$8:$AB$1407,$AG460)))</f>
        <v/>
      </c>
      <c r="O460" s="92" t="str">
        <f>IF($AG460="","",INDEX($AL$8:$AL$21,INDEX($AC$8:$AC$1407,$AG460)+1))</f>
        <v/>
      </c>
      <c r="P460" s="109" t="str">
        <f>IF($AG460="","",INDEX($AD$8:$AD$1407,$AG460))</f>
        <v/>
      </c>
      <c r="Q460" s="92" t="str">
        <f>IF($AG460="","",INDEX($AM$8:$AM$21,INDEX($AC$8:$AC$1407,$AG460)+1))</f>
        <v/>
      </c>
      <c r="R460" s="92" t="str">
        <f>IF($AG460="","",IF($G460&gt;0,P_ToelCorrectie&amp;"",""))</f>
        <v/>
      </c>
      <c r="S460" s="15" t="str">
        <f>IF(J460="","",J460&amp;"|"&amp;E460&amp;"|"&amp;F460&amp;"|"&amp;I460&amp;"|"&amp;O460)</f>
        <v/>
      </c>
      <c r="T460" s="111" t="str">
        <f>IF(S460="","",IF(COUNTIFS(L_Sleutel,S460,L_Actief,1)=0,"",SUMIFS(L_Waarde,L_Sleutel,S460,L_Actief,1)))</f>
        <v/>
      </c>
      <c r="U460" s="111">
        <f>IF(OR(S460="",T460=""),0,P460-T460)</f>
        <v>0</v>
      </c>
      <c r="AB460" s="112" t="n">
        <v>33</v>
      </c>
      <c r="AC460" s="112" t="n">
        <v>4</v>
      </c>
      <c r="AD460" s="112" t="str">
        <f>VERW_Project!R38</f>
        <v/>
      </c>
      <c r="AE460" s="112">
        <f>IF(AND(VERW_Project!$A38&lt;&gt;"",ISNUMBER(AD460)),1,0)</f>
        <v>0</v>
      </c>
      <c r="AF460" s="112" t="str">
        <f>IF(AE460=1,SUM($AE$8:AE460),"")</f>
        <v/>
      </c>
      <c r="AG460" t="str">
        <f>IFERROR(MATCH(453,$AF$8:$AF$1407,0),"")</f>
        <v/>
      </c>
    </row>
    <row r="461">
      <c r="A461" s="92" t="str">
        <f>IF($AG461="","",P_ImportID)</f>
        <v/>
      </c>
      <c r="B461" s="92" t="str">
        <f>IF($AG461="","",IF(INDEX($AN$8:$AN$21,INDEX($AC$8:$AC$1407,$AG461)+1)="Z",P_BronZ,P_BronE))</f>
        <v/>
      </c>
      <c r="C461" s="108" t="str">
        <f>IF($AG461="","",P_Importdatum)</f>
        <v/>
      </c>
      <c r="D461" s="92" t="str">
        <f>IF($AG461="","",P_StatusVastleg)</f>
        <v/>
      </c>
      <c r="E461" s="92" t="str">
        <f>IF($AG461="","",P_UploadVJ)</f>
        <v/>
      </c>
      <c r="F461" s="92" t="str">
        <f>IF($AG461="","",P_UploadVersie)</f>
        <v/>
      </c>
      <c r="G461" s="92" t="str">
        <f>IF($AG461="","",IF(COUNTIFS(L_Sleutel,$S461,L_Status,"Vastgesteld")=0,0,_xlfn.MAXIFS(L_Revisie,L_Sleutel,$S461,L_Status,"Vastgesteld")+1))</f>
        <v/>
      </c>
      <c r="H461" s="108" t="str">
        <f>IF($AG461="","",P_Peildatum)</f>
        <v/>
      </c>
      <c r="I461" s="92" t="str">
        <f>IF($AG461="","",P_RJ+INDEX($AK$8:$AK$21,INDEX($AC$8:$AC$1407,$AG461)+1))</f>
        <v/>
      </c>
      <c r="J461" s="92" t="str">
        <f>IF($AG461="","",INDEX(V_WBS,INDEX($AB$8:$AB$1407,$AG461)))</f>
        <v/>
      </c>
      <c r="K461" s="92" t="str">
        <f>IF($AG461="","",INDEX(V_Projdef,INDEX($AB$8:$AB$1407,$AG461)))</f>
        <v/>
      </c>
      <c r="L461" s="92" t="str">
        <f>IF($AG461="","",INDEX(V_Naam,INDEX($AB$8:$AB$1407,$AG461)))</f>
        <v/>
      </c>
      <c r="M461" s="92" t="str">
        <f>IF($AG461="","",INDEX(V_Type,INDEX($AB$8:$AB$1407,$AG461)))</f>
        <v/>
      </c>
      <c r="N461" s="92" t="str">
        <f>IF($AG461="","",INDEX(V_IFRS,INDEX($AB$8:$AB$1407,$AG461)))</f>
        <v/>
      </c>
      <c r="O461" s="92" t="str">
        <f>IF($AG461="","",INDEX($AL$8:$AL$21,INDEX($AC$8:$AC$1407,$AG461)+1))</f>
        <v/>
      </c>
      <c r="P461" s="109" t="str">
        <f>IF($AG461="","",INDEX($AD$8:$AD$1407,$AG461))</f>
        <v/>
      </c>
      <c r="Q461" s="92" t="str">
        <f>IF($AG461="","",INDEX($AM$8:$AM$21,INDEX($AC$8:$AC$1407,$AG461)+1))</f>
        <v/>
      </c>
      <c r="R461" s="92" t="str">
        <f>IF($AG461="","",IF($G461&gt;0,P_ToelCorrectie&amp;"",""))</f>
        <v/>
      </c>
      <c r="S461" s="15" t="str">
        <f>IF(J461="","",J461&amp;"|"&amp;E461&amp;"|"&amp;F461&amp;"|"&amp;I461&amp;"|"&amp;O461)</f>
        <v/>
      </c>
      <c r="T461" s="111" t="str">
        <f>IF(S461="","",IF(COUNTIFS(L_Sleutel,S461,L_Actief,1)=0,"",SUMIFS(L_Waarde,L_Sleutel,S461,L_Actief,1)))</f>
        <v/>
      </c>
      <c r="U461" s="111">
        <f>IF(OR(S461="",T461=""),0,P461-T461)</f>
        <v>0</v>
      </c>
      <c r="AB461" s="112" t="n">
        <v>33</v>
      </c>
      <c r="AC461" s="112" t="n">
        <v>5</v>
      </c>
      <c r="AD461" s="112" t="str">
        <f>VERW_Project!S38</f>
        <v/>
      </c>
      <c r="AE461" s="112">
        <f>IF(AND(VERW_Project!$A38&lt;&gt;"",ISNUMBER(AD461)),1,0)</f>
        <v>0</v>
      </c>
      <c r="AF461" s="112" t="str">
        <f>IF(AE461=1,SUM($AE$8:AE461),"")</f>
        <v/>
      </c>
      <c r="AG461" t="str">
        <f>IFERROR(MATCH(454,$AF$8:$AF$1407,0),"")</f>
        <v/>
      </c>
    </row>
    <row r="462">
      <c r="A462" s="92" t="str">
        <f>IF($AG462="","",P_ImportID)</f>
        <v/>
      </c>
      <c r="B462" s="92" t="str">
        <f>IF($AG462="","",IF(INDEX($AN$8:$AN$21,INDEX($AC$8:$AC$1407,$AG462)+1)="Z",P_BronZ,P_BronE))</f>
        <v/>
      </c>
      <c r="C462" s="108" t="str">
        <f>IF($AG462="","",P_Importdatum)</f>
        <v/>
      </c>
      <c r="D462" s="92" t="str">
        <f>IF($AG462="","",P_StatusVastleg)</f>
        <v/>
      </c>
      <c r="E462" s="92" t="str">
        <f>IF($AG462="","",P_UploadVJ)</f>
        <v/>
      </c>
      <c r="F462" s="92" t="str">
        <f>IF($AG462="","",P_UploadVersie)</f>
        <v/>
      </c>
      <c r="G462" s="92" t="str">
        <f>IF($AG462="","",IF(COUNTIFS(L_Sleutel,$S462,L_Status,"Vastgesteld")=0,0,_xlfn.MAXIFS(L_Revisie,L_Sleutel,$S462,L_Status,"Vastgesteld")+1))</f>
        <v/>
      </c>
      <c r="H462" s="108" t="str">
        <f>IF($AG462="","",P_Peildatum)</f>
        <v/>
      </c>
      <c r="I462" s="92" t="str">
        <f>IF($AG462="","",P_RJ+INDEX($AK$8:$AK$21,INDEX($AC$8:$AC$1407,$AG462)+1))</f>
        <v/>
      </c>
      <c r="J462" s="92" t="str">
        <f>IF($AG462="","",INDEX(V_WBS,INDEX($AB$8:$AB$1407,$AG462)))</f>
        <v/>
      </c>
      <c r="K462" s="92" t="str">
        <f>IF($AG462="","",INDEX(V_Projdef,INDEX($AB$8:$AB$1407,$AG462)))</f>
        <v/>
      </c>
      <c r="L462" s="92" t="str">
        <f>IF($AG462="","",INDEX(V_Naam,INDEX($AB$8:$AB$1407,$AG462)))</f>
        <v/>
      </c>
      <c r="M462" s="92" t="str">
        <f>IF($AG462="","",INDEX(V_Type,INDEX($AB$8:$AB$1407,$AG462)))</f>
        <v/>
      </c>
      <c r="N462" s="92" t="str">
        <f>IF($AG462="","",INDEX(V_IFRS,INDEX($AB$8:$AB$1407,$AG462)))</f>
        <v/>
      </c>
      <c r="O462" s="92" t="str">
        <f>IF($AG462="","",INDEX($AL$8:$AL$21,INDEX($AC$8:$AC$1407,$AG462)+1))</f>
        <v/>
      </c>
      <c r="P462" s="109" t="str">
        <f>IF($AG462="","",INDEX($AD$8:$AD$1407,$AG462))</f>
        <v/>
      </c>
      <c r="Q462" s="92" t="str">
        <f>IF($AG462="","",INDEX($AM$8:$AM$21,INDEX($AC$8:$AC$1407,$AG462)+1))</f>
        <v/>
      </c>
      <c r="R462" s="92" t="str">
        <f>IF($AG462="","",IF($G462&gt;0,P_ToelCorrectie&amp;"",""))</f>
        <v/>
      </c>
      <c r="S462" s="15" t="str">
        <f>IF(J462="","",J462&amp;"|"&amp;E462&amp;"|"&amp;F462&amp;"|"&amp;I462&amp;"|"&amp;O462)</f>
        <v/>
      </c>
      <c r="T462" s="111" t="str">
        <f>IF(S462="","",IF(COUNTIFS(L_Sleutel,S462,L_Actief,1)=0,"",SUMIFS(L_Waarde,L_Sleutel,S462,L_Actief,1)))</f>
        <v/>
      </c>
      <c r="U462" s="111">
        <f>IF(OR(S462="",T462=""),0,P462-T462)</f>
        <v>0</v>
      </c>
      <c r="AB462" s="112" t="n">
        <v>33</v>
      </c>
      <c r="AC462" s="112" t="n">
        <v>6</v>
      </c>
      <c r="AD462" s="112" t="str">
        <f>VERW_Project!BW38</f>
        <v/>
      </c>
      <c r="AE462" s="112">
        <f>IF(AND(VERW_Project!$A38&lt;&gt;"",ISNUMBER(AD462)),1,0)</f>
        <v>0</v>
      </c>
      <c r="AF462" s="112" t="str">
        <f>IF(AE462=1,SUM($AE$8:AE462),"")</f>
        <v/>
      </c>
      <c r="AG462" t="str">
        <f>IFERROR(MATCH(455,$AF$8:$AF$1407,0),"")</f>
        <v/>
      </c>
    </row>
    <row r="463">
      <c r="A463" s="92" t="str">
        <f>IF($AG463="","",P_ImportID)</f>
        <v/>
      </c>
      <c r="B463" s="92" t="str">
        <f>IF($AG463="","",IF(INDEX($AN$8:$AN$21,INDEX($AC$8:$AC$1407,$AG463)+1)="Z",P_BronZ,P_BronE))</f>
        <v/>
      </c>
      <c r="C463" s="108" t="str">
        <f>IF($AG463="","",P_Importdatum)</f>
        <v/>
      </c>
      <c r="D463" s="92" t="str">
        <f>IF($AG463="","",P_StatusVastleg)</f>
        <v/>
      </c>
      <c r="E463" s="92" t="str">
        <f>IF($AG463="","",P_UploadVJ)</f>
        <v/>
      </c>
      <c r="F463" s="92" t="str">
        <f>IF($AG463="","",P_UploadVersie)</f>
        <v/>
      </c>
      <c r="G463" s="92" t="str">
        <f>IF($AG463="","",IF(COUNTIFS(L_Sleutel,$S463,L_Status,"Vastgesteld")=0,0,_xlfn.MAXIFS(L_Revisie,L_Sleutel,$S463,L_Status,"Vastgesteld")+1))</f>
        <v/>
      </c>
      <c r="H463" s="108" t="str">
        <f>IF($AG463="","",P_Peildatum)</f>
        <v/>
      </c>
      <c r="I463" s="92" t="str">
        <f>IF($AG463="","",P_RJ+INDEX($AK$8:$AK$21,INDEX($AC$8:$AC$1407,$AG463)+1))</f>
        <v/>
      </c>
      <c r="J463" s="92" t="str">
        <f>IF($AG463="","",INDEX(V_WBS,INDEX($AB$8:$AB$1407,$AG463)))</f>
        <v/>
      </c>
      <c r="K463" s="92" t="str">
        <f>IF($AG463="","",INDEX(V_Projdef,INDEX($AB$8:$AB$1407,$AG463)))</f>
        <v/>
      </c>
      <c r="L463" s="92" t="str">
        <f>IF($AG463="","",INDEX(V_Naam,INDEX($AB$8:$AB$1407,$AG463)))</f>
        <v/>
      </c>
      <c r="M463" s="92" t="str">
        <f>IF($AG463="","",INDEX(V_Type,INDEX($AB$8:$AB$1407,$AG463)))</f>
        <v/>
      </c>
      <c r="N463" s="92" t="str">
        <f>IF($AG463="","",INDEX(V_IFRS,INDEX($AB$8:$AB$1407,$AG463)))</f>
        <v/>
      </c>
      <c r="O463" s="92" t="str">
        <f>IF($AG463="","",INDEX($AL$8:$AL$21,INDEX($AC$8:$AC$1407,$AG463)+1))</f>
        <v/>
      </c>
      <c r="P463" s="109" t="str">
        <f>IF($AG463="","",INDEX($AD$8:$AD$1407,$AG463))</f>
        <v/>
      </c>
      <c r="Q463" s="92" t="str">
        <f>IF($AG463="","",INDEX($AM$8:$AM$21,INDEX($AC$8:$AC$1407,$AG463)+1))</f>
        <v/>
      </c>
      <c r="R463" s="92" t="str">
        <f>IF($AG463="","",IF($G463&gt;0,P_ToelCorrectie&amp;"",""))</f>
        <v/>
      </c>
      <c r="S463" s="15" t="str">
        <f>IF(J463="","",J463&amp;"|"&amp;E463&amp;"|"&amp;F463&amp;"|"&amp;I463&amp;"|"&amp;O463)</f>
        <v/>
      </c>
      <c r="T463" s="111" t="str">
        <f>IF(S463="","",IF(COUNTIFS(L_Sleutel,S463,L_Actief,1)=0,"",SUMIFS(L_Waarde,L_Sleutel,S463,L_Actief,1)))</f>
        <v/>
      </c>
      <c r="U463" s="111">
        <f>IF(OR(S463="",T463=""),0,P463-T463)</f>
        <v>0</v>
      </c>
      <c r="AB463" s="112" t="n">
        <v>33</v>
      </c>
      <c r="AC463" s="112" t="n">
        <v>7</v>
      </c>
      <c r="AD463" s="112" t="str">
        <f>VERW_Project!AW38</f>
        <v/>
      </c>
      <c r="AE463" s="112">
        <f>IF(AND(VERW_Project!$A38&lt;&gt;"",ISNUMBER(AD463)),1,0)</f>
        <v>0</v>
      </c>
      <c r="AF463" s="112" t="str">
        <f>IF(AE463=1,SUM($AE$8:AE463),"")</f>
        <v/>
      </c>
      <c r="AG463" t="str">
        <f>IFERROR(MATCH(456,$AF$8:$AF$1407,0),"")</f>
        <v/>
      </c>
    </row>
    <row r="464">
      <c r="A464" s="92" t="str">
        <f>IF($AG464="","",P_ImportID)</f>
        <v/>
      </c>
      <c r="B464" s="92" t="str">
        <f>IF($AG464="","",IF(INDEX($AN$8:$AN$21,INDEX($AC$8:$AC$1407,$AG464)+1)="Z",P_BronZ,P_BronE))</f>
        <v/>
      </c>
      <c r="C464" s="108" t="str">
        <f>IF($AG464="","",P_Importdatum)</f>
        <v/>
      </c>
      <c r="D464" s="92" t="str">
        <f>IF($AG464="","",P_StatusVastleg)</f>
        <v/>
      </c>
      <c r="E464" s="92" t="str">
        <f>IF($AG464="","",P_UploadVJ)</f>
        <v/>
      </c>
      <c r="F464" s="92" t="str">
        <f>IF($AG464="","",P_UploadVersie)</f>
        <v/>
      </c>
      <c r="G464" s="92" t="str">
        <f>IF($AG464="","",IF(COUNTIFS(L_Sleutel,$S464,L_Status,"Vastgesteld")=0,0,_xlfn.MAXIFS(L_Revisie,L_Sleutel,$S464,L_Status,"Vastgesteld")+1))</f>
        <v/>
      </c>
      <c r="H464" s="108" t="str">
        <f>IF($AG464="","",P_Peildatum)</f>
        <v/>
      </c>
      <c r="I464" s="92" t="str">
        <f>IF($AG464="","",P_RJ+INDEX($AK$8:$AK$21,INDEX($AC$8:$AC$1407,$AG464)+1))</f>
        <v/>
      </c>
      <c r="J464" s="92" t="str">
        <f>IF($AG464="","",INDEX(V_WBS,INDEX($AB$8:$AB$1407,$AG464)))</f>
        <v/>
      </c>
      <c r="K464" s="92" t="str">
        <f>IF($AG464="","",INDEX(V_Projdef,INDEX($AB$8:$AB$1407,$AG464)))</f>
        <v/>
      </c>
      <c r="L464" s="92" t="str">
        <f>IF($AG464="","",INDEX(V_Naam,INDEX($AB$8:$AB$1407,$AG464)))</f>
        <v/>
      </c>
      <c r="M464" s="92" t="str">
        <f>IF($AG464="","",INDEX(V_Type,INDEX($AB$8:$AB$1407,$AG464)))</f>
        <v/>
      </c>
      <c r="N464" s="92" t="str">
        <f>IF($AG464="","",INDEX(V_IFRS,INDEX($AB$8:$AB$1407,$AG464)))</f>
        <v/>
      </c>
      <c r="O464" s="92" t="str">
        <f>IF($AG464="","",INDEX($AL$8:$AL$21,INDEX($AC$8:$AC$1407,$AG464)+1))</f>
        <v/>
      </c>
      <c r="P464" s="109" t="str">
        <f>IF($AG464="","",INDEX($AD$8:$AD$1407,$AG464))</f>
        <v/>
      </c>
      <c r="Q464" s="92" t="str">
        <f>IF($AG464="","",INDEX($AM$8:$AM$21,INDEX($AC$8:$AC$1407,$AG464)+1))</f>
        <v/>
      </c>
      <c r="R464" s="92" t="str">
        <f>IF($AG464="","",IF($G464&gt;0,P_ToelCorrectie&amp;"",""))</f>
        <v/>
      </c>
      <c r="S464" s="15" t="str">
        <f>IF(J464="","",J464&amp;"|"&amp;E464&amp;"|"&amp;F464&amp;"|"&amp;I464&amp;"|"&amp;O464)</f>
        <v/>
      </c>
      <c r="T464" s="111" t="str">
        <f>IF(S464="","",IF(COUNTIFS(L_Sleutel,S464,L_Actief,1)=0,"",SUMIFS(L_Waarde,L_Sleutel,S464,L_Actief,1)))</f>
        <v/>
      </c>
      <c r="U464" s="111">
        <f>IF(OR(S464="",T464=""),0,P464-T464)</f>
        <v>0</v>
      </c>
      <c r="AB464" s="112" t="n">
        <v>33</v>
      </c>
      <c r="AC464" s="112" t="n">
        <v>8</v>
      </c>
      <c r="AD464" s="112" t="str">
        <f>VERW_Project!BQ38</f>
        <v/>
      </c>
      <c r="AE464" s="112">
        <f>IF(AND(VERW_Project!$A38&lt;&gt;"",ISNUMBER(AD464)),1,0)</f>
        <v>0</v>
      </c>
      <c r="AF464" s="112" t="str">
        <f>IF(AE464=1,SUM($AE$8:AE464),"")</f>
        <v/>
      </c>
      <c r="AG464" t="str">
        <f>IFERROR(MATCH(457,$AF$8:$AF$1407,0),"")</f>
        <v/>
      </c>
    </row>
    <row r="465">
      <c r="A465" s="92" t="str">
        <f>IF($AG465="","",P_ImportID)</f>
        <v/>
      </c>
      <c r="B465" s="92" t="str">
        <f>IF($AG465="","",IF(INDEX($AN$8:$AN$21,INDEX($AC$8:$AC$1407,$AG465)+1)="Z",P_BronZ,P_BronE))</f>
        <v/>
      </c>
      <c r="C465" s="108" t="str">
        <f>IF($AG465="","",P_Importdatum)</f>
        <v/>
      </c>
      <c r="D465" s="92" t="str">
        <f>IF($AG465="","",P_StatusVastleg)</f>
        <v/>
      </c>
      <c r="E465" s="92" t="str">
        <f>IF($AG465="","",P_UploadVJ)</f>
        <v/>
      </c>
      <c r="F465" s="92" t="str">
        <f>IF($AG465="","",P_UploadVersie)</f>
        <v/>
      </c>
      <c r="G465" s="92" t="str">
        <f>IF($AG465="","",IF(COUNTIFS(L_Sleutel,$S465,L_Status,"Vastgesteld")=0,0,_xlfn.MAXIFS(L_Revisie,L_Sleutel,$S465,L_Status,"Vastgesteld")+1))</f>
        <v/>
      </c>
      <c r="H465" s="108" t="str">
        <f>IF($AG465="","",P_Peildatum)</f>
        <v/>
      </c>
      <c r="I465" s="92" t="str">
        <f>IF($AG465="","",P_RJ+INDEX($AK$8:$AK$21,INDEX($AC$8:$AC$1407,$AG465)+1))</f>
        <v/>
      </c>
      <c r="J465" s="92" t="str">
        <f>IF($AG465="","",INDEX(V_WBS,INDEX($AB$8:$AB$1407,$AG465)))</f>
        <v/>
      </c>
      <c r="K465" s="92" t="str">
        <f>IF($AG465="","",INDEX(V_Projdef,INDEX($AB$8:$AB$1407,$AG465)))</f>
        <v/>
      </c>
      <c r="L465" s="92" t="str">
        <f>IF($AG465="","",INDEX(V_Naam,INDEX($AB$8:$AB$1407,$AG465)))</f>
        <v/>
      </c>
      <c r="M465" s="92" t="str">
        <f>IF($AG465="","",INDEX(V_Type,INDEX($AB$8:$AB$1407,$AG465)))</f>
        <v/>
      </c>
      <c r="N465" s="92" t="str">
        <f>IF($AG465="","",INDEX(V_IFRS,INDEX($AB$8:$AB$1407,$AG465)))</f>
        <v/>
      </c>
      <c r="O465" s="92" t="str">
        <f>IF($AG465="","",INDEX($AL$8:$AL$21,INDEX($AC$8:$AC$1407,$AG465)+1))</f>
        <v/>
      </c>
      <c r="P465" s="109" t="str">
        <f>IF($AG465="","",INDEX($AD$8:$AD$1407,$AG465))</f>
        <v/>
      </c>
      <c r="Q465" s="92" t="str">
        <f>IF($AG465="","",INDEX($AM$8:$AM$21,INDEX($AC$8:$AC$1407,$AG465)+1))</f>
        <v/>
      </c>
      <c r="R465" s="92" t="str">
        <f>IF($AG465="","",IF($G465&gt;0,P_ToelCorrectie&amp;"",""))</f>
        <v/>
      </c>
      <c r="S465" s="15" t="str">
        <f>IF(J465="","",J465&amp;"|"&amp;E465&amp;"|"&amp;F465&amp;"|"&amp;I465&amp;"|"&amp;O465)</f>
        <v/>
      </c>
      <c r="T465" s="111" t="str">
        <f>IF(S465="","",IF(COUNTIFS(L_Sleutel,S465,L_Actief,1)=0,"",SUMIFS(L_Waarde,L_Sleutel,S465,L_Actief,1)))</f>
        <v/>
      </c>
      <c r="U465" s="111">
        <f>IF(OR(S465="",T465=""),0,P465-T465)</f>
        <v>0</v>
      </c>
      <c r="AB465" s="112" t="n">
        <v>33</v>
      </c>
      <c r="AC465" s="112" t="n">
        <v>9</v>
      </c>
      <c r="AD465" s="112" t="str">
        <f>VERW_Project!BR38</f>
        <v/>
      </c>
      <c r="AE465" s="112">
        <f>IF(AND(VERW_Project!$A38&lt;&gt;"",ISNUMBER(AD465)),1,0)</f>
        <v>0</v>
      </c>
      <c r="AF465" s="112" t="str">
        <f>IF(AE465=1,SUM($AE$8:AE465),"")</f>
        <v/>
      </c>
      <c r="AG465" t="str">
        <f>IFERROR(MATCH(458,$AF$8:$AF$1407,0),"")</f>
        <v/>
      </c>
    </row>
    <row r="466">
      <c r="A466" s="92" t="str">
        <f>IF($AG466="","",P_ImportID)</f>
        <v/>
      </c>
      <c r="B466" s="92" t="str">
        <f>IF($AG466="","",IF(INDEX($AN$8:$AN$21,INDEX($AC$8:$AC$1407,$AG466)+1)="Z",P_BronZ,P_BronE))</f>
        <v/>
      </c>
      <c r="C466" s="108" t="str">
        <f>IF($AG466="","",P_Importdatum)</f>
        <v/>
      </c>
      <c r="D466" s="92" t="str">
        <f>IF($AG466="","",P_StatusVastleg)</f>
        <v/>
      </c>
      <c r="E466" s="92" t="str">
        <f>IF($AG466="","",P_UploadVJ)</f>
        <v/>
      </c>
      <c r="F466" s="92" t="str">
        <f>IF($AG466="","",P_UploadVersie)</f>
        <v/>
      </c>
      <c r="G466" s="92" t="str">
        <f>IF($AG466="","",IF(COUNTIFS(L_Sleutel,$S466,L_Status,"Vastgesteld")=0,0,_xlfn.MAXIFS(L_Revisie,L_Sleutel,$S466,L_Status,"Vastgesteld")+1))</f>
        <v/>
      </c>
      <c r="H466" s="108" t="str">
        <f>IF($AG466="","",P_Peildatum)</f>
        <v/>
      </c>
      <c r="I466" s="92" t="str">
        <f>IF($AG466="","",P_RJ+INDEX($AK$8:$AK$21,INDEX($AC$8:$AC$1407,$AG466)+1))</f>
        <v/>
      </c>
      <c r="J466" s="92" t="str">
        <f>IF($AG466="","",INDEX(V_WBS,INDEX($AB$8:$AB$1407,$AG466)))</f>
        <v/>
      </c>
      <c r="K466" s="92" t="str">
        <f>IF($AG466="","",INDEX(V_Projdef,INDEX($AB$8:$AB$1407,$AG466)))</f>
        <v/>
      </c>
      <c r="L466" s="92" t="str">
        <f>IF($AG466="","",INDEX(V_Naam,INDEX($AB$8:$AB$1407,$AG466)))</f>
        <v/>
      </c>
      <c r="M466" s="92" t="str">
        <f>IF($AG466="","",INDEX(V_Type,INDEX($AB$8:$AB$1407,$AG466)))</f>
        <v/>
      </c>
      <c r="N466" s="92" t="str">
        <f>IF($AG466="","",INDEX(V_IFRS,INDEX($AB$8:$AB$1407,$AG466)))</f>
        <v/>
      </c>
      <c r="O466" s="92" t="str">
        <f>IF($AG466="","",INDEX($AL$8:$AL$21,INDEX($AC$8:$AC$1407,$AG466)+1))</f>
        <v/>
      </c>
      <c r="P466" s="109" t="str">
        <f>IF($AG466="","",INDEX($AD$8:$AD$1407,$AG466))</f>
        <v/>
      </c>
      <c r="Q466" s="92" t="str">
        <f>IF($AG466="","",INDEX($AM$8:$AM$21,INDEX($AC$8:$AC$1407,$AG466)+1))</f>
        <v/>
      </c>
      <c r="R466" s="92" t="str">
        <f>IF($AG466="","",IF($G466&gt;0,P_ToelCorrectie&amp;"",""))</f>
        <v/>
      </c>
      <c r="S466" s="15" t="str">
        <f>IF(J466="","",J466&amp;"|"&amp;E466&amp;"|"&amp;F466&amp;"|"&amp;I466&amp;"|"&amp;O466)</f>
        <v/>
      </c>
      <c r="T466" s="111" t="str">
        <f>IF(S466="","",IF(COUNTIFS(L_Sleutel,S466,L_Actief,1)=0,"",SUMIFS(L_Waarde,L_Sleutel,S466,L_Actief,1)))</f>
        <v/>
      </c>
      <c r="U466" s="111">
        <f>IF(OR(S466="",T466=""),0,P466-T466)</f>
        <v>0</v>
      </c>
      <c r="AB466" s="112" t="n">
        <v>33</v>
      </c>
      <c r="AC466" s="112" t="n">
        <v>10</v>
      </c>
      <c r="AD466" s="112" t="str">
        <f>VERW_Project!BS38</f>
        <v/>
      </c>
      <c r="AE466" s="112">
        <f>IF(AND(VERW_Project!$A38&lt;&gt;"",ISNUMBER(AD466)),1,0)</f>
        <v>0</v>
      </c>
      <c r="AF466" s="112" t="str">
        <f>IF(AE466=1,SUM($AE$8:AE466),"")</f>
        <v/>
      </c>
      <c r="AG466" t="str">
        <f>IFERROR(MATCH(459,$AF$8:$AF$1407,0),"")</f>
        <v/>
      </c>
    </row>
    <row r="467">
      <c r="A467" s="92" t="str">
        <f>IF($AG467="","",P_ImportID)</f>
        <v/>
      </c>
      <c r="B467" s="92" t="str">
        <f>IF($AG467="","",IF(INDEX($AN$8:$AN$21,INDEX($AC$8:$AC$1407,$AG467)+1)="Z",P_BronZ,P_BronE))</f>
        <v/>
      </c>
      <c r="C467" s="108" t="str">
        <f>IF($AG467="","",P_Importdatum)</f>
        <v/>
      </c>
      <c r="D467" s="92" t="str">
        <f>IF($AG467="","",P_StatusVastleg)</f>
        <v/>
      </c>
      <c r="E467" s="92" t="str">
        <f>IF($AG467="","",P_UploadVJ)</f>
        <v/>
      </c>
      <c r="F467" s="92" t="str">
        <f>IF($AG467="","",P_UploadVersie)</f>
        <v/>
      </c>
      <c r="G467" s="92" t="str">
        <f>IF($AG467="","",IF(COUNTIFS(L_Sleutel,$S467,L_Status,"Vastgesteld")=0,0,_xlfn.MAXIFS(L_Revisie,L_Sleutel,$S467,L_Status,"Vastgesteld")+1))</f>
        <v/>
      </c>
      <c r="H467" s="108" t="str">
        <f>IF($AG467="","",P_Peildatum)</f>
        <v/>
      </c>
      <c r="I467" s="92" t="str">
        <f>IF($AG467="","",P_RJ+INDEX($AK$8:$AK$21,INDEX($AC$8:$AC$1407,$AG467)+1))</f>
        <v/>
      </c>
      <c r="J467" s="92" t="str">
        <f>IF($AG467="","",INDEX(V_WBS,INDEX($AB$8:$AB$1407,$AG467)))</f>
        <v/>
      </c>
      <c r="K467" s="92" t="str">
        <f>IF($AG467="","",INDEX(V_Projdef,INDEX($AB$8:$AB$1407,$AG467)))</f>
        <v/>
      </c>
      <c r="L467" s="92" t="str">
        <f>IF($AG467="","",INDEX(V_Naam,INDEX($AB$8:$AB$1407,$AG467)))</f>
        <v/>
      </c>
      <c r="M467" s="92" t="str">
        <f>IF($AG467="","",INDEX(V_Type,INDEX($AB$8:$AB$1407,$AG467)))</f>
        <v/>
      </c>
      <c r="N467" s="92" t="str">
        <f>IF($AG467="","",INDEX(V_IFRS,INDEX($AB$8:$AB$1407,$AG467)))</f>
        <v/>
      </c>
      <c r="O467" s="92" t="str">
        <f>IF($AG467="","",INDEX($AL$8:$AL$21,INDEX($AC$8:$AC$1407,$AG467)+1))</f>
        <v/>
      </c>
      <c r="P467" s="109" t="str">
        <f>IF($AG467="","",INDEX($AD$8:$AD$1407,$AG467))</f>
        <v/>
      </c>
      <c r="Q467" s="92" t="str">
        <f>IF($AG467="","",INDEX($AM$8:$AM$21,INDEX($AC$8:$AC$1407,$AG467)+1))</f>
        <v/>
      </c>
      <c r="R467" s="92" t="str">
        <f>IF($AG467="","",IF($G467&gt;0,P_ToelCorrectie&amp;"",""))</f>
        <v/>
      </c>
      <c r="S467" s="15" t="str">
        <f>IF(J467="","",J467&amp;"|"&amp;E467&amp;"|"&amp;F467&amp;"|"&amp;I467&amp;"|"&amp;O467)</f>
        <v/>
      </c>
      <c r="T467" s="111" t="str">
        <f>IF(S467="","",IF(COUNTIFS(L_Sleutel,S467,L_Actief,1)=0,"",SUMIFS(L_Waarde,L_Sleutel,S467,L_Actief,1)))</f>
        <v/>
      </c>
      <c r="U467" s="111">
        <f>IF(OR(S467="",T467=""),0,P467-T467)</f>
        <v>0</v>
      </c>
      <c r="AB467" s="112" t="n">
        <v>33</v>
      </c>
      <c r="AC467" s="112" t="n">
        <v>11</v>
      </c>
      <c r="AD467" s="112" t="str">
        <f>VERW_Project!BT38</f>
        <v/>
      </c>
      <c r="AE467" s="112">
        <f>IF(AND(VERW_Project!$A38&lt;&gt;"",ISNUMBER(AD467)),1,0)</f>
        <v>0</v>
      </c>
      <c r="AF467" s="112" t="str">
        <f>IF(AE467=1,SUM($AE$8:AE467),"")</f>
        <v/>
      </c>
      <c r="AG467" t="str">
        <f>IFERROR(MATCH(460,$AF$8:$AF$1407,0),"")</f>
        <v/>
      </c>
    </row>
    <row r="468">
      <c r="A468" s="92" t="str">
        <f>IF($AG468="","",P_ImportID)</f>
        <v/>
      </c>
      <c r="B468" s="92" t="str">
        <f>IF($AG468="","",IF(INDEX($AN$8:$AN$21,INDEX($AC$8:$AC$1407,$AG468)+1)="Z",P_BronZ,P_BronE))</f>
        <v/>
      </c>
      <c r="C468" s="108" t="str">
        <f>IF($AG468="","",P_Importdatum)</f>
        <v/>
      </c>
      <c r="D468" s="92" t="str">
        <f>IF($AG468="","",P_StatusVastleg)</f>
        <v/>
      </c>
      <c r="E468" s="92" t="str">
        <f>IF($AG468="","",P_UploadVJ)</f>
        <v/>
      </c>
      <c r="F468" s="92" t="str">
        <f>IF($AG468="","",P_UploadVersie)</f>
        <v/>
      </c>
      <c r="G468" s="92" t="str">
        <f>IF($AG468="","",IF(COUNTIFS(L_Sleutel,$S468,L_Status,"Vastgesteld")=0,0,_xlfn.MAXIFS(L_Revisie,L_Sleutel,$S468,L_Status,"Vastgesteld")+1))</f>
        <v/>
      </c>
      <c r="H468" s="108" t="str">
        <f>IF($AG468="","",P_Peildatum)</f>
        <v/>
      </c>
      <c r="I468" s="92" t="str">
        <f>IF($AG468="","",P_RJ+INDEX($AK$8:$AK$21,INDEX($AC$8:$AC$1407,$AG468)+1))</f>
        <v/>
      </c>
      <c r="J468" s="92" t="str">
        <f>IF($AG468="","",INDEX(V_WBS,INDEX($AB$8:$AB$1407,$AG468)))</f>
        <v/>
      </c>
      <c r="K468" s="92" t="str">
        <f>IF($AG468="","",INDEX(V_Projdef,INDEX($AB$8:$AB$1407,$AG468)))</f>
        <v/>
      </c>
      <c r="L468" s="92" t="str">
        <f>IF($AG468="","",INDEX(V_Naam,INDEX($AB$8:$AB$1407,$AG468)))</f>
        <v/>
      </c>
      <c r="M468" s="92" t="str">
        <f>IF($AG468="","",INDEX(V_Type,INDEX($AB$8:$AB$1407,$AG468)))</f>
        <v/>
      </c>
      <c r="N468" s="92" t="str">
        <f>IF($AG468="","",INDEX(V_IFRS,INDEX($AB$8:$AB$1407,$AG468)))</f>
        <v/>
      </c>
      <c r="O468" s="92" t="str">
        <f>IF($AG468="","",INDEX($AL$8:$AL$21,INDEX($AC$8:$AC$1407,$AG468)+1))</f>
        <v/>
      </c>
      <c r="P468" s="109" t="str">
        <f>IF($AG468="","",INDEX($AD$8:$AD$1407,$AG468))</f>
        <v/>
      </c>
      <c r="Q468" s="92" t="str">
        <f>IF($AG468="","",INDEX($AM$8:$AM$21,INDEX($AC$8:$AC$1407,$AG468)+1))</f>
        <v/>
      </c>
      <c r="R468" s="92" t="str">
        <f>IF($AG468="","",IF($G468&gt;0,P_ToelCorrectie&amp;"",""))</f>
        <v/>
      </c>
      <c r="S468" s="15" t="str">
        <f>IF(J468="","",J468&amp;"|"&amp;E468&amp;"|"&amp;F468&amp;"|"&amp;I468&amp;"|"&amp;O468)</f>
        <v/>
      </c>
      <c r="T468" s="111" t="str">
        <f>IF(S468="","",IF(COUNTIFS(L_Sleutel,S468,L_Actief,1)=0,"",SUMIFS(L_Waarde,L_Sleutel,S468,L_Actief,1)))</f>
        <v/>
      </c>
      <c r="U468" s="111">
        <f>IF(OR(S468="",T468=""),0,P468-T468)</f>
        <v>0</v>
      </c>
      <c r="AB468" s="112" t="n">
        <v>33</v>
      </c>
      <c r="AC468" s="112" t="n">
        <v>12</v>
      </c>
      <c r="AD468" s="112" t="str">
        <f>VERW_Project!BU38</f>
        <v/>
      </c>
      <c r="AE468" s="112">
        <f>IF(AND(VERW_Project!$A38&lt;&gt;"",ISNUMBER(AD468)),1,0)</f>
        <v>0</v>
      </c>
      <c r="AF468" s="112" t="str">
        <f>IF(AE468=1,SUM($AE$8:AE468),"")</f>
        <v/>
      </c>
      <c r="AG468" t="str">
        <f>IFERROR(MATCH(461,$AF$8:$AF$1407,0),"")</f>
        <v/>
      </c>
    </row>
    <row r="469">
      <c r="A469" s="92" t="str">
        <f>IF($AG469="","",P_ImportID)</f>
        <v/>
      </c>
      <c r="B469" s="92" t="str">
        <f>IF($AG469="","",IF(INDEX($AN$8:$AN$21,INDEX($AC$8:$AC$1407,$AG469)+1)="Z",P_BronZ,P_BronE))</f>
        <v/>
      </c>
      <c r="C469" s="108" t="str">
        <f>IF($AG469="","",P_Importdatum)</f>
        <v/>
      </c>
      <c r="D469" s="92" t="str">
        <f>IF($AG469="","",P_StatusVastleg)</f>
        <v/>
      </c>
      <c r="E469" s="92" t="str">
        <f>IF($AG469="","",P_UploadVJ)</f>
        <v/>
      </c>
      <c r="F469" s="92" t="str">
        <f>IF($AG469="","",P_UploadVersie)</f>
        <v/>
      </c>
      <c r="G469" s="92" t="str">
        <f>IF($AG469="","",IF(COUNTIFS(L_Sleutel,$S469,L_Status,"Vastgesteld")=0,0,_xlfn.MAXIFS(L_Revisie,L_Sleutel,$S469,L_Status,"Vastgesteld")+1))</f>
        <v/>
      </c>
      <c r="H469" s="108" t="str">
        <f>IF($AG469="","",P_Peildatum)</f>
        <v/>
      </c>
      <c r="I469" s="92" t="str">
        <f>IF($AG469="","",P_RJ+INDEX($AK$8:$AK$21,INDEX($AC$8:$AC$1407,$AG469)+1))</f>
        <v/>
      </c>
      <c r="J469" s="92" t="str">
        <f>IF($AG469="","",INDEX(V_WBS,INDEX($AB$8:$AB$1407,$AG469)))</f>
        <v/>
      </c>
      <c r="K469" s="92" t="str">
        <f>IF($AG469="","",INDEX(V_Projdef,INDEX($AB$8:$AB$1407,$AG469)))</f>
        <v/>
      </c>
      <c r="L469" s="92" t="str">
        <f>IF($AG469="","",INDEX(V_Naam,INDEX($AB$8:$AB$1407,$AG469)))</f>
        <v/>
      </c>
      <c r="M469" s="92" t="str">
        <f>IF($AG469="","",INDEX(V_Type,INDEX($AB$8:$AB$1407,$AG469)))</f>
        <v/>
      </c>
      <c r="N469" s="92" t="str">
        <f>IF($AG469="","",INDEX(V_IFRS,INDEX($AB$8:$AB$1407,$AG469)))</f>
        <v/>
      </c>
      <c r="O469" s="92" t="str">
        <f>IF($AG469="","",INDEX($AL$8:$AL$21,INDEX($AC$8:$AC$1407,$AG469)+1))</f>
        <v/>
      </c>
      <c r="P469" s="109" t="str">
        <f>IF($AG469="","",INDEX($AD$8:$AD$1407,$AG469))</f>
        <v/>
      </c>
      <c r="Q469" s="92" t="str">
        <f>IF($AG469="","",INDEX($AM$8:$AM$21,INDEX($AC$8:$AC$1407,$AG469)+1))</f>
        <v/>
      </c>
      <c r="R469" s="92" t="str">
        <f>IF($AG469="","",IF($G469&gt;0,P_ToelCorrectie&amp;"",""))</f>
        <v/>
      </c>
      <c r="S469" s="15" t="str">
        <f>IF(J469="","",J469&amp;"|"&amp;E469&amp;"|"&amp;F469&amp;"|"&amp;I469&amp;"|"&amp;O469)</f>
        <v/>
      </c>
      <c r="T469" s="111" t="str">
        <f>IF(S469="","",IF(COUNTIFS(L_Sleutel,S469,L_Actief,1)=0,"",SUMIFS(L_Waarde,L_Sleutel,S469,L_Actief,1)))</f>
        <v/>
      </c>
      <c r="U469" s="111">
        <f>IF(OR(S469="",T469=""),0,P469-T469)</f>
        <v>0</v>
      </c>
      <c r="AB469" s="112" t="n">
        <v>33</v>
      </c>
      <c r="AC469" s="112" t="n">
        <v>13</v>
      </c>
      <c r="AD469" s="112" t="str">
        <f>VERW_Project!BX38</f>
        <v/>
      </c>
      <c r="AE469" s="112">
        <f>IF(AND(VERW_Project!$A38&lt;&gt;"",ISNUMBER(AD469)),1,0)</f>
        <v>0</v>
      </c>
      <c r="AF469" s="112" t="str">
        <f>IF(AE469=1,SUM($AE$8:AE469),"")</f>
        <v/>
      </c>
      <c r="AG469" t="str">
        <f>IFERROR(MATCH(462,$AF$8:$AF$1407,0),"")</f>
        <v/>
      </c>
    </row>
    <row r="470">
      <c r="A470" s="92" t="str">
        <f>IF($AG470="","",P_ImportID)</f>
        <v/>
      </c>
      <c r="B470" s="92" t="str">
        <f>IF($AG470="","",IF(INDEX($AN$8:$AN$21,INDEX($AC$8:$AC$1407,$AG470)+1)="Z",P_BronZ,P_BronE))</f>
        <v/>
      </c>
      <c r="C470" s="108" t="str">
        <f>IF($AG470="","",P_Importdatum)</f>
        <v/>
      </c>
      <c r="D470" s="92" t="str">
        <f>IF($AG470="","",P_StatusVastleg)</f>
        <v/>
      </c>
      <c r="E470" s="92" t="str">
        <f>IF($AG470="","",P_UploadVJ)</f>
        <v/>
      </c>
      <c r="F470" s="92" t="str">
        <f>IF($AG470="","",P_UploadVersie)</f>
        <v/>
      </c>
      <c r="G470" s="92" t="str">
        <f>IF($AG470="","",IF(COUNTIFS(L_Sleutel,$S470,L_Status,"Vastgesteld")=0,0,_xlfn.MAXIFS(L_Revisie,L_Sleutel,$S470,L_Status,"Vastgesteld")+1))</f>
        <v/>
      </c>
      <c r="H470" s="108" t="str">
        <f>IF($AG470="","",P_Peildatum)</f>
        <v/>
      </c>
      <c r="I470" s="92" t="str">
        <f>IF($AG470="","",P_RJ+INDEX($AK$8:$AK$21,INDEX($AC$8:$AC$1407,$AG470)+1))</f>
        <v/>
      </c>
      <c r="J470" s="92" t="str">
        <f>IF($AG470="","",INDEX(V_WBS,INDEX($AB$8:$AB$1407,$AG470)))</f>
        <v/>
      </c>
      <c r="K470" s="92" t="str">
        <f>IF($AG470="","",INDEX(V_Projdef,INDEX($AB$8:$AB$1407,$AG470)))</f>
        <v/>
      </c>
      <c r="L470" s="92" t="str">
        <f>IF($AG470="","",INDEX(V_Naam,INDEX($AB$8:$AB$1407,$AG470)))</f>
        <v/>
      </c>
      <c r="M470" s="92" t="str">
        <f>IF($AG470="","",INDEX(V_Type,INDEX($AB$8:$AB$1407,$AG470)))</f>
        <v/>
      </c>
      <c r="N470" s="92" t="str">
        <f>IF($AG470="","",INDEX(V_IFRS,INDEX($AB$8:$AB$1407,$AG470)))</f>
        <v/>
      </c>
      <c r="O470" s="92" t="str">
        <f>IF($AG470="","",INDEX($AL$8:$AL$21,INDEX($AC$8:$AC$1407,$AG470)+1))</f>
        <v/>
      </c>
      <c r="P470" s="109" t="str">
        <f>IF($AG470="","",INDEX($AD$8:$AD$1407,$AG470))</f>
        <v/>
      </c>
      <c r="Q470" s="92" t="str">
        <f>IF($AG470="","",INDEX($AM$8:$AM$21,INDEX($AC$8:$AC$1407,$AG470)+1))</f>
        <v/>
      </c>
      <c r="R470" s="92" t="str">
        <f>IF($AG470="","",IF($G470&gt;0,P_ToelCorrectie&amp;"",""))</f>
        <v/>
      </c>
      <c r="S470" s="15" t="str">
        <f>IF(J470="","",J470&amp;"|"&amp;E470&amp;"|"&amp;F470&amp;"|"&amp;I470&amp;"|"&amp;O470)</f>
        <v/>
      </c>
      <c r="T470" s="111" t="str">
        <f>IF(S470="","",IF(COUNTIFS(L_Sleutel,S470,L_Actief,1)=0,"",SUMIFS(L_Waarde,L_Sleutel,S470,L_Actief,1)))</f>
        <v/>
      </c>
      <c r="U470" s="111">
        <f>IF(OR(S470="",T470=""),0,P470-T470)</f>
        <v>0</v>
      </c>
      <c r="AB470" s="112" t="n">
        <v>34</v>
      </c>
      <c r="AC470" s="112" t="n">
        <v>0</v>
      </c>
      <c r="AD470" s="112" t="str">
        <f>VERW_Project!P39</f>
        <v/>
      </c>
      <c r="AE470" s="112">
        <f>IF(AND(VERW_Project!$A39&lt;&gt;"",ISNUMBER(AD470)),1,0)</f>
        <v>0</v>
      </c>
      <c r="AF470" s="112" t="str">
        <f>IF(AE470=1,SUM($AE$8:AE470),"")</f>
        <v/>
      </c>
      <c r="AG470" t="str">
        <f>IFERROR(MATCH(463,$AF$8:$AF$1407,0),"")</f>
        <v/>
      </c>
    </row>
    <row r="471">
      <c r="A471" s="92" t="str">
        <f>IF($AG471="","",P_ImportID)</f>
        <v/>
      </c>
      <c r="B471" s="92" t="str">
        <f>IF($AG471="","",IF(INDEX($AN$8:$AN$21,INDEX($AC$8:$AC$1407,$AG471)+1)="Z",P_BronZ,P_BronE))</f>
        <v/>
      </c>
      <c r="C471" s="108" t="str">
        <f>IF($AG471="","",P_Importdatum)</f>
        <v/>
      </c>
      <c r="D471" s="92" t="str">
        <f>IF($AG471="","",P_StatusVastleg)</f>
        <v/>
      </c>
      <c r="E471" s="92" t="str">
        <f>IF($AG471="","",P_UploadVJ)</f>
        <v/>
      </c>
      <c r="F471" s="92" t="str">
        <f>IF($AG471="","",P_UploadVersie)</f>
        <v/>
      </c>
      <c r="G471" s="92" t="str">
        <f>IF($AG471="","",IF(COUNTIFS(L_Sleutel,$S471,L_Status,"Vastgesteld")=0,0,_xlfn.MAXIFS(L_Revisie,L_Sleutel,$S471,L_Status,"Vastgesteld")+1))</f>
        <v/>
      </c>
      <c r="H471" s="108" t="str">
        <f>IF($AG471="","",P_Peildatum)</f>
        <v/>
      </c>
      <c r="I471" s="92" t="str">
        <f>IF($AG471="","",P_RJ+INDEX($AK$8:$AK$21,INDEX($AC$8:$AC$1407,$AG471)+1))</f>
        <v/>
      </c>
      <c r="J471" s="92" t="str">
        <f>IF($AG471="","",INDEX(V_WBS,INDEX($AB$8:$AB$1407,$AG471)))</f>
        <v/>
      </c>
      <c r="K471" s="92" t="str">
        <f>IF($AG471="","",INDEX(V_Projdef,INDEX($AB$8:$AB$1407,$AG471)))</f>
        <v/>
      </c>
      <c r="L471" s="92" t="str">
        <f>IF($AG471="","",INDEX(V_Naam,INDEX($AB$8:$AB$1407,$AG471)))</f>
        <v/>
      </c>
      <c r="M471" s="92" t="str">
        <f>IF($AG471="","",INDEX(V_Type,INDEX($AB$8:$AB$1407,$AG471)))</f>
        <v/>
      </c>
      <c r="N471" s="92" t="str">
        <f>IF($AG471="","",INDEX(V_IFRS,INDEX($AB$8:$AB$1407,$AG471)))</f>
        <v/>
      </c>
      <c r="O471" s="92" t="str">
        <f>IF($AG471="","",INDEX($AL$8:$AL$21,INDEX($AC$8:$AC$1407,$AG471)+1))</f>
        <v/>
      </c>
      <c r="P471" s="109" t="str">
        <f>IF($AG471="","",INDEX($AD$8:$AD$1407,$AG471))</f>
        <v/>
      </c>
      <c r="Q471" s="92" t="str">
        <f>IF($AG471="","",INDEX($AM$8:$AM$21,INDEX($AC$8:$AC$1407,$AG471)+1))</f>
        <v/>
      </c>
      <c r="R471" s="92" t="str">
        <f>IF($AG471="","",IF($G471&gt;0,P_ToelCorrectie&amp;"",""))</f>
        <v/>
      </c>
      <c r="S471" s="15" t="str">
        <f>IF(J471="","",J471&amp;"|"&amp;E471&amp;"|"&amp;F471&amp;"|"&amp;I471&amp;"|"&amp;O471)</f>
        <v/>
      </c>
      <c r="T471" s="111" t="str">
        <f>IF(S471="","",IF(COUNTIFS(L_Sleutel,S471,L_Actief,1)=0,"",SUMIFS(L_Waarde,L_Sleutel,S471,L_Actief,1)))</f>
        <v/>
      </c>
      <c r="U471" s="111">
        <f>IF(OR(S471="",T471=""),0,P471-T471)</f>
        <v>0</v>
      </c>
      <c r="AB471" s="112" t="n">
        <v>34</v>
      </c>
      <c r="AC471" s="112" t="n">
        <v>1</v>
      </c>
      <c r="AD471" s="112" t="str">
        <f>VERW_Project!Q39</f>
        <v/>
      </c>
      <c r="AE471" s="112">
        <f>IF(AND(VERW_Project!$A39&lt;&gt;"",ISNUMBER(AD471)),1,0)</f>
        <v>0</v>
      </c>
      <c r="AF471" s="112" t="str">
        <f>IF(AE471=1,SUM($AE$8:AE471),"")</f>
        <v/>
      </c>
      <c r="AG471" t="str">
        <f>IFERROR(MATCH(464,$AF$8:$AF$1407,0),"")</f>
        <v/>
      </c>
    </row>
    <row r="472">
      <c r="A472" s="92" t="str">
        <f>IF($AG472="","",P_ImportID)</f>
        <v/>
      </c>
      <c r="B472" s="92" t="str">
        <f>IF($AG472="","",IF(INDEX($AN$8:$AN$21,INDEX($AC$8:$AC$1407,$AG472)+1)="Z",P_BronZ,P_BronE))</f>
        <v/>
      </c>
      <c r="C472" s="108" t="str">
        <f>IF($AG472="","",P_Importdatum)</f>
        <v/>
      </c>
      <c r="D472" s="92" t="str">
        <f>IF($AG472="","",P_StatusVastleg)</f>
        <v/>
      </c>
      <c r="E472" s="92" t="str">
        <f>IF($AG472="","",P_UploadVJ)</f>
        <v/>
      </c>
      <c r="F472" s="92" t="str">
        <f>IF($AG472="","",P_UploadVersie)</f>
        <v/>
      </c>
      <c r="G472" s="92" t="str">
        <f>IF($AG472="","",IF(COUNTIFS(L_Sleutel,$S472,L_Status,"Vastgesteld")=0,0,_xlfn.MAXIFS(L_Revisie,L_Sleutel,$S472,L_Status,"Vastgesteld")+1))</f>
        <v/>
      </c>
      <c r="H472" s="108" t="str">
        <f>IF($AG472="","",P_Peildatum)</f>
        <v/>
      </c>
      <c r="I472" s="92" t="str">
        <f>IF($AG472="","",P_RJ+INDEX($AK$8:$AK$21,INDEX($AC$8:$AC$1407,$AG472)+1))</f>
        <v/>
      </c>
      <c r="J472" s="92" t="str">
        <f>IF($AG472="","",INDEX(V_WBS,INDEX($AB$8:$AB$1407,$AG472)))</f>
        <v/>
      </c>
      <c r="K472" s="92" t="str">
        <f>IF($AG472="","",INDEX(V_Projdef,INDEX($AB$8:$AB$1407,$AG472)))</f>
        <v/>
      </c>
      <c r="L472" s="92" t="str">
        <f>IF($AG472="","",INDEX(V_Naam,INDEX($AB$8:$AB$1407,$AG472)))</f>
        <v/>
      </c>
      <c r="M472" s="92" t="str">
        <f>IF($AG472="","",INDEX(V_Type,INDEX($AB$8:$AB$1407,$AG472)))</f>
        <v/>
      </c>
      <c r="N472" s="92" t="str">
        <f>IF($AG472="","",INDEX(V_IFRS,INDEX($AB$8:$AB$1407,$AG472)))</f>
        <v/>
      </c>
      <c r="O472" s="92" t="str">
        <f>IF($AG472="","",INDEX($AL$8:$AL$21,INDEX($AC$8:$AC$1407,$AG472)+1))</f>
        <v/>
      </c>
      <c r="P472" s="109" t="str">
        <f>IF($AG472="","",INDEX($AD$8:$AD$1407,$AG472))</f>
        <v/>
      </c>
      <c r="Q472" s="92" t="str">
        <f>IF($AG472="","",INDEX($AM$8:$AM$21,INDEX($AC$8:$AC$1407,$AG472)+1))</f>
        <v/>
      </c>
      <c r="R472" s="92" t="str">
        <f>IF($AG472="","",IF($G472&gt;0,P_ToelCorrectie&amp;"",""))</f>
        <v/>
      </c>
      <c r="S472" s="15" t="str">
        <f>IF(J472="","",J472&amp;"|"&amp;E472&amp;"|"&amp;F472&amp;"|"&amp;I472&amp;"|"&amp;O472)</f>
        <v/>
      </c>
      <c r="T472" s="111" t="str">
        <f>IF(S472="","",IF(COUNTIFS(L_Sleutel,S472,L_Actief,1)=0,"",SUMIFS(L_Waarde,L_Sleutel,S472,L_Actief,1)))</f>
        <v/>
      </c>
      <c r="U472" s="111">
        <f>IF(OR(S472="",T472=""),0,P472-T472)</f>
        <v>0</v>
      </c>
      <c r="AB472" s="112" t="n">
        <v>34</v>
      </c>
      <c r="AC472" s="112" t="n">
        <v>2</v>
      </c>
      <c r="AD472" s="112" t="str">
        <f>VERW_Project!L39</f>
        <v/>
      </c>
      <c r="AE472" s="112">
        <f>IF(AND(VERW_Project!$A39&lt;&gt;"",ISNUMBER(AD472)),1,0)</f>
        <v>0</v>
      </c>
      <c r="AF472" s="112" t="str">
        <f>IF(AE472=1,SUM($AE$8:AE472),"")</f>
        <v/>
      </c>
      <c r="AG472" t="str">
        <f>IFERROR(MATCH(465,$AF$8:$AF$1407,0),"")</f>
        <v/>
      </c>
    </row>
    <row r="473">
      <c r="A473" s="92" t="str">
        <f>IF($AG473="","",P_ImportID)</f>
        <v/>
      </c>
      <c r="B473" s="92" t="str">
        <f>IF($AG473="","",IF(INDEX($AN$8:$AN$21,INDEX($AC$8:$AC$1407,$AG473)+1)="Z",P_BronZ,P_BronE))</f>
        <v/>
      </c>
      <c r="C473" s="108" t="str">
        <f>IF($AG473="","",P_Importdatum)</f>
        <v/>
      </c>
      <c r="D473" s="92" t="str">
        <f>IF($AG473="","",P_StatusVastleg)</f>
        <v/>
      </c>
      <c r="E473" s="92" t="str">
        <f>IF($AG473="","",P_UploadVJ)</f>
        <v/>
      </c>
      <c r="F473" s="92" t="str">
        <f>IF($AG473="","",P_UploadVersie)</f>
        <v/>
      </c>
      <c r="G473" s="92" t="str">
        <f>IF($AG473="","",IF(COUNTIFS(L_Sleutel,$S473,L_Status,"Vastgesteld")=0,0,_xlfn.MAXIFS(L_Revisie,L_Sleutel,$S473,L_Status,"Vastgesteld")+1))</f>
        <v/>
      </c>
      <c r="H473" s="108" t="str">
        <f>IF($AG473="","",P_Peildatum)</f>
        <v/>
      </c>
      <c r="I473" s="92" t="str">
        <f>IF($AG473="","",P_RJ+INDEX($AK$8:$AK$21,INDEX($AC$8:$AC$1407,$AG473)+1))</f>
        <v/>
      </c>
      <c r="J473" s="92" t="str">
        <f>IF($AG473="","",INDEX(V_WBS,INDEX($AB$8:$AB$1407,$AG473)))</f>
        <v/>
      </c>
      <c r="K473" s="92" t="str">
        <f>IF($AG473="","",INDEX(V_Projdef,INDEX($AB$8:$AB$1407,$AG473)))</f>
        <v/>
      </c>
      <c r="L473" s="92" t="str">
        <f>IF($AG473="","",INDEX(V_Naam,INDEX($AB$8:$AB$1407,$AG473)))</f>
        <v/>
      </c>
      <c r="M473" s="92" t="str">
        <f>IF($AG473="","",INDEX(V_Type,INDEX($AB$8:$AB$1407,$AG473)))</f>
        <v/>
      </c>
      <c r="N473" s="92" t="str">
        <f>IF($AG473="","",INDEX(V_IFRS,INDEX($AB$8:$AB$1407,$AG473)))</f>
        <v/>
      </c>
      <c r="O473" s="92" t="str">
        <f>IF($AG473="","",INDEX($AL$8:$AL$21,INDEX($AC$8:$AC$1407,$AG473)+1))</f>
        <v/>
      </c>
      <c r="P473" s="109" t="str">
        <f>IF($AG473="","",INDEX($AD$8:$AD$1407,$AG473))</f>
        <v/>
      </c>
      <c r="Q473" s="92" t="str">
        <f>IF($AG473="","",INDEX($AM$8:$AM$21,INDEX($AC$8:$AC$1407,$AG473)+1))</f>
        <v/>
      </c>
      <c r="R473" s="92" t="str">
        <f>IF($AG473="","",IF($G473&gt;0,P_ToelCorrectie&amp;"",""))</f>
        <v/>
      </c>
      <c r="S473" s="15" t="str">
        <f>IF(J473="","",J473&amp;"|"&amp;E473&amp;"|"&amp;F473&amp;"|"&amp;I473&amp;"|"&amp;O473)</f>
        <v/>
      </c>
      <c r="T473" s="111" t="str">
        <f>IF(S473="","",IF(COUNTIFS(L_Sleutel,S473,L_Actief,1)=0,"",SUMIFS(L_Waarde,L_Sleutel,S473,L_Actief,1)))</f>
        <v/>
      </c>
      <c r="U473" s="111">
        <f>IF(OR(S473="",T473=""),0,P473-T473)</f>
        <v>0</v>
      </c>
      <c r="AB473" s="112" t="n">
        <v>34</v>
      </c>
      <c r="AC473" s="112" t="n">
        <v>3</v>
      </c>
      <c r="AD473" s="112" t="str">
        <f>VERW_Project!M39</f>
        <v/>
      </c>
      <c r="AE473" s="112">
        <f>IF(AND(VERW_Project!$A39&lt;&gt;"",ISNUMBER(AD473)),1,0)</f>
        <v>0</v>
      </c>
      <c r="AF473" s="112" t="str">
        <f>IF(AE473=1,SUM($AE$8:AE473),"")</f>
        <v/>
      </c>
      <c r="AG473" t="str">
        <f>IFERROR(MATCH(466,$AF$8:$AF$1407,0),"")</f>
        <v/>
      </c>
    </row>
    <row r="474">
      <c r="A474" s="92" t="str">
        <f>IF($AG474="","",P_ImportID)</f>
        <v/>
      </c>
      <c r="B474" s="92" t="str">
        <f>IF($AG474="","",IF(INDEX($AN$8:$AN$21,INDEX($AC$8:$AC$1407,$AG474)+1)="Z",P_BronZ,P_BronE))</f>
        <v/>
      </c>
      <c r="C474" s="108" t="str">
        <f>IF($AG474="","",P_Importdatum)</f>
        <v/>
      </c>
      <c r="D474" s="92" t="str">
        <f>IF($AG474="","",P_StatusVastleg)</f>
        <v/>
      </c>
      <c r="E474" s="92" t="str">
        <f>IF($AG474="","",P_UploadVJ)</f>
        <v/>
      </c>
      <c r="F474" s="92" t="str">
        <f>IF($AG474="","",P_UploadVersie)</f>
        <v/>
      </c>
      <c r="G474" s="92" t="str">
        <f>IF($AG474="","",IF(COUNTIFS(L_Sleutel,$S474,L_Status,"Vastgesteld")=0,0,_xlfn.MAXIFS(L_Revisie,L_Sleutel,$S474,L_Status,"Vastgesteld")+1))</f>
        <v/>
      </c>
      <c r="H474" s="108" t="str">
        <f>IF($AG474="","",P_Peildatum)</f>
        <v/>
      </c>
      <c r="I474" s="92" t="str">
        <f>IF($AG474="","",P_RJ+INDEX($AK$8:$AK$21,INDEX($AC$8:$AC$1407,$AG474)+1))</f>
        <v/>
      </c>
      <c r="J474" s="92" t="str">
        <f>IF($AG474="","",INDEX(V_WBS,INDEX($AB$8:$AB$1407,$AG474)))</f>
        <v/>
      </c>
      <c r="K474" s="92" t="str">
        <f>IF($AG474="","",INDEX(V_Projdef,INDEX($AB$8:$AB$1407,$AG474)))</f>
        <v/>
      </c>
      <c r="L474" s="92" t="str">
        <f>IF($AG474="","",INDEX(V_Naam,INDEX($AB$8:$AB$1407,$AG474)))</f>
        <v/>
      </c>
      <c r="M474" s="92" t="str">
        <f>IF($AG474="","",INDEX(V_Type,INDEX($AB$8:$AB$1407,$AG474)))</f>
        <v/>
      </c>
      <c r="N474" s="92" t="str">
        <f>IF($AG474="","",INDEX(V_IFRS,INDEX($AB$8:$AB$1407,$AG474)))</f>
        <v/>
      </c>
      <c r="O474" s="92" t="str">
        <f>IF($AG474="","",INDEX($AL$8:$AL$21,INDEX($AC$8:$AC$1407,$AG474)+1))</f>
        <v/>
      </c>
      <c r="P474" s="109" t="str">
        <f>IF($AG474="","",INDEX($AD$8:$AD$1407,$AG474))</f>
        <v/>
      </c>
      <c r="Q474" s="92" t="str">
        <f>IF($AG474="","",INDEX($AM$8:$AM$21,INDEX($AC$8:$AC$1407,$AG474)+1))</f>
        <v/>
      </c>
      <c r="R474" s="92" t="str">
        <f>IF($AG474="","",IF($G474&gt;0,P_ToelCorrectie&amp;"",""))</f>
        <v/>
      </c>
      <c r="S474" s="15" t="str">
        <f>IF(J474="","",J474&amp;"|"&amp;E474&amp;"|"&amp;F474&amp;"|"&amp;I474&amp;"|"&amp;O474)</f>
        <v/>
      </c>
      <c r="T474" s="111" t="str">
        <f>IF(S474="","",IF(COUNTIFS(L_Sleutel,S474,L_Actief,1)=0,"",SUMIFS(L_Waarde,L_Sleutel,S474,L_Actief,1)))</f>
        <v/>
      </c>
      <c r="U474" s="111">
        <f>IF(OR(S474="",T474=""),0,P474-T474)</f>
        <v>0</v>
      </c>
      <c r="AB474" s="112" t="n">
        <v>34</v>
      </c>
      <c r="AC474" s="112" t="n">
        <v>4</v>
      </c>
      <c r="AD474" s="112" t="str">
        <f>VERW_Project!R39</f>
        <v/>
      </c>
      <c r="AE474" s="112">
        <f>IF(AND(VERW_Project!$A39&lt;&gt;"",ISNUMBER(AD474)),1,0)</f>
        <v>0</v>
      </c>
      <c r="AF474" s="112" t="str">
        <f>IF(AE474=1,SUM($AE$8:AE474),"")</f>
        <v/>
      </c>
      <c r="AG474" t="str">
        <f>IFERROR(MATCH(467,$AF$8:$AF$1407,0),"")</f>
        <v/>
      </c>
    </row>
    <row r="475">
      <c r="A475" s="92" t="str">
        <f>IF($AG475="","",P_ImportID)</f>
        <v/>
      </c>
      <c r="B475" s="92" t="str">
        <f>IF($AG475="","",IF(INDEX($AN$8:$AN$21,INDEX($AC$8:$AC$1407,$AG475)+1)="Z",P_BronZ,P_BronE))</f>
        <v/>
      </c>
      <c r="C475" s="108" t="str">
        <f>IF($AG475="","",P_Importdatum)</f>
        <v/>
      </c>
      <c r="D475" s="92" t="str">
        <f>IF($AG475="","",P_StatusVastleg)</f>
        <v/>
      </c>
      <c r="E475" s="92" t="str">
        <f>IF($AG475="","",P_UploadVJ)</f>
        <v/>
      </c>
      <c r="F475" s="92" t="str">
        <f>IF($AG475="","",P_UploadVersie)</f>
        <v/>
      </c>
      <c r="G475" s="92" t="str">
        <f>IF($AG475="","",IF(COUNTIFS(L_Sleutel,$S475,L_Status,"Vastgesteld")=0,0,_xlfn.MAXIFS(L_Revisie,L_Sleutel,$S475,L_Status,"Vastgesteld")+1))</f>
        <v/>
      </c>
      <c r="H475" s="108" t="str">
        <f>IF($AG475="","",P_Peildatum)</f>
        <v/>
      </c>
      <c r="I475" s="92" t="str">
        <f>IF($AG475="","",P_RJ+INDEX($AK$8:$AK$21,INDEX($AC$8:$AC$1407,$AG475)+1))</f>
        <v/>
      </c>
      <c r="J475" s="92" t="str">
        <f>IF($AG475="","",INDEX(V_WBS,INDEX($AB$8:$AB$1407,$AG475)))</f>
        <v/>
      </c>
      <c r="K475" s="92" t="str">
        <f>IF($AG475="","",INDEX(V_Projdef,INDEX($AB$8:$AB$1407,$AG475)))</f>
        <v/>
      </c>
      <c r="L475" s="92" t="str">
        <f>IF($AG475="","",INDEX(V_Naam,INDEX($AB$8:$AB$1407,$AG475)))</f>
        <v/>
      </c>
      <c r="M475" s="92" t="str">
        <f>IF($AG475="","",INDEX(V_Type,INDEX($AB$8:$AB$1407,$AG475)))</f>
        <v/>
      </c>
      <c r="N475" s="92" t="str">
        <f>IF($AG475="","",INDEX(V_IFRS,INDEX($AB$8:$AB$1407,$AG475)))</f>
        <v/>
      </c>
      <c r="O475" s="92" t="str">
        <f>IF($AG475="","",INDEX($AL$8:$AL$21,INDEX($AC$8:$AC$1407,$AG475)+1))</f>
        <v/>
      </c>
      <c r="P475" s="109" t="str">
        <f>IF($AG475="","",INDEX($AD$8:$AD$1407,$AG475))</f>
        <v/>
      </c>
      <c r="Q475" s="92" t="str">
        <f>IF($AG475="","",INDEX($AM$8:$AM$21,INDEX($AC$8:$AC$1407,$AG475)+1))</f>
        <v/>
      </c>
      <c r="R475" s="92" t="str">
        <f>IF($AG475="","",IF($G475&gt;0,P_ToelCorrectie&amp;"",""))</f>
        <v/>
      </c>
      <c r="S475" s="15" t="str">
        <f>IF(J475="","",J475&amp;"|"&amp;E475&amp;"|"&amp;F475&amp;"|"&amp;I475&amp;"|"&amp;O475)</f>
        <v/>
      </c>
      <c r="T475" s="111" t="str">
        <f>IF(S475="","",IF(COUNTIFS(L_Sleutel,S475,L_Actief,1)=0,"",SUMIFS(L_Waarde,L_Sleutel,S475,L_Actief,1)))</f>
        <v/>
      </c>
      <c r="U475" s="111">
        <f>IF(OR(S475="",T475=""),0,P475-T475)</f>
        <v>0</v>
      </c>
      <c r="AB475" s="112" t="n">
        <v>34</v>
      </c>
      <c r="AC475" s="112" t="n">
        <v>5</v>
      </c>
      <c r="AD475" s="112" t="str">
        <f>VERW_Project!S39</f>
        <v/>
      </c>
      <c r="AE475" s="112">
        <f>IF(AND(VERW_Project!$A39&lt;&gt;"",ISNUMBER(AD475)),1,0)</f>
        <v>0</v>
      </c>
      <c r="AF475" s="112" t="str">
        <f>IF(AE475=1,SUM($AE$8:AE475),"")</f>
        <v/>
      </c>
      <c r="AG475" t="str">
        <f>IFERROR(MATCH(468,$AF$8:$AF$1407,0),"")</f>
        <v/>
      </c>
    </row>
    <row r="476">
      <c r="A476" s="92" t="str">
        <f>IF($AG476="","",P_ImportID)</f>
        <v/>
      </c>
      <c r="B476" s="92" t="str">
        <f>IF($AG476="","",IF(INDEX($AN$8:$AN$21,INDEX($AC$8:$AC$1407,$AG476)+1)="Z",P_BronZ,P_BronE))</f>
        <v/>
      </c>
      <c r="C476" s="108" t="str">
        <f>IF($AG476="","",P_Importdatum)</f>
        <v/>
      </c>
      <c r="D476" s="92" t="str">
        <f>IF($AG476="","",P_StatusVastleg)</f>
        <v/>
      </c>
      <c r="E476" s="92" t="str">
        <f>IF($AG476="","",P_UploadVJ)</f>
        <v/>
      </c>
      <c r="F476" s="92" t="str">
        <f>IF($AG476="","",P_UploadVersie)</f>
        <v/>
      </c>
      <c r="G476" s="92" t="str">
        <f>IF($AG476="","",IF(COUNTIFS(L_Sleutel,$S476,L_Status,"Vastgesteld")=0,0,_xlfn.MAXIFS(L_Revisie,L_Sleutel,$S476,L_Status,"Vastgesteld")+1))</f>
        <v/>
      </c>
      <c r="H476" s="108" t="str">
        <f>IF($AG476="","",P_Peildatum)</f>
        <v/>
      </c>
      <c r="I476" s="92" t="str">
        <f>IF($AG476="","",P_RJ+INDEX($AK$8:$AK$21,INDEX($AC$8:$AC$1407,$AG476)+1))</f>
        <v/>
      </c>
      <c r="J476" s="92" t="str">
        <f>IF($AG476="","",INDEX(V_WBS,INDEX($AB$8:$AB$1407,$AG476)))</f>
        <v/>
      </c>
      <c r="K476" s="92" t="str">
        <f>IF($AG476="","",INDEX(V_Projdef,INDEX($AB$8:$AB$1407,$AG476)))</f>
        <v/>
      </c>
      <c r="L476" s="92" t="str">
        <f>IF($AG476="","",INDEX(V_Naam,INDEX($AB$8:$AB$1407,$AG476)))</f>
        <v/>
      </c>
      <c r="M476" s="92" t="str">
        <f>IF($AG476="","",INDEX(V_Type,INDEX($AB$8:$AB$1407,$AG476)))</f>
        <v/>
      </c>
      <c r="N476" s="92" t="str">
        <f>IF($AG476="","",INDEX(V_IFRS,INDEX($AB$8:$AB$1407,$AG476)))</f>
        <v/>
      </c>
      <c r="O476" s="92" t="str">
        <f>IF($AG476="","",INDEX($AL$8:$AL$21,INDEX($AC$8:$AC$1407,$AG476)+1))</f>
        <v/>
      </c>
      <c r="P476" s="109" t="str">
        <f>IF($AG476="","",INDEX($AD$8:$AD$1407,$AG476))</f>
        <v/>
      </c>
      <c r="Q476" s="92" t="str">
        <f>IF($AG476="","",INDEX($AM$8:$AM$21,INDEX($AC$8:$AC$1407,$AG476)+1))</f>
        <v/>
      </c>
      <c r="R476" s="92" t="str">
        <f>IF($AG476="","",IF($G476&gt;0,P_ToelCorrectie&amp;"",""))</f>
        <v/>
      </c>
      <c r="S476" s="15" t="str">
        <f>IF(J476="","",J476&amp;"|"&amp;E476&amp;"|"&amp;F476&amp;"|"&amp;I476&amp;"|"&amp;O476)</f>
        <v/>
      </c>
      <c r="T476" s="111" t="str">
        <f>IF(S476="","",IF(COUNTIFS(L_Sleutel,S476,L_Actief,1)=0,"",SUMIFS(L_Waarde,L_Sleutel,S476,L_Actief,1)))</f>
        <v/>
      </c>
      <c r="U476" s="111">
        <f>IF(OR(S476="",T476=""),0,P476-T476)</f>
        <v>0</v>
      </c>
      <c r="AB476" s="112" t="n">
        <v>34</v>
      </c>
      <c r="AC476" s="112" t="n">
        <v>6</v>
      </c>
      <c r="AD476" s="112" t="str">
        <f>VERW_Project!BW39</f>
        <v/>
      </c>
      <c r="AE476" s="112">
        <f>IF(AND(VERW_Project!$A39&lt;&gt;"",ISNUMBER(AD476)),1,0)</f>
        <v>0</v>
      </c>
      <c r="AF476" s="112" t="str">
        <f>IF(AE476=1,SUM($AE$8:AE476),"")</f>
        <v/>
      </c>
      <c r="AG476" t="str">
        <f>IFERROR(MATCH(469,$AF$8:$AF$1407,0),"")</f>
        <v/>
      </c>
    </row>
    <row r="477">
      <c r="A477" s="92" t="str">
        <f>IF($AG477="","",P_ImportID)</f>
        <v/>
      </c>
      <c r="B477" s="92" t="str">
        <f>IF($AG477="","",IF(INDEX($AN$8:$AN$21,INDEX($AC$8:$AC$1407,$AG477)+1)="Z",P_BronZ,P_BronE))</f>
        <v/>
      </c>
      <c r="C477" s="108" t="str">
        <f>IF($AG477="","",P_Importdatum)</f>
        <v/>
      </c>
      <c r="D477" s="92" t="str">
        <f>IF($AG477="","",P_StatusVastleg)</f>
        <v/>
      </c>
      <c r="E477" s="92" t="str">
        <f>IF($AG477="","",P_UploadVJ)</f>
        <v/>
      </c>
      <c r="F477" s="92" t="str">
        <f>IF($AG477="","",P_UploadVersie)</f>
        <v/>
      </c>
      <c r="G477" s="92" t="str">
        <f>IF($AG477="","",IF(COUNTIFS(L_Sleutel,$S477,L_Status,"Vastgesteld")=0,0,_xlfn.MAXIFS(L_Revisie,L_Sleutel,$S477,L_Status,"Vastgesteld")+1))</f>
        <v/>
      </c>
      <c r="H477" s="108" t="str">
        <f>IF($AG477="","",P_Peildatum)</f>
        <v/>
      </c>
      <c r="I477" s="92" t="str">
        <f>IF($AG477="","",P_RJ+INDEX($AK$8:$AK$21,INDEX($AC$8:$AC$1407,$AG477)+1))</f>
        <v/>
      </c>
      <c r="J477" s="92" t="str">
        <f>IF($AG477="","",INDEX(V_WBS,INDEX($AB$8:$AB$1407,$AG477)))</f>
        <v/>
      </c>
      <c r="K477" s="92" t="str">
        <f>IF($AG477="","",INDEX(V_Projdef,INDEX($AB$8:$AB$1407,$AG477)))</f>
        <v/>
      </c>
      <c r="L477" s="92" t="str">
        <f>IF($AG477="","",INDEX(V_Naam,INDEX($AB$8:$AB$1407,$AG477)))</f>
        <v/>
      </c>
      <c r="M477" s="92" t="str">
        <f>IF($AG477="","",INDEX(V_Type,INDEX($AB$8:$AB$1407,$AG477)))</f>
        <v/>
      </c>
      <c r="N477" s="92" t="str">
        <f>IF($AG477="","",INDEX(V_IFRS,INDEX($AB$8:$AB$1407,$AG477)))</f>
        <v/>
      </c>
      <c r="O477" s="92" t="str">
        <f>IF($AG477="","",INDEX($AL$8:$AL$21,INDEX($AC$8:$AC$1407,$AG477)+1))</f>
        <v/>
      </c>
      <c r="P477" s="109" t="str">
        <f>IF($AG477="","",INDEX($AD$8:$AD$1407,$AG477))</f>
        <v/>
      </c>
      <c r="Q477" s="92" t="str">
        <f>IF($AG477="","",INDEX($AM$8:$AM$21,INDEX($AC$8:$AC$1407,$AG477)+1))</f>
        <v/>
      </c>
      <c r="R477" s="92" t="str">
        <f>IF($AG477="","",IF($G477&gt;0,P_ToelCorrectie&amp;"",""))</f>
        <v/>
      </c>
      <c r="S477" s="15" t="str">
        <f>IF(J477="","",J477&amp;"|"&amp;E477&amp;"|"&amp;F477&amp;"|"&amp;I477&amp;"|"&amp;O477)</f>
        <v/>
      </c>
      <c r="T477" s="111" t="str">
        <f>IF(S477="","",IF(COUNTIFS(L_Sleutel,S477,L_Actief,1)=0,"",SUMIFS(L_Waarde,L_Sleutel,S477,L_Actief,1)))</f>
        <v/>
      </c>
      <c r="U477" s="111">
        <f>IF(OR(S477="",T477=""),0,P477-T477)</f>
        <v>0</v>
      </c>
      <c r="AB477" s="112" t="n">
        <v>34</v>
      </c>
      <c r="AC477" s="112" t="n">
        <v>7</v>
      </c>
      <c r="AD477" s="112" t="str">
        <f>VERW_Project!AW39</f>
        <v/>
      </c>
      <c r="AE477" s="112">
        <f>IF(AND(VERW_Project!$A39&lt;&gt;"",ISNUMBER(AD477)),1,0)</f>
        <v>0</v>
      </c>
      <c r="AF477" s="112" t="str">
        <f>IF(AE477=1,SUM($AE$8:AE477),"")</f>
        <v/>
      </c>
      <c r="AG477" t="str">
        <f>IFERROR(MATCH(470,$AF$8:$AF$1407,0),"")</f>
        <v/>
      </c>
    </row>
    <row r="478">
      <c r="A478" s="92" t="str">
        <f>IF($AG478="","",P_ImportID)</f>
        <v/>
      </c>
      <c r="B478" s="92" t="str">
        <f>IF($AG478="","",IF(INDEX($AN$8:$AN$21,INDEX($AC$8:$AC$1407,$AG478)+1)="Z",P_BronZ,P_BronE))</f>
        <v/>
      </c>
      <c r="C478" s="108" t="str">
        <f>IF($AG478="","",P_Importdatum)</f>
        <v/>
      </c>
      <c r="D478" s="92" t="str">
        <f>IF($AG478="","",P_StatusVastleg)</f>
        <v/>
      </c>
      <c r="E478" s="92" t="str">
        <f>IF($AG478="","",P_UploadVJ)</f>
        <v/>
      </c>
      <c r="F478" s="92" t="str">
        <f>IF($AG478="","",P_UploadVersie)</f>
        <v/>
      </c>
      <c r="G478" s="92" t="str">
        <f>IF($AG478="","",IF(COUNTIFS(L_Sleutel,$S478,L_Status,"Vastgesteld")=0,0,_xlfn.MAXIFS(L_Revisie,L_Sleutel,$S478,L_Status,"Vastgesteld")+1))</f>
        <v/>
      </c>
      <c r="H478" s="108" t="str">
        <f>IF($AG478="","",P_Peildatum)</f>
        <v/>
      </c>
      <c r="I478" s="92" t="str">
        <f>IF($AG478="","",P_RJ+INDEX($AK$8:$AK$21,INDEX($AC$8:$AC$1407,$AG478)+1))</f>
        <v/>
      </c>
      <c r="J478" s="92" t="str">
        <f>IF($AG478="","",INDEX(V_WBS,INDEX($AB$8:$AB$1407,$AG478)))</f>
        <v/>
      </c>
      <c r="K478" s="92" t="str">
        <f>IF($AG478="","",INDEX(V_Projdef,INDEX($AB$8:$AB$1407,$AG478)))</f>
        <v/>
      </c>
      <c r="L478" s="92" t="str">
        <f>IF($AG478="","",INDEX(V_Naam,INDEX($AB$8:$AB$1407,$AG478)))</f>
        <v/>
      </c>
      <c r="M478" s="92" t="str">
        <f>IF($AG478="","",INDEX(V_Type,INDEX($AB$8:$AB$1407,$AG478)))</f>
        <v/>
      </c>
      <c r="N478" s="92" t="str">
        <f>IF($AG478="","",INDEX(V_IFRS,INDEX($AB$8:$AB$1407,$AG478)))</f>
        <v/>
      </c>
      <c r="O478" s="92" t="str">
        <f>IF($AG478="","",INDEX($AL$8:$AL$21,INDEX($AC$8:$AC$1407,$AG478)+1))</f>
        <v/>
      </c>
      <c r="P478" s="109" t="str">
        <f>IF($AG478="","",INDEX($AD$8:$AD$1407,$AG478))</f>
        <v/>
      </c>
      <c r="Q478" s="92" t="str">
        <f>IF($AG478="","",INDEX($AM$8:$AM$21,INDEX($AC$8:$AC$1407,$AG478)+1))</f>
        <v/>
      </c>
      <c r="R478" s="92" t="str">
        <f>IF($AG478="","",IF($G478&gt;0,P_ToelCorrectie&amp;"",""))</f>
        <v/>
      </c>
      <c r="S478" s="15" t="str">
        <f>IF(J478="","",J478&amp;"|"&amp;E478&amp;"|"&amp;F478&amp;"|"&amp;I478&amp;"|"&amp;O478)</f>
        <v/>
      </c>
      <c r="T478" s="111" t="str">
        <f>IF(S478="","",IF(COUNTIFS(L_Sleutel,S478,L_Actief,1)=0,"",SUMIFS(L_Waarde,L_Sleutel,S478,L_Actief,1)))</f>
        <v/>
      </c>
      <c r="U478" s="111">
        <f>IF(OR(S478="",T478=""),0,P478-T478)</f>
        <v>0</v>
      </c>
      <c r="AB478" s="112" t="n">
        <v>34</v>
      </c>
      <c r="AC478" s="112" t="n">
        <v>8</v>
      </c>
      <c r="AD478" s="112" t="str">
        <f>VERW_Project!BQ39</f>
        <v/>
      </c>
      <c r="AE478" s="112">
        <f>IF(AND(VERW_Project!$A39&lt;&gt;"",ISNUMBER(AD478)),1,0)</f>
        <v>0</v>
      </c>
      <c r="AF478" s="112" t="str">
        <f>IF(AE478=1,SUM($AE$8:AE478),"")</f>
        <v/>
      </c>
      <c r="AG478" t="str">
        <f>IFERROR(MATCH(471,$AF$8:$AF$1407,0),"")</f>
        <v/>
      </c>
    </row>
    <row r="479">
      <c r="A479" s="92" t="str">
        <f>IF($AG479="","",P_ImportID)</f>
        <v/>
      </c>
      <c r="B479" s="92" t="str">
        <f>IF($AG479="","",IF(INDEX($AN$8:$AN$21,INDEX($AC$8:$AC$1407,$AG479)+1)="Z",P_BronZ,P_BronE))</f>
        <v/>
      </c>
      <c r="C479" s="108" t="str">
        <f>IF($AG479="","",P_Importdatum)</f>
        <v/>
      </c>
      <c r="D479" s="92" t="str">
        <f>IF($AG479="","",P_StatusVastleg)</f>
        <v/>
      </c>
      <c r="E479" s="92" t="str">
        <f>IF($AG479="","",P_UploadVJ)</f>
        <v/>
      </c>
      <c r="F479" s="92" t="str">
        <f>IF($AG479="","",P_UploadVersie)</f>
        <v/>
      </c>
      <c r="G479" s="92" t="str">
        <f>IF($AG479="","",IF(COUNTIFS(L_Sleutel,$S479,L_Status,"Vastgesteld")=0,0,_xlfn.MAXIFS(L_Revisie,L_Sleutel,$S479,L_Status,"Vastgesteld")+1))</f>
        <v/>
      </c>
      <c r="H479" s="108" t="str">
        <f>IF($AG479="","",P_Peildatum)</f>
        <v/>
      </c>
      <c r="I479" s="92" t="str">
        <f>IF($AG479="","",P_RJ+INDEX($AK$8:$AK$21,INDEX($AC$8:$AC$1407,$AG479)+1))</f>
        <v/>
      </c>
      <c r="J479" s="92" t="str">
        <f>IF($AG479="","",INDEX(V_WBS,INDEX($AB$8:$AB$1407,$AG479)))</f>
        <v/>
      </c>
      <c r="K479" s="92" t="str">
        <f>IF($AG479="","",INDEX(V_Projdef,INDEX($AB$8:$AB$1407,$AG479)))</f>
        <v/>
      </c>
      <c r="L479" s="92" t="str">
        <f>IF($AG479="","",INDEX(V_Naam,INDEX($AB$8:$AB$1407,$AG479)))</f>
        <v/>
      </c>
      <c r="M479" s="92" t="str">
        <f>IF($AG479="","",INDEX(V_Type,INDEX($AB$8:$AB$1407,$AG479)))</f>
        <v/>
      </c>
      <c r="N479" s="92" t="str">
        <f>IF($AG479="","",INDEX(V_IFRS,INDEX($AB$8:$AB$1407,$AG479)))</f>
        <v/>
      </c>
      <c r="O479" s="92" t="str">
        <f>IF($AG479="","",INDEX($AL$8:$AL$21,INDEX($AC$8:$AC$1407,$AG479)+1))</f>
        <v/>
      </c>
      <c r="P479" s="109" t="str">
        <f>IF($AG479="","",INDEX($AD$8:$AD$1407,$AG479))</f>
        <v/>
      </c>
      <c r="Q479" s="92" t="str">
        <f>IF($AG479="","",INDEX($AM$8:$AM$21,INDEX($AC$8:$AC$1407,$AG479)+1))</f>
        <v/>
      </c>
      <c r="R479" s="92" t="str">
        <f>IF($AG479="","",IF($G479&gt;0,P_ToelCorrectie&amp;"",""))</f>
        <v/>
      </c>
      <c r="S479" s="15" t="str">
        <f>IF(J479="","",J479&amp;"|"&amp;E479&amp;"|"&amp;F479&amp;"|"&amp;I479&amp;"|"&amp;O479)</f>
        <v/>
      </c>
      <c r="T479" s="111" t="str">
        <f>IF(S479="","",IF(COUNTIFS(L_Sleutel,S479,L_Actief,1)=0,"",SUMIFS(L_Waarde,L_Sleutel,S479,L_Actief,1)))</f>
        <v/>
      </c>
      <c r="U479" s="111">
        <f>IF(OR(S479="",T479=""),0,P479-T479)</f>
        <v>0</v>
      </c>
      <c r="AB479" s="112" t="n">
        <v>34</v>
      </c>
      <c r="AC479" s="112" t="n">
        <v>9</v>
      </c>
      <c r="AD479" s="112" t="str">
        <f>VERW_Project!BR39</f>
        <v/>
      </c>
      <c r="AE479" s="112">
        <f>IF(AND(VERW_Project!$A39&lt;&gt;"",ISNUMBER(AD479)),1,0)</f>
        <v>0</v>
      </c>
      <c r="AF479" s="112" t="str">
        <f>IF(AE479=1,SUM($AE$8:AE479),"")</f>
        <v/>
      </c>
      <c r="AG479" t="str">
        <f>IFERROR(MATCH(472,$AF$8:$AF$1407,0),"")</f>
        <v/>
      </c>
    </row>
    <row r="480">
      <c r="A480" s="92" t="str">
        <f>IF($AG480="","",P_ImportID)</f>
        <v/>
      </c>
      <c r="B480" s="92" t="str">
        <f>IF($AG480="","",IF(INDEX($AN$8:$AN$21,INDEX($AC$8:$AC$1407,$AG480)+1)="Z",P_BronZ,P_BronE))</f>
        <v/>
      </c>
      <c r="C480" s="108" t="str">
        <f>IF($AG480="","",P_Importdatum)</f>
        <v/>
      </c>
      <c r="D480" s="92" t="str">
        <f>IF($AG480="","",P_StatusVastleg)</f>
        <v/>
      </c>
      <c r="E480" s="92" t="str">
        <f>IF($AG480="","",P_UploadVJ)</f>
        <v/>
      </c>
      <c r="F480" s="92" t="str">
        <f>IF($AG480="","",P_UploadVersie)</f>
        <v/>
      </c>
      <c r="G480" s="92" t="str">
        <f>IF($AG480="","",IF(COUNTIFS(L_Sleutel,$S480,L_Status,"Vastgesteld")=0,0,_xlfn.MAXIFS(L_Revisie,L_Sleutel,$S480,L_Status,"Vastgesteld")+1))</f>
        <v/>
      </c>
      <c r="H480" s="108" t="str">
        <f>IF($AG480="","",P_Peildatum)</f>
        <v/>
      </c>
      <c r="I480" s="92" t="str">
        <f>IF($AG480="","",P_RJ+INDEX($AK$8:$AK$21,INDEX($AC$8:$AC$1407,$AG480)+1))</f>
        <v/>
      </c>
      <c r="J480" s="92" t="str">
        <f>IF($AG480="","",INDEX(V_WBS,INDEX($AB$8:$AB$1407,$AG480)))</f>
        <v/>
      </c>
      <c r="K480" s="92" t="str">
        <f>IF($AG480="","",INDEX(V_Projdef,INDEX($AB$8:$AB$1407,$AG480)))</f>
        <v/>
      </c>
      <c r="L480" s="92" t="str">
        <f>IF($AG480="","",INDEX(V_Naam,INDEX($AB$8:$AB$1407,$AG480)))</f>
        <v/>
      </c>
      <c r="M480" s="92" t="str">
        <f>IF($AG480="","",INDEX(V_Type,INDEX($AB$8:$AB$1407,$AG480)))</f>
        <v/>
      </c>
      <c r="N480" s="92" t="str">
        <f>IF($AG480="","",INDEX(V_IFRS,INDEX($AB$8:$AB$1407,$AG480)))</f>
        <v/>
      </c>
      <c r="O480" s="92" t="str">
        <f>IF($AG480="","",INDEX($AL$8:$AL$21,INDEX($AC$8:$AC$1407,$AG480)+1))</f>
        <v/>
      </c>
      <c r="P480" s="109" t="str">
        <f>IF($AG480="","",INDEX($AD$8:$AD$1407,$AG480))</f>
        <v/>
      </c>
      <c r="Q480" s="92" t="str">
        <f>IF($AG480="","",INDEX($AM$8:$AM$21,INDEX($AC$8:$AC$1407,$AG480)+1))</f>
        <v/>
      </c>
      <c r="R480" s="92" t="str">
        <f>IF($AG480="","",IF($G480&gt;0,P_ToelCorrectie&amp;"",""))</f>
        <v/>
      </c>
      <c r="S480" s="15" t="str">
        <f>IF(J480="","",J480&amp;"|"&amp;E480&amp;"|"&amp;F480&amp;"|"&amp;I480&amp;"|"&amp;O480)</f>
        <v/>
      </c>
      <c r="T480" s="111" t="str">
        <f>IF(S480="","",IF(COUNTIFS(L_Sleutel,S480,L_Actief,1)=0,"",SUMIFS(L_Waarde,L_Sleutel,S480,L_Actief,1)))</f>
        <v/>
      </c>
      <c r="U480" s="111">
        <f>IF(OR(S480="",T480=""),0,P480-T480)</f>
        <v>0</v>
      </c>
      <c r="AB480" s="112" t="n">
        <v>34</v>
      </c>
      <c r="AC480" s="112" t="n">
        <v>10</v>
      </c>
      <c r="AD480" s="112" t="str">
        <f>VERW_Project!BS39</f>
        <v/>
      </c>
      <c r="AE480" s="112">
        <f>IF(AND(VERW_Project!$A39&lt;&gt;"",ISNUMBER(AD480)),1,0)</f>
        <v>0</v>
      </c>
      <c r="AF480" s="112" t="str">
        <f>IF(AE480=1,SUM($AE$8:AE480),"")</f>
        <v/>
      </c>
      <c r="AG480" t="str">
        <f>IFERROR(MATCH(473,$AF$8:$AF$1407,0),"")</f>
        <v/>
      </c>
    </row>
    <row r="481">
      <c r="A481" s="92" t="str">
        <f>IF($AG481="","",P_ImportID)</f>
        <v/>
      </c>
      <c r="B481" s="92" t="str">
        <f>IF($AG481="","",IF(INDEX($AN$8:$AN$21,INDEX($AC$8:$AC$1407,$AG481)+1)="Z",P_BronZ,P_BronE))</f>
        <v/>
      </c>
      <c r="C481" s="108" t="str">
        <f>IF($AG481="","",P_Importdatum)</f>
        <v/>
      </c>
      <c r="D481" s="92" t="str">
        <f>IF($AG481="","",P_StatusVastleg)</f>
        <v/>
      </c>
      <c r="E481" s="92" t="str">
        <f>IF($AG481="","",P_UploadVJ)</f>
        <v/>
      </c>
      <c r="F481" s="92" t="str">
        <f>IF($AG481="","",P_UploadVersie)</f>
        <v/>
      </c>
      <c r="G481" s="92" t="str">
        <f>IF($AG481="","",IF(COUNTIFS(L_Sleutel,$S481,L_Status,"Vastgesteld")=0,0,_xlfn.MAXIFS(L_Revisie,L_Sleutel,$S481,L_Status,"Vastgesteld")+1))</f>
        <v/>
      </c>
      <c r="H481" s="108" t="str">
        <f>IF($AG481="","",P_Peildatum)</f>
        <v/>
      </c>
      <c r="I481" s="92" t="str">
        <f>IF($AG481="","",P_RJ+INDEX($AK$8:$AK$21,INDEX($AC$8:$AC$1407,$AG481)+1))</f>
        <v/>
      </c>
      <c r="J481" s="92" t="str">
        <f>IF($AG481="","",INDEX(V_WBS,INDEX($AB$8:$AB$1407,$AG481)))</f>
        <v/>
      </c>
      <c r="K481" s="92" t="str">
        <f>IF($AG481="","",INDEX(V_Projdef,INDEX($AB$8:$AB$1407,$AG481)))</f>
        <v/>
      </c>
      <c r="L481" s="92" t="str">
        <f>IF($AG481="","",INDEX(V_Naam,INDEX($AB$8:$AB$1407,$AG481)))</f>
        <v/>
      </c>
      <c r="M481" s="92" t="str">
        <f>IF($AG481="","",INDEX(V_Type,INDEX($AB$8:$AB$1407,$AG481)))</f>
        <v/>
      </c>
      <c r="N481" s="92" t="str">
        <f>IF($AG481="","",INDEX(V_IFRS,INDEX($AB$8:$AB$1407,$AG481)))</f>
        <v/>
      </c>
      <c r="O481" s="92" t="str">
        <f>IF($AG481="","",INDEX($AL$8:$AL$21,INDEX($AC$8:$AC$1407,$AG481)+1))</f>
        <v/>
      </c>
      <c r="P481" s="109" t="str">
        <f>IF($AG481="","",INDEX($AD$8:$AD$1407,$AG481))</f>
        <v/>
      </c>
      <c r="Q481" s="92" t="str">
        <f>IF($AG481="","",INDEX($AM$8:$AM$21,INDEX($AC$8:$AC$1407,$AG481)+1))</f>
        <v/>
      </c>
      <c r="R481" s="92" t="str">
        <f>IF($AG481="","",IF($G481&gt;0,P_ToelCorrectie&amp;"",""))</f>
        <v/>
      </c>
      <c r="S481" s="15" t="str">
        <f>IF(J481="","",J481&amp;"|"&amp;E481&amp;"|"&amp;F481&amp;"|"&amp;I481&amp;"|"&amp;O481)</f>
        <v/>
      </c>
      <c r="T481" s="111" t="str">
        <f>IF(S481="","",IF(COUNTIFS(L_Sleutel,S481,L_Actief,1)=0,"",SUMIFS(L_Waarde,L_Sleutel,S481,L_Actief,1)))</f>
        <v/>
      </c>
      <c r="U481" s="111">
        <f>IF(OR(S481="",T481=""),0,P481-T481)</f>
        <v>0</v>
      </c>
      <c r="AB481" s="112" t="n">
        <v>34</v>
      </c>
      <c r="AC481" s="112" t="n">
        <v>11</v>
      </c>
      <c r="AD481" s="112" t="str">
        <f>VERW_Project!BT39</f>
        <v/>
      </c>
      <c r="AE481" s="112">
        <f>IF(AND(VERW_Project!$A39&lt;&gt;"",ISNUMBER(AD481)),1,0)</f>
        <v>0</v>
      </c>
      <c r="AF481" s="112" t="str">
        <f>IF(AE481=1,SUM($AE$8:AE481),"")</f>
        <v/>
      </c>
      <c r="AG481" t="str">
        <f>IFERROR(MATCH(474,$AF$8:$AF$1407,0),"")</f>
        <v/>
      </c>
    </row>
    <row r="482">
      <c r="A482" s="92" t="str">
        <f>IF($AG482="","",P_ImportID)</f>
        <v/>
      </c>
      <c r="B482" s="92" t="str">
        <f>IF($AG482="","",IF(INDEX($AN$8:$AN$21,INDEX($AC$8:$AC$1407,$AG482)+1)="Z",P_BronZ,P_BronE))</f>
        <v/>
      </c>
      <c r="C482" s="108" t="str">
        <f>IF($AG482="","",P_Importdatum)</f>
        <v/>
      </c>
      <c r="D482" s="92" t="str">
        <f>IF($AG482="","",P_StatusVastleg)</f>
        <v/>
      </c>
      <c r="E482" s="92" t="str">
        <f>IF($AG482="","",P_UploadVJ)</f>
        <v/>
      </c>
      <c r="F482" s="92" t="str">
        <f>IF($AG482="","",P_UploadVersie)</f>
        <v/>
      </c>
      <c r="G482" s="92" t="str">
        <f>IF($AG482="","",IF(COUNTIFS(L_Sleutel,$S482,L_Status,"Vastgesteld")=0,0,_xlfn.MAXIFS(L_Revisie,L_Sleutel,$S482,L_Status,"Vastgesteld")+1))</f>
        <v/>
      </c>
      <c r="H482" s="108" t="str">
        <f>IF($AG482="","",P_Peildatum)</f>
        <v/>
      </c>
      <c r="I482" s="92" t="str">
        <f>IF($AG482="","",P_RJ+INDEX($AK$8:$AK$21,INDEX($AC$8:$AC$1407,$AG482)+1))</f>
        <v/>
      </c>
      <c r="J482" s="92" t="str">
        <f>IF($AG482="","",INDEX(V_WBS,INDEX($AB$8:$AB$1407,$AG482)))</f>
        <v/>
      </c>
      <c r="K482" s="92" t="str">
        <f>IF($AG482="","",INDEX(V_Projdef,INDEX($AB$8:$AB$1407,$AG482)))</f>
        <v/>
      </c>
      <c r="L482" s="92" t="str">
        <f>IF($AG482="","",INDEX(V_Naam,INDEX($AB$8:$AB$1407,$AG482)))</f>
        <v/>
      </c>
      <c r="M482" s="92" t="str">
        <f>IF($AG482="","",INDEX(V_Type,INDEX($AB$8:$AB$1407,$AG482)))</f>
        <v/>
      </c>
      <c r="N482" s="92" t="str">
        <f>IF($AG482="","",INDEX(V_IFRS,INDEX($AB$8:$AB$1407,$AG482)))</f>
        <v/>
      </c>
      <c r="O482" s="92" t="str">
        <f>IF($AG482="","",INDEX($AL$8:$AL$21,INDEX($AC$8:$AC$1407,$AG482)+1))</f>
        <v/>
      </c>
      <c r="P482" s="109" t="str">
        <f>IF($AG482="","",INDEX($AD$8:$AD$1407,$AG482))</f>
        <v/>
      </c>
      <c r="Q482" s="92" t="str">
        <f>IF($AG482="","",INDEX($AM$8:$AM$21,INDEX($AC$8:$AC$1407,$AG482)+1))</f>
        <v/>
      </c>
      <c r="R482" s="92" t="str">
        <f>IF($AG482="","",IF($G482&gt;0,P_ToelCorrectie&amp;"",""))</f>
        <v/>
      </c>
      <c r="S482" s="15" t="str">
        <f>IF(J482="","",J482&amp;"|"&amp;E482&amp;"|"&amp;F482&amp;"|"&amp;I482&amp;"|"&amp;O482)</f>
        <v/>
      </c>
      <c r="T482" s="111" t="str">
        <f>IF(S482="","",IF(COUNTIFS(L_Sleutel,S482,L_Actief,1)=0,"",SUMIFS(L_Waarde,L_Sleutel,S482,L_Actief,1)))</f>
        <v/>
      </c>
      <c r="U482" s="111">
        <f>IF(OR(S482="",T482=""),0,P482-T482)</f>
        <v>0</v>
      </c>
      <c r="AB482" s="112" t="n">
        <v>34</v>
      </c>
      <c r="AC482" s="112" t="n">
        <v>12</v>
      </c>
      <c r="AD482" s="112" t="str">
        <f>VERW_Project!BU39</f>
        <v/>
      </c>
      <c r="AE482" s="112">
        <f>IF(AND(VERW_Project!$A39&lt;&gt;"",ISNUMBER(AD482)),1,0)</f>
        <v>0</v>
      </c>
      <c r="AF482" s="112" t="str">
        <f>IF(AE482=1,SUM($AE$8:AE482),"")</f>
        <v/>
      </c>
      <c r="AG482" t="str">
        <f>IFERROR(MATCH(475,$AF$8:$AF$1407,0),"")</f>
        <v/>
      </c>
    </row>
    <row r="483">
      <c r="A483" s="92" t="str">
        <f>IF($AG483="","",P_ImportID)</f>
        <v/>
      </c>
      <c r="B483" s="92" t="str">
        <f>IF($AG483="","",IF(INDEX($AN$8:$AN$21,INDEX($AC$8:$AC$1407,$AG483)+1)="Z",P_BronZ,P_BronE))</f>
        <v/>
      </c>
      <c r="C483" s="108" t="str">
        <f>IF($AG483="","",P_Importdatum)</f>
        <v/>
      </c>
      <c r="D483" s="92" t="str">
        <f>IF($AG483="","",P_StatusVastleg)</f>
        <v/>
      </c>
      <c r="E483" s="92" t="str">
        <f>IF($AG483="","",P_UploadVJ)</f>
        <v/>
      </c>
      <c r="F483" s="92" t="str">
        <f>IF($AG483="","",P_UploadVersie)</f>
        <v/>
      </c>
      <c r="G483" s="92" t="str">
        <f>IF($AG483="","",IF(COUNTIFS(L_Sleutel,$S483,L_Status,"Vastgesteld")=0,0,_xlfn.MAXIFS(L_Revisie,L_Sleutel,$S483,L_Status,"Vastgesteld")+1))</f>
        <v/>
      </c>
      <c r="H483" s="108" t="str">
        <f>IF($AG483="","",P_Peildatum)</f>
        <v/>
      </c>
      <c r="I483" s="92" t="str">
        <f>IF($AG483="","",P_RJ+INDEX($AK$8:$AK$21,INDEX($AC$8:$AC$1407,$AG483)+1))</f>
        <v/>
      </c>
      <c r="J483" s="92" t="str">
        <f>IF($AG483="","",INDEX(V_WBS,INDEX($AB$8:$AB$1407,$AG483)))</f>
        <v/>
      </c>
      <c r="K483" s="92" t="str">
        <f>IF($AG483="","",INDEX(V_Projdef,INDEX($AB$8:$AB$1407,$AG483)))</f>
        <v/>
      </c>
      <c r="L483" s="92" t="str">
        <f>IF($AG483="","",INDEX(V_Naam,INDEX($AB$8:$AB$1407,$AG483)))</f>
        <v/>
      </c>
      <c r="M483" s="92" t="str">
        <f>IF($AG483="","",INDEX(V_Type,INDEX($AB$8:$AB$1407,$AG483)))</f>
        <v/>
      </c>
      <c r="N483" s="92" t="str">
        <f>IF($AG483="","",INDEX(V_IFRS,INDEX($AB$8:$AB$1407,$AG483)))</f>
        <v/>
      </c>
      <c r="O483" s="92" t="str">
        <f>IF($AG483="","",INDEX($AL$8:$AL$21,INDEX($AC$8:$AC$1407,$AG483)+1))</f>
        <v/>
      </c>
      <c r="P483" s="109" t="str">
        <f>IF($AG483="","",INDEX($AD$8:$AD$1407,$AG483))</f>
        <v/>
      </c>
      <c r="Q483" s="92" t="str">
        <f>IF($AG483="","",INDEX($AM$8:$AM$21,INDEX($AC$8:$AC$1407,$AG483)+1))</f>
        <v/>
      </c>
      <c r="R483" s="92" t="str">
        <f>IF($AG483="","",IF($G483&gt;0,P_ToelCorrectie&amp;"",""))</f>
        <v/>
      </c>
      <c r="S483" s="15" t="str">
        <f>IF(J483="","",J483&amp;"|"&amp;E483&amp;"|"&amp;F483&amp;"|"&amp;I483&amp;"|"&amp;O483)</f>
        <v/>
      </c>
      <c r="T483" s="111" t="str">
        <f>IF(S483="","",IF(COUNTIFS(L_Sleutel,S483,L_Actief,1)=0,"",SUMIFS(L_Waarde,L_Sleutel,S483,L_Actief,1)))</f>
        <v/>
      </c>
      <c r="U483" s="111">
        <f>IF(OR(S483="",T483=""),0,P483-T483)</f>
        <v>0</v>
      </c>
      <c r="AB483" s="112" t="n">
        <v>34</v>
      </c>
      <c r="AC483" s="112" t="n">
        <v>13</v>
      </c>
      <c r="AD483" s="112" t="str">
        <f>VERW_Project!BX39</f>
        <v/>
      </c>
      <c r="AE483" s="112">
        <f>IF(AND(VERW_Project!$A39&lt;&gt;"",ISNUMBER(AD483)),1,0)</f>
        <v>0</v>
      </c>
      <c r="AF483" s="112" t="str">
        <f>IF(AE483=1,SUM($AE$8:AE483),"")</f>
        <v/>
      </c>
      <c r="AG483" t="str">
        <f>IFERROR(MATCH(476,$AF$8:$AF$1407,0),"")</f>
        <v/>
      </c>
    </row>
    <row r="484">
      <c r="A484" s="92" t="str">
        <f>IF($AG484="","",P_ImportID)</f>
        <v/>
      </c>
      <c r="B484" s="92" t="str">
        <f>IF($AG484="","",IF(INDEX($AN$8:$AN$21,INDEX($AC$8:$AC$1407,$AG484)+1)="Z",P_BronZ,P_BronE))</f>
        <v/>
      </c>
      <c r="C484" s="108" t="str">
        <f>IF($AG484="","",P_Importdatum)</f>
        <v/>
      </c>
      <c r="D484" s="92" t="str">
        <f>IF($AG484="","",P_StatusVastleg)</f>
        <v/>
      </c>
      <c r="E484" s="92" t="str">
        <f>IF($AG484="","",P_UploadVJ)</f>
        <v/>
      </c>
      <c r="F484" s="92" t="str">
        <f>IF($AG484="","",P_UploadVersie)</f>
        <v/>
      </c>
      <c r="G484" s="92" t="str">
        <f>IF($AG484="","",IF(COUNTIFS(L_Sleutel,$S484,L_Status,"Vastgesteld")=0,0,_xlfn.MAXIFS(L_Revisie,L_Sleutel,$S484,L_Status,"Vastgesteld")+1))</f>
        <v/>
      </c>
      <c r="H484" s="108" t="str">
        <f>IF($AG484="","",P_Peildatum)</f>
        <v/>
      </c>
      <c r="I484" s="92" t="str">
        <f>IF($AG484="","",P_RJ+INDEX($AK$8:$AK$21,INDEX($AC$8:$AC$1407,$AG484)+1))</f>
        <v/>
      </c>
      <c r="J484" s="92" t="str">
        <f>IF($AG484="","",INDEX(V_WBS,INDEX($AB$8:$AB$1407,$AG484)))</f>
        <v/>
      </c>
      <c r="K484" s="92" t="str">
        <f>IF($AG484="","",INDEX(V_Projdef,INDEX($AB$8:$AB$1407,$AG484)))</f>
        <v/>
      </c>
      <c r="L484" s="92" t="str">
        <f>IF($AG484="","",INDEX(V_Naam,INDEX($AB$8:$AB$1407,$AG484)))</f>
        <v/>
      </c>
      <c r="M484" s="92" t="str">
        <f>IF($AG484="","",INDEX(V_Type,INDEX($AB$8:$AB$1407,$AG484)))</f>
        <v/>
      </c>
      <c r="N484" s="92" t="str">
        <f>IF($AG484="","",INDEX(V_IFRS,INDEX($AB$8:$AB$1407,$AG484)))</f>
        <v/>
      </c>
      <c r="O484" s="92" t="str">
        <f>IF($AG484="","",INDEX($AL$8:$AL$21,INDEX($AC$8:$AC$1407,$AG484)+1))</f>
        <v/>
      </c>
      <c r="P484" s="109" t="str">
        <f>IF($AG484="","",INDEX($AD$8:$AD$1407,$AG484))</f>
        <v/>
      </c>
      <c r="Q484" s="92" t="str">
        <f>IF($AG484="","",INDEX($AM$8:$AM$21,INDEX($AC$8:$AC$1407,$AG484)+1))</f>
        <v/>
      </c>
      <c r="R484" s="92" t="str">
        <f>IF($AG484="","",IF($G484&gt;0,P_ToelCorrectie&amp;"",""))</f>
        <v/>
      </c>
      <c r="S484" s="15" t="str">
        <f>IF(J484="","",J484&amp;"|"&amp;E484&amp;"|"&amp;F484&amp;"|"&amp;I484&amp;"|"&amp;O484)</f>
        <v/>
      </c>
      <c r="T484" s="111" t="str">
        <f>IF(S484="","",IF(COUNTIFS(L_Sleutel,S484,L_Actief,1)=0,"",SUMIFS(L_Waarde,L_Sleutel,S484,L_Actief,1)))</f>
        <v/>
      </c>
      <c r="U484" s="111">
        <f>IF(OR(S484="",T484=""),0,P484-T484)</f>
        <v>0</v>
      </c>
      <c r="AB484" s="112" t="n">
        <v>35</v>
      </c>
      <c r="AC484" s="112" t="n">
        <v>0</v>
      </c>
      <c r="AD484" s="112" t="str">
        <f>VERW_Project!P40</f>
        <v/>
      </c>
      <c r="AE484" s="112">
        <f>IF(AND(VERW_Project!$A40&lt;&gt;"",ISNUMBER(AD484)),1,0)</f>
        <v>0</v>
      </c>
      <c r="AF484" s="112" t="str">
        <f>IF(AE484=1,SUM($AE$8:AE484),"")</f>
        <v/>
      </c>
      <c r="AG484" t="str">
        <f>IFERROR(MATCH(477,$AF$8:$AF$1407,0),"")</f>
        <v/>
      </c>
    </row>
    <row r="485">
      <c r="A485" s="92" t="str">
        <f>IF($AG485="","",P_ImportID)</f>
        <v/>
      </c>
      <c r="B485" s="92" t="str">
        <f>IF($AG485="","",IF(INDEX($AN$8:$AN$21,INDEX($AC$8:$AC$1407,$AG485)+1)="Z",P_BronZ,P_BronE))</f>
        <v/>
      </c>
      <c r="C485" s="108" t="str">
        <f>IF($AG485="","",P_Importdatum)</f>
        <v/>
      </c>
      <c r="D485" s="92" t="str">
        <f>IF($AG485="","",P_StatusVastleg)</f>
        <v/>
      </c>
      <c r="E485" s="92" t="str">
        <f>IF($AG485="","",P_UploadVJ)</f>
        <v/>
      </c>
      <c r="F485" s="92" t="str">
        <f>IF($AG485="","",P_UploadVersie)</f>
        <v/>
      </c>
      <c r="G485" s="92" t="str">
        <f>IF($AG485="","",IF(COUNTIFS(L_Sleutel,$S485,L_Status,"Vastgesteld")=0,0,_xlfn.MAXIFS(L_Revisie,L_Sleutel,$S485,L_Status,"Vastgesteld")+1))</f>
        <v/>
      </c>
      <c r="H485" s="108" t="str">
        <f>IF($AG485="","",P_Peildatum)</f>
        <v/>
      </c>
      <c r="I485" s="92" t="str">
        <f>IF($AG485="","",P_RJ+INDEX($AK$8:$AK$21,INDEX($AC$8:$AC$1407,$AG485)+1))</f>
        <v/>
      </c>
      <c r="J485" s="92" t="str">
        <f>IF($AG485="","",INDEX(V_WBS,INDEX($AB$8:$AB$1407,$AG485)))</f>
        <v/>
      </c>
      <c r="K485" s="92" t="str">
        <f>IF($AG485="","",INDEX(V_Projdef,INDEX($AB$8:$AB$1407,$AG485)))</f>
        <v/>
      </c>
      <c r="L485" s="92" t="str">
        <f>IF($AG485="","",INDEX(V_Naam,INDEX($AB$8:$AB$1407,$AG485)))</f>
        <v/>
      </c>
      <c r="M485" s="92" t="str">
        <f>IF($AG485="","",INDEX(V_Type,INDEX($AB$8:$AB$1407,$AG485)))</f>
        <v/>
      </c>
      <c r="N485" s="92" t="str">
        <f>IF($AG485="","",INDEX(V_IFRS,INDEX($AB$8:$AB$1407,$AG485)))</f>
        <v/>
      </c>
      <c r="O485" s="92" t="str">
        <f>IF($AG485="","",INDEX($AL$8:$AL$21,INDEX($AC$8:$AC$1407,$AG485)+1))</f>
        <v/>
      </c>
      <c r="P485" s="109" t="str">
        <f>IF($AG485="","",INDEX($AD$8:$AD$1407,$AG485))</f>
        <v/>
      </c>
      <c r="Q485" s="92" t="str">
        <f>IF($AG485="","",INDEX($AM$8:$AM$21,INDEX($AC$8:$AC$1407,$AG485)+1))</f>
        <v/>
      </c>
      <c r="R485" s="92" t="str">
        <f>IF($AG485="","",IF($G485&gt;0,P_ToelCorrectie&amp;"",""))</f>
        <v/>
      </c>
      <c r="S485" s="15" t="str">
        <f>IF(J485="","",J485&amp;"|"&amp;E485&amp;"|"&amp;F485&amp;"|"&amp;I485&amp;"|"&amp;O485)</f>
        <v/>
      </c>
      <c r="T485" s="111" t="str">
        <f>IF(S485="","",IF(COUNTIFS(L_Sleutel,S485,L_Actief,1)=0,"",SUMIFS(L_Waarde,L_Sleutel,S485,L_Actief,1)))</f>
        <v/>
      </c>
      <c r="U485" s="111">
        <f>IF(OR(S485="",T485=""),0,P485-T485)</f>
        <v>0</v>
      </c>
      <c r="AB485" s="112" t="n">
        <v>35</v>
      </c>
      <c r="AC485" s="112" t="n">
        <v>1</v>
      </c>
      <c r="AD485" s="112" t="str">
        <f>VERW_Project!Q40</f>
        <v/>
      </c>
      <c r="AE485" s="112">
        <f>IF(AND(VERW_Project!$A40&lt;&gt;"",ISNUMBER(AD485)),1,0)</f>
        <v>0</v>
      </c>
      <c r="AF485" s="112" t="str">
        <f>IF(AE485=1,SUM($AE$8:AE485),"")</f>
        <v/>
      </c>
      <c r="AG485" t="str">
        <f>IFERROR(MATCH(478,$AF$8:$AF$1407,0),"")</f>
        <v/>
      </c>
    </row>
    <row r="486">
      <c r="A486" s="92" t="str">
        <f>IF($AG486="","",P_ImportID)</f>
        <v/>
      </c>
      <c r="B486" s="92" t="str">
        <f>IF($AG486="","",IF(INDEX($AN$8:$AN$21,INDEX($AC$8:$AC$1407,$AG486)+1)="Z",P_BronZ,P_BronE))</f>
        <v/>
      </c>
      <c r="C486" s="108" t="str">
        <f>IF($AG486="","",P_Importdatum)</f>
        <v/>
      </c>
      <c r="D486" s="92" t="str">
        <f>IF($AG486="","",P_StatusVastleg)</f>
        <v/>
      </c>
      <c r="E486" s="92" t="str">
        <f>IF($AG486="","",P_UploadVJ)</f>
        <v/>
      </c>
      <c r="F486" s="92" t="str">
        <f>IF($AG486="","",P_UploadVersie)</f>
        <v/>
      </c>
      <c r="G486" s="92" t="str">
        <f>IF($AG486="","",IF(COUNTIFS(L_Sleutel,$S486,L_Status,"Vastgesteld")=0,0,_xlfn.MAXIFS(L_Revisie,L_Sleutel,$S486,L_Status,"Vastgesteld")+1))</f>
        <v/>
      </c>
      <c r="H486" s="108" t="str">
        <f>IF($AG486="","",P_Peildatum)</f>
        <v/>
      </c>
      <c r="I486" s="92" t="str">
        <f>IF($AG486="","",P_RJ+INDEX($AK$8:$AK$21,INDEX($AC$8:$AC$1407,$AG486)+1))</f>
        <v/>
      </c>
      <c r="J486" s="92" t="str">
        <f>IF($AG486="","",INDEX(V_WBS,INDEX($AB$8:$AB$1407,$AG486)))</f>
        <v/>
      </c>
      <c r="K486" s="92" t="str">
        <f>IF($AG486="","",INDEX(V_Projdef,INDEX($AB$8:$AB$1407,$AG486)))</f>
        <v/>
      </c>
      <c r="L486" s="92" t="str">
        <f>IF($AG486="","",INDEX(V_Naam,INDEX($AB$8:$AB$1407,$AG486)))</f>
        <v/>
      </c>
      <c r="M486" s="92" t="str">
        <f>IF($AG486="","",INDEX(V_Type,INDEX($AB$8:$AB$1407,$AG486)))</f>
        <v/>
      </c>
      <c r="N486" s="92" t="str">
        <f>IF($AG486="","",INDEX(V_IFRS,INDEX($AB$8:$AB$1407,$AG486)))</f>
        <v/>
      </c>
      <c r="O486" s="92" t="str">
        <f>IF($AG486="","",INDEX($AL$8:$AL$21,INDEX($AC$8:$AC$1407,$AG486)+1))</f>
        <v/>
      </c>
      <c r="P486" s="109" t="str">
        <f>IF($AG486="","",INDEX($AD$8:$AD$1407,$AG486))</f>
        <v/>
      </c>
      <c r="Q486" s="92" t="str">
        <f>IF($AG486="","",INDEX($AM$8:$AM$21,INDEX($AC$8:$AC$1407,$AG486)+1))</f>
        <v/>
      </c>
      <c r="R486" s="92" t="str">
        <f>IF($AG486="","",IF($G486&gt;0,P_ToelCorrectie&amp;"",""))</f>
        <v/>
      </c>
      <c r="S486" s="15" t="str">
        <f>IF(J486="","",J486&amp;"|"&amp;E486&amp;"|"&amp;F486&amp;"|"&amp;I486&amp;"|"&amp;O486)</f>
        <v/>
      </c>
      <c r="T486" s="111" t="str">
        <f>IF(S486="","",IF(COUNTIFS(L_Sleutel,S486,L_Actief,1)=0,"",SUMIFS(L_Waarde,L_Sleutel,S486,L_Actief,1)))</f>
        <v/>
      </c>
      <c r="U486" s="111">
        <f>IF(OR(S486="",T486=""),0,P486-T486)</f>
        <v>0</v>
      </c>
      <c r="AB486" s="112" t="n">
        <v>35</v>
      </c>
      <c r="AC486" s="112" t="n">
        <v>2</v>
      </c>
      <c r="AD486" s="112" t="str">
        <f>VERW_Project!L40</f>
        <v/>
      </c>
      <c r="AE486" s="112">
        <f>IF(AND(VERW_Project!$A40&lt;&gt;"",ISNUMBER(AD486)),1,0)</f>
        <v>0</v>
      </c>
      <c r="AF486" s="112" t="str">
        <f>IF(AE486=1,SUM($AE$8:AE486),"")</f>
        <v/>
      </c>
      <c r="AG486" t="str">
        <f>IFERROR(MATCH(479,$AF$8:$AF$1407,0),"")</f>
        <v/>
      </c>
    </row>
    <row r="487">
      <c r="A487" s="92" t="str">
        <f>IF($AG487="","",P_ImportID)</f>
        <v/>
      </c>
      <c r="B487" s="92" t="str">
        <f>IF($AG487="","",IF(INDEX($AN$8:$AN$21,INDEX($AC$8:$AC$1407,$AG487)+1)="Z",P_BronZ,P_BronE))</f>
        <v/>
      </c>
      <c r="C487" s="108" t="str">
        <f>IF($AG487="","",P_Importdatum)</f>
        <v/>
      </c>
      <c r="D487" s="92" t="str">
        <f>IF($AG487="","",P_StatusVastleg)</f>
        <v/>
      </c>
      <c r="E487" s="92" t="str">
        <f>IF($AG487="","",P_UploadVJ)</f>
        <v/>
      </c>
      <c r="F487" s="92" t="str">
        <f>IF($AG487="","",P_UploadVersie)</f>
        <v/>
      </c>
      <c r="G487" s="92" t="str">
        <f>IF($AG487="","",IF(COUNTIFS(L_Sleutel,$S487,L_Status,"Vastgesteld")=0,0,_xlfn.MAXIFS(L_Revisie,L_Sleutel,$S487,L_Status,"Vastgesteld")+1))</f>
        <v/>
      </c>
      <c r="H487" s="108" t="str">
        <f>IF($AG487="","",P_Peildatum)</f>
        <v/>
      </c>
      <c r="I487" s="92" t="str">
        <f>IF($AG487="","",P_RJ+INDEX($AK$8:$AK$21,INDEX($AC$8:$AC$1407,$AG487)+1))</f>
        <v/>
      </c>
      <c r="J487" s="92" t="str">
        <f>IF($AG487="","",INDEX(V_WBS,INDEX($AB$8:$AB$1407,$AG487)))</f>
        <v/>
      </c>
      <c r="K487" s="92" t="str">
        <f>IF($AG487="","",INDEX(V_Projdef,INDEX($AB$8:$AB$1407,$AG487)))</f>
        <v/>
      </c>
      <c r="L487" s="92" t="str">
        <f>IF($AG487="","",INDEX(V_Naam,INDEX($AB$8:$AB$1407,$AG487)))</f>
        <v/>
      </c>
      <c r="M487" s="92" t="str">
        <f>IF($AG487="","",INDEX(V_Type,INDEX($AB$8:$AB$1407,$AG487)))</f>
        <v/>
      </c>
      <c r="N487" s="92" t="str">
        <f>IF($AG487="","",INDEX(V_IFRS,INDEX($AB$8:$AB$1407,$AG487)))</f>
        <v/>
      </c>
      <c r="O487" s="92" t="str">
        <f>IF($AG487="","",INDEX($AL$8:$AL$21,INDEX($AC$8:$AC$1407,$AG487)+1))</f>
        <v/>
      </c>
      <c r="P487" s="109" t="str">
        <f>IF($AG487="","",INDEX($AD$8:$AD$1407,$AG487))</f>
        <v/>
      </c>
      <c r="Q487" s="92" t="str">
        <f>IF($AG487="","",INDEX($AM$8:$AM$21,INDEX($AC$8:$AC$1407,$AG487)+1))</f>
        <v/>
      </c>
      <c r="R487" s="92" t="str">
        <f>IF($AG487="","",IF($G487&gt;0,P_ToelCorrectie&amp;"",""))</f>
        <v/>
      </c>
      <c r="S487" s="15" t="str">
        <f>IF(J487="","",J487&amp;"|"&amp;E487&amp;"|"&amp;F487&amp;"|"&amp;I487&amp;"|"&amp;O487)</f>
        <v/>
      </c>
      <c r="T487" s="111" t="str">
        <f>IF(S487="","",IF(COUNTIFS(L_Sleutel,S487,L_Actief,1)=0,"",SUMIFS(L_Waarde,L_Sleutel,S487,L_Actief,1)))</f>
        <v/>
      </c>
      <c r="U487" s="111">
        <f>IF(OR(S487="",T487=""),0,P487-T487)</f>
        <v>0</v>
      </c>
      <c r="AB487" s="112" t="n">
        <v>35</v>
      </c>
      <c r="AC487" s="112" t="n">
        <v>3</v>
      </c>
      <c r="AD487" s="112" t="str">
        <f>VERW_Project!M40</f>
        <v/>
      </c>
      <c r="AE487" s="112">
        <f>IF(AND(VERW_Project!$A40&lt;&gt;"",ISNUMBER(AD487)),1,0)</f>
        <v>0</v>
      </c>
      <c r="AF487" s="112" t="str">
        <f>IF(AE487=1,SUM($AE$8:AE487),"")</f>
        <v/>
      </c>
      <c r="AG487" t="str">
        <f>IFERROR(MATCH(480,$AF$8:$AF$1407,0),"")</f>
        <v/>
      </c>
    </row>
    <row r="488">
      <c r="A488" s="92" t="str">
        <f>IF($AG488="","",P_ImportID)</f>
        <v/>
      </c>
      <c r="B488" s="92" t="str">
        <f>IF($AG488="","",IF(INDEX($AN$8:$AN$21,INDEX($AC$8:$AC$1407,$AG488)+1)="Z",P_BronZ,P_BronE))</f>
        <v/>
      </c>
      <c r="C488" s="108" t="str">
        <f>IF($AG488="","",P_Importdatum)</f>
        <v/>
      </c>
      <c r="D488" s="92" t="str">
        <f>IF($AG488="","",P_StatusVastleg)</f>
        <v/>
      </c>
      <c r="E488" s="92" t="str">
        <f>IF($AG488="","",P_UploadVJ)</f>
        <v/>
      </c>
      <c r="F488" s="92" t="str">
        <f>IF($AG488="","",P_UploadVersie)</f>
        <v/>
      </c>
      <c r="G488" s="92" t="str">
        <f>IF($AG488="","",IF(COUNTIFS(L_Sleutel,$S488,L_Status,"Vastgesteld")=0,0,_xlfn.MAXIFS(L_Revisie,L_Sleutel,$S488,L_Status,"Vastgesteld")+1))</f>
        <v/>
      </c>
      <c r="H488" s="108" t="str">
        <f>IF($AG488="","",P_Peildatum)</f>
        <v/>
      </c>
      <c r="I488" s="92" t="str">
        <f>IF($AG488="","",P_RJ+INDEX($AK$8:$AK$21,INDEX($AC$8:$AC$1407,$AG488)+1))</f>
        <v/>
      </c>
      <c r="J488" s="92" t="str">
        <f>IF($AG488="","",INDEX(V_WBS,INDEX($AB$8:$AB$1407,$AG488)))</f>
        <v/>
      </c>
      <c r="K488" s="92" t="str">
        <f>IF($AG488="","",INDEX(V_Projdef,INDEX($AB$8:$AB$1407,$AG488)))</f>
        <v/>
      </c>
      <c r="L488" s="92" t="str">
        <f>IF($AG488="","",INDEX(V_Naam,INDEX($AB$8:$AB$1407,$AG488)))</f>
        <v/>
      </c>
      <c r="M488" s="92" t="str">
        <f>IF($AG488="","",INDEX(V_Type,INDEX($AB$8:$AB$1407,$AG488)))</f>
        <v/>
      </c>
      <c r="N488" s="92" t="str">
        <f>IF($AG488="","",INDEX(V_IFRS,INDEX($AB$8:$AB$1407,$AG488)))</f>
        <v/>
      </c>
      <c r="O488" s="92" t="str">
        <f>IF($AG488="","",INDEX($AL$8:$AL$21,INDEX($AC$8:$AC$1407,$AG488)+1))</f>
        <v/>
      </c>
      <c r="P488" s="109" t="str">
        <f>IF($AG488="","",INDEX($AD$8:$AD$1407,$AG488))</f>
        <v/>
      </c>
      <c r="Q488" s="92" t="str">
        <f>IF($AG488="","",INDEX($AM$8:$AM$21,INDEX($AC$8:$AC$1407,$AG488)+1))</f>
        <v/>
      </c>
      <c r="R488" s="92" t="str">
        <f>IF($AG488="","",IF($G488&gt;0,P_ToelCorrectie&amp;"",""))</f>
        <v/>
      </c>
      <c r="S488" s="15" t="str">
        <f>IF(J488="","",J488&amp;"|"&amp;E488&amp;"|"&amp;F488&amp;"|"&amp;I488&amp;"|"&amp;O488)</f>
        <v/>
      </c>
      <c r="T488" s="111" t="str">
        <f>IF(S488="","",IF(COUNTIFS(L_Sleutel,S488,L_Actief,1)=0,"",SUMIFS(L_Waarde,L_Sleutel,S488,L_Actief,1)))</f>
        <v/>
      </c>
      <c r="U488" s="111">
        <f>IF(OR(S488="",T488=""),0,P488-T488)</f>
        <v>0</v>
      </c>
      <c r="AB488" s="112" t="n">
        <v>35</v>
      </c>
      <c r="AC488" s="112" t="n">
        <v>4</v>
      </c>
      <c r="AD488" s="112" t="str">
        <f>VERW_Project!R40</f>
        <v/>
      </c>
      <c r="AE488" s="112">
        <f>IF(AND(VERW_Project!$A40&lt;&gt;"",ISNUMBER(AD488)),1,0)</f>
        <v>0</v>
      </c>
      <c r="AF488" s="112" t="str">
        <f>IF(AE488=1,SUM($AE$8:AE488),"")</f>
        <v/>
      </c>
      <c r="AG488" t="str">
        <f>IFERROR(MATCH(481,$AF$8:$AF$1407,0),"")</f>
        <v/>
      </c>
    </row>
    <row r="489">
      <c r="A489" s="92" t="str">
        <f>IF($AG489="","",P_ImportID)</f>
        <v/>
      </c>
      <c r="B489" s="92" t="str">
        <f>IF($AG489="","",IF(INDEX($AN$8:$AN$21,INDEX($AC$8:$AC$1407,$AG489)+1)="Z",P_BronZ,P_BronE))</f>
        <v/>
      </c>
      <c r="C489" s="108" t="str">
        <f>IF($AG489="","",P_Importdatum)</f>
        <v/>
      </c>
      <c r="D489" s="92" t="str">
        <f>IF($AG489="","",P_StatusVastleg)</f>
        <v/>
      </c>
      <c r="E489" s="92" t="str">
        <f>IF($AG489="","",P_UploadVJ)</f>
        <v/>
      </c>
      <c r="F489" s="92" t="str">
        <f>IF($AG489="","",P_UploadVersie)</f>
        <v/>
      </c>
      <c r="G489" s="92" t="str">
        <f>IF($AG489="","",IF(COUNTIFS(L_Sleutel,$S489,L_Status,"Vastgesteld")=0,0,_xlfn.MAXIFS(L_Revisie,L_Sleutel,$S489,L_Status,"Vastgesteld")+1))</f>
        <v/>
      </c>
      <c r="H489" s="108" t="str">
        <f>IF($AG489="","",P_Peildatum)</f>
        <v/>
      </c>
      <c r="I489" s="92" t="str">
        <f>IF($AG489="","",P_RJ+INDEX($AK$8:$AK$21,INDEX($AC$8:$AC$1407,$AG489)+1))</f>
        <v/>
      </c>
      <c r="J489" s="92" t="str">
        <f>IF($AG489="","",INDEX(V_WBS,INDEX($AB$8:$AB$1407,$AG489)))</f>
        <v/>
      </c>
      <c r="K489" s="92" t="str">
        <f>IF($AG489="","",INDEX(V_Projdef,INDEX($AB$8:$AB$1407,$AG489)))</f>
        <v/>
      </c>
      <c r="L489" s="92" t="str">
        <f>IF($AG489="","",INDEX(V_Naam,INDEX($AB$8:$AB$1407,$AG489)))</f>
        <v/>
      </c>
      <c r="M489" s="92" t="str">
        <f>IF($AG489="","",INDEX(V_Type,INDEX($AB$8:$AB$1407,$AG489)))</f>
        <v/>
      </c>
      <c r="N489" s="92" t="str">
        <f>IF($AG489="","",INDEX(V_IFRS,INDEX($AB$8:$AB$1407,$AG489)))</f>
        <v/>
      </c>
      <c r="O489" s="92" t="str">
        <f>IF($AG489="","",INDEX($AL$8:$AL$21,INDEX($AC$8:$AC$1407,$AG489)+1))</f>
        <v/>
      </c>
      <c r="P489" s="109" t="str">
        <f>IF($AG489="","",INDEX($AD$8:$AD$1407,$AG489))</f>
        <v/>
      </c>
      <c r="Q489" s="92" t="str">
        <f>IF($AG489="","",INDEX($AM$8:$AM$21,INDEX($AC$8:$AC$1407,$AG489)+1))</f>
        <v/>
      </c>
      <c r="R489" s="92" t="str">
        <f>IF($AG489="","",IF($G489&gt;0,P_ToelCorrectie&amp;"",""))</f>
        <v/>
      </c>
      <c r="S489" s="15" t="str">
        <f>IF(J489="","",J489&amp;"|"&amp;E489&amp;"|"&amp;F489&amp;"|"&amp;I489&amp;"|"&amp;O489)</f>
        <v/>
      </c>
      <c r="T489" s="111" t="str">
        <f>IF(S489="","",IF(COUNTIFS(L_Sleutel,S489,L_Actief,1)=0,"",SUMIFS(L_Waarde,L_Sleutel,S489,L_Actief,1)))</f>
        <v/>
      </c>
      <c r="U489" s="111">
        <f>IF(OR(S489="",T489=""),0,P489-T489)</f>
        <v>0</v>
      </c>
      <c r="AB489" s="112" t="n">
        <v>35</v>
      </c>
      <c r="AC489" s="112" t="n">
        <v>5</v>
      </c>
      <c r="AD489" s="112" t="str">
        <f>VERW_Project!S40</f>
        <v/>
      </c>
      <c r="AE489" s="112">
        <f>IF(AND(VERW_Project!$A40&lt;&gt;"",ISNUMBER(AD489)),1,0)</f>
        <v>0</v>
      </c>
      <c r="AF489" s="112" t="str">
        <f>IF(AE489=1,SUM($AE$8:AE489),"")</f>
        <v/>
      </c>
      <c r="AG489" t="str">
        <f>IFERROR(MATCH(482,$AF$8:$AF$1407,0),"")</f>
        <v/>
      </c>
    </row>
    <row r="490">
      <c r="A490" s="92" t="str">
        <f>IF($AG490="","",P_ImportID)</f>
        <v/>
      </c>
      <c r="B490" s="92" t="str">
        <f>IF($AG490="","",IF(INDEX($AN$8:$AN$21,INDEX($AC$8:$AC$1407,$AG490)+1)="Z",P_BronZ,P_BronE))</f>
        <v/>
      </c>
      <c r="C490" s="108" t="str">
        <f>IF($AG490="","",P_Importdatum)</f>
        <v/>
      </c>
      <c r="D490" s="92" t="str">
        <f>IF($AG490="","",P_StatusVastleg)</f>
        <v/>
      </c>
      <c r="E490" s="92" t="str">
        <f>IF($AG490="","",P_UploadVJ)</f>
        <v/>
      </c>
      <c r="F490" s="92" t="str">
        <f>IF($AG490="","",P_UploadVersie)</f>
        <v/>
      </c>
      <c r="G490" s="92" t="str">
        <f>IF($AG490="","",IF(COUNTIFS(L_Sleutel,$S490,L_Status,"Vastgesteld")=0,0,_xlfn.MAXIFS(L_Revisie,L_Sleutel,$S490,L_Status,"Vastgesteld")+1))</f>
        <v/>
      </c>
      <c r="H490" s="108" t="str">
        <f>IF($AG490="","",P_Peildatum)</f>
        <v/>
      </c>
      <c r="I490" s="92" t="str">
        <f>IF($AG490="","",P_RJ+INDEX($AK$8:$AK$21,INDEX($AC$8:$AC$1407,$AG490)+1))</f>
        <v/>
      </c>
      <c r="J490" s="92" t="str">
        <f>IF($AG490="","",INDEX(V_WBS,INDEX($AB$8:$AB$1407,$AG490)))</f>
        <v/>
      </c>
      <c r="K490" s="92" t="str">
        <f>IF($AG490="","",INDEX(V_Projdef,INDEX($AB$8:$AB$1407,$AG490)))</f>
        <v/>
      </c>
      <c r="L490" s="92" t="str">
        <f>IF($AG490="","",INDEX(V_Naam,INDEX($AB$8:$AB$1407,$AG490)))</f>
        <v/>
      </c>
      <c r="M490" s="92" t="str">
        <f>IF($AG490="","",INDEX(V_Type,INDEX($AB$8:$AB$1407,$AG490)))</f>
        <v/>
      </c>
      <c r="N490" s="92" t="str">
        <f>IF($AG490="","",INDEX(V_IFRS,INDEX($AB$8:$AB$1407,$AG490)))</f>
        <v/>
      </c>
      <c r="O490" s="92" t="str">
        <f>IF($AG490="","",INDEX($AL$8:$AL$21,INDEX($AC$8:$AC$1407,$AG490)+1))</f>
        <v/>
      </c>
      <c r="P490" s="109" t="str">
        <f>IF($AG490="","",INDEX($AD$8:$AD$1407,$AG490))</f>
        <v/>
      </c>
      <c r="Q490" s="92" t="str">
        <f>IF($AG490="","",INDEX($AM$8:$AM$21,INDEX($AC$8:$AC$1407,$AG490)+1))</f>
        <v/>
      </c>
      <c r="R490" s="92" t="str">
        <f>IF($AG490="","",IF($G490&gt;0,P_ToelCorrectie&amp;"",""))</f>
        <v/>
      </c>
      <c r="S490" s="15" t="str">
        <f>IF(J490="","",J490&amp;"|"&amp;E490&amp;"|"&amp;F490&amp;"|"&amp;I490&amp;"|"&amp;O490)</f>
        <v/>
      </c>
      <c r="T490" s="111" t="str">
        <f>IF(S490="","",IF(COUNTIFS(L_Sleutel,S490,L_Actief,1)=0,"",SUMIFS(L_Waarde,L_Sleutel,S490,L_Actief,1)))</f>
        <v/>
      </c>
      <c r="U490" s="111">
        <f>IF(OR(S490="",T490=""),0,P490-T490)</f>
        <v>0</v>
      </c>
      <c r="AB490" s="112" t="n">
        <v>35</v>
      </c>
      <c r="AC490" s="112" t="n">
        <v>6</v>
      </c>
      <c r="AD490" s="112" t="str">
        <f>VERW_Project!BW40</f>
        <v/>
      </c>
      <c r="AE490" s="112">
        <f>IF(AND(VERW_Project!$A40&lt;&gt;"",ISNUMBER(AD490)),1,0)</f>
        <v>0</v>
      </c>
      <c r="AF490" s="112" t="str">
        <f>IF(AE490=1,SUM($AE$8:AE490),"")</f>
        <v/>
      </c>
      <c r="AG490" t="str">
        <f>IFERROR(MATCH(483,$AF$8:$AF$1407,0),"")</f>
        <v/>
      </c>
    </row>
    <row r="491">
      <c r="A491" s="92" t="str">
        <f>IF($AG491="","",P_ImportID)</f>
        <v/>
      </c>
      <c r="B491" s="92" t="str">
        <f>IF($AG491="","",IF(INDEX($AN$8:$AN$21,INDEX($AC$8:$AC$1407,$AG491)+1)="Z",P_BronZ,P_BronE))</f>
        <v/>
      </c>
      <c r="C491" s="108" t="str">
        <f>IF($AG491="","",P_Importdatum)</f>
        <v/>
      </c>
      <c r="D491" s="92" t="str">
        <f>IF($AG491="","",P_StatusVastleg)</f>
        <v/>
      </c>
      <c r="E491" s="92" t="str">
        <f>IF($AG491="","",P_UploadVJ)</f>
        <v/>
      </c>
      <c r="F491" s="92" t="str">
        <f>IF($AG491="","",P_UploadVersie)</f>
        <v/>
      </c>
      <c r="G491" s="92" t="str">
        <f>IF($AG491="","",IF(COUNTIFS(L_Sleutel,$S491,L_Status,"Vastgesteld")=0,0,_xlfn.MAXIFS(L_Revisie,L_Sleutel,$S491,L_Status,"Vastgesteld")+1))</f>
        <v/>
      </c>
      <c r="H491" s="108" t="str">
        <f>IF($AG491="","",P_Peildatum)</f>
        <v/>
      </c>
      <c r="I491" s="92" t="str">
        <f>IF($AG491="","",P_RJ+INDEX($AK$8:$AK$21,INDEX($AC$8:$AC$1407,$AG491)+1))</f>
        <v/>
      </c>
      <c r="J491" s="92" t="str">
        <f>IF($AG491="","",INDEX(V_WBS,INDEX($AB$8:$AB$1407,$AG491)))</f>
        <v/>
      </c>
      <c r="K491" s="92" t="str">
        <f>IF($AG491="","",INDEX(V_Projdef,INDEX($AB$8:$AB$1407,$AG491)))</f>
        <v/>
      </c>
      <c r="L491" s="92" t="str">
        <f>IF($AG491="","",INDEX(V_Naam,INDEX($AB$8:$AB$1407,$AG491)))</f>
        <v/>
      </c>
      <c r="M491" s="92" t="str">
        <f>IF($AG491="","",INDEX(V_Type,INDEX($AB$8:$AB$1407,$AG491)))</f>
        <v/>
      </c>
      <c r="N491" s="92" t="str">
        <f>IF($AG491="","",INDEX(V_IFRS,INDEX($AB$8:$AB$1407,$AG491)))</f>
        <v/>
      </c>
      <c r="O491" s="92" t="str">
        <f>IF($AG491="","",INDEX($AL$8:$AL$21,INDEX($AC$8:$AC$1407,$AG491)+1))</f>
        <v/>
      </c>
      <c r="P491" s="109" t="str">
        <f>IF($AG491="","",INDEX($AD$8:$AD$1407,$AG491))</f>
        <v/>
      </c>
      <c r="Q491" s="92" t="str">
        <f>IF($AG491="","",INDEX($AM$8:$AM$21,INDEX($AC$8:$AC$1407,$AG491)+1))</f>
        <v/>
      </c>
      <c r="R491" s="92" t="str">
        <f>IF($AG491="","",IF($G491&gt;0,P_ToelCorrectie&amp;"",""))</f>
        <v/>
      </c>
      <c r="S491" s="15" t="str">
        <f>IF(J491="","",J491&amp;"|"&amp;E491&amp;"|"&amp;F491&amp;"|"&amp;I491&amp;"|"&amp;O491)</f>
        <v/>
      </c>
      <c r="T491" s="111" t="str">
        <f>IF(S491="","",IF(COUNTIFS(L_Sleutel,S491,L_Actief,1)=0,"",SUMIFS(L_Waarde,L_Sleutel,S491,L_Actief,1)))</f>
        <v/>
      </c>
      <c r="U491" s="111">
        <f>IF(OR(S491="",T491=""),0,P491-T491)</f>
        <v>0</v>
      </c>
      <c r="AB491" s="112" t="n">
        <v>35</v>
      </c>
      <c r="AC491" s="112" t="n">
        <v>7</v>
      </c>
      <c r="AD491" s="112" t="str">
        <f>VERW_Project!AW40</f>
        <v/>
      </c>
      <c r="AE491" s="112">
        <f>IF(AND(VERW_Project!$A40&lt;&gt;"",ISNUMBER(AD491)),1,0)</f>
        <v>0</v>
      </c>
      <c r="AF491" s="112" t="str">
        <f>IF(AE491=1,SUM($AE$8:AE491),"")</f>
        <v/>
      </c>
      <c r="AG491" t="str">
        <f>IFERROR(MATCH(484,$AF$8:$AF$1407,0),"")</f>
        <v/>
      </c>
    </row>
    <row r="492">
      <c r="A492" s="92" t="str">
        <f>IF($AG492="","",P_ImportID)</f>
        <v/>
      </c>
      <c r="B492" s="92" t="str">
        <f>IF($AG492="","",IF(INDEX($AN$8:$AN$21,INDEX($AC$8:$AC$1407,$AG492)+1)="Z",P_BronZ,P_BronE))</f>
        <v/>
      </c>
      <c r="C492" s="108" t="str">
        <f>IF($AG492="","",P_Importdatum)</f>
        <v/>
      </c>
      <c r="D492" s="92" t="str">
        <f>IF($AG492="","",P_StatusVastleg)</f>
        <v/>
      </c>
      <c r="E492" s="92" t="str">
        <f>IF($AG492="","",P_UploadVJ)</f>
        <v/>
      </c>
      <c r="F492" s="92" t="str">
        <f>IF($AG492="","",P_UploadVersie)</f>
        <v/>
      </c>
      <c r="G492" s="92" t="str">
        <f>IF($AG492="","",IF(COUNTIFS(L_Sleutel,$S492,L_Status,"Vastgesteld")=0,0,_xlfn.MAXIFS(L_Revisie,L_Sleutel,$S492,L_Status,"Vastgesteld")+1))</f>
        <v/>
      </c>
      <c r="H492" s="108" t="str">
        <f>IF($AG492="","",P_Peildatum)</f>
        <v/>
      </c>
      <c r="I492" s="92" t="str">
        <f>IF($AG492="","",P_RJ+INDEX($AK$8:$AK$21,INDEX($AC$8:$AC$1407,$AG492)+1))</f>
        <v/>
      </c>
      <c r="J492" s="92" t="str">
        <f>IF($AG492="","",INDEX(V_WBS,INDEX($AB$8:$AB$1407,$AG492)))</f>
        <v/>
      </c>
      <c r="K492" s="92" t="str">
        <f>IF($AG492="","",INDEX(V_Projdef,INDEX($AB$8:$AB$1407,$AG492)))</f>
        <v/>
      </c>
      <c r="L492" s="92" t="str">
        <f>IF($AG492="","",INDEX(V_Naam,INDEX($AB$8:$AB$1407,$AG492)))</f>
        <v/>
      </c>
      <c r="M492" s="92" t="str">
        <f>IF($AG492="","",INDEX(V_Type,INDEX($AB$8:$AB$1407,$AG492)))</f>
        <v/>
      </c>
      <c r="N492" s="92" t="str">
        <f>IF($AG492="","",INDEX(V_IFRS,INDEX($AB$8:$AB$1407,$AG492)))</f>
        <v/>
      </c>
      <c r="O492" s="92" t="str">
        <f>IF($AG492="","",INDEX($AL$8:$AL$21,INDEX($AC$8:$AC$1407,$AG492)+1))</f>
        <v/>
      </c>
      <c r="P492" s="109" t="str">
        <f>IF($AG492="","",INDEX($AD$8:$AD$1407,$AG492))</f>
        <v/>
      </c>
      <c r="Q492" s="92" t="str">
        <f>IF($AG492="","",INDEX($AM$8:$AM$21,INDEX($AC$8:$AC$1407,$AG492)+1))</f>
        <v/>
      </c>
      <c r="R492" s="92" t="str">
        <f>IF($AG492="","",IF($G492&gt;0,P_ToelCorrectie&amp;"",""))</f>
        <v/>
      </c>
      <c r="S492" s="15" t="str">
        <f>IF(J492="","",J492&amp;"|"&amp;E492&amp;"|"&amp;F492&amp;"|"&amp;I492&amp;"|"&amp;O492)</f>
        <v/>
      </c>
      <c r="T492" s="111" t="str">
        <f>IF(S492="","",IF(COUNTIFS(L_Sleutel,S492,L_Actief,1)=0,"",SUMIFS(L_Waarde,L_Sleutel,S492,L_Actief,1)))</f>
        <v/>
      </c>
      <c r="U492" s="111">
        <f>IF(OR(S492="",T492=""),0,P492-T492)</f>
        <v>0</v>
      </c>
      <c r="AB492" s="112" t="n">
        <v>35</v>
      </c>
      <c r="AC492" s="112" t="n">
        <v>8</v>
      </c>
      <c r="AD492" s="112" t="str">
        <f>VERW_Project!BQ40</f>
        <v/>
      </c>
      <c r="AE492" s="112">
        <f>IF(AND(VERW_Project!$A40&lt;&gt;"",ISNUMBER(AD492)),1,0)</f>
        <v>0</v>
      </c>
      <c r="AF492" s="112" t="str">
        <f>IF(AE492=1,SUM($AE$8:AE492),"")</f>
        <v/>
      </c>
      <c r="AG492" t="str">
        <f>IFERROR(MATCH(485,$AF$8:$AF$1407,0),"")</f>
        <v/>
      </c>
    </row>
    <row r="493">
      <c r="A493" s="92" t="str">
        <f>IF($AG493="","",P_ImportID)</f>
        <v/>
      </c>
      <c r="B493" s="92" t="str">
        <f>IF($AG493="","",IF(INDEX($AN$8:$AN$21,INDEX($AC$8:$AC$1407,$AG493)+1)="Z",P_BronZ,P_BronE))</f>
        <v/>
      </c>
      <c r="C493" s="108" t="str">
        <f>IF($AG493="","",P_Importdatum)</f>
        <v/>
      </c>
      <c r="D493" s="92" t="str">
        <f>IF($AG493="","",P_StatusVastleg)</f>
        <v/>
      </c>
      <c r="E493" s="92" t="str">
        <f>IF($AG493="","",P_UploadVJ)</f>
        <v/>
      </c>
      <c r="F493" s="92" t="str">
        <f>IF($AG493="","",P_UploadVersie)</f>
        <v/>
      </c>
      <c r="G493" s="92" t="str">
        <f>IF($AG493="","",IF(COUNTIFS(L_Sleutel,$S493,L_Status,"Vastgesteld")=0,0,_xlfn.MAXIFS(L_Revisie,L_Sleutel,$S493,L_Status,"Vastgesteld")+1))</f>
        <v/>
      </c>
      <c r="H493" s="108" t="str">
        <f>IF($AG493="","",P_Peildatum)</f>
        <v/>
      </c>
      <c r="I493" s="92" t="str">
        <f>IF($AG493="","",P_RJ+INDEX($AK$8:$AK$21,INDEX($AC$8:$AC$1407,$AG493)+1))</f>
        <v/>
      </c>
      <c r="J493" s="92" t="str">
        <f>IF($AG493="","",INDEX(V_WBS,INDEX($AB$8:$AB$1407,$AG493)))</f>
        <v/>
      </c>
      <c r="K493" s="92" t="str">
        <f>IF($AG493="","",INDEX(V_Projdef,INDEX($AB$8:$AB$1407,$AG493)))</f>
        <v/>
      </c>
      <c r="L493" s="92" t="str">
        <f>IF($AG493="","",INDEX(V_Naam,INDEX($AB$8:$AB$1407,$AG493)))</f>
        <v/>
      </c>
      <c r="M493" s="92" t="str">
        <f>IF($AG493="","",INDEX(V_Type,INDEX($AB$8:$AB$1407,$AG493)))</f>
        <v/>
      </c>
      <c r="N493" s="92" t="str">
        <f>IF($AG493="","",INDEX(V_IFRS,INDEX($AB$8:$AB$1407,$AG493)))</f>
        <v/>
      </c>
      <c r="O493" s="92" t="str">
        <f>IF($AG493="","",INDEX($AL$8:$AL$21,INDEX($AC$8:$AC$1407,$AG493)+1))</f>
        <v/>
      </c>
      <c r="P493" s="109" t="str">
        <f>IF($AG493="","",INDEX($AD$8:$AD$1407,$AG493))</f>
        <v/>
      </c>
      <c r="Q493" s="92" t="str">
        <f>IF($AG493="","",INDEX($AM$8:$AM$21,INDEX($AC$8:$AC$1407,$AG493)+1))</f>
        <v/>
      </c>
      <c r="R493" s="92" t="str">
        <f>IF($AG493="","",IF($G493&gt;0,P_ToelCorrectie&amp;"",""))</f>
        <v/>
      </c>
      <c r="S493" s="15" t="str">
        <f>IF(J493="","",J493&amp;"|"&amp;E493&amp;"|"&amp;F493&amp;"|"&amp;I493&amp;"|"&amp;O493)</f>
        <v/>
      </c>
      <c r="T493" s="111" t="str">
        <f>IF(S493="","",IF(COUNTIFS(L_Sleutel,S493,L_Actief,1)=0,"",SUMIFS(L_Waarde,L_Sleutel,S493,L_Actief,1)))</f>
        <v/>
      </c>
      <c r="U493" s="111">
        <f>IF(OR(S493="",T493=""),0,P493-T493)</f>
        <v>0</v>
      </c>
      <c r="AB493" s="112" t="n">
        <v>35</v>
      </c>
      <c r="AC493" s="112" t="n">
        <v>9</v>
      </c>
      <c r="AD493" s="112" t="str">
        <f>VERW_Project!BR40</f>
        <v/>
      </c>
      <c r="AE493" s="112">
        <f>IF(AND(VERW_Project!$A40&lt;&gt;"",ISNUMBER(AD493)),1,0)</f>
        <v>0</v>
      </c>
      <c r="AF493" s="112" t="str">
        <f>IF(AE493=1,SUM($AE$8:AE493),"")</f>
        <v/>
      </c>
      <c r="AG493" t="str">
        <f>IFERROR(MATCH(486,$AF$8:$AF$1407,0),"")</f>
        <v/>
      </c>
    </row>
    <row r="494">
      <c r="A494" s="92" t="str">
        <f>IF($AG494="","",P_ImportID)</f>
        <v/>
      </c>
      <c r="B494" s="92" t="str">
        <f>IF($AG494="","",IF(INDEX($AN$8:$AN$21,INDEX($AC$8:$AC$1407,$AG494)+1)="Z",P_BronZ,P_BronE))</f>
        <v/>
      </c>
      <c r="C494" s="108" t="str">
        <f>IF($AG494="","",P_Importdatum)</f>
        <v/>
      </c>
      <c r="D494" s="92" t="str">
        <f>IF($AG494="","",P_StatusVastleg)</f>
        <v/>
      </c>
      <c r="E494" s="92" t="str">
        <f>IF($AG494="","",P_UploadVJ)</f>
        <v/>
      </c>
      <c r="F494" s="92" t="str">
        <f>IF($AG494="","",P_UploadVersie)</f>
        <v/>
      </c>
      <c r="G494" s="92" t="str">
        <f>IF($AG494="","",IF(COUNTIFS(L_Sleutel,$S494,L_Status,"Vastgesteld")=0,0,_xlfn.MAXIFS(L_Revisie,L_Sleutel,$S494,L_Status,"Vastgesteld")+1))</f>
        <v/>
      </c>
      <c r="H494" s="108" t="str">
        <f>IF($AG494="","",P_Peildatum)</f>
        <v/>
      </c>
      <c r="I494" s="92" t="str">
        <f>IF($AG494="","",P_RJ+INDEX($AK$8:$AK$21,INDEX($AC$8:$AC$1407,$AG494)+1))</f>
        <v/>
      </c>
      <c r="J494" s="92" t="str">
        <f>IF($AG494="","",INDEX(V_WBS,INDEX($AB$8:$AB$1407,$AG494)))</f>
        <v/>
      </c>
      <c r="K494" s="92" t="str">
        <f>IF($AG494="","",INDEX(V_Projdef,INDEX($AB$8:$AB$1407,$AG494)))</f>
        <v/>
      </c>
      <c r="L494" s="92" t="str">
        <f>IF($AG494="","",INDEX(V_Naam,INDEX($AB$8:$AB$1407,$AG494)))</f>
        <v/>
      </c>
      <c r="M494" s="92" t="str">
        <f>IF($AG494="","",INDEX(V_Type,INDEX($AB$8:$AB$1407,$AG494)))</f>
        <v/>
      </c>
      <c r="N494" s="92" t="str">
        <f>IF($AG494="","",INDEX(V_IFRS,INDEX($AB$8:$AB$1407,$AG494)))</f>
        <v/>
      </c>
      <c r="O494" s="92" t="str">
        <f>IF($AG494="","",INDEX($AL$8:$AL$21,INDEX($AC$8:$AC$1407,$AG494)+1))</f>
        <v/>
      </c>
      <c r="P494" s="109" t="str">
        <f>IF($AG494="","",INDEX($AD$8:$AD$1407,$AG494))</f>
        <v/>
      </c>
      <c r="Q494" s="92" t="str">
        <f>IF($AG494="","",INDEX($AM$8:$AM$21,INDEX($AC$8:$AC$1407,$AG494)+1))</f>
        <v/>
      </c>
      <c r="R494" s="92" t="str">
        <f>IF($AG494="","",IF($G494&gt;0,P_ToelCorrectie&amp;"",""))</f>
        <v/>
      </c>
      <c r="S494" s="15" t="str">
        <f>IF(J494="","",J494&amp;"|"&amp;E494&amp;"|"&amp;F494&amp;"|"&amp;I494&amp;"|"&amp;O494)</f>
        <v/>
      </c>
      <c r="T494" s="111" t="str">
        <f>IF(S494="","",IF(COUNTIFS(L_Sleutel,S494,L_Actief,1)=0,"",SUMIFS(L_Waarde,L_Sleutel,S494,L_Actief,1)))</f>
        <v/>
      </c>
      <c r="U494" s="111">
        <f>IF(OR(S494="",T494=""),0,P494-T494)</f>
        <v>0</v>
      </c>
      <c r="AB494" s="112" t="n">
        <v>35</v>
      </c>
      <c r="AC494" s="112" t="n">
        <v>10</v>
      </c>
      <c r="AD494" s="112" t="str">
        <f>VERW_Project!BS40</f>
        <v/>
      </c>
      <c r="AE494" s="112">
        <f>IF(AND(VERW_Project!$A40&lt;&gt;"",ISNUMBER(AD494)),1,0)</f>
        <v>0</v>
      </c>
      <c r="AF494" s="112" t="str">
        <f>IF(AE494=1,SUM($AE$8:AE494),"")</f>
        <v/>
      </c>
      <c r="AG494" t="str">
        <f>IFERROR(MATCH(487,$AF$8:$AF$1407,0),"")</f>
        <v/>
      </c>
    </row>
    <row r="495">
      <c r="A495" s="92" t="str">
        <f>IF($AG495="","",P_ImportID)</f>
        <v/>
      </c>
      <c r="B495" s="92" t="str">
        <f>IF($AG495="","",IF(INDEX($AN$8:$AN$21,INDEX($AC$8:$AC$1407,$AG495)+1)="Z",P_BronZ,P_BronE))</f>
        <v/>
      </c>
      <c r="C495" s="108" t="str">
        <f>IF($AG495="","",P_Importdatum)</f>
        <v/>
      </c>
      <c r="D495" s="92" t="str">
        <f>IF($AG495="","",P_StatusVastleg)</f>
        <v/>
      </c>
      <c r="E495" s="92" t="str">
        <f>IF($AG495="","",P_UploadVJ)</f>
        <v/>
      </c>
      <c r="F495" s="92" t="str">
        <f>IF($AG495="","",P_UploadVersie)</f>
        <v/>
      </c>
      <c r="G495" s="92" t="str">
        <f>IF($AG495="","",IF(COUNTIFS(L_Sleutel,$S495,L_Status,"Vastgesteld")=0,0,_xlfn.MAXIFS(L_Revisie,L_Sleutel,$S495,L_Status,"Vastgesteld")+1))</f>
        <v/>
      </c>
      <c r="H495" s="108" t="str">
        <f>IF($AG495="","",P_Peildatum)</f>
        <v/>
      </c>
      <c r="I495" s="92" t="str">
        <f>IF($AG495="","",P_RJ+INDEX($AK$8:$AK$21,INDEX($AC$8:$AC$1407,$AG495)+1))</f>
        <v/>
      </c>
      <c r="J495" s="92" t="str">
        <f>IF($AG495="","",INDEX(V_WBS,INDEX($AB$8:$AB$1407,$AG495)))</f>
        <v/>
      </c>
      <c r="K495" s="92" t="str">
        <f>IF($AG495="","",INDEX(V_Projdef,INDEX($AB$8:$AB$1407,$AG495)))</f>
        <v/>
      </c>
      <c r="L495" s="92" t="str">
        <f>IF($AG495="","",INDEX(V_Naam,INDEX($AB$8:$AB$1407,$AG495)))</f>
        <v/>
      </c>
      <c r="M495" s="92" t="str">
        <f>IF($AG495="","",INDEX(V_Type,INDEX($AB$8:$AB$1407,$AG495)))</f>
        <v/>
      </c>
      <c r="N495" s="92" t="str">
        <f>IF($AG495="","",INDEX(V_IFRS,INDEX($AB$8:$AB$1407,$AG495)))</f>
        <v/>
      </c>
      <c r="O495" s="92" t="str">
        <f>IF($AG495="","",INDEX($AL$8:$AL$21,INDEX($AC$8:$AC$1407,$AG495)+1))</f>
        <v/>
      </c>
      <c r="P495" s="109" t="str">
        <f>IF($AG495="","",INDEX($AD$8:$AD$1407,$AG495))</f>
        <v/>
      </c>
      <c r="Q495" s="92" t="str">
        <f>IF($AG495="","",INDEX($AM$8:$AM$21,INDEX($AC$8:$AC$1407,$AG495)+1))</f>
        <v/>
      </c>
      <c r="R495" s="92" t="str">
        <f>IF($AG495="","",IF($G495&gt;0,P_ToelCorrectie&amp;"",""))</f>
        <v/>
      </c>
      <c r="S495" s="15" t="str">
        <f>IF(J495="","",J495&amp;"|"&amp;E495&amp;"|"&amp;F495&amp;"|"&amp;I495&amp;"|"&amp;O495)</f>
        <v/>
      </c>
      <c r="T495" s="111" t="str">
        <f>IF(S495="","",IF(COUNTIFS(L_Sleutel,S495,L_Actief,1)=0,"",SUMIFS(L_Waarde,L_Sleutel,S495,L_Actief,1)))</f>
        <v/>
      </c>
      <c r="U495" s="111">
        <f>IF(OR(S495="",T495=""),0,P495-T495)</f>
        <v>0</v>
      </c>
      <c r="AB495" s="112" t="n">
        <v>35</v>
      </c>
      <c r="AC495" s="112" t="n">
        <v>11</v>
      </c>
      <c r="AD495" s="112" t="str">
        <f>VERW_Project!BT40</f>
        <v/>
      </c>
      <c r="AE495" s="112">
        <f>IF(AND(VERW_Project!$A40&lt;&gt;"",ISNUMBER(AD495)),1,0)</f>
        <v>0</v>
      </c>
      <c r="AF495" s="112" t="str">
        <f>IF(AE495=1,SUM($AE$8:AE495),"")</f>
        <v/>
      </c>
      <c r="AG495" t="str">
        <f>IFERROR(MATCH(488,$AF$8:$AF$1407,0),"")</f>
        <v/>
      </c>
    </row>
    <row r="496">
      <c r="A496" s="92" t="str">
        <f>IF($AG496="","",P_ImportID)</f>
        <v/>
      </c>
      <c r="B496" s="92" t="str">
        <f>IF($AG496="","",IF(INDEX($AN$8:$AN$21,INDEX($AC$8:$AC$1407,$AG496)+1)="Z",P_BronZ,P_BronE))</f>
        <v/>
      </c>
      <c r="C496" s="108" t="str">
        <f>IF($AG496="","",P_Importdatum)</f>
        <v/>
      </c>
      <c r="D496" s="92" t="str">
        <f>IF($AG496="","",P_StatusVastleg)</f>
        <v/>
      </c>
      <c r="E496" s="92" t="str">
        <f>IF($AG496="","",P_UploadVJ)</f>
        <v/>
      </c>
      <c r="F496" s="92" t="str">
        <f>IF($AG496="","",P_UploadVersie)</f>
        <v/>
      </c>
      <c r="G496" s="92" t="str">
        <f>IF($AG496="","",IF(COUNTIFS(L_Sleutel,$S496,L_Status,"Vastgesteld")=0,0,_xlfn.MAXIFS(L_Revisie,L_Sleutel,$S496,L_Status,"Vastgesteld")+1))</f>
        <v/>
      </c>
      <c r="H496" s="108" t="str">
        <f>IF($AG496="","",P_Peildatum)</f>
        <v/>
      </c>
      <c r="I496" s="92" t="str">
        <f>IF($AG496="","",P_RJ+INDEX($AK$8:$AK$21,INDEX($AC$8:$AC$1407,$AG496)+1))</f>
        <v/>
      </c>
      <c r="J496" s="92" t="str">
        <f>IF($AG496="","",INDEX(V_WBS,INDEX($AB$8:$AB$1407,$AG496)))</f>
        <v/>
      </c>
      <c r="K496" s="92" t="str">
        <f>IF($AG496="","",INDEX(V_Projdef,INDEX($AB$8:$AB$1407,$AG496)))</f>
        <v/>
      </c>
      <c r="L496" s="92" t="str">
        <f>IF($AG496="","",INDEX(V_Naam,INDEX($AB$8:$AB$1407,$AG496)))</f>
        <v/>
      </c>
      <c r="M496" s="92" t="str">
        <f>IF($AG496="","",INDEX(V_Type,INDEX($AB$8:$AB$1407,$AG496)))</f>
        <v/>
      </c>
      <c r="N496" s="92" t="str">
        <f>IF($AG496="","",INDEX(V_IFRS,INDEX($AB$8:$AB$1407,$AG496)))</f>
        <v/>
      </c>
      <c r="O496" s="92" t="str">
        <f>IF($AG496="","",INDEX($AL$8:$AL$21,INDEX($AC$8:$AC$1407,$AG496)+1))</f>
        <v/>
      </c>
      <c r="P496" s="109" t="str">
        <f>IF($AG496="","",INDEX($AD$8:$AD$1407,$AG496))</f>
        <v/>
      </c>
      <c r="Q496" s="92" t="str">
        <f>IF($AG496="","",INDEX($AM$8:$AM$21,INDEX($AC$8:$AC$1407,$AG496)+1))</f>
        <v/>
      </c>
      <c r="R496" s="92" t="str">
        <f>IF($AG496="","",IF($G496&gt;0,P_ToelCorrectie&amp;"",""))</f>
        <v/>
      </c>
      <c r="S496" s="15" t="str">
        <f>IF(J496="","",J496&amp;"|"&amp;E496&amp;"|"&amp;F496&amp;"|"&amp;I496&amp;"|"&amp;O496)</f>
        <v/>
      </c>
      <c r="T496" s="111" t="str">
        <f>IF(S496="","",IF(COUNTIFS(L_Sleutel,S496,L_Actief,1)=0,"",SUMIFS(L_Waarde,L_Sleutel,S496,L_Actief,1)))</f>
        <v/>
      </c>
      <c r="U496" s="111">
        <f>IF(OR(S496="",T496=""),0,P496-T496)</f>
        <v>0</v>
      </c>
      <c r="AB496" s="112" t="n">
        <v>35</v>
      </c>
      <c r="AC496" s="112" t="n">
        <v>12</v>
      </c>
      <c r="AD496" s="112" t="str">
        <f>VERW_Project!BU40</f>
        <v/>
      </c>
      <c r="AE496" s="112">
        <f>IF(AND(VERW_Project!$A40&lt;&gt;"",ISNUMBER(AD496)),1,0)</f>
        <v>0</v>
      </c>
      <c r="AF496" s="112" t="str">
        <f>IF(AE496=1,SUM($AE$8:AE496),"")</f>
        <v/>
      </c>
      <c r="AG496" t="str">
        <f>IFERROR(MATCH(489,$AF$8:$AF$1407,0),"")</f>
        <v/>
      </c>
    </row>
    <row r="497">
      <c r="A497" s="92" t="str">
        <f>IF($AG497="","",P_ImportID)</f>
        <v/>
      </c>
      <c r="B497" s="92" t="str">
        <f>IF($AG497="","",IF(INDEX($AN$8:$AN$21,INDEX($AC$8:$AC$1407,$AG497)+1)="Z",P_BronZ,P_BronE))</f>
        <v/>
      </c>
      <c r="C497" s="108" t="str">
        <f>IF($AG497="","",P_Importdatum)</f>
        <v/>
      </c>
      <c r="D497" s="92" t="str">
        <f>IF($AG497="","",P_StatusVastleg)</f>
        <v/>
      </c>
      <c r="E497" s="92" t="str">
        <f>IF($AG497="","",P_UploadVJ)</f>
        <v/>
      </c>
      <c r="F497" s="92" t="str">
        <f>IF($AG497="","",P_UploadVersie)</f>
        <v/>
      </c>
      <c r="G497" s="92" t="str">
        <f>IF($AG497="","",IF(COUNTIFS(L_Sleutel,$S497,L_Status,"Vastgesteld")=0,0,_xlfn.MAXIFS(L_Revisie,L_Sleutel,$S497,L_Status,"Vastgesteld")+1))</f>
        <v/>
      </c>
      <c r="H497" s="108" t="str">
        <f>IF($AG497="","",P_Peildatum)</f>
        <v/>
      </c>
      <c r="I497" s="92" t="str">
        <f>IF($AG497="","",P_RJ+INDEX($AK$8:$AK$21,INDEX($AC$8:$AC$1407,$AG497)+1))</f>
        <v/>
      </c>
      <c r="J497" s="92" t="str">
        <f>IF($AG497="","",INDEX(V_WBS,INDEX($AB$8:$AB$1407,$AG497)))</f>
        <v/>
      </c>
      <c r="K497" s="92" t="str">
        <f>IF($AG497="","",INDEX(V_Projdef,INDEX($AB$8:$AB$1407,$AG497)))</f>
        <v/>
      </c>
      <c r="L497" s="92" t="str">
        <f>IF($AG497="","",INDEX(V_Naam,INDEX($AB$8:$AB$1407,$AG497)))</f>
        <v/>
      </c>
      <c r="M497" s="92" t="str">
        <f>IF($AG497="","",INDEX(V_Type,INDEX($AB$8:$AB$1407,$AG497)))</f>
        <v/>
      </c>
      <c r="N497" s="92" t="str">
        <f>IF($AG497="","",INDEX(V_IFRS,INDEX($AB$8:$AB$1407,$AG497)))</f>
        <v/>
      </c>
      <c r="O497" s="92" t="str">
        <f>IF($AG497="","",INDEX($AL$8:$AL$21,INDEX($AC$8:$AC$1407,$AG497)+1))</f>
        <v/>
      </c>
      <c r="P497" s="109" t="str">
        <f>IF($AG497="","",INDEX($AD$8:$AD$1407,$AG497))</f>
        <v/>
      </c>
      <c r="Q497" s="92" t="str">
        <f>IF($AG497="","",INDEX($AM$8:$AM$21,INDEX($AC$8:$AC$1407,$AG497)+1))</f>
        <v/>
      </c>
      <c r="R497" s="92" t="str">
        <f>IF($AG497="","",IF($G497&gt;0,P_ToelCorrectie&amp;"",""))</f>
        <v/>
      </c>
      <c r="S497" s="15" t="str">
        <f>IF(J497="","",J497&amp;"|"&amp;E497&amp;"|"&amp;F497&amp;"|"&amp;I497&amp;"|"&amp;O497)</f>
        <v/>
      </c>
      <c r="T497" s="111" t="str">
        <f>IF(S497="","",IF(COUNTIFS(L_Sleutel,S497,L_Actief,1)=0,"",SUMIFS(L_Waarde,L_Sleutel,S497,L_Actief,1)))</f>
        <v/>
      </c>
      <c r="U497" s="111">
        <f>IF(OR(S497="",T497=""),0,P497-T497)</f>
        <v>0</v>
      </c>
      <c r="AB497" s="112" t="n">
        <v>35</v>
      </c>
      <c r="AC497" s="112" t="n">
        <v>13</v>
      </c>
      <c r="AD497" s="112" t="str">
        <f>VERW_Project!BX40</f>
        <v/>
      </c>
      <c r="AE497" s="112">
        <f>IF(AND(VERW_Project!$A40&lt;&gt;"",ISNUMBER(AD497)),1,0)</f>
        <v>0</v>
      </c>
      <c r="AF497" s="112" t="str">
        <f>IF(AE497=1,SUM($AE$8:AE497),"")</f>
        <v/>
      </c>
      <c r="AG497" t="str">
        <f>IFERROR(MATCH(490,$AF$8:$AF$1407,0),"")</f>
        <v/>
      </c>
    </row>
    <row r="498">
      <c r="A498" s="92" t="str">
        <f>IF($AG498="","",P_ImportID)</f>
        <v/>
      </c>
      <c r="B498" s="92" t="str">
        <f>IF($AG498="","",IF(INDEX($AN$8:$AN$21,INDEX($AC$8:$AC$1407,$AG498)+1)="Z",P_BronZ,P_BronE))</f>
        <v/>
      </c>
      <c r="C498" s="108" t="str">
        <f>IF($AG498="","",P_Importdatum)</f>
        <v/>
      </c>
      <c r="D498" s="92" t="str">
        <f>IF($AG498="","",P_StatusVastleg)</f>
        <v/>
      </c>
      <c r="E498" s="92" t="str">
        <f>IF($AG498="","",P_UploadVJ)</f>
        <v/>
      </c>
      <c r="F498" s="92" t="str">
        <f>IF($AG498="","",P_UploadVersie)</f>
        <v/>
      </c>
      <c r="G498" s="92" t="str">
        <f>IF($AG498="","",IF(COUNTIFS(L_Sleutel,$S498,L_Status,"Vastgesteld")=0,0,_xlfn.MAXIFS(L_Revisie,L_Sleutel,$S498,L_Status,"Vastgesteld")+1))</f>
        <v/>
      </c>
      <c r="H498" s="108" t="str">
        <f>IF($AG498="","",P_Peildatum)</f>
        <v/>
      </c>
      <c r="I498" s="92" t="str">
        <f>IF($AG498="","",P_RJ+INDEX($AK$8:$AK$21,INDEX($AC$8:$AC$1407,$AG498)+1))</f>
        <v/>
      </c>
      <c r="J498" s="92" t="str">
        <f>IF($AG498="","",INDEX(V_WBS,INDEX($AB$8:$AB$1407,$AG498)))</f>
        <v/>
      </c>
      <c r="K498" s="92" t="str">
        <f>IF($AG498="","",INDEX(V_Projdef,INDEX($AB$8:$AB$1407,$AG498)))</f>
        <v/>
      </c>
      <c r="L498" s="92" t="str">
        <f>IF($AG498="","",INDEX(V_Naam,INDEX($AB$8:$AB$1407,$AG498)))</f>
        <v/>
      </c>
      <c r="M498" s="92" t="str">
        <f>IF($AG498="","",INDEX(V_Type,INDEX($AB$8:$AB$1407,$AG498)))</f>
        <v/>
      </c>
      <c r="N498" s="92" t="str">
        <f>IF($AG498="","",INDEX(V_IFRS,INDEX($AB$8:$AB$1407,$AG498)))</f>
        <v/>
      </c>
      <c r="O498" s="92" t="str">
        <f>IF($AG498="","",INDEX($AL$8:$AL$21,INDEX($AC$8:$AC$1407,$AG498)+1))</f>
        <v/>
      </c>
      <c r="P498" s="109" t="str">
        <f>IF($AG498="","",INDEX($AD$8:$AD$1407,$AG498))</f>
        <v/>
      </c>
      <c r="Q498" s="92" t="str">
        <f>IF($AG498="","",INDEX($AM$8:$AM$21,INDEX($AC$8:$AC$1407,$AG498)+1))</f>
        <v/>
      </c>
      <c r="R498" s="92" t="str">
        <f>IF($AG498="","",IF($G498&gt;0,P_ToelCorrectie&amp;"",""))</f>
        <v/>
      </c>
      <c r="S498" s="15" t="str">
        <f>IF(J498="","",J498&amp;"|"&amp;E498&amp;"|"&amp;F498&amp;"|"&amp;I498&amp;"|"&amp;O498)</f>
        <v/>
      </c>
      <c r="T498" s="111" t="str">
        <f>IF(S498="","",IF(COUNTIFS(L_Sleutel,S498,L_Actief,1)=0,"",SUMIFS(L_Waarde,L_Sleutel,S498,L_Actief,1)))</f>
        <v/>
      </c>
      <c r="U498" s="111">
        <f>IF(OR(S498="",T498=""),0,P498-T498)</f>
        <v>0</v>
      </c>
      <c r="AB498" s="112" t="n">
        <v>36</v>
      </c>
      <c r="AC498" s="112" t="n">
        <v>0</v>
      </c>
      <c r="AD498" s="112" t="str">
        <f>VERW_Project!P41</f>
        <v/>
      </c>
      <c r="AE498" s="112">
        <f>IF(AND(VERW_Project!$A41&lt;&gt;"",ISNUMBER(AD498)),1,0)</f>
        <v>0</v>
      </c>
      <c r="AF498" s="112" t="str">
        <f>IF(AE498=1,SUM($AE$8:AE498),"")</f>
        <v/>
      </c>
      <c r="AG498" t="str">
        <f>IFERROR(MATCH(491,$AF$8:$AF$1407,0),"")</f>
        <v/>
      </c>
    </row>
    <row r="499">
      <c r="A499" s="92" t="str">
        <f>IF($AG499="","",P_ImportID)</f>
        <v/>
      </c>
      <c r="B499" s="92" t="str">
        <f>IF($AG499="","",IF(INDEX($AN$8:$AN$21,INDEX($AC$8:$AC$1407,$AG499)+1)="Z",P_BronZ,P_BronE))</f>
        <v/>
      </c>
      <c r="C499" s="108" t="str">
        <f>IF($AG499="","",P_Importdatum)</f>
        <v/>
      </c>
      <c r="D499" s="92" t="str">
        <f>IF($AG499="","",P_StatusVastleg)</f>
        <v/>
      </c>
      <c r="E499" s="92" t="str">
        <f>IF($AG499="","",P_UploadVJ)</f>
        <v/>
      </c>
      <c r="F499" s="92" t="str">
        <f>IF($AG499="","",P_UploadVersie)</f>
        <v/>
      </c>
      <c r="G499" s="92" t="str">
        <f>IF($AG499="","",IF(COUNTIFS(L_Sleutel,$S499,L_Status,"Vastgesteld")=0,0,_xlfn.MAXIFS(L_Revisie,L_Sleutel,$S499,L_Status,"Vastgesteld")+1))</f>
        <v/>
      </c>
      <c r="H499" s="108" t="str">
        <f>IF($AG499="","",P_Peildatum)</f>
        <v/>
      </c>
      <c r="I499" s="92" t="str">
        <f>IF($AG499="","",P_RJ+INDEX($AK$8:$AK$21,INDEX($AC$8:$AC$1407,$AG499)+1))</f>
        <v/>
      </c>
      <c r="J499" s="92" t="str">
        <f>IF($AG499="","",INDEX(V_WBS,INDEX($AB$8:$AB$1407,$AG499)))</f>
        <v/>
      </c>
      <c r="K499" s="92" t="str">
        <f>IF($AG499="","",INDEX(V_Projdef,INDEX($AB$8:$AB$1407,$AG499)))</f>
        <v/>
      </c>
      <c r="L499" s="92" t="str">
        <f>IF($AG499="","",INDEX(V_Naam,INDEX($AB$8:$AB$1407,$AG499)))</f>
        <v/>
      </c>
      <c r="M499" s="92" t="str">
        <f>IF($AG499="","",INDEX(V_Type,INDEX($AB$8:$AB$1407,$AG499)))</f>
        <v/>
      </c>
      <c r="N499" s="92" t="str">
        <f>IF($AG499="","",INDEX(V_IFRS,INDEX($AB$8:$AB$1407,$AG499)))</f>
        <v/>
      </c>
      <c r="O499" s="92" t="str">
        <f>IF($AG499="","",INDEX($AL$8:$AL$21,INDEX($AC$8:$AC$1407,$AG499)+1))</f>
        <v/>
      </c>
      <c r="P499" s="109" t="str">
        <f>IF($AG499="","",INDEX($AD$8:$AD$1407,$AG499))</f>
        <v/>
      </c>
      <c r="Q499" s="92" t="str">
        <f>IF($AG499="","",INDEX($AM$8:$AM$21,INDEX($AC$8:$AC$1407,$AG499)+1))</f>
        <v/>
      </c>
      <c r="R499" s="92" t="str">
        <f>IF($AG499="","",IF($G499&gt;0,P_ToelCorrectie&amp;"",""))</f>
        <v/>
      </c>
      <c r="S499" s="15" t="str">
        <f>IF(J499="","",J499&amp;"|"&amp;E499&amp;"|"&amp;F499&amp;"|"&amp;I499&amp;"|"&amp;O499)</f>
        <v/>
      </c>
      <c r="T499" s="111" t="str">
        <f>IF(S499="","",IF(COUNTIFS(L_Sleutel,S499,L_Actief,1)=0,"",SUMIFS(L_Waarde,L_Sleutel,S499,L_Actief,1)))</f>
        <v/>
      </c>
      <c r="U499" s="111">
        <f>IF(OR(S499="",T499=""),0,P499-T499)</f>
        <v>0</v>
      </c>
      <c r="AB499" s="112" t="n">
        <v>36</v>
      </c>
      <c r="AC499" s="112" t="n">
        <v>1</v>
      </c>
      <c r="AD499" s="112" t="str">
        <f>VERW_Project!Q41</f>
        <v/>
      </c>
      <c r="AE499" s="112">
        <f>IF(AND(VERW_Project!$A41&lt;&gt;"",ISNUMBER(AD499)),1,0)</f>
        <v>0</v>
      </c>
      <c r="AF499" s="112" t="str">
        <f>IF(AE499=1,SUM($AE$8:AE499),"")</f>
        <v/>
      </c>
      <c r="AG499" t="str">
        <f>IFERROR(MATCH(492,$AF$8:$AF$1407,0),"")</f>
        <v/>
      </c>
    </row>
    <row r="500">
      <c r="A500" s="92" t="str">
        <f>IF($AG500="","",P_ImportID)</f>
        <v/>
      </c>
      <c r="B500" s="92" t="str">
        <f>IF($AG500="","",IF(INDEX($AN$8:$AN$21,INDEX($AC$8:$AC$1407,$AG500)+1)="Z",P_BronZ,P_BronE))</f>
        <v/>
      </c>
      <c r="C500" s="108" t="str">
        <f>IF($AG500="","",P_Importdatum)</f>
        <v/>
      </c>
      <c r="D500" s="92" t="str">
        <f>IF($AG500="","",P_StatusVastleg)</f>
        <v/>
      </c>
      <c r="E500" s="92" t="str">
        <f>IF($AG500="","",P_UploadVJ)</f>
        <v/>
      </c>
      <c r="F500" s="92" t="str">
        <f>IF($AG500="","",P_UploadVersie)</f>
        <v/>
      </c>
      <c r="G500" s="92" t="str">
        <f>IF($AG500="","",IF(COUNTIFS(L_Sleutel,$S500,L_Status,"Vastgesteld")=0,0,_xlfn.MAXIFS(L_Revisie,L_Sleutel,$S500,L_Status,"Vastgesteld")+1))</f>
        <v/>
      </c>
      <c r="H500" s="108" t="str">
        <f>IF($AG500="","",P_Peildatum)</f>
        <v/>
      </c>
      <c r="I500" s="92" t="str">
        <f>IF($AG500="","",P_RJ+INDEX($AK$8:$AK$21,INDEX($AC$8:$AC$1407,$AG500)+1))</f>
        <v/>
      </c>
      <c r="J500" s="92" t="str">
        <f>IF($AG500="","",INDEX(V_WBS,INDEX($AB$8:$AB$1407,$AG500)))</f>
        <v/>
      </c>
      <c r="K500" s="92" t="str">
        <f>IF($AG500="","",INDEX(V_Projdef,INDEX($AB$8:$AB$1407,$AG500)))</f>
        <v/>
      </c>
      <c r="L500" s="92" t="str">
        <f>IF($AG500="","",INDEX(V_Naam,INDEX($AB$8:$AB$1407,$AG500)))</f>
        <v/>
      </c>
      <c r="M500" s="92" t="str">
        <f>IF($AG500="","",INDEX(V_Type,INDEX($AB$8:$AB$1407,$AG500)))</f>
        <v/>
      </c>
      <c r="N500" s="92" t="str">
        <f>IF($AG500="","",INDEX(V_IFRS,INDEX($AB$8:$AB$1407,$AG500)))</f>
        <v/>
      </c>
      <c r="O500" s="92" t="str">
        <f>IF($AG500="","",INDEX($AL$8:$AL$21,INDEX($AC$8:$AC$1407,$AG500)+1))</f>
        <v/>
      </c>
      <c r="P500" s="109" t="str">
        <f>IF($AG500="","",INDEX($AD$8:$AD$1407,$AG500))</f>
        <v/>
      </c>
      <c r="Q500" s="92" t="str">
        <f>IF($AG500="","",INDEX($AM$8:$AM$21,INDEX($AC$8:$AC$1407,$AG500)+1))</f>
        <v/>
      </c>
      <c r="R500" s="92" t="str">
        <f>IF($AG500="","",IF($G500&gt;0,P_ToelCorrectie&amp;"",""))</f>
        <v/>
      </c>
      <c r="S500" s="15" t="str">
        <f>IF(J500="","",J500&amp;"|"&amp;E500&amp;"|"&amp;F500&amp;"|"&amp;I500&amp;"|"&amp;O500)</f>
        <v/>
      </c>
      <c r="T500" s="111" t="str">
        <f>IF(S500="","",IF(COUNTIFS(L_Sleutel,S500,L_Actief,1)=0,"",SUMIFS(L_Waarde,L_Sleutel,S500,L_Actief,1)))</f>
        <v/>
      </c>
      <c r="U500" s="111">
        <f>IF(OR(S500="",T500=""),0,P500-T500)</f>
        <v>0</v>
      </c>
      <c r="AB500" s="112" t="n">
        <v>36</v>
      </c>
      <c r="AC500" s="112" t="n">
        <v>2</v>
      </c>
      <c r="AD500" s="112" t="str">
        <f>VERW_Project!L41</f>
        <v/>
      </c>
      <c r="AE500" s="112">
        <f>IF(AND(VERW_Project!$A41&lt;&gt;"",ISNUMBER(AD500)),1,0)</f>
        <v>0</v>
      </c>
      <c r="AF500" s="112" t="str">
        <f>IF(AE500=1,SUM($AE$8:AE500),"")</f>
        <v/>
      </c>
      <c r="AG500" t="str">
        <f>IFERROR(MATCH(493,$AF$8:$AF$1407,0),"")</f>
        <v/>
      </c>
    </row>
    <row r="501">
      <c r="A501" s="92" t="str">
        <f>IF($AG501="","",P_ImportID)</f>
        <v/>
      </c>
      <c r="B501" s="92" t="str">
        <f>IF($AG501="","",IF(INDEX($AN$8:$AN$21,INDEX($AC$8:$AC$1407,$AG501)+1)="Z",P_BronZ,P_BronE))</f>
        <v/>
      </c>
      <c r="C501" s="108" t="str">
        <f>IF($AG501="","",P_Importdatum)</f>
        <v/>
      </c>
      <c r="D501" s="92" t="str">
        <f>IF($AG501="","",P_StatusVastleg)</f>
        <v/>
      </c>
      <c r="E501" s="92" t="str">
        <f>IF($AG501="","",P_UploadVJ)</f>
        <v/>
      </c>
      <c r="F501" s="92" t="str">
        <f>IF($AG501="","",P_UploadVersie)</f>
        <v/>
      </c>
      <c r="G501" s="92" t="str">
        <f>IF($AG501="","",IF(COUNTIFS(L_Sleutel,$S501,L_Status,"Vastgesteld")=0,0,_xlfn.MAXIFS(L_Revisie,L_Sleutel,$S501,L_Status,"Vastgesteld")+1))</f>
        <v/>
      </c>
      <c r="H501" s="108" t="str">
        <f>IF($AG501="","",P_Peildatum)</f>
        <v/>
      </c>
      <c r="I501" s="92" t="str">
        <f>IF($AG501="","",P_RJ+INDEX($AK$8:$AK$21,INDEX($AC$8:$AC$1407,$AG501)+1))</f>
        <v/>
      </c>
      <c r="J501" s="92" t="str">
        <f>IF($AG501="","",INDEX(V_WBS,INDEX($AB$8:$AB$1407,$AG501)))</f>
        <v/>
      </c>
      <c r="K501" s="92" t="str">
        <f>IF($AG501="","",INDEX(V_Projdef,INDEX($AB$8:$AB$1407,$AG501)))</f>
        <v/>
      </c>
      <c r="L501" s="92" t="str">
        <f>IF($AG501="","",INDEX(V_Naam,INDEX($AB$8:$AB$1407,$AG501)))</f>
        <v/>
      </c>
      <c r="M501" s="92" t="str">
        <f>IF($AG501="","",INDEX(V_Type,INDEX($AB$8:$AB$1407,$AG501)))</f>
        <v/>
      </c>
      <c r="N501" s="92" t="str">
        <f>IF($AG501="","",INDEX(V_IFRS,INDEX($AB$8:$AB$1407,$AG501)))</f>
        <v/>
      </c>
      <c r="O501" s="92" t="str">
        <f>IF($AG501="","",INDEX($AL$8:$AL$21,INDEX($AC$8:$AC$1407,$AG501)+1))</f>
        <v/>
      </c>
      <c r="P501" s="109" t="str">
        <f>IF($AG501="","",INDEX($AD$8:$AD$1407,$AG501))</f>
        <v/>
      </c>
      <c r="Q501" s="92" t="str">
        <f>IF($AG501="","",INDEX($AM$8:$AM$21,INDEX($AC$8:$AC$1407,$AG501)+1))</f>
        <v/>
      </c>
      <c r="R501" s="92" t="str">
        <f>IF($AG501="","",IF($G501&gt;0,P_ToelCorrectie&amp;"",""))</f>
        <v/>
      </c>
      <c r="S501" s="15" t="str">
        <f>IF(J501="","",J501&amp;"|"&amp;E501&amp;"|"&amp;F501&amp;"|"&amp;I501&amp;"|"&amp;O501)</f>
        <v/>
      </c>
      <c r="T501" s="111" t="str">
        <f>IF(S501="","",IF(COUNTIFS(L_Sleutel,S501,L_Actief,1)=0,"",SUMIFS(L_Waarde,L_Sleutel,S501,L_Actief,1)))</f>
        <v/>
      </c>
      <c r="U501" s="111">
        <f>IF(OR(S501="",T501=""),0,P501-T501)</f>
        <v>0</v>
      </c>
      <c r="AB501" s="112" t="n">
        <v>36</v>
      </c>
      <c r="AC501" s="112" t="n">
        <v>3</v>
      </c>
      <c r="AD501" s="112" t="str">
        <f>VERW_Project!M41</f>
        <v/>
      </c>
      <c r="AE501" s="112">
        <f>IF(AND(VERW_Project!$A41&lt;&gt;"",ISNUMBER(AD501)),1,0)</f>
        <v>0</v>
      </c>
      <c r="AF501" s="112" t="str">
        <f>IF(AE501=1,SUM($AE$8:AE501),"")</f>
        <v/>
      </c>
      <c r="AG501" t="str">
        <f>IFERROR(MATCH(494,$AF$8:$AF$1407,0),"")</f>
        <v/>
      </c>
    </row>
    <row r="502">
      <c r="A502" s="92" t="str">
        <f>IF($AG502="","",P_ImportID)</f>
        <v/>
      </c>
      <c r="B502" s="92" t="str">
        <f>IF($AG502="","",IF(INDEX($AN$8:$AN$21,INDEX($AC$8:$AC$1407,$AG502)+1)="Z",P_BronZ,P_BronE))</f>
        <v/>
      </c>
      <c r="C502" s="108" t="str">
        <f>IF($AG502="","",P_Importdatum)</f>
        <v/>
      </c>
      <c r="D502" s="92" t="str">
        <f>IF($AG502="","",P_StatusVastleg)</f>
        <v/>
      </c>
      <c r="E502" s="92" t="str">
        <f>IF($AG502="","",P_UploadVJ)</f>
        <v/>
      </c>
      <c r="F502" s="92" t="str">
        <f>IF($AG502="","",P_UploadVersie)</f>
        <v/>
      </c>
      <c r="G502" s="92" t="str">
        <f>IF($AG502="","",IF(COUNTIFS(L_Sleutel,$S502,L_Status,"Vastgesteld")=0,0,_xlfn.MAXIFS(L_Revisie,L_Sleutel,$S502,L_Status,"Vastgesteld")+1))</f>
        <v/>
      </c>
      <c r="H502" s="108" t="str">
        <f>IF($AG502="","",P_Peildatum)</f>
        <v/>
      </c>
      <c r="I502" s="92" t="str">
        <f>IF($AG502="","",P_RJ+INDEX($AK$8:$AK$21,INDEX($AC$8:$AC$1407,$AG502)+1))</f>
        <v/>
      </c>
      <c r="J502" s="92" t="str">
        <f>IF($AG502="","",INDEX(V_WBS,INDEX($AB$8:$AB$1407,$AG502)))</f>
        <v/>
      </c>
      <c r="K502" s="92" t="str">
        <f>IF($AG502="","",INDEX(V_Projdef,INDEX($AB$8:$AB$1407,$AG502)))</f>
        <v/>
      </c>
      <c r="L502" s="92" t="str">
        <f>IF($AG502="","",INDEX(V_Naam,INDEX($AB$8:$AB$1407,$AG502)))</f>
        <v/>
      </c>
      <c r="M502" s="92" t="str">
        <f>IF($AG502="","",INDEX(V_Type,INDEX($AB$8:$AB$1407,$AG502)))</f>
        <v/>
      </c>
      <c r="N502" s="92" t="str">
        <f>IF($AG502="","",INDEX(V_IFRS,INDEX($AB$8:$AB$1407,$AG502)))</f>
        <v/>
      </c>
      <c r="O502" s="92" t="str">
        <f>IF($AG502="","",INDEX($AL$8:$AL$21,INDEX($AC$8:$AC$1407,$AG502)+1))</f>
        <v/>
      </c>
      <c r="P502" s="109" t="str">
        <f>IF($AG502="","",INDEX($AD$8:$AD$1407,$AG502))</f>
        <v/>
      </c>
      <c r="Q502" s="92" t="str">
        <f>IF($AG502="","",INDEX($AM$8:$AM$21,INDEX($AC$8:$AC$1407,$AG502)+1))</f>
        <v/>
      </c>
      <c r="R502" s="92" t="str">
        <f>IF($AG502="","",IF($G502&gt;0,P_ToelCorrectie&amp;"",""))</f>
        <v/>
      </c>
      <c r="S502" s="15" t="str">
        <f>IF(J502="","",J502&amp;"|"&amp;E502&amp;"|"&amp;F502&amp;"|"&amp;I502&amp;"|"&amp;O502)</f>
        <v/>
      </c>
      <c r="T502" s="111" t="str">
        <f>IF(S502="","",IF(COUNTIFS(L_Sleutel,S502,L_Actief,1)=0,"",SUMIFS(L_Waarde,L_Sleutel,S502,L_Actief,1)))</f>
        <v/>
      </c>
      <c r="U502" s="111">
        <f>IF(OR(S502="",T502=""),0,P502-T502)</f>
        <v>0</v>
      </c>
      <c r="AB502" s="112" t="n">
        <v>36</v>
      </c>
      <c r="AC502" s="112" t="n">
        <v>4</v>
      </c>
      <c r="AD502" s="112" t="str">
        <f>VERW_Project!R41</f>
        <v/>
      </c>
      <c r="AE502" s="112">
        <f>IF(AND(VERW_Project!$A41&lt;&gt;"",ISNUMBER(AD502)),1,0)</f>
        <v>0</v>
      </c>
      <c r="AF502" s="112" t="str">
        <f>IF(AE502=1,SUM($AE$8:AE502),"")</f>
        <v/>
      </c>
      <c r="AG502" t="str">
        <f>IFERROR(MATCH(495,$AF$8:$AF$1407,0),"")</f>
        <v/>
      </c>
    </row>
    <row r="503">
      <c r="A503" s="92" t="str">
        <f>IF($AG503="","",P_ImportID)</f>
        <v/>
      </c>
      <c r="B503" s="92" t="str">
        <f>IF($AG503="","",IF(INDEX($AN$8:$AN$21,INDEX($AC$8:$AC$1407,$AG503)+1)="Z",P_BronZ,P_BronE))</f>
        <v/>
      </c>
      <c r="C503" s="108" t="str">
        <f>IF($AG503="","",P_Importdatum)</f>
        <v/>
      </c>
      <c r="D503" s="92" t="str">
        <f>IF($AG503="","",P_StatusVastleg)</f>
        <v/>
      </c>
      <c r="E503" s="92" t="str">
        <f>IF($AG503="","",P_UploadVJ)</f>
        <v/>
      </c>
      <c r="F503" s="92" t="str">
        <f>IF($AG503="","",P_UploadVersie)</f>
        <v/>
      </c>
      <c r="G503" s="92" t="str">
        <f>IF($AG503="","",IF(COUNTIFS(L_Sleutel,$S503,L_Status,"Vastgesteld")=0,0,_xlfn.MAXIFS(L_Revisie,L_Sleutel,$S503,L_Status,"Vastgesteld")+1))</f>
        <v/>
      </c>
      <c r="H503" s="108" t="str">
        <f>IF($AG503="","",P_Peildatum)</f>
        <v/>
      </c>
      <c r="I503" s="92" t="str">
        <f>IF($AG503="","",P_RJ+INDEX($AK$8:$AK$21,INDEX($AC$8:$AC$1407,$AG503)+1))</f>
        <v/>
      </c>
      <c r="J503" s="92" t="str">
        <f>IF($AG503="","",INDEX(V_WBS,INDEX($AB$8:$AB$1407,$AG503)))</f>
        <v/>
      </c>
      <c r="K503" s="92" t="str">
        <f>IF($AG503="","",INDEX(V_Projdef,INDEX($AB$8:$AB$1407,$AG503)))</f>
        <v/>
      </c>
      <c r="L503" s="92" t="str">
        <f>IF($AG503="","",INDEX(V_Naam,INDEX($AB$8:$AB$1407,$AG503)))</f>
        <v/>
      </c>
      <c r="M503" s="92" t="str">
        <f>IF($AG503="","",INDEX(V_Type,INDEX($AB$8:$AB$1407,$AG503)))</f>
        <v/>
      </c>
      <c r="N503" s="92" t="str">
        <f>IF($AG503="","",INDEX(V_IFRS,INDEX($AB$8:$AB$1407,$AG503)))</f>
        <v/>
      </c>
      <c r="O503" s="92" t="str">
        <f>IF($AG503="","",INDEX($AL$8:$AL$21,INDEX($AC$8:$AC$1407,$AG503)+1))</f>
        <v/>
      </c>
      <c r="P503" s="109" t="str">
        <f>IF($AG503="","",INDEX($AD$8:$AD$1407,$AG503))</f>
        <v/>
      </c>
      <c r="Q503" s="92" t="str">
        <f>IF($AG503="","",INDEX($AM$8:$AM$21,INDEX($AC$8:$AC$1407,$AG503)+1))</f>
        <v/>
      </c>
      <c r="R503" s="92" t="str">
        <f>IF($AG503="","",IF($G503&gt;0,P_ToelCorrectie&amp;"",""))</f>
        <v/>
      </c>
      <c r="S503" s="15" t="str">
        <f>IF(J503="","",J503&amp;"|"&amp;E503&amp;"|"&amp;F503&amp;"|"&amp;I503&amp;"|"&amp;O503)</f>
        <v/>
      </c>
      <c r="T503" s="111" t="str">
        <f>IF(S503="","",IF(COUNTIFS(L_Sleutel,S503,L_Actief,1)=0,"",SUMIFS(L_Waarde,L_Sleutel,S503,L_Actief,1)))</f>
        <v/>
      </c>
      <c r="U503" s="111">
        <f>IF(OR(S503="",T503=""),0,P503-T503)</f>
        <v>0</v>
      </c>
      <c r="AB503" s="112" t="n">
        <v>36</v>
      </c>
      <c r="AC503" s="112" t="n">
        <v>5</v>
      </c>
      <c r="AD503" s="112" t="str">
        <f>VERW_Project!S41</f>
        <v/>
      </c>
      <c r="AE503" s="112">
        <f>IF(AND(VERW_Project!$A41&lt;&gt;"",ISNUMBER(AD503)),1,0)</f>
        <v>0</v>
      </c>
      <c r="AF503" s="112" t="str">
        <f>IF(AE503=1,SUM($AE$8:AE503),"")</f>
        <v/>
      </c>
      <c r="AG503" t="str">
        <f>IFERROR(MATCH(496,$AF$8:$AF$1407,0),"")</f>
        <v/>
      </c>
    </row>
    <row r="504">
      <c r="A504" s="92" t="str">
        <f>IF($AG504="","",P_ImportID)</f>
        <v/>
      </c>
      <c r="B504" s="92" t="str">
        <f>IF($AG504="","",IF(INDEX($AN$8:$AN$21,INDEX($AC$8:$AC$1407,$AG504)+1)="Z",P_BronZ,P_BronE))</f>
        <v/>
      </c>
      <c r="C504" s="108" t="str">
        <f>IF($AG504="","",P_Importdatum)</f>
        <v/>
      </c>
      <c r="D504" s="92" t="str">
        <f>IF($AG504="","",P_StatusVastleg)</f>
        <v/>
      </c>
      <c r="E504" s="92" t="str">
        <f>IF($AG504="","",P_UploadVJ)</f>
        <v/>
      </c>
      <c r="F504" s="92" t="str">
        <f>IF($AG504="","",P_UploadVersie)</f>
        <v/>
      </c>
      <c r="G504" s="92" t="str">
        <f>IF($AG504="","",IF(COUNTIFS(L_Sleutel,$S504,L_Status,"Vastgesteld")=0,0,_xlfn.MAXIFS(L_Revisie,L_Sleutel,$S504,L_Status,"Vastgesteld")+1))</f>
        <v/>
      </c>
      <c r="H504" s="108" t="str">
        <f>IF($AG504="","",P_Peildatum)</f>
        <v/>
      </c>
      <c r="I504" s="92" t="str">
        <f>IF($AG504="","",P_RJ+INDEX($AK$8:$AK$21,INDEX($AC$8:$AC$1407,$AG504)+1))</f>
        <v/>
      </c>
      <c r="J504" s="92" t="str">
        <f>IF($AG504="","",INDEX(V_WBS,INDEX($AB$8:$AB$1407,$AG504)))</f>
        <v/>
      </c>
      <c r="K504" s="92" t="str">
        <f>IF($AG504="","",INDEX(V_Projdef,INDEX($AB$8:$AB$1407,$AG504)))</f>
        <v/>
      </c>
      <c r="L504" s="92" t="str">
        <f>IF($AG504="","",INDEX(V_Naam,INDEX($AB$8:$AB$1407,$AG504)))</f>
        <v/>
      </c>
      <c r="M504" s="92" t="str">
        <f>IF($AG504="","",INDEX(V_Type,INDEX($AB$8:$AB$1407,$AG504)))</f>
        <v/>
      </c>
      <c r="N504" s="92" t="str">
        <f>IF($AG504="","",INDEX(V_IFRS,INDEX($AB$8:$AB$1407,$AG504)))</f>
        <v/>
      </c>
      <c r="O504" s="92" t="str">
        <f>IF($AG504="","",INDEX($AL$8:$AL$21,INDEX($AC$8:$AC$1407,$AG504)+1))</f>
        <v/>
      </c>
      <c r="P504" s="109" t="str">
        <f>IF($AG504="","",INDEX($AD$8:$AD$1407,$AG504))</f>
        <v/>
      </c>
      <c r="Q504" s="92" t="str">
        <f>IF($AG504="","",INDEX($AM$8:$AM$21,INDEX($AC$8:$AC$1407,$AG504)+1))</f>
        <v/>
      </c>
      <c r="R504" s="92" t="str">
        <f>IF($AG504="","",IF($G504&gt;0,P_ToelCorrectie&amp;"",""))</f>
        <v/>
      </c>
      <c r="S504" s="15" t="str">
        <f>IF(J504="","",J504&amp;"|"&amp;E504&amp;"|"&amp;F504&amp;"|"&amp;I504&amp;"|"&amp;O504)</f>
        <v/>
      </c>
      <c r="T504" s="111" t="str">
        <f>IF(S504="","",IF(COUNTIFS(L_Sleutel,S504,L_Actief,1)=0,"",SUMIFS(L_Waarde,L_Sleutel,S504,L_Actief,1)))</f>
        <v/>
      </c>
      <c r="U504" s="111">
        <f>IF(OR(S504="",T504=""),0,P504-T504)</f>
        <v>0</v>
      </c>
      <c r="AB504" s="112" t="n">
        <v>36</v>
      </c>
      <c r="AC504" s="112" t="n">
        <v>6</v>
      </c>
      <c r="AD504" s="112" t="str">
        <f>VERW_Project!BW41</f>
        <v/>
      </c>
      <c r="AE504" s="112">
        <f>IF(AND(VERW_Project!$A41&lt;&gt;"",ISNUMBER(AD504)),1,0)</f>
        <v>0</v>
      </c>
      <c r="AF504" s="112" t="str">
        <f>IF(AE504=1,SUM($AE$8:AE504),"")</f>
        <v/>
      </c>
      <c r="AG504" t="str">
        <f>IFERROR(MATCH(497,$AF$8:$AF$1407,0),"")</f>
        <v/>
      </c>
    </row>
    <row r="505">
      <c r="A505" s="92" t="str">
        <f>IF($AG505="","",P_ImportID)</f>
        <v/>
      </c>
      <c r="B505" s="92" t="str">
        <f>IF($AG505="","",IF(INDEX($AN$8:$AN$21,INDEX($AC$8:$AC$1407,$AG505)+1)="Z",P_BronZ,P_BronE))</f>
        <v/>
      </c>
      <c r="C505" s="108" t="str">
        <f>IF($AG505="","",P_Importdatum)</f>
        <v/>
      </c>
      <c r="D505" s="92" t="str">
        <f>IF($AG505="","",P_StatusVastleg)</f>
        <v/>
      </c>
      <c r="E505" s="92" t="str">
        <f>IF($AG505="","",P_UploadVJ)</f>
        <v/>
      </c>
      <c r="F505" s="92" t="str">
        <f>IF($AG505="","",P_UploadVersie)</f>
        <v/>
      </c>
      <c r="G505" s="92" t="str">
        <f>IF($AG505="","",IF(COUNTIFS(L_Sleutel,$S505,L_Status,"Vastgesteld")=0,0,_xlfn.MAXIFS(L_Revisie,L_Sleutel,$S505,L_Status,"Vastgesteld")+1))</f>
        <v/>
      </c>
      <c r="H505" s="108" t="str">
        <f>IF($AG505="","",P_Peildatum)</f>
        <v/>
      </c>
      <c r="I505" s="92" t="str">
        <f>IF($AG505="","",P_RJ+INDEX($AK$8:$AK$21,INDEX($AC$8:$AC$1407,$AG505)+1))</f>
        <v/>
      </c>
      <c r="J505" s="92" t="str">
        <f>IF($AG505="","",INDEX(V_WBS,INDEX($AB$8:$AB$1407,$AG505)))</f>
        <v/>
      </c>
      <c r="K505" s="92" t="str">
        <f>IF($AG505="","",INDEX(V_Projdef,INDEX($AB$8:$AB$1407,$AG505)))</f>
        <v/>
      </c>
      <c r="L505" s="92" t="str">
        <f>IF($AG505="","",INDEX(V_Naam,INDEX($AB$8:$AB$1407,$AG505)))</f>
        <v/>
      </c>
      <c r="M505" s="92" t="str">
        <f>IF($AG505="","",INDEX(V_Type,INDEX($AB$8:$AB$1407,$AG505)))</f>
        <v/>
      </c>
      <c r="N505" s="92" t="str">
        <f>IF($AG505="","",INDEX(V_IFRS,INDEX($AB$8:$AB$1407,$AG505)))</f>
        <v/>
      </c>
      <c r="O505" s="92" t="str">
        <f>IF($AG505="","",INDEX($AL$8:$AL$21,INDEX($AC$8:$AC$1407,$AG505)+1))</f>
        <v/>
      </c>
      <c r="P505" s="109" t="str">
        <f>IF($AG505="","",INDEX($AD$8:$AD$1407,$AG505))</f>
        <v/>
      </c>
      <c r="Q505" s="92" t="str">
        <f>IF($AG505="","",INDEX($AM$8:$AM$21,INDEX($AC$8:$AC$1407,$AG505)+1))</f>
        <v/>
      </c>
      <c r="R505" s="92" t="str">
        <f>IF($AG505="","",IF($G505&gt;0,P_ToelCorrectie&amp;"",""))</f>
        <v/>
      </c>
      <c r="S505" s="15" t="str">
        <f>IF(J505="","",J505&amp;"|"&amp;E505&amp;"|"&amp;F505&amp;"|"&amp;I505&amp;"|"&amp;O505)</f>
        <v/>
      </c>
      <c r="T505" s="111" t="str">
        <f>IF(S505="","",IF(COUNTIFS(L_Sleutel,S505,L_Actief,1)=0,"",SUMIFS(L_Waarde,L_Sleutel,S505,L_Actief,1)))</f>
        <v/>
      </c>
      <c r="U505" s="111">
        <f>IF(OR(S505="",T505=""),0,P505-T505)</f>
        <v>0</v>
      </c>
      <c r="AB505" s="112" t="n">
        <v>36</v>
      </c>
      <c r="AC505" s="112" t="n">
        <v>7</v>
      </c>
      <c r="AD505" s="112" t="str">
        <f>VERW_Project!AW41</f>
        <v/>
      </c>
      <c r="AE505" s="112">
        <f>IF(AND(VERW_Project!$A41&lt;&gt;"",ISNUMBER(AD505)),1,0)</f>
        <v>0</v>
      </c>
      <c r="AF505" s="112" t="str">
        <f>IF(AE505=1,SUM($AE$8:AE505),"")</f>
        <v/>
      </c>
      <c r="AG505" t="str">
        <f>IFERROR(MATCH(498,$AF$8:$AF$1407,0),"")</f>
        <v/>
      </c>
    </row>
    <row r="506">
      <c r="A506" s="92" t="str">
        <f>IF($AG506="","",P_ImportID)</f>
        <v/>
      </c>
      <c r="B506" s="92" t="str">
        <f>IF($AG506="","",IF(INDEX($AN$8:$AN$21,INDEX($AC$8:$AC$1407,$AG506)+1)="Z",P_BronZ,P_BronE))</f>
        <v/>
      </c>
      <c r="C506" s="108" t="str">
        <f>IF($AG506="","",P_Importdatum)</f>
        <v/>
      </c>
      <c r="D506" s="92" t="str">
        <f>IF($AG506="","",P_StatusVastleg)</f>
        <v/>
      </c>
      <c r="E506" s="92" t="str">
        <f>IF($AG506="","",P_UploadVJ)</f>
        <v/>
      </c>
      <c r="F506" s="92" t="str">
        <f>IF($AG506="","",P_UploadVersie)</f>
        <v/>
      </c>
      <c r="G506" s="92" t="str">
        <f>IF($AG506="","",IF(COUNTIFS(L_Sleutel,$S506,L_Status,"Vastgesteld")=0,0,_xlfn.MAXIFS(L_Revisie,L_Sleutel,$S506,L_Status,"Vastgesteld")+1))</f>
        <v/>
      </c>
      <c r="H506" s="108" t="str">
        <f>IF($AG506="","",P_Peildatum)</f>
        <v/>
      </c>
      <c r="I506" s="92" t="str">
        <f>IF($AG506="","",P_RJ+INDEX($AK$8:$AK$21,INDEX($AC$8:$AC$1407,$AG506)+1))</f>
        <v/>
      </c>
      <c r="J506" s="92" t="str">
        <f>IF($AG506="","",INDEX(V_WBS,INDEX($AB$8:$AB$1407,$AG506)))</f>
        <v/>
      </c>
      <c r="K506" s="92" t="str">
        <f>IF($AG506="","",INDEX(V_Projdef,INDEX($AB$8:$AB$1407,$AG506)))</f>
        <v/>
      </c>
      <c r="L506" s="92" t="str">
        <f>IF($AG506="","",INDEX(V_Naam,INDEX($AB$8:$AB$1407,$AG506)))</f>
        <v/>
      </c>
      <c r="M506" s="92" t="str">
        <f>IF($AG506="","",INDEX(V_Type,INDEX($AB$8:$AB$1407,$AG506)))</f>
        <v/>
      </c>
      <c r="N506" s="92" t="str">
        <f>IF($AG506="","",INDEX(V_IFRS,INDEX($AB$8:$AB$1407,$AG506)))</f>
        <v/>
      </c>
      <c r="O506" s="92" t="str">
        <f>IF($AG506="","",INDEX($AL$8:$AL$21,INDEX($AC$8:$AC$1407,$AG506)+1))</f>
        <v/>
      </c>
      <c r="P506" s="109" t="str">
        <f>IF($AG506="","",INDEX($AD$8:$AD$1407,$AG506))</f>
        <v/>
      </c>
      <c r="Q506" s="92" t="str">
        <f>IF($AG506="","",INDEX($AM$8:$AM$21,INDEX($AC$8:$AC$1407,$AG506)+1))</f>
        <v/>
      </c>
      <c r="R506" s="92" t="str">
        <f>IF($AG506="","",IF($G506&gt;0,P_ToelCorrectie&amp;"",""))</f>
        <v/>
      </c>
      <c r="S506" s="15" t="str">
        <f>IF(J506="","",J506&amp;"|"&amp;E506&amp;"|"&amp;F506&amp;"|"&amp;I506&amp;"|"&amp;O506)</f>
        <v/>
      </c>
      <c r="T506" s="111" t="str">
        <f>IF(S506="","",IF(COUNTIFS(L_Sleutel,S506,L_Actief,1)=0,"",SUMIFS(L_Waarde,L_Sleutel,S506,L_Actief,1)))</f>
        <v/>
      </c>
      <c r="U506" s="111">
        <f>IF(OR(S506="",T506=""),0,P506-T506)</f>
        <v>0</v>
      </c>
      <c r="AB506" s="112" t="n">
        <v>36</v>
      </c>
      <c r="AC506" s="112" t="n">
        <v>8</v>
      </c>
      <c r="AD506" s="112" t="str">
        <f>VERW_Project!BQ41</f>
        <v/>
      </c>
      <c r="AE506" s="112">
        <f>IF(AND(VERW_Project!$A41&lt;&gt;"",ISNUMBER(AD506)),1,0)</f>
        <v>0</v>
      </c>
      <c r="AF506" s="112" t="str">
        <f>IF(AE506=1,SUM($AE$8:AE506),"")</f>
        <v/>
      </c>
      <c r="AG506" t="str">
        <f>IFERROR(MATCH(499,$AF$8:$AF$1407,0),"")</f>
        <v/>
      </c>
    </row>
    <row r="507">
      <c r="A507" s="92" t="str">
        <f>IF($AG507="","",P_ImportID)</f>
        <v/>
      </c>
      <c r="B507" s="92" t="str">
        <f>IF($AG507="","",IF(INDEX($AN$8:$AN$21,INDEX($AC$8:$AC$1407,$AG507)+1)="Z",P_BronZ,P_BronE))</f>
        <v/>
      </c>
      <c r="C507" s="108" t="str">
        <f>IF($AG507="","",P_Importdatum)</f>
        <v/>
      </c>
      <c r="D507" s="92" t="str">
        <f>IF($AG507="","",P_StatusVastleg)</f>
        <v/>
      </c>
      <c r="E507" s="92" t="str">
        <f>IF($AG507="","",P_UploadVJ)</f>
        <v/>
      </c>
      <c r="F507" s="92" t="str">
        <f>IF($AG507="","",P_UploadVersie)</f>
        <v/>
      </c>
      <c r="G507" s="92" t="str">
        <f>IF($AG507="","",IF(COUNTIFS(L_Sleutel,$S507,L_Status,"Vastgesteld")=0,0,_xlfn.MAXIFS(L_Revisie,L_Sleutel,$S507,L_Status,"Vastgesteld")+1))</f>
        <v/>
      </c>
      <c r="H507" s="108" t="str">
        <f>IF($AG507="","",P_Peildatum)</f>
        <v/>
      </c>
      <c r="I507" s="92" t="str">
        <f>IF($AG507="","",P_RJ+INDEX($AK$8:$AK$21,INDEX($AC$8:$AC$1407,$AG507)+1))</f>
        <v/>
      </c>
      <c r="J507" s="92" t="str">
        <f>IF($AG507="","",INDEX(V_WBS,INDEX($AB$8:$AB$1407,$AG507)))</f>
        <v/>
      </c>
      <c r="K507" s="92" t="str">
        <f>IF($AG507="","",INDEX(V_Projdef,INDEX($AB$8:$AB$1407,$AG507)))</f>
        <v/>
      </c>
      <c r="L507" s="92" t="str">
        <f>IF($AG507="","",INDEX(V_Naam,INDEX($AB$8:$AB$1407,$AG507)))</f>
        <v/>
      </c>
      <c r="M507" s="92" t="str">
        <f>IF($AG507="","",INDEX(V_Type,INDEX($AB$8:$AB$1407,$AG507)))</f>
        <v/>
      </c>
      <c r="N507" s="92" t="str">
        <f>IF($AG507="","",INDEX(V_IFRS,INDEX($AB$8:$AB$1407,$AG507)))</f>
        <v/>
      </c>
      <c r="O507" s="92" t="str">
        <f>IF($AG507="","",INDEX($AL$8:$AL$21,INDEX($AC$8:$AC$1407,$AG507)+1))</f>
        <v/>
      </c>
      <c r="P507" s="109" t="str">
        <f>IF($AG507="","",INDEX($AD$8:$AD$1407,$AG507))</f>
        <v/>
      </c>
      <c r="Q507" s="92" t="str">
        <f>IF($AG507="","",INDEX($AM$8:$AM$21,INDEX($AC$8:$AC$1407,$AG507)+1))</f>
        <v/>
      </c>
      <c r="R507" s="92" t="str">
        <f>IF($AG507="","",IF($G507&gt;0,P_ToelCorrectie&amp;"",""))</f>
        <v/>
      </c>
      <c r="S507" s="15" t="str">
        <f>IF(J507="","",J507&amp;"|"&amp;E507&amp;"|"&amp;F507&amp;"|"&amp;I507&amp;"|"&amp;O507)</f>
        <v/>
      </c>
      <c r="T507" s="111" t="str">
        <f>IF(S507="","",IF(COUNTIFS(L_Sleutel,S507,L_Actief,1)=0,"",SUMIFS(L_Waarde,L_Sleutel,S507,L_Actief,1)))</f>
        <v/>
      </c>
      <c r="U507" s="111">
        <f>IF(OR(S507="",T507=""),0,P507-T507)</f>
        <v>0</v>
      </c>
      <c r="AB507" s="112" t="n">
        <v>36</v>
      </c>
      <c r="AC507" s="112" t="n">
        <v>9</v>
      </c>
      <c r="AD507" s="112" t="str">
        <f>VERW_Project!BR41</f>
        <v/>
      </c>
      <c r="AE507" s="112">
        <f>IF(AND(VERW_Project!$A41&lt;&gt;"",ISNUMBER(AD507)),1,0)</f>
        <v>0</v>
      </c>
      <c r="AF507" s="112" t="str">
        <f>IF(AE507=1,SUM($AE$8:AE507),"")</f>
        <v/>
      </c>
      <c r="AG507" t="str">
        <f>IFERROR(MATCH(500,$AF$8:$AF$1407,0),"")</f>
        <v/>
      </c>
    </row>
    <row r="508">
      <c r="A508" s="92" t="str">
        <f>IF($AG508="","",P_ImportID)</f>
        <v/>
      </c>
      <c r="B508" s="92" t="str">
        <f>IF($AG508="","",IF(INDEX($AN$8:$AN$21,INDEX($AC$8:$AC$1407,$AG508)+1)="Z",P_BronZ,P_BronE))</f>
        <v/>
      </c>
      <c r="C508" s="108" t="str">
        <f>IF($AG508="","",P_Importdatum)</f>
        <v/>
      </c>
      <c r="D508" s="92" t="str">
        <f>IF($AG508="","",P_StatusVastleg)</f>
        <v/>
      </c>
      <c r="E508" s="92" t="str">
        <f>IF($AG508="","",P_UploadVJ)</f>
        <v/>
      </c>
      <c r="F508" s="92" t="str">
        <f>IF($AG508="","",P_UploadVersie)</f>
        <v/>
      </c>
      <c r="G508" s="92" t="str">
        <f>IF($AG508="","",IF(COUNTIFS(L_Sleutel,$S508,L_Status,"Vastgesteld")=0,0,_xlfn.MAXIFS(L_Revisie,L_Sleutel,$S508,L_Status,"Vastgesteld")+1))</f>
        <v/>
      </c>
      <c r="H508" s="108" t="str">
        <f>IF($AG508="","",P_Peildatum)</f>
        <v/>
      </c>
      <c r="I508" s="92" t="str">
        <f>IF($AG508="","",P_RJ+INDEX($AK$8:$AK$21,INDEX($AC$8:$AC$1407,$AG508)+1))</f>
        <v/>
      </c>
      <c r="J508" s="92" t="str">
        <f>IF($AG508="","",INDEX(V_WBS,INDEX($AB$8:$AB$1407,$AG508)))</f>
        <v/>
      </c>
      <c r="K508" s="92" t="str">
        <f>IF($AG508="","",INDEX(V_Projdef,INDEX($AB$8:$AB$1407,$AG508)))</f>
        <v/>
      </c>
      <c r="L508" s="92" t="str">
        <f>IF($AG508="","",INDEX(V_Naam,INDEX($AB$8:$AB$1407,$AG508)))</f>
        <v/>
      </c>
      <c r="M508" s="92" t="str">
        <f>IF($AG508="","",INDEX(V_Type,INDEX($AB$8:$AB$1407,$AG508)))</f>
        <v/>
      </c>
      <c r="N508" s="92" t="str">
        <f>IF($AG508="","",INDEX(V_IFRS,INDEX($AB$8:$AB$1407,$AG508)))</f>
        <v/>
      </c>
      <c r="O508" s="92" t="str">
        <f>IF($AG508="","",INDEX($AL$8:$AL$21,INDEX($AC$8:$AC$1407,$AG508)+1))</f>
        <v/>
      </c>
      <c r="P508" s="109" t="str">
        <f>IF($AG508="","",INDEX($AD$8:$AD$1407,$AG508))</f>
        <v/>
      </c>
      <c r="Q508" s="92" t="str">
        <f>IF($AG508="","",INDEX($AM$8:$AM$21,INDEX($AC$8:$AC$1407,$AG508)+1))</f>
        <v/>
      </c>
      <c r="R508" s="92" t="str">
        <f>IF($AG508="","",IF($G508&gt;0,P_ToelCorrectie&amp;"",""))</f>
        <v/>
      </c>
      <c r="S508" s="15" t="str">
        <f>IF(J508="","",J508&amp;"|"&amp;E508&amp;"|"&amp;F508&amp;"|"&amp;I508&amp;"|"&amp;O508)</f>
        <v/>
      </c>
      <c r="T508" s="111" t="str">
        <f>IF(S508="","",IF(COUNTIFS(L_Sleutel,S508,L_Actief,1)=0,"",SUMIFS(L_Waarde,L_Sleutel,S508,L_Actief,1)))</f>
        <v/>
      </c>
      <c r="U508" s="111">
        <f>IF(OR(S508="",T508=""),0,P508-T508)</f>
        <v>0</v>
      </c>
      <c r="AB508" s="112" t="n">
        <v>36</v>
      </c>
      <c r="AC508" s="112" t="n">
        <v>10</v>
      </c>
      <c r="AD508" s="112" t="str">
        <f>VERW_Project!BS41</f>
        <v/>
      </c>
      <c r="AE508" s="112">
        <f>IF(AND(VERW_Project!$A41&lt;&gt;"",ISNUMBER(AD508)),1,0)</f>
        <v>0</v>
      </c>
      <c r="AF508" s="112" t="str">
        <f>IF(AE508=1,SUM($AE$8:AE508),"")</f>
        <v/>
      </c>
      <c r="AG508" t="str">
        <f>IFERROR(MATCH(501,$AF$8:$AF$1407,0),"")</f>
        <v/>
      </c>
    </row>
    <row r="509">
      <c r="A509" s="92" t="str">
        <f>IF($AG509="","",P_ImportID)</f>
        <v/>
      </c>
      <c r="B509" s="92" t="str">
        <f>IF($AG509="","",IF(INDEX($AN$8:$AN$21,INDEX($AC$8:$AC$1407,$AG509)+1)="Z",P_BronZ,P_BronE))</f>
        <v/>
      </c>
      <c r="C509" s="108" t="str">
        <f>IF($AG509="","",P_Importdatum)</f>
        <v/>
      </c>
      <c r="D509" s="92" t="str">
        <f>IF($AG509="","",P_StatusVastleg)</f>
        <v/>
      </c>
      <c r="E509" s="92" t="str">
        <f>IF($AG509="","",P_UploadVJ)</f>
        <v/>
      </c>
      <c r="F509" s="92" t="str">
        <f>IF($AG509="","",P_UploadVersie)</f>
        <v/>
      </c>
      <c r="G509" s="92" t="str">
        <f>IF($AG509="","",IF(COUNTIFS(L_Sleutel,$S509,L_Status,"Vastgesteld")=0,0,_xlfn.MAXIFS(L_Revisie,L_Sleutel,$S509,L_Status,"Vastgesteld")+1))</f>
        <v/>
      </c>
      <c r="H509" s="108" t="str">
        <f>IF($AG509="","",P_Peildatum)</f>
        <v/>
      </c>
      <c r="I509" s="92" t="str">
        <f>IF($AG509="","",P_RJ+INDEX($AK$8:$AK$21,INDEX($AC$8:$AC$1407,$AG509)+1))</f>
        <v/>
      </c>
      <c r="J509" s="92" t="str">
        <f>IF($AG509="","",INDEX(V_WBS,INDEX($AB$8:$AB$1407,$AG509)))</f>
        <v/>
      </c>
      <c r="K509" s="92" t="str">
        <f>IF($AG509="","",INDEX(V_Projdef,INDEX($AB$8:$AB$1407,$AG509)))</f>
        <v/>
      </c>
      <c r="L509" s="92" t="str">
        <f>IF($AG509="","",INDEX(V_Naam,INDEX($AB$8:$AB$1407,$AG509)))</f>
        <v/>
      </c>
      <c r="M509" s="92" t="str">
        <f>IF($AG509="","",INDEX(V_Type,INDEX($AB$8:$AB$1407,$AG509)))</f>
        <v/>
      </c>
      <c r="N509" s="92" t="str">
        <f>IF($AG509="","",INDEX(V_IFRS,INDEX($AB$8:$AB$1407,$AG509)))</f>
        <v/>
      </c>
      <c r="O509" s="92" t="str">
        <f>IF($AG509="","",INDEX($AL$8:$AL$21,INDEX($AC$8:$AC$1407,$AG509)+1))</f>
        <v/>
      </c>
      <c r="P509" s="109" t="str">
        <f>IF($AG509="","",INDEX($AD$8:$AD$1407,$AG509))</f>
        <v/>
      </c>
      <c r="Q509" s="92" t="str">
        <f>IF($AG509="","",INDEX($AM$8:$AM$21,INDEX($AC$8:$AC$1407,$AG509)+1))</f>
        <v/>
      </c>
      <c r="R509" s="92" t="str">
        <f>IF($AG509="","",IF($G509&gt;0,P_ToelCorrectie&amp;"",""))</f>
        <v/>
      </c>
      <c r="S509" s="15" t="str">
        <f>IF(J509="","",J509&amp;"|"&amp;E509&amp;"|"&amp;F509&amp;"|"&amp;I509&amp;"|"&amp;O509)</f>
        <v/>
      </c>
      <c r="T509" s="111" t="str">
        <f>IF(S509="","",IF(COUNTIFS(L_Sleutel,S509,L_Actief,1)=0,"",SUMIFS(L_Waarde,L_Sleutel,S509,L_Actief,1)))</f>
        <v/>
      </c>
      <c r="U509" s="111">
        <f>IF(OR(S509="",T509=""),0,P509-T509)</f>
        <v>0</v>
      </c>
      <c r="AB509" s="112" t="n">
        <v>36</v>
      </c>
      <c r="AC509" s="112" t="n">
        <v>11</v>
      </c>
      <c r="AD509" s="112" t="str">
        <f>VERW_Project!BT41</f>
        <v/>
      </c>
      <c r="AE509" s="112">
        <f>IF(AND(VERW_Project!$A41&lt;&gt;"",ISNUMBER(AD509)),1,0)</f>
        <v>0</v>
      </c>
      <c r="AF509" s="112" t="str">
        <f>IF(AE509=1,SUM($AE$8:AE509),"")</f>
        <v/>
      </c>
      <c r="AG509" t="str">
        <f>IFERROR(MATCH(502,$AF$8:$AF$1407,0),"")</f>
        <v/>
      </c>
    </row>
    <row r="510">
      <c r="A510" s="92" t="str">
        <f>IF($AG510="","",P_ImportID)</f>
        <v/>
      </c>
      <c r="B510" s="92" t="str">
        <f>IF($AG510="","",IF(INDEX($AN$8:$AN$21,INDEX($AC$8:$AC$1407,$AG510)+1)="Z",P_BronZ,P_BronE))</f>
        <v/>
      </c>
      <c r="C510" s="108" t="str">
        <f>IF($AG510="","",P_Importdatum)</f>
        <v/>
      </c>
      <c r="D510" s="92" t="str">
        <f>IF($AG510="","",P_StatusVastleg)</f>
        <v/>
      </c>
      <c r="E510" s="92" t="str">
        <f>IF($AG510="","",P_UploadVJ)</f>
        <v/>
      </c>
      <c r="F510" s="92" t="str">
        <f>IF($AG510="","",P_UploadVersie)</f>
        <v/>
      </c>
      <c r="G510" s="92" t="str">
        <f>IF($AG510="","",IF(COUNTIFS(L_Sleutel,$S510,L_Status,"Vastgesteld")=0,0,_xlfn.MAXIFS(L_Revisie,L_Sleutel,$S510,L_Status,"Vastgesteld")+1))</f>
        <v/>
      </c>
      <c r="H510" s="108" t="str">
        <f>IF($AG510="","",P_Peildatum)</f>
        <v/>
      </c>
      <c r="I510" s="92" t="str">
        <f>IF($AG510="","",P_RJ+INDEX($AK$8:$AK$21,INDEX($AC$8:$AC$1407,$AG510)+1))</f>
        <v/>
      </c>
      <c r="J510" s="92" t="str">
        <f>IF($AG510="","",INDEX(V_WBS,INDEX($AB$8:$AB$1407,$AG510)))</f>
        <v/>
      </c>
      <c r="K510" s="92" t="str">
        <f>IF($AG510="","",INDEX(V_Projdef,INDEX($AB$8:$AB$1407,$AG510)))</f>
        <v/>
      </c>
      <c r="L510" s="92" t="str">
        <f>IF($AG510="","",INDEX(V_Naam,INDEX($AB$8:$AB$1407,$AG510)))</f>
        <v/>
      </c>
      <c r="M510" s="92" t="str">
        <f>IF($AG510="","",INDEX(V_Type,INDEX($AB$8:$AB$1407,$AG510)))</f>
        <v/>
      </c>
      <c r="N510" s="92" t="str">
        <f>IF($AG510="","",INDEX(V_IFRS,INDEX($AB$8:$AB$1407,$AG510)))</f>
        <v/>
      </c>
      <c r="O510" s="92" t="str">
        <f>IF($AG510="","",INDEX($AL$8:$AL$21,INDEX($AC$8:$AC$1407,$AG510)+1))</f>
        <v/>
      </c>
      <c r="P510" s="109" t="str">
        <f>IF($AG510="","",INDEX($AD$8:$AD$1407,$AG510))</f>
        <v/>
      </c>
      <c r="Q510" s="92" t="str">
        <f>IF($AG510="","",INDEX($AM$8:$AM$21,INDEX($AC$8:$AC$1407,$AG510)+1))</f>
        <v/>
      </c>
      <c r="R510" s="92" t="str">
        <f>IF($AG510="","",IF($G510&gt;0,P_ToelCorrectie&amp;"",""))</f>
        <v/>
      </c>
      <c r="S510" s="15" t="str">
        <f>IF(J510="","",J510&amp;"|"&amp;E510&amp;"|"&amp;F510&amp;"|"&amp;I510&amp;"|"&amp;O510)</f>
        <v/>
      </c>
      <c r="T510" s="111" t="str">
        <f>IF(S510="","",IF(COUNTIFS(L_Sleutel,S510,L_Actief,1)=0,"",SUMIFS(L_Waarde,L_Sleutel,S510,L_Actief,1)))</f>
        <v/>
      </c>
      <c r="U510" s="111">
        <f>IF(OR(S510="",T510=""),0,P510-T510)</f>
        <v>0</v>
      </c>
      <c r="AB510" s="112" t="n">
        <v>36</v>
      </c>
      <c r="AC510" s="112" t="n">
        <v>12</v>
      </c>
      <c r="AD510" s="112" t="str">
        <f>VERW_Project!BU41</f>
        <v/>
      </c>
      <c r="AE510" s="112">
        <f>IF(AND(VERW_Project!$A41&lt;&gt;"",ISNUMBER(AD510)),1,0)</f>
        <v>0</v>
      </c>
      <c r="AF510" s="112" t="str">
        <f>IF(AE510=1,SUM($AE$8:AE510),"")</f>
        <v/>
      </c>
      <c r="AG510" t="str">
        <f>IFERROR(MATCH(503,$AF$8:$AF$1407,0),"")</f>
        <v/>
      </c>
    </row>
    <row r="511">
      <c r="A511" s="92" t="str">
        <f>IF($AG511="","",P_ImportID)</f>
        <v/>
      </c>
      <c r="B511" s="92" t="str">
        <f>IF($AG511="","",IF(INDEX($AN$8:$AN$21,INDEX($AC$8:$AC$1407,$AG511)+1)="Z",P_BronZ,P_BronE))</f>
        <v/>
      </c>
      <c r="C511" s="108" t="str">
        <f>IF($AG511="","",P_Importdatum)</f>
        <v/>
      </c>
      <c r="D511" s="92" t="str">
        <f>IF($AG511="","",P_StatusVastleg)</f>
        <v/>
      </c>
      <c r="E511" s="92" t="str">
        <f>IF($AG511="","",P_UploadVJ)</f>
        <v/>
      </c>
      <c r="F511" s="92" t="str">
        <f>IF($AG511="","",P_UploadVersie)</f>
        <v/>
      </c>
      <c r="G511" s="92" t="str">
        <f>IF($AG511="","",IF(COUNTIFS(L_Sleutel,$S511,L_Status,"Vastgesteld")=0,0,_xlfn.MAXIFS(L_Revisie,L_Sleutel,$S511,L_Status,"Vastgesteld")+1))</f>
        <v/>
      </c>
      <c r="H511" s="108" t="str">
        <f>IF($AG511="","",P_Peildatum)</f>
        <v/>
      </c>
      <c r="I511" s="92" t="str">
        <f>IF($AG511="","",P_RJ+INDEX($AK$8:$AK$21,INDEX($AC$8:$AC$1407,$AG511)+1))</f>
        <v/>
      </c>
      <c r="J511" s="92" t="str">
        <f>IF($AG511="","",INDEX(V_WBS,INDEX($AB$8:$AB$1407,$AG511)))</f>
        <v/>
      </c>
      <c r="K511" s="92" t="str">
        <f>IF($AG511="","",INDEX(V_Projdef,INDEX($AB$8:$AB$1407,$AG511)))</f>
        <v/>
      </c>
      <c r="L511" s="92" t="str">
        <f>IF($AG511="","",INDEX(V_Naam,INDEX($AB$8:$AB$1407,$AG511)))</f>
        <v/>
      </c>
      <c r="M511" s="92" t="str">
        <f>IF($AG511="","",INDEX(V_Type,INDEX($AB$8:$AB$1407,$AG511)))</f>
        <v/>
      </c>
      <c r="N511" s="92" t="str">
        <f>IF($AG511="","",INDEX(V_IFRS,INDEX($AB$8:$AB$1407,$AG511)))</f>
        <v/>
      </c>
      <c r="O511" s="92" t="str">
        <f>IF($AG511="","",INDEX($AL$8:$AL$21,INDEX($AC$8:$AC$1407,$AG511)+1))</f>
        <v/>
      </c>
      <c r="P511" s="109" t="str">
        <f>IF($AG511="","",INDEX($AD$8:$AD$1407,$AG511))</f>
        <v/>
      </c>
      <c r="Q511" s="92" t="str">
        <f>IF($AG511="","",INDEX($AM$8:$AM$21,INDEX($AC$8:$AC$1407,$AG511)+1))</f>
        <v/>
      </c>
      <c r="R511" s="92" t="str">
        <f>IF($AG511="","",IF($G511&gt;0,P_ToelCorrectie&amp;"",""))</f>
        <v/>
      </c>
      <c r="S511" s="15" t="str">
        <f>IF(J511="","",J511&amp;"|"&amp;E511&amp;"|"&amp;F511&amp;"|"&amp;I511&amp;"|"&amp;O511)</f>
        <v/>
      </c>
      <c r="T511" s="111" t="str">
        <f>IF(S511="","",IF(COUNTIFS(L_Sleutel,S511,L_Actief,1)=0,"",SUMIFS(L_Waarde,L_Sleutel,S511,L_Actief,1)))</f>
        <v/>
      </c>
      <c r="U511" s="111">
        <f>IF(OR(S511="",T511=""),0,P511-T511)</f>
        <v>0</v>
      </c>
      <c r="AB511" s="112" t="n">
        <v>36</v>
      </c>
      <c r="AC511" s="112" t="n">
        <v>13</v>
      </c>
      <c r="AD511" s="112" t="str">
        <f>VERW_Project!BX41</f>
        <v/>
      </c>
      <c r="AE511" s="112">
        <f>IF(AND(VERW_Project!$A41&lt;&gt;"",ISNUMBER(AD511)),1,0)</f>
        <v>0</v>
      </c>
      <c r="AF511" s="112" t="str">
        <f>IF(AE511=1,SUM($AE$8:AE511),"")</f>
        <v/>
      </c>
      <c r="AG511" t="str">
        <f>IFERROR(MATCH(504,$AF$8:$AF$1407,0),"")</f>
        <v/>
      </c>
    </row>
    <row r="512">
      <c r="A512" s="92" t="str">
        <f>IF($AG512="","",P_ImportID)</f>
        <v/>
      </c>
      <c r="B512" s="92" t="str">
        <f>IF($AG512="","",IF(INDEX($AN$8:$AN$21,INDEX($AC$8:$AC$1407,$AG512)+1)="Z",P_BronZ,P_BronE))</f>
        <v/>
      </c>
      <c r="C512" s="108" t="str">
        <f>IF($AG512="","",P_Importdatum)</f>
        <v/>
      </c>
      <c r="D512" s="92" t="str">
        <f>IF($AG512="","",P_StatusVastleg)</f>
        <v/>
      </c>
      <c r="E512" s="92" t="str">
        <f>IF($AG512="","",P_UploadVJ)</f>
        <v/>
      </c>
      <c r="F512" s="92" t="str">
        <f>IF($AG512="","",P_UploadVersie)</f>
        <v/>
      </c>
      <c r="G512" s="92" t="str">
        <f>IF($AG512="","",IF(COUNTIFS(L_Sleutel,$S512,L_Status,"Vastgesteld")=0,0,_xlfn.MAXIFS(L_Revisie,L_Sleutel,$S512,L_Status,"Vastgesteld")+1))</f>
        <v/>
      </c>
      <c r="H512" s="108" t="str">
        <f>IF($AG512="","",P_Peildatum)</f>
        <v/>
      </c>
      <c r="I512" s="92" t="str">
        <f>IF($AG512="","",P_RJ+INDEX($AK$8:$AK$21,INDEX($AC$8:$AC$1407,$AG512)+1))</f>
        <v/>
      </c>
      <c r="J512" s="92" t="str">
        <f>IF($AG512="","",INDEX(V_WBS,INDEX($AB$8:$AB$1407,$AG512)))</f>
        <v/>
      </c>
      <c r="K512" s="92" t="str">
        <f>IF($AG512="","",INDEX(V_Projdef,INDEX($AB$8:$AB$1407,$AG512)))</f>
        <v/>
      </c>
      <c r="L512" s="92" t="str">
        <f>IF($AG512="","",INDEX(V_Naam,INDEX($AB$8:$AB$1407,$AG512)))</f>
        <v/>
      </c>
      <c r="M512" s="92" t="str">
        <f>IF($AG512="","",INDEX(V_Type,INDEX($AB$8:$AB$1407,$AG512)))</f>
        <v/>
      </c>
      <c r="N512" s="92" t="str">
        <f>IF($AG512="","",INDEX(V_IFRS,INDEX($AB$8:$AB$1407,$AG512)))</f>
        <v/>
      </c>
      <c r="O512" s="92" t="str">
        <f>IF($AG512="","",INDEX($AL$8:$AL$21,INDEX($AC$8:$AC$1407,$AG512)+1))</f>
        <v/>
      </c>
      <c r="P512" s="109" t="str">
        <f>IF($AG512="","",INDEX($AD$8:$AD$1407,$AG512))</f>
        <v/>
      </c>
      <c r="Q512" s="92" t="str">
        <f>IF($AG512="","",INDEX($AM$8:$AM$21,INDEX($AC$8:$AC$1407,$AG512)+1))</f>
        <v/>
      </c>
      <c r="R512" s="92" t="str">
        <f>IF($AG512="","",IF($G512&gt;0,P_ToelCorrectie&amp;"",""))</f>
        <v/>
      </c>
      <c r="S512" s="15" t="str">
        <f>IF(J512="","",J512&amp;"|"&amp;E512&amp;"|"&amp;F512&amp;"|"&amp;I512&amp;"|"&amp;O512)</f>
        <v/>
      </c>
      <c r="T512" s="111" t="str">
        <f>IF(S512="","",IF(COUNTIFS(L_Sleutel,S512,L_Actief,1)=0,"",SUMIFS(L_Waarde,L_Sleutel,S512,L_Actief,1)))</f>
        <v/>
      </c>
      <c r="U512" s="111">
        <f>IF(OR(S512="",T512=""),0,P512-T512)</f>
        <v>0</v>
      </c>
      <c r="AB512" s="112" t="n">
        <v>37</v>
      </c>
      <c r="AC512" s="112" t="n">
        <v>0</v>
      </c>
      <c r="AD512" s="112" t="str">
        <f>VERW_Project!P42</f>
        <v/>
      </c>
      <c r="AE512" s="112">
        <f>IF(AND(VERW_Project!$A42&lt;&gt;"",ISNUMBER(AD512)),1,0)</f>
        <v>0</v>
      </c>
      <c r="AF512" s="112" t="str">
        <f>IF(AE512=1,SUM($AE$8:AE512),"")</f>
        <v/>
      </c>
      <c r="AG512" t="str">
        <f>IFERROR(MATCH(505,$AF$8:$AF$1407,0),"")</f>
        <v/>
      </c>
    </row>
    <row r="513">
      <c r="A513" s="92" t="str">
        <f>IF($AG513="","",P_ImportID)</f>
        <v/>
      </c>
      <c r="B513" s="92" t="str">
        <f>IF($AG513="","",IF(INDEX($AN$8:$AN$21,INDEX($AC$8:$AC$1407,$AG513)+1)="Z",P_BronZ,P_BronE))</f>
        <v/>
      </c>
      <c r="C513" s="108" t="str">
        <f>IF($AG513="","",P_Importdatum)</f>
        <v/>
      </c>
      <c r="D513" s="92" t="str">
        <f>IF($AG513="","",P_StatusVastleg)</f>
        <v/>
      </c>
      <c r="E513" s="92" t="str">
        <f>IF($AG513="","",P_UploadVJ)</f>
        <v/>
      </c>
      <c r="F513" s="92" t="str">
        <f>IF($AG513="","",P_UploadVersie)</f>
        <v/>
      </c>
      <c r="G513" s="92" t="str">
        <f>IF($AG513="","",IF(COUNTIFS(L_Sleutel,$S513,L_Status,"Vastgesteld")=0,0,_xlfn.MAXIFS(L_Revisie,L_Sleutel,$S513,L_Status,"Vastgesteld")+1))</f>
        <v/>
      </c>
      <c r="H513" s="108" t="str">
        <f>IF($AG513="","",P_Peildatum)</f>
        <v/>
      </c>
      <c r="I513" s="92" t="str">
        <f>IF($AG513="","",P_RJ+INDEX($AK$8:$AK$21,INDEX($AC$8:$AC$1407,$AG513)+1))</f>
        <v/>
      </c>
      <c r="J513" s="92" t="str">
        <f>IF($AG513="","",INDEX(V_WBS,INDEX($AB$8:$AB$1407,$AG513)))</f>
        <v/>
      </c>
      <c r="K513" s="92" t="str">
        <f>IF($AG513="","",INDEX(V_Projdef,INDEX($AB$8:$AB$1407,$AG513)))</f>
        <v/>
      </c>
      <c r="L513" s="92" t="str">
        <f>IF($AG513="","",INDEX(V_Naam,INDEX($AB$8:$AB$1407,$AG513)))</f>
        <v/>
      </c>
      <c r="M513" s="92" t="str">
        <f>IF($AG513="","",INDEX(V_Type,INDEX($AB$8:$AB$1407,$AG513)))</f>
        <v/>
      </c>
      <c r="N513" s="92" t="str">
        <f>IF($AG513="","",INDEX(V_IFRS,INDEX($AB$8:$AB$1407,$AG513)))</f>
        <v/>
      </c>
      <c r="O513" s="92" t="str">
        <f>IF($AG513="","",INDEX($AL$8:$AL$21,INDEX($AC$8:$AC$1407,$AG513)+1))</f>
        <v/>
      </c>
      <c r="P513" s="109" t="str">
        <f>IF($AG513="","",INDEX($AD$8:$AD$1407,$AG513))</f>
        <v/>
      </c>
      <c r="Q513" s="92" t="str">
        <f>IF($AG513="","",INDEX($AM$8:$AM$21,INDEX($AC$8:$AC$1407,$AG513)+1))</f>
        <v/>
      </c>
      <c r="R513" s="92" t="str">
        <f>IF($AG513="","",IF($G513&gt;0,P_ToelCorrectie&amp;"",""))</f>
        <v/>
      </c>
      <c r="S513" s="15" t="str">
        <f>IF(J513="","",J513&amp;"|"&amp;E513&amp;"|"&amp;F513&amp;"|"&amp;I513&amp;"|"&amp;O513)</f>
        <v/>
      </c>
      <c r="T513" s="111" t="str">
        <f>IF(S513="","",IF(COUNTIFS(L_Sleutel,S513,L_Actief,1)=0,"",SUMIFS(L_Waarde,L_Sleutel,S513,L_Actief,1)))</f>
        <v/>
      </c>
      <c r="U513" s="111">
        <f>IF(OR(S513="",T513=""),0,P513-T513)</f>
        <v>0</v>
      </c>
      <c r="AB513" s="112" t="n">
        <v>37</v>
      </c>
      <c r="AC513" s="112" t="n">
        <v>1</v>
      </c>
      <c r="AD513" s="112" t="str">
        <f>VERW_Project!Q42</f>
        <v/>
      </c>
      <c r="AE513" s="112">
        <f>IF(AND(VERW_Project!$A42&lt;&gt;"",ISNUMBER(AD513)),1,0)</f>
        <v>0</v>
      </c>
      <c r="AF513" s="112" t="str">
        <f>IF(AE513=1,SUM($AE$8:AE513),"")</f>
        <v/>
      </c>
      <c r="AG513" t="str">
        <f>IFERROR(MATCH(506,$AF$8:$AF$1407,0),"")</f>
        <v/>
      </c>
    </row>
    <row r="514">
      <c r="A514" s="92" t="str">
        <f>IF($AG514="","",P_ImportID)</f>
        <v/>
      </c>
      <c r="B514" s="92" t="str">
        <f>IF($AG514="","",IF(INDEX($AN$8:$AN$21,INDEX($AC$8:$AC$1407,$AG514)+1)="Z",P_BronZ,P_BronE))</f>
        <v/>
      </c>
      <c r="C514" s="108" t="str">
        <f>IF($AG514="","",P_Importdatum)</f>
        <v/>
      </c>
      <c r="D514" s="92" t="str">
        <f>IF($AG514="","",P_StatusVastleg)</f>
        <v/>
      </c>
      <c r="E514" s="92" t="str">
        <f>IF($AG514="","",P_UploadVJ)</f>
        <v/>
      </c>
      <c r="F514" s="92" t="str">
        <f>IF($AG514="","",P_UploadVersie)</f>
        <v/>
      </c>
      <c r="G514" s="92" t="str">
        <f>IF($AG514="","",IF(COUNTIFS(L_Sleutel,$S514,L_Status,"Vastgesteld")=0,0,_xlfn.MAXIFS(L_Revisie,L_Sleutel,$S514,L_Status,"Vastgesteld")+1))</f>
        <v/>
      </c>
      <c r="H514" s="108" t="str">
        <f>IF($AG514="","",P_Peildatum)</f>
        <v/>
      </c>
      <c r="I514" s="92" t="str">
        <f>IF($AG514="","",P_RJ+INDEX($AK$8:$AK$21,INDEX($AC$8:$AC$1407,$AG514)+1))</f>
        <v/>
      </c>
      <c r="J514" s="92" t="str">
        <f>IF($AG514="","",INDEX(V_WBS,INDEX($AB$8:$AB$1407,$AG514)))</f>
        <v/>
      </c>
      <c r="K514" s="92" t="str">
        <f>IF($AG514="","",INDEX(V_Projdef,INDEX($AB$8:$AB$1407,$AG514)))</f>
        <v/>
      </c>
      <c r="L514" s="92" t="str">
        <f>IF($AG514="","",INDEX(V_Naam,INDEX($AB$8:$AB$1407,$AG514)))</f>
        <v/>
      </c>
      <c r="M514" s="92" t="str">
        <f>IF($AG514="","",INDEX(V_Type,INDEX($AB$8:$AB$1407,$AG514)))</f>
        <v/>
      </c>
      <c r="N514" s="92" t="str">
        <f>IF($AG514="","",INDEX(V_IFRS,INDEX($AB$8:$AB$1407,$AG514)))</f>
        <v/>
      </c>
      <c r="O514" s="92" t="str">
        <f>IF($AG514="","",INDEX($AL$8:$AL$21,INDEX($AC$8:$AC$1407,$AG514)+1))</f>
        <v/>
      </c>
      <c r="P514" s="109" t="str">
        <f>IF($AG514="","",INDEX($AD$8:$AD$1407,$AG514))</f>
        <v/>
      </c>
      <c r="Q514" s="92" t="str">
        <f>IF($AG514="","",INDEX($AM$8:$AM$21,INDEX($AC$8:$AC$1407,$AG514)+1))</f>
        <v/>
      </c>
      <c r="R514" s="92" t="str">
        <f>IF($AG514="","",IF($G514&gt;0,P_ToelCorrectie&amp;"",""))</f>
        <v/>
      </c>
      <c r="S514" s="15" t="str">
        <f>IF(J514="","",J514&amp;"|"&amp;E514&amp;"|"&amp;F514&amp;"|"&amp;I514&amp;"|"&amp;O514)</f>
        <v/>
      </c>
      <c r="T514" s="111" t="str">
        <f>IF(S514="","",IF(COUNTIFS(L_Sleutel,S514,L_Actief,1)=0,"",SUMIFS(L_Waarde,L_Sleutel,S514,L_Actief,1)))</f>
        <v/>
      </c>
      <c r="U514" s="111">
        <f>IF(OR(S514="",T514=""),0,P514-T514)</f>
        <v>0</v>
      </c>
      <c r="AB514" s="112" t="n">
        <v>37</v>
      </c>
      <c r="AC514" s="112" t="n">
        <v>2</v>
      </c>
      <c r="AD514" s="112" t="str">
        <f>VERW_Project!L42</f>
        <v/>
      </c>
      <c r="AE514" s="112">
        <f>IF(AND(VERW_Project!$A42&lt;&gt;"",ISNUMBER(AD514)),1,0)</f>
        <v>0</v>
      </c>
      <c r="AF514" s="112" t="str">
        <f>IF(AE514=1,SUM($AE$8:AE514),"")</f>
        <v/>
      </c>
      <c r="AG514" t="str">
        <f>IFERROR(MATCH(507,$AF$8:$AF$1407,0),"")</f>
        <v/>
      </c>
    </row>
    <row r="515">
      <c r="A515" s="92" t="str">
        <f>IF($AG515="","",P_ImportID)</f>
        <v/>
      </c>
      <c r="B515" s="92" t="str">
        <f>IF($AG515="","",IF(INDEX($AN$8:$AN$21,INDEX($AC$8:$AC$1407,$AG515)+1)="Z",P_BronZ,P_BronE))</f>
        <v/>
      </c>
      <c r="C515" s="108" t="str">
        <f>IF($AG515="","",P_Importdatum)</f>
        <v/>
      </c>
      <c r="D515" s="92" t="str">
        <f>IF($AG515="","",P_StatusVastleg)</f>
        <v/>
      </c>
      <c r="E515" s="92" t="str">
        <f>IF($AG515="","",P_UploadVJ)</f>
        <v/>
      </c>
      <c r="F515" s="92" t="str">
        <f>IF($AG515="","",P_UploadVersie)</f>
        <v/>
      </c>
      <c r="G515" s="92" t="str">
        <f>IF($AG515="","",IF(COUNTIFS(L_Sleutel,$S515,L_Status,"Vastgesteld")=0,0,_xlfn.MAXIFS(L_Revisie,L_Sleutel,$S515,L_Status,"Vastgesteld")+1))</f>
        <v/>
      </c>
      <c r="H515" s="108" t="str">
        <f>IF($AG515="","",P_Peildatum)</f>
        <v/>
      </c>
      <c r="I515" s="92" t="str">
        <f>IF($AG515="","",P_RJ+INDEX($AK$8:$AK$21,INDEX($AC$8:$AC$1407,$AG515)+1))</f>
        <v/>
      </c>
      <c r="J515" s="92" t="str">
        <f>IF($AG515="","",INDEX(V_WBS,INDEX($AB$8:$AB$1407,$AG515)))</f>
        <v/>
      </c>
      <c r="K515" s="92" t="str">
        <f>IF($AG515="","",INDEX(V_Projdef,INDEX($AB$8:$AB$1407,$AG515)))</f>
        <v/>
      </c>
      <c r="L515" s="92" t="str">
        <f>IF($AG515="","",INDEX(V_Naam,INDEX($AB$8:$AB$1407,$AG515)))</f>
        <v/>
      </c>
      <c r="M515" s="92" t="str">
        <f>IF($AG515="","",INDEX(V_Type,INDEX($AB$8:$AB$1407,$AG515)))</f>
        <v/>
      </c>
      <c r="N515" s="92" t="str">
        <f>IF($AG515="","",INDEX(V_IFRS,INDEX($AB$8:$AB$1407,$AG515)))</f>
        <v/>
      </c>
      <c r="O515" s="92" t="str">
        <f>IF($AG515="","",INDEX($AL$8:$AL$21,INDEX($AC$8:$AC$1407,$AG515)+1))</f>
        <v/>
      </c>
      <c r="P515" s="109" t="str">
        <f>IF($AG515="","",INDEX($AD$8:$AD$1407,$AG515))</f>
        <v/>
      </c>
      <c r="Q515" s="92" t="str">
        <f>IF($AG515="","",INDEX($AM$8:$AM$21,INDEX($AC$8:$AC$1407,$AG515)+1))</f>
        <v/>
      </c>
      <c r="R515" s="92" t="str">
        <f>IF($AG515="","",IF($G515&gt;0,P_ToelCorrectie&amp;"",""))</f>
        <v/>
      </c>
      <c r="S515" s="15" t="str">
        <f>IF(J515="","",J515&amp;"|"&amp;E515&amp;"|"&amp;F515&amp;"|"&amp;I515&amp;"|"&amp;O515)</f>
        <v/>
      </c>
      <c r="T515" s="111" t="str">
        <f>IF(S515="","",IF(COUNTIFS(L_Sleutel,S515,L_Actief,1)=0,"",SUMIFS(L_Waarde,L_Sleutel,S515,L_Actief,1)))</f>
        <v/>
      </c>
      <c r="U515" s="111">
        <f>IF(OR(S515="",T515=""),0,P515-T515)</f>
        <v>0</v>
      </c>
      <c r="AB515" s="112" t="n">
        <v>37</v>
      </c>
      <c r="AC515" s="112" t="n">
        <v>3</v>
      </c>
      <c r="AD515" s="112" t="str">
        <f>VERW_Project!M42</f>
        <v/>
      </c>
      <c r="AE515" s="112">
        <f>IF(AND(VERW_Project!$A42&lt;&gt;"",ISNUMBER(AD515)),1,0)</f>
        <v>0</v>
      </c>
      <c r="AF515" s="112" t="str">
        <f>IF(AE515=1,SUM($AE$8:AE515),"")</f>
        <v/>
      </c>
      <c r="AG515" t="str">
        <f>IFERROR(MATCH(508,$AF$8:$AF$1407,0),"")</f>
        <v/>
      </c>
    </row>
    <row r="516">
      <c r="A516" s="92" t="str">
        <f>IF($AG516="","",P_ImportID)</f>
        <v/>
      </c>
      <c r="B516" s="92" t="str">
        <f>IF($AG516="","",IF(INDEX($AN$8:$AN$21,INDEX($AC$8:$AC$1407,$AG516)+1)="Z",P_BronZ,P_BronE))</f>
        <v/>
      </c>
      <c r="C516" s="108" t="str">
        <f>IF($AG516="","",P_Importdatum)</f>
        <v/>
      </c>
      <c r="D516" s="92" t="str">
        <f>IF($AG516="","",P_StatusVastleg)</f>
        <v/>
      </c>
      <c r="E516" s="92" t="str">
        <f>IF($AG516="","",P_UploadVJ)</f>
        <v/>
      </c>
      <c r="F516" s="92" t="str">
        <f>IF($AG516="","",P_UploadVersie)</f>
        <v/>
      </c>
      <c r="G516" s="92" t="str">
        <f>IF($AG516="","",IF(COUNTIFS(L_Sleutel,$S516,L_Status,"Vastgesteld")=0,0,_xlfn.MAXIFS(L_Revisie,L_Sleutel,$S516,L_Status,"Vastgesteld")+1))</f>
        <v/>
      </c>
      <c r="H516" s="108" t="str">
        <f>IF($AG516="","",P_Peildatum)</f>
        <v/>
      </c>
      <c r="I516" s="92" t="str">
        <f>IF($AG516="","",P_RJ+INDEX($AK$8:$AK$21,INDEX($AC$8:$AC$1407,$AG516)+1))</f>
        <v/>
      </c>
      <c r="J516" s="92" t="str">
        <f>IF($AG516="","",INDEX(V_WBS,INDEX($AB$8:$AB$1407,$AG516)))</f>
        <v/>
      </c>
      <c r="K516" s="92" t="str">
        <f>IF($AG516="","",INDEX(V_Projdef,INDEX($AB$8:$AB$1407,$AG516)))</f>
        <v/>
      </c>
      <c r="L516" s="92" t="str">
        <f>IF($AG516="","",INDEX(V_Naam,INDEX($AB$8:$AB$1407,$AG516)))</f>
        <v/>
      </c>
      <c r="M516" s="92" t="str">
        <f>IF($AG516="","",INDEX(V_Type,INDEX($AB$8:$AB$1407,$AG516)))</f>
        <v/>
      </c>
      <c r="N516" s="92" t="str">
        <f>IF($AG516="","",INDEX(V_IFRS,INDEX($AB$8:$AB$1407,$AG516)))</f>
        <v/>
      </c>
      <c r="O516" s="92" t="str">
        <f>IF($AG516="","",INDEX($AL$8:$AL$21,INDEX($AC$8:$AC$1407,$AG516)+1))</f>
        <v/>
      </c>
      <c r="P516" s="109" t="str">
        <f>IF($AG516="","",INDEX($AD$8:$AD$1407,$AG516))</f>
        <v/>
      </c>
      <c r="Q516" s="92" t="str">
        <f>IF($AG516="","",INDEX($AM$8:$AM$21,INDEX($AC$8:$AC$1407,$AG516)+1))</f>
        <v/>
      </c>
      <c r="R516" s="92" t="str">
        <f>IF($AG516="","",IF($G516&gt;0,P_ToelCorrectie&amp;"",""))</f>
        <v/>
      </c>
      <c r="S516" s="15" t="str">
        <f>IF(J516="","",J516&amp;"|"&amp;E516&amp;"|"&amp;F516&amp;"|"&amp;I516&amp;"|"&amp;O516)</f>
        <v/>
      </c>
      <c r="T516" s="111" t="str">
        <f>IF(S516="","",IF(COUNTIFS(L_Sleutel,S516,L_Actief,1)=0,"",SUMIFS(L_Waarde,L_Sleutel,S516,L_Actief,1)))</f>
        <v/>
      </c>
      <c r="U516" s="111">
        <f>IF(OR(S516="",T516=""),0,P516-T516)</f>
        <v>0</v>
      </c>
      <c r="AB516" s="112" t="n">
        <v>37</v>
      </c>
      <c r="AC516" s="112" t="n">
        <v>4</v>
      </c>
      <c r="AD516" s="112" t="str">
        <f>VERW_Project!R42</f>
        <v/>
      </c>
      <c r="AE516" s="112">
        <f>IF(AND(VERW_Project!$A42&lt;&gt;"",ISNUMBER(AD516)),1,0)</f>
        <v>0</v>
      </c>
      <c r="AF516" s="112" t="str">
        <f>IF(AE516=1,SUM($AE$8:AE516),"")</f>
        <v/>
      </c>
      <c r="AG516" t="str">
        <f>IFERROR(MATCH(509,$AF$8:$AF$1407,0),"")</f>
        <v/>
      </c>
    </row>
    <row r="517">
      <c r="A517" s="92" t="str">
        <f>IF($AG517="","",P_ImportID)</f>
        <v/>
      </c>
      <c r="B517" s="92" t="str">
        <f>IF($AG517="","",IF(INDEX($AN$8:$AN$21,INDEX($AC$8:$AC$1407,$AG517)+1)="Z",P_BronZ,P_BronE))</f>
        <v/>
      </c>
      <c r="C517" s="108" t="str">
        <f>IF($AG517="","",P_Importdatum)</f>
        <v/>
      </c>
      <c r="D517" s="92" t="str">
        <f>IF($AG517="","",P_StatusVastleg)</f>
        <v/>
      </c>
      <c r="E517" s="92" t="str">
        <f>IF($AG517="","",P_UploadVJ)</f>
        <v/>
      </c>
      <c r="F517" s="92" t="str">
        <f>IF($AG517="","",P_UploadVersie)</f>
        <v/>
      </c>
      <c r="G517" s="92" t="str">
        <f>IF($AG517="","",IF(COUNTIFS(L_Sleutel,$S517,L_Status,"Vastgesteld")=0,0,_xlfn.MAXIFS(L_Revisie,L_Sleutel,$S517,L_Status,"Vastgesteld")+1))</f>
        <v/>
      </c>
      <c r="H517" s="108" t="str">
        <f>IF($AG517="","",P_Peildatum)</f>
        <v/>
      </c>
      <c r="I517" s="92" t="str">
        <f>IF($AG517="","",P_RJ+INDEX($AK$8:$AK$21,INDEX($AC$8:$AC$1407,$AG517)+1))</f>
        <v/>
      </c>
      <c r="J517" s="92" t="str">
        <f>IF($AG517="","",INDEX(V_WBS,INDEX($AB$8:$AB$1407,$AG517)))</f>
        <v/>
      </c>
      <c r="K517" s="92" t="str">
        <f>IF($AG517="","",INDEX(V_Projdef,INDEX($AB$8:$AB$1407,$AG517)))</f>
        <v/>
      </c>
      <c r="L517" s="92" t="str">
        <f>IF($AG517="","",INDEX(V_Naam,INDEX($AB$8:$AB$1407,$AG517)))</f>
        <v/>
      </c>
      <c r="M517" s="92" t="str">
        <f>IF($AG517="","",INDEX(V_Type,INDEX($AB$8:$AB$1407,$AG517)))</f>
        <v/>
      </c>
      <c r="N517" s="92" t="str">
        <f>IF($AG517="","",INDEX(V_IFRS,INDEX($AB$8:$AB$1407,$AG517)))</f>
        <v/>
      </c>
      <c r="O517" s="92" t="str">
        <f>IF($AG517="","",INDEX($AL$8:$AL$21,INDEX($AC$8:$AC$1407,$AG517)+1))</f>
        <v/>
      </c>
      <c r="P517" s="109" t="str">
        <f>IF($AG517="","",INDEX($AD$8:$AD$1407,$AG517))</f>
        <v/>
      </c>
      <c r="Q517" s="92" t="str">
        <f>IF($AG517="","",INDEX($AM$8:$AM$21,INDEX($AC$8:$AC$1407,$AG517)+1))</f>
        <v/>
      </c>
      <c r="R517" s="92" t="str">
        <f>IF($AG517="","",IF($G517&gt;0,P_ToelCorrectie&amp;"",""))</f>
        <v/>
      </c>
      <c r="S517" s="15" t="str">
        <f>IF(J517="","",J517&amp;"|"&amp;E517&amp;"|"&amp;F517&amp;"|"&amp;I517&amp;"|"&amp;O517)</f>
        <v/>
      </c>
      <c r="T517" s="111" t="str">
        <f>IF(S517="","",IF(COUNTIFS(L_Sleutel,S517,L_Actief,1)=0,"",SUMIFS(L_Waarde,L_Sleutel,S517,L_Actief,1)))</f>
        <v/>
      </c>
      <c r="U517" s="111">
        <f>IF(OR(S517="",T517=""),0,P517-T517)</f>
        <v>0</v>
      </c>
      <c r="AB517" s="112" t="n">
        <v>37</v>
      </c>
      <c r="AC517" s="112" t="n">
        <v>5</v>
      </c>
      <c r="AD517" s="112" t="str">
        <f>VERW_Project!S42</f>
        <v/>
      </c>
      <c r="AE517" s="112">
        <f>IF(AND(VERW_Project!$A42&lt;&gt;"",ISNUMBER(AD517)),1,0)</f>
        <v>0</v>
      </c>
      <c r="AF517" s="112" t="str">
        <f>IF(AE517=1,SUM($AE$8:AE517),"")</f>
        <v/>
      </c>
      <c r="AG517" t="str">
        <f>IFERROR(MATCH(510,$AF$8:$AF$1407,0),"")</f>
        <v/>
      </c>
    </row>
    <row r="518">
      <c r="A518" s="92" t="str">
        <f>IF($AG518="","",P_ImportID)</f>
        <v/>
      </c>
      <c r="B518" s="92" t="str">
        <f>IF($AG518="","",IF(INDEX($AN$8:$AN$21,INDEX($AC$8:$AC$1407,$AG518)+1)="Z",P_BronZ,P_BronE))</f>
        <v/>
      </c>
      <c r="C518" s="108" t="str">
        <f>IF($AG518="","",P_Importdatum)</f>
        <v/>
      </c>
      <c r="D518" s="92" t="str">
        <f>IF($AG518="","",P_StatusVastleg)</f>
        <v/>
      </c>
      <c r="E518" s="92" t="str">
        <f>IF($AG518="","",P_UploadVJ)</f>
        <v/>
      </c>
      <c r="F518" s="92" t="str">
        <f>IF($AG518="","",P_UploadVersie)</f>
        <v/>
      </c>
      <c r="G518" s="92" t="str">
        <f>IF($AG518="","",IF(COUNTIFS(L_Sleutel,$S518,L_Status,"Vastgesteld")=0,0,_xlfn.MAXIFS(L_Revisie,L_Sleutel,$S518,L_Status,"Vastgesteld")+1))</f>
        <v/>
      </c>
      <c r="H518" s="108" t="str">
        <f>IF($AG518="","",P_Peildatum)</f>
        <v/>
      </c>
      <c r="I518" s="92" t="str">
        <f>IF($AG518="","",P_RJ+INDEX($AK$8:$AK$21,INDEX($AC$8:$AC$1407,$AG518)+1))</f>
        <v/>
      </c>
      <c r="J518" s="92" t="str">
        <f>IF($AG518="","",INDEX(V_WBS,INDEX($AB$8:$AB$1407,$AG518)))</f>
        <v/>
      </c>
      <c r="K518" s="92" t="str">
        <f>IF($AG518="","",INDEX(V_Projdef,INDEX($AB$8:$AB$1407,$AG518)))</f>
        <v/>
      </c>
      <c r="L518" s="92" t="str">
        <f>IF($AG518="","",INDEX(V_Naam,INDEX($AB$8:$AB$1407,$AG518)))</f>
        <v/>
      </c>
      <c r="M518" s="92" t="str">
        <f>IF($AG518="","",INDEX(V_Type,INDEX($AB$8:$AB$1407,$AG518)))</f>
        <v/>
      </c>
      <c r="N518" s="92" t="str">
        <f>IF($AG518="","",INDEX(V_IFRS,INDEX($AB$8:$AB$1407,$AG518)))</f>
        <v/>
      </c>
      <c r="O518" s="92" t="str">
        <f>IF($AG518="","",INDEX($AL$8:$AL$21,INDEX($AC$8:$AC$1407,$AG518)+1))</f>
        <v/>
      </c>
      <c r="P518" s="109" t="str">
        <f>IF($AG518="","",INDEX($AD$8:$AD$1407,$AG518))</f>
        <v/>
      </c>
      <c r="Q518" s="92" t="str">
        <f>IF($AG518="","",INDEX($AM$8:$AM$21,INDEX($AC$8:$AC$1407,$AG518)+1))</f>
        <v/>
      </c>
      <c r="R518" s="92" t="str">
        <f>IF($AG518="","",IF($G518&gt;0,P_ToelCorrectie&amp;"",""))</f>
        <v/>
      </c>
      <c r="S518" s="15" t="str">
        <f>IF(J518="","",J518&amp;"|"&amp;E518&amp;"|"&amp;F518&amp;"|"&amp;I518&amp;"|"&amp;O518)</f>
        <v/>
      </c>
      <c r="T518" s="111" t="str">
        <f>IF(S518="","",IF(COUNTIFS(L_Sleutel,S518,L_Actief,1)=0,"",SUMIFS(L_Waarde,L_Sleutel,S518,L_Actief,1)))</f>
        <v/>
      </c>
      <c r="U518" s="111">
        <f>IF(OR(S518="",T518=""),0,P518-T518)</f>
        <v>0</v>
      </c>
      <c r="AB518" s="112" t="n">
        <v>37</v>
      </c>
      <c r="AC518" s="112" t="n">
        <v>6</v>
      </c>
      <c r="AD518" s="112" t="str">
        <f>VERW_Project!BW42</f>
        <v/>
      </c>
      <c r="AE518" s="112">
        <f>IF(AND(VERW_Project!$A42&lt;&gt;"",ISNUMBER(AD518)),1,0)</f>
        <v>0</v>
      </c>
      <c r="AF518" s="112" t="str">
        <f>IF(AE518=1,SUM($AE$8:AE518),"")</f>
        <v/>
      </c>
      <c r="AG518" t="str">
        <f>IFERROR(MATCH(511,$AF$8:$AF$1407,0),"")</f>
        <v/>
      </c>
    </row>
    <row r="519">
      <c r="A519" s="92" t="str">
        <f>IF($AG519="","",P_ImportID)</f>
        <v/>
      </c>
      <c r="B519" s="92" t="str">
        <f>IF($AG519="","",IF(INDEX($AN$8:$AN$21,INDEX($AC$8:$AC$1407,$AG519)+1)="Z",P_BronZ,P_BronE))</f>
        <v/>
      </c>
      <c r="C519" s="108" t="str">
        <f>IF($AG519="","",P_Importdatum)</f>
        <v/>
      </c>
      <c r="D519" s="92" t="str">
        <f>IF($AG519="","",P_StatusVastleg)</f>
        <v/>
      </c>
      <c r="E519" s="92" t="str">
        <f>IF($AG519="","",P_UploadVJ)</f>
        <v/>
      </c>
      <c r="F519" s="92" t="str">
        <f>IF($AG519="","",P_UploadVersie)</f>
        <v/>
      </c>
      <c r="G519" s="92" t="str">
        <f>IF($AG519="","",IF(COUNTIFS(L_Sleutel,$S519,L_Status,"Vastgesteld")=0,0,_xlfn.MAXIFS(L_Revisie,L_Sleutel,$S519,L_Status,"Vastgesteld")+1))</f>
        <v/>
      </c>
      <c r="H519" s="108" t="str">
        <f>IF($AG519="","",P_Peildatum)</f>
        <v/>
      </c>
      <c r="I519" s="92" t="str">
        <f>IF($AG519="","",P_RJ+INDEX($AK$8:$AK$21,INDEX($AC$8:$AC$1407,$AG519)+1))</f>
        <v/>
      </c>
      <c r="J519" s="92" t="str">
        <f>IF($AG519="","",INDEX(V_WBS,INDEX($AB$8:$AB$1407,$AG519)))</f>
        <v/>
      </c>
      <c r="K519" s="92" t="str">
        <f>IF($AG519="","",INDEX(V_Projdef,INDEX($AB$8:$AB$1407,$AG519)))</f>
        <v/>
      </c>
      <c r="L519" s="92" t="str">
        <f>IF($AG519="","",INDEX(V_Naam,INDEX($AB$8:$AB$1407,$AG519)))</f>
        <v/>
      </c>
      <c r="M519" s="92" t="str">
        <f>IF($AG519="","",INDEX(V_Type,INDEX($AB$8:$AB$1407,$AG519)))</f>
        <v/>
      </c>
      <c r="N519" s="92" t="str">
        <f>IF($AG519="","",INDEX(V_IFRS,INDEX($AB$8:$AB$1407,$AG519)))</f>
        <v/>
      </c>
      <c r="O519" s="92" t="str">
        <f>IF($AG519="","",INDEX($AL$8:$AL$21,INDEX($AC$8:$AC$1407,$AG519)+1))</f>
        <v/>
      </c>
      <c r="P519" s="109" t="str">
        <f>IF($AG519="","",INDEX($AD$8:$AD$1407,$AG519))</f>
        <v/>
      </c>
      <c r="Q519" s="92" t="str">
        <f>IF($AG519="","",INDEX($AM$8:$AM$21,INDEX($AC$8:$AC$1407,$AG519)+1))</f>
        <v/>
      </c>
      <c r="R519" s="92" t="str">
        <f>IF($AG519="","",IF($G519&gt;0,P_ToelCorrectie&amp;"",""))</f>
        <v/>
      </c>
      <c r="S519" s="15" t="str">
        <f>IF(J519="","",J519&amp;"|"&amp;E519&amp;"|"&amp;F519&amp;"|"&amp;I519&amp;"|"&amp;O519)</f>
        <v/>
      </c>
      <c r="T519" s="111" t="str">
        <f>IF(S519="","",IF(COUNTIFS(L_Sleutel,S519,L_Actief,1)=0,"",SUMIFS(L_Waarde,L_Sleutel,S519,L_Actief,1)))</f>
        <v/>
      </c>
      <c r="U519" s="111">
        <f>IF(OR(S519="",T519=""),0,P519-T519)</f>
        <v>0</v>
      </c>
      <c r="AB519" s="112" t="n">
        <v>37</v>
      </c>
      <c r="AC519" s="112" t="n">
        <v>7</v>
      </c>
      <c r="AD519" s="112" t="str">
        <f>VERW_Project!AW42</f>
        <v/>
      </c>
      <c r="AE519" s="112">
        <f>IF(AND(VERW_Project!$A42&lt;&gt;"",ISNUMBER(AD519)),1,0)</f>
        <v>0</v>
      </c>
      <c r="AF519" s="112" t="str">
        <f>IF(AE519=1,SUM($AE$8:AE519),"")</f>
        <v/>
      </c>
      <c r="AG519" t="str">
        <f>IFERROR(MATCH(512,$AF$8:$AF$1407,0),"")</f>
        <v/>
      </c>
    </row>
    <row r="520">
      <c r="A520" s="92" t="str">
        <f>IF($AG520="","",P_ImportID)</f>
        <v/>
      </c>
      <c r="B520" s="92" t="str">
        <f>IF($AG520="","",IF(INDEX($AN$8:$AN$21,INDEX($AC$8:$AC$1407,$AG520)+1)="Z",P_BronZ,P_BronE))</f>
        <v/>
      </c>
      <c r="C520" s="108" t="str">
        <f>IF($AG520="","",P_Importdatum)</f>
        <v/>
      </c>
      <c r="D520" s="92" t="str">
        <f>IF($AG520="","",P_StatusVastleg)</f>
        <v/>
      </c>
      <c r="E520" s="92" t="str">
        <f>IF($AG520="","",P_UploadVJ)</f>
        <v/>
      </c>
      <c r="F520" s="92" t="str">
        <f>IF($AG520="","",P_UploadVersie)</f>
        <v/>
      </c>
      <c r="G520" s="92" t="str">
        <f>IF($AG520="","",IF(COUNTIFS(L_Sleutel,$S520,L_Status,"Vastgesteld")=0,0,_xlfn.MAXIFS(L_Revisie,L_Sleutel,$S520,L_Status,"Vastgesteld")+1))</f>
        <v/>
      </c>
      <c r="H520" s="108" t="str">
        <f>IF($AG520="","",P_Peildatum)</f>
        <v/>
      </c>
      <c r="I520" s="92" t="str">
        <f>IF($AG520="","",P_RJ+INDEX($AK$8:$AK$21,INDEX($AC$8:$AC$1407,$AG520)+1))</f>
        <v/>
      </c>
      <c r="J520" s="92" t="str">
        <f>IF($AG520="","",INDEX(V_WBS,INDEX($AB$8:$AB$1407,$AG520)))</f>
        <v/>
      </c>
      <c r="K520" s="92" t="str">
        <f>IF($AG520="","",INDEX(V_Projdef,INDEX($AB$8:$AB$1407,$AG520)))</f>
        <v/>
      </c>
      <c r="L520" s="92" t="str">
        <f>IF($AG520="","",INDEX(V_Naam,INDEX($AB$8:$AB$1407,$AG520)))</f>
        <v/>
      </c>
      <c r="M520" s="92" t="str">
        <f>IF($AG520="","",INDEX(V_Type,INDEX($AB$8:$AB$1407,$AG520)))</f>
        <v/>
      </c>
      <c r="N520" s="92" t="str">
        <f>IF($AG520="","",INDEX(V_IFRS,INDEX($AB$8:$AB$1407,$AG520)))</f>
        <v/>
      </c>
      <c r="O520" s="92" t="str">
        <f>IF($AG520="","",INDEX($AL$8:$AL$21,INDEX($AC$8:$AC$1407,$AG520)+1))</f>
        <v/>
      </c>
      <c r="P520" s="109" t="str">
        <f>IF($AG520="","",INDEX($AD$8:$AD$1407,$AG520))</f>
        <v/>
      </c>
      <c r="Q520" s="92" t="str">
        <f>IF($AG520="","",INDEX($AM$8:$AM$21,INDEX($AC$8:$AC$1407,$AG520)+1))</f>
        <v/>
      </c>
      <c r="R520" s="92" t="str">
        <f>IF($AG520="","",IF($G520&gt;0,P_ToelCorrectie&amp;"",""))</f>
        <v/>
      </c>
      <c r="S520" s="15" t="str">
        <f>IF(J520="","",J520&amp;"|"&amp;E520&amp;"|"&amp;F520&amp;"|"&amp;I520&amp;"|"&amp;O520)</f>
        <v/>
      </c>
      <c r="T520" s="111" t="str">
        <f>IF(S520="","",IF(COUNTIFS(L_Sleutel,S520,L_Actief,1)=0,"",SUMIFS(L_Waarde,L_Sleutel,S520,L_Actief,1)))</f>
        <v/>
      </c>
      <c r="U520" s="111">
        <f>IF(OR(S520="",T520=""),0,P520-T520)</f>
        <v>0</v>
      </c>
      <c r="AB520" s="112" t="n">
        <v>37</v>
      </c>
      <c r="AC520" s="112" t="n">
        <v>8</v>
      </c>
      <c r="AD520" s="112" t="str">
        <f>VERW_Project!BQ42</f>
        <v/>
      </c>
      <c r="AE520" s="112">
        <f>IF(AND(VERW_Project!$A42&lt;&gt;"",ISNUMBER(AD520)),1,0)</f>
        <v>0</v>
      </c>
      <c r="AF520" s="112" t="str">
        <f>IF(AE520=1,SUM($AE$8:AE520),"")</f>
        <v/>
      </c>
      <c r="AG520" t="str">
        <f>IFERROR(MATCH(513,$AF$8:$AF$1407,0),"")</f>
        <v/>
      </c>
    </row>
    <row r="521">
      <c r="A521" s="92" t="str">
        <f>IF($AG521="","",P_ImportID)</f>
        <v/>
      </c>
      <c r="B521" s="92" t="str">
        <f>IF($AG521="","",IF(INDEX($AN$8:$AN$21,INDEX($AC$8:$AC$1407,$AG521)+1)="Z",P_BronZ,P_BronE))</f>
        <v/>
      </c>
      <c r="C521" s="108" t="str">
        <f>IF($AG521="","",P_Importdatum)</f>
        <v/>
      </c>
      <c r="D521" s="92" t="str">
        <f>IF($AG521="","",P_StatusVastleg)</f>
        <v/>
      </c>
      <c r="E521" s="92" t="str">
        <f>IF($AG521="","",P_UploadVJ)</f>
        <v/>
      </c>
      <c r="F521" s="92" t="str">
        <f>IF($AG521="","",P_UploadVersie)</f>
        <v/>
      </c>
      <c r="G521" s="92" t="str">
        <f>IF($AG521="","",IF(COUNTIFS(L_Sleutel,$S521,L_Status,"Vastgesteld")=0,0,_xlfn.MAXIFS(L_Revisie,L_Sleutel,$S521,L_Status,"Vastgesteld")+1))</f>
        <v/>
      </c>
      <c r="H521" s="108" t="str">
        <f>IF($AG521="","",P_Peildatum)</f>
        <v/>
      </c>
      <c r="I521" s="92" t="str">
        <f>IF($AG521="","",P_RJ+INDEX($AK$8:$AK$21,INDEX($AC$8:$AC$1407,$AG521)+1))</f>
        <v/>
      </c>
      <c r="J521" s="92" t="str">
        <f>IF($AG521="","",INDEX(V_WBS,INDEX($AB$8:$AB$1407,$AG521)))</f>
        <v/>
      </c>
      <c r="K521" s="92" t="str">
        <f>IF($AG521="","",INDEX(V_Projdef,INDEX($AB$8:$AB$1407,$AG521)))</f>
        <v/>
      </c>
      <c r="L521" s="92" t="str">
        <f>IF($AG521="","",INDEX(V_Naam,INDEX($AB$8:$AB$1407,$AG521)))</f>
        <v/>
      </c>
      <c r="M521" s="92" t="str">
        <f>IF($AG521="","",INDEX(V_Type,INDEX($AB$8:$AB$1407,$AG521)))</f>
        <v/>
      </c>
      <c r="N521" s="92" t="str">
        <f>IF($AG521="","",INDEX(V_IFRS,INDEX($AB$8:$AB$1407,$AG521)))</f>
        <v/>
      </c>
      <c r="O521" s="92" t="str">
        <f>IF($AG521="","",INDEX($AL$8:$AL$21,INDEX($AC$8:$AC$1407,$AG521)+1))</f>
        <v/>
      </c>
      <c r="P521" s="109" t="str">
        <f>IF($AG521="","",INDEX($AD$8:$AD$1407,$AG521))</f>
        <v/>
      </c>
      <c r="Q521" s="92" t="str">
        <f>IF($AG521="","",INDEX($AM$8:$AM$21,INDEX($AC$8:$AC$1407,$AG521)+1))</f>
        <v/>
      </c>
      <c r="R521" s="92" t="str">
        <f>IF($AG521="","",IF($G521&gt;0,P_ToelCorrectie&amp;"",""))</f>
        <v/>
      </c>
      <c r="S521" s="15" t="str">
        <f>IF(J521="","",J521&amp;"|"&amp;E521&amp;"|"&amp;F521&amp;"|"&amp;I521&amp;"|"&amp;O521)</f>
        <v/>
      </c>
      <c r="T521" s="111" t="str">
        <f>IF(S521="","",IF(COUNTIFS(L_Sleutel,S521,L_Actief,1)=0,"",SUMIFS(L_Waarde,L_Sleutel,S521,L_Actief,1)))</f>
        <v/>
      </c>
      <c r="U521" s="111">
        <f>IF(OR(S521="",T521=""),0,P521-T521)</f>
        <v>0</v>
      </c>
      <c r="AB521" s="112" t="n">
        <v>37</v>
      </c>
      <c r="AC521" s="112" t="n">
        <v>9</v>
      </c>
      <c r="AD521" s="112" t="str">
        <f>VERW_Project!BR42</f>
        <v/>
      </c>
      <c r="AE521" s="112">
        <f>IF(AND(VERW_Project!$A42&lt;&gt;"",ISNUMBER(AD521)),1,0)</f>
        <v>0</v>
      </c>
      <c r="AF521" s="112" t="str">
        <f>IF(AE521=1,SUM($AE$8:AE521),"")</f>
        <v/>
      </c>
      <c r="AG521" t="str">
        <f>IFERROR(MATCH(514,$AF$8:$AF$1407,0),"")</f>
        <v/>
      </c>
    </row>
    <row r="522">
      <c r="A522" s="92" t="str">
        <f>IF($AG522="","",P_ImportID)</f>
        <v/>
      </c>
      <c r="B522" s="92" t="str">
        <f>IF($AG522="","",IF(INDEX($AN$8:$AN$21,INDEX($AC$8:$AC$1407,$AG522)+1)="Z",P_BronZ,P_BronE))</f>
        <v/>
      </c>
      <c r="C522" s="108" t="str">
        <f>IF($AG522="","",P_Importdatum)</f>
        <v/>
      </c>
      <c r="D522" s="92" t="str">
        <f>IF($AG522="","",P_StatusVastleg)</f>
        <v/>
      </c>
      <c r="E522" s="92" t="str">
        <f>IF($AG522="","",P_UploadVJ)</f>
        <v/>
      </c>
      <c r="F522" s="92" t="str">
        <f>IF($AG522="","",P_UploadVersie)</f>
        <v/>
      </c>
      <c r="G522" s="92" t="str">
        <f>IF($AG522="","",IF(COUNTIFS(L_Sleutel,$S522,L_Status,"Vastgesteld")=0,0,_xlfn.MAXIFS(L_Revisie,L_Sleutel,$S522,L_Status,"Vastgesteld")+1))</f>
        <v/>
      </c>
      <c r="H522" s="108" t="str">
        <f>IF($AG522="","",P_Peildatum)</f>
        <v/>
      </c>
      <c r="I522" s="92" t="str">
        <f>IF($AG522="","",P_RJ+INDEX($AK$8:$AK$21,INDEX($AC$8:$AC$1407,$AG522)+1))</f>
        <v/>
      </c>
      <c r="J522" s="92" t="str">
        <f>IF($AG522="","",INDEX(V_WBS,INDEX($AB$8:$AB$1407,$AG522)))</f>
        <v/>
      </c>
      <c r="K522" s="92" t="str">
        <f>IF($AG522="","",INDEX(V_Projdef,INDEX($AB$8:$AB$1407,$AG522)))</f>
        <v/>
      </c>
      <c r="L522" s="92" t="str">
        <f>IF($AG522="","",INDEX(V_Naam,INDEX($AB$8:$AB$1407,$AG522)))</f>
        <v/>
      </c>
      <c r="M522" s="92" t="str">
        <f>IF($AG522="","",INDEX(V_Type,INDEX($AB$8:$AB$1407,$AG522)))</f>
        <v/>
      </c>
      <c r="N522" s="92" t="str">
        <f>IF($AG522="","",INDEX(V_IFRS,INDEX($AB$8:$AB$1407,$AG522)))</f>
        <v/>
      </c>
      <c r="O522" s="92" t="str">
        <f>IF($AG522="","",INDEX($AL$8:$AL$21,INDEX($AC$8:$AC$1407,$AG522)+1))</f>
        <v/>
      </c>
      <c r="P522" s="109" t="str">
        <f>IF($AG522="","",INDEX($AD$8:$AD$1407,$AG522))</f>
        <v/>
      </c>
      <c r="Q522" s="92" t="str">
        <f>IF($AG522="","",INDEX($AM$8:$AM$21,INDEX($AC$8:$AC$1407,$AG522)+1))</f>
        <v/>
      </c>
      <c r="R522" s="92" t="str">
        <f>IF($AG522="","",IF($G522&gt;0,P_ToelCorrectie&amp;"",""))</f>
        <v/>
      </c>
      <c r="S522" s="15" t="str">
        <f>IF(J522="","",J522&amp;"|"&amp;E522&amp;"|"&amp;F522&amp;"|"&amp;I522&amp;"|"&amp;O522)</f>
        <v/>
      </c>
      <c r="T522" s="111" t="str">
        <f>IF(S522="","",IF(COUNTIFS(L_Sleutel,S522,L_Actief,1)=0,"",SUMIFS(L_Waarde,L_Sleutel,S522,L_Actief,1)))</f>
        <v/>
      </c>
      <c r="U522" s="111">
        <f>IF(OR(S522="",T522=""),0,P522-T522)</f>
        <v>0</v>
      </c>
      <c r="AB522" s="112" t="n">
        <v>37</v>
      </c>
      <c r="AC522" s="112" t="n">
        <v>10</v>
      </c>
      <c r="AD522" s="112" t="str">
        <f>VERW_Project!BS42</f>
        <v/>
      </c>
      <c r="AE522" s="112">
        <f>IF(AND(VERW_Project!$A42&lt;&gt;"",ISNUMBER(AD522)),1,0)</f>
        <v>0</v>
      </c>
      <c r="AF522" s="112" t="str">
        <f>IF(AE522=1,SUM($AE$8:AE522),"")</f>
        <v/>
      </c>
      <c r="AG522" t="str">
        <f>IFERROR(MATCH(515,$AF$8:$AF$1407,0),"")</f>
        <v/>
      </c>
    </row>
    <row r="523">
      <c r="A523" s="92" t="str">
        <f>IF($AG523="","",P_ImportID)</f>
        <v/>
      </c>
      <c r="B523" s="92" t="str">
        <f>IF($AG523="","",IF(INDEX($AN$8:$AN$21,INDEX($AC$8:$AC$1407,$AG523)+1)="Z",P_BronZ,P_BronE))</f>
        <v/>
      </c>
      <c r="C523" s="108" t="str">
        <f>IF($AG523="","",P_Importdatum)</f>
        <v/>
      </c>
      <c r="D523" s="92" t="str">
        <f>IF($AG523="","",P_StatusVastleg)</f>
        <v/>
      </c>
      <c r="E523" s="92" t="str">
        <f>IF($AG523="","",P_UploadVJ)</f>
        <v/>
      </c>
      <c r="F523" s="92" t="str">
        <f>IF($AG523="","",P_UploadVersie)</f>
        <v/>
      </c>
      <c r="G523" s="92" t="str">
        <f>IF($AG523="","",IF(COUNTIFS(L_Sleutel,$S523,L_Status,"Vastgesteld")=0,0,_xlfn.MAXIFS(L_Revisie,L_Sleutel,$S523,L_Status,"Vastgesteld")+1))</f>
        <v/>
      </c>
      <c r="H523" s="108" t="str">
        <f>IF($AG523="","",P_Peildatum)</f>
        <v/>
      </c>
      <c r="I523" s="92" t="str">
        <f>IF($AG523="","",P_RJ+INDEX($AK$8:$AK$21,INDEX($AC$8:$AC$1407,$AG523)+1))</f>
        <v/>
      </c>
      <c r="J523" s="92" t="str">
        <f>IF($AG523="","",INDEX(V_WBS,INDEX($AB$8:$AB$1407,$AG523)))</f>
        <v/>
      </c>
      <c r="K523" s="92" t="str">
        <f>IF($AG523="","",INDEX(V_Projdef,INDEX($AB$8:$AB$1407,$AG523)))</f>
        <v/>
      </c>
      <c r="L523" s="92" t="str">
        <f>IF($AG523="","",INDEX(V_Naam,INDEX($AB$8:$AB$1407,$AG523)))</f>
        <v/>
      </c>
      <c r="M523" s="92" t="str">
        <f>IF($AG523="","",INDEX(V_Type,INDEX($AB$8:$AB$1407,$AG523)))</f>
        <v/>
      </c>
      <c r="N523" s="92" t="str">
        <f>IF($AG523="","",INDEX(V_IFRS,INDEX($AB$8:$AB$1407,$AG523)))</f>
        <v/>
      </c>
      <c r="O523" s="92" t="str">
        <f>IF($AG523="","",INDEX($AL$8:$AL$21,INDEX($AC$8:$AC$1407,$AG523)+1))</f>
        <v/>
      </c>
      <c r="P523" s="109" t="str">
        <f>IF($AG523="","",INDEX($AD$8:$AD$1407,$AG523))</f>
        <v/>
      </c>
      <c r="Q523" s="92" t="str">
        <f>IF($AG523="","",INDEX($AM$8:$AM$21,INDEX($AC$8:$AC$1407,$AG523)+1))</f>
        <v/>
      </c>
      <c r="R523" s="92" t="str">
        <f>IF($AG523="","",IF($G523&gt;0,P_ToelCorrectie&amp;"",""))</f>
        <v/>
      </c>
      <c r="S523" s="15" t="str">
        <f>IF(J523="","",J523&amp;"|"&amp;E523&amp;"|"&amp;F523&amp;"|"&amp;I523&amp;"|"&amp;O523)</f>
        <v/>
      </c>
      <c r="T523" s="111" t="str">
        <f>IF(S523="","",IF(COUNTIFS(L_Sleutel,S523,L_Actief,1)=0,"",SUMIFS(L_Waarde,L_Sleutel,S523,L_Actief,1)))</f>
        <v/>
      </c>
      <c r="U523" s="111">
        <f>IF(OR(S523="",T523=""),0,P523-T523)</f>
        <v>0</v>
      </c>
      <c r="AB523" s="112" t="n">
        <v>37</v>
      </c>
      <c r="AC523" s="112" t="n">
        <v>11</v>
      </c>
      <c r="AD523" s="112" t="str">
        <f>VERW_Project!BT42</f>
        <v/>
      </c>
      <c r="AE523" s="112">
        <f>IF(AND(VERW_Project!$A42&lt;&gt;"",ISNUMBER(AD523)),1,0)</f>
        <v>0</v>
      </c>
      <c r="AF523" s="112" t="str">
        <f>IF(AE523=1,SUM($AE$8:AE523),"")</f>
        <v/>
      </c>
      <c r="AG523" t="str">
        <f>IFERROR(MATCH(516,$AF$8:$AF$1407,0),"")</f>
        <v/>
      </c>
    </row>
    <row r="524">
      <c r="A524" s="92" t="str">
        <f>IF($AG524="","",P_ImportID)</f>
        <v/>
      </c>
      <c r="B524" s="92" t="str">
        <f>IF($AG524="","",IF(INDEX($AN$8:$AN$21,INDEX($AC$8:$AC$1407,$AG524)+1)="Z",P_BronZ,P_BronE))</f>
        <v/>
      </c>
      <c r="C524" s="108" t="str">
        <f>IF($AG524="","",P_Importdatum)</f>
        <v/>
      </c>
      <c r="D524" s="92" t="str">
        <f>IF($AG524="","",P_StatusVastleg)</f>
        <v/>
      </c>
      <c r="E524" s="92" t="str">
        <f>IF($AG524="","",P_UploadVJ)</f>
        <v/>
      </c>
      <c r="F524" s="92" t="str">
        <f>IF($AG524="","",P_UploadVersie)</f>
        <v/>
      </c>
      <c r="G524" s="92" t="str">
        <f>IF($AG524="","",IF(COUNTIFS(L_Sleutel,$S524,L_Status,"Vastgesteld")=0,0,_xlfn.MAXIFS(L_Revisie,L_Sleutel,$S524,L_Status,"Vastgesteld")+1))</f>
        <v/>
      </c>
      <c r="H524" s="108" t="str">
        <f>IF($AG524="","",P_Peildatum)</f>
        <v/>
      </c>
      <c r="I524" s="92" t="str">
        <f>IF($AG524="","",P_RJ+INDEX($AK$8:$AK$21,INDEX($AC$8:$AC$1407,$AG524)+1))</f>
        <v/>
      </c>
      <c r="J524" s="92" t="str">
        <f>IF($AG524="","",INDEX(V_WBS,INDEX($AB$8:$AB$1407,$AG524)))</f>
        <v/>
      </c>
      <c r="K524" s="92" t="str">
        <f>IF($AG524="","",INDEX(V_Projdef,INDEX($AB$8:$AB$1407,$AG524)))</f>
        <v/>
      </c>
      <c r="L524" s="92" t="str">
        <f>IF($AG524="","",INDEX(V_Naam,INDEX($AB$8:$AB$1407,$AG524)))</f>
        <v/>
      </c>
      <c r="M524" s="92" t="str">
        <f>IF($AG524="","",INDEX(V_Type,INDEX($AB$8:$AB$1407,$AG524)))</f>
        <v/>
      </c>
      <c r="N524" s="92" t="str">
        <f>IF($AG524="","",INDEX(V_IFRS,INDEX($AB$8:$AB$1407,$AG524)))</f>
        <v/>
      </c>
      <c r="O524" s="92" t="str">
        <f>IF($AG524="","",INDEX($AL$8:$AL$21,INDEX($AC$8:$AC$1407,$AG524)+1))</f>
        <v/>
      </c>
      <c r="P524" s="109" t="str">
        <f>IF($AG524="","",INDEX($AD$8:$AD$1407,$AG524))</f>
        <v/>
      </c>
      <c r="Q524" s="92" t="str">
        <f>IF($AG524="","",INDEX($AM$8:$AM$21,INDEX($AC$8:$AC$1407,$AG524)+1))</f>
        <v/>
      </c>
      <c r="R524" s="92" t="str">
        <f>IF($AG524="","",IF($G524&gt;0,P_ToelCorrectie&amp;"",""))</f>
        <v/>
      </c>
      <c r="S524" s="15" t="str">
        <f>IF(J524="","",J524&amp;"|"&amp;E524&amp;"|"&amp;F524&amp;"|"&amp;I524&amp;"|"&amp;O524)</f>
        <v/>
      </c>
      <c r="T524" s="111" t="str">
        <f>IF(S524="","",IF(COUNTIFS(L_Sleutel,S524,L_Actief,1)=0,"",SUMIFS(L_Waarde,L_Sleutel,S524,L_Actief,1)))</f>
        <v/>
      </c>
      <c r="U524" s="111">
        <f>IF(OR(S524="",T524=""),0,P524-T524)</f>
        <v>0</v>
      </c>
      <c r="AB524" s="112" t="n">
        <v>37</v>
      </c>
      <c r="AC524" s="112" t="n">
        <v>12</v>
      </c>
      <c r="AD524" s="112" t="str">
        <f>VERW_Project!BU42</f>
        <v/>
      </c>
      <c r="AE524" s="112">
        <f>IF(AND(VERW_Project!$A42&lt;&gt;"",ISNUMBER(AD524)),1,0)</f>
        <v>0</v>
      </c>
      <c r="AF524" s="112" t="str">
        <f>IF(AE524=1,SUM($AE$8:AE524),"")</f>
        <v/>
      </c>
      <c r="AG524" t="str">
        <f>IFERROR(MATCH(517,$AF$8:$AF$1407,0),"")</f>
        <v/>
      </c>
    </row>
    <row r="525">
      <c r="A525" s="92" t="str">
        <f>IF($AG525="","",P_ImportID)</f>
        <v/>
      </c>
      <c r="B525" s="92" t="str">
        <f>IF($AG525="","",IF(INDEX($AN$8:$AN$21,INDEX($AC$8:$AC$1407,$AG525)+1)="Z",P_BronZ,P_BronE))</f>
        <v/>
      </c>
      <c r="C525" s="108" t="str">
        <f>IF($AG525="","",P_Importdatum)</f>
        <v/>
      </c>
      <c r="D525" s="92" t="str">
        <f>IF($AG525="","",P_StatusVastleg)</f>
        <v/>
      </c>
      <c r="E525" s="92" t="str">
        <f>IF($AG525="","",P_UploadVJ)</f>
        <v/>
      </c>
      <c r="F525" s="92" t="str">
        <f>IF($AG525="","",P_UploadVersie)</f>
        <v/>
      </c>
      <c r="G525" s="92" t="str">
        <f>IF($AG525="","",IF(COUNTIFS(L_Sleutel,$S525,L_Status,"Vastgesteld")=0,0,_xlfn.MAXIFS(L_Revisie,L_Sleutel,$S525,L_Status,"Vastgesteld")+1))</f>
        <v/>
      </c>
      <c r="H525" s="108" t="str">
        <f>IF($AG525="","",P_Peildatum)</f>
        <v/>
      </c>
      <c r="I525" s="92" t="str">
        <f>IF($AG525="","",P_RJ+INDEX($AK$8:$AK$21,INDEX($AC$8:$AC$1407,$AG525)+1))</f>
        <v/>
      </c>
      <c r="J525" s="92" t="str">
        <f>IF($AG525="","",INDEX(V_WBS,INDEX($AB$8:$AB$1407,$AG525)))</f>
        <v/>
      </c>
      <c r="K525" s="92" t="str">
        <f>IF($AG525="","",INDEX(V_Projdef,INDEX($AB$8:$AB$1407,$AG525)))</f>
        <v/>
      </c>
      <c r="L525" s="92" t="str">
        <f>IF($AG525="","",INDEX(V_Naam,INDEX($AB$8:$AB$1407,$AG525)))</f>
        <v/>
      </c>
      <c r="M525" s="92" t="str">
        <f>IF($AG525="","",INDEX(V_Type,INDEX($AB$8:$AB$1407,$AG525)))</f>
        <v/>
      </c>
      <c r="N525" s="92" t="str">
        <f>IF($AG525="","",INDEX(V_IFRS,INDEX($AB$8:$AB$1407,$AG525)))</f>
        <v/>
      </c>
      <c r="O525" s="92" t="str">
        <f>IF($AG525="","",INDEX($AL$8:$AL$21,INDEX($AC$8:$AC$1407,$AG525)+1))</f>
        <v/>
      </c>
      <c r="P525" s="109" t="str">
        <f>IF($AG525="","",INDEX($AD$8:$AD$1407,$AG525))</f>
        <v/>
      </c>
      <c r="Q525" s="92" t="str">
        <f>IF($AG525="","",INDEX($AM$8:$AM$21,INDEX($AC$8:$AC$1407,$AG525)+1))</f>
        <v/>
      </c>
      <c r="R525" s="92" t="str">
        <f>IF($AG525="","",IF($G525&gt;0,P_ToelCorrectie&amp;"",""))</f>
        <v/>
      </c>
      <c r="S525" s="15" t="str">
        <f>IF(J525="","",J525&amp;"|"&amp;E525&amp;"|"&amp;F525&amp;"|"&amp;I525&amp;"|"&amp;O525)</f>
        <v/>
      </c>
      <c r="T525" s="111" t="str">
        <f>IF(S525="","",IF(COUNTIFS(L_Sleutel,S525,L_Actief,1)=0,"",SUMIFS(L_Waarde,L_Sleutel,S525,L_Actief,1)))</f>
        <v/>
      </c>
      <c r="U525" s="111">
        <f>IF(OR(S525="",T525=""),0,P525-T525)</f>
        <v>0</v>
      </c>
      <c r="AB525" s="112" t="n">
        <v>37</v>
      </c>
      <c r="AC525" s="112" t="n">
        <v>13</v>
      </c>
      <c r="AD525" s="112" t="str">
        <f>VERW_Project!BX42</f>
        <v/>
      </c>
      <c r="AE525" s="112">
        <f>IF(AND(VERW_Project!$A42&lt;&gt;"",ISNUMBER(AD525)),1,0)</f>
        <v>0</v>
      </c>
      <c r="AF525" s="112" t="str">
        <f>IF(AE525=1,SUM($AE$8:AE525),"")</f>
        <v/>
      </c>
      <c r="AG525" t="str">
        <f>IFERROR(MATCH(518,$AF$8:$AF$1407,0),"")</f>
        <v/>
      </c>
    </row>
    <row r="526">
      <c r="A526" s="92" t="str">
        <f>IF($AG526="","",P_ImportID)</f>
        <v/>
      </c>
      <c r="B526" s="92" t="str">
        <f>IF($AG526="","",IF(INDEX($AN$8:$AN$21,INDEX($AC$8:$AC$1407,$AG526)+1)="Z",P_BronZ,P_BronE))</f>
        <v/>
      </c>
      <c r="C526" s="108" t="str">
        <f>IF($AG526="","",P_Importdatum)</f>
        <v/>
      </c>
      <c r="D526" s="92" t="str">
        <f>IF($AG526="","",P_StatusVastleg)</f>
        <v/>
      </c>
      <c r="E526" s="92" t="str">
        <f>IF($AG526="","",P_UploadVJ)</f>
        <v/>
      </c>
      <c r="F526" s="92" t="str">
        <f>IF($AG526="","",P_UploadVersie)</f>
        <v/>
      </c>
      <c r="G526" s="92" t="str">
        <f>IF($AG526="","",IF(COUNTIFS(L_Sleutel,$S526,L_Status,"Vastgesteld")=0,0,_xlfn.MAXIFS(L_Revisie,L_Sleutel,$S526,L_Status,"Vastgesteld")+1))</f>
        <v/>
      </c>
      <c r="H526" s="108" t="str">
        <f>IF($AG526="","",P_Peildatum)</f>
        <v/>
      </c>
      <c r="I526" s="92" t="str">
        <f>IF($AG526="","",P_RJ+INDEX($AK$8:$AK$21,INDEX($AC$8:$AC$1407,$AG526)+1))</f>
        <v/>
      </c>
      <c r="J526" s="92" t="str">
        <f>IF($AG526="","",INDEX(V_WBS,INDEX($AB$8:$AB$1407,$AG526)))</f>
        <v/>
      </c>
      <c r="K526" s="92" t="str">
        <f>IF($AG526="","",INDEX(V_Projdef,INDEX($AB$8:$AB$1407,$AG526)))</f>
        <v/>
      </c>
      <c r="L526" s="92" t="str">
        <f>IF($AG526="","",INDEX(V_Naam,INDEX($AB$8:$AB$1407,$AG526)))</f>
        <v/>
      </c>
      <c r="M526" s="92" t="str">
        <f>IF($AG526="","",INDEX(V_Type,INDEX($AB$8:$AB$1407,$AG526)))</f>
        <v/>
      </c>
      <c r="N526" s="92" t="str">
        <f>IF($AG526="","",INDEX(V_IFRS,INDEX($AB$8:$AB$1407,$AG526)))</f>
        <v/>
      </c>
      <c r="O526" s="92" t="str">
        <f>IF($AG526="","",INDEX($AL$8:$AL$21,INDEX($AC$8:$AC$1407,$AG526)+1))</f>
        <v/>
      </c>
      <c r="P526" s="109" t="str">
        <f>IF($AG526="","",INDEX($AD$8:$AD$1407,$AG526))</f>
        <v/>
      </c>
      <c r="Q526" s="92" t="str">
        <f>IF($AG526="","",INDEX($AM$8:$AM$21,INDEX($AC$8:$AC$1407,$AG526)+1))</f>
        <v/>
      </c>
      <c r="R526" s="92" t="str">
        <f>IF($AG526="","",IF($G526&gt;0,P_ToelCorrectie&amp;"",""))</f>
        <v/>
      </c>
      <c r="S526" s="15" t="str">
        <f>IF(J526="","",J526&amp;"|"&amp;E526&amp;"|"&amp;F526&amp;"|"&amp;I526&amp;"|"&amp;O526)</f>
        <v/>
      </c>
      <c r="T526" s="111" t="str">
        <f>IF(S526="","",IF(COUNTIFS(L_Sleutel,S526,L_Actief,1)=0,"",SUMIFS(L_Waarde,L_Sleutel,S526,L_Actief,1)))</f>
        <v/>
      </c>
      <c r="U526" s="111">
        <f>IF(OR(S526="",T526=""),0,P526-T526)</f>
        <v>0</v>
      </c>
      <c r="AB526" s="112" t="n">
        <v>38</v>
      </c>
      <c r="AC526" s="112" t="n">
        <v>0</v>
      </c>
      <c r="AD526" s="112" t="str">
        <f>VERW_Project!P43</f>
        <v/>
      </c>
      <c r="AE526" s="112">
        <f>IF(AND(VERW_Project!$A43&lt;&gt;"",ISNUMBER(AD526)),1,0)</f>
        <v>0</v>
      </c>
      <c r="AF526" s="112" t="str">
        <f>IF(AE526=1,SUM($AE$8:AE526),"")</f>
        <v/>
      </c>
      <c r="AG526" t="str">
        <f>IFERROR(MATCH(519,$AF$8:$AF$1407,0),"")</f>
        <v/>
      </c>
    </row>
    <row r="527">
      <c r="A527" s="92" t="str">
        <f>IF($AG527="","",P_ImportID)</f>
        <v/>
      </c>
      <c r="B527" s="92" t="str">
        <f>IF($AG527="","",IF(INDEX($AN$8:$AN$21,INDEX($AC$8:$AC$1407,$AG527)+1)="Z",P_BronZ,P_BronE))</f>
        <v/>
      </c>
      <c r="C527" s="108" t="str">
        <f>IF($AG527="","",P_Importdatum)</f>
        <v/>
      </c>
      <c r="D527" s="92" t="str">
        <f>IF($AG527="","",P_StatusVastleg)</f>
        <v/>
      </c>
      <c r="E527" s="92" t="str">
        <f>IF($AG527="","",P_UploadVJ)</f>
        <v/>
      </c>
      <c r="F527" s="92" t="str">
        <f>IF($AG527="","",P_UploadVersie)</f>
        <v/>
      </c>
      <c r="G527" s="92" t="str">
        <f>IF($AG527="","",IF(COUNTIFS(L_Sleutel,$S527,L_Status,"Vastgesteld")=0,0,_xlfn.MAXIFS(L_Revisie,L_Sleutel,$S527,L_Status,"Vastgesteld")+1))</f>
        <v/>
      </c>
      <c r="H527" s="108" t="str">
        <f>IF($AG527="","",P_Peildatum)</f>
        <v/>
      </c>
      <c r="I527" s="92" t="str">
        <f>IF($AG527="","",P_RJ+INDEX($AK$8:$AK$21,INDEX($AC$8:$AC$1407,$AG527)+1))</f>
        <v/>
      </c>
      <c r="J527" s="92" t="str">
        <f>IF($AG527="","",INDEX(V_WBS,INDEX($AB$8:$AB$1407,$AG527)))</f>
        <v/>
      </c>
      <c r="K527" s="92" t="str">
        <f>IF($AG527="","",INDEX(V_Projdef,INDEX($AB$8:$AB$1407,$AG527)))</f>
        <v/>
      </c>
      <c r="L527" s="92" t="str">
        <f>IF($AG527="","",INDEX(V_Naam,INDEX($AB$8:$AB$1407,$AG527)))</f>
        <v/>
      </c>
      <c r="M527" s="92" t="str">
        <f>IF($AG527="","",INDEX(V_Type,INDEX($AB$8:$AB$1407,$AG527)))</f>
        <v/>
      </c>
      <c r="N527" s="92" t="str">
        <f>IF($AG527="","",INDEX(V_IFRS,INDEX($AB$8:$AB$1407,$AG527)))</f>
        <v/>
      </c>
      <c r="O527" s="92" t="str">
        <f>IF($AG527="","",INDEX($AL$8:$AL$21,INDEX($AC$8:$AC$1407,$AG527)+1))</f>
        <v/>
      </c>
      <c r="P527" s="109" t="str">
        <f>IF($AG527="","",INDEX($AD$8:$AD$1407,$AG527))</f>
        <v/>
      </c>
      <c r="Q527" s="92" t="str">
        <f>IF($AG527="","",INDEX($AM$8:$AM$21,INDEX($AC$8:$AC$1407,$AG527)+1))</f>
        <v/>
      </c>
      <c r="R527" s="92" t="str">
        <f>IF($AG527="","",IF($G527&gt;0,P_ToelCorrectie&amp;"",""))</f>
        <v/>
      </c>
      <c r="S527" s="15" t="str">
        <f>IF(J527="","",J527&amp;"|"&amp;E527&amp;"|"&amp;F527&amp;"|"&amp;I527&amp;"|"&amp;O527)</f>
        <v/>
      </c>
      <c r="T527" s="111" t="str">
        <f>IF(S527="","",IF(COUNTIFS(L_Sleutel,S527,L_Actief,1)=0,"",SUMIFS(L_Waarde,L_Sleutel,S527,L_Actief,1)))</f>
        <v/>
      </c>
      <c r="U527" s="111">
        <f>IF(OR(S527="",T527=""),0,P527-T527)</f>
        <v>0</v>
      </c>
      <c r="AB527" s="112" t="n">
        <v>38</v>
      </c>
      <c r="AC527" s="112" t="n">
        <v>1</v>
      </c>
      <c r="AD527" s="112" t="str">
        <f>VERW_Project!Q43</f>
        <v/>
      </c>
      <c r="AE527" s="112">
        <f>IF(AND(VERW_Project!$A43&lt;&gt;"",ISNUMBER(AD527)),1,0)</f>
        <v>0</v>
      </c>
      <c r="AF527" s="112" t="str">
        <f>IF(AE527=1,SUM($AE$8:AE527),"")</f>
        <v/>
      </c>
      <c r="AG527" t="str">
        <f>IFERROR(MATCH(520,$AF$8:$AF$1407,0),"")</f>
        <v/>
      </c>
    </row>
    <row r="528">
      <c r="A528" s="92" t="str">
        <f>IF($AG528="","",P_ImportID)</f>
        <v/>
      </c>
      <c r="B528" s="92" t="str">
        <f>IF($AG528="","",IF(INDEX($AN$8:$AN$21,INDEX($AC$8:$AC$1407,$AG528)+1)="Z",P_BronZ,P_BronE))</f>
        <v/>
      </c>
      <c r="C528" s="108" t="str">
        <f>IF($AG528="","",P_Importdatum)</f>
        <v/>
      </c>
      <c r="D528" s="92" t="str">
        <f>IF($AG528="","",P_StatusVastleg)</f>
        <v/>
      </c>
      <c r="E528" s="92" t="str">
        <f>IF($AG528="","",P_UploadVJ)</f>
        <v/>
      </c>
      <c r="F528" s="92" t="str">
        <f>IF($AG528="","",P_UploadVersie)</f>
        <v/>
      </c>
      <c r="G528" s="92" t="str">
        <f>IF($AG528="","",IF(COUNTIFS(L_Sleutel,$S528,L_Status,"Vastgesteld")=0,0,_xlfn.MAXIFS(L_Revisie,L_Sleutel,$S528,L_Status,"Vastgesteld")+1))</f>
        <v/>
      </c>
      <c r="H528" s="108" t="str">
        <f>IF($AG528="","",P_Peildatum)</f>
        <v/>
      </c>
      <c r="I528" s="92" t="str">
        <f>IF($AG528="","",P_RJ+INDEX($AK$8:$AK$21,INDEX($AC$8:$AC$1407,$AG528)+1))</f>
        <v/>
      </c>
      <c r="J528" s="92" t="str">
        <f>IF($AG528="","",INDEX(V_WBS,INDEX($AB$8:$AB$1407,$AG528)))</f>
        <v/>
      </c>
      <c r="K528" s="92" t="str">
        <f>IF($AG528="","",INDEX(V_Projdef,INDEX($AB$8:$AB$1407,$AG528)))</f>
        <v/>
      </c>
      <c r="L528" s="92" t="str">
        <f>IF($AG528="","",INDEX(V_Naam,INDEX($AB$8:$AB$1407,$AG528)))</f>
        <v/>
      </c>
      <c r="M528" s="92" t="str">
        <f>IF($AG528="","",INDEX(V_Type,INDEX($AB$8:$AB$1407,$AG528)))</f>
        <v/>
      </c>
      <c r="N528" s="92" t="str">
        <f>IF($AG528="","",INDEX(V_IFRS,INDEX($AB$8:$AB$1407,$AG528)))</f>
        <v/>
      </c>
      <c r="O528" s="92" t="str">
        <f>IF($AG528="","",INDEX($AL$8:$AL$21,INDEX($AC$8:$AC$1407,$AG528)+1))</f>
        <v/>
      </c>
      <c r="P528" s="109" t="str">
        <f>IF($AG528="","",INDEX($AD$8:$AD$1407,$AG528))</f>
        <v/>
      </c>
      <c r="Q528" s="92" t="str">
        <f>IF($AG528="","",INDEX($AM$8:$AM$21,INDEX($AC$8:$AC$1407,$AG528)+1))</f>
        <v/>
      </c>
      <c r="R528" s="92" t="str">
        <f>IF($AG528="","",IF($G528&gt;0,P_ToelCorrectie&amp;"",""))</f>
        <v/>
      </c>
      <c r="S528" s="15" t="str">
        <f>IF(J528="","",J528&amp;"|"&amp;E528&amp;"|"&amp;F528&amp;"|"&amp;I528&amp;"|"&amp;O528)</f>
        <v/>
      </c>
      <c r="T528" s="111" t="str">
        <f>IF(S528="","",IF(COUNTIFS(L_Sleutel,S528,L_Actief,1)=0,"",SUMIFS(L_Waarde,L_Sleutel,S528,L_Actief,1)))</f>
        <v/>
      </c>
      <c r="U528" s="111">
        <f>IF(OR(S528="",T528=""),0,P528-T528)</f>
        <v>0</v>
      </c>
      <c r="AB528" s="112" t="n">
        <v>38</v>
      </c>
      <c r="AC528" s="112" t="n">
        <v>2</v>
      </c>
      <c r="AD528" s="112" t="str">
        <f>VERW_Project!L43</f>
        <v/>
      </c>
      <c r="AE528" s="112">
        <f>IF(AND(VERW_Project!$A43&lt;&gt;"",ISNUMBER(AD528)),1,0)</f>
        <v>0</v>
      </c>
      <c r="AF528" s="112" t="str">
        <f>IF(AE528=1,SUM($AE$8:AE528),"")</f>
        <v/>
      </c>
      <c r="AG528" t="str">
        <f>IFERROR(MATCH(521,$AF$8:$AF$1407,0),"")</f>
        <v/>
      </c>
    </row>
    <row r="529">
      <c r="A529" s="92" t="str">
        <f>IF($AG529="","",P_ImportID)</f>
        <v/>
      </c>
      <c r="B529" s="92" t="str">
        <f>IF($AG529="","",IF(INDEX($AN$8:$AN$21,INDEX($AC$8:$AC$1407,$AG529)+1)="Z",P_BronZ,P_BronE))</f>
        <v/>
      </c>
      <c r="C529" s="108" t="str">
        <f>IF($AG529="","",P_Importdatum)</f>
        <v/>
      </c>
      <c r="D529" s="92" t="str">
        <f>IF($AG529="","",P_StatusVastleg)</f>
        <v/>
      </c>
      <c r="E529" s="92" t="str">
        <f>IF($AG529="","",P_UploadVJ)</f>
        <v/>
      </c>
      <c r="F529" s="92" t="str">
        <f>IF($AG529="","",P_UploadVersie)</f>
        <v/>
      </c>
      <c r="G529" s="92" t="str">
        <f>IF($AG529="","",IF(COUNTIFS(L_Sleutel,$S529,L_Status,"Vastgesteld")=0,0,_xlfn.MAXIFS(L_Revisie,L_Sleutel,$S529,L_Status,"Vastgesteld")+1))</f>
        <v/>
      </c>
      <c r="H529" s="108" t="str">
        <f>IF($AG529="","",P_Peildatum)</f>
        <v/>
      </c>
      <c r="I529" s="92" t="str">
        <f>IF($AG529="","",P_RJ+INDEX($AK$8:$AK$21,INDEX($AC$8:$AC$1407,$AG529)+1))</f>
        <v/>
      </c>
      <c r="J529" s="92" t="str">
        <f>IF($AG529="","",INDEX(V_WBS,INDEX($AB$8:$AB$1407,$AG529)))</f>
        <v/>
      </c>
      <c r="K529" s="92" t="str">
        <f>IF($AG529="","",INDEX(V_Projdef,INDEX($AB$8:$AB$1407,$AG529)))</f>
        <v/>
      </c>
      <c r="L529" s="92" t="str">
        <f>IF($AG529="","",INDEX(V_Naam,INDEX($AB$8:$AB$1407,$AG529)))</f>
        <v/>
      </c>
      <c r="M529" s="92" t="str">
        <f>IF($AG529="","",INDEX(V_Type,INDEX($AB$8:$AB$1407,$AG529)))</f>
        <v/>
      </c>
      <c r="N529" s="92" t="str">
        <f>IF($AG529="","",INDEX(V_IFRS,INDEX($AB$8:$AB$1407,$AG529)))</f>
        <v/>
      </c>
      <c r="O529" s="92" t="str">
        <f>IF($AG529="","",INDEX($AL$8:$AL$21,INDEX($AC$8:$AC$1407,$AG529)+1))</f>
        <v/>
      </c>
      <c r="P529" s="109" t="str">
        <f>IF($AG529="","",INDEX($AD$8:$AD$1407,$AG529))</f>
        <v/>
      </c>
      <c r="Q529" s="92" t="str">
        <f>IF($AG529="","",INDEX($AM$8:$AM$21,INDEX($AC$8:$AC$1407,$AG529)+1))</f>
        <v/>
      </c>
      <c r="R529" s="92" t="str">
        <f>IF($AG529="","",IF($G529&gt;0,P_ToelCorrectie&amp;"",""))</f>
        <v/>
      </c>
      <c r="S529" s="15" t="str">
        <f>IF(J529="","",J529&amp;"|"&amp;E529&amp;"|"&amp;F529&amp;"|"&amp;I529&amp;"|"&amp;O529)</f>
        <v/>
      </c>
      <c r="T529" s="111" t="str">
        <f>IF(S529="","",IF(COUNTIFS(L_Sleutel,S529,L_Actief,1)=0,"",SUMIFS(L_Waarde,L_Sleutel,S529,L_Actief,1)))</f>
        <v/>
      </c>
      <c r="U529" s="111">
        <f>IF(OR(S529="",T529=""),0,P529-T529)</f>
        <v>0</v>
      </c>
      <c r="AB529" s="112" t="n">
        <v>38</v>
      </c>
      <c r="AC529" s="112" t="n">
        <v>3</v>
      </c>
      <c r="AD529" s="112" t="str">
        <f>VERW_Project!M43</f>
        <v/>
      </c>
      <c r="AE529" s="112">
        <f>IF(AND(VERW_Project!$A43&lt;&gt;"",ISNUMBER(AD529)),1,0)</f>
        <v>0</v>
      </c>
      <c r="AF529" s="112" t="str">
        <f>IF(AE529=1,SUM($AE$8:AE529),"")</f>
        <v/>
      </c>
      <c r="AG529" t="str">
        <f>IFERROR(MATCH(522,$AF$8:$AF$1407,0),"")</f>
        <v/>
      </c>
    </row>
    <row r="530">
      <c r="A530" s="92" t="str">
        <f>IF($AG530="","",P_ImportID)</f>
        <v/>
      </c>
      <c r="B530" s="92" t="str">
        <f>IF($AG530="","",IF(INDEX($AN$8:$AN$21,INDEX($AC$8:$AC$1407,$AG530)+1)="Z",P_BronZ,P_BronE))</f>
        <v/>
      </c>
      <c r="C530" s="108" t="str">
        <f>IF($AG530="","",P_Importdatum)</f>
        <v/>
      </c>
      <c r="D530" s="92" t="str">
        <f>IF($AG530="","",P_StatusVastleg)</f>
        <v/>
      </c>
      <c r="E530" s="92" t="str">
        <f>IF($AG530="","",P_UploadVJ)</f>
        <v/>
      </c>
      <c r="F530" s="92" t="str">
        <f>IF($AG530="","",P_UploadVersie)</f>
        <v/>
      </c>
      <c r="G530" s="92" t="str">
        <f>IF($AG530="","",IF(COUNTIFS(L_Sleutel,$S530,L_Status,"Vastgesteld")=0,0,_xlfn.MAXIFS(L_Revisie,L_Sleutel,$S530,L_Status,"Vastgesteld")+1))</f>
        <v/>
      </c>
      <c r="H530" s="108" t="str">
        <f>IF($AG530="","",P_Peildatum)</f>
        <v/>
      </c>
      <c r="I530" s="92" t="str">
        <f>IF($AG530="","",P_RJ+INDEX($AK$8:$AK$21,INDEX($AC$8:$AC$1407,$AG530)+1))</f>
        <v/>
      </c>
      <c r="J530" s="92" t="str">
        <f>IF($AG530="","",INDEX(V_WBS,INDEX($AB$8:$AB$1407,$AG530)))</f>
        <v/>
      </c>
      <c r="K530" s="92" t="str">
        <f>IF($AG530="","",INDEX(V_Projdef,INDEX($AB$8:$AB$1407,$AG530)))</f>
        <v/>
      </c>
      <c r="L530" s="92" t="str">
        <f>IF($AG530="","",INDEX(V_Naam,INDEX($AB$8:$AB$1407,$AG530)))</f>
        <v/>
      </c>
      <c r="M530" s="92" t="str">
        <f>IF($AG530="","",INDEX(V_Type,INDEX($AB$8:$AB$1407,$AG530)))</f>
        <v/>
      </c>
      <c r="N530" s="92" t="str">
        <f>IF($AG530="","",INDEX(V_IFRS,INDEX($AB$8:$AB$1407,$AG530)))</f>
        <v/>
      </c>
      <c r="O530" s="92" t="str">
        <f>IF($AG530="","",INDEX($AL$8:$AL$21,INDEX($AC$8:$AC$1407,$AG530)+1))</f>
        <v/>
      </c>
      <c r="P530" s="109" t="str">
        <f>IF($AG530="","",INDEX($AD$8:$AD$1407,$AG530))</f>
        <v/>
      </c>
      <c r="Q530" s="92" t="str">
        <f>IF($AG530="","",INDEX($AM$8:$AM$21,INDEX($AC$8:$AC$1407,$AG530)+1))</f>
        <v/>
      </c>
      <c r="R530" s="92" t="str">
        <f>IF($AG530="","",IF($G530&gt;0,P_ToelCorrectie&amp;"",""))</f>
        <v/>
      </c>
      <c r="S530" s="15" t="str">
        <f>IF(J530="","",J530&amp;"|"&amp;E530&amp;"|"&amp;F530&amp;"|"&amp;I530&amp;"|"&amp;O530)</f>
        <v/>
      </c>
      <c r="T530" s="111" t="str">
        <f>IF(S530="","",IF(COUNTIFS(L_Sleutel,S530,L_Actief,1)=0,"",SUMIFS(L_Waarde,L_Sleutel,S530,L_Actief,1)))</f>
        <v/>
      </c>
      <c r="U530" s="111">
        <f>IF(OR(S530="",T530=""),0,P530-T530)</f>
        <v>0</v>
      </c>
      <c r="AB530" s="112" t="n">
        <v>38</v>
      </c>
      <c r="AC530" s="112" t="n">
        <v>4</v>
      </c>
      <c r="AD530" s="112" t="str">
        <f>VERW_Project!R43</f>
        <v/>
      </c>
      <c r="AE530" s="112">
        <f>IF(AND(VERW_Project!$A43&lt;&gt;"",ISNUMBER(AD530)),1,0)</f>
        <v>0</v>
      </c>
      <c r="AF530" s="112" t="str">
        <f>IF(AE530=1,SUM($AE$8:AE530),"")</f>
        <v/>
      </c>
      <c r="AG530" t="str">
        <f>IFERROR(MATCH(523,$AF$8:$AF$1407,0),"")</f>
        <v/>
      </c>
    </row>
    <row r="531">
      <c r="A531" s="92" t="str">
        <f>IF($AG531="","",P_ImportID)</f>
        <v/>
      </c>
      <c r="B531" s="92" t="str">
        <f>IF($AG531="","",IF(INDEX($AN$8:$AN$21,INDEX($AC$8:$AC$1407,$AG531)+1)="Z",P_BronZ,P_BronE))</f>
        <v/>
      </c>
      <c r="C531" s="108" t="str">
        <f>IF($AG531="","",P_Importdatum)</f>
        <v/>
      </c>
      <c r="D531" s="92" t="str">
        <f>IF($AG531="","",P_StatusVastleg)</f>
        <v/>
      </c>
      <c r="E531" s="92" t="str">
        <f>IF($AG531="","",P_UploadVJ)</f>
        <v/>
      </c>
      <c r="F531" s="92" t="str">
        <f>IF($AG531="","",P_UploadVersie)</f>
        <v/>
      </c>
      <c r="G531" s="92" t="str">
        <f>IF($AG531="","",IF(COUNTIFS(L_Sleutel,$S531,L_Status,"Vastgesteld")=0,0,_xlfn.MAXIFS(L_Revisie,L_Sleutel,$S531,L_Status,"Vastgesteld")+1))</f>
        <v/>
      </c>
      <c r="H531" s="108" t="str">
        <f>IF($AG531="","",P_Peildatum)</f>
        <v/>
      </c>
      <c r="I531" s="92" t="str">
        <f>IF($AG531="","",P_RJ+INDEX($AK$8:$AK$21,INDEX($AC$8:$AC$1407,$AG531)+1))</f>
        <v/>
      </c>
      <c r="J531" s="92" t="str">
        <f>IF($AG531="","",INDEX(V_WBS,INDEX($AB$8:$AB$1407,$AG531)))</f>
        <v/>
      </c>
      <c r="K531" s="92" t="str">
        <f>IF($AG531="","",INDEX(V_Projdef,INDEX($AB$8:$AB$1407,$AG531)))</f>
        <v/>
      </c>
      <c r="L531" s="92" t="str">
        <f>IF($AG531="","",INDEX(V_Naam,INDEX($AB$8:$AB$1407,$AG531)))</f>
        <v/>
      </c>
      <c r="M531" s="92" t="str">
        <f>IF($AG531="","",INDEX(V_Type,INDEX($AB$8:$AB$1407,$AG531)))</f>
        <v/>
      </c>
      <c r="N531" s="92" t="str">
        <f>IF($AG531="","",INDEX(V_IFRS,INDEX($AB$8:$AB$1407,$AG531)))</f>
        <v/>
      </c>
      <c r="O531" s="92" t="str">
        <f>IF($AG531="","",INDEX($AL$8:$AL$21,INDEX($AC$8:$AC$1407,$AG531)+1))</f>
        <v/>
      </c>
      <c r="P531" s="109" t="str">
        <f>IF($AG531="","",INDEX($AD$8:$AD$1407,$AG531))</f>
        <v/>
      </c>
      <c r="Q531" s="92" t="str">
        <f>IF($AG531="","",INDEX($AM$8:$AM$21,INDEX($AC$8:$AC$1407,$AG531)+1))</f>
        <v/>
      </c>
      <c r="R531" s="92" t="str">
        <f>IF($AG531="","",IF($G531&gt;0,P_ToelCorrectie&amp;"",""))</f>
        <v/>
      </c>
      <c r="S531" s="15" t="str">
        <f>IF(J531="","",J531&amp;"|"&amp;E531&amp;"|"&amp;F531&amp;"|"&amp;I531&amp;"|"&amp;O531)</f>
        <v/>
      </c>
      <c r="T531" s="111" t="str">
        <f>IF(S531="","",IF(COUNTIFS(L_Sleutel,S531,L_Actief,1)=0,"",SUMIFS(L_Waarde,L_Sleutel,S531,L_Actief,1)))</f>
        <v/>
      </c>
      <c r="U531" s="111">
        <f>IF(OR(S531="",T531=""),0,P531-T531)</f>
        <v>0</v>
      </c>
      <c r="AB531" s="112" t="n">
        <v>38</v>
      </c>
      <c r="AC531" s="112" t="n">
        <v>5</v>
      </c>
      <c r="AD531" s="112" t="str">
        <f>VERW_Project!S43</f>
        <v/>
      </c>
      <c r="AE531" s="112">
        <f>IF(AND(VERW_Project!$A43&lt;&gt;"",ISNUMBER(AD531)),1,0)</f>
        <v>0</v>
      </c>
      <c r="AF531" s="112" t="str">
        <f>IF(AE531=1,SUM($AE$8:AE531),"")</f>
        <v/>
      </c>
      <c r="AG531" t="str">
        <f>IFERROR(MATCH(524,$AF$8:$AF$1407,0),"")</f>
        <v/>
      </c>
    </row>
    <row r="532">
      <c r="A532" s="92" t="str">
        <f>IF($AG532="","",P_ImportID)</f>
        <v/>
      </c>
      <c r="B532" s="92" t="str">
        <f>IF($AG532="","",IF(INDEX($AN$8:$AN$21,INDEX($AC$8:$AC$1407,$AG532)+1)="Z",P_BronZ,P_BronE))</f>
        <v/>
      </c>
      <c r="C532" s="108" t="str">
        <f>IF($AG532="","",P_Importdatum)</f>
        <v/>
      </c>
      <c r="D532" s="92" t="str">
        <f>IF($AG532="","",P_StatusVastleg)</f>
        <v/>
      </c>
      <c r="E532" s="92" t="str">
        <f>IF($AG532="","",P_UploadVJ)</f>
        <v/>
      </c>
      <c r="F532" s="92" t="str">
        <f>IF($AG532="","",P_UploadVersie)</f>
        <v/>
      </c>
      <c r="G532" s="92" t="str">
        <f>IF($AG532="","",IF(COUNTIFS(L_Sleutel,$S532,L_Status,"Vastgesteld")=0,0,_xlfn.MAXIFS(L_Revisie,L_Sleutel,$S532,L_Status,"Vastgesteld")+1))</f>
        <v/>
      </c>
      <c r="H532" s="108" t="str">
        <f>IF($AG532="","",P_Peildatum)</f>
        <v/>
      </c>
      <c r="I532" s="92" t="str">
        <f>IF($AG532="","",P_RJ+INDEX($AK$8:$AK$21,INDEX($AC$8:$AC$1407,$AG532)+1))</f>
        <v/>
      </c>
      <c r="J532" s="92" t="str">
        <f>IF($AG532="","",INDEX(V_WBS,INDEX($AB$8:$AB$1407,$AG532)))</f>
        <v/>
      </c>
      <c r="K532" s="92" t="str">
        <f>IF($AG532="","",INDEX(V_Projdef,INDEX($AB$8:$AB$1407,$AG532)))</f>
        <v/>
      </c>
      <c r="L532" s="92" t="str">
        <f>IF($AG532="","",INDEX(V_Naam,INDEX($AB$8:$AB$1407,$AG532)))</f>
        <v/>
      </c>
      <c r="M532" s="92" t="str">
        <f>IF($AG532="","",INDEX(V_Type,INDEX($AB$8:$AB$1407,$AG532)))</f>
        <v/>
      </c>
      <c r="N532" s="92" t="str">
        <f>IF($AG532="","",INDEX(V_IFRS,INDEX($AB$8:$AB$1407,$AG532)))</f>
        <v/>
      </c>
      <c r="O532" s="92" t="str">
        <f>IF($AG532="","",INDEX($AL$8:$AL$21,INDEX($AC$8:$AC$1407,$AG532)+1))</f>
        <v/>
      </c>
      <c r="P532" s="109" t="str">
        <f>IF($AG532="","",INDEX($AD$8:$AD$1407,$AG532))</f>
        <v/>
      </c>
      <c r="Q532" s="92" t="str">
        <f>IF($AG532="","",INDEX($AM$8:$AM$21,INDEX($AC$8:$AC$1407,$AG532)+1))</f>
        <v/>
      </c>
      <c r="R532" s="92" t="str">
        <f>IF($AG532="","",IF($G532&gt;0,P_ToelCorrectie&amp;"",""))</f>
        <v/>
      </c>
      <c r="S532" s="15" t="str">
        <f>IF(J532="","",J532&amp;"|"&amp;E532&amp;"|"&amp;F532&amp;"|"&amp;I532&amp;"|"&amp;O532)</f>
        <v/>
      </c>
      <c r="T532" s="111" t="str">
        <f>IF(S532="","",IF(COUNTIFS(L_Sleutel,S532,L_Actief,1)=0,"",SUMIFS(L_Waarde,L_Sleutel,S532,L_Actief,1)))</f>
        <v/>
      </c>
      <c r="U532" s="111">
        <f>IF(OR(S532="",T532=""),0,P532-T532)</f>
        <v>0</v>
      </c>
      <c r="AB532" s="112" t="n">
        <v>38</v>
      </c>
      <c r="AC532" s="112" t="n">
        <v>6</v>
      </c>
      <c r="AD532" s="112" t="str">
        <f>VERW_Project!BW43</f>
        <v/>
      </c>
      <c r="AE532" s="112">
        <f>IF(AND(VERW_Project!$A43&lt;&gt;"",ISNUMBER(AD532)),1,0)</f>
        <v>0</v>
      </c>
      <c r="AF532" s="112" t="str">
        <f>IF(AE532=1,SUM($AE$8:AE532),"")</f>
        <v/>
      </c>
      <c r="AG532" t="str">
        <f>IFERROR(MATCH(525,$AF$8:$AF$1407,0),"")</f>
        <v/>
      </c>
    </row>
    <row r="533">
      <c r="A533" s="92" t="str">
        <f>IF($AG533="","",P_ImportID)</f>
        <v/>
      </c>
      <c r="B533" s="92" t="str">
        <f>IF($AG533="","",IF(INDEX($AN$8:$AN$21,INDEX($AC$8:$AC$1407,$AG533)+1)="Z",P_BronZ,P_BronE))</f>
        <v/>
      </c>
      <c r="C533" s="108" t="str">
        <f>IF($AG533="","",P_Importdatum)</f>
        <v/>
      </c>
      <c r="D533" s="92" t="str">
        <f>IF($AG533="","",P_StatusVastleg)</f>
        <v/>
      </c>
      <c r="E533" s="92" t="str">
        <f>IF($AG533="","",P_UploadVJ)</f>
        <v/>
      </c>
      <c r="F533" s="92" t="str">
        <f>IF($AG533="","",P_UploadVersie)</f>
        <v/>
      </c>
      <c r="G533" s="92" t="str">
        <f>IF($AG533="","",IF(COUNTIFS(L_Sleutel,$S533,L_Status,"Vastgesteld")=0,0,_xlfn.MAXIFS(L_Revisie,L_Sleutel,$S533,L_Status,"Vastgesteld")+1))</f>
        <v/>
      </c>
      <c r="H533" s="108" t="str">
        <f>IF($AG533="","",P_Peildatum)</f>
        <v/>
      </c>
      <c r="I533" s="92" t="str">
        <f>IF($AG533="","",P_RJ+INDEX($AK$8:$AK$21,INDEX($AC$8:$AC$1407,$AG533)+1))</f>
        <v/>
      </c>
      <c r="J533" s="92" t="str">
        <f>IF($AG533="","",INDEX(V_WBS,INDEX($AB$8:$AB$1407,$AG533)))</f>
        <v/>
      </c>
      <c r="K533" s="92" t="str">
        <f>IF($AG533="","",INDEX(V_Projdef,INDEX($AB$8:$AB$1407,$AG533)))</f>
        <v/>
      </c>
      <c r="L533" s="92" t="str">
        <f>IF($AG533="","",INDEX(V_Naam,INDEX($AB$8:$AB$1407,$AG533)))</f>
        <v/>
      </c>
      <c r="M533" s="92" t="str">
        <f>IF($AG533="","",INDEX(V_Type,INDEX($AB$8:$AB$1407,$AG533)))</f>
        <v/>
      </c>
      <c r="N533" s="92" t="str">
        <f>IF($AG533="","",INDEX(V_IFRS,INDEX($AB$8:$AB$1407,$AG533)))</f>
        <v/>
      </c>
      <c r="O533" s="92" t="str">
        <f>IF($AG533="","",INDEX($AL$8:$AL$21,INDEX($AC$8:$AC$1407,$AG533)+1))</f>
        <v/>
      </c>
      <c r="P533" s="109" t="str">
        <f>IF($AG533="","",INDEX($AD$8:$AD$1407,$AG533))</f>
        <v/>
      </c>
      <c r="Q533" s="92" t="str">
        <f>IF($AG533="","",INDEX($AM$8:$AM$21,INDEX($AC$8:$AC$1407,$AG533)+1))</f>
        <v/>
      </c>
      <c r="R533" s="92" t="str">
        <f>IF($AG533="","",IF($G533&gt;0,P_ToelCorrectie&amp;"",""))</f>
        <v/>
      </c>
      <c r="S533" s="15" t="str">
        <f>IF(J533="","",J533&amp;"|"&amp;E533&amp;"|"&amp;F533&amp;"|"&amp;I533&amp;"|"&amp;O533)</f>
        <v/>
      </c>
      <c r="T533" s="111" t="str">
        <f>IF(S533="","",IF(COUNTIFS(L_Sleutel,S533,L_Actief,1)=0,"",SUMIFS(L_Waarde,L_Sleutel,S533,L_Actief,1)))</f>
        <v/>
      </c>
      <c r="U533" s="111">
        <f>IF(OR(S533="",T533=""),0,P533-T533)</f>
        <v>0</v>
      </c>
      <c r="AB533" s="112" t="n">
        <v>38</v>
      </c>
      <c r="AC533" s="112" t="n">
        <v>7</v>
      </c>
      <c r="AD533" s="112" t="str">
        <f>VERW_Project!AW43</f>
        <v/>
      </c>
      <c r="AE533" s="112">
        <f>IF(AND(VERW_Project!$A43&lt;&gt;"",ISNUMBER(AD533)),1,0)</f>
        <v>0</v>
      </c>
      <c r="AF533" s="112" t="str">
        <f>IF(AE533=1,SUM($AE$8:AE533),"")</f>
        <v/>
      </c>
      <c r="AG533" t="str">
        <f>IFERROR(MATCH(526,$AF$8:$AF$1407,0),"")</f>
        <v/>
      </c>
    </row>
    <row r="534">
      <c r="A534" s="92" t="str">
        <f>IF($AG534="","",P_ImportID)</f>
        <v/>
      </c>
      <c r="B534" s="92" t="str">
        <f>IF($AG534="","",IF(INDEX($AN$8:$AN$21,INDEX($AC$8:$AC$1407,$AG534)+1)="Z",P_BronZ,P_BronE))</f>
        <v/>
      </c>
      <c r="C534" s="108" t="str">
        <f>IF($AG534="","",P_Importdatum)</f>
        <v/>
      </c>
      <c r="D534" s="92" t="str">
        <f>IF($AG534="","",P_StatusVastleg)</f>
        <v/>
      </c>
      <c r="E534" s="92" t="str">
        <f>IF($AG534="","",P_UploadVJ)</f>
        <v/>
      </c>
      <c r="F534" s="92" t="str">
        <f>IF($AG534="","",P_UploadVersie)</f>
        <v/>
      </c>
      <c r="G534" s="92" t="str">
        <f>IF($AG534="","",IF(COUNTIFS(L_Sleutel,$S534,L_Status,"Vastgesteld")=0,0,_xlfn.MAXIFS(L_Revisie,L_Sleutel,$S534,L_Status,"Vastgesteld")+1))</f>
        <v/>
      </c>
      <c r="H534" s="108" t="str">
        <f>IF($AG534="","",P_Peildatum)</f>
        <v/>
      </c>
      <c r="I534" s="92" t="str">
        <f>IF($AG534="","",P_RJ+INDEX($AK$8:$AK$21,INDEX($AC$8:$AC$1407,$AG534)+1))</f>
        <v/>
      </c>
      <c r="J534" s="92" t="str">
        <f>IF($AG534="","",INDEX(V_WBS,INDEX($AB$8:$AB$1407,$AG534)))</f>
        <v/>
      </c>
      <c r="K534" s="92" t="str">
        <f>IF($AG534="","",INDEX(V_Projdef,INDEX($AB$8:$AB$1407,$AG534)))</f>
        <v/>
      </c>
      <c r="L534" s="92" t="str">
        <f>IF($AG534="","",INDEX(V_Naam,INDEX($AB$8:$AB$1407,$AG534)))</f>
        <v/>
      </c>
      <c r="M534" s="92" t="str">
        <f>IF($AG534="","",INDEX(V_Type,INDEX($AB$8:$AB$1407,$AG534)))</f>
        <v/>
      </c>
      <c r="N534" s="92" t="str">
        <f>IF($AG534="","",INDEX(V_IFRS,INDEX($AB$8:$AB$1407,$AG534)))</f>
        <v/>
      </c>
      <c r="O534" s="92" t="str">
        <f>IF($AG534="","",INDEX($AL$8:$AL$21,INDEX($AC$8:$AC$1407,$AG534)+1))</f>
        <v/>
      </c>
      <c r="P534" s="109" t="str">
        <f>IF($AG534="","",INDEX($AD$8:$AD$1407,$AG534))</f>
        <v/>
      </c>
      <c r="Q534" s="92" t="str">
        <f>IF($AG534="","",INDEX($AM$8:$AM$21,INDEX($AC$8:$AC$1407,$AG534)+1))</f>
        <v/>
      </c>
      <c r="R534" s="92" t="str">
        <f>IF($AG534="","",IF($G534&gt;0,P_ToelCorrectie&amp;"",""))</f>
        <v/>
      </c>
      <c r="S534" s="15" t="str">
        <f>IF(J534="","",J534&amp;"|"&amp;E534&amp;"|"&amp;F534&amp;"|"&amp;I534&amp;"|"&amp;O534)</f>
        <v/>
      </c>
      <c r="T534" s="111" t="str">
        <f>IF(S534="","",IF(COUNTIFS(L_Sleutel,S534,L_Actief,1)=0,"",SUMIFS(L_Waarde,L_Sleutel,S534,L_Actief,1)))</f>
        <v/>
      </c>
      <c r="U534" s="111">
        <f>IF(OR(S534="",T534=""),0,P534-T534)</f>
        <v>0</v>
      </c>
      <c r="AB534" s="112" t="n">
        <v>38</v>
      </c>
      <c r="AC534" s="112" t="n">
        <v>8</v>
      </c>
      <c r="AD534" s="112" t="str">
        <f>VERW_Project!BQ43</f>
        <v/>
      </c>
      <c r="AE534" s="112">
        <f>IF(AND(VERW_Project!$A43&lt;&gt;"",ISNUMBER(AD534)),1,0)</f>
        <v>0</v>
      </c>
      <c r="AF534" s="112" t="str">
        <f>IF(AE534=1,SUM($AE$8:AE534),"")</f>
        <v/>
      </c>
      <c r="AG534" t="str">
        <f>IFERROR(MATCH(527,$AF$8:$AF$1407,0),"")</f>
        <v/>
      </c>
    </row>
    <row r="535">
      <c r="A535" s="92" t="str">
        <f>IF($AG535="","",P_ImportID)</f>
        <v/>
      </c>
      <c r="B535" s="92" t="str">
        <f>IF($AG535="","",IF(INDEX($AN$8:$AN$21,INDEX($AC$8:$AC$1407,$AG535)+1)="Z",P_BronZ,P_BronE))</f>
        <v/>
      </c>
      <c r="C535" s="108" t="str">
        <f>IF($AG535="","",P_Importdatum)</f>
        <v/>
      </c>
      <c r="D535" s="92" t="str">
        <f>IF($AG535="","",P_StatusVastleg)</f>
        <v/>
      </c>
      <c r="E535" s="92" t="str">
        <f>IF($AG535="","",P_UploadVJ)</f>
        <v/>
      </c>
      <c r="F535" s="92" t="str">
        <f>IF($AG535="","",P_UploadVersie)</f>
        <v/>
      </c>
      <c r="G535" s="92" t="str">
        <f>IF($AG535="","",IF(COUNTIFS(L_Sleutel,$S535,L_Status,"Vastgesteld")=0,0,_xlfn.MAXIFS(L_Revisie,L_Sleutel,$S535,L_Status,"Vastgesteld")+1))</f>
        <v/>
      </c>
      <c r="H535" s="108" t="str">
        <f>IF($AG535="","",P_Peildatum)</f>
        <v/>
      </c>
      <c r="I535" s="92" t="str">
        <f>IF($AG535="","",P_RJ+INDEX($AK$8:$AK$21,INDEX($AC$8:$AC$1407,$AG535)+1))</f>
        <v/>
      </c>
      <c r="J535" s="92" t="str">
        <f>IF($AG535="","",INDEX(V_WBS,INDEX($AB$8:$AB$1407,$AG535)))</f>
        <v/>
      </c>
      <c r="K535" s="92" t="str">
        <f>IF($AG535="","",INDEX(V_Projdef,INDEX($AB$8:$AB$1407,$AG535)))</f>
        <v/>
      </c>
      <c r="L535" s="92" t="str">
        <f>IF($AG535="","",INDEX(V_Naam,INDEX($AB$8:$AB$1407,$AG535)))</f>
        <v/>
      </c>
      <c r="M535" s="92" t="str">
        <f>IF($AG535="","",INDEX(V_Type,INDEX($AB$8:$AB$1407,$AG535)))</f>
        <v/>
      </c>
      <c r="N535" s="92" t="str">
        <f>IF($AG535="","",INDEX(V_IFRS,INDEX($AB$8:$AB$1407,$AG535)))</f>
        <v/>
      </c>
      <c r="O535" s="92" t="str">
        <f>IF($AG535="","",INDEX($AL$8:$AL$21,INDEX($AC$8:$AC$1407,$AG535)+1))</f>
        <v/>
      </c>
      <c r="P535" s="109" t="str">
        <f>IF($AG535="","",INDEX($AD$8:$AD$1407,$AG535))</f>
        <v/>
      </c>
      <c r="Q535" s="92" t="str">
        <f>IF($AG535="","",INDEX($AM$8:$AM$21,INDEX($AC$8:$AC$1407,$AG535)+1))</f>
        <v/>
      </c>
      <c r="R535" s="92" t="str">
        <f>IF($AG535="","",IF($G535&gt;0,P_ToelCorrectie&amp;"",""))</f>
        <v/>
      </c>
      <c r="S535" s="15" t="str">
        <f>IF(J535="","",J535&amp;"|"&amp;E535&amp;"|"&amp;F535&amp;"|"&amp;I535&amp;"|"&amp;O535)</f>
        <v/>
      </c>
      <c r="T535" s="111" t="str">
        <f>IF(S535="","",IF(COUNTIFS(L_Sleutel,S535,L_Actief,1)=0,"",SUMIFS(L_Waarde,L_Sleutel,S535,L_Actief,1)))</f>
        <v/>
      </c>
      <c r="U535" s="111">
        <f>IF(OR(S535="",T535=""),0,P535-T535)</f>
        <v>0</v>
      </c>
      <c r="AB535" s="112" t="n">
        <v>38</v>
      </c>
      <c r="AC535" s="112" t="n">
        <v>9</v>
      </c>
      <c r="AD535" s="112" t="str">
        <f>VERW_Project!BR43</f>
        <v/>
      </c>
      <c r="AE535" s="112">
        <f>IF(AND(VERW_Project!$A43&lt;&gt;"",ISNUMBER(AD535)),1,0)</f>
        <v>0</v>
      </c>
      <c r="AF535" s="112" t="str">
        <f>IF(AE535=1,SUM($AE$8:AE535),"")</f>
        <v/>
      </c>
      <c r="AG535" t="str">
        <f>IFERROR(MATCH(528,$AF$8:$AF$1407,0),"")</f>
        <v/>
      </c>
    </row>
    <row r="536">
      <c r="A536" s="92" t="str">
        <f>IF($AG536="","",P_ImportID)</f>
        <v/>
      </c>
      <c r="B536" s="92" t="str">
        <f>IF($AG536="","",IF(INDEX($AN$8:$AN$21,INDEX($AC$8:$AC$1407,$AG536)+1)="Z",P_BronZ,P_BronE))</f>
        <v/>
      </c>
      <c r="C536" s="108" t="str">
        <f>IF($AG536="","",P_Importdatum)</f>
        <v/>
      </c>
      <c r="D536" s="92" t="str">
        <f>IF($AG536="","",P_StatusVastleg)</f>
        <v/>
      </c>
      <c r="E536" s="92" t="str">
        <f>IF($AG536="","",P_UploadVJ)</f>
        <v/>
      </c>
      <c r="F536" s="92" t="str">
        <f>IF($AG536="","",P_UploadVersie)</f>
        <v/>
      </c>
      <c r="G536" s="92" t="str">
        <f>IF($AG536="","",IF(COUNTIFS(L_Sleutel,$S536,L_Status,"Vastgesteld")=0,0,_xlfn.MAXIFS(L_Revisie,L_Sleutel,$S536,L_Status,"Vastgesteld")+1))</f>
        <v/>
      </c>
      <c r="H536" s="108" t="str">
        <f>IF($AG536="","",P_Peildatum)</f>
        <v/>
      </c>
      <c r="I536" s="92" t="str">
        <f>IF($AG536="","",P_RJ+INDEX($AK$8:$AK$21,INDEX($AC$8:$AC$1407,$AG536)+1))</f>
        <v/>
      </c>
      <c r="J536" s="92" t="str">
        <f>IF($AG536="","",INDEX(V_WBS,INDEX($AB$8:$AB$1407,$AG536)))</f>
        <v/>
      </c>
      <c r="K536" s="92" t="str">
        <f>IF($AG536="","",INDEX(V_Projdef,INDEX($AB$8:$AB$1407,$AG536)))</f>
        <v/>
      </c>
      <c r="L536" s="92" t="str">
        <f>IF($AG536="","",INDEX(V_Naam,INDEX($AB$8:$AB$1407,$AG536)))</f>
        <v/>
      </c>
      <c r="M536" s="92" t="str">
        <f>IF($AG536="","",INDEX(V_Type,INDEX($AB$8:$AB$1407,$AG536)))</f>
        <v/>
      </c>
      <c r="N536" s="92" t="str">
        <f>IF($AG536="","",INDEX(V_IFRS,INDEX($AB$8:$AB$1407,$AG536)))</f>
        <v/>
      </c>
      <c r="O536" s="92" t="str">
        <f>IF($AG536="","",INDEX($AL$8:$AL$21,INDEX($AC$8:$AC$1407,$AG536)+1))</f>
        <v/>
      </c>
      <c r="P536" s="109" t="str">
        <f>IF($AG536="","",INDEX($AD$8:$AD$1407,$AG536))</f>
        <v/>
      </c>
      <c r="Q536" s="92" t="str">
        <f>IF($AG536="","",INDEX($AM$8:$AM$21,INDEX($AC$8:$AC$1407,$AG536)+1))</f>
        <v/>
      </c>
      <c r="R536" s="92" t="str">
        <f>IF($AG536="","",IF($G536&gt;0,P_ToelCorrectie&amp;"",""))</f>
        <v/>
      </c>
      <c r="S536" s="15" t="str">
        <f>IF(J536="","",J536&amp;"|"&amp;E536&amp;"|"&amp;F536&amp;"|"&amp;I536&amp;"|"&amp;O536)</f>
        <v/>
      </c>
      <c r="T536" s="111" t="str">
        <f>IF(S536="","",IF(COUNTIFS(L_Sleutel,S536,L_Actief,1)=0,"",SUMIFS(L_Waarde,L_Sleutel,S536,L_Actief,1)))</f>
        <v/>
      </c>
      <c r="U536" s="111">
        <f>IF(OR(S536="",T536=""),0,P536-T536)</f>
        <v>0</v>
      </c>
      <c r="AB536" s="112" t="n">
        <v>38</v>
      </c>
      <c r="AC536" s="112" t="n">
        <v>10</v>
      </c>
      <c r="AD536" s="112" t="str">
        <f>VERW_Project!BS43</f>
        <v/>
      </c>
      <c r="AE536" s="112">
        <f>IF(AND(VERW_Project!$A43&lt;&gt;"",ISNUMBER(AD536)),1,0)</f>
        <v>0</v>
      </c>
      <c r="AF536" s="112" t="str">
        <f>IF(AE536=1,SUM($AE$8:AE536),"")</f>
        <v/>
      </c>
      <c r="AG536" t="str">
        <f>IFERROR(MATCH(529,$AF$8:$AF$1407,0),"")</f>
        <v/>
      </c>
    </row>
    <row r="537">
      <c r="A537" s="92" t="str">
        <f>IF($AG537="","",P_ImportID)</f>
        <v/>
      </c>
      <c r="B537" s="92" t="str">
        <f>IF($AG537="","",IF(INDEX($AN$8:$AN$21,INDEX($AC$8:$AC$1407,$AG537)+1)="Z",P_BronZ,P_BronE))</f>
        <v/>
      </c>
      <c r="C537" s="108" t="str">
        <f>IF($AG537="","",P_Importdatum)</f>
        <v/>
      </c>
      <c r="D537" s="92" t="str">
        <f>IF($AG537="","",P_StatusVastleg)</f>
        <v/>
      </c>
      <c r="E537" s="92" t="str">
        <f>IF($AG537="","",P_UploadVJ)</f>
        <v/>
      </c>
      <c r="F537" s="92" t="str">
        <f>IF($AG537="","",P_UploadVersie)</f>
        <v/>
      </c>
      <c r="G537" s="92" t="str">
        <f>IF($AG537="","",IF(COUNTIFS(L_Sleutel,$S537,L_Status,"Vastgesteld")=0,0,_xlfn.MAXIFS(L_Revisie,L_Sleutel,$S537,L_Status,"Vastgesteld")+1))</f>
        <v/>
      </c>
      <c r="H537" s="108" t="str">
        <f>IF($AG537="","",P_Peildatum)</f>
        <v/>
      </c>
      <c r="I537" s="92" t="str">
        <f>IF($AG537="","",P_RJ+INDEX($AK$8:$AK$21,INDEX($AC$8:$AC$1407,$AG537)+1))</f>
        <v/>
      </c>
      <c r="J537" s="92" t="str">
        <f>IF($AG537="","",INDEX(V_WBS,INDEX($AB$8:$AB$1407,$AG537)))</f>
        <v/>
      </c>
      <c r="K537" s="92" t="str">
        <f>IF($AG537="","",INDEX(V_Projdef,INDEX($AB$8:$AB$1407,$AG537)))</f>
        <v/>
      </c>
      <c r="L537" s="92" t="str">
        <f>IF($AG537="","",INDEX(V_Naam,INDEX($AB$8:$AB$1407,$AG537)))</f>
        <v/>
      </c>
      <c r="M537" s="92" t="str">
        <f>IF($AG537="","",INDEX(V_Type,INDEX($AB$8:$AB$1407,$AG537)))</f>
        <v/>
      </c>
      <c r="N537" s="92" t="str">
        <f>IF($AG537="","",INDEX(V_IFRS,INDEX($AB$8:$AB$1407,$AG537)))</f>
        <v/>
      </c>
      <c r="O537" s="92" t="str">
        <f>IF($AG537="","",INDEX($AL$8:$AL$21,INDEX($AC$8:$AC$1407,$AG537)+1))</f>
        <v/>
      </c>
      <c r="P537" s="109" t="str">
        <f>IF($AG537="","",INDEX($AD$8:$AD$1407,$AG537))</f>
        <v/>
      </c>
      <c r="Q537" s="92" t="str">
        <f>IF($AG537="","",INDEX($AM$8:$AM$21,INDEX($AC$8:$AC$1407,$AG537)+1))</f>
        <v/>
      </c>
      <c r="R537" s="92" t="str">
        <f>IF($AG537="","",IF($G537&gt;0,P_ToelCorrectie&amp;"",""))</f>
        <v/>
      </c>
      <c r="S537" s="15" t="str">
        <f>IF(J537="","",J537&amp;"|"&amp;E537&amp;"|"&amp;F537&amp;"|"&amp;I537&amp;"|"&amp;O537)</f>
        <v/>
      </c>
      <c r="T537" s="111" t="str">
        <f>IF(S537="","",IF(COUNTIFS(L_Sleutel,S537,L_Actief,1)=0,"",SUMIFS(L_Waarde,L_Sleutel,S537,L_Actief,1)))</f>
        <v/>
      </c>
      <c r="U537" s="111">
        <f>IF(OR(S537="",T537=""),0,P537-T537)</f>
        <v>0</v>
      </c>
      <c r="AB537" s="112" t="n">
        <v>38</v>
      </c>
      <c r="AC537" s="112" t="n">
        <v>11</v>
      </c>
      <c r="AD537" s="112" t="str">
        <f>VERW_Project!BT43</f>
        <v/>
      </c>
      <c r="AE537" s="112">
        <f>IF(AND(VERW_Project!$A43&lt;&gt;"",ISNUMBER(AD537)),1,0)</f>
        <v>0</v>
      </c>
      <c r="AF537" s="112" t="str">
        <f>IF(AE537=1,SUM($AE$8:AE537),"")</f>
        <v/>
      </c>
      <c r="AG537" t="str">
        <f>IFERROR(MATCH(530,$AF$8:$AF$1407,0),"")</f>
        <v/>
      </c>
    </row>
    <row r="538">
      <c r="A538" s="92" t="str">
        <f>IF($AG538="","",P_ImportID)</f>
        <v/>
      </c>
      <c r="B538" s="92" t="str">
        <f>IF($AG538="","",IF(INDEX($AN$8:$AN$21,INDEX($AC$8:$AC$1407,$AG538)+1)="Z",P_BronZ,P_BronE))</f>
        <v/>
      </c>
      <c r="C538" s="108" t="str">
        <f>IF($AG538="","",P_Importdatum)</f>
        <v/>
      </c>
      <c r="D538" s="92" t="str">
        <f>IF($AG538="","",P_StatusVastleg)</f>
        <v/>
      </c>
      <c r="E538" s="92" t="str">
        <f>IF($AG538="","",P_UploadVJ)</f>
        <v/>
      </c>
      <c r="F538" s="92" t="str">
        <f>IF($AG538="","",P_UploadVersie)</f>
        <v/>
      </c>
      <c r="G538" s="92" t="str">
        <f>IF($AG538="","",IF(COUNTIFS(L_Sleutel,$S538,L_Status,"Vastgesteld")=0,0,_xlfn.MAXIFS(L_Revisie,L_Sleutel,$S538,L_Status,"Vastgesteld")+1))</f>
        <v/>
      </c>
      <c r="H538" s="108" t="str">
        <f>IF($AG538="","",P_Peildatum)</f>
        <v/>
      </c>
      <c r="I538" s="92" t="str">
        <f>IF($AG538="","",P_RJ+INDEX($AK$8:$AK$21,INDEX($AC$8:$AC$1407,$AG538)+1))</f>
        <v/>
      </c>
      <c r="J538" s="92" t="str">
        <f>IF($AG538="","",INDEX(V_WBS,INDEX($AB$8:$AB$1407,$AG538)))</f>
        <v/>
      </c>
      <c r="K538" s="92" t="str">
        <f>IF($AG538="","",INDEX(V_Projdef,INDEX($AB$8:$AB$1407,$AG538)))</f>
        <v/>
      </c>
      <c r="L538" s="92" t="str">
        <f>IF($AG538="","",INDEX(V_Naam,INDEX($AB$8:$AB$1407,$AG538)))</f>
        <v/>
      </c>
      <c r="M538" s="92" t="str">
        <f>IF($AG538="","",INDEX(V_Type,INDEX($AB$8:$AB$1407,$AG538)))</f>
        <v/>
      </c>
      <c r="N538" s="92" t="str">
        <f>IF($AG538="","",INDEX(V_IFRS,INDEX($AB$8:$AB$1407,$AG538)))</f>
        <v/>
      </c>
      <c r="O538" s="92" t="str">
        <f>IF($AG538="","",INDEX($AL$8:$AL$21,INDEX($AC$8:$AC$1407,$AG538)+1))</f>
        <v/>
      </c>
      <c r="P538" s="109" t="str">
        <f>IF($AG538="","",INDEX($AD$8:$AD$1407,$AG538))</f>
        <v/>
      </c>
      <c r="Q538" s="92" t="str">
        <f>IF($AG538="","",INDEX($AM$8:$AM$21,INDEX($AC$8:$AC$1407,$AG538)+1))</f>
        <v/>
      </c>
      <c r="R538" s="92" t="str">
        <f>IF($AG538="","",IF($G538&gt;0,P_ToelCorrectie&amp;"",""))</f>
        <v/>
      </c>
      <c r="S538" s="15" t="str">
        <f>IF(J538="","",J538&amp;"|"&amp;E538&amp;"|"&amp;F538&amp;"|"&amp;I538&amp;"|"&amp;O538)</f>
        <v/>
      </c>
      <c r="T538" s="111" t="str">
        <f>IF(S538="","",IF(COUNTIFS(L_Sleutel,S538,L_Actief,1)=0,"",SUMIFS(L_Waarde,L_Sleutel,S538,L_Actief,1)))</f>
        <v/>
      </c>
      <c r="U538" s="111">
        <f>IF(OR(S538="",T538=""),0,P538-T538)</f>
        <v>0</v>
      </c>
      <c r="AB538" s="112" t="n">
        <v>38</v>
      </c>
      <c r="AC538" s="112" t="n">
        <v>12</v>
      </c>
      <c r="AD538" s="112" t="str">
        <f>VERW_Project!BU43</f>
        <v/>
      </c>
      <c r="AE538" s="112">
        <f>IF(AND(VERW_Project!$A43&lt;&gt;"",ISNUMBER(AD538)),1,0)</f>
        <v>0</v>
      </c>
      <c r="AF538" s="112" t="str">
        <f>IF(AE538=1,SUM($AE$8:AE538),"")</f>
        <v/>
      </c>
      <c r="AG538" t="str">
        <f>IFERROR(MATCH(531,$AF$8:$AF$1407,0),"")</f>
        <v/>
      </c>
    </row>
    <row r="539">
      <c r="A539" s="92" t="str">
        <f>IF($AG539="","",P_ImportID)</f>
        <v/>
      </c>
      <c r="B539" s="92" t="str">
        <f>IF($AG539="","",IF(INDEX($AN$8:$AN$21,INDEX($AC$8:$AC$1407,$AG539)+1)="Z",P_BronZ,P_BronE))</f>
        <v/>
      </c>
      <c r="C539" s="108" t="str">
        <f>IF($AG539="","",P_Importdatum)</f>
        <v/>
      </c>
      <c r="D539" s="92" t="str">
        <f>IF($AG539="","",P_StatusVastleg)</f>
        <v/>
      </c>
      <c r="E539" s="92" t="str">
        <f>IF($AG539="","",P_UploadVJ)</f>
        <v/>
      </c>
      <c r="F539" s="92" t="str">
        <f>IF($AG539="","",P_UploadVersie)</f>
        <v/>
      </c>
      <c r="G539" s="92" t="str">
        <f>IF($AG539="","",IF(COUNTIFS(L_Sleutel,$S539,L_Status,"Vastgesteld")=0,0,_xlfn.MAXIFS(L_Revisie,L_Sleutel,$S539,L_Status,"Vastgesteld")+1))</f>
        <v/>
      </c>
      <c r="H539" s="108" t="str">
        <f>IF($AG539="","",P_Peildatum)</f>
        <v/>
      </c>
      <c r="I539" s="92" t="str">
        <f>IF($AG539="","",P_RJ+INDEX($AK$8:$AK$21,INDEX($AC$8:$AC$1407,$AG539)+1))</f>
        <v/>
      </c>
      <c r="J539" s="92" t="str">
        <f>IF($AG539="","",INDEX(V_WBS,INDEX($AB$8:$AB$1407,$AG539)))</f>
        <v/>
      </c>
      <c r="K539" s="92" t="str">
        <f>IF($AG539="","",INDEX(V_Projdef,INDEX($AB$8:$AB$1407,$AG539)))</f>
        <v/>
      </c>
      <c r="L539" s="92" t="str">
        <f>IF($AG539="","",INDEX(V_Naam,INDEX($AB$8:$AB$1407,$AG539)))</f>
        <v/>
      </c>
      <c r="M539" s="92" t="str">
        <f>IF($AG539="","",INDEX(V_Type,INDEX($AB$8:$AB$1407,$AG539)))</f>
        <v/>
      </c>
      <c r="N539" s="92" t="str">
        <f>IF($AG539="","",INDEX(V_IFRS,INDEX($AB$8:$AB$1407,$AG539)))</f>
        <v/>
      </c>
      <c r="O539" s="92" t="str">
        <f>IF($AG539="","",INDEX($AL$8:$AL$21,INDEX($AC$8:$AC$1407,$AG539)+1))</f>
        <v/>
      </c>
      <c r="P539" s="109" t="str">
        <f>IF($AG539="","",INDEX($AD$8:$AD$1407,$AG539))</f>
        <v/>
      </c>
      <c r="Q539" s="92" t="str">
        <f>IF($AG539="","",INDEX($AM$8:$AM$21,INDEX($AC$8:$AC$1407,$AG539)+1))</f>
        <v/>
      </c>
      <c r="R539" s="92" t="str">
        <f>IF($AG539="","",IF($G539&gt;0,P_ToelCorrectie&amp;"",""))</f>
        <v/>
      </c>
      <c r="S539" s="15" t="str">
        <f>IF(J539="","",J539&amp;"|"&amp;E539&amp;"|"&amp;F539&amp;"|"&amp;I539&amp;"|"&amp;O539)</f>
        <v/>
      </c>
      <c r="T539" s="111" t="str">
        <f>IF(S539="","",IF(COUNTIFS(L_Sleutel,S539,L_Actief,1)=0,"",SUMIFS(L_Waarde,L_Sleutel,S539,L_Actief,1)))</f>
        <v/>
      </c>
      <c r="U539" s="111">
        <f>IF(OR(S539="",T539=""),0,P539-T539)</f>
        <v>0</v>
      </c>
      <c r="AB539" s="112" t="n">
        <v>38</v>
      </c>
      <c r="AC539" s="112" t="n">
        <v>13</v>
      </c>
      <c r="AD539" s="112" t="str">
        <f>VERW_Project!BX43</f>
        <v/>
      </c>
      <c r="AE539" s="112">
        <f>IF(AND(VERW_Project!$A43&lt;&gt;"",ISNUMBER(AD539)),1,0)</f>
        <v>0</v>
      </c>
      <c r="AF539" s="112" t="str">
        <f>IF(AE539=1,SUM($AE$8:AE539),"")</f>
        <v/>
      </c>
      <c r="AG539" t="str">
        <f>IFERROR(MATCH(532,$AF$8:$AF$1407,0),"")</f>
        <v/>
      </c>
    </row>
    <row r="540">
      <c r="A540" s="92" t="str">
        <f>IF($AG540="","",P_ImportID)</f>
        <v/>
      </c>
      <c r="B540" s="92" t="str">
        <f>IF($AG540="","",IF(INDEX($AN$8:$AN$21,INDEX($AC$8:$AC$1407,$AG540)+1)="Z",P_BronZ,P_BronE))</f>
        <v/>
      </c>
      <c r="C540" s="108" t="str">
        <f>IF($AG540="","",P_Importdatum)</f>
        <v/>
      </c>
      <c r="D540" s="92" t="str">
        <f>IF($AG540="","",P_StatusVastleg)</f>
        <v/>
      </c>
      <c r="E540" s="92" t="str">
        <f>IF($AG540="","",P_UploadVJ)</f>
        <v/>
      </c>
      <c r="F540" s="92" t="str">
        <f>IF($AG540="","",P_UploadVersie)</f>
        <v/>
      </c>
      <c r="G540" s="92" t="str">
        <f>IF($AG540="","",IF(COUNTIFS(L_Sleutel,$S540,L_Status,"Vastgesteld")=0,0,_xlfn.MAXIFS(L_Revisie,L_Sleutel,$S540,L_Status,"Vastgesteld")+1))</f>
        <v/>
      </c>
      <c r="H540" s="108" t="str">
        <f>IF($AG540="","",P_Peildatum)</f>
        <v/>
      </c>
      <c r="I540" s="92" t="str">
        <f>IF($AG540="","",P_RJ+INDEX($AK$8:$AK$21,INDEX($AC$8:$AC$1407,$AG540)+1))</f>
        <v/>
      </c>
      <c r="J540" s="92" t="str">
        <f>IF($AG540="","",INDEX(V_WBS,INDEX($AB$8:$AB$1407,$AG540)))</f>
        <v/>
      </c>
      <c r="K540" s="92" t="str">
        <f>IF($AG540="","",INDEX(V_Projdef,INDEX($AB$8:$AB$1407,$AG540)))</f>
        <v/>
      </c>
      <c r="L540" s="92" t="str">
        <f>IF($AG540="","",INDEX(V_Naam,INDEX($AB$8:$AB$1407,$AG540)))</f>
        <v/>
      </c>
      <c r="M540" s="92" t="str">
        <f>IF($AG540="","",INDEX(V_Type,INDEX($AB$8:$AB$1407,$AG540)))</f>
        <v/>
      </c>
      <c r="N540" s="92" t="str">
        <f>IF($AG540="","",INDEX(V_IFRS,INDEX($AB$8:$AB$1407,$AG540)))</f>
        <v/>
      </c>
      <c r="O540" s="92" t="str">
        <f>IF($AG540="","",INDEX($AL$8:$AL$21,INDEX($AC$8:$AC$1407,$AG540)+1))</f>
        <v/>
      </c>
      <c r="P540" s="109" t="str">
        <f>IF($AG540="","",INDEX($AD$8:$AD$1407,$AG540))</f>
        <v/>
      </c>
      <c r="Q540" s="92" t="str">
        <f>IF($AG540="","",INDEX($AM$8:$AM$21,INDEX($AC$8:$AC$1407,$AG540)+1))</f>
        <v/>
      </c>
      <c r="R540" s="92" t="str">
        <f>IF($AG540="","",IF($G540&gt;0,P_ToelCorrectie&amp;"",""))</f>
        <v/>
      </c>
      <c r="S540" s="15" t="str">
        <f>IF(J540="","",J540&amp;"|"&amp;E540&amp;"|"&amp;F540&amp;"|"&amp;I540&amp;"|"&amp;O540)</f>
        <v/>
      </c>
      <c r="T540" s="111" t="str">
        <f>IF(S540="","",IF(COUNTIFS(L_Sleutel,S540,L_Actief,1)=0,"",SUMIFS(L_Waarde,L_Sleutel,S540,L_Actief,1)))</f>
        <v/>
      </c>
      <c r="U540" s="111">
        <f>IF(OR(S540="",T540=""),0,P540-T540)</f>
        <v>0</v>
      </c>
      <c r="AB540" s="112" t="n">
        <v>39</v>
      </c>
      <c r="AC540" s="112" t="n">
        <v>0</v>
      </c>
      <c r="AD540" s="112" t="str">
        <f>VERW_Project!P44</f>
        <v/>
      </c>
      <c r="AE540" s="112">
        <f>IF(AND(VERW_Project!$A44&lt;&gt;"",ISNUMBER(AD540)),1,0)</f>
        <v>0</v>
      </c>
      <c r="AF540" s="112" t="str">
        <f>IF(AE540=1,SUM($AE$8:AE540),"")</f>
        <v/>
      </c>
      <c r="AG540" t="str">
        <f>IFERROR(MATCH(533,$AF$8:$AF$1407,0),"")</f>
        <v/>
      </c>
    </row>
    <row r="541">
      <c r="A541" s="92" t="str">
        <f>IF($AG541="","",P_ImportID)</f>
        <v/>
      </c>
      <c r="B541" s="92" t="str">
        <f>IF($AG541="","",IF(INDEX($AN$8:$AN$21,INDEX($AC$8:$AC$1407,$AG541)+1)="Z",P_BronZ,P_BronE))</f>
        <v/>
      </c>
      <c r="C541" s="108" t="str">
        <f>IF($AG541="","",P_Importdatum)</f>
        <v/>
      </c>
      <c r="D541" s="92" t="str">
        <f>IF($AG541="","",P_StatusVastleg)</f>
        <v/>
      </c>
      <c r="E541" s="92" t="str">
        <f>IF($AG541="","",P_UploadVJ)</f>
        <v/>
      </c>
      <c r="F541" s="92" t="str">
        <f>IF($AG541="","",P_UploadVersie)</f>
        <v/>
      </c>
      <c r="G541" s="92" t="str">
        <f>IF($AG541="","",IF(COUNTIFS(L_Sleutel,$S541,L_Status,"Vastgesteld")=0,0,_xlfn.MAXIFS(L_Revisie,L_Sleutel,$S541,L_Status,"Vastgesteld")+1))</f>
        <v/>
      </c>
      <c r="H541" s="108" t="str">
        <f>IF($AG541="","",P_Peildatum)</f>
        <v/>
      </c>
      <c r="I541" s="92" t="str">
        <f>IF($AG541="","",P_RJ+INDEX($AK$8:$AK$21,INDEX($AC$8:$AC$1407,$AG541)+1))</f>
        <v/>
      </c>
      <c r="J541" s="92" t="str">
        <f>IF($AG541="","",INDEX(V_WBS,INDEX($AB$8:$AB$1407,$AG541)))</f>
        <v/>
      </c>
      <c r="K541" s="92" t="str">
        <f>IF($AG541="","",INDEX(V_Projdef,INDEX($AB$8:$AB$1407,$AG541)))</f>
        <v/>
      </c>
      <c r="L541" s="92" t="str">
        <f>IF($AG541="","",INDEX(V_Naam,INDEX($AB$8:$AB$1407,$AG541)))</f>
        <v/>
      </c>
      <c r="M541" s="92" t="str">
        <f>IF($AG541="","",INDEX(V_Type,INDEX($AB$8:$AB$1407,$AG541)))</f>
        <v/>
      </c>
      <c r="N541" s="92" t="str">
        <f>IF($AG541="","",INDEX(V_IFRS,INDEX($AB$8:$AB$1407,$AG541)))</f>
        <v/>
      </c>
      <c r="O541" s="92" t="str">
        <f>IF($AG541="","",INDEX($AL$8:$AL$21,INDEX($AC$8:$AC$1407,$AG541)+1))</f>
        <v/>
      </c>
      <c r="P541" s="109" t="str">
        <f>IF($AG541="","",INDEX($AD$8:$AD$1407,$AG541))</f>
        <v/>
      </c>
      <c r="Q541" s="92" t="str">
        <f>IF($AG541="","",INDEX($AM$8:$AM$21,INDEX($AC$8:$AC$1407,$AG541)+1))</f>
        <v/>
      </c>
      <c r="R541" s="92" t="str">
        <f>IF($AG541="","",IF($G541&gt;0,P_ToelCorrectie&amp;"",""))</f>
        <v/>
      </c>
      <c r="S541" s="15" t="str">
        <f>IF(J541="","",J541&amp;"|"&amp;E541&amp;"|"&amp;F541&amp;"|"&amp;I541&amp;"|"&amp;O541)</f>
        <v/>
      </c>
      <c r="T541" s="111" t="str">
        <f>IF(S541="","",IF(COUNTIFS(L_Sleutel,S541,L_Actief,1)=0,"",SUMIFS(L_Waarde,L_Sleutel,S541,L_Actief,1)))</f>
        <v/>
      </c>
      <c r="U541" s="111">
        <f>IF(OR(S541="",T541=""),0,P541-T541)</f>
        <v>0</v>
      </c>
      <c r="AB541" s="112" t="n">
        <v>39</v>
      </c>
      <c r="AC541" s="112" t="n">
        <v>1</v>
      </c>
      <c r="AD541" s="112" t="str">
        <f>VERW_Project!Q44</f>
        <v/>
      </c>
      <c r="AE541" s="112">
        <f>IF(AND(VERW_Project!$A44&lt;&gt;"",ISNUMBER(AD541)),1,0)</f>
        <v>0</v>
      </c>
      <c r="AF541" s="112" t="str">
        <f>IF(AE541=1,SUM($AE$8:AE541),"")</f>
        <v/>
      </c>
      <c r="AG541" t="str">
        <f>IFERROR(MATCH(534,$AF$8:$AF$1407,0),"")</f>
        <v/>
      </c>
    </row>
    <row r="542">
      <c r="A542" s="92" t="str">
        <f>IF($AG542="","",P_ImportID)</f>
        <v/>
      </c>
      <c r="B542" s="92" t="str">
        <f>IF($AG542="","",IF(INDEX($AN$8:$AN$21,INDEX($AC$8:$AC$1407,$AG542)+1)="Z",P_BronZ,P_BronE))</f>
        <v/>
      </c>
      <c r="C542" s="108" t="str">
        <f>IF($AG542="","",P_Importdatum)</f>
        <v/>
      </c>
      <c r="D542" s="92" t="str">
        <f>IF($AG542="","",P_StatusVastleg)</f>
        <v/>
      </c>
      <c r="E542" s="92" t="str">
        <f>IF($AG542="","",P_UploadVJ)</f>
        <v/>
      </c>
      <c r="F542" s="92" t="str">
        <f>IF($AG542="","",P_UploadVersie)</f>
        <v/>
      </c>
      <c r="G542" s="92" t="str">
        <f>IF($AG542="","",IF(COUNTIFS(L_Sleutel,$S542,L_Status,"Vastgesteld")=0,0,_xlfn.MAXIFS(L_Revisie,L_Sleutel,$S542,L_Status,"Vastgesteld")+1))</f>
        <v/>
      </c>
      <c r="H542" s="108" t="str">
        <f>IF($AG542="","",P_Peildatum)</f>
        <v/>
      </c>
      <c r="I542" s="92" t="str">
        <f>IF($AG542="","",P_RJ+INDEX($AK$8:$AK$21,INDEX($AC$8:$AC$1407,$AG542)+1))</f>
        <v/>
      </c>
      <c r="J542" s="92" t="str">
        <f>IF($AG542="","",INDEX(V_WBS,INDEX($AB$8:$AB$1407,$AG542)))</f>
        <v/>
      </c>
      <c r="K542" s="92" t="str">
        <f>IF($AG542="","",INDEX(V_Projdef,INDEX($AB$8:$AB$1407,$AG542)))</f>
        <v/>
      </c>
      <c r="L542" s="92" t="str">
        <f>IF($AG542="","",INDEX(V_Naam,INDEX($AB$8:$AB$1407,$AG542)))</f>
        <v/>
      </c>
      <c r="M542" s="92" t="str">
        <f>IF($AG542="","",INDEX(V_Type,INDEX($AB$8:$AB$1407,$AG542)))</f>
        <v/>
      </c>
      <c r="N542" s="92" t="str">
        <f>IF($AG542="","",INDEX(V_IFRS,INDEX($AB$8:$AB$1407,$AG542)))</f>
        <v/>
      </c>
      <c r="O542" s="92" t="str">
        <f>IF($AG542="","",INDEX($AL$8:$AL$21,INDEX($AC$8:$AC$1407,$AG542)+1))</f>
        <v/>
      </c>
      <c r="P542" s="109" t="str">
        <f>IF($AG542="","",INDEX($AD$8:$AD$1407,$AG542))</f>
        <v/>
      </c>
      <c r="Q542" s="92" t="str">
        <f>IF($AG542="","",INDEX($AM$8:$AM$21,INDEX($AC$8:$AC$1407,$AG542)+1))</f>
        <v/>
      </c>
      <c r="R542" s="92" t="str">
        <f>IF($AG542="","",IF($G542&gt;0,P_ToelCorrectie&amp;"",""))</f>
        <v/>
      </c>
      <c r="S542" s="15" t="str">
        <f>IF(J542="","",J542&amp;"|"&amp;E542&amp;"|"&amp;F542&amp;"|"&amp;I542&amp;"|"&amp;O542)</f>
        <v/>
      </c>
      <c r="T542" s="111" t="str">
        <f>IF(S542="","",IF(COUNTIFS(L_Sleutel,S542,L_Actief,1)=0,"",SUMIFS(L_Waarde,L_Sleutel,S542,L_Actief,1)))</f>
        <v/>
      </c>
      <c r="U542" s="111">
        <f>IF(OR(S542="",T542=""),0,P542-T542)</f>
        <v>0</v>
      </c>
      <c r="AB542" s="112" t="n">
        <v>39</v>
      </c>
      <c r="AC542" s="112" t="n">
        <v>2</v>
      </c>
      <c r="AD542" s="112" t="str">
        <f>VERW_Project!L44</f>
        <v/>
      </c>
      <c r="AE542" s="112">
        <f>IF(AND(VERW_Project!$A44&lt;&gt;"",ISNUMBER(AD542)),1,0)</f>
        <v>0</v>
      </c>
      <c r="AF542" s="112" t="str">
        <f>IF(AE542=1,SUM($AE$8:AE542),"")</f>
        <v/>
      </c>
      <c r="AG542" t="str">
        <f>IFERROR(MATCH(535,$AF$8:$AF$1407,0),"")</f>
        <v/>
      </c>
    </row>
    <row r="543">
      <c r="A543" s="92" t="str">
        <f>IF($AG543="","",P_ImportID)</f>
        <v/>
      </c>
      <c r="B543" s="92" t="str">
        <f>IF($AG543="","",IF(INDEX($AN$8:$AN$21,INDEX($AC$8:$AC$1407,$AG543)+1)="Z",P_BronZ,P_BronE))</f>
        <v/>
      </c>
      <c r="C543" s="108" t="str">
        <f>IF($AG543="","",P_Importdatum)</f>
        <v/>
      </c>
      <c r="D543" s="92" t="str">
        <f>IF($AG543="","",P_StatusVastleg)</f>
        <v/>
      </c>
      <c r="E543" s="92" t="str">
        <f>IF($AG543="","",P_UploadVJ)</f>
        <v/>
      </c>
      <c r="F543" s="92" t="str">
        <f>IF($AG543="","",P_UploadVersie)</f>
        <v/>
      </c>
      <c r="G543" s="92" t="str">
        <f>IF($AG543="","",IF(COUNTIFS(L_Sleutel,$S543,L_Status,"Vastgesteld")=0,0,_xlfn.MAXIFS(L_Revisie,L_Sleutel,$S543,L_Status,"Vastgesteld")+1))</f>
        <v/>
      </c>
      <c r="H543" s="108" t="str">
        <f>IF($AG543="","",P_Peildatum)</f>
        <v/>
      </c>
      <c r="I543" s="92" t="str">
        <f>IF($AG543="","",P_RJ+INDEX($AK$8:$AK$21,INDEX($AC$8:$AC$1407,$AG543)+1))</f>
        <v/>
      </c>
      <c r="J543" s="92" t="str">
        <f>IF($AG543="","",INDEX(V_WBS,INDEX($AB$8:$AB$1407,$AG543)))</f>
        <v/>
      </c>
      <c r="K543" s="92" t="str">
        <f>IF($AG543="","",INDEX(V_Projdef,INDEX($AB$8:$AB$1407,$AG543)))</f>
        <v/>
      </c>
      <c r="L543" s="92" t="str">
        <f>IF($AG543="","",INDEX(V_Naam,INDEX($AB$8:$AB$1407,$AG543)))</f>
        <v/>
      </c>
      <c r="M543" s="92" t="str">
        <f>IF($AG543="","",INDEX(V_Type,INDEX($AB$8:$AB$1407,$AG543)))</f>
        <v/>
      </c>
      <c r="N543" s="92" t="str">
        <f>IF($AG543="","",INDEX(V_IFRS,INDEX($AB$8:$AB$1407,$AG543)))</f>
        <v/>
      </c>
      <c r="O543" s="92" t="str">
        <f>IF($AG543="","",INDEX($AL$8:$AL$21,INDEX($AC$8:$AC$1407,$AG543)+1))</f>
        <v/>
      </c>
      <c r="P543" s="109" t="str">
        <f>IF($AG543="","",INDEX($AD$8:$AD$1407,$AG543))</f>
        <v/>
      </c>
      <c r="Q543" s="92" t="str">
        <f>IF($AG543="","",INDEX($AM$8:$AM$21,INDEX($AC$8:$AC$1407,$AG543)+1))</f>
        <v/>
      </c>
      <c r="R543" s="92" t="str">
        <f>IF($AG543="","",IF($G543&gt;0,P_ToelCorrectie&amp;"",""))</f>
        <v/>
      </c>
      <c r="S543" s="15" t="str">
        <f>IF(J543="","",J543&amp;"|"&amp;E543&amp;"|"&amp;F543&amp;"|"&amp;I543&amp;"|"&amp;O543)</f>
        <v/>
      </c>
      <c r="T543" s="111" t="str">
        <f>IF(S543="","",IF(COUNTIFS(L_Sleutel,S543,L_Actief,1)=0,"",SUMIFS(L_Waarde,L_Sleutel,S543,L_Actief,1)))</f>
        <v/>
      </c>
      <c r="U543" s="111">
        <f>IF(OR(S543="",T543=""),0,P543-T543)</f>
        <v>0</v>
      </c>
      <c r="AB543" s="112" t="n">
        <v>39</v>
      </c>
      <c r="AC543" s="112" t="n">
        <v>3</v>
      </c>
      <c r="AD543" s="112" t="str">
        <f>VERW_Project!M44</f>
        <v/>
      </c>
      <c r="AE543" s="112">
        <f>IF(AND(VERW_Project!$A44&lt;&gt;"",ISNUMBER(AD543)),1,0)</f>
        <v>0</v>
      </c>
      <c r="AF543" s="112" t="str">
        <f>IF(AE543=1,SUM($AE$8:AE543),"")</f>
        <v/>
      </c>
      <c r="AG543" t="str">
        <f>IFERROR(MATCH(536,$AF$8:$AF$1407,0),"")</f>
        <v/>
      </c>
    </row>
    <row r="544">
      <c r="A544" s="92" t="str">
        <f>IF($AG544="","",P_ImportID)</f>
        <v/>
      </c>
      <c r="B544" s="92" t="str">
        <f>IF($AG544="","",IF(INDEX($AN$8:$AN$21,INDEX($AC$8:$AC$1407,$AG544)+1)="Z",P_BronZ,P_BronE))</f>
        <v/>
      </c>
      <c r="C544" s="108" t="str">
        <f>IF($AG544="","",P_Importdatum)</f>
        <v/>
      </c>
      <c r="D544" s="92" t="str">
        <f>IF($AG544="","",P_StatusVastleg)</f>
        <v/>
      </c>
      <c r="E544" s="92" t="str">
        <f>IF($AG544="","",P_UploadVJ)</f>
        <v/>
      </c>
      <c r="F544" s="92" t="str">
        <f>IF($AG544="","",P_UploadVersie)</f>
        <v/>
      </c>
      <c r="G544" s="92" t="str">
        <f>IF($AG544="","",IF(COUNTIFS(L_Sleutel,$S544,L_Status,"Vastgesteld")=0,0,_xlfn.MAXIFS(L_Revisie,L_Sleutel,$S544,L_Status,"Vastgesteld")+1))</f>
        <v/>
      </c>
      <c r="H544" s="108" t="str">
        <f>IF($AG544="","",P_Peildatum)</f>
        <v/>
      </c>
      <c r="I544" s="92" t="str">
        <f>IF($AG544="","",P_RJ+INDEX($AK$8:$AK$21,INDEX($AC$8:$AC$1407,$AG544)+1))</f>
        <v/>
      </c>
      <c r="J544" s="92" t="str">
        <f>IF($AG544="","",INDEX(V_WBS,INDEX($AB$8:$AB$1407,$AG544)))</f>
        <v/>
      </c>
      <c r="K544" s="92" t="str">
        <f>IF($AG544="","",INDEX(V_Projdef,INDEX($AB$8:$AB$1407,$AG544)))</f>
        <v/>
      </c>
      <c r="L544" s="92" t="str">
        <f>IF($AG544="","",INDEX(V_Naam,INDEX($AB$8:$AB$1407,$AG544)))</f>
        <v/>
      </c>
      <c r="M544" s="92" t="str">
        <f>IF($AG544="","",INDEX(V_Type,INDEX($AB$8:$AB$1407,$AG544)))</f>
        <v/>
      </c>
      <c r="N544" s="92" t="str">
        <f>IF($AG544="","",INDEX(V_IFRS,INDEX($AB$8:$AB$1407,$AG544)))</f>
        <v/>
      </c>
      <c r="O544" s="92" t="str">
        <f>IF($AG544="","",INDEX($AL$8:$AL$21,INDEX($AC$8:$AC$1407,$AG544)+1))</f>
        <v/>
      </c>
      <c r="P544" s="109" t="str">
        <f>IF($AG544="","",INDEX($AD$8:$AD$1407,$AG544))</f>
        <v/>
      </c>
      <c r="Q544" s="92" t="str">
        <f>IF($AG544="","",INDEX($AM$8:$AM$21,INDEX($AC$8:$AC$1407,$AG544)+1))</f>
        <v/>
      </c>
      <c r="R544" s="92" t="str">
        <f>IF($AG544="","",IF($G544&gt;0,P_ToelCorrectie&amp;"",""))</f>
        <v/>
      </c>
      <c r="S544" s="15" t="str">
        <f>IF(J544="","",J544&amp;"|"&amp;E544&amp;"|"&amp;F544&amp;"|"&amp;I544&amp;"|"&amp;O544)</f>
        <v/>
      </c>
      <c r="T544" s="111" t="str">
        <f>IF(S544="","",IF(COUNTIFS(L_Sleutel,S544,L_Actief,1)=0,"",SUMIFS(L_Waarde,L_Sleutel,S544,L_Actief,1)))</f>
        <v/>
      </c>
      <c r="U544" s="111">
        <f>IF(OR(S544="",T544=""),0,P544-T544)</f>
        <v>0</v>
      </c>
      <c r="AB544" s="112" t="n">
        <v>39</v>
      </c>
      <c r="AC544" s="112" t="n">
        <v>4</v>
      </c>
      <c r="AD544" s="112" t="str">
        <f>VERW_Project!R44</f>
        <v/>
      </c>
      <c r="AE544" s="112">
        <f>IF(AND(VERW_Project!$A44&lt;&gt;"",ISNUMBER(AD544)),1,0)</f>
        <v>0</v>
      </c>
      <c r="AF544" s="112" t="str">
        <f>IF(AE544=1,SUM($AE$8:AE544),"")</f>
        <v/>
      </c>
      <c r="AG544" t="str">
        <f>IFERROR(MATCH(537,$AF$8:$AF$1407,0),"")</f>
        <v/>
      </c>
    </row>
    <row r="545">
      <c r="A545" s="92" t="str">
        <f>IF($AG545="","",P_ImportID)</f>
        <v/>
      </c>
      <c r="B545" s="92" t="str">
        <f>IF($AG545="","",IF(INDEX($AN$8:$AN$21,INDEX($AC$8:$AC$1407,$AG545)+1)="Z",P_BronZ,P_BronE))</f>
        <v/>
      </c>
      <c r="C545" s="108" t="str">
        <f>IF($AG545="","",P_Importdatum)</f>
        <v/>
      </c>
      <c r="D545" s="92" t="str">
        <f>IF($AG545="","",P_StatusVastleg)</f>
        <v/>
      </c>
      <c r="E545" s="92" t="str">
        <f>IF($AG545="","",P_UploadVJ)</f>
        <v/>
      </c>
      <c r="F545" s="92" t="str">
        <f>IF($AG545="","",P_UploadVersie)</f>
        <v/>
      </c>
      <c r="G545" s="92" t="str">
        <f>IF($AG545="","",IF(COUNTIFS(L_Sleutel,$S545,L_Status,"Vastgesteld")=0,0,_xlfn.MAXIFS(L_Revisie,L_Sleutel,$S545,L_Status,"Vastgesteld")+1))</f>
        <v/>
      </c>
      <c r="H545" s="108" t="str">
        <f>IF($AG545="","",P_Peildatum)</f>
        <v/>
      </c>
      <c r="I545" s="92" t="str">
        <f>IF($AG545="","",P_RJ+INDEX($AK$8:$AK$21,INDEX($AC$8:$AC$1407,$AG545)+1))</f>
        <v/>
      </c>
      <c r="J545" s="92" t="str">
        <f>IF($AG545="","",INDEX(V_WBS,INDEX($AB$8:$AB$1407,$AG545)))</f>
        <v/>
      </c>
      <c r="K545" s="92" t="str">
        <f>IF($AG545="","",INDEX(V_Projdef,INDEX($AB$8:$AB$1407,$AG545)))</f>
        <v/>
      </c>
      <c r="L545" s="92" t="str">
        <f>IF($AG545="","",INDEX(V_Naam,INDEX($AB$8:$AB$1407,$AG545)))</f>
        <v/>
      </c>
      <c r="M545" s="92" t="str">
        <f>IF($AG545="","",INDEX(V_Type,INDEX($AB$8:$AB$1407,$AG545)))</f>
        <v/>
      </c>
      <c r="N545" s="92" t="str">
        <f>IF($AG545="","",INDEX(V_IFRS,INDEX($AB$8:$AB$1407,$AG545)))</f>
        <v/>
      </c>
      <c r="O545" s="92" t="str">
        <f>IF($AG545="","",INDEX($AL$8:$AL$21,INDEX($AC$8:$AC$1407,$AG545)+1))</f>
        <v/>
      </c>
      <c r="P545" s="109" t="str">
        <f>IF($AG545="","",INDEX($AD$8:$AD$1407,$AG545))</f>
        <v/>
      </c>
      <c r="Q545" s="92" t="str">
        <f>IF($AG545="","",INDEX($AM$8:$AM$21,INDEX($AC$8:$AC$1407,$AG545)+1))</f>
        <v/>
      </c>
      <c r="R545" s="92" t="str">
        <f>IF($AG545="","",IF($G545&gt;0,P_ToelCorrectie&amp;"",""))</f>
        <v/>
      </c>
      <c r="S545" s="15" t="str">
        <f>IF(J545="","",J545&amp;"|"&amp;E545&amp;"|"&amp;F545&amp;"|"&amp;I545&amp;"|"&amp;O545)</f>
        <v/>
      </c>
      <c r="T545" s="111" t="str">
        <f>IF(S545="","",IF(COUNTIFS(L_Sleutel,S545,L_Actief,1)=0,"",SUMIFS(L_Waarde,L_Sleutel,S545,L_Actief,1)))</f>
        <v/>
      </c>
      <c r="U545" s="111">
        <f>IF(OR(S545="",T545=""),0,P545-T545)</f>
        <v>0</v>
      </c>
      <c r="AB545" s="112" t="n">
        <v>39</v>
      </c>
      <c r="AC545" s="112" t="n">
        <v>5</v>
      </c>
      <c r="AD545" s="112" t="str">
        <f>VERW_Project!S44</f>
        <v/>
      </c>
      <c r="AE545" s="112">
        <f>IF(AND(VERW_Project!$A44&lt;&gt;"",ISNUMBER(AD545)),1,0)</f>
        <v>0</v>
      </c>
      <c r="AF545" s="112" t="str">
        <f>IF(AE545=1,SUM($AE$8:AE545),"")</f>
        <v/>
      </c>
      <c r="AG545" t="str">
        <f>IFERROR(MATCH(538,$AF$8:$AF$1407,0),"")</f>
        <v/>
      </c>
    </row>
    <row r="546">
      <c r="A546" s="92" t="str">
        <f>IF($AG546="","",P_ImportID)</f>
        <v/>
      </c>
      <c r="B546" s="92" t="str">
        <f>IF($AG546="","",IF(INDEX($AN$8:$AN$21,INDEX($AC$8:$AC$1407,$AG546)+1)="Z",P_BronZ,P_BronE))</f>
        <v/>
      </c>
      <c r="C546" s="108" t="str">
        <f>IF($AG546="","",P_Importdatum)</f>
        <v/>
      </c>
      <c r="D546" s="92" t="str">
        <f>IF($AG546="","",P_StatusVastleg)</f>
        <v/>
      </c>
      <c r="E546" s="92" t="str">
        <f>IF($AG546="","",P_UploadVJ)</f>
        <v/>
      </c>
      <c r="F546" s="92" t="str">
        <f>IF($AG546="","",P_UploadVersie)</f>
        <v/>
      </c>
      <c r="G546" s="92" t="str">
        <f>IF($AG546="","",IF(COUNTIFS(L_Sleutel,$S546,L_Status,"Vastgesteld")=0,0,_xlfn.MAXIFS(L_Revisie,L_Sleutel,$S546,L_Status,"Vastgesteld")+1))</f>
        <v/>
      </c>
      <c r="H546" s="108" t="str">
        <f>IF($AG546="","",P_Peildatum)</f>
        <v/>
      </c>
      <c r="I546" s="92" t="str">
        <f>IF($AG546="","",P_RJ+INDEX($AK$8:$AK$21,INDEX($AC$8:$AC$1407,$AG546)+1))</f>
        <v/>
      </c>
      <c r="J546" s="92" t="str">
        <f>IF($AG546="","",INDEX(V_WBS,INDEX($AB$8:$AB$1407,$AG546)))</f>
        <v/>
      </c>
      <c r="K546" s="92" t="str">
        <f>IF($AG546="","",INDEX(V_Projdef,INDEX($AB$8:$AB$1407,$AG546)))</f>
        <v/>
      </c>
      <c r="L546" s="92" t="str">
        <f>IF($AG546="","",INDEX(V_Naam,INDEX($AB$8:$AB$1407,$AG546)))</f>
        <v/>
      </c>
      <c r="M546" s="92" t="str">
        <f>IF($AG546="","",INDEX(V_Type,INDEX($AB$8:$AB$1407,$AG546)))</f>
        <v/>
      </c>
      <c r="N546" s="92" t="str">
        <f>IF($AG546="","",INDEX(V_IFRS,INDEX($AB$8:$AB$1407,$AG546)))</f>
        <v/>
      </c>
      <c r="O546" s="92" t="str">
        <f>IF($AG546="","",INDEX($AL$8:$AL$21,INDEX($AC$8:$AC$1407,$AG546)+1))</f>
        <v/>
      </c>
      <c r="P546" s="109" t="str">
        <f>IF($AG546="","",INDEX($AD$8:$AD$1407,$AG546))</f>
        <v/>
      </c>
      <c r="Q546" s="92" t="str">
        <f>IF($AG546="","",INDEX($AM$8:$AM$21,INDEX($AC$8:$AC$1407,$AG546)+1))</f>
        <v/>
      </c>
      <c r="R546" s="92" t="str">
        <f>IF($AG546="","",IF($G546&gt;0,P_ToelCorrectie&amp;"",""))</f>
        <v/>
      </c>
      <c r="S546" s="15" t="str">
        <f>IF(J546="","",J546&amp;"|"&amp;E546&amp;"|"&amp;F546&amp;"|"&amp;I546&amp;"|"&amp;O546)</f>
        <v/>
      </c>
      <c r="T546" s="111" t="str">
        <f>IF(S546="","",IF(COUNTIFS(L_Sleutel,S546,L_Actief,1)=0,"",SUMIFS(L_Waarde,L_Sleutel,S546,L_Actief,1)))</f>
        <v/>
      </c>
      <c r="U546" s="111">
        <f>IF(OR(S546="",T546=""),0,P546-T546)</f>
        <v>0</v>
      </c>
      <c r="AB546" s="112" t="n">
        <v>39</v>
      </c>
      <c r="AC546" s="112" t="n">
        <v>6</v>
      </c>
      <c r="AD546" s="112" t="str">
        <f>VERW_Project!BW44</f>
        <v/>
      </c>
      <c r="AE546" s="112">
        <f>IF(AND(VERW_Project!$A44&lt;&gt;"",ISNUMBER(AD546)),1,0)</f>
        <v>0</v>
      </c>
      <c r="AF546" s="112" t="str">
        <f>IF(AE546=1,SUM($AE$8:AE546),"")</f>
        <v/>
      </c>
      <c r="AG546" t="str">
        <f>IFERROR(MATCH(539,$AF$8:$AF$1407,0),"")</f>
        <v/>
      </c>
    </row>
    <row r="547">
      <c r="A547" s="92" t="str">
        <f>IF($AG547="","",P_ImportID)</f>
        <v/>
      </c>
      <c r="B547" s="92" t="str">
        <f>IF($AG547="","",IF(INDEX($AN$8:$AN$21,INDEX($AC$8:$AC$1407,$AG547)+1)="Z",P_BronZ,P_BronE))</f>
        <v/>
      </c>
      <c r="C547" s="108" t="str">
        <f>IF($AG547="","",P_Importdatum)</f>
        <v/>
      </c>
      <c r="D547" s="92" t="str">
        <f>IF($AG547="","",P_StatusVastleg)</f>
        <v/>
      </c>
      <c r="E547" s="92" t="str">
        <f>IF($AG547="","",P_UploadVJ)</f>
        <v/>
      </c>
      <c r="F547" s="92" t="str">
        <f>IF($AG547="","",P_UploadVersie)</f>
        <v/>
      </c>
      <c r="G547" s="92" t="str">
        <f>IF($AG547="","",IF(COUNTIFS(L_Sleutel,$S547,L_Status,"Vastgesteld")=0,0,_xlfn.MAXIFS(L_Revisie,L_Sleutel,$S547,L_Status,"Vastgesteld")+1))</f>
        <v/>
      </c>
      <c r="H547" s="108" t="str">
        <f>IF($AG547="","",P_Peildatum)</f>
        <v/>
      </c>
      <c r="I547" s="92" t="str">
        <f>IF($AG547="","",P_RJ+INDEX($AK$8:$AK$21,INDEX($AC$8:$AC$1407,$AG547)+1))</f>
        <v/>
      </c>
      <c r="J547" s="92" t="str">
        <f>IF($AG547="","",INDEX(V_WBS,INDEX($AB$8:$AB$1407,$AG547)))</f>
        <v/>
      </c>
      <c r="K547" s="92" t="str">
        <f>IF($AG547="","",INDEX(V_Projdef,INDEX($AB$8:$AB$1407,$AG547)))</f>
        <v/>
      </c>
      <c r="L547" s="92" t="str">
        <f>IF($AG547="","",INDEX(V_Naam,INDEX($AB$8:$AB$1407,$AG547)))</f>
        <v/>
      </c>
      <c r="M547" s="92" t="str">
        <f>IF($AG547="","",INDEX(V_Type,INDEX($AB$8:$AB$1407,$AG547)))</f>
        <v/>
      </c>
      <c r="N547" s="92" t="str">
        <f>IF($AG547="","",INDEX(V_IFRS,INDEX($AB$8:$AB$1407,$AG547)))</f>
        <v/>
      </c>
      <c r="O547" s="92" t="str">
        <f>IF($AG547="","",INDEX($AL$8:$AL$21,INDEX($AC$8:$AC$1407,$AG547)+1))</f>
        <v/>
      </c>
      <c r="P547" s="109" t="str">
        <f>IF($AG547="","",INDEX($AD$8:$AD$1407,$AG547))</f>
        <v/>
      </c>
      <c r="Q547" s="92" t="str">
        <f>IF($AG547="","",INDEX($AM$8:$AM$21,INDEX($AC$8:$AC$1407,$AG547)+1))</f>
        <v/>
      </c>
      <c r="R547" s="92" t="str">
        <f>IF($AG547="","",IF($G547&gt;0,P_ToelCorrectie&amp;"",""))</f>
        <v/>
      </c>
      <c r="S547" s="15" t="str">
        <f>IF(J547="","",J547&amp;"|"&amp;E547&amp;"|"&amp;F547&amp;"|"&amp;I547&amp;"|"&amp;O547)</f>
        <v/>
      </c>
      <c r="T547" s="111" t="str">
        <f>IF(S547="","",IF(COUNTIFS(L_Sleutel,S547,L_Actief,1)=0,"",SUMIFS(L_Waarde,L_Sleutel,S547,L_Actief,1)))</f>
        <v/>
      </c>
      <c r="U547" s="111">
        <f>IF(OR(S547="",T547=""),0,P547-T547)</f>
        <v>0</v>
      </c>
      <c r="AB547" s="112" t="n">
        <v>39</v>
      </c>
      <c r="AC547" s="112" t="n">
        <v>7</v>
      </c>
      <c r="AD547" s="112" t="str">
        <f>VERW_Project!AW44</f>
        <v/>
      </c>
      <c r="AE547" s="112">
        <f>IF(AND(VERW_Project!$A44&lt;&gt;"",ISNUMBER(AD547)),1,0)</f>
        <v>0</v>
      </c>
      <c r="AF547" s="112" t="str">
        <f>IF(AE547=1,SUM($AE$8:AE547),"")</f>
        <v/>
      </c>
      <c r="AG547" t="str">
        <f>IFERROR(MATCH(540,$AF$8:$AF$1407,0),"")</f>
        <v/>
      </c>
    </row>
    <row r="548">
      <c r="A548" s="92" t="str">
        <f>IF($AG548="","",P_ImportID)</f>
        <v/>
      </c>
      <c r="B548" s="92" t="str">
        <f>IF($AG548="","",IF(INDEX($AN$8:$AN$21,INDEX($AC$8:$AC$1407,$AG548)+1)="Z",P_BronZ,P_BronE))</f>
        <v/>
      </c>
      <c r="C548" s="108" t="str">
        <f>IF($AG548="","",P_Importdatum)</f>
        <v/>
      </c>
      <c r="D548" s="92" t="str">
        <f>IF($AG548="","",P_StatusVastleg)</f>
        <v/>
      </c>
      <c r="E548" s="92" t="str">
        <f>IF($AG548="","",P_UploadVJ)</f>
        <v/>
      </c>
      <c r="F548" s="92" t="str">
        <f>IF($AG548="","",P_UploadVersie)</f>
        <v/>
      </c>
      <c r="G548" s="92" t="str">
        <f>IF($AG548="","",IF(COUNTIFS(L_Sleutel,$S548,L_Status,"Vastgesteld")=0,0,_xlfn.MAXIFS(L_Revisie,L_Sleutel,$S548,L_Status,"Vastgesteld")+1))</f>
        <v/>
      </c>
      <c r="H548" s="108" t="str">
        <f>IF($AG548="","",P_Peildatum)</f>
        <v/>
      </c>
      <c r="I548" s="92" t="str">
        <f>IF($AG548="","",P_RJ+INDEX($AK$8:$AK$21,INDEX($AC$8:$AC$1407,$AG548)+1))</f>
        <v/>
      </c>
      <c r="J548" s="92" t="str">
        <f>IF($AG548="","",INDEX(V_WBS,INDEX($AB$8:$AB$1407,$AG548)))</f>
        <v/>
      </c>
      <c r="K548" s="92" t="str">
        <f>IF($AG548="","",INDEX(V_Projdef,INDEX($AB$8:$AB$1407,$AG548)))</f>
        <v/>
      </c>
      <c r="L548" s="92" t="str">
        <f>IF($AG548="","",INDEX(V_Naam,INDEX($AB$8:$AB$1407,$AG548)))</f>
        <v/>
      </c>
      <c r="M548" s="92" t="str">
        <f>IF($AG548="","",INDEX(V_Type,INDEX($AB$8:$AB$1407,$AG548)))</f>
        <v/>
      </c>
      <c r="N548" s="92" t="str">
        <f>IF($AG548="","",INDEX(V_IFRS,INDEX($AB$8:$AB$1407,$AG548)))</f>
        <v/>
      </c>
      <c r="O548" s="92" t="str">
        <f>IF($AG548="","",INDEX($AL$8:$AL$21,INDEX($AC$8:$AC$1407,$AG548)+1))</f>
        <v/>
      </c>
      <c r="P548" s="109" t="str">
        <f>IF($AG548="","",INDEX($AD$8:$AD$1407,$AG548))</f>
        <v/>
      </c>
      <c r="Q548" s="92" t="str">
        <f>IF($AG548="","",INDEX($AM$8:$AM$21,INDEX($AC$8:$AC$1407,$AG548)+1))</f>
        <v/>
      </c>
      <c r="R548" s="92" t="str">
        <f>IF($AG548="","",IF($G548&gt;0,P_ToelCorrectie&amp;"",""))</f>
        <v/>
      </c>
      <c r="S548" s="15" t="str">
        <f>IF(J548="","",J548&amp;"|"&amp;E548&amp;"|"&amp;F548&amp;"|"&amp;I548&amp;"|"&amp;O548)</f>
        <v/>
      </c>
      <c r="T548" s="111" t="str">
        <f>IF(S548="","",IF(COUNTIFS(L_Sleutel,S548,L_Actief,1)=0,"",SUMIFS(L_Waarde,L_Sleutel,S548,L_Actief,1)))</f>
        <v/>
      </c>
      <c r="U548" s="111">
        <f>IF(OR(S548="",T548=""),0,P548-T548)</f>
        <v>0</v>
      </c>
      <c r="AB548" s="112" t="n">
        <v>39</v>
      </c>
      <c r="AC548" s="112" t="n">
        <v>8</v>
      </c>
      <c r="AD548" s="112" t="str">
        <f>VERW_Project!BQ44</f>
        <v/>
      </c>
      <c r="AE548" s="112">
        <f>IF(AND(VERW_Project!$A44&lt;&gt;"",ISNUMBER(AD548)),1,0)</f>
        <v>0</v>
      </c>
      <c r="AF548" s="112" t="str">
        <f>IF(AE548=1,SUM($AE$8:AE548),"")</f>
        <v/>
      </c>
      <c r="AG548" t="str">
        <f>IFERROR(MATCH(541,$AF$8:$AF$1407,0),"")</f>
        <v/>
      </c>
    </row>
    <row r="549">
      <c r="A549" s="92" t="str">
        <f>IF($AG549="","",P_ImportID)</f>
        <v/>
      </c>
      <c r="B549" s="92" t="str">
        <f>IF($AG549="","",IF(INDEX($AN$8:$AN$21,INDEX($AC$8:$AC$1407,$AG549)+1)="Z",P_BronZ,P_BronE))</f>
        <v/>
      </c>
      <c r="C549" s="108" t="str">
        <f>IF($AG549="","",P_Importdatum)</f>
        <v/>
      </c>
      <c r="D549" s="92" t="str">
        <f>IF($AG549="","",P_StatusVastleg)</f>
        <v/>
      </c>
      <c r="E549" s="92" t="str">
        <f>IF($AG549="","",P_UploadVJ)</f>
        <v/>
      </c>
      <c r="F549" s="92" t="str">
        <f>IF($AG549="","",P_UploadVersie)</f>
        <v/>
      </c>
      <c r="G549" s="92" t="str">
        <f>IF($AG549="","",IF(COUNTIFS(L_Sleutel,$S549,L_Status,"Vastgesteld")=0,0,_xlfn.MAXIFS(L_Revisie,L_Sleutel,$S549,L_Status,"Vastgesteld")+1))</f>
        <v/>
      </c>
      <c r="H549" s="108" t="str">
        <f>IF($AG549="","",P_Peildatum)</f>
        <v/>
      </c>
      <c r="I549" s="92" t="str">
        <f>IF($AG549="","",P_RJ+INDEX($AK$8:$AK$21,INDEX($AC$8:$AC$1407,$AG549)+1))</f>
        <v/>
      </c>
      <c r="J549" s="92" t="str">
        <f>IF($AG549="","",INDEX(V_WBS,INDEX($AB$8:$AB$1407,$AG549)))</f>
        <v/>
      </c>
      <c r="K549" s="92" t="str">
        <f>IF($AG549="","",INDEX(V_Projdef,INDEX($AB$8:$AB$1407,$AG549)))</f>
        <v/>
      </c>
      <c r="L549" s="92" t="str">
        <f>IF($AG549="","",INDEX(V_Naam,INDEX($AB$8:$AB$1407,$AG549)))</f>
        <v/>
      </c>
      <c r="M549" s="92" t="str">
        <f>IF($AG549="","",INDEX(V_Type,INDEX($AB$8:$AB$1407,$AG549)))</f>
        <v/>
      </c>
      <c r="N549" s="92" t="str">
        <f>IF($AG549="","",INDEX(V_IFRS,INDEX($AB$8:$AB$1407,$AG549)))</f>
        <v/>
      </c>
      <c r="O549" s="92" t="str">
        <f>IF($AG549="","",INDEX($AL$8:$AL$21,INDEX($AC$8:$AC$1407,$AG549)+1))</f>
        <v/>
      </c>
      <c r="P549" s="109" t="str">
        <f>IF($AG549="","",INDEX($AD$8:$AD$1407,$AG549))</f>
        <v/>
      </c>
      <c r="Q549" s="92" t="str">
        <f>IF($AG549="","",INDEX($AM$8:$AM$21,INDEX($AC$8:$AC$1407,$AG549)+1))</f>
        <v/>
      </c>
      <c r="R549" s="92" t="str">
        <f>IF($AG549="","",IF($G549&gt;0,P_ToelCorrectie&amp;"",""))</f>
        <v/>
      </c>
      <c r="S549" s="15" t="str">
        <f>IF(J549="","",J549&amp;"|"&amp;E549&amp;"|"&amp;F549&amp;"|"&amp;I549&amp;"|"&amp;O549)</f>
        <v/>
      </c>
      <c r="T549" s="111" t="str">
        <f>IF(S549="","",IF(COUNTIFS(L_Sleutel,S549,L_Actief,1)=0,"",SUMIFS(L_Waarde,L_Sleutel,S549,L_Actief,1)))</f>
        <v/>
      </c>
      <c r="U549" s="111">
        <f>IF(OR(S549="",T549=""),0,P549-T549)</f>
        <v>0</v>
      </c>
      <c r="AB549" s="112" t="n">
        <v>39</v>
      </c>
      <c r="AC549" s="112" t="n">
        <v>9</v>
      </c>
      <c r="AD549" s="112" t="str">
        <f>VERW_Project!BR44</f>
        <v/>
      </c>
      <c r="AE549" s="112">
        <f>IF(AND(VERW_Project!$A44&lt;&gt;"",ISNUMBER(AD549)),1,0)</f>
        <v>0</v>
      </c>
      <c r="AF549" s="112" t="str">
        <f>IF(AE549=1,SUM($AE$8:AE549),"")</f>
        <v/>
      </c>
      <c r="AG549" t="str">
        <f>IFERROR(MATCH(542,$AF$8:$AF$1407,0),"")</f>
        <v/>
      </c>
    </row>
    <row r="550">
      <c r="A550" s="92" t="str">
        <f>IF($AG550="","",P_ImportID)</f>
        <v/>
      </c>
      <c r="B550" s="92" t="str">
        <f>IF($AG550="","",IF(INDEX($AN$8:$AN$21,INDEX($AC$8:$AC$1407,$AG550)+1)="Z",P_BronZ,P_BronE))</f>
        <v/>
      </c>
      <c r="C550" s="108" t="str">
        <f>IF($AG550="","",P_Importdatum)</f>
        <v/>
      </c>
      <c r="D550" s="92" t="str">
        <f>IF($AG550="","",P_StatusVastleg)</f>
        <v/>
      </c>
      <c r="E550" s="92" t="str">
        <f>IF($AG550="","",P_UploadVJ)</f>
        <v/>
      </c>
      <c r="F550" s="92" t="str">
        <f>IF($AG550="","",P_UploadVersie)</f>
        <v/>
      </c>
      <c r="G550" s="92" t="str">
        <f>IF($AG550="","",IF(COUNTIFS(L_Sleutel,$S550,L_Status,"Vastgesteld")=0,0,_xlfn.MAXIFS(L_Revisie,L_Sleutel,$S550,L_Status,"Vastgesteld")+1))</f>
        <v/>
      </c>
      <c r="H550" s="108" t="str">
        <f>IF($AG550="","",P_Peildatum)</f>
        <v/>
      </c>
      <c r="I550" s="92" t="str">
        <f>IF($AG550="","",P_RJ+INDEX($AK$8:$AK$21,INDEX($AC$8:$AC$1407,$AG550)+1))</f>
        <v/>
      </c>
      <c r="J550" s="92" t="str">
        <f>IF($AG550="","",INDEX(V_WBS,INDEX($AB$8:$AB$1407,$AG550)))</f>
        <v/>
      </c>
      <c r="K550" s="92" t="str">
        <f>IF($AG550="","",INDEX(V_Projdef,INDEX($AB$8:$AB$1407,$AG550)))</f>
        <v/>
      </c>
      <c r="L550" s="92" t="str">
        <f>IF($AG550="","",INDEX(V_Naam,INDEX($AB$8:$AB$1407,$AG550)))</f>
        <v/>
      </c>
      <c r="M550" s="92" t="str">
        <f>IF($AG550="","",INDEX(V_Type,INDEX($AB$8:$AB$1407,$AG550)))</f>
        <v/>
      </c>
      <c r="N550" s="92" t="str">
        <f>IF($AG550="","",INDEX(V_IFRS,INDEX($AB$8:$AB$1407,$AG550)))</f>
        <v/>
      </c>
      <c r="O550" s="92" t="str">
        <f>IF($AG550="","",INDEX($AL$8:$AL$21,INDEX($AC$8:$AC$1407,$AG550)+1))</f>
        <v/>
      </c>
      <c r="P550" s="109" t="str">
        <f>IF($AG550="","",INDEX($AD$8:$AD$1407,$AG550))</f>
        <v/>
      </c>
      <c r="Q550" s="92" t="str">
        <f>IF($AG550="","",INDEX($AM$8:$AM$21,INDEX($AC$8:$AC$1407,$AG550)+1))</f>
        <v/>
      </c>
      <c r="R550" s="92" t="str">
        <f>IF($AG550="","",IF($G550&gt;0,P_ToelCorrectie&amp;"",""))</f>
        <v/>
      </c>
      <c r="S550" s="15" t="str">
        <f>IF(J550="","",J550&amp;"|"&amp;E550&amp;"|"&amp;F550&amp;"|"&amp;I550&amp;"|"&amp;O550)</f>
        <v/>
      </c>
      <c r="T550" s="111" t="str">
        <f>IF(S550="","",IF(COUNTIFS(L_Sleutel,S550,L_Actief,1)=0,"",SUMIFS(L_Waarde,L_Sleutel,S550,L_Actief,1)))</f>
        <v/>
      </c>
      <c r="U550" s="111">
        <f>IF(OR(S550="",T550=""),0,P550-T550)</f>
        <v>0</v>
      </c>
      <c r="AB550" s="112" t="n">
        <v>39</v>
      </c>
      <c r="AC550" s="112" t="n">
        <v>10</v>
      </c>
      <c r="AD550" s="112" t="str">
        <f>VERW_Project!BS44</f>
        <v/>
      </c>
      <c r="AE550" s="112">
        <f>IF(AND(VERW_Project!$A44&lt;&gt;"",ISNUMBER(AD550)),1,0)</f>
        <v>0</v>
      </c>
      <c r="AF550" s="112" t="str">
        <f>IF(AE550=1,SUM($AE$8:AE550),"")</f>
        <v/>
      </c>
      <c r="AG550" t="str">
        <f>IFERROR(MATCH(543,$AF$8:$AF$1407,0),"")</f>
        <v/>
      </c>
    </row>
    <row r="551">
      <c r="A551" s="92" t="str">
        <f>IF($AG551="","",P_ImportID)</f>
        <v/>
      </c>
      <c r="B551" s="92" t="str">
        <f>IF($AG551="","",IF(INDEX($AN$8:$AN$21,INDEX($AC$8:$AC$1407,$AG551)+1)="Z",P_BronZ,P_BronE))</f>
        <v/>
      </c>
      <c r="C551" s="108" t="str">
        <f>IF($AG551="","",P_Importdatum)</f>
        <v/>
      </c>
      <c r="D551" s="92" t="str">
        <f>IF($AG551="","",P_StatusVastleg)</f>
        <v/>
      </c>
      <c r="E551" s="92" t="str">
        <f>IF($AG551="","",P_UploadVJ)</f>
        <v/>
      </c>
      <c r="F551" s="92" t="str">
        <f>IF($AG551="","",P_UploadVersie)</f>
        <v/>
      </c>
      <c r="G551" s="92" t="str">
        <f>IF($AG551="","",IF(COUNTIFS(L_Sleutel,$S551,L_Status,"Vastgesteld")=0,0,_xlfn.MAXIFS(L_Revisie,L_Sleutel,$S551,L_Status,"Vastgesteld")+1))</f>
        <v/>
      </c>
      <c r="H551" s="108" t="str">
        <f>IF($AG551="","",P_Peildatum)</f>
        <v/>
      </c>
      <c r="I551" s="92" t="str">
        <f>IF($AG551="","",P_RJ+INDEX($AK$8:$AK$21,INDEX($AC$8:$AC$1407,$AG551)+1))</f>
        <v/>
      </c>
      <c r="J551" s="92" t="str">
        <f>IF($AG551="","",INDEX(V_WBS,INDEX($AB$8:$AB$1407,$AG551)))</f>
        <v/>
      </c>
      <c r="K551" s="92" t="str">
        <f>IF($AG551="","",INDEX(V_Projdef,INDEX($AB$8:$AB$1407,$AG551)))</f>
        <v/>
      </c>
      <c r="L551" s="92" t="str">
        <f>IF($AG551="","",INDEX(V_Naam,INDEX($AB$8:$AB$1407,$AG551)))</f>
        <v/>
      </c>
      <c r="M551" s="92" t="str">
        <f>IF($AG551="","",INDEX(V_Type,INDEX($AB$8:$AB$1407,$AG551)))</f>
        <v/>
      </c>
      <c r="N551" s="92" t="str">
        <f>IF($AG551="","",INDEX(V_IFRS,INDEX($AB$8:$AB$1407,$AG551)))</f>
        <v/>
      </c>
      <c r="O551" s="92" t="str">
        <f>IF($AG551="","",INDEX($AL$8:$AL$21,INDEX($AC$8:$AC$1407,$AG551)+1))</f>
        <v/>
      </c>
      <c r="P551" s="109" t="str">
        <f>IF($AG551="","",INDEX($AD$8:$AD$1407,$AG551))</f>
        <v/>
      </c>
      <c r="Q551" s="92" t="str">
        <f>IF($AG551="","",INDEX($AM$8:$AM$21,INDEX($AC$8:$AC$1407,$AG551)+1))</f>
        <v/>
      </c>
      <c r="R551" s="92" t="str">
        <f>IF($AG551="","",IF($G551&gt;0,P_ToelCorrectie&amp;"",""))</f>
        <v/>
      </c>
      <c r="S551" s="15" t="str">
        <f>IF(J551="","",J551&amp;"|"&amp;E551&amp;"|"&amp;F551&amp;"|"&amp;I551&amp;"|"&amp;O551)</f>
        <v/>
      </c>
      <c r="T551" s="111" t="str">
        <f>IF(S551="","",IF(COUNTIFS(L_Sleutel,S551,L_Actief,1)=0,"",SUMIFS(L_Waarde,L_Sleutel,S551,L_Actief,1)))</f>
        <v/>
      </c>
      <c r="U551" s="111">
        <f>IF(OR(S551="",T551=""),0,P551-T551)</f>
        <v>0</v>
      </c>
      <c r="AB551" s="112" t="n">
        <v>39</v>
      </c>
      <c r="AC551" s="112" t="n">
        <v>11</v>
      </c>
      <c r="AD551" s="112" t="str">
        <f>VERW_Project!BT44</f>
        <v/>
      </c>
      <c r="AE551" s="112">
        <f>IF(AND(VERW_Project!$A44&lt;&gt;"",ISNUMBER(AD551)),1,0)</f>
        <v>0</v>
      </c>
      <c r="AF551" s="112" t="str">
        <f>IF(AE551=1,SUM($AE$8:AE551),"")</f>
        <v/>
      </c>
      <c r="AG551" t="str">
        <f>IFERROR(MATCH(544,$AF$8:$AF$1407,0),"")</f>
        <v/>
      </c>
    </row>
    <row r="552">
      <c r="A552" s="92" t="str">
        <f>IF($AG552="","",P_ImportID)</f>
        <v/>
      </c>
      <c r="B552" s="92" t="str">
        <f>IF($AG552="","",IF(INDEX($AN$8:$AN$21,INDEX($AC$8:$AC$1407,$AG552)+1)="Z",P_BronZ,P_BronE))</f>
        <v/>
      </c>
      <c r="C552" s="108" t="str">
        <f>IF($AG552="","",P_Importdatum)</f>
        <v/>
      </c>
      <c r="D552" s="92" t="str">
        <f>IF($AG552="","",P_StatusVastleg)</f>
        <v/>
      </c>
      <c r="E552" s="92" t="str">
        <f>IF($AG552="","",P_UploadVJ)</f>
        <v/>
      </c>
      <c r="F552" s="92" t="str">
        <f>IF($AG552="","",P_UploadVersie)</f>
        <v/>
      </c>
      <c r="G552" s="92" t="str">
        <f>IF($AG552="","",IF(COUNTIFS(L_Sleutel,$S552,L_Status,"Vastgesteld")=0,0,_xlfn.MAXIFS(L_Revisie,L_Sleutel,$S552,L_Status,"Vastgesteld")+1))</f>
        <v/>
      </c>
      <c r="H552" s="108" t="str">
        <f>IF($AG552="","",P_Peildatum)</f>
        <v/>
      </c>
      <c r="I552" s="92" t="str">
        <f>IF($AG552="","",P_RJ+INDEX($AK$8:$AK$21,INDEX($AC$8:$AC$1407,$AG552)+1))</f>
        <v/>
      </c>
      <c r="J552" s="92" t="str">
        <f>IF($AG552="","",INDEX(V_WBS,INDEX($AB$8:$AB$1407,$AG552)))</f>
        <v/>
      </c>
      <c r="K552" s="92" t="str">
        <f>IF($AG552="","",INDEX(V_Projdef,INDEX($AB$8:$AB$1407,$AG552)))</f>
        <v/>
      </c>
      <c r="L552" s="92" t="str">
        <f>IF($AG552="","",INDEX(V_Naam,INDEX($AB$8:$AB$1407,$AG552)))</f>
        <v/>
      </c>
      <c r="M552" s="92" t="str">
        <f>IF($AG552="","",INDEX(V_Type,INDEX($AB$8:$AB$1407,$AG552)))</f>
        <v/>
      </c>
      <c r="N552" s="92" t="str">
        <f>IF($AG552="","",INDEX(V_IFRS,INDEX($AB$8:$AB$1407,$AG552)))</f>
        <v/>
      </c>
      <c r="O552" s="92" t="str">
        <f>IF($AG552="","",INDEX($AL$8:$AL$21,INDEX($AC$8:$AC$1407,$AG552)+1))</f>
        <v/>
      </c>
      <c r="P552" s="109" t="str">
        <f>IF($AG552="","",INDEX($AD$8:$AD$1407,$AG552))</f>
        <v/>
      </c>
      <c r="Q552" s="92" t="str">
        <f>IF($AG552="","",INDEX($AM$8:$AM$21,INDEX($AC$8:$AC$1407,$AG552)+1))</f>
        <v/>
      </c>
      <c r="R552" s="92" t="str">
        <f>IF($AG552="","",IF($G552&gt;0,P_ToelCorrectie&amp;"",""))</f>
        <v/>
      </c>
      <c r="S552" s="15" t="str">
        <f>IF(J552="","",J552&amp;"|"&amp;E552&amp;"|"&amp;F552&amp;"|"&amp;I552&amp;"|"&amp;O552)</f>
        <v/>
      </c>
      <c r="T552" s="111" t="str">
        <f>IF(S552="","",IF(COUNTIFS(L_Sleutel,S552,L_Actief,1)=0,"",SUMIFS(L_Waarde,L_Sleutel,S552,L_Actief,1)))</f>
        <v/>
      </c>
      <c r="U552" s="111">
        <f>IF(OR(S552="",T552=""),0,P552-T552)</f>
        <v>0</v>
      </c>
      <c r="AB552" s="112" t="n">
        <v>39</v>
      </c>
      <c r="AC552" s="112" t="n">
        <v>12</v>
      </c>
      <c r="AD552" s="112" t="str">
        <f>VERW_Project!BU44</f>
        <v/>
      </c>
      <c r="AE552" s="112">
        <f>IF(AND(VERW_Project!$A44&lt;&gt;"",ISNUMBER(AD552)),1,0)</f>
        <v>0</v>
      </c>
      <c r="AF552" s="112" t="str">
        <f>IF(AE552=1,SUM($AE$8:AE552),"")</f>
        <v/>
      </c>
      <c r="AG552" t="str">
        <f>IFERROR(MATCH(545,$AF$8:$AF$1407,0),"")</f>
        <v/>
      </c>
    </row>
    <row r="553">
      <c r="A553" s="92" t="str">
        <f>IF($AG553="","",P_ImportID)</f>
        <v/>
      </c>
      <c r="B553" s="92" t="str">
        <f>IF($AG553="","",IF(INDEX($AN$8:$AN$21,INDEX($AC$8:$AC$1407,$AG553)+1)="Z",P_BronZ,P_BronE))</f>
        <v/>
      </c>
      <c r="C553" s="108" t="str">
        <f>IF($AG553="","",P_Importdatum)</f>
        <v/>
      </c>
      <c r="D553" s="92" t="str">
        <f>IF($AG553="","",P_StatusVastleg)</f>
        <v/>
      </c>
      <c r="E553" s="92" t="str">
        <f>IF($AG553="","",P_UploadVJ)</f>
        <v/>
      </c>
      <c r="F553" s="92" t="str">
        <f>IF($AG553="","",P_UploadVersie)</f>
        <v/>
      </c>
      <c r="G553" s="92" t="str">
        <f>IF($AG553="","",IF(COUNTIFS(L_Sleutel,$S553,L_Status,"Vastgesteld")=0,0,_xlfn.MAXIFS(L_Revisie,L_Sleutel,$S553,L_Status,"Vastgesteld")+1))</f>
        <v/>
      </c>
      <c r="H553" s="108" t="str">
        <f>IF($AG553="","",P_Peildatum)</f>
        <v/>
      </c>
      <c r="I553" s="92" t="str">
        <f>IF($AG553="","",P_RJ+INDEX($AK$8:$AK$21,INDEX($AC$8:$AC$1407,$AG553)+1))</f>
        <v/>
      </c>
      <c r="J553" s="92" t="str">
        <f>IF($AG553="","",INDEX(V_WBS,INDEX($AB$8:$AB$1407,$AG553)))</f>
        <v/>
      </c>
      <c r="K553" s="92" t="str">
        <f>IF($AG553="","",INDEX(V_Projdef,INDEX($AB$8:$AB$1407,$AG553)))</f>
        <v/>
      </c>
      <c r="L553" s="92" t="str">
        <f>IF($AG553="","",INDEX(V_Naam,INDEX($AB$8:$AB$1407,$AG553)))</f>
        <v/>
      </c>
      <c r="M553" s="92" t="str">
        <f>IF($AG553="","",INDEX(V_Type,INDEX($AB$8:$AB$1407,$AG553)))</f>
        <v/>
      </c>
      <c r="N553" s="92" t="str">
        <f>IF($AG553="","",INDEX(V_IFRS,INDEX($AB$8:$AB$1407,$AG553)))</f>
        <v/>
      </c>
      <c r="O553" s="92" t="str">
        <f>IF($AG553="","",INDEX($AL$8:$AL$21,INDEX($AC$8:$AC$1407,$AG553)+1))</f>
        <v/>
      </c>
      <c r="P553" s="109" t="str">
        <f>IF($AG553="","",INDEX($AD$8:$AD$1407,$AG553))</f>
        <v/>
      </c>
      <c r="Q553" s="92" t="str">
        <f>IF($AG553="","",INDEX($AM$8:$AM$21,INDEX($AC$8:$AC$1407,$AG553)+1))</f>
        <v/>
      </c>
      <c r="R553" s="92" t="str">
        <f>IF($AG553="","",IF($G553&gt;0,P_ToelCorrectie&amp;"",""))</f>
        <v/>
      </c>
      <c r="S553" s="15" t="str">
        <f>IF(J553="","",J553&amp;"|"&amp;E553&amp;"|"&amp;F553&amp;"|"&amp;I553&amp;"|"&amp;O553)</f>
        <v/>
      </c>
      <c r="T553" s="111" t="str">
        <f>IF(S553="","",IF(COUNTIFS(L_Sleutel,S553,L_Actief,1)=0,"",SUMIFS(L_Waarde,L_Sleutel,S553,L_Actief,1)))</f>
        <v/>
      </c>
      <c r="U553" s="111">
        <f>IF(OR(S553="",T553=""),0,P553-T553)</f>
        <v>0</v>
      </c>
      <c r="AB553" s="112" t="n">
        <v>39</v>
      </c>
      <c r="AC553" s="112" t="n">
        <v>13</v>
      </c>
      <c r="AD553" s="112" t="str">
        <f>VERW_Project!BX44</f>
        <v/>
      </c>
      <c r="AE553" s="112">
        <f>IF(AND(VERW_Project!$A44&lt;&gt;"",ISNUMBER(AD553)),1,0)</f>
        <v>0</v>
      </c>
      <c r="AF553" s="112" t="str">
        <f>IF(AE553=1,SUM($AE$8:AE553),"")</f>
        <v/>
      </c>
      <c r="AG553" t="str">
        <f>IFERROR(MATCH(546,$AF$8:$AF$1407,0),"")</f>
        <v/>
      </c>
    </row>
    <row r="554">
      <c r="A554" s="92" t="str">
        <f>IF($AG554="","",P_ImportID)</f>
        <v/>
      </c>
      <c r="B554" s="92" t="str">
        <f>IF($AG554="","",IF(INDEX($AN$8:$AN$21,INDEX($AC$8:$AC$1407,$AG554)+1)="Z",P_BronZ,P_BronE))</f>
        <v/>
      </c>
      <c r="C554" s="108" t="str">
        <f>IF($AG554="","",P_Importdatum)</f>
        <v/>
      </c>
      <c r="D554" s="92" t="str">
        <f>IF($AG554="","",P_StatusVastleg)</f>
        <v/>
      </c>
      <c r="E554" s="92" t="str">
        <f>IF($AG554="","",P_UploadVJ)</f>
        <v/>
      </c>
      <c r="F554" s="92" t="str">
        <f>IF($AG554="","",P_UploadVersie)</f>
        <v/>
      </c>
      <c r="G554" s="92" t="str">
        <f>IF($AG554="","",IF(COUNTIFS(L_Sleutel,$S554,L_Status,"Vastgesteld")=0,0,_xlfn.MAXIFS(L_Revisie,L_Sleutel,$S554,L_Status,"Vastgesteld")+1))</f>
        <v/>
      </c>
      <c r="H554" s="108" t="str">
        <f>IF($AG554="","",P_Peildatum)</f>
        <v/>
      </c>
      <c r="I554" s="92" t="str">
        <f>IF($AG554="","",P_RJ+INDEX($AK$8:$AK$21,INDEX($AC$8:$AC$1407,$AG554)+1))</f>
        <v/>
      </c>
      <c r="J554" s="92" t="str">
        <f>IF($AG554="","",INDEX(V_WBS,INDEX($AB$8:$AB$1407,$AG554)))</f>
        <v/>
      </c>
      <c r="K554" s="92" t="str">
        <f>IF($AG554="","",INDEX(V_Projdef,INDEX($AB$8:$AB$1407,$AG554)))</f>
        <v/>
      </c>
      <c r="L554" s="92" t="str">
        <f>IF($AG554="","",INDEX(V_Naam,INDEX($AB$8:$AB$1407,$AG554)))</f>
        <v/>
      </c>
      <c r="M554" s="92" t="str">
        <f>IF($AG554="","",INDEX(V_Type,INDEX($AB$8:$AB$1407,$AG554)))</f>
        <v/>
      </c>
      <c r="N554" s="92" t="str">
        <f>IF($AG554="","",INDEX(V_IFRS,INDEX($AB$8:$AB$1407,$AG554)))</f>
        <v/>
      </c>
      <c r="O554" s="92" t="str">
        <f>IF($AG554="","",INDEX($AL$8:$AL$21,INDEX($AC$8:$AC$1407,$AG554)+1))</f>
        <v/>
      </c>
      <c r="P554" s="109" t="str">
        <f>IF($AG554="","",INDEX($AD$8:$AD$1407,$AG554))</f>
        <v/>
      </c>
      <c r="Q554" s="92" t="str">
        <f>IF($AG554="","",INDEX($AM$8:$AM$21,INDEX($AC$8:$AC$1407,$AG554)+1))</f>
        <v/>
      </c>
      <c r="R554" s="92" t="str">
        <f>IF($AG554="","",IF($G554&gt;0,P_ToelCorrectie&amp;"",""))</f>
        <v/>
      </c>
      <c r="S554" s="15" t="str">
        <f>IF(J554="","",J554&amp;"|"&amp;E554&amp;"|"&amp;F554&amp;"|"&amp;I554&amp;"|"&amp;O554)</f>
        <v/>
      </c>
      <c r="T554" s="111" t="str">
        <f>IF(S554="","",IF(COUNTIFS(L_Sleutel,S554,L_Actief,1)=0,"",SUMIFS(L_Waarde,L_Sleutel,S554,L_Actief,1)))</f>
        <v/>
      </c>
      <c r="U554" s="111">
        <f>IF(OR(S554="",T554=""),0,P554-T554)</f>
        <v>0</v>
      </c>
      <c r="AB554" s="112" t="n">
        <v>40</v>
      </c>
      <c r="AC554" s="112" t="n">
        <v>0</v>
      </c>
      <c r="AD554" s="112" t="str">
        <f>VERW_Project!P45</f>
        <v/>
      </c>
      <c r="AE554" s="112">
        <f>IF(AND(VERW_Project!$A45&lt;&gt;"",ISNUMBER(AD554)),1,0)</f>
        <v>0</v>
      </c>
      <c r="AF554" s="112" t="str">
        <f>IF(AE554=1,SUM($AE$8:AE554),"")</f>
        <v/>
      </c>
      <c r="AG554" t="str">
        <f>IFERROR(MATCH(547,$AF$8:$AF$1407,0),"")</f>
        <v/>
      </c>
    </row>
    <row r="555">
      <c r="A555" s="92" t="str">
        <f>IF($AG555="","",P_ImportID)</f>
        <v/>
      </c>
      <c r="B555" s="92" t="str">
        <f>IF($AG555="","",IF(INDEX($AN$8:$AN$21,INDEX($AC$8:$AC$1407,$AG555)+1)="Z",P_BronZ,P_BronE))</f>
        <v/>
      </c>
      <c r="C555" s="108" t="str">
        <f>IF($AG555="","",P_Importdatum)</f>
        <v/>
      </c>
      <c r="D555" s="92" t="str">
        <f>IF($AG555="","",P_StatusVastleg)</f>
        <v/>
      </c>
      <c r="E555" s="92" t="str">
        <f>IF($AG555="","",P_UploadVJ)</f>
        <v/>
      </c>
      <c r="F555" s="92" t="str">
        <f>IF($AG555="","",P_UploadVersie)</f>
        <v/>
      </c>
      <c r="G555" s="92" t="str">
        <f>IF($AG555="","",IF(COUNTIFS(L_Sleutel,$S555,L_Status,"Vastgesteld")=0,0,_xlfn.MAXIFS(L_Revisie,L_Sleutel,$S555,L_Status,"Vastgesteld")+1))</f>
        <v/>
      </c>
      <c r="H555" s="108" t="str">
        <f>IF($AG555="","",P_Peildatum)</f>
        <v/>
      </c>
      <c r="I555" s="92" t="str">
        <f>IF($AG555="","",P_RJ+INDEX($AK$8:$AK$21,INDEX($AC$8:$AC$1407,$AG555)+1))</f>
        <v/>
      </c>
      <c r="J555" s="92" t="str">
        <f>IF($AG555="","",INDEX(V_WBS,INDEX($AB$8:$AB$1407,$AG555)))</f>
        <v/>
      </c>
      <c r="K555" s="92" t="str">
        <f>IF($AG555="","",INDEX(V_Projdef,INDEX($AB$8:$AB$1407,$AG555)))</f>
        <v/>
      </c>
      <c r="L555" s="92" t="str">
        <f>IF($AG555="","",INDEX(V_Naam,INDEX($AB$8:$AB$1407,$AG555)))</f>
        <v/>
      </c>
      <c r="M555" s="92" t="str">
        <f>IF($AG555="","",INDEX(V_Type,INDEX($AB$8:$AB$1407,$AG555)))</f>
        <v/>
      </c>
      <c r="N555" s="92" t="str">
        <f>IF($AG555="","",INDEX(V_IFRS,INDEX($AB$8:$AB$1407,$AG555)))</f>
        <v/>
      </c>
      <c r="O555" s="92" t="str">
        <f>IF($AG555="","",INDEX($AL$8:$AL$21,INDEX($AC$8:$AC$1407,$AG555)+1))</f>
        <v/>
      </c>
      <c r="P555" s="109" t="str">
        <f>IF($AG555="","",INDEX($AD$8:$AD$1407,$AG555))</f>
        <v/>
      </c>
      <c r="Q555" s="92" t="str">
        <f>IF($AG555="","",INDEX($AM$8:$AM$21,INDEX($AC$8:$AC$1407,$AG555)+1))</f>
        <v/>
      </c>
      <c r="R555" s="92" t="str">
        <f>IF($AG555="","",IF($G555&gt;0,P_ToelCorrectie&amp;"",""))</f>
        <v/>
      </c>
      <c r="S555" s="15" t="str">
        <f>IF(J555="","",J555&amp;"|"&amp;E555&amp;"|"&amp;F555&amp;"|"&amp;I555&amp;"|"&amp;O555)</f>
        <v/>
      </c>
      <c r="T555" s="111" t="str">
        <f>IF(S555="","",IF(COUNTIFS(L_Sleutel,S555,L_Actief,1)=0,"",SUMIFS(L_Waarde,L_Sleutel,S555,L_Actief,1)))</f>
        <v/>
      </c>
      <c r="U555" s="111">
        <f>IF(OR(S555="",T555=""),0,P555-T555)</f>
        <v>0</v>
      </c>
      <c r="AB555" s="112" t="n">
        <v>40</v>
      </c>
      <c r="AC555" s="112" t="n">
        <v>1</v>
      </c>
      <c r="AD555" s="112" t="str">
        <f>VERW_Project!Q45</f>
        <v/>
      </c>
      <c r="AE555" s="112">
        <f>IF(AND(VERW_Project!$A45&lt;&gt;"",ISNUMBER(AD555)),1,0)</f>
        <v>0</v>
      </c>
      <c r="AF555" s="112" t="str">
        <f>IF(AE555=1,SUM($AE$8:AE555),"")</f>
        <v/>
      </c>
      <c r="AG555" t="str">
        <f>IFERROR(MATCH(548,$AF$8:$AF$1407,0),"")</f>
        <v/>
      </c>
    </row>
    <row r="556">
      <c r="A556" s="92" t="str">
        <f>IF($AG556="","",P_ImportID)</f>
        <v/>
      </c>
      <c r="B556" s="92" t="str">
        <f>IF($AG556="","",IF(INDEX($AN$8:$AN$21,INDEX($AC$8:$AC$1407,$AG556)+1)="Z",P_BronZ,P_BronE))</f>
        <v/>
      </c>
      <c r="C556" s="108" t="str">
        <f>IF($AG556="","",P_Importdatum)</f>
        <v/>
      </c>
      <c r="D556" s="92" t="str">
        <f>IF($AG556="","",P_StatusVastleg)</f>
        <v/>
      </c>
      <c r="E556" s="92" t="str">
        <f>IF($AG556="","",P_UploadVJ)</f>
        <v/>
      </c>
      <c r="F556" s="92" t="str">
        <f>IF($AG556="","",P_UploadVersie)</f>
        <v/>
      </c>
      <c r="G556" s="92" t="str">
        <f>IF($AG556="","",IF(COUNTIFS(L_Sleutel,$S556,L_Status,"Vastgesteld")=0,0,_xlfn.MAXIFS(L_Revisie,L_Sleutel,$S556,L_Status,"Vastgesteld")+1))</f>
        <v/>
      </c>
      <c r="H556" s="108" t="str">
        <f>IF($AG556="","",P_Peildatum)</f>
        <v/>
      </c>
      <c r="I556" s="92" t="str">
        <f>IF($AG556="","",P_RJ+INDEX($AK$8:$AK$21,INDEX($AC$8:$AC$1407,$AG556)+1))</f>
        <v/>
      </c>
      <c r="J556" s="92" t="str">
        <f>IF($AG556="","",INDEX(V_WBS,INDEX($AB$8:$AB$1407,$AG556)))</f>
        <v/>
      </c>
      <c r="K556" s="92" t="str">
        <f>IF($AG556="","",INDEX(V_Projdef,INDEX($AB$8:$AB$1407,$AG556)))</f>
        <v/>
      </c>
      <c r="L556" s="92" t="str">
        <f>IF($AG556="","",INDEX(V_Naam,INDEX($AB$8:$AB$1407,$AG556)))</f>
        <v/>
      </c>
      <c r="M556" s="92" t="str">
        <f>IF($AG556="","",INDEX(V_Type,INDEX($AB$8:$AB$1407,$AG556)))</f>
        <v/>
      </c>
      <c r="N556" s="92" t="str">
        <f>IF($AG556="","",INDEX(V_IFRS,INDEX($AB$8:$AB$1407,$AG556)))</f>
        <v/>
      </c>
      <c r="O556" s="92" t="str">
        <f>IF($AG556="","",INDEX($AL$8:$AL$21,INDEX($AC$8:$AC$1407,$AG556)+1))</f>
        <v/>
      </c>
      <c r="P556" s="109" t="str">
        <f>IF($AG556="","",INDEX($AD$8:$AD$1407,$AG556))</f>
        <v/>
      </c>
      <c r="Q556" s="92" t="str">
        <f>IF($AG556="","",INDEX($AM$8:$AM$21,INDEX($AC$8:$AC$1407,$AG556)+1))</f>
        <v/>
      </c>
      <c r="R556" s="92" t="str">
        <f>IF($AG556="","",IF($G556&gt;0,P_ToelCorrectie&amp;"",""))</f>
        <v/>
      </c>
      <c r="S556" s="15" t="str">
        <f>IF(J556="","",J556&amp;"|"&amp;E556&amp;"|"&amp;F556&amp;"|"&amp;I556&amp;"|"&amp;O556)</f>
        <v/>
      </c>
      <c r="T556" s="111" t="str">
        <f>IF(S556="","",IF(COUNTIFS(L_Sleutel,S556,L_Actief,1)=0,"",SUMIFS(L_Waarde,L_Sleutel,S556,L_Actief,1)))</f>
        <v/>
      </c>
      <c r="U556" s="111">
        <f>IF(OR(S556="",T556=""),0,P556-T556)</f>
        <v>0</v>
      </c>
      <c r="AB556" s="112" t="n">
        <v>40</v>
      </c>
      <c r="AC556" s="112" t="n">
        <v>2</v>
      </c>
      <c r="AD556" s="112" t="str">
        <f>VERW_Project!L45</f>
        <v/>
      </c>
      <c r="AE556" s="112">
        <f>IF(AND(VERW_Project!$A45&lt;&gt;"",ISNUMBER(AD556)),1,0)</f>
        <v>0</v>
      </c>
      <c r="AF556" s="112" t="str">
        <f>IF(AE556=1,SUM($AE$8:AE556),"")</f>
        <v/>
      </c>
      <c r="AG556" t="str">
        <f>IFERROR(MATCH(549,$AF$8:$AF$1407,0),"")</f>
        <v/>
      </c>
    </row>
    <row r="557">
      <c r="A557" s="92" t="str">
        <f>IF($AG557="","",P_ImportID)</f>
        <v/>
      </c>
      <c r="B557" s="92" t="str">
        <f>IF($AG557="","",IF(INDEX($AN$8:$AN$21,INDEX($AC$8:$AC$1407,$AG557)+1)="Z",P_BronZ,P_BronE))</f>
        <v/>
      </c>
      <c r="C557" s="108" t="str">
        <f>IF($AG557="","",P_Importdatum)</f>
        <v/>
      </c>
      <c r="D557" s="92" t="str">
        <f>IF($AG557="","",P_StatusVastleg)</f>
        <v/>
      </c>
      <c r="E557" s="92" t="str">
        <f>IF($AG557="","",P_UploadVJ)</f>
        <v/>
      </c>
      <c r="F557" s="92" t="str">
        <f>IF($AG557="","",P_UploadVersie)</f>
        <v/>
      </c>
      <c r="G557" s="92" t="str">
        <f>IF($AG557="","",IF(COUNTIFS(L_Sleutel,$S557,L_Status,"Vastgesteld")=0,0,_xlfn.MAXIFS(L_Revisie,L_Sleutel,$S557,L_Status,"Vastgesteld")+1))</f>
        <v/>
      </c>
      <c r="H557" s="108" t="str">
        <f>IF($AG557="","",P_Peildatum)</f>
        <v/>
      </c>
      <c r="I557" s="92" t="str">
        <f>IF($AG557="","",P_RJ+INDEX($AK$8:$AK$21,INDEX($AC$8:$AC$1407,$AG557)+1))</f>
        <v/>
      </c>
      <c r="J557" s="92" t="str">
        <f>IF($AG557="","",INDEX(V_WBS,INDEX($AB$8:$AB$1407,$AG557)))</f>
        <v/>
      </c>
      <c r="K557" s="92" t="str">
        <f>IF($AG557="","",INDEX(V_Projdef,INDEX($AB$8:$AB$1407,$AG557)))</f>
        <v/>
      </c>
      <c r="L557" s="92" t="str">
        <f>IF($AG557="","",INDEX(V_Naam,INDEX($AB$8:$AB$1407,$AG557)))</f>
        <v/>
      </c>
      <c r="M557" s="92" t="str">
        <f>IF($AG557="","",INDEX(V_Type,INDEX($AB$8:$AB$1407,$AG557)))</f>
        <v/>
      </c>
      <c r="N557" s="92" t="str">
        <f>IF($AG557="","",INDEX(V_IFRS,INDEX($AB$8:$AB$1407,$AG557)))</f>
        <v/>
      </c>
      <c r="O557" s="92" t="str">
        <f>IF($AG557="","",INDEX($AL$8:$AL$21,INDEX($AC$8:$AC$1407,$AG557)+1))</f>
        <v/>
      </c>
      <c r="P557" s="109" t="str">
        <f>IF($AG557="","",INDEX($AD$8:$AD$1407,$AG557))</f>
        <v/>
      </c>
      <c r="Q557" s="92" t="str">
        <f>IF($AG557="","",INDEX($AM$8:$AM$21,INDEX($AC$8:$AC$1407,$AG557)+1))</f>
        <v/>
      </c>
      <c r="R557" s="92" t="str">
        <f>IF($AG557="","",IF($G557&gt;0,P_ToelCorrectie&amp;"",""))</f>
        <v/>
      </c>
      <c r="S557" s="15" t="str">
        <f>IF(J557="","",J557&amp;"|"&amp;E557&amp;"|"&amp;F557&amp;"|"&amp;I557&amp;"|"&amp;O557)</f>
        <v/>
      </c>
      <c r="T557" s="111" t="str">
        <f>IF(S557="","",IF(COUNTIFS(L_Sleutel,S557,L_Actief,1)=0,"",SUMIFS(L_Waarde,L_Sleutel,S557,L_Actief,1)))</f>
        <v/>
      </c>
      <c r="U557" s="111">
        <f>IF(OR(S557="",T557=""),0,P557-T557)</f>
        <v>0</v>
      </c>
      <c r="AB557" s="112" t="n">
        <v>40</v>
      </c>
      <c r="AC557" s="112" t="n">
        <v>3</v>
      </c>
      <c r="AD557" s="112" t="str">
        <f>VERW_Project!M45</f>
        <v/>
      </c>
      <c r="AE557" s="112">
        <f>IF(AND(VERW_Project!$A45&lt;&gt;"",ISNUMBER(AD557)),1,0)</f>
        <v>0</v>
      </c>
      <c r="AF557" s="112" t="str">
        <f>IF(AE557=1,SUM($AE$8:AE557),"")</f>
        <v/>
      </c>
      <c r="AG557" t="str">
        <f>IFERROR(MATCH(550,$AF$8:$AF$1407,0),"")</f>
        <v/>
      </c>
    </row>
    <row r="558">
      <c r="A558" s="92" t="str">
        <f>IF($AG558="","",P_ImportID)</f>
        <v/>
      </c>
      <c r="B558" s="92" t="str">
        <f>IF($AG558="","",IF(INDEX($AN$8:$AN$21,INDEX($AC$8:$AC$1407,$AG558)+1)="Z",P_BronZ,P_BronE))</f>
        <v/>
      </c>
      <c r="C558" s="108" t="str">
        <f>IF($AG558="","",P_Importdatum)</f>
        <v/>
      </c>
      <c r="D558" s="92" t="str">
        <f>IF($AG558="","",P_StatusVastleg)</f>
        <v/>
      </c>
      <c r="E558" s="92" t="str">
        <f>IF($AG558="","",P_UploadVJ)</f>
        <v/>
      </c>
      <c r="F558" s="92" t="str">
        <f>IF($AG558="","",P_UploadVersie)</f>
        <v/>
      </c>
      <c r="G558" s="92" t="str">
        <f>IF($AG558="","",IF(COUNTIFS(L_Sleutel,$S558,L_Status,"Vastgesteld")=0,0,_xlfn.MAXIFS(L_Revisie,L_Sleutel,$S558,L_Status,"Vastgesteld")+1))</f>
        <v/>
      </c>
      <c r="H558" s="108" t="str">
        <f>IF($AG558="","",P_Peildatum)</f>
        <v/>
      </c>
      <c r="I558" s="92" t="str">
        <f>IF($AG558="","",P_RJ+INDEX($AK$8:$AK$21,INDEX($AC$8:$AC$1407,$AG558)+1))</f>
        <v/>
      </c>
      <c r="J558" s="92" t="str">
        <f>IF($AG558="","",INDEX(V_WBS,INDEX($AB$8:$AB$1407,$AG558)))</f>
        <v/>
      </c>
      <c r="K558" s="92" t="str">
        <f>IF($AG558="","",INDEX(V_Projdef,INDEX($AB$8:$AB$1407,$AG558)))</f>
        <v/>
      </c>
      <c r="L558" s="92" t="str">
        <f>IF($AG558="","",INDEX(V_Naam,INDEX($AB$8:$AB$1407,$AG558)))</f>
        <v/>
      </c>
      <c r="M558" s="92" t="str">
        <f>IF($AG558="","",INDEX(V_Type,INDEX($AB$8:$AB$1407,$AG558)))</f>
        <v/>
      </c>
      <c r="N558" s="92" t="str">
        <f>IF($AG558="","",INDEX(V_IFRS,INDEX($AB$8:$AB$1407,$AG558)))</f>
        <v/>
      </c>
      <c r="O558" s="92" t="str">
        <f>IF($AG558="","",INDEX($AL$8:$AL$21,INDEX($AC$8:$AC$1407,$AG558)+1))</f>
        <v/>
      </c>
      <c r="P558" s="109" t="str">
        <f>IF($AG558="","",INDEX($AD$8:$AD$1407,$AG558))</f>
        <v/>
      </c>
      <c r="Q558" s="92" t="str">
        <f>IF($AG558="","",INDEX($AM$8:$AM$21,INDEX($AC$8:$AC$1407,$AG558)+1))</f>
        <v/>
      </c>
      <c r="R558" s="92" t="str">
        <f>IF($AG558="","",IF($G558&gt;0,P_ToelCorrectie&amp;"",""))</f>
        <v/>
      </c>
      <c r="S558" s="15" t="str">
        <f>IF(J558="","",J558&amp;"|"&amp;E558&amp;"|"&amp;F558&amp;"|"&amp;I558&amp;"|"&amp;O558)</f>
        <v/>
      </c>
      <c r="T558" s="111" t="str">
        <f>IF(S558="","",IF(COUNTIFS(L_Sleutel,S558,L_Actief,1)=0,"",SUMIFS(L_Waarde,L_Sleutel,S558,L_Actief,1)))</f>
        <v/>
      </c>
      <c r="U558" s="111">
        <f>IF(OR(S558="",T558=""),0,P558-T558)</f>
        <v>0</v>
      </c>
      <c r="AB558" s="112" t="n">
        <v>40</v>
      </c>
      <c r="AC558" s="112" t="n">
        <v>4</v>
      </c>
      <c r="AD558" s="112" t="str">
        <f>VERW_Project!R45</f>
        <v/>
      </c>
      <c r="AE558" s="112">
        <f>IF(AND(VERW_Project!$A45&lt;&gt;"",ISNUMBER(AD558)),1,0)</f>
        <v>0</v>
      </c>
      <c r="AF558" s="112" t="str">
        <f>IF(AE558=1,SUM($AE$8:AE558),"")</f>
        <v/>
      </c>
      <c r="AG558" t="str">
        <f>IFERROR(MATCH(551,$AF$8:$AF$1407,0),"")</f>
        <v/>
      </c>
    </row>
    <row r="559">
      <c r="A559" s="92" t="str">
        <f>IF($AG559="","",P_ImportID)</f>
        <v/>
      </c>
      <c r="B559" s="92" t="str">
        <f>IF($AG559="","",IF(INDEX($AN$8:$AN$21,INDEX($AC$8:$AC$1407,$AG559)+1)="Z",P_BronZ,P_BronE))</f>
        <v/>
      </c>
      <c r="C559" s="108" t="str">
        <f>IF($AG559="","",P_Importdatum)</f>
        <v/>
      </c>
      <c r="D559" s="92" t="str">
        <f>IF($AG559="","",P_StatusVastleg)</f>
        <v/>
      </c>
      <c r="E559" s="92" t="str">
        <f>IF($AG559="","",P_UploadVJ)</f>
        <v/>
      </c>
      <c r="F559" s="92" t="str">
        <f>IF($AG559="","",P_UploadVersie)</f>
        <v/>
      </c>
      <c r="G559" s="92" t="str">
        <f>IF($AG559="","",IF(COUNTIFS(L_Sleutel,$S559,L_Status,"Vastgesteld")=0,0,_xlfn.MAXIFS(L_Revisie,L_Sleutel,$S559,L_Status,"Vastgesteld")+1))</f>
        <v/>
      </c>
      <c r="H559" s="108" t="str">
        <f>IF($AG559="","",P_Peildatum)</f>
        <v/>
      </c>
      <c r="I559" s="92" t="str">
        <f>IF($AG559="","",P_RJ+INDEX($AK$8:$AK$21,INDEX($AC$8:$AC$1407,$AG559)+1))</f>
        <v/>
      </c>
      <c r="J559" s="92" t="str">
        <f>IF($AG559="","",INDEX(V_WBS,INDEX($AB$8:$AB$1407,$AG559)))</f>
        <v/>
      </c>
      <c r="K559" s="92" t="str">
        <f>IF($AG559="","",INDEX(V_Projdef,INDEX($AB$8:$AB$1407,$AG559)))</f>
        <v/>
      </c>
      <c r="L559" s="92" t="str">
        <f>IF($AG559="","",INDEX(V_Naam,INDEX($AB$8:$AB$1407,$AG559)))</f>
        <v/>
      </c>
      <c r="M559" s="92" t="str">
        <f>IF($AG559="","",INDEX(V_Type,INDEX($AB$8:$AB$1407,$AG559)))</f>
        <v/>
      </c>
      <c r="N559" s="92" t="str">
        <f>IF($AG559="","",INDEX(V_IFRS,INDEX($AB$8:$AB$1407,$AG559)))</f>
        <v/>
      </c>
      <c r="O559" s="92" t="str">
        <f>IF($AG559="","",INDEX($AL$8:$AL$21,INDEX($AC$8:$AC$1407,$AG559)+1))</f>
        <v/>
      </c>
      <c r="P559" s="109" t="str">
        <f>IF($AG559="","",INDEX($AD$8:$AD$1407,$AG559))</f>
        <v/>
      </c>
      <c r="Q559" s="92" t="str">
        <f>IF($AG559="","",INDEX($AM$8:$AM$21,INDEX($AC$8:$AC$1407,$AG559)+1))</f>
        <v/>
      </c>
      <c r="R559" s="92" t="str">
        <f>IF($AG559="","",IF($G559&gt;0,P_ToelCorrectie&amp;"",""))</f>
        <v/>
      </c>
      <c r="S559" s="15" t="str">
        <f>IF(J559="","",J559&amp;"|"&amp;E559&amp;"|"&amp;F559&amp;"|"&amp;I559&amp;"|"&amp;O559)</f>
        <v/>
      </c>
      <c r="T559" s="111" t="str">
        <f>IF(S559="","",IF(COUNTIFS(L_Sleutel,S559,L_Actief,1)=0,"",SUMIFS(L_Waarde,L_Sleutel,S559,L_Actief,1)))</f>
        <v/>
      </c>
      <c r="U559" s="111">
        <f>IF(OR(S559="",T559=""),0,P559-T559)</f>
        <v>0</v>
      </c>
      <c r="AB559" s="112" t="n">
        <v>40</v>
      </c>
      <c r="AC559" s="112" t="n">
        <v>5</v>
      </c>
      <c r="AD559" s="112" t="str">
        <f>VERW_Project!S45</f>
        <v/>
      </c>
      <c r="AE559" s="112">
        <f>IF(AND(VERW_Project!$A45&lt;&gt;"",ISNUMBER(AD559)),1,0)</f>
        <v>0</v>
      </c>
      <c r="AF559" s="112" t="str">
        <f>IF(AE559=1,SUM($AE$8:AE559),"")</f>
        <v/>
      </c>
      <c r="AG559" t="str">
        <f>IFERROR(MATCH(552,$AF$8:$AF$1407,0),"")</f>
        <v/>
      </c>
    </row>
    <row r="560">
      <c r="A560" s="92" t="str">
        <f>IF($AG560="","",P_ImportID)</f>
        <v/>
      </c>
      <c r="B560" s="92" t="str">
        <f>IF($AG560="","",IF(INDEX($AN$8:$AN$21,INDEX($AC$8:$AC$1407,$AG560)+1)="Z",P_BronZ,P_BronE))</f>
        <v/>
      </c>
      <c r="C560" s="108" t="str">
        <f>IF($AG560="","",P_Importdatum)</f>
        <v/>
      </c>
      <c r="D560" s="92" t="str">
        <f>IF($AG560="","",P_StatusVastleg)</f>
        <v/>
      </c>
      <c r="E560" s="92" t="str">
        <f>IF($AG560="","",P_UploadVJ)</f>
        <v/>
      </c>
      <c r="F560" s="92" t="str">
        <f>IF($AG560="","",P_UploadVersie)</f>
        <v/>
      </c>
      <c r="G560" s="92" t="str">
        <f>IF($AG560="","",IF(COUNTIFS(L_Sleutel,$S560,L_Status,"Vastgesteld")=0,0,_xlfn.MAXIFS(L_Revisie,L_Sleutel,$S560,L_Status,"Vastgesteld")+1))</f>
        <v/>
      </c>
      <c r="H560" s="108" t="str">
        <f>IF($AG560="","",P_Peildatum)</f>
        <v/>
      </c>
      <c r="I560" s="92" t="str">
        <f>IF($AG560="","",P_RJ+INDEX($AK$8:$AK$21,INDEX($AC$8:$AC$1407,$AG560)+1))</f>
        <v/>
      </c>
      <c r="J560" s="92" t="str">
        <f>IF($AG560="","",INDEX(V_WBS,INDEX($AB$8:$AB$1407,$AG560)))</f>
        <v/>
      </c>
      <c r="K560" s="92" t="str">
        <f>IF($AG560="","",INDEX(V_Projdef,INDEX($AB$8:$AB$1407,$AG560)))</f>
        <v/>
      </c>
      <c r="L560" s="92" t="str">
        <f>IF($AG560="","",INDEX(V_Naam,INDEX($AB$8:$AB$1407,$AG560)))</f>
        <v/>
      </c>
      <c r="M560" s="92" t="str">
        <f>IF($AG560="","",INDEX(V_Type,INDEX($AB$8:$AB$1407,$AG560)))</f>
        <v/>
      </c>
      <c r="N560" s="92" t="str">
        <f>IF($AG560="","",INDEX(V_IFRS,INDEX($AB$8:$AB$1407,$AG560)))</f>
        <v/>
      </c>
      <c r="O560" s="92" t="str">
        <f>IF($AG560="","",INDEX($AL$8:$AL$21,INDEX($AC$8:$AC$1407,$AG560)+1))</f>
        <v/>
      </c>
      <c r="P560" s="109" t="str">
        <f>IF($AG560="","",INDEX($AD$8:$AD$1407,$AG560))</f>
        <v/>
      </c>
      <c r="Q560" s="92" t="str">
        <f>IF($AG560="","",INDEX($AM$8:$AM$21,INDEX($AC$8:$AC$1407,$AG560)+1))</f>
        <v/>
      </c>
      <c r="R560" s="92" t="str">
        <f>IF($AG560="","",IF($G560&gt;0,P_ToelCorrectie&amp;"",""))</f>
        <v/>
      </c>
      <c r="S560" s="15" t="str">
        <f>IF(J560="","",J560&amp;"|"&amp;E560&amp;"|"&amp;F560&amp;"|"&amp;I560&amp;"|"&amp;O560)</f>
        <v/>
      </c>
      <c r="T560" s="111" t="str">
        <f>IF(S560="","",IF(COUNTIFS(L_Sleutel,S560,L_Actief,1)=0,"",SUMIFS(L_Waarde,L_Sleutel,S560,L_Actief,1)))</f>
        <v/>
      </c>
      <c r="U560" s="111">
        <f>IF(OR(S560="",T560=""),0,P560-T560)</f>
        <v>0</v>
      </c>
      <c r="AB560" s="112" t="n">
        <v>40</v>
      </c>
      <c r="AC560" s="112" t="n">
        <v>6</v>
      </c>
      <c r="AD560" s="112" t="str">
        <f>VERW_Project!BW45</f>
        <v/>
      </c>
      <c r="AE560" s="112">
        <f>IF(AND(VERW_Project!$A45&lt;&gt;"",ISNUMBER(AD560)),1,0)</f>
        <v>0</v>
      </c>
      <c r="AF560" s="112" t="str">
        <f>IF(AE560=1,SUM($AE$8:AE560),"")</f>
        <v/>
      </c>
      <c r="AG560" t="str">
        <f>IFERROR(MATCH(553,$AF$8:$AF$1407,0),"")</f>
        <v/>
      </c>
    </row>
    <row r="561">
      <c r="A561" s="92" t="str">
        <f>IF($AG561="","",P_ImportID)</f>
        <v/>
      </c>
      <c r="B561" s="92" t="str">
        <f>IF($AG561="","",IF(INDEX($AN$8:$AN$21,INDEX($AC$8:$AC$1407,$AG561)+1)="Z",P_BronZ,P_BronE))</f>
        <v/>
      </c>
      <c r="C561" s="108" t="str">
        <f>IF($AG561="","",P_Importdatum)</f>
        <v/>
      </c>
      <c r="D561" s="92" t="str">
        <f>IF($AG561="","",P_StatusVastleg)</f>
        <v/>
      </c>
      <c r="E561" s="92" t="str">
        <f>IF($AG561="","",P_UploadVJ)</f>
        <v/>
      </c>
      <c r="F561" s="92" t="str">
        <f>IF($AG561="","",P_UploadVersie)</f>
        <v/>
      </c>
      <c r="G561" s="92" t="str">
        <f>IF($AG561="","",IF(COUNTIFS(L_Sleutel,$S561,L_Status,"Vastgesteld")=0,0,_xlfn.MAXIFS(L_Revisie,L_Sleutel,$S561,L_Status,"Vastgesteld")+1))</f>
        <v/>
      </c>
      <c r="H561" s="108" t="str">
        <f>IF($AG561="","",P_Peildatum)</f>
        <v/>
      </c>
      <c r="I561" s="92" t="str">
        <f>IF($AG561="","",P_RJ+INDEX($AK$8:$AK$21,INDEX($AC$8:$AC$1407,$AG561)+1))</f>
        <v/>
      </c>
      <c r="J561" s="92" t="str">
        <f>IF($AG561="","",INDEX(V_WBS,INDEX($AB$8:$AB$1407,$AG561)))</f>
        <v/>
      </c>
      <c r="K561" s="92" t="str">
        <f>IF($AG561="","",INDEX(V_Projdef,INDEX($AB$8:$AB$1407,$AG561)))</f>
        <v/>
      </c>
      <c r="L561" s="92" t="str">
        <f>IF($AG561="","",INDEX(V_Naam,INDEX($AB$8:$AB$1407,$AG561)))</f>
        <v/>
      </c>
      <c r="M561" s="92" t="str">
        <f>IF($AG561="","",INDEX(V_Type,INDEX($AB$8:$AB$1407,$AG561)))</f>
        <v/>
      </c>
      <c r="N561" s="92" t="str">
        <f>IF($AG561="","",INDEX(V_IFRS,INDEX($AB$8:$AB$1407,$AG561)))</f>
        <v/>
      </c>
      <c r="O561" s="92" t="str">
        <f>IF($AG561="","",INDEX($AL$8:$AL$21,INDEX($AC$8:$AC$1407,$AG561)+1))</f>
        <v/>
      </c>
      <c r="P561" s="109" t="str">
        <f>IF($AG561="","",INDEX($AD$8:$AD$1407,$AG561))</f>
        <v/>
      </c>
      <c r="Q561" s="92" t="str">
        <f>IF($AG561="","",INDEX($AM$8:$AM$21,INDEX($AC$8:$AC$1407,$AG561)+1))</f>
        <v/>
      </c>
      <c r="R561" s="92" t="str">
        <f>IF($AG561="","",IF($G561&gt;0,P_ToelCorrectie&amp;"",""))</f>
        <v/>
      </c>
      <c r="S561" s="15" t="str">
        <f>IF(J561="","",J561&amp;"|"&amp;E561&amp;"|"&amp;F561&amp;"|"&amp;I561&amp;"|"&amp;O561)</f>
        <v/>
      </c>
      <c r="T561" s="111" t="str">
        <f>IF(S561="","",IF(COUNTIFS(L_Sleutel,S561,L_Actief,1)=0,"",SUMIFS(L_Waarde,L_Sleutel,S561,L_Actief,1)))</f>
        <v/>
      </c>
      <c r="U561" s="111">
        <f>IF(OR(S561="",T561=""),0,P561-T561)</f>
        <v>0</v>
      </c>
      <c r="AB561" s="112" t="n">
        <v>40</v>
      </c>
      <c r="AC561" s="112" t="n">
        <v>7</v>
      </c>
      <c r="AD561" s="112" t="str">
        <f>VERW_Project!AW45</f>
        <v/>
      </c>
      <c r="AE561" s="112">
        <f>IF(AND(VERW_Project!$A45&lt;&gt;"",ISNUMBER(AD561)),1,0)</f>
        <v>0</v>
      </c>
      <c r="AF561" s="112" t="str">
        <f>IF(AE561=1,SUM($AE$8:AE561),"")</f>
        <v/>
      </c>
      <c r="AG561" t="str">
        <f>IFERROR(MATCH(554,$AF$8:$AF$1407,0),"")</f>
        <v/>
      </c>
    </row>
    <row r="562">
      <c r="A562" s="92" t="str">
        <f>IF($AG562="","",P_ImportID)</f>
        <v/>
      </c>
      <c r="B562" s="92" t="str">
        <f>IF($AG562="","",IF(INDEX($AN$8:$AN$21,INDEX($AC$8:$AC$1407,$AG562)+1)="Z",P_BronZ,P_BronE))</f>
        <v/>
      </c>
      <c r="C562" s="108" t="str">
        <f>IF($AG562="","",P_Importdatum)</f>
        <v/>
      </c>
      <c r="D562" s="92" t="str">
        <f>IF($AG562="","",P_StatusVastleg)</f>
        <v/>
      </c>
      <c r="E562" s="92" t="str">
        <f>IF($AG562="","",P_UploadVJ)</f>
        <v/>
      </c>
      <c r="F562" s="92" t="str">
        <f>IF($AG562="","",P_UploadVersie)</f>
        <v/>
      </c>
      <c r="G562" s="92" t="str">
        <f>IF($AG562="","",IF(COUNTIFS(L_Sleutel,$S562,L_Status,"Vastgesteld")=0,0,_xlfn.MAXIFS(L_Revisie,L_Sleutel,$S562,L_Status,"Vastgesteld")+1))</f>
        <v/>
      </c>
      <c r="H562" s="108" t="str">
        <f>IF($AG562="","",P_Peildatum)</f>
        <v/>
      </c>
      <c r="I562" s="92" t="str">
        <f>IF($AG562="","",P_RJ+INDEX($AK$8:$AK$21,INDEX($AC$8:$AC$1407,$AG562)+1))</f>
        <v/>
      </c>
      <c r="J562" s="92" t="str">
        <f>IF($AG562="","",INDEX(V_WBS,INDEX($AB$8:$AB$1407,$AG562)))</f>
        <v/>
      </c>
      <c r="K562" s="92" t="str">
        <f>IF($AG562="","",INDEX(V_Projdef,INDEX($AB$8:$AB$1407,$AG562)))</f>
        <v/>
      </c>
      <c r="L562" s="92" t="str">
        <f>IF($AG562="","",INDEX(V_Naam,INDEX($AB$8:$AB$1407,$AG562)))</f>
        <v/>
      </c>
      <c r="M562" s="92" t="str">
        <f>IF($AG562="","",INDEX(V_Type,INDEX($AB$8:$AB$1407,$AG562)))</f>
        <v/>
      </c>
      <c r="N562" s="92" t="str">
        <f>IF($AG562="","",INDEX(V_IFRS,INDEX($AB$8:$AB$1407,$AG562)))</f>
        <v/>
      </c>
      <c r="O562" s="92" t="str">
        <f>IF($AG562="","",INDEX($AL$8:$AL$21,INDEX($AC$8:$AC$1407,$AG562)+1))</f>
        <v/>
      </c>
      <c r="P562" s="109" t="str">
        <f>IF($AG562="","",INDEX($AD$8:$AD$1407,$AG562))</f>
        <v/>
      </c>
      <c r="Q562" s="92" t="str">
        <f>IF($AG562="","",INDEX($AM$8:$AM$21,INDEX($AC$8:$AC$1407,$AG562)+1))</f>
        <v/>
      </c>
      <c r="R562" s="92" t="str">
        <f>IF($AG562="","",IF($G562&gt;0,P_ToelCorrectie&amp;"",""))</f>
        <v/>
      </c>
      <c r="S562" s="15" t="str">
        <f>IF(J562="","",J562&amp;"|"&amp;E562&amp;"|"&amp;F562&amp;"|"&amp;I562&amp;"|"&amp;O562)</f>
        <v/>
      </c>
      <c r="T562" s="111" t="str">
        <f>IF(S562="","",IF(COUNTIFS(L_Sleutel,S562,L_Actief,1)=0,"",SUMIFS(L_Waarde,L_Sleutel,S562,L_Actief,1)))</f>
        <v/>
      </c>
      <c r="U562" s="111">
        <f>IF(OR(S562="",T562=""),0,P562-T562)</f>
        <v>0</v>
      </c>
      <c r="AB562" s="112" t="n">
        <v>40</v>
      </c>
      <c r="AC562" s="112" t="n">
        <v>8</v>
      </c>
      <c r="AD562" s="112" t="str">
        <f>VERW_Project!BQ45</f>
        <v/>
      </c>
      <c r="AE562" s="112">
        <f>IF(AND(VERW_Project!$A45&lt;&gt;"",ISNUMBER(AD562)),1,0)</f>
        <v>0</v>
      </c>
      <c r="AF562" s="112" t="str">
        <f>IF(AE562=1,SUM($AE$8:AE562),"")</f>
        <v/>
      </c>
      <c r="AG562" t="str">
        <f>IFERROR(MATCH(555,$AF$8:$AF$1407,0),"")</f>
        <v/>
      </c>
    </row>
    <row r="563">
      <c r="A563" s="92" t="str">
        <f>IF($AG563="","",P_ImportID)</f>
        <v/>
      </c>
      <c r="B563" s="92" t="str">
        <f>IF($AG563="","",IF(INDEX($AN$8:$AN$21,INDEX($AC$8:$AC$1407,$AG563)+1)="Z",P_BronZ,P_BronE))</f>
        <v/>
      </c>
      <c r="C563" s="108" t="str">
        <f>IF($AG563="","",P_Importdatum)</f>
        <v/>
      </c>
      <c r="D563" s="92" t="str">
        <f>IF($AG563="","",P_StatusVastleg)</f>
        <v/>
      </c>
      <c r="E563" s="92" t="str">
        <f>IF($AG563="","",P_UploadVJ)</f>
        <v/>
      </c>
      <c r="F563" s="92" t="str">
        <f>IF($AG563="","",P_UploadVersie)</f>
        <v/>
      </c>
      <c r="G563" s="92" t="str">
        <f>IF($AG563="","",IF(COUNTIFS(L_Sleutel,$S563,L_Status,"Vastgesteld")=0,0,_xlfn.MAXIFS(L_Revisie,L_Sleutel,$S563,L_Status,"Vastgesteld")+1))</f>
        <v/>
      </c>
      <c r="H563" s="108" t="str">
        <f>IF($AG563="","",P_Peildatum)</f>
        <v/>
      </c>
      <c r="I563" s="92" t="str">
        <f>IF($AG563="","",P_RJ+INDEX($AK$8:$AK$21,INDEX($AC$8:$AC$1407,$AG563)+1))</f>
        <v/>
      </c>
      <c r="J563" s="92" t="str">
        <f>IF($AG563="","",INDEX(V_WBS,INDEX($AB$8:$AB$1407,$AG563)))</f>
        <v/>
      </c>
      <c r="K563" s="92" t="str">
        <f>IF($AG563="","",INDEX(V_Projdef,INDEX($AB$8:$AB$1407,$AG563)))</f>
        <v/>
      </c>
      <c r="L563" s="92" t="str">
        <f>IF($AG563="","",INDEX(V_Naam,INDEX($AB$8:$AB$1407,$AG563)))</f>
        <v/>
      </c>
      <c r="M563" s="92" t="str">
        <f>IF($AG563="","",INDEX(V_Type,INDEX($AB$8:$AB$1407,$AG563)))</f>
        <v/>
      </c>
      <c r="N563" s="92" t="str">
        <f>IF($AG563="","",INDEX(V_IFRS,INDEX($AB$8:$AB$1407,$AG563)))</f>
        <v/>
      </c>
      <c r="O563" s="92" t="str">
        <f>IF($AG563="","",INDEX($AL$8:$AL$21,INDEX($AC$8:$AC$1407,$AG563)+1))</f>
        <v/>
      </c>
      <c r="P563" s="109" t="str">
        <f>IF($AG563="","",INDEX($AD$8:$AD$1407,$AG563))</f>
        <v/>
      </c>
      <c r="Q563" s="92" t="str">
        <f>IF($AG563="","",INDEX($AM$8:$AM$21,INDEX($AC$8:$AC$1407,$AG563)+1))</f>
        <v/>
      </c>
      <c r="R563" s="92" t="str">
        <f>IF($AG563="","",IF($G563&gt;0,P_ToelCorrectie&amp;"",""))</f>
        <v/>
      </c>
      <c r="S563" s="15" t="str">
        <f>IF(J563="","",J563&amp;"|"&amp;E563&amp;"|"&amp;F563&amp;"|"&amp;I563&amp;"|"&amp;O563)</f>
        <v/>
      </c>
      <c r="T563" s="111" t="str">
        <f>IF(S563="","",IF(COUNTIFS(L_Sleutel,S563,L_Actief,1)=0,"",SUMIFS(L_Waarde,L_Sleutel,S563,L_Actief,1)))</f>
        <v/>
      </c>
      <c r="U563" s="111">
        <f>IF(OR(S563="",T563=""),0,P563-T563)</f>
        <v>0</v>
      </c>
      <c r="AB563" s="112" t="n">
        <v>40</v>
      </c>
      <c r="AC563" s="112" t="n">
        <v>9</v>
      </c>
      <c r="AD563" s="112" t="str">
        <f>VERW_Project!BR45</f>
        <v/>
      </c>
      <c r="AE563" s="112">
        <f>IF(AND(VERW_Project!$A45&lt;&gt;"",ISNUMBER(AD563)),1,0)</f>
        <v>0</v>
      </c>
      <c r="AF563" s="112" t="str">
        <f>IF(AE563=1,SUM($AE$8:AE563),"")</f>
        <v/>
      </c>
      <c r="AG563" t="str">
        <f>IFERROR(MATCH(556,$AF$8:$AF$1407,0),"")</f>
        <v/>
      </c>
    </row>
    <row r="564">
      <c r="A564" s="92" t="str">
        <f>IF($AG564="","",P_ImportID)</f>
        <v/>
      </c>
      <c r="B564" s="92" t="str">
        <f>IF($AG564="","",IF(INDEX($AN$8:$AN$21,INDEX($AC$8:$AC$1407,$AG564)+1)="Z",P_BronZ,P_BronE))</f>
        <v/>
      </c>
      <c r="C564" s="108" t="str">
        <f>IF($AG564="","",P_Importdatum)</f>
        <v/>
      </c>
      <c r="D564" s="92" t="str">
        <f>IF($AG564="","",P_StatusVastleg)</f>
        <v/>
      </c>
      <c r="E564" s="92" t="str">
        <f>IF($AG564="","",P_UploadVJ)</f>
        <v/>
      </c>
      <c r="F564" s="92" t="str">
        <f>IF($AG564="","",P_UploadVersie)</f>
        <v/>
      </c>
      <c r="G564" s="92" t="str">
        <f>IF($AG564="","",IF(COUNTIFS(L_Sleutel,$S564,L_Status,"Vastgesteld")=0,0,_xlfn.MAXIFS(L_Revisie,L_Sleutel,$S564,L_Status,"Vastgesteld")+1))</f>
        <v/>
      </c>
      <c r="H564" s="108" t="str">
        <f>IF($AG564="","",P_Peildatum)</f>
        <v/>
      </c>
      <c r="I564" s="92" t="str">
        <f>IF($AG564="","",P_RJ+INDEX($AK$8:$AK$21,INDEX($AC$8:$AC$1407,$AG564)+1))</f>
        <v/>
      </c>
      <c r="J564" s="92" t="str">
        <f>IF($AG564="","",INDEX(V_WBS,INDEX($AB$8:$AB$1407,$AG564)))</f>
        <v/>
      </c>
      <c r="K564" s="92" t="str">
        <f>IF($AG564="","",INDEX(V_Projdef,INDEX($AB$8:$AB$1407,$AG564)))</f>
        <v/>
      </c>
      <c r="L564" s="92" t="str">
        <f>IF($AG564="","",INDEX(V_Naam,INDEX($AB$8:$AB$1407,$AG564)))</f>
        <v/>
      </c>
      <c r="M564" s="92" t="str">
        <f>IF($AG564="","",INDEX(V_Type,INDEX($AB$8:$AB$1407,$AG564)))</f>
        <v/>
      </c>
      <c r="N564" s="92" t="str">
        <f>IF($AG564="","",INDEX(V_IFRS,INDEX($AB$8:$AB$1407,$AG564)))</f>
        <v/>
      </c>
      <c r="O564" s="92" t="str">
        <f>IF($AG564="","",INDEX($AL$8:$AL$21,INDEX($AC$8:$AC$1407,$AG564)+1))</f>
        <v/>
      </c>
      <c r="P564" s="109" t="str">
        <f>IF($AG564="","",INDEX($AD$8:$AD$1407,$AG564))</f>
        <v/>
      </c>
      <c r="Q564" s="92" t="str">
        <f>IF($AG564="","",INDEX($AM$8:$AM$21,INDEX($AC$8:$AC$1407,$AG564)+1))</f>
        <v/>
      </c>
      <c r="R564" s="92" t="str">
        <f>IF($AG564="","",IF($G564&gt;0,P_ToelCorrectie&amp;"",""))</f>
        <v/>
      </c>
      <c r="S564" s="15" t="str">
        <f>IF(J564="","",J564&amp;"|"&amp;E564&amp;"|"&amp;F564&amp;"|"&amp;I564&amp;"|"&amp;O564)</f>
        <v/>
      </c>
      <c r="T564" s="111" t="str">
        <f>IF(S564="","",IF(COUNTIFS(L_Sleutel,S564,L_Actief,1)=0,"",SUMIFS(L_Waarde,L_Sleutel,S564,L_Actief,1)))</f>
        <v/>
      </c>
      <c r="U564" s="111">
        <f>IF(OR(S564="",T564=""),0,P564-T564)</f>
        <v>0</v>
      </c>
      <c r="AB564" s="112" t="n">
        <v>40</v>
      </c>
      <c r="AC564" s="112" t="n">
        <v>10</v>
      </c>
      <c r="AD564" s="112" t="str">
        <f>VERW_Project!BS45</f>
        <v/>
      </c>
      <c r="AE564" s="112">
        <f>IF(AND(VERW_Project!$A45&lt;&gt;"",ISNUMBER(AD564)),1,0)</f>
        <v>0</v>
      </c>
      <c r="AF564" s="112" t="str">
        <f>IF(AE564=1,SUM($AE$8:AE564),"")</f>
        <v/>
      </c>
      <c r="AG564" t="str">
        <f>IFERROR(MATCH(557,$AF$8:$AF$1407,0),"")</f>
        <v/>
      </c>
    </row>
    <row r="565">
      <c r="A565" s="92" t="str">
        <f>IF($AG565="","",P_ImportID)</f>
        <v/>
      </c>
      <c r="B565" s="92" t="str">
        <f>IF($AG565="","",IF(INDEX($AN$8:$AN$21,INDEX($AC$8:$AC$1407,$AG565)+1)="Z",P_BronZ,P_BronE))</f>
        <v/>
      </c>
      <c r="C565" s="108" t="str">
        <f>IF($AG565="","",P_Importdatum)</f>
        <v/>
      </c>
      <c r="D565" s="92" t="str">
        <f>IF($AG565="","",P_StatusVastleg)</f>
        <v/>
      </c>
      <c r="E565" s="92" t="str">
        <f>IF($AG565="","",P_UploadVJ)</f>
        <v/>
      </c>
      <c r="F565" s="92" t="str">
        <f>IF($AG565="","",P_UploadVersie)</f>
        <v/>
      </c>
      <c r="G565" s="92" t="str">
        <f>IF($AG565="","",IF(COUNTIFS(L_Sleutel,$S565,L_Status,"Vastgesteld")=0,0,_xlfn.MAXIFS(L_Revisie,L_Sleutel,$S565,L_Status,"Vastgesteld")+1))</f>
        <v/>
      </c>
      <c r="H565" s="108" t="str">
        <f>IF($AG565="","",P_Peildatum)</f>
        <v/>
      </c>
      <c r="I565" s="92" t="str">
        <f>IF($AG565="","",P_RJ+INDEX($AK$8:$AK$21,INDEX($AC$8:$AC$1407,$AG565)+1))</f>
        <v/>
      </c>
      <c r="J565" s="92" t="str">
        <f>IF($AG565="","",INDEX(V_WBS,INDEX($AB$8:$AB$1407,$AG565)))</f>
        <v/>
      </c>
      <c r="K565" s="92" t="str">
        <f>IF($AG565="","",INDEX(V_Projdef,INDEX($AB$8:$AB$1407,$AG565)))</f>
        <v/>
      </c>
      <c r="L565" s="92" t="str">
        <f>IF($AG565="","",INDEX(V_Naam,INDEX($AB$8:$AB$1407,$AG565)))</f>
        <v/>
      </c>
      <c r="M565" s="92" t="str">
        <f>IF($AG565="","",INDEX(V_Type,INDEX($AB$8:$AB$1407,$AG565)))</f>
        <v/>
      </c>
      <c r="N565" s="92" t="str">
        <f>IF($AG565="","",INDEX(V_IFRS,INDEX($AB$8:$AB$1407,$AG565)))</f>
        <v/>
      </c>
      <c r="O565" s="92" t="str">
        <f>IF($AG565="","",INDEX($AL$8:$AL$21,INDEX($AC$8:$AC$1407,$AG565)+1))</f>
        <v/>
      </c>
      <c r="P565" s="109" t="str">
        <f>IF($AG565="","",INDEX($AD$8:$AD$1407,$AG565))</f>
        <v/>
      </c>
      <c r="Q565" s="92" t="str">
        <f>IF($AG565="","",INDEX($AM$8:$AM$21,INDEX($AC$8:$AC$1407,$AG565)+1))</f>
        <v/>
      </c>
      <c r="R565" s="92" t="str">
        <f>IF($AG565="","",IF($G565&gt;0,P_ToelCorrectie&amp;"",""))</f>
        <v/>
      </c>
      <c r="S565" s="15" t="str">
        <f>IF(J565="","",J565&amp;"|"&amp;E565&amp;"|"&amp;F565&amp;"|"&amp;I565&amp;"|"&amp;O565)</f>
        <v/>
      </c>
      <c r="T565" s="111" t="str">
        <f>IF(S565="","",IF(COUNTIFS(L_Sleutel,S565,L_Actief,1)=0,"",SUMIFS(L_Waarde,L_Sleutel,S565,L_Actief,1)))</f>
        <v/>
      </c>
      <c r="U565" s="111">
        <f>IF(OR(S565="",T565=""),0,P565-T565)</f>
        <v>0</v>
      </c>
      <c r="AB565" s="112" t="n">
        <v>40</v>
      </c>
      <c r="AC565" s="112" t="n">
        <v>11</v>
      </c>
      <c r="AD565" s="112" t="str">
        <f>VERW_Project!BT45</f>
        <v/>
      </c>
      <c r="AE565" s="112">
        <f>IF(AND(VERW_Project!$A45&lt;&gt;"",ISNUMBER(AD565)),1,0)</f>
        <v>0</v>
      </c>
      <c r="AF565" s="112" t="str">
        <f>IF(AE565=1,SUM($AE$8:AE565),"")</f>
        <v/>
      </c>
      <c r="AG565" t="str">
        <f>IFERROR(MATCH(558,$AF$8:$AF$1407,0),"")</f>
        <v/>
      </c>
    </row>
    <row r="566">
      <c r="A566" s="92" t="str">
        <f>IF($AG566="","",P_ImportID)</f>
        <v/>
      </c>
      <c r="B566" s="92" t="str">
        <f>IF($AG566="","",IF(INDEX($AN$8:$AN$21,INDEX($AC$8:$AC$1407,$AG566)+1)="Z",P_BronZ,P_BronE))</f>
        <v/>
      </c>
      <c r="C566" s="108" t="str">
        <f>IF($AG566="","",P_Importdatum)</f>
        <v/>
      </c>
      <c r="D566" s="92" t="str">
        <f>IF($AG566="","",P_StatusVastleg)</f>
        <v/>
      </c>
      <c r="E566" s="92" t="str">
        <f>IF($AG566="","",P_UploadVJ)</f>
        <v/>
      </c>
      <c r="F566" s="92" t="str">
        <f>IF($AG566="","",P_UploadVersie)</f>
        <v/>
      </c>
      <c r="G566" s="92" t="str">
        <f>IF($AG566="","",IF(COUNTIFS(L_Sleutel,$S566,L_Status,"Vastgesteld")=0,0,_xlfn.MAXIFS(L_Revisie,L_Sleutel,$S566,L_Status,"Vastgesteld")+1))</f>
        <v/>
      </c>
      <c r="H566" s="108" t="str">
        <f>IF($AG566="","",P_Peildatum)</f>
        <v/>
      </c>
      <c r="I566" s="92" t="str">
        <f>IF($AG566="","",P_RJ+INDEX($AK$8:$AK$21,INDEX($AC$8:$AC$1407,$AG566)+1))</f>
        <v/>
      </c>
      <c r="J566" s="92" t="str">
        <f>IF($AG566="","",INDEX(V_WBS,INDEX($AB$8:$AB$1407,$AG566)))</f>
        <v/>
      </c>
      <c r="K566" s="92" t="str">
        <f>IF($AG566="","",INDEX(V_Projdef,INDEX($AB$8:$AB$1407,$AG566)))</f>
        <v/>
      </c>
      <c r="L566" s="92" t="str">
        <f>IF($AG566="","",INDEX(V_Naam,INDEX($AB$8:$AB$1407,$AG566)))</f>
        <v/>
      </c>
      <c r="M566" s="92" t="str">
        <f>IF($AG566="","",INDEX(V_Type,INDEX($AB$8:$AB$1407,$AG566)))</f>
        <v/>
      </c>
      <c r="N566" s="92" t="str">
        <f>IF($AG566="","",INDEX(V_IFRS,INDEX($AB$8:$AB$1407,$AG566)))</f>
        <v/>
      </c>
      <c r="O566" s="92" t="str">
        <f>IF($AG566="","",INDEX($AL$8:$AL$21,INDEX($AC$8:$AC$1407,$AG566)+1))</f>
        <v/>
      </c>
      <c r="P566" s="109" t="str">
        <f>IF($AG566="","",INDEX($AD$8:$AD$1407,$AG566))</f>
        <v/>
      </c>
      <c r="Q566" s="92" t="str">
        <f>IF($AG566="","",INDEX($AM$8:$AM$21,INDEX($AC$8:$AC$1407,$AG566)+1))</f>
        <v/>
      </c>
      <c r="R566" s="92" t="str">
        <f>IF($AG566="","",IF($G566&gt;0,P_ToelCorrectie&amp;"",""))</f>
        <v/>
      </c>
      <c r="S566" s="15" t="str">
        <f>IF(J566="","",J566&amp;"|"&amp;E566&amp;"|"&amp;F566&amp;"|"&amp;I566&amp;"|"&amp;O566)</f>
        <v/>
      </c>
      <c r="T566" s="111" t="str">
        <f>IF(S566="","",IF(COUNTIFS(L_Sleutel,S566,L_Actief,1)=0,"",SUMIFS(L_Waarde,L_Sleutel,S566,L_Actief,1)))</f>
        <v/>
      </c>
      <c r="U566" s="111">
        <f>IF(OR(S566="",T566=""),0,P566-T566)</f>
        <v>0</v>
      </c>
      <c r="AB566" s="112" t="n">
        <v>40</v>
      </c>
      <c r="AC566" s="112" t="n">
        <v>12</v>
      </c>
      <c r="AD566" s="112" t="str">
        <f>VERW_Project!BU45</f>
        <v/>
      </c>
      <c r="AE566" s="112">
        <f>IF(AND(VERW_Project!$A45&lt;&gt;"",ISNUMBER(AD566)),1,0)</f>
        <v>0</v>
      </c>
      <c r="AF566" s="112" t="str">
        <f>IF(AE566=1,SUM($AE$8:AE566),"")</f>
        <v/>
      </c>
      <c r="AG566" t="str">
        <f>IFERROR(MATCH(559,$AF$8:$AF$1407,0),"")</f>
        <v/>
      </c>
    </row>
    <row r="567">
      <c r="A567" s="92" t="str">
        <f>IF($AG567="","",P_ImportID)</f>
        <v/>
      </c>
      <c r="B567" s="92" t="str">
        <f>IF($AG567="","",IF(INDEX($AN$8:$AN$21,INDEX($AC$8:$AC$1407,$AG567)+1)="Z",P_BronZ,P_BronE))</f>
        <v/>
      </c>
      <c r="C567" s="108" t="str">
        <f>IF($AG567="","",P_Importdatum)</f>
        <v/>
      </c>
      <c r="D567" s="92" t="str">
        <f>IF($AG567="","",P_StatusVastleg)</f>
        <v/>
      </c>
      <c r="E567" s="92" t="str">
        <f>IF($AG567="","",P_UploadVJ)</f>
        <v/>
      </c>
      <c r="F567" s="92" t="str">
        <f>IF($AG567="","",P_UploadVersie)</f>
        <v/>
      </c>
      <c r="G567" s="92" t="str">
        <f>IF($AG567="","",IF(COUNTIFS(L_Sleutel,$S567,L_Status,"Vastgesteld")=0,0,_xlfn.MAXIFS(L_Revisie,L_Sleutel,$S567,L_Status,"Vastgesteld")+1))</f>
        <v/>
      </c>
      <c r="H567" s="108" t="str">
        <f>IF($AG567="","",P_Peildatum)</f>
        <v/>
      </c>
      <c r="I567" s="92" t="str">
        <f>IF($AG567="","",P_RJ+INDEX($AK$8:$AK$21,INDEX($AC$8:$AC$1407,$AG567)+1))</f>
        <v/>
      </c>
      <c r="J567" s="92" t="str">
        <f>IF($AG567="","",INDEX(V_WBS,INDEX($AB$8:$AB$1407,$AG567)))</f>
        <v/>
      </c>
      <c r="K567" s="92" t="str">
        <f>IF($AG567="","",INDEX(V_Projdef,INDEX($AB$8:$AB$1407,$AG567)))</f>
        <v/>
      </c>
      <c r="L567" s="92" t="str">
        <f>IF($AG567="","",INDEX(V_Naam,INDEX($AB$8:$AB$1407,$AG567)))</f>
        <v/>
      </c>
      <c r="M567" s="92" t="str">
        <f>IF($AG567="","",INDEX(V_Type,INDEX($AB$8:$AB$1407,$AG567)))</f>
        <v/>
      </c>
      <c r="N567" s="92" t="str">
        <f>IF($AG567="","",INDEX(V_IFRS,INDEX($AB$8:$AB$1407,$AG567)))</f>
        <v/>
      </c>
      <c r="O567" s="92" t="str">
        <f>IF($AG567="","",INDEX($AL$8:$AL$21,INDEX($AC$8:$AC$1407,$AG567)+1))</f>
        <v/>
      </c>
      <c r="P567" s="109" t="str">
        <f>IF($AG567="","",INDEX($AD$8:$AD$1407,$AG567))</f>
        <v/>
      </c>
      <c r="Q567" s="92" t="str">
        <f>IF($AG567="","",INDEX($AM$8:$AM$21,INDEX($AC$8:$AC$1407,$AG567)+1))</f>
        <v/>
      </c>
      <c r="R567" s="92" t="str">
        <f>IF($AG567="","",IF($G567&gt;0,P_ToelCorrectie&amp;"",""))</f>
        <v/>
      </c>
      <c r="S567" s="15" t="str">
        <f>IF(J567="","",J567&amp;"|"&amp;E567&amp;"|"&amp;F567&amp;"|"&amp;I567&amp;"|"&amp;O567)</f>
        <v/>
      </c>
      <c r="T567" s="111" t="str">
        <f>IF(S567="","",IF(COUNTIFS(L_Sleutel,S567,L_Actief,1)=0,"",SUMIFS(L_Waarde,L_Sleutel,S567,L_Actief,1)))</f>
        <v/>
      </c>
      <c r="U567" s="111">
        <f>IF(OR(S567="",T567=""),0,P567-T567)</f>
        <v>0</v>
      </c>
      <c r="AB567" s="112" t="n">
        <v>40</v>
      </c>
      <c r="AC567" s="112" t="n">
        <v>13</v>
      </c>
      <c r="AD567" s="112" t="str">
        <f>VERW_Project!BX45</f>
        <v/>
      </c>
      <c r="AE567" s="112">
        <f>IF(AND(VERW_Project!$A45&lt;&gt;"",ISNUMBER(AD567)),1,0)</f>
        <v>0</v>
      </c>
      <c r="AF567" s="112" t="str">
        <f>IF(AE567=1,SUM($AE$8:AE567),"")</f>
        <v/>
      </c>
      <c r="AG567" t="str">
        <f>IFERROR(MATCH(560,$AF$8:$AF$1407,0),"")</f>
        <v/>
      </c>
    </row>
    <row r="568">
      <c r="A568" s="92" t="str">
        <f>IF($AG568="","",P_ImportID)</f>
        <v/>
      </c>
      <c r="B568" s="92" t="str">
        <f>IF($AG568="","",IF(INDEX($AN$8:$AN$21,INDEX($AC$8:$AC$1407,$AG568)+1)="Z",P_BronZ,P_BronE))</f>
        <v/>
      </c>
      <c r="C568" s="108" t="str">
        <f>IF($AG568="","",P_Importdatum)</f>
        <v/>
      </c>
      <c r="D568" s="92" t="str">
        <f>IF($AG568="","",P_StatusVastleg)</f>
        <v/>
      </c>
      <c r="E568" s="92" t="str">
        <f>IF($AG568="","",P_UploadVJ)</f>
        <v/>
      </c>
      <c r="F568" s="92" t="str">
        <f>IF($AG568="","",P_UploadVersie)</f>
        <v/>
      </c>
      <c r="G568" s="92" t="str">
        <f>IF($AG568="","",IF(COUNTIFS(L_Sleutel,$S568,L_Status,"Vastgesteld")=0,0,_xlfn.MAXIFS(L_Revisie,L_Sleutel,$S568,L_Status,"Vastgesteld")+1))</f>
        <v/>
      </c>
      <c r="H568" s="108" t="str">
        <f>IF($AG568="","",P_Peildatum)</f>
        <v/>
      </c>
      <c r="I568" s="92" t="str">
        <f>IF($AG568="","",P_RJ+INDEX($AK$8:$AK$21,INDEX($AC$8:$AC$1407,$AG568)+1))</f>
        <v/>
      </c>
      <c r="J568" s="92" t="str">
        <f>IF($AG568="","",INDEX(V_WBS,INDEX($AB$8:$AB$1407,$AG568)))</f>
        <v/>
      </c>
      <c r="K568" s="92" t="str">
        <f>IF($AG568="","",INDEX(V_Projdef,INDEX($AB$8:$AB$1407,$AG568)))</f>
        <v/>
      </c>
      <c r="L568" s="92" t="str">
        <f>IF($AG568="","",INDEX(V_Naam,INDEX($AB$8:$AB$1407,$AG568)))</f>
        <v/>
      </c>
      <c r="M568" s="92" t="str">
        <f>IF($AG568="","",INDEX(V_Type,INDEX($AB$8:$AB$1407,$AG568)))</f>
        <v/>
      </c>
      <c r="N568" s="92" t="str">
        <f>IF($AG568="","",INDEX(V_IFRS,INDEX($AB$8:$AB$1407,$AG568)))</f>
        <v/>
      </c>
      <c r="O568" s="92" t="str">
        <f>IF($AG568="","",INDEX($AL$8:$AL$21,INDEX($AC$8:$AC$1407,$AG568)+1))</f>
        <v/>
      </c>
      <c r="P568" s="109" t="str">
        <f>IF($AG568="","",INDEX($AD$8:$AD$1407,$AG568))</f>
        <v/>
      </c>
      <c r="Q568" s="92" t="str">
        <f>IF($AG568="","",INDEX($AM$8:$AM$21,INDEX($AC$8:$AC$1407,$AG568)+1))</f>
        <v/>
      </c>
      <c r="R568" s="92" t="str">
        <f>IF($AG568="","",IF($G568&gt;0,P_ToelCorrectie&amp;"",""))</f>
        <v/>
      </c>
      <c r="S568" s="15" t="str">
        <f>IF(J568="","",J568&amp;"|"&amp;E568&amp;"|"&amp;F568&amp;"|"&amp;I568&amp;"|"&amp;O568)</f>
        <v/>
      </c>
      <c r="T568" s="111" t="str">
        <f>IF(S568="","",IF(COUNTIFS(L_Sleutel,S568,L_Actief,1)=0,"",SUMIFS(L_Waarde,L_Sleutel,S568,L_Actief,1)))</f>
        <v/>
      </c>
      <c r="U568" s="111">
        <f>IF(OR(S568="",T568=""),0,P568-T568)</f>
        <v>0</v>
      </c>
      <c r="AB568" s="112" t="n">
        <v>41</v>
      </c>
      <c r="AC568" s="112" t="n">
        <v>0</v>
      </c>
      <c r="AD568" s="112" t="str">
        <f>VERW_Project!P46</f>
        <v/>
      </c>
      <c r="AE568" s="112">
        <f>IF(AND(VERW_Project!$A46&lt;&gt;"",ISNUMBER(AD568)),1,0)</f>
        <v>0</v>
      </c>
      <c r="AF568" s="112" t="str">
        <f>IF(AE568=1,SUM($AE$8:AE568),"")</f>
        <v/>
      </c>
      <c r="AG568" t="str">
        <f>IFERROR(MATCH(561,$AF$8:$AF$1407,0),"")</f>
        <v/>
      </c>
    </row>
    <row r="569">
      <c r="A569" s="92" t="str">
        <f>IF($AG569="","",P_ImportID)</f>
        <v/>
      </c>
      <c r="B569" s="92" t="str">
        <f>IF($AG569="","",IF(INDEX($AN$8:$AN$21,INDEX($AC$8:$AC$1407,$AG569)+1)="Z",P_BronZ,P_BronE))</f>
        <v/>
      </c>
      <c r="C569" s="108" t="str">
        <f>IF($AG569="","",P_Importdatum)</f>
        <v/>
      </c>
      <c r="D569" s="92" t="str">
        <f>IF($AG569="","",P_StatusVastleg)</f>
        <v/>
      </c>
      <c r="E569" s="92" t="str">
        <f>IF($AG569="","",P_UploadVJ)</f>
        <v/>
      </c>
      <c r="F569" s="92" t="str">
        <f>IF($AG569="","",P_UploadVersie)</f>
        <v/>
      </c>
      <c r="G569" s="92" t="str">
        <f>IF($AG569="","",IF(COUNTIFS(L_Sleutel,$S569,L_Status,"Vastgesteld")=0,0,_xlfn.MAXIFS(L_Revisie,L_Sleutel,$S569,L_Status,"Vastgesteld")+1))</f>
        <v/>
      </c>
      <c r="H569" s="108" t="str">
        <f>IF($AG569="","",P_Peildatum)</f>
        <v/>
      </c>
      <c r="I569" s="92" t="str">
        <f>IF($AG569="","",P_RJ+INDEX($AK$8:$AK$21,INDEX($AC$8:$AC$1407,$AG569)+1))</f>
        <v/>
      </c>
      <c r="J569" s="92" t="str">
        <f>IF($AG569="","",INDEX(V_WBS,INDEX($AB$8:$AB$1407,$AG569)))</f>
        <v/>
      </c>
      <c r="K569" s="92" t="str">
        <f>IF($AG569="","",INDEX(V_Projdef,INDEX($AB$8:$AB$1407,$AG569)))</f>
        <v/>
      </c>
      <c r="L569" s="92" t="str">
        <f>IF($AG569="","",INDEX(V_Naam,INDEX($AB$8:$AB$1407,$AG569)))</f>
        <v/>
      </c>
      <c r="M569" s="92" t="str">
        <f>IF($AG569="","",INDEX(V_Type,INDEX($AB$8:$AB$1407,$AG569)))</f>
        <v/>
      </c>
      <c r="N569" s="92" t="str">
        <f>IF($AG569="","",INDEX(V_IFRS,INDEX($AB$8:$AB$1407,$AG569)))</f>
        <v/>
      </c>
      <c r="O569" s="92" t="str">
        <f>IF($AG569="","",INDEX($AL$8:$AL$21,INDEX($AC$8:$AC$1407,$AG569)+1))</f>
        <v/>
      </c>
      <c r="P569" s="109" t="str">
        <f>IF($AG569="","",INDEX($AD$8:$AD$1407,$AG569))</f>
        <v/>
      </c>
      <c r="Q569" s="92" t="str">
        <f>IF($AG569="","",INDEX($AM$8:$AM$21,INDEX($AC$8:$AC$1407,$AG569)+1))</f>
        <v/>
      </c>
      <c r="R569" s="92" t="str">
        <f>IF($AG569="","",IF($G569&gt;0,P_ToelCorrectie&amp;"",""))</f>
        <v/>
      </c>
      <c r="S569" s="15" t="str">
        <f>IF(J569="","",J569&amp;"|"&amp;E569&amp;"|"&amp;F569&amp;"|"&amp;I569&amp;"|"&amp;O569)</f>
        <v/>
      </c>
      <c r="T569" s="111" t="str">
        <f>IF(S569="","",IF(COUNTIFS(L_Sleutel,S569,L_Actief,1)=0,"",SUMIFS(L_Waarde,L_Sleutel,S569,L_Actief,1)))</f>
        <v/>
      </c>
      <c r="U569" s="111">
        <f>IF(OR(S569="",T569=""),0,P569-T569)</f>
        <v>0</v>
      </c>
      <c r="AB569" s="112" t="n">
        <v>41</v>
      </c>
      <c r="AC569" s="112" t="n">
        <v>1</v>
      </c>
      <c r="AD569" s="112" t="str">
        <f>VERW_Project!Q46</f>
        <v/>
      </c>
      <c r="AE569" s="112">
        <f>IF(AND(VERW_Project!$A46&lt;&gt;"",ISNUMBER(AD569)),1,0)</f>
        <v>0</v>
      </c>
      <c r="AF569" s="112" t="str">
        <f>IF(AE569=1,SUM($AE$8:AE569),"")</f>
        <v/>
      </c>
      <c r="AG569" t="str">
        <f>IFERROR(MATCH(562,$AF$8:$AF$1407,0),"")</f>
        <v/>
      </c>
    </row>
    <row r="570">
      <c r="A570" s="92" t="str">
        <f>IF($AG570="","",P_ImportID)</f>
        <v/>
      </c>
      <c r="B570" s="92" t="str">
        <f>IF($AG570="","",IF(INDEX($AN$8:$AN$21,INDEX($AC$8:$AC$1407,$AG570)+1)="Z",P_BronZ,P_BronE))</f>
        <v/>
      </c>
      <c r="C570" s="108" t="str">
        <f>IF($AG570="","",P_Importdatum)</f>
        <v/>
      </c>
      <c r="D570" s="92" t="str">
        <f>IF($AG570="","",P_StatusVastleg)</f>
        <v/>
      </c>
      <c r="E570" s="92" t="str">
        <f>IF($AG570="","",P_UploadVJ)</f>
        <v/>
      </c>
      <c r="F570" s="92" t="str">
        <f>IF($AG570="","",P_UploadVersie)</f>
        <v/>
      </c>
      <c r="G570" s="92" t="str">
        <f>IF($AG570="","",IF(COUNTIFS(L_Sleutel,$S570,L_Status,"Vastgesteld")=0,0,_xlfn.MAXIFS(L_Revisie,L_Sleutel,$S570,L_Status,"Vastgesteld")+1))</f>
        <v/>
      </c>
      <c r="H570" s="108" t="str">
        <f>IF($AG570="","",P_Peildatum)</f>
        <v/>
      </c>
      <c r="I570" s="92" t="str">
        <f>IF($AG570="","",P_RJ+INDEX($AK$8:$AK$21,INDEX($AC$8:$AC$1407,$AG570)+1))</f>
        <v/>
      </c>
      <c r="J570" s="92" t="str">
        <f>IF($AG570="","",INDEX(V_WBS,INDEX($AB$8:$AB$1407,$AG570)))</f>
        <v/>
      </c>
      <c r="K570" s="92" t="str">
        <f>IF($AG570="","",INDEX(V_Projdef,INDEX($AB$8:$AB$1407,$AG570)))</f>
        <v/>
      </c>
      <c r="L570" s="92" t="str">
        <f>IF($AG570="","",INDEX(V_Naam,INDEX($AB$8:$AB$1407,$AG570)))</f>
        <v/>
      </c>
      <c r="M570" s="92" t="str">
        <f>IF($AG570="","",INDEX(V_Type,INDEX($AB$8:$AB$1407,$AG570)))</f>
        <v/>
      </c>
      <c r="N570" s="92" t="str">
        <f>IF($AG570="","",INDEX(V_IFRS,INDEX($AB$8:$AB$1407,$AG570)))</f>
        <v/>
      </c>
      <c r="O570" s="92" t="str">
        <f>IF($AG570="","",INDEX($AL$8:$AL$21,INDEX($AC$8:$AC$1407,$AG570)+1))</f>
        <v/>
      </c>
      <c r="P570" s="109" t="str">
        <f>IF($AG570="","",INDEX($AD$8:$AD$1407,$AG570))</f>
        <v/>
      </c>
      <c r="Q570" s="92" t="str">
        <f>IF($AG570="","",INDEX($AM$8:$AM$21,INDEX($AC$8:$AC$1407,$AG570)+1))</f>
        <v/>
      </c>
      <c r="R570" s="92" t="str">
        <f>IF($AG570="","",IF($G570&gt;0,P_ToelCorrectie&amp;"",""))</f>
        <v/>
      </c>
      <c r="S570" s="15" t="str">
        <f>IF(J570="","",J570&amp;"|"&amp;E570&amp;"|"&amp;F570&amp;"|"&amp;I570&amp;"|"&amp;O570)</f>
        <v/>
      </c>
      <c r="T570" s="111" t="str">
        <f>IF(S570="","",IF(COUNTIFS(L_Sleutel,S570,L_Actief,1)=0,"",SUMIFS(L_Waarde,L_Sleutel,S570,L_Actief,1)))</f>
        <v/>
      </c>
      <c r="U570" s="111">
        <f>IF(OR(S570="",T570=""),0,P570-T570)</f>
        <v>0</v>
      </c>
      <c r="AB570" s="112" t="n">
        <v>41</v>
      </c>
      <c r="AC570" s="112" t="n">
        <v>2</v>
      </c>
      <c r="AD570" s="112" t="str">
        <f>VERW_Project!L46</f>
        <v/>
      </c>
      <c r="AE570" s="112">
        <f>IF(AND(VERW_Project!$A46&lt;&gt;"",ISNUMBER(AD570)),1,0)</f>
        <v>0</v>
      </c>
      <c r="AF570" s="112" t="str">
        <f>IF(AE570=1,SUM($AE$8:AE570),"")</f>
        <v/>
      </c>
      <c r="AG570" t="str">
        <f>IFERROR(MATCH(563,$AF$8:$AF$1407,0),"")</f>
        <v/>
      </c>
    </row>
    <row r="571">
      <c r="A571" s="92" t="str">
        <f>IF($AG571="","",P_ImportID)</f>
        <v/>
      </c>
      <c r="B571" s="92" t="str">
        <f>IF($AG571="","",IF(INDEX($AN$8:$AN$21,INDEX($AC$8:$AC$1407,$AG571)+1)="Z",P_BronZ,P_BronE))</f>
        <v/>
      </c>
      <c r="C571" s="108" t="str">
        <f>IF($AG571="","",P_Importdatum)</f>
        <v/>
      </c>
      <c r="D571" s="92" t="str">
        <f>IF($AG571="","",P_StatusVastleg)</f>
        <v/>
      </c>
      <c r="E571" s="92" t="str">
        <f>IF($AG571="","",P_UploadVJ)</f>
        <v/>
      </c>
      <c r="F571" s="92" t="str">
        <f>IF($AG571="","",P_UploadVersie)</f>
        <v/>
      </c>
      <c r="G571" s="92" t="str">
        <f>IF($AG571="","",IF(COUNTIFS(L_Sleutel,$S571,L_Status,"Vastgesteld")=0,0,_xlfn.MAXIFS(L_Revisie,L_Sleutel,$S571,L_Status,"Vastgesteld")+1))</f>
        <v/>
      </c>
      <c r="H571" s="108" t="str">
        <f>IF($AG571="","",P_Peildatum)</f>
        <v/>
      </c>
      <c r="I571" s="92" t="str">
        <f>IF($AG571="","",P_RJ+INDEX($AK$8:$AK$21,INDEX($AC$8:$AC$1407,$AG571)+1))</f>
        <v/>
      </c>
      <c r="J571" s="92" t="str">
        <f>IF($AG571="","",INDEX(V_WBS,INDEX($AB$8:$AB$1407,$AG571)))</f>
        <v/>
      </c>
      <c r="K571" s="92" t="str">
        <f>IF($AG571="","",INDEX(V_Projdef,INDEX($AB$8:$AB$1407,$AG571)))</f>
        <v/>
      </c>
      <c r="L571" s="92" t="str">
        <f>IF($AG571="","",INDEX(V_Naam,INDEX($AB$8:$AB$1407,$AG571)))</f>
        <v/>
      </c>
      <c r="M571" s="92" t="str">
        <f>IF($AG571="","",INDEX(V_Type,INDEX($AB$8:$AB$1407,$AG571)))</f>
        <v/>
      </c>
      <c r="N571" s="92" t="str">
        <f>IF($AG571="","",INDEX(V_IFRS,INDEX($AB$8:$AB$1407,$AG571)))</f>
        <v/>
      </c>
      <c r="O571" s="92" t="str">
        <f>IF($AG571="","",INDEX($AL$8:$AL$21,INDEX($AC$8:$AC$1407,$AG571)+1))</f>
        <v/>
      </c>
      <c r="P571" s="109" t="str">
        <f>IF($AG571="","",INDEX($AD$8:$AD$1407,$AG571))</f>
        <v/>
      </c>
      <c r="Q571" s="92" t="str">
        <f>IF($AG571="","",INDEX($AM$8:$AM$21,INDEX($AC$8:$AC$1407,$AG571)+1))</f>
        <v/>
      </c>
      <c r="R571" s="92" t="str">
        <f>IF($AG571="","",IF($G571&gt;0,P_ToelCorrectie&amp;"",""))</f>
        <v/>
      </c>
      <c r="S571" s="15" t="str">
        <f>IF(J571="","",J571&amp;"|"&amp;E571&amp;"|"&amp;F571&amp;"|"&amp;I571&amp;"|"&amp;O571)</f>
        <v/>
      </c>
      <c r="T571" s="111" t="str">
        <f>IF(S571="","",IF(COUNTIFS(L_Sleutel,S571,L_Actief,1)=0,"",SUMIFS(L_Waarde,L_Sleutel,S571,L_Actief,1)))</f>
        <v/>
      </c>
      <c r="U571" s="111">
        <f>IF(OR(S571="",T571=""),0,P571-T571)</f>
        <v>0</v>
      </c>
      <c r="AB571" s="112" t="n">
        <v>41</v>
      </c>
      <c r="AC571" s="112" t="n">
        <v>3</v>
      </c>
      <c r="AD571" s="112" t="str">
        <f>VERW_Project!M46</f>
        <v/>
      </c>
      <c r="AE571" s="112">
        <f>IF(AND(VERW_Project!$A46&lt;&gt;"",ISNUMBER(AD571)),1,0)</f>
        <v>0</v>
      </c>
      <c r="AF571" s="112" t="str">
        <f>IF(AE571=1,SUM($AE$8:AE571),"")</f>
        <v/>
      </c>
      <c r="AG571" t="str">
        <f>IFERROR(MATCH(564,$AF$8:$AF$1407,0),"")</f>
        <v/>
      </c>
    </row>
    <row r="572">
      <c r="A572" s="92" t="str">
        <f>IF($AG572="","",P_ImportID)</f>
        <v/>
      </c>
      <c r="B572" s="92" t="str">
        <f>IF($AG572="","",IF(INDEX($AN$8:$AN$21,INDEX($AC$8:$AC$1407,$AG572)+1)="Z",P_BronZ,P_BronE))</f>
        <v/>
      </c>
      <c r="C572" s="108" t="str">
        <f>IF($AG572="","",P_Importdatum)</f>
        <v/>
      </c>
      <c r="D572" s="92" t="str">
        <f>IF($AG572="","",P_StatusVastleg)</f>
        <v/>
      </c>
      <c r="E572" s="92" t="str">
        <f>IF($AG572="","",P_UploadVJ)</f>
        <v/>
      </c>
      <c r="F572" s="92" t="str">
        <f>IF($AG572="","",P_UploadVersie)</f>
        <v/>
      </c>
      <c r="G572" s="92" t="str">
        <f>IF($AG572="","",IF(COUNTIFS(L_Sleutel,$S572,L_Status,"Vastgesteld")=0,0,_xlfn.MAXIFS(L_Revisie,L_Sleutel,$S572,L_Status,"Vastgesteld")+1))</f>
        <v/>
      </c>
      <c r="H572" s="108" t="str">
        <f>IF($AG572="","",P_Peildatum)</f>
        <v/>
      </c>
      <c r="I572" s="92" t="str">
        <f>IF($AG572="","",P_RJ+INDEX($AK$8:$AK$21,INDEX($AC$8:$AC$1407,$AG572)+1))</f>
        <v/>
      </c>
      <c r="J572" s="92" t="str">
        <f>IF($AG572="","",INDEX(V_WBS,INDEX($AB$8:$AB$1407,$AG572)))</f>
        <v/>
      </c>
      <c r="K572" s="92" t="str">
        <f>IF($AG572="","",INDEX(V_Projdef,INDEX($AB$8:$AB$1407,$AG572)))</f>
        <v/>
      </c>
      <c r="L572" s="92" t="str">
        <f>IF($AG572="","",INDEX(V_Naam,INDEX($AB$8:$AB$1407,$AG572)))</f>
        <v/>
      </c>
      <c r="M572" s="92" t="str">
        <f>IF($AG572="","",INDEX(V_Type,INDEX($AB$8:$AB$1407,$AG572)))</f>
        <v/>
      </c>
      <c r="N572" s="92" t="str">
        <f>IF($AG572="","",INDEX(V_IFRS,INDEX($AB$8:$AB$1407,$AG572)))</f>
        <v/>
      </c>
      <c r="O572" s="92" t="str">
        <f>IF($AG572="","",INDEX($AL$8:$AL$21,INDEX($AC$8:$AC$1407,$AG572)+1))</f>
        <v/>
      </c>
      <c r="P572" s="109" t="str">
        <f>IF($AG572="","",INDEX($AD$8:$AD$1407,$AG572))</f>
        <v/>
      </c>
      <c r="Q572" s="92" t="str">
        <f>IF($AG572="","",INDEX($AM$8:$AM$21,INDEX($AC$8:$AC$1407,$AG572)+1))</f>
        <v/>
      </c>
      <c r="R572" s="92" t="str">
        <f>IF($AG572="","",IF($G572&gt;0,P_ToelCorrectie&amp;"",""))</f>
        <v/>
      </c>
      <c r="S572" s="15" t="str">
        <f>IF(J572="","",J572&amp;"|"&amp;E572&amp;"|"&amp;F572&amp;"|"&amp;I572&amp;"|"&amp;O572)</f>
        <v/>
      </c>
      <c r="T572" s="111" t="str">
        <f>IF(S572="","",IF(COUNTIFS(L_Sleutel,S572,L_Actief,1)=0,"",SUMIFS(L_Waarde,L_Sleutel,S572,L_Actief,1)))</f>
        <v/>
      </c>
      <c r="U572" s="111">
        <f>IF(OR(S572="",T572=""),0,P572-T572)</f>
        <v>0</v>
      </c>
      <c r="AB572" s="112" t="n">
        <v>41</v>
      </c>
      <c r="AC572" s="112" t="n">
        <v>4</v>
      </c>
      <c r="AD572" s="112" t="str">
        <f>VERW_Project!R46</f>
        <v/>
      </c>
      <c r="AE572" s="112">
        <f>IF(AND(VERW_Project!$A46&lt;&gt;"",ISNUMBER(AD572)),1,0)</f>
        <v>0</v>
      </c>
      <c r="AF572" s="112" t="str">
        <f>IF(AE572=1,SUM($AE$8:AE572),"")</f>
        <v/>
      </c>
      <c r="AG572" t="str">
        <f>IFERROR(MATCH(565,$AF$8:$AF$1407,0),"")</f>
        <v/>
      </c>
    </row>
    <row r="573">
      <c r="A573" s="92" t="str">
        <f>IF($AG573="","",P_ImportID)</f>
        <v/>
      </c>
      <c r="B573" s="92" t="str">
        <f>IF($AG573="","",IF(INDEX($AN$8:$AN$21,INDEX($AC$8:$AC$1407,$AG573)+1)="Z",P_BronZ,P_BronE))</f>
        <v/>
      </c>
      <c r="C573" s="108" t="str">
        <f>IF($AG573="","",P_Importdatum)</f>
        <v/>
      </c>
      <c r="D573" s="92" t="str">
        <f>IF($AG573="","",P_StatusVastleg)</f>
        <v/>
      </c>
      <c r="E573" s="92" t="str">
        <f>IF($AG573="","",P_UploadVJ)</f>
        <v/>
      </c>
      <c r="F573" s="92" t="str">
        <f>IF($AG573="","",P_UploadVersie)</f>
        <v/>
      </c>
      <c r="G573" s="92" t="str">
        <f>IF($AG573="","",IF(COUNTIFS(L_Sleutel,$S573,L_Status,"Vastgesteld")=0,0,_xlfn.MAXIFS(L_Revisie,L_Sleutel,$S573,L_Status,"Vastgesteld")+1))</f>
        <v/>
      </c>
      <c r="H573" s="108" t="str">
        <f>IF($AG573="","",P_Peildatum)</f>
        <v/>
      </c>
      <c r="I573" s="92" t="str">
        <f>IF($AG573="","",P_RJ+INDEX($AK$8:$AK$21,INDEX($AC$8:$AC$1407,$AG573)+1))</f>
        <v/>
      </c>
      <c r="J573" s="92" t="str">
        <f>IF($AG573="","",INDEX(V_WBS,INDEX($AB$8:$AB$1407,$AG573)))</f>
        <v/>
      </c>
      <c r="K573" s="92" t="str">
        <f>IF($AG573="","",INDEX(V_Projdef,INDEX($AB$8:$AB$1407,$AG573)))</f>
        <v/>
      </c>
      <c r="L573" s="92" t="str">
        <f>IF($AG573="","",INDEX(V_Naam,INDEX($AB$8:$AB$1407,$AG573)))</f>
        <v/>
      </c>
      <c r="M573" s="92" t="str">
        <f>IF($AG573="","",INDEX(V_Type,INDEX($AB$8:$AB$1407,$AG573)))</f>
        <v/>
      </c>
      <c r="N573" s="92" t="str">
        <f>IF($AG573="","",INDEX(V_IFRS,INDEX($AB$8:$AB$1407,$AG573)))</f>
        <v/>
      </c>
      <c r="O573" s="92" t="str">
        <f>IF($AG573="","",INDEX($AL$8:$AL$21,INDEX($AC$8:$AC$1407,$AG573)+1))</f>
        <v/>
      </c>
      <c r="P573" s="109" t="str">
        <f>IF($AG573="","",INDEX($AD$8:$AD$1407,$AG573))</f>
        <v/>
      </c>
      <c r="Q573" s="92" t="str">
        <f>IF($AG573="","",INDEX($AM$8:$AM$21,INDEX($AC$8:$AC$1407,$AG573)+1))</f>
        <v/>
      </c>
      <c r="R573" s="92" t="str">
        <f>IF($AG573="","",IF($G573&gt;0,P_ToelCorrectie&amp;"",""))</f>
        <v/>
      </c>
      <c r="S573" s="15" t="str">
        <f>IF(J573="","",J573&amp;"|"&amp;E573&amp;"|"&amp;F573&amp;"|"&amp;I573&amp;"|"&amp;O573)</f>
        <v/>
      </c>
      <c r="T573" s="111" t="str">
        <f>IF(S573="","",IF(COUNTIFS(L_Sleutel,S573,L_Actief,1)=0,"",SUMIFS(L_Waarde,L_Sleutel,S573,L_Actief,1)))</f>
        <v/>
      </c>
      <c r="U573" s="111">
        <f>IF(OR(S573="",T573=""),0,P573-T573)</f>
        <v>0</v>
      </c>
      <c r="AB573" s="112" t="n">
        <v>41</v>
      </c>
      <c r="AC573" s="112" t="n">
        <v>5</v>
      </c>
      <c r="AD573" s="112" t="str">
        <f>VERW_Project!S46</f>
        <v/>
      </c>
      <c r="AE573" s="112">
        <f>IF(AND(VERW_Project!$A46&lt;&gt;"",ISNUMBER(AD573)),1,0)</f>
        <v>0</v>
      </c>
      <c r="AF573" s="112" t="str">
        <f>IF(AE573=1,SUM($AE$8:AE573),"")</f>
        <v/>
      </c>
      <c r="AG573" t="str">
        <f>IFERROR(MATCH(566,$AF$8:$AF$1407,0),"")</f>
        <v/>
      </c>
    </row>
    <row r="574">
      <c r="A574" s="92" t="str">
        <f>IF($AG574="","",P_ImportID)</f>
        <v/>
      </c>
      <c r="B574" s="92" t="str">
        <f>IF($AG574="","",IF(INDEX($AN$8:$AN$21,INDEX($AC$8:$AC$1407,$AG574)+1)="Z",P_BronZ,P_BronE))</f>
        <v/>
      </c>
      <c r="C574" s="108" t="str">
        <f>IF($AG574="","",P_Importdatum)</f>
        <v/>
      </c>
      <c r="D574" s="92" t="str">
        <f>IF($AG574="","",P_StatusVastleg)</f>
        <v/>
      </c>
      <c r="E574" s="92" t="str">
        <f>IF($AG574="","",P_UploadVJ)</f>
        <v/>
      </c>
      <c r="F574" s="92" t="str">
        <f>IF($AG574="","",P_UploadVersie)</f>
        <v/>
      </c>
      <c r="G574" s="92" t="str">
        <f>IF($AG574="","",IF(COUNTIFS(L_Sleutel,$S574,L_Status,"Vastgesteld")=0,0,_xlfn.MAXIFS(L_Revisie,L_Sleutel,$S574,L_Status,"Vastgesteld")+1))</f>
        <v/>
      </c>
      <c r="H574" s="108" t="str">
        <f>IF($AG574="","",P_Peildatum)</f>
        <v/>
      </c>
      <c r="I574" s="92" t="str">
        <f>IF($AG574="","",P_RJ+INDEX($AK$8:$AK$21,INDEX($AC$8:$AC$1407,$AG574)+1))</f>
        <v/>
      </c>
      <c r="J574" s="92" t="str">
        <f>IF($AG574="","",INDEX(V_WBS,INDEX($AB$8:$AB$1407,$AG574)))</f>
        <v/>
      </c>
      <c r="K574" s="92" t="str">
        <f>IF($AG574="","",INDEX(V_Projdef,INDEX($AB$8:$AB$1407,$AG574)))</f>
        <v/>
      </c>
      <c r="L574" s="92" t="str">
        <f>IF($AG574="","",INDEX(V_Naam,INDEX($AB$8:$AB$1407,$AG574)))</f>
        <v/>
      </c>
      <c r="M574" s="92" t="str">
        <f>IF($AG574="","",INDEX(V_Type,INDEX($AB$8:$AB$1407,$AG574)))</f>
        <v/>
      </c>
      <c r="N574" s="92" t="str">
        <f>IF($AG574="","",INDEX(V_IFRS,INDEX($AB$8:$AB$1407,$AG574)))</f>
        <v/>
      </c>
      <c r="O574" s="92" t="str">
        <f>IF($AG574="","",INDEX($AL$8:$AL$21,INDEX($AC$8:$AC$1407,$AG574)+1))</f>
        <v/>
      </c>
      <c r="P574" s="109" t="str">
        <f>IF($AG574="","",INDEX($AD$8:$AD$1407,$AG574))</f>
        <v/>
      </c>
      <c r="Q574" s="92" t="str">
        <f>IF($AG574="","",INDEX($AM$8:$AM$21,INDEX($AC$8:$AC$1407,$AG574)+1))</f>
        <v/>
      </c>
      <c r="R574" s="92" t="str">
        <f>IF($AG574="","",IF($G574&gt;0,P_ToelCorrectie&amp;"",""))</f>
        <v/>
      </c>
      <c r="S574" s="15" t="str">
        <f>IF(J574="","",J574&amp;"|"&amp;E574&amp;"|"&amp;F574&amp;"|"&amp;I574&amp;"|"&amp;O574)</f>
        <v/>
      </c>
      <c r="T574" s="111" t="str">
        <f>IF(S574="","",IF(COUNTIFS(L_Sleutel,S574,L_Actief,1)=0,"",SUMIFS(L_Waarde,L_Sleutel,S574,L_Actief,1)))</f>
        <v/>
      </c>
      <c r="U574" s="111">
        <f>IF(OR(S574="",T574=""),0,P574-T574)</f>
        <v>0</v>
      </c>
      <c r="AB574" s="112" t="n">
        <v>41</v>
      </c>
      <c r="AC574" s="112" t="n">
        <v>6</v>
      </c>
      <c r="AD574" s="112" t="str">
        <f>VERW_Project!BW46</f>
        <v/>
      </c>
      <c r="AE574" s="112">
        <f>IF(AND(VERW_Project!$A46&lt;&gt;"",ISNUMBER(AD574)),1,0)</f>
        <v>0</v>
      </c>
      <c r="AF574" s="112" t="str">
        <f>IF(AE574=1,SUM($AE$8:AE574),"")</f>
        <v/>
      </c>
      <c r="AG574" t="str">
        <f>IFERROR(MATCH(567,$AF$8:$AF$1407,0),"")</f>
        <v/>
      </c>
    </row>
    <row r="575">
      <c r="A575" s="92" t="str">
        <f>IF($AG575="","",P_ImportID)</f>
        <v/>
      </c>
      <c r="B575" s="92" t="str">
        <f>IF($AG575="","",IF(INDEX($AN$8:$AN$21,INDEX($AC$8:$AC$1407,$AG575)+1)="Z",P_BronZ,P_BronE))</f>
        <v/>
      </c>
      <c r="C575" s="108" t="str">
        <f>IF($AG575="","",P_Importdatum)</f>
        <v/>
      </c>
      <c r="D575" s="92" t="str">
        <f>IF($AG575="","",P_StatusVastleg)</f>
        <v/>
      </c>
      <c r="E575" s="92" t="str">
        <f>IF($AG575="","",P_UploadVJ)</f>
        <v/>
      </c>
      <c r="F575" s="92" t="str">
        <f>IF($AG575="","",P_UploadVersie)</f>
        <v/>
      </c>
      <c r="G575" s="92" t="str">
        <f>IF($AG575="","",IF(COUNTIFS(L_Sleutel,$S575,L_Status,"Vastgesteld")=0,0,_xlfn.MAXIFS(L_Revisie,L_Sleutel,$S575,L_Status,"Vastgesteld")+1))</f>
        <v/>
      </c>
      <c r="H575" s="108" t="str">
        <f>IF($AG575="","",P_Peildatum)</f>
        <v/>
      </c>
      <c r="I575" s="92" t="str">
        <f>IF($AG575="","",P_RJ+INDEX($AK$8:$AK$21,INDEX($AC$8:$AC$1407,$AG575)+1))</f>
        <v/>
      </c>
      <c r="J575" s="92" t="str">
        <f>IF($AG575="","",INDEX(V_WBS,INDEX($AB$8:$AB$1407,$AG575)))</f>
        <v/>
      </c>
      <c r="K575" s="92" t="str">
        <f>IF($AG575="","",INDEX(V_Projdef,INDEX($AB$8:$AB$1407,$AG575)))</f>
        <v/>
      </c>
      <c r="L575" s="92" t="str">
        <f>IF($AG575="","",INDEX(V_Naam,INDEX($AB$8:$AB$1407,$AG575)))</f>
        <v/>
      </c>
      <c r="M575" s="92" t="str">
        <f>IF($AG575="","",INDEX(V_Type,INDEX($AB$8:$AB$1407,$AG575)))</f>
        <v/>
      </c>
      <c r="N575" s="92" t="str">
        <f>IF($AG575="","",INDEX(V_IFRS,INDEX($AB$8:$AB$1407,$AG575)))</f>
        <v/>
      </c>
      <c r="O575" s="92" t="str">
        <f>IF($AG575="","",INDEX($AL$8:$AL$21,INDEX($AC$8:$AC$1407,$AG575)+1))</f>
        <v/>
      </c>
      <c r="P575" s="109" t="str">
        <f>IF($AG575="","",INDEX($AD$8:$AD$1407,$AG575))</f>
        <v/>
      </c>
      <c r="Q575" s="92" t="str">
        <f>IF($AG575="","",INDEX($AM$8:$AM$21,INDEX($AC$8:$AC$1407,$AG575)+1))</f>
        <v/>
      </c>
      <c r="R575" s="92" t="str">
        <f>IF($AG575="","",IF($G575&gt;0,P_ToelCorrectie&amp;"",""))</f>
        <v/>
      </c>
      <c r="S575" s="15" t="str">
        <f>IF(J575="","",J575&amp;"|"&amp;E575&amp;"|"&amp;F575&amp;"|"&amp;I575&amp;"|"&amp;O575)</f>
        <v/>
      </c>
      <c r="T575" s="111" t="str">
        <f>IF(S575="","",IF(COUNTIFS(L_Sleutel,S575,L_Actief,1)=0,"",SUMIFS(L_Waarde,L_Sleutel,S575,L_Actief,1)))</f>
        <v/>
      </c>
      <c r="U575" s="111">
        <f>IF(OR(S575="",T575=""),0,P575-T575)</f>
        <v>0</v>
      </c>
      <c r="AB575" s="112" t="n">
        <v>41</v>
      </c>
      <c r="AC575" s="112" t="n">
        <v>7</v>
      </c>
      <c r="AD575" s="112" t="str">
        <f>VERW_Project!AW46</f>
        <v/>
      </c>
      <c r="AE575" s="112">
        <f>IF(AND(VERW_Project!$A46&lt;&gt;"",ISNUMBER(AD575)),1,0)</f>
        <v>0</v>
      </c>
      <c r="AF575" s="112" t="str">
        <f>IF(AE575=1,SUM($AE$8:AE575),"")</f>
        <v/>
      </c>
      <c r="AG575" t="str">
        <f>IFERROR(MATCH(568,$AF$8:$AF$1407,0),"")</f>
        <v/>
      </c>
    </row>
    <row r="576">
      <c r="A576" s="92" t="str">
        <f>IF($AG576="","",P_ImportID)</f>
        <v/>
      </c>
      <c r="B576" s="92" t="str">
        <f>IF($AG576="","",IF(INDEX($AN$8:$AN$21,INDEX($AC$8:$AC$1407,$AG576)+1)="Z",P_BronZ,P_BronE))</f>
        <v/>
      </c>
      <c r="C576" s="108" t="str">
        <f>IF($AG576="","",P_Importdatum)</f>
        <v/>
      </c>
      <c r="D576" s="92" t="str">
        <f>IF($AG576="","",P_StatusVastleg)</f>
        <v/>
      </c>
      <c r="E576" s="92" t="str">
        <f>IF($AG576="","",P_UploadVJ)</f>
        <v/>
      </c>
      <c r="F576" s="92" t="str">
        <f>IF($AG576="","",P_UploadVersie)</f>
        <v/>
      </c>
      <c r="G576" s="92" t="str">
        <f>IF($AG576="","",IF(COUNTIFS(L_Sleutel,$S576,L_Status,"Vastgesteld")=0,0,_xlfn.MAXIFS(L_Revisie,L_Sleutel,$S576,L_Status,"Vastgesteld")+1))</f>
        <v/>
      </c>
      <c r="H576" s="108" t="str">
        <f>IF($AG576="","",P_Peildatum)</f>
        <v/>
      </c>
      <c r="I576" s="92" t="str">
        <f>IF($AG576="","",P_RJ+INDEX($AK$8:$AK$21,INDEX($AC$8:$AC$1407,$AG576)+1))</f>
        <v/>
      </c>
      <c r="J576" s="92" t="str">
        <f>IF($AG576="","",INDEX(V_WBS,INDEX($AB$8:$AB$1407,$AG576)))</f>
        <v/>
      </c>
      <c r="K576" s="92" t="str">
        <f>IF($AG576="","",INDEX(V_Projdef,INDEX($AB$8:$AB$1407,$AG576)))</f>
        <v/>
      </c>
      <c r="L576" s="92" t="str">
        <f>IF($AG576="","",INDEX(V_Naam,INDEX($AB$8:$AB$1407,$AG576)))</f>
        <v/>
      </c>
      <c r="M576" s="92" t="str">
        <f>IF($AG576="","",INDEX(V_Type,INDEX($AB$8:$AB$1407,$AG576)))</f>
        <v/>
      </c>
      <c r="N576" s="92" t="str">
        <f>IF($AG576="","",INDEX(V_IFRS,INDEX($AB$8:$AB$1407,$AG576)))</f>
        <v/>
      </c>
      <c r="O576" s="92" t="str">
        <f>IF($AG576="","",INDEX($AL$8:$AL$21,INDEX($AC$8:$AC$1407,$AG576)+1))</f>
        <v/>
      </c>
      <c r="P576" s="109" t="str">
        <f>IF($AG576="","",INDEX($AD$8:$AD$1407,$AG576))</f>
        <v/>
      </c>
      <c r="Q576" s="92" t="str">
        <f>IF($AG576="","",INDEX($AM$8:$AM$21,INDEX($AC$8:$AC$1407,$AG576)+1))</f>
        <v/>
      </c>
      <c r="R576" s="92" t="str">
        <f>IF($AG576="","",IF($G576&gt;0,P_ToelCorrectie&amp;"",""))</f>
        <v/>
      </c>
      <c r="S576" s="15" t="str">
        <f>IF(J576="","",J576&amp;"|"&amp;E576&amp;"|"&amp;F576&amp;"|"&amp;I576&amp;"|"&amp;O576)</f>
        <v/>
      </c>
      <c r="T576" s="111" t="str">
        <f>IF(S576="","",IF(COUNTIFS(L_Sleutel,S576,L_Actief,1)=0,"",SUMIFS(L_Waarde,L_Sleutel,S576,L_Actief,1)))</f>
        <v/>
      </c>
      <c r="U576" s="111">
        <f>IF(OR(S576="",T576=""),0,P576-T576)</f>
        <v>0</v>
      </c>
      <c r="AB576" s="112" t="n">
        <v>41</v>
      </c>
      <c r="AC576" s="112" t="n">
        <v>8</v>
      </c>
      <c r="AD576" s="112" t="str">
        <f>VERW_Project!BQ46</f>
        <v/>
      </c>
      <c r="AE576" s="112">
        <f>IF(AND(VERW_Project!$A46&lt;&gt;"",ISNUMBER(AD576)),1,0)</f>
        <v>0</v>
      </c>
      <c r="AF576" s="112" t="str">
        <f>IF(AE576=1,SUM($AE$8:AE576),"")</f>
        <v/>
      </c>
      <c r="AG576" t="str">
        <f>IFERROR(MATCH(569,$AF$8:$AF$1407,0),"")</f>
        <v/>
      </c>
    </row>
    <row r="577">
      <c r="A577" s="92" t="str">
        <f>IF($AG577="","",P_ImportID)</f>
        <v/>
      </c>
      <c r="B577" s="92" t="str">
        <f>IF($AG577="","",IF(INDEX($AN$8:$AN$21,INDEX($AC$8:$AC$1407,$AG577)+1)="Z",P_BronZ,P_BronE))</f>
        <v/>
      </c>
      <c r="C577" s="108" t="str">
        <f>IF($AG577="","",P_Importdatum)</f>
        <v/>
      </c>
      <c r="D577" s="92" t="str">
        <f>IF($AG577="","",P_StatusVastleg)</f>
        <v/>
      </c>
      <c r="E577" s="92" t="str">
        <f>IF($AG577="","",P_UploadVJ)</f>
        <v/>
      </c>
      <c r="F577" s="92" t="str">
        <f>IF($AG577="","",P_UploadVersie)</f>
        <v/>
      </c>
      <c r="G577" s="92" t="str">
        <f>IF($AG577="","",IF(COUNTIFS(L_Sleutel,$S577,L_Status,"Vastgesteld")=0,0,_xlfn.MAXIFS(L_Revisie,L_Sleutel,$S577,L_Status,"Vastgesteld")+1))</f>
        <v/>
      </c>
      <c r="H577" s="108" t="str">
        <f>IF($AG577="","",P_Peildatum)</f>
        <v/>
      </c>
      <c r="I577" s="92" t="str">
        <f>IF($AG577="","",P_RJ+INDEX($AK$8:$AK$21,INDEX($AC$8:$AC$1407,$AG577)+1))</f>
        <v/>
      </c>
      <c r="J577" s="92" t="str">
        <f>IF($AG577="","",INDEX(V_WBS,INDEX($AB$8:$AB$1407,$AG577)))</f>
        <v/>
      </c>
      <c r="K577" s="92" t="str">
        <f>IF($AG577="","",INDEX(V_Projdef,INDEX($AB$8:$AB$1407,$AG577)))</f>
        <v/>
      </c>
      <c r="L577" s="92" t="str">
        <f>IF($AG577="","",INDEX(V_Naam,INDEX($AB$8:$AB$1407,$AG577)))</f>
        <v/>
      </c>
      <c r="M577" s="92" t="str">
        <f>IF($AG577="","",INDEX(V_Type,INDEX($AB$8:$AB$1407,$AG577)))</f>
        <v/>
      </c>
      <c r="N577" s="92" t="str">
        <f>IF($AG577="","",INDEX(V_IFRS,INDEX($AB$8:$AB$1407,$AG577)))</f>
        <v/>
      </c>
      <c r="O577" s="92" t="str">
        <f>IF($AG577="","",INDEX($AL$8:$AL$21,INDEX($AC$8:$AC$1407,$AG577)+1))</f>
        <v/>
      </c>
      <c r="P577" s="109" t="str">
        <f>IF($AG577="","",INDEX($AD$8:$AD$1407,$AG577))</f>
        <v/>
      </c>
      <c r="Q577" s="92" t="str">
        <f>IF($AG577="","",INDEX($AM$8:$AM$21,INDEX($AC$8:$AC$1407,$AG577)+1))</f>
        <v/>
      </c>
      <c r="R577" s="92" t="str">
        <f>IF($AG577="","",IF($G577&gt;0,P_ToelCorrectie&amp;"",""))</f>
        <v/>
      </c>
      <c r="S577" s="15" t="str">
        <f>IF(J577="","",J577&amp;"|"&amp;E577&amp;"|"&amp;F577&amp;"|"&amp;I577&amp;"|"&amp;O577)</f>
        <v/>
      </c>
      <c r="T577" s="111" t="str">
        <f>IF(S577="","",IF(COUNTIFS(L_Sleutel,S577,L_Actief,1)=0,"",SUMIFS(L_Waarde,L_Sleutel,S577,L_Actief,1)))</f>
        <v/>
      </c>
      <c r="U577" s="111">
        <f>IF(OR(S577="",T577=""),0,P577-T577)</f>
        <v>0</v>
      </c>
      <c r="AB577" s="112" t="n">
        <v>41</v>
      </c>
      <c r="AC577" s="112" t="n">
        <v>9</v>
      </c>
      <c r="AD577" s="112" t="str">
        <f>VERW_Project!BR46</f>
        <v/>
      </c>
      <c r="AE577" s="112">
        <f>IF(AND(VERW_Project!$A46&lt;&gt;"",ISNUMBER(AD577)),1,0)</f>
        <v>0</v>
      </c>
      <c r="AF577" s="112" t="str">
        <f>IF(AE577=1,SUM($AE$8:AE577),"")</f>
        <v/>
      </c>
      <c r="AG577" t="str">
        <f>IFERROR(MATCH(570,$AF$8:$AF$1407,0),"")</f>
        <v/>
      </c>
    </row>
    <row r="578">
      <c r="A578" s="92" t="str">
        <f>IF($AG578="","",P_ImportID)</f>
        <v/>
      </c>
      <c r="B578" s="92" t="str">
        <f>IF($AG578="","",IF(INDEX($AN$8:$AN$21,INDEX($AC$8:$AC$1407,$AG578)+1)="Z",P_BronZ,P_BronE))</f>
        <v/>
      </c>
      <c r="C578" s="108" t="str">
        <f>IF($AG578="","",P_Importdatum)</f>
        <v/>
      </c>
      <c r="D578" s="92" t="str">
        <f>IF($AG578="","",P_StatusVastleg)</f>
        <v/>
      </c>
      <c r="E578" s="92" t="str">
        <f>IF($AG578="","",P_UploadVJ)</f>
        <v/>
      </c>
      <c r="F578" s="92" t="str">
        <f>IF($AG578="","",P_UploadVersie)</f>
        <v/>
      </c>
      <c r="G578" s="92" t="str">
        <f>IF($AG578="","",IF(COUNTIFS(L_Sleutel,$S578,L_Status,"Vastgesteld")=0,0,_xlfn.MAXIFS(L_Revisie,L_Sleutel,$S578,L_Status,"Vastgesteld")+1))</f>
        <v/>
      </c>
      <c r="H578" s="108" t="str">
        <f>IF($AG578="","",P_Peildatum)</f>
        <v/>
      </c>
      <c r="I578" s="92" t="str">
        <f>IF($AG578="","",P_RJ+INDEX($AK$8:$AK$21,INDEX($AC$8:$AC$1407,$AG578)+1))</f>
        <v/>
      </c>
      <c r="J578" s="92" t="str">
        <f>IF($AG578="","",INDEX(V_WBS,INDEX($AB$8:$AB$1407,$AG578)))</f>
        <v/>
      </c>
      <c r="K578" s="92" t="str">
        <f>IF($AG578="","",INDEX(V_Projdef,INDEX($AB$8:$AB$1407,$AG578)))</f>
        <v/>
      </c>
      <c r="L578" s="92" t="str">
        <f>IF($AG578="","",INDEX(V_Naam,INDEX($AB$8:$AB$1407,$AG578)))</f>
        <v/>
      </c>
      <c r="M578" s="92" t="str">
        <f>IF($AG578="","",INDEX(V_Type,INDEX($AB$8:$AB$1407,$AG578)))</f>
        <v/>
      </c>
      <c r="N578" s="92" t="str">
        <f>IF($AG578="","",INDEX(V_IFRS,INDEX($AB$8:$AB$1407,$AG578)))</f>
        <v/>
      </c>
      <c r="O578" s="92" t="str">
        <f>IF($AG578="","",INDEX($AL$8:$AL$21,INDEX($AC$8:$AC$1407,$AG578)+1))</f>
        <v/>
      </c>
      <c r="P578" s="109" t="str">
        <f>IF($AG578="","",INDEX($AD$8:$AD$1407,$AG578))</f>
        <v/>
      </c>
      <c r="Q578" s="92" t="str">
        <f>IF($AG578="","",INDEX($AM$8:$AM$21,INDEX($AC$8:$AC$1407,$AG578)+1))</f>
        <v/>
      </c>
      <c r="R578" s="92" t="str">
        <f>IF($AG578="","",IF($G578&gt;0,P_ToelCorrectie&amp;"",""))</f>
        <v/>
      </c>
      <c r="S578" s="15" t="str">
        <f>IF(J578="","",J578&amp;"|"&amp;E578&amp;"|"&amp;F578&amp;"|"&amp;I578&amp;"|"&amp;O578)</f>
        <v/>
      </c>
      <c r="T578" s="111" t="str">
        <f>IF(S578="","",IF(COUNTIFS(L_Sleutel,S578,L_Actief,1)=0,"",SUMIFS(L_Waarde,L_Sleutel,S578,L_Actief,1)))</f>
        <v/>
      </c>
      <c r="U578" s="111">
        <f>IF(OR(S578="",T578=""),0,P578-T578)</f>
        <v>0</v>
      </c>
      <c r="AB578" s="112" t="n">
        <v>41</v>
      </c>
      <c r="AC578" s="112" t="n">
        <v>10</v>
      </c>
      <c r="AD578" s="112" t="str">
        <f>VERW_Project!BS46</f>
        <v/>
      </c>
      <c r="AE578" s="112">
        <f>IF(AND(VERW_Project!$A46&lt;&gt;"",ISNUMBER(AD578)),1,0)</f>
        <v>0</v>
      </c>
      <c r="AF578" s="112" t="str">
        <f>IF(AE578=1,SUM($AE$8:AE578),"")</f>
        <v/>
      </c>
      <c r="AG578" t="str">
        <f>IFERROR(MATCH(571,$AF$8:$AF$1407,0),"")</f>
        <v/>
      </c>
    </row>
    <row r="579">
      <c r="A579" s="92" t="str">
        <f>IF($AG579="","",P_ImportID)</f>
        <v/>
      </c>
      <c r="B579" s="92" t="str">
        <f>IF($AG579="","",IF(INDEX($AN$8:$AN$21,INDEX($AC$8:$AC$1407,$AG579)+1)="Z",P_BronZ,P_BronE))</f>
        <v/>
      </c>
      <c r="C579" s="108" t="str">
        <f>IF($AG579="","",P_Importdatum)</f>
        <v/>
      </c>
      <c r="D579" s="92" t="str">
        <f>IF($AG579="","",P_StatusVastleg)</f>
        <v/>
      </c>
      <c r="E579" s="92" t="str">
        <f>IF($AG579="","",P_UploadVJ)</f>
        <v/>
      </c>
      <c r="F579" s="92" t="str">
        <f>IF($AG579="","",P_UploadVersie)</f>
        <v/>
      </c>
      <c r="G579" s="92" t="str">
        <f>IF($AG579="","",IF(COUNTIFS(L_Sleutel,$S579,L_Status,"Vastgesteld")=0,0,_xlfn.MAXIFS(L_Revisie,L_Sleutel,$S579,L_Status,"Vastgesteld")+1))</f>
        <v/>
      </c>
      <c r="H579" s="108" t="str">
        <f>IF($AG579="","",P_Peildatum)</f>
        <v/>
      </c>
      <c r="I579" s="92" t="str">
        <f>IF($AG579="","",P_RJ+INDEX($AK$8:$AK$21,INDEX($AC$8:$AC$1407,$AG579)+1))</f>
        <v/>
      </c>
      <c r="J579" s="92" t="str">
        <f>IF($AG579="","",INDEX(V_WBS,INDEX($AB$8:$AB$1407,$AG579)))</f>
        <v/>
      </c>
      <c r="K579" s="92" t="str">
        <f>IF($AG579="","",INDEX(V_Projdef,INDEX($AB$8:$AB$1407,$AG579)))</f>
        <v/>
      </c>
      <c r="L579" s="92" t="str">
        <f>IF($AG579="","",INDEX(V_Naam,INDEX($AB$8:$AB$1407,$AG579)))</f>
        <v/>
      </c>
      <c r="M579" s="92" t="str">
        <f>IF($AG579="","",INDEX(V_Type,INDEX($AB$8:$AB$1407,$AG579)))</f>
        <v/>
      </c>
      <c r="N579" s="92" t="str">
        <f>IF($AG579="","",INDEX(V_IFRS,INDEX($AB$8:$AB$1407,$AG579)))</f>
        <v/>
      </c>
      <c r="O579" s="92" t="str">
        <f>IF($AG579="","",INDEX($AL$8:$AL$21,INDEX($AC$8:$AC$1407,$AG579)+1))</f>
        <v/>
      </c>
      <c r="P579" s="109" t="str">
        <f>IF($AG579="","",INDEX($AD$8:$AD$1407,$AG579))</f>
        <v/>
      </c>
      <c r="Q579" s="92" t="str">
        <f>IF($AG579="","",INDEX($AM$8:$AM$21,INDEX($AC$8:$AC$1407,$AG579)+1))</f>
        <v/>
      </c>
      <c r="R579" s="92" t="str">
        <f>IF($AG579="","",IF($G579&gt;0,P_ToelCorrectie&amp;"",""))</f>
        <v/>
      </c>
      <c r="S579" s="15" t="str">
        <f>IF(J579="","",J579&amp;"|"&amp;E579&amp;"|"&amp;F579&amp;"|"&amp;I579&amp;"|"&amp;O579)</f>
        <v/>
      </c>
      <c r="T579" s="111" t="str">
        <f>IF(S579="","",IF(COUNTIFS(L_Sleutel,S579,L_Actief,1)=0,"",SUMIFS(L_Waarde,L_Sleutel,S579,L_Actief,1)))</f>
        <v/>
      </c>
      <c r="U579" s="111">
        <f>IF(OR(S579="",T579=""),0,P579-T579)</f>
        <v>0</v>
      </c>
      <c r="AB579" s="112" t="n">
        <v>41</v>
      </c>
      <c r="AC579" s="112" t="n">
        <v>11</v>
      </c>
      <c r="AD579" s="112" t="str">
        <f>VERW_Project!BT46</f>
        <v/>
      </c>
      <c r="AE579" s="112">
        <f>IF(AND(VERW_Project!$A46&lt;&gt;"",ISNUMBER(AD579)),1,0)</f>
        <v>0</v>
      </c>
      <c r="AF579" s="112" t="str">
        <f>IF(AE579=1,SUM($AE$8:AE579),"")</f>
        <v/>
      </c>
      <c r="AG579" t="str">
        <f>IFERROR(MATCH(572,$AF$8:$AF$1407,0),"")</f>
        <v/>
      </c>
    </row>
    <row r="580">
      <c r="A580" s="92" t="str">
        <f>IF($AG580="","",P_ImportID)</f>
        <v/>
      </c>
      <c r="B580" s="92" t="str">
        <f>IF($AG580="","",IF(INDEX($AN$8:$AN$21,INDEX($AC$8:$AC$1407,$AG580)+1)="Z",P_BronZ,P_BronE))</f>
        <v/>
      </c>
      <c r="C580" s="108" t="str">
        <f>IF($AG580="","",P_Importdatum)</f>
        <v/>
      </c>
      <c r="D580" s="92" t="str">
        <f>IF($AG580="","",P_StatusVastleg)</f>
        <v/>
      </c>
      <c r="E580" s="92" t="str">
        <f>IF($AG580="","",P_UploadVJ)</f>
        <v/>
      </c>
      <c r="F580" s="92" t="str">
        <f>IF($AG580="","",P_UploadVersie)</f>
        <v/>
      </c>
      <c r="G580" s="92" t="str">
        <f>IF($AG580="","",IF(COUNTIFS(L_Sleutel,$S580,L_Status,"Vastgesteld")=0,0,_xlfn.MAXIFS(L_Revisie,L_Sleutel,$S580,L_Status,"Vastgesteld")+1))</f>
        <v/>
      </c>
      <c r="H580" s="108" t="str">
        <f>IF($AG580="","",P_Peildatum)</f>
        <v/>
      </c>
      <c r="I580" s="92" t="str">
        <f>IF($AG580="","",P_RJ+INDEX($AK$8:$AK$21,INDEX($AC$8:$AC$1407,$AG580)+1))</f>
        <v/>
      </c>
      <c r="J580" s="92" t="str">
        <f>IF($AG580="","",INDEX(V_WBS,INDEX($AB$8:$AB$1407,$AG580)))</f>
        <v/>
      </c>
      <c r="K580" s="92" t="str">
        <f>IF($AG580="","",INDEX(V_Projdef,INDEX($AB$8:$AB$1407,$AG580)))</f>
        <v/>
      </c>
      <c r="L580" s="92" t="str">
        <f>IF($AG580="","",INDEX(V_Naam,INDEX($AB$8:$AB$1407,$AG580)))</f>
        <v/>
      </c>
      <c r="M580" s="92" t="str">
        <f>IF($AG580="","",INDEX(V_Type,INDEX($AB$8:$AB$1407,$AG580)))</f>
        <v/>
      </c>
      <c r="N580" s="92" t="str">
        <f>IF($AG580="","",INDEX(V_IFRS,INDEX($AB$8:$AB$1407,$AG580)))</f>
        <v/>
      </c>
      <c r="O580" s="92" t="str">
        <f>IF($AG580="","",INDEX($AL$8:$AL$21,INDEX($AC$8:$AC$1407,$AG580)+1))</f>
        <v/>
      </c>
      <c r="P580" s="109" t="str">
        <f>IF($AG580="","",INDEX($AD$8:$AD$1407,$AG580))</f>
        <v/>
      </c>
      <c r="Q580" s="92" t="str">
        <f>IF($AG580="","",INDEX($AM$8:$AM$21,INDEX($AC$8:$AC$1407,$AG580)+1))</f>
        <v/>
      </c>
      <c r="R580" s="92" t="str">
        <f>IF($AG580="","",IF($G580&gt;0,P_ToelCorrectie&amp;"",""))</f>
        <v/>
      </c>
      <c r="S580" s="15" t="str">
        <f>IF(J580="","",J580&amp;"|"&amp;E580&amp;"|"&amp;F580&amp;"|"&amp;I580&amp;"|"&amp;O580)</f>
        <v/>
      </c>
      <c r="T580" s="111" t="str">
        <f>IF(S580="","",IF(COUNTIFS(L_Sleutel,S580,L_Actief,1)=0,"",SUMIFS(L_Waarde,L_Sleutel,S580,L_Actief,1)))</f>
        <v/>
      </c>
      <c r="U580" s="111">
        <f>IF(OR(S580="",T580=""),0,P580-T580)</f>
        <v>0</v>
      </c>
      <c r="AB580" s="112" t="n">
        <v>41</v>
      </c>
      <c r="AC580" s="112" t="n">
        <v>12</v>
      </c>
      <c r="AD580" s="112" t="str">
        <f>VERW_Project!BU46</f>
        <v/>
      </c>
      <c r="AE580" s="112">
        <f>IF(AND(VERW_Project!$A46&lt;&gt;"",ISNUMBER(AD580)),1,0)</f>
        <v>0</v>
      </c>
      <c r="AF580" s="112" t="str">
        <f>IF(AE580=1,SUM($AE$8:AE580),"")</f>
        <v/>
      </c>
      <c r="AG580" t="str">
        <f>IFERROR(MATCH(573,$AF$8:$AF$1407,0),"")</f>
        <v/>
      </c>
    </row>
    <row r="581">
      <c r="A581" s="92" t="str">
        <f>IF($AG581="","",P_ImportID)</f>
        <v/>
      </c>
      <c r="B581" s="92" t="str">
        <f>IF($AG581="","",IF(INDEX($AN$8:$AN$21,INDEX($AC$8:$AC$1407,$AG581)+1)="Z",P_BronZ,P_BronE))</f>
        <v/>
      </c>
      <c r="C581" s="108" t="str">
        <f>IF($AG581="","",P_Importdatum)</f>
        <v/>
      </c>
      <c r="D581" s="92" t="str">
        <f>IF($AG581="","",P_StatusVastleg)</f>
        <v/>
      </c>
      <c r="E581" s="92" t="str">
        <f>IF($AG581="","",P_UploadVJ)</f>
        <v/>
      </c>
      <c r="F581" s="92" t="str">
        <f>IF($AG581="","",P_UploadVersie)</f>
        <v/>
      </c>
      <c r="G581" s="92" t="str">
        <f>IF($AG581="","",IF(COUNTIFS(L_Sleutel,$S581,L_Status,"Vastgesteld")=0,0,_xlfn.MAXIFS(L_Revisie,L_Sleutel,$S581,L_Status,"Vastgesteld")+1))</f>
        <v/>
      </c>
      <c r="H581" s="108" t="str">
        <f>IF($AG581="","",P_Peildatum)</f>
        <v/>
      </c>
      <c r="I581" s="92" t="str">
        <f>IF($AG581="","",P_RJ+INDEX($AK$8:$AK$21,INDEX($AC$8:$AC$1407,$AG581)+1))</f>
        <v/>
      </c>
      <c r="J581" s="92" t="str">
        <f>IF($AG581="","",INDEX(V_WBS,INDEX($AB$8:$AB$1407,$AG581)))</f>
        <v/>
      </c>
      <c r="K581" s="92" t="str">
        <f>IF($AG581="","",INDEX(V_Projdef,INDEX($AB$8:$AB$1407,$AG581)))</f>
        <v/>
      </c>
      <c r="L581" s="92" t="str">
        <f>IF($AG581="","",INDEX(V_Naam,INDEX($AB$8:$AB$1407,$AG581)))</f>
        <v/>
      </c>
      <c r="M581" s="92" t="str">
        <f>IF($AG581="","",INDEX(V_Type,INDEX($AB$8:$AB$1407,$AG581)))</f>
        <v/>
      </c>
      <c r="N581" s="92" t="str">
        <f>IF($AG581="","",INDEX(V_IFRS,INDEX($AB$8:$AB$1407,$AG581)))</f>
        <v/>
      </c>
      <c r="O581" s="92" t="str">
        <f>IF($AG581="","",INDEX($AL$8:$AL$21,INDEX($AC$8:$AC$1407,$AG581)+1))</f>
        <v/>
      </c>
      <c r="P581" s="109" t="str">
        <f>IF($AG581="","",INDEX($AD$8:$AD$1407,$AG581))</f>
        <v/>
      </c>
      <c r="Q581" s="92" t="str">
        <f>IF($AG581="","",INDEX($AM$8:$AM$21,INDEX($AC$8:$AC$1407,$AG581)+1))</f>
        <v/>
      </c>
      <c r="R581" s="92" t="str">
        <f>IF($AG581="","",IF($G581&gt;0,P_ToelCorrectie&amp;"",""))</f>
        <v/>
      </c>
      <c r="S581" s="15" t="str">
        <f>IF(J581="","",J581&amp;"|"&amp;E581&amp;"|"&amp;F581&amp;"|"&amp;I581&amp;"|"&amp;O581)</f>
        <v/>
      </c>
      <c r="T581" s="111" t="str">
        <f>IF(S581="","",IF(COUNTIFS(L_Sleutel,S581,L_Actief,1)=0,"",SUMIFS(L_Waarde,L_Sleutel,S581,L_Actief,1)))</f>
        <v/>
      </c>
      <c r="U581" s="111">
        <f>IF(OR(S581="",T581=""),0,P581-T581)</f>
        <v>0</v>
      </c>
      <c r="AB581" s="112" t="n">
        <v>41</v>
      </c>
      <c r="AC581" s="112" t="n">
        <v>13</v>
      </c>
      <c r="AD581" s="112" t="str">
        <f>VERW_Project!BX46</f>
        <v/>
      </c>
      <c r="AE581" s="112">
        <f>IF(AND(VERW_Project!$A46&lt;&gt;"",ISNUMBER(AD581)),1,0)</f>
        <v>0</v>
      </c>
      <c r="AF581" s="112" t="str">
        <f>IF(AE581=1,SUM($AE$8:AE581),"")</f>
        <v/>
      </c>
      <c r="AG581" t="str">
        <f>IFERROR(MATCH(574,$AF$8:$AF$1407,0),"")</f>
        <v/>
      </c>
    </row>
    <row r="582">
      <c r="A582" s="92" t="str">
        <f>IF($AG582="","",P_ImportID)</f>
        <v/>
      </c>
      <c r="B582" s="92" t="str">
        <f>IF($AG582="","",IF(INDEX($AN$8:$AN$21,INDEX($AC$8:$AC$1407,$AG582)+1)="Z",P_BronZ,P_BronE))</f>
        <v/>
      </c>
      <c r="C582" s="108" t="str">
        <f>IF($AG582="","",P_Importdatum)</f>
        <v/>
      </c>
      <c r="D582" s="92" t="str">
        <f>IF($AG582="","",P_StatusVastleg)</f>
        <v/>
      </c>
      <c r="E582" s="92" t="str">
        <f>IF($AG582="","",P_UploadVJ)</f>
        <v/>
      </c>
      <c r="F582" s="92" t="str">
        <f>IF($AG582="","",P_UploadVersie)</f>
        <v/>
      </c>
      <c r="G582" s="92" t="str">
        <f>IF($AG582="","",IF(COUNTIFS(L_Sleutel,$S582,L_Status,"Vastgesteld")=0,0,_xlfn.MAXIFS(L_Revisie,L_Sleutel,$S582,L_Status,"Vastgesteld")+1))</f>
        <v/>
      </c>
      <c r="H582" s="108" t="str">
        <f>IF($AG582="","",P_Peildatum)</f>
        <v/>
      </c>
      <c r="I582" s="92" t="str">
        <f>IF($AG582="","",P_RJ+INDEX($AK$8:$AK$21,INDEX($AC$8:$AC$1407,$AG582)+1))</f>
        <v/>
      </c>
      <c r="J582" s="92" t="str">
        <f>IF($AG582="","",INDEX(V_WBS,INDEX($AB$8:$AB$1407,$AG582)))</f>
        <v/>
      </c>
      <c r="K582" s="92" t="str">
        <f>IF($AG582="","",INDEX(V_Projdef,INDEX($AB$8:$AB$1407,$AG582)))</f>
        <v/>
      </c>
      <c r="L582" s="92" t="str">
        <f>IF($AG582="","",INDEX(V_Naam,INDEX($AB$8:$AB$1407,$AG582)))</f>
        <v/>
      </c>
      <c r="M582" s="92" t="str">
        <f>IF($AG582="","",INDEX(V_Type,INDEX($AB$8:$AB$1407,$AG582)))</f>
        <v/>
      </c>
      <c r="N582" s="92" t="str">
        <f>IF($AG582="","",INDEX(V_IFRS,INDEX($AB$8:$AB$1407,$AG582)))</f>
        <v/>
      </c>
      <c r="O582" s="92" t="str">
        <f>IF($AG582="","",INDEX($AL$8:$AL$21,INDEX($AC$8:$AC$1407,$AG582)+1))</f>
        <v/>
      </c>
      <c r="P582" s="109" t="str">
        <f>IF($AG582="","",INDEX($AD$8:$AD$1407,$AG582))</f>
        <v/>
      </c>
      <c r="Q582" s="92" t="str">
        <f>IF($AG582="","",INDEX($AM$8:$AM$21,INDEX($AC$8:$AC$1407,$AG582)+1))</f>
        <v/>
      </c>
      <c r="R582" s="92" t="str">
        <f>IF($AG582="","",IF($G582&gt;0,P_ToelCorrectie&amp;"",""))</f>
        <v/>
      </c>
      <c r="S582" s="15" t="str">
        <f>IF(J582="","",J582&amp;"|"&amp;E582&amp;"|"&amp;F582&amp;"|"&amp;I582&amp;"|"&amp;O582)</f>
        <v/>
      </c>
      <c r="T582" s="111" t="str">
        <f>IF(S582="","",IF(COUNTIFS(L_Sleutel,S582,L_Actief,1)=0,"",SUMIFS(L_Waarde,L_Sleutel,S582,L_Actief,1)))</f>
        <v/>
      </c>
      <c r="U582" s="111">
        <f>IF(OR(S582="",T582=""),0,P582-T582)</f>
        <v>0</v>
      </c>
      <c r="AB582" s="112" t="n">
        <v>42</v>
      </c>
      <c r="AC582" s="112" t="n">
        <v>0</v>
      </c>
      <c r="AD582" s="112" t="str">
        <f>VERW_Project!P47</f>
        <v/>
      </c>
      <c r="AE582" s="112">
        <f>IF(AND(VERW_Project!$A47&lt;&gt;"",ISNUMBER(AD582)),1,0)</f>
        <v>0</v>
      </c>
      <c r="AF582" s="112" t="str">
        <f>IF(AE582=1,SUM($AE$8:AE582),"")</f>
        <v/>
      </c>
      <c r="AG582" t="str">
        <f>IFERROR(MATCH(575,$AF$8:$AF$1407,0),"")</f>
        <v/>
      </c>
    </row>
    <row r="583">
      <c r="A583" s="92" t="str">
        <f>IF($AG583="","",P_ImportID)</f>
        <v/>
      </c>
      <c r="B583" s="92" t="str">
        <f>IF($AG583="","",IF(INDEX($AN$8:$AN$21,INDEX($AC$8:$AC$1407,$AG583)+1)="Z",P_BronZ,P_BronE))</f>
        <v/>
      </c>
      <c r="C583" s="108" t="str">
        <f>IF($AG583="","",P_Importdatum)</f>
        <v/>
      </c>
      <c r="D583" s="92" t="str">
        <f>IF($AG583="","",P_StatusVastleg)</f>
        <v/>
      </c>
      <c r="E583" s="92" t="str">
        <f>IF($AG583="","",P_UploadVJ)</f>
        <v/>
      </c>
      <c r="F583" s="92" t="str">
        <f>IF($AG583="","",P_UploadVersie)</f>
        <v/>
      </c>
      <c r="G583" s="92" t="str">
        <f>IF($AG583="","",IF(COUNTIFS(L_Sleutel,$S583,L_Status,"Vastgesteld")=0,0,_xlfn.MAXIFS(L_Revisie,L_Sleutel,$S583,L_Status,"Vastgesteld")+1))</f>
        <v/>
      </c>
      <c r="H583" s="108" t="str">
        <f>IF($AG583="","",P_Peildatum)</f>
        <v/>
      </c>
      <c r="I583" s="92" t="str">
        <f>IF($AG583="","",P_RJ+INDEX($AK$8:$AK$21,INDEX($AC$8:$AC$1407,$AG583)+1))</f>
        <v/>
      </c>
      <c r="J583" s="92" t="str">
        <f>IF($AG583="","",INDEX(V_WBS,INDEX($AB$8:$AB$1407,$AG583)))</f>
        <v/>
      </c>
      <c r="K583" s="92" t="str">
        <f>IF($AG583="","",INDEX(V_Projdef,INDEX($AB$8:$AB$1407,$AG583)))</f>
        <v/>
      </c>
      <c r="L583" s="92" t="str">
        <f>IF($AG583="","",INDEX(V_Naam,INDEX($AB$8:$AB$1407,$AG583)))</f>
        <v/>
      </c>
      <c r="M583" s="92" t="str">
        <f>IF($AG583="","",INDEX(V_Type,INDEX($AB$8:$AB$1407,$AG583)))</f>
        <v/>
      </c>
      <c r="N583" s="92" t="str">
        <f>IF($AG583="","",INDEX(V_IFRS,INDEX($AB$8:$AB$1407,$AG583)))</f>
        <v/>
      </c>
      <c r="O583" s="92" t="str">
        <f>IF($AG583="","",INDEX($AL$8:$AL$21,INDEX($AC$8:$AC$1407,$AG583)+1))</f>
        <v/>
      </c>
      <c r="P583" s="109" t="str">
        <f>IF($AG583="","",INDEX($AD$8:$AD$1407,$AG583))</f>
        <v/>
      </c>
      <c r="Q583" s="92" t="str">
        <f>IF($AG583="","",INDEX($AM$8:$AM$21,INDEX($AC$8:$AC$1407,$AG583)+1))</f>
        <v/>
      </c>
      <c r="R583" s="92" t="str">
        <f>IF($AG583="","",IF($G583&gt;0,P_ToelCorrectie&amp;"",""))</f>
        <v/>
      </c>
      <c r="S583" s="15" t="str">
        <f>IF(J583="","",J583&amp;"|"&amp;E583&amp;"|"&amp;F583&amp;"|"&amp;I583&amp;"|"&amp;O583)</f>
        <v/>
      </c>
      <c r="T583" s="111" t="str">
        <f>IF(S583="","",IF(COUNTIFS(L_Sleutel,S583,L_Actief,1)=0,"",SUMIFS(L_Waarde,L_Sleutel,S583,L_Actief,1)))</f>
        <v/>
      </c>
      <c r="U583" s="111">
        <f>IF(OR(S583="",T583=""),0,P583-T583)</f>
        <v>0</v>
      </c>
      <c r="AB583" s="112" t="n">
        <v>42</v>
      </c>
      <c r="AC583" s="112" t="n">
        <v>1</v>
      </c>
      <c r="AD583" s="112" t="str">
        <f>VERW_Project!Q47</f>
        <v/>
      </c>
      <c r="AE583" s="112">
        <f>IF(AND(VERW_Project!$A47&lt;&gt;"",ISNUMBER(AD583)),1,0)</f>
        <v>0</v>
      </c>
      <c r="AF583" s="112" t="str">
        <f>IF(AE583=1,SUM($AE$8:AE583),"")</f>
        <v/>
      </c>
      <c r="AG583" t="str">
        <f>IFERROR(MATCH(576,$AF$8:$AF$1407,0),"")</f>
        <v/>
      </c>
    </row>
    <row r="584">
      <c r="A584" s="92" t="str">
        <f>IF($AG584="","",P_ImportID)</f>
        <v/>
      </c>
      <c r="B584" s="92" t="str">
        <f>IF($AG584="","",IF(INDEX($AN$8:$AN$21,INDEX($AC$8:$AC$1407,$AG584)+1)="Z",P_BronZ,P_BronE))</f>
        <v/>
      </c>
      <c r="C584" s="108" t="str">
        <f>IF($AG584="","",P_Importdatum)</f>
        <v/>
      </c>
      <c r="D584" s="92" t="str">
        <f>IF($AG584="","",P_StatusVastleg)</f>
        <v/>
      </c>
      <c r="E584" s="92" t="str">
        <f>IF($AG584="","",P_UploadVJ)</f>
        <v/>
      </c>
      <c r="F584" s="92" t="str">
        <f>IF($AG584="","",P_UploadVersie)</f>
        <v/>
      </c>
      <c r="G584" s="92" t="str">
        <f>IF($AG584="","",IF(COUNTIFS(L_Sleutel,$S584,L_Status,"Vastgesteld")=0,0,_xlfn.MAXIFS(L_Revisie,L_Sleutel,$S584,L_Status,"Vastgesteld")+1))</f>
        <v/>
      </c>
      <c r="H584" s="108" t="str">
        <f>IF($AG584="","",P_Peildatum)</f>
        <v/>
      </c>
      <c r="I584" s="92" t="str">
        <f>IF($AG584="","",P_RJ+INDEX($AK$8:$AK$21,INDEX($AC$8:$AC$1407,$AG584)+1))</f>
        <v/>
      </c>
      <c r="J584" s="92" t="str">
        <f>IF($AG584="","",INDEX(V_WBS,INDEX($AB$8:$AB$1407,$AG584)))</f>
        <v/>
      </c>
      <c r="K584" s="92" t="str">
        <f>IF($AG584="","",INDEX(V_Projdef,INDEX($AB$8:$AB$1407,$AG584)))</f>
        <v/>
      </c>
      <c r="L584" s="92" t="str">
        <f>IF($AG584="","",INDEX(V_Naam,INDEX($AB$8:$AB$1407,$AG584)))</f>
        <v/>
      </c>
      <c r="M584" s="92" t="str">
        <f>IF($AG584="","",INDEX(V_Type,INDEX($AB$8:$AB$1407,$AG584)))</f>
        <v/>
      </c>
      <c r="N584" s="92" t="str">
        <f>IF($AG584="","",INDEX(V_IFRS,INDEX($AB$8:$AB$1407,$AG584)))</f>
        <v/>
      </c>
      <c r="O584" s="92" t="str">
        <f>IF($AG584="","",INDEX($AL$8:$AL$21,INDEX($AC$8:$AC$1407,$AG584)+1))</f>
        <v/>
      </c>
      <c r="P584" s="109" t="str">
        <f>IF($AG584="","",INDEX($AD$8:$AD$1407,$AG584))</f>
        <v/>
      </c>
      <c r="Q584" s="92" t="str">
        <f>IF($AG584="","",INDEX($AM$8:$AM$21,INDEX($AC$8:$AC$1407,$AG584)+1))</f>
        <v/>
      </c>
      <c r="R584" s="92" t="str">
        <f>IF($AG584="","",IF($G584&gt;0,P_ToelCorrectie&amp;"",""))</f>
        <v/>
      </c>
      <c r="S584" s="15" t="str">
        <f>IF(J584="","",J584&amp;"|"&amp;E584&amp;"|"&amp;F584&amp;"|"&amp;I584&amp;"|"&amp;O584)</f>
        <v/>
      </c>
      <c r="T584" s="111" t="str">
        <f>IF(S584="","",IF(COUNTIFS(L_Sleutel,S584,L_Actief,1)=0,"",SUMIFS(L_Waarde,L_Sleutel,S584,L_Actief,1)))</f>
        <v/>
      </c>
      <c r="U584" s="111">
        <f>IF(OR(S584="",T584=""),0,P584-T584)</f>
        <v>0</v>
      </c>
      <c r="AB584" s="112" t="n">
        <v>42</v>
      </c>
      <c r="AC584" s="112" t="n">
        <v>2</v>
      </c>
      <c r="AD584" s="112" t="str">
        <f>VERW_Project!L47</f>
        <v/>
      </c>
      <c r="AE584" s="112">
        <f>IF(AND(VERW_Project!$A47&lt;&gt;"",ISNUMBER(AD584)),1,0)</f>
        <v>0</v>
      </c>
      <c r="AF584" s="112" t="str">
        <f>IF(AE584=1,SUM($AE$8:AE584),"")</f>
        <v/>
      </c>
      <c r="AG584" t="str">
        <f>IFERROR(MATCH(577,$AF$8:$AF$1407,0),"")</f>
        <v/>
      </c>
    </row>
    <row r="585">
      <c r="A585" s="92" t="str">
        <f>IF($AG585="","",P_ImportID)</f>
        <v/>
      </c>
      <c r="B585" s="92" t="str">
        <f>IF($AG585="","",IF(INDEX($AN$8:$AN$21,INDEX($AC$8:$AC$1407,$AG585)+1)="Z",P_BronZ,P_BronE))</f>
        <v/>
      </c>
      <c r="C585" s="108" t="str">
        <f>IF($AG585="","",P_Importdatum)</f>
        <v/>
      </c>
      <c r="D585" s="92" t="str">
        <f>IF($AG585="","",P_StatusVastleg)</f>
        <v/>
      </c>
      <c r="E585" s="92" t="str">
        <f>IF($AG585="","",P_UploadVJ)</f>
        <v/>
      </c>
      <c r="F585" s="92" t="str">
        <f>IF($AG585="","",P_UploadVersie)</f>
        <v/>
      </c>
      <c r="G585" s="92" t="str">
        <f>IF($AG585="","",IF(COUNTIFS(L_Sleutel,$S585,L_Status,"Vastgesteld")=0,0,_xlfn.MAXIFS(L_Revisie,L_Sleutel,$S585,L_Status,"Vastgesteld")+1))</f>
        <v/>
      </c>
      <c r="H585" s="108" t="str">
        <f>IF($AG585="","",P_Peildatum)</f>
        <v/>
      </c>
      <c r="I585" s="92" t="str">
        <f>IF($AG585="","",P_RJ+INDEX($AK$8:$AK$21,INDEX($AC$8:$AC$1407,$AG585)+1))</f>
        <v/>
      </c>
      <c r="J585" s="92" t="str">
        <f>IF($AG585="","",INDEX(V_WBS,INDEX($AB$8:$AB$1407,$AG585)))</f>
        <v/>
      </c>
      <c r="K585" s="92" t="str">
        <f>IF($AG585="","",INDEX(V_Projdef,INDEX($AB$8:$AB$1407,$AG585)))</f>
        <v/>
      </c>
      <c r="L585" s="92" t="str">
        <f>IF($AG585="","",INDEX(V_Naam,INDEX($AB$8:$AB$1407,$AG585)))</f>
        <v/>
      </c>
      <c r="M585" s="92" t="str">
        <f>IF($AG585="","",INDEX(V_Type,INDEX($AB$8:$AB$1407,$AG585)))</f>
        <v/>
      </c>
      <c r="N585" s="92" t="str">
        <f>IF($AG585="","",INDEX(V_IFRS,INDEX($AB$8:$AB$1407,$AG585)))</f>
        <v/>
      </c>
      <c r="O585" s="92" t="str">
        <f>IF($AG585="","",INDEX($AL$8:$AL$21,INDEX($AC$8:$AC$1407,$AG585)+1))</f>
        <v/>
      </c>
      <c r="P585" s="109" t="str">
        <f>IF($AG585="","",INDEX($AD$8:$AD$1407,$AG585))</f>
        <v/>
      </c>
      <c r="Q585" s="92" t="str">
        <f>IF($AG585="","",INDEX($AM$8:$AM$21,INDEX($AC$8:$AC$1407,$AG585)+1))</f>
        <v/>
      </c>
      <c r="R585" s="92" t="str">
        <f>IF($AG585="","",IF($G585&gt;0,P_ToelCorrectie&amp;"",""))</f>
        <v/>
      </c>
      <c r="S585" s="15" t="str">
        <f>IF(J585="","",J585&amp;"|"&amp;E585&amp;"|"&amp;F585&amp;"|"&amp;I585&amp;"|"&amp;O585)</f>
        <v/>
      </c>
      <c r="T585" s="111" t="str">
        <f>IF(S585="","",IF(COUNTIFS(L_Sleutel,S585,L_Actief,1)=0,"",SUMIFS(L_Waarde,L_Sleutel,S585,L_Actief,1)))</f>
        <v/>
      </c>
      <c r="U585" s="111">
        <f>IF(OR(S585="",T585=""),0,P585-T585)</f>
        <v>0</v>
      </c>
      <c r="AB585" s="112" t="n">
        <v>42</v>
      </c>
      <c r="AC585" s="112" t="n">
        <v>3</v>
      </c>
      <c r="AD585" s="112" t="str">
        <f>VERW_Project!M47</f>
        <v/>
      </c>
      <c r="AE585" s="112">
        <f>IF(AND(VERW_Project!$A47&lt;&gt;"",ISNUMBER(AD585)),1,0)</f>
        <v>0</v>
      </c>
      <c r="AF585" s="112" t="str">
        <f>IF(AE585=1,SUM($AE$8:AE585),"")</f>
        <v/>
      </c>
      <c r="AG585" t="str">
        <f>IFERROR(MATCH(578,$AF$8:$AF$1407,0),"")</f>
        <v/>
      </c>
    </row>
    <row r="586">
      <c r="A586" s="92" t="str">
        <f>IF($AG586="","",P_ImportID)</f>
        <v/>
      </c>
      <c r="B586" s="92" t="str">
        <f>IF($AG586="","",IF(INDEX($AN$8:$AN$21,INDEX($AC$8:$AC$1407,$AG586)+1)="Z",P_BronZ,P_BronE))</f>
        <v/>
      </c>
      <c r="C586" s="108" t="str">
        <f>IF($AG586="","",P_Importdatum)</f>
        <v/>
      </c>
      <c r="D586" s="92" t="str">
        <f>IF($AG586="","",P_StatusVastleg)</f>
        <v/>
      </c>
      <c r="E586" s="92" t="str">
        <f>IF($AG586="","",P_UploadVJ)</f>
        <v/>
      </c>
      <c r="F586" s="92" t="str">
        <f>IF($AG586="","",P_UploadVersie)</f>
        <v/>
      </c>
      <c r="G586" s="92" t="str">
        <f>IF($AG586="","",IF(COUNTIFS(L_Sleutel,$S586,L_Status,"Vastgesteld")=0,0,_xlfn.MAXIFS(L_Revisie,L_Sleutel,$S586,L_Status,"Vastgesteld")+1))</f>
        <v/>
      </c>
      <c r="H586" s="108" t="str">
        <f>IF($AG586="","",P_Peildatum)</f>
        <v/>
      </c>
      <c r="I586" s="92" t="str">
        <f>IF($AG586="","",P_RJ+INDEX($AK$8:$AK$21,INDEX($AC$8:$AC$1407,$AG586)+1))</f>
        <v/>
      </c>
      <c r="J586" s="92" t="str">
        <f>IF($AG586="","",INDEX(V_WBS,INDEX($AB$8:$AB$1407,$AG586)))</f>
        <v/>
      </c>
      <c r="K586" s="92" t="str">
        <f>IF($AG586="","",INDEX(V_Projdef,INDEX($AB$8:$AB$1407,$AG586)))</f>
        <v/>
      </c>
      <c r="L586" s="92" t="str">
        <f>IF($AG586="","",INDEX(V_Naam,INDEX($AB$8:$AB$1407,$AG586)))</f>
        <v/>
      </c>
      <c r="M586" s="92" t="str">
        <f>IF($AG586="","",INDEX(V_Type,INDEX($AB$8:$AB$1407,$AG586)))</f>
        <v/>
      </c>
      <c r="N586" s="92" t="str">
        <f>IF($AG586="","",INDEX(V_IFRS,INDEX($AB$8:$AB$1407,$AG586)))</f>
        <v/>
      </c>
      <c r="O586" s="92" t="str">
        <f>IF($AG586="","",INDEX($AL$8:$AL$21,INDEX($AC$8:$AC$1407,$AG586)+1))</f>
        <v/>
      </c>
      <c r="P586" s="109" t="str">
        <f>IF($AG586="","",INDEX($AD$8:$AD$1407,$AG586))</f>
        <v/>
      </c>
      <c r="Q586" s="92" t="str">
        <f>IF($AG586="","",INDEX($AM$8:$AM$21,INDEX($AC$8:$AC$1407,$AG586)+1))</f>
        <v/>
      </c>
      <c r="R586" s="92" t="str">
        <f>IF($AG586="","",IF($G586&gt;0,P_ToelCorrectie&amp;"",""))</f>
        <v/>
      </c>
      <c r="S586" s="15" t="str">
        <f>IF(J586="","",J586&amp;"|"&amp;E586&amp;"|"&amp;F586&amp;"|"&amp;I586&amp;"|"&amp;O586)</f>
        <v/>
      </c>
      <c r="T586" s="111" t="str">
        <f>IF(S586="","",IF(COUNTIFS(L_Sleutel,S586,L_Actief,1)=0,"",SUMIFS(L_Waarde,L_Sleutel,S586,L_Actief,1)))</f>
        <v/>
      </c>
      <c r="U586" s="111">
        <f>IF(OR(S586="",T586=""),0,P586-T586)</f>
        <v>0</v>
      </c>
      <c r="AB586" s="112" t="n">
        <v>42</v>
      </c>
      <c r="AC586" s="112" t="n">
        <v>4</v>
      </c>
      <c r="AD586" s="112" t="str">
        <f>VERW_Project!R47</f>
        <v/>
      </c>
      <c r="AE586" s="112">
        <f>IF(AND(VERW_Project!$A47&lt;&gt;"",ISNUMBER(AD586)),1,0)</f>
        <v>0</v>
      </c>
      <c r="AF586" s="112" t="str">
        <f>IF(AE586=1,SUM($AE$8:AE586),"")</f>
        <v/>
      </c>
      <c r="AG586" t="str">
        <f>IFERROR(MATCH(579,$AF$8:$AF$1407,0),"")</f>
        <v/>
      </c>
    </row>
    <row r="587">
      <c r="A587" s="92" t="str">
        <f>IF($AG587="","",P_ImportID)</f>
        <v/>
      </c>
      <c r="B587" s="92" t="str">
        <f>IF($AG587="","",IF(INDEX($AN$8:$AN$21,INDEX($AC$8:$AC$1407,$AG587)+1)="Z",P_BronZ,P_BronE))</f>
        <v/>
      </c>
      <c r="C587" s="108" t="str">
        <f>IF($AG587="","",P_Importdatum)</f>
        <v/>
      </c>
      <c r="D587" s="92" t="str">
        <f>IF($AG587="","",P_StatusVastleg)</f>
        <v/>
      </c>
      <c r="E587" s="92" t="str">
        <f>IF($AG587="","",P_UploadVJ)</f>
        <v/>
      </c>
      <c r="F587" s="92" t="str">
        <f>IF($AG587="","",P_UploadVersie)</f>
        <v/>
      </c>
      <c r="G587" s="92" t="str">
        <f>IF($AG587="","",IF(COUNTIFS(L_Sleutel,$S587,L_Status,"Vastgesteld")=0,0,_xlfn.MAXIFS(L_Revisie,L_Sleutel,$S587,L_Status,"Vastgesteld")+1))</f>
        <v/>
      </c>
      <c r="H587" s="108" t="str">
        <f>IF($AG587="","",P_Peildatum)</f>
        <v/>
      </c>
      <c r="I587" s="92" t="str">
        <f>IF($AG587="","",P_RJ+INDEX($AK$8:$AK$21,INDEX($AC$8:$AC$1407,$AG587)+1))</f>
        <v/>
      </c>
      <c r="J587" s="92" t="str">
        <f>IF($AG587="","",INDEX(V_WBS,INDEX($AB$8:$AB$1407,$AG587)))</f>
        <v/>
      </c>
      <c r="K587" s="92" t="str">
        <f>IF($AG587="","",INDEX(V_Projdef,INDEX($AB$8:$AB$1407,$AG587)))</f>
        <v/>
      </c>
      <c r="L587" s="92" t="str">
        <f>IF($AG587="","",INDEX(V_Naam,INDEX($AB$8:$AB$1407,$AG587)))</f>
        <v/>
      </c>
      <c r="M587" s="92" t="str">
        <f>IF($AG587="","",INDEX(V_Type,INDEX($AB$8:$AB$1407,$AG587)))</f>
        <v/>
      </c>
      <c r="N587" s="92" t="str">
        <f>IF($AG587="","",INDEX(V_IFRS,INDEX($AB$8:$AB$1407,$AG587)))</f>
        <v/>
      </c>
      <c r="O587" s="92" t="str">
        <f>IF($AG587="","",INDEX($AL$8:$AL$21,INDEX($AC$8:$AC$1407,$AG587)+1))</f>
        <v/>
      </c>
      <c r="P587" s="109" t="str">
        <f>IF($AG587="","",INDEX($AD$8:$AD$1407,$AG587))</f>
        <v/>
      </c>
      <c r="Q587" s="92" t="str">
        <f>IF($AG587="","",INDEX($AM$8:$AM$21,INDEX($AC$8:$AC$1407,$AG587)+1))</f>
        <v/>
      </c>
      <c r="R587" s="92" t="str">
        <f>IF($AG587="","",IF($G587&gt;0,P_ToelCorrectie&amp;"",""))</f>
        <v/>
      </c>
      <c r="S587" s="15" t="str">
        <f>IF(J587="","",J587&amp;"|"&amp;E587&amp;"|"&amp;F587&amp;"|"&amp;I587&amp;"|"&amp;O587)</f>
        <v/>
      </c>
      <c r="T587" s="111" t="str">
        <f>IF(S587="","",IF(COUNTIFS(L_Sleutel,S587,L_Actief,1)=0,"",SUMIFS(L_Waarde,L_Sleutel,S587,L_Actief,1)))</f>
        <v/>
      </c>
      <c r="U587" s="111">
        <f>IF(OR(S587="",T587=""),0,P587-T587)</f>
        <v>0</v>
      </c>
      <c r="AB587" s="112" t="n">
        <v>42</v>
      </c>
      <c r="AC587" s="112" t="n">
        <v>5</v>
      </c>
      <c r="AD587" s="112" t="str">
        <f>VERW_Project!S47</f>
        <v/>
      </c>
      <c r="AE587" s="112">
        <f>IF(AND(VERW_Project!$A47&lt;&gt;"",ISNUMBER(AD587)),1,0)</f>
        <v>0</v>
      </c>
      <c r="AF587" s="112" t="str">
        <f>IF(AE587=1,SUM($AE$8:AE587),"")</f>
        <v/>
      </c>
      <c r="AG587" t="str">
        <f>IFERROR(MATCH(580,$AF$8:$AF$1407,0),"")</f>
        <v/>
      </c>
    </row>
    <row r="588">
      <c r="A588" s="92" t="str">
        <f>IF($AG588="","",P_ImportID)</f>
        <v/>
      </c>
      <c r="B588" s="92" t="str">
        <f>IF($AG588="","",IF(INDEX($AN$8:$AN$21,INDEX($AC$8:$AC$1407,$AG588)+1)="Z",P_BronZ,P_BronE))</f>
        <v/>
      </c>
      <c r="C588" s="108" t="str">
        <f>IF($AG588="","",P_Importdatum)</f>
        <v/>
      </c>
      <c r="D588" s="92" t="str">
        <f>IF($AG588="","",P_StatusVastleg)</f>
        <v/>
      </c>
      <c r="E588" s="92" t="str">
        <f>IF($AG588="","",P_UploadVJ)</f>
        <v/>
      </c>
      <c r="F588" s="92" t="str">
        <f>IF($AG588="","",P_UploadVersie)</f>
        <v/>
      </c>
      <c r="G588" s="92" t="str">
        <f>IF($AG588="","",IF(COUNTIFS(L_Sleutel,$S588,L_Status,"Vastgesteld")=0,0,_xlfn.MAXIFS(L_Revisie,L_Sleutel,$S588,L_Status,"Vastgesteld")+1))</f>
        <v/>
      </c>
      <c r="H588" s="108" t="str">
        <f>IF($AG588="","",P_Peildatum)</f>
        <v/>
      </c>
      <c r="I588" s="92" t="str">
        <f>IF($AG588="","",P_RJ+INDEX($AK$8:$AK$21,INDEX($AC$8:$AC$1407,$AG588)+1))</f>
        <v/>
      </c>
      <c r="J588" s="92" t="str">
        <f>IF($AG588="","",INDEX(V_WBS,INDEX($AB$8:$AB$1407,$AG588)))</f>
        <v/>
      </c>
      <c r="K588" s="92" t="str">
        <f>IF($AG588="","",INDEX(V_Projdef,INDEX($AB$8:$AB$1407,$AG588)))</f>
        <v/>
      </c>
      <c r="L588" s="92" t="str">
        <f>IF($AG588="","",INDEX(V_Naam,INDEX($AB$8:$AB$1407,$AG588)))</f>
        <v/>
      </c>
      <c r="M588" s="92" t="str">
        <f>IF($AG588="","",INDEX(V_Type,INDEX($AB$8:$AB$1407,$AG588)))</f>
        <v/>
      </c>
      <c r="N588" s="92" t="str">
        <f>IF($AG588="","",INDEX(V_IFRS,INDEX($AB$8:$AB$1407,$AG588)))</f>
        <v/>
      </c>
      <c r="O588" s="92" t="str">
        <f>IF($AG588="","",INDEX($AL$8:$AL$21,INDEX($AC$8:$AC$1407,$AG588)+1))</f>
        <v/>
      </c>
      <c r="P588" s="109" t="str">
        <f>IF($AG588="","",INDEX($AD$8:$AD$1407,$AG588))</f>
        <v/>
      </c>
      <c r="Q588" s="92" t="str">
        <f>IF($AG588="","",INDEX($AM$8:$AM$21,INDEX($AC$8:$AC$1407,$AG588)+1))</f>
        <v/>
      </c>
      <c r="R588" s="92" t="str">
        <f>IF($AG588="","",IF($G588&gt;0,P_ToelCorrectie&amp;"",""))</f>
        <v/>
      </c>
      <c r="S588" s="15" t="str">
        <f>IF(J588="","",J588&amp;"|"&amp;E588&amp;"|"&amp;F588&amp;"|"&amp;I588&amp;"|"&amp;O588)</f>
        <v/>
      </c>
      <c r="T588" s="111" t="str">
        <f>IF(S588="","",IF(COUNTIFS(L_Sleutel,S588,L_Actief,1)=0,"",SUMIFS(L_Waarde,L_Sleutel,S588,L_Actief,1)))</f>
        <v/>
      </c>
      <c r="U588" s="111">
        <f>IF(OR(S588="",T588=""),0,P588-T588)</f>
        <v>0</v>
      </c>
      <c r="AB588" s="112" t="n">
        <v>42</v>
      </c>
      <c r="AC588" s="112" t="n">
        <v>6</v>
      </c>
      <c r="AD588" s="112" t="str">
        <f>VERW_Project!BW47</f>
        <v/>
      </c>
      <c r="AE588" s="112">
        <f>IF(AND(VERW_Project!$A47&lt;&gt;"",ISNUMBER(AD588)),1,0)</f>
        <v>0</v>
      </c>
      <c r="AF588" s="112" t="str">
        <f>IF(AE588=1,SUM($AE$8:AE588),"")</f>
        <v/>
      </c>
      <c r="AG588" t="str">
        <f>IFERROR(MATCH(581,$AF$8:$AF$1407,0),"")</f>
        <v/>
      </c>
    </row>
    <row r="589">
      <c r="A589" s="92" t="str">
        <f>IF($AG589="","",P_ImportID)</f>
        <v/>
      </c>
      <c r="B589" s="92" t="str">
        <f>IF($AG589="","",IF(INDEX($AN$8:$AN$21,INDEX($AC$8:$AC$1407,$AG589)+1)="Z",P_BronZ,P_BronE))</f>
        <v/>
      </c>
      <c r="C589" s="108" t="str">
        <f>IF($AG589="","",P_Importdatum)</f>
        <v/>
      </c>
      <c r="D589" s="92" t="str">
        <f>IF($AG589="","",P_StatusVastleg)</f>
        <v/>
      </c>
      <c r="E589" s="92" t="str">
        <f>IF($AG589="","",P_UploadVJ)</f>
        <v/>
      </c>
      <c r="F589" s="92" t="str">
        <f>IF($AG589="","",P_UploadVersie)</f>
        <v/>
      </c>
      <c r="G589" s="92" t="str">
        <f>IF($AG589="","",IF(COUNTIFS(L_Sleutel,$S589,L_Status,"Vastgesteld")=0,0,_xlfn.MAXIFS(L_Revisie,L_Sleutel,$S589,L_Status,"Vastgesteld")+1))</f>
        <v/>
      </c>
      <c r="H589" s="108" t="str">
        <f>IF($AG589="","",P_Peildatum)</f>
        <v/>
      </c>
      <c r="I589" s="92" t="str">
        <f>IF($AG589="","",P_RJ+INDEX($AK$8:$AK$21,INDEX($AC$8:$AC$1407,$AG589)+1))</f>
        <v/>
      </c>
      <c r="J589" s="92" t="str">
        <f>IF($AG589="","",INDEX(V_WBS,INDEX($AB$8:$AB$1407,$AG589)))</f>
        <v/>
      </c>
      <c r="K589" s="92" t="str">
        <f>IF($AG589="","",INDEX(V_Projdef,INDEX($AB$8:$AB$1407,$AG589)))</f>
        <v/>
      </c>
      <c r="L589" s="92" t="str">
        <f>IF($AG589="","",INDEX(V_Naam,INDEX($AB$8:$AB$1407,$AG589)))</f>
        <v/>
      </c>
      <c r="M589" s="92" t="str">
        <f>IF($AG589="","",INDEX(V_Type,INDEX($AB$8:$AB$1407,$AG589)))</f>
        <v/>
      </c>
      <c r="N589" s="92" t="str">
        <f>IF($AG589="","",INDEX(V_IFRS,INDEX($AB$8:$AB$1407,$AG589)))</f>
        <v/>
      </c>
      <c r="O589" s="92" t="str">
        <f>IF($AG589="","",INDEX($AL$8:$AL$21,INDEX($AC$8:$AC$1407,$AG589)+1))</f>
        <v/>
      </c>
      <c r="P589" s="109" t="str">
        <f>IF($AG589="","",INDEX($AD$8:$AD$1407,$AG589))</f>
        <v/>
      </c>
      <c r="Q589" s="92" t="str">
        <f>IF($AG589="","",INDEX($AM$8:$AM$21,INDEX($AC$8:$AC$1407,$AG589)+1))</f>
        <v/>
      </c>
      <c r="R589" s="92" t="str">
        <f>IF($AG589="","",IF($G589&gt;0,P_ToelCorrectie&amp;"",""))</f>
        <v/>
      </c>
      <c r="S589" s="15" t="str">
        <f>IF(J589="","",J589&amp;"|"&amp;E589&amp;"|"&amp;F589&amp;"|"&amp;I589&amp;"|"&amp;O589)</f>
        <v/>
      </c>
      <c r="T589" s="111" t="str">
        <f>IF(S589="","",IF(COUNTIFS(L_Sleutel,S589,L_Actief,1)=0,"",SUMIFS(L_Waarde,L_Sleutel,S589,L_Actief,1)))</f>
        <v/>
      </c>
      <c r="U589" s="111">
        <f>IF(OR(S589="",T589=""),0,P589-T589)</f>
        <v>0</v>
      </c>
      <c r="AB589" s="112" t="n">
        <v>42</v>
      </c>
      <c r="AC589" s="112" t="n">
        <v>7</v>
      </c>
      <c r="AD589" s="112" t="str">
        <f>VERW_Project!AW47</f>
        <v/>
      </c>
      <c r="AE589" s="112">
        <f>IF(AND(VERW_Project!$A47&lt;&gt;"",ISNUMBER(AD589)),1,0)</f>
        <v>0</v>
      </c>
      <c r="AF589" s="112" t="str">
        <f>IF(AE589=1,SUM($AE$8:AE589),"")</f>
        <v/>
      </c>
      <c r="AG589" t="str">
        <f>IFERROR(MATCH(582,$AF$8:$AF$1407,0),"")</f>
        <v/>
      </c>
    </row>
    <row r="590">
      <c r="A590" s="92" t="str">
        <f>IF($AG590="","",P_ImportID)</f>
        <v/>
      </c>
      <c r="B590" s="92" t="str">
        <f>IF($AG590="","",IF(INDEX($AN$8:$AN$21,INDEX($AC$8:$AC$1407,$AG590)+1)="Z",P_BronZ,P_BronE))</f>
        <v/>
      </c>
      <c r="C590" s="108" t="str">
        <f>IF($AG590="","",P_Importdatum)</f>
        <v/>
      </c>
      <c r="D590" s="92" t="str">
        <f>IF($AG590="","",P_StatusVastleg)</f>
        <v/>
      </c>
      <c r="E590" s="92" t="str">
        <f>IF($AG590="","",P_UploadVJ)</f>
        <v/>
      </c>
      <c r="F590" s="92" t="str">
        <f>IF($AG590="","",P_UploadVersie)</f>
        <v/>
      </c>
      <c r="G590" s="92" t="str">
        <f>IF($AG590="","",IF(COUNTIFS(L_Sleutel,$S590,L_Status,"Vastgesteld")=0,0,_xlfn.MAXIFS(L_Revisie,L_Sleutel,$S590,L_Status,"Vastgesteld")+1))</f>
        <v/>
      </c>
      <c r="H590" s="108" t="str">
        <f>IF($AG590="","",P_Peildatum)</f>
        <v/>
      </c>
      <c r="I590" s="92" t="str">
        <f>IF($AG590="","",P_RJ+INDEX($AK$8:$AK$21,INDEX($AC$8:$AC$1407,$AG590)+1))</f>
        <v/>
      </c>
      <c r="J590" s="92" t="str">
        <f>IF($AG590="","",INDEX(V_WBS,INDEX($AB$8:$AB$1407,$AG590)))</f>
        <v/>
      </c>
      <c r="K590" s="92" t="str">
        <f>IF($AG590="","",INDEX(V_Projdef,INDEX($AB$8:$AB$1407,$AG590)))</f>
        <v/>
      </c>
      <c r="L590" s="92" t="str">
        <f>IF($AG590="","",INDEX(V_Naam,INDEX($AB$8:$AB$1407,$AG590)))</f>
        <v/>
      </c>
      <c r="M590" s="92" t="str">
        <f>IF($AG590="","",INDEX(V_Type,INDEX($AB$8:$AB$1407,$AG590)))</f>
        <v/>
      </c>
      <c r="N590" s="92" t="str">
        <f>IF($AG590="","",INDEX(V_IFRS,INDEX($AB$8:$AB$1407,$AG590)))</f>
        <v/>
      </c>
      <c r="O590" s="92" t="str">
        <f>IF($AG590="","",INDEX($AL$8:$AL$21,INDEX($AC$8:$AC$1407,$AG590)+1))</f>
        <v/>
      </c>
      <c r="P590" s="109" t="str">
        <f>IF($AG590="","",INDEX($AD$8:$AD$1407,$AG590))</f>
        <v/>
      </c>
      <c r="Q590" s="92" t="str">
        <f>IF($AG590="","",INDEX($AM$8:$AM$21,INDEX($AC$8:$AC$1407,$AG590)+1))</f>
        <v/>
      </c>
      <c r="R590" s="92" t="str">
        <f>IF($AG590="","",IF($G590&gt;0,P_ToelCorrectie&amp;"",""))</f>
        <v/>
      </c>
      <c r="S590" s="15" t="str">
        <f>IF(J590="","",J590&amp;"|"&amp;E590&amp;"|"&amp;F590&amp;"|"&amp;I590&amp;"|"&amp;O590)</f>
        <v/>
      </c>
      <c r="T590" s="111" t="str">
        <f>IF(S590="","",IF(COUNTIFS(L_Sleutel,S590,L_Actief,1)=0,"",SUMIFS(L_Waarde,L_Sleutel,S590,L_Actief,1)))</f>
        <v/>
      </c>
      <c r="U590" s="111">
        <f>IF(OR(S590="",T590=""),0,P590-T590)</f>
        <v>0</v>
      </c>
      <c r="AB590" s="112" t="n">
        <v>42</v>
      </c>
      <c r="AC590" s="112" t="n">
        <v>8</v>
      </c>
      <c r="AD590" s="112" t="str">
        <f>VERW_Project!BQ47</f>
        <v/>
      </c>
      <c r="AE590" s="112">
        <f>IF(AND(VERW_Project!$A47&lt;&gt;"",ISNUMBER(AD590)),1,0)</f>
        <v>0</v>
      </c>
      <c r="AF590" s="112" t="str">
        <f>IF(AE590=1,SUM($AE$8:AE590),"")</f>
        <v/>
      </c>
      <c r="AG590" t="str">
        <f>IFERROR(MATCH(583,$AF$8:$AF$1407,0),"")</f>
        <v/>
      </c>
    </row>
    <row r="591">
      <c r="A591" s="92" t="str">
        <f>IF($AG591="","",P_ImportID)</f>
        <v/>
      </c>
      <c r="B591" s="92" t="str">
        <f>IF($AG591="","",IF(INDEX($AN$8:$AN$21,INDEX($AC$8:$AC$1407,$AG591)+1)="Z",P_BronZ,P_BronE))</f>
        <v/>
      </c>
      <c r="C591" s="108" t="str">
        <f>IF($AG591="","",P_Importdatum)</f>
        <v/>
      </c>
      <c r="D591" s="92" t="str">
        <f>IF($AG591="","",P_StatusVastleg)</f>
        <v/>
      </c>
      <c r="E591" s="92" t="str">
        <f>IF($AG591="","",P_UploadVJ)</f>
        <v/>
      </c>
      <c r="F591" s="92" t="str">
        <f>IF($AG591="","",P_UploadVersie)</f>
        <v/>
      </c>
      <c r="G591" s="92" t="str">
        <f>IF($AG591="","",IF(COUNTIFS(L_Sleutel,$S591,L_Status,"Vastgesteld")=0,0,_xlfn.MAXIFS(L_Revisie,L_Sleutel,$S591,L_Status,"Vastgesteld")+1))</f>
        <v/>
      </c>
      <c r="H591" s="108" t="str">
        <f>IF($AG591="","",P_Peildatum)</f>
        <v/>
      </c>
      <c r="I591" s="92" t="str">
        <f>IF($AG591="","",P_RJ+INDEX($AK$8:$AK$21,INDEX($AC$8:$AC$1407,$AG591)+1))</f>
        <v/>
      </c>
      <c r="J591" s="92" t="str">
        <f>IF($AG591="","",INDEX(V_WBS,INDEX($AB$8:$AB$1407,$AG591)))</f>
        <v/>
      </c>
      <c r="K591" s="92" t="str">
        <f>IF($AG591="","",INDEX(V_Projdef,INDEX($AB$8:$AB$1407,$AG591)))</f>
        <v/>
      </c>
      <c r="L591" s="92" t="str">
        <f>IF($AG591="","",INDEX(V_Naam,INDEX($AB$8:$AB$1407,$AG591)))</f>
        <v/>
      </c>
      <c r="M591" s="92" t="str">
        <f>IF($AG591="","",INDEX(V_Type,INDEX($AB$8:$AB$1407,$AG591)))</f>
        <v/>
      </c>
      <c r="N591" s="92" t="str">
        <f>IF($AG591="","",INDEX(V_IFRS,INDEX($AB$8:$AB$1407,$AG591)))</f>
        <v/>
      </c>
      <c r="O591" s="92" t="str">
        <f>IF($AG591="","",INDEX($AL$8:$AL$21,INDEX($AC$8:$AC$1407,$AG591)+1))</f>
        <v/>
      </c>
      <c r="P591" s="109" t="str">
        <f>IF($AG591="","",INDEX($AD$8:$AD$1407,$AG591))</f>
        <v/>
      </c>
      <c r="Q591" s="92" t="str">
        <f>IF($AG591="","",INDEX($AM$8:$AM$21,INDEX($AC$8:$AC$1407,$AG591)+1))</f>
        <v/>
      </c>
      <c r="R591" s="92" t="str">
        <f>IF($AG591="","",IF($G591&gt;0,P_ToelCorrectie&amp;"",""))</f>
        <v/>
      </c>
      <c r="S591" s="15" t="str">
        <f>IF(J591="","",J591&amp;"|"&amp;E591&amp;"|"&amp;F591&amp;"|"&amp;I591&amp;"|"&amp;O591)</f>
        <v/>
      </c>
      <c r="T591" s="111" t="str">
        <f>IF(S591="","",IF(COUNTIFS(L_Sleutel,S591,L_Actief,1)=0,"",SUMIFS(L_Waarde,L_Sleutel,S591,L_Actief,1)))</f>
        <v/>
      </c>
      <c r="U591" s="111">
        <f>IF(OR(S591="",T591=""),0,P591-T591)</f>
        <v>0</v>
      </c>
      <c r="AB591" s="112" t="n">
        <v>42</v>
      </c>
      <c r="AC591" s="112" t="n">
        <v>9</v>
      </c>
      <c r="AD591" s="112" t="str">
        <f>VERW_Project!BR47</f>
        <v/>
      </c>
      <c r="AE591" s="112">
        <f>IF(AND(VERW_Project!$A47&lt;&gt;"",ISNUMBER(AD591)),1,0)</f>
        <v>0</v>
      </c>
      <c r="AF591" s="112" t="str">
        <f>IF(AE591=1,SUM($AE$8:AE591),"")</f>
        <v/>
      </c>
      <c r="AG591" t="str">
        <f>IFERROR(MATCH(584,$AF$8:$AF$1407,0),"")</f>
        <v/>
      </c>
    </row>
    <row r="592">
      <c r="A592" s="92" t="str">
        <f>IF($AG592="","",P_ImportID)</f>
        <v/>
      </c>
      <c r="B592" s="92" t="str">
        <f>IF($AG592="","",IF(INDEX($AN$8:$AN$21,INDEX($AC$8:$AC$1407,$AG592)+1)="Z",P_BronZ,P_BronE))</f>
        <v/>
      </c>
      <c r="C592" s="108" t="str">
        <f>IF($AG592="","",P_Importdatum)</f>
        <v/>
      </c>
      <c r="D592" s="92" t="str">
        <f>IF($AG592="","",P_StatusVastleg)</f>
        <v/>
      </c>
      <c r="E592" s="92" t="str">
        <f>IF($AG592="","",P_UploadVJ)</f>
        <v/>
      </c>
      <c r="F592" s="92" t="str">
        <f>IF($AG592="","",P_UploadVersie)</f>
        <v/>
      </c>
      <c r="G592" s="92" t="str">
        <f>IF($AG592="","",IF(COUNTIFS(L_Sleutel,$S592,L_Status,"Vastgesteld")=0,0,_xlfn.MAXIFS(L_Revisie,L_Sleutel,$S592,L_Status,"Vastgesteld")+1))</f>
        <v/>
      </c>
      <c r="H592" s="108" t="str">
        <f>IF($AG592="","",P_Peildatum)</f>
        <v/>
      </c>
      <c r="I592" s="92" t="str">
        <f>IF($AG592="","",P_RJ+INDEX($AK$8:$AK$21,INDEX($AC$8:$AC$1407,$AG592)+1))</f>
        <v/>
      </c>
      <c r="J592" s="92" t="str">
        <f>IF($AG592="","",INDEX(V_WBS,INDEX($AB$8:$AB$1407,$AG592)))</f>
        <v/>
      </c>
      <c r="K592" s="92" t="str">
        <f>IF($AG592="","",INDEX(V_Projdef,INDEX($AB$8:$AB$1407,$AG592)))</f>
        <v/>
      </c>
      <c r="L592" s="92" t="str">
        <f>IF($AG592="","",INDEX(V_Naam,INDEX($AB$8:$AB$1407,$AG592)))</f>
        <v/>
      </c>
      <c r="M592" s="92" t="str">
        <f>IF($AG592="","",INDEX(V_Type,INDEX($AB$8:$AB$1407,$AG592)))</f>
        <v/>
      </c>
      <c r="N592" s="92" t="str">
        <f>IF($AG592="","",INDEX(V_IFRS,INDEX($AB$8:$AB$1407,$AG592)))</f>
        <v/>
      </c>
      <c r="O592" s="92" t="str">
        <f>IF($AG592="","",INDEX($AL$8:$AL$21,INDEX($AC$8:$AC$1407,$AG592)+1))</f>
        <v/>
      </c>
      <c r="P592" s="109" t="str">
        <f>IF($AG592="","",INDEX($AD$8:$AD$1407,$AG592))</f>
        <v/>
      </c>
      <c r="Q592" s="92" t="str">
        <f>IF($AG592="","",INDEX($AM$8:$AM$21,INDEX($AC$8:$AC$1407,$AG592)+1))</f>
        <v/>
      </c>
      <c r="R592" s="92" t="str">
        <f>IF($AG592="","",IF($G592&gt;0,P_ToelCorrectie&amp;"",""))</f>
        <v/>
      </c>
      <c r="S592" s="15" t="str">
        <f>IF(J592="","",J592&amp;"|"&amp;E592&amp;"|"&amp;F592&amp;"|"&amp;I592&amp;"|"&amp;O592)</f>
        <v/>
      </c>
      <c r="T592" s="111" t="str">
        <f>IF(S592="","",IF(COUNTIFS(L_Sleutel,S592,L_Actief,1)=0,"",SUMIFS(L_Waarde,L_Sleutel,S592,L_Actief,1)))</f>
        <v/>
      </c>
      <c r="U592" s="111">
        <f>IF(OR(S592="",T592=""),0,P592-T592)</f>
        <v>0</v>
      </c>
      <c r="AB592" s="112" t="n">
        <v>42</v>
      </c>
      <c r="AC592" s="112" t="n">
        <v>10</v>
      </c>
      <c r="AD592" s="112" t="str">
        <f>VERW_Project!BS47</f>
        <v/>
      </c>
      <c r="AE592" s="112">
        <f>IF(AND(VERW_Project!$A47&lt;&gt;"",ISNUMBER(AD592)),1,0)</f>
        <v>0</v>
      </c>
      <c r="AF592" s="112" t="str">
        <f>IF(AE592=1,SUM($AE$8:AE592),"")</f>
        <v/>
      </c>
      <c r="AG592" t="str">
        <f>IFERROR(MATCH(585,$AF$8:$AF$1407,0),"")</f>
        <v/>
      </c>
    </row>
    <row r="593">
      <c r="A593" s="92" t="str">
        <f>IF($AG593="","",P_ImportID)</f>
        <v/>
      </c>
      <c r="B593" s="92" t="str">
        <f>IF($AG593="","",IF(INDEX($AN$8:$AN$21,INDEX($AC$8:$AC$1407,$AG593)+1)="Z",P_BronZ,P_BronE))</f>
        <v/>
      </c>
      <c r="C593" s="108" t="str">
        <f>IF($AG593="","",P_Importdatum)</f>
        <v/>
      </c>
      <c r="D593" s="92" t="str">
        <f>IF($AG593="","",P_StatusVastleg)</f>
        <v/>
      </c>
      <c r="E593" s="92" t="str">
        <f>IF($AG593="","",P_UploadVJ)</f>
        <v/>
      </c>
      <c r="F593" s="92" t="str">
        <f>IF($AG593="","",P_UploadVersie)</f>
        <v/>
      </c>
      <c r="G593" s="92" t="str">
        <f>IF($AG593="","",IF(COUNTIFS(L_Sleutel,$S593,L_Status,"Vastgesteld")=0,0,_xlfn.MAXIFS(L_Revisie,L_Sleutel,$S593,L_Status,"Vastgesteld")+1))</f>
        <v/>
      </c>
      <c r="H593" s="108" t="str">
        <f>IF($AG593="","",P_Peildatum)</f>
        <v/>
      </c>
      <c r="I593" s="92" t="str">
        <f>IF($AG593="","",P_RJ+INDEX($AK$8:$AK$21,INDEX($AC$8:$AC$1407,$AG593)+1))</f>
        <v/>
      </c>
      <c r="J593" s="92" t="str">
        <f>IF($AG593="","",INDEX(V_WBS,INDEX($AB$8:$AB$1407,$AG593)))</f>
        <v/>
      </c>
      <c r="K593" s="92" t="str">
        <f>IF($AG593="","",INDEX(V_Projdef,INDEX($AB$8:$AB$1407,$AG593)))</f>
        <v/>
      </c>
      <c r="L593" s="92" t="str">
        <f>IF($AG593="","",INDEX(V_Naam,INDEX($AB$8:$AB$1407,$AG593)))</f>
        <v/>
      </c>
      <c r="M593" s="92" t="str">
        <f>IF($AG593="","",INDEX(V_Type,INDEX($AB$8:$AB$1407,$AG593)))</f>
        <v/>
      </c>
      <c r="N593" s="92" t="str">
        <f>IF($AG593="","",INDEX(V_IFRS,INDEX($AB$8:$AB$1407,$AG593)))</f>
        <v/>
      </c>
      <c r="O593" s="92" t="str">
        <f>IF($AG593="","",INDEX($AL$8:$AL$21,INDEX($AC$8:$AC$1407,$AG593)+1))</f>
        <v/>
      </c>
      <c r="P593" s="109" t="str">
        <f>IF($AG593="","",INDEX($AD$8:$AD$1407,$AG593))</f>
        <v/>
      </c>
      <c r="Q593" s="92" t="str">
        <f>IF($AG593="","",INDEX($AM$8:$AM$21,INDEX($AC$8:$AC$1407,$AG593)+1))</f>
        <v/>
      </c>
      <c r="R593" s="92" t="str">
        <f>IF($AG593="","",IF($G593&gt;0,P_ToelCorrectie&amp;"",""))</f>
        <v/>
      </c>
      <c r="S593" s="15" t="str">
        <f>IF(J593="","",J593&amp;"|"&amp;E593&amp;"|"&amp;F593&amp;"|"&amp;I593&amp;"|"&amp;O593)</f>
        <v/>
      </c>
      <c r="T593" s="111" t="str">
        <f>IF(S593="","",IF(COUNTIFS(L_Sleutel,S593,L_Actief,1)=0,"",SUMIFS(L_Waarde,L_Sleutel,S593,L_Actief,1)))</f>
        <v/>
      </c>
      <c r="U593" s="111">
        <f>IF(OR(S593="",T593=""),0,P593-T593)</f>
        <v>0</v>
      </c>
      <c r="AB593" s="112" t="n">
        <v>42</v>
      </c>
      <c r="AC593" s="112" t="n">
        <v>11</v>
      </c>
      <c r="AD593" s="112" t="str">
        <f>VERW_Project!BT47</f>
        <v/>
      </c>
      <c r="AE593" s="112">
        <f>IF(AND(VERW_Project!$A47&lt;&gt;"",ISNUMBER(AD593)),1,0)</f>
        <v>0</v>
      </c>
      <c r="AF593" s="112" t="str">
        <f>IF(AE593=1,SUM($AE$8:AE593),"")</f>
        <v/>
      </c>
      <c r="AG593" t="str">
        <f>IFERROR(MATCH(586,$AF$8:$AF$1407,0),"")</f>
        <v/>
      </c>
    </row>
    <row r="594">
      <c r="A594" s="92" t="str">
        <f>IF($AG594="","",P_ImportID)</f>
        <v/>
      </c>
      <c r="B594" s="92" t="str">
        <f>IF($AG594="","",IF(INDEX($AN$8:$AN$21,INDEX($AC$8:$AC$1407,$AG594)+1)="Z",P_BronZ,P_BronE))</f>
        <v/>
      </c>
      <c r="C594" s="108" t="str">
        <f>IF($AG594="","",P_Importdatum)</f>
        <v/>
      </c>
      <c r="D594" s="92" t="str">
        <f>IF($AG594="","",P_StatusVastleg)</f>
        <v/>
      </c>
      <c r="E594" s="92" t="str">
        <f>IF($AG594="","",P_UploadVJ)</f>
        <v/>
      </c>
      <c r="F594" s="92" t="str">
        <f>IF($AG594="","",P_UploadVersie)</f>
        <v/>
      </c>
      <c r="G594" s="92" t="str">
        <f>IF($AG594="","",IF(COUNTIFS(L_Sleutel,$S594,L_Status,"Vastgesteld")=0,0,_xlfn.MAXIFS(L_Revisie,L_Sleutel,$S594,L_Status,"Vastgesteld")+1))</f>
        <v/>
      </c>
      <c r="H594" s="108" t="str">
        <f>IF($AG594="","",P_Peildatum)</f>
        <v/>
      </c>
      <c r="I594" s="92" t="str">
        <f>IF($AG594="","",P_RJ+INDEX($AK$8:$AK$21,INDEX($AC$8:$AC$1407,$AG594)+1))</f>
        <v/>
      </c>
      <c r="J594" s="92" t="str">
        <f>IF($AG594="","",INDEX(V_WBS,INDEX($AB$8:$AB$1407,$AG594)))</f>
        <v/>
      </c>
      <c r="K594" s="92" t="str">
        <f>IF($AG594="","",INDEX(V_Projdef,INDEX($AB$8:$AB$1407,$AG594)))</f>
        <v/>
      </c>
      <c r="L594" s="92" t="str">
        <f>IF($AG594="","",INDEX(V_Naam,INDEX($AB$8:$AB$1407,$AG594)))</f>
        <v/>
      </c>
      <c r="M594" s="92" t="str">
        <f>IF($AG594="","",INDEX(V_Type,INDEX($AB$8:$AB$1407,$AG594)))</f>
        <v/>
      </c>
      <c r="N594" s="92" t="str">
        <f>IF($AG594="","",INDEX(V_IFRS,INDEX($AB$8:$AB$1407,$AG594)))</f>
        <v/>
      </c>
      <c r="O594" s="92" t="str">
        <f>IF($AG594="","",INDEX($AL$8:$AL$21,INDEX($AC$8:$AC$1407,$AG594)+1))</f>
        <v/>
      </c>
      <c r="P594" s="109" t="str">
        <f>IF($AG594="","",INDEX($AD$8:$AD$1407,$AG594))</f>
        <v/>
      </c>
      <c r="Q594" s="92" t="str">
        <f>IF($AG594="","",INDEX($AM$8:$AM$21,INDEX($AC$8:$AC$1407,$AG594)+1))</f>
        <v/>
      </c>
      <c r="R594" s="92" t="str">
        <f>IF($AG594="","",IF($G594&gt;0,P_ToelCorrectie&amp;"",""))</f>
        <v/>
      </c>
      <c r="S594" s="15" t="str">
        <f>IF(J594="","",J594&amp;"|"&amp;E594&amp;"|"&amp;F594&amp;"|"&amp;I594&amp;"|"&amp;O594)</f>
        <v/>
      </c>
      <c r="T594" s="111" t="str">
        <f>IF(S594="","",IF(COUNTIFS(L_Sleutel,S594,L_Actief,1)=0,"",SUMIFS(L_Waarde,L_Sleutel,S594,L_Actief,1)))</f>
        <v/>
      </c>
      <c r="U594" s="111">
        <f>IF(OR(S594="",T594=""),0,P594-T594)</f>
        <v>0</v>
      </c>
      <c r="AB594" s="112" t="n">
        <v>42</v>
      </c>
      <c r="AC594" s="112" t="n">
        <v>12</v>
      </c>
      <c r="AD594" s="112" t="str">
        <f>VERW_Project!BU47</f>
        <v/>
      </c>
      <c r="AE594" s="112">
        <f>IF(AND(VERW_Project!$A47&lt;&gt;"",ISNUMBER(AD594)),1,0)</f>
        <v>0</v>
      </c>
      <c r="AF594" s="112" t="str">
        <f>IF(AE594=1,SUM($AE$8:AE594),"")</f>
        <v/>
      </c>
      <c r="AG594" t="str">
        <f>IFERROR(MATCH(587,$AF$8:$AF$1407,0),"")</f>
        <v/>
      </c>
    </row>
    <row r="595">
      <c r="A595" s="92" t="str">
        <f>IF($AG595="","",P_ImportID)</f>
        <v/>
      </c>
      <c r="B595" s="92" t="str">
        <f>IF($AG595="","",IF(INDEX($AN$8:$AN$21,INDEX($AC$8:$AC$1407,$AG595)+1)="Z",P_BronZ,P_BronE))</f>
        <v/>
      </c>
      <c r="C595" s="108" t="str">
        <f>IF($AG595="","",P_Importdatum)</f>
        <v/>
      </c>
      <c r="D595" s="92" t="str">
        <f>IF($AG595="","",P_StatusVastleg)</f>
        <v/>
      </c>
      <c r="E595" s="92" t="str">
        <f>IF($AG595="","",P_UploadVJ)</f>
        <v/>
      </c>
      <c r="F595" s="92" t="str">
        <f>IF($AG595="","",P_UploadVersie)</f>
        <v/>
      </c>
      <c r="G595" s="92" t="str">
        <f>IF($AG595="","",IF(COUNTIFS(L_Sleutel,$S595,L_Status,"Vastgesteld")=0,0,_xlfn.MAXIFS(L_Revisie,L_Sleutel,$S595,L_Status,"Vastgesteld")+1))</f>
        <v/>
      </c>
      <c r="H595" s="108" t="str">
        <f>IF($AG595="","",P_Peildatum)</f>
        <v/>
      </c>
      <c r="I595" s="92" t="str">
        <f>IF($AG595="","",P_RJ+INDEX($AK$8:$AK$21,INDEX($AC$8:$AC$1407,$AG595)+1))</f>
        <v/>
      </c>
      <c r="J595" s="92" t="str">
        <f>IF($AG595="","",INDEX(V_WBS,INDEX($AB$8:$AB$1407,$AG595)))</f>
        <v/>
      </c>
      <c r="K595" s="92" t="str">
        <f>IF($AG595="","",INDEX(V_Projdef,INDEX($AB$8:$AB$1407,$AG595)))</f>
        <v/>
      </c>
      <c r="L595" s="92" t="str">
        <f>IF($AG595="","",INDEX(V_Naam,INDEX($AB$8:$AB$1407,$AG595)))</f>
        <v/>
      </c>
      <c r="M595" s="92" t="str">
        <f>IF($AG595="","",INDEX(V_Type,INDEX($AB$8:$AB$1407,$AG595)))</f>
        <v/>
      </c>
      <c r="N595" s="92" t="str">
        <f>IF($AG595="","",INDEX(V_IFRS,INDEX($AB$8:$AB$1407,$AG595)))</f>
        <v/>
      </c>
      <c r="O595" s="92" t="str">
        <f>IF($AG595="","",INDEX($AL$8:$AL$21,INDEX($AC$8:$AC$1407,$AG595)+1))</f>
        <v/>
      </c>
      <c r="P595" s="109" t="str">
        <f>IF($AG595="","",INDEX($AD$8:$AD$1407,$AG595))</f>
        <v/>
      </c>
      <c r="Q595" s="92" t="str">
        <f>IF($AG595="","",INDEX($AM$8:$AM$21,INDEX($AC$8:$AC$1407,$AG595)+1))</f>
        <v/>
      </c>
      <c r="R595" s="92" t="str">
        <f>IF($AG595="","",IF($G595&gt;0,P_ToelCorrectie&amp;"",""))</f>
        <v/>
      </c>
      <c r="S595" s="15" t="str">
        <f>IF(J595="","",J595&amp;"|"&amp;E595&amp;"|"&amp;F595&amp;"|"&amp;I595&amp;"|"&amp;O595)</f>
        <v/>
      </c>
      <c r="T595" s="111" t="str">
        <f>IF(S595="","",IF(COUNTIFS(L_Sleutel,S595,L_Actief,1)=0,"",SUMIFS(L_Waarde,L_Sleutel,S595,L_Actief,1)))</f>
        <v/>
      </c>
      <c r="U595" s="111">
        <f>IF(OR(S595="",T595=""),0,P595-T595)</f>
        <v>0</v>
      </c>
      <c r="AB595" s="112" t="n">
        <v>42</v>
      </c>
      <c r="AC595" s="112" t="n">
        <v>13</v>
      </c>
      <c r="AD595" s="112" t="str">
        <f>VERW_Project!BX47</f>
        <v/>
      </c>
      <c r="AE595" s="112">
        <f>IF(AND(VERW_Project!$A47&lt;&gt;"",ISNUMBER(AD595)),1,0)</f>
        <v>0</v>
      </c>
      <c r="AF595" s="112" t="str">
        <f>IF(AE595=1,SUM($AE$8:AE595),"")</f>
        <v/>
      </c>
      <c r="AG595" t="str">
        <f>IFERROR(MATCH(588,$AF$8:$AF$1407,0),"")</f>
        <v/>
      </c>
    </row>
    <row r="596">
      <c r="A596" s="92" t="str">
        <f>IF($AG596="","",P_ImportID)</f>
        <v/>
      </c>
      <c r="B596" s="92" t="str">
        <f>IF($AG596="","",IF(INDEX($AN$8:$AN$21,INDEX($AC$8:$AC$1407,$AG596)+1)="Z",P_BronZ,P_BronE))</f>
        <v/>
      </c>
      <c r="C596" s="108" t="str">
        <f>IF($AG596="","",P_Importdatum)</f>
        <v/>
      </c>
      <c r="D596" s="92" t="str">
        <f>IF($AG596="","",P_StatusVastleg)</f>
        <v/>
      </c>
      <c r="E596" s="92" t="str">
        <f>IF($AG596="","",P_UploadVJ)</f>
        <v/>
      </c>
      <c r="F596" s="92" t="str">
        <f>IF($AG596="","",P_UploadVersie)</f>
        <v/>
      </c>
      <c r="G596" s="92" t="str">
        <f>IF($AG596="","",IF(COUNTIFS(L_Sleutel,$S596,L_Status,"Vastgesteld")=0,0,_xlfn.MAXIFS(L_Revisie,L_Sleutel,$S596,L_Status,"Vastgesteld")+1))</f>
        <v/>
      </c>
      <c r="H596" s="108" t="str">
        <f>IF($AG596="","",P_Peildatum)</f>
        <v/>
      </c>
      <c r="I596" s="92" t="str">
        <f>IF($AG596="","",P_RJ+INDEX($AK$8:$AK$21,INDEX($AC$8:$AC$1407,$AG596)+1))</f>
        <v/>
      </c>
      <c r="J596" s="92" t="str">
        <f>IF($AG596="","",INDEX(V_WBS,INDEX($AB$8:$AB$1407,$AG596)))</f>
        <v/>
      </c>
      <c r="K596" s="92" t="str">
        <f>IF($AG596="","",INDEX(V_Projdef,INDEX($AB$8:$AB$1407,$AG596)))</f>
        <v/>
      </c>
      <c r="L596" s="92" t="str">
        <f>IF($AG596="","",INDEX(V_Naam,INDEX($AB$8:$AB$1407,$AG596)))</f>
        <v/>
      </c>
      <c r="M596" s="92" t="str">
        <f>IF($AG596="","",INDEX(V_Type,INDEX($AB$8:$AB$1407,$AG596)))</f>
        <v/>
      </c>
      <c r="N596" s="92" t="str">
        <f>IF($AG596="","",INDEX(V_IFRS,INDEX($AB$8:$AB$1407,$AG596)))</f>
        <v/>
      </c>
      <c r="O596" s="92" t="str">
        <f>IF($AG596="","",INDEX($AL$8:$AL$21,INDEX($AC$8:$AC$1407,$AG596)+1))</f>
        <v/>
      </c>
      <c r="P596" s="109" t="str">
        <f>IF($AG596="","",INDEX($AD$8:$AD$1407,$AG596))</f>
        <v/>
      </c>
      <c r="Q596" s="92" t="str">
        <f>IF($AG596="","",INDEX($AM$8:$AM$21,INDEX($AC$8:$AC$1407,$AG596)+1))</f>
        <v/>
      </c>
      <c r="R596" s="92" t="str">
        <f>IF($AG596="","",IF($G596&gt;0,P_ToelCorrectie&amp;"",""))</f>
        <v/>
      </c>
      <c r="S596" s="15" t="str">
        <f>IF(J596="","",J596&amp;"|"&amp;E596&amp;"|"&amp;F596&amp;"|"&amp;I596&amp;"|"&amp;O596)</f>
        <v/>
      </c>
      <c r="T596" s="111" t="str">
        <f>IF(S596="","",IF(COUNTIFS(L_Sleutel,S596,L_Actief,1)=0,"",SUMIFS(L_Waarde,L_Sleutel,S596,L_Actief,1)))</f>
        <v/>
      </c>
      <c r="U596" s="111">
        <f>IF(OR(S596="",T596=""),0,P596-T596)</f>
        <v>0</v>
      </c>
      <c r="AB596" s="112" t="n">
        <v>43</v>
      </c>
      <c r="AC596" s="112" t="n">
        <v>0</v>
      </c>
      <c r="AD596" s="112" t="str">
        <f>VERW_Project!P48</f>
        <v/>
      </c>
      <c r="AE596" s="112">
        <f>IF(AND(VERW_Project!$A48&lt;&gt;"",ISNUMBER(AD596)),1,0)</f>
        <v>0</v>
      </c>
      <c r="AF596" s="112" t="str">
        <f>IF(AE596=1,SUM($AE$8:AE596),"")</f>
        <v/>
      </c>
      <c r="AG596" t="str">
        <f>IFERROR(MATCH(589,$AF$8:$AF$1407,0),"")</f>
        <v/>
      </c>
    </row>
    <row r="597">
      <c r="A597" s="92" t="str">
        <f>IF($AG597="","",P_ImportID)</f>
        <v/>
      </c>
      <c r="B597" s="92" t="str">
        <f>IF($AG597="","",IF(INDEX($AN$8:$AN$21,INDEX($AC$8:$AC$1407,$AG597)+1)="Z",P_BronZ,P_BronE))</f>
        <v/>
      </c>
      <c r="C597" s="108" t="str">
        <f>IF($AG597="","",P_Importdatum)</f>
        <v/>
      </c>
      <c r="D597" s="92" t="str">
        <f>IF($AG597="","",P_StatusVastleg)</f>
        <v/>
      </c>
      <c r="E597" s="92" t="str">
        <f>IF($AG597="","",P_UploadVJ)</f>
        <v/>
      </c>
      <c r="F597" s="92" t="str">
        <f>IF($AG597="","",P_UploadVersie)</f>
        <v/>
      </c>
      <c r="G597" s="92" t="str">
        <f>IF($AG597="","",IF(COUNTIFS(L_Sleutel,$S597,L_Status,"Vastgesteld")=0,0,_xlfn.MAXIFS(L_Revisie,L_Sleutel,$S597,L_Status,"Vastgesteld")+1))</f>
        <v/>
      </c>
      <c r="H597" s="108" t="str">
        <f>IF($AG597="","",P_Peildatum)</f>
        <v/>
      </c>
      <c r="I597" s="92" t="str">
        <f>IF($AG597="","",P_RJ+INDEX($AK$8:$AK$21,INDEX($AC$8:$AC$1407,$AG597)+1))</f>
        <v/>
      </c>
      <c r="J597" s="92" t="str">
        <f>IF($AG597="","",INDEX(V_WBS,INDEX($AB$8:$AB$1407,$AG597)))</f>
        <v/>
      </c>
      <c r="K597" s="92" t="str">
        <f>IF($AG597="","",INDEX(V_Projdef,INDEX($AB$8:$AB$1407,$AG597)))</f>
        <v/>
      </c>
      <c r="L597" s="92" t="str">
        <f>IF($AG597="","",INDEX(V_Naam,INDEX($AB$8:$AB$1407,$AG597)))</f>
        <v/>
      </c>
      <c r="M597" s="92" t="str">
        <f>IF($AG597="","",INDEX(V_Type,INDEX($AB$8:$AB$1407,$AG597)))</f>
        <v/>
      </c>
      <c r="N597" s="92" t="str">
        <f>IF($AG597="","",INDEX(V_IFRS,INDEX($AB$8:$AB$1407,$AG597)))</f>
        <v/>
      </c>
      <c r="O597" s="92" t="str">
        <f>IF($AG597="","",INDEX($AL$8:$AL$21,INDEX($AC$8:$AC$1407,$AG597)+1))</f>
        <v/>
      </c>
      <c r="P597" s="109" t="str">
        <f>IF($AG597="","",INDEX($AD$8:$AD$1407,$AG597))</f>
        <v/>
      </c>
      <c r="Q597" s="92" t="str">
        <f>IF($AG597="","",INDEX($AM$8:$AM$21,INDEX($AC$8:$AC$1407,$AG597)+1))</f>
        <v/>
      </c>
      <c r="R597" s="92" t="str">
        <f>IF($AG597="","",IF($G597&gt;0,P_ToelCorrectie&amp;"",""))</f>
        <v/>
      </c>
      <c r="S597" s="15" t="str">
        <f>IF(J597="","",J597&amp;"|"&amp;E597&amp;"|"&amp;F597&amp;"|"&amp;I597&amp;"|"&amp;O597)</f>
        <v/>
      </c>
      <c r="T597" s="111" t="str">
        <f>IF(S597="","",IF(COUNTIFS(L_Sleutel,S597,L_Actief,1)=0,"",SUMIFS(L_Waarde,L_Sleutel,S597,L_Actief,1)))</f>
        <v/>
      </c>
      <c r="U597" s="111">
        <f>IF(OR(S597="",T597=""),0,P597-T597)</f>
        <v>0</v>
      </c>
      <c r="AB597" s="112" t="n">
        <v>43</v>
      </c>
      <c r="AC597" s="112" t="n">
        <v>1</v>
      </c>
      <c r="AD597" s="112" t="str">
        <f>VERW_Project!Q48</f>
        <v/>
      </c>
      <c r="AE597" s="112">
        <f>IF(AND(VERW_Project!$A48&lt;&gt;"",ISNUMBER(AD597)),1,0)</f>
        <v>0</v>
      </c>
      <c r="AF597" s="112" t="str">
        <f>IF(AE597=1,SUM($AE$8:AE597),"")</f>
        <v/>
      </c>
      <c r="AG597" t="str">
        <f>IFERROR(MATCH(590,$AF$8:$AF$1407,0),"")</f>
        <v/>
      </c>
    </row>
    <row r="598">
      <c r="A598" s="92" t="str">
        <f>IF($AG598="","",P_ImportID)</f>
        <v/>
      </c>
      <c r="B598" s="92" t="str">
        <f>IF($AG598="","",IF(INDEX($AN$8:$AN$21,INDEX($AC$8:$AC$1407,$AG598)+1)="Z",P_BronZ,P_BronE))</f>
        <v/>
      </c>
      <c r="C598" s="108" t="str">
        <f>IF($AG598="","",P_Importdatum)</f>
        <v/>
      </c>
      <c r="D598" s="92" t="str">
        <f>IF($AG598="","",P_StatusVastleg)</f>
        <v/>
      </c>
      <c r="E598" s="92" t="str">
        <f>IF($AG598="","",P_UploadVJ)</f>
        <v/>
      </c>
      <c r="F598" s="92" t="str">
        <f>IF($AG598="","",P_UploadVersie)</f>
        <v/>
      </c>
      <c r="G598" s="92" t="str">
        <f>IF($AG598="","",IF(COUNTIFS(L_Sleutel,$S598,L_Status,"Vastgesteld")=0,0,_xlfn.MAXIFS(L_Revisie,L_Sleutel,$S598,L_Status,"Vastgesteld")+1))</f>
        <v/>
      </c>
      <c r="H598" s="108" t="str">
        <f>IF($AG598="","",P_Peildatum)</f>
        <v/>
      </c>
      <c r="I598" s="92" t="str">
        <f>IF($AG598="","",P_RJ+INDEX($AK$8:$AK$21,INDEX($AC$8:$AC$1407,$AG598)+1))</f>
        <v/>
      </c>
      <c r="J598" s="92" t="str">
        <f>IF($AG598="","",INDEX(V_WBS,INDEX($AB$8:$AB$1407,$AG598)))</f>
        <v/>
      </c>
      <c r="K598" s="92" t="str">
        <f>IF($AG598="","",INDEX(V_Projdef,INDEX($AB$8:$AB$1407,$AG598)))</f>
        <v/>
      </c>
      <c r="L598" s="92" t="str">
        <f>IF($AG598="","",INDEX(V_Naam,INDEX($AB$8:$AB$1407,$AG598)))</f>
        <v/>
      </c>
      <c r="M598" s="92" t="str">
        <f>IF($AG598="","",INDEX(V_Type,INDEX($AB$8:$AB$1407,$AG598)))</f>
        <v/>
      </c>
      <c r="N598" s="92" t="str">
        <f>IF($AG598="","",INDEX(V_IFRS,INDEX($AB$8:$AB$1407,$AG598)))</f>
        <v/>
      </c>
      <c r="O598" s="92" t="str">
        <f>IF($AG598="","",INDEX($AL$8:$AL$21,INDEX($AC$8:$AC$1407,$AG598)+1))</f>
        <v/>
      </c>
      <c r="P598" s="109" t="str">
        <f>IF($AG598="","",INDEX($AD$8:$AD$1407,$AG598))</f>
        <v/>
      </c>
      <c r="Q598" s="92" t="str">
        <f>IF($AG598="","",INDEX($AM$8:$AM$21,INDEX($AC$8:$AC$1407,$AG598)+1))</f>
        <v/>
      </c>
      <c r="R598" s="92" t="str">
        <f>IF($AG598="","",IF($G598&gt;0,P_ToelCorrectie&amp;"",""))</f>
        <v/>
      </c>
      <c r="S598" s="15" t="str">
        <f>IF(J598="","",J598&amp;"|"&amp;E598&amp;"|"&amp;F598&amp;"|"&amp;I598&amp;"|"&amp;O598)</f>
        <v/>
      </c>
      <c r="T598" s="111" t="str">
        <f>IF(S598="","",IF(COUNTIFS(L_Sleutel,S598,L_Actief,1)=0,"",SUMIFS(L_Waarde,L_Sleutel,S598,L_Actief,1)))</f>
        <v/>
      </c>
      <c r="U598" s="111">
        <f>IF(OR(S598="",T598=""),0,P598-T598)</f>
        <v>0</v>
      </c>
      <c r="AB598" s="112" t="n">
        <v>43</v>
      </c>
      <c r="AC598" s="112" t="n">
        <v>2</v>
      </c>
      <c r="AD598" s="112" t="str">
        <f>VERW_Project!L48</f>
        <v/>
      </c>
      <c r="AE598" s="112">
        <f>IF(AND(VERW_Project!$A48&lt;&gt;"",ISNUMBER(AD598)),1,0)</f>
        <v>0</v>
      </c>
      <c r="AF598" s="112" t="str">
        <f>IF(AE598=1,SUM($AE$8:AE598),"")</f>
        <v/>
      </c>
      <c r="AG598" t="str">
        <f>IFERROR(MATCH(591,$AF$8:$AF$1407,0),"")</f>
        <v/>
      </c>
    </row>
    <row r="599">
      <c r="A599" s="92" t="str">
        <f>IF($AG599="","",P_ImportID)</f>
        <v/>
      </c>
      <c r="B599" s="92" t="str">
        <f>IF($AG599="","",IF(INDEX($AN$8:$AN$21,INDEX($AC$8:$AC$1407,$AG599)+1)="Z",P_BronZ,P_BronE))</f>
        <v/>
      </c>
      <c r="C599" s="108" t="str">
        <f>IF($AG599="","",P_Importdatum)</f>
        <v/>
      </c>
      <c r="D599" s="92" t="str">
        <f>IF($AG599="","",P_StatusVastleg)</f>
        <v/>
      </c>
      <c r="E599" s="92" t="str">
        <f>IF($AG599="","",P_UploadVJ)</f>
        <v/>
      </c>
      <c r="F599" s="92" t="str">
        <f>IF($AG599="","",P_UploadVersie)</f>
        <v/>
      </c>
      <c r="G599" s="92" t="str">
        <f>IF($AG599="","",IF(COUNTIFS(L_Sleutel,$S599,L_Status,"Vastgesteld")=0,0,_xlfn.MAXIFS(L_Revisie,L_Sleutel,$S599,L_Status,"Vastgesteld")+1))</f>
        <v/>
      </c>
      <c r="H599" s="108" t="str">
        <f>IF($AG599="","",P_Peildatum)</f>
        <v/>
      </c>
      <c r="I599" s="92" t="str">
        <f>IF($AG599="","",P_RJ+INDEX($AK$8:$AK$21,INDEX($AC$8:$AC$1407,$AG599)+1))</f>
        <v/>
      </c>
      <c r="J599" s="92" t="str">
        <f>IF($AG599="","",INDEX(V_WBS,INDEX($AB$8:$AB$1407,$AG599)))</f>
        <v/>
      </c>
      <c r="K599" s="92" t="str">
        <f>IF($AG599="","",INDEX(V_Projdef,INDEX($AB$8:$AB$1407,$AG599)))</f>
        <v/>
      </c>
      <c r="L599" s="92" t="str">
        <f>IF($AG599="","",INDEX(V_Naam,INDEX($AB$8:$AB$1407,$AG599)))</f>
        <v/>
      </c>
      <c r="M599" s="92" t="str">
        <f>IF($AG599="","",INDEX(V_Type,INDEX($AB$8:$AB$1407,$AG599)))</f>
        <v/>
      </c>
      <c r="N599" s="92" t="str">
        <f>IF($AG599="","",INDEX(V_IFRS,INDEX($AB$8:$AB$1407,$AG599)))</f>
        <v/>
      </c>
      <c r="O599" s="92" t="str">
        <f>IF($AG599="","",INDEX($AL$8:$AL$21,INDEX($AC$8:$AC$1407,$AG599)+1))</f>
        <v/>
      </c>
      <c r="P599" s="109" t="str">
        <f>IF($AG599="","",INDEX($AD$8:$AD$1407,$AG599))</f>
        <v/>
      </c>
      <c r="Q599" s="92" t="str">
        <f>IF($AG599="","",INDEX($AM$8:$AM$21,INDEX($AC$8:$AC$1407,$AG599)+1))</f>
        <v/>
      </c>
      <c r="R599" s="92" t="str">
        <f>IF($AG599="","",IF($G599&gt;0,P_ToelCorrectie&amp;"",""))</f>
        <v/>
      </c>
      <c r="S599" s="15" t="str">
        <f>IF(J599="","",J599&amp;"|"&amp;E599&amp;"|"&amp;F599&amp;"|"&amp;I599&amp;"|"&amp;O599)</f>
        <v/>
      </c>
      <c r="T599" s="111" t="str">
        <f>IF(S599="","",IF(COUNTIFS(L_Sleutel,S599,L_Actief,1)=0,"",SUMIFS(L_Waarde,L_Sleutel,S599,L_Actief,1)))</f>
        <v/>
      </c>
      <c r="U599" s="111">
        <f>IF(OR(S599="",T599=""),0,P599-T599)</f>
        <v>0</v>
      </c>
      <c r="AB599" s="112" t="n">
        <v>43</v>
      </c>
      <c r="AC599" s="112" t="n">
        <v>3</v>
      </c>
      <c r="AD599" s="112" t="str">
        <f>VERW_Project!M48</f>
        <v/>
      </c>
      <c r="AE599" s="112">
        <f>IF(AND(VERW_Project!$A48&lt;&gt;"",ISNUMBER(AD599)),1,0)</f>
        <v>0</v>
      </c>
      <c r="AF599" s="112" t="str">
        <f>IF(AE599=1,SUM($AE$8:AE599),"")</f>
        <v/>
      </c>
      <c r="AG599" t="str">
        <f>IFERROR(MATCH(592,$AF$8:$AF$1407,0),"")</f>
        <v/>
      </c>
    </row>
    <row r="600">
      <c r="A600" s="92" t="str">
        <f>IF($AG600="","",P_ImportID)</f>
        <v/>
      </c>
      <c r="B600" s="92" t="str">
        <f>IF($AG600="","",IF(INDEX($AN$8:$AN$21,INDEX($AC$8:$AC$1407,$AG600)+1)="Z",P_BronZ,P_BronE))</f>
        <v/>
      </c>
      <c r="C600" s="108" t="str">
        <f>IF($AG600="","",P_Importdatum)</f>
        <v/>
      </c>
      <c r="D600" s="92" t="str">
        <f>IF($AG600="","",P_StatusVastleg)</f>
        <v/>
      </c>
      <c r="E600" s="92" t="str">
        <f>IF($AG600="","",P_UploadVJ)</f>
        <v/>
      </c>
      <c r="F600" s="92" t="str">
        <f>IF($AG600="","",P_UploadVersie)</f>
        <v/>
      </c>
      <c r="G600" s="92" t="str">
        <f>IF($AG600="","",IF(COUNTIFS(L_Sleutel,$S600,L_Status,"Vastgesteld")=0,0,_xlfn.MAXIFS(L_Revisie,L_Sleutel,$S600,L_Status,"Vastgesteld")+1))</f>
        <v/>
      </c>
      <c r="H600" s="108" t="str">
        <f>IF($AG600="","",P_Peildatum)</f>
        <v/>
      </c>
      <c r="I600" s="92" t="str">
        <f>IF($AG600="","",P_RJ+INDEX($AK$8:$AK$21,INDEX($AC$8:$AC$1407,$AG600)+1))</f>
        <v/>
      </c>
      <c r="J600" s="92" t="str">
        <f>IF($AG600="","",INDEX(V_WBS,INDEX($AB$8:$AB$1407,$AG600)))</f>
        <v/>
      </c>
      <c r="K600" s="92" t="str">
        <f>IF($AG600="","",INDEX(V_Projdef,INDEX($AB$8:$AB$1407,$AG600)))</f>
        <v/>
      </c>
      <c r="L600" s="92" t="str">
        <f>IF($AG600="","",INDEX(V_Naam,INDEX($AB$8:$AB$1407,$AG600)))</f>
        <v/>
      </c>
      <c r="M600" s="92" t="str">
        <f>IF($AG600="","",INDEX(V_Type,INDEX($AB$8:$AB$1407,$AG600)))</f>
        <v/>
      </c>
      <c r="N600" s="92" t="str">
        <f>IF($AG600="","",INDEX(V_IFRS,INDEX($AB$8:$AB$1407,$AG600)))</f>
        <v/>
      </c>
      <c r="O600" s="92" t="str">
        <f>IF($AG600="","",INDEX($AL$8:$AL$21,INDEX($AC$8:$AC$1407,$AG600)+1))</f>
        <v/>
      </c>
      <c r="P600" s="109" t="str">
        <f>IF($AG600="","",INDEX($AD$8:$AD$1407,$AG600))</f>
        <v/>
      </c>
      <c r="Q600" s="92" t="str">
        <f>IF($AG600="","",INDEX($AM$8:$AM$21,INDEX($AC$8:$AC$1407,$AG600)+1))</f>
        <v/>
      </c>
      <c r="R600" s="92" t="str">
        <f>IF($AG600="","",IF($G600&gt;0,P_ToelCorrectie&amp;"",""))</f>
        <v/>
      </c>
      <c r="S600" s="15" t="str">
        <f>IF(J600="","",J600&amp;"|"&amp;E600&amp;"|"&amp;F600&amp;"|"&amp;I600&amp;"|"&amp;O600)</f>
        <v/>
      </c>
      <c r="T600" s="111" t="str">
        <f>IF(S600="","",IF(COUNTIFS(L_Sleutel,S600,L_Actief,1)=0,"",SUMIFS(L_Waarde,L_Sleutel,S600,L_Actief,1)))</f>
        <v/>
      </c>
      <c r="U600" s="111">
        <f>IF(OR(S600="",T600=""),0,P600-T600)</f>
        <v>0</v>
      </c>
      <c r="AB600" s="112" t="n">
        <v>43</v>
      </c>
      <c r="AC600" s="112" t="n">
        <v>4</v>
      </c>
      <c r="AD600" s="112" t="str">
        <f>VERW_Project!R48</f>
        <v/>
      </c>
      <c r="AE600" s="112">
        <f>IF(AND(VERW_Project!$A48&lt;&gt;"",ISNUMBER(AD600)),1,0)</f>
        <v>0</v>
      </c>
      <c r="AF600" s="112" t="str">
        <f>IF(AE600=1,SUM($AE$8:AE600),"")</f>
        <v/>
      </c>
      <c r="AG600" t="str">
        <f>IFERROR(MATCH(593,$AF$8:$AF$1407,0),"")</f>
        <v/>
      </c>
    </row>
    <row r="601">
      <c r="A601" s="92" t="str">
        <f>IF($AG601="","",P_ImportID)</f>
        <v/>
      </c>
      <c r="B601" s="92" t="str">
        <f>IF($AG601="","",IF(INDEX($AN$8:$AN$21,INDEX($AC$8:$AC$1407,$AG601)+1)="Z",P_BronZ,P_BronE))</f>
        <v/>
      </c>
      <c r="C601" s="108" t="str">
        <f>IF($AG601="","",P_Importdatum)</f>
        <v/>
      </c>
      <c r="D601" s="92" t="str">
        <f>IF($AG601="","",P_StatusVastleg)</f>
        <v/>
      </c>
      <c r="E601" s="92" t="str">
        <f>IF($AG601="","",P_UploadVJ)</f>
        <v/>
      </c>
      <c r="F601" s="92" t="str">
        <f>IF($AG601="","",P_UploadVersie)</f>
        <v/>
      </c>
      <c r="G601" s="92" t="str">
        <f>IF($AG601="","",IF(COUNTIFS(L_Sleutel,$S601,L_Status,"Vastgesteld")=0,0,_xlfn.MAXIFS(L_Revisie,L_Sleutel,$S601,L_Status,"Vastgesteld")+1))</f>
        <v/>
      </c>
      <c r="H601" s="108" t="str">
        <f>IF($AG601="","",P_Peildatum)</f>
        <v/>
      </c>
      <c r="I601" s="92" t="str">
        <f>IF($AG601="","",P_RJ+INDEX($AK$8:$AK$21,INDEX($AC$8:$AC$1407,$AG601)+1))</f>
        <v/>
      </c>
      <c r="J601" s="92" t="str">
        <f>IF($AG601="","",INDEX(V_WBS,INDEX($AB$8:$AB$1407,$AG601)))</f>
        <v/>
      </c>
      <c r="K601" s="92" t="str">
        <f>IF($AG601="","",INDEX(V_Projdef,INDEX($AB$8:$AB$1407,$AG601)))</f>
        <v/>
      </c>
      <c r="L601" s="92" t="str">
        <f>IF($AG601="","",INDEX(V_Naam,INDEX($AB$8:$AB$1407,$AG601)))</f>
        <v/>
      </c>
      <c r="M601" s="92" t="str">
        <f>IF($AG601="","",INDEX(V_Type,INDEX($AB$8:$AB$1407,$AG601)))</f>
        <v/>
      </c>
      <c r="N601" s="92" t="str">
        <f>IF($AG601="","",INDEX(V_IFRS,INDEX($AB$8:$AB$1407,$AG601)))</f>
        <v/>
      </c>
      <c r="O601" s="92" t="str">
        <f>IF($AG601="","",INDEX($AL$8:$AL$21,INDEX($AC$8:$AC$1407,$AG601)+1))</f>
        <v/>
      </c>
      <c r="P601" s="109" t="str">
        <f>IF($AG601="","",INDEX($AD$8:$AD$1407,$AG601))</f>
        <v/>
      </c>
      <c r="Q601" s="92" t="str">
        <f>IF($AG601="","",INDEX($AM$8:$AM$21,INDEX($AC$8:$AC$1407,$AG601)+1))</f>
        <v/>
      </c>
      <c r="R601" s="92" t="str">
        <f>IF($AG601="","",IF($G601&gt;0,P_ToelCorrectie&amp;"",""))</f>
        <v/>
      </c>
      <c r="S601" s="15" t="str">
        <f>IF(J601="","",J601&amp;"|"&amp;E601&amp;"|"&amp;F601&amp;"|"&amp;I601&amp;"|"&amp;O601)</f>
        <v/>
      </c>
      <c r="T601" s="111" t="str">
        <f>IF(S601="","",IF(COUNTIFS(L_Sleutel,S601,L_Actief,1)=0,"",SUMIFS(L_Waarde,L_Sleutel,S601,L_Actief,1)))</f>
        <v/>
      </c>
      <c r="U601" s="111">
        <f>IF(OR(S601="",T601=""),0,P601-T601)</f>
        <v>0</v>
      </c>
      <c r="AB601" s="112" t="n">
        <v>43</v>
      </c>
      <c r="AC601" s="112" t="n">
        <v>5</v>
      </c>
      <c r="AD601" s="112" t="str">
        <f>VERW_Project!S48</f>
        <v/>
      </c>
      <c r="AE601" s="112">
        <f>IF(AND(VERW_Project!$A48&lt;&gt;"",ISNUMBER(AD601)),1,0)</f>
        <v>0</v>
      </c>
      <c r="AF601" s="112" t="str">
        <f>IF(AE601=1,SUM($AE$8:AE601),"")</f>
        <v/>
      </c>
      <c r="AG601" t="str">
        <f>IFERROR(MATCH(594,$AF$8:$AF$1407,0),"")</f>
        <v/>
      </c>
    </row>
    <row r="602">
      <c r="A602" s="92" t="str">
        <f>IF($AG602="","",P_ImportID)</f>
        <v/>
      </c>
      <c r="B602" s="92" t="str">
        <f>IF($AG602="","",IF(INDEX($AN$8:$AN$21,INDEX($AC$8:$AC$1407,$AG602)+1)="Z",P_BronZ,P_BronE))</f>
        <v/>
      </c>
      <c r="C602" s="108" t="str">
        <f>IF($AG602="","",P_Importdatum)</f>
        <v/>
      </c>
      <c r="D602" s="92" t="str">
        <f>IF($AG602="","",P_StatusVastleg)</f>
        <v/>
      </c>
      <c r="E602" s="92" t="str">
        <f>IF($AG602="","",P_UploadVJ)</f>
        <v/>
      </c>
      <c r="F602" s="92" t="str">
        <f>IF($AG602="","",P_UploadVersie)</f>
        <v/>
      </c>
      <c r="G602" s="92" t="str">
        <f>IF($AG602="","",IF(COUNTIFS(L_Sleutel,$S602,L_Status,"Vastgesteld")=0,0,_xlfn.MAXIFS(L_Revisie,L_Sleutel,$S602,L_Status,"Vastgesteld")+1))</f>
        <v/>
      </c>
      <c r="H602" s="108" t="str">
        <f>IF($AG602="","",P_Peildatum)</f>
        <v/>
      </c>
      <c r="I602" s="92" t="str">
        <f>IF($AG602="","",P_RJ+INDEX($AK$8:$AK$21,INDEX($AC$8:$AC$1407,$AG602)+1))</f>
        <v/>
      </c>
      <c r="J602" s="92" t="str">
        <f>IF($AG602="","",INDEX(V_WBS,INDEX($AB$8:$AB$1407,$AG602)))</f>
        <v/>
      </c>
      <c r="K602" s="92" t="str">
        <f>IF($AG602="","",INDEX(V_Projdef,INDEX($AB$8:$AB$1407,$AG602)))</f>
        <v/>
      </c>
      <c r="L602" s="92" t="str">
        <f>IF($AG602="","",INDEX(V_Naam,INDEX($AB$8:$AB$1407,$AG602)))</f>
        <v/>
      </c>
      <c r="M602" s="92" t="str">
        <f>IF($AG602="","",INDEX(V_Type,INDEX($AB$8:$AB$1407,$AG602)))</f>
        <v/>
      </c>
      <c r="N602" s="92" t="str">
        <f>IF($AG602="","",INDEX(V_IFRS,INDEX($AB$8:$AB$1407,$AG602)))</f>
        <v/>
      </c>
      <c r="O602" s="92" t="str">
        <f>IF($AG602="","",INDEX($AL$8:$AL$21,INDEX($AC$8:$AC$1407,$AG602)+1))</f>
        <v/>
      </c>
      <c r="P602" s="109" t="str">
        <f>IF($AG602="","",INDEX($AD$8:$AD$1407,$AG602))</f>
        <v/>
      </c>
      <c r="Q602" s="92" t="str">
        <f>IF($AG602="","",INDEX($AM$8:$AM$21,INDEX($AC$8:$AC$1407,$AG602)+1))</f>
        <v/>
      </c>
      <c r="R602" s="92" t="str">
        <f>IF($AG602="","",IF($G602&gt;0,P_ToelCorrectie&amp;"",""))</f>
        <v/>
      </c>
      <c r="S602" s="15" t="str">
        <f>IF(J602="","",J602&amp;"|"&amp;E602&amp;"|"&amp;F602&amp;"|"&amp;I602&amp;"|"&amp;O602)</f>
        <v/>
      </c>
      <c r="T602" s="111" t="str">
        <f>IF(S602="","",IF(COUNTIFS(L_Sleutel,S602,L_Actief,1)=0,"",SUMIFS(L_Waarde,L_Sleutel,S602,L_Actief,1)))</f>
        <v/>
      </c>
      <c r="U602" s="111">
        <f>IF(OR(S602="",T602=""),0,P602-T602)</f>
        <v>0</v>
      </c>
      <c r="AB602" s="112" t="n">
        <v>43</v>
      </c>
      <c r="AC602" s="112" t="n">
        <v>6</v>
      </c>
      <c r="AD602" s="112" t="str">
        <f>VERW_Project!BW48</f>
        <v/>
      </c>
      <c r="AE602" s="112">
        <f>IF(AND(VERW_Project!$A48&lt;&gt;"",ISNUMBER(AD602)),1,0)</f>
        <v>0</v>
      </c>
      <c r="AF602" s="112" t="str">
        <f>IF(AE602=1,SUM($AE$8:AE602),"")</f>
        <v/>
      </c>
      <c r="AG602" t="str">
        <f>IFERROR(MATCH(595,$AF$8:$AF$1407,0),"")</f>
        <v/>
      </c>
    </row>
    <row r="603">
      <c r="A603" s="92" t="str">
        <f>IF($AG603="","",P_ImportID)</f>
        <v/>
      </c>
      <c r="B603" s="92" t="str">
        <f>IF($AG603="","",IF(INDEX($AN$8:$AN$21,INDEX($AC$8:$AC$1407,$AG603)+1)="Z",P_BronZ,P_BronE))</f>
        <v/>
      </c>
      <c r="C603" s="108" t="str">
        <f>IF($AG603="","",P_Importdatum)</f>
        <v/>
      </c>
      <c r="D603" s="92" t="str">
        <f>IF($AG603="","",P_StatusVastleg)</f>
        <v/>
      </c>
      <c r="E603" s="92" t="str">
        <f>IF($AG603="","",P_UploadVJ)</f>
        <v/>
      </c>
      <c r="F603" s="92" t="str">
        <f>IF($AG603="","",P_UploadVersie)</f>
        <v/>
      </c>
      <c r="G603" s="92" t="str">
        <f>IF($AG603="","",IF(COUNTIFS(L_Sleutel,$S603,L_Status,"Vastgesteld")=0,0,_xlfn.MAXIFS(L_Revisie,L_Sleutel,$S603,L_Status,"Vastgesteld")+1))</f>
        <v/>
      </c>
      <c r="H603" s="108" t="str">
        <f>IF($AG603="","",P_Peildatum)</f>
        <v/>
      </c>
      <c r="I603" s="92" t="str">
        <f>IF($AG603="","",P_RJ+INDEX($AK$8:$AK$21,INDEX($AC$8:$AC$1407,$AG603)+1))</f>
        <v/>
      </c>
      <c r="J603" s="92" t="str">
        <f>IF($AG603="","",INDEX(V_WBS,INDEX($AB$8:$AB$1407,$AG603)))</f>
        <v/>
      </c>
      <c r="K603" s="92" t="str">
        <f>IF($AG603="","",INDEX(V_Projdef,INDEX($AB$8:$AB$1407,$AG603)))</f>
        <v/>
      </c>
      <c r="L603" s="92" t="str">
        <f>IF($AG603="","",INDEX(V_Naam,INDEX($AB$8:$AB$1407,$AG603)))</f>
        <v/>
      </c>
      <c r="M603" s="92" t="str">
        <f>IF($AG603="","",INDEX(V_Type,INDEX($AB$8:$AB$1407,$AG603)))</f>
        <v/>
      </c>
      <c r="N603" s="92" t="str">
        <f>IF($AG603="","",INDEX(V_IFRS,INDEX($AB$8:$AB$1407,$AG603)))</f>
        <v/>
      </c>
      <c r="O603" s="92" t="str">
        <f>IF($AG603="","",INDEX($AL$8:$AL$21,INDEX($AC$8:$AC$1407,$AG603)+1))</f>
        <v/>
      </c>
      <c r="P603" s="109" t="str">
        <f>IF($AG603="","",INDEX($AD$8:$AD$1407,$AG603))</f>
        <v/>
      </c>
      <c r="Q603" s="92" t="str">
        <f>IF($AG603="","",INDEX($AM$8:$AM$21,INDEX($AC$8:$AC$1407,$AG603)+1))</f>
        <v/>
      </c>
      <c r="R603" s="92" t="str">
        <f>IF($AG603="","",IF($G603&gt;0,P_ToelCorrectie&amp;"",""))</f>
        <v/>
      </c>
      <c r="S603" s="15" t="str">
        <f>IF(J603="","",J603&amp;"|"&amp;E603&amp;"|"&amp;F603&amp;"|"&amp;I603&amp;"|"&amp;O603)</f>
        <v/>
      </c>
      <c r="T603" s="111" t="str">
        <f>IF(S603="","",IF(COUNTIFS(L_Sleutel,S603,L_Actief,1)=0,"",SUMIFS(L_Waarde,L_Sleutel,S603,L_Actief,1)))</f>
        <v/>
      </c>
      <c r="U603" s="111">
        <f>IF(OR(S603="",T603=""),0,P603-T603)</f>
        <v>0</v>
      </c>
      <c r="AB603" s="112" t="n">
        <v>43</v>
      </c>
      <c r="AC603" s="112" t="n">
        <v>7</v>
      </c>
      <c r="AD603" s="112" t="str">
        <f>VERW_Project!AW48</f>
        <v/>
      </c>
      <c r="AE603" s="112">
        <f>IF(AND(VERW_Project!$A48&lt;&gt;"",ISNUMBER(AD603)),1,0)</f>
        <v>0</v>
      </c>
      <c r="AF603" s="112" t="str">
        <f>IF(AE603=1,SUM($AE$8:AE603),"")</f>
        <v/>
      </c>
      <c r="AG603" t="str">
        <f>IFERROR(MATCH(596,$AF$8:$AF$1407,0),"")</f>
        <v/>
      </c>
    </row>
    <row r="604">
      <c r="A604" s="92" t="str">
        <f>IF($AG604="","",P_ImportID)</f>
        <v/>
      </c>
      <c r="B604" s="92" t="str">
        <f>IF($AG604="","",IF(INDEX($AN$8:$AN$21,INDEX($AC$8:$AC$1407,$AG604)+1)="Z",P_BronZ,P_BronE))</f>
        <v/>
      </c>
      <c r="C604" s="108" t="str">
        <f>IF($AG604="","",P_Importdatum)</f>
        <v/>
      </c>
      <c r="D604" s="92" t="str">
        <f>IF($AG604="","",P_StatusVastleg)</f>
        <v/>
      </c>
      <c r="E604" s="92" t="str">
        <f>IF($AG604="","",P_UploadVJ)</f>
        <v/>
      </c>
      <c r="F604" s="92" t="str">
        <f>IF($AG604="","",P_UploadVersie)</f>
        <v/>
      </c>
      <c r="G604" s="92" t="str">
        <f>IF($AG604="","",IF(COUNTIFS(L_Sleutel,$S604,L_Status,"Vastgesteld")=0,0,_xlfn.MAXIFS(L_Revisie,L_Sleutel,$S604,L_Status,"Vastgesteld")+1))</f>
        <v/>
      </c>
      <c r="H604" s="108" t="str">
        <f>IF($AG604="","",P_Peildatum)</f>
        <v/>
      </c>
      <c r="I604" s="92" t="str">
        <f>IF($AG604="","",P_RJ+INDEX($AK$8:$AK$21,INDEX($AC$8:$AC$1407,$AG604)+1))</f>
        <v/>
      </c>
      <c r="J604" s="92" t="str">
        <f>IF($AG604="","",INDEX(V_WBS,INDEX($AB$8:$AB$1407,$AG604)))</f>
        <v/>
      </c>
      <c r="K604" s="92" t="str">
        <f>IF($AG604="","",INDEX(V_Projdef,INDEX($AB$8:$AB$1407,$AG604)))</f>
        <v/>
      </c>
      <c r="L604" s="92" t="str">
        <f>IF($AG604="","",INDEX(V_Naam,INDEX($AB$8:$AB$1407,$AG604)))</f>
        <v/>
      </c>
      <c r="M604" s="92" t="str">
        <f>IF($AG604="","",INDEX(V_Type,INDEX($AB$8:$AB$1407,$AG604)))</f>
        <v/>
      </c>
      <c r="N604" s="92" t="str">
        <f>IF($AG604="","",INDEX(V_IFRS,INDEX($AB$8:$AB$1407,$AG604)))</f>
        <v/>
      </c>
      <c r="O604" s="92" t="str">
        <f>IF($AG604="","",INDEX($AL$8:$AL$21,INDEX($AC$8:$AC$1407,$AG604)+1))</f>
        <v/>
      </c>
      <c r="P604" s="109" t="str">
        <f>IF($AG604="","",INDEX($AD$8:$AD$1407,$AG604))</f>
        <v/>
      </c>
      <c r="Q604" s="92" t="str">
        <f>IF($AG604="","",INDEX($AM$8:$AM$21,INDEX($AC$8:$AC$1407,$AG604)+1))</f>
        <v/>
      </c>
      <c r="R604" s="92" t="str">
        <f>IF($AG604="","",IF($G604&gt;0,P_ToelCorrectie&amp;"",""))</f>
        <v/>
      </c>
      <c r="S604" s="15" t="str">
        <f>IF(J604="","",J604&amp;"|"&amp;E604&amp;"|"&amp;F604&amp;"|"&amp;I604&amp;"|"&amp;O604)</f>
        <v/>
      </c>
      <c r="T604" s="111" t="str">
        <f>IF(S604="","",IF(COUNTIFS(L_Sleutel,S604,L_Actief,1)=0,"",SUMIFS(L_Waarde,L_Sleutel,S604,L_Actief,1)))</f>
        <v/>
      </c>
      <c r="U604" s="111">
        <f>IF(OR(S604="",T604=""),0,P604-T604)</f>
        <v>0</v>
      </c>
      <c r="AB604" s="112" t="n">
        <v>43</v>
      </c>
      <c r="AC604" s="112" t="n">
        <v>8</v>
      </c>
      <c r="AD604" s="112" t="str">
        <f>VERW_Project!BQ48</f>
        <v/>
      </c>
      <c r="AE604" s="112">
        <f>IF(AND(VERW_Project!$A48&lt;&gt;"",ISNUMBER(AD604)),1,0)</f>
        <v>0</v>
      </c>
      <c r="AF604" s="112" t="str">
        <f>IF(AE604=1,SUM($AE$8:AE604),"")</f>
        <v/>
      </c>
      <c r="AG604" t="str">
        <f>IFERROR(MATCH(597,$AF$8:$AF$1407,0),"")</f>
        <v/>
      </c>
    </row>
    <row r="605">
      <c r="A605" s="92" t="str">
        <f>IF($AG605="","",P_ImportID)</f>
        <v/>
      </c>
      <c r="B605" s="92" t="str">
        <f>IF($AG605="","",IF(INDEX($AN$8:$AN$21,INDEX($AC$8:$AC$1407,$AG605)+1)="Z",P_BronZ,P_BronE))</f>
        <v/>
      </c>
      <c r="C605" s="108" t="str">
        <f>IF($AG605="","",P_Importdatum)</f>
        <v/>
      </c>
      <c r="D605" s="92" t="str">
        <f>IF($AG605="","",P_StatusVastleg)</f>
        <v/>
      </c>
      <c r="E605" s="92" t="str">
        <f>IF($AG605="","",P_UploadVJ)</f>
        <v/>
      </c>
      <c r="F605" s="92" t="str">
        <f>IF($AG605="","",P_UploadVersie)</f>
        <v/>
      </c>
      <c r="G605" s="92" t="str">
        <f>IF($AG605="","",IF(COUNTIFS(L_Sleutel,$S605,L_Status,"Vastgesteld")=0,0,_xlfn.MAXIFS(L_Revisie,L_Sleutel,$S605,L_Status,"Vastgesteld")+1))</f>
        <v/>
      </c>
      <c r="H605" s="108" t="str">
        <f>IF($AG605="","",P_Peildatum)</f>
        <v/>
      </c>
      <c r="I605" s="92" t="str">
        <f>IF($AG605="","",P_RJ+INDEX($AK$8:$AK$21,INDEX($AC$8:$AC$1407,$AG605)+1))</f>
        <v/>
      </c>
      <c r="J605" s="92" t="str">
        <f>IF($AG605="","",INDEX(V_WBS,INDEX($AB$8:$AB$1407,$AG605)))</f>
        <v/>
      </c>
      <c r="K605" s="92" t="str">
        <f>IF($AG605="","",INDEX(V_Projdef,INDEX($AB$8:$AB$1407,$AG605)))</f>
        <v/>
      </c>
      <c r="L605" s="92" t="str">
        <f>IF($AG605="","",INDEX(V_Naam,INDEX($AB$8:$AB$1407,$AG605)))</f>
        <v/>
      </c>
      <c r="M605" s="92" t="str">
        <f>IF($AG605="","",INDEX(V_Type,INDEX($AB$8:$AB$1407,$AG605)))</f>
        <v/>
      </c>
      <c r="N605" s="92" t="str">
        <f>IF($AG605="","",INDEX(V_IFRS,INDEX($AB$8:$AB$1407,$AG605)))</f>
        <v/>
      </c>
      <c r="O605" s="92" t="str">
        <f>IF($AG605="","",INDEX($AL$8:$AL$21,INDEX($AC$8:$AC$1407,$AG605)+1))</f>
        <v/>
      </c>
      <c r="P605" s="109" t="str">
        <f>IF($AG605="","",INDEX($AD$8:$AD$1407,$AG605))</f>
        <v/>
      </c>
      <c r="Q605" s="92" t="str">
        <f>IF($AG605="","",INDEX($AM$8:$AM$21,INDEX($AC$8:$AC$1407,$AG605)+1))</f>
        <v/>
      </c>
      <c r="R605" s="92" t="str">
        <f>IF($AG605="","",IF($G605&gt;0,P_ToelCorrectie&amp;"",""))</f>
        <v/>
      </c>
      <c r="S605" s="15" t="str">
        <f>IF(J605="","",J605&amp;"|"&amp;E605&amp;"|"&amp;F605&amp;"|"&amp;I605&amp;"|"&amp;O605)</f>
        <v/>
      </c>
      <c r="T605" s="111" t="str">
        <f>IF(S605="","",IF(COUNTIFS(L_Sleutel,S605,L_Actief,1)=0,"",SUMIFS(L_Waarde,L_Sleutel,S605,L_Actief,1)))</f>
        <v/>
      </c>
      <c r="U605" s="111">
        <f>IF(OR(S605="",T605=""),0,P605-T605)</f>
        <v>0</v>
      </c>
      <c r="AB605" s="112" t="n">
        <v>43</v>
      </c>
      <c r="AC605" s="112" t="n">
        <v>9</v>
      </c>
      <c r="AD605" s="112" t="str">
        <f>VERW_Project!BR48</f>
        <v/>
      </c>
      <c r="AE605" s="112">
        <f>IF(AND(VERW_Project!$A48&lt;&gt;"",ISNUMBER(AD605)),1,0)</f>
        <v>0</v>
      </c>
      <c r="AF605" s="112" t="str">
        <f>IF(AE605=1,SUM($AE$8:AE605),"")</f>
        <v/>
      </c>
      <c r="AG605" t="str">
        <f>IFERROR(MATCH(598,$AF$8:$AF$1407,0),"")</f>
        <v/>
      </c>
    </row>
    <row r="606">
      <c r="A606" s="92" t="str">
        <f>IF($AG606="","",P_ImportID)</f>
        <v/>
      </c>
      <c r="B606" s="92" t="str">
        <f>IF($AG606="","",IF(INDEX($AN$8:$AN$21,INDEX($AC$8:$AC$1407,$AG606)+1)="Z",P_BronZ,P_BronE))</f>
        <v/>
      </c>
      <c r="C606" s="108" t="str">
        <f>IF($AG606="","",P_Importdatum)</f>
        <v/>
      </c>
      <c r="D606" s="92" t="str">
        <f>IF($AG606="","",P_StatusVastleg)</f>
        <v/>
      </c>
      <c r="E606" s="92" t="str">
        <f>IF($AG606="","",P_UploadVJ)</f>
        <v/>
      </c>
      <c r="F606" s="92" t="str">
        <f>IF($AG606="","",P_UploadVersie)</f>
        <v/>
      </c>
      <c r="G606" s="92" t="str">
        <f>IF($AG606="","",IF(COUNTIFS(L_Sleutel,$S606,L_Status,"Vastgesteld")=0,0,_xlfn.MAXIFS(L_Revisie,L_Sleutel,$S606,L_Status,"Vastgesteld")+1))</f>
        <v/>
      </c>
      <c r="H606" s="108" t="str">
        <f>IF($AG606="","",P_Peildatum)</f>
        <v/>
      </c>
      <c r="I606" s="92" t="str">
        <f>IF($AG606="","",P_RJ+INDEX($AK$8:$AK$21,INDEX($AC$8:$AC$1407,$AG606)+1))</f>
        <v/>
      </c>
      <c r="J606" s="92" t="str">
        <f>IF($AG606="","",INDEX(V_WBS,INDEX($AB$8:$AB$1407,$AG606)))</f>
        <v/>
      </c>
      <c r="K606" s="92" t="str">
        <f>IF($AG606="","",INDEX(V_Projdef,INDEX($AB$8:$AB$1407,$AG606)))</f>
        <v/>
      </c>
      <c r="L606" s="92" t="str">
        <f>IF($AG606="","",INDEX(V_Naam,INDEX($AB$8:$AB$1407,$AG606)))</f>
        <v/>
      </c>
      <c r="M606" s="92" t="str">
        <f>IF($AG606="","",INDEX(V_Type,INDEX($AB$8:$AB$1407,$AG606)))</f>
        <v/>
      </c>
      <c r="N606" s="92" t="str">
        <f>IF($AG606="","",INDEX(V_IFRS,INDEX($AB$8:$AB$1407,$AG606)))</f>
        <v/>
      </c>
      <c r="O606" s="92" t="str">
        <f>IF($AG606="","",INDEX($AL$8:$AL$21,INDEX($AC$8:$AC$1407,$AG606)+1))</f>
        <v/>
      </c>
      <c r="P606" s="109" t="str">
        <f>IF($AG606="","",INDEX($AD$8:$AD$1407,$AG606))</f>
        <v/>
      </c>
      <c r="Q606" s="92" t="str">
        <f>IF($AG606="","",INDEX($AM$8:$AM$21,INDEX($AC$8:$AC$1407,$AG606)+1))</f>
        <v/>
      </c>
      <c r="R606" s="92" t="str">
        <f>IF($AG606="","",IF($G606&gt;0,P_ToelCorrectie&amp;"",""))</f>
        <v/>
      </c>
      <c r="S606" s="15" t="str">
        <f>IF(J606="","",J606&amp;"|"&amp;E606&amp;"|"&amp;F606&amp;"|"&amp;I606&amp;"|"&amp;O606)</f>
        <v/>
      </c>
      <c r="T606" s="111" t="str">
        <f>IF(S606="","",IF(COUNTIFS(L_Sleutel,S606,L_Actief,1)=0,"",SUMIFS(L_Waarde,L_Sleutel,S606,L_Actief,1)))</f>
        <v/>
      </c>
      <c r="U606" s="111">
        <f>IF(OR(S606="",T606=""),0,P606-T606)</f>
        <v>0</v>
      </c>
      <c r="AB606" s="112" t="n">
        <v>43</v>
      </c>
      <c r="AC606" s="112" t="n">
        <v>10</v>
      </c>
      <c r="AD606" s="112" t="str">
        <f>VERW_Project!BS48</f>
        <v/>
      </c>
      <c r="AE606" s="112">
        <f>IF(AND(VERW_Project!$A48&lt;&gt;"",ISNUMBER(AD606)),1,0)</f>
        <v>0</v>
      </c>
      <c r="AF606" s="112" t="str">
        <f>IF(AE606=1,SUM($AE$8:AE606),"")</f>
        <v/>
      </c>
      <c r="AG606" t="str">
        <f>IFERROR(MATCH(599,$AF$8:$AF$1407,0),"")</f>
        <v/>
      </c>
    </row>
    <row r="607">
      <c r="A607" s="92" t="str">
        <f>IF($AG607="","",P_ImportID)</f>
        <v/>
      </c>
      <c r="B607" s="92" t="str">
        <f>IF($AG607="","",IF(INDEX($AN$8:$AN$21,INDEX($AC$8:$AC$1407,$AG607)+1)="Z",P_BronZ,P_BronE))</f>
        <v/>
      </c>
      <c r="C607" s="108" t="str">
        <f>IF($AG607="","",P_Importdatum)</f>
        <v/>
      </c>
      <c r="D607" s="92" t="str">
        <f>IF($AG607="","",P_StatusVastleg)</f>
        <v/>
      </c>
      <c r="E607" s="92" t="str">
        <f>IF($AG607="","",P_UploadVJ)</f>
        <v/>
      </c>
      <c r="F607" s="92" t="str">
        <f>IF($AG607="","",P_UploadVersie)</f>
        <v/>
      </c>
      <c r="G607" s="92" t="str">
        <f>IF($AG607="","",IF(COUNTIFS(L_Sleutel,$S607,L_Status,"Vastgesteld")=0,0,_xlfn.MAXIFS(L_Revisie,L_Sleutel,$S607,L_Status,"Vastgesteld")+1))</f>
        <v/>
      </c>
      <c r="H607" s="108" t="str">
        <f>IF($AG607="","",P_Peildatum)</f>
        <v/>
      </c>
      <c r="I607" s="92" t="str">
        <f>IF($AG607="","",P_RJ+INDEX($AK$8:$AK$21,INDEX($AC$8:$AC$1407,$AG607)+1))</f>
        <v/>
      </c>
      <c r="J607" s="92" t="str">
        <f>IF($AG607="","",INDEX(V_WBS,INDEX($AB$8:$AB$1407,$AG607)))</f>
        <v/>
      </c>
      <c r="K607" s="92" t="str">
        <f>IF($AG607="","",INDEX(V_Projdef,INDEX($AB$8:$AB$1407,$AG607)))</f>
        <v/>
      </c>
      <c r="L607" s="92" t="str">
        <f>IF($AG607="","",INDEX(V_Naam,INDEX($AB$8:$AB$1407,$AG607)))</f>
        <v/>
      </c>
      <c r="M607" s="92" t="str">
        <f>IF($AG607="","",INDEX(V_Type,INDEX($AB$8:$AB$1407,$AG607)))</f>
        <v/>
      </c>
      <c r="N607" s="92" t="str">
        <f>IF($AG607="","",INDEX(V_IFRS,INDEX($AB$8:$AB$1407,$AG607)))</f>
        <v/>
      </c>
      <c r="O607" s="92" t="str">
        <f>IF($AG607="","",INDEX($AL$8:$AL$21,INDEX($AC$8:$AC$1407,$AG607)+1))</f>
        <v/>
      </c>
      <c r="P607" s="109" t="str">
        <f>IF($AG607="","",INDEX($AD$8:$AD$1407,$AG607))</f>
        <v/>
      </c>
      <c r="Q607" s="92" t="str">
        <f>IF($AG607="","",INDEX($AM$8:$AM$21,INDEX($AC$8:$AC$1407,$AG607)+1))</f>
        <v/>
      </c>
      <c r="R607" s="92" t="str">
        <f>IF($AG607="","",IF($G607&gt;0,P_ToelCorrectie&amp;"",""))</f>
        <v/>
      </c>
      <c r="S607" s="15" t="str">
        <f>IF(J607="","",J607&amp;"|"&amp;E607&amp;"|"&amp;F607&amp;"|"&amp;I607&amp;"|"&amp;O607)</f>
        <v/>
      </c>
      <c r="T607" s="111" t="str">
        <f>IF(S607="","",IF(COUNTIFS(L_Sleutel,S607,L_Actief,1)=0,"",SUMIFS(L_Waarde,L_Sleutel,S607,L_Actief,1)))</f>
        <v/>
      </c>
      <c r="U607" s="111">
        <f>IF(OR(S607="",T607=""),0,P607-T607)</f>
        <v>0</v>
      </c>
      <c r="AB607" s="112" t="n">
        <v>43</v>
      </c>
      <c r="AC607" s="112" t="n">
        <v>11</v>
      </c>
      <c r="AD607" s="112" t="str">
        <f>VERW_Project!BT48</f>
        <v/>
      </c>
      <c r="AE607" s="112">
        <f>IF(AND(VERW_Project!$A48&lt;&gt;"",ISNUMBER(AD607)),1,0)</f>
        <v>0</v>
      </c>
      <c r="AF607" s="112" t="str">
        <f>IF(AE607=1,SUM($AE$8:AE607),"")</f>
        <v/>
      </c>
      <c r="AG607" t="str">
        <f>IFERROR(MATCH(600,$AF$8:$AF$1407,0),"")</f>
        <v/>
      </c>
    </row>
    <row r="608">
      <c r="A608" s="92" t="str">
        <f>IF($AG608="","",P_ImportID)</f>
        <v/>
      </c>
      <c r="B608" s="92" t="str">
        <f>IF($AG608="","",IF(INDEX($AN$8:$AN$21,INDEX($AC$8:$AC$1407,$AG608)+1)="Z",P_BronZ,P_BronE))</f>
        <v/>
      </c>
      <c r="C608" s="108" t="str">
        <f>IF($AG608="","",P_Importdatum)</f>
        <v/>
      </c>
      <c r="D608" s="92" t="str">
        <f>IF($AG608="","",P_StatusVastleg)</f>
        <v/>
      </c>
      <c r="E608" s="92" t="str">
        <f>IF($AG608="","",P_UploadVJ)</f>
        <v/>
      </c>
      <c r="F608" s="92" t="str">
        <f>IF($AG608="","",P_UploadVersie)</f>
        <v/>
      </c>
      <c r="G608" s="92" t="str">
        <f>IF($AG608="","",IF(COUNTIFS(L_Sleutel,$S608,L_Status,"Vastgesteld")=0,0,_xlfn.MAXIFS(L_Revisie,L_Sleutel,$S608,L_Status,"Vastgesteld")+1))</f>
        <v/>
      </c>
      <c r="H608" s="108" t="str">
        <f>IF($AG608="","",P_Peildatum)</f>
        <v/>
      </c>
      <c r="I608" s="92" t="str">
        <f>IF($AG608="","",P_RJ+INDEX($AK$8:$AK$21,INDEX($AC$8:$AC$1407,$AG608)+1))</f>
        <v/>
      </c>
      <c r="J608" s="92" t="str">
        <f>IF($AG608="","",INDEX(V_WBS,INDEX($AB$8:$AB$1407,$AG608)))</f>
        <v/>
      </c>
      <c r="K608" s="92" t="str">
        <f>IF($AG608="","",INDEX(V_Projdef,INDEX($AB$8:$AB$1407,$AG608)))</f>
        <v/>
      </c>
      <c r="L608" s="92" t="str">
        <f>IF($AG608="","",INDEX(V_Naam,INDEX($AB$8:$AB$1407,$AG608)))</f>
        <v/>
      </c>
      <c r="M608" s="92" t="str">
        <f>IF($AG608="","",INDEX(V_Type,INDEX($AB$8:$AB$1407,$AG608)))</f>
        <v/>
      </c>
      <c r="N608" s="92" t="str">
        <f>IF($AG608="","",INDEX(V_IFRS,INDEX($AB$8:$AB$1407,$AG608)))</f>
        <v/>
      </c>
      <c r="O608" s="92" t="str">
        <f>IF($AG608="","",INDEX($AL$8:$AL$21,INDEX($AC$8:$AC$1407,$AG608)+1))</f>
        <v/>
      </c>
      <c r="P608" s="109" t="str">
        <f>IF($AG608="","",INDEX($AD$8:$AD$1407,$AG608))</f>
        <v/>
      </c>
      <c r="Q608" s="92" t="str">
        <f>IF($AG608="","",INDEX($AM$8:$AM$21,INDEX($AC$8:$AC$1407,$AG608)+1))</f>
        <v/>
      </c>
      <c r="R608" s="92" t="str">
        <f>IF($AG608="","",IF($G608&gt;0,P_ToelCorrectie&amp;"",""))</f>
        <v/>
      </c>
      <c r="S608" s="15" t="str">
        <f>IF(J608="","",J608&amp;"|"&amp;E608&amp;"|"&amp;F608&amp;"|"&amp;I608&amp;"|"&amp;O608)</f>
        <v/>
      </c>
      <c r="T608" s="111" t="str">
        <f>IF(S608="","",IF(COUNTIFS(L_Sleutel,S608,L_Actief,1)=0,"",SUMIFS(L_Waarde,L_Sleutel,S608,L_Actief,1)))</f>
        <v/>
      </c>
      <c r="U608" s="111">
        <f>IF(OR(S608="",T608=""),0,P608-T608)</f>
        <v>0</v>
      </c>
      <c r="AB608" s="112" t="n">
        <v>43</v>
      </c>
      <c r="AC608" s="112" t="n">
        <v>12</v>
      </c>
      <c r="AD608" s="112" t="str">
        <f>VERW_Project!BU48</f>
        <v/>
      </c>
      <c r="AE608" s="112">
        <f>IF(AND(VERW_Project!$A48&lt;&gt;"",ISNUMBER(AD608)),1,0)</f>
        <v>0</v>
      </c>
      <c r="AF608" s="112" t="str">
        <f>IF(AE608=1,SUM($AE$8:AE608),"")</f>
        <v/>
      </c>
      <c r="AG608" t="str">
        <f>IFERROR(MATCH(601,$AF$8:$AF$1407,0),"")</f>
        <v/>
      </c>
    </row>
    <row r="609">
      <c r="A609" s="92" t="str">
        <f>IF($AG609="","",P_ImportID)</f>
        <v/>
      </c>
      <c r="B609" s="92" t="str">
        <f>IF($AG609="","",IF(INDEX($AN$8:$AN$21,INDEX($AC$8:$AC$1407,$AG609)+1)="Z",P_BronZ,P_BronE))</f>
        <v/>
      </c>
      <c r="C609" s="108" t="str">
        <f>IF($AG609="","",P_Importdatum)</f>
        <v/>
      </c>
      <c r="D609" s="92" t="str">
        <f>IF($AG609="","",P_StatusVastleg)</f>
        <v/>
      </c>
      <c r="E609" s="92" t="str">
        <f>IF($AG609="","",P_UploadVJ)</f>
        <v/>
      </c>
      <c r="F609" s="92" t="str">
        <f>IF($AG609="","",P_UploadVersie)</f>
        <v/>
      </c>
      <c r="G609" s="92" t="str">
        <f>IF($AG609="","",IF(COUNTIFS(L_Sleutel,$S609,L_Status,"Vastgesteld")=0,0,_xlfn.MAXIFS(L_Revisie,L_Sleutel,$S609,L_Status,"Vastgesteld")+1))</f>
        <v/>
      </c>
      <c r="H609" s="108" t="str">
        <f>IF($AG609="","",P_Peildatum)</f>
        <v/>
      </c>
      <c r="I609" s="92" t="str">
        <f>IF($AG609="","",P_RJ+INDEX($AK$8:$AK$21,INDEX($AC$8:$AC$1407,$AG609)+1))</f>
        <v/>
      </c>
      <c r="J609" s="92" t="str">
        <f>IF($AG609="","",INDEX(V_WBS,INDEX($AB$8:$AB$1407,$AG609)))</f>
        <v/>
      </c>
      <c r="K609" s="92" t="str">
        <f>IF($AG609="","",INDEX(V_Projdef,INDEX($AB$8:$AB$1407,$AG609)))</f>
        <v/>
      </c>
      <c r="L609" s="92" t="str">
        <f>IF($AG609="","",INDEX(V_Naam,INDEX($AB$8:$AB$1407,$AG609)))</f>
        <v/>
      </c>
      <c r="M609" s="92" t="str">
        <f>IF($AG609="","",INDEX(V_Type,INDEX($AB$8:$AB$1407,$AG609)))</f>
        <v/>
      </c>
      <c r="N609" s="92" t="str">
        <f>IF($AG609="","",INDEX(V_IFRS,INDEX($AB$8:$AB$1407,$AG609)))</f>
        <v/>
      </c>
      <c r="O609" s="92" t="str">
        <f>IF($AG609="","",INDEX($AL$8:$AL$21,INDEX($AC$8:$AC$1407,$AG609)+1))</f>
        <v/>
      </c>
      <c r="P609" s="109" t="str">
        <f>IF($AG609="","",INDEX($AD$8:$AD$1407,$AG609))</f>
        <v/>
      </c>
      <c r="Q609" s="92" t="str">
        <f>IF($AG609="","",INDEX($AM$8:$AM$21,INDEX($AC$8:$AC$1407,$AG609)+1))</f>
        <v/>
      </c>
      <c r="R609" s="92" t="str">
        <f>IF($AG609="","",IF($G609&gt;0,P_ToelCorrectie&amp;"",""))</f>
        <v/>
      </c>
      <c r="S609" s="15" t="str">
        <f>IF(J609="","",J609&amp;"|"&amp;E609&amp;"|"&amp;F609&amp;"|"&amp;I609&amp;"|"&amp;O609)</f>
        <v/>
      </c>
      <c r="T609" s="111" t="str">
        <f>IF(S609="","",IF(COUNTIFS(L_Sleutel,S609,L_Actief,1)=0,"",SUMIFS(L_Waarde,L_Sleutel,S609,L_Actief,1)))</f>
        <v/>
      </c>
      <c r="U609" s="111">
        <f>IF(OR(S609="",T609=""),0,P609-T609)</f>
        <v>0</v>
      </c>
      <c r="AB609" s="112" t="n">
        <v>43</v>
      </c>
      <c r="AC609" s="112" t="n">
        <v>13</v>
      </c>
      <c r="AD609" s="112" t="str">
        <f>VERW_Project!BX48</f>
        <v/>
      </c>
      <c r="AE609" s="112">
        <f>IF(AND(VERW_Project!$A48&lt;&gt;"",ISNUMBER(AD609)),1,0)</f>
        <v>0</v>
      </c>
      <c r="AF609" s="112" t="str">
        <f>IF(AE609=1,SUM($AE$8:AE609),"")</f>
        <v/>
      </c>
      <c r="AG609" t="str">
        <f>IFERROR(MATCH(602,$AF$8:$AF$1407,0),"")</f>
        <v/>
      </c>
    </row>
    <row r="610">
      <c r="A610" s="92" t="str">
        <f>IF($AG610="","",P_ImportID)</f>
        <v/>
      </c>
      <c r="B610" s="92" t="str">
        <f>IF($AG610="","",IF(INDEX($AN$8:$AN$21,INDEX($AC$8:$AC$1407,$AG610)+1)="Z",P_BronZ,P_BronE))</f>
        <v/>
      </c>
      <c r="C610" s="108" t="str">
        <f>IF($AG610="","",P_Importdatum)</f>
        <v/>
      </c>
      <c r="D610" s="92" t="str">
        <f>IF($AG610="","",P_StatusVastleg)</f>
        <v/>
      </c>
      <c r="E610" s="92" t="str">
        <f>IF($AG610="","",P_UploadVJ)</f>
        <v/>
      </c>
      <c r="F610" s="92" t="str">
        <f>IF($AG610="","",P_UploadVersie)</f>
        <v/>
      </c>
      <c r="G610" s="92" t="str">
        <f>IF($AG610="","",IF(COUNTIFS(L_Sleutel,$S610,L_Status,"Vastgesteld")=0,0,_xlfn.MAXIFS(L_Revisie,L_Sleutel,$S610,L_Status,"Vastgesteld")+1))</f>
        <v/>
      </c>
      <c r="H610" s="108" t="str">
        <f>IF($AG610="","",P_Peildatum)</f>
        <v/>
      </c>
      <c r="I610" s="92" t="str">
        <f>IF($AG610="","",P_RJ+INDEX($AK$8:$AK$21,INDEX($AC$8:$AC$1407,$AG610)+1))</f>
        <v/>
      </c>
      <c r="J610" s="92" t="str">
        <f>IF($AG610="","",INDEX(V_WBS,INDEX($AB$8:$AB$1407,$AG610)))</f>
        <v/>
      </c>
      <c r="K610" s="92" t="str">
        <f>IF($AG610="","",INDEX(V_Projdef,INDEX($AB$8:$AB$1407,$AG610)))</f>
        <v/>
      </c>
      <c r="L610" s="92" t="str">
        <f>IF($AG610="","",INDEX(V_Naam,INDEX($AB$8:$AB$1407,$AG610)))</f>
        <v/>
      </c>
      <c r="M610" s="92" t="str">
        <f>IF($AG610="","",INDEX(V_Type,INDEX($AB$8:$AB$1407,$AG610)))</f>
        <v/>
      </c>
      <c r="N610" s="92" t="str">
        <f>IF($AG610="","",INDEX(V_IFRS,INDEX($AB$8:$AB$1407,$AG610)))</f>
        <v/>
      </c>
      <c r="O610" s="92" t="str">
        <f>IF($AG610="","",INDEX($AL$8:$AL$21,INDEX($AC$8:$AC$1407,$AG610)+1))</f>
        <v/>
      </c>
      <c r="P610" s="109" t="str">
        <f>IF($AG610="","",INDEX($AD$8:$AD$1407,$AG610))</f>
        <v/>
      </c>
      <c r="Q610" s="92" t="str">
        <f>IF($AG610="","",INDEX($AM$8:$AM$21,INDEX($AC$8:$AC$1407,$AG610)+1))</f>
        <v/>
      </c>
      <c r="R610" s="92" t="str">
        <f>IF($AG610="","",IF($G610&gt;0,P_ToelCorrectie&amp;"",""))</f>
        <v/>
      </c>
      <c r="S610" s="15" t="str">
        <f>IF(J610="","",J610&amp;"|"&amp;E610&amp;"|"&amp;F610&amp;"|"&amp;I610&amp;"|"&amp;O610)</f>
        <v/>
      </c>
      <c r="T610" s="111" t="str">
        <f>IF(S610="","",IF(COUNTIFS(L_Sleutel,S610,L_Actief,1)=0,"",SUMIFS(L_Waarde,L_Sleutel,S610,L_Actief,1)))</f>
        <v/>
      </c>
      <c r="U610" s="111">
        <f>IF(OR(S610="",T610=""),0,P610-T610)</f>
        <v>0</v>
      </c>
      <c r="AB610" s="112" t="n">
        <v>44</v>
      </c>
      <c r="AC610" s="112" t="n">
        <v>0</v>
      </c>
      <c r="AD610" s="112" t="str">
        <f>VERW_Project!P49</f>
        <v/>
      </c>
      <c r="AE610" s="112">
        <f>IF(AND(VERW_Project!$A49&lt;&gt;"",ISNUMBER(AD610)),1,0)</f>
        <v>0</v>
      </c>
      <c r="AF610" s="112" t="str">
        <f>IF(AE610=1,SUM($AE$8:AE610),"")</f>
        <v/>
      </c>
      <c r="AG610" t="str">
        <f>IFERROR(MATCH(603,$AF$8:$AF$1407,0),"")</f>
        <v/>
      </c>
    </row>
    <row r="611">
      <c r="A611" s="92" t="str">
        <f>IF($AG611="","",P_ImportID)</f>
        <v/>
      </c>
      <c r="B611" s="92" t="str">
        <f>IF($AG611="","",IF(INDEX($AN$8:$AN$21,INDEX($AC$8:$AC$1407,$AG611)+1)="Z",P_BronZ,P_BronE))</f>
        <v/>
      </c>
      <c r="C611" s="108" t="str">
        <f>IF($AG611="","",P_Importdatum)</f>
        <v/>
      </c>
      <c r="D611" s="92" t="str">
        <f>IF($AG611="","",P_StatusVastleg)</f>
        <v/>
      </c>
      <c r="E611" s="92" t="str">
        <f>IF($AG611="","",P_UploadVJ)</f>
        <v/>
      </c>
      <c r="F611" s="92" t="str">
        <f>IF($AG611="","",P_UploadVersie)</f>
        <v/>
      </c>
      <c r="G611" s="92" t="str">
        <f>IF($AG611="","",IF(COUNTIFS(L_Sleutel,$S611,L_Status,"Vastgesteld")=0,0,_xlfn.MAXIFS(L_Revisie,L_Sleutel,$S611,L_Status,"Vastgesteld")+1))</f>
        <v/>
      </c>
      <c r="H611" s="108" t="str">
        <f>IF($AG611="","",P_Peildatum)</f>
        <v/>
      </c>
      <c r="I611" s="92" t="str">
        <f>IF($AG611="","",P_RJ+INDEX($AK$8:$AK$21,INDEX($AC$8:$AC$1407,$AG611)+1))</f>
        <v/>
      </c>
      <c r="J611" s="92" t="str">
        <f>IF($AG611="","",INDEX(V_WBS,INDEX($AB$8:$AB$1407,$AG611)))</f>
        <v/>
      </c>
      <c r="K611" s="92" t="str">
        <f>IF($AG611="","",INDEX(V_Projdef,INDEX($AB$8:$AB$1407,$AG611)))</f>
        <v/>
      </c>
      <c r="L611" s="92" t="str">
        <f>IF($AG611="","",INDEX(V_Naam,INDEX($AB$8:$AB$1407,$AG611)))</f>
        <v/>
      </c>
      <c r="M611" s="92" t="str">
        <f>IF($AG611="","",INDEX(V_Type,INDEX($AB$8:$AB$1407,$AG611)))</f>
        <v/>
      </c>
      <c r="N611" s="92" t="str">
        <f>IF($AG611="","",INDEX(V_IFRS,INDEX($AB$8:$AB$1407,$AG611)))</f>
        <v/>
      </c>
      <c r="O611" s="92" t="str">
        <f>IF($AG611="","",INDEX($AL$8:$AL$21,INDEX($AC$8:$AC$1407,$AG611)+1))</f>
        <v/>
      </c>
      <c r="P611" s="109" t="str">
        <f>IF($AG611="","",INDEX($AD$8:$AD$1407,$AG611))</f>
        <v/>
      </c>
      <c r="Q611" s="92" t="str">
        <f>IF($AG611="","",INDEX($AM$8:$AM$21,INDEX($AC$8:$AC$1407,$AG611)+1))</f>
        <v/>
      </c>
      <c r="R611" s="92" t="str">
        <f>IF($AG611="","",IF($G611&gt;0,P_ToelCorrectie&amp;"",""))</f>
        <v/>
      </c>
      <c r="S611" s="15" t="str">
        <f>IF(J611="","",J611&amp;"|"&amp;E611&amp;"|"&amp;F611&amp;"|"&amp;I611&amp;"|"&amp;O611)</f>
        <v/>
      </c>
      <c r="T611" s="111" t="str">
        <f>IF(S611="","",IF(COUNTIFS(L_Sleutel,S611,L_Actief,1)=0,"",SUMIFS(L_Waarde,L_Sleutel,S611,L_Actief,1)))</f>
        <v/>
      </c>
      <c r="U611" s="111">
        <f>IF(OR(S611="",T611=""),0,P611-T611)</f>
        <v>0</v>
      </c>
      <c r="AB611" s="112" t="n">
        <v>44</v>
      </c>
      <c r="AC611" s="112" t="n">
        <v>1</v>
      </c>
      <c r="AD611" s="112" t="str">
        <f>VERW_Project!Q49</f>
        <v/>
      </c>
      <c r="AE611" s="112">
        <f>IF(AND(VERW_Project!$A49&lt;&gt;"",ISNUMBER(AD611)),1,0)</f>
        <v>0</v>
      </c>
      <c r="AF611" s="112" t="str">
        <f>IF(AE611=1,SUM($AE$8:AE611),"")</f>
        <v/>
      </c>
      <c r="AG611" t="str">
        <f>IFERROR(MATCH(604,$AF$8:$AF$1407,0),"")</f>
        <v/>
      </c>
    </row>
    <row r="612">
      <c r="A612" s="92" t="str">
        <f>IF($AG612="","",P_ImportID)</f>
        <v/>
      </c>
      <c r="B612" s="92" t="str">
        <f>IF($AG612="","",IF(INDEX($AN$8:$AN$21,INDEX($AC$8:$AC$1407,$AG612)+1)="Z",P_BronZ,P_BronE))</f>
        <v/>
      </c>
      <c r="C612" s="108" t="str">
        <f>IF($AG612="","",P_Importdatum)</f>
        <v/>
      </c>
      <c r="D612" s="92" t="str">
        <f>IF($AG612="","",P_StatusVastleg)</f>
        <v/>
      </c>
      <c r="E612" s="92" t="str">
        <f>IF($AG612="","",P_UploadVJ)</f>
        <v/>
      </c>
      <c r="F612" s="92" t="str">
        <f>IF($AG612="","",P_UploadVersie)</f>
        <v/>
      </c>
      <c r="G612" s="92" t="str">
        <f>IF($AG612="","",IF(COUNTIFS(L_Sleutel,$S612,L_Status,"Vastgesteld")=0,0,_xlfn.MAXIFS(L_Revisie,L_Sleutel,$S612,L_Status,"Vastgesteld")+1))</f>
        <v/>
      </c>
      <c r="H612" s="108" t="str">
        <f>IF($AG612="","",P_Peildatum)</f>
        <v/>
      </c>
      <c r="I612" s="92" t="str">
        <f>IF($AG612="","",P_RJ+INDEX($AK$8:$AK$21,INDEX($AC$8:$AC$1407,$AG612)+1))</f>
        <v/>
      </c>
      <c r="J612" s="92" t="str">
        <f>IF($AG612="","",INDEX(V_WBS,INDEX($AB$8:$AB$1407,$AG612)))</f>
        <v/>
      </c>
      <c r="K612" s="92" t="str">
        <f>IF($AG612="","",INDEX(V_Projdef,INDEX($AB$8:$AB$1407,$AG612)))</f>
        <v/>
      </c>
      <c r="L612" s="92" t="str">
        <f>IF($AG612="","",INDEX(V_Naam,INDEX($AB$8:$AB$1407,$AG612)))</f>
        <v/>
      </c>
      <c r="M612" s="92" t="str">
        <f>IF($AG612="","",INDEX(V_Type,INDEX($AB$8:$AB$1407,$AG612)))</f>
        <v/>
      </c>
      <c r="N612" s="92" t="str">
        <f>IF($AG612="","",INDEX(V_IFRS,INDEX($AB$8:$AB$1407,$AG612)))</f>
        <v/>
      </c>
      <c r="O612" s="92" t="str">
        <f>IF($AG612="","",INDEX($AL$8:$AL$21,INDEX($AC$8:$AC$1407,$AG612)+1))</f>
        <v/>
      </c>
      <c r="P612" s="109" t="str">
        <f>IF($AG612="","",INDEX($AD$8:$AD$1407,$AG612))</f>
        <v/>
      </c>
      <c r="Q612" s="92" t="str">
        <f>IF($AG612="","",INDEX($AM$8:$AM$21,INDEX($AC$8:$AC$1407,$AG612)+1))</f>
        <v/>
      </c>
      <c r="R612" s="92" t="str">
        <f>IF($AG612="","",IF($G612&gt;0,P_ToelCorrectie&amp;"",""))</f>
        <v/>
      </c>
      <c r="S612" s="15" t="str">
        <f>IF(J612="","",J612&amp;"|"&amp;E612&amp;"|"&amp;F612&amp;"|"&amp;I612&amp;"|"&amp;O612)</f>
        <v/>
      </c>
      <c r="T612" s="111" t="str">
        <f>IF(S612="","",IF(COUNTIFS(L_Sleutel,S612,L_Actief,1)=0,"",SUMIFS(L_Waarde,L_Sleutel,S612,L_Actief,1)))</f>
        <v/>
      </c>
      <c r="U612" s="111">
        <f>IF(OR(S612="",T612=""),0,P612-T612)</f>
        <v>0</v>
      </c>
      <c r="AB612" s="112" t="n">
        <v>44</v>
      </c>
      <c r="AC612" s="112" t="n">
        <v>2</v>
      </c>
      <c r="AD612" s="112" t="str">
        <f>VERW_Project!L49</f>
        <v/>
      </c>
      <c r="AE612" s="112">
        <f>IF(AND(VERW_Project!$A49&lt;&gt;"",ISNUMBER(AD612)),1,0)</f>
        <v>0</v>
      </c>
      <c r="AF612" s="112" t="str">
        <f>IF(AE612=1,SUM($AE$8:AE612),"")</f>
        <v/>
      </c>
      <c r="AG612" t="str">
        <f>IFERROR(MATCH(605,$AF$8:$AF$1407,0),"")</f>
        <v/>
      </c>
    </row>
    <row r="613">
      <c r="A613" s="92" t="str">
        <f>IF($AG613="","",P_ImportID)</f>
        <v/>
      </c>
      <c r="B613" s="92" t="str">
        <f>IF($AG613="","",IF(INDEX($AN$8:$AN$21,INDEX($AC$8:$AC$1407,$AG613)+1)="Z",P_BronZ,P_BronE))</f>
        <v/>
      </c>
      <c r="C613" s="108" t="str">
        <f>IF($AG613="","",P_Importdatum)</f>
        <v/>
      </c>
      <c r="D613" s="92" t="str">
        <f>IF($AG613="","",P_StatusVastleg)</f>
        <v/>
      </c>
      <c r="E613" s="92" t="str">
        <f>IF($AG613="","",P_UploadVJ)</f>
        <v/>
      </c>
      <c r="F613" s="92" t="str">
        <f>IF($AG613="","",P_UploadVersie)</f>
        <v/>
      </c>
      <c r="G613" s="92" t="str">
        <f>IF($AG613="","",IF(COUNTIFS(L_Sleutel,$S613,L_Status,"Vastgesteld")=0,0,_xlfn.MAXIFS(L_Revisie,L_Sleutel,$S613,L_Status,"Vastgesteld")+1))</f>
        <v/>
      </c>
      <c r="H613" s="108" t="str">
        <f>IF($AG613="","",P_Peildatum)</f>
        <v/>
      </c>
      <c r="I613" s="92" t="str">
        <f>IF($AG613="","",P_RJ+INDEX($AK$8:$AK$21,INDEX($AC$8:$AC$1407,$AG613)+1))</f>
        <v/>
      </c>
      <c r="J613" s="92" t="str">
        <f>IF($AG613="","",INDEX(V_WBS,INDEX($AB$8:$AB$1407,$AG613)))</f>
        <v/>
      </c>
      <c r="K613" s="92" t="str">
        <f>IF($AG613="","",INDEX(V_Projdef,INDEX($AB$8:$AB$1407,$AG613)))</f>
        <v/>
      </c>
      <c r="L613" s="92" t="str">
        <f>IF($AG613="","",INDEX(V_Naam,INDEX($AB$8:$AB$1407,$AG613)))</f>
        <v/>
      </c>
      <c r="M613" s="92" t="str">
        <f>IF($AG613="","",INDEX(V_Type,INDEX($AB$8:$AB$1407,$AG613)))</f>
        <v/>
      </c>
      <c r="N613" s="92" t="str">
        <f>IF($AG613="","",INDEX(V_IFRS,INDEX($AB$8:$AB$1407,$AG613)))</f>
        <v/>
      </c>
      <c r="O613" s="92" t="str">
        <f>IF($AG613="","",INDEX($AL$8:$AL$21,INDEX($AC$8:$AC$1407,$AG613)+1))</f>
        <v/>
      </c>
      <c r="P613" s="109" t="str">
        <f>IF($AG613="","",INDEX($AD$8:$AD$1407,$AG613))</f>
        <v/>
      </c>
      <c r="Q613" s="92" t="str">
        <f>IF($AG613="","",INDEX($AM$8:$AM$21,INDEX($AC$8:$AC$1407,$AG613)+1))</f>
        <v/>
      </c>
      <c r="R613" s="92" t="str">
        <f>IF($AG613="","",IF($G613&gt;0,P_ToelCorrectie&amp;"",""))</f>
        <v/>
      </c>
      <c r="S613" s="15" t="str">
        <f>IF(J613="","",J613&amp;"|"&amp;E613&amp;"|"&amp;F613&amp;"|"&amp;I613&amp;"|"&amp;O613)</f>
        <v/>
      </c>
      <c r="T613" s="111" t="str">
        <f>IF(S613="","",IF(COUNTIFS(L_Sleutel,S613,L_Actief,1)=0,"",SUMIFS(L_Waarde,L_Sleutel,S613,L_Actief,1)))</f>
        <v/>
      </c>
      <c r="U613" s="111">
        <f>IF(OR(S613="",T613=""),0,P613-T613)</f>
        <v>0</v>
      </c>
      <c r="AB613" s="112" t="n">
        <v>44</v>
      </c>
      <c r="AC613" s="112" t="n">
        <v>3</v>
      </c>
      <c r="AD613" s="112" t="str">
        <f>VERW_Project!M49</f>
        <v/>
      </c>
      <c r="AE613" s="112">
        <f>IF(AND(VERW_Project!$A49&lt;&gt;"",ISNUMBER(AD613)),1,0)</f>
        <v>0</v>
      </c>
      <c r="AF613" s="112" t="str">
        <f>IF(AE613=1,SUM($AE$8:AE613),"")</f>
        <v/>
      </c>
      <c r="AG613" t="str">
        <f>IFERROR(MATCH(606,$AF$8:$AF$1407,0),"")</f>
        <v/>
      </c>
    </row>
    <row r="614">
      <c r="A614" s="92" t="str">
        <f>IF($AG614="","",P_ImportID)</f>
        <v/>
      </c>
      <c r="B614" s="92" t="str">
        <f>IF($AG614="","",IF(INDEX($AN$8:$AN$21,INDEX($AC$8:$AC$1407,$AG614)+1)="Z",P_BronZ,P_BronE))</f>
        <v/>
      </c>
      <c r="C614" s="108" t="str">
        <f>IF($AG614="","",P_Importdatum)</f>
        <v/>
      </c>
      <c r="D614" s="92" t="str">
        <f>IF($AG614="","",P_StatusVastleg)</f>
        <v/>
      </c>
      <c r="E614" s="92" t="str">
        <f>IF($AG614="","",P_UploadVJ)</f>
        <v/>
      </c>
      <c r="F614" s="92" t="str">
        <f>IF($AG614="","",P_UploadVersie)</f>
        <v/>
      </c>
      <c r="G614" s="92" t="str">
        <f>IF($AG614="","",IF(COUNTIFS(L_Sleutel,$S614,L_Status,"Vastgesteld")=0,0,_xlfn.MAXIFS(L_Revisie,L_Sleutel,$S614,L_Status,"Vastgesteld")+1))</f>
        <v/>
      </c>
      <c r="H614" s="108" t="str">
        <f>IF($AG614="","",P_Peildatum)</f>
        <v/>
      </c>
      <c r="I614" s="92" t="str">
        <f>IF($AG614="","",P_RJ+INDEX($AK$8:$AK$21,INDEX($AC$8:$AC$1407,$AG614)+1))</f>
        <v/>
      </c>
      <c r="J614" s="92" t="str">
        <f>IF($AG614="","",INDEX(V_WBS,INDEX($AB$8:$AB$1407,$AG614)))</f>
        <v/>
      </c>
      <c r="K614" s="92" t="str">
        <f>IF($AG614="","",INDEX(V_Projdef,INDEX($AB$8:$AB$1407,$AG614)))</f>
        <v/>
      </c>
      <c r="L614" s="92" t="str">
        <f>IF($AG614="","",INDEX(V_Naam,INDEX($AB$8:$AB$1407,$AG614)))</f>
        <v/>
      </c>
      <c r="M614" s="92" t="str">
        <f>IF($AG614="","",INDEX(V_Type,INDEX($AB$8:$AB$1407,$AG614)))</f>
        <v/>
      </c>
      <c r="N614" s="92" t="str">
        <f>IF($AG614="","",INDEX(V_IFRS,INDEX($AB$8:$AB$1407,$AG614)))</f>
        <v/>
      </c>
      <c r="O614" s="92" t="str">
        <f>IF($AG614="","",INDEX($AL$8:$AL$21,INDEX($AC$8:$AC$1407,$AG614)+1))</f>
        <v/>
      </c>
      <c r="P614" s="109" t="str">
        <f>IF($AG614="","",INDEX($AD$8:$AD$1407,$AG614))</f>
        <v/>
      </c>
      <c r="Q614" s="92" t="str">
        <f>IF($AG614="","",INDEX($AM$8:$AM$21,INDEX($AC$8:$AC$1407,$AG614)+1))</f>
        <v/>
      </c>
      <c r="R614" s="92" t="str">
        <f>IF($AG614="","",IF($G614&gt;0,P_ToelCorrectie&amp;"",""))</f>
        <v/>
      </c>
      <c r="S614" s="15" t="str">
        <f>IF(J614="","",J614&amp;"|"&amp;E614&amp;"|"&amp;F614&amp;"|"&amp;I614&amp;"|"&amp;O614)</f>
        <v/>
      </c>
      <c r="T614" s="111" t="str">
        <f>IF(S614="","",IF(COUNTIFS(L_Sleutel,S614,L_Actief,1)=0,"",SUMIFS(L_Waarde,L_Sleutel,S614,L_Actief,1)))</f>
        <v/>
      </c>
      <c r="U614" s="111">
        <f>IF(OR(S614="",T614=""),0,P614-T614)</f>
        <v>0</v>
      </c>
      <c r="AB614" s="112" t="n">
        <v>44</v>
      </c>
      <c r="AC614" s="112" t="n">
        <v>4</v>
      </c>
      <c r="AD614" s="112" t="str">
        <f>VERW_Project!R49</f>
        <v/>
      </c>
      <c r="AE614" s="112">
        <f>IF(AND(VERW_Project!$A49&lt;&gt;"",ISNUMBER(AD614)),1,0)</f>
        <v>0</v>
      </c>
      <c r="AF614" s="112" t="str">
        <f>IF(AE614=1,SUM($AE$8:AE614),"")</f>
        <v/>
      </c>
      <c r="AG614" t="str">
        <f>IFERROR(MATCH(607,$AF$8:$AF$1407,0),"")</f>
        <v/>
      </c>
    </row>
    <row r="615">
      <c r="A615" s="92" t="str">
        <f>IF($AG615="","",P_ImportID)</f>
        <v/>
      </c>
      <c r="B615" s="92" t="str">
        <f>IF($AG615="","",IF(INDEX($AN$8:$AN$21,INDEX($AC$8:$AC$1407,$AG615)+1)="Z",P_BronZ,P_BronE))</f>
        <v/>
      </c>
      <c r="C615" s="108" t="str">
        <f>IF($AG615="","",P_Importdatum)</f>
        <v/>
      </c>
      <c r="D615" s="92" t="str">
        <f>IF($AG615="","",P_StatusVastleg)</f>
        <v/>
      </c>
      <c r="E615" s="92" t="str">
        <f>IF($AG615="","",P_UploadVJ)</f>
        <v/>
      </c>
      <c r="F615" s="92" t="str">
        <f>IF($AG615="","",P_UploadVersie)</f>
        <v/>
      </c>
      <c r="G615" s="92" t="str">
        <f>IF($AG615="","",IF(COUNTIFS(L_Sleutel,$S615,L_Status,"Vastgesteld")=0,0,_xlfn.MAXIFS(L_Revisie,L_Sleutel,$S615,L_Status,"Vastgesteld")+1))</f>
        <v/>
      </c>
      <c r="H615" s="108" t="str">
        <f>IF($AG615="","",P_Peildatum)</f>
        <v/>
      </c>
      <c r="I615" s="92" t="str">
        <f>IF($AG615="","",P_RJ+INDEX($AK$8:$AK$21,INDEX($AC$8:$AC$1407,$AG615)+1))</f>
        <v/>
      </c>
      <c r="J615" s="92" t="str">
        <f>IF($AG615="","",INDEX(V_WBS,INDEX($AB$8:$AB$1407,$AG615)))</f>
        <v/>
      </c>
      <c r="K615" s="92" t="str">
        <f>IF($AG615="","",INDEX(V_Projdef,INDEX($AB$8:$AB$1407,$AG615)))</f>
        <v/>
      </c>
      <c r="L615" s="92" t="str">
        <f>IF($AG615="","",INDEX(V_Naam,INDEX($AB$8:$AB$1407,$AG615)))</f>
        <v/>
      </c>
      <c r="M615" s="92" t="str">
        <f>IF($AG615="","",INDEX(V_Type,INDEX($AB$8:$AB$1407,$AG615)))</f>
        <v/>
      </c>
      <c r="N615" s="92" t="str">
        <f>IF($AG615="","",INDEX(V_IFRS,INDEX($AB$8:$AB$1407,$AG615)))</f>
        <v/>
      </c>
      <c r="O615" s="92" t="str">
        <f>IF($AG615="","",INDEX($AL$8:$AL$21,INDEX($AC$8:$AC$1407,$AG615)+1))</f>
        <v/>
      </c>
      <c r="P615" s="109" t="str">
        <f>IF($AG615="","",INDEX($AD$8:$AD$1407,$AG615))</f>
        <v/>
      </c>
      <c r="Q615" s="92" t="str">
        <f>IF($AG615="","",INDEX($AM$8:$AM$21,INDEX($AC$8:$AC$1407,$AG615)+1))</f>
        <v/>
      </c>
      <c r="R615" s="92" t="str">
        <f>IF($AG615="","",IF($G615&gt;0,P_ToelCorrectie&amp;"",""))</f>
        <v/>
      </c>
      <c r="S615" s="15" t="str">
        <f>IF(J615="","",J615&amp;"|"&amp;E615&amp;"|"&amp;F615&amp;"|"&amp;I615&amp;"|"&amp;O615)</f>
        <v/>
      </c>
      <c r="T615" s="111" t="str">
        <f>IF(S615="","",IF(COUNTIFS(L_Sleutel,S615,L_Actief,1)=0,"",SUMIFS(L_Waarde,L_Sleutel,S615,L_Actief,1)))</f>
        <v/>
      </c>
      <c r="U615" s="111">
        <f>IF(OR(S615="",T615=""),0,P615-T615)</f>
        <v>0</v>
      </c>
      <c r="AB615" s="112" t="n">
        <v>44</v>
      </c>
      <c r="AC615" s="112" t="n">
        <v>5</v>
      </c>
      <c r="AD615" s="112" t="str">
        <f>VERW_Project!S49</f>
        <v/>
      </c>
      <c r="AE615" s="112">
        <f>IF(AND(VERW_Project!$A49&lt;&gt;"",ISNUMBER(AD615)),1,0)</f>
        <v>0</v>
      </c>
      <c r="AF615" s="112" t="str">
        <f>IF(AE615=1,SUM($AE$8:AE615),"")</f>
        <v/>
      </c>
      <c r="AG615" t="str">
        <f>IFERROR(MATCH(608,$AF$8:$AF$1407,0),"")</f>
        <v/>
      </c>
    </row>
    <row r="616">
      <c r="A616" s="92" t="str">
        <f>IF($AG616="","",P_ImportID)</f>
        <v/>
      </c>
      <c r="B616" s="92" t="str">
        <f>IF($AG616="","",IF(INDEX($AN$8:$AN$21,INDEX($AC$8:$AC$1407,$AG616)+1)="Z",P_BronZ,P_BronE))</f>
        <v/>
      </c>
      <c r="C616" s="108" t="str">
        <f>IF($AG616="","",P_Importdatum)</f>
        <v/>
      </c>
      <c r="D616" s="92" t="str">
        <f>IF($AG616="","",P_StatusVastleg)</f>
        <v/>
      </c>
      <c r="E616" s="92" t="str">
        <f>IF($AG616="","",P_UploadVJ)</f>
        <v/>
      </c>
      <c r="F616" s="92" t="str">
        <f>IF($AG616="","",P_UploadVersie)</f>
        <v/>
      </c>
      <c r="G616" s="92" t="str">
        <f>IF($AG616="","",IF(COUNTIFS(L_Sleutel,$S616,L_Status,"Vastgesteld")=0,0,_xlfn.MAXIFS(L_Revisie,L_Sleutel,$S616,L_Status,"Vastgesteld")+1))</f>
        <v/>
      </c>
      <c r="H616" s="108" t="str">
        <f>IF($AG616="","",P_Peildatum)</f>
        <v/>
      </c>
      <c r="I616" s="92" t="str">
        <f>IF($AG616="","",P_RJ+INDEX($AK$8:$AK$21,INDEX($AC$8:$AC$1407,$AG616)+1))</f>
        <v/>
      </c>
      <c r="J616" s="92" t="str">
        <f>IF($AG616="","",INDEX(V_WBS,INDEX($AB$8:$AB$1407,$AG616)))</f>
        <v/>
      </c>
      <c r="K616" s="92" t="str">
        <f>IF($AG616="","",INDEX(V_Projdef,INDEX($AB$8:$AB$1407,$AG616)))</f>
        <v/>
      </c>
      <c r="L616" s="92" t="str">
        <f>IF($AG616="","",INDEX(V_Naam,INDEX($AB$8:$AB$1407,$AG616)))</f>
        <v/>
      </c>
      <c r="M616" s="92" t="str">
        <f>IF($AG616="","",INDEX(V_Type,INDEX($AB$8:$AB$1407,$AG616)))</f>
        <v/>
      </c>
      <c r="N616" s="92" t="str">
        <f>IF($AG616="","",INDEX(V_IFRS,INDEX($AB$8:$AB$1407,$AG616)))</f>
        <v/>
      </c>
      <c r="O616" s="92" t="str">
        <f>IF($AG616="","",INDEX($AL$8:$AL$21,INDEX($AC$8:$AC$1407,$AG616)+1))</f>
        <v/>
      </c>
      <c r="P616" s="109" t="str">
        <f>IF($AG616="","",INDEX($AD$8:$AD$1407,$AG616))</f>
        <v/>
      </c>
      <c r="Q616" s="92" t="str">
        <f>IF($AG616="","",INDEX($AM$8:$AM$21,INDEX($AC$8:$AC$1407,$AG616)+1))</f>
        <v/>
      </c>
      <c r="R616" s="92" t="str">
        <f>IF($AG616="","",IF($G616&gt;0,P_ToelCorrectie&amp;"",""))</f>
        <v/>
      </c>
      <c r="S616" s="15" t="str">
        <f>IF(J616="","",J616&amp;"|"&amp;E616&amp;"|"&amp;F616&amp;"|"&amp;I616&amp;"|"&amp;O616)</f>
        <v/>
      </c>
      <c r="T616" s="111" t="str">
        <f>IF(S616="","",IF(COUNTIFS(L_Sleutel,S616,L_Actief,1)=0,"",SUMIFS(L_Waarde,L_Sleutel,S616,L_Actief,1)))</f>
        <v/>
      </c>
      <c r="U616" s="111">
        <f>IF(OR(S616="",T616=""),0,P616-T616)</f>
        <v>0</v>
      </c>
      <c r="AB616" s="112" t="n">
        <v>44</v>
      </c>
      <c r="AC616" s="112" t="n">
        <v>6</v>
      </c>
      <c r="AD616" s="112" t="str">
        <f>VERW_Project!BW49</f>
        <v/>
      </c>
      <c r="AE616" s="112">
        <f>IF(AND(VERW_Project!$A49&lt;&gt;"",ISNUMBER(AD616)),1,0)</f>
        <v>0</v>
      </c>
      <c r="AF616" s="112" t="str">
        <f>IF(AE616=1,SUM($AE$8:AE616),"")</f>
        <v/>
      </c>
      <c r="AG616" t="str">
        <f>IFERROR(MATCH(609,$AF$8:$AF$1407,0),"")</f>
        <v/>
      </c>
    </row>
    <row r="617">
      <c r="A617" s="92" t="str">
        <f>IF($AG617="","",P_ImportID)</f>
        <v/>
      </c>
      <c r="B617" s="92" t="str">
        <f>IF($AG617="","",IF(INDEX($AN$8:$AN$21,INDEX($AC$8:$AC$1407,$AG617)+1)="Z",P_BronZ,P_BronE))</f>
        <v/>
      </c>
      <c r="C617" s="108" t="str">
        <f>IF($AG617="","",P_Importdatum)</f>
        <v/>
      </c>
      <c r="D617" s="92" t="str">
        <f>IF($AG617="","",P_StatusVastleg)</f>
        <v/>
      </c>
      <c r="E617" s="92" t="str">
        <f>IF($AG617="","",P_UploadVJ)</f>
        <v/>
      </c>
      <c r="F617" s="92" t="str">
        <f>IF($AG617="","",P_UploadVersie)</f>
        <v/>
      </c>
      <c r="G617" s="92" t="str">
        <f>IF($AG617="","",IF(COUNTIFS(L_Sleutel,$S617,L_Status,"Vastgesteld")=0,0,_xlfn.MAXIFS(L_Revisie,L_Sleutel,$S617,L_Status,"Vastgesteld")+1))</f>
        <v/>
      </c>
      <c r="H617" s="108" t="str">
        <f>IF($AG617="","",P_Peildatum)</f>
        <v/>
      </c>
      <c r="I617" s="92" t="str">
        <f>IF($AG617="","",P_RJ+INDEX($AK$8:$AK$21,INDEX($AC$8:$AC$1407,$AG617)+1))</f>
        <v/>
      </c>
      <c r="J617" s="92" t="str">
        <f>IF($AG617="","",INDEX(V_WBS,INDEX($AB$8:$AB$1407,$AG617)))</f>
        <v/>
      </c>
      <c r="K617" s="92" t="str">
        <f>IF($AG617="","",INDEX(V_Projdef,INDEX($AB$8:$AB$1407,$AG617)))</f>
        <v/>
      </c>
      <c r="L617" s="92" t="str">
        <f>IF($AG617="","",INDEX(V_Naam,INDEX($AB$8:$AB$1407,$AG617)))</f>
        <v/>
      </c>
      <c r="M617" s="92" t="str">
        <f>IF($AG617="","",INDEX(V_Type,INDEX($AB$8:$AB$1407,$AG617)))</f>
        <v/>
      </c>
      <c r="N617" s="92" t="str">
        <f>IF($AG617="","",INDEX(V_IFRS,INDEX($AB$8:$AB$1407,$AG617)))</f>
        <v/>
      </c>
      <c r="O617" s="92" t="str">
        <f>IF($AG617="","",INDEX($AL$8:$AL$21,INDEX($AC$8:$AC$1407,$AG617)+1))</f>
        <v/>
      </c>
      <c r="P617" s="109" t="str">
        <f>IF($AG617="","",INDEX($AD$8:$AD$1407,$AG617))</f>
        <v/>
      </c>
      <c r="Q617" s="92" t="str">
        <f>IF($AG617="","",INDEX($AM$8:$AM$21,INDEX($AC$8:$AC$1407,$AG617)+1))</f>
        <v/>
      </c>
      <c r="R617" s="92" t="str">
        <f>IF($AG617="","",IF($G617&gt;0,P_ToelCorrectie&amp;"",""))</f>
        <v/>
      </c>
      <c r="S617" s="15" t="str">
        <f>IF(J617="","",J617&amp;"|"&amp;E617&amp;"|"&amp;F617&amp;"|"&amp;I617&amp;"|"&amp;O617)</f>
        <v/>
      </c>
      <c r="T617" s="111" t="str">
        <f>IF(S617="","",IF(COUNTIFS(L_Sleutel,S617,L_Actief,1)=0,"",SUMIFS(L_Waarde,L_Sleutel,S617,L_Actief,1)))</f>
        <v/>
      </c>
      <c r="U617" s="111">
        <f>IF(OR(S617="",T617=""),0,P617-T617)</f>
        <v>0</v>
      </c>
      <c r="AB617" s="112" t="n">
        <v>44</v>
      </c>
      <c r="AC617" s="112" t="n">
        <v>7</v>
      </c>
      <c r="AD617" s="112" t="str">
        <f>VERW_Project!AW49</f>
        <v/>
      </c>
      <c r="AE617" s="112">
        <f>IF(AND(VERW_Project!$A49&lt;&gt;"",ISNUMBER(AD617)),1,0)</f>
        <v>0</v>
      </c>
      <c r="AF617" s="112" t="str">
        <f>IF(AE617=1,SUM($AE$8:AE617),"")</f>
        <v/>
      </c>
      <c r="AG617" t="str">
        <f>IFERROR(MATCH(610,$AF$8:$AF$1407,0),"")</f>
        <v/>
      </c>
    </row>
    <row r="618">
      <c r="A618" s="92" t="str">
        <f>IF($AG618="","",P_ImportID)</f>
        <v/>
      </c>
      <c r="B618" s="92" t="str">
        <f>IF($AG618="","",IF(INDEX($AN$8:$AN$21,INDEX($AC$8:$AC$1407,$AG618)+1)="Z",P_BronZ,P_BronE))</f>
        <v/>
      </c>
      <c r="C618" s="108" t="str">
        <f>IF($AG618="","",P_Importdatum)</f>
        <v/>
      </c>
      <c r="D618" s="92" t="str">
        <f>IF($AG618="","",P_StatusVastleg)</f>
        <v/>
      </c>
      <c r="E618" s="92" t="str">
        <f>IF($AG618="","",P_UploadVJ)</f>
        <v/>
      </c>
      <c r="F618" s="92" t="str">
        <f>IF($AG618="","",P_UploadVersie)</f>
        <v/>
      </c>
      <c r="G618" s="92" t="str">
        <f>IF($AG618="","",IF(COUNTIFS(L_Sleutel,$S618,L_Status,"Vastgesteld")=0,0,_xlfn.MAXIFS(L_Revisie,L_Sleutel,$S618,L_Status,"Vastgesteld")+1))</f>
        <v/>
      </c>
      <c r="H618" s="108" t="str">
        <f>IF($AG618="","",P_Peildatum)</f>
        <v/>
      </c>
      <c r="I618" s="92" t="str">
        <f>IF($AG618="","",P_RJ+INDEX($AK$8:$AK$21,INDEX($AC$8:$AC$1407,$AG618)+1))</f>
        <v/>
      </c>
      <c r="J618" s="92" t="str">
        <f>IF($AG618="","",INDEX(V_WBS,INDEX($AB$8:$AB$1407,$AG618)))</f>
        <v/>
      </c>
      <c r="K618" s="92" t="str">
        <f>IF($AG618="","",INDEX(V_Projdef,INDEX($AB$8:$AB$1407,$AG618)))</f>
        <v/>
      </c>
      <c r="L618" s="92" t="str">
        <f>IF($AG618="","",INDEX(V_Naam,INDEX($AB$8:$AB$1407,$AG618)))</f>
        <v/>
      </c>
      <c r="M618" s="92" t="str">
        <f>IF($AG618="","",INDEX(V_Type,INDEX($AB$8:$AB$1407,$AG618)))</f>
        <v/>
      </c>
      <c r="N618" s="92" t="str">
        <f>IF($AG618="","",INDEX(V_IFRS,INDEX($AB$8:$AB$1407,$AG618)))</f>
        <v/>
      </c>
      <c r="O618" s="92" t="str">
        <f>IF($AG618="","",INDEX($AL$8:$AL$21,INDEX($AC$8:$AC$1407,$AG618)+1))</f>
        <v/>
      </c>
      <c r="P618" s="109" t="str">
        <f>IF($AG618="","",INDEX($AD$8:$AD$1407,$AG618))</f>
        <v/>
      </c>
      <c r="Q618" s="92" t="str">
        <f>IF($AG618="","",INDEX($AM$8:$AM$21,INDEX($AC$8:$AC$1407,$AG618)+1))</f>
        <v/>
      </c>
      <c r="R618" s="92" t="str">
        <f>IF($AG618="","",IF($G618&gt;0,P_ToelCorrectie&amp;"",""))</f>
        <v/>
      </c>
      <c r="S618" s="15" t="str">
        <f>IF(J618="","",J618&amp;"|"&amp;E618&amp;"|"&amp;F618&amp;"|"&amp;I618&amp;"|"&amp;O618)</f>
        <v/>
      </c>
      <c r="T618" s="111" t="str">
        <f>IF(S618="","",IF(COUNTIFS(L_Sleutel,S618,L_Actief,1)=0,"",SUMIFS(L_Waarde,L_Sleutel,S618,L_Actief,1)))</f>
        <v/>
      </c>
      <c r="U618" s="111">
        <f>IF(OR(S618="",T618=""),0,P618-T618)</f>
        <v>0</v>
      </c>
      <c r="AB618" s="112" t="n">
        <v>44</v>
      </c>
      <c r="AC618" s="112" t="n">
        <v>8</v>
      </c>
      <c r="AD618" s="112" t="str">
        <f>VERW_Project!BQ49</f>
        <v/>
      </c>
      <c r="AE618" s="112">
        <f>IF(AND(VERW_Project!$A49&lt;&gt;"",ISNUMBER(AD618)),1,0)</f>
        <v>0</v>
      </c>
      <c r="AF618" s="112" t="str">
        <f>IF(AE618=1,SUM($AE$8:AE618),"")</f>
        <v/>
      </c>
      <c r="AG618" t="str">
        <f>IFERROR(MATCH(611,$AF$8:$AF$1407,0),"")</f>
        <v/>
      </c>
    </row>
    <row r="619">
      <c r="A619" s="92" t="str">
        <f>IF($AG619="","",P_ImportID)</f>
        <v/>
      </c>
      <c r="B619" s="92" t="str">
        <f>IF($AG619="","",IF(INDEX($AN$8:$AN$21,INDEX($AC$8:$AC$1407,$AG619)+1)="Z",P_BronZ,P_BronE))</f>
        <v/>
      </c>
      <c r="C619" s="108" t="str">
        <f>IF($AG619="","",P_Importdatum)</f>
        <v/>
      </c>
      <c r="D619" s="92" t="str">
        <f>IF($AG619="","",P_StatusVastleg)</f>
        <v/>
      </c>
      <c r="E619" s="92" t="str">
        <f>IF($AG619="","",P_UploadVJ)</f>
        <v/>
      </c>
      <c r="F619" s="92" t="str">
        <f>IF($AG619="","",P_UploadVersie)</f>
        <v/>
      </c>
      <c r="G619" s="92" t="str">
        <f>IF($AG619="","",IF(COUNTIFS(L_Sleutel,$S619,L_Status,"Vastgesteld")=0,0,_xlfn.MAXIFS(L_Revisie,L_Sleutel,$S619,L_Status,"Vastgesteld")+1))</f>
        <v/>
      </c>
      <c r="H619" s="108" t="str">
        <f>IF($AG619="","",P_Peildatum)</f>
        <v/>
      </c>
      <c r="I619" s="92" t="str">
        <f>IF($AG619="","",P_RJ+INDEX($AK$8:$AK$21,INDEX($AC$8:$AC$1407,$AG619)+1))</f>
        <v/>
      </c>
      <c r="J619" s="92" t="str">
        <f>IF($AG619="","",INDEX(V_WBS,INDEX($AB$8:$AB$1407,$AG619)))</f>
        <v/>
      </c>
      <c r="K619" s="92" t="str">
        <f>IF($AG619="","",INDEX(V_Projdef,INDEX($AB$8:$AB$1407,$AG619)))</f>
        <v/>
      </c>
      <c r="L619" s="92" t="str">
        <f>IF($AG619="","",INDEX(V_Naam,INDEX($AB$8:$AB$1407,$AG619)))</f>
        <v/>
      </c>
      <c r="M619" s="92" t="str">
        <f>IF($AG619="","",INDEX(V_Type,INDEX($AB$8:$AB$1407,$AG619)))</f>
        <v/>
      </c>
      <c r="N619" s="92" t="str">
        <f>IF($AG619="","",INDEX(V_IFRS,INDEX($AB$8:$AB$1407,$AG619)))</f>
        <v/>
      </c>
      <c r="O619" s="92" t="str">
        <f>IF($AG619="","",INDEX($AL$8:$AL$21,INDEX($AC$8:$AC$1407,$AG619)+1))</f>
        <v/>
      </c>
      <c r="P619" s="109" t="str">
        <f>IF($AG619="","",INDEX($AD$8:$AD$1407,$AG619))</f>
        <v/>
      </c>
      <c r="Q619" s="92" t="str">
        <f>IF($AG619="","",INDEX($AM$8:$AM$21,INDEX($AC$8:$AC$1407,$AG619)+1))</f>
        <v/>
      </c>
      <c r="R619" s="92" t="str">
        <f>IF($AG619="","",IF($G619&gt;0,P_ToelCorrectie&amp;"",""))</f>
        <v/>
      </c>
      <c r="S619" s="15" t="str">
        <f>IF(J619="","",J619&amp;"|"&amp;E619&amp;"|"&amp;F619&amp;"|"&amp;I619&amp;"|"&amp;O619)</f>
        <v/>
      </c>
      <c r="T619" s="111" t="str">
        <f>IF(S619="","",IF(COUNTIFS(L_Sleutel,S619,L_Actief,1)=0,"",SUMIFS(L_Waarde,L_Sleutel,S619,L_Actief,1)))</f>
        <v/>
      </c>
      <c r="U619" s="111">
        <f>IF(OR(S619="",T619=""),0,P619-T619)</f>
        <v>0</v>
      </c>
      <c r="AB619" s="112" t="n">
        <v>44</v>
      </c>
      <c r="AC619" s="112" t="n">
        <v>9</v>
      </c>
      <c r="AD619" s="112" t="str">
        <f>VERW_Project!BR49</f>
        <v/>
      </c>
      <c r="AE619" s="112">
        <f>IF(AND(VERW_Project!$A49&lt;&gt;"",ISNUMBER(AD619)),1,0)</f>
        <v>0</v>
      </c>
      <c r="AF619" s="112" t="str">
        <f>IF(AE619=1,SUM($AE$8:AE619),"")</f>
        <v/>
      </c>
      <c r="AG619" t="str">
        <f>IFERROR(MATCH(612,$AF$8:$AF$1407,0),"")</f>
        <v/>
      </c>
    </row>
    <row r="620">
      <c r="A620" s="92" t="str">
        <f>IF($AG620="","",P_ImportID)</f>
        <v/>
      </c>
      <c r="B620" s="92" t="str">
        <f>IF($AG620="","",IF(INDEX($AN$8:$AN$21,INDEX($AC$8:$AC$1407,$AG620)+1)="Z",P_BronZ,P_BronE))</f>
        <v/>
      </c>
      <c r="C620" s="108" t="str">
        <f>IF($AG620="","",P_Importdatum)</f>
        <v/>
      </c>
      <c r="D620" s="92" t="str">
        <f>IF($AG620="","",P_StatusVastleg)</f>
        <v/>
      </c>
      <c r="E620" s="92" t="str">
        <f>IF($AG620="","",P_UploadVJ)</f>
        <v/>
      </c>
      <c r="F620" s="92" t="str">
        <f>IF($AG620="","",P_UploadVersie)</f>
        <v/>
      </c>
      <c r="G620" s="92" t="str">
        <f>IF($AG620="","",IF(COUNTIFS(L_Sleutel,$S620,L_Status,"Vastgesteld")=0,0,_xlfn.MAXIFS(L_Revisie,L_Sleutel,$S620,L_Status,"Vastgesteld")+1))</f>
        <v/>
      </c>
      <c r="H620" s="108" t="str">
        <f>IF($AG620="","",P_Peildatum)</f>
        <v/>
      </c>
      <c r="I620" s="92" t="str">
        <f>IF($AG620="","",P_RJ+INDEX($AK$8:$AK$21,INDEX($AC$8:$AC$1407,$AG620)+1))</f>
        <v/>
      </c>
      <c r="J620" s="92" t="str">
        <f>IF($AG620="","",INDEX(V_WBS,INDEX($AB$8:$AB$1407,$AG620)))</f>
        <v/>
      </c>
      <c r="K620" s="92" t="str">
        <f>IF($AG620="","",INDEX(V_Projdef,INDEX($AB$8:$AB$1407,$AG620)))</f>
        <v/>
      </c>
      <c r="L620" s="92" t="str">
        <f>IF($AG620="","",INDEX(V_Naam,INDEX($AB$8:$AB$1407,$AG620)))</f>
        <v/>
      </c>
      <c r="M620" s="92" t="str">
        <f>IF($AG620="","",INDEX(V_Type,INDEX($AB$8:$AB$1407,$AG620)))</f>
        <v/>
      </c>
      <c r="N620" s="92" t="str">
        <f>IF($AG620="","",INDEX(V_IFRS,INDEX($AB$8:$AB$1407,$AG620)))</f>
        <v/>
      </c>
      <c r="O620" s="92" t="str">
        <f>IF($AG620="","",INDEX($AL$8:$AL$21,INDEX($AC$8:$AC$1407,$AG620)+1))</f>
        <v/>
      </c>
      <c r="P620" s="109" t="str">
        <f>IF($AG620="","",INDEX($AD$8:$AD$1407,$AG620))</f>
        <v/>
      </c>
      <c r="Q620" s="92" t="str">
        <f>IF($AG620="","",INDEX($AM$8:$AM$21,INDEX($AC$8:$AC$1407,$AG620)+1))</f>
        <v/>
      </c>
      <c r="R620" s="92" t="str">
        <f>IF($AG620="","",IF($G620&gt;0,P_ToelCorrectie&amp;"",""))</f>
        <v/>
      </c>
      <c r="S620" s="15" t="str">
        <f>IF(J620="","",J620&amp;"|"&amp;E620&amp;"|"&amp;F620&amp;"|"&amp;I620&amp;"|"&amp;O620)</f>
        <v/>
      </c>
      <c r="T620" s="111" t="str">
        <f>IF(S620="","",IF(COUNTIFS(L_Sleutel,S620,L_Actief,1)=0,"",SUMIFS(L_Waarde,L_Sleutel,S620,L_Actief,1)))</f>
        <v/>
      </c>
      <c r="U620" s="111">
        <f>IF(OR(S620="",T620=""),0,P620-T620)</f>
        <v>0</v>
      </c>
      <c r="AB620" s="112" t="n">
        <v>44</v>
      </c>
      <c r="AC620" s="112" t="n">
        <v>10</v>
      </c>
      <c r="AD620" s="112" t="str">
        <f>VERW_Project!BS49</f>
        <v/>
      </c>
      <c r="AE620" s="112">
        <f>IF(AND(VERW_Project!$A49&lt;&gt;"",ISNUMBER(AD620)),1,0)</f>
        <v>0</v>
      </c>
      <c r="AF620" s="112" t="str">
        <f>IF(AE620=1,SUM($AE$8:AE620),"")</f>
        <v/>
      </c>
      <c r="AG620" t="str">
        <f>IFERROR(MATCH(613,$AF$8:$AF$1407,0),"")</f>
        <v/>
      </c>
    </row>
    <row r="621">
      <c r="A621" s="92" t="str">
        <f>IF($AG621="","",P_ImportID)</f>
        <v/>
      </c>
      <c r="B621" s="92" t="str">
        <f>IF($AG621="","",IF(INDEX($AN$8:$AN$21,INDEX($AC$8:$AC$1407,$AG621)+1)="Z",P_BronZ,P_BronE))</f>
        <v/>
      </c>
      <c r="C621" s="108" t="str">
        <f>IF($AG621="","",P_Importdatum)</f>
        <v/>
      </c>
      <c r="D621" s="92" t="str">
        <f>IF($AG621="","",P_StatusVastleg)</f>
        <v/>
      </c>
      <c r="E621" s="92" t="str">
        <f>IF($AG621="","",P_UploadVJ)</f>
        <v/>
      </c>
      <c r="F621" s="92" t="str">
        <f>IF($AG621="","",P_UploadVersie)</f>
        <v/>
      </c>
      <c r="G621" s="92" t="str">
        <f>IF($AG621="","",IF(COUNTIFS(L_Sleutel,$S621,L_Status,"Vastgesteld")=0,0,_xlfn.MAXIFS(L_Revisie,L_Sleutel,$S621,L_Status,"Vastgesteld")+1))</f>
        <v/>
      </c>
      <c r="H621" s="108" t="str">
        <f>IF($AG621="","",P_Peildatum)</f>
        <v/>
      </c>
      <c r="I621" s="92" t="str">
        <f>IF($AG621="","",P_RJ+INDEX($AK$8:$AK$21,INDEX($AC$8:$AC$1407,$AG621)+1))</f>
        <v/>
      </c>
      <c r="J621" s="92" t="str">
        <f>IF($AG621="","",INDEX(V_WBS,INDEX($AB$8:$AB$1407,$AG621)))</f>
        <v/>
      </c>
      <c r="K621" s="92" t="str">
        <f>IF($AG621="","",INDEX(V_Projdef,INDEX($AB$8:$AB$1407,$AG621)))</f>
        <v/>
      </c>
      <c r="L621" s="92" t="str">
        <f>IF($AG621="","",INDEX(V_Naam,INDEX($AB$8:$AB$1407,$AG621)))</f>
        <v/>
      </c>
      <c r="M621" s="92" t="str">
        <f>IF($AG621="","",INDEX(V_Type,INDEX($AB$8:$AB$1407,$AG621)))</f>
        <v/>
      </c>
      <c r="N621" s="92" t="str">
        <f>IF($AG621="","",INDEX(V_IFRS,INDEX($AB$8:$AB$1407,$AG621)))</f>
        <v/>
      </c>
      <c r="O621" s="92" t="str">
        <f>IF($AG621="","",INDEX($AL$8:$AL$21,INDEX($AC$8:$AC$1407,$AG621)+1))</f>
        <v/>
      </c>
      <c r="P621" s="109" t="str">
        <f>IF($AG621="","",INDEX($AD$8:$AD$1407,$AG621))</f>
        <v/>
      </c>
      <c r="Q621" s="92" t="str">
        <f>IF($AG621="","",INDEX($AM$8:$AM$21,INDEX($AC$8:$AC$1407,$AG621)+1))</f>
        <v/>
      </c>
      <c r="R621" s="92" t="str">
        <f>IF($AG621="","",IF($G621&gt;0,P_ToelCorrectie&amp;"",""))</f>
        <v/>
      </c>
      <c r="S621" s="15" t="str">
        <f>IF(J621="","",J621&amp;"|"&amp;E621&amp;"|"&amp;F621&amp;"|"&amp;I621&amp;"|"&amp;O621)</f>
        <v/>
      </c>
      <c r="T621" s="111" t="str">
        <f>IF(S621="","",IF(COUNTIFS(L_Sleutel,S621,L_Actief,1)=0,"",SUMIFS(L_Waarde,L_Sleutel,S621,L_Actief,1)))</f>
        <v/>
      </c>
      <c r="U621" s="111">
        <f>IF(OR(S621="",T621=""),0,P621-T621)</f>
        <v>0</v>
      </c>
      <c r="AB621" s="112" t="n">
        <v>44</v>
      </c>
      <c r="AC621" s="112" t="n">
        <v>11</v>
      </c>
      <c r="AD621" s="112" t="str">
        <f>VERW_Project!BT49</f>
        <v/>
      </c>
      <c r="AE621" s="112">
        <f>IF(AND(VERW_Project!$A49&lt;&gt;"",ISNUMBER(AD621)),1,0)</f>
        <v>0</v>
      </c>
      <c r="AF621" s="112" t="str">
        <f>IF(AE621=1,SUM($AE$8:AE621),"")</f>
        <v/>
      </c>
      <c r="AG621" t="str">
        <f>IFERROR(MATCH(614,$AF$8:$AF$1407,0),"")</f>
        <v/>
      </c>
    </row>
    <row r="622">
      <c r="A622" s="92" t="str">
        <f>IF($AG622="","",P_ImportID)</f>
        <v/>
      </c>
      <c r="B622" s="92" t="str">
        <f>IF($AG622="","",IF(INDEX($AN$8:$AN$21,INDEX($AC$8:$AC$1407,$AG622)+1)="Z",P_BronZ,P_BronE))</f>
        <v/>
      </c>
      <c r="C622" s="108" t="str">
        <f>IF($AG622="","",P_Importdatum)</f>
        <v/>
      </c>
      <c r="D622" s="92" t="str">
        <f>IF($AG622="","",P_StatusVastleg)</f>
        <v/>
      </c>
      <c r="E622" s="92" t="str">
        <f>IF($AG622="","",P_UploadVJ)</f>
        <v/>
      </c>
      <c r="F622" s="92" t="str">
        <f>IF($AG622="","",P_UploadVersie)</f>
        <v/>
      </c>
      <c r="G622" s="92" t="str">
        <f>IF($AG622="","",IF(COUNTIFS(L_Sleutel,$S622,L_Status,"Vastgesteld")=0,0,_xlfn.MAXIFS(L_Revisie,L_Sleutel,$S622,L_Status,"Vastgesteld")+1))</f>
        <v/>
      </c>
      <c r="H622" s="108" t="str">
        <f>IF($AG622="","",P_Peildatum)</f>
        <v/>
      </c>
      <c r="I622" s="92" t="str">
        <f>IF($AG622="","",P_RJ+INDEX($AK$8:$AK$21,INDEX($AC$8:$AC$1407,$AG622)+1))</f>
        <v/>
      </c>
      <c r="J622" s="92" t="str">
        <f>IF($AG622="","",INDEX(V_WBS,INDEX($AB$8:$AB$1407,$AG622)))</f>
        <v/>
      </c>
      <c r="K622" s="92" t="str">
        <f>IF($AG622="","",INDEX(V_Projdef,INDEX($AB$8:$AB$1407,$AG622)))</f>
        <v/>
      </c>
      <c r="L622" s="92" t="str">
        <f>IF($AG622="","",INDEX(V_Naam,INDEX($AB$8:$AB$1407,$AG622)))</f>
        <v/>
      </c>
      <c r="M622" s="92" t="str">
        <f>IF($AG622="","",INDEX(V_Type,INDEX($AB$8:$AB$1407,$AG622)))</f>
        <v/>
      </c>
      <c r="N622" s="92" t="str">
        <f>IF($AG622="","",INDEX(V_IFRS,INDEX($AB$8:$AB$1407,$AG622)))</f>
        <v/>
      </c>
      <c r="O622" s="92" t="str">
        <f>IF($AG622="","",INDEX($AL$8:$AL$21,INDEX($AC$8:$AC$1407,$AG622)+1))</f>
        <v/>
      </c>
      <c r="P622" s="109" t="str">
        <f>IF($AG622="","",INDEX($AD$8:$AD$1407,$AG622))</f>
        <v/>
      </c>
      <c r="Q622" s="92" t="str">
        <f>IF($AG622="","",INDEX($AM$8:$AM$21,INDEX($AC$8:$AC$1407,$AG622)+1))</f>
        <v/>
      </c>
      <c r="R622" s="92" t="str">
        <f>IF($AG622="","",IF($G622&gt;0,P_ToelCorrectie&amp;"",""))</f>
        <v/>
      </c>
      <c r="S622" s="15" t="str">
        <f>IF(J622="","",J622&amp;"|"&amp;E622&amp;"|"&amp;F622&amp;"|"&amp;I622&amp;"|"&amp;O622)</f>
        <v/>
      </c>
      <c r="T622" s="111" t="str">
        <f>IF(S622="","",IF(COUNTIFS(L_Sleutel,S622,L_Actief,1)=0,"",SUMIFS(L_Waarde,L_Sleutel,S622,L_Actief,1)))</f>
        <v/>
      </c>
      <c r="U622" s="111">
        <f>IF(OR(S622="",T622=""),0,P622-T622)</f>
        <v>0</v>
      </c>
      <c r="AB622" s="112" t="n">
        <v>44</v>
      </c>
      <c r="AC622" s="112" t="n">
        <v>12</v>
      </c>
      <c r="AD622" s="112" t="str">
        <f>VERW_Project!BU49</f>
        <v/>
      </c>
      <c r="AE622" s="112">
        <f>IF(AND(VERW_Project!$A49&lt;&gt;"",ISNUMBER(AD622)),1,0)</f>
        <v>0</v>
      </c>
      <c r="AF622" s="112" t="str">
        <f>IF(AE622=1,SUM($AE$8:AE622),"")</f>
        <v/>
      </c>
      <c r="AG622" t="str">
        <f>IFERROR(MATCH(615,$AF$8:$AF$1407,0),"")</f>
        <v/>
      </c>
    </row>
    <row r="623">
      <c r="A623" s="92" t="str">
        <f>IF($AG623="","",P_ImportID)</f>
        <v/>
      </c>
      <c r="B623" s="92" t="str">
        <f>IF($AG623="","",IF(INDEX($AN$8:$AN$21,INDEX($AC$8:$AC$1407,$AG623)+1)="Z",P_BronZ,P_BronE))</f>
        <v/>
      </c>
      <c r="C623" s="108" t="str">
        <f>IF($AG623="","",P_Importdatum)</f>
        <v/>
      </c>
      <c r="D623" s="92" t="str">
        <f>IF($AG623="","",P_StatusVastleg)</f>
        <v/>
      </c>
      <c r="E623" s="92" t="str">
        <f>IF($AG623="","",P_UploadVJ)</f>
        <v/>
      </c>
      <c r="F623" s="92" t="str">
        <f>IF($AG623="","",P_UploadVersie)</f>
        <v/>
      </c>
      <c r="G623" s="92" t="str">
        <f>IF($AG623="","",IF(COUNTIFS(L_Sleutel,$S623,L_Status,"Vastgesteld")=0,0,_xlfn.MAXIFS(L_Revisie,L_Sleutel,$S623,L_Status,"Vastgesteld")+1))</f>
        <v/>
      </c>
      <c r="H623" s="108" t="str">
        <f>IF($AG623="","",P_Peildatum)</f>
        <v/>
      </c>
      <c r="I623" s="92" t="str">
        <f>IF($AG623="","",P_RJ+INDEX($AK$8:$AK$21,INDEX($AC$8:$AC$1407,$AG623)+1))</f>
        <v/>
      </c>
      <c r="J623" s="92" t="str">
        <f>IF($AG623="","",INDEX(V_WBS,INDEX($AB$8:$AB$1407,$AG623)))</f>
        <v/>
      </c>
      <c r="K623" s="92" t="str">
        <f>IF($AG623="","",INDEX(V_Projdef,INDEX($AB$8:$AB$1407,$AG623)))</f>
        <v/>
      </c>
      <c r="L623" s="92" t="str">
        <f>IF($AG623="","",INDEX(V_Naam,INDEX($AB$8:$AB$1407,$AG623)))</f>
        <v/>
      </c>
      <c r="M623" s="92" t="str">
        <f>IF($AG623="","",INDEX(V_Type,INDEX($AB$8:$AB$1407,$AG623)))</f>
        <v/>
      </c>
      <c r="N623" s="92" t="str">
        <f>IF($AG623="","",INDEX(V_IFRS,INDEX($AB$8:$AB$1407,$AG623)))</f>
        <v/>
      </c>
      <c r="O623" s="92" t="str">
        <f>IF($AG623="","",INDEX($AL$8:$AL$21,INDEX($AC$8:$AC$1407,$AG623)+1))</f>
        <v/>
      </c>
      <c r="P623" s="109" t="str">
        <f>IF($AG623="","",INDEX($AD$8:$AD$1407,$AG623))</f>
        <v/>
      </c>
      <c r="Q623" s="92" t="str">
        <f>IF($AG623="","",INDEX($AM$8:$AM$21,INDEX($AC$8:$AC$1407,$AG623)+1))</f>
        <v/>
      </c>
      <c r="R623" s="92" t="str">
        <f>IF($AG623="","",IF($G623&gt;0,P_ToelCorrectie&amp;"",""))</f>
        <v/>
      </c>
      <c r="S623" s="15" t="str">
        <f>IF(J623="","",J623&amp;"|"&amp;E623&amp;"|"&amp;F623&amp;"|"&amp;I623&amp;"|"&amp;O623)</f>
        <v/>
      </c>
      <c r="T623" s="111" t="str">
        <f>IF(S623="","",IF(COUNTIFS(L_Sleutel,S623,L_Actief,1)=0,"",SUMIFS(L_Waarde,L_Sleutel,S623,L_Actief,1)))</f>
        <v/>
      </c>
      <c r="U623" s="111">
        <f>IF(OR(S623="",T623=""),0,P623-T623)</f>
        <v>0</v>
      </c>
      <c r="AB623" s="112" t="n">
        <v>44</v>
      </c>
      <c r="AC623" s="112" t="n">
        <v>13</v>
      </c>
      <c r="AD623" s="112" t="str">
        <f>VERW_Project!BX49</f>
        <v/>
      </c>
      <c r="AE623" s="112">
        <f>IF(AND(VERW_Project!$A49&lt;&gt;"",ISNUMBER(AD623)),1,0)</f>
        <v>0</v>
      </c>
      <c r="AF623" s="112" t="str">
        <f>IF(AE623=1,SUM($AE$8:AE623),"")</f>
        <v/>
      </c>
      <c r="AG623" t="str">
        <f>IFERROR(MATCH(616,$AF$8:$AF$1407,0),"")</f>
        <v/>
      </c>
    </row>
    <row r="624">
      <c r="A624" s="92" t="str">
        <f>IF($AG624="","",P_ImportID)</f>
        <v/>
      </c>
      <c r="B624" s="92" t="str">
        <f>IF($AG624="","",IF(INDEX($AN$8:$AN$21,INDEX($AC$8:$AC$1407,$AG624)+1)="Z",P_BronZ,P_BronE))</f>
        <v/>
      </c>
      <c r="C624" s="108" t="str">
        <f>IF($AG624="","",P_Importdatum)</f>
        <v/>
      </c>
      <c r="D624" s="92" t="str">
        <f>IF($AG624="","",P_StatusVastleg)</f>
        <v/>
      </c>
      <c r="E624" s="92" t="str">
        <f>IF($AG624="","",P_UploadVJ)</f>
        <v/>
      </c>
      <c r="F624" s="92" t="str">
        <f>IF($AG624="","",P_UploadVersie)</f>
        <v/>
      </c>
      <c r="G624" s="92" t="str">
        <f>IF($AG624="","",IF(COUNTIFS(L_Sleutel,$S624,L_Status,"Vastgesteld")=0,0,_xlfn.MAXIFS(L_Revisie,L_Sleutel,$S624,L_Status,"Vastgesteld")+1))</f>
        <v/>
      </c>
      <c r="H624" s="108" t="str">
        <f>IF($AG624="","",P_Peildatum)</f>
        <v/>
      </c>
      <c r="I624" s="92" t="str">
        <f>IF($AG624="","",P_RJ+INDEX($AK$8:$AK$21,INDEX($AC$8:$AC$1407,$AG624)+1))</f>
        <v/>
      </c>
      <c r="J624" s="92" t="str">
        <f>IF($AG624="","",INDEX(V_WBS,INDEX($AB$8:$AB$1407,$AG624)))</f>
        <v/>
      </c>
      <c r="K624" s="92" t="str">
        <f>IF($AG624="","",INDEX(V_Projdef,INDEX($AB$8:$AB$1407,$AG624)))</f>
        <v/>
      </c>
      <c r="L624" s="92" t="str">
        <f>IF($AG624="","",INDEX(V_Naam,INDEX($AB$8:$AB$1407,$AG624)))</f>
        <v/>
      </c>
      <c r="M624" s="92" t="str">
        <f>IF($AG624="","",INDEX(V_Type,INDEX($AB$8:$AB$1407,$AG624)))</f>
        <v/>
      </c>
      <c r="N624" s="92" t="str">
        <f>IF($AG624="","",INDEX(V_IFRS,INDEX($AB$8:$AB$1407,$AG624)))</f>
        <v/>
      </c>
      <c r="O624" s="92" t="str">
        <f>IF($AG624="","",INDEX($AL$8:$AL$21,INDEX($AC$8:$AC$1407,$AG624)+1))</f>
        <v/>
      </c>
      <c r="P624" s="109" t="str">
        <f>IF($AG624="","",INDEX($AD$8:$AD$1407,$AG624))</f>
        <v/>
      </c>
      <c r="Q624" s="92" t="str">
        <f>IF($AG624="","",INDEX($AM$8:$AM$21,INDEX($AC$8:$AC$1407,$AG624)+1))</f>
        <v/>
      </c>
      <c r="R624" s="92" t="str">
        <f>IF($AG624="","",IF($G624&gt;0,P_ToelCorrectie&amp;"",""))</f>
        <v/>
      </c>
      <c r="S624" s="15" t="str">
        <f>IF(J624="","",J624&amp;"|"&amp;E624&amp;"|"&amp;F624&amp;"|"&amp;I624&amp;"|"&amp;O624)</f>
        <v/>
      </c>
      <c r="T624" s="111" t="str">
        <f>IF(S624="","",IF(COUNTIFS(L_Sleutel,S624,L_Actief,1)=0,"",SUMIFS(L_Waarde,L_Sleutel,S624,L_Actief,1)))</f>
        <v/>
      </c>
      <c r="U624" s="111">
        <f>IF(OR(S624="",T624=""),0,P624-T624)</f>
        <v>0</v>
      </c>
      <c r="AB624" s="112" t="n">
        <v>45</v>
      </c>
      <c r="AC624" s="112" t="n">
        <v>0</v>
      </c>
      <c r="AD624" s="112" t="str">
        <f>VERW_Project!P50</f>
        <v/>
      </c>
      <c r="AE624" s="112">
        <f>IF(AND(VERW_Project!$A50&lt;&gt;"",ISNUMBER(AD624)),1,0)</f>
        <v>0</v>
      </c>
      <c r="AF624" s="112" t="str">
        <f>IF(AE624=1,SUM($AE$8:AE624),"")</f>
        <v/>
      </c>
      <c r="AG624" t="str">
        <f>IFERROR(MATCH(617,$AF$8:$AF$1407,0),"")</f>
        <v/>
      </c>
    </row>
    <row r="625">
      <c r="A625" s="92" t="str">
        <f>IF($AG625="","",P_ImportID)</f>
        <v/>
      </c>
      <c r="B625" s="92" t="str">
        <f>IF($AG625="","",IF(INDEX($AN$8:$AN$21,INDEX($AC$8:$AC$1407,$AG625)+1)="Z",P_BronZ,P_BronE))</f>
        <v/>
      </c>
      <c r="C625" s="108" t="str">
        <f>IF($AG625="","",P_Importdatum)</f>
        <v/>
      </c>
      <c r="D625" s="92" t="str">
        <f>IF($AG625="","",P_StatusVastleg)</f>
        <v/>
      </c>
      <c r="E625" s="92" t="str">
        <f>IF($AG625="","",P_UploadVJ)</f>
        <v/>
      </c>
      <c r="F625" s="92" t="str">
        <f>IF($AG625="","",P_UploadVersie)</f>
        <v/>
      </c>
      <c r="G625" s="92" t="str">
        <f>IF($AG625="","",IF(COUNTIFS(L_Sleutel,$S625,L_Status,"Vastgesteld")=0,0,_xlfn.MAXIFS(L_Revisie,L_Sleutel,$S625,L_Status,"Vastgesteld")+1))</f>
        <v/>
      </c>
      <c r="H625" s="108" t="str">
        <f>IF($AG625="","",P_Peildatum)</f>
        <v/>
      </c>
      <c r="I625" s="92" t="str">
        <f>IF($AG625="","",P_RJ+INDEX($AK$8:$AK$21,INDEX($AC$8:$AC$1407,$AG625)+1))</f>
        <v/>
      </c>
      <c r="J625" s="92" t="str">
        <f>IF($AG625="","",INDEX(V_WBS,INDEX($AB$8:$AB$1407,$AG625)))</f>
        <v/>
      </c>
      <c r="K625" s="92" t="str">
        <f>IF($AG625="","",INDEX(V_Projdef,INDEX($AB$8:$AB$1407,$AG625)))</f>
        <v/>
      </c>
      <c r="L625" s="92" t="str">
        <f>IF($AG625="","",INDEX(V_Naam,INDEX($AB$8:$AB$1407,$AG625)))</f>
        <v/>
      </c>
      <c r="M625" s="92" t="str">
        <f>IF($AG625="","",INDEX(V_Type,INDEX($AB$8:$AB$1407,$AG625)))</f>
        <v/>
      </c>
      <c r="N625" s="92" t="str">
        <f>IF($AG625="","",INDEX(V_IFRS,INDEX($AB$8:$AB$1407,$AG625)))</f>
        <v/>
      </c>
      <c r="O625" s="92" t="str">
        <f>IF($AG625="","",INDEX($AL$8:$AL$21,INDEX($AC$8:$AC$1407,$AG625)+1))</f>
        <v/>
      </c>
      <c r="P625" s="109" t="str">
        <f>IF($AG625="","",INDEX($AD$8:$AD$1407,$AG625))</f>
        <v/>
      </c>
      <c r="Q625" s="92" t="str">
        <f>IF($AG625="","",INDEX($AM$8:$AM$21,INDEX($AC$8:$AC$1407,$AG625)+1))</f>
        <v/>
      </c>
      <c r="R625" s="92" t="str">
        <f>IF($AG625="","",IF($G625&gt;0,P_ToelCorrectie&amp;"",""))</f>
        <v/>
      </c>
      <c r="S625" s="15" t="str">
        <f>IF(J625="","",J625&amp;"|"&amp;E625&amp;"|"&amp;F625&amp;"|"&amp;I625&amp;"|"&amp;O625)</f>
        <v/>
      </c>
      <c r="T625" s="111" t="str">
        <f>IF(S625="","",IF(COUNTIFS(L_Sleutel,S625,L_Actief,1)=0,"",SUMIFS(L_Waarde,L_Sleutel,S625,L_Actief,1)))</f>
        <v/>
      </c>
      <c r="U625" s="111">
        <f>IF(OR(S625="",T625=""),0,P625-T625)</f>
        <v>0</v>
      </c>
      <c r="AB625" s="112" t="n">
        <v>45</v>
      </c>
      <c r="AC625" s="112" t="n">
        <v>1</v>
      </c>
      <c r="AD625" s="112" t="str">
        <f>VERW_Project!Q50</f>
        <v/>
      </c>
      <c r="AE625" s="112">
        <f>IF(AND(VERW_Project!$A50&lt;&gt;"",ISNUMBER(AD625)),1,0)</f>
        <v>0</v>
      </c>
      <c r="AF625" s="112" t="str">
        <f>IF(AE625=1,SUM($AE$8:AE625),"")</f>
        <v/>
      </c>
      <c r="AG625" t="str">
        <f>IFERROR(MATCH(618,$AF$8:$AF$1407,0),"")</f>
        <v/>
      </c>
    </row>
    <row r="626">
      <c r="A626" s="92" t="str">
        <f>IF($AG626="","",P_ImportID)</f>
        <v/>
      </c>
      <c r="B626" s="92" t="str">
        <f>IF($AG626="","",IF(INDEX($AN$8:$AN$21,INDEX($AC$8:$AC$1407,$AG626)+1)="Z",P_BronZ,P_BronE))</f>
        <v/>
      </c>
      <c r="C626" s="108" t="str">
        <f>IF($AG626="","",P_Importdatum)</f>
        <v/>
      </c>
      <c r="D626" s="92" t="str">
        <f>IF($AG626="","",P_StatusVastleg)</f>
        <v/>
      </c>
      <c r="E626" s="92" t="str">
        <f>IF($AG626="","",P_UploadVJ)</f>
        <v/>
      </c>
      <c r="F626" s="92" t="str">
        <f>IF($AG626="","",P_UploadVersie)</f>
        <v/>
      </c>
      <c r="G626" s="92" t="str">
        <f>IF($AG626="","",IF(COUNTIFS(L_Sleutel,$S626,L_Status,"Vastgesteld")=0,0,_xlfn.MAXIFS(L_Revisie,L_Sleutel,$S626,L_Status,"Vastgesteld")+1))</f>
        <v/>
      </c>
      <c r="H626" s="108" t="str">
        <f>IF($AG626="","",P_Peildatum)</f>
        <v/>
      </c>
      <c r="I626" s="92" t="str">
        <f>IF($AG626="","",P_RJ+INDEX($AK$8:$AK$21,INDEX($AC$8:$AC$1407,$AG626)+1))</f>
        <v/>
      </c>
      <c r="J626" s="92" t="str">
        <f>IF($AG626="","",INDEX(V_WBS,INDEX($AB$8:$AB$1407,$AG626)))</f>
        <v/>
      </c>
      <c r="K626" s="92" t="str">
        <f>IF($AG626="","",INDEX(V_Projdef,INDEX($AB$8:$AB$1407,$AG626)))</f>
        <v/>
      </c>
      <c r="L626" s="92" t="str">
        <f>IF($AG626="","",INDEX(V_Naam,INDEX($AB$8:$AB$1407,$AG626)))</f>
        <v/>
      </c>
      <c r="M626" s="92" t="str">
        <f>IF($AG626="","",INDEX(V_Type,INDEX($AB$8:$AB$1407,$AG626)))</f>
        <v/>
      </c>
      <c r="N626" s="92" t="str">
        <f>IF($AG626="","",INDEX(V_IFRS,INDEX($AB$8:$AB$1407,$AG626)))</f>
        <v/>
      </c>
      <c r="O626" s="92" t="str">
        <f>IF($AG626="","",INDEX($AL$8:$AL$21,INDEX($AC$8:$AC$1407,$AG626)+1))</f>
        <v/>
      </c>
      <c r="P626" s="109" t="str">
        <f>IF($AG626="","",INDEX($AD$8:$AD$1407,$AG626))</f>
        <v/>
      </c>
      <c r="Q626" s="92" t="str">
        <f>IF($AG626="","",INDEX($AM$8:$AM$21,INDEX($AC$8:$AC$1407,$AG626)+1))</f>
        <v/>
      </c>
      <c r="R626" s="92" t="str">
        <f>IF($AG626="","",IF($G626&gt;0,P_ToelCorrectie&amp;"",""))</f>
        <v/>
      </c>
      <c r="S626" s="15" t="str">
        <f>IF(J626="","",J626&amp;"|"&amp;E626&amp;"|"&amp;F626&amp;"|"&amp;I626&amp;"|"&amp;O626)</f>
        <v/>
      </c>
      <c r="T626" s="111" t="str">
        <f>IF(S626="","",IF(COUNTIFS(L_Sleutel,S626,L_Actief,1)=0,"",SUMIFS(L_Waarde,L_Sleutel,S626,L_Actief,1)))</f>
        <v/>
      </c>
      <c r="U626" s="111">
        <f>IF(OR(S626="",T626=""),0,P626-T626)</f>
        <v>0</v>
      </c>
      <c r="AB626" s="112" t="n">
        <v>45</v>
      </c>
      <c r="AC626" s="112" t="n">
        <v>2</v>
      </c>
      <c r="AD626" s="112" t="str">
        <f>VERW_Project!L50</f>
        <v/>
      </c>
      <c r="AE626" s="112">
        <f>IF(AND(VERW_Project!$A50&lt;&gt;"",ISNUMBER(AD626)),1,0)</f>
        <v>0</v>
      </c>
      <c r="AF626" s="112" t="str">
        <f>IF(AE626=1,SUM($AE$8:AE626),"")</f>
        <v/>
      </c>
      <c r="AG626" t="str">
        <f>IFERROR(MATCH(619,$AF$8:$AF$1407,0),"")</f>
        <v/>
      </c>
    </row>
    <row r="627">
      <c r="A627" s="92" t="str">
        <f>IF($AG627="","",P_ImportID)</f>
        <v/>
      </c>
      <c r="B627" s="92" t="str">
        <f>IF($AG627="","",IF(INDEX($AN$8:$AN$21,INDEX($AC$8:$AC$1407,$AG627)+1)="Z",P_BronZ,P_BronE))</f>
        <v/>
      </c>
      <c r="C627" s="108" t="str">
        <f>IF($AG627="","",P_Importdatum)</f>
        <v/>
      </c>
      <c r="D627" s="92" t="str">
        <f>IF($AG627="","",P_StatusVastleg)</f>
        <v/>
      </c>
      <c r="E627" s="92" t="str">
        <f>IF($AG627="","",P_UploadVJ)</f>
        <v/>
      </c>
      <c r="F627" s="92" t="str">
        <f>IF($AG627="","",P_UploadVersie)</f>
        <v/>
      </c>
      <c r="G627" s="92" t="str">
        <f>IF($AG627="","",IF(COUNTIFS(L_Sleutel,$S627,L_Status,"Vastgesteld")=0,0,_xlfn.MAXIFS(L_Revisie,L_Sleutel,$S627,L_Status,"Vastgesteld")+1))</f>
        <v/>
      </c>
      <c r="H627" s="108" t="str">
        <f>IF($AG627="","",P_Peildatum)</f>
        <v/>
      </c>
      <c r="I627" s="92" t="str">
        <f>IF($AG627="","",P_RJ+INDEX($AK$8:$AK$21,INDEX($AC$8:$AC$1407,$AG627)+1))</f>
        <v/>
      </c>
      <c r="J627" s="92" t="str">
        <f>IF($AG627="","",INDEX(V_WBS,INDEX($AB$8:$AB$1407,$AG627)))</f>
        <v/>
      </c>
      <c r="K627" s="92" t="str">
        <f>IF($AG627="","",INDEX(V_Projdef,INDEX($AB$8:$AB$1407,$AG627)))</f>
        <v/>
      </c>
      <c r="L627" s="92" t="str">
        <f>IF($AG627="","",INDEX(V_Naam,INDEX($AB$8:$AB$1407,$AG627)))</f>
        <v/>
      </c>
      <c r="M627" s="92" t="str">
        <f>IF($AG627="","",INDEX(V_Type,INDEX($AB$8:$AB$1407,$AG627)))</f>
        <v/>
      </c>
      <c r="N627" s="92" t="str">
        <f>IF($AG627="","",INDEX(V_IFRS,INDEX($AB$8:$AB$1407,$AG627)))</f>
        <v/>
      </c>
      <c r="O627" s="92" t="str">
        <f>IF($AG627="","",INDEX($AL$8:$AL$21,INDEX($AC$8:$AC$1407,$AG627)+1))</f>
        <v/>
      </c>
      <c r="P627" s="109" t="str">
        <f>IF($AG627="","",INDEX($AD$8:$AD$1407,$AG627))</f>
        <v/>
      </c>
      <c r="Q627" s="92" t="str">
        <f>IF($AG627="","",INDEX($AM$8:$AM$21,INDEX($AC$8:$AC$1407,$AG627)+1))</f>
        <v/>
      </c>
      <c r="R627" s="92" t="str">
        <f>IF($AG627="","",IF($G627&gt;0,P_ToelCorrectie&amp;"",""))</f>
        <v/>
      </c>
      <c r="S627" s="15" t="str">
        <f>IF(J627="","",J627&amp;"|"&amp;E627&amp;"|"&amp;F627&amp;"|"&amp;I627&amp;"|"&amp;O627)</f>
        <v/>
      </c>
      <c r="T627" s="111" t="str">
        <f>IF(S627="","",IF(COUNTIFS(L_Sleutel,S627,L_Actief,1)=0,"",SUMIFS(L_Waarde,L_Sleutel,S627,L_Actief,1)))</f>
        <v/>
      </c>
      <c r="U627" s="111">
        <f>IF(OR(S627="",T627=""),0,P627-T627)</f>
        <v>0</v>
      </c>
      <c r="AB627" s="112" t="n">
        <v>45</v>
      </c>
      <c r="AC627" s="112" t="n">
        <v>3</v>
      </c>
      <c r="AD627" s="112" t="str">
        <f>VERW_Project!M50</f>
        <v/>
      </c>
      <c r="AE627" s="112">
        <f>IF(AND(VERW_Project!$A50&lt;&gt;"",ISNUMBER(AD627)),1,0)</f>
        <v>0</v>
      </c>
      <c r="AF627" s="112" t="str">
        <f>IF(AE627=1,SUM($AE$8:AE627),"")</f>
        <v/>
      </c>
      <c r="AG627" t="str">
        <f>IFERROR(MATCH(620,$AF$8:$AF$1407,0),"")</f>
        <v/>
      </c>
    </row>
    <row r="628">
      <c r="A628" s="92" t="str">
        <f>IF($AG628="","",P_ImportID)</f>
        <v/>
      </c>
      <c r="B628" s="92" t="str">
        <f>IF($AG628="","",IF(INDEX($AN$8:$AN$21,INDEX($AC$8:$AC$1407,$AG628)+1)="Z",P_BronZ,P_BronE))</f>
        <v/>
      </c>
      <c r="C628" s="108" t="str">
        <f>IF($AG628="","",P_Importdatum)</f>
        <v/>
      </c>
      <c r="D628" s="92" t="str">
        <f>IF($AG628="","",P_StatusVastleg)</f>
        <v/>
      </c>
      <c r="E628" s="92" t="str">
        <f>IF($AG628="","",P_UploadVJ)</f>
        <v/>
      </c>
      <c r="F628" s="92" t="str">
        <f>IF($AG628="","",P_UploadVersie)</f>
        <v/>
      </c>
      <c r="G628" s="92" t="str">
        <f>IF($AG628="","",IF(COUNTIFS(L_Sleutel,$S628,L_Status,"Vastgesteld")=0,0,_xlfn.MAXIFS(L_Revisie,L_Sleutel,$S628,L_Status,"Vastgesteld")+1))</f>
        <v/>
      </c>
      <c r="H628" s="108" t="str">
        <f>IF($AG628="","",P_Peildatum)</f>
        <v/>
      </c>
      <c r="I628" s="92" t="str">
        <f>IF($AG628="","",P_RJ+INDEX($AK$8:$AK$21,INDEX($AC$8:$AC$1407,$AG628)+1))</f>
        <v/>
      </c>
      <c r="J628" s="92" t="str">
        <f>IF($AG628="","",INDEX(V_WBS,INDEX($AB$8:$AB$1407,$AG628)))</f>
        <v/>
      </c>
      <c r="K628" s="92" t="str">
        <f>IF($AG628="","",INDEX(V_Projdef,INDEX($AB$8:$AB$1407,$AG628)))</f>
        <v/>
      </c>
      <c r="L628" s="92" t="str">
        <f>IF($AG628="","",INDEX(V_Naam,INDEX($AB$8:$AB$1407,$AG628)))</f>
        <v/>
      </c>
      <c r="M628" s="92" t="str">
        <f>IF($AG628="","",INDEX(V_Type,INDEX($AB$8:$AB$1407,$AG628)))</f>
        <v/>
      </c>
      <c r="N628" s="92" t="str">
        <f>IF($AG628="","",INDEX(V_IFRS,INDEX($AB$8:$AB$1407,$AG628)))</f>
        <v/>
      </c>
      <c r="O628" s="92" t="str">
        <f>IF($AG628="","",INDEX($AL$8:$AL$21,INDEX($AC$8:$AC$1407,$AG628)+1))</f>
        <v/>
      </c>
      <c r="P628" s="109" t="str">
        <f>IF($AG628="","",INDEX($AD$8:$AD$1407,$AG628))</f>
        <v/>
      </c>
      <c r="Q628" s="92" t="str">
        <f>IF($AG628="","",INDEX($AM$8:$AM$21,INDEX($AC$8:$AC$1407,$AG628)+1))</f>
        <v/>
      </c>
      <c r="R628" s="92" t="str">
        <f>IF($AG628="","",IF($G628&gt;0,P_ToelCorrectie&amp;"",""))</f>
        <v/>
      </c>
      <c r="S628" s="15" t="str">
        <f>IF(J628="","",J628&amp;"|"&amp;E628&amp;"|"&amp;F628&amp;"|"&amp;I628&amp;"|"&amp;O628)</f>
        <v/>
      </c>
      <c r="T628" s="111" t="str">
        <f>IF(S628="","",IF(COUNTIFS(L_Sleutel,S628,L_Actief,1)=0,"",SUMIFS(L_Waarde,L_Sleutel,S628,L_Actief,1)))</f>
        <v/>
      </c>
      <c r="U628" s="111">
        <f>IF(OR(S628="",T628=""),0,P628-T628)</f>
        <v>0</v>
      </c>
      <c r="AB628" s="112" t="n">
        <v>45</v>
      </c>
      <c r="AC628" s="112" t="n">
        <v>4</v>
      </c>
      <c r="AD628" s="112" t="str">
        <f>VERW_Project!R50</f>
        <v/>
      </c>
      <c r="AE628" s="112">
        <f>IF(AND(VERW_Project!$A50&lt;&gt;"",ISNUMBER(AD628)),1,0)</f>
        <v>0</v>
      </c>
      <c r="AF628" s="112" t="str">
        <f>IF(AE628=1,SUM($AE$8:AE628),"")</f>
        <v/>
      </c>
      <c r="AG628" t="str">
        <f>IFERROR(MATCH(621,$AF$8:$AF$1407,0),"")</f>
        <v/>
      </c>
    </row>
    <row r="629">
      <c r="A629" s="92" t="str">
        <f>IF($AG629="","",P_ImportID)</f>
        <v/>
      </c>
      <c r="B629" s="92" t="str">
        <f>IF($AG629="","",IF(INDEX($AN$8:$AN$21,INDEX($AC$8:$AC$1407,$AG629)+1)="Z",P_BronZ,P_BronE))</f>
        <v/>
      </c>
      <c r="C629" s="108" t="str">
        <f>IF($AG629="","",P_Importdatum)</f>
        <v/>
      </c>
      <c r="D629" s="92" t="str">
        <f>IF($AG629="","",P_StatusVastleg)</f>
        <v/>
      </c>
      <c r="E629" s="92" t="str">
        <f>IF($AG629="","",P_UploadVJ)</f>
        <v/>
      </c>
      <c r="F629" s="92" t="str">
        <f>IF($AG629="","",P_UploadVersie)</f>
        <v/>
      </c>
      <c r="G629" s="92" t="str">
        <f>IF($AG629="","",IF(COUNTIFS(L_Sleutel,$S629,L_Status,"Vastgesteld")=0,0,_xlfn.MAXIFS(L_Revisie,L_Sleutel,$S629,L_Status,"Vastgesteld")+1))</f>
        <v/>
      </c>
      <c r="H629" s="108" t="str">
        <f>IF($AG629="","",P_Peildatum)</f>
        <v/>
      </c>
      <c r="I629" s="92" t="str">
        <f>IF($AG629="","",P_RJ+INDEX($AK$8:$AK$21,INDEX($AC$8:$AC$1407,$AG629)+1))</f>
        <v/>
      </c>
      <c r="J629" s="92" t="str">
        <f>IF($AG629="","",INDEX(V_WBS,INDEX($AB$8:$AB$1407,$AG629)))</f>
        <v/>
      </c>
      <c r="K629" s="92" t="str">
        <f>IF($AG629="","",INDEX(V_Projdef,INDEX($AB$8:$AB$1407,$AG629)))</f>
        <v/>
      </c>
      <c r="L629" s="92" t="str">
        <f>IF($AG629="","",INDEX(V_Naam,INDEX($AB$8:$AB$1407,$AG629)))</f>
        <v/>
      </c>
      <c r="M629" s="92" t="str">
        <f>IF($AG629="","",INDEX(V_Type,INDEX($AB$8:$AB$1407,$AG629)))</f>
        <v/>
      </c>
      <c r="N629" s="92" t="str">
        <f>IF($AG629="","",INDEX(V_IFRS,INDEX($AB$8:$AB$1407,$AG629)))</f>
        <v/>
      </c>
      <c r="O629" s="92" t="str">
        <f>IF($AG629="","",INDEX($AL$8:$AL$21,INDEX($AC$8:$AC$1407,$AG629)+1))</f>
        <v/>
      </c>
      <c r="P629" s="109" t="str">
        <f>IF($AG629="","",INDEX($AD$8:$AD$1407,$AG629))</f>
        <v/>
      </c>
      <c r="Q629" s="92" t="str">
        <f>IF($AG629="","",INDEX($AM$8:$AM$21,INDEX($AC$8:$AC$1407,$AG629)+1))</f>
        <v/>
      </c>
      <c r="R629" s="92" t="str">
        <f>IF($AG629="","",IF($G629&gt;0,P_ToelCorrectie&amp;"",""))</f>
        <v/>
      </c>
      <c r="S629" s="15" t="str">
        <f>IF(J629="","",J629&amp;"|"&amp;E629&amp;"|"&amp;F629&amp;"|"&amp;I629&amp;"|"&amp;O629)</f>
        <v/>
      </c>
      <c r="T629" s="111" t="str">
        <f>IF(S629="","",IF(COUNTIFS(L_Sleutel,S629,L_Actief,1)=0,"",SUMIFS(L_Waarde,L_Sleutel,S629,L_Actief,1)))</f>
        <v/>
      </c>
      <c r="U629" s="111">
        <f>IF(OR(S629="",T629=""),0,P629-T629)</f>
        <v>0</v>
      </c>
      <c r="AB629" s="112" t="n">
        <v>45</v>
      </c>
      <c r="AC629" s="112" t="n">
        <v>5</v>
      </c>
      <c r="AD629" s="112" t="str">
        <f>VERW_Project!S50</f>
        <v/>
      </c>
      <c r="AE629" s="112">
        <f>IF(AND(VERW_Project!$A50&lt;&gt;"",ISNUMBER(AD629)),1,0)</f>
        <v>0</v>
      </c>
      <c r="AF629" s="112" t="str">
        <f>IF(AE629=1,SUM($AE$8:AE629),"")</f>
        <v/>
      </c>
      <c r="AG629" t="str">
        <f>IFERROR(MATCH(622,$AF$8:$AF$1407,0),"")</f>
        <v/>
      </c>
    </row>
    <row r="630">
      <c r="A630" s="92" t="str">
        <f>IF($AG630="","",P_ImportID)</f>
        <v/>
      </c>
      <c r="B630" s="92" t="str">
        <f>IF($AG630="","",IF(INDEX($AN$8:$AN$21,INDEX($AC$8:$AC$1407,$AG630)+1)="Z",P_BronZ,P_BronE))</f>
        <v/>
      </c>
      <c r="C630" s="108" t="str">
        <f>IF($AG630="","",P_Importdatum)</f>
        <v/>
      </c>
      <c r="D630" s="92" t="str">
        <f>IF($AG630="","",P_StatusVastleg)</f>
        <v/>
      </c>
      <c r="E630" s="92" t="str">
        <f>IF($AG630="","",P_UploadVJ)</f>
        <v/>
      </c>
      <c r="F630" s="92" t="str">
        <f>IF($AG630="","",P_UploadVersie)</f>
        <v/>
      </c>
      <c r="G630" s="92" t="str">
        <f>IF($AG630="","",IF(COUNTIFS(L_Sleutel,$S630,L_Status,"Vastgesteld")=0,0,_xlfn.MAXIFS(L_Revisie,L_Sleutel,$S630,L_Status,"Vastgesteld")+1))</f>
        <v/>
      </c>
      <c r="H630" s="108" t="str">
        <f>IF($AG630="","",P_Peildatum)</f>
        <v/>
      </c>
      <c r="I630" s="92" t="str">
        <f>IF($AG630="","",P_RJ+INDEX($AK$8:$AK$21,INDEX($AC$8:$AC$1407,$AG630)+1))</f>
        <v/>
      </c>
      <c r="J630" s="92" t="str">
        <f>IF($AG630="","",INDEX(V_WBS,INDEX($AB$8:$AB$1407,$AG630)))</f>
        <v/>
      </c>
      <c r="K630" s="92" t="str">
        <f>IF($AG630="","",INDEX(V_Projdef,INDEX($AB$8:$AB$1407,$AG630)))</f>
        <v/>
      </c>
      <c r="L630" s="92" t="str">
        <f>IF($AG630="","",INDEX(V_Naam,INDEX($AB$8:$AB$1407,$AG630)))</f>
        <v/>
      </c>
      <c r="M630" s="92" t="str">
        <f>IF($AG630="","",INDEX(V_Type,INDEX($AB$8:$AB$1407,$AG630)))</f>
        <v/>
      </c>
      <c r="N630" s="92" t="str">
        <f>IF($AG630="","",INDEX(V_IFRS,INDEX($AB$8:$AB$1407,$AG630)))</f>
        <v/>
      </c>
      <c r="O630" s="92" t="str">
        <f>IF($AG630="","",INDEX($AL$8:$AL$21,INDEX($AC$8:$AC$1407,$AG630)+1))</f>
        <v/>
      </c>
      <c r="P630" s="109" t="str">
        <f>IF($AG630="","",INDEX($AD$8:$AD$1407,$AG630))</f>
        <v/>
      </c>
      <c r="Q630" s="92" t="str">
        <f>IF($AG630="","",INDEX($AM$8:$AM$21,INDEX($AC$8:$AC$1407,$AG630)+1))</f>
        <v/>
      </c>
      <c r="R630" s="92" t="str">
        <f>IF($AG630="","",IF($G630&gt;0,P_ToelCorrectie&amp;"",""))</f>
        <v/>
      </c>
      <c r="S630" s="15" t="str">
        <f>IF(J630="","",J630&amp;"|"&amp;E630&amp;"|"&amp;F630&amp;"|"&amp;I630&amp;"|"&amp;O630)</f>
        <v/>
      </c>
      <c r="T630" s="111" t="str">
        <f>IF(S630="","",IF(COUNTIFS(L_Sleutel,S630,L_Actief,1)=0,"",SUMIFS(L_Waarde,L_Sleutel,S630,L_Actief,1)))</f>
        <v/>
      </c>
      <c r="U630" s="111">
        <f>IF(OR(S630="",T630=""),0,P630-T630)</f>
        <v>0</v>
      </c>
      <c r="AB630" s="112" t="n">
        <v>45</v>
      </c>
      <c r="AC630" s="112" t="n">
        <v>6</v>
      </c>
      <c r="AD630" s="112" t="str">
        <f>VERW_Project!BW50</f>
        <v/>
      </c>
      <c r="AE630" s="112">
        <f>IF(AND(VERW_Project!$A50&lt;&gt;"",ISNUMBER(AD630)),1,0)</f>
        <v>0</v>
      </c>
      <c r="AF630" s="112" t="str">
        <f>IF(AE630=1,SUM($AE$8:AE630),"")</f>
        <v/>
      </c>
      <c r="AG630" t="str">
        <f>IFERROR(MATCH(623,$AF$8:$AF$1407,0),"")</f>
        <v/>
      </c>
    </row>
    <row r="631">
      <c r="A631" s="92" t="str">
        <f>IF($AG631="","",P_ImportID)</f>
        <v/>
      </c>
      <c r="B631" s="92" t="str">
        <f>IF($AG631="","",IF(INDEX($AN$8:$AN$21,INDEX($AC$8:$AC$1407,$AG631)+1)="Z",P_BronZ,P_BronE))</f>
        <v/>
      </c>
      <c r="C631" s="108" t="str">
        <f>IF($AG631="","",P_Importdatum)</f>
        <v/>
      </c>
      <c r="D631" s="92" t="str">
        <f>IF($AG631="","",P_StatusVastleg)</f>
        <v/>
      </c>
      <c r="E631" s="92" t="str">
        <f>IF($AG631="","",P_UploadVJ)</f>
        <v/>
      </c>
      <c r="F631" s="92" t="str">
        <f>IF($AG631="","",P_UploadVersie)</f>
        <v/>
      </c>
      <c r="G631" s="92" t="str">
        <f>IF($AG631="","",IF(COUNTIFS(L_Sleutel,$S631,L_Status,"Vastgesteld")=0,0,_xlfn.MAXIFS(L_Revisie,L_Sleutel,$S631,L_Status,"Vastgesteld")+1))</f>
        <v/>
      </c>
      <c r="H631" s="108" t="str">
        <f>IF($AG631="","",P_Peildatum)</f>
        <v/>
      </c>
      <c r="I631" s="92" t="str">
        <f>IF($AG631="","",P_RJ+INDEX($AK$8:$AK$21,INDEX($AC$8:$AC$1407,$AG631)+1))</f>
        <v/>
      </c>
      <c r="J631" s="92" t="str">
        <f>IF($AG631="","",INDEX(V_WBS,INDEX($AB$8:$AB$1407,$AG631)))</f>
        <v/>
      </c>
      <c r="K631" s="92" t="str">
        <f>IF($AG631="","",INDEX(V_Projdef,INDEX($AB$8:$AB$1407,$AG631)))</f>
        <v/>
      </c>
      <c r="L631" s="92" t="str">
        <f>IF($AG631="","",INDEX(V_Naam,INDEX($AB$8:$AB$1407,$AG631)))</f>
        <v/>
      </c>
      <c r="M631" s="92" t="str">
        <f>IF($AG631="","",INDEX(V_Type,INDEX($AB$8:$AB$1407,$AG631)))</f>
        <v/>
      </c>
      <c r="N631" s="92" t="str">
        <f>IF($AG631="","",INDEX(V_IFRS,INDEX($AB$8:$AB$1407,$AG631)))</f>
        <v/>
      </c>
      <c r="O631" s="92" t="str">
        <f>IF($AG631="","",INDEX($AL$8:$AL$21,INDEX($AC$8:$AC$1407,$AG631)+1))</f>
        <v/>
      </c>
      <c r="P631" s="109" t="str">
        <f>IF($AG631="","",INDEX($AD$8:$AD$1407,$AG631))</f>
        <v/>
      </c>
      <c r="Q631" s="92" t="str">
        <f>IF($AG631="","",INDEX($AM$8:$AM$21,INDEX($AC$8:$AC$1407,$AG631)+1))</f>
        <v/>
      </c>
      <c r="R631" s="92" t="str">
        <f>IF($AG631="","",IF($G631&gt;0,P_ToelCorrectie&amp;"",""))</f>
        <v/>
      </c>
      <c r="S631" s="15" t="str">
        <f>IF(J631="","",J631&amp;"|"&amp;E631&amp;"|"&amp;F631&amp;"|"&amp;I631&amp;"|"&amp;O631)</f>
        <v/>
      </c>
      <c r="T631" s="111" t="str">
        <f>IF(S631="","",IF(COUNTIFS(L_Sleutel,S631,L_Actief,1)=0,"",SUMIFS(L_Waarde,L_Sleutel,S631,L_Actief,1)))</f>
        <v/>
      </c>
      <c r="U631" s="111">
        <f>IF(OR(S631="",T631=""),0,P631-T631)</f>
        <v>0</v>
      </c>
      <c r="AB631" s="112" t="n">
        <v>45</v>
      </c>
      <c r="AC631" s="112" t="n">
        <v>7</v>
      </c>
      <c r="AD631" s="112" t="str">
        <f>VERW_Project!AW50</f>
        <v/>
      </c>
      <c r="AE631" s="112">
        <f>IF(AND(VERW_Project!$A50&lt;&gt;"",ISNUMBER(AD631)),1,0)</f>
        <v>0</v>
      </c>
      <c r="AF631" s="112" t="str">
        <f>IF(AE631=1,SUM($AE$8:AE631),"")</f>
        <v/>
      </c>
      <c r="AG631" t="str">
        <f>IFERROR(MATCH(624,$AF$8:$AF$1407,0),"")</f>
        <v/>
      </c>
    </row>
    <row r="632">
      <c r="A632" s="92" t="str">
        <f>IF($AG632="","",P_ImportID)</f>
        <v/>
      </c>
      <c r="B632" s="92" t="str">
        <f>IF($AG632="","",IF(INDEX($AN$8:$AN$21,INDEX($AC$8:$AC$1407,$AG632)+1)="Z",P_BronZ,P_BronE))</f>
        <v/>
      </c>
      <c r="C632" s="108" t="str">
        <f>IF($AG632="","",P_Importdatum)</f>
        <v/>
      </c>
      <c r="D632" s="92" t="str">
        <f>IF($AG632="","",P_StatusVastleg)</f>
        <v/>
      </c>
      <c r="E632" s="92" t="str">
        <f>IF($AG632="","",P_UploadVJ)</f>
        <v/>
      </c>
      <c r="F632" s="92" t="str">
        <f>IF($AG632="","",P_UploadVersie)</f>
        <v/>
      </c>
      <c r="G632" s="92" t="str">
        <f>IF($AG632="","",IF(COUNTIFS(L_Sleutel,$S632,L_Status,"Vastgesteld")=0,0,_xlfn.MAXIFS(L_Revisie,L_Sleutel,$S632,L_Status,"Vastgesteld")+1))</f>
        <v/>
      </c>
      <c r="H632" s="108" t="str">
        <f>IF($AG632="","",P_Peildatum)</f>
        <v/>
      </c>
      <c r="I632" s="92" t="str">
        <f>IF($AG632="","",P_RJ+INDEX($AK$8:$AK$21,INDEX($AC$8:$AC$1407,$AG632)+1))</f>
        <v/>
      </c>
      <c r="J632" s="92" t="str">
        <f>IF($AG632="","",INDEX(V_WBS,INDEX($AB$8:$AB$1407,$AG632)))</f>
        <v/>
      </c>
      <c r="K632" s="92" t="str">
        <f>IF($AG632="","",INDEX(V_Projdef,INDEX($AB$8:$AB$1407,$AG632)))</f>
        <v/>
      </c>
      <c r="L632" s="92" t="str">
        <f>IF($AG632="","",INDEX(V_Naam,INDEX($AB$8:$AB$1407,$AG632)))</f>
        <v/>
      </c>
      <c r="M632" s="92" t="str">
        <f>IF($AG632="","",INDEX(V_Type,INDEX($AB$8:$AB$1407,$AG632)))</f>
        <v/>
      </c>
      <c r="N632" s="92" t="str">
        <f>IF($AG632="","",INDEX(V_IFRS,INDEX($AB$8:$AB$1407,$AG632)))</f>
        <v/>
      </c>
      <c r="O632" s="92" t="str">
        <f>IF($AG632="","",INDEX($AL$8:$AL$21,INDEX($AC$8:$AC$1407,$AG632)+1))</f>
        <v/>
      </c>
      <c r="P632" s="109" t="str">
        <f>IF($AG632="","",INDEX($AD$8:$AD$1407,$AG632))</f>
        <v/>
      </c>
      <c r="Q632" s="92" t="str">
        <f>IF($AG632="","",INDEX($AM$8:$AM$21,INDEX($AC$8:$AC$1407,$AG632)+1))</f>
        <v/>
      </c>
      <c r="R632" s="92" t="str">
        <f>IF($AG632="","",IF($G632&gt;0,P_ToelCorrectie&amp;"",""))</f>
        <v/>
      </c>
      <c r="S632" s="15" t="str">
        <f>IF(J632="","",J632&amp;"|"&amp;E632&amp;"|"&amp;F632&amp;"|"&amp;I632&amp;"|"&amp;O632)</f>
        <v/>
      </c>
      <c r="T632" s="111" t="str">
        <f>IF(S632="","",IF(COUNTIFS(L_Sleutel,S632,L_Actief,1)=0,"",SUMIFS(L_Waarde,L_Sleutel,S632,L_Actief,1)))</f>
        <v/>
      </c>
      <c r="U632" s="111">
        <f>IF(OR(S632="",T632=""),0,P632-T632)</f>
        <v>0</v>
      </c>
      <c r="AB632" s="112" t="n">
        <v>45</v>
      </c>
      <c r="AC632" s="112" t="n">
        <v>8</v>
      </c>
      <c r="AD632" s="112" t="str">
        <f>VERW_Project!BQ50</f>
        <v/>
      </c>
      <c r="AE632" s="112">
        <f>IF(AND(VERW_Project!$A50&lt;&gt;"",ISNUMBER(AD632)),1,0)</f>
        <v>0</v>
      </c>
      <c r="AF632" s="112" t="str">
        <f>IF(AE632=1,SUM($AE$8:AE632),"")</f>
        <v/>
      </c>
      <c r="AG632" t="str">
        <f>IFERROR(MATCH(625,$AF$8:$AF$1407,0),"")</f>
        <v/>
      </c>
    </row>
    <row r="633">
      <c r="A633" s="92" t="str">
        <f>IF($AG633="","",P_ImportID)</f>
        <v/>
      </c>
      <c r="B633" s="92" t="str">
        <f>IF($AG633="","",IF(INDEX($AN$8:$AN$21,INDEX($AC$8:$AC$1407,$AG633)+1)="Z",P_BronZ,P_BronE))</f>
        <v/>
      </c>
      <c r="C633" s="108" t="str">
        <f>IF($AG633="","",P_Importdatum)</f>
        <v/>
      </c>
      <c r="D633" s="92" t="str">
        <f>IF($AG633="","",P_StatusVastleg)</f>
        <v/>
      </c>
      <c r="E633" s="92" t="str">
        <f>IF($AG633="","",P_UploadVJ)</f>
        <v/>
      </c>
      <c r="F633" s="92" t="str">
        <f>IF($AG633="","",P_UploadVersie)</f>
        <v/>
      </c>
      <c r="G633" s="92" t="str">
        <f>IF($AG633="","",IF(COUNTIFS(L_Sleutel,$S633,L_Status,"Vastgesteld")=0,0,_xlfn.MAXIFS(L_Revisie,L_Sleutel,$S633,L_Status,"Vastgesteld")+1))</f>
        <v/>
      </c>
      <c r="H633" s="108" t="str">
        <f>IF($AG633="","",P_Peildatum)</f>
        <v/>
      </c>
      <c r="I633" s="92" t="str">
        <f>IF($AG633="","",P_RJ+INDEX($AK$8:$AK$21,INDEX($AC$8:$AC$1407,$AG633)+1))</f>
        <v/>
      </c>
      <c r="J633" s="92" t="str">
        <f>IF($AG633="","",INDEX(V_WBS,INDEX($AB$8:$AB$1407,$AG633)))</f>
        <v/>
      </c>
      <c r="K633" s="92" t="str">
        <f>IF($AG633="","",INDEX(V_Projdef,INDEX($AB$8:$AB$1407,$AG633)))</f>
        <v/>
      </c>
      <c r="L633" s="92" t="str">
        <f>IF($AG633="","",INDEX(V_Naam,INDEX($AB$8:$AB$1407,$AG633)))</f>
        <v/>
      </c>
      <c r="M633" s="92" t="str">
        <f>IF($AG633="","",INDEX(V_Type,INDEX($AB$8:$AB$1407,$AG633)))</f>
        <v/>
      </c>
      <c r="N633" s="92" t="str">
        <f>IF($AG633="","",INDEX(V_IFRS,INDEX($AB$8:$AB$1407,$AG633)))</f>
        <v/>
      </c>
      <c r="O633" s="92" t="str">
        <f>IF($AG633="","",INDEX($AL$8:$AL$21,INDEX($AC$8:$AC$1407,$AG633)+1))</f>
        <v/>
      </c>
      <c r="P633" s="109" t="str">
        <f>IF($AG633="","",INDEX($AD$8:$AD$1407,$AG633))</f>
        <v/>
      </c>
      <c r="Q633" s="92" t="str">
        <f>IF($AG633="","",INDEX($AM$8:$AM$21,INDEX($AC$8:$AC$1407,$AG633)+1))</f>
        <v/>
      </c>
      <c r="R633" s="92" t="str">
        <f>IF($AG633="","",IF($G633&gt;0,P_ToelCorrectie&amp;"",""))</f>
        <v/>
      </c>
      <c r="S633" s="15" t="str">
        <f>IF(J633="","",J633&amp;"|"&amp;E633&amp;"|"&amp;F633&amp;"|"&amp;I633&amp;"|"&amp;O633)</f>
        <v/>
      </c>
      <c r="T633" s="111" t="str">
        <f>IF(S633="","",IF(COUNTIFS(L_Sleutel,S633,L_Actief,1)=0,"",SUMIFS(L_Waarde,L_Sleutel,S633,L_Actief,1)))</f>
        <v/>
      </c>
      <c r="U633" s="111">
        <f>IF(OR(S633="",T633=""),0,P633-T633)</f>
        <v>0</v>
      </c>
      <c r="AB633" s="112" t="n">
        <v>45</v>
      </c>
      <c r="AC633" s="112" t="n">
        <v>9</v>
      </c>
      <c r="AD633" s="112" t="str">
        <f>VERW_Project!BR50</f>
        <v/>
      </c>
      <c r="AE633" s="112">
        <f>IF(AND(VERW_Project!$A50&lt;&gt;"",ISNUMBER(AD633)),1,0)</f>
        <v>0</v>
      </c>
      <c r="AF633" s="112" t="str">
        <f>IF(AE633=1,SUM($AE$8:AE633),"")</f>
        <v/>
      </c>
      <c r="AG633" t="str">
        <f>IFERROR(MATCH(626,$AF$8:$AF$1407,0),"")</f>
        <v/>
      </c>
    </row>
    <row r="634">
      <c r="A634" s="92" t="str">
        <f>IF($AG634="","",P_ImportID)</f>
        <v/>
      </c>
      <c r="B634" s="92" t="str">
        <f>IF($AG634="","",IF(INDEX($AN$8:$AN$21,INDEX($AC$8:$AC$1407,$AG634)+1)="Z",P_BronZ,P_BronE))</f>
        <v/>
      </c>
      <c r="C634" s="108" t="str">
        <f>IF($AG634="","",P_Importdatum)</f>
        <v/>
      </c>
      <c r="D634" s="92" t="str">
        <f>IF($AG634="","",P_StatusVastleg)</f>
        <v/>
      </c>
      <c r="E634" s="92" t="str">
        <f>IF($AG634="","",P_UploadVJ)</f>
        <v/>
      </c>
      <c r="F634" s="92" t="str">
        <f>IF($AG634="","",P_UploadVersie)</f>
        <v/>
      </c>
      <c r="G634" s="92" t="str">
        <f>IF($AG634="","",IF(COUNTIFS(L_Sleutel,$S634,L_Status,"Vastgesteld")=0,0,_xlfn.MAXIFS(L_Revisie,L_Sleutel,$S634,L_Status,"Vastgesteld")+1))</f>
        <v/>
      </c>
      <c r="H634" s="108" t="str">
        <f>IF($AG634="","",P_Peildatum)</f>
        <v/>
      </c>
      <c r="I634" s="92" t="str">
        <f>IF($AG634="","",P_RJ+INDEX($AK$8:$AK$21,INDEX($AC$8:$AC$1407,$AG634)+1))</f>
        <v/>
      </c>
      <c r="J634" s="92" t="str">
        <f>IF($AG634="","",INDEX(V_WBS,INDEX($AB$8:$AB$1407,$AG634)))</f>
        <v/>
      </c>
      <c r="K634" s="92" t="str">
        <f>IF($AG634="","",INDEX(V_Projdef,INDEX($AB$8:$AB$1407,$AG634)))</f>
        <v/>
      </c>
      <c r="L634" s="92" t="str">
        <f>IF($AG634="","",INDEX(V_Naam,INDEX($AB$8:$AB$1407,$AG634)))</f>
        <v/>
      </c>
      <c r="M634" s="92" t="str">
        <f>IF($AG634="","",INDEX(V_Type,INDEX($AB$8:$AB$1407,$AG634)))</f>
        <v/>
      </c>
      <c r="N634" s="92" t="str">
        <f>IF($AG634="","",INDEX(V_IFRS,INDEX($AB$8:$AB$1407,$AG634)))</f>
        <v/>
      </c>
      <c r="O634" s="92" t="str">
        <f>IF($AG634="","",INDEX($AL$8:$AL$21,INDEX($AC$8:$AC$1407,$AG634)+1))</f>
        <v/>
      </c>
      <c r="P634" s="109" t="str">
        <f>IF($AG634="","",INDEX($AD$8:$AD$1407,$AG634))</f>
        <v/>
      </c>
      <c r="Q634" s="92" t="str">
        <f>IF($AG634="","",INDEX($AM$8:$AM$21,INDEX($AC$8:$AC$1407,$AG634)+1))</f>
        <v/>
      </c>
      <c r="R634" s="92" t="str">
        <f>IF($AG634="","",IF($G634&gt;0,P_ToelCorrectie&amp;"",""))</f>
        <v/>
      </c>
      <c r="S634" s="15" t="str">
        <f>IF(J634="","",J634&amp;"|"&amp;E634&amp;"|"&amp;F634&amp;"|"&amp;I634&amp;"|"&amp;O634)</f>
        <v/>
      </c>
      <c r="T634" s="111" t="str">
        <f>IF(S634="","",IF(COUNTIFS(L_Sleutel,S634,L_Actief,1)=0,"",SUMIFS(L_Waarde,L_Sleutel,S634,L_Actief,1)))</f>
        <v/>
      </c>
      <c r="U634" s="111">
        <f>IF(OR(S634="",T634=""),0,P634-T634)</f>
        <v>0</v>
      </c>
      <c r="AB634" s="112" t="n">
        <v>45</v>
      </c>
      <c r="AC634" s="112" t="n">
        <v>10</v>
      </c>
      <c r="AD634" s="112" t="str">
        <f>VERW_Project!BS50</f>
        <v/>
      </c>
      <c r="AE634" s="112">
        <f>IF(AND(VERW_Project!$A50&lt;&gt;"",ISNUMBER(AD634)),1,0)</f>
        <v>0</v>
      </c>
      <c r="AF634" s="112" t="str">
        <f>IF(AE634=1,SUM($AE$8:AE634),"")</f>
        <v/>
      </c>
      <c r="AG634" t="str">
        <f>IFERROR(MATCH(627,$AF$8:$AF$1407,0),"")</f>
        <v/>
      </c>
    </row>
    <row r="635">
      <c r="A635" s="92" t="str">
        <f>IF($AG635="","",P_ImportID)</f>
        <v/>
      </c>
      <c r="B635" s="92" t="str">
        <f>IF($AG635="","",IF(INDEX($AN$8:$AN$21,INDEX($AC$8:$AC$1407,$AG635)+1)="Z",P_BronZ,P_BronE))</f>
        <v/>
      </c>
      <c r="C635" s="108" t="str">
        <f>IF($AG635="","",P_Importdatum)</f>
        <v/>
      </c>
      <c r="D635" s="92" t="str">
        <f>IF($AG635="","",P_StatusVastleg)</f>
        <v/>
      </c>
      <c r="E635" s="92" t="str">
        <f>IF($AG635="","",P_UploadVJ)</f>
        <v/>
      </c>
      <c r="F635" s="92" t="str">
        <f>IF($AG635="","",P_UploadVersie)</f>
        <v/>
      </c>
      <c r="G635" s="92" t="str">
        <f>IF($AG635="","",IF(COUNTIFS(L_Sleutel,$S635,L_Status,"Vastgesteld")=0,0,_xlfn.MAXIFS(L_Revisie,L_Sleutel,$S635,L_Status,"Vastgesteld")+1))</f>
        <v/>
      </c>
      <c r="H635" s="108" t="str">
        <f>IF($AG635="","",P_Peildatum)</f>
        <v/>
      </c>
      <c r="I635" s="92" t="str">
        <f>IF($AG635="","",P_RJ+INDEX($AK$8:$AK$21,INDEX($AC$8:$AC$1407,$AG635)+1))</f>
        <v/>
      </c>
      <c r="J635" s="92" t="str">
        <f>IF($AG635="","",INDEX(V_WBS,INDEX($AB$8:$AB$1407,$AG635)))</f>
        <v/>
      </c>
      <c r="K635" s="92" t="str">
        <f>IF($AG635="","",INDEX(V_Projdef,INDEX($AB$8:$AB$1407,$AG635)))</f>
        <v/>
      </c>
      <c r="L635" s="92" t="str">
        <f>IF($AG635="","",INDEX(V_Naam,INDEX($AB$8:$AB$1407,$AG635)))</f>
        <v/>
      </c>
      <c r="M635" s="92" t="str">
        <f>IF($AG635="","",INDEX(V_Type,INDEX($AB$8:$AB$1407,$AG635)))</f>
        <v/>
      </c>
      <c r="N635" s="92" t="str">
        <f>IF($AG635="","",INDEX(V_IFRS,INDEX($AB$8:$AB$1407,$AG635)))</f>
        <v/>
      </c>
      <c r="O635" s="92" t="str">
        <f>IF($AG635="","",INDEX($AL$8:$AL$21,INDEX($AC$8:$AC$1407,$AG635)+1))</f>
        <v/>
      </c>
      <c r="P635" s="109" t="str">
        <f>IF($AG635="","",INDEX($AD$8:$AD$1407,$AG635))</f>
        <v/>
      </c>
      <c r="Q635" s="92" t="str">
        <f>IF($AG635="","",INDEX($AM$8:$AM$21,INDEX($AC$8:$AC$1407,$AG635)+1))</f>
        <v/>
      </c>
      <c r="R635" s="92" t="str">
        <f>IF($AG635="","",IF($G635&gt;0,P_ToelCorrectie&amp;"",""))</f>
        <v/>
      </c>
      <c r="S635" s="15" t="str">
        <f>IF(J635="","",J635&amp;"|"&amp;E635&amp;"|"&amp;F635&amp;"|"&amp;I635&amp;"|"&amp;O635)</f>
        <v/>
      </c>
      <c r="T635" s="111" t="str">
        <f>IF(S635="","",IF(COUNTIFS(L_Sleutel,S635,L_Actief,1)=0,"",SUMIFS(L_Waarde,L_Sleutel,S635,L_Actief,1)))</f>
        <v/>
      </c>
      <c r="U635" s="111">
        <f>IF(OR(S635="",T635=""),0,P635-T635)</f>
        <v>0</v>
      </c>
      <c r="AB635" s="112" t="n">
        <v>45</v>
      </c>
      <c r="AC635" s="112" t="n">
        <v>11</v>
      </c>
      <c r="AD635" s="112" t="str">
        <f>VERW_Project!BT50</f>
        <v/>
      </c>
      <c r="AE635" s="112">
        <f>IF(AND(VERW_Project!$A50&lt;&gt;"",ISNUMBER(AD635)),1,0)</f>
        <v>0</v>
      </c>
      <c r="AF635" s="112" t="str">
        <f>IF(AE635=1,SUM($AE$8:AE635),"")</f>
        <v/>
      </c>
      <c r="AG635" t="str">
        <f>IFERROR(MATCH(628,$AF$8:$AF$1407,0),"")</f>
        <v/>
      </c>
    </row>
    <row r="636">
      <c r="A636" s="92" t="str">
        <f>IF($AG636="","",P_ImportID)</f>
        <v/>
      </c>
      <c r="B636" s="92" t="str">
        <f>IF($AG636="","",IF(INDEX($AN$8:$AN$21,INDEX($AC$8:$AC$1407,$AG636)+1)="Z",P_BronZ,P_BronE))</f>
        <v/>
      </c>
      <c r="C636" s="108" t="str">
        <f>IF($AG636="","",P_Importdatum)</f>
        <v/>
      </c>
      <c r="D636" s="92" t="str">
        <f>IF($AG636="","",P_StatusVastleg)</f>
        <v/>
      </c>
      <c r="E636" s="92" t="str">
        <f>IF($AG636="","",P_UploadVJ)</f>
        <v/>
      </c>
      <c r="F636" s="92" t="str">
        <f>IF($AG636="","",P_UploadVersie)</f>
        <v/>
      </c>
      <c r="G636" s="92" t="str">
        <f>IF($AG636="","",IF(COUNTIFS(L_Sleutel,$S636,L_Status,"Vastgesteld")=0,0,_xlfn.MAXIFS(L_Revisie,L_Sleutel,$S636,L_Status,"Vastgesteld")+1))</f>
        <v/>
      </c>
      <c r="H636" s="108" t="str">
        <f>IF($AG636="","",P_Peildatum)</f>
        <v/>
      </c>
      <c r="I636" s="92" t="str">
        <f>IF($AG636="","",P_RJ+INDEX($AK$8:$AK$21,INDEX($AC$8:$AC$1407,$AG636)+1))</f>
        <v/>
      </c>
      <c r="J636" s="92" t="str">
        <f>IF($AG636="","",INDEX(V_WBS,INDEX($AB$8:$AB$1407,$AG636)))</f>
        <v/>
      </c>
      <c r="K636" s="92" t="str">
        <f>IF($AG636="","",INDEX(V_Projdef,INDEX($AB$8:$AB$1407,$AG636)))</f>
        <v/>
      </c>
      <c r="L636" s="92" t="str">
        <f>IF($AG636="","",INDEX(V_Naam,INDEX($AB$8:$AB$1407,$AG636)))</f>
        <v/>
      </c>
      <c r="M636" s="92" t="str">
        <f>IF($AG636="","",INDEX(V_Type,INDEX($AB$8:$AB$1407,$AG636)))</f>
        <v/>
      </c>
      <c r="N636" s="92" t="str">
        <f>IF($AG636="","",INDEX(V_IFRS,INDEX($AB$8:$AB$1407,$AG636)))</f>
        <v/>
      </c>
      <c r="O636" s="92" t="str">
        <f>IF($AG636="","",INDEX($AL$8:$AL$21,INDEX($AC$8:$AC$1407,$AG636)+1))</f>
        <v/>
      </c>
      <c r="P636" s="109" t="str">
        <f>IF($AG636="","",INDEX($AD$8:$AD$1407,$AG636))</f>
        <v/>
      </c>
      <c r="Q636" s="92" t="str">
        <f>IF($AG636="","",INDEX($AM$8:$AM$21,INDEX($AC$8:$AC$1407,$AG636)+1))</f>
        <v/>
      </c>
      <c r="R636" s="92" t="str">
        <f>IF($AG636="","",IF($G636&gt;0,P_ToelCorrectie&amp;"",""))</f>
        <v/>
      </c>
      <c r="S636" s="15" t="str">
        <f>IF(J636="","",J636&amp;"|"&amp;E636&amp;"|"&amp;F636&amp;"|"&amp;I636&amp;"|"&amp;O636)</f>
        <v/>
      </c>
      <c r="T636" s="111" t="str">
        <f>IF(S636="","",IF(COUNTIFS(L_Sleutel,S636,L_Actief,1)=0,"",SUMIFS(L_Waarde,L_Sleutel,S636,L_Actief,1)))</f>
        <v/>
      </c>
      <c r="U636" s="111">
        <f>IF(OR(S636="",T636=""),0,P636-T636)</f>
        <v>0</v>
      </c>
      <c r="AB636" s="112" t="n">
        <v>45</v>
      </c>
      <c r="AC636" s="112" t="n">
        <v>12</v>
      </c>
      <c r="AD636" s="112" t="str">
        <f>VERW_Project!BU50</f>
        <v/>
      </c>
      <c r="AE636" s="112">
        <f>IF(AND(VERW_Project!$A50&lt;&gt;"",ISNUMBER(AD636)),1,0)</f>
        <v>0</v>
      </c>
      <c r="AF636" s="112" t="str">
        <f>IF(AE636=1,SUM($AE$8:AE636),"")</f>
        <v/>
      </c>
      <c r="AG636" t="str">
        <f>IFERROR(MATCH(629,$AF$8:$AF$1407,0),"")</f>
        <v/>
      </c>
    </row>
    <row r="637">
      <c r="A637" s="92" t="str">
        <f>IF($AG637="","",P_ImportID)</f>
        <v/>
      </c>
      <c r="B637" s="92" t="str">
        <f>IF($AG637="","",IF(INDEX($AN$8:$AN$21,INDEX($AC$8:$AC$1407,$AG637)+1)="Z",P_BronZ,P_BronE))</f>
        <v/>
      </c>
      <c r="C637" s="108" t="str">
        <f>IF($AG637="","",P_Importdatum)</f>
        <v/>
      </c>
      <c r="D637" s="92" t="str">
        <f>IF($AG637="","",P_StatusVastleg)</f>
        <v/>
      </c>
      <c r="E637" s="92" t="str">
        <f>IF($AG637="","",P_UploadVJ)</f>
        <v/>
      </c>
      <c r="F637" s="92" t="str">
        <f>IF($AG637="","",P_UploadVersie)</f>
        <v/>
      </c>
      <c r="G637" s="92" t="str">
        <f>IF($AG637="","",IF(COUNTIFS(L_Sleutel,$S637,L_Status,"Vastgesteld")=0,0,_xlfn.MAXIFS(L_Revisie,L_Sleutel,$S637,L_Status,"Vastgesteld")+1))</f>
        <v/>
      </c>
      <c r="H637" s="108" t="str">
        <f>IF($AG637="","",P_Peildatum)</f>
        <v/>
      </c>
      <c r="I637" s="92" t="str">
        <f>IF($AG637="","",P_RJ+INDEX($AK$8:$AK$21,INDEX($AC$8:$AC$1407,$AG637)+1))</f>
        <v/>
      </c>
      <c r="J637" s="92" t="str">
        <f>IF($AG637="","",INDEX(V_WBS,INDEX($AB$8:$AB$1407,$AG637)))</f>
        <v/>
      </c>
      <c r="K637" s="92" t="str">
        <f>IF($AG637="","",INDEX(V_Projdef,INDEX($AB$8:$AB$1407,$AG637)))</f>
        <v/>
      </c>
      <c r="L637" s="92" t="str">
        <f>IF($AG637="","",INDEX(V_Naam,INDEX($AB$8:$AB$1407,$AG637)))</f>
        <v/>
      </c>
      <c r="M637" s="92" t="str">
        <f>IF($AG637="","",INDEX(V_Type,INDEX($AB$8:$AB$1407,$AG637)))</f>
        <v/>
      </c>
      <c r="N637" s="92" t="str">
        <f>IF($AG637="","",INDEX(V_IFRS,INDEX($AB$8:$AB$1407,$AG637)))</f>
        <v/>
      </c>
      <c r="O637" s="92" t="str">
        <f>IF($AG637="","",INDEX($AL$8:$AL$21,INDEX($AC$8:$AC$1407,$AG637)+1))</f>
        <v/>
      </c>
      <c r="P637" s="109" t="str">
        <f>IF($AG637="","",INDEX($AD$8:$AD$1407,$AG637))</f>
        <v/>
      </c>
      <c r="Q637" s="92" t="str">
        <f>IF($AG637="","",INDEX($AM$8:$AM$21,INDEX($AC$8:$AC$1407,$AG637)+1))</f>
        <v/>
      </c>
      <c r="R637" s="92" t="str">
        <f>IF($AG637="","",IF($G637&gt;0,P_ToelCorrectie&amp;"",""))</f>
        <v/>
      </c>
      <c r="S637" s="15" t="str">
        <f>IF(J637="","",J637&amp;"|"&amp;E637&amp;"|"&amp;F637&amp;"|"&amp;I637&amp;"|"&amp;O637)</f>
        <v/>
      </c>
      <c r="T637" s="111" t="str">
        <f>IF(S637="","",IF(COUNTIFS(L_Sleutel,S637,L_Actief,1)=0,"",SUMIFS(L_Waarde,L_Sleutel,S637,L_Actief,1)))</f>
        <v/>
      </c>
      <c r="U637" s="111">
        <f>IF(OR(S637="",T637=""),0,P637-T637)</f>
        <v>0</v>
      </c>
      <c r="AB637" s="112" t="n">
        <v>45</v>
      </c>
      <c r="AC637" s="112" t="n">
        <v>13</v>
      </c>
      <c r="AD637" s="112" t="str">
        <f>VERW_Project!BX50</f>
        <v/>
      </c>
      <c r="AE637" s="112">
        <f>IF(AND(VERW_Project!$A50&lt;&gt;"",ISNUMBER(AD637)),1,0)</f>
        <v>0</v>
      </c>
      <c r="AF637" s="112" t="str">
        <f>IF(AE637=1,SUM($AE$8:AE637),"")</f>
        <v/>
      </c>
      <c r="AG637" t="str">
        <f>IFERROR(MATCH(630,$AF$8:$AF$1407,0),"")</f>
        <v/>
      </c>
    </row>
    <row r="638">
      <c r="A638" s="92" t="str">
        <f>IF($AG638="","",P_ImportID)</f>
        <v/>
      </c>
      <c r="B638" s="92" t="str">
        <f>IF($AG638="","",IF(INDEX($AN$8:$AN$21,INDEX($AC$8:$AC$1407,$AG638)+1)="Z",P_BronZ,P_BronE))</f>
        <v/>
      </c>
      <c r="C638" s="108" t="str">
        <f>IF($AG638="","",P_Importdatum)</f>
        <v/>
      </c>
      <c r="D638" s="92" t="str">
        <f>IF($AG638="","",P_StatusVastleg)</f>
        <v/>
      </c>
      <c r="E638" s="92" t="str">
        <f>IF($AG638="","",P_UploadVJ)</f>
        <v/>
      </c>
      <c r="F638" s="92" t="str">
        <f>IF($AG638="","",P_UploadVersie)</f>
        <v/>
      </c>
      <c r="G638" s="92" t="str">
        <f>IF($AG638="","",IF(COUNTIFS(L_Sleutel,$S638,L_Status,"Vastgesteld")=0,0,_xlfn.MAXIFS(L_Revisie,L_Sleutel,$S638,L_Status,"Vastgesteld")+1))</f>
        <v/>
      </c>
      <c r="H638" s="108" t="str">
        <f>IF($AG638="","",P_Peildatum)</f>
        <v/>
      </c>
      <c r="I638" s="92" t="str">
        <f>IF($AG638="","",P_RJ+INDEX($AK$8:$AK$21,INDEX($AC$8:$AC$1407,$AG638)+1))</f>
        <v/>
      </c>
      <c r="J638" s="92" t="str">
        <f>IF($AG638="","",INDEX(V_WBS,INDEX($AB$8:$AB$1407,$AG638)))</f>
        <v/>
      </c>
      <c r="K638" s="92" t="str">
        <f>IF($AG638="","",INDEX(V_Projdef,INDEX($AB$8:$AB$1407,$AG638)))</f>
        <v/>
      </c>
      <c r="L638" s="92" t="str">
        <f>IF($AG638="","",INDEX(V_Naam,INDEX($AB$8:$AB$1407,$AG638)))</f>
        <v/>
      </c>
      <c r="M638" s="92" t="str">
        <f>IF($AG638="","",INDEX(V_Type,INDEX($AB$8:$AB$1407,$AG638)))</f>
        <v/>
      </c>
      <c r="N638" s="92" t="str">
        <f>IF($AG638="","",INDEX(V_IFRS,INDEX($AB$8:$AB$1407,$AG638)))</f>
        <v/>
      </c>
      <c r="O638" s="92" t="str">
        <f>IF($AG638="","",INDEX($AL$8:$AL$21,INDEX($AC$8:$AC$1407,$AG638)+1))</f>
        <v/>
      </c>
      <c r="P638" s="109" t="str">
        <f>IF($AG638="","",INDEX($AD$8:$AD$1407,$AG638))</f>
        <v/>
      </c>
      <c r="Q638" s="92" t="str">
        <f>IF($AG638="","",INDEX($AM$8:$AM$21,INDEX($AC$8:$AC$1407,$AG638)+1))</f>
        <v/>
      </c>
      <c r="R638" s="92" t="str">
        <f>IF($AG638="","",IF($G638&gt;0,P_ToelCorrectie&amp;"",""))</f>
        <v/>
      </c>
      <c r="S638" s="15" t="str">
        <f>IF(J638="","",J638&amp;"|"&amp;E638&amp;"|"&amp;F638&amp;"|"&amp;I638&amp;"|"&amp;O638)</f>
        <v/>
      </c>
      <c r="T638" s="111" t="str">
        <f>IF(S638="","",IF(COUNTIFS(L_Sleutel,S638,L_Actief,1)=0,"",SUMIFS(L_Waarde,L_Sleutel,S638,L_Actief,1)))</f>
        <v/>
      </c>
      <c r="U638" s="111">
        <f>IF(OR(S638="",T638=""),0,P638-T638)</f>
        <v>0</v>
      </c>
      <c r="AB638" s="112" t="n">
        <v>46</v>
      </c>
      <c r="AC638" s="112" t="n">
        <v>0</v>
      </c>
      <c r="AD638" s="112" t="str">
        <f>VERW_Project!P51</f>
        <v/>
      </c>
      <c r="AE638" s="112">
        <f>IF(AND(VERW_Project!$A51&lt;&gt;"",ISNUMBER(AD638)),1,0)</f>
        <v>0</v>
      </c>
      <c r="AF638" s="112" t="str">
        <f>IF(AE638=1,SUM($AE$8:AE638),"")</f>
        <v/>
      </c>
      <c r="AG638" t="str">
        <f>IFERROR(MATCH(631,$AF$8:$AF$1407,0),"")</f>
        <v/>
      </c>
    </row>
    <row r="639">
      <c r="A639" s="92" t="str">
        <f>IF($AG639="","",P_ImportID)</f>
        <v/>
      </c>
      <c r="B639" s="92" t="str">
        <f>IF($AG639="","",IF(INDEX($AN$8:$AN$21,INDEX($AC$8:$AC$1407,$AG639)+1)="Z",P_BronZ,P_BronE))</f>
        <v/>
      </c>
      <c r="C639" s="108" t="str">
        <f>IF($AG639="","",P_Importdatum)</f>
        <v/>
      </c>
      <c r="D639" s="92" t="str">
        <f>IF($AG639="","",P_StatusVastleg)</f>
        <v/>
      </c>
      <c r="E639" s="92" t="str">
        <f>IF($AG639="","",P_UploadVJ)</f>
        <v/>
      </c>
      <c r="F639" s="92" t="str">
        <f>IF($AG639="","",P_UploadVersie)</f>
        <v/>
      </c>
      <c r="G639" s="92" t="str">
        <f>IF($AG639="","",IF(COUNTIFS(L_Sleutel,$S639,L_Status,"Vastgesteld")=0,0,_xlfn.MAXIFS(L_Revisie,L_Sleutel,$S639,L_Status,"Vastgesteld")+1))</f>
        <v/>
      </c>
      <c r="H639" s="108" t="str">
        <f>IF($AG639="","",P_Peildatum)</f>
        <v/>
      </c>
      <c r="I639" s="92" t="str">
        <f>IF($AG639="","",P_RJ+INDEX($AK$8:$AK$21,INDEX($AC$8:$AC$1407,$AG639)+1))</f>
        <v/>
      </c>
      <c r="J639" s="92" t="str">
        <f>IF($AG639="","",INDEX(V_WBS,INDEX($AB$8:$AB$1407,$AG639)))</f>
        <v/>
      </c>
      <c r="K639" s="92" t="str">
        <f>IF($AG639="","",INDEX(V_Projdef,INDEX($AB$8:$AB$1407,$AG639)))</f>
        <v/>
      </c>
      <c r="L639" s="92" t="str">
        <f>IF($AG639="","",INDEX(V_Naam,INDEX($AB$8:$AB$1407,$AG639)))</f>
        <v/>
      </c>
      <c r="M639" s="92" t="str">
        <f>IF($AG639="","",INDEX(V_Type,INDEX($AB$8:$AB$1407,$AG639)))</f>
        <v/>
      </c>
      <c r="N639" s="92" t="str">
        <f>IF($AG639="","",INDEX(V_IFRS,INDEX($AB$8:$AB$1407,$AG639)))</f>
        <v/>
      </c>
      <c r="O639" s="92" t="str">
        <f>IF($AG639="","",INDEX($AL$8:$AL$21,INDEX($AC$8:$AC$1407,$AG639)+1))</f>
        <v/>
      </c>
      <c r="P639" s="109" t="str">
        <f>IF($AG639="","",INDEX($AD$8:$AD$1407,$AG639))</f>
        <v/>
      </c>
      <c r="Q639" s="92" t="str">
        <f>IF($AG639="","",INDEX($AM$8:$AM$21,INDEX($AC$8:$AC$1407,$AG639)+1))</f>
        <v/>
      </c>
      <c r="R639" s="92" t="str">
        <f>IF($AG639="","",IF($G639&gt;0,P_ToelCorrectie&amp;"",""))</f>
        <v/>
      </c>
      <c r="S639" s="15" t="str">
        <f>IF(J639="","",J639&amp;"|"&amp;E639&amp;"|"&amp;F639&amp;"|"&amp;I639&amp;"|"&amp;O639)</f>
        <v/>
      </c>
      <c r="T639" s="111" t="str">
        <f>IF(S639="","",IF(COUNTIFS(L_Sleutel,S639,L_Actief,1)=0,"",SUMIFS(L_Waarde,L_Sleutel,S639,L_Actief,1)))</f>
        <v/>
      </c>
      <c r="U639" s="111">
        <f>IF(OR(S639="",T639=""),0,P639-T639)</f>
        <v>0</v>
      </c>
      <c r="AB639" s="112" t="n">
        <v>46</v>
      </c>
      <c r="AC639" s="112" t="n">
        <v>1</v>
      </c>
      <c r="AD639" s="112" t="str">
        <f>VERW_Project!Q51</f>
        <v/>
      </c>
      <c r="AE639" s="112">
        <f>IF(AND(VERW_Project!$A51&lt;&gt;"",ISNUMBER(AD639)),1,0)</f>
        <v>0</v>
      </c>
      <c r="AF639" s="112" t="str">
        <f>IF(AE639=1,SUM($AE$8:AE639),"")</f>
        <v/>
      </c>
      <c r="AG639" t="str">
        <f>IFERROR(MATCH(632,$AF$8:$AF$1407,0),"")</f>
        <v/>
      </c>
    </row>
    <row r="640">
      <c r="A640" s="92" t="str">
        <f>IF($AG640="","",P_ImportID)</f>
        <v/>
      </c>
      <c r="B640" s="92" t="str">
        <f>IF($AG640="","",IF(INDEX($AN$8:$AN$21,INDEX($AC$8:$AC$1407,$AG640)+1)="Z",P_BronZ,P_BronE))</f>
        <v/>
      </c>
      <c r="C640" s="108" t="str">
        <f>IF($AG640="","",P_Importdatum)</f>
        <v/>
      </c>
      <c r="D640" s="92" t="str">
        <f>IF($AG640="","",P_StatusVastleg)</f>
        <v/>
      </c>
      <c r="E640" s="92" t="str">
        <f>IF($AG640="","",P_UploadVJ)</f>
        <v/>
      </c>
      <c r="F640" s="92" t="str">
        <f>IF($AG640="","",P_UploadVersie)</f>
        <v/>
      </c>
      <c r="G640" s="92" t="str">
        <f>IF($AG640="","",IF(COUNTIFS(L_Sleutel,$S640,L_Status,"Vastgesteld")=0,0,_xlfn.MAXIFS(L_Revisie,L_Sleutel,$S640,L_Status,"Vastgesteld")+1))</f>
        <v/>
      </c>
      <c r="H640" s="108" t="str">
        <f>IF($AG640="","",P_Peildatum)</f>
        <v/>
      </c>
      <c r="I640" s="92" t="str">
        <f>IF($AG640="","",P_RJ+INDEX($AK$8:$AK$21,INDEX($AC$8:$AC$1407,$AG640)+1))</f>
        <v/>
      </c>
      <c r="J640" s="92" t="str">
        <f>IF($AG640="","",INDEX(V_WBS,INDEX($AB$8:$AB$1407,$AG640)))</f>
        <v/>
      </c>
      <c r="K640" s="92" t="str">
        <f>IF($AG640="","",INDEX(V_Projdef,INDEX($AB$8:$AB$1407,$AG640)))</f>
        <v/>
      </c>
      <c r="L640" s="92" t="str">
        <f>IF($AG640="","",INDEX(V_Naam,INDEX($AB$8:$AB$1407,$AG640)))</f>
        <v/>
      </c>
      <c r="M640" s="92" t="str">
        <f>IF($AG640="","",INDEX(V_Type,INDEX($AB$8:$AB$1407,$AG640)))</f>
        <v/>
      </c>
      <c r="N640" s="92" t="str">
        <f>IF($AG640="","",INDEX(V_IFRS,INDEX($AB$8:$AB$1407,$AG640)))</f>
        <v/>
      </c>
      <c r="O640" s="92" t="str">
        <f>IF($AG640="","",INDEX($AL$8:$AL$21,INDEX($AC$8:$AC$1407,$AG640)+1))</f>
        <v/>
      </c>
      <c r="P640" s="109" t="str">
        <f>IF($AG640="","",INDEX($AD$8:$AD$1407,$AG640))</f>
        <v/>
      </c>
      <c r="Q640" s="92" t="str">
        <f>IF($AG640="","",INDEX($AM$8:$AM$21,INDEX($AC$8:$AC$1407,$AG640)+1))</f>
        <v/>
      </c>
      <c r="R640" s="92" t="str">
        <f>IF($AG640="","",IF($G640&gt;0,P_ToelCorrectie&amp;"",""))</f>
        <v/>
      </c>
      <c r="S640" s="15" t="str">
        <f>IF(J640="","",J640&amp;"|"&amp;E640&amp;"|"&amp;F640&amp;"|"&amp;I640&amp;"|"&amp;O640)</f>
        <v/>
      </c>
      <c r="T640" s="111" t="str">
        <f>IF(S640="","",IF(COUNTIFS(L_Sleutel,S640,L_Actief,1)=0,"",SUMIFS(L_Waarde,L_Sleutel,S640,L_Actief,1)))</f>
        <v/>
      </c>
      <c r="U640" s="111">
        <f>IF(OR(S640="",T640=""),0,P640-T640)</f>
        <v>0</v>
      </c>
      <c r="AB640" s="112" t="n">
        <v>46</v>
      </c>
      <c r="AC640" s="112" t="n">
        <v>2</v>
      </c>
      <c r="AD640" s="112" t="str">
        <f>VERW_Project!L51</f>
        <v/>
      </c>
      <c r="AE640" s="112">
        <f>IF(AND(VERW_Project!$A51&lt;&gt;"",ISNUMBER(AD640)),1,0)</f>
        <v>0</v>
      </c>
      <c r="AF640" s="112" t="str">
        <f>IF(AE640=1,SUM($AE$8:AE640),"")</f>
        <v/>
      </c>
      <c r="AG640" t="str">
        <f>IFERROR(MATCH(633,$AF$8:$AF$1407,0),"")</f>
        <v/>
      </c>
    </row>
    <row r="641">
      <c r="A641" s="92" t="str">
        <f>IF($AG641="","",P_ImportID)</f>
        <v/>
      </c>
      <c r="B641" s="92" t="str">
        <f>IF($AG641="","",IF(INDEX($AN$8:$AN$21,INDEX($AC$8:$AC$1407,$AG641)+1)="Z",P_BronZ,P_BronE))</f>
        <v/>
      </c>
      <c r="C641" s="108" t="str">
        <f>IF($AG641="","",P_Importdatum)</f>
        <v/>
      </c>
      <c r="D641" s="92" t="str">
        <f>IF($AG641="","",P_StatusVastleg)</f>
        <v/>
      </c>
      <c r="E641" s="92" t="str">
        <f>IF($AG641="","",P_UploadVJ)</f>
        <v/>
      </c>
      <c r="F641" s="92" t="str">
        <f>IF($AG641="","",P_UploadVersie)</f>
        <v/>
      </c>
      <c r="G641" s="92" t="str">
        <f>IF($AG641="","",IF(COUNTIFS(L_Sleutel,$S641,L_Status,"Vastgesteld")=0,0,_xlfn.MAXIFS(L_Revisie,L_Sleutel,$S641,L_Status,"Vastgesteld")+1))</f>
        <v/>
      </c>
      <c r="H641" s="108" t="str">
        <f>IF($AG641="","",P_Peildatum)</f>
        <v/>
      </c>
      <c r="I641" s="92" t="str">
        <f>IF($AG641="","",P_RJ+INDEX($AK$8:$AK$21,INDEX($AC$8:$AC$1407,$AG641)+1))</f>
        <v/>
      </c>
      <c r="J641" s="92" t="str">
        <f>IF($AG641="","",INDEX(V_WBS,INDEX($AB$8:$AB$1407,$AG641)))</f>
        <v/>
      </c>
      <c r="K641" s="92" t="str">
        <f>IF($AG641="","",INDEX(V_Projdef,INDEX($AB$8:$AB$1407,$AG641)))</f>
        <v/>
      </c>
      <c r="L641" s="92" t="str">
        <f>IF($AG641="","",INDEX(V_Naam,INDEX($AB$8:$AB$1407,$AG641)))</f>
        <v/>
      </c>
      <c r="M641" s="92" t="str">
        <f>IF($AG641="","",INDEX(V_Type,INDEX($AB$8:$AB$1407,$AG641)))</f>
        <v/>
      </c>
      <c r="N641" s="92" t="str">
        <f>IF($AG641="","",INDEX(V_IFRS,INDEX($AB$8:$AB$1407,$AG641)))</f>
        <v/>
      </c>
      <c r="O641" s="92" t="str">
        <f>IF($AG641="","",INDEX($AL$8:$AL$21,INDEX($AC$8:$AC$1407,$AG641)+1))</f>
        <v/>
      </c>
      <c r="P641" s="109" t="str">
        <f>IF($AG641="","",INDEX($AD$8:$AD$1407,$AG641))</f>
        <v/>
      </c>
      <c r="Q641" s="92" t="str">
        <f>IF($AG641="","",INDEX($AM$8:$AM$21,INDEX($AC$8:$AC$1407,$AG641)+1))</f>
        <v/>
      </c>
      <c r="R641" s="92" t="str">
        <f>IF($AG641="","",IF($G641&gt;0,P_ToelCorrectie&amp;"",""))</f>
        <v/>
      </c>
      <c r="S641" s="15" t="str">
        <f>IF(J641="","",J641&amp;"|"&amp;E641&amp;"|"&amp;F641&amp;"|"&amp;I641&amp;"|"&amp;O641)</f>
        <v/>
      </c>
      <c r="T641" s="111" t="str">
        <f>IF(S641="","",IF(COUNTIFS(L_Sleutel,S641,L_Actief,1)=0,"",SUMIFS(L_Waarde,L_Sleutel,S641,L_Actief,1)))</f>
        <v/>
      </c>
      <c r="U641" s="111">
        <f>IF(OR(S641="",T641=""),0,P641-T641)</f>
        <v>0</v>
      </c>
      <c r="AB641" s="112" t="n">
        <v>46</v>
      </c>
      <c r="AC641" s="112" t="n">
        <v>3</v>
      </c>
      <c r="AD641" s="112" t="str">
        <f>VERW_Project!M51</f>
        <v/>
      </c>
      <c r="AE641" s="112">
        <f>IF(AND(VERW_Project!$A51&lt;&gt;"",ISNUMBER(AD641)),1,0)</f>
        <v>0</v>
      </c>
      <c r="AF641" s="112" t="str">
        <f>IF(AE641=1,SUM($AE$8:AE641),"")</f>
        <v/>
      </c>
      <c r="AG641" t="str">
        <f>IFERROR(MATCH(634,$AF$8:$AF$1407,0),"")</f>
        <v/>
      </c>
    </row>
    <row r="642">
      <c r="A642" s="92" t="str">
        <f>IF($AG642="","",P_ImportID)</f>
        <v/>
      </c>
      <c r="B642" s="92" t="str">
        <f>IF($AG642="","",IF(INDEX($AN$8:$AN$21,INDEX($AC$8:$AC$1407,$AG642)+1)="Z",P_BronZ,P_BronE))</f>
        <v/>
      </c>
      <c r="C642" s="108" t="str">
        <f>IF($AG642="","",P_Importdatum)</f>
        <v/>
      </c>
      <c r="D642" s="92" t="str">
        <f>IF($AG642="","",P_StatusVastleg)</f>
        <v/>
      </c>
      <c r="E642" s="92" t="str">
        <f>IF($AG642="","",P_UploadVJ)</f>
        <v/>
      </c>
      <c r="F642" s="92" t="str">
        <f>IF($AG642="","",P_UploadVersie)</f>
        <v/>
      </c>
      <c r="G642" s="92" t="str">
        <f>IF($AG642="","",IF(COUNTIFS(L_Sleutel,$S642,L_Status,"Vastgesteld")=0,0,_xlfn.MAXIFS(L_Revisie,L_Sleutel,$S642,L_Status,"Vastgesteld")+1))</f>
        <v/>
      </c>
      <c r="H642" s="108" t="str">
        <f>IF($AG642="","",P_Peildatum)</f>
        <v/>
      </c>
      <c r="I642" s="92" t="str">
        <f>IF($AG642="","",P_RJ+INDEX($AK$8:$AK$21,INDEX($AC$8:$AC$1407,$AG642)+1))</f>
        <v/>
      </c>
      <c r="J642" s="92" t="str">
        <f>IF($AG642="","",INDEX(V_WBS,INDEX($AB$8:$AB$1407,$AG642)))</f>
        <v/>
      </c>
      <c r="K642" s="92" t="str">
        <f>IF($AG642="","",INDEX(V_Projdef,INDEX($AB$8:$AB$1407,$AG642)))</f>
        <v/>
      </c>
      <c r="L642" s="92" t="str">
        <f>IF($AG642="","",INDEX(V_Naam,INDEX($AB$8:$AB$1407,$AG642)))</f>
        <v/>
      </c>
      <c r="M642" s="92" t="str">
        <f>IF($AG642="","",INDEX(V_Type,INDEX($AB$8:$AB$1407,$AG642)))</f>
        <v/>
      </c>
      <c r="N642" s="92" t="str">
        <f>IF($AG642="","",INDEX(V_IFRS,INDEX($AB$8:$AB$1407,$AG642)))</f>
        <v/>
      </c>
      <c r="O642" s="92" t="str">
        <f>IF($AG642="","",INDEX($AL$8:$AL$21,INDEX($AC$8:$AC$1407,$AG642)+1))</f>
        <v/>
      </c>
      <c r="P642" s="109" t="str">
        <f>IF($AG642="","",INDEX($AD$8:$AD$1407,$AG642))</f>
        <v/>
      </c>
      <c r="Q642" s="92" t="str">
        <f>IF($AG642="","",INDEX($AM$8:$AM$21,INDEX($AC$8:$AC$1407,$AG642)+1))</f>
        <v/>
      </c>
      <c r="R642" s="92" t="str">
        <f>IF($AG642="","",IF($G642&gt;0,P_ToelCorrectie&amp;"",""))</f>
        <v/>
      </c>
      <c r="S642" s="15" t="str">
        <f>IF(J642="","",J642&amp;"|"&amp;E642&amp;"|"&amp;F642&amp;"|"&amp;I642&amp;"|"&amp;O642)</f>
        <v/>
      </c>
      <c r="T642" s="111" t="str">
        <f>IF(S642="","",IF(COUNTIFS(L_Sleutel,S642,L_Actief,1)=0,"",SUMIFS(L_Waarde,L_Sleutel,S642,L_Actief,1)))</f>
        <v/>
      </c>
      <c r="U642" s="111">
        <f>IF(OR(S642="",T642=""),0,P642-T642)</f>
        <v>0</v>
      </c>
      <c r="AB642" s="112" t="n">
        <v>46</v>
      </c>
      <c r="AC642" s="112" t="n">
        <v>4</v>
      </c>
      <c r="AD642" s="112" t="str">
        <f>VERW_Project!R51</f>
        <v/>
      </c>
      <c r="AE642" s="112">
        <f>IF(AND(VERW_Project!$A51&lt;&gt;"",ISNUMBER(AD642)),1,0)</f>
        <v>0</v>
      </c>
      <c r="AF642" s="112" t="str">
        <f>IF(AE642=1,SUM($AE$8:AE642),"")</f>
        <v/>
      </c>
      <c r="AG642" t="str">
        <f>IFERROR(MATCH(635,$AF$8:$AF$1407,0),"")</f>
        <v/>
      </c>
    </row>
    <row r="643">
      <c r="A643" s="92" t="str">
        <f>IF($AG643="","",P_ImportID)</f>
        <v/>
      </c>
      <c r="B643" s="92" t="str">
        <f>IF($AG643="","",IF(INDEX($AN$8:$AN$21,INDEX($AC$8:$AC$1407,$AG643)+1)="Z",P_BronZ,P_BronE))</f>
        <v/>
      </c>
      <c r="C643" s="108" t="str">
        <f>IF($AG643="","",P_Importdatum)</f>
        <v/>
      </c>
      <c r="D643" s="92" t="str">
        <f>IF($AG643="","",P_StatusVastleg)</f>
        <v/>
      </c>
      <c r="E643" s="92" t="str">
        <f>IF($AG643="","",P_UploadVJ)</f>
        <v/>
      </c>
      <c r="F643" s="92" t="str">
        <f>IF($AG643="","",P_UploadVersie)</f>
        <v/>
      </c>
      <c r="G643" s="92" t="str">
        <f>IF($AG643="","",IF(COUNTIFS(L_Sleutel,$S643,L_Status,"Vastgesteld")=0,0,_xlfn.MAXIFS(L_Revisie,L_Sleutel,$S643,L_Status,"Vastgesteld")+1))</f>
        <v/>
      </c>
      <c r="H643" s="108" t="str">
        <f>IF($AG643="","",P_Peildatum)</f>
        <v/>
      </c>
      <c r="I643" s="92" t="str">
        <f>IF($AG643="","",P_RJ+INDEX($AK$8:$AK$21,INDEX($AC$8:$AC$1407,$AG643)+1))</f>
        <v/>
      </c>
      <c r="J643" s="92" t="str">
        <f>IF($AG643="","",INDEX(V_WBS,INDEX($AB$8:$AB$1407,$AG643)))</f>
        <v/>
      </c>
      <c r="K643" s="92" t="str">
        <f>IF($AG643="","",INDEX(V_Projdef,INDEX($AB$8:$AB$1407,$AG643)))</f>
        <v/>
      </c>
      <c r="L643" s="92" t="str">
        <f>IF($AG643="","",INDEX(V_Naam,INDEX($AB$8:$AB$1407,$AG643)))</f>
        <v/>
      </c>
      <c r="M643" s="92" t="str">
        <f>IF($AG643="","",INDEX(V_Type,INDEX($AB$8:$AB$1407,$AG643)))</f>
        <v/>
      </c>
      <c r="N643" s="92" t="str">
        <f>IF($AG643="","",INDEX(V_IFRS,INDEX($AB$8:$AB$1407,$AG643)))</f>
        <v/>
      </c>
      <c r="O643" s="92" t="str">
        <f>IF($AG643="","",INDEX($AL$8:$AL$21,INDEX($AC$8:$AC$1407,$AG643)+1))</f>
        <v/>
      </c>
      <c r="P643" s="109" t="str">
        <f>IF($AG643="","",INDEX($AD$8:$AD$1407,$AG643))</f>
        <v/>
      </c>
      <c r="Q643" s="92" t="str">
        <f>IF($AG643="","",INDEX($AM$8:$AM$21,INDEX($AC$8:$AC$1407,$AG643)+1))</f>
        <v/>
      </c>
      <c r="R643" s="92" t="str">
        <f>IF($AG643="","",IF($G643&gt;0,P_ToelCorrectie&amp;"",""))</f>
        <v/>
      </c>
      <c r="S643" s="15" t="str">
        <f>IF(J643="","",J643&amp;"|"&amp;E643&amp;"|"&amp;F643&amp;"|"&amp;I643&amp;"|"&amp;O643)</f>
        <v/>
      </c>
      <c r="T643" s="111" t="str">
        <f>IF(S643="","",IF(COUNTIFS(L_Sleutel,S643,L_Actief,1)=0,"",SUMIFS(L_Waarde,L_Sleutel,S643,L_Actief,1)))</f>
        <v/>
      </c>
      <c r="U643" s="111">
        <f>IF(OR(S643="",T643=""),0,P643-T643)</f>
        <v>0</v>
      </c>
      <c r="AB643" s="112" t="n">
        <v>46</v>
      </c>
      <c r="AC643" s="112" t="n">
        <v>5</v>
      </c>
      <c r="AD643" s="112" t="str">
        <f>VERW_Project!S51</f>
        <v/>
      </c>
      <c r="AE643" s="112">
        <f>IF(AND(VERW_Project!$A51&lt;&gt;"",ISNUMBER(AD643)),1,0)</f>
        <v>0</v>
      </c>
      <c r="AF643" s="112" t="str">
        <f>IF(AE643=1,SUM($AE$8:AE643),"")</f>
        <v/>
      </c>
      <c r="AG643" t="str">
        <f>IFERROR(MATCH(636,$AF$8:$AF$1407,0),"")</f>
        <v/>
      </c>
    </row>
    <row r="644">
      <c r="A644" s="92" t="str">
        <f>IF($AG644="","",P_ImportID)</f>
        <v/>
      </c>
      <c r="B644" s="92" t="str">
        <f>IF($AG644="","",IF(INDEX($AN$8:$AN$21,INDEX($AC$8:$AC$1407,$AG644)+1)="Z",P_BronZ,P_BronE))</f>
        <v/>
      </c>
      <c r="C644" s="108" t="str">
        <f>IF($AG644="","",P_Importdatum)</f>
        <v/>
      </c>
      <c r="D644" s="92" t="str">
        <f>IF($AG644="","",P_StatusVastleg)</f>
        <v/>
      </c>
      <c r="E644" s="92" t="str">
        <f>IF($AG644="","",P_UploadVJ)</f>
        <v/>
      </c>
      <c r="F644" s="92" t="str">
        <f>IF($AG644="","",P_UploadVersie)</f>
        <v/>
      </c>
      <c r="G644" s="92" t="str">
        <f>IF($AG644="","",IF(COUNTIFS(L_Sleutel,$S644,L_Status,"Vastgesteld")=0,0,_xlfn.MAXIFS(L_Revisie,L_Sleutel,$S644,L_Status,"Vastgesteld")+1))</f>
        <v/>
      </c>
      <c r="H644" s="108" t="str">
        <f>IF($AG644="","",P_Peildatum)</f>
        <v/>
      </c>
      <c r="I644" s="92" t="str">
        <f>IF($AG644="","",P_RJ+INDEX($AK$8:$AK$21,INDEX($AC$8:$AC$1407,$AG644)+1))</f>
        <v/>
      </c>
      <c r="J644" s="92" t="str">
        <f>IF($AG644="","",INDEX(V_WBS,INDEX($AB$8:$AB$1407,$AG644)))</f>
        <v/>
      </c>
      <c r="K644" s="92" t="str">
        <f>IF($AG644="","",INDEX(V_Projdef,INDEX($AB$8:$AB$1407,$AG644)))</f>
        <v/>
      </c>
      <c r="L644" s="92" t="str">
        <f>IF($AG644="","",INDEX(V_Naam,INDEX($AB$8:$AB$1407,$AG644)))</f>
        <v/>
      </c>
      <c r="M644" s="92" t="str">
        <f>IF($AG644="","",INDEX(V_Type,INDEX($AB$8:$AB$1407,$AG644)))</f>
        <v/>
      </c>
      <c r="N644" s="92" t="str">
        <f>IF($AG644="","",INDEX(V_IFRS,INDEX($AB$8:$AB$1407,$AG644)))</f>
        <v/>
      </c>
      <c r="O644" s="92" t="str">
        <f>IF($AG644="","",INDEX($AL$8:$AL$21,INDEX($AC$8:$AC$1407,$AG644)+1))</f>
        <v/>
      </c>
      <c r="P644" s="109" t="str">
        <f>IF($AG644="","",INDEX($AD$8:$AD$1407,$AG644))</f>
        <v/>
      </c>
      <c r="Q644" s="92" t="str">
        <f>IF($AG644="","",INDEX($AM$8:$AM$21,INDEX($AC$8:$AC$1407,$AG644)+1))</f>
        <v/>
      </c>
      <c r="R644" s="92" t="str">
        <f>IF($AG644="","",IF($G644&gt;0,P_ToelCorrectie&amp;"",""))</f>
        <v/>
      </c>
      <c r="S644" s="15" t="str">
        <f>IF(J644="","",J644&amp;"|"&amp;E644&amp;"|"&amp;F644&amp;"|"&amp;I644&amp;"|"&amp;O644)</f>
        <v/>
      </c>
      <c r="T644" s="111" t="str">
        <f>IF(S644="","",IF(COUNTIFS(L_Sleutel,S644,L_Actief,1)=0,"",SUMIFS(L_Waarde,L_Sleutel,S644,L_Actief,1)))</f>
        <v/>
      </c>
      <c r="U644" s="111">
        <f>IF(OR(S644="",T644=""),0,P644-T644)</f>
        <v>0</v>
      </c>
      <c r="AB644" s="112" t="n">
        <v>46</v>
      </c>
      <c r="AC644" s="112" t="n">
        <v>6</v>
      </c>
      <c r="AD644" s="112" t="str">
        <f>VERW_Project!BW51</f>
        <v/>
      </c>
      <c r="AE644" s="112">
        <f>IF(AND(VERW_Project!$A51&lt;&gt;"",ISNUMBER(AD644)),1,0)</f>
        <v>0</v>
      </c>
      <c r="AF644" s="112" t="str">
        <f>IF(AE644=1,SUM($AE$8:AE644),"")</f>
        <v/>
      </c>
      <c r="AG644" t="str">
        <f>IFERROR(MATCH(637,$AF$8:$AF$1407,0),"")</f>
        <v/>
      </c>
    </row>
    <row r="645">
      <c r="A645" s="92" t="str">
        <f>IF($AG645="","",P_ImportID)</f>
        <v/>
      </c>
      <c r="B645" s="92" t="str">
        <f>IF($AG645="","",IF(INDEX($AN$8:$AN$21,INDEX($AC$8:$AC$1407,$AG645)+1)="Z",P_BronZ,P_BronE))</f>
        <v/>
      </c>
      <c r="C645" s="108" t="str">
        <f>IF($AG645="","",P_Importdatum)</f>
        <v/>
      </c>
      <c r="D645" s="92" t="str">
        <f>IF($AG645="","",P_StatusVastleg)</f>
        <v/>
      </c>
      <c r="E645" s="92" t="str">
        <f>IF($AG645="","",P_UploadVJ)</f>
        <v/>
      </c>
      <c r="F645" s="92" t="str">
        <f>IF($AG645="","",P_UploadVersie)</f>
        <v/>
      </c>
      <c r="G645" s="92" t="str">
        <f>IF($AG645="","",IF(COUNTIFS(L_Sleutel,$S645,L_Status,"Vastgesteld")=0,0,_xlfn.MAXIFS(L_Revisie,L_Sleutel,$S645,L_Status,"Vastgesteld")+1))</f>
        <v/>
      </c>
      <c r="H645" s="108" t="str">
        <f>IF($AG645="","",P_Peildatum)</f>
        <v/>
      </c>
      <c r="I645" s="92" t="str">
        <f>IF($AG645="","",P_RJ+INDEX($AK$8:$AK$21,INDEX($AC$8:$AC$1407,$AG645)+1))</f>
        <v/>
      </c>
      <c r="J645" s="92" t="str">
        <f>IF($AG645="","",INDEX(V_WBS,INDEX($AB$8:$AB$1407,$AG645)))</f>
        <v/>
      </c>
      <c r="K645" s="92" t="str">
        <f>IF($AG645="","",INDEX(V_Projdef,INDEX($AB$8:$AB$1407,$AG645)))</f>
        <v/>
      </c>
      <c r="L645" s="92" t="str">
        <f>IF($AG645="","",INDEX(V_Naam,INDEX($AB$8:$AB$1407,$AG645)))</f>
        <v/>
      </c>
      <c r="M645" s="92" t="str">
        <f>IF($AG645="","",INDEX(V_Type,INDEX($AB$8:$AB$1407,$AG645)))</f>
        <v/>
      </c>
      <c r="N645" s="92" t="str">
        <f>IF($AG645="","",INDEX(V_IFRS,INDEX($AB$8:$AB$1407,$AG645)))</f>
        <v/>
      </c>
      <c r="O645" s="92" t="str">
        <f>IF($AG645="","",INDEX($AL$8:$AL$21,INDEX($AC$8:$AC$1407,$AG645)+1))</f>
        <v/>
      </c>
      <c r="P645" s="109" t="str">
        <f>IF($AG645="","",INDEX($AD$8:$AD$1407,$AG645))</f>
        <v/>
      </c>
      <c r="Q645" s="92" t="str">
        <f>IF($AG645="","",INDEX($AM$8:$AM$21,INDEX($AC$8:$AC$1407,$AG645)+1))</f>
        <v/>
      </c>
      <c r="R645" s="92" t="str">
        <f>IF($AG645="","",IF($G645&gt;0,P_ToelCorrectie&amp;"",""))</f>
        <v/>
      </c>
      <c r="S645" s="15" t="str">
        <f>IF(J645="","",J645&amp;"|"&amp;E645&amp;"|"&amp;F645&amp;"|"&amp;I645&amp;"|"&amp;O645)</f>
        <v/>
      </c>
      <c r="T645" s="111" t="str">
        <f>IF(S645="","",IF(COUNTIFS(L_Sleutel,S645,L_Actief,1)=0,"",SUMIFS(L_Waarde,L_Sleutel,S645,L_Actief,1)))</f>
        <v/>
      </c>
      <c r="U645" s="111">
        <f>IF(OR(S645="",T645=""),0,P645-T645)</f>
        <v>0</v>
      </c>
      <c r="AB645" s="112" t="n">
        <v>46</v>
      </c>
      <c r="AC645" s="112" t="n">
        <v>7</v>
      </c>
      <c r="AD645" s="112" t="str">
        <f>VERW_Project!AW51</f>
        <v/>
      </c>
      <c r="AE645" s="112">
        <f>IF(AND(VERW_Project!$A51&lt;&gt;"",ISNUMBER(AD645)),1,0)</f>
        <v>0</v>
      </c>
      <c r="AF645" s="112" t="str">
        <f>IF(AE645=1,SUM($AE$8:AE645),"")</f>
        <v/>
      </c>
      <c r="AG645" t="str">
        <f>IFERROR(MATCH(638,$AF$8:$AF$1407,0),"")</f>
        <v/>
      </c>
    </row>
    <row r="646">
      <c r="A646" s="92" t="str">
        <f>IF($AG646="","",P_ImportID)</f>
        <v/>
      </c>
      <c r="B646" s="92" t="str">
        <f>IF($AG646="","",IF(INDEX($AN$8:$AN$21,INDEX($AC$8:$AC$1407,$AG646)+1)="Z",P_BronZ,P_BronE))</f>
        <v/>
      </c>
      <c r="C646" s="108" t="str">
        <f>IF($AG646="","",P_Importdatum)</f>
        <v/>
      </c>
      <c r="D646" s="92" t="str">
        <f>IF($AG646="","",P_StatusVastleg)</f>
        <v/>
      </c>
      <c r="E646" s="92" t="str">
        <f>IF($AG646="","",P_UploadVJ)</f>
        <v/>
      </c>
      <c r="F646" s="92" t="str">
        <f>IF($AG646="","",P_UploadVersie)</f>
        <v/>
      </c>
      <c r="G646" s="92" t="str">
        <f>IF($AG646="","",IF(COUNTIFS(L_Sleutel,$S646,L_Status,"Vastgesteld")=0,0,_xlfn.MAXIFS(L_Revisie,L_Sleutel,$S646,L_Status,"Vastgesteld")+1))</f>
        <v/>
      </c>
      <c r="H646" s="108" t="str">
        <f>IF($AG646="","",P_Peildatum)</f>
        <v/>
      </c>
      <c r="I646" s="92" t="str">
        <f>IF($AG646="","",P_RJ+INDEX($AK$8:$AK$21,INDEX($AC$8:$AC$1407,$AG646)+1))</f>
        <v/>
      </c>
      <c r="J646" s="92" t="str">
        <f>IF($AG646="","",INDEX(V_WBS,INDEX($AB$8:$AB$1407,$AG646)))</f>
        <v/>
      </c>
      <c r="K646" s="92" t="str">
        <f>IF($AG646="","",INDEX(V_Projdef,INDEX($AB$8:$AB$1407,$AG646)))</f>
        <v/>
      </c>
      <c r="L646" s="92" t="str">
        <f>IF($AG646="","",INDEX(V_Naam,INDEX($AB$8:$AB$1407,$AG646)))</f>
        <v/>
      </c>
      <c r="M646" s="92" t="str">
        <f>IF($AG646="","",INDEX(V_Type,INDEX($AB$8:$AB$1407,$AG646)))</f>
        <v/>
      </c>
      <c r="N646" s="92" t="str">
        <f>IF($AG646="","",INDEX(V_IFRS,INDEX($AB$8:$AB$1407,$AG646)))</f>
        <v/>
      </c>
      <c r="O646" s="92" t="str">
        <f>IF($AG646="","",INDEX($AL$8:$AL$21,INDEX($AC$8:$AC$1407,$AG646)+1))</f>
        <v/>
      </c>
      <c r="P646" s="109" t="str">
        <f>IF($AG646="","",INDEX($AD$8:$AD$1407,$AG646))</f>
        <v/>
      </c>
      <c r="Q646" s="92" t="str">
        <f>IF($AG646="","",INDEX($AM$8:$AM$21,INDEX($AC$8:$AC$1407,$AG646)+1))</f>
        <v/>
      </c>
      <c r="R646" s="92" t="str">
        <f>IF($AG646="","",IF($G646&gt;0,P_ToelCorrectie&amp;"",""))</f>
        <v/>
      </c>
      <c r="S646" s="15" t="str">
        <f>IF(J646="","",J646&amp;"|"&amp;E646&amp;"|"&amp;F646&amp;"|"&amp;I646&amp;"|"&amp;O646)</f>
        <v/>
      </c>
      <c r="T646" s="111" t="str">
        <f>IF(S646="","",IF(COUNTIFS(L_Sleutel,S646,L_Actief,1)=0,"",SUMIFS(L_Waarde,L_Sleutel,S646,L_Actief,1)))</f>
        <v/>
      </c>
      <c r="U646" s="111">
        <f>IF(OR(S646="",T646=""),0,P646-T646)</f>
        <v>0</v>
      </c>
      <c r="AB646" s="112" t="n">
        <v>46</v>
      </c>
      <c r="AC646" s="112" t="n">
        <v>8</v>
      </c>
      <c r="AD646" s="112" t="str">
        <f>VERW_Project!BQ51</f>
        <v/>
      </c>
      <c r="AE646" s="112">
        <f>IF(AND(VERW_Project!$A51&lt;&gt;"",ISNUMBER(AD646)),1,0)</f>
        <v>0</v>
      </c>
      <c r="AF646" s="112" t="str">
        <f>IF(AE646=1,SUM($AE$8:AE646),"")</f>
        <v/>
      </c>
      <c r="AG646" t="str">
        <f>IFERROR(MATCH(639,$AF$8:$AF$1407,0),"")</f>
        <v/>
      </c>
    </row>
    <row r="647">
      <c r="A647" s="92" t="str">
        <f>IF($AG647="","",P_ImportID)</f>
        <v/>
      </c>
      <c r="B647" s="92" t="str">
        <f>IF($AG647="","",IF(INDEX($AN$8:$AN$21,INDEX($AC$8:$AC$1407,$AG647)+1)="Z",P_BronZ,P_BronE))</f>
        <v/>
      </c>
      <c r="C647" s="108" t="str">
        <f>IF($AG647="","",P_Importdatum)</f>
        <v/>
      </c>
      <c r="D647" s="92" t="str">
        <f>IF($AG647="","",P_StatusVastleg)</f>
        <v/>
      </c>
      <c r="E647" s="92" t="str">
        <f>IF($AG647="","",P_UploadVJ)</f>
        <v/>
      </c>
      <c r="F647" s="92" t="str">
        <f>IF($AG647="","",P_UploadVersie)</f>
        <v/>
      </c>
      <c r="G647" s="92" t="str">
        <f>IF($AG647="","",IF(COUNTIFS(L_Sleutel,$S647,L_Status,"Vastgesteld")=0,0,_xlfn.MAXIFS(L_Revisie,L_Sleutel,$S647,L_Status,"Vastgesteld")+1))</f>
        <v/>
      </c>
      <c r="H647" s="108" t="str">
        <f>IF($AG647="","",P_Peildatum)</f>
        <v/>
      </c>
      <c r="I647" s="92" t="str">
        <f>IF($AG647="","",P_RJ+INDEX($AK$8:$AK$21,INDEX($AC$8:$AC$1407,$AG647)+1))</f>
        <v/>
      </c>
      <c r="J647" s="92" t="str">
        <f>IF($AG647="","",INDEX(V_WBS,INDEX($AB$8:$AB$1407,$AG647)))</f>
        <v/>
      </c>
      <c r="K647" s="92" t="str">
        <f>IF($AG647="","",INDEX(V_Projdef,INDEX($AB$8:$AB$1407,$AG647)))</f>
        <v/>
      </c>
      <c r="L647" s="92" t="str">
        <f>IF($AG647="","",INDEX(V_Naam,INDEX($AB$8:$AB$1407,$AG647)))</f>
        <v/>
      </c>
      <c r="M647" s="92" t="str">
        <f>IF($AG647="","",INDEX(V_Type,INDEX($AB$8:$AB$1407,$AG647)))</f>
        <v/>
      </c>
      <c r="N647" s="92" t="str">
        <f>IF($AG647="","",INDEX(V_IFRS,INDEX($AB$8:$AB$1407,$AG647)))</f>
        <v/>
      </c>
      <c r="O647" s="92" t="str">
        <f>IF($AG647="","",INDEX($AL$8:$AL$21,INDEX($AC$8:$AC$1407,$AG647)+1))</f>
        <v/>
      </c>
      <c r="P647" s="109" t="str">
        <f>IF($AG647="","",INDEX($AD$8:$AD$1407,$AG647))</f>
        <v/>
      </c>
      <c r="Q647" s="92" t="str">
        <f>IF($AG647="","",INDEX($AM$8:$AM$21,INDEX($AC$8:$AC$1407,$AG647)+1))</f>
        <v/>
      </c>
      <c r="R647" s="92" t="str">
        <f>IF($AG647="","",IF($G647&gt;0,P_ToelCorrectie&amp;"",""))</f>
        <v/>
      </c>
      <c r="S647" s="15" t="str">
        <f>IF(J647="","",J647&amp;"|"&amp;E647&amp;"|"&amp;F647&amp;"|"&amp;I647&amp;"|"&amp;O647)</f>
        <v/>
      </c>
      <c r="T647" s="111" t="str">
        <f>IF(S647="","",IF(COUNTIFS(L_Sleutel,S647,L_Actief,1)=0,"",SUMIFS(L_Waarde,L_Sleutel,S647,L_Actief,1)))</f>
        <v/>
      </c>
      <c r="U647" s="111">
        <f>IF(OR(S647="",T647=""),0,P647-T647)</f>
        <v>0</v>
      </c>
      <c r="AB647" s="112" t="n">
        <v>46</v>
      </c>
      <c r="AC647" s="112" t="n">
        <v>9</v>
      </c>
      <c r="AD647" s="112" t="str">
        <f>VERW_Project!BR51</f>
        <v/>
      </c>
      <c r="AE647" s="112">
        <f>IF(AND(VERW_Project!$A51&lt;&gt;"",ISNUMBER(AD647)),1,0)</f>
        <v>0</v>
      </c>
      <c r="AF647" s="112" t="str">
        <f>IF(AE647=1,SUM($AE$8:AE647),"")</f>
        <v/>
      </c>
      <c r="AG647" t="str">
        <f>IFERROR(MATCH(640,$AF$8:$AF$1407,0),"")</f>
        <v/>
      </c>
    </row>
    <row r="648">
      <c r="A648" s="92" t="str">
        <f>IF($AG648="","",P_ImportID)</f>
        <v/>
      </c>
      <c r="B648" s="92" t="str">
        <f>IF($AG648="","",IF(INDEX($AN$8:$AN$21,INDEX($AC$8:$AC$1407,$AG648)+1)="Z",P_BronZ,P_BronE))</f>
        <v/>
      </c>
      <c r="C648" s="108" t="str">
        <f>IF($AG648="","",P_Importdatum)</f>
        <v/>
      </c>
      <c r="D648" s="92" t="str">
        <f>IF($AG648="","",P_StatusVastleg)</f>
        <v/>
      </c>
      <c r="E648" s="92" t="str">
        <f>IF($AG648="","",P_UploadVJ)</f>
        <v/>
      </c>
      <c r="F648" s="92" t="str">
        <f>IF($AG648="","",P_UploadVersie)</f>
        <v/>
      </c>
      <c r="G648" s="92" t="str">
        <f>IF($AG648="","",IF(COUNTIFS(L_Sleutel,$S648,L_Status,"Vastgesteld")=0,0,_xlfn.MAXIFS(L_Revisie,L_Sleutel,$S648,L_Status,"Vastgesteld")+1))</f>
        <v/>
      </c>
      <c r="H648" s="108" t="str">
        <f>IF($AG648="","",P_Peildatum)</f>
        <v/>
      </c>
      <c r="I648" s="92" t="str">
        <f>IF($AG648="","",P_RJ+INDEX($AK$8:$AK$21,INDEX($AC$8:$AC$1407,$AG648)+1))</f>
        <v/>
      </c>
      <c r="J648" s="92" t="str">
        <f>IF($AG648="","",INDEX(V_WBS,INDEX($AB$8:$AB$1407,$AG648)))</f>
        <v/>
      </c>
      <c r="K648" s="92" t="str">
        <f>IF($AG648="","",INDEX(V_Projdef,INDEX($AB$8:$AB$1407,$AG648)))</f>
        <v/>
      </c>
      <c r="L648" s="92" t="str">
        <f>IF($AG648="","",INDEX(V_Naam,INDEX($AB$8:$AB$1407,$AG648)))</f>
        <v/>
      </c>
      <c r="M648" s="92" t="str">
        <f>IF($AG648="","",INDEX(V_Type,INDEX($AB$8:$AB$1407,$AG648)))</f>
        <v/>
      </c>
      <c r="N648" s="92" t="str">
        <f>IF($AG648="","",INDEX(V_IFRS,INDEX($AB$8:$AB$1407,$AG648)))</f>
        <v/>
      </c>
      <c r="O648" s="92" t="str">
        <f>IF($AG648="","",INDEX($AL$8:$AL$21,INDEX($AC$8:$AC$1407,$AG648)+1))</f>
        <v/>
      </c>
      <c r="P648" s="109" t="str">
        <f>IF($AG648="","",INDEX($AD$8:$AD$1407,$AG648))</f>
        <v/>
      </c>
      <c r="Q648" s="92" t="str">
        <f>IF($AG648="","",INDEX($AM$8:$AM$21,INDEX($AC$8:$AC$1407,$AG648)+1))</f>
        <v/>
      </c>
      <c r="R648" s="92" t="str">
        <f>IF($AG648="","",IF($G648&gt;0,P_ToelCorrectie&amp;"",""))</f>
        <v/>
      </c>
      <c r="S648" s="15" t="str">
        <f>IF(J648="","",J648&amp;"|"&amp;E648&amp;"|"&amp;F648&amp;"|"&amp;I648&amp;"|"&amp;O648)</f>
        <v/>
      </c>
      <c r="T648" s="111" t="str">
        <f>IF(S648="","",IF(COUNTIFS(L_Sleutel,S648,L_Actief,1)=0,"",SUMIFS(L_Waarde,L_Sleutel,S648,L_Actief,1)))</f>
        <v/>
      </c>
      <c r="U648" s="111">
        <f>IF(OR(S648="",T648=""),0,P648-T648)</f>
        <v>0</v>
      </c>
      <c r="AB648" s="112" t="n">
        <v>46</v>
      </c>
      <c r="AC648" s="112" t="n">
        <v>10</v>
      </c>
      <c r="AD648" s="112" t="str">
        <f>VERW_Project!BS51</f>
        <v/>
      </c>
      <c r="AE648" s="112">
        <f>IF(AND(VERW_Project!$A51&lt;&gt;"",ISNUMBER(AD648)),1,0)</f>
        <v>0</v>
      </c>
      <c r="AF648" s="112" t="str">
        <f>IF(AE648=1,SUM($AE$8:AE648),"")</f>
        <v/>
      </c>
      <c r="AG648" t="str">
        <f>IFERROR(MATCH(641,$AF$8:$AF$1407,0),"")</f>
        <v/>
      </c>
    </row>
    <row r="649">
      <c r="A649" s="92" t="str">
        <f>IF($AG649="","",P_ImportID)</f>
        <v/>
      </c>
      <c r="B649" s="92" t="str">
        <f>IF($AG649="","",IF(INDEX($AN$8:$AN$21,INDEX($AC$8:$AC$1407,$AG649)+1)="Z",P_BronZ,P_BronE))</f>
        <v/>
      </c>
      <c r="C649" s="108" t="str">
        <f>IF($AG649="","",P_Importdatum)</f>
        <v/>
      </c>
      <c r="D649" s="92" t="str">
        <f>IF($AG649="","",P_StatusVastleg)</f>
        <v/>
      </c>
      <c r="E649" s="92" t="str">
        <f>IF($AG649="","",P_UploadVJ)</f>
        <v/>
      </c>
      <c r="F649" s="92" t="str">
        <f>IF($AG649="","",P_UploadVersie)</f>
        <v/>
      </c>
      <c r="G649" s="92" t="str">
        <f>IF($AG649="","",IF(COUNTIFS(L_Sleutel,$S649,L_Status,"Vastgesteld")=0,0,_xlfn.MAXIFS(L_Revisie,L_Sleutel,$S649,L_Status,"Vastgesteld")+1))</f>
        <v/>
      </c>
      <c r="H649" s="108" t="str">
        <f>IF($AG649="","",P_Peildatum)</f>
        <v/>
      </c>
      <c r="I649" s="92" t="str">
        <f>IF($AG649="","",P_RJ+INDEX($AK$8:$AK$21,INDEX($AC$8:$AC$1407,$AG649)+1))</f>
        <v/>
      </c>
      <c r="J649" s="92" t="str">
        <f>IF($AG649="","",INDEX(V_WBS,INDEX($AB$8:$AB$1407,$AG649)))</f>
        <v/>
      </c>
      <c r="K649" s="92" t="str">
        <f>IF($AG649="","",INDEX(V_Projdef,INDEX($AB$8:$AB$1407,$AG649)))</f>
        <v/>
      </c>
      <c r="L649" s="92" t="str">
        <f>IF($AG649="","",INDEX(V_Naam,INDEX($AB$8:$AB$1407,$AG649)))</f>
        <v/>
      </c>
      <c r="M649" s="92" t="str">
        <f>IF($AG649="","",INDEX(V_Type,INDEX($AB$8:$AB$1407,$AG649)))</f>
        <v/>
      </c>
      <c r="N649" s="92" t="str">
        <f>IF($AG649="","",INDEX(V_IFRS,INDEX($AB$8:$AB$1407,$AG649)))</f>
        <v/>
      </c>
      <c r="O649" s="92" t="str">
        <f>IF($AG649="","",INDEX($AL$8:$AL$21,INDEX($AC$8:$AC$1407,$AG649)+1))</f>
        <v/>
      </c>
      <c r="P649" s="109" t="str">
        <f>IF($AG649="","",INDEX($AD$8:$AD$1407,$AG649))</f>
        <v/>
      </c>
      <c r="Q649" s="92" t="str">
        <f>IF($AG649="","",INDEX($AM$8:$AM$21,INDEX($AC$8:$AC$1407,$AG649)+1))</f>
        <v/>
      </c>
      <c r="R649" s="92" t="str">
        <f>IF($AG649="","",IF($G649&gt;0,P_ToelCorrectie&amp;"",""))</f>
        <v/>
      </c>
      <c r="S649" s="15" t="str">
        <f>IF(J649="","",J649&amp;"|"&amp;E649&amp;"|"&amp;F649&amp;"|"&amp;I649&amp;"|"&amp;O649)</f>
        <v/>
      </c>
      <c r="T649" s="111" t="str">
        <f>IF(S649="","",IF(COUNTIFS(L_Sleutel,S649,L_Actief,1)=0,"",SUMIFS(L_Waarde,L_Sleutel,S649,L_Actief,1)))</f>
        <v/>
      </c>
      <c r="U649" s="111">
        <f>IF(OR(S649="",T649=""),0,P649-T649)</f>
        <v>0</v>
      </c>
      <c r="AB649" s="112" t="n">
        <v>46</v>
      </c>
      <c r="AC649" s="112" t="n">
        <v>11</v>
      </c>
      <c r="AD649" s="112" t="str">
        <f>VERW_Project!BT51</f>
        <v/>
      </c>
      <c r="AE649" s="112">
        <f>IF(AND(VERW_Project!$A51&lt;&gt;"",ISNUMBER(AD649)),1,0)</f>
        <v>0</v>
      </c>
      <c r="AF649" s="112" t="str">
        <f>IF(AE649=1,SUM($AE$8:AE649),"")</f>
        <v/>
      </c>
      <c r="AG649" t="str">
        <f>IFERROR(MATCH(642,$AF$8:$AF$1407,0),"")</f>
        <v/>
      </c>
    </row>
    <row r="650">
      <c r="A650" s="92" t="str">
        <f>IF($AG650="","",P_ImportID)</f>
        <v/>
      </c>
      <c r="B650" s="92" t="str">
        <f>IF($AG650="","",IF(INDEX($AN$8:$AN$21,INDEX($AC$8:$AC$1407,$AG650)+1)="Z",P_BronZ,P_BronE))</f>
        <v/>
      </c>
      <c r="C650" s="108" t="str">
        <f>IF($AG650="","",P_Importdatum)</f>
        <v/>
      </c>
      <c r="D650" s="92" t="str">
        <f>IF($AG650="","",P_StatusVastleg)</f>
        <v/>
      </c>
      <c r="E650" s="92" t="str">
        <f>IF($AG650="","",P_UploadVJ)</f>
        <v/>
      </c>
      <c r="F650" s="92" t="str">
        <f>IF($AG650="","",P_UploadVersie)</f>
        <v/>
      </c>
      <c r="G650" s="92" t="str">
        <f>IF($AG650="","",IF(COUNTIFS(L_Sleutel,$S650,L_Status,"Vastgesteld")=0,0,_xlfn.MAXIFS(L_Revisie,L_Sleutel,$S650,L_Status,"Vastgesteld")+1))</f>
        <v/>
      </c>
      <c r="H650" s="108" t="str">
        <f>IF($AG650="","",P_Peildatum)</f>
        <v/>
      </c>
      <c r="I650" s="92" t="str">
        <f>IF($AG650="","",P_RJ+INDEX($AK$8:$AK$21,INDEX($AC$8:$AC$1407,$AG650)+1))</f>
        <v/>
      </c>
      <c r="J650" s="92" t="str">
        <f>IF($AG650="","",INDEX(V_WBS,INDEX($AB$8:$AB$1407,$AG650)))</f>
        <v/>
      </c>
      <c r="K650" s="92" t="str">
        <f>IF($AG650="","",INDEX(V_Projdef,INDEX($AB$8:$AB$1407,$AG650)))</f>
        <v/>
      </c>
      <c r="L650" s="92" t="str">
        <f>IF($AG650="","",INDEX(V_Naam,INDEX($AB$8:$AB$1407,$AG650)))</f>
        <v/>
      </c>
      <c r="M650" s="92" t="str">
        <f>IF($AG650="","",INDEX(V_Type,INDEX($AB$8:$AB$1407,$AG650)))</f>
        <v/>
      </c>
      <c r="N650" s="92" t="str">
        <f>IF($AG650="","",INDEX(V_IFRS,INDEX($AB$8:$AB$1407,$AG650)))</f>
        <v/>
      </c>
      <c r="O650" s="92" t="str">
        <f>IF($AG650="","",INDEX($AL$8:$AL$21,INDEX($AC$8:$AC$1407,$AG650)+1))</f>
        <v/>
      </c>
      <c r="P650" s="109" t="str">
        <f>IF($AG650="","",INDEX($AD$8:$AD$1407,$AG650))</f>
        <v/>
      </c>
      <c r="Q650" s="92" t="str">
        <f>IF($AG650="","",INDEX($AM$8:$AM$21,INDEX($AC$8:$AC$1407,$AG650)+1))</f>
        <v/>
      </c>
      <c r="R650" s="92" t="str">
        <f>IF($AG650="","",IF($G650&gt;0,P_ToelCorrectie&amp;"",""))</f>
        <v/>
      </c>
      <c r="S650" s="15" t="str">
        <f>IF(J650="","",J650&amp;"|"&amp;E650&amp;"|"&amp;F650&amp;"|"&amp;I650&amp;"|"&amp;O650)</f>
        <v/>
      </c>
      <c r="T650" s="111" t="str">
        <f>IF(S650="","",IF(COUNTIFS(L_Sleutel,S650,L_Actief,1)=0,"",SUMIFS(L_Waarde,L_Sleutel,S650,L_Actief,1)))</f>
        <v/>
      </c>
      <c r="U650" s="111">
        <f>IF(OR(S650="",T650=""),0,P650-T650)</f>
        <v>0</v>
      </c>
      <c r="AB650" s="112" t="n">
        <v>46</v>
      </c>
      <c r="AC650" s="112" t="n">
        <v>12</v>
      </c>
      <c r="AD650" s="112" t="str">
        <f>VERW_Project!BU51</f>
        <v/>
      </c>
      <c r="AE650" s="112">
        <f>IF(AND(VERW_Project!$A51&lt;&gt;"",ISNUMBER(AD650)),1,0)</f>
        <v>0</v>
      </c>
      <c r="AF650" s="112" t="str">
        <f>IF(AE650=1,SUM($AE$8:AE650),"")</f>
        <v/>
      </c>
      <c r="AG650" t="str">
        <f>IFERROR(MATCH(643,$AF$8:$AF$1407,0),"")</f>
        <v/>
      </c>
    </row>
    <row r="651">
      <c r="A651" s="92" t="str">
        <f>IF($AG651="","",P_ImportID)</f>
        <v/>
      </c>
      <c r="B651" s="92" t="str">
        <f>IF($AG651="","",IF(INDEX($AN$8:$AN$21,INDEX($AC$8:$AC$1407,$AG651)+1)="Z",P_BronZ,P_BronE))</f>
        <v/>
      </c>
      <c r="C651" s="108" t="str">
        <f>IF($AG651="","",P_Importdatum)</f>
        <v/>
      </c>
      <c r="D651" s="92" t="str">
        <f>IF($AG651="","",P_StatusVastleg)</f>
        <v/>
      </c>
      <c r="E651" s="92" t="str">
        <f>IF($AG651="","",P_UploadVJ)</f>
        <v/>
      </c>
      <c r="F651" s="92" t="str">
        <f>IF($AG651="","",P_UploadVersie)</f>
        <v/>
      </c>
      <c r="G651" s="92" t="str">
        <f>IF($AG651="","",IF(COUNTIFS(L_Sleutel,$S651,L_Status,"Vastgesteld")=0,0,_xlfn.MAXIFS(L_Revisie,L_Sleutel,$S651,L_Status,"Vastgesteld")+1))</f>
        <v/>
      </c>
      <c r="H651" s="108" t="str">
        <f>IF($AG651="","",P_Peildatum)</f>
        <v/>
      </c>
      <c r="I651" s="92" t="str">
        <f>IF($AG651="","",P_RJ+INDEX($AK$8:$AK$21,INDEX($AC$8:$AC$1407,$AG651)+1))</f>
        <v/>
      </c>
      <c r="J651" s="92" t="str">
        <f>IF($AG651="","",INDEX(V_WBS,INDEX($AB$8:$AB$1407,$AG651)))</f>
        <v/>
      </c>
      <c r="K651" s="92" t="str">
        <f>IF($AG651="","",INDEX(V_Projdef,INDEX($AB$8:$AB$1407,$AG651)))</f>
        <v/>
      </c>
      <c r="L651" s="92" t="str">
        <f>IF($AG651="","",INDEX(V_Naam,INDEX($AB$8:$AB$1407,$AG651)))</f>
        <v/>
      </c>
      <c r="M651" s="92" t="str">
        <f>IF($AG651="","",INDEX(V_Type,INDEX($AB$8:$AB$1407,$AG651)))</f>
        <v/>
      </c>
      <c r="N651" s="92" t="str">
        <f>IF($AG651="","",INDEX(V_IFRS,INDEX($AB$8:$AB$1407,$AG651)))</f>
        <v/>
      </c>
      <c r="O651" s="92" t="str">
        <f>IF($AG651="","",INDEX($AL$8:$AL$21,INDEX($AC$8:$AC$1407,$AG651)+1))</f>
        <v/>
      </c>
      <c r="P651" s="109" t="str">
        <f>IF($AG651="","",INDEX($AD$8:$AD$1407,$AG651))</f>
        <v/>
      </c>
      <c r="Q651" s="92" t="str">
        <f>IF($AG651="","",INDEX($AM$8:$AM$21,INDEX($AC$8:$AC$1407,$AG651)+1))</f>
        <v/>
      </c>
      <c r="R651" s="92" t="str">
        <f>IF($AG651="","",IF($G651&gt;0,P_ToelCorrectie&amp;"",""))</f>
        <v/>
      </c>
      <c r="S651" s="15" t="str">
        <f>IF(J651="","",J651&amp;"|"&amp;E651&amp;"|"&amp;F651&amp;"|"&amp;I651&amp;"|"&amp;O651)</f>
        <v/>
      </c>
      <c r="T651" s="111" t="str">
        <f>IF(S651="","",IF(COUNTIFS(L_Sleutel,S651,L_Actief,1)=0,"",SUMIFS(L_Waarde,L_Sleutel,S651,L_Actief,1)))</f>
        <v/>
      </c>
      <c r="U651" s="111">
        <f>IF(OR(S651="",T651=""),0,P651-T651)</f>
        <v>0</v>
      </c>
      <c r="AB651" s="112" t="n">
        <v>46</v>
      </c>
      <c r="AC651" s="112" t="n">
        <v>13</v>
      </c>
      <c r="AD651" s="112" t="str">
        <f>VERW_Project!BX51</f>
        <v/>
      </c>
      <c r="AE651" s="112">
        <f>IF(AND(VERW_Project!$A51&lt;&gt;"",ISNUMBER(AD651)),1,0)</f>
        <v>0</v>
      </c>
      <c r="AF651" s="112" t="str">
        <f>IF(AE651=1,SUM($AE$8:AE651),"")</f>
        <v/>
      </c>
      <c r="AG651" t="str">
        <f>IFERROR(MATCH(644,$AF$8:$AF$1407,0),"")</f>
        <v/>
      </c>
    </row>
    <row r="652">
      <c r="A652" s="92" t="str">
        <f>IF($AG652="","",P_ImportID)</f>
        <v/>
      </c>
      <c r="B652" s="92" t="str">
        <f>IF($AG652="","",IF(INDEX($AN$8:$AN$21,INDEX($AC$8:$AC$1407,$AG652)+1)="Z",P_BronZ,P_BronE))</f>
        <v/>
      </c>
      <c r="C652" s="108" t="str">
        <f>IF($AG652="","",P_Importdatum)</f>
        <v/>
      </c>
      <c r="D652" s="92" t="str">
        <f>IF($AG652="","",P_StatusVastleg)</f>
        <v/>
      </c>
      <c r="E652" s="92" t="str">
        <f>IF($AG652="","",P_UploadVJ)</f>
        <v/>
      </c>
      <c r="F652" s="92" t="str">
        <f>IF($AG652="","",P_UploadVersie)</f>
        <v/>
      </c>
      <c r="G652" s="92" t="str">
        <f>IF($AG652="","",IF(COUNTIFS(L_Sleutel,$S652,L_Status,"Vastgesteld")=0,0,_xlfn.MAXIFS(L_Revisie,L_Sleutel,$S652,L_Status,"Vastgesteld")+1))</f>
        <v/>
      </c>
      <c r="H652" s="108" t="str">
        <f>IF($AG652="","",P_Peildatum)</f>
        <v/>
      </c>
      <c r="I652" s="92" t="str">
        <f>IF($AG652="","",P_RJ+INDEX($AK$8:$AK$21,INDEX($AC$8:$AC$1407,$AG652)+1))</f>
        <v/>
      </c>
      <c r="J652" s="92" t="str">
        <f>IF($AG652="","",INDEX(V_WBS,INDEX($AB$8:$AB$1407,$AG652)))</f>
        <v/>
      </c>
      <c r="K652" s="92" t="str">
        <f>IF($AG652="","",INDEX(V_Projdef,INDEX($AB$8:$AB$1407,$AG652)))</f>
        <v/>
      </c>
      <c r="L652" s="92" t="str">
        <f>IF($AG652="","",INDEX(V_Naam,INDEX($AB$8:$AB$1407,$AG652)))</f>
        <v/>
      </c>
      <c r="M652" s="92" t="str">
        <f>IF($AG652="","",INDEX(V_Type,INDEX($AB$8:$AB$1407,$AG652)))</f>
        <v/>
      </c>
      <c r="N652" s="92" t="str">
        <f>IF($AG652="","",INDEX(V_IFRS,INDEX($AB$8:$AB$1407,$AG652)))</f>
        <v/>
      </c>
      <c r="O652" s="92" t="str">
        <f>IF($AG652="","",INDEX($AL$8:$AL$21,INDEX($AC$8:$AC$1407,$AG652)+1))</f>
        <v/>
      </c>
      <c r="P652" s="109" t="str">
        <f>IF($AG652="","",INDEX($AD$8:$AD$1407,$AG652))</f>
        <v/>
      </c>
      <c r="Q652" s="92" t="str">
        <f>IF($AG652="","",INDEX($AM$8:$AM$21,INDEX($AC$8:$AC$1407,$AG652)+1))</f>
        <v/>
      </c>
      <c r="R652" s="92" t="str">
        <f>IF($AG652="","",IF($G652&gt;0,P_ToelCorrectie&amp;"",""))</f>
        <v/>
      </c>
      <c r="S652" s="15" t="str">
        <f>IF(J652="","",J652&amp;"|"&amp;E652&amp;"|"&amp;F652&amp;"|"&amp;I652&amp;"|"&amp;O652)</f>
        <v/>
      </c>
      <c r="T652" s="111" t="str">
        <f>IF(S652="","",IF(COUNTIFS(L_Sleutel,S652,L_Actief,1)=0,"",SUMIFS(L_Waarde,L_Sleutel,S652,L_Actief,1)))</f>
        <v/>
      </c>
      <c r="U652" s="111">
        <f>IF(OR(S652="",T652=""),0,P652-T652)</f>
        <v>0</v>
      </c>
      <c r="AB652" s="112" t="n">
        <v>47</v>
      </c>
      <c r="AC652" s="112" t="n">
        <v>0</v>
      </c>
      <c r="AD652" s="112" t="str">
        <f>VERW_Project!P52</f>
        <v/>
      </c>
      <c r="AE652" s="112">
        <f>IF(AND(VERW_Project!$A52&lt;&gt;"",ISNUMBER(AD652)),1,0)</f>
        <v>0</v>
      </c>
      <c r="AF652" s="112" t="str">
        <f>IF(AE652=1,SUM($AE$8:AE652),"")</f>
        <v/>
      </c>
      <c r="AG652" t="str">
        <f>IFERROR(MATCH(645,$AF$8:$AF$1407,0),"")</f>
        <v/>
      </c>
    </row>
    <row r="653">
      <c r="A653" s="92" t="str">
        <f>IF($AG653="","",P_ImportID)</f>
        <v/>
      </c>
      <c r="B653" s="92" t="str">
        <f>IF($AG653="","",IF(INDEX($AN$8:$AN$21,INDEX($AC$8:$AC$1407,$AG653)+1)="Z",P_BronZ,P_BronE))</f>
        <v/>
      </c>
      <c r="C653" s="108" t="str">
        <f>IF($AG653="","",P_Importdatum)</f>
        <v/>
      </c>
      <c r="D653" s="92" t="str">
        <f>IF($AG653="","",P_StatusVastleg)</f>
        <v/>
      </c>
      <c r="E653" s="92" t="str">
        <f>IF($AG653="","",P_UploadVJ)</f>
        <v/>
      </c>
      <c r="F653" s="92" t="str">
        <f>IF($AG653="","",P_UploadVersie)</f>
        <v/>
      </c>
      <c r="G653" s="92" t="str">
        <f>IF($AG653="","",IF(COUNTIFS(L_Sleutel,$S653,L_Status,"Vastgesteld")=0,0,_xlfn.MAXIFS(L_Revisie,L_Sleutel,$S653,L_Status,"Vastgesteld")+1))</f>
        <v/>
      </c>
      <c r="H653" s="108" t="str">
        <f>IF($AG653="","",P_Peildatum)</f>
        <v/>
      </c>
      <c r="I653" s="92" t="str">
        <f>IF($AG653="","",P_RJ+INDEX($AK$8:$AK$21,INDEX($AC$8:$AC$1407,$AG653)+1))</f>
        <v/>
      </c>
      <c r="J653" s="92" t="str">
        <f>IF($AG653="","",INDEX(V_WBS,INDEX($AB$8:$AB$1407,$AG653)))</f>
        <v/>
      </c>
      <c r="K653" s="92" t="str">
        <f>IF($AG653="","",INDEX(V_Projdef,INDEX($AB$8:$AB$1407,$AG653)))</f>
        <v/>
      </c>
      <c r="L653" s="92" t="str">
        <f>IF($AG653="","",INDEX(V_Naam,INDEX($AB$8:$AB$1407,$AG653)))</f>
        <v/>
      </c>
      <c r="M653" s="92" t="str">
        <f>IF($AG653="","",INDEX(V_Type,INDEX($AB$8:$AB$1407,$AG653)))</f>
        <v/>
      </c>
      <c r="N653" s="92" t="str">
        <f>IF($AG653="","",INDEX(V_IFRS,INDEX($AB$8:$AB$1407,$AG653)))</f>
        <v/>
      </c>
      <c r="O653" s="92" t="str">
        <f>IF($AG653="","",INDEX($AL$8:$AL$21,INDEX($AC$8:$AC$1407,$AG653)+1))</f>
        <v/>
      </c>
      <c r="P653" s="109" t="str">
        <f>IF($AG653="","",INDEX($AD$8:$AD$1407,$AG653))</f>
        <v/>
      </c>
      <c r="Q653" s="92" t="str">
        <f>IF($AG653="","",INDEX($AM$8:$AM$21,INDEX($AC$8:$AC$1407,$AG653)+1))</f>
        <v/>
      </c>
      <c r="R653" s="92" t="str">
        <f>IF($AG653="","",IF($G653&gt;0,P_ToelCorrectie&amp;"",""))</f>
        <v/>
      </c>
      <c r="S653" s="15" t="str">
        <f>IF(J653="","",J653&amp;"|"&amp;E653&amp;"|"&amp;F653&amp;"|"&amp;I653&amp;"|"&amp;O653)</f>
        <v/>
      </c>
      <c r="T653" s="111" t="str">
        <f>IF(S653="","",IF(COUNTIFS(L_Sleutel,S653,L_Actief,1)=0,"",SUMIFS(L_Waarde,L_Sleutel,S653,L_Actief,1)))</f>
        <v/>
      </c>
      <c r="U653" s="111">
        <f>IF(OR(S653="",T653=""),0,P653-T653)</f>
        <v>0</v>
      </c>
      <c r="AB653" s="112" t="n">
        <v>47</v>
      </c>
      <c r="AC653" s="112" t="n">
        <v>1</v>
      </c>
      <c r="AD653" s="112" t="str">
        <f>VERW_Project!Q52</f>
        <v/>
      </c>
      <c r="AE653" s="112">
        <f>IF(AND(VERW_Project!$A52&lt;&gt;"",ISNUMBER(AD653)),1,0)</f>
        <v>0</v>
      </c>
      <c r="AF653" s="112" t="str">
        <f>IF(AE653=1,SUM($AE$8:AE653),"")</f>
        <v/>
      </c>
      <c r="AG653" t="str">
        <f>IFERROR(MATCH(646,$AF$8:$AF$1407,0),"")</f>
        <v/>
      </c>
    </row>
    <row r="654">
      <c r="A654" s="92" t="str">
        <f>IF($AG654="","",P_ImportID)</f>
        <v/>
      </c>
      <c r="B654" s="92" t="str">
        <f>IF($AG654="","",IF(INDEX($AN$8:$AN$21,INDEX($AC$8:$AC$1407,$AG654)+1)="Z",P_BronZ,P_BronE))</f>
        <v/>
      </c>
      <c r="C654" s="108" t="str">
        <f>IF($AG654="","",P_Importdatum)</f>
        <v/>
      </c>
      <c r="D654" s="92" t="str">
        <f>IF($AG654="","",P_StatusVastleg)</f>
        <v/>
      </c>
      <c r="E654" s="92" t="str">
        <f>IF($AG654="","",P_UploadVJ)</f>
        <v/>
      </c>
      <c r="F654" s="92" t="str">
        <f>IF($AG654="","",P_UploadVersie)</f>
        <v/>
      </c>
      <c r="G654" s="92" t="str">
        <f>IF($AG654="","",IF(COUNTIFS(L_Sleutel,$S654,L_Status,"Vastgesteld")=0,0,_xlfn.MAXIFS(L_Revisie,L_Sleutel,$S654,L_Status,"Vastgesteld")+1))</f>
        <v/>
      </c>
      <c r="H654" s="108" t="str">
        <f>IF($AG654="","",P_Peildatum)</f>
        <v/>
      </c>
      <c r="I654" s="92" t="str">
        <f>IF($AG654="","",P_RJ+INDEX($AK$8:$AK$21,INDEX($AC$8:$AC$1407,$AG654)+1))</f>
        <v/>
      </c>
      <c r="J654" s="92" t="str">
        <f>IF($AG654="","",INDEX(V_WBS,INDEX($AB$8:$AB$1407,$AG654)))</f>
        <v/>
      </c>
      <c r="K654" s="92" t="str">
        <f>IF($AG654="","",INDEX(V_Projdef,INDEX($AB$8:$AB$1407,$AG654)))</f>
        <v/>
      </c>
      <c r="L654" s="92" t="str">
        <f>IF($AG654="","",INDEX(V_Naam,INDEX($AB$8:$AB$1407,$AG654)))</f>
        <v/>
      </c>
      <c r="M654" s="92" t="str">
        <f>IF($AG654="","",INDEX(V_Type,INDEX($AB$8:$AB$1407,$AG654)))</f>
        <v/>
      </c>
      <c r="N654" s="92" t="str">
        <f>IF($AG654="","",INDEX(V_IFRS,INDEX($AB$8:$AB$1407,$AG654)))</f>
        <v/>
      </c>
      <c r="O654" s="92" t="str">
        <f>IF($AG654="","",INDEX($AL$8:$AL$21,INDEX($AC$8:$AC$1407,$AG654)+1))</f>
        <v/>
      </c>
      <c r="P654" s="109" t="str">
        <f>IF($AG654="","",INDEX($AD$8:$AD$1407,$AG654))</f>
        <v/>
      </c>
      <c r="Q654" s="92" t="str">
        <f>IF($AG654="","",INDEX($AM$8:$AM$21,INDEX($AC$8:$AC$1407,$AG654)+1))</f>
        <v/>
      </c>
      <c r="R654" s="92" t="str">
        <f>IF($AG654="","",IF($G654&gt;0,P_ToelCorrectie&amp;"",""))</f>
        <v/>
      </c>
      <c r="S654" s="15" t="str">
        <f>IF(J654="","",J654&amp;"|"&amp;E654&amp;"|"&amp;F654&amp;"|"&amp;I654&amp;"|"&amp;O654)</f>
        <v/>
      </c>
      <c r="T654" s="111" t="str">
        <f>IF(S654="","",IF(COUNTIFS(L_Sleutel,S654,L_Actief,1)=0,"",SUMIFS(L_Waarde,L_Sleutel,S654,L_Actief,1)))</f>
        <v/>
      </c>
      <c r="U654" s="111">
        <f>IF(OR(S654="",T654=""),0,P654-T654)</f>
        <v>0</v>
      </c>
      <c r="AB654" s="112" t="n">
        <v>47</v>
      </c>
      <c r="AC654" s="112" t="n">
        <v>2</v>
      </c>
      <c r="AD654" s="112" t="str">
        <f>VERW_Project!L52</f>
        <v/>
      </c>
      <c r="AE654" s="112">
        <f>IF(AND(VERW_Project!$A52&lt;&gt;"",ISNUMBER(AD654)),1,0)</f>
        <v>0</v>
      </c>
      <c r="AF654" s="112" t="str">
        <f>IF(AE654=1,SUM($AE$8:AE654),"")</f>
        <v/>
      </c>
      <c r="AG654" t="str">
        <f>IFERROR(MATCH(647,$AF$8:$AF$1407,0),"")</f>
        <v/>
      </c>
    </row>
    <row r="655">
      <c r="A655" s="92" t="str">
        <f>IF($AG655="","",P_ImportID)</f>
        <v/>
      </c>
      <c r="B655" s="92" t="str">
        <f>IF($AG655="","",IF(INDEX($AN$8:$AN$21,INDEX($AC$8:$AC$1407,$AG655)+1)="Z",P_BronZ,P_BronE))</f>
        <v/>
      </c>
      <c r="C655" s="108" t="str">
        <f>IF($AG655="","",P_Importdatum)</f>
        <v/>
      </c>
      <c r="D655" s="92" t="str">
        <f>IF($AG655="","",P_StatusVastleg)</f>
        <v/>
      </c>
      <c r="E655" s="92" t="str">
        <f>IF($AG655="","",P_UploadVJ)</f>
        <v/>
      </c>
      <c r="F655" s="92" t="str">
        <f>IF($AG655="","",P_UploadVersie)</f>
        <v/>
      </c>
      <c r="G655" s="92" t="str">
        <f>IF($AG655="","",IF(COUNTIFS(L_Sleutel,$S655,L_Status,"Vastgesteld")=0,0,_xlfn.MAXIFS(L_Revisie,L_Sleutel,$S655,L_Status,"Vastgesteld")+1))</f>
        <v/>
      </c>
      <c r="H655" s="108" t="str">
        <f>IF($AG655="","",P_Peildatum)</f>
        <v/>
      </c>
      <c r="I655" s="92" t="str">
        <f>IF($AG655="","",P_RJ+INDEX($AK$8:$AK$21,INDEX($AC$8:$AC$1407,$AG655)+1))</f>
        <v/>
      </c>
      <c r="J655" s="92" t="str">
        <f>IF($AG655="","",INDEX(V_WBS,INDEX($AB$8:$AB$1407,$AG655)))</f>
        <v/>
      </c>
      <c r="K655" s="92" t="str">
        <f>IF($AG655="","",INDEX(V_Projdef,INDEX($AB$8:$AB$1407,$AG655)))</f>
        <v/>
      </c>
      <c r="L655" s="92" t="str">
        <f>IF($AG655="","",INDEX(V_Naam,INDEX($AB$8:$AB$1407,$AG655)))</f>
        <v/>
      </c>
      <c r="M655" s="92" t="str">
        <f>IF($AG655="","",INDEX(V_Type,INDEX($AB$8:$AB$1407,$AG655)))</f>
        <v/>
      </c>
      <c r="N655" s="92" t="str">
        <f>IF($AG655="","",INDEX(V_IFRS,INDEX($AB$8:$AB$1407,$AG655)))</f>
        <v/>
      </c>
      <c r="O655" s="92" t="str">
        <f>IF($AG655="","",INDEX($AL$8:$AL$21,INDEX($AC$8:$AC$1407,$AG655)+1))</f>
        <v/>
      </c>
      <c r="P655" s="109" t="str">
        <f>IF($AG655="","",INDEX($AD$8:$AD$1407,$AG655))</f>
        <v/>
      </c>
      <c r="Q655" s="92" t="str">
        <f>IF($AG655="","",INDEX($AM$8:$AM$21,INDEX($AC$8:$AC$1407,$AG655)+1))</f>
        <v/>
      </c>
      <c r="R655" s="92" t="str">
        <f>IF($AG655="","",IF($G655&gt;0,P_ToelCorrectie&amp;"",""))</f>
        <v/>
      </c>
      <c r="S655" s="15" t="str">
        <f>IF(J655="","",J655&amp;"|"&amp;E655&amp;"|"&amp;F655&amp;"|"&amp;I655&amp;"|"&amp;O655)</f>
        <v/>
      </c>
      <c r="T655" s="111" t="str">
        <f>IF(S655="","",IF(COUNTIFS(L_Sleutel,S655,L_Actief,1)=0,"",SUMIFS(L_Waarde,L_Sleutel,S655,L_Actief,1)))</f>
        <v/>
      </c>
      <c r="U655" s="111">
        <f>IF(OR(S655="",T655=""),0,P655-T655)</f>
        <v>0</v>
      </c>
      <c r="AB655" s="112" t="n">
        <v>47</v>
      </c>
      <c r="AC655" s="112" t="n">
        <v>3</v>
      </c>
      <c r="AD655" s="112" t="str">
        <f>VERW_Project!M52</f>
        <v/>
      </c>
      <c r="AE655" s="112">
        <f>IF(AND(VERW_Project!$A52&lt;&gt;"",ISNUMBER(AD655)),1,0)</f>
        <v>0</v>
      </c>
      <c r="AF655" s="112" t="str">
        <f>IF(AE655=1,SUM($AE$8:AE655),"")</f>
        <v/>
      </c>
      <c r="AG655" t="str">
        <f>IFERROR(MATCH(648,$AF$8:$AF$1407,0),"")</f>
        <v/>
      </c>
    </row>
    <row r="656">
      <c r="A656" s="92" t="str">
        <f>IF($AG656="","",P_ImportID)</f>
        <v/>
      </c>
      <c r="B656" s="92" t="str">
        <f>IF($AG656="","",IF(INDEX($AN$8:$AN$21,INDEX($AC$8:$AC$1407,$AG656)+1)="Z",P_BronZ,P_BronE))</f>
        <v/>
      </c>
      <c r="C656" s="108" t="str">
        <f>IF($AG656="","",P_Importdatum)</f>
        <v/>
      </c>
      <c r="D656" s="92" t="str">
        <f>IF($AG656="","",P_StatusVastleg)</f>
        <v/>
      </c>
      <c r="E656" s="92" t="str">
        <f>IF($AG656="","",P_UploadVJ)</f>
        <v/>
      </c>
      <c r="F656" s="92" t="str">
        <f>IF($AG656="","",P_UploadVersie)</f>
        <v/>
      </c>
      <c r="G656" s="92" t="str">
        <f>IF($AG656="","",IF(COUNTIFS(L_Sleutel,$S656,L_Status,"Vastgesteld")=0,0,_xlfn.MAXIFS(L_Revisie,L_Sleutel,$S656,L_Status,"Vastgesteld")+1))</f>
        <v/>
      </c>
      <c r="H656" s="108" t="str">
        <f>IF($AG656="","",P_Peildatum)</f>
        <v/>
      </c>
      <c r="I656" s="92" t="str">
        <f>IF($AG656="","",P_RJ+INDEX($AK$8:$AK$21,INDEX($AC$8:$AC$1407,$AG656)+1))</f>
        <v/>
      </c>
      <c r="J656" s="92" t="str">
        <f>IF($AG656="","",INDEX(V_WBS,INDEX($AB$8:$AB$1407,$AG656)))</f>
        <v/>
      </c>
      <c r="K656" s="92" t="str">
        <f>IF($AG656="","",INDEX(V_Projdef,INDEX($AB$8:$AB$1407,$AG656)))</f>
        <v/>
      </c>
      <c r="L656" s="92" t="str">
        <f>IF($AG656="","",INDEX(V_Naam,INDEX($AB$8:$AB$1407,$AG656)))</f>
        <v/>
      </c>
      <c r="M656" s="92" t="str">
        <f>IF($AG656="","",INDEX(V_Type,INDEX($AB$8:$AB$1407,$AG656)))</f>
        <v/>
      </c>
      <c r="N656" s="92" t="str">
        <f>IF($AG656="","",INDEX(V_IFRS,INDEX($AB$8:$AB$1407,$AG656)))</f>
        <v/>
      </c>
      <c r="O656" s="92" t="str">
        <f>IF($AG656="","",INDEX($AL$8:$AL$21,INDEX($AC$8:$AC$1407,$AG656)+1))</f>
        <v/>
      </c>
      <c r="P656" s="109" t="str">
        <f>IF($AG656="","",INDEX($AD$8:$AD$1407,$AG656))</f>
        <v/>
      </c>
      <c r="Q656" s="92" t="str">
        <f>IF($AG656="","",INDEX($AM$8:$AM$21,INDEX($AC$8:$AC$1407,$AG656)+1))</f>
        <v/>
      </c>
      <c r="R656" s="92" t="str">
        <f>IF($AG656="","",IF($G656&gt;0,P_ToelCorrectie&amp;"",""))</f>
        <v/>
      </c>
      <c r="S656" s="15" t="str">
        <f>IF(J656="","",J656&amp;"|"&amp;E656&amp;"|"&amp;F656&amp;"|"&amp;I656&amp;"|"&amp;O656)</f>
        <v/>
      </c>
      <c r="T656" s="111" t="str">
        <f>IF(S656="","",IF(COUNTIFS(L_Sleutel,S656,L_Actief,1)=0,"",SUMIFS(L_Waarde,L_Sleutel,S656,L_Actief,1)))</f>
        <v/>
      </c>
      <c r="U656" s="111">
        <f>IF(OR(S656="",T656=""),0,P656-T656)</f>
        <v>0</v>
      </c>
      <c r="AB656" s="112" t="n">
        <v>47</v>
      </c>
      <c r="AC656" s="112" t="n">
        <v>4</v>
      </c>
      <c r="AD656" s="112" t="str">
        <f>VERW_Project!R52</f>
        <v/>
      </c>
      <c r="AE656" s="112">
        <f>IF(AND(VERW_Project!$A52&lt;&gt;"",ISNUMBER(AD656)),1,0)</f>
        <v>0</v>
      </c>
      <c r="AF656" s="112" t="str">
        <f>IF(AE656=1,SUM($AE$8:AE656),"")</f>
        <v/>
      </c>
      <c r="AG656" t="str">
        <f>IFERROR(MATCH(649,$AF$8:$AF$1407,0),"")</f>
        <v/>
      </c>
    </row>
    <row r="657">
      <c r="A657" s="92" t="str">
        <f>IF($AG657="","",P_ImportID)</f>
        <v/>
      </c>
      <c r="B657" s="92" t="str">
        <f>IF($AG657="","",IF(INDEX($AN$8:$AN$21,INDEX($AC$8:$AC$1407,$AG657)+1)="Z",P_BronZ,P_BronE))</f>
        <v/>
      </c>
      <c r="C657" s="108" t="str">
        <f>IF($AG657="","",P_Importdatum)</f>
        <v/>
      </c>
      <c r="D657" s="92" t="str">
        <f>IF($AG657="","",P_StatusVastleg)</f>
        <v/>
      </c>
      <c r="E657" s="92" t="str">
        <f>IF($AG657="","",P_UploadVJ)</f>
        <v/>
      </c>
      <c r="F657" s="92" t="str">
        <f>IF($AG657="","",P_UploadVersie)</f>
        <v/>
      </c>
      <c r="G657" s="92" t="str">
        <f>IF($AG657="","",IF(COUNTIFS(L_Sleutel,$S657,L_Status,"Vastgesteld")=0,0,_xlfn.MAXIFS(L_Revisie,L_Sleutel,$S657,L_Status,"Vastgesteld")+1))</f>
        <v/>
      </c>
      <c r="H657" s="108" t="str">
        <f>IF($AG657="","",P_Peildatum)</f>
        <v/>
      </c>
      <c r="I657" s="92" t="str">
        <f>IF($AG657="","",P_RJ+INDEX($AK$8:$AK$21,INDEX($AC$8:$AC$1407,$AG657)+1))</f>
        <v/>
      </c>
      <c r="J657" s="92" t="str">
        <f>IF($AG657="","",INDEX(V_WBS,INDEX($AB$8:$AB$1407,$AG657)))</f>
        <v/>
      </c>
      <c r="K657" s="92" t="str">
        <f>IF($AG657="","",INDEX(V_Projdef,INDEX($AB$8:$AB$1407,$AG657)))</f>
        <v/>
      </c>
      <c r="L657" s="92" t="str">
        <f>IF($AG657="","",INDEX(V_Naam,INDEX($AB$8:$AB$1407,$AG657)))</f>
        <v/>
      </c>
      <c r="M657" s="92" t="str">
        <f>IF($AG657="","",INDEX(V_Type,INDEX($AB$8:$AB$1407,$AG657)))</f>
        <v/>
      </c>
      <c r="N657" s="92" t="str">
        <f>IF($AG657="","",INDEX(V_IFRS,INDEX($AB$8:$AB$1407,$AG657)))</f>
        <v/>
      </c>
      <c r="O657" s="92" t="str">
        <f>IF($AG657="","",INDEX($AL$8:$AL$21,INDEX($AC$8:$AC$1407,$AG657)+1))</f>
        <v/>
      </c>
      <c r="P657" s="109" t="str">
        <f>IF($AG657="","",INDEX($AD$8:$AD$1407,$AG657))</f>
        <v/>
      </c>
      <c r="Q657" s="92" t="str">
        <f>IF($AG657="","",INDEX($AM$8:$AM$21,INDEX($AC$8:$AC$1407,$AG657)+1))</f>
        <v/>
      </c>
      <c r="R657" s="92" t="str">
        <f>IF($AG657="","",IF($G657&gt;0,P_ToelCorrectie&amp;"",""))</f>
        <v/>
      </c>
      <c r="S657" s="15" t="str">
        <f>IF(J657="","",J657&amp;"|"&amp;E657&amp;"|"&amp;F657&amp;"|"&amp;I657&amp;"|"&amp;O657)</f>
        <v/>
      </c>
      <c r="T657" s="111" t="str">
        <f>IF(S657="","",IF(COUNTIFS(L_Sleutel,S657,L_Actief,1)=0,"",SUMIFS(L_Waarde,L_Sleutel,S657,L_Actief,1)))</f>
        <v/>
      </c>
      <c r="U657" s="111">
        <f>IF(OR(S657="",T657=""),0,P657-T657)</f>
        <v>0</v>
      </c>
      <c r="AB657" s="112" t="n">
        <v>47</v>
      </c>
      <c r="AC657" s="112" t="n">
        <v>5</v>
      </c>
      <c r="AD657" s="112" t="str">
        <f>VERW_Project!S52</f>
        <v/>
      </c>
      <c r="AE657" s="112">
        <f>IF(AND(VERW_Project!$A52&lt;&gt;"",ISNUMBER(AD657)),1,0)</f>
        <v>0</v>
      </c>
      <c r="AF657" s="112" t="str">
        <f>IF(AE657=1,SUM($AE$8:AE657),"")</f>
        <v/>
      </c>
      <c r="AG657" t="str">
        <f>IFERROR(MATCH(650,$AF$8:$AF$1407,0),"")</f>
        <v/>
      </c>
    </row>
    <row r="658">
      <c r="A658" s="92" t="str">
        <f>IF($AG658="","",P_ImportID)</f>
        <v/>
      </c>
      <c r="B658" s="92" t="str">
        <f>IF($AG658="","",IF(INDEX($AN$8:$AN$21,INDEX($AC$8:$AC$1407,$AG658)+1)="Z",P_BronZ,P_BronE))</f>
        <v/>
      </c>
      <c r="C658" s="108" t="str">
        <f>IF($AG658="","",P_Importdatum)</f>
        <v/>
      </c>
      <c r="D658" s="92" t="str">
        <f>IF($AG658="","",P_StatusVastleg)</f>
        <v/>
      </c>
      <c r="E658" s="92" t="str">
        <f>IF($AG658="","",P_UploadVJ)</f>
        <v/>
      </c>
      <c r="F658" s="92" t="str">
        <f>IF($AG658="","",P_UploadVersie)</f>
        <v/>
      </c>
      <c r="G658" s="92" t="str">
        <f>IF($AG658="","",IF(COUNTIFS(L_Sleutel,$S658,L_Status,"Vastgesteld")=0,0,_xlfn.MAXIFS(L_Revisie,L_Sleutel,$S658,L_Status,"Vastgesteld")+1))</f>
        <v/>
      </c>
      <c r="H658" s="108" t="str">
        <f>IF($AG658="","",P_Peildatum)</f>
        <v/>
      </c>
      <c r="I658" s="92" t="str">
        <f>IF($AG658="","",P_RJ+INDEX($AK$8:$AK$21,INDEX($AC$8:$AC$1407,$AG658)+1))</f>
        <v/>
      </c>
      <c r="J658" s="92" t="str">
        <f>IF($AG658="","",INDEX(V_WBS,INDEX($AB$8:$AB$1407,$AG658)))</f>
        <v/>
      </c>
      <c r="K658" s="92" t="str">
        <f>IF($AG658="","",INDEX(V_Projdef,INDEX($AB$8:$AB$1407,$AG658)))</f>
        <v/>
      </c>
      <c r="L658" s="92" t="str">
        <f>IF($AG658="","",INDEX(V_Naam,INDEX($AB$8:$AB$1407,$AG658)))</f>
        <v/>
      </c>
      <c r="M658" s="92" t="str">
        <f>IF($AG658="","",INDEX(V_Type,INDEX($AB$8:$AB$1407,$AG658)))</f>
        <v/>
      </c>
      <c r="N658" s="92" t="str">
        <f>IF($AG658="","",INDEX(V_IFRS,INDEX($AB$8:$AB$1407,$AG658)))</f>
        <v/>
      </c>
      <c r="O658" s="92" t="str">
        <f>IF($AG658="","",INDEX($AL$8:$AL$21,INDEX($AC$8:$AC$1407,$AG658)+1))</f>
        <v/>
      </c>
      <c r="P658" s="109" t="str">
        <f>IF($AG658="","",INDEX($AD$8:$AD$1407,$AG658))</f>
        <v/>
      </c>
      <c r="Q658" s="92" t="str">
        <f>IF($AG658="","",INDEX($AM$8:$AM$21,INDEX($AC$8:$AC$1407,$AG658)+1))</f>
        <v/>
      </c>
      <c r="R658" s="92" t="str">
        <f>IF($AG658="","",IF($G658&gt;0,P_ToelCorrectie&amp;"",""))</f>
        <v/>
      </c>
      <c r="S658" s="15" t="str">
        <f>IF(J658="","",J658&amp;"|"&amp;E658&amp;"|"&amp;F658&amp;"|"&amp;I658&amp;"|"&amp;O658)</f>
        <v/>
      </c>
      <c r="T658" s="111" t="str">
        <f>IF(S658="","",IF(COUNTIFS(L_Sleutel,S658,L_Actief,1)=0,"",SUMIFS(L_Waarde,L_Sleutel,S658,L_Actief,1)))</f>
        <v/>
      </c>
      <c r="U658" s="111">
        <f>IF(OR(S658="",T658=""),0,P658-T658)</f>
        <v>0</v>
      </c>
      <c r="AB658" s="112" t="n">
        <v>47</v>
      </c>
      <c r="AC658" s="112" t="n">
        <v>6</v>
      </c>
      <c r="AD658" s="112" t="str">
        <f>VERW_Project!BW52</f>
        <v/>
      </c>
      <c r="AE658" s="112">
        <f>IF(AND(VERW_Project!$A52&lt;&gt;"",ISNUMBER(AD658)),1,0)</f>
        <v>0</v>
      </c>
      <c r="AF658" s="112" t="str">
        <f>IF(AE658=1,SUM($AE$8:AE658),"")</f>
        <v/>
      </c>
      <c r="AG658" t="str">
        <f>IFERROR(MATCH(651,$AF$8:$AF$1407,0),"")</f>
        <v/>
      </c>
    </row>
    <row r="659">
      <c r="A659" s="92" t="str">
        <f>IF($AG659="","",P_ImportID)</f>
        <v/>
      </c>
      <c r="B659" s="92" t="str">
        <f>IF($AG659="","",IF(INDEX($AN$8:$AN$21,INDEX($AC$8:$AC$1407,$AG659)+1)="Z",P_BronZ,P_BronE))</f>
        <v/>
      </c>
      <c r="C659" s="108" t="str">
        <f>IF($AG659="","",P_Importdatum)</f>
        <v/>
      </c>
      <c r="D659" s="92" t="str">
        <f>IF($AG659="","",P_StatusVastleg)</f>
        <v/>
      </c>
      <c r="E659" s="92" t="str">
        <f>IF($AG659="","",P_UploadVJ)</f>
        <v/>
      </c>
      <c r="F659" s="92" t="str">
        <f>IF($AG659="","",P_UploadVersie)</f>
        <v/>
      </c>
      <c r="G659" s="92" t="str">
        <f>IF($AG659="","",IF(COUNTIFS(L_Sleutel,$S659,L_Status,"Vastgesteld")=0,0,_xlfn.MAXIFS(L_Revisie,L_Sleutel,$S659,L_Status,"Vastgesteld")+1))</f>
        <v/>
      </c>
      <c r="H659" s="108" t="str">
        <f>IF($AG659="","",P_Peildatum)</f>
        <v/>
      </c>
      <c r="I659" s="92" t="str">
        <f>IF($AG659="","",P_RJ+INDEX($AK$8:$AK$21,INDEX($AC$8:$AC$1407,$AG659)+1))</f>
        <v/>
      </c>
      <c r="J659" s="92" t="str">
        <f>IF($AG659="","",INDEX(V_WBS,INDEX($AB$8:$AB$1407,$AG659)))</f>
        <v/>
      </c>
      <c r="K659" s="92" t="str">
        <f>IF($AG659="","",INDEX(V_Projdef,INDEX($AB$8:$AB$1407,$AG659)))</f>
        <v/>
      </c>
      <c r="L659" s="92" t="str">
        <f>IF($AG659="","",INDEX(V_Naam,INDEX($AB$8:$AB$1407,$AG659)))</f>
        <v/>
      </c>
      <c r="M659" s="92" t="str">
        <f>IF($AG659="","",INDEX(V_Type,INDEX($AB$8:$AB$1407,$AG659)))</f>
        <v/>
      </c>
      <c r="N659" s="92" t="str">
        <f>IF($AG659="","",INDEX(V_IFRS,INDEX($AB$8:$AB$1407,$AG659)))</f>
        <v/>
      </c>
      <c r="O659" s="92" t="str">
        <f>IF($AG659="","",INDEX($AL$8:$AL$21,INDEX($AC$8:$AC$1407,$AG659)+1))</f>
        <v/>
      </c>
      <c r="P659" s="109" t="str">
        <f>IF($AG659="","",INDEX($AD$8:$AD$1407,$AG659))</f>
        <v/>
      </c>
      <c r="Q659" s="92" t="str">
        <f>IF($AG659="","",INDEX($AM$8:$AM$21,INDEX($AC$8:$AC$1407,$AG659)+1))</f>
        <v/>
      </c>
      <c r="R659" s="92" t="str">
        <f>IF($AG659="","",IF($G659&gt;0,P_ToelCorrectie&amp;"",""))</f>
        <v/>
      </c>
      <c r="S659" s="15" t="str">
        <f>IF(J659="","",J659&amp;"|"&amp;E659&amp;"|"&amp;F659&amp;"|"&amp;I659&amp;"|"&amp;O659)</f>
        <v/>
      </c>
      <c r="T659" s="111" t="str">
        <f>IF(S659="","",IF(COUNTIFS(L_Sleutel,S659,L_Actief,1)=0,"",SUMIFS(L_Waarde,L_Sleutel,S659,L_Actief,1)))</f>
        <v/>
      </c>
      <c r="U659" s="111">
        <f>IF(OR(S659="",T659=""),0,P659-T659)</f>
        <v>0</v>
      </c>
      <c r="AB659" s="112" t="n">
        <v>47</v>
      </c>
      <c r="AC659" s="112" t="n">
        <v>7</v>
      </c>
      <c r="AD659" s="112" t="str">
        <f>VERW_Project!AW52</f>
        <v/>
      </c>
      <c r="AE659" s="112">
        <f>IF(AND(VERW_Project!$A52&lt;&gt;"",ISNUMBER(AD659)),1,0)</f>
        <v>0</v>
      </c>
      <c r="AF659" s="112" t="str">
        <f>IF(AE659=1,SUM($AE$8:AE659),"")</f>
        <v/>
      </c>
      <c r="AG659" t="str">
        <f>IFERROR(MATCH(652,$AF$8:$AF$1407,0),"")</f>
        <v/>
      </c>
    </row>
    <row r="660">
      <c r="A660" s="92" t="str">
        <f>IF($AG660="","",P_ImportID)</f>
        <v/>
      </c>
      <c r="B660" s="92" t="str">
        <f>IF($AG660="","",IF(INDEX($AN$8:$AN$21,INDEX($AC$8:$AC$1407,$AG660)+1)="Z",P_BronZ,P_BronE))</f>
        <v/>
      </c>
      <c r="C660" s="108" t="str">
        <f>IF($AG660="","",P_Importdatum)</f>
        <v/>
      </c>
      <c r="D660" s="92" t="str">
        <f>IF($AG660="","",P_StatusVastleg)</f>
        <v/>
      </c>
      <c r="E660" s="92" t="str">
        <f>IF($AG660="","",P_UploadVJ)</f>
        <v/>
      </c>
      <c r="F660" s="92" t="str">
        <f>IF($AG660="","",P_UploadVersie)</f>
        <v/>
      </c>
      <c r="G660" s="92" t="str">
        <f>IF($AG660="","",IF(COUNTIFS(L_Sleutel,$S660,L_Status,"Vastgesteld")=0,0,_xlfn.MAXIFS(L_Revisie,L_Sleutel,$S660,L_Status,"Vastgesteld")+1))</f>
        <v/>
      </c>
      <c r="H660" s="108" t="str">
        <f>IF($AG660="","",P_Peildatum)</f>
        <v/>
      </c>
      <c r="I660" s="92" t="str">
        <f>IF($AG660="","",P_RJ+INDEX($AK$8:$AK$21,INDEX($AC$8:$AC$1407,$AG660)+1))</f>
        <v/>
      </c>
      <c r="J660" s="92" t="str">
        <f>IF($AG660="","",INDEX(V_WBS,INDEX($AB$8:$AB$1407,$AG660)))</f>
        <v/>
      </c>
      <c r="K660" s="92" t="str">
        <f>IF($AG660="","",INDEX(V_Projdef,INDEX($AB$8:$AB$1407,$AG660)))</f>
        <v/>
      </c>
      <c r="L660" s="92" t="str">
        <f>IF($AG660="","",INDEX(V_Naam,INDEX($AB$8:$AB$1407,$AG660)))</f>
        <v/>
      </c>
      <c r="M660" s="92" t="str">
        <f>IF($AG660="","",INDEX(V_Type,INDEX($AB$8:$AB$1407,$AG660)))</f>
        <v/>
      </c>
      <c r="N660" s="92" t="str">
        <f>IF($AG660="","",INDEX(V_IFRS,INDEX($AB$8:$AB$1407,$AG660)))</f>
        <v/>
      </c>
      <c r="O660" s="92" t="str">
        <f>IF($AG660="","",INDEX($AL$8:$AL$21,INDEX($AC$8:$AC$1407,$AG660)+1))</f>
        <v/>
      </c>
      <c r="P660" s="109" t="str">
        <f>IF($AG660="","",INDEX($AD$8:$AD$1407,$AG660))</f>
        <v/>
      </c>
      <c r="Q660" s="92" t="str">
        <f>IF($AG660="","",INDEX($AM$8:$AM$21,INDEX($AC$8:$AC$1407,$AG660)+1))</f>
        <v/>
      </c>
      <c r="R660" s="92" t="str">
        <f>IF($AG660="","",IF($G660&gt;0,P_ToelCorrectie&amp;"",""))</f>
        <v/>
      </c>
      <c r="S660" s="15" t="str">
        <f>IF(J660="","",J660&amp;"|"&amp;E660&amp;"|"&amp;F660&amp;"|"&amp;I660&amp;"|"&amp;O660)</f>
        <v/>
      </c>
      <c r="T660" s="111" t="str">
        <f>IF(S660="","",IF(COUNTIFS(L_Sleutel,S660,L_Actief,1)=0,"",SUMIFS(L_Waarde,L_Sleutel,S660,L_Actief,1)))</f>
        <v/>
      </c>
      <c r="U660" s="111">
        <f>IF(OR(S660="",T660=""),0,P660-T660)</f>
        <v>0</v>
      </c>
      <c r="AB660" s="112" t="n">
        <v>47</v>
      </c>
      <c r="AC660" s="112" t="n">
        <v>8</v>
      </c>
      <c r="AD660" s="112" t="str">
        <f>VERW_Project!BQ52</f>
        <v/>
      </c>
      <c r="AE660" s="112">
        <f>IF(AND(VERW_Project!$A52&lt;&gt;"",ISNUMBER(AD660)),1,0)</f>
        <v>0</v>
      </c>
      <c r="AF660" s="112" t="str">
        <f>IF(AE660=1,SUM($AE$8:AE660),"")</f>
        <v/>
      </c>
      <c r="AG660" t="str">
        <f>IFERROR(MATCH(653,$AF$8:$AF$1407,0),"")</f>
        <v/>
      </c>
    </row>
    <row r="661">
      <c r="A661" s="92" t="str">
        <f>IF($AG661="","",P_ImportID)</f>
        <v/>
      </c>
      <c r="B661" s="92" t="str">
        <f>IF($AG661="","",IF(INDEX($AN$8:$AN$21,INDEX($AC$8:$AC$1407,$AG661)+1)="Z",P_BronZ,P_BronE))</f>
        <v/>
      </c>
      <c r="C661" s="108" t="str">
        <f>IF($AG661="","",P_Importdatum)</f>
        <v/>
      </c>
      <c r="D661" s="92" t="str">
        <f>IF($AG661="","",P_StatusVastleg)</f>
        <v/>
      </c>
      <c r="E661" s="92" t="str">
        <f>IF($AG661="","",P_UploadVJ)</f>
        <v/>
      </c>
      <c r="F661" s="92" t="str">
        <f>IF($AG661="","",P_UploadVersie)</f>
        <v/>
      </c>
      <c r="G661" s="92" t="str">
        <f>IF($AG661="","",IF(COUNTIFS(L_Sleutel,$S661,L_Status,"Vastgesteld")=0,0,_xlfn.MAXIFS(L_Revisie,L_Sleutel,$S661,L_Status,"Vastgesteld")+1))</f>
        <v/>
      </c>
      <c r="H661" s="108" t="str">
        <f>IF($AG661="","",P_Peildatum)</f>
        <v/>
      </c>
      <c r="I661" s="92" t="str">
        <f>IF($AG661="","",P_RJ+INDEX($AK$8:$AK$21,INDEX($AC$8:$AC$1407,$AG661)+1))</f>
        <v/>
      </c>
      <c r="J661" s="92" t="str">
        <f>IF($AG661="","",INDEX(V_WBS,INDEX($AB$8:$AB$1407,$AG661)))</f>
        <v/>
      </c>
      <c r="K661" s="92" t="str">
        <f>IF($AG661="","",INDEX(V_Projdef,INDEX($AB$8:$AB$1407,$AG661)))</f>
        <v/>
      </c>
      <c r="L661" s="92" t="str">
        <f>IF($AG661="","",INDEX(V_Naam,INDEX($AB$8:$AB$1407,$AG661)))</f>
        <v/>
      </c>
      <c r="M661" s="92" t="str">
        <f>IF($AG661="","",INDEX(V_Type,INDEX($AB$8:$AB$1407,$AG661)))</f>
        <v/>
      </c>
      <c r="N661" s="92" t="str">
        <f>IF($AG661="","",INDEX(V_IFRS,INDEX($AB$8:$AB$1407,$AG661)))</f>
        <v/>
      </c>
      <c r="O661" s="92" t="str">
        <f>IF($AG661="","",INDEX($AL$8:$AL$21,INDEX($AC$8:$AC$1407,$AG661)+1))</f>
        <v/>
      </c>
      <c r="P661" s="109" t="str">
        <f>IF($AG661="","",INDEX($AD$8:$AD$1407,$AG661))</f>
        <v/>
      </c>
      <c r="Q661" s="92" t="str">
        <f>IF($AG661="","",INDEX($AM$8:$AM$21,INDEX($AC$8:$AC$1407,$AG661)+1))</f>
        <v/>
      </c>
      <c r="R661" s="92" t="str">
        <f>IF($AG661="","",IF($G661&gt;0,P_ToelCorrectie&amp;"",""))</f>
        <v/>
      </c>
      <c r="S661" s="15" t="str">
        <f>IF(J661="","",J661&amp;"|"&amp;E661&amp;"|"&amp;F661&amp;"|"&amp;I661&amp;"|"&amp;O661)</f>
        <v/>
      </c>
      <c r="T661" s="111" t="str">
        <f>IF(S661="","",IF(COUNTIFS(L_Sleutel,S661,L_Actief,1)=0,"",SUMIFS(L_Waarde,L_Sleutel,S661,L_Actief,1)))</f>
        <v/>
      </c>
      <c r="U661" s="111">
        <f>IF(OR(S661="",T661=""),0,P661-T661)</f>
        <v>0</v>
      </c>
      <c r="AB661" s="112" t="n">
        <v>47</v>
      </c>
      <c r="AC661" s="112" t="n">
        <v>9</v>
      </c>
      <c r="AD661" s="112" t="str">
        <f>VERW_Project!BR52</f>
        <v/>
      </c>
      <c r="AE661" s="112">
        <f>IF(AND(VERW_Project!$A52&lt;&gt;"",ISNUMBER(AD661)),1,0)</f>
        <v>0</v>
      </c>
      <c r="AF661" s="112" t="str">
        <f>IF(AE661=1,SUM($AE$8:AE661),"")</f>
        <v/>
      </c>
      <c r="AG661" t="str">
        <f>IFERROR(MATCH(654,$AF$8:$AF$1407,0),"")</f>
        <v/>
      </c>
    </row>
    <row r="662">
      <c r="A662" s="92" t="str">
        <f>IF($AG662="","",P_ImportID)</f>
        <v/>
      </c>
      <c r="B662" s="92" t="str">
        <f>IF($AG662="","",IF(INDEX($AN$8:$AN$21,INDEX($AC$8:$AC$1407,$AG662)+1)="Z",P_BronZ,P_BronE))</f>
        <v/>
      </c>
      <c r="C662" s="108" t="str">
        <f>IF($AG662="","",P_Importdatum)</f>
        <v/>
      </c>
      <c r="D662" s="92" t="str">
        <f>IF($AG662="","",P_StatusVastleg)</f>
        <v/>
      </c>
      <c r="E662" s="92" t="str">
        <f>IF($AG662="","",P_UploadVJ)</f>
        <v/>
      </c>
      <c r="F662" s="92" t="str">
        <f>IF($AG662="","",P_UploadVersie)</f>
        <v/>
      </c>
      <c r="G662" s="92" t="str">
        <f>IF($AG662="","",IF(COUNTIFS(L_Sleutel,$S662,L_Status,"Vastgesteld")=0,0,_xlfn.MAXIFS(L_Revisie,L_Sleutel,$S662,L_Status,"Vastgesteld")+1))</f>
        <v/>
      </c>
      <c r="H662" s="108" t="str">
        <f>IF($AG662="","",P_Peildatum)</f>
        <v/>
      </c>
      <c r="I662" s="92" t="str">
        <f>IF($AG662="","",P_RJ+INDEX($AK$8:$AK$21,INDEX($AC$8:$AC$1407,$AG662)+1))</f>
        <v/>
      </c>
      <c r="J662" s="92" t="str">
        <f>IF($AG662="","",INDEX(V_WBS,INDEX($AB$8:$AB$1407,$AG662)))</f>
        <v/>
      </c>
      <c r="K662" s="92" t="str">
        <f>IF($AG662="","",INDEX(V_Projdef,INDEX($AB$8:$AB$1407,$AG662)))</f>
        <v/>
      </c>
      <c r="L662" s="92" t="str">
        <f>IF($AG662="","",INDEX(V_Naam,INDEX($AB$8:$AB$1407,$AG662)))</f>
        <v/>
      </c>
      <c r="M662" s="92" t="str">
        <f>IF($AG662="","",INDEX(V_Type,INDEX($AB$8:$AB$1407,$AG662)))</f>
        <v/>
      </c>
      <c r="N662" s="92" t="str">
        <f>IF($AG662="","",INDEX(V_IFRS,INDEX($AB$8:$AB$1407,$AG662)))</f>
        <v/>
      </c>
      <c r="O662" s="92" t="str">
        <f>IF($AG662="","",INDEX($AL$8:$AL$21,INDEX($AC$8:$AC$1407,$AG662)+1))</f>
        <v/>
      </c>
      <c r="P662" s="109" t="str">
        <f>IF($AG662="","",INDEX($AD$8:$AD$1407,$AG662))</f>
        <v/>
      </c>
      <c r="Q662" s="92" t="str">
        <f>IF($AG662="","",INDEX($AM$8:$AM$21,INDEX($AC$8:$AC$1407,$AG662)+1))</f>
        <v/>
      </c>
      <c r="R662" s="92" t="str">
        <f>IF($AG662="","",IF($G662&gt;0,P_ToelCorrectie&amp;"",""))</f>
        <v/>
      </c>
      <c r="S662" s="15" t="str">
        <f>IF(J662="","",J662&amp;"|"&amp;E662&amp;"|"&amp;F662&amp;"|"&amp;I662&amp;"|"&amp;O662)</f>
        <v/>
      </c>
      <c r="T662" s="111" t="str">
        <f>IF(S662="","",IF(COUNTIFS(L_Sleutel,S662,L_Actief,1)=0,"",SUMIFS(L_Waarde,L_Sleutel,S662,L_Actief,1)))</f>
        <v/>
      </c>
      <c r="U662" s="111">
        <f>IF(OR(S662="",T662=""),0,P662-T662)</f>
        <v>0</v>
      </c>
      <c r="AB662" s="112" t="n">
        <v>47</v>
      </c>
      <c r="AC662" s="112" t="n">
        <v>10</v>
      </c>
      <c r="AD662" s="112" t="str">
        <f>VERW_Project!BS52</f>
        <v/>
      </c>
      <c r="AE662" s="112">
        <f>IF(AND(VERW_Project!$A52&lt;&gt;"",ISNUMBER(AD662)),1,0)</f>
        <v>0</v>
      </c>
      <c r="AF662" s="112" t="str">
        <f>IF(AE662=1,SUM($AE$8:AE662),"")</f>
        <v/>
      </c>
      <c r="AG662" t="str">
        <f>IFERROR(MATCH(655,$AF$8:$AF$1407,0),"")</f>
        <v/>
      </c>
    </row>
    <row r="663">
      <c r="A663" s="92" t="str">
        <f>IF($AG663="","",P_ImportID)</f>
        <v/>
      </c>
      <c r="B663" s="92" t="str">
        <f>IF($AG663="","",IF(INDEX($AN$8:$AN$21,INDEX($AC$8:$AC$1407,$AG663)+1)="Z",P_BronZ,P_BronE))</f>
        <v/>
      </c>
      <c r="C663" s="108" t="str">
        <f>IF($AG663="","",P_Importdatum)</f>
        <v/>
      </c>
      <c r="D663" s="92" t="str">
        <f>IF($AG663="","",P_StatusVastleg)</f>
        <v/>
      </c>
      <c r="E663" s="92" t="str">
        <f>IF($AG663="","",P_UploadVJ)</f>
        <v/>
      </c>
      <c r="F663" s="92" t="str">
        <f>IF($AG663="","",P_UploadVersie)</f>
        <v/>
      </c>
      <c r="G663" s="92" t="str">
        <f>IF($AG663="","",IF(COUNTIFS(L_Sleutel,$S663,L_Status,"Vastgesteld")=0,0,_xlfn.MAXIFS(L_Revisie,L_Sleutel,$S663,L_Status,"Vastgesteld")+1))</f>
        <v/>
      </c>
      <c r="H663" s="108" t="str">
        <f>IF($AG663="","",P_Peildatum)</f>
        <v/>
      </c>
      <c r="I663" s="92" t="str">
        <f>IF($AG663="","",P_RJ+INDEX($AK$8:$AK$21,INDEX($AC$8:$AC$1407,$AG663)+1))</f>
        <v/>
      </c>
      <c r="J663" s="92" t="str">
        <f>IF($AG663="","",INDEX(V_WBS,INDEX($AB$8:$AB$1407,$AG663)))</f>
        <v/>
      </c>
      <c r="K663" s="92" t="str">
        <f>IF($AG663="","",INDEX(V_Projdef,INDEX($AB$8:$AB$1407,$AG663)))</f>
        <v/>
      </c>
      <c r="L663" s="92" t="str">
        <f>IF($AG663="","",INDEX(V_Naam,INDEX($AB$8:$AB$1407,$AG663)))</f>
        <v/>
      </c>
      <c r="M663" s="92" t="str">
        <f>IF($AG663="","",INDEX(V_Type,INDEX($AB$8:$AB$1407,$AG663)))</f>
        <v/>
      </c>
      <c r="N663" s="92" t="str">
        <f>IF($AG663="","",INDEX(V_IFRS,INDEX($AB$8:$AB$1407,$AG663)))</f>
        <v/>
      </c>
      <c r="O663" s="92" t="str">
        <f>IF($AG663="","",INDEX($AL$8:$AL$21,INDEX($AC$8:$AC$1407,$AG663)+1))</f>
        <v/>
      </c>
      <c r="P663" s="109" t="str">
        <f>IF($AG663="","",INDEX($AD$8:$AD$1407,$AG663))</f>
        <v/>
      </c>
      <c r="Q663" s="92" t="str">
        <f>IF($AG663="","",INDEX($AM$8:$AM$21,INDEX($AC$8:$AC$1407,$AG663)+1))</f>
        <v/>
      </c>
      <c r="R663" s="92" t="str">
        <f>IF($AG663="","",IF($G663&gt;0,P_ToelCorrectie&amp;"",""))</f>
        <v/>
      </c>
      <c r="S663" s="15" t="str">
        <f>IF(J663="","",J663&amp;"|"&amp;E663&amp;"|"&amp;F663&amp;"|"&amp;I663&amp;"|"&amp;O663)</f>
        <v/>
      </c>
      <c r="T663" s="111" t="str">
        <f>IF(S663="","",IF(COUNTIFS(L_Sleutel,S663,L_Actief,1)=0,"",SUMIFS(L_Waarde,L_Sleutel,S663,L_Actief,1)))</f>
        <v/>
      </c>
      <c r="U663" s="111">
        <f>IF(OR(S663="",T663=""),0,P663-T663)</f>
        <v>0</v>
      </c>
      <c r="AB663" s="112" t="n">
        <v>47</v>
      </c>
      <c r="AC663" s="112" t="n">
        <v>11</v>
      </c>
      <c r="AD663" s="112" t="str">
        <f>VERW_Project!BT52</f>
        <v/>
      </c>
      <c r="AE663" s="112">
        <f>IF(AND(VERW_Project!$A52&lt;&gt;"",ISNUMBER(AD663)),1,0)</f>
        <v>0</v>
      </c>
      <c r="AF663" s="112" t="str">
        <f>IF(AE663=1,SUM($AE$8:AE663),"")</f>
        <v/>
      </c>
      <c r="AG663" t="str">
        <f>IFERROR(MATCH(656,$AF$8:$AF$1407,0),"")</f>
        <v/>
      </c>
    </row>
    <row r="664">
      <c r="A664" s="92" t="str">
        <f>IF($AG664="","",P_ImportID)</f>
        <v/>
      </c>
      <c r="B664" s="92" t="str">
        <f>IF($AG664="","",IF(INDEX($AN$8:$AN$21,INDEX($AC$8:$AC$1407,$AG664)+1)="Z",P_BronZ,P_BronE))</f>
        <v/>
      </c>
      <c r="C664" s="108" t="str">
        <f>IF($AG664="","",P_Importdatum)</f>
        <v/>
      </c>
      <c r="D664" s="92" t="str">
        <f>IF($AG664="","",P_StatusVastleg)</f>
        <v/>
      </c>
      <c r="E664" s="92" t="str">
        <f>IF($AG664="","",P_UploadVJ)</f>
        <v/>
      </c>
      <c r="F664" s="92" t="str">
        <f>IF($AG664="","",P_UploadVersie)</f>
        <v/>
      </c>
      <c r="G664" s="92" t="str">
        <f>IF($AG664="","",IF(COUNTIFS(L_Sleutel,$S664,L_Status,"Vastgesteld")=0,0,_xlfn.MAXIFS(L_Revisie,L_Sleutel,$S664,L_Status,"Vastgesteld")+1))</f>
        <v/>
      </c>
      <c r="H664" s="108" t="str">
        <f>IF($AG664="","",P_Peildatum)</f>
        <v/>
      </c>
      <c r="I664" s="92" t="str">
        <f>IF($AG664="","",P_RJ+INDEX($AK$8:$AK$21,INDEX($AC$8:$AC$1407,$AG664)+1))</f>
        <v/>
      </c>
      <c r="J664" s="92" t="str">
        <f>IF($AG664="","",INDEX(V_WBS,INDEX($AB$8:$AB$1407,$AG664)))</f>
        <v/>
      </c>
      <c r="K664" s="92" t="str">
        <f>IF($AG664="","",INDEX(V_Projdef,INDEX($AB$8:$AB$1407,$AG664)))</f>
        <v/>
      </c>
      <c r="L664" s="92" t="str">
        <f>IF($AG664="","",INDEX(V_Naam,INDEX($AB$8:$AB$1407,$AG664)))</f>
        <v/>
      </c>
      <c r="M664" s="92" t="str">
        <f>IF($AG664="","",INDEX(V_Type,INDEX($AB$8:$AB$1407,$AG664)))</f>
        <v/>
      </c>
      <c r="N664" s="92" t="str">
        <f>IF($AG664="","",INDEX(V_IFRS,INDEX($AB$8:$AB$1407,$AG664)))</f>
        <v/>
      </c>
      <c r="O664" s="92" t="str">
        <f>IF($AG664="","",INDEX($AL$8:$AL$21,INDEX($AC$8:$AC$1407,$AG664)+1))</f>
        <v/>
      </c>
      <c r="P664" s="109" t="str">
        <f>IF($AG664="","",INDEX($AD$8:$AD$1407,$AG664))</f>
        <v/>
      </c>
      <c r="Q664" s="92" t="str">
        <f>IF($AG664="","",INDEX($AM$8:$AM$21,INDEX($AC$8:$AC$1407,$AG664)+1))</f>
        <v/>
      </c>
      <c r="R664" s="92" t="str">
        <f>IF($AG664="","",IF($G664&gt;0,P_ToelCorrectie&amp;"",""))</f>
        <v/>
      </c>
      <c r="S664" s="15" t="str">
        <f>IF(J664="","",J664&amp;"|"&amp;E664&amp;"|"&amp;F664&amp;"|"&amp;I664&amp;"|"&amp;O664)</f>
        <v/>
      </c>
      <c r="T664" s="111" t="str">
        <f>IF(S664="","",IF(COUNTIFS(L_Sleutel,S664,L_Actief,1)=0,"",SUMIFS(L_Waarde,L_Sleutel,S664,L_Actief,1)))</f>
        <v/>
      </c>
      <c r="U664" s="111">
        <f>IF(OR(S664="",T664=""),0,P664-T664)</f>
        <v>0</v>
      </c>
      <c r="AB664" s="112" t="n">
        <v>47</v>
      </c>
      <c r="AC664" s="112" t="n">
        <v>12</v>
      </c>
      <c r="AD664" s="112" t="str">
        <f>VERW_Project!BU52</f>
        <v/>
      </c>
      <c r="AE664" s="112">
        <f>IF(AND(VERW_Project!$A52&lt;&gt;"",ISNUMBER(AD664)),1,0)</f>
        <v>0</v>
      </c>
      <c r="AF664" s="112" t="str">
        <f>IF(AE664=1,SUM($AE$8:AE664),"")</f>
        <v/>
      </c>
      <c r="AG664" t="str">
        <f>IFERROR(MATCH(657,$AF$8:$AF$1407,0),"")</f>
        <v/>
      </c>
    </row>
    <row r="665">
      <c r="A665" s="92" t="str">
        <f>IF($AG665="","",P_ImportID)</f>
        <v/>
      </c>
      <c r="B665" s="92" t="str">
        <f>IF($AG665="","",IF(INDEX($AN$8:$AN$21,INDEX($AC$8:$AC$1407,$AG665)+1)="Z",P_BronZ,P_BronE))</f>
        <v/>
      </c>
      <c r="C665" s="108" t="str">
        <f>IF($AG665="","",P_Importdatum)</f>
        <v/>
      </c>
      <c r="D665" s="92" t="str">
        <f>IF($AG665="","",P_StatusVastleg)</f>
        <v/>
      </c>
      <c r="E665" s="92" t="str">
        <f>IF($AG665="","",P_UploadVJ)</f>
        <v/>
      </c>
      <c r="F665" s="92" t="str">
        <f>IF($AG665="","",P_UploadVersie)</f>
        <v/>
      </c>
      <c r="G665" s="92" t="str">
        <f>IF($AG665="","",IF(COUNTIFS(L_Sleutel,$S665,L_Status,"Vastgesteld")=0,0,_xlfn.MAXIFS(L_Revisie,L_Sleutel,$S665,L_Status,"Vastgesteld")+1))</f>
        <v/>
      </c>
      <c r="H665" s="108" t="str">
        <f>IF($AG665="","",P_Peildatum)</f>
        <v/>
      </c>
      <c r="I665" s="92" t="str">
        <f>IF($AG665="","",P_RJ+INDEX($AK$8:$AK$21,INDEX($AC$8:$AC$1407,$AG665)+1))</f>
        <v/>
      </c>
      <c r="J665" s="92" t="str">
        <f>IF($AG665="","",INDEX(V_WBS,INDEX($AB$8:$AB$1407,$AG665)))</f>
        <v/>
      </c>
      <c r="K665" s="92" t="str">
        <f>IF($AG665="","",INDEX(V_Projdef,INDEX($AB$8:$AB$1407,$AG665)))</f>
        <v/>
      </c>
      <c r="L665" s="92" t="str">
        <f>IF($AG665="","",INDEX(V_Naam,INDEX($AB$8:$AB$1407,$AG665)))</f>
        <v/>
      </c>
      <c r="M665" s="92" t="str">
        <f>IF($AG665="","",INDEX(V_Type,INDEX($AB$8:$AB$1407,$AG665)))</f>
        <v/>
      </c>
      <c r="N665" s="92" t="str">
        <f>IF($AG665="","",INDEX(V_IFRS,INDEX($AB$8:$AB$1407,$AG665)))</f>
        <v/>
      </c>
      <c r="O665" s="92" t="str">
        <f>IF($AG665="","",INDEX($AL$8:$AL$21,INDEX($AC$8:$AC$1407,$AG665)+1))</f>
        <v/>
      </c>
      <c r="P665" s="109" t="str">
        <f>IF($AG665="","",INDEX($AD$8:$AD$1407,$AG665))</f>
        <v/>
      </c>
      <c r="Q665" s="92" t="str">
        <f>IF($AG665="","",INDEX($AM$8:$AM$21,INDEX($AC$8:$AC$1407,$AG665)+1))</f>
        <v/>
      </c>
      <c r="R665" s="92" t="str">
        <f>IF($AG665="","",IF($G665&gt;0,P_ToelCorrectie&amp;"",""))</f>
        <v/>
      </c>
      <c r="S665" s="15" t="str">
        <f>IF(J665="","",J665&amp;"|"&amp;E665&amp;"|"&amp;F665&amp;"|"&amp;I665&amp;"|"&amp;O665)</f>
        <v/>
      </c>
      <c r="T665" s="111" t="str">
        <f>IF(S665="","",IF(COUNTIFS(L_Sleutel,S665,L_Actief,1)=0,"",SUMIFS(L_Waarde,L_Sleutel,S665,L_Actief,1)))</f>
        <v/>
      </c>
      <c r="U665" s="111">
        <f>IF(OR(S665="",T665=""),0,P665-T665)</f>
        <v>0</v>
      </c>
      <c r="AB665" s="112" t="n">
        <v>47</v>
      </c>
      <c r="AC665" s="112" t="n">
        <v>13</v>
      </c>
      <c r="AD665" s="112" t="str">
        <f>VERW_Project!BX52</f>
        <v/>
      </c>
      <c r="AE665" s="112">
        <f>IF(AND(VERW_Project!$A52&lt;&gt;"",ISNUMBER(AD665)),1,0)</f>
        <v>0</v>
      </c>
      <c r="AF665" s="112" t="str">
        <f>IF(AE665=1,SUM($AE$8:AE665),"")</f>
        <v/>
      </c>
      <c r="AG665" t="str">
        <f>IFERROR(MATCH(658,$AF$8:$AF$1407,0),"")</f>
        <v/>
      </c>
    </row>
    <row r="666">
      <c r="A666" s="92" t="str">
        <f>IF($AG666="","",P_ImportID)</f>
        <v/>
      </c>
      <c r="B666" s="92" t="str">
        <f>IF($AG666="","",IF(INDEX($AN$8:$AN$21,INDEX($AC$8:$AC$1407,$AG666)+1)="Z",P_BronZ,P_BronE))</f>
        <v/>
      </c>
      <c r="C666" s="108" t="str">
        <f>IF($AG666="","",P_Importdatum)</f>
        <v/>
      </c>
      <c r="D666" s="92" t="str">
        <f>IF($AG666="","",P_StatusVastleg)</f>
        <v/>
      </c>
      <c r="E666" s="92" t="str">
        <f>IF($AG666="","",P_UploadVJ)</f>
        <v/>
      </c>
      <c r="F666" s="92" t="str">
        <f>IF($AG666="","",P_UploadVersie)</f>
        <v/>
      </c>
      <c r="G666" s="92" t="str">
        <f>IF($AG666="","",IF(COUNTIFS(L_Sleutel,$S666,L_Status,"Vastgesteld")=0,0,_xlfn.MAXIFS(L_Revisie,L_Sleutel,$S666,L_Status,"Vastgesteld")+1))</f>
        <v/>
      </c>
      <c r="H666" s="108" t="str">
        <f>IF($AG666="","",P_Peildatum)</f>
        <v/>
      </c>
      <c r="I666" s="92" t="str">
        <f>IF($AG666="","",P_RJ+INDEX($AK$8:$AK$21,INDEX($AC$8:$AC$1407,$AG666)+1))</f>
        <v/>
      </c>
      <c r="J666" s="92" t="str">
        <f>IF($AG666="","",INDEX(V_WBS,INDEX($AB$8:$AB$1407,$AG666)))</f>
        <v/>
      </c>
      <c r="K666" s="92" t="str">
        <f>IF($AG666="","",INDEX(V_Projdef,INDEX($AB$8:$AB$1407,$AG666)))</f>
        <v/>
      </c>
      <c r="L666" s="92" t="str">
        <f>IF($AG666="","",INDEX(V_Naam,INDEX($AB$8:$AB$1407,$AG666)))</f>
        <v/>
      </c>
      <c r="M666" s="92" t="str">
        <f>IF($AG666="","",INDEX(V_Type,INDEX($AB$8:$AB$1407,$AG666)))</f>
        <v/>
      </c>
      <c r="N666" s="92" t="str">
        <f>IF($AG666="","",INDEX(V_IFRS,INDEX($AB$8:$AB$1407,$AG666)))</f>
        <v/>
      </c>
      <c r="O666" s="92" t="str">
        <f>IF($AG666="","",INDEX($AL$8:$AL$21,INDEX($AC$8:$AC$1407,$AG666)+1))</f>
        <v/>
      </c>
      <c r="P666" s="109" t="str">
        <f>IF($AG666="","",INDEX($AD$8:$AD$1407,$AG666))</f>
        <v/>
      </c>
      <c r="Q666" s="92" t="str">
        <f>IF($AG666="","",INDEX($AM$8:$AM$21,INDEX($AC$8:$AC$1407,$AG666)+1))</f>
        <v/>
      </c>
      <c r="R666" s="92" t="str">
        <f>IF($AG666="","",IF($G666&gt;0,P_ToelCorrectie&amp;"",""))</f>
        <v/>
      </c>
      <c r="S666" s="15" t="str">
        <f>IF(J666="","",J666&amp;"|"&amp;E666&amp;"|"&amp;F666&amp;"|"&amp;I666&amp;"|"&amp;O666)</f>
        <v/>
      </c>
      <c r="T666" s="111" t="str">
        <f>IF(S666="","",IF(COUNTIFS(L_Sleutel,S666,L_Actief,1)=0,"",SUMIFS(L_Waarde,L_Sleutel,S666,L_Actief,1)))</f>
        <v/>
      </c>
      <c r="U666" s="111">
        <f>IF(OR(S666="",T666=""),0,P666-T666)</f>
        <v>0</v>
      </c>
      <c r="AB666" s="112" t="n">
        <v>48</v>
      </c>
      <c r="AC666" s="112" t="n">
        <v>0</v>
      </c>
      <c r="AD666" s="112" t="str">
        <f>VERW_Project!P53</f>
        <v/>
      </c>
      <c r="AE666" s="112">
        <f>IF(AND(VERW_Project!$A53&lt;&gt;"",ISNUMBER(AD666)),1,0)</f>
        <v>0</v>
      </c>
      <c r="AF666" s="112" t="str">
        <f>IF(AE666=1,SUM($AE$8:AE666),"")</f>
        <v/>
      </c>
      <c r="AG666" t="str">
        <f>IFERROR(MATCH(659,$AF$8:$AF$1407,0),"")</f>
        <v/>
      </c>
    </row>
    <row r="667">
      <c r="A667" s="92" t="str">
        <f>IF($AG667="","",P_ImportID)</f>
        <v/>
      </c>
      <c r="B667" s="92" t="str">
        <f>IF($AG667="","",IF(INDEX($AN$8:$AN$21,INDEX($AC$8:$AC$1407,$AG667)+1)="Z",P_BronZ,P_BronE))</f>
        <v/>
      </c>
      <c r="C667" s="108" t="str">
        <f>IF($AG667="","",P_Importdatum)</f>
        <v/>
      </c>
      <c r="D667" s="92" t="str">
        <f>IF($AG667="","",P_StatusVastleg)</f>
        <v/>
      </c>
      <c r="E667" s="92" t="str">
        <f>IF($AG667="","",P_UploadVJ)</f>
        <v/>
      </c>
      <c r="F667" s="92" t="str">
        <f>IF($AG667="","",P_UploadVersie)</f>
        <v/>
      </c>
      <c r="G667" s="92" t="str">
        <f>IF($AG667="","",IF(COUNTIFS(L_Sleutel,$S667,L_Status,"Vastgesteld")=0,0,_xlfn.MAXIFS(L_Revisie,L_Sleutel,$S667,L_Status,"Vastgesteld")+1))</f>
        <v/>
      </c>
      <c r="H667" s="108" t="str">
        <f>IF($AG667="","",P_Peildatum)</f>
        <v/>
      </c>
      <c r="I667" s="92" t="str">
        <f>IF($AG667="","",P_RJ+INDEX($AK$8:$AK$21,INDEX($AC$8:$AC$1407,$AG667)+1))</f>
        <v/>
      </c>
      <c r="J667" s="92" t="str">
        <f>IF($AG667="","",INDEX(V_WBS,INDEX($AB$8:$AB$1407,$AG667)))</f>
        <v/>
      </c>
      <c r="K667" s="92" t="str">
        <f>IF($AG667="","",INDEX(V_Projdef,INDEX($AB$8:$AB$1407,$AG667)))</f>
        <v/>
      </c>
      <c r="L667" s="92" t="str">
        <f>IF($AG667="","",INDEX(V_Naam,INDEX($AB$8:$AB$1407,$AG667)))</f>
        <v/>
      </c>
      <c r="M667" s="92" t="str">
        <f>IF($AG667="","",INDEX(V_Type,INDEX($AB$8:$AB$1407,$AG667)))</f>
        <v/>
      </c>
      <c r="N667" s="92" t="str">
        <f>IF($AG667="","",INDEX(V_IFRS,INDEX($AB$8:$AB$1407,$AG667)))</f>
        <v/>
      </c>
      <c r="O667" s="92" t="str">
        <f>IF($AG667="","",INDEX($AL$8:$AL$21,INDEX($AC$8:$AC$1407,$AG667)+1))</f>
        <v/>
      </c>
      <c r="P667" s="109" t="str">
        <f>IF($AG667="","",INDEX($AD$8:$AD$1407,$AG667))</f>
        <v/>
      </c>
      <c r="Q667" s="92" t="str">
        <f>IF($AG667="","",INDEX($AM$8:$AM$21,INDEX($AC$8:$AC$1407,$AG667)+1))</f>
        <v/>
      </c>
      <c r="R667" s="92" t="str">
        <f>IF($AG667="","",IF($G667&gt;0,P_ToelCorrectie&amp;"",""))</f>
        <v/>
      </c>
      <c r="S667" s="15" t="str">
        <f>IF(J667="","",J667&amp;"|"&amp;E667&amp;"|"&amp;F667&amp;"|"&amp;I667&amp;"|"&amp;O667)</f>
        <v/>
      </c>
      <c r="T667" s="111" t="str">
        <f>IF(S667="","",IF(COUNTIFS(L_Sleutel,S667,L_Actief,1)=0,"",SUMIFS(L_Waarde,L_Sleutel,S667,L_Actief,1)))</f>
        <v/>
      </c>
      <c r="U667" s="111">
        <f>IF(OR(S667="",T667=""),0,P667-T667)</f>
        <v>0</v>
      </c>
      <c r="AB667" s="112" t="n">
        <v>48</v>
      </c>
      <c r="AC667" s="112" t="n">
        <v>1</v>
      </c>
      <c r="AD667" s="112" t="str">
        <f>VERW_Project!Q53</f>
        <v/>
      </c>
      <c r="AE667" s="112">
        <f>IF(AND(VERW_Project!$A53&lt;&gt;"",ISNUMBER(AD667)),1,0)</f>
        <v>0</v>
      </c>
      <c r="AF667" s="112" t="str">
        <f>IF(AE667=1,SUM($AE$8:AE667),"")</f>
        <v/>
      </c>
      <c r="AG667" t="str">
        <f>IFERROR(MATCH(660,$AF$8:$AF$1407,0),"")</f>
        <v/>
      </c>
    </row>
    <row r="668">
      <c r="A668" s="92" t="str">
        <f>IF($AG668="","",P_ImportID)</f>
        <v/>
      </c>
      <c r="B668" s="92" t="str">
        <f>IF($AG668="","",IF(INDEX($AN$8:$AN$21,INDEX($AC$8:$AC$1407,$AG668)+1)="Z",P_BronZ,P_BronE))</f>
        <v/>
      </c>
      <c r="C668" s="108" t="str">
        <f>IF($AG668="","",P_Importdatum)</f>
        <v/>
      </c>
      <c r="D668" s="92" t="str">
        <f>IF($AG668="","",P_StatusVastleg)</f>
        <v/>
      </c>
      <c r="E668" s="92" t="str">
        <f>IF($AG668="","",P_UploadVJ)</f>
        <v/>
      </c>
      <c r="F668" s="92" t="str">
        <f>IF($AG668="","",P_UploadVersie)</f>
        <v/>
      </c>
      <c r="G668" s="92" t="str">
        <f>IF($AG668="","",IF(COUNTIFS(L_Sleutel,$S668,L_Status,"Vastgesteld")=0,0,_xlfn.MAXIFS(L_Revisie,L_Sleutel,$S668,L_Status,"Vastgesteld")+1))</f>
        <v/>
      </c>
      <c r="H668" s="108" t="str">
        <f>IF($AG668="","",P_Peildatum)</f>
        <v/>
      </c>
      <c r="I668" s="92" t="str">
        <f>IF($AG668="","",P_RJ+INDEX($AK$8:$AK$21,INDEX($AC$8:$AC$1407,$AG668)+1))</f>
        <v/>
      </c>
      <c r="J668" s="92" t="str">
        <f>IF($AG668="","",INDEX(V_WBS,INDEX($AB$8:$AB$1407,$AG668)))</f>
        <v/>
      </c>
      <c r="K668" s="92" t="str">
        <f>IF($AG668="","",INDEX(V_Projdef,INDEX($AB$8:$AB$1407,$AG668)))</f>
        <v/>
      </c>
      <c r="L668" s="92" t="str">
        <f>IF($AG668="","",INDEX(V_Naam,INDEX($AB$8:$AB$1407,$AG668)))</f>
        <v/>
      </c>
      <c r="M668" s="92" t="str">
        <f>IF($AG668="","",INDEX(V_Type,INDEX($AB$8:$AB$1407,$AG668)))</f>
        <v/>
      </c>
      <c r="N668" s="92" t="str">
        <f>IF($AG668="","",INDEX(V_IFRS,INDEX($AB$8:$AB$1407,$AG668)))</f>
        <v/>
      </c>
      <c r="O668" s="92" t="str">
        <f>IF($AG668="","",INDEX($AL$8:$AL$21,INDEX($AC$8:$AC$1407,$AG668)+1))</f>
        <v/>
      </c>
      <c r="P668" s="109" t="str">
        <f>IF($AG668="","",INDEX($AD$8:$AD$1407,$AG668))</f>
        <v/>
      </c>
      <c r="Q668" s="92" t="str">
        <f>IF($AG668="","",INDEX($AM$8:$AM$21,INDEX($AC$8:$AC$1407,$AG668)+1))</f>
        <v/>
      </c>
      <c r="R668" s="92" t="str">
        <f>IF($AG668="","",IF($G668&gt;0,P_ToelCorrectie&amp;"",""))</f>
        <v/>
      </c>
      <c r="S668" s="15" t="str">
        <f>IF(J668="","",J668&amp;"|"&amp;E668&amp;"|"&amp;F668&amp;"|"&amp;I668&amp;"|"&amp;O668)</f>
        <v/>
      </c>
      <c r="T668" s="111" t="str">
        <f>IF(S668="","",IF(COUNTIFS(L_Sleutel,S668,L_Actief,1)=0,"",SUMIFS(L_Waarde,L_Sleutel,S668,L_Actief,1)))</f>
        <v/>
      </c>
      <c r="U668" s="111">
        <f>IF(OR(S668="",T668=""),0,P668-T668)</f>
        <v>0</v>
      </c>
      <c r="AB668" s="112" t="n">
        <v>48</v>
      </c>
      <c r="AC668" s="112" t="n">
        <v>2</v>
      </c>
      <c r="AD668" s="112" t="str">
        <f>VERW_Project!L53</f>
        <v/>
      </c>
      <c r="AE668" s="112">
        <f>IF(AND(VERW_Project!$A53&lt;&gt;"",ISNUMBER(AD668)),1,0)</f>
        <v>0</v>
      </c>
      <c r="AF668" s="112" t="str">
        <f>IF(AE668=1,SUM($AE$8:AE668),"")</f>
        <v/>
      </c>
      <c r="AG668" t="str">
        <f>IFERROR(MATCH(661,$AF$8:$AF$1407,0),"")</f>
        <v/>
      </c>
    </row>
    <row r="669">
      <c r="A669" s="92" t="str">
        <f>IF($AG669="","",P_ImportID)</f>
        <v/>
      </c>
      <c r="B669" s="92" t="str">
        <f>IF($AG669="","",IF(INDEX($AN$8:$AN$21,INDEX($AC$8:$AC$1407,$AG669)+1)="Z",P_BronZ,P_BronE))</f>
        <v/>
      </c>
      <c r="C669" s="108" t="str">
        <f>IF($AG669="","",P_Importdatum)</f>
        <v/>
      </c>
      <c r="D669" s="92" t="str">
        <f>IF($AG669="","",P_StatusVastleg)</f>
        <v/>
      </c>
      <c r="E669" s="92" t="str">
        <f>IF($AG669="","",P_UploadVJ)</f>
        <v/>
      </c>
      <c r="F669" s="92" t="str">
        <f>IF($AG669="","",P_UploadVersie)</f>
        <v/>
      </c>
      <c r="G669" s="92" t="str">
        <f>IF($AG669="","",IF(COUNTIFS(L_Sleutel,$S669,L_Status,"Vastgesteld")=0,0,_xlfn.MAXIFS(L_Revisie,L_Sleutel,$S669,L_Status,"Vastgesteld")+1))</f>
        <v/>
      </c>
      <c r="H669" s="108" t="str">
        <f>IF($AG669="","",P_Peildatum)</f>
        <v/>
      </c>
      <c r="I669" s="92" t="str">
        <f>IF($AG669="","",P_RJ+INDEX($AK$8:$AK$21,INDEX($AC$8:$AC$1407,$AG669)+1))</f>
        <v/>
      </c>
      <c r="J669" s="92" t="str">
        <f>IF($AG669="","",INDEX(V_WBS,INDEX($AB$8:$AB$1407,$AG669)))</f>
        <v/>
      </c>
      <c r="K669" s="92" t="str">
        <f>IF($AG669="","",INDEX(V_Projdef,INDEX($AB$8:$AB$1407,$AG669)))</f>
        <v/>
      </c>
      <c r="L669" s="92" t="str">
        <f>IF($AG669="","",INDEX(V_Naam,INDEX($AB$8:$AB$1407,$AG669)))</f>
        <v/>
      </c>
      <c r="M669" s="92" t="str">
        <f>IF($AG669="","",INDEX(V_Type,INDEX($AB$8:$AB$1407,$AG669)))</f>
        <v/>
      </c>
      <c r="N669" s="92" t="str">
        <f>IF($AG669="","",INDEX(V_IFRS,INDEX($AB$8:$AB$1407,$AG669)))</f>
        <v/>
      </c>
      <c r="O669" s="92" t="str">
        <f>IF($AG669="","",INDEX($AL$8:$AL$21,INDEX($AC$8:$AC$1407,$AG669)+1))</f>
        <v/>
      </c>
      <c r="P669" s="109" t="str">
        <f>IF($AG669="","",INDEX($AD$8:$AD$1407,$AG669))</f>
        <v/>
      </c>
      <c r="Q669" s="92" t="str">
        <f>IF($AG669="","",INDEX($AM$8:$AM$21,INDEX($AC$8:$AC$1407,$AG669)+1))</f>
        <v/>
      </c>
      <c r="R669" s="92" t="str">
        <f>IF($AG669="","",IF($G669&gt;0,P_ToelCorrectie&amp;"",""))</f>
        <v/>
      </c>
      <c r="S669" s="15" t="str">
        <f>IF(J669="","",J669&amp;"|"&amp;E669&amp;"|"&amp;F669&amp;"|"&amp;I669&amp;"|"&amp;O669)</f>
        <v/>
      </c>
      <c r="T669" s="111" t="str">
        <f>IF(S669="","",IF(COUNTIFS(L_Sleutel,S669,L_Actief,1)=0,"",SUMIFS(L_Waarde,L_Sleutel,S669,L_Actief,1)))</f>
        <v/>
      </c>
      <c r="U669" s="111">
        <f>IF(OR(S669="",T669=""),0,P669-T669)</f>
        <v>0</v>
      </c>
      <c r="AB669" s="112" t="n">
        <v>48</v>
      </c>
      <c r="AC669" s="112" t="n">
        <v>3</v>
      </c>
      <c r="AD669" s="112" t="str">
        <f>VERW_Project!M53</f>
        <v/>
      </c>
      <c r="AE669" s="112">
        <f>IF(AND(VERW_Project!$A53&lt;&gt;"",ISNUMBER(AD669)),1,0)</f>
        <v>0</v>
      </c>
      <c r="AF669" s="112" t="str">
        <f>IF(AE669=1,SUM($AE$8:AE669),"")</f>
        <v/>
      </c>
      <c r="AG669" t="str">
        <f>IFERROR(MATCH(662,$AF$8:$AF$1407,0),"")</f>
        <v/>
      </c>
    </row>
    <row r="670">
      <c r="A670" s="92" t="str">
        <f>IF($AG670="","",P_ImportID)</f>
        <v/>
      </c>
      <c r="B670" s="92" t="str">
        <f>IF($AG670="","",IF(INDEX($AN$8:$AN$21,INDEX($AC$8:$AC$1407,$AG670)+1)="Z",P_BronZ,P_BronE))</f>
        <v/>
      </c>
      <c r="C670" s="108" t="str">
        <f>IF($AG670="","",P_Importdatum)</f>
        <v/>
      </c>
      <c r="D670" s="92" t="str">
        <f>IF($AG670="","",P_StatusVastleg)</f>
        <v/>
      </c>
      <c r="E670" s="92" t="str">
        <f>IF($AG670="","",P_UploadVJ)</f>
        <v/>
      </c>
      <c r="F670" s="92" t="str">
        <f>IF($AG670="","",P_UploadVersie)</f>
        <v/>
      </c>
      <c r="G670" s="92" t="str">
        <f>IF($AG670="","",IF(COUNTIFS(L_Sleutel,$S670,L_Status,"Vastgesteld")=0,0,_xlfn.MAXIFS(L_Revisie,L_Sleutel,$S670,L_Status,"Vastgesteld")+1))</f>
        <v/>
      </c>
      <c r="H670" s="108" t="str">
        <f>IF($AG670="","",P_Peildatum)</f>
        <v/>
      </c>
      <c r="I670" s="92" t="str">
        <f>IF($AG670="","",P_RJ+INDEX($AK$8:$AK$21,INDEX($AC$8:$AC$1407,$AG670)+1))</f>
        <v/>
      </c>
      <c r="J670" s="92" t="str">
        <f>IF($AG670="","",INDEX(V_WBS,INDEX($AB$8:$AB$1407,$AG670)))</f>
        <v/>
      </c>
      <c r="K670" s="92" t="str">
        <f>IF($AG670="","",INDEX(V_Projdef,INDEX($AB$8:$AB$1407,$AG670)))</f>
        <v/>
      </c>
      <c r="L670" s="92" t="str">
        <f>IF($AG670="","",INDEX(V_Naam,INDEX($AB$8:$AB$1407,$AG670)))</f>
        <v/>
      </c>
      <c r="M670" s="92" t="str">
        <f>IF($AG670="","",INDEX(V_Type,INDEX($AB$8:$AB$1407,$AG670)))</f>
        <v/>
      </c>
      <c r="N670" s="92" t="str">
        <f>IF($AG670="","",INDEX(V_IFRS,INDEX($AB$8:$AB$1407,$AG670)))</f>
        <v/>
      </c>
      <c r="O670" s="92" t="str">
        <f>IF($AG670="","",INDEX($AL$8:$AL$21,INDEX($AC$8:$AC$1407,$AG670)+1))</f>
        <v/>
      </c>
      <c r="P670" s="109" t="str">
        <f>IF($AG670="","",INDEX($AD$8:$AD$1407,$AG670))</f>
        <v/>
      </c>
      <c r="Q670" s="92" t="str">
        <f>IF($AG670="","",INDEX($AM$8:$AM$21,INDEX($AC$8:$AC$1407,$AG670)+1))</f>
        <v/>
      </c>
      <c r="R670" s="92" t="str">
        <f>IF($AG670="","",IF($G670&gt;0,P_ToelCorrectie&amp;"",""))</f>
        <v/>
      </c>
      <c r="S670" s="15" t="str">
        <f>IF(J670="","",J670&amp;"|"&amp;E670&amp;"|"&amp;F670&amp;"|"&amp;I670&amp;"|"&amp;O670)</f>
        <v/>
      </c>
      <c r="T670" s="111" t="str">
        <f>IF(S670="","",IF(COUNTIFS(L_Sleutel,S670,L_Actief,1)=0,"",SUMIFS(L_Waarde,L_Sleutel,S670,L_Actief,1)))</f>
        <v/>
      </c>
      <c r="U670" s="111">
        <f>IF(OR(S670="",T670=""),0,P670-T670)</f>
        <v>0</v>
      </c>
      <c r="AB670" s="112" t="n">
        <v>48</v>
      </c>
      <c r="AC670" s="112" t="n">
        <v>4</v>
      </c>
      <c r="AD670" s="112" t="str">
        <f>VERW_Project!R53</f>
        <v/>
      </c>
      <c r="AE670" s="112">
        <f>IF(AND(VERW_Project!$A53&lt;&gt;"",ISNUMBER(AD670)),1,0)</f>
        <v>0</v>
      </c>
      <c r="AF670" s="112" t="str">
        <f>IF(AE670=1,SUM($AE$8:AE670),"")</f>
        <v/>
      </c>
      <c r="AG670" t="str">
        <f>IFERROR(MATCH(663,$AF$8:$AF$1407,0),"")</f>
        <v/>
      </c>
    </row>
    <row r="671">
      <c r="A671" s="92" t="str">
        <f>IF($AG671="","",P_ImportID)</f>
        <v/>
      </c>
      <c r="B671" s="92" t="str">
        <f>IF($AG671="","",IF(INDEX($AN$8:$AN$21,INDEX($AC$8:$AC$1407,$AG671)+1)="Z",P_BronZ,P_BronE))</f>
        <v/>
      </c>
      <c r="C671" s="108" t="str">
        <f>IF($AG671="","",P_Importdatum)</f>
        <v/>
      </c>
      <c r="D671" s="92" t="str">
        <f>IF($AG671="","",P_StatusVastleg)</f>
        <v/>
      </c>
      <c r="E671" s="92" t="str">
        <f>IF($AG671="","",P_UploadVJ)</f>
        <v/>
      </c>
      <c r="F671" s="92" t="str">
        <f>IF($AG671="","",P_UploadVersie)</f>
        <v/>
      </c>
      <c r="G671" s="92" t="str">
        <f>IF($AG671="","",IF(COUNTIFS(L_Sleutel,$S671,L_Status,"Vastgesteld")=0,0,_xlfn.MAXIFS(L_Revisie,L_Sleutel,$S671,L_Status,"Vastgesteld")+1))</f>
        <v/>
      </c>
      <c r="H671" s="108" t="str">
        <f>IF($AG671="","",P_Peildatum)</f>
        <v/>
      </c>
      <c r="I671" s="92" t="str">
        <f>IF($AG671="","",P_RJ+INDEX($AK$8:$AK$21,INDEX($AC$8:$AC$1407,$AG671)+1))</f>
        <v/>
      </c>
      <c r="J671" s="92" t="str">
        <f>IF($AG671="","",INDEX(V_WBS,INDEX($AB$8:$AB$1407,$AG671)))</f>
        <v/>
      </c>
      <c r="K671" s="92" t="str">
        <f>IF($AG671="","",INDEX(V_Projdef,INDEX($AB$8:$AB$1407,$AG671)))</f>
        <v/>
      </c>
      <c r="L671" s="92" t="str">
        <f>IF($AG671="","",INDEX(V_Naam,INDEX($AB$8:$AB$1407,$AG671)))</f>
        <v/>
      </c>
      <c r="M671" s="92" t="str">
        <f>IF($AG671="","",INDEX(V_Type,INDEX($AB$8:$AB$1407,$AG671)))</f>
        <v/>
      </c>
      <c r="N671" s="92" t="str">
        <f>IF($AG671="","",INDEX(V_IFRS,INDEX($AB$8:$AB$1407,$AG671)))</f>
        <v/>
      </c>
      <c r="O671" s="92" t="str">
        <f>IF($AG671="","",INDEX($AL$8:$AL$21,INDEX($AC$8:$AC$1407,$AG671)+1))</f>
        <v/>
      </c>
      <c r="P671" s="109" t="str">
        <f>IF($AG671="","",INDEX($AD$8:$AD$1407,$AG671))</f>
        <v/>
      </c>
      <c r="Q671" s="92" t="str">
        <f>IF($AG671="","",INDEX($AM$8:$AM$21,INDEX($AC$8:$AC$1407,$AG671)+1))</f>
        <v/>
      </c>
      <c r="R671" s="92" t="str">
        <f>IF($AG671="","",IF($G671&gt;0,P_ToelCorrectie&amp;"",""))</f>
        <v/>
      </c>
      <c r="S671" s="15" t="str">
        <f>IF(J671="","",J671&amp;"|"&amp;E671&amp;"|"&amp;F671&amp;"|"&amp;I671&amp;"|"&amp;O671)</f>
        <v/>
      </c>
      <c r="T671" s="111" t="str">
        <f>IF(S671="","",IF(COUNTIFS(L_Sleutel,S671,L_Actief,1)=0,"",SUMIFS(L_Waarde,L_Sleutel,S671,L_Actief,1)))</f>
        <v/>
      </c>
      <c r="U671" s="111">
        <f>IF(OR(S671="",T671=""),0,P671-T671)</f>
        <v>0</v>
      </c>
      <c r="AB671" s="112" t="n">
        <v>48</v>
      </c>
      <c r="AC671" s="112" t="n">
        <v>5</v>
      </c>
      <c r="AD671" s="112" t="str">
        <f>VERW_Project!S53</f>
        <v/>
      </c>
      <c r="AE671" s="112">
        <f>IF(AND(VERW_Project!$A53&lt;&gt;"",ISNUMBER(AD671)),1,0)</f>
        <v>0</v>
      </c>
      <c r="AF671" s="112" t="str">
        <f>IF(AE671=1,SUM($AE$8:AE671),"")</f>
        <v/>
      </c>
      <c r="AG671" t="str">
        <f>IFERROR(MATCH(664,$AF$8:$AF$1407,0),"")</f>
        <v/>
      </c>
    </row>
    <row r="672">
      <c r="A672" s="92" t="str">
        <f>IF($AG672="","",P_ImportID)</f>
        <v/>
      </c>
      <c r="B672" s="92" t="str">
        <f>IF($AG672="","",IF(INDEX($AN$8:$AN$21,INDEX($AC$8:$AC$1407,$AG672)+1)="Z",P_BronZ,P_BronE))</f>
        <v/>
      </c>
      <c r="C672" s="108" t="str">
        <f>IF($AG672="","",P_Importdatum)</f>
        <v/>
      </c>
      <c r="D672" s="92" t="str">
        <f>IF($AG672="","",P_StatusVastleg)</f>
        <v/>
      </c>
      <c r="E672" s="92" t="str">
        <f>IF($AG672="","",P_UploadVJ)</f>
        <v/>
      </c>
      <c r="F672" s="92" t="str">
        <f>IF($AG672="","",P_UploadVersie)</f>
        <v/>
      </c>
      <c r="G672" s="92" t="str">
        <f>IF($AG672="","",IF(COUNTIFS(L_Sleutel,$S672,L_Status,"Vastgesteld")=0,0,_xlfn.MAXIFS(L_Revisie,L_Sleutel,$S672,L_Status,"Vastgesteld")+1))</f>
        <v/>
      </c>
      <c r="H672" s="108" t="str">
        <f>IF($AG672="","",P_Peildatum)</f>
        <v/>
      </c>
      <c r="I672" s="92" t="str">
        <f>IF($AG672="","",P_RJ+INDEX($AK$8:$AK$21,INDEX($AC$8:$AC$1407,$AG672)+1))</f>
        <v/>
      </c>
      <c r="J672" s="92" t="str">
        <f>IF($AG672="","",INDEX(V_WBS,INDEX($AB$8:$AB$1407,$AG672)))</f>
        <v/>
      </c>
      <c r="K672" s="92" t="str">
        <f>IF($AG672="","",INDEX(V_Projdef,INDEX($AB$8:$AB$1407,$AG672)))</f>
        <v/>
      </c>
      <c r="L672" s="92" t="str">
        <f>IF($AG672="","",INDEX(V_Naam,INDEX($AB$8:$AB$1407,$AG672)))</f>
        <v/>
      </c>
      <c r="M672" s="92" t="str">
        <f>IF($AG672="","",INDEX(V_Type,INDEX($AB$8:$AB$1407,$AG672)))</f>
        <v/>
      </c>
      <c r="N672" s="92" t="str">
        <f>IF($AG672="","",INDEX(V_IFRS,INDEX($AB$8:$AB$1407,$AG672)))</f>
        <v/>
      </c>
      <c r="O672" s="92" t="str">
        <f>IF($AG672="","",INDEX($AL$8:$AL$21,INDEX($AC$8:$AC$1407,$AG672)+1))</f>
        <v/>
      </c>
      <c r="P672" s="109" t="str">
        <f>IF($AG672="","",INDEX($AD$8:$AD$1407,$AG672))</f>
        <v/>
      </c>
      <c r="Q672" s="92" t="str">
        <f>IF($AG672="","",INDEX($AM$8:$AM$21,INDEX($AC$8:$AC$1407,$AG672)+1))</f>
        <v/>
      </c>
      <c r="R672" s="92" t="str">
        <f>IF($AG672="","",IF($G672&gt;0,P_ToelCorrectie&amp;"",""))</f>
        <v/>
      </c>
      <c r="S672" s="15" t="str">
        <f>IF(J672="","",J672&amp;"|"&amp;E672&amp;"|"&amp;F672&amp;"|"&amp;I672&amp;"|"&amp;O672)</f>
        <v/>
      </c>
      <c r="T672" s="111" t="str">
        <f>IF(S672="","",IF(COUNTIFS(L_Sleutel,S672,L_Actief,1)=0,"",SUMIFS(L_Waarde,L_Sleutel,S672,L_Actief,1)))</f>
        <v/>
      </c>
      <c r="U672" s="111">
        <f>IF(OR(S672="",T672=""),0,P672-T672)</f>
        <v>0</v>
      </c>
      <c r="AB672" s="112" t="n">
        <v>48</v>
      </c>
      <c r="AC672" s="112" t="n">
        <v>6</v>
      </c>
      <c r="AD672" s="112" t="str">
        <f>VERW_Project!BW53</f>
        <v/>
      </c>
      <c r="AE672" s="112">
        <f>IF(AND(VERW_Project!$A53&lt;&gt;"",ISNUMBER(AD672)),1,0)</f>
        <v>0</v>
      </c>
      <c r="AF672" s="112" t="str">
        <f>IF(AE672=1,SUM($AE$8:AE672),"")</f>
        <v/>
      </c>
      <c r="AG672" t="str">
        <f>IFERROR(MATCH(665,$AF$8:$AF$1407,0),"")</f>
        <v/>
      </c>
    </row>
    <row r="673">
      <c r="A673" s="92" t="str">
        <f>IF($AG673="","",P_ImportID)</f>
        <v/>
      </c>
      <c r="B673" s="92" t="str">
        <f>IF($AG673="","",IF(INDEX($AN$8:$AN$21,INDEX($AC$8:$AC$1407,$AG673)+1)="Z",P_BronZ,P_BronE))</f>
        <v/>
      </c>
      <c r="C673" s="108" t="str">
        <f>IF($AG673="","",P_Importdatum)</f>
        <v/>
      </c>
      <c r="D673" s="92" t="str">
        <f>IF($AG673="","",P_StatusVastleg)</f>
        <v/>
      </c>
      <c r="E673" s="92" t="str">
        <f>IF($AG673="","",P_UploadVJ)</f>
        <v/>
      </c>
      <c r="F673" s="92" t="str">
        <f>IF($AG673="","",P_UploadVersie)</f>
        <v/>
      </c>
      <c r="G673" s="92" t="str">
        <f>IF($AG673="","",IF(COUNTIFS(L_Sleutel,$S673,L_Status,"Vastgesteld")=0,0,_xlfn.MAXIFS(L_Revisie,L_Sleutel,$S673,L_Status,"Vastgesteld")+1))</f>
        <v/>
      </c>
      <c r="H673" s="108" t="str">
        <f>IF($AG673="","",P_Peildatum)</f>
        <v/>
      </c>
      <c r="I673" s="92" t="str">
        <f>IF($AG673="","",P_RJ+INDEX($AK$8:$AK$21,INDEX($AC$8:$AC$1407,$AG673)+1))</f>
        <v/>
      </c>
      <c r="J673" s="92" t="str">
        <f>IF($AG673="","",INDEX(V_WBS,INDEX($AB$8:$AB$1407,$AG673)))</f>
        <v/>
      </c>
      <c r="K673" s="92" t="str">
        <f>IF($AG673="","",INDEX(V_Projdef,INDEX($AB$8:$AB$1407,$AG673)))</f>
        <v/>
      </c>
      <c r="L673" s="92" t="str">
        <f>IF($AG673="","",INDEX(V_Naam,INDEX($AB$8:$AB$1407,$AG673)))</f>
        <v/>
      </c>
      <c r="M673" s="92" t="str">
        <f>IF($AG673="","",INDEX(V_Type,INDEX($AB$8:$AB$1407,$AG673)))</f>
        <v/>
      </c>
      <c r="N673" s="92" t="str">
        <f>IF($AG673="","",INDEX(V_IFRS,INDEX($AB$8:$AB$1407,$AG673)))</f>
        <v/>
      </c>
      <c r="O673" s="92" t="str">
        <f>IF($AG673="","",INDEX($AL$8:$AL$21,INDEX($AC$8:$AC$1407,$AG673)+1))</f>
        <v/>
      </c>
      <c r="P673" s="109" t="str">
        <f>IF($AG673="","",INDEX($AD$8:$AD$1407,$AG673))</f>
        <v/>
      </c>
      <c r="Q673" s="92" t="str">
        <f>IF($AG673="","",INDEX($AM$8:$AM$21,INDEX($AC$8:$AC$1407,$AG673)+1))</f>
        <v/>
      </c>
      <c r="R673" s="92" t="str">
        <f>IF($AG673="","",IF($G673&gt;0,P_ToelCorrectie&amp;"",""))</f>
        <v/>
      </c>
      <c r="S673" s="15" t="str">
        <f>IF(J673="","",J673&amp;"|"&amp;E673&amp;"|"&amp;F673&amp;"|"&amp;I673&amp;"|"&amp;O673)</f>
        <v/>
      </c>
      <c r="T673" s="111" t="str">
        <f>IF(S673="","",IF(COUNTIFS(L_Sleutel,S673,L_Actief,1)=0,"",SUMIFS(L_Waarde,L_Sleutel,S673,L_Actief,1)))</f>
        <v/>
      </c>
      <c r="U673" s="111">
        <f>IF(OR(S673="",T673=""),0,P673-T673)</f>
        <v>0</v>
      </c>
      <c r="AB673" s="112" t="n">
        <v>48</v>
      </c>
      <c r="AC673" s="112" t="n">
        <v>7</v>
      </c>
      <c r="AD673" s="112" t="str">
        <f>VERW_Project!AW53</f>
        <v/>
      </c>
      <c r="AE673" s="112">
        <f>IF(AND(VERW_Project!$A53&lt;&gt;"",ISNUMBER(AD673)),1,0)</f>
        <v>0</v>
      </c>
      <c r="AF673" s="112" t="str">
        <f>IF(AE673=1,SUM($AE$8:AE673),"")</f>
        <v/>
      </c>
      <c r="AG673" t="str">
        <f>IFERROR(MATCH(666,$AF$8:$AF$1407,0),"")</f>
        <v/>
      </c>
    </row>
    <row r="674">
      <c r="A674" s="92" t="str">
        <f>IF($AG674="","",P_ImportID)</f>
        <v/>
      </c>
      <c r="B674" s="92" t="str">
        <f>IF($AG674="","",IF(INDEX($AN$8:$AN$21,INDEX($AC$8:$AC$1407,$AG674)+1)="Z",P_BronZ,P_BronE))</f>
        <v/>
      </c>
      <c r="C674" s="108" t="str">
        <f>IF($AG674="","",P_Importdatum)</f>
        <v/>
      </c>
      <c r="D674" s="92" t="str">
        <f>IF($AG674="","",P_StatusVastleg)</f>
        <v/>
      </c>
      <c r="E674" s="92" t="str">
        <f>IF($AG674="","",P_UploadVJ)</f>
        <v/>
      </c>
      <c r="F674" s="92" t="str">
        <f>IF($AG674="","",P_UploadVersie)</f>
        <v/>
      </c>
      <c r="G674" s="92" t="str">
        <f>IF($AG674="","",IF(COUNTIFS(L_Sleutel,$S674,L_Status,"Vastgesteld")=0,0,_xlfn.MAXIFS(L_Revisie,L_Sleutel,$S674,L_Status,"Vastgesteld")+1))</f>
        <v/>
      </c>
      <c r="H674" s="108" t="str">
        <f>IF($AG674="","",P_Peildatum)</f>
        <v/>
      </c>
      <c r="I674" s="92" t="str">
        <f>IF($AG674="","",P_RJ+INDEX($AK$8:$AK$21,INDEX($AC$8:$AC$1407,$AG674)+1))</f>
        <v/>
      </c>
      <c r="J674" s="92" t="str">
        <f>IF($AG674="","",INDEX(V_WBS,INDEX($AB$8:$AB$1407,$AG674)))</f>
        <v/>
      </c>
      <c r="K674" s="92" t="str">
        <f>IF($AG674="","",INDEX(V_Projdef,INDEX($AB$8:$AB$1407,$AG674)))</f>
        <v/>
      </c>
      <c r="L674" s="92" t="str">
        <f>IF($AG674="","",INDEX(V_Naam,INDEX($AB$8:$AB$1407,$AG674)))</f>
        <v/>
      </c>
      <c r="M674" s="92" t="str">
        <f>IF($AG674="","",INDEX(V_Type,INDEX($AB$8:$AB$1407,$AG674)))</f>
        <v/>
      </c>
      <c r="N674" s="92" t="str">
        <f>IF($AG674="","",INDEX(V_IFRS,INDEX($AB$8:$AB$1407,$AG674)))</f>
        <v/>
      </c>
      <c r="O674" s="92" t="str">
        <f>IF($AG674="","",INDEX($AL$8:$AL$21,INDEX($AC$8:$AC$1407,$AG674)+1))</f>
        <v/>
      </c>
      <c r="P674" s="109" t="str">
        <f>IF($AG674="","",INDEX($AD$8:$AD$1407,$AG674))</f>
        <v/>
      </c>
      <c r="Q674" s="92" t="str">
        <f>IF($AG674="","",INDEX($AM$8:$AM$21,INDEX($AC$8:$AC$1407,$AG674)+1))</f>
        <v/>
      </c>
      <c r="R674" s="92" t="str">
        <f>IF($AG674="","",IF($G674&gt;0,P_ToelCorrectie&amp;"",""))</f>
        <v/>
      </c>
      <c r="S674" s="15" t="str">
        <f>IF(J674="","",J674&amp;"|"&amp;E674&amp;"|"&amp;F674&amp;"|"&amp;I674&amp;"|"&amp;O674)</f>
        <v/>
      </c>
      <c r="T674" s="111" t="str">
        <f>IF(S674="","",IF(COUNTIFS(L_Sleutel,S674,L_Actief,1)=0,"",SUMIFS(L_Waarde,L_Sleutel,S674,L_Actief,1)))</f>
        <v/>
      </c>
      <c r="U674" s="111">
        <f>IF(OR(S674="",T674=""),0,P674-T674)</f>
        <v>0</v>
      </c>
      <c r="AB674" s="112" t="n">
        <v>48</v>
      </c>
      <c r="AC674" s="112" t="n">
        <v>8</v>
      </c>
      <c r="AD674" s="112" t="str">
        <f>VERW_Project!BQ53</f>
        <v/>
      </c>
      <c r="AE674" s="112">
        <f>IF(AND(VERW_Project!$A53&lt;&gt;"",ISNUMBER(AD674)),1,0)</f>
        <v>0</v>
      </c>
      <c r="AF674" s="112" t="str">
        <f>IF(AE674=1,SUM($AE$8:AE674),"")</f>
        <v/>
      </c>
      <c r="AG674" t="str">
        <f>IFERROR(MATCH(667,$AF$8:$AF$1407,0),"")</f>
        <v/>
      </c>
    </row>
    <row r="675">
      <c r="A675" s="92" t="str">
        <f>IF($AG675="","",P_ImportID)</f>
        <v/>
      </c>
      <c r="B675" s="92" t="str">
        <f>IF($AG675="","",IF(INDEX($AN$8:$AN$21,INDEX($AC$8:$AC$1407,$AG675)+1)="Z",P_BronZ,P_BronE))</f>
        <v/>
      </c>
      <c r="C675" s="108" t="str">
        <f>IF($AG675="","",P_Importdatum)</f>
        <v/>
      </c>
      <c r="D675" s="92" t="str">
        <f>IF($AG675="","",P_StatusVastleg)</f>
        <v/>
      </c>
      <c r="E675" s="92" t="str">
        <f>IF($AG675="","",P_UploadVJ)</f>
        <v/>
      </c>
      <c r="F675" s="92" t="str">
        <f>IF($AG675="","",P_UploadVersie)</f>
        <v/>
      </c>
      <c r="G675" s="92" t="str">
        <f>IF($AG675="","",IF(COUNTIFS(L_Sleutel,$S675,L_Status,"Vastgesteld")=0,0,_xlfn.MAXIFS(L_Revisie,L_Sleutel,$S675,L_Status,"Vastgesteld")+1))</f>
        <v/>
      </c>
      <c r="H675" s="108" t="str">
        <f>IF($AG675="","",P_Peildatum)</f>
        <v/>
      </c>
      <c r="I675" s="92" t="str">
        <f>IF($AG675="","",P_RJ+INDEX($AK$8:$AK$21,INDEX($AC$8:$AC$1407,$AG675)+1))</f>
        <v/>
      </c>
      <c r="J675" s="92" t="str">
        <f>IF($AG675="","",INDEX(V_WBS,INDEX($AB$8:$AB$1407,$AG675)))</f>
        <v/>
      </c>
      <c r="K675" s="92" t="str">
        <f>IF($AG675="","",INDEX(V_Projdef,INDEX($AB$8:$AB$1407,$AG675)))</f>
        <v/>
      </c>
      <c r="L675" s="92" t="str">
        <f>IF($AG675="","",INDEX(V_Naam,INDEX($AB$8:$AB$1407,$AG675)))</f>
        <v/>
      </c>
      <c r="M675" s="92" t="str">
        <f>IF($AG675="","",INDEX(V_Type,INDEX($AB$8:$AB$1407,$AG675)))</f>
        <v/>
      </c>
      <c r="N675" s="92" t="str">
        <f>IF($AG675="","",INDEX(V_IFRS,INDEX($AB$8:$AB$1407,$AG675)))</f>
        <v/>
      </c>
      <c r="O675" s="92" t="str">
        <f>IF($AG675="","",INDEX($AL$8:$AL$21,INDEX($AC$8:$AC$1407,$AG675)+1))</f>
        <v/>
      </c>
      <c r="P675" s="109" t="str">
        <f>IF($AG675="","",INDEX($AD$8:$AD$1407,$AG675))</f>
        <v/>
      </c>
      <c r="Q675" s="92" t="str">
        <f>IF($AG675="","",INDEX($AM$8:$AM$21,INDEX($AC$8:$AC$1407,$AG675)+1))</f>
        <v/>
      </c>
      <c r="R675" s="92" t="str">
        <f>IF($AG675="","",IF($G675&gt;0,P_ToelCorrectie&amp;"",""))</f>
        <v/>
      </c>
      <c r="S675" s="15" t="str">
        <f>IF(J675="","",J675&amp;"|"&amp;E675&amp;"|"&amp;F675&amp;"|"&amp;I675&amp;"|"&amp;O675)</f>
        <v/>
      </c>
      <c r="T675" s="111" t="str">
        <f>IF(S675="","",IF(COUNTIFS(L_Sleutel,S675,L_Actief,1)=0,"",SUMIFS(L_Waarde,L_Sleutel,S675,L_Actief,1)))</f>
        <v/>
      </c>
      <c r="U675" s="111">
        <f>IF(OR(S675="",T675=""),0,P675-T675)</f>
        <v>0</v>
      </c>
      <c r="AB675" s="112" t="n">
        <v>48</v>
      </c>
      <c r="AC675" s="112" t="n">
        <v>9</v>
      </c>
      <c r="AD675" s="112" t="str">
        <f>VERW_Project!BR53</f>
        <v/>
      </c>
      <c r="AE675" s="112">
        <f>IF(AND(VERW_Project!$A53&lt;&gt;"",ISNUMBER(AD675)),1,0)</f>
        <v>0</v>
      </c>
      <c r="AF675" s="112" t="str">
        <f>IF(AE675=1,SUM($AE$8:AE675),"")</f>
        <v/>
      </c>
      <c r="AG675" t="str">
        <f>IFERROR(MATCH(668,$AF$8:$AF$1407,0),"")</f>
        <v/>
      </c>
    </row>
    <row r="676">
      <c r="A676" s="92" t="str">
        <f>IF($AG676="","",P_ImportID)</f>
        <v/>
      </c>
      <c r="B676" s="92" t="str">
        <f>IF($AG676="","",IF(INDEX($AN$8:$AN$21,INDEX($AC$8:$AC$1407,$AG676)+1)="Z",P_BronZ,P_BronE))</f>
        <v/>
      </c>
      <c r="C676" s="108" t="str">
        <f>IF($AG676="","",P_Importdatum)</f>
        <v/>
      </c>
      <c r="D676" s="92" t="str">
        <f>IF($AG676="","",P_StatusVastleg)</f>
        <v/>
      </c>
      <c r="E676" s="92" t="str">
        <f>IF($AG676="","",P_UploadVJ)</f>
        <v/>
      </c>
      <c r="F676" s="92" t="str">
        <f>IF($AG676="","",P_UploadVersie)</f>
        <v/>
      </c>
      <c r="G676" s="92" t="str">
        <f>IF($AG676="","",IF(COUNTIFS(L_Sleutel,$S676,L_Status,"Vastgesteld")=0,0,_xlfn.MAXIFS(L_Revisie,L_Sleutel,$S676,L_Status,"Vastgesteld")+1))</f>
        <v/>
      </c>
      <c r="H676" s="108" t="str">
        <f>IF($AG676="","",P_Peildatum)</f>
        <v/>
      </c>
      <c r="I676" s="92" t="str">
        <f>IF($AG676="","",P_RJ+INDEX($AK$8:$AK$21,INDEX($AC$8:$AC$1407,$AG676)+1))</f>
        <v/>
      </c>
      <c r="J676" s="92" t="str">
        <f>IF($AG676="","",INDEX(V_WBS,INDEX($AB$8:$AB$1407,$AG676)))</f>
        <v/>
      </c>
      <c r="K676" s="92" t="str">
        <f>IF($AG676="","",INDEX(V_Projdef,INDEX($AB$8:$AB$1407,$AG676)))</f>
        <v/>
      </c>
      <c r="L676" s="92" t="str">
        <f>IF($AG676="","",INDEX(V_Naam,INDEX($AB$8:$AB$1407,$AG676)))</f>
        <v/>
      </c>
      <c r="M676" s="92" t="str">
        <f>IF($AG676="","",INDEX(V_Type,INDEX($AB$8:$AB$1407,$AG676)))</f>
        <v/>
      </c>
      <c r="N676" s="92" t="str">
        <f>IF($AG676="","",INDEX(V_IFRS,INDEX($AB$8:$AB$1407,$AG676)))</f>
        <v/>
      </c>
      <c r="O676" s="92" t="str">
        <f>IF($AG676="","",INDEX($AL$8:$AL$21,INDEX($AC$8:$AC$1407,$AG676)+1))</f>
        <v/>
      </c>
      <c r="P676" s="109" t="str">
        <f>IF($AG676="","",INDEX($AD$8:$AD$1407,$AG676))</f>
        <v/>
      </c>
      <c r="Q676" s="92" t="str">
        <f>IF($AG676="","",INDEX($AM$8:$AM$21,INDEX($AC$8:$AC$1407,$AG676)+1))</f>
        <v/>
      </c>
      <c r="R676" s="92" t="str">
        <f>IF($AG676="","",IF($G676&gt;0,P_ToelCorrectie&amp;"",""))</f>
        <v/>
      </c>
      <c r="S676" s="15" t="str">
        <f>IF(J676="","",J676&amp;"|"&amp;E676&amp;"|"&amp;F676&amp;"|"&amp;I676&amp;"|"&amp;O676)</f>
        <v/>
      </c>
      <c r="T676" s="111" t="str">
        <f>IF(S676="","",IF(COUNTIFS(L_Sleutel,S676,L_Actief,1)=0,"",SUMIFS(L_Waarde,L_Sleutel,S676,L_Actief,1)))</f>
        <v/>
      </c>
      <c r="U676" s="111">
        <f>IF(OR(S676="",T676=""),0,P676-T676)</f>
        <v>0</v>
      </c>
      <c r="AB676" s="112" t="n">
        <v>48</v>
      </c>
      <c r="AC676" s="112" t="n">
        <v>10</v>
      </c>
      <c r="AD676" s="112" t="str">
        <f>VERW_Project!BS53</f>
        <v/>
      </c>
      <c r="AE676" s="112">
        <f>IF(AND(VERW_Project!$A53&lt;&gt;"",ISNUMBER(AD676)),1,0)</f>
        <v>0</v>
      </c>
      <c r="AF676" s="112" t="str">
        <f>IF(AE676=1,SUM($AE$8:AE676),"")</f>
        <v/>
      </c>
      <c r="AG676" t="str">
        <f>IFERROR(MATCH(669,$AF$8:$AF$1407,0),"")</f>
        <v/>
      </c>
    </row>
    <row r="677">
      <c r="A677" s="92" t="str">
        <f>IF($AG677="","",P_ImportID)</f>
        <v/>
      </c>
      <c r="B677" s="92" t="str">
        <f>IF($AG677="","",IF(INDEX($AN$8:$AN$21,INDEX($AC$8:$AC$1407,$AG677)+1)="Z",P_BronZ,P_BronE))</f>
        <v/>
      </c>
      <c r="C677" s="108" t="str">
        <f>IF($AG677="","",P_Importdatum)</f>
        <v/>
      </c>
      <c r="D677" s="92" t="str">
        <f>IF($AG677="","",P_StatusVastleg)</f>
        <v/>
      </c>
      <c r="E677" s="92" t="str">
        <f>IF($AG677="","",P_UploadVJ)</f>
        <v/>
      </c>
      <c r="F677" s="92" t="str">
        <f>IF($AG677="","",P_UploadVersie)</f>
        <v/>
      </c>
      <c r="G677" s="92" t="str">
        <f>IF($AG677="","",IF(COUNTIFS(L_Sleutel,$S677,L_Status,"Vastgesteld")=0,0,_xlfn.MAXIFS(L_Revisie,L_Sleutel,$S677,L_Status,"Vastgesteld")+1))</f>
        <v/>
      </c>
      <c r="H677" s="108" t="str">
        <f>IF($AG677="","",P_Peildatum)</f>
        <v/>
      </c>
      <c r="I677" s="92" t="str">
        <f>IF($AG677="","",P_RJ+INDEX($AK$8:$AK$21,INDEX($AC$8:$AC$1407,$AG677)+1))</f>
        <v/>
      </c>
      <c r="J677" s="92" t="str">
        <f>IF($AG677="","",INDEX(V_WBS,INDEX($AB$8:$AB$1407,$AG677)))</f>
        <v/>
      </c>
      <c r="K677" s="92" t="str">
        <f>IF($AG677="","",INDEX(V_Projdef,INDEX($AB$8:$AB$1407,$AG677)))</f>
        <v/>
      </c>
      <c r="L677" s="92" t="str">
        <f>IF($AG677="","",INDEX(V_Naam,INDEX($AB$8:$AB$1407,$AG677)))</f>
        <v/>
      </c>
      <c r="M677" s="92" t="str">
        <f>IF($AG677="","",INDEX(V_Type,INDEX($AB$8:$AB$1407,$AG677)))</f>
        <v/>
      </c>
      <c r="N677" s="92" t="str">
        <f>IF($AG677="","",INDEX(V_IFRS,INDEX($AB$8:$AB$1407,$AG677)))</f>
        <v/>
      </c>
      <c r="O677" s="92" t="str">
        <f>IF($AG677="","",INDEX($AL$8:$AL$21,INDEX($AC$8:$AC$1407,$AG677)+1))</f>
        <v/>
      </c>
      <c r="P677" s="109" t="str">
        <f>IF($AG677="","",INDEX($AD$8:$AD$1407,$AG677))</f>
        <v/>
      </c>
      <c r="Q677" s="92" t="str">
        <f>IF($AG677="","",INDEX($AM$8:$AM$21,INDEX($AC$8:$AC$1407,$AG677)+1))</f>
        <v/>
      </c>
      <c r="R677" s="92" t="str">
        <f>IF($AG677="","",IF($G677&gt;0,P_ToelCorrectie&amp;"",""))</f>
        <v/>
      </c>
      <c r="S677" s="15" t="str">
        <f>IF(J677="","",J677&amp;"|"&amp;E677&amp;"|"&amp;F677&amp;"|"&amp;I677&amp;"|"&amp;O677)</f>
        <v/>
      </c>
      <c r="T677" s="111" t="str">
        <f>IF(S677="","",IF(COUNTIFS(L_Sleutel,S677,L_Actief,1)=0,"",SUMIFS(L_Waarde,L_Sleutel,S677,L_Actief,1)))</f>
        <v/>
      </c>
      <c r="U677" s="111">
        <f>IF(OR(S677="",T677=""),0,P677-T677)</f>
        <v>0</v>
      </c>
      <c r="AB677" s="112" t="n">
        <v>48</v>
      </c>
      <c r="AC677" s="112" t="n">
        <v>11</v>
      </c>
      <c r="AD677" s="112" t="str">
        <f>VERW_Project!BT53</f>
        <v/>
      </c>
      <c r="AE677" s="112">
        <f>IF(AND(VERW_Project!$A53&lt;&gt;"",ISNUMBER(AD677)),1,0)</f>
        <v>0</v>
      </c>
      <c r="AF677" s="112" t="str">
        <f>IF(AE677=1,SUM($AE$8:AE677),"")</f>
        <v/>
      </c>
      <c r="AG677" t="str">
        <f>IFERROR(MATCH(670,$AF$8:$AF$1407,0),"")</f>
        <v/>
      </c>
    </row>
    <row r="678">
      <c r="A678" s="92" t="str">
        <f>IF($AG678="","",P_ImportID)</f>
        <v/>
      </c>
      <c r="B678" s="92" t="str">
        <f>IF($AG678="","",IF(INDEX($AN$8:$AN$21,INDEX($AC$8:$AC$1407,$AG678)+1)="Z",P_BronZ,P_BronE))</f>
        <v/>
      </c>
      <c r="C678" s="108" t="str">
        <f>IF($AG678="","",P_Importdatum)</f>
        <v/>
      </c>
      <c r="D678" s="92" t="str">
        <f>IF($AG678="","",P_StatusVastleg)</f>
        <v/>
      </c>
      <c r="E678" s="92" t="str">
        <f>IF($AG678="","",P_UploadVJ)</f>
        <v/>
      </c>
      <c r="F678" s="92" t="str">
        <f>IF($AG678="","",P_UploadVersie)</f>
        <v/>
      </c>
      <c r="G678" s="92" t="str">
        <f>IF($AG678="","",IF(COUNTIFS(L_Sleutel,$S678,L_Status,"Vastgesteld")=0,0,_xlfn.MAXIFS(L_Revisie,L_Sleutel,$S678,L_Status,"Vastgesteld")+1))</f>
        <v/>
      </c>
      <c r="H678" s="108" t="str">
        <f>IF($AG678="","",P_Peildatum)</f>
        <v/>
      </c>
      <c r="I678" s="92" t="str">
        <f>IF($AG678="","",P_RJ+INDEX($AK$8:$AK$21,INDEX($AC$8:$AC$1407,$AG678)+1))</f>
        <v/>
      </c>
      <c r="J678" s="92" t="str">
        <f>IF($AG678="","",INDEX(V_WBS,INDEX($AB$8:$AB$1407,$AG678)))</f>
        <v/>
      </c>
      <c r="K678" s="92" t="str">
        <f>IF($AG678="","",INDEX(V_Projdef,INDEX($AB$8:$AB$1407,$AG678)))</f>
        <v/>
      </c>
      <c r="L678" s="92" t="str">
        <f>IF($AG678="","",INDEX(V_Naam,INDEX($AB$8:$AB$1407,$AG678)))</f>
        <v/>
      </c>
      <c r="M678" s="92" t="str">
        <f>IF($AG678="","",INDEX(V_Type,INDEX($AB$8:$AB$1407,$AG678)))</f>
        <v/>
      </c>
      <c r="N678" s="92" t="str">
        <f>IF($AG678="","",INDEX(V_IFRS,INDEX($AB$8:$AB$1407,$AG678)))</f>
        <v/>
      </c>
      <c r="O678" s="92" t="str">
        <f>IF($AG678="","",INDEX($AL$8:$AL$21,INDEX($AC$8:$AC$1407,$AG678)+1))</f>
        <v/>
      </c>
      <c r="P678" s="109" t="str">
        <f>IF($AG678="","",INDEX($AD$8:$AD$1407,$AG678))</f>
        <v/>
      </c>
      <c r="Q678" s="92" t="str">
        <f>IF($AG678="","",INDEX($AM$8:$AM$21,INDEX($AC$8:$AC$1407,$AG678)+1))</f>
        <v/>
      </c>
      <c r="R678" s="92" t="str">
        <f>IF($AG678="","",IF($G678&gt;0,P_ToelCorrectie&amp;"",""))</f>
        <v/>
      </c>
      <c r="S678" s="15" t="str">
        <f>IF(J678="","",J678&amp;"|"&amp;E678&amp;"|"&amp;F678&amp;"|"&amp;I678&amp;"|"&amp;O678)</f>
        <v/>
      </c>
      <c r="T678" s="111" t="str">
        <f>IF(S678="","",IF(COUNTIFS(L_Sleutel,S678,L_Actief,1)=0,"",SUMIFS(L_Waarde,L_Sleutel,S678,L_Actief,1)))</f>
        <v/>
      </c>
      <c r="U678" s="111">
        <f>IF(OR(S678="",T678=""),0,P678-T678)</f>
        <v>0</v>
      </c>
      <c r="AB678" s="112" t="n">
        <v>48</v>
      </c>
      <c r="AC678" s="112" t="n">
        <v>12</v>
      </c>
      <c r="AD678" s="112" t="str">
        <f>VERW_Project!BU53</f>
        <v/>
      </c>
      <c r="AE678" s="112">
        <f>IF(AND(VERW_Project!$A53&lt;&gt;"",ISNUMBER(AD678)),1,0)</f>
        <v>0</v>
      </c>
      <c r="AF678" s="112" t="str">
        <f>IF(AE678=1,SUM($AE$8:AE678),"")</f>
        <v/>
      </c>
      <c r="AG678" t="str">
        <f>IFERROR(MATCH(671,$AF$8:$AF$1407,0),"")</f>
        <v/>
      </c>
    </row>
    <row r="679">
      <c r="A679" s="92" t="str">
        <f>IF($AG679="","",P_ImportID)</f>
        <v/>
      </c>
      <c r="B679" s="92" t="str">
        <f>IF($AG679="","",IF(INDEX($AN$8:$AN$21,INDEX($AC$8:$AC$1407,$AG679)+1)="Z",P_BronZ,P_BronE))</f>
        <v/>
      </c>
      <c r="C679" s="108" t="str">
        <f>IF($AG679="","",P_Importdatum)</f>
        <v/>
      </c>
      <c r="D679" s="92" t="str">
        <f>IF($AG679="","",P_StatusVastleg)</f>
        <v/>
      </c>
      <c r="E679" s="92" t="str">
        <f>IF($AG679="","",P_UploadVJ)</f>
        <v/>
      </c>
      <c r="F679" s="92" t="str">
        <f>IF($AG679="","",P_UploadVersie)</f>
        <v/>
      </c>
      <c r="G679" s="92" t="str">
        <f>IF($AG679="","",IF(COUNTIFS(L_Sleutel,$S679,L_Status,"Vastgesteld")=0,0,_xlfn.MAXIFS(L_Revisie,L_Sleutel,$S679,L_Status,"Vastgesteld")+1))</f>
        <v/>
      </c>
      <c r="H679" s="108" t="str">
        <f>IF($AG679="","",P_Peildatum)</f>
        <v/>
      </c>
      <c r="I679" s="92" t="str">
        <f>IF($AG679="","",P_RJ+INDEX($AK$8:$AK$21,INDEX($AC$8:$AC$1407,$AG679)+1))</f>
        <v/>
      </c>
      <c r="J679" s="92" t="str">
        <f>IF($AG679="","",INDEX(V_WBS,INDEX($AB$8:$AB$1407,$AG679)))</f>
        <v/>
      </c>
      <c r="K679" s="92" t="str">
        <f>IF($AG679="","",INDEX(V_Projdef,INDEX($AB$8:$AB$1407,$AG679)))</f>
        <v/>
      </c>
      <c r="L679" s="92" t="str">
        <f>IF($AG679="","",INDEX(V_Naam,INDEX($AB$8:$AB$1407,$AG679)))</f>
        <v/>
      </c>
      <c r="M679" s="92" t="str">
        <f>IF($AG679="","",INDEX(V_Type,INDEX($AB$8:$AB$1407,$AG679)))</f>
        <v/>
      </c>
      <c r="N679" s="92" t="str">
        <f>IF($AG679="","",INDEX(V_IFRS,INDEX($AB$8:$AB$1407,$AG679)))</f>
        <v/>
      </c>
      <c r="O679" s="92" t="str">
        <f>IF($AG679="","",INDEX($AL$8:$AL$21,INDEX($AC$8:$AC$1407,$AG679)+1))</f>
        <v/>
      </c>
      <c r="P679" s="109" t="str">
        <f>IF($AG679="","",INDEX($AD$8:$AD$1407,$AG679))</f>
        <v/>
      </c>
      <c r="Q679" s="92" t="str">
        <f>IF($AG679="","",INDEX($AM$8:$AM$21,INDEX($AC$8:$AC$1407,$AG679)+1))</f>
        <v/>
      </c>
      <c r="R679" s="92" t="str">
        <f>IF($AG679="","",IF($G679&gt;0,P_ToelCorrectie&amp;"",""))</f>
        <v/>
      </c>
      <c r="S679" s="15" t="str">
        <f>IF(J679="","",J679&amp;"|"&amp;E679&amp;"|"&amp;F679&amp;"|"&amp;I679&amp;"|"&amp;O679)</f>
        <v/>
      </c>
      <c r="T679" s="111" t="str">
        <f>IF(S679="","",IF(COUNTIFS(L_Sleutel,S679,L_Actief,1)=0,"",SUMIFS(L_Waarde,L_Sleutel,S679,L_Actief,1)))</f>
        <v/>
      </c>
      <c r="U679" s="111">
        <f>IF(OR(S679="",T679=""),0,P679-T679)</f>
        <v>0</v>
      </c>
      <c r="AB679" s="112" t="n">
        <v>48</v>
      </c>
      <c r="AC679" s="112" t="n">
        <v>13</v>
      </c>
      <c r="AD679" s="112" t="str">
        <f>VERW_Project!BX53</f>
        <v/>
      </c>
      <c r="AE679" s="112">
        <f>IF(AND(VERW_Project!$A53&lt;&gt;"",ISNUMBER(AD679)),1,0)</f>
        <v>0</v>
      </c>
      <c r="AF679" s="112" t="str">
        <f>IF(AE679=1,SUM($AE$8:AE679),"")</f>
        <v/>
      </c>
      <c r="AG679" t="str">
        <f>IFERROR(MATCH(672,$AF$8:$AF$1407,0),"")</f>
        <v/>
      </c>
    </row>
    <row r="680">
      <c r="A680" s="92" t="str">
        <f>IF($AG680="","",P_ImportID)</f>
        <v/>
      </c>
      <c r="B680" s="92" t="str">
        <f>IF($AG680="","",IF(INDEX($AN$8:$AN$21,INDEX($AC$8:$AC$1407,$AG680)+1)="Z",P_BronZ,P_BronE))</f>
        <v/>
      </c>
      <c r="C680" s="108" t="str">
        <f>IF($AG680="","",P_Importdatum)</f>
        <v/>
      </c>
      <c r="D680" s="92" t="str">
        <f>IF($AG680="","",P_StatusVastleg)</f>
        <v/>
      </c>
      <c r="E680" s="92" t="str">
        <f>IF($AG680="","",P_UploadVJ)</f>
        <v/>
      </c>
      <c r="F680" s="92" t="str">
        <f>IF($AG680="","",P_UploadVersie)</f>
        <v/>
      </c>
      <c r="G680" s="92" t="str">
        <f>IF($AG680="","",IF(COUNTIFS(L_Sleutel,$S680,L_Status,"Vastgesteld")=0,0,_xlfn.MAXIFS(L_Revisie,L_Sleutel,$S680,L_Status,"Vastgesteld")+1))</f>
        <v/>
      </c>
      <c r="H680" s="108" t="str">
        <f>IF($AG680="","",P_Peildatum)</f>
        <v/>
      </c>
      <c r="I680" s="92" t="str">
        <f>IF($AG680="","",P_RJ+INDEX($AK$8:$AK$21,INDEX($AC$8:$AC$1407,$AG680)+1))</f>
        <v/>
      </c>
      <c r="J680" s="92" t="str">
        <f>IF($AG680="","",INDEX(V_WBS,INDEX($AB$8:$AB$1407,$AG680)))</f>
        <v/>
      </c>
      <c r="K680" s="92" t="str">
        <f>IF($AG680="","",INDEX(V_Projdef,INDEX($AB$8:$AB$1407,$AG680)))</f>
        <v/>
      </c>
      <c r="L680" s="92" t="str">
        <f>IF($AG680="","",INDEX(V_Naam,INDEX($AB$8:$AB$1407,$AG680)))</f>
        <v/>
      </c>
      <c r="M680" s="92" t="str">
        <f>IF($AG680="","",INDEX(V_Type,INDEX($AB$8:$AB$1407,$AG680)))</f>
        <v/>
      </c>
      <c r="N680" s="92" t="str">
        <f>IF($AG680="","",INDEX(V_IFRS,INDEX($AB$8:$AB$1407,$AG680)))</f>
        <v/>
      </c>
      <c r="O680" s="92" t="str">
        <f>IF($AG680="","",INDEX($AL$8:$AL$21,INDEX($AC$8:$AC$1407,$AG680)+1))</f>
        <v/>
      </c>
      <c r="P680" s="109" t="str">
        <f>IF($AG680="","",INDEX($AD$8:$AD$1407,$AG680))</f>
        <v/>
      </c>
      <c r="Q680" s="92" t="str">
        <f>IF($AG680="","",INDEX($AM$8:$AM$21,INDEX($AC$8:$AC$1407,$AG680)+1))</f>
        <v/>
      </c>
      <c r="R680" s="92" t="str">
        <f>IF($AG680="","",IF($G680&gt;0,P_ToelCorrectie&amp;"",""))</f>
        <v/>
      </c>
      <c r="S680" s="15" t="str">
        <f>IF(J680="","",J680&amp;"|"&amp;E680&amp;"|"&amp;F680&amp;"|"&amp;I680&amp;"|"&amp;O680)</f>
        <v/>
      </c>
      <c r="T680" s="111" t="str">
        <f>IF(S680="","",IF(COUNTIFS(L_Sleutel,S680,L_Actief,1)=0,"",SUMIFS(L_Waarde,L_Sleutel,S680,L_Actief,1)))</f>
        <v/>
      </c>
      <c r="U680" s="111">
        <f>IF(OR(S680="",T680=""),0,P680-T680)</f>
        <v>0</v>
      </c>
      <c r="AB680" s="112" t="n">
        <v>49</v>
      </c>
      <c r="AC680" s="112" t="n">
        <v>0</v>
      </c>
      <c r="AD680" s="112" t="str">
        <f>VERW_Project!P54</f>
        <v/>
      </c>
      <c r="AE680" s="112">
        <f>IF(AND(VERW_Project!$A54&lt;&gt;"",ISNUMBER(AD680)),1,0)</f>
        <v>0</v>
      </c>
      <c r="AF680" s="112" t="str">
        <f>IF(AE680=1,SUM($AE$8:AE680),"")</f>
        <v/>
      </c>
      <c r="AG680" t="str">
        <f>IFERROR(MATCH(673,$AF$8:$AF$1407,0),"")</f>
        <v/>
      </c>
    </row>
    <row r="681">
      <c r="A681" s="92" t="str">
        <f>IF($AG681="","",P_ImportID)</f>
        <v/>
      </c>
      <c r="B681" s="92" t="str">
        <f>IF($AG681="","",IF(INDEX($AN$8:$AN$21,INDEX($AC$8:$AC$1407,$AG681)+1)="Z",P_BronZ,P_BronE))</f>
        <v/>
      </c>
      <c r="C681" s="108" t="str">
        <f>IF($AG681="","",P_Importdatum)</f>
        <v/>
      </c>
      <c r="D681" s="92" t="str">
        <f>IF($AG681="","",P_StatusVastleg)</f>
        <v/>
      </c>
      <c r="E681" s="92" t="str">
        <f>IF($AG681="","",P_UploadVJ)</f>
        <v/>
      </c>
      <c r="F681" s="92" t="str">
        <f>IF($AG681="","",P_UploadVersie)</f>
        <v/>
      </c>
      <c r="G681" s="92" t="str">
        <f>IF($AG681="","",IF(COUNTIFS(L_Sleutel,$S681,L_Status,"Vastgesteld")=0,0,_xlfn.MAXIFS(L_Revisie,L_Sleutel,$S681,L_Status,"Vastgesteld")+1))</f>
        <v/>
      </c>
      <c r="H681" s="108" t="str">
        <f>IF($AG681="","",P_Peildatum)</f>
        <v/>
      </c>
      <c r="I681" s="92" t="str">
        <f>IF($AG681="","",P_RJ+INDEX($AK$8:$AK$21,INDEX($AC$8:$AC$1407,$AG681)+1))</f>
        <v/>
      </c>
      <c r="J681" s="92" t="str">
        <f>IF($AG681="","",INDEX(V_WBS,INDEX($AB$8:$AB$1407,$AG681)))</f>
        <v/>
      </c>
      <c r="K681" s="92" t="str">
        <f>IF($AG681="","",INDEX(V_Projdef,INDEX($AB$8:$AB$1407,$AG681)))</f>
        <v/>
      </c>
      <c r="L681" s="92" t="str">
        <f>IF($AG681="","",INDEX(V_Naam,INDEX($AB$8:$AB$1407,$AG681)))</f>
        <v/>
      </c>
      <c r="M681" s="92" t="str">
        <f>IF($AG681="","",INDEX(V_Type,INDEX($AB$8:$AB$1407,$AG681)))</f>
        <v/>
      </c>
      <c r="N681" s="92" t="str">
        <f>IF($AG681="","",INDEX(V_IFRS,INDEX($AB$8:$AB$1407,$AG681)))</f>
        <v/>
      </c>
      <c r="O681" s="92" t="str">
        <f>IF($AG681="","",INDEX($AL$8:$AL$21,INDEX($AC$8:$AC$1407,$AG681)+1))</f>
        <v/>
      </c>
      <c r="P681" s="109" t="str">
        <f>IF($AG681="","",INDEX($AD$8:$AD$1407,$AG681))</f>
        <v/>
      </c>
      <c r="Q681" s="92" t="str">
        <f>IF($AG681="","",INDEX($AM$8:$AM$21,INDEX($AC$8:$AC$1407,$AG681)+1))</f>
        <v/>
      </c>
      <c r="R681" s="92" t="str">
        <f>IF($AG681="","",IF($G681&gt;0,P_ToelCorrectie&amp;"",""))</f>
        <v/>
      </c>
      <c r="S681" s="15" t="str">
        <f>IF(J681="","",J681&amp;"|"&amp;E681&amp;"|"&amp;F681&amp;"|"&amp;I681&amp;"|"&amp;O681)</f>
        <v/>
      </c>
      <c r="T681" s="111" t="str">
        <f>IF(S681="","",IF(COUNTIFS(L_Sleutel,S681,L_Actief,1)=0,"",SUMIFS(L_Waarde,L_Sleutel,S681,L_Actief,1)))</f>
        <v/>
      </c>
      <c r="U681" s="111">
        <f>IF(OR(S681="",T681=""),0,P681-T681)</f>
        <v>0</v>
      </c>
      <c r="AB681" s="112" t="n">
        <v>49</v>
      </c>
      <c r="AC681" s="112" t="n">
        <v>1</v>
      </c>
      <c r="AD681" s="112" t="str">
        <f>VERW_Project!Q54</f>
        <v/>
      </c>
      <c r="AE681" s="112">
        <f>IF(AND(VERW_Project!$A54&lt;&gt;"",ISNUMBER(AD681)),1,0)</f>
        <v>0</v>
      </c>
      <c r="AF681" s="112" t="str">
        <f>IF(AE681=1,SUM($AE$8:AE681),"")</f>
        <v/>
      </c>
      <c r="AG681" t="str">
        <f>IFERROR(MATCH(674,$AF$8:$AF$1407,0),"")</f>
        <v/>
      </c>
    </row>
    <row r="682">
      <c r="A682" s="92" t="str">
        <f>IF($AG682="","",P_ImportID)</f>
        <v/>
      </c>
      <c r="B682" s="92" t="str">
        <f>IF($AG682="","",IF(INDEX($AN$8:$AN$21,INDEX($AC$8:$AC$1407,$AG682)+1)="Z",P_BronZ,P_BronE))</f>
        <v/>
      </c>
      <c r="C682" s="108" t="str">
        <f>IF($AG682="","",P_Importdatum)</f>
        <v/>
      </c>
      <c r="D682" s="92" t="str">
        <f>IF($AG682="","",P_StatusVastleg)</f>
        <v/>
      </c>
      <c r="E682" s="92" t="str">
        <f>IF($AG682="","",P_UploadVJ)</f>
        <v/>
      </c>
      <c r="F682" s="92" t="str">
        <f>IF($AG682="","",P_UploadVersie)</f>
        <v/>
      </c>
      <c r="G682" s="92" t="str">
        <f>IF($AG682="","",IF(COUNTIFS(L_Sleutel,$S682,L_Status,"Vastgesteld")=0,0,_xlfn.MAXIFS(L_Revisie,L_Sleutel,$S682,L_Status,"Vastgesteld")+1))</f>
        <v/>
      </c>
      <c r="H682" s="108" t="str">
        <f>IF($AG682="","",P_Peildatum)</f>
        <v/>
      </c>
      <c r="I682" s="92" t="str">
        <f>IF($AG682="","",P_RJ+INDEX($AK$8:$AK$21,INDEX($AC$8:$AC$1407,$AG682)+1))</f>
        <v/>
      </c>
      <c r="J682" s="92" t="str">
        <f>IF($AG682="","",INDEX(V_WBS,INDEX($AB$8:$AB$1407,$AG682)))</f>
        <v/>
      </c>
      <c r="K682" s="92" t="str">
        <f>IF($AG682="","",INDEX(V_Projdef,INDEX($AB$8:$AB$1407,$AG682)))</f>
        <v/>
      </c>
      <c r="L682" s="92" t="str">
        <f>IF($AG682="","",INDEX(V_Naam,INDEX($AB$8:$AB$1407,$AG682)))</f>
        <v/>
      </c>
      <c r="M682" s="92" t="str">
        <f>IF($AG682="","",INDEX(V_Type,INDEX($AB$8:$AB$1407,$AG682)))</f>
        <v/>
      </c>
      <c r="N682" s="92" t="str">
        <f>IF($AG682="","",INDEX(V_IFRS,INDEX($AB$8:$AB$1407,$AG682)))</f>
        <v/>
      </c>
      <c r="O682" s="92" t="str">
        <f>IF($AG682="","",INDEX($AL$8:$AL$21,INDEX($AC$8:$AC$1407,$AG682)+1))</f>
        <v/>
      </c>
      <c r="P682" s="109" t="str">
        <f>IF($AG682="","",INDEX($AD$8:$AD$1407,$AG682))</f>
        <v/>
      </c>
      <c r="Q682" s="92" t="str">
        <f>IF($AG682="","",INDEX($AM$8:$AM$21,INDEX($AC$8:$AC$1407,$AG682)+1))</f>
        <v/>
      </c>
      <c r="R682" s="92" t="str">
        <f>IF($AG682="","",IF($G682&gt;0,P_ToelCorrectie&amp;"",""))</f>
        <v/>
      </c>
      <c r="S682" s="15" t="str">
        <f>IF(J682="","",J682&amp;"|"&amp;E682&amp;"|"&amp;F682&amp;"|"&amp;I682&amp;"|"&amp;O682)</f>
        <v/>
      </c>
      <c r="T682" s="111" t="str">
        <f>IF(S682="","",IF(COUNTIFS(L_Sleutel,S682,L_Actief,1)=0,"",SUMIFS(L_Waarde,L_Sleutel,S682,L_Actief,1)))</f>
        <v/>
      </c>
      <c r="U682" s="111">
        <f>IF(OR(S682="",T682=""),0,P682-T682)</f>
        <v>0</v>
      </c>
      <c r="AB682" s="112" t="n">
        <v>49</v>
      </c>
      <c r="AC682" s="112" t="n">
        <v>2</v>
      </c>
      <c r="AD682" s="112" t="str">
        <f>VERW_Project!L54</f>
        <v/>
      </c>
      <c r="AE682" s="112">
        <f>IF(AND(VERW_Project!$A54&lt;&gt;"",ISNUMBER(AD682)),1,0)</f>
        <v>0</v>
      </c>
      <c r="AF682" s="112" t="str">
        <f>IF(AE682=1,SUM($AE$8:AE682),"")</f>
        <v/>
      </c>
      <c r="AG682" t="str">
        <f>IFERROR(MATCH(675,$AF$8:$AF$1407,0),"")</f>
        <v/>
      </c>
    </row>
    <row r="683">
      <c r="A683" s="92" t="str">
        <f>IF($AG683="","",P_ImportID)</f>
        <v/>
      </c>
      <c r="B683" s="92" t="str">
        <f>IF($AG683="","",IF(INDEX($AN$8:$AN$21,INDEX($AC$8:$AC$1407,$AG683)+1)="Z",P_BronZ,P_BronE))</f>
        <v/>
      </c>
      <c r="C683" s="108" t="str">
        <f>IF($AG683="","",P_Importdatum)</f>
        <v/>
      </c>
      <c r="D683" s="92" t="str">
        <f>IF($AG683="","",P_StatusVastleg)</f>
        <v/>
      </c>
      <c r="E683" s="92" t="str">
        <f>IF($AG683="","",P_UploadVJ)</f>
        <v/>
      </c>
      <c r="F683" s="92" t="str">
        <f>IF($AG683="","",P_UploadVersie)</f>
        <v/>
      </c>
      <c r="G683" s="92" t="str">
        <f>IF($AG683="","",IF(COUNTIFS(L_Sleutel,$S683,L_Status,"Vastgesteld")=0,0,_xlfn.MAXIFS(L_Revisie,L_Sleutel,$S683,L_Status,"Vastgesteld")+1))</f>
        <v/>
      </c>
      <c r="H683" s="108" t="str">
        <f>IF($AG683="","",P_Peildatum)</f>
        <v/>
      </c>
      <c r="I683" s="92" t="str">
        <f>IF($AG683="","",P_RJ+INDEX($AK$8:$AK$21,INDEX($AC$8:$AC$1407,$AG683)+1))</f>
        <v/>
      </c>
      <c r="J683" s="92" t="str">
        <f>IF($AG683="","",INDEX(V_WBS,INDEX($AB$8:$AB$1407,$AG683)))</f>
        <v/>
      </c>
      <c r="K683" s="92" t="str">
        <f>IF($AG683="","",INDEX(V_Projdef,INDEX($AB$8:$AB$1407,$AG683)))</f>
        <v/>
      </c>
      <c r="L683" s="92" t="str">
        <f>IF($AG683="","",INDEX(V_Naam,INDEX($AB$8:$AB$1407,$AG683)))</f>
        <v/>
      </c>
      <c r="M683" s="92" t="str">
        <f>IF($AG683="","",INDEX(V_Type,INDEX($AB$8:$AB$1407,$AG683)))</f>
        <v/>
      </c>
      <c r="N683" s="92" t="str">
        <f>IF($AG683="","",INDEX(V_IFRS,INDEX($AB$8:$AB$1407,$AG683)))</f>
        <v/>
      </c>
      <c r="O683" s="92" t="str">
        <f>IF($AG683="","",INDEX($AL$8:$AL$21,INDEX($AC$8:$AC$1407,$AG683)+1))</f>
        <v/>
      </c>
      <c r="P683" s="109" t="str">
        <f>IF($AG683="","",INDEX($AD$8:$AD$1407,$AG683))</f>
        <v/>
      </c>
      <c r="Q683" s="92" t="str">
        <f>IF($AG683="","",INDEX($AM$8:$AM$21,INDEX($AC$8:$AC$1407,$AG683)+1))</f>
        <v/>
      </c>
      <c r="R683" s="92" t="str">
        <f>IF($AG683="","",IF($G683&gt;0,P_ToelCorrectie&amp;"",""))</f>
        <v/>
      </c>
      <c r="S683" s="15" t="str">
        <f>IF(J683="","",J683&amp;"|"&amp;E683&amp;"|"&amp;F683&amp;"|"&amp;I683&amp;"|"&amp;O683)</f>
        <v/>
      </c>
      <c r="T683" s="111" t="str">
        <f>IF(S683="","",IF(COUNTIFS(L_Sleutel,S683,L_Actief,1)=0,"",SUMIFS(L_Waarde,L_Sleutel,S683,L_Actief,1)))</f>
        <v/>
      </c>
      <c r="U683" s="111">
        <f>IF(OR(S683="",T683=""),0,P683-T683)</f>
        <v>0</v>
      </c>
      <c r="AB683" s="112" t="n">
        <v>49</v>
      </c>
      <c r="AC683" s="112" t="n">
        <v>3</v>
      </c>
      <c r="AD683" s="112" t="str">
        <f>VERW_Project!M54</f>
        <v/>
      </c>
      <c r="AE683" s="112">
        <f>IF(AND(VERW_Project!$A54&lt;&gt;"",ISNUMBER(AD683)),1,0)</f>
        <v>0</v>
      </c>
      <c r="AF683" s="112" t="str">
        <f>IF(AE683=1,SUM($AE$8:AE683),"")</f>
        <v/>
      </c>
      <c r="AG683" t="str">
        <f>IFERROR(MATCH(676,$AF$8:$AF$1407,0),"")</f>
        <v/>
      </c>
    </row>
    <row r="684">
      <c r="A684" s="92" t="str">
        <f>IF($AG684="","",P_ImportID)</f>
        <v/>
      </c>
      <c r="B684" s="92" t="str">
        <f>IF($AG684="","",IF(INDEX($AN$8:$AN$21,INDEX($AC$8:$AC$1407,$AG684)+1)="Z",P_BronZ,P_BronE))</f>
        <v/>
      </c>
      <c r="C684" s="108" t="str">
        <f>IF($AG684="","",P_Importdatum)</f>
        <v/>
      </c>
      <c r="D684" s="92" t="str">
        <f>IF($AG684="","",P_StatusVastleg)</f>
        <v/>
      </c>
      <c r="E684" s="92" t="str">
        <f>IF($AG684="","",P_UploadVJ)</f>
        <v/>
      </c>
      <c r="F684" s="92" t="str">
        <f>IF($AG684="","",P_UploadVersie)</f>
        <v/>
      </c>
      <c r="G684" s="92" t="str">
        <f>IF($AG684="","",IF(COUNTIFS(L_Sleutel,$S684,L_Status,"Vastgesteld")=0,0,_xlfn.MAXIFS(L_Revisie,L_Sleutel,$S684,L_Status,"Vastgesteld")+1))</f>
        <v/>
      </c>
      <c r="H684" s="108" t="str">
        <f>IF($AG684="","",P_Peildatum)</f>
        <v/>
      </c>
      <c r="I684" s="92" t="str">
        <f>IF($AG684="","",P_RJ+INDEX($AK$8:$AK$21,INDEX($AC$8:$AC$1407,$AG684)+1))</f>
        <v/>
      </c>
      <c r="J684" s="92" t="str">
        <f>IF($AG684="","",INDEX(V_WBS,INDEX($AB$8:$AB$1407,$AG684)))</f>
        <v/>
      </c>
      <c r="K684" s="92" t="str">
        <f>IF($AG684="","",INDEX(V_Projdef,INDEX($AB$8:$AB$1407,$AG684)))</f>
        <v/>
      </c>
      <c r="L684" s="92" t="str">
        <f>IF($AG684="","",INDEX(V_Naam,INDEX($AB$8:$AB$1407,$AG684)))</f>
        <v/>
      </c>
      <c r="M684" s="92" t="str">
        <f>IF($AG684="","",INDEX(V_Type,INDEX($AB$8:$AB$1407,$AG684)))</f>
        <v/>
      </c>
      <c r="N684" s="92" t="str">
        <f>IF($AG684="","",INDEX(V_IFRS,INDEX($AB$8:$AB$1407,$AG684)))</f>
        <v/>
      </c>
      <c r="O684" s="92" t="str">
        <f>IF($AG684="","",INDEX($AL$8:$AL$21,INDEX($AC$8:$AC$1407,$AG684)+1))</f>
        <v/>
      </c>
      <c r="P684" s="109" t="str">
        <f>IF($AG684="","",INDEX($AD$8:$AD$1407,$AG684))</f>
        <v/>
      </c>
      <c r="Q684" s="92" t="str">
        <f>IF($AG684="","",INDEX($AM$8:$AM$21,INDEX($AC$8:$AC$1407,$AG684)+1))</f>
        <v/>
      </c>
      <c r="R684" s="92" t="str">
        <f>IF($AG684="","",IF($G684&gt;0,P_ToelCorrectie&amp;"",""))</f>
        <v/>
      </c>
      <c r="S684" s="15" t="str">
        <f>IF(J684="","",J684&amp;"|"&amp;E684&amp;"|"&amp;F684&amp;"|"&amp;I684&amp;"|"&amp;O684)</f>
        <v/>
      </c>
      <c r="T684" s="111" t="str">
        <f>IF(S684="","",IF(COUNTIFS(L_Sleutel,S684,L_Actief,1)=0,"",SUMIFS(L_Waarde,L_Sleutel,S684,L_Actief,1)))</f>
        <v/>
      </c>
      <c r="U684" s="111">
        <f>IF(OR(S684="",T684=""),0,P684-T684)</f>
        <v>0</v>
      </c>
      <c r="AB684" s="112" t="n">
        <v>49</v>
      </c>
      <c r="AC684" s="112" t="n">
        <v>4</v>
      </c>
      <c r="AD684" s="112" t="str">
        <f>VERW_Project!R54</f>
        <v/>
      </c>
      <c r="AE684" s="112">
        <f>IF(AND(VERW_Project!$A54&lt;&gt;"",ISNUMBER(AD684)),1,0)</f>
        <v>0</v>
      </c>
      <c r="AF684" s="112" t="str">
        <f>IF(AE684=1,SUM($AE$8:AE684),"")</f>
        <v/>
      </c>
      <c r="AG684" t="str">
        <f>IFERROR(MATCH(677,$AF$8:$AF$1407,0),"")</f>
        <v/>
      </c>
    </row>
    <row r="685">
      <c r="A685" s="92" t="str">
        <f>IF($AG685="","",P_ImportID)</f>
        <v/>
      </c>
      <c r="B685" s="92" t="str">
        <f>IF($AG685="","",IF(INDEX($AN$8:$AN$21,INDEX($AC$8:$AC$1407,$AG685)+1)="Z",P_BronZ,P_BronE))</f>
        <v/>
      </c>
      <c r="C685" s="108" t="str">
        <f>IF($AG685="","",P_Importdatum)</f>
        <v/>
      </c>
      <c r="D685" s="92" t="str">
        <f>IF($AG685="","",P_StatusVastleg)</f>
        <v/>
      </c>
      <c r="E685" s="92" t="str">
        <f>IF($AG685="","",P_UploadVJ)</f>
        <v/>
      </c>
      <c r="F685" s="92" t="str">
        <f>IF($AG685="","",P_UploadVersie)</f>
        <v/>
      </c>
      <c r="G685" s="92" t="str">
        <f>IF($AG685="","",IF(COUNTIFS(L_Sleutel,$S685,L_Status,"Vastgesteld")=0,0,_xlfn.MAXIFS(L_Revisie,L_Sleutel,$S685,L_Status,"Vastgesteld")+1))</f>
        <v/>
      </c>
      <c r="H685" s="108" t="str">
        <f>IF($AG685="","",P_Peildatum)</f>
        <v/>
      </c>
      <c r="I685" s="92" t="str">
        <f>IF($AG685="","",P_RJ+INDEX($AK$8:$AK$21,INDEX($AC$8:$AC$1407,$AG685)+1))</f>
        <v/>
      </c>
      <c r="J685" s="92" t="str">
        <f>IF($AG685="","",INDEX(V_WBS,INDEX($AB$8:$AB$1407,$AG685)))</f>
        <v/>
      </c>
      <c r="K685" s="92" t="str">
        <f>IF($AG685="","",INDEX(V_Projdef,INDEX($AB$8:$AB$1407,$AG685)))</f>
        <v/>
      </c>
      <c r="L685" s="92" t="str">
        <f>IF($AG685="","",INDEX(V_Naam,INDEX($AB$8:$AB$1407,$AG685)))</f>
        <v/>
      </c>
      <c r="M685" s="92" t="str">
        <f>IF($AG685="","",INDEX(V_Type,INDEX($AB$8:$AB$1407,$AG685)))</f>
        <v/>
      </c>
      <c r="N685" s="92" t="str">
        <f>IF($AG685="","",INDEX(V_IFRS,INDEX($AB$8:$AB$1407,$AG685)))</f>
        <v/>
      </c>
      <c r="O685" s="92" t="str">
        <f>IF($AG685="","",INDEX($AL$8:$AL$21,INDEX($AC$8:$AC$1407,$AG685)+1))</f>
        <v/>
      </c>
      <c r="P685" s="109" t="str">
        <f>IF($AG685="","",INDEX($AD$8:$AD$1407,$AG685))</f>
        <v/>
      </c>
      <c r="Q685" s="92" t="str">
        <f>IF($AG685="","",INDEX($AM$8:$AM$21,INDEX($AC$8:$AC$1407,$AG685)+1))</f>
        <v/>
      </c>
      <c r="R685" s="92" t="str">
        <f>IF($AG685="","",IF($G685&gt;0,P_ToelCorrectie&amp;"",""))</f>
        <v/>
      </c>
      <c r="S685" s="15" t="str">
        <f>IF(J685="","",J685&amp;"|"&amp;E685&amp;"|"&amp;F685&amp;"|"&amp;I685&amp;"|"&amp;O685)</f>
        <v/>
      </c>
      <c r="T685" s="111" t="str">
        <f>IF(S685="","",IF(COUNTIFS(L_Sleutel,S685,L_Actief,1)=0,"",SUMIFS(L_Waarde,L_Sleutel,S685,L_Actief,1)))</f>
        <v/>
      </c>
      <c r="U685" s="111">
        <f>IF(OR(S685="",T685=""),0,P685-T685)</f>
        <v>0</v>
      </c>
      <c r="AB685" s="112" t="n">
        <v>49</v>
      </c>
      <c r="AC685" s="112" t="n">
        <v>5</v>
      </c>
      <c r="AD685" s="112" t="str">
        <f>VERW_Project!S54</f>
        <v/>
      </c>
      <c r="AE685" s="112">
        <f>IF(AND(VERW_Project!$A54&lt;&gt;"",ISNUMBER(AD685)),1,0)</f>
        <v>0</v>
      </c>
      <c r="AF685" s="112" t="str">
        <f>IF(AE685=1,SUM($AE$8:AE685),"")</f>
        <v/>
      </c>
      <c r="AG685" t="str">
        <f>IFERROR(MATCH(678,$AF$8:$AF$1407,0),"")</f>
        <v/>
      </c>
    </row>
    <row r="686">
      <c r="A686" s="92" t="str">
        <f>IF($AG686="","",P_ImportID)</f>
        <v/>
      </c>
      <c r="B686" s="92" t="str">
        <f>IF($AG686="","",IF(INDEX($AN$8:$AN$21,INDEX($AC$8:$AC$1407,$AG686)+1)="Z",P_BronZ,P_BronE))</f>
        <v/>
      </c>
      <c r="C686" s="108" t="str">
        <f>IF($AG686="","",P_Importdatum)</f>
        <v/>
      </c>
      <c r="D686" s="92" t="str">
        <f>IF($AG686="","",P_StatusVastleg)</f>
        <v/>
      </c>
      <c r="E686" s="92" t="str">
        <f>IF($AG686="","",P_UploadVJ)</f>
        <v/>
      </c>
      <c r="F686" s="92" t="str">
        <f>IF($AG686="","",P_UploadVersie)</f>
        <v/>
      </c>
      <c r="G686" s="92" t="str">
        <f>IF($AG686="","",IF(COUNTIFS(L_Sleutel,$S686,L_Status,"Vastgesteld")=0,0,_xlfn.MAXIFS(L_Revisie,L_Sleutel,$S686,L_Status,"Vastgesteld")+1))</f>
        <v/>
      </c>
      <c r="H686" s="108" t="str">
        <f>IF($AG686="","",P_Peildatum)</f>
        <v/>
      </c>
      <c r="I686" s="92" t="str">
        <f>IF($AG686="","",P_RJ+INDEX($AK$8:$AK$21,INDEX($AC$8:$AC$1407,$AG686)+1))</f>
        <v/>
      </c>
      <c r="J686" s="92" t="str">
        <f>IF($AG686="","",INDEX(V_WBS,INDEX($AB$8:$AB$1407,$AG686)))</f>
        <v/>
      </c>
      <c r="K686" s="92" t="str">
        <f>IF($AG686="","",INDEX(V_Projdef,INDEX($AB$8:$AB$1407,$AG686)))</f>
        <v/>
      </c>
      <c r="L686" s="92" t="str">
        <f>IF($AG686="","",INDEX(V_Naam,INDEX($AB$8:$AB$1407,$AG686)))</f>
        <v/>
      </c>
      <c r="M686" s="92" t="str">
        <f>IF($AG686="","",INDEX(V_Type,INDEX($AB$8:$AB$1407,$AG686)))</f>
        <v/>
      </c>
      <c r="N686" s="92" t="str">
        <f>IF($AG686="","",INDEX(V_IFRS,INDEX($AB$8:$AB$1407,$AG686)))</f>
        <v/>
      </c>
      <c r="O686" s="92" t="str">
        <f>IF($AG686="","",INDEX($AL$8:$AL$21,INDEX($AC$8:$AC$1407,$AG686)+1))</f>
        <v/>
      </c>
      <c r="P686" s="109" t="str">
        <f>IF($AG686="","",INDEX($AD$8:$AD$1407,$AG686))</f>
        <v/>
      </c>
      <c r="Q686" s="92" t="str">
        <f>IF($AG686="","",INDEX($AM$8:$AM$21,INDEX($AC$8:$AC$1407,$AG686)+1))</f>
        <v/>
      </c>
      <c r="R686" s="92" t="str">
        <f>IF($AG686="","",IF($G686&gt;0,P_ToelCorrectie&amp;"",""))</f>
        <v/>
      </c>
      <c r="S686" s="15" t="str">
        <f>IF(J686="","",J686&amp;"|"&amp;E686&amp;"|"&amp;F686&amp;"|"&amp;I686&amp;"|"&amp;O686)</f>
        <v/>
      </c>
      <c r="T686" s="111" t="str">
        <f>IF(S686="","",IF(COUNTIFS(L_Sleutel,S686,L_Actief,1)=0,"",SUMIFS(L_Waarde,L_Sleutel,S686,L_Actief,1)))</f>
        <v/>
      </c>
      <c r="U686" s="111">
        <f>IF(OR(S686="",T686=""),0,P686-T686)</f>
        <v>0</v>
      </c>
      <c r="AB686" s="112" t="n">
        <v>49</v>
      </c>
      <c r="AC686" s="112" t="n">
        <v>6</v>
      </c>
      <c r="AD686" s="112" t="str">
        <f>VERW_Project!BW54</f>
        <v/>
      </c>
      <c r="AE686" s="112">
        <f>IF(AND(VERW_Project!$A54&lt;&gt;"",ISNUMBER(AD686)),1,0)</f>
        <v>0</v>
      </c>
      <c r="AF686" s="112" t="str">
        <f>IF(AE686=1,SUM($AE$8:AE686),"")</f>
        <v/>
      </c>
      <c r="AG686" t="str">
        <f>IFERROR(MATCH(679,$AF$8:$AF$1407,0),"")</f>
        <v/>
      </c>
    </row>
    <row r="687">
      <c r="A687" s="92" t="str">
        <f>IF($AG687="","",P_ImportID)</f>
        <v/>
      </c>
      <c r="B687" s="92" t="str">
        <f>IF($AG687="","",IF(INDEX($AN$8:$AN$21,INDEX($AC$8:$AC$1407,$AG687)+1)="Z",P_BronZ,P_BronE))</f>
        <v/>
      </c>
      <c r="C687" s="108" t="str">
        <f>IF($AG687="","",P_Importdatum)</f>
        <v/>
      </c>
      <c r="D687" s="92" t="str">
        <f>IF($AG687="","",P_StatusVastleg)</f>
        <v/>
      </c>
      <c r="E687" s="92" t="str">
        <f>IF($AG687="","",P_UploadVJ)</f>
        <v/>
      </c>
      <c r="F687" s="92" t="str">
        <f>IF($AG687="","",P_UploadVersie)</f>
        <v/>
      </c>
      <c r="G687" s="92" t="str">
        <f>IF($AG687="","",IF(COUNTIFS(L_Sleutel,$S687,L_Status,"Vastgesteld")=0,0,_xlfn.MAXIFS(L_Revisie,L_Sleutel,$S687,L_Status,"Vastgesteld")+1))</f>
        <v/>
      </c>
      <c r="H687" s="108" t="str">
        <f>IF($AG687="","",P_Peildatum)</f>
        <v/>
      </c>
      <c r="I687" s="92" t="str">
        <f>IF($AG687="","",P_RJ+INDEX($AK$8:$AK$21,INDEX($AC$8:$AC$1407,$AG687)+1))</f>
        <v/>
      </c>
      <c r="J687" s="92" t="str">
        <f>IF($AG687="","",INDEX(V_WBS,INDEX($AB$8:$AB$1407,$AG687)))</f>
        <v/>
      </c>
      <c r="K687" s="92" t="str">
        <f>IF($AG687="","",INDEX(V_Projdef,INDEX($AB$8:$AB$1407,$AG687)))</f>
        <v/>
      </c>
      <c r="L687" s="92" t="str">
        <f>IF($AG687="","",INDEX(V_Naam,INDEX($AB$8:$AB$1407,$AG687)))</f>
        <v/>
      </c>
      <c r="M687" s="92" t="str">
        <f>IF($AG687="","",INDEX(V_Type,INDEX($AB$8:$AB$1407,$AG687)))</f>
        <v/>
      </c>
      <c r="N687" s="92" t="str">
        <f>IF($AG687="","",INDEX(V_IFRS,INDEX($AB$8:$AB$1407,$AG687)))</f>
        <v/>
      </c>
      <c r="O687" s="92" t="str">
        <f>IF($AG687="","",INDEX($AL$8:$AL$21,INDEX($AC$8:$AC$1407,$AG687)+1))</f>
        <v/>
      </c>
      <c r="P687" s="109" t="str">
        <f>IF($AG687="","",INDEX($AD$8:$AD$1407,$AG687))</f>
        <v/>
      </c>
      <c r="Q687" s="92" t="str">
        <f>IF($AG687="","",INDEX($AM$8:$AM$21,INDEX($AC$8:$AC$1407,$AG687)+1))</f>
        <v/>
      </c>
      <c r="R687" s="92" t="str">
        <f>IF($AG687="","",IF($G687&gt;0,P_ToelCorrectie&amp;"",""))</f>
        <v/>
      </c>
      <c r="S687" s="15" t="str">
        <f>IF(J687="","",J687&amp;"|"&amp;E687&amp;"|"&amp;F687&amp;"|"&amp;I687&amp;"|"&amp;O687)</f>
        <v/>
      </c>
      <c r="T687" s="111" t="str">
        <f>IF(S687="","",IF(COUNTIFS(L_Sleutel,S687,L_Actief,1)=0,"",SUMIFS(L_Waarde,L_Sleutel,S687,L_Actief,1)))</f>
        <v/>
      </c>
      <c r="U687" s="111">
        <f>IF(OR(S687="",T687=""),0,P687-T687)</f>
        <v>0</v>
      </c>
      <c r="AB687" s="112" t="n">
        <v>49</v>
      </c>
      <c r="AC687" s="112" t="n">
        <v>7</v>
      </c>
      <c r="AD687" s="112" t="str">
        <f>VERW_Project!AW54</f>
        <v/>
      </c>
      <c r="AE687" s="112">
        <f>IF(AND(VERW_Project!$A54&lt;&gt;"",ISNUMBER(AD687)),1,0)</f>
        <v>0</v>
      </c>
      <c r="AF687" s="112" t="str">
        <f>IF(AE687=1,SUM($AE$8:AE687),"")</f>
        <v/>
      </c>
      <c r="AG687" t="str">
        <f>IFERROR(MATCH(680,$AF$8:$AF$1407,0),"")</f>
        <v/>
      </c>
    </row>
    <row r="688">
      <c r="A688" s="92" t="str">
        <f>IF($AG688="","",P_ImportID)</f>
        <v/>
      </c>
      <c r="B688" s="92" t="str">
        <f>IF($AG688="","",IF(INDEX($AN$8:$AN$21,INDEX($AC$8:$AC$1407,$AG688)+1)="Z",P_BronZ,P_BronE))</f>
        <v/>
      </c>
      <c r="C688" s="108" t="str">
        <f>IF($AG688="","",P_Importdatum)</f>
        <v/>
      </c>
      <c r="D688" s="92" t="str">
        <f>IF($AG688="","",P_StatusVastleg)</f>
        <v/>
      </c>
      <c r="E688" s="92" t="str">
        <f>IF($AG688="","",P_UploadVJ)</f>
        <v/>
      </c>
      <c r="F688" s="92" t="str">
        <f>IF($AG688="","",P_UploadVersie)</f>
        <v/>
      </c>
      <c r="G688" s="92" t="str">
        <f>IF($AG688="","",IF(COUNTIFS(L_Sleutel,$S688,L_Status,"Vastgesteld")=0,0,_xlfn.MAXIFS(L_Revisie,L_Sleutel,$S688,L_Status,"Vastgesteld")+1))</f>
        <v/>
      </c>
      <c r="H688" s="108" t="str">
        <f>IF($AG688="","",P_Peildatum)</f>
        <v/>
      </c>
      <c r="I688" s="92" t="str">
        <f>IF($AG688="","",P_RJ+INDEX($AK$8:$AK$21,INDEX($AC$8:$AC$1407,$AG688)+1))</f>
        <v/>
      </c>
      <c r="J688" s="92" t="str">
        <f>IF($AG688="","",INDEX(V_WBS,INDEX($AB$8:$AB$1407,$AG688)))</f>
        <v/>
      </c>
      <c r="K688" s="92" t="str">
        <f>IF($AG688="","",INDEX(V_Projdef,INDEX($AB$8:$AB$1407,$AG688)))</f>
        <v/>
      </c>
      <c r="L688" s="92" t="str">
        <f>IF($AG688="","",INDEX(V_Naam,INDEX($AB$8:$AB$1407,$AG688)))</f>
        <v/>
      </c>
      <c r="M688" s="92" t="str">
        <f>IF($AG688="","",INDEX(V_Type,INDEX($AB$8:$AB$1407,$AG688)))</f>
        <v/>
      </c>
      <c r="N688" s="92" t="str">
        <f>IF($AG688="","",INDEX(V_IFRS,INDEX($AB$8:$AB$1407,$AG688)))</f>
        <v/>
      </c>
      <c r="O688" s="92" t="str">
        <f>IF($AG688="","",INDEX($AL$8:$AL$21,INDEX($AC$8:$AC$1407,$AG688)+1))</f>
        <v/>
      </c>
      <c r="P688" s="109" t="str">
        <f>IF($AG688="","",INDEX($AD$8:$AD$1407,$AG688))</f>
        <v/>
      </c>
      <c r="Q688" s="92" t="str">
        <f>IF($AG688="","",INDEX($AM$8:$AM$21,INDEX($AC$8:$AC$1407,$AG688)+1))</f>
        <v/>
      </c>
      <c r="R688" s="92" t="str">
        <f>IF($AG688="","",IF($G688&gt;0,P_ToelCorrectie&amp;"",""))</f>
        <v/>
      </c>
      <c r="S688" s="15" t="str">
        <f>IF(J688="","",J688&amp;"|"&amp;E688&amp;"|"&amp;F688&amp;"|"&amp;I688&amp;"|"&amp;O688)</f>
        <v/>
      </c>
      <c r="T688" s="111" t="str">
        <f>IF(S688="","",IF(COUNTIFS(L_Sleutel,S688,L_Actief,1)=0,"",SUMIFS(L_Waarde,L_Sleutel,S688,L_Actief,1)))</f>
        <v/>
      </c>
      <c r="U688" s="111">
        <f>IF(OR(S688="",T688=""),0,P688-T688)</f>
        <v>0</v>
      </c>
      <c r="AB688" s="112" t="n">
        <v>49</v>
      </c>
      <c r="AC688" s="112" t="n">
        <v>8</v>
      </c>
      <c r="AD688" s="112" t="str">
        <f>VERW_Project!BQ54</f>
        <v/>
      </c>
      <c r="AE688" s="112">
        <f>IF(AND(VERW_Project!$A54&lt;&gt;"",ISNUMBER(AD688)),1,0)</f>
        <v>0</v>
      </c>
      <c r="AF688" s="112" t="str">
        <f>IF(AE688=1,SUM($AE$8:AE688),"")</f>
        <v/>
      </c>
      <c r="AG688" t="str">
        <f>IFERROR(MATCH(681,$AF$8:$AF$1407,0),"")</f>
        <v/>
      </c>
    </row>
    <row r="689">
      <c r="A689" s="92" t="str">
        <f>IF($AG689="","",P_ImportID)</f>
        <v/>
      </c>
      <c r="B689" s="92" t="str">
        <f>IF($AG689="","",IF(INDEX($AN$8:$AN$21,INDEX($AC$8:$AC$1407,$AG689)+1)="Z",P_BronZ,P_BronE))</f>
        <v/>
      </c>
      <c r="C689" s="108" t="str">
        <f>IF($AG689="","",P_Importdatum)</f>
        <v/>
      </c>
      <c r="D689" s="92" t="str">
        <f>IF($AG689="","",P_StatusVastleg)</f>
        <v/>
      </c>
      <c r="E689" s="92" t="str">
        <f>IF($AG689="","",P_UploadVJ)</f>
        <v/>
      </c>
      <c r="F689" s="92" t="str">
        <f>IF($AG689="","",P_UploadVersie)</f>
        <v/>
      </c>
      <c r="G689" s="92" t="str">
        <f>IF($AG689="","",IF(COUNTIFS(L_Sleutel,$S689,L_Status,"Vastgesteld")=0,0,_xlfn.MAXIFS(L_Revisie,L_Sleutel,$S689,L_Status,"Vastgesteld")+1))</f>
        <v/>
      </c>
      <c r="H689" s="108" t="str">
        <f>IF($AG689="","",P_Peildatum)</f>
        <v/>
      </c>
      <c r="I689" s="92" t="str">
        <f>IF($AG689="","",P_RJ+INDEX($AK$8:$AK$21,INDEX($AC$8:$AC$1407,$AG689)+1))</f>
        <v/>
      </c>
      <c r="J689" s="92" t="str">
        <f>IF($AG689="","",INDEX(V_WBS,INDEX($AB$8:$AB$1407,$AG689)))</f>
        <v/>
      </c>
      <c r="K689" s="92" t="str">
        <f>IF($AG689="","",INDEX(V_Projdef,INDEX($AB$8:$AB$1407,$AG689)))</f>
        <v/>
      </c>
      <c r="L689" s="92" t="str">
        <f>IF($AG689="","",INDEX(V_Naam,INDEX($AB$8:$AB$1407,$AG689)))</f>
        <v/>
      </c>
      <c r="M689" s="92" t="str">
        <f>IF($AG689="","",INDEX(V_Type,INDEX($AB$8:$AB$1407,$AG689)))</f>
        <v/>
      </c>
      <c r="N689" s="92" t="str">
        <f>IF($AG689="","",INDEX(V_IFRS,INDEX($AB$8:$AB$1407,$AG689)))</f>
        <v/>
      </c>
      <c r="O689" s="92" t="str">
        <f>IF($AG689="","",INDEX($AL$8:$AL$21,INDEX($AC$8:$AC$1407,$AG689)+1))</f>
        <v/>
      </c>
      <c r="P689" s="109" t="str">
        <f>IF($AG689="","",INDEX($AD$8:$AD$1407,$AG689))</f>
        <v/>
      </c>
      <c r="Q689" s="92" t="str">
        <f>IF($AG689="","",INDEX($AM$8:$AM$21,INDEX($AC$8:$AC$1407,$AG689)+1))</f>
        <v/>
      </c>
      <c r="R689" s="92" t="str">
        <f>IF($AG689="","",IF($G689&gt;0,P_ToelCorrectie&amp;"",""))</f>
        <v/>
      </c>
      <c r="S689" s="15" t="str">
        <f>IF(J689="","",J689&amp;"|"&amp;E689&amp;"|"&amp;F689&amp;"|"&amp;I689&amp;"|"&amp;O689)</f>
        <v/>
      </c>
      <c r="T689" s="111" t="str">
        <f>IF(S689="","",IF(COUNTIFS(L_Sleutel,S689,L_Actief,1)=0,"",SUMIFS(L_Waarde,L_Sleutel,S689,L_Actief,1)))</f>
        <v/>
      </c>
      <c r="U689" s="111">
        <f>IF(OR(S689="",T689=""),0,P689-T689)</f>
        <v>0</v>
      </c>
      <c r="AB689" s="112" t="n">
        <v>49</v>
      </c>
      <c r="AC689" s="112" t="n">
        <v>9</v>
      </c>
      <c r="AD689" s="112" t="str">
        <f>VERW_Project!BR54</f>
        <v/>
      </c>
      <c r="AE689" s="112">
        <f>IF(AND(VERW_Project!$A54&lt;&gt;"",ISNUMBER(AD689)),1,0)</f>
        <v>0</v>
      </c>
      <c r="AF689" s="112" t="str">
        <f>IF(AE689=1,SUM($AE$8:AE689),"")</f>
        <v/>
      </c>
      <c r="AG689" t="str">
        <f>IFERROR(MATCH(682,$AF$8:$AF$1407,0),"")</f>
        <v/>
      </c>
    </row>
    <row r="690">
      <c r="A690" s="92" t="str">
        <f>IF($AG690="","",P_ImportID)</f>
        <v/>
      </c>
      <c r="B690" s="92" t="str">
        <f>IF($AG690="","",IF(INDEX($AN$8:$AN$21,INDEX($AC$8:$AC$1407,$AG690)+1)="Z",P_BronZ,P_BronE))</f>
        <v/>
      </c>
      <c r="C690" s="108" t="str">
        <f>IF($AG690="","",P_Importdatum)</f>
        <v/>
      </c>
      <c r="D690" s="92" t="str">
        <f>IF($AG690="","",P_StatusVastleg)</f>
        <v/>
      </c>
      <c r="E690" s="92" t="str">
        <f>IF($AG690="","",P_UploadVJ)</f>
        <v/>
      </c>
      <c r="F690" s="92" t="str">
        <f>IF($AG690="","",P_UploadVersie)</f>
        <v/>
      </c>
      <c r="G690" s="92" t="str">
        <f>IF($AG690="","",IF(COUNTIFS(L_Sleutel,$S690,L_Status,"Vastgesteld")=0,0,_xlfn.MAXIFS(L_Revisie,L_Sleutel,$S690,L_Status,"Vastgesteld")+1))</f>
        <v/>
      </c>
      <c r="H690" s="108" t="str">
        <f>IF($AG690="","",P_Peildatum)</f>
        <v/>
      </c>
      <c r="I690" s="92" t="str">
        <f>IF($AG690="","",P_RJ+INDEX($AK$8:$AK$21,INDEX($AC$8:$AC$1407,$AG690)+1))</f>
        <v/>
      </c>
      <c r="J690" s="92" t="str">
        <f>IF($AG690="","",INDEX(V_WBS,INDEX($AB$8:$AB$1407,$AG690)))</f>
        <v/>
      </c>
      <c r="K690" s="92" t="str">
        <f>IF($AG690="","",INDEX(V_Projdef,INDEX($AB$8:$AB$1407,$AG690)))</f>
        <v/>
      </c>
      <c r="L690" s="92" t="str">
        <f>IF($AG690="","",INDEX(V_Naam,INDEX($AB$8:$AB$1407,$AG690)))</f>
        <v/>
      </c>
      <c r="M690" s="92" t="str">
        <f>IF($AG690="","",INDEX(V_Type,INDEX($AB$8:$AB$1407,$AG690)))</f>
        <v/>
      </c>
      <c r="N690" s="92" t="str">
        <f>IF($AG690="","",INDEX(V_IFRS,INDEX($AB$8:$AB$1407,$AG690)))</f>
        <v/>
      </c>
      <c r="O690" s="92" t="str">
        <f>IF($AG690="","",INDEX($AL$8:$AL$21,INDEX($AC$8:$AC$1407,$AG690)+1))</f>
        <v/>
      </c>
      <c r="P690" s="109" t="str">
        <f>IF($AG690="","",INDEX($AD$8:$AD$1407,$AG690))</f>
        <v/>
      </c>
      <c r="Q690" s="92" t="str">
        <f>IF($AG690="","",INDEX($AM$8:$AM$21,INDEX($AC$8:$AC$1407,$AG690)+1))</f>
        <v/>
      </c>
      <c r="R690" s="92" t="str">
        <f>IF($AG690="","",IF($G690&gt;0,P_ToelCorrectie&amp;"",""))</f>
        <v/>
      </c>
      <c r="S690" s="15" t="str">
        <f>IF(J690="","",J690&amp;"|"&amp;E690&amp;"|"&amp;F690&amp;"|"&amp;I690&amp;"|"&amp;O690)</f>
        <v/>
      </c>
      <c r="T690" s="111" t="str">
        <f>IF(S690="","",IF(COUNTIFS(L_Sleutel,S690,L_Actief,1)=0,"",SUMIFS(L_Waarde,L_Sleutel,S690,L_Actief,1)))</f>
        <v/>
      </c>
      <c r="U690" s="111">
        <f>IF(OR(S690="",T690=""),0,P690-T690)</f>
        <v>0</v>
      </c>
      <c r="AB690" s="112" t="n">
        <v>49</v>
      </c>
      <c r="AC690" s="112" t="n">
        <v>10</v>
      </c>
      <c r="AD690" s="112" t="str">
        <f>VERW_Project!BS54</f>
        <v/>
      </c>
      <c r="AE690" s="112">
        <f>IF(AND(VERW_Project!$A54&lt;&gt;"",ISNUMBER(AD690)),1,0)</f>
        <v>0</v>
      </c>
      <c r="AF690" s="112" t="str">
        <f>IF(AE690=1,SUM($AE$8:AE690),"")</f>
        <v/>
      </c>
      <c r="AG690" t="str">
        <f>IFERROR(MATCH(683,$AF$8:$AF$1407,0),"")</f>
        <v/>
      </c>
    </row>
    <row r="691">
      <c r="A691" s="92" t="str">
        <f>IF($AG691="","",P_ImportID)</f>
        <v/>
      </c>
      <c r="B691" s="92" t="str">
        <f>IF($AG691="","",IF(INDEX($AN$8:$AN$21,INDEX($AC$8:$AC$1407,$AG691)+1)="Z",P_BronZ,P_BronE))</f>
        <v/>
      </c>
      <c r="C691" s="108" t="str">
        <f>IF($AG691="","",P_Importdatum)</f>
        <v/>
      </c>
      <c r="D691" s="92" t="str">
        <f>IF($AG691="","",P_StatusVastleg)</f>
        <v/>
      </c>
      <c r="E691" s="92" t="str">
        <f>IF($AG691="","",P_UploadVJ)</f>
        <v/>
      </c>
      <c r="F691" s="92" t="str">
        <f>IF($AG691="","",P_UploadVersie)</f>
        <v/>
      </c>
      <c r="G691" s="92" t="str">
        <f>IF($AG691="","",IF(COUNTIFS(L_Sleutel,$S691,L_Status,"Vastgesteld")=0,0,_xlfn.MAXIFS(L_Revisie,L_Sleutel,$S691,L_Status,"Vastgesteld")+1))</f>
        <v/>
      </c>
      <c r="H691" s="108" t="str">
        <f>IF($AG691="","",P_Peildatum)</f>
        <v/>
      </c>
      <c r="I691" s="92" t="str">
        <f>IF($AG691="","",P_RJ+INDEX($AK$8:$AK$21,INDEX($AC$8:$AC$1407,$AG691)+1))</f>
        <v/>
      </c>
      <c r="J691" s="92" t="str">
        <f>IF($AG691="","",INDEX(V_WBS,INDEX($AB$8:$AB$1407,$AG691)))</f>
        <v/>
      </c>
      <c r="K691" s="92" t="str">
        <f>IF($AG691="","",INDEX(V_Projdef,INDEX($AB$8:$AB$1407,$AG691)))</f>
        <v/>
      </c>
      <c r="L691" s="92" t="str">
        <f>IF($AG691="","",INDEX(V_Naam,INDEX($AB$8:$AB$1407,$AG691)))</f>
        <v/>
      </c>
      <c r="M691" s="92" t="str">
        <f>IF($AG691="","",INDEX(V_Type,INDEX($AB$8:$AB$1407,$AG691)))</f>
        <v/>
      </c>
      <c r="N691" s="92" t="str">
        <f>IF($AG691="","",INDEX(V_IFRS,INDEX($AB$8:$AB$1407,$AG691)))</f>
        <v/>
      </c>
      <c r="O691" s="92" t="str">
        <f>IF($AG691="","",INDEX($AL$8:$AL$21,INDEX($AC$8:$AC$1407,$AG691)+1))</f>
        <v/>
      </c>
      <c r="P691" s="109" t="str">
        <f>IF($AG691="","",INDEX($AD$8:$AD$1407,$AG691))</f>
        <v/>
      </c>
      <c r="Q691" s="92" t="str">
        <f>IF($AG691="","",INDEX($AM$8:$AM$21,INDEX($AC$8:$AC$1407,$AG691)+1))</f>
        <v/>
      </c>
      <c r="R691" s="92" t="str">
        <f>IF($AG691="","",IF($G691&gt;0,P_ToelCorrectie&amp;"",""))</f>
        <v/>
      </c>
      <c r="S691" s="15" t="str">
        <f>IF(J691="","",J691&amp;"|"&amp;E691&amp;"|"&amp;F691&amp;"|"&amp;I691&amp;"|"&amp;O691)</f>
        <v/>
      </c>
      <c r="T691" s="111" t="str">
        <f>IF(S691="","",IF(COUNTIFS(L_Sleutel,S691,L_Actief,1)=0,"",SUMIFS(L_Waarde,L_Sleutel,S691,L_Actief,1)))</f>
        <v/>
      </c>
      <c r="U691" s="111">
        <f>IF(OR(S691="",T691=""),0,P691-T691)</f>
        <v>0</v>
      </c>
      <c r="AB691" s="112" t="n">
        <v>49</v>
      </c>
      <c r="AC691" s="112" t="n">
        <v>11</v>
      </c>
      <c r="AD691" s="112" t="str">
        <f>VERW_Project!BT54</f>
        <v/>
      </c>
      <c r="AE691" s="112">
        <f>IF(AND(VERW_Project!$A54&lt;&gt;"",ISNUMBER(AD691)),1,0)</f>
        <v>0</v>
      </c>
      <c r="AF691" s="112" t="str">
        <f>IF(AE691=1,SUM($AE$8:AE691),"")</f>
        <v/>
      </c>
      <c r="AG691" t="str">
        <f>IFERROR(MATCH(684,$AF$8:$AF$1407,0),"")</f>
        <v/>
      </c>
    </row>
    <row r="692">
      <c r="A692" s="92" t="str">
        <f>IF($AG692="","",P_ImportID)</f>
        <v/>
      </c>
      <c r="B692" s="92" t="str">
        <f>IF($AG692="","",IF(INDEX($AN$8:$AN$21,INDEX($AC$8:$AC$1407,$AG692)+1)="Z",P_BronZ,P_BronE))</f>
        <v/>
      </c>
      <c r="C692" s="108" t="str">
        <f>IF($AG692="","",P_Importdatum)</f>
        <v/>
      </c>
      <c r="D692" s="92" t="str">
        <f>IF($AG692="","",P_StatusVastleg)</f>
        <v/>
      </c>
      <c r="E692" s="92" t="str">
        <f>IF($AG692="","",P_UploadVJ)</f>
        <v/>
      </c>
      <c r="F692" s="92" t="str">
        <f>IF($AG692="","",P_UploadVersie)</f>
        <v/>
      </c>
      <c r="G692" s="92" t="str">
        <f>IF($AG692="","",IF(COUNTIFS(L_Sleutel,$S692,L_Status,"Vastgesteld")=0,0,_xlfn.MAXIFS(L_Revisie,L_Sleutel,$S692,L_Status,"Vastgesteld")+1))</f>
        <v/>
      </c>
      <c r="H692" s="108" t="str">
        <f>IF($AG692="","",P_Peildatum)</f>
        <v/>
      </c>
      <c r="I692" s="92" t="str">
        <f>IF($AG692="","",P_RJ+INDEX($AK$8:$AK$21,INDEX($AC$8:$AC$1407,$AG692)+1))</f>
        <v/>
      </c>
      <c r="J692" s="92" t="str">
        <f>IF($AG692="","",INDEX(V_WBS,INDEX($AB$8:$AB$1407,$AG692)))</f>
        <v/>
      </c>
      <c r="K692" s="92" t="str">
        <f>IF($AG692="","",INDEX(V_Projdef,INDEX($AB$8:$AB$1407,$AG692)))</f>
        <v/>
      </c>
      <c r="L692" s="92" t="str">
        <f>IF($AG692="","",INDEX(V_Naam,INDEX($AB$8:$AB$1407,$AG692)))</f>
        <v/>
      </c>
      <c r="M692" s="92" t="str">
        <f>IF($AG692="","",INDEX(V_Type,INDEX($AB$8:$AB$1407,$AG692)))</f>
        <v/>
      </c>
      <c r="N692" s="92" t="str">
        <f>IF($AG692="","",INDEX(V_IFRS,INDEX($AB$8:$AB$1407,$AG692)))</f>
        <v/>
      </c>
      <c r="O692" s="92" t="str">
        <f>IF($AG692="","",INDEX($AL$8:$AL$21,INDEX($AC$8:$AC$1407,$AG692)+1))</f>
        <v/>
      </c>
      <c r="P692" s="109" t="str">
        <f>IF($AG692="","",INDEX($AD$8:$AD$1407,$AG692))</f>
        <v/>
      </c>
      <c r="Q692" s="92" t="str">
        <f>IF($AG692="","",INDEX($AM$8:$AM$21,INDEX($AC$8:$AC$1407,$AG692)+1))</f>
        <v/>
      </c>
      <c r="R692" s="92" t="str">
        <f>IF($AG692="","",IF($G692&gt;0,P_ToelCorrectie&amp;"",""))</f>
        <v/>
      </c>
      <c r="S692" s="15" t="str">
        <f>IF(J692="","",J692&amp;"|"&amp;E692&amp;"|"&amp;F692&amp;"|"&amp;I692&amp;"|"&amp;O692)</f>
        <v/>
      </c>
      <c r="T692" s="111" t="str">
        <f>IF(S692="","",IF(COUNTIFS(L_Sleutel,S692,L_Actief,1)=0,"",SUMIFS(L_Waarde,L_Sleutel,S692,L_Actief,1)))</f>
        <v/>
      </c>
      <c r="U692" s="111">
        <f>IF(OR(S692="",T692=""),0,P692-T692)</f>
        <v>0</v>
      </c>
      <c r="AB692" s="112" t="n">
        <v>49</v>
      </c>
      <c r="AC692" s="112" t="n">
        <v>12</v>
      </c>
      <c r="AD692" s="112" t="str">
        <f>VERW_Project!BU54</f>
        <v/>
      </c>
      <c r="AE692" s="112">
        <f>IF(AND(VERW_Project!$A54&lt;&gt;"",ISNUMBER(AD692)),1,0)</f>
        <v>0</v>
      </c>
      <c r="AF692" s="112" t="str">
        <f>IF(AE692=1,SUM($AE$8:AE692),"")</f>
        <v/>
      </c>
      <c r="AG692" t="str">
        <f>IFERROR(MATCH(685,$AF$8:$AF$1407,0),"")</f>
        <v/>
      </c>
    </row>
    <row r="693">
      <c r="A693" s="92" t="str">
        <f>IF($AG693="","",P_ImportID)</f>
        <v/>
      </c>
      <c r="B693" s="92" t="str">
        <f>IF($AG693="","",IF(INDEX($AN$8:$AN$21,INDEX($AC$8:$AC$1407,$AG693)+1)="Z",P_BronZ,P_BronE))</f>
        <v/>
      </c>
      <c r="C693" s="108" t="str">
        <f>IF($AG693="","",P_Importdatum)</f>
        <v/>
      </c>
      <c r="D693" s="92" t="str">
        <f>IF($AG693="","",P_StatusVastleg)</f>
        <v/>
      </c>
      <c r="E693" s="92" t="str">
        <f>IF($AG693="","",P_UploadVJ)</f>
        <v/>
      </c>
      <c r="F693" s="92" t="str">
        <f>IF($AG693="","",P_UploadVersie)</f>
        <v/>
      </c>
      <c r="G693" s="92" t="str">
        <f>IF($AG693="","",IF(COUNTIFS(L_Sleutel,$S693,L_Status,"Vastgesteld")=0,0,_xlfn.MAXIFS(L_Revisie,L_Sleutel,$S693,L_Status,"Vastgesteld")+1))</f>
        <v/>
      </c>
      <c r="H693" s="108" t="str">
        <f>IF($AG693="","",P_Peildatum)</f>
        <v/>
      </c>
      <c r="I693" s="92" t="str">
        <f>IF($AG693="","",P_RJ+INDEX($AK$8:$AK$21,INDEX($AC$8:$AC$1407,$AG693)+1))</f>
        <v/>
      </c>
      <c r="J693" s="92" t="str">
        <f>IF($AG693="","",INDEX(V_WBS,INDEX($AB$8:$AB$1407,$AG693)))</f>
        <v/>
      </c>
      <c r="K693" s="92" t="str">
        <f>IF($AG693="","",INDEX(V_Projdef,INDEX($AB$8:$AB$1407,$AG693)))</f>
        <v/>
      </c>
      <c r="L693" s="92" t="str">
        <f>IF($AG693="","",INDEX(V_Naam,INDEX($AB$8:$AB$1407,$AG693)))</f>
        <v/>
      </c>
      <c r="M693" s="92" t="str">
        <f>IF($AG693="","",INDEX(V_Type,INDEX($AB$8:$AB$1407,$AG693)))</f>
        <v/>
      </c>
      <c r="N693" s="92" t="str">
        <f>IF($AG693="","",INDEX(V_IFRS,INDEX($AB$8:$AB$1407,$AG693)))</f>
        <v/>
      </c>
      <c r="O693" s="92" t="str">
        <f>IF($AG693="","",INDEX($AL$8:$AL$21,INDEX($AC$8:$AC$1407,$AG693)+1))</f>
        <v/>
      </c>
      <c r="P693" s="109" t="str">
        <f>IF($AG693="","",INDEX($AD$8:$AD$1407,$AG693))</f>
        <v/>
      </c>
      <c r="Q693" s="92" t="str">
        <f>IF($AG693="","",INDEX($AM$8:$AM$21,INDEX($AC$8:$AC$1407,$AG693)+1))</f>
        <v/>
      </c>
      <c r="R693" s="92" t="str">
        <f>IF($AG693="","",IF($G693&gt;0,P_ToelCorrectie&amp;"",""))</f>
        <v/>
      </c>
      <c r="S693" s="15" t="str">
        <f>IF(J693="","",J693&amp;"|"&amp;E693&amp;"|"&amp;F693&amp;"|"&amp;I693&amp;"|"&amp;O693)</f>
        <v/>
      </c>
      <c r="T693" s="111" t="str">
        <f>IF(S693="","",IF(COUNTIFS(L_Sleutel,S693,L_Actief,1)=0,"",SUMIFS(L_Waarde,L_Sleutel,S693,L_Actief,1)))</f>
        <v/>
      </c>
      <c r="U693" s="111">
        <f>IF(OR(S693="",T693=""),0,P693-T693)</f>
        <v>0</v>
      </c>
      <c r="AB693" s="112" t="n">
        <v>49</v>
      </c>
      <c r="AC693" s="112" t="n">
        <v>13</v>
      </c>
      <c r="AD693" s="112" t="str">
        <f>VERW_Project!BX54</f>
        <v/>
      </c>
      <c r="AE693" s="112">
        <f>IF(AND(VERW_Project!$A54&lt;&gt;"",ISNUMBER(AD693)),1,0)</f>
        <v>0</v>
      </c>
      <c r="AF693" s="112" t="str">
        <f>IF(AE693=1,SUM($AE$8:AE693),"")</f>
        <v/>
      </c>
      <c r="AG693" t="str">
        <f>IFERROR(MATCH(686,$AF$8:$AF$1407,0),"")</f>
        <v/>
      </c>
    </row>
    <row r="694">
      <c r="A694" s="92" t="str">
        <f>IF($AG694="","",P_ImportID)</f>
        <v/>
      </c>
      <c r="B694" s="92" t="str">
        <f>IF($AG694="","",IF(INDEX($AN$8:$AN$21,INDEX($AC$8:$AC$1407,$AG694)+1)="Z",P_BronZ,P_BronE))</f>
        <v/>
      </c>
      <c r="C694" s="108" t="str">
        <f>IF($AG694="","",P_Importdatum)</f>
        <v/>
      </c>
      <c r="D694" s="92" t="str">
        <f>IF($AG694="","",P_StatusVastleg)</f>
        <v/>
      </c>
      <c r="E694" s="92" t="str">
        <f>IF($AG694="","",P_UploadVJ)</f>
        <v/>
      </c>
      <c r="F694" s="92" t="str">
        <f>IF($AG694="","",P_UploadVersie)</f>
        <v/>
      </c>
      <c r="G694" s="92" t="str">
        <f>IF($AG694="","",IF(COUNTIFS(L_Sleutel,$S694,L_Status,"Vastgesteld")=0,0,_xlfn.MAXIFS(L_Revisie,L_Sleutel,$S694,L_Status,"Vastgesteld")+1))</f>
        <v/>
      </c>
      <c r="H694" s="108" t="str">
        <f>IF($AG694="","",P_Peildatum)</f>
        <v/>
      </c>
      <c r="I694" s="92" t="str">
        <f>IF($AG694="","",P_RJ+INDEX($AK$8:$AK$21,INDEX($AC$8:$AC$1407,$AG694)+1))</f>
        <v/>
      </c>
      <c r="J694" s="92" t="str">
        <f>IF($AG694="","",INDEX(V_WBS,INDEX($AB$8:$AB$1407,$AG694)))</f>
        <v/>
      </c>
      <c r="K694" s="92" t="str">
        <f>IF($AG694="","",INDEX(V_Projdef,INDEX($AB$8:$AB$1407,$AG694)))</f>
        <v/>
      </c>
      <c r="L694" s="92" t="str">
        <f>IF($AG694="","",INDEX(V_Naam,INDEX($AB$8:$AB$1407,$AG694)))</f>
        <v/>
      </c>
      <c r="M694" s="92" t="str">
        <f>IF($AG694="","",INDEX(V_Type,INDEX($AB$8:$AB$1407,$AG694)))</f>
        <v/>
      </c>
      <c r="N694" s="92" t="str">
        <f>IF($AG694="","",INDEX(V_IFRS,INDEX($AB$8:$AB$1407,$AG694)))</f>
        <v/>
      </c>
      <c r="O694" s="92" t="str">
        <f>IF($AG694="","",INDEX($AL$8:$AL$21,INDEX($AC$8:$AC$1407,$AG694)+1))</f>
        <v/>
      </c>
      <c r="P694" s="109" t="str">
        <f>IF($AG694="","",INDEX($AD$8:$AD$1407,$AG694))</f>
        <v/>
      </c>
      <c r="Q694" s="92" t="str">
        <f>IF($AG694="","",INDEX($AM$8:$AM$21,INDEX($AC$8:$AC$1407,$AG694)+1))</f>
        <v/>
      </c>
      <c r="R694" s="92" t="str">
        <f>IF($AG694="","",IF($G694&gt;0,P_ToelCorrectie&amp;"",""))</f>
        <v/>
      </c>
      <c r="S694" s="15" t="str">
        <f>IF(J694="","",J694&amp;"|"&amp;E694&amp;"|"&amp;F694&amp;"|"&amp;I694&amp;"|"&amp;O694)</f>
        <v/>
      </c>
      <c r="T694" s="111" t="str">
        <f>IF(S694="","",IF(COUNTIFS(L_Sleutel,S694,L_Actief,1)=0,"",SUMIFS(L_Waarde,L_Sleutel,S694,L_Actief,1)))</f>
        <v/>
      </c>
      <c r="U694" s="111">
        <f>IF(OR(S694="",T694=""),0,P694-T694)</f>
        <v>0</v>
      </c>
      <c r="AB694" s="112" t="n">
        <v>50</v>
      </c>
      <c r="AC694" s="112" t="n">
        <v>0</v>
      </c>
      <c r="AD694" s="112" t="str">
        <f>VERW_Project!P55</f>
        <v/>
      </c>
      <c r="AE694" s="112">
        <f>IF(AND(VERW_Project!$A55&lt;&gt;"",ISNUMBER(AD694)),1,0)</f>
        <v>0</v>
      </c>
      <c r="AF694" s="112" t="str">
        <f>IF(AE694=1,SUM($AE$8:AE694),"")</f>
        <v/>
      </c>
      <c r="AG694" t="str">
        <f>IFERROR(MATCH(687,$AF$8:$AF$1407,0),"")</f>
        <v/>
      </c>
    </row>
    <row r="695">
      <c r="A695" s="92" t="str">
        <f>IF($AG695="","",P_ImportID)</f>
        <v/>
      </c>
      <c r="B695" s="92" t="str">
        <f>IF($AG695="","",IF(INDEX($AN$8:$AN$21,INDEX($AC$8:$AC$1407,$AG695)+1)="Z",P_BronZ,P_BronE))</f>
        <v/>
      </c>
      <c r="C695" s="108" t="str">
        <f>IF($AG695="","",P_Importdatum)</f>
        <v/>
      </c>
      <c r="D695" s="92" t="str">
        <f>IF($AG695="","",P_StatusVastleg)</f>
        <v/>
      </c>
      <c r="E695" s="92" t="str">
        <f>IF($AG695="","",P_UploadVJ)</f>
        <v/>
      </c>
      <c r="F695" s="92" t="str">
        <f>IF($AG695="","",P_UploadVersie)</f>
        <v/>
      </c>
      <c r="G695" s="92" t="str">
        <f>IF($AG695="","",IF(COUNTIFS(L_Sleutel,$S695,L_Status,"Vastgesteld")=0,0,_xlfn.MAXIFS(L_Revisie,L_Sleutel,$S695,L_Status,"Vastgesteld")+1))</f>
        <v/>
      </c>
      <c r="H695" s="108" t="str">
        <f>IF($AG695="","",P_Peildatum)</f>
        <v/>
      </c>
      <c r="I695" s="92" t="str">
        <f>IF($AG695="","",P_RJ+INDEX($AK$8:$AK$21,INDEX($AC$8:$AC$1407,$AG695)+1))</f>
        <v/>
      </c>
      <c r="J695" s="92" t="str">
        <f>IF($AG695="","",INDEX(V_WBS,INDEX($AB$8:$AB$1407,$AG695)))</f>
        <v/>
      </c>
      <c r="K695" s="92" t="str">
        <f>IF($AG695="","",INDEX(V_Projdef,INDEX($AB$8:$AB$1407,$AG695)))</f>
        <v/>
      </c>
      <c r="L695" s="92" t="str">
        <f>IF($AG695="","",INDEX(V_Naam,INDEX($AB$8:$AB$1407,$AG695)))</f>
        <v/>
      </c>
      <c r="M695" s="92" t="str">
        <f>IF($AG695="","",INDEX(V_Type,INDEX($AB$8:$AB$1407,$AG695)))</f>
        <v/>
      </c>
      <c r="N695" s="92" t="str">
        <f>IF($AG695="","",INDEX(V_IFRS,INDEX($AB$8:$AB$1407,$AG695)))</f>
        <v/>
      </c>
      <c r="O695" s="92" t="str">
        <f>IF($AG695="","",INDEX($AL$8:$AL$21,INDEX($AC$8:$AC$1407,$AG695)+1))</f>
        <v/>
      </c>
      <c r="P695" s="109" t="str">
        <f>IF($AG695="","",INDEX($AD$8:$AD$1407,$AG695))</f>
        <v/>
      </c>
      <c r="Q695" s="92" t="str">
        <f>IF($AG695="","",INDEX($AM$8:$AM$21,INDEX($AC$8:$AC$1407,$AG695)+1))</f>
        <v/>
      </c>
      <c r="R695" s="92" t="str">
        <f>IF($AG695="","",IF($G695&gt;0,P_ToelCorrectie&amp;"",""))</f>
        <v/>
      </c>
      <c r="S695" s="15" t="str">
        <f>IF(J695="","",J695&amp;"|"&amp;E695&amp;"|"&amp;F695&amp;"|"&amp;I695&amp;"|"&amp;O695)</f>
        <v/>
      </c>
      <c r="T695" s="111" t="str">
        <f>IF(S695="","",IF(COUNTIFS(L_Sleutel,S695,L_Actief,1)=0,"",SUMIFS(L_Waarde,L_Sleutel,S695,L_Actief,1)))</f>
        <v/>
      </c>
      <c r="U695" s="111">
        <f>IF(OR(S695="",T695=""),0,P695-T695)</f>
        <v>0</v>
      </c>
      <c r="AB695" s="112" t="n">
        <v>50</v>
      </c>
      <c r="AC695" s="112" t="n">
        <v>1</v>
      </c>
      <c r="AD695" s="112" t="str">
        <f>VERW_Project!Q55</f>
        <v/>
      </c>
      <c r="AE695" s="112">
        <f>IF(AND(VERW_Project!$A55&lt;&gt;"",ISNUMBER(AD695)),1,0)</f>
        <v>0</v>
      </c>
      <c r="AF695" s="112" t="str">
        <f>IF(AE695=1,SUM($AE$8:AE695),"")</f>
        <v/>
      </c>
      <c r="AG695" t="str">
        <f>IFERROR(MATCH(688,$AF$8:$AF$1407,0),"")</f>
        <v/>
      </c>
    </row>
    <row r="696">
      <c r="A696" s="92" t="str">
        <f>IF($AG696="","",P_ImportID)</f>
        <v/>
      </c>
      <c r="B696" s="92" t="str">
        <f>IF($AG696="","",IF(INDEX($AN$8:$AN$21,INDEX($AC$8:$AC$1407,$AG696)+1)="Z",P_BronZ,P_BronE))</f>
        <v/>
      </c>
      <c r="C696" s="108" t="str">
        <f>IF($AG696="","",P_Importdatum)</f>
        <v/>
      </c>
      <c r="D696" s="92" t="str">
        <f>IF($AG696="","",P_StatusVastleg)</f>
        <v/>
      </c>
      <c r="E696" s="92" t="str">
        <f>IF($AG696="","",P_UploadVJ)</f>
        <v/>
      </c>
      <c r="F696" s="92" t="str">
        <f>IF($AG696="","",P_UploadVersie)</f>
        <v/>
      </c>
      <c r="G696" s="92" t="str">
        <f>IF($AG696="","",IF(COUNTIFS(L_Sleutel,$S696,L_Status,"Vastgesteld")=0,0,_xlfn.MAXIFS(L_Revisie,L_Sleutel,$S696,L_Status,"Vastgesteld")+1))</f>
        <v/>
      </c>
      <c r="H696" s="108" t="str">
        <f>IF($AG696="","",P_Peildatum)</f>
        <v/>
      </c>
      <c r="I696" s="92" t="str">
        <f>IF($AG696="","",P_RJ+INDEX($AK$8:$AK$21,INDEX($AC$8:$AC$1407,$AG696)+1))</f>
        <v/>
      </c>
      <c r="J696" s="92" t="str">
        <f>IF($AG696="","",INDEX(V_WBS,INDEX($AB$8:$AB$1407,$AG696)))</f>
        <v/>
      </c>
      <c r="K696" s="92" t="str">
        <f>IF($AG696="","",INDEX(V_Projdef,INDEX($AB$8:$AB$1407,$AG696)))</f>
        <v/>
      </c>
      <c r="L696" s="92" t="str">
        <f>IF($AG696="","",INDEX(V_Naam,INDEX($AB$8:$AB$1407,$AG696)))</f>
        <v/>
      </c>
      <c r="M696" s="92" t="str">
        <f>IF($AG696="","",INDEX(V_Type,INDEX($AB$8:$AB$1407,$AG696)))</f>
        <v/>
      </c>
      <c r="N696" s="92" t="str">
        <f>IF($AG696="","",INDEX(V_IFRS,INDEX($AB$8:$AB$1407,$AG696)))</f>
        <v/>
      </c>
      <c r="O696" s="92" t="str">
        <f>IF($AG696="","",INDEX($AL$8:$AL$21,INDEX($AC$8:$AC$1407,$AG696)+1))</f>
        <v/>
      </c>
      <c r="P696" s="109" t="str">
        <f>IF($AG696="","",INDEX($AD$8:$AD$1407,$AG696))</f>
        <v/>
      </c>
      <c r="Q696" s="92" t="str">
        <f>IF($AG696="","",INDEX($AM$8:$AM$21,INDEX($AC$8:$AC$1407,$AG696)+1))</f>
        <v/>
      </c>
      <c r="R696" s="92" t="str">
        <f>IF($AG696="","",IF($G696&gt;0,P_ToelCorrectie&amp;"",""))</f>
        <v/>
      </c>
      <c r="S696" s="15" t="str">
        <f>IF(J696="","",J696&amp;"|"&amp;E696&amp;"|"&amp;F696&amp;"|"&amp;I696&amp;"|"&amp;O696)</f>
        <v/>
      </c>
      <c r="T696" s="111" t="str">
        <f>IF(S696="","",IF(COUNTIFS(L_Sleutel,S696,L_Actief,1)=0,"",SUMIFS(L_Waarde,L_Sleutel,S696,L_Actief,1)))</f>
        <v/>
      </c>
      <c r="U696" s="111">
        <f>IF(OR(S696="",T696=""),0,P696-T696)</f>
        <v>0</v>
      </c>
      <c r="AB696" s="112" t="n">
        <v>50</v>
      </c>
      <c r="AC696" s="112" t="n">
        <v>2</v>
      </c>
      <c r="AD696" s="112" t="str">
        <f>VERW_Project!L55</f>
        <v/>
      </c>
      <c r="AE696" s="112">
        <f>IF(AND(VERW_Project!$A55&lt;&gt;"",ISNUMBER(AD696)),1,0)</f>
        <v>0</v>
      </c>
      <c r="AF696" s="112" t="str">
        <f>IF(AE696=1,SUM($AE$8:AE696),"")</f>
        <v/>
      </c>
      <c r="AG696" t="str">
        <f>IFERROR(MATCH(689,$AF$8:$AF$1407,0),"")</f>
        <v/>
      </c>
    </row>
    <row r="697">
      <c r="A697" s="92" t="str">
        <f>IF($AG697="","",P_ImportID)</f>
        <v/>
      </c>
      <c r="B697" s="92" t="str">
        <f>IF($AG697="","",IF(INDEX($AN$8:$AN$21,INDEX($AC$8:$AC$1407,$AG697)+1)="Z",P_BronZ,P_BronE))</f>
        <v/>
      </c>
      <c r="C697" s="108" t="str">
        <f>IF($AG697="","",P_Importdatum)</f>
        <v/>
      </c>
      <c r="D697" s="92" t="str">
        <f>IF($AG697="","",P_StatusVastleg)</f>
        <v/>
      </c>
      <c r="E697" s="92" t="str">
        <f>IF($AG697="","",P_UploadVJ)</f>
        <v/>
      </c>
      <c r="F697" s="92" t="str">
        <f>IF($AG697="","",P_UploadVersie)</f>
        <v/>
      </c>
      <c r="G697" s="92" t="str">
        <f>IF($AG697="","",IF(COUNTIFS(L_Sleutel,$S697,L_Status,"Vastgesteld")=0,0,_xlfn.MAXIFS(L_Revisie,L_Sleutel,$S697,L_Status,"Vastgesteld")+1))</f>
        <v/>
      </c>
      <c r="H697" s="108" t="str">
        <f>IF($AG697="","",P_Peildatum)</f>
        <v/>
      </c>
      <c r="I697" s="92" t="str">
        <f>IF($AG697="","",P_RJ+INDEX($AK$8:$AK$21,INDEX($AC$8:$AC$1407,$AG697)+1))</f>
        <v/>
      </c>
      <c r="J697" s="92" t="str">
        <f>IF($AG697="","",INDEX(V_WBS,INDEX($AB$8:$AB$1407,$AG697)))</f>
        <v/>
      </c>
      <c r="K697" s="92" t="str">
        <f>IF($AG697="","",INDEX(V_Projdef,INDEX($AB$8:$AB$1407,$AG697)))</f>
        <v/>
      </c>
      <c r="L697" s="92" t="str">
        <f>IF($AG697="","",INDEX(V_Naam,INDEX($AB$8:$AB$1407,$AG697)))</f>
        <v/>
      </c>
      <c r="M697" s="92" t="str">
        <f>IF($AG697="","",INDEX(V_Type,INDEX($AB$8:$AB$1407,$AG697)))</f>
        <v/>
      </c>
      <c r="N697" s="92" t="str">
        <f>IF($AG697="","",INDEX(V_IFRS,INDEX($AB$8:$AB$1407,$AG697)))</f>
        <v/>
      </c>
      <c r="O697" s="92" t="str">
        <f>IF($AG697="","",INDEX($AL$8:$AL$21,INDEX($AC$8:$AC$1407,$AG697)+1))</f>
        <v/>
      </c>
      <c r="P697" s="109" t="str">
        <f>IF($AG697="","",INDEX($AD$8:$AD$1407,$AG697))</f>
        <v/>
      </c>
      <c r="Q697" s="92" t="str">
        <f>IF($AG697="","",INDEX($AM$8:$AM$21,INDEX($AC$8:$AC$1407,$AG697)+1))</f>
        <v/>
      </c>
      <c r="R697" s="92" t="str">
        <f>IF($AG697="","",IF($G697&gt;0,P_ToelCorrectie&amp;"",""))</f>
        <v/>
      </c>
      <c r="S697" s="15" t="str">
        <f>IF(J697="","",J697&amp;"|"&amp;E697&amp;"|"&amp;F697&amp;"|"&amp;I697&amp;"|"&amp;O697)</f>
        <v/>
      </c>
      <c r="T697" s="111" t="str">
        <f>IF(S697="","",IF(COUNTIFS(L_Sleutel,S697,L_Actief,1)=0,"",SUMIFS(L_Waarde,L_Sleutel,S697,L_Actief,1)))</f>
        <v/>
      </c>
      <c r="U697" s="111">
        <f>IF(OR(S697="",T697=""),0,P697-T697)</f>
        <v>0</v>
      </c>
      <c r="AB697" s="112" t="n">
        <v>50</v>
      </c>
      <c r="AC697" s="112" t="n">
        <v>3</v>
      </c>
      <c r="AD697" s="112" t="str">
        <f>VERW_Project!M55</f>
        <v/>
      </c>
      <c r="AE697" s="112">
        <f>IF(AND(VERW_Project!$A55&lt;&gt;"",ISNUMBER(AD697)),1,0)</f>
        <v>0</v>
      </c>
      <c r="AF697" s="112" t="str">
        <f>IF(AE697=1,SUM($AE$8:AE697),"")</f>
        <v/>
      </c>
      <c r="AG697" t="str">
        <f>IFERROR(MATCH(690,$AF$8:$AF$1407,0),"")</f>
        <v/>
      </c>
    </row>
    <row r="698">
      <c r="A698" s="92" t="str">
        <f>IF($AG698="","",P_ImportID)</f>
        <v/>
      </c>
      <c r="B698" s="92" t="str">
        <f>IF($AG698="","",IF(INDEX($AN$8:$AN$21,INDEX($AC$8:$AC$1407,$AG698)+1)="Z",P_BronZ,P_BronE))</f>
        <v/>
      </c>
      <c r="C698" s="108" t="str">
        <f>IF($AG698="","",P_Importdatum)</f>
        <v/>
      </c>
      <c r="D698" s="92" t="str">
        <f>IF($AG698="","",P_StatusVastleg)</f>
        <v/>
      </c>
      <c r="E698" s="92" t="str">
        <f>IF($AG698="","",P_UploadVJ)</f>
        <v/>
      </c>
      <c r="F698" s="92" t="str">
        <f>IF($AG698="","",P_UploadVersie)</f>
        <v/>
      </c>
      <c r="G698" s="92" t="str">
        <f>IF($AG698="","",IF(COUNTIFS(L_Sleutel,$S698,L_Status,"Vastgesteld")=0,0,_xlfn.MAXIFS(L_Revisie,L_Sleutel,$S698,L_Status,"Vastgesteld")+1))</f>
        <v/>
      </c>
      <c r="H698" s="108" t="str">
        <f>IF($AG698="","",P_Peildatum)</f>
        <v/>
      </c>
      <c r="I698" s="92" t="str">
        <f>IF($AG698="","",P_RJ+INDEX($AK$8:$AK$21,INDEX($AC$8:$AC$1407,$AG698)+1))</f>
        <v/>
      </c>
      <c r="J698" s="92" t="str">
        <f>IF($AG698="","",INDEX(V_WBS,INDEX($AB$8:$AB$1407,$AG698)))</f>
        <v/>
      </c>
      <c r="K698" s="92" t="str">
        <f>IF($AG698="","",INDEX(V_Projdef,INDEX($AB$8:$AB$1407,$AG698)))</f>
        <v/>
      </c>
      <c r="L698" s="92" t="str">
        <f>IF($AG698="","",INDEX(V_Naam,INDEX($AB$8:$AB$1407,$AG698)))</f>
        <v/>
      </c>
      <c r="M698" s="92" t="str">
        <f>IF($AG698="","",INDEX(V_Type,INDEX($AB$8:$AB$1407,$AG698)))</f>
        <v/>
      </c>
      <c r="N698" s="92" t="str">
        <f>IF($AG698="","",INDEX(V_IFRS,INDEX($AB$8:$AB$1407,$AG698)))</f>
        <v/>
      </c>
      <c r="O698" s="92" t="str">
        <f>IF($AG698="","",INDEX($AL$8:$AL$21,INDEX($AC$8:$AC$1407,$AG698)+1))</f>
        <v/>
      </c>
      <c r="P698" s="109" t="str">
        <f>IF($AG698="","",INDEX($AD$8:$AD$1407,$AG698))</f>
        <v/>
      </c>
      <c r="Q698" s="92" t="str">
        <f>IF($AG698="","",INDEX($AM$8:$AM$21,INDEX($AC$8:$AC$1407,$AG698)+1))</f>
        <v/>
      </c>
      <c r="R698" s="92" t="str">
        <f>IF($AG698="","",IF($G698&gt;0,P_ToelCorrectie&amp;"",""))</f>
        <v/>
      </c>
      <c r="S698" s="15" t="str">
        <f>IF(J698="","",J698&amp;"|"&amp;E698&amp;"|"&amp;F698&amp;"|"&amp;I698&amp;"|"&amp;O698)</f>
        <v/>
      </c>
      <c r="T698" s="111" t="str">
        <f>IF(S698="","",IF(COUNTIFS(L_Sleutel,S698,L_Actief,1)=0,"",SUMIFS(L_Waarde,L_Sleutel,S698,L_Actief,1)))</f>
        <v/>
      </c>
      <c r="U698" s="111">
        <f>IF(OR(S698="",T698=""),0,P698-T698)</f>
        <v>0</v>
      </c>
      <c r="AB698" s="112" t="n">
        <v>50</v>
      </c>
      <c r="AC698" s="112" t="n">
        <v>4</v>
      </c>
      <c r="AD698" s="112" t="str">
        <f>VERW_Project!R55</f>
        <v/>
      </c>
      <c r="AE698" s="112">
        <f>IF(AND(VERW_Project!$A55&lt;&gt;"",ISNUMBER(AD698)),1,0)</f>
        <v>0</v>
      </c>
      <c r="AF698" s="112" t="str">
        <f>IF(AE698=1,SUM($AE$8:AE698),"")</f>
        <v/>
      </c>
      <c r="AG698" t="str">
        <f>IFERROR(MATCH(691,$AF$8:$AF$1407,0),"")</f>
        <v/>
      </c>
    </row>
    <row r="699">
      <c r="A699" s="92" t="str">
        <f>IF($AG699="","",P_ImportID)</f>
        <v/>
      </c>
      <c r="B699" s="92" t="str">
        <f>IF($AG699="","",IF(INDEX($AN$8:$AN$21,INDEX($AC$8:$AC$1407,$AG699)+1)="Z",P_BronZ,P_BronE))</f>
        <v/>
      </c>
      <c r="C699" s="108" t="str">
        <f>IF($AG699="","",P_Importdatum)</f>
        <v/>
      </c>
      <c r="D699" s="92" t="str">
        <f>IF($AG699="","",P_StatusVastleg)</f>
        <v/>
      </c>
      <c r="E699" s="92" t="str">
        <f>IF($AG699="","",P_UploadVJ)</f>
        <v/>
      </c>
      <c r="F699" s="92" t="str">
        <f>IF($AG699="","",P_UploadVersie)</f>
        <v/>
      </c>
      <c r="G699" s="92" t="str">
        <f>IF($AG699="","",IF(COUNTIFS(L_Sleutel,$S699,L_Status,"Vastgesteld")=0,0,_xlfn.MAXIFS(L_Revisie,L_Sleutel,$S699,L_Status,"Vastgesteld")+1))</f>
        <v/>
      </c>
      <c r="H699" s="108" t="str">
        <f>IF($AG699="","",P_Peildatum)</f>
        <v/>
      </c>
      <c r="I699" s="92" t="str">
        <f>IF($AG699="","",P_RJ+INDEX($AK$8:$AK$21,INDEX($AC$8:$AC$1407,$AG699)+1))</f>
        <v/>
      </c>
      <c r="J699" s="92" t="str">
        <f>IF($AG699="","",INDEX(V_WBS,INDEX($AB$8:$AB$1407,$AG699)))</f>
        <v/>
      </c>
      <c r="K699" s="92" t="str">
        <f>IF($AG699="","",INDEX(V_Projdef,INDEX($AB$8:$AB$1407,$AG699)))</f>
        <v/>
      </c>
      <c r="L699" s="92" t="str">
        <f>IF($AG699="","",INDEX(V_Naam,INDEX($AB$8:$AB$1407,$AG699)))</f>
        <v/>
      </c>
      <c r="M699" s="92" t="str">
        <f>IF($AG699="","",INDEX(V_Type,INDEX($AB$8:$AB$1407,$AG699)))</f>
        <v/>
      </c>
      <c r="N699" s="92" t="str">
        <f>IF($AG699="","",INDEX(V_IFRS,INDEX($AB$8:$AB$1407,$AG699)))</f>
        <v/>
      </c>
      <c r="O699" s="92" t="str">
        <f>IF($AG699="","",INDEX($AL$8:$AL$21,INDEX($AC$8:$AC$1407,$AG699)+1))</f>
        <v/>
      </c>
      <c r="P699" s="109" t="str">
        <f>IF($AG699="","",INDEX($AD$8:$AD$1407,$AG699))</f>
        <v/>
      </c>
      <c r="Q699" s="92" t="str">
        <f>IF($AG699="","",INDEX($AM$8:$AM$21,INDEX($AC$8:$AC$1407,$AG699)+1))</f>
        <v/>
      </c>
      <c r="R699" s="92" t="str">
        <f>IF($AG699="","",IF($G699&gt;0,P_ToelCorrectie&amp;"",""))</f>
        <v/>
      </c>
      <c r="S699" s="15" t="str">
        <f>IF(J699="","",J699&amp;"|"&amp;E699&amp;"|"&amp;F699&amp;"|"&amp;I699&amp;"|"&amp;O699)</f>
        <v/>
      </c>
      <c r="T699" s="111" t="str">
        <f>IF(S699="","",IF(COUNTIFS(L_Sleutel,S699,L_Actief,1)=0,"",SUMIFS(L_Waarde,L_Sleutel,S699,L_Actief,1)))</f>
        <v/>
      </c>
      <c r="U699" s="111">
        <f>IF(OR(S699="",T699=""),0,P699-T699)</f>
        <v>0</v>
      </c>
      <c r="AB699" s="112" t="n">
        <v>50</v>
      </c>
      <c r="AC699" s="112" t="n">
        <v>5</v>
      </c>
      <c r="AD699" s="112" t="str">
        <f>VERW_Project!S55</f>
        <v/>
      </c>
      <c r="AE699" s="112">
        <f>IF(AND(VERW_Project!$A55&lt;&gt;"",ISNUMBER(AD699)),1,0)</f>
        <v>0</v>
      </c>
      <c r="AF699" s="112" t="str">
        <f>IF(AE699=1,SUM($AE$8:AE699),"")</f>
        <v/>
      </c>
      <c r="AG699" t="str">
        <f>IFERROR(MATCH(692,$AF$8:$AF$1407,0),"")</f>
        <v/>
      </c>
    </row>
    <row r="700">
      <c r="A700" s="92" t="str">
        <f>IF($AG700="","",P_ImportID)</f>
        <v/>
      </c>
      <c r="B700" s="92" t="str">
        <f>IF($AG700="","",IF(INDEX($AN$8:$AN$21,INDEX($AC$8:$AC$1407,$AG700)+1)="Z",P_BronZ,P_BronE))</f>
        <v/>
      </c>
      <c r="C700" s="108" t="str">
        <f>IF($AG700="","",P_Importdatum)</f>
        <v/>
      </c>
      <c r="D700" s="92" t="str">
        <f>IF($AG700="","",P_StatusVastleg)</f>
        <v/>
      </c>
      <c r="E700" s="92" t="str">
        <f>IF($AG700="","",P_UploadVJ)</f>
        <v/>
      </c>
      <c r="F700" s="92" t="str">
        <f>IF($AG700="","",P_UploadVersie)</f>
        <v/>
      </c>
      <c r="G700" s="92" t="str">
        <f>IF($AG700="","",IF(COUNTIFS(L_Sleutel,$S700,L_Status,"Vastgesteld")=0,0,_xlfn.MAXIFS(L_Revisie,L_Sleutel,$S700,L_Status,"Vastgesteld")+1))</f>
        <v/>
      </c>
      <c r="H700" s="108" t="str">
        <f>IF($AG700="","",P_Peildatum)</f>
        <v/>
      </c>
      <c r="I700" s="92" t="str">
        <f>IF($AG700="","",P_RJ+INDEX($AK$8:$AK$21,INDEX($AC$8:$AC$1407,$AG700)+1))</f>
        <v/>
      </c>
      <c r="J700" s="92" t="str">
        <f>IF($AG700="","",INDEX(V_WBS,INDEX($AB$8:$AB$1407,$AG700)))</f>
        <v/>
      </c>
      <c r="K700" s="92" t="str">
        <f>IF($AG700="","",INDEX(V_Projdef,INDEX($AB$8:$AB$1407,$AG700)))</f>
        <v/>
      </c>
      <c r="L700" s="92" t="str">
        <f>IF($AG700="","",INDEX(V_Naam,INDEX($AB$8:$AB$1407,$AG700)))</f>
        <v/>
      </c>
      <c r="M700" s="92" t="str">
        <f>IF($AG700="","",INDEX(V_Type,INDEX($AB$8:$AB$1407,$AG700)))</f>
        <v/>
      </c>
      <c r="N700" s="92" t="str">
        <f>IF($AG700="","",INDEX(V_IFRS,INDEX($AB$8:$AB$1407,$AG700)))</f>
        <v/>
      </c>
      <c r="O700" s="92" t="str">
        <f>IF($AG700="","",INDEX($AL$8:$AL$21,INDEX($AC$8:$AC$1407,$AG700)+1))</f>
        <v/>
      </c>
      <c r="P700" s="109" t="str">
        <f>IF($AG700="","",INDEX($AD$8:$AD$1407,$AG700))</f>
        <v/>
      </c>
      <c r="Q700" s="92" t="str">
        <f>IF($AG700="","",INDEX($AM$8:$AM$21,INDEX($AC$8:$AC$1407,$AG700)+1))</f>
        <v/>
      </c>
      <c r="R700" s="92" t="str">
        <f>IF($AG700="","",IF($G700&gt;0,P_ToelCorrectie&amp;"",""))</f>
        <v/>
      </c>
      <c r="S700" s="15" t="str">
        <f>IF(J700="","",J700&amp;"|"&amp;E700&amp;"|"&amp;F700&amp;"|"&amp;I700&amp;"|"&amp;O700)</f>
        <v/>
      </c>
      <c r="T700" s="111" t="str">
        <f>IF(S700="","",IF(COUNTIFS(L_Sleutel,S700,L_Actief,1)=0,"",SUMIFS(L_Waarde,L_Sleutel,S700,L_Actief,1)))</f>
        <v/>
      </c>
      <c r="U700" s="111">
        <f>IF(OR(S700="",T700=""),0,P700-T700)</f>
        <v>0</v>
      </c>
      <c r="AB700" s="112" t="n">
        <v>50</v>
      </c>
      <c r="AC700" s="112" t="n">
        <v>6</v>
      </c>
      <c r="AD700" s="112" t="str">
        <f>VERW_Project!BW55</f>
        <v/>
      </c>
      <c r="AE700" s="112">
        <f>IF(AND(VERW_Project!$A55&lt;&gt;"",ISNUMBER(AD700)),1,0)</f>
        <v>0</v>
      </c>
      <c r="AF700" s="112" t="str">
        <f>IF(AE700=1,SUM($AE$8:AE700),"")</f>
        <v/>
      </c>
      <c r="AG700" t="str">
        <f>IFERROR(MATCH(693,$AF$8:$AF$1407,0),"")</f>
        <v/>
      </c>
    </row>
    <row r="701">
      <c r="A701" s="92" t="str">
        <f>IF($AG701="","",P_ImportID)</f>
        <v/>
      </c>
      <c r="B701" s="92" t="str">
        <f>IF($AG701="","",IF(INDEX($AN$8:$AN$21,INDEX($AC$8:$AC$1407,$AG701)+1)="Z",P_BronZ,P_BronE))</f>
        <v/>
      </c>
      <c r="C701" s="108" t="str">
        <f>IF($AG701="","",P_Importdatum)</f>
        <v/>
      </c>
      <c r="D701" s="92" t="str">
        <f>IF($AG701="","",P_StatusVastleg)</f>
        <v/>
      </c>
      <c r="E701" s="92" t="str">
        <f>IF($AG701="","",P_UploadVJ)</f>
        <v/>
      </c>
      <c r="F701" s="92" t="str">
        <f>IF($AG701="","",P_UploadVersie)</f>
        <v/>
      </c>
      <c r="G701" s="92" t="str">
        <f>IF($AG701="","",IF(COUNTIFS(L_Sleutel,$S701,L_Status,"Vastgesteld")=0,0,_xlfn.MAXIFS(L_Revisie,L_Sleutel,$S701,L_Status,"Vastgesteld")+1))</f>
        <v/>
      </c>
      <c r="H701" s="108" t="str">
        <f>IF($AG701="","",P_Peildatum)</f>
        <v/>
      </c>
      <c r="I701" s="92" t="str">
        <f>IF($AG701="","",P_RJ+INDEX($AK$8:$AK$21,INDEX($AC$8:$AC$1407,$AG701)+1))</f>
        <v/>
      </c>
      <c r="J701" s="92" t="str">
        <f>IF($AG701="","",INDEX(V_WBS,INDEX($AB$8:$AB$1407,$AG701)))</f>
        <v/>
      </c>
      <c r="K701" s="92" t="str">
        <f>IF($AG701="","",INDEX(V_Projdef,INDEX($AB$8:$AB$1407,$AG701)))</f>
        <v/>
      </c>
      <c r="L701" s="92" t="str">
        <f>IF($AG701="","",INDEX(V_Naam,INDEX($AB$8:$AB$1407,$AG701)))</f>
        <v/>
      </c>
      <c r="M701" s="92" t="str">
        <f>IF($AG701="","",INDEX(V_Type,INDEX($AB$8:$AB$1407,$AG701)))</f>
        <v/>
      </c>
      <c r="N701" s="92" t="str">
        <f>IF($AG701="","",INDEX(V_IFRS,INDEX($AB$8:$AB$1407,$AG701)))</f>
        <v/>
      </c>
      <c r="O701" s="92" t="str">
        <f>IF($AG701="","",INDEX($AL$8:$AL$21,INDEX($AC$8:$AC$1407,$AG701)+1))</f>
        <v/>
      </c>
      <c r="P701" s="109" t="str">
        <f>IF($AG701="","",INDEX($AD$8:$AD$1407,$AG701))</f>
        <v/>
      </c>
      <c r="Q701" s="92" t="str">
        <f>IF($AG701="","",INDEX($AM$8:$AM$21,INDEX($AC$8:$AC$1407,$AG701)+1))</f>
        <v/>
      </c>
      <c r="R701" s="92" t="str">
        <f>IF($AG701="","",IF($G701&gt;0,P_ToelCorrectie&amp;"",""))</f>
        <v/>
      </c>
      <c r="S701" s="15" t="str">
        <f>IF(J701="","",J701&amp;"|"&amp;E701&amp;"|"&amp;F701&amp;"|"&amp;I701&amp;"|"&amp;O701)</f>
        <v/>
      </c>
      <c r="T701" s="111" t="str">
        <f>IF(S701="","",IF(COUNTIFS(L_Sleutel,S701,L_Actief,1)=0,"",SUMIFS(L_Waarde,L_Sleutel,S701,L_Actief,1)))</f>
        <v/>
      </c>
      <c r="U701" s="111">
        <f>IF(OR(S701="",T701=""),0,P701-T701)</f>
        <v>0</v>
      </c>
      <c r="AB701" s="112" t="n">
        <v>50</v>
      </c>
      <c r="AC701" s="112" t="n">
        <v>7</v>
      </c>
      <c r="AD701" s="112" t="str">
        <f>VERW_Project!AW55</f>
        <v/>
      </c>
      <c r="AE701" s="112">
        <f>IF(AND(VERW_Project!$A55&lt;&gt;"",ISNUMBER(AD701)),1,0)</f>
        <v>0</v>
      </c>
      <c r="AF701" s="112" t="str">
        <f>IF(AE701=1,SUM($AE$8:AE701),"")</f>
        <v/>
      </c>
      <c r="AG701" t="str">
        <f>IFERROR(MATCH(694,$AF$8:$AF$1407,0),"")</f>
        <v/>
      </c>
    </row>
    <row r="702">
      <c r="A702" s="92" t="str">
        <f>IF($AG702="","",P_ImportID)</f>
        <v/>
      </c>
      <c r="B702" s="92" t="str">
        <f>IF($AG702="","",IF(INDEX($AN$8:$AN$21,INDEX($AC$8:$AC$1407,$AG702)+1)="Z",P_BronZ,P_BronE))</f>
        <v/>
      </c>
      <c r="C702" s="108" t="str">
        <f>IF($AG702="","",P_Importdatum)</f>
        <v/>
      </c>
      <c r="D702" s="92" t="str">
        <f>IF($AG702="","",P_StatusVastleg)</f>
        <v/>
      </c>
      <c r="E702" s="92" t="str">
        <f>IF($AG702="","",P_UploadVJ)</f>
        <v/>
      </c>
      <c r="F702" s="92" t="str">
        <f>IF($AG702="","",P_UploadVersie)</f>
        <v/>
      </c>
      <c r="G702" s="92" t="str">
        <f>IF($AG702="","",IF(COUNTIFS(L_Sleutel,$S702,L_Status,"Vastgesteld")=0,0,_xlfn.MAXIFS(L_Revisie,L_Sleutel,$S702,L_Status,"Vastgesteld")+1))</f>
        <v/>
      </c>
      <c r="H702" s="108" t="str">
        <f>IF($AG702="","",P_Peildatum)</f>
        <v/>
      </c>
      <c r="I702" s="92" t="str">
        <f>IF($AG702="","",P_RJ+INDEX($AK$8:$AK$21,INDEX($AC$8:$AC$1407,$AG702)+1))</f>
        <v/>
      </c>
      <c r="J702" s="92" t="str">
        <f>IF($AG702="","",INDEX(V_WBS,INDEX($AB$8:$AB$1407,$AG702)))</f>
        <v/>
      </c>
      <c r="K702" s="92" t="str">
        <f>IF($AG702="","",INDEX(V_Projdef,INDEX($AB$8:$AB$1407,$AG702)))</f>
        <v/>
      </c>
      <c r="L702" s="92" t="str">
        <f>IF($AG702="","",INDEX(V_Naam,INDEX($AB$8:$AB$1407,$AG702)))</f>
        <v/>
      </c>
      <c r="M702" s="92" t="str">
        <f>IF($AG702="","",INDEX(V_Type,INDEX($AB$8:$AB$1407,$AG702)))</f>
        <v/>
      </c>
      <c r="N702" s="92" t="str">
        <f>IF($AG702="","",INDEX(V_IFRS,INDEX($AB$8:$AB$1407,$AG702)))</f>
        <v/>
      </c>
      <c r="O702" s="92" t="str">
        <f>IF($AG702="","",INDEX($AL$8:$AL$21,INDEX($AC$8:$AC$1407,$AG702)+1))</f>
        <v/>
      </c>
      <c r="P702" s="109" t="str">
        <f>IF($AG702="","",INDEX($AD$8:$AD$1407,$AG702))</f>
        <v/>
      </c>
      <c r="Q702" s="92" t="str">
        <f>IF($AG702="","",INDEX($AM$8:$AM$21,INDEX($AC$8:$AC$1407,$AG702)+1))</f>
        <v/>
      </c>
      <c r="R702" s="92" t="str">
        <f>IF($AG702="","",IF($G702&gt;0,P_ToelCorrectie&amp;"",""))</f>
        <v/>
      </c>
      <c r="S702" s="15" t="str">
        <f>IF(J702="","",J702&amp;"|"&amp;E702&amp;"|"&amp;F702&amp;"|"&amp;I702&amp;"|"&amp;O702)</f>
        <v/>
      </c>
      <c r="T702" s="111" t="str">
        <f>IF(S702="","",IF(COUNTIFS(L_Sleutel,S702,L_Actief,1)=0,"",SUMIFS(L_Waarde,L_Sleutel,S702,L_Actief,1)))</f>
        <v/>
      </c>
      <c r="U702" s="111">
        <f>IF(OR(S702="",T702=""),0,P702-T702)</f>
        <v>0</v>
      </c>
      <c r="AB702" s="112" t="n">
        <v>50</v>
      </c>
      <c r="AC702" s="112" t="n">
        <v>8</v>
      </c>
      <c r="AD702" s="112" t="str">
        <f>VERW_Project!BQ55</f>
        <v/>
      </c>
      <c r="AE702" s="112">
        <f>IF(AND(VERW_Project!$A55&lt;&gt;"",ISNUMBER(AD702)),1,0)</f>
        <v>0</v>
      </c>
      <c r="AF702" s="112" t="str">
        <f>IF(AE702=1,SUM($AE$8:AE702),"")</f>
        <v/>
      </c>
      <c r="AG702" t="str">
        <f>IFERROR(MATCH(695,$AF$8:$AF$1407,0),"")</f>
        <v/>
      </c>
    </row>
    <row r="703">
      <c r="A703" s="92" t="str">
        <f>IF($AG703="","",P_ImportID)</f>
        <v/>
      </c>
      <c r="B703" s="92" t="str">
        <f>IF($AG703="","",IF(INDEX($AN$8:$AN$21,INDEX($AC$8:$AC$1407,$AG703)+1)="Z",P_BronZ,P_BronE))</f>
        <v/>
      </c>
      <c r="C703" s="108" t="str">
        <f>IF($AG703="","",P_Importdatum)</f>
        <v/>
      </c>
      <c r="D703" s="92" t="str">
        <f>IF($AG703="","",P_StatusVastleg)</f>
        <v/>
      </c>
      <c r="E703" s="92" t="str">
        <f>IF($AG703="","",P_UploadVJ)</f>
        <v/>
      </c>
      <c r="F703" s="92" t="str">
        <f>IF($AG703="","",P_UploadVersie)</f>
        <v/>
      </c>
      <c r="G703" s="92" t="str">
        <f>IF($AG703="","",IF(COUNTIFS(L_Sleutel,$S703,L_Status,"Vastgesteld")=0,0,_xlfn.MAXIFS(L_Revisie,L_Sleutel,$S703,L_Status,"Vastgesteld")+1))</f>
        <v/>
      </c>
      <c r="H703" s="108" t="str">
        <f>IF($AG703="","",P_Peildatum)</f>
        <v/>
      </c>
      <c r="I703" s="92" t="str">
        <f>IF($AG703="","",P_RJ+INDEX($AK$8:$AK$21,INDEX($AC$8:$AC$1407,$AG703)+1))</f>
        <v/>
      </c>
      <c r="J703" s="92" t="str">
        <f>IF($AG703="","",INDEX(V_WBS,INDEX($AB$8:$AB$1407,$AG703)))</f>
        <v/>
      </c>
      <c r="K703" s="92" t="str">
        <f>IF($AG703="","",INDEX(V_Projdef,INDEX($AB$8:$AB$1407,$AG703)))</f>
        <v/>
      </c>
      <c r="L703" s="92" t="str">
        <f>IF($AG703="","",INDEX(V_Naam,INDEX($AB$8:$AB$1407,$AG703)))</f>
        <v/>
      </c>
      <c r="M703" s="92" t="str">
        <f>IF($AG703="","",INDEX(V_Type,INDEX($AB$8:$AB$1407,$AG703)))</f>
        <v/>
      </c>
      <c r="N703" s="92" t="str">
        <f>IF($AG703="","",INDEX(V_IFRS,INDEX($AB$8:$AB$1407,$AG703)))</f>
        <v/>
      </c>
      <c r="O703" s="92" t="str">
        <f>IF($AG703="","",INDEX($AL$8:$AL$21,INDEX($AC$8:$AC$1407,$AG703)+1))</f>
        <v/>
      </c>
      <c r="P703" s="109" t="str">
        <f>IF($AG703="","",INDEX($AD$8:$AD$1407,$AG703))</f>
        <v/>
      </c>
      <c r="Q703" s="92" t="str">
        <f>IF($AG703="","",INDEX($AM$8:$AM$21,INDEX($AC$8:$AC$1407,$AG703)+1))</f>
        <v/>
      </c>
      <c r="R703" s="92" t="str">
        <f>IF($AG703="","",IF($G703&gt;0,P_ToelCorrectie&amp;"",""))</f>
        <v/>
      </c>
      <c r="S703" s="15" t="str">
        <f>IF(J703="","",J703&amp;"|"&amp;E703&amp;"|"&amp;F703&amp;"|"&amp;I703&amp;"|"&amp;O703)</f>
        <v/>
      </c>
      <c r="T703" s="111" t="str">
        <f>IF(S703="","",IF(COUNTIFS(L_Sleutel,S703,L_Actief,1)=0,"",SUMIFS(L_Waarde,L_Sleutel,S703,L_Actief,1)))</f>
        <v/>
      </c>
      <c r="U703" s="111">
        <f>IF(OR(S703="",T703=""),0,P703-T703)</f>
        <v>0</v>
      </c>
      <c r="AB703" s="112" t="n">
        <v>50</v>
      </c>
      <c r="AC703" s="112" t="n">
        <v>9</v>
      </c>
      <c r="AD703" s="112" t="str">
        <f>VERW_Project!BR55</f>
        <v/>
      </c>
      <c r="AE703" s="112">
        <f>IF(AND(VERW_Project!$A55&lt;&gt;"",ISNUMBER(AD703)),1,0)</f>
        <v>0</v>
      </c>
      <c r="AF703" s="112" t="str">
        <f>IF(AE703=1,SUM($AE$8:AE703),"")</f>
        <v/>
      </c>
      <c r="AG703" t="str">
        <f>IFERROR(MATCH(696,$AF$8:$AF$1407,0),"")</f>
        <v/>
      </c>
    </row>
    <row r="704">
      <c r="A704" s="92" t="str">
        <f>IF($AG704="","",P_ImportID)</f>
        <v/>
      </c>
      <c r="B704" s="92" t="str">
        <f>IF($AG704="","",IF(INDEX($AN$8:$AN$21,INDEX($AC$8:$AC$1407,$AG704)+1)="Z",P_BronZ,P_BronE))</f>
        <v/>
      </c>
      <c r="C704" s="108" t="str">
        <f>IF($AG704="","",P_Importdatum)</f>
        <v/>
      </c>
      <c r="D704" s="92" t="str">
        <f>IF($AG704="","",P_StatusVastleg)</f>
        <v/>
      </c>
      <c r="E704" s="92" t="str">
        <f>IF($AG704="","",P_UploadVJ)</f>
        <v/>
      </c>
      <c r="F704" s="92" t="str">
        <f>IF($AG704="","",P_UploadVersie)</f>
        <v/>
      </c>
      <c r="G704" s="92" t="str">
        <f>IF($AG704="","",IF(COUNTIFS(L_Sleutel,$S704,L_Status,"Vastgesteld")=0,0,_xlfn.MAXIFS(L_Revisie,L_Sleutel,$S704,L_Status,"Vastgesteld")+1))</f>
        <v/>
      </c>
      <c r="H704" s="108" t="str">
        <f>IF($AG704="","",P_Peildatum)</f>
        <v/>
      </c>
      <c r="I704" s="92" t="str">
        <f>IF($AG704="","",P_RJ+INDEX($AK$8:$AK$21,INDEX($AC$8:$AC$1407,$AG704)+1))</f>
        <v/>
      </c>
      <c r="J704" s="92" t="str">
        <f>IF($AG704="","",INDEX(V_WBS,INDEX($AB$8:$AB$1407,$AG704)))</f>
        <v/>
      </c>
      <c r="K704" s="92" t="str">
        <f>IF($AG704="","",INDEX(V_Projdef,INDEX($AB$8:$AB$1407,$AG704)))</f>
        <v/>
      </c>
      <c r="L704" s="92" t="str">
        <f>IF($AG704="","",INDEX(V_Naam,INDEX($AB$8:$AB$1407,$AG704)))</f>
        <v/>
      </c>
      <c r="M704" s="92" t="str">
        <f>IF($AG704="","",INDEX(V_Type,INDEX($AB$8:$AB$1407,$AG704)))</f>
        <v/>
      </c>
      <c r="N704" s="92" t="str">
        <f>IF($AG704="","",INDEX(V_IFRS,INDEX($AB$8:$AB$1407,$AG704)))</f>
        <v/>
      </c>
      <c r="O704" s="92" t="str">
        <f>IF($AG704="","",INDEX($AL$8:$AL$21,INDEX($AC$8:$AC$1407,$AG704)+1))</f>
        <v/>
      </c>
      <c r="P704" s="109" t="str">
        <f>IF($AG704="","",INDEX($AD$8:$AD$1407,$AG704))</f>
        <v/>
      </c>
      <c r="Q704" s="92" t="str">
        <f>IF($AG704="","",INDEX($AM$8:$AM$21,INDEX($AC$8:$AC$1407,$AG704)+1))</f>
        <v/>
      </c>
      <c r="R704" s="92" t="str">
        <f>IF($AG704="","",IF($G704&gt;0,P_ToelCorrectie&amp;"",""))</f>
        <v/>
      </c>
      <c r="S704" s="15" t="str">
        <f>IF(J704="","",J704&amp;"|"&amp;E704&amp;"|"&amp;F704&amp;"|"&amp;I704&amp;"|"&amp;O704)</f>
        <v/>
      </c>
      <c r="T704" s="111" t="str">
        <f>IF(S704="","",IF(COUNTIFS(L_Sleutel,S704,L_Actief,1)=0,"",SUMIFS(L_Waarde,L_Sleutel,S704,L_Actief,1)))</f>
        <v/>
      </c>
      <c r="U704" s="111">
        <f>IF(OR(S704="",T704=""),0,P704-T704)</f>
        <v>0</v>
      </c>
      <c r="AB704" s="112" t="n">
        <v>50</v>
      </c>
      <c r="AC704" s="112" t="n">
        <v>10</v>
      </c>
      <c r="AD704" s="112" t="str">
        <f>VERW_Project!BS55</f>
        <v/>
      </c>
      <c r="AE704" s="112">
        <f>IF(AND(VERW_Project!$A55&lt;&gt;"",ISNUMBER(AD704)),1,0)</f>
        <v>0</v>
      </c>
      <c r="AF704" s="112" t="str">
        <f>IF(AE704=1,SUM($AE$8:AE704),"")</f>
        <v/>
      </c>
      <c r="AG704" t="str">
        <f>IFERROR(MATCH(697,$AF$8:$AF$1407,0),"")</f>
        <v/>
      </c>
    </row>
    <row r="705">
      <c r="A705" s="92" t="str">
        <f>IF($AG705="","",P_ImportID)</f>
        <v/>
      </c>
      <c r="B705" s="92" t="str">
        <f>IF($AG705="","",IF(INDEX($AN$8:$AN$21,INDEX($AC$8:$AC$1407,$AG705)+1)="Z",P_BronZ,P_BronE))</f>
        <v/>
      </c>
      <c r="C705" s="108" t="str">
        <f>IF($AG705="","",P_Importdatum)</f>
        <v/>
      </c>
      <c r="D705" s="92" t="str">
        <f>IF($AG705="","",P_StatusVastleg)</f>
        <v/>
      </c>
      <c r="E705" s="92" t="str">
        <f>IF($AG705="","",P_UploadVJ)</f>
        <v/>
      </c>
      <c r="F705" s="92" t="str">
        <f>IF($AG705="","",P_UploadVersie)</f>
        <v/>
      </c>
      <c r="G705" s="92" t="str">
        <f>IF($AG705="","",IF(COUNTIFS(L_Sleutel,$S705,L_Status,"Vastgesteld")=0,0,_xlfn.MAXIFS(L_Revisie,L_Sleutel,$S705,L_Status,"Vastgesteld")+1))</f>
        <v/>
      </c>
      <c r="H705" s="108" t="str">
        <f>IF($AG705="","",P_Peildatum)</f>
        <v/>
      </c>
      <c r="I705" s="92" t="str">
        <f>IF($AG705="","",P_RJ+INDEX($AK$8:$AK$21,INDEX($AC$8:$AC$1407,$AG705)+1))</f>
        <v/>
      </c>
      <c r="J705" s="92" t="str">
        <f>IF($AG705="","",INDEX(V_WBS,INDEX($AB$8:$AB$1407,$AG705)))</f>
        <v/>
      </c>
      <c r="K705" s="92" t="str">
        <f>IF($AG705="","",INDEX(V_Projdef,INDEX($AB$8:$AB$1407,$AG705)))</f>
        <v/>
      </c>
      <c r="L705" s="92" t="str">
        <f>IF($AG705="","",INDEX(V_Naam,INDEX($AB$8:$AB$1407,$AG705)))</f>
        <v/>
      </c>
      <c r="M705" s="92" t="str">
        <f>IF($AG705="","",INDEX(V_Type,INDEX($AB$8:$AB$1407,$AG705)))</f>
        <v/>
      </c>
      <c r="N705" s="92" t="str">
        <f>IF($AG705="","",INDEX(V_IFRS,INDEX($AB$8:$AB$1407,$AG705)))</f>
        <v/>
      </c>
      <c r="O705" s="92" t="str">
        <f>IF($AG705="","",INDEX($AL$8:$AL$21,INDEX($AC$8:$AC$1407,$AG705)+1))</f>
        <v/>
      </c>
      <c r="P705" s="109" t="str">
        <f>IF($AG705="","",INDEX($AD$8:$AD$1407,$AG705))</f>
        <v/>
      </c>
      <c r="Q705" s="92" t="str">
        <f>IF($AG705="","",INDEX($AM$8:$AM$21,INDEX($AC$8:$AC$1407,$AG705)+1))</f>
        <v/>
      </c>
      <c r="R705" s="92" t="str">
        <f>IF($AG705="","",IF($G705&gt;0,P_ToelCorrectie&amp;"",""))</f>
        <v/>
      </c>
      <c r="S705" s="15" t="str">
        <f>IF(J705="","",J705&amp;"|"&amp;E705&amp;"|"&amp;F705&amp;"|"&amp;I705&amp;"|"&amp;O705)</f>
        <v/>
      </c>
      <c r="T705" s="111" t="str">
        <f>IF(S705="","",IF(COUNTIFS(L_Sleutel,S705,L_Actief,1)=0,"",SUMIFS(L_Waarde,L_Sleutel,S705,L_Actief,1)))</f>
        <v/>
      </c>
      <c r="U705" s="111">
        <f>IF(OR(S705="",T705=""),0,P705-T705)</f>
        <v>0</v>
      </c>
      <c r="AB705" s="112" t="n">
        <v>50</v>
      </c>
      <c r="AC705" s="112" t="n">
        <v>11</v>
      </c>
      <c r="AD705" s="112" t="str">
        <f>VERW_Project!BT55</f>
        <v/>
      </c>
      <c r="AE705" s="112">
        <f>IF(AND(VERW_Project!$A55&lt;&gt;"",ISNUMBER(AD705)),1,0)</f>
        <v>0</v>
      </c>
      <c r="AF705" s="112" t="str">
        <f>IF(AE705=1,SUM($AE$8:AE705),"")</f>
        <v/>
      </c>
      <c r="AG705" t="str">
        <f>IFERROR(MATCH(698,$AF$8:$AF$1407,0),"")</f>
        <v/>
      </c>
    </row>
    <row r="706">
      <c r="A706" s="92" t="str">
        <f>IF($AG706="","",P_ImportID)</f>
        <v/>
      </c>
      <c r="B706" s="92" t="str">
        <f>IF($AG706="","",IF(INDEX($AN$8:$AN$21,INDEX($AC$8:$AC$1407,$AG706)+1)="Z",P_BronZ,P_BronE))</f>
        <v/>
      </c>
      <c r="C706" s="108" t="str">
        <f>IF($AG706="","",P_Importdatum)</f>
        <v/>
      </c>
      <c r="D706" s="92" t="str">
        <f>IF($AG706="","",P_StatusVastleg)</f>
        <v/>
      </c>
      <c r="E706" s="92" t="str">
        <f>IF($AG706="","",P_UploadVJ)</f>
        <v/>
      </c>
      <c r="F706" s="92" t="str">
        <f>IF($AG706="","",P_UploadVersie)</f>
        <v/>
      </c>
      <c r="G706" s="92" t="str">
        <f>IF($AG706="","",IF(COUNTIFS(L_Sleutel,$S706,L_Status,"Vastgesteld")=0,0,_xlfn.MAXIFS(L_Revisie,L_Sleutel,$S706,L_Status,"Vastgesteld")+1))</f>
        <v/>
      </c>
      <c r="H706" s="108" t="str">
        <f>IF($AG706="","",P_Peildatum)</f>
        <v/>
      </c>
      <c r="I706" s="92" t="str">
        <f>IF($AG706="","",P_RJ+INDEX($AK$8:$AK$21,INDEX($AC$8:$AC$1407,$AG706)+1))</f>
        <v/>
      </c>
      <c r="J706" s="92" t="str">
        <f>IF($AG706="","",INDEX(V_WBS,INDEX($AB$8:$AB$1407,$AG706)))</f>
        <v/>
      </c>
      <c r="K706" s="92" t="str">
        <f>IF($AG706="","",INDEX(V_Projdef,INDEX($AB$8:$AB$1407,$AG706)))</f>
        <v/>
      </c>
      <c r="L706" s="92" t="str">
        <f>IF($AG706="","",INDEX(V_Naam,INDEX($AB$8:$AB$1407,$AG706)))</f>
        <v/>
      </c>
      <c r="M706" s="92" t="str">
        <f>IF($AG706="","",INDEX(V_Type,INDEX($AB$8:$AB$1407,$AG706)))</f>
        <v/>
      </c>
      <c r="N706" s="92" t="str">
        <f>IF($AG706="","",INDEX(V_IFRS,INDEX($AB$8:$AB$1407,$AG706)))</f>
        <v/>
      </c>
      <c r="O706" s="92" t="str">
        <f>IF($AG706="","",INDEX($AL$8:$AL$21,INDEX($AC$8:$AC$1407,$AG706)+1))</f>
        <v/>
      </c>
      <c r="P706" s="109" t="str">
        <f>IF($AG706="","",INDEX($AD$8:$AD$1407,$AG706))</f>
        <v/>
      </c>
      <c r="Q706" s="92" t="str">
        <f>IF($AG706="","",INDEX($AM$8:$AM$21,INDEX($AC$8:$AC$1407,$AG706)+1))</f>
        <v/>
      </c>
      <c r="R706" s="92" t="str">
        <f>IF($AG706="","",IF($G706&gt;0,P_ToelCorrectie&amp;"",""))</f>
        <v/>
      </c>
      <c r="S706" s="15" t="str">
        <f>IF(J706="","",J706&amp;"|"&amp;E706&amp;"|"&amp;F706&amp;"|"&amp;I706&amp;"|"&amp;O706)</f>
        <v/>
      </c>
      <c r="T706" s="111" t="str">
        <f>IF(S706="","",IF(COUNTIFS(L_Sleutel,S706,L_Actief,1)=0,"",SUMIFS(L_Waarde,L_Sleutel,S706,L_Actief,1)))</f>
        <v/>
      </c>
      <c r="U706" s="111">
        <f>IF(OR(S706="",T706=""),0,P706-T706)</f>
        <v>0</v>
      </c>
      <c r="AB706" s="112" t="n">
        <v>50</v>
      </c>
      <c r="AC706" s="112" t="n">
        <v>12</v>
      </c>
      <c r="AD706" s="112" t="str">
        <f>VERW_Project!BU55</f>
        <v/>
      </c>
      <c r="AE706" s="112">
        <f>IF(AND(VERW_Project!$A55&lt;&gt;"",ISNUMBER(AD706)),1,0)</f>
        <v>0</v>
      </c>
      <c r="AF706" s="112" t="str">
        <f>IF(AE706=1,SUM($AE$8:AE706),"")</f>
        <v/>
      </c>
      <c r="AG706" t="str">
        <f>IFERROR(MATCH(699,$AF$8:$AF$1407,0),"")</f>
        <v/>
      </c>
    </row>
    <row r="707">
      <c r="A707" s="92" t="str">
        <f>IF($AG707="","",P_ImportID)</f>
        <v/>
      </c>
      <c r="B707" s="92" t="str">
        <f>IF($AG707="","",IF(INDEX($AN$8:$AN$21,INDEX($AC$8:$AC$1407,$AG707)+1)="Z",P_BronZ,P_BronE))</f>
        <v/>
      </c>
      <c r="C707" s="108" t="str">
        <f>IF($AG707="","",P_Importdatum)</f>
        <v/>
      </c>
      <c r="D707" s="92" t="str">
        <f>IF($AG707="","",P_StatusVastleg)</f>
        <v/>
      </c>
      <c r="E707" s="92" t="str">
        <f>IF($AG707="","",P_UploadVJ)</f>
        <v/>
      </c>
      <c r="F707" s="92" t="str">
        <f>IF($AG707="","",P_UploadVersie)</f>
        <v/>
      </c>
      <c r="G707" s="92" t="str">
        <f>IF($AG707="","",IF(COUNTIFS(L_Sleutel,$S707,L_Status,"Vastgesteld")=0,0,_xlfn.MAXIFS(L_Revisie,L_Sleutel,$S707,L_Status,"Vastgesteld")+1))</f>
        <v/>
      </c>
      <c r="H707" s="108" t="str">
        <f>IF($AG707="","",P_Peildatum)</f>
        <v/>
      </c>
      <c r="I707" s="92" t="str">
        <f>IF($AG707="","",P_RJ+INDEX($AK$8:$AK$21,INDEX($AC$8:$AC$1407,$AG707)+1))</f>
        <v/>
      </c>
      <c r="J707" s="92" t="str">
        <f>IF($AG707="","",INDEX(V_WBS,INDEX($AB$8:$AB$1407,$AG707)))</f>
        <v/>
      </c>
      <c r="K707" s="92" t="str">
        <f>IF($AG707="","",INDEX(V_Projdef,INDEX($AB$8:$AB$1407,$AG707)))</f>
        <v/>
      </c>
      <c r="L707" s="92" t="str">
        <f>IF($AG707="","",INDEX(V_Naam,INDEX($AB$8:$AB$1407,$AG707)))</f>
        <v/>
      </c>
      <c r="M707" s="92" t="str">
        <f>IF($AG707="","",INDEX(V_Type,INDEX($AB$8:$AB$1407,$AG707)))</f>
        <v/>
      </c>
      <c r="N707" s="92" t="str">
        <f>IF($AG707="","",INDEX(V_IFRS,INDEX($AB$8:$AB$1407,$AG707)))</f>
        <v/>
      </c>
      <c r="O707" s="92" t="str">
        <f>IF($AG707="","",INDEX($AL$8:$AL$21,INDEX($AC$8:$AC$1407,$AG707)+1))</f>
        <v/>
      </c>
      <c r="P707" s="109" t="str">
        <f>IF($AG707="","",INDEX($AD$8:$AD$1407,$AG707))</f>
        <v/>
      </c>
      <c r="Q707" s="92" t="str">
        <f>IF($AG707="","",INDEX($AM$8:$AM$21,INDEX($AC$8:$AC$1407,$AG707)+1))</f>
        <v/>
      </c>
      <c r="R707" s="92" t="str">
        <f>IF($AG707="","",IF($G707&gt;0,P_ToelCorrectie&amp;"",""))</f>
        <v/>
      </c>
      <c r="S707" s="15" t="str">
        <f>IF(J707="","",J707&amp;"|"&amp;E707&amp;"|"&amp;F707&amp;"|"&amp;I707&amp;"|"&amp;O707)</f>
        <v/>
      </c>
      <c r="T707" s="111" t="str">
        <f>IF(S707="","",IF(COUNTIFS(L_Sleutel,S707,L_Actief,1)=0,"",SUMIFS(L_Waarde,L_Sleutel,S707,L_Actief,1)))</f>
        <v/>
      </c>
      <c r="U707" s="111">
        <f>IF(OR(S707="",T707=""),0,P707-T707)</f>
        <v>0</v>
      </c>
      <c r="AB707" s="112" t="n">
        <v>50</v>
      </c>
      <c r="AC707" s="112" t="n">
        <v>13</v>
      </c>
      <c r="AD707" s="112" t="str">
        <f>VERW_Project!BX55</f>
        <v/>
      </c>
      <c r="AE707" s="112">
        <f>IF(AND(VERW_Project!$A55&lt;&gt;"",ISNUMBER(AD707)),1,0)</f>
        <v>0</v>
      </c>
      <c r="AF707" s="112" t="str">
        <f>IF(AE707=1,SUM($AE$8:AE707),"")</f>
        <v/>
      </c>
      <c r="AG707" t="str">
        <f>IFERROR(MATCH(700,$AF$8:$AF$1407,0),"")</f>
        <v/>
      </c>
    </row>
    <row r="708">
      <c r="A708" s="92" t="str">
        <f>IF($AG708="","",P_ImportID)</f>
        <v/>
      </c>
      <c r="B708" s="92" t="str">
        <f>IF($AG708="","",IF(INDEX($AN$8:$AN$21,INDEX($AC$8:$AC$1407,$AG708)+1)="Z",P_BronZ,P_BronE))</f>
        <v/>
      </c>
      <c r="C708" s="108" t="str">
        <f>IF($AG708="","",P_Importdatum)</f>
        <v/>
      </c>
      <c r="D708" s="92" t="str">
        <f>IF($AG708="","",P_StatusVastleg)</f>
        <v/>
      </c>
      <c r="E708" s="92" t="str">
        <f>IF($AG708="","",P_UploadVJ)</f>
        <v/>
      </c>
      <c r="F708" s="92" t="str">
        <f>IF($AG708="","",P_UploadVersie)</f>
        <v/>
      </c>
      <c r="G708" s="92" t="str">
        <f>IF($AG708="","",IF(COUNTIFS(L_Sleutel,$S708,L_Status,"Vastgesteld")=0,0,_xlfn.MAXIFS(L_Revisie,L_Sleutel,$S708,L_Status,"Vastgesteld")+1))</f>
        <v/>
      </c>
      <c r="H708" s="108" t="str">
        <f>IF($AG708="","",P_Peildatum)</f>
        <v/>
      </c>
      <c r="I708" s="92" t="str">
        <f>IF($AG708="","",P_RJ+INDEX($AK$8:$AK$21,INDEX($AC$8:$AC$1407,$AG708)+1))</f>
        <v/>
      </c>
      <c r="J708" s="92" t="str">
        <f>IF($AG708="","",INDEX(V_WBS,INDEX($AB$8:$AB$1407,$AG708)))</f>
        <v/>
      </c>
      <c r="K708" s="92" t="str">
        <f>IF($AG708="","",INDEX(V_Projdef,INDEX($AB$8:$AB$1407,$AG708)))</f>
        <v/>
      </c>
      <c r="L708" s="92" t="str">
        <f>IF($AG708="","",INDEX(V_Naam,INDEX($AB$8:$AB$1407,$AG708)))</f>
        <v/>
      </c>
      <c r="M708" s="92" t="str">
        <f>IF($AG708="","",INDEX(V_Type,INDEX($AB$8:$AB$1407,$AG708)))</f>
        <v/>
      </c>
      <c r="N708" s="92" t="str">
        <f>IF($AG708="","",INDEX(V_IFRS,INDEX($AB$8:$AB$1407,$AG708)))</f>
        <v/>
      </c>
      <c r="O708" s="92" t="str">
        <f>IF($AG708="","",INDEX($AL$8:$AL$21,INDEX($AC$8:$AC$1407,$AG708)+1))</f>
        <v/>
      </c>
      <c r="P708" s="109" t="str">
        <f>IF($AG708="","",INDEX($AD$8:$AD$1407,$AG708))</f>
        <v/>
      </c>
      <c r="Q708" s="92" t="str">
        <f>IF($AG708="","",INDEX($AM$8:$AM$21,INDEX($AC$8:$AC$1407,$AG708)+1))</f>
        <v/>
      </c>
      <c r="R708" s="92" t="str">
        <f>IF($AG708="","",IF($G708&gt;0,P_ToelCorrectie&amp;"",""))</f>
        <v/>
      </c>
      <c r="S708" s="15" t="str">
        <f>IF(J708="","",J708&amp;"|"&amp;E708&amp;"|"&amp;F708&amp;"|"&amp;I708&amp;"|"&amp;O708)</f>
        <v/>
      </c>
      <c r="T708" s="111" t="str">
        <f>IF(S708="","",IF(COUNTIFS(L_Sleutel,S708,L_Actief,1)=0,"",SUMIFS(L_Waarde,L_Sleutel,S708,L_Actief,1)))</f>
        <v/>
      </c>
      <c r="U708" s="111">
        <f>IF(OR(S708="",T708=""),0,P708-T708)</f>
        <v>0</v>
      </c>
      <c r="AB708" s="112" t="n">
        <v>51</v>
      </c>
      <c r="AC708" s="112" t="n">
        <v>0</v>
      </c>
      <c r="AD708" s="112" t="str">
        <f>VERW_Project!P56</f>
        <v/>
      </c>
      <c r="AE708" s="112">
        <f>IF(AND(VERW_Project!$A56&lt;&gt;"",ISNUMBER(AD708)),1,0)</f>
        <v>0</v>
      </c>
      <c r="AF708" s="112" t="str">
        <f>IF(AE708=1,SUM($AE$8:AE708),"")</f>
        <v/>
      </c>
      <c r="AG708" t="str">
        <f>IFERROR(MATCH(701,$AF$8:$AF$1407,0),"")</f>
        <v/>
      </c>
    </row>
    <row r="709">
      <c r="A709" s="92" t="str">
        <f>IF($AG709="","",P_ImportID)</f>
        <v/>
      </c>
      <c r="B709" s="92" t="str">
        <f>IF($AG709="","",IF(INDEX($AN$8:$AN$21,INDEX($AC$8:$AC$1407,$AG709)+1)="Z",P_BronZ,P_BronE))</f>
        <v/>
      </c>
      <c r="C709" s="108" t="str">
        <f>IF($AG709="","",P_Importdatum)</f>
        <v/>
      </c>
      <c r="D709" s="92" t="str">
        <f>IF($AG709="","",P_StatusVastleg)</f>
        <v/>
      </c>
      <c r="E709" s="92" t="str">
        <f>IF($AG709="","",P_UploadVJ)</f>
        <v/>
      </c>
      <c r="F709" s="92" t="str">
        <f>IF($AG709="","",P_UploadVersie)</f>
        <v/>
      </c>
      <c r="G709" s="92" t="str">
        <f>IF($AG709="","",IF(COUNTIFS(L_Sleutel,$S709,L_Status,"Vastgesteld")=0,0,_xlfn.MAXIFS(L_Revisie,L_Sleutel,$S709,L_Status,"Vastgesteld")+1))</f>
        <v/>
      </c>
      <c r="H709" s="108" t="str">
        <f>IF($AG709="","",P_Peildatum)</f>
        <v/>
      </c>
      <c r="I709" s="92" t="str">
        <f>IF($AG709="","",P_RJ+INDEX($AK$8:$AK$21,INDEX($AC$8:$AC$1407,$AG709)+1))</f>
        <v/>
      </c>
      <c r="J709" s="92" t="str">
        <f>IF($AG709="","",INDEX(V_WBS,INDEX($AB$8:$AB$1407,$AG709)))</f>
        <v/>
      </c>
      <c r="K709" s="92" t="str">
        <f>IF($AG709="","",INDEX(V_Projdef,INDEX($AB$8:$AB$1407,$AG709)))</f>
        <v/>
      </c>
      <c r="L709" s="92" t="str">
        <f>IF($AG709="","",INDEX(V_Naam,INDEX($AB$8:$AB$1407,$AG709)))</f>
        <v/>
      </c>
      <c r="M709" s="92" t="str">
        <f>IF($AG709="","",INDEX(V_Type,INDEX($AB$8:$AB$1407,$AG709)))</f>
        <v/>
      </c>
      <c r="N709" s="92" t="str">
        <f>IF($AG709="","",INDEX(V_IFRS,INDEX($AB$8:$AB$1407,$AG709)))</f>
        <v/>
      </c>
      <c r="O709" s="92" t="str">
        <f>IF($AG709="","",INDEX($AL$8:$AL$21,INDEX($AC$8:$AC$1407,$AG709)+1))</f>
        <v/>
      </c>
      <c r="P709" s="109" t="str">
        <f>IF($AG709="","",INDEX($AD$8:$AD$1407,$AG709))</f>
        <v/>
      </c>
      <c r="Q709" s="92" t="str">
        <f>IF($AG709="","",INDEX($AM$8:$AM$21,INDEX($AC$8:$AC$1407,$AG709)+1))</f>
        <v/>
      </c>
      <c r="R709" s="92" t="str">
        <f>IF($AG709="","",IF($G709&gt;0,P_ToelCorrectie&amp;"",""))</f>
        <v/>
      </c>
      <c r="S709" s="15" t="str">
        <f>IF(J709="","",J709&amp;"|"&amp;E709&amp;"|"&amp;F709&amp;"|"&amp;I709&amp;"|"&amp;O709)</f>
        <v/>
      </c>
      <c r="T709" s="111" t="str">
        <f>IF(S709="","",IF(COUNTIFS(L_Sleutel,S709,L_Actief,1)=0,"",SUMIFS(L_Waarde,L_Sleutel,S709,L_Actief,1)))</f>
        <v/>
      </c>
      <c r="U709" s="111">
        <f>IF(OR(S709="",T709=""),0,P709-T709)</f>
        <v>0</v>
      </c>
      <c r="AB709" s="112" t="n">
        <v>51</v>
      </c>
      <c r="AC709" s="112" t="n">
        <v>1</v>
      </c>
      <c r="AD709" s="112" t="str">
        <f>VERW_Project!Q56</f>
        <v/>
      </c>
      <c r="AE709" s="112">
        <f>IF(AND(VERW_Project!$A56&lt;&gt;"",ISNUMBER(AD709)),1,0)</f>
        <v>0</v>
      </c>
      <c r="AF709" s="112" t="str">
        <f>IF(AE709=1,SUM($AE$8:AE709),"")</f>
        <v/>
      </c>
      <c r="AG709" t="str">
        <f>IFERROR(MATCH(702,$AF$8:$AF$1407,0),"")</f>
        <v/>
      </c>
    </row>
    <row r="710">
      <c r="A710" s="92" t="str">
        <f>IF($AG710="","",P_ImportID)</f>
        <v/>
      </c>
      <c r="B710" s="92" t="str">
        <f>IF($AG710="","",IF(INDEX($AN$8:$AN$21,INDEX($AC$8:$AC$1407,$AG710)+1)="Z",P_BronZ,P_BronE))</f>
        <v/>
      </c>
      <c r="C710" s="108" t="str">
        <f>IF($AG710="","",P_Importdatum)</f>
        <v/>
      </c>
      <c r="D710" s="92" t="str">
        <f>IF($AG710="","",P_StatusVastleg)</f>
        <v/>
      </c>
      <c r="E710" s="92" t="str">
        <f>IF($AG710="","",P_UploadVJ)</f>
        <v/>
      </c>
      <c r="F710" s="92" t="str">
        <f>IF($AG710="","",P_UploadVersie)</f>
        <v/>
      </c>
      <c r="G710" s="92" t="str">
        <f>IF($AG710="","",IF(COUNTIFS(L_Sleutel,$S710,L_Status,"Vastgesteld")=0,0,_xlfn.MAXIFS(L_Revisie,L_Sleutel,$S710,L_Status,"Vastgesteld")+1))</f>
        <v/>
      </c>
      <c r="H710" s="108" t="str">
        <f>IF($AG710="","",P_Peildatum)</f>
        <v/>
      </c>
      <c r="I710" s="92" t="str">
        <f>IF($AG710="","",P_RJ+INDEX($AK$8:$AK$21,INDEX($AC$8:$AC$1407,$AG710)+1))</f>
        <v/>
      </c>
      <c r="J710" s="92" t="str">
        <f>IF($AG710="","",INDEX(V_WBS,INDEX($AB$8:$AB$1407,$AG710)))</f>
        <v/>
      </c>
      <c r="K710" s="92" t="str">
        <f>IF($AG710="","",INDEX(V_Projdef,INDEX($AB$8:$AB$1407,$AG710)))</f>
        <v/>
      </c>
      <c r="L710" s="92" t="str">
        <f>IF($AG710="","",INDEX(V_Naam,INDEX($AB$8:$AB$1407,$AG710)))</f>
        <v/>
      </c>
      <c r="M710" s="92" t="str">
        <f>IF($AG710="","",INDEX(V_Type,INDEX($AB$8:$AB$1407,$AG710)))</f>
        <v/>
      </c>
      <c r="N710" s="92" t="str">
        <f>IF($AG710="","",INDEX(V_IFRS,INDEX($AB$8:$AB$1407,$AG710)))</f>
        <v/>
      </c>
      <c r="O710" s="92" t="str">
        <f>IF($AG710="","",INDEX($AL$8:$AL$21,INDEX($AC$8:$AC$1407,$AG710)+1))</f>
        <v/>
      </c>
      <c r="P710" s="109" t="str">
        <f>IF($AG710="","",INDEX($AD$8:$AD$1407,$AG710))</f>
        <v/>
      </c>
      <c r="Q710" s="92" t="str">
        <f>IF($AG710="","",INDEX($AM$8:$AM$21,INDEX($AC$8:$AC$1407,$AG710)+1))</f>
        <v/>
      </c>
      <c r="R710" s="92" t="str">
        <f>IF($AG710="","",IF($G710&gt;0,P_ToelCorrectie&amp;"",""))</f>
        <v/>
      </c>
      <c r="S710" s="15" t="str">
        <f>IF(J710="","",J710&amp;"|"&amp;E710&amp;"|"&amp;F710&amp;"|"&amp;I710&amp;"|"&amp;O710)</f>
        <v/>
      </c>
      <c r="T710" s="111" t="str">
        <f>IF(S710="","",IF(COUNTIFS(L_Sleutel,S710,L_Actief,1)=0,"",SUMIFS(L_Waarde,L_Sleutel,S710,L_Actief,1)))</f>
        <v/>
      </c>
      <c r="U710" s="111">
        <f>IF(OR(S710="",T710=""),0,P710-T710)</f>
        <v>0</v>
      </c>
      <c r="AB710" s="112" t="n">
        <v>51</v>
      </c>
      <c r="AC710" s="112" t="n">
        <v>2</v>
      </c>
      <c r="AD710" s="112" t="str">
        <f>VERW_Project!L56</f>
        <v/>
      </c>
      <c r="AE710" s="112">
        <f>IF(AND(VERW_Project!$A56&lt;&gt;"",ISNUMBER(AD710)),1,0)</f>
        <v>0</v>
      </c>
      <c r="AF710" s="112" t="str">
        <f>IF(AE710=1,SUM($AE$8:AE710),"")</f>
        <v/>
      </c>
      <c r="AG710" t="str">
        <f>IFERROR(MATCH(703,$AF$8:$AF$1407,0),"")</f>
        <v/>
      </c>
    </row>
    <row r="711">
      <c r="A711" s="92" t="str">
        <f>IF($AG711="","",P_ImportID)</f>
        <v/>
      </c>
      <c r="B711" s="92" t="str">
        <f>IF($AG711="","",IF(INDEX($AN$8:$AN$21,INDEX($AC$8:$AC$1407,$AG711)+1)="Z",P_BronZ,P_BronE))</f>
        <v/>
      </c>
      <c r="C711" s="108" t="str">
        <f>IF($AG711="","",P_Importdatum)</f>
        <v/>
      </c>
      <c r="D711" s="92" t="str">
        <f>IF($AG711="","",P_StatusVastleg)</f>
        <v/>
      </c>
      <c r="E711" s="92" t="str">
        <f>IF($AG711="","",P_UploadVJ)</f>
        <v/>
      </c>
      <c r="F711" s="92" t="str">
        <f>IF($AG711="","",P_UploadVersie)</f>
        <v/>
      </c>
      <c r="G711" s="92" t="str">
        <f>IF($AG711="","",IF(COUNTIFS(L_Sleutel,$S711,L_Status,"Vastgesteld")=0,0,_xlfn.MAXIFS(L_Revisie,L_Sleutel,$S711,L_Status,"Vastgesteld")+1))</f>
        <v/>
      </c>
      <c r="H711" s="108" t="str">
        <f>IF($AG711="","",P_Peildatum)</f>
        <v/>
      </c>
      <c r="I711" s="92" t="str">
        <f>IF($AG711="","",P_RJ+INDEX($AK$8:$AK$21,INDEX($AC$8:$AC$1407,$AG711)+1))</f>
        <v/>
      </c>
      <c r="J711" s="92" t="str">
        <f>IF($AG711="","",INDEX(V_WBS,INDEX($AB$8:$AB$1407,$AG711)))</f>
        <v/>
      </c>
      <c r="K711" s="92" t="str">
        <f>IF($AG711="","",INDEX(V_Projdef,INDEX($AB$8:$AB$1407,$AG711)))</f>
        <v/>
      </c>
      <c r="L711" s="92" t="str">
        <f>IF($AG711="","",INDEX(V_Naam,INDEX($AB$8:$AB$1407,$AG711)))</f>
        <v/>
      </c>
      <c r="M711" s="92" t="str">
        <f>IF($AG711="","",INDEX(V_Type,INDEX($AB$8:$AB$1407,$AG711)))</f>
        <v/>
      </c>
      <c r="N711" s="92" t="str">
        <f>IF($AG711="","",INDEX(V_IFRS,INDEX($AB$8:$AB$1407,$AG711)))</f>
        <v/>
      </c>
      <c r="O711" s="92" t="str">
        <f>IF($AG711="","",INDEX($AL$8:$AL$21,INDEX($AC$8:$AC$1407,$AG711)+1))</f>
        <v/>
      </c>
      <c r="P711" s="109" t="str">
        <f>IF($AG711="","",INDEX($AD$8:$AD$1407,$AG711))</f>
        <v/>
      </c>
      <c r="Q711" s="92" t="str">
        <f>IF($AG711="","",INDEX($AM$8:$AM$21,INDEX($AC$8:$AC$1407,$AG711)+1))</f>
        <v/>
      </c>
      <c r="R711" s="92" t="str">
        <f>IF($AG711="","",IF($G711&gt;0,P_ToelCorrectie&amp;"",""))</f>
        <v/>
      </c>
      <c r="S711" s="15" t="str">
        <f>IF(J711="","",J711&amp;"|"&amp;E711&amp;"|"&amp;F711&amp;"|"&amp;I711&amp;"|"&amp;O711)</f>
        <v/>
      </c>
      <c r="T711" s="111" t="str">
        <f>IF(S711="","",IF(COUNTIFS(L_Sleutel,S711,L_Actief,1)=0,"",SUMIFS(L_Waarde,L_Sleutel,S711,L_Actief,1)))</f>
        <v/>
      </c>
      <c r="U711" s="111">
        <f>IF(OR(S711="",T711=""),0,P711-T711)</f>
        <v>0</v>
      </c>
      <c r="AB711" s="112" t="n">
        <v>51</v>
      </c>
      <c r="AC711" s="112" t="n">
        <v>3</v>
      </c>
      <c r="AD711" s="112" t="str">
        <f>VERW_Project!M56</f>
        <v/>
      </c>
      <c r="AE711" s="112">
        <f>IF(AND(VERW_Project!$A56&lt;&gt;"",ISNUMBER(AD711)),1,0)</f>
        <v>0</v>
      </c>
      <c r="AF711" s="112" t="str">
        <f>IF(AE711=1,SUM($AE$8:AE711),"")</f>
        <v/>
      </c>
      <c r="AG711" t="str">
        <f>IFERROR(MATCH(704,$AF$8:$AF$1407,0),"")</f>
        <v/>
      </c>
    </row>
    <row r="712">
      <c r="A712" s="92" t="str">
        <f>IF($AG712="","",P_ImportID)</f>
        <v/>
      </c>
      <c r="B712" s="92" t="str">
        <f>IF($AG712="","",IF(INDEX($AN$8:$AN$21,INDEX($AC$8:$AC$1407,$AG712)+1)="Z",P_BronZ,P_BronE))</f>
        <v/>
      </c>
      <c r="C712" s="108" t="str">
        <f>IF($AG712="","",P_Importdatum)</f>
        <v/>
      </c>
      <c r="D712" s="92" t="str">
        <f>IF($AG712="","",P_StatusVastleg)</f>
        <v/>
      </c>
      <c r="E712" s="92" t="str">
        <f>IF($AG712="","",P_UploadVJ)</f>
        <v/>
      </c>
      <c r="F712" s="92" t="str">
        <f>IF($AG712="","",P_UploadVersie)</f>
        <v/>
      </c>
      <c r="G712" s="92" t="str">
        <f>IF($AG712="","",IF(COUNTIFS(L_Sleutel,$S712,L_Status,"Vastgesteld")=0,0,_xlfn.MAXIFS(L_Revisie,L_Sleutel,$S712,L_Status,"Vastgesteld")+1))</f>
        <v/>
      </c>
      <c r="H712" s="108" t="str">
        <f>IF($AG712="","",P_Peildatum)</f>
        <v/>
      </c>
      <c r="I712" s="92" t="str">
        <f>IF($AG712="","",P_RJ+INDEX($AK$8:$AK$21,INDEX($AC$8:$AC$1407,$AG712)+1))</f>
        <v/>
      </c>
      <c r="J712" s="92" t="str">
        <f>IF($AG712="","",INDEX(V_WBS,INDEX($AB$8:$AB$1407,$AG712)))</f>
        <v/>
      </c>
      <c r="K712" s="92" t="str">
        <f>IF($AG712="","",INDEX(V_Projdef,INDEX($AB$8:$AB$1407,$AG712)))</f>
        <v/>
      </c>
      <c r="L712" s="92" t="str">
        <f>IF($AG712="","",INDEX(V_Naam,INDEX($AB$8:$AB$1407,$AG712)))</f>
        <v/>
      </c>
      <c r="M712" s="92" t="str">
        <f>IF($AG712="","",INDEX(V_Type,INDEX($AB$8:$AB$1407,$AG712)))</f>
        <v/>
      </c>
      <c r="N712" s="92" t="str">
        <f>IF($AG712="","",INDEX(V_IFRS,INDEX($AB$8:$AB$1407,$AG712)))</f>
        <v/>
      </c>
      <c r="O712" s="92" t="str">
        <f>IF($AG712="","",INDEX($AL$8:$AL$21,INDEX($AC$8:$AC$1407,$AG712)+1))</f>
        <v/>
      </c>
      <c r="P712" s="109" t="str">
        <f>IF($AG712="","",INDEX($AD$8:$AD$1407,$AG712))</f>
        <v/>
      </c>
      <c r="Q712" s="92" t="str">
        <f>IF($AG712="","",INDEX($AM$8:$AM$21,INDEX($AC$8:$AC$1407,$AG712)+1))</f>
        <v/>
      </c>
      <c r="R712" s="92" t="str">
        <f>IF($AG712="","",IF($G712&gt;0,P_ToelCorrectie&amp;"",""))</f>
        <v/>
      </c>
      <c r="S712" s="15" t="str">
        <f>IF(J712="","",J712&amp;"|"&amp;E712&amp;"|"&amp;F712&amp;"|"&amp;I712&amp;"|"&amp;O712)</f>
        <v/>
      </c>
      <c r="T712" s="111" t="str">
        <f>IF(S712="","",IF(COUNTIFS(L_Sleutel,S712,L_Actief,1)=0,"",SUMIFS(L_Waarde,L_Sleutel,S712,L_Actief,1)))</f>
        <v/>
      </c>
      <c r="U712" s="111">
        <f>IF(OR(S712="",T712=""),0,P712-T712)</f>
        <v>0</v>
      </c>
      <c r="AB712" s="112" t="n">
        <v>51</v>
      </c>
      <c r="AC712" s="112" t="n">
        <v>4</v>
      </c>
      <c r="AD712" s="112" t="str">
        <f>VERW_Project!R56</f>
        <v/>
      </c>
      <c r="AE712" s="112">
        <f>IF(AND(VERW_Project!$A56&lt;&gt;"",ISNUMBER(AD712)),1,0)</f>
        <v>0</v>
      </c>
      <c r="AF712" s="112" t="str">
        <f>IF(AE712=1,SUM($AE$8:AE712),"")</f>
        <v/>
      </c>
      <c r="AG712" t="str">
        <f>IFERROR(MATCH(705,$AF$8:$AF$1407,0),"")</f>
        <v/>
      </c>
    </row>
    <row r="713">
      <c r="A713" s="92" t="str">
        <f>IF($AG713="","",P_ImportID)</f>
        <v/>
      </c>
      <c r="B713" s="92" t="str">
        <f>IF($AG713="","",IF(INDEX($AN$8:$AN$21,INDEX($AC$8:$AC$1407,$AG713)+1)="Z",P_BronZ,P_BronE))</f>
        <v/>
      </c>
      <c r="C713" s="108" t="str">
        <f>IF($AG713="","",P_Importdatum)</f>
        <v/>
      </c>
      <c r="D713" s="92" t="str">
        <f>IF($AG713="","",P_StatusVastleg)</f>
        <v/>
      </c>
      <c r="E713" s="92" t="str">
        <f>IF($AG713="","",P_UploadVJ)</f>
        <v/>
      </c>
      <c r="F713" s="92" t="str">
        <f>IF($AG713="","",P_UploadVersie)</f>
        <v/>
      </c>
      <c r="G713" s="92" t="str">
        <f>IF($AG713="","",IF(COUNTIFS(L_Sleutel,$S713,L_Status,"Vastgesteld")=0,0,_xlfn.MAXIFS(L_Revisie,L_Sleutel,$S713,L_Status,"Vastgesteld")+1))</f>
        <v/>
      </c>
      <c r="H713" s="108" t="str">
        <f>IF($AG713="","",P_Peildatum)</f>
        <v/>
      </c>
      <c r="I713" s="92" t="str">
        <f>IF($AG713="","",P_RJ+INDEX($AK$8:$AK$21,INDEX($AC$8:$AC$1407,$AG713)+1))</f>
        <v/>
      </c>
      <c r="J713" s="92" t="str">
        <f>IF($AG713="","",INDEX(V_WBS,INDEX($AB$8:$AB$1407,$AG713)))</f>
        <v/>
      </c>
      <c r="K713" s="92" t="str">
        <f>IF($AG713="","",INDEX(V_Projdef,INDEX($AB$8:$AB$1407,$AG713)))</f>
        <v/>
      </c>
      <c r="L713" s="92" t="str">
        <f>IF($AG713="","",INDEX(V_Naam,INDEX($AB$8:$AB$1407,$AG713)))</f>
        <v/>
      </c>
      <c r="M713" s="92" t="str">
        <f>IF($AG713="","",INDEX(V_Type,INDEX($AB$8:$AB$1407,$AG713)))</f>
        <v/>
      </c>
      <c r="N713" s="92" t="str">
        <f>IF($AG713="","",INDEX(V_IFRS,INDEX($AB$8:$AB$1407,$AG713)))</f>
        <v/>
      </c>
      <c r="O713" s="92" t="str">
        <f>IF($AG713="","",INDEX($AL$8:$AL$21,INDEX($AC$8:$AC$1407,$AG713)+1))</f>
        <v/>
      </c>
      <c r="P713" s="109" t="str">
        <f>IF($AG713="","",INDEX($AD$8:$AD$1407,$AG713))</f>
        <v/>
      </c>
      <c r="Q713" s="92" t="str">
        <f>IF($AG713="","",INDEX($AM$8:$AM$21,INDEX($AC$8:$AC$1407,$AG713)+1))</f>
        <v/>
      </c>
      <c r="R713" s="92" t="str">
        <f>IF($AG713="","",IF($G713&gt;0,P_ToelCorrectie&amp;"",""))</f>
        <v/>
      </c>
      <c r="S713" s="15" t="str">
        <f>IF(J713="","",J713&amp;"|"&amp;E713&amp;"|"&amp;F713&amp;"|"&amp;I713&amp;"|"&amp;O713)</f>
        <v/>
      </c>
      <c r="T713" s="111" t="str">
        <f>IF(S713="","",IF(COUNTIFS(L_Sleutel,S713,L_Actief,1)=0,"",SUMIFS(L_Waarde,L_Sleutel,S713,L_Actief,1)))</f>
        <v/>
      </c>
      <c r="U713" s="111">
        <f>IF(OR(S713="",T713=""),0,P713-T713)</f>
        <v>0</v>
      </c>
      <c r="AB713" s="112" t="n">
        <v>51</v>
      </c>
      <c r="AC713" s="112" t="n">
        <v>5</v>
      </c>
      <c r="AD713" s="112" t="str">
        <f>VERW_Project!S56</f>
        <v/>
      </c>
      <c r="AE713" s="112">
        <f>IF(AND(VERW_Project!$A56&lt;&gt;"",ISNUMBER(AD713)),1,0)</f>
        <v>0</v>
      </c>
      <c r="AF713" s="112" t="str">
        <f>IF(AE713=1,SUM($AE$8:AE713),"")</f>
        <v/>
      </c>
      <c r="AG713" t="str">
        <f>IFERROR(MATCH(706,$AF$8:$AF$1407,0),"")</f>
        <v/>
      </c>
    </row>
    <row r="714">
      <c r="A714" s="92" t="str">
        <f>IF($AG714="","",P_ImportID)</f>
        <v/>
      </c>
      <c r="B714" s="92" t="str">
        <f>IF($AG714="","",IF(INDEX($AN$8:$AN$21,INDEX($AC$8:$AC$1407,$AG714)+1)="Z",P_BronZ,P_BronE))</f>
        <v/>
      </c>
      <c r="C714" s="108" t="str">
        <f>IF($AG714="","",P_Importdatum)</f>
        <v/>
      </c>
      <c r="D714" s="92" t="str">
        <f>IF($AG714="","",P_StatusVastleg)</f>
        <v/>
      </c>
      <c r="E714" s="92" t="str">
        <f>IF($AG714="","",P_UploadVJ)</f>
        <v/>
      </c>
      <c r="F714" s="92" t="str">
        <f>IF($AG714="","",P_UploadVersie)</f>
        <v/>
      </c>
      <c r="G714" s="92" t="str">
        <f>IF($AG714="","",IF(COUNTIFS(L_Sleutel,$S714,L_Status,"Vastgesteld")=0,0,_xlfn.MAXIFS(L_Revisie,L_Sleutel,$S714,L_Status,"Vastgesteld")+1))</f>
        <v/>
      </c>
      <c r="H714" s="108" t="str">
        <f>IF($AG714="","",P_Peildatum)</f>
        <v/>
      </c>
      <c r="I714" s="92" t="str">
        <f>IF($AG714="","",P_RJ+INDEX($AK$8:$AK$21,INDEX($AC$8:$AC$1407,$AG714)+1))</f>
        <v/>
      </c>
      <c r="J714" s="92" t="str">
        <f>IF($AG714="","",INDEX(V_WBS,INDEX($AB$8:$AB$1407,$AG714)))</f>
        <v/>
      </c>
      <c r="K714" s="92" t="str">
        <f>IF($AG714="","",INDEX(V_Projdef,INDEX($AB$8:$AB$1407,$AG714)))</f>
        <v/>
      </c>
      <c r="L714" s="92" t="str">
        <f>IF($AG714="","",INDEX(V_Naam,INDEX($AB$8:$AB$1407,$AG714)))</f>
        <v/>
      </c>
      <c r="M714" s="92" t="str">
        <f>IF($AG714="","",INDEX(V_Type,INDEX($AB$8:$AB$1407,$AG714)))</f>
        <v/>
      </c>
      <c r="N714" s="92" t="str">
        <f>IF($AG714="","",INDEX(V_IFRS,INDEX($AB$8:$AB$1407,$AG714)))</f>
        <v/>
      </c>
      <c r="O714" s="92" t="str">
        <f>IF($AG714="","",INDEX($AL$8:$AL$21,INDEX($AC$8:$AC$1407,$AG714)+1))</f>
        <v/>
      </c>
      <c r="P714" s="109" t="str">
        <f>IF($AG714="","",INDEX($AD$8:$AD$1407,$AG714))</f>
        <v/>
      </c>
      <c r="Q714" s="92" t="str">
        <f>IF($AG714="","",INDEX($AM$8:$AM$21,INDEX($AC$8:$AC$1407,$AG714)+1))</f>
        <v/>
      </c>
      <c r="R714" s="92" t="str">
        <f>IF($AG714="","",IF($G714&gt;0,P_ToelCorrectie&amp;"",""))</f>
        <v/>
      </c>
      <c r="S714" s="15" t="str">
        <f>IF(J714="","",J714&amp;"|"&amp;E714&amp;"|"&amp;F714&amp;"|"&amp;I714&amp;"|"&amp;O714)</f>
        <v/>
      </c>
      <c r="T714" s="111" t="str">
        <f>IF(S714="","",IF(COUNTIFS(L_Sleutel,S714,L_Actief,1)=0,"",SUMIFS(L_Waarde,L_Sleutel,S714,L_Actief,1)))</f>
        <v/>
      </c>
      <c r="U714" s="111">
        <f>IF(OR(S714="",T714=""),0,P714-T714)</f>
        <v>0</v>
      </c>
      <c r="AB714" s="112" t="n">
        <v>51</v>
      </c>
      <c r="AC714" s="112" t="n">
        <v>6</v>
      </c>
      <c r="AD714" s="112" t="str">
        <f>VERW_Project!BW56</f>
        <v/>
      </c>
      <c r="AE714" s="112">
        <f>IF(AND(VERW_Project!$A56&lt;&gt;"",ISNUMBER(AD714)),1,0)</f>
        <v>0</v>
      </c>
      <c r="AF714" s="112" t="str">
        <f>IF(AE714=1,SUM($AE$8:AE714),"")</f>
        <v/>
      </c>
      <c r="AG714" t="str">
        <f>IFERROR(MATCH(707,$AF$8:$AF$1407,0),"")</f>
        <v/>
      </c>
    </row>
    <row r="715">
      <c r="A715" s="92" t="str">
        <f>IF($AG715="","",P_ImportID)</f>
        <v/>
      </c>
      <c r="B715" s="92" t="str">
        <f>IF($AG715="","",IF(INDEX($AN$8:$AN$21,INDEX($AC$8:$AC$1407,$AG715)+1)="Z",P_BronZ,P_BronE))</f>
        <v/>
      </c>
      <c r="C715" s="108" t="str">
        <f>IF($AG715="","",P_Importdatum)</f>
        <v/>
      </c>
      <c r="D715" s="92" t="str">
        <f>IF($AG715="","",P_StatusVastleg)</f>
        <v/>
      </c>
      <c r="E715" s="92" t="str">
        <f>IF($AG715="","",P_UploadVJ)</f>
        <v/>
      </c>
      <c r="F715" s="92" t="str">
        <f>IF($AG715="","",P_UploadVersie)</f>
        <v/>
      </c>
      <c r="G715" s="92" t="str">
        <f>IF($AG715="","",IF(COUNTIFS(L_Sleutel,$S715,L_Status,"Vastgesteld")=0,0,_xlfn.MAXIFS(L_Revisie,L_Sleutel,$S715,L_Status,"Vastgesteld")+1))</f>
        <v/>
      </c>
      <c r="H715" s="108" t="str">
        <f>IF($AG715="","",P_Peildatum)</f>
        <v/>
      </c>
      <c r="I715" s="92" t="str">
        <f>IF($AG715="","",P_RJ+INDEX($AK$8:$AK$21,INDEX($AC$8:$AC$1407,$AG715)+1))</f>
        <v/>
      </c>
      <c r="J715" s="92" t="str">
        <f>IF($AG715="","",INDEX(V_WBS,INDEX($AB$8:$AB$1407,$AG715)))</f>
        <v/>
      </c>
      <c r="K715" s="92" t="str">
        <f>IF($AG715="","",INDEX(V_Projdef,INDEX($AB$8:$AB$1407,$AG715)))</f>
        <v/>
      </c>
      <c r="L715" s="92" t="str">
        <f>IF($AG715="","",INDEX(V_Naam,INDEX($AB$8:$AB$1407,$AG715)))</f>
        <v/>
      </c>
      <c r="M715" s="92" t="str">
        <f>IF($AG715="","",INDEX(V_Type,INDEX($AB$8:$AB$1407,$AG715)))</f>
        <v/>
      </c>
      <c r="N715" s="92" t="str">
        <f>IF($AG715="","",INDEX(V_IFRS,INDEX($AB$8:$AB$1407,$AG715)))</f>
        <v/>
      </c>
      <c r="O715" s="92" t="str">
        <f>IF($AG715="","",INDEX($AL$8:$AL$21,INDEX($AC$8:$AC$1407,$AG715)+1))</f>
        <v/>
      </c>
      <c r="P715" s="109" t="str">
        <f>IF($AG715="","",INDEX($AD$8:$AD$1407,$AG715))</f>
        <v/>
      </c>
      <c r="Q715" s="92" t="str">
        <f>IF($AG715="","",INDEX($AM$8:$AM$21,INDEX($AC$8:$AC$1407,$AG715)+1))</f>
        <v/>
      </c>
      <c r="R715" s="92" t="str">
        <f>IF($AG715="","",IF($G715&gt;0,P_ToelCorrectie&amp;"",""))</f>
        <v/>
      </c>
      <c r="S715" s="15" t="str">
        <f>IF(J715="","",J715&amp;"|"&amp;E715&amp;"|"&amp;F715&amp;"|"&amp;I715&amp;"|"&amp;O715)</f>
        <v/>
      </c>
      <c r="T715" s="111" t="str">
        <f>IF(S715="","",IF(COUNTIFS(L_Sleutel,S715,L_Actief,1)=0,"",SUMIFS(L_Waarde,L_Sleutel,S715,L_Actief,1)))</f>
        <v/>
      </c>
      <c r="U715" s="111">
        <f>IF(OR(S715="",T715=""),0,P715-T715)</f>
        <v>0</v>
      </c>
      <c r="AB715" s="112" t="n">
        <v>51</v>
      </c>
      <c r="AC715" s="112" t="n">
        <v>7</v>
      </c>
      <c r="AD715" s="112" t="str">
        <f>VERW_Project!AW56</f>
        <v/>
      </c>
      <c r="AE715" s="112">
        <f>IF(AND(VERW_Project!$A56&lt;&gt;"",ISNUMBER(AD715)),1,0)</f>
        <v>0</v>
      </c>
      <c r="AF715" s="112" t="str">
        <f>IF(AE715=1,SUM($AE$8:AE715),"")</f>
        <v/>
      </c>
      <c r="AG715" t="str">
        <f>IFERROR(MATCH(708,$AF$8:$AF$1407,0),"")</f>
        <v/>
      </c>
    </row>
    <row r="716">
      <c r="A716" s="92" t="str">
        <f>IF($AG716="","",P_ImportID)</f>
        <v/>
      </c>
      <c r="B716" s="92" t="str">
        <f>IF($AG716="","",IF(INDEX($AN$8:$AN$21,INDEX($AC$8:$AC$1407,$AG716)+1)="Z",P_BronZ,P_BronE))</f>
        <v/>
      </c>
      <c r="C716" s="108" t="str">
        <f>IF($AG716="","",P_Importdatum)</f>
        <v/>
      </c>
      <c r="D716" s="92" t="str">
        <f>IF($AG716="","",P_StatusVastleg)</f>
        <v/>
      </c>
      <c r="E716" s="92" t="str">
        <f>IF($AG716="","",P_UploadVJ)</f>
        <v/>
      </c>
      <c r="F716" s="92" t="str">
        <f>IF($AG716="","",P_UploadVersie)</f>
        <v/>
      </c>
      <c r="G716" s="92" t="str">
        <f>IF($AG716="","",IF(COUNTIFS(L_Sleutel,$S716,L_Status,"Vastgesteld")=0,0,_xlfn.MAXIFS(L_Revisie,L_Sleutel,$S716,L_Status,"Vastgesteld")+1))</f>
        <v/>
      </c>
      <c r="H716" s="108" t="str">
        <f>IF($AG716="","",P_Peildatum)</f>
        <v/>
      </c>
      <c r="I716" s="92" t="str">
        <f>IF($AG716="","",P_RJ+INDEX($AK$8:$AK$21,INDEX($AC$8:$AC$1407,$AG716)+1))</f>
        <v/>
      </c>
      <c r="J716" s="92" t="str">
        <f>IF($AG716="","",INDEX(V_WBS,INDEX($AB$8:$AB$1407,$AG716)))</f>
        <v/>
      </c>
      <c r="K716" s="92" t="str">
        <f>IF($AG716="","",INDEX(V_Projdef,INDEX($AB$8:$AB$1407,$AG716)))</f>
        <v/>
      </c>
      <c r="L716" s="92" t="str">
        <f>IF($AG716="","",INDEX(V_Naam,INDEX($AB$8:$AB$1407,$AG716)))</f>
        <v/>
      </c>
      <c r="M716" s="92" t="str">
        <f>IF($AG716="","",INDEX(V_Type,INDEX($AB$8:$AB$1407,$AG716)))</f>
        <v/>
      </c>
      <c r="N716" s="92" t="str">
        <f>IF($AG716="","",INDEX(V_IFRS,INDEX($AB$8:$AB$1407,$AG716)))</f>
        <v/>
      </c>
      <c r="O716" s="92" t="str">
        <f>IF($AG716="","",INDEX($AL$8:$AL$21,INDEX($AC$8:$AC$1407,$AG716)+1))</f>
        <v/>
      </c>
      <c r="P716" s="109" t="str">
        <f>IF($AG716="","",INDEX($AD$8:$AD$1407,$AG716))</f>
        <v/>
      </c>
      <c r="Q716" s="92" t="str">
        <f>IF($AG716="","",INDEX($AM$8:$AM$21,INDEX($AC$8:$AC$1407,$AG716)+1))</f>
        <v/>
      </c>
      <c r="R716" s="92" t="str">
        <f>IF($AG716="","",IF($G716&gt;0,P_ToelCorrectie&amp;"",""))</f>
        <v/>
      </c>
      <c r="S716" s="15" t="str">
        <f>IF(J716="","",J716&amp;"|"&amp;E716&amp;"|"&amp;F716&amp;"|"&amp;I716&amp;"|"&amp;O716)</f>
        <v/>
      </c>
      <c r="T716" s="111" t="str">
        <f>IF(S716="","",IF(COUNTIFS(L_Sleutel,S716,L_Actief,1)=0,"",SUMIFS(L_Waarde,L_Sleutel,S716,L_Actief,1)))</f>
        <v/>
      </c>
      <c r="U716" s="111">
        <f>IF(OR(S716="",T716=""),0,P716-T716)</f>
        <v>0</v>
      </c>
      <c r="AB716" s="112" t="n">
        <v>51</v>
      </c>
      <c r="AC716" s="112" t="n">
        <v>8</v>
      </c>
      <c r="AD716" s="112" t="str">
        <f>VERW_Project!BQ56</f>
        <v/>
      </c>
      <c r="AE716" s="112">
        <f>IF(AND(VERW_Project!$A56&lt;&gt;"",ISNUMBER(AD716)),1,0)</f>
        <v>0</v>
      </c>
      <c r="AF716" s="112" t="str">
        <f>IF(AE716=1,SUM($AE$8:AE716),"")</f>
        <v/>
      </c>
      <c r="AG716" t="str">
        <f>IFERROR(MATCH(709,$AF$8:$AF$1407,0),"")</f>
        <v/>
      </c>
    </row>
    <row r="717">
      <c r="A717" s="92" t="str">
        <f>IF($AG717="","",P_ImportID)</f>
        <v/>
      </c>
      <c r="B717" s="92" t="str">
        <f>IF($AG717="","",IF(INDEX($AN$8:$AN$21,INDEX($AC$8:$AC$1407,$AG717)+1)="Z",P_BronZ,P_BronE))</f>
        <v/>
      </c>
      <c r="C717" s="108" t="str">
        <f>IF($AG717="","",P_Importdatum)</f>
        <v/>
      </c>
      <c r="D717" s="92" t="str">
        <f>IF($AG717="","",P_StatusVastleg)</f>
        <v/>
      </c>
      <c r="E717" s="92" t="str">
        <f>IF($AG717="","",P_UploadVJ)</f>
        <v/>
      </c>
      <c r="F717" s="92" t="str">
        <f>IF($AG717="","",P_UploadVersie)</f>
        <v/>
      </c>
      <c r="G717" s="92" t="str">
        <f>IF($AG717="","",IF(COUNTIFS(L_Sleutel,$S717,L_Status,"Vastgesteld")=0,0,_xlfn.MAXIFS(L_Revisie,L_Sleutel,$S717,L_Status,"Vastgesteld")+1))</f>
        <v/>
      </c>
      <c r="H717" s="108" t="str">
        <f>IF($AG717="","",P_Peildatum)</f>
        <v/>
      </c>
      <c r="I717" s="92" t="str">
        <f>IF($AG717="","",P_RJ+INDEX($AK$8:$AK$21,INDEX($AC$8:$AC$1407,$AG717)+1))</f>
        <v/>
      </c>
      <c r="J717" s="92" t="str">
        <f>IF($AG717="","",INDEX(V_WBS,INDEX($AB$8:$AB$1407,$AG717)))</f>
        <v/>
      </c>
      <c r="K717" s="92" t="str">
        <f>IF($AG717="","",INDEX(V_Projdef,INDEX($AB$8:$AB$1407,$AG717)))</f>
        <v/>
      </c>
      <c r="L717" s="92" t="str">
        <f>IF($AG717="","",INDEX(V_Naam,INDEX($AB$8:$AB$1407,$AG717)))</f>
        <v/>
      </c>
      <c r="M717" s="92" t="str">
        <f>IF($AG717="","",INDEX(V_Type,INDEX($AB$8:$AB$1407,$AG717)))</f>
        <v/>
      </c>
      <c r="N717" s="92" t="str">
        <f>IF($AG717="","",INDEX(V_IFRS,INDEX($AB$8:$AB$1407,$AG717)))</f>
        <v/>
      </c>
      <c r="O717" s="92" t="str">
        <f>IF($AG717="","",INDEX($AL$8:$AL$21,INDEX($AC$8:$AC$1407,$AG717)+1))</f>
        <v/>
      </c>
      <c r="P717" s="109" t="str">
        <f>IF($AG717="","",INDEX($AD$8:$AD$1407,$AG717))</f>
        <v/>
      </c>
      <c r="Q717" s="92" t="str">
        <f>IF($AG717="","",INDEX($AM$8:$AM$21,INDEX($AC$8:$AC$1407,$AG717)+1))</f>
        <v/>
      </c>
      <c r="R717" s="92" t="str">
        <f>IF($AG717="","",IF($G717&gt;0,P_ToelCorrectie&amp;"",""))</f>
        <v/>
      </c>
      <c r="S717" s="15" t="str">
        <f>IF(J717="","",J717&amp;"|"&amp;E717&amp;"|"&amp;F717&amp;"|"&amp;I717&amp;"|"&amp;O717)</f>
        <v/>
      </c>
      <c r="T717" s="111" t="str">
        <f>IF(S717="","",IF(COUNTIFS(L_Sleutel,S717,L_Actief,1)=0,"",SUMIFS(L_Waarde,L_Sleutel,S717,L_Actief,1)))</f>
        <v/>
      </c>
      <c r="U717" s="111">
        <f>IF(OR(S717="",T717=""),0,P717-T717)</f>
        <v>0</v>
      </c>
      <c r="AB717" s="112" t="n">
        <v>51</v>
      </c>
      <c r="AC717" s="112" t="n">
        <v>9</v>
      </c>
      <c r="AD717" s="112" t="str">
        <f>VERW_Project!BR56</f>
        <v/>
      </c>
      <c r="AE717" s="112">
        <f>IF(AND(VERW_Project!$A56&lt;&gt;"",ISNUMBER(AD717)),1,0)</f>
        <v>0</v>
      </c>
      <c r="AF717" s="112" t="str">
        <f>IF(AE717=1,SUM($AE$8:AE717),"")</f>
        <v/>
      </c>
      <c r="AG717" t="str">
        <f>IFERROR(MATCH(710,$AF$8:$AF$1407,0),"")</f>
        <v/>
      </c>
    </row>
    <row r="718">
      <c r="A718" s="92" t="str">
        <f>IF($AG718="","",P_ImportID)</f>
        <v/>
      </c>
      <c r="B718" s="92" t="str">
        <f>IF($AG718="","",IF(INDEX($AN$8:$AN$21,INDEX($AC$8:$AC$1407,$AG718)+1)="Z",P_BronZ,P_BronE))</f>
        <v/>
      </c>
      <c r="C718" s="108" t="str">
        <f>IF($AG718="","",P_Importdatum)</f>
        <v/>
      </c>
      <c r="D718" s="92" t="str">
        <f>IF($AG718="","",P_StatusVastleg)</f>
        <v/>
      </c>
      <c r="E718" s="92" t="str">
        <f>IF($AG718="","",P_UploadVJ)</f>
        <v/>
      </c>
      <c r="F718" s="92" t="str">
        <f>IF($AG718="","",P_UploadVersie)</f>
        <v/>
      </c>
      <c r="G718" s="92" t="str">
        <f>IF($AG718="","",IF(COUNTIFS(L_Sleutel,$S718,L_Status,"Vastgesteld")=0,0,_xlfn.MAXIFS(L_Revisie,L_Sleutel,$S718,L_Status,"Vastgesteld")+1))</f>
        <v/>
      </c>
      <c r="H718" s="108" t="str">
        <f>IF($AG718="","",P_Peildatum)</f>
        <v/>
      </c>
      <c r="I718" s="92" t="str">
        <f>IF($AG718="","",P_RJ+INDEX($AK$8:$AK$21,INDEX($AC$8:$AC$1407,$AG718)+1))</f>
        <v/>
      </c>
      <c r="J718" s="92" t="str">
        <f>IF($AG718="","",INDEX(V_WBS,INDEX($AB$8:$AB$1407,$AG718)))</f>
        <v/>
      </c>
      <c r="K718" s="92" t="str">
        <f>IF($AG718="","",INDEX(V_Projdef,INDEX($AB$8:$AB$1407,$AG718)))</f>
        <v/>
      </c>
      <c r="L718" s="92" t="str">
        <f>IF($AG718="","",INDEX(V_Naam,INDEX($AB$8:$AB$1407,$AG718)))</f>
        <v/>
      </c>
      <c r="M718" s="92" t="str">
        <f>IF($AG718="","",INDEX(V_Type,INDEX($AB$8:$AB$1407,$AG718)))</f>
        <v/>
      </c>
      <c r="N718" s="92" t="str">
        <f>IF($AG718="","",INDEX(V_IFRS,INDEX($AB$8:$AB$1407,$AG718)))</f>
        <v/>
      </c>
      <c r="O718" s="92" t="str">
        <f>IF($AG718="","",INDEX($AL$8:$AL$21,INDEX($AC$8:$AC$1407,$AG718)+1))</f>
        <v/>
      </c>
      <c r="P718" s="109" t="str">
        <f>IF($AG718="","",INDEX($AD$8:$AD$1407,$AG718))</f>
        <v/>
      </c>
      <c r="Q718" s="92" t="str">
        <f>IF($AG718="","",INDEX($AM$8:$AM$21,INDEX($AC$8:$AC$1407,$AG718)+1))</f>
        <v/>
      </c>
      <c r="R718" s="92" t="str">
        <f>IF($AG718="","",IF($G718&gt;0,P_ToelCorrectie&amp;"",""))</f>
        <v/>
      </c>
      <c r="S718" s="15" t="str">
        <f>IF(J718="","",J718&amp;"|"&amp;E718&amp;"|"&amp;F718&amp;"|"&amp;I718&amp;"|"&amp;O718)</f>
        <v/>
      </c>
      <c r="T718" s="111" t="str">
        <f>IF(S718="","",IF(COUNTIFS(L_Sleutel,S718,L_Actief,1)=0,"",SUMIFS(L_Waarde,L_Sleutel,S718,L_Actief,1)))</f>
        <v/>
      </c>
      <c r="U718" s="111">
        <f>IF(OR(S718="",T718=""),0,P718-T718)</f>
        <v>0</v>
      </c>
      <c r="AB718" s="112" t="n">
        <v>51</v>
      </c>
      <c r="AC718" s="112" t="n">
        <v>10</v>
      </c>
      <c r="AD718" s="112" t="str">
        <f>VERW_Project!BS56</f>
        <v/>
      </c>
      <c r="AE718" s="112">
        <f>IF(AND(VERW_Project!$A56&lt;&gt;"",ISNUMBER(AD718)),1,0)</f>
        <v>0</v>
      </c>
      <c r="AF718" s="112" t="str">
        <f>IF(AE718=1,SUM($AE$8:AE718),"")</f>
        <v/>
      </c>
      <c r="AG718" t="str">
        <f>IFERROR(MATCH(711,$AF$8:$AF$1407,0),"")</f>
        <v/>
      </c>
    </row>
    <row r="719">
      <c r="A719" s="92" t="str">
        <f>IF($AG719="","",P_ImportID)</f>
        <v/>
      </c>
      <c r="B719" s="92" t="str">
        <f>IF($AG719="","",IF(INDEX($AN$8:$AN$21,INDEX($AC$8:$AC$1407,$AG719)+1)="Z",P_BronZ,P_BronE))</f>
        <v/>
      </c>
      <c r="C719" s="108" t="str">
        <f>IF($AG719="","",P_Importdatum)</f>
        <v/>
      </c>
      <c r="D719" s="92" t="str">
        <f>IF($AG719="","",P_StatusVastleg)</f>
        <v/>
      </c>
      <c r="E719" s="92" t="str">
        <f>IF($AG719="","",P_UploadVJ)</f>
        <v/>
      </c>
      <c r="F719" s="92" t="str">
        <f>IF($AG719="","",P_UploadVersie)</f>
        <v/>
      </c>
      <c r="G719" s="92" t="str">
        <f>IF($AG719="","",IF(COUNTIFS(L_Sleutel,$S719,L_Status,"Vastgesteld")=0,0,_xlfn.MAXIFS(L_Revisie,L_Sleutel,$S719,L_Status,"Vastgesteld")+1))</f>
        <v/>
      </c>
      <c r="H719" s="108" t="str">
        <f>IF($AG719="","",P_Peildatum)</f>
        <v/>
      </c>
      <c r="I719" s="92" t="str">
        <f>IF($AG719="","",P_RJ+INDEX($AK$8:$AK$21,INDEX($AC$8:$AC$1407,$AG719)+1))</f>
        <v/>
      </c>
      <c r="J719" s="92" t="str">
        <f>IF($AG719="","",INDEX(V_WBS,INDEX($AB$8:$AB$1407,$AG719)))</f>
        <v/>
      </c>
      <c r="K719" s="92" t="str">
        <f>IF($AG719="","",INDEX(V_Projdef,INDEX($AB$8:$AB$1407,$AG719)))</f>
        <v/>
      </c>
      <c r="L719" s="92" t="str">
        <f>IF($AG719="","",INDEX(V_Naam,INDEX($AB$8:$AB$1407,$AG719)))</f>
        <v/>
      </c>
      <c r="M719" s="92" t="str">
        <f>IF($AG719="","",INDEX(V_Type,INDEX($AB$8:$AB$1407,$AG719)))</f>
        <v/>
      </c>
      <c r="N719" s="92" t="str">
        <f>IF($AG719="","",INDEX(V_IFRS,INDEX($AB$8:$AB$1407,$AG719)))</f>
        <v/>
      </c>
      <c r="O719" s="92" t="str">
        <f>IF($AG719="","",INDEX($AL$8:$AL$21,INDEX($AC$8:$AC$1407,$AG719)+1))</f>
        <v/>
      </c>
      <c r="P719" s="109" t="str">
        <f>IF($AG719="","",INDEX($AD$8:$AD$1407,$AG719))</f>
        <v/>
      </c>
      <c r="Q719" s="92" t="str">
        <f>IF($AG719="","",INDEX($AM$8:$AM$21,INDEX($AC$8:$AC$1407,$AG719)+1))</f>
        <v/>
      </c>
      <c r="R719" s="92" t="str">
        <f>IF($AG719="","",IF($G719&gt;0,P_ToelCorrectie&amp;"",""))</f>
        <v/>
      </c>
      <c r="S719" s="15" t="str">
        <f>IF(J719="","",J719&amp;"|"&amp;E719&amp;"|"&amp;F719&amp;"|"&amp;I719&amp;"|"&amp;O719)</f>
        <v/>
      </c>
      <c r="T719" s="111" t="str">
        <f>IF(S719="","",IF(COUNTIFS(L_Sleutel,S719,L_Actief,1)=0,"",SUMIFS(L_Waarde,L_Sleutel,S719,L_Actief,1)))</f>
        <v/>
      </c>
      <c r="U719" s="111">
        <f>IF(OR(S719="",T719=""),0,P719-T719)</f>
        <v>0</v>
      </c>
      <c r="AB719" s="112" t="n">
        <v>51</v>
      </c>
      <c r="AC719" s="112" t="n">
        <v>11</v>
      </c>
      <c r="AD719" s="112" t="str">
        <f>VERW_Project!BT56</f>
        <v/>
      </c>
      <c r="AE719" s="112">
        <f>IF(AND(VERW_Project!$A56&lt;&gt;"",ISNUMBER(AD719)),1,0)</f>
        <v>0</v>
      </c>
      <c r="AF719" s="112" t="str">
        <f>IF(AE719=1,SUM($AE$8:AE719),"")</f>
        <v/>
      </c>
      <c r="AG719" t="str">
        <f>IFERROR(MATCH(712,$AF$8:$AF$1407,0),"")</f>
        <v/>
      </c>
    </row>
    <row r="720">
      <c r="A720" s="92" t="str">
        <f>IF($AG720="","",P_ImportID)</f>
        <v/>
      </c>
      <c r="B720" s="92" t="str">
        <f>IF($AG720="","",IF(INDEX($AN$8:$AN$21,INDEX($AC$8:$AC$1407,$AG720)+1)="Z",P_BronZ,P_BronE))</f>
        <v/>
      </c>
      <c r="C720" s="108" t="str">
        <f>IF($AG720="","",P_Importdatum)</f>
        <v/>
      </c>
      <c r="D720" s="92" t="str">
        <f>IF($AG720="","",P_StatusVastleg)</f>
        <v/>
      </c>
      <c r="E720" s="92" t="str">
        <f>IF($AG720="","",P_UploadVJ)</f>
        <v/>
      </c>
      <c r="F720" s="92" t="str">
        <f>IF($AG720="","",P_UploadVersie)</f>
        <v/>
      </c>
      <c r="G720" s="92" t="str">
        <f>IF($AG720="","",IF(COUNTIFS(L_Sleutel,$S720,L_Status,"Vastgesteld")=0,0,_xlfn.MAXIFS(L_Revisie,L_Sleutel,$S720,L_Status,"Vastgesteld")+1))</f>
        <v/>
      </c>
      <c r="H720" s="108" t="str">
        <f>IF($AG720="","",P_Peildatum)</f>
        <v/>
      </c>
      <c r="I720" s="92" t="str">
        <f>IF($AG720="","",P_RJ+INDEX($AK$8:$AK$21,INDEX($AC$8:$AC$1407,$AG720)+1))</f>
        <v/>
      </c>
      <c r="J720" s="92" t="str">
        <f>IF($AG720="","",INDEX(V_WBS,INDEX($AB$8:$AB$1407,$AG720)))</f>
        <v/>
      </c>
      <c r="K720" s="92" t="str">
        <f>IF($AG720="","",INDEX(V_Projdef,INDEX($AB$8:$AB$1407,$AG720)))</f>
        <v/>
      </c>
      <c r="L720" s="92" t="str">
        <f>IF($AG720="","",INDEX(V_Naam,INDEX($AB$8:$AB$1407,$AG720)))</f>
        <v/>
      </c>
      <c r="M720" s="92" t="str">
        <f>IF($AG720="","",INDEX(V_Type,INDEX($AB$8:$AB$1407,$AG720)))</f>
        <v/>
      </c>
      <c r="N720" s="92" t="str">
        <f>IF($AG720="","",INDEX(V_IFRS,INDEX($AB$8:$AB$1407,$AG720)))</f>
        <v/>
      </c>
      <c r="O720" s="92" t="str">
        <f>IF($AG720="","",INDEX($AL$8:$AL$21,INDEX($AC$8:$AC$1407,$AG720)+1))</f>
        <v/>
      </c>
      <c r="P720" s="109" t="str">
        <f>IF($AG720="","",INDEX($AD$8:$AD$1407,$AG720))</f>
        <v/>
      </c>
      <c r="Q720" s="92" t="str">
        <f>IF($AG720="","",INDEX($AM$8:$AM$21,INDEX($AC$8:$AC$1407,$AG720)+1))</f>
        <v/>
      </c>
      <c r="R720" s="92" t="str">
        <f>IF($AG720="","",IF($G720&gt;0,P_ToelCorrectie&amp;"",""))</f>
        <v/>
      </c>
      <c r="S720" s="15" t="str">
        <f>IF(J720="","",J720&amp;"|"&amp;E720&amp;"|"&amp;F720&amp;"|"&amp;I720&amp;"|"&amp;O720)</f>
        <v/>
      </c>
      <c r="T720" s="111" t="str">
        <f>IF(S720="","",IF(COUNTIFS(L_Sleutel,S720,L_Actief,1)=0,"",SUMIFS(L_Waarde,L_Sleutel,S720,L_Actief,1)))</f>
        <v/>
      </c>
      <c r="U720" s="111">
        <f>IF(OR(S720="",T720=""),0,P720-T720)</f>
        <v>0</v>
      </c>
      <c r="AB720" s="112" t="n">
        <v>51</v>
      </c>
      <c r="AC720" s="112" t="n">
        <v>12</v>
      </c>
      <c r="AD720" s="112" t="str">
        <f>VERW_Project!BU56</f>
        <v/>
      </c>
      <c r="AE720" s="112">
        <f>IF(AND(VERW_Project!$A56&lt;&gt;"",ISNUMBER(AD720)),1,0)</f>
        <v>0</v>
      </c>
      <c r="AF720" s="112" t="str">
        <f>IF(AE720=1,SUM($AE$8:AE720),"")</f>
        <v/>
      </c>
      <c r="AG720" t="str">
        <f>IFERROR(MATCH(713,$AF$8:$AF$1407,0),"")</f>
        <v/>
      </c>
    </row>
    <row r="721">
      <c r="A721" s="92" t="str">
        <f>IF($AG721="","",P_ImportID)</f>
        <v/>
      </c>
      <c r="B721" s="92" t="str">
        <f>IF($AG721="","",IF(INDEX($AN$8:$AN$21,INDEX($AC$8:$AC$1407,$AG721)+1)="Z",P_BronZ,P_BronE))</f>
        <v/>
      </c>
      <c r="C721" s="108" t="str">
        <f>IF($AG721="","",P_Importdatum)</f>
        <v/>
      </c>
      <c r="D721" s="92" t="str">
        <f>IF($AG721="","",P_StatusVastleg)</f>
        <v/>
      </c>
      <c r="E721" s="92" t="str">
        <f>IF($AG721="","",P_UploadVJ)</f>
        <v/>
      </c>
      <c r="F721" s="92" t="str">
        <f>IF($AG721="","",P_UploadVersie)</f>
        <v/>
      </c>
      <c r="G721" s="92" t="str">
        <f>IF($AG721="","",IF(COUNTIFS(L_Sleutel,$S721,L_Status,"Vastgesteld")=0,0,_xlfn.MAXIFS(L_Revisie,L_Sleutel,$S721,L_Status,"Vastgesteld")+1))</f>
        <v/>
      </c>
      <c r="H721" s="108" t="str">
        <f>IF($AG721="","",P_Peildatum)</f>
        <v/>
      </c>
      <c r="I721" s="92" t="str">
        <f>IF($AG721="","",P_RJ+INDEX($AK$8:$AK$21,INDEX($AC$8:$AC$1407,$AG721)+1))</f>
        <v/>
      </c>
      <c r="J721" s="92" t="str">
        <f>IF($AG721="","",INDEX(V_WBS,INDEX($AB$8:$AB$1407,$AG721)))</f>
        <v/>
      </c>
      <c r="K721" s="92" t="str">
        <f>IF($AG721="","",INDEX(V_Projdef,INDEX($AB$8:$AB$1407,$AG721)))</f>
        <v/>
      </c>
      <c r="L721" s="92" t="str">
        <f>IF($AG721="","",INDEX(V_Naam,INDEX($AB$8:$AB$1407,$AG721)))</f>
        <v/>
      </c>
      <c r="M721" s="92" t="str">
        <f>IF($AG721="","",INDEX(V_Type,INDEX($AB$8:$AB$1407,$AG721)))</f>
        <v/>
      </c>
      <c r="N721" s="92" t="str">
        <f>IF($AG721="","",INDEX(V_IFRS,INDEX($AB$8:$AB$1407,$AG721)))</f>
        <v/>
      </c>
      <c r="O721" s="92" t="str">
        <f>IF($AG721="","",INDEX($AL$8:$AL$21,INDEX($AC$8:$AC$1407,$AG721)+1))</f>
        <v/>
      </c>
      <c r="P721" s="109" t="str">
        <f>IF($AG721="","",INDEX($AD$8:$AD$1407,$AG721))</f>
        <v/>
      </c>
      <c r="Q721" s="92" t="str">
        <f>IF($AG721="","",INDEX($AM$8:$AM$21,INDEX($AC$8:$AC$1407,$AG721)+1))</f>
        <v/>
      </c>
      <c r="R721" s="92" t="str">
        <f>IF($AG721="","",IF($G721&gt;0,P_ToelCorrectie&amp;"",""))</f>
        <v/>
      </c>
      <c r="S721" s="15" t="str">
        <f>IF(J721="","",J721&amp;"|"&amp;E721&amp;"|"&amp;F721&amp;"|"&amp;I721&amp;"|"&amp;O721)</f>
        <v/>
      </c>
      <c r="T721" s="111" t="str">
        <f>IF(S721="","",IF(COUNTIFS(L_Sleutel,S721,L_Actief,1)=0,"",SUMIFS(L_Waarde,L_Sleutel,S721,L_Actief,1)))</f>
        <v/>
      </c>
      <c r="U721" s="111">
        <f>IF(OR(S721="",T721=""),0,P721-T721)</f>
        <v>0</v>
      </c>
      <c r="AB721" s="112" t="n">
        <v>51</v>
      </c>
      <c r="AC721" s="112" t="n">
        <v>13</v>
      </c>
      <c r="AD721" s="112" t="str">
        <f>VERW_Project!BX56</f>
        <v/>
      </c>
      <c r="AE721" s="112">
        <f>IF(AND(VERW_Project!$A56&lt;&gt;"",ISNUMBER(AD721)),1,0)</f>
        <v>0</v>
      </c>
      <c r="AF721" s="112" t="str">
        <f>IF(AE721=1,SUM($AE$8:AE721),"")</f>
        <v/>
      </c>
      <c r="AG721" t="str">
        <f>IFERROR(MATCH(714,$AF$8:$AF$1407,0),"")</f>
        <v/>
      </c>
    </row>
    <row r="722">
      <c r="A722" s="92" t="str">
        <f>IF($AG722="","",P_ImportID)</f>
        <v/>
      </c>
      <c r="B722" s="92" t="str">
        <f>IF($AG722="","",IF(INDEX($AN$8:$AN$21,INDEX($AC$8:$AC$1407,$AG722)+1)="Z",P_BronZ,P_BronE))</f>
        <v/>
      </c>
      <c r="C722" s="108" t="str">
        <f>IF($AG722="","",P_Importdatum)</f>
        <v/>
      </c>
      <c r="D722" s="92" t="str">
        <f>IF($AG722="","",P_StatusVastleg)</f>
        <v/>
      </c>
      <c r="E722" s="92" t="str">
        <f>IF($AG722="","",P_UploadVJ)</f>
        <v/>
      </c>
      <c r="F722" s="92" t="str">
        <f>IF($AG722="","",P_UploadVersie)</f>
        <v/>
      </c>
      <c r="G722" s="92" t="str">
        <f>IF($AG722="","",IF(COUNTIFS(L_Sleutel,$S722,L_Status,"Vastgesteld")=0,0,_xlfn.MAXIFS(L_Revisie,L_Sleutel,$S722,L_Status,"Vastgesteld")+1))</f>
        <v/>
      </c>
      <c r="H722" s="108" t="str">
        <f>IF($AG722="","",P_Peildatum)</f>
        <v/>
      </c>
      <c r="I722" s="92" t="str">
        <f>IF($AG722="","",P_RJ+INDEX($AK$8:$AK$21,INDEX($AC$8:$AC$1407,$AG722)+1))</f>
        <v/>
      </c>
      <c r="J722" s="92" t="str">
        <f>IF($AG722="","",INDEX(V_WBS,INDEX($AB$8:$AB$1407,$AG722)))</f>
        <v/>
      </c>
      <c r="K722" s="92" t="str">
        <f>IF($AG722="","",INDEX(V_Projdef,INDEX($AB$8:$AB$1407,$AG722)))</f>
        <v/>
      </c>
      <c r="L722" s="92" t="str">
        <f>IF($AG722="","",INDEX(V_Naam,INDEX($AB$8:$AB$1407,$AG722)))</f>
        <v/>
      </c>
      <c r="M722" s="92" t="str">
        <f>IF($AG722="","",INDEX(V_Type,INDEX($AB$8:$AB$1407,$AG722)))</f>
        <v/>
      </c>
      <c r="N722" s="92" t="str">
        <f>IF($AG722="","",INDEX(V_IFRS,INDEX($AB$8:$AB$1407,$AG722)))</f>
        <v/>
      </c>
      <c r="O722" s="92" t="str">
        <f>IF($AG722="","",INDEX($AL$8:$AL$21,INDEX($AC$8:$AC$1407,$AG722)+1))</f>
        <v/>
      </c>
      <c r="P722" s="109" t="str">
        <f>IF($AG722="","",INDEX($AD$8:$AD$1407,$AG722))</f>
        <v/>
      </c>
      <c r="Q722" s="92" t="str">
        <f>IF($AG722="","",INDEX($AM$8:$AM$21,INDEX($AC$8:$AC$1407,$AG722)+1))</f>
        <v/>
      </c>
      <c r="R722" s="92" t="str">
        <f>IF($AG722="","",IF($G722&gt;0,P_ToelCorrectie&amp;"",""))</f>
        <v/>
      </c>
      <c r="S722" s="15" t="str">
        <f>IF(J722="","",J722&amp;"|"&amp;E722&amp;"|"&amp;F722&amp;"|"&amp;I722&amp;"|"&amp;O722)</f>
        <v/>
      </c>
      <c r="T722" s="111" t="str">
        <f>IF(S722="","",IF(COUNTIFS(L_Sleutel,S722,L_Actief,1)=0,"",SUMIFS(L_Waarde,L_Sleutel,S722,L_Actief,1)))</f>
        <v/>
      </c>
      <c r="U722" s="111">
        <f>IF(OR(S722="",T722=""),0,P722-T722)</f>
        <v>0</v>
      </c>
      <c r="AB722" s="112" t="n">
        <v>52</v>
      </c>
      <c r="AC722" s="112" t="n">
        <v>0</v>
      </c>
      <c r="AD722" s="112" t="str">
        <f>VERW_Project!P57</f>
        <v/>
      </c>
      <c r="AE722" s="112">
        <f>IF(AND(VERW_Project!$A57&lt;&gt;"",ISNUMBER(AD722)),1,0)</f>
        <v>0</v>
      </c>
      <c r="AF722" s="112" t="str">
        <f>IF(AE722=1,SUM($AE$8:AE722),"")</f>
        <v/>
      </c>
      <c r="AG722" t="str">
        <f>IFERROR(MATCH(715,$AF$8:$AF$1407,0),"")</f>
        <v/>
      </c>
    </row>
    <row r="723">
      <c r="A723" s="92" t="str">
        <f>IF($AG723="","",P_ImportID)</f>
        <v/>
      </c>
      <c r="B723" s="92" t="str">
        <f>IF($AG723="","",IF(INDEX($AN$8:$AN$21,INDEX($AC$8:$AC$1407,$AG723)+1)="Z",P_BronZ,P_BronE))</f>
        <v/>
      </c>
      <c r="C723" s="108" t="str">
        <f>IF($AG723="","",P_Importdatum)</f>
        <v/>
      </c>
      <c r="D723" s="92" t="str">
        <f>IF($AG723="","",P_StatusVastleg)</f>
        <v/>
      </c>
      <c r="E723" s="92" t="str">
        <f>IF($AG723="","",P_UploadVJ)</f>
        <v/>
      </c>
      <c r="F723" s="92" t="str">
        <f>IF($AG723="","",P_UploadVersie)</f>
        <v/>
      </c>
      <c r="G723" s="92" t="str">
        <f>IF($AG723="","",IF(COUNTIFS(L_Sleutel,$S723,L_Status,"Vastgesteld")=0,0,_xlfn.MAXIFS(L_Revisie,L_Sleutel,$S723,L_Status,"Vastgesteld")+1))</f>
        <v/>
      </c>
      <c r="H723" s="108" t="str">
        <f>IF($AG723="","",P_Peildatum)</f>
        <v/>
      </c>
      <c r="I723" s="92" t="str">
        <f>IF($AG723="","",P_RJ+INDEX($AK$8:$AK$21,INDEX($AC$8:$AC$1407,$AG723)+1))</f>
        <v/>
      </c>
      <c r="J723" s="92" t="str">
        <f>IF($AG723="","",INDEX(V_WBS,INDEX($AB$8:$AB$1407,$AG723)))</f>
        <v/>
      </c>
      <c r="K723" s="92" t="str">
        <f>IF($AG723="","",INDEX(V_Projdef,INDEX($AB$8:$AB$1407,$AG723)))</f>
        <v/>
      </c>
      <c r="L723" s="92" t="str">
        <f>IF($AG723="","",INDEX(V_Naam,INDEX($AB$8:$AB$1407,$AG723)))</f>
        <v/>
      </c>
      <c r="M723" s="92" t="str">
        <f>IF($AG723="","",INDEX(V_Type,INDEX($AB$8:$AB$1407,$AG723)))</f>
        <v/>
      </c>
      <c r="N723" s="92" t="str">
        <f>IF($AG723="","",INDEX(V_IFRS,INDEX($AB$8:$AB$1407,$AG723)))</f>
        <v/>
      </c>
      <c r="O723" s="92" t="str">
        <f>IF($AG723="","",INDEX($AL$8:$AL$21,INDEX($AC$8:$AC$1407,$AG723)+1))</f>
        <v/>
      </c>
      <c r="P723" s="109" t="str">
        <f>IF($AG723="","",INDEX($AD$8:$AD$1407,$AG723))</f>
        <v/>
      </c>
      <c r="Q723" s="92" t="str">
        <f>IF($AG723="","",INDEX($AM$8:$AM$21,INDEX($AC$8:$AC$1407,$AG723)+1))</f>
        <v/>
      </c>
      <c r="R723" s="92" t="str">
        <f>IF($AG723="","",IF($G723&gt;0,P_ToelCorrectie&amp;"",""))</f>
        <v/>
      </c>
      <c r="S723" s="15" t="str">
        <f>IF(J723="","",J723&amp;"|"&amp;E723&amp;"|"&amp;F723&amp;"|"&amp;I723&amp;"|"&amp;O723)</f>
        <v/>
      </c>
      <c r="T723" s="111" t="str">
        <f>IF(S723="","",IF(COUNTIFS(L_Sleutel,S723,L_Actief,1)=0,"",SUMIFS(L_Waarde,L_Sleutel,S723,L_Actief,1)))</f>
        <v/>
      </c>
      <c r="U723" s="111">
        <f>IF(OR(S723="",T723=""),0,P723-T723)</f>
        <v>0</v>
      </c>
      <c r="AB723" s="112" t="n">
        <v>52</v>
      </c>
      <c r="AC723" s="112" t="n">
        <v>1</v>
      </c>
      <c r="AD723" s="112" t="str">
        <f>VERW_Project!Q57</f>
        <v/>
      </c>
      <c r="AE723" s="112">
        <f>IF(AND(VERW_Project!$A57&lt;&gt;"",ISNUMBER(AD723)),1,0)</f>
        <v>0</v>
      </c>
      <c r="AF723" s="112" t="str">
        <f>IF(AE723=1,SUM($AE$8:AE723),"")</f>
        <v/>
      </c>
      <c r="AG723" t="str">
        <f>IFERROR(MATCH(716,$AF$8:$AF$1407,0),"")</f>
        <v/>
      </c>
    </row>
    <row r="724">
      <c r="A724" s="92" t="str">
        <f>IF($AG724="","",P_ImportID)</f>
        <v/>
      </c>
      <c r="B724" s="92" t="str">
        <f>IF($AG724="","",IF(INDEX($AN$8:$AN$21,INDEX($AC$8:$AC$1407,$AG724)+1)="Z",P_BronZ,P_BronE))</f>
        <v/>
      </c>
      <c r="C724" s="108" t="str">
        <f>IF($AG724="","",P_Importdatum)</f>
        <v/>
      </c>
      <c r="D724" s="92" t="str">
        <f>IF($AG724="","",P_StatusVastleg)</f>
        <v/>
      </c>
      <c r="E724" s="92" t="str">
        <f>IF($AG724="","",P_UploadVJ)</f>
        <v/>
      </c>
      <c r="F724" s="92" t="str">
        <f>IF($AG724="","",P_UploadVersie)</f>
        <v/>
      </c>
      <c r="G724" s="92" t="str">
        <f>IF($AG724="","",IF(COUNTIFS(L_Sleutel,$S724,L_Status,"Vastgesteld")=0,0,_xlfn.MAXIFS(L_Revisie,L_Sleutel,$S724,L_Status,"Vastgesteld")+1))</f>
        <v/>
      </c>
      <c r="H724" s="108" t="str">
        <f>IF($AG724="","",P_Peildatum)</f>
        <v/>
      </c>
      <c r="I724" s="92" t="str">
        <f>IF($AG724="","",P_RJ+INDEX($AK$8:$AK$21,INDEX($AC$8:$AC$1407,$AG724)+1))</f>
        <v/>
      </c>
      <c r="J724" s="92" t="str">
        <f>IF($AG724="","",INDEX(V_WBS,INDEX($AB$8:$AB$1407,$AG724)))</f>
        <v/>
      </c>
      <c r="K724" s="92" t="str">
        <f>IF($AG724="","",INDEX(V_Projdef,INDEX($AB$8:$AB$1407,$AG724)))</f>
        <v/>
      </c>
      <c r="L724" s="92" t="str">
        <f>IF($AG724="","",INDEX(V_Naam,INDEX($AB$8:$AB$1407,$AG724)))</f>
        <v/>
      </c>
      <c r="M724" s="92" t="str">
        <f>IF($AG724="","",INDEX(V_Type,INDEX($AB$8:$AB$1407,$AG724)))</f>
        <v/>
      </c>
      <c r="N724" s="92" t="str">
        <f>IF($AG724="","",INDEX(V_IFRS,INDEX($AB$8:$AB$1407,$AG724)))</f>
        <v/>
      </c>
      <c r="O724" s="92" t="str">
        <f>IF($AG724="","",INDEX($AL$8:$AL$21,INDEX($AC$8:$AC$1407,$AG724)+1))</f>
        <v/>
      </c>
      <c r="P724" s="109" t="str">
        <f>IF($AG724="","",INDEX($AD$8:$AD$1407,$AG724))</f>
        <v/>
      </c>
      <c r="Q724" s="92" t="str">
        <f>IF($AG724="","",INDEX($AM$8:$AM$21,INDEX($AC$8:$AC$1407,$AG724)+1))</f>
        <v/>
      </c>
      <c r="R724" s="92" t="str">
        <f>IF($AG724="","",IF($G724&gt;0,P_ToelCorrectie&amp;"",""))</f>
        <v/>
      </c>
      <c r="S724" s="15" t="str">
        <f>IF(J724="","",J724&amp;"|"&amp;E724&amp;"|"&amp;F724&amp;"|"&amp;I724&amp;"|"&amp;O724)</f>
        <v/>
      </c>
      <c r="T724" s="111" t="str">
        <f>IF(S724="","",IF(COUNTIFS(L_Sleutel,S724,L_Actief,1)=0,"",SUMIFS(L_Waarde,L_Sleutel,S724,L_Actief,1)))</f>
        <v/>
      </c>
      <c r="U724" s="111">
        <f>IF(OR(S724="",T724=""),0,P724-T724)</f>
        <v>0</v>
      </c>
      <c r="AB724" s="112" t="n">
        <v>52</v>
      </c>
      <c r="AC724" s="112" t="n">
        <v>2</v>
      </c>
      <c r="AD724" s="112" t="str">
        <f>VERW_Project!L57</f>
        <v/>
      </c>
      <c r="AE724" s="112">
        <f>IF(AND(VERW_Project!$A57&lt;&gt;"",ISNUMBER(AD724)),1,0)</f>
        <v>0</v>
      </c>
      <c r="AF724" s="112" t="str">
        <f>IF(AE724=1,SUM($AE$8:AE724),"")</f>
        <v/>
      </c>
      <c r="AG724" t="str">
        <f>IFERROR(MATCH(717,$AF$8:$AF$1407,0),"")</f>
        <v/>
      </c>
    </row>
    <row r="725">
      <c r="A725" s="92" t="str">
        <f>IF($AG725="","",P_ImportID)</f>
        <v/>
      </c>
      <c r="B725" s="92" t="str">
        <f>IF($AG725="","",IF(INDEX($AN$8:$AN$21,INDEX($AC$8:$AC$1407,$AG725)+1)="Z",P_BronZ,P_BronE))</f>
        <v/>
      </c>
      <c r="C725" s="108" t="str">
        <f>IF($AG725="","",P_Importdatum)</f>
        <v/>
      </c>
      <c r="D725" s="92" t="str">
        <f>IF($AG725="","",P_StatusVastleg)</f>
        <v/>
      </c>
      <c r="E725" s="92" t="str">
        <f>IF($AG725="","",P_UploadVJ)</f>
        <v/>
      </c>
      <c r="F725" s="92" t="str">
        <f>IF($AG725="","",P_UploadVersie)</f>
        <v/>
      </c>
      <c r="G725" s="92" t="str">
        <f>IF($AG725="","",IF(COUNTIFS(L_Sleutel,$S725,L_Status,"Vastgesteld")=0,0,_xlfn.MAXIFS(L_Revisie,L_Sleutel,$S725,L_Status,"Vastgesteld")+1))</f>
        <v/>
      </c>
      <c r="H725" s="108" t="str">
        <f>IF($AG725="","",P_Peildatum)</f>
        <v/>
      </c>
      <c r="I725" s="92" t="str">
        <f>IF($AG725="","",P_RJ+INDEX($AK$8:$AK$21,INDEX($AC$8:$AC$1407,$AG725)+1))</f>
        <v/>
      </c>
      <c r="J725" s="92" t="str">
        <f>IF($AG725="","",INDEX(V_WBS,INDEX($AB$8:$AB$1407,$AG725)))</f>
        <v/>
      </c>
      <c r="K725" s="92" t="str">
        <f>IF($AG725="","",INDEX(V_Projdef,INDEX($AB$8:$AB$1407,$AG725)))</f>
        <v/>
      </c>
      <c r="L725" s="92" t="str">
        <f>IF($AG725="","",INDEX(V_Naam,INDEX($AB$8:$AB$1407,$AG725)))</f>
        <v/>
      </c>
      <c r="M725" s="92" t="str">
        <f>IF($AG725="","",INDEX(V_Type,INDEX($AB$8:$AB$1407,$AG725)))</f>
        <v/>
      </c>
      <c r="N725" s="92" t="str">
        <f>IF($AG725="","",INDEX(V_IFRS,INDEX($AB$8:$AB$1407,$AG725)))</f>
        <v/>
      </c>
      <c r="O725" s="92" t="str">
        <f>IF($AG725="","",INDEX($AL$8:$AL$21,INDEX($AC$8:$AC$1407,$AG725)+1))</f>
        <v/>
      </c>
      <c r="P725" s="109" t="str">
        <f>IF($AG725="","",INDEX($AD$8:$AD$1407,$AG725))</f>
        <v/>
      </c>
      <c r="Q725" s="92" t="str">
        <f>IF($AG725="","",INDEX($AM$8:$AM$21,INDEX($AC$8:$AC$1407,$AG725)+1))</f>
        <v/>
      </c>
      <c r="R725" s="92" t="str">
        <f>IF($AG725="","",IF($G725&gt;0,P_ToelCorrectie&amp;"",""))</f>
        <v/>
      </c>
      <c r="S725" s="15" t="str">
        <f>IF(J725="","",J725&amp;"|"&amp;E725&amp;"|"&amp;F725&amp;"|"&amp;I725&amp;"|"&amp;O725)</f>
        <v/>
      </c>
      <c r="T725" s="111" t="str">
        <f>IF(S725="","",IF(COUNTIFS(L_Sleutel,S725,L_Actief,1)=0,"",SUMIFS(L_Waarde,L_Sleutel,S725,L_Actief,1)))</f>
        <v/>
      </c>
      <c r="U725" s="111">
        <f>IF(OR(S725="",T725=""),0,P725-T725)</f>
        <v>0</v>
      </c>
      <c r="AB725" s="112" t="n">
        <v>52</v>
      </c>
      <c r="AC725" s="112" t="n">
        <v>3</v>
      </c>
      <c r="AD725" s="112" t="str">
        <f>VERW_Project!M57</f>
        <v/>
      </c>
      <c r="AE725" s="112">
        <f>IF(AND(VERW_Project!$A57&lt;&gt;"",ISNUMBER(AD725)),1,0)</f>
        <v>0</v>
      </c>
      <c r="AF725" s="112" t="str">
        <f>IF(AE725=1,SUM($AE$8:AE725),"")</f>
        <v/>
      </c>
      <c r="AG725" t="str">
        <f>IFERROR(MATCH(718,$AF$8:$AF$1407,0),"")</f>
        <v/>
      </c>
    </row>
    <row r="726">
      <c r="A726" s="92" t="str">
        <f>IF($AG726="","",P_ImportID)</f>
        <v/>
      </c>
      <c r="B726" s="92" t="str">
        <f>IF($AG726="","",IF(INDEX($AN$8:$AN$21,INDEX($AC$8:$AC$1407,$AG726)+1)="Z",P_BronZ,P_BronE))</f>
        <v/>
      </c>
      <c r="C726" s="108" t="str">
        <f>IF($AG726="","",P_Importdatum)</f>
        <v/>
      </c>
      <c r="D726" s="92" t="str">
        <f>IF($AG726="","",P_StatusVastleg)</f>
        <v/>
      </c>
      <c r="E726" s="92" t="str">
        <f>IF($AG726="","",P_UploadVJ)</f>
        <v/>
      </c>
      <c r="F726" s="92" t="str">
        <f>IF($AG726="","",P_UploadVersie)</f>
        <v/>
      </c>
      <c r="G726" s="92" t="str">
        <f>IF($AG726="","",IF(COUNTIFS(L_Sleutel,$S726,L_Status,"Vastgesteld")=0,0,_xlfn.MAXIFS(L_Revisie,L_Sleutel,$S726,L_Status,"Vastgesteld")+1))</f>
        <v/>
      </c>
      <c r="H726" s="108" t="str">
        <f>IF($AG726="","",P_Peildatum)</f>
        <v/>
      </c>
      <c r="I726" s="92" t="str">
        <f>IF($AG726="","",P_RJ+INDEX($AK$8:$AK$21,INDEX($AC$8:$AC$1407,$AG726)+1))</f>
        <v/>
      </c>
      <c r="J726" s="92" t="str">
        <f>IF($AG726="","",INDEX(V_WBS,INDEX($AB$8:$AB$1407,$AG726)))</f>
        <v/>
      </c>
      <c r="K726" s="92" t="str">
        <f>IF($AG726="","",INDEX(V_Projdef,INDEX($AB$8:$AB$1407,$AG726)))</f>
        <v/>
      </c>
      <c r="L726" s="92" t="str">
        <f>IF($AG726="","",INDEX(V_Naam,INDEX($AB$8:$AB$1407,$AG726)))</f>
        <v/>
      </c>
      <c r="M726" s="92" t="str">
        <f>IF($AG726="","",INDEX(V_Type,INDEX($AB$8:$AB$1407,$AG726)))</f>
        <v/>
      </c>
      <c r="N726" s="92" t="str">
        <f>IF($AG726="","",INDEX(V_IFRS,INDEX($AB$8:$AB$1407,$AG726)))</f>
        <v/>
      </c>
      <c r="O726" s="92" t="str">
        <f>IF($AG726="","",INDEX($AL$8:$AL$21,INDEX($AC$8:$AC$1407,$AG726)+1))</f>
        <v/>
      </c>
      <c r="P726" s="109" t="str">
        <f>IF($AG726="","",INDEX($AD$8:$AD$1407,$AG726))</f>
        <v/>
      </c>
      <c r="Q726" s="92" t="str">
        <f>IF($AG726="","",INDEX($AM$8:$AM$21,INDEX($AC$8:$AC$1407,$AG726)+1))</f>
        <v/>
      </c>
      <c r="R726" s="92" t="str">
        <f>IF($AG726="","",IF($G726&gt;0,P_ToelCorrectie&amp;"",""))</f>
        <v/>
      </c>
      <c r="S726" s="15" t="str">
        <f>IF(J726="","",J726&amp;"|"&amp;E726&amp;"|"&amp;F726&amp;"|"&amp;I726&amp;"|"&amp;O726)</f>
        <v/>
      </c>
      <c r="T726" s="111" t="str">
        <f>IF(S726="","",IF(COUNTIFS(L_Sleutel,S726,L_Actief,1)=0,"",SUMIFS(L_Waarde,L_Sleutel,S726,L_Actief,1)))</f>
        <v/>
      </c>
      <c r="U726" s="111">
        <f>IF(OR(S726="",T726=""),0,P726-T726)</f>
        <v>0</v>
      </c>
      <c r="AB726" s="112" t="n">
        <v>52</v>
      </c>
      <c r="AC726" s="112" t="n">
        <v>4</v>
      </c>
      <c r="AD726" s="112" t="str">
        <f>VERW_Project!R57</f>
        <v/>
      </c>
      <c r="AE726" s="112">
        <f>IF(AND(VERW_Project!$A57&lt;&gt;"",ISNUMBER(AD726)),1,0)</f>
        <v>0</v>
      </c>
      <c r="AF726" s="112" t="str">
        <f>IF(AE726=1,SUM($AE$8:AE726),"")</f>
        <v/>
      </c>
      <c r="AG726" t="str">
        <f>IFERROR(MATCH(719,$AF$8:$AF$1407,0),"")</f>
        <v/>
      </c>
    </row>
    <row r="727">
      <c r="A727" s="92" t="str">
        <f>IF($AG727="","",P_ImportID)</f>
        <v/>
      </c>
      <c r="B727" s="92" t="str">
        <f>IF($AG727="","",IF(INDEX($AN$8:$AN$21,INDEX($AC$8:$AC$1407,$AG727)+1)="Z",P_BronZ,P_BronE))</f>
        <v/>
      </c>
      <c r="C727" s="108" t="str">
        <f>IF($AG727="","",P_Importdatum)</f>
        <v/>
      </c>
      <c r="D727" s="92" t="str">
        <f>IF($AG727="","",P_StatusVastleg)</f>
        <v/>
      </c>
      <c r="E727" s="92" t="str">
        <f>IF($AG727="","",P_UploadVJ)</f>
        <v/>
      </c>
      <c r="F727" s="92" t="str">
        <f>IF($AG727="","",P_UploadVersie)</f>
        <v/>
      </c>
      <c r="G727" s="92" t="str">
        <f>IF($AG727="","",IF(COUNTIFS(L_Sleutel,$S727,L_Status,"Vastgesteld")=0,0,_xlfn.MAXIFS(L_Revisie,L_Sleutel,$S727,L_Status,"Vastgesteld")+1))</f>
        <v/>
      </c>
      <c r="H727" s="108" t="str">
        <f>IF($AG727="","",P_Peildatum)</f>
        <v/>
      </c>
      <c r="I727" s="92" t="str">
        <f>IF($AG727="","",P_RJ+INDEX($AK$8:$AK$21,INDEX($AC$8:$AC$1407,$AG727)+1))</f>
        <v/>
      </c>
      <c r="J727" s="92" t="str">
        <f>IF($AG727="","",INDEX(V_WBS,INDEX($AB$8:$AB$1407,$AG727)))</f>
        <v/>
      </c>
      <c r="K727" s="92" t="str">
        <f>IF($AG727="","",INDEX(V_Projdef,INDEX($AB$8:$AB$1407,$AG727)))</f>
        <v/>
      </c>
      <c r="L727" s="92" t="str">
        <f>IF($AG727="","",INDEX(V_Naam,INDEX($AB$8:$AB$1407,$AG727)))</f>
        <v/>
      </c>
      <c r="M727" s="92" t="str">
        <f>IF($AG727="","",INDEX(V_Type,INDEX($AB$8:$AB$1407,$AG727)))</f>
        <v/>
      </c>
      <c r="N727" s="92" t="str">
        <f>IF($AG727="","",INDEX(V_IFRS,INDEX($AB$8:$AB$1407,$AG727)))</f>
        <v/>
      </c>
      <c r="O727" s="92" t="str">
        <f>IF($AG727="","",INDEX($AL$8:$AL$21,INDEX($AC$8:$AC$1407,$AG727)+1))</f>
        <v/>
      </c>
      <c r="P727" s="109" t="str">
        <f>IF($AG727="","",INDEX($AD$8:$AD$1407,$AG727))</f>
        <v/>
      </c>
      <c r="Q727" s="92" t="str">
        <f>IF($AG727="","",INDEX($AM$8:$AM$21,INDEX($AC$8:$AC$1407,$AG727)+1))</f>
        <v/>
      </c>
      <c r="R727" s="92" t="str">
        <f>IF($AG727="","",IF($G727&gt;0,P_ToelCorrectie&amp;"",""))</f>
        <v/>
      </c>
      <c r="S727" s="15" t="str">
        <f>IF(J727="","",J727&amp;"|"&amp;E727&amp;"|"&amp;F727&amp;"|"&amp;I727&amp;"|"&amp;O727)</f>
        <v/>
      </c>
      <c r="T727" s="111" t="str">
        <f>IF(S727="","",IF(COUNTIFS(L_Sleutel,S727,L_Actief,1)=0,"",SUMIFS(L_Waarde,L_Sleutel,S727,L_Actief,1)))</f>
        <v/>
      </c>
      <c r="U727" s="111">
        <f>IF(OR(S727="",T727=""),0,P727-T727)</f>
        <v>0</v>
      </c>
      <c r="AB727" s="112" t="n">
        <v>52</v>
      </c>
      <c r="AC727" s="112" t="n">
        <v>5</v>
      </c>
      <c r="AD727" s="112" t="str">
        <f>VERW_Project!S57</f>
        <v/>
      </c>
      <c r="AE727" s="112">
        <f>IF(AND(VERW_Project!$A57&lt;&gt;"",ISNUMBER(AD727)),1,0)</f>
        <v>0</v>
      </c>
      <c r="AF727" s="112" t="str">
        <f>IF(AE727=1,SUM($AE$8:AE727),"")</f>
        <v/>
      </c>
      <c r="AG727" t="str">
        <f>IFERROR(MATCH(720,$AF$8:$AF$1407,0),"")</f>
        <v/>
      </c>
    </row>
    <row r="728">
      <c r="A728" s="92" t="str">
        <f>IF($AG728="","",P_ImportID)</f>
        <v/>
      </c>
      <c r="B728" s="92" t="str">
        <f>IF($AG728="","",IF(INDEX($AN$8:$AN$21,INDEX($AC$8:$AC$1407,$AG728)+1)="Z",P_BronZ,P_BronE))</f>
        <v/>
      </c>
      <c r="C728" s="108" t="str">
        <f>IF($AG728="","",P_Importdatum)</f>
        <v/>
      </c>
      <c r="D728" s="92" t="str">
        <f>IF($AG728="","",P_StatusVastleg)</f>
        <v/>
      </c>
      <c r="E728" s="92" t="str">
        <f>IF($AG728="","",P_UploadVJ)</f>
        <v/>
      </c>
      <c r="F728" s="92" t="str">
        <f>IF($AG728="","",P_UploadVersie)</f>
        <v/>
      </c>
      <c r="G728" s="92" t="str">
        <f>IF($AG728="","",IF(COUNTIFS(L_Sleutel,$S728,L_Status,"Vastgesteld")=0,0,_xlfn.MAXIFS(L_Revisie,L_Sleutel,$S728,L_Status,"Vastgesteld")+1))</f>
        <v/>
      </c>
      <c r="H728" s="108" t="str">
        <f>IF($AG728="","",P_Peildatum)</f>
        <v/>
      </c>
      <c r="I728" s="92" t="str">
        <f>IF($AG728="","",P_RJ+INDEX($AK$8:$AK$21,INDEX($AC$8:$AC$1407,$AG728)+1))</f>
        <v/>
      </c>
      <c r="J728" s="92" t="str">
        <f>IF($AG728="","",INDEX(V_WBS,INDEX($AB$8:$AB$1407,$AG728)))</f>
        <v/>
      </c>
      <c r="K728" s="92" t="str">
        <f>IF($AG728="","",INDEX(V_Projdef,INDEX($AB$8:$AB$1407,$AG728)))</f>
        <v/>
      </c>
      <c r="L728" s="92" t="str">
        <f>IF($AG728="","",INDEX(V_Naam,INDEX($AB$8:$AB$1407,$AG728)))</f>
        <v/>
      </c>
      <c r="M728" s="92" t="str">
        <f>IF($AG728="","",INDEX(V_Type,INDEX($AB$8:$AB$1407,$AG728)))</f>
        <v/>
      </c>
      <c r="N728" s="92" t="str">
        <f>IF($AG728="","",INDEX(V_IFRS,INDEX($AB$8:$AB$1407,$AG728)))</f>
        <v/>
      </c>
      <c r="O728" s="92" t="str">
        <f>IF($AG728="","",INDEX($AL$8:$AL$21,INDEX($AC$8:$AC$1407,$AG728)+1))</f>
        <v/>
      </c>
      <c r="P728" s="109" t="str">
        <f>IF($AG728="","",INDEX($AD$8:$AD$1407,$AG728))</f>
        <v/>
      </c>
      <c r="Q728" s="92" t="str">
        <f>IF($AG728="","",INDEX($AM$8:$AM$21,INDEX($AC$8:$AC$1407,$AG728)+1))</f>
        <v/>
      </c>
      <c r="R728" s="92" t="str">
        <f>IF($AG728="","",IF($G728&gt;0,P_ToelCorrectie&amp;"",""))</f>
        <v/>
      </c>
      <c r="S728" s="15" t="str">
        <f>IF(J728="","",J728&amp;"|"&amp;E728&amp;"|"&amp;F728&amp;"|"&amp;I728&amp;"|"&amp;O728)</f>
        <v/>
      </c>
      <c r="T728" s="111" t="str">
        <f>IF(S728="","",IF(COUNTIFS(L_Sleutel,S728,L_Actief,1)=0,"",SUMIFS(L_Waarde,L_Sleutel,S728,L_Actief,1)))</f>
        <v/>
      </c>
      <c r="U728" s="111">
        <f>IF(OR(S728="",T728=""),0,P728-T728)</f>
        <v>0</v>
      </c>
      <c r="AB728" s="112" t="n">
        <v>52</v>
      </c>
      <c r="AC728" s="112" t="n">
        <v>6</v>
      </c>
      <c r="AD728" s="112" t="str">
        <f>VERW_Project!BW57</f>
        <v/>
      </c>
      <c r="AE728" s="112">
        <f>IF(AND(VERW_Project!$A57&lt;&gt;"",ISNUMBER(AD728)),1,0)</f>
        <v>0</v>
      </c>
      <c r="AF728" s="112" t="str">
        <f>IF(AE728=1,SUM($AE$8:AE728),"")</f>
        <v/>
      </c>
      <c r="AG728" t="str">
        <f>IFERROR(MATCH(721,$AF$8:$AF$1407,0),"")</f>
        <v/>
      </c>
    </row>
    <row r="729">
      <c r="A729" s="92" t="str">
        <f>IF($AG729="","",P_ImportID)</f>
        <v/>
      </c>
      <c r="B729" s="92" t="str">
        <f>IF($AG729="","",IF(INDEX($AN$8:$AN$21,INDEX($AC$8:$AC$1407,$AG729)+1)="Z",P_BronZ,P_BronE))</f>
        <v/>
      </c>
      <c r="C729" s="108" t="str">
        <f>IF($AG729="","",P_Importdatum)</f>
        <v/>
      </c>
      <c r="D729" s="92" t="str">
        <f>IF($AG729="","",P_StatusVastleg)</f>
        <v/>
      </c>
      <c r="E729" s="92" t="str">
        <f>IF($AG729="","",P_UploadVJ)</f>
        <v/>
      </c>
      <c r="F729" s="92" t="str">
        <f>IF($AG729="","",P_UploadVersie)</f>
        <v/>
      </c>
      <c r="G729" s="92" t="str">
        <f>IF($AG729="","",IF(COUNTIFS(L_Sleutel,$S729,L_Status,"Vastgesteld")=0,0,_xlfn.MAXIFS(L_Revisie,L_Sleutel,$S729,L_Status,"Vastgesteld")+1))</f>
        <v/>
      </c>
      <c r="H729" s="108" t="str">
        <f>IF($AG729="","",P_Peildatum)</f>
        <v/>
      </c>
      <c r="I729" s="92" t="str">
        <f>IF($AG729="","",P_RJ+INDEX($AK$8:$AK$21,INDEX($AC$8:$AC$1407,$AG729)+1))</f>
        <v/>
      </c>
      <c r="J729" s="92" t="str">
        <f>IF($AG729="","",INDEX(V_WBS,INDEX($AB$8:$AB$1407,$AG729)))</f>
        <v/>
      </c>
      <c r="K729" s="92" t="str">
        <f>IF($AG729="","",INDEX(V_Projdef,INDEX($AB$8:$AB$1407,$AG729)))</f>
        <v/>
      </c>
      <c r="L729" s="92" t="str">
        <f>IF($AG729="","",INDEX(V_Naam,INDEX($AB$8:$AB$1407,$AG729)))</f>
        <v/>
      </c>
      <c r="M729" s="92" t="str">
        <f>IF($AG729="","",INDEX(V_Type,INDEX($AB$8:$AB$1407,$AG729)))</f>
        <v/>
      </c>
      <c r="N729" s="92" t="str">
        <f>IF($AG729="","",INDEX(V_IFRS,INDEX($AB$8:$AB$1407,$AG729)))</f>
        <v/>
      </c>
      <c r="O729" s="92" t="str">
        <f>IF($AG729="","",INDEX($AL$8:$AL$21,INDEX($AC$8:$AC$1407,$AG729)+1))</f>
        <v/>
      </c>
      <c r="P729" s="109" t="str">
        <f>IF($AG729="","",INDEX($AD$8:$AD$1407,$AG729))</f>
        <v/>
      </c>
      <c r="Q729" s="92" t="str">
        <f>IF($AG729="","",INDEX($AM$8:$AM$21,INDEX($AC$8:$AC$1407,$AG729)+1))</f>
        <v/>
      </c>
      <c r="R729" s="92" t="str">
        <f>IF($AG729="","",IF($G729&gt;0,P_ToelCorrectie&amp;"",""))</f>
        <v/>
      </c>
      <c r="S729" s="15" t="str">
        <f>IF(J729="","",J729&amp;"|"&amp;E729&amp;"|"&amp;F729&amp;"|"&amp;I729&amp;"|"&amp;O729)</f>
        <v/>
      </c>
      <c r="T729" s="111" t="str">
        <f>IF(S729="","",IF(COUNTIFS(L_Sleutel,S729,L_Actief,1)=0,"",SUMIFS(L_Waarde,L_Sleutel,S729,L_Actief,1)))</f>
        <v/>
      </c>
      <c r="U729" s="111">
        <f>IF(OR(S729="",T729=""),0,P729-T729)</f>
        <v>0</v>
      </c>
      <c r="AB729" s="112" t="n">
        <v>52</v>
      </c>
      <c r="AC729" s="112" t="n">
        <v>7</v>
      </c>
      <c r="AD729" s="112" t="str">
        <f>VERW_Project!AW57</f>
        <v/>
      </c>
      <c r="AE729" s="112">
        <f>IF(AND(VERW_Project!$A57&lt;&gt;"",ISNUMBER(AD729)),1,0)</f>
        <v>0</v>
      </c>
      <c r="AF729" s="112" t="str">
        <f>IF(AE729=1,SUM($AE$8:AE729),"")</f>
        <v/>
      </c>
      <c r="AG729" t="str">
        <f>IFERROR(MATCH(722,$AF$8:$AF$1407,0),"")</f>
        <v/>
      </c>
    </row>
    <row r="730">
      <c r="A730" s="92" t="str">
        <f>IF($AG730="","",P_ImportID)</f>
        <v/>
      </c>
      <c r="B730" s="92" t="str">
        <f>IF($AG730="","",IF(INDEX($AN$8:$AN$21,INDEX($AC$8:$AC$1407,$AG730)+1)="Z",P_BronZ,P_BronE))</f>
        <v/>
      </c>
      <c r="C730" s="108" t="str">
        <f>IF($AG730="","",P_Importdatum)</f>
        <v/>
      </c>
      <c r="D730" s="92" t="str">
        <f>IF($AG730="","",P_StatusVastleg)</f>
        <v/>
      </c>
      <c r="E730" s="92" t="str">
        <f>IF($AG730="","",P_UploadVJ)</f>
        <v/>
      </c>
      <c r="F730" s="92" t="str">
        <f>IF($AG730="","",P_UploadVersie)</f>
        <v/>
      </c>
      <c r="G730" s="92" t="str">
        <f>IF($AG730="","",IF(COUNTIFS(L_Sleutel,$S730,L_Status,"Vastgesteld")=0,0,_xlfn.MAXIFS(L_Revisie,L_Sleutel,$S730,L_Status,"Vastgesteld")+1))</f>
        <v/>
      </c>
      <c r="H730" s="108" t="str">
        <f>IF($AG730="","",P_Peildatum)</f>
        <v/>
      </c>
      <c r="I730" s="92" t="str">
        <f>IF($AG730="","",P_RJ+INDEX($AK$8:$AK$21,INDEX($AC$8:$AC$1407,$AG730)+1))</f>
        <v/>
      </c>
      <c r="J730" s="92" t="str">
        <f>IF($AG730="","",INDEX(V_WBS,INDEX($AB$8:$AB$1407,$AG730)))</f>
        <v/>
      </c>
      <c r="K730" s="92" t="str">
        <f>IF($AG730="","",INDEX(V_Projdef,INDEX($AB$8:$AB$1407,$AG730)))</f>
        <v/>
      </c>
      <c r="L730" s="92" t="str">
        <f>IF($AG730="","",INDEX(V_Naam,INDEX($AB$8:$AB$1407,$AG730)))</f>
        <v/>
      </c>
      <c r="M730" s="92" t="str">
        <f>IF($AG730="","",INDEX(V_Type,INDEX($AB$8:$AB$1407,$AG730)))</f>
        <v/>
      </c>
      <c r="N730" s="92" t="str">
        <f>IF($AG730="","",INDEX(V_IFRS,INDEX($AB$8:$AB$1407,$AG730)))</f>
        <v/>
      </c>
      <c r="O730" s="92" t="str">
        <f>IF($AG730="","",INDEX($AL$8:$AL$21,INDEX($AC$8:$AC$1407,$AG730)+1))</f>
        <v/>
      </c>
      <c r="P730" s="109" t="str">
        <f>IF($AG730="","",INDEX($AD$8:$AD$1407,$AG730))</f>
        <v/>
      </c>
      <c r="Q730" s="92" t="str">
        <f>IF($AG730="","",INDEX($AM$8:$AM$21,INDEX($AC$8:$AC$1407,$AG730)+1))</f>
        <v/>
      </c>
      <c r="R730" s="92" t="str">
        <f>IF($AG730="","",IF($G730&gt;0,P_ToelCorrectie&amp;"",""))</f>
        <v/>
      </c>
      <c r="S730" s="15" t="str">
        <f>IF(J730="","",J730&amp;"|"&amp;E730&amp;"|"&amp;F730&amp;"|"&amp;I730&amp;"|"&amp;O730)</f>
        <v/>
      </c>
      <c r="T730" s="111" t="str">
        <f>IF(S730="","",IF(COUNTIFS(L_Sleutel,S730,L_Actief,1)=0,"",SUMIFS(L_Waarde,L_Sleutel,S730,L_Actief,1)))</f>
        <v/>
      </c>
      <c r="U730" s="111">
        <f>IF(OR(S730="",T730=""),0,P730-T730)</f>
        <v>0</v>
      </c>
      <c r="AB730" s="112" t="n">
        <v>52</v>
      </c>
      <c r="AC730" s="112" t="n">
        <v>8</v>
      </c>
      <c r="AD730" s="112" t="str">
        <f>VERW_Project!BQ57</f>
        <v/>
      </c>
      <c r="AE730" s="112">
        <f>IF(AND(VERW_Project!$A57&lt;&gt;"",ISNUMBER(AD730)),1,0)</f>
        <v>0</v>
      </c>
      <c r="AF730" s="112" t="str">
        <f>IF(AE730=1,SUM($AE$8:AE730),"")</f>
        <v/>
      </c>
      <c r="AG730" t="str">
        <f>IFERROR(MATCH(723,$AF$8:$AF$1407,0),"")</f>
        <v/>
      </c>
    </row>
    <row r="731">
      <c r="A731" s="92" t="str">
        <f>IF($AG731="","",P_ImportID)</f>
        <v/>
      </c>
      <c r="B731" s="92" t="str">
        <f>IF($AG731="","",IF(INDEX($AN$8:$AN$21,INDEX($AC$8:$AC$1407,$AG731)+1)="Z",P_BronZ,P_BronE))</f>
        <v/>
      </c>
      <c r="C731" s="108" t="str">
        <f>IF($AG731="","",P_Importdatum)</f>
        <v/>
      </c>
      <c r="D731" s="92" t="str">
        <f>IF($AG731="","",P_StatusVastleg)</f>
        <v/>
      </c>
      <c r="E731" s="92" t="str">
        <f>IF($AG731="","",P_UploadVJ)</f>
        <v/>
      </c>
      <c r="F731" s="92" t="str">
        <f>IF($AG731="","",P_UploadVersie)</f>
        <v/>
      </c>
      <c r="G731" s="92" t="str">
        <f>IF($AG731="","",IF(COUNTIFS(L_Sleutel,$S731,L_Status,"Vastgesteld")=0,0,_xlfn.MAXIFS(L_Revisie,L_Sleutel,$S731,L_Status,"Vastgesteld")+1))</f>
        <v/>
      </c>
      <c r="H731" s="108" t="str">
        <f>IF($AG731="","",P_Peildatum)</f>
        <v/>
      </c>
      <c r="I731" s="92" t="str">
        <f>IF($AG731="","",P_RJ+INDEX($AK$8:$AK$21,INDEX($AC$8:$AC$1407,$AG731)+1))</f>
        <v/>
      </c>
      <c r="J731" s="92" t="str">
        <f>IF($AG731="","",INDEX(V_WBS,INDEX($AB$8:$AB$1407,$AG731)))</f>
        <v/>
      </c>
      <c r="K731" s="92" t="str">
        <f>IF($AG731="","",INDEX(V_Projdef,INDEX($AB$8:$AB$1407,$AG731)))</f>
        <v/>
      </c>
      <c r="L731" s="92" t="str">
        <f>IF($AG731="","",INDEX(V_Naam,INDEX($AB$8:$AB$1407,$AG731)))</f>
        <v/>
      </c>
      <c r="M731" s="92" t="str">
        <f>IF($AG731="","",INDEX(V_Type,INDEX($AB$8:$AB$1407,$AG731)))</f>
        <v/>
      </c>
      <c r="N731" s="92" t="str">
        <f>IF($AG731="","",INDEX(V_IFRS,INDEX($AB$8:$AB$1407,$AG731)))</f>
        <v/>
      </c>
      <c r="O731" s="92" t="str">
        <f>IF($AG731="","",INDEX($AL$8:$AL$21,INDEX($AC$8:$AC$1407,$AG731)+1))</f>
        <v/>
      </c>
      <c r="P731" s="109" t="str">
        <f>IF($AG731="","",INDEX($AD$8:$AD$1407,$AG731))</f>
        <v/>
      </c>
      <c r="Q731" s="92" t="str">
        <f>IF($AG731="","",INDEX($AM$8:$AM$21,INDEX($AC$8:$AC$1407,$AG731)+1))</f>
        <v/>
      </c>
      <c r="R731" s="92" t="str">
        <f>IF($AG731="","",IF($G731&gt;0,P_ToelCorrectie&amp;"",""))</f>
        <v/>
      </c>
      <c r="S731" s="15" t="str">
        <f>IF(J731="","",J731&amp;"|"&amp;E731&amp;"|"&amp;F731&amp;"|"&amp;I731&amp;"|"&amp;O731)</f>
        <v/>
      </c>
      <c r="T731" s="111" t="str">
        <f>IF(S731="","",IF(COUNTIFS(L_Sleutel,S731,L_Actief,1)=0,"",SUMIFS(L_Waarde,L_Sleutel,S731,L_Actief,1)))</f>
        <v/>
      </c>
      <c r="U731" s="111">
        <f>IF(OR(S731="",T731=""),0,P731-T731)</f>
        <v>0</v>
      </c>
      <c r="AB731" s="112" t="n">
        <v>52</v>
      </c>
      <c r="AC731" s="112" t="n">
        <v>9</v>
      </c>
      <c r="AD731" s="112" t="str">
        <f>VERW_Project!BR57</f>
        <v/>
      </c>
      <c r="AE731" s="112">
        <f>IF(AND(VERW_Project!$A57&lt;&gt;"",ISNUMBER(AD731)),1,0)</f>
        <v>0</v>
      </c>
      <c r="AF731" s="112" t="str">
        <f>IF(AE731=1,SUM($AE$8:AE731),"")</f>
        <v/>
      </c>
      <c r="AG731" t="str">
        <f>IFERROR(MATCH(724,$AF$8:$AF$1407,0),"")</f>
        <v/>
      </c>
    </row>
    <row r="732">
      <c r="A732" s="92" t="str">
        <f>IF($AG732="","",P_ImportID)</f>
        <v/>
      </c>
      <c r="B732" s="92" t="str">
        <f>IF($AG732="","",IF(INDEX($AN$8:$AN$21,INDEX($AC$8:$AC$1407,$AG732)+1)="Z",P_BronZ,P_BronE))</f>
        <v/>
      </c>
      <c r="C732" s="108" t="str">
        <f>IF($AG732="","",P_Importdatum)</f>
        <v/>
      </c>
      <c r="D732" s="92" t="str">
        <f>IF($AG732="","",P_StatusVastleg)</f>
        <v/>
      </c>
      <c r="E732" s="92" t="str">
        <f>IF($AG732="","",P_UploadVJ)</f>
        <v/>
      </c>
      <c r="F732" s="92" t="str">
        <f>IF($AG732="","",P_UploadVersie)</f>
        <v/>
      </c>
      <c r="G732" s="92" t="str">
        <f>IF($AG732="","",IF(COUNTIFS(L_Sleutel,$S732,L_Status,"Vastgesteld")=0,0,_xlfn.MAXIFS(L_Revisie,L_Sleutel,$S732,L_Status,"Vastgesteld")+1))</f>
        <v/>
      </c>
      <c r="H732" s="108" t="str">
        <f>IF($AG732="","",P_Peildatum)</f>
        <v/>
      </c>
      <c r="I732" s="92" t="str">
        <f>IF($AG732="","",P_RJ+INDEX($AK$8:$AK$21,INDEX($AC$8:$AC$1407,$AG732)+1))</f>
        <v/>
      </c>
      <c r="J732" s="92" t="str">
        <f>IF($AG732="","",INDEX(V_WBS,INDEX($AB$8:$AB$1407,$AG732)))</f>
        <v/>
      </c>
      <c r="K732" s="92" t="str">
        <f>IF($AG732="","",INDEX(V_Projdef,INDEX($AB$8:$AB$1407,$AG732)))</f>
        <v/>
      </c>
      <c r="L732" s="92" t="str">
        <f>IF($AG732="","",INDEX(V_Naam,INDEX($AB$8:$AB$1407,$AG732)))</f>
        <v/>
      </c>
      <c r="M732" s="92" t="str">
        <f>IF($AG732="","",INDEX(V_Type,INDEX($AB$8:$AB$1407,$AG732)))</f>
        <v/>
      </c>
      <c r="N732" s="92" t="str">
        <f>IF($AG732="","",INDEX(V_IFRS,INDEX($AB$8:$AB$1407,$AG732)))</f>
        <v/>
      </c>
      <c r="O732" s="92" t="str">
        <f>IF($AG732="","",INDEX($AL$8:$AL$21,INDEX($AC$8:$AC$1407,$AG732)+1))</f>
        <v/>
      </c>
      <c r="P732" s="109" t="str">
        <f>IF($AG732="","",INDEX($AD$8:$AD$1407,$AG732))</f>
        <v/>
      </c>
      <c r="Q732" s="92" t="str">
        <f>IF($AG732="","",INDEX($AM$8:$AM$21,INDEX($AC$8:$AC$1407,$AG732)+1))</f>
        <v/>
      </c>
      <c r="R732" s="92" t="str">
        <f>IF($AG732="","",IF($G732&gt;0,P_ToelCorrectie&amp;"",""))</f>
        <v/>
      </c>
      <c r="S732" s="15" t="str">
        <f>IF(J732="","",J732&amp;"|"&amp;E732&amp;"|"&amp;F732&amp;"|"&amp;I732&amp;"|"&amp;O732)</f>
        <v/>
      </c>
      <c r="T732" s="111" t="str">
        <f>IF(S732="","",IF(COUNTIFS(L_Sleutel,S732,L_Actief,1)=0,"",SUMIFS(L_Waarde,L_Sleutel,S732,L_Actief,1)))</f>
        <v/>
      </c>
      <c r="U732" s="111">
        <f>IF(OR(S732="",T732=""),0,P732-T732)</f>
        <v>0</v>
      </c>
      <c r="AB732" s="112" t="n">
        <v>52</v>
      </c>
      <c r="AC732" s="112" t="n">
        <v>10</v>
      </c>
      <c r="AD732" s="112" t="str">
        <f>VERW_Project!BS57</f>
        <v/>
      </c>
      <c r="AE732" s="112">
        <f>IF(AND(VERW_Project!$A57&lt;&gt;"",ISNUMBER(AD732)),1,0)</f>
        <v>0</v>
      </c>
      <c r="AF732" s="112" t="str">
        <f>IF(AE732=1,SUM($AE$8:AE732),"")</f>
        <v/>
      </c>
      <c r="AG732" t="str">
        <f>IFERROR(MATCH(725,$AF$8:$AF$1407,0),"")</f>
        <v/>
      </c>
    </row>
    <row r="733">
      <c r="A733" s="92" t="str">
        <f>IF($AG733="","",P_ImportID)</f>
        <v/>
      </c>
      <c r="B733" s="92" t="str">
        <f>IF($AG733="","",IF(INDEX($AN$8:$AN$21,INDEX($AC$8:$AC$1407,$AG733)+1)="Z",P_BronZ,P_BronE))</f>
        <v/>
      </c>
      <c r="C733" s="108" t="str">
        <f>IF($AG733="","",P_Importdatum)</f>
        <v/>
      </c>
      <c r="D733" s="92" t="str">
        <f>IF($AG733="","",P_StatusVastleg)</f>
        <v/>
      </c>
      <c r="E733" s="92" t="str">
        <f>IF($AG733="","",P_UploadVJ)</f>
        <v/>
      </c>
      <c r="F733" s="92" t="str">
        <f>IF($AG733="","",P_UploadVersie)</f>
        <v/>
      </c>
      <c r="G733" s="92" t="str">
        <f>IF($AG733="","",IF(COUNTIFS(L_Sleutel,$S733,L_Status,"Vastgesteld")=0,0,_xlfn.MAXIFS(L_Revisie,L_Sleutel,$S733,L_Status,"Vastgesteld")+1))</f>
        <v/>
      </c>
      <c r="H733" s="108" t="str">
        <f>IF($AG733="","",P_Peildatum)</f>
        <v/>
      </c>
      <c r="I733" s="92" t="str">
        <f>IF($AG733="","",P_RJ+INDEX($AK$8:$AK$21,INDEX($AC$8:$AC$1407,$AG733)+1))</f>
        <v/>
      </c>
      <c r="J733" s="92" t="str">
        <f>IF($AG733="","",INDEX(V_WBS,INDEX($AB$8:$AB$1407,$AG733)))</f>
        <v/>
      </c>
      <c r="K733" s="92" t="str">
        <f>IF($AG733="","",INDEX(V_Projdef,INDEX($AB$8:$AB$1407,$AG733)))</f>
        <v/>
      </c>
      <c r="L733" s="92" t="str">
        <f>IF($AG733="","",INDEX(V_Naam,INDEX($AB$8:$AB$1407,$AG733)))</f>
        <v/>
      </c>
      <c r="M733" s="92" t="str">
        <f>IF($AG733="","",INDEX(V_Type,INDEX($AB$8:$AB$1407,$AG733)))</f>
        <v/>
      </c>
      <c r="N733" s="92" t="str">
        <f>IF($AG733="","",INDEX(V_IFRS,INDEX($AB$8:$AB$1407,$AG733)))</f>
        <v/>
      </c>
      <c r="O733" s="92" t="str">
        <f>IF($AG733="","",INDEX($AL$8:$AL$21,INDEX($AC$8:$AC$1407,$AG733)+1))</f>
        <v/>
      </c>
      <c r="P733" s="109" t="str">
        <f>IF($AG733="","",INDEX($AD$8:$AD$1407,$AG733))</f>
        <v/>
      </c>
      <c r="Q733" s="92" t="str">
        <f>IF($AG733="","",INDEX($AM$8:$AM$21,INDEX($AC$8:$AC$1407,$AG733)+1))</f>
        <v/>
      </c>
      <c r="R733" s="92" t="str">
        <f>IF($AG733="","",IF($G733&gt;0,P_ToelCorrectie&amp;"",""))</f>
        <v/>
      </c>
      <c r="S733" s="15" t="str">
        <f>IF(J733="","",J733&amp;"|"&amp;E733&amp;"|"&amp;F733&amp;"|"&amp;I733&amp;"|"&amp;O733)</f>
        <v/>
      </c>
      <c r="T733" s="111" t="str">
        <f>IF(S733="","",IF(COUNTIFS(L_Sleutel,S733,L_Actief,1)=0,"",SUMIFS(L_Waarde,L_Sleutel,S733,L_Actief,1)))</f>
        <v/>
      </c>
      <c r="U733" s="111">
        <f>IF(OR(S733="",T733=""),0,P733-T733)</f>
        <v>0</v>
      </c>
      <c r="AB733" s="112" t="n">
        <v>52</v>
      </c>
      <c r="AC733" s="112" t="n">
        <v>11</v>
      </c>
      <c r="AD733" s="112" t="str">
        <f>VERW_Project!BT57</f>
        <v/>
      </c>
      <c r="AE733" s="112">
        <f>IF(AND(VERW_Project!$A57&lt;&gt;"",ISNUMBER(AD733)),1,0)</f>
        <v>0</v>
      </c>
      <c r="AF733" s="112" t="str">
        <f>IF(AE733=1,SUM($AE$8:AE733),"")</f>
        <v/>
      </c>
      <c r="AG733" t="str">
        <f>IFERROR(MATCH(726,$AF$8:$AF$1407,0),"")</f>
        <v/>
      </c>
    </row>
    <row r="734">
      <c r="A734" s="92" t="str">
        <f>IF($AG734="","",P_ImportID)</f>
        <v/>
      </c>
      <c r="B734" s="92" t="str">
        <f>IF($AG734="","",IF(INDEX($AN$8:$AN$21,INDEX($AC$8:$AC$1407,$AG734)+1)="Z",P_BronZ,P_BronE))</f>
        <v/>
      </c>
      <c r="C734" s="108" t="str">
        <f>IF($AG734="","",P_Importdatum)</f>
        <v/>
      </c>
      <c r="D734" s="92" t="str">
        <f>IF($AG734="","",P_StatusVastleg)</f>
        <v/>
      </c>
      <c r="E734" s="92" t="str">
        <f>IF($AG734="","",P_UploadVJ)</f>
        <v/>
      </c>
      <c r="F734" s="92" t="str">
        <f>IF($AG734="","",P_UploadVersie)</f>
        <v/>
      </c>
      <c r="G734" s="92" t="str">
        <f>IF($AG734="","",IF(COUNTIFS(L_Sleutel,$S734,L_Status,"Vastgesteld")=0,0,_xlfn.MAXIFS(L_Revisie,L_Sleutel,$S734,L_Status,"Vastgesteld")+1))</f>
        <v/>
      </c>
      <c r="H734" s="108" t="str">
        <f>IF($AG734="","",P_Peildatum)</f>
        <v/>
      </c>
      <c r="I734" s="92" t="str">
        <f>IF($AG734="","",P_RJ+INDEX($AK$8:$AK$21,INDEX($AC$8:$AC$1407,$AG734)+1))</f>
        <v/>
      </c>
      <c r="J734" s="92" t="str">
        <f>IF($AG734="","",INDEX(V_WBS,INDEX($AB$8:$AB$1407,$AG734)))</f>
        <v/>
      </c>
      <c r="K734" s="92" t="str">
        <f>IF($AG734="","",INDEX(V_Projdef,INDEX($AB$8:$AB$1407,$AG734)))</f>
        <v/>
      </c>
      <c r="L734" s="92" t="str">
        <f>IF($AG734="","",INDEX(V_Naam,INDEX($AB$8:$AB$1407,$AG734)))</f>
        <v/>
      </c>
      <c r="M734" s="92" t="str">
        <f>IF($AG734="","",INDEX(V_Type,INDEX($AB$8:$AB$1407,$AG734)))</f>
        <v/>
      </c>
      <c r="N734" s="92" t="str">
        <f>IF($AG734="","",INDEX(V_IFRS,INDEX($AB$8:$AB$1407,$AG734)))</f>
        <v/>
      </c>
      <c r="O734" s="92" t="str">
        <f>IF($AG734="","",INDEX($AL$8:$AL$21,INDEX($AC$8:$AC$1407,$AG734)+1))</f>
        <v/>
      </c>
      <c r="P734" s="109" t="str">
        <f>IF($AG734="","",INDEX($AD$8:$AD$1407,$AG734))</f>
        <v/>
      </c>
      <c r="Q734" s="92" t="str">
        <f>IF($AG734="","",INDEX($AM$8:$AM$21,INDEX($AC$8:$AC$1407,$AG734)+1))</f>
        <v/>
      </c>
      <c r="R734" s="92" t="str">
        <f>IF($AG734="","",IF($G734&gt;0,P_ToelCorrectie&amp;"",""))</f>
        <v/>
      </c>
      <c r="S734" s="15" t="str">
        <f>IF(J734="","",J734&amp;"|"&amp;E734&amp;"|"&amp;F734&amp;"|"&amp;I734&amp;"|"&amp;O734)</f>
        <v/>
      </c>
      <c r="T734" s="111" t="str">
        <f>IF(S734="","",IF(COUNTIFS(L_Sleutel,S734,L_Actief,1)=0,"",SUMIFS(L_Waarde,L_Sleutel,S734,L_Actief,1)))</f>
        <v/>
      </c>
      <c r="U734" s="111">
        <f>IF(OR(S734="",T734=""),0,P734-T734)</f>
        <v>0</v>
      </c>
      <c r="AB734" s="112" t="n">
        <v>52</v>
      </c>
      <c r="AC734" s="112" t="n">
        <v>12</v>
      </c>
      <c r="AD734" s="112" t="str">
        <f>VERW_Project!BU57</f>
        <v/>
      </c>
      <c r="AE734" s="112">
        <f>IF(AND(VERW_Project!$A57&lt;&gt;"",ISNUMBER(AD734)),1,0)</f>
        <v>0</v>
      </c>
      <c r="AF734" s="112" t="str">
        <f>IF(AE734=1,SUM($AE$8:AE734),"")</f>
        <v/>
      </c>
      <c r="AG734" t="str">
        <f>IFERROR(MATCH(727,$AF$8:$AF$1407,0),"")</f>
        <v/>
      </c>
    </row>
    <row r="735">
      <c r="A735" s="92" t="str">
        <f>IF($AG735="","",P_ImportID)</f>
        <v/>
      </c>
      <c r="B735" s="92" t="str">
        <f>IF($AG735="","",IF(INDEX($AN$8:$AN$21,INDEX($AC$8:$AC$1407,$AG735)+1)="Z",P_BronZ,P_BronE))</f>
        <v/>
      </c>
      <c r="C735" s="108" t="str">
        <f>IF($AG735="","",P_Importdatum)</f>
        <v/>
      </c>
      <c r="D735" s="92" t="str">
        <f>IF($AG735="","",P_StatusVastleg)</f>
        <v/>
      </c>
      <c r="E735" s="92" t="str">
        <f>IF($AG735="","",P_UploadVJ)</f>
        <v/>
      </c>
      <c r="F735" s="92" t="str">
        <f>IF($AG735="","",P_UploadVersie)</f>
        <v/>
      </c>
      <c r="G735" s="92" t="str">
        <f>IF($AG735="","",IF(COUNTIFS(L_Sleutel,$S735,L_Status,"Vastgesteld")=0,0,_xlfn.MAXIFS(L_Revisie,L_Sleutel,$S735,L_Status,"Vastgesteld")+1))</f>
        <v/>
      </c>
      <c r="H735" s="108" t="str">
        <f>IF($AG735="","",P_Peildatum)</f>
        <v/>
      </c>
      <c r="I735" s="92" t="str">
        <f>IF($AG735="","",P_RJ+INDEX($AK$8:$AK$21,INDEX($AC$8:$AC$1407,$AG735)+1))</f>
        <v/>
      </c>
      <c r="J735" s="92" t="str">
        <f>IF($AG735="","",INDEX(V_WBS,INDEX($AB$8:$AB$1407,$AG735)))</f>
        <v/>
      </c>
      <c r="K735" s="92" t="str">
        <f>IF($AG735="","",INDEX(V_Projdef,INDEX($AB$8:$AB$1407,$AG735)))</f>
        <v/>
      </c>
      <c r="L735" s="92" t="str">
        <f>IF($AG735="","",INDEX(V_Naam,INDEX($AB$8:$AB$1407,$AG735)))</f>
        <v/>
      </c>
      <c r="M735" s="92" t="str">
        <f>IF($AG735="","",INDEX(V_Type,INDEX($AB$8:$AB$1407,$AG735)))</f>
        <v/>
      </c>
      <c r="N735" s="92" t="str">
        <f>IF($AG735="","",INDEX(V_IFRS,INDEX($AB$8:$AB$1407,$AG735)))</f>
        <v/>
      </c>
      <c r="O735" s="92" t="str">
        <f>IF($AG735="","",INDEX($AL$8:$AL$21,INDEX($AC$8:$AC$1407,$AG735)+1))</f>
        <v/>
      </c>
      <c r="P735" s="109" t="str">
        <f>IF($AG735="","",INDEX($AD$8:$AD$1407,$AG735))</f>
        <v/>
      </c>
      <c r="Q735" s="92" t="str">
        <f>IF($AG735="","",INDEX($AM$8:$AM$21,INDEX($AC$8:$AC$1407,$AG735)+1))</f>
        <v/>
      </c>
      <c r="R735" s="92" t="str">
        <f>IF($AG735="","",IF($G735&gt;0,P_ToelCorrectie&amp;"",""))</f>
        <v/>
      </c>
      <c r="S735" s="15" t="str">
        <f>IF(J735="","",J735&amp;"|"&amp;E735&amp;"|"&amp;F735&amp;"|"&amp;I735&amp;"|"&amp;O735)</f>
        <v/>
      </c>
      <c r="T735" s="111" t="str">
        <f>IF(S735="","",IF(COUNTIFS(L_Sleutel,S735,L_Actief,1)=0,"",SUMIFS(L_Waarde,L_Sleutel,S735,L_Actief,1)))</f>
        <v/>
      </c>
      <c r="U735" s="111">
        <f>IF(OR(S735="",T735=""),0,P735-T735)</f>
        <v>0</v>
      </c>
      <c r="AB735" s="112" t="n">
        <v>52</v>
      </c>
      <c r="AC735" s="112" t="n">
        <v>13</v>
      </c>
      <c r="AD735" s="112" t="str">
        <f>VERW_Project!BX57</f>
        <v/>
      </c>
      <c r="AE735" s="112">
        <f>IF(AND(VERW_Project!$A57&lt;&gt;"",ISNUMBER(AD735)),1,0)</f>
        <v>0</v>
      </c>
      <c r="AF735" s="112" t="str">
        <f>IF(AE735=1,SUM($AE$8:AE735),"")</f>
        <v/>
      </c>
      <c r="AG735" t="str">
        <f>IFERROR(MATCH(728,$AF$8:$AF$1407,0),"")</f>
        <v/>
      </c>
    </row>
    <row r="736">
      <c r="A736" s="92" t="str">
        <f>IF($AG736="","",P_ImportID)</f>
        <v/>
      </c>
      <c r="B736" s="92" t="str">
        <f>IF($AG736="","",IF(INDEX($AN$8:$AN$21,INDEX($AC$8:$AC$1407,$AG736)+1)="Z",P_BronZ,P_BronE))</f>
        <v/>
      </c>
      <c r="C736" s="108" t="str">
        <f>IF($AG736="","",P_Importdatum)</f>
        <v/>
      </c>
      <c r="D736" s="92" t="str">
        <f>IF($AG736="","",P_StatusVastleg)</f>
        <v/>
      </c>
      <c r="E736" s="92" t="str">
        <f>IF($AG736="","",P_UploadVJ)</f>
        <v/>
      </c>
      <c r="F736" s="92" t="str">
        <f>IF($AG736="","",P_UploadVersie)</f>
        <v/>
      </c>
      <c r="G736" s="92" t="str">
        <f>IF($AG736="","",IF(COUNTIFS(L_Sleutel,$S736,L_Status,"Vastgesteld")=0,0,_xlfn.MAXIFS(L_Revisie,L_Sleutel,$S736,L_Status,"Vastgesteld")+1))</f>
        <v/>
      </c>
      <c r="H736" s="108" t="str">
        <f>IF($AG736="","",P_Peildatum)</f>
        <v/>
      </c>
      <c r="I736" s="92" t="str">
        <f>IF($AG736="","",P_RJ+INDEX($AK$8:$AK$21,INDEX($AC$8:$AC$1407,$AG736)+1))</f>
        <v/>
      </c>
      <c r="J736" s="92" t="str">
        <f>IF($AG736="","",INDEX(V_WBS,INDEX($AB$8:$AB$1407,$AG736)))</f>
        <v/>
      </c>
      <c r="K736" s="92" t="str">
        <f>IF($AG736="","",INDEX(V_Projdef,INDEX($AB$8:$AB$1407,$AG736)))</f>
        <v/>
      </c>
      <c r="L736" s="92" t="str">
        <f>IF($AG736="","",INDEX(V_Naam,INDEX($AB$8:$AB$1407,$AG736)))</f>
        <v/>
      </c>
      <c r="M736" s="92" t="str">
        <f>IF($AG736="","",INDEX(V_Type,INDEX($AB$8:$AB$1407,$AG736)))</f>
        <v/>
      </c>
      <c r="N736" s="92" t="str">
        <f>IF($AG736="","",INDEX(V_IFRS,INDEX($AB$8:$AB$1407,$AG736)))</f>
        <v/>
      </c>
      <c r="O736" s="92" t="str">
        <f>IF($AG736="","",INDEX($AL$8:$AL$21,INDEX($AC$8:$AC$1407,$AG736)+1))</f>
        <v/>
      </c>
      <c r="P736" s="109" t="str">
        <f>IF($AG736="","",INDEX($AD$8:$AD$1407,$AG736))</f>
        <v/>
      </c>
      <c r="Q736" s="92" t="str">
        <f>IF($AG736="","",INDEX($AM$8:$AM$21,INDEX($AC$8:$AC$1407,$AG736)+1))</f>
        <v/>
      </c>
      <c r="R736" s="92" t="str">
        <f>IF($AG736="","",IF($G736&gt;0,P_ToelCorrectie&amp;"",""))</f>
        <v/>
      </c>
      <c r="S736" s="15" t="str">
        <f>IF(J736="","",J736&amp;"|"&amp;E736&amp;"|"&amp;F736&amp;"|"&amp;I736&amp;"|"&amp;O736)</f>
        <v/>
      </c>
      <c r="T736" s="111" t="str">
        <f>IF(S736="","",IF(COUNTIFS(L_Sleutel,S736,L_Actief,1)=0,"",SUMIFS(L_Waarde,L_Sleutel,S736,L_Actief,1)))</f>
        <v/>
      </c>
      <c r="U736" s="111">
        <f>IF(OR(S736="",T736=""),0,P736-T736)</f>
        <v>0</v>
      </c>
      <c r="AB736" s="112" t="n">
        <v>53</v>
      </c>
      <c r="AC736" s="112" t="n">
        <v>0</v>
      </c>
      <c r="AD736" s="112" t="str">
        <f>VERW_Project!P58</f>
        <v/>
      </c>
      <c r="AE736" s="112">
        <f>IF(AND(VERW_Project!$A58&lt;&gt;"",ISNUMBER(AD736)),1,0)</f>
        <v>0</v>
      </c>
      <c r="AF736" s="112" t="str">
        <f>IF(AE736=1,SUM($AE$8:AE736),"")</f>
        <v/>
      </c>
      <c r="AG736" t="str">
        <f>IFERROR(MATCH(729,$AF$8:$AF$1407,0),"")</f>
        <v/>
      </c>
    </row>
    <row r="737">
      <c r="A737" s="92" t="str">
        <f>IF($AG737="","",P_ImportID)</f>
        <v/>
      </c>
      <c r="B737" s="92" t="str">
        <f>IF($AG737="","",IF(INDEX($AN$8:$AN$21,INDEX($AC$8:$AC$1407,$AG737)+1)="Z",P_BronZ,P_BronE))</f>
        <v/>
      </c>
      <c r="C737" s="108" t="str">
        <f>IF($AG737="","",P_Importdatum)</f>
        <v/>
      </c>
      <c r="D737" s="92" t="str">
        <f>IF($AG737="","",P_StatusVastleg)</f>
        <v/>
      </c>
      <c r="E737" s="92" t="str">
        <f>IF($AG737="","",P_UploadVJ)</f>
        <v/>
      </c>
      <c r="F737" s="92" t="str">
        <f>IF($AG737="","",P_UploadVersie)</f>
        <v/>
      </c>
      <c r="G737" s="92" t="str">
        <f>IF($AG737="","",IF(COUNTIFS(L_Sleutel,$S737,L_Status,"Vastgesteld")=0,0,_xlfn.MAXIFS(L_Revisie,L_Sleutel,$S737,L_Status,"Vastgesteld")+1))</f>
        <v/>
      </c>
      <c r="H737" s="108" t="str">
        <f>IF($AG737="","",P_Peildatum)</f>
        <v/>
      </c>
      <c r="I737" s="92" t="str">
        <f>IF($AG737="","",P_RJ+INDEX($AK$8:$AK$21,INDEX($AC$8:$AC$1407,$AG737)+1))</f>
        <v/>
      </c>
      <c r="J737" s="92" t="str">
        <f>IF($AG737="","",INDEX(V_WBS,INDEX($AB$8:$AB$1407,$AG737)))</f>
        <v/>
      </c>
      <c r="K737" s="92" t="str">
        <f>IF($AG737="","",INDEX(V_Projdef,INDEX($AB$8:$AB$1407,$AG737)))</f>
        <v/>
      </c>
      <c r="L737" s="92" t="str">
        <f>IF($AG737="","",INDEX(V_Naam,INDEX($AB$8:$AB$1407,$AG737)))</f>
        <v/>
      </c>
      <c r="M737" s="92" t="str">
        <f>IF($AG737="","",INDEX(V_Type,INDEX($AB$8:$AB$1407,$AG737)))</f>
        <v/>
      </c>
      <c r="N737" s="92" t="str">
        <f>IF($AG737="","",INDEX(V_IFRS,INDEX($AB$8:$AB$1407,$AG737)))</f>
        <v/>
      </c>
      <c r="O737" s="92" t="str">
        <f>IF($AG737="","",INDEX($AL$8:$AL$21,INDEX($AC$8:$AC$1407,$AG737)+1))</f>
        <v/>
      </c>
      <c r="P737" s="109" t="str">
        <f>IF($AG737="","",INDEX($AD$8:$AD$1407,$AG737))</f>
        <v/>
      </c>
      <c r="Q737" s="92" t="str">
        <f>IF($AG737="","",INDEX($AM$8:$AM$21,INDEX($AC$8:$AC$1407,$AG737)+1))</f>
        <v/>
      </c>
      <c r="R737" s="92" t="str">
        <f>IF($AG737="","",IF($G737&gt;0,P_ToelCorrectie&amp;"",""))</f>
        <v/>
      </c>
      <c r="S737" s="15" t="str">
        <f>IF(J737="","",J737&amp;"|"&amp;E737&amp;"|"&amp;F737&amp;"|"&amp;I737&amp;"|"&amp;O737)</f>
        <v/>
      </c>
      <c r="T737" s="111" t="str">
        <f>IF(S737="","",IF(COUNTIFS(L_Sleutel,S737,L_Actief,1)=0,"",SUMIFS(L_Waarde,L_Sleutel,S737,L_Actief,1)))</f>
        <v/>
      </c>
      <c r="U737" s="111">
        <f>IF(OR(S737="",T737=""),0,P737-T737)</f>
        <v>0</v>
      </c>
      <c r="AB737" s="112" t="n">
        <v>53</v>
      </c>
      <c r="AC737" s="112" t="n">
        <v>1</v>
      </c>
      <c r="AD737" s="112" t="str">
        <f>VERW_Project!Q58</f>
        <v/>
      </c>
      <c r="AE737" s="112">
        <f>IF(AND(VERW_Project!$A58&lt;&gt;"",ISNUMBER(AD737)),1,0)</f>
        <v>0</v>
      </c>
      <c r="AF737" s="112" t="str">
        <f>IF(AE737=1,SUM($AE$8:AE737),"")</f>
        <v/>
      </c>
      <c r="AG737" t="str">
        <f>IFERROR(MATCH(730,$AF$8:$AF$1407,0),"")</f>
        <v/>
      </c>
    </row>
    <row r="738">
      <c r="A738" s="92" t="str">
        <f>IF($AG738="","",P_ImportID)</f>
        <v/>
      </c>
      <c r="B738" s="92" t="str">
        <f>IF($AG738="","",IF(INDEX($AN$8:$AN$21,INDEX($AC$8:$AC$1407,$AG738)+1)="Z",P_BronZ,P_BronE))</f>
        <v/>
      </c>
      <c r="C738" s="108" t="str">
        <f>IF($AG738="","",P_Importdatum)</f>
        <v/>
      </c>
      <c r="D738" s="92" t="str">
        <f>IF($AG738="","",P_StatusVastleg)</f>
        <v/>
      </c>
      <c r="E738" s="92" t="str">
        <f>IF($AG738="","",P_UploadVJ)</f>
        <v/>
      </c>
      <c r="F738" s="92" t="str">
        <f>IF($AG738="","",P_UploadVersie)</f>
        <v/>
      </c>
      <c r="G738" s="92" t="str">
        <f>IF($AG738="","",IF(COUNTIFS(L_Sleutel,$S738,L_Status,"Vastgesteld")=0,0,_xlfn.MAXIFS(L_Revisie,L_Sleutel,$S738,L_Status,"Vastgesteld")+1))</f>
        <v/>
      </c>
      <c r="H738" s="108" t="str">
        <f>IF($AG738="","",P_Peildatum)</f>
        <v/>
      </c>
      <c r="I738" s="92" t="str">
        <f>IF($AG738="","",P_RJ+INDEX($AK$8:$AK$21,INDEX($AC$8:$AC$1407,$AG738)+1))</f>
        <v/>
      </c>
      <c r="J738" s="92" t="str">
        <f>IF($AG738="","",INDEX(V_WBS,INDEX($AB$8:$AB$1407,$AG738)))</f>
        <v/>
      </c>
      <c r="K738" s="92" t="str">
        <f>IF($AG738="","",INDEX(V_Projdef,INDEX($AB$8:$AB$1407,$AG738)))</f>
        <v/>
      </c>
      <c r="L738" s="92" t="str">
        <f>IF($AG738="","",INDEX(V_Naam,INDEX($AB$8:$AB$1407,$AG738)))</f>
        <v/>
      </c>
      <c r="M738" s="92" t="str">
        <f>IF($AG738="","",INDEX(V_Type,INDEX($AB$8:$AB$1407,$AG738)))</f>
        <v/>
      </c>
      <c r="N738" s="92" t="str">
        <f>IF($AG738="","",INDEX(V_IFRS,INDEX($AB$8:$AB$1407,$AG738)))</f>
        <v/>
      </c>
      <c r="O738" s="92" t="str">
        <f>IF($AG738="","",INDEX($AL$8:$AL$21,INDEX($AC$8:$AC$1407,$AG738)+1))</f>
        <v/>
      </c>
      <c r="P738" s="109" t="str">
        <f>IF($AG738="","",INDEX($AD$8:$AD$1407,$AG738))</f>
        <v/>
      </c>
      <c r="Q738" s="92" t="str">
        <f>IF($AG738="","",INDEX($AM$8:$AM$21,INDEX($AC$8:$AC$1407,$AG738)+1))</f>
        <v/>
      </c>
      <c r="R738" s="92" t="str">
        <f>IF($AG738="","",IF($G738&gt;0,P_ToelCorrectie&amp;"",""))</f>
        <v/>
      </c>
      <c r="S738" s="15" t="str">
        <f>IF(J738="","",J738&amp;"|"&amp;E738&amp;"|"&amp;F738&amp;"|"&amp;I738&amp;"|"&amp;O738)</f>
        <v/>
      </c>
      <c r="T738" s="111" t="str">
        <f>IF(S738="","",IF(COUNTIFS(L_Sleutel,S738,L_Actief,1)=0,"",SUMIFS(L_Waarde,L_Sleutel,S738,L_Actief,1)))</f>
        <v/>
      </c>
      <c r="U738" s="111">
        <f>IF(OR(S738="",T738=""),0,P738-T738)</f>
        <v>0</v>
      </c>
      <c r="AB738" s="112" t="n">
        <v>53</v>
      </c>
      <c r="AC738" s="112" t="n">
        <v>2</v>
      </c>
      <c r="AD738" s="112" t="str">
        <f>VERW_Project!L58</f>
        <v/>
      </c>
      <c r="AE738" s="112">
        <f>IF(AND(VERW_Project!$A58&lt;&gt;"",ISNUMBER(AD738)),1,0)</f>
        <v>0</v>
      </c>
      <c r="AF738" s="112" t="str">
        <f>IF(AE738=1,SUM($AE$8:AE738),"")</f>
        <v/>
      </c>
      <c r="AG738" t="str">
        <f>IFERROR(MATCH(731,$AF$8:$AF$1407,0),"")</f>
        <v/>
      </c>
    </row>
    <row r="739">
      <c r="A739" s="92" t="str">
        <f>IF($AG739="","",P_ImportID)</f>
        <v/>
      </c>
      <c r="B739" s="92" t="str">
        <f>IF($AG739="","",IF(INDEX($AN$8:$AN$21,INDEX($AC$8:$AC$1407,$AG739)+1)="Z",P_BronZ,P_BronE))</f>
        <v/>
      </c>
      <c r="C739" s="108" t="str">
        <f>IF($AG739="","",P_Importdatum)</f>
        <v/>
      </c>
      <c r="D739" s="92" t="str">
        <f>IF($AG739="","",P_StatusVastleg)</f>
        <v/>
      </c>
      <c r="E739" s="92" t="str">
        <f>IF($AG739="","",P_UploadVJ)</f>
        <v/>
      </c>
      <c r="F739" s="92" t="str">
        <f>IF($AG739="","",P_UploadVersie)</f>
        <v/>
      </c>
      <c r="G739" s="92" t="str">
        <f>IF($AG739="","",IF(COUNTIFS(L_Sleutel,$S739,L_Status,"Vastgesteld")=0,0,_xlfn.MAXIFS(L_Revisie,L_Sleutel,$S739,L_Status,"Vastgesteld")+1))</f>
        <v/>
      </c>
      <c r="H739" s="108" t="str">
        <f>IF($AG739="","",P_Peildatum)</f>
        <v/>
      </c>
      <c r="I739" s="92" t="str">
        <f>IF($AG739="","",P_RJ+INDEX($AK$8:$AK$21,INDEX($AC$8:$AC$1407,$AG739)+1))</f>
        <v/>
      </c>
      <c r="J739" s="92" t="str">
        <f>IF($AG739="","",INDEX(V_WBS,INDEX($AB$8:$AB$1407,$AG739)))</f>
        <v/>
      </c>
      <c r="K739" s="92" t="str">
        <f>IF($AG739="","",INDEX(V_Projdef,INDEX($AB$8:$AB$1407,$AG739)))</f>
        <v/>
      </c>
      <c r="L739" s="92" t="str">
        <f>IF($AG739="","",INDEX(V_Naam,INDEX($AB$8:$AB$1407,$AG739)))</f>
        <v/>
      </c>
      <c r="M739" s="92" t="str">
        <f>IF($AG739="","",INDEX(V_Type,INDEX($AB$8:$AB$1407,$AG739)))</f>
        <v/>
      </c>
      <c r="N739" s="92" t="str">
        <f>IF($AG739="","",INDEX(V_IFRS,INDEX($AB$8:$AB$1407,$AG739)))</f>
        <v/>
      </c>
      <c r="O739" s="92" t="str">
        <f>IF($AG739="","",INDEX($AL$8:$AL$21,INDEX($AC$8:$AC$1407,$AG739)+1))</f>
        <v/>
      </c>
      <c r="P739" s="109" t="str">
        <f>IF($AG739="","",INDEX($AD$8:$AD$1407,$AG739))</f>
        <v/>
      </c>
      <c r="Q739" s="92" t="str">
        <f>IF($AG739="","",INDEX($AM$8:$AM$21,INDEX($AC$8:$AC$1407,$AG739)+1))</f>
        <v/>
      </c>
      <c r="R739" s="92" t="str">
        <f>IF($AG739="","",IF($G739&gt;0,P_ToelCorrectie&amp;"",""))</f>
        <v/>
      </c>
      <c r="S739" s="15" t="str">
        <f>IF(J739="","",J739&amp;"|"&amp;E739&amp;"|"&amp;F739&amp;"|"&amp;I739&amp;"|"&amp;O739)</f>
        <v/>
      </c>
      <c r="T739" s="111" t="str">
        <f>IF(S739="","",IF(COUNTIFS(L_Sleutel,S739,L_Actief,1)=0,"",SUMIFS(L_Waarde,L_Sleutel,S739,L_Actief,1)))</f>
        <v/>
      </c>
      <c r="U739" s="111">
        <f>IF(OR(S739="",T739=""),0,P739-T739)</f>
        <v>0</v>
      </c>
      <c r="AB739" s="112" t="n">
        <v>53</v>
      </c>
      <c r="AC739" s="112" t="n">
        <v>3</v>
      </c>
      <c r="AD739" s="112" t="str">
        <f>VERW_Project!M58</f>
        <v/>
      </c>
      <c r="AE739" s="112">
        <f>IF(AND(VERW_Project!$A58&lt;&gt;"",ISNUMBER(AD739)),1,0)</f>
        <v>0</v>
      </c>
      <c r="AF739" s="112" t="str">
        <f>IF(AE739=1,SUM($AE$8:AE739),"")</f>
        <v/>
      </c>
      <c r="AG739" t="str">
        <f>IFERROR(MATCH(732,$AF$8:$AF$1407,0),"")</f>
        <v/>
      </c>
    </row>
    <row r="740">
      <c r="A740" s="92" t="str">
        <f>IF($AG740="","",P_ImportID)</f>
        <v/>
      </c>
      <c r="B740" s="92" t="str">
        <f>IF($AG740="","",IF(INDEX($AN$8:$AN$21,INDEX($AC$8:$AC$1407,$AG740)+1)="Z",P_BronZ,P_BronE))</f>
        <v/>
      </c>
      <c r="C740" s="108" t="str">
        <f>IF($AG740="","",P_Importdatum)</f>
        <v/>
      </c>
      <c r="D740" s="92" t="str">
        <f>IF($AG740="","",P_StatusVastleg)</f>
        <v/>
      </c>
      <c r="E740" s="92" t="str">
        <f>IF($AG740="","",P_UploadVJ)</f>
        <v/>
      </c>
      <c r="F740" s="92" t="str">
        <f>IF($AG740="","",P_UploadVersie)</f>
        <v/>
      </c>
      <c r="G740" s="92" t="str">
        <f>IF($AG740="","",IF(COUNTIFS(L_Sleutel,$S740,L_Status,"Vastgesteld")=0,0,_xlfn.MAXIFS(L_Revisie,L_Sleutel,$S740,L_Status,"Vastgesteld")+1))</f>
        <v/>
      </c>
      <c r="H740" s="108" t="str">
        <f>IF($AG740="","",P_Peildatum)</f>
        <v/>
      </c>
      <c r="I740" s="92" t="str">
        <f>IF($AG740="","",P_RJ+INDEX($AK$8:$AK$21,INDEX($AC$8:$AC$1407,$AG740)+1))</f>
        <v/>
      </c>
      <c r="J740" s="92" t="str">
        <f>IF($AG740="","",INDEX(V_WBS,INDEX($AB$8:$AB$1407,$AG740)))</f>
        <v/>
      </c>
      <c r="K740" s="92" t="str">
        <f>IF($AG740="","",INDEX(V_Projdef,INDEX($AB$8:$AB$1407,$AG740)))</f>
        <v/>
      </c>
      <c r="L740" s="92" t="str">
        <f>IF($AG740="","",INDEX(V_Naam,INDEX($AB$8:$AB$1407,$AG740)))</f>
        <v/>
      </c>
      <c r="M740" s="92" t="str">
        <f>IF($AG740="","",INDEX(V_Type,INDEX($AB$8:$AB$1407,$AG740)))</f>
        <v/>
      </c>
      <c r="N740" s="92" t="str">
        <f>IF($AG740="","",INDEX(V_IFRS,INDEX($AB$8:$AB$1407,$AG740)))</f>
        <v/>
      </c>
      <c r="O740" s="92" t="str">
        <f>IF($AG740="","",INDEX($AL$8:$AL$21,INDEX($AC$8:$AC$1407,$AG740)+1))</f>
        <v/>
      </c>
      <c r="P740" s="109" t="str">
        <f>IF($AG740="","",INDEX($AD$8:$AD$1407,$AG740))</f>
        <v/>
      </c>
      <c r="Q740" s="92" t="str">
        <f>IF($AG740="","",INDEX($AM$8:$AM$21,INDEX($AC$8:$AC$1407,$AG740)+1))</f>
        <v/>
      </c>
      <c r="R740" s="92" t="str">
        <f>IF($AG740="","",IF($G740&gt;0,P_ToelCorrectie&amp;"",""))</f>
        <v/>
      </c>
      <c r="S740" s="15" t="str">
        <f>IF(J740="","",J740&amp;"|"&amp;E740&amp;"|"&amp;F740&amp;"|"&amp;I740&amp;"|"&amp;O740)</f>
        <v/>
      </c>
      <c r="T740" s="111" t="str">
        <f>IF(S740="","",IF(COUNTIFS(L_Sleutel,S740,L_Actief,1)=0,"",SUMIFS(L_Waarde,L_Sleutel,S740,L_Actief,1)))</f>
        <v/>
      </c>
      <c r="U740" s="111">
        <f>IF(OR(S740="",T740=""),0,P740-T740)</f>
        <v>0</v>
      </c>
      <c r="AB740" s="112" t="n">
        <v>53</v>
      </c>
      <c r="AC740" s="112" t="n">
        <v>4</v>
      </c>
      <c r="AD740" s="112" t="str">
        <f>VERW_Project!R58</f>
        <v/>
      </c>
      <c r="AE740" s="112">
        <f>IF(AND(VERW_Project!$A58&lt;&gt;"",ISNUMBER(AD740)),1,0)</f>
        <v>0</v>
      </c>
      <c r="AF740" s="112" t="str">
        <f>IF(AE740=1,SUM($AE$8:AE740),"")</f>
        <v/>
      </c>
      <c r="AG740" t="str">
        <f>IFERROR(MATCH(733,$AF$8:$AF$1407,0),"")</f>
        <v/>
      </c>
    </row>
    <row r="741">
      <c r="A741" s="92" t="str">
        <f>IF($AG741="","",P_ImportID)</f>
        <v/>
      </c>
      <c r="B741" s="92" t="str">
        <f>IF($AG741="","",IF(INDEX($AN$8:$AN$21,INDEX($AC$8:$AC$1407,$AG741)+1)="Z",P_BronZ,P_BronE))</f>
        <v/>
      </c>
      <c r="C741" s="108" t="str">
        <f>IF($AG741="","",P_Importdatum)</f>
        <v/>
      </c>
      <c r="D741" s="92" t="str">
        <f>IF($AG741="","",P_StatusVastleg)</f>
        <v/>
      </c>
      <c r="E741" s="92" t="str">
        <f>IF($AG741="","",P_UploadVJ)</f>
        <v/>
      </c>
      <c r="F741" s="92" t="str">
        <f>IF($AG741="","",P_UploadVersie)</f>
        <v/>
      </c>
      <c r="G741" s="92" t="str">
        <f>IF($AG741="","",IF(COUNTIFS(L_Sleutel,$S741,L_Status,"Vastgesteld")=0,0,_xlfn.MAXIFS(L_Revisie,L_Sleutel,$S741,L_Status,"Vastgesteld")+1))</f>
        <v/>
      </c>
      <c r="H741" s="108" t="str">
        <f>IF($AG741="","",P_Peildatum)</f>
        <v/>
      </c>
      <c r="I741" s="92" t="str">
        <f>IF($AG741="","",P_RJ+INDEX($AK$8:$AK$21,INDEX($AC$8:$AC$1407,$AG741)+1))</f>
        <v/>
      </c>
      <c r="J741" s="92" t="str">
        <f>IF($AG741="","",INDEX(V_WBS,INDEX($AB$8:$AB$1407,$AG741)))</f>
        <v/>
      </c>
      <c r="K741" s="92" t="str">
        <f>IF($AG741="","",INDEX(V_Projdef,INDEX($AB$8:$AB$1407,$AG741)))</f>
        <v/>
      </c>
      <c r="L741" s="92" t="str">
        <f>IF($AG741="","",INDEX(V_Naam,INDEX($AB$8:$AB$1407,$AG741)))</f>
        <v/>
      </c>
      <c r="M741" s="92" t="str">
        <f>IF($AG741="","",INDEX(V_Type,INDEX($AB$8:$AB$1407,$AG741)))</f>
        <v/>
      </c>
      <c r="N741" s="92" t="str">
        <f>IF($AG741="","",INDEX(V_IFRS,INDEX($AB$8:$AB$1407,$AG741)))</f>
        <v/>
      </c>
      <c r="O741" s="92" t="str">
        <f>IF($AG741="","",INDEX($AL$8:$AL$21,INDEX($AC$8:$AC$1407,$AG741)+1))</f>
        <v/>
      </c>
      <c r="P741" s="109" t="str">
        <f>IF($AG741="","",INDEX($AD$8:$AD$1407,$AG741))</f>
        <v/>
      </c>
      <c r="Q741" s="92" t="str">
        <f>IF($AG741="","",INDEX($AM$8:$AM$21,INDEX($AC$8:$AC$1407,$AG741)+1))</f>
        <v/>
      </c>
      <c r="R741" s="92" t="str">
        <f>IF($AG741="","",IF($G741&gt;0,P_ToelCorrectie&amp;"",""))</f>
        <v/>
      </c>
      <c r="S741" s="15" t="str">
        <f>IF(J741="","",J741&amp;"|"&amp;E741&amp;"|"&amp;F741&amp;"|"&amp;I741&amp;"|"&amp;O741)</f>
        <v/>
      </c>
      <c r="T741" s="111" t="str">
        <f>IF(S741="","",IF(COUNTIFS(L_Sleutel,S741,L_Actief,1)=0,"",SUMIFS(L_Waarde,L_Sleutel,S741,L_Actief,1)))</f>
        <v/>
      </c>
      <c r="U741" s="111">
        <f>IF(OR(S741="",T741=""),0,P741-T741)</f>
        <v>0</v>
      </c>
      <c r="AB741" s="112" t="n">
        <v>53</v>
      </c>
      <c r="AC741" s="112" t="n">
        <v>5</v>
      </c>
      <c r="AD741" s="112" t="str">
        <f>VERW_Project!S58</f>
        <v/>
      </c>
      <c r="AE741" s="112">
        <f>IF(AND(VERW_Project!$A58&lt;&gt;"",ISNUMBER(AD741)),1,0)</f>
        <v>0</v>
      </c>
      <c r="AF741" s="112" t="str">
        <f>IF(AE741=1,SUM($AE$8:AE741),"")</f>
        <v/>
      </c>
      <c r="AG741" t="str">
        <f>IFERROR(MATCH(734,$AF$8:$AF$1407,0),"")</f>
        <v/>
      </c>
    </row>
    <row r="742">
      <c r="A742" s="92" t="str">
        <f>IF($AG742="","",P_ImportID)</f>
        <v/>
      </c>
      <c r="B742" s="92" t="str">
        <f>IF($AG742="","",IF(INDEX($AN$8:$AN$21,INDEX($AC$8:$AC$1407,$AG742)+1)="Z",P_BronZ,P_BronE))</f>
        <v/>
      </c>
      <c r="C742" s="108" t="str">
        <f>IF($AG742="","",P_Importdatum)</f>
        <v/>
      </c>
      <c r="D742" s="92" t="str">
        <f>IF($AG742="","",P_StatusVastleg)</f>
        <v/>
      </c>
      <c r="E742" s="92" t="str">
        <f>IF($AG742="","",P_UploadVJ)</f>
        <v/>
      </c>
      <c r="F742" s="92" t="str">
        <f>IF($AG742="","",P_UploadVersie)</f>
        <v/>
      </c>
      <c r="G742" s="92" t="str">
        <f>IF($AG742="","",IF(COUNTIFS(L_Sleutel,$S742,L_Status,"Vastgesteld")=0,0,_xlfn.MAXIFS(L_Revisie,L_Sleutel,$S742,L_Status,"Vastgesteld")+1))</f>
        <v/>
      </c>
      <c r="H742" s="108" t="str">
        <f>IF($AG742="","",P_Peildatum)</f>
        <v/>
      </c>
      <c r="I742" s="92" t="str">
        <f>IF($AG742="","",P_RJ+INDEX($AK$8:$AK$21,INDEX($AC$8:$AC$1407,$AG742)+1))</f>
        <v/>
      </c>
      <c r="J742" s="92" t="str">
        <f>IF($AG742="","",INDEX(V_WBS,INDEX($AB$8:$AB$1407,$AG742)))</f>
        <v/>
      </c>
      <c r="K742" s="92" t="str">
        <f>IF($AG742="","",INDEX(V_Projdef,INDEX($AB$8:$AB$1407,$AG742)))</f>
        <v/>
      </c>
      <c r="L742" s="92" t="str">
        <f>IF($AG742="","",INDEX(V_Naam,INDEX($AB$8:$AB$1407,$AG742)))</f>
        <v/>
      </c>
      <c r="M742" s="92" t="str">
        <f>IF($AG742="","",INDEX(V_Type,INDEX($AB$8:$AB$1407,$AG742)))</f>
        <v/>
      </c>
      <c r="N742" s="92" t="str">
        <f>IF($AG742="","",INDEX(V_IFRS,INDEX($AB$8:$AB$1407,$AG742)))</f>
        <v/>
      </c>
      <c r="O742" s="92" t="str">
        <f>IF($AG742="","",INDEX($AL$8:$AL$21,INDEX($AC$8:$AC$1407,$AG742)+1))</f>
        <v/>
      </c>
      <c r="P742" s="109" t="str">
        <f>IF($AG742="","",INDEX($AD$8:$AD$1407,$AG742))</f>
        <v/>
      </c>
      <c r="Q742" s="92" t="str">
        <f>IF($AG742="","",INDEX($AM$8:$AM$21,INDEX($AC$8:$AC$1407,$AG742)+1))</f>
        <v/>
      </c>
      <c r="R742" s="92" t="str">
        <f>IF($AG742="","",IF($G742&gt;0,P_ToelCorrectie&amp;"",""))</f>
        <v/>
      </c>
      <c r="S742" s="15" t="str">
        <f>IF(J742="","",J742&amp;"|"&amp;E742&amp;"|"&amp;F742&amp;"|"&amp;I742&amp;"|"&amp;O742)</f>
        <v/>
      </c>
      <c r="T742" s="111" t="str">
        <f>IF(S742="","",IF(COUNTIFS(L_Sleutel,S742,L_Actief,1)=0,"",SUMIFS(L_Waarde,L_Sleutel,S742,L_Actief,1)))</f>
        <v/>
      </c>
      <c r="U742" s="111">
        <f>IF(OR(S742="",T742=""),0,P742-T742)</f>
        <v>0</v>
      </c>
      <c r="AB742" s="112" t="n">
        <v>53</v>
      </c>
      <c r="AC742" s="112" t="n">
        <v>6</v>
      </c>
      <c r="AD742" s="112" t="str">
        <f>VERW_Project!BW58</f>
        <v/>
      </c>
      <c r="AE742" s="112">
        <f>IF(AND(VERW_Project!$A58&lt;&gt;"",ISNUMBER(AD742)),1,0)</f>
        <v>0</v>
      </c>
      <c r="AF742" s="112" t="str">
        <f>IF(AE742=1,SUM($AE$8:AE742),"")</f>
        <v/>
      </c>
      <c r="AG742" t="str">
        <f>IFERROR(MATCH(735,$AF$8:$AF$1407,0),"")</f>
        <v/>
      </c>
    </row>
    <row r="743">
      <c r="A743" s="92" t="str">
        <f>IF($AG743="","",P_ImportID)</f>
        <v/>
      </c>
      <c r="B743" s="92" t="str">
        <f>IF($AG743="","",IF(INDEX($AN$8:$AN$21,INDEX($AC$8:$AC$1407,$AG743)+1)="Z",P_BronZ,P_BronE))</f>
        <v/>
      </c>
      <c r="C743" s="108" t="str">
        <f>IF($AG743="","",P_Importdatum)</f>
        <v/>
      </c>
      <c r="D743" s="92" t="str">
        <f>IF($AG743="","",P_StatusVastleg)</f>
        <v/>
      </c>
      <c r="E743" s="92" t="str">
        <f>IF($AG743="","",P_UploadVJ)</f>
        <v/>
      </c>
      <c r="F743" s="92" t="str">
        <f>IF($AG743="","",P_UploadVersie)</f>
        <v/>
      </c>
      <c r="G743" s="92" t="str">
        <f>IF($AG743="","",IF(COUNTIFS(L_Sleutel,$S743,L_Status,"Vastgesteld")=0,0,_xlfn.MAXIFS(L_Revisie,L_Sleutel,$S743,L_Status,"Vastgesteld")+1))</f>
        <v/>
      </c>
      <c r="H743" s="108" t="str">
        <f>IF($AG743="","",P_Peildatum)</f>
        <v/>
      </c>
      <c r="I743" s="92" t="str">
        <f>IF($AG743="","",P_RJ+INDEX($AK$8:$AK$21,INDEX($AC$8:$AC$1407,$AG743)+1))</f>
        <v/>
      </c>
      <c r="J743" s="92" t="str">
        <f>IF($AG743="","",INDEX(V_WBS,INDEX($AB$8:$AB$1407,$AG743)))</f>
        <v/>
      </c>
      <c r="K743" s="92" t="str">
        <f>IF($AG743="","",INDEX(V_Projdef,INDEX($AB$8:$AB$1407,$AG743)))</f>
        <v/>
      </c>
      <c r="L743" s="92" t="str">
        <f>IF($AG743="","",INDEX(V_Naam,INDEX($AB$8:$AB$1407,$AG743)))</f>
        <v/>
      </c>
      <c r="M743" s="92" t="str">
        <f>IF($AG743="","",INDEX(V_Type,INDEX($AB$8:$AB$1407,$AG743)))</f>
        <v/>
      </c>
      <c r="N743" s="92" t="str">
        <f>IF($AG743="","",INDEX(V_IFRS,INDEX($AB$8:$AB$1407,$AG743)))</f>
        <v/>
      </c>
      <c r="O743" s="92" t="str">
        <f>IF($AG743="","",INDEX($AL$8:$AL$21,INDEX($AC$8:$AC$1407,$AG743)+1))</f>
        <v/>
      </c>
      <c r="P743" s="109" t="str">
        <f>IF($AG743="","",INDEX($AD$8:$AD$1407,$AG743))</f>
        <v/>
      </c>
      <c r="Q743" s="92" t="str">
        <f>IF($AG743="","",INDEX($AM$8:$AM$21,INDEX($AC$8:$AC$1407,$AG743)+1))</f>
        <v/>
      </c>
      <c r="R743" s="92" t="str">
        <f>IF($AG743="","",IF($G743&gt;0,P_ToelCorrectie&amp;"",""))</f>
        <v/>
      </c>
      <c r="S743" s="15" t="str">
        <f>IF(J743="","",J743&amp;"|"&amp;E743&amp;"|"&amp;F743&amp;"|"&amp;I743&amp;"|"&amp;O743)</f>
        <v/>
      </c>
      <c r="T743" s="111" t="str">
        <f>IF(S743="","",IF(COUNTIFS(L_Sleutel,S743,L_Actief,1)=0,"",SUMIFS(L_Waarde,L_Sleutel,S743,L_Actief,1)))</f>
        <v/>
      </c>
      <c r="U743" s="111">
        <f>IF(OR(S743="",T743=""),0,P743-T743)</f>
        <v>0</v>
      </c>
      <c r="AB743" s="112" t="n">
        <v>53</v>
      </c>
      <c r="AC743" s="112" t="n">
        <v>7</v>
      </c>
      <c r="AD743" s="112" t="str">
        <f>VERW_Project!AW58</f>
        <v/>
      </c>
      <c r="AE743" s="112">
        <f>IF(AND(VERW_Project!$A58&lt;&gt;"",ISNUMBER(AD743)),1,0)</f>
        <v>0</v>
      </c>
      <c r="AF743" s="112" t="str">
        <f>IF(AE743=1,SUM($AE$8:AE743),"")</f>
        <v/>
      </c>
      <c r="AG743" t="str">
        <f>IFERROR(MATCH(736,$AF$8:$AF$1407,0),"")</f>
        <v/>
      </c>
    </row>
    <row r="744">
      <c r="A744" s="92" t="str">
        <f>IF($AG744="","",P_ImportID)</f>
        <v/>
      </c>
      <c r="B744" s="92" t="str">
        <f>IF($AG744="","",IF(INDEX($AN$8:$AN$21,INDEX($AC$8:$AC$1407,$AG744)+1)="Z",P_BronZ,P_BronE))</f>
        <v/>
      </c>
      <c r="C744" s="108" t="str">
        <f>IF($AG744="","",P_Importdatum)</f>
        <v/>
      </c>
      <c r="D744" s="92" t="str">
        <f>IF($AG744="","",P_StatusVastleg)</f>
        <v/>
      </c>
      <c r="E744" s="92" t="str">
        <f>IF($AG744="","",P_UploadVJ)</f>
        <v/>
      </c>
      <c r="F744" s="92" t="str">
        <f>IF($AG744="","",P_UploadVersie)</f>
        <v/>
      </c>
      <c r="G744" s="92" t="str">
        <f>IF($AG744="","",IF(COUNTIFS(L_Sleutel,$S744,L_Status,"Vastgesteld")=0,0,_xlfn.MAXIFS(L_Revisie,L_Sleutel,$S744,L_Status,"Vastgesteld")+1))</f>
        <v/>
      </c>
      <c r="H744" s="108" t="str">
        <f>IF($AG744="","",P_Peildatum)</f>
        <v/>
      </c>
      <c r="I744" s="92" t="str">
        <f>IF($AG744="","",P_RJ+INDEX($AK$8:$AK$21,INDEX($AC$8:$AC$1407,$AG744)+1))</f>
        <v/>
      </c>
      <c r="J744" s="92" t="str">
        <f>IF($AG744="","",INDEX(V_WBS,INDEX($AB$8:$AB$1407,$AG744)))</f>
        <v/>
      </c>
      <c r="K744" s="92" t="str">
        <f>IF($AG744="","",INDEX(V_Projdef,INDEX($AB$8:$AB$1407,$AG744)))</f>
        <v/>
      </c>
      <c r="L744" s="92" t="str">
        <f>IF($AG744="","",INDEX(V_Naam,INDEX($AB$8:$AB$1407,$AG744)))</f>
        <v/>
      </c>
      <c r="M744" s="92" t="str">
        <f>IF($AG744="","",INDEX(V_Type,INDEX($AB$8:$AB$1407,$AG744)))</f>
        <v/>
      </c>
      <c r="N744" s="92" t="str">
        <f>IF($AG744="","",INDEX(V_IFRS,INDEX($AB$8:$AB$1407,$AG744)))</f>
        <v/>
      </c>
      <c r="O744" s="92" t="str">
        <f>IF($AG744="","",INDEX($AL$8:$AL$21,INDEX($AC$8:$AC$1407,$AG744)+1))</f>
        <v/>
      </c>
      <c r="P744" s="109" t="str">
        <f>IF($AG744="","",INDEX($AD$8:$AD$1407,$AG744))</f>
        <v/>
      </c>
      <c r="Q744" s="92" t="str">
        <f>IF($AG744="","",INDEX($AM$8:$AM$21,INDEX($AC$8:$AC$1407,$AG744)+1))</f>
        <v/>
      </c>
      <c r="R744" s="92" t="str">
        <f>IF($AG744="","",IF($G744&gt;0,P_ToelCorrectie&amp;"",""))</f>
        <v/>
      </c>
      <c r="S744" s="15" t="str">
        <f>IF(J744="","",J744&amp;"|"&amp;E744&amp;"|"&amp;F744&amp;"|"&amp;I744&amp;"|"&amp;O744)</f>
        <v/>
      </c>
      <c r="T744" s="111" t="str">
        <f>IF(S744="","",IF(COUNTIFS(L_Sleutel,S744,L_Actief,1)=0,"",SUMIFS(L_Waarde,L_Sleutel,S744,L_Actief,1)))</f>
        <v/>
      </c>
      <c r="U744" s="111">
        <f>IF(OR(S744="",T744=""),0,P744-T744)</f>
        <v>0</v>
      </c>
      <c r="AB744" s="112" t="n">
        <v>53</v>
      </c>
      <c r="AC744" s="112" t="n">
        <v>8</v>
      </c>
      <c r="AD744" s="112" t="str">
        <f>VERW_Project!BQ58</f>
        <v/>
      </c>
      <c r="AE744" s="112">
        <f>IF(AND(VERW_Project!$A58&lt;&gt;"",ISNUMBER(AD744)),1,0)</f>
        <v>0</v>
      </c>
      <c r="AF744" s="112" t="str">
        <f>IF(AE744=1,SUM($AE$8:AE744),"")</f>
        <v/>
      </c>
      <c r="AG744" t="str">
        <f>IFERROR(MATCH(737,$AF$8:$AF$1407,0),"")</f>
        <v/>
      </c>
    </row>
    <row r="745">
      <c r="A745" s="92" t="str">
        <f>IF($AG745="","",P_ImportID)</f>
        <v/>
      </c>
      <c r="B745" s="92" t="str">
        <f>IF($AG745="","",IF(INDEX($AN$8:$AN$21,INDEX($AC$8:$AC$1407,$AG745)+1)="Z",P_BronZ,P_BronE))</f>
        <v/>
      </c>
      <c r="C745" s="108" t="str">
        <f>IF($AG745="","",P_Importdatum)</f>
        <v/>
      </c>
      <c r="D745" s="92" t="str">
        <f>IF($AG745="","",P_StatusVastleg)</f>
        <v/>
      </c>
      <c r="E745" s="92" t="str">
        <f>IF($AG745="","",P_UploadVJ)</f>
        <v/>
      </c>
      <c r="F745" s="92" t="str">
        <f>IF($AG745="","",P_UploadVersie)</f>
        <v/>
      </c>
      <c r="G745" s="92" t="str">
        <f>IF($AG745="","",IF(COUNTIFS(L_Sleutel,$S745,L_Status,"Vastgesteld")=0,0,_xlfn.MAXIFS(L_Revisie,L_Sleutel,$S745,L_Status,"Vastgesteld")+1))</f>
        <v/>
      </c>
      <c r="H745" s="108" t="str">
        <f>IF($AG745="","",P_Peildatum)</f>
        <v/>
      </c>
      <c r="I745" s="92" t="str">
        <f>IF($AG745="","",P_RJ+INDEX($AK$8:$AK$21,INDEX($AC$8:$AC$1407,$AG745)+1))</f>
        <v/>
      </c>
      <c r="J745" s="92" t="str">
        <f>IF($AG745="","",INDEX(V_WBS,INDEX($AB$8:$AB$1407,$AG745)))</f>
        <v/>
      </c>
      <c r="K745" s="92" t="str">
        <f>IF($AG745="","",INDEX(V_Projdef,INDEX($AB$8:$AB$1407,$AG745)))</f>
        <v/>
      </c>
      <c r="L745" s="92" t="str">
        <f>IF($AG745="","",INDEX(V_Naam,INDEX($AB$8:$AB$1407,$AG745)))</f>
        <v/>
      </c>
      <c r="M745" s="92" t="str">
        <f>IF($AG745="","",INDEX(V_Type,INDEX($AB$8:$AB$1407,$AG745)))</f>
        <v/>
      </c>
      <c r="N745" s="92" t="str">
        <f>IF($AG745="","",INDEX(V_IFRS,INDEX($AB$8:$AB$1407,$AG745)))</f>
        <v/>
      </c>
      <c r="O745" s="92" t="str">
        <f>IF($AG745="","",INDEX($AL$8:$AL$21,INDEX($AC$8:$AC$1407,$AG745)+1))</f>
        <v/>
      </c>
      <c r="P745" s="109" t="str">
        <f>IF($AG745="","",INDEX($AD$8:$AD$1407,$AG745))</f>
        <v/>
      </c>
      <c r="Q745" s="92" t="str">
        <f>IF($AG745="","",INDEX($AM$8:$AM$21,INDEX($AC$8:$AC$1407,$AG745)+1))</f>
        <v/>
      </c>
      <c r="R745" s="92" t="str">
        <f>IF($AG745="","",IF($G745&gt;0,P_ToelCorrectie&amp;"",""))</f>
        <v/>
      </c>
      <c r="S745" s="15" t="str">
        <f>IF(J745="","",J745&amp;"|"&amp;E745&amp;"|"&amp;F745&amp;"|"&amp;I745&amp;"|"&amp;O745)</f>
        <v/>
      </c>
      <c r="T745" s="111" t="str">
        <f>IF(S745="","",IF(COUNTIFS(L_Sleutel,S745,L_Actief,1)=0,"",SUMIFS(L_Waarde,L_Sleutel,S745,L_Actief,1)))</f>
        <v/>
      </c>
      <c r="U745" s="111">
        <f>IF(OR(S745="",T745=""),0,P745-T745)</f>
        <v>0</v>
      </c>
      <c r="AB745" s="112" t="n">
        <v>53</v>
      </c>
      <c r="AC745" s="112" t="n">
        <v>9</v>
      </c>
      <c r="AD745" s="112" t="str">
        <f>VERW_Project!BR58</f>
        <v/>
      </c>
      <c r="AE745" s="112">
        <f>IF(AND(VERW_Project!$A58&lt;&gt;"",ISNUMBER(AD745)),1,0)</f>
        <v>0</v>
      </c>
      <c r="AF745" s="112" t="str">
        <f>IF(AE745=1,SUM($AE$8:AE745),"")</f>
        <v/>
      </c>
      <c r="AG745" t="str">
        <f>IFERROR(MATCH(738,$AF$8:$AF$1407,0),"")</f>
        <v/>
      </c>
    </row>
    <row r="746">
      <c r="A746" s="92" t="str">
        <f>IF($AG746="","",P_ImportID)</f>
        <v/>
      </c>
      <c r="B746" s="92" t="str">
        <f>IF($AG746="","",IF(INDEX($AN$8:$AN$21,INDEX($AC$8:$AC$1407,$AG746)+1)="Z",P_BronZ,P_BronE))</f>
        <v/>
      </c>
      <c r="C746" s="108" t="str">
        <f>IF($AG746="","",P_Importdatum)</f>
        <v/>
      </c>
      <c r="D746" s="92" t="str">
        <f>IF($AG746="","",P_StatusVastleg)</f>
        <v/>
      </c>
      <c r="E746" s="92" t="str">
        <f>IF($AG746="","",P_UploadVJ)</f>
        <v/>
      </c>
      <c r="F746" s="92" t="str">
        <f>IF($AG746="","",P_UploadVersie)</f>
        <v/>
      </c>
      <c r="G746" s="92" t="str">
        <f>IF($AG746="","",IF(COUNTIFS(L_Sleutel,$S746,L_Status,"Vastgesteld")=0,0,_xlfn.MAXIFS(L_Revisie,L_Sleutel,$S746,L_Status,"Vastgesteld")+1))</f>
        <v/>
      </c>
      <c r="H746" s="108" t="str">
        <f>IF($AG746="","",P_Peildatum)</f>
        <v/>
      </c>
      <c r="I746" s="92" t="str">
        <f>IF($AG746="","",P_RJ+INDEX($AK$8:$AK$21,INDEX($AC$8:$AC$1407,$AG746)+1))</f>
        <v/>
      </c>
      <c r="J746" s="92" t="str">
        <f>IF($AG746="","",INDEX(V_WBS,INDEX($AB$8:$AB$1407,$AG746)))</f>
        <v/>
      </c>
      <c r="K746" s="92" t="str">
        <f>IF($AG746="","",INDEX(V_Projdef,INDEX($AB$8:$AB$1407,$AG746)))</f>
        <v/>
      </c>
      <c r="L746" s="92" t="str">
        <f>IF($AG746="","",INDEX(V_Naam,INDEX($AB$8:$AB$1407,$AG746)))</f>
        <v/>
      </c>
      <c r="M746" s="92" t="str">
        <f>IF($AG746="","",INDEX(V_Type,INDEX($AB$8:$AB$1407,$AG746)))</f>
        <v/>
      </c>
      <c r="N746" s="92" t="str">
        <f>IF($AG746="","",INDEX(V_IFRS,INDEX($AB$8:$AB$1407,$AG746)))</f>
        <v/>
      </c>
      <c r="O746" s="92" t="str">
        <f>IF($AG746="","",INDEX($AL$8:$AL$21,INDEX($AC$8:$AC$1407,$AG746)+1))</f>
        <v/>
      </c>
      <c r="P746" s="109" t="str">
        <f>IF($AG746="","",INDEX($AD$8:$AD$1407,$AG746))</f>
        <v/>
      </c>
      <c r="Q746" s="92" t="str">
        <f>IF($AG746="","",INDEX($AM$8:$AM$21,INDEX($AC$8:$AC$1407,$AG746)+1))</f>
        <v/>
      </c>
      <c r="R746" s="92" t="str">
        <f>IF($AG746="","",IF($G746&gt;0,P_ToelCorrectie&amp;"",""))</f>
        <v/>
      </c>
      <c r="S746" s="15" t="str">
        <f>IF(J746="","",J746&amp;"|"&amp;E746&amp;"|"&amp;F746&amp;"|"&amp;I746&amp;"|"&amp;O746)</f>
        <v/>
      </c>
      <c r="T746" s="111" t="str">
        <f>IF(S746="","",IF(COUNTIFS(L_Sleutel,S746,L_Actief,1)=0,"",SUMIFS(L_Waarde,L_Sleutel,S746,L_Actief,1)))</f>
        <v/>
      </c>
      <c r="U746" s="111">
        <f>IF(OR(S746="",T746=""),0,P746-T746)</f>
        <v>0</v>
      </c>
      <c r="AB746" s="112" t="n">
        <v>53</v>
      </c>
      <c r="AC746" s="112" t="n">
        <v>10</v>
      </c>
      <c r="AD746" s="112" t="str">
        <f>VERW_Project!BS58</f>
        <v/>
      </c>
      <c r="AE746" s="112">
        <f>IF(AND(VERW_Project!$A58&lt;&gt;"",ISNUMBER(AD746)),1,0)</f>
        <v>0</v>
      </c>
      <c r="AF746" s="112" t="str">
        <f>IF(AE746=1,SUM($AE$8:AE746),"")</f>
        <v/>
      </c>
      <c r="AG746" t="str">
        <f>IFERROR(MATCH(739,$AF$8:$AF$1407,0),"")</f>
        <v/>
      </c>
    </row>
    <row r="747">
      <c r="A747" s="92" t="str">
        <f>IF($AG747="","",P_ImportID)</f>
        <v/>
      </c>
      <c r="B747" s="92" t="str">
        <f>IF($AG747="","",IF(INDEX($AN$8:$AN$21,INDEX($AC$8:$AC$1407,$AG747)+1)="Z",P_BronZ,P_BronE))</f>
        <v/>
      </c>
      <c r="C747" s="108" t="str">
        <f>IF($AG747="","",P_Importdatum)</f>
        <v/>
      </c>
      <c r="D747" s="92" t="str">
        <f>IF($AG747="","",P_StatusVastleg)</f>
        <v/>
      </c>
      <c r="E747" s="92" t="str">
        <f>IF($AG747="","",P_UploadVJ)</f>
        <v/>
      </c>
      <c r="F747" s="92" t="str">
        <f>IF($AG747="","",P_UploadVersie)</f>
        <v/>
      </c>
      <c r="G747" s="92" t="str">
        <f>IF($AG747="","",IF(COUNTIFS(L_Sleutel,$S747,L_Status,"Vastgesteld")=0,0,_xlfn.MAXIFS(L_Revisie,L_Sleutel,$S747,L_Status,"Vastgesteld")+1))</f>
        <v/>
      </c>
      <c r="H747" s="108" t="str">
        <f>IF($AG747="","",P_Peildatum)</f>
        <v/>
      </c>
      <c r="I747" s="92" t="str">
        <f>IF($AG747="","",P_RJ+INDEX($AK$8:$AK$21,INDEX($AC$8:$AC$1407,$AG747)+1))</f>
        <v/>
      </c>
      <c r="J747" s="92" t="str">
        <f>IF($AG747="","",INDEX(V_WBS,INDEX($AB$8:$AB$1407,$AG747)))</f>
        <v/>
      </c>
      <c r="K747" s="92" t="str">
        <f>IF($AG747="","",INDEX(V_Projdef,INDEX($AB$8:$AB$1407,$AG747)))</f>
        <v/>
      </c>
      <c r="L747" s="92" t="str">
        <f>IF($AG747="","",INDEX(V_Naam,INDEX($AB$8:$AB$1407,$AG747)))</f>
        <v/>
      </c>
      <c r="M747" s="92" t="str">
        <f>IF($AG747="","",INDEX(V_Type,INDEX($AB$8:$AB$1407,$AG747)))</f>
        <v/>
      </c>
      <c r="N747" s="92" t="str">
        <f>IF($AG747="","",INDEX(V_IFRS,INDEX($AB$8:$AB$1407,$AG747)))</f>
        <v/>
      </c>
      <c r="O747" s="92" t="str">
        <f>IF($AG747="","",INDEX($AL$8:$AL$21,INDEX($AC$8:$AC$1407,$AG747)+1))</f>
        <v/>
      </c>
      <c r="P747" s="109" t="str">
        <f>IF($AG747="","",INDEX($AD$8:$AD$1407,$AG747))</f>
        <v/>
      </c>
      <c r="Q747" s="92" t="str">
        <f>IF($AG747="","",INDEX($AM$8:$AM$21,INDEX($AC$8:$AC$1407,$AG747)+1))</f>
        <v/>
      </c>
      <c r="R747" s="92" t="str">
        <f>IF($AG747="","",IF($G747&gt;0,P_ToelCorrectie&amp;"",""))</f>
        <v/>
      </c>
      <c r="S747" s="15" t="str">
        <f>IF(J747="","",J747&amp;"|"&amp;E747&amp;"|"&amp;F747&amp;"|"&amp;I747&amp;"|"&amp;O747)</f>
        <v/>
      </c>
      <c r="T747" s="111" t="str">
        <f>IF(S747="","",IF(COUNTIFS(L_Sleutel,S747,L_Actief,1)=0,"",SUMIFS(L_Waarde,L_Sleutel,S747,L_Actief,1)))</f>
        <v/>
      </c>
      <c r="U747" s="111">
        <f>IF(OR(S747="",T747=""),0,P747-T747)</f>
        <v>0</v>
      </c>
      <c r="AB747" s="112" t="n">
        <v>53</v>
      </c>
      <c r="AC747" s="112" t="n">
        <v>11</v>
      </c>
      <c r="AD747" s="112" t="str">
        <f>VERW_Project!BT58</f>
        <v/>
      </c>
      <c r="AE747" s="112">
        <f>IF(AND(VERW_Project!$A58&lt;&gt;"",ISNUMBER(AD747)),1,0)</f>
        <v>0</v>
      </c>
      <c r="AF747" s="112" t="str">
        <f>IF(AE747=1,SUM($AE$8:AE747),"")</f>
        <v/>
      </c>
      <c r="AG747" t="str">
        <f>IFERROR(MATCH(740,$AF$8:$AF$1407,0),"")</f>
        <v/>
      </c>
    </row>
    <row r="748">
      <c r="A748" s="92" t="str">
        <f>IF($AG748="","",P_ImportID)</f>
        <v/>
      </c>
      <c r="B748" s="92" t="str">
        <f>IF($AG748="","",IF(INDEX($AN$8:$AN$21,INDEX($AC$8:$AC$1407,$AG748)+1)="Z",P_BronZ,P_BronE))</f>
        <v/>
      </c>
      <c r="C748" s="108" t="str">
        <f>IF($AG748="","",P_Importdatum)</f>
        <v/>
      </c>
      <c r="D748" s="92" t="str">
        <f>IF($AG748="","",P_StatusVastleg)</f>
        <v/>
      </c>
      <c r="E748" s="92" t="str">
        <f>IF($AG748="","",P_UploadVJ)</f>
        <v/>
      </c>
      <c r="F748" s="92" t="str">
        <f>IF($AG748="","",P_UploadVersie)</f>
        <v/>
      </c>
      <c r="G748" s="92" t="str">
        <f>IF($AG748="","",IF(COUNTIFS(L_Sleutel,$S748,L_Status,"Vastgesteld")=0,0,_xlfn.MAXIFS(L_Revisie,L_Sleutel,$S748,L_Status,"Vastgesteld")+1))</f>
        <v/>
      </c>
      <c r="H748" s="108" t="str">
        <f>IF($AG748="","",P_Peildatum)</f>
        <v/>
      </c>
      <c r="I748" s="92" t="str">
        <f>IF($AG748="","",P_RJ+INDEX($AK$8:$AK$21,INDEX($AC$8:$AC$1407,$AG748)+1))</f>
        <v/>
      </c>
      <c r="J748" s="92" t="str">
        <f>IF($AG748="","",INDEX(V_WBS,INDEX($AB$8:$AB$1407,$AG748)))</f>
        <v/>
      </c>
      <c r="K748" s="92" t="str">
        <f>IF($AG748="","",INDEX(V_Projdef,INDEX($AB$8:$AB$1407,$AG748)))</f>
        <v/>
      </c>
      <c r="L748" s="92" t="str">
        <f>IF($AG748="","",INDEX(V_Naam,INDEX($AB$8:$AB$1407,$AG748)))</f>
        <v/>
      </c>
      <c r="M748" s="92" t="str">
        <f>IF($AG748="","",INDEX(V_Type,INDEX($AB$8:$AB$1407,$AG748)))</f>
        <v/>
      </c>
      <c r="N748" s="92" t="str">
        <f>IF($AG748="","",INDEX(V_IFRS,INDEX($AB$8:$AB$1407,$AG748)))</f>
        <v/>
      </c>
      <c r="O748" s="92" t="str">
        <f>IF($AG748="","",INDEX($AL$8:$AL$21,INDEX($AC$8:$AC$1407,$AG748)+1))</f>
        <v/>
      </c>
      <c r="P748" s="109" t="str">
        <f>IF($AG748="","",INDEX($AD$8:$AD$1407,$AG748))</f>
        <v/>
      </c>
      <c r="Q748" s="92" t="str">
        <f>IF($AG748="","",INDEX($AM$8:$AM$21,INDEX($AC$8:$AC$1407,$AG748)+1))</f>
        <v/>
      </c>
      <c r="R748" s="92" t="str">
        <f>IF($AG748="","",IF($G748&gt;0,P_ToelCorrectie&amp;"",""))</f>
        <v/>
      </c>
      <c r="S748" s="15" t="str">
        <f>IF(J748="","",J748&amp;"|"&amp;E748&amp;"|"&amp;F748&amp;"|"&amp;I748&amp;"|"&amp;O748)</f>
        <v/>
      </c>
      <c r="T748" s="111" t="str">
        <f>IF(S748="","",IF(COUNTIFS(L_Sleutel,S748,L_Actief,1)=0,"",SUMIFS(L_Waarde,L_Sleutel,S748,L_Actief,1)))</f>
        <v/>
      </c>
      <c r="U748" s="111">
        <f>IF(OR(S748="",T748=""),0,P748-T748)</f>
        <v>0</v>
      </c>
      <c r="AB748" s="112" t="n">
        <v>53</v>
      </c>
      <c r="AC748" s="112" t="n">
        <v>12</v>
      </c>
      <c r="AD748" s="112" t="str">
        <f>VERW_Project!BU58</f>
        <v/>
      </c>
      <c r="AE748" s="112">
        <f>IF(AND(VERW_Project!$A58&lt;&gt;"",ISNUMBER(AD748)),1,0)</f>
        <v>0</v>
      </c>
      <c r="AF748" s="112" t="str">
        <f>IF(AE748=1,SUM($AE$8:AE748),"")</f>
        <v/>
      </c>
      <c r="AG748" t="str">
        <f>IFERROR(MATCH(741,$AF$8:$AF$1407,0),"")</f>
        <v/>
      </c>
    </row>
    <row r="749">
      <c r="A749" s="92" t="str">
        <f>IF($AG749="","",P_ImportID)</f>
        <v/>
      </c>
      <c r="B749" s="92" t="str">
        <f>IF($AG749="","",IF(INDEX($AN$8:$AN$21,INDEX($AC$8:$AC$1407,$AG749)+1)="Z",P_BronZ,P_BronE))</f>
        <v/>
      </c>
      <c r="C749" s="108" t="str">
        <f>IF($AG749="","",P_Importdatum)</f>
        <v/>
      </c>
      <c r="D749" s="92" t="str">
        <f>IF($AG749="","",P_StatusVastleg)</f>
        <v/>
      </c>
      <c r="E749" s="92" t="str">
        <f>IF($AG749="","",P_UploadVJ)</f>
        <v/>
      </c>
      <c r="F749" s="92" t="str">
        <f>IF($AG749="","",P_UploadVersie)</f>
        <v/>
      </c>
      <c r="G749" s="92" t="str">
        <f>IF($AG749="","",IF(COUNTIFS(L_Sleutel,$S749,L_Status,"Vastgesteld")=0,0,_xlfn.MAXIFS(L_Revisie,L_Sleutel,$S749,L_Status,"Vastgesteld")+1))</f>
        <v/>
      </c>
      <c r="H749" s="108" t="str">
        <f>IF($AG749="","",P_Peildatum)</f>
        <v/>
      </c>
      <c r="I749" s="92" t="str">
        <f>IF($AG749="","",P_RJ+INDEX($AK$8:$AK$21,INDEX($AC$8:$AC$1407,$AG749)+1))</f>
        <v/>
      </c>
      <c r="J749" s="92" t="str">
        <f>IF($AG749="","",INDEX(V_WBS,INDEX($AB$8:$AB$1407,$AG749)))</f>
        <v/>
      </c>
      <c r="K749" s="92" t="str">
        <f>IF($AG749="","",INDEX(V_Projdef,INDEX($AB$8:$AB$1407,$AG749)))</f>
        <v/>
      </c>
      <c r="L749" s="92" t="str">
        <f>IF($AG749="","",INDEX(V_Naam,INDEX($AB$8:$AB$1407,$AG749)))</f>
        <v/>
      </c>
      <c r="M749" s="92" t="str">
        <f>IF($AG749="","",INDEX(V_Type,INDEX($AB$8:$AB$1407,$AG749)))</f>
        <v/>
      </c>
      <c r="N749" s="92" t="str">
        <f>IF($AG749="","",INDEX(V_IFRS,INDEX($AB$8:$AB$1407,$AG749)))</f>
        <v/>
      </c>
      <c r="O749" s="92" t="str">
        <f>IF($AG749="","",INDEX($AL$8:$AL$21,INDEX($AC$8:$AC$1407,$AG749)+1))</f>
        <v/>
      </c>
      <c r="P749" s="109" t="str">
        <f>IF($AG749="","",INDEX($AD$8:$AD$1407,$AG749))</f>
        <v/>
      </c>
      <c r="Q749" s="92" t="str">
        <f>IF($AG749="","",INDEX($AM$8:$AM$21,INDEX($AC$8:$AC$1407,$AG749)+1))</f>
        <v/>
      </c>
      <c r="R749" s="92" t="str">
        <f>IF($AG749="","",IF($G749&gt;0,P_ToelCorrectie&amp;"",""))</f>
        <v/>
      </c>
      <c r="S749" s="15" t="str">
        <f>IF(J749="","",J749&amp;"|"&amp;E749&amp;"|"&amp;F749&amp;"|"&amp;I749&amp;"|"&amp;O749)</f>
        <v/>
      </c>
      <c r="T749" s="111" t="str">
        <f>IF(S749="","",IF(COUNTIFS(L_Sleutel,S749,L_Actief,1)=0,"",SUMIFS(L_Waarde,L_Sleutel,S749,L_Actief,1)))</f>
        <v/>
      </c>
      <c r="U749" s="111">
        <f>IF(OR(S749="",T749=""),0,P749-T749)</f>
        <v>0</v>
      </c>
      <c r="AB749" s="112" t="n">
        <v>53</v>
      </c>
      <c r="AC749" s="112" t="n">
        <v>13</v>
      </c>
      <c r="AD749" s="112" t="str">
        <f>VERW_Project!BX58</f>
        <v/>
      </c>
      <c r="AE749" s="112">
        <f>IF(AND(VERW_Project!$A58&lt;&gt;"",ISNUMBER(AD749)),1,0)</f>
        <v>0</v>
      </c>
      <c r="AF749" s="112" t="str">
        <f>IF(AE749=1,SUM($AE$8:AE749),"")</f>
        <v/>
      </c>
      <c r="AG749" t="str">
        <f>IFERROR(MATCH(742,$AF$8:$AF$1407,0),"")</f>
        <v/>
      </c>
    </row>
    <row r="750">
      <c r="A750" s="92" t="str">
        <f>IF($AG750="","",P_ImportID)</f>
        <v/>
      </c>
      <c r="B750" s="92" t="str">
        <f>IF($AG750="","",IF(INDEX($AN$8:$AN$21,INDEX($AC$8:$AC$1407,$AG750)+1)="Z",P_BronZ,P_BronE))</f>
        <v/>
      </c>
      <c r="C750" s="108" t="str">
        <f>IF($AG750="","",P_Importdatum)</f>
        <v/>
      </c>
      <c r="D750" s="92" t="str">
        <f>IF($AG750="","",P_StatusVastleg)</f>
        <v/>
      </c>
      <c r="E750" s="92" t="str">
        <f>IF($AG750="","",P_UploadVJ)</f>
        <v/>
      </c>
      <c r="F750" s="92" t="str">
        <f>IF($AG750="","",P_UploadVersie)</f>
        <v/>
      </c>
      <c r="G750" s="92" t="str">
        <f>IF($AG750="","",IF(COUNTIFS(L_Sleutel,$S750,L_Status,"Vastgesteld")=0,0,_xlfn.MAXIFS(L_Revisie,L_Sleutel,$S750,L_Status,"Vastgesteld")+1))</f>
        <v/>
      </c>
      <c r="H750" s="108" t="str">
        <f>IF($AG750="","",P_Peildatum)</f>
        <v/>
      </c>
      <c r="I750" s="92" t="str">
        <f>IF($AG750="","",P_RJ+INDEX($AK$8:$AK$21,INDEX($AC$8:$AC$1407,$AG750)+1))</f>
        <v/>
      </c>
      <c r="J750" s="92" t="str">
        <f>IF($AG750="","",INDEX(V_WBS,INDEX($AB$8:$AB$1407,$AG750)))</f>
        <v/>
      </c>
      <c r="K750" s="92" t="str">
        <f>IF($AG750="","",INDEX(V_Projdef,INDEX($AB$8:$AB$1407,$AG750)))</f>
        <v/>
      </c>
      <c r="L750" s="92" t="str">
        <f>IF($AG750="","",INDEX(V_Naam,INDEX($AB$8:$AB$1407,$AG750)))</f>
        <v/>
      </c>
      <c r="M750" s="92" t="str">
        <f>IF($AG750="","",INDEX(V_Type,INDEX($AB$8:$AB$1407,$AG750)))</f>
        <v/>
      </c>
      <c r="N750" s="92" t="str">
        <f>IF($AG750="","",INDEX(V_IFRS,INDEX($AB$8:$AB$1407,$AG750)))</f>
        <v/>
      </c>
      <c r="O750" s="92" t="str">
        <f>IF($AG750="","",INDEX($AL$8:$AL$21,INDEX($AC$8:$AC$1407,$AG750)+1))</f>
        <v/>
      </c>
      <c r="P750" s="109" t="str">
        <f>IF($AG750="","",INDEX($AD$8:$AD$1407,$AG750))</f>
        <v/>
      </c>
      <c r="Q750" s="92" t="str">
        <f>IF($AG750="","",INDEX($AM$8:$AM$21,INDEX($AC$8:$AC$1407,$AG750)+1))</f>
        <v/>
      </c>
      <c r="R750" s="92" t="str">
        <f>IF($AG750="","",IF($G750&gt;0,P_ToelCorrectie&amp;"",""))</f>
        <v/>
      </c>
      <c r="S750" s="15" t="str">
        <f>IF(J750="","",J750&amp;"|"&amp;E750&amp;"|"&amp;F750&amp;"|"&amp;I750&amp;"|"&amp;O750)</f>
        <v/>
      </c>
      <c r="T750" s="111" t="str">
        <f>IF(S750="","",IF(COUNTIFS(L_Sleutel,S750,L_Actief,1)=0,"",SUMIFS(L_Waarde,L_Sleutel,S750,L_Actief,1)))</f>
        <v/>
      </c>
      <c r="U750" s="111">
        <f>IF(OR(S750="",T750=""),0,P750-T750)</f>
        <v>0</v>
      </c>
      <c r="AB750" s="112" t="n">
        <v>54</v>
      </c>
      <c r="AC750" s="112" t="n">
        <v>0</v>
      </c>
      <c r="AD750" s="112" t="str">
        <f>VERW_Project!P59</f>
        <v/>
      </c>
      <c r="AE750" s="112">
        <f>IF(AND(VERW_Project!$A59&lt;&gt;"",ISNUMBER(AD750)),1,0)</f>
        <v>0</v>
      </c>
      <c r="AF750" s="112" t="str">
        <f>IF(AE750=1,SUM($AE$8:AE750),"")</f>
        <v/>
      </c>
      <c r="AG750" t="str">
        <f>IFERROR(MATCH(743,$AF$8:$AF$1407,0),"")</f>
        <v/>
      </c>
    </row>
    <row r="751">
      <c r="A751" s="92" t="str">
        <f>IF($AG751="","",P_ImportID)</f>
        <v/>
      </c>
      <c r="B751" s="92" t="str">
        <f>IF($AG751="","",IF(INDEX($AN$8:$AN$21,INDEX($AC$8:$AC$1407,$AG751)+1)="Z",P_BronZ,P_BronE))</f>
        <v/>
      </c>
      <c r="C751" s="108" t="str">
        <f>IF($AG751="","",P_Importdatum)</f>
        <v/>
      </c>
      <c r="D751" s="92" t="str">
        <f>IF($AG751="","",P_StatusVastleg)</f>
        <v/>
      </c>
      <c r="E751" s="92" t="str">
        <f>IF($AG751="","",P_UploadVJ)</f>
        <v/>
      </c>
      <c r="F751" s="92" t="str">
        <f>IF($AG751="","",P_UploadVersie)</f>
        <v/>
      </c>
      <c r="G751" s="92" t="str">
        <f>IF($AG751="","",IF(COUNTIFS(L_Sleutel,$S751,L_Status,"Vastgesteld")=0,0,_xlfn.MAXIFS(L_Revisie,L_Sleutel,$S751,L_Status,"Vastgesteld")+1))</f>
        <v/>
      </c>
      <c r="H751" s="108" t="str">
        <f>IF($AG751="","",P_Peildatum)</f>
        <v/>
      </c>
      <c r="I751" s="92" t="str">
        <f>IF($AG751="","",P_RJ+INDEX($AK$8:$AK$21,INDEX($AC$8:$AC$1407,$AG751)+1))</f>
        <v/>
      </c>
      <c r="J751" s="92" t="str">
        <f>IF($AG751="","",INDEX(V_WBS,INDEX($AB$8:$AB$1407,$AG751)))</f>
        <v/>
      </c>
      <c r="K751" s="92" t="str">
        <f>IF($AG751="","",INDEX(V_Projdef,INDEX($AB$8:$AB$1407,$AG751)))</f>
        <v/>
      </c>
      <c r="L751" s="92" t="str">
        <f>IF($AG751="","",INDEX(V_Naam,INDEX($AB$8:$AB$1407,$AG751)))</f>
        <v/>
      </c>
      <c r="M751" s="92" t="str">
        <f>IF($AG751="","",INDEX(V_Type,INDEX($AB$8:$AB$1407,$AG751)))</f>
        <v/>
      </c>
      <c r="N751" s="92" t="str">
        <f>IF($AG751="","",INDEX(V_IFRS,INDEX($AB$8:$AB$1407,$AG751)))</f>
        <v/>
      </c>
      <c r="O751" s="92" t="str">
        <f>IF($AG751="","",INDEX($AL$8:$AL$21,INDEX($AC$8:$AC$1407,$AG751)+1))</f>
        <v/>
      </c>
      <c r="P751" s="109" t="str">
        <f>IF($AG751="","",INDEX($AD$8:$AD$1407,$AG751))</f>
        <v/>
      </c>
      <c r="Q751" s="92" t="str">
        <f>IF($AG751="","",INDEX($AM$8:$AM$21,INDEX($AC$8:$AC$1407,$AG751)+1))</f>
        <v/>
      </c>
      <c r="R751" s="92" t="str">
        <f>IF($AG751="","",IF($G751&gt;0,P_ToelCorrectie&amp;"",""))</f>
        <v/>
      </c>
      <c r="S751" s="15" t="str">
        <f>IF(J751="","",J751&amp;"|"&amp;E751&amp;"|"&amp;F751&amp;"|"&amp;I751&amp;"|"&amp;O751)</f>
        <v/>
      </c>
      <c r="T751" s="111" t="str">
        <f>IF(S751="","",IF(COUNTIFS(L_Sleutel,S751,L_Actief,1)=0,"",SUMIFS(L_Waarde,L_Sleutel,S751,L_Actief,1)))</f>
        <v/>
      </c>
      <c r="U751" s="111">
        <f>IF(OR(S751="",T751=""),0,P751-T751)</f>
        <v>0</v>
      </c>
      <c r="AB751" s="112" t="n">
        <v>54</v>
      </c>
      <c r="AC751" s="112" t="n">
        <v>1</v>
      </c>
      <c r="AD751" s="112" t="str">
        <f>VERW_Project!Q59</f>
        <v/>
      </c>
      <c r="AE751" s="112">
        <f>IF(AND(VERW_Project!$A59&lt;&gt;"",ISNUMBER(AD751)),1,0)</f>
        <v>0</v>
      </c>
      <c r="AF751" s="112" t="str">
        <f>IF(AE751=1,SUM($AE$8:AE751),"")</f>
        <v/>
      </c>
      <c r="AG751" t="str">
        <f>IFERROR(MATCH(744,$AF$8:$AF$1407,0),"")</f>
        <v/>
      </c>
    </row>
    <row r="752">
      <c r="A752" s="92" t="str">
        <f>IF($AG752="","",P_ImportID)</f>
        <v/>
      </c>
      <c r="B752" s="92" t="str">
        <f>IF($AG752="","",IF(INDEX($AN$8:$AN$21,INDEX($AC$8:$AC$1407,$AG752)+1)="Z",P_BronZ,P_BronE))</f>
        <v/>
      </c>
      <c r="C752" s="108" t="str">
        <f>IF($AG752="","",P_Importdatum)</f>
        <v/>
      </c>
      <c r="D752" s="92" t="str">
        <f>IF($AG752="","",P_StatusVastleg)</f>
        <v/>
      </c>
      <c r="E752" s="92" t="str">
        <f>IF($AG752="","",P_UploadVJ)</f>
        <v/>
      </c>
      <c r="F752" s="92" t="str">
        <f>IF($AG752="","",P_UploadVersie)</f>
        <v/>
      </c>
      <c r="G752" s="92" t="str">
        <f>IF($AG752="","",IF(COUNTIFS(L_Sleutel,$S752,L_Status,"Vastgesteld")=0,0,_xlfn.MAXIFS(L_Revisie,L_Sleutel,$S752,L_Status,"Vastgesteld")+1))</f>
        <v/>
      </c>
      <c r="H752" s="108" t="str">
        <f>IF($AG752="","",P_Peildatum)</f>
        <v/>
      </c>
      <c r="I752" s="92" t="str">
        <f>IF($AG752="","",P_RJ+INDEX($AK$8:$AK$21,INDEX($AC$8:$AC$1407,$AG752)+1))</f>
        <v/>
      </c>
      <c r="J752" s="92" t="str">
        <f>IF($AG752="","",INDEX(V_WBS,INDEX($AB$8:$AB$1407,$AG752)))</f>
        <v/>
      </c>
      <c r="K752" s="92" t="str">
        <f>IF($AG752="","",INDEX(V_Projdef,INDEX($AB$8:$AB$1407,$AG752)))</f>
        <v/>
      </c>
      <c r="L752" s="92" t="str">
        <f>IF($AG752="","",INDEX(V_Naam,INDEX($AB$8:$AB$1407,$AG752)))</f>
        <v/>
      </c>
      <c r="M752" s="92" t="str">
        <f>IF($AG752="","",INDEX(V_Type,INDEX($AB$8:$AB$1407,$AG752)))</f>
        <v/>
      </c>
      <c r="N752" s="92" t="str">
        <f>IF($AG752="","",INDEX(V_IFRS,INDEX($AB$8:$AB$1407,$AG752)))</f>
        <v/>
      </c>
      <c r="O752" s="92" t="str">
        <f>IF($AG752="","",INDEX($AL$8:$AL$21,INDEX($AC$8:$AC$1407,$AG752)+1))</f>
        <v/>
      </c>
      <c r="P752" s="109" t="str">
        <f>IF($AG752="","",INDEX($AD$8:$AD$1407,$AG752))</f>
        <v/>
      </c>
      <c r="Q752" s="92" t="str">
        <f>IF($AG752="","",INDEX($AM$8:$AM$21,INDEX($AC$8:$AC$1407,$AG752)+1))</f>
        <v/>
      </c>
      <c r="R752" s="92" t="str">
        <f>IF($AG752="","",IF($G752&gt;0,P_ToelCorrectie&amp;"",""))</f>
        <v/>
      </c>
      <c r="S752" s="15" t="str">
        <f>IF(J752="","",J752&amp;"|"&amp;E752&amp;"|"&amp;F752&amp;"|"&amp;I752&amp;"|"&amp;O752)</f>
        <v/>
      </c>
      <c r="T752" s="111" t="str">
        <f>IF(S752="","",IF(COUNTIFS(L_Sleutel,S752,L_Actief,1)=0,"",SUMIFS(L_Waarde,L_Sleutel,S752,L_Actief,1)))</f>
        <v/>
      </c>
      <c r="U752" s="111">
        <f>IF(OR(S752="",T752=""),0,P752-T752)</f>
        <v>0</v>
      </c>
      <c r="AB752" s="112" t="n">
        <v>54</v>
      </c>
      <c r="AC752" s="112" t="n">
        <v>2</v>
      </c>
      <c r="AD752" s="112" t="str">
        <f>VERW_Project!L59</f>
        <v/>
      </c>
      <c r="AE752" s="112">
        <f>IF(AND(VERW_Project!$A59&lt;&gt;"",ISNUMBER(AD752)),1,0)</f>
        <v>0</v>
      </c>
      <c r="AF752" s="112" t="str">
        <f>IF(AE752=1,SUM($AE$8:AE752),"")</f>
        <v/>
      </c>
      <c r="AG752" t="str">
        <f>IFERROR(MATCH(745,$AF$8:$AF$1407,0),"")</f>
        <v/>
      </c>
    </row>
    <row r="753">
      <c r="A753" s="92" t="str">
        <f>IF($AG753="","",P_ImportID)</f>
        <v/>
      </c>
      <c r="B753" s="92" t="str">
        <f>IF($AG753="","",IF(INDEX($AN$8:$AN$21,INDEX($AC$8:$AC$1407,$AG753)+1)="Z",P_BronZ,P_BronE))</f>
        <v/>
      </c>
      <c r="C753" s="108" t="str">
        <f>IF($AG753="","",P_Importdatum)</f>
        <v/>
      </c>
      <c r="D753" s="92" t="str">
        <f>IF($AG753="","",P_StatusVastleg)</f>
        <v/>
      </c>
      <c r="E753" s="92" t="str">
        <f>IF($AG753="","",P_UploadVJ)</f>
        <v/>
      </c>
      <c r="F753" s="92" t="str">
        <f>IF($AG753="","",P_UploadVersie)</f>
        <v/>
      </c>
      <c r="G753" s="92" t="str">
        <f>IF($AG753="","",IF(COUNTIFS(L_Sleutel,$S753,L_Status,"Vastgesteld")=0,0,_xlfn.MAXIFS(L_Revisie,L_Sleutel,$S753,L_Status,"Vastgesteld")+1))</f>
        <v/>
      </c>
      <c r="H753" s="108" t="str">
        <f>IF($AG753="","",P_Peildatum)</f>
        <v/>
      </c>
      <c r="I753" s="92" t="str">
        <f>IF($AG753="","",P_RJ+INDEX($AK$8:$AK$21,INDEX($AC$8:$AC$1407,$AG753)+1))</f>
        <v/>
      </c>
      <c r="J753" s="92" t="str">
        <f>IF($AG753="","",INDEX(V_WBS,INDEX($AB$8:$AB$1407,$AG753)))</f>
        <v/>
      </c>
      <c r="K753" s="92" t="str">
        <f>IF($AG753="","",INDEX(V_Projdef,INDEX($AB$8:$AB$1407,$AG753)))</f>
        <v/>
      </c>
      <c r="L753" s="92" t="str">
        <f>IF($AG753="","",INDEX(V_Naam,INDEX($AB$8:$AB$1407,$AG753)))</f>
        <v/>
      </c>
      <c r="M753" s="92" t="str">
        <f>IF($AG753="","",INDEX(V_Type,INDEX($AB$8:$AB$1407,$AG753)))</f>
        <v/>
      </c>
      <c r="N753" s="92" t="str">
        <f>IF($AG753="","",INDEX(V_IFRS,INDEX($AB$8:$AB$1407,$AG753)))</f>
        <v/>
      </c>
      <c r="O753" s="92" t="str">
        <f>IF($AG753="","",INDEX($AL$8:$AL$21,INDEX($AC$8:$AC$1407,$AG753)+1))</f>
        <v/>
      </c>
      <c r="P753" s="109" t="str">
        <f>IF($AG753="","",INDEX($AD$8:$AD$1407,$AG753))</f>
        <v/>
      </c>
      <c r="Q753" s="92" t="str">
        <f>IF($AG753="","",INDEX($AM$8:$AM$21,INDEX($AC$8:$AC$1407,$AG753)+1))</f>
        <v/>
      </c>
      <c r="R753" s="92" t="str">
        <f>IF($AG753="","",IF($G753&gt;0,P_ToelCorrectie&amp;"",""))</f>
        <v/>
      </c>
      <c r="S753" s="15" t="str">
        <f>IF(J753="","",J753&amp;"|"&amp;E753&amp;"|"&amp;F753&amp;"|"&amp;I753&amp;"|"&amp;O753)</f>
        <v/>
      </c>
      <c r="T753" s="111" t="str">
        <f>IF(S753="","",IF(COUNTIFS(L_Sleutel,S753,L_Actief,1)=0,"",SUMIFS(L_Waarde,L_Sleutel,S753,L_Actief,1)))</f>
        <v/>
      </c>
      <c r="U753" s="111">
        <f>IF(OR(S753="",T753=""),0,P753-T753)</f>
        <v>0</v>
      </c>
      <c r="AB753" s="112" t="n">
        <v>54</v>
      </c>
      <c r="AC753" s="112" t="n">
        <v>3</v>
      </c>
      <c r="AD753" s="112" t="str">
        <f>VERW_Project!M59</f>
        <v/>
      </c>
      <c r="AE753" s="112">
        <f>IF(AND(VERW_Project!$A59&lt;&gt;"",ISNUMBER(AD753)),1,0)</f>
        <v>0</v>
      </c>
      <c r="AF753" s="112" t="str">
        <f>IF(AE753=1,SUM($AE$8:AE753),"")</f>
        <v/>
      </c>
      <c r="AG753" t="str">
        <f>IFERROR(MATCH(746,$AF$8:$AF$1407,0),"")</f>
        <v/>
      </c>
    </row>
    <row r="754">
      <c r="A754" s="92" t="str">
        <f>IF($AG754="","",P_ImportID)</f>
        <v/>
      </c>
      <c r="B754" s="92" t="str">
        <f>IF($AG754="","",IF(INDEX($AN$8:$AN$21,INDEX($AC$8:$AC$1407,$AG754)+1)="Z",P_BronZ,P_BronE))</f>
        <v/>
      </c>
      <c r="C754" s="108" t="str">
        <f>IF($AG754="","",P_Importdatum)</f>
        <v/>
      </c>
      <c r="D754" s="92" t="str">
        <f>IF($AG754="","",P_StatusVastleg)</f>
        <v/>
      </c>
      <c r="E754" s="92" t="str">
        <f>IF($AG754="","",P_UploadVJ)</f>
        <v/>
      </c>
      <c r="F754" s="92" t="str">
        <f>IF($AG754="","",P_UploadVersie)</f>
        <v/>
      </c>
      <c r="G754" s="92" t="str">
        <f>IF($AG754="","",IF(COUNTIFS(L_Sleutel,$S754,L_Status,"Vastgesteld")=0,0,_xlfn.MAXIFS(L_Revisie,L_Sleutel,$S754,L_Status,"Vastgesteld")+1))</f>
        <v/>
      </c>
      <c r="H754" s="108" t="str">
        <f>IF($AG754="","",P_Peildatum)</f>
        <v/>
      </c>
      <c r="I754" s="92" t="str">
        <f>IF($AG754="","",P_RJ+INDEX($AK$8:$AK$21,INDEX($AC$8:$AC$1407,$AG754)+1))</f>
        <v/>
      </c>
      <c r="J754" s="92" t="str">
        <f>IF($AG754="","",INDEX(V_WBS,INDEX($AB$8:$AB$1407,$AG754)))</f>
        <v/>
      </c>
      <c r="K754" s="92" t="str">
        <f>IF($AG754="","",INDEX(V_Projdef,INDEX($AB$8:$AB$1407,$AG754)))</f>
        <v/>
      </c>
      <c r="L754" s="92" t="str">
        <f>IF($AG754="","",INDEX(V_Naam,INDEX($AB$8:$AB$1407,$AG754)))</f>
        <v/>
      </c>
      <c r="M754" s="92" t="str">
        <f>IF($AG754="","",INDEX(V_Type,INDEX($AB$8:$AB$1407,$AG754)))</f>
        <v/>
      </c>
      <c r="N754" s="92" t="str">
        <f>IF($AG754="","",INDEX(V_IFRS,INDEX($AB$8:$AB$1407,$AG754)))</f>
        <v/>
      </c>
      <c r="O754" s="92" t="str">
        <f>IF($AG754="","",INDEX($AL$8:$AL$21,INDEX($AC$8:$AC$1407,$AG754)+1))</f>
        <v/>
      </c>
      <c r="P754" s="109" t="str">
        <f>IF($AG754="","",INDEX($AD$8:$AD$1407,$AG754))</f>
        <v/>
      </c>
      <c r="Q754" s="92" t="str">
        <f>IF($AG754="","",INDEX($AM$8:$AM$21,INDEX($AC$8:$AC$1407,$AG754)+1))</f>
        <v/>
      </c>
      <c r="R754" s="92" t="str">
        <f>IF($AG754="","",IF($G754&gt;0,P_ToelCorrectie&amp;"",""))</f>
        <v/>
      </c>
      <c r="S754" s="15" t="str">
        <f>IF(J754="","",J754&amp;"|"&amp;E754&amp;"|"&amp;F754&amp;"|"&amp;I754&amp;"|"&amp;O754)</f>
        <v/>
      </c>
      <c r="T754" s="111" t="str">
        <f>IF(S754="","",IF(COUNTIFS(L_Sleutel,S754,L_Actief,1)=0,"",SUMIFS(L_Waarde,L_Sleutel,S754,L_Actief,1)))</f>
        <v/>
      </c>
      <c r="U754" s="111">
        <f>IF(OR(S754="",T754=""),0,P754-T754)</f>
        <v>0</v>
      </c>
      <c r="AB754" s="112" t="n">
        <v>54</v>
      </c>
      <c r="AC754" s="112" t="n">
        <v>4</v>
      </c>
      <c r="AD754" s="112" t="str">
        <f>VERW_Project!R59</f>
        <v/>
      </c>
      <c r="AE754" s="112">
        <f>IF(AND(VERW_Project!$A59&lt;&gt;"",ISNUMBER(AD754)),1,0)</f>
        <v>0</v>
      </c>
      <c r="AF754" s="112" t="str">
        <f>IF(AE754=1,SUM($AE$8:AE754),"")</f>
        <v/>
      </c>
      <c r="AG754" t="str">
        <f>IFERROR(MATCH(747,$AF$8:$AF$1407,0),"")</f>
        <v/>
      </c>
    </row>
    <row r="755">
      <c r="A755" s="92" t="str">
        <f>IF($AG755="","",P_ImportID)</f>
        <v/>
      </c>
      <c r="B755" s="92" t="str">
        <f>IF($AG755="","",IF(INDEX($AN$8:$AN$21,INDEX($AC$8:$AC$1407,$AG755)+1)="Z",P_BronZ,P_BronE))</f>
        <v/>
      </c>
      <c r="C755" s="108" t="str">
        <f>IF($AG755="","",P_Importdatum)</f>
        <v/>
      </c>
      <c r="D755" s="92" t="str">
        <f>IF($AG755="","",P_StatusVastleg)</f>
        <v/>
      </c>
      <c r="E755" s="92" t="str">
        <f>IF($AG755="","",P_UploadVJ)</f>
        <v/>
      </c>
      <c r="F755" s="92" t="str">
        <f>IF($AG755="","",P_UploadVersie)</f>
        <v/>
      </c>
      <c r="G755" s="92" t="str">
        <f>IF($AG755="","",IF(COUNTIFS(L_Sleutel,$S755,L_Status,"Vastgesteld")=0,0,_xlfn.MAXIFS(L_Revisie,L_Sleutel,$S755,L_Status,"Vastgesteld")+1))</f>
        <v/>
      </c>
      <c r="H755" s="108" t="str">
        <f>IF($AG755="","",P_Peildatum)</f>
        <v/>
      </c>
      <c r="I755" s="92" t="str">
        <f>IF($AG755="","",P_RJ+INDEX($AK$8:$AK$21,INDEX($AC$8:$AC$1407,$AG755)+1))</f>
        <v/>
      </c>
      <c r="J755" s="92" t="str">
        <f>IF($AG755="","",INDEX(V_WBS,INDEX($AB$8:$AB$1407,$AG755)))</f>
        <v/>
      </c>
      <c r="K755" s="92" t="str">
        <f>IF($AG755="","",INDEX(V_Projdef,INDEX($AB$8:$AB$1407,$AG755)))</f>
        <v/>
      </c>
      <c r="L755" s="92" t="str">
        <f>IF($AG755="","",INDEX(V_Naam,INDEX($AB$8:$AB$1407,$AG755)))</f>
        <v/>
      </c>
      <c r="M755" s="92" t="str">
        <f>IF($AG755="","",INDEX(V_Type,INDEX($AB$8:$AB$1407,$AG755)))</f>
        <v/>
      </c>
      <c r="N755" s="92" t="str">
        <f>IF($AG755="","",INDEX(V_IFRS,INDEX($AB$8:$AB$1407,$AG755)))</f>
        <v/>
      </c>
      <c r="O755" s="92" t="str">
        <f>IF($AG755="","",INDEX($AL$8:$AL$21,INDEX($AC$8:$AC$1407,$AG755)+1))</f>
        <v/>
      </c>
      <c r="P755" s="109" t="str">
        <f>IF($AG755="","",INDEX($AD$8:$AD$1407,$AG755))</f>
        <v/>
      </c>
      <c r="Q755" s="92" t="str">
        <f>IF($AG755="","",INDEX($AM$8:$AM$21,INDEX($AC$8:$AC$1407,$AG755)+1))</f>
        <v/>
      </c>
      <c r="R755" s="92" t="str">
        <f>IF($AG755="","",IF($G755&gt;0,P_ToelCorrectie&amp;"",""))</f>
        <v/>
      </c>
      <c r="S755" s="15" t="str">
        <f>IF(J755="","",J755&amp;"|"&amp;E755&amp;"|"&amp;F755&amp;"|"&amp;I755&amp;"|"&amp;O755)</f>
        <v/>
      </c>
      <c r="T755" s="111" t="str">
        <f>IF(S755="","",IF(COUNTIFS(L_Sleutel,S755,L_Actief,1)=0,"",SUMIFS(L_Waarde,L_Sleutel,S755,L_Actief,1)))</f>
        <v/>
      </c>
      <c r="U755" s="111">
        <f>IF(OR(S755="",T755=""),0,P755-T755)</f>
        <v>0</v>
      </c>
      <c r="AB755" s="112" t="n">
        <v>54</v>
      </c>
      <c r="AC755" s="112" t="n">
        <v>5</v>
      </c>
      <c r="AD755" s="112" t="str">
        <f>VERW_Project!S59</f>
        <v/>
      </c>
      <c r="AE755" s="112">
        <f>IF(AND(VERW_Project!$A59&lt;&gt;"",ISNUMBER(AD755)),1,0)</f>
        <v>0</v>
      </c>
      <c r="AF755" s="112" t="str">
        <f>IF(AE755=1,SUM($AE$8:AE755),"")</f>
        <v/>
      </c>
      <c r="AG755" t="str">
        <f>IFERROR(MATCH(748,$AF$8:$AF$1407,0),"")</f>
        <v/>
      </c>
    </row>
    <row r="756">
      <c r="A756" s="92" t="str">
        <f>IF($AG756="","",P_ImportID)</f>
        <v/>
      </c>
      <c r="B756" s="92" t="str">
        <f>IF($AG756="","",IF(INDEX($AN$8:$AN$21,INDEX($AC$8:$AC$1407,$AG756)+1)="Z",P_BronZ,P_BronE))</f>
        <v/>
      </c>
      <c r="C756" s="108" t="str">
        <f>IF($AG756="","",P_Importdatum)</f>
        <v/>
      </c>
      <c r="D756" s="92" t="str">
        <f>IF($AG756="","",P_StatusVastleg)</f>
        <v/>
      </c>
      <c r="E756" s="92" t="str">
        <f>IF($AG756="","",P_UploadVJ)</f>
        <v/>
      </c>
      <c r="F756" s="92" t="str">
        <f>IF($AG756="","",P_UploadVersie)</f>
        <v/>
      </c>
      <c r="G756" s="92" t="str">
        <f>IF($AG756="","",IF(COUNTIFS(L_Sleutel,$S756,L_Status,"Vastgesteld")=0,0,_xlfn.MAXIFS(L_Revisie,L_Sleutel,$S756,L_Status,"Vastgesteld")+1))</f>
        <v/>
      </c>
      <c r="H756" s="108" t="str">
        <f>IF($AG756="","",P_Peildatum)</f>
        <v/>
      </c>
      <c r="I756" s="92" t="str">
        <f>IF($AG756="","",P_RJ+INDEX($AK$8:$AK$21,INDEX($AC$8:$AC$1407,$AG756)+1))</f>
        <v/>
      </c>
      <c r="J756" s="92" t="str">
        <f>IF($AG756="","",INDEX(V_WBS,INDEX($AB$8:$AB$1407,$AG756)))</f>
        <v/>
      </c>
      <c r="K756" s="92" t="str">
        <f>IF($AG756="","",INDEX(V_Projdef,INDEX($AB$8:$AB$1407,$AG756)))</f>
        <v/>
      </c>
      <c r="L756" s="92" t="str">
        <f>IF($AG756="","",INDEX(V_Naam,INDEX($AB$8:$AB$1407,$AG756)))</f>
        <v/>
      </c>
      <c r="M756" s="92" t="str">
        <f>IF($AG756="","",INDEX(V_Type,INDEX($AB$8:$AB$1407,$AG756)))</f>
        <v/>
      </c>
      <c r="N756" s="92" t="str">
        <f>IF($AG756="","",INDEX(V_IFRS,INDEX($AB$8:$AB$1407,$AG756)))</f>
        <v/>
      </c>
      <c r="O756" s="92" t="str">
        <f>IF($AG756="","",INDEX($AL$8:$AL$21,INDEX($AC$8:$AC$1407,$AG756)+1))</f>
        <v/>
      </c>
      <c r="P756" s="109" t="str">
        <f>IF($AG756="","",INDEX($AD$8:$AD$1407,$AG756))</f>
        <v/>
      </c>
      <c r="Q756" s="92" t="str">
        <f>IF($AG756="","",INDEX($AM$8:$AM$21,INDEX($AC$8:$AC$1407,$AG756)+1))</f>
        <v/>
      </c>
      <c r="R756" s="92" t="str">
        <f>IF($AG756="","",IF($G756&gt;0,P_ToelCorrectie&amp;"",""))</f>
        <v/>
      </c>
      <c r="S756" s="15" t="str">
        <f>IF(J756="","",J756&amp;"|"&amp;E756&amp;"|"&amp;F756&amp;"|"&amp;I756&amp;"|"&amp;O756)</f>
        <v/>
      </c>
      <c r="T756" s="111" t="str">
        <f>IF(S756="","",IF(COUNTIFS(L_Sleutel,S756,L_Actief,1)=0,"",SUMIFS(L_Waarde,L_Sleutel,S756,L_Actief,1)))</f>
        <v/>
      </c>
      <c r="U756" s="111">
        <f>IF(OR(S756="",T756=""),0,P756-T756)</f>
        <v>0</v>
      </c>
      <c r="AB756" s="112" t="n">
        <v>54</v>
      </c>
      <c r="AC756" s="112" t="n">
        <v>6</v>
      </c>
      <c r="AD756" s="112" t="str">
        <f>VERW_Project!BW59</f>
        <v/>
      </c>
      <c r="AE756" s="112">
        <f>IF(AND(VERW_Project!$A59&lt;&gt;"",ISNUMBER(AD756)),1,0)</f>
        <v>0</v>
      </c>
      <c r="AF756" s="112" t="str">
        <f>IF(AE756=1,SUM($AE$8:AE756),"")</f>
        <v/>
      </c>
      <c r="AG756" t="str">
        <f>IFERROR(MATCH(749,$AF$8:$AF$1407,0),"")</f>
        <v/>
      </c>
    </row>
    <row r="757">
      <c r="A757" s="92" t="str">
        <f>IF($AG757="","",P_ImportID)</f>
        <v/>
      </c>
      <c r="B757" s="92" t="str">
        <f>IF($AG757="","",IF(INDEX($AN$8:$AN$21,INDEX($AC$8:$AC$1407,$AG757)+1)="Z",P_BronZ,P_BronE))</f>
        <v/>
      </c>
      <c r="C757" s="108" t="str">
        <f>IF($AG757="","",P_Importdatum)</f>
        <v/>
      </c>
      <c r="D757" s="92" t="str">
        <f>IF($AG757="","",P_StatusVastleg)</f>
        <v/>
      </c>
      <c r="E757" s="92" t="str">
        <f>IF($AG757="","",P_UploadVJ)</f>
        <v/>
      </c>
      <c r="F757" s="92" t="str">
        <f>IF($AG757="","",P_UploadVersie)</f>
        <v/>
      </c>
      <c r="G757" s="92" t="str">
        <f>IF($AG757="","",IF(COUNTIFS(L_Sleutel,$S757,L_Status,"Vastgesteld")=0,0,_xlfn.MAXIFS(L_Revisie,L_Sleutel,$S757,L_Status,"Vastgesteld")+1))</f>
        <v/>
      </c>
      <c r="H757" s="108" t="str">
        <f>IF($AG757="","",P_Peildatum)</f>
        <v/>
      </c>
      <c r="I757" s="92" t="str">
        <f>IF($AG757="","",P_RJ+INDEX($AK$8:$AK$21,INDEX($AC$8:$AC$1407,$AG757)+1))</f>
        <v/>
      </c>
      <c r="J757" s="92" t="str">
        <f>IF($AG757="","",INDEX(V_WBS,INDEX($AB$8:$AB$1407,$AG757)))</f>
        <v/>
      </c>
      <c r="K757" s="92" t="str">
        <f>IF($AG757="","",INDEX(V_Projdef,INDEX($AB$8:$AB$1407,$AG757)))</f>
        <v/>
      </c>
      <c r="L757" s="92" t="str">
        <f>IF($AG757="","",INDEX(V_Naam,INDEX($AB$8:$AB$1407,$AG757)))</f>
        <v/>
      </c>
      <c r="M757" s="92" t="str">
        <f>IF($AG757="","",INDEX(V_Type,INDEX($AB$8:$AB$1407,$AG757)))</f>
        <v/>
      </c>
      <c r="N757" s="92" t="str">
        <f>IF($AG757="","",INDEX(V_IFRS,INDEX($AB$8:$AB$1407,$AG757)))</f>
        <v/>
      </c>
      <c r="O757" s="92" t="str">
        <f>IF($AG757="","",INDEX($AL$8:$AL$21,INDEX($AC$8:$AC$1407,$AG757)+1))</f>
        <v/>
      </c>
      <c r="P757" s="109" t="str">
        <f>IF($AG757="","",INDEX($AD$8:$AD$1407,$AG757))</f>
        <v/>
      </c>
      <c r="Q757" s="92" t="str">
        <f>IF($AG757="","",INDEX($AM$8:$AM$21,INDEX($AC$8:$AC$1407,$AG757)+1))</f>
        <v/>
      </c>
      <c r="R757" s="92" t="str">
        <f>IF($AG757="","",IF($G757&gt;0,P_ToelCorrectie&amp;"",""))</f>
        <v/>
      </c>
      <c r="S757" s="15" t="str">
        <f>IF(J757="","",J757&amp;"|"&amp;E757&amp;"|"&amp;F757&amp;"|"&amp;I757&amp;"|"&amp;O757)</f>
        <v/>
      </c>
      <c r="T757" s="111" t="str">
        <f>IF(S757="","",IF(COUNTIFS(L_Sleutel,S757,L_Actief,1)=0,"",SUMIFS(L_Waarde,L_Sleutel,S757,L_Actief,1)))</f>
        <v/>
      </c>
      <c r="U757" s="111">
        <f>IF(OR(S757="",T757=""),0,P757-T757)</f>
        <v>0</v>
      </c>
      <c r="AB757" s="112" t="n">
        <v>54</v>
      </c>
      <c r="AC757" s="112" t="n">
        <v>7</v>
      </c>
      <c r="AD757" s="112" t="str">
        <f>VERW_Project!AW59</f>
        <v/>
      </c>
      <c r="AE757" s="112">
        <f>IF(AND(VERW_Project!$A59&lt;&gt;"",ISNUMBER(AD757)),1,0)</f>
        <v>0</v>
      </c>
      <c r="AF757" s="112" t="str">
        <f>IF(AE757=1,SUM($AE$8:AE757),"")</f>
        <v/>
      </c>
      <c r="AG757" t="str">
        <f>IFERROR(MATCH(750,$AF$8:$AF$1407,0),"")</f>
        <v/>
      </c>
    </row>
    <row r="758">
      <c r="A758" s="92" t="str">
        <f>IF($AG758="","",P_ImportID)</f>
        <v/>
      </c>
      <c r="B758" s="92" t="str">
        <f>IF($AG758="","",IF(INDEX($AN$8:$AN$21,INDEX($AC$8:$AC$1407,$AG758)+1)="Z",P_BronZ,P_BronE))</f>
        <v/>
      </c>
      <c r="C758" s="108" t="str">
        <f>IF($AG758="","",P_Importdatum)</f>
        <v/>
      </c>
      <c r="D758" s="92" t="str">
        <f>IF($AG758="","",P_StatusVastleg)</f>
        <v/>
      </c>
      <c r="E758" s="92" t="str">
        <f>IF($AG758="","",P_UploadVJ)</f>
        <v/>
      </c>
      <c r="F758" s="92" t="str">
        <f>IF($AG758="","",P_UploadVersie)</f>
        <v/>
      </c>
      <c r="G758" s="92" t="str">
        <f>IF($AG758="","",IF(COUNTIFS(L_Sleutel,$S758,L_Status,"Vastgesteld")=0,0,_xlfn.MAXIFS(L_Revisie,L_Sleutel,$S758,L_Status,"Vastgesteld")+1))</f>
        <v/>
      </c>
      <c r="H758" s="108" t="str">
        <f>IF($AG758="","",P_Peildatum)</f>
        <v/>
      </c>
      <c r="I758" s="92" t="str">
        <f>IF($AG758="","",P_RJ+INDEX($AK$8:$AK$21,INDEX($AC$8:$AC$1407,$AG758)+1))</f>
        <v/>
      </c>
      <c r="J758" s="92" t="str">
        <f>IF($AG758="","",INDEX(V_WBS,INDEX($AB$8:$AB$1407,$AG758)))</f>
        <v/>
      </c>
      <c r="K758" s="92" t="str">
        <f>IF($AG758="","",INDEX(V_Projdef,INDEX($AB$8:$AB$1407,$AG758)))</f>
        <v/>
      </c>
      <c r="L758" s="92" t="str">
        <f>IF($AG758="","",INDEX(V_Naam,INDEX($AB$8:$AB$1407,$AG758)))</f>
        <v/>
      </c>
      <c r="M758" s="92" t="str">
        <f>IF($AG758="","",INDEX(V_Type,INDEX($AB$8:$AB$1407,$AG758)))</f>
        <v/>
      </c>
      <c r="N758" s="92" t="str">
        <f>IF($AG758="","",INDEX(V_IFRS,INDEX($AB$8:$AB$1407,$AG758)))</f>
        <v/>
      </c>
      <c r="O758" s="92" t="str">
        <f>IF($AG758="","",INDEX($AL$8:$AL$21,INDEX($AC$8:$AC$1407,$AG758)+1))</f>
        <v/>
      </c>
      <c r="P758" s="109" t="str">
        <f>IF($AG758="","",INDEX($AD$8:$AD$1407,$AG758))</f>
        <v/>
      </c>
      <c r="Q758" s="92" t="str">
        <f>IF($AG758="","",INDEX($AM$8:$AM$21,INDEX($AC$8:$AC$1407,$AG758)+1))</f>
        <v/>
      </c>
      <c r="R758" s="92" t="str">
        <f>IF($AG758="","",IF($G758&gt;0,P_ToelCorrectie&amp;"",""))</f>
        <v/>
      </c>
      <c r="S758" s="15" t="str">
        <f>IF(J758="","",J758&amp;"|"&amp;E758&amp;"|"&amp;F758&amp;"|"&amp;I758&amp;"|"&amp;O758)</f>
        <v/>
      </c>
      <c r="T758" s="111" t="str">
        <f>IF(S758="","",IF(COUNTIFS(L_Sleutel,S758,L_Actief,1)=0,"",SUMIFS(L_Waarde,L_Sleutel,S758,L_Actief,1)))</f>
        <v/>
      </c>
      <c r="U758" s="111">
        <f>IF(OR(S758="",T758=""),0,P758-T758)</f>
        <v>0</v>
      </c>
      <c r="AB758" s="112" t="n">
        <v>54</v>
      </c>
      <c r="AC758" s="112" t="n">
        <v>8</v>
      </c>
      <c r="AD758" s="112" t="str">
        <f>VERW_Project!BQ59</f>
        <v/>
      </c>
      <c r="AE758" s="112">
        <f>IF(AND(VERW_Project!$A59&lt;&gt;"",ISNUMBER(AD758)),1,0)</f>
        <v>0</v>
      </c>
      <c r="AF758" s="112" t="str">
        <f>IF(AE758=1,SUM($AE$8:AE758),"")</f>
        <v/>
      </c>
      <c r="AG758" t="str">
        <f>IFERROR(MATCH(751,$AF$8:$AF$1407,0),"")</f>
        <v/>
      </c>
    </row>
    <row r="759">
      <c r="A759" s="92" t="str">
        <f>IF($AG759="","",P_ImportID)</f>
        <v/>
      </c>
      <c r="B759" s="92" t="str">
        <f>IF($AG759="","",IF(INDEX($AN$8:$AN$21,INDEX($AC$8:$AC$1407,$AG759)+1)="Z",P_BronZ,P_BronE))</f>
        <v/>
      </c>
      <c r="C759" s="108" t="str">
        <f>IF($AG759="","",P_Importdatum)</f>
        <v/>
      </c>
      <c r="D759" s="92" t="str">
        <f>IF($AG759="","",P_StatusVastleg)</f>
        <v/>
      </c>
      <c r="E759" s="92" t="str">
        <f>IF($AG759="","",P_UploadVJ)</f>
        <v/>
      </c>
      <c r="F759" s="92" t="str">
        <f>IF($AG759="","",P_UploadVersie)</f>
        <v/>
      </c>
      <c r="G759" s="92" t="str">
        <f>IF($AG759="","",IF(COUNTIFS(L_Sleutel,$S759,L_Status,"Vastgesteld")=0,0,_xlfn.MAXIFS(L_Revisie,L_Sleutel,$S759,L_Status,"Vastgesteld")+1))</f>
        <v/>
      </c>
      <c r="H759" s="108" t="str">
        <f>IF($AG759="","",P_Peildatum)</f>
        <v/>
      </c>
      <c r="I759" s="92" t="str">
        <f>IF($AG759="","",P_RJ+INDEX($AK$8:$AK$21,INDEX($AC$8:$AC$1407,$AG759)+1))</f>
        <v/>
      </c>
      <c r="J759" s="92" t="str">
        <f>IF($AG759="","",INDEX(V_WBS,INDEX($AB$8:$AB$1407,$AG759)))</f>
        <v/>
      </c>
      <c r="K759" s="92" t="str">
        <f>IF($AG759="","",INDEX(V_Projdef,INDEX($AB$8:$AB$1407,$AG759)))</f>
        <v/>
      </c>
      <c r="L759" s="92" t="str">
        <f>IF($AG759="","",INDEX(V_Naam,INDEX($AB$8:$AB$1407,$AG759)))</f>
        <v/>
      </c>
      <c r="M759" s="92" t="str">
        <f>IF($AG759="","",INDEX(V_Type,INDEX($AB$8:$AB$1407,$AG759)))</f>
        <v/>
      </c>
      <c r="N759" s="92" t="str">
        <f>IF($AG759="","",INDEX(V_IFRS,INDEX($AB$8:$AB$1407,$AG759)))</f>
        <v/>
      </c>
      <c r="O759" s="92" t="str">
        <f>IF($AG759="","",INDEX($AL$8:$AL$21,INDEX($AC$8:$AC$1407,$AG759)+1))</f>
        <v/>
      </c>
      <c r="P759" s="109" t="str">
        <f>IF($AG759="","",INDEX($AD$8:$AD$1407,$AG759))</f>
        <v/>
      </c>
      <c r="Q759" s="92" t="str">
        <f>IF($AG759="","",INDEX($AM$8:$AM$21,INDEX($AC$8:$AC$1407,$AG759)+1))</f>
        <v/>
      </c>
      <c r="R759" s="92" t="str">
        <f>IF($AG759="","",IF($G759&gt;0,P_ToelCorrectie&amp;"",""))</f>
        <v/>
      </c>
      <c r="S759" s="15" t="str">
        <f>IF(J759="","",J759&amp;"|"&amp;E759&amp;"|"&amp;F759&amp;"|"&amp;I759&amp;"|"&amp;O759)</f>
        <v/>
      </c>
      <c r="T759" s="111" t="str">
        <f>IF(S759="","",IF(COUNTIFS(L_Sleutel,S759,L_Actief,1)=0,"",SUMIFS(L_Waarde,L_Sleutel,S759,L_Actief,1)))</f>
        <v/>
      </c>
      <c r="U759" s="111">
        <f>IF(OR(S759="",T759=""),0,P759-T759)</f>
        <v>0</v>
      </c>
      <c r="AB759" s="112" t="n">
        <v>54</v>
      </c>
      <c r="AC759" s="112" t="n">
        <v>9</v>
      </c>
      <c r="AD759" s="112" t="str">
        <f>VERW_Project!BR59</f>
        <v/>
      </c>
      <c r="AE759" s="112">
        <f>IF(AND(VERW_Project!$A59&lt;&gt;"",ISNUMBER(AD759)),1,0)</f>
        <v>0</v>
      </c>
      <c r="AF759" s="112" t="str">
        <f>IF(AE759=1,SUM($AE$8:AE759),"")</f>
        <v/>
      </c>
      <c r="AG759" t="str">
        <f>IFERROR(MATCH(752,$AF$8:$AF$1407,0),"")</f>
        <v/>
      </c>
    </row>
    <row r="760">
      <c r="A760" s="92" t="str">
        <f>IF($AG760="","",P_ImportID)</f>
        <v/>
      </c>
      <c r="B760" s="92" t="str">
        <f>IF($AG760="","",IF(INDEX($AN$8:$AN$21,INDEX($AC$8:$AC$1407,$AG760)+1)="Z",P_BronZ,P_BronE))</f>
        <v/>
      </c>
      <c r="C760" s="108" t="str">
        <f>IF($AG760="","",P_Importdatum)</f>
        <v/>
      </c>
      <c r="D760" s="92" t="str">
        <f>IF($AG760="","",P_StatusVastleg)</f>
        <v/>
      </c>
      <c r="E760" s="92" t="str">
        <f>IF($AG760="","",P_UploadVJ)</f>
        <v/>
      </c>
      <c r="F760" s="92" t="str">
        <f>IF($AG760="","",P_UploadVersie)</f>
        <v/>
      </c>
      <c r="G760" s="92" t="str">
        <f>IF($AG760="","",IF(COUNTIFS(L_Sleutel,$S760,L_Status,"Vastgesteld")=0,0,_xlfn.MAXIFS(L_Revisie,L_Sleutel,$S760,L_Status,"Vastgesteld")+1))</f>
        <v/>
      </c>
      <c r="H760" s="108" t="str">
        <f>IF($AG760="","",P_Peildatum)</f>
        <v/>
      </c>
      <c r="I760" s="92" t="str">
        <f>IF($AG760="","",P_RJ+INDEX($AK$8:$AK$21,INDEX($AC$8:$AC$1407,$AG760)+1))</f>
        <v/>
      </c>
      <c r="J760" s="92" t="str">
        <f>IF($AG760="","",INDEX(V_WBS,INDEX($AB$8:$AB$1407,$AG760)))</f>
        <v/>
      </c>
      <c r="K760" s="92" t="str">
        <f>IF($AG760="","",INDEX(V_Projdef,INDEX($AB$8:$AB$1407,$AG760)))</f>
        <v/>
      </c>
      <c r="L760" s="92" t="str">
        <f>IF($AG760="","",INDEX(V_Naam,INDEX($AB$8:$AB$1407,$AG760)))</f>
        <v/>
      </c>
      <c r="M760" s="92" t="str">
        <f>IF($AG760="","",INDEX(V_Type,INDEX($AB$8:$AB$1407,$AG760)))</f>
        <v/>
      </c>
      <c r="N760" s="92" t="str">
        <f>IF($AG760="","",INDEX(V_IFRS,INDEX($AB$8:$AB$1407,$AG760)))</f>
        <v/>
      </c>
      <c r="O760" s="92" t="str">
        <f>IF($AG760="","",INDEX($AL$8:$AL$21,INDEX($AC$8:$AC$1407,$AG760)+1))</f>
        <v/>
      </c>
      <c r="P760" s="109" t="str">
        <f>IF($AG760="","",INDEX($AD$8:$AD$1407,$AG760))</f>
        <v/>
      </c>
      <c r="Q760" s="92" t="str">
        <f>IF($AG760="","",INDEX($AM$8:$AM$21,INDEX($AC$8:$AC$1407,$AG760)+1))</f>
        <v/>
      </c>
      <c r="R760" s="92" t="str">
        <f>IF($AG760="","",IF($G760&gt;0,P_ToelCorrectie&amp;"",""))</f>
        <v/>
      </c>
      <c r="S760" s="15" t="str">
        <f>IF(J760="","",J760&amp;"|"&amp;E760&amp;"|"&amp;F760&amp;"|"&amp;I760&amp;"|"&amp;O760)</f>
        <v/>
      </c>
      <c r="T760" s="111" t="str">
        <f>IF(S760="","",IF(COUNTIFS(L_Sleutel,S760,L_Actief,1)=0,"",SUMIFS(L_Waarde,L_Sleutel,S760,L_Actief,1)))</f>
        <v/>
      </c>
      <c r="U760" s="111">
        <f>IF(OR(S760="",T760=""),0,P760-T760)</f>
        <v>0</v>
      </c>
      <c r="AB760" s="112" t="n">
        <v>54</v>
      </c>
      <c r="AC760" s="112" t="n">
        <v>10</v>
      </c>
      <c r="AD760" s="112" t="str">
        <f>VERW_Project!BS59</f>
        <v/>
      </c>
      <c r="AE760" s="112">
        <f>IF(AND(VERW_Project!$A59&lt;&gt;"",ISNUMBER(AD760)),1,0)</f>
        <v>0</v>
      </c>
      <c r="AF760" s="112" t="str">
        <f>IF(AE760=1,SUM($AE$8:AE760),"")</f>
        <v/>
      </c>
      <c r="AG760" t="str">
        <f>IFERROR(MATCH(753,$AF$8:$AF$1407,0),"")</f>
        <v/>
      </c>
    </row>
    <row r="761">
      <c r="A761" s="92" t="str">
        <f>IF($AG761="","",P_ImportID)</f>
        <v/>
      </c>
      <c r="B761" s="92" t="str">
        <f>IF($AG761="","",IF(INDEX($AN$8:$AN$21,INDEX($AC$8:$AC$1407,$AG761)+1)="Z",P_BronZ,P_BronE))</f>
        <v/>
      </c>
      <c r="C761" s="108" t="str">
        <f>IF($AG761="","",P_Importdatum)</f>
        <v/>
      </c>
      <c r="D761" s="92" t="str">
        <f>IF($AG761="","",P_StatusVastleg)</f>
        <v/>
      </c>
      <c r="E761" s="92" t="str">
        <f>IF($AG761="","",P_UploadVJ)</f>
        <v/>
      </c>
      <c r="F761" s="92" t="str">
        <f>IF($AG761="","",P_UploadVersie)</f>
        <v/>
      </c>
      <c r="G761" s="92" t="str">
        <f>IF($AG761="","",IF(COUNTIFS(L_Sleutel,$S761,L_Status,"Vastgesteld")=0,0,_xlfn.MAXIFS(L_Revisie,L_Sleutel,$S761,L_Status,"Vastgesteld")+1))</f>
        <v/>
      </c>
      <c r="H761" s="108" t="str">
        <f>IF($AG761="","",P_Peildatum)</f>
        <v/>
      </c>
      <c r="I761" s="92" t="str">
        <f>IF($AG761="","",P_RJ+INDEX($AK$8:$AK$21,INDEX($AC$8:$AC$1407,$AG761)+1))</f>
        <v/>
      </c>
      <c r="J761" s="92" t="str">
        <f>IF($AG761="","",INDEX(V_WBS,INDEX($AB$8:$AB$1407,$AG761)))</f>
        <v/>
      </c>
      <c r="K761" s="92" t="str">
        <f>IF($AG761="","",INDEX(V_Projdef,INDEX($AB$8:$AB$1407,$AG761)))</f>
        <v/>
      </c>
      <c r="L761" s="92" t="str">
        <f>IF($AG761="","",INDEX(V_Naam,INDEX($AB$8:$AB$1407,$AG761)))</f>
        <v/>
      </c>
      <c r="M761" s="92" t="str">
        <f>IF($AG761="","",INDEX(V_Type,INDEX($AB$8:$AB$1407,$AG761)))</f>
        <v/>
      </c>
      <c r="N761" s="92" t="str">
        <f>IF($AG761="","",INDEX(V_IFRS,INDEX($AB$8:$AB$1407,$AG761)))</f>
        <v/>
      </c>
      <c r="O761" s="92" t="str">
        <f>IF($AG761="","",INDEX($AL$8:$AL$21,INDEX($AC$8:$AC$1407,$AG761)+1))</f>
        <v/>
      </c>
      <c r="P761" s="109" t="str">
        <f>IF($AG761="","",INDEX($AD$8:$AD$1407,$AG761))</f>
        <v/>
      </c>
      <c r="Q761" s="92" t="str">
        <f>IF($AG761="","",INDEX($AM$8:$AM$21,INDEX($AC$8:$AC$1407,$AG761)+1))</f>
        <v/>
      </c>
      <c r="R761" s="92" t="str">
        <f>IF($AG761="","",IF($G761&gt;0,P_ToelCorrectie&amp;"",""))</f>
        <v/>
      </c>
      <c r="S761" s="15" t="str">
        <f>IF(J761="","",J761&amp;"|"&amp;E761&amp;"|"&amp;F761&amp;"|"&amp;I761&amp;"|"&amp;O761)</f>
        <v/>
      </c>
      <c r="T761" s="111" t="str">
        <f>IF(S761="","",IF(COUNTIFS(L_Sleutel,S761,L_Actief,1)=0,"",SUMIFS(L_Waarde,L_Sleutel,S761,L_Actief,1)))</f>
        <v/>
      </c>
      <c r="U761" s="111">
        <f>IF(OR(S761="",T761=""),0,P761-T761)</f>
        <v>0</v>
      </c>
      <c r="AB761" s="112" t="n">
        <v>54</v>
      </c>
      <c r="AC761" s="112" t="n">
        <v>11</v>
      </c>
      <c r="AD761" s="112" t="str">
        <f>VERW_Project!BT59</f>
        <v/>
      </c>
      <c r="AE761" s="112">
        <f>IF(AND(VERW_Project!$A59&lt;&gt;"",ISNUMBER(AD761)),1,0)</f>
        <v>0</v>
      </c>
      <c r="AF761" s="112" t="str">
        <f>IF(AE761=1,SUM($AE$8:AE761),"")</f>
        <v/>
      </c>
      <c r="AG761" t="str">
        <f>IFERROR(MATCH(754,$AF$8:$AF$1407,0),"")</f>
        <v/>
      </c>
    </row>
    <row r="762">
      <c r="A762" s="92" t="str">
        <f>IF($AG762="","",P_ImportID)</f>
        <v/>
      </c>
      <c r="B762" s="92" t="str">
        <f>IF($AG762="","",IF(INDEX($AN$8:$AN$21,INDEX($AC$8:$AC$1407,$AG762)+1)="Z",P_BronZ,P_BronE))</f>
        <v/>
      </c>
      <c r="C762" s="108" t="str">
        <f>IF($AG762="","",P_Importdatum)</f>
        <v/>
      </c>
      <c r="D762" s="92" t="str">
        <f>IF($AG762="","",P_StatusVastleg)</f>
        <v/>
      </c>
      <c r="E762" s="92" t="str">
        <f>IF($AG762="","",P_UploadVJ)</f>
        <v/>
      </c>
      <c r="F762" s="92" t="str">
        <f>IF($AG762="","",P_UploadVersie)</f>
        <v/>
      </c>
      <c r="G762" s="92" t="str">
        <f>IF($AG762="","",IF(COUNTIFS(L_Sleutel,$S762,L_Status,"Vastgesteld")=0,0,_xlfn.MAXIFS(L_Revisie,L_Sleutel,$S762,L_Status,"Vastgesteld")+1))</f>
        <v/>
      </c>
      <c r="H762" s="108" t="str">
        <f>IF($AG762="","",P_Peildatum)</f>
        <v/>
      </c>
      <c r="I762" s="92" t="str">
        <f>IF($AG762="","",P_RJ+INDEX($AK$8:$AK$21,INDEX($AC$8:$AC$1407,$AG762)+1))</f>
        <v/>
      </c>
      <c r="J762" s="92" t="str">
        <f>IF($AG762="","",INDEX(V_WBS,INDEX($AB$8:$AB$1407,$AG762)))</f>
        <v/>
      </c>
      <c r="K762" s="92" t="str">
        <f>IF($AG762="","",INDEX(V_Projdef,INDEX($AB$8:$AB$1407,$AG762)))</f>
        <v/>
      </c>
      <c r="L762" s="92" t="str">
        <f>IF($AG762="","",INDEX(V_Naam,INDEX($AB$8:$AB$1407,$AG762)))</f>
        <v/>
      </c>
      <c r="M762" s="92" t="str">
        <f>IF($AG762="","",INDEX(V_Type,INDEX($AB$8:$AB$1407,$AG762)))</f>
        <v/>
      </c>
      <c r="N762" s="92" t="str">
        <f>IF($AG762="","",INDEX(V_IFRS,INDEX($AB$8:$AB$1407,$AG762)))</f>
        <v/>
      </c>
      <c r="O762" s="92" t="str">
        <f>IF($AG762="","",INDEX($AL$8:$AL$21,INDEX($AC$8:$AC$1407,$AG762)+1))</f>
        <v/>
      </c>
      <c r="P762" s="109" t="str">
        <f>IF($AG762="","",INDEX($AD$8:$AD$1407,$AG762))</f>
        <v/>
      </c>
      <c r="Q762" s="92" t="str">
        <f>IF($AG762="","",INDEX($AM$8:$AM$21,INDEX($AC$8:$AC$1407,$AG762)+1))</f>
        <v/>
      </c>
      <c r="R762" s="92" t="str">
        <f>IF($AG762="","",IF($G762&gt;0,P_ToelCorrectie&amp;"",""))</f>
        <v/>
      </c>
      <c r="S762" s="15" t="str">
        <f>IF(J762="","",J762&amp;"|"&amp;E762&amp;"|"&amp;F762&amp;"|"&amp;I762&amp;"|"&amp;O762)</f>
        <v/>
      </c>
      <c r="T762" s="111" t="str">
        <f>IF(S762="","",IF(COUNTIFS(L_Sleutel,S762,L_Actief,1)=0,"",SUMIFS(L_Waarde,L_Sleutel,S762,L_Actief,1)))</f>
        <v/>
      </c>
      <c r="U762" s="111">
        <f>IF(OR(S762="",T762=""),0,P762-T762)</f>
        <v>0</v>
      </c>
      <c r="AB762" s="112" t="n">
        <v>54</v>
      </c>
      <c r="AC762" s="112" t="n">
        <v>12</v>
      </c>
      <c r="AD762" s="112" t="str">
        <f>VERW_Project!BU59</f>
        <v/>
      </c>
      <c r="AE762" s="112">
        <f>IF(AND(VERW_Project!$A59&lt;&gt;"",ISNUMBER(AD762)),1,0)</f>
        <v>0</v>
      </c>
      <c r="AF762" s="112" t="str">
        <f>IF(AE762=1,SUM($AE$8:AE762),"")</f>
        <v/>
      </c>
      <c r="AG762" t="str">
        <f>IFERROR(MATCH(755,$AF$8:$AF$1407,0),"")</f>
        <v/>
      </c>
    </row>
    <row r="763">
      <c r="A763" s="92" t="str">
        <f>IF($AG763="","",P_ImportID)</f>
        <v/>
      </c>
      <c r="B763" s="92" t="str">
        <f>IF($AG763="","",IF(INDEX($AN$8:$AN$21,INDEX($AC$8:$AC$1407,$AG763)+1)="Z",P_BronZ,P_BronE))</f>
        <v/>
      </c>
      <c r="C763" s="108" t="str">
        <f>IF($AG763="","",P_Importdatum)</f>
        <v/>
      </c>
      <c r="D763" s="92" t="str">
        <f>IF($AG763="","",P_StatusVastleg)</f>
        <v/>
      </c>
      <c r="E763" s="92" t="str">
        <f>IF($AG763="","",P_UploadVJ)</f>
        <v/>
      </c>
      <c r="F763" s="92" t="str">
        <f>IF($AG763="","",P_UploadVersie)</f>
        <v/>
      </c>
      <c r="G763" s="92" t="str">
        <f>IF($AG763="","",IF(COUNTIFS(L_Sleutel,$S763,L_Status,"Vastgesteld")=0,0,_xlfn.MAXIFS(L_Revisie,L_Sleutel,$S763,L_Status,"Vastgesteld")+1))</f>
        <v/>
      </c>
      <c r="H763" s="108" t="str">
        <f>IF($AG763="","",P_Peildatum)</f>
        <v/>
      </c>
      <c r="I763" s="92" t="str">
        <f>IF($AG763="","",P_RJ+INDEX($AK$8:$AK$21,INDEX($AC$8:$AC$1407,$AG763)+1))</f>
        <v/>
      </c>
      <c r="J763" s="92" t="str">
        <f>IF($AG763="","",INDEX(V_WBS,INDEX($AB$8:$AB$1407,$AG763)))</f>
        <v/>
      </c>
      <c r="K763" s="92" t="str">
        <f>IF($AG763="","",INDEX(V_Projdef,INDEX($AB$8:$AB$1407,$AG763)))</f>
        <v/>
      </c>
      <c r="L763" s="92" t="str">
        <f>IF($AG763="","",INDEX(V_Naam,INDEX($AB$8:$AB$1407,$AG763)))</f>
        <v/>
      </c>
      <c r="M763" s="92" t="str">
        <f>IF($AG763="","",INDEX(V_Type,INDEX($AB$8:$AB$1407,$AG763)))</f>
        <v/>
      </c>
      <c r="N763" s="92" t="str">
        <f>IF($AG763="","",INDEX(V_IFRS,INDEX($AB$8:$AB$1407,$AG763)))</f>
        <v/>
      </c>
      <c r="O763" s="92" t="str">
        <f>IF($AG763="","",INDEX($AL$8:$AL$21,INDEX($AC$8:$AC$1407,$AG763)+1))</f>
        <v/>
      </c>
      <c r="P763" s="109" t="str">
        <f>IF($AG763="","",INDEX($AD$8:$AD$1407,$AG763))</f>
        <v/>
      </c>
      <c r="Q763" s="92" t="str">
        <f>IF($AG763="","",INDEX($AM$8:$AM$21,INDEX($AC$8:$AC$1407,$AG763)+1))</f>
        <v/>
      </c>
      <c r="R763" s="92" t="str">
        <f>IF($AG763="","",IF($G763&gt;0,P_ToelCorrectie&amp;"",""))</f>
        <v/>
      </c>
      <c r="S763" s="15" t="str">
        <f>IF(J763="","",J763&amp;"|"&amp;E763&amp;"|"&amp;F763&amp;"|"&amp;I763&amp;"|"&amp;O763)</f>
        <v/>
      </c>
      <c r="T763" s="111" t="str">
        <f>IF(S763="","",IF(COUNTIFS(L_Sleutel,S763,L_Actief,1)=0,"",SUMIFS(L_Waarde,L_Sleutel,S763,L_Actief,1)))</f>
        <v/>
      </c>
      <c r="U763" s="111">
        <f>IF(OR(S763="",T763=""),0,P763-T763)</f>
        <v>0</v>
      </c>
      <c r="AB763" s="112" t="n">
        <v>54</v>
      </c>
      <c r="AC763" s="112" t="n">
        <v>13</v>
      </c>
      <c r="AD763" s="112" t="str">
        <f>VERW_Project!BX59</f>
        <v/>
      </c>
      <c r="AE763" s="112">
        <f>IF(AND(VERW_Project!$A59&lt;&gt;"",ISNUMBER(AD763)),1,0)</f>
        <v>0</v>
      </c>
      <c r="AF763" s="112" t="str">
        <f>IF(AE763=1,SUM($AE$8:AE763),"")</f>
        <v/>
      </c>
      <c r="AG763" t="str">
        <f>IFERROR(MATCH(756,$AF$8:$AF$1407,0),"")</f>
        <v/>
      </c>
    </row>
    <row r="764">
      <c r="A764" s="92" t="str">
        <f>IF($AG764="","",P_ImportID)</f>
        <v/>
      </c>
      <c r="B764" s="92" t="str">
        <f>IF($AG764="","",IF(INDEX($AN$8:$AN$21,INDEX($AC$8:$AC$1407,$AG764)+1)="Z",P_BronZ,P_BronE))</f>
        <v/>
      </c>
      <c r="C764" s="108" t="str">
        <f>IF($AG764="","",P_Importdatum)</f>
        <v/>
      </c>
      <c r="D764" s="92" t="str">
        <f>IF($AG764="","",P_StatusVastleg)</f>
        <v/>
      </c>
      <c r="E764" s="92" t="str">
        <f>IF($AG764="","",P_UploadVJ)</f>
        <v/>
      </c>
      <c r="F764" s="92" t="str">
        <f>IF($AG764="","",P_UploadVersie)</f>
        <v/>
      </c>
      <c r="G764" s="92" t="str">
        <f>IF($AG764="","",IF(COUNTIFS(L_Sleutel,$S764,L_Status,"Vastgesteld")=0,0,_xlfn.MAXIFS(L_Revisie,L_Sleutel,$S764,L_Status,"Vastgesteld")+1))</f>
        <v/>
      </c>
      <c r="H764" s="108" t="str">
        <f>IF($AG764="","",P_Peildatum)</f>
        <v/>
      </c>
      <c r="I764" s="92" t="str">
        <f>IF($AG764="","",P_RJ+INDEX($AK$8:$AK$21,INDEX($AC$8:$AC$1407,$AG764)+1))</f>
        <v/>
      </c>
      <c r="J764" s="92" t="str">
        <f>IF($AG764="","",INDEX(V_WBS,INDEX($AB$8:$AB$1407,$AG764)))</f>
        <v/>
      </c>
      <c r="K764" s="92" t="str">
        <f>IF($AG764="","",INDEX(V_Projdef,INDEX($AB$8:$AB$1407,$AG764)))</f>
        <v/>
      </c>
      <c r="L764" s="92" t="str">
        <f>IF($AG764="","",INDEX(V_Naam,INDEX($AB$8:$AB$1407,$AG764)))</f>
        <v/>
      </c>
      <c r="M764" s="92" t="str">
        <f>IF($AG764="","",INDEX(V_Type,INDEX($AB$8:$AB$1407,$AG764)))</f>
        <v/>
      </c>
      <c r="N764" s="92" t="str">
        <f>IF($AG764="","",INDEX(V_IFRS,INDEX($AB$8:$AB$1407,$AG764)))</f>
        <v/>
      </c>
      <c r="O764" s="92" t="str">
        <f>IF($AG764="","",INDEX($AL$8:$AL$21,INDEX($AC$8:$AC$1407,$AG764)+1))</f>
        <v/>
      </c>
      <c r="P764" s="109" t="str">
        <f>IF($AG764="","",INDEX($AD$8:$AD$1407,$AG764))</f>
        <v/>
      </c>
      <c r="Q764" s="92" t="str">
        <f>IF($AG764="","",INDEX($AM$8:$AM$21,INDEX($AC$8:$AC$1407,$AG764)+1))</f>
        <v/>
      </c>
      <c r="R764" s="92" t="str">
        <f>IF($AG764="","",IF($G764&gt;0,P_ToelCorrectie&amp;"",""))</f>
        <v/>
      </c>
      <c r="S764" s="15" t="str">
        <f>IF(J764="","",J764&amp;"|"&amp;E764&amp;"|"&amp;F764&amp;"|"&amp;I764&amp;"|"&amp;O764)</f>
        <v/>
      </c>
      <c r="T764" s="111" t="str">
        <f>IF(S764="","",IF(COUNTIFS(L_Sleutel,S764,L_Actief,1)=0,"",SUMIFS(L_Waarde,L_Sleutel,S764,L_Actief,1)))</f>
        <v/>
      </c>
      <c r="U764" s="111">
        <f>IF(OR(S764="",T764=""),0,P764-T764)</f>
        <v>0</v>
      </c>
      <c r="AB764" s="112" t="n">
        <v>55</v>
      </c>
      <c r="AC764" s="112" t="n">
        <v>0</v>
      </c>
      <c r="AD764" s="112" t="str">
        <f>VERW_Project!P60</f>
        <v/>
      </c>
      <c r="AE764" s="112">
        <f>IF(AND(VERW_Project!$A60&lt;&gt;"",ISNUMBER(AD764)),1,0)</f>
        <v>0</v>
      </c>
      <c r="AF764" s="112" t="str">
        <f>IF(AE764=1,SUM($AE$8:AE764),"")</f>
        <v/>
      </c>
      <c r="AG764" t="str">
        <f>IFERROR(MATCH(757,$AF$8:$AF$1407,0),"")</f>
        <v/>
      </c>
    </row>
    <row r="765">
      <c r="A765" s="92" t="str">
        <f>IF($AG765="","",P_ImportID)</f>
        <v/>
      </c>
      <c r="B765" s="92" t="str">
        <f>IF($AG765="","",IF(INDEX($AN$8:$AN$21,INDEX($AC$8:$AC$1407,$AG765)+1)="Z",P_BronZ,P_BronE))</f>
        <v/>
      </c>
      <c r="C765" s="108" t="str">
        <f>IF($AG765="","",P_Importdatum)</f>
        <v/>
      </c>
      <c r="D765" s="92" t="str">
        <f>IF($AG765="","",P_StatusVastleg)</f>
        <v/>
      </c>
      <c r="E765" s="92" t="str">
        <f>IF($AG765="","",P_UploadVJ)</f>
        <v/>
      </c>
      <c r="F765" s="92" t="str">
        <f>IF($AG765="","",P_UploadVersie)</f>
        <v/>
      </c>
      <c r="G765" s="92" t="str">
        <f>IF($AG765="","",IF(COUNTIFS(L_Sleutel,$S765,L_Status,"Vastgesteld")=0,0,_xlfn.MAXIFS(L_Revisie,L_Sleutel,$S765,L_Status,"Vastgesteld")+1))</f>
        <v/>
      </c>
      <c r="H765" s="108" t="str">
        <f>IF($AG765="","",P_Peildatum)</f>
        <v/>
      </c>
      <c r="I765" s="92" t="str">
        <f>IF($AG765="","",P_RJ+INDEX($AK$8:$AK$21,INDEX($AC$8:$AC$1407,$AG765)+1))</f>
        <v/>
      </c>
      <c r="J765" s="92" t="str">
        <f>IF($AG765="","",INDEX(V_WBS,INDEX($AB$8:$AB$1407,$AG765)))</f>
        <v/>
      </c>
      <c r="K765" s="92" t="str">
        <f>IF($AG765="","",INDEX(V_Projdef,INDEX($AB$8:$AB$1407,$AG765)))</f>
        <v/>
      </c>
      <c r="L765" s="92" t="str">
        <f>IF($AG765="","",INDEX(V_Naam,INDEX($AB$8:$AB$1407,$AG765)))</f>
        <v/>
      </c>
      <c r="M765" s="92" t="str">
        <f>IF($AG765="","",INDEX(V_Type,INDEX($AB$8:$AB$1407,$AG765)))</f>
        <v/>
      </c>
      <c r="N765" s="92" t="str">
        <f>IF($AG765="","",INDEX(V_IFRS,INDEX($AB$8:$AB$1407,$AG765)))</f>
        <v/>
      </c>
      <c r="O765" s="92" t="str">
        <f>IF($AG765="","",INDEX($AL$8:$AL$21,INDEX($AC$8:$AC$1407,$AG765)+1))</f>
        <v/>
      </c>
      <c r="P765" s="109" t="str">
        <f>IF($AG765="","",INDEX($AD$8:$AD$1407,$AG765))</f>
        <v/>
      </c>
      <c r="Q765" s="92" t="str">
        <f>IF($AG765="","",INDEX($AM$8:$AM$21,INDEX($AC$8:$AC$1407,$AG765)+1))</f>
        <v/>
      </c>
      <c r="R765" s="92" t="str">
        <f>IF($AG765="","",IF($G765&gt;0,P_ToelCorrectie&amp;"",""))</f>
        <v/>
      </c>
      <c r="S765" s="15" t="str">
        <f>IF(J765="","",J765&amp;"|"&amp;E765&amp;"|"&amp;F765&amp;"|"&amp;I765&amp;"|"&amp;O765)</f>
        <v/>
      </c>
      <c r="T765" s="111" t="str">
        <f>IF(S765="","",IF(COUNTIFS(L_Sleutel,S765,L_Actief,1)=0,"",SUMIFS(L_Waarde,L_Sleutel,S765,L_Actief,1)))</f>
        <v/>
      </c>
      <c r="U765" s="111">
        <f>IF(OR(S765="",T765=""),0,P765-T765)</f>
        <v>0</v>
      </c>
      <c r="AB765" s="112" t="n">
        <v>55</v>
      </c>
      <c r="AC765" s="112" t="n">
        <v>1</v>
      </c>
      <c r="AD765" s="112" t="str">
        <f>VERW_Project!Q60</f>
        <v/>
      </c>
      <c r="AE765" s="112">
        <f>IF(AND(VERW_Project!$A60&lt;&gt;"",ISNUMBER(AD765)),1,0)</f>
        <v>0</v>
      </c>
      <c r="AF765" s="112" t="str">
        <f>IF(AE765=1,SUM($AE$8:AE765),"")</f>
        <v/>
      </c>
      <c r="AG765" t="str">
        <f>IFERROR(MATCH(758,$AF$8:$AF$1407,0),"")</f>
        <v/>
      </c>
    </row>
    <row r="766">
      <c r="A766" s="92" t="str">
        <f>IF($AG766="","",P_ImportID)</f>
        <v/>
      </c>
      <c r="B766" s="92" t="str">
        <f>IF($AG766="","",IF(INDEX($AN$8:$AN$21,INDEX($AC$8:$AC$1407,$AG766)+1)="Z",P_BronZ,P_BronE))</f>
        <v/>
      </c>
      <c r="C766" s="108" t="str">
        <f>IF($AG766="","",P_Importdatum)</f>
        <v/>
      </c>
      <c r="D766" s="92" t="str">
        <f>IF($AG766="","",P_StatusVastleg)</f>
        <v/>
      </c>
      <c r="E766" s="92" t="str">
        <f>IF($AG766="","",P_UploadVJ)</f>
        <v/>
      </c>
      <c r="F766" s="92" t="str">
        <f>IF($AG766="","",P_UploadVersie)</f>
        <v/>
      </c>
      <c r="G766" s="92" t="str">
        <f>IF($AG766="","",IF(COUNTIFS(L_Sleutel,$S766,L_Status,"Vastgesteld")=0,0,_xlfn.MAXIFS(L_Revisie,L_Sleutel,$S766,L_Status,"Vastgesteld")+1))</f>
        <v/>
      </c>
      <c r="H766" s="108" t="str">
        <f>IF($AG766="","",P_Peildatum)</f>
        <v/>
      </c>
      <c r="I766" s="92" t="str">
        <f>IF($AG766="","",P_RJ+INDEX($AK$8:$AK$21,INDEX($AC$8:$AC$1407,$AG766)+1))</f>
        <v/>
      </c>
      <c r="J766" s="92" t="str">
        <f>IF($AG766="","",INDEX(V_WBS,INDEX($AB$8:$AB$1407,$AG766)))</f>
        <v/>
      </c>
      <c r="K766" s="92" t="str">
        <f>IF($AG766="","",INDEX(V_Projdef,INDEX($AB$8:$AB$1407,$AG766)))</f>
        <v/>
      </c>
      <c r="L766" s="92" t="str">
        <f>IF($AG766="","",INDEX(V_Naam,INDEX($AB$8:$AB$1407,$AG766)))</f>
        <v/>
      </c>
      <c r="M766" s="92" t="str">
        <f>IF($AG766="","",INDEX(V_Type,INDEX($AB$8:$AB$1407,$AG766)))</f>
        <v/>
      </c>
      <c r="N766" s="92" t="str">
        <f>IF($AG766="","",INDEX(V_IFRS,INDEX($AB$8:$AB$1407,$AG766)))</f>
        <v/>
      </c>
      <c r="O766" s="92" t="str">
        <f>IF($AG766="","",INDEX($AL$8:$AL$21,INDEX($AC$8:$AC$1407,$AG766)+1))</f>
        <v/>
      </c>
      <c r="P766" s="109" t="str">
        <f>IF($AG766="","",INDEX($AD$8:$AD$1407,$AG766))</f>
        <v/>
      </c>
      <c r="Q766" s="92" t="str">
        <f>IF($AG766="","",INDEX($AM$8:$AM$21,INDEX($AC$8:$AC$1407,$AG766)+1))</f>
        <v/>
      </c>
      <c r="R766" s="92" t="str">
        <f>IF($AG766="","",IF($G766&gt;0,P_ToelCorrectie&amp;"",""))</f>
        <v/>
      </c>
      <c r="S766" s="15" t="str">
        <f>IF(J766="","",J766&amp;"|"&amp;E766&amp;"|"&amp;F766&amp;"|"&amp;I766&amp;"|"&amp;O766)</f>
        <v/>
      </c>
      <c r="T766" s="111" t="str">
        <f>IF(S766="","",IF(COUNTIFS(L_Sleutel,S766,L_Actief,1)=0,"",SUMIFS(L_Waarde,L_Sleutel,S766,L_Actief,1)))</f>
        <v/>
      </c>
      <c r="U766" s="111">
        <f>IF(OR(S766="",T766=""),0,P766-T766)</f>
        <v>0</v>
      </c>
      <c r="AB766" s="112" t="n">
        <v>55</v>
      </c>
      <c r="AC766" s="112" t="n">
        <v>2</v>
      </c>
      <c r="AD766" s="112" t="str">
        <f>VERW_Project!L60</f>
        <v/>
      </c>
      <c r="AE766" s="112">
        <f>IF(AND(VERW_Project!$A60&lt;&gt;"",ISNUMBER(AD766)),1,0)</f>
        <v>0</v>
      </c>
      <c r="AF766" s="112" t="str">
        <f>IF(AE766=1,SUM($AE$8:AE766),"")</f>
        <v/>
      </c>
      <c r="AG766" t="str">
        <f>IFERROR(MATCH(759,$AF$8:$AF$1407,0),"")</f>
        <v/>
      </c>
    </row>
    <row r="767">
      <c r="A767" s="92" t="str">
        <f>IF($AG767="","",P_ImportID)</f>
        <v/>
      </c>
      <c r="B767" s="92" t="str">
        <f>IF($AG767="","",IF(INDEX($AN$8:$AN$21,INDEX($AC$8:$AC$1407,$AG767)+1)="Z",P_BronZ,P_BronE))</f>
        <v/>
      </c>
      <c r="C767" s="108" t="str">
        <f>IF($AG767="","",P_Importdatum)</f>
        <v/>
      </c>
      <c r="D767" s="92" t="str">
        <f>IF($AG767="","",P_StatusVastleg)</f>
        <v/>
      </c>
      <c r="E767" s="92" t="str">
        <f>IF($AG767="","",P_UploadVJ)</f>
        <v/>
      </c>
      <c r="F767" s="92" t="str">
        <f>IF($AG767="","",P_UploadVersie)</f>
        <v/>
      </c>
      <c r="G767" s="92" t="str">
        <f>IF($AG767="","",IF(COUNTIFS(L_Sleutel,$S767,L_Status,"Vastgesteld")=0,0,_xlfn.MAXIFS(L_Revisie,L_Sleutel,$S767,L_Status,"Vastgesteld")+1))</f>
        <v/>
      </c>
      <c r="H767" s="108" t="str">
        <f>IF($AG767="","",P_Peildatum)</f>
        <v/>
      </c>
      <c r="I767" s="92" t="str">
        <f>IF($AG767="","",P_RJ+INDEX($AK$8:$AK$21,INDEX($AC$8:$AC$1407,$AG767)+1))</f>
        <v/>
      </c>
      <c r="J767" s="92" t="str">
        <f>IF($AG767="","",INDEX(V_WBS,INDEX($AB$8:$AB$1407,$AG767)))</f>
        <v/>
      </c>
      <c r="K767" s="92" t="str">
        <f>IF($AG767="","",INDEX(V_Projdef,INDEX($AB$8:$AB$1407,$AG767)))</f>
        <v/>
      </c>
      <c r="L767" s="92" t="str">
        <f>IF($AG767="","",INDEX(V_Naam,INDEX($AB$8:$AB$1407,$AG767)))</f>
        <v/>
      </c>
      <c r="M767" s="92" t="str">
        <f>IF($AG767="","",INDEX(V_Type,INDEX($AB$8:$AB$1407,$AG767)))</f>
        <v/>
      </c>
      <c r="N767" s="92" t="str">
        <f>IF($AG767="","",INDEX(V_IFRS,INDEX($AB$8:$AB$1407,$AG767)))</f>
        <v/>
      </c>
      <c r="O767" s="92" t="str">
        <f>IF($AG767="","",INDEX($AL$8:$AL$21,INDEX($AC$8:$AC$1407,$AG767)+1))</f>
        <v/>
      </c>
      <c r="P767" s="109" t="str">
        <f>IF($AG767="","",INDEX($AD$8:$AD$1407,$AG767))</f>
        <v/>
      </c>
      <c r="Q767" s="92" t="str">
        <f>IF($AG767="","",INDEX($AM$8:$AM$21,INDEX($AC$8:$AC$1407,$AG767)+1))</f>
        <v/>
      </c>
      <c r="R767" s="92" t="str">
        <f>IF($AG767="","",IF($G767&gt;0,P_ToelCorrectie&amp;"",""))</f>
        <v/>
      </c>
      <c r="S767" s="15" t="str">
        <f>IF(J767="","",J767&amp;"|"&amp;E767&amp;"|"&amp;F767&amp;"|"&amp;I767&amp;"|"&amp;O767)</f>
        <v/>
      </c>
      <c r="T767" s="111" t="str">
        <f>IF(S767="","",IF(COUNTIFS(L_Sleutel,S767,L_Actief,1)=0,"",SUMIFS(L_Waarde,L_Sleutel,S767,L_Actief,1)))</f>
        <v/>
      </c>
      <c r="U767" s="111">
        <f>IF(OR(S767="",T767=""),0,P767-T767)</f>
        <v>0</v>
      </c>
      <c r="AB767" s="112" t="n">
        <v>55</v>
      </c>
      <c r="AC767" s="112" t="n">
        <v>3</v>
      </c>
      <c r="AD767" s="112" t="str">
        <f>VERW_Project!M60</f>
        <v/>
      </c>
      <c r="AE767" s="112">
        <f>IF(AND(VERW_Project!$A60&lt;&gt;"",ISNUMBER(AD767)),1,0)</f>
        <v>0</v>
      </c>
      <c r="AF767" s="112" t="str">
        <f>IF(AE767=1,SUM($AE$8:AE767),"")</f>
        <v/>
      </c>
      <c r="AG767" t="str">
        <f>IFERROR(MATCH(760,$AF$8:$AF$1407,0),"")</f>
        <v/>
      </c>
    </row>
    <row r="768">
      <c r="A768" s="92" t="str">
        <f>IF($AG768="","",P_ImportID)</f>
        <v/>
      </c>
      <c r="B768" s="92" t="str">
        <f>IF($AG768="","",IF(INDEX($AN$8:$AN$21,INDEX($AC$8:$AC$1407,$AG768)+1)="Z",P_BronZ,P_BronE))</f>
        <v/>
      </c>
      <c r="C768" s="108" t="str">
        <f>IF($AG768="","",P_Importdatum)</f>
        <v/>
      </c>
      <c r="D768" s="92" t="str">
        <f>IF($AG768="","",P_StatusVastleg)</f>
        <v/>
      </c>
      <c r="E768" s="92" t="str">
        <f>IF($AG768="","",P_UploadVJ)</f>
        <v/>
      </c>
      <c r="F768" s="92" t="str">
        <f>IF($AG768="","",P_UploadVersie)</f>
        <v/>
      </c>
      <c r="G768" s="92" t="str">
        <f>IF($AG768="","",IF(COUNTIFS(L_Sleutel,$S768,L_Status,"Vastgesteld")=0,0,_xlfn.MAXIFS(L_Revisie,L_Sleutel,$S768,L_Status,"Vastgesteld")+1))</f>
        <v/>
      </c>
      <c r="H768" s="108" t="str">
        <f>IF($AG768="","",P_Peildatum)</f>
        <v/>
      </c>
      <c r="I768" s="92" t="str">
        <f>IF($AG768="","",P_RJ+INDEX($AK$8:$AK$21,INDEX($AC$8:$AC$1407,$AG768)+1))</f>
        <v/>
      </c>
      <c r="J768" s="92" t="str">
        <f>IF($AG768="","",INDEX(V_WBS,INDEX($AB$8:$AB$1407,$AG768)))</f>
        <v/>
      </c>
      <c r="K768" s="92" t="str">
        <f>IF($AG768="","",INDEX(V_Projdef,INDEX($AB$8:$AB$1407,$AG768)))</f>
        <v/>
      </c>
      <c r="L768" s="92" t="str">
        <f>IF($AG768="","",INDEX(V_Naam,INDEX($AB$8:$AB$1407,$AG768)))</f>
        <v/>
      </c>
      <c r="M768" s="92" t="str">
        <f>IF($AG768="","",INDEX(V_Type,INDEX($AB$8:$AB$1407,$AG768)))</f>
        <v/>
      </c>
      <c r="N768" s="92" t="str">
        <f>IF($AG768="","",INDEX(V_IFRS,INDEX($AB$8:$AB$1407,$AG768)))</f>
        <v/>
      </c>
      <c r="O768" s="92" t="str">
        <f>IF($AG768="","",INDEX($AL$8:$AL$21,INDEX($AC$8:$AC$1407,$AG768)+1))</f>
        <v/>
      </c>
      <c r="P768" s="109" t="str">
        <f>IF($AG768="","",INDEX($AD$8:$AD$1407,$AG768))</f>
        <v/>
      </c>
      <c r="Q768" s="92" t="str">
        <f>IF($AG768="","",INDEX($AM$8:$AM$21,INDEX($AC$8:$AC$1407,$AG768)+1))</f>
        <v/>
      </c>
      <c r="R768" s="92" t="str">
        <f>IF($AG768="","",IF($G768&gt;0,P_ToelCorrectie&amp;"",""))</f>
        <v/>
      </c>
      <c r="S768" s="15" t="str">
        <f>IF(J768="","",J768&amp;"|"&amp;E768&amp;"|"&amp;F768&amp;"|"&amp;I768&amp;"|"&amp;O768)</f>
        <v/>
      </c>
      <c r="T768" s="111" t="str">
        <f>IF(S768="","",IF(COUNTIFS(L_Sleutel,S768,L_Actief,1)=0,"",SUMIFS(L_Waarde,L_Sleutel,S768,L_Actief,1)))</f>
        <v/>
      </c>
      <c r="U768" s="111">
        <f>IF(OR(S768="",T768=""),0,P768-T768)</f>
        <v>0</v>
      </c>
      <c r="AB768" s="112" t="n">
        <v>55</v>
      </c>
      <c r="AC768" s="112" t="n">
        <v>4</v>
      </c>
      <c r="AD768" s="112" t="str">
        <f>VERW_Project!R60</f>
        <v/>
      </c>
      <c r="AE768" s="112">
        <f>IF(AND(VERW_Project!$A60&lt;&gt;"",ISNUMBER(AD768)),1,0)</f>
        <v>0</v>
      </c>
      <c r="AF768" s="112" t="str">
        <f>IF(AE768=1,SUM($AE$8:AE768),"")</f>
        <v/>
      </c>
      <c r="AG768" t="str">
        <f>IFERROR(MATCH(761,$AF$8:$AF$1407,0),"")</f>
        <v/>
      </c>
    </row>
    <row r="769">
      <c r="A769" s="92" t="str">
        <f>IF($AG769="","",P_ImportID)</f>
        <v/>
      </c>
      <c r="B769" s="92" t="str">
        <f>IF($AG769="","",IF(INDEX($AN$8:$AN$21,INDEX($AC$8:$AC$1407,$AG769)+1)="Z",P_BronZ,P_BronE))</f>
        <v/>
      </c>
      <c r="C769" s="108" t="str">
        <f>IF($AG769="","",P_Importdatum)</f>
        <v/>
      </c>
      <c r="D769" s="92" t="str">
        <f>IF($AG769="","",P_StatusVastleg)</f>
        <v/>
      </c>
      <c r="E769" s="92" t="str">
        <f>IF($AG769="","",P_UploadVJ)</f>
        <v/>
      </c>
      <c r="F769" s="92" t="str">
        <f>IF($AG769="","",P_UploadVersie)</f>
        <v/>
      </c>
      <c r="G769" s="92" t="str">
        <f>IF($AG769="","",IF(COUNTIFS(L_Sleutel,$S769,L_Status,"Vastgesteld")=0,0,_xlfn.MAXIFS(L_Revisie,L_Sleutel,$S769,L_Status,"Vastgesteld")+1))</f>
        <v/>
      </c>
      <c r="H769" s="108" t="str">
        <f>IF($AG769="","",P_Peildatum)</f>
        <v/>
      </c>
      <c r="I769" s="92" t="str">
        <f>IF($AG769="","",P_RJ+INDEX($AK$8:$AK$21,INDEX($AC$8:$AC$1407,$AG769)+1))</f>
        <v/>
      </c>
      <c r="J769" s="92" t="str">
        <f>IF($AG769="","",INDEX(V_WBS,INDEX($AB$8:$AB$1407,$AG769)))</f>
        <v/>
      </c>
      <c r="K769" s="92" t="str">
        <f>IF($AG769="","",INDEX(V_Projdef,INDEX($AB$8:$AB$1407,$AG769)))</f>
        <v/>
      </c>
      <c r="L769" s="92" t="str">
        <f>IF($AG769="","",INDEX(V_Naam,INDEX($AB$8:$AB$1407,$AG769)))</f>
        <v/>
      </c>
      <c r="M769" s="92" t="str">
        <f>IF($AG769="","",INDEX(V_Type,INDEX($AB$8:$AB$1407,$AG769)))</f>
        <v/>
      </c>
      <c r="N769" s="92" t="str">
        <f>IF($AG769="","",INDEX(V_IFRS,INDEX($AB$8:$AB$1407,$AG769)))</f>
        <v/>
      </c>
      <c r="O769" s="92" t="str">
        <f>IF($AG769="","",INDEX($AL$8:$AL$21,INDEX($AC$8:$AC$1407,$AG769)+1))</f>
        <v/>
      </c>
      <c r="P769" s="109" t="str">
        <f>IF($AG769="","",INDEX($AD$8:$AD$1407,$AG769))</f>
        <v/>
      </c>
      <c r="Q769" s="92" t="str">
        <f>IF($AG769="","",INDEX($AM$8:$AM$21,INDEX($AC$8:$AC$1407,$AG769)+1))</f>
        <v/>
      </c>
      <c r="R769" s="92" t="str">
        <f>IF($AG769="","",IF($G769&gt;0,P_ToelCorrectie&amp;"",""))</f>
        <v/>
      </c>
      <c r="S769" s="15" t="str">
        <f>IF(J769="","",J769&amp;"|"&amp;E769&amp;"|"&amp;F769&amp;"|"&amp;I769&amp;"|"&amp;O769)</f>
        <v/>
      </c>
      <c r="T769" s="111" t="str">
        <f>IF(S769="","",IF(COUNTIFS(L_Sleutel,S769,L_Actief,1)=0,"",SUMIFS(L_Waarde,L_Sleutel,S769,L_Actief,1)))</f>
        <v/>
      </c>
      <c r="U769" s="111">
        <f>IF(OR(S769="",T769=""),0,P769-T769)</f>
        <v>0</v>
      </c>
      <c r="AB769" s="112" t="n">
        <v>55</v>
      </c>
      <c r="AC769" s="112" t="n">
        <v>5</v>
      </c>
      <c r="AD769" s="112" t="str">
        <f>VERW_Project!S60</f>
        <v/>
      </c>
      <c r="AE769" s="112">
        <f>IF(AND(VERW_Project!$A60&lt;&gt;"",ISNUMBER(AD769)),1,0)</f>
        <v>0</v>
      </c>
      <c r="AF769" s="112" t="str">
        <f>IF(AE769=1,SUM($AE$8:AE769),"")</f>
        <v/>
      </c>
      <c r="AG769" t="str">
        <f>IFERROR(MATCH(762,$AF$8:$AF$1407,0),"")</f>
        <v/>
      </c>
    </row>
    <row r="770">
      <c r="A770" s="92" t="str">
        <f>IF($AG770="","",P_ImportID)</f>
        <v/>
      </c>
      <c r="B770" s="92" t="str">
        <f>IF($AG770="","",IF(INDEX($AN$8:$AN$21,INDEX($AC$8:$AC$1407,$AG770)+1)="Z",P_BronZ,P_BronE))</f>
        <v/>
      </c>
      <c r="C770" s="108" t="str">
        <f>IF($AG770="","",P_Importdatum)</f>
        <v/>
      </c>
      <c r="D770" s="92" t="str">
        <f>IF($AG770="","",P_StatusVastleg)</f>
        <v/>
      </c>
      <c r="E770" s="92" t="str">
        <f>IF($AG770="","",P_UploadVJ)</f>
        <v/>
      </c>
      <c r="F770" s="92" t="str">
        <f>IF($AG770="","",P_UploadVersie)</f>
        <v/>
      </c>
      <c r="G770" s="92" t="str">
        <f>IF($AG770="","",IF(COUNTIFS(L_Sleutel,$S770,L_Status,"Vastgesteld")=0,0,_xlfn.MAXIFS(L_Revisie,L_Sleutel,$S770,L_Status,"Vastgesteld")+1))</f>
        <v/>
      </c>
      <c r="H770" s="108" t="str">
        <f>IF($AG770="","",P_Peildatum)</f>
        <v/>
      </c>
      <c r="I770" s="92" t="str">
        <f>IF($AG770="","",P_RJ+INDEX($AK$8:$AK$21,INDEX($AC$8:$AC$1407,$AG770)+1))</f>
        <v/>
      </c>
      <c r="J770" s="92" t="str">
        <f>IF($AG770="","",INDEX(V_WBS,INDEX($AB$8:$AB$1407,$AG770)))</f>
        <v/>
      </c>
      <c r="K770" s="92" t="str">
        <f>IF($AG770="","",INDEX(V_Projdef,INDEX($AB$8:$AB$1407,$AG770)))</f>
        <v/>
      </c>
      <c r="L770" s="92" t="str">
        <f>IF($AG770="","",INDEX(V_Naam,INDEX($AB$8:$AB$1407,$AG770)))</f>
        <v/>
      </c>
      <c r="M770" s="92" t="str">
        <f>IF($AG770="","",INDEX(V_Type,INDEX($AB$8:$AB$1407,$AG770)))</f>
        <v/>
      </c>
      <c r="N770" s="92" t="str">
        <f>IF($AG770="","",INDEX(V_IFRS,INDEX($AB$8:$AB$1407,$AG770)))</f>
        <v/>
      </c>
      <c r="O770" s="92" t="str">
        <f>IF($AG770="","",INDEX($AL$8:$AL$21,INDEX($AC$8:$AC$1407,$AG770)+1))</f>
        <v/>
      </c>
      <c r="P770" s="109" t="str">
        <f>IF($AG770="","",INDEX($AD$8:$AD$1407,$AG770))</f>
        <v/>
      </c>
      <c r="Q770" s="92" t="str">
        <f>IF($AG770="","",INDEX($AM$8:$AM$21,INDEX($AC$8:$AC$1407,$AG770)+1))</f>
        <v/>
      </c>
      <c r="R770" s="92" t="str">
        <f>IF($AG770="","",IF($G770&gt;0,P_ToelCorrectie&amp;"",""))</f>
        <v/>
      </c>
      <c r="S770" s="15" t="str">
        <f>IF(J770="","",J770&amp;"|"&amp;E770&amp;"|"&amp;F770&amp;"|"&amp;I770&amp;"|"&amp;O770)</f>
        <v/>
      </c>
      <c r="T770" s="111" t="str">
        <f>IF(S770="","",IF(COUNTIFS(L_Sleutel,S770,L_Actief,1)=0,"",SUMIFS(L_Waarde,L_Sleutel,S770,L_Actief,1)))</f>
        <v/>
      </c>
      <c r="U770" s="111">
        <f>IF(OR(S770="",T770=""),0,P770-T770)</f>
        <v>0</v>
      </c>
      <c r="AB770" s="112" t="n">
        <v>55</v>
      </c>
      <c r="AC770" s="112" t="n">
        <v>6</v>
      </c>
      <c r="AD770" s="112" t="str">
        <f>VERW_Project!BW60</f>
        <v/>
      </c>
      <c r="AE770" s="112">
        <f>IF(AND(VERW_Project!$A60&lt;&gt;"",ISNUMBER(AD770)),1,0)</f>
        <v>0</v>
      </c>
      <c r="AF770" s="112" t="str">
        <f>IF(AE770=1,SUM($AE$8:AE770),"")</f>
        <v/>
      </c>
      <c r="AG770" t="str">
        <f>IFERROR(MATCH(763,$AF$8:$AF$1407,0),"")</f>
        <v/>
      </c>
    </row>
    <row r="771">
      <c r="A771" s="92" t="str">
        <f>IF($AG771="","",P_ImportID)</f>
        <v/>
      </c>
      <c r="B771" s="92" t="str">
        <f>IF($AG771="","",IF(INDEX($AN$8:$AN$21,INDEX($AC$8:$AC$1407,$AG771)+1)="Z",P_BronZ,P_BronE))</f>
        <v/>
      </c>
      <c r="C771" s="108" t="str">
        <f>IF($AG771="","",P_Importdatum)</f>
        <v/>
      </c>
      <c r="D771" s="92" t="str">
        <f>IF($AG771="","",P_StatusVastleg)</f>
        <v/>
      </c>
      <c r="E771" s="92" t="str">
        <f>IF($AG771="","",P_UploadVJ)</f>
        <v/>
      </c>
      <c r="F771" s="92" t="str">
        <f>IF($AG771="","",P_UploadVersie)</f>
        <v/>
      </c>
      <c r="G771" s="92" t="str">
        <f>IF($AG771="","",IF(COUNTIFS(L_Sleutel,$S771,L_Status,"Vastgesteld")=0,0,_xlfn.MAXIFS(L_Revisie,L_Sleutel,$S771,L_Status,"Vastgesteld")+1))</f>
        <v/>
      </c>
      <c r="H771" s="108" t="str">
        <f>IF($AG771="","",P_Peildatum)</f>
        <v/>
      </c>
      <c r="I771" s="92" t="str">
        <f>IF($AG771="","",P_RJ+INDEX($AK$8:$AK$21,INDEX($AC$8:$AC$1407,$AG771)+1))</f>
        <v/>
      </c>
      <c r="J771" s="92" t="str">
        <f>IF($AG771="","",INDEX(V_WBS,INDEX($AB$8:$AB$1407,$AG771)))</f>
        <v/>
      </c>
      <c r="K771" s="92" t="str">
        <f>IF($AG771="","",INDEX(V_Projdef,INDEX($AB$8:$AB$1407,$AG771)))</f>
        <v/>
      </c>
      <c r="L771" s="92" t="str">
        <f>IF($AG771="","",INDEX(V_Naam,INDEX($AB$8:$AB$1407,$AG771)))</f>
        <v/>
      </c>
      <c r="M771" s="92" t="str">
        <f>IF($AG771="","",INDEX(V_Type,INDEX($AB$8:$AB$1407,$AG771)))</f>
        <v/>
      </c>
      <c r="N771" s="92" t="str">
        <f>IF($AG771="","",INDEX(V_IFRS,INDEX($AB$8:$AB$1407,$AG771)))</f>
        <v/>
      </c>
      <c r="O771" s="92" t="str">
        <f>IF($AG771="","",INDEX($AL$8:$AL$21,INDEX($AC$8:$AC$1407,$AG771)+1))</f>
        <v/>
      </c>
      <c r="P771" s="109" t="str">
        <f>IF($AG771="","",INDEX($AD$8:$AD$1407,$AG771))</f>
        <v/>
      </c>
      <c r="Q771" s="92" t="str">
        <f>IF($AG771="","",INDEX($AM$8:$AM$21,INDEX($AC$8:$AC$1407,$AG771)+1))</f>
        <v/>
      </c>
      <c r="R771" s="92" t="str">
        <f>IF($AG771="","",IF($G771&gt;0,P_ToelCorrectie&amp;"",""))</f>
        <v/>
      </c>
      <c r="S771" s="15" t="str">
        <f>IF(J771="","",J771&amp;"|"&amp;E771&amp;"|"&amp;F771&amp;"|"&amp;I771&amp;"|"&amp;O771)</f>
        <v/>
      </c>
      <c r="T771" s="111" t="str">
        <f>IF(S771="","",IF(COUNTIFS(L_Sleutel,S771,L_Actief,1)=0,"",SUMIFS(L_Waarde,L_Sleutel,S771,L_Actief,1)))</f>
        <v/>
      </c>
      <c r="U771" s="111">
        <f>IF(OR(S771="",T771=""),0,P771-T771)</f>
        <v>0</v>
      </c>
      <c r="AB771" s="112" t="n">
        <v>55</v>
      </c>
      <c r="AC771" s="112" t="n">
        <v>7</v>
      </c>
      <c r="AD771" s="112" t="str">
        <f>VERW_Project!AW60</f>
        <v/>
      </c>
      <c r="AE771" s="112">
        <f>IF(AND(VERW_Project!$A60&lt;&gt;"",ISNUMBER(AD771)),1,0)</f>
        <v>0</v>
      </c>
      <c r="AF771" s="112" t="str">
        <f>IF(AE771=1,SUM($AE$8:AE771),"")</f>
        <v/>
      </c>
      <c r="AG771" t="str">
        <f>IFERROR(MATCH(764,$AF$8:$AF$1407,0),"")</f>
        <v/>
      </c>
    </row>
    <row r="772">
      <c r="A772" s="92" t="str">
        <f>IF($AG772="","",P_ImportID)</f>
        <v/>
      </c>
      <c r="B772" s="92" t="str">
        <f>IF($AG772="","",IF(INDEX($AN$8:$AN$21,INDEX($AC$8:$AC$1407,$AG772)+1)="Z",P_BronZ,P_BronE))</f>
        <v/>
      </c>
      <c r="C772" s="108" t="str">
        <f>IF($AG772="","",P_Importdatum)</f>
        <v/>
      </c>
      <c r="D772" s="92" t="str">
        <f>IF($AG772="","",P_StatusVastleg)</f>
        <v/>
      </c>
      <c r="E772" s="92" t="str">
        <f>IF($AG772="","",P_UploadVJ)</f>
        <v/>
      </c>
      <c r="F772" s="92" t="str">
        <f>IF($AG772="","",P_UploadVersie)</f>
        <v/>
      </c>
      <c r="G772" s="92" t="str">
        <f>IF($AG772="","",IF(COUNTIFS(L_Sleutel,$S772,L_Status,"Vastgesteld")=0,0,_xlfn.MAXIFS(L_Revisie,L_Sleutel,$S772,L_Status,"Vastgesteld")+1))</f>
        <v/>
      </c>
      <c r="H772" s="108" t="str">
        <f>IF($AG772="","",P_Peildatum)</f>
        <v/>
      </c>
      <c r="I772" s="92" t="str">
        <f>IF($AG772="","",P_RJ+INDEX($AK$8:$AK$21,INDEX($AC$8:$AC$1407,$AG772)+1))</f>
        <v/>
      </c>
      <c r="J772" s="92" t="str">
        <f>IF($AG772="","",INDEX(V_WBS,INDEX($AB$8:$AB$1407,$AG772)))</f>
        <v/>
      </c>
      <c r="K772" s="92" t="str">
        <f>IF($AG772="","",INDEX(V_Projdef,INDEX($AB$8:$AB$1407,$AG772)))</f>
        <v/>
      </c>
      <c r="L772" s="92" t="str">
        <f>IF($AG772="","",INDEX(V_Naam,INDEX($AB$8:$AB$1407,$AG772)))</f>
        <v/>
      </c>
      <c r="M772" s="92" t="str">
        <f>IF($AG772="","",INDEX(V_Type,INDEX($AB$8:$AB$1407,$AG772)))</f>
        <v/>
      </c>
      <c r="N772" s="92" t="str">
        <f>IF($AG772="","",INDEX(V_IFRS,INDEX($AB$8:$AB$1407,$AG772)))</f>
        <v/>
      </c>
      <c r="O772" s="92" t="str">
        <f>IF($AG772="","",INDEX($AL$8:$AL$21,INDEX($AC$8:$AC$1407,$AG772)+1))</f>
        <v/>
      </c>
      <c r="P772" s="109" t="str">
        <f>IF($AG772="","",INDEX($AD$8:$AD$1407,$AG772))</f>
        <v/>
      </c>
      <c r="Q772" s="92" t="str">
        <f>IF($AG772="","",INDEX($AM$8:$AM$21,INDEX($AC$8:$AC$1407,$AG772)+1))</f>
        <v/>
      </c>
      <c r="R772" s="92" t="str">
        <f>IF($AG772="","",IF($G772&gt;0,P_ToelCorrectie&amp;"",""))</f>
        <v/>
      </c>
      <c r="S772" s="15" t="str">
        <f>IF(J772="","",J772&amp;"|"&amp;E772&amp;"|"&amp;F772&amp;"|"&amp;I772&amp;"|"&amp;O772)</f>
        <v/>
      </c>
      <c r="T772" s="111" t="str">
        <f>IF(S772="","",IF(COUNTIFS(L_Sleutel,S772,L_Actief,1)=0,"",SUMIFS(L_Waarde,L_Sleutel,S772,L_Actief,1)))</f>
        <v/>
      </c>
      <c r="U772" s="111">
        <f>IF(OR(S772="",T772=""),0,P772-T772)</f>
        <v>0</v>
      </c>
      <c r="AB772" s="112" t="n">
        <v>55</v>
      </c>
      <c r="AC772" s="112" t="n">
        <v>8</v>
      </c>
      <c r="AD772" s="112" t="str">
        <f>VERW_Project!BQ60</f>
        <v/>
      </c>
      <c r="AE772" s="112">
        <f>IF(AND(VERW_Project!$A60&lt;&gt;"",ISNUMBER(AD772)),1,0)</f>
        <v>0</v>
      </c>
      <c r="AF772" s="112" t="str">
        <f>IF(AE772=1,SUM($AE$8:AE772),"")</f>
        <v/>
      </c>
      <c r="AG772" t="str">
        <f>IFERROR(MATCH(765,$AF$8:$AF$1407,0),"")</f>
        <v/>
      </c>
    </row>
    <row r="773">
      <c r="A773" s="92" t="str">
        <f>IF($AG773="","",P_ImportID)</f>
        <v/>
      </c>
      <c r="B773" s="92" t="str">
        <f>IF($AG773="","",IF(INDEX($AN$8:$AN$21,INDEX($AC$8:$AC$1407,$AG773)+1)="Z",P_BronZ,P_BronE))</f>
        <v/>
      </c>
      <c r="C773" s="108" t="str">
        <f>IF($AG773="","",P_Importdatum)</f>
        <v/>
      </c>
      <c r="D773" s="92" t="str">
        <f>IF($AG773="","",P_StatusVastleg)</f>
        <v/>
      </c>
      <c r="E773" s="92" t="str">
        <f>IF($AG773="","",P_UploadVJ)</f>
        <v/>
      </c>
      <c r="F773" s="92" t="str">
        <f>IF($AG773="","",P_UploadVersie)</f>
        <v/>
      </c>
      <c r="G773" s="92" t="str">
        <f>IF($AG773="","",IF(COUNTIFS(L_Sleutel,$S773,L_Status,"Vastgesteld")=0,0,_xlfn.MAXIFS(L_Revisie,L_Sleutel,$S773,L_Status,"Vastgesteld")+1))</f>
        <v/>
      </c>
      <c r="H773" s="108" t="str">
        <f>IF($AG773="","",P_Peildatum)</f>
        <v/>
      </c>
      <c r="I773" s="92" t="str">
        <f>IF($AG773="","",P_RJ+INDEX($AK$8:$AK$21,INDEX($AC$8:$AC$1407,$AG773)+1))</f>
        <v/>
      </c>
      <c r="J773" s="92" t="str">
        <f>IF($AG773="","",INDEX(V_WBS,INDEX($AB$8:$AB$1407,$AG773)))</f>
        <v/>
      </c>
      <c r="K773" s="92" t="str">
        <f>IF($AG773="","",INDEX(V_Projdef,INDEX($AB$8:$AB$1407,$AG773)))</f>
        <v/>
      </c>
      <c r="L773" s="92" t="str">
        <f>IF($AG773="","",INDEX(V_Naam,INDEX($AB$8:$AB$1407,$AG773)))</f>
        <v/>
      </c>
      <c r="M773" s="92" t="str">
        <f>IF($AG773="","",INDEX(V_Type,INDEX($AB$8:$AB$1407,$AG773)))</f>
        <v/>
      </c>
      <c r="N773" s="92" t="str">
        <f>IF($AG773="","",INDEX(V_IFRS,INDEX($AB$8:$AB$1407,$AG773)))</f>
        <v/>
      </c>
      <c r="O773" s="92" t="str">
        <f>IF($AG773="","",INDEX($AL$8:$AL$21,INDEX($AC$8:$AC$1407,$AG773)+1))</f>
        <v/>
      </c>
      <c r="P773" s="109" t="str">
        <f>IF($AG773="","",INDEX($AD$8:$AD$1407,$AG773))</f>
        <v/>
      </c>
      <c r="Q773" s="92" t="str">
        <f>IF($AG773="","",INDEX($AM$8:$AM$21,INDEX($AC$8:$AC$1407,$AG773)+1))</f>
        <v/>
      </c>
      <c r="R773" s="92" t="str">
        <f>IF($AG773="","",IF($G773&gt;0,P_ToelCorrectie&amp;"",""))</f>
        <v/>
      </c>
      <c r="S773" s="15" t="str">
        <f>IF(J773="","",J773&amp;"|"&amp;E773&amp;"|"&amp;F773&amp;"|"&amp;I773&amp;"|"&amp;O773)</f>
        <v/>
      </c>
      <c r="T773" s="111" t="str">
        <f>IF(S773="","",IF(COUNTIFS(L_Sleutel,S773,L_Actief,1)=0,"",SUMIFS(L_Waarde,L_Sleutel,S773,L_Actief,1)))</f>
        <v/>
      </c>
      <c r="U773" s="111">
        <f>IF(OR(S773="",T773=""),0,P773-T773)</f>
        <v>0</v>
      </c>
      <c r="AB773" s="112" t="n">
        <v>55</v>
      </c>
      <c r="AC773" s="112" t="n">
        <v>9</v>
      </c>
      <c r="AD773" s="112" t="str">
        <f>VERW_Project!BR60</f>
        <v/>
      </c>
      <c r="AE773" s="112">
        <f>IF(AND(VERW_Project!$A60&lt;&gt;"",ISNUMBER(AD773)),1,0)</f>
        <v>0</v>
      </c>
      <c r="AF773" s="112" t="str">
        <f>IF(AE773=1,SUM($AE$8:AE773),"")</f>
        <v/>
      </c>
      <c r="AG773" t="str">
        <f>IFERROR(MATCH(766,$AF$8:$AF$1407,0),"")</f>
        <v/>
      </c>
    </row>
    <row r="774">
      <c r="A774" s="92" t="str">
        <f>IF($AG774="","",P_ImportID)</f>
        <v/>
      </c>
      <c r="B774" s="92" t="str">
        <f>IF($AG774="","",IF(INDEX($AN$8:$AN$21,INDEX($AC$8:$AC$1407,$AG774)+1)="Z",P_BronZ,P_BronE))</f>
        <v/>
      </c>
      <c r="C774" s="108" t="str">
        <f>IF($AG774="","",P_Importdatum)</f>
        <v/>
      </c>
      <c r="D774" s="92" t="str">
        <f>IF($AG774="","",P_StatusVastleg)</f>
        <v/>
      </c>
      <c r="E774" s="92" t="str">
        <f>IF($AG774="","",P_UploadVJ)</f>
        <v/>
      </c>
      <c r="F774" s="92" t="str">
        <f>IF($AG774="","",P_UploadVersie)</f>
        <v/>
      </c>
      <c r="G774" s="92" t="str">
        <f>IF($AG774="","",IF(COUNTIFS(L_Sleutel,$S774,L_Status,"Vastgesteld")=0,0,_xlfn.MAXIFS(L_Revisie,L_Sleutel,$S774,L_Status,"Vastgesteld")+1))</f>
        <v/>
      </c>
      <c r="H774" s="108" t="str">
        <f>IF($AG774="","",P_Peildatum)</f>
        <v/>
      </c>
      <c r="I774" s="92" t="str">
        <f>IF($AG774="","",P_RJ+INDEX($AK$8:$AK$21,INDEX($AC$8:$AC$1407,$AG774)+1))</f>
        <v/>
      </c>
      <c r="J774" s="92" t="str">
        <f>IF($AG774="","",INDEX(V_WBS,INDEX($AB$8:$AB$1407,$AG774)))</f>
        <v/>
      </c>
      <c r="K774" s="92" t="str">
        <f>IF($AG774="","",INDEX(V_Projdef,INDEX($AB$8:$AB$1407,$AG774)))</f>
        <v/>
      </c>
      <c r="L774" s="92" t="str">
        <f>IF($AG774="","",INDEX(V_Naam,INDEX($AB$8:$AB$1407,$AG774)))</f>
        <v/>
      </c>
      <c r="M774" s="92" t="str">
        <f>IF($AG774="","",INDEX(V_Type,INDEX($AB$8:$AB$1407,$AG774)))</f>
        <v/>
      </c>
      <c r="N774" s="92" t="str">
        <f>IF($AG774="","",INDEX(V_IFRS,INDEX($AB$8:$AB$1407,$AG774)))</f>
        <v/>
      </c>
      <c r="O774" s="92" t="str">
        <f>IF($AG774="","",INDEX($AL$8:$AL$21,INDEX($AC$8:$AC$1407,$AG774)+1))</f>
        <v/>
      </c>
      <c r="P774" s="109" t="str">
        <f>IF($AG774="","",INDEX($AD$8:$AD$1407,$AG774))</f>
        <v/>
      </c>
      <c r="Q774" s="92" t="str">
        <f>IF($AG774="","",INDEX($AM$8:$AM$21,INDEX($AC$8:$AC$1407,$AG774)+1))</f>
        <v/>
      </c>
      <c r="R774" s="92" t="str">
        <f>IF($AG774="","",IF($G774&gt;0,P_ToelCorrectie&amp;"",""))</f>
        <v/>
      </c>
      <c r="S774" s="15" t="str">
        <f>IF(J774="","",J774&amp;"|"&amp;E774&amp;"|"&amp;F774&amp;"|"&amp;I774&amp;"|"&amp;O774)</f>
        <v/>
      </c>
      <c r="T774" s="111" t="str">
        <f>IF(S774="","",IF(COUNTIFS(L_Sleutel,S774,L_Actief,1)=0,"",SUMIFS(L_Waarde,L_Sleutel,S774,L_Actief,1)))</f>
        <v/>
      </c>
      <c r="U774" s="111">
        <f>IF(OR(S774="",T774=""),0,P774-T774)</f>
        <v>0</v>
      </c>
      <c r="AB774" s="112" t="n">
        <v>55</v>
      </c>
      <c r="AC774" s="112" t="n">
        <v>10</v>
      </c>
      <c r="AD774" s="112" t="str">
        <f>VERW_Project!BS60</f>
        <v/>
      </c>
      <c r="AE774" s="112">
        <f>IF(AND(VERW_Project!$A60&lt;&gt;"",ISNUMBER(AD774)),1,0)</f>
        <v>0</v>
      </c>
      <c r="AF774" s="112" t="str">
        <f>IF(AE774=1,SUM($AE$8:AE774),"")</f>
        <v/>
      </c>
      <c r="AG774" t="str">
        <f>IFERROR(MATCH(767,$AF$8:$AF$1407,0),"")</f>
        <v/>
      </c>
    </row>
    <row r="775">
      <c r="A775" s="92" t="str">
        <f>IF($AG775="","",P_ImportID)</f>
        <v/>
      </c>
      <c r="B775" s="92" t="str">
        <f>IF($AG775="","",IF(INDEX($AN$8:$AN$21,INDEX($AC$8:$AC$1407,$AG775)+1)="Z",P_BronZ,P_BronE))</f>
        <v/>
      </c>
      <c r="C775" s="108" t="str">
        <f>IF($AG775="","",P_Importdatum)</f>
        <v/>
      </c>
      <c r="D775" s="92" t="str">
        <f>IF($AG775="","",P_StatusVastleg)</f>
        <v/>
      </c>
      <c r="E775" s="92" t="str">
        <f>IF($AG775="","",P_UploadVJ)</f>
        <v/>
      </c>
      <c r="F775" s="92" t="str">
        <f>IF($AG775="","",P_UploadVersie)</f>
        <v/>
      </c>
      <c r="G775" s="92" t="str">
        <f>IF($AG775="","",IF(COUNTIFS(L_Sleutel,$S775,L_Status,"Vastgesteld")=0,0,_xlfn.MAXIFS(L_Revisie,L_Sleutel,$S775,L_Status,"Vastgesteld")+1))</f>
        <v/>
      </c>
      <c r="H775" s="108" t="str">
        <f>IF($AG775="","",P_Peildatum)</f>
        <v/>
      </c>
      <c r="I775" s="92" t="str">
        <f>IF($AG775="","",P_RJ+INDEX($AK$8:$AK$21,INDEX($AC$8:$AC$1407,$AG775)+1))</f>
        <v/>
      </c>
      <c r="J775" s="92" t="str">
        <f>IF($AG775="","",INDEX(V_WBS,INDEX($AB$8:$AB$1407,$AG775)))</f>
        <v/>
      </c>
      <c r="K775" s="92" t="str">
        <f>IF($AG775="","",INDEX(V_Projdef,INDEX($AB$8:$AB$1407,$AG775)))</f>
        <v/>
      </c>
      <c r="L775" s="92" t="str">
        <f>IF($AG775="","",INDEX(V_Naam,INDEX($AB$8:$AB$1407,$AG775)))</f>
        <v/>
      </c>
      <c r="M775" s="92" t="str">
        <f>IF($AG775="","",INDEX(V_Type,INDEX($AB$8:$AB$1407,$AG775)))</f>
        <v/>
      </c>
      <c r="N775" s="92" t="str">
        <f>IF($AG775="","",INDEX(V_IFRS,INDEX($AB$8:$AB$1407,$AG775)))</f>
        <v/>
      </c>
      <c r="O775" s="92" t="str">
        <f>IF($AG775="","",INDEX($AL$8:$AL$21,INDEX($AC$8:$AC$1407,$AG775)+1))</f>
        <v/>
      </c>
      <c r="P775" s="109" t="str">
        <f>IF($AG775="","",INDEX($AD$8:$AD$1407,$AG775))</f>
        <v/>
      </c>
      <c r="Q775" s="92" t="str">
        <f>IF($AG775="","",INDEX($AM$8:$AM$21,INDEX($AC$8:$AC$1407,$AG775)+1))</f>
        <v/>
      </c>
      <c r="R775" s="92" t="str">
        <f>IF($AG775="","",IF($G775&gt;0,P_ToelCorrectie&amp;"",""))</f>
        <v/>
      </c>
      <c r="S775" s="15" t="str">
        <f>IF(J775="","",J775&amp;"|"&amp;E775&amp;"|"&amp;F775&amp;"|"&amp;I775&amp;"|"&amp;O775)</f>
        <v/>
      </c>
      <c r="T775" s="111" t="str">
        <f>IF(S775="","",IF(COUNTIFS(L_Sleutel,S775,L_Actief,1)=0,"",SUMIFS(L_Waarde,L_Sleutel,S775,L_Actief,1)))</f>
        <v/>
      </c>
      <c r="U775" s="111">
        <f>IF(OR(S775="",T775=""),0,P775-T775)</f>
        <v>0</v>
      </c>
      <c r="AB775" s="112" t="n">
        <v>55</v>
      </c>
      <c r="AC775" s="112" t="n">
        <v>11</v>
      </c>
      <c r="AD775" s="112" t="str">
        <f>VERW_Project!BT60</f>
        <v/>
      </c>
      <c r="AE775" s="112">
        <f>IF(AND(VERW_Project!$A60&lt;&gt;"",ISNUMBER(AD775)),1,0)</f>
        <v>0</v>
      </c>
      <c r="AF775" s="112" t="str">
        <f>IF(AE775=1,SUM($AE$8:AE775),"")</f>
        <v/>
      </c>
      <c r="AG775" t="str">
        <f>IFERROR(MATCH(768,$AF$8:$AF$1407,0),"")</f>
        <v/>
      </c>
    </row>
    <row r="776">
      <c r="A776" s="92" t="str">
        <f>IF($AG776="","",P_ImportID)</f>
        <v/>
      </c>
      <c r="B776" s="92" t="str">
        <f>IF($AG776="","",IF(INDEX($AN$8:$AN$21,INDEX($AC$8:$AC$1407,$AG776)+1)="Z",P_BronZ,P_BronE))</f>
        <v/>
      </c>
      <c r="C776" s="108" t="str">
        <f>IF($AG776="","",P_Importdatum)</f>
        <v/>
      </c>
      <c r="D776" s="92" t="str">
        <f>IF($AG776="","",P_StatusVastleg)</f>
        <v/>
      </c>
      <c r="E776" s="92" t="str">
        <f>IF($AG776="","",P_UploadVJ)</f>
        <v/>
      </c>
      <c r="F776" s="92" t="str">
        <f>IF($AG776="","",P_UploadVersie)</f>
        <v/>
      </c>
      <c r="G776" s="92" t="str">
        <f>IF($AG776="","",IF(COUNTIFS(L_Sleutel,$S776,L_Status,"Vastgesteld")=0,0,_xlfn.MAXIFS(L_Revisie,L_Sleutel,$S776,L_Status,"Vastgesteld")+1))</f>
        <v/>
      </c>
      <c r="H776" s="108" t="str">
        <f>IF($AG776="","",P_Peildatum)</f>
        <v/>
      </c>
      <c r="I776" s="92" t="str">
        <f>IF($AG776="","",P_RJ+INDEX($AK$8:$AK$21,INDEX($AC$8:$AC$1407,$AG776)+1))</f>
        <v/>
      </c>
      <c r="J776" s="92" t="str">
        <f>IF($AG776="","",INDEX(V_WBS,INDEX($AB$8:$AB$1407,$AG776)))</f>
        <v/>
      </c>
      <c r="K776" s="92" t="str">
        <f>IF($AG776="","",INDEX(V_Projdef,INDEX($AB$8:$AB$1407,$AG776)))</f>
        <v/>
      </c>
      <c r="L776" s="92" t="str">
        <f>IF($AG776="","",INDEX(V_Naam,INDEX($AB$8:$AB$1407,$AG776)))</f>
        <v/>
      </c>
      <c r="M776" s="92" t="str">
        <f>IF($AG776="","",INDEX(V_Type,INDEX($AB$8:$AB$1407,$AG776)))</f>
        <v/>
      </c>
      <c r="N776" s="92" t="str">
        <f>IF($AG776="","",INDEX(V_IFRS,INDEX($AB$8:$AB$1407,$AG776)))</f>
        <v/>
      </c>
      <c r="O776" s="92" t="str">
        <f>IF($AG776="","",INDEX($AL$8:$AL$21,INDEX($AC$8:$AC$1407,$AG776)+1))</f>
        <v/>
      </c>
      <c r="P776" s="109" t="str">
        <f>IF($AG776="","",INDEX($AD$8:$AD$1407,$AG776))</f>
        <v/>
      </c>
      <c r="Q776" s="92" t="str">
        <f>IF($AG776="","",INDEX($AM$8:$AM$21,INDEX($AC$8:$AC$1407,$AG776)+1))</f>
        <v/>
      </c>
      <c r="R776" s="92" t="str">
        <f>IF($AG776="","",IF($G776&gt;0,P_ToelCorrectie&amp;"",""))</f>
        <v/>
      </c>
      <c r="S776" s="15" t="str">
        <f>IF(J776="","",J776&amp;"|"&amp;E776&amp;"|"&amp;F776&amp;"|"&amp;I776&amp;"|"&amp;O776)</f>
        <v/>
      </c>
      <c r="T776" s="111" t="str">
        <f>IF(S776="","",IF(COUNTIFS(L_Sleutel,S776,L_Actief,1)=0,"",SUMIFS(L_Waarde,L_Sleutel,S776,L_Actief,1)))</f>
        <v/>
      </c>
      <c r="U776" s="111">
        <f>IF(OR(S776="",T776=""),0,P776-T776)</f>
        <v>0</v>
      </c>
      <c r="AB776" s="112" t="n">
        <v>55</v>
      </c>
      <c r="AC776" s="112" t="n">
        <v>12</v>
      </c>
      <c r="AD776" s="112" t="str">
        <f>VERW_Project!BU60</f>
        <v/>
      </c>
      <c r="AE776" s="112">
        <f>IF(AND(VERW_Project!$A60&lt;&gt;"",ISNUMBER(AD776)),1,0)</f>
        <v>0</v>
      </c>
      <c r="AF776" s="112" t="str">
        <f>IF(AE776=1,SUM($AE$8:AE776),"")</f>
        <v/>
      </c>
      <c r="AG776" t="str">
        <f>IFERROR(MATCH(769,$AF$8:$AF$1407,0),"")</f>
        <v/>
      </c>
    </row>
    <row r="777">
      <c r="A777" s="92" t="str">
        <f>IF($AG777="","",P_ImportID)</f>
        <v/>
      </c>
      <c r="B777" s="92" t="str">
        <f>IF($AG777="","",IF(INDEX($AN$8:$AN$21,INDEX($AC$8:$AC$1407,$AG777)+1)="Z",P_BronZ,P_BronE))</f>
        <v/>
      </c>
      <c r="C777" s="108" t="str">
        <f>IF($AG777="","",P_Importdatum)</f>
        <v/>
      </c>
      <c r="D777" s="92" t="str">
        <f>IF($AG777="","",P_StatusVastleg)</f>
        <v/>
      </c>
      <c r="E777" s="92" t="str">
        <f>IF($AG777="","",P_UploadVJ)</f>
        <v/>
      </c>
      <c r="F777" s="92" t="str">
        <f>IF($AG777="","",P_UploadVersie)</f>
        <v/>
      </c>
      <c r="G777" s="92" t="str">
        <f>IF($AG777="","",IF(COUNTIFS(L_Sleutel,$S777,L_Status,"Vastgesteld")=0,0,_xlfn.MAXIFS(L_Revisie,L_Sleutel,$S777,L_Status,"Vastgesteld")+1))</f>
        <v/>
      </c>
      <c r="H777" s="108" t="str">
        <f>IF($AG777="","",P_Peildatum)</f>
        <v/>
      </c>
      <c r="I777" s="92" t="str">
        <f>IF($AG777="","",P_RJ+INDEX($AK$8:$AK$21,INDEX($AC$8:$AC$1407,$AG777)+1))</f>
        <v/>
      </c>
      <c r="J777" s="92" t="str">
        <f>IF($AG777="","",INDEX(V_WBS,INDEX($AB$8:$AB$1407,$AG777)))</f>
        <v/>
      </c>
      <c r="K777" s="92" t="str">
        <f>IF($AG777="","",INDEX(V_Projdef,INDEX($AB$8:$AB$1407,$AG777)))</f>
        <v/>
      </c>
      <c r="L777" s="92" t="str">
        <f>IF($AG777="","",INDEX(V_Naam,INDEX($AB$8:$AB$1407,$AG777)))</f>
        <v/>
      </c>
      <c r="M777" s="92" t="str">
        <f>IF($AG777="","",INDEX(V_Type,INDEX($AB$8:$AB$1407,$AG777)))</f>
        <v/>
      </c>
      <c r="N777" s="92" t="str">
        <f>IF($AG777="","",INDEX(V_IFRS,INDEX($AB$8:$AB$1407,$AG777)))</f>
        <v/>
      </c>
      <c r="O777" s="92" t="str">
        <f>IF($AG777="","",INDEX($AL$8:$AL$21,INDEX($AC$8:$AC$1407,$AG777)+1))</f>
        <v/>
      </c>
      <c r="P777" s="109" t="str">
        <f>IF($AG777="","",INDEX($AD$8:$AD$1407,$AG777))</f>
        <v/>
      </c>
      <c r="Q777" s="92" t="str">
        <f>IF($AG777="","",INDEX($AM$8:$AM$21,INDEX($AC$8:$AC$1407,$AG777)+1))</f>
        <v/>
      </c>
      <c r="R777" s="92" t="str">
        <f>IF($AG777="","",IF($G777&gt;0,P_ToelCorrectie&amp;"",""))</f>
        <v/>
      </c>
      <c r="S777" s="15" t="str">
        <f>IF(J777="","",J777&amp;"|"&amp;E777&amp;"|"&amp;F777&amp;"|"&amp;I777&amp;"|"&amp;O777)</f>
        <v/>
      </c>
      <c r="T777" s="111" t="str">
        <f>IF(S777="","",IF(COUNTIFS(L_Sleutel,S777,L_Actief,1)=0,"",SUMIFS(L_Waarde,L_Sleutel,S777,L_Actief,1)))</f>
        <v/>
      </c>
      <c r="U777" s="111">
        <f>IF(OR(S777="",T777=""),0,P777-T777)</f>
        <v>0</v>
      </c>
      <c r="AB777" s="112" t="n">
        <v>55</v>
      </c>
      <c r="AC777" s="112" t="n">
        <v>13</v>
      </c>
      <c r="AD777" s="112" t="str">
        <f>VERW_Project!BX60</f>
        <v/>
      </c>
      <c r="AE777" s="112">
        <f>IF(AND(VERW_Project!$A60&lt;&gt;"",ISNUMBER(AD777)),1,0)</f>
        <v>0</v>
      </c>
      <c r="AF777" s="112" t="str">
        <f>IF(AE777=1,SUM($AE$8:AE777),"")</f>
        <v/>
      </c>
      <c r="AG777" t="str">
        <f>IFERROR(MATCH(770,$AF$8:$AF$1407,0),"")</f>
        <v/>
      </c>
    </row>
    <row r="778">
      <c r="A778" s="92" t="str">
        <f>IF($AG778="","",P_ImportID)</f>
        <v/>
      </c>
      <c r="B778" s="92" t="str">
        <f>IF($AG778="","",IF(INDEX($AN$8:$AN$21,INDEX($AC$8:$AC$1407,$AG778)+1)="Z",P_BronZ,P_BronE))</f>
        <v/>
      </c>
      <c r="C778" s="108" t="str">
        <f>IF($AG778="","",P_Importdatum)</f>
        <v/>
      </c>
      <c r="D778" s="92" t="str">
        <f>IF($AG778="","",P_StatusVastleg)</f>
        <v/>
      </c>
      <c r="E778" s="92" t="str">
        <f>IF($AG778="","",P_UploadVJ)</f>
        <v/>
      </c>
      <c r="F778" s="92" t="str">
        <f>IF($AG778="","",P_UploadVersie)</f>
        <v/>
      </c>
      <c r="G778" s="92" t="str">
        <f>IF($AG778="","",IF(COUNTIFS(L_Sleutel,$S778,L_Status,"Vastgesteld")=0,0,_xlfn.MAXIFS(L_Revisie,L_Sleutel,$S778,L_Status,"Vastgesteld")+1))</f>
        <v/>
      </c>
      <c r="H778" s="108" t="str">
        <f>IF($AG778="","",P_Peildatum)</f>
        <v/>
      </c>
      <c r="I778" s="92" t="str">
        <f>IF($AG778="","",P_RJ+INDEX($AK$8:$AK$21,INDEX($AC$8:$AC$1407,$AG778)+1))</f>
        <v/>
      </c>
      <c r="J778" s="92" t="str">
        <f>IF($AG778="","",INDEX(V_WBS,INDEX($AB$8:$AB$1407,$AG778)))</f>
        <v/>
      </c>
      <c r="K778" s="92" t="str">
        <f>IF($AG778="","",INDEX(V_Projdef,INDEX($AB$8:$AB$1407,$AG778)))</f>
        <v/>
      </c>
      <c r="L778" s="92" t="str">
        <f>IF($AG778="","",INDEX(V_Naam,INDEX($AB$8:$AB$1407,$AG778)))</f>
        <v/>
      </c>
      <c r="M778" s="92" t="str">
        <f>IF($AG778="","",INDEX(V_Type,INDEX($AB$8:$AB$1407,$AG778)))</f>
        <v/>
      </c>
      <c r="N778" s="92" t="str">
        <f>IF($AG778="","",INDEX(V_IFRS,INDEX($AB$8:$AB$1407,$AG778)))</f>
        <v/>
      </c>
      <c r="O778" s="92" t="str">
        <f>IF($AG778="","",INDEX($AL$8:$AL$21,INDEX($AC$8:$AC$1407,$AG778)+1))</f>
        <v/>
      </c>
      <c r="P778" s="109" t="str">
        <f>IF($AG778="","",INDEX($AD$8:$AD$1407,$AG778))</f>
        <v/>
      </c>
      <c r="Q778" s="92" t="str">
        <f>IF($AG778="","",INDEX($AM$8:$AM$21,INDEX($AC$8:$AC$1407,$AG778)+1))</f>
        <v/>
      </c>
      <c r="R778" s="92" t="str">
        <f>IF($AG778="","",IF($G778&gt;0,P_ToelCorrectie&amp;"",""))</f>
        <v/>
      </c>
      <c r="S778" s="15" t="str">
        <f>IF(J778="","",J778&amp;"|"&amp;E778&amp;"|"&amp;F778&amp;"|"&amp;I778&amp;"|"&amp;O778)</f>
        <v/>
      </c>
      <c r="T778" s="111" t="str">
        <f>IF(S778="","",IF(COUNTIFS(L_Sleutel,S778,L_Actief,1)=0,"",SUMIFS(L_Waarde,L_Sleutel,S778,L_Actief,1)))</f>
        <v/>
      </c>
      <c r="U778" s="111">
        <f>IF(OR(S778="",T778=""),0,P778-T778)</f>
        <v>0</v>
      </c>
      <c r="AB778" s="112" t="n">
        <v>56</v>
      </c>
      <c r="AC778" s="112" t="n">
        <v>0</v>
      </c>
      <c r="AD778" s="112" t="str">
        <f>VERW_Project!P61</f>
        <v/>
      </c>
      <c r="AE778" s="112">
        <f>IF(AND(VERW_Project!$A61&lt;&gt;"",ISNUMBER(AD778)),1,0)</f>
        <v>0</v>
      </c>
      <c r="AF778" s="112" t="str">
        <f>IF(AE778=1,SUM($AE$8:AE778),"")</f>
        <v/>
      </c>
      <c r="AG778" t="str">
        <f>IFERROR(MATCH(771,$AF$8:$AF$1407,0),"")</f>
        <v/>
      </c>
    </row>
    <row r="779">
      <c r="A779" s="92" t="str">
        <f>IF($AG779="","",P_ImportID)</f>
        <v/>
      </c>
      <c r="B779" s="92" t="str">
        <f>IF($AG779="","",IF(INDEX($AN$8:$AN$21,INDEX($AC$8:$AC$1407,$AG779)+1)="Z",P_BronZ,P_BronE))</f>
        <v/>
      </c>
      <c r="C779" s="108" t="str">
        <f>IF($AG779="","",P_Importdatum)</f>
        <v/>
      </c>
      <c r="D779" s="92" t="str">
        <f>IF($AG779="","",P_StatusVastleg)</f>
        <v/>
      </c>
      <c r="E779" s="92" t="str">
        <f>IF($AG779="","",P_UploadVJ)</f>
        <v/>
      </c>
      <c r="F779" s="92" t="str">
        <f>IF($AG779="","",P_UploadVersie)</f>
        <v/>
      </c>
      <c r="G779" s="92" t="str">
        <f>IF($AG779="","",IF(COUNTIFS(L_Sleutel,$S779,L_Status,"Vastgesteld")=0,0,_xlfn.MAXIFS(L_Revisie,L_Sleutel,$S779,L_Status,"Vastgesteld")+1))</f>
        <v/>
      </c>
      <c r="H779" s="108" t="str">
        <f>IF($AG779="","",P_Peildatum)</f>
        <v/>
      </c>
      <c r="I779" s="92" t="str">
        <f>IF($AG779="","",P_RJ+INDEX($AK$8:$AK$21,INDEX($AC$8:$AC$1407,$AG779)+1))</f>
        <v/>
      </c>
      <c r="J779" s="92" t="str">
        <f>IF($AG779="","",INDEX(V_WBS,INDEX($AB$8:$AB$1407,$AG779)))</f>
        <v/>
      </c>
      <c r="K779" s="92" t="str">
        <f>IF($AG779="","",INDEX(V_Projdef,INDEX($AB$8:$AB$1407,$AG779)))</f>
        <v/>
      </c>
      <c r="L779" s="92" t="str">
        <f>IF($AG779="","",INDEX(V_Naam,INDEX($AB$8:$AB$1407,$AG779)))</f>
        <v/>
      </c>
      <c r="M779" s="92" t="str">
        <f>IF($AG779="","",INDEX(V_Type,INDEX($AB$8:$AB$1407,$AG779)))</f>
        <v/>
      </c>
      <c r="N779" s="92" t="str">
        <f>IF($AG779="","",INDEX(V_IFRS,INDEX($AB$8:$AB$1407,$AG779)))</f>
        <v/>
      </c>
      <c r="O779" s="92" t="str">
        <f>IF($AG779="","",INDEX($AL$8:$AL$21,INDEX($AC$8:$AC$1407,$AG779)+1))</f>
        <v/>
      </c>
      <c r="P779" s="109" t="str">
        <f>IF($AG779="","",INDEX($AD$8:$AD$1407,$AG779))</f>
        <v/>
      </c>
      <c r="Q779" s="92" t="str">
        <f>IF($AG779="","",INDEX($AM$8:$AM$21,INDEX($AC$8:$AC$1407,$AG779)+1))</f>
        <v/>
      </c>
      <c r="R779" s="92" t="str">
        <f>IF($AG779="","",IF($G779&gt;0,P_ToelCorrectie&amp;"",""))</f>
        <v/>
      </c>
      <c r="S779" s="15" t="str">
        <f>IF(J779="","",J779&amp;"|"&amp;E779&amp;"|"&amp;F779&amp;"|"&amp;I779&amp;"|"&amp;O779)</f>
        <v/>
      </c>
      <c r="T779" s="111" t="str">
        <f>IF(S779="","",IF(COUNTIFS(L_Sleutel,S779,L_Actief,1)=0,"",SUMIFS(L_Waarde,L_Sleutel,S779,L_Actief,1)))</f>
        <v/>
      </c>
      <c r="U779" s="111">
        <f>IF(OR(S779="",T779=""),0,P779-T779)</f>
        <v>0</v>
      </c>
      <c r="AB779" s="112" t="n">
        <v>56</v>
      </c>
      <c r="AC779" s="112" t="n">
        <v>1</v>
      </c>
      <c r="AD779" s="112" t="str">
        <f>VERW_Project!Q61</f>
        <v/>
      </c>
      <c r="AE779" s="112">
        <f>IF(AND(VERW_Project!$A61&lt;&gt;"",ISNUMBER(AD779)),1,0)</f>
        <v>0</v>
      </c>
      <c r="AF779" s="112" t="str">
        <f>IF(AE779=1,SUM($AE$8:AE779),"")</f>
        <v/>
      </c>
      <c r="AG779" t="str">
        <f>IFERROR(MATCH(772,$AF$8:$AF$1407,0),"")</f>
        <v/>
      </c>
    </row>
    <row r="780">
      <c r="A780" s="92" t="str">
        <f>IF($AG780="","",P_ImportID)</f>
        <v/>
      </c>
      <c r="B780" s="92" t="str">
        <f>IF($AG780="","",IF(INDEX($AN$8:$AN$21,INDEX($AC$8:$AC$1407,$AG780)+1)="Z",P_BronZ,P_BronE))</f>
        <v/>
      </c>
      <c r="C780" s="108" t="str">
        <f>IF($AG780="","",P_Importdatum)</f>
        <v/>
      </c>
      <c r="D780" s="92" t="str">
        <f>IF($AG780="","",P_StatusVastleg)</f>
        <v/>
      </c>
      <c r="E780" s="92" t="str">
        <f>IF($AG780="","",P_UploadVJ)</f>
        <v/>
      </c>
      <c r="F780" s="92" t="str">
        <f>IF($AG780="","",P_UploadVersie)</f>
        <v/>
      </c>
      <c r="G780" s="92" t="str">
        <f>IF($AG780="","",IF(COUNTIFS(L_Sleutel,$S780,L_Status,"Vastgesteld")=0,0,_xlfn.MAXIFS(L_Revisie,L_Sleutel,$S780,L_Status,"Vastgesteld")+1))</f>
        <v/>
      </c>
      <c r="H780" s="108" t="str">
        <f>IF($AG780="","",P_Peildatum)</f>
        <v/>
      </c>
      <c r="I780" s="92" t="str">
        <f>IF($AG780="","",P_RJ+INDEX($AK$8:$AK$21,INDEX($AC$8:$AC$1407,$AG780)+1))</f>
        <v/>
      </c>
      <c r="J780" s="92" t="str">
        <f>IF($AG780="","",INDEX(V_WBS,INDEX($AB$8:$AB$1407,$AG780)))</f>
        <v/>
      </c>
      <c r="K780" s="92" t="str">
        <f>IF($AG780="","",INDEX(V_Projdef,INDEX($AB$8:$AB$1407,$AG780)))</f>
        <v/>
      </c>
      <c r="L780" s="92" t="str">
        <f>IF($AG780="","",INDEX(V_Naam,INDEX($AB$8:$AB$1407,$AG780)))</f>
        <v/>
      </c>
      <c r="M780" s="92" t="str">
        <f>IF($AG780="","",INDEX(V_Type,INDEX($AB$8:$AB$1407,$AG780)))</f>
        <v/>
      </c>
      <c r="N780" s="92" t="str">
        <f>IF($AG780="","",INDEX(V_IFRS,INDEX($AB$8:$AB$1407,$AG780)))</f>
        <v/>
      </c>
      <c r="O780" s="92" t="str">
        <f>IF($AG780="","",INDEX($AL$8:$AL$21,INDEX($AC$8:$AC$1407,$AG780)+1))</f>
        <v/>
      </c>
      <c r="P780" s="109" t="str">
        <f>IF($AG780="","",INDEX($AD$8:$AD$1407,$AG780))</f>
        <v/>
      </c>
      <c r="Q780" s="92" t="str">
        <f>IF($AG780="","",INDEX($AM$8:$AM$21,INDEX($AC$8:$AC$1407,$AG780)+1))</f>
        <v/>
      </c>
      <c r="R780" s="92" t="str">
        <f>IF($AG780="","",IF($G780&gt;0,P_ToelCorrectie&amp;"",""))</f>
        <v/>
      </c>
      <c r="S780" s="15" t="str">
        <f>IF(J780="","",J780&amp;"|"&amp;E780&amp;"|"&amp;F780&amp;"|"&amp;I780&amp;"|"&amp;O780)</f>
        <v/>
      </c>
      <c r="T780" s="111" t="str">
        <f>IF(S780="","",IF(COUNTIFS(L_Sleutel,S780,L_Actief,1)=0,"",SUMIFS(L_Waarde,L_Sleutel,S780,L_Actief,1)))</f>
        <v/>
      </c>
      <c r="U780" s="111">
        <f>IF(OR(S780="",T780=""),0,P780-T780)</f>
        <v>0</v>
      </c>
      <c r="AB780" s="112" t="n">
        <v>56</v>
      </c>
      <c r="AC780" s="112" t="n">
        <v>2</v>
      </c>
      <c r="AD780" s="112" t="str">
        <f>VERW_Project!L61</f>
        <v/>
      </c>
      <c r="AE780" s="112">
        <f>IF(AND(VERW_Project!$A61&lt;&gt;"",ISNUMBER(AD780)),1,0)</f>
        <v>0</v>
      </c>
      <c r="AF780" s="112" t="str">
        <f>IF(AE780=1,SUM($AE$8:AE780),"")</f>
        <v/>
      </c>
      <c r="AG780" t="str">
        <f>IFERROR(MATCH(773,$AF$8:$AF$1407,0),"")</f>
        <v/>
      </c>
    </row>
    <row r="781">
      <c r="A781" s="92" t="str">
        <f>IF($AG781="","",P_ImportID)</f>
        <v/>
      </c>
      <c r="B781" s="92" t="str">
        <f>IF($AG781="","",IF(INDEX($AN$8:$AN$21,INDEX($AC$8:$AC$1407,$AG781)+1)="Z",P_BronZ,P_BronE))</f>
        <v/>
      </c>
      <c r="C781" s="108" t="str">
        <f>IF($AG781="","",P_Importdatum)</f>
        <v/>
      </c>
      <c r="D781" s="92" t="str">
        <f>IF($AG781="","",P_StatusVastleg)</f>
        <v/>
      </c>
      <c r="E781" s="92" t="str">
        <f>IF($AG781="","",P_UploadVJ)</f>
        <v/>
      </c>
      <c r="F781" s="92" t="str">
        <f>IF($AG781="","",P_UploadVersie)</f>
        <v/>
      </c>
      <c r="G781" s="92" t="str">
        <f>IF($AG781="","",IF(COUNTIFS(L_Sleutel,$S781,L_Status,"Vastgesteld")=0,0,_xlfn.MAXIFS(L_Revisie,L_Sleutel,$S781,L_Status,"Vastgesteld")+1))</f>
        <v/>
      </c>
      <c r="H781" s="108" t="str">
        <f>IF($AG781="","",P_Peildatum)</f>
        <v/>
      </c>
      <c r="I781" s="92" t="str">
        <f>IF($AG781="","",P_RJ+INDEX($AK$8:$AK$21,INDEX($AC$8:$AC$1407,$AG781)+1))</f>
        <v/>
      </c>
      <c r="J781" s="92" t="str">
        <f>IF($AG781="","",INDEX(V_WBS,INDEX($AB$8:$AB$1407,$AG781)))</f>
        <v/>
      </c>
      <c r="K781" s="92" t="str">
        <f>IF($AG781="","",INDEX(V_Projdef,INDEX($AB$8:$AB$1407,$AG781)))</f>
        <v/>
      </c>
      <c r="L781" s="92" t="str">
        <f>IF($AG781="","",INDEX(V_Naam,INDEX($AB$8:$AB$1407,$AG781)))</f>
        <v/>
      </c>
      <c r="M781" s="92" t="str">
        <f>IF($AG781="","",INDEX(V_Type,INDEX($AB$8:$AB$1407,$AG781)))</f>
        <v/>
      </c>
      <c r="N781" s="92" t="str">
        <f>IF($AG781="","",INDEX(V_IFRS,INDEX($AB$8:$AB$1407,$AG781)))</f>
        <v/>
      </c>
      <c r="O781" s="92" t="str">
        <f>IF($AG781="","",INDEX($AL$8:$AL$21,INDEX($AC$8:$AC$1407,$AG781)+1))</f>
        <v/>
      </c>
      <c r="P781" s="109" t="str">
        <f>IF($AG781="","",INDEX($AD$8:$AD$1407,$AG781))</f>
        <v/>
      </c>
      <c r="Q781" s="92" t="str">
        <f>IF($AG781="","",INDEX($AM$8:$AM$21,INDEX($AC$8:$AC$1407,$AG781)+1))</f>
        <v/>
      </c>
      <c r="R781" s="92" t="str">
        <f>IF($AG781="","",IF($G781&gt;0,P_ToelCorrectie&amp;"",""))</f>
        <v/>
      </c>
      <c r="S781" s="15" t="str">
        <f>IF(J781="","",J781&amp;"|"&amp;E781&amp;"|"&amp;F781&amp;"|"&amp;I781&amp;"|"&amp;O781)</f>
        <v/>
      </c>
      <c r="T781" s="111" t="str">
        <f>IF(S781="","",IF(COUNTIFS(L_Sleutel,S781,L_Actief,1)=0,"",SUMIFS(L_Waarde,L_Sleutel,S781,L_Actief,1)))</f>
        <v/>
      </c>
      <c r="U781" s="111">
        <f>IF(OR(S781="",T781=""),0,P781-T781)</f>
        <v>0</v>
      </c>
      <c r="AB781" s="112" t="n">
        <v>56</v>
      </c>
      <c r="AC781" s="112" t="n">
        <v>3</v>
      </c>
      <c r="AD781" s="112" t="str">
        <f>VERW_Project!M61</f>
        <v/>
      </c>
      <c r="AE781" s="112">
        <f>IF(AND(VERW_Project!$A61&lt;&gt;"",ISNUMBER(AD781)),1,0)</f>
        <v>0</v>
      </c>
      <c r="AF781" s="112" t="str">
        <f>IF(AE781=1,SUM($AE$8:AE781),"")</f>
        <v/>
      </c>
      <c r="AG781" t="str">
        <f>IFERROR(MATCH(774,$AF$8:$AF$1407,0),"")</f>
        <v/>
      </c>
    </row>
    <row r="782">
      <c r="A782" s="92" t="str">
        <f>IF($AG782="","",P_ImportID)</f>
        <v/>
      </c>
      <c r="B782" s="92" t="str">
        <f>IF($AG782="","",IF(INDEX($AN$8:$AN$21,INDEX($AC$8:$AC$1407,$AG782)+1)="Z",P_BronZ,P_BronE))</f>
        <v/>
      </c>
      <c r="C782" s="108" t="str">
        <f>IF($AG782="","",P_Importdatum)</f>
        <v/>
      </c>
      <c r="D782" s="92" t="str">
        <f>IF($AG782="","",P_StatusVastleg)</f>
        <v/>
      </c>
      <c r="E782" s="92" t="str">
        <f>IF($AG782="","",P_UploadVJ)</f>
        <v/>
      </c>
      <c r="F782" s="92" t="str">
        <f>IF($AG782="","",P_UploadVersie)</f>
        <v/>
      </c>
      <c r="G782" s="92" t="str">
        <f>IF($AG782="","",IF(COUNTIFS(L_Sleutel,$S782,L_Status,"Vastgesteld")=0,0,_xlfn.MAXIFS(L_Revisie,L_Sleutel,$S782,L_Status,"Vastgesteld")+1))</f>
        <v/>
      </c>
      <c r="H782" s="108" t="str">
        <f>IF($AG782="","",P_Peildatum)</f>
        <v/>
      </c>
      <c r="I782" s="92" t="str">
        <f>IF($AG782="","",P_RJ+INDEX($AK$8:$AK$21,INDEX($AC$8:$AC$1407,$AG782)+1))</f>
        <v/>
      </c>
      <c r="J782" s="92" t="str">
        <f>IF($AG782="","",INDEX(V_WBS,INDEX($AB$8:$AB$1407,$AG782)))</f>
        <v/>
      </c>
      <c r="K782" s="92" t="str">
        <f>IF($AG782="","",INDEX(V_Projdef,INDEX($AB$8:$AB$1407,$AG782)))</f>
        <v/>
      </c>
      <c r="L782" s="92" t="str">
        <f>IF($AG782="","",INDEX(V_Naam,INDEX($AB$8:$AB$1407,$AG782)))</f>
        <v/>
      </c>
      <c r="M782" s="92" t="str">
        <f>IF($AG782="","",INDEX(V_Type,INDEX($AB$8:$AB$1407,$AG782)))</f>
        <v/>
      </c>
      <c r="N782" s="92" t="str">
        <f>IF($AG782="","",INDEX(V_IFRS,INDEX($AB$8:$AB$1407,$AG782)))</f>
        <v/>
      </c>
      <c r="O782" s="92" t="str">
        <f>IF($AG782="","",INDEX($AL$8:$AL$21,INDEX($AC$8:$AC$1407,$AG782)+1))</f>
        <v/>
      </c>
      <c r="P782" s="109" t="str">
        <f>IF($AG782="","",INDEX($AD$8:$AD$1407,$AG782))</f>
        <v/>
      </c>
      <c r="Q782" s="92" t="str">
        <f>IF($AG782="","",INDEX($AM$8:$AM$21,INDEX($AC$8:$AC$1407,$AG782)+1))</f>
        <v/>
      </c>
      <c r="R782" s="92" t="str">
        <f>IF($AG782="","",IF($G782&gt;0,P_ToelCorrectie&amp;"",""))</f>
        <v/>
      </c>
      <c r="S782" s="15" t="str">
        <f>IF(J782="","",J782&amp;"|"&amp;E782&amp;"|"&amp;F782&amp;"|"&amp;I782&amp;"|"&amp;O782)</f>
        <v/>
      </c>
      <c r="T782" s="111" t="str">
        <f>IF(S782="","",IF(COUNTIFS(L_Sleutel,S782,L_Actief,1)=0,"",SUMIFS(L_Waarde,L_Sleutel,S782,L_Actief,1)))</f>
        <v/>
      </c>
      <c r="U782" s="111">
        <f>IF(OR(S782="",T782=""),0,P782-T782)</f>
        <v>0</v>
      </c>
      <c r="AB782" s="112" t="n">
        <v>56</v>
      </c>
      <c r="AC782" s="112" t="n">
        <v>4</v>
      </c>
      <c r="AD782" s="112" t="str">
        <f>VERW_Project!R61</f>
        <v/>
      </c>
      <c r="AE782" s="112">
        <f>IF(AND(VERW_Project!$A61&lt;&gt;"",ISNUMBER(AD782)),1,0)</f>
        <v>0</v>
      </c>
      <c r="AF782" s="112" t="str">
        <f>IF(AE782=1,SUM($AE$8:AE782),"")</f>
        <v/>
      </c>
      <c r="AG782" t="str">
        <f>IFERROR(MATCH(775,$AF$8:$AF$1407,0),"")</f>
        <v/>
      </c>
    </row>
    <row r="783">
      <c r="A783" s="92" t="str">
        <f>IF($AG783="","",P_ImportID)</f>
        <v/>
      </c>
      <c r="B783" s="92" t="str">
        <f>IF($AG783="","",IF(INDEX($AN$8:$AN$21,INDEX($AC$8:$AC$1407,$AG783)+1)="Z",P_BronZ,P_BronE))</f>
        <v/>
      </c>
      <c r="C783" s="108" t="str">
        <f>IF($AG783="","",P_Importdatum)</f>
        <v/>
      </c>
      <c r="D783" s="92" t="str">
        <f>IF($AG783="","",P_StatusVastleg)</f>
        <v/>
      </c>
      <c r="E783" s="92" t="str">
        <f>IF($AG783="","",P_UploadVJ)</f>
        <v/>
      </c>
      <c r="F783" s="92" t="str">
        <f>IF($AG783="","",P_UploadVersie)</f>
        <v/>
      </c>
      <c r="G783" s="92" t="str">
        <f>IF($AG783="","",IF(COUNTIFS(L_Sleutel,$S783,L_Status,"Vastgesteld")=0,0,_xlfn.MAXIFS(L_Revisie,L_Sleutel,$S783,L_Status,"Vastgesteld")+1))</f>
        <v/>
      </c>
      <c r="H783" s="108" t="str">
        <f>IF($AG783="","",P_Peildatum)</f>
        <v/>
      </c>
      <c r="I783" s="92" t="str">
        <f>IF($AG783="","",P_RJ+INDEX($AK$8:$AK$21,INDEX($AC$8:$AC$1407,$AG783)+1))</f>
        <v/>
      </c>
      <c r="J783" s="92" t="str">
        <f>IF($AG783="","",INDEX(V_WBS,INDEX($AB$8:$AB$1407,$AG783)))</f>
        <v/>
      </c>
      <c r="K783" s="92" t="str">
        <f>IF($AG783="","",INDEX(V_Projdef,INDEX($AB$8:$AB$1407,$AG783)))</f>
        <v/>
      </c>
      <c r="L783" s="92" t="str">
        <f>IF($AG783="","",INDEX(V_Naam,INDEX($AB$8:$AB$1407,$AG783)))</f>
        <v/>
      </c>
      <c r="M783" s="92" t="str">
        <f>IF($AG783="","",INDEX(V_Type,INDEX($AB$8:$AB$1407,$AG783)))</f>
        <v/>
      </c>
      <c r="N783" s="92" t="str">
        <f>IF($AG783="","",INDEX(V_IFRS,INDEX($AB$8:$AB$1407,$AG783)))</f>
        <v/>
      </c>
      <c r="O783" s="92" t="str">
        <f>IF($AG783="","",INDEX($AL$8:$AL$21,INDEX($AC$8:$AC$1407,$AG783)+1))</f>
        <v/>
      </c>
      <c r="P783" s="109" t="str">
        <f>IF($AG783="","",INDEX($AD$8:$AD$1407,$AG783))</f>
        <v/>
      </c>
      <c r="Q783" s="92" t="str">
        <f>IF($AG783="","",INDEX($AM$8:$AM$21,INDEX($AC$8:$AC$1407,$AG783)+1))</f>
        <v/>
      </c>
      <c r="R783" s="92" t="str">
        <f>IF($AG783="","",IF($G783&gt;0,P_ToelCorrectie&amp;"",""))</f>
        <v/>
      </c>
      <c r="S783" s="15" t="str">
        <f>IF(J783="","",J783&amp;"|"&amp;E783&amp;"|"&amp;F783&amp;"|"&amp;I783&amp;"|"&amp;O783)</f>
        <v/>
      </c>
      <c r="T783" s="111" t="str">
        <f>IF(S783="","",IF(COUNTIFS(L_Sleutel,S783,L_Actief,1)=0,"",SUMIFS(L_Waarde,L_Sleutel,S783,L_Actief,1)))</f>
        <v/>
      </c>
      <c r="U783" s="111">
        <f>IF(OR(S783="",T783=""),0,P783-T783)</f>
        <v>0</v>
      </c>
      <c r="AB783" s="112" t="n">
        <v>56</v>
      </c>
      <c r="AC783" s="112" t="n">
        <v>5</v>
      </c>
      <c r="AD783" s="112" t="str">
        <f>VERW_Project!S61</f>
        <v/>
      </c>
      <c r="AE783" s="112">
        <f>IF(AND(VERW_Project!$A61&lt;&gt;"",ISNUMBER(AD783)),1,0)</f>
        <v>0</v>
      </c>
      <c r="AF783" s="112" t="str">
        <f>IF(AE783=1,SUM($AE$8:AE783),"")</f>
        <v/>
      </c>
      <c r="AG783" t="str">
        <f>IFERROR(MATCH(776,$AF$8:$AF$1407,0),"")</f>
        <v/>
      </c>
    </row>
    <row r="784">
      <c r="A784" s="92" t="str">
        <f>IF($AG784="","",P_ImportID)</f>
        <v/>
      </c>
      <c r="B784" s="92" t="str">
        <f>IF($AG784="","",IF(INDEX($AN$8:$AN$21,INDEX($AC$8:$AC$1407,$AG784)+1)="Z",P_BronZ,P_BronE))</f>
        <v/>
      </c>
      <c r="C784" s="108" t="str">
        <f>IF($AG784="","",P_Importdatum)</f>
        <v/>
      </c>
      <c r="D784" s="92" t="str">
        <f>IF($AG784="","",P_StatusVastleg)</f>
        <v/>
      </c>
      <c r="E784" s="92" t="str">
        <f>IF($AG784="","",P_UploadVJ)</f>
        <v/>
      </c>
      <c r="F784" s="92" t="str">
        <f>IF($AG784="","",P_UploadVersie)</f>
        <v/>
      </c>
      <c r="G784" s="92" t="str">
        <f>IF($AG784="","",IF(COUNTIFS(L_Sleutel,$S784,L_Status,"Vastgesteld")=0,0,_xlfn.MAXIFS(L_Revisie,L_Sleutel,$S784,L_Status,"Vastgesteld")+1))</f>
        <v/>
      </c>
      <c r="H784" s="108" t="str">
        <f>IF($AG784="","",P_Peildatum)</f>
        <v/>
      </c>
      <c r="I784" s="92" t="str">
        <f>IF($AG784="","",P_RJ+INDEX($AK$8:$AK$21,INDEX($AC$8:$AC$1407,$AG784)+1))</f>
        <v/>
      </c>
      <c r="J784" s="92" t="str">
        <f>IF($AG784="","",INDEX(V_WBS,INDEX($AB$8:$AB$1407,$AG784)))</f>
        <v/>
      </c>
      <c r="K784" s="92" t="str">
        <f>IF($AG784="","",INDEX(V_Projdef,INDEX($AB$8:$AB$1407,$AG784)))</f>
        <v/>
      </c>
      <c r="L784" s="92" t="str">
        <f>IF($AG784="","",INDEX(V_Naam,INDEX($AB$8:$AB$1407,$AG784)))</f>
        <v/>
      </c>
      <c r="M784" s="92" t="str">
        <f>IF($AG784="","",INDEX(V_Type,INDEX($AB$8:$AB$1407,$AG784)))</f>
        <v/>
      </c>
      <c r="N784" s="92" t="str">
        <f>IF($AG784="","",INDEX(V_IFRS,INDEX($AB$8:$AB$1407,$AG784)))</f>
        <v/>
      </c>
      <c r="O784" s="92" t="str">
        <f>IF($AG784="","",INDEX($AL$8:$AL$21,INDEX($AC$8:$AC$1407,$AG784)+1))</f>
        <v/>
      </c>
      <c r="P784" s="109" t="str">
        <f>IF($AG784="","",INDEX($AD$8:$AD$1407,$AG784))</f>
        <v/>
      </c>
      <c r="Q784" s="92" t="str">
        <f>IF($AG784="","",INDEX($AM$8:$AM$21,INDEX($AC$8:$AC$1407,$AG784)+1))</f>
        <v/>
      </c>
      <c r="R784" s="92" t="str">
        <f>IF($AG784="","",IF($G784&gt;0,P_ToelCorrectie&amp;"",""))</f>
        <v/>
      </c>
      <c r="S784" s="15" t="str">
        <f>IF(J784="","",J784&amp;"|"&amp;E784&amp;"|"&amp;F784&amp;"|"&amp;I784&amp;"|"&amp;O784)</f>
        <v/>
      </c>
      <c r="T784" s="111" t="str">
        <f>IF(S784="","",IF(COUNTIFS(L_Sleutel,S784,L_Actief,1)=0,"",SUMIFS(L_Waarde,L_Sleutel,S784,L_Actief,1)))</f>
        <v/>
      </c>
      <c r="U784" s="111">
        <f>IF(OR(S784="",T784=""),0,P784-T784)</f>
        <v>0</v>
      </c>
      <c r="AB784" s="112" t="n">
        <v>56</v>
      </c>
      <c r="AC784" s="112" t="n">
        <v>6</v>
      </c>
      <c r="AD784" s="112" t="str">
        <f>VERW_Project!BW61</f>
        <v/>
      </c>
      <c r="AE784" s="112">
        <f>IF(AND(VERW_Project!$A61&lt;&gt;"",ISNUMBER(AD784)),1,0)</f>
        <v>0</v>
      </c>
      <c r="AF784" s="112" t="str">
        <f>IF(AE784=1,SUM($AE$8:AE784),"")</f>
        <v/>
      </c>
      <c r="AG784" t="str">
        <f>IFERROR(MATCH(777,$AF$8:$AF$1407,0),"")</f>
        <v/>
      </c>
    </row>
    <row r="785">
      <c r="A785" s="92" t="str">
        <f>IF($AG785="","",P_ImportID)</f>
        <v/>
      </c>
      <c r="B785" s="92" t="str">
        <f>IF($AG785="","",IF(INDEX($AN$8:$AN$21,INDEX($AC$8:$AC$1407,$AG785)+1)="Z",P_BronZ,P_BronE))</f>
        <v/>
      </c>
      <c r="C785" s="108" t="str">
        <f>IF($AG785="","",P_Importdatum)</f>
        <v/>
      </c>
      <c r="D785" s="92" t="str">
        <f>IF($AG785="","",P_StatusVastleg)</f>
        <v/>
      </c>
      <c r="E785" s="92" t="str">
        <f>IF($AG785="","",P_UploadVJ)</f>
        <v/>
      </c>
      <c r="F785" s="92" t="str">
        <f>IF($AG785="","",P_UploadVersie)</f>
        <v/>
      </c>
      <c r="G785" s="92" t="str">
        <f>IF($AG785="","",IF(COUNTIFS(L_Sleutel,$S785,L_Status,"Vastgesteld")=0,0,_xlfn.MAXIFS(L_Revisie,L_Sleutel,$S785,L_Status,"Vastgesteld")+1))</f>
        <v/>
      </c>
      <c r="H785" s="108" t="str">
        <f>IF($AG785="","",P_Peildatum)</f>
        <v/>
      </c>
      <c r="I785" s="92" t="str">
        <f>IF($AG785="","",P_RJ+INDEX($AK$8:$AK$21,INDEX($AC$8:$AC$1407,$AG785)+1))</f>
        <v/>
      </c>
      <c r="J785" s="92" t="str">
        <f>IF($AG785="","",INDEX(V_WBS,INDEX($AB$8:$AB$1407,$AG785)))</f>
        <v/>
      </c>
      <c r="K785" s="92" t="str">
        <f>IF($AG785="","",INDEX(V_Projdef,INDEX($AB$8:$AB$1407,$AG785)))</f>
        <v/>
      </c>
      <c r="L785" s="92" t="str">
        <f>IF($AG785="","",INDEX(V_Naam,INDEX($AB$8:$AB$1407,$AG785)))</f>
        <v/>
      </c>
      <c r="M785" s="92" t="str">
        <f>IF($AG785="","",INDEX(V_Type,INDEX($AB$8:$AB$1407,$AG785)))</f>
        <v/>
      </c>
      <c r="N785" s="92" t="str">
        <f>IF($AG785="","",INDEX(V_IFRS,INDEX($AB$8:$AB$1407,$AG785)))</f>
        <v/>
      </c>
      <c r="O785" s="92" t="str">
        <f>IF($AG785="","",INDEX($AL$8:$AL$21,INDEX($AC$8:$AC$1407,$AG785)+1))</f>
        <v/>
      </c>
      <c r="P785" s="109" t="str">
        <f>IF($AG785="","",INDEX($AD$8:$AD$1407,$AG785))</f>
        <v/>
      </c>
      <c r="Q785" s="92" t="str">
        <f>IF($AG785="","",INDEX($AM$8:$AM$21,INDEX($AC$8:$AC$1407,$AG785)+1))</f>
        <v/>
      </c>
      <c r="R785" s="92" t="str">
        <f>IF($AG785="","",IF($G785&gt;0,P_ToelCorrectie&amp;"",""))</f>
        <v/>
      </c>
      <c r="S785" s="15" t="str">
        <f>IF(J785="","",J785&amp;"|"&amp;E785&amp;"|"&amp;F785&amp;"|"&amp;I785&amp;"|"&amp;O785)</f>
        <v/>
      </c>
      <c r="T785" s="111" t="str">
        <f>IF(S785="","",IF(COUNTIFS(L_Sleutel,S785,L_Actief,1)=0,"",SUMIFS(L_Waarde,L_Sleutel,S785,L_Actief,1)))</f>
        <v/>
      </c>
      <c r="U785" s="111">
        <f>IF(OR(S785="",T785=""),0,P785-T785)</f>
        <v>0</v>
      </c>
      <c r="AB785" s="112" t="n">
        <v>56</v>
      </c>
      <c r="AC785" s="112" t="n">
        <v>7</v>
      </c>
      <c r="AD785" s="112" t="str">
        <f>VERW_Project!AW61</f>
        <v/>
      </c>
      <c r="AE785" s="112">
        <f>IF(AND(VERW_Project!$A61&lt;&gt;"",ISNUMBER(AD785)),1,0)</f>
        <v>0</v>
      </c>
      <c r="AF785" s="112" t="str">
        <f>IF(AE785=1,SUM($AE$8:AE785),"")</f>
        <v/>
      </c>
      <c r="AG785" t="str">
        <f>IFERROR(MATCH(778,$AF$8:$AF$1407,0),"")</f>
        <v/>
      </c>
    </row>
    <row r="786">
      <c r="A786" s="92" t="str">
        <f>IF($AG786="","",P_ImportID)</f>
        <v/>
      </c>
      <c r="B786" s="92" t="str">
        <f>IF($AG786="","",IF(INDEX($AN$8:$AN$21,INDEX($AC$8:$AC$1407,$AG786)+1)="Z",P_BronZ,P_BronE))</f>
        <v/>
      </c>
      <c r="C786" s="108" t="str">
        <f>IF($AG786="","",P_Importdatum)</f>
        <v/>
      </c>
      <c r="D786" s="92" t="str">
        <f>IF($AG786="","",P_StatusVastleg)</f>
        <v/>
      </c>
      <c r="E786" s="92" t="str">
        <f>IF($AG786="","",P_UploadVJ)</f>
        <v/>
      </c>
      <c r="F786" s="92" t="str">
        <f>IF($AG786="","",P_UploadVersie)</f>
        <v/>
      </c>
      <c r="G786" s="92" t="str">
        <f>IF($AG786="","",IF(COUNTIFS(L_Sleutel,$S786,L_Status,"Vastgesteld")=0,0,_xlfn.MAXIFS(L_Revisie,L_Sleutel,$S786,L_Status,"Vastgesteld")+1))</f>
        <v/>
      </c>
      <c r="H786" s="108" t="str">
        <f>IF($AG786="","",P_Peildatum)</f>
        <v/>
      </c>
      <c r="I786" s="92" t="str">
        <f>IF($AG786="","",P_RJ+INDEX($AK$8:$AK$21,INDEX($AC$8:$AC$1407,$AG786)+1))</f>
        <v/>
      </c>
      <c r="J786" s="92" t="str">
        <f>IF($AG786="","",INDEX(V_WBS,INDEX($AB$8:$AB$1407,$AG786)))</f>
        <v/>
      </c>
      <c r="K786" s="92" t="str">
        <f>IF($AG786="","",INDEX(V_Projdef,INDEX($AB$8:$AB$1407,$AG786)))</f>
        <v/>
      </c>
      <c r="L786" s="92" t="str">
        <f>IF($AG786="","",INDEX(V_Naam,INDEX($AB$8:$AB$1407,$AG786)))</f>
        <v/>
      </c>
      <c r="M786" s="92" t="str">
        <f>IF($AG786="","",INDEX(V_Type,INDEX($AB$8:$AB$1407,$AG786)))</f>
        <v/>
      </c>
      <c r="N786" s="92" t="str">
        <f>IF($AG786="","",INDEX(V_IFRS,INDEX($AB$8:$AB$1407,$AG786)))</f>
        <v/>
      </c>
      <c r="O786" s="92" t="str">
        <f>IF($AG786="","",INDEX($AL$8:$AL$21,INDEX($AC$8:$AC$1407,$AG786)+1))</f>
        <v/>
      </c>
      <c r="P786" s="109" t="str">
        <f>IF($AG786="","",INDEX($AD$8:$AD$1407,$AG786))</f>
        <v/>
      </c>
      <c r="Q786" s="92" t="str">
        <f>IF($AG786="","",INDEX($AM$8:$AM$21,INDEX($AC$8:$AC$1407,$AG786)+1))</f>
        <v/>
      </c>
      <c r="R786" s="92" t="str">
        <f>IF($AG786="","",IF($G786&gt;0,P_ToelCorrectie&amp;"",""))</f>
        <v/>
      </c>
      <c r="S786" s="15" t="str">
        <f>IF(J786="","",J786&amp;"|"&amp;E786&amp;"|"&amp;F786&amp;"|"&amp;I786&amp;"|"&amp;O786)</f>
        <v/>
      </c>
      <c r="T786" s="111" t="str">
        <f>IF(S786="","",IF(COUNTIFS(L_Sleutel,S786,L_Actief,1)=0,"",SUMIFS(L_Waarde,L_Sleutel,S786,L_Actief,1)))</f>
        <v/>
      </c>
      <c r="U786" s="111">
        <f>IF(OR(S786="",T786=""),0,P786-T786)</f>
        <v>0</v>
      </c>
      <c r="AB786" s="112" t="n">
        <v>56</v>
      </c>
      <c r="AC786" s="112" t="n">
        <v>8</v>
      </c>
      <c r="AD786" s="112" t="str">
        <f>VERW_Project!BQ61</f>
        <v/>
      </c>
      <c r="AE786" s="112">
        <f>IF(AND(VERW_Project!$A61&lt;&gt;"",ISNUMBER(AD786)),1,0)</f>
        <v>0</v>
      </c>
      <c r="AF786" s="112" t="str">
        <f>IF(AE786=1,SUM($AE$8:AE786),"")</f>
        <v/>
      </c>
      <c r="AG786" t="str">
        <f>IFERROR(MATCH(779,$AF$8:$AF$1407,0),"")</f>
        <v/>
      </c>
    </row>
    <row r="787">
      <c r="A787" s="92" t="str">
        <f>IF($AG787="","",P_ImportID)</f>
        <v/>
      </c>
      <c r="B787" s="92" t="str">
        <f>IF($AG787="","",IF(INDEX($AN$8:$AN$21,INDEX($AC$8:$AC$1407,$AG787)+1)="Z",P_BronZ,P_BronE))</f>
        <v/>
      </c>
      <c r="C787" s="108" t="str">
        <f>IF($AG787="","",P_Importdatum)</f>
        <v/>
      </c>
      <c r="D787" s="92" t="str">
        <f>IF($AG787="","",P_StatusVastleg)</f>
        <v/>
      </c>
      <c r="E787" s="92" t="str">
        <f>IF($AG787="","",P_UploadVJ)</f>
        <v/>
      </c>
      <c r="F787" s="92" t="str">
        <f>IF($AG787="","",P_UploadVersie)</f>
        <v/>
      </c>
      <c r="G787" s="92" t="str">
        <f>IF($AG787="","",IF(COUNTIFS(L_Sleutel,$S787,L_Status,"Vastgesteld")=0,0,_xlfn.MAXIFS(L_Revisie,L_Sleutel,$S787,L_Status,"Vastgesteld")+1))</f>
        <v/>
      </c>
      <c r="H787" s="108" t="str">
        <f>IF($AG787="","",P_Peildatum)</f>
        <v/>
      </c>
      <c r="I787" s="92" t="str">
        <f>IF($AG787="","",P_RJ+INDEX($AK$8:$AK$21,INDEX($AC$8:$AC$1407,$AG787)+1))</f>
        <v/>
      </c>
      <c r="J787" s="92" t="str">
        <f>IF($AG787="","",INDEX(V_WBS,INDEX($AB$8:$AB$1407,$AG787)))</f>
        <v/>
      </c>
      <c r="K787" s="92" t="str">
        <f>IF($AG787="","",INDEX(V_Projdef,INDEX($AB$8:$AB$1407,$AG787)))</f>
        <v/>
      </c>
      <c r="L787" s="92" t="str">
        <f>IF($AG787="","",INDEX(V_Naam,INDEX($AB$8:$AB$1407,$AG787)))</f>
        <v/>
      </c>
      <c r="M787" s="92" t="str">
        <f>IF($AG787="","",INDEX(V_Type,INDEX($AB$8:$AB$1407,$AG787)))</f>
        <v/>
      </c>
      <c r="N787" s="92" t="str">
        <f>IF($AG787="","",INDEX(V_IFRS,INDEX($AB$8:$AB$1407,$AG787)))</f>
        <v/>
      </c>
      <c r="O787" s="92" t="str">
        <f>IF($AG787="","",INDEX($AL$8:$AL$21,INDEX($AC$8:$AC$1407,$AG787)+1))</f>
        <v/>
      </c>
      <c r="P787" s="109" t="str">
        <f>IF($AG787="","",INDEX($AD$8:$AD$1407,$AG787))</f>
        <v/>
      </c>
      <c r="Q787" s="92" t="str">
        <f>IF($AG787="","",INDEX($AM$8:$AM$21,INDEX($AC$8:$AC$1407,$AG787)+1))</f>
        <v/>
      </c>
      <c r="R787" s="92" t="str">
        <f>IF($AG787="","",IF($G787&gt;0,P_ToelCorrectie&amp;"",""))</f>
        <v/>
      </c>
      <c r="S787" s="15" t="str">
        <f>IF(J787="","",J787&amp;"|"&amp;E787&amp;"|"&amp;F787&amp;"|"&amp;I787&amp;"|"&amp;O787)</f>
        <v/>
      </c>
      <c r="T787" s="111" t="str">
        <f>IF(S787="","",IF(COUNTIFS(L_Sleutel,S787,L_Actief,1)=0,"",SUMIFS(L_Waarde,L_Sleutel,S787,L_Actief,1)))</f>
        <v/>
      </c>
      <c r="U787" s="111">
        <f>IF(OR(S787="",T787=""),0,P787-T787)</f>
        <v>0</v>
      </c>
      <c r="AB787" s="112" t="n">
        <v>56</v>
      </c>
      <c r="AC787" s="112" t="n">
        <v>9</v>
      </c>
      <c r="AD787" s="112" t="str">
        <f>VERW_Project!BR61</f>
        <v/>
      </c>
      <c r="AE787" s="112">
        <f>IF(AND(VERW_Project!$A61&lt;&gt;"",ISNUMBER(AD787)),1,0)</f>
        <v>0</v>
      </c>
      <c r="AF787" s="112" t="str">
        <f>IF(AE787=1,SUM($AE$8:AE787),"")</f>
        <v/>
      </c>
      <c r="AG787" t="str">
        <f>IFERROR(MATCH(780,$AF$8:$AF$1407,0),"")</f>
        <v/>
      </c>
    </row>
    <row r="788">
      <c r="A788" s="92" t="str">
        <f>IF($AG788="","",P_ImportID)</f>
        <v/>
      </c>
      <c r="B788" s="92" t="str">
        <f>IF($AG788="","",IF(INDEX($AN$8:$AN$21,INDEX($AC$8:$AC$1407,$AG788)+1)="Z",P_BronZ,P_BronE))</f>
        <v/>
      </c>
      <c r="C788" s="108" t="str">
        <f>IF($AG788="","",P_Importdatum)</f>
        <v/>
      </c>
      <c r="D788" s="92" t="str">
        <f>IF($AG788="","",P_StatusVastleg)</f>
        <v/>
      </c>
      <c r="E788" s="92" t="str">
        <f>IF($AG788="","",P_UploadVJ)</f>
        <v/>
      </c>
      <c r="F788" s="92" t="str">
        <f>IF($AG788="","",P_UploadVersie)</f>
        <v/>
      </c>
      <c r="G788" s="92" t="str">
        <f>IF($AG788="","",IF(COUNTIFS(L_Sleutel,$S788,L_Status,"Vastgesteld")=0,0,_xlfn.MAXIFS(L_Revisie,L_Sleutel,$S788,L_Status,"Vastgesteld")+1))</f>
        <v/>
      </c>
      <c r="H788" s="108" t="str">
        <f>IF($AG788="","",P_Peildatum)</f>
        <v/>
      </c>
      <c r="I788" s="92" t="str">
        <f>IF($AG788="","",P_RJ+INDEX($AK$8:$AK$21,INDEX($AC$8:$AC$1407,$AG788)+1))</f>
        <v/>
      </c>
      <c r="J788" s="92" t="str">
        <f>IF($AG788="","",INDEX(V_WBS,INDEX($AB$8:$AB$1407,$AG788)))</f>
        <v/>
      </c>
      <c r="K788" s="92" t="str">
        <f>IF($AG788="","",INDEX(V_Projdef,INDEX($AB$8:$AB$1407,$AG788)))</f>
        <v/>
      </c>
      <c r="L788" s="92" t="str">
        <f>IF($AG788="","",INDEX(V_Naam,INDEX($AB$8:$AB$1407,$AG788)))</f>
        <v/>
      </c>
      <c r="M788" s="92" t="str">
        <f>IF($AG788="","",INDEX(V_Type,INDEX($AB$8:$AB$1407,$AG788)))</f>
        <v/>
      </c>
      <c r="N788" s="92" t="str">
        <f>IF($AG788="","",INDEX(V_IFRS,INDEX($AB$8:$AB$1407,$AG788)))</f>
        <v/>
      </c>
      <c r="O788" s="92" t="str">
        <f>IF($AG788="","",INDEX($AL$8:$AL$21,INDEX($AC$8:$AC$1407,$AG788)+1))</f>
        <v/>
      </c>
      <c r="P788" s="109" t="str">
        <f>IF($AG788="","",INDEX($AD$8:$AD$1407,$AG788))</f>
        <v/>
      </c>
      <c r="Q788" s="92" t="str">
        <f>IF($AG788="","",INDEX($AM$8:$AM$21,INDEX($AC$8:$AC$1407,$AG788)+1))</f>
        <v/>
      </c>
      <c r="R788" s="92" t="str">
        <f>IF($AG788="","",IF($G788&gt;0,P_ToelCorrectie&amp;"",""))</f>
        <v/>
      </c>
      <c r="S788" s="15" t="str">
        <f>IF(J788="","",J788&amp;"|"&amp;E788&amp;"|"&amp;F788&amp;"|"&amp;I788&amp;"|"&amp;O788)</f>
        <v/>
      </c>
      <c r="T788" s="111" t="str">
        <f>IF(S788="","",IF(COUNTIFS(L_Sleutel,S788,L_Actief,1)=0,"",SUMIFS(L_Waarde,L_Sleutel,S788,L_Actief,1)))</f>
        <v/>
      </c>
      <c r="U788" s="111">
        <f>IF(OR(S788="",T788=""),0,P788-T788)</f>
        <v>0</v>
      </c>
      <c r="AB788" s="112" t="n">
        <v>56</v>
      </c>
      <c r="AC788" s="112" t="n">
        <v>10</v>
      </c>
      <c r="AD788" s="112" t="str">
        <f>VERW_Project!BS61</f>
        <v/>
      </c>
      <c r="AE788" s="112">
        <f>IF(AND(VERW_Project!$A61&lt;&gt;"",ISNUMBER(AD788)),1,0)</f>
        <v>0</v>
      </c>
      <c r="AF788" s="112" t="str">
        <f>IF(AE788=1,SUM($AE$8:AE788),"")</f>
        <v/>
      </c>
      <c r="AG788" t="str">
        <f>IFERROR(MATCH(781,$AF$8:$AF$1407,0),"")</f>
        <v/>
      </c>
    </row>
    <row r="789">
      <c r="A789" s="92" t="str">
        <f>IF($AG789="","",P_ImportID)</f>
        <v/>
      </c>
      <c r="B789" s="92" t="str">
        <f>IF($AG789="","",IF(INDEX($AN$8:$AN$21,INDEX($AC$8:$AC$1407,$AG789)+1)="Z",P_BronZ,P_BronE))</f>
        <v/>
      </c>
      <c r="C789" s="108" t="str">
        <f>IF($AG789="","",P_Importdatum)</f>
        <v/>
      </c>
      <c r="D789" s="92" t="str">
        <f>IF($AG789="","",P_StatusVastleg)</f>
        <v/>
      </c>
      <c r="E789" s="92" t="str">
        <f>IF($AG789="","",P_UploadVJ)</f>
        <v/>
      </c>
      <c r="F789" s="92" t="str">
        <f>IF($AG789="","",P_UploadVersie)</f>
        <v/>
      </c>
      <c r="G789" s="92" t="str">
        <f>IF($AG789="","",IF(COUNTIFS(L_Sleutel,$S789,L_Status,"Vastgesteld")=0,0,_xlfn.MAXIFS(L_Revisie,L_Sleutel,$S789,L_Status,"Vastgesteld")+1))</f>
        <v/>
      </c>
      <c r="H789" s="108" t="str">
        <f>IF($AG789="","",P_Peildatum)</f>
        <v/>
      </c>
      <c r="I789" s="92" t="str">
        <f>IF($AG789="","",P_RJ+INDEX($AK$8:$AK$21,INDEX($AC$8:$AC$1407,$AG789)+1))</f>
        <v/>
      </c>
      <c r="J789" s="92" t="str">
        <f>IF($AG789="","",INDEX(V_WBS,INDEX($AB$8:$AB$1407,$AG789)))</f>
        <v/>
      </c>
      <c r="K789" s="92" t="str">
        <f>IF($AG789="","",INDEX(V_Projdef,INDEX($AB$8:$AB$1407,$AG789)))</f>
        <v/>
      </c>
      <c r="L789" s="92" t="str">
        <f>IF($AG789="","",INDEX(V_Naam,INDEX($AB$8:$AB$1407,$AG789)))</f>
        <v/>
      </c>
      <c r="M789" s="92" t="str">
        <f>IF($AG789="","",INDEX(V_Type,INDEX($AB$8:$AB$1407,$AG789)))</f>
        <v/>
      </c>
      <c r="N789" s="92" t="str">
        <f>IF($AG789="","",INDEX(V_IFRS,INDEX($AB$8:$AB$1407,$AG789)))</f>
        <v/>
      </c>
      <c r="O789" s="92" t="str">
        <f>IF($AG789="","",INDEX($AL$8:$AL$21,INDEX($AC$8:$AC$1407,$AG789)+1))</f>
        <v/>
      </c>
      <c r="P789" s="109" t="str">
        <f>IF($AG789="","",INDEX($AD$8:$AD$1407,$AG789))</f>
        <v/>
      </c>
      <c r="Q789" s="92" t="str">
        <f>IF($AG789="","",INDEX($AM$8:$AM$21,INDEX($AC$8:$AC$1407,$AG789)+1))</f>
        <v/>
      </c>
      <c r="R789" s="92" t="str">
        <f>IF($AG789="","",IF($G789&gt;0,P_ToelCorrectie&amp;"",""))</f>
        <v/>
      </c>
      <c r="S789" s="15" t="str">
        <f>IF(J789="","",J789&amp;"|"&amp;E789&amp;"|"&amp;F789&amp;"|"&amp;I789&amp;"|"&amp;O789)</f>
        <v/>
      </c>
      <c r="T789" s="111" t="str">
        <f>IF(S789="","",IF(COUNTIFS(L_Sleutel,S789,L_Actief,1)=0,"",SUMIFS(L_Waarde,L_Sleutel,S789,L_Actief,1)))</f>
        <v/>
      </c>
      <c r="U789" s="111">
        <f>IF(OR(S789="",T789=""),0,P789-T789)</f>
        <v>0</v>
      </c>
      <c r="AB789" s="112" t="n">
        <v>56</v>
      </c>
      <c r="AC789" s="112" t="n">
        <v>11</v>
      </c>
      <c r="AD789" s="112" t="str">
        <f>VERW_Project!BT61</f>
        <v/>
      </c>
      <c r="AE789" s="112">
        <f>IF(AND(VERW_Project!$A61&lt;&gt;"",ISNUMBER(AD789)),1,0)</f>
        <v>0</v>
      </c>
      <c r="AF789" s="112" t="str">
        <f>IF(AE789=1,SUM($AE$8:AE789),"")</f>
        <v/>
      </c>
      <c r="AG789" t="str">
        <f>IFERROR(MATCH(782,$AF$8:$AF$1407,0),"")</f>
        <v/>
      </c>
    </row>
    <row r="790">
      <c r="A790" s="92" t="str">
        <f>IF($AG790="","",P_ImportID)</f>
        <v/>
      </c>
      <c r="B790" s="92" t="str">
        <f>IF($AG790="","",IF(INDEX($AN$8:$AN$21,INDEX($AC$8:$AC$1407,$AG790)+1)="Z",P_BronZ,P_BronE))</f>
        <v/>
      </c>
      <c r="C790" s="108" t="str">
        <f>IF($AG790="","",P_Importdatum)</f>
        <v/>
      </c>
      <c r="D790" s="92" t="str">
        <f>IF($AG790="","",P_StatusVastleg)</f>
        <v/>
      </c>
      <c r="E790" s="92" t="str">
        <f>IF($AG790="","",P_UploadVJ)</f>
        <v/>
      </c>
      <c r="F790" s="92" t="str">
        <f>IF($AG790="","",P_UploadVersie)</f>
        <v/>
      </c>
      <c r="G790" s="92" t="str">
        <f>IF($AG790="","",IF(COUNTIFS(L_Sleutel,$S790,L_Status,"Vastgesteld")=0,0,_xlfn.MAXIFS(L_Revisie,L_Sleutel,$S790,L_Status,"Vastgesteld")+1))</f>
        <v/>
      </c>
      <c r="H790" s="108" t="str">
        <f>IF($AG790="","",P_Peildatum)</f>
        <v/>
      </c>
      <c r="I790" s="92" t="str">
        <f>IF($AG790="","",P_RJ+INDEX($AK$8:$AK$21,INDEX($AC$8:$AC$1407,$AG790)+1))</f>
        <v/>
      </c>
      <c r="J790" s="92" t="str">
        <f>IF($AG790="","",INDEX(V_WBS,INDEX($AB$8:$AB$1407,$AG790)))</f>
        <v/>
      </c>
      <c r="K790" s="92" t="str">
        <f>IF($AG790="","",INDEX(V_Projdef,INDEX($AB$8:$AB$1407,$AG790)))</f>
        <v/>
      </c>
      <c r="L790" s="92" t="str">
        <f>IF($AG790="","",INDEX(V_Naam,INDEX($AB$8:$AB$1407,$AG790)))</f>
        <v/>
      </c>
      <c r="M790" s="92" t="str">
        <f>IF($AG790="","",INDEX(V_Type,INDEX($AB$8:$AB$1407,$AG790)))</f>
        <v/>
      </c>
      <c r="N790" s="92" t="str">
        <f>IF($AG790="","",INDEX(V_IFRS,INDEX($AB$8:$AB$1407,$AG790)))</f>
        <v/>
      </c>
      <c r="O790" s="92" t="str">
        <f>IF($AG790="","",INDEX($AL$8:$AL$21,INDEX($AC$8:$AC$1407,$AG790)+1))</f>
        <v/>
      </c>
      <c r="P790" s="109" t="str">
        <f>IF($AG790="","",INDEX($AD$8:$AD$1407,$AG790))</f>
        <v/>
      </c>
      <c r="Q790" s="92" t="str">
        <f>IF($AG790="","",INDEX($AM$8:$AM$21,INDEX($AC$8:$AC$1407,$AG790)+1))</f>
        <v/>
      </c>
      <c r="R790" s="92" t="str">
        <f>IF($AG790="","",IF($G790&gt;0,P_ToelCorrectie&amp;"",""))</f>
        <v/>
      </c>
      <c r="S790" s="15" t="str">
        <f>IF(J790="","",J790&amp;"|"&amp;E790&amp;"|"&amp;F790&amp;"|"&amp;I790&amp;"|"&amp;O790)</f>
        <v/>
      </c>
      <c r="T790" s="111" t="str">
        <f>IF(S790="","",IF(COUNTIFS(L_Sleutel,S790,L_Actief,1)=0,"",SUMIFS(L_Waarde,L_Sleutel,S790,L_Actief,1)))</f>
        <v/>
      </c>
      <c r="U790" s="111">
        <f>IF(OR(S790="",T790=""),0,P790-T790)</f>
        <v>0</v>
      </c>
      <c r="AB790" s="112" t="n">
        <v>56</v>
      </c>
      <c r="AC790" s="112" t="n">
        <v>12</v>
      </c>
      <c r="AD790" s="112" t="str">
        <f>VERW_Project!BU61</f>
        <v/>
      </c>
      <c r="AE790" s="112">
        <f>IF(AND(VERW_Project!$A61&lt;&gt;"",ISNUMBER(AD790)),1,0)</f>
        <v>0</v>
      </c>
      <c r="AF790" s="112" t="str">
        <f>IF(AE790=1,SUM($AE$8:AE790),"")</f>
        <v/>
      </c>
      <c r="AG790" t="str">
        <f>IFERROR(MATCH(783,$AF$8:$AF$1407,0),"")</f>
        <v/>
      </c>
    </row>
    <row r="791">
      <c r="A791" s="92" t="str">
        <f>IF($AG791="","",P_ImportID)</f>
        <v/>
      </c>
      <c r="B791" s="92" t="str">
        <f>IF($AG791="","",IF(INDEX($AN$8:$AN$21,INDEX($AC$8:$AC$1407,$AG791)+1)="Z",P_BronZ,P_BronE))</f>
        <v/>
      </c>
      <c r="C791" s="108" t="str">
        <f>IF($AG791="","",P_Importdatum)</f>
        <v/>
      </c>
      <c r="D791" s="92" t="str">
        <f>IF($AG791="","",P_StatusVastleg)</f>
        <v/>
      </c>
      <c r="E791" s="92" t="str">
        <f>IF($AG791="","",P_UploadVJ)</f>
        <v/>
      </c>
      <c r="F791" s="92" t="str">
        <f>IF($AG791="","",P_UploadVersie)</f>
        <v/>
      </c>
      <c r="G791" s="92" t="str">
        <f>IF($AG791="","",IF(COUNTIFS(L_Sleutel,$S791,L_Status,"Vastgesteld")=0,0,_xlfn.MAXIFS(L_Revisie,L_Sleutel,$S791,L_Status,"Vastgesteld")+1))</f>
        <v/>
      </c>
      <c r="H791" s="108" t="str">
        <f>IF($AG791="","",P_Peildatum)</f>
        <v/>
      </c>
      <c r="I791" s="92" t="str">
        <f>IF($AG791="","",P_RJ+INDEX($AK$8:$AK$21,INDEX($AC$8:$AC$1407,$AG791)+1))</f>
        <v/>
      </c>
      <c r="J791" s="92" t="str">
        <f>IF($AG791="","",INDEX(V_WBS,INDEX($AB$8:$AB$1407,$AG791)))</f>
        <v/>
      </c>
      <c r="K791" s="92" t="str">
        <f>IF($AG791="","",INDEX(V_Projdef,INDEX($AB$8:$AB$1407,$AG791)))</f>
        <v/>
      </c>
      <c r="L791" s="92" t="str">
        <f>IF($AG791="","",INDEX(V_Naam,INDEX($AB$8:$AB$1407,$AG791)))</f>
        <v/>
      </c>
      <c r="M791" s="92" t="str">
        <f>IF($AG791="","",INDEX(V_Type,INDEX($AB$8:$AB$1407,$AG791)))</f>
        <v/>
      </c>
      <c r="N791" s="92" t="str">
        <f>IF($AG791="","",INDEX(V_IFRS,INDEX($AB$8:$AB$1407,$AG791)))</f>
        <v/>
      </c>
      <c r="O791" s="92" t="str">
        <f>IF($AG791="","",INDEX($AL$8:$AL$21,INDEX($AC$8:$AC$1407,$AG791)+1))</f>
        <v/>
      </c>
      <c r="P791" s="109" t="str">
        <f>IF($AG791="","",INDEX($AD$8:$AD$1407,$AG791))</f>
        <v/>
      </c>
      <c r="Q791" s="92" t="str">
        <f>IF($AG791="","",INDEX($AM$8:$AM$21,INDEX($AC$8:$AC$1407,$AG791)+1))</f>
        <v/>
      </c>
      <c r="R791" s="92" t="str">
        <f>IF($AG791="","",IF($G791&gt;0,P_ToelCorrectie&amp;"",""))</f>
        <v/>
      </c>
      <c r="S791" s="15" t="str">
        <f>IF(J791="","",J791&amp;"|"&amp;E791&amp;"|"&amp;F791&amp;"|"&amp;I791&amp;"|"&amp;O791)</f>
        <v/>
      </c>
      <c r="T791" s="111" t="str">
        <f>IF(S791="","",IF(COUNTIFS(L_Sleutel,S791,L_Actief,1)=0,"",SUMIFS(L_Waarde,L_Sleutel,S791,L_Actief,1)))</f>
        <v/>
      </c>
      <c r="U791" s="111">
        <f>IF(OR(S791="",T791=""),0,P791-T791)</f>
        <v>0</v>
      </c>
      <c r="AB791" s="112" t="n">
        <v>56</v>
      </c>
      <c r="AC791" s="112" t="n">
        <v>13</v>
      </c>
      <c r="AD791" s="112" t="str">
        <f>VERW_Project!BX61</f>
        <v/>
      </c>
      <c r="AE791" s="112">
        <f>IF(AND(VERW_Project!$A61&lt;&gt;"",ISNUMBER(AD791)),1,0)</f>
        <v>0</v>
      </c>
      <c r="AF791" s="112" t="str">
        <f>IF(AE791=1,SUM($AE$8:AE791),"")</f>
        <v/>
      </c>
      <c r="AG791" t="str">
        <f>IFERROR(MATCH(784,$AF$8:$AF$1407,0),"")</f>
        <v/>
      </c>
    </row>
    <row r="792">
      <c r="A792" s="92" t="str">
        <f>IF($AG792="","",P_ImportID)</f>
        <v/>
      </c>
      <c r="B792" s="92" t="str">
        <f>IF($AG792="","",IF(INDEX($AN$8:$AN$21,INDEX($AC$8:$AC$1407,$AG792)+1)="Z",P_BronZ,P_BronE))</f>
        <v/>
      </c>
      <c r="C792" s="108" t="str">
        <f>IF($AG792="","",P_Importdatum)</f>
        <v/>
      </c>
      <c r="D792" s="92" t="str">
        <f>IF($AG792="","",P_StatusVastleg)</f>
        <v/>
      </c>
      <c r="E792" s="92" t="str">
        <f>IF($AG792="","",P_UploadVJ)</f>
        <v/>
      </c>
      <c r="F792" s="92" t="str">
        <f>IF($AG792="","",P_UploadVersie)</f>
        <v/>
      </c>
      <c r="G792" s="92" t="str">
        <f>IF($AG792="","",IF(COUNTIFS(L_Sleutel,$S792,L_Status,"Vastgesteld")=0,0,_xlfn.MAXIFS(L_Revisie,L_Sleutel,$S792,L_Status,"Vastgesteld")+1))</f>
        <v/>
      </c>
      <c r="H792" s="108" t="str">
        <f>IF($AG792="","",P_Peildatum)</f>
        <v/>
      </c>
      <c r="I792" s="92" t="str">
        <f>IF($AG792="","",P_RJ+INDEX($AK$8:$AK$21,INDEX($AC$8:$AC$1407,$AG792)+1))</f>
        <v/>
      </c>
      <c r="J792" s="92" t="str">
        <f>IF($AG792="","",INDEX(V_WBS,INDEX($AB$8:$AB$1407,$AG792)))</f>
        <v/>
      </c>
      <c r="K792" s="92" t="str">
        <f>IF($AG792="","",INDEX(V_Projdef,INDEX($AB$8:$AB$1407,$AG792)))</f>
        <v/>
      </c>
      <c r="L792" s="92" t="str">
        <f>IF($AG792="","",INDEX(V_Naam,INDEX($AB$8:$AB$1407,$AG792)))</f>
        <v/>
      </c>
      <c r="M792" s="92" t="str">
        <f>IF($AG792="","",INDEX(V_Type,INDEX($AB$8:$AB$1407,$AG792)))</f>
        <v/>
      </c>
      <c r="N792" s="92" t="str">
        <f>IF($AG792="","",INDEX(V_IFRS,INDEX($AB$8:$AB$1407,$AG792)))</f>
        <v/>
      </c>
      <c r="O792" s="92" t="str">
        <f>IF($AG792="","",INDEX($AL$8:$AL$21,INDEX($AC$8:$AC$1407,$AG792)+1))</f>
        <v/>
      </c>
      <c r="P792" s="109" t="str">
        <f>IF($AG792="","",INDEX($AD$8:$AD$1407,$AG792))</f>
        <v/>
      </c>
      <c r="Q792" s="92" t="str">
        <f>IF($AG792="","",INDEX($AM$8:$AM$21,INDEX($AC$8:$AC$1407,$AG792)+1))</f>
        <v/>
      </c>
      <c r="R792" s="92" t="str">
        <f>IF($AG792="","",IF($G792&gt;0,P_ToelCorrectie&amp;"",""))</f>
        <v/>
      </c>
      <c r="S792" s="15" t="str">
        <f>IF(J792="","",J792&amp;"|"&amp;E792&amp;"|"&amp;F792&amp;"|"&amp;I792&amp;"|"&amp;O792)</f>
        <v/>
      </c>
      <c r="T792" s="111" t="str">
        <f>IF(S792="","",IF(COUNTIFS(L_Sleutel,S792,L_Actief,1)=0,"",SUMIFS(L_Waarde,L_Sleutel,S792,L_Actief,1)))</f>
        <v/>
      </c>
      <c r="U792" s="111">
        <f>IF(OR(S792="",T792=""),0,P792-T792)</f>
        <v>0</v>
      </c>
      <c r="AB792" s="112" t="n">
        <v>57</v>
      </c>
      <c r="AC792" s="112" t="n">
        <v>0</v>
      </c>
      <c r="AD792" s="112" t="str">
        <f>VERW_Project!P62</f>
        <v/>
      </c>
      <c r="AE792" s="112">
        <f>IF(AND(VERW_Project!$A62&lt;&gt;"",ISNUMBER(AD792)),1,0)</f>
        <v>0</v>
      </c>
      <c r="AF792" s="112" t="str">
        <f>IF(AE792=1,SUM($AE$8:AE792),"")</f>
        <v/>
      </c>
      <c r="AG792" t="str">
        <f>IFERROR(MATCH(785,$AF$8:$AF$1407,0),"")</f>
        <v/>
      </c>
    </row>
    <row r="793">
      <c r="A793" s="92" t="str">
        <f>IF($AG793="","",P_ImportID)</f>
        <v/>
      </c>
      <c r="B793" s="92" t="str">
        <f>IF($AG793="","",IF(INDEX($AN$8:$AN$21,INDEX($AC$8:$AC$1407,$AG793)+1)="Z",P_BronZ,P_BronE))</f>
        <v/>
      </c>
      <c r="C793" s="108" t="str">
        <f>IF($AG793="","",P_Importdatum)</f>
        <v/>
      </c>
      <c r="D793" s="92" t="str">
        <f>IF($AG793="","",P_StatusVastleg)</f>
        <v/>
      </c>
      <c r="E793" s="92" t="str">
        <f>IF($AG793="","",P_UploadVJ)</f>
        <v/>
      </c>
      <c r="F793" s="92" t="str">
        <f>IF($AG793="","",P_UploadVersie)</f>
        <v/>
      </c>
      <c r="G793" s="92" t="str">
        <f>IF($AG793="","",IF(COUNTIFS(L_Sleutel,$S793,L_Status,"Vastgesteld")=0,0,_xlfn.MAXIFS(L_Revisie,L_Sleutel,$S793,L_Status,"Vastgesteld")+1))</f>
        <v/>
      </c>
      <c r="H793" s="108" t="str">
        <f>IF($AG793="","",P_Peildatum)</f>
        <v/>
      </c>
      <c r="I793" s="92" t="str">
        <f>IF($AG793="","",P_RJ+INDEX($AK$8:$AK$21,INDEX($AC$8:$AC$1407,$AG793)+1))</f>
        <v/>
      </c>
      <c r="J793" s="92" t="str">
        <f>IF($AG793="","",INDEX(V_WBS,INDEX($AB$8:$AB$1407,$AG793)))</f>
        <v/>
      </c>
      <c r="K793" s="92" t="str">
        <f>IF($AG793="","",INDEX(V_Projdef,INDEX($AB$8:$AB$1407,$AG793)))</f>
        <v/>
      </c>
      <c r="L793" s="92" t="str">
        <f>IF($AG793="","",INDEX(V_Naam,INDEX($AB$8:$AB$1407,$AG793)))</f>
        <v/>
      </c>
      <c r="M793" s="92" t="str">
        <f>IF($AG793="","",INDEX(V_Type,INDEX($AB$8:$AB$1407,$AG793)))</f>
        <v/>
      </c>
      <c r="N793" s="92" t="str">
        <f>IF($AG793="","",INDEX(V_IFRS,INDEX($AB$8:$AB$1407,$AG793)))</f>
        <v/>
      </c>
      <c r="O793" s="92" t="str">
        <f>IF($AG793="","",INDEX($AL$8:$AL$21,INDEX($AC$8:$AC$1407,$AG793)+1))</f>
        <v/>
      </c>
      <c r="P793" s="109" t="str">
        <f>IF($AG793="","",INDEX($AD$8:$AD$1407,$AG793))</f>
        <v/>
      </c>
      <c r="Q793" s="92" t="str">
        <f>IF($AG793="","",INDEX($AM$8:$AM$21,INDEX($AC$8:$AC$1407,$AG793)+1))</f>
        <v/>
      </c>
      <c r="R793" s="92" t="str">
        <f>IF($AG793="","",IF($G793&gt;0,P_ToelCorrectie&amp;"",""))</f>
        <v/>
      </c>
      <c r="S793" s="15" t="str">
        <f>IF(J793="","",J793&amp;"|"&amp;E793&amp;"|"&amp;F793&amp;"|"&amp;I793&amp;"|"&amp;O793)</f>
        <v/>
      </c>
      <c r="T793" s="111" t="str">
        <f>IF(S793="","",IF(COUNTIFS(L_Sleutel,S793,L_Actief,1)=0,"",SUMIFS(L_Waarde,L_Sleutel,S793,L_Actief,1)))</f>
        <v/>
      </c>
      <c r="U793" s="111">
        <f>IF(OR(S793="",T793=""),0,P793-T793)</f>
        <v>0</v>
      </c>
      <c r="AB793" s="112" t="n">
        <v>57</v>
      </c>
      <c r="AC793" s="112" t="n">
        <v>1</v>
      </c>
      <c r="AD793" s="112" t="str">
        <f>VERW_Project!Q62</f>
        <v/>
      </c>
      <c r="AE793" s="112">
        <f>IF(AND(VERW_Project!$A62&lt;&gt;"",ISNUMBER(AD793)),1,0)</f>
        <v>0</v>
      </c>
      <c r="AF793" s="112" t="str">
        <f>IF(AE793=1,SUM($AE$8:AE793),"")</f>
        <v/>
      </c>
      <c r="AG793" t="str">
        <f>IFERROR(MATCH(786,$AF$8:$AF$1407,0),"")</f>
        <v/>
      </c>
    </row>
    <row r="794">
      <c r="A794" s="92" t="str">
        <f>IF($AG794="","",P_ImportID)</f>
        <v/>
      </c>
      <c r="B794" s="92" t="str">
        <f>IF($AG794="","",IF(INDEX($AN$8:$AN$21,INDEX($AC$8:$AC$1407,$AG794)+1)="Z",P_BronZ,P_BronE))</f>
        <v/>
      </c>
      <c r="C794" s="108" t="str">
        <f>IF($AG794="","",P_Importdatum)</f>
        <v/>
      </c>
      <c r="D794" s="92" t="str">
        <f>IF($AG794="","",P_StatusVastleg)</f>
        <v/>
      </c>
      <c r="E794" s="92" t="str">
        <f>IF($AG794="","",P_UploadVJ)</f>
        <v/>
      </c>
      <c r="F794" s="92" t="str">
        <f>IF($AG794="","",P_UploadVersie)</f>
        <v/>
      </c>
      <c r="G794" s="92" t="str">
        <f>IF($AG794="","",IF(COUNTIFS(L_Sleutel,$S794,L_Status,"Vastgesteld")=0,0,_xlfn.MAXIFS(L_Revisie,L_Sleutel,$S794,L_Status,"Vastgesteld")+1))</f>
        <v/>
      </c>
      <c r="H794" s="108" t="str">
        <f>IF($AG794="","",P_Peildatum)</f>
        <v/>
      </c>
      <c r="I794" s="92" t="str">
        <f>IF($AG794="","",P_RJ+INDEX($AK$8:$AK$21,INDEX($AC$8:$AC$1407,$AG794)+1))</f>
        <v/>
      </c>
      <c r="J794" s="92" t="str">
        <f>IF($AG794="","",INDEX(V_WBS,INDEX($AB$8:$AB$1407,$AG794)))</f>
        <v/>
      </c>
      <c r="K794" s="92" t="str">
        <f>IF($AG794="","",INDEX(V_Projdef,INDEX($AB$8:$AB$1407,$AG794)))</f>
        <v/>
      </c>
      <c r="L794" s="92" t="str">
        <f>IF($AG794="","",INDEX(V_Naam,INDEX($AB$8:$AB$1407,$AG794)))</f>
        <v/>
      </c>
      <c r="M794" s="92" t="str">
        <f>IF($AG794="","",INDEX(V_Type,INDEX($AB$8:$AB$1407,$AG794)))</f>
        <v/>
      </c>
      <c r="N794" s="92" t="str">
        <f>IF($AG794="","",INDEX(V_IFRS,INDEX($AB$8:$AB$1407,$AG794)))</f>
        <v/>
      </c>
      <c r="O794" s="92" t="str">
        <f>IF($AG794="","",INDEX($AL$8:$AL$21,INDEX($AC$8:$AC$1407,$AG794)+1))</f>
        <v/>
      </c>
      <c r="P794" s="109" t="str">
        <f>IF($AG794="","",INDEX($AD$8:$AD$1407,$AG794))</f>
        <v/>
      </c>
      <c r="Q794" s="92" t="str">
        <f>IF($AG794="","",INDEX($AM$8:$AM$21,INDEX($AC$8:$AC$1407,$AG794)+1))</f>
        <v/>
      </c>
      <c r="R794" s="92" t="str">
        <f>IF($AG794="","",IF($G794&gt;0,P_ToelCorrectie&amp;"",""))</f>
        <v/>
      </c>
      <c r="S794" s="15" t="str">
        <f>IF(J794="","",J794&amp;"|"&amp;E794&amp;"|"&amp;F794&amp;"|"&amp;I794&amp;"|"&amp;O794)</f>
        <v/>
      </c>
      <c r="T794" s="111" t="str">
        <f>IF(S794="","",IF(COUNTIFS(L_Sleutel,S794,L_Actief,1)=0,"",SUMIFS(L_Waarde,L_Sleutel,S794,L_Actief,1)))</f>
        <v/>
      </c>
      <c r="U794" s="111">
        <f>IF(OR(S794="",T794=""),0,P794-T794)</f>
        <v>0</v>
      </c>
      <c r="AB794" s="112" t="n">
        <v>57</v>
      </c>
      <c r="AC794" s="112" t="n">
        <v>2</v>
      </c>
      <c r="AD794" s="112" t="str">
        <f>VERW_Project!L62</f>
        <v/>
      </c>
      <c r="AE794" s="112">
        <f>IF(AND(VERW_Project!$A62&lt;&gt;"",ISNUMBER(AD794)),1,0)</f>
        <v>0</v>
      </c>
      <c r="AF794" s="112" t="str">
        <f>IF(AE794=1,SUM($AE$8:AE794),"")</f>
        <v/>
      </c>
      <c r="AG794" t="str">
        <f>IFERROR(MATCH(787,$AF$8:$AF$1407,0),"")</f>
        <v/>
      </c>
    </row>
    <row r="795">
      <c r="A795" s="92" t="str">
        <f>IF($AG795="","",P_ImportID)</f>
        <v/>
      </c>
      <c r="B795" s="92" t="str">
        <f>IF($AG795="","",IF(INDEX($AN$8:$AN$21,INDEX($AC$8:$AC$1407,$AG795)+1)="Z",P_BronZ,P_BronE))</f>
        <v/>
      </c>
      <c r="C795" s="108" t="str">
        <f>IF($AG795="","",P_Importdatum)</f>
        <v/>
      </c>
      <c r="D795" s="92" t="str">
        <f>IF($AG795="","",P_StatusVastleg)</f>
        <v/>
      </c>
      <c r="E795" s="92" t="str">
        <f>IF($AG795="","",P_UploadVJ)</f>
        <v/>
      </c>
      <c r="F795" s="92" t="str">
        <f>IF($AG795="","",P_UploadVersie)</f>
        <v/>
      </c>
      <c r="G795" s="92" t="str">
        <f>IF($AG795="","",IF(COUNTIFS(L_Sleutel,$S795,L_Status,"Vastgesteld")=0,0,_xlfn.MAXIFS(L_Revisie,L_Sleutel,$S795,L_Status,"Vastgesteld")+1))</f>
        <v/>
      </c>
      <c r="H795" s="108" t="str">
        <f>IF($AG795="","",P_Peildatum)</f>
        <v/>
      </c>
      <c r="I795" s="92" t="str">
        <f>IF($AG795="","",P_RJ+INDEX($AK$8:$AK$21,INDEX($AC$8:$AC$1407,$AG795)+1))</f>
        <v/>
      </c>
      <c r="J795" s="92" t="str">
        <f>IF($AG795="","",INDEX(V_WBS,INDEX($AB$8:$AB$1407,$AG795)))</f>
        <v/>
      </c>
      <c r="K795" s="92" t="str">
        <f>IF($AG795="","",INDEX(V_Projdef,INDEX($AB$8:$AB$1407,$AG795)))</f>
        <v/>
      </c>
      <c r="L795" s="92" t="str">
        <f>IF($AG795="","",INDEX(V_Naam,INDEX($AB$8:$AB$1407,$AG795)))</f>
        <v/>
      </c>
      <c r="M795" s="92" t="str">
        <f>IF($AG795="","",INDEX(V_Type,INDEX($AB$8:$AB$1407,$AG795)))</f>
        <v/>
      </c>
      <c r="N795" s="92" t="str">
        <f>IF($AG795="","",INDEX(V_IFRS,INDEX($AB$8:$AB$1407,$AG795)))</f>
        <v/>
      </c>
      <c r="O795" s="92" t="str">
        <f>IF($AG795="","",INDEX($AL$8:$AL$21,INDEX($AC$8:$AC$1407,$AG795)+1))</f>
        <v/>
      </c>
      <c r="P795" s="109" t="str">
        <f>IF($AG795="","",INDEX($AD$8:$AD$1407,$AG795))</f>
        <v/>
      </c>
      <c r="Q795" s="92" t="str">
        <f>IF($AG795="","",INDEX($AM$8:$AM$21,INDEX($AC$8:$AC$1407,$AG795)+1))</f>
        <v/>
      </c>
      <c r="R795" s="92" t="str">
        <f>IF($AG795="","",IF($G795&gt;0,P_ToelCorrectie&amp;"",""))</f>
        <v/>
      </c>
      <c r="S795" s="15" t="str">
        <f>IF(J795="","",J795&amp;"|"&amp;E795&amp;"|"&amp;F795&amp;"|"&amp;I795&amp;"|"&amp;O795)</f>
        <v/>
      </c>
      <c r="T795" s="111" t="str">
        <f>IF(S795="","",IF(COUNTIFS(L_Sleutel,S795,L_Actief,1)=0,"",SUMIFS(L_Waarde,L_Sleutel,S795,L_Actief,1)))</f>
        <v/>
      </c>
      <c r="U795" s="111">
        <f>IF(OR(S795="",T795=""),0,P795-T795)</f>
        <v>0</v>
      </c>
      <c r="AB795" s="112" t="n">
        <v>57</v>
      </c>
      <c r="AC795" s="112" t="n">
        <v>3</v>
      </c>
      <c r="AD795" s="112" t="str">
        <f>VERW_Project!M62</f>
        <v/>
      </c>
      <c r="AE795" s="112">
        <f>IF(AND(VERW_Project!$A62&lt;&gt;"",ISNUMBER(AD795)),1,0)</f>
        <v>0</v>
      </c>
      <c r="AF795" s="112" t="str">
        <f>IF(AE795=1,SUM($AE$8:AE795),"")</f>
        <v/>
      </c>
      <c r="AG795" t="str">
        <f>IFERROR(MATCH(788,$AF$8:$AF$1407,0),"")</f>
        <v/>
      </c>
    </row>
    <row r="796">
      <c r="A796" s="92" t="str">
        <f>IF($AG796="","",P_ImportID)</f>
        <v/>
      </c>
      <c r="B796" s="92" t="str">
        <f>IF($AG796="","",IF(INDEX($AN$8:$AN$21,INDEX($AC$8:$AC$1407,$AG796)+1)="Z",P_BronZ,P_BronE))</f>
        <v/>
      </c>
      <c r="C796" s="108" t="str">
        <f>IF($AG796="","",P_Importdatum)</f>
        <v/>
      </c>
      <c r="D796" s="92" t="str">
        <f>IF($AG796="","",P_StatusVastleg)</f>
        <v/>
      </c>
      <c r="E796" s="92" t="str">
        <f>IF($AG796="","",P_UploadVJ)</f>
        <v/>
      </c>
      <c r="F796" s="92" t="str">
        <f>IF($AG796="","",P_UploadVersie)</f>
        <v/>
      </c>
      <c r="G796" s="92" t="str">
        <f>IF($AG796="","",IF(COUNTIFS(L_Sleutel,$S796,L_Status,"Vastgesteld")=0,0,_xlfn.MAXIFS(L_Revisie,L_Sleutel,$S796,L_Status,"Vastgesteld")+1))</f>
        <v/>
      </c>
      <c r="H796" s="108" t="str">
        <f>IF($AG796="","",P_Peildatum)</f>
        <v/>
      </c>
      <c r="I796" s="92" t="str">
        <f>IF($AG796="","",P_RJ+INDEX($AK$8:$AK$21,INDEX($AC$8:$AC$1407,$AG796)+1))</f>
        <v/>
      </c>
      <c r="J796" s="92" t="str">
        <f>IF($AG796="","",INDEX(V_WBS,INDEX($AB$8:$AB$1407,$AG796)))</f>
        <v/>
      </c>
      <c r="K796" s="92" t="str">
        <f>IF($AG796="","",INDEX(V_Projdef,INDEX($AB$8:$AB$1407,$AG796)))</f>
        <v/>
      </c>
      <c r="L796" s="92" t="str">
        <f>IF($AG796="","",INDEX(V_Naam,INDEX($AB$8:$AB$1407,$AG796)))</f>
        <v/>
      </c>
      <c r="M796" s="92" t="str">
        <f>IF($AG796="","",INDEX(V_Type,INDEX($AB$8:$AB$1407,$AG796)))</f>
        <v/>
      </c>
      <c r="N796" s="92" t="str">
        <f>IF($AG796="","",INDEX(V_IFRS,INDEX($AB$8:$AB$1407,$AG796)))</f>
        <v/>
      </c>
      <c r="O796" s="92" t="str">
        <f>IF($AG796="","",INDEX($AL$8:$AL$21,INDEX($AC$8:$AC$1407,$AG796)+1))</f>
        <v/>
      </c>
      <c r="P796" s="109" t="str">
        <f>IF($AG796="","",INDEX($AD$8:$AD$1407,$AG796))</f>
        <v/>
      </c>
      <c r="Q796" s="92" t="str">
        <f>IF($AG796="","",INDEX($AM$8:$AM$21,INDEX($AC$8:$AC$1407,$AG796)+1))</f>
        <v/>
      </c>
      <c r="R796" s="92" t="str">
        <f>IF($AG796="","",IF($G796&gt;0,P_ToelCorrectie&amp;"",""))</f>
        <v/>
      </c>
      <c r="S796" s="15" t="str">
        <f>IF(J796="","",J796&amp;"|"&amp;E796&amp;"|"&amp;F796&amp;"|"&amp;I796&amp;"|"&amp;O796)</f>
        <v/>
      </c>
      <c r="T796" s="111" t="str">
        <f>IF(S796="","",IF(COUNTIFS(L_Sleutel,S796,L_Actief,1)=0,"",SUMIFS(L_Waarde,L_Sleutel,S796,L_Actief,1)))</f>
        <v/>
      </c>
      <c r="U796" s="111">
        <f>IF(OR(S796="",T796=""),0,P796-T796)</f>
        <v>0</v>
      </c>
      <c r="AB796" s="112" t="n">
        <v>57</v>
      </c>
      <c r="AC796" s="112" t="n">
        <v>4</v>
      </c>
      <c r="AD796" s="112" t="str">
        <f>VERW_Project!R62</f>
        <v/>
      </c>
      <c r="AE796" s="112">
        <f>IF(AND(VERW_Project!$A62&lt;&gt;"",ISNUMBER(AD796)),1,0)</f>
        <v>0</v>
      </c>
      <c r="AF796" s="112" t="str">
        <f>IF(AE796=1,SUM($AE$8:AE796),"")</f>
        <v/>
      </c>
      <c r="AG796" t="str">
        <f>IFERROR(MATCH(789,$AF$8:$AF$1407,0),"")</f>
        <v/>
      </c>
    </row>
    <row r="797">
      <c r="A797" s="92" t="str">
        <f>IF($AG797="","",P_ImportID)</f>
        <v/>
      </c>
      <c r="B797" s="92" t="str">
        <f>IF($AG797="","",IF(INDEX($AN$8:$AN$21,INDEX($AC$8:$AC$1407,$AG797)+1)="Z",P_BronZ,P_BronE))</f>
        <v/>
      </c>
      <c r="C797" s="108" t="str">
        <f>IF($AG797="","",P_Importdatum)</f>
        <v/>
      </c>
      <c r="D797" s="92" t="str">
        <f>IF($AG797="","",P_StatusVastleg)</f>
        <v/>
      </c>
      <c r="E797" s="92" t="str">
        <f>IF($AG797="","",P_UploadVJ)</f>
        <v/>
      </c>
      <c r="F797" s="92" t="str">
        <f>IF($AG797="","",P_UploadVersie)</f>
        <v/>
      </c>
      <c r="G797" s="92" t="str">
        <f>IF($AG797="","",IF(COUNTIFS(L_Sleutel,$S797,L_Status,"Vastgesteld")=0,0,_xlfn.MAXIFS(L_Revisie,L_Sleutel,$S797,L_Status,"Vastgesteld")+1))</f>
        <v/>
      </c>
      <c r="H797" s="108" t="str">
        <f>IF($AG797="","",P_Peildatum)</f>
        <v/>
      </c>
      <c r="I797" s="92" t="str">
        <f>IF($AG797="","",P_RJ+INDEX($AK$8:$AK$21,INDEX($AC$8:$AC$1407,$AG797)+1))</f>
        <v/>
      </c>
      <c r="J797" s="92" t="str">
        <f>IF($AG797="","",INDEX(V_WBS,INDEX($AB$8:$AB$1407,$AG797)))</f>
        <v/>
      </c>
      <c r="K797" s="92" t="str">
        <f>IF($AG797="","",INDEX(V_Projdef,INDEX($AB$8:$AB$1407,$AG797)))</f>
        <v/>
      </c>
      <c r="L797" s="92" t="str">
        <f>IF($AG797="","",INDEX(V_Naam,INDEX($AB$8:$AB$1407,$AG797)))</f>
        <v/>
      </c>
      <c r="M797" s="92" t="str">
        <f>IF($AG797="","",INDEX(V_Type,INDEX($AB$8:$AB$1407,$AG797)))</f>
        <v/>
      </c>
      <c r="N797" s="92" t="str">
        <f>IF($AG797="","",INDEX(V_IFRS,INDEX($AB$8:$AB$1407,$AG797)))</f>
        <v/>
      </c>
      <c r="O797" s="92" t="str">
        <f>IF($AG797="","",INDEX($AL$8:$AL$21,INDEX($AC$8:$AC$1407,$AG797)+1))</f>
        <v/>
      </c>
      <c r="P797" s="109" t="str">
        <f>IF($AG797="","",INDEX($AD$8:$AD$1407,$AG797))</f>
        <v/>
      </c>
      <c r="Q797" s="92" t="str">
        <f>IF($AG797="","",INDEX($AM$8:$AM$21,INDEX($AC$8:$AC$1407,$AG797)+1))</f>
        <v/>
      </c>
      <c r="R797" s="92" t="str">
        <f>IF($AG797="","",IF($G797&gt;0,P_ToelCorrectie&amp;"",""))</f>
        <v/>
      </c>
      <c r="S797" s="15" t="str">
        <f>IF(J797="","",J797&amp;"|"&amp;E797&amp;"|"&amp;F797&amp;"|"&amp;I797&amp;"|"&amp;O797)</f>
        <v/>
      </c>
      <c r="T797" s="111" t="str">
        <f>IF(S797="","",IF(COUNTIFS(L_Sleutel,S797,L_Actief,1)=0,"",SUMIFS(L_Waarde,L_Sleutel,S797,L_Actief,1)))</f>
        <v/>
      </c>
      <c r="U797" s="111">
        <f>IF(OR(S797="",T797=""),0,P797-T797)</f>
        <v>0</v>
      </c>
      <c r="AB797" s="112" t="n">
        <v>57</v>
      </c>
      <c r="AC797" s="112" t="n">
        <v>5</v>
      </c>
      <c r="AD797" s="112" t="str">
        <f>VERW_Project!S62</f>
        <v/>
      </c>
      <c r="AE797" s="112">
        <f>IF(AND(VERW_Project!$A62&lt;&gt;"",ISNUMBER(AD797)),1,0)</f>
        <v>0</v>
      </c>
      <c r="AF797" s="112" t="str">
        <f>IF(AE797=1,SUM($AE$8:AE797),"")</f>
        <v/>
      </c>
      <c r="AG797" t="str">
        <f>IFERROR(MATCH(790,$AF$8:$AF$1407,0),"")</f>
        <v/>
      </c>
    </row>
    <row r="798">
      <c r="A798" s="92" t="str">
        <f>IF($AG798="","",P_ImportID)</f>
        <v/>
      </c>
      <c r="B798" s="92" t="str">
        <f>IF($AG798="","",IF(INDEX($AN$8:$AN$21,INDEX($AC$8:$AC$1407,$AG798)+1)="Z",P_BronZ,P_BronE))</f>
        <v/>
      </c>
      <c r="C798" s="108" t="str">
        <f>IF($AG798="","",P_Importdatum)</f>
        <v/>
      </c>
      <c r="D798" s="92" t="str">
        <f>IF($AG798="","",P_StatusVastleg)</f>
        <v/>
      </c>
      <c r="E798" s="92" t="str">
        <f>IF($AG798="","",P_UploadVJ)</f>
        <v/>
      </c>
      <c r="F798" s="92" t="str">
        <f>IF($AG798="","",P_UploadVersie)</f>
        <v/>
      </c>
      <c r="G798" s="92" t="str">
        <f>IF($AG798="","",IF(COUNTIFS(L_Sleutel,$S798,L_Status,"Vastgesteld")=0,0,_xlfn.MAXIFS(L_Revisie,L_Sleutel,$S798,L_Status,"Vastgesteld")+1))</f>
        <v/>
      </c>
      <c r="H798" s="108" t="str">
        <f>IF($AG798="","",P_Peildatum)</f>
        <v/>
      </c>
      <c r="I798" s="92" t="str">
        <f>IF($AG798="","",P_RJ+INDEX($AK$8:$AK$21,INDEX($AC$8:$AC$1407,$AG798)+1))</f>
        <v/>
      </c>
      <c r="J798" s="92" t="str">
        <f>IF($AG798="","",INDEX(V_WBS,INDEX($AB$8:$AB$1407,$AG798)))</f>
        <v/>
      </c>
      <c r="K798" s="92" t="str">
        <f>IF($AG798="","",INDEX(V_Projdef,INDEX($AB$8:$AB$1407,$AG798)))</f>
        <v/>
      </c>
      <c r="L798" s="92" t="str">
        <f>IF($AG798="","",INDEX(V_Naam,INDEX($AB$8:$AB$1407,$AG798)))</f>
        <v/>
      </c>
      <c r="M798" s="92" t="str">
        <f>IF($AG798="","",INDEX(V_Type,INDEX($AB$8:$AB$1407,$AG798)))</f>
        <v/>
      </c>
      <c r="N798" s="92" t="str">
        <f>IF($AG798="","",INDEX(V_IFRS,INDEX($AB$8:$AB$1407,$AG798)))</f>
        <v/>
      </c>
      <c r="O798" s="92" t="str">
        <f>IF($AG798="","",INDEX($AL$8:$AL$21,INDEX($AC$8:$AC$1407,$AG798)+1))</f>
        <v/>
      </c>
      <c r="P798" s="109" t="str">
        <f>IF($AG798="","",INDEX($AD$8:$AD$1407,$AG798))</f>
        <v/>
      </c>
      <c r="Q798" s="92" t="str">
        <f>IF($AG798="","",INDEX($AM$8:$AM$21,INDEX($AC$8:$AC$1407,$AG798)+1))</f>
        <v/>
      </c>
      <c r="R798" s="92" t="str">
        <f>IF($AG798="","",IF($G798&gt;0,P_ToelCorrectie&amp;"",""))</f>
        <v/>
      </c>
      <c r="S798" s="15" t="str">
        <f>IF(J798="","",J798&amp;"|"&amp;E798&amp;"|"&amp;F798&amp;"|"&amp;I798&amp;"|"&amp;O798)</f>
        <v/>
      </c>
      <c r="T798" s="111" t="str">
        <f>IF(S798="","",IF(COUNTIFS(L_Sleutel,S798,L_Actief,1)=0,"",SUMIFS(L_Waarde,L_Sleutel,S798,L_Actief,1)))</f>
        <v/>
      </c>
      <c r="U798" s="111">
        <f>IF(OR(S798="",T798=""),0,P798-T798)</f>
        <v>0</v>
      </c>
      <c r="AB798" s="112" t="n">
        <v>57</v>
      </c>
      <c r="AC798" s="112" t="n">
        <v>6</v>
      </c>
      <c r="AD798" s="112" t="str">
        <f>VERW_Project!BW62</f>
        <v/>
      </c>
      <c r="AE798" s="112">
        <f>IF(AND(VERW_Project!$A62&lt;&gt;"",ISNUMBER(AD798)),1,0)</f>
        <v>0</v>
      </c>
      <c r="AF798" s="112" t="str">
        <f>IF(AE798=1,SUM($AE$8:AE798),"")</f>
        <v/>
      </c>
      <c r="AG798" t="str">
        <f>IFERROR(MATCH(791,$AF$8:$AF$1407,0),"")</f>
        <v/>
      </c>
    </row>
    <row r="799">
      <c r="A799" s="92" t="str">
        <f>IF($AG799="","",P_ImportID)</f>
        <v/>
      </c>
      <c r="B799" s="92" t="str">
        <f>IF($AG799="","",IF(INDEX($AN$8:$AN$21,INDEX($AC$8:$AC$1407,$AG799)+1)="Z",P_BronZ,P_BronE))</f>
        <v/>
      </c>
      <c r="C799" s="108" t="str">
        <f>IF($AG799="","",P_Importdatum)</f>
        <v/>
      </c>
      <c r="D799" s="92" t="str">
        <f>IF($AG799="","",P_StatusVastleg)</f>
        <v/>
      </c>
      <c r="E799" s="92" t="str">
        <f>IF($AG799="","",P_UploadVJ)</f>
        <v/>
      </c>
      <c r="F799" s="92" t="str">
        <f>IF($AG799="","",P_UploadVersie)</f>
        <v/>
      </c>
      <c r="G799" s="92" t="str">
        <f>IF($AG799="","",IF(COUNTIFS(L_Sleutel,$S799,L_Status,"Vastgesteld")=0,0,_xlfn.MAXIFS(L_Revisie,L_Sleutel,$S799,L_Status,"Vastgesteld")+1))</f>
        <v/>
      </c>
      <c r="H799" s="108" t="str">
        <f>IF($AG799="","",P_Peildatum)</f>
        <v/>
      </c>
      <c r="I799" s="92" t="str">
        <f>IF($AG799="","",P_RJ+INDEX($AK$8:$AK$21,INDEX($AC$8:$AC$1407,$AG799)+1))</f>
        <v/>
      </c>
      <c r="J799" s="92" t="str">
        <f>IF($AG799="","",INDEX(V_WBS,INDEX($AB$8:$AB$1407,$AG799)))</f>
        <v/>
      </c>
      <c r="K799" s="92" t="str">
        <f>IF($AG799="","",INDEX(V_Projdef,INDEX($AB$8:$AB$1407,$AG799)))</f>
        <v/>
      </c>
      <c r="L799" s="92" t="str">
        <f>IF($AG799="","",INDEX(V_Naam,INDEX($AB$8:$AB$1407,$AG799)))</f>
        <v/>
      </c>
      <c r="M799" s="92" t="str">
        <f>IF($AG799="","",INDEX(V_Type,INDEX($AB$8:$AB$1407,$AG799)))</f>
        <v/>
      </c>
      <c r="N799" s="92" t="str">
        <f>IF($AG799="","",INDEX(V_IFRS,INDEX($AB$8:$AB$1407,$AG799)))</f>
        <v/>
      </c>
      <c r="O799" s="92" t="str">
        <f>IF($AG799="","",INDEX($AL$8:$AL$21,INDEX($AC$8:$AC$1407,$AG799)+1))</f>
        <v/>
      </c>
      <c r="P799" s="109" t="str">
        <f>IF($AG799="","",INDEX($AD$8:$AD$1407,$AG799))</f>
        <v/>
      </c>
      <c r="Q799" s="92" t="str">
        <f>IF($AG799="","",INDEX($AM$8:$AM$21,INDEX($AC$8:$AC$1407,$AG799)+1))</f>
        <v/>
      </c>
      <c r="R799" s="92" t="str">
        <f>IF($AG799="","",IF($G799&gt;0,P_ToelCorrectie&amp;"",""))</f>
        <v/>
      </c>
      <c r="S799" s="15" t="str">
        <f>IF(J799="","",J799&amp;"|"&amp;E799&amp;"|"&amp;F799&amp;"|"&amp;I799&amp;"|"&amp;O799)</f>
        <v/>
      </c>
      <c r="T799" s="111" t="str">
        <f>IF(S799="","",IF(COUNTIFS(L_Sleutel,S799,L_Actief,1)=0,"",SUMIFS(L_Waarde,L_Sleutel,S799,L_Actief,1)))</f>
        <v/>
      </c>
      <c r="U799" s="111">
        <f>IF(OR(S799="",T799=""),0,P799-T799)</f>
        <v>0</v>
      </c>
      <c r="AB799" s="112" t="n">
        <v>57</v>
      </c>
      <c r="AC799" s="112" t="n">
        <v>7</v>
      </c>
      <c r="AD799" s="112" t="str">
        <f>VERW_Project!AW62</f>
        <v/>
      </c>
      <c r="AE799" s="112">
        <f>IF(AND(VERW_Project!$A62&lt;&gt;"",ISNUMBER(AD799)),1,0)</f>
        <v>0</v>
      </c>
      <c r="AF799" s="112" t="str">
        <f>IF(AE799=1,SUM($AE$8:AE799),"")</f>
        <v/>
      </c>
      <c r="AG799" t="str">
        <f>IFERROR(MATCH(792,$AF$8:$AF$1407,0),"")</f>
        <v/>
      </c>
    </row>
    <row r="800">
      <c r="A800" s="92" t="str">
        <f>IF($AG800="","",P_ImportID)</f>
        <v/>
      </c>
      <c r="B800" s="92" t="str">
        <f>IF($AG800="","",IF(INDEX($AN$8:$AN$21,INDEX($AC$8:$AC$1407,$AG800)+1)="Z",P_BronZ,P_BronE))</f>
        <v/>
      </c>
      <c r="C800" s="108" t="str">
        <f>IF($AG800="","",P_Importdatum)</f>
        <v/>
      </c>
      <c r="D800" s="92" t="str">
        <f>IF($AG800="","",P_StatusVastleg)</f>
        <v/>
      </c>
      <c r="E800" s="92" t="str">
        <f>IF($AG800="","",P_UploadVJ)</f>
        <v/>
      </c>
      <c r="F800" s="92" t="str">
        <f>IF($AG800="","",P_UploadVersie)</f>
        <v/>
      </c>
      <c r="G800" s="92" t="str">
        <f>IF($AG800="","",IF(COUNTIFS(L_Sleutel,$S800,L_Status,"Vastgesteld")=0,0,_xlfn.MAXIFS(L_Revisie,L_Sleutel,$S800,L_Status,"Vastgesteld")+1))</f>
        <v/>
      </c>
      <c r="H800" s="108" t="str">
        <f>IF($AG800="","",P_Peildatum)</f>
        <v/>
      </c>
      <c r="I800" s="92" t="str">
        <f>IF($AG800="","",P_RJ+INDEX($AK$8:$AK$21,INDEX($AC$8:$AC$1407,$AG800)+1))</f>
        <v/>
      </c>
      <c r="J800" s="92" t="str">
        <f>IF($AG800="","",INDEX(V_WBS,INDEX($AB$8:$AB$1407,$AG800)))</f>
        <v/>
      </c>
      <c r="K800" s="92" t="str">
        <f>IF($AG800="","",INDEX(V_Projdef,INDEX($AB$8:$AB$1407,$AG800)))</f>
        <v/>
      </c>
      <c r="L800" s="92" t="str">
        <f>IF($AG800="","",INDEX(V_Naam,INDEX($AB$8:$AB$1407,$AG800)))</f>
        <v/>
      </c>
      <c r="M800" s="92" t="str">
        <f>IF($AG800="","",INDEX(V_Type,INDEX($AB$8:$AB$1407,$AG800)))</f>
        <v/>
      </c>
      <c r="N800" s="92" t="str">
        <f>IF($AG800="","",INDEX(V_IFRS,INDEX($AB$8:$AB$1407,$AG800)))</f>
        <v/>
      </c>
      <c r="O800" s="92" t="str">
        <f>IF($AG800="","",INDEX($AL$8:$AL$21,INDEX($AC$8:$AC$1407,$AG800)+1))</f>
        <v/>
      </c>
      <c r="P800" s="109" t="str">
        <f>IF($AG800="","",INDEX($AD$8:$AD$1407,$AG800))</f>
        <v/>
      </c>
      <c r="Q800" s="92" t="str">
        <f>IF($AG800="","",INDEX($AM$8:$AM$21,INDEX($AC$8:$AC$1407,$AG800)+1))</f>
        <v/>
      </c>
      <c r="R800" s="92" t="str">
        <f>IF($AG800="","",IF($G800&gt;0,P_ToelCorrectie&amp;"",""))</f>
        <v/>
      </c>
      <c r="S800" s="15" t="str">
        <f>IF(J800="","",J800&amp;"|"&amp;E800&amp;"|"&amp;F800&amp;"|"&amp;I800&amp;"|"&amp;O800)</f>
        <v/>
      </c>
      <c r="T800" s="111" t="str">
        <f>IF(S800="","",IF(COUNTIFS(L_Sleutel,S800,L_Actief,1)=0,"",SUMIFS(L_Waarde,L_Sleutel,S800,L_Actief,1)))</f>
        <v/>
      </c>
      <c r="U800" s="111">
        <f>IF(OR(S800="",T800=""),0,P800-T800)</f>
        <v>0</v>
      </c>
      <c r="AB800" s="112" t="n">
        <v>57</v>
      </c>
      <c r="AC800" s="112" t="n">
        <v>8</v>
      </c>
      <c r="AD800" s="112" t="str">
        <f>VERW_Project!BQ62</f>
        <v/>
      </c>
      <c r="AE800" s="112">
        <f>IF(AND(VERW_Project!$A62&lt;&gt;"",ISNUMBER(AD800)),1,0)</f>
        <v>0</v>
      </c>
      <c r="AF800" s="112" t="str">
        <f>IF(AE800=1,SUM($AE$8:AE800),"")</f>
        <v/>
      </c>
      <c r="AG800" t="str">
        <f>IFERROR(MATCH(793,$AF$8:$AF$1407,0),"")</f>
        <v/>
      </c>
    </row>
    <row r="801">
      <c r="A801" s="92" t="str">
        <f>IF($AG801="","",P_ImportID)</f>
        <v/>
      </c>
      <c r="B801" s="92" t="str">
        <f>IF($AG801="","",IF(INDEX($AN$8:$AN$21,INDEX($AC$8:$AC$1407,$AG801)+1)="Z",P_BronZ,P_BronE))</f>
        <v/>
      </c>
      <c r="C801" s="108" t="str">
        <f>IF($AG801="","",P_Importdatum)</f>
        <v/>
      </c>
      <c r="D801" s="92" t="str">
        <f>IF($AG801="","",P_StatusVastleg)</f>
        <v/>
      </c>
      <c r="E801" s="92" t="str">
        <f>IF($AG801="","",P_UploadVJ)</f>
        <v/>
      </c>
      <c r="F801" s="92" t="str">
        <f>IF($AG801="","",P_UploadVersie)</f>
        <v/>
      </c>
      <c r="G801" s="92" t="str">
        <f>IF($AG801="","",IF(COUNTIFS(L_Sleutel,$S801,L_Status,"Vastgesteld")=0,0,_xlfn.MAXIFS(L_Revisie,L_Sleutel,$S801,L_Status,"Vastgesteld")+1))</f>
        <v/>
      </c>
      <c r="H801" s="108" t="str">
        <f>IF($AG801="","",P_Peildatum)</f>
        <v/>
      </c>
      <c r="I801" s="92" t="str">
        <f>IF($AG801="","",P_RJ+INDEX($AK$8:$AK$21,INDEX($AC$8:$AC$1407,$AG801)+1))</f>
        <v/>
      </c>
      <c r="J801" s="92" t="str">
        <f>IF($AG801="","",INDEX(V_WBS,INDEX($AB$8:$AB$1407,$AG801)))</f>
        <v/>
      </c>
      <c r="K801" s="92" t="str">
        <f>IF($AG801="","",INDEX(V_Projdef,INDEX($AB$8:$AB$1407,$AG801)))</f>
        <v/>
      </c>
      <c r="L801" s="92" t="str">
        <f>IF($AG801="","",INDEX(V_Naam,INDEX($AB$8:$AB$1407,$AG801)))</f>
        <v/>
      </c>
      <c r="M801" s="92" t="str">
        <f>IF($AG801="","",INDEX(V_Type,INDEX($AB$8:$AB$1407,$AG801)))</f>
        <v/>
      </c>
      <c r="N801" s="92" t="str">
        <f>IF($AG801="","",INDEX(V_IFRS,INDEX($AB$8:$AB$1407,$AG801)))</f>
        <v/>
      </c>
      <c r="O801" s="92" t="str">
        <f>IF($AG801="","",INDEX($AL$8:$AL$21,INDEX($AC$8:$AC$1407,$AG801)+1))</f>
        <v/>
      </c>
      <c r="P801" s="109" t="str">
        <f>IF($AG801="","",INDEX($AD$8:$AD$1407,$AG801))</f>
        <v/>
      </c>
      <c r="Q801" s="92" t="str">
        <f>IF($AG801="","",INDEX($AM$8:$AM$21,INDEX($AC$8:$AC$1407,$AG801)+1))</f>
        <v/>
      </c>
      <c r="R801" s="92" t="str">
        <f>IF($AG801="","",IF($G801&gt;0,P_ToelCorrectie&amp;"",""))</f>
        <v/>
      </c>
      <c r="S801" s="15" t="str">
        <f>IF(J801="","",J801&amp;"|"&amp;E801&amp;"|"&amp;F801&amp;"|"&amp;I801&amp;"|"&amp;O801)</f>
        <v/>
      </c>
      <c r="T801" s="111" t="str">
        <f>IF(S801="","",IF(COUNTIFS(L_Sleutel,S801,L_Actief,1)=0,"",SUMIFS(L_Waarde,L_Sleutel,S801,L_Actief,1)))</f>
        <v/>
      </c>
      <c r="U801" s="111">
        <f>IF(OR(S801="",T801=""),0,P801-T801)</f>
        <v>0</v>
      </c>
      <c r="AB801" s="112" t="n">
        <v>57</v>
      </c>
      <c r="AC801" s="112" t="n">
        <v>9</v>
      </c>
      <c r="AD801" s="112" t="str">
        <f>VERW_Project!BR62</f>
        <v/>
      </c>
      <c r="AE801" s="112">
        <f>IF(AND(VERW_Project!$A62&lt;&gt;"",ISNUMBER(AD801)),1,0)</f>
        <v>0</v>
      </c>
      <c r="AF801" s="112" t="str">
        <f>IF(AE801=1,SUM($AE$8:AE801),"")</f>
        <v/>
      </c>
      <c r="AG801" t="str">
        <f>IFERROR(MATCH(794,$AF$8:$AF$1407,0),"")</f>
        <v/>
      </c>
    </row>
    <row r="802">
      <c r="A802" s="92" t="str">
        <f>IF($AG802="","",P_ImportID)</f>
        <v/>
      </c>
      <c r="B802" s="92" t="str">
        <f>IF($AG802="","",IF(INDEX($AN$8:$AN$21,INDEX($AC$8:$AC$1407,$AG802)+1)="Z",P_BronZ,P_BronE))</f>
        <v/>
      </c>
      <c r="C802" s="108" t="str">
        <f>IF($AG802="","",P_Importdatum)</f>
        <v/>
      </c>
      <c r="D802" s="92" t="str">
        <f>IF($AG802="","",P_StatusVastleg)</f>
        <v/>
      </c>
      <c r="E802" s="92" t="str">
        <f>IF($AG802="","",P_UploadVJ)</f>
        <v/>
      </c>
      <c r="F802" s="92" t="str">
        <f>IF($AG802="","",P_UploadVersie)</f>
        <v/>
      </c>
      <c r="G802" s="92" t="str">
        <f>IF($AG802="","",IF(COUNTIFS(L_Sleutel,$S802,L_Status,"Vastgesteld")=0,0,_xlfn.MAXIFS(L_Revisie,L_Sleutel,$S802,L_Status,"Vastgesteld")+1))</f>
        <v/>
      </c>
      <c r="H802" s="108" t="str">
        <f>IF($AG802="","",P_Peildatum)</f>
        <v/>
      </c>
      <c r="I802" s="92" t="str">
        <f>IF($AG802="","",P_RJ+INDEX($AK$8:$AK$21,INDEX($AC$8:$AC$1407,$AG802)+1))</f>
        <v/>
      </c>
      <c r="J802" s="92" t="str">
        <f>IF($AG802="","",INDEX(V_WBS,INDEX($AB$8:$AB$1407,$AG802)))</f>
        <v/>
      </c>
      <c r="K802" s="92" t="str">
        <f>IF($AG802="","",INDEX(V_Projdef,INDEX($AB$8:$AB$1407,$AG802)))</f>
        <v/>
      </c>
      <c r="L802" s="92" t="str">
        <f>IF($AG802="","",INDEX(V_Naam,INDEX($AB$8:$AB$1407,$AG802)))</f>
        <v/>
      </c>
      <c r="M802" s="92" t="str">
        <f>IF($AG802="","",INDEX(V_Type,INDEX($AB$8:$AB$1407,$AG802)))</f>
        <v/>
      </c>
      <c r="N802" s="92" t="str">
        <f>IF($AG802="","",INDEX(V_IFRS,INDEX($AB$8:$AB$1407,$AG802)))</f>
        <v/>
      </c>
      <c r="O802" s="92" t="str">
        <f>IF($AG802="","",INDEX($AL$8:$AL$21,INDEX($AC$8:$AC$1407,$AG802)+1))</f>
        <v/>
      </c>
      <c r="P802" s="109" t="str">
        <f>IF($AG802="","",INDEX($AD$8:$AD$1407,$AG802))</f>
        <v/>
      </c>
      <c r="Q802" s="92" t="str">
        <f>IF($AG802="","",INDEX($AM$8:$AM$21,INDEX($AC$8:$AC$1407,$AG802)+1))</f>
        <v/>
      </c>
      <c r="R802" s="92" t="str">
        <f>IF($AG802="","",IF($G802&gt;0,P_ToelCorrectie&amp;"",""))</f>
        <v/>
      </c>
      <c r="S802" s="15" t="str">
        <f>IF(J802="","",J802&amp;"|"&amp;E802&amp;"|"&amp;F802&amp;"|"&amp;I802&amp;"|"&amp;O802)</f>
        <v/>
      </c>
      <c r="T802" s="111" t="str">
        <f>IF(S802="","",IF(COUNTIFS(L_Sleutel,S802,L_Actief,1)=0,"",SUMIFS(L_Waarde,L_Sleutel,S802,L_Actief,1)))</f>
        <v/>
      </c>
      <c r="U802" s="111">
        <f>IF(OR(S802="",T802=""),0,P802-T802)</f>
        <v>0</v>
      </c>
      <c r="AB802" s="112" t="n">
        <v>57</v>
      </c>
      <c r="AC802" s="112" t="n">
        <v>10</v>
      </c>
      <c r="AD802" s="112" t="str">
        <f>VERW_Project!BS62</f>
        <v/>
      </c>
      <c r="AE802" s="112">
        <f>IF(AND(VERW_Project!$A62&lt;&gt;"",ISNUMBER(AD802)),1,0)</f>
        <v>0</v>
      </c>
      <c r="AF802" s="112" t="str">
        <f>IF(AE802=1,SUM($AE$8:AE802),"")</f>
        <v/>
      </c>
      <c r="AG802" t="str">
        <f>IFERROR(MATCH(795,$AF$8:$AF$1407,0),"")</f>
        <v/>
      </c>
    </row>
    <row r="803">
      <c r="A803" s="92" t="str">
        <f>IF($AG803="","",P_ImportID)</f>
        <v/>
      </c>
      <c r="B803" s="92" t="str">
        <f>IF($AG803="","",IF(INDEX($AN$8:$AN$21,INDEX($AC$8:$AC$1407,$AG803)+1)="Z",P_BronZ,P_BronE))</f>
        <v/>
      </c>
      <c r="C803" s="108" t="str">
        <f>IF($AG803="","",P_Importdatum)</f>
        <v/>
      </c>
      <c r="D803" s="92" t="str">
        <f>IF($AG803="","",P_StatusVastleg)</f>
        <v/>
      </c>
      <c r="E803" s="92" t="str">
        <f>IF($AG803="","",P_UploadVJ)</f>
        <v/>
      </c>
      <c r="F803" s="92" t="str">
        <f>IF($AG803="","",P_UploadVersie)</f>
        <v/>
      </c>
      <c r="G803" s="92" t="str">
        <f>IF($AG803="","",IF(COUNTIFS(L_Sleutel,$S803,L_Status,"Vastgesteld")=0,0,_xlfn.MAXIFS(L_Revisie,L_Sleutel,$S803,L_Status,"Vastgesteld")+1))</f>
        <v/>
      </c>
      <c r="H803" s="108" t="str">
        <f>IF($AG803="","",P_Peildatum)</f>
        <v/>
      </c>
      <c r="I803" s="92" t="str">
        <f>IF($AG803="","",P_RJ+INDEX($AK$8:$AK$21,INDEX($AC$8:$AC$1407,$AG803)+1))</f>
        <v/>
      </c>
      <c r="J803" s="92" t="str">
        <f>IF($AG803="","",INDEX(V_WBS,INDEX($AB$8:$AB$1407,$AG803)))</f>
        <v/>
      </c>
      <c r="K803" s="92" t="str">
        <f>IF($AG803="","",INDEX(V_Projdef,INDEX($AB$8:$AB$1407,$AG803)))</f>
        <v/>
      </c>
      <c r="L803" s="92" t="str">
        <f>IF($AG803="","",INDEX(V_Naam,INDEX($AB$8:$AB$1407,$AG803)))</f>
        <v/>
      </c>
      <c r="M803" s="92" t="str">
        <f>IF($AG803="","",INDEX(V_Type,INDEX($AB$8:$AB$1407,$AG803)))</f>
        <v/>
      </c>
      <c r="N803" s="92" t="str">
        <f>IF($AG803="","",INDEX(V_IFRS,INDEX($AB$8:$AB$1407,$AG803)))</f>
        <v/>
      </c>
      <c r="O803" s="92" t="str">
        <f>IF($AG803="","",INDEX($AL$8:$AL$21,INDEX($AC$8:$AC$1407,$AG803)+1))</f>
        <v/>
      </c>
      <c r="P803" s="109" t="str">
        <f>IF($AG803="","",INDEX($AD$8:$AD$1407,$AG803))</f>
        <v/>
      </c>
      <c r="Q803" s="92" t="str">
        <f>IF($AG803="","",INDEX($AM$8:$AM$21,INDEX($AC$8:$AC$1407,$AG803)+1))</f>
        <v/>
      </c>
      <c r="R803" s="92" t="str">
        <f>IF($AG803="","",IF($G803&gt;0,P_ToelCorrectie&amp;"",""))</f>
        <v/>
      </c>
      <c r="S803" s="15" t="str">
        <f>IF(J803="","",J803&amp;"|"&amp;E803&amp;"|"&amp;F803&amp;"|"&amp;I803&amp;"|"&amp;O803)</f>
        <v/>
      </c>
      <c r="T803" s="111" t="str">
        <f>IF(S803="","",IF(COUNTIFS(L_Sleutel,S803,L_Actief,1)=0,"",SUMIFS(L_Waarde,L_Sleutel,S803,L_Actief,1)))</f>
        <v/>
      </c>
      <c r="U803" s="111">
        <f>IF(OR(S803="",T803=""),0,P803-T803)</f>
        <v>0</v>
      </c>
      <c r="AB803" s="112" t="n">
        <v>57</v>
      </c>
      <c r="AC803" s="112" t="n">
        <v>11</v>
      </c>
      <c r="AD803" s="112" t="str">
        <f>VERW_Project!BT62</f>
        <v/>
      </c>
      <c r="AE803" s="112">
        <f>IF(AND(VERW_Project!$A62&lt;&gt;"",ISNUMBER(AD803)),1,0)</f>
        <v>0</v>
      </c>
      <c r="AF803" s="112" t="str">
        <f>IF(AE803=1,SUM($AE$8:AE803),"")</f>
        <v/>
      </c>
      <c r="AG803" t="str">
        <f>IFERROR(MATCH(796,$AF$8:$AF$1407,0),"")</f>
        <v/>
      </c>
    </row>
    <row r="804">
      <c r="A804" s="92" t="str">
        <f>IF($AG804="","",P_ImportID)</f>
        <v/>
      </c>
      <c r="B804" s="92" t="str">
        <f>IF($AG804="","",IF(INDEX($AN$8:$AN$21,INDEX($AC$8:$AC$1407,$AG804)+1)="Z",P_BronZ,P_BronE))</f>
        <v/>
      </c>
      <c r="C804" s="108" t="str">
        <f>IF($AG804="","",P_Importdatum)</f>
        <v/>
      </c>
      <c r="D804" s="92" t="str">
        <f>IF($AG804="","",P_StatusVastleg)</f>
        <v/>
      </c>
      <c r="E804" s="92" t="str">
        <f>IF($AG804="","",P_UploadVJ)</f>
        <v/>
      </c>
      <c r="F804" s="92" t="str">
        <f>IF($AG804="","",P_UploadVersie)</f>
        <v/>
      </c>
      <c r="G804" s="92" t="str">
        <f>IF($AG804="","",IF(COUNTIFS(L_Sleutel,$S804,L_Status,"Vastgesteld")=0,0,_xlfn.MAXIFS(L_Revisie,L_Sleutel,$S804,L_Status,"Vastgesteld")+1))</f>
        <v/>
      </c>
      <c r="H804" s="108" t="str">
        <f>IF($AG804="","",P_Peildatum)</f>
        <v/>
      </c>
      <c r="I804" s="92" t="str">
        <f>IF($AG804="","",P_RJ+INDEX($AK$8:$AK$21,INDEX($AC$8:$AC$1407,$AG804)+1))</f>
        <v/>
      </c>
      <c r="J804" s="92" t="str">
        <f>IF($AG804="","",INDEX(V_WBS,INDEX($AB$8:$AB$1407,$AG804)))</f>
        <v/>
      </c>
      <c r="K804" s="92" t="str">
        <f>IF($AG804="","",INDEX(V_Projdef,INDEX($AB$8:$AB$1407,$AG804)))</f>
        <v/>
      </c>
      <c r="L804" s="92" t="str">
        <f>IF($AG804="","",INDEX(V_Naam,INDEX($AB$8:$AB$1407,$AG804)))</f>
        <v/>
      </c>
      <c r="M804" s="92" t="str">
        <f>IF($AG804="","",INDEX(V_Type,INDEX($AB$8:$AB$1407,$AG804)))</f>
        <v/>
      </c>
      <c r="N804" s="92" t="str">
        <f>IF($AG804="","",INDEX(V_IFRS,INDEX($AB$8:$AB$1407,$AG804)))</f>
        <v/>
      </c>
      <c r="O804" s="92" t="str">
        <f>IF($AG804="","",INDEX($AL$8:$AL$21,INDEX($AC$8:$AC$1407,$AG804)+1))</f>
        <v/>
      </c>
      <c r="P804" s="109" t="str">
        <f>IF($AG804="","",INDEX($AD$8:$AD$1407,$AG804))</f>
        <v/>
      </c>
      <c r="Q804" s="92" t="str">
        <f>IF($AG804="","",INDEX($AM$8:$AM$21,INDEX($AC$8:$AC$1407,$AG804)+1))</f>
        <v/>
      </c>
      <c r="R804" s="92" t="str">
        <f>IF($AG804="","",IF($G804&gt;0,P_ToelCorrectie&amp;"",""))</f>
        <v/>
      </c>
      <c r="S804" s="15" t="str">
        <f>IF(J804="","",J804&amp;"|"&amp;E804&amp;"|"&amp;F804&amp;"|"&amp;I804&amp;"|"&amp;O804)</f>
        <v/>
      </c>
      <c r="T804" s="111" t="str">
        <f>IF(S804="","",IF(COUNTIFS(L_Sleutel,S804,L_Actief,1)=0,"",SUMIFS(L_Waarde,L_Sleutel,S804,L_Actief,1)))</f>
        <v/>
      </c>
      <c r="U804" s="111">
        <f>IF(OR(S804="",T804=""),0,P804-T804)</f>
        <v>0</v>
      </c>
      <c r="AB804" s="112" t="n">
        <v>57</v>
      </c>
      <c r="AC804" s="112" t="n">
        <v>12</v>
      </c>
      <c r="AD804" s="112" t="str">
        <f>VERW_Project!BU62</f>
        <v/>
      </c>
      <c r="AE804" s="112">
        <f>IF(AND(VERW_Project!$A62&lt;&gt;"",ISNUMBER(AD804)),1,0)</f>
        <v>0</v>
      </c>
      <c r="AF804" s="112" t="str">
        <f>IF(AE804=1,SUM($AE$8:AE804),"")</f>
        <v/>
      </c>
      <c r="AG804" t="str">
        <f>IFERROR(MATCH(797,$AF$8:$AF$1407,0),"")</f>
        <v/>
      </c>
    </row>
    <row r="805">
      <c r="A805" s="92" t="str">
        <f>IF($AG805="","",P_ImportID)</f>
        <v/>
      </c>
      <c r="B805" s="92" t="str">
        <f>IF($AG805="","",IF(INDEX($AN$8:$AN$21,INDEX($AC$8:$AC$1407,$AG805)+1)="Z",P_BronZ,P_BronE))</f>
        <v/>
      </c>
      <c r="C805" s="108" t="str">
        <f>IF($AG805="","",P_Importdatum)</f>
        <v/>
      </c>
      <c r="D805" s="92" t="str">
        <f>IF($AG805="","",P_StatusVastleg)</f>
        <v/>
      </c>
      <c r="E805" s="92" t="str">
        <f>IF($AG805="","",P_UploadVJ)</f>
        <v/>
      </c>
      <c r="F805" s="92" t="str">
        <f>IF($AG805="","",P_UploadVersie)</f>
        <v/>
      </c>
      <c r="G805" s="92" t="str">
        <f>IF($AG805="","",IF(COUNTIFS(L_Sleutel,$S805,L_Status,"Vastgesteld")=0,0,_xlfn.MAXIFS(L_Revisie,L_Sleutel,$S805,L_Status,"Vastgesteld")+1))</f>
        <v/>
      </c>
      <c r="H805" s="108" t="str">
        <f>IF($AG805="","",P_Peildatum)</f>
        <v/>
      </c>
      <c r="I805" s="92" t="str">
        <f>IF($AG805="","",P_RJ+INDEX($AK$8:$AK$21,INDEX($AC$8:$AC$1407,$AG805)+1))</f>
        <v/>
      </c>
      <c r="J805" s="92" t="str">
        <f>IF($AG805="","",INDEX(V_WBS,INDEX($AB$8:$AB$1407,$AG805)))</f>
        <v/>
      </c>
      <c r="K805" s="92" t="str">
        <f>IF($AG805="","",INDEX(V_Projdef,INDEX($AB$8:$AB$1407,$AG805)))</f>
        <v/>
      </c>
      <c r="L805" s="92" t="str">
        <f>IF($AG805="","",INDEX(V_Naam,INDEX($AB$8:$AB$1407,$AG805)))</f>
        <v/>
      </c>
      <c r="M805" s="92" t="str">
        <f>IF($AG805="","",INDEX(V_Type,INDEX($AB$8:$AB$1407,$AG805)))</f>
        <v/>
      </c>
      <c r="N805" s="92" t="str">
        <f>IF($AG805="","",INDEX(V_IFRS,INDEX($AB$8:$AB$1407,$AG805)))</f>
        <v/>
      </c>
      <c r="O805" s="92" t="str">
        <f>IF($AG805="","",INDEX($AL$8:$AL$21,INDEX($AC$8:$AC$1407,$AG805)+1))</f>
        <v/>
      </c>
      <c r="P805" s="109" t="str">
        <f>IF($AG805="","",INDEX($AD$8:$AD$1407,$AG805))</f>
        <v/>
      </c>
      <c r="Q805" s="92" t="str">
        <f>IF($AG805="","",INDEX($AM$8:$AM$21,INDEX($AC$8:$AC$1407,$AG805)+1))</f>
        <v/>
      </c>
      <c r="R805" s="92" t="str">
        <f>IF($AG805="","",IF($G805&gt;0,P_ToelCorrectie&amp;"",""))</f>
        <v/>
      </c>
      <c r="S805" s="15" t="str">
        <f>IF(J805="","",J805&amp;"|"&amp;E805&amp;"|"&amp;F805&amp;"|"&amp;I805&amp;"|"&amp;O805)</f>
        <v/>
      </c>
      <c r="T805" s="111" t="str">
        <f>IF(S805="","",IF(COUNTIFS(L_Sleutel,S805,L_Actief,1)=0,"",SUMIFS(L_Waarde,L_Sleutel,S805,L_Actief,1)))</f>
        <v/>
      </c>
      <c r="U805" s="111">
        <f>IF(OR(S805="",T805=""),0,P805-T805)</f>
        <v>0</v>
      </c>
      <c r="AB805" s="112" t="n">
        <v>57</v>
      </c>
      <c r="AC805" s="112" t="n">
        <v>13</v>
      </c>
      <c r="AD805" s="112" t="str">
        <f>VERW_Project!BX62</f>
        <v/>
      </c>
      <c r="AE805" s="112">
        <f>IF(AND(VERW_Project!$A62&lt;&gt;"",ISNUMBER(AD805)),1,0)</f>
        <v>0</v>
      </c>
      <c r="AF805" s="112" t="str">
        <f>IF(AE805=1,SUM($AE$8:AE805),"")</f>
        <v/>
      </c>
      <c r="AG805" t="str">
        <f>IFERROR(MATCH(798,$AF$8:$AF$1407,0),"")</f>
        <v/>
      </c>
    </row>
    <row r="806">
      <c r="A806" s="92" t="str">
        <f>IF($AG806="","",P_ImportID)</f>
        <v/>
      </c>
      <c r="B806" s="92" t="str">
        <f>IF($AG806="","",IF(INDEX($AN$8:$AN$21,INDEX($AC$8:$AC$1407,$AG806)+1)="Z",P_BronZ,P_BronE))</f>
        <v/>
      </c>
      <c r="C806" s="108" t="str">
        <f>IF($AG806="","",P_Importdatum)</f>
        <v/>
      </c>
      <c r="D806" s="92" t="str">
        <f>IF($AG806="","",P_StatusVastleg)</f>
        <v/>
      </c>
      <c r="E806" s="92" t="str">
        <f>IF($AG806="","",P_UploadVJ)</f>
        <v/>
      </c>
      <c r="F806" s="92" t="str">
        <f>IF($AG806="","",P_UploadVersie)</f>
        <v/>
      </c>
      <c r="G806" s="92" t="str">
        <f>IF($AG806="","",IF(COUNTIFS(L_Sleutel,$S806,L_Status,"Vastgesteld")=0,0,_xlfn.MAXIFS(L_Revisie,L_Sleutel,$S806,L_Status,"Vastgesteld")+1))</f>
        <v/>
      </c>
      <c r="H806" s="108" t="str">
        <f>IF($AG806="","",P_Peildatum)</f>
        <v/>
      </c>
      <c r="I806" s="92" t="str">
        <f>IF($AG806="","",P_RJ+INDEX($AK$8:$AK$21,INDEX($AC$8:$AC$1407,$AG806)+1))</f>
        <v/>
      </c>
      <c r="J806" s="92" t="str">
        <f>IF($AG806="","",INDEX(V_WBS,INDEX($AB$8:$AB$1407,$AG806)))</f>
        <v/>
      </c>
      <c r="K806" s="92" t="str">
        <f>IF($AG806="","",INDEX(V_Projdef,INDEX($AB$8:$AB$1407,$AG806)))</f>
        <v/>
      </c>
      <c r="L806" s="92" t="str">
        <f>IF($AG806="","",INDEX(V_Naam,INDEX($AB$8:$AB$1407,$AG806)))</f>
        <v/>
      </c>
      <c r="M806" s="92" t="str">
        <f>IF($AG806="","",INDEX(V_Type,INDEX($AB$8:$AB$1407,$AG806)))</f>
        <v/>
      </c>
      <c r="N806" s="92" t="str">
        <f>IF($AG806="","",INDEX(V_IFRS,INDEX($AB$8:$AB$1407,$AG806)))</f>
        <v/>
      </c>
      <c r="O806" s="92" t="str">
        <f>IF($AG806="","",INDEX($AL$8:$AL$21,INDEX($AC$8:$AC$1407,$AG806)+1))</f>
        <v/>
      </c>
      <c r="P806" s="109" t="str">
        <f>IF($AG806="","",INDEX($AD$8:$AD$1407,$AG806))</f>
        <v/>
      </c>
      <c r="Q806" s="92" t="str">
        <f>IF($AG806="","",INDEX($AM$8:$AM$21,INDEX($AC$8:$AC$1407,$AG806)+1))</f>
        <v/>
      </c>
      <c r="R806" s="92" t="str">
        <f>IF($AG806="","",IF($G806&gt;0,P_ToelCorrectie&amp;"",""))</f>
        <v/>
      </c>
      <c r="S806" s="15" t="str">
        <f>IF(J806="","",J806&amp;"|"&amp;E806&amp;"|"&amp;F806&amp;"|"&amp;I806&amp;"|"&amp;O806)</f>
        <v/>
      </c>
      <c r="T806" s="111" t="str">
        <f>IF(S806="","",IF(COUNTIFS(L_Sleutel,S806,L_Actief,1)=0,"",SUMIFS(L_Waarde,L_Sleutel,S806,L_Actief,1)))</f>
        <v/>
      </c>
      <c r="U806" s="111">
        <f>IF(OR(S806="",T806=""),0,P806-T806)</f>
        <v>0</v>
      </c>
      <c r="AB806" s="112" t="n">
        <v>58</v>
      </c>
      <c r="AC806" s="112" t="n">
        <v>0</v>
      </c>
      <c r="AD806" s="112" t="str">
        <f>VERW_Project!P63</f>
        <v/>
      </c>
      <c r="AE806" s="112">
        <f>IF(AND(VERW_Project!$A63&lt;&gt;"",ISNUMBER(AD806)),1,0)</f>
        <v>0</v>
      </c>
      <c r="AF806" s="112" t="str">
        <f>IF(AE806=1,SUM($AE$8:AE806),"")</f>
        <v/>
      </c>
      <c r="AG806" t="str">
        <f>IFERROR(MATCH(799,$AF$8:$AF$1407,0),"")</f>
        <v/>
      </c>
    </row>
    <row r="807">
      <c r="A807" s="92" t="str">
        <f>IF($AG807="","",P_ImportID)</f>
        <v/>
      </c>
      <c r="B807" s="92" t="str">
        <f>IF($AG807="","",IF(INDEX($AN$8:$AN$21,INDEX($AC$8:$AC$1407,$AG807)+1)="Z",P_BronZ,P_BronE))</f>
        <v/>
      </c>
      <c r="C807" s="108" t="str">
        <f>IF($AG807="","",P_Importdatum)</f>
        <v/>
      </c>
      <c r="D807" s="92" t="str">
        <f>IF($AG807="","",P_StatusVastleg)</f>
        <v/>
      </c>
      <c r="E807" s="92" t="str">
        <f>IF($AG807="","",P_UploadVJ)</f>
        <v/>
      </c>
      <c r="F807" s="92" t="str">
        <f>IF($AG807="","",P_UploadVersie)</f>
        <v/>
      </c>
      <c r="G807" s="92" t="str">
        <f>IF($AG807="","",IF(COUNTIFS(L_Sleutel,$S807,L_Status,"Vastgesteld")=0,0,_xlfn.MAXIFS(L_Revisie,L_Sleutel,$S807,L_Status,"Vastgesteld")+1))</f>
        <v/>
      </c>
      <c r="H807" s="108" t="str">
        <f>IF($AG807="","",P_Peildatum)</f>
        <v/>
      </c>
      <c r="I807" s="92" t="str">
        <f>IF($AG807="","",P_RJ+INDEX($AK$8:$AK$21,INDEX($AC$8:$AC$1407,$AG807)+1))</f>
        <v/>
      </c>
      <c r="J807" s="92" t="str">
        <f>IF($AG807="","",INDEX(V_WBS,INDEX($AB$8:$AB$1407,$AG807)))</f>
        <v/>
      </c>
      <c r="K807" s="92" t="str">
        <f>IF($AG807="","",INDEX(V_Projdef,INDEX($AB$8:$AB$1407,$AG807)))</f>
        <v/>
      </c>
      <c r="L807" s="92" t="str">
        <f>IF($AG807="","",INDEX(V_Naam,INDEX($AB$8:$AB$1407,$AG807)))</f>
        <v/>
      </c>
      <c r="M807" s="92" t="str">
        <f>IF($AG807="","",INDEX(V_Type,INDEX($AB$8:$AB$1407,$AG807)))</f>
        <v/>
      </c>
      <c r="N807" s="92" t="str">
        <f>IF($AG807="","",INDEX(V_IFRS,INDEX($AB$8:$AB$1407,$AG807)))</f>
        <v/>
      </c>
      <c r="O807" s="92" t="str">
        <f>IF($AG807="","",INDEX($AL$8:$AL$21,INDEX($AC$8:$AC$1407,$AG807)+1))</f>
        <v/>
      </c>
      <c r="P807" s="109" t="str">
        <f>IF($AG807="","",INDEX($AD$8:$AD$1407,$AG807))</f>
        <v/>
      </c>
      <c r="Q807" s="92" t="str">
        <f>IF($AG807="","",INDEX($AM$8:$AM$21,INDEX($AC$8:$AC$1407,$AG807)+1))</f>
        <v/>
      </c>
      <c r="R807" s="92" t="str">
        <f>IF($AG807="","",IF($G807&gt;0,P_ToelCorrectie&amp;"",""))</f>
        <v/>
      </c>
      <c r="S807" s="15" t="str">
        <f>IF(J807="","",J807&amp;"|"&amp;E807&amp;"|"&amp;F807&amp;"|"&amp;I807&amp;"|"&amp;O807)</f>
        <v/>
      </c>
      <c r="T807" s="111" t="str">
        <f>IF(S807="","",IF(COUNTIFS(L_Sleutel,S807,L_Actief,1)=0,"",SUMIFS(L_Waarde,L_Sleutel,S807,L_Actief,1)))</f>
        <v/>
      </c>
      <c r="U807" s="111">
        <f>IF(OR(S807="",T807=""),0,P807-T807)</f>
        <v>0</v>
      </c>
      <c r="AB807" s="112" t="n">
        <v>58</v>
      </c>
      <c r="AC807" s="112" t="n">
        <v>1</v>
      </c>
      <c r="AD807" s="112" t="str">
        <f>VERW_Project!Q63</f>
        <v/>
      </c>
      <c r="AE807" s="112">
        <f>IF(AND(VERW_Project!$A63&lt;&gt;"",ISNUMBER(AD807)),1,0)</f>
        <v>0</v>
      </c>
      <c r="AF807" s="112" t="str">
        <f>IF(AE807=1,SUM($AE$8:AE807),"")</f>
        <v/>
      </c>
      <c r="AG807" t="str">
        <f>IFERROR(MATCH(800,$AF$8:$AF$1407,0),"")</f>
        <v/>
      </c>
    </row>
    <row r="808">
      <c r="A808" s="92" t="str">
        <f>IF($AG808="","",P_ImportID)</f>
        <v/>
      </c>
      <c r="B808" s="92" t="str">
        <f>IF($AG808="","",IF(INDEX($AN$8:$AN$21,INDEX($AC$8:$AC$1407,$AG808)+1)="Z",P_BronZ,P_BronE))</f>
        <v/>
      </c>
      <c r="C808" s="108" t="str">
        <f>IF($AG808="","",P_Importdatum)</f>
        <v/>
      </c>
      <c r="D808" s="92" t="str">
        <f>IF($AG808="","",P_StatusVastleg)</f>
        <v/>
      </c>
      <c r="E808" s="92" t="str">
        <f>IF($AG808="","",P_UploadVJ)</f>
        <v/>
      </c>
      <c r="F808" s="92" t="str">
        <f>IF($AG808="","",P_UploadVersie)</f>
        <v/>
      </c>
      <c r="G808" s="92" t="str">
        <f>IF($AG808="","",IF(COUNTIFS(L_Sleutel,$S808,L_Status,"Vastgesteld")=0,0,_xlfn.MAXIFS(L_Revisie,L_Sleutel,$S808,L_Status,"Vastgesteld")+1))</f>
        <v/>
      </c>
      <c r="H808" s="108" t="str">
        <f>IF($AG808="","",P_Peildatum)</f>
        <v/>
      </c>
      <c r="I808" s="92" t="str">
        <f>IF($AG808="","",P_RJ+INDEX($AK$8:$AK$21,INDEX($AC$8:$AC$1407,$AG808)+1))</f>
        <v/>
      </c>
      <c r="J808" s="92" t="str">
        <f>IF($AG808="","",INDEX(V_WBS,INDEX($AB$8:$AB$1407,$AG808)))</f>
        <v/>
      </c>
      <c r="K808" s="92" t="str">
        <f>IF($AG808="","",INDEX(V_Projdef,INDEX($AB$8:$AB$1407,$AG808)))</f>
        <v/>
      </c>
      <c r="L808" s="92" t="str">
        <f>IF($AG808="","",INDEX(V_Naam,INDEX($AB$8:$AB$1407,$AG808)))</f>
        <v/>
      </c>
      <c r="M808" s="92" t="str">
        <f>IF($AG808="","",INDEX(V_Type,INDEX($AB$8:$AB$1407,$AG808)))</f>
        <v/>
      </c>
      <c r="N808" s="92" t="str">
        <f>IF($AG808="","",INDEX(V_IFRS,INDEX($AB$8:$AB$1407,$AG808)))</f>
        <v/>
      </c>
      <c r="O808" s="92" t="str">
        <f>IF($AG808="","",INDEX($AL$8:$AL$21,INDEX($AC$8:$AC$1407,$AG808)+1))</f>
        <v/>
      </c>
      <c r="P808" s="109" t="str">
        <f>IF($AG808="","",INDEX($AD$8:$AD$1407,$AG808))</f>
        <v/>
      </c>
      <c r="Q808" s="92" t="str">
        <f>IF($AG808="","",INDEX($AM$8:$AM$21,INDEX($AC$8:$AC$1407,$AG808)+1))</f>
        <v/>
      </c>
      <c r="R808" s="92" t="str">
        <f>IF($AG808="","",IF($G808&gt;0,P_ToelCorrectie&amp;"",""))</f>
        <v/>
      </c>
      <c r="S808" s="15" t="str">
        <f>IF(J808="","",J808&amp;"|"&amp;E808&amp;"|"&amp;F808&amp;"|"&amp;I808&amp;"|"&amp;O808)</f>
        <v/>
      </c>
      <c r="T808" s="111" t="str">
        <f>IF(S808="","",IF(COUNTIFS(L_Sleutel,S808,L_Actief,1)=0,"",SUMIFS(L_Waarde,L_Sleutel,S808,L_Actief,1)))</f>
        <v/>
      </c>
      <c r="U808" s="111">
        <f>IF(OR(S808="",T808=""),0,P808-T808)</f>
        <v>0</v>
      </c>
      <c r="AB808" s="112" t="n">
        <v>58</v>
      </c>
      <c r="AC808" s="112" t="n">
        <v>2</v>
      </c>
      <c r="AD808" s="112" t="str">
        <f>VERW_Project!L63</f>
        <v/>
      </c>
      <c r="AE808" s="112">
        <f>IF(AND(VERW_Project!$A63&lt;&gt;"",ISNUMBER(AD808)),1,0)</f>
        <v>0</v>
      </c>
      <c r="AF808" s="112" t="str">
        <f>IF(AE808=1,SUM($AE$8:AE808),"")</f>
        <v/>
      </c>
      <c r="AG808" t="str">
        <f>IFERROR(MATCH(801,$AF$8:$AF$1407,0),"")</f>
        <v/>
      </c>
    </row>
    <row r="809">
      <c r="A809" s="92" t="str">
        <f>IF($AG809="","",P_ImportID)</f>
        <v/>
      </c>
      <c r="B809" s="92" t="str">
        <f>IF($AG809="","",IF(INDEX($AN$8:$AN$21,INDEX($AC$8:$AC$1407,$AG809)+1)="Z",P_BronZ,P_BronE))</f>
        <v/>
      </c>
      <c r="C809" s="108" t="str">
        <f>IF($AG809="","",P_Importdatum)</f>
        <v/>
      </c>
      <c r="D809" s="92" t="str">
        <f>IF($AG809="","",P_StatusVastleg)</f>
        <v/>
      </c>
      <c r="E809" s="92" t="str">
        <f>IF($AG809="","",P_UploadVJ)</f>
        <v/>
      </c>
      <c r="F809" s="92" t="str">
        <f>IF($AG809="","",P_UploadVersie)</f>
        <v/>
      </c>
      <c r="G809" s="92" t="str">
        <f>IF($AG809="","",IF(COUNTIFS(L_Sleutel,$S809,L_Status,"Vastgesteld")=0,0,_xlfn.MAXIFS(L_Revisie,L_Sleutel,$S809,L_Status,"Vastgesteld")+1))</f>
        <v/>
      </c>
      <c r="H809" s="108" t="str">
        <f>IF($AG809="","",P_Peildatum)</f>
        <v/>
      </c>
      <c r="I809" s="92" t="str">
        <f>IF($AG809="","",P_RJ+INDEX($AK$8:$AK$21,INDEX($AC$8:$AC$1407,$AG809)+1))</f>
        <v/>
      </c>
      <c r="J809" s="92" t="str">
        <f>IF($AG809="","",INDEX(V_WBS,INDEX($AB$8:$AB$1407,$AG809)))</f>
        <v/>
      </c>
      <c r="K809" s="92" t="str">
        <f>IF($AG809="","",INDEX(V_Projdef,INDEX($AB$8:$AB$1407,$AG809)))</f>
        <v/>
      </c>
      <c r="L809" s="92" t="str">
        <f>IF($AG809="","",INDEX(V_Naam,INDEX($AB$8:$AB$1407,$AG809)))</f>
        <v/>
      </c>
      <c r="M809" s="92" t="str">
        <f>IF($AG809="","",INDEX(V_Type,INDEX($AB$8:$AB$1407,$AG809)))</f>
        <v/>
      </c>
      <c r="N809" s="92" t="str">
        <f>IF($AG809="","",INDEX(V_IFRS,INDEX($AB$8:$AB$1407,$AG809)))</f>
        <v/>
      </c>
      <c r="O809" s="92" t="str">
        <f>IF($AG809="","",INDEX($AL$8:$AL$21,INDEX($AC$8:$AC$1407,$AG809)+1))</f>
        <v/>
      </c>
      <c r="P809" s="109" t="str">
        <f>IF($AG809="","",INDEX($AD$8:$AD$1407,$AG809))</f>
        <v/>
      </c>
      <c r="Q809" s="92" t="str">
        <f>IF($AG809="","",INDEX($AM$8:$AM$21,INDEX($AC$8:$AC$1407,$AG809)+1))</f>
        <v/>
      </c>
      <c r="R809" s="92" t="str">
        <f>IF($AG809="","",IF($G809&gt;0,P_ToelCorrectie&amp;"",""))</f>
        <v/>
      </c>
      <c r="S809" s="15" t="str">
        <f>IF(J809="","",J809&amp;"|"&amp;E809&amp;"|"&amp;F809&amp;"|"&amp;I809&amp;"|"&amp;O809)</f>
        <v/>
      </c>
      <c r="T809" s="111" t="str">
        <f>IF(S809="","",IF(COUNTIFS(L_Sleutel,S809,L_Actief,1)=0,"",SUMIFS(L_Waarde,L_Sleutel,S809,L_Actief,1)))</f>
        <v/>
      </c>
      <c r="U809" s="111">
        <f>IF(OR(S809="",T809=""),0,P809-T809)</f>
        <v>0</v>
      </c>
      <c r="AB809" s="112" t="n">
        <v>58</v>
      </c>
      <c r="AC809" s="112" t="n">
        <v>3</v>
      </c>
      <c r="AD809" s="112" t="str">
        <f>VERW_Project!M63</f>
        <v/>
      </c>
      <c r="AE809" s="112">
        <f>IF(AND(VERW_Project!$A63&lt;&gt;"",ISNUMBER(AD809)),1,0)</f>
        <v>0</v>
      </c>
      <c r="AF809" s="112" t="str">
        <f>IF(AE809=1,SUM($AE$8:AE809),"")</f>
        <v/>
      </c>
      <c r="AG809" t="str">
        <f>IFERROR(MATCH(802,$AF$8:$AF$1407,0),"")</f>
        <v/>
      </c>
    </row>
    <row r="810">
      <c r="A810" s="92" t="str">
        <f>IF($AG810="","",P_ImportID)</f>
        <v/>
      </c>
      <c r="B810" s="92" t="str">
        <f>IF($AG810="","",IF(INDEX($AN$8:$AN$21,INDEX($AC$8:$AC$1407,$AG810)+1)="Z",P_BronZ,P_BronE))</f>
        <v/>
      </c>
      <c r="C810" s="108" t="str">
        <f>IF($AG810="","",P_Importdatum)</f>
        <v/>
      </c>
      <c r="D810" s="92" t="str">
        <f>IF($AG810="","",P_StatusVastleg)</f>
        <v/>
      </c>
      <c r="E810" s="92" t="str">
        <f>IF($AG810="","",P_UploadVJ)</f>
        <v/>
      </c>
      <c r="F810" s="92" t="str">
        <f>IF($AG810="","",P_UploadVersie)</f>
        <v/>
      </c>
      <c r="G810" s="92" t="str">
        <f>IF($AG810="","",IF(COUNTIFS(L_Sleutel,$S810,L_Status,"Vastgesteld")=0,0,_xlfn.MAXIFS(L_Revisie,L_Sleutel,$S810,L_Status,"Vastgesteld")+1))</f>
        <v/>
      </c>
      <c r="H810" s="108" t="str">
        <f>IF($AG810="","",P_Peildatum)</f>
        <v/>
      </c>
      <c r="I810" s="92" t="str">
        <f>IF($AG810="","",P_RJ+INDEX($AK$8:$AK$21,INDEX($AC$8:$AC$1407,$AG810)+1))</f>
        <v/>
      </c>
      <c r="J810" s="92" t="str">
        <f>IF($AG810="","",INDEX(V_WBS,INDEX($AB$8:$AB$1407,$AG810)))</f>
        <v/>
      </c>
      <c r="K810" s="92" t="str">
        <f>IF($AG810="","",INDEX(V_Projdef,INDEX($AB$8:$AB$1407,$AG810)))</f>
        <v/>
      </c>
      <c r="L810" s="92" t="str">
        <f>IF($AG810="","",INDEX(V_Naam,INDEX($AB$8:$AB$1407,$AG810)))</f>
        <v/>
      </c>
      <c r="M810" s="92" t="str">
        <f>IF($AG810="","",INDEX(V_Type,INDEX($AB$8:$AB$1407,$AG810)))</f>
        <v/>
      </c>
      <c r="N810" s="92" t="str">
        <f>IF($AG810="","",INDEX(V_IFRS,INDEX($AB$8:$AB$1407,$AG810)))</f>
        <v/>
      </c>
      <c r="O810" s="92" t="str">
        <f>IF($AG810="","",INDEX($AL$8:$AL$21,INDEX($AC$8:$AC$1407,$AG810)+1))</f>
        <v/>
      </c>
      <c r="P810" s="109" t="str">
        <f>IF($AG810="","",INDEX($AD$8:$AD$1407,$AG810))</f>
        <v/>
      </c>
      <c r="Q810" s="92" t="str">
        <f>IF($AG810="","",INDEX($AM$8:$AM$21,INDEX($AC$8:$AC$1407,$AG810)+1))</f>
        <v/>
      </c>
      <c r="R810" s="92" t="str">
        <f>IF($AG810="","",IF($G810&gt;0,P_ToelCorrectie&amp;"",""))</f>
        <v/>
      </c>
      <c r="S810" s="15" t="str">
        <f>IF(J810="","",J810&amp;"|"&amp;E810&amp;"|"&amp;F810&amp;"|"&amp;I810&amp;"|"&amp;O810)</f>
        <v/>
      </c>
      <c r="T810" s="111" t="str">
        <f>IF(S810="","",IF(COUNTIFS(L_Sleutel,S810,L_Actief,1)=0,"",SUMIFS(L_Waarde,L_Sleutel,S810,L_Actief,1)))</f>
        <v/>
      </c>
      <c r="U810" s="111">
        <f>IF(OR(S810="",T810=""),0,P810-T810)</f>
        <v>0</v>
      </c>
      <c r="AB810" s="112" t="n">
        <v>58</v>
      </c>
      <c r="AC810" s="112" t="n">
        <v>4</v>
      </c>
      <c r="AD810" s="112" t="str">
        <f>VERW_Project!R63</f>
        <v/>
      </c>
      <c r="AE810" s="112">
        <f>IF(AND(VERW_Project!$A63&lt;&gt;"",ISNUMBER(AD810)),1,0)</f>
        <v>0</v>
      </c>
      <c r="AF810" s="112" t="str">
        <f>IF(AE810=1,SUM($AE$8:AE810),"")</f>
        <v/>
      </c>
      <c r="AG810" t="str">
        <f>IFERROR(MATCH(803,$AF$8:$AF$1407,0),"")</f>
        <v/>
      </c>
    </row>
    <row r="811">
      <c r="A811" s="92" t="str">
        <f>IF($AG811="","",P_ImportID)</f>
        <v/>
      </c>
      <c r="B811" s="92" t="str">
        <f>IF($AG811="","",IF(INDEX($AN$8:$AN$21,INDEX($AC$8:$AC$1407,$AG811)+1)="Z",P_BronZ,P_BronE))</f>
        <v/>
      </c>
      <c r="C811" s="108" t="str">
        <f>IF($AG811="","",P_Importdatum)</f>
        <v/>
      </c>
      <c r="D811" s="92" t="str">
        <f>IF($AG811="","",P_StatusVastleg)</f>
        <v/>
      </c>
      <c r="E811" s="92" t="str">
        <f>IF($AG811="","",P_UploadVJ)</f>
        <v/>
      </c>
      <c r="F811" s="92" t="str">
        <f>IF($AG811="","",P_UploadVersie)</f>
        <v/>
      </c>
      <c r="G811" s="92" t="str">
        <f>IF($AG811="","",IF(COUNTIFS(L_Sleutel,$S811,L_Status,"Vastgesteld")=0,0,_xlfn.MAXIFS(L_Revisie,L_Sleutel,$S811,L_Status,"Vastgesteld")+1))</f>
        <v/>
      </c>
      <c r="H811" s="108" t="str">
        <f>IF($AG811="","",P_Peildatum)</f>
        <v/>
      </c>
      <c r="I811" s="92" t="str">
        <f>IF($AG811="","",P_RJ+INDEX($AK$8:$AK$21,INDEX($AC$8:$AC$1407,$AG811)+1))</f>
        <v/>
      </c>
      <c r="J811" s="92" t="str">
        <f>IF($AG811="","",INDEX(V_WBS,INDEX($AB$8:$AB$1407,$AG811)))</f>
        <v/>
      </c>
      <c r="K811" s="92" t="str">
        <f>IF($AG811="","",INDEX(V_Projdef,INDEX($AB$8:$AB$1407,$AG811)))</f>
        <v/>
      </c>
      <c r="L811" s="92" t="str">
        <f>IF($AG811="","",INDEX(V_Naam,INDEX($AB$8:$AB$1407,$AG811)))</f>
        <v/>
      </c>
      <c r="M811" s="92" t="str">
        <f>IF($AG811="","",INDEX(V_Type,INDEX($AB$8:$AB$1407,$AG811)))</f>
        <v/>
      </c>
      <c r="N811" s="92" t="str">
        <f>IF($AG811="","",INDEX(V_IFRS,INDEX($AB$8:$AB$1407,$AG811)))</f>
        <v/>
      </c>
      <c r="O811" s="92" t="str">
        <f>IF($AG811="","",INDEX($AL$8:$AL$21,INDEX($AC$8:$AC$1407,$AG811)+1))</f>
        <v/>
      </c>
      <c r="P811" s="109" t="str">
        <f>IF($AG811="","",INDEX($AD$8:$AD$1407,$AG811))</f>
        <v/>
      </c>
      <c r="Q811" s="92" t="str">
        <f>IF($AG811="","",INDEX($AM$8:$AM$21,INDEX($AC$8:$AC$1407,$AG811)+1))</f>
        <v/>
      </c>
      <c r="R811" s="92" t="str">
        <f>IF($AG811="","",IF($G811&gt;0,P_ToelCorrectie&amp;"",""))</f>
        <v/>
      </c>
      <c r="S811" s="15" t="str">
        <f>IF(J811="","",J811&amp;"|"&amp;E811&amp;"|"&amp;F811&amp;"|"&amp;I811&amp;"|"&amp;O811)</f>
        <v/>
      </c>
      <c r="T811" s="111" t="str">
        <f>IF(S811="","",IF(COUNTIFS(L_Sleutel,S811,L_Actief,1)=0,"",SUMIFS(L_Waarde,L_Sleutel,S811,L_Actief,1)))</f>
        <v/>
      </c>
      <c r="U811" s="111">
        <f>IF(OR(S811="",T811=""),0,P811-T811)</f>
        <v>0</v>
      </c>
      <c r="AB811" s="112" t="n">
        <v>58</v>
      </c>
      <c r="AC811" s="112" t="n">
        <v>5</v>
      </c>
      <c r="AD811" s="112" t="str">
        <f>VERW_Project!S63</f>
        <v/>
      </c>
      <c r="AE811" s="112">
        <f>IF(AND(VERW_Project!$A63&lt;&gt;"",ISNUMBER(AD811)),1,0)</f>
        <v>0</v>
      </c>
      <c r="AF811" s="112" t="str">
        <f>IF(AE811=1,SUM($AE$8:AE811),"")</f>
        <v/>
      </c>
      <c r="AG811" t="str">
        <f>IFERROR(MATCH(804,$AF$8:$AF$1407,0),"")</f>
        <v/>
      </c>
    </row>
    <row r="812">
      <c r="A812" s="92" t="str">
        <f>IF($AG812="","",P_ImportID)</f>
        <v/>
      </c>
      <c r="B812" s="92" t="str">
        <f>IF($AG812="","",IF(INDEX($AN$8:$AN$21,INDEX($AC$8:$AC$1407,$AG812)+1)="Z",P_BronZ,P_BronE))</f>
        <v/>
      </c>
      <c r="C812" s="108" t="str">
        <f>IF($AG812="","",P_Importdatum)</f>
        <v/>
      </c>
      <c r="D812" s="92" t="str">
        <f>IF($AG812="","",P_StatusVastleg)</f>
        <v/>
      </c>
      <c r="E812" s="92" t="str">
        <f>IF($AG812="","",P_UploadVJ)</f>
        <v/>
      </c>
      <c r="F812" s="92" t="str">
        <f>IF($AG812="","",P_UploadVersie)</f>
        <v/>
      </c>
      <c r="G812" s="92" t="str">
        <f>IF($AG812="","",IF(COUNTIFS(L_Sleutel,$S812,L_Status,"Vastgesteld")=0,0,_xlfn.MAXIFS(L_Revisie,L_Sleutel,$S812,L_Status,"Vastgesteld")+1))</f>
        <v/>
      </c>
      <c r="H812" s="108" t="str">
        <f>IF($AG812="","",P_Peildatum)</f>
        <v/>
      </c>
      <c r="I812" s="92" t="str">
        <f>IF($AG812="","",P_RJ+INDEX($AK$8:$AK$21,INDEX($AC$8:$AC$1407,$AG812)+1))</f>
        <v/>
      </c>
      <c r="J812" s="92" t="str">
        <f>IF($AG812="","",INDEX(V_WBS,INDEX($AB$8:$AB$1407,$AG812)))</f>
        <v/>
      </c>
      <c r="K812" s="92" t="str">
        <f>IF($AG812="","",INDEX(V_Projdef,INDEX($AB$8:$AB$1407,$AG812)))</f>
        <v/>
      </c>
      <c r="L812" s="92" t="str">
        <f>IF($AG812="","",INDEX(V_Naam,INDEX($AB$8:$AB$1407,$AG812)))</f>
        <v/>
      </c>
      <c r="M812" s="92" t="str">
        <f>IF($AG812="","",INDEX(V_Type,INDEX($AB$8:$AB$1407,$AG812)))</f>
        <v/>
      </c>
      <c r="N812" s="92" t="str">
        <f>IF($AG812="","",INDEX(V_IFRS,INDEX($AB$8:$AB$1407,$AG812)))</f>
        <v/>
      </c>
      <c r="O812" s="92" t="str">
        <f>IF($AG812="","",INDEX($AL$8:$AL$21,INDEX($AC$8:$AC$1407,$AG812)+1))</f>
        <v/>
      </c>
      <c r="P812" s="109" t="str">
        <f>IF($AG812="","",INDEX($AD$8:$AD$1407,$AG812))</f>
        <v/>
      </c>
      <c r="Q812" s="92" t="str">
        <f>IF($AG812="","",INDEX($AM$8:$AM$21,INDEX($AC$8:$AC$1407,$AG812)+1))</f>
        <v/>
      </c>
      <c r="R812" s="92" t="str">
        <f>IF($AG812="","",IF($G812&gt;0,P_ToelCorrectie&amp;"",""))</f>
        <v/>
      </c>
      <c r="S812" s="15" t="str">
        <f>IF(J812="","",J812&amp;"|"&amp;E812&amp;"|"&amp;F812&amp;"|"&amp;I812&amp;"|"&amp;O812)</f>
        <v/>
      </c>
      <c r="T812" s="111" t="str">
        <f>IF(S812="","",IF(COUNTIFS(L_Sleutel,S812,L_Actief,1)=0,"",SUMIFS(L_Waarde,L_Sleutel,S812,L_Actief,1)))</f>
        <v/>
      </c>
      <c r="U812" s="111">
        <f>IF(OR(S812="",T812=""),0,P812-T812)</f>
        <v>0</v>
      </c>
      <c r="AB812" s="112" t="n">
        <v>58</v>
      </c>
      <c r="AC812" s="112" t="n">
        <v>6</v>
      </c>
      <c r="AD812" s="112" t="str">
        <f>VERW_Project!BW63</f>
        <v/>
      </c>
      <c r="AE812" s="112">
        <f>IF(AND(VERW_Project!$A63&lt;&gt;"",ISNUMBER(AD812)),1,0)</f>
        <v>0</v>
      </c>
      <c r="AF812" s="112" t="str">
        <f>IF(AE812=1,SUM($AE$8:AE812),"")</f>
        <v/>
      </c>
      <c r="AG812" t="str">
        <f>IFERROR(MATCH(805,$AF$8:$AF$1407,0),"")</f>
        <v/>
      </c>
    </row>
    <row r="813">
      <c r="A813" s="92" t="str">
        <f>IF($AG813="","",P_ImportID)</f>
        <v/>
      </c>
      <c r="B813" s="92" t="str">
        <f>IF($AG813="","",IF(INDEX($AN$8:$AN$21,INDEX($AC$8:$AC$1407,$AG813)+1)="Z",P_BronZ,P_BronE))</f>
        <v/>
      </c>
      <c r="C813" s="108" t="str">
        <f>IF($AG813="","",P_Importdatum)</f>
        <v/>
      </c>
      <c r="D813" s="92" t="str">
        <f>IF($AG813="","",P_StatusVastleg)</f>
        <v/>
      </c>
      <c r="E813" s="92" t="str">
        <f>IF($AG813="","",P_UploadVJ)</f>
        <v/>
      </c>
      <c r="F813" s="92" t="str">
        <f>IF($AG813="","",P_UploadVersie)</f>
        <v/>
      </c>
      <c r="G813" s="92" t="str">
        <f>IF($AG813="","",IF(COUNTIFS(L_Sleutel,$S813,L_Status,"Vastgesteld")=0,0,_xlfn.MAXIFS(L_Revisie,L_Sleutel,$S813,L_Status,"Vastgesteld")+1))</f>
        <v/>
      </c>
      <c r="H813" s="108" t="str">
        <f>IF($AG813="","",P_Peildatum)</f>
        <v/>
      </c>
      <c r="I813" s="92" t="str">
        <f>IF($AG813="","",P_RJ+INDEX($AK$8:$AK$21,INDEX($AC$8:$AC$1407,$AG813)+1))</f>
        <v/>
      </c>
      <c r="J813" s="92" t="str">
        <f>IF($AG813="","",INDEX(V_WBS,INDEX($AB$8:$AB$1407,$AG813)))</f>
        <v/>
      </c>
      <c r="K813" s="92" t="str">
        <f>IF($AG813="","",INDEX(V_Projdef,INDEX($AB$8:$AB$1407,$AG813)))</f>
        <v/>
      </c>
      <c r="L813" s="92" t="str">
        <f>IF($AG813="","",INDEX(V_Naam,INDEX($AB$8:$AB$1407,$AG813)))</f>
        <v/>
      </c>
      <c r="M813" s="92" t="str">
        <f>IF($AG813="","",INDEX(V_Type,INDEX($AB$8:$AB$1407,$AG813)))</f>
        <v/>
      </c>
      <c r="N813" s="92" t="str">
        <f>IF($AG813="","",INDEX(V_IFRS,INDEX($AB$8:$AB$1407,$AG813)))</f>
        <v/>
      </c>
      <c r="O813" s="92" t="str">
        <f>IF($AG813="","",INDEX($AL$8:$AL$21,INDEX($AC$8:$AC$1407,$AG813)+1))</f>
        <v/>
      </c>
      <c r="P813" s="109" t="str">
        <f>IF($AG813="","",INDEX($AD$8:$AD$1407,$AG813))</f>
        <v/>
      </c>
      <c r="Q813" s="92" t="str">
        <f>IF($AG813="","",INDEX($AM$8:$AM$21,INDEX($AC$8:$AC$1407,$AG813)+1))</f>
        <v/>
      </c>
      <c r="R813" s="92" t="str">
        <f>IF($AG813="","",IF($G813&gt;0,P_ToelCorrectie&amp;"",""))</f>
        <v/>
      </c>
      <c r="S813" s="15" t="str">
        <f>IF(J813="","",J813&amp;"|"&amp;E813&amp;"|"&amp;F813&amp;"|"&amp;I813&amp;"|"&amp;O813)</f>
        <v/>
      </c>
      <c r="T813" s="111" t="str">
        <f>IF(S813="","",IF(COUNTIFS(L_Sleutel,S813,L_Actief,1)=0,"",SUMIFS(L_Waarde,L_Sleutel,S813,L_Actief,1)))</f>
        <v/>
      </c>
      <c r="U813" s="111">
        <f>IF(OR(S813="",T813=""),0,P813-T813)</f>
        <v>0</v>
      </c>
      <c r="AB813" s="112" t="n">
        <v>58</v>
      </c>
      <c r="AC813" s="112" t="n">
        <v>7</v>
      </c>
      <c r="AD813" s="112" t="str">
        <f>VERW_Project!AW63</f>
        <v/>
      </c>
      <c r="AE813" s="112">
        <f>IF(AND(VERW_Project!$A63&lt;&gt;"",ISNUMBER(AD813)),1,0)</f>
        <v>0</v>
      </c>
      <c r="AF813" s="112" t="str">
        <f>IF(AE813=1,SUM($AE$8:AE813),"")</f>
        <v/>
      </c>
      <c r="AG813" t="str">
        <f>IFERROR(MATCH(806,$AF$8:$AF$1407,0),"")</f>
        <v/>
      </c>
    </row>
    <row r="814">
      <c r="A814" s="92" t="str">
        <f>IF($AG814="","",P_ImportID)</f>
        <v/>
      </c>
      <c r="B814" s="92" t="str">
        <f>IF($AG814="","",IF(INDEX($AN$8:$AN$21,INDEX($AC$8:$AC$1407,$AG814)+1)="Z",P_BronZ,P_BronE))</f>
        <v/>
      </c>
      <c r="C814" s="108" t="str">
        <f>IF($AG814="","",P_Importdatum)</f>
        <v/>
      </c>
      <c r="D814" s="92" t="str">
        <f>IF($AG814="","",P_StatusVastleg)</f>
        <v/>
      </c>
      <c r="E814" s="92" t="str">
        <f>IF($AG814="","",P_UploadVJ)</f>
        <v/>
      </c>
      <c r="F814" s="92" t="str">
        <f>IF($AG814="","",P_UploadVersie)</f>
        <v/>
      </c>
      <c r="G814" s="92" t="str">
        <f>IF($AG814="","",IF(COUNTIFS(L_Sleutel,$S814,L_Status,"Vastgesteld")=0,0,_xlfn.MAXIFS(L_Revisie,L_Sleutel,$S814,L_Status,"Vastgesteld")+1))</f>
        <v/>
      </c>
      <c r="H814" s="108" t="str">
        <f>IF($AG814="","",P_Peildatum)</f>
        <v/>
      </c>
      <c r="I814" s="92" t="str">
        <f>IF($AG814="","",P_RJ+INDEX($AK$8:$AK$21,INDEX($AC$8:$AC$1407,$AG814)+1))</f>
        <v/>
      </c>
      <c r="J814" s="92" t="str">
        <f>IF($AG814="","",INDEX(V_WBS,INDEX($AB$8:$AB$1407,$AG814)))</f>
        <v/>
      </c>
      <c r="K814" s="92" t="str">
        <f>IF($AG814="","",INDEX(V_Projdef,INDEX($AB$8:$AB$1407,$AG814)))</f>
        <v/>
      </c>
      <c r="L814" s="92" t="str">
        <f>IF($AG814="","",INDEX(V_Naam,INDEX($AB$8:$AB$1407,$AG814)))</f>
        <v/>
      </c>
      <c r="M814" s="92" t="str">
        <f>IF($AG814="","",INDEX(V_Type,INDEX($AB$8:$AB$1407,$AG814)))</f>
        <v/>
      </c>
      <c r="N814" s="92" t="str">
        <f>IF($AG814="","",INDEX(V_IFRS,INDEX($AB$8:$AB$1407,$AG814)))</f>
        <v/>
      </c>
      <c r="O814" s="92" t="str">
        <f>IF($AG814="","",INDEX($AL$8:$AL$21,INDEX($AC$8:$AC$1407,$AG814)+1))</f>
        <v/>
      </c>
      <c r="P814" s="109" t="str">
        <f>IF($AG814="","",INDEX($AD$8:$AD$1407,$AG814))</f>
        <v/>
      </c>
      <c r="Q814" s="92" t="str">
        <f>IF($AG814="","",INDEX($AM$8:$AM$21,INDEX($AC$8:$AC$1407,$AG814)+1))</f>
        <v/>
      </c>
      <c r="R814" s="92" t="str">
        <f>IF($AG814="","",IF($G814&gt;0,P_ToelCorrectie&amp;"",""))</f>
        <v/>
      </c>
      <c r="S814" s="15" t="str">
        <f>IF(J814="","",J814&amp;"|"&amp;E814&amp;"|"&amp;F814&amp;"|"&amp;I814&amp;"|"&amp;O814)</f>
        <v/>
      </c>
      <c r="T814" s="111" t="str">
        <f>IF(S814="","",IF(COUNTIFS(L_Sleutel,S814,L_Actief,1)=0,"",SUMIFS(L_Waarde,L_Sleutel,S814,L_Actief,1)))</f>
        <v/>
      </c>
      <c r="U814" s="111">
        <f>IF(OR(S814="",T814=""),0,P814-T814)</f>
        <v>0</v>
      </c>
      <c r="AB814" s="112" t="n">
        <v>58</v>
      </c>
      <c r="AC814" s="112" t="n">
        <v>8</v>
      </c>
      <c r="AD814" s="112" t="str">
        <f>VERW_Project!BQ63</f>
        <v/>
      </c>
      <c r="AE814" s="112">
        <f>IF(AND(VERW_Project!$A63&lt;&gt;"",ISNUMBER(AD814)),1,0)</f>
        <v>0</v>
      </c>
      <c r="AF814" s="112" t="str">
        <f>IF(AE814=1,SUM($AE$8:AE814),"")</f>
        <v/>
      </c>
      <c r="AG814" t="str">
        <f>IFERROR(MATCH(807,$AF$8:$AF$1407,0),"")</f>
        <v/>
      </c>
    </row>
    <row r="815">
      <c r="A815" s="92" t="str">
        <f>IF($AG815="","",P_ImportID)</f>
        <v/>
      </c>
      <c r="B815" s="92" t="str">
        <f>IF($AG815="","",IF(INDEX($AN$8:$AN$21,INDEX($AC$8:$AC$1407,$AG815)+1)="Z",P_BronZ,P_BronE))</f>
        <v/>
      </c>
      <c r="C815" s="108" t="str">
        <f>IF($AG815="","",P_Importdatum)</f>
        <v/>
      </c>
      <c r="D815" s="92" t="str">
        <f>IF($AG815="","",P_StatusVastleg)</f>
        <v/>
      </c>
      <c r="E815" s="92" t="str">
        <f>IF($AG815="","",P_UploadVJ)</f>
        <v/>
      </c>
      <c r="F815" s="92" t="str">
        <f>IF($AG815="","",P_UploadVersie)</f>
        <v/>
      </c>
      <c r="G815" s="92" t="str">
        <f>IF($AG815="","",IF(COUNTIFS(L_Sleutel,$S815,L_Status,"Vastgesteld")=0,0,_xlfn.MAXIFS(L_Revisie,L_Sleutel,$S815,L_Status,"Vastgesteld")+1))</f>
        <v/>
      </c>
      <c r="H815" s="108" t="str">
        <f>IF($AG815="","",P_Peildatum)</f>
        <v/>
      </c>
      <c r="I815" s="92" t="str">
        <f>IF($AG815="","",P_RJ+INDEX($AK$8:$AK$21,INDEX($AC$8:$AC$1407,$AG815)+1))</f>
        <v/>
      </c>
      <c r="J815" s="92" t="str">
        <f>IF($AG815="","",INDEX(V_WBS,INDEX($AB$8:$AB$1407,$AG815)))</f>
        <v/>
      </c>
      <c r="K815" s="92" t="str">
        <f>IF($AG815="","",INDEX(V_Projdef,INDEX($AB$8:$AB$1407,$AG815)))</f>
        <v/>
      </c>
      <c r="L815" s="92" t="str">
        <f>IF($AG815="","",INDEX(V_Naam,INDEX($AB$8:$AB$1407,$AG815)))</f>
        <v/>
      </c>
      <c r="M815" s="92" t="str">
        <f>IF($AG815="","",INDEX(V_Type,INDEX($AB$8:$AB$1407,$AG815)))</f>
        <v/>
      </c>
      <c r="N815" s="92" t="str">
        <f>IF($AG815="","",INDEX(V_IFRS,INDEX($AB$8:$AB$1407,$AG815)))</f>
        <v/>
      </c>
      <c r="O815" s="92" t="str">
        <f>IF($AG815="","",INDEX($AL$8:$AL$21,INDEX($AC$8:$AC$1407,$AG815)+1))</f>
        <v/>
      </c>
      <c r="P815" s="109" t="str">
        <f>IF($AG815="","",INDEX($AD$8:$AD$1407,$AG815))</f>
        <v/>
      </c>
      <c r="Q815" s="92" t="str">
        <f>IF($AG815="","",INDEX($AM$8:$AM$21,INDEX($AC$8:$AC$1407,$AG815)+1))</f>
        <v/>
      </c>
      <c r="R815" s="92" t="str">
        <f>IF($AG815="","",IF($G815&gt;0,P_ToelCorrectie&amp;"",""))</f>
        <v/>
      </c>
      <c r="S815" s="15" t="str">
        <f>IF(J815="","",J815&amp;"|"&amp;E815&amp;"|"&amp;F815&amp;"|"&amp;I815&amp;"|"&amp;O815)</f>
        <v/>
      </c>
      <c r="T815" s="111" t="str">
        <f>IF(S815="","",IF(COUNTIFS(L_Sleutel,S815,L_Actief,1)=0,"",SUMIFS(L_Waarde,L_Sleutel,S815,L_Actief,1)))</f>
        <v/>
      </c>
      <c r="U815" s="111">
        <f>IF(OR(S815="",T815=""),0,P815-T815)</f>
        <v>0</v>
      </c>
      <c r="AB815" s="112" t="n">
        <v>58</v>
      </c>
      <c r="AC815" s="112" t="n">
        <v>9</v>
      </c>
      <c r="AD815" s="112" t="str">
        <f>VERW_Project!BR63</f>
        <v/>
      </c>
      <c r="AE815" s="112">
        <f>IF(AND(VERW_Project!$A63&lt;&gt;"",ISNUMBER(AD815)),1,0)</f>
        <v>0</v>
      </c>
      <c r="AF815" s="112" t="str">
        <f>IF(AE815=1,SUM($AE$8:AE815),"")</f>
        <v/>
      </c>
      <c r="AG815" t="str">
        <f>IFERROR(MATCH(808,$AF$8:$AF$1407,0),"")</f>
        <v/>
      </c>
    </row>
    <row r="816">
      <c r="A816" s="92" t="str">
        <f>IF($AG816="","",P_ImportID)</f>
        <v/>
      </c>
      <c r="B816" s="92" t="str">
        <f>IF($AG816="","",IF(INDEX($AN$8:$AN$21,INDEX($AC$8:$AC$1407,$AG816)+1)="Z",P_BronZ,P_BronE))</f>
        <v/>
      </c>
      <c r="C816" s="108" t="str">
        <f>IF($AG816="","",P_Importdatum)</f>
        <v/>
      </c>
      <c r="D816" s="92" t="str">
        <f>IF($AG816="","",P_StatusVastleg)</f>
        <v/>
      </c>
      <c r="E816" s="92" t="str">
        <f>IF($AG816="","",P_UploadVJ)</f>
        <v/>
      </c>
      <c r="F816" s="92" t="str">
        <f>IF($AG816="","",P_UploadVersie)</f>
        <v/>
      </c>
      <c r="G816" s="92" t="str">
        <f>IF($AG816="","",IF(COUNTIFS(L_Sleutel,$S816,L_Status,"Vastgesteld")=0,0,_xlfn.MAXIFS(L_Revisie,L_Sleutel,$S816,L_Status,"Vastgesteld")+1))</f>
        <v/>
      </c>
      <c r="H816" s="108" t="str">
        <f>IF($AG816="","",P_Peildatum)</f>
        <v/>
      </c>
      <c r="I816" s="92" t="str">
        <f>IF($AG816="","",P_RJ+INDEX($AK$8:$AK$21,INDEX($AC$8:$AC$1407,$AG816)+1))</f>
        <v/>
      </c>
      <c r="J816" s="92" t="str">
        <f>IF($AG816="","",INDEX(V_WBS,INDEX($AB$8:$AB$1407,$AG816)))</f>
        <v/>
      </c>
      <c r="K816" s="92" t="str">
        <f>IF($AG816="","",INDEX(V_Projdef,INDEX($AB$8:$AB$1407,$AG816)))</f>
        <v/>
      </c>
      <c r="L816" s="92" t="str">
        <f>IF($AG816="","",INDEX(V_Naam,INDEX($AB$8:$AB$1407,$AG816)))</f>
        <v/>
      </c>
      <c r="M816" s="92" t="str">
        <f>IF($AG816="","",INDEX(V_Type,INDEX($AB$8:$AB$1407,$AG816)))</f>
        <v/>
      </c>
      <c r="N816" s="92" t="str">
        <f>IF($AG816="","",INDEX(V_IFRS,INDEX($AB$8:$AB$1407,$AG816)))</f>
        <v/>
      </c>
      <c r="O816" s="92" t="str">
        <f>IF($AG816="","",INDEX($AL$8:$AL$21,INDEX($AC$8:$AC$1407,$AG816)+1))</f>
        <v/>
      </c>
      <c r="P816" s="109" t="str">
        <f>IF($AG816="","",INDEX($AD$8:$AD$1407,$AG816))</f>
        <v/>
      </c>
      <c r="Q816" s="92" t="str">
        <f>IF($AG816="","",INDEX($AM$8:$AM$21,INDEX($AC$8:$AC$1407,$AG816)+1))</f>
        <v/>
      </c>
      <c r="R816" s="92" t="str">
        <f>IF($AG816="","",IF($G816&gt;0,P_ToelCorrectie&amp;"",""))</f>
        <v/>
      </c>
      <c r="S816" s="15" t="str">
        <f>IF(J816="","",J816&amp;"|"&amp;E816&amp;"|"&amp;F816&amp;"|"&amp;I816&amp;"|"&amp;O816)</f>
        <v/>
      </c>
      <c r="T816" s="111" t="str">
        <f>IF(S816="","",IF(COUNTIFS(L_Sleutel,S816,L_Actief,1)=0,"",SUMIFS(L_Waarde,L_Sleutel,S816,L_Actief,1)))</f>
        <v/>
      </c>
      <c r="U816" s="111">
        <f>IF(OR(S816="",T816=""),0,P816-T816)</f>
        <v>0</v>
      </c>
      <c r="AB816" s="112" t="n">
        <v>58</v>
      </c>
      <c r="AC816" s="112" t="n">
        <v>10</v>
      </c>
      <c r="AD816" s="112" t="str">
        <f>VERW_Project!BS63</f>
        <v/>
      </c>
      <c r="AE816" s="112">
        <f>IF(AND(VERW_Project!$A63&lt;&gt;"",ISNUMBER(AD816)),1,0)</f>
        <v>0</v>
      </c>
      <c r="AF816" s="112" t="str">
        <f>IF(AE816=1,SUM($AE$8:AE816),"")</f>
        <v/>
      </c>
      <c r="AG816" t="str">
        <f>IFERROR(MATCH(809,$AF$8:$AF$1407,0),"")</f>
        <v/>
      </c>
    </row>
    <row r="817">
      <c r="A817" s="92" t="str">
        <f>IF($AG817="","",P_ImportID)</f>
        <v/>
      </c>
      <c r="B817" s="92" t="str">
        <f>IF($AG817="","",IF(INDEX($AN$8:$AN$21,INDEX($AC$8:$AC$1407,$AG817)+1)="Z",P_BronZ,P_BronE))</f>
        <v/>
      </c>
      <c r="C817" s="108" t="str">
        <f>IF($AG817="","",P_Importdatum)</f>
        <v/>
      </c>
      <c r="D817" s="92" t="str">
        <f>IF($AG817="","",P_StatusVastleg)</f>
        <v/>
      </c>
      <c r="E817" s="92" t="str">
        <f>IF($AG817="","",P_UploadVJ)</f>
        <v/>
      </c>
      <c r="F817" s="92" t="str">
        <f>IF($AG817="","",P_UploadVersie)</f>
        <v/>
      </c>
      <c r="G817" s="92" t="str">
        <f>IF($AG817="","",IF(COUNTIFS(L_Sleutel,$S817,L_Status,"Vastgesteld")=0,0,_xlfn.MAXIFS(L_Revisie,L_Sleutel,$S817,L_Status,"Vastgesteld")+1))</f>
        <v/>
      </c>
      <c r="H817" s="108" t="str">
        <f>IF($AG817="","",P_Peildatum)</f>
        <v/>
      </c>
      <c r="I817" s="92" t="str">
        <f>IF($AG817="","",P_RJ+INDEX($AK$8:$AK$21,INDEX($AC$8:$AC$1407,$AG817)+1))</f>
        <v/>
      </c>
      <c r="J817" s="92" t="str">
        <f>IF($AG817="","",INDEX(V_WBS,INDEX($AB$8:$AB$1407,$AG817)))</f>
        <v/>
      </c>
      <c r="K817" s="92" t="str">
        <f>IF($AG817="","",INDEX(V_Projdef,INDEX($AB$8:$AB$1407,$AG817)))</f>
        <v/>
      </c>
      <c r="L817" s="92" t="str">
        <f>IF($AG817="","",INDEX(V_Naam,INDEX($AB$8:$AB$1407,$AG817)))</f>
        <v/>
      </c>
      <c r="M817" s="92" t="str">
        <f>IF($AG817="","",INDEX(V_Type,INDEX($AB$8:$AB$1407,$AG817)))</f>
        <v/>
      </c>
      <c r="N817" s="92" t="str">
        <f>IF($AG817="","",INDEX(V_IFRS,INDEX($AB$8:$AB$1407,$AG817)))</f>
        <v/>
      </c>
      <c r="O817" s="92" t="str">
        <f>IF($AG817="","",INDEX($AL$8:$AL$21,INDEX($AC$8:$AC$1407,$AG817)+1))</f>
        <v/>
      </c>
      <c r="P817" s="109" t="str">
        <f>IF($AG817="","",INDEX($AD$8:$AD$1407,$AG817))</f>
        <v/>
      </c>
      <c r="Q817" s="92" t="str">
        <f>IF($AG817="","",INDEX($AM$8:$AM$21,INDEX($AC$8:$AC$1407,$AG817)+1))</f>
        <v/>
      </c>
      <c r="R817" s="92" t="str">
        <f>IF($AG817="","",IF($G817&gt;0,P_ToelCorrectie&amp;"",""))</f>
        <v/>
      </c>
      <c r="S817" s="15" t="str">
        <f>IF(J817="","",J817&amp;"|"&amp;E817&amp;"|"&amp;F817&amp;"|"&amp;I817&amp;"|"&amp;O817)</f>
        <v/>
      </c>
      <c r="T817" s="111" t="str">
        <f>IF(S817="","",IF(COUNTIFS(L_Sleutel,S817,L_Actief,1)=0,"",SUMIFS(L_Waarde,L_Sleutel,S817,L_Actief,1)))</f>
        <v/>
      </c>
      <c r="U817" s="111">
        <f>IF(OR(S817="",T817=""),0,P817-T817)</f>
        <v>0</v>
      </c>
      <c r="AB817" s="112" t="n">
        <v>58</v>
      </c>
      <c r="AC817" s="112" t="n">
        <v>11</v>
      </c>
      <c r="AD817" s="112" t="str">
        <f>VERW_Project!BT63</f>
        <v/>
      </c>
      <c r="AE817" s="112">
        <f>IF(AND(VERW_Project!$A63&lt;&gt;"",ISNUMBER(AD817)),1,0)</f>
        <v>0</v>
      </c>
      <c r="AF817" s="112" t="str">
        <f>IF(AE817=1,SUM($AE$8:AE817),"")</f>
        <v/>
      </c>
      <c r="AG817" t="str">
        <f>IFERROR(MATCH(810,$AF$8:$AF$1407,0),"")</f>
        <v/>
      </c>
    </row>
    <row r="818">
      <c r="A818" s="92" t="str">
        <f>IF($AG818="","",P_ImportID)</f>
        <v/>
      </c>
      <c r="B818" s="92" t="str">
        <f>IF($AG818="","",IF(INDEX($AN$8:$AN$21,INDEX($AC$8:$AC$1407,$AG818)+1)="Z",P_BronZ,P_BronE))</f>
        <v/>
      </c>
      <c r="C818" s="108" t="str">
        <f>IF($AG818="","",P_Importdatum)</f>
        <v/>
      </c>
      <c r="D818" s="92" t="str">
        <f>IF($AG818="","",P_StatusVastleg)</f>
        <v/>
      </c>
      <c r="E818" s="92" t="str">
        <f>IF($AG818="","",P_UploadVJ)</f>
        <v/>
      </c>
      <c r="F818" s="92" t="str">
        <f>IF($AG818="","",P_UploadVersie)</f>
        <v/>
      </c>
      <c r="G818" s="92" t="str">
        <f>IF($AG818="","",IF(COUNTIFS(L_Sleutel,$S818,L_Status,"Vastgesteld")=0,0,_xlfn.MAXIFS(L_Revisie,L_Sleutel,$S818,L_Status,"Vastgesteld")+1))</f>
        <v/>
      </c>
      <c r="H818" s="108" t="str">
        <f>IF($AG818="","",P_Peildatum)</f>
        <v/>
      </c>
      <c r="I818" s="92" t="str">
        <f>IF($AG818="","",P_RJ+INDEX($AK$8:$AK$21,INDEX($AC$8:$AC$1407,$AG818)+1))</f>
        <v/>
      </c>
      <c r="J818" s="92" t="str">
        <f>IF($AG818="","",INDEX(V_WBS,INDEX($AB$8:$AB$1407,$AG818)))</f>
        <v/>
      </c>
      <c r="K818" s="92" t="str">
        <f>IF($AG818="","",INDEX(V_Projdef,INDEX($AB$8:$AB$1407,$AG818)))</f>
        <v/>
      </c>
      <c r="L818" s="92" t="str">
        <f>IF($AG818="","",INDEX(V_Naam,INDEX($AB$8:$AB$1407,$AG818)))</f>
        <v/>
      </c>
      <c r="M818" s="92" t="str">
        <f>IF($AG818="","",INDEX(V_Type,INDEX($AB$8:$AB$1407,$AG818)))</f>
        <v/>
      </c>
      <c r="N818" s="92" t="str">
        <f>IF($AG818="","",INDEX(V_IFRS,INDEX($AB$8:$AB$1407,$AG818)))</f>
        <v/>
      </c>
      <c r="O818" s="92" t="str">
        <f>IF($AG818="","",INDEX($AL$8:$AL$21,INDEX($AC$8:$AC$1407,$AG818)+1))</f>
        <v/>
      </c>
      <c r="P818" s="109" t="str">
        <f>IF($AG818="","",INDEX($AD$8:$AD$1407,$AG818))</f>
        <v/>
      </c>
      <c r="Q818" s="92" t="str">
        <f>IF($AG818="","",INDEX($AM$8:$AM$21,INDEX($AC$8:$AC$1407,$AG818)+1))</f>
        <v/>
      </c>
      <c r="R818" s="92" t="str">
        <f>IF($AG818="","",IF($G818&gt;0,P_ToelCorrectie&amp;"",""))</f>
        <v/>
      </c>
      <c r="S818" s="15" t="str">
        <f>IF(J818="","",J818&amp;"|"&amp;E818&amp;"|"&amp;F818&amp;"|"&amp;I818&amp;"|"&amp;O818)</f>
        <v/>
      </c>
      <c r="T818" s="111" t="str">
        <f>IF(S818="","",IF(COUNTIFS(L_Sleutel,S818,L_Actief,1)=0,"",SUMIFS(L_Waarde,L_Sleutel,S818,L_Actief,1)))</f>
        <v/>
      </c>
      <c r="U818" s="111">
        <f>IF(OR(S818="",T818=""),0,P818-T818)</f>
        <v>0</v>
      </c>
      <c r="AB818" s="112" t="n">
        <v>58</v>
      </c>
      <c r="AC818" s="112" t="n">
        <v>12</v>
      </c>
      <c r="AD818" s="112" t="str">
        <f>VERW_Project!BU63</f>
        <v/>
      </c>
      <c r="AE818" s="112">
        <f>IF(AND(VERW_Project!$A63&lt;&gt;"",ISNUMBER(AD818)),1,0)</f>
        <v>0</v>
      </c>
      <c r="AF818" s="112" t="str">
        <f>IF(AE818=1,SUM($AE$8:AE818),"")</f>
        <v/>
      </c>
      <c r="AG818" t="str">
        <f>IFERROR(MATCH(811,$AF$8:$AF$1407,0),"")</f>
        <v/>
      </c>
    </row>
    <row r="819">
      <c r="A819" s="92" t="str">
        <f>IF($AG819="","",P_ImportID)</f>
        <v/>
      </c>
      <c r="B819" s="92" t="str">
        <f>IF($AG819="","",IF(INDEX($AN$8:$AN$21,INDEX($AC$8:$AC$1407,$AG819)+1)="Z",P_BronZ,P_BronE))</f>
        <v/>
      </c>
      <c r="C819" s="108" t="str">
        <f>IF($AG819="","",P_Importdatum)</f>
        <v/>
      </c>
      <c r="D819" s="92" t="str">
        <f>IF($AG819="","",P_StatusVastleg)</f>
        <v/>
      </c>
      <c r="E819" s="92" t="str">
        <f>IF($AG819="","",P_UploadVJ)</f>
        <v/>
      </c>
      <c r="F819" s="92" t="str">
        <f>IF($AG819="","",P_UploadVersie)</f>
        <v/>
      </c>
      <c r="G819" s="92" t="str">
        <f>IF($AG819="","",IF(COUNTIFS(L_Sleutel,$S819,L_Status,"Vastgesteld")=0,0,_xlfn.MAXIFS(L_Revisie,L_Sleutel,$S819,L_Status,"Vastgesteld")+1))</f>
        <v/>
      </c>
      <c r="H819" s="108" t="str">
        <f>IF($AG819="","",P_Peildatum)</f>
        <v/>
      </c>
      <c r="I819" s="92" t="str">
        <f>IF($AG819="","",P_RJ+INDEX($AK$8:$AK$21,INDEX($AC$8:$AC$1407,$AG819)+1))</f>
        <v/>
      </c>
      <c r="J819" s="92" t="str">
        <f>IF($AG819="","",INDEX(V_WBS,INDEX($AB$8:$AB$1407,$AG819)))</f>
        <v/>
      </c>
      <c r="K819" s="92" t="str">
        <f>IF($AG819="","",INDEX(V_Projdef,INDEX($AB$8:$AB$1407,$AG819)))</f>
        <v/>
      </c>
      <c r="L819" s="92" t="str">
        <f>IF($AG819="","",INDEX(V_Naam,INDEX($AB$8:$AB$1407,$AG819)))</f>
        <v/>
      </c>
      <c r="M819" s="92" t="str">
        <f>IF($AG819="","",INDEX(V_Type,INDEX($AB$8:$AB$1407,$AG819)))</f>
        <v/>
      </c>
      <c r="N819" s="92" t="str">
        <f>IF($AG819="","",INDEX(V_IFRS,INDEX($AB$8:$AB$1407,$AG819)))</f>
        <v/>
      </c>
      <c r="O819" s="92" t="str">
        <f>IF($AG819="","",INDEX($AL$8:$AL$21,INDEX($AC$8:$AC$1407,$AG819)+1))</f>
        <v/>
      </c>
      <c r="P819" s="109" t="str">
        <f>IF($AG819="","",INDEX($AD$8:$AD$1407,$AG819))</f>
        <v/>
      </c>
      <c r="Q819" s="92" t="str">
        <f>IF($AG819="","",INDEX($AM$8:$AM$21,INDEX($AC$8:$AC$1407,$AG819)+1))</f>
        <v/>
      </c>
      <c r="R819" s="92" t="str">
        <f>IF($AG819="","",IF($G819&gt;0,P_ToelCorrectie&amp;"",""))</f>
        <v/>
      </c>
      <c r="S819" s="15" t="str">
        <f>IF(J819="","",J819&amp;"|"&amp;E819&amp;"|"&amp;F819&amp;"|"&amp;I819&amp;"|"&amp;O819)</f>
        <v/>
      </c>
      <c r="T819" s="111" t="str">
        <f>IF(S819="","",IF(COUNTIFS(L_Sleutel,S819,L_Actief,1)=0,"",SUMIFS(L_Waarde,L_Sleutel,S819,L_Actief,1)))</f>
        <v/>
      </c>
      <c r="U819" s="111">
        <f>IF(OR(S819="",T819=""),0,P819-T819)</f>
        <v>0</v>
      </c>
      <c r="AB819" s="112" t="n">
        <v>58</v>
      </c>
      <c r="AC819" s="112" t="n">
        <v>13</v>
      </c>
      <c r="AD819" s="112" t="str">
        <f>VERW_Project!BX63</f>
        <v/>
      </c>
      <c r="AE819" s="112">
        <f>IF(AND(VERW_Project!$A63&lt;&gt;"",ISNUMBER(AD819)),1,0)</f>
        <v>0</v>
      </c>
      <c r="AF819" s="112" t="str">
        <f>IF(AE819=1,SUM($AE$8:AE819),"")</f>
        <v/>
      </c>
      <c r="AG819" t="str">
        <f>IFERROR(MATCH(812,$AF$8:$AF$1407,0),"")</f>
        <v/>
      </c>
    </row>
    <row r="820">
      <c r="A820" s="92" t="str">
        <f>IF($AG820="","",P_ImportID)</f>
        <v/>
      </c>
      <c r="B820" s="92" t="str">
        <f>IF($AG820="","",IF(INDEX($AN$8:$AN$21,INDEX($AC$8:$AC$1407,$AG820)+1)="Z",P_BronZ,P_BronE))</f>
        <v/>
      </c>
      <c r="C820" s="108" t="str">
        <f>IF($AG820="","",P_Importdatum)</f>
        <v/>
      </c>
      <c r="D820" s="92" t="str">
        <f>IF($AG820="","",P_StatusVastleg)</f>
        <v/>
      </c>
      <c r="E820" s="92" t="str">
        <f>IF($AG820="","",P_UploadVJ)</f>
        <v/>
      </c>
      <c r="F820" s="92" t="str">
        <f>IF($AG820="","",P_UploadVersie)</f>
        <v/>
      </c>
      <c r="G820" s="92" t="str">
        <f>IF($AG820="","",IF(COUNTIFS(L_Sleutel,$S820,L_Status,"Vastgesteld")=0,0,_xlfn.MAXIFS(L_Revisie,L_Sleutel,$S820,L_Status,"Vastgesteld")+1))</f>
        <v/>
      </c>
      <c r="H820" s="108" t="str">
        <f>IF($AG820="","",P_Peildatum)</f>
        <v/>
      </c>
      <c r="I820" s="92" t="str">
        <f>IF($AG820="","",P_RJ+INDEX($AK$8:$AK$21,INDEX($AC$8:$AC$1407,$AG820)+1))</f>
        <v/>
      </c>
      <c r="J820" s="92" t="str">
        <f>IF($AG820="","",INDEX(V_WBS,INDEX($AB$8:$AB$1407,$AG820)))</f>
        <v/>
      </c>
      <c r="K820" s="92" t="str">
        <f>IF($AG820="","",INDEX(V_Projdef,INDEX($AB$8:$AB$1407,$AG820)))</f>
        <v/>
      </c>
      <c r="L820" s="92" t="str">
        <f>IF($AG820="","",INDEX(V_Naam,INDEX($AB$8:$AB$1407,$AG820)))</f>
        <v/>
      </c>
      <c r="M820" s="92" t="str">
        <f>IF($AG820="","",INDEX(V_Type,INDEX($AB$8:$AB$1407,$AG820)))</f>
        <v/>
      </c>
      <c r="N820" s="92" t="str">
        <f>IF($AG820="","",INDEX(V_IFRS,INDEX($AB$8:$AB$1407,$AG820)))</f>
        <v/>
      </c>
      <c r="O820" s="92" t="str">
        <f>IF($AG820="","",INDEX($AL$8:$AL$21,INDEX($AC$8:$AC$1407,$AG820)+1))</f>
        <v/>
      </c>
      <c r="P820" s="109" t="str">
        <f>IF($AG820="","",INDEX($AD$8:$AD$1407,$AG820))</f>
        <v/>
      </c>
      <c r="Q820" s="92" t="str">
        <f>IF($AG820="","",INDEX($AM$8:$AM$21,INDEX($AC$8:$AC$1407,$AG820)+1))</f>
        <v/>
      </c>
      <c r="R820" s="92" t="str">
        <f>IF($AG820="","",IF($G820&gt;0,P_ToelCorrectie&amp;"",""))</f>
        <v/>
      </c>
      <c r="S820" s="15" t="str">
        <f>IF(J820="","",J820&amp;"|"&amp;E820&amp;"|"&amp;F820&amp;"|"&amp;I820&amp;"|"&amp;O820)</f>
        <v/>
      </c>
      <c r="T820" s="111" t="str">
        <f>IF(S820="","",IF(COUNTIFS(L_Sleutel,S820,L_Actief,1)=0,"",SUMIFS(L_Waarde,L_Sleutel,S820,L_Actief,1)))</f>
        <v/>
      </c>
      <c r="U820" s="111">
        <f>IF(OR(S820="",T820=""),0,P820-T820)</f>
        <v>0</v>
      </c>
      <c r="AB820" s="112" t="n">
        <v>59</v>
      </c>
      <c r="AC820" s="112" t="n">
        <v>0</v>
      </c>
      <c r="AD820" s="112" t="str">
        <f>VERW_Project!P64</f>
        <v/>
      </c>
      <c r="AE820" s="112">
        <f>IF(AND(VERW_Project!$A64&lt;&gt;"",ISNUMBER(AD820)),1,0)</f>
        <v>0</v>
      </c>
      <c r="AF820" s="112" t="str">
        <f>IF(AE820=1,SUM($AE$8:AE820),"")</f>
        <v/>
      </c>
      <c r="AG820" t="str">
        <f>IFERROR(MATCH(813,$AF$8:$AF$1407,0),"")</f>
        <v/>
      </c>
    </row>
    <row r="821">
      <c r="A821" s="92" t="str">
        <f>IF($AG821="","",P_ImportID)</f>
        <v/>
      </c>
      <c r="B821" s="92" t="str">
        <f>IF($AG821="","",IF(INDEX($AN$8:$AN$21,INDEX($AC$8:$AC$1407,$AG821)+1)="Z",P_BronZ,P_BronE))</f>
        <v/>
      </c>
      <c r="C821" s="108" t="str">
        <f>IF($AG821="","",P_Importdatum)</f>
        <v/>
      </c>
      <c r="D821" s="92" t="str">
        <f>IF($AG821="","",P_StatusVastleg)</f>
        <v/>
      </c>
      <c r="E821" s="92" t="str">
        <f>IF($AG821="","",P_UploadVJ)</f>
        <v/>
      </c>
      <c r="F821" s="92" t="str">
        <f>IF($AG821="","",P_UploadVersie)</f>
        <v/>
      </c>
      <c r="G821" s="92" t="str">
        <f>IF($AG821="","",IF(COUNTIFS(L_Sleutel,$S821,L_Status,"Vastgesteld")=0,0,_xlfn.MAXIFS(L_Revisie,L_Sleutel,$S821,L_Status,"Vastgesteld")+1))</f>
        <v/>
      </c>
      <c r="H821" s="108" t="str">
        <f>IF($AG821="","",P_Peildatum)</f>
        <v/>
      </c>
      <c r="I821" s="92" t="str">
        <f>IF($AG821="","",P_RJ+INDEX($AK$8:$AK$21,INDEX($AC$8:$AC$1407,$AG821)+1))</f>
        <v/>
      </c>
      <c r="J821" s="92" t="str">
        <f>IF($AG821="","",INDEX(V_WBS,INDEX($AB$8:$AB$1407,$AG821)))</f>
        <v/>
      </c>
      <c r="K821" s="92" t="str">
        <f>IF($AG821="","",INDEX(V_Projdef,INDEX($AB$8:$AB$1407,$AG821)))</f>
        <v/>
      </c>
      <c r="L821" s="92" t="str">
        <f>IF($AG821="","",INDEX(V_Naam,INDEX($AB$8:$AB$1407,$AG821)))</f>
        <v/>
      </c>
      <c r="M821" s="92" t="str">
        <f>IF($AG821="","",INDEX(V_Type,INDEX($AB$8:$AB$1407,$AG821)))</f>
        <v/>
      </c>
      <c r="N821" s="92" t="str">
        <f>IF($AG821="","",INDEX(V_IFRS,INDEX($AB$8:$AB$1407,$AG821)))</f>
        <v/>
      </c>
      <c r="O821" s="92" t="str">
        <f>IF($AG821="","",INDEX($AL$8:$AL$21,INDEX($AC$8:$AC$1407,$AG821)+1))</f>
        <v/>
      </c>
      <c r="P821" s="109" t="str">
        <f>IF($AG821="","",INDEX($AD$8:$AD$1407,$AG821))</f>
        <v/>
      </c>
      <c r="Q821" s="92" t="str">
        <f>IF($AG821="","",INDEX($AM$8:$AM$21,INDEX($AC$8:$AC$1407,$AG821)+1))</f>
        <v/>
      </c>
      <c r="R821" s="92" t="str">
        <f>IF($AG821="","",IF($G821&gt;0,P_ToelCorrectie&amp;"",""))</f>
        <v/>
      </c>
      <c r="S821" s="15" t="str">
        <f>IF(J821="","",J821&amp;"|"&amp;E821&amp;"|"&amp;F821&amp;"|"&amp;I821&amp;"|"&amp;O821)</f>
        <v/>
      </c>
      <c r="T821" s="111" t="str">
        <f>IF(S821="","",IF(COUNTIFS(L_Sleutel,S821,L_Actief,1)=0,"",SUMIFS(L_Waarde,L_Sleutel,S821,L_Actief,1)))</f>
        <v/>
      </c>
      <c r="U821" s="111">
        <f>IF(OR(S821="",T821=""),0,P821-T821)</f>
        <v>0</v>
      </c>
      <c r="AB821" s="112" t="n">
        <v>59</v>
      </c>
      <c r="AC821" s="112" t="n">
        <v>1</v>
      </c>
      <c r="AD821" s="112" t="str">
        <f>VERW_Project!Q64</f>
        <v/>
      </c>
      <c r="AE821" s="112">
        <f>IF(AND(VERW_Project!$A64&lt;&gt;"",ISNUMBER(AD821)),1,0)</f>
        <v>0</v>
      </c>
      <c r="AF821" s="112" t="str">
        <f>IF(AE821=1,SUM($AE$8:AE821),"")</f>
        <v/>
      </c>
      <c r="AG821" t="str">
        <f>IFERROR(MATCH(814,$AF$8:$AF$1407,0),"")</f>
        <v/>
      </c>
    </row>
    <row r="822">
      <c r="A822" s="92" t="str">
        <f>IF($AG822="","",P_ImportID)</f>
        <v/>
      </c>
      <c r="B822" s="92" t="str">
        <f>IF($AG822="","",IF(INDEX($AN$8:$AN$21,INDEX($AC$8:$AC$1407,$AG822)+1)="Z",P_BronZ,P_BronE))</f>
        <v/>
      </c>
      <c r="C822" s="108" t="str">
        <f>IF($AG822="","",P_Importdatum)</f>
        <v/>
      </c>
      <c r="D822" s="92" t="str">
        <f>IF($AG822="","",P_StatusVastleg)</f>
        <v/>
      </c>
      <c r="E822" s="92" t="str">
        <f>IF($AG822="","",P_UploadVJ)</f>
        <v/>
      </c>
      <c r="F822" s="92" t="str">
        <f>IF($AG822="","",P_UploadVersie)</f>
        <v/>
      </c>
      <c r="G822" s="92" t="str">
        <f>IF($AG822="","",IF(COUNTIFS(L_Sleutel,$S822,L_Status,"Vastgesteld")=0,0,_xlfn.MAXIFS(L_Revisie,L_Sleutel,$S822,L_Status,"Vastgesteld")+1))</f>
        <v/>
      </c>
      <c r="H822" s="108" t="str">
        <f>IF($AG822="","",P_Peildatum)</f>
        <v/>
      </c>
      <c r="I822" s="92" t="str">
        <f>IF($AG822="","",P_RJ+INDEX($AK$8:$AK$21,INDEX($AC$8:$AC$1407,$AG822)+1))</f>
        <v/>
      </c>
      <c r="J822" s="92" t="str">
        <f>IF($AG822="","",INDEX(V_WBS,INDEX($AB$8:$AB$1407,$AG822)))</f>
        <v/>
      </c>
      <c r="K822" s="92" t="str">
        <f>IF($AG822="","",INDEX(V_Projdef,INDEX($AB$8:$AB$1407,$AG822)))</f>
        <v/>
      </c>
      <c r="L822" s="92" t="str">
        <f>IF($AG822="","",INDEX(V_Naam,INDEX($AB$8:$AB$1407,$AG822)))</f>
        <v/>
      </c>
      <c r="M822" s="92" t="str">
        <f>IF($AG822="","",INDEX(V_Type,INDEX($AB$8:$AB$1407,$AG822)))</f>
        <v/>
      </c>
      <c r="N822" s="92" t="str">
        <f>IF($AG822="","",INDEX(V_IFRS,INDEX($AB$8:$AB$1407,$AG822)))</f>
        <v/>
      </c>
      <c r="O822" s="92" t="str">
        <f>IF($AG822="","",INDEX($AL$8:$AL$21,INDEX($AC$8:$AC$1407,$AG822)+1))</f>
        <v/>
      </c>
      <c r="P822" s="109" t="str">
        <f>IF($AG822="","",INDEX($AD$8:$AD$1407,$AG822))</f>
        <v/>
      </c>
      <c r="Q822" s="92" t="str">
        <f>IF($AG822="","",INDEX($AM$8:$AM$21,INDEX($AC$8:$AC$1407,$AG822)+1))</f>
        <v/>
      </c>
      <c r="R822" s="92" t="str">
        <f>IF($AG822="","",IF($G822&gt;0,P_ToelCorrectie&amp;"",""))</f>
        <v/>
      </c>
      <c r="S822" s="15" t="str">
        <f>IF(J822="","",J822&amp;"|"&amp;E822&amp;"|"&amp;F822&amp;"|"&amp;I822&amp;"|"&amp;O822)</f>
        <v/>
      </c>
      <c r="T822" s="111" t="str">
        <f>IF(S822="","",IF(COUNTIFS(L_Sleutel,S822,L_Actief,1)=0,"",SUMIFS(L_Waarde,L_Sleutel,S822,L_Actief,1)))</f>
        <v/>
      </c>
      <c r="U822" s="111">
        <f>IF(OR(S822="",T822=""),0,P822-T822)</f>
        <v>0</v>
      </c>
      <c r="AB822" s="112" t="n">
        <v>59</v>
      </c>
      <c r="AC822" s="112" t="n">
        <v>2</v>
      </c>
      <c r="AD822" s="112" t="str">
        <f>VERW_Project!L64</f>
        <v/>
      </c>
      <c r="AE822" s="112">
        <f>IF(AND(VERW_Project!$A64&lt;&gt;"",ISNUMBER(AD822)),1,0)</f>
        <v>0</v>
      </c>
      <c r="AF822" s="112" t="str">
        <f>IF(AE822=1,SUM($AE$8:AE822),"")</f>
        <v/>
      </c>
      <c r="AG822" t="str">
        <f>IFERROR(MATCH(815,$AF$8:$AF$1407,0),"")</f>
        <v/>
      </c>
    </row>
    <row r="823">
      <c r="A823" s="92" t="str">
        <f>IF($AG823="","",P_ImportID)</f>
        <v/>
      </c>
      <c r="B823" s="92" t="str">
        <f>IF($AG823="","",IF(INDEX($AN$8:$AN$21,INDEX($AC$8:$AC$1407,$AG823)+1)="Z",P_BronZ,P_BronE))</f>
        <v/>
      </c>
      <c r="C823" s="108" t="str">
        <f>IF($AG823="","",P_Importdatum)</f>
        <v/>
      </c>
      <c r="D823" s="92" t="str">
        <f>IF($AG823="","",P_StatusVastleg)</f>
        <v/>
      </c>
      <c r="E823" s="92" t="str">
        <f>IF($AG823="","",P_UploadVJ)</f>
        <v/>
      </c>
      <c r="F823" s="92" t="str">
        <f>IF($AG823="","",P_UploadVersie)</f>
        <v/>
      </c>
      <c r="G823" s="92" t="str">
        <f>IF($AG823="","",IF(COUNTIFS(L_Sleutel,$S823,L_Status,"Vastgesteld")=0,0,_xlfn.MAXIFS(L_Revisie,L_Sleutel,$S823,L_Status,"Vastgesteld")+1))</f>
        <v/>
      </c>
      <c r="H823" s="108" t="str">
        <f>IF($AG823="","",P_Peildatum)</f>
        <v/>
      </c>
      <c r="I823" s="92" t="str">
        <f>IF($AG823="","",P_RJ+INDEX($AK$8:$AK$21,INDEX($AC$8:$AC$1407,$AG823)+1))</f>
        <v/>
      </c>
      <c r="J823" s="92" t="str">
        <f>IF($AG823="","",INDEX(V_WBS,INDEX($AB$8:$AB$1407,$AG823)))</f>
        <v/>
      </c>
      <c r="K823" s="92" t="str">
        <f>IF($AG823="","",INDEX(V_Projdef,INDEX($AB$8:$AB$1407,$AG823)))</f>
        <v/>
      </c>
      <c r="L823" s="92" t="str">
        <f>IF($AG823="","",INDEX(V_Naam,INDEX($AB$8:$AB$1407,$AG823)))</f>
        <v/>
      </c>
      <c r="M823" s="92" t="str">
        <f>IF($AG823="","",INDEX(V_Type,INDEX($AB$8:$AB$1407,$AG823)))</f>
        <v/>
      </c>
      <c r="N823" s="92" t="str">
        <f>IF($AG823="","",INDEX(V_IFRS,INDEX($AB$8:$AB$1407,$AG823)))</f>
        <v/>
      </c>
      <c r="O823" s="92" t="str">
        <f>IF($AG823="","",INDEX($AL$8:$AL$21,INDEX($AC$8:$AC$1407,$AG823)+1))</f>
        <v/>
      </c>
      <c r="P823" s="109" t="str">
        <f>IF($AG823="","",INDEX($AD$8:$AD$1407,$AG823))</f>
        <v/>
      </c>
      <c r="Q823" s="92" t="str">
        <f>IF($AG823="","",INDEX($AM$8:$AM$21,INDEX($AC$8:$AC$1407,$AG823)+1))</f>
        <v/>
      </c>
      <c r="R823" s="92" t="str">
        <f>IF($AG823="","",IF($G823&gt;0,P_ToelCorrectie&amp;"",""))</f>
        <v/>
      </c>
      <c r="S823" s="15" t="str">
        <f>IF(J823="","",J823&amp;"|"&amp;E823&amp;"|"&amp;F823&amp;"|"&amp;I823&amp;"|"&amp;O823)</f>
        <v/>
      </c>
      <c r="T823" s="111" t="str">
        <f>IF(S823="","",IF(COUNTIFS(L_Sleutel,S823,L_Actief,1)=0,"",SUMIFS(L_Waarde,L_Sleutel,S823,L_Actief,1)))</f>
        <v/>
      </c>
      <c r="U823" s="111">
        <f>IF(OR(S823="",T823=""),0,P823-T823)</f>
        <v>0</v>
      </c>
      <c r="AB823" s="112" t="n">
        <v>59</v>
      </c>
      <c r="AC823" s="112" t="n">
        <v>3</v>
      </c>
      <c r="AD823" s="112" t="str">
        <f>VERW_Project!M64</f>
        <v/>
      </c>
      <c r="AE823" s="112">
        <f>IF(AND(VERW_Project!$A64&lt;&gt;"",ISNUMBER(AD823)),1,0)</f>
        <v>0</v>
      </c>
      <c r="AF823" s="112" t="str">
        <f>IF(AE823=1,SUM($AE$8:AE823),"")</f>
        <v/>
      </c>
      <c r="AG823" t="str">
        <f>IFERROR(MATCH(816,$AF$8:$AF$1407,0),"")</f>
        <v/>
      </c>
    </row>
    <row r="824">
      <c r="A824" s="92" t="str">
        <f>IF($AG824="","",P_ImportID)</f>
        <v/>
      </c>
      <c r="B824" s="92" t="str">
        <f>IF($AG824="","",IF(INDEX($AN$8:$AN$21,INDEX($AC$8:$AC$1407,$AG824)+1)="Z",P_BronZ,P_BronE))</f>
        <v/>
      </c>
      <c r="C824" s="108" t="str">
        <f>IF($AG824="","",P_Importdatum)</f>
        <v/>
      </c>
      <c r="D824" s="92" t="str">
        <f>IF($AG824="","",P_StatusVastleg)</f>
        <v/>
      </c>
      <c r="E824" s="92" t="str">
        <f>IF($AG824="","",P_UploadVJ)</f>
        <v/>
      </c>
      <c r="F824" s="92" t="str">
        <f>IF($AG824="","",P_UploadVersie)</f>
        <v/>
      </c>
      <c r="G824" s="92" t="str">
        <f>IF($AG824="","",IF(COUNTIFS(L_Sleutel,$S824,L_Status,"Vastgesteld")=0,0,_xlfn.MAXIFS(L_Revisie,L_Sleutel,$S824,L_Status,"Vastgesteld")+1))</f>
        <v/>
      </c>
      <c r="H824" s="108" t="str">
        <f>IF($AG824="","",P_Peildatum)</f>
        <v/>
      </c>
      <c r="I824" s="92" t="str">
        <f>IF($AG824="","",P_RJ+INDEX($AK$8:$AK$21,INDEX($AC$8:$AC$1407,$AG824)+1))</f>
        <v/>
      </c>
      <c r="J824" s="92" t="str">
        <f>IF($AG824="","",INDEX(V_WBS,INDEX($AB$8:$AB$1407,$AG824)))</f>
        <v/>
      </c>
      <c r="K824" s="92" t="str">
        <f>IF($AG824="","",INDEX(V_Projdef,INDEX($AB$8:$AB$1407,$AG824)))</f>
        <v/>
      </c>
      <c r="L824" s="92" t="str">
        <f>IF($AG824="","",INDEX(V_Naam,INDEX($AB$8:$AB$1407,$AG824)))</f>
        <v/>
      </c>
      <c r="M824" s="92" t="str">
        <f>IF($AG824="","",INDEX(V_Type,INDEX($AB$8:$AB$1407,$AG824)))</f>
        <v/>
      </c>
      <c r="N824" s="92" t="str">
        <f>IF($AG824="","",INDEX(V_IFRS,INDEX($AB$8:$AB$1407,$AG824)))</f>
        <v/>
      </c>
      <c r="O824" s="92" t="str">
        <f>IF($AG824="","",INDEX($AL$8:$AL$21,INDEX($AC$8:$AC$1407,$AG824)+1))</f>
        <v/>
      </c>
      <c r="P824" s="109" t="str">
        <f>IF($AG824="","",INDEX($AD$8:$AD$1407,$AG824))</f>
        <v/>
      </c>
      <c r="Q824" s="92" t="str">
        <f>IF($AG824="","",INDEX($AM$8:$AM$21,INDEX($AC$8:$AC$1407,$AG824)+1))</f>
        <v/>
      </c>
      <c r="R824" s="92" t="str">
        <f>IF($AG824="","",IF($G824&gt;0,P_ToelCorrectie&amp;"",""))</f>
        <v/>
      </c>
      <c r="S824" s="15" t="str">
        <f>IF(J824="","",J824&amp;"|"&amp;E824&amp;"|"&amp;F824&amp;"|"&amp;I824&amp;"|"&amp;O824)</f>
        <v/>
      </c>
      <c r="T824" s="111" t="str">
        <f>IF(S824="","",IF(COUNTIFS(L_Sleutel,S824,L_Actief,1)=0,"",SUMIFS(L_Waarde,L_Sleutel,S824,L_Actief,1)))</f>
        <v/>
      </c>
      <c r="U824" s="111">
        <f>IF(OR(S824="",T824=""),0,P824-T824)</f>
        <v>0</v>
      </c>
      <c r="AB824" s="112" t="n">
        <v>59</v>
      </c>
      <c r="AC824" s="112" t="n">
        <v>4</v>
      </c>
      <c r="AD824" s="112" t="str">
        <f>VERW_Project!R64</f>
        <v/>
      </c>
      <c r="AE824" s="112">
        <f>IF(AND(VERW_Project!$A64&lt;&gt;"",ISNUMBER(AD824)),1,0)</f>
        <v>0</v>
      </c>
      <c r="AF824" s="112" t="str">
        <f>IF(AE824=1,SUM($AE$8:AE824),"")</f>
        <v/>
      </c>
      <c r="AG824" t="str">
        <f>IFERROR(MATCH(817,$AF$8:$AF$1407,0),"")</f>
        <v/>
      </c>
    </row>
    <row r="825">
      <c r="A825" s="92" t="str">
        <f>IF($AG825="","",P_ImportID)</f>
        <v/>
      </c>
      <c r="B825" s="92" t="str">
        <f>IF($AG825="","",IF(INDEX($AN$8:$AN$21,INDEX($AC$8:$AC$1407,$AG825)+1)="Z",P_BronZ,P_BronE))</f>
        <v/>
      </c>
      <c r="C825" s="108" t="str">
        <f>IF($AG825="","",P_Importdatum)</f>
        <v/>
      </c>
      <c r="D825" s="92" t="str">
        <f>IF($AG825="","",P_StatusVastleg)</f>
        <v/>
      </c>
      <c r="E825" s="92" t="str">
        <f>IF($AG825="","",P_UploadVJ)</f>
        <v/>
      </c>
      <c r="F825" s="92" t="str">
        <f>IF($AG825="","",P_UploadVersie)</f>
        <v/>
      </c>
      <c r="G825" s="92" t="str">
        <f>IF($AG825="","",IF(COUNTIFS(L_Sleutel,$S825,L_Status,"Vastgesteld")=0,0,_xlfn.MAXIFS(L_Revisie,L_Sleutel,$S825,L_Status,"Vastgesteld")+1))</f>
        <v/>
      </c>
      <c r="H825" s="108" t="str">
        <f>IF($AG825="","",P_Peildatum)</f>
        <v/>
      </c>
      <c r="I825" s="92" t="str">
        <f>IF($AG825="","",P_RJ+INDEX($AK$8:$AK$21,INDEX($AC$8:$AC$1407,$AG825)+1))</f>
        <v/>
      </c>
      <c r="J825" s="92" t="str">
        <f>IF($AG825="","",INDEX(V_WBS,INDEX($AB$8:$AB$1407,$AG825)))</f>
        <v/>
      </c>
      <c r="K825" s="92" t="str">
        <f>IF($AG825="","",INDEX(V_Projdef,INDEX($AB$8:$AB$1407,$AG825)))</f>
        <v/>
      </c>
      <c r="L825" s="92" t="str">
        <f>IF($AG825="","",INDEX(V_Naam,INDEX($AB$8:$AB$1407,$AG825)))</f>
        <v/>
      </c>
      <c r="M825" s="92" t="str">
        <f>IF($AG825="","",INDEX(V_Type,INDEX($AB$8:$AB$1407,$AG825)))</f>
        <v/>
      </c>
      <c r="N825" s="92" t="str">
        <f>IF($AG825="","",INDEX(V_IFRS,INDEX($AB$8:$AB$1407,$AG825)))</f>
        <v/>
      </c>
      <c r="O825" s="92" t="str">
        <f>IF($AG825="","",INDEX($AL$8:$AL$21,INDEX($AC$8:$AC$1407,$AG825)+1))</f>
        <v/>
      </c>
      <c r="P825" s="109" t="str">
        <f>IF($AG825="","",INDEX($AD$8:$AD$1407,$AG825))</f>
        <v/>
      </c>
      <c r="Q825" s="92" t="str">
        <f>IF($AG825="","",INDEX($AM$8:$AM$21,INDEX($AC$8:$AC$1407,$AG825)+1))</f>
        <v/>
      </c>
      <c r="R825" s="92" t="str">
        <f>IF($AG825="","",IF($G825&gt;0,P_ToelCorrectie&amp;"",""))</f>
        <v/>
      </c>
      <c r="S825" s="15" t="str">
        <f>IF(J825="","",J825&amp;"|"&amp;E825&amp;"|"&amp;F825&amp;"|"&amp;I825&amp;"|"&amp;O825)</f>
        <v/>
      </c>
      <c r="T825" s="111" t="str">
        <f>IF(S825="","",IF(COUNTIFS(L_Sleutel,S825,L_Actief,1)=0,"",SUMIFS(L_Waarde,L_Sleutel,S825,L_Actief,1)))</f>
        <v/>
      </c>
      <c r="U825" s="111">
        <f>IF(OR(S825="",T825=""),0,P825-T825)</f>
        <v>0</v>
      </c>
      <c r="AB825" s="112" t="n">
        <v>59</v>
      </c>
      <c r="AC825" s="112" t="n">
        <v>5</v>
      </c>
      <c r="AD825" s="112" t="str">
        <f>VERW_Project!S64</f>
        <v/>
      </c>
      <c r="AE825" s="112">
        <f>IF(AND(VERW_Project!$A64&lt;&gt;"",ISNUMBER(AD825)),1,0)</f>
        <v>0</v>
      </c>
      <c r="AF825" s="112" t="str">
        <f>IF(AE825=1,SUM($AE$8:AE825),"")</f>
        <v/>
      </c>
      <c r="AG825" t="str">
        <f>IFERROR(MATCH(818,$AF$8:$AF$1407,0),"")</f>
        <v/>
      </c>
    </row>
    <row r="826">
      <c r="A826" s="92" t="str">
        <f>IF($AG826="","",P_ImportID)</f>
        <v/>
      </c>
      <c r="B826" s="92" t="str">
        <f>IF($AG826="","",IF(INDEX($AN$8:$AN$21,INDEX($AC$8:$AC$1407,$AG826)+1)="Z",P_BronZ,P_BronE))</f>
        <v/>
      </c>
      <c r="C826" s="108" t="str">
        <f>IF($AG826="","",P_Importdatum)</f>
        <v/>
      </c>
      <c r="D826" s="92" t="str">
        <f>IF($AG826="","",P_StatusVastleg)</f>
        <v/>
      </c>
      <c r="E826" s="92" t="str">
        <f>IF($AG826="","",P_UploadVJ)</f>
        <v/>
      </c>
      <c r="F826" s="92" t="str">
        <f>IF($AG826="","",P_UploadVersie)</f>
        <v/>
      </c>
      <c r="G826" s="92" t="str">
        <f>IF($AG826="","",IF(COUNTIFS(L_Sleutel,$S826,L_Status,"Vastgesteld")=0,0,_xlfn.MAXIFS(L_Revisie,L_Sleutel,$S826,L_Status,"Vastgesteld")+1))</f>
        <v/>
      </c>
      <c r="H826" s="108" t="str">
        <f>IF($AG826="","",P_Peildatum)</f>
        <v/>
      </c>
      <c r="I826" s="92" t="str">
        <f>IF($AG826="","",P_RJ+INDEX($AK$8:$AK$21,INDEX($AC$8:$AC$1407,$AG826)+1))</f>
        <v/>
      </c>
      <c r="J826" s="92" t="str">
        <f>IF($AG826="","",INDEX(V_WBS,INDEX($AB$8:$AB$1407,$AG826)))</f>
        <v/>
      </c>
      <c r="K826" s="92" t="str">
        <f>IF($AG826="","",INDEX(V_Projdef,INDEX($AB$8:$AB$1407,$AG826)))</f>
        <v/>
      </c>
      <c r="L826" s="92" t="str">
        <f>IF($AG826="","",INDEX(V_Naam,INDEX($AB$8:$AB$1407,$AG826)))</f>
        <v/>
      </c>
      <c r="M826" s="92" t="str">
        <f>IF($AG826="","",INDEX(V_Type,INDEX($AB$8:$AB$1407,$AG826)))</f>
        <v/>
      </c>
      <c r="N826" s="92" t="str">
        <f>IF($AG826="","",INDEX(V_IFRS,INDEX($AB$8:$AB$1407,$AG826)))</f>
        <v/>
      </c>
      <c r="O826" s="92" t="str">
        <f>IF($AG826="","",INDEX($AL$8:$AL$21,INDEX($AC$8:$AC$1407,$AG826)+1))</f>
        <v/>
      </c>
      <c r="P826" s="109" t="str">
        <f>IF($AG826="","",INDEX($AD$8:$AD$1407,$AG826))</f>
        <v/>
      </c>
      <c r="Q826" s="92" t="str">
        <f>IF($AG826="","",INDEX($AM$8:$AM$21,INDEX($AC$8:$AC$1407,$AG826)+1))</f>
        <v/>
      </c>
      <c r="R826" s="92" t="str">
        <f>IF($AG826="","",IF($G826&gt;0,P_ToelCorrectie&amp;"",""))</f>
        <v/>
      </c>
      <c r="S826" s="15" t="str">
        <f>IF(J826="","",J826&amp;"|"&amp;E826&amp;"|"&amp;F826&amp;"|"&amp;I826&amp;"|"&amp;O826)</f>
        <v/>
      </c>
      <c r="T826" s="111" t="str">
        <f>IF(S826="","",IF(COUNTIFS(L_Sleutel,S826,L_Actief,1)=0,"",SUMIFS(L_Waarde,L_Sleutel,S826,L_Actief,1)))</f>
        <v/>
      </c>
      <c r="U826" s="111">
        <f>IF(OR(S826="",T826=""),0,P826-T826)</f>
        <v>0</v>
      </c>
      <c r="AB826" s="112" t="n">
        <v>59</v>
      </c>
      <c r="AC826" s="112" t="n">
        <v>6</v>
      </c>
      <c r="AD826" s="112" t="str">
        <f>VERW_Project!BW64</f>
        <v/>
      </c>
      <c r="AE826" s="112">
        <f>IF(AND(VERW_Project!$A64&lt;&gt;"",ISNUMBER(AD826)),1,0)</f>
        <v>0</v>
      </c>
      <c r="AF826" s="112" t="str">
        <f>IF(AE826=1,SUM($AE$8:AE826),"")</f>
        <v/>
      </c>
      <c r="AG826" t="str">
        <f>IFERROR(MATCH(819,$AF$8:$AF$1407,0),"")</f>
        <v/>
      </c>
    </row>
    <row r="827">
      <c r="A827" s="92" t="str">
        <f>IF($AG827="","",P_ImportID)</f>
        <v/>
      </c>
      <c r="B827" s="92" t="str">
        <f>IF($AG827="","",IF(INDEX($AN$8:$AN$21,INDEX($AC$8:$AC$1407,$AG827)+1)="Z",P_BronZ,P_BronE))</f>
        <v/>
      </c>
      <c r="C827" s="108" t="str">
        <f>IF($AG827="","",P_Importdatum)</f>
        <v/>
      </c>
      <c r="D827" s="92" t="str">
        <f>IF($AG827="","",P_StatusVastleg)</f>
        <v/>
      </c>
      <c r="E827" s="92" t="str">
        <f>IF($AG827="","",P_UploadVJ)</f>
        <v/>
      </c>
      <c r="F827" s="92" t="str">
        <f>IF($AG827="","",P_UploadVersie)</f>
        <v/>
      </c>
      <c r="G827" s="92" t="str">
        <f>IF($AG827="","",IF(COUNTIFS(L_Sleutel,$S827,L_Status,"Vastgesteld")=0,0,_xlfn.MAXIFS(L_Revisie,L_Sleutel,$S827,L_Status,"Vastgesteld")+1))</f>
        <v/>
      </c>
      <c r="H827" s="108" t="str">
        <f>IF($AG827="","",P_Peildatum)</f>
        <v/>
      </c>
      <c r="I827" s="92" t="str">
        <f>IF($AG827="","",P_RJ+INDEX($AK$8:$AK$21,INDEX($AC$8:$AC$1407,$AG827)+1))</f>
        <v/>
      </c>
      <c r="J827" s="92" t="str">
        <f>IF($AG827="","",INDEX(V_WBS,INDEX($AB$8:$AB$1407,$AG827)))</f>
        <v/>
      </c>
      <c r="K827" s="92" t="str">
        <f>IF($AG827="","",INDEX(V_Projdef,INDEX($AB$8:$AB$1407,$AG827)))</f>
        <v/>
      </c>
      <c r="L827" s="92" t="str">
        <f>IF($AG827="","",INDEX(V_Naam,INDEX($AB$8:$AB$1407,$AG827)))</f>
        <v/>
      </c>
      <c r="M827" s="92" t="str">
        <f>IF($AG827="","",INDEX(V_Type,INDEX($AB$8:$AB$1407,$AG827)))</f>
        <v/>
      </c>
      <c r="N827" s="92" t="str">
        <f>IF($AG827="","",INDEX(V_IFRS,INDEX($AB$8:$AB$1407,$AG827)))</f>
        <v/>
      </c>
      <c r="O827" s="92" t="str">
        <f>IF($AG827="","",INDEX($AL$8:$AL$21,INDEX($AC$8:$AC$1407,$AG827)+1))</f>
        <v/>
      </c>
      <c r="P827" s="109" t="str">
        <f>IF($AG827="","",INDEX($AD$8:$AD$1407,$AG827))</f>
        <v/>
      </c>
      <c r="Q827" s="92" t="str">
        <f>IF($AG827="","",INDEX($AM$8:$AM$21,INDEX($AC$8:$AC$1407,$AG827)+1))</f>
        <v/>
      </c>
      <c r="R827" s="92" t="str">
        <f>IF($AG827="","",IF($G827&gt;0,P_ToelCorrectie&amp;"",""))</f>
        <v/>
      </c>
      <c r="S827" s="15" t="str">
        <f>IF(J827="","",J827&amp;"|"&amp;E827&amp;"|"&amp;F827&amp;"|"&amp;I827&amp;"|"&amp;O827)</f>
        <v/>
      </c>
      <c r="T827" s="111" t="str">
        <f>IF(S827="","",IF(COUNTIFS(L_Sleutel,S827,L_Actief,1)=0,"",SUMIFS(L_Waarde,L_Sleutel,S827,L_Actief,1)))</f>
        <v/>
      </c>
      <c r="U827" s="111">
        <f>IF(OR(S827="",T827=""),0,P827-T827)</f>
        <v>0</v>
      </c>
      <c r="AB827" s="112" t="n">
        <v>59</v>
      </c>
      <c r="AC827" s="112" t="n">
        <v>7</v>
      </c>
      <c r="AD827" s="112" t="str">
        <f>VERW_Project!AW64</f>
        <v/>
      </c>
      <c r="AE827" s="112">
        <f>IF(AND(VERW_Project!$A64&lt;&gt;"",ISNUMBER(AD827)),1,0)</f>
        <v>0</v>
      </c>
      <c r="AF827" s="112" t="str">
        <f>IF(AE827=1,SUM($AE$8:AE827),"")</f>
        <v/>
      </c>
      <c r="AG827" t="str">
        <f>IFERROR(MATCH(820,$AF$8:$AF$1407,0),"")</f>
        <v/>
      </c>
    </row>
    <row r="828">
      <c r="A828" s="92" t="str">
        <f>IF($AG828="","",P_ImportID)</f>
        <v/>
      </c>
      <c r="B828" s="92" t="str">
        <f>IF($AG828="","",IF(INDEX($AN$8:$AN$21,INDEX($AC$8:$AC$1407,$AG828)+1)="Z",P_BronZ,P_BronE))</f>
        <v/>
      </c>
      <c r="C828" s="108" t="str">
        <f>IF($AG828="","",P_Importdatum)</f>
        <v/>
      </c>
      <c r="D828" s="92" t="str">
        <f>IF($AG828="","",P_StatusVastleg)</f>
        <v/>
      </c>
      <c r="E828" s="92" t="str">
        <f>IF($AG828="","",P_UploadVJ)</f>
        <v/>
      </c>
      <c r="F828" s="92" t="str">
        <f>IF($AG828="","",P_UploadVersie)</f>
        <v/>
      </c>
      <c r="G828" s="92" t="str">
        <f>IF($AG828="","",IF(COUNTIFS(L_Sleutel,$S828,L_Status,"Vastgesteld")=0,0,_xlfn.MAXIFS(L_Revisie,L_Sleutel,$S828,L_Status,"Vastgesteld")+1))</f>
        <v/>
      </c>
      <c r="H828" s="108" t="str">
        <f>IF($AG828="","",P_Peildatum)</f>
        <v/>
      </c>
      <c r="I828" s="92" t="str">
        <f>IF($AG828="","",P_RJ+INDEX($AK$8:$AK$21,INDEX($AC$8:$AC$1407,$AG828)+1))</f>
        <v/>
      </c>
      <c r="J828" s="92" t="str">
        <f>IF($AG828="","",INDEX(V_WBS,INDEX($AB$8:$AB$1407,$AG828)))</f>
        <v/>
      </c>
      <c r="K828" s="92" t="str">
        <f>IF($AG828="","",INDEX(V_Projdef,INDEX($AB$8:$AB$1407,$AG828)))</f>
        <v/>
      </c>
      <c r="L828" s="92" t="str">
        <f>IF($AG828="","",INDEX(V_Naam,INDEX($AB$8:$AB$1407,$AG828)))</f>
        <v/>
      </c>
      <c r="M828" s="92" t="str">
        <f>IF($AG828="","",INDEX(V_Type,INDEX($AB$8:$AB$1407,$AG828)))</f>
        <v/>
      </c>
      <c r="N828" s="92" t="str">
        <f>IF($AG828="","",INDEX(V_IFRS,INDEX($AB$8:$AB$1407,$AG828)))</f>
        <v/>
      </c>
      <c r="O828" s="92" t="str">
        <f>IF($AG828="","",INDEX($AL$8:$AL$21,INDEX($AC$8:$AC$1407,$AG828)+1))</f>
        <v/>
      </c>
      <c r="P828" s="109" t="str">
        <f>IF($AG828="","",INDEX($AD$8:$AD$1407,$AG828))</f>
        <v/>
      </c>
      <c r="Q828" s="92" t="str">
        <f>IF($AG828="","",INDEX($AM$8:$AM$21,INDEX($AC$8:$AC$1407,$AG828)+1))</f>
        <v/>
      </c>
      <c r="R828" s="92" t="str">
        <f>IF($AG828="","",IF($G828&gt;0,P_ToelCorrectie&amp;"",""))</f>
        <v/>
      </c>
      <c r="S828" s="15" t="str">
        <f>IF(J828="","",J828&amp;"|"&amp;E828&amp;"|"&amp;F828&amp;"|"&amp;I828&amp;"|"&amp;O828)</f>
        <v/>
      </c>
      <c r="T828" s="111" t="str">
        <f>IF(S828="","",IF(COUNTIFS(L_Sleutel,S828,L_Actief,1)=0,"",SUMIFS(L_Waarde,L_Sleutel,S828,L_Actief,1)))</f>
        <v/>
      </c>
      <c r="U828" s="111">
        <f>IF(OR(S828="",T828=""),0,P828-T828)</f>
        <v>0</v>
      </c>
      <c r="AB828" s="112" t="n">
        <v>59</v>
      </c>
      <c r="AC828" s="112" t="n">
        <v>8</v>
      </c>
      <c r="AD828" s="112" t="str">
        <f>VERW_Project!BQ64</f>
        <v/>
      </c>
      <c r="AE828" s="112">
        <f>IF(AND(VERW_Project!$A64&lt;&gt;"",ISNUMBER(AD828)),1,0)</f>
        <v>0</v>
      </c>
      <c r="AF828" s="112" t="str">
        <f>IF(AE828=1,SUM($AE$8:AE828),"")</f>
        <v/>
      </c>
      <c r="AG828" t="str">
        <f>IFERROR(MATCH(821,$AF$8:$AF$1407,0),"")</f>
        <v/>
      </c>
    </row>
    <row r="829">
      <c r="A829" s="92" t="str">
        <f>IF($AG829="","",P_ImportID)</f>
        <v/>
      </c>
      <c r="B829" s="92" t="str">
        <f>IF($AG829="","",IF(INDEX($AN$8:$AN$21,INDEX($AC$8:$AC$1407,$AG829)+1)="Z",P_BronZ,P_BronE))</f>
        <v/>
      </c>
      <c r="C829" s="108" t="str">
        <f>IF($AG829="","",P_Importdatum)</f>
        <v/>
      </c>
      <c r="D829" s="92" t="str">
        <f>IF($AG829="","",P_StatusVastleg)</f>
        <v/>
      </c>
      <c r="E829" s="92" t="str">
        <f>IF($AG829="","",P_UploadVJ)</f>
        <v/>
      </c>
      <c r="F829" s="92" t="str">
        <f>IF($AG829="","",P_UploadVersie)</f>
        <v/>
      </c>
      <c r="G829" s="92" t="str">
        <f>IF($AG829="","",IF(COUNTIFS(L_Sleutel,$S829,L_Status,"Vastgesteld")=0,0,_xlfn.MAXIFS(L_Revisie,L_Sleutel,$S829,L_Status,"Vastgesteld")+1))</f>
        <v/>
      </c>
      <c r="H829" s="108" t="str">
        <f>IF($AG829="","",P_Peildatum)</f>
        <v/>
      </c>
      <c r="I829" s="92" t="str">
        <f>IF($AG829="","",P_RJ+INDEX($AK$8:$AK$21,INDEX($AC$8:$AC$1407,$AG829)+1))</f>
        <v/>
      </c>
      <c r="J829" s="92" t="str">
        <f>IF($AG829="","",INDEX(V_WBS,INDEX($AB$8:$AB$1407,$AG829)))</f>
        <v/>
      </c>
      <c r="K829" s="92" t="str">
        <f>IF($AG829="","",INDEX(V_Projdef,INDEX($AB$8:$AB$1407,$AG829)))</f>
        <v/>
      </c>
      <c r="L829" s="92" t="str">
        <f>IF($AG829="","",INDEX(V_Naam,INDEX($AB$8:$AB$1407,$AG829)))</f>
        <v/>
      </c>
      <c r="M829" s="92" t="str">
        <f>IF($AG829="","",INDEX(V_Type,INDEX($AB$8:$AB$1407,$AG829)))</f>
        <v/>
      </c>
      <c r="N829" s="92" t="str">
        <f>IF($AG829="","",INDEX(V_IFRS,INDEX($AB$8:$AB$1407,$AG829)))</f>
        <v/>
      </c>
      <c r="O829" s="92" t="str">
        <f>IF($AG829="","",INDEX($AL$8:$AL$21,INDEX($AC$8:$AC$1407,$AG829)+1))</f>
        <v/>
      </c>
      <c r="P829" s="109" t="str">
        <f>IF($AG829="","",INDEX($AD$8:$AD$1407,$AG829))</f>
        <v/>
      </c>
      <c r="Q829" s="92" t="str">
        <f>IF($AG829="","",INDEX($AM$8:$AM$21,INDEX($AC$8:$AC$1407,$AG829)+1))</f>
        <v/>
      </c>
      <c r="R829" s="92" t="str">
        <f>IF($AG829="","",IF($G829&gt;0,P_ToelCorrectie&amp;"",""))</f>
        <v/>
      </c>
      <c r="S829" s="15" t="str">
        <f>IF(J829="","",J829&amp;"|"&amp;E829&amp;"|"&amp;F829&amp;"|"&amp;I829&amp;"|"&amp;O829)</f>
        <v/>
      </c>
      <c r="T829" s="111" t="str">
        <f>IF(S829="","",IF(COUNTIFS(L_Sleutel,S829,L_Actief,1)=0,"",SUMIFS(L_Waarde,L_Sleutel,S829,L_Actief,1)))</f>
        <v/>
      </c>
      <c r="U829" s="111">
        <f>IF(OR(S829="",T829=""),0,P829-T829)</f>
        <v>0</v>
      </c>
      <c r="AB829" s="112" t="n">
        <v>59</v>
      </c>
      <c r="AC829" s="112" t="n">
        <v>9</v>
      </c>
      <c r="AD829" s="112" t="str">
        <f>VERW_Project!BR64</f>
        <v/>
      </c>
      <c r="AE829" s="112">
        <f>IF(AND(VERW_Project!$A64&lt;&gt;"",ISNUMBER(AD829)),1,0)</f>
        <v>0</v>
      </c>
      <c r="AF829" s="112" t="str">
        <f>IF(AE829=1,SUM($AE$8:AE829),"")</f>
        <v/>
      </c>
      <c r="AG829" t="str">
        <f>IFERROR(MATCH(822,$AF$8:$AF$1407,0),"")</f>
        <v/>
      </c>
    </row>
    <row r="830">
      <c r="A830" s="92" t="str">
        <f>IF($AG830="","",P_ImportID)</f>
        <v/>
      </c>
      <c r="B830" s="92" t="str">
        <f>IF($AG830="","",IF(INDEX($AN$8:$AN$21,INDEX($AC$8:$AC$1407,$AG830)+1)="Z",P_BronZ,P_BronE))</f>
        <v/>
      </c>
      <c r="C830" s="108" t="str">
        <f>IF($AG830="","",P_Importdatum)</f>
        <v/>
      </c>
      <c r="D830" s="92" t="str">
        <f>IF($AG830="","",P_StatusVastleg)</f>
        <v/>
      </c>
      <c r="E830" s="92" t="str">
        <f>IF($AG830="","",P_UploadVJ)</f>
        <v/>
      </c>
      <c r="F830" s="92" t="str">
        <f>IF($AG830="","",P_UploadVersie)</f>
        <v/>
      </c>
      <c r="G830" s="92" t="str">
        <f>IF($AG830="","",IF(COUNTIFS(L_Sleutel,$S830,L_Status,"Vastgesteld")=0,0,_xlfn.MAXIFS(L_Revisie,L_Sleutel,$S830,L_Status,"Vastgesteld")+1))</f>
        <v/>
      </c>
      <c r="H830" s="108" t="str">
        <f>IF($AG830="","",P_Peildatum)</f>
        <v/>
      </c>
      <c r="I830" s="92" t="str">
        <f>IF($AG830="","",P_RJ+INDEX($AK$8:$AK$21,INDEX($AC$8:$AC$1407,$AG830)+1))</f>
        <v/>
      </c>
      <c r="J830" s="92" t="str">
        <f>IF($AG830="","",INDEX(V_WBS,INDEX($AB$8:$AB$1407,$AG830)))</f>
        <v/>
      </c>
      <c r="K830" s="92" t="str">
        <f>IF($AG830="","",INDEX(V_Projdef,INDEX($AB$8:$AB$1407,$AG830)))</f>
        <v/>
      </c>
      <c r="L830" s="92" t="str">
        <f>IF($AG830="","",INDEX(V_Naam,INDEX($AB$8:$AB$1407,$AG830)))</f>
        <v/>
      </c>
      <c r="M830" s="92" t="str">
        <f>IF($AG830="","",INDEX(V_Type,INDEX($AB$8:$AB$1407,$AG830)))</f>
        <v/>
      </c>
      <c r="N830" s="92" t="str">
        <f>IF($AG830="","",INDEX(V_IFRS,INDEX($AB$8:$AB$1407,$AG830)))</f>
        <v/>
      </c>
      <c r="O830" s="92" t="str">
        <f>IF($AG830="","",INDEX($AL$8:$AL$21,INDEX($AC$8:$AC$1407,$AG830)+1))</f>
        <v/>
      </c>
      <c r="P830" s="109" t="str">
        <f>IF($AG830="","",INDEX($AD$8:$AD$1407,$AG830))</f>
        <v/>
      </c>
      <c r="Q830" s="92" t="str">
        <f>IF($AG830="","",INDEX($AM$8:$AM$21,INDEX($AC$8:$AC$1407,$AG830)+1))</f>
        <v/>
      </c>
      <c r="R830" s="92" t="str">
        <f>IF($AG830="","",IF($G830&gt;0,P_ToelCorrectie&amp;"",""))</f>
        <v/>
      </c>
      <c r="S830" s="15" t="str">
        <f>IF(J830="","",J830&amp;"|"&amp;E830&amp;"|"&amp;F830&amp;"|"&amp;I830&amp;"|"&amp;O830)</f>
        <v/>
      </c>
      <c r="T830" s="111" t="str">
        <f>IF(S830="","",IF(COUNTIFS(L_Sleutel,S830,L_Actief,1)=0,"",SUMIFS(L_Waarde,L_Sleutel,S830,L_Actief,1)))</f>
        <v/>
      </c>
      <c r="U830" s="111">
        <f>IF(OR(S830="",T830=""),0,P830-T830)</f>
        <v>0</v>
      </c>
      <c r="AB830" s="112" t="n">
        <v>59</v>
      </c>
      <c r="AC830" s="112" t="n">
        <v>10</v>
      </c>
      <c r="AD830" s="112" t="str">
        <f>VERW_Project!BS64</f>
        <v/>
      </c>
      <c r="AE830" s="112">
        <f>IF(AND(VERW_Project!$A64&lt;&gt;"",ISNUMBER(AD830)),1,0)</f>
        <v>0</v>
      </c>
      <c r="AF830" s="112" t="str">
        <f>IF(AE830=1,SUM($AE$8:AE830),"")</f>
        <v/>
      </c>
      <c r="AG830" t="str">
        <f>IFERROR(MATCH(823,$AF$8:$AF$1407,0),"")</f>
        <v/>
      </c>
    </row>
    <row r="831">
      <c r="A831" s="92" t="str">
        <f>IF($AG831="","",P_ImportID)</f>
        <v/>
      </c>
      <c r="B831" s="92" t="str">
        <f>IF($AG831="","",IF(INDEX($AN$8:$AN$21,INDEX($AC$8:$AC$1407,$AG831)+1)="Z",P_BronZ,P_BronE))</f>
        <v/>
      </c>
      <c r="C831" s="108" t="str">
        <f>IF($AG831="","",P_Importdatum)</f>
        <v/>
      </c>
      <c r="D831" s="92" t="str">
        <f>IF($AG831="","",P_StatusVastleg)</f>
        <v/>
      </c>
      <c r="E831" s="92" t="str">
        <f>IF($AG831="","",P_UploadVJ)</f>
        <v/>
      </c>
      <c r="F831" s="92" t="str">
        <f>IF($AG831="","",P_UploadVersie)</f>
        <v/>
      </c>
      <c r="G831" s="92" t="str">
        <f>IF($AG831="","",IF(COUNTIFS(L_Sleutel,$S831,L_Status,"Vastgesteld")=0,0,_xlfn.MAXIFS(L_Revisie,L_Sleutel,$S831,L_Status,"Vastgesteld")+1))</f>
        <v/>
      </c>
      <c r="H831" s="108" t="str">
        <f>IF($AG831="","",P_Peildatum)</f>
        <v/>
      </c>
      <c r="I831" s="92" t="str">
        <f>IF($AG831="","",P_RJ+INDEX($AK$8:$AK$21,INDEX($AC$8:$AC$1407,$AG831)+1))</f>
        <v/>
      </c>
      <c r="J831" s="92" t="str">
        <f>IF($AG831="","",INDEX(V_WBS,INDEX($AB$8:$AB$1407,$AG831)))</f>
        <v/>
      </c>
      <c r="K831" s="92" t="str">
        <f>IF($AG831="","",INDEX(V_Projdef,INDEX($AB$8:$AB$1407,$AG831)))</f>
        <v/>
      </c>
      <c r="L831" s="92" t="str">
        <f>IF($AG831="","",INDEX(V_Naam,INDEX($AB$8:$AB$1407,$AG831)))</f>
        <v/>
      </c>
      <c r="M831" s="92" t="str">
        <f>IF($AG831="","",INDEX(V_Type,INDEX($AB$8:$AB$1407,$AG831)))</f>
        <v/>
      </c>
      <c r="N831" s="92" t="str">
        <f>IF($AG831="","",INDEX(V_IFRS,INDEX($AB$8:$AB$1407,$AG831)))</f>
        <v/>
      </c>
      <c r="O831" s="92" t="str">
        <f>IF($AG831="","",INDEX($AL$8:$AL$21,INDEX($AC$8:$AC$1407,$AG831)+1))</f>
        <v/>
      </c>
      <c r="P831" s="109" t="str">
        <f>IF($AG831="","",INDEX($AD$8:$AD$1407,$AG831))</f>
        <v/>
      </c>
      <c r="Q831" s="92" t="str">
        <f>IF($AG831="","",INDEX($AM$8:$AM$21,INDEX($AC$8:$AC$1407,$AG831)+1))</f>
        <v/>
      </c>
      <c r="R831" s="92" t="str">
        <f>IF($AG831="","",IF($G831&gt;0,P_ToelCorrectie&amp;"",""))</f>
        <v/>
      </c>
      <c r="S831" s="15" t="str">
        <f>IF(J831="","",J831&amp;"|"&amp;E831&amp;"|"&amp;F831&amp;"|"&amp;I831&amp;"|"&amp;O831)</f>
        <v/>
      </c>
      <c r="T831" s="111" t="str">
        <f>IF(S831="","",IF(COUNTIFS(L_Sleutel,S831,L_Actief,1)=0,"",SUMIFS(L_Waarde,L_Sleutel,S831,L_Actief,1)))</f>
        <v/>
      </c>
      <c r="U831" s="111">
        <f>IF(OR(S831="",T831=""),0,P831-T831)</f>
        <v>0</v>
      </c>
      <c r="AB831" s="112" t="n">
        <v>59</v>
      </c>
      <c r="AC831" s="112" t="n">
        <v>11</v>
      </c>
      <c r="AD831" s="112" t="str">
        <f>VERW_Project!BT64</f>
        <v/>
      </c>
      <c r="AE831" s="112">
        <f>IF(AND(VERW_Project!$A64&lt;&gt;"",ISNUMBER(AD831)),1,0)</f>
        <v>0</v>
      </c>
      <c r="AF831" s="112" t="str">
        <f>IF(AE831=1,SUM($AE$8:AE831),"")</f>
        <v/>
      </c>
      <c r="AG831" t="str">
        <f>IFERROR(MATCH(824,$AF$8:$AF$1407,0),"")</f>
        <v/>
      </c>
    </row>
    <row r="832">
      <c r="A832" s="92" t="str">
        <f>IF($AG832="","",P_ImportID)</f>
        <v/>
      </c>
      <c r="B832" s="92" t="str">
        <f>IF($AG832="","",IF(INDEX($AN$8:$AN$21,INDEX($AC$8:$AC$1407,$AG832)+1)="Z",P_BronZ,P_BronE))</f>
        <v/>
      </c>
      <c r="C832" s="108" t="str">
        <f>IF($AG832="","",P_Importdatum)</f>
        <v/>
      </c>
      <c r="D832" s="92" t="str">
        <f>IF($AG832="","",P_StatusVastleg)</f>
        <v/>
      </c>
      <c r="E832" s="92" t="str">
        <f>IF($AG832="","",P_UploadVJ)</f>
        <v/>
      </c>
      <c r="F832" s="92" t="str">
        <f>IF($AG832="","",P_UploadVersie)</f>
        <v/>
      </c>
      <c r="G832" s="92" t="str">
        <f>IF($AG832="","",IF(COUNTIFS(L_Sleutel,$S832,L_Status,"Vastgesteld")=0,0,_xlfn.MAXIFS(L_Revisie,L_Sleutel,$S832,L_Status,"Vastgesteld")+1))</f>
        <v/>
      </c>
      <c r="H832" s="108" t="str">
        <f>IF($AG832="","",P_Peildatum)</f>
        <v/>
      </c>
      <c r="I832" s="92" t="str">
        <f>IF($AG832="","",P_RJ+INDEX($AK$8:$AK$21,INDEX($AC$8:$AC$1407,$AG832)+1))</f>
        <v/>
      </c>
      <c r="J832" s="92" t="str">
        <f>IF($AG832="","",INDEX(V_WBS,INDEX($AB$8:$AB$1407,$AG832)))</f>
        <v/>
      </c>
      <c r="K832" s="92" t="str">
        <f>IF($AG832="","",INDEX(V_Projdef,INDEX($AB$8:$AB$1407,$AG832)))</f>
        <v/>
      </c>
      <c r="L832" s="92" t="str">
        <f>IF($AG832="","",INDEX(V_Naam,INDEX($AB$8:$AB$1407,$AG832)))</f>
        <v/>
      </c>
      <c r="M832" s="92" t="str">
        <f>IF($AG832="","",INDEX(V_Type,INDEX($AB$8:$AB$1407,$AG832)))</f>
        <v/>
      </c>
      <c r="N832" s="92" t="str">
        <f>IF($AG832="","",INDEX(V_IFRS,INDEX($AB$8:$AB$1407,$AG832)))</f>
        <v/>
      </c>
      <c r="O832" s="92" t="str">
        <f>IF($AG832="","",INDEX($AL$8:$AL$21,INDEX($AC$8:$AC$1407,$AG832)+1))</f>
        <v/>
      </c>
      <c r="P832" s="109" t="str">
        <f>IF($AG832="","",INDEX($AD$8:$AD$1407,$AG832))</f>
        <v/>
      </c>
      <c r="Q832" s="92" t="str">
        <f>IF($AG832="","",INDEX($AM$8:$AM$21,INDEX($AC$8:$AC$1407,$AG832)+1))</f>
        <v/>
      </c>
      <c r="R832" s="92" t="str">
        <f>IF($AG832="","",IF($G832&gt;0,P_ToelCorrectie&amp;"",""))</f>
        <v/>
      </c>
      <c r="S832" s="15" t="str">
        <f>IF(J832="","",J832&amp;"|"&amp;E832&amp;"|"&amp;F832&amp;"|"&amp;I832&amp;"|"&amp;O832)</f>
        <v/>
      </c>
      <c r="T832" s="111" t="str">
        <f>IF(S832="","",IF(COUNTIFS(L_Sleutel,S832,L_Actief,1)=0,"",SUMIFS(L_Waarde,L_Sleutel,S832,L_Actief,1)))</f>
        <v/>
      </c>
      <c r="U832" s="111">
        <f>IF(OR(S832="",T832=""),0,P832-T832)</f>
        <v>0</v>
      </c>
      <c r="AB832" s="112" t="n">
        <v>59</v>
      </c>
      <c r="AC832" s="112" t="n">
        <v>12</v>
      </c>
      <c r="AD832" s="112" t="str">
        <f>VERW_Project!BU64</f>
        <v/>
      </c>
      <c r="AE832" s="112">
        <f>IF(AND(VERW_Project!$A64&lt;&gt;"",ISNUMBER(AD832)),1,0)</f>
        <v>0</v>
      </c>
      <c r="AF832" s="112" t="str">
        <f>IF(AE832=1,SUM($AE$8:AE832),"")</f>
        <v/>
      </c>
      <c r="AG832" t="str">
        <f>IFERROR(MATCH(825,$AF$8:$AF$1407,0),"")</f>
        <v/>
      </c>
    </row>
    <row r="833">
      <c r="A833" s="92" t="str">
        <f>IF($AG833="","",P_ImportID)</f>
        <v/>
      </c>
      <c r="B833" s="92" t="str">
        <f>IF($AG833="","",IF(INDEX($AN$8:$AN$21,INDEX($AC$8:$AC$1407,$AG833)+1)="Z",P_BronZ,P_BronE))</f>
        <v/>
      </c>
      <c r="C833" s="108" t="str">
        <f>IF($AG833="","",P_Importdatum)</f>
        <v/>
      </c>
      <c r="D833" s="92" t="str">
        <f>IF($AG833="","",P_StatusVastleg)</f>
        <v/>
      </c>
      <c r="E833" s="92" t="str">
        <f>IF($AG833="","",P_UploadVJ)</f>
        <v/>
      </c>
      <c r="F833" s="92" t="str">
        <f>IF($AG833="","",P_UploadVersie)</f>
        <v/>
      </c>
      <c r="G833" s="92" t="str">
        <f>IF($AG833="","",IF(COUNTIFS(L_Sleutel,$S833,L_Status,"Vastgesteld")=0,0,_xlfn.MAXIFS(L_Revisie,L_Sleutel,$S833,L_Status,"Vastgesteld")+1))</f>
        <v/>
      </c>
      <c r="H833" s="108" t="str">
        <f>IF($AG833="","",P_Peildatum)</f>
        <v/>
      </c>
      <c r="I833" s="92" t="str">
        <f>IF($AG833="","",P_RJ+INDEX($AK$8:$AK$21,INDEX($AC$8:$AC$1407,$AG833)+1))</f>
        <v/>
      </c>
      <c r="J833" s="92" t="str">
        <f>IF($AG833="","",INDEX(V_WBS,INDEX($AB$8:$AB$1407,$AG833)))</f>
        <v/>
      </c>
      <c r="K833" s="92" t="str">
        <f>IF($AG833="","",INDEX(V_Projdef,INDEX($AB$8:$AB$1407,$AG833)))</f>
        <v/>
      </c>
      <c r="L833" s="92" t="str">
        <f>IF($AG833="","",INDEX(V_Naam,INDEX($AB$8:$AB$1407,$AG833)))</f>
        <v/>
      </c>
      <c r="M833" s="92" t="str">
        <f>IF($AG833="","",INDEX(V_Type,INDEX($AB$8:$AB$1407,$AG833)))</f>
        <v/>
      </c>
      <c r="N833" s="92" t="str">
        <f>IF($AG833="","",INDEX(V_IFRS,INDEX($AB$8:$AB$1407,$AG833)))</f>
        <v/>
      </c>
      <c r="O833" s="92" t="str">
        <f>IF($AG833="","",INDEX($AL$8:$AL$21,INDEX($AC$8:$AC$1407,$AG833)+1))</f>
        <v/>
      </c>
      <c r="P833" s="109" t="str">
        <f>IF($AG833="","",INDEX($AD$8:$AD$1407,$AG833))</f>
        <v/>
      </c>
      <c r="Q833" s="92" t="str">
        <f>IF($AG833="","",INDEX($AM$8:$AM$21,INDEX($AC$8:$AC$1407,$AG833)+1))</f>
        <v/>
      </c>
      <c r="R833" s="92" t="str">
        <f>IF($AG833="","",IF($G833&gt;0,P_ToelCorrectie&amp;"",""))</f>
        <v/>
      </c>
      <c r="S833" s="15" t="str">
        <f>IF(J833="","",J833&amp;"|"&amp;E833&amp;"|"&amp;F833&amp;"|"&amp;I833&amp;"|"&amp;O833)</f>
        <v/>
      </c>
      <c r="T833" s="111" t="str">
        <f>IF(S833="","",IF(COUNTIFS(L_Sleutel,S833,L_Actief,1)=0,"",SUMIFS(L_Waarde,L_Sleutel,S833,L_Actief,1)))</f>
        <v/>
      </c>
      <c r="U833" s="111">
        <f>IF(OR(S833="",T833=""),0,P833-T833)</f>
        <v>0</v>
      </c>
      <c r="AB833" s="112" t="n">
        <v>59</v>
      </c>
      <c r="AC833" s="112" t="n">
        <v>13</v>
      </c>
      <c r="AD833" s="112" t="str">
        <f>VERW_Project!BX64</f>
        <v/>
      </c>
      <c r="AE833" s="112">
        <f>IF(AND(VERW_Project!$A64&lt;&gt;"",ISNUMBER(AD833)),1,0)</f>
        <v>0</v>
      </c>
      <c r="AF833" s="112" t="str">
        <f>IF(AE833=1,SUM($AE$8:AE833),"")</f>
        <v/>
      </c>
      <c r="AG833" t="str">
        <f>IFERROR(MATCH(826,$AF$8:$AF$1407,0),"")</f>
        <v/>
      </c>
    </row>
    <row r="834">
      <c r="A834" s="92" t="str">
        <f>IF($AG834="","",P_ImportID)</f>
        <v/>
      </c>
      <c r="B834" s="92" t="str">
        <f>IF($AG834="","",IF(INDEX($AN$8:$AN$21,INDEX($AC$8:$AC$1407,$AG834)+1)="Z",P_BronZ,P_BronE))</f>
        <v/>
      </c>
      <c r="C834" s="108" t="str">
        <f>IF($AG834="","",P_Importdatum)</f>
        <v/>
      </c>
      <c r="D834" s="92" t="str">
        <f>IF($AG834="","",P_StatusVastleg)</f>
        <v/>
      </c>
      <c r="E834" s="92" t="str">
        <f>IF($AG834="","",P_UploadVJ)</f>
        <v/>
      </c>
      <c r="F834" s="92" t="str">
        <f>IF($AG834="","",P_UploadVersie)</f>
        <v/>
      </c>
      <c r="G834" s="92" t="str">
        <f>IF($AG834="","",IF(COUNTIFS(L_Sleutel,$S834,L_Status,"Vastgesteld")=0,0,_xlfn.MAXIFS(L_Revisie,L_Sleutel,$S834,L_Status,"Vastgesteld")+1))</f>
        <v/>
      </c>
      <c r="H834" s="108" t="str">
        <f>IF($AG834="","",P_Peildatum)</f>
        <v/>
      </c>
      <c r="I834" s="92" t="str">
        <f>IF($AG834="","",P_RJ+INDEX($AK$8:$AK$21,INDEX($AC$8:$AC$1407,$AG834)+1))</f>
        <v/>
      </c>
      <c r="J834" s="92" t="str">
        <f>IF($AG834="","",INDEX(V_WBS,INDEX($AB$8:$AB$1407,$AG834)))</f>
        <v/>
      </c>
      <c r="K834" s="92" t="str">
        <f>IF($AG834="","",INDEX(V_Projdef,INDEX($AB$8:$AB$1407,$AG834)))</f>
        <v/>
      </c>
      <c r="L834" s="92" t="str">
        <f>IF($AG834="","",INDEX(V_Naam,INDEX($AB$8:$AB$1407,$AG834)))</f>
        <v/>
      </c>
      <c r="M834" s="92" t="str">
        <f>IF($AG834="","",INDEX(V_Type,INDEX($AB$8:$AB$1407,$AG834)))</f>
        <v/>
      </c>
      <c r="N834" s="92" t="str">
        <f>IF($AG834="","",INDEX(V_IFRS,INDEX($AB$8:$AB$1407,$AG834)))</f>
        <v/>
      </c>
      <c r="O834" s="92" t="str">
        <f>IF($AG834="","",INDEX($AL$8:$AL$21,INDEX($AC$8:$AC$1407,$AG834)+1))</f>
        <v/>
      </c>
      <c r="P834" s="109" t="str">
        <f>IF($AG834="","",INDEX($AD$8:$AD$1407,$AG834))</f>
        <v/>
      </c>
      <c r="Q834" s="92" t="str">
        <f>IF($AG834="","",INDEX($AM$8:$AM$21,INDEX($AC$8:$AC$1407,$AG834)+1))</f>
        <v/>
      </c>
      <c r="R834" s="92" t="str">
        <f>IF($AG834="","",IF($G834&gt;0,P_ToelCorrectie&amp;"",""))</f>
        <v/>
      </c>
      <c r="S834" s="15" t="str">
        <f>IF(J834="","",J834&amp;"|"&amp;E834&amp;"|"&amp;F834&amp;"|"&amp;I834&amp;"|"&amp;O834)</f>
        <v/>
      </c>
      <c r="T834" s="111" t="str">
        <f>IF(S834="","",IF(COUNTIFS(L_Sleutel,S834,L_Actief,1)=0,"",SUMIFS(L_Waarde,L_Sleutel,S834,L_Actief,1)))</f>
        <v/>
      </c>
      <c r="U834" s="111">
        <f>IF(OR(S834="",T834=""),0,P834-T834)</f>
        <v>0</v>
      </c>
      <c r="AB834" s="112" t="n">
        <v>60</v>
      </c>
      <c r="AC834" s="112" t="n">
        <v>0</v>
      </c>
      <c r="AD834" s="112" t="str">
        <f>VERW_Project!P65</f>
        <v/>
      </c>
      <c r="AE834" s="112">
        <f>IF(AND(VERW_Project!$A65&lt;&gt;"",ISNUMBER(AD834)),1,0)</f>
        <v>0</v>
      </c>
      <c r="AF834" s="112" t="str">
        <f>IF(AE834=1,SUM($AE$8:AE834),"")</f>
        <v/>
      </c>
      <c r="AG834" t="str">
        <f>IFERROR(MATCH(827,$AF$8:$AF$1407,0),"")</f>
        <v/>
      </c>
    </row>
    <row r="835">
      <c r="A835" s="92" t="str">
        <f>IF($AG835="","",P_ImportID)</f>
        <v/>
      </c>
      <c r="B835" s="92" t="str">
        <f>IF($AG835="","",IF(INDEX($AN$8:$AN$21,INDEX($AC$8:$AC$1407,$AG835)+1)="Z",P_BronZ,P_BronE))</f>
        <v/>
      </c>
      <c r="C835" s="108" t="str">
        <f>IF($AG835="","",P_Importdatum)</f>
        <v/>
      </c>
      <c r="D835" s="92" t="str">
        <f>IF($AG835="","",P_StatusVastleg)</f>
        <v/>
      </c>
      <c r="E835" s="92" t="str">
        <f>IF($AG835="","",P_UploadVJ)</f>
        <v/>
      </c>
      <c r="F835" s="92" t="str">
        <f>IF($AG835="","",P_UploadVersie)</f>
        <v/>
      </c>
      <c r="G835" s="92" t="str">
        <f>IF($AG835="","",IF(COUNTIFS(L_Sleutel,$S835,L_Status,"Vastgesteld")=0,0,_xlfn.MAXIFS(L_Revisie,L_Sleutel,$S835,L_Status,"Vastgesteld")+1))</f>
        <v/>
      </c>
      <c r="H835" s="108" t="str">
        <f>IF($AG835="","",P_Peildatum)</f>
        <v/>
      </c>
      <c r="I835" s="92" t="str">
        <f>IF($AG835="","",P_RJ+INDEX($AK$8:$AK$21,INDEX($AC$8:$AC$1407,$AG835)+1))</f>
        <v/>
      </c>
      <c r="J835" s="92" t="str">
        <f>IF($AG835="","",INDEX(V_WBS,INDEX($AB$8:$AB$1407,$AG835)))</f>
        <v/>
      </c>
      <c r="K835" s="92" t="str">
        <f>IF($AG835="","",INDEX(V_Projdef,INDEX($AB$8:$AB$1407,$AG835)))</f>
        <v/>
      </c>
      <c r="L835" s="92" t="str">
        <f>IF($AG835="","",INDEX(V_Naam,INDEX($AB$8:$AB$1407,$AG835)))</f>
        <v/>
      </c>
      <c r="M835" s="92" t="str">
        <f>IF($AG835="","",INDEX(V_Type,INDEX($AB$8:$AB$1407,$AG835)))</f>
        <v/>
      </c>
      <c r="N835" s="92" t="str">
        <f>IF($AG835="","",INDEX(V_IFRS,INDEX($AB$8:$AB$1407,$AG835)))</f>
        <v/>
      </c>
      <c r="O835" s="92" t="str">
        <f>IF($AG835="","",INDEX($AL$8:$AL$21,INDEX($AC$8:$AC$1407,$AG835)+1))</f>
        <v/>
      </c>
      <c r="P835" s="109" t="str">
        <f>IF($AG835="","",INDEX($AD$8:$AD$1407,$AG835))</f>
        <v/>
      </c>
      <c r="Q835" s="92" t="str">
        <f>IF($AG835="","",INDEX($AM$8:$AM$21,INDEX($AC$8:$AC$1407,$AG835)+1))</f>
        <v/>
      </c>
      <c r="R835" s="92" t="str">
        <f>IF($AG835="","",IF($G835&gt;0,P_ToelCorrectie&amp;"",""))</f>
        <v/>
      </c>
      <c r="S835" s="15" t="str">
        <f>IF(J835="","",J835&amp;"|"&amp;E835&amp;"|"&amp;F835&amp;"|"&amp;I835&amp;"|"&amp;O835)</f>
        <v/>
      </c>
      <c r="T835" s="111" t="str">
        <f>IF(S835="","",IF(COUNTIFS(L_Sleutel,S835,L_Actief,1)=0,"",SUMIFS(L_Waarde,L_Sleutel,S835,L_Actief,1)))</f>
        <v/>
      </c>
      <c r="U835" s="111">
        <f>IF(OR(S835="",T835=""),0,P835-T835)</f>
        <v>0</v>
      </c>
      <c r="AB835" s="112" t="n">
        <v>60</v>
      </c>
      <c r="AC835" s="112" t="n">
        <v>1</v>
      </c>
      <c r="AD835" s="112" t="str">
        <f>VERW_Project!Q65</f>
        <v/>
      </c>
      <c r="AE835" s="112">
        <f>IF(AND(VERW_Project!$A65&lt;&gt;"",ISNUMBER(AD835)),1,0)</f>
        <v>0</v>
      </c>
      <c r="AF835" s="112" t="str">
        <f>IF(AE835=1,SUM($AE$8:AE835),"")</f>
        <v/>
      </c>
      <c r="AG835" t="str">
        <f>IFERROR(MATCH(828,$AF$8:$AF$1407,0),"")</f>
        <v/>
      </c>
    </row>
    <row r="836">
      <c r="A836" s="92" t="str">
        <f>IF($AG836="","",P_ImportID)</f>
        <v/>
      </c>
      <c r="B836" s="92" t="str">
        <f>IF($AG836="","",IF(INDEX($AN$8:$AN$21,INDEX($AC$8:$AC$1407,$AG836)+1)="Z",P_BronZ,P_BronE))</f>
        <v/>
      </c>
      <c r="C836" s="108" t="str">
        <f>IF($AG836="","",P_Importdatum)</f>
        <v/>
      </c>
      <c r="D836" s="92" t="str">
        <f>IF($AG836="","",P_StatusVastleg)</f>
        <v/>
      </c>
      <c r="E836" s="92" t="str">
        <f>IF($AG836="","",P_UploadVJ)</f>
        <v/>
      </c>
      <c r="F836" s="92" t="str">
        <f>IF($AG836="","",P_UploadVersie)</f>
        <v/>
      </c>
      <c r="G836" s="92" t="str">
        <f>IF($AG836="","",IF(COUNTIFS(L_Sleutel,$S836,L_Status,"Vastgesteld")=0,0,_xlfn.MAXIFS(L_Revisie,L_Sleutel,$S836,L_Status,"Vastgesteld")+1))</f>
        <v/>
      </c>
      <c r="H836" s="108" t="str">
        <f>IF($AG836="","",P_Peildatum)</f>
        <v/>
      </c>
      <c r="I836" s="92" t="str">
        <f>IF($AG836="","",P_RJ+INDEX($AK$8:$AK$21,INDEX($AC$8:$AC$1407,$AG836)+1))</f>
        <v/>
      </c>
      <c r="J836" s="92" t="str">
        <f>IF($AG836="","",INDEX(V_WBS,INDEX($AB$8:$AB$1407,$AG836)))</f>
        <v/>
      </c>
      <c r="K836" s="92" t="str">
        <f>IF($AG836="","",INDEX(V_Projdef,INDEX($AB$8:$AB$1407,$AG836)))</f>
        <v/>
      </c>
      <c r="L836" s="92" t="str">
        <f>IF($AG836="","",INDEX(V_Naam,INDEX($AB$8:$AB$1407,$AG836)))</f>
        <v/>
      </c>
      <c r="M836" s="92" t="str">
        <f>IF($AG836="","",INDEX(V_Type,INDEX($AB$8:$AB$1407,$AG836)))</f>
        <v/>
      </c>
      <c r="N836" s="92" t="str">
        <f>IF($AG836="","",INDEX(V_IFRS,INDEX($AB$8:$AB$1407,$AG836)))</f>
        <v/>
      </c>
      <c r="O836" s="92" t="str">
        <f>IF($AG836="","",INDEX($AL$8:$AL$21,INDEX($AC$8:$AC$1407,$AG836)+1))</f>
        <v/>
      </c>
      <c r="P836" s="109" t="str">
        <f>IF($AG836="","",INDEX($AD$8:$AD$1407,$AG836))</f>
        <v/>
      </c>
      <c r="Q836" s="92" t="str">
        <f>IF($AG836="","",INDEX($AM$8:$AM$21,INDEX($AC$8:$AC$1407,$AG836)+1))</f>
        <v/>
      </c>
      <c r="R836" s="92" t="str">
        <f>IF($AG836="","",IF($G836&gt;0,P_ToelCorrectie&amp;"",""))</f>
        <v/>
      </c>
      <c r="S836" s="15" t="str">
        <f>IF(J836="","",J836&amp;"|"&amp;E836&amp;"|"&amp;F836&amp;"|"&amp;I836&amp;"|"&amp;O836)</f>
        <v/>
      </c>
      <c r="T836" s="111" t="str">
        <f>IF(S836="","",IF(COUNTIFS(L_Sleutel,S836,L_Actief,1)=0,"",SUMIFS(L_Waarde,L_Sleutel,S836,L_Actief,1)))</f>
        <v/>
      </c>
      <c r="U836" s="111">
        <f>IF(OR(S836="",T836=""),0,P836-T836)</f>
        <v>0</v>
      </c>
      <c r="AB836" s="112" t="n">
        <v>60</v>
      </c>
      <c r="AC836" s="112" t="n">
        <v>2</v>
      </c>
      <c r="AD836" s="112" t="str">
        <f>VERW_Project!L65</f>
        <v/>
      </c>
      <c r="AE836" s="112">
        <f>IF(AND(VERW_Project!$A65&lt;&gt;"",ISNUMBER(AD836)),1,0)</f>
        <v>0</v>
      </c>
      <c r="AF836" s="112" t="str">
        <f>IF(AE836=1,SUM($AE$8:AE836),"")</f>
        <v/>
      </c>
      <c r="AG836" t="str">
        <f>IFERROR(MATCH(829,$AF$8:$AF$1407,0),"")</f>
        <v/>
      </c>
    </row>
    <row r="837">
      <c r="A837" s="92" t="str">
        <f>IF($AG837="","",P_ImportID)</f>
        <v/>
      </c>
      <c r="B837" s="92" t="str">
        <f>IF($AG837="","",IF(INDEX($AN$8:$AN$21,INDEX($AC$8:$AC$1407,$AG837)+1)="Z",P_BronZ,P_BronE))</f>
        <v/>
      </c>
      <c r="C837" s="108" t="str">
        <f>IF($AG837="","",P_Importdatum)</f>
        <v/>
      </c>
      <c r="D837" s="92" t="str">
        <f>IF($AG837="","",P_StatusVastleg)</f>
        <v/>
      </c>
      <c r="E837" s="92" t="str">
        <f>IF($AG837="","",P_UploadVJ)</f>
        <v/>
      </c>
      <c r="F837" s="92" t="str">
        <f>IF($AG837="","",P_UploadVersie)</f>
        <v/>
      </c>
      <c r="G837" s="92" t="str">
        <f>IF($AG837="","",IF(COUNTIFS(L_Sleutel,$S837,L_Status,"Vastgesteld")=0,0,_xlfn.MAXIFS(L_Revisie,L_Sleutel,$S837,L_Status,"Vastgesteld")+1))</f>
        <v/>
      </c>
      <c r="H837" s="108" t="str">
        <f>IF($AG837="","",P_Peildatum)</f>
        <v/>
      </c>
      <c r="I837" s="92" t="str">
        <f>IF($AG837="","",P_RJ+INDEX($AK$8:$AK$21,INDEX($AC$8:$AC$1407,$AG837)+1))</f>
        <v/>
      </c>
      <c r="J837" s="92" t="str">
        <f>IF($AG837="","",INDEX(V_WBS,INDEX($AB$8:$AB$1407,$AG837)))</f>
        <v/>
      </c>
      <c r="K837" s="92" t="str">
        <f>IF($AG837="","",INDEX(V_Projdef,INDEX($AB$8:$AB$1407,$AG837)))</f>
        <v/>
      </c>
      <c r="L837" s="92" t="str">
        <f>IF($AG837="","",INDEX(V_Naam,INDEX($AB$8:$AB$1407,$AG837)))</f>
        <v/>
      </c>
      <c r="M837" s="92" t="str">
        <f>IF($AG837="","",INDEX(V_Type,INDEX($AB$8:$AB$1407,$AG837)))</f>
        <v/>
      </c>
      <c r="N837" s="92" t="str">
        <f>IF($AG837="","",INDEX(V_IFRS,INDEX($AB$8:$AB$1407,$AG837)))</f>
        <v/>
      </c>
      <c r="O837" s="92" t="str">
        <f>IF($AG837="","",INDEX($AL$8:$AL$21,INDEX($AC$8:$AC$1407,$AG837)+1))</f>
        <v/>
      </c>
      <c r="P837" s="109" t="str">
        <f>IF($AG837="","",INDEX($AD$8:$AD$1407,$AG837))</f>
        <v/>
      </c>
      <c r="Q837" s="92" t="str">
        <f>IF($AG837="","",INDEX($AM$8:$AM$21,INDEX($AC$8:$AC$1407,$AG837)+1))</f>
        <v/>
      </c>
      <c r="R837" s="92" t="str">
        <f>IF($AG837="","",IF($G837&gt;0,P_ToelCorrectie&amp;"",""))</f>
        <v/>
      </c>
      <c r="S837" s="15" t="str">
        <f>IF(J837="","",J837&amp;"|"&amp;E837&amp;"|"&amp;F837&amp;"|"&amp;I837&amp;"|"&amp;O837)</f>
        <v/>
      </c>
      <c r="T837" s="111" t="str">
        <f>IF(S837="","",IF(COUNTIFS(L_Sleutel,S837,L_Actief,1)=0,"",SUMIFS(L_Waarde,L_Sleutel,S837,L_Actief,1)))</f>
        <v/>
      </c>
      <c r="U837" s="111">
        <f>IF(OR(S837="",T837=""),0,P837-T837)</f>
        <v>0</v>
      </c>
      <c r="AB837" s="112" t="n">
        <v>60</v>
      </c>
      <c r="AC837" s="112" t="n">
        <v>3</v>
      </c>
      <c r="AD837" s="112" t="str">
        <f>VERW_Project!M65</f>
        <v/>
      </c>
      <c r="AE837" s="112">
        <f>IF(AND(VERW_Project!$A65&lt;&gt;"",ISNUMBER(AD837)),1,0)</f>
        <v>0</v>
      </c>
      <c r="AF837" s="112" t="str">
        <f>IF(AE837=1,SUM($AE$8:AE837),"")</f>
        <v/>
      </c>
      <c r="AG837" t="str">
        <f>IFERROR(MATCH(830,$AF$8:$AF$1407,0),"")</f>
        <v/>
      </c>
    </row>
    <row r="838">
      <c r="A838" s="92" t="str">
        <f>IF($AG838="","",P_ImportID)</f>
        <v/>
      </c>
      <c r="B838" s="92" t="str">
        <f>IF($AG838="","",IF(INDEX($AN$8:$AN$21,INDEX($AC$8:$AC$1407,$AG838)+1)="Z",P_BronZ,P_BronE))</f>
        <v/>
      </c>
      <c r="C838" s="108" t="str">
        <f>IF($AG838="","",P_Importdatum)</f>
        <v/>
      </c>
      <c r="D838" s="92" t="str">
        <f>IF($AG838="","",P_StatusVastleg)</f>
        <v/>
      </c>
      <c r="E838" s="92" t="str">
        <f>IF($AG838="","",P_UploadVJ)</f>
        <v/>
      </c>
      <c r="F838" s="92" t="str">
        <f>IF($AG838="","",P_UploadVersie)</f>
        <v/>
      </c>
      <c r="G838" s="92" t="str">
        <f>IF($AG838="","",IF(COUNTIFS(L_Sleutel,$S838,L_Status,"Vastgesteld")=0,0,_xlfn.MAXIFS(L_Revisie,L_Sleutel,$S838,L_Status,"Vastgesteld")+1))</f>
        <v/>
      </c>
      <c r="H838" s="108" t="str">
        <f>IF($AG838="","",P_Peildatum)</f>
        <v/>
      </c>
      <c r="I838" s="92" t="str">
        <f>IF($AG838="","",P_RJ+INDEX($AK$8:$AK$21,INDEX($AC$8:$AC$1407,$AG838)+1))</f>
        <v/>
      </c>
      <c r="J838" s="92" t="str">
        <f>IF($AG838="","",INDEX(V_WBS,INDEX($AB$8:$AB$1407,$AG838)))</f>
        <v/>
      </c>
      <c r="K838" s="92" t="str">
        <f>IF($AG838="","",INDEX(V_Projdef,INDEX($AB$8:$AB$1407,$AG838)))</f>
        <v/>
      </c>
      <c r="L838" s="92" t="str">
        <f>IF($AG838="","",INDEX(V_Naam,INDEX($AB$8:$AB$1407,$AG838)))</f>
        <v/>
      </c>
      <c r="M838" s="92" t="str">
        <f>IF($AG838="","",INDEX(V_Type,INDEX($AB$8:$AB$1407,$AG838)))</f>
        <v/>
      </c>
      <c r="N838" s="92" t="str">
        <f>IF($AG838="","",INDEX(V_IFRS,INDEX($AB$8:$AB$1407,$AG838)))</f>
        <v/>
      </c>
      <c r="O838" s="92" t="str">
        <f>IF($AG838="","",INDEX($AL$8:$AL$21,INDEX($AC$8:$AC$1407,$AG838)+1))</f>
        <v/>
      </c>
      <c r="P838" s="109" t="str">
        <f>IF($AG838="","",INDEX($AD$8:$AD$1407,$AG838))</f>
        <v/>
      </c>
      <c r="Q838" s="92" t="str">
        <f>IF($AG838="","",INDEX($AM$8:$AM$21,INDEX($AC$8:$AC$1407,$AG838)+1))</f>
        <v/>
      </c>
      <c r="R838" s="92" t="str">
        <f>IF($AG838="","",IF($G838&gt;0,P_ToelCorrectie&amp;"",""))</f>
        <v/>
      </c>
      <c r="S838" s="15" t="str">
        <f>IF(J838="","",J838&amp;"|"&amp;E838&amp;"|"&amp;F838&amp;"|"&amp;I838&amp;"|"&amp;O838)</f>
        <v/>
      </c>
      <c r="T838" s="111" t="str">
        <f>IF(S838="","",IF(COUNTIFS(L_Sleutel,S838,L_Actief,1)=0,"",SUMIFS(L_Waarde,L_Sleutel,S838,L_Actief,1)))</f>
        <v/>
      </c>
      <c r="U838" s="111">
        <f>IF(OR(S838="",T838=""),0,P838-T838)</f>
        <v>0</v>
      </c>
      <c r="AB838" s="112" t="n">
        <v>60</v>
      </c>
      <c r="AC838" s="112" t="n">
        <v>4</v>
      </c>
      <c r="AD838" s="112" t="str">
        <f>VERW_Project!R65</f>
        <v/>
      </c>
      <c r="AE838" s="112">
        <f>IF(AND(VERW_Project!$A65&lt;&gt;"",ISNUMBER(AD838)),1,0)</f>
        <v>0</v>
      </c>
      <c r="AF838" s="112" t="str">
        <f>IF(AE838=1,SUM($AE$8:AE838),"")</f>
        <v/>
      </c>
      <c r="AG838" t="str">
        <f>IFERROR(MATCH(831,$AF$8:$AF$1407,0),"")</f>
        <v/>
      </c>
    </row>
    <row r="839">
      <c r="A839" s="92" t="str">
        <f>IF($AG839="","",P_ImportID)</f>
        <v/>
      </c>
      <c r="B839" s="92" t="str">
        <f>IF($AG839="","",IF(INDEX($AN$8:$AN$21,INDEX($AC$8:$AC$1407,$AG839)+1)="Z",P_BronZ,P_BronE))</f>
        <v/>
      </c>
      <c r="C839" s="108" t="str">
        <f>IF($AG839="","",P_Importdatum)</f>
        <v/>
      </c>
      <c r="D839" s="92" t="str">
        <f>IF($AG839="","",P_StatusVastleg)</f>
        <v/>
      </c>
      <c r="E839" s="92" t="str">
        <f>IF($AG839="","",P_UploadVJ)</f>
        <v/>
      </c>
      <c r="F839" s="92" t="str">
        <f>IF($AG839="","",P_UploadVersie)</f>
        <v/>
      </c>
      <c r="G839" s="92" t="str">
        <f>IF($AG839="","",IF(COUNTIFS(L_Sleutel,$S839,L_Status,"Vastgesteld")=0,0,_xlfn.MAXIFS(L_Revisie,L_Sleutel,$S839,L_Status,"Vastgesteld")+1))</f>
        <v/>
      </c>
      <c r="H839" s="108" t="str">
        <f>IF($AG839="","",P_Peildatum)</f>
        <v/>
      </c>
      <c r="I839" s="92" t="str">
        <f>IF($AG839="","",P_RJ+INDEX($AK$8:$AK$21,INDEX($AC$8:$AC$1407,$AG839)+1))</f>
        <v/>
      </c>
      <c r="J839" s="92" t="str">
        <f>IF($AG839="","",INDEX(V_WBS,INDEX($AB$8:$AB$1407,$AG839)))</f>
        <v/>
      </c>
      <c r="K839" s="92" t="str">
        <f>IF($AG839="","",INDEX(V_Projdef,INDEX($AB$8:$AB$1407,$AG839)))</f>
        <v/>
      </c>
      <c r="L839" s="92" t="str">
        <f>IF($AG839="","",INDEX(V_Naam,INDEX($AB$8:$AB$1407,$AG839)))</f>
        <v/>
      </c>
      <c r="M839" s="92" t="str">
        <f>IF($AG839="","",INDEX(V_Type,INDEX($AB$8:$AB$1407,$AG839)))</f>
        <v/>
      </c>
      <c r="N839" s="92" t="str">
        <f>IF($AG839="","",INDEX(V_IFRS,INDEX($AB$8:$AB$1407,$AG839)))</f>
        <v/>
      </c>
      <c r="O839" s="92" t="str">
        <f>IF($AG839="","",INDEX($AL$8:$AL$21,INDEX($AC$8:$AC$1407,$AG839)+1))</f>
        <v/>
      </c>
      <c r="P839" s="109" t="str">
        <f>IF($AG839="","",INDEX($AD$8:$AD$1407,$AG839))</f>
        <v/>
      </c>
      <c r="Q839" s="92" t="str">
        <f>IF($AG839="","",INDEX($AM$8:$AM$21,INDEX($AC$8:$AC$1407,$AG839)+1))</f>
        <v/>
      </c>
      <c r="R839" s="92" t="str">
        <f>IF($AG839="","",IF($G839&gt;0,P_ToelCorrectie&amp;"",""))</f>
        <v/>
      </c>
      <c r="S839" s="15" t="str">
        <f>IF(J839="","",J839&amp;"|"&amp;E839&amp;"|"&amp;F839&amp;"|"&amp;I839&amp;"|"&amp;O839)</f>
        <v/>
      </c>
      <c r="T839" s="111" t="str">
        <f>IF(S839="","",IF(COUNTIFS(L_Sleutel,S839,L_Actief,1)=0,"",SUMIFS(L_Waarde,L_Sleutel,S839,L_Actief,1)))</f>
        <v/>
      </c>
      <c r="U839" s="111">
        <f>IF(OR(S839="",T839=""),0,P839-T839)</f>
        <v>0</v>
      </c>
      <c r="AB839" s="112" t="n">
        <v>60</v>
      </c>
      <c r="AC839" s="112" t="n">
        <v>5</v>
      </c>
      <c r="AD839" s="112" t="str">
        <f>VERW_Project!S65</f>
        <v/>
      </c>
      <c r="AE839" s="112">
        <f>IF(AND(VERW_Project!$A65&lt;&gt;"",ISNUMBER(AD839)),1,0)</f>
        <v>0</v>
      </c>
      <c r="AF839" s="112" t="str">
        <f>IF(AE839=1,SUM($AE$8:AE839),"")</f>
        <v/>
      </c>
      <c r="AG839" t="str">
        <f>IFERROR(MATCH(832,$AF$8:$AF$1407,0),"")</f>
        <v/>
      </c>
    </row>
    <row r="840">
      <c r="A840" s="92" t="str">
        <f>IF($AG840="","",P_ImportID)</f>
        <v/>
      </c>
      <c r="B840" s="92" t="str">
        <f>IF($AG840="","",IF(INDEX($AN$8:$AN$21,INDEX($AC$8:$AC$1407,$AG840)+1)="Z",P_BronZ,P_BronE))</f>
        <v/>
      </c>
      <c r="C840" s="108" t="str">
        <f>IF($AG840="","",P_Importdatum)</f>
        <v/>
      </c>
      <c r="D840" s="92" t="str">
        <f>IF($AG840="","",P_StatusVastleg)</f>
        <v/>
      </c>
      <c r="E840" s="92" t="str">
        <f>IF($AG840="","",P_UploadVJ)</f>
        <v/>
      </c>
      <c r="F840" s="92" t="str">
        <f>IF($AG840="","",P_UploadVersie)</f>
        <v/>
      </c>
      <c r="G840" s="92" t="str">
        <f>IF($AG840="","",IF(COUNTIFS(L_Sleutel,$S840,L_Status,"Vastgesteld")=0,0,_xlfn.MAXIFS(L_Revisie,L_Sleutel,$S840,L_Status,"Vastgesteld")+1))</f>
        <v/>
      </c>
      <c r="H840" s="108" t="str">
        <f>IF($AG840="","",P_Peildatum)</f>
        <v/>
      </c>
      <c r="I840" s="92" t="str">
        <f>IF($AG840="","",P_RJ+INDEX($AK$8:$AK$21,INDEX($AC$8:$AC$1407,$AG840)+1))</f>
        <v/>
      </c>
      <c r="J840" s="92" t="str">
        <f>IF($AG840="","",INDEX(V_WBS,INDEX($AB$8:$AB$1407,$AG840)))</f>
        <v/>
      </c>
      <c r="K840" s="92" t="str">
        <f>IF($AG840="","",INDEX(V_Projdef,INDEX($AB$8:$AB$1407,$AG840)))</f>
        <v/>
      </c>
      <c r="L840" s="92" t="str">
        <f>IF($AG840="","",INDEX(V_Naam,INDEX($AB$8:$AB$1407,$AG840)))</f>
        <v/>
      </c>
      <c r="M840" s="92" t="str">
        <f>IF($AG840="","",INDEX(V_Type,INDEX($AB$8:$AB$1407,$AG840)))</f>
        <v/>
      </c>
      <c r="N840" s="92" t="str">
        <f>IF($AG840="","",INDEX(V_IFRS,INDEX($AB$8:$AB$1407,$AG840)))</f>
        <v/>
      </c>
      <c r="O840" s="92" t="str">
        <f>IF($AG840="","",INDEX($AL$8:$AL$21,INDEX($AC$8:$AC$1407,$AG840)+1))</f>
        <v/>
      </c>
      <c r="P840" s="109" t="str">
        <f>IF($AG840="","",INDEX($AD$8:$AD$1407,$AG840))</f>
        <v/>
      </c>
      <c r="Q840" s="92" t="str">
        <f>IF($AG840="","",INDEX($AM$8:$AM$21,INDEX($AC$8:$AC$1407,$AG840)+1))</f>
        <v/>
      </c>
      <c r="R840" s="92" t="str">
        <f>IF($AG840="","",IF($G840&gt;0,P_ToelCorrectie&amp;"",""))</f>
        <v/>
      </c>
      <c r="S840" s="15" t="str">
        <f>IF(J840="","",J840&amp;"|"&amp;E840&amp;"|"&amp;F840&amp;"|"&amp;I840&amp;"|"&amp;O840)</f>
        <v/>
      </c>
      <c r="T840" s="111" t="str">
        <f>IF(S840="","",IF(COUNTIFS(L_Sleutel,S840,L_Actief,1)=0,"",SUMIFS(L_Waarde,L_Sleutel,S840,L_Actief,1)))</f>
        <v/>
      </c>
      <c r="U840" s="111">
        <f>IF(OR(S840="",T840=""),0,P840-T840)</f>
        <v>0</v>
      </c>
      <c r="AB840" s="112" t="n">
        <v>60</v>
      </c>
      <c r="AC840" s="112" t="n">
        <v>6</v>
      </c>
      <c r="AD840" s="112" t="str">
        <f>VERW_Project!BW65</f>
        <v/>
      </c>
      <c r="AE840" s="112">
        <f>IF(AND(VERW_Project!$A65&lt;&gt;"",ISNUMBER(AD840)),1,0)</f>
        <v>0</v>
      </c>
      <c r="AF840" s="112" t="str">
        <f>IF(AE840=1,SUM($AE$8:AE840),"")</f>
        <v/>
      </c>
      <c r="AG840" t="str">
        <f>IFERROR(MATCH(833,$AF$8:$AF$1407,0),"")</f>
        <v/>
      </c>
    </row>
    <row r="841">
      <c r="A841" s="92" t="str">
        <f>IF($AG841="","",P_ImportID)</f>
        <v/>
      </c>
      <c r="B841" s="92" t="str">
        <f>IF($AG841="","",IF(INDEX($AN$8:$AN$21,INDEX($AC$8:$AC$1407,$AG841)+1)="Z",P_BronZ,P_BronE))</f>
        <v/>
      </c>
      <c r="C841" s="108" t="str">
        <f>IF($AG841="","",P_Importdatum)</f>
        <v/>
      </c>
      <c r="D841" s="92" t="str">
        <f>IF($AG841="","",P_StatusVastleg)</f>
        <v/>
      </c>
      <c r="E841" s="92" t="str">
        <f>IF($AG841="","",P_UploadVJ)</f>
        <v/>
      </c>
      <c r="F841" s="92" t="str">
        <f>IF($AG841="","",P_UploadVersie)</f>
        <v/>
      </c>
      <c r="G841" s="92" t="str">
        <f>IF($AG841="","",IF(COUNTIFS(L_Sleutel,$S841,L_Status,"Vastgesteld")=0,0,_xlfn.MAXIFS(L_Revisie,L_Sleutel,$S841,L_Status,"Vastgesteld")+1))</f>
        <v/>
      </c>
      <c r="H841" s="108" t="str">
        <f>IF($AG841="","",P_Peildatum)</f>
        <v/>
      </c>
      <c r="I841" s="92" t="str">
        <f>IF($AG841="","",P_RJ+INDEX($AK$8:$AK$21,INDEX($AC$8:$AC$1407,$AG841)+1))</f>
        <v/>
      </c>
      <c r="J841" s="92" t="str">
        <f>IF($AG841="","",INDEX(V_WBS,INDEX($AB$8:$AB$1407,$AG841)))</f>
        <v/>
      </c>
      <c r="K841" s="92" t="str">
        <f>IF($AG841="","",INDEX(V_Projdef,INDEX($AB$8:$AB$1407,$AG841)))</f>
        <v/>
      </c>
      <c r="L841" s="92" t="str">
        <f>IF($AG841="","",INDEX(V_Naam,INDEX($AB$8:$AB$1407,$AG841)))</f>
        <v/>
      </c>
      <c r="M841" s="92" t="str">
        <f>IF($AG841="","",INDEX(V_Type,INDEX($AB$8:$AB$1407,$AG841)))</f>
        <v/>
      </c>
      <c r="N841" s="92" t="str">
        <f>IF($AG841="","",INDEX(V_IFRS,INDEX($AB$8:$AB$1407,$AG841)))</f>
        <v/>
      </c>
      <c r="O841" s="92" t="str">
        <f>IF($AG841="","",INDEX($AL$8:$AL$21,INDEX($AC$8:$AC$1407,$AG841)+1))</f>
        <v/>
      </c>
      <c r="P841" s="109" t="str">
        <f>IF($AG841="","",INDEX($AD$8:$AD$1407,$AG841))</f>
        <v/>
      </c>
      <c r="Q841" s="92" t="str">
        <f>IF($AG841="","",INDEX($AM$8:$AM$21,INDEX($AC$8:$AC$1407,$AG841)+1))</f>
        <v/>
      </c>
      <c r="R841" s="92" t="str">
        <f>IF($AG841="","",IF($G841&gt;0,P_ToelCorrectie&amp;"",""))</f>
        <v/>
      </c>
      <c r="S841" s="15" t="str">
        <f>IF(J841="","",J841&amp;"|"&amp;E841&amp;"|"&amp;F841&amp;"|"&amp;I841&amp;"|"&amp;O841)</f>
        <v/>
      </c>
      <c r="T841" s="111" t="str">
        <f>IF(S841="","",IF(COUNTIFS(L_Sleutel,S841,L_Actief,1)=0,"",SUMIFS(L_Waarde,L_Sleutel,S841,L_Actief,1)))</f>
        <v/>
      </c>
      <c r="U841" s="111">
        <f>IF(OR(S841="",T841=""),0,P841-T841)</f>
        <v>0</v>
      </c>
      <c r="AB841" s="112" t="n">
        <v>60</v>
      </c>
      <c r="AC841" s="112" t="n">
        <v>7</v>
      </c>
      <c r="AD841" s="112" t="str">
        <f>VERW_Project!AW65</f>
        <v/>
      </c>
      <c r="AE841" s="112">
        <f>IF(AND(VERW_Project!$A65&lt;&gt;"",ISNUMBER(AD841)),1,0)</f>
        <v>0</v>
      </c>
      <c r="AF841" s="112" t="str">
        <f>IF(AE841=1,SUM($AE$8:AE841),"")</f>
        <v/>
      </c>
      <c r="AG841" t="str">
        <f>IFERROR(MATCH(834,$AF$8:$AF$1407,0),"")</f>
        <v/>
      </c>
    </row>
    <row r="842">
      <c r="A842" s="92" t="str">
        <f>IF($AG842="","",P_ImportID)</f>
        <v/>
      </c>
      <c r="B842" s="92" t="str">
        <f>IF($AG842="","",IF(INDEX($AN$8:$AN$21,INDEX($AC$8:$AC$1407,$AG842)+1)="Z",P_BronZ,P_BronE))</f>
        <v/>
      </c>
      <c r="C842" s="108" t="str">
        <f>IF($AG842="","",P_Importdatum)</f>
        <v/>
      </c>
      <c r="D842" s="92" t="str">
        <f>IF($AG842="","",P_StatusVastleg)</f>
        <v/>
      </c>
      <c r="E842" s="92" t="str">
        <f>IF($AG842="","",P_UploadVJ)</f>
        <v/>
      </c>
      <c r="F842" s="92" t="str">
        <f>IF($AG842="","",P_UploadVersie)</f>
        <v/>
      </c>
      <c r="G842" s="92" t="str">
        <f>IF($AG842="","",IF(COUNTIFS(L_Sleutel,$S842,L_Status,"Vastgesteld")=0,0,_xlfn.MAXIFS(L_Revisie,L_Sleutel,$S842,L_Status,"Vastgesteld")+1))</f>
        <v/>
      </c>
      <c r="H842" s="108" t="str">
        <f>IF($AG842="","",P_Peildatum)</f>
        <v/>
      </c>
      <c r="I842" s="92" t="str">
        <f>IF($AG842="","",P_RJ+INDEX($AK$8:$AK$21,INDEX($AC$8:$AC$1407,$AG842)+1))</f>
        <v/>
      </c>
      <c r="J842" s="92" t="str">
        <f>IF($AG842="","",INDEX(V_WBS,INDEX($AB$8:$AB$1407,$AG842)))</f>
        <v/>
      </c>
      <c r="K842" s="92" t="str">
        <f>IF($AG842="","",INDEX(V_Projdef,INDEX($AB$8:$AB$1407,$AG842)))</f>
        <v/>
      </c>
      <c r="L842" s="92" t="str">
        <f>IF($AG842="","",INDEX(V_Naam,INDEX($AB$8:$AB$1407,$AG842)))</f>
        <v/>
      </c>
      <c r="M842" s="92" t="str">
        <f>IF($AG842="","",INDEX(V_Type,INDEX($AB$8:$AB$1407,$AG842)))</f>
        <v/>
      </c>
      <c r="N842" s="92" t="str">
        <f>IF($AG842="","",INDEX(V_IFRS,INDEX($AB$8:$AB$1407,$AG842)))</f>
        <v/>
      </c>
      <c r="O842" s="92" t="str">
        <f>IF($AG842="","",INDEX($AL$8:$AL$21,INDEX($AC$8:$AC$1407,$AG842)+1))</f>
        <v/>
      </c>
      <c r="P842" s="109" t="str">
        <f>IF($AG842="","",INDEX($AD$8:$AD$1407,$AG842))</f>
        <v/>
      </c>
      <c r="Q842" s="92" t="str">
        <f>IF($AG842="","",INDEX($AM$8:$AM$21,INDEX($AC$8:$AC$1407,$AG842)+1))</f>
        <v/>
      </c>
      <c r="R842" s="92" t="str">
        <f>IF($AG842="","",IF($G842&gt;0,P_ToelCorrectie&amp;"",""))</f>
        <v/>
      </c>
      <c r="S842" s="15" t="str">
        <f>IF(J842="","",J842&amp;"|"&amp;E842&amp;"|"&amp;F842&amp;"|"&amp;I842&amp;"|"&amp;O842)</f>
        <v/>
      </c>
      <c r="T842" s="111" t="str">
        <f>IF(S842="","",IF(COUNTIFS(L_Sleutel,S842,L_Actief,1)=0,"",SUMIFS(L_Waarde,L_Sleutel,S842,L_Actief,1)))</f>
        <v/>
      </c>
      <c r="U842" s="111">
        <f>IF(OR(S842="",T842=""),0,P842-T842)</f>
        <v>0</v>
      </c>
      <c r="AB842" s="112" t="n">
        <v>60</v>
      </c>
      <c r="AC842" s="112" t="n">
        <v>8</v>
      </c>
      <c r="AD842" s="112" t="str">
        <f>VERW_Project!BQ65</f>
        <v/>
      </c>
      <c r="AE842" s="112">
        <f>IF(AND(VERW_Project!$A65&lt;&gt;"",ISNUMBER(AD842)),1,0)</f>
        <v>0</v>
      </c>
      <c r="AF842" s="112" t="str">
        <f>IF(AE842=1,SUM($AE$8:AE842),"")</f>
        <v/>
      </c>
      <c r="AG842" t="str">
        <f>IFERROR(MATCH(835,$AF$8:$AF$1407,0),"")</f>
        <v/>
      </c>
    </row>
    <row r="843">
      <c r="A843" s="92" t="str">
        <f>IF($AG843="","",P_ImportID)</f>
        <v/>
      </c>
      <c r="B843" s="92" t="str">
        <f>IF($AG843="","",IF(INDEX($AN$8:$AN$21,INDEX($AC$8:$AC$1407,$AG843)+1)="Z",P_BronZ,P_BronE))</f>
        <v/>
      </c>
      <c r="C843" s="108" t="str">
        <f>IF($AG843="","",P_Importdatum)</f>
        <v/>
      </c>
      <c r="D843" s="92" t="str">
        <f>IF($AG843="","",P_StatusVastleg)</f>
        <v/>
      </c>
      <c r="E843" s="92" t="str">
        <f>IF($AG843="","",P_UploadVJ)</f>
        <v/>
      </c>
      <c r="F843" s="92" t="str">
        <f>IF($AG843="","",P_UploadVersie)</f>
        <v/>
      </c>
      <c r="G843" s="92" t="str">
        <f>IF($AG843="","",IF(COUNTIFS(L_Sleutel,$S843,L_Status,"Vastgesteld")=0,0,_xlfn.MAXIFS(L_Revisie,L_Sleutel,$S843,L_Status,"Vastgesteld")+1))</f>
        <v/>
      </c>
      <c r="H843" s="108" t="str">
        <f>IF($AG843="","",P_Peildatum)</f>
        <v/>
      </c>
      <c r="I843" s="92" t="str">
        <f>IF($AG843="","",P_RJ+INDEX($AK$8:$AK$21,INDEX($AC$8:$AC$1407,$AG843)+1))</f>
        <v/>
      </c>
      <c r="J843" s="92" t="str">
        <f>IF($AG843="","",INDEX(V_WBS,INDEX($AB$8:$AB$1407,$AG843)))</f>
        <v/>
      </c>
      <c r="K843" s="92" t="str">
        <f>IF($AG843="","",INDEX(V_Projdef,INDEX($AB$8:$AB$1407,$AG843)))</f>
        <v/>
      </c>
      <c r="L843" s="92" t="str">
        <f>IF($AG843="","",INDEX(V_Naam,INDEX($AB$8:$AB$1407,$AG843)))</f>
        <v/>
      </c>
      <c r="M843" s="92" t="str">
        <f>IF($AG843="","",INDEX(V_Type,INDEX($AB$8:$AB$1407,$AG843)))</f>
        <v/>
      </c>
      <c r="N843" s="92" t="str">
        <f>IF($AG843="","",INDEX(V_IFRS,INDEX($AB$8:$AB$1407,$AG843)))</f>
        <v/>
      </c>
      <c r="O843" s="92" t="str">
        <f>IF($AG843="","",INDEX($AL$8:$AL$21,INDEX($AC$8:$AC$1407,$AG843)+1))</f>
        <v/>
      </c>
      <c r="P843" s="109" t="str">
        <f>IF($AG843="","",INDEX($AD$8:$AD$1407,$AG843))</f>
        <v/>
      </c>
      <c r="Q843" s="92" t="str">
        <f>IF($AG843="","",INDEX($AM$8:$AM$21,INDEX($AC$8:$AC$1407,$AG843)+1))</f>
        <v/>
      </c>
      <c r="R843" s="92" t="str">
        <f>IF($AG843="","",IF($G843&gt;0,P_ToelCorrectie&amp;"",""))</f>
        <v/>
      </c>
      <c r="S843" s="15" t="str">
        <f>IF(J843="","",J843&amp;"|"&amp;E843&amp;"|"&amp;F843&amp;"|"&amp;I843&amp;"|"&amp;O843)</f>
        <v/>
      </c>
      <c r="T843" s="111" t="str">
        <f>IF(S843="","",IF(COUNTIFS(L_Sleutel,S843,L_Actief,1)=0,"",SUMIFS(L_Waarde,L_Sleutel,S843,L_Actief,1)))</f>
        <v/>
      </c>
      <c r="U843" s="111">
        <f>IF(OR(S843="",T843=""),0,P843-T843)</f>
        <v>0</v>
      </c>
      <c r="AB843" s="112" t="n">
        <v>60</v>
      </c>
      <c r="AC843" s="112" t="n">
        <v>9</v>
      </c>
      <c r="AD843" s="112" t="str">
        <f>VERW_Project!BR65</f>
        <v/>
      </c>
      <c r="AE843" s="112">
        <f>IF(AND(VERW_Project!$A65&lt;&gt;"",ISNUMBER(AD843)),1,0)</f>
        <v>0</v>
      </c>
      <c r="AF843" s="112" t="str">
        <f>IF(AE843=1,SUM($AE$8:AE843),"")</f>
        <v/>
      </c>
      <c r="AG843" t="str">
        <f>IFERROR(MATCH(836,$AF$8:$AF$1407,0),"")</f>
        <v/>
      </c>
    </row>
    <row r="844">
      <c r="A844" s="92" t="str">
        <f>IF($AG844="","",P_ImportID)</f>
        <v/>
      </c>
      <c r="B844" s="92" t="str">
        <f>IF($AG844="","",IF(INDEX($AN$8:$AN$21,INDEX($AC$8:$AC$1407,$AG844)+1)="Z",P_BronZ,P_BronE))</f>
        <v/>
      </c>
      <c r="C844" s="108" t="str">
        <f>IF($AG844="","",P_Importdatum)</f>
        <v/>
      </c>
      <c r="D844" s="92" t="str">
        <f>IF($AG844="","",P_StatusVastleg)</f>
        <v/>
      </c>
      <c r="E844" s="92" t="str">
        <f>IF($AG844="","",P_UploadVJ)</f>
        <v/>
      </c>
      <c r="F844" s="92" t="str">
        <f>IF($AG844="","",P_UploadVersie)</f>
        <v/>
      </c>
      <c r="G844" s="92" t="str">
        <f>IF($AG844="","",IF(COUNTIFS(L_Sleutel,$S844,L_Status,"Vastgesteld")=0,0,_xlfn.MAXIFS(L_Revisie,L_Sleutel,$S844,L_Status,"Vastgesteld")+1))</f>
        <v/>
      </c>
      <c r="H844" s="108" t="str">
        <f>IF($AG844="","",P_Peildatum)</f>
        <v/>
      </c>
      <c r="I844" s="92" t="str">
        <f>IF($AG844="","",P_RJ+INDEX($AK$8:$AK$21,INDEX($AC$8:$AC$1407,$AG844)+1))</f>
        <v/>
      </c>
      <c r="J844" s="92" t="str">
        <f>IF($AG844="","",INDEX(V_WBS,INDEX($AB$8:$AB$1407,$AG844)))</f>
        <v/>
      </c>
      <c r="K844" s="92" t="str">
        <f>IF($AG844="","",INDEX(V_Projdef,INDEX($AB$8:$AB$1407,$AG844)))</f>
        <v/>
      </c>
      <c r="L844" s="92" t="str">
        <f>IF($AG844="","",INDEX(V_Naam,INDEX($AB$8:$AB$1407,$AG844)))</f>
        <v/>
      </c>
      <c r="M844" s="92" t="str">
        <f>IF($AG844="","",INDEX(V_Type,INDEX($AB$8:$AB$1407,$AG844)))</f>
        <v/>
      </c>
      <c r="N844" s="92" t="str">
        <f>IF($AG844="","",INDEX(V_IFRS,INDEX($AB$8:$AB$1407,$AG844)))</f>
        <v/>
      </c>
      <c r="O844" s="92" t="str">
        <f>IF($AG844="","",INDEX($AL$8:$AL$21,INDEX($AC$8:$AC$1407,$AG844)+1))</f>
        <v/>
      </c>
      <c r="P844" s="109" t="str">
        <f>IF($AG844="","",INDEX($AD$8:$AD$1407,$AG844))</f>
        <v/>
      </c>
      <c r="Q844" s="92" t="str">
        <f>IF($AG844="","",INDEX($AM$8:$AM$21,INDEX($AC$8:$AC$1407,$AG844)+1))</f>
        <v/>
      </c>
      <c r="R844" s="92" t="str">
        <f>IF($AG844="","",IF($G844&gt;0,P_ToelCorrectie&amp;"",""))</f>
        <v/>
      </c>
      <c r="S844" s="15" t="str">
        <f>IF(J844="","",J844&amp;"|"&amp;E844&amp;"|"&amp;F844&amp;"|"&amp;I844&amp;"|"&amp;O844)</f>
        <v/>
      </c>
      <c r="T844" s="111" t="str">
        <f>IF(S844="","",IF(COUNTIFS(L_Sleutel,S844,L_Actief,1)=0,"",SUMIFS(L_Waarde,L_Sleutel,S844,L_Actief,1)))</f>
        <v/>
      </c>
      <c r="U844" s="111">
        <f>IF(OR(S844="",T844=""),0,P844-T844)</f>
        <v>0</v>
      </c>
      <c r="AB844" s="112" t="n">
        <v>60</v>
      </c>
      <c r="AC844" s="112" t="n">
        <v>10</v>
      </c>
      <c r="AD844" s="112" t="str">
        <f>VERW_Project!BS65</f>
        <v/>
      </c>
      <c r="AE844" s="112">
        <f>IF(AND(VERW_Project!$A65&lt;&gt;"",ISNUMBER(AD844)),1,0)</f>
        <v>0</v>
      </c>
      <c r="AF844" s="112" t="str">
        <f>IF(AE844=1,SUM($AE$8:AE844),"")</f>
        <v/>
      </c>
      <c r="AG844" t="str">
        <f>IFERROR(MATCH(837,$AF$8:$AF$1407,0),"")</f>
        <v/>
      </c>
    </row>
    <row r="845">
      <c r="A845" s="92" t="str">
        <f>IF($AG845="","",P_ImportID)</f>
        <v/>
      </c>
      <c r="B845" s="92" t="str">
        <f>IF($AG845="","",IF(INDEX($AN$8:$AN$21,INDEX($AC$8:$AC$1407,$AG845)+1)="Z",P_BronZ,P_BronE))</f>
        <v/>
      </c>
      <c r="C845" s="108" t="str">
        <f>IF($AG845="","",P_Importdatum)</f>
        <v/>
      </c>
      <c r="D845" s="92" t="str">
        <f>IF($AG845="","",P_StatusVastleg)</f>
        <v/>
      </c>
      <c r="E845" s="92" t="str">
        <f>IF($AG845="","",P_UploadVJ)</f>
        <v/>
      </c>
      <c r="F845" s="92" t="str">
        <f>IF($AG845="","",P_UploadVersie)</f>
        <v/>
      </c>
      <c r="G845" s="92" t="str">
        <f>IF($AG845="","",IF(COUNTIFS(L_Sleutel,$S845,L_Status,"Vastgesteld")=0,0,_xlfn.MAXIFS(L_Revisie,L_Sleutel,$S845,L_Status,"Vastgesteld")+1))</f>
        <v/>
      </c>
      <c r="H845" s="108" t="str">
        <f>IF($AG845="","",P_Peildatum)</f>
        <v/>
      </c>
      <c r="I845" s="92" t="str">
        <f>IF($AG845="","",P_RJ+INDEX($AK$8:$AK$21,INDEX($AC$8:$AC$1407,$AG845)+1))</f>
        <v/>
      </c>
      <c r="J845" s="92" t="str">
        <f>IF($AG845="","",INDEX(V_WBS,INDEX($AB$8:$AB$1407,$AG845)))</f>
        <v/>
      </c>
      <c r="K845" s="92" t="str">
        <f>IF($AG845="","",INDEX(V_Projdef,INDEX($AB$8:$AB$1407,$AG845)))</f>
        <v/>
      </c>
      <c r="L845" s="92" t="str">
        <f>IF($AG845="","",INDEX(V_Naam,INDEX($AB$8:$AB$1407,$AG845)))</f>
        <v/>
      </c>
      <c r="M845" s="92" t="str">
        <f>IF($AG845="","",INDEX(V_Type,INDEX($AB$8:$AB$1407,$AG845)))</f>
        <v/>
      </c>
      <c r="N845" s="92" t="str">
        <f>IF($AG845="","",INDEX(V_IFRS,INDEX($AB$8:$AB$1407,$AG845)))</f>
        <v/>
      </c>
      <c r="O845" s="92" t="str">
        <f>IF($AG845="","",INDEX($AL$8:$AL$21,INDEX($AC$8:$AC$1407,$AG845)+1))</f>
        <v/>
      </c>
      <c r="P845" s="109" t="str">
        <f>IF($AG845="","",INDEX($AD$8:$AD$1407,$AG845))</f>
        <v/>
      </c>
      <c r="Q845" s="92" t="str">
        <f>IF($AG845="","",INDEX($AM$8:$AM$21,INDEX($AC$8:$AC$1407,$AG845)+1))</f>
        <v/>
      </c>
      <c r="R845" s="92" t="str">
        <f>IF($AG845="","",IF($G845&gt;0,P_ToelCorrectie&amp;"",""))</f>
        <v/>
      </c>
      <c r="S845" s="15" t="str">
        <f>IF(J845="","",J845&amp;"|"&amp;E845&amp;"|"&amp;F845&amp;"|"&amp;I845&amp;"|"&amp;O845)</f>
        <v/>
      </c>
      <c r="T845" s="111" t="str">
        <f>IF(S845="","",IF(COUNTIFS(L_Sleutel,S845,L_Actief,1)=0,"",SUMIFS(L_Waarde,L_Sleutel,S845,L_Actief,1)))</f>
        <v/>
      </c>
      <c r="U845" s="111">
        <f>IF(OR(S845="",T845=""),0,P845-T845)</f>
        <v>0</v>
      </c>
      <c r="AB845" s="112" t="n">
        <v>60</v>
      </c>
      <c r="AC845" s="112" t="n">
        <v>11</v>
      </c>
      <c r="AD845" s="112" t="str">
        <f>VERW_Project!BT65</f>
        <v/>
      </c>
      <c r="AE845" s="112">
        <f>IF(AND(VERW_Project!$A65&lt;&gt;"",ISNUMBER(AD845)),1,0)</f>
        <v>0</v>
      </c>
      <c r="AF845" s="112" t="str">
        <f>IF(AE845=1,SUM($AE$8:AE845),"")</f>
        <v/>
      </c>
      <c r="AG845" t="str">
        <f>IFERROR(MATCH(838,$AF$8:$AF$1407,0),"")</f>
        <v/>
      </c>
    </row>
    <row r="846">
      <c r="A846" s="92" t="str">
        <f>IF($AG846="","",P_ImportID)</f>
        <v/>
      </c>
      <c r="B846" s="92" t="str">
        <f>IF($AG846="","",IF(INDEX($AN$8:$AN$21,INDEX($AC$8:$AC$1407,$AG846)+1)="Z",P_BronZ,P_BronE))</f>
        <v/>
      </c>
      <c r="C846" s="108" t="str">
        <f>IF($AG846="","",P_Importdatum)</f>
        <v/>
      </c>
      <c r="D846" s="92" t="str">
        <f>IF($AG846="","",P_StatusVastleg)</f>
        <v/>
      </c>
      <c r="E846" s="92" t="str">
        <f>IF($AG846="","",P_UploadVJ)</f>
        <v/>
      </c>
      <c r="F846" s="92" t="str">
        <f>IF($AG846="","",P_UploadVersie)</f>
        <v/>
      </c>
      <c r="G846" s="92" t="str">
        <f>IF($AG846="","",IF(COUNTIFS(L_Sleutel,$S846,L_Status,"Vastgesteld")=0,0,_xlfn.MAXIFS(L_Revisie,L_Sleutel,$S846,L_Status,"Vastgesteld")+1))</f>
        <v/>
      </c>
      <c r="H846" s="108" t="str">
        <f>IF($AG846="","",P_Peildatum)</f>
        <v/>
      </c>
      <c r="I846" s="92" t="str">
        <f>IF($AG846="","",P_RJ+INDEX($AK$8:$AK$21,INDEX($AC$8:$AC$1407,$AG846)+1))</f>
        <v/>
      </c>
      <c r="J846" s="92" t="str">
        <f>IF($AG846="","",INDEX(V_WBS,INDEX($AB$8:$AB$1407,$AG846)))</f>
        <v/>
      </c>
      <c r="K846" s="92" t="str">
        <f>IF($AG846="","",INDEX(V_Projdef,INDEX($AB$8:$AB$1407,$AG846)))</f>
        <v/>
      </c>
      <c r="L846" s="92" t="str">
        <f>IF($AG846="","",INDEX(V_Naam,INDEX($AB$8:$AB$1407,$AG846)))</f>
        <v/>
      </c>
      <c r="M846" s="92" t="str">
        <f>IF($AG846="","",INDEX(V_Type,INDEX($AB$8:$AB$1407,$AG846)))</f>
        <v/>
      </c>
      <c r="N846" s="92" t="str">
        <f>IF($AG846="","",INDEX(V_IFRS,INDEX($AB$8:$AB$1407,$AG846)))</f>
        <v/>
      </c>
      <c r="O846" s="92" t="str">
        <f>IF($AG846="","",INDEX($AL$8:$AL$21,INDEX($AC$8:$AC$1407,$AG846)+1))</f>
        <v/>
      </c>
      <c r="P846" s="109" t="str">
        <f>IF($AG846="","",INDEX($AD$8:$AD$1407,$AG846))</f>
        <v/>
      </c>
      <c r="Q846" s="92" t="str">
        <f>IF($AG846="","",INDEX($AM$8:$AM$21,INDEX($AC$8:$AC$1407,$AG846)+1))</f>
        <v/>
      </c>
      <c r="R846" s="92" t="str">
        <f>IF($AG846="","",IF($G846&gt;0,P_ToelCorrectie&amp;"",""))</f>
        <v/>
      </c>
      <c r="S846" s="15" t="str">
        <f>IF(J846="","",J846&amp;"|"&amp;E846&amp;"|"&amp;F846&amp;"|"&amp;I846&amp;"|"&amp;O846)</f>
        <v/>
      </c>
      <c r="T846" s="111" t="str">
        <f>IF(S846="","",IF(COUNTIFS(L_Sleutel,S846,L_Actief,1)=0,"",SUMIFS(L_Waarde,L_Sleutel,S846,L_Actief,1)))</f>
        <v/>
      </c>
      <c r="U846" s="111">
        <f>IF(OR(S846="",T846=""),0,P846-T846)</f>
        <v>0</v>
      </c>
      <c r="AB846" s="112" t="n">
        <v>60</v>
      </c>
      <c r="AC846" s="112" t="n">
        <v>12</v>
      </c>
      <c r="AD846" s="112" t="str">
        <f>VERW_Project!BU65</f>
        <v/>
      </c>
      <c r="AE846" s="112">
        <f>IF(AND(VERW_Project!$A65&lt;&gt;"",ISNUMBER(AD846)),1,0)</f>
        <v>0</v>
      </c>
      <c r="AF846" s="112" t="str">
        <f>IF(AE846=1,SUM($AE$8:AE846),"")</f>
        <v/>
      </c>
      <c r="AG846" t="str">
        <f>IFERROR(MATCH(839,$AF$8:$AF$1407,0),"")</f>
        <v/>
      </c>
    </row>
    <row r="847">
      <c r="A847" s="92" t="str">
        <f>IF($AG847="","",P_ImportID)</f>
        <v/>
      </c>
      <c r="B847" s="92" t="str">
        <f>IF($AG847="","",IF(INDEX($AN$8:$AN$21,INDEX($AC$8:$AC$1407,$AG847)+1)="Z",P_BronZ,P_BronE))</f>
        <v/>
      </c>
      <c r="C847" s="108" t="str">
        <f>IF($AG847="","",P_Importdatum)</f>
        <v/>
      </c>
      <c r="D847" s="92" t="str">
        <f>IF($AG847="","",P_StatusVastleg)</f>
        <v/>
      </c>
      <c r="E847" s="92" t="str">
        <f>IF($AG847="","",P_UploadVJ)</f>
        <v/>
      </c>
      <c r="F847" s="92" t="str">
        <f>IF($AG847="","",P_UploadVersie)</f>
        <v/>
      </c>
      <c r="G847" s="92" t="str">
        <f>IF($AG847="","",IF(COUNTIFS(L_Sleutel,$S847,L_Status,"Vastgesteld")=0,0,_xlfn.MAXIFS(L_Revisie,L_Sleutel,$S847,L_Status,"Vastgesteld")+1))</f>
        <v/>
      </c>
      <c r="H847" s="108" t="str">
        <f>IF($AG847="","",P_Peildatum)</f>
        <v/>
      </c>
      <c r="I847" s="92" t="str">
        <f>IF($AG847="","",P_RJ+INDEX($AK$8:$AK$21,INDEX($AC$8:$AC$1407,$AG847)+1))</f>
        <v/>
      </c>
      <c r="J847" s="92" t="str">
        <f>IF($AG847="","",INDEX(V_WBS,INDEX($AB$8:$AB$1407,$AG847)))</f>
        <v/>
      </c>
      <c r="K847" s="92" t="str">
        <f>IF($AG847="","",INDEX(V_Projdef,INDEX($AB$8:$AB$1407,$AG847)))</f>
        <v/>
      </c>
      <c r="L847" s="92" t="str">
        <f>IF($AG847="","",INDEX(V_Naam,INDEX($AB$8:$AB$1407,$AG847)))</f>
        <v/>
      </c>
      <c r="M847" s="92" t="str">
        <f>IF($AG847="","",INDEX(V_Type,INDEX($AB$8:$AB$1407,$AG847)))</f>
        <v/>
      </c>
      <c r="N847" s="92" t="str">
        <f>IF($AG847="","",INDEX(V_IFRS,INDEX($AB$8:$AB$1407,$AG847)))</f>
        <v/>
      </c>
      <c r="O847" s="92" t="str">
        <f>IF($AG847="","",INDEX($AL$8:$AL$21,INDEX($AC$8:$AC$1407,$AG847)+1))</f>
        <v/>
      </c>
      <c r="P847" s="109" t="str">
        <f>IF($AG847="","",INDEX($AD$8:$AD$1407,$AG847))</f>
        <v/>
      </c>
      <c r="Q847" s="92" t="str">
        <f>IF($AG847="","",INDEX($AM$8:$AM$21,INDEX($AC$8:$AC$1407,$AG847)+1))</f>
        <v/>
      </c>
      <c r="R847" s="92" t="str">
        <f>IF($AG847="","",IF($G847&gt;0,P_ToelCorrectie&amp;"",""))</f>
        <v/>
      </c>
      <c r="S847" s="15" t="str">
        <f>IF(J847="","",J847&amp;"|"&amp;E847&amp;"|"&amp;F847&amp;"|"&amp;I847&amp;"|"&amp;O847)</f>
        <v/>
      </c>
      <c r="T847" s="111" t="str">
        <f>IF(S847="","",IF(COUNTIFS(L_Sleutel,S847,L_Actief,1)=0,"",SUMIFS(L_Waarde,L_Sleutel,S847,L_Actief,1)))</f>
        <v/>
      </c>
      <c r="U847" s="111">
        <f>IF(OR(S847="",T847=""),0,P847-T847)</f>
        <v>0</v>
      </c>
      <c r="AB847" s="112" t="n">
        <v>60</v>
      </c>
      <c r="AC847" s="112" t="n">
        <v>13</v>
      </c>
      <c r="AD847" s="112" t="str">
        <f>VERW_Project!BX65</f>
        <v/>
      </c>
      <c r="AE847" s="112">
        <f>IF(AND(VERW_Project!$A65&lt;&gt;"",ISNUMBER(AD847)),1,0)</f>
        <v>0</v>
      </c>
      <c r="AF847" s="112" t="str">
        <f>IF(AE847=1,SUM($AE$8:AE847),"")</f>
        <v/>
      </c>
      <c r="AG847" t="str">
        <f>IFERROR(MATCH(840,$AF$8:$AF$1407,0),"")</f>
        <v/>
      </c>
    </row>
    <row r="848">
      <c r="A848" s="92" t="str">
        <f>IF($AG848="","",P_ImportID)</f>
        <v/>
      </c>
      <c r="B848" s="92" t="str">
        <f>IF($AG848="","",IF(INDEX($AN$8:$AN$21,INDEX($AC$8:$AC$1407,$AG848)+1)="Z",P_BronZ,P_BronE))</f>
        <v/>
      </c>
      <c r="C848" s="108" t="str">
        <f>IF($AG848="","",P_Importdatum)</f>
        <v/>
      </c>
      <c r="D848" s="92" t="str">
        <f>IF($AG848="","",P_StatusVastleg)</f>
        <v/>
      </c>
      <c r="E848" s="92" t="str">
        <f>IF($AG848="","",P_UploadVJ)</f>
        <v/>
      </c>
      <c r="F848" s="92" t="str">
        <f>IF($AG848="","",P_UploadVersie)</f>
        <v/>
      </c>
      <c r="G848" s="92" t="str">
        <f>IF($AG848="","",IF(COUNTIFS(L_Sleutel,$S848,L_Status,"Vastgesteld")=0,0,_xlfn.MAXIFS(L_Revisie,L_Sleutel,$S848,L_Status,"Vastgesteld")+1))</f>
        <v/>
      </c>
      <c r="H848" s="108" t="str">
        <f>IF($AG848="","",P_Peildatum)</f>
        <v/>
      </c>
      <c r="I848" s="92" t="str">
        <f>IF($AG848="","",P_RJ+INDEX($AK$8:$AK$21,INDEX($AC$8:$AC$1407,$AG848)+1))</f>
        <v/>
      </c>
      <c r="J848" s="92" t="str">
        <f>IF($AG848="","",INDEX(V_WBS,INDEX($AB$8:$AB$1407,$AG848)))</f>
        <v/>
      </c>
      <c r="K848" s="92" t="str">
        <f>IF($AG848="","",INDEX(V_Projdef,INDEX($AB$8:$AB$1407,$AG848)))</f>
        <v/>
      </c>
      <c r="L848" s="92" t="str">
        <f>IF($AG848="","",INDEX(V_Naam,INDEX($AB$8:$AB$1407,$AG848)))</f>
        <v/>
      </c>
      <c r="M848" s="92" t="str">
        <f>IF($AG848="","",INDEX(V_Type,INDEX($AB$8:$AB$1407,$AG848)))</f>
        <v/>
      </c>
      <c r="N848" s="92" t="str">
        <f>IF($AG848="","",INDEX(V_IFRS,INDEX($AB$8:$AB$1407,$AG848)))</f>
        <v/>
      </c>
      <c r="O848" s="92" t="str">
        <f>IF($AG848="","",INDEX($AL$8:$AL$21,INDEX($AC$8:$AC$1407,$AG848)+1))</f>
        <v/>
      </c>
      <c r="P848" s="109" t="str">
        <f>IF($AG848="","",INDEX($AD$8:$AD$1407,$AG848))</f>
        <v/>
      </c>
      <c r="Q848" s="92" t="str">
        <f>IF($AG848="","",INDEX($AM$8:$AM$21,INDEX($AC$8:$AC$1407,$AG848)+1))</f>
        <v/>
      </c>
      <c r="R848" s="92" t="str">
        <f>IF($AG848="","",IF($G848&gt;0,P_ToelCorrectie&amp;"",""))</f>
        <v/>
      </c>
      <c r="S848" s="15" t="str">
        <f>IF(J848="","",J848&amp;"|"&amp;E848&amp;"|"&amp;F848&amp;"|"&amp;I848&amp;"|"&amp;O848)</f>
        <v/>
      </c>
      <c r="T848" s="111" t="str">
        <f>IF(S848="","",IF(COUNTIFS(L_Sleutel,S848,L_Actief,1)=0,"",SUMIFS(L_Waarde,L_Sleutel,S848,L_Actief,1)))</f>
        <v/>
      </c>
      <c r="U848" s="111">
        <f>IF(OR(S848="",T848=""),0,P848-T848)</f>
        <v>0</v>
      </c>
      <c r="AB848" s="112" t="n">
        <v>61</v>
      </c>
      <c r="AC848" s="112" t="n">
        <v>0</v>
      </c>
      <c r="AD848" s="112" t="str">
        <f>VERW_Project!P66</f>
        <v/>
      </c>
      <c r="AE848" s="112">
        <f>IF(AND(VERW_Project!$A66&lt;&gt;"",ISNUMBER(AD848)),1,0)</f>
        <v>0</v>
      </c>
      <c r="AF848" s="112" t="str">
        <f>IF(AE848=1,SUM($AE$8:AE848),"")</f>
        <v/>
      </c>
      <c r="AG848" t="str">
        <f>IFERROR(MATCH(841,$AF$8:$AF$1407,0),"")</f>
        <v/>
      </c>
    </row>
    <row r="849">
      <c r="A849" s="92" t="str">
        <f>IF($AG849="","",P_ImportID)</f>
        <v/>
      </c>
      <c r="B849" s="92" t="str">
        <f>IF($AG849="","",IF(INDEX($AN$8:$AN$21,INDEX($AC$8:$AC$1407,$AG849)+1)="Z",P_BronZ,P_BronE))</f>
        <v/>
      </c>
      <c r="C849" s="108" t="str">
        <f>IF($AG849="","",P_Importdatum)</f>
        <v/>
      </c>
      <c r="D849" s="92" t="str">
        <f>IF($AG849="","",P_StatusVastleg)</f>
        <v/>
      </c>
      <c r="E849" s="92" t="str">
        <f>IF($AG849="","",P_UploadVJ)</f>
        <v/>
      </c>
      <c r="F849" s="92" t="str">
        <f>IF($AG849="","",P_UploadVersie)</f>
        <v/>
      </c>
      <c r="G849" s="92" t="str">
        <f>IF($AG849="","",IF(COUNTIFS(L_Sleutel,$S849,L_Status,"Vastgesteld")=0,0,_xlfn.MAXIFS(L_Revisie,L_Sleutel,$S849,L_Status,"Vastgesteld")+1))</f>
        <v/>
      </c>
      <c r="H849" s="108" t="str">
        <f>IF($AG849="","",P_Peildatum)</f>
        <v/>
      </c>
      <c r="I849" s="92" t="str">
        <f>IF($AG849="","",P_RJ+INDEX($AK$8:$AK$21,INDEX($AC$8:$AC$1407,$AG849)+1))</f>
        <v/>
      </c>
      <c r="J849" s="92" t="str">
        <f>IF($AG849="","",INDEX(V_WBS,INDEX($AB$8:$AB$1407,$AG849)))</f>
        <v/>
      </c>
      <c r="K849" s="92" t="str">
        <f>IF($AG849="","",INDEX(V_Projdef,INDEX($AB$8:$AB$1407,$AG849)))</f>
        <v/>
      </c>
      <c r="L849" s="92" t="str">
        <f>IF($AG849="","",INDEX(V_Naam,INDEX($AB$8:$AB$1407,$AG849)))</f>
        <v/>
      </c>
      <c r="M849" s="92" t="str">
        <f>IF($AG849="","",INDEX(V_Type,INDEX($AB$8:$AB$1407,$AG849)))</f>
        <v/>
      </c>
      <c r="N849" s="92" t="str">
        <f>IF($AG849="","",INDEX(V_IFRS,INDEX($AB$8:$AB$1407,$AG849)))</f>
        <v/>
      </c>
      <c r="O849" s="92" t="str">
        <f>IF($AG849="","",INDEX($AL$8:$AL$21,INDEX($AC$8:$AC$1407,$AG849)+1))</f>
        <v/>
      </c>
      <c r="P849" s="109" t="str">
        <f>IF($AG849="","",INDEX($AD$8:$AD$1407,$AG849))</f>
        <v/>
      </c>
      <c r="Q849" s="92" t="str">
        <f>IF($AG849="","",INDEX($AM$8:$AM$21,INDEX($AC$8:$AC$1407,$AG849)+1))</f>
        <v/>
      </c>
      <c r="R849" s="92" t="str">
        <f>IF($AG849="","",IF($G849&gt;0,P_ToelCorrectie&amp;"",""))</f>
        <v/>
      </c>
      <c r="S849" s="15" t="str">
        <f>IF(J849="","",J849&amp;"|"&amp;E849&amp;"|"&amp;F849&amp;"|"&amp;I849&amp;"|"&amp;O849)</f>
        <v/>
      </c>
      <c r="T849" s="111" t="str">
        <f>IF(S849="","",IF(COUNTIFS(L_Sleutel,S849,L_Actief,1)=0,"",SUMIFS(L_Waarde,L_Sleutel,S849,L_Actief,1)))</f>
        <v/>
      </c>
      <c r="U849" s="111">
        <f>IF(OR(S849="",T849=""),0,P849-T849)</f>
        <v>0</v>
      </c>
      <c r="AB849" s="112" t="n">
        <v>61</v>
      </c>
      <c r="AC849" s="112" t="n">
        <v>1</v>
      </c>
      <c r="AD849" s="112" t="str">
        <f>VERW_Project!Q66</f>
        <v/>
      </c>
      <c r="AE849" s="112">
        <f>IF(AND(VERW_Project!$A66&lt;&gt;"",ISNUMBER(AD849)),1,0)</f>
        <v>0</v>
      </c>
      <c r="AF849" s="112" t="str">
        <f>IF(AE849=1,SUM($AE$8:AE849),"")</f>
        <v/>
      </c>
      <c r="AG849" t="str">
        <f>IFERROR(MATCH(842,$AF$8:$AF$1407,0),"")</f>
        <v/>
      </c>
    </row>
    <row r="850">
      <c r="A850" s="92" t="str">
        <f>IF($AG850="","",P_ImportID)</f>
        <v/>
      </c>
      <c r="B850" s="92" t="str">
        <f>IF($AG850="","",IF(INDEX($AN$8:$AN$21,INDEX($AC$8:$AC$1407,$AG850)+1)="Z",P_BronZ,P_BronE))</f>
        <v/>
      </c>
      <c r="C850" s="108" t="str">
        <f>IF($AG850="","",P_Importdatum)</f>
        <v/>
      </c>
      <c r="D850" s="92" t="str">
        <f>IF($AG850="","",P_StatusVastleg)</f>
        <v/>
      </c>
      <c r="E850" s="92" t="str">
        <f>IF($AG850="","",P_UploadVJ)</f>
        <v/>
      </c>
      <c r="F850" s="92" t="str">
        <f>IF($AG850="","",P_UploadVersie)</f>
        <v/>
      </c>
      <c r="G850" s="92" t="str">
        <f>IF($AG850="","",IF(COUNTIFS(L_Sleutel,$S850,L_Status,"Vastgesteld")=0,0,_xlfn.MAXIFS(L_Revisie,L_Sleutel,$S850,L_Status,"Vastgesteld")+1))</f>
        <v/>
      </c>
      <c r="H850" s="108" t="str">
        <f>IF($AG850="","",P_Peildatum)</f>
        <v/>
      </c>
      <c r="I850" s="92" t="str">
        <f>IF($AG850="","",P_RJ+INDEX($AK$8:$AK$21,INDEX($AC$8:$AC$1407,$AG850)+1))</f>
        <v/>
      </c>
      <c r="J850" s="92" t="str">
        <f>IF($AG850="","",INDEX(V_WBS,INDEX($AB$8:$AB$1407,$AG850)))</f>
        <v/>
      </c>
      <c r="K850" s="92" t="str">
        <f>IF($AG850="","",INDEX(V_Projdef,INDEX($AB$8:$AB$1407,$AG850)))</f>
        <v/>
      </c>
      <c r="L850" s="92" t="str">
        <f>IF($AG850="","",INDEX(V_Naam,INDEX($AB$8:$AB$1407,$AG850)))</f>
        <v/>
      </c>
      <c r="M850" s="92" t="str">
        <f>IF($AG850="","",INDEX(V_Type,INDEX($AB$8:$AB$1407,$AG850)))</f>
        <v/>
      </c>
      <c r="N850" s="92" t="str">
        <f>IF($AG850="","",INDEX(V_IFRS,INDEX($AB$8:$AB$1407,$AG850)))</f>
        <v/>
      </c>
      <c r="O850" s="92" t="str">
        <f>IF($AG850="","",INDEX($AL$8:$AL$21,INDEX($AC$8:$AC$1407,$AG850)+1))</f>
        <v/>
      </c>
      <c r="P850" s="109" t="str">
        <f>IF($AG850="","",INDEX($AD$8:$AD$1407,$AG850))</f>
        <v/>
      </c>
      <c r="Q850" s="92" t="str">
        <f>IF($AG850="","",INDEX($AM$8:$AM$21,INDEX($AC$8:$AC$1407,$AG850)+1))</f>
        <v/>
      </c>
      <c r="R850" s="92" t="str">
        <f>IF($AG850="","",IF($G850&gt;0,P_ToelCorrectie&amp;"",""))</f>
        <v/>
      </c>
      <c r="S850" s="15" t="str">
        <f>IF(J850="","",J850&amp;"|"&amp;E850&amp;"|"&amp;F850&amp;"|"&amp;I850&amp;"|"&amp;O850)</f>
        <v/>
      </c>
      <c r="T850" s="111" t="str">
        <f>IF(S850="","",IF(COUNTIFS(L_Sleutel,S850,L_Actief,1)=0,"",SUMIFS(L_Waarde,L_Sleutel,S850,L_Actief,1)))</f>
        <v/>
      </c>
      <c r="U850" s="111">
        <f>IF(OR(S850="",T850=""),0,P850-T850)</f>
        <v>0</v>
      </c>
      <c r="AB850" s="112" t="n">
        <v>61</v>
      </c>
      <c r="AC850" s="112" t="n">
        <v>2</v>
      </c>
      <c r="AD850" s="112" t="str">
        <f>VERW_Project!L66</f>
        <v/>
      </c>
      <c r="AE850" s="112">
        <f>IF(AND(VERW_Project!$A66&lt;&gt;"",ISNUMBER(AD850)),1,0)</f>
        <v>0</v>
      </c>
      <c r="AF850" s="112" t="str">
        <f>IF(AE850=1,SUM($AE$8:AE850),"")</f>
        <v/>
      </c>
      <c r="AG850" t="str">
        <f>IFERROR(MATCH(843,$AF$8:$AF$1407,0),"")</f>
        <v/>
      </c>
    </row>
    <row r="851">
      <c r="A851" s="92" t="str">
        <f>IF($AG851="","",P_ImportID)</f>
        <v/>
      </c>
      <c r="B851" s="92" t="str">
        <f>IF($AG851="","",IF(INDEX($AN$8:$AN$21,INDEX($AC$8:$AC$1407,$AG851)+1)="Z",P_BronZ,P_BronE))</f>
        <v/>
      </c>
      <c r="C851" s="108" t="str">
        <f>IF($AG851="","",P_Importdatum)</f>
        <v/>
      </c>
      <c r="D851" s="92" t="str">
        <f>IF($AG851="","",P_StatusVastleg)</f>
        <v/>
      </c>
      <c r="E851" s="92" t="str">
        <f>IF($AG851="","",P_UploadVJ)</f>
        <v/>
      </c>
      <c r="F851" s="92" t="str">
        <f>IF($AG851="","",P_UploadVersie)</f>
        <v/>
      </c>
      <c r="G851" s="92" t="str">
        <f>IF($AG851="","",IF(COUNTIFS(L_Sleutel,$S851,L_Status,"Vastgesteld")=0,0,_xlfn.MAXIFS(L_Revisie,L_Sleutel,$S851,L_Status,"Vastgesteld")+1))</f>
        <v/>
      </c>
      <c r="H851" s="108" t="str">
        <f>IF($AG851="","",P_Peildatum)</f>
        <v/>
      </c>
      <c r="I851" s="92" t="str">
        <f>IF($AG851="","",P_RJ+INDEX($AK$8:$AK$21,INDEX($AC$8:$AC$1407,$AG851)+1))</f>
        <v/>
      </c>
      <c r="J851" s="92" t="str">
        <f>IF($AG851="","",INDEX(V_WBS,INDEX($AB$8:$AB$1407,$AG851)))</f>
        <v/>
      </c>
      <c r="K851" s="92" t="str">
        <f>IF($AG851="","",INDEX(V_Projdef,INDEX($AB$8:$AB$1407,$AG851)))</f>
        <v/>
      </c>
      <c r="L851" s="92" t="str">
        <f>IF($AG851="","",INDEX(V_Naam,INDEX($AB$8:$AB$1407,$AG851)))</f>
        <v/>
      </c>
      <c r="M851" s="92" t="str">
        <f>IF($AG851="","",INDEX(V_Type,INDEX($AB$8:$AB$1407,$AG851)))</f>
        <v/>
      </c>
      <c r="N851" s="92" t="str">
        <f>IF($AG851="","",INDEX(V_IFRS,INDEX($AB$8:$AB$1407,$AG851)))</f>
        <v/>
      </c>
      <c r="O851" s="92" t="str">
        <f>IF($AG851="","",INDEX($AL$8:$AL$21,INDEX($AC$8:$AC$1407,$AG851)+1))</f>
        <v/>
      </c>
      <c r="P851" s="109" t="str">
        <f>IF($AG851="","",INDEX($AD$8:$AD$1407,$AG851))</f>
        <v/>
      </c>
      <c r="Q851" s="92" t="str">
        <f>IF($AG851="","",INDEX($AM$8:$AM$21,INDEX($AC$8:$AC$1407,$AG851)+1))</f>
        <v/>
      </c>
      <c r="R851" s="92" t="str">
        <f>IF($AG851="","",IF($G851&gt;0,P_ToelCorrectie&amp;"",""))</f>
        <v/>
      </c>
      <c r="S851" s="15" t="str">
        <f>IF(J851="","",J851&amp;"|"&amp;E851&amp;"|"&amp;F851&amp;"|"&amp;I851&amp;"|"&amp;O851)</f>
        <v/>
      </c>
      <c r="T851" s="111" t="str">
        <f>IF(S851="","",IF(COUNTIFS(L_Sleutel,S851,L_Actief,1)=0,"",SUMIFS(L_Waarde,L_Sleutel,S851,L_Actief,1)))</f>
        <v/>
      </c>
      <c r="U851" s="111">
        <f>IF(OR(S851="",T851=""),0,P851-T851)</f>
        <v>0</v>
      </c>
      <c r="AB851" s="112" t="n">
        <v>61</v>
      </c>
      <c r="AC851" s="112" t="n">
        <v>3</v>
      </c>
      <c r="AD851" s="112" t="str">
        <f>VERW_Project!M66</f>
        <v/>
      </c>
      <c r="AE851" s="112">
        <f>IF(AND(VERW_Project!$A66&lt;&gt;"",ISNUMBER(AD851)),1,0)</f>
        <v>0</v>
      </c>
      <c r="AF851" s="112" t="str">
        <f>IF(AE851=1,SUM($AE$8:AE851),"")</f>
        <v/>
      </c>
      <c r="AG851" t="str">
        <f>IFERROR(MATCH(844,$AF$8:$AF$1407,0),"")</f>
        <v/>
      </c>
    </row>
    <row r="852">
      <c r="A852" s="92" t="str">
        <f>IF($AG852="","",P_ImportID)</f>
        <v/>
      </c>
      <c r="B852" s="92" t="str">
        <f>IF($AG852="","",IF(INDEX($AN$8:$AN$21,INDEX($AC$8:$AC$1407,$AG852)+1)="Z",P_BronZ,P_BronE))</f>
        <v/>
      </c>
      <c r="C852" s="108" t="str">
        <f>IF($AG852="","",P_Importdatum)</f>
        <v/>
      </c>
      <c r="D852" s="92" t="str">
        <f>IF($AG852="","",P_StatusVastleg)</f>
        <v/>
      </c>
      <c r="E852" s="92" t="str">
        <f>IF($AG852="","",P_UploadVJ)</f>
        <v/>
      </c>
      <c r="F852" s="92" t="str">
        <f>IF($AG852="","",P_UploadVersie)</f>
        <v/>
      </c>
      <c r="G852" s="92" t="str">
        <f>IF($AG852="","",IF(COUNTIFS(L_Sleutel,$S852,L_Status,"Vastgesteld")=0,0,_xlfn.MAXIFS(L_Revisie,L_Sleutel,$S852,L_Status,"Vastgesteld")+1))</f>
        <v/>
      </c>
      <c r="H852" s="108" t="str">
        <f>IF($AG852="","",P_Peildatum)</f>
        <v/>
      </c>
      <c r="I852" s="92" t="str">
        <f>IF($AG852="","",P_RJ+INDEX($AK$8:$AK$21,INDEX($AC$8:$AC$1407,$AG852)+1))</f>
        <v/>
      </c>
      <c r="J852" s="92" t="str">
        <f>IF($AG852="","",INDEX(V_WBS,INDEX($AB$8:$AB$1407,$AG852)))</f>
        <v/>
      </c>
      <c r="K852" s="92" t="str">
        <f>IF($AG852="","",INDEX(V_Projdef,INDEX($AB$8:$AB$1407,$AG852)))</f>
        <v/>
      </c>
      <c r="L852" s="92" t="str">
        <f>IF($AG852="","",INDEX(V_Naam,INDEX($AB$8:$AB$1407,$AG852)))</f>
        <v/>
      </c>
      <c r="M852" s="92" t="str">
        <f>IF($AG852="","",INDEX(V_Type,INDEX($AB$8:$AB$1407,$AG852)))</f>
        <v/>
      </c>
      <c r="N852" s="92" t="str">
        <f>IF($AG852="","",INDEX(V_IFRS,INDEX($AB$8:$AB$1407,$AG852)))</f>
        <v/>
      </c>
      <c r="O852" s="92" t="str">
        <f>IF($AG852="","",INDEX($AL$8:$AL$21,INDEX($AC$8:$AC$1407,$AG852)+1))</f>
        <v/>
      </c>
      <c r="P852" s="109" t="str">
        <f>IF($AG852="","",INDEX($AD$8:$AD$1407,$AG852))</f>
        <v/>
      </c>
      <c r="Q852" s="92" t="str">
        <f>IF($AG852="","",INDEX($AM$8:$AM$21,INDEX($AC$8:$AC$1407,$AG852)+1))</f>
        <v/>
      </c>
      <c r="R852" s="92" t="str">
        <f>IF($AG852="","",IF($G852&gt;0,P_ToelCorrectie&amp;"",""))</f>
        <v/>
      </c>
      <c r="S852" s="15" t="str">
        <f>IF(J852="","",J852&amp;"|"&amp;E852&amp;"|"&amp;F852&amp;"|"&amp;I852&amp;"|"&amp;O852)</f>
        <v/>
      </c>
      <c r="T852" s="111" t="str">
        <f>IF(S852="","",IF(COUNTIFS(L_Sleutel,S852,L_Actief,1)=0,"",SUMIFS(L_Waarde,L_Sleutel,S852,L_Actief,1)))</f>
        <v/>
      </c>
      <c r="U852" s="111">
        <f>IF(OR(S852="",T852=""),0,P852-T852)</f>
        <v>0</v>
      </c>
      <c r="AB852" s="112" t="n">
        <v>61</v>
      </c>
      <c r="AC852" s="112" t="n">
        <v>4</v>
      </c>
      <c r="AD852" s="112" t="str">
        <f>VERW_Project!R66</f>
        <v/>
      </c>
      <c r="AE852" s="112">
        <f>IF(AND(VERW_Project!$A66&lt;&gt;"",ISNUMBER(AD852)),1,0)</f>
        <v>0</v>
      </c>
      <c r="AF852" s="112" t="str">
        <f>IF(AE852=1,SUM($AE$8:AE852),"")</f>
        <v/>
      </c>
      <c r="AG852" t="str">
        <f>IFERROR(MATCH(845,$AF$8:$AF$1407,0),"")</f>
        <v/>
      </c>
    </row>
    <row r="853">
      <c r="A853" s="92" t="str">
        <f>IF($AG853="","",P_ImportID)</f>
        <v/>
      </c>
      <c r="B853" s="92" t="str">
        <f>IF($AG853="","",IF(INDEX($AN$8:$AN$21,INDEX($AC$8:$AC$1407,$AG853)+1)="Z",P_BronZ,P_BronE))</f>
        <v/>
      </c>
      <c r="C853" s="108" t="str">
        <f>IF($AG853="","",P_Importdatum)</f>
        <v/>
      </c>
      <c r="D853" s="92" t="str">
        <f>IF($AG853="","",P_StatusVastleg)</f>
        <v/>
      </c>
      <c r="E853" s="92" t="str">
        <f>IF($AG853="","",P_UploadVJ)</f>
        <v/>
      </c>
      <c r="F853" s="92" t="str">
        <f>IF($AG853="","",P_UploadVersie)</f>
        <v/>
      </c>
      <c r="G853" s="92" t="str">
        <f>IF($AG853="","",IF(COUNTIFS(L_Sleutel,$S853,L_Status,"Vastgesteld")=0,0,_xlfn.MAXIFS(L_Revisie,L_Sleutel,$S853,L_Status,"Vastgesteld")+1))</f>
        <v/>
      </c>
      <c r="H853" s="108" t="str">
        <f>IF($AG853="","",P_Peildatum)</f>
        <v/>
      </c>
      <c r="I853" s="92" t="str">
        <f>IF($AG853="","",P_RJ+INDEX($AK$8:$AK$21,INDEX($AC$8:$AC$1407,$AG853)+1))</f>
        <v/>
      </c>
      <c r="J853" s="92" t="str">
        <f>IF($AG853="","",INDEX(V_WBS,INDEX($AB$8:$AB$1407,$AG853)))</f>
        <v/>
      </c>
      <c r="K853" s="92" t="str">
        <f>IF($AG853="","",INDEX(V_Projdef,INDEX($AB$8:$AB$1407,$AG853)))</f>
        <v/>
      </c>
      <c r="L853" s="92" t="str">
        <f>IF($AG853="","",INDEX(V_Naam,INDEX($AB$8:$AB$1407,$AG853)))</f>
        <v/>
      </c>
      <c r="M853" s="92" t="str">
        <f>IF($AG853="","",INDEX(V_Type,INDEX($AB$8:$AB$1407,$AG853)))</f>
        <v/>
      </c>
      <c r="N853" s="92" t="str">
        <f>IF($AG853="","",INDEX(V_IFRS,INDEX($AB$8:$AB$1407,$AG853)))</f>
        <v/>
      </c>
      <c r="O853" s="92" t="str">
        <f>IF($AG853="","",INDEX($AL$8:$AL$21,INDEX($AC$8:$AC$1407,$AG853)+1))</f>
        <v/>
      </c>
      <c r="P853" s="109" t="str">
        <f>IF($AG853="","",INDEX($AD$8:$AD$1407,$AG853))</f>
        <v/>
      </c>
      <c r="Q853" s="92" t="str">
        <f>IF($AG853="","",INDEX($AM$8:$AM$21,INDEX($AC$8:$AC$1407,$AG853)+1))</f>
        <v/>
      </c>
      <c r="R853" s="92" t="str">
        <f>IF($AG853="","",IF($G853&gt;0,P_ToelCorrectie&amp;"",""))</f>
        <v/>
      </c>
      <c r="S853" s="15" t="str">
        <f>IF(J853="","",J853&amp;"|"&amp;E853&amp;"|"&amp;F853&amp;"|"&amp;I853&amp;"|"&amp;O853)</f>
        <v/>
      </c>
      <c r="T853" s="111" t="str">
        <f>IF(S853="","",IF(COUNTIFS(L_Sleutel,S853,L_Actief,1)=0,"",SUMIFS(L_Waarde,L_Sleutel,S853,L_Actief,1)))</f>
        <v/>
      </c>
      <c r="U853" s="111">
        <f>IF(OR(S853="",T853=""),0,P853-T853)</f>
        <v>0</v>
      </c>
      <c r="AB853" s="112" t="n">
        <v>61</v>
      </c>
      <c r="AC853" s="112" t="n">
        <v>5</v>
      </c>
      <c r="AD853" s="112" t="str">
        <f>VERW_Project!S66</f>
        <v/>
      </c>
      <c r="AE853" s="112">
        <f>IF(AND(VERW_Project!$A66&lt;&gt;"",ISNUMBER(AD853)),1,0)</f>
        <v>0</v>
      </c>
      <c r="AF853" s="112" t="str">
        <f>IF(AE853=1,SUM($AE$8:AE853),"")</f>
        <v/>
      </c>
      <c r="AG853" t="str">
        <f>IFERROR(MATCH(846,$AF$8:$AF$1407,0),"")</f>
        <v/>
      </c>
    </row>
    <row r="854">
      <c r="A854" s="92" t="str">
        <f>IF($AG854="","",P_ImportID)</f>
        <v/>
      </c>
      <c r="B854" s="92" t="str">
        <f>IF($AG854="","",IF(INDEX($AN$8:$AN$21,INDEX($AC$8:$AC$1407,$AG854)+1)="Z",P_BronZ,P_BronE))</f>
        <v/>
      </c>
      <c r="C854" s="108" t="str">
        <f>IF($AG854="","",P_Importdatum)</f>
        <v/>
      </c>
      <c r="D854" s="92" t="str">
        <f>IF($AG854="","",P_StatusVastleg)</f>
        <v/>
      </c>
      <c r="E854" s="92" t="str">
        <f>IF($AG854="","",P_UploadVJ)</f>
        <v/>
      </c>
      <c r="F854" s="92" t="str">
        <f>IF($AG854="","",P_UploadVersie)</f>
        <v/>
      </c>
      <c r="G854" s="92" t="str">
        <f>IF($AG854="","",IF(COUNTIFS(L_Sleutel,$S854,L_Status,"Vastgesteld")=0,0,_xlfn.MAXIFS(L_Revisie,L_Sleutel,$S854,L_Status,"Vastgesteld")+1))</f>
        <v/>
      </c>
      <c r="H854" s="108" t="str">
        <f>IF($AG854="","",P_Peildatum)</f>
        <v/>
      </c>
      <c r="I854" s="92" t="str">
        <f>IF($AG854="","",P_RJ+INDEX($AK$8:$AK$21,INDEX($AC$8:$AC$1407,$AG854)+1))</f>
        <v/>
      </c>
      <c r="J854" s="92" t="str">
        <f>IF($AG854="","",INDEX(V_WBS,INDEX($AB$8:$AB$1407,$AG854)))</f>
        <v/>
      </c>
      <c r="K854" s="92" t="str">
        <f>IF($AG854="","",INDEX(V_Projdef,INDEX($AB$8:$AB$1407,$AG854)))</f>
        <v/>
      </c>
      <c r="L854" s="92" t="str">
        <f>IF($AG854="","",INDEX(V_Naam,INDEX($AB$8:$AB$1407,$AG854)))</f>
        <v/>
      </c>
      <c r="M854" s="92" t="str">
        <f>IF($AG854="","",INDEX(V_Type,INDEX($AB$8:$AB$1407,$AG854)))</f>
        <v/>
      </c>
      <c r="N854" s="92" t="str">
        <f>IF($AG854="","",INDEX(V_IFRS,INDEX($AB$8:$AB$1407,$AG854)))</f>
        <v/>
      </c>
      <c r="O854" s="92" t="str">
        <f>IF($AG854="","",INDEX($AL$8:$AL$21,INDEX($AC$8:$AC$1407,$AG854)+1))</f>
        <v/>
      </c>
      <c r="P854" s="109" t="str">
        <f>IF($AG854="","",INDEX($AD$8:$AD$1407,$AG854))</f>
        <v/>
      </c>
      <c r="Q854" s="92" t="str">
        <f>IF($AG854="","",INDEX($AM$8:$AM$21,INDEX($AC$8:$AC$1407,$AG854)+1))</f>
        <v/>
      </c>
      <c r="R854" s="92" t="str">
        <f>IF($AG854="","",IF($G854&gt;0,P_ToelCorrectie&amp;"",""))</f>
        <v/>
      </c>
      <c r="S854" s="15" t="str">
        <f>IF(J854="","",J854&amp;"|"&amp;E854&amp;"|"&amp;F854&amp;"|"&amp;I854&amp;"|"&amp;O854)</f>
        <v/>
      </c>
      <c r="T854" s="111" t="str">
        <f>IF(S854="","",IF(COUNTIFS(L_Sleutel,S854,L_Actief,1)=0,"",SUMIFS(L_Waarde,L_Sleutel,S854,L_Actief,1)))</f>
        <v/>
      </c>
      <c r="U854" s="111">
        <f>IF(OR(S854="",T854=""),0,P854-T854)</f>
        <v>0</v>
      </c>
      <c r="AB854" s="112" t="n">
        <v>61</v>
      </c>
      <c r="AC854" s="112" t="n">
        <v>6</v>
      </c>
      <c r="AD854" s="112" t="str">
        <f>VERW_Project!BW66</f>
        <v/>
      </c>
      <c r="AE854" s="112">
        <f>IF(AND(VERW_Project!$A66&lt;&gt;"",ISNUMBER(AD854)),1,0)</f>
        <v>0</v>
      </c>
      <c r="AF854" s="112" t="str">
        <f>IF(AE854=1,SUM($AE$8:AE854),"")</f>
        <v/>
      </c>
      <c r="AG854" t="str">
        <f>IFERROR(MATCH(847,$AF$8:$AF$1407,0),"")</f>
        <v/>
      </c>
    </row>
    <row r="855">
      <c r="A855" s="92" t="str">
        <f>IF($AG855="","",P_ImportID)</f>
        <v/>
      </c>
      <c r="B855" s="92" t="str">
        <f>IF($AG855="","",IF(INDEX($AN$8:$AN$21,INDEX($AC$8:$AC$1407,$AG855)+1)="Z",P_BronZ,P_BronE))</f>
        <v/>
      </c>
      <c r="C855" s="108" t="str">
        <f>IF($AG855="","",P_Importdatum)</f>
        <v/>
      </c>
      <c r="D855" s="92" t="str">
        <f>IF($AG855="","",P_StatusVastleg)</f>
        <v/>
      </c>
      <c r="E855" s="92" t="str">
        <f>IF($AG855="","",P_UploadVJ)</f>
        <v/>
      </c>
      <c r="F855" s="92" t="str">
        <f>IF($AG855="","",P_UploadVersie)</f>
        <v/>
      </c>
      <c r="G855" s="92" t="str">
        <f>IF($AG855="","",IF(COUNTIFS(L_Sleutel,$S855,L_Status,"Vastgesteld")=0,0,_xlfn.MAXIFS(L_Revisie,L_Sleutel,$S855,L_Status,"Vastgesteld")+1))</f>
        <v/>
      </c>
      <c r="H855" s="108" t="str">
        <f>IF($AG855="","",P_Peildatum)</f>
        <v/>
      </c>
      <c r="I855" s="92" t="str">
        <f>IF($AG855="","",P_RJ+INDEX($AK$8:$AK$21,INDEX($AC$8:$AC$1407,$AG855)+1))</f>
        <v/>
      </c>
      <c r="J855" s="92" t="str">
        <f>IF($AG855="","",INDEX(V_WBS,INDEX($AB$8:$AB$1407,$AG855)))</f>
        <v/>
      </c>
      <c r="K855" s="92" t="str">
        <f>IF($AG855="","",INDEX(V_Projdef,INDEX($AB$8:$AB$1407,$AG855)))</f>
        <v/>
      </c>
      <c r="L855" s="92" t="str">
        <f>IF($AG855="","",INDEX(V_Naam,INDEX($AB$8:$AB$1407,$AG855)))</f>
        <v/>
      </c>
      <c r="M855" s="92" t="str">
        <f>IF($AG855="","",INDEX(V_Type,INDEX($AB$8:$AB$1407,$AG855)))</f>
        <v/>
      </c>
      <c r="N855" s="92" t="str">
        <f>IF($AG855="","",INDEX(V_IFRS,INDEX($AB$8:$AB$1407,$AG855)))</f>
        <v/>
      </c>
      <c r="O855" s="92" t="str">
        <f>IF($AG855="","",INDEX($AL$8:$AL$21,INDEX($AC$8:$AC$1407,$AG855)+1))</f>
        <v/>
      </c>
      <c r="P855" s="109" t="str">
        <f>IF($AG855="","",INDEX($AD$8:$AD$1407,$AG855))</f>
        <v/>
      </c>
      <c r="Q855" s="92" t="str">
        <f>IF($AG855="","",INDEX($AM$8:$AM$21,INDEX($AC$8:$AC$1407,$AG855)+1))</f>
        <v/>
      </c>
      <c r="R855" s="92" t="str">
        <f>IF($AG855="","",IF($G855&gt;0,P_ToelCorrectie&amp;"",""))</f>
        <v/>
      </c>
      <c r="S855" s="15" t="str">
        <f>IF(J855="","",J855&amp;"|"&amp;E855&amp;"|"&amp;F855&amp;"|"&amp;I855&amp;"|"&amp;O855)</f>
        <v/>
      </c>
      <c r="T855" s="111" t="str">
        <f>IF(S855="","",IF(COUNTIFS(L_Sleutel,S855,L_Actief,1)=0,"",SUMIFS(L_Waarde,L_Sleutel,S855,L_Actief,1)))</f>
        <v/>
      </c>
      <c r="U855" s="111">
        <f>IF(OR(S855="",T855=""),0,P855-T855)</f>
        <v>0</v>
      </c>
      <c r="AB855" s="112" t="n">
        <v>61</v>
      </c>
      <c r="AC855" s="112" t="n">
        <v>7</v>
      </c>
      <c r="AD855" s="112" t="str">
        <f>VERW_Project!AW66</f>
        <v/>
      </c>
      <c r="AE855" s="112">
        <f>IF(AND(VERW_Project!$A66&lt;&gt;"",ISNUMBER(AD855)),1,0)</f>
        <v>0</v>
      </c>
      <c r="AF855" s="112" t="str">
        <f>IF(AE855=1,SUM($AE$8:AE855),"")</f>
        <v/>
      </c>
      <c r="AG855" t="str">
        <f>IFERROR(MATCH(848,$AF$8:$AF$1407,0),"")</f>
        <v/>
      </c>
    </row>
    <row r="856">
      <c r="A856" s="92" t="str">
        <f>IF($AG856="","",P_ImportID)</f>
        <v/>
      </c>
      <c r="B856" s="92" t="str">
        <f>IF($AG856="","",IF(INDEX($AN$8:$AN$21,INDEX($AC$8:$AC$1407,$AG856)+1)="Z",P_BronZ,P_BronE))</f>
        <v/>
      </c>
      <c r="C856" s="108" t="str">
        <f>IF($AG856="","",P_Importdatum)</f>
        <v/>
      </c>
      <c r="D856" s="92" t="str">
        <f>IF($AG856="","",P_StatusVastleg)</f>
        <v/>
      </c>
      <c r="E856" s="92" t="str">
        <f>IF($AG856="","",P_UploadVJ)</f>
        <v/>
      </c>
      <c r="F856" s="92" t="str">
        <f>IF($AG856="","",P_UploadVersie)</f>
        <v/>
      </c>
      <c r="G856" s="92" t="str">
        <f>IF($AG856="","",IF(COUNTIFS(L_Sleutel,$S856,L_Status,"Vastgesteld")=0,0,_xlfn.MAXIFS(L_Revisie,L_Sleutel,$S856,L_Status,"Vastgesteld")+1))</f>
        <v/>
      </c>
      <c r="H856" s="108" t="str">
        <f>IF($AG856="","",P_Peildatum)</f>
        <v/>
      </c>
      <c r="I856" s="92" t="str">
        <f>IF($AG856="","",P_RJ+INDEX($AK$8:$AK$21,INDEX($AC$8:$AC$1407,$AG856)+1))</f>
        <v/>
      </c>
      <c r="J856" s="92" t="str">
        <f>IF($AG856="","",INDEX(V_WBS,INDEX($AB$8:$AB$1407,$AG856)))</f>
        <v/>
      </c>
      <c r="K856" s="92" t="str">
        <f>IF($AG856="","",INDEX(V_Projdef,INDEX($AB$8:$AB$1407,$AG856)))</f>
        <v/>
      </c>
      <c r="L856" s="92" t="str">
        <f>IF($AG856="","",INDEX(V_Naam,INDEX($AB$8:$AB$1407,$AG856)))</f>
        <v/>
      </c>
      <c r="M856" s="92" t="str">
        <f>IF($AG856="","",INDEX(V_Type,INDEX($AB$8:$AB$1407,$AG856)))</f>
        <v/>
      </c>
      <c r="N856" s="92" t="str">
        <f>IF($AG856="","",INDEX(V_IFRS,INDEX($AB$8:$AB$1407,$AG856)))</f>
        <v/>
      </c>
      <c r="O856" s="92" t="str">
        <f>IF($AG856="","",INDEX($AL$8:$AL$21,INDEX($AC$8:$AC$1407,$AG856)+1))</f>
        <v/>
      </c>
      <c r="P856" s="109" t="str">
        <f>IF($AG856="","",INDEX($AD$8:$AD$1407,$AG856))</f>
        <v/>
      </c>
      <c r="Q856" s="92" t="str">
        <f>IF($AG856="","",INDEX($AM$8:$AM$21,INDEX($AC$8:$AC$1407,$AG856)+1))</f>
        <v/>
      </c>
      <c r="R856" s="92" t="str">
        <f>IF($AG856="","",IF($G856&gt;0,P_ToelCorrectie&amp;"",""))</f>
        <v/>
      </c>
      <c r="S856" s="15" t="str">
        <f>IF(J856="","",J856&amp;"|"&amp;E856&amp;"|"&amp;F856&amp;"|"&amp;I856&amp;"|"&amp;O856)</f>
        <v/>
      </c>
      <c r="T856" s="111" t="str">
        <f>IF(S856="","",IF(COUNTIFS(L_Sleutel,S856,L_Actief,1)=0,"",SUMIFS(L_Waarde,L_Sleutel,S856,L_Actief,1)))</f>
        <v/>
      </c>
      <c r="U856" s="111">
        <f>IF(OR(S856="",T856=""),0,P856-T856)</f>
        <v>0</v>
      </c>
      <c r="AB856" s="112" t="n">
        <v>61</v>
      </c>
      <c r="AC856" s="112" t="n">
        <v>8</v>
      </c>
      <c r="AD856" s="112" t="str">
        <f>VERW_Project!BQ66</f>
        <v/>
      </c>
      <c r="AE856" s="112">
        <f>IF(AND(VERW_Project!$A66&lt;&gt;"",ISNUMBER(AD856)),1,0)</f>
        <v>0</v>
      </c>
      <c r="AF856" s="112" t="str">
        <f>IF(AE856=1,SUM($AE$8:AE856),"")</f>
        <v/>
      </c>
      <c r="AG856" t="str">
        <f>IFERROR(MATCH(849,$AF$8:$AF$1407,0),"")</f>
        <v/>
      </c>
    </row>
    <row r="857">
      <c r="A857" s="92" t="str">
        <f>IF($AG857="","",P_ImportID)</f>
        <v/>
      </c>
      <c r="B857" s="92" t="str">
        <f>IF($AG857="","",IF(INDEX($AN$8:$AN$21,INDEX($AC$8:$AC$1407,$AG857)+1)="Z",P_BronZ,P_BronE))</f>
        <v/>
      </c>
      <c r="C857" s="108" t="str">
        <f>IF($AG857="","",P_Importdatum)</f>
        <v/>
      </c>
      <c r="D857" s="92" t="str">
        <f>IF($AG857="","",P_StatusVastleg)</f>
        <v/>
      </c>
      <c r="E857" s="92" t="str">
        <f>IF($AG857="","",P_UploadVJ)</f>
        <v/>
      </c>
      <c r="F857" s="92" t="str">
        <f>IF($AG857="","",P_UploadVersie)</f>
        <v/>
      </c>
      <c r="G857" s="92" t="str">
        <f>IF($AG857="","",IF(COUNTIFS(L_Sleutel,$S857,L_Status,"Vastgesteld")=0,0,_xlfn.MAXIFS(L_Revisie,L_Sleutel,$S857,L_Status,"Vastgesteld")+1))</f>
        <v/>
      </c>
      <c r="H857" s="108" t="str">
        <f>IF($AG857="","",P_Peildatum)</f>
        <v/>
      </c>
      <c r="I857" s="92" t="str">
        <f>IF($AG857="","",P_RJ+INDEX($AK$8:$AK$21,INDEX($AC$8:$AC$1407,$AG857)+1))</f>
        <v/>
      </c>
      <c r="J857" s="92" t="str">
        <f>IF($AG857="","",INDEX(V_WBS,INDEX($AB$8:$AB$1407,$AG857)))</f>
        <v/>
      </c>
      <c r="K857" s="92" t="str">
        <f>IF($AG857="","",INDEX(V_Projdef,INDEX($AB$8:$AB$1407,$AG857)))</f>
        <v/>
      </c>
      <c r="L857" s="92" t="str">
        <f>IF($AG857="","",INDEX(V_Naam,INDEX($AB$8:$AB$1407,$AG857)))</f>
        <v/>
      </c>
      <c r="M857" s="92" t="str">
        <f>IF($AG857="","",INDEX(V_Type,INDEX($AB$8:$AB$1407,$AG857)))</f>
        <v/>
      </c>
      <c r="N857" s="92" t="str">
        <f>IF($AG857="","",INDEX(V_IFRS,INDEX($AB$8:$AB$1407,$AG857)))</f>
        <v/>
      </c>
      <c r="O857" s="92" t="str">
        <f>IF($AG857="","",INDEX($AL$8:$AL$21,INDEX($AC$8:$AC$1407,$AG857)+1))</f>
        <v/>
      </c>
      <c r="P857" s="109" t="str">
        <f>IF($AG857="","",INDEX($AD$8:$AD$1407,$AG857))</f>
        <v/>
      </c>
      <c r="Q857" s="92" t="str">
        <f>IF($AG857="","",INDEX($AM$8:$AM$21,INDEX($AC$8:$AC$1407,$AG857)+1))</f>
        <v/>
      </c>
      <c r="R857" s="92" t="str">
        <f>IF($AG857="","",IF($G857&gt;0,P_ToelCorrectie&amp;"",""))</f>
        <v/>
      </c>
      <c r="S857" s="15" t="str">
        <f>IF(J857="","",J857&amp;"|"&amp;E857&amp;"|"&amp;F857&amp;"|"&amp;I857&amp;"|"&amp;O857)</f>
        <v/>
      </c>
      <c r="T857" s="111" t="str">
        <f>IF(S857="","",IF(COUNTIFS(L_Sleutel,S857,L_Actief,1)=0,"",SUMIFS(L_Waarde,L_Sleutel,S857,L_Actief,1)))</f>
        <v/>
      </c>
      <c r="U857" s="111">
        <f>IF(OR(S857="",T857=""),0,P857-T857)</f>
        <v>0</v>
      </c>
      <c r="AB857" s="112" t="n">
        <v>61</v>
      </c>
      <c r="AC857" s="112" t="n">
        <v>9</v>
      </c>
      <c r="AD857" s="112" t="str">
        <f>VERW_Project!BR66</f>
        <v/>
      </c>
      <c r="AE857" s="112">
        <f>IF(AND(VERW_Project!$A66&lt;&gt;"",ISNUMBER(AD857)),1,0)</f>
        <v>0</v>
      </c>
      <c r="AF857" s="112" t="str">
        <f>IF(AE857=1,SUM($AE$8:AE857),"")</f>
        <v/>
      </c>
      <c r="AG857" t="str">
        <f>IFERROR(MATCH(850,$AF$8:$AF$1407,0),"")</f>
        <v/>
      </c>
    </row>
    <row r="858">
      <c r="A858" s="92" t="str">
        <f>IF($AG858="","",P_ImportID)</f>
        <v/>
      </c>
      <c r="B858" s="92" t="str">
        <f>IF($AG858="","",IF(INDEX($AN$8:$AN$21,INDEX($AC$8:$AC$1407,$AG858)+1)="Z",P_BronZ,P_BronE))</f>
        <v/>
      </c>
      <c r="C858" s="108" t="str">
        <f>IF($AG858="","",P_Importdatum)</f>
        <v/>
      </c>
      <c r="D858" s="92" t="str">
        <f>IF($AG858="","",P_StatusVastleg)</f>
        <v/>
      </c>
      <c r="E858" s="92" t="str">
        <f>IF($AG858="","",P_UploadVJ)</f>
        <v/>
      </c>
      <c r="F858" s="92" t="str">
        <f>IF($AG858="","",P_UploadVersie)</f>
        <v/>
      </c>
      <c r="G858" s="92" t="str">
        <f>IF($AG858="","",IF(COUNTIFS(L_Sleutel,$S858,L_Status,"Vastgesteld")=0,0,_xlfn.MAXIFS(L_Revisie,L_Sleutel,$S858,L_Status,"Vastgesteld")+1))</f>
        <v/>
      </c>
      <c r="H858" s="108" t="str">
        <f>IF($AG858="","",P_Peildatum)</f>
        <v/>
      </c>
      <c r="I858" s="92" t="str">
        <f>IF($AG858="","",P_RJ+INDEX($AK$8:$AK$21,INDEX($AC$8:$AC$1407,$AG858)+1))</f>
        <v/>
      </c>
      <c r="J858" s="92" t="str">
        <f>IF($AG858="","",INDEX(V_WBS,INDEX($AB$8:$AB$1407,$AG858)))</f>
        <v/>
      </c>
      <c r="K858" s="92" t="str">
        <f>IF($AG858="","",INDEX(V_Projdef,INDEX($AB$8:$AB$1407,$AG858)))</f>
        <v/>
      </c>
      <c r="L858" s="92" t="str">
        <f>IF($AG858="","",INDEX(V_Naam,INDEX($AB$8:$AB$1407,$AG858)))</f>
        <v/>
      </c>
      <c r="M858" s="92" t="str">
        <f>IF($AG858="","",INDEX(V_Type,INDEX($AB$8:$AB$1407,$AG858)))</f>
        <v/>
      </c>
      <c r="N858" s="92" t="str">
        <f>IF($AG858="","",INDEX(V_IFRS,INDEX($AB$8:$AB$1407,$AG858)))</f>
        <v/>
      </c>
      <c r="O858" s="92" t="str">
        <f>IF($AG858="","",INDEX($AL$8:$AL$21,INDEX($AC$8:$AC$1407,$AG858)+1))</f>
        <v/>
      </c>
      <c r="P858" s="109" t="str">
        <f>IF($AG858="","",INDEX($AD$8:$AD$1407,$AG858))</f>
        <v/>
      </c>
      <c r="Q858" s="92" t="str">
        <f>IF($AG858="","",INDEX($AM$8:$AM$21,INDEX($AC$8:$AC$1407,$AG858)+1))</f>
        <v/>
      </c>
      <c r="R858" s="92" t="str">
        <f>IF($AG858="","",IF($G858&gt;0,P_ToelCorrectie&amp;"",""))</f>
        <v/>
      </c>
      <c r="S858" s="15" t="str">
        <f>IF(J858="","",J858&amp;"|"&amp;E858&amp;"|"&amp;F858&amp;"|"&amp;I858&amp;"|"&amp;O858)</f>
        <v/>
      </c>
      <c r="T858" s="111" t="str">
        <f>IF(S858="","",IF(COUNTIFS(L_Sleutel,S858,L_Actief,1)=0,"",SUMIFS(L_Waarde,L_Sleutel,S858,L_Actief,1)))</f>
        <v/>
      </c>
      <c r="U858" s="111">
        <f>IF(OR(S858="",T858=""),0,P858-T858)</f>
        <v>0</v>
      </c>
      <c r="AB858" s="112" t="n">
        <v>61</v>
      </c>
      <c r="AC858" s="112" t="n">
        <v>10</v>
      </c>
      <c r="AD858" s="112" t="str">
        <f>VERW_Project!BS66</f>
        <v/>
      </c>
      <c r="AE858" s="112">
        <f>IF(AND(VERW_Project!$A66&lt;&gt;"",ISNUMBER(AD858)),1,0)</f>
        <v>0</v>
      </c>
      <c r="AF858" s="112" t="str">
        <f>IF(AE858=1,SUM($AE$8:AE858),"")</f>
        <v/>
      </c>
      <c r="AG858" t="str">
        <f>IFERROR(MATCH(851,$AF$8:$AF$1407,0),"")</f>
        <v/>
      </c>
    </row>
    <row r="859">
      <c r="A859" s="92" t="str">
        <f>IF($AG859="","",P_ImportID)</f>
        <v/>
      </c>
      <c r="B859" s="92" t="str">
        <f>IF($AG859="","",IF(INDEX($AN$8:$AN$21,INDEX($AC$8:$AC$1407,$AG859)+1)="Z",P_BronZ,P_BronE))</f>
        <v/>
      </c>
      <c r="C859" s="108" t="str">
        <f>IF($AG859="","",P_Importdatum)</f>
        <v/>
      </c>
      <c r="D859" s="92" t="str">
        <f>IF($AG859="","",P_StatusVastleg)</f>
        <v/>
      </c>
      <c r="E859" s="92" t="str">
        <f>IF($AG859="","",P_UploadVJ)</f>
        <v/>
      </c>
      <c r="F859" s="92" t="str">
        <f>IF($AG859="","",P_UploadVersie)</f>
        <v/>
      </c>
      <c r="G859" s="92" t="str">
        <f>IF($AG859="","",IF(COUNTIFS(L_Sleutel,$S859,L_Status,"Vastgesteld")=0,0,_xlfn.MAXIFS(L_Revisie,L_Sleutel,$S859,L_Status,"Vastgesteld")+1))</f>
        <v/>
      </c>
      <c r="H859" s="108" t="str">
        <f>IF($AG859="","",P_Peildatum)</f>
        <v/>
      </c>
      <c r="I859" s="92" t="str">
        <f>IF($AG859="","",P_RJ+INDEX($AK$8:$AK$21,INDEX($AC$8:$AC$1407,$AG859)+1))</f>
        <v/>
      </c>
      <c r="J859" s="92" t="str">
        <f>IF($AG859="","",INDEX(V_WBS,INDEX($AB$8:$AB$1407,$AG859)))</f>
        <v/>
      </c>
      <c r="K859" s="92" t="str">
        <f>IF($AG859="","",INDEX(V_Projdef,INDEX($AB$8:$AB$1407,$AG859)))</f>
        <v/>
      </c>
      <c r="L859" s="92" t="str">
        <f>IF($AG859="","",INDEX(V_Naam,INDEX($AB$8:$AB$1407,$AG859)))</f>
        <v/>
      </c>
      <c r="M859" s="92" t="str">
        <f>IF($AG859="","",INDEX(V_Type,INDEX($AB$8:$AB$1407,$AG859)))</f>
        <v/>
      </c>
      <c r="N859" s="92" t="str">
        <f>IF($AG859="","",INDEX(V_IFRS,INDEX($AB$8:$AB$1407,$AG859)))</f>
        <v/>
      </c>
      <c r="O859" s="92" t="str">
        <f>IF($AG859="","",INDEX($AL$8:$AL$21,INDEX($AC$8:$AC$1407,$AG859)+1))</f>
        <v/>
      </c>
      <c r="P859" s="109" t="str">
        <f>IF($AG859="","",INDEX($AD$8:$AD$1407,$AG859))</f>
        <v/>
      </c>
      <c r="Q859" s="92" t="str">
        <f>IF($AG859="","",INDEX($AM$8:$AM$21,INDEX($AC$8:$AC$1407,$AG859)+1))</f>
        <v/>
      </c>
      <c r="R859" s="92" t="str">
        <f>IF($AG859="","",IF($G859&gt;0,P_ToelCorrectie&amp;"",""))</f>
        <v/>
      </c>
      <c r="S859" s="15" t="str">
        <f>IF(J859="","",J859&amp;"|"&amp;E859&amp;"|"&amp;F859&amp;"|"&amp;I859&amp;"|"&amp;O859)</f>
        <v/>
      </c>
      <c r="T859" s="111" t="str">
        <f>IF(S859="","",IF(COUNTIFS(L_Sleutel,S859,L_Actief,1)=0,"",SUMIFS(L_Waarde,L_Sleutel,S859,L_Actief,1)))</f>
        <v/>
      </c>
      <c r="U859" s="111">
        <f>IF(OR(S859="",T859=""),0,P859-T859)</f>
        <v>0</v>
      </c>
      <c r="AB859" s="112" t="n">
        <v>61</v>
      </c>
      <c r="AC859" s="112" t="n">
        <v>11</v>
      </c>
      <c r="AD859" s="112" t="str">
        <f>VERW_Project!BT66</f>
        <v/>
      </c>
      <c r="AE859" s="112">
        <f>IF(AND(VERW_Project!$A66&lt;&gt;"",ISNUMBER(AD859)),1,0)</f>
        <v>0</v>
      </c>
      <c r="AF859" s="112" t="str">
        <f>IF(AE859=1,SUM($AE$8:AE859),"")</f>
        <v/>
      </c>
      <c r="AG859" t="str">
        <f>IFERROR(MATCH(852,$AF$8:$AF$1407,0),"")</f>
        <v/>
      </c>
    </row>
    <row r="860">
      <c r="A860" s="92" t="str">
        <f>IF($AG860="","",P_ImportID)</f>
        <v/>
      </c>
      <c r="B860" s="92" t="str">
        <f>IF($AG860="","",IF(INDEX($AN$8:$AN$21,INDEX($AC$8:$AC$1407,$AG860)+1)="Z",P_BronZ,P_BronE))</f>
        <v/>
      </c>
      <c r="C860" s="108" t="str">
        <f>IF($AG860="","",P_Importdatum)</f>
        <v/>
      </c>
      <c r="D860" s="92" t="str">
        <f>IF($AG860="","",P_StatusVastleg)</f>
        <v/>
      </c>
      <c r="E860" s="92" t="str">
        <f>IF($AG860="","",P_UploadVJ)</f>
        <v/>
      </c>
      <c r="F860" s="92" t="str">
        <f>IF($AG860="","",P_UploadVersie)</f>
        <v/>
      </c>
      <c r="G860" s="92" t="str">
        <f>IF($AG860="","",IF(COUNTIFS(L_Sleutel,$S860,L_Status,"Vastgesteld")=0,0,_xlfn.MAXIFS(L_Revisie,L_Sleutel,$S860,L_Status,"Vastgesteld")+1))</f>
        <v/>
      </c>
      <c r="H860" s="108" t="str">
        <f>IF($AG860="","",P_Peildatum)</f>
        <v/>
      </c>
      <c r="I860" s="92" t="str">
        <f>IF($AG860="","",P_RJ+INDEX($AK$8:$AK$21,INDEX($AC$8:$AC$1407,$AG860)+1))</f>
        <v/>
      </c>
      <c r="J860" s="92" t="str">
        <f>IF($AG860="","",INDEX(V_WBS,INDEX($AB$8:$AB$1407,$AG860)))</f>
        <v/>
      </c>
      <c r="K860" s="92" t="str">
        <f>IF($AG860="","",INDEX(V_Projdef,INDEX($AB$8:$AB$1407,$AG860)))</f>
        <v/>
      </c>
      <c r="L860" s="92" t="str">
        <f>IF($AG860="","",INDEX(V_Naam,INDEX($AB$8:$AB$1407,$AG860)))</f>
        <v/>
      </c>
      <c r="M860" s="92" t="str">
        <f>IF($AG860="","",INDEX(V_Type,INDEX($AB$8:$AB$1407,$AG860)))</f>
        <v/>
      </c>
      <c r="N860" s="92" t="str">
        <f>IF($AG860="","",INDEX(V_IFRS,INDEX($AB$8:$AB$1407,$AG860)))</f>
        <v/>
      </c>
      <c r="O860" s="92" t="str">
        <f>IF($AG860="","",INDEX($AL$8:$AL$21,INDEX($AC$8:$AC$1407,$AG860)+1))</f>
        <v/>
      </c>
      <c r="P860" s="109" t="str">
        <f>IF($AG860="","",INDEX($AD$8:$AD$1407,$AG860))</f>
        <v/>
      </c>
      <c r="Q860" s="92" t="str">
        <f>IF($AG860="","",INDEX($AM$8:$AM$21,INDEX($AC$8:$AC$1407,$AG860)+1))</f>
        <v/>
      </c>
      <c r="R860" s="92" t="str">
        <f>IF($AG860="","",IF($G860&gt;0,P_ToelCorrectie&amp;"",""))</f>
        <v/>
      </c>
      <c r="S860" s="15" t="str">
        <f>IF(J860="","",J860&amp;"|"&amp;E860&amp;"|"&amp;F860&amp;"|"&amp;I860&amp;"|"&amp;O860)</f>
        <v/>
      </c>
      <c r="T860" s="111" t="str">
        <f>IF(S860="","",IF(COUNTIFS(L_Sleutel,S860,L_Actief,1)=0,"",SUMIFS(L_Waarde,L_Sleutel,S860,L_Actief,1)))</f>
        <v/>
      </c>
      <c r="U860" s="111">
        <f>IF(OR(S860="",T860=""),0,P860-T860)</f>
        <v>0</v>
      </c>
      <c r="AB860" s="112" t="n">
        <v>61</v>
      </c>
      <c r="AC860" s="112" t="n">
        <v>12</v>
      </c>
      <c r="AD860" s="112" t="str">
        <f>VERW_Project!BU66</f>
        <v/>
      </c>
      <c r="AE860" s="112">
        <f>IF(AND(VERW_Project!$A66&lt;&gt;"",ISNUMBER(AD860)),1,0)</f>
        <v>0</v>
      </c>
      <c r="AF860" s="112" t="str">
        <f>IF(AE860=1,SUM($AE$8:AE860),"")</f>
        <v/>
      </c>
      <c r="AG860" t="str">
        <f>IFERROR(MATCH(853,$AF$8:$AF$1407,0),"")</f>
        <v/>
      </c>
    </row>
    <row r="861">
      <c r="A861" s="92" t="str">
        <f>IF($AG861="","",P_ImportID)</f>
        <v/>
      </c>
      <c r="B861" s="92" t="str">
        <f>IF($AG861="","",IF(INDEX($AN$8:$AN$21,INDEX($AC$8:$AC$1407,$AG861)+1)="Z",P_BronZ,P_BronE))</f>
        <v/>
      </c>
      <c r="C861" s="108" t="str">
        <f>IF($AG861="","",P_Importdatum)</f>
        <v/>
      </c>
      <c r="D861" s="92" t="str">
        <f>IF($AG861="","",P_StatusVastleg)</f>
        <v/>
      </c>
      <c r="E861" s="92" t="str">
        <f>IF($AG861="","",P_UploadVJ)</f>
        <v/>
      </c>
      <c r="F861" s="92" t="str">
        <f>IF($AG861="","",P_UploadVersie)</f>
        <v/>
      </c>
      <c r="G861" s="92" t="str">
        <f>IF($AG861="","",IF(COUNTIFS(L_Sleutel,$S861,L_Status,"Vastgesteld")=0,0,_xlfn.MAXIFS(L_Revisie,L_Sleutel,$S861,L_Status,"Vastgesteld")+1))</f>
        <v/>
      </c>
      <c r="H861" s="108" t="str">
        <f>IF($AG861="","",P_Peildatum)</f>
        <v/>
      </c>
      <c r="I861" s="92" t="str">
        <f>IF($AG861="","",P_RJ+INDEX($AK$8:$AK$21,INDEX($AC$8:$AC$1407,$AG861)+1))</f>
        <v/>
      </c>
      <c r="J861" s="92" t="str">
        <f>IF($AG861="","",INDEX(V_WBS,INDEX($AB$8:$AB$1407,$AG861)))</f>
        <v/>
      </c>
      <c r="K861" s="92" t="str">
        <f>IF($AG861="","",INDEX(V_Projdef,INDEX($AB$8:$AB$1407,$AG861)))</f>
        <v/>
      </c>
      <c r="L861" s="92" t="str">
        <f>IF($AG861="","",INDEX(V_Naam,INDEX($AB$8:$AB$1407,$AG861)))</f>
        <v/>
      </c>
      <c r="M861" s="92" t="str">
        <f>IF($AG861="","",INDEX(V_Type,INDEX($AB$8:$AB$1407,$AG861)))</f>
        <v/>
      </c>
      <c r="N861" s="92" t="str">
        <f>IF($AG861="","",INDEX(V_IFRS,INDEX($AB$8:$AB$1407,$AG861)))</f>
        <v/>
      </c>
      <c r="O861" s="92" t="str">
        <f>IF($AG861="","",INDEX($AL$8:$AL$21,INDEX($AC$8:$AC$1407,$AG861)+1))</f>
        <v/>
      </c>
      <c r="P861" s="109" t="str">
        <f>IF($AG861="","",INDEX($AD$8:$AD$1407,$AG861))</f>
        <v/>
      </c>
      <c r="Q861" s="92" t="str">
        <f>IF($AG861="","",INDEX($AM$8:$AM$21,INDEX($AC$8:$AC$1407,$AG861)+1))</f>
        <v/>
      </c>
      <c r="R861" s="92" t="str">
        <f>IF($AG861="","",IF($G861&gt;0,P_ToelCorrectie&amp;"",""))</f>
        <v/>
      </c>
      <c r="S861" s="15" t="str">
        <f>IF(J861="","",J861&amp;"|"&amp;E861&amp;"|"&amp;F861&amp;"|"&amp;I861&amp;"|"&amp;O861)</f>
        <v/>
      </c>
      <c r="T861" s="111" t="str">
        <f>IF(S861="","",IF(COUNTIFS(L_Sleutel,S861,L_Actief,1)=0,"",SUMIFS(L_Waarde,L_Sleutel,S861,L_Actief,1)))</f>
        <v/>
      </c>
      <c r="U861" s="111">
        <f>IF(OR(S861="",T861=""),0,P861-T861)</f>
        <v>0</v>
      </c>
      <c r="AB861" s="112" t="n">
        <v>61</v>
      </c>
      <c r="AC861" s="112" t="n">
        <v>13</v>
      </c>
      <c r="AD861" s="112" t="str">
        <f>VERW_Project!BX66</f>
        <v/>
      </c>
      <c r="AE861" s="112">
        <f>IF(AND(VERW_Project!$A66&lt;&gt;"",ISNUMBER(AD861)),1,0)</f>
        <v>0</v>
      </c>
      <c r="AF861" s="112" t="str">
        <f>IF(AE861=1,SUM($AE$8:AE861),"")</f>
        <v/>
      </c>
      <c r="AG861" t="str">
        <f>IFERROR(MATCH(854,$AF$8:$AF$1407,0),"")</f>
        <v/>
      </c>
    </row>
    <row r="862">
      <c r="A862" s="92" t="str">
        <f>IF($AG862="","",P_ImportID)</f>
        <v/>
      </c>
      <c r="B862" s="92" t="str">
        <f>IF($AG862="","",IF(INDEX($AN$8:$AN$21,INDEX($AC$8:$AC$1407,$AG862)+1)="Z",P_BronZ,P_BronE))</f>
        <v/>
      </c>
      <c r="C862" s="108" t="str">
        <f>IF($AG862="","",P_Importdatum)</f>
        <v/>
      </c>
      <c r="D862" s="92" t="str">
        <f>IF($AG862="","",P_StatusVastleg)</f>
        <v/>
      </c>
      <c r="E862" s="92" t="str">
        <f>IF($AG862="","",P_UploadVJ)</f>
        <v/>
      </c>
      <c r="F862" s="92" t="str">
        <f>IF($AG862="","",P_UploadVersie)</f>
        <v/>
      </c>
      <c r="G862" s="92" t="str">
        <f>IF($AG862="","",IF(COUNTIFS(L_Sleutel,$S862,L_Status,"Vastgesteld")=0,0,_xlfn.MAXIFS(L_Revisie,L_Sleutel,$S862,L_Status,"Vastgesteld")+1))</f>
        <v/>
      </c>
      <c r="H862" s="108" t="str">
        <f>IF($AG862="","",P_Peildatum)</f>
        <v/>
      </c>
      <c r="I862" s="92" t="str">
        <f>IF($AG862="","",P_RJ+INDEX($AK$8:$AK$21,INDEX($AC$8:$AC$1407,$AG862)+1))</f>
        <v/>
      </c>
      <c r="J862" s="92" t="str">
        <f>IF($AG862="","",INDEX(V_WBS,INDEX($AB$8:$AB$1407,$AG862)))</f>
        <v/>
      </c>
      <c r="K862" s="92" t="str">
        <f>IF($AG862="","",INDEX(V_Projdef,INDEX($AB$8:$AB$1407,$AG862)))</f>
        <v/>
      </c>
      <c r="L862" s="92" t="str">
        <f>IF($AG862="","",INDEX(V_Naam,INDEX($AB$8:$AB$1407,$AG862)))</f>
        <v/>
      </c>
      <c r="M862" s="92" t="str">
        <f>IF($AG862="","",INDEX(V_Type,INDEX($AB$8:$AB$1407,$AG862)))</f>
        <v/>
      </c>
      <c r="N862" s="92" t="str">
        <f>IF($AG862="","",INDEX(V_IFRS,INDEX($AB$8:$AB$1407,$AG862)))</f>
        <v/>
      </c>
      <c r="O862" s="92" t="str">
        <f>IF($AG862="","",INDEX($AL$8:$AL$21,INDEX($AC$8:$AC$1407,$AG862)+1))</f>
        <v/>
      </c>
      <c r="P862" s="109" t="str">
        <f>IF($AG862="","",INDEX($AD$8:$AD$1407,$AG862))</f>
        <v/>
      </c>
      <c r="Q862" s="92" t="str">
        <f>IF($AG862="","",INDEX($AM$8:$AM$21,INDEX($AC$8:$AC$1407,$AG862)+1))</f>
        <v/>
      </c>
      <c r="R862" s="92" t="str">
        <f>IF($AG862="","",IF($G862&gt;0,P_ToelCorrectie&amp;"",""))</f>
        <v/>
      </c>
      <c r="S862" s="15" t="str">
        <f>IF(J862="","",J862&amp;"|"&amp;E862&amp;"|"&amp;F862&amp;"|"&amp;I862&amp;"|"&amp;O862)</f>
        <v/>
      </c>
      <c r="T862" s="111" t="str">
        <f>IF(S862="","",IF(COUNTIFS(L_Sleutel,S862,L_Actief,1)=0,"",SUMIFS(L_Waarde,L_Sleutel,S862,L_Actief,1)))</f>
        <v/>
      </c>
      <c r="U862" s="111">
        <f>IF(OR(S862="",T862=""),0,P862-T862)</f>
        <v>0</v>
      </c>
      <c r="AB862" s="112" t="n">
        <v>62</v>
      </c>
      <c r="AC862" s="112" t="n">
        <v>0</v>
      </c>
      <c r="AD862" s="112" t="str">
        <f>VERW_Project!P67</f>
        <v/>
      </c>
      <c r="AE862" s="112">
        <f>IF(AND(VERW_Project!$A67&lt;&gt;"",ISNUMBER(AD862)),1,0)</f>
        <v>0</v>
      </c>
      <c r="AF862" s="112" t="str">
        <f>IF(AE862=1,SUM($AE$8:AE862),"")</f>
        <v/>
      </c>
      <c r="AG862" t="str">
        <f>IFERROR(MATCH(855,$AF$8:$AF$1407,0),"")</f>
        <v/>
      </c>
    </row>
    <row r="863">
      <c r="A863" s="92" t="str">
        <f>IF($AG863="","",P_ImportID)</f>
        <v/>
      </c>
      <c r="B863" s="92" t="str">
        <f>IF($AG863="","",IF(INDEX($AN$8:$AN$21,INDEX($AC$8:$AC$1407,$AG863)+1)="Z",P_BronZ,P_BronE))</f>
        <v/>
      </c>
      <c r="C863" s="108" t="str">
        <f>IF($AG863="","",P_Importdatum)</f>
        <v/>
      </c>
      <c r="D863" s="92" t="str">
        <f>IF($AG863="","",P_StatusVastleg)</f>
        <v/>
      </c>
      <c r="E863" s="92" t="str">
        <f>IF($AG863="","",P_UploadVJ)</f>
        <v/>
      </c>
      <c r="F863" s="92" t="str">
        <f>IF($AG863="","",P_UploadVersie)</f>
        <v/>
      </c>
      <c r="G863" s="92" t="str">
        <f>IF($AG863="","",IF(COUNTIFS(L_Sleutel,$S863,L_Status,"Vastgesteld")=0,0,_xlfn.MAXIFS(L_Revisie,L_Sleutel,$S863,L_Status,"Vastgesteld")+1))</f>
        <v/>
      </c>
      <c r="H863" s="108" t="str">
        <f>IF($AG863="","",P_Peildatum)</f>
        <v/>
      </c>
      <c r="I863" s="92" t="str">
        <f>IF($AG863="","",P_RJ+INDEX($AK$8:$AK$21,INDEX($AC$8:$AC$1407,$AG863)+1))</f>
        <v/>
      </c>
      <c r="J863" s="92" t="str">
        <f>IF($AG863="","",INDEX(V_WBS,INDEX($AB$8:$AB$1407,$AG863)))</f>
        <v/>
      </c>
      <c r="K863" s="92" t="str">
        <f>IF($AG863="","",INDEX(V_Projdef,INDEX($AB$8:$AB$1407,$AG863)))</f>
        <v/>
      </c>
      <c r="L863" s="92" t="str">
        <f>IF($AG863="","",INDEX(V_Naam,INDEX($AB$8:$AB$1407,$AG863)))</f>
        <v/>
      </c>
      <c r="M863" s="92" t="str">
        <f>IF($AG863="","",INDEX(V_Type,INDEX($AB$8:$AB$1407,$AG863)))</f>
        <v/>
      </c>
      <c r="N863" s="92" t="str">
        <f>IF($AG863="","",INDEX(V_IFRS,INDEX($AB$8:$AB$1407,$AG863)))</f>
        <v/>
      </c>
      <c r="O863" s="92" t="str">
        <f>IF($AG863="","",INDEX($AL$8:$AL$21,INDEX($AC$8:$AC$1407,$AG863)+1))</f>
        <v/>
      </c>
      <c r="P863" s="109" t="str">
        <f>IF($AG863="","",INDEX($AD$8:$AD$1407,$AG863))</f>
        <v/>
      </c>
      <c r="Q863" s="92" t="str">
        <f>IF($AG863="","",INDEX($AM$8:$AM$21,INDEX($AC$8:$AC$1407,$AG863)+1))</f>
        <v/>
      </c>
      <c r="R863" s="92" t="str">
        <f>IF($AG863="","",IF($G863&gt;0,P_ToelCorrectie&amp;"",""))</f>
        <v/>
      </c>
      <c r="S863" s="15" t="str">
        <f>IF(J863="","",J863&amp;"|"&amp;E863&amp;"|"&amp;F863&amp;"|"&amp;I863&amp;"|"&amp;O863)</f>
        <v/>
      </c>
      <c r="T863" s="111" t="str">
        <f>IF(S863="","",IF(COUNTIFS(L_Sleutel,S863,L_Actief,1)=0,"",SUMIFS(L_Waarde,L_Sleutel,S863,L_Actief,1)))</f>
        <v/>
      </c>
      <c r="U863" s="111">
        <f>IF(OR(S863="",T863=""),0,P863-T863)</f>
        <v>0</v>
      </c>
      <c r="AB863" s="112" t="n">
        <v>62</v>
      </c>
      <c r="AC863" s="112" t="n">
        <v>1</v>
      </c>
      <c r="AD863" s="112" t="str">
        <f>VERW_Project!Q67</f>
        <v/>
      </c>
      <c r="AE863" s="112">
        <f>IF(AND(VERW_Project!$A67&lt;&gt;"",ISNUMBER(AD863)),1,0)</f>
        <v>0</v>
      </c>
      <c r="AF863" s="112" t="str">
        <f>IF(AE863=1,SUM($AE$8:AE863),"")</f>
        <v/>
      </c>
      <c r="AG863" t="str">
        <f>IFERROR(MATCH(856,$AF$8:$AF$1407,0),"")</f>
        <v/>
      </c>
    </row>
    <row r="864">
      <c r="A864" s="92" t="str">
        <f>IF($AG864="","",P_ImportID)</f>
        <v/>
      </c>
      <c r="B864" s="92" t="str">
        <f>IF($AG864="","",IF(INDEX($AN$8:$AN$21,INDEX($AC$8:$AC$1407,$AG864)+1)="Z",P_BronZ,P_BronE))</f>
        <v/>
      </c>
      <c r="C864" s="108" t="str">
        <f>IF($AG864="","",P_Importdatum)</f>
        <v/>
      </c>
      <c r="D864" s="92" t="str">
        <f>IF($AG864="","",P_StatusVastleg)</f>
        <v/>
      </c>
      <c r="E864" s="92" t="str">
        <f>IF($AG864="","",P_UploadVJ)</f>
        <v/>
      </c>
      <c r="F864" s="92" t="str">
        <f>IF($AG864="","",P_UploadVersie)</f>
        <v/>
      </c>
      <c r="G864" s="92" t="str">
        <f>IF($AG864="","",IF(COUNTIFS(L_Sleutel,$S864,L_Status,"Vastgesteld")=0,0,_xlfn.MAXIFS(L_Revisie,L_Sleutel,$S864,L_Status,"Vastgesteld")+1))</f>
        <v/>
      </c>
      <c r="H864" s="108" t="str">
        <f>IF($AG864="","",P_Peildatum)</f>
        <v/>
      </c>
      <c r="I864" s="92" t="str">
        <f>IF($AG864="","",P_RJ+INDEX($AK$8:$AK$21,INDEX($AC$8:$AC$1407,$AG864)+1))</f>
        <v/>
      </c>
      <c r="J864" s="92" t="str">
        <f>IF($AG864="","",INDEX(V_WBS,INDEX($AB$8:$AB$1407,$AG864)))</f>
        <v/>
      </c>
      <c r="K864" s="92" t="str">
        <f>IF($AG864="","",INDEX(V_Projdef,INDEX($AB$8:$AB$1407,$AG864)))</f>
        <v/>
      </c>
      <c r="L864" s="92" t="str">
        <f>IF($AG864="","",INDEX(V_Naam,INDEX($AB$8:$AB$1407,$AG864)))</f>
        <v/>
      </c>
      <c r="M864" s="92" t="str">
        <f>IF($AG864="","",INDEX(V_Type,INDEX($AB$8:$AB$1407,$AG864)))</f>
        <v/>
      </c>
      <c r="N864" s="92" t="str">
        <f>IF($AG864="","",INDEX(V_IFRS,INDEX($AB$8:$AB$1407,$AG864)))</f>
        <v/>
      </c>
      <c r="O864" s="92" t="str">
        <f>IF($AG864="","",INDEX($AL$8:$AL$21,INDEX($AC$8:$AC$1407,$AG864)+1))</f>
        <v/>
      </c>
      <c r="P864" s="109" t="str">
        <f>IF($AG864="","",INDEX($AD$8:$AD$1407,$AG864))</f>
        <v/>
      </c>
      <c r="Q864" s="92" t="str">
        <f>IF($AG864="","",INDEX($AM$8:$AM$21,INDEX($AC$8:$AC$1407,$AG864)+1))</f>
        <v/>
      </c>
      <c r="R864" s="92" t="str">
        <f>IF($AG864="","",IF($G864&gt;0,P_ToelCorrectie&amp;"",""))</f>
        <v/>
      </c>
      <c r="S864" s="15" t="str">
        <f>IF(J864="","",J864&amp;"|"&amp;E864&amp;"|"&amp;F864&amp;"|"&amp;I864&amp;"|"&amp;O864)</f>
        <v/>
      </c>
      <c r="T864" s="111" t="str">
        <f>IF(S864="","",IF(COUNTIFS(L_Sleutel,S864,L_Actief,1)=0,"",SUMIFS(L_Waarde,L_Sleutel,S864,L_Actief,1)))</f>
        <v/>
      </c>
      <c r="U864" s="111">
        <f>IF(OR(S864="",T864=""),0,P864-T864)</f>
        <v>0</v>
      </c>
      <c r="AB864" s="112" t="n">
        <v>62</v>
      </c>
      <c r="AC864" s="112" t="n">
        <v>2</v>
      </c>
      <c r="AD864" s="112" t="str">
        <f>VERW_Project!L67</f>
        <v/>
      </c>
      <c r="AE864" s="112">
        <f>IF(AND(VERW_Project!$A67&lt;&gt;"",ISNUMBER(AD864)),1,0)</f>
        <v>0</v>
      </c>
      <c r="AF864" s="112" t="str">
        <f>IF(AE864=1,SUM($AE$8:AE864),"")</f>
        <v/>
      </c>
      <c r="AG864" t="str">
        <f>IFERROR(MATCH(857,$AF$8:$AF$1407,0),"")</f>
        <v/>
      </c>
    </row>
    <row r="865">
      <c r="A865" s="92" t="str">
        <f>IF($AG865="","",P_ImportID)</f>
        <v/>
      </c>
      <c r="B865" s="92" t="str">
        <f>IF($AG865="","",IF(INDEX($AN$8:$AN$21,INDEX($AC$8:$AC$1407,$AG865)+1)="Z",P_BronZ,P_BronE))</f>
        <v/>
      </c>
      <c r="C865" s="108" t="str">
        <f>IF($AG865="","",P_Importdatum)</f>
        <v/>
      </c>
      <c r="D865" s="92" t="str">
        <f>IF($AG865="","",P_StatusVastleg)</f>
        <v/>
      </c>
      <c r="E865" s="92" t="str">
        <f>IF($AG865="","",P_UploadVJ)</f>
        <v/>
      </c>
      <c r="F865" s="92" t="str">
        <f>IF($AG865="","",P_UploadVersie)</f>
        <v/>
      </c>
      <c r="G865" s="92" t="str">
        <f>IF($AG865="","",IF(COUNTIFS(L_Sleutel,$S865,L_Status,"Vastgesteld")=0,0,_xlfn.MAXIFS(L_Revisie,L_Sleutel,$S865,L_Status,"Vastgesteld")+1))</f>
        <v/>
      </c>
      <c r="H865" s="108" t="str">
        <f>IF($AG865="","",P_Peildatum)</f>
        <v/>
      </c>
      <c r="I865" s="92" t="str">
        <f>IF($AG865="","",P_RJ+INDEX($AK$8:$AK$21,INDEX($AC$8:$AC$1407,$AG865)+1))</f>
        <v/>
      </c>
      <c r="J865" s="92" t="str">
        <f>IF($AG865="","",INDEX(V_WBS,INDEX($AB$8:$AB$1407,$AG865)))</f>
        <v/>
      </c>
      <c r="K865" s="92" t="str">
        <f>IF($AG865="","",INDEX(V_Projdef,INDEX($AB$8:$AB$1407,$AG865)))</f>
        <v/>
      </c>
      <c r="L865" s="92" t="str">
        <f>IF($AG865="","",INDEX(V_Naam,INDEX($AB$8:$AB$1407,$AG865)))</f>
        <v/>
      </c>
      <c r="M865" s="92" t="str">
        <f>IF($AG865="","",INDEX(V_Type,INDEX($AB$8:$AB$1407,$AG865)))</f>
        <v/>
      </c>
      <c r="N865" s="92" t="str">
        <f>IF($AG865="","",INDEX(V_IFRS,INDEX($AB$8:$AB$1407,$AG865)))</f>
        <v/>
      </c>
      <c r="O865" s="92" t="str">
        <f>IF($AG865="","",INDEX($AL$8:$AL$21,INDEX($AC$8:$AC$1407,$AG865)+1))</f>
        <v/>
      </c>
      <c r="P865" s="109" t="str">
        <f>IF($AG865="","",INDEX($AD$8:$AD$1407,$AG865))</f>
        <v/>
      </c>
      <c r="Q865" s="92" t="str">
        <f>IF($AG865="","",INDEX($AM$8:$AM$21,INDEX($AC$8:$AC$1407,$AG865)+1))</f>
        <v/>
      </c>
      <c r="R865" s="92" t="str">
        <f>IF($AG865="","",IF($G865&gt;0,P_ToelCorrectie&amp;"",""))</f>
        <v/>
      </c>
      <c r="S865" s="15" t="str">
        <f>IF(J865="","",J865&amp;"|"&amp;E865&amp;"|"&amp;F865&amp;"|"&amp;I865&amp;"|"&amp;O865)</f>
        <v/>
      </c>
      <c r="T865" s="111" t="str">
        <f>IF(S865="","",IF(COUNTIFS(L_Sleutel,S865,L_Actief,1)=0,"",SUMIFS(L_Waarde,L_Sleutel,S865,L_Actief,1)))</f>
        <v/>
      </c>
      <c r="U865" s="111">
        <f>IF(OR(S865="",T865=""),0,P865-T865)</f>
        <v>0</v>
      </c>
      <c r="AB865" s="112" t="n">
        <v>62</v>
      </c>
      <c r="AC865" s="112" t="n">
        <v>3</v>
      </c>
      <c r="AD865" s="112" t="str">
        <f>VERW_Project!M67</f>
        <v/>
      </c>
      <c r="AE865" s="112">
        <f>IF(AND(VERW_Project!$A67&lt;&gt;"",ISNUMBER(AD865)),1,0)</f>
        <v>0</v>
      </c>
      <c r="AF865" s="112" t="str">
        <f>IF(AE865=1,SUM($AE$8:AE865),"")</f>
        <v/>
      </c>
      <c r="AG865" t="str">
        <f>IFERROR(MATCH(858,$AF$8:$AF$1407,0),"")</f>
        <v/>
      </c>
    </row>
    <row r="866">
      <c r="A866" s="92" t="str">
        <f>IF($AG866="","",P_ImportID)</f>
        <v/>
      </c>
      <c r="B866" s="92" t="str">
        <f>IF($AG866="","",IF(INDEX($AN$8:$AN$21,INDEX($AC$8:$AC$1407,$AG866)+1)="Z",P_BronZ,P_BronE))</f>
        <v/>
      </c>
      <c r="C866" s="108" t="str">
        <f>IF($AG866="","",P_Importdatum)</f>
        <v/>
      </c>
      <c r="D866" s="92" t="str">
        <f>IF($AG866="","",P_StatusVastleg)</f>
        <v/>
      </c>
      <c r="E866" s="92" t="str">
        <f>IF($AG866="","",P_UploadVJ)</f>
        <v/>
      </c>
      <c r="F866" s="92" t="str">
        <f>IF($AG866="","",P_UploadVersie)</f>
        <v/>
      </c>
      <c r="G866" s="92" t="str">
        <f>IF($AG866="","",IF(COUNTIFS(L_Sleutel,$S866,L_Status,"Vastgesteld")=0,0,_xlfn.MAXIFS(L_Revisie,L_Sleutel,$S866,L_Status,"Vastgesteld")+1))</f>
        <v/>
      </c>
      <c r="H866" s="108" t="str">
        <f>IF($AG866="","",P_Peildatum)</f>
        <v/>
      </c>
      <c r="I866" s="92" t="str">
        <f>IF($AG866="","",P_RJ+INDEX($AK$8:$AK$21,INDEX($AC$8:$AC$1407,$AG866)+1))</f>
        <v/>
      </c>
      <c r="J866" s="92" t="str">
        <f>IF($AG866="","",INDEX(V_WBS,INDEX($AB$8:$AB$1407,$AG866)))</f>
        <v/>
      </c>
      <c r="K866" s="92" t="str">
        <f>IF($AG866="","",INDEX(V_Projdef,INDEX($AB$8:$AB$1407,$AG866)))</f>
        <v/>
      </c>
      <c r="L866" s="92" t="str">
        <f>IF($AG866="","",INDEX(V_Naam,INDEX($AB$8:$AB$1407,$AG866)))</f>
        <v/>
      </c>
      <c r="M866" s="92" t="str">
        <f>IF($AG866="","",INDEX(V_Type,INDEX($AB$8:$AB$1407,$AG866)))</f>
        <v/>
      </c>
      <c r="N866" s="92" t="str">
        <f>IF($AG866="","",INDEX(V_IFRS,INDEX($AB$8:$AB$1407,$AG866)))</f>
        <v/>
      </c>
      <c r="O866" s="92" t="str">
        <f>IF($AG866="","",INDEX($AL$8:$AL$21,INDEX($AC$8:$AC$1407,$AG866)+1))</f>
        <v/>
      </c>
      <c r="P866" s="109" t="str">
        <f>IF($AG866="","",INDEX($AD$8:$AD$1407,$AG866))</f>
        <v/>
      </c>
      <c r="Q866" s="92" t="str">
        <f>IF($AG866="","",INDEX($AM$8:$AM$21,INDEX($AC$8:$AC$1407,$AG866)+1))</f>
        <v/>
      </c>
      <c r="R866" s="92" t="str">
        <f>IF($AG866="","",IF($G866&gt;0,P_ToelCorrectie&amp;"",""))</f>
        <v/>
      </c>
      <c r="S866" s="15" t="str">
        <f>IF(J866="","",J866&amp;"|"&amp;E866&amp;"|"&amp;F866&amp;"|"&amp;I866&amp;"|"&amp;O866)</f>
        <v/>
      </c>
      <c r="T866" s="111" t="str">
        <f>IF(S866="","",IF(COUNTIFS(L_Sleutel,S866,L_Actief,1)=0,"",SUMIFS(L_Waarde,L_Sleutel,S866,L_Actief,1)))</f>
        <v/>
      </c>
      <c r="U866" s="111">
        <f>IF(OR(S866="",T866=""),0,P866-T866)</f>
        <v>0</v>
      </c>
      <c r="AB866" s="112" t="n">
        <v>62</v>
      </c>
      <c r="AC866" s="112" t="n">
        <v>4</v>
      </c>
      <c r="AD866" s="112" t="str">
        <f>VERW_Project!R67</f>
        <v/>
      </c>
      <c r="AE866" s="112">
        <f>IF(AND(VERW_Project!$A67&lt;&gt;"",ISNUMBER(AD866)),1,0)</f>
        <v>0</v>
      </c>
      <c r="AF866" s="112" t="str">
        <f>IF(AE866=1,SUM($AE$8:AE866),"")</f>
        <v/>
      </c>
      <c r="AG866" t="str">
        <f>IFERROR(MATCH(859,$AF$8:$AF$1407,0),"")</f>
        <v/>
      </c>
    </row>
    <row r="867">
      <c r="A867" s="92" t="str">
        <f>IF($AG867="","",P_ImportID)</f>
        <v/>
      </c>
      <c r="B867" s="92" t="str">
        <f>IF($AG867="","",IF(INDEX($AN$8:$AN$21,INDEX($AC$8:$AC$1407,$AG867)+1)="Z",P_BronZ,P_BronE))</f>
        <v/>
      </c>
      <c r="C867" s="108" t="str">
        <f>IF($AG867="","",P_Importdatum)</f>
        <v/>
      </c>
      <c r="D867" s="92" t="str">
        <f>IF($AG867="","",P_StatusVastleg)</f>
        <v/>
      </c>
      <c r="E867" s="92" t="str">
        <f>IF($AG867="","",P_UploadVJ)</f>
        <v/>
      </c>
      <c r="F867" s="92" t="str">
        <f>IF($AG867="","",P_UploadVersie)</f>
        <v/>
      </c>
      <c r="G867" s="92" t="str">
        <f>IF($AG867="","",IF(COUNTIFS(L_Sleutel,$S867,L_Status,"Vastgesteld")=0,0,_xlfn.MAXIFS(L_Revisie,L_Sleutel,$S867,L_Status,"Vastgesteld")+1))</f>
        <v/>
      </c>
      <c r="H867" s="108" t="str">
        <f>IF($AG867="","",P_Peildatum)</f>
        <v/>
      </c>
      <c r="I867" s="92" t="str">
        <f>IF($AG867="","",P_RJ+INDEX($AK$8:$AK$21,INDEX($AC$8:$AC$1407,$AG867)+1))</f>
        <v/>
      </c>
      <c r="J867" s="92" t="str">
        <f>IF($AG867="","",INDEX(V_WBS,INDEX($AB$8:$AB$1407,$AG867)))</f>
        <v/>
      </c>
      <c r="K867" s="92" t="str">
        <f>IF($AG867="","",INDEX(V_Projdef,INDEX($AB$8:$AB$1407,$AG867)))</f>
        <v/>
      </c>
      <c r="L867" s="92" t="str">
        <f>IF($AG867="","",INDEX(V_Naam,INDEX($AB$8:$AB$1407,$AG867)))</f>
        <v/>
      </c>
      <c r="M867" s="92" t="str">
        <f>IF($AG867="","",INDEX(V_Type,INDEX($AB$8:$AB$1407,$AG867)))</f>
        <v/>
      </c>
      <c r="N867" s="92" t="str">
        <f>IF($AG867="","",INDEX(V_IFRS,INDEX($AB$8:$AB$1407,$AG867)))</f>
        <v/>
      </c>
      <c r="O867" s="92" t="str">
        <f>IF($AG867="","",INDEX($AL$8:$AL$21,INDEX($AC$8:$AC$1407,$AG867)+1))</f>
        <v/>
      </c>
      <c r="P867" s="109" t="str">
        <f>IF($AG867="","",INDEX($AD$8:$AD$1407,$AG867))</f>
        <v/>
      </c>
      <c r="Q867" s="92" t="str">
        <f>IF($AG867="","",INDEX($AM$8:$AM$21,INDEX($AC$8:$AC$1407,$AG867)+1))</f>
        <v/>
      </c>
      <c r="R867" s="92" t="str">
        <f>IF($AG867="","",IF($G867&gt;0,P_ToelCorrectie&amp;"",""))</f>
        <v/>
      </c>
      <c r="S867" s="15" t="str">
        <f>IF(J867="","",J867&amp;"|"&amp;E867&amp;"|"&amp;F867&amp;"|"&amp;I867&amp;"|"&amp;O867)</f>
        <v/>
      </c>
      <c r="T867" s="111" t="str">
        <f>IF(S867="","",IF(COUNTIFS(L_Sleutel,S867,L_Actief,1)=0,"",SUMIFS(L_Waarde,L_Sleutel,S867,L_Actief,1)))</f>
        <v/>
      </c>
      <c r="U867" s="111">
        <f>IF(OR(S867="",T867=""),0,P867-T867)</f>
        <v>0</v>
      </c>
      <c r="AB867" s="112" t="n">
        <v>62</v>
      </c>
      <c r="AC867" s="112" t="n">
        <v>5</v>
      </c>
      <c r="AD867" s="112" t="str">
        <f>VERW_Project!S67</f>
        <v/>
      </c>
      <c r="AE867" s="112">
        <f>IF(AND(VERW_Project!$A67&lt;&gt;"",ISNUMBER(AD867)),1,0)</f>
        <v>0</v>
      </c>
      <c r="AF867" s="112" t="str">
        <f>IF(AE867=1,SUM($AE$8:AE867),"")</f>
        <v/>
      </c>
      <c r="AG867" t="str">
        <f>IFERROR(MATCH(860,$AF$8:$AF$1407,0),"")</f>
        <v/>
      </c>
    </row>
    <row r="868">
      <c r="A868" s="92" t="str">
        <f>IF($AG868="","",P_ImportID)</f>
        <v/>
      </c>
      <c r="B868" s="92" t="str">
        <f>IF($AG868="","",IF(INDEX($AN$8:$AN$21,INDEX($AC$8:$AC$1407,$AG868)+1)="Z",P_BronZ,P_BronE))</f>
        <v/>
      </c>
      <c r="C868" s="108" t="str">
        <f>IF($AG868="","",P_Importdatum)</f>
        <v/>
      </c>
      <c r="D868" s="92" t="str">
        <f>IF($AG868="","",P_StatusVastleg)</f>
        <v/>
      </c>
      <c r="E868" s="92" t="str">
        <f>IF($AG868="","",P_UploadVJ)</f>
        <v/>
      </c>
      <c r="F868" s="92" t="str">
        <f>IF($AG868="","",P_UploadVersie)</f>
        <v/>
      </c>
      <c r="G868" s="92" t="str">
        <f>IF($AG868="","",IF(COUNTIFS(L_Sleutel,$S868,L_Status,"Vastgesteld")=0,0,_xlfn.MAXIFS(L_Revisie,L_Sleutel,$S868,L_Status,"Vastgesteld")+1))</f>
        <v/>
      </c>
      <c r="H868" s="108" t="str">
        <f>IF($AG868="","",P_Peildatum)</f>
        <v/>
      </c>
      <c r="I868" s="92" t="str">
        <f>IF($AG868="","",P_RJ+INDEX($AK$8:$AK$21,INDEX($AC$8:$AC$1407,$AG868)+1))</f>
        <v/>
      </c>
      <c r="J868" s="92" t="str">
        <f>IF($AG868="","",INDEX(V_WBS,INDEX($AB$8:$AB$1407,$AG868)))</f>
        <v/>
      </c>
      <c r="K868" s="92" t="str">
        <f>IF($AG868="","",INDEX(V_Projdef,INDEX($AB$8:$AB$1407,$AG868)))</f>
        <v/>
      </c>
      <c r="L868" s="92" t="str">
        <f>IF($AG868="","",INDEX(V_Naam,INDEX($AB$8:$AB$1407,$AG868)))</f>
        <v/>
      </c>
      <c r="M868" s="92" t="str">
        <f>IF($AG868="","",INDEX(V_Type,INDEX($AB$8:$AB$1407,$AG868)))</f>
        <v/>
      </c>
      <c r="N868" s="92" t="str">
        <f>IF($AG868="","",INDEX(V_IFRS,INDEX($AB$8:$AB$1407,$AG868)))</f>
        <v/>
      </c>
      <c r="O868" s="92" t="str">
        <f>IF($AG868="","",INDEX($AL$8:$AL$21,INDEX($AC$8:$AC$1407,$AG868)+1))</f>
        <v/>
      </c>
      <c r="P868" s="109" t="str">
        <f>IF($AG868="","",INDEX($AD$8:$AD$1407,$AG868))</f>
        <v/>
      </c>
      <c r="Q868" s="92" t="str">
        <f>IF($AG868="","",INDEX($AM$8:$AM$21,INDEX($AC$8:$AC$1407,$AG868)+1))</f>
        <v/>
      </c>
      <c r="R868" s="92" t="str">
        <f>IF($AG868="","",IF($G868&gt;0,P_ToelCorrectie&amp;"",""))</f>
        <v/>
      </c>
      <c r="S868" s="15" t="str">
        <f>IF(J868="","",J868&amp;"|"&amp;E868&amp;"|"&amp;F868&amp;"|"&amp;I868&amp;"|"&amp;O868)</f>
        <v/>
      </c>
      <c r="T868" s="111" t="str">
        <f>IF(S868="","",IF(COUNTIFS(L_Sleutel,S868,L_Actief,1)=0,"",SUMIFS(L_Waarde,L_Sleutel,S868,L_Actief,1)))</f>
        <v/>
      </c>
      <c r="U868" s="111">
        <f>IF(OR(S868="",T868=""),0,P868-T868)</f>
        <v>0</v>
      </c>
      <c r="AB868" s="112" t="n">
        <v>62</v>
      </c>
      <c r="AC868" s="112" t="n">
        <v>6</v>
      </c>
      <c r="AD868" s="112" t="str">
        <f>VERW_Project!BW67</f>
        <v/>
      </c>
      <c r="AE868" s="112">
        <f>IF(AND(VERW_Project!$A67&lt;&gt;"",ISNUMBER(AD868)),1,0)</f>
        <v>0</v>
      </c>
      <c r="AF868" s="112" t="str">
        <f>IF(AE868=1,SUM($AE$8:AE868),"")</f>
        <v/>
      </c>
      <c r="AG868" t="str">
        <f>IFERROR(MATCH(861,$AF$8:$AF$1407,0),"")</f>
        <v/>
      </c>
    </row>
    <row r="869">
      <c r="A869" s="92" t="str">
        <f>IF($AG869="","",P_ImportID)</f>
        <v/>
      </c>
      <c r="B869" s="92" t="str">
        <f>IF($AG869="","",IF(INDEX($AN$8:$AN$21,INDEX($AC$8:$AC$1407,$AG869)+1)="Z",P_BronZ,P_BronE))</f>
        <v/>
      </c>
      <c r="C869" s="108" t="str">
        <f>IF($AG869="","",P_Importdatum)</f>
        <v/>
      </c>
      <c r="D869" s="92" t="str">
        <f>IF($AG869="","",P_StatusVastleg)</f>
        <v/>
      </c>
      <c r="E869" s="92" t="str">
        <f>IF($AG869="","",P_UploadVJ)</f>
        <v/>
      </c>
      <c r="F869" s="92" t="str">
        <f>IF($AG869="","",P_UploadVersie)</f>
        <v/>
      </c>
      <c r="G869" s="92" t="str">
        <f>IF($AG869="","",IF(COUNTIFS(L_Sleutel,$S869,L_Status,"Vastgesteld")=0,0,_xlfn.MAXIFS(L_Revisie,L_Sleutel,$S869,L_Status,"Vastgesteld")+1))</f>
        <v/>
      </c>
      <c r="H869" s="108" t="str">
        <f>IF($AG869="","",P_Peildatum)</f>
        <v/>
      </c>
      <c r="I869" s="92" t="str">
        <f>IF($AG869="","",P_RJ+INDEX($AK$8:$AK$21,INDEX($AC$8:$AC$1407,$AG869)+1))</f>
        <v/>
      </c>
      <c r="J869" s="92" t="str">
        <f>IF($AG869="","",INDEX(V_WBS,INDEX($AB$8:$AB$1407,$AG869)))</f>
        <v/>
      </c>
      <c r="K869" s="92" t="str">
        <f>IF($AG869="","",INDEX(V_Projdef,INDEX($AB$8:$AB$1407,$AG869)))</f>
        <v/>
      </c>
      <c r="L869" s="92" t="str">
        <f>IF($AG869="","",INDEX(V_Naam,INDEX($AB$8:$AB$1407,$AG869)))</f>
        <v/>
      </c>
      <c r="M869" s="92" t="str">
        <f>IF($AG869="","",INDEX(V_Type,INDEX($AB$8:$AB$1407,$AG869)))</f>
        <v/>
      </c>
      <c r="N869" s="92" t="str">
        <f>IF($AG869="","",INDEX(V_IFRS,INDEX($AB$8:$AB$1407,$AG869)))</f>
        <v/>
      </c>
      <c r="O869" s="92" t="str">
        <f>IF($AG869="","",INDEX($AL$8:$AL$21,INDEX($AC$8:$AC$1407,$AG869)+1))</f>
        <v/>
      </c>
      <c r="P869" s="109" t="str">
        <f>IF($AG869="","",INDEX($AD$8:$AD$1407,$AG869))</f>
        <v/>
      </c>
      <c r="Q869" s="92" t="str">
        <f>IF($AG869="","",INDEX($AM$8:$AM$21,INDEX($AC$8:$AC$1407,$AG869)+1))</f>
        <v/>
      </c>
      <c r="R869" s="92" t="str">
        <f>IF($AG869="","",IF($G869&gt;0,P_ToelCorrectie&amp;"",""))</f>
        <v/>
      </c>
      <c r="S869" s="15" t="str">
        <f>IF(J869="","",J869&amp;"|"&amp;E869&amp;"|"&amp;F869&amp;"|"&amp;I869&amp;"|"&amp;O869)</f>
        <v/>
      </c>
      <c r="T869" s="111" t="str">
        <f>IF(S869="","",IF(COUNTIFS(L_Sleutel,S869,L_Actief,1)=0,"",SUMIFS(L_Waarde,L_Sleutel,S869,L_Actief,1)))</f>
        <v/>
      </c>
      <c r="U869" s="111">
        <f>IF(OR(S869="",T869=""),0,P869-T869)</f>
        <v>0</v>
      </c>
      <c r="AB869" s="112" t="n">
        <v>62</v>
      </c>
      <c r="AC869" s="112" t="n">
        <v>7</v>
      </c>
      <c r="AD869" s="112" t="str">
        <f>VERW_Project!AW67</f>
        <v/>
      </c>
      <c r="AE869" s="112">
        <f>IF(AND(VERW_Project!$A67&lt;&gt;"",ISNUMBER(AD869)),1,0)</f>
        <v>0</v>
      </c>
      <c r="AF869" s="112" t="str">
        <f>IF(AE869=1,SUM($AE$8:AE869),"")</f>
        <v/>
      </c>
      <c r="AG869" t="str">
        <f>IFERROR(MATCH(862,$AF$8:$AF$1407,0),"")</f>
        <v/>
      </c>
    </row>
    <row r="870">
      <c r="A870" s="92" t="str">
        <f>IF($AG870="","",P_ImportID)</f>
        <v/>
      </c>
      <c r="B870" s="92" t="str">
        <f>IF($AG870="","",IF(INDEX($AN$8:$AN$21,INDEX($AC$8:$AC$1407,$AG870)+1)="Z",P_BronZ,P_BronE))</f>
        <v/>
      </c>
      <c r="C870" s="108" t="str">
        <f>IF($AG870="","",P_Importdatum)</f>
        <v/>
      </c>
      <c r="D870" s="92" t="str">
        <f>IF($AG870="","",P_StatusVastleg)</f>
        <v/>
      </c>
      <c r="E870" s="92" t="str">
        <f>IF($AG870="","",P_UploadVJ)</f>
        <v/>
      </c>
      <c r="F870" s="92" t="str">
        <f>IF($AG870="","",P_UploadVersie)</f>
        <v/>
      </c>
      <c r="G870" s="92" t="str">
        <f>IF($AG870="","",IF(COUNTIFS(L_Sleutel,$S870,L_Status,"Vastgesteld")=0,0,_xlfn.MAXIFS(L_Revisie,L_Sleutel,$S870,L_Status,"Vastgesteld")+1))</f>
        <v/>
      </c>
      <c r="H870" s="108" t="str">
        <f>IF($AG870="","",P_Peildatum)</f>
        <v/>
      </c>
      <c r="I870" s="92" t="str">
        <f>IF($AG870="","",P_RJ+INDEX($AK$8:$AK$21,INDEX($AC$8:$AC$1407,$AG870)+1))</f>
        <v/>
      </c>
      <c r="J870" s="92" t="str">
        <f>IF($AG870="","",INDEX(V_WBS,INDEX($AB$8:$AB$1407,$AG870)))</f>
        <v/>
      </c>
      <c r="K870" s="92" t="str">
        <f>IF($AG870="","",INDEX(V_Projdef,INDEX($AB$8:$AB$1407,$AG870)))</f>
        <v/>
      </c>
      <c r="L870" s="92" t="str">
        <f>IF($AG870="","",INDEX(V_Naam,INDEX($AB$8:$AB$1407,$AG870)))</f>
        <v/>
      </c>
      <c r="M870" s="92" t="str">
        <f>IF($AG870="","",INDEX(V_Type,INDEX($AB$8:$AB$1407,$AG870)))</f>
        <v/>
      </c>
      <c r="N870" s="92" t="str">
        <f>IF($AG870="","",INDEX(V_IFRS,INDEX($AB$8:$AB$1407,$AG870)))</f>
        <v/>
      </c>
      <c r="O870" s="92" t="str">
        <f>IF($AG870="","",INDEX($AL$8:$AL$21,INDEX($AC$8:$AC$1407,$AG870)+1))</f>
        <v/>
      </c>
      <c r="P870" s="109" t="str">
        <f>IF($AG870="","",INDEX($AD$8:$AD$1407,$AG870))</f>
        <v/>
      </c>
      <c r="Q870" s="92" t="str">
        <f>IF($AG870="","",INDEX($AM$8:$AM$21,INDEX($AC$8:$AC$1407,$AG870)+1))</f>
        <v/>
      </c>
      <c r="R870" s="92" t="str">
        <f>IF($AG870="","",IF($G870&gt;0,P_ToelCorrectie&amp;"",""))</f>
        <v/>
      </c>
      <c r="S870" s="15" t="str">
        <f>IF(J870="","",J870&amp;"|"&amp;E870&amp;"|"&amp;F870&amp;"|"&amp;I870&amp;"|"&amp;O870)</f>
        <v/>
      </c>
      <c r="T870" s="111" t="str">
        <f>IF(S870="","",IF(COUNTIFS(L_Sleutel,S870,L_Actief,1)=0,"",SUMIFS(L_Waarde,L_Sleutel,S870,L_Actief,1)))</f>
        <v/>
      </c>
      <c r="U870" s="111">
        <f>IF(OR(S870="",T870=""),0,P870-T870)</f>
        <v>0</v>
      </c>
      <c r="AB870" s="112" t="n">
        <v>62</v>
      </c>
      <c r="AC870" s="112" t="n">
        <v>8</v>
      </c>
      <c r="AD870" s="112" t="str">
        <f>VERW_Project!BQ67</f>
        <v/>
      </c>
      <c r="AE870" s="112">
        <f>IF(AND(VERW_Project!$A67&lt;&gt;"",ISNUMBER(AD870)),1,0)</f>
        <v>0</v>
      </c>
      <c r="AF870" s="112" t="str">
        <f>IF(AE870=1,SUM($AE$8:AE870),"")</f>
        <v/>
      </c>
      <c r="AG870" t="str">
        <f>IFERROR(MATCH(863,$AF$8:$AF$1407,0),"")</f>
        <v/>
      </c>
    </row>
    <row r="871">
      <c r="A871" s="92" t="str">
        <f>IF($AG871="","",P_ImportID)</f>
        <v/>
      </c>
      <c r="B871" s="92" t="str">
        <f>IF($AG871="","",IF(INDEX($AN$8:$AN$21,INDEX($AC$8:$AC$1407,$AG871)+1)="Z",P_BronZ,P_BronE))</f>
        <v/>
      </c>
      <c r="C871" s="108" t="str">
        <f>IF($AG871="","",P_Importdatum)</f>
        <v/>
      </c>
      <c r="D871" s="92" t="str">
        <f>IF($AG871="","",P_StatusVastleg)</f>
        <v/>
      </c>
      <c r="E871" s="92" t="str">
        <f>IF($AG871="","",P_UploadVJ)</f>
        <v/>
      </c>
      <c r="F871" s="92" t="str">
        <f>IF($AG871="","",P_UploadVersie)</f>
        <v/>
      </c>
      <c r="G871" s="92" t="str">
        <f>IF($AG871="","",IF(COUNTIFS(L_Sleutel,$S871,L_Status,"Vastgesteld")=0,0,_xlfn.MAXIFS(L_Revisie,L_Sleutel,$S871,L_Status,"Vastgesteld")+1))</f>
        <v/>
      </c>
      <c r="H871" s="108" t="str">
        <f>IF($AG871="","",P_Peildatum)</f>
        <v/>
      </c>
      <c r="I871" s="92" t="str">
        <f>IF($AG871="","",P_RJ+INDEX($AK$8:$AK$21,INDEX($AC$8:$AC$1407,$AG871)+1))</f>
        <v/>
      </c>
      <c r="J871" s="92" t="str">
        <f>IF($AG871="","",INDEX(V_WBS,INDEX($AB$8:$AB$1407,$AG871)))</f>
        <v/>
      </c>
      <c r="K871" s="92" t="str">
        <f>IF($AG871="","",INDEX(V_Projdef,INDEX($AB$8:$AB$1407,$AG871)))</f>
        <v/>
      </c>
      <c r="L871" s="92" t="str">
        <f>IF($AG871="","",INDEX(V_Naam,INDEX($AB$8:$AB$1407,$AG871)))</f>
        <v/>
      </c>
      <c r="M871" s="92" t="str">
        <f>IF($AG871="","",INDEX(V_Type,INDEX($AB$8:$AB$1407,$AG871)))</f>
        <v/>
      </c>
      <c r="N871" s="92" t="str">
        <f>IF($AG871="","",INDEX(V_IFRS,INDEX($AB$8:$AB$1407,$AG871)))</f>
        <v/>
      </c>
      <c r="O871" s="92" t="str">
        <f>IF($AG871="","",INDEX($AL$8:$AL$21,INDEX($AC$8:$AC$1407,$AG871)+1))</f>
        <v/>
      </c>
      <c r="P871" s="109" t="str">
        <f>IF($AG871="","",INDEX($AD$8:$AD$1407,$AG871))</f>
        <v/>
      </c>
      <c r="Q871" s="92" t="str">
        <f>IF($AG871="","",INDEX($AM$8:$AM$21,INDEX($AC$8:$AC$1407,$AG871)+1))</f>
        <v/>
      </c>
      <c r="R871" s="92" t="str">
        <f>IF($AG871="","",IF($G871&gt;0,P_ToelCorrectie&amp;"",""))</f>
        <v/>
      </c>
      <c r="S871" s="15" t="str">
        <f>IF(J871="","",J871&amp;"|"&amp;E871&amp;"|"&amp;F871&amp;"|"&amp;I871&amp;"|"&amp;O871)</f>
        <v/>
      </c>
      <c r="T871" s="111" t="str">
        <f>IF(S871="","",IF(COUNTIFS(L_Sleutel,S871,L_Actief,1)=0,"",SUMIFS(L_Waarde,L_Sleutel,S871,L_Actief,1)))</f>
        <v/>
      </c>
      <c r="U871" s="111">
        <f>IF(OR(S871="",T871=""),0,P871-T871)</f>
        <v>0</v>
      </c>
      <c r="AB871" s="112" t="n">
        <v>62</v>
      </c>
      <c r="AC871" s="112" t="n">
        <v>9</v>
      </c>
      <c r="AD871" s="112" t="str">
        <f>VERW_Project!BR67</f>
        <v/>
      </c>
      <c r="AE871" s="112">
        <f>IF(AND(VERW_Project!$A67&lt;&gt;"",ISNUMBER(AD871)),1,0)</f>
        <v>0</v>
      </c>
      <c r="AF871" s="112" t="str">
        <f>IF(AE871=1,SUM($AE$8:AE871),"")</f>
        <v/>
      </c>
      <c r="AG871" t="str">
        <f>IFERROR(MATCH(864,$AF$8:$AF$1407,0),"")</f>
        <v/>
      </c>
    </row>
    <row r="872">
      <c r="A872" s="92" t="str">
        <f>IF($AG872="","",P_ImportID)</f>
        <v/>
      </c>
      <c r="B872" s="92" t="str">
        <f>IF($AG872="","",IF(INDEX($AN$8:$AN$21,INDEX($AC$8:$AC$1407,$AG872)+1)="Z",P_BronZ,P_BronE))</f>
        <v/>
      </c>
      <c r="C872" s="108" t="str">
        <f>IF($AG872="","",P_Importdatum)</f>
        <v/>
      </c>
      <c r="D872" s="92" t="str">
        <f>IF($AG872="","",P_StatusVastleg)</f>
        <v/>
      </c>
      <c r="E872" s="92" t="str">
        <f>IF($AG872="","",P_UploadVJ)</f>
        <v/>
      </c>
      <c r="F872" s="92" t="str">
        <f>IF($AG872="","",P_UploadVersie)</f>
        <v/>
      </c>
      <c r="G872" s="92" t="str">
        <f>IF($AG872="","",IF(COUNTIFS(L_Sleutel,$S872,L_Status,"Vastgesteld")=0,0,_xlfn.MAXIFS(L_Revisie,L_Sleutel,$S872,L_Status,"Vastgesteld")+1))</f>
        <v/>
      </c>
      <c r="H872" s="108" t="str">
        <f>IF($AG872="","",P_Peildatum)</f>
        <v/>
      </c>
      <c r="I872" s="92" t="str">
        <f>IF($AG872="","",P_RJ+INDEX($AK$8:$AK$21,INDEX($AC$8:$AC$1407,$AG872)+1))</f>
        <v/>
      </c>
      <c r="J872" s="92" t="str">
        <f>IF($AG872="","",INDEX(V_WBS,INDEX($AB$8:$AB$1407,$AG872)))</f>
        <v/>
      </c>
      <c r="K872" s="92" t="str">
        <f>IF($AG872="","",INDEX(V_Projdef,INDEX($AB$8:$AB$1407,$AG872)))</f>
        <v/>
      </c>
      <c r="L872" s="92" t="str">
        <f>IF($AG872="","",INDEX(V_Naam,INDEX($AB$8:$AB$1407,$AG872)))</f>
        <v/>
      </c>
      <c r="M872" s="92" t="str">
        <f>IF($AG872="","",INDEX(V_Type,INDEX($AB$8:$AB$1407,$AG872)))</f>
        <v/>
      </c>
      <c r="N872" s="92" t="str">
        <f>IF($AG872="","",INDEX(V_IFRS,INDEX($AB$8:$AB$1407,$AG872)))</f>
        <v/>
      </c>
      <c r="O872" s="92" t="str">
        <f>IF($AG872="","",INDEX($AL$8:$AL$21,INDEX($AC$8:$AC$1407,$AG872)+1))</f>
        <v/>
      </c>
      <c r="P872" s="109" t="str">
        <f>IF($AG872="","",INDEX($AD$8:$AD$1407,$AG872))</f>
        <v/>
      </c>
      <c r="Q872" s="92" t="str">
        <f>IF($AG872="","",INDEX($AM$8:$AM$21,INDEX($AC$8:$AC$1407,$AG872)+1))</f>
        <v/>
      </c>
      <c r="R872" s="92" t="str">
        <f>IF($AG872="","",IF($G872&gt;0,P_ToelCorrectie&amp;"",""))</f>
        <v/>
      </c>
      <c r="S872" s="15" t="str">
        <f>IF(J872="","",J872&amp;"|"&amp;E872&amp;"|"&amp;F872&amp;"|"&amp;I872&amp;"|"&amp;O872)</f>
        <v/>
      </c>
      <c r="T872" s="111" t="str">
        <f>IF(S872="","",IF(COUNTIFS(L_Sleutel,S872,L_Actief,1)=0,"",SUMIFS(L_Waarde,L_Sleutel,S872,L_Actief,1)))</f>
        <v/>
      </c>
      <c r="U872" s="111">
        <f>IF(OR(S872="",T872=""),0,P872-T872)</f>
        <v>0</v>
      </c>
      <c r="AB872" s="112" t="n">
        <v>62</v>
      </c>
      <c r="AC872" s="112" t="n">
        <v>10</v>
      </c>
      <c r="AD872" s="112" t="str">
        <f>VERW_Project!BS67</f>
        <v/>
      </c>
      <c r="AE872" s="112">
        <f>IF(AND(VERW_Project!$A67&lt;&gt;"",ISNUMBER(AD872)),1,0)</f>
        <v>0</v>
      </c>
      <c r="AF872" s="112" t="str">
        <f>IF(AE872=1,SUM($AE$8:AE872),"")</f>
        <v/>
      </c>
      <c r="AG872" t="str">
        <f>IFERROR(MATCH(865,$AF$8:$AF$1407,0),"")</f>
        <v/>
      </c>
    </row>
    <row r="873">
      <c r="A873" s="92" t="str">
        <f>IF($AG873="","",P_ImportID)</f>
        <v/>
      </c>
      <c r="B873" s="92" t="str">
        <f>IF($AG873="","",IF(INDEX($AN$8:$AN$21,INDEX($AC$8:$AC$1407,$AG873)+1)="Z",P_BronZ,P_BronE))</f>
        <v/>
      </c>
      <c r="C873" s="108" t="str">
        <f>IF($AG873="","",P_Importdatum)</f>
        <v/>
      </c>
      <c r="D873" s="92" t="str">
        <f>IF($AG873="","",P_StatusVastleg)</f>
        <v/>
      </c>
      <c r="E873" s="92" t="str">
        <f>IF($AG873="","",P_UploadVJ)</f>
        <v/>
      </c>
      <c r="F873" s="92" t="str">
        <f>IF($AG873="","",P_UploadVersie)</f>
        <v/>
      </c>
      <c r="G873" s="92" t="str">
        <f>IF($AG873="","",IF(COUNTIFS(L_Sleutel,$S873,L_Status,"Vastgesteld")=0,0,_xlfn.MAXIFS(L_Revisie,L_Sleutel,$S873,L_Status,"Vastgesteld")+1))</f>
        <v/>
      </c>
      <c r="H873" s="108" t="str">
        <f>IF($AG873="","",P_Peildatum)</f>
        <v/>
      </c>
      <c r="I873" s="92" t="str">
        <f>IF($AG873="","",P_RJ+INDEX($AK$8:$AK$21,INDEX($AC$8:$AC$1407,$AG873)+1))</f>
        <v/>
      </c>
      <c r="J873" s="92" t="str">
        <f>IF($AG873="","",INDEX(V_WBS,INDEX($AB$8:$AB$1407,$AG873)))</f>
        <v/>
      </c>
      <c r="K873" s="92" t="str">
        <f>IF($AG873="","",INDEX(V_Projdef,INDEX($AB$8:$AB$1407,$AG873)))</f>
        <v/>
      </c>
      <c r="L873" s="92" t="str">
        <f>IF($AG873="","",INDEX(V_Naam,INDEX($AB$8:$AB$1407,$AG873)))</f>
        <v/>
      </c>
      <c r="M873" s="92" t="str">
        <f>IF($AG873="","",INDEX(V_Type,INDEX($AB$8:$AB$1407,$AG873)))</f>
        <v/>
      </c>
      <c r="N873" s="92" t="str">
        <f>IF($AG873="","",INDEX(V_IFRS,INDEX($AB$8:$AB$1407,$AG873)))</f>
        <v/>
      </c>
      <c r="O873" s="92" t="str">
        <f>IF($AG873="","",INDEX($AL$8:$AL$21,INDEX($AC$8:$AC$1407,$AG873)+1))</f>
        <v/>
      </c>
      <c r="P873" s="109" t="str">
        <f>IF($AG873="","",INDEX($AD$8:$AD$1407,$AG873))</f>
        <v/>
      </c>
      <c r="Q873" s="92" t="str">
        <f>IF($AG873="","",INDEX($AM$8:$AM$21,INDEX($AC$8:$AC$1407,$AG873)+1))</f>
        <v/>
      </c>
      <c r="R873" s="92" t="str">
        <f>IF($AG873="","",IF($G873&gt;0,P_ToelCorrectie&amp;"",""))</f>
        <v/>
      </c>
      <c r="S873" s="15" t="str">
        <f>IF(J873="","",J873&amp;"|"&amp;E873&amp;"|"&amp;F873&amp;"|"&amp;I873&amp;"|"&amp;O873)</f>
        <v/>
      </c>
      <c r="T873" s="111" t="str">
        <f>IF(S873="","",IF(COUNTIFS(L_Sleutel,S873,L_Actief,1)=0,"",SUMIFS(L_Waarde,L_Sleutel,S873,L_Actief,1)))</f>
        <v/>
      </c>
      <c r="U873" s="111">
        <f>IF(OR(S873="",T873=""),0,P873-T873)</f>
        <v>0</v>
      </c>
      <c r="AB873" s="112" t="n">
        <v>62</v>
      </c>
      <c r="AC873" s="112" t="n">
        <v>11</v>
      </c>
      <c r="AD873" s="112" t="str">
        <f>VERW_Project!BT67</f>
        <v/>
      </c>
      <c r="AE873" s="112">
        <f>IF(AND(VERW_Project!$A67&lt;&gt;"",ISNUMBER(AD873)),1,0)</f>
        <v>0</v>
      </c>
      <c r="AF873" s="112" t="str">
        <f>IF(AE873=1,SUM($AE$8:AE873),"")</f>
        <v/>
      </c>
      <c r="AG873" t="str">
        <f>IFERROR(MATCH(866,$AF$8:$AF$1407,0),"")</f>
        <v/>
      </c>
    </row>
    <row r="874">
      <c r="A874" s="92" t="str">
        <f>IF($AG874="","",P_ImportID)</f>
        <v/>
      </c>
      <c r="B874" s="92" t="str">
        <f>IF($AG874="","",IF(INDEX($AN$8:$AN$21,INDEX($AC$8:$AC$1407,$AG874)+1)="Z",P_BronZ,P_BronE))</f>
        <v/>
      </c>
      <c r="C874" s="108" t="str">
        <f>IF($AG874="","",P_Importdatum)</f>
        <v/>
      </c>
      <c r="D874" s="92" t="str">
        <f>IF($AG874="","",P_StatusVastleg)</f>
        <v/>
      </c>
      <c r="E874" s="92" t="str">
        <f>IF($AG874="","",P_UploadVJ)</f>
        <v/>
      </c>
      <c r="F874" s="92" t="str">
        <f>IF($AG874="","",P_UploadVersie)</f>
        <v/>
      </c>
      <c r="G874" s="92" t="str">
        <f>IF($AG874="","",IF(COUNTIFS(L_Sleutel,$S874,L_Status,"Vastgesteld")=0,0,_xlfn.MAXIFS(L_Revisie,L_Sleutel,$S874,L_Status,"Vastgesteld")+1))</f>
        <v/>
      </c>
      <c r="H874" s="108" t="str">
        <f>IF($AG874="","",P_Peildatum)</f>
        <v/>
      </c>
      <c r="I874" s="92" t="str">
        <f>IF($AG874="","",P_RJ+INDEX($AK$8:$AK$21,INDEX($AC$8:$AC$1407,$AG874)+1))</f>
        <v/>
      </c>
      <c r="J874" s="92" t="str">
        <f>IF($AG874="","",INDEX(V_WBS,INDEX($AB$8:$AB$1407,$AG874)))</f>
        <v/>
      </c>
      <c r="K874" s="92" t="str">
        <f>IF($AG874="","",INDEX(V_Projdef,INDEX($AB$8:$AB$1407,$AG874)))</f>
        <v/>
      </c>
      <c r="L874" s="92" t="str">
        <f>IF($AG874="","",INDEX(V_Naam,INDEX($AB$8:$AB$1407,$AG874)))</f>
        <v/>
      </c>
      <c r="M874" s="92" t="str">
        <f>IF($AG874="","",INDEX(V_Type,INDEX($AB$8:$AB$1407,$AG874)))</f>
        <v/>
      </c>
      <c r="N874" s="92" t="str">
        <f>IF($AG874="","",INDEX(V_IFRS,INDEX($AB$8:$AB$1407,$AG874)))</f>
        <v/>
      </c>
      <c r="O874" s="92" t="str">
        <f>IF($AG874="","",INDEX($AL$8:$AL$21,INDEX($AC$8:$AC$1407,$AG874)+1))</f>
        <v/>
      </c>
      <c r="P874" s="109" t="str">
        <f>IF($AG874="","",INDEX($AD$8:$AD$1407,$AG874))</f>
        <v/>
      </c>
      <c r="Q874" s="92" t="str">
        <f>IF($AG874="","",INDEX($AM$8:$AM$21,INDEX($AC$8:$AC$1407,$AG874)+1))</f>
        <v/>
      </c>
      <c r="R874" s="92" t="str">
        <f>IF($AG874="","",IF($G874&gt;0,P_ToelCorrectie&amp;"",""))</f>
        <v/>
      </c>
      <c r="S874" s="15" t="str">
        <f>IF(J874="","",J874&amp;"|"&amp;E874&amp;"|"&amp;F874&amp;"|"&amp;I874&amp;"|"&amp;O874)</f>
        <v/>
      </c>
      <c r="T874" s="111" t="str">
        <f>IF(S874="","",IF(COUNTIFS(L_Sleutel,S874,L_Actief,1)=0,"",SUMIFS(L_Waarde,L_Sleutel,S874,L_Actief,1)))</f>
        <v/>
      </c>
      <c r="U874" s="111">
        <f>IF(OR(S874="",T874=""),0,P874-T874)</f>
        <v>0</v>
      </c>
      <c r="AB874" s="112" t="n">
        <v>62</v>
      </c>
      <c r="AC874" s="112" t="n">
        <v>12</v>
      </c>
      <c r="AD874" s="112" t="str">
        <f>VERW_Project!BU67</f>
        <v/>
      </c>
      <c r="AE874" s="112">
        <f>IF(AND(VERW_Project!$A67&lt;&gt;"",ISNUMBER(AD874)),1,0)</f>
        <v>0</v>
      </c>
      <c r="AF874" s="112" t="str">
        <f>IF(AE874=1,SUM($AE$8:AE874),"")</f>
        <v/>
      </c>
      <c r="AG874" t="str">
        <f>IFERROR(MATCH(867,$AF$8:$AF$1407,0),"")</f>
        <v/>
      </c>
    </row>
    <row r="875">
      <c r="A875" s="92" t="str">
        <f>IF($AG875="","",P_ImportID)</f>
        <v/>
      </c>
      <c r="B875" s="92" t="str">
        <f>IF($AG875="","",IF(INDEX($AN$8:$AN$21,INDEX($AC$8:$AC$1407,$AG875)+1)="Z",P_BronZ,P_BronE))</f>
        <v/>
      </c>
      <c r="C875" s="108" t="str">
        <f>IF($AG875="","",P_Importdatum)</f>
        <v/>
      </c>
      <c r="D875" s="92" t="str">
        <f>IF($AG875="","",P_StatusVastleg)</f>
        <v/>
      </c>
      <c r="E875" s="92" t="str">
        <f>IF($AG875="","",P_UploadVJ)</f>
        <v/>
      </c>
      <c r="F875" s="92" t="str">
        <f>IF($AG875="","",P_UploadVersie)</f>
        <v/>
      </c>
      <c r="G875" s="92" t="str">
        <f>IF($AG875="","",IF(COUNTIFS(L_Sleutel,$S875,L_Status,"Vastgesteld")=0,0,_xlfn.MAXIFS(L_Revisie,L_Sleutel,$S875,L_Status,"Vastgesteld")+1))</f>
        <v/>
      </c>
      <c r="H875" s="108" t="str">
        <f>IF($AG875="","",P_Peildatum)</f>
        <v/>
      </c>
      <c r="I875" s="92" t="str">
        <f>IF($AG875="","",P_RJ+INDEX($AK$8:$AK$21,INDEX($AC$8:$AC$1407,$AG875)+1))</f>
        <v/>
      </c>
      <c r="J875" s="92" t="str">
        <f>IF($AG875="","",INDEX(V_WBS,INDEX($AB$8:$AB$1407,$AG875)))</f>
        <v/>
      </c>
      <c r="K875" s="92" t="str">
        <f>IF($AG875="","",INDEX(V_Projdef,INDEX($AB$8:$AB$1407,$AG875)))</f>
        <v/>
      </c>
      <c r="L875" s="92" t="str">
        <f>IF($AG875="","",INDEX(V_Naam,INDEX($AB$8:$AB$1407,$AG875)))</f>
        <v/>
      </c>
      <c r="M875" s="92" t="str">
        <f>IF($AG875="","",INDEX(V_Type,INDEX($AB$8:$AB$1407,$AG875)))</f>
        <v/>
      </c>
      <c r="N875" s="92" t="str">
        <f>IF($AG875="","",INDEX(V_IFRS,INDEX($AB$8:$AB$1407,$AG875)))</f>
        <v/>
      </c>
      <c r="O875" s="92" t="str">
        <f>IF($AG875="","",INDEX($AL$8:$AL$21,INDEX($AC$8:$AC$1407,$AG875)+1))</f>
        <v/>
      </c>
      <c r="P875" s="109" t="str">
        <f>IF($AG875="","",INDEX($AD$8:$AD$1407,$AG875))</f>
        <v/>
      </c>
      <c r="Q875" s="92" t="str">
        <f>IF($AG875="","",INDEX($AM$8:$AM$21,INDEX($AC$8:$AC$1407,$AG875)+1))</f>
        <v/>
      </c>
      <c r="R875" s="92" t="str">
        <f>IF($AG875="","",IF($G875&gt;0,P_ToelCorrectie&amp;"",""))</f>
        <v/>
      </c>
      <c r="S875" s="15" t="str">
        <f>IF(J875="","",J875&amp;"|"&amp;E875&amp;"|"&amp;F875&amp;"|"&amp;I875&amp;"|"&amp;O875)</f>
        <v/>
      </c>
      <c r="T875" s="111" t="str">
        <f>IF(S875="","",IF(COUNTIFS(L_Sleutel,S875,L_Actief,1)=0,"",SUMIFS(L_Waarde,L_Sleutel,S875,L_Actief,1)))</f>
        <v/>
      </c>
      <c r="U875" s="111">
        <f>IF(OR(S875="",T875=""),0,P875-T875)</f>
        <v>0</v>
      </c>
      <c r="AB875" s="112" t="n">
        <v>62</v>
      </c>
      <c r="AC875" s="112" t="n">
        <v>13</v>
      </c>
      <c r="AD875" s="112" t="str">
        <f>VERW_Project!BX67</f>
        <v/>
      </c>
      <c r="AE875" s="112">
        <f>IF(AND(VERW_Project!$A67&lt;&gt;"",ISNUMBER(AD875)),1,0)</f>
        <v>0</v>
      </c>
      <c r="AF875" s="112" t="str">
        <f>IF(AE875=1,SUM($AE$8:AE875),"")</f>
        <v/>
      </c>
      <c r="AG875" t="str">
        <f>IFERROR(MATCH(868,$AF$8:$AF$1407,0),"")</f>
        <v/>
      </c>
    </row>
    <row r="876">
      <c r="A876" s="92" t="str">
        <f>IF($AG876="","",P_ImportID)</f>
        <v/>
      </c>
      <c r="B876" s="92" t="str">
        <f>IF($AG876="","",IF(INDEX($AN$8:$AN$21,INDEX($AC$8:$AC$1407,$AG876)+1)="Z",P_BronZ,P_BronE))</f>
        <v/>
      </c>
      <c r="C876" s="108" t="str">
        <f>IF($AG876="","",P_Importdatum)</f>
        <v/>
      </c>
      <c r="D876" s="92" t="str">
        <f>IF($AG876="","",P_StatusVastleg)</f>
        <v/>
      </c>
      <c r="E876" s="92" t="str">
        <f>IF($AG876="","",P_UploadVJ)</f>
        <v/>
      </c>
      <c r="F876" s="92" t="str">
        <f>IF($AG876="","",P_UploadVersie)</f>
        <v/>
      </c>
      <c r="G876" s="92" t="str">
        <f>IF($AG876="","",IF(COUNTIFS(L_Sleutel,$S876,L_Status,"Vastgesteld")=0,0,_xlfn.MAXIFS(L_Revisie,L_Sleutel,$S876,L_Status,"Vastgesteld")+1))</f>
        <v/>
      </c>
      <c r="H876" s="108" t="str">
        <f>IF($AG876="","",P_Peildatum)</f>
        <v/>
      </c>
      <c r="I876" s="92" t="str">
        <f>IF($AG876="","",P_RJ+INDEX($AK$8:$AK$21,INDEX($AC$8:$AC$1407,$AG876)+1))</f>
        <v/>
      </c>
      <c r="J876" s="92" t="str">
        <f>IF($AG876="","",INDEX(V_WBS,INDEX($AB$8:$AB$1407,$AG876)))</f>
        <v/>
      </c>
      <c r="K876" s="92" t="str">
        <f>IF($AG876="","",INDEX(V_Projdef,INDEX($AB$8:$AB$1407,$AG876)))</f>
        <v/>
      </c>
      <c r="L876" s="92" t="str">
        <f>IF($AG876="","",INDEX(V_Naam,INDEX($AB$8:$AB$1407,$AG876)))</f>
        <v/>
      </c>
      <c r="M876" s="92" t="str">
        <f>IF($AG876="","",INDEX(V_Type,INDEX($AB$8:$AB$1407,$AG876)))</f>
        <v/>
      </c>
      <c r="N876" s="92" t="str">
        <f>IF($AG876="","",INDEX(V_IFRS,INDEX($AB$8:$AB$1407,$AG876)))</f>
        <v/>
      </c>
      <c r="O876" s="92" t="str">
        <f>IF($AG876="","",INDEX($AL$8:$AL$21,INDEX($AC$8:$AC$1407,$AG876)+1))</f>
        <v/>
      </c>
      <c r="P876" s="109" t="str">
        <f>IF($AG876="","",INDEX($AD$8:$AD$1407,$AG876))</f>
        <v/>
      </c>
      <c r="Q876" s="92" t="str">
        <f>IF($AG876="","",INDEX($AM$8:$AM$21,INDEX($AC$8:$AC$1407,$AG876)+1))</f>
        <v/>
      </c>
      <c r="R876" s="92" t="str">
        <f>IF($AG876="","",IF($G876&gt;0,P_ToelCorrectie&amp;"",""))</f>
        <v/>
      </c>
      <c r="S876" s="15" t="str">
        <f>IF(J876="","",J876&amp;"|"&amp;E876&amp;"|"&amp;F876&amp;"|"&amp;I876&amp;"|"&amp;O876)</f>
        <v/>
      </c>
      <c r="T876" s="111" t="str">
        <f>IF(S876="","",IF(COUNTIFS(L_Sleutel,S876,L_Actief,1)=0,"",SUMIFS(L_Waarde,L_Sleutel,S876,L_Actief,1)))</f>
        <v/>
      </c>
      <c r="U876" s="111">
        <f>IF(OR(S876="",T876=""),0,P876-T876)</f>
        <v>0</v>
      </c>
      <c r="AB876" s="112" t="n">
        <v>63</v>
      </c>
      <c r="AC876" s="112" t="n">
        <v>0</v>
      </c>
      <c r="AD876" s="112" t="str">
        <f>VERW_Project!P68</f>
        <v/>
      </c>
      <c r="AE876" s="112">
        <f>IF(AND(VERW_Project!$A68&lt;&gt;"",ISNUMBER(AD876)),1,0)</f>
        <v>0</v>
      </c>
      <c r="AF876" s="112" t="str">
        <f>IF(AE876=1,SUM($AE$8:AE876),"")</f>
        <v/>
      </c>
      <c r="AG876" t="str">
        <f>IFERROR(MATCH(869,$AF$8:$AF$1407,0),"")</f>
        <v/>
      </c>
    </row>
    <row r="877">
      <c r="A877" s="92" t="str">
        <f>IF($AG877="","",P_ImportID)</f>
        <v/>
      </c>
      <c r="B877" s="92" t="str">
        <f>IF($AG877="","",IF(INDEX($AN$8:$AN$21,INDEX($AC$8:$AC$1407,$AG877)+1)="Z",P_BronZ,P_BronE))</f>
        <v/>
      </c>
      <c r="C877" s="108" t="str">
        <f>IF($AG877="","",P_Importdatum)</f>
        <v/>
      </c>
      <c r="D877" s="92" t="str">
        <f>IF($AG877="","",P_StatusVastleg)</f>
        <v/>
      </c>
      <c r="E877" s="92" t="str">
        <f>IF($AG877="","",P_UploadVJ)</f>
        <v/>
      </c>
      <c r="F877" s="92" t="str">
        <f>IF($AG877="","",P_UploadVersie)</f>
        <v/>
      </c>
      <c r="G877" s="92" t="str">
        <f>IF($AG877="","",IF(COUNTIFS(L_Sleutel,$S877,L_Status,"Vastgesteld")=0,0,_xlfn.MAXIFS(L_Revisie,L_Sleutel,$S877,L_Status,"Vastgesteld")+1))</f>
        <v/>
      </c>
      <c r="H877" s="108" t="str">
        <f>IF($AG877="","",P_Peildatum)</f>
        <v/>
      </c>
      <c r="I877" s="92" t="str">
        <f>IF($AG877="","",P_RJ+INDEX($AK$8:$AK$21,INDEX($AC$8:$AC$1407,$AG877)+1))</f>
        <v/>
      </c>
      <c r="J877" s="92" t="str">
        <f>IF($AG877="","",INDEX(V_WBS,INDEX($AB$8:$AB$1407,$AG877)))</f>
        <v/>
      </c>
      <c r="K877" s="92" t="str">
        <f>IF($AG877="","",INDEX(V_Projdef,INDEX($AB$8:$AB$1407,$AG877)))</f>
        <v/>
      </c>
      <c r="L877" s="92" t="str">
        <f>IF($AG877="","",INDEX(V_Naam,INDEX($AB$8:$AB$1407,$AG877)))</f>
        <v/>
      </c>
      <c r="M877" s="92" t="str">
        <f>IF($AG877="","",INDEX(V_Type,INDEX($AB$8:$AB$1407,$AG877)))</f>
        <v/>
      </c>
      <c r="N877" s="92" t="str">
        <f>IF($AG877="","",INDEX(V_IFRS,INDEX($AB$8:$AB$1407,$AG877)))</f>
        <v/>
      </c>
      <c r="O877" s="92" t="str">
        <f>IF($AG877="","",INDEX($AL$8:$AL$21,INDEX($AC$8:$AC$1407,$AG877)+1))</f>
        <v/>
      </c>
      <c r="P877" s="109" t="str">
        <f>IF($AG877="","",INDEX($AD$8:$AD$1407,$AG877))</f>
        <v/>
      </c>
      <c r="Q877" s="92" t="str">
        <f>IF($AG877="","",INDEX($AM$8:$AM$21,INDEX($AC$8:$AC$1407,$AG877)+1))</f>
        <v/>
      </c>
      <c r="R877" s="92" t="str">
        <f>IF($AG877="","",IF($G877&gt;0,P_ToelCorrectie&amp;"",""))</f>
        <v/>
      </c>
      <c r="S877" s="15" t="str">
        <f>IF(J877="","",J877&amp;"|"&amp;E877&amp;"|"&amp;F877&amp;"|"&amp;I877&amp;"|"&amp;O877)</f>
        <v/>
      </c>
      <c r="T877" s="111" t="str">
        <f>IF(S877="","",IF(COUNTIFS(L_Sleutel,S877,L_Actief,1)=0,"",SUMIFS(L_Waarde,L_Sleutel,S877,L_Actief,1)))</f>
        <v/>
      </c>
      <c r="U877" s="111">
        <f>IF(OR(S877="",T877=""),0,P877-T877)</f>
        <v>0</v>
      </c>
      <c r="AB877" s="112" t="n">
        <v>63</v>
      </c>
      <c r="AC877" s="112" t="n">
        <v>1</v>
      </c>
      <c r="AD877" s="112" t="str">
        <f>VERW_Project!Q68</f>
        <v/>
      </c>
      <c r="AE877" s="112">
        <f>IF(AND(VERW_Project!$A68&lt;&gt;"",ISNUMBER(AD877)),1,0)</f>
        <v>0</v>
      </c>
      <c r="AF877" s="112" t="str">
        <f>IF(AE877=1,SUM($AE$8:AE877),"")</f>
        <v/>
      </c>
      <c r="AG877" t="str">
        <f>IFERROR(MATCH(870,$AF$8:$AF$1407,0),"")</f>
        <v/>
      </c>
    </row>
    <row r="878">
      <c r="A878" s="92" t="str">
        <f>IF($AG878="","",P_ImportID)</f>
        <v/>
      </c>
      <c r="B878" s="92" t="str">
        <f>IF($AG878="","",IF(INDEX($AN$8:$AN$21,INDEX($AC$8:$AC$1407,$AG878)+1)="Z",P_BronZ,P_BronE))</f>
        <v/>
      </c>
      <c r="C878" s="108" t="str">
        <f>IF($AG878="","",P_Importdatum)</f>
        <v/>
      </c>
      <c r="D878" s="92" t="str">
        <f>IF($AG878="","",P_StatusVastleg)</f>
        <v/>
      </c>
      <c r="E878" s="92" t="str">
        <f>IF($AG878="","",P_UploadVJ)</f>
        <v/>
      </c>
      <c r="F878" s="92" t="str">
        <f>IF($AG878="","",P_UploadVersie)</f>
        <v/>
      </c>
      <c r="G878" s="92" t="str">
        <f>IF($AG878="","",IF(COUNTIFS(L_Sleutel,$S878,L_Status,"Vastgesteld")=0,0,_xlfn.MAXIFS(L_Revisie,L_Sleutel,$S878,L_Status,"Vastgesteld")+1))</f>
        <v/>
      </c>
      <c r="H878" s="108" t="str">
        <f>IF($AG878="","",P_Peildatum)</f>
        <v/>
      </c>
      <c r="I878" s="92" t="str">
        <f>IF($AG878="","",P_RJ+INDEX($AK$8:$AK$21,INDEX($AC$8:$AC$1407,$AG878)+1))</f>
        <v/>
      </c>
      <c r="J878" s="92" t="str">
        <f>IF($AG878="","",INDEX(V_WBS,INDEX($AB$8:$AB$1407,$AG878)))</f>
        <v/>
      </c>
      <c r="K878" s="92" t="str">
        <f>IF($AG878="","",INDEX(V_Projdef,INDEX($AB$8:$AB$1407,$AG878)))</f>
        <v/>
      </c>
      <c r="L878" s="92" t="str">
        <f>IF($AG878="","",INDEX(V_Naam,INDEX($AB$8:$AB$1407,$AG878)))</f>
        <v/>
      </c>
      <c r="M878" s="92" t="str">
        <f>IF($AG878="","",INDEX(V_Type,INDEX($AB$8:$AB$1407,$AG878)))</f>
        <v/>
      </c>
      <c r="N878" s="92" t="str">
        <f>IF($AG878="","",INDEX(V_IFRS,INDEX($AB$8:$AB$1407,$AG878)))</f>
        <v/>
      </c>
      <c r="O878" s="92" t="str">
        <f>IF($AG878="","",INDEX($AL$8:$AL$21,INDEX($AC$8:$AC$1407,$AG878)+1))</f>
        <v/>
      </c>
      <c r="P878" s="109" t="str">
        <f>IF($AG878="","",INDEX($AD$8:$AD$1407,$AG878))</f>
        <v/>
      </c>
      <c r="Q878" s="92" t="str">
        <f>IF($AG878="","",INDEX($AM$8:$AM$21,INDEX($AC$8:$AC$1407,$AG878)+1))</f>
        <v/>
      </c>
      <c r="R878" s="92" t="str">
        <f>IF($AG878="","",IF($G878&gt;0,P_ToelCorrectie&amp;"",""))</f>
        <v/>
      </c>
      <c r="S878" s="15" t="str">
        <f>IF(J878="","",J878&amp;"|"&amp;E878&amp;"|"&amp;F878&amp;"|"&amp;I878&amp;"|"&amp;O878)</f>
        <v/>
      </c>
      <c r="T878" s="111" t="str">
        <f>IF(S878="","",IF(COUNTIFS(L_Sleutel,S878,L_Actief,1)=0,"",SUMIFS(L_Waarde,L_Sleutel,S878,L_Actief,1)))</f>
        <v/>
      </c>
      <c r="U878" s="111">
        <f>IF(OR(S878="",T878=""),0,P878-T878)</f>
        <v>0</v>
      </c>
      <c r="AB878" s="112" t="n">
        <v>63</v>
      </c>
      <c r="AC878" s="112" t="n">
        <v>2</v>
      </c>
      <c r="AD878" s="112" t="str">
        <f>VERW_Project!L68</f>
        <v/>
      </c>
      <c r="AE878" s="112">
        <f>IF(AND(VERW_Project!$A68&lt;&gt;"",ISNUMBER(AD878)),1,0)</f>
        <v>0</v>
      </c>
      <c r="AF878" s="112" t="str">
        <f>IF(AE878=1,SUM($AE$8:AE878),"")</f>
        <v/>
      </c>
      <c r="AG878" t="str">
        <f>IFERROR(MATCH(871,$AF$8:$AF$1407,0),"")</f>
        <v/>
      </c>
    </row>
    <row r="879">
      <c r="A879" s="92" t="str">
        <f>IF($AG879="","",P_ImportID)</f>
        <v/>
      </c>
      <c r="B879" s="92" t="str">
        <f>IF($AG879="","",IF(INDEX($AN$8:$AN$21,INDEX($AC$8:$AC$1407,$AG879)+1)="Z",P_BronZ,P_BronE))</f>
        <v/>
      </c>
      <c r="C879" s="108" t="str">
        <f>IF($AG879="","",P_Importdatum)</f>
        <v/>
      </c>
      <c r="D879" s="92" t="str">
        <f>IF($AG879="","",P_StatusVastleg)</f>
        <v/>
      </c>
      <c r="E879" s="92" t="str">
        <f>IF($AG879="","",P_UploadVJ)</f>
        <v/>
      </c>
      <c r="F879" s="92" t="str">
        <f>IF($AG879="","",P_UploadVersie)</f>
        <v/>
      </c>
      <c r="G879" s="92" t="str">
        <f>IF($AG879="","",IF(COUNTIFS(L_Sleutel,$S879,L_Status,"Vastgesteld")=0,0,_xlfn.MAXIFS(L_Revisie,L_Sleutel,$S879,L_Status,"Vastgesteld")+1))</f>
        <v/>
      </c>
      <c r="H879" s="108" t="str">
        <f>IF($AG879="","",P_Peildatum)</f>
        <v/>
      </c>
      <c r="I879" s="92" t="str">
        <f>IF($AG879="","",P_RJ+INDEX($AK$8:$AK$21,INDEX($AC$8:$AC$1407,$AG879)+1))</f>
        <v/>
      </c>
      <c r="J879" s="92" t="str">
        <f>IF($AG879="","",INDEX(V_WBS,INDEX($AB$8:$AB$1407,$AG879)))</f>
        <v/>
      </c>
      <c r="K879" s="92" t="str">
        <f>IF($AG879="","",INDEX(V_Projdef,INDEX($AB$8:$AB$1407,$AG879)))</f>
        <v/>
      </c>
      <c r="L879" s="92" t="str">
        <f>IF($AG879="","",INDEX(V_Naam,INDEX($AB$8:$AB$1407,$AG879)))</f>
        <v/>
      </c>
      <c r="M879" s="92" t="str">
        <f>IF($AG879="","",INDEX(V_Type,INDEX($AB$8:$AB$1407,$AG879)))</f>
        <v/>
      </c>
      <c r="N879" s="92" t="str">
        <f>IF($AG879="","",INDEX(V_IFRS,INDEX($AB$8:$AB$1407,$AG879)))</f>
        <v/>
      </c>
      <c r="O879" s="92" t="str">
        <f>IF($AG879="","",INDEX($AL$8:$AL$21,INDEX($AC$8:$AC$1407,$AG879)+1))</f>
        <v/>
      </c>
      <c r="P879" s="109" t="str">
        <f>IF($AG879="","",INDEX($AD$8:$AD$1407,$AG879))</f>
        <v/>
      </c>
      <c r="Q879" s="92" t="str">
        <f>IF($AG879="","",INDEX($AM$8:$AM$21,INDEX($AC$8:$AC$1407,$AG879)+1))</f>
        <v/>
      </c>
      <c r="R879" s="92" t="str">
        <f>IF($AG879="","",IF($G879&gt;0,P_ToelCorrectie&amp;"",""))</f>
        <v/>
      </c>
      <c r="S879" s="15" t="str">
        <f>IF(J879="","",J879&amp;"|"&amp;E879&amp;"|"&amp;F879&amp;"|"&amp;I879&amp;"|"&amp;O879)</f>
        <v/>
      </c>
      <c r="T879" s="111" t="str">
        <f>IF(S879="","",IF(COUNTIFS(L_Sleutel,S879,L_Actief,1)=0,"",SUMIFS(L_Waarde,L_Sleutel,S879,L_Actief,1)))</f>
        <v/>
      </c>
      <c r="U879" s="111">
        <f>IF(OR(S879="",T879=""),0,P879-T879)</f>
        <v>0</v>
      </c>
      <c r="AB879" s="112" t="n">
        <v>63</v>
      </c>
      <c r="AC879" s="112" t="n">
        <v>3</v>
      </c>
      <c r="AD879" s="112" t="str">
        <f>VERW_Project!M68</f>
        <v/>
      </c>
      <c r="AE879" s="112">
        <f>IF(AND(VERW_Project!$A68&lt;&gt;"",ISNUMBER(AD879)),1,0)</f>
        <v>0</v>
      </c>
      <c r="AF879" s="112" t="str">
        <f>IF(AE879=1,SUM($AE$8:AE879),"")</f>
        <v/>
      </c>
      <c r="AG879" t="str">
        <f>IFERROR(MATCH(872,$AF$8:$AF$1407,0),"")</f>
        <v/>
      </c>
    </row>
    <row r="880">
      <c r="A880" s="92" t="str">
        <f>IF($AG880="","",P_ImportID)</f>
        <v/>
      </c>
      <c r="B880" s="92" t="str">
        <f>IF($AG880="","",IF(INDEX($AN$8:$AN$21,INDEX($AC$8:$AC$1407,$AG880)+1)="Z",P_BronZ,P_BronE))</f>
        <v/>
      </c>
      <c r="C880" s="108" t="str">
        <f>IF($AG880="","",P_Importdatum)</f>
        <v/>
      </c>
      <c r="D880" s="92" t="str">
        <f>IF($AG880="","",P_StatusVastleg)</f>
        <v/>
      </c>
      <c r="E880" s="92" t="str">
        <f>IF($AG880="","",P_UploadVJ)</f>
        <v/>
      </c>
      <c r="F880" s="92" t="str">
        <f>IF($AG880="","",P_UploadVersie)</f>
        <v/>
      </c>
      <c r="G880" s="92" t="str">
        <f>IF($AG880="","",IF(COUNTIFS(L_Sleutel,$S880,L_Status,"Vastgesteld")=0,0,_xlfn.MAXIFS(L_Revisie,L_Sleutel,$S880,L_Status,"Vastgesteld")+1))</f>
        <v/>
      </c>
      <c r="H880" s="108" t="str">
        <f>IF($AG880="","",P_Peildatum)</f>
        <v/>
      </c>
      <c r="I880" s="92" t="str">
        <f>IF($AG880="","",P_RJ+INDEX($AK$8:$AK$21,INDEX($AC$8:$AC$1407,$AG880)+1))</f>
        <v/>
      </c>
      <c r="J880" s="92" t="str">
        <f>IF($AG880="","",INDEX(V_WBS,INDEX($AB$8:$AB$1407,$AG880)))</f>
        <v/>
      </c>
      <c r="K880" s="92" t="str">
        <f>IF($AG880="","",INDEX(V_Projdef,INDEX($AB$8:$AB$1407,$AG880)))</f>
        <v/>
      </c>
      <c r="L880" s="92" t="str">
        <f>IF($AG880="","",INDEX(V_Naam,INDEX($AB$8:$AB$1407,$AG880)))</f>
        <v/>
      </c>
      <c r="M880" s="92" t="str">
        <f>IF($AG880="","",INDEX(V_Type,INDEX($AB$8:$AB$1407,$AG880)))</f>
        <v/>
      </c>
      <c r="N880" s="92" t="str">
        <f>IF($AG880="","",INDEX(V_IFRS,INDEX($AB$8:$AB$1407,$AG880)))</f>
        <v/>
      </c>
      <c r="O880" s="92" t="str">
        <f>IF($AG880="","",INDEX($AL$8:$AL$21,INDEX($AC$8:$AC$1407,$AG880)+1))</f>
        <v/>
      </c>
      <c r="P880" s="109" t="str">
        <f>IF($AG880="","",INDEX($AD$8:$AD$1407,$AG880))</f>
        <v/>
      </c>
      <c r="Q880" s="92" t="str">
        <f>IF($AG880="","",INDEX($AM$8:$AM$21,INDEX($AC$8:$AC$1407,$AG880)+1))</f>
        <v/>
      </c>
      <c r="R880" s="92" t="str">
        <f>IF($AG880="","",IF($G880&gt;0,P_ToelCorrectie&amp;"",""))</f>
        <v/>
      </c>
      <c r="S880" s="15" t="str">
        <f>IF(J880="","",J880&amp;"|"&amp;E880&amp;"|"&amp;F880&amp;"|"&amp;I880&amp;"|"&amp;O880)</f>
        <v/>
      </c>
      <c r="T880" s="111" t="str">
        <f>IF(S880="","",IF(COUNTIFS(L_Sleutel,S880,L_Actief,1)=0,"",SUMIFS(L_Waarde,L_Sleutel,S880,L_Actief,1)))</f>
        <v/>
      </c>
      <c r="U880" s="111">
        <f>IF(OR(S880="",T880=""),0,P880-T880)</f>
        <v>0</v>
      </c>
      <c r="AB880" s="112" t="n">
        <v>63</v>
      </c>
      <c r="AC880" s="112" t="n">
        <v>4</v>
      </c>
      <c r="AD880" s="112" t="str">
        <f>VERW_Project!R68</f>
        <v/>
      </c>
      <c r="AE880" s="112">
        <f>IF(AND(VERW_Project!$A68&lt;&gt;"",ISNUMBER(AD880)),1,0)</f>
        <v>0</v>
      </c>
      <c r="AF880" s="112" t="str">
        <f>IF(AE880=1,SUM($AE$8:AE880),"")</f>
        <v/>
      </c>
      <c r="AG880" t="str">
        <f>IFERROR(MATCH(873,$AF$8:$AF$1407,0),"")</f>
        <v/>
      </c>
    </row>
    <row r="881">
      <c r="A881" s="92" t="str">
        <f>IF($AG881="","",P_ImportID)</f>
        <v/>
      </c>
      <c r="B881" s="92" t="str">
        <f>IF($AG881="","",IF(INDEX($AN$8:$AN$21,INDEX($AC$8:$AC$1407,$AG881)+1)="Z",P_BronZ,P_BronE))</f>
        <v/>
      </c>
      <c r="C881" s="108" t="str">
        <f>IF($AG881="","",P_Importdatum)</f>
        <v/>
      </c>
      <c r="D881" s="92" t="str">
        <f>IF($AG881="","",P_StatusVastleg)</f>
        <v/>
      </c>
      <c r="E881" s="92" t="str">
        <f>IF($AG881="","",P_UploadVJ)</f>
        <v/>
      </c>
      <c r="F881" s="92" t="str">
        <f>IF($AG881="","",P_UploadVersie)</f>
        <v/>
      </c>
      <c r="G881" s="92" t="str">
        <f>IF($AG881="","",IF(COUNTIFS(L_Sleutel,$S881,L_Status,"Vastgesteld")=0,0,_xlfn.MAXIFS(L_Revisie,L_Sleutel,$S881,L_Status,"Vastgesteld")+1))</f>
        <v/>
      </c>
      <c r="H881" s="108" t="str">
        <f>IF($AG881="","",P_Peildatum)</f>
        <v/>
      </c>
      <c r="I881" s="92" t="str">
        <f>IF($AG881="","",P_RJ+INDEX($AK$8:$AK$21,INDEX($AC$8:$AC$1407,$AG881)+1))</f>
        <v/>
      </c>
      <c r="J881" s="92" t="str">
        <f>IF($AG881="","",INDEX(V_WBS,INDEX($AB$8:$AB$1407,$AG881)))</f>
        <v/>
      </c>
      <c r="K881" s="92" t="str">
        <f>IF($AG881="","",INDEX(V_Projdef,INDEX($AB$8:$AB$1407,$AG881)))</f>
        <v/>
      </c>
      <c r="L881" s="92" t="str">
        <f>IF($AG881="","",INDEX(V_Naam,INDEX($AB$8:$AB$1407,$AG881)))</f>
        <v/>
      </c>
      <c r="M881" s="92" t="str">
        <f>IF($AG881="","",INDEX(V_Type,INDEX($AB$8:$AB$1407,$AG881)))</f>
        <v/>
      </c>
      <c r="N881" s="92" t="str">
        <f>IF($AG881="","",INDEX(V_IFRS,INDEX($AB$8:$AB$1407,$AG881)))</f>
        <v/>
      </c>
      <c r="O881" s="92" t="str">
        <f>IF($AG881="","",INDEX($AL$8:$AL$21,INDEX($AC$8:$AC$1407,$AG881)+1))</f>
        <v/>
      </c>
      <c r="P881" s="109" t="str">
        <f>IF($AG881="","",INDEX($AD$8:$AD$1407,$AG881))</f>
        <v/>
      </c>
      <c r="Q881" s="92" t="str">
        <f>IF($AG881="","",INDEX($AM$8:$AM$21,INDEX($AC$8:$AC$1407,$AG881)+1))</f>
        <v/>
      </c>
      <c r="R881" s="92" t="str">
        <f>IF($AG881="","",IF($G881&gt;0,P_ToelCorrectie&amp;"",""))</f>
        <v/>
      </c>
      <c r="S881" s="15" t="str">
        <f>IF(J881="","",J881&amp;"|"&amp;E881&amp;"|"&amp;F881&amp;"|"&amp;I881&amp;"|"&amp;O881)</f>
        <v/>
      </c>
      <c r="T881" s="111" t="str">
        <f>IF(S881="","",IF(COUNTIFS(L_Sleutel,S881,L_Actief,1)=0,"",SUMIFS(L_Waarde,L_Sleutel,S881,L_Actief,1)))</f>
        <v/>
      </c>
      <c r="U881" s="111">
        <f>IF(OR(S881="",T881=""),0,P881-T881)</f>
        <v>0</v>
      </c>
      <c r="AB881" s="112" t="n">
        <v>63</v>
      </c>
      <c r="AC881" s="112" t="n">
        <v>5</v>
      </c>
      <c r="AD881" s="112" t="str">
        <f>VERW_Project!S68</f>
        <v/>
      </c>
      <c r="AE881" s="112">
        <f>IF(AND(VERW_Project!$A68&lt;&gt;"",ISNUMBER(AD881)),1,0)</f>
        <v>0</v>
      </c>
      <c r="AF881" s="112" t="str">
        <f>IF(AE881=1,SUM($AE$8:AE881),"")</f>
        <v/>
      </c>
      <c r="AG881" t="str">
        <f>IFERROR(MATCH(874,$AF$8:$AF$1407,0),"")</f>
        <v/>
      </c>
    </row>
    <row r="882">
      <c r="A882" s="92" t="str">
        <f>IF($AG882="","",P_ImportID)</f>
        <v/>
      </c>
      <c r="B882" s="92" t="str">
        <f>IF($AG882="","",IF(INDEX($AN$8:$AN$21,INDEX($AC$8:$AC$1407,$AG882)+1)="Z",P_BronZ,P_BronE))</f>
        <v/>
      </c>
      <c r="C882" s="108" t="str">
        <f>IF($AG882="","",P_Importdatum)</f>
        <v/>
      </c>
      <c r="D882" s="92" t="str">
        <f>IF($AG882="","",P_StatusVastleg)</f>
        <v/>
      </c>
      <c r="E882" s="92" t="str">
        <f>IF($AG882="","",P_UploadVJ)</f>
        <v/>
      </c>
      <c r="F882" s="92" t="str">
        <f>IF($AG882="","",P_UploadVersie)</f>
        <v/>
      </c>
      <c r="G882" s="92" t="str">
        <f>IF($AG882="","",IF(COUNTIFS(L_Sleutel,$S882,L_Status,"Vastgesteld")=0,0,_xlfn.MAXIFS(L_Revisie,L_Sleutel,$S882,L_Status,"Vastgesteld")+1))</f>
        <v/>
      </c>
      <c r="H882" s="108" t="str">
        <f>IF($AG882="","",P_Peildatum)</f>
        <v/>
      </c>
      <c r="I882" s="92" t="str">
        <f>IF($AG882="","",P_RJ+INDEX($AK$8:$AK$21,INDEX($AC$8:$AC$1407,$AG882)+1))</f>
        <v/>
      </c>
      <c r="J882" s="92" t="str">
        <f>IF($AG882="","",INDEX(V_WBS,INDEX($AB$8:$AB$1407,$AG882)))</f>
        <v/>
      </c>
      <c r="K882" s="92" t="str">
        <f>IF($AG882="","",INDEX(V_Projdef,INDEX($AB$8:$AB$1407,$AG882)))</f>
        <v/>
      </c>
      <c r="L882" s="92" t="str">
        <f>IF($AG882="","",INDEX(V_Naam,INDEX($AB$8:$AB$1407,$AG882)))</f>
        <v/>
      </c>
      <c r="M882" s="92" t="str">
        <f>IF($AG882="","",INDEX(V_Type,INDEX($AB$8:$AB$1407,$AG882)))</f>
        <v/>
      </c>
      <c r="N882" s="92" t="str">
        <f>IF($AG882="","",INDEX(V_IFRS,INDEX($AB$8:$AB$1407,$AG882)))</f>
        <v/>
      </c>
      <c r="O882" s="92" t="str">
        <f>IF($AG882="","",INDEX($AL$8:$AL$21,INDEX($AC$8:$AC$1407,$AG882)+1))</f>
        <v/>
      </c>
      <c r="P882" s="109" t="str">
        <f>IF($AG882="","",INDEX($AD$8:$AD$1407,$AG882))</f>
        <v/>
      </c>
      <c r="Q882" s="92" t="str">
        <f>IF($AG882="","",INDEX($AM$8:$AM$21,INDEX($AC$8:$AC$1407,$AG882)+1))</f>
        <v/>
      </c>
      <c r="R882" s="92" t="str">
        <f>IF($AG882="","",IF($G882&gt;0,P_ToelCorrectie&amp;"",""))</f>
        <v/>
      </c>
      <c r="S882" s="15" t="str">
        <f>IF(J882="","",J882&amp;"|"&amp;E882&amp;"|"&amp;F882&amp;"|"&amp;I882&amp;"|"&amp;O882)</f>
        <v/>
      </c>
      <c r="T882" s="111" t="str">
        <f>IF(S882="","",IF(COUNTIFS(L_Sleutel,S882,L_Actief,1)=0,"",SUMIFS(L_Waarde,L_Sleutel,S882,L_Actief,1)))</f>
        <v/>
      </c>
      <c r="U882" s="111">
        <f>IF(OR(S882="",T882=""),0,P882-T882)</f>
        <v>0</v>
      </c>
      <c r="AB882" s="112" t="n">
        <v>63</v>
      </c>
      <c r="AC882" s="112" t="n">
        <v>6</v>
      </c>
      <c r="AD882" s="112" t="str">
        <f>VERW_Project!BW68</f>
        <v/>
      </c>
      <c r="AE882" s="112">
        <f>IF(AND(VERW_Project!$A68&lt;&gt;"",ISNUMBER(AD882)),1,0)</f>
        <v>0</v>
      </c>
      <c r="AF882" s="112" t="str">
        <f>IF(AE882=1,SUM($AE$8:AE882),"")</f>
        <v/>
      </c>
      <c r="AG882" t="str">
        <f>IFERROR(MATCH(875,$AF$8:$AF$1407,0),"")</f>
        <v/>
      </c>
    </row>
    <row r="883">
      <c r="A883" s="92" t="str">
        <f>IF($AG883="","",P_ImportID)</f>
        <v/>
      </c>
      <c r="B883" s="92" t="str">
        <f>IF($AG883="","",IF(INDEX($AN$8:$AN$21,INDEX($AC$8:$AC$1407,$AG883)+1)="Z",P_BronZ,P_BronE))</f>
        <v/>
      </c>
      <c r="C883" s="108" t="str">
        <f>IF($AG883="","",P_Importdatum)</f>
        <v/>
      </c>
      <c r="D883" s="92" t="str">
        <f>IF($AG883="","",P_StatusVastleg)</f>
        <v/>
      </c>
      <c r="E883" s="92" t="str">
        <f>IF($AG883="","",P_UploadVJ)</f>
        <v/>
      </c>
      <c r="F883" s="92" t="str">
        <f>IF($AG883="","",P_UploadVersie)</f>
        <v/>
      </c>
      <c r="G883" s="92" t="str">
        <f>IF($AG883="","",IF(COUNTIFS(L_Sleutel,$S883,L_Status,"Vastgesteld")=0,0,_xlfn.MAXIFS(L_Revisie,L_Sleutel,$S883,L_Status,"Vastgesteld")+1))</f>
        <v/>
      </c>
      <c r="H883" s="108" t="str">
        <f>IF($AG883="","",P_Peildatum)</f>
        <v/>
      </c>
      <c r="I883" s="92" t="str">
        <f>IF($AG883="","",P_RJ+INDEX($AK$8:$AK$21,INDEX($AC$8:$AC$1407,$AG883)+1))</f>
        <v/>
      </c>
      <c r="J883" s="92" t="str">
        <f>IF($AG883="","",INDEX(V_WBS,INDEX($AB$8:$AB$1407,$AG883)))</f>
        <v/>
      </c>
      <c r="K883" s="92" t="str">
        <f>IF($AG883="","",INDEX(V_Projdef,INDEX($AB$8:$AB$1407,$AG883)))</f>
        <v/>
      </c>
      <c r="L883" s="92" t="str">
        <f>IF($AG883="","",INDEX(V_Naam,INDEX($AB$8:$AB$1407,$AG883)))</f>
        <v/>
      </c>
      <c r="M883" s="92" t="str">
        <f>IF($AG883="","",INDEX(V_Type,INDEX($AB$8:$AB$1407,$AG883)))</f>
        <v/>
      </c>
      <c r="N883" s="92" t="str">
        <f>IF($AG883="","",INDEX(V_IFRS,INDEX($AB$8:$AB$1407,$AG883)))</f>
        <v/>
      </c>
      <c r="O883" s="92" t="str">
        <f>IF($AG883="","",INDEX($AL$8:$AL$21,INDEX($AC$8:$AC$1407,$AG883)+1))</f>
        <v/>
      </c>
      <c r="P883" s="109" t="str">
        <f>IF($AG883="","",INDEX($AD$8:$AD$1407,$AG883))</f>
        <v/>
      </c>
      <c r="Q883" s="92" t="str">
        <f>IF($AG883="","",INDEX($AM$8:$AM$21,INDEX($AC$8:$AC$1407,$AG883)+1))</f>
        <v/>
      </c>
      <c r="R883" s="92" t="str">
        <f>IF($AG883="","",IF($G883&gt;0,P_ToelCorrectie&amp;"",""))</f>
        <v/>
      </c>
      <c r="S883" s="15" t="str">
        <f>IF(J883="","",J883&amp;"|"&amp;E883&amp;"|"&amp;F883&amp;"|"&amp;I883&amp;"|"&amp;O883)</f>
        <v/>
      </c>
      <c r="T883" s="111" t="str">
        <f>IF(S883="","",IF(COUNTIFS(L_Sleutel,S883,L_Actief,1)=0,"",SUMIFS(L_Waarde,L_Sleutel,S883,L_Actief,1)))</f>
        <v/>
      </c>
      <c r="U883" s="111">
        <f>IF(OR(S883="",T883=""),0,P883-T883)</f>
        <v>0</v>
      </c>
      <c r="AB883" s="112" t="n">
        <v>63</v>
      </c>
      <c r="AC883" s="112" t="n">
        <v>7</v>
      </c>
      <c r="AD883" s="112" t="str">
        <f>VERW_Project!AW68</f>
        <v/>
      </c>
      <c r="AE883" s="112">
        <f>IF(AND(VERW_Project!$A68&lt;&gt;"",ISNUMBER(AD883)),1,0)</f>
        <v>0</v>
      </c>
      <c r="AF883" s="112" t="str">
        <f>IF(AE883=1,SUM($AE$8:AE883),"")</f>
        <v/>
      </c>
      <c r="AG883" t="str">
        <f>IFERROR(MATCH(876,$AF$8:$AF$1407,0),"")</f>
        <v/>
      </c>
    </row>
    <row r="884">
      <c r="A884" s="92" t="str">
        <f>IF($AG884="","",P_ImportID)</f>
        <v/>
      </c>
      <c r="B884" s="92" t="str">
        <f>IF($AG884="","",IF(INDEX($AN$8:$AN$21,INDEX($AC$8:$AC$1407,$AG884)+1)="Z",P_BronZ,P_BronE))</f>
        <v/>
      </c>
      <c r="C884" s="108" t="str">
        <f>IF($AG884="","",P_Importdatum)</f>
        <v/>
      </c>
      <c r="D884" s="92" t="str">
        <f>IF($AG884="","",P_StatusVastleg)</f>
        <v/>
      </c>
      <c r="E884" s="92" t="str">
        <f>IF($AG884="","",P_UploadVJ)</f>
        <v/>
      </c>
      <c r="F884" s="92" t="str">
        <f>IF($AG884="","",P_UploadVersie)</f>
        <v/>
      </c>
      <c r="G884" s="92" t="str">
        <f>IF($AG884="","",IF(COUNTIFS(L_Sleutel,$S884,L_Status,"Vastgesteld")=0,0,_xlfn.MAXIFS(L_Revisie,L_Sleutel,$S884,L_Status,"Vastgesteld")+1))</f>
        <v/>
      </c>
      <c r="H884" s="108" t="str">
        <f>IF($AG884="","",P_Peildatum)</f>
        <v/>
      </c>
      <c r="I884" s="92" t="str">
        <f>IF($AG884="","",P_RJ+INDEX($AK$8:$AK$21,INDEX($AC$8:$AC$1407,$AG884)+1))</f>
        <v/>
      </c>
      <c r="J884" s="92" t="str">
        <f>IF($AG884="","",INDEX(V_WBS,INDEX($AB$8:$AB$1407,$AG884)))</f>
        <v/>
      </c>
      <c r="K884" s="92" t="str">
        <f>IF($AG884="","",INDEX(V_Projdef,INDEX($AB$8:$AB$1407,$AG884)))</f>
        <v/>
      </c>
      <c r="L884" s="92" t="str">
        <f>IF($AG884="","",INDEX(V_Naam,INDEX($AB$8:$AB$1407,$AG884)))</f>
        <v/>
      </c>
      <c r="M884" s="92" t="str">
        <f>IF($AG884="","",INDEX(V_Type,INDEX($AB$8:$AB$1407,$AG884)))</f>
        <v/>
      </c>
      <c r="N884" s="92" t="str">
        <f>IF($AG884="","",INDEX(V_IFRS,INDEX($AB$8:$AB$1407,$AG884)))</f>
        <v/>
      </c>
      <c r="O884" s="92" t="str">
        <f>IF($AG884="","",INDEX($AL$8:$AL$21,INDEX($AC$8:$AC$1407,$AG884)+1))</f>
        <v/>
      </c>
      <c r="P884" s="109" t="str">
        <f>IF($AG884="","",INDEX($AD$8:$AD$1407,$AG884))</f>
        <v/>
      </c>
      <c r="Q884" s="92" t="str">
        <f>IF($AG884="","",INDEX($AM$8:$AM$21,INDEX($AC$8:$AC$1407,$AG884)+1))</f>
        <v/>
      </c>
      <c r="R884" s="92" t="str">
        <f>IF($AG884="","",IF($G884&gt;0,P_ToelCorrectie&amp;"",""))</f>
        <v/>
      </c>
      <c r="S884" s="15" t="str">
        <f>IF(J884="","",J884&amp;"|"&amp;E884&amp;"|"&amp;F884&amp;"|"&amp;I884&amp;"|"&amp;O884)</f>
        <v/>
      </c>
      <c r="T884" s="111" t="str">
        <f>IF(S884="","",IF(COUNTIFS(L_Sleutel,S884,L_Actief,1)=0,"",SUMIFS(L_Waarde,L_Sleutel,S884,L_Actief,1)))</f>
        <v/>
      </c>
      <c r="U884" s="111">
        <f>IF(OR(S884="",T884=""),0,P884-T884)</f>
        <v>0</v>
      </c>
      <c r="AB884" s="112" t="n">
        <v>63</v>
      </c>
      <c r="AC884" s="112" t="n">
        <v>8</v>
      </c>
      <c r="AD884" s="112" t="str">
        <f>VERW_Project!BQ68</f>
        <v/>
      </c>
      <c r="AE884" s="112">
        <f>IF(AND(VERW_Project!$A68&lt;&gt;"",ISNUMBER(AD884)),1,0)</f>
        <v>0</v>
      </c>
      <c r="AF884" s="112" t="str">
        <f>IF(AE884=1,SUM($AE$8:AE884),"")</f>
        <v/>
      </c>
      <c r="AG884" t="str">
        <f>IFERROR(MATCH(877,$AF$8:$AF$1407,0),"")</f>
        <v/>
      </c>
    </row>
    <row r="885">
      <c r="A885" s="92" t="str">
        <f>IF($AG885="","",P_ImportID)</f>
        <v/>
      </c>
      <c r="B885" s="92" t="str">
        <f>IF($AG885="","",IF(INDEX($AN$8:$AN$21,INDEX($AC$8:$AC$1407,$AG885)+1)="Z",P_BronZ,P_BronE))</f>
        <v/>
      </c>
      <c r="C885" s="108" t="str">
        <f>IF($AG885="","",P_Importdatum)</f>
        <v/>
      </c>
      <c r="D885" s="92" t="str">
        <f>IF($AG885="","",P_StatusVastleg)</f>
        <v/>
      </c>
      <c r="E885" s="92" t="str">
        <f>IF($AG885="","",P_UploadVJ)</f>
        <v/>
      </c>
      <c r="F885" s="92" t="str">
        <f>IF($AG885="","",P_UploadVersie)</f>
        <v/>
      </c>
      <c r="G885" s="92" t="str">
        <f>IF($AG885="","",IF(COUNTIFS(L_Sleutel,$S885,L_Status,"Vastgesteld")=0,0,_xlfn.MAXIFS(L_Revisie,L_Sleutel,$S885,L_Status,"Vastgesteld")+1))</f>
        <v/>
      </c>
      <c r="H885" s="108" t="str">
        <f>IF($AG885="","",P_Peildatum)</f>
        <v/>
      </c>
      <c r="I885" s="92" t="str">
        <f>IF($AG885="","",P_RJ+INDEX($AK$8:$AK$21,INDEX($AC$8:$AC$1407,$AG885)+1))</f>
        <v/>
      </c>
      <c r="J885" s="92" t="str">
        <f>IF($AG885="","",INDEX(V_WBS,INDEX($AB$8:$AB$1407,$AG885)))</f>
        <v/>
      </c>
      <c r="K885" s="92" t="str">
        <f>IF($AG885="","",INDEX(V_Projdef,INDEX($AB$8:$AB$1407,$AG885)))</f>
        <v/>
      </c>
      <c r="L885" s="92" t="str">
        <f>IF($AG885="","",INDEX(V_Naam,INDEX($AB$8:$AB$1407,$AG885)))</f>
        <v/>
      </c>
      <c r="M885" s="92" t="str">
        <f>IF($AG885="","",INDEX(V_Type,INDEX($AB$8:$AB$1407,$AG885)))</f>
        <v/>
      </c>
      <c r="N885" s="92" t="str">
        <f>IF($AG885="","",INDEX(V_IFRS,INDEX($AB$8:$AB$1407,$AG885)))</f>
        <v/>
      </c>
      <c r="O885" s="92" t="str">
        <f>IF($AG885="","",INDEX($AL$8:$AL$21,INDEX($AC$8:$AC$1407,$AG885)+1))</f>
        <v/>
      </c>
      <c r="P885" s="109" t="str">
        <f>IF($AG885="","",INDEX($AD$8:$AD$1407,$AG885))</f>
        <v/>
      </c>
      <c r="Q885" s="92" t="str">
        <f>IF($AG885="","",INDEX($AM$8:$AM$21,INDEX($AC$8:$AC$1407,$AG885)+1))</f>
        <v/>
      </c>
      <c r="R885" s="92" t="str">
        <f>IF($AG885="","",IF($G885&gt;0,P_ToelCorrectie&amp;"",""))</f>
        <v/>
      </c>
      <c r="S885" s="15" t="str">
        <f>IF(J885="","",J885&amp;"|"&amp;E885&amp;"|"&amp;F885&amp;"|"&amp;I885&amp;"|"&amp;O885)</f>
        <v/>
      </c>
      <c r="T885" s="111" t="str">
        <f>IF(S885="","",IF(COUNTIFS(L_Sleutel,S885,L_Actief,1)=0,"",SUMIFS(L_Waarde,L_Sleutel,S885,L_Actief,1)))</f>
        <v/>
      </c>
      <c r="U885" s="111">
        <f>IF(OR(S885="",T885=""),0,P885-T885)</f>
        <v>0</v>
      </c>
      <c r="AB885" s="112" t="n">
        <v>63</v>
      </c>
      <c r="AC885" s="112" t="n">
        <v>9</v>
      </c>
      <c r="AD885" s="112" t="str">
        <f>VERW_Project!BR68</f>
        <v/>
      </c>
      <c r="AE885" s="112">
        <f>IF(AND(VERW_Project!$A68&lt;&gt;"",ISNUMBER(AD885)),1,0)</f>
        <v>0</v>
      </c>
      <c r="AF885" s="112" t="str">
        <f>IF(AE885=1,SUM($AE$8:AE885),"")</f>
        <v/>
      </c>
      <c r="AG885" t="str">
        <f>IFERROR(MATCH(878,$AF$8:$AF$1407,0),"")</f>
        <v/>
      </c>
    </row>
    <row r="886">
      <c r="A886" s="92" t="str">
        <f>IF($AG886="","",P_ImportID)</f>
        <v/>
      </c>
      <c r="B886" s="92" t="str">
        <f>IF($AG886="","",IF(INDEX($AN$8:$AN$21,INDEX($AC$8:$AC$1407,$AG886)+1)="Z",P_BronZ,P_BronE))</f>
        <v/>
      </c>
      <c r="C886" s="108" t="str">
        <f>IF($AG886="","",P_Importdatum)</f>
        <v/>
      </c>
      <c r="D886" s="92" t="str">
        <f>IF($AG886="","",P_StatusVastleg)</f>
        <v/>
      </c>
      <c r="E886" s="92" t="str">
        <f>IF($AG886="","",P_UploadVJ)</f>
        <v/>
      </c>
      <c r="F886" s="92" t="str">
        <f>IF($AG886="","",P_UploadVersie)</f>
        <v/>
      </c>
      <c r="G886" s="92" t="str">
        <f>IF($AG886="","",IF(COUNTIFS(L_Sleutel,$S886,L_Status,"Vastgesteld")=0,0,_xlfn.MAXIFS(L_Revisie,L_Sleutel,$S886,L_Status,"Vastgesteld")+1))</f>
        <v/>
      </c>
      <c r="H886" s="108" t="str">
        <f>IF($AG886="","",P_Peildatum)</f>
        <v/>
      </c>
      <c r="I886" s="92" t="str">
        <f>IF($AG886="","",P_RJ+INDEX($AK$8:$AK$21,INDEX($AC$8:$AC$1407,$AG886)+1))</f>
        <v/>
      </c>
      <c r="J886" s="92" t="str">
        <f>IF($AG886="","",INDEX(V_WBS,INDEX($AB$8:$AB$1407,$AG886)))</f>
        <v/>
      </c>
      <c r="K886" s="92" t="str">
        <f>IF($AG886="","",INDEX(V_Projdef,INDEX($AB$8:$AB$1407,$AG886)))</f>
        <v/>
      </c>
      <c r="L886" s="92" t="str">
        <f>IF($AG886="","",INDEX(V_Naam,INDEX($AB$8:$AB$1407,$AG886)))</f>
        <v/>
      </c>
      <c r="M886" s="92" t="str">
        <f>IF($AG886="","",INDEX(V_Type,INDEX($AB$8:$AB$1407,$AG886)))</f>
        <v/>
      </c>
      <c r="N886" s="92" t="str">
        <f>IF($AG886="","",INDEX(V_IFRS,INDEX($AB$8:$AB$1407,$AG886)))</f>
        <v/>
      </c>
      <c r="O886" s="92" t="str">
        <f>IF($AG886="","",INDEX($AL$8:$AL$21,INDEX($AC$8:$AC$1407,$AG886)+1))</f>
        <v/>
      </c>
      <c r="P886" s="109" t="str">
        <f>IF($AG886="","",INDEX($AD$8:$AD$1407,$AG886))</f>
        <v/>
      </c>
      <c r="Q886" s="92" t="str">
        <f>IF($AG886="","",INDEX($AM$8:$AM$21,INDEX($AC$8:$AC$1407,$AG886)+1))</f>
        <v/>
      </c>
      <c r="R886" s="92" t="str">
        <f>IF($AG886="","",IF($G886&gt;0,P_ToelCorrectie&amp;"",""))</f>
        <v/>
      </c>
      <c r="S886" s="15" t="str">
        <f>IF(J886="","",J886&amp;"|"&amp;E886&amp;"|"&amp;F886&amp;"|"&amp;I886&amp;"|"&amp;O886)</f>
        <v/>
      </c>
      <c r="T886" s="111" t="str">
        <f>IF(S886="","",IF(COUNTIFS(L_Sleutel,S886,L_Actief,1)=0,"",SUMIFS(L_Waarde,L_Sleutel,S886,L_Actief,1)))</f>
        <v/>
      </c>
      <c r="U886" s="111">
        <f>IF(OR(S886="",T886=""),0,P886-T886)</f>
        <v>0</v>
      </c>
      <c r="AB886" s="112" t="n">
        <v>63</v>
      </c>
      <c r="AC886" s="112" t="n">
        <v>10</v>
      </c>
      <c r="AD886" s="112" t="str">
        <f>VERW_Project!BS68</f>
        <v/>
      </c>
      <c r="AE886" s="112">
        <f>IF(AND(VERW_Project!$A68&lt;&gt;"",ISNUMBER(AD886)),1,0)</f>
        <v>0</v>
      </c>
      <c r="AF886" s="112" t="str">
        <f>IF(AE886=1,SUM($AE$8:AE886),"")</f>
        <v/>
      </c>
      <c r="AG886" t="str">
        <f>IFERROR(MATCH(879,$AF$8:$AF$1407,0),"")</f>
        <v/>
      </c>
    </row>
    <row r="887">
      <c r="A887" s="92" t="str">
        <f>IF($AG887="","",P_ImportID)</f>
        <v/>
      </c>
      <c r="B887" s="92" t="str">
        <f>IF($AG887="","",IF(INDEX($AN$8:$AN$21,INDEX($AC$8:$AC$1407,$AG887)+1)="Z",P_BronZ,P_BronE))</f>
        <v/>
      </c>
      <c r="C887" s="108" t="str">
        <f>IF($AG887="","",P_Importdatum)</f>
        <v/>
      </c>
      <c r="D887" s="92" t="str">
        <f>IF($AG887="","",P_StatusVastleg)</f>
        <v/>
      </c>
      <c r="E887" s="92" t="str">
        <f>IF($AG887="","",P_UploadVJ)</f>
        <v/>
      </c>
      <c r="F887" s="92" t="str">
        <f>IF($AG887="","",P_UploadVersie)</f>
        <v/>
      </c>
      <c r="G887" s="92" t="str">
        <f>IF($AG887="","",IF(COUNTIFS(L_Sleutel,$S887,L_Status,"Vastgesteld")=0,0,_xlfn.MAXIFS(L_Revisie,L_Sleutel,$S887,L_Status,"Vastgesteld")+1))</f>
        <v/>
      </c>
      <c r="H887" s="108" t="str">
        <f>IF($AG887="","",P_Peildatum)</f>
        <v/>
      </c>
      <c r="I887" s="92" t="str">
        <f>IF($AG887="","",P_RJ+INDEX($AK$8:$AK$21,INDEX($AC$8:$AC$1407,$AG887)+1))</f>
        <v/>
      </c>
      <c r="J887" s="92" t="str">
        <f>IF($AG887="","",INDEX(V_WBS,INDEX($AB$8:$AB$1407,$AG887)))</f>
        <v/>
      </c>
      <c r="K887" s="92" t="str">
        <f>IF($AG887="","",INDEX(V_Projdef,INDEX($AB$8:$AB$1407,$AG887)))</f>
        <v/>
      </c>
      <c r="L887" s="92" t="str">
        <f>IF($AG887="","",INDEX(V_Naam,INDEX($AB$8:$AB$1407,$AG887)))</f>
        <v/>
      </c>
      <c r="M887" s="92" t="str">
        <f>IF($AG887="","",INDEX(V_Type,INDEX($AB$8:$AB$1407,$AG887)))</f>
        <v/>
      </c>
      <c r="N887" s="92" t="str">
        <f>IF($AG887="","",INDEX(V_IFRS,INDEX($AB$8:$AB$1407,$AG887)))</f>
        <v/>
      </c>
      <c r="O887" s="92" t="str">
        <f>IF($AG887="","",INDEX($AL$8:$AL$21,INDEX($AC$8:$AC$1407,$AG887)+1))</f>
        <v/>
      </c>
      <c r="P887" s="109" t="str">
        <f>IF($AG887="","",INDEX($AD$8:$AD$1407,$AG887))</f>
        <v/>
      </c>
      <c r="Q887" s="92" t="str">
        <f>IF($AG887="","",INDEX($AM$8:$AM$21,INDEX($AC$8:$AC$1407,$AG887)+1))</f>
        <v/>
      </c>
      <c r="R887" s="92" t="str">
        <f>IF($AG887="","",IF($G887&gt;0,P_ToelCorrectie&amp;"",""))</f>
        <v/>
      </c>
      <c r="S887" s="15" t="str">
        <f>IF(J887="","",J887&amp;"|"&amp;E887&amp;"|"&amp;F887&amp;"|"&amp;I887&amp;"|"&amp;O887)</f>
        <v/>
      </c>
      <c r="T887" s="111" t="str">
        <f>IF(S887="","",IF(COUNTIFS(L_Sleutel,S887,L_Actief,1)=0,"",SUMIFS(L_Waarde,L_Sleutel,S887,L_Actief,1)))</f>
        <v/>
      </c>
      <c r="U887" s="111">
        <f>IF(OR(S887="",T887=""),0,P887-T887)</f>
        <v>0</v>
      </c>
      <c r="AB887" s="112" t="n">
        <v>63</v>
      </c>
      <c r="AC887" s="112" t="n">
        <v>11</v>
      </c>
      <c r="AD887" s="112" t="str">
        <f>VERW_Project!BT68</f>
        <v/>
      </c>
      <c r="AE887" s="112">
        <f>IF(AND(VERW_Project!$A68&lt;&gt;"",ISNUMBER(AD887)),1,0)</f>
        <v>0</v>
      </c>
      <c r="AF887" s="112" t="str">
        <f>IF(AE887=1,SUM($AE$8:AE887),"")</f>
        <v/>
      </c>
      <c r="AG887" t="str">
        <f>IFERROR(MATCH(880,$AF$8:$AF$1407,0),"")</f>
        <v/>
      </c>
    </row>
    <row r="888">
      <c r="A888" s="92" t="str">
        <f>IF($AG888="","",P_ImportID)</f>
        <v/>
      </c>
      <c r="B888" s="92" t="str">
        <f>IF($AG888="","",IF(INDEX($AN$8:$AN$21,INDEX($AC$8:$AC$1407,$AG888)+1)="Z",P_BronZ,P_BronE))</f>
        <v/>
      </c>
      <c r="C888" s="108" t="str">
        <f>IF($AG888="","",P_Importdatum)</f>
        <v/>
      </c>
      <c r="D888" s="92" t="str">
        <f>IF($AG888="","",P_StatusVastleg)</f>
        <v/>
      </c>
      <c r="E888" s="92" t="str">
        <f>IF($AG888="","",P_UploadVJ)</f>
        <v/>
      </c>
      <c r="F888" s="92" t="str">
        <f>IF($AG888="","",P_UploadVersie)</f>
        <v/>
      </c>
      <c r="G888" s="92" t="str">
        <f>IF($AG888="","",IF(COUNTIFS(L_Sleutel,$S888,L_Status,"Vastgesteld")=0,0,_xlfn.MAXIFS(L_Revisie,L_Sleutel,$S888,L_Status,"Vastgesteld")+1))</f>
        <v/>
      </c>
      <c r="H888" s="108" t="str">
        <f>IF($AG888="","",P_Peildatum)</f>
        <v/>
      </c>
      <c r="I888" s="92" t="str">
        <f>IF($AG888="","",P_RJ+INDEX($AK$8:$AK$21,INDEX($AC$8:$AC$1407,$AG888)+1))</f>
        <v/>
      </c>
      <c r="J888" s="92" t="str">
        <f>IF($AG888="","",INDEX(V_WBS,INDEX($AB$8:$AB$1407,$AG888)))</f>
        <v/>
      </c>
      <c r="K888" s="92" t="str">
        <f>IF($AG888="","",INDEX(V_Projdef,INDEX($AB$8:$AB$1407,$AG888)))</f>
        <v/>
      </c>
      <c r="L888" s="92" t="str">
        <f>IF($AG888="","",INDEX(V_Naam,INDEX($AB$8:$AB$1407,$AG888)))</f>
        <v/>
      </c>
      <c r="M888" s="92" t="str">
        <f>IF($AG888="","",INDEX(V_Type,INDEX($AB$8:$AB$1407,$AG888)))</f>
        <v/>
      </c>
      <c r="N888" s="92" t="str">
        <f>IF($AG888="","",INDEX(V_IFRS,INDEX($AB$8:$AB$1407,$AG888)))</f>
        <v/>
      </c>
      <c r="O888" s="92" t="str">
        <f>IF($AG888="","",INDEX($AL$8:$AL$21,INDEX($AC$8:$AC$1407,$AG888)+1))</f>
        <v/>
      </c>
      <c r="P888" s="109" t="str">
        <f>IF($AG888="","",INDEX($AD$8:$AD$1407,$AG888))</f>
        <v/>
      </c>
      <c r="Q888" s="92" t="str">
        <f>IF($AG888="","",INDEX($AM$8:$AM$21,INDEX($AC$8:$AC$1407,$AG888)+1))</f>
        <v/>
      </c>
      <c r="R888" s="92" t="str">
        <f>IF($AG888="","",IF($G888&gt;0,P_ToelCorrectie&amp;"",""))</f>
        <v/>
      </c>
      <c r="S888" s="15" t="str">
        <f>IF(J888="","",J888&amp;"|"&amp;E888&amp;"|"&amp;F888&amp;"|"&amp;I888&amp;"|"&amp;O888)</f>
        <v/>
      </c>
      <c r="T888" s="111" t="str">
        <f>IF(S888="","",IF(COUNTIFS(L_Sleutel,S888,L_Actief,1)=0,"",SUMIFS(L_Waarde,L_Sleutel,S888,L_Actief,1)))</f>
        <v/>
      </c>
      <c r="U888" s="111">
        <f>IF(OR(S888="",T888=""),0,P888-T888)</f>
        <v>0</v>
      </c>
      <c r="AB888" s="112" t="n">
        <v>63</v>
      </c>
      <c r="AC888" s="112" t="n">
        <v>12</v>
      </c>
      <c r="AD888" s="112" t="str">
        <f>VERW_Project!BU68</f>
        <v/>
      </c>
      <c r="AE888" s="112">
        <f>IF(AND(VERW_Project!$A68&lt;&gt;"",ISNUMBER(AD888)),1,0)</f>
        <v>0</v>
      </c>
      <c r="AF888" s="112" t="str">
        <f>IF(AE888=1,SUM($AE$8:AE888),"")</f>
        <v/>
      </c>
      <c r="AG888" t="str">
        <f>IFERROR(MATCH(881,$AF$8:$AF$1407,0),"")</f>
        <v/>
      </c>
    </row>
    <row r="889">
      <c r="A889" s="92" t="str">
        <f>IF($AG889="","",P_ImportID)</f>
        <v/>
      </c>
      <c r="B889" s="92" t="str">
        <f>IF($AG889="","",IF(INDEX($AN$8:$AN$21,INDEX($AC$8:$AC$1407,$AG889)+1)="Z",P_BronZ,P_BronE))</f>
        <v/>
      </c>
      <c r="C889" s="108" t="str">
        <f>IF($AG889="","",P_Importdatum)</f>
        <v/>
      </c>
      <c r="D889" s="92" t="str">
        <f>IF($AG889="","",P_StatusVastleg)</f>
        <v/>
      </c>
      <c r="E889" s="92" t="str">
        <f>IF($AG889="","",P_UploadVJ)</f>
        <v/>
      </c>
      <c r="F889" s="92" t="str">
        <f>IF($AG889="","",P_UploadVersie)</f>
        <v/>
      </c>
      <c r="G889" s="92" t="str">
        <f>IF($AG889="","",IF(COUNTIFS(L_Sleutel,$S889,L_Status,"Vastgesteld")=0,0,_xlfn.MAXIFS(L_Revisie,L_Sleutel,$S889,L_Status,"Vastgesteld")+1))</f>
        <v/>
      </c>
      <c r="H889" s="108" t="str">
        <f>IF($AG889="","",P_Peildatum)</f>
        <v/>
      </c>
      <c r="I889" s="92" t="str">
        <f>IF($AG889="","",P_RJ+INDEX($AK$8:$AK$21,INDEX($AC$8:$AC$1407,$AG889)+1))</f>
        <v/>
      </c>
      <c r="J889" s="92" t="str">
        <f>IF($AG889="","",INDEX(V_WBS,INDEX($AB$8:$AB$1407,$AG889)))</f>
        <v/>
      </c>
      <c r="K889" s="92" t="str">
        <f>IF($AG889="","",INDEX(V_Projdef,INDEX($AB$8:$AB$1407,$AG889)))</f>
        <v/>
      </c>
      <c r="L889" s="92" t="str">
        <f>IF($AG889="","",INDEX(V_Naam,INDEX($AB$8:$AB$1407,$AG889)))</f>
        <v/>
      </c>
      <c r="M889" s="92" t="str">
        <f>IF($AG889="","",INDEX(V_Type,INDEX($AB$8:$AB$1407,$AG889)))</f>
        <v/>
      </c>
      <c r="N889" s="92" t="str">
        <f>IF($AG889="","",INDEX(V_IFRS,INDEX($AB$8:$AB$1407,$AG889)))</f>
        <v/>
      </c>
      <c r="O889" s="92" t="str">
        <f>IF($AG889="","",INDEX($AL$8:$AL$21,INDEX($AC$8:$AC$1407,$AG889)+1))</f>
        <v/>
      </c>
      <c r="P889" s="109" t="str">
        <f>IF($AG889="","",INDEX($AD$8:$AD$1407,$AG889))</f>
        <v/>
      </c>
      <c r="Q889" s="92" t="str">
        <f>IF($AG889="","",INDEX($AM$8:$AM$21,INDEX($AC$8:$AC$1407,$AG889)+1))</f>
        <v/>
      </c>
      <c r="R889" s="92" t="str">
        <f>IF($AG889="","",IF($G889&gt;0,P_ToelCorrectie&amp;"",""))</f>
        <v/>
      </c>
      <c r="S889" s="15" t="str">
        <f>IF(J889="","",J889&amp;"|"&amp;E889&amp;"|"&amp;F889&amp;"|"&amp;I889&amp;"|"&amp;O889)</f>
        <v/>
      </c>
      <c r="T889" s="111" t="str">
        <f>IF(S889="","",IF(COUNTIFS(L_Sleutel,S889,L_Actief,1)=0,"",SUMIFS(L_Waarde,L_Sleutel,S889,L_Actief,1)))</f>
        <v/>
      </c>
      <c r="U889" s="111">
        <f>IF(OR(S889="",T889=""),0,P889-T889)</f>
        <v>0</v>
      </c>
      <c r="AB889" s="112" t="n">
        <v>63</v>
      </c>
      <c r="AC889" s="112" t="n">
        <v>13</v>
      </c>
      <c r="AD889" s="112" t="str">
        <f>VERW_Project!BX68</f>
        <v/>
      </c>
      <c r="AE889" s="112">
        <f>IF(AND(VERW_Project!$A68&lt;&gt;"",ISNUMBER(AD889)),1,0)</f>
        <v>0</v>
      </c>
      <c r="AF889" s="112" t="str">
        <f>IF(AE889=1,SUM($AE$8:AE889),"")</f>
        <v/>
      </c>
      <c r="AG889" t="str">
        <f>IFERROR(MATCH(882,$AF$8:$AF$1407,0),"")</f>
        <v/>
      </c>
    </row>
    <row r="890">
      <c r="A890" s="92" t="str">
        <f>IF($AG890="","",P_ImportID)</f>
        <v/>
      </c>
      <c r="B890" s="92" t="str">
        <f>IF($AG890="","",IF(INDEX($AN$8:$AN$21,INDEX($AC$8:$AC$1407,$AG890)+1)="Z",P_BronZ,P_BronE))</f>
        <v/>
      </c>
      <c r="C890" s="108" t="str">
        <f>IF($AG890="","",P_Importdatum)</f>
        <v/>
      </c>
      <c r="D890" s="92" t="str">
        <f>IF($AG890="","",P_StatusVastleg)</f>
        <v/>
      </c>
      <c r="E890" s="92" t="str">
        <f>IF($AG890="","",P_UploadVJ)</f>
        <v/>
      </c>
      <c r="F890" s="92" t="str">
        <f>IF($AG890="","",P_UploadVersie)</f>
        <v/>
      </c>
      <c r="G890" s="92" t="str">
        <f>IF($AG890="","",IF(COUNTIFS(L_Sleutel,$S890,L_Status,"Vastgesteld")=0,0,_xlfn.MAXIFS(L_Revisie,L_Sleutel,$S890,L_Status,"Vastgesteld")+1))</f>
        <v/>
      </c>
      <c r="H890" s="108" t="str">
        <f>IF($AG890="","",P_Peildatum)</f>
        <v/>
      </c>
      <c r="I890" s="92" t="str">
        <f>IF($AG890="","",P_RJ+INDEX($AK$8:$AK$21,INDEX($AC$8:$AC$1407,$AG890)+1))</f>
        <v/>
      </c>
      <c r="J890" s="92" t="str">
        <f>IF($AG890="","",INDEX(V_WBS,INDEX($AB$8:$AB$1407,$AG890)))</f>
        <v/>
      </c>
      <c r="K890" s="92" t="str">
        <f>IF($AG890="","",INDEX(V_Projdef,INDEX($AB$8:$AB$1407,$AG890)))</f>
        <v/>
      </c>
      <c r="L890" s="92" t="str">
        <f>IF($AG890="","",INDEX(V_Naam,INDEX($AB$8:$AB$1407,$AG890)))</f>
        <v/>
      </c>
      <c r="M890" s="92" t="str">
        <f>IF($AG890="","",INDEX(V_Type,INDEX($AB$8:$AB$1407,$AG890)))</f>
        <v/>
      </c>
      <c r="N890" s="92" t="str">
        <f>IF($AG890="","",INDEX(V_IFRS,INDEX($AB$8:$AB$1407,$AG890)))</f>
        <v/>
      </c>
      <c r="O890" s="92" t="str">
        <f>IF($AG890="","",INDEX($AL$8:$AL$21,INDEX($AC$8:$AC$1407,$AG890)+1))</f>
        <v/>
      </c>
      <c r="P890" s="109" t="str">
        <f>IF($AG890="","",INDEX($AD$8:$AD$1407,$AG890))</f>
        <v/>
      </c>
      <c r="Q890" s="92" t="str">
        <f>IF($AG890="","",INDEX($AM$8:$AM$21,INDEX($AC$8:$AC$1407,$AG890)+1))</f>
        <v/>
      </c>
      <c r="R890" s="92" t="str">
        <f>IF($AG890="","",IF($G890&gt;0,P_ToelCorrectie&amp;"",""))</f>
        <v/>
      </c>
      <c r="S890" s="15" t="str">
        <f>IF(J890="","",J890&amp;"|"&amp;E890&amp;"|"&amp;F890&amp;"|"&amp;I890&amp;"|"&amp;O890)</f>
        <v/>
      </c>
      <c r="T890" s="111" t="str">
        <f>IF(S890="","",IF(COUNTIFS(L_Sleutel,S890,L_Actief,1)=0,"",SUMIFS(L_Waarde,L_Sleutel,S890,L_Actief,1)))</f>
        <v/>
      </c>
      <c r="U890" s="111">
        <f>IF(OR(S890="",T890=""),0,P890-T890)</f>
        <v>0</v>
      </c>
      <c r="AB890" s="112" t="n">
        <v>64</v>
      </c>
      <c r="AC890" s="112" t="n">
        <v>0</v>
      </c>
      <c r="AD890" s="112" t="str">
        <f>VERW_Project!P69</f>
        <v/>
      </c>
      <c r="AE890" s="112">
        <f>IF(AND(VERW_Project!$A69&lt;&gt;"",ISNUMBER(AD890)),1,0)</f>
        <v>0</v>
      </c>
      <c r="AF890" s="112" t="str">
        <f>IF(AE890=1,SUM($AE$8:AE890),"")</f>
        <v/>
      </c>
      <c r="AG890" t="str">
        <f>IFERROR(MATCH(883,$AF$8:$AF$1407,0),"")</f>
        <v/>
      </c>
    </row>
    <row r="891">
      <c r="A891" s="92" t="str">
        <f>IF($AG891="","",P_ImportID)</f>
        <v/>
      </c>
      <c r="B891" s="92" t="str">
        <f>IF($AG891="","",IF(INDEX($AN$8:$AN$21,INDEX($AC$8:$AC$1407,$AG891)+1)="Z",P_BronZ,P_BronE))</f>
        <v/>
      </c>
      <c r="C891" s="108" t="str">
        <f>IF($AG891="","",P_Importdatum)</f>
        <v/>
      </c>
      <c r="D891" s="92" t="str">
        <f>IF($AG891="","",P_StatusVastleg)</f>
        <v/>
      </c>
      <c r="E891" s="92" t="str">
        <f>IF($AG891="","",P_UploadVJ)</f>
        <v/>
      </c>
      <c r="F891" s="92" t="str">
        <f>IF($AG891="","",P_UploadVersie)</f>
        <v/>
      </c>
      <c r="G891" s="92" t="str">
        <f>IF($AG891="","",IF(COUNTIFS(L_Sleutel,$S891,L_Status,"Vastgesteld")=0,0,_xlfn.MAXIFS(L_Revisie,L_Sleutel,$S891,L_Status,"Vastgesteld")+1))</f>
        <v/>
      </c>
      <c r="H891" s="108" t="str">
        <f>IF($AG891="","",P_Peildatum)</f>
        <v/>
      </c>
      <c r="I891" s="92" t="str">
        <f>IF($AG891="","",P_RJ+INDEX($AK$8:$AK$21,INDEX($AC$8:$AC$1407,$AG891)+1))</f>
        <v/>
      </c>
      <c r="J891" s="92" t="str">
        <f>IF($AG891="","",INDEX(V_WBS,INDEX($AB$8:$AB$1407,$AG891)))</f>
        <v/>
      </c>
      <c r="K891" s="92" t="str">
        <f>IF($AG891="","",INDEX(V_Projdef,INDEX($AB$8:$AB$1407,$AG891)))</f>
        <v/>
      </c>
      <c r="L891" s="92" t="str">
        <f>IF($AG891="","",INDEX(V_Naam,INDEX($AB$8:$AB$1407,$AG891)))</f>
        <v/>
      </c>
      <c r="M891" s="92" t="str">
        <f>IF($AG891="","",INDEX(V_Type,INDEX($AB$8:$AB$1407,$AG891)))</f>
        <v/>
      </c>
      <c r="N891" s="92" t="str">
        <f>IF($AG891="","",INDEX(V_IFRS,INDEX($AB$8:$AB$1407,$AG891)))</f>
        <v/>
      </c>
      <c r="O891" s="92" t="str">
        <f>IF($AG891="","",INDEX($AL$8:$AL$21,INDEX($AC$8:$AC$1407,$AG891)+1))</f>
        <v/>
      </c>
      <c r="P891" s="109" t="str">
        <f>IF($AG891="","",INDEX($AD$8:$AD$1407,$AG891))</f>
        <v/>
      </c>
      <c r="Q891" s="92" t="str">
        <f>IF($AG891="","",INDEX($AM$8:$AM$21,INDEX($AC$8:$AC$1407,$AG891)+1))</f>
        <v/>
      </c>
      <c r="R891" s="92" t="str">
        <f>IF($AG891="","",IF($G891&gt;0,P_ToelCorrectie&amp;"",""))</f>
        <v/>
      </c>
      <c r="S891" s="15" t="str">
        <f>IF(J891="","",J891&amp;"|"&amp;E891&amp;"|"&amp;F891&amp;"|"&amp;I891&amp;"|"&amp;O891)</f>
        <v/>
      </c>
      <c r="T891" s="111" t="str">
        <f>IF(S891="","",IF(COUNTIFS(L_Sleutel,S891,L_Actief,1)=0,"",SUMIFS(L_Waarde,L_Sleutel,S891,L_Actief,1)))</f>
        <v/>
      </c>
      <c r="U891" s="111">
        <f>IF(OR(S891="",T891=""),0,P891-T891)</f>
        <v>0</v>
      </c>
      <c r="AB891" s="112" t="n">
        <v>64</v>
      </c>
      <c r="AC891" s="112" t="n">
        <v>1</v>
      </c>
      <c r="AD891" s="112" t="str">
        <f>VERW_Project!Q69</f>
        <v/>
      </c>
      <c r="AE891" s="112">
        <f>IF(AND(VERW_Project!$A69&lt;&gt;"",ISNUMBER(AD891)),1,0)</f>
        <v>0</v>
      </c>
      <c r="AF891" s="112" t="str">
        <f>IF(AE891=1,SUM($AE$8:AE891),"")</f>
        <v/>
      </c>
      <c r="AG891" t="str">
        <f>IFERROR(MATCH(884,$AF$8:$AF$1407,0),"")</f>
        <v/>
      </c>
    </row>
    <row r="892">
      <c r="A892" s="92" t="str">
        <f>IF($AG892="","",P_ImportID)</f>
        <v/>
      </c>
      <c r="B892" s="92" t="str">
        <f>IF($AG892="","",IF(INDEX($AN$8:$AN$21,INDEX($AC$8:$AC$1407,$AG892)+1)="Z",P_BronZ,P_BronE))</f>
        <v/>
      </c>
      <c r="C892" s="108" t="str">
        <f>IF($AG892="","",P_Importdatum)</f>
        <v/>
      </c>
      <c r="D892" s="92" t="str">
        <f>IF($AG892="","",P_StatusVastleg)</f>
        <v/>
      </c>
      <c r="E892" s="92" t="str">
        <f>IF($AG892="","",P_UploadVJ)</f>
        <v/>
      </c>
      <c r="F892" s="92" t="str">
        <f>IF($AG892="","",P_UploadVersie)</f>
        <v/>
      </c>
      <c r="G892" s="92" t="str">
        <f>IF($AG892="","",IF(COUNTIFS(L_Sleutel,$S892,L_Status,"Vastgesteld")=0,0,_xlfn.MAXIFS(L_Revisie,L_Sleutel,$S892,L_Status,"Vastgesteld")+1))</f>
        <v/>
      </c>
      <c r="H892" s="108" t="str">
        <f>IF($AG892="","",P_Peildatum)</f>
        <v/>
      </c>
      <c r="I892" s="92" t="str">
        <f>IF($AG892="","",P_RJ+INDEX($AK$8:$AK$21,INDEX($AC$8:$AC$1407,$AG892)+1))</f>
        <v/>
      </c>
      <c r="J892" s="92" t="str">
        <f>IF($AG892="","",INDEX(V_WBS,INDEX($AB$8:$AB$1407,$AG892)))</f>
        <v/>
      </c>
      <c r="K892" s="92" t="str">
        <f>IF($AG892="","",INDEX(V_Projdef,INDEX($AB$8:$AB$1407,$AG892)))</f>
        <v/>
      </c>
      <c r="L892" s="92" t="str">
        <f>IF($AG892="","",INDEX(V_Naam,INDEX($AB$8:$AB$1407,$AG892)))</f>
        <v/>
      </c>
      <c r="M892" s="92" t="str">
        <f>IF($AG892="","",INDEX(V_Type,INDEX($AB$8:$AB$1407,$AG892)))</f>
        <v/>
      </c>
      <c r="N892" s="92" t="str">
        <f>IF($AG892="","",INDEX(V_IFRS,INDEX($AB$8:$AB$1407,$AG892)))</f>
        <v/>
      </c>
      <c r="O892" s="92" t="str">
        <f>IF($AG892="","",INDEX($AL$8:$AL$21,INDEX($AC$8:$AC$1407,$AG892)+1))</f>
        <v/>
      </c>
      <c r="P892" s="109" t="str">
        <f>IF($AG892="","",INDEX($AD$8:$AD$1407,$AG892))</f>
        <v/>
      </c>
      <c r="Q892" s="92" t="str">
        <f>IF($AG892="","",INDEX($AM$8:$AM$21,INDEX($AC$8:$AC$1407,$AG892)+1))</f>
        <v/>
      </c>
      <c r="R892" s="92" t="str">
        <f>IF($AG892="","",IF($G892&gt;0,P_ToelCorrectie&amp;"",""))</f>
        <v/>
      </c>
      <c r="S892" s="15" t="str">
        <f>IF(J892="","",J892&amp;"|"&amp;E892&amp;"|"&amp;F892&amp;"|"&amp;I892&amp;"|"&amp;O892)</f>
        <v/>
      </c>
      <c r="T892" s="111" t="str">
        <f>IF(S892="","",IF(COUNTIFS(L_Sleutel,S892,L_Actief,1)=0,"",SUMIFS(L_Waarde,L_Sleutel,S892,L_Actief,1)))</f>
        <v/>
      </c>
      <c r="U892" s="111">
        <f>IF(OR(S892="",T892=""),0,P892-T892)</f>
        <v>0</v>
      </c>
      <c r="AB892" s="112" t="n">
        <v>64</v>
      </c>
      <c r="AC892" s="112" t="n">
        <v>2</v>
      </c>
      <c r="AD892" s="112" t="str">
        <f>VERW_Project!L69</f>
        <v/>
      </c>
      <c r="AE892" s="112">
        <f>IF(AND(VERW_Project!$A69&lt;&gt;"",ISNUMBER(AD892)),1,0)</f>
        <v>0</v>
      </c>
      <c r="AF892" s="112" t="str">
        <f>IF(AE892=1,SUM($AE$8:AE892),"")</f>
        <v/>
      </c>
      <c r="AG892" t="str">
        <f>IFERROR(MATCH(885,$AF$8:$AF$1407,0),"")</f>
        <v/>
      </c>
    </row>
    <row r="893">
      <c r="A893" s="92" t="str">
        <f>IF($AG893="","",P_ImportID)</f>
        <v/>
      </c>
      <c r="B893" s="92" t="str">
        <f>IF($AG893="","",IF(INDEX($AN$8:$AN$21,INDEX($AC$8:$AC$1407,$AG893)+1)="Z",P_BronZ,P_BronE))</f>
        <v/>
      </c>
      <c r="C893" s="108" t="str">
        <f>IF($AG893="","",P_Importdatum)</f>
        <v/>
      </c>
      <c r="D893" s="92" t="str">
        <f>IF($AG893="","",P_StatusVastleg)</f>
        <v/>
      </c>
      <c r="E893" s="92" t="str">
        <f>IF($AG893="","",P_UploadVJ)</f>
        <v/>
      </c>
      <c r="F893" s="92" t="str">
        <f>IF($AG893="","",P_UploadVersie)</f>
        <v/>
      </c>
      <c r="G893" s="92" t="str">
        <f>IF($AG893="","",IF(COUNTIFS(L_Sleutel,$S893,L_Status,"Vastgesteld")=0,0,_xlfn.MAXIFS(L_Revisie,L_Sleutel,$S893,L_Status,"Vastgesteld")+1))</f>
        <v/>
      </c>
      <c r="H893" s="108" t="str">
        <f>IF($AG893="","",P_Peildatum)</f>
        <v/>
      </c>
      <c r="I893" s="92" t="str">
        <f>IF($AG893="","",P_RJ+INDEX($AK$8:$AK$21,INDEX($AC$8:$AC$1407,$AG893)+1))</f>
        <v/>
      </c>
      <c r="J893" s="92" t="str">
        <f>IF($AG893="","",INDEX(V_WBS,INDEX($AB$8:$AB$1407,$AG893)))</f>
        <v/>
      </c>
      <c r="K893" s="92" t="str">
        <f>IF($AG893="","",INDEX(V_Projdef,INDEX($AB$8:$AB$1407,$AG893)))</f>
        <v/>
      </c>
      <c r="L893" s="92" t="str">
        <f>IF($AG893="","",INDEX(V_Naam,INDEX($AB$8:$AB$1407,$AG893)))</f>
        <v/>
      </c>
      <c r="M893" s="92" t="str">
        <f>IF($AG893="","",INDEX(V_Type,INDEX($AB$8:$AB$1407,$AG893)))</f>
        <v/>
      </c>
      <c r="N893" s="92" t="str">
        <f>IF($AG893="","",INDEX(V_IFRS,INDEX($AB$8:$AB$1407,$AG893)))</f>
        <v/>
      </c>
      <c r="O893" s="92" t="str">
        <f>IF($AG893="","",INDEX($AL$8:$AL$21,INDEX($AC$8:$AC$1407,$AG893)+1))</f>
        <v/>
      </c>
      <c r="P893" s="109" t="str">
        <f>IF($AG893="","",INDEX($AD$8:$AD$1407,$AG893))</f>
        <v/>
      </c>
      <c r="Q893" s="92" t="str">
        <f>IF($AG893="","",INDEX($AM$8:$AM$21,INDEX($AC$8:$AC$1407,$AG893)+1))</f>
        <v/>
      </c>
      <c r="R893" s="92" t="str">
        <f>IF($AG893="","",IF($G893&gt;0,P_ToelCorrectie&amp;"",""))</f>
        <v/>
      </c>
      <c r="S893" s="15" t="str">
        <f>IF(J893="","",J893&amp;"|"&amp;E893&amp;"|"&amp;F893&amp;"|"&amp;I893&amp;"|"&amp;O893)</f>
        <v/>
      </c>
      <c r="T893" s="111" t="str">
        <f>IF(S893="","",IF(COUNTIFS(L_Sleutel,S893,L_Actief,1)=0,"",SUMIFS(L_Waarde,L_Sleutel,S893,L_Actief,1)))</f>
        <v/>
      </c>
      <c r="U893" s="111">
        <f>IF(OR(S893="",T893=""),0,P893-T893)</f>
        <v>0</v>
      </c>
      <c r="AB893" s="112" t="n">
        <v>64</v>
      </c>
      <c r="AC893" s="112" t="n">
        <v>3</v>
      </c>
      <c r="AD893" s="112" t="str">
        <f>VERW_Project!M69</f>
        <v/>
      </c>
      <c r="AE893" s="112">
        <f>IF(AND(VERW_Project!$A69&lt;&gt;"",ISNUMBER(AD893)),1,0)</f>
        <v>0</v>
      </c>
      <c r="AF893" s="112" t="str">
        <f>IF(AE893=1,SUM($AE$8:AE893),"")</f>
        <v/>
      </c>
      <c r="AG893" t="str">
        <f>IFERROR(MATCH(886,$AF$8:$AF$1407,0),"")</f>
        <v/>
      </c>
    </row>
    <row r="894">
      <c r="A894" s="92" t="str">
        <f>IF($AG894="","",P_ImportID)</f>
        <v/>
      </c>
      <c r="B894" s="92" t="str">
        <f>IF($AG894="","",IF(INDEX($AN$8:$AN$21,INDEX($AC$8:$AC$1407,$AG894)+1)="Z",P_BronZ,P_BronE))</f>
        <v/>
      </c>
      <c r="C894" s="108" t="str">
        <f>IF($AG894="","",P_Importdatum)</f>
        <v/>
      </c>
      <c r="D894" s="92" t="str">
        <f>IF($AG894="","",P_StatusVastleg)</f>
        <v/>
      </c>
      <c r="E894" s="92" t="str">
        <f>IF($AG894="","",P_UploadVJ)</f>
        <v/>
      </c>
      <c r="F894" s="92" t="str">
        <f>IF($AG894="","",P_UploadVersie)</f>
        <v/>
      </c>
      <c r="G894" s="92" t="str">
        <f>IF($AG894="","",IF(COUNTIFS(L_Sleutel,$S894,L_Status,"Vastgesteld")=0,0,_xlfn.MAXIFS(L_Revisie,L_Sleutel,$S894,L_Status,"Vastgesteld")+1))</f>
        <v/>
      </c>
      <c r="H894" s="108" t="str">
        <f>IF($AG894="","",P_Peildatum)</f>
        <v/>
      </c>
      <c r="I894" s="92" t="str">
        <f>IF($AG894="","",P_RJ+INDEX($AK$8:$AK$21,INDEX($AC$8:$AC$1407,$AG894)+1))</f>
        <v/>
      </c>
      <c r="J894" s="92" t="str">
        <f>IF($AG894="","",INDEX(V_WBS,INDEX($AB$8:$AB$1407,$AG894)))</f>
        <v/>
      </c>
      <c r="K894" s="92" t="str">
        <f>IF($AG894="","",INDEX(V_Projdef,INDEX($AB$8:$AB$1407,$AG894)))</f>
        <v/>
      </c>
      <c r="L894" s="92" t="str">
        <f>IF($AG894="","",INDEX(V_Naam,INDEX($AB$8:$AB$1407,$AG894)))</f>
        <v/>
      </c>
      <c r="M894" s="92" t="str">
        <f>IF($AG894="","",INDEX(V_Type,INDEX($AB$8:$AB$1407,$AG894)))</f>
        <v/>
      </c>
      <c r="N894" s="92" t="str">
        <f>IF($AG894="","",INDEX(V_IFRS,INDEX($AB$8:$AB$1407,$AG894)))</f>
        <v/>
      </c>
      <c r="O894" s="92" t="str">
        <f>IF($AG894="","",INDEX($AL$8:$AL$21,INDEX($AC$8:$AC$1407,$AG894)+1))</f>
        <v/>
      </c>
      <c r="P894" s="109" t="str">
        <f>IF($AG894="","",INDEX($AD$8:$AD$1407,$AG894))</f>
        <v/>
      </c>
      <c r="Q894" s="92" t="str">
        <f>IF($AG894="","",INDEX($AM$8:$AM$21,INDEX($AC$8:$AC$1407,$AG894)+1))</f>
        <v/>
      </c>
      <c r="R894" s="92" t="str">
        <f>IF($AG894="","",IF($G894&gt;0,P_ToelCorrectie&amp;"",""))</f>
        <v/>
      </c>
      <c r="S894" s="15" t="str">
        <f>IF(J894="","",J894&amp;"|"&amp;E894&amp;"|"&amp;F894&amp;"|"&amp;I894&amp;"|"&amp;O894)</f>
        <v/>
      </c>
      <c r="T894" s="111" t="str">
        <f>IF(S894="","",IF(COUNTIFS(L_Sleutel,S894,L_Actief,1)=0,"",SUMIFS(L_Waarde,L_Sleutel,S894,L_Actief,1)))</f>
        <v/>
      </c>
      <c r="U894" s="111">
        <f>IF(OR(S894="",T894=""),0,P894-T894)</f>
        <v>0</v>
      </c>
      <c r="AB894" s="112" t="n">
        <v>64</v>
      </c>
      <c r="AC894" s="112" t="n">
        <v>4</v>
      </c>
      <c r="AD894" s="112" t="str">
        <f>VERW_Project!R69</f>
        <v/>
      </c>
      <c r="AE894" s="112">
        <f>IF(AND(VERW_Project!$A69&lt;&gt;"",ISNUMBER(AD894)),1,0)</f>
        <v>0</v>
      </c>
      <c r="AF894" s="112" t="str">
        <f>IF(AE894=1,SUM($AE$8:AE894),"")</f>
        <v/>
      </c>
      <c r="AG894" t="str">
        <f>IFERROR(MATCH(887,$AF$8:$AF$1407,0),"")</f>
        <v/>
      </c>
    </row>
    <row r="895">
      <c r="A895" s="92" t="str">
        <f>IF($AG895="","",P_ImportID)</f>
        <v/>
      </c>
      <c r="B895" s="92" t="str">
        <f>IF($AG895="","",IF(INDEX($AN$8:$AN$21,INDEX($AC$8:$AC$1407,$AG895)+1)="Z",P_BronZ,P_BronE))</f>
        <v/>
      </c>
      <c r="C895" s="108" t="str">
        <f>IF($AG895="","",P_Importdatum)</f>
        <v/>
      </c>
      <c r="D895" s="92" t="str">
        <f>IF($AG895="","",P_StatusVastleg)</f>
        <v/>
      </c>
      <c r="E895" s="92" t="str">
        <f>IF($AG895="","",P_UploadVJ)</f>
        <v/>
      </c>
      <c r="F895" s="92" t="str">
        <f>IF($AG895="","",P_UploadVersie)</f>
        <v/>
      </c>
      <c r="G895" s="92" t="str">
        <f>IF($AG895="","",IF(COUNTIFS(L_Sleutel,$S895,L_Status,"Vastgesteld")=0,0,_xlfn.MAXIFS(L_Revisie,L_Sleutel,$S895,L_Status,"Vastgesteld")+1))</f>
        <v/>
      </c>
      <c r="H895" s="108" t="str">
        <f>IF($AG895="","",P_Peildatum)</f>
        <v/>
      </c>
      <c r="I895" s="92" t="str">
        <f>IF($AG895="","",P_RJ+INDEX($AK$8:$AK$21,INDEX($AC$8:$AC$1407,$AG895)+1))</f>
        <v/>
      </c>
      <c r="J895" s="92" t="str">
        <f>IF($AG895="","",INDEX(V_WBS,INDEX($AB$8:$AB$1407,$AG895)))</f>
        <v/>
      </c>
      <c r="K895" s="92" t="str">
        <f>IF($AG895="","",INDEX(V_Projdef,INDEX($AB$8:$AB$1407,$AG895)))</f>
        <v/>
      </c>
      <c r="L895" s="92" t="str">
        <f>IF($AG895="","",INDEX(V_Naam,INDEX($AB$8:$AB$1407,$AG895)))</f>
        <v/>
      </c>
      <c r="M895" s="92" t="str">
        <f>IF($AG895="","",INDEX(V_Type,INDEX($AB$8:$AB$1407,$AG895)))</f>
        <v/>
      </c>
      <c r="N895" s="92" t="str">
        <f>IF($AG895="","",INDEX(V_IFRS,INDEX($AB$8:$AB$1407,$AG895)))</f>
        <v/>
      </c>
      <c r="O895" s="92" t="str">
        <f>IF($AG895="","",INDEX($AL$8:$AL$21,INDEX($AC$8:$AC$1407,$AG895)+1))</f>
        <v/>
      </c>
      <c r="P895" s="109" t="str">
        <f>IF($AG895="","",INDEX($AD$8:$AD$1407,$AG895))</f>
        <v/>
      </c>
      <c r="Q895" s="92" t="str">
        <f>IF($AG895="","",INDEX($AM$8:$AM$21,INDEX($AC$8:$AC$1407,$AG895)+1))</f>
        <v/>
      </c>
      <c r="R895" s="92" t="str">
        <f>IF($AG895="","",IF($G895&gt;0,P_ToelCorrectie&amp;"",""))</f>
        <v/>
      </c>
      <c r="S895" s="15" t="str">
        <f>IF(J895="","",J895&amp;"|"&amp;E895&amp;"|"&amp;F895&amp;"|"&amp;I895&amp;"|"&amp;O895)</f>
        <v/>
      </c>
      <c r="T895" s="111" t="str">
        <f>IF(S895="","",IF(COUNTIFS(L_Sleutel,S895,L_Actief,1)=0,"",SUMIFS(L_Waarde,L_Sleutel,S895,L_Actief,1)))</f>
        <v/>
      </c>
      <c r="U895" s="111">
        <f>IF(OR(S895="",T895=""),0,P895-T895)</f>
        <v>0</v>
      </c>
      <c r="AB895" s="112" t="n">
        <v>64</v>
      </c>
      <c r="AC895" s="112" t="n">
        <v>5</v>
      </c>
      <c r="AD895" s="112" t="str">
        <f>VERW_Project!S69</f>
        <v/>
      </c>
      <c r="AE895" s="112">
        <f>IF(AND(VERW_Project!$A69&lt;&gt;"",ISNUMBER(AD895)),1,0)</f>
        <v>0</v>
      </c>
      <c r="AF895" s="112" t="str">
        <f>IF(AE895=1,SUM($AE$8:AE895),"")</f>
        <v/>
      </c>
      <c r="AG895" t="str">
        <f>IFERROR(MATCH(888,$AF$8:$AF$1407,0),"")</f>
        <v/>
      </c>
    </row>
    <row r="896">
      <c r="A896" s="92" t="str">
        <f>IF($AG896="","",P_ImportID)</f>
        <v/>
      </c>
      <c r="B896" s="92" t="str">
        <f>IF($AG896="","",IF(INDEX($AN$8:$AN$21,INDEX($AC$8:$AC$1407,$AG896)+1)="Z",P_BronZ,P_BronE))</f>
        <v/>
      </c>
      <c r="C896" s="108" t="str">
        <f>IF($AG896="","",P_Importdatum)</f>
        <v/>
      </c>
      <c r="D896" s="92" t="str">
        <f>IF($AG896="","",P_StatusVastleg)</f>
        <v/>
      </c>
      <c r="E896" s="92" t="str">
        <f>IF($AG896="","",P_UploadVJ)</f>
        <v/>
      </c>
      <c r="F896" s="92" t="str">
        <f>IF($AG896="","",P_UploadVersie)</f>
        <v/>
      </c>
      <c r="G896" s="92" t="str">
        <f>IF($AG896="","",IF(COUNTIFS(L_Sleutel,$S896,L_Status,"Vastgesteld")=0,0,_xlfn.MAXIFS(L_Revisie,L_Sleutel,$S896,L_Status,"Vastgesteld")+1))</f>
        <v/>
      </c>
      <c r="H896" s="108" t="str">
        <f>IF($AG896="","",P_Peildatum)</f>
        <v/>
      </c>
      <c r="I896" s="92" t="str">
        <f>IF($AG896="","",P_RJ+INDEX($AK$8:$AK$21,INDEX($AC$8:$AC$1407,$AG896)+1))</f>
        <v/>
      </c>
      <c r="J896" s="92" t="str">
        <f>IF($AG896="","",INDEX(V_WBS,INDEX($AB$8:$AB$1407,$AG896)))</f>
        <v/>
      </c>
      <c r="K896" s="92" t="str">
        <f>IF($AG896="","",INDEX(V_Projdef,INDEX($AB$8:$AB$1407,$AG896)))</f>
        <v/>
      </c>
      <c r="L896" s="92" t="str">
        <f>IF($AG896="","",INDEX(V_Naam,INDEX($AB$8:$AB$1407,$AG896)))</f>
        <v/>
      </c>
      <c r="M896" s="92" t="str">
        <f>IF($AG896="","",INDEX(V_Type,INDEX($AB$8:$AB$1407,$AG896)))</f>
        <v/>
      </c>
      <c r="N896" s="92" t="str">
        <f>IF($AG896="","",INDEX(V_IFRS,INDEX($AB$8:$AB$1407,$AG896)))</f>
        <v/>
      </c>
      <c r="O896" s="92" t="str">
        <f>IF($AG896="","",INDEX($AL$8:$AL$21,INDEX($AC$8:$AC$1407,$AG896)+1))</f>
        <v/>
      </c>
      <c r="P896" s="109" t="str">
        <f>IF($AG896="","",INDEX($AD$8:$AD$1407,$AG896))</f>
        <v/>
      </c>
      <c r="Q896" s="92" t="str">
        <f>IF($AG896="","",INDEX($AM$8:$AM$21,INDEX($AC$8:$AC$1407,$AG896)+1))</f>
        <v/>
      </c>
      <c r="R896" s="92" t="str">
        <f>IF($AG896="","",IF($G896&gt;0,P_ToelCorrectie&amp;"",""))</f>
        <v/>
      </c>
      <c r="S896" s="15" t="str">
        <f>IF(J896="","",J896&amp;"|"&amp;E896&amp;"|"&amp;F896&amp;"|"&amp;I896&amp;"|"&amp;O896)</f>
        <v/>
      </c>
      <c r="T896" s="111" t="str">
        <f>IF(S896="","",IF(COUNTIFS(L_Sleutel,S896,L_Actief,1)=0,"",SUMIFS(L_Waarde,L_Sleutel,S896,L_Actief,1)))</f>
        <v/>
      </c>
      <c r="U896" s="111">
        <f>IF(OR(S896="",T896=""),0,P896-T896)</f>
        <v>0</v>
      </c>
      <c r="AB896" s="112" t="n">
        <v>64</v>
      </c>
      <c r="AC896" s="112" t="n">
        <v>6</v>
      </c>
      <c r="AD896" s="112" t="str">
        <f>VERW_Project!BW69</f>
        <v/>
      </c>
      <c r="AE896" s="112">
        <f>IF(AND(VERW_Project!$A69&lt;&gt;"",ISNUMBER(AD896)),1,0)</f>
        <v>0</v>
      </c>
      <c r="AF896" s="112" t="str">
        <f>IF(AE896=1,SUM($AE$8:AE896),"")</f>
        <v/>
      </c>
      <c r="AG896" t="str">
        <f>IFERROR(MATCH(889,$AF$8:$AF$1407,0),"")</f>
        <v/>
      </c>
    </row>
    <row r="897">
      <c r="A897" s="92" t="str">
        <f>IF($AG897="","",P_ImportID)</f>
        <v/>
      </c>
      <c r="B897" s="92" t="str">
        <f>IF($AG897="","",IF(INDEX($AN$8:$AN$21,INDEX($AC$8:$AC$1407,$AG897)+1)="Z",P_BronZ,P_BronE))</f>
        <v/>
      </c>
      <c r="C897" s="108" t="str">
        <f>IF($AG897="","",P_Importdatum)</f>
        <v/>
      </c>
      <c r="D897" s="92" t="str">
        <f>IF($AG897="","",P_StatusVastleg)</f>
        <v/>
      </c>
      <c r="E897" s="92" t="str">
        <f>IF($AG897="","",P_UploadVJ)</f>
        <v/>
      </c>
      <c r="F897" s="92" t="str">
        <f>IF($AG897="","",P_UploadVersie)</f>
        <v/>
      </c>
      <c r="G897" s="92" t="str">
        <f>IF($AG897="","",IF(COUNTIFS(L_Sleutel,$S897,L_Status,"Vastgesteld")=0,0,_xlfn.MAXIFS(L_Revisie,L_Sleutel,$S897,L_Status,"Vastgesteld")+1))</f>
        <v/>
      </c>
      <c r="H897" s="108" t="str">
        <f>IF($AG897="","",P_Peildatum)</f>
        <v/>
      </c>
      <c r="I897" s="92" t="str">
        <f>IF($AG897="","",P_RJ+INDEX($AK$8:$AK$21,INDEX($AC$8:$AC$1407,$AG897)+1))</f>
        <v/>
      </c>
      <c r="J897" s="92" t="str">
        <f>IF($AG897="","",INDEX(V_WBS,INDEX($AB$8:$AB$1407,$AG897)))</f>
        <v/>
      </c>
      <c r="K897" s="92" t="str">
        <f>IF($AG897="","",INDEX(V_Projdef,INDEX($AB$8:$AB$1407,$AG897)))</f>
        <v/>
      </c>
      <c r="L897" s="92" t="str">
        <f>IF($AG897="","",INDEX(V_Naam,INDEX($AB$8:$AB$1407,$AG897)))</f>
        <v/>
      </c>
      <c r="M897" s="92" t="str">
        <f>IF($AG897="","",INDEX(V_Type,INDEX($AB$8:$AB$1407,$AG897)))</f>
        <v/>
      </c>
      <c r="N897" s="92" t="str">
        <f>IF($AG897="","",INDEX(V_IFRS,INDEX($AB$8:$AB$1407,$AG897)))</f>
        <v/>
      </c>
      <c r="O897" s="92" t="str">
        <f>IF($AG897="","",INDEX($AL$8:$AL$21,INDEX($AC$8:$AC$1407,$AG897)+1))</f>
        <v/>
      </c>
      <c r="P897" s="109" t="str">
        <f>IF($AG897="","",INDEX($AD$8:$AD$1407,$AG897))</f>
        <v/>
      </c>
      <c r="Q897" s="92" t="str">
        <f>IF($AG897="","",INDEX($AM$8:$AM$21,INDEX($AC$8:$AC$1407,$AG897)+1))</f>
        <v/>
      </c>
      <c r="R897" s="92" t="str">
        <f>IF($AG897="","",IF($G897&gt;0,P_ToelCorrectie&amp;"",""))</f>
        <v/>
      </c>
      <c r="S897" s="15" t="str">
        <f>IF(J897="","",J897&amp;"|"&amp;E897&amp;"|"&amp;F897&amp;"|"&amp;I897&amp;"|"&amp;O897)</f>
        <v/>
      </c>
      <c r="T897" s="111" t="str">
        <f>IF(S897="","",IF(COUNTIFS(L_Sleutel,S897,L_Actief,1)=0,"",SUMIFS(L_Waarde,L_Sleutel,S897,L_Actief,1)))</f>
        <v/>
      </c>
      <c r="U897" s="111">
        <f>IF(OR(S897="",T897=""),0,P897-T897)</f>
        <v>0</v>
      </c>
      <c r="AB897" s="112" t="n">
        <v>64</v>
      </c>
      <c r="AC897" s="112" t="n">
        <v>7</v>
      </c>
      <c r="AD897" s="112" t="str">
        <f>VERW_Project!AW69</f>
        <v/>
      </c>
      <c r="AE897" s="112">
        <f>IF(AND(VERW_Project!$A69&lt;&gt;"",ISNUMBER(AD897)),1,0)</f>
        <v>0</v>
      </c>
      <c r="AF897" s="112" t="str">
        <f>IF(AE897=1,SUM($AE$8:AE897),"")</f>
        <v/>
      </c>
      <c r="AG897" t="str">
        <f>IFERROR(MATCH(890,$AF$8:$AF$1407,0),"")</f>
        <v/>
      </c>
    </row>
    <row r="898">
      <c r="A898" s="92" t="str">
        <f>IF($AG898="","",P_ImportID)</f>
        <v/>
      </c>
      <c r="B898" s="92" t="str">
        <f>IF($AG898="","",IF(INDEX($AN$8:$AN$21,INDEX($AC$8:$AC$1407,$AG898)+1)="Z",P_BronZ,P_BronE))</f>
        <v/>
      </c>
      <c r="C898" s="108" t="str">
        <f>IF($AG898="","",P_Importdatum)</f>
        <v/>
      </c>
      <c r="D898" s="92" t="str">
        <f>IF($AG898="","",P_StatusVastleg)</f>
        <v/>
      </c>
      <c r="E898" s="92" t="str">
        <f>IF($AG898="","",P_UploadVJ)</f>
        <v/>
      </c>
      <c r="F898" s="92" t="str">
        <f>IF($AG898="","",P_UploadVersie)</f>
        <v/>
      </c>
      <c r="G898" s="92" t="str">
        <f>IF($AG898="","",IF(COUNTIFS(L_Sleutel,$S898,L_Status,"Vastgesteld")=0,0,_xlfn.MAXIFS(L_Revisie,L_Sleutel,$S898,L_Status,"Vastgesteld")+1))</f>
        <v/>
      </c>
      <c r="H898" s="108" t="str">
        <f>IF($AG898="","",P_Peildatum)</f>
        <v/>
      </c>
      <c r="I898" s="92" t="str">
        <f>IF($AG898="","",P_RJ+INDEX($AK$8:$AK$21,INDEX($AC$8:$AC$1407,$AG898)+1))</f>
        <v/>
      </c>
      <c r="J898" s="92" t="str">
        <f>IF($AG898="","",INDEX(V_WBS,INDEX($AB$8:$AB$1407,$AG898)))</f>
        <v/>
      </c>
      <c r="K898" s="92" t="str">
        <f>IF($AG898="","",INDEX(V_Projdef,INDEX($AB$8:$AB$1407,$AG898)))</f>
        <v/>
      </c>
      <c r="L898" s="92" t="str">
        <f>IF($AG898="","",INDEX(V_Naam,INDEX($AB$8:$AB$1407,$AG898)))</f>
        <v/>
      </c>
      <c r="M898" s="92" t="str">
        <f>IF($AG898="","",INDEX(V_Type,INDEX($AB$8:$AB$1407,$AG898)))</f>
        <v/>
      </c>
      <c r="N898" s="92" t="str">
        <f>IF($AG898="","",INDEX(V_IFRS,INDEX($AB$8:$AB$1407,$AG898)))</f>
        <v/>
      </c>
      <c r="O898" s="92" t="str">
        <f>IF($AG898="","",INDEX($AL$8:$AL$21,INDEX($AC$8:$AC$1407,$AG898)+1))</f>
        <v/>
      </c>
      <c r="P898" s="109" t="str">
        <f>IF($AG898="","",INDEX($AD$8:$AD$1407,$AG898))</f>
        <v/>
      </c>
      <c r="Q898" s="92" t="str">
        <f>IF($AG898="","",INDEX($AM$8:$AM$21,INDEX($AC$8:$AC$1407,$AG898)+1))</f>
        <v/>
      </c>
      <c r="R898" s="92" t="str">
        <f>IF($AG898="","",IF($G898&gt;0,P_ToelCorrectie&amp;"",""))</f>
        <v/>
      </c>
      <c r="S898" s="15" t="str">
        <f>IF(J898="","",J898&amp;"|"&amp;E898&amp;"|"&amp;F898&amp;"|"&amp;I898&amp;"|"&amp;O898)</f>
        <v/>
      </c>
      <c r="T898" s="111" t="str">
        <f>IF(S898="","",IF(COUNTIFS(L_Sleutel,S898,L_Actief,1)=0,"",SUMIFS(L_Waarde,L_Sleutel,S898,L_Actief,1)))</f>
        <v/>
      </c>
      <c r="U898" s="111">
        <f>IF(OR(S898="",T898=""),0,P898-T898)</f>
        <v>0</v>
      </c>
      <c r="AB898" s="112" t="n">
        <v>64</v>
      </c>
      <c r="AC898" s="112" t="n">
        <v>8</v>
      </c>
      <c r="AD898" s="112" t="str">
        <f>VERW_Project!BQ69</f>
        <v/>
      </c>
      <c r="AE898" s="112">
        <f>IF(AND(VERW_Project!$A69&lt;&gt;"",ISNUMBER(AD898)),1,0)</f>
        <v>0</v>
      </c>
      <c r="AF898" s="112" t="str">
        <f>IF(AE898=1,SUM($AE$8:AE898),"")</f>
        <v/>
      </c>
      <c r="AG898" t="str">
        <f>IFERROR(MATCH(891,$AF$8:$AF$1407,0),"")</f>
        <v/>
      </c>
    </row>
    <row r="899">
      <c r="A899" s="92" t="str">
        <f>IF($AG899="","",P_ImportID)</f>
        <v/>
      </c>
      <c r="B899" s="92" t="str">
        <f>IF($AG899="","",IF(INDEX($AN$8:$AN$21,INDEX($AC$8:$AC$1407,$AG899)+1)="Z",P_BronZ,P_BronE))</f>
        <v/>
      </c>
      <c r="C899" s="108" t="str">
        <f>IF($AG899="","",P_Importdatum)</f>
        <v/>
      </c>
      <c r="D899" s="92" t="str">
        <f>IF($AG899="","",P_StatusVastleg)</f>
        <v/>
      </c>
      <c r="E899" s="92" t="str">
        <f>IF($AG899="","",P_UploadVJ)</f>
        <v/>
      </c>
      <c r="F899" s="92" t="str">
        <f>IF($AG899="","",P_UploadVersie)</f>
        <v/>
      </c>
      <c r="G899" s="92" t="str">
        <f>IF($AG899="","",IF(COUNTIFS(L_Sleutel,$S899,L_Status,"Vastgesteld")=0,0,_xlfn.MAXIFS(L_Revisie,L_Sleutel,$S899,L_Status,"Vastgesteld")+1))</f>
        <v/>
      </c>
      <c r="H899" s="108" t="str">
        <f>IF($AG899="","",P_Peildatum)</f>
        <v/>
      </c>
      <c r="I899" s="92" t="str">
        <f>IF($AG899="","",P_RJ+INDEX($AK$8:$AK$21,INDEX($AC$8:$AC$1407,$AG899)+1))</f>
        <v/>
      </c>
      <c r="J899" s="92" t="str">
        <f>IF($AG899="","",INDEX(V_WBS,INDEX($AB$8:$AB$1407,$AG899)))</f>
        <v/>
      </c>
      <c r="K899" s="92" t="str">
        <f>IF($AG899="","",INDEX(V_Projdef,INDEX($AB$8:$AB$1407,$AG899)))</f>
        <v/>
      </c>
      <c r="L899" s="92" t="str">
        <f>IF($AG899="","",INDEX(V_Naam,INDEX($AB$8:$AB$1407,$AG899)))</f>
        <v/>
      </c>
      <c r="M899" s="92" t="str">
        <f>IF($AG899="","",INDEX(V_Type,INDEX($AB$8:$AB$1407,$AG899)))</f>
        <v/>
      </c>
      <c r="N899" s="92" t="str">
        <f>IF($AG899="","",INDEX(V_IFRS,INDEX($AB$8:$AB$1407,$AG899)))</f>
        <v/>
      </c>
      <c r="O899" s="92" t="str">
        <f>IF($AG899="","",INDEX($AL$8:$AL$21,INDEX($AC$8:$AC$1407,$AG899)+1))</f>
        <v/>
      </c>
      <c r="P899" s="109" t="str">
        <f>IF($AG899="","",INDEX($AD$8:$AD$1407,$AG899))</f>
        <v/>
      </c>
      <c r="Q899" s="92" t="str">
        <f>IF($AG899="","",INDEX($AM$8:$AM$21,INDEX($AC$8:$AC$1407,$AG899)+1))</f>
        <v/>
      </c>
      <c r="R899" s="92" t="str">
        <f>IF($AG899="","",IF($G899&gt;0,P_ToelCorrectie&amp;"",""))</f>
        <v/>
      </c>
      <c r="S899" s="15" t="str">
        <f>IF(J899="","",J899&amp;"|"&amp;E899&amp;"|"&amp;F899&amp;"|"&amp;I899&amp;"|"&amp;O899)</f>
        <v/>
      </c>
      <c r="T899" s="111" t="str">
        <f>IF(S899="","",IF(COUNTIFS(L_Sleutel,S899,L_Actief,1)=0,"",SUMIFS(L_Waarde,L_Sleutel,S899,L_Actief,1)))</f>
        <v/>
      </c>
      <c r="U899" s="111">
        <f>IF(OR(S899="",T899=""),0,P899-T899)</f>
        <v>0</v>
      </c>
      <c r="AB899" s="112" t="n">
        <v>64</v>
      </c>
      <c r="AC899" s="112" t="n">
        <v>9</v>
      </c>
      <c r="AD899" s="112" t="str">
        <f>VERW_Project!BR69</f>
        <v/>
      </c>
      <c r="AE899" s="112">
        <f>IF(AND(VERW_Project!$A69&lt;&gt;"",ISNUMBER(AD899)),1,0)</f>
        <v>0</v>
      </c>
      <c r="AF899" s="112" t="str">
        <f>IF(AE899=1,SUM($AE$8:AE899),"")</f>
        <v/>
      </c>
      <c r="AG899" t="str">
        <f>IFERROR(MATCH(892,$AF$8:$AF$1407,0),"")</f>
        <v/>
      </c>
    </row>
    <row r="900">
      <c r="A900" s="92" t="str">
        <f>IF($AG900="","",P_ImportID)</f>
        <v/>
      </c>
      <c r="B900" s="92" t="str">
        <f>IF($AG900="","",IF(INDEX($AN$8:$AN$21,INDEX($AC$8:$AC$1407,$AG900)+1)="Z",P_BronZ,P_BronE))</f>
        <v/>
      </c>
      <c r="C900" s="108" t="str">
        <f>IF($AG900="","",P_Importdatum)</f>
        <v/>
      </c>
      <c r="D900" s="92" t="str">
        <f>IF($AG900="","",P_StatusVastleg)</f>
        <v/>
      </c>
      <c r="E900" s="92" t="str">
        <f>IF($AG900="","",P_UploadVJ)</f>
        <v/>
      </c>
      <c r="F900" s="92" t="str">
        <f>IF($AG900="","",P_UploadVersie)</f>
        <v/>
      </c>
      <c r="G900" s="92" t="str">
        <f>IF($AG900="","",IF(COUNTIFS(L_Sleutel,$S900,L_Status,"Vastgesteld")=0,0,_xlfn.MAXIFS(L_Revisie,L_Sleutel,$S900,L_Status,"Vastgesteld")+1))</f>
        <v/>
      </c>
      <c r="H900" s="108" t="str">
        <f>IF($AG900="","",P_Peildatum)</f>
        <v/>
      </c>
      <c r="I900" s="92" t="str">
        <f>IF($AG900="","",P_RJ+INDEX($AK$8:$AK$21,INDEX($AC$8:$AC$1407,$AG900)+1))</f>
        <v/>
      </c>
      <c r="J900" s="92" t="str">
        <f>IF($AG900="","",INDEX(V_WBS,INDEX($AB$8:$AB$1407,$AG900)))</f>
        <v/>
      </c>
      <c r="K900" s="92" t="str">
        <f>IF($AG900="","",INDEX(V_Projdef,INDEX($AB$8:$AB$1407,$AG900)))</f>
        <v/>
      </c>
      <c r="L900" s="92" t="str">
        <f>IF($AG900="","",INDEX(V_Naam,INDEX($AB$8:$AB$1407,$AG900)))</f>
        <v/>
      </c>
      <c r="M900" s="92" t="str">
        <f>IF($AG900="","",INDEX(V_Type,INDEX($AB$8:$AB$1407,$AG900)))</f>
        <v/>
      </c>
      <c r="N900" s="92" t="str">
        <f>IF($AG900="","",INDEX(V_IFRS,INDEX($AB$8:$AB$1407,$AG900)))</f>
        <v/>
      </c>
      <c r="O900" s="92" t="str">
        <f>IF($AG900="","",INDEX($AL$8:$AL$21,INDEX($AC$8:$AC$1407,$AG900)+1))</f>
        <v/>
      </c>
      <c r="P900" s="109" t="str">
        <f>IF($AG900="","",INDEX($AD$8:$AD$1407,$AG900))</f>
        <v/>
      </c>
      <c r="Q900" s="92" t="str">
        <f>IF($AG900="","",INDEX($AM$8:$AM$21,INDEX($AC$8:$AC$1407,$AG900)+1))</f>
        <v/>
      </c>
      <c r="R900" s="92" t="str">
        <f>IF($AG900="","",IF($G900&gt;0,P_ToelCorrectie&amp;"",""))</f>
        <v/>
      </c>
      <c r="S900" s="15" t="str">
        <f>IF(J900="","",J900&amp;"|"&amp;E900&amp;"|"&amp;F900&amp;"|"&amp;I900&amp;"|"&amp;O900)</f>
        <v/>
      </c>
      <c r="T900" s="111" t="str">
        <f>IF(S900="","",IF(COUNTIFS(L_Sleutel,S900,L_Actief,1)=0,"",SUMIFS(L_Waarde,L_Sleutel,S900,L_Actief,1)))</f>
        <v/>
      </c>
      <c r="U900" s="111">
        <f>IF(OR(S900="",T900=""),0,P900-T900)</f>
        <v>0</v>
      </c>
      <c r="AB900" s="112" t="n">
        <v>64</v>
      </c>
      <c r="AC900" s="112" t="n">
        <v>10</v>
      </c>
      <c r="AD900" s="112" t="str">
        <f>VERW_Project!BS69</f>
        <v/>
      </c>
      <c r="AE900" s="112">
        <f>IF(AND(VERW_Project!$A69&lt;&gt;"",ISNUMBER(AD900)),1,0)</f>
        <v>0</v>
      </c>
      <c r="AF900" s="112" t="str">
        <f>IF(AE900=1,SUM($AE$8:AE900),"")</f>
        <v/>
      </c>
      <c r="AG900" t="str">
        <f>IFERROR(MATCH(893,$AF$8:$AF$1407,0),"")</f>
        <v/>
      </c>
    </row>
    <row r="901">
      <c r="A901" s="92" t="str">
        <f>IF($AG901="","",P_ImportID)</f>
        <v/>
      </c>
      <c r="B901" s="92" t="str">
        <f>IF($AG901="","",IF(INDEX($AN$8:$AN$21,INDEX($AC$8:$AC$1407,$AG901)+1)="Z",P_BronZ,P_BronE))</f>
        <v/>
      </c>
      <c r="C901" s="108" t="str">
        <f>IF($AG901="","",P_Importdatum)</f>
        <v/>
      </c>
      <c r="D901" s="92" t="str">
        <f>IF($AG901="","",P_StatusVastleg)</f>
        <v/>
      </c>
      <c r="E901" s="92" t="str">
        <f>IF($AG901="","",P_UploadVJ)</f>
        <v/>
      </c>
      <c r="F901" s="92" t="str">
        <f>IF($AG901="","",P_UploadVersie)</f>
        <v/>
      </c>
      <c r="G901" s="92" t="str">
        <f>IF($AG901="","",IF(COUNTIFS(L_Sleutel,$S901,L_Status,"Vastgesteld")=0,0,_xlfn.MAXIFS(L_Revisie,L_Sleutel,$S901,L_Status,"Vastgesteld")+1))</f>
        <v/>
      </c>
      <c r="H901" s="108" t="str">
        <f>IF($AG901="","",P_Peildatum)</f>
        <v/>
      </c>
      <c r="I901" s="92" t="str">
        <f>IF($AG901="","",P_RJ+INDEX($AK$8:$AK$21,INDEX($AC$8:$AC$1407,$AG901)+1))</f>
        <v/>
      </c>
      <c r="J901" s="92" t="str">
        <f>IF($AG901="","",INDEX(V_WBS,INDEX($AB$8:$AB$1407,$AG901)))</f>
        <v/>
      </c>
      <c r="K901" s="92" t="str">
        <f>IF($AG901="","",INDEX(V_Projdef,INDEX($AB$8:$AB$1407,$AG901)))</f>
        <v/>
      </c>
      <c r="L901" s="92" t="str">
        <f>IF($AG901="","",INDEX(V_Naam,INDEX($AB$8:$AB$1407,$AG901)))</f>
        <v/>
      </c>
      <c r="M901" s="92" t="str">
        <f>IF($AG901="","",INDEX(V_Type,INDEX($AB$8:$AB$1407,$AG901)))</f>
        <v/>
      </c>
      <c r="N901" s="92" t="str">
        <f>IF($AG901="","",INDEX(V_IFRS,INDEX($AB$8:$AB$1407,$AG901)))</f>
        <v/>
      </c>
      <c r="O901" s="92" t="str">
        <f>IF($AG901="","",INDEX($AL$8:$AL$21,INDEX($AC$8:$AC$1407,$AG901)+1))</f>
        <v/>
      </c>
      <c r="P901" s="109" t="str">
        <f>IF($AG901="","",INDEX($AD$8:$AD$1407,$AG901))</f>
        <v/>
      </c>
      <c r="Q901" s="92" t="str">
        <f>IF($AG901="","",INDEX($AM$8:$AM$21,INDEX($AC$8:$AC$1407,$AG901)+1))</f>
        <v/>
      </c>
      <c r="R901" s="92" t="str">
        <f>IF($AG901="","",IF($G901&gt;0,P_ToelCorrectie&amp;"",""))</f>
        <v/>
      </c>
      <c r="S901" s="15" t="str">
        <f>IF(J901="","",J901&amp;"|"&amp;E901&amp;"|"&amp;F901&amp;"|"&amp;I901&amp;"|"&amp;O901)</f>
        <v/>
      </c>
      <c r="T901" s="111" t="str">
        <f>IF(S901="","",IF(COUNTIFS(L_Sleutel,S901,L_Actief,1)=0,"",SUMIFS(L_Waarde,L_Sleutel,S901,L_Actief,1)))</f>
        <v/>
      </c>
      <c r="U901" s="111">
        <f>IF(OR(S901="",T901=""),0,P901-T901)</f>
        <v>0</v>
      </c>
      <c r="AB901" s="112" t="n">
        <v>64</v>
      </c>
      <c r="AC901" s="112" t="n">
        <v>11</v>
      </c>
      <c r="AD901" s="112" t="str">
        <f>VERW_Project!BT69</f>
        <v/>
      </c>
      <c r="AE901" s="112">
        <f>IF(AND(VERW_Project!$A69&lt;&gt;"",ISNUMBER(AD901)),1,0)</f>
        <v>0</v>
      </c>
      <c r="AF901" s="112" t="str">
        <f>IF(AE901=1,SUM($AE$8:AE901),"")</f>
        <v/>
      </c>
      <c r="AG901" t="str">
        <f>IFERROR(MATCH(894,$AF$8:$AF$1407,0),"")</f>
        <v/>
      </c>
    </row>
    <row r="902">
      <c r="A902" s="92" t="str">
        <f>IF($AG902="","",P_ImportID)</f>
        <v/>
      </c>
      <c r="B902" s="92" t="str">
        <f>IF($AG902="","",IF(INDEX($AN$8:$AN$21,INDEX($AC$8:$AC$1407,$AG902)+1)="Z",P_BronZ,P_BronE))</f>
        <v/>
      </c>
      <c r="C902" s="108" t="str">
        <f>IF($AG902="","",P_Importdatum)</f>
        <v/>
      </c>
      <c r="D902" s="92" t="str">
        <f>IF($AG902="","",P_StatusVastleg)</f>
        <v/>
      </c>
      <c r="E902" s="92" t="str">
        <f>IF($AG902="","",P_UploadVJ)</f>
        <v/>
      </c>
      <c r="F902" s="92" t="str">
        <f>IF($AG902="","",P_UploadVersie)</f>
        <v/>
      </c>
      <c r="G902" s="92" t="str">
        <f>IF($AG902="","",IF(COUNTIFS(L_Sleutel,$S902,L_Status,"Vastgesteld")=0,0,_xlfn.MAXIFS(L_Revisie,L_Sleutel,$S902,L_Status,"Vastgesteld")+1))</f>
        <v/>
      </c>
      <c r="H902" s="108" t="str">
        <f>IF($AG902="","",P_Peildatum)</f>
        <v/>
      </c>
      <c r="I902" s="92" t="str">
        <f>IF($AG902="","",P_RJ+INDEX($AK$8:$AK$21,INDEX($AC$8:$AC$1407,$AG902)+1))</f>
        <v/>
      </c>
      <c r="J902" s="92" t="str">
        <f>IF($AG902="","",INDEX(V_WBS,INDEX($AB$8:$AB$1407,$AG902)))</f>
        <v/>
      </c>
      <c r="K902" s="92" t="str">
        <f>IF($AG902="","",INDEX(V_Projdef,INDEX($AB$8:$AB$1407,$AG902)))</f>
        <v/>
      </c>
      <c r="L902" s="92" t="str">
        <f>IF($AG902="","",INDEX(V_Naam,INDEX($AB$8:$AB$1407,$AG902)))</f>
        <v/>
      </c>
      <c r="M902" s="92" t="str">
        <f>IF($AG902="","",INDEX(V_Type,INDEX($AB$8:$AB$1407,$AG902)))</f>
        <v/>
      </c>
      <c r="N902" s="92" t="str">
        <f>IF($AG902="","",INDEX(V_IFRS,INDEX($AB$8:$AB$1407,$AG902)))</f>
        <v/>
      </c>
      <c r="O902" s="92" t="str">
        <f>IF($AG902="","",INDEX($AL$8:$AL$21,INDEX($AC$8:$AC$1407,$AG902)+1))</f>
        <v/>
      </c>
      <c r="P902" s="109" t="str">
        <f>IF($AG902="","",INDEX($AD$8:$AD$1407,$AG902))</f>
        <v/>
      </c>
      <c r="Q902" s="92" t="str">
        <f>IF($AG902="","",INDEX($AM$8:$AM$21,INDEX($AC$8:$AC$1407,$AG902)+1))</f>
        <v/>
      </c>
      <c r="R902" s="92" t="str">
        <f>IF($AG902="","",IF($G902&gt;0,P_ToelCorrectie&amp;"",""))</f>
        <v/>
      </c>
      <c r="S902" s="15" t="str">
        <f>IF(J902="","",J902&amp;"|"&amp;E902&amp;"|"&amp;F902&amp;"|"&amp;I902&amp;"|"&amp;O902)</f>
        <v/>
      </c>
      <c r="T902" s="111" t="str">
        <f>IF(S902="","",IF(COUNTIFS(L_Sleutel,S902,L_Actief,1)=0,"",SUMIFS(L_Waarde,L_Sleutel,S902,L_Actief,1)))</f>
        <v/>
      </c>
      <c r="U902" s="111">
        <f>IF(OR(S902="",T902=""),0,P902-T902)</f>
        <v>0</v>
      </c>
      <c r="AB902" s="112" t="n">
        <v>64</v>
      </c>
      <c r="AC902" s="112" t="n">
        <v>12</v>
      </c>
      <c r="AD902" s="112" t="str">
        <f>VERW_Project!BU69</f>
        <v/>
      </c>
      <c r="AE902" s="112">
        <f>IF(AND(VERW_Project!$A69&lt;&gt;"",ISNUMBER(AD902)),1,0)</f>
        <v>0</v>
      </c>
      <c r="AF902" s="112" t="str">
        <f>IF(AE902=1,SUM($AE$8:AE902),"")</f>
        <v/>
      </c>
      <c r="AG902" t="str">
        <f>IFERROR(MATCH(895,$AF$8:$AF$1407,0),"")</f>
        <v/>
      </c>
    </row>
    <row r="903">
      <c r="A903" s="92" t="str">
        <f>IF($AG903="","",P_ImportID)</f>
        <v/>
      </c>
      <c r="B903" s="92" t="str">
        <f>IF($AG903="","",IF(INDEX($AN$8:$AN$21,INDEX($AC$8:$AC$1407,$AG903)+1)="Z",P_BronZ,P_BronE))</f>
        <v/>
      </c>
      <c r="C903" s="108" t="str">
        <f>IF($AG903="","",P_Importdatum)</f>
        <v/>
      </c>
      <c r="D903" s="92" t="str">
        <f>IF($AG903="","",P_StatusVastleg)</f>
        <v/>
      </c>
      <c r="E903" s="92" t="str">
        <f>IF($AG903="","",P_UploadVJ)</f>
        <v/>
      </c>
      <c r="F903" s="92" t="str">
        <f>IF($AG903="","",P_UploadVersie)</f>
        <v/>
      </c>
      <c r="G903" s="92" t="str">
        <f>IF($AG903="","",IF(COUNTIFS(L_Sleutel,$S903,L_Status,"Vastgesteld")=0,0,_xlfn.MAXIFS(L_Revisie,L_Sleutel,$S903,L_Status,"Vastgesteld")+1))</f>
        <v/>
      </c>
      <c r="H903" s="108" t="str">
        <f>IF($AG903="","",P_Peildatum)</f>
        <v/>
      </c>
      <c r="I903" s="92" t="str">
        <f>IF($AG903="","",P_RJ+INDEX($AK$8:$AK$21,INDEX($AC$8:$AC$1407,$AG903)+1))</f>
        <v/>
      </c>
      <c r="J903" s="92" t="str">
        <f>IF($AG903="","",INDEX(V_WBS,INDEX($AB$8:$AB$1407,$AG903)))</f>
        <v/>
      </c>
      <c r="K903" s="92" t="str">
        <f>IF($AG903="","",INDEX(V_Projdef,INDEX($AB$8:$AB$1407,$AG903)))</f>
        <v/>
      </c>
      <c r="L903" s="92" t="str">
        <f>IF($AG903="","",INDEX(V_Naam,INDEX($AB$8:$AB$1407,$AG903)))</f>
        <v/>
      </c>
      <c r="M903" s="92" t="str">
        <f>IF($AG903="","",INDEX(V_Type,INDEX($AB$8:$AB$1407,$AG903)))</f>
        <v/>
      </c>
      <c r="N903" s="92" t="str">
        <f>IF($AG903="","",INDEX(V_IFRS,INDEX($AB$8:$AB$1407,$AG903)))</f>
        <v/>
      </c>
      <c r="O903" s="92" t="str">
        <f>IF($AG903="","",INDEX($AL$8:$AL$21,INDEX($AC$8:$AC$1407,$AG903)+1))</f>
        <v/>
      </c>
      <c r="P903" s="109" t="str">
        <f>IF($AG903="","",INDEX($AD$8:$AD$1407,$AG903))</f>
        <v/>
      </c>
      <c r="Q903" s="92" t="str">
        <f>IF($AG903="","",INDEX($AM$8:$AM$21,INDEX($AC$8:$AC$1407,$AG903)+1))</f>
        <v/>
      </c>
      <c r="R903" s="92" t="str">
        <f>IF($AG903="","",IF($G903&gt;0,P_ToelCorrectie&amp;"",""))</f>
        <v/>
      </c>
      <c r="S903" s="15" t="str">
        <f>IF(J903="","",J903&amp;"|"&amp;E903&amp;"|"&amp;F903&amp;"|"&amp;I903&amp;"|"&amp;O903)</f>
        <v/>
      </c>
      <c r="T903" s="111" t="str">
        <f>IF(S903="","",IF(COUNTIFS(L_Sleutel,S903,L_Actief,1)=0,"",SUMIFS(L_Waarde,L_Sleutel,S903,L_Actief,1)))</f>
        <v/>
      </c>
      <c r="U903" s="111">
        <f>IF(OR(S903="",T903=""),0,P903-T903)</f>
        <v>0</v>
      </c>
      <c r="AB903" s="112" t="n">
        <v>64</v>
      </c>
      <c r="AC903" s="112" t="n">
        <v>13</v>
      </c>
      <c r="AD903" s="112" t="str">
        <f>VERW_Project!BX69</f>
        <v/>
      </c>
      <c r="AE903" s="112">
        <f>IF(AND(VERW_Project!$A69&lt;&gt;"",ISNUMBER(AD903)),1,0)</f>
        <v>0</v>
      </c>
      <c r="AF903" s="112" t="str">
        <f>IF(AE903=1,SUM($AE$8:AE903),"")</f>
        <v/>
      </c>
      <c r="AG903" t="str">
        <f>IFERROR(MATCH(896,$AF$8:$AF$1407,0),"")</f>
        <v/>
      </c>
    </row>
    <row r="904">
      <c r="A904" s="92" t="str">
        <f>IF($AG904="","",P_ImportID)</f>
        <v/>
      </c>
      <c r="B904" s="92" t="str">
        <f>IF($AG904="","",IF(INDEX($AN$8:$AN$21,INDEX($AC$8:$AC$1407,$AG904)+1)="Z",P_BronZ,P_BronE))</f>
        <v/>
      </c>
      <c r="C904" s="108" t="str">
        <f>IF($AG904="","",P_Importdatum)</f>
        <v/>
      </c>
      <c r="D904" s="92" t="str">
        <f>IF($AG904="","",P_StatusVastleg)</f>
        <v/>
      </c>
      <c r="E904" s="92" t="str">
        <f>IF($AG904="","",P_UploadVJ)</f>
        <v/>
      </c>
      <c r="F904" s="92" t="str">
        <f>IF($AG904="","",P_UploadVersie)</f>
        <v/>
      </c>
      <c r="G904" s="92" t="str">
        <f>IF($AG904="","",IF(COUNTIFS(L_Sleutel,$S904,L_Status,"Vastgesteld")=0,0,_xlfn.MAXIFS(L_Revisie,L_Sleutel,$S904,L_Status,"Vastgesteld")+1))</f>
        <v/>
      </c>
      <c r="H904" s="108" t="str">
        <f>IF($AG904="","",P_Peildatum)</f>
        <v/>
      </c>
      <c r="I904" s="92" t="str">
        <f>IF($AG904="","",P_RJ+INDEX($AK$8:$AK$21,INDEX($AC$8:$AC$1407,$AG904)+1))</f>
        <v/>
      </c>
      <c r="J904" s="92" t="str">
        <f>IF($AG904="","",INDEX(V_WBS,INDEX($AB$8:$AB$1407,$AG904)))</f>
        <v/>
      </c>
      <c r="K904" s="92" t="str">
        <f>IF($AG904="","",INDEX(V_Projdef,INDEX($AB$8:$AB$1407,$AG904)))</f>
        <v/>
      </c>
      <c r="L904" s="92" t="str">
        <f>IF($AG904="","",INDEX(V_Naam,INDEX($AB$8:$AB$1407,$AG904)))</f>
        <v/>
      </c>
      <c r="M904" s="92" t="str">
        <f>IF($AG904="","",INDEX(V_Type,INDEX($AB$8:$AB$1407,$AG904)))</f>
        <v/>
      </c>
      <c r="N904" s="92" t="str">
        <f>IF($AG904="","",INDEX(V_IFRS,INDEX($AB$8:$AB$1407,$AG904)))</f>
        <v/>
      </c>
      <c r="O904" s="92" t="str">
        <f>IF($AG904="","",INDEX($AL$8:$AL$21,INDEX($AC$8:$AC$1407,$AG904)+1))</f>
        <v/>
      </c>
      <c r="P904" s="109" t="str">
        <f>IF($AG904="","",INDEX($AD$8:$AD$1407,$AG904))</f>
        <v/>
      </c>
      <c r="Q904" s="92" t="str">
        <f>IF($AG904="","",INDEX($AM$8:$AM$21,INDEX($AC$8:$AC$1407,$AG904)+1))</f>
        <v/>
      </c>
      <c r="R904" s="92" t="str">
        <f>IF($AG904="","",IF($G904&gt;0,P_ToelCorrectie&amp;"",""))</f>
        <v/>
      </c>
      <c r="S904" s="15" t="str">
        <f>IF(J904="","",J904&amp;"|"&amp;E904&amp;"|"&amp;F904&amp;"|"&amp;I904&amp;"|"&amp;O904)</f>
        <v/>
      </c>
      <c r="T904" s="111" t="str">
        <f>IF(S904="","",IF(COUNTIFS(L_Sleutel,S904,L_Actief,1)=0,"",SUMIFS(L_Waarde,L_Sleutel,S904,L_Actief,1)))</f>
        <v/>
      </c>
      <c r="U904" s="111">
        <f>IF(OR(S904="",T904=""),0,P904-T904)</f>
        <v>0</v>
      </c>
      <c r="AB904" s="112" t="n">
        <v>65</v>
      </c>
      <c r="AC904" s="112" t="n">
        <v>0</v>
      </c>
      <c r="AD904" s="112" t="str">
        <f>VERW_Project!P70</f>
        <v/>
      </c>
      <c r="AE904" s="112">
        <f>IF(AND(VERW_Project!$A70&lt;&gt;"",ISNUMBER(AD904)),1,0)</f>
        <v>0</v>
      </c>
      <c r="AF904" s="112" t="str">
        <f>IF(AE904=1,SUM($AE$8:AE904),"")</f>
        <v/>
      </c>
      <c r="AG904" t="str">
        <f>IFERROR(MATCH(897,$AF$8:$AF$1407,0),"")</f>
        <v/>
      </c>
    </row>
    <row r="905">
      <c r="A905" s="92" t="str">
        <f>IF($AG905="","",P_ImportID)</f>
        <v/>
      </c>
      <c r="B905" s="92" t="str">
        <f>IF($AG905="","",IF(INDEX($AN$8:$AN$21,INDEX($AC$8:$AC$1407,$AG905)+1)="Z",P_BronZ,P_BronE))</f>
        <v/>
      </c>
      <c r="C905" s="108" t="str">
        <f>IF($AG905="","",P_Importdatum)</f>
        <v/>
      </c>
      <c r="D905" s="92" t="str">
        <f>IF($AG905="","",P_StatusVastleg)</f>
        <v/>
      </c>
      <c r="E905" s="92" t="str">
        <f>IF($AG905="","",P_UploadVJ)</f>
        <v/>
      </c>
      <c r="F905" s="92" t="str">
        <f>IF($AG905="","",P_UploadVersie)</f>
        <v/>
      </c>
      <c r="G905" s="92" t="str">
        <f>IF($AG905="","",IF(COUNTIFS(L_Sleutel,$S905,L_Status,"Vastgesteld")=0,0,_xlfn.MAXIFS(L_Revisie,L_Sleutel,$S905,L_Status,"Vastgesteld")+1))</f>
        <v/>
      </c>
      <c r="H905" s="108" t="str">
        <f>IF($AG905="","",P_Peildatum)</f>
        <v/>
      </c>
      <c r="I905" s="92" t="str">
        <f>IF($AG905="","",P_RJ+INDEX($AK$8:$AK$21,INDEX($AC$8:$AC$1407,$AG905)+1))</f>
        <v/>
      </c>
      <c r="J905" s="92" t="str">
        <f>IF($AG905="","",INDEX(V_WBS,INDEX($AB$8:$AB$1407,$AG905)))</f>
        <v/>
      </c>
      <c r="K905" s="92" t="str">
        <f>IF($AG905="","",INDEX(V_Projdef,INDEX($AB$8:$AB$1407,$AG905)))</f>
        <v/>
      </c>
      <c r="L905" s="92" t="str">
        <f>IF($AG905="","",INDEX(V_Naam,INDEX($AB$8:$AB$1407,$AG905)))</f>
        <v/>
      </c>
      <c r="M905" s="92" t="str">
        <f>IF($AG905="","",INDEX(V_Type,INDEX($AB$8:$AB$1407,$AG905)))</f>
        <v/>
      </c>
      <c r="N905" s="92" t="str">
        <f>IF($AG905="","",INDEX(V_IFRS,INDEX($AB$8:$AB$1407,$AG905)))</f>
        <v/>
      </c>
      <c r="O905" s="92" t="str">
        <f>IF($AG905="","",INDEX($AL$8:$AL$21,INDEX($AC$8:$AC$1407,$AG905)+1))</f>
        <v/>
      </c>
      <c r="P905" s="109" t="str">
        <f>IF($AG905="","",INDEX($AD$8:$AD$1407,$AG905))</f>
        <v/>
      </c>
      <c r="Q905" s="92" t="str">
        <f>IF($AG905="","",INDEX($AM$8:$AM$21,INDEX($AC$8:$AC$1407,$AG905)+1))</f>
        <v/>
      </c>
      <c r="R905" s="92" t="str">
        <f>IF($AG905="","",IF($G905&gt;0,P_ToelCorrectie&amp;"",""))</f>
        <v/>
      </c>
      <c r="S905" s="15" t="str">
        <f>IF(J905="","",J905&amp;"|"&amp;E905&amp;"|"&amp;F905&amp;"|"&amp;I905&amp;"|"&amp;O905)</f>
        <v/>
      </c>
      <c r="T905" s="111" t="str">
        <f>IF(S905="","",IF(COUNTIFS(L_Sleutel,S905,L_Actief,1)=0,"",SUMIFS(L_Waarde,L_Sleutel,S905,L_Actief,1)))</f>
        <v/>
      </c>
      <c r="U905" s="111">
        <f>IF(OR(S905="",T905=""),0,P905-T905)</f>
        <v>0</v>
      </c>
      <c r="AB905" s="112" t="n">
        <v>65</v>
      </c>
      <c r="AC905" s="112" t="n">
        <v>1</v>
      </c>
      <c r="AD905" s="112" t="str">
        <f>VERW_Project!Q70</f>
        <v/>
      </c>
      <c r="AE905" s="112">
        <f>IF(AND(VERW_Project!$A70&lt;&gt;"",ISNUMBER(AD905)),1,0)</f>
        <v>0</v>
      </c>
      <c r="AF905" s="112" t="str">
        <f>IF(AE905=1,SUM($AE$8:AE905),"")</f>
        <v/>
      </c>
      <c r="AG905" t="str">
        <f>IFERROR(MATCH(898,$AF$8:$AF$1407,0),"")</f>
        <v/>
      </c>
    </row>
    <row r="906">
      <c r="A906" s="92" t="str">
        <f>IF($AG906="","",P_ImportID)</f>
        <v/>
      </c>
      <c r="B906" s="92" t="str">
        <f>IF($AG906="","",IF(INDEX($AN$8:$AN$21,INDEX($AC$8:$AC$1407,$AG906)+1)="Z",P_BronZ,P_BronE))</f>
        <v/>
      </c>
      <c r="C906" s="108" t="str">
        <f>IF($AG906="","",P_Importdatum)</f>
        <v/>
      </c>
      <c r="D906" s="92" t="str">
        <f>IF($AG906="","",P_StatusVastleg)</f>
        <v/>
      </c>
      <c r="E906" s="92" t="str">
        <f>IF($AG906="","",P_UploadVJ)</f>
        <v/>
      </c>
      <c r="F906" s="92" t="str">
        <f>IF($AG906="","",P_UploadVersie)</f>
        <v/>
      </c>
      <c r="G906" s="92" t="str">
        <f>IF($AG906="","",IF(COUNTIFS(L_Sleutel,$S906,L_Status,"Vastgesteld")=0,0,_xlfn.MAXIFS(L_Revisie,L_Sleutel,$S906,L_Status,"Vastgesteld")+1))</f>
        <v/>
      </c>
      <c r="H906" s="108" t="str">
        <f>IF($AG906="","",P_Peildatum)</f>
        <v/>
      </c>
      <c r="I906" s="92" t="str">
        <f>IF($AG906="","",P_RJ+INDEX($AK$8:$AK$21,INDEX($AC$8:$AC$1407,$AG906)+1))</f>
        <v/>
      </c>
      <c r="J906" s="92" t="str">
        <f>IF($AG906="","",INDEX(V_WBS,INDEX($AB$8:$AB$1407,$AG906)))</f>
        <v/>
      </c>
      <c r="K906" s="92" t="str">
        <f>IF($AG906="","",INDEX(V_Projdef,INDEX($AB$8:$AB$1407,$AG906)))</f>
        <v/>
      </c>
      <c r="L906" s="92" t="str">
        <f>IF($AG906="","",INDEX(V_Naam,INDEX($AB$8:$AB$1407,$AG906)))</f>
        <v/>
      </c>
      <c r="M906" s="92" t="str">
        <f>IF($AG906="","",INDEX(V_Type,INDEX($AB$8:$AB$1407,$AG906)))</f>
        <v/>
      </c>
      <c r="N906" s="92" t="str">
        <f>IF($AG906="","",INDEX(V_IFRS,INDEX($AB$8:$AB$1407,$AG906)))</f>
        <v/>
      </c>
      <c r="O906" s="92" t="str">
        <f>IF($AG906="","",INDEX($AL$8:$AL$21,INDEX($AC$8:$AC$1407,$AG906)+1))</f>
        <v/>
      </c>
      <c r="P906" s="109" t="str">
        <f>IF($AG906="","",INDEX($AD$8:$AD$1407,$AG906))</f>
        <v/>
      </c>
      <c r="Q906" s="92" t="str">
        <f>IF($AG906="","",INDEX($AM$8:$AM$21,INDEX($AC$8:$AC$1407,$AG906)+1))</f>
        <v/>
      </c>
      <c r="R906" s="92" t="str">
        <f>IF($AG906="","",IF($G906&gt;0,P_ToelCorrectie&amp;"",""))</f>
        <v/>
      </c>
      <c r="S906" s="15" t="str">
        <f>IF(J906="","",J906&amp;"|"&amp;E906&amp;"|"&amp;F906&amp;"|"&amp;I906&amp;"|"&amp;O906)</f>
        <v/>
      </c>
      <c r="T906" s="111" t="str">
        <f>IF(S906="","",IF(COUNTIFS(L_Sleutel,S906,L_Actief,1)=0,"",SUMIFS(L_Waarde,L_Sleutel,S906,L_Actief,1)))</f>
        <v/>
      </c>
      <c r="U906" s="111">
        <f>IF(OR(S906="",T906=""),0,P906-T906)</f>
        <v>0</v>
      </c>
      <c r="AB906" s="112" t="n">
        <v>65</v>
      </c>
      <c r="AC906" s="112" t="n">
        <v>2</v>
      </c>
      <c r="AD906" s="112" t="str">
        <f>VERW_Project!L70</f>
        <v/>
      </c>
      <c r="AE906" s="112">
        <f>IF(AND(VERW_Project!$A70&lt;&gt;"",ISNUMBER(AD906)),1,0)</f>
        <v>0</v>
      </c>
      <c r="AF906" s="112" t="str">
        <f>IF(AE906=1,SUM($AE$8:AE906),"")</f>
        <v/>
      </c>
      <c r="AG906" t="str">
        <f>IFERROR(MATCH(899,$AF$8:$AF$1407,0),"")</f>
        <v/>
      </c>
    </row>
    <row r="907">
      <c r="A907" s="92" t="str">
        <f>IF($AG907="","",P_ImportID)</f>
        <v/>
      </c>
      <c r="B907" s="92" t="str">
        <f>IF($AG907="","",IF(INDEX($AN$8:$AN$21,INDEX($AC$8:$AC$1407,$AG907)+1)="Z",P_BronZ,P_BronE))</f>
        <v/>
      </c>
      <c r="C907" s="108" t="str">
        <f>IF($AG907="","",P_Importdatum)</f>
        <v/>
      </c>
      <c r="D907" s="92" t="str">
        <f>IF($AG907="","",P_StatusVastleg)</f>
        <v/>
      </c>
      <c r="E907" s="92" t="str">
        <f>IF($AG907="","",P_UploadVJ)</f>
        <v/>
      </c>
      <c r="F907" s="92" t="str">
        <f>IF($AG907="","",P_UploadVersie)</f>
        <v/>
      </c>
      <c r="G907" s="92" t="str">
        <f>IF($AG907="","",IF(COUNTIFS(L_Sleutel,$S907,L_Status,"Vastgesteld")=0,0,_xlfn.MAXIFS(L_Revisie,L_Sleutel,$S907,L_Status,"Vastgesteld")+1))</f>
        <v/>
      </c>
      <c r="H907" s="108" t="str">
        <f>IF($AG907="","",P_Peildatum)</f>
        <v/>
      </c>
      <c r="I907" s="92" t="str">
        <f>IF($AG907="","",P_RJ+INDEX($AK$8:$AK$21,INDEX($AC$8:$AC$1407,$AG907)+1))</f>
        <v/>
      </c>
      <c r="J907" s="92" t="str">
        <f>IF($AG907="","",INDEX(V_WBS,INDEX($AB$8:$AB$1407,$AG907)))</f>
        <v/>
      </c>
      <c r="K907" s="92" t="str">
        <f>IF($AG907="","",INDEX(V_Projdef,INDEX($AB$8:$AB$1407,$AG907)))</f>
        <v/>
      </c>
      <c r="L907" s="92" t="str">
        <f>IF($AG907="","",INDEX(V_Naam,INDEX($AB$8:$AB$1407,$AG907)))</f>
        <v/>
      </c>
      <c r="M907" s="92" t="str">
        <f>IF($AG907="","",INDEX(V_Type,INDEX($AB$8:$AB$1407,$AG907)))</f>
        <v/>
      </c>
      <c r="N907" s="92" t="str">
        <f>IF($AG907="","",INDEX(V_IFRS,INDEX($AB$8:$AB$1407,$AG907)))</f>
        <v/>
      </c>
      <c r="O907" s="92" t="str">
        <f>IF($AG907="","",INDEX($AL$8:$AL$21,INDEX($AC$8:$AC$1407,$AG907)+1))</f>
        <v/>
      </c>
      <c r="P907" s="109" t="str">
        <f>IF($AG907="","",INDEX($AD$8:$AD$1407,$AG907))</f>
        <v/>
      </c>
      <c r="Q907" s="92" t="str">
        <f>IF($AG907="","",INDEX($AM$8:$AM$21,INDEX($AC$8:$AC$1407,$AG907)+1))</f>
        <v/>
      </c>
      <c r="R907" s="92" t="str">
        <f>IF($AG907="","",IF($G907&gt;0,P_ToelCorrectie&amp;"",""))</f>
        <v/>
      </c>
      <c r="S907" s="15" t="str">
        <f>IF(J907="","",J907&amp;"|"&amp;E907&amp;"|"&amp;F907&amp;"|"&amp;I907&amp;"|"&amp;O907)</f>
        <v/>
      </c>
      <c r="T907" s="111" t="str">
        <f>IF(S907="","",IF(COUNTIFS(L_Sleutel,S907,L_Actief,1)=0,"",SUMIFS(L_Waarde,L_Sleutel,S907,L_Actief,1)))</f>
        <v/>
      </c>
      <c r="U907" s="111">
        <f>IF(OR(S907="",T907=""),0,P907-T907)</f>
        <v>0</v>
      </c>
      <c r="AB907" s="112" t="n">
        <v>65</v>
      </c>
      <c r="AC907" s="112" t="n">
        <v>3</v>
      </c>
      <c r="AD907" s="112" t="str">
        <f>VERW_Project!M70</f>
        <v/>
      </c>
      <c r="AE907" s="112">
        <f>IF(AND(VERW_Project!$A70&lt;&gt;"",ISNUMBER(AD907)),1,0)</f>
        <v>0</v>
      </c>
      <c r="AF907" s="112" t="str">
        <f>IF(AE907=1,SUM($AE$8:AE907),"")</f>
        <v/>
      </c>
      <c r="AG907" t="str">
        <f>IFERROR(MATCH(900,$AF$8:$AF$1407,0),"")</f>
        <v/>
      </c>
    </row>
    <row r="908">
      <c r="A908" s="92" t="str">
        <f>IF($AG908="","",P_ImportID)</f>
        <v/>
      </c>
      <c r="B908" s="92" t="str">
        <f>IF($AG908="","",IF(INDEX($AN$8:$AN$21,INDEX($AC$8:$AC$1407,$AG908)+1)="Z",P_BronZ,P_BronE))</f>
        <v/>
      </c>
      <c r="C908" s="108" t="str">
        <f>IF($AG908="","",P_Importdatum)</f>
        <v/>
      </c>
      <c r="D908" s="92" t="str">
        <f>IF($AG908="","",P_StatusVastleg)</f>
        <v/>
      </c>
      <c r="E908" s="92" t="str">
        <f>IF($AG908="","",P_UploadVJ)</f>
        <v/>
      </c>
      <c r="F908" s="92" t="str">
        <f>IF($AG908="","",P_UploadVersie)</f>
        <v/>
      </c>
      <c r="G908" s="92" t="str">
        <f>IF($AG908="","",IF(COUNTIFS(L_Sleutel,$S908,L_Status,"Vastgesteld")=0,0,_xlfn.MAXIFS(L_Revisie,L_Sleutel,$S908,L_Status,"Vastgesteld")+1))</f>
        <v/>
      </c>
      <c r="H908" s="108" t="str">
        <f>IF($AG908="","",P_Peildatum)</f>
        <v/>
      </c>
      <c r="I908" s="92" t="str">
        <f>IF($AG908="","",P_RJ+INDEX($AK$8:$AK$21,INDEX($AC$8:$AC$1407,$AG908)+1))</f>
        <v/>
      </c>
      <c r="J908" s="92" t="str">
        <f>IF($AG908="","",INDEX(V_WBS,INDEX($AB$8:$AB$1407,$AG908)))</f>
        <v/>
      </c>
      <c r="K908" s="92" t="str">
        <f>IF($AG908="","",INDEX(V_Projdef,INDEX($AB$8:$AB$1407,$AG908)))</f>
        <v/>
      </c>
      <c r="L908" s="92" t="str">
        <f>IF($AG908="","",INDEX(V_Naam,INDEX($AB$8:$AB$1407,$AG908)))</f>
        <v/>
      </c>
      <c r="M908" s="92" t="str">
        <f>IF($AG908="","",INDEX(V_Type,INDEX($AB$8:$AB$1407,$AG908)))</f>
        <v/>
      </c>
      <c r="N908" s="92" t="str">
        <f>IF($AG908="","",INDEX(V_IFRS,INDEX($AB$8:$AB$1407,$AG908)))</f>
        <v/>
      </c>
      <c r="O908" s="92" t="str">
        <f>IF($AG908="","",INDEX($AL$8:$AL$21,INDEX($AC$8:$AC$1407,$AG908)+1))</f>
        <v/>
      </c>
      <c r="P908" s="109" t="str">
        <f>IF($AG908="","",INDEX($AD$8:$AD$1407,$AG908))</f>
        <v/>
      </c>
      <c r="Q908" s="92" t="str">
        <f>IF($AG908="","",INDEX($AM$8:$AM$21,INDEX($AC$8:$AC$1407,$AG908)+1))</f>
        <v/>
      </c>
      <c r="R908" s="92" t="str">
        <f>IF($AG908="","",IF($G908&gt;0,P_ToelCorrectie&amp;"",""))</f>
        <v/>
      </c>
      <c r="S908" s="15" t="str">
        <f>IF(J908="","",J908&amp;"|"&amp;E908&amp;"|"&amp;F908&amp;"|"&amp;I908&amp;"|"&amp;O908)</f>
        <v/>
      </c>
      <c r="T908" s="111" t="str">
        <f>IF(S908="","",IF(COUNTIFS(L_Sleutel,S908,L_Actief,1)=0,"",SUMIFS(L_Waarde,L_Sleutel,S908,L_Actief,1)))</f>
        <v/>
      </c>
      <c r="U908" s="111">
        <f>IF(OR(S908="",T908=""),0,P908-T908)</f>
        <v>0</v>
      </c>
      <c r="AB908" s="112" t="n">
        <v>65</v>
      </c>
      <c r="AC908" s="112" t="n">
        <v>4</v>
      </c>
      <c r="AD908" s="112" t="str">
        <f>VERW_Project!R70</f>
        <v/>
      </c>
      <c r="AE908" s="112">
        <f>IF(AND(VERW_Project!$A70&lt;&gt;"",ISNUMBER(AD908)),1,0)</f>
        <v>0</v>
      </c>
      <c r="AF908" s="112" t="str">
        <f>IF(AE908=1,SUM($AE$8:AE908),"")</f>
        <v/>
      </c>
      <c r="AG908" t="str">
        <f>IFERROR(MATCH(901,$AF$8:$AF$1407,0),"")</f>
        <v/>
      </c>
    </row>
    <row r="909">
      <c r="A909" s="92" t="str">
        <f>IF($AG909="","",P_ImportID)</f>
        <v/>
      </c>
      <c r="B909" s="92" t="str">
        <f>IF($AG909="","",IF(INDEX($AN$8:$AN$21,INDEX($AC$8:$AC$1407,$AG909)+1)="Z",P_BronZ,P_BronE))</f>
        <v/>
      </c>
      <c r="C909" s="108" t="str">
        <f>IF($AG909="","",P_Importdatum)</f>
        <v/>
      </c>
      <c r="D909" s="92" t="str">
        <f>IF($AG909="","",P_StatusVastleg)</f>
        <v/>
      </c>
      <c r="E909" s="92" t="str">
        <f>IF($AG909="","",P_UploadVJ)</f>
        <v/>
      </c>
      <c r="F909" s="92" t="str">
        <f>IF($AG909="","",P_UploadVersie)</f>
        <v/>
      </c>
      <c r="G909" s="92" t="str">
        <f>IF($AG909="","",IF(COUNTIFS(L_Sleutel,$S909,L_Status,"Vastgesteld")=0,0,_xlfn.MAXIFS(L_Revisie,L_Sleutel,$S909,L_Status,"Vastgesteld")+1))</f>
        <v/>
      </c>
      <c r="H909" s="108" t="str">
        <f>IF($AG909="","",P_Peildatum)</f>
        <v/>
      </c>
      <c r="I909" s="92" t="str">
        <f>IF($AG909="","",P_RJ+INDEX($AK$8:$AK$21,INDEX($AC$8:$AC$1407,$AG909)+1))</f>
        <v/>
      </c>
      <c r="J909" s="92" t="str">
        <f>IF($AG909="","",INDEX(V_WBS,INDEX($AB$8:$AB$1407,$AG909)))</f>
        <v/>
      </c>
      <c r="K909" s="92" t="str">
        <f>IF($AG909="","",INDEX(V_Projdef,INDEX($AB$8:$AB$1407,$AG909)))</f>
        <v/>
      </c>
      <c r="L909" s="92" t="str">
        <f>IF($AG909="","",INDEX(V_Naam,INDEX($AB$8:$AB$1407,$AG909)))</f>
        <v/>
      </c>
      <c r="M909" s="92" t="str">
        <f>IF($AG909="","",INDEX(V_Type,INDEX($AB$8:$AB$1407,$AG909)))</f>
        <v/>
      </c>
      <c r="N909" s="92" t="str">
        <f>IF($AG909="","",INDEX(V_IFRS,INDEX($AB$8:$AB$1407,$AG909)))</f>
        <v/>
      </c>
      <c r="O909" s="92" t="str">
        <f>IF($AG909="","",INDEX($AL$8:$AL$21,INDEX($AC$8:$AC$1407,$AG909)+1))</f>
        <v/>
      </c>
      <c r="P909" s="109" t="str">
        <f>IF($AG909="","",INDEX($AD$8:$AD$1407,$AG909))</f>
        <v/>
      </c>
      <c r="Q909" s="92" t="str">
        <f>IF($AG909="","",INDEX($AM$8:$AM$21,INDEX($AC$8:$AC$1407,$AG909)+1))</f>
        <v/>
      </c>
      <c r="R909" s="92" t="str">
        <f>IF($AG909="","",IF($G909&gt;0,P_ToelCorrectie&amp;"",""))</f>
        <v/>
      </c>
      <c r="S909" s="15" t="str">
        <f>IF(J909="","",J909&amp;"|"&amp;E909&amp;"|"&amp;F909&amp;"|"&amp;I909&amp;"|"&amp;O909)</f>
        <v/>
      </c>
      <c r="T909" s="111" t="str">
        <f>IF(S909="","",IF(COUNTIFS(L_Sleutel,S909,L_Actief,1)=0,"",SUMIFS(L_Waarde,L_Sleutel,S909,L_Actief,1)))</f>
        <v/>
      </c>
      <c r="U909" s="111">
        <f>IF(OR(S909="",T909=""),0,P909-T909)</f>
        <v>0</v>
      </c>
      <c r="AB909" s="112" t="n">
        <v>65</v>
      </c>
      <c r="AC909" s="112" t="n">
        <v>5</v>
      </c>
      <c r="AD909" s="112" t="str">
        <f>VERW_Project!S70</f>
        <v/>
      </c>
      <c r="AE909" s="112">
        <f>IF(AND(VERW_Project!$A70&lt;&gt;"",ISNUMBER(AD909)),1,0)</f>
        <v>0</v>
      </c>
      <c r="AF909" s="112" t="str">
        <f>IF(AE909=1,SUM($AE$8:AE909),"")</f>
        <v/>
      </c>
      <c r="AG909" t="str">
        <f>IFERROR(MATCH(902,$AF$8:$AF$1407,0),"")</f>
        <v/>
      </c>
    </row>
    <row r="910">
      <c r="A910" s="92" t="str">
        <f>IF($AG910="","",P_ImportID)</f>
        <v/>
      </c>
      <c r="B910" s="92" t="str">
        <f>IF($AG910="","",IF(INDEX($AN$8:$AN$21,INDEX($AC$8:$AC$1407,$AG910)+1)="Z",P_BronZ,P_BronE))</f>
        <v/>
      </c>
      <c r="C910" s="108" t="str">
        <f>IF($AG910="","",P_Importdatum)</f>
        <v/>
      </c>
      <c r="D910" s="92" t="str">
        <f>IF($AG910="","",P_StatusVastleg)</f>
        <v/>
      </c>
      <c r="E910" s="92" t="str">
        <f>IF($AG910="","",P_UploadVJ)</f>
        <v/>
      </c>
      <c r="F910" s="92" t="str">
        <f>IF($AG910="","",P_UploadVersie)</f>
        <v/>
      </c>
      <c r="G910" s="92" t="str">
        <f>IF($AG910="","",IF(COUNTIFS(L_Sleutel,$S910,L_Status,"Vastgesteld")=0,0,_xlfn.MAXIFS(L_Revisie,L_Sleutel,$S910,L_Status,"Vastgesteld")+1))</f>
        <v/>
      </c>
      <c r="H910" s="108" t="str">
        <f>IF($AG910="","",P_Peildatum)</f>
        <v/>
      </c>
      <c r="I910" s="92" t="str">
        <f>IF($AG910="","",P_RJ+INDEX($AK$8:$AK$21,INDEX($AC$8:$AC$1407,$AG910)+1))</f>
        <v/>
      </c>
      <c r="J910" s="92" t="str">
        <f>IF($AG910="","",INDEX(V_WBS,INDEX($AB$8:$AB$1407,$AG910)))</f>
        <v/>
      </c>
      <c r="K910" s="92" t="str">
        <f>IF($AG910="","",INDEX(V_Projdef,INDEX($AB$8:$AB$1407,$AG910)))</f>
        <v/>
      </c>
      <c r="L910" s="92" t="str">
        <f>IF($AG910="","",INDEX(V_Naam,INDEX($AB$8:$AB$1407,$AG910)))</f>
        <v/>
      </c>
      <c r="M910" s="92" t="str">
        <f>IF($AG910="","",INDEX(V_Type,INDEX($AB$8:$AB$1407,$AG910)))</f>
        <v/>
      </c>
      <c r="N910" s="92" t="str">
        <f>IF($AG910="","",INDEX(V_IFRS,INDEX($AB$8:$AB$1407,$AG910)))</f>
        <v/>
      </c>
      <c r="O910" s="92" t="str">
        <f>IF($AG910="","",INDEX($AL$8:$AL$21,INDEX($AC$8:$AC$1407,$AG910)+1))</f>
        <v/>
      </c>
      <c r="P910" s="109" t="str">
        <f>IF($AG910="","",INDEX($AD$8:$AD$1407,$AG910))</f>
        <v/>
      </c>
      <c r="Q910" s="92" t="str">
        <f>IF($AG910="","",INDEX($AM$8:$AM$21,INDEX($AC$8:$AC$1407,$AG910)+1))</f>
        <v/>
      </c>
      <c r="R910" s="92" t="str">
        <f>IF($AG910="","",IF($G910&gt;0,P_ToelCorrectie&amp;"",""))</f>
        <v/>
      </c>
      <c r="S910" s="15" t="str">
        <f>IF(J910="","",J910&amp;"|"&amp;E910&amp;"|"&amp;F910&amp;"|"&amp;I910&amp;"|"&amp;O910)</f>
        <v/>
      </c>
      <c r="T910" s="111" t="str">
        <f>IF(S910="","",IF(COUNTIFS(L_Sleutel,S910,L_Actief,1)=0,"",SUMIFS(L_Waarde,L_Sleutel,S910,L_Actief,1)))</f>
        <v/>
      </c>
      <c r="U910" s="111">
        <f>IF(OR(S910="",T910=""),0,P910-T910)</f>
        <v>0</v>
      </c>
      <c r="AB910" s="112" t="n">
        <v>65</v>
      </c>
      <c r="AC910" s="112" t="n">
        <v>6</v>
      </c>
      <c r="AD910" s="112" t="str">
        <f>VERW_Project!BW70</f>
        <v/>
      </c>
      <c r="AE910" s="112">
        <f>IF(AND(VERW_Project!$A70&lt;&gt;"",ISNUMBER(AD910)),1,0)</f>
        <v>0</v>
      </c>
      <c r="AF910" s="112" t="str">
        <f>IF(AE910=1,SUM($AE$8:AE910),"")</f>
        <v/>
      </c>
      <c r="AG910" t="str">
        <f>IFERROR(MATCH(903,$AF$8:$AF$1407,0),"")</f>
        <v/>
      </c>
    </row>
    <row r="911">
      <c r="A911" s="92" t="str">
        <f>IF($AG911="","",P_ImportID)</f>
        <v/>
      </c>
      <c r="B911" s="92" t="str">
        <f>IF($AG911="","",IF(INDEX($AN$8:$AN$21,INDEX($AC$8:$AC$1407,$AG911)+1)="Z",P_BronZ,P_BronE))</f>
        <v/>
      </c>
      <c r="C911" s="108" t="str">
        <f>IF($AG911="","",P_Importdatum)</f>
        <v/>
      </c>
      <c r="D911" s="92" t="str">
        <f>IF($AG911="","",P_StatusVastleg)</f>
        <v/>
      </c>
      <c r="E911" s="92" t="str">
        <f>IF($AG911="","",P_UploadVJ)</f>
        <v/>
      </c>
      <c r="F911" s="92" t="str">
        <f>IF($AG911="","",P_UploadVersie)</f>
        <v/>
      </c>
      <c r="G911" s="92" t="str">
        <f>IF($AG911="","",IF(COUNTIFS(L_Sleutel,$S911,L_Status,"Vastgesteld")=0,0,_xlfn.MAXIFS(L_Revisie,L_Sleutel,$S911,L_Status,"Vastgesteld")+1))</f>
        <v/>
      </c>
      <c r="H911" s="108" t="str">
        <f>IF($AG911="","",P_Peildatum)</f>
        <v/>
      </c>
      <c r="I911" s="92" t="str">
        <f>IF($AG911="","",P_RJ+INDEX($AK$8:$AK$21,INDEX($AC$8:$AC$1407,$AG911)+1))</f>
        <v/>
      </c>
      <c r="J911" s="92" t="str">
        <f>IF($AG911="","",INDEX(V_WBS,INDEX($AB$8:$AB$1407,$AG911)))</f>
        <v/>
      </c>
      <c r="K911" s="92" t="str">
        <f>IF($AG911="","",INDEX(V_Projdef,INDEX($AB$8:$AB$1407,$AG911)))</f>
        <v/>
      </c>
      <c r="L911" s="92" t="str">
        <f>IF($AG911="","",INDEX(V_Naam,INDEX($AB$8:$AB$1407,$AG911)))</f>
        <v/>
      </c>
      <c r="M911" s="92" t="str">
        <f>IF($AG911="","",INDEX(V_Type,INDEX($AB$8:$AB$1407,$AG911)))</f>
        <v/>
      </c>
      <c r="N911" s="92" t="str">
        <f>IF($AG911="","",INDEX(V_IFRS,INDEX($AB$8:$AB$1407,$AG911)))</f>
        <v/>
      </c>
      <c r="O911" s="92" t="str">
        <f>IF($AG911="","",INDEX($AL$8:$AL$21,INDEX($AC$8:$AC$1407,$AG911)+1))</f>
        <v/>
      </c>
      <c r="P911" s="109" t="str">
        <f>IF($AG911="","",INDEX($AD$8:$AD$1407,$AG911))</f>
        <v/>
      </c>
      <c r="Q911" s="92" t="str">
        <f>IF($AG911="","",INDEX($AM$8:$AM$21,INDEX($AC$8:$AC$1407,$AG911)+1))</f>
        <v/>
      </c>
      <c r="R911" s="92" t="str">
        <f>IF($AG911="","",IF($G911&gt;0,P_ToelCorrectie&amp;"",""))</f>
        <v/>
      </c>
      <c r="S911" s="15" t="str">
        <f>IF(J911="","",J911&amp;"|"&amp;E911&amp;"|"&amp;F911&amp;"|"&amp;I911&amp;"|"&amp;O911)</f>
        <v/>
      </c>
      <c r="T911" s="111" t="str">
        <f>IF(S911="","",IF(COUNTIFS(L_Sleutel,S911,L_Actief,1)=0,"",SUMIFS(L_Waarde,L_Sleutel,S911,L_Actief,1)))</f>
        <v/>
      </c>
      <c r="U911" s="111">
        <f>IF(OR(S911="",T911=""),0,P911-T911)</f>
        <v>0</v>
      </c>
      <c r="AB911" s="112" t="n">
        <v>65</v>
      </c>
      <c r="AC911" s="112" t="n">
        <v>7</v>
      </c>
      <c r="AD911" s="112" t="str">
        <f>VERW_Project!AW70</f>
        <v/>
      </c>
      <c r="AE911" s="112">
        <f>IF(AND(VERW_Project!$A70&lt;&gt;"",ISNUMBER(AD911)),1,0)</f>
        <v>0</v>
      </c>
      <c r="AF911" s="112" t="str">
        <f>IF(AE911=1,SUM($AE$8:AE911),"")</f>
        <v/>
      </c>
      <c r="AG911" t="str">
        <f>IFERROR(MATCH(904,$AF$8:$AF$1407,0),"")</f>
        <v/>
      </c>
    </row>
    <row r="912">
      <c r="A912" s="92" t="str">
        <f>IF($AG912="","",P_ImportID)</f>
        <v/>
      </c>
      <c r="B912" s="92" t="str">
        <f>IF($AG912="","",IF(INDEX($AN$8:$AN$21,INDEX($AC$8:$AC$1407,$AG912)+1)="Z",P_BronZ,P_BronE))</f>
        <v/>
      </c>
      <c r="C912" s="108" t="str">
        <f>IF($AG912="","",P_Importdatum)</f>
        <v/>
      </c>
      <c r="D912" s="92" t="str">
        <f>IF($AG912="","",P_StatusVastleg)</f>
        <v/>
      </c>
      <c r="E912" s="92" t="str">
        <f>IF($AG912="","",P_UploadVJ)</f>
        <v/>
      </c>
      <c r="F912" s="92" t="str">
        <f>IF($AG912="","",P_UploadVersie)</f>
        <v/>
      </c>
      <c r="G912" s="92" t="str">
        <f>IF($AG912="","",IF(COUNTIFS(L_Sleutel,$S912,L_Status,"Vastgesteld")=0,0,_xlfn.MAXIFS(L_Revisie,L_Sleutel,$S912,L_Status,"Vastgesteld")+1))</f>
        <v/>
      </c>
      <c r="H912" s="108" t="str">
        <f>IF($AG912="","",P_Peildatum)</f>
        <v/>
      </c>
      <c r="I912" s="92" t="str">
        <f>IF($AG912="","",P_RJ+INDEX($AK$8:$AK$21,INDEX($AC$8:$AC$1407,$AG912)+1))</f>
        <v/>
      </c>
      <c r="J912" s="92" t="str">
        <f>IF($AG912="","",INDEX(V_WBS,INDEX($AB$8:$AB$1407,$AG912)))</f>
        <v/>
      </c>
      <c r="K912" s="92" t="str">
        <f>IF($AG912="","",INDEX(V_Projdef,INDEX($AB$8:$AB$1407,$AG912)))</f>
        <v/>
      </c>
      <c r="L912" s="92" t="str">
        <f>IF($AG912="","",INDEX(V_Naam,INDEX($AB$8:$AB$1407,$AG912)))</f>
        <v/>
      </c>
      <c r="M912" s="92" t="str">
        <f>IF($AG912="","",INDEX(V_Type,INDEX($AB$8:$AB$1407,$AG912)))</f>
        <v/>
      </c>
      <c r="N912" s="92" t="str">
        <f>IF($AG912="","",INDEX(V_IFRS,INDEX($AB$8:$AB$1407,$AG912)))</f>
        <v/>
      </c>
      <c r="O912" s="92" t="str">
        <f>IF($AG912="","",INDEX($AL$8:$AL$21,INDEX($AC$8:$AC$1407,$AG912)+1))</f>
        <v/>
      </c>
      <c r="P912" s="109" t="str">
        <f>IF($AG912="","",INDEX($AD$8:$AD$1407,$AG912))</f>
        <v/>
      </c>
      <c r="Q912" s="92" t="str">
        <f>IF($AG912="","",INDEX($AM$8:$AM$21,INDEX($AC$8:$AC$1407,$AG912)+1))</f>
        <v/>
      </c>
      <c r="R912" s="92" t="str">
        <f>IF($AG912="","",IF($G912&gt;0,P_ToelCorrectie&amp;"",""))</f>
        <v/>
      </c>
      <c r="S912" s="15" t="str">
        <f>IF(J912="","",J912&amp;"|"&amp;E912&amp;"|"&amp;F912&amp;"|"&amp;I912&amp;"|"&amp;O912)</f>
        <v/>
      </c>
      <c r="T912" s="111" t="str">
        <f>IF(S912="","",IF(COUNTIFS(L_Sleutel,S912,L_Actief,1)=0,"",SUMIFS(L_Waarde,L_Sleutel,S912,L_Actief,1)))</f>
        <v/>
      </c>
      <c r="U912" s="111">
        <f>IF(OR(S912="",T912=""),0,P912-T912)</f>
        <v>0</v>
      </c>
      <c r="AB912" s="112" t="n">
        <v>65</v>
      </c>
      <c r="AC912" s="112" t="n">
        <v>8</v>
      </c>
      <c r="AD912" s="112" t="str">
        <f>VERW_Project!BQ70</f>
        <v/>
      </c>
      <c r="AE912" s="112">
        <f>IF(AND(VERW_Project!$A70&lt;&gt;"",ISNUMBER(AD912)),1,0)</f>
        <v>0</v>
      </c>
      <c r="AF912" s="112" t="str">
        <f>IF(AE912=1,SUM($AE$8:AE912),"")</f>
        <v/>
      </c>
      <c r="AG912" t="str">
        <f>IFERROR(MATCH(905,$AF$8:$AF$1407,0),"")</f>
        <v/>
      </c>
    </row>
    <row r="913">
      <c r="A913" s="92" t="str">
        <f>IF($AG913="","",P_ImportID)</f>
        <v/>
      </c>
      <c r="B913" s="92" t="str">
        <f>IF($AG913="","",IF(INDEX($AN$8:$AN$21,INDEX($AC$8:$AC$1407,$AG913)+1)="Z",P_BronZ,P_BronE))</f>
        <v/>
      </c>
      <c r="C913" s="108" t="str">
        <f>IF($AG913="","",P_Importdatum)</f>
        <v/>
      </c>
      <c r="D913" s="92" t="str">
        <f>IF($AG913="","",P_StatusVastleg)</f>
        <v/>
      </c>
      <c r="E913" s="92" t="str">
        <f>IF($AG913="","",P_UploadVJ)</f>
        <v/>
      </c>
      <c r="F913" s="92" t="str">
        <f>IF($AG913="","",P_UploadVersie)</f>
        <v/>
      </c>
      <c r="G913" s="92" t="str">
        <f>IF($AG913="","",IF(COUNTIFS(L_Sleutel,$S913,L_Status,"Vastgesteld")=0,0,_xlfn.MAXIFS(L_Revisie,L_Sleutel,$S913,L_Status,"Vastgesteld")+1))</f>
        <v/>
      </c>
      <c r="H913" s="108" t="str">
        <f>IF($AG913="","",P_Peildatum)</f>
        <v/>
      </c>
      <c r="I913" s="92" t="str">
        <f>IF($AG913="","",P_RJ+INDEX($AK$8:$AK$21,INDEX($AC$8:$AC$1407,$AG913)+1))</f>
        <v/>
      </c>
      <c r="J913" s="92" t="str">
        <f>IF($AG913="","",INDEX(V_WBS,INDEX($AB$8:$AB$1407,$AG913)))</f>
        <v/>
      </c>
      <c r="K913" s="92" t="str">
        <f>IF($AG913="","",INDEX(V_Projdef,INDEX($AB$8:$AB$1407,$AG913)))</f>
        <v/>
      </c>
      <c r="L913" s="92" t="str">
        <f>IF($AG913="","",INDEX(V_Naam,INDEX($AB$8:$AB$1407,$AG913)))</f>
        <v/>
      </c>
      <c r="M913" s="92" t="str">
        <f>IF($AG913="","",INDEX(V_Type,INDEX($AB$8:$AB$1407,$AG913)))</f>
        <v/>
      </c>
      <c r="N913" s="92" t="str">
        <f>IF($AG913="","",INDEX(V_IFRS,INDEX($AB$8:$AB$1407,$AG913)))</f>
        <v/>
      </c>
      <c r="O913" s="92" t="str">
        <f>IF($AG913="","",INDEX($AL$8:$AL$21,INDEX($AC$8:$AC$1407,$AG913)+1))</f>
        <v/>
      </c>
      <c r="P913" s="109" t="str">
        <f>IF($AG913="","",INDEX($AD$8:$AD$1407,$AG913))</f>
        <v/>
      </c>
      <c r="Q913" s="92" t="str">
        <f>IF($AG913="","",INDEX($AM$8:$AM$21,INDEX($AC$8:$AC$1407,$AG913)+1))</f>
        <v/>
      </c>
      <c r="R913" s="92" t="str">
        <f>IF($AG913="","",IF($G913&gt;0,P_ToelCorrectie&amp;"",""))</f>
        <v/>
      </c>
      <c r="S913" s="15" t="str">
        <f>IF(J913="","",J913&amp;"|"&amp;E913&amp;"|"&amp;F913&amp;"|"&amp;I913&amp;"|"&amp;O913)</f>
        <v/>
      </c>
      <c r="T913" s="111" t="str">
        <f>IF(S913="","",IF(COUNTIFS(L_Sleutel,S913,L_Actief,1)=0,"",SUMIFS(L_Waarde,L_Sleutel,S913,L_Actief,1)))</f>
        <v/>
      </c>
      <c r="U913" s="111">
        <f>IF(OR(S913="",T913=""),0,P913-T913)</f>
        <v>0</v>
      </c>
      <c r="AB913" s="112" t="n">
        <v>65</v>
      </c>
      <c r="AC913" s="112" t="n">
        <v>9</v>
      </c>
      <c r="AD913" s="112" t="str">
        <f>VERW_Project!BR70</f>
        <v/>
      </c>
      <c r="AE913" s="112">
        <f>IF(AND(VERW_Project!$A70&lt;&gt;"",ISNUMBER(AD913)),1,0)</f>
        <v>0</v>
      </c>
      <c r="AF913" s="112" t="str">
        <f>IF(AE913=1,SUM($AE$8:AE913),"")</f>
        <v/>
      </c>
      <c r="AG913" t="str">
        <f>IFERROR(MATCH(906,$AF$8:$AF$1407,0),"")</f>
        <v/>
      </c>
    </row>
    <row r="914">
      <c r="A914" s="92" t="str">
        <f>IF($AG914="","",P_ImportID)</f>
        <v/>
      </c>
      <c r="B914" s="92" t="str">
        <f>IF($AG914="","",IF(INDEX($AN$8:$AN$21,INDEX($AC$8:$AC$1407,$AG914)+1)="Z",P_BronZ,P_BronE))</f>
        <v/>
      </c>
      <c r="C914" s="108" t="str">
        <f>IF($AG914="","",P_Importdatum)</f>
        <v/>
      </c>
      <c r="D914" s="92" t="str">
        <f>IF($AG914="","",P_StatusVastleg)</f>
        <v/>
      </c>
      <c r="E914" s="92" t="str">
        <f>IF($AG914="","",P_UploadVJ)</f>
        <v/>
      </c>
      <c r="F914" s="92" t="str">
        <f>IF($AG914="","",P_UploadVersie)</f>
        <v/>
      </c>
      <c r="G914" s="92" t="str">
        <f>IF($AG914="","",IF(COUNTIFS(L_Sleutel,$S914,L_Status,"Vastgesteld")=0,0,_xlfn.MAXIFS(L_Revisie,L_Sleutel,$S914,L_Status,"Vastgesteld")+1))</f>
        <v/>
      </c>
      <c r="H914" s="108" t="str">
        <f>IF($AG914="","",P_Peildatum)</f>
        <v/>
      </c>
      <c r="I914" s="92" t="str">
        <f>IF($AG914="","",P_RJ+INDEX($AK$8:$AK$21,INDEX($AC$8:$AC$1407,$AG914)+1))</f>
        <v/>
      </c>
      <c r="J914" s="92" t="str">
        <f>IF($AG914="","",INDEX(V_WBS,INDEX($AB$8:$AB$1407,$AG914)))</f>
        <v/>
      </c>
      <c r="K914" s="92" t="str">
        <f>IF($AG914="","",INDEX(V_Projdef,INDEX($AB$8:$AB$1407,$AG914)))</f>
        <v/>
      </c>
      <c r="L914" s="92" t="str">
        <f>IF($AG914="","",INDEX(V_Naam,INDEX($AB$8:$AB$1407,$AG914)))</f>
        <v/>
      </c>
      <c r="M914" s="92" t="str">
        <f>IF($AG914="","",INDEX(V_Type,INDEX($AB$8:$AB$1407,$AG914)))</f>
        <v/>
      </c>
      <c r="N914" s="92" t="str">
        <f>IF($AG914="","",INDEX(V_IFRS,INDEX($AB$8:$AB$1407,$AG914)))</f>
        <v/>
      </c>
      <c r="O914" s="92" t="str">
        <f>IF($AG914="","",INDEX($AL$8:$AL$21,INDEX($AC$8:$AC$1407,$AG914)+1))</f>
        <v/>
      </c>
      <c r="P914" s="109" t="str">
        <f>IF($AG914="","",INDEX($AD$8:$AD$1407,$AG914))</f>
        <v/>
      </c>
      <c r="Q914" s="92" t="str">
        <f>IF($AG914="","",INDEX($AM$8:$AM$21,INDEX($AC$8:$AC$1407,$AG914)+1))</f>
        <v/>
      </c>
      <c r="R914" s="92" t="str">
        <f>IF($AG914="","",IF($G914&gt;0,P_ToelCorrectie&amp;"",""))</f>
        <v/>
      </c>
      <c r="S914" s="15" t="str">
        <f>IF(J914="","",J914&amp;"|"&amp;E914&amp;"|"&amp;F914&amp;"|"&amp;I914&amp;"|"&amp;O914)</f>
        <v/>
      </c>
      <c r="T914" s="111" t="str">
        <f>IF(S914="","",IF(COUNTIFS(L_Sleutel,S914,L_Actief,1)=0,"",SUMIFS(L_Waarde,L_Sleutel,S914,L_Actief,1)))</f>
        <v/>
      </c>
      <c r="U914" s="111">
        <f>IF(OR(S914="",T914=""),0,P914-T914)</f>
        <v>0</v>
      </c>
      <c r="AB914" s="112" t="n">
        <v>65</v>
      </c>
      <c r="AC914" s="112" t="n">
        <v>10</v>
      </c>
      <c r="AD914" s="112" t="str">
        <f>VERW_Project!BS70</f>
        <v/>
      </c>
      <c r="AE914" s="112">
        <f>IF(AND(VERW_Project!$A70&lt;&gt;"",ISNUMBER(AD914)),1,0)</f>
        <v>0</v>
      </c>
      <c r="AF914" s="112" t="str">
        <f>IF(AE914=1,SUM($AE$8:AE914),"")</f>
        <v/>
      </c>
      <c r="AG914" t="str">
        <f>IFERROR(MATCH(907,$AF$8:$AF$1407,0),"")</f>
        <v/>
      </c>
    </row>
    <row r="915">
      <c r="A915" s="92" t="str">
        <f>IF($AG915="","",P_ImportID)</f>
        <v/>
      </c>
      <c r="B915" s="92" t="str">
        <f>IF($AG915="","",IF(INDEX($AN$8:$AN$21,INDEX($AC$8:$AC$1407,$AG915)+1)="Z",P_BronZ,P_BronE))</f>
        <v/>
      </c>
      <c r="C915" s="108" t="str">
        <f>IF($AG915="","",P_Importdatum)</f>
        <v/>
      </c>
      <c r="D915" s="92" t="str">
        <f>IF($AG915="","",P_StatusVastleg)</f>
        <v/>
      </c>
      <c r="E915" s="92" t="str">
        <f>IF($AG915="","",P_UploadVJ)</f>
        <v/>
      </c>
      <c r="F915" s="92" t="str">
        <f>IF($AG915="","",P_UploadVersie)</f>
        <v/>
      </c>
      <c r="G915" s="92" t="str">
        <f>IF($AG915="","",IF(COUNTIFS(L_Sleutel,$S915,L_Status,"Vastgesteld")=0,0,_xlfn.MAXIFS(L_Revisie,L_Sleutel,$S915,L_Status,"Vastgesteld")+1))</f>
        <v/>
      </c>
      <c r="H915" s="108" t="str">
        <f>IF($AG915="","",P_Peildatum)</f>
        <v/>
      </c>
      <c r="I915" s="92" t="str">
        <f>IF($AG915="","",P_RJ+INDEX($AK$8:$AK$21,INDEX($AC$8:$AC$1407,$AG915)+1))</f>
        <v/>
      </c>
      <c r="J915" s="92" t="str">
        <f>IF($AG915="","",INDEX(V_WBS,INDEX($AB$8:$AB$1407,$AG915)))</f>
        <v/>
      </c>
      <c r="K915" s="92" t="str">
        <f>IF($AG915="","",INDEX(V_Projdef,INDEX($AB$8:$AB$1407,$AG915)))</f>
        <v/>
      </c>
      <c r="L915" s="92" t="str">
        <f>IF($AG915="","",INDEX(V_Naam,INDEX($AB$8:$AB$1407,$AG915)))</f>
        <v/>
      </c>
      <c r="M915" s="92" t="str">
        <f>IF($AG915="","",INDEX(V_Type,INDEX($AB$8:$AB$1407,$AG915)))</f>
        <v/>
      </c>
      <c r="N915" s="92" t="str">
        <f>IF($AG915="","",INDEX(V_IFRS,INDEX($AB$8:$AB$1407,$AG915)))</f>
        <v/>
      </c>
      <c r="O915" s="92" t="str">
        <f>IF($AG915="","",INDEX($AL$8:$AL$21,INDEX($AC$8:$AC$1407,$AG915)+1))</f>
        <v/>
      </c>
      <c r="P915" s="109" t="str">
        <f>IF($AG915="","",INDEX($AD$8:$AD$1407,$AG915))</f>
        <v/>
      </c>
      <c r="Q915" s="92" t="str">
        <f>IF($AG915="","",INDEX($AM$8:$AM$21,INDEX($AC$8:$AC$1407,$AG915)+1))</f>
        <v/>
      </c>
      <c r="R915" s="92" t="str">
        <f>IF($AG915="","",IF($G915&gt;0,P_ToelCorrectie&amp;"",""))</f>
        <v/>
      </c>
      <c r="S915" s="15" t="str">
        <f>IF(J915="","",J915&amp;"|"&amp;E915&amp;"|"&amp;F915&amp;"|"&amp;I915&amp;"|"&amp;O915)</f>
        <v/>
      </c>
      <c r="T915" s="111" t="str">
        <f>IF(S915="","",IF(COUNTIFS(L_Sleutel,S915,L_Actief,1)=0,"",SUMIFS(L_Waarde,L_Sleutel,S915,L_Actief,1)))</f>
        <v/>
      </c>
      <c r="U915" s="111">
        <f>IF(OR(S915="",T915=""),0,P915-T915)</f>
        <v>0</v>
      </c>
      <c r="AB915" s="112" t="n">
        <v>65</v>
      </c>
      <c r="AC915" s="112" t="n">
        <v>11</v>
      </c>
      <c r="AD915" s="112" t="str">
        <f>VERW_Project!BT70</f>
        <v/>
      </c>
      <c r="AE915" s="112">
        <f>IF(AND(VERW_Project!$A70&lt;&gt;"",ISNUMBER(AD915)),1,0)</f>
        <v>0</v>
      </c>
      <c r="AF915" s="112" t="str">
        <f>IF(AE915=1,SUM($AE$8:AE915),"")</f>
        <v/>
      </c>
      <c r="AG915" t="str">
        <f>IFERROR(MATCH(908,$AF$8:$AF$1407,0),"")</f>
        <v/>
      </c>
    </row>
    <row r="916">
      <c r="A916" s="92" t="str">
        <f>IF($AG916="","",P_ImportID)</f>
        <v/>
      </c>
      <c r="B916" s="92" t="str">
        <f>IF($AG916="","",IF(INDEX($AN$8:$AN$21,INDEX($AC$8:$AC$1407,$AG916)+1)="Z",P_BronZ,P_BronE))</f>
        <v/>
      </c>
      <c r="C916" s="108" t="str">
        <f>IF($AG916="","",P_Importdatum)</f>
        <v/>
      </c>
      <c r="D916" s="92" t="str">
        <f>IF($AG916="","",P_StatusVastleg)</f>
        <v/>
      </c>
      <c r="E916" s="92" t="str">
        <f>IF($AG916="","",P_UploadVJ)</f>
        <v/>
      </c>
      <c r="F916" s="92" t="str">
        <f>IF($AG916="","",P_UploadVersie)</f>
        <v/>
      </c>
      <c r="G916" s="92" t="str">
        <f>IF($AG916="","",IF(COUNTIFS(L_Sleutel,$S916,L_Status,"Vastgesteld")=0,0,_xlfn.MAXIFS(L_Revisie,L_Sleutel,$S916,L_Status,"Vastgesteld")+1))</f>
        <v/>
      </c>
      <c r="H916" s="108" t="str">
        <f>IF($AG916="","",P_Peildatum)</f>
        <v/>
      </c>
      <c r="I916" s="92" t="str">
        <f>IF($AG916="","",P_RJ+INDEX($AK$8:$AK$21,INDEX($AC$8:$AC$1407,$AG916)+1))</f>
        <v/>
      </c>
      <c r="J916" s="92" t="str">
        <f>IF($AG916="","",INDEX(V_WBS,INDEX($AB$8:$AB$1407,$AG916)))</f>
        <v/>
      </c>
      <c r="K916" s="92" t="str">
        <f>IF($AG916="","",INDEX(V_Projdef,INDEX($AB$8:$AB$1407,$AG916)))</f>
        <v/>
      </c>
      <c r="L916" s="92" t="str">
        <f>IF($AG916="","",INDEX(V_Naam,INDEX($AB$8:$AB$1407,$AG916)))</f>
        <v/>
      </c>
      <c r="M916" s="92" t="str">
        <f>IF($AG916="","",INDEX(V_Type,INDEX($AB$8:$AB$1407,$AG916)))</f>
        <v/>
      </c>
      <c r="N916" s="92" t="str">
        <f>IF($AG916="","",INDEX(V_IFRS,INDEX($AB$8:$AB$1407,$AG916)))</f>
        <v/>
      </c>
      <c r="O916" s="92" t="str">
        <f>IF($AG916="","",INDEX($AL$8:$AL$21,INDEX($AC$8:$AC$1407,$AG916)+1))</f>
        <v/>
      </c>
      <c r="P916" s="109" t="str">
        <f>IF($AG916="","",INDEX($AD$8:$AD$1407,$AG916))</f>
        <v/>
      </c>
      <c r="Q916" s="92" t="str">
        <f>IF($AG916="","",INDEX($AM$8:$AM$21,INDEX($AC$8:$AC$1407,$AG916)+1))</f>
        <v/>
      </c>
      <c r="R916" s="92" t="str">
        <f>IF($AG916="","",IF($G916&gt;0,P_ToelCorrectie&amp;"",""))</f>
        <v/>
      </c>
      <c r="S916" s="15" t="str">
        <f>IF(J916="","",J916&amp;"|"&amp;E916&amp;"|"&amp;F916&amp;"|"&amp;I916&amp;"|"&amp;O916)</f>
        <v/>
      </c>
      <c r="T916" s="111" t="str">
        <f>IF(S916="","",IF(COUNTIFS(L_Sleutel,S916,L_Actief,1)=0,"",SUMIFS(L_Waarde,L_Sleutel,S916,L_Actief,1)))</f>
        <v/>
      </c>
      <c r="U916" s="111">
        <f>IF(OR(S916="",T916=""),0,P916-T916)</f>
        <v>0</v>
      </c>
      <c r="AB916" s="112" t="n">
        <v>65</v>
      </c>
      <c r="AC916" s="112" t="n">
        <v>12</v>
      </c>
      <c r="AD916" s="112" t="str">
        <f>VERW_Project!BU70</f>
        <v/>
      </c>
      <c r="AE916" s="112">
        <f>IF(AND(VERW_Project!$A70&lt;&gt;"",ISNUMBER(AD916)),1,0)</f>
        <v>0</v>
      </c>
      <c r="AF916" s="112" t="str">
        <f>IF(AE916=1,SUM($AE$8:AE916),"")</f>
        <v/>
      </c>
      <c r="AG916" t="str">
        <f>IFERROR(MATCH(909,$AF$8:$AF$1407,0),"")</f>
        <v/>
      </c>
    </row>
    <row r="917">
      <c r="A917" s="92" t="str">
        <f>IF($AG917="","",P_ImportID)</f>
        <v/>
      </c>
      <c r="B917" s="92" t="str">
        <f>IF($AG917="","",IF(INDEX($AN$8:$AN$21,INDEX($AC$8:$AC$1407,$AG917)+1)="Z",P_BronZ,P_BronE))</f>
        <v/>
      </c>
      <c r="C917" s="108" t="str">
        <f>IF($AG917="","",P_Importdatum)</f>
        <v/>
      </c>
      <c r="D917" s="92" t="str">
        <f>IF($AG917="","",P_StatusVastleg)</f>
        <v/>
      </c>
      <c r="E917" s="92" t="str">
        <f>IF($AG917="","",P_UploadVJ)</f>
        <v/>
      </c>
      <c r="F917" s="92" t="str">
        <f>IF($AG917="","",P_UploadVersie)</f>
        <v/>
      </c>
      <c r="G917" s="92" t="str">
        <f>IF($AG917="","",IF(COUNTIFS(L_Sleutel,$S917,L_Status,"Vastgesteld")=0,0,_xlfn.MAXIFS(L_Revisie,L_Sleutel,$S917,L_Status,"Vastgesteld")+1))</f>
        <v/>
      </c>
      <c r="H917" s="108" t="str">
        <f>IF($AG917="","",P_Peildatum)</f>
        <v/>
      </c>
      <c r="I917" s="92" t="str">
        <f>IF($AG917="","",P_RJ+INDEX($AK$8:$AK$21,INDEX($AC$8:$AC$1407,$AG917)+1))</f>
        <v/>
      </c>
      <c r="J917" s="92" t="str">
        <f>IF($AG917="","",INDEX(V_WBS,INDEX($AB$8:$AB$1407,$AG917)))</f>
        <v/>
      </c>
      <c r="K917" s="92" t="str">
        <f>IF($AG917="","",INDEX(V_Projdef,INDEX($AB$8:$AB$1407,$AG917)))</f>
        <v/>
      </c>
      <c r="L917" s="92" t="str">
        <f>IF($AG917="","",INDEX(V_Naam,INDEX($AB$8:$AB$1407,$AG917)))</f>
        <v/>
      </c>
      <c r="M917" s="92" t="str">
        <f>IF($AG917="","",INDEX(V_Type,INDEX($AB$8:$AB$1407,$AG917)))</f>
        <v/>
      </c>
      <c r="N917" s="92" t="str">
        <f>IF($AG917="","",INDEX(V_IFRS,INDEX($AB$8:$AB$1407,$AG917)))</f>
        <v/>
      </c>
      <c r="O917" s="92" t="str">
        <f>IF($AG917="","",INDEX($AL$8:$AL$21,INDEX($AC$8:$AC$1407,$AG917)+1))</f>
        <v/>
      </c>
      <c r="P917" s="109" t="str">
        <f>IF($AG917="","",INDEX($AD$8:$AD$1407,$AG917))</f>
        <v/>
      </c>
      <c r="Q917" s="92" t="str">
        <f>IF($AG917="","",INDEX($AM$8:$AM$21,INDEX($AC$8:$AC$1407,$AG917)+1))</f>
        <v/>
      </c>
      <c r="R917" s="92" t="str">
        <f>IF($AG917="","",IF($G917&gt;0,P_ToelCorrectie&amp;"",""))</f>
        <v/>
      </c>
      <c r="S917" s="15" t="str">
        <f>IF(J917="","",J917&amp;"|"&amp;E917&amp;"|"&amp;F917&amp;"|"&amp;I917&amp;"|"&amp;O917)</f>
        <v/>
      </c>
      <c r="T917" s="111" t="str">
        <f>IF(S917="","",IF(COUNTIFS(L_Sleutel,S917,L_Actief,1)=0,"",SUMIFS(L_Waarde,L_Sleutel,S917,L_Actief,1)))</f>
        <v/>
      </c>
      <c r="U917" s="111">
        <f>IF(OR(S917="",T917=""),0,P917-T917)</f>
        <v>0</v>
      </c>
      <c r="AB917" s="112" t="n">
        <v>65</v>
      </c>
      <c r="AC917" s="112" t="n">
        <v>13</v>
      </c>
      <c r="AD917" s="112" t="str">
        <f>VERW_Project!BX70</f>
        <v/>
      </c>
      <c r="AE917" s="112">
        <f>IF(AND(VERW_Project!$A70&lt;&gt;"",ISNUMBER(AD917)),1,0)</f>
        <v>0</v>
      </c>
      <c r="AF917" s="112" t="str">
        <f>IF(AE917=1,SUM($AE$8:AE917),"")</f>
        <v/>
      </c>
      <c r="AG917" t="str">
        <f>IFERROR(MATCH(910,$AF$8:$AF$1407,0),"")</f>
        <v/>
      </c>
    </row>
    <row r="918">
      <c r="A918" s="92" t="str">
        <f>IF($AG918="","",P_ImportID)</f>
        <v/>
      </c>
      <c r="B918" s="92" t="str">
        <f>IF($AG918="","",IF(INDEX($AN$8:$AN$21,INDEX($AC$8:$AC$1407,$AG918)+1)="Z",P_BronZ,P_BronE))</f>
        <v/>
      </c>
      <c r="C918" s="108" t="str">
        <f>IF($AG918="","",P_Importdatum)</f>
        <v/>
      </c>
      <c r="D918" s="92" t="str">
        <f>IF($AG918="","",P_StatusVastleg)</f>
        <v/>
      </c>
      <c r="E918" s="92" t="str">
        <f>IF($AG918="","",P_UploadVJ)</f>
        <v/>
      </c>
      <c r="F918" s="92" t="str">
        <f>IF($AG918="","",P_UploadVersie)</f>
        <v/>
      </c>
      <c r="G918" s="92" t="str">
        <f>IF($AG918="","",IF(COUNTIFS(L_Sleutel,$S918,L_Status,"Vastgesteld")=0,0,_xlfn.MAXIFS(L_Revisie,L_Sleutel,$S918,L_Status,"Vastgesteld")+1))</f>
        <v/>
      </c>
      <c r="H918" s="108" t="str">
        <f>IF($AG918="","",P_Peildatum)</f>
        <v/>
      </c>
      <c r="I918" s="92" t="str">
        <f>IF($AG918="","",P_RJ+INDEX($AK$8:$AK$21,INDEX($AC$8:$AC$1407,$AG918)+1))</f>
        <v/>
      </c>
      <c r="J918" s="92" t="str">
        <f>IF($AG918="","",INDEX(V_WBS,INDEX($AB$8:$AB$1407,$AG918)))</f>
        <v/>
      </c>
      <c r="K918" s="92" t="str">
        <f>IF($AG918="","",INDEX(V_Projdef,INDEX($AB$8:$AB$1407,$AG918)))</f>
        <v/>
      </c>
      <c r="L918" s="92" t="str">
        <f>IF($AG918="","",INDEX(V_Naam,INDEX($AB$8:$AB$1407,$AG918)))</f>
        <v/>
      </c>
      <c r="M918" s="92" t="str">
        <f>IF($AG918="","",INDEX(V_Type,INDEX($AB$8:$AB$1407,$AG918)))</f>
        <v/>
      </c>
      <c r="N918" s="92" t="str">
        <f>IF($AG918="","",INDEX(V_IFRS,INDEX($AB$8:$AB$1407,$AG918)))</f>
        <v/>
      </c>
      <c r="O918" s="92" t="str">
        <f>IF($AG918="","",INDEX($AL$8:$AL$21,INDEX($AC$8:$AC$1407,$AG918)+1))</f>
        <v/>
      </c>
      <c r="P918" s="109" t="str">
        <f>IF($AG918="","",INDEX($AD$8:$AD$1407,$AG918))</f>
        <v/>
      </c>
      <c r="Q918" s="92" t="str">
        <f>IF($AG918="","",INDEX($AM$8:$AM$21,INDEX($AC$8:$AC$1407,$AG918)+1))</f>
        <v/>
      </c>
      <c r="R918" s="92" t="str">
        <f>IF($AG918="","",IF($G918&gt;0,P_ToelCorrectie&amp;"",""))</f>
        <v/>
      </c>
      <c r="S918" s="15" t="str">
        <f>IF(J918="","",J918&amp;"|"&amp;E918&amp;"|"&amp;F918&amp;"|"&amp;I918&amp;"|"&amp;O918)</f>
        <v/>
      </c>
      <c r="T918" s="111" t="str">
        <f>IF(S918="","",IF(COUNTIFS(L_Sleutel,S918,L_Actief,1)=0,"",SUMIFS(L_Waarde,L_Sleutel,S918,L_Actief,1)))</f>
        <v/>
      </c>
      <c r="U918" s="111">
        <f>IF(OR(S918="",T918=""),0,P918-T918)</f>
        <v>0</v>
      </c>
      <c r="AB918" s="112" t="n">
        <v>66</v>
      </c>
      <c r="AC918" s="112" t="n">
        <v>0</v>
      </c>
      <c r="AD918" s="112" t="str">
        <f>VERW_Project!P71</f>
        <v/>
      </c>
      <c r="AE918" s="112">
        <f>IF(AND(VERW_Project!$A71&lt;&gt;"",ISNUMBER(AD918)),1,0)</f>
        <v>0</v>
      </c>
      <c r="AF918" s="112" t="str">
        <f>IF(AE918=1,SUM($AE$8:AE918),"")</f>
        <v/>
      </c>
      <c r="AG918" t="str">
        <f>IFERROR(MATCH(911,$AF$8:$AF$1407,0),"")</f>
        <v/>
      </c>
    </row>
    <row r="919">
      <c r="A919" s="92" t="str">
        <f>IF($AG919="","",P_ImportID)</f>
        <v/>
      </c>
      <c r="B919" s="92" t="str">
        <f>IF($AG919="","",IF(INDEX($AN$8:$AN$21,INDEX($AC$8:$AC$1407,$AG919)+1)="Z",P_BronZ,P_BronE))</f>
        <v/>
      </c>
      <c r="C919" s="108" t="str">
        <f>IF($AG919="","",P_Importdatum)</f>
        <v/>
      </c>
      <c r="D919" s="92" t="str">
        <f>IF($AG919="","",P_StatusVastleg)</f>
        <v/>
      </c>
      <c r="E919" s="92" t="str">
        <f>IF($AG919="","",P_UploadVJ)</f>
        <v/>
      </c>
      <c r="F919" s="92" t="str">
        <f>IF($AG919="","",P_UploadVersie)</f>
        <v/>
      </c>
      <c r="G919" s="92" t="str">
        <f>IF($AG919="","",IF(COUNTIFS(L_Sleutel,$S919,L_Status,"Vastgesteld")=0,0,_xlfn.MAXIFS(L_Revisie,L_Sleutel,$S919,L_Status,"Vastgesteld")+1))</f>
        <v/>
      </c>
      <c r="H919" s="108" t="str">
        <f>IF($AG919="","",P_Peildatum)</f>
        <v/>
      </c>
      <c r="I919" s="92" t="str">
        <f>IF($AG919="","",P_RJ+INDEX($AK$8:$AK$21,INDEX($AC$8:$AC$1407,$AG919)+1))</f>
        <v/>
      </c>
      <c r="J919" s="92" t="str">
        <f>IF($AG919="","",INDEX(V_WBS,INDEX($AB$8:$AB$1407,$AG919)))</f>
        <v/>
      </c>
      <c r="K919" s="92" t="str">
        <f>IF($AG919="","",INDEX(V_Projdef,INDEX($AB$8:$AB$1407,$AG919)))</f>
        <v/>
      </c>
      <c r="L919" s="92" t="str">
        <f>IF($AG919="","",INDEX(V_Naam,INDEX($AB$8:$AB$1407,$AG919)))</f>
        <v/>
      </c>
      <c r="M919" s="92" t="str">
        <f>IF($AG919="","",INDEX(V_Type,INDEX($AB$8:$AB$1407,$AG919)))</f>
        <v/>
      </c>
      <c r="N919" s="92" t="str">
        <f>IF($AG919="","",INDEX(V_IFRS,INDEX($AB$8:$AB$1407,$AG919)))</f>
        <v/>
      </c>
      <c r="O919" s="92" t="str">
        <f>IF($AG919="","",INDEX($AL$8:$AL$21,INDEX($AC$8:$AC$1407,$AG919)+1))</f>
        <v/>
      </c>
      <c r="P919" s="109" t="str">
        <f>IF($AG919="","",INDEX($AD$8:$AD$1407,$AG919))</f>
        <v/>
      </c>
      <c r="Q919" s="92" t="str">
        <f>IF($AG919="","",INDEX($AM$8:$AM$21,INDEX($AC$8:$AC$1407,$AG919)+1))</f>
        <v/>
      </c>
      <c r="R919" s="92" t="str">
        <f>IF($AG919="","",IF($G919&gt;0,P_ToelCorrectie&amp;"",""))</f>
        <v/>
      </c>
      <c r="S919" s="15" t="str">
        <f>IF(J919="","",J919&amp;"|"&amp;E919&amp;"|"&amp;F919&amp;"|"&amp;I919&amp;"|"&amp;O919)</f>
        <v/>
      </c>
      <c r="T919" s="111" t="str">
        <f>IF(S919="","",IF(COUNTIFS(L_Sleutel,S919,L_Actief,1)=0,"",SUMIFS(L_Waarde,L_Sleutel,S919,L_Actief,1)))</f>
        <v/>
      </c>
      <c r="U919" s="111">
        <f>IF(OR(S919="",T919=""),0,P919-T919)</f>
        <v>0</v>
      </c>
      <c r="AB919" s="112" t="n">
        <v>66</v>
      </c>
      <c r="AC919" s="112" t="n">
        <v>1</v>
      </c>
      <c r="AD919" s="112" t="str">
        <f>VERW_Project!Q71</f>
        <v/>
      </c>
      <c r="AE919" s="112">
        <f>IF(AND(VERW_Project!$A71&lt;&gt;"",ISNUMBER(AD919)),1,0)</f>
        <v>0</v>
      </c>
      <c r="AF919" s="112" t="str">
        <f>IF(AE919=1,SUM($AE$8:AE919),"")</f>
        <v/>
      </c>
      <c r="AG919" t="str">
        <f>IFERROR(MATCH(912,$AF$8:$AF$1407,0),"")</f>
        <v/>
      </c>
    </row>
    <row r="920">
      <c r="A920" s="92" t="str">
        <f>IF($AG920="","",P_ImportID)</f>
        <v/>
      </c>
      <c r="B920" s="92" t="str">
        <f>IF($AG920="","",IF(INDEX($AN$8:$AN$21,INDEX($AC$8:$AC$1407,$AG920)+1)="Z",P_BronZ,P_BronE))</f>
        <v/>
      </c>
      <c r="C920" s="108" t="str">
        <f>IF($AG920="","",P_Importdatum)</f>
        <v/>
      </c>
      <c r="D920" s="92" t="str">
        <f>IF($AG920="","",P_StatusVastleg)</f>
        <v/>
      </c>
      <c r="E920" s="92" t="str">
        <f>IF($AG920="","",P_UploadVJ)</f>
        <v/>
      </c>
      <c r="F920" s="92" t="str">
        <f>IF($AG920="","",P_UploadVersie)</f>
        <v/>
      </c>
      <c r="G920" s="92" t="str">
        <f>IF($AG920="","",IF(COUNTIFS(L_Sleutel,$S920,L_Status,"Vastgesteld")=0,0,_xlfn.MAXIFS(L_Revisie,L_Sleutel,$S920,L_Status,"Vastgesteld")+1))</f>
        <v/>
      </c>
      <c r="H920" s="108" t="str">
        <f>IF($AG920="","",P_Peildatum)</f>
        <v/>
      </c>
      <c r="I920" s="92" t="str">
        <f>IF($AG920="","",P_RJ+INDEX($AK$8:$AK$21,INDEX($AC$8:$AC$1407,$AG920)+1))</f>
        <v/>
      </c>
      <c r="J920" s="92" t="str">
        <f>IF($AG920="","",INDEX(V_WBS,INDEX($AB$8:$AB$1407,$AG920)))</f>
        <v/>
      </c>
      <c r="K920" s="92" t="str">
        <f>IF($AG920="","",INDEX(V_Projdef,INDEX($AB$8:$AB$1407,$AG920)))</f>
        <v/>
      </c>
      <c r="L920" s="92" t="str">
        <f>IF($AG920="","",INDEX(V_Naam,INDEX($AB$8:$AB$1407,$AG920)))</f>
        <v/>
      </c>
      <c r="M920" s="92" t="str">
        <f>IF($AG920="","",INDEX(V_Type,INDEX($AB$8:$AB$1407,$AG920)))</f>
        <v/>
      </c>
      <c r="N920" s="92" t="str">
        <f>IF($AG920="","",INDEX(V_IFRS,INDEX($AB$8:$AB$1407,$AG920)))</f>
        <v/>
      </c>
      <c r="O920" s="92" t="str">
        <f>IF($AG920="","",INDEX($AL$8:$AL$21,INDEX($AC$8:$AC$1407,$AG920)+1))</f>
        <v/>
      </c>
      <c r="P920" s="109" t="str">
        <f>IF($AG920="","",INDEX($AD$8:$AD$1407,$AG920))</f>
        <v/>
      </c>
      <c r="Q920" s="92" t="str">
        <f>IF($AG920="","",INDEX($AM$8:$AM$21,INDEX($AC$8:$AC$1407,$AG920)+1))</f>
        <v/>
      </c>
      <c r="R920" s="92" t="str">
        <f>IF($AG920="","",IF($G920&gt;0,P_ToelCorrectie&amp;"",""))</f>
        <v/>
      </c>
      <c r="S920" s="15" t="str">
        <f>IF(J920="","",J920&amp;"|"&amp;E920&amp;"|"&amp;F920&amp;"|"&amp;I920&amp;"|"&amp;O920)</f>
        <v/>
      </c>
      <c r="T920" s="111" t="str">
        <f>IF(S920="","",IF(COUNTIFS(L_Sleutel,S920,L_Actief,1)=0,"",SUMIFS(L_Waarde,L_Sleutel,S920,L_Actief,1)))</f>
        <v/>
      </c>
      <c r="U920" s="111">
        <f>IF(OR(S920="",T920=""),0,P920-T920)</f>
        <v>0</v>
      </c>
      <c r="AB920" s="112" t="n">
        <v>66</v>
      </c>
      <c r="AC920" s="112" t="n">
        <v>2</v>
      </c>
      <c r="AD920" s="112" t="str">
        <f>VERW_Project!L71</f>
        <v/>
      </c>
      <c r="AE920" s="112">
        <f>IF(AND(VERW_Project!$A71&lt;&gt;"",ISNUMBER(AD920)),1,0)</f>
        <v>0</v>
      </c>
      <c r="AF920" s="112" t="str">
        <f>IF(AE920=1,SUM($AE$8:AE920),"")</f>
        <v/>
      </c>
      <c r="AG920" t="str">
        <f>IFERROR(MATCH(913,$AF$8:$AF$1407,0),"")</f>
        <v/>
      </c>
    </row>
    <row r="921">
      <c r="A921" s="92" t="str">
        <f>IF($AG921="","",P_ImportID)</f>
        <v/>
      </c>
      <c r="B921" s="92" t="str">
        <f>IF($AG921="","",IF(INDEX($AN$8:$AN$21,INDEX($AC$8:$AC$1407,$AG921)+1)="Z",P_BronZ,P_BronE))</f>
        <v/>
      </c>
      <c r="C921" s="108" t="str">
        <f>IF($AG921="","",P_Importdatum)</f>
        <v/>
      </c>
      <c r="D921" s="92" t="str">
        <f>IF($AG921="","",P_StatusVastleg)</f>
        <v/>
      </c>
      <c r="E921" s="92" t="str">
        <f>IF($AG921="","",P_UploadVJ)</f>
        <v/>
      </c>
      <c r="F921" s="92" t="str">
        <f>IF($AG921="","",P_UploadVersie)</f>
        <v/>
      </c>
      <c r="G921" s="92" t="str">
        <f>IF($AG921="","",IF(COUNTIFS(L_Sleutel,$S921,L_Status,"Vastgesteld")=0,0,_xlfn.MAXIFS(L_Revisie,L_Sleutel,$S921,L_Status,"Vastgesteld")+1))</f>
        <v/>
      </c>
      <c r="H921" s="108" t="str">
        <f>IF($AG921="","",P_Peildatum)</f>
        <v/>
      </c>
      <c r="I921" s="92" t="str">
        <f>IF($AG921="","",P_RJ+INDEX($AK$8:$AK$21,INDEX($AC$8:$AC$1407,$AG921)+1))</f>
        <v/>
      </c>
      <c r="J921" s="92" t="str">
        <f>IF($AG921="","",INDEX(V_WBS,INDEX($AB$8:$AB$1407,$AG921)))</f>
        <v/>
      </c>
      <c r="K921" s="92" t="str">
        <f>IF($AG921="","",INDEX(V_Projdef,INDEX($AB$8:$AB$1407,$AG921)))</f>
        <v/>
      </c>
      <c r="L921" s="92" t="str">
        <f>IF($AG921="","",INDEX(V_Naam,INDEX($AB$8:$AB$1407,$AG921)))</f>
        <v/>
      </c>
      <c r="M921" s="92" t="str">
        <f>IF($AG921="","",INDEX(V_Type,INDEX($AB$8:$AB$1407,$AG921)))</f>
        <v/>
      </c>
      <c r="N921" s="92" t="str">
        <f>IF($AG921="","",INDEX(V_IFRS,INDEX($AB$8:$AB$1407,$AG921)))</f>
        <v/>
      </c>
      <c r="O921" s="92" t="str">
        <f>IF($AG921="","",INDEX($AL$8:$AL$21,INDEX($AC$8:$AC$1407,$AG921)+1))</f>
        <v/>
      </c>
      <c r="P921" s="109" t="str">
        <f>IF($AG921="","",INDEX($AD$8:$AD$1407,$AG921))</f>
        <v/>
      </c>
      <c r="Q921" s="92" t="str">
        <f>IF($AG921="","",INDEX($AM$8:$AM$21,INDEX($AC$8:$AC$1407,$AG921)+1))</f>
        <v/>
      </c>
      <c r="R921" s="92" t="str">
        <f>IF($AG921="","",IF($G921&gt;0,P_ToelCorrectie&amp;"",""))</f>
        <v/>
      </c>
      <c r="S921" s="15" t="str">
        <f>IF(J921="","",J921&amp;"|"&amp;E921&amp;"|"&amp;F921&amp;"|"&amp;I921&amp;"|"&amp;O921)</f>
        <v/>
      </c>
      <c r="T921" s="111" t="str">
        <f>IF(S921="","",IF(COUNTIFS(L_Sleutel,S921,L_Actief,1)=0,"",SUMIFS(L_Waarde,L_Sleutel,S921,L_Actief,1)))</f>
        <v/>
      </c>
      <c r="U921" s="111">
        <f>IF(OR(S921="",T921=""),0,P921-T921)</f>
        <v>0</v>
      </c>
      <c r="AB921" s="112" t="n">
        <v>66</v>
      </c>
      <c r="AC921" s="112" t="n">
        <v>3</v>
      </c>
      <c r="AD921" s="112" t="str">
        <f>VERW_Project!M71</f>
        <v/>
      </c>
      <c r="AE921" s="112">
        <f>IF(AND(VERW_Project!$A71&lt;&gt;"",ISNUMBER(AD921)),1,0)</f>
        <v>0</v>
      </c>
      <c r="AF921" s="112" t="str">
        <f>IF(AE921=1,SUM($AE$8:AE921),"")</f>
        <v/>
      </c>
      <c r="AG921" t="str">
        <f>IFERROR(MATCH(914,$AF$8:$AF$1407,0),"")</f>
        <v/>
      </c>
    </row>
    <row r="922">
      <c r="A922" s="92" t="str">
        <f>IF($AG922="","",P_ImportID)</f>
        <v/>
      </c>
      <c r="B922" s="92" t="str">
        <f>IF($AG922="","",IF(INDEX($AN$8:$AN$21,INDEX($AC$8:$AC$1407,$AG922)+1)="Z",P_BronZ,P_BronE))</f>
        <v/>
      </c>
      <c r="C922" s="108" t="str">
        <f>IF($AG922="","",P_Importdatum)</f>
        <v/>
      </c>
      <c r="D922" s="92" t="str">
        <f>IF($AG922="","",P_StatusVastleg)</f>
        <v/>
      </c>
      <c r="E922" s="92" t="str">
        <f>IF($AG922="","",P_UploadVJ)</f>
        <v/>
      </c>
      <c r="F922" s="92" t="str">
        <f>IF($AG922="","",P_UploadVersie)</f>
        <v/>
      </c>
      <c r="G922" s="92" t="str">
        <f>IF($AG922="","",IF(COUNTIFS(L_Sleutel,$S922,L_Status,"Vastgesteld")=0,0,_xlfn.MAXIFS(L_Revisie,L_Sleutel,$S922,L_Status,"Vastgesteld")+1))</f>
        <v/>
      </c>
      <c r="H922" s="108" t="str">
        <f>IF($AG922="","",P_Peildatum)</f>
        <v/>
      </c>
      <c r="I922" s="92" t="str">
        <f>IF($AG922="","",P_RJ+INDEX($AK$8:$AK$21,INDEX($AC$8:$AC$1407,$AG922)+1))</f>
        <v/>
      </c>
      <c r="J922" s="92" t="str">
        <f>IF($AG922="","",INDEX(V_WBS,INDEX($AB$8:$AB$1407,$AG922)))</f>
        <v/>
      </c>
      <c r="K922" s="92" t="str">
        <f>IF($AG922="","",INDEX(V_Projdef,INDEX($AB$8:$AB$1407,$AG922)))</f>
        <v/>
      </c>
      <c r="L922" s="92" t="str">
        <f>IF($AG922="","",INDEX(V_Naam,INDEX($AB$8:$AB$1407,$AG922)))</f>
        <v/>
      </c>
      <c r="M922" s="92" t="str">
        <f>IF($AG922="","",INDEX(V_Type,INDEX($AB$8:$AB$1407,$AG922)))</f>
        <v/>
      </c>
      <c r="N922" s="92" t="str">
        <f>IF($AG922="","",INDEX(V_IFRS,INDEX($AB$8:$AB$1407,$AG922)))</f>
        <v/>
      </c>
      <c r="O922" s="92" t="str">
        <f>IF($AG922="","",INDEX($AL$8:$AL$21,INDEX($AC$8:$AC$1407,$AG922)+1))</f>
        <v/>
      </c>
      <c r="P922" s="109" t="str">
        <f>IF($AG922="","",INDEX($AD$8:$AD$1407,$AG922))</f>
        <v/>
      </c>
      <c r="Q922" s="92" t="str">
        <f>IF($AG922="","",INDEX($AM$8:$AM$21,INDEX($AC$8:$AC$1407,$AG922)+1))</f>
        <v/>
      </c>
      <c r="R922" s="92" t="str">
        <f>IF($AG922="","",IF($G922&gt;0,P_ToelCorrectie&amp;"",""))</f>
        <v/>
      </c>
      <c r="S922" s="15" t="str">
        <f>IF(J922="","",J922&amp;"|"&amp;E922&amp;"|"&amp;F922&amp;"|"&amp;I922&amp;"|"&amp;O922)</f>
        <v/>
      </c>
      <c r="T922" s="111" t="str">
        <f>IF(S922="","",IF(COUNTIFS(L_Sleutel,S922,L_Actief,1)=0,"",SUMIFS(L_Waarde,L_Sleutel,S922,L_Actief,1)))</f>
        <v/>
      </c>
      <c r="U922" s="111">
        <f>IF(OR(S922="",T922=""),0,P922-T922)</f>
        <v>0</v>
      </c>
      <c r="AB922" s="112" t="n">
        <v>66</v>
      </c>
      <c r="AC922" s="112" t="n">
        <v>4</v>
      </c>
      <c r="AD922" s="112" t="str">
        <f>VERW_Project!R71</f>
        <v/>
      </c>
      <c r="AE922" s="112">
        <f>IF(AND(VERW_Project!$A71&lt;&gt;"",ISNUMBER(AD922)),1,0)</f>
        <v>0</v>
      </c>
      <c r="AF922" s="112" t="str">
        <f>IF(AE922=1,SUM($AE$8:AE922),"")</f>
        <v/>
      </c>
      <c r="AG922" t="str">
        <f>IFERROR(MATCH(915,$AF$8:$AF$1407,0),"")</f>
        <v/>
      </c>
    </row>
    <row r="923">
      <c r="A923" s="92" t="str">
        <f>IF($AG923="","",P_ImportID)</f>
        <v/>
      </c>
      <c r="B923" s="92" t="str">
        <f>IF($AG923="","",IF(INDEX($AN$8:$AN$21,INDEX($AC$8:$AC$1407,$AG923)+1)="Z",P_BronZ,P_BronE))</f>
        <v/>
      </c>
      <c r="C923" s="108" t="str">
        <f>IF($AG923="","",P_Importdatum)</f>
        <v/>
      </c>
      <c r="D923" s="92" t="str">
        <f>IF($AG923="","",P_StatusVastleg)</f>
        <v/>
      </c>
      <c r="E923" s="92" t="str">
        <f>IF($AG923="","",P_UploadVJ)</f>
        <v/>
      </c>
      <c r="F923" s="92" t="str">
        <f>IF($AG923="","",P_UploadVersie)</f>
        <v/>
      </c>
      <c r="G923" s="92" t="str">
        <f>IF($AG923="","",IF(COUNTIFS(L_Sleutel,$S923,L_Status,"Vastgesteld")=0,0,_xlfn.MAXIFS(L_Revisie,L_Sleutel,$S923,L_Status,"Vastgesteld")+1))</f>
        <v/>
      </c>
      <c r="H923" s="108" t="str">
        <f>IF($AG923="","",P_Peildatum)</f>
        <v/>
      </c>
      <c r="I923" s="92" t="str">
        <f>IF($AG923="","",P_RJ+INDEX($AK$8:$AK$21,INDEX($AC$8:$AC$1407,$AG923)+1))</f>
        <v/>
      </c>
      <c r="J923" s="92" t="str">
        <f>IF($AG923="","",INDEX(V_WBS,INDEX($AB$8:$AB$1407,$AG923)))</f>
        <v/>
      </c>
      <c r="K923" s="92" t="str">
        <f>IF($AG923="","",INDEX(V_Projdef,INDEX($AB$8:$AB$1407,$AG923)))</f>
        <v/>
      </c>
      <c r="L923" s="92" t="str">
        <f>IF($AG923="","",INDEX(V_Naam,INDEX($AB$8:$AB$1407,$AG923)))</f>
        <v/>
      </c>
      <c r="M923" s="92" t="str">
        <f>IF($AG923="","",INDEX(V_Type,INDEX($AB$8:$AB$1407,$AG923)))</f>
        <v/>
      </c>
      <c r="N923" s="92" t="str">
        <f>IF($AG923="","",INDEX(V_IFRS,INDEX($AB$8:$AB$1407,$AG923)))</f>
        <v/>
      </c>
      <c r="O923" s="92" t="str">
        <f>IF($AG923="","",INDEX($AL$8:$AL$21,INDEX($AC$8:$AC$1407,$AG923)+1))</f>
        <v/>
      </c>
      <c r="P923" s="109" t="str">
        <f>IF($AG923="","",INDEX($AD$8:$AD$1407,$AG923))</f>
        <v/>
      </c>
      <c r="Q923" s="92" t="str">
        <f>IF($AG923="","",INDEX($AM$8:$AM$21,INDEX($AC$8:$AC$1407,$AG923)+1))</f>
        <v/>
      </c>
      <c r="R923" s="92" t="str">
        <f>IF($AG923="","",IF($G923&gt;0,P_ToelCorrectie&amp;"",""))</f>
        <v/>
      </c>
      <c r="S923" s="15" t="str">
        <f>IF(J923="","",J923&amp;"|"&amp;E923&amp;"|"&amp;F923&amp;"|"&amp;I923&amp;"|"&amp;O923)</f>
        <v/>
      </c>
      <c r="T923" s="111" t="str">
        <f>IF(S923="","",IF(COUNTIFS(L_Sleutel,S923,L_Actief,1)=0,"",SUMIFS(L_Waarde,L_Sleutel,S923,L_Actief,1)))</f>
        <v/>
      </c>
      <c r="U923" s="111">
        <f>IF(OR(S923="",T923=""),0,P923-T923)</f>
        <v>0</v>
      </c>
      <c r="AB923" s="112" t="n">
        <v>66</v>
      </c>
      <c r="AC923" s="112" t="n">
        <v>5</v>
      </c>
      <c r="AD923" s="112" t="str">
        <f>VERW_Project!S71</f>
        <v/>
      </c>
      <c r="AE923" s="112">
        <f>IF(AND(VERW_Project!$A71&lt;&gt;"",ISNUMBER(AD923)),1,0)</f>
        <v>0</v>
      </c>
      <c r="AF923" s="112" t="str">
        <f>IF(AE923=1,SUM($AE$8:AE923),"")</f>
        <v/>
      </c>
      <c r="AG923" t="str">
        <f>IFERROR(MATCH(916,$AF$8:$AF$1407,0),"")</f>
        <v/>
      </c>
    </row>
    <row r="924">
      <c r="A924" s="92" t="str">
        <f>IF($AG924="","",P_ImportID)</f>
        <v/>
      </c>
      <c r="B924" s="92" t="str">
        <f>IF($AG924="","",IF(INDEX($AN$8:$AN$21,INDEX($AC$8:$AC$1407,$AG924)+1)="Z",P_BronZ,P_BronE))</f>
        <v/>
      </c>
      <c r="C924" s="108" t="str">
        <f>IF($AG924="","",P_Importdatum)</f>
        <v/>
      </c>
      <c r="D924" s="92" t="str">
        <f>IF($AG924="","",P_StatusVastleg)</f>
        <v/>
      </c>
      <c r="E924" s="92" t="str">
        <f>IF($AG924="","",P_UploadVJ)</f>
        <v/>
      </c>
      <c r="F924" s="92" t="str">
        <f>IF($AG924="","",P_UploadVersie)</f>
        <v/>
      </c>
      <c r="G924" s="92" t="str">
        <f>IF($AG924="","",IF(COUNTIFS(L_Sleutel,$S924,L_Status,"Vastgesteld")=0,0,_xlfn.MAXIFS(L_Revisie,L_Sleutel,$S924,L_Status,"Vastgesteld")+1))</f>
        <v/>
      </c>
      <c r="H924" s="108" t="str">
        <f>IF($AG924="","",P_Peildatum)</f>
        <v/>
      </c>
      <c r="I924" s="92" t="str">
        <f>IF($AG924="","",P_RJ+INDEX($AK$8:$AK$21,INDEX($AC$8:$AC$1407,$AG924)+1))</f>
        <v/>
      </c>
      <c r="J924" s="92" t="str">
        <f>IF($AG924="","",INDEX(V_WBS,INDEX($AB$8:$AB$1407,$AG924)))</f>
        <v/>
      </c>
      <c r="K924" s="92" t="str">
        <f>IF($AG924="","",INDEX(V_Projdef,INDEX($AB$8:$AB$1407,$AG924)))</f>
        <v/>
      </c>
      <c r="L924" s="92" t="str">
        <f>IF($AG924="","",INDEX(V_Naam,INDEX($AB$8:$AB$1407,$AG924)))</f>
        <v/>
      </c>
      <c r="M924" s="92" t="str">
        <f>IF($AG924="","",INDEX(V_Type,INDEX($AB$8:$AB$1407,$AG924)))</f>
        <v/>
      </c>
      <c r="N924" s="92" t="str">
        <f>IF($AG924="","",INDEX(V_IFRS,INDEX($AB$8:$AB$1407,$AG924)))</f>
        <v/>
      </c>
      <c r="O924" s="92" t="str">
        <f>IF($AG924="","",INDEX($AL$8:$AL$21,INDEX($AC$8:$AC$1407,$AG924)+1))</f>
        <v/>
      </c>
      <c r="P924" s="109" t="str">
        <f>IF($AG924="","",INDEX($AD$8:$AD$1407,$AG924))</f>
        <v/>
      </c>
      <c r="Q924" s="92" t="str">
        <f>IF($AG924="","",INDEX($AM$8:$AM$21,INDEX($AC$8:$AC$1407,$AG924)+1))</f>
        <v/>
      </c>
      <c r="R924" s="92" t="str">
        <f>IF($AG924="","",IF($G924&gt;0,P_ToelCorrectie&amp;"",""))</f>
        <v/>
      </c>
      <c r="S924" s="15" t="str">
        <f>IF(J924="","",J924&amp;"|"&amp;E924&amp;"|"&amp;F924&amp;"|"&amp;I924&amp;"|"&amp;O924)</f>
        <v/>
      </c>
      <c r="T924" s="111" t="str">
        <f>IF(S924="","",IF(COUNTIFS(L_Sleutel,S924,L_Actief,1)=0,"",SUMIFS(L_Waarde,L_Sleutel,S924,L_Actief,1)))</f>
        <v/>
      </c>
      <c r="U924" s="111">
        <f>IF(OR(S924="",T924=""),0,P924-T924)</f>
        <v>0</v>
      </c>
      <c r="AB924" s="112" t="n">
        <v>66</v>
      </c>
      <c r="AC924" s="112" t="n">
        <v>6</v>
      </c>
      <c r="AD924" s="112" t="str">
        <f>VERW_Project!BW71</f>
        <v/>
      </c>
      <c r="AE924" s="112">
        <f>IF(AND(VERW_Project!$A71&lt;&gt;"",ISNUMBER(AD924)),1,0)</f>
        <v>0</v>
      </c>
      <c r="AF924" s="112" t="str">
        <f>IF(AE924=1,SUM($AE$8:AE924),"")</f>
        <v/>
      </c>
      <c r="AG924" t="str">
        <f>IFERROR(MATCH(917,$AF$8:$AF$1407,0),"")</f>
        <v/>
      </c>
    </row>
    <row r="925">
      <c r="A925" s="92" t="str">
        <f>IF($AG925="","",P_ImportID)</f>
        <v/>
      </c>
      <c r="B925" s="92" t="str">
        <f>IF($AG925="","",IF(INDEX($AN$8:$AN$21,INDEX($AC$8:$AC$1407,$AG925)+1)="Z",P_BronZ,P_BronE))</f>
        <v/>
      </c>
      <c r="C925" s="108" t="str">
        <f>IF($AG925="","",P_Importdatum)</f>
        <v/>
      </c>
      <c r="D925" s="92" t="str">
        <f>IF($AG925="","",P_StatusVastleg)</f>
        <v/>
      </c>
      <c r="E925" s="92" t="str">
        <f>IF($AG925="","",P_UploadVJ)</f>
        <v/>
      </c>
      <c r="F925" s="92" t="str">
        <f>IF($AG925="","",P_UploadVersie)</f>
        <v/>
      </c>
      <c r="G925" s="92" t="str">
        <f>IF($AG925="","",IF(COUNTIFS(L_Sleutel,$S925,L_Status,"Vastgesteld")=0,0,_xlfn.MAXIFS(L_Revisie,L_Sleutel,$S925,L_Status,"Vastgesteld")+1))</f>
        <v/>
      </c>
      <c r="H925" s="108" t="str">
        <f>IF($AG925="","",P_Peildatum)</f>
        <v/>
      </c>
      <c r="I925" s="92" t="str">
        <f>IF($AG925="","",P_RJ+INDEX($AK$8:$AK$21,INDEX($AC$8:$AC$1407,$AG925)+1))</f>
        <v/>
      </c>
      <c r="J925" s="92" t="str">
        <f>IF($AG925="","",INDEX(V_WBS,INDEX($AB$8:$AB$1407,$AG925)))</f>
        <v/>
      </c>
      <c r="K925" s="92" t="str">
        <f>IF($AG925="","",INDEX(V_Projdef,INDEX($AB$8:$AB$1407,$AG925)))</f>
        <v/>
      </c>
      <c r="L925" s="92" t="str">
        <f>IF($AG925="","",INDEX(V_Naam,INDEX($AB$8:$AB$1407,$AG925)))</f>
        <v/>
      </c>
      <c r="M925" s="92" t="str">
        <f>IF($AG925="","",INDEX(V_Type,INDEX($AB$8:$AB$1407,$AG925)))</f>
        <v/>
      </c>
      <c r="N925" s="92" t="str">
        <f>IF($AG925="","",INDEX(V_IFRS,INDEX($AB$8:$AB$1407,$AG925)))</f>
        <v/>
      </c>
      <c r="O925" s="92" t="str">
        <f>IF($AG925="","",INDEX($AL$8:$AL$21,INDEX($AC$8:$AC$1407,$AG925)+1))</f>
        <v/>
      </c>
      <c r="P925" s="109" t="str">
        <f>IF($AG925="","",INDEX($AD$8:$AD$1407,$AG925))</f>
        <v/>
      </c>
      <c r="Q925" s="92" t="str">
        <f>IF($AG925="","",INDEX($AM$8:$AM$21,INDEX($AC$8:$AC$1407,$AG925)+1))</f>
        <v/>
      </c>
      <c r="R925" s="92" t="str">
        <f>IF($AG925="","",IF($G925&gt;0,P_ToelCorrectie&amp;"",""))</f>
        <v/>
      </c>
      <c r="S925" s="15" t="str">
        <f>IF(J925="","",J925&amp;"|"&amp;E925&amp;"|"&amp;F925&amp;"|"&amp;I925&amp;"|"&amp;O925)</f>
        <v/>
      </c>
      <c r="T925" s="111" t="str">
        <f>IF(S925="","",IF(COUNTIFS(L_Sleutel,S925,L_Actief,1)=0,"",SUMIFS(L_Waarde,L_Sleutel,S925,L_Actief,1)))</f>
        <v/>
      </c>
      <c r="U925" s="111">
        <f>IF(OR(S925="",T925=""),0,P925-T925)</f>
        <v>0</v>
      </c>
      <c r="AB925" s="112" t="n">
        <v>66</v>
      </c>
      <c r="AC925" s="112" t="n">
        <v>7</v>
      </c>
      <c r="AD925" s="112" t="str">
        <f>VERW_Project!AW71</f>
        <v/>
      </c>
      <c r="AE925" s="112">
        <f>IF(AND(VERW_Project!$A71&lt;&gt;"",ISNUMBER(AD925)),1,0)</f>
        <v>0</v>
      </c>
      <c r="AF925" s="112" t="str">
        <f>IF(AE925=1,SUM($AE$8:AE925),"")</f>
        <v/>
      </c>
      <c r="AG925" t="str">
        <f>IFERROR(MATCH(918,$AF$8:$AF$1407,0),"")</f>
        <v/>
      </c>
    </row>
    <row r="926">
      <c r="A926" s="92" t="str">
        <f>IF($AG926="","",P_ImportID)</f>
        <v/>
      </c>
      <c r="B926" s="92" t="str">
        <f>IF($AG926="","",IF(INDEX($AN$8:$AN$21,INDEX($AC$8:$AC$1407,$AG926)+1)="Z",P_BronZ,P_BronE))</f>
        <v/>
      </c>
      <c r="C926" s="108" t="str">
        <f>IF($AG926="","",P_Importdatum)</f>
        <v/>
      </c>
      <c r="D926" s="92" t="str">
        <f>IF($AG926="","",P_StatusVastleg)</f>
        <v/>
      </c>
      <c r="E926" s="92" t="str">
        <f>IF($AG926="","",P_UploadVJ)</f>
        <v/>
      </c>
      <c r="F926" s="92" t="str">
        <f>IF($AG926="","",P_UploadVersie)</f>
        <v/>
      </c>
      <c r="G926" s="92" t="str">
        <f>IF($AG926="","",IF(COUNTIFS(L_Sleutel,$S926,L_Status,"Vastgesteld")=0,0,_xlfn.MAXIFS(L_Revisie,L_Sleutel,$S926,L_Status,"Vastgesteld")+1))</f>
        <v/>
      </c>
      <c r="H926" s="108" t="str">
        <f>IF($AG926="","",P_Peildatum)</f>
        <v/>
      </c>
      <c r="I926" s="92" t="str">
        <f>IF($AG926="","",P_RJ+INDEX($AK$8:$AK$21,INDEX($AC$8:$AC$1407,$AG926)+1))</f>
        <v/>
      </c>
      <c r="J926" s="92" t="str">
        <f>IF($AG926="","",INDEX(V_WBS,INDEX($AB$8:$AB$1407,$AG926)))</f>
        <v/>
      </c>
      <c r="K926" s="92" t="str">
        <f>IF($AG926="","",INDEX(V_Projdef,INDEX($AB$8:$AB$1407,$AG926)))</f>
        <v/>
      </c>
      <c r="L926" s="92" t="str">
        <f>IF($AG926="","",INDEX(V_Naam,INDEX($AB$8:$AB$1407,$AG926)))</f>
        <v/>
      </c>
      <c r="M926" s="92" t="str">
        <f>IF($AG926="","",INDEX(V_Type,INDEX($AB$8:$AB$1407,$AG926)))</f>
        <v/>
      </c>
      <c r="N926" s="92" t="str">
        <f>IF($AG926="","",INDEX(V_IFRS,INDEX($AB$8:$AB$1407,$AG926)))</f>
        <v/>
      </c>
      <c r="O926" s="92" t="str">
        <f>IF($AG926="","",INDEX($AL$8:$AL$21,INDEX($AC$8:$AC$1407,$AG926)+1))</f>
        <v/>
      </c>
      <c r="P926" s="109" t="str">
        <f>IF($AG926="","",INDEX($AD$8:$AD$1407,$AG926))</f>
        <v/>
      </c>
      <c r="Q926" s="92" t="str">
        <f>IF($AG926="","",INDEX($AM$8:$AM$21,INDEX($AC$8:$AC$1407,$AG926)+1))</f>
        <v/>
      </c>
      <c r="R926" s="92" t="str">
        <f>IF($AG926="","",IF($G926&gt;0,P_ToelCorrectie&amp;"",""))</f>
        <v/>
      </c>
      <c r="S926" s="15" t="str">
        <f>IF(J926="","",J926&amp;"|"&amp;E926&amp;"|"&amp;F926&amp;"|"&amp;I926&amp;"|"&amp;O926)</f>
        <v/>
      </c>
      <c r="T926" s="111" t="str">
        <f>IF(S926="","",IF(COUNTIFS(L_Sleutel,S926,L_Actief,1)=0,"",SUMIFS(L_Waarde,L_Sleutel,S926,L_Actief,1)))</f>
        <v/>
      </c>
      <c r="U926" s="111">
        <f>IF(OR(S926="",T926=""),0,P926-T926)</f>
        <v>0</v>
      </c>
      <c r="AB926" s="112" t="n">
        <v>66</v>
      </c>
      <c r="AC926" s="112" t="n">
        <v>8</v>
      </c>
      <c r="AD926" s="112" t="str">
        <f>VERW_Project!BQ71</f>
        <v/>
      </c>
      <c r="AE926" s="112">
        <f>IF(AND(VERW_Project!$A71&lt;&gt;"",ISNUMBER(AD926)),1,0)</f>
        <v>0</v>
      </c>
      <c r="AF926" s="112" t="str">
        <f>IF(AE926=1,SUM($AE$8:AE926),"")</f>
        <v/>
      </c>
      <c r="AG926" t="str">
        <f>IFERROR(MATCH(919,$AF$8:$AF$1407,0),"")</f>
        <v/>
      </c>
    </row>
    <row r="927">
      <c r="A927" s="92" t="str">
        <f>IF($AG927="","",P_ImportID)</f>
        <v/>
      </c>
      <c r="B927" s="92" t="str">
        <f>IF($AG927="","",IF(INDEX($AN$8:$AN$21,INDEX($AC$8:$AC$1407,$AG927)+1)="Z",P_BronZ,P_BronE))</f>
        <v/>
      </c>
      <c r="C927" s="108" t="str">
        <f>IF($AG927="","",P_Importdatum)</f>
        <v/>
      </c>
      <c r="D927" s="92" t="str">
        <f>IF($AG927="","",P_StatusVastleg)</f>
        <v/>
      </c>
      <c r="E927" s="92" t="str">
        <f>IF($AG927="","",P_UploadVJ)</f>
        <v/>
      </c>
      <c r="F927" s="92" t="str">
        <f>IF($AG927="","",P_UploadVersie)</f>
        <v/>
      </c>
      <c r="G927" s="92" t="str">
        <f>IF($AG927="","",IF(COUNTIFS(L_Sleutel,$S927,L_Status,"Vastgesteld")=0,0,_xlfn.MAXIFS(L_Revisie,L_Sleutel,$S927,L_Status,"Vastgesteld")+1))</f>
        <v/>
      </c>
      <c r="H927" s="108" t="str">
        <f>IF($AG927="","",P_Peildatum)</f>
        <v/>
      </c>
      <c r="I927" s="92" t="str">
        <f>IF($AG927="","",P_RJ+INDEX($AK$8:$AK$21,INDEX($AC$8:$AC$1407,$AG927)+1))</f>
        <v/>
      </c>
      <c r="J927" s="92" t="str">
        <f>IF($AG927="","",INDEX(V_WBS,INDEX($AB$8:$AB$1407,$AG927)))</f>
        <v/>
      </c>
      <c r="K927" s="92" t="str">
        <f>IF($AG927="","",INDEX(V_Projdef,INDEX($AB$8:$AB$1407,$AG927)))</f>
        <v/>
      </c>
      <c r="L927" s="92" t="str">
        <f>IF($AG927="","",INDEX(V_Naam,INDEX($AB$8:$AB$1407,$AG927)))</f>
        <v/>
      </c>
      <c r="M927" s="92" t="str">
        <f>IF($AG927="","",INDEX(V_Type,INDEX($AB$8:$AB$1407,$AG927)))</f>
        <v/>
      </c>
      <c r="N927" s="92" t="str">
        <f>IF($AG927="","",INDEX(V_IFRS,INDEX($AB$8:$AB$1407,$AG927)))</f>
        <v/>
      </c>
      <c r="O927" s="92" t="str">
        <f>IF($AG927="","",INDEX($AL$8:$AL$21,INDEX($AC$8:$AC$1407,$AG927)+1))</f>
        <v/>
      </c>
      <c r="P927" s="109" t="str">
        <f>IF($AG927="","",INDEX($AD$8:$AD$1407,$AG927))</f>
        <v/>
      </c>
      <c r="Q927" s="92" t="str">
        <f>IF($AG927="","",INDEX($AM$8:$AM$21,INDEX($AC$8:$AC$1407,$AG927)+1))</f>
        <v/>
      </c>
      <c r="R927" s="92" t="str">
        <f>IF($AG927="","",IF($G927&gt;0,P_ToelCorrectie&amp;"",""))</f>
        <v/>
      </c>
      <c r="S927" s="15" t="str">
        <f>IF(J927="","",J927&amp;"|"&amp;E927&amp;"|"&amp;F927&amp;"|"&amp;I927&amp;"|"&amp;O927)</f>
        <v/>
      </c>
      <c r="T927" s="111" t="str">
        <f>IF(S927="","",IF(COUNTIFS(L_Sleutel,S927,L_Actief,1)=0,"",SUMIFS(L_Waarde,L_Sleutel,S927,L_Actief,1)))</f>
        <v/>
      </c>
      <c r="U927" s="111">
        <f>IF(OR(S927="",T927=""),0,P927-T927)</f>
        <v>0</v>
      </c>
      <c r="AB927" s="112" t="n">
        <v>66</v>
      </c>
      <c r="AC927" s="112" t="n">
        <v>9</v>
      </c>
      <c r="AD927" s="112" t="str">
        <f>VERW_Project!BR71</f>
        <v/>
      </c>
      <c r="AE927" s="112">
        <f>IF(AND(VERW_Project!$A71&lt;&gt;"",ISNUMBER(AD927)),1,0)</f>
        <v>0</v>
      </c>
      <c r="AF927" s="112" t="str">
        <f>IF(AE927=1,SUM($AE$8:AE927),"")</f>
        <v/>
      </c>
      <c r="AG927" t="str">
        <f>IFERROR(MATCH(920,$AF$8:$AF$1407,0),"")</f>
        <v/>
      </c>
    </row>
    <row r="928">
      <c r="A928" s="92" t="str">
        <f>IF($AG928="","",P_ImportID)</f>
        <v/>
      </c>
      <c r="B928" s="92" t="str">
        <f>IF($AG928="","",IF(INDEX($AN$8:$AN$21,INDEX($AC$8:$AC$1407,$AG928)+1)="Z",P_BronZ,P_BronE))</f>
        <v/>
      </c>
      <c r="C928" s="108" t="str">
        <f>IF($AG928="","",P_Importdatum)</f>
        <v/>
      </c>
      <c r="D928" s="92" t="str">
        <f>IF($AG928="","",P_StatusVastleg)</f>
        <v/>
      </c>
      <c r="E928" s="92" t="str">
        <f>IF($AG928="","",P_UploadVJ)</f>
        <v/>
      </c>
      <c r="F928" s="92" t="str">
        <f>IF($AG928="","",P_UploadVersie)</f>
        <v/>
      </c>
      <c r="G928" s="92" t="str">
        <f>IF($AG928="","",IF(COUNTIFS(L_Sleutel,$S928,L_Status,"Vastgesteld")=0,0,_xlfn.MAXIFS(L_Revisie,L_Sleutel,$S928,L_Status,"Vastgesteld")+1))</f>
        <v/>
      </c>
      <c r="H928" s="108" t="str">
        <f>IF($AG928="","",P_Peildatum)</f>
        <v/>
      </c>
      <c r="I928" s="92" t="str">
        <f>IF($AG928="","",P_RJ+INDEX($AK$8:$AK$21,INDEX($AC$8:$AC$1407,$AG928)+1))</f>
        <v/>
      </c>
      <c r="J928" s="92" t="str">
        <f>IF($AG928="","",INDEX(V_WBS,INDEX($AB$8:$AB$1407,$AG928)))</f>
        <v/>
      </c>
      <c r="K928" s="92" t="str">
        <f>IF($AG928="","",INDEX(V_Projdef,INDEX($AB$8:$AB$1407,$AG928)))</f>
        <v/>
      </c>
      <c r="L928" s="92" t="str">
        <f>IF($AG928="","",INDEX(V_Naam,INDEX($AB$8:$AB$1407,$AG928)))</f>
        <v/>
      </c>
      <c r="M928" s="92" t="str">
        <f>IF($AG928="","",INDEX(V_Type,INDEX($AB$8:$AB$1407,$AG928)))</f>
        <v/>
      </c>
      <c r="N928" s="92" t="str">
        <f>IF($AG928="","",INDEX(V_IFRS,INDEX($AB$8:$AB$1407,$AG928)))</f>
        <v/>
      </c>
      <c r="O928" s="92" t="str">
        <f>IF($AG928="","",INDEX($AL$8:$AL$21,INDEX($AC$8:$AC$1407,$AG928)+1))</f>
        <v/>
      </c>
      <c r="P928" s="109" t="str">
        <f>IF($AG928="","",INDEX($AD$8:$AD$1407,$AG928))</f>
        <v/>
      </c>
      <c r="Q928" s="92" t="str">
        <f>IF($AG928="","",INDEX($AM$8:$AM$21,INDEX($AC$8:$AC$1407,$AG928)+1))</f>
        <v/>
      </c>
      <c r="R928" s="92" t="str">
        <f>IF($AG928="","",IF($G928&gt;0,P_ToelCorrectie&amp;"",""))</f>
        <v/>
      </c>
      <c r="S928" s="15" t="str">
        <f>IF(J928="","",J928&amp;"|"&amp;E928&amp;"|"&amp;F928&amp;"|"&amp;I928&amp;"|"&amp;O928)</f>
        <v/>
      </c>
      <c r="T928" s="111" t="str">
        <f>IF(S928="","",IF(COUNTIFS(L_Sleutel,S928,L_Actief,1)=0,"",SUMIFS(L_Waarde,L_Sleutel,S928,L_Actief,1)))</f>
        <v/>
      </c>
      <c r="U928" s="111">
        <f>IF(OR(S928="",T928=""),0,P928-T928)</f>
        <v>0</v>
      </c>
      <c r="AB928" s="112" t="n">
        <v>66</v>
      </c>
      <c r="AC928" s="112" t="n">
        <v>10</v>
      </c>
      <c r="AD928" s="112" t="str">
        <f>VERW_Project!BS71</f>
        <v/>
      </c>
      <c r="AE928" s="112">
        <f>IF(AND(VERW_Project!$A71&lt;&gt;"",ISNUMBER(AD928)),1,0)</f>
        <v>0</v>
      </c>
      <c r="AF928" s="112" t="str">
        <f>IF(AE928=1,SUM($AE$8:AE928),"")</f>
        <v/>
      </c>
      <c r="AG928" t="str">
        <f>IFERROR(MATCH(921,$AF$8:$AF$1407,0),"")</f>
        <v/>
      </c>
    </row>
    <row r="929">
      <c r="A929" s="92" t="str">
        <f>IF($AG929="","",P_ImportID)</f>
        <v/>
      </c>
      <c r="B929" s="92" t="str">
        <f>IF($AG929="","",IF(INDEX($AN$8:$AN$21,INDEX($AC$8:$AC$1407,$AG929)+1)="Z",P_BronZ,P_BronE))</f>
        <v/>
      </c>
      <c r="C929" s="108" t="str">
        <f>IF($AG929="","",P_Importdatum)</f>
        <v/>
      </c>
      <c r="D929" s="92" t="str">
        <f>IF($AG929="","",P_StatusVastleg)</f>
        <v/>
      </c>
      <c r="E929" s="92" t="str">
        <f>IF($AG929="","",P_UploadVJ)</f>
        <v/>
      </c>
      <c r="F929" s="92" t="str">
        <f>IF($AG929="","",P_UploadVersie)</f>
        <v/>
      </c>
      <c r="G929" s="92" t="str">
        <f>IF($AG929="","",IF(COUNTIFS(L_Sleutel,$S929,L_Status,"Vastgesteld")=0,0,_xlfn.MAXIFS(L_Revisie,L_Sleutel,$S929,L_Status,"Vastgesteld")+1))</f>
        <v/>
      </c>
      <c r="H929" s="108" t="str">
        <f>IF($AG929="","",P_Peildatum)</f>
        <v/>
      </c>
      <c r="I929" s="92" t="str">
        <f>IF($AG929="","",P_RJ+INDEX($AK$8:$AK$21,INDEX($AC$8:$AC$1407,$AG929)+1))</f>
        <v/>
      </c>
      <c r="J929" s="92" t="str">
        <f>IF($AG929="","",INDEX(V_WBS,INDEX($AB$8:$AB$1407,$AG929)))</f>
        <v/>
      </c>
      <c r="K929" s="92" t="str">
        <f>IF($AG929="","",INDEX(V_Projdef,INDEX($AB$8:$AB$1407,$AG929)))</f>
        <v/>
      </c>
      <c r="L929" s="92" t="str">
        <f>IF($AG929="","",INDEX(V_Naam,INDEX($AB$8:$AB$1407,$AG929)))</f>
        <v/>
      </c>
      <c r="M929" s="92" t="str">
        <f>IF($AG929="","",INDEX(V_Type,INDEX($AB$8:$AB$1407,$AG929)))</f>
        <v/>
      </c>
      <c r="N929" s="92" t="str">
        <f>IF($AG929="","",INDEX(V_IFRS,INDEX($AB$8:$AB$1407,$AG929)))</f>
        <v/>
      </c>
      <c r="O929" s="92" t="str">
        <f>IF($AG929="","",INDEX($AL$8:$AL$21,INDEX($AC$8:$AC$1407,$AG929)+1))</f>
        <v/>
      </c>
      <c r="P929" s="109" t="str">
        <f>IF($AG929="","",INDEX($AD$8:$AD$1407,$AG929))</f>
        <v/>
      </c>
      <c r="Q929" s="92" t="str">
        <f>IF($AG929="","",INDEX($AM$8:$AM$21,INDEX($AC$8:$AC$1407,$AG929)+1))</f>
        <v/>
      </c>
      <c r="R929" s="92" t="str">
        <f>IF($AG929="","",IF($G929&gt;0,P_ToelCorrectie&amp;"",""))</f>
        <v/>
      </c>
      <c r="S929" s="15" t="str">
        <f>IF(J929="","",J929&amp;"|"&amp;E929&amp;"|"&amp;F929&amp;"|"&amp;I929&amp;"|"&amp;O929)</f>
        <v/>
      </c>
      <c r="T929" s="111" t="str">
        <f>IF(S929="","",IF(COUNTIFS(L_Sleutel,S929,L_Actief,1)=0,"",SUMIFS(L_Waarde,L_Sleutel,S929,L_Actief,1)))</f>
        <v/>
      </c>
      <c r="U929" s="111">
        <f>IF(OR(S929="",T929=""),0,P929-T929)</f>
        <v>0</v>
      </c>
      <c r="AB929" s="112" t="n">
        <v>66</v>
      </c>
      <c r="AC929" s="112" t="n">
        <v>11</v>
      </c>
      <c r="AD929" s="112" t="str">
        <f>VERW_Project!BT71</f>
        <v/>
      </c>
      <c r="AE929" s="112">
        <f>IF(AND(VERW_Project!$A71&lt;&gt;"",ISNUMBER(AD929)),1,0)</f>
        <v>0</v>
      </c>
      <c r="AF929" s="112" t="str">
        <f>IF(AE929=1,SUM($AE$8:AE929),"")</f>
        <v/>
      </c>
      <c r="AG929" t="str">
        <f>IFERROR(MATCH(922,$AF$8:$AF$1407,0),"")</f>
        <v/>
      </c>
    </row>
    <row r="930">
      <c r="A930" s="92" t="str">
        <f>IF($AG930="","",P_ImportID)</f>
        <v/>
      </c>
      <c r="B930" s="92" t="str">
        <f>IF($AG930="","",IF(INDEX($AN$8:$AN$21,INDEX($AC$8:$AC$1407,$AG930)+1)="Z",P_BronZ,P_BronE))</f>
        <v/>
      </c>
      <c r="C930" s="108" t="str">
        <f>IF($AG930="","",P_Importdatum)</f>
        <v/>
      </c>
      <c r="D930" s="92" t="str">
        <f>IF($AG930="","",P_StatusVastleg)</f>
        <v/>
      </c>
      <c r="E930" s="92" t="str">
        <f>IF($AG930="","",P_UploadVJ)</f>
        <v/>
      </c>
      <c r="F930" s="92" t="str">
        <f>IF($AG930="","",P_UploadVersie)</f>
        <v/>
      </c>
      <c r="G930" s="92" t="str">
        <f>IF($AG930="","",IF(COUNTIFS(L_Sleutel,$S930,L_Status,"Vastgesteld")=0,0,_xlfn.MAXIFS(L_Revisie,L_Sleutel,$S930,L_Status,"Vastgesteld")+1))</f>
        <v/>
      </c>
      <c r="H930" s="108" t="str">
        <f>IF($AG930="","",P_Peildatum)</f>
        <v/>
      </c>
      <c r="I930" s="92" t="str">
        <f>IF($AG930="","",P_RJ+INDEX($AK$8:$AK$21,INDEX($AC$8:$AC$1407,$AG930)+1))</f>
        <v/>
      </c>
      <c r="J930" s="92" t="str">
        <f>IF($AG930="","",INDEX(V_WBS,INDEX($AB$8:$AB$1407,$AG930)))</f>
        <v/>
      </c>
      <c r="K930" s="92" t="str">
        <f>IF($AG930="","",INDEX(V_Projdef,INDEX($AB$8:$AB$1407,$AG930)))</f>
        <v/>
      </c>
      <c r="L930" s="92" t="str">
        <f>IF($AG930="","",INDEX(V_Naam,INDEX($AB$8:$AB$1407,$AG930)))</f>
        <v/>
      </c>
      <c r="M930" s="92" t="str">
        <f>IF($AG930="","",INDEX(V_Type,INDEX($AB$8:$AB$1407,$AG930)))</f>
        <v/>
      </c>
      <c r="N930" s="92" t="str">
        <f>IF($AG930="","",INDEX(V_IFRS,INDEX($AB$8:$AB$1407,$AG930)))</f>
        <v/>
      </c>
      <c r="O930" s="92" t="str">
        <f>IF($AG930="","",INDEX($AL$8:$AL$21,INDEX($AC$8:$AC$1407,$AG930)+1))</f>
        <v/>
      </c>
      <c r="P930" s="109" t="str">
        <f>IF($AG930="","",INDEX($AD$8:$AD$1407,$AG930))</f>
        <v/>
      </c>
      <c r="Q930" s="92" t="str">
        <f>IF($AG930="","",INDEX($AM$8:$AM$21,INDEX($AC$8:$AC$1407,$AG930)+1))</f>
        <v/>
      </c>
      <c r="R930" s="92" t="str">
        <f>IF($AG930="","",IF($G930&gt;0,P_ToelCorrectie&amp;"",""))</f>
        <v/>
      </c>
      <c r="S930" s="15" t="str">
        <f>IF(J930="","",J930&amp;"|"&amp;E930&amp;"|"&amp;F930&amp;"|"&amp;I930&amp;"|"&amp;O930)</f>
        <v/>
      </c>
      <c r="T930" s="111" t="str">
        <f>IF(S930="","",IF(COUNTIFS(L_Sleutel,S930,L_Actief,1)=0,"",SUMIFS(L_Waarde,L_Sleutel,S930,L_Actief,1)))</f>
        <v/>
      </c>
      <c r="U930" s="111">
        <f>IF(OR(S930="",T930=""),0,P930-T930)</f>
        <v>0</v>
      </c>
      <c r="AB930" s="112" t="n">
        <v>66</v>
      </c>
      <c r="AC930" s="112" t="n">
        <v>12</v>
      </c>
      <c r="AD930" s="112" t="str">
        <f>VERW_Project!BU71</f>
        <v/>
      </c>
      <c r="AE930" s="112">
        <f>IF(AND(VERW_Project!$A71&lt;&gt;"",ISNUMBER(AD930)),1,0)</f>
        <v>0</v>
      </c>
      <c r="AF930" s="112" t="str">
        <f>IF(AE930=1,SUM($AE$8:AE930),"")</f>
        <v/>
      </c>
      <c r="AG930" t="str">
        <f>IFERROR(MATCH(923,$AF$8:$AF$1407,0),"")</f>
        <v/>
      </c>
    </row>
    <row r="931">
      <c r="A931" s="92" t="str">
        <f>IF($AG931="","",P_ImportID)</f>
        <v/>
      </c>
      <c r="B931" s="92" t="str">
        <f>IF($AG931="","",IF(INDEX($AN$8:$AN$21,INDEX($AC$8:$AC$1407,$AG931)+1)="Z",P_BronZ,P_BronE))</f>
        <v/>
      </c>
      <c r="C931" s="108" t="str">
        <f>IF($AG931="","",P_Importdatum)</f>
        <v/>
      </c>
      <c r="D931" s="92" t="str">
        <f>IF($AG931="","",P_StatusVastleg)</f>
        <v/>
      </c>
      <c r="E931" s="92" t="str">
        <f>IF($AG931="","",P_UploadVJ)</f>
        <v/>
      </c>
      <c r="F931" s="92" t="str">
        <f>IF($AG931="","",P_UploadVersie)</f>
        <v/>
      </c>
      <c r="G931" s="92" t="str">
        <f>IF($AG931="","",IF(COUNTIFS(L_Sleutel,$S931,L_Status,"Vastgesteld")=0,0,_xlfn.MAXIFS(L_Revisie,L_Sleutel,$S931,L_Status,"Vastgesteld")+1))</f>
        <v/>
      </c>
      <c r="H931" s="108" t="str">
        <f>IF($AG931="","",P_Peildatum)</f>
        <v/>
      </c>
      <c r="I931" s="92" t="str">
        <f>IF($AG931="","",P_RJ+INDEX($AK$8:$AK$21,INDEX($AC$8:$AC$1407,$AG931)+1))</f>
        <v/>
      </c>
      <c r="J931" s="92" t="str">
        <f>IF($AG931="","",INDEX(V_WBS,INDEX($AB$8:$AB$1407,$AG931)))</f>
        <v/>
      </c>
      <c r="K931" s="92" t="str">
        <f>IF($AG931="","",INDEX(V_Projdef,INDEX($AB$8:$AB$1407,$AG931)))</f>
        <v/>
      </c>
      <c r="L931" s="92" t="str">
        <f>IF($AG931="","",INDEX(V_Naam,INDEX($AB$8:$AB$1407,$AG931)))</f>
        <v/>
      </c>
      <c r="M931" s="92" t="str">
        <f>IF($AG931="","",INDEX(V_Type,INDEX($AB$8:$AB$1407,$AG931)))</f>
        <v/>
      </c>
      <c r="N931" s="92" t="str">
        <f>IF($AG931="","",INDEX(V_IFRS,INDEX($AB$8:$AB$1407,$AG931)))</f>
        <v/>
      </c>
      <c r="O931" s="92" t="str">
        <f>IF($AG931="","",INDEX($AL$8:$AL$21,INDEX($AC$8:$AC$1407,$AG931)+1))</f>
        <v/>
      </c>
      <c r="P931" s="109" t="str">
        <f>IF($AG931="","",INDEX($AD$8:$AD$1407,$AG931))</f>
        <v/>
      </c>
      <c r="Q931" s="92" t="str">
        <f>IF($AG931="","",INDEX($AM$8:$AM$21,INDEX($AC$8:$AC$1407,$AG931)+1))</f>
        <v/>
      </c>
      <c r="R931" s="92" t="str">
        <f>IF($AG931="","",IF($G931&gt;0,P_ToelCorrectie&amp;"",""))</f>
        <v/>
      </c>
      <c r="S931" s="15" t="str">
        <f>IF(J931="","",J931&amp;"|"&amp;E931&amp;"|"&amp;F931&amp;"|"&amp;I931&amp;"|"&amp;O931)</f>
        <v/>
      </c>
      <c r="T931" s="111" t="str">
        <f>IF(S931="","",IF(COUNTIFS(L_Sleutel,S931,L_Actief,1)=0,"",SUMIFS(L_Waarde,L_Sleutel,S931,L_Actief,1)))</f>
        <v/>
      </c>
      <c r="U931" s="111">
        <f>IF(OR(S931="",T931=""),0,P931-T931)</f>
        <v>0</v>
      </c>
      <c r="AB931" s="112" t="n">
        <v>66</v>
      </c>
      <c r="AC931" s="112" t="n">
        <v>13</v>
      </c>
      <c r="AD931" s="112" t="str">
        <f>VERW_Project!BX71</f>
        <v/>
      </c>
      <c r="AE931" s="112">
        <f>IF(AND(VERW_Project!$A71&lt;&gt;"",ISNUMBER(AD931)),1,0)</f>
        <v>0</v>
      </c>
      <c r="AF931" s="112" t="str">
        <f>IF(AE931=1,SUM($AE$8:AE931),"")</f>
        <v/>
      </c>
      <c r="AG931" t="str">
        <f>IFERROR(MATCH(924,$AF$8:$AF$1407,0),"")</f>
        <v/>
      </c>
    </row>
    <row r="932">
      <c r="A932" s="92" t="str">
        <f>IF($AG932="","",P_ImportID)</f>
        <v/>
      </c>
      <c r="B932" s="92" t="str">
        <f>IF($AG932="","",IF(INDEX($AN$8:$AN$21,INDEX($AC$8:$AC$1407,$AG932)+1)="Z",P_BronZ,P_BronE))</f>
        <v/>
      </c>
      <c r="C932" s="108" t="str">
        <f>IF($AG932="","",P_Importdatum)</f>
        <v/>
      </c>
      <c r="D932" s="92" t="str">
        <f>IF($AG932="","",P_StatusVastleg)</f>
        <v/>
      </c>
      <c r="E932" s="92" t="str">
        <f>IF($AG932="","",P_UploadVJ)</f>
        <v/>
      </c>
      <c r="F932" s="92" t="str">
        <f>IF($AG932="","",P_UploadVersie)</f>
        <v/>
      </c>
      <c r="G932" s="92" t="str">
        <f>IF($AG932="","",IF(COUNTIFS(L_Sleutel,$S932,L_Status,"Vastgesteld")=0,0,_xlfn.MAXIFS(L_Revisie,L_Sleutel,$S932,L_Status,"Vastgesteld")+1))</f>
        <v/>
      </c>
      <c r="H932" s="108" t="str">
        <f>IF($AG932="","",P_Peildatum)</f>
        <v/>
      </c>
      <c r="I932" s="92" t="str">
        <f>IF($AG932="","",P_RJ+INDEX($AK$8:$AK$21,INDEX($AC$8:$AC$1407,$AG932)+1))</f>
        <v/>
      </c>
      <c r="J932" s="92" t="str">
        <f>IF($AG932="","",INDEX(V_WBS,INDEX($AB$8:$AB$1407,$AG932)))</f>
        <v/>
      </c>
      <c r="K932" s="92" t="str">
        <f>IF($AG932="","",INDEX(V_Projdef,INDEX($AB$8:$AB$1407,$AG932)))</f>
        <v/>
      </c>
      <c r="L932" s="92" t="str">
        <f>IF($AG932="","",INDEX(V_Naam,INDEX($AB$8:$AB$1407,$AG932)))</f>
        <v/>
      </c>
      <c r="M932" s="92" t="str">
        <f>IF($AG932="","",INDEX(V_Type,INDEX($AB$8:$AB$1407,$AG932)))</f>
        <v/>
      </c>
      <c r="N932" s="92" t="str">
        <f>IF($AG932="","",INDEX(V_IFRS,INDEX($AB$8:$AB$1407,$AG932)))</f>
        <v/>
      </c>
      <c r="O932" s="92" t="str">
        <f>IF($AG932="","",INDEX($AL$8:$AL$21,INDEX($AC$8:$AC$1407,$AG932)+1))</f>
        <v/>
      </c>
      <c r="P932" s="109" t="str">
        <f>IF($AG932="","",INDEX($AD$8:$AD$1407,$AG932))</f>
        <v/>
      </c>
      <c r="Q932" s="92" t="str">
        <f>IF($AG932="","",INDEX($AM$8:$AM$21,INDEX($AC$8:$AC$1407,$AG932)+1))</f>
        <v/>
      </c>
      <c r="R932" s="92" t="str">
        <f>IF($AG932="","",IF($G932&gt;0,P_ToelCorrectie&amp;"",""))</f>
        <v/>
      </c>
      <c r="S932" s="15" t="str">
        <f>IF(J932="","",J932&amp;"|"&amp;E932&amp;"|"&amp;F932&amp;"|"&amp;I932&amp;"|"&amp;O932)</f>
        <v/>
      </c>
      <c r="T932" s="111" t="str">
        <f>IF(S932="","",IF(COUNTIFS(L_Sleutel,S932,L_Actief,1)=0,"",SUMIFS(L_Waarde,L_Sleutel,S932,L_Actief,1)))</f>
        <v/>
      </c>
      <c r="U932" s="111">
        <f>IF(OR(S932="",T932=""),0,P932-T932)</f>
        <v>0</v>
      </c>
      <c r="AB932" s="112" t="n">
        <v>67</v>
      </c>
      <c r="AC932" s="112" t="n">
        <v>0</v>
      </c>
      <c r="AD932" s="112" t="str">
        <f>VERW_Project!P72</f>
        <v/>
      </c>
      <c r="AE932" s="112">
        <f>IF(AND(VERW_Project!$A72&lt;&gt;"",ISNUMBER(AD932)),1,0)</f>
        <v>0</v>
      </c>
      <c r="AF932" s="112" t="str">
        <f>IF(AE932=1,SUM($AE$8:AE932),"")</f>
        <v/>
      </c>
      <c r="AG932" t="str">
        <f>IFERROR(MATCH(925,$AF$8:$AF$1407,0),"")</f>
        <v/>
      </c>
    </row>
    <row r="933">
      <c r="A933" s="92" t="str">
        <f>IF($AG933="","",P_ImportID)</f>
        <v/>
      </c>
      <c r="B933" s="92" t="str">
        <f>IF($AG933="","",IF(INDEX($AN$8:$AN$21,INDEX($AC$8:$AC$1407,$AG933)+1)="Z",P_BronZ,P_BronE))</f>
        <v/>
      </c>
      <c r="C933" s="108" t="str">
        <f>IF($AG933="","",P_Importdatum)</f>
        <v/>
      </c>
      <c r="D933" s="92" t="str">
        <f>IF($AG933="","",P_StatusVastleg)</f>
        <v/>
      </c>
      <c r="E933" s="92" t="str">
        <f>IF($AG933="","",P_UploadVJ)</f>
        <v/>
      </c>
      <c r="F933" s="92" t="str">
        <f>IF($AG933="","",P_UploadVersie)</f>
        <v/>
      </c>
      <c r="G933" s="92" t="str">
        <f>IF($AG933="","",IF(COUNTIFS(L_Sleutel,$S933,L_Status,"Vastgesteld")=0,0,_xlfn.MAXIFS(L_Revisie,L_Sleutel,$S933,L_Status,"Vastgesteld")+1))</f>
        <v/>
      </c>
      <c r="H933" s="108" t="str">
        <f>IF($AG933="","",P_Peildatum)</f>
        <v/>
      </c>
      <c r="I933" s="92" t="str">
        <f>IF($AG933="","",P_RJ+INDEX($AK$8:$AK$21,INDEX($AC$8:$AC$1407,$AG933)+1))</f>
        <v/>
      </c>
      <c r="J933" s="92" t="str">
        <f>IF($AG933="","",INDEX(V_WBS,INDEX($AB$8:$AB$1407,$AG933)))</f>
        <v/>
      </c>
      <c r="K933" s="92" t="str">
        <f>IF($AG933="","",INDEX(V_Projdef,INDEX($AB$8:$AB$1407,$AG933)))</f>
        <v/>
      </c>
      <c r="L933" s="92" t="str">
        <f>IF($AG933="","",INDEX(V_Naam,INDEX($AB$8:$AB$1407,$AG933)))</f>
        <v/>
      </c>
      <c r="M933" s="92" t="str">
        <f>IF($AG933="","",INDEX(V_Type,INDEX($AB$8:$AB$1407,$AG933)))</f>
        <v/>
      </c>
      <c r="N933" s="92" t="str">
        <f>IF($AG933="","",INDEX(V_IFRS,INDEX($AB$8:$AB$1407,$AG933)))</f>
        <v/>
      </c>
      <c r="O933" s="92" t="str">
        <f>IF($AG933="","",INDEX($AL$8:$AL$21,INDEX($AC$8:$AC$1407,$AG933)+1))</f>
        <v/>
      </c>
      <c r="P933" s="109" t="str">
        <f>IF($AG933="","",INDEX($AD$8:$AD$1407,$AG933))</f>
        <v/>
      </c>
      <c r="Q933" s="92" t="str">
        <f>IF($AG933="","",INDEX($AM$8:$AM$21,INDEX($AC$8:$AC$1407,$AG933)+1))</f>
        <v/>
      </c>
      <c r="R933" s="92" t="str">
        <f>IF($AG933="","",IF($G933&gt;0,P_ToelCorrectie&amp;"",""))</f>
        <v/>
      </c>
      <c r="S933" s="15" t="str">
        <f>IF(J933="","",J933&amp;"|"&amp;E933&amp;"|"&amp;F933&amp;"|"&amp;I933&amp;"|"&amp;O933)</f>
        <v/>
      </c>
      <c r="T933" s="111" t="str">
        <f>IF(S933="","",IF(COUNTIFS(L_Sleutel,S933,L_Actief,1)=0,"",SUMIFS(L_Waarde,L_Sleutel,S933,L_Actief,1)))</f>
        <v/>
      </c>
      <c r="U933" s="111">
        <f>IF(OR(S933="",T933=""),0,P933-T933)</f>
        <v>0</v>
      </c>
      <c r="AB933" s="112" t="n">
        <v>67</v>
      </c>
      <c r="AC933" s="112" t="n">
        <v>1</v>
      </c>
      <c r="AD933" s="112" t="str">
        <f>VERW_Project!Q72</f>
        <v/>
      </c>
      <c r="AE933" s="112">
        <f>IF(AND(VERW_Project!$A72&lt;&gt;"",ISNUMBER(AD933)),1,0)</f>
        <v>0</v>
      </c>
      <c r="AF933" s="112" t="str">
        <f>IF(AE933=1,SUM($AE$8:AE933),"")</f>
        <v/>
      </c>
      <c r="AG933" t="str">
        <f>IFERROR(MATCH(926,$AF$8:$AF$1407,0),"")</f>
        <v/>
      </c>
    </row>
    <row r="934">
      <c r="A934" s="92" t="str">
        <f>IF($AG934="","",P_ImportID)</f>
        <v/>
      </c>
      <c r="B934" s="92" t="str">
        <f>IF($AG934="","",IF(INDEX($AN$8:$AN$21,INDEX($AC$8:$AC$1407,$AG934)+1)="Z",P_BronZ,P_BronE))</f>
        <v/>
      </c>
      <c r="C934" s="108" t="str">
        <f>IF($AG934="","",P_Importdatum)</f>
        <v/>
      </c>
      <c r="D934" s="92" t="str">
        <f>IF($AG934="","",P_StatusVastleg)</f>
        <v/>
      </c>
      <c r="E934" s="92" t="str">
        <f>IF($AG934="","",P_UploadVJ)</f>
        <v/>
      </c>
      <c r="F934" s="92" t="str">
        <f>IF($AG934="","",P_UploadVersie)</f>
        <v/>
      </c>
      <c r="G934" s="92" t="str">
        <f>IF($AG934="","",IF(COUNTIFS(L_Sleutel,$S934,L_Status,"Vastgesteld")=0,0,_xlfn.MAXIFS(L_Revisie,L_Sleutel,$S934,L_Status,"Vastgesteld")+1))</f>
        <v/>
      </c>
      <c r="H934" s="108" t="str">
        <f>IF($AG934="","",P_Peildatum)</f>
        <v/>
      </c>
      <c r="I934" s="92" t="str">
        <f>IF($AG934="","",P_RJ+INDEX($AK$8:$AK$21,INDEX($AC$8:$AC$1407,$AG934)+1))</f>
        <v/>
      </c>
      <c r="J934" s="92" t="str">
        <f>IF($AG934="","",INDEX(V_WBS,INDEX($AB$8:$AB$1407,$AG934)))</f>
        <v/>
      </c>
      <c r="K934" s="92" t="str">
        <f>IF($AG934="","",INDEX(V_Projdef,INDEX($AB$8:$AB$1407,$AG934)))</f>
        <v/>
      </c>
      <c r="L934" s="92" t="str">
        <f>IF($AG934="","",INDEX(V_Naam,INDEX($AB$8:$AB$1407,$AG934)))</f>
        <v/>
      </c>
      <c r="M934" s="92" t="str">
        <f>IF($AG934="","",INDEX(V_Type,INDEX($AB$8:$AB$1407,$AG934)))</f>
        <v/>
      </c>
      <c r="N934" s="92" t="str">
        <f>IF($AG934="","",INDEX(V_IFRS,INDEX($AB$8:$AB$1407,$AG934)))</f>
        <v/>
      </c>
      <c r="O934" s="92" t="str">
        <f>IF($AG934="","",INDEX($AL$8:$AL$21,INDEX($AC$8:$AC$1407,$AG934)+1))</f>
        <v/>
      </c>
      <c r="P934" s="109" t="str">
        <f>IF($AG934="","",INDEX($AD$8:$AD$1407,$AG934))</f>
        <v/>
      </c>
      <c r="Q934" s="92" t="str">
        <f>IF($AG934="","",INDEX($AM$8:$AM$21,INDEX($AC$8:$AC$1407,$AG934)+1))</f>
        <v/>
      </c>
      <c r="R934" s="92" t="str">
        <f>IF($AG934="","",IF($G934&gt;0,P_ToelCorrectie&amp;"",""))</f>
        <v/>
      </c>
      <c r="S934" s="15" t="str">
        <f>IF(J934="","",J934&amp;"|"&amp;E934&amp;"|"&amp;F934&amp;"|"&amp;I934&amp;"|"&amp;O934)</f>
        <v/>
      </c>
      <c r="T934" s="111" t="str">
        <f>IF(S934="","",IF(COUNTIFS(L_Sleutel,S934,L_Actief,1)=0,"",SUMIFS(L_Waarde,L_Sleutel,S934,L_Actief,1)))</f>
        <v/>
      </c>
      <c r="U934" s="111">
        <f>IF(OR(S934="",T934=""),0,P934-T934)</f>
        <v>0</v>
      </c>
      <c r="AB934" s="112" t="n">
        <v>67</v>
      </c>
      <c r="AC934" s="112" t="n">
        <v>2</v>
      </c>
      <c r="AD934" s="112" t="str">
        <f>VERW_Project!L72</f>
        <v/>
      </c>
      <c r="AE934" s="112">
        <f>IF(AND(VERW_Project!$A72&lt;&gt;"",ISNUMBER(AD934)),1,0)</f>
        <v>0</v>
      </c>
      <c r="AF934" s="112" t="str">
        <f>IF(AE934=1,SUM($AE$8:AE934),"")</f>
        <v/>
      </c>
      <c r="AG934" t="str">
        <f>IFERROR(MATCH(927,$AF$8:$AF$1407,0),"")</f>
        <v/>
      </c>
    </row>
    <row r="935">
      <c r="A935" s="92" t="str">
        <f>IF($AG935="","",P_ImportID)</f>
        <v/>
      </c>
      <c r="B935" s="92" t="str">
        <f>IF($AG935="","",IF(INDEX($AN$8:$AN$21,INDEX($AC$8:$AC$1407,$AG935)+1)="Z",P_BronZ,P_BronE))</f>
        <v/>
      </c>
      <c r="C935" s="108" t="str">
        <f>IF($AG935="","",P_Importdatum)</f>
        <v/>
      </c>
      <c r="D935" s="92" t="str">
        <f>IF($AG935="","",P_StatusVastleg)</f>
        <v/>
      </c>
      <c r="E935" s="92" t="str">
        <f>IF($AG935="","",P_UploadVJ)</f>
        <v/>
      </c>
      <c r="F935" s="92" t="str">
        <f>IF($AG935="","",P_UploadVersie)</f>
        <v/>
      </c>
      <c r="G935" s="92" t="str">
        <f>IF($AG935="","",IF(COUNTIFS(L_Sleutel,$S935,L_Status,"Vastgesteld")=0,0,_xlfn.MAXIFS(L_Revisie,L_Sleutel,$S935,L_Status,"Vastgesteld")+1))</f>
        <v/>
      </c>
      <c r="H935" s="108" t="str">
        <f>IF($AG935="","",P_Peildatum)</f>
        <v/>
      </c>
      <c r="I935" s="92" t="str">
        <f>IF($AG935="","",P_RJ+INDEX($AK$8:$AK$21,INDEX($AC$8:$AC$1407,$AG935)+1))</f>
        <v/>
      </c>
      <c r="J935" s="92" t="str">
        <f>IF($AG935="","",INDEX(V_WBS,INDEX($AB$8:$AB$1407,$AG935)))</f>
        <v/>
      </c>
      <c r="K935" s="92" t="str">
        <f>IF($AG935="","",INDEX(V_Projdef,INDEX($AB$8:$AB$1407,$AG935)))</f>
        <v/>
      </c>
      <c r="L935" s="92" t="str">
        <f>IF($AG935="","",INDEX(V_Naam,INDEX($AB$8:$AB$1407,$AG935)))</f>
        <v/>
      </c>
      <c r="M935" s="92" t="str">
        <f>IF($AG935="","",INDEX(V_Type,INDEX($AB$8:$AB$1407,$AG935)))</f>
        <v/>
      </c>
      <c r="N935" s="92" t="str">
        <f>IF($AG935="","",INDEX(V_IFRS,INDEX($AB$8:$AB$1407,$AG935)))</f>
        <v/>
      </c>
      <c r="O935" s="92" t="str">
        <f>IF($AG935="","",INDEX($AL$8:$AL$21,INDEX($AC$8:$AC$1407,$AG935)+1))</f>
        <v/>
      </c>
      <c r="P935" s="109" t="str">
        <f>IF($AG935="","",INDEX($AD$8:$AD$1407,$AG935))</f>
        <v/>
      </c>
      <c r="Q935" s="92" t="str">
        <f>IF($AG935="","",INDEX($AM$8:$AM$21,INDEX($AC$8:$AC$1407,$AG935)+1))</f>
        <v/>
      </c>
      <c r="R935" s="92" t="str">
        <f>IF($AG935="","",IF($G935&gt;0,P_ToelCorrectie&amp;"",""))</f>
        <v/>
      </c>
      <c r="S935" s="15" t="str">
        <f>IF(J935="","",J935&amp;"|"&amp;E935&amp;"|"&amp;F935&amp;"|"&amp;I935&amp;"|"&amp;O935)</f>
        <v/>
      </c>
      <c r="T935" s="111" t="str">
        <f>IF(S935="","",IF(COUNTIFS(L_Sleutel,S935,L_Actief,1)=0,"",SUMIFS(L_Waarde,L_Sleutel,S935,L_Actief,1)))</f>
        <v/>
      </c>
      <c r="U935" s="111">
        <f>IF(OR(S935="",T935=""),0,P935-T935)</f>
        <v>0</v>
      </c>
      <c r="AB935" s="112" t="n">
        <v>67</v>
      </c>
      <c r="AC935" s="112" t="n">
        <v>3</v>
      </c>
      <c r="AD935" s="112" t="str">
        <f>VERW_Project!M72</f>
        <v/>
      </c>
      <c r="AE935" s="112">
        <f>IF(AND(VERW_Project!$A72&lt;&gt;"",ISNUMBER(AD935)),1,0)</f>
        <v>0</v>
      </c>
      <c r="AF935" s="112" t="str">
        <f>IF(AE935=1,SUM($AE$8:AE935),"")</f>
        <v/>
      </c>
      <c r="AG935" t="str">
        <f>IFERROR(MATCH(928,$AF$8:$AF$1407,0),"")</f>
        <v/>
      </c>
    </row>
    <row r="936">
      <c r="A936" s="92" t="str">
        <f>IF($AG936="","",P_ImportID)</f>
        <v/>
      </c>
      <c r="B936" s="92" t="str">
        <f>IF($AG936="","",IF(INDEX($AN$8:$AN$21,INDEX($AC$8:$AC$1407,$AG936)+1)="Z",P_BronZ,P_BronE))</f>
        <v/>
      </c>
      <c r="C936" s="108" t="str">
        <f>IF($AG936="","",P_Importdatum)</f>
        <v/>
      </c>
      <c r="D936" s="92" t="str">
        <f>IF($AG936="","",P_StatusVastleg)</f>
        <v/>
      </c>
      <c r="E936" s="92" t="str">
        <f>IF($AG936="","",P_UploadVJ)</f>
        <v/>
      </c>
      <c r="F936" s="92" t="str">
        <f>IF($AG936="","",P_UploadVersie)</f>
        <v/>
      </c>
      <c r="G936" s="92" t="str">
        <f>IF($AG936="","",IF(COUNTIFS(L_Sleutel,$S936,L_Status,"Vastgesteld")=0,0,_xlfn.MAXIFS(L_Revisie,L_Sleutel,$S936,L_Status,"Vastgesteld")+1))</f>
        <v/>
      </c>
      <c r="H936" s="108" t="str">
        <f>IF($AG936="","",P_Peildatum)</f>
        <v/>
      </c>
      <c r="I936" s="92" t="str">
        <f>IF($AG936="","",P_RJ+INDEX($AK$8:$AK$21,INDEX($AC$8:$AC$1407,$AG936)+1))</f>
        <v/>
      </c>
      <c r="J936" s="92" t="str">
        <f>IF($AG936="","",INDEX(V_WBS,INDEX($AB$8:$AB$1407,$AG936)))</f>
        <v/>
      </c>
      <c r="K936" s="92" t="str">
        <f>IF($AG936="","",INDEX(V_Projdef,INDEX($AB$8:$AB$1407,$AG936)))</f>
        <v/>
      </c>
      <c r="L936" s="92" t="str">
        <f>IF($AG936="","",INDEX(V_Naam,INDEX($AB$8:$AB$1407,$AG936)))</f>
        <v/>
      </c>
      <c r="M936" s="92" t="str">
        <f>IF($AG936="","",INDEX(V_Type,INDEX($AB$8:$AB$1407,$AG936)))</f>
        <v/>
      </c>
      <c r="N936" s="92" t="str">
        <f>IF($AG936="","",INDEX(V_IFRS,INDEX($AB$8:$AB$1407,$AG936)))</f>
        <v/>
      </c>
      <c r="O936" s="92" t="str">
        <f>IF($AG936="","",INDEX($AL$8:$AL$21,INDEX($AC$8:$AC$1407,$AG936)+1))</f>
        <v/>
      </c>
      <c r="P936" s="109" t="str">
        <f>IF($AG936="","",INDEX($AD$8:$AD$1407,$AG936))</f>
        <v/>
      </c>
      <c r="Q936" s="92" t="str">
        <f>IF($AG936="","",INDEX($AM$8:$AM$21,INDEX($AC$8:$AC$1407,$AG936)+1))</f>
        <v/>
      </c>
      <c r="R936" s="92" t="str">
        <f>IF($AG936="","",IF($G936&gt;0,P_ToelCorrectie&amp;"",""))</f>
        <v/>
      </c>
      <c r="S936" s="15" t="str">
        <f>IF(J936="","",J936&amp;"|"&amp;E936&amp;"|"&amp;F936&amp;"|"&amp;I936&amp;"|"&amp;O936)</f>
        <v/>
      </c>
      <c r="T936" s="111" t="str">
        <f>IF(S936="","",IF(COUNTIFS(L_Sleutel,S936,L_Actief,1)=0,"",SUMIFS(L_Waarde,L_Sleutel,S936,L_Actief,1)))</f>
        <v/>
      </c>
      <c r="U936" s="111">
        <f>IF(OR(S936="",T936=""),0,P936-T936)</f>
        <v>0</v>
      </c>
      <c r="AB936" s="112" t="n">
        <v>67</v>
      </c>
      <c r="AC936" s="112" t="n">
        <v>4</v>
      </c>
      <c r="AD936" s="112" t="str">
        <f>VERW_Project!R72</f>
        <v/>
      </c>
      <c r="AE936" s="112">
        <f>IF(AND(VERW_Project!$A72&lt;&gt;"",ISNUMBER(AD936)),1,0)</f>
        <v>0</v>
      </c>
      <c r="AF936" s="112" t="str">
        <f>IF(AE936=1,SUM($AE$8:AE936),"")</f>
        <v/>
      </c>
      <c r="AG936" t="str">
        <f>IFERROR(MATCH(929,$AF$8:$AF$1407,0),"")</f>
        <v/>
      </c>
    </row>
    <row r="937">
      <c r="A937" s="92" t="str">
        <f>IF($AG937="","",P_ImportID)</f>
        <v/>
      </c>
      <c r="B937" s="92" t="str">
        <f>IF($AG937="","",IF(INDEX($AN$8:$AN$21,INDEX($AC$8:$AC$1407,$AG937)+1)="Z",P_BronZ,P_BronE))</f>
        <v/>
      </c>
      <c r="C937" s="108" t="str">
        <f>IF($AG937="","",P_Importdatum)</f>
        <v/>
      </c>
      <c r="D937" s="92" t="str">
        <f>IF($AG937="","",P_StatusVastleg)</f>
        <v/>
      </c>
      <c r="E937" s="92" t="str">
        <f>IF($AG937="","",P_UploadVJ)</f>
        <v/>
      </c>
      <c r="F937" s="92" t="str">
        <f>IF($AG937="","",P_UploadVersie)</f>
        <v/>
      </c>
      <c r="G937" s="92" t="str">
        <f>IF($AG937="","",IF(COUNTIFS(L_Sleutel,$S937,L_Status,"Vastgesteld")=0,0,_xlfn.MAXIFS(L_Revisie,L_Sleutel,$S937,L_Status,"Vastgesteld")+1))</f>
        <v/>
      </c>
      <c r="H937" s="108" t="str">
        <f>IF($AG937="","",P_Peildatum)</f>
        <v/>
      </c>
      <c r="I937" s="92" t="str">
        <f>IF($AG937="","",P_RJ+INDEX($AK$8:$AK$21,INDEX($AC$8:$AC$1407,$AG937)+1))</f>
        <v/>
      </c>
      <c r="J937" s="92" t="str">
        <f>IF($AG937="","",INDEX(V_WBS,INDEX($AB$8:$AB$1407,$AG937)))</f>
        <v/>
      </c>
      <c r="K937" s="92" t="str">
        <f>IF($AG937="","",INDEX(V_Projdef,INDEX($AB$8:$AB$1407,$AG937)))</f>
        <v/>
      </c>
      <c r="L937" s="92" t="str">
        <f>IF($AG937="","",INDEX(V_Naam,INDEX($AB$8:$AB$1407,$AG937)))</f>
        <v/>
      </c>
      <c r="M937" s="92" t="str">
        <f>IF($AG937="","",INDEX(V_Type,INDEX($AB$8:$AB$1407,$AG937)))</f>
        <v/>
      </c>
      <c r="N937" s="92" t="str">
        <f>IF($AG937="","",INDEX(V_IFRS,INDEX($AB$8:$AB$1407,$AG937)))</f>
        <v/>
      </c>
      <c r="O937" s="92" t="str">
        <f>IF($AG937="","",INDEX($AL$8:$AL$21,INDEX($AC$8:$AC$1407,$AG937)+1))</f>
        <v/>
      </c>
      <c r="P937" s="109" t="str">
        <f>IF($AG937="","",INDEX($AD$8:$AD$1407,$AG937))</f>
        <v/>
      </c>
      <c r="Q937" s="92" t="str">
        <f>IF($AG937="","",INDEX($AM$8:$AM$21,INDEX($AC$8:$AC$1407,$AG937)+1))</f>
        <v/>
      </c>
      <c r="R937" s="92" t="str">
        <f>IF($AG937="","",IF($G937&gt;0,P_ToelCorrectie&amp;"",""))</f>
        <v/>
      </c>
      <c r="S937" s="15" t="str">
        <f>IF(J937="","",J937&amp;"|"&amp;E937&amp;"|"&amp;F937&amp;"|"&amp;I937&amp;"|"&amp;O937)</f>
        <v/>
      </c>
      <c r="T937" s="111" t="str">
        <f>IF(S937="","",IF(COUNTIFS(L_Sleutel,S937,L_Actief,1)=0,"",SUMIFS(L_Waarde,L_Sleutel,S937,L_Actief,1)))</f>
        <v/>
      </c>
      <c r="U937" s="111">
        <f>IF(OR(S937="",T937=""),0,P937-T937)</f>
        <v>0</v>
      </c>
      <c r="AB937" s="112" t="n">
        <v>67</v>
      </c>
      <c r="AC937" s="112" t="n">
        <v>5</v>
      </c>
      <c r="AD937" s="112" t="str">
        <f>VERW_Project!S72</f>
        <v/>
      </c>
      <c r="AE937" s="112">
        <f>IF(AND(VERW_Project!$A72&lt;&gt;"",ISNUMBER(AD937)),1,0)</f>
        <v>0</v>
      </c>
      <c r="AF937" s="112" t="str">
        <f>IF(AE937=1,SUM($AE$8:AE937),"")</f>
        <v/>
      </c>
      <c r="AG937" t="str">
        <f>IFERROR(MATCH(930,$AF$8:$AF$1407,0),"")</f>
        <v/>
      </c>
    </row>
    <row r="938">
      <c r="A938" s="92" t="str">
        <f>IF($AG938="","",P_ImportID)</f>
        <v/>
      </c>
      <c r="B938" s="92" t="str">
        <f>IF($AG938="","",IF(INDEX($AN$8:$AN$21,INDEX($AC$8:$AC$1407,$AG938)+1)="Z",P_BronZ,P_BronE))</f>
        <v/>
      </c>
      <c r="C938" s="108" t="str">
        <f>IF($AG938="","",P_Importdatum)</f>
        <v/>
      </c>
      <c r="D938" s="92" t="str">
        <f>IF($AG938="","",P_StatusVastleg)</f>
        <v/>
      </c>
      <c r="E938" s="92" t="str">
        <f>IF($AG938="","",P_UploadVJ)</f>
        <v/>
      </c>
      <c r="F938" s="92" t="str">
        <f>IF($AG938="","",P_UploadVersie)</f>
        <v/>
      </c>
      <c r="G938" s="92" t="str">
        <f>IF($AG938="","",IF(COUNTIFS(L_Sleutel,$S938,L_Status,"Vastgesteld")=0,0,_xlfn.MAXIFS(L_Revisie,L_Sleutel,$S938,L_Status,"Vastgesteld")+1))</f>
        <v/>
      </c>
      <c r="H938" s="108" t="str">
        <f>IF($AG938="","",P_Peildatum)</f>
        <v/>
      </c>
      <c r="I938" s="92" t="str">
        <f>IF($AG938="","",P_RJ+INDEX($AK$8:$AK$21,INDEX($AC$8:$AC$1407,$AG938)+1))</f>
        <v/>
      </c>
      <c r="J938" s="92" t="str">
        <f>IF($AG938="","",INDEX(V_WBS,INDEX($AB$8:$AB$1407,$AG938)))</f>
        <v/>
      </c>
      <c r="K938" s="92" t="str">
        <f>IF($AG938="","",INDEX(V_Projdef,INDEX($AB$8:$AB$1407,$AG938)))</f>
        <v/>
      </c>
      <c r="L938" s="92" t="str">
        <f>IF($AG938="","",INDEX(V_Naam,INDEX($AB$8:$AB$1407,$AG938)))</f>
        <v/>
      </c>
      <c r="M938" s="92" t="str">
        <f>IF($AG938="","",INDEX(V_Type,INDEX($AB$8:$AB$1407,$AG938)))</f>
        <v/>
      </c>
      <c r="N938" s="92" t="str">
        <f>IF($AG938="","",INDEX(V_IFRS,INDEX($AB$8:$AB$1407,$AG938)))</f>
        <v/>
      </c>
      <c r="O938" s="92" t="str">
        <f>IF($AG938="","",INDEX($AL$8:$AL$21,INDEX($AC$8:$AC$1407,$AG938)+1))</f>
        <v/>
      </c>
      <c r="P938" s="109" t="str">
        <f>IF($AG938="","",INDEX($AD$8:$AD$1407,$AG938))</f>
        <v/>
      </c>
      <c r="Q938" s="92" t="str">
        <f>IF($AG938="","",INDEX($AM$8:$AM$21,INDEX($AC$8:$AC$1407,$AG938)+1))</f>
        <v/>
      </c>
      <c r="R938" s="92" t="str">
        <f>IF($AG938="","",IF($G938&gt;0,P_ToelCorrectie&amp;"",""))</f>
        <v/>
      </c>
      <c r="S938" s="15" t="str">
        <f>IF(J938="","",J938&amp;"|"&amp;E938&amp;"|"&amp;F938&amp;"|"&amp;I938&amp;"|"&amp;O938)</f>
        <v/>
      </c>
      <c r="T938" s="111" t="str">
        <f>IF(S938="","",IF(COUNTIFS(L_Sleutel,S938,L_Actief,1)=0,"",SUMIFS(L_Waarde,L_Sleutel,S938,L_Actief,1)))</f>
        <v/>
      </c>
      <c r="U938" s="111">
        <f>IF(OR(S938="",T938=""),0,P938-T938)</f>
        <v>0</v>
      </c>
      <c r="AB938" s="112" t="n">
        <v>67</v>
      </c>
      <c r="AC938" s="112" t="n">
        <v>6</v>
      </c>
      <c r="AD938" s="112" t="str">
        <f>VERW_Project!BW72</f>
        <v/>
      </c>
      <c r="AE938" s="112">
        <f>IF(AND(VERW_Project!$A72&lt;&gt;"",ISNUMBER(AD938)),1,0)</f>
        <v>0</v>
      </c>
      <c r="AF938" s="112" t="str">
        <f>IF(AE938=1,SUM($AE$8:AE938),"")</f>
        <v/>
      </c>
      <c r="AG938" t="str">
        <f>IFERROR(MATCH(931,$AF$8:$AF$1407,0),"")</f>
        <v/>
      </c>
    </row>
    <row r="939">
      <c r="A939" s="92" t="str">
        <f>IF($AG939="","",P_ImportID)</f>
        <v/>
      </c>
      <c r="B939" s="92" t="str">
        <f>IF($AG939="","",IF(INDEX($AN$8:$AN$21,INDEX($AC$8:$AC$1407,$AG939)+1)="Z",P_BronZ,P_BronE))</f>
        <v/>
      </c>
      <c r="C939" s="108" t="str">
        <f>IF($AG939="","",P_Importdatum)</f>
        <v/>
      </c>
      <c r="D939" s="92" t="str">
        <f>IF($AG939="","",P_StatusVastleg)</f>
        <v/>
      </c>
      <c r="E939" s="92" t="str">
        <f>IF($AG939="","",P_UploadVJ)</f>
        <v/>
      </c>
      <c r="F939" s="92" t="str">
        <f>IF($AG939="","",P_UploadVersie)</f>
        <v/>
      </c>
      <c r="G939" s="92" t="str">
        <f>IF($AG939="","",IF(COUNTIFS(L_Sleutel,$S939,L_Status,"Vastgesteld")=0,0,_xlfn.MAXIFS(L_Revisie,L_Sleutel,$S939,L_Status,"Vastgesteld")+1))</f>
        <v/>
      </c>
      <c r="H939" s="108" t="str">
        <f>IF($AG939="","",P_Peildatum)</f>
        <v/>
      </c>
      <c r="I939" s="92" t="str">
        <f>IF($AG939="","",P_RJ+INDEX($AK$8:$AK$21,INDEX($AC$8:$AC$1407,$AG939)+1))</f>
        <v/>
      </c>
      <c r="J939" s="92" t="str">
        <f>IF($AG939="","",INDEX(V_WBS,INDEX($AB$8:$AB$1407,$AG939)))</f>
        <v/>
      </c>
      <c r="K939" s="92" t="str">
        <f>IF($AG939="","",INDEX(V_Projdef,INDEX($AB$8:$AB$1407,$AG939)))</f>
        <v/>
      </c>
      <c r="L939" s="92" t="str">
        <f>IF($AG939="","",INDEX(V_Naam,INDEX($AB$8:$AB$1407,$AG939)))</f>
        <v/>
      </c>
      <c r="M939" s="92" t="str">
        <f>IF($AG939="","",INDEX(V_Type,INDEX($AB$8:$AB$1407,$AG939)))</f>
        <v/>
      </c>
      <c r="N939" s="92" t="str">
        <f>IF($AG939="","",INDEX(V_IFRS,INDEX($AB$8:$AB$1407,$AG939)))</f>
        <v/>
      </c>
      <c r="O939" s="92" t="str">
        <f>IF($AG939="","",INDEX($AL$8:$AL$21,INDEX($AC$8:$AC$1407,$AG939)+1))</f>
        <v/>
      </c>
      <c r="P939" s="109" t="str">
        <f>IF($AG939="","",INDEX($AD$8:$AD$1407,$AG939))</f>
        <v/>
      </c>
      <c r="Q939" s="92" t="str">
        <f>IF($AG939="","",INDEX($AM$8:$AM$21,INDEX($AC$8:$AC$1407,$AG939)+1))</f>
        <v/>
      </c>
      <c r="R939" s="92" t="str">
        <f>IF($AG939="","",IF($G939&gt;0,P_ToelCorrectie&amp;"",""))</f>
        <v/>
      </c>
      <c r="S939" s="15" t="str">
        <f>IF(J939="","",J939&amp;"|"&amp;E939&amp;"|"&amp;F939&amp;"|"&amp;I939&amp;"|"&amp;O939)</f>
        <v/>
      </c>
      <c r="T939" s="111" t="str">
        <f>IF(S939="","",IF(COUNTIFS(L_Sleutel,S939,L_Actief,1)=0,"",SUMIFS(L_Waarde,L_Sleutel,S939,L_Actief,1)))</f>
        <v/>
      </c>
      <c r="U939" s="111">
        <f>IF(OR(S939="",T939=""),0,P939-T939)</f>
        <v>0</v>
      </c>
      <c r="AB939" s="112" t="n">
        <v>67</v>
      </c>
      <c r="AC939" s="112" t="n">
        <v>7</v>
      </c>
      <c r="AD939" s="112" t="str">
        <f>VERW_Project!AW72</f>
        <v/>
      </c>
      <c r="AE939" s="112">
        <f>IF(AND(VERW_Project!$A72&lt;&gt;"",ISNUMBER(AD939)),1,0)</f>
        <v>0</v>
      </c>
      <c r="AF939" s="112" t="str">
        <f>IF(AE939=1,SUM($AE$8:AE939),"")</f>
        <v/>
      </c>
      <c r="AG939" t="str">
        <f>IFERROR(MATCH(932,$AF$8:$AF$1407,0),"")</f>
        <v/>
      </c>
    </row>
    <row r="940">
      <c r="A940" s="92" t="str">
        <f>IF($AG940="","",P_ImportID)</f>
        <v/>
      </c>
      <c r="B940" s="92" t="str">
        <f>IF($AG940="","",IF(INDEX($AN$8:$AN$21,INDEX($AC$8:$AC$1407,$AG940)+1)="Z",P_BronZ,P_BronE))</f>
        <v/>
      </c>
      <c r="C940" s="108" t="str">
        <f>IF($AG940="","",P_Importdatum)</f>
        <v/>
      </c>
      <c r="D940" s="92" t="str">
        <f>IF($AG940="","",P_StatusVastleg)</f>
        <v/>
      </c>
      <c r="E940" s="92" t="str">
        <f>IF($AG940="","",P_UploadVJ)</f>
        <v/>
      </c>
      <c r="F940" s="92" t="str">
        <f>IF($AG940="","",P_UploadVersie)</f>
        <v/>
      </c>
      <c r="G940" s="92" t="str">
        <f>IF($AG940="","",IF(COUNTIFS(L_Sleutel,$S940,L_Status,"Vastgesteld")=0,0,_xlfn.MAXIFS(L_Revisie,L_Sleutel,$S940,L_Status,"Vastgesteld")+1))</f>
        <v/>
      </c>
      <c r="H940" s="108" t="str">
        <f>IF($AG940="","",P_Peildatum)</f>
        <v/>
      </c>
      <c r="I940" s="92" t="str">
        <f>IF($AG940="","",P_RJ+INDEX($AK$8:$AK$21,INDEX($AC$8:$AC$1407,$AG940)+1))</f>
        <v/>
      </c>
      <c r="J940" s="92" t="str">
        <f>IF($AG940="","",INDEX(V_WBS,INDEX($AB$8:$AB$1407,$AG940)))</f>
        <v/>
      </c>
      <c r="K940" s="92" t="str">
        <f>IF($AG940="","",INDEX(V_Projdef,INDEX($AB$8:$AB$1407,$AG940)))</f>
        <v/>
      </c>
      <c r="L940" s="92" t="str">
        <f>IF($AG940="","",INDEX(V_Naam,INDEX($AB$8:$AB$1407,$AG940)))</f>
        <v/>
      </c>
      <c r="M940" s="92" t="str">
        <f>IF($AG940="","",INDEX(V_Type,INDEX($AB$8:$AB$1407,$AG940)))</f>
        <v/>
      </c>
      <c r="N940" s="92" t="str">
        <f>IF($AG940="","",INDEX(V_IFRS,INDEX($AB$8:$AB$1407,$AG940)))</f>
        <v/>
      </c>
      <c r="O940" s="92" t="str">
        <f>IF($AG940="","",INDEX($AL$8:$AL$21,INDEX($AC$8:$AC$1407,$AG940)+1))</f>
        <v/>
      </c>
      <c r="P940" s="109" t="str">
        <f>IF($AG940="","",INDEX($AD$8:$AD$1407,$AG940))</f>
        <v/>
      </c>
      <c r="Q940" s="92" t="str">
        <f>IF($AG940="","",INDEX($AM$8:$AM$21,INDEX($AC$8:$AC$1407,$AG940)+1))</f>
        <v/>
      </c>
      <c r="R940" s="92" t="str">
        <f>IF($AG940="","",IF($G940&gt;0,P_ToelCorrectie&amp;"",""))</f>
        <v/>
      </c>
      <c r="S940" s="15" t="str">
        <f>IF(J940="","",J940&amp;"|"&amp;E940&amp;"|"&amp;F940&amp;"|"&amp;I940&amp;"|"&amp;O940)</f>
        <v/>
      </c>
      <c r="T940" s="111" t="str">
        <f>IF(S940="","",IF(COUNTIFS(L_Sleutel,S940,L_Actief,1)=0,"",SUMIFS(L_Waarde,L_Sleutel,S940,L_Actief,1)))</f>
        <v/>
      </c>
      <c r="U940" s="111">
        <f>IF(OR(S940="",T940=""),0,P940-T940)</f>
        <v>0</v>
      </c>
      <c r="AB940" s="112" t="n">
        <v>67</v>
      </c>
      <c r="AC940" s="112" t="n">
        <v>8</v>
      </c>
      <c r="AD940" s="112" t="str">
        <f>VERW_Project!BQ72</f>
        <v/>
      </c>
      <c r="AE940" s="112">
        <f>IF(AND(VERW_Project!$A72&lt;&gt;"",ISNUMBER(AD940)),1,0)</f>
        <v>0</v>
      </c>
      <c r="AF940" s="112" t="str">
        <f>IF(AE940=1,SUM($AE$8:AE940),"")</f>
        <v/>
      </c>
      <c r="AG940" t="str">
        <f>IFERROR(MATCH(933,$AF$8:$AF$1407,0),"")</f>
        <v/>
      </c>
    </row>
    <row r="941">
      <c r="A941" s="92" t="str">
        <f>IF($AG941="","",P_ImportID)</f>
        <v/>
      </c>
      <c r="B941" s="92" t="str">
        <f>IF($AG941="","",IF(INDEX($AN$8:$AN$21,INDEX($AC$8:$AC$1407,$AG941)+1)="Z",P_BronZ,P_BronE))</f>
        <v/>
      </c>
      <c r="C941" s="108" t="str">
        <f>IF($AG941="","",P_Importdatum)</f>
        <v/>
      </c>
      <c r="D941" s="92" t="str">
        <f>IF($AG941="","",P_StatusVastleg)</f>
        <v/>
      </c>
      <c r="E941" s="92" t="str">
        <f>IF($AG941="","",P_UploadVJ)</f>
        <v/>
      </c>
      <c r="F941" s="92" t="str">
        <f>IF($AG941="","",P_UploadVersie)</f>
        <v/>
      </c>
      <c r="G941" s="92" t="str">
        <f>IF($AG941="","",IF(COUNTIFS(L_Sleutel,$S941,L_Status,"Vastgesteld")=0,0,_xlfn.MAXIFS(L_Revisie,L_Sleutel,$S941,L_Status,"Vastgesteld")+1))</f>
        <v/>
      </c>
      <c r="H941" s="108" t="str">
        <f>IF($AG941="","",P_Peildatum)</f>
        <v/>
      </c>
      <c r="I941" s="92" t="str">
        <f>IF($AG941="","",P_RJ+INDEX($AK$8:$AK$21,INDEX($AC$8:$AC$1407,$AG941)+1))</f>
        <v/>
      </c>
      <c r="J941" s="92" t="str">
        <f>IF($AG941="","",INDEX(V_WBS,INDEX($AB$8:$AB$1407,$AG941)))</f>
        <v/>
      </c>
      <c r="K941" s="92" t="str">
        <f>IF($AG941="","",INDEX(V_Projdef,INDEX($AB$8:$AB$1407,$AG941)))</f>
        <v/>
      </c>
      <c r="L941" s="92" t="str">
        <f>IF($AG941="","",INDEX(V_Naam,INDEX($AB$8:$AB$1407,$AG941)))</f>
        <v/>
      </c>
      <c r="M941" s="92" t="str">
        <f>IF($AG941="","",INDEX(V_Type,INDEX($AB$8:$AB$1407,$AG941)))</f>
        <v/>
      </c>
      <c r="N941" s="92" t="str">
        <f>IF($AG941="","",INDEX(V_IFRS,INDEX($AB$8:$AB$1407,$AG941)))</f>
        <v/>
      </c>
      <c r="O941" s="92" t="str">
        <f>IF($AG941="","",INDEX($AL$8:$AL$21,INDEX($AC$8:$AC$1407,$AG941)+1))</f>
        <v/>
      </c>
      <c r="P941" s="109" t="str">
        <f>IF($AG941="","",INDEX($AD$8:$AD$1407,$AG941))</f>
        <v/>
      </c>
      <c r="Q941" s="92" t="str">
        <f>IF($AG941="","",INDEX($AM$8:$AM$21,INDEX($AC$8:$AC$1407,$AG941)+1))</f>
        <v/>
      </c>
      <c r="R941" s="92" t="str">
        <f>IF($AG941="","",IF($G941&gt;0,P_ToelCorrectie&amp;"",""))</f>
        <v/>
      </c>
      <c r="S941" s="15" t="str">
        <f>IF(J941="","",J941&amp;"|"&amp;E941&amp;"|"&amp;F941&amp;"|"&amp;I941&amp;"|"&amp;O941)</f>
        <v/>
      </c>
      <c r="T941" s="111" t="str">
        <f>IF(S941="","",IF(COUNTIFS(L_Sleutel,S941,L_Actief,1)=0,"",SUMIFS(L_Waarde,L_Sleutel,S941,L_Actief,1)))</f>
        <v/>
      </c>
      <c r="U941" s="111">
        <f>IF(OR(S941="",T941=""),0,P941-T941)</f>
        <v>0</v>
      </c>
      <c r="AB941" s="112" t="n">
        <v>67</v>
      </c>
      <c r="AC941" s="112" t="n">
        <v>9</v>
      </c>
      <c r="AD941" s="112" t="str">
        <f>VERW_Project!BR72</f>
        <v/>
      </c>
      <c r="AE941" s="112">
        <f>IF(AND(VERW_Project!$A72&lt;&gt;"",ISNUMBER(AD941)),1,0)</f>
        <v>0</v>
      </c>
      <c r="AF941" s="112" t="str">
        <f>IF(AE941=1,SUM($AE$8:AE941),"")</f>
        <v/>
      </c>
      <c r="AG941" t="str">
        <f>IFERROR(MATCH(934,$AF$8:$AF$1407,0),"")</f>
        <v/>
      </c>
    </row>
    <row r="942">
      <c r="A942" s="92" t="str">
        <f>IF($AG942="","",P_ImportID)</f>
        <v/>
      </c>
      <c r="B942" s="92" t="str">
        <f>IF($AG942="","",IF(INDEX($AN$8:$AN$21,INDEX($AC$8:$AC$1407,$AG942)+1)="Z",P_BronZ,P_BronE))</f>
        <v/>
      </c>
      <c r="C942" s="108" t="str">
        <f>IF($AG942="","",P_Importdatum)</f>
        <v/>
      </c>
      <c r="D942" s="92" t="str">
        <f>IF($AG942="","",P_StatusVastleg)</f>
        <v/>
      </c>
      <c r="E942" s="92" t="str">
        <f>IF($AG942="","",P_UploadVJ)</f>
        <v/>
      </c>
      <c r="F942" s="92" t="str">
        <f>IF($AG942="","",P_UploadVersie)</f>
        <v/>
      </c>
      <c r="G942" s="92" t="str">
        <f>IF($AG942="","",IF(COUNTIFS(L_Sleutel,$S942,L_Status,"Vastgesteld")=0,0,_xlfn.MAXIFS(L_Revisie,L_Sleutel,$S942,L_Status,"Vastgesteld")+1))</f>
        <v/>
      </c>
      <c r="H942" s="108" t="str">
        <f>IF($AG942="","",P_Peildatum)</f>
        <v/>
      </c>
      <c r="I942" s="92" t="str">
        <f>IF($AG942="","",P_RJ+INDEX($AK$8:$AK$21,INDEX($AC$8:$AC$1407,$AG942)+1))</f>
        <v/>
      </c>
      <c r="J942" s="92" t="str">
        <f>IF($AG942="","",INDEX(V_WBS,INDEX($AB$8:$AB$1407,$AG942)))</f>
        <v/>
      </c>
      <c r="K942" s="92" t="str">
        <f>IF($AG942="","",INDEX(V_Projdef,INDEX($AB$8:$AB$1407,$AG942)))</f>
        <v/>
      </c>
      <c r="L942" s="92" t="str">
        <f>IF($AG942="","",INDEX(V_Naam,INDEX($AB$8:$AB$1407,$AG942)))</f>
        <v/>
      </c>
      <c r="M942" s="92" t="str">
        <f>IF($AG942="","",INDEX(V_Type,INDEX($AB$8:$AB$1407,$AG942)))</f>
        <v/>
      </c>
      <c r="N942" s="92" t="str">
        <f>IF($AG942="","",INDEX(V_IFRS,INDEX($AB$8:$AB$1407,$AG942)))</f>
        <v/>
      </c>
      <c r="O942" s="92" t="str">
        <f>IF($AG942="","",INDEX($AL$8:$AL$21,INDEX($AC$8:$AC$1407,$AG942)+1))</f>
        <v/>
      </c>
      <c r="P942" s="109" t="str">
        <f>IF($AG942="","",INDEX($AD$8:$AD$1407,$AG942))</f>
        <v/>
      </c>
      <c r="Q942" s="92" t="str">
        <f>IF($AG942="","",INDEX($AM$8:$AM$21,INDEX($AC$8:$AC$1407,$AG942)+1))</f>
        <v/>
      </c>
      <c r="R942" s="92" t="str">
        <f>IF($AG942="","",IF($G942&gt;0,P_ToelCorrectie&amp;"",""))</f>
        <v/>
      </c>
      <c r="S942" s="15" t="str">
        <f>IF(J942="","",J942&amp;"|"&amp;E942&amp;"|"&amp;F942&amp;"|"&amp;I942&amp;"|"&amp;O942)</f>
        <v/>
      </c>
      <c r="T942" s="111" t="str">
        <f>IF(S942="","",IF(COUNTIFS(L_Sleutel,S942,L_Actief,1)=0,"",SUMIFS(L_Waarde,L_Sleutel,S942,L_Actief,1)))</f>
        <v/>
      </c>
      <c r="U942" s="111">
        <f>IF(OR(S942="",T942=""),0,P942-T942)</f>
        <v>0</v>
      </c>
      <c r="AB942" s="112" t="n">
        <v>67</v>
      </c>
      <c r="AC942" s="112" t="n">
        <v>10</v>
      </c>
      <c r="AD942" s="112" t="str">
        <f>VERW_Project!BS72</f>
        <v/>
      </c>
      <c r="AE942" s="112">
        <f>IF(AND(VERW_Project!$A72&lt;&gt;"",ISNUMBER(AD942)),1,0)</f>
        <v>0</v>
      </c>
      <c r="AF942" s="112" t="str">
        <f>IF(AE942=1,SUM($AE$8:AE942),"")</f>
        <v/>
      </c>
      <c r="AG942" t="str">
        <f>IFERROR(MATCH(935,$AF$8:$AF$1407,0),"")</f>
        <v/>
      </c>
    </row>
    <row r="943">
      <c r="A943" s="92" t="str">
        <f>IF($AG943="","",P_ImportID)</f>
        <v/>
      </c>
      <c r="B943" s="92" t="str">
        <f>IF($AG943="","",IF(INDEX($AN$8:$AN$21,INDEX($AC$8:$AC$1407,$AG943)+1)="Z",P_BronZ,P_BronE))</f>
        <v/>
      </c>
      <c r="C943" s="108" t="str">
        <f>IF($AG943="","",P_Importdatum)</f>
        <v/>
      </c>
      <c r="D943" s="92" t="str">
        <f>IF($AG943="","",P_StatusVastleg)</f>
        <v/>
      </c>
      <c r="E943" s="92" t="str">
        <f>IF($AG943="","",P_UploadVJ)</f>
        <v/>
      </c>
      <c r="F943" s="92" t="str">
        <f>IF($AG943="","",P_UploadVersie)</f>
        <v/>
      </c>
      <c r="G943" s="92" t="str">
        <f>IF($AG943="","",IF(COUNTIFS(L_Sleutel,$S943,L_Status,"Vastgesteld")=0,0,_xlfn.MAXIFS(L_Revisie,L_Sleutel,$S943,L_Status,"Vastgesteld")+1))</f>
        <v/>
      </c>
      <c r="H943" s="108" t="str">
        <f>IF($AG943="","",P_Peildatum)</f>
        <v/>
      </c>
      <c r="I943" s="92" t="str">
        <f>IF($AG943="","",P_RJ+INDEX($AK$8:$AK$21,INDEX($AC$8:$AC$1407,$AG943)+1))</f>
        <v/>
      </c>
      <c r="J943" s="92" t="str">
        <f>IF($AG943="","",INDEX(V_WBS,INDEX($AB$8:$AB$1407,$AG943)))</f>
        <v/>
      </c>
      <c r="K943" s="92" t="str">
        <f>IF($AG943="","",INDEX(V_Projdef,INDEX($AB$8:$AB$1407,$AG943)))</f>
        <v/>
      </c>
      <c r="L943" s="92" t="str">
        <f>IF($AG943="","",INDEX(V_Naam,INDEX($AB$8:$AB$1407,$AG943)))</f>
        <v/>
      </c>
      <c r="M943" s="92" t="str">
        <f>IF($AG943="","",INDEX(V_Type,INDEX($AB$8:$AB$1407,$AG943)))</f>
        <v/>
      </c>
      <c r="N943" s="92" t="str">
        <f>IF($AG943="","",INDEX(V_IFRS,INDEX($AB$8:$AB$1407,$AG943)))</f>
        <v/>
      </c>
      <c r="O943" s="92" t="str">
        <f>IF($AG943="","",INDEX($AL$8:$AL$21,INDEX($AC$8:$AC$1407,$AG943)+1))</f>
        <v/>
      </c>
      <c r="P943" s="109" t="str">
        <f>IF($AG943="","",INDEX($AD$8:$AD$1407,$AG943))</f>
        <v/>
      </c>
      <c r="Q943" s="92" t="str">
        <f>IF($AG943="","",INDEX($AM$8:$AM$21,INDEX($AC$8:$AC$1407,$AG943)+1))</f>
        <v/>
      </c>
      <c r="R943" s="92" t="str">
        <f>IF($AG943="","",IF($G943&gt;0,P_ToelCorrectie&amp;"",""))</f>
        <v/>
      </c>
      <c r="S943" s="15" t="str">
        <f>IF(J943="","",J943&amp;"|"&amp;E943&amp;"|"&amp;F943&amp;"|"&amp;I943&amp;"|"&amp;O943)</f>
        <v/>
      </c>
      <c r="T943" s="111" t="str">
        <f>IF(S943="","",IF(COUNTIFS(L_Sleutel,S943,L_Actief,1)=0,"",SUMIFS(L_Waarde,L_Sleutel,S943,L_Actief,1)))</f>
        <v/>
      </c>
      <c r="U943" s="111">
        <f>IF(OR(S943="",T943=""),0,P943-T943)</f>
        <v>0</v>
      </c>
      <c r="AB943" s="112" t="n">
        <v>67</v>
      </c>
      <c r="AC943" s="112" t="n">
        <v>11</v>
      </c>
      <c r="AD943" s="112" t="str">
        <f>VERW_Project!BT72</f>
        <v/>
      </c>
      <c r="AE943" s="112">
        <f>IF(AND(VERW_Project!$A72&lt;&gt;"",ISNUMBER(AD943)),1,0)</f>
        <v>0</v>
      </c>
      <c r="AF943" s="112" t="str">
        <f>IF(AE943=1,SUM($AE$8:AE943),"")</f>
        <v/>
      </c>
      <c r="AG943" t="str">
        <f>IFERROR(MATCH(936,$AF$8:$AF$1407,0),"")</f>
        <v/>
      </c>
    </row>
    <row r="944">
      <c r="A944" s="92" t="str">
        <f>IF($AG944="","",P_ImportID)</f>
        <v/>
      </c>
      <c r="B944" s="92" t="str">
        <f>IF($AG944="","",IF(INDEX($AN$8:$AN$21,INDEX($AC$8:$AC$1407,$AG944)+1)="Z",P_BronZ,P_BronE))</f>
        <v/>
      </c>
      <c r="C944" s="108" t="str">
        <f>IF($AG944="","",P_Importdatum)</f>
        <v/>
      </c>
      <c r="D944" s="92" t="str">
        <f>IF($AG944="","",P_StatusVastleg)</f>
        <v/>
      </c>
      <c r="E944" s="92" t="str">
        <f>IF($AG944="","",P_UploadVJ)</f>
        <v/>
      </c>
      <c r="F944" s="92" t="str">
        <f>IF($AG944="","",P_UploadVersie)</f>
        <v/>
      </c>
      <c r="G944" s="92" t="str">
        <f>IF($AG944="","",IF(COUNTIFS(L_Sleutel,$S944,L_Status,"Vastgesteld")=0,0,_xlfn.MAXIFS(L_Revisie,L_Sleutel,$S944,L_Status,"Vastgesteld")+1))</f>
        <v/>
      </c>
      <c r="H944" s="108" t="str">
        <f>IF($AG944="","",P_Peildatum)</f>
        <v/>
      </c>
      <c r="I944" s="92" t="str">
        <f>IF($AG944="","",P_RJ+INDEX($AK$8:$AK$21,INDEX($AC$8:$AC$1407,$AG944)+1))</f>
        <v/>
      </c>
      <c r="J944" s="92" t="str">
        <f>IF($AG944="","",INDEX(V_WBS,INDEX($AB$8:$AB$1407,$AG944)))</f>
        <v/>
      </c>
      <c r="K944" s="92" t="str">
        <f>IF($AG944="","",INDEX(V_Projdef,INDEX($AB$8:$AB$1407,$AG944)))</f>
        <v/>
      </c>
      <c r="L944" s="92" t="str">
        <f>IF($AG944="","",INDEX(V_Naam,INDEX($AB$8:$AB$1407,$AG944)))</f>
        <v/>
      </c>
      <c r="M944" s="92" t="str">
        <f>IF($AG944="","",INDEX(V_Type,INDEX($AB$8:$AB$1407,$AG944)))</f>
        <v/>
      </c>
      <c r="N944" s="92" t="str">
        <f>IF($AG944="","",INDEX(V_IFRS,INDEX($AB$8:$AB$1407,$AG944)))</f>
        <v/>
      </c>
      <c r="O944" s="92" t="str">
        <f>IF($AG944="","",INDEX($AL$8:$AL$21,INDEX($AC$8:$AC$1407,$AG944)+1))</f>
        <v/>
      </c>
      <c r="P944" s="109" t="str">
        <f>IF($AG944="","",INDEX($AD$8:$AD$1407,$AG944))</f>
        <v/>
      </c>
      <c r="Q944" s="92" t="str">
        <f>IF($AG944="","",INDEX($AM$8:$AM$21,INDEX($AC$8:$AC$1407,$AG944)+1))</f>
        <v/>
      </c>
      <c r="R944" s="92" t="str">
        <f>IF($AG944="","",IF($G944&gt;0,P_ToelCorrectie&amp;"",""))</f>
        <v/>
      </c>
      <c r="S944" s="15" t="str">
        <f>IF(J944="","",J944&amp;"|"&amp;E944&amp;"|"&amp;F944&amp;"|"&amp;I944&amp;"|"&amp;O944)</f>
        <v/>
      </c>
      <c r="T944" s="111" t="str">
        <f>IF(S944="","",IF(COUNTIFS(L_Sleutel,S944,L_Actief,1)=0,"",SUMIFS(L_Waarde,L_Sleutel,S944,L_Actief,1)))</f>
        <v/>
      </c>
      <c r="U944" s="111">
        <f>IF(OR(S944="",T944=""),0,P944-T944)</f>
        <v>0</v>
      </c>
      <c r="AB944" s="112" t="n">
        <v>67</v>
      </c>
      <c r="AC944" s="112" t="n">
        <v>12</v>
      </c>
      <c r="AD944" s="112" t="str">
        <f>VERW_Project!BU72</f>
        <v/>
      </c>
      <c r="AE944" s="112">
        <f>IF(AND(VERW_Project!$A72&lt;&gt;"",ISNUMBER(AD944)),1,0)</f>
        <v>0</v>
      </c>
      <c r="AF944" s="112" t="str">
        <f>IF(AE944=1,SUM($AE$8:AE944),"")</f>
        <v/>
      </c>
      <c r="AG944" t="str">
        <f>IFERROR(MATCH(937,$AF$8:$AF$1407,0),"")</f>
        <v/>
      </c>
    </row>
    <row r="945">
      <c r="A945" s="92" t="str">
        <f>IF($AG945="","",P_ImportID)</f>
        <v/>
      </c>
      <c r="B945" s="92" t="str">
        <f>IF($AG945="","",IF(INDEX($AN$8:$AN$21,INDEX($AC$8:$AC$1407,$AG945)+1)="Z",P_BronZ,P_BronE))</f>
        <v/>
      </c>
      <c r="C945" s="108" t="str">
        <f>IF($AG945="","",P_Importdatum)</f>
        <v/>
      </c>
      <c r="D945" s="92" t="str">
        <f>IF($AG945="","",P_StatusVastleg)</f>
        <v/>
      </c>
      <c r="E945" s="92" t="str">
        <f>IF($AG945="","",P_UploadVJ)</f>
        <v/>
      </c>
      <c r="F945" s="92" t="str">
        <f>IF($AG945="","",P_UploadVersie)</f>
        <v/>
      </c>
      <c r="G945" s="92" t="str">
        <f>IF($AG945="","",IF(COUNTIFS(L_Sleutel,$S945,L_Status,"Vastgesteld")=0,0,_xlfn.MAXIFS(L_Revisie,L_Sleutel,$S945,L_Status,"Vastgesteld")+1))</f>
        <v/>
      </c>
      <c r="H945" s="108" t="str">
        <f>IF($AG945="","",P_Peildatum)</f>
        <v/>
      </c>
      <c r="I945" s="92" t="str">
        <f>IF($AG945="","",P_RJ+INDEX($AK$8:$AK$21,INDEX($AC$8:$AC$1407,$AG945)+1))</f>
        <v/>
      </c>
      <c r="J945" s="92" t="str">
        <f>IF($AG945="","",INDEX(V_WBS,INDEX($AB$8:$AB$1407,$AG945)))</f>
        <v/>
      </c>
      <c r="K945" s="92" t="str">
        <f>IF($AG945="","",INDEX(V_Projdef,INDEX($AB$8:$AB$1407,$AG945)))</f>
        <v/>
      </c>
      <c r="L945" s="92" t="str">
        <f>IF($AG945="","",INDEX(V_Naam,INDEX($AB$8:$AB$1407,$AG945)))</f>
        <v/>
      </c>
      <c r="M945" s="92" t="str">
        <f>IF($AG945="","",INDEX(V_Type,INDEX($AB$8:$AB$1407,$AG945)))</f>
        <v/>
      </c>
      <c r="N945" s="92" t="str">
        <f>IF($AG945="","",INDEX(V_IFRS,INDEX($AB$8:$AB$1407,$AG945)))</f>
        <v/>
      </c>
      <c r="O945" s="92" t="str">
        <f>IF($AG945="","",INDEX($AL$8:$AL$21,INDEX($AC$8:$AC$1407,$AG945)+1))</f>
        <v/>
      </c>
      <c r="P945" s="109" t="str">
        <f>IF($AG945="","",INDEX($AD$8:$AD$1407,$AG945))</f>
        <v/>
      </c>
      <c r="Q945" s="92" t="str">
        <f>IF($AG945="","",INDEX($AM$8:$AM$21,INDEX($AC$8:$AC$1407,$AG945)+1))</f>
        <v/>
      </c>
      <c r="R945" s="92" t="str">
        <f>IF($AG945="","",IF($G945&gt;0,P_ToelCorrectie&amp;"",""))</f>
        <v/>
      </c>
      <c r="S945" s="15" t="str">
        <f>IF(J945="","",J945&amp;"|"&amp;E945&amp;"|"&amp;F945&amp;"|"&amp;I945&amp;"|"&amp;O945)</f>
        <v/>
      </c>
      <c r="T945" s="111" t="str">
        <f>IF(S945="","",IF(COUNTIFS(L_Sleutel,S945,L_Actief,1)=0,"",SUMIFS(L_Waarde,L_Sleutel,S945,L_Actief,1)))</f>
        <v/>
      </c>
      <c r="U945" s="111">
        <f>IF(OR(S945="",T945=""),0,P945-T945)</f>
        <v>0</v>
      </c>
      <c r="AB945" s="112" t="n">
        <v>67</v>
      </c>
      <c r="AC945" s="112" t="n">
        <v>13</v>
      </c>
      <c r="AD945" s="112" t="str">
        <f>VERW_Project!BX72</f>
        <v/>
      </c>
      <c r="AE945" s="112">
        <f>IF(AND(VERW_Project!$A72&lt;&gt;"",ISNUMBER(AD945)),1,0)</f>
        <v>0</v>
      </c>
      <c r="AF945" s="112" t="str">
        <f>IF(AE945=1,SUM($AE$8:AE945),"")</f>
        <v/>
      </c>
      <c r="AG945" t="str">
        <f>IFERROR(MATCH(938,$AF$8:$AF$1407,0),"")</f>
        <v/>
      </c>
    </row>
    <row r="946">
      <c r="A946" s="92" t="str">
        <f>IF($AG946="","",P_ImportID)</f>
        <v/>
      </c>
      <c r="B946" s="92" t="str">
        <f>IF($AG946="","",IF(INDEX($AN$8:$AN$21,INDEX($AC$8:$AC$1407,$AG946)+1)="Z",P_BronZ,P_BronE))</f>
        <v/>
      </c>
      <c r="C946" s="108" t="str">
        <f>IF($AG946="","",P_Importdatum)</f>
        <v/>
      </c>
      <c r="D946" s="92" t="str">
        <f>IF($AG946="","",P_StatusVastleg)</f>
        <v/>
      </c>
      <c r="E946" s="92" t="str">
        <f>IF($AG946="","",P_UploadVJ)</f>
        <v/>
      </c>
      <c r="F946" s="92" t="str">
        <f>IF($AG946="","",P_UploadVersie)</f>
        <v/>
      </c>
      <c r="G946" s="92" t="str">
        <f>IF($AG946="","",IF(COUNTIFS(L_Sleutel,$S946,L_Status,"Vastgesteld")=0,0,_xlfn.MAXIFS(L_Revisie,L_Sleutel,$S946,L_Status,"Vastgesteld")+1))</f>
        <v/>
      </c>
      <c r="H946" s="108" t="str">
        <f>IF($AG946="","",P_Peildatum)</f>
        <v/>
      </c>
      <c r="I946" s="92" t="str">
        <f>IF($AG946="","",P_RJ+INDEX($AK$8:$AK$21,INDEX($AC$8:$AC$1407,$AG946)+1))</f>
        <v/>
      </c>
      <c r="J946" s="92" t="str">
        <f>IF($AG946="","",INDEX(V_WBS,INDEX($AB$8:$AB$1407,$AG946)))</f>
        <v/>
      </c>
      <c r="K946" s="92" t="str">
        <f>IF($AG946="","",INDEX(V_Projdef,INDEX($AB$8:$AB$1407,$AG946)))</f>
        <v/>
      </c>
      <c r="L946" s="92" t="str">
        <f>IF($AG946="","",INDEX(V_Naam,INDEX($AB$8:$AB$1407,$AG946)))</f>
        <v/>
      </c>
      <c r="M946" s="92" t="str">
        <f>IF($AG946="","",INDEX(V_Type,INDEX($AB$8:$AB$1407,$AG946)))</f>
        <v/>
      </c>
      <c r="N946" s="92" t="str">
        <f>IF($AG946="","",INDEX(V_IFRS,INDEX($AB$8:$AB$1407,$AG946)))</f>
        <v/>
      </c>
      <c r="O946" s="92" t="str">
        <f>IF($AG946="","",INDEX($AL$8:$AL$21,INDEX($AC$8:$AC$1407,$AG946)+1))</f>
        <v/>
      </c>
      <c r="P946" s="109" t="str">
        <f>IF($AG946="","",INDEX($AD$8:$AD$1407,$AG946))</f>
        <v/>
      </c>
      <c r="Q946" s="92" t="str">
        <f>IF($AG946="","",INDEX($AM$8:$AM$21,INDEX($AC$8:$AC$1407,$AG946)+1))</f>
        <v/>
      </c>
      <c r="R946" s="92" t="str">
        <f>IF($AG946="","",IF($G946&gt;0,P_ToelCorrectie&amp;"",""))</f>
        <v/>
      </c>
      <c r="S946" s="15" t="str">
        <f>IF(J946="","",J946&amp;"|"&amp;E946&amp;"|"&amp;F946&amp;"|"&amp;I946&amp;"|"&amp;O946)</f>
        <v/>
      </c>
      <c r="T946" s="111" t="str">
        <f>IF(S946="","",IF(COUNTIFS(L_Sleutel,S946,L_Actief,1)=0,"",SUMIFS(L_Waarde,L_Sleutel,S946,L_Actief,1)))</f>
        <v/>
      </c>
      <c r="U946" s="111">
        <f>IF(OR(S946="",T946=""),0,P946-T946)</f>
        <v>0</v>
      </c>
      <c r="AB946" s="112" t="n">
        <v>68</v>
      </c>
      <c r="AC946" s="112" t="n">
        <v>0</v>
      </c>
      <c r="AD946" s="112" t="str">
        <f>VERW_Project!P73</f>
        <v/>
      </c>
      <c r="AE946" s="112">
        <f>IF(AND(VERW_Project!$A73&lt;&gt;"",ISNUMBER(AD946)),1,0)</f>
        <v>0</v>
      </c>
      <c r="AF946" s="112" t="str">
        <f>IF(AE946=1,SUM($AE$8:AE946),"")</f>
        <v/>
      </c>
      <c r="AG946" t="str">
        <f>IFERROR(MATCH(939,$AF$8:$AF$1407,0),"")</f>
        <v/>
      </c>
    </row>
    <row r="947">
      <c r="A947" s="92" t="str">
        <f>IF($AG947="","",P_ImportID)</f>
        <v/>
      </c>
      <c r="B947" s="92" t="str">
        <f>IF($AG947="","",IF(INDEX($AN$8:$AN$21,INDEX($AC$8:$AC$1407,$AG947)+1)="Z",P_BronZ,P_BronE))</f>
        <v/>
      </c>
      <c r="C947" s="108" t="str">
        <f>IF($AG947="","",P_Importdatum)</f>
        <v/>
      </c>
      <c r="D947" s="92" t="str">
        <f>IF($AG947="","",P_StatusVastleg)</f>
        <v/>
      </c>
      <c r="E947" s="92" t="str">
        <f>IF($AG947="","",P_UploadVJ)</f>
        <v/>
      </c>
      <c r="F947" s="92" t="str">
        <f>IF($AG947="","",P_UploadVersie)</f>
        <v/>
      </c>
      <c r="G947" s="92" t="str">
        <f>IF($AG947="","",IF(COUNTIFS(L_Sleutel,$S947,L_Status,"Vastgesteld")=0,0,_xlfn.MAXIFS(L_Revisie,L_Sleutel,$S947,L_Status,"Vastgesteld")+1))</f>
        <v/>
      </c>
      <c r="H947" s="108" t="str">
        <f>IF($AG947="","",P_Peildatum)</f>
        <v/>
      </c>
      <c r="I947" s="92" t="str">
        <f>IF($AG947="","",P_RJ+INDEX($AK$8:$AK$21,INDEX($AC$8:$AC$1407,$AG947)+1))</f>
        <v/>
      </c>
      <c r="J947" s="92" t="str">
        <f>IF($AG947="","",INDEX(V_WBS,INDEX($AB$8:$AB$1407,$AG947)))</f>
        <v/>
      </c>
      <c r="K947" s="92" t="str">
        <f>IF($AG947="","",INDEX(V_Projdef,INDEX($AB$8:$AB$1407,$AG947)))</f>
        <v/>
      </c>
      <c r="L947" s="92" t="str">
        <f>IF($AG947="","",INDEX(V_Naam,INDEX($AB$8:$AB$1407,$AG947)))</f>
        <v/>
      </c>
      <c r="M947" s="92" t="str">
        <f>IF($AG947="","",INDEX(V_Type,INDEX($AB$8:$AB$1407,$AG947)))</f>
        <v/>
      </c>
      <c r="N947" s="92" t="str">
        <f>IF($AG947="","",INDEX(V_IFRS,INDEX($AB$8:$AB$1407,$AG947)))</f>
        <v/>
      </c>
      <c r="O947" s="92" t="str">
        <f>IF($AG947="","",INDEX($AL$8:$AL$21,INDEX($AC$8:$AC$1407,$AG947)+1))</f>
        <v/>
      </c>
      <c r="P947" s="109" t="str">
        <f>IF($AG947="","",INDEX($AD$8:$AD$1407,$AG947))</f>
        <v/>
      </c>
      <c r="Q947" s="92" t="str">
        <f>IF($AG947="","",INDEX($AM$8:$AM$21,INDEX($AC$8:$AC$1407,$AG947)+1))</f>
        <v/>
      </c>
      <c r="R947" s="92" t="str">
        <f>IF($AG947="","",IF($G947&gt;0,P_ToelCorrectie&amp;"",""))</f>
        <v/>
      </c>
      <c r="S947" s="15" t="str">
        <f>IF(J947="","",J947&amp;"|"&amp;E947&amp;"|"&amp;F947&amp;"|"&amp;I947&amp;"|"&amp;O947)</f>
        <v/>
      </c>
      <c r="T947" s="111" t="str">
        <f>IF(S947="","",IF(COUNTIFS(L_Sleutel,S947,L_Actief,1)=0,"",SUMIFS(L_Waarde,L_Sleutel,S947,L_Actief,1)))</f>
        <v/>
      </c>
      <c r="U947" s="111">
        <f>IF(OR(S947="",T947=""),0,P947-T947)</f>
        <v>0</v>
      </c>
      <c r="AB947" s="112" t="n">
        <v>68</v>
      </c>
      <c r="AC947" s="112" t="n">
        <v>1</v>
      </c>
      <c r="AD947" s="112" t="str">
        <f>VERW_Project!Q73</f>
        <v/>
      </c>
      <c r="AE947" s="112">
        <f>IF(AND(VERW_Project!$A73&lt;&gt;"",ISNUMBER(AD947)),1,0)</f>
        <v>0</v>
      </c>
      <c r="AF947" s="112" t="str">
        <f>IF(AE947=1,SUM($AE$8:AE947),"")</f>
        <v/>
      </c>
      <c r="AG947" t="str">
        <f>IFERROR(MATCH(940,$AF$8:$AF$1407,0),"")</f>
        <v/>
      </c>
    </row>
    <row r="948">
      <c r="A948" s="92" t="str">
        <f>IF($AG948="","",P_ImportID)</f>
        <v/>
      </c>
      <c r="B948" s="92" t="str">
        <f>IF($AG948="","",IF(INDEX($AN$8:$AN$21,INDEX($AC$8:$AC$1407,$AG948)+1)="Z",P_BronZ,P_BronE))</f>
        <v/>
      </c>
      <c r="C948" s="108" t="str">
        <f>IF($AG948="","",P_Importdatum)</f>
        <v/>
      </c>
      <c r="D948" s="92" t="str">
        <f>IF($AG948="","",P_StatusVastleg)</f>
        <v/>
      </c>
      <c r="E948" s="92" t="str">
        <f>IF($AG948="","",P_UploadVJ)</f>
        <v/>
      </c>
      <c r="F948" s="92" t="str">
        <f>IF($AG948="","",P_UploadVersie)</f>
        <v/>
      </c>
      <c r="G948" s="92" t="str">
        <f>IF($AG948="","",IF(COUNTIFS(L_Sleutel,$S948,L_Status,"Vastgesteld")=0,0,_xlfn.MAXIFS(L_Revisie,L_Sleutel,$S948,L_Status,"Vastgesteld")+1))</f>
        <v/>
      </c>
      <c r="H948" s="108" t="str">
        <f>IF($AG948="","",P_Peildatum)</f>
        <v/>
      </c>
      <c r="I948" s="92" t="str">
        <f>IF($AG948="","",P_RJ+INDEX($AK$8:$AK$21,INDEX($AC$8:$AC$1407,$AG948)+1))</f>
        <v/>
      </c>
      <c r="J948" s="92" t="str">
        <f>IF($AG948="","",INDEX(V_WBS,INDEX($AB$8:$AB$1407,$AG948)))</f>
        <v/>
      </c>
      <c r="K948" s="92" t="str">
        <f>IF($AG948="","",INDEX(V_Projdef,INDEX($AB$8:$AB$1407,$AG948)))</f>
        <v/>
      </c>
      <c r="L948" s="92" t="str">
        <f>IF($AG948="","",INDEX(V_Naam,INDEX($AB$8:$AB$1407,$AG948)))</f>
        <v/>
      </c>
      <c r="M948" s="92" t="str">
        <f>IF($AG948="","",INDEX(V_Type,INDEX($AB$8:$AB$1407,$AG948)))</f>
        <v/>
      </c>
      <c r="N948" s="92" t="str">
        <f>IF($AG948="","",INDEX(V_IFRS,INDEX($AB$8:$AB$1407,$AG948)))</f>
        <v/>
      </c>
      <c r="O948" s="92" t="str">
        <f>IF($AG948="","",INDEX($AL$8:$AL$21,INDEX($AC$8:$AC$1407,$AG948)+1))</f>
        <v/>
      </c>
      <c r="P948" s="109" t="str">
        <f>IF($AG948="","",INDEX($AD$8:$AD$1407,$AG948))</f>
        <v/>
      </c>
      <c r="Q948" s="92" t="str">
        <f>IF($AG948="","",INDEX($AM$8:$AM$21,INDEX($AC$8:$AC$1407,$AG948)+1))</f>
        <v/>
      </c>
      <c r="R948" s="92" t="str">
        <f>IF($AG948="","",IF($G948&gt;0,P_ToelCorrectie&amp;"",""))</f>
        <v/>
      </c>
      <c r="S948" s="15" t="str">
        <f>IF(J948="","",J948&amp;"|"&amp;E948&amp;"|"&amp;F948&amp;"|"&amp;I948&amp;"|"&amp;O948)</f>
        <v/>
      </c>
      <c r="T948" s="111" t="str">
        <f>IF(S948="","",IF(COUNTIFS(L_Sleutel,S948,L_Actief,1)=0,"",SUMIFS(L_Waarde,L_Sleutel,S948,L_Actief,1)))</f>
        <v/>
      </c>
      <c r="U948" s="111">
        <f>IF(OR(S948="",T948=""),0,P948-T948)</f>
        <v>0</v>
      </c>
      <c r="AB948" s="112" t="n">
        <v>68</v>
      </c>
      <c r="AC948" s="112" t="n">
        <v>2</v>
      </c>
      <c r="AD948" s="112" t="str">
        <f>VERW_Project!L73</f>
        <v/>
      </c>
      <c r="AE948" s="112">
        <f>IF(AND(VERW_Project!$A73&lt;&gt;"",ISNUMBER(AD948)),1,0)</f>
        <v>0</v>
      </c>
      <c r="AF948" s="112" t="str">
        <f>IF(AE948=1,SUM($AE$8:AE948),"")</f>
        <v/>
      </c>
      <c r="AG948" t="str">
        <f>IFERROR(MATCH(941,$AF$8:$AF$1407,0),"")</f>
        <v/>
      </c>
    </row>
    <row r="949">
      <c r="A949" s="92" t="str">
        <f>IF($AG949="","",P_ImportID)</f>
        <v/>
      </c>
      <c r="B949" s="92" t="str">
        <f>IF($AG949="","",IF(INDEX($AN$8:$AN$21,INDEX($AC$8:$AC$1407,$AG949)+1)="Z",P_BronZ,P_BronE))</f>
        <v/>
      </c>
      <c r="C949" s="108" t="str">
        <f>IF($AG949="","",P_Importdatum)</f>
        <v/>
      </c>
      <c r="D949" s="92" t="str">
        <f>IF($AG949="","",P_StatusVastleg)</f>
        <v/>
      </c>
      <c r="E949" s="92" t="str">
        <f>IF($AG949="","",P_UploadVJ)</f>
        <v/>
      </c>
      <c r="F949" s="92" t="str">
        <f>IF($AG949="","",P_UploadVersie)</f>
        <v/>
      </c>
      <c r="G949" s="92" t="str">
        <f>IF($AG949="","",IF(COUNTIFS(L_Sleutel,$S949,L_Status,"Vastgesteld")=0,0,_xlfn.MAXIFS(L_Revisie,L_Sleutel,$S949,L_Status,"Vastgesteld")+1))</f>
        <v/>
      </c>
      <c r="H949" s="108" t="str">
        <f>IF($AG949="","",P_Peildatum)</f>
        <v/>
      </c>
      <c r="I949" s="92" t="str">
        <f>IF($AG949="","",P_RJ+INDEX($AK$8:$AK$21,INDEX($AC$8:$AC$1407,$AG949)+1))</f>
        <v/>
      </c>
      <c r="J949" s="92" t="str">
        <f>IF($AG949="","",INDEX(V_WBS,INDEX($AB$8:$AB$1407,$AG949)))</f>
        <v/>
      </c>
      <c r="K949" s="92" t="str">
        <f>IF($AG949="","",INDEX(V_Projdef,INDEX($AB$8:$AB$1407,$AG949)))</f>
        <v/>
      </c>
      <c r="L949" s="92" t="str">
        <f>IF($AG949="","",INDEX(V_Naam,INDEX($AB$8:$AB$1407,$AG949)))</f>
        <v/>
      </c>
      <c r="M949" s="92" t="str">
        <f>IF($AG949="","",INDEX(V_Type,INDEX($AB$8:$AB$1407,$AG949)))</f>
        <v/>
      </c>
      <c r="N949" s="92" t="str">
        <f>IF($AG949="","",INDEX(V_IFRS,INDEX($AB$8:$AB$1407,$AG949)))</f>
        <v/>
      </c>
      <c r="O949" s="92" t="str">
        <f>IF($AG949="","",INDEX($AL$8:$AL$21,INDEX($AC$8:$AC$1407,$AG949)+1))</f>
        <v/>
      </c>
      <c r="P949" s="109" t="str">
        <f>IF($AG949="","",INDEX($AD$8:$AD$1407,$AG949))</f>
        <v/>
      </c>
      <c r="Q949" s="92" t="str">
        <f>IF($AG949="","",INDEX($AM$8:$AM$21,INDEX($AC$8:$AC$1407,$AG949)+1))</f>
        <v/>
      </c>
      <c r="R949" s="92" t="str">
        <f>IF($AG949="","",IF($G949&gt;0,P_ToelCorrectie&amp;"",""))</f>
        <v/>
      </c>
      <c r="S949" s="15" t="str">
        <f>IF(J949="","",J949&amp;"|"&amp;E949&amp;"|"&amp;F949&amp;"|"&amp;I949&amp;"|"&amp;O949)</f>
        <v/>
      </c>
      <c r="T949" s="111" t="str">
        <f>IF(S949="","",IF(COUNTIFS(L_Sleutel,S949,L_Actief,1)=0,"",SUMIFS(L_Waarde,L_Sleutel,S949,L_Actief,1)))</f>
        <v/>
      </c>
      <c r="U949" s="111">
        <f>IF(OR(S949="",T949=""),0,P949-T949)</f>
        <v>0</v>
      </c>
      <c r="AB949" s="112" t="n">
        <v>68</v>
      </c>
      <c r="AC949" s="112" t="n">
        <v>3</v>
      </c>
      <c r="AD949" s="112" t="str">
        <f>VERW_Project!M73</f>
        <v/>
      </c>
      <c r="AE949" s="112">
        <f>IF(AND(VERW_Project!$A73&lt;&gt;"",ISNUMBER(AD949)),1,0)</f>
        <v>0</v>
      </c>
      <c r="AF949" s="112" t="str">
        <f>IF(AE949=1,SUM($AE$8:AE949),"")</f>
        <v/>
      </c>
      <c r="AG949" t="str">
        <f>IFERROR(MATCH(942,$AF$8:$AF$1407,0),"")</f>
        <v/>
      </c>
    </row>
    <row r="950">
      <c r="A950" s="92" t="str">
        <f>IF($AG950="","",P_ImportID)</f>
        <v/>
      </c>
      <c r="B950" s="92" t="str">
        <f>IF($AG950="","",IF(INDEX($AN$8:$AN$21,INDEX($AC$8:$AC$1407,$AG950)+1)="Z",P_BronZ,P_BronE))</f>
        <v/>
      </c>
      <c r="C950" s="108" t="str">
        <f>IF($AG950="","",P_Importdatum)</f>
        <v/>
      </c>
      <c r="D950" s="92" t="str">
        <f>IF($AG950="","",P_StatusVastleg)</f>
        <v/>
      </c>
      <c r="E950" s="92" t="str">
        <f>IF($AG950="","",P_UploadVJ)</f>
        <v/>
      </c>
      <c r="F950" s="92" t="str">
        <f>IF($AG950="","",P_UploadVersie)</f>
        <v/>
      </c>
      <c r="G950" s="92" t="str">
        <f>IF($AG950="","",IF(COUNTIFS(L_Sleutel,$S950,L_Status,"Vastgesteld")=0,0,_xlfn.MAXIFS(L_Revisie,L_Sleutel,$S950,L_Status,"Vastgesteld")+1))</f>
        <v/>
      </c>
      <c r="H950" s="108" t="str">
        <f>IF($AG950="","",P_Peildatum)</f>
        <v/>
      </c>
      <c r="I950" s="92" t="str">
        <f>IF($AG950="","",P_RJ+INDEX($AK$8:$AK$21,INDEX($AC$8:$AC$1407,$AG950)+1))</f>
        <v/>
      </c>
      <c r="J950" s="92" t="str">
        <f>IF($AG950="","",INDEX(V_WBS,INDEX($AB$8:$AB$1407,$AG950)))</f>
        <v/>
      </c>
      <c r="K950" s="92" t="str">
        <f>IF($AG950="","",INDEX(V_Projdef,INDEX($AB$8:$AB$1407,$AG950)))</f>
        <v/>
      </c>
      <c r="L950" s="92" t="str">
        <f>IF($AG950="","",INDEX(V_Naam,INDEX($AB$8:$AB$1407,$AG950)))</f>
        <v/>
      </c>
      <c r="M950" s="92" t="str">
        <f>IF($AG950="","",INDEX(V_Type,INDEX($AB$8:$AB$1407,$AG950)))</f>
        <v/>
      </c>
      <c r="N950" s="92" t="str">
        <f>IF($AG950="","",INDEX(V_IFRS,INDEX($AB$8:$AB$1407,$AG950)))</f>
        <v/>
      </c>
      <c r="O950" s="92" t="str">
        <f>IF($AG950="","",INDEX($AL$8:$AL$21,INDEX($AC$8:$AC$1407,$AG950)+1))</f>
        <v/>
      </c>
      <c r="P950" s="109" t="str">
        <f>IF($AG950="","",INDEX($AD$8:$AD$1407,$AG950))</f>
        <v/>
      </c>
      <c r="Q950" s="92" t="str">
        <f>IF($AG950="","",INDEX($AM$8:$AM$21,INDEX($AC$8:$AC$1407,$AG950)+1))</f>
        <v/>
      </c>
      <c r="R950" s="92" t="str">
        <f>IF($AG950="","",IF($G950&gt;0,P_ToelCorrectie&amp;"",""))</f>
        <v/>
      </c>
      <c r="S950" s="15" t="str">
        <f>IF(J950="","",J950&amp;"|"&amp;E950&amp;"|"&amp;F950&amp;"|"&amp;I950&amp;"|"&amp;O950)</f>
        <v/>
      </c>
      <c r="T950" s="111" t="str">
        <f>IF(S950="","",IF(COUNTIFS(L_Sleutel,S950,L_Actief,1)=0,"",SUMIFS(L_Waarde,L_Sleutel,S950,L_Actief,1)))</f>
        <v/>
      </c>
      <c r="U950" s="111">
        <f>IF(OR(S950="",T950=""),0,P950-T950)</f>
        <v>0</v>
      </c>
      <c r="AB950" s="112" t="n">
        <v>68</v>
      </c>
      <c r="AC950" s="112" t="n">
        <v>4</v>
      </c>
      <c r="AD950" s="112" t="str">
        <f>VERW_Project!R73</f>
        <v/>
      </c>
      <c r="AE950" s="112">
        <f>IF(AND(VERW_Project!$A73&lt;&gt;"",ISNUMBER(AD950)),1,0)</f>
        <v>0</v>
      </c>
      <c r="AF950" s="112" t="str">
        <f>IF(AE950=1,SUM($AE$8:AE950),"")</f>
        <v/>
      </c>
      <c r="AG950" t="str">
        <f>IFERROR(MATCH(943,$AF$8:$AF$1407,0),"")</f>
        <v/>
      </c>
    </row>
    <row r="951">
      <c r="A951" s="92" t="str">
        <f>IF($AG951="","",P_ImportID)</f>
        <v/>
      </c>
      <c r="B951" s="92" t="str">
        <f>IF($AG951="","",IF(INDEX($AN$8:$AN$21,INDEX($AC$8:$AC$1407,$AG951)+1)="Z",P_BronZ,P_BronE))</f>
        <v/>
      </c>
      <c r="C951" s="108" t="str">
        <f>IF($AG951="","",P_Importdatum)</f>
        <v/>
      </c>
      <c r="D951" s="92" t="str">
        <f>IF($AG951="","",P_StatusVastleg)</f>
        <v/>
      </c>
      <c r="E951" s="92" t="str">
        <f>IF($AG951="","",P_UploadVJ)</f>
        <v/>
      </c>
      <c r="F951" s="92" t="str">
        <f>IF($AG951="","",P_UploadVersie)</f>
        <v/>
      </c>
      <c r="G951" s="92" t="str">
        <f>IF($AG951="","",IF(COUNTIFS(L_Sleutel,$S951,L_Status,"Vastgesteld")=0,0,_xlfn.MAXIFS(L_Revisie,L_Sleutel,$S951,L_Status,"Vastgesteld")+1))</f>
        <v/>
      </c>
      <c r="H951" s="108" t="str">
        <f>IF($AG951="","",P_Peildatum)</f>
        <v/>
      </c>
      <c r="I951" s="92" t="str">
        <f>IF($AG951="","",P_RJ+INDEX($AK$8:$AK$21,INDEX($AC$8:$AC$1407,$AG951)+1))</f>
        <v/>
      </c>
      <c r="J951" s="92" t="str">
        <f>IF($AG951="","",INDEX(V_WBS,INDEX($AB$8:$AB$1407,$AG951)))</f>
        <v/>
      </c>
      <c r="K951" s="92" t="str">
        <f>IF($AG951="","",INDEX(V_Projdef,INDEX($AB$8:$AB$1407,$AG951)))</f>
        <v/>
      </c>
      <c r="L951" s="92" t="str">
        <f>IF($AG951="","",INDEX(V_Naam,INDEX($AB$8:$AB$1407,$AG951)))</f>
        <v/>
      </c>
      <c r="M951" s="92" t="str">
        <f>IF($AG951="","",INDEX(V_Type,INDEX($AB$8:$AB$1407,$AG951)))</f>
        <v/>
      </c>
      <c r="N951" s="92" t="str">
        <f>IF($AG951="","",INDEX(V_IFRS,INDEX($AB$8:$AB$1407,$AG951)))</f>
        <v/>
      </c>
      <c r="O951" s="92" t="str">
        <f>IF($AG951="","",INDEX($AL$8:$AL$21,INDEX($AC$8:$AC$1407,$AG951)+1))</f>
        <v/>
      </c>
      <c r="P951" s="109" t="str">
        <f>IF($AG951="","",INDEX($AD$8:$AD$1407,$AG951))</f>
        <v/>
      </c>
      <c r="Q951" s="92" t="str">
        <f>IF($AG951="","",INDEX($AM$8:$AM$21,INDEX($AC$8:$AC$1407,$AG951)+1))</f>
        <v/>
      </c>
      <c r="R951" s="92" t="str">
        <f>IF($AG951="","",IF($G951&gt;0,P_ToelCorrectie&amp;"",""))</f>
        <v/>
      </c>
      <c r="S951" s="15" t="str">
        <f>IF(J951="","",J951&amp;"|"&amp;E951&amp;"|"&amp;F951&amp;"|"&amp;I951&amp;"|"&amp;O951)</f>
        <v/>
      </c>
      <c r="T951" s="111" t="str">
        <f>IF(S951="","",IF(COUNTIFS(L_Sleutel,S951,L_Actief,1)=0,"",SUMIFS(L_Waarde,L_Sleutel,S951,L_Actief,1)))</f>
        <v/>
      </c>
      <c r="U951" s="111">
        <f>IF(OR(S951="",T951=""),0,P951-T951)</f>
        <v>0</v>
      </c>
      <c r="AB951" s="112" t="n">
        <v>68</v>
      </c>
      <c r="AC951" s="112" t="n">
        <v>5</v>
      </c>
      <c r="AD951" s="112" t="str">
        <f>VERW_Project!S73</f>
        <v/>
      </c>
      <c r="AE951" s="112">
        <f>IF(AND(VERW_Project!$A73&lt;&gt;"",ISNUMBER(AD951)),1,0)</f>
        <v>0</v>
      </c>
      <c r="AF951" s="112" t="str">
        <f>IF(AE951=1,SUM($AE$8:AE951),"")</f>
        <v/>
      </c>
      <c r="AG951" t="str">
        <f>IFERROR(MATCH(944,$AF$8:$AF$1407,0),"")</f>
        <v/>
      </c>
    </row>
    <row r="952">
      <c r="A952" s="92" t="str">
        <f>IF($AG952="","",P_ImportID)</f>
        <v/>
      </c>
      <c r="B952" s="92" t="str">
        <f>IF($AG952="","",IF(INDEX($AN$8:$AN$21,INDEX($AC$8:$AC$1407,$AG952)+1)="Z",P_BronZ,P_BronE))</f>
        <v/>
      </c>
      <c r="C952" s="108" t="str">
        <f>IF($AG952="","",P_Importdatum)</f>
        <v/>
      </c>
      <c r="D952" s="92" t="str">
        <f>IF($AG952="","",P_StatusVastleg)</f>
        <v/>
      </c>
      <c r="E952" s="92" t="str">
        <f>IF($AG952="","",P_UploadVJ)</f>
        <v/>
      </c>
      <c r="F952" s="92" t="str">
        <f>IF($AG952="","",P_UploadVersie)</f>
        <v/>
      </c>
      <c r="G952" s="92" t="str">
        <f>IF($AG952="","",IF(COUNTIFS(L_Sleutel,$S952,L_Status,"Vastgesteld")=0,0,_xlfn.MAXIFS(L_Revisie,L_Sleutel,$S952,L_Status,"Vastgesteld")+1))</f>
        <v/>
      </c>
      <c r="H952" s="108" t="str">
        <f>IF($AG952="","",P_Peildatum)</f>
        <v/>
      </c>
      <c r="I952" s="92" t="str">
        <f>IF($AG952="","",P_RJ+INDEX($AK$8:$AK$21,INDEX($AC$8:$AC$1407,$AG952)+1))</f>
        <v/>
      </c>
      <c r="J952" s="92" t="str">
        <f>IF($AG952="","",INDEX(V_WBS,INDEX($AB$8:$AB$1407,$AG952)))</f>
        <v/>
      </c>
      <c r="K952" s="92" t="str">
        <f>IF($AG952="","",INDEX(V_Projdef,INDEX($AB$8:$AB$1407,$AG952)))</f>
        <v/>
      </c>
      <c r="L952" s="92" t="str">
        <f>IF($AG952="","",INDEX(V_Naam,INDEX($AB$8:$AB$1407,$AG952)))</f>
        <v/>
      </c>
      <c r="M952" s="92" t="str">
        <f>IF($AG952="","",INDEX(V_Type,INDEX($AB$8:$AB$1407,$AG952)))</f>
        <v/>
      </c>
      <c r="N952" s="92" t="str">
        <f>IF($AG952="","",INDEX(V_IFRS,INDEX($AB$8:$AB$1407,$AG952)))</f>
        <v/>
      </c>
      <c r="O952" s="92" t="str">
        <f>IF($AG952="","",INDEX($AL$8:$AL$21,INDEX($AC$8:$AC$1407,$AG952)+1))</f>
        <v/>
      </c>
      <c r="P952" s="109" t="str">
        <f>IF($AG952="","",INDEX($AD$8:$AD$1407,$AG952))</f>
        <v/>
      </c>
      <c r="Q952" s="92" t="str">
        <f>IF($AG952="","",INDEX($AM$8:$AM$21,INDEX($AC$8:$AC$1407,$AG952)+1))</f>
        <v/>
      </c>
      <c r="R952" s="92" t="str">
        <f>IF($AG952="","",IF($G952&gt;0,P_ToelCorrectie&amp;"",""))</f>
        <v/>
      </c>
      <c r="S952" s="15" t="str">
        <f>IF(J952="","",J952&amp;"|"&amp;E952&amp;"|"&amp;F952&amp;"|"&amp;I952&amp;"|"&amp;O952)</f>
        <v/>
      </c>
      <c r="T952" s="111" t="str">
        <f>IF(S952="","",IF(COUNTIFS(L_Sleutel,S952,L_Actief,1)=0,"",SUMIFS(L_Waarde,L_Sleutel,S952,L_Actief,1)))</f>
        <v/>
      </c>
      <c r="U952" s="111">
        <f>IF(OR(S952="",T952=""),0,P952-T952)</f>
        <v>0</v>
      </c>
      <c r="AB952" s="112" t="n">
        <v>68</v>
      </c>
      <c r="AC952" s="112" t="n">
        <v>6</v>
      </c>
      <c r="AD952" s="112" t="str">
        <f>VERW_Project!BW73</f>
        <v/>
      </c>
      <c r="AE952" s="112">
        <f>IF(AND(VERW_Project!$A73&lt;&gt;"",ISNUMBER(AD952)),1,0)</f>
        <v>0</v>
      </c>
      <c r="AF952" s="112" t="str">
        <f>IF(AE952=1,SUM($AE$8:AE952),"")</f>
        <v/>
      </c>
      <c r="AG952" t="str">
        <f>IFERROR(MATCH(945,$AF$8:$AF$1407,0),"")</f>
        <v/>
      </c>
    </row>
    <row r="953">
      <c r="A953" s="92" t="str">
        <f>IF($AG953="","",P_ImportID)</f>
        <v/>
      </c>
      <c r="B953" s="92" t="str">
        <f>IF($AG953="","",IF(INDEX($AN$8:$AN$21,INDEX($AC$8:$AC$1407,$AG953)+1)="Z",P_BronZ,P_BronE))</f>
        <v/>
      </c>
      <c r="C953" s="108" t="str">
        <f>IF($AG953="","",P_Importdatum)</f>
        <v/>
      </c>
      <c r="D953" s="92" t="str">
        <f>IF($AG953="","",P_StatusVastleg)</f>
        <v/>
      </c>
      <c r="E953" s="92" t="str">
        <f>IF($AG953="","",P_UploadVJ)</f>
        <v/>
      </c>
      <c r="F953" s="92" t="str">
        <f>IF($AG953="","",P_UploadVersie)</f>
        <v/>
      </c>
      <c r="G953" s="92" t="str">
        <f>IF($AG953="","",IF(COUNTIFS(L_Sleutel,$S953,L_Status,"Vastgesteld")=0,0,_xlfn.MAXIFS(L_Revisie,L_Sleutel,$S953,L_Status,"Vastgesteld")+1))</f>
        <v/>
      </c>
      <c r="H953" s="108" t="str">
        <f>IF($AG953="","",P_Peildatum)</f>
        <v/>
      </c>
      <c r="I953" s="92" t="str">
        <f>IF($AG953="","",P_RJ+INDEX($AK$8:$AK$21,INDEX($AC$8:$AC$1407,$AG953)+1))</f>
        <v/>
      </c>
      <c r="J953" s="92" t="str">
        <f>IF($AG953="","",INDEX(V_WBS,INDEX($AB$8:$AB$1407,$AG953)))</f>
        <v/>
      </c>
      <c r="K953" s="92" t="str">
        <f>IF($AG953="","",INDEX(V_Projdef,INDEX($AB$8:$AB$1407,$AG953)))</f>
        <v/>
      </c>
      <c r="L953" s="92" t="str">
        <f>IF($AG953="","",INDEX(V_Naam,INDEX($AB$8:$AB$1407,$AG953)))</f>
        <v/>
      </c>
      <c r="M953" s="92" t="str">
        <f>IF($AG953="","",INDEX(V_Type,INDEX($AB$8:$AB$1407,$AG953)))</f>
        <v/>
      </c>
      <c r="N953" s="92" t="str">
        <f>IF($AG953="","",INDEX(V_IFRS,INDEX($AB$8:$AB$1407,$AG953)))</f>
        <v/>
      </c>
      <c r="O953" s="92" t="str">
        <f>IF($AG953="","",INDEX($AL$8:$AL$21,INDEX($AC$8:$AC$1407,$AG953)+1))</f>
        <v/>
      </c>
      <c r="P953" s="109" t="str">
        <f>IF($AG953="","",INDEX($AD$8:$AD$1407,$AG953))</f>
        <v/>
      </c>
      <c r="Q953" s="92" t="str">
        <f>IF($AG953="","",INDEX($AM$8:$AM$21,INDEX($AC$8:$AC$1407,$AG953)+1))</f>
        <v/>
      </c>
      <c r="R953" s="92" t="str">
        <f>IF($AG953="","",IF($G953&gt;0,P_ToelCorrectie&amp;"",""))</f>
        <v/>
      </c>
      <c r="S953" s="15" t="str">
        <f>IF(J953="","",J953&amp;"|"&amp;E953&amp;"|"&amp;F953&amp;"|"&amp;I953&amp;"|"&amp;O953)</f>
        <v/>
      </c>
      <c r="T953" s="111" t="str">
        <f>IF(S953="","",IF(COUNTIFS(L_Sleutel,S953,L_Actief,1)=0,"",SUMIFS(L_Waarde,L_Sleutel,S953,L_Actief,1)))</f>
        <v/>
      </c>
      <c r="U953" s="111">
        <f>IF(OR(S953="",T953=""),0,P953-T953)</f>
        <v>0</v>
      </c>
      <c r="AB953" s="112" t="n">
        <v>68</v>
      </c>
      <c r="AC953" s="112" t="n">
        <v>7</v>
      </c>
      <c r="AD953" s="112" t="str">
        <f>VERW_Project!AW73</f>
        <v/>
      </c>
      <c r="AE953" s="112">
        <f>IF(AND(VERW_Project!$A73&lt;&gt;"",ISNUMBER(AD953)),1,0)</f>
        <v>0</v>
      </c>
      <c r="AF953" s="112" t="str">
        <f>IF(AE953=1,SUM($AE$8:AE953),"")</f>
        <v/>
      </c>
      <c r="AG953" t="str">
        <f>IFERROR(MATCH(946,$AF$8:$AF$1407,0),"")</f>
        <v/>
      </c>
    </row>
    <row r="954">
      <c r="A954" s="92" t="str">
        <f>IF($AG954="","",P_ImportID)</f>
        <v/>
      </c>
      <c r="B954" s="92" t="str">
        <f>IF($AG954="","",IF(INDEX($AN$8:$AN$21,INDEX($AC$8:$AC$1407,$AG954)+1)="Z",P_BronZ,P_BronE))</f>
        <v/>
      </c>
      <c r="C954" s="108" t="str">
        <f>IF($AG954="","",P_Importdatum)</f>
        <v/>
      </c>
      <c r="D954" s="92" t="str">
        <f>IF($AG954="","",P_StatusVastleg)</f>
        <v/>
      </c>
      <c r="E954" s="92" t="str">
        <f>IF($AG954="","",P_UploadVJ)</f>
        <v/>
      </c>
      <c r="F954" s="92" t="str">
        <f>IF($AG954="","",P_UploadVersie)</f>
        <v/>
      </c>
      <c r="G954" s="92" t="str">
        <f>IF($AG954="","",IF(COUNTIFS(L_Sleutel,$S954,L_Status,"Vastgesteld")=0,0,_xlfn.MAXIFS(L_Revisie,L_Sleutel,$S954,L_Status,"Vastgesteld")+1))</f>
        <v/>
      </c>
      <c r="H954" s="108" t="str">
        <f>IF($AG954="","",P_Peildatum)</f>
        <v/>
      </c>
      <c r="I954" s="92" t="str">
        <f>IF($AG954="","",P_RJ+INDEX($AK$8:$AK$21,INDEX($AC$8:$AC$1407,$AG954)+1))</f>
        <v/>
      </c>
      <c r="J954" s="92" t="str">
        <f>IF($AG954="","",INDEX(V_WBS,INDEX($AB$8:$AB$1407,$AG954)))</f>
        <v/>
      </c>
      <c r="K954" s="92" t="str">
        <f>IF($AG954="","",INDEX(V_Projdef,INDEX($AB$8:$AB$1407,$AG954)))</f>
        <v/>
      </c>
      <c r="L954" s="92" t="str">
        <f>IF($AG954="","",INDEX(V_Naam,INDEX($AB$8:$AB$1407,$AG954)))</f>
        <v/>
      </c>
      <c r="M954" s="92" t="str">
        <f>IF($AG954="","",INDEX(V_Type,INDEX($AB$8:$AB$1407,$AG954)))</f>
        <v/>
      </c>
      <c r="N954" s="92" t="str">
        <f>IF($AG954="","",INDEX(V_IFRS,INDEX($AB$8:$AB$1407,$AG954)))</f>
        <v/>
      </c>
      <c r="O954" s="92" t="str">
        <f>IF($AG954="","",INDEX($AL$8:$AL$21,INDEX($AC$8:$AC$1407,$AG954)+1))</f>
        <v/>
      </c>
      <c r="P954" s="109" t="str">
        <f>IF($AG954="","",INDEX($AD$8:$AD$1407,$AG954))</f>
        <v/>
      </c>
      <c r="Q954" s="92" t="str">
        <f>IF($AG954="","",INDEX($AM$8:$AM$21,INDEX($AC$8:$AC$1407,$AG954)+1))</f>
        <v/>
      </c>
      <c r="R954" s="92" t="str">
        <f>IF($AG954="","",IF($G954&gt;0,P_ToelCorrectie&amp;"",""))</f>
        <v/>
      </c>
      <c r="S954" s="15" t="str">
        <f>IF(J954="","",J954&amp;"|"&amp;E954&amp;"|"&amp;F954&amp;"|"&amp;I954&amp;"|"&amp;O954)</f>
        <v/>
      </c>
      <c r="T954" s="111" t="str">
        <f>IF(S954="","",IF(COUNTIFS(L_Sleutel,S954,L_Actief,1)=0,"",SUMIFS(L_Waarde,L_Sleutel,S954,L_Actief,1)))</f>
        <v/>
      </c>
      <c r="U954" s="111">
        <f>IF(OR(S954="",T954=""),0,P954-T954)</f>
        <v>0</v>
      </c>
      <c r="AB954" s="112" t="n">
        <v>68</v>
      </c>
      <c r="AC954" s="112" t="n">
        <v>8</v>
      </c>
      <c r="AD954" s="112" t="str">
        <f>VERW_Project!BQ73</f>
        <v/>
      </c>
      <c r="AE954" s="112">
        <f>IF(AND(VERW_Project!$A73&lt;&gt;"",ISNUMBER(AD954)),1,0)</f>
        <v>0</v>
      </c>
      <c r="AF954" s="112" t="str">
        <f>IF(AE954=1,SUM($AE$8:AE954),"")</f>
        <v/>
      </c>
      <c r="AG954" t="str">
        <f>IFERROR(MATCH(947,$AF$8:$AF$1407,0),"")</f>
        <v/>
      </c>
    </row>
    <row r="955">
      <c r="A955" s="92" t="str">
        <f>IF($AG955="","",P_ImportID)</f>
        <v/>
      </c>
      <c r="B955" s="92" t="str">
        <f>IF($AG955="","",IF(INDEX($AN$8:$AN$21,INDEX($AC$8:$AC$1407,$AG955)+1)="Z",P_BronZ,P_BronE))</f>
        <v/>
      </c>
      <c r="C955" s="108" t="str">
        <f>IF($AG955="","",P_Importdatum)</f>
        <v/>
      </c>
      <c r="D955" s="92" t="str">
        <f>IF($AG955="","",P_StatusVastleg)</f>
        <v/>
      </c>
      <c r="E955" s="92" t="str">
        <f>IF($AG955="","",P_UploadVJ)</f>
        <v/>
      </c>
      <c r="F955" s="92" t="str">
        <f>IF($AG955="","",P_UploadVersie)</f>
        <v/>
      </c>
      <c r="G955" s="92" t="str">
        <f>IF($AG955="","",IF(COUNTIFS(L_Sleutel,$S955,L_Status,"Vastgesteld")=0,0,_xlfn.MAXIFS(L_Revisie,L_Sleutel,$S955,L_Status,"Vastgesteld")+1))</f>
        <v/>
      </c>
      <c r="H955" s="108" t="str">
        <f>IF($AG955="","",P_Peildatum)</f>
        <v/>
      </c>
      <c r="I955" s="92" t="str">
        <f>IF($AG955="","",P_RJ+INDEX($AK$8:$AK$21,INDEX($AC$8:$AC$1407,$AG955)+1))</f>
        <v/>
      </c>
      <c r="J955" s="92" t="str">
        <f>IF($AG955="","",INDEX(V_WBS,INDEX($AB$8:$AB$1407,$AG955)))</f>
        <v/>
      </c>
      <c r="K955" s="92" t="str">
        <f>IF($AG955="","",INDEX(V_Projdef,INDEX($AB$8:$AB$1407,$AG955)))</f>
        <v/>
      </c>
      <c r="L955" s="92" t="str">
        <f>IF($AG955="","",INDEX(V_Naam,INDEX($AB$8:$AB$1407,$AG955)))</f>
        <v/>
      </c>
      <c r="M955" s="92" t="str">
        <f>IF($AG955="","",INDEX(V_Type,INDEX($AB$8:$AB$1407,$AG955)))</f>
        <v/>
      </c>
      <c r="N955" s="92" t="str">
        <f>IF($AG955="","",INDEX(V_IFRS,INDEX($AB$8:$AB$1407,$AG955)))</f>
        <v/>
      </c>
      <c r="O955" s="92" t="str">
        <f>IF($AG955="","",INDEX($AL$8:$AL$21,INDEX($AC$8:$AC$1407,$AG955)+1))</f>
        <v/>
      </c>
      <c r="P955" s="109" t="str">
        <f>IF($AG955="","",INDEX($AD$8:$AD$1407,$AG955))</f>
        <v/>
      </c>
      <c r="Q955" s="92" t="str">
        <f>IF($AG955="","",INDEX($AM$8:$AM$21,INDEX($AC$8:$AC$1407,$AG955)+1))</f>
        <v/>
      </c>
      <c r="R955" s="92" t="str">
        <f>IF($AG955="","",IF($G955&gt;0,P_ToelCorrectie&amp;"",""))</f>
        <v/>
      </c>
      <c r="S955" s="15" t="str">
        <f>IF(J955="","",J955&amp;"|"&amp;E955&amp;"|"&amp;F955&amp;"|"&amp;I955&amp;"|"&amp;O955)</f>
        <v/>
      </c>
      <c r="T955" s="111" t="str">
        <f>IF(S955="","",IF(COUNTIFS(L_Sleutel,S955,L_Actief,1)=0,"",SUMIFS(L_Waarde,L_Sleutel,S955,L_Actief,1)))</f>
        <v/>
      </c>
      <c r="U955" s="111">
        <f>IF(OR(S955="",T955=""),0,P955-T955)</f>
        <v>0</v>
      </c>
      <c r="AB955" s="112" t="n">
        <v>68</v>
      </c>
      <c r="AC955" s="112" t="n">
        <v>9</v>
      </c>
      <c r="AD955" s="112" t="str">
        <f>VERW_Project!BR73</f>
        <v/>
      </c>
      <c r="AE955" s="112">
        <f>IF(AND(VERW_Project!$A73&lt;&gt;"",ISNUMBER(AD955)),1,0)</f>
        <v>0</v>
      </c>
      <c r="AF955" s="112" t="str">
        <f>IF(AE955=1,SUM($AE$8:AE955),"")</f>
        <v/>
      </c>
      <c r="AG955" t="str">
        <f>IFERROR(MATCH(948,$AF$8:$AF$1407,0),"")</f>
        <v/>
      </c>
    </row>
    <row r="956">
      <c r="A956" s="92" t="str">
        <f>IF($AG956="","",P_ImportID)</f>
        <v/>
      </c>
      <c r="B956" s="92" t="str">
        <f>IF($AG956="","",IF(INDEX($AN$8:$AN$21,INDEX($AC$8:$AC$1407,$AG956)+1)="Z",P_BronZ,P_BronE))</f>
        <v/>
      </c>
      <c r="C956" s="108" t="str">
        <f>IF($AG956="","",P_Importdatum)</f>
        <v/>
      </c>
      <c r="D956" s="92" t="str">
        <f>IF($AG956="","",P_StatusVastleg)</f>
        <v/>
      </c>
      <c r="E956" s="92" t="str">
        <f>IF($AG956="","",P_UploadVJ)</f>
        <v/>
      </c>
      <c r="F956" s="92" t="str">
        <f>IF($AG956="","",P_UploadVersie)</f>
        <v/>
      </c>
      <c r="G956" s="92" t="str">
        <f>IF($AG956="","",IF(COUNTIFS(L_Sleutel,$S956,L_Status,"Vastgesteld")=0,0,_xlfn.MAXIFS(L_Revisie,L_Sleutel,$S956,L_Status,"Vastgesteld")+1))</f>
        <v/>
      </c>
      <c r="H956" s="108" t="str">
        <f>IF($AG956="","",P_Peildatum)</f>
        <v/>
      </c>
      <c r="I956" s="92" t="str">
        <f>IF($AG956="","",P_RJ+INDEX($AK$8:$AK$21,INDEX($AC$8:$AC$1407,$AG956)+1))</f>
        <v/>
      </c>
      <c r="J956" s="92" t="str">
        <f>IF($AG956="","",INDEX(V_WBS,INDEX($AB$8:$AB$1407,$AG956)))</f>
        <v/>
      </c>
      <c r="K956" s="92" t="str">
        <f>IF($AG956="","",INDEX(V_Projdef,INDEX($AB$8:$AB$1407,$AG956)))</f>
        <v/>
      </c>
      <c r="L956" s="92" t="str">
        <f>IF($AG956="","",INDEX(V_Naam,INDEX($AB$8:$AB$1407,$AG956)))</f>
        <v/>
      </c>
      <c r="M956" s="92" t="str">
        <f>IF($AG956="","",INDEX(V_Type,INDEX($AB$8:$AB$1407,$AG956)))</f>
        <v/>
      </c>
      <c r="N956" s="92" t="str">
        <f>IF($AG956="","",INDEX(V_IFRS,INDEX($AB$8:$AB$1407,$AG956)))</f>
        <v/>
      </c>
      <c r="O956" s="92" t="str">
        <f>IF($AG956="","",INDEX($AL$8:$AL$21,INDEX($AC$8:$AC$1407,$AG956)+1))</f>
        <v/>
      </c>
      <c r="P956" s="109" t="str">
        <f>IF($AG956="","",INDEX($AD$8:$AD$1407,$AG956))</f>
        <v/>
      </c>
      <c r="Q956" s="92" t="str">
        <f>IF($AG956="","",INDEX($AM$8:$AM$21,INDEX($AC$8:$AC$1407,$AG956)+1))</f>
        <v/>
      </c>
      <c r="R956" s="92" t="str">
        <f>IF($AG956="","",IF($G956&gt;0,P_ToelCorrectie&amp;"",""))</f>
        <v/>
      </c>
      <c r="S956" s="15" t="str">
        <f>IF(J956="","",J956&amp;"|"&amp;E956&amp;"|"&amp;F956&amp;"|"&amp;I956&amp;"|"&amp;O956)</f>
        <v/>
      </c>
      <c r="T956" s="111" t="str">
        <f>IF(S956="","",IF(COUNTIFS(L_Sleutel,S956,L_Actief,1)=0,"",SUMIFS(L_Waarde,L_Sleutel,S956,L_Actief,1)))</f>
        <v/>
      </c>
      <c r="U956" s="111">
        <f>IF(OR(S956="",T956=""),0,P956-T956)</f>
        <v>0</v>
      </c>
      <c r="AB956" s="112" t="n">
        <v>68</v>
      </c>
      <c r="AC956" s="112" t="n">
        <v>10</v>
      </c>
      <c r="AD956" s="112" t="str">
        <f>VERW_Project!BS73</f>
        <v/>
      </c>
      <c r="AE956" s="112">
        <f>IF(AND(VERW_Project!$A73&lt;&gt;"",ISNUMBER(AD956)),1,0)</f>
        <v>0</v>
      </c>
      <c r="AF956" s="112" t="str">
        <f>IF(AE956=1,SUM($AE$8:AE956),"")</f>
        <v/>
      </c>
      <c r="AG956" t="str">
        <f>IFERROR(MATCH(949,$AF$8:$AF$1407,0),"")</f>
        <v/>
      </c>
    </row>
    <row r="957">
      <c r="A957" s="92" t="str">
        <f>IF($AG957="","",P_ImportID)</f>
        <v/>
      </c>
      <c r="B957" s="92" t="str">
        <f>IF($AG957="","",IF(INDEX($AN$8:$AN$21,INDEX($AC$8:$AC$1407,$AG957)+1)="Z",P_BronZ,P_BronE))</f>
        <v/>
      </c>
      <c r="C957" s="108" t="str">
        <f>IF($AG957="","",P_Importdatum)</f>
        <v/>
      </c>
      <c r="D957" s="92" t="str">
        <f>IF($AG957="","",P_StatusVastleg)</f>
        <v/>
      </c>
      <c r="E957" s="92" t="str">
        <f>IF($AG957="","",P_UploadVJ)</f>
        <v/>
      </c>
      <c r="F957" s="92" t="str">
        <f>IF($AG957="","",P_UploadVersie)</f>
        <v/>
      </c>
      <c r="G957" s="92" t="str">
        <f>IF($AG957="","",IF(COUNTIFS(L_Sleutel,$S957,L_Status,"Vastgesteld")=0,0,_xlfn.MAXIFS(L_Revisie,L_Sleutel,$S957,L_Status,"Vastgesteld")+1))</f>
        <v/>
      </c>
      <c r="H957" s="108" t="str">
        <f>IF($AG957="","",P_Peildatum)</f>
        <v/>
      </c>
      <c r="I957" s="92" t="str">
        <f>IF($AG957="","",P_RJ+INDEX($AK$8:$AK$21,INDEX($AC$8:$AC$1407,$AG957)+1))</f>
        <v/>
      </c>
      <c r="J957" s="92" t="str">
        <f>IF($AG957="","",INDEX(V_WBS,INDEX($AB$8:$AB$1407,$AG957)))</f>
        <v/>
      </c>
      <c r="K957" s="92" t="str">
        <f>IF($AG957="","",INDEX(V_Projdef,INDEX($AB$8:$AB$1407,$AG957)))</f>
        <v/>
      </c>
      <c r="L957" s="92" t="str">
        <f>IF($AG957="","",INDEX(V_Naam,INDEX($AB$8:$AB$1407,$AG957)))</f>
        <v/>
      </c>
      <c r="M957" s="92" t="str">
        <f>IF($AG957="","",INDEX(V_Type,INDEX($AB$8:$AB$1407,$AG957)))</f>
        <v/>
      </c>
      <c r="N957" s="92" t="str">
        <f>IF($AG957="","",INDEX(V_IFRS,INDEX($AB$8:$AB$1407,$AG957)))</f>
        <v/>
      </c>
      <c r="O957" s="92" t="str">
        <f>IF($AG957="","",INDEX($AL$8:$AL$21,INDEX($AC$8:$AC$1407,$AG957)+1))</f>
        <v/>
      </c>
      <c r="P957" s="109" t="str">
        <f>IF($AG957="","",INDEX($AD$8:$AD$1407,$AG957))</f>
        <v/>
      </c>
      <c r="Q957" s="92" t="str">
        <f>IF($AG957="","",INDEX($AM$8:$AM$21,INDEX($AC$8:$AC$1407,$AG957)+1))</f>
        <v/>
      </c>
      <c r="R957" s="92" t="str">
        <f>IF($AG957="","",IF($G957&gt;0,P_ToelCorrectie&amp;"",""))</f>
        <v/>
      </c>
      <c r="S957" s="15" t="str">
        <f>IF(J957="","",J957&amp;"|"&amp;E957&amp;"|"&amp;F957&amp;"|"&amp;I957&amp;"|"&amp;O957)</f>
        <v/>
      </c>
      <c r="T957" s="111" t="str">
        <f>IF(S957="","",IF(COUNTIFS(L_Sleutel,S957,L_Actief,1)=0,"",SUMIFS(L_Waarde,L_Sleutel,S957,L_Actief,1)))</f>
        <v/>
      </c>
      <c r="U957" s="111">
        <f>IF(OR(S957="",T957=""),0,P957-T957)</f>
        <v>0</v>
      </c>
      <c r="AB957" s="112" t="n">
        <v>68</v>
      </c>
      <c r="AC957" s="112" t="n">
        <v>11</v>
      </c>
      <c r="AD957" s="112" t="str">
        <f>VERW_Project!BT73</f>
        <v/>
      </c>
      <c r="AE957" s="112">
        <f>IF(AND(VERW_Project!$A73&lt;&gt;"",ISNUMBER(AD957)),1,0)</f>
        <v>0</v>
      </c>
      <c r="AF957" s="112" t="str">
        <f>IF(AE957=1,SUM($AE$8:AE957),"")</f>
        <v/>
      </c>
      <c r="AG957" t="str">
        <f>IFERROR(MATCH(950,$AF$8:$AF$1407,0),"")</f>
        <v/>
      </c>
    </row>
    <row r="958">
      <c r="A958" s="92" t="str">
        <f>IF($AG958="","",P_ImportID)</f>
        <v/>
      </c>
      <c r="B958" s="92" t="str">
        <f>IF($AG958="","",IF(INDEX($AN$8:$AN$21,INDEX($AC$8:$AC$1407,$AG958)+1)="Z",P_BronZ,P_BronE))</f>
        <v/>
      </c>
      <c r="C958" s="108" t="str">
        <f>IF($AG958="","",P_Importdatum)</f>
        <v/>
      </c>
      <c r="D958" s="92" t="str">
        <f>IF($AG958="","",P_StatusVastleg)</f>
        <v/>
      </c>
      <c r="E958" s="92" t="str">
        <f>IF($AG958="","",P_UploadVJ)</f>
        <v/>
      </c>
      <c r="F958" s="92" t="str">
        <f>IF($AG958="","",P_UploadVersie)</f>
        <v/>
      </c>
      <c r="G958" s="92" t="str">
        <f>IF($AG958="","",IF(COUNTIFS(L_Sleutel,$S958,L_Status,"Vastgesteld")=0,0,_xlfn.MAXIFS(L_Revisie,L_Sleutel,$S958,L_Status,"Vastgesteld")+1))</f>
        <v/>
      </c>
      <c r="H958" s="108" t="str">
        <f>IF($AG958="","",P_Peildatum)</f>
        <v/>
      </c>
      <c r="I958" s="92" t="str">
        <f>IF($AG958="","",P_RJ+INDEX($AK$8:$AK$21,INDEX($AC$8:$AC$1407,$AG958)+1))</f>
        <v/>
      </c>
      <c r="J958" s="92" t="str">
        <f>IF($AG958="","",INDEX(V_WBS,INDEX($AB$8:$AB$1407,$AG958)))</f>
        <v/>
      </c>
      <c r="K958" s="92" t="str">
        <f>IF($AG958="","",INDEX(V_Projdef,INDEX($AB$8:$AB$1407,$AG958)))</f>
        <v/>
      </c>
      <c r="L958" s="92" t="str">
        <f>IF($AG958="","",INDEX(V_Naam,INDEX($AB$8:$AB$1407,$AG958)))</f>
        <v/>
      </c>
      <c r="M958" s="92" t="str">
        <f>IF($AG958="","",INDEX(V_Type,INDEX($AB$8:$AB$1407,$AG958)))</f>
        <v/>
      </c>
      <c r="N958" s="92" t="str">
        <f>IF($AG958="","",INDEX(V_IFRS,INDEX($AB$8:$AB$1407,$AG958)))</f>
        <v/>
      </c>
      <c r="O958" s="92" t="str">
        <f>IF($AG958="","",INDEX($AL$8:$AL$21,INDEX($AC$8:$AC$1407,$AG958)+1))</f>
        <v/>
      </c>
      <c r="P958" s="109" t="str">
        <f>IF($AG958="","",INDEX($AD$8:$AD$1407,$AG958))</f>
        <v/>
      </c>
      <c r="Q958" s="92" t="str">
        <f>IF($AG958="","",INDEX($AM$8:$AM$21,INDEX($AC$8:$AC$1407,$AG958)+1))</f>
        <v/>
      </c>
      <c r="R958" s="92" t="str">
        <f>IF($AG958="","",IF($G958&gt;0,P_ToelCorrectie&amp;"",""))</f>
        <v/>
      </c>
      <c r="S958" s="15" t="str">
        <f>IF(J958="","",J958&amp;"|"&amp;E958&amp;"|"&amp;F958&amp;"|"&amp;I958&amp;"|"&amp;O958)</f>
        <v/>
      </c>
      <c r="T958" s="111" t="str">
        <f>IF(S958="","",IF(COUNTIFS(L_Sleutel,S958,L_Actief,1)=0,"",SUMIFS(L_Waarde,L_Sleutel,S958,L_Actief,1)))</f>
        <v/>
      </c>
      <c r="U958" s="111">
        <f>IF(OR(S958="",T958=""),0,P958-T958)</f>
        <v>0</v>
      </c>
      <c r="AB958" s="112" t="n">
        <v>68</v>
      </c>
      <c r="AC958" s="112" t="n">
        <v>12</v>
      </c>
      <c r="AD958" s="112" t="str">
        <f>VERW_Project!BU73</f>
        <v/>
      </c>
      <c r="AE958" s="112">
        <f>IF(AND(VERW_Project!$A73&lt;&gt;"",ISNUMBER(AD958)),1,0)</f>
        <v>0</v>
      </c>
      <c r="AF958" s="112" t="str">
        <f>IF(AE958=1,SUM($AE$8:AE958),"")</f>
        <v/>
      </c>
      <c r="AG958" t="str">
        <f>IFERROR(MATCH(951,$AF$8:$AF$1407,0),"")</f>
        <v/>
      </c>
    </row>
    <row r="959">
      <c r="A959" s="92" t="str">
        <f>IF($AG959="","",P_ImportID)</f>
        <v/>
      </c>
      <c r="B959" s="92" t="str">
        <f>IF($AG959="","",IF(INDEX($AN$8:$AN$21,INDEX($AC$8:$AC$1407,$AG959)+1)="Z",P_BronZ,P_BronE))</f>
        <v/>
      </c>
      <c r="C959" s="108" t="str">
        <f>IF($AG959="","",P_Importdatum)</f>
        <v/>
      </c>
      <c r="D959" s="92" t="str">
        <f>IF($AG959="","",P_StatusVastleg)</f>
        <v/>
      </c>
      <c r="E959" s="92" t="str">
        <f>IF($AG959="","",P_UploadVJ)</f>
        <v/>
      </c>
      <c r="F959" s="92" t="str">
        <f>IF($AG959="","",P_UploadVersie)</f>
        <v/>
      </c>
      <c r="G959" s="92" t="str">
        <f>IF($AG959="","",IF(COUNTIFS(L_Sleutel,$S959,L_Status,"Vastgesteld")=0,0,_xlfn.MAXIFS(L_Revisie,L_Sleutel,$S959,L_Status,"Vastgesteld")+1))</f>
        <v/>
      </c>
      <c r="H959" s="108" t="str">
        <f>IF($AG959="","",P_Peildatum)</f>
        <v/>
      </c>
      <c r="I959" s="92" t="str">
        <f>IF($AG959="","",P_RJ+INDEX($AK$8:$AK$21,INDEX($AC$8:$AC$1407,$AG959)+1))</f>
        <v/>
      </c>
      <c r="J959" s="92" t="str">
        <f>IF($AG959="","",INDEX(V_WBS,INDEX($AB$8:$AB$1407,$AG959)))</f>
        <v/>
      </c>
      <c r="K959" s="92" t="str">
        <f>IF($AG959="","",INDEX(V_Projdef,INDEX($AB$8:$AB$1407,$AG959)))</f>
        <v/>
      </c>
      <c r="L959" s="92" t="str">
        <f>IF($AG959="","",INDEX(V_Naam,INDEX($AB$8:$AB$1407,$AG959)))</f>
        <v/>
      </c>
      <c r="M959" s="92" t="str">
        <f>IF($AG959="","",INDEX(V_Type,INDEX($AB$8:$AB$1407,$AG959)))</f>
        <v/>
      </c>
      <c r="N959" s="92" t="str">
        <f>IF($AG959="","",INDEX(V_IFRS,INDEX($AB$8:$AB$1407,$AG959)))</f>
        <v/>
      </c>
      <c r="O959" s="92" t="str">
        <f>IF($AG959="","",INDEX($AL$8:$AL$21,INDEX($AC$8:$AC$1407,$AG959)+1))</f>
        <v/>
      </c>
      <c r="P959" s="109" t="str">
        <f>IF($AG959="","",INDEX($AD$8:$AD$1407,$AG959))</f>
        <v/>
      </c>
      <c r="Q959" s="92" t="str">
        <f>IF($AG959="","",INDEX($AM$8:$AM$21,INDEX($AC$8:$AC$1407,$AG959)+1))</f>
        <v/>
      </c>
      <c r="R959" s="92" t="str">
        <f>IF($AG959="","",IF($G959&gt;0,P_ToelCorrectie&amp;"",""))</f>
        <v/>
      </c>
      <c r="S959" s="15" t="str">
        <f>IF(J959="","",J959&amp;"|"&amp;E959&amp;"|"&amp;F959&amp;"|"&amp;I959&amp;"|"&amp;O959)</f>
        <v/>
      </c>
      <c r="T959" s="111" t="str">
        <f>IF(S959="","",IF(COUNTIFS(L_Sleutel,S959,L_Actief,1)=0,"",SUMIFS(L_Waarde,L_Sleutel,S959,L_Actief,1)))</f>
        <v/>
      </c>
      <c r="U959" s="111">
        <f>IF(OR(S959="",T959=""),0,P959-T959)</f>
        <v>0</v>
      </c>
      <c r="AB959" s="112" t="n">
        <v>68</v>
      </c>
      <c r="AC959" s="112" t="n">
        <v>13</v>
      </c>
      <c r="AD959" s="112" t="str">
        <f>VERW_Project!BX73</f>
        <v/>
      </c>
      <c r="AE959" s="112">
        <f>IF(AND(VERW_Project!$A73&lt;&gt;"",ISNUMBER(AD959)),1,0)</f>
        <v>0</v>
      </c>
      <c r="AF959" s="112" t="str">
        <f>IF(AE959=1,SUM($AE$8:AE959),"")</f>
        <v/>
      </c>
      <c r="AG959" t="str">
        <f>IFERROR(MATCH(952,$AF$8:$AF$1407,0),"")</f>
        <v/>
      </c>
    </row>
    <row r="960">
      <c r="A960" s="92" t="str">
        <f>IF($AG960="","",P_ImportID)</f>
        <v/>
      </c>
      <c r="B960" s="92" t="str">
        <f>IF($AG960="","",IF(INDEX($AN$8:$AN$21,INDEX($AC$8:$AC$1407,$AG960)+1)="Z",P_BronZ,P_BronE))</f>
        <v/>
      </c>
      <c r="C960" s="108" t="str">
        <f>IF($AG960="","",P_Importdatum)</f>
        <v/>
      </c>
      <c r="D960" s="92" t="str">
        <f>IF($AG960="","",P_StatusVastleg)</f>
        <v/>
      </c>
      <c r="E960" s="92" t="str">
        <f>IF($AG960="","",P_UploadVJ)</f>
        <v/>
      </c>
      <c r="F960" s="92" t="str">
        <f>IF($AG960="","",P_UploadVersie)</f>
        <v/>
      </c>
      <c r="G960" s="92" t="str">
        <f>IF($AG960="","",IF(COUNTIFS(L_Sleutel,$S960,L_Status,"Vastgesteld")=0,0,_xlfn.MAXIFS(L_Revisie,L_Sleutel,$S960,L_Status,"Vastgesteld")+1))</f>
        <v/>
      </c>
      <c r="H960" s="108" t="str">
        <f>IF($AG960="","",P_Peildatum)</f>
        <v/>
      </c>
      <c r="I960" s="92" t="str">
        <f>IF($AG960="","",P_RJ+INDEX($AK$8:$AK$21,INDEX($AC$8:$AC$1407,$AG960)+1))</f>
        <v/>
      </c>
      <c r="J960" s="92" t="str">
        <f>IF($AG960="","",INDEX(V_WBS,INDEX($AB$8:$AB$1407,$AG960)))</f>
        <v/>
      </c>
      <c r="K960" s="92" t="str">
        <f>IF($AG960="","",INDEX(V_Projdef,INDEX($AB$8:$AB$1407,$AG960)))</f>
        <v/>
      </c>
      <c r="L960" s="92" t="str">
        <f>IF($AG960="","",INDEX(V_Naam,INDEX($AB$8:$AB$1407,$AG960)))</f>
        <v/>
      </c>
      <c r="M960" s="92" t="str">
        <f>IF($AG960="","",INDEX(V_Type,INDEX($AB$8:$AB$1407,$AG960)))</f>
        <v/>
      </c>
      <c r="N960" s="92" t="str">
        <f>IF($AG960="","",INDEX(V_IFRS,INDEX($AB$8:$AB$1407,$AG960)))</f>
        <v/>
      </c>
      <c r="O960" s="92" t="str">
        <f>IF($AG960="","",INDEX($AL$8:$AL$21,INDEX($AC$8:$AC$1407,$AG960)+1))</f>
        <v/>
      </c>
      <c r="P960" s="109" t="str">
        <f>IF($AG960="","",INDEX($AD$8:$AD$1407,$AG960))</f>
        <v/>
      </c>
      <c r="Q960" s="92" t="str">
        <f>IF($AG960="","",INDEX($AM$8:$AM$21,INDEX($AC$8:$AC$1407,$AG960)+1))</f>
        <v/>
      </c>
      <c r="R960" s="92" t="str">
        <f>IF($AG960="","",IF($G960&gt;0,P_ToelCorrectie&amp;"",""))</f>
        <v/>
      </c>
      <c r="S960" s="15" t="str">
        <f>IF(J960="","",J960&amp;"|"&amp;E960&amp;"|"&amp;F960&amp;"|"&amp;I960&amp;"|"&amp;O960)</f>
        <v/>
      </c>
      <c r="T960" s="111" t="str">
        <f>IF(S960="","",IF(COUNTIFS(L_Sleutel,S960,L_Actief,1)=0,"",SUMIFS(L_Waarde,L_Sleutel,S960,L_Actief,1)))</f>
        <v/>
      </c>
      <c r="U960" s="111">
        <f>IF(OR(S960="",T960=""),0,P960-T960)</f>
        <v>0</v>
      </c>
      <c r="AB960" s="112" t="n">
        <v>69</v>
      </c>
      <c r="AC960" s="112" t="n">
        <v>0</v>
      </c>
      <c r="AD960" s="112" t="str">
        <f>VERW_Project!P74</f>
        <v/>
      </c>
      <c r="AE960" s="112">
        <f>IF(AND(VERW_Project!$A74&lt;&gt;"",ISNUMBER(AD960)),1,0)</f>
        <v>0</v>
      </c>
      <c r="AF960" s="112" t="str">
        <f>IF(AE960=1,SUM($AE$8:AE960),"")</f>
        <v/>
      </c>
      <c r="AG960" t="str">
        <f>IFERROR(MATCH(953,$AF$8:$AF$1407,0),"")</f>
        <v/>
      </c>
    </row>
    <row r="961">
      <c r="A961" s="92" t="str">
        <f>IF($AG961="","",P_ImportID)</f>
        <v/>
      </c>
      <c r="B961" s="92" t="str">
        <f>IF($AG961="","",IF(INDEX($AN$8:$AN$21,INDEX($AC$8:$AC$1407,$AG961)+1)="Z",P_BronZ,P_BronE))</f>
        <v/>
      </c>
      <c r="C961" s="108" t="str">
        <f>IF($AG961="","",P_Importdatum)</f>
        <v/>
      </c>
      <c r="D961" s="92" t="str">
        <f>IF($AG961="","",P_StatusVastleg)</f>
        <v/>
      </c>
      <c r="E961" s="92" t="str">
        <f>IF($AG961="","",P_UploadVJ)</f>
        <v/>
      </c>
      <c r="F961" s="92" t="str">
        <f>IF($AG961="","",P_UploadVersie)</f>
        <v/>
      </c>
      <c r="G961" s="92" t="str">
        <f>IF($AG961="","",IF(COUNTIFS(L_Sleutel,$S961,L_Status,"Vastgesteld")=0,0,_xlfn.MAXIFS(L_Revisie,L_Sleutel,$S961,L_Status,"Vastgesteld")+1))</f>
        <v/>
      </c>
      <c r="H961" s="108" t="str">
        <f>IF($AG961="","",P_Peildatum)</f>
        <v/>
      </c>
      <c r="I961" s="92" t="str">
        <f>IF($AG961="","",P_RJ+INDEX($AK$8:$AK$21,INDEX($AC$8:$AC$1407,$AG961)+1))</f>
        <v/>
      </c>
      <c r="J961" s="92" t="str">
        <f>IF($AG961="","",INDEX(V_WBS,INDEX($AB$8:$AB$1407,$AG961)))</f>
        <v/>
      </c>
      <c r="K961" s="92" t="str">
        <f>IF($AG961="","",INDEX(V_Projdef,INDEX($AB$8:$AB$1407,$AG961)))</f>
        <v/>
      </c>
      <c r="L961" s="92" t="str">
        <f>IF($AG961="","",INDEX(V_Naam,INDEX($AB$8:$AB$1407,$AG961)))</f>
        <v/>
      </c>
      <c r="M961" s="92" t="str">
        <f>IF($AG961="","",INDEX(V_Type,INDEX($AB$8:$AB$1407,$AG961)))</f>
        <v/>
      </c>
      <c r="N961" s="92" t="str">
        <f>IF($AG961="","",INDEX(V_IFRS,INDEX($AB$8:$AB$1407,$AG961)))</f>
        <v/>
      </c>
      <c r="O961" s="92" t="str">
        <f>IF($AG961="","",INDEX($AL$8:$AL$21,INDEX($AC$8:$AC$1407,$AG961)+1))</f>
        <v/>
      </c>
      <c r="P961" s="109" t="str">
        <f>IF($AG961="","",INDEX($AD$8:$AD$1407,$AG961))</f>
        <v/>
      </c>
      <c r="Q961" s="92" t="str">
        <f>IF($AG961="","",INDEX($AM$8:$AM$21,INDEX($AC$8:$AC$1407,$AG961)+1))</f>
        <v/>
      </c>
      <c r="R961" s="92" t="str">
        <f>IF($AG961="","",IF($G961&gt;0,P_ToelCorrectie&amp;"",""))</f>
        <v/>
      </c>
      <c r="S961" s="15" t="str">
        <f>IF(J961="","",J961&amp;"|"&amp;E961&amp;"|"&amp;F961&amp;"|"&amp;I961&amp;"|"&amp;O961)</f>
        <v/>
      </c>
      <c r="T961" s="111" t="str">
        <f>IF(S961="","",IF(COUNTIFS(L_Sleutel,S961,L_Actief,1)=0,"",SUMIFS(L_Waarde,L_Sleutel,S961,L_Actief,1)))</f>
        <v/>
      </c>
      <c r="U961" s="111">
        <f>IF(OR(S961="",T961=""),0,P961-T961)</f>
        <v>0</v>
      </c>
      <c r="AB961" s="112" t="n">
        <v>69</v>
      </c>
      <c r="AC961" s="112" t="n">
        <v>1</v>
      </c>
      <c r="AD961" s="112" t="str">
        <f>VERW_Project!Q74</f>
        <v/>
      </c>
      <c r="AE961" s="112">
        <f>IF(AND(VERW_Project!$A74&lt;&gt;"",ISNUMBER(AD961)),1,0)</f>
        <v>0</v>
      </c>
      <c r="AF961" s="112" t="str">
        <f>IF(AE961=1,SUM($AE$8:AE961),"")</f>
        <v/>
      </c>
      <c r="AG961" t="str">
        <f>IFERROR(MATCH(954,$AF$8:$AF$1407,0),"")</f>
        <v/>
      </c>
    </row>
    <row r="962">
      <c r="A962" s="92" t="str">
        <f>IF($AG962="","",P_ImportID)</f>
        <v/>
      </c>
      <c r="B962" s="92" t="str">
        <f>IF($AG962="","",IF(INDEX($AN$8:$AN$21,INDEX($AC$8:$AC$1407,$AG962)+1)="Z",P_BronZ,P_BronE))</f>
        <v/>
      </c>
      <c r="C962" s="108" t="str">
        <f>IF($AG962="","",P_Importdatum)</f>
        <v/>
      </c>
      <c r="D962" s="92" t="str">
        <f>IF($AG962="","",P_StatusVastleg)</f>
        <v/>
      </c>
      <c r="E962" s="92" t="str">
        <f>IF($AG962="","",P_UploadVJ)</f>
        <v/>
      </c>
      <c r="F962" s="92" t="str">
        <f>IF($AG962="","",P_UploadVersie)</f>
        <v/>
      </c>
      <c r="G962" s="92" t="str">
        <f>IF($AG962="","",IF(COUNTIFS(L_Sleutel,$S962,L_Status,"Vastgesteld")=0,0,_xlfn.MAXIFS(L_Revisie,L_Sleutel,$S962,L_Status,"Vastgesteld")+1))</f>
        <v/>
      </c>
      <c r="H962" s="108" t="str">
        <f>IF($AG962="","",P_Peildatum)</f>
        <v/>
      </c>
      <c r="I962" s="92" t="str">
        <f>IF($AG962="","",P_RJ+INDEX($AK$8:$AK$21,INDEX($AC$8:$AC$1407,$AG962)+1))</f>
        <v/>
      </c>
      <c r="J962" s="92" t="str">
        <f>IF($AG962="","",INDEX(V_WBS,INDEX($AB$8:$AB$1407,$AG962)))</f>
        <v/>
      </c>
      <c r="K962" s="92" t="str">
        <f>IF($AG962="","",INDEX(V_Projdef,INDEX($AB$8:$AB$1407,$AG962)))</f>
        <v/>
      </c>
      <c r="L962" s="92" t="str">
        <f>IF($AG962="","",INDEX(V_Naam,INDEX($AB$8:$AB$1407,$AG962)))</f>
        <v/>
      </c>
      <c r="M962" s="92" t="str">
        <f>IF($AG962="","",INDEX(V_Type,INDEX($AB$8:$AB$1407,$AG962)))</f>
        <v/>
      </c>
      <c r="N962" s="92" t="str">
        <f>IF($AG962="","",INDEX(V_IFRS,INDEX($AB$8:$AB$1407,$AG962)))</f>
        <v/>
      </c>
      <c r="O962" s="92" t="str">
        <f>IF($AG962="","",INDEX($AL$8:$AL$21,INDEX($AC$8:$AC$1407,$AG962)+1))</f>
        <v/>
      </c>
      <c r="P962" s="109" t="str">
        <f>IF($AG962="","",INDEX($AD$8:$AD$1407,$AG962))</f>
        <v/>
      </c>
      <c r="Q962" s="92" t="str">
        <f>IF($AG962="","",INDEX($AM$8:$AM$21,INDEX($AC$8:$AC$1407,$AG962)+1))</f>
        <v/>
      </c>
      <c r="R962" s="92" t="str">
        <f>IF($AG962="","",IF($G962&gt;0,P_ToelCorrectie&amp;"",""))</f>
        <v/>
      </c>
      <c r="S962" s="15" t="str">
        <f>IF(J962="","",J962&amp;"|"&amp;E962&amp;"|"&amp;F962&amp;"|"&amp;I962&amp;"|"&amp;O962)</f>
        <v/>
      </c>
      <c r="T962" s="111" t="str">
        <f>IF(S962="","",IF(COUNTIFS(L_Sleutel,S962,L_Actief,1)=0,"",SUMIFS(L_Waarde,L_Sleutel,S962,L_Actief,1)))</f>
        <v/>
      </c>
      <c r="U962" s="111">
        <f>IF(OR(S962="",T962=""),0,P962-T962)</f>
        <v>0</v>
      </c>
      <c r="AB962" s="112" t="n">
        <v>69</v>
      </c>
      <c r="AC962" s="112" t="n">
        <v>2</v>
      </c>
      <c r="AD962" s="112" t="str">
        <f>VERW_Project!L74</f>
        <v/>
      </c>
      <c r="AE962" s="112">
        <f>IF(AND(VERW_Project!$A74&lt;&gt;"",ISNUMBER(AD962)),1,0)</f>
        <v>0</v>
      </c>
      <c r="AF962" s="112" t="str">
        <f>IF(AE962=1,SUM($AE$8:AE962),"")</f>
        <v/>
      </c>
      <c r="AG962" t="str">
        <f>IFERROR(MATCH(955,$AF$8:$AF$1407,0),"")</f>
        <v/>
      </c>
    </row>
    <row r="963">
      <c r="A963" s="92" t="str">
        <f>IF($AG963="","",P_ImportID)</f>
        <v/>
      </c>
      <c r="B963" s="92" t="str">
        <f>IF($AG963="","",IF(INDEX($AN$8:$AN$21,INDEX($AC$8:$AC$1407,$AG963)+1)="Z",P_BronZ,P_BronE))</f>
        <v/>
      </c>
      <c r="C963" s="108" t="str">
        <f>IF($AG963="","",P_Importdatum)</f>
        <v/>
      </c>
      <c r="D963" s="92" t="str">
        <f>IF($AG963="","",P_StatusVastleg)</f>
        <v/>
      </c>
      <c r="E963" s="92" t="str">
        <f>IF($AG963="","",P_UploadVJ)</f>
        <v/>
      </c>
      <c r="F963" s="92" t="str">
        <f>IF($AG963="","",P_UploadVersie)</f>
        <v/>
      </c>
      <c r="G963" s="92" t="str">
        <f>IF($AG963="","",IF(COUNTIFS(L_Sleutel,$S963,L_Status,"Vastgesteld")=0,0,_xlfn.MAXIFS(L_Revisie,L_Sleutel,$S963,L_Status,"Vastgesteld")+1))</f>
        <v/>
      </c>
      <c r="H963" s="108" t="str">
        <f>IF($AG963="","",P_Peildatum)</f>
        <v/>
      </c>
      <c r="I963" s="92" t="str">
        <f>IF($AG963="","",P_RJ+INDEX($AK$8:$AK$21,INDEX($AC$8:$AC$1407,$AG963)+1))</f>
        <v/>
      </c>
      <c r="J963" s="92" t="str">
        <f>IF($AG963="","",INDEX(V_WBS,INDEX($AB$8:$AB$1407,$AG963)))</f>
        <v/>
      </c>
      <c r="K963" s="92" t="str">
        <f>IF($AG963="","",INDEX(V_Projdef,INDEX($AB$8:$AB$1407,$AG963)))</f>
        <v/>
      </c>
      <c r="L963" s="92" t="str">
        <f>IF($AG963="","",INDEX(V_Naam,INDEX($AB$8:$AB$1407,$AG963)))</f>
        <v/>
      </c>
      <c r="M963" s="92" t="str">
        <f>IF($AG963="","",INDEX(V_Type,INDEX($AB$8:$AB$1407,$AG963)))</f>
        <v/>
      </c>
      <c r="N963" s="92" t="str">
        <f>IF($AG963="","",INDEX(V_IFRS,INDEX($AB$8:$AB$1407,$AG963)))</f>
        <v/>
      </c>
      <c r="O963" s="92" t="str">
        <f>IF($AG963="","",INDEX($AL$8:$AL$21,INDEX($AC$8:$AC$1407,$AG963)+1))</f>
        <v/>
      </c>
      <c r="P963" s="109" t="str">
        <f>IF($AG963="","",INDEX($AD$8:$AD$1407,$AG963))</f>
        <v/>
      </c>
      <c r="Q963" s="92" t="str">
        <f>IF($AG963="","",INDEX($AM$8:$AM$21,INDEX($AC$8:$AC$1407,$AG963)+1))</f>
        <v/>
      </c>
      <c r="R963" s="92" t="str">
        <f>IF($AG963="","",IF($G963&gt;0,P_ToelCorrectie&amp;"",""))</f>
        <v/>
      </c>
      <c r="S963" s="15" t="str">
        <f>IF(J963="","",J963&amp;"|"&amp;E963&amp;"|"&amp;F963&amp;"|"&amp;I963&amp;"|"&amp;O963)</f>
        <v/>
      </c>
      <c r="T963" s="111" t="str">
        <f>IF(S963="","",IF(COUNTIFS(L_Sleutel,S963,L_Actief,1)=0,"",SUMIFS(L_Waarde,L_Sleutel,S963,L_Actief,1)))</f>
        <v/>
      </c>
      <c r="U963" s="111">
        <f>IF(OR(S963="",T963=""),0,P963-T963)</f>
        <v>0</v>
      </c>
      <c r="AB963" s="112" t="n">
        <v>69</v>
      </c>
      <c r="AC963" s="112" t="n">
        <v>3</v>
      </c>
      <c r="AD963" s="112" t="str">
        <f>VERW_Project!M74</f>
        <v/>
      </c>
      <c r="AE963" s="112">
        <f>IF(AND(VERW_Project!$A74&lt;&gt;"",ISNUMBER(AD963)),1,0)</f>
        <v>0</v>
      </c>
      <c r="AF963" s="112" t="str">
        <f>IF(AE963=1,SUM($AE$8:AE963),"")</f>
        <v/>
      </c>
      <c r="AG963" t="str">
        <f>IFERROR(MATCH(956,$AF$8:$AF$1407,0),"")</f>
        <v/>
      </c>
    </row>
    <row r="964">
      <c r="A964" s="92" t="str">
        <f>IF($AG964="","",P_ImportID)</f>
        <v/>
      </c>
      <c r="B964" s="92" t="str">
        <f>IF($AG964="","",IF(INDEX($AN$8:$AN$21,INDEX($AC$8:$AC$1407,$AG964)+1)="Z",P_BronZ,P_BronE))</f>
        <v/>
      </c>
      <c r="C964" s="108" t="str">
        <f>IF($AG964="","",P_Importdatum)</f>
        <v/>
      </c>
      <c r="D964" s="92" t="str">
        <f>IF($AG964="","",P_StatusVastleg)</f>
        <v/>
      </c>
      <c r="E964" s="92" t="str">
        <f>IF($AG964="","",P_UploadVJ)</f>
        <v/>
      </c>
      <c r="F964" s="92" t="str">
        <f>IF($AG964="","",P_UploadVersie)</f>
        <v/>
      </c>
      <c r="G964" s="92" t="str">
        <f>IF($AG964="","",IF(COUNTIFS(L_Sleutel,$S964,L_Status,"Vastgesteld")=0,0,_xlfn.MAXIFS(L_Revisie,L_Sleutel,$S964,L_Status,"Vastgesteld")+1))</f>
        <v/>
      </c>
      <c r="H964" s="108" t="str">
        <f>IF($AG964="","",P_Peildatum)</f>
        <v/>
      </c>
      <c r="I964" s="92" t="str">
        <f>IF($AG964="","",P_RJ+INDEX($AK$8:$AK$21,INDEX($AC$8:$AC$1407,$AG964)+1))</f>
        <v/>
      </c>
      <c r="J964" s="92" t="str">
        <f>IF($AG964="","",INDEX(V_WBS,INDEX($AB$8:$AB$1407,$AG964)))</f>
        <v/>
      </c>
      <c r="K964" s="92" t="str">
        <f>IF($AG964="","",INDEX(V_Projdef,INDEX($AB$8:$AB$1407,$AG964)))</f>
        <v/>
      </c>
      <c r="L964" s="92" t="str">
        <f>IF($AG964="","",INDEX(V_Naam,INDEX($AB$8:$AB$1407,$AG964)))</f>
        <v/>
      </c>
      <c r="M964" s="92" t="str">
        <f>IF($AG964="","",INDEX(V_Type,INDEX($AB$8:$AB$1407,$AG964)))</f>
        <v/>
      </c>
      <c r="N964" s="92" t="str">
        <f>IF($AG964="","",INDEX(V_IFRS,INDEX($AB$8:$AB$1407,$AG964)))</f>
        <v/>
      </c>
      <c r="O964" s="92" t="str">
        <f>IF($AG964="","",INDEX($AL$8:$AL$21,INDEX($AC$8:$AC$1407,$AG964)+1))</f>
        <v/>
      </c>
      <c r="P964" s="109" t="str">
        <f>IF($AG964="","",INDEX($AD$8:$AD$1407,$AG964))</f>
        <v/>
      </c>
      <c r="Q964" s="92" t="str">
        <f>IF($AG964="","",INDEX($AM$8:$AM$21,INDEX($AC$8:$AC$1407,$AG964)+1))</f>
        <v/>
      </c>
      <c r="R964" s="92" t="str">
        <f>IF($AG964="","",IF($G964&gt;0,P_ToelCorrectie&amp;"",""))</f>
        <v/>
      </c>
      <c r="S964" s="15" t="str">
        <f>IF(J964="","",J964&amp;"|"&amp;E964&amp;"|"&amp;F964&amp;"|"&amp;I964&amp;"|"&amp;O964)</f>
        <v/>
      </c>
      <c r="T964" s="111" t="str">
        <f>IF(S964="","",IF(COUNTIFS(L_Sleutel,S964,L_Actief,1)=0,"",SUMIFS(L_Waarde,L_Sleutel,S964,L_Actief,1)))</f>
        <v/>
      </c>
      <c r="U964" s="111">
        <f>IF(OR(S964="",T964=""),0,P964-T964)</f>
        <v>0</v>
      </c>
      <c r="AB964" s="112" t="n">
        <v>69</v>
      </c>
      <c r="AC964" s="112" t="n">
        <v>4</v>
      </c>
      <c r="AD964" s="112" t="str">
        <f>VERW_Project!R74</f>
        <v/>
      </c>
      <c r="AE964" s="112">
        <f>IF(AND(VERW_Project!$A74&lt;&gt;"",ISNUMBER(AD964)),1,0)</f>
        <v>0</v>
      </c>
      <c r="AF964" s="112" t="str">
        <f>IF(AE964=1,SUM($AE$8:AE964),"")</f>
        <v/>
      </c>
      <c r="AG964" t="str">
        <f>IFERROR(MATCH(957,$AF$8:$AF$1407,0),"")</f>
        <v/>
      </c>
    </row>
    <row r="965">
      <c r="A965" s="92" t="str">
        <f>IF($AG965="","",P_ImportID)</f>
        <v/>
      </c>
      <c r="B965" s="92" t="str">
        <f>IF($AG965="","",IF(INDEX($AN$8:$AN$21,INDEX($AC$8:$AC$1407,$AG965)+1)="Z",P_BronZ,P_BronE))</f>
        <v/>
      </c>
      <c r="C965" s="108" t="str">
        <f>IF($AG965="","",P_Importdatum)</f>
        <v/>
      </c>
      <c r="D965" s="92" t="str">
        <f>IF($AG965="","",P_StatusVastleg)</f>
        <v/>
      </c>
      <c r="E965" s="92" t="str">
        <f>IF($AG965="","",P_UploadVJ)</f>
        <v/>
      </c>
      <c r="F965" s="92" t="str">
        <f>IF($AG965="","",P_UploadVersie)</f>
        <v/>
      </c>
      <c r="G965" s="92" t="str">
        <f>IF($AG965="","",IF(COUNTIFS(L_Sleutel,$S965,L_Status,"Vastgesteld")=0,0,_xlfn.MAXIFS(L_Revisie,L_Sleutel,$S965,L_Status,"Vastgesteld")+1))</f>
        <v/>
      </c>
      <c r="H965" s="108" t="str">
        <f>IF($AG965="","",P_Peildatum)</f>
        <v/>
      </c>
      <c r="I965" s="92" t="str">
        <f>IF($AG965="","",P_RJ+INDEX($AK$8:$AK$21,INDEX($AC$8:$AC$1407,$AG965)+1))</f>
        <v/>
      </c>
      <c r="J965" s="92" t="str">
        <f>IF($AG965="","",INDEX(V_WBS,INDEX($AB$8:$AB$1407,$AG965)))</f>
        <v/>
      </c>
      <c r="K965" s="92" t="str">
        <f>IF($AG965="","",INDEX(V_Projdef,INDEX($AB$8:$AB$1407,$AG965)))</f>
        <v/>
      </c>
      <c r="L965" s="92" t="str">
        <f>IF($AG965="","",INDEX(V_Naam,INDEX($AB$8:$AB$1407,$AG965)))</f>
        <v/>
      </c>
      <c r="M965" s="92" t="str">
        <f>IF($AG965="","",INDEX(V_Type,INDEX($AB$8:$AB$1407,$AG965)))</f>
        <v/>
      </c>
      <c r="N965" s="92" t="str">
        <f>IF($AG965="","",INDEX(V_IFRS,INDEX($AB$8:$AB$1407,$AG965)))</f>
        <v/>
      </c>
      <c r="O965" s="92" t="str">
        <f>IF($AG965="","",INDEX($AL$8:$AL$21,INDEX($AC$8:$AC$1407,$AG965)+1))</f>
        <v/>
      </c>
      <c r="P965" s="109" t="str">
        <f>IF($AG965="","",INDEX($AD$8:$AD$1407,$AG965))</f>
        <v/>
      </c>
      <c r="Q965" s="92" t="str">
        <f>IF($AG965="","",INDEX($AM$8:$AM$21,INDEX($AC$8:$AC$1407,$AG965)+1))</f>
        <v/>
      </c>
      <c r="R965" s="92" t="str">
        <f>IF($AG965="","",IF($G965&gt;0,P_ToelCorrectie&amp;"",""))</f>
        <v/>
      </c>
      <c r="S965" s="15" t="str">
        <f>IF(J965="","",J965&amp;"|"&amp;E965&amp;"|"&amp;F965&amp;"|"&amp;I965&amp;"|"&amp;O965)</f>
        <v/>
      </c>
      <c r="T965" s="111" t="str">
        <f>IF(S965="","",IF(COUNTIFS(L_Sleutel,S965,L_Actief,1)=0,"",SUMIFS(L_Waarde,L_Sleutel,S965,L_Actief,1)))</f>
        <v/>
      </c>
      <c r="U965" s="111">
        <f>IF(OR(S965="",T965=""),0,P965-T965)</f>
        <v>0</v>
      </c>
      <c r="AB965" s="112" t="n">
        <v>69</v>
      </c>
      <c r="AC965" s="112" t="n">
        <v>5</v>
      </c>
      <c r="AD965" s="112" t="str">
        <f>VERW_Project!S74</f>
        <v/>
      </c>
      <c r="AE965" s="112">
        <f>IF(AND(VERW_Project!$A74&lt;&gt;"",ISNUMBER(AD965)),1,0)</f>
        <v>0</v>
      </c>
      <c r="AF965" s="112" t="str">
        <f>IF(AE965=1,SUM($AE$8:AE965),"")</f>
        <v/>
      </c>
      <c r="AG965" t="str">
        <f>IFERROR(MATCH(958,$AF$8:$AF$1407,0),"")</f>
        <v/>
      </c>
    </row>
    <row r="966">
      <c r="A966" s="92" t="str">
        <f>IF($AG966="","",P_ImportID)</f>
        <v/>
      </c>
      <c r="B966" s="92" t="str">
        <f>IF($AG966="","",IF(INDEX($AN$8:$AN$21,INDEX($AC$8:$AC$1407,$AG966)+1)="Z",P_BronZ,P_BronE))</f>
        <v/>
      </c>
      <c r="C966" s="108" t="str">
        <f>IF($AG966="","",P_Importdatum)</f>
        <v/>
      </c>
      <c r="D966" s="92" t="str">
        <f>IF($AG966="","",P_StatusVastleg)</f>
        <v/>
      </c>
      <c r="E966" s="92" t="str">
        <f>IF($AG966="","",P_UploadVJ)</f>
        <v/>
      </c>
      <c r="F966" s="92" t="str">
        <f>IF($AG966="","",P_UploadVersie)</f>
        <v/>
      </c>
      <c r="G966" s="92" t="str">
        <f>IF($AG966="","",IF(COUNTIFS(L_Sleutel,$S966,L_Status,"Vastgesteld")=0,0,_xlfn.MAXIFS(L_Revisie,L_Sleutel,$S966,L_Status,"Vastgesteld")+1))</f>
        <v/>
      </c>
      <c r="H966" s="108" t="str">
        <f>IF($AG966="","",P_Peildatum)</f>
        <v/>
      </c>
      <c r="I966" s="92" t="str">
        <f>IF($AG966="","",P_RJ+INDEX($AK$8:$AK$21,INDEX($AC$8:$AC$1407,$AG966)+1))</f>
        <v/>
      </c>
      <c r="J966" s="92" t="str">
        <f>IF($AG966="","",INDEX(V_WBS,INDEX($AB$8:$AB$1407,$AG966)))</f>
        <v/>
      </c>
      <c r="K966" s="92" t="str">
        <f>IF($AG966="","",INDEX(V_Projdef,INDEX($AB$8:$AB$1407,$AG966)))</f>
        <v/>
      </c>
      <c r="L966" s="92" t="str">
        <f>IF($AG966="","",INDEX(V_Naam,INDEX($AB$8:$AB$1407,$AG966)))</f>
        <v/>
      </c>
      <c r="M966" s="92" t="str">
        <f>IF($AG966="","",INDEX(V_Type,INDEX($AB$8:$AB$1407,$AG966)))</f>
        <v/>
      </c>
      <c r="N966" s="92" t="str">
        <f>IF($AG966="","",INDEX(V_IFRS,INDEX($AB$8:$AB$1407,$AG966)))</f>
        <v/>
      </c>
      <c r="O966" s="92" t="str">
        <f>IF($AG966="","",INDEX($AL$8:$AL$21,INDEX($AC$8:$AC$1407,$AG966)+1))</f>
        <v/>
      </c>
      <c r="P966" s="109" t="str">
        <f>IF($AG966="","",INDEX($AD$8:$AD$1407,$AG966))</f>
        <v/>
      </c>
      <c r="Q966" s="92" t="str">
        <f>IF($AG966="","",INDEX($AM$8:$AM$21,INDEX($AC$8:$AC$1407,$AG966)+1))</f>
        <v/>
      </c>
      <c r="R966" s="92" t="str">
        <f>IF($AG966="","",IF($G966&gt;0,P_ToelCorrectie&amp;"",""))</f>
        <v/>
      </c>
      <c r="S966" s="15" t="str">
        <f>IF(J966="","",J966&amp;"|"&amp;E966&amp;"|"&amp;F966&amp;"|"&amp;I966&amp;"|"&amp;O966)</f>
        <v/>
      </c>
      <c r="T966" s="111" t="str">
        <f>IF(S966="","",IF(COUNTIFS(L_Sleutel,S966,L_Actief,1)=0,"",SUMIFS(L_Waarde,L_Sleutel,S966,L_Actief,1)))</f>
        <v/>
      </c>
      <c r="U966" s="111">
        <f>IF(OR(S966="",T966=""),0,P966-T966)</f>
        <v>0</v>
      </c>
      <c r="AB966" s="112" t="n">
        <v>69</v>
      </c>
      <c r="AC966" s="112" t="n">
        <v>6</v>
      </c>
      <c r="AD966" s="112" t="str">
        <f>VERW_Project!BW74</f>
        <v/>
      </c>
      <c r="AE966" s="112">
        <f>IF(AND(VERW_Project!$A74&lt;&gt;"",ISNUMBER(AD966)),1,0)</f>
        <v>0</v>
      </c>
      <c r="AF966" s="112" t="str">
        <f>IF(AE966=1,SUM($AE$8:AE966),"")</f>
        <v/>
      </c>
      <c r="AG966" t="str">
        <f>IFERROR(MATCH(959,$AF$8:$AF$1407,0),"")</f>
        <v/>
      </c>
    </row>
    <row r="967">
      <c r="A967" s="92" t="str">
        <f>IF($AG967="","",P_ImportID)</f>
        <v/>
      </c>
      <c r="B967" s="92" t="str">
        <f>IF($AG967="","",IF(INDEX($AN$8:$AN$21,INDEX($AC$8:$AC$1407,$AG967)+1)="Z",P_BronZ,P_BronE))</f>
        <v/>
      </c>
      <c r="C967" s="108" t="str">
        <f>IF($AG967="","",P_Importdatum)</f>
        <v/>
      </c>
      <c r="D967" s="92" t="str">
        <f>IF($AG967="","",P_StatusVastleg)</f>
        <v/>
      </c>
      <c r="E967" s="92" t="str">
        <f>IF($AG967="","",P_UploadVJ)</f>
        <v/>
      </c>
      <c r="F967" s="92" t="str">
        <f>IF($AG967="","",P_UploadVersie)</f>
        <v/>
      </c>
      <c r="G967" s="92" t="str">
        <f>IF($AG967="","",IF(COUNTIFS(L_Sleutel,$S967,L_Status,"Vastgesteld")=0,0,_xlfn.MAXIFS(L_Revisie,L_Sleutel,$S967,L_Status,"Vastgesteld")+1))</f>
        <v/>
      </c>
      <c r="H967" s="108" t="str">
        <f>IF($AG967="","",P_Peildatum)</f>
        <v/>
      </c>
      <c r="I967" s="92" t="str">
        <f>IF($AG967="","",P_RJ+INDEX($AK$8:$AK$21,INDEX($AC$8:$AC$1407,$AG967)+1))</f>
        <v/>
      </c>
      <c r="J967" s="92" t="str">
        <f>IF($AG967="","",INDEX(V_WBS,INDEX($AB$8:$AB$1407,$AG967)))</f>
        <v/>
      </c>
      <c r="K967" s="92" t="str">
        <f>IF($AG967="","",INDEX(V_Projdef,INDEX($AB$8:$AB$1407,$AG967)))</f>
        <v/>
      </c>
      <c r="L967" s="92" t="str">
        <f>IF($AG967="","",INDEX(V_Naam,INDEX($AB$8:$AB$1407,$AG967)))</f>
        <v/>
      </c>
      <c r="M967" s="92" t="str">
        <f>IF($AG967="","",INDEX(V_Type,INDEX($AB$8:$AB$1407,$AG967)))</f>
        <v/>
      </c>
      <c r="N967" s="92" t="str">
        <f>IF($AG967="","",INDEX(V_IFRS,INDEX($AB$8:$AB$1407,$AG967)))</f>
        <v/>
      </c>
      <c r="O967" s="92" t="str">
        <f>IF($AG967="","",INDEX($AL$8:$AL$21,INDEX($AC$8:$AC$1407,$AG967)+1))</f>
        <v/>
      </c>
      <c r="P967" s="109" t="str">
        <f>IF($AG967="","",INDEX($AD$8:$AD$1407,$AG967))</f>
        <v/>
      </c>
      <c r="Q967" s="92" t="str">
        <f>IF($AG967="","",INDEX($AM$8:$AM$21,INDEX($AC$8:$AC$1407,$AG967)+1))</f>
        <v/>
      </c>
      <c r="R967" s="92" t="str">
        <f>IF($AG967="","",IF($G967&gt;0,P_ToelCorrectie&amp;"",""))</f>
        <v/>
      </c>
      <c r="S967" s="15" t="str">
        <f>IF(J967="","",J967&amp;"|"&amp;E967&amp;"|"&amp;F967&amp;"|"&amp;I967&amp;"|"&amp;O967)</f>
        <v/>
      </c>
      <c r="T967" s="111" t="str">
        <f>IF(S967="","",IF(COUNTIFS(L_Sleutel,S967,L_Actief,1)=0,"",SUMIFS(L_Waarde,L_Sleutel,S967,L_Actief,1)))</f>
        <v/>
      </c>
      <c r="U967" s="111">
        <f>IF(OR(S967="",T967=""),0,P967-T967)</f>
        <v>0</v>
      </c>
      <c r="AB967" s="112" t="n">
        <v>69</v>
      </c>
      <c r="AC967" s="112" t="n">
        <v>7</v>
      </c>
      <c r="AD967" s="112" t="str">
        <f>VERW_Project!AW74</f>
        <v/>
      </c>
      <c r="AE967" s="112">
        <f>IF(AND(VERW_Project!$A74&lt;&gt;"",ISNUMBER(AD967)),1,0)</f>
        <v>0</v>
      </c>
      <c r="AF967" s="112" t="str">
        <f>IF(AE967=1,SUM($AE$8:AE967),"")</f>
        <v/>
      </c>
      <c r="AG967" t="str">
        <f>IFERROR(MATCH(960,$AF$8:$AF$1407,0),"")</f>
        <v/>
      </c>
    </row>
    <row r="968">
      <c r="A968" s="92" t="str">
        <f>IF($AG968="","",P_ImportID)</f>
        <v/>
      </c>
      <c r="B968" s="92" t="str">
        <f>IF($AG968="","",IF(INDEX($AN$8:$AN$21,INDEX($AC$8:$AC$1407,$AG968)+1)="Z",P_BronZ,P_BronE))</f>
        <v/>
      </c>
      <c r="C968" s="108" t="str">
        <f>IF($AG968="","",P_Importdatum)</f>
        <v/>
      </c>
      <c r="D968" s="92" t="str">
        <f>IF($AG968="","",P_StatusVastleg)</f>
        <v/>
      </c>
      <c r="E968" s="92" t="str">
        <f>IF($AG968="","",P_UploadVJ)</f>
        <v/>
      </c>
      <c r="F968" s="92" t="str">
        <f>IF($AG968="","",P_UploadVersie)</f>
        <v/>
      </c>
      <c r="G968" s="92" t="str">
        <f>IF($AG968="","",IF(COUNTIFS(L_Sleutel,$S968,L_Status,"Vastgesteld")=0,0,_xlfn.MAXIFS(L_Revisie,L_Sleutel,$S968,L_Status,"Vastgesteld")+1))</f>
        <v/>
      </c>
      <c r="H968" s="108" t="str">
        <f>IF($AG968="","",P_Peildatum)</f>
        <v/>
      </c>
      <c r="I968" s="92" t="str">
        <f>IF($AG968="","",P_RJ+INDEX($AK$8:$AK$21,INDEX($AC$8:$AC$1407,$AG968)+1))</f>
        <v/>
      </c>
      <c r="J968" s="92" t="str">
        <f>IF($AG968="","",INDEX(V_WBS,INDEX($AB$8:$AB$1407,$AG968)))</f>
        <v/>
      </c>
      <c r="K968" s="92" t="str">
        <f>IF($AG968="","",INDEX(V_Projdef,INDEX($AB$8:$AB$1407,$AG968)))</f>
        <v/>
      </c>
      <c r="L968" s="92" t="str">
        <f>IF($AG968="","",INDEX(V_Naam,INDEX($AB$8:$AB$1407,$AG968)))</f>
        <v/>
      </c>
      <c r="M968" s="92" t="str">
        <f>IF($AG968="","",INDEX(V_Type,INDEX($AB$8:$AB$1407,$AG968)))</f>
        <v/>
      </c>
      <c r="N968" s="92" t="str">
        <f>IF($AG968="","",INDEX(V_IFRS,INDEX($AB$8:$AB$1407,$AG968)))</f>
        <v/>
      </c>
      <c r="O968" s="92" t="str">
        <f>IF($AG968="","",INDEX($AL$8:$AL$21,INDEX($AC$8:$AC$1407,$AG968)+1))</f>
        <v/>
      </c>
      <c r="P968" s="109" t="str">
        <f>IF($AG968="","",INDEX($AD$8:$AD$1407,$AG968))</f>
        <v/>
      </c>
      <c r="Q968" s="92" t="str">
        <f>IF($AG968="","",INDEX($AM$8:$AM$21,INDEX($AC$8:$AC$1407,$AG968)+1))</f>
        <v/>
      </c>
      <c r="R968" s="92" t="str">
        <f>IF($AG968="","",IF($G968&gt;0,P_ToelCorrectie&amp;"",""))</f>
        <v/>
      </c>
      <c r="S968" s="15" t="str">
        <f>IF(J968="","",J968&amp;"|"&amp;E968&amp;"|"&amp;F968&amp;"|"&amp;I968&amp;"|"&amp;O968)</f>
        <v/>
      </c>
      <c r="T968" s="111" t="str">
        <f>IF(S968="","",IF(COUNTIFS(L_Sleutel,S968,L_Actief,1)=0,"",SUMIFS(L_Waarde,L_Sleutel,S968,L_Actief,1)))</f>
        <v/>
      </c>
      <c r="U968" s="111">
        <f>IF(OR(S968="",T968=""),0,P968-T968)</f>
        <v>0</v>
      </c>
      <c r="AB968" s="112" t="n">
        <v>69</v>
      </c>
      <c r="AC968" s="112" t="n">
        <v>8</v>
      </c>
      <c r="AD968" s="112" t="str">
        <f>VERW_Project!BQ74</f>
        <v/>
      </c>
      <c r="AE968" s="112">
        <f>IF(AND(VERW_Project!$A74&lt;&gt;"",ISNUMBER(AD968)),1,0)</f>
        <v>0</v>
      </c>
      <c r="AF968" s="112" t="str">
        <f>IF(AE968=1,SUM($AE$8:AE968),"")</f>
        <v/>
      </c>
      <c r="AG968" t="str">
        <f>IFERROR(MATCH(961,$AF$8:$AF$1407,0),"")</f>
        <v/>
      </c>
    </row>
    <row r="969">
      <c r="A969" s="92" t="str">
        <f>IF($AG969="","",P_ImportID)</f>
        <v/>
      </c>
      <c r="B969" s="92" t="str">
        <f>IF($AG969="","",IF(INDEX($AN$8:$AN$21,INDEX($AC$8:$AC$1407,$AG969)+1)="Z",P_BronZ,P_BronE))</f>
        <v/>
      </c>
      <c r="C969" s="108" t="str">
        <f>IF($AG969="","",P_Importdatum)</f>
        <v/>
      </c>
      <c r="D969" s="92" t="str">
        <f>IF($AG969="","",P_StatusVastleg)</f>
        <v/>
      </c>
      <c r="E969" s="92" t="str">
        <f>IF($AG969="","",P_UploadVJ)</f>
        <v/>
      </c>
      <c r="F969" s="92" t="str">
        <f>IF($AG969="","",P_UploadVersie)</f>
        <v/>
      </c>
      <c r="G969" s="92" t="str">
        <f>IF($AG969="","",IF(COUNTIFS(L_Sleutel,$S969,L_Status,"Vastgesteld")=0,0,_xlfn.MAXIFS(L_Revisie,L_Sleutel,$S969,L_Status,"Vastgesteld")+1))</f>
        <v/>
      </c>
      <c r="H969" s="108" t="str">
        <f>IF($AG969="","",P_Peildatum)</f>
        <v/>
      </c>
      <c r="I969" s="92" t="str">
        <f>IF($AG969="","",P_RJ+INDEX($AK$8:$AK$21,INDEX($AC$8:$AC$1407,$AG969)+1))</f>
        <v/>
      </c>
      <c r="J969" s="92" t="str">
        <f>IF($AG969="","",INDEX(V_WBS,INDEX($AB$8:$AB$1407,$AG969)))</f>
        <v/>
      </c>
      <c r="K969" s="92" t="str">
        <f>IF($AG969="","",INDEX(V_Projdef,INDEX($AB$8:$AB$1407,$AG969)))</f>
        <v/>
      </c>
      <c r="L969" s="92" t="str">
        <f>IF($AG969="","",INDEX(V_Naam,INDEX($AB$8:$AB$1407,$AG969)))</f>
        <v/>
      </c>
      <c r="M969" s="92" t="str">
        <f>IF($AG969="","",INDEX(V_Type,INDEX($AB$8:$AB$1407,$AG969)))</f>
        <v/>
      </c>
      <c r="N969" s="92" t="str">
        <f>IF($AG969="","",INDEX(V_IFRS,INDEX($AB$8:$AB$1407,$AG969)))</f>
        <v/>
      </c>
      <c r="O969" s="92" t="str">
        <f>IF($AG969="","",INDEX($AL$8:$AL$21,INDEX($AC$8:$AC$1407,$AG969)+1))</f>
        <v/>
      </c>
      <c r="P969" s="109" t="str">
        <f>IF($AG969="","",INDEX($AD$8:$AD$1407,$AG969))</f>
        <v/>
      </c>
      <c r="Q969" s="92" t="str">
        <f>IF($AG969="","",INDEX($AM$8:$AM$21,INDEX($AC$8:$AC$1407,$AG969)+1))</f>
        <v/>
      </c>
      <c r="R969" s="92" t="str">
        <f>IF($AG969="","",IF($G969&gt;0,P_ToelCorrectie&amp;"",""))</f>
        <v/>
      </c>
      <c r="S969" s="15" t="str">
        <f>IF(J969="","",J969&amp;"|"&amp;E969&amp;"|"&amp;F969&amp;"|"&amp;I969&amp;"|"&amp;O969)</f>
        <v/>
      </c>
      <c r="T969" s="111" t="str">
        <f>IF(S969="","",IF(COUNTIFS(L_Sleutel,S969,L_Actief,1)=0,"",SUMIFS(L_Waarde,L_Sleutel,S969,L_Actief,1)))</f>
        <v/>
      </c>
      <c r="U969" s="111">
        <f>IF(OR(S969="",T969=""),0,P969-T969)</f>
        <v>0</v>
      </c>
      <c r="AB969" s="112" t="n">
        <v>69</v>
      </c>
      <c r="AC969" s="112" t="n">
        <v>9</v>
      </c>
      <c r="AD969" s="112" t="str">
        <f>VERW_Project!BR74</f>
        <v/>
      </c>
      <c r="AE969" s="112">
        <f>IF(AND(VERW_Project!$A74&lt;&gt;"",ISNUMBER(AD969)),1,0)</f>
        <v>0</v>
      </c>
      <c r="AF969" s="112" t="str">
        <f>IF(AE969=1,SUM($AE$8:AE969),"")</f>
        <v/>
      </c>
      <c r="AG969" t="str">
        <f>IFERROR(MATCH(962,$AF$8:$AF$1407,0),"")</f>
        <v/>
      </c>
    </row>
    <row r="970">
      <c r="A970" s="92" t="str">
        <f>IF($AG970="","",P_ImportID)</f>
        <v/>
      </c>
      <c r="B970" s="92" t="str">
        <f>IF($AG970="","",IF(INDEX($AN$8:$AN$21,INDEX($AC$8:$AC$1407,$AG970)+1)="Z",P_BronZ,P_BronE))</f>
        <v/>
      </c>
      <c r="C970" s="108" t="str">
        <f>IF($AG970="","",P_Importdatum)</f>
        <v/>
      </c>
      <c r="D970" s="92" t="str">
        <f>IF($AG970="","",P_StatusVastleg)</f>
        <v/>
      </c>
      <c r="E970" s="92" t="str">
        <f>IF($AG970="","",P_UploadVJ)</f>
        <v/>
      </c>
      <c r="F970" s="92" t="str">
        <f>IF($AG970="","",P_UploadVersie)</f>
        <v/>
      </c>
      <c r="G970" s="92" t="str">
        <f>IF($AG970="","",IF(COUNTIFS(L_Sleutel,$S970,L_Status,"Vastgesteld")=0,0,_xlfn.MAXIFS(L_Revisie,L_Sleutel,$S970,L_Status,"Vastgesteld")+1))</f>
        <v/>
      </c>
      <c r="H970" s="108" t="str">
        <f>IF($AG970="","",P_Peildatum)</f>
        <v/>
      </c>
      <c r="I970" s="92" t="str">
        <f>IF($AG970="","",P_RJ+INDEX($AK$8:$AK$21,INDEX($AC$8:$AC$1407,$AG970)+1))</f>
        <v/>
      </c>
      <c r="J970" s="92" t="str">
        <f>IF($AG970="","",INDEX(V_WBS,INDEX($AB$8:$AB$1407,$AG970)))</f>
        <v/>
      </c>
      <c r="K970" s="92" t="str">
        <f>IF($AG970="","",INDEX(V_Projdef,INDEX($AB$8:$AB$1407,$AG970)))</f>
        <v/>
      </c>
      <c r="L970" s="92" t="str">
        <f>IF($AG970="","",INDEX(V_Naam,INDEX($AB$8:$AB$1407,$AG970)))</f>
        <v/>
      </c>
      <c r="M970" s="92" t="str">
        <f>IF($AG970="","",INDEX(V_Type,INDEX($AB$8:$AB$1407,$AG970)))</f>
        <v/>
      </c>
      <c r="N970" s="92" t="str">
        <f>IF($AG970="","",INDEX(V_IFRS,INDEX($AB$8:$AB$1407,$AG970)))</f>
        <v/>
      </c>
      <c r="O970" s="92" t="str">
        <f>IF($AG970="","",INDEX($AL$8:$AL$21,INDEX($AC$8:$AC$1407,$AG970)+1))</f>
        <v/>
      </c>
      <c r="P970" s="109" t="str">
        <f>IF($AG970="","",INDEX($AD$8:$AD$1407,$AG970))</f>
        <v/>
      </c>
      <c r="Q970" s="92" t="str">
        <f>IF($AG970="","",INDEX($AM$8:$AM$21,INDEX($AC$8:$AC$1407,$AG970)+1))</f>
        <v/>
      </c>
      <c r="R970" s="92" t="str">
        <f>IF($AG970="","",IF($G970&gt;0,P_ToelCorrectie&amp;"",""))</f>
        <v/>
      </c>
      <c r="S970" s="15" t="str">
        <f>IF(J970="","",J970&amp;"|"&amp;E970&amp;"|"&amp;F970&amp;"|"&amp;I970&amp;"|"&amp;O970)</f>
        <v/>
      </c>
      <c r="T970" s="111" t="str">
        <f>IF(S970="","",IF(COUNTIFS(L_Sleutel,S970,L_Actief,1)=0,"",SUMIFS(L_Waarde,L_Sleutel,S970,L_Actief,1)))</f>
        <v/>
      </c>
      <c r="U970" s="111">
        <f>IF(OR(S970="",T970=""),0,P970-T970)</f>
        <v>0</v>
      </c>
      <c r="AB970" s="112" t="n">
        <v>69</v>
      </c>
      <c r="AC970" s="112" t="n">
        <v>10</v>
      </c>
      <c r="AD970" s="112" t="str">
        <f>VERW_Project!BS74</f>
        <v/>
      </c>
      <c r="AE970" s="112">
        <f>IF(AND(VERW_Project!$A74&lt;&gt;"",ISNUMBER(AD970)),1,0)</f>
        <v>0</v>
      </c>
      <c r="AF970" s="112" t="str">
        <f>IF(AE970=1,SUM($AE$8:AE970),"")</f>
        <v/>
      </c>
      <c r="AG970" t="str">
        <f>IFERROR(MATCH(963,$AF$8:$AF$1407,0),"")</f>
        <v/>
      </c>
    </row>
    <row r="971">
      <c r="A971" s="92" t="str">
        <f>IF($AG971="","",P_ImportID)</f>
        <v/>
      </c>
      <c r="B971" s="92" t="str">
        <f>IF($AG971="","",IF(INDEX($AN$8:$AN$21,INDEX($AC$8:$AC$1407,$AG971)+1)="Z",P_BronZ,P_BronE))</f>
        <v/>
      </c>
      <c r="C971" s="108" t="str">
        <f>IF($AG971="","",P_Importdatum)</f>
        <v/>
      </c>
      <c r="D971" s="92" t="str">
        <f>IF($AG971="","",P_StatusVastleg)</f>
        <v/>
      </c>
      <c r="E971" s="92" t="str">
        <f>IF($AG971="","",P_UploadVJ)</f>
        <v/>
      </c>
      <c r="F971" s="92" t="str">
        <f>IF($AG971="","",P_UploadVersie)</f>
        <v/>
      </c>
      <c r="G971" s="92" t="str">
        <f>IF($AG971="","",IF(COUNTIFS(L_Sleutel,$S971,L_Status,"Vastgesteld")=0,0,_xlfn.MAXIFS(L_Revisie,L_Sleutel,$S971,L_Status,"Vastgesteld")+1))</f>
        <v/>
      </c>
      <c r="H971" s="108" t="str">
        <f>IF($AG971="","",P_Peildatum)</f>
        <v/>
      </c>
      <c r="I971" s="92" t="str">
        <f>IF($AG971="","",P_RJ+INDEX($AK$8:$AK$21,INDEX($AC$8:$AC$1407,$AG971)+1))</f>
        <v/>
      </c>
      <c r="J971" s="92" t="str">
        <f>IF($AG971="","",INDEX(V_WBS,INDEX($AB$8:$AB$1407,$AG971)))</f>
        <v/>
      </c>
      <c r="K971" s="92" t="str">
        <f>IF($AG971="","",INDEX(V_Projdef,INDEX($AB$8:$AB$1407,$AG971)))</f>
        <v/>
      </c>
      <c r="L971" s="92" t="str">
        <f>IF($AG971="","",INDEX(V_Naam,INDEX($AB$8:$AB$1407,$AG971)))</f>
        <v/>
      </c>
      <c r="M971" s="92" t="str">
        <f>IF($AG971="","",INDEX(V_Type,INDEX($AB$8:$AB$1407,$AG971)))</f>
        <v/>
      </c>
      <c r="N971" s="92" t="str">
        <f>IF($AG971="","",INDEX(V_IFRS,INDEX($AB$8:$AB$1407,$AG971)))</f>
        <v/>
      </c>
      <c r="O971" s="92" t="str">
        <f>IF($AG971="","",INDEX($AL$8:$AL$21,INDEX($AC$8:$AC$1407,$AG971)+1))</f>
        <v/>
      </c>
      <c r="P971" s="109" t="str">
        <f>IF($AG971="","",INDEX($AD$8:$AD$1407,$AG971))</f>
        <v/>
      </c>
      <c r="Q971" s="92" t="str">
        <f>IF($AG971="","",INDEX($AM$8:$AM$21,INDEX($AC$8:$AC$1407,$AG971)+1))</f>
        <v/>
      </c>
      <c r="R971" s="92" t="str">
        <f>IF($AG971="","",IF($G971&gt;0,P_ToelCorrectie&amp;"",""))</f>
        <v/>
      </c>
      <c r="S971" s="15" t="str">
        <f>IF(J971="","",J971&amp;"|"&amp;E971&amp;"|"&amp;F971&amp;"|"&amp;I971&amp;"|"&amp;O971)</f>
        <v/>
      </c>
      <c r="T971" s="111" t="str">
        <f>IF(S971="","",IF(COUNTIFS(L_Sleutel,S971,L_Actief,1)=0,"",SUMIFS(L_Waarde,L_Sleutel,S971,L_Actief,1)))</f>
        <v/>
      </c>
      <c r="U971" s="111">
        <f>IF(OR(S971="",T971=""),0,P971-T971)</f>
        <v>0</v>
      </c>
      <c r="AB971" s="112" t="n">
        <v>69</v>
      </c>
      <c r="AC971" s="112" t="n">
        <v>11</v>
      </c>
      <c r="AD971" s="112" t="str">
        <f>VERW_Project!BT74</f>
        <v/>
      </c>
      <c r="AE971" s="112">
        <f>IF(AND(VERW_Project!$A74&lt;&gt;"",ISNUMBER(AD971)),1,0)</f>
        <v>0</v>
      </c>
      <c r="AF971" s="112" t="str">
        <f>IF(AE971=1,SUM($AE$8:AE971),"")</f>
        <v/>
      </c>
      <c r="AG971" t="str">
        <f>IFERROR(MATCH(964,$AF$8:$AF$1407,0),"")</f>
        <v/>
      </c>
    </row>
    <row r="972">
      <c r="A972" s="92" t="str">
        <f>IF($AG972="","",P_ImportID)</f>
        <v/>
      </c>
      <c r="B972" s="92" t="str">
        <f>IF($AG972="","",IF(INDEX($AN$8:$AN$21,INDEX($AC$8:$AC$1407,$AG972)+1)="Z",P_BronZ,P_BronE))</f>
        <v/>
      </c>
      <c r="C972" s="108" t="str">
        <f>IF($AG972="","",P_Importdatum)</f>
        <v/>
      </c>
      <c r="D972" s="92" t="str">
        <f>IF($AG972="","",P_StatusVastleg)</f>
        <v/>
      </c>
      <c r="E972" s="92" t="str">
        <f>IF($AG972="","",P_UploadVJ)</f>
        <v/>
      </c>
      <c r="F972" s="92" t="str">
        <f>IF($AG972="","",P_UploadVersie)</f>
        <v/>
      </c>
      <c r="G972" s="92" t="str">
        <f>IF($AG972="","",IF(COUNTIFS(L_Sleutel,$S972,L_Status,"Vastgesteld")=0,0,_xlfn.MAXIFS(L_Revisie,L_Sleutel,$S972,L_Status,"Vastgesteld")+1))</f>
        <v/>
      </c>
      <c r="H972" s="108" t="str">
        <f>IF($AG972="","",P_Peildatum)</f>
        <v/>
      </c>
      <c r="I972" s="92" t="str">
        <f>IF($AG972="","",P_RJ+INDEX($AK$8:$AK$21,INDEX($AC$8:$AC$1407,$AG972)+1))</f>
        <v/>
      </c>
      <c r="J972" s="92" t="str">
        <f>IF($AG972="","",INDEX(V_WBS,INDEX($AB$8:$AB$1407,$AG972)))</f>
        <v/>
      </c>
      <c r="K972" s="92" t="str">
        <f>IF($AG972="","",INDEX(V_Projdef,INDEX($AB$8:$AB$1407,$AG972)))</f>
        <v/>
      </c>
      <c r="L972" s="92" t="str">
        <f>IF($AG972="","",INDEX(V_Naam,INDEX($AB$8:$AB$1407,$AG972)))</f>
        <v/>
      </c>
      <c r="M972" s="92" t="str">
        <f>IF($AG972="","",INDEX(V_Type,INDEX($AB$8:$AB$1407,$AG972)))</f>
        <v/>
      </c>
      <c r="N972" s="92" t="str">
        <f>IF($AG972="","",INDEX(V_IFRS,INDEX($AB$8:$AB$1407,$AG972)))</f>
        <v/>
      </c>
      <c r="O972" s="92" t="str">
        <f>IF($AG972="","",INDEX($AL$8:$AL$21,INDEX($AC$8:$AC$1407,$AG972)+1))</f>
        <v/>
      </c>
      <c r="P972" s="109" t="str">
        <f>IF($AG972="","",INDEX($AD$8:$AD$1407,$AG972))</f>
        <v/>
      </c>
      <c r="Q972" s="92" t="str">
        <f>IF($AG972="","",INDEX($AM$8:$AM$21,INDEX($AC$8:$AC$1407,$AG972)+1))</f>
        <v/>
      </c>
      <c r="R972" s="92" t="str">
        <f>IF($AG972="","",IF($G972&gt;0,P_ToelCorrectie&amp;"",""))</f>
        <v/>
      </c>
      <c r="S972" s="15" t="str">
        <f>IF(J972="","",J972&amp;"|"&amp;E972&amp;"|"&amp;F972&amp;"|"&amp;I972&amp;"|"&amp;O972)</f>
        <v/>
      </c>
      <c r="T972" s="111" t="str">
        <f>IF(S972="","",IF(COUNTIFS(L_Sleutel,S972,L_Actief,1)=0,"",SUMIFS(L_Waarde,L_Sleutel,S972,L_Actief,1)))</f>
        <v/>
      </c>
      <c r="U972" s="111">
        <f>IF(OR(S972="",T972=""),0,P972-T972)</f>
        <v>0</v>
      </c>
      <c r="AB972" s="112" t="n">
        <v>69</v>
      </c>
      <c r="AC972" s="112" t="n">
        <v>12</v>
      </c>
      <c r="AD972" s="112" t="str">
        <f>VERW_Project!BU74</f>
        <v/>
      </c>
      <c r="AE972" s="112">
        <f>IF(AND(VERW_Project!$A74&lt;&gt;"",ISNUMBER(AD972)),1,0)</f>
        <v>0</v>
      </c>
      <c r="AF972" s="112" t="str">
        <f>IF(AE972=1,SUM($AE$8:AE972),"")</f>
        <v/>
      </c>
      <c r="AG972" t="str">
        <f>IFERROR(MATCH(965,$AF$8:$AF$1407,0),"")</f>
        <v/>
      </c>
    </row>
    <row r="973">
      <c r="A973" s="92" t="str">
        <f>IF($AG973="","",P_ImportID)</f>
        <v/>
      </c>
      <c r="B973" s="92" t="str">
        <f>IF($AG973="","",IF(INDEX($AN$8:$AN$21,INDEX($AC$8:$AC$1407,$AG973)+1)="Z",P_BronZ,P_BronE))</f>
        <v/>
      </c>
      <c r="C973" s="108" t="str">
        <f>IF($AG973="","",P_Importdatum)</f>
        <v/>
      </c>
      <c r="D973" s="92" t="str">
        <f>IF($AG973="","",P_StatusVastleg)</f>
        <v/>
      </c>
      <c r="E973" s="92" t="str">
        <f>IF($AG973="","",P_UploadVJ)</f>
        <v/>
      </c>
      <c r="F973" s="92" t="str">
        <f>IF($AG973="","",P_UploadVersie)</f>
        <v/>
      </c>
      <c r="G973" s="92" t="str">
        <f>IF($AG973="","",IF(COUNTIFS(L_Sleutel,$S973,L_Status,"Vastgesteld")=0,0,_xlfn.MAXIFS(L_Revisie,L_Sleutel,$S973,L_Status,"Vastgesteld")+1))</f>
        <v/>
      </c>
      <c r="H973" s="108" t="str">
        <f>IF($AG973="","",P_Peildatum)</f>
        <v/>
      </c>
      <c r="I973" s="92" t="str">
        <f>IF($AG973="","",P_RJ+INDEX($AK$8:$AK$21,INDEX($AC$8:$AC$1407,$AG973)+1))</f>
        <v/>
      </c>
      <c r="J973" s="92" t="str">
        <f>IF($AG973="","",INDEX(V_WBS,INDEX($AB$8:$AB$1407,$AG973)))</f>
        <v/>
      </c>
      <c r="K973" s="92" t="str">
        <f>IF($AG973="","",INDEX(V_Projdef,INDEX($AB$8:$AB$1407,$AG973)))</f>
        <v/>
      </c>
      <c r="L973" s="92" t="str">
        <f>IF($AG973="","",INDEX(V_Naam,INDEX($AB$8:$AB$1407,$AG973)))</f>
        <v/>
      </c>
      <c r="M973" s="92" t="str">
        <f>IF($AG973="","",INDEX(V_Type,INDEX($AB$8:$AB$1407,$AG973)))</f>
        <v/>
      </c>
      <c r="N973" s="92" t="str">
        <f>IF($AG973="","",INDEX(V_IFRS,INDEX($AB$8:$AB$1407,$AG973)))</f>
        <v/>
      </c>
      <c r="O973" s="92" t="str">
        <f>IF($AG973="","",INDEX($AL$8:$AL$21,INDEX($AC$8:$AC$1407,$AG973)+1))</f>
        <v/>
      </c>
      <c r="P973" s="109" t="str">
        <f>IF($AG973="","",INDEX($AD$8:$AD$1407,$AG973))</f>
        <v/>
      </c>
      <c r="Q973" s="92" t="str">
        <f>IF($AG973="","",INDEX($AM$8:$AM$21,INDEX($AC$8:$AC$1407,$AG973)+1))</f>
        <v/>
      </c>
      <c r="R973" s="92" t="str">
        <f>IF($AG973="","",IF($G973&gt;0,P_ToelCorrectie&amp;"",""))</f>
        <v/>
      </c>
      <c r="S973" s="15" t="str">
        <f>IF(J973="","",J973&amp;"|"&amp;E973&amp;"|"&amp;F973&amp;"|"&amp;I973&amp;"|"&amp;O973)</f>
        <v/>
      </c>
      <c r="T973" s="111" t="str">
        <f>IF(S973="","",IF(COUNTIFS(L_Sleutel,S973,L_Actief,1)=0,"",SUMIFS(L_Waarde,L_Sleutel,S973,L_Actief,1)))</f>
        <v/>
      </c>
      <c r="U973" s="111">
        <f>IF(OR(S973="",T973=""),0,P973-T973)</f>
        <v>0</v>
      </c>
      <c r="AB973" s="112" t="n">
        <v>69</v>
      </c>
      <c r="AC973" s="112" t="n">
        <v>13</v>
      </c>
      <c r="AD973" s="112" t="str">
        <f>VERW_Project!BX74</f>
        <v/>
      </c>
      <c r="AE973" s="112">
        <f>IF(AND(VERW_Project!$A74&lt;&gt;"",ISNUMBER(AD973)),1,0)</f>
        <v>0</v>
      </c>
      <c r="AF973" s="112" t="str">
        <f>IF(AE973=1,SUM($AE$8:AE973),"")</f>
        <v/>
      </c>
      <c r="AG973" t="str">
        <f>IFERROR(MATCH(966,$AF$8:$AF$1407,0),"")</f>
        <v/>
      </c>
    </row>
    <row r="974">
      <c r="A974" s="92" t="str">
        <f>IF($AG974="","",P_ImportID)</f>
        <v/>
      </c>
      <c r="B974" s="92" t="str">
        <f>IF($AG974="","",IF(INDEX($AN$8:$AN$21,INDEX($AC$8:$AC$1407,$AG974)+1)="Z",P_BronZ,P_BronE))</f>
        <v/>
      </c>
      <c r="C974" s="108" t="str">
        <f>IF($AG974="","",P_Importdatum)</f>
        <v/>
      </c>
      <c r="D974" s="92" t="str">
        <f>IF($AG974="","",P_StatusVastleg)</f>
        <v/>
      </c>
      <c r="E974" s="92" t="str">
        <f>IF($AG974="","",P_UploadVJ)</f>
        <v/>
      </c>
      <c r="F974" s="92" t="str">
        <f>IF($AG974="","",P_UploadVersie)</f>
        <v/>
      </c>
      <c r="G974" s="92" t="str">
        <f>IF($AG974="","",IF(COUNTIFS(L_Sleutel,$S974,L_Status,"Vastgesteld")=0,0,_xlfn.MAXIFS(L_Revisie,L_Sleutel,$S974,L_Status,"Vastgesteld")+1))</f>
        <v/>
      </c>
      <c r="H974" s="108" t="str">
        <f>IF($AG974="","",P_Peildatum)</f>
        <v/>
      </c>
      <c r="I974" s="92" t="str">
        <f>IF($AG974="","",P_RJ+INDEX($AK$8:$AK$21,INDEX($AC$8:$AC$1407,$AG974)+1))</f>
        <v/>
      </c>
      <c r="J974" s="92" t="str">
        <f>IF($AG974="","",INDEX(V_WBS,INDEX($AB$8:$AB$1407,$AG974)))</f>
        <v/>
      </c>
      <c r="K974" s="92" t="str">
        <f>IF($AG974="","",INDEX(V_Projdef,INDEX($AB$8:$AB$1407,$AG974)))</f>
        <v/>
      </c>
      <c r="L974" s="92" t="str">
        <f>IF($AG974="","",INDEX(V_Naam,INDEX($AB$8:$AB$1407,$AG974)))</f>
        <v/>
      </c>
      <c r="M974" s="92" t="str">
        <f>IF($AG974="","",INDEX(V_Type,INDEX($AB$8:$AB$1407,$AG974)))</f>
        <v/>
      </c>
      <c r="N974" s="92" t="str">
        <f>IF($AG974="","",INDEX(V_IFRS,INDEX($AB$8:$AB$1407,$AG974)))</f>
        <v/>
      </c>
      <c r="O974" s="92" t="str">
        <f>IF($AG974="","",INDEX($AL$8:$AL$21,INDEX($AC$8:$AC$1407,$AG974)+1))</f>
        <v/>
      </c>
      <c r="P974" s="109" t="str">
        <f>IF($AG974="","",INDEX($AD$8:$AD$1407,$AG974))</f>
        <v/>
      </c>
      <c r="Q974" s="92" t="str">
        <f>IF($AG974="","",INDEX($AM$8:$AM$21,INDEX($AC$8:$AC$1407,$AG974)+1))</f>
        <v/>
      </c>
      <c r="R974" s="92" t="str">
        <f>IF($AG974="","",IF($G974&gt;0,P_ToelCorrectie&amp;"",""))</f>
        <v/>
      </c>
      <c r="S974" s="15" t="str">
        <f>IF(J974="","",J974&amp;"|"&amp;E974&amp;"|"&amp;F974&amp;"|"&amp;I974&amp;"|"&amp;O974)</f>
        <v/>
      </c>
      <c r="T974" s="111" t="str">
        <f>IF(S974="","",IF(COUNTIFS(L_Sleutel,S974,L_Actief,1)=0,"",SUMIFS(L_Waarde,L_Sleutel,S974,L_Actief,1)))</f>
        <v/>
      </c>
      <c r="U974" s="111">
        <f>IF(OR(S974="",T974=""),0,P974-T974)</f>
        <v>0</v>
      </c>
      <c r="AB974" s="112" t="n">
        <v>70</v>
      </c>
      <c r="AC974" s="112" t="n">
        <v>0</v>
      </c>
      <c r="AD974" s="112" t="str">
        <f>VERW_Project!P75</f>
        <v/>
      </c>
      <c r="AE974" s="112">
        <f>IF(AND(VERW_Project!$A75&lt;&gt;"",ISNUMBER(AD974)),1,0)</f>
        <v>0</v>
      </c>
      <c r="AF974" s="112" t="str">
        <f>IF(AE974=1,SUM($AE$8:AE974),"")</f>
        <v/>
      </c>
      <c r="AG974" t="str">
        <f>IFERROR(MATCH(967,$AF$8:$AF$1407,0),"")</f>
        <v/>
      </c>
    </row>
    <row r="975">
      <c r="A975" s="92" t="str">
        <f>IF($AG975="","",P_ImportID)</f>
        <v/>
      </c>
      <c r="B975" s="92" t="str">
        <f>IF($AG975="","",IF(INDEX($AN$8:$AN$21,INDEX($AC$8:$AC$1407,$AG975)+1)="Z",P_BronZ,P_BronE))</f>
        <v/>
      </c>
      <c r="C975" s="108" t="str">
        <f>IF($AG975="","",P_Importdatum)</f>
        <v/>
      </c>
      <c r="D975" s="92" t="str">
        <f>IF($AG975="","",P_StatusVastleg)</f>
        <v/>
      </c>
      <c r="E975" s="92" t="str">
        <f>IF($AG975="","",P_UploadVJ)</f>
        <v/>
      </c>
      <c r="F975" s="92" t="str">
        <f>IF($AG975="","",P_UploadVersie)</f>
        <v/>
      </c>
      <c r="G975" s="92" t="str">
        <f>IF($AG975="","",IF(COUNTIFS(L_Sleutel,$S975,L_Status,"Vastgesteld")=0,0,_xlfn.MAXIFS(L_Revisie,L_Sleutel,$S975,L_Status,"Vastgesteld")+1))</f>
        <v/>
      </c>
      <c r="H975" s="108" t="str">
        <f>IF($AG975="","",P_Peildatum)</f>
        <v/>
      </c>
      <c r="I975" s="92" t="str">
        <f>IF($AG975="","",P_RJ+INDEX($AK$8:$AK$21,INDEX($AC$8:$AC$1407,$AG975)+1))</f>
        <v/>
      </c>
      <c r="J975" s="92" t="str">
        <f>IF($AG975="","",INDEX(V_WBS,INDEX($AB$8:$AB$1407,$AG975)))</f>
        <v/>
      </c>
      <c r="K975" s="92" t="str">
        <f>IF($AG975="","",INDEX(V_Projdef,INDEX($AB$8:$AB$1407,$AG975)))</f>
        <v/>
      </c>
      <c r="L975" s="92" t="str">
        <f>IF($AG975="","",INDEX(V_Naam,INDEX($AB$8:$AB$1407,$AG975)))</f>
        <v/>
      </c>
      <c r="M975" s="92" t="str">
        <f>IF($AG975="","",INDEX(V_Type,INDEX($AB$8:$AB$1407,$AG975)))</f>
        <v/>
      </c>
      <c r="N975" s="92" t="str">
        <f>IF($AG975="","",INDEX(V_IFRS,INDEX($AB$8:$AB$1407,$AG975)))</f>
        <v/>
      </c>
      <c r="O975" s="92" t="str">
        <f>IF($AG975="","",INDEX($AL$8:$AL$21,INDEX($AC$8:$AC$1407,$AG975)+1))</f>
        <v/>
      </c>
      <c r="P975" s="109" t="str">
        <f>IF($AG975="","",INDEX($AD$8:$AD$1407,$AG975))</f>
        <v/>
      </c>
      <c r="Q975" s="92" t="str">
        <f>IF($AG975="","",INDEX($AM$8:$AM$21,INDEX($AC$8:$AC$1407,$AG975)+1))</f>
        <v/>
      </c>
      <c r="R975" s="92" t="str">
        <f>IF($AG975="","",IF($G975&gt;0,P_ToelCorrectie&amp;"",""))</f>
        <v/>
      </c>
      <c r="S975" s="15" t="str">
        <f>IF(J975="","",J975&amp;"|"&amp;E975&amp;"|"&amp;F975&amp;"|"&amp;I975&amp;"|"&amp;O975)</f>
        <v/>
      </c>
      <c r="T975" s="111" t="str">
        <f>IF(S975="","",IF(COUNTIFS(L_Sleutel,S975,L_Actief,1)=0,"",SUMIFS(L_Waarde,L_Sleutel,S975,L_Actief,1)))</f>
        <v/>
      </c>
      <c r="U975" s="111">
        <f>IF(OR(S975="",T975=""),0,P975-T975)</f>
        <v>0</v>
      </c>
      <c r="AB975" s="112" t="n">
        <v>70</v>
      </c>
      <c r="AC975" s="112" t="n">
        <v>1</v>
      </c>
      <c r="AD975" s="112" t="str">
        <f>VERW_Project!Q75</f>
        <v/>
      </c>
      <c r="AE975" s="112">
        <f>IF(AND(VERW_Project!$A75&lt;&gt;"",ISNUMBER(AD975)),1,0)</f>
        <v>0</v>
      </c>
      <c r="AF975" s="112" t="str">
        <f>IF(AE975=1,SUM($AE$8:AE975),"")</f>
        <v/>
      </c>
      <c r="AG975" t="str">
        <f>IFERROR(MATCH(968,$AF$8:$AF$1407,0),"")</f>
        <v/>
      </c>
    </row>
    <row r="976">
      <c r="A976" s="92" t="str">
        <f>IF($AG976="","",P_ImportID)</f>
        <v/>
      </c>
      <c r="B976" s="92" t="str">
        <f>IF($AG976="","",IF(INDEX($AN$8:$AN$21,INDEX($AC$8:$AC$1407,$AG976)+1)="Z",P_BronZ,P_BronE))</f>
        <v/>
      </c>
      <c r="C976" s="108" t="str">
        <f>IF($AG976="","",P_Importdatum)</f>
        <v/>
      </c>
      <c r="D976" s="92" t="str">
        <f>IF($AG976="","",P_StatusVastleg)</f>
        <v/>
      </c>
      <c r="E976" s="92" t="str">
        <f>IF($AG976="","",P_UploadVJ)</f>
        <v/>
      </c>
      <c r="F976" s="92" t="str">
        <f>IF($AG976="","",P_UploadVersie)</f>
        <v/>
      </c>
      <c r="G976" s="92" t="str">
        <f>IF($AG976="","",IF(COUNTIFS(L_Sleutel,$S976,L_Status,"Vastgesteld")=0,0,_xlfn.MAXIFS(L_Revisie,L_Sleutel,$S976,L_Status,"Vastgesteld")+1))</f>
        <v/>
      </c>
      <c r="H976" s="108" t="str">
        <f>IF($AG976="","",P_Peildatum)</f>
        <v/>
      </c>
      <c r="I976" s="92" t="str">
        <f>IF($AG976="","",P_RJ+INDEX($AK$8:$AK$21,INDEX($AC$8:$AC$1407,$AG976)+1))</f>
        <v/>
      </c>
      <c r="J976" s="92" t="str">
        <f>IF($AG976="","",INDEX(V_WBS,INDEX($AB$8:$AB$1407,$AG976)))</f>
        <v/>
      </c>
      <c r="K976" s="92" t="str">
        <f>IF($AG976="","",INDEX(V_Projdef,INDEX($AB$8:$AB$1407,$AG976)))</f>
        <v/>
      </c>
      <c r="L976" s="92" t="str">
        <f>IF($AG976="","",INDEX(V_Naam,INDEX($AB$8:$AB$1407,$AG976)))</f>
        <v/>
      </c>
      <c r="M976" s="92" t="str">
        <f>IF($AG976="","",INDEX(V_Type,INDEX($AB$8:$AB$1407,$AG976)))</f>
        <v/>
      </c>
      <c r="N976" s="92" t="str">
        <f>IF($AG976="","",INDEX(V_IFRS,INDEX($AB$8:$AB$1407,$AG976)))</f>
        <v/>
      </c>
      <c r="O976" s="92" t="str">
        <f>IF($AG976="","",INDEX($AL$8:$AL$21,INDEX($AC$8:$AC$1407,$AG976)+1))</f>
        <v/>
      </c>
      <c r="P976" s="109" t="str">
        <f>IF($AG976="","",INDEX($AD$8:$AD$1407,$AG976))</f>
        <v/>
      </c>
      <c r="Q976" s="92" t="str">
        <f>IF($AG976="","",INDEX($AM$8:$AM$21,INDEX($AC$8:$AC$1407,$AG976)+1))</f>
        <v/>
      </c>
      <c r="R976" s="92" t="str">
        <f>IF($AG976="","",IF($G976&gt;0,P_ToelCorrectie&amp;"",""))</f>
        <v/>
      </c>
      <c r="S976" s="15" t="str">
        <f>IF(J976="","",J976&amp;"|"&amp;E976&amp;"|"&amp;F976&amp;"|"&amp;I976&amp;"|"&amp;O976)</f>
        <v/>
      </c>
      <c r="T976" s="111" t="str">
        <f>IF(S976="","",IF(COUNTIFS(L_Sleutel,S976,L_Actief,1)=0,"",SUMIFS(L_Waarde,L_Sleutel,S976,L_Actief,1)))</f>
        <v/>
      </c>
      <c r="U976" s="111">
        <f>IF(OR(S976="",T976=""),0,P976-T976)</f>
        <v>0</v>
      </c>
      <c r="AB976" s="112" t="n">
        <v>70</v>
      </c>
      <c r="AC976" s="112" t="n">
        <v>2</v>
      </c>
      <c r="AD976" s="112" t="str">
        <f>VERW_Project!L75</f>
        <v/>
      </c>
      <c r="AE976" s="112">
        <f>IF(AND(VERW_Project!$A75&lt;&gt;"",ISNUMBER(AD976)),1,0)</f>
        <v>0</v>
      </c>
      <c r="AF976" s="112" t="str">
        <f>IF(AE976=1,SUM($AE$8:AE976),"")</f>
        <v/>
      </c>
      <c r="AG976" t="str">
        <f>IFERROR(MATCH(969,$AF$8:$AF$1407,0),"")</f>
        <v/>
      </c>
    </row>
    <row r="977">
      <c r="A977" s="92" t="str">
        <f>IF($AG977="","",P_ImportID)</f>
        <v/>
      </c>
      <c r="B977" s="92" t="str">
        <f>IF($AG977="","",IF(INDEX($AN$8:$AN$21,INDEX($AC$8:$AC$1407,$AG977)+1)="Z",P_BronZ,P_BronE))</f>
        <v/>
      </c>
      <c r="C977" s="108" t="str">
        <f>IF($AG977="","",P_Importdatum)</f>
        <v/>
      </c>
      <c r="D977" s="92" t="str">
        <f>IF($AG977="","",P_StatusVastleg)</f>
        <v/>
      </c>
      <c r="E977" s="92" t="str">
        <f>IF($AG977="","",P_UploadVJ)</f>
        <v/>
      </c>
      <c r="F977" s="92" t="str">
        <f>IF($AG977="","",P_UploadVersie)</f>
        <v/>
      </c>
      <c r="G977" s="92" t="str">
        <f>IF($AG977="","",IF(COUNTIFS(L_Sleutel,$S977,L_Status,"Vastgesteld")=0,0,_xlfn.MAXIFS(L_Revisie,L_Sleutel,$S977,L_Status,"Vastgesteld")+1))</f>
        <v/>
      </c>
      <c r="H977" s="108" t="str">
        <f>IF($AG977="","",P_Peildatum)</f>
        <v/>
      </c>
      <c r="I977" s="92" t="str">
        <f>IF($AG977="","",P_RJ+INDEX($AK$8:$AK$21,INDEX($AC$8:$AC$1407,$AG977)+1))</f>
        <v/>
      </c>
      <c r="J977" s="92" t="str">
        <f>IF($AG977="","",INDEX(V_WBS,INDEX($AB$8:$AB$1407,$AG977)))</f>
        <v/>
      </c>
      <c r="K977" s="92" t="str">
        <f>IF($AG977="","",INDEX(V_Projdef,INDEX($AB$8:$AB$1407,$AG977)))</f>
        <v/>
      </c>
      <c r="L977" s="92" t="str">
        <f>IF($AG977="","",INDEX(V_Naam,INDEX($AB$8:$AB$1407,$AG977)))</f>
        <v/>
      </c>
      <c r="M977" s="92" t="str">
        <f>IF($AG977="","",INDEX(V_Type,INDEX($AB$8:$AB$1407,$AG977)))</f>
        <v/>
      </c>
      <c r="N977" s="92" t="str">
        <f>IF($AG977="","",INDEX(V_IFRS,INDEX($AB$8:$AB$1407,$AG977)))</f>
        <v/>
      </c>
      <c r="O977" s="92" t="str">
        <f>IF($AG977="","",INDEX($AL$8:$AL$21,INDEX($AC$8:$AC$1407,$AG977)+1))</f>
        <v/>
      </c>
      <c r="P977" s="109" t="str">
        <f>IF($AG977="","",INDEX($AD$8:$AD$1407,$AG977))</f>
        <v/>
      </c>
      <c r="Q977" s="92" t="str">
        <f>IF($AG977="","",INDEX($AM$8:$AM$21,INDEX($AC$8:$AC$1407,$AG977)+1))</f>
        <v/>
      </c>
      <c r="R977" s="92" t="str">
        <f>IF($AG977="","",IF($G977&gt;0,P_ToelCorrectie&amp;"",""))</f>
        <v/>
      </c>
      <c r="S977" s="15" t="str">
        <f>IF(J977="","",J977&amp;"|"&amp;E977&amp;"|"&amp;F977&amp;"|"&amp;I977&amp;"|"&amp;O977)</f>
        <v/>
      </c>
      <c r="T977" s="111" t="str">
        <f>IF(S977="","",IF(COUNTIFS(L_Sleutel,S977,L_Actief,1)=0,"",SUMIFS(L_Waarde,L_Sleutel,S977,L_Actief,1)))</f>
        <v/>
      </c>
      <c r="U977" s="111">
        <f>IF(OR(S977="",T977=""),0,P977-T977)</f>
        <v>0</v>
      </c>
      <c r="AB977" s="112" t="n">
        <v>70</v>
      </c>
      <c r="AC977" s="112" t="n">
        <v>3</v>
      </c>
      <c r="AD977" s="112" t="str">
        <f>VERW_Project!M75</f>
        <v/>
      </c>
      <c r="AE977" s="112">
        <f>IF(AND(VERW_Project!$A75&lt;&gt;"",ISNUMBER(AD977)),1,0)</f>
        <v>0</v>
      </c>
      <c r="AF977" s="112" t="str">
        <f>IF(AE977=1,SUM($AE$8:AE977),"")</f>
        <v/>
      </c>
      <c r="AG977" t="str">
        <f>IFERROR(MATCH(970,$AF$8:$AF$1407,0),"")</f>
        <v/>
      </c>
    </row>
    <row r="978">
      <c r="A978" s="92" t="str">
        <f>IF($AG978="","",P_ImportID)</f>
        <v/>
      </c>
      <c r="B978" s="92" t="str">
        <f>IF($AG978="","",IF(INDEX($AN$8:$AN$21,INDEX($AC$8:$AC$1407,$AG978)+1)="Z",P_BronZ,P_BronE))</f>
        <v/>
      </c>
      <c r="C978" s="108" t="str">
        <f>IF($AG978="","",P_Importdatum)</f>
        <v/>
      </c>
      <c r="D978" s="92" t="str">
        <f>IF($AG978="","",P_StatusVastleg)</f>
        <v/>
      </c>
      <c r="E978" s="92" t="str">
        <f>IF($AG978="","",P_UploadVJ)</f>
        <v/>
      </c>
      <c r="F978" s="92" t="str">
        <f>IF($AG978="","",P_UploadVersie)</f>
        <v/>
      </c>
      <c r="G978" s="92" t="str">
        <f>IF($AG978="","",IF(COUNTIFS(L_Sleutel,$S978,L_Status,"Vastgesteld")=0,0,_xlfn.MAXIFS(L_Revisie,L_Sleutel,$S978,L_Status,"Vastgesteld")+1))</f>
        <v/>
      </c>
      <c r="H978" s="108" t="str">
        <f>IF($AG978="","",P_Peildatum)</f>
        <v/>
      </c>
      <c r="I978" s="92" t="str">
        <f>IF($AG978="","",P_RJ+INDEX($AK$8:$AK$21,INDEX($AC$8:$AC$1407,$AG978)+1))</f>
        <v/>
      </c>
      <c r="J978" s="92" t="str">
        <f>IF($AG978="","",INDEX(V_WBS,INDEX($AB$8:$AB$1407,$AG978)))</f>
        <v/>
      </c>
      <c r="K978" s="92" t="str">
        <f>IF($AG978="","",INDEX(V_Projdef,INDEX($AB$8:$AB$1407,$AG978)))</f>
        <v/>
      </c>
      <c r="L978" s="92" t="str">
        <f>IF($AG978="","",INDEX(V_Naam,INDEX($AB$8:$AB$1407,$AG978)))</f>
        <v/>
      </c>
      <c r="M978" s="92" t="str">
        <f>IF($AG978="","",INDEX(V_Type,INDEX($AB$8:$AB$1407,$AG978)))</f>
        <v/>
      </c>
      <c r="N978" s="92" t="str">
        <f>IF($AG978="","",INDEX(V_IFRS,INDEX($AB$8:$AB$1407,$AG978)))</f>
        <v/>
      </c>
      <c r="O978" s="92" t="str">
        <f>IF($AG978="","",INDEX($AL$8:$AL$21,INDEX($AC$8:$AC$1407,$AG978)+1))</f>
        <v/>
      </c>
      <c r="P978" s="109" t="str">
        <f>IF($AG978="","",INDEX($AD$8:$AD$1407,$AG978))</f>
        <v/>
      </c>
      <c r="Q978" s="92" t="str">
        <f>IF($AG978="","",INDEX($AM$8:$AM$21,INDEX($AC$8:$AC$1407,$AG978)+1))</f>
        <v/>
      </c>
      <c r="R978" s="92" t="str">
        <f>IF($AG978="","",IF($G978&gt;0,P_ToelCorrectie&amp;"",""))</f>
        <v/>
      </c>
      <c r="S978" s="15" t="str">
        <f>IF(J978="","",J978&amp;"|"&amp;E978&amp;"|"&amp;F978&amp;"|"&amp;I978&amp;"|"&amp;O978)</f>
        <v/>
      </c>
      <c r="T978" s="111" t="str">
        <f>IF(S978="","",IF(COUNTIFS(L_Sleutel,S978,L_Actief,1)=0,"",SUMIFS(L_Waarde,L_Sleutel,S978,L_Actief,1)))</f>
        <v/>
      </c>
      <c r="U978" s="111">
        <f>IF(OR(S978="",T978=""),0,P978-T978)</f>
        <v>0</v>
      </c>
      <c r="AB978" s="112" t="n">
        <v>70</v>
      </c>
      <c r="AC978" s="112" t="n">
        <v>4</v>
      </c>
      <c r="AD978" s="112" t="str">
        <f>VERW_Project!R75</f>
        <v/>
      </c>
      <c r="AE978" s="112">
        <f>IF(AND(VERW_Project!$A75&lt;&gt;"",ISNUMBER(AD978)),1,0)</f>
        <v>0</v>
      </c>
      <c r="AF978" s="112" t="str">
        <f>IF(AE978=1,SUM($AE$8:AE978),"")</f>
        <v/>
      </c>
      <c r="AG978" t="str">
        <f>IFERROR(MATCH(971,$AF$8:$AF$1407,0),"")</f>
        <v/>
      </c>
    </row>
    <row r="979">
      <c r="A979" s="92" t="str">
        <f>IF($AG979="","",P_ImportID)</f>
        <v/>
      </c>
      <c r="B979" s="92" t="str">
        <f>IF($AG979="","",IF(INDEX($AN$8:$AN$21,INDEX($AC$8:$AC$1407,$AG979)+1)="Z",P_BronZ,P_BronE))</f>
        <v/>
      </c>
      <c r="C979" s="108" t="str">
        <f>IF($AG979="","",P_Importdatum)</f>
        <v/>
      </c>
      <c r="D979" s="92" t="str">
        <f>IF($AG979="","",P_StatusVastleg)</f>
        <v/>
      </c>
      <c r="E979" s="92" t="str">
        <f>IF($AG979="","",P_UploadVJ)</f>
        <v/>
      </c>
      <c r="F979" s="92" t="str">
        <f>IF($AG979="","",P_UploadVersie)</f>
        <v/>
      </c>
      <c r="G979" s="92" t="str">
        <f>IF($AG979="","",IF(COUNTIFS(L_Sleutel,$S979,L_Status,"Vastgesteld")=0,0,_xlfn.MAXIFS(L_Revisie,L_Sleutel,$S979,L_Status,"Vastgesteld")+1))</f>
        <v/>
      </c>
      <c r="H979" s="108" t="str">
        <f>IF($AG979="","",P_Peildatum)</f>
        <v/>
      </c>
      <c r="I979" s="92" t="str">
        <f>IF($AG979="","",P_RJ+INDEX($AK$8:$AK$21,INDEX($AC$8:$AC$1407,$AG979)+1))</f>
        <v/>
      </c>
      <c r="J979" s="92" t="str">
        <f>IF($AG979="","",INDEX(V_WBS,INDEX($AB$8:$AB$1407,$AG979)))</f>
        <v/>
      </c>
      <c r="K979" s="92" t="str">
        <f>IF($AG979="","",INDEX(V_Projdef,INDEX($AB$8:$AB$1407,$AG979)))</f>
        <v/>
      </c>
      <c r="L979" s="92" t="str">
        <f>IF($AG979="","",INDEX(V_Naam,INDEX($AB$8:$AB$1407,$AG979)))</f>
        <v/>
      </c>
      <c r="M979" s="92" t="str">
        <f>IF($AG979="","",INDEX(V_Type,INDEX($AB$8:$AB$1407,$AG979)))</f>
        <v/>
      </c>
      <c r="N979" s="92" t="str">
        <f>IF($AG979="","",INDEX(V_IFRS,INDEX($AB$8:$AB$1407,$AG979)))</f>
        <v/>
      </c>
      <c r="O979" s="92" t="str">
        <f>IF($AG979="","",INDEX($AL$8:$AL$21,INDEX($AC$8:$AC$1407,$AG979)+1))</f>
        <v/>
      </c>
      <c r="P979" s="109" t="str">
        <f>IF($AG979="","",INDEX($AD$8:$AD$1407,$AG979))</f>
        <v/>
      </c>
      <c r="Q979" s="92" t="str">
        <f>IF($AG979="","",INDEX($AM$8:$AM$21,INDEX($AC$8:$AC$1407,$AG979)+1))</f>
        <v/>
      </c>
      <c r="R979" s="92" t="str">
        <f>IF($AG979="","",IF($G979&gt;0,P_ToelCorrectie&amp;"",""))</f>
        <v/>
      </c>
      <c r="S979" s="15" t="str">
        <f>IF(J979="","",J979&amp;"|"&amp;E979&amp;"|"&amp;F979&amp;"|"&amp;I979&amp;"|"&amp;O979)</f>
        <v/>
      </c>
      <c r="T979" s="111" t="str">
        <f>IF(S979="","",IF(COUNTIFS(L_Sleutel,S979,L_Actief,1)=0,"",SUMIFS(L_Waarde,L_Sleutel,S979,L_Actief,1)))</f>
        <v/>
      </c>
      <c r="U979" s="111">
        <f>IF(OR(S979="",T979=""),0,P979-T979)</f>
        <v>0</v>
      </c>
      <c r="AB979" s="112" t="n">
        <v>70</v>
      </c>
      <c r="AC979" s="112" t="n">
        <v>5</v>
      </c>
      <c r="AD979" s="112" t="str">
        <f>VERW_Project!S75</f>
        <v/>
      </c>
      <c r="AE979" s="112">
        <f>IF(AND(VERW_Project!$A75&lt;&gt;"",ISNUMBER(AD979)),1,0)</f>
        <v>0</v>
      </c>
      <c r="AF979" s="112" t="str">
        <f>IF(AE979=1,SUM($AE$8:AE979),"")</f>
        <v/>
      </c>
      <c r="AG979" t="str">
        <f>IFERROR(MATCH(972,$AF$8:$AF$1407,0),"")</f>
        <v/>
      </c>
    </row>
    <row r="980">
      <c r="A980" s="92" t="str">
        <f>IF($AG980="","",P_ImportID)</f>
        <v/>
      </c>
      <c r="B980" s="92" t="str">
        <f>IF($AG980="","",IF(INDEX($AN$8:$AN$21,INDEX($AC$8:$AC$1407,$AG980)+1)="Z",P_BronZ,P_BronE))</f>
        <v/>
      </c>
      <c r="C980" s="108" t="str">
        <f>IF($AG980="","",P_Importdatum)</f>
        <v/>
      </c>
      <c r="D980" s="92" t="str">
        <f>IF($AG980="","",P_StatusVastleg)</f>
        <v/>
      </c>
      <c r="E980" s="92" t="str">
        <f>IF($AG980="","",P_UploadVJ)</f>
        <v/>
      </c>
      <c r="F980" s="92" t="str">
        <f>IF($AG980="","",P_UploadVersie)</f>
        <v/>
      </c>
      <c r="G980" s="92" t="str">
        <f>IF($AG980="","",IF(COUNTIFS(L_Sleutel,$S980,L_Status,"Vastgesteld")=0,0,_xlfn.MAXIFS(L_Revisie,L_Sleutel,$S980,L_Status,"Vastgesteld")+1))</f>
        <v/>
      </c>
      <c r="H980" s="108" t="str">
        <f>IF($AG980="","",P_Peildatum)</f>
        <v/>
      </c>
      <c r="I980" s="92" t="str">
        <f>IF($AG980="","",P_RJ+INDEX($AK$8:$AK$21,INDEX($AC$8:$AC$1407,$AG980)+1))</f>
        <v/>
      </c>
      <c r="J980" s="92" t="str">
        <f>IF($AG980="","",INDEX(V_WBS,INDEX($AB$8:$AB$1407,$AG980)))</f>
        <v/>
      </c>
      <c r="K980" s="92" t="str">
        <f>IF($AG980="","",INDEX(V_Projdef,INDEX($AB$8:$AB$1407,$AG980)))</f>
        <v/>
      </c>
      <c r="L980" s="92" t="str">
        <f>IF($AG980="","",INDEX(V_Naam,INDEX($AB$8:$AB$1407,$AG980)))</f>
        <v/>
      </c>
      <c r="M980" s="92" t="str">
        <f>IF($AG980="","",INDEX(V_Type,INDEX($AB$8:$AB$1407,$AG980)))</f>
        <v/>
      </c>
      <c r="N980" s="92" t="str">
        <f>IF($AG980="","",INDEX(V_IFRS,INDEX($AB$8:$AB$1407,$AG980)))</f>
        <v/>
      </c>
      <c r="O980" s="92" t="str">
        <f>IF($AG980="","",INDEX($AL$8:$AL$21,INDEX($AC$8:$AC$1407,$AG980)+1))</f>
        <v/>
      </c>
      <c r="P980" s="109" t="str">
        <f>IF($AG980="","",INDEX($AD$8:$AD$1407,$AG980))</f>
        <v/>
      </c>
      <c r="Q980" s="92" t="str">
        <f>IF($AG980="","",INDEX($AM$8:$AM$21,INDEX($AC$8:$AC$1407,$AG980)+1))</f>
        <v/>
      </c>
      <c r="R980" s="92" t="str">
        <f>IF($AG980="","",IF($G980&gt;0,P_ToelCorrectie&amp;"",""))</f>
        <v/>
      </c>
      <c r="S980" s="15" t="str">
        <f>IF(J980="","",J980&amp;"|"&amp;E980&amp;"|"&amp;F980&amp;"|"&amp;I980&amp;"|"&amp;O980)</f>
        <v/>
      </c>
      <c r="T980" s="111" t="str">
        <f>IF(S980="","",IF(COUNTIFS(L_Sleutel,S980,L_Actief,1)=0,"",SUMIFS(L_Waarde,L_Sleutel,S980,L_Actief,1)))</f>
        <v/>
      </c>
      <c r="U980" s="111">
        <f>IF(OR(S980="",T980=""),0,P980-T980)</f>
        <v>0</v>
      </c>
      <c r="AB980" s="112" t="n">
        <v>70</v>
      </c>
      <c r="AC980" s="112" t="n">
        <v>6</v>
      </c>
      <c r="AD980" s="112" t="str">
        <f>VERW_Project!BW75</f>
        <v/>
      </c>
      <c r="AE980" s="112">
        <f>IF(AND(VERW_Project!$A75&lt;&gt;"",ISNUMBER(AD980)),1,0)</f>
        <v>0</v>
      </c>
      <c r="AF980" s="112" t="str">
        <f>IF(AE980=1,SUM($AE$8:AE980),"")</f>
        <v/>
      </c>
      <c r="AG980" t="str">
        <f>IFERROR(MATCH(973,$AF$8:$AF$1407,0),"")</f>
        <v/>
      </c>
    </row>
    <row r="981">
      <c r="A981" s="92" t="str">
        <f>IF($AG981="","",P_ImportID)</f>
        <v/>
      </c>
      <c r="B981" s="92" t="str">
        <f>IF($AG981="","",IF(INDEX($AN$8:$AN$21,INDEX($AC$8:$AC$1407,$AG981)+1)="Z",P_BronZ,P_BronE))</f>
        <v/>
      </c>
      <c r="C981" s="108" t="str">
        <f>IF($AG981="","",P_Importdatum)</f>
        <v/>
      </c>
      <c r="D981" s="92" t="str">
        <f>IF($AG981="","",P_StatusVastleg)</f>
        <v/>
      </c>
      <c r="E981" s="92" t="str">
        <f>IF($AG981="","",P_UploadVJ)</f>
        <v/>
      </c>
      <c r="F981" s="92" t="str">
        <f>IF($AG981="","",P_UploadVersie)</f>
        <v/>
      </c>
      <c r="G981" s="92" t="str">
        <f>IF($AG981="","",IF(COUNTIFS(L_Sleutel,$S981,L_Status,"Vastgesteld")=0,0,_xlfn.MAXIFS(L_Revisie,L_Sleutel,$S981,L_Status,"Vastgesteld")+1))</f>
        <v/>
      </c>
      <c r="H981" s="108" t="str">
        <f>IF($AG981="","",P_Peildatum)</f>
        <v/>
      </c>
      <c r="I981" s="92" t="str">
        <f>IF($AG981="","",P_RJ+INDEX($AK$8:$AK$21,INDEX($AC$8:$AC$1407,$AG981)+1))</f>
        <v/>
      </c>
      <c r="J981" s="92" t="str">
        <f>IF($AG981="","",INDEX(V_WBS,INDEX($AB$8:$AB$1407,$AG981)))</f>
        <v/>
      </c>
      <c r="K981" s="92" t="str">
        <f>IF($AG981="","",INDEX(V_Projdef,INDEX($AB$8:$AB$1407,$AG981)))</f>
        <v/>
      </c>
      <c r="L981" s="92" t="str">
        <f>IF($AG981="","",INDEX(V_Naam,INDEX($AB$8:$AB$1407,$AG981)))</f>
        <v/>
      </c>
      <c r="M981" s="92" t="str">
        <f>IF($AG981="","",INDEX(V_Type,INDEX($AB$8:$AB$1407,$AG981)))</f>
        <v/>
      </c>
      <c r="N981" s="92" t="str">
        <f>IF($AG981="","",INDEX(V_IFRS,INDEX($AB$8:$AB$1407,$AG981)))</f>
        <v/>
      </c>
      <c r="O981" s="92" t="str">
        <f>IF($AG981="","",INDEX($AL$8:$AL$21,INDEX($AC$8:$AC$1407,$AG981)+1))</f>
        <v/>
      </c>
      <c r="P981" s="109" t="str">
        <f>IF($AG981="","",INDEX($AD$8:$AD$1407,$AG981))</f>
        <v/>
      </c>
      <c r="Q981" s="92" t="str">
        <f>IF($AG981="","",INDEX($AM$8:$AM$21,INDEX($AC$8:$AC$1407,$AG981)+1))</f>
        <v/>
      </c>
      <c r="R981" s="92" t="str">
        <f>IF($AG981="","",IF($G981&gt;0,P_ToelCorrectie&amp;"",""))</f>
        <v/>
      </c>
      <c r="S981" s="15" t="str">
        <f>IF(J981="","",J981&amp;"|"&amp;E981&amp;"|"&amp;F981&amp;"|"&amp;I981&amp;"|"&amp;O981)</f>
        <v/>
      </c>
      <c r="T981" s="111" t="str">
        <f>IF(S981="","",IF(COUNTIFS(L_Sleutel,S981,L_Actief,1)=0,"",SUMIFS(L_Waarde,L_Sleutel,S981,L_Actief,1)))</f>
        <v/>
      </c>
      <c r="U981" s="111">
        <f>IF(OR(S981="",T981=""),0,P981-T981)</f>
        <v>0</v>
      </c>
      <c r="AB981" s="112" t="n">
        <v>70</v>
      </c>
      <c r="AC981" s="112" t="n">
        <v>7</v>
      </c>
      <c r="AD981" s="112" t="str">
        <f>VERW_Project!AW75</f>
        <v/>
      </c>
      <c r="AE981" s="112">
        <f>IF(AND(VERW_Project!$A75&lt;&gt;"",ISNUMBER(AD981)),1,0)</f>
        <v>0</v>
      </c>
      <c r="AF981" s="112" t="str">
        <f>IF(AE981=1,SUM($AE$8:AE981),"")</f>
        <v/>
      </c>
      <c r="AG981" t="str">
        <f>IFERROR(MATCH(974,$AF$8:$AF$1407,0),"")</f>
        <v/>
      </c>
    </row>
    <row r="982">
      <c r="A982" s="92" t="str">
        <f>IF($AG982="","",P_ImportID)</f>
        <v/>
      </c>
      <c r="B982" s="92" t="str">
        <f>IF($AG982="","",IF(INDEX($AN$8:$AN$21,INDEX($AC$8:$AC$1407,$AG982)+1)="Z",P_BronZ,P_BronE))</f>
        <v/>
      </c>
      <c r="C982" s="108" t="str">
        <f>IF($AG982="","",P_Importdatum)</f>
        <v/>
      </c>
      <c r="D982" s="92" t="str">
        <f>IF($AG982="","",P_StatusVastleg)</f>
        <v/>
      </c>
      <c r="E982" s="92" t="str">
        <f>IF($AG982="","",P_UploadVJ)</f>
        <v/>
      </c>
      <c r="F982" s="92" t="str">
        <f>IF($AG982="","",P_UploadVersie)</f>
        <v/>
      </c>
      <c r="G982" s="92" t="str">
        <f>IF($AG982="","",IF(COUNTIFS(L_Sleutel,$S982,L_Status,"Vastgesteld")=0,0,_xlfn.MAXIFS(L_Revisie,L_Sleutel,$S982,L_Status,"Vastgesteld")+1))</f>
        <v/>
      </c>
      <c r="H982" s="108" t="str">
        <f>IF($AG982="","",P_Peildatum)</f>
        <v/>
      </c>
      <c r="I982" s="92" t="str">
        <f>IF($AG982="","",P_RJ+INDEX($AK$8:$AK$21,INDEX($AC$8:$AC$1407,$AG982)+1))</f>
        <v/>
      </c>
      <c r="J982" s="92" t="str">
        <f>IF($AG982="","",INDEX(V_WBS,INDEX($AB$8:$AB$1407,$AG982)))</f>
        <v/>
      </c>
      <c r="K982" s="92" t="str">
        <f>IF($AG982="","",INDEX(V_Projdef,INDEX($AB$8:$AB$1407,$AG982)))</f>
        <v/>
      </c>
      <c r="L982" s="92" t="str">
        <f>IF($AG982="","",INDEX(V_Naam,INDEX($AB$8:$AB$1407,$AG982)))</f>
        <v/>
      </c>
      <c r="M982" s="92" t="str">
        <f>IF($AG982="","",INDEX(V_Type,INDEX($AB$8:$AB$1407,$AG982)))</f>
        <v/>
      </c>
      <c r="N982" s="92" t="str">
        <f>IF($AG982="","",INDEX(V_IFRS,INDEX($AB$8:$AB$1407,$AG982)))</f>
        <v/>
      </c>
      <c r="O982" s="92" t="str">
        <f>IF($AG982="","",INDEX($AL$8:$AL$21,INDEX($AC$8:$AC$1407,$AG982)+1))</f>
        <v/>
      </c>
      <c r="P982" s="109" t="str">
        <f>IF($AG982="","",INDEX($AD$8:$AD$1407,$AG982))</f>
        <v/>
      </c>
      <c r="Q982" s="92" t="str">
        <f>IF($AG982="","",INDEX($AM$8:$AM$21,INDEX($AC$8:$AC$1407,$AG982)+1))</f>
        <v/>
      </c>
      <c r="R982" s="92" t="str">
        <f>IF($AG982="","",IF($G982&gt;0,P_ToelCorrectie&amp;"",""))</f>
        <v/>
      </c>
      <c r="S982" s="15" t="str">
        <f>IF(J982="","",J982&amp;"|"&amp;E982&amp;"|"&amp;F982&amp;"|"&amp;I982&amp;"|"&amp;O982)</f>
        <v/>
      </c>
      <c r="T982" s="111" t="str">
        <f>IF(S982="","",IF(COUNTIFS(L_Sleutel,S982,L_Actief,1)=0,"",SUMIFS(L_Waarde,L_Sleutel,S982,L_Actief,1)))</f>
        <v/>
      </c>
      <c r="U982" s="111">
        <f>IF(OR(S982="",T982=""),0,P982-T982)</f>
        <v>0</v>
      </c>
      <c r="AB982" s="112" t="n">
        <v>70</v>
      </c>
      <c r="AC982" s="112" t="n">
        <v>8</v>
      </c>
      <c r="AD982" s="112" t="str">
        <f>VERW_Project!BQ75</f>
        <v/>
      </c>
      <c r="AE982" s="112">
        <f>IF(AND(VERW_Project!$A75&lt;&gt;"",ISNUMBER(AD982)),1,0)</f>
        <v>0</v>
      </c>
      <c r="AF982" s="112" t="str">
        <f>IF(AE982=1,SUM($AE$8:AE982),"")</f>
        <v/>
      </c>
      <c r="AG982" t="str">
        <f>IFERROR(MATCH(975,$AF$8:$AF$1407,0),"")</f>
        <v/>
      </c>
    </row>
    <row r="983">
      <c r="A983" s="92" t="str">
        <f>IF($AG983="","",P_ImportID)</f>
        <v/>
      </c>
      <c r="B983" s="92" t="str">
        <f>IF($AG983="","",IF(INDEX($AN$8:$AN$21,INDEX($AC$8:$AC$1407,$AG983)+1)="Z",P_BronZ,P_BronE))</f>
        <v/>
      </c>
      <c r="C983" s="108" t="str">
        <f>IF($AG983="","",P_Importdatum)</f>
        <v/>
      </c>
      <c r="D983" s="92" t="str">
        <f>IF($AG983="","",P_StatusVastleg)</f>
        <v/>
      </c>
      <c r="E983" s="92" t="str">
        <f>IF($AG983="","",P_UploadVJ)</f>
        <v/>
      </c>
      <c r="F983" s="92" t="str">
        <f>IF($AG983="","",P_UploadVersie)</f>
        <v/>
      </c>
      <c r="G983" s="92" t="str">
        <f>IF($AG983="","",IF(COUNTIFS(L_Sleutel,$S983,L_Status,"Vastgesteld")=0,0,_xlfn.MAXIFS(L_Revisie,L_Sleutel,$S983,L_Status,"Vastgesteld")+1))</f>
        <v/>
      </c>
      <c r="H983" s="108" t="str">
        <f>IF($AG983="","",P_Peildatum)</f>
        <v/>
      </c>
      <c r="I983" s="92" t="str">
        <f>IF($AG983="","",P_RJ+INDEX($AK$8:$AK$21,INDEX($AC$8:$AC$1407,$AG983)+1))</f>
        <v/>
      </c>
      <c r="J983" s="92" t="str">
        <f>IF($AG983="","",INDEX(V_WBS,INDEX($AB$8:$AB$1407,$AG983)))</f>
        <v/>
      </c>
      <c r="K983" s="92" t="str">
        <f>IF($AG983="","",INDEX(V_Projdef,INDEX($AB$8:$AB$1407,$AG983)))</f>
        <v/>
      </c>
      <c r="L983" s="92" t="str">
        <f>IF($AG983="","",INDEX(V_Naam,INDEX($AB$8:$AB$1407,$AG983)))</f>
        <v/>
      </c>
      <c r="M983" s="92" t="str">
        <f>IF($AG983="","",INDEX(V_Type,INDEX($AB$8:$AB$1407,$AG983)))</f>
        <v/>
      </c>
      <c r="N983" s="92" t="str">
        <f>IF($AG983="","",INDEX(V_IFRS,INDEX($AB$8:$AB$1407,$AG983)))</f>
        <v/>
      </c>
      <c r="O983" s="92" t="str">
        <f>IF($AG983="","",INDEX($AL$8:$AL$21,INDEX($AC$8:$AC$1407,$AG983)+1))</f>
        <v/>
      </c>
      <c r="P983" s="109" t="str">
        <f>IF($AG983="","",INDEX($AD$8:$AD$1407,$AG983))</f>
        <v/>
      </c>
      <c r="Q983" s="92" t="str">
        <f>IF($AG983="","",INDEX($AM$8:$AM$21,INDEX($AC$8:$AC$1407,$AG983)+1))</f>
        <v/>
      </c>
      <c r="R983" s="92" t="str">
        <f>IF($AG983="","",IF($G983&gt;0,P_ToelCorrectie&amp;"",""))</f>
        <v/>
      </c>
      <c r="S983" s="15" t="str">
        <f>IF(J983="","",J983&amp;"|"&amp;E983&amp;"|"&amp;F983&amp;"|"&amp;I983&amp;"|"&amp;O983)</f>
        <v/>
      </c>
      <c r="T983" s="111" t="str">
        <f>IF(S983="","",IF(COUNTIFS(L_Sleutel,S983,L_Actief,1)=0,"",SUMIFS(L_Waarde,L_Sleutel,S983,L_Actief,1)))</f>
        <v/>
      </c>
      <c r="U983" s="111">
        <f>IF(OR(S983="",T983=""),0,P983-T983)</f>
        <v>0</v>
      </c>
      <c r="AB983" s="112" t="n">
        <v>70</v>
      </c>
      <c r="AC983" s="112" t="n">
        <v>9</v>
      </c>
      <c r="AD983" s="112" t="str">
        <f>VERW_Project!BR75</f>
        <v/>
      </c>
      <c r="AE983" s="112">
        <f>IF(AND(VERW_Project!$A75&lt;&gt;"",ISNUMBER(AD983)),1,0)</f>
        <v>0</v>
      </c>
      <c r="AF983" s="112" t="str">
        <f>IF(AE983=1,SUM($AE$8:AE983),"")</f>
        <v/>
      </c>
      <c r="AG983" t="str">
        <f>IFERROR(MATCH(976,$AF$8:$AF$1407,0),"")</f>
        <v/>
      </c>
    </row>
    <row r="984">
      <c r="A984" s="92" t="str">
        <f>IF($AG984="","",P_ImportID)</f>
        <v/>
      </c>
      <c r="B984" s="92" t="str">
        <f>IF($AG984="","",IF(INDEX($AN$8:$AN$21,INDEX($AC$8:$AC$1407,$AG984)+1)="Z",P_BronZ,P_BronE))</f>
        <v/>
      </c>
      <c r="C984" s="108" t="str">
        <f>IF($AG984="","",P_Importdatum)</f>
        <v/>
      </c>
      <c r="D984" s="92" t="str">
        <f>IF($AG984="","",P_StatusVastleg)</f>
        <v/>
      </c>
      <c r="E984" s="92" t="str">
        <f>IF($AG984="","",P_UploadVJ)</f>
        <v/>
      </c>
      <c r="F984" s="92" t="str">
        <f>IF($AG984="","",P_UploadVersie)</f>
        <v/>
      </c>
      <c r="G984" s="92" t="str">
        <f>IF($AG984="","",IF(COUNTIFS(L_Sleutel,$S984,L_Status,"Vastgesteld")=0,0,_xlfn.MAXIFS(L_Revisie,L_Sleutel,$S984,L_Status,"Vastgesteld")+1))</f>
        <v/>
      </c>
      <c r="H984" s="108" t="str">
        <f>IF($AG984="","",P_Peildatum)</f>
        <v/>
      </c>
      <c r="I984" s="92" t="str">
        <f>IF($AG984="","",P_RJ+INDEX($AK$8:$AK$21,INDEX($AC$8:$AC$1407,$AG984)+1))</f>
        <v/>
      </c>
      <c r="J984" s="92" t="str">
        <f>IF($AG984="","",INDEX(V_WBS,INDEX($AB$8:$AB$1407,$AG984)))</f>
        <v/>
      </c>
      <c r="K984" s="92" t="str">
        <f>IF($AG984="","",INDEX(V_Projdef,INDEX($AB$8:$AB$1407,$AG984)))</f>
        <v/>
      </c>
      <c r="L984" s="92" t="str">
        <f>IF($AG984="","",INDEX(V_Naam,INDEX($AB$8:$AB$1407,$AG984)))</f>
        <v/>
      </c>
      <c r="M984" s="92" t="str">
        <f>IF($AG984="","",INDEX(V_Type,INDEX($AB$8:$AB$1407,$AG984)))</f>
        <v/>
      </c>
      <c r="N984" s="92" t="str">
        <f>IF($AG984="","",INDEX(V_IFRS,INDEX($AB$8:$AB$1407,$AG984)))</f>
        <v/>
      </c>
      <c r="O984" s="92" t="str">
        <f>IF($AG984="","",INDEX($AL$8:$AL$21,INDEX($AC$8:$AC$1407,$AG984)+1))</f>
        <v/>
      </c>
      <c r="P984" s="109" t="str">
        <f>IF($AG984="","",INDEX($AD$8:$AD$1407,$AG984))</f>
        <v/>
      </c>
      <c r="Q984" s="92" t="str">
        <f>IF($AG984="","",INDEX($AM$8:$AM$21,INDEX($AC$8:$AC$1407,$AG984)+1))</f>
        <v/>
      </c>
      <c r="R984" s="92" t="str">
        <f>IF($AG984="","",IF($G984&gt;0,P_ToelCorrectie&amp;"",""))</f>
        <v/>
      </c>
      <c r="S984" s="15" t="str">
        <f>IF(J984="","",J984&amp;"|"&amp;E984&amp;"|"&amp;F984&amp;"|"&amp;I984&amp;"|"&amp;O984)</f>
        <v/>
      </c>
      <c r="T984" s="111" t="str">
        <f>IF(S984="","",IF(COUNTIFS(L_Sleutel,S984,L_Actief,1)=0,"",SUMIFS(L_Waarde,L_Sleutel,S984,L_Actief,1)))</f>
        <v/>
      </c>
      <c r="U984" s="111">
        <f>IF(OR(S984="",T984=""),0,P984-T984)</f>
        <v>0</v>
      </c>
      <c r="AB984" s="112" t="n">
        <v>70</v>
      </c>
      <c r="AC984" s="112" t="n">
        <v>10</v>
      </c>
      <c r="AD984" s="112" t="str">
        <f>VERW_Project!BS75</f>
        <v/>
      </c>
      <c r="AE984" s="112">
        <f>IF(AND(VERW_Project!$A75&lt;&gt;"",ISNUMBER(AD984)),1,0)</f>
        <v>0</v>
      </c>
      <c r="AF984" s="112" t="str">
        <f>IF(AE984=1,SUM($AE$8:AE984),"")</f>
        <v/>
      </c>
      <c r="AG984" t="str">
        <f>IFERROR(MATCH(977,$AF$8:$AF$1407,0),"")</f>
        <v/>
      </c>
    </row>
    <row r="985">
      <c r="A985" s="92" t="str">
        <f>IF($AG985="","",P_ImportID)</f>
        <v/>
      </c>
      <c r="B985" s="92" t="str">
        <f>IF($AG985="","",IF(INDEX($AN$8:$AN$21,INDEX($AC$8:$AC$1407,$AG985)+1)="Z",P_BronZ,P_BronE))</f>
        <v/>
      </c>
      <c r="C985" s="108" t="str">
        <f>IF($AG985="","",P_Importdatum)</f>
        <v/>
      </c>
      <c r="D985" s="92" t="str">
        <f>IF($AG985="","",P_StatusVastleg)</f>
        <v/>
      </c>
      <c r="E985" s="92" t="str">
        <f>IF($AG985="","",P_UploadVJ)</f>
        <v/>
      </c>
      <c r="F985" s="92" t="str">
        <f>IF($AG985="","",P_UploadVersie)</f>
        <v/>
      </c>
      <c r="G985" s="92" t="str">
        <f>IF($AG985="","",IF(COUNTIFS(L_Sleutel,$S985,L_Status,"Vastgesteld")=0,0,_xlfn.MAXIFS(L_Revisie,L_Sleutel,$S985,L_Status,"Vastgesteld")+1))</f>
        <v/>
      </c>
      <c r="H985" s="108" t="str">
        <f>IF($AG985="","",P_Peildatum)</f>
        <v/>
      </c>
      <c r="I985" s="92" t="str">
        <f>IF($AG985="","",P_RJ+INDEX($AK$8:$AK$21,INDEX($AC$8:$AC$1407,$AG985)+1))</f>
        <v/>
      </c>
      <c r="J985" s="92" t="str">
        <f>IF($AG985="","",INDEX(V_WBS,INDEX($AB$8:$AB$1407,$AG985)))</f>
        <v/>
      </c>
      <c r="K985" s="92" t="str">
        <f>IF($AG985="","",INDEX(V_Projdef,INDEX($AB$8:$AB$1407,$AG985)))</f>
        <v/>
      </c>
      <c r="L985" s="92" t="str">
        <f>IF($AG985="","",INDEX(V_Naam,INDEX($AB$8:$AB$1407,$AG985)))</f>
        <v/>
      </c>
      <c r="M985" s="92" t="str">
        <f>IF($AG985="","",INDEX(V_Type,INDEX($AB$8:$AB$1407,$AG985)))</f>
        <v/>
      </c>
      <c r="N985" s="92" t="str">
        <f>IF($AG985="","",INDEX(V_IFRS,INDEX($AB$8:$AB$1407,$AG985)))</f>
        <v/>
      </c>
      <c r="O985" s="92" t="str">
        <f>IF($AG985="","",INDEX($AL$8:$AL$21,INDEX($AC$8:$AC$1407,$AG985)+1))</f>
        <v/>
      </c>
      <c r="P985" s="109" t="str">
        <f>IF($AG985="","",INDEX($AD$8:$AD$1407,$AG985))</f>
        <v/>
      </c>
      <c r="Q985" s="92" t="str">
        <f>IF($AG985="","",INDEX($AM$8:$AM$21,INDEX($AC$8:$AC$1407,$AG985)+1))</f>
        <v/>
      </c>
      <c r="R985" s="92" t="str">
        <f>IF($AG985="","",IF($G985&gt;0,P_ToelCorrectie&amp;"",""))</f>
        <v/>
      </c>
      <c r="S985" s="15" t="str">
        <f>IF(J985="","",J985&amp;"|"&amp;E985&amp;"|"&amp;F985&amp;"|"&amp;I985&amp;"|"&amp;O985)</f>
        <v/>
      </c>
      <c r="T985" s="111" t="str">
        <f>IF(S985="","",IF(COUNTIFS(L_Sleutel,S985,L_Actief,1)=0,"",SUMIFS(L_Waarde,L_Sleutel,S985,L_Actief,1)))</f>
        <v/>
      </c>
      <c r="U985" s="111">
        <f>IF(OR(S985="",T985=""),0,P985-T985)</f>
        <v>0</v>
      </c>
      <c r="AB985" s="112" t="n">
        <v>70</v>
      </c>
      <c r="AC985" s="112" t="n">
        <v>11</v>
      </c>
      <c r="AD985" s="112" t="str">
        <f>VERW_Project!BT75</f>
        <v/>
      </c>
      <c r="AE985" s="112">
        <f>IF(AND(VERW_Project!$A75&lt;&gt;"",ISNUMBER(AD985)),1,0)</f>
        <v>0</v>
      </c>
      <c r="AF985" s="112" t="str">
        <f>IF(AE985=1,SUM($AE$8:AE985),"")</f>
        <v/>
      </c>
      <c r="AG985" t="str">
        <f>IFERROR(MATCH(978,$AF$8:$AF$1407,0),"")</f>
        <v/>
      </c>
    </row>
    <row r="986">
      <c r="A986" s="92" t="str">
        <f>IF($AG986="","",P_ImportID)</f>
        <v/>
      </c>
      <c r="B986" s="92" t="str">
        <f>IF($AG986="","",IF(INDEX($AN$8:$AN$21,INDEX($AC$8:$AC$1407,$AG986)+1)="Z",P_BronZ,P_BronE))</f>
        <v/>
      </c>
      <c r="C986" s="108" t="str">
        <f>IF($AG986="","",P_Importdatum)</f>
        <v/>
      </c>
      <c r="D986" s="92" t="str">
        <f>IF($AG986="","",P_StatusVastleg)</f>
        <v/>
      </c>
      <c r="E986" s="92" t="str">
        <f>IF($AG986="","",P_UploadVJ)</f>
        <v/>
      </c>
      <c r="F986" s="92" t="str">
        <f>IF($AG986="","",P_UploadVersie)</f>
        <v/>
      </c>
      <c r="G986" s="92" t="str">
        <f>IF($AG986="","",IF(COUNTIFS(L_Sleutel,$S986,L_Status,"Vastgesteld")=0,0,_xlfn.MAXIFS(L_Revisie,L_Sleutel,$S986,L_Status,"Vastgesteld")+1))</f>
        <v/>
      </c>
      <c r="H986" s="108" t="str">
        <f>IF($AG986="","",P_Peildatum)</f>
        <v/>
      </c>
      <c r="I986" s="92" t="str">
        <f>IF($AG986="","",P_RJ+INDEX($AK$8:$AK$21,INDEX($AC$8:$AC$1407,$AG986)+1))</f>
        <v/>
      </c>
      <c r="J986" s="92" t="str">
        <f>IF($AG986="","",INDEX(V_WBS,INDEX($AB$8:$AB$1407,$AG986)))</f>
        <v/>
      </c>
      <c r="K986" s="92" t="str">
        <f>IF($AG986="","",INDEX(V_Projdef,INDEX($AB$8:$AB$1407,$AG986)))</f>
        <v/>
      </c>
      <c r="L986" s="92" t="str">
        <f>IF($AG986="","",INDEX(V_Naam,INDEX($AB$8:$AB$1407,$AG986)))</f>
        <v/>
      </c>
      <c r="M986" s="92" t="str">
        <f>IF($AG986="","",INDEX(V_Type,INDEX($AB$8:$AB$1407,$AG986)))</f>
        <v/>
      </c>
      <c r="N986" s="92" t="str">
        <f>IF($AG986="","",INDEX(V_IFRS,INDEX($AB$8:$AB$1407,$AG986)))</f>
        <v/>
      </c>
      <c r="O986" s="92" t="str">
        <f>IF($AG986="","",INDEX($AL$8:$AL$21,INDEX($AC$8:$AC$1407,$AG986)+1))</f>
        <v/>
      </c>
      <c r="P986" s="109" t="str">
        <f>IF($AG986="","",INDEX($AD$8:$AD$1407,$AG986))</f>
        <v/>
      </c>
      <c r="Q986" s="92" t="str">
        <f>IF($AG986="","",INDEX($AM$8:$AM$21,INDEX($AC$8:$AC$1407,$AG986)+1))</f>
        <v/>
      </c>
      <c r="R986" s="92" t="str">
        <f>IF($AG986="","",IF($G986&gt;0,P_ToelCorrectie&amp;"",""))</f>
        <v/>
      </c>
      <c r="S986" s="15" t="str">
        <f>IF(J986="","",J986&amp;"|"&amp;E986&amp;"|"&amp;F986&amp;"|"&amp;I986&amp;"|"&amp;O986)</f>
        <v/>
      </c>
      <c r="T986" s="111" t="str">
        <f>IF(S986="","",IF(COUNTIFS(L_Sleutel,S986,L_Actief,1)=0,"",SUMIFS(L_Waarde,L_Sleutel,S986,L_Actief,1)))</f>
        <v/>
      </c>
      <c r="U986" s="111">
        <f>IF(OR(S986="",T986=""),0,P986-T986)</f>
        <v>0</v>
      </c>
      <c r="AB986" s="112" t="n">
        <v>70</v>
      </c>
      <c r="AC986" s="112" t="n">
        <v>12</v>
      </c>
      <c r="AD986" s="112" t="str">
        <f>VERW_Project!BU75</f>
        <v/>
      </c>
      <c r="AE986" s="112">
        <f>IF(AND(VERW_Project!$A75&lt;&gt;"",ISNUMBER(AD986)),1,0)</f>
        <v>0</v>
      </c>
      <c r="AF986" s="112" t="str">
        <f>IF(AE986=1,SUM($AE$8:AE986),"")</f>
        <v/>
      </c>
      <c r="AG986" t="str">
        <f>IFERROR(MATCH(979,$AF$8:$AF$1407,0),"")</f>
        <v/>
      </c>
    </row>
    <row r="987">
      <c r="A987" s="92" t="str">
        <f>IF($AG987="","",P_ImportID)</f>
        <v/>
      </c>
      <c r="B987" s="92" t="str">
        <f>IF($AG987="","",IF(INDEX($AN$8:$AN$21,INDEX($AC$8:$AC$1407,$AG987)+1)="Z",P_BronZ,P_BronE))</f>
        <v/>
      </c>
      <c r="C987" s="108" t="str">
        <f>IF($AG987="","",P_Importdatum)</f>
        <v/>
      </c>
      <c r="D987" s="92" t="str">
        <f>IF($AG987="","",P_StatusVastleg)</f>
        <v/>
      </c>
      <c r="E987" s="92" t="str">
        <f>IF($AG987="","",P_UploadVJ)</f>
        <v/>
      </c>
      <c r="F987" s="92" t="str">
        <f>IF($AG987="","",P_UploadVersie)</f>
        <v/>
      </c>
      <c r="G987" s="92" t="str">
        <f>IF($AG987="","",IF(COUNTIFS(L_Sleutel,$S987,L_Status,"Vastgesteld")=0,0,_xlfn.MAXIFS(L_Revisie,L_Sleutel,$S987,L_Status,"Vastgesteld")+1))</f>
        <v/>
      </c>
      <c r="H987" s="108" t="str">
        <f>IF($AG987="","",P_Peildatum)</f>
        <v/>
      </c>
      <c r="I987" s="92" t="str">
        <f>IF($AG987="","",P_RJ+INDEX($AK$8:$AK$21,INDEX($AC$8:$AC$1407,$AG987)+1))</f>
        <v/>
      </c>
      <c r="J987" s="92" t="str">
        <f>IF($AG987="","",INDEX(V_WBS,INDEX($AB$8:$AB$1407,$AG987)))</f>
        <v/>
      </c>
      <c r="K987" s="92" t="str">
        <f>IF($AG987="","",INDEX(V_Projdef,INDEX($AB$8:$AB$1407,$AG987)))</f>
        <v/>
      </c>
      <c r="L987" s="92" t="str">
        <f>IF($AG987="","",INDEX(V_Naam,INDEX($AB$8:$AB$1407,$AG987)))</f>
        <v/>
      </c>
      <c r="M987" s="92" t="str">
        <f>IF($AG987="","",INDEX(V_Type,INDEX($AB$8:$AB$1407,$AG987)))</f>
        <v/>
      </c>
      <c r="N987" s="92" t="str">
        <f>IF($AG987="","",INDEX(V_IFRS,INDEX($AB$8:$AB$1407,$AG987)))</f>
        <v/>
      </c>
      <c r="O987" s="92" t="str">
        <f>IF($AG987="","",INDEX($AL$8:$AL$21,INDEX($AC$8:$AC$1407,$AG987)+1))</f>
        <v/>
      </c>
      <c r="P987" s="109" t="str">
        <f>IF($AG987="","",INDEX($AD$8:$AD$1407,$AG987))</f>
        <v/>
      </c>
      <c r="Q987" s="92" t="str">
        <f>IF($AG987="","",INDEX($AM$8:$AM$21,INDEX($AC$8:$AC$1407,$AG987)+1))</f>
        <v/>
      </c>
      <c r="R987" s="92" t="str">
        <f>IF($AG987="","",IF($G987&gt;0,P_ToelCorrectie&amp;"",""))</f>
        <v/>
      </c>
      <c r="S987" s="15" t="str">
        <f>IF(J987="","",J987&amp;"|"&amp;E987&amp;"|"&amp;F987&amp;"|"&amp;I987&amp;"|"&amp;O987)</f>
        <v/>
      </c>
      <c r="T987" s="111" t="str">
        <f>IF(S987="","",IF(COUNTIFS(L_Sleutel,S987,L_Actief,1)=0,"",SUMIFS(L_Waarde,L_Sleutel,S987,L_Actief,1)))</f>
        <v/>
      </c>
      <c r="U987" s="111">
        <f>IF(OR(S987="",T987=""),0,P987-T987)</f>
        <v>0</v>
      </c>
      <c r="AB987" s="112" t="n">
        <v>70</v>
      </c>
      <c r="AC987" s="112" t="n">
        <v>13</v>
      </c>
      <c r="AD987" s="112" t="str">
        <f>VERW_Project!BX75</f>
        <v/>
      </c>
      <c r="AE987" s="112">
        <f>IF(AND(VERW_Project!$A75&lt;&gt;"",ISNUMBER(AD987)),1,0)</f>
        <v>0</v>
      </c>
      <c r="AF987" s="112" t="str">
        <f>IF(AE987=1,SUM($AE$8:AE987),"")</f>
        <v/>
      </c>
      <c r="AG987" t="str">
        <f>IFERROR(MATCH(980,$AF$8:$AF$1407,0),"")</f>
        <v/>
      </c>
    </row>
    <row r="988">
      <c r="A988" s="92" t="str">
        <f>IF($AG988="","",P_ImportID)</f>
        <v/>
      </c>
      <c r="B988" s="92" t="str">
        <f>IF($AG988="","",IF(INDEX($AN$8:$AN$21,INDEX($AC$8:$AC$1407,$AG988)+1)="Z",P_BronZ,P_BronE))</f>
        <v/>
      </c>
      <c r="C988" s="108" t="str">
        <f>IF($AG988="","",P_Importdatum)</f>
        <v/>
      </c>
      <c r="D988" s="92" t="str">
        <f>IF($AG988="","",P_StatusVastleg)</f>
        <v/>
      </c>
      <c r="E988" s="92" t="str">
        <f>IF($AG988="","",P_UploadVJ)</f>
        <v/>
      </c>
      <c r="F988" s="92" t="str">
        <f>IF($AG988="","",P_UploadVersie)</f>
        <v/>
      </c>
      <c r="G988" s="92" t="str">
        <f>IF($AG988="","",IF(COUNTIFS(L_Sleutel,$S988,L_Status,"Vastgesteld")=0,0,_xlfn.MAXIFS(L_Revisie,L_Sleutel,$S988,L_Status,"Vastgesteld")+1))</f>
        <v/>
      </c>
      <c r="H988" s="108" t="str">
        <f>IF($AG988="","",P_Peildatum)</f>
        <v/>
      </c>
      <c r="I988" s="92" t="str">
        <f>IF($AG988="","",P_RJ+INDEX($AK$8:$AK$21,INDEX($AC$8:$AC$1407,$AG988)+1))</f>
        <v/>
      </c>
      <c r="J988" s="92" t="str">
        <f>IF($AG988="","",INDEX(V_WBS,INDEX($AB$8:$AB$1407,$AG988)))</f>
        <v/>
      </c>
      <c r="K988" s="92" t="str">
        <f>IF($AG988="","",INDEX(V_Projdef,INDEX($AB$8:$AB$1407,$AG988)))</f>
        <v/>
      </c>
      <c r="L988" s="92" t="str">
        <f>IF($AG988="","",INDEX(V_Naam,INDEX($AB$8:$AB$1407,$AG988)))</f>
        <v/>
      </c>
      <c r="M988" s="92" t="str">
        <f>IF($AG988="","",INDEX(V_Type,INDEX($AB$8:$AB$1407,$AG988)))</f>
        <v/>
      </c>
      <c r="N988" s="92" t="str">
        <f>IF($AG988="","",INDEX(V_IFRS,INDEX($AB$8:$AB$1407,$AG988)))</f>
        <v/>
      </c>
      <c r="O988" s="92" t="str">
        <f>IF($AG988="","",INDEX($AL$8:$AL$21,INDEX($AC$8:$AC$1407,$AG988)+1))</f>
        <v/>
      </c>
      <c r="P988" s="109" t="str">
        <f>IF($AG988="","",INDEX($AD$8:$AD$1407,$AG988))</f>
        <v/>
      </c>
      <c r="Q988" s="92" t="str">
        <f>IF($AG988="","",INDEX($AM$8:$AM$21,INDEX($AC$8:$AC$1407,$AG988)+1))</f>
        <v/>
      </c>
      <c r="R988" s="92" t="str">
        <f>IF($AG988="","",IF($G988&gt;0,P_ToelCorrectie&amp;"",""))</f>
        <v/>
      </c>
      <c r="S988" s="15" t="str">
        <f>IF(J988="","",J988&amp;"|"&amp;E988&amp;"|"&amp;F988&amp;"|"&amp;I988&amp;"|"&amp;O988)</f>
        <v/>
      </c>
      <c r="T988" s="111" t="str">
        <f>IF(S988="","",IF(COUNTIFS(L_Sleutel,S988,L_Actief,1)=0,"",SUMIFS(L_Waarde,L_Sleutel,S988,L_Actief,1)))</f>
        <v/>
      </c>
      <c r="U988" s="111">
        <f>IF(OR(S988="",T988=""),0,P988-T988)</f>
        <v>0</v>
      </c>
      <c r="AB988" s="112" t="n">
        <v>71</v>
      </c>
      <c r="AC988" s="112" t="n">
        <v>0</v>
      </c>
      <c r="AD988" s="112" t="str">
        <f>VERW_Project!P76</f>
        <v/>
      </c>
      <c r="AE988" s="112">
        <f>IF(AND(VERW_Project!$A76&lt;&gt;"",ISNUMBER(AD988)),1,0)</f>
        <v>0</v>
      </c>
      <c r="AF988" s="112" t="str">
        <f>IF(AE988=1,SUM($AE$8:AE988),"")</f>
        <v/>
      </c>
      <c r="AG988" t="str">
        <f>IFERROR(MATCH(981,$AF$8:$AF$1407,0),"")</f>
        <v/>
      </c>
    </row>
    <row r="989">
      <c r="A989" s="92" t="str">
        <f>IF($AG989="","",P_ImportID)</f>
        <v/>
      </c>
      <c r="B989" s="92" t="str">
        <f>IF($AG989="","",IF(INDEX($AN$8:$AN$21,INDEX($AC$8:$AC$1407,$AG989)+1)="Z",P_BronZ,P_BronE))</f>
        <v/>
      </c>
      <c r="C989" s="108" t="str">
        <f>IF($AG989="","",P_Importdatum)</f>
        <v/>
      </c>
      <c r="D989" s="92" t="str">
        <f>IF($AG989="","",P_StatusVastleg)</f>
        <v/>
      </c>
      <c r="E989" s="92" t="str">
        <f>IF($AG989="","",P_UploadVJ)</f>
        <v/>
      </c>
      <c r="F989" s="92" t="str">
        <f>IF($AG989="","",P_UploadVersie)</f>
        <v/>
      </c>
      <c r="G989" s="92" t="str">
        <f>IF($AG989="","",IF(COUNTIFS(L_Sleutel,$S989,L_Status,"Vastgesteld")=0,0,_xlfn.MAXIFS(L_Revisie,L_Sleutel,$S989,L_Status,"Vastgesteld")+1))</f>
        <v/>
      </c>
      <c r="H989" s="108" t="str">
        <f>IF($AG989="","",P_Peildatum)</f>
        <v/>
      </c>
      <c r="I989" s="92" t="str">
        <f>IF($AG989="","",P_RJ+INDEX($AK$8:$AK$21,INDEX($AC$8:$AC$1407,$AG989)+1))</f>
        <v/>
      </c>
      <c r="J989" s="92" t="str">
        <f>IF($AG989="","",INDEX(V_WBS,INDEX($AB$8:$AB$1407,$AG989)))</f>
        <v/>
      </c>
      <c r="K989" s="92" t="str">
        <f>IF($AG989="","",INDEX(V_Projdef,INDEX($AB$8:$AB$1407,$AG989)))</f>
        <v/>
      </c>
      <c r="L989" s="92" t="str">
        <f>IF($AG989="","",INDEX(V_Naam,INDEX($AB$8:$AB$1407,$AG989)))</f>
        <v/>
      </c>
      <c r="M989" s="92" t="str">
        <f>IF($AG989="","",INDEX(V_Type,INDEX($AB$8:$AB$1407,$AG989)))</f>
        <v/>
      </c>
      <c r="N989" s="92" t="str">
        <f>IF($AG989="","",INDEX(V_IFRS,INDEX($AB$8:$AB$1407,$AG989)))</f>
        <v/>
      </c>
      <c r="O989" s="92" t="str">
        <f>IF($AG989="","",INDEX($AL$8:$AL$21,INDEX($AC$8:$AC$1407,$AG989)+1))</f>
        <v/>
      </c>
      <c r="P989" s="109" t="str">
        <f>IF($AG989="","",INDEX($AD$8:$AD$1407,$AG989))</f>
        <v/>
      </c>
      <c r="Q989" s="92" t="str">
        <f>IF($AG989="","",INDEX($AM$8:$AM$21,INDEX($AC$8:$AC$1407,$AG989)+1))</f>
        <v/>
      </c>
      <c r="R989" s="92" t="str">
        <f>IF($AG989="","",IF($G989&gt;0,P_ToelCorrectie&amp;"",""))</f>
        <v/>
      </c>
      <c r="S989" s="15" t="str">
        <f>IF(J989="","",J989&amp;"|"&amp;E989&amp;"|"&amp;F989&amp;"|"&amp;I989&amp;"|"&amp;O989)</f>
        <v/>
      </c>
      <c r="T989" s="111" t="str">
        <f>IF(S989="","",IF(COUNTIFS(L_Sleutel,S989,L_Actief,1)=0,"",SUMIFS(L_Waarde,L_Sleutel,S989,L_Actief,1)))</f>
        <v/>
      </c>
      <c r="U989" s="111">
        <f>IF(OR(S989="",T989=""),0,P989-T989)</f>
        <v>0</v>
      </c>
      <c r="AB989" s="112" t="n">
        <v>71</v>
      </c>
      <c r="AC989" s="112" t="n">
        <v>1</v>
      </c>
      <c r="AD989" s="112" t="str">
        <f>VERW_Project!Q76</f>
        <v/>
      </c>
      <c r="AE989" s="112">
        <f>IF(AND(VERW_Project!$A76&lt;&gt;"",ISNUMBER(AD989)),1,0)</f>
        <v>0</v>
      </c>
      <c r="AF989" s="112" t="str">
        <f>IF(AE989=1,SUM($AE$8:AE989),"")</f>
        <v/>
      </c>
      <c r="AG989" t="str">
        <f>IFERROR(MATCH(982,$AF$8:$AF$1407,0),"")</f>
        <v/>
      </c>
    </row>
    <row r="990">
      <c r="A990" s="92" t="str">
        <f>IF($AG990="","",P_ImportID)</f>
        <v/>
      </c>
      <c r="B990" s="92" t="str">
        <f>IF($AG990="","",IF(INDEX($AN$8:$AN$21,INDEX($AC$8:$AC$1407,$AG990)+1)="Z",P_BronZ,P_BronE))</f>
        <v/>
      </c>
      <c r="C990" s="108" t="str">
        <f>IF($AG990="","",P_Importdatum)</f>
        <v/>
      </c>
      <c r="D990" s="92" t="str">
        <f>IF($AG990="","",P_StatusVastleg)</f>
        <v/>
      </c>
      <c r="E990" s="92" t="str">
        <f>IF($AG990="","",P_UploadVJ)</f>
        <v/>
      </c>
      <c r="F990" s="92" t="str">
        <f>IF($AG990="","",P_UploadVersie)</f>
        <v/>
      </c>
      <c r="G990" s="92" t="str">
        <f>IF($AG990="","",IF(COUNTIFS(L_Sleutel,$S990,L_Status,"Vastgesteld")=0,0,_xlfn.MAXIFS(L_Revisie,L_Sleutel,$S990,L_Status,"Vastgesteld")+1))</f>
        <v/>
      </c>
      <c r="H990" s="108" t="str">
        <f>IF($AG990="","",P_Peildatum)</f>
        <v/>
      </c>
      <c r="I990" s="92" t="str">
        <f>IF($AG990="","",P_RJ+INDEX($AK$8:$AK$21,INDEX($AC$8:$AC$1407,$AG990)+1))</f>
        <v/>
      </c>
      <c r="J990" s="92" t="str">
        <f>IF($AG990="","",INDEX(V_WBS,INDEX($AB$8:$AB$1407,$AG990)))</f>
        <v/>
      </c>
      <c r="K990" s="92" t="str">
        <f>IF($AG990="","",INDEX(V_Projdef,INDEX($AB$8:$AB$1407,$AG990)))</f>
        <v/>
      </c>
      <c r="L990" s="92" t="str">
        <f>IF($AG990="","",INDEX(V_Naam,INDEX($AB$8:$AB$1407,$AG990)))</f>
        <v/>
      </c>
      <c r="M990" s="92" t="str">
        <f>IF($AG990="","",INDEX(V_Type,INDEX($AB$8:$AB$1407,$AG990)))</f>
        <v/>
      </c>
      <c r="N990" s="92" t="str">
        <f>IF($AG990="","",INDEX(V_IFRS,INDEX($AB$8:$AB$1407,$AG990)))</f>
        <v/>
      </c>
      <c r="O990" s="92" t="str">
        <f>IF($AG990="","",INDEX($AL$8:$AL$21,INDEX($AC$8:$AC$1407,$AG990)+1))</f>
        <v/>
      </c>
      <c r="P990" s="109" t="str">
        <f>IF($AG990="","",INDEX($AD$8:$AD$1407,$AG990))</f>
        <v/>
      </c>
      <c r="Q990" s="92" t="str">
        <f>IF($AG990="","",INDEX($AM$8:$AM$21,INDEX($AC$8:$AC$1407,$AG990)+1))</f>
        <v/>
      </c>
      <c r="R990" s="92" t="str">
        <f>IF($AG990="","",IF($G990&gt;0,P_ToelCorrectie&amp;"",""))</f>
        <v/>
      </c>
      <c r="S990" s="15" t="str">
        <f>IF(J990="","",J990&amp;"|"&amp;E990&amp;"|"&amp;F990&amp;"|"&amp;I990&amp;"|"&amp;O990)</f>
        <v/>
      </c>
      <c r="T990" s="111" t="str">
        <f>IF(S990="","",IF(COUNTIFS(L_Sleutel,S990,L_Actief,1)=0,"",SUMIFS(L_Waarde,L_Sleutel,S990,L_Actief,1)))</f>
        <v/>
      </c>
      <c r="U990" s="111">
        <f>IF(OR(S990="",T990=""),0,P990-T990)</f>
        <v>0</v>
      </c>
      <c r="AB990" s="112" t="n">
        <v>71</v>
      </c>
      <c r="AC990" s="112" t="n">
        <v>2</v>
      </c>
      <c r="AD990" s="112" t="str">
        <f>VERW_Project!L76</f>
        <v/>
      </c>
      <c r="AE990" s="112">
        <f>IF(AND(VERW_Project!$A76&lt;&gt;"",ISNUMBER(AD990)),1,0)</f>
        <v>0</v>
      </c>
      <c r="AF990" s="112" t="str">
        <f>IF(AE990=1,SUM($AE$8:AE990),"")</f>
        <v/>
      </c>
      <c r="AG990" t="str">
        <f>IFERROR(MATCH(983,$AF$8:$AF$1407,0),"")</f>
        <v/>
      </c>
    </row>
    <row r="991">
      <c r="A991" s="92" t="str">
        <f>IF($AG991="","",P_ImportID)</f>
        <v/>
      </c>
      <c r="B991" s="92" t="str">
        <f>IF($AG991="","",IF(INDEX($AN$8:$AN$21,INDEX($AC$8:$AC$1407,$AG991)+1)="Z",P_BronZ,P_BronE))</f>
        <v/>
      </c>
      <c r="C991" s="108" t="str">
        <f>IF($AG991="","",P_Importdatum)</f>
        <v/>
      </c>
      <c r="D991" s="92" t="str">
        <f>IF($AG991="","",P_StatusVastleg)</f>
        <v/>
      </c>
      <c r="E991" s="92" t="str">
        <f>IF($AG991="","",P_UploadVJ)</f>
        <v/>
      </c>
      <c r="F991" s="92" t="str">
        <f>IF($AG991="","",P_UploadVersie)</f>
        <v/>
      </c>
      <c r="G991" s="92" t="str">
        <f>IF($AG991="","",IF(COUNTIFS(L_Sleutel,$S991,L_Status,"Vastgesteld")=0,0,_xlfn.MAXIFS(L_Revisie,L_Sleutel,$S991,L_Status,"Vastgesteld")+1))</f>
        <v/>
      </c>
      <c r="H991" s="108" t="str">
        <f>IF($AG991="","",P_Peildatum)</f>
        <v/>
      </c>
      <c r="I991" s="92" t="str">
        <f>IF($AG991="","",P_RJ+INDEX($AK$8:$AK$21,INDEX($AC$8:$AC$1407,$AG991)+1))</f>
        <v/>
      </c>
      <c r="J991" s="92" t="str">
        <f>IF($AG991="","",INDEX(V_WBS,INDEX($AB$8:$AB$1407,$AG991)))</f>
        <v/>
      </c>
      <c r="K991" s="92" t="str">
        <f>IF($AG991="","",INDEX(V_Projdef,INDEX($AB$8:$AB$1407,$AG991)))</f>
        <v/>
      </c>
      <c r="L991" s="92" t="str">
        <f>IF($AG991="","",INDEX(V_Naam,INDEX($AB$8:$AB$1407,$AG991)))</f>
        <v/>
      </c>
      <c r="M991" s="92" t="str">
        <f>IF($AG991="","",INDEX(V_Type,INDEX($AB$8:$AB$1407,$AG991)))</f>
        <v/>
      </c>
      <c r="N991" s="92" t="str">
        <f>IF($AG991="","",INDEX(V_IFRS,INDEX($AB$8:$AB$1407,$AG991)))</f>
        <v/>
      </c>
      <c r="O991" s="92" t="str">
        <f>IF($AG991="","",INDEX($AL$8:$AL$21,INDEX($AC$8:$AC$1407,$AG991)+1))</f>
        <v/>
      </c>
      <c r="P991" s="109" t="str">
        <f>IF($AG991="","",INDEX($AD$8:$AD$1407,$AG991))</f>
        <v/>
      </c>
      <c r="Q991" s="92" t="str">
        <f>IF($AG991="","",INDEX($AM$8:$AM$21,INDEX($AC$8:$AC$1407,$AG991)+1))</f>
        <v/>
      </c>
      <c r="R991" s="92" t="str">
        <f>IF($AG991="","",IF($G991&gt;0,P_ToelCorrectie&amp;"",""))</f>
        <v/>
      </c>
      <c r="S991" s="15" t="str">
        <f>IF(J991="","",J991&amp;"|"&amp;E991&amp;"|"&amp;F991&amp;"|"&amp;I991&amp;"|"&amp;O991)</f>
        <v/>
      </c>
      <c r="T991" s="111" t="str">
        <f>IF(S991="","",IF(COUNTIFS(L_Sleutel,S991,L_Actief,1)=0,"",SUMIFS(L_Waarde,L_Sleutel,S991,L_Actief,1)))</f>
        <v/>
      </c>
      <c r="U991" s="111">
        <f>IF(OR(S991="",T991=""),0,P991-T991)</f>
        <v>0</v>
      </c>
      <c r="AB991" s="112" t="n">
        <v>71</v>
      </c>
      <c r="AC991" s="112" t="n">
        <v>3</v>
      </c>
      <c r="AD991" s="112" t="str">
        <f>VERW_Project!M76</f>
        <v/>
      </c>
      <c r="AE991" s="112">
        <f>IF(AND(VERW_Project!$A76&lt;&gt;"",ISNUMBER(AD991)),1,0)</f>
        <v>0</v>
      </c>
      <c r="AF991" s="112" t="str">
        <f>IF(AE991=1,SUM($AE$8:AE991),"")</f>
        <v/>
      </c>
      <c r="AG991" t="str">
        <f>IFERROR(MATCH(984,$AF$8:$AF$1407,0),"")</f>
        <v/>
      </c>
    </row>
    <row r="992">
      <c r="A992" s="92" t="str">
        <f>IF($AG992="","",P_ImportID)</f>
        <v/>
      </c>
      <c r="B992" s="92" t="str">
        <f>IF($AG992="","",IF(INDEX($AN$8:$AN$21,INDEX($AC$8:$AC$1407,$AG992)+1)="Z",P_BronZ,P_BronE))</f>
        <v/>
      </c>
      <c r="C992" s="108" t="str">
        <f>IF($AG992="","",P_Importdatum)</f>
        <v/>
      </c>
      <c r="D992" s="92" t="str">
        <f>IF($AG992="","",P_StatusVastleg)</f>
        <v/>
      </c>
      <c r="E992" s="92" t="str">
        <f>IF($AG992="","",P_UploadVJ)</f>
        <v/>
      </c>
      <c r="F992" s="92" t="str">
        <f>IF($AG992="","",P_UploadVersie)</f>
        <v/>
      </c>
      <c r="G992" s="92" t="str">
        <f>IF($AG992="","",IF(COUNTIFS(L_Sleutel,$S992,L_Status,"Vastgesteld")=0,0,_xlfn.MAXIFS(L_Revisie,L_Sleutel,$S992,L_Status,"Vastgesteld")+1))</f>
        <v/>
      </c>
      <c r="H992" s="108" t="str">
        <f>IF($AG992="","",P_Peildatum)</f>
        <v/>
      </c>
      <c r="I992" s="92" t="str">
        <f>IF($AG992="","",P_RJ+INDEX($AK$8:$AK$21,INDEX($AC$8:$AC$1407,$AG992)+1))</f>
        <v/>
      </c>
      <c r="J992" s="92" t="str">
        <f>IF($AG992="","",INDEX(V_WBS,INDEX($AB$8:$AB$1407,$AG992)))</f>
        <v/>
      </c>
      <c r="K992" s="92" t="str">
        <f>IF($AG992="","",INDEX(V_Projdef,INDEX($AB$8:$AB$1407,$AG992)))</f>
        <v/>
      </c>
      <c r="L992" s="92" t="str">
        <f>IF($AG992="","",INDEX(V_Naam,INDEX($AB$8:$AB$1407,$AG992)))</f>
        <v/>
      </c>
      <c r="M992" s="92" t="str">
        <f>IF($AG992="","",INDEX(V_Type,INDEX($AB$8:$AB$1407,$AG992)))</f>
        <v/>
      </c>
      <c r="N992" s="92" t="str">
        <f>IF($AG992="","",INDEX(V_IFRS,INDEX($AB$8:$AB$1407,$AG992)))</f>
        <v/>
      </c>
      <c r="O992" s="92" t="str">
        <f>IF($AG992="","",INDEX($AL$8:$AL$21,INDEX($AC$8:$AC$1407,$AG992)+1))</f>
        <v/>
      </c>
      <c r="P992" s="109" t="str">
        <f>IF($AG992="","",INDEX($AD$8:$AD$1407,$AG992))</f>
        <v/>
      </c>
      <c r="Q992" s="92" t="str">
        <f>IF($AG992="","",INDEX($AM$8:$AM$21,INDEX($AC$8:$AC$1407,$AG992)+1))</f>
        <v/>
      </c>
      <c r="R992" s="92" t="str">
        <f>IF($AG992="","",IF($G992&gt;0,P_ToelCorrectie&amp;"",""))</f>
        <v/>
      </c>
      <c r="S992" s="15" t="str">
        <f>IF(J992="","",J992&amp;"|"&amp;E992&amp;"|"&amp;F992&amp;"|"&amp;I992&amp;"|"&amp;O992)</f>
        <v/>
      </c>
      <c r="T992" s="111" t="str">
        <f>IF(S992="","",IF(COUNTIFS(L_Sleutel,S992,L_Actief,1)=0,"",SUMIFS(L_Waarde,L_Sleutel,S992,L_Actief,1)))</f>
        <v/>
      </c>
      <c r="U992" s="111">
        <f>IF(OR(S992="",T992=""),0,P992-T992)</f>
        <v>0</v>
      </c>
      <c r="AB992" s="112" t="n">
        <v>71</v>
      </c>
      <c r="AC992" s="112" t="n">
        <v>4</v>
      </c>
      <c r="AD992" s="112" t="str">
        <f>VERW_Project!R76</f>
        <v/>
      </c>
      <c r="AE992" s="112">
        <f>IF(AND(VERW_Project!$A76&lt;&gt;"",ISNUMBER(AD992)),1,0)</f>
        <v>0</v>
      </c>
      <c r="AF992" s="112" t="str">
        <f>IF(AE992=1,SUM($AE$8:AE992),"")</f>
        <v/>
      </c>
      <c r="AG992" t="str">
        <f>IFERROR(MATCH(985,$AF$8:$AF$1407,0),"")</f>
        <v/>
      </c>
    </row>
    <row r="993">
      <c r="A993" s="92" t="str">
        <f>IF($AG993="","",P_ImportID)</f>
        <v/>
      </c>
      <c r="B993" s="92" t="str">
        <f>IF($AG993="","",IF(INDEX($AN$8:$AN$21,INDEX($AC$8:$AC$1407,$AG993)+1)="Z",P_BronZ,P_BronE))</f>
        <v/>
      </c>
      <c r="C993" s="108" t="str">
        <f>IF($AG993="","",P_Importdatum)</f>
        <v/>
      </c>
      <c r="D993" s="92" t="str">
        <f>IF($AG993="","",P_StatusVastleg)</f>
        <v/>
      </c>
      <c r="E993" s="92" t="str">
        <f>IF($AG993="","",P_UploadVJ)</f>
        <v/>
      </c>
      <c r="F993" s="92" t="str">
        <f>IF($AG993="","",P_UploadVersie)</f>
        <v/>
      </c>
      <c r="G993" s="92" t="str">
        <f>IF($AG993="","",IF(COUNTIFS(L_Sleutel,$S993,L_Status,"Vastgesteld")=0,0,_xlfn.MAXIFS(L_Revisie,L_Sleutel,$S993,L_Status,"Vastgesteld")+1))</f>
        <v/>
      </c>
      <c r="H993" s="108" t="str">
        <f>IF($AG993="","",P_Peildatum)</f>
        <v/>
      </c>
      <c r="I993" s="92" t="str">
        <f>IF($AG993="","",P_RJ+INDEX($AK$8:$AK$21,INDEX($AC$8:$AC$1407,$AG993)+1))</f>
        <v/>
      </c>
      <c r="J993" s="92" t="str">
        <f>IF($AG993="","",INDEX(V_WBS,INDEX($AB$8:$AB$1407,$AG993)))</f>
        <v/>
      </c>
      <c r="K993" s="92" t="str">
        <f>IF($AG993="","",INDEX(V_Projdef,INDEX($AB$8:$AB$1407,$AG993)))</f>
        <v/>
      </c>
      <c r="L993" s="92" t="str">
        <f>IF($AG993="","",INDEX(V_Naam,INDEX($AB$8:$AB$1407,$AG993)))</f>
        <v/>
      </c>
      <c r="M993" s="92" t="str">
        <f>IF($AG993="","",INDEX(V_Type,INDEX($AB$8:$AB$1407,$AG993)))</f>
        <v/>
      </c>
      <c r="N993" s="92" t="str">
        <f>IF($AG993="","",INDEX(V_IFRS,INDEX($AB$8:$AB$1407,$AG993)))</f>
        <v/>
      </c>
      <c r="O993" s="92" t="str">
        <f>IF($AG993="","",INDEX($AL$8:$AL$21,INDEX($AC$8:$AC$1407,$AG993)+1))</f>
        <v/>
      </c>
      <c r="P993" s="109" t="str">
        <f>IF($AG993="","",INDEX($AD$8:$AD$1407,$AG993))</f>
        <v/>
      </c>
      <c r="Q993" s="92" t="str">
        <f>IF($AG993="","",INDEX($AM$8:$AM$21,INDEX($AC$8:$AC$1407,$AG993)+1))</f>
        <v/>
      </c>
      <c r="R993" s="92" t="str">
        <f>IF($AG993="","",IF($G993&gt;0,P_ToelCorrectie&amp;"",""))</f>
        <v/>
      </c>
      <c r="S993" s="15" t="str">
        <f>IF(J993="","",J993&amp;"|"&amp;E993&amp;"|"&amp;F993&amp;"|"&amp;I993&amp;"|"&amp;O993)</f>
        <v/>
      </c>
      <c r="T993" s="111" t="str">
        <f>IF(S993="","",IF(COUNTIFS(L_Sleutel,S993,L_Actief,1)=0,"",SUMIFS(L_Waarde,L_Sleutel,S993,L_Actief,1)))</f>
        <v/>
      </c>
      <c r="U993" s="111">
        <f>IF(OR(S993="",T993=""),0,P993-T993)</f>
        <v>0</v>
      </c>
      <c r="AB993" s="112" t="n">
        <v>71</v>
      </c>
      <c r="AC993" s="112" t="n">
        <v>5</v>
      </c>
      <c r="AD993" s="112" t="str">
        <f>VERW_Project!S76</f>
        <v/>
      </c>
      <c r="AE993" s="112">
        <f>IF(AND(VERW_Project!$A76&lt;&gt;"",ISNUMBER(AD993)),1,0)</f>
        <v>0</v>
      </c>
      <c r="AF993" s="112" t="str">
        <f>IF(AE993=1,SUM($AE$8:AE993),"")</f>
        <v/>
      </c>
      <c r="AG993" t="str">
        <f>IFERROR(MATCH(986,$AF$8:$AF$1407,0),"")</f>
        <v/>
      </c>
    </row>
    <row r="994">
      <c r="A994" s="92" t="str">
        <f>IF($AG994="","",P_ImportID)</f>
        <v/>
      </c>
      <c r="B994" s="92" t="str">
        <f>IF($AG994="","",IF(INDEX($AN$8:$AN$21,INDEX($AC$8:$AC$1407,$AG994)+1)="Z",P_BronZ,P_BronE))</f>
        <v/>
      </c>
      <c r="C994" s="108" t="str">
        <f>IF($AG994="","",P_Importdatum)</f>
        <v/>
      </c>
      <c r="D994" s="92" t="str">
        <f>IF($AG994="","",P_StatusVastleg)</f>
        <v/>
      </c>
      <c r="E994" s="92" t="str">
        <f>IF($AG994="","",P_UploadVJ)</f>
        <v/>
      </c>
      <c r="F994" s="92" t="str">
        <f>IF($AG994="","",P_UploadVersie)</f>
        <v/>
      </c>
      <c r="G994" s="92" t="str">
        <f>IF($AG994="","",IF(COUNTIFS(L_Sleutel,$S994,L_Status,"Vastgesteld")=0,0,_xlfn.MAXIFS(L_Revisie,L_Sleutel,$S994,L_Status,"Vastgesteld")+1))</f>
        <v/>
      </c>
      <c r="H994" s="108" t="str">
        <f>IF($AG994="","",P_Peildatum)</f>
        <v/>
      </c>
      <c r="I994" s="92" t="str">
        <f>IF($AG994="","",P_RJ+INDEX($AK$8:$AK$21,INDEX($AC$8:$AC$1407,$AG994)+1))</f>
        <v/>
      </c>
      <c r="J994" s="92" t="str">
        <f>IF($AG994="","",INDEX(V_WBS,INDEX($AB$8:$AB$1407,$AG994)))</f>
        <v/>
      </c>
      <c r="K994" s="92" t="str">
        <f>IF($AG994="","",INDEX(V_Projdef,INDEX($AB$8:$AB$1407,$AG994)))</f>
        <v/>
      </c>
      <c r="L994" s="92" t="str">
        <f>IF($AG994="","",INDEX(V_Naam,INDEX($AB$8:$AB$1407,$AG994)))</f>
        <v/>
      </c>
      <c r="M994" s="92" t="str">
        <f>IF($AG994="","",INDEX(V_Type,INDEX($AB$8:$AB$1407,$AG994)))</f>
        <v/>
      </c>
      <c r="N994" s="92" t="str">
        <f>IF($AG994="","",INDEX(V_IFRS,INDEX($AB$8:$AB$1407,$AG994)))</f>
        <v/>
      </c>
      <c r="O994" s="92" t="str">
        <f>IF($AG994="","",INDEX($AL$8:$AL$21,INDEX($AC$8:$AC$1407,$AG994)+1))</f>
        <v/>
      </c>
      <c r="P994" s="109" t="str">
        <f>IF($AG994="","",INDEX($AD$8:$AD$1407,$AG994))</f>
        <v/>
      </c>
      <c r="Q994" s="92" t="str">
        <f>IF($AG994="","",INDEX($AM$8:$AM$21,INDEX($AC$8:$AC$1407,$AG994)+1))</f>
        <v/>
      </c>
      <c r="R994" s="92" t="str">
        <f>IF($AG994="","",IF($G994&gt;0,P_ToelCorrectie&amp;"",""))</f>
        <v/>
      </c>
      <c r="S994" s="15" t="str">
        <f>IF(J994="","",J994&amp;"|"&amp;E994&amp;"|"&amp;F994&amp;"|"&amp;I994&amp;"|"&amp;O994)</f>
        <v/>
      </c>
      <c r="T994" s="111" t="str">
        <f>IF(S994="","",IF(COUNTIFS(L_Sleutel,S994,L_Actief,1)=0,"",SUMIFS(L_Waarde,L_Sleutel,S994,L_Actief,1)))</f>
        <v/>
      </c>
      <c r="U994" s="111">
        <f>IF(OR(S994="",T994=""),0,P994-T994)</f>
        <v>0</v>
      </c>
      <c r="AB994" s="112" t="n">
        <v>71</v>
      </c>
      <c r="AC994" s="112" t="n">
        <v>6</v>
      </c>
      <c r="AD994" s="112" t="str">
        <f>VERW_Project!BW76</f>
        <v/>
      </c>
      <c r="AE994" s="112">
        <f>IF(AND(VERW_Project!$A76&lt;&gt;"",ISNUMBER(AD994)),1,0)</f>
        <v>0</v>
      </c>
      <c r="AF994" s="112" t="str">
        <f>IF(AE994=1,SUM($AE$8:AE994),"")</f>
        <v/>
      </c>
      <c r="AG994" t="str">
        <f>IFERROR(MATCH(987,$AF$8:$AF$1407,0),"")</f>
        <v/>
      </c>
    </row>
    <row r="995">
      <c r="A995" s="92" t="str">
        <f>IF($AG995="","",P_ImportID)</f>
        <v/>
      </c>
      <c r="B995" s="92" t="str">
        <f>IF($AG995="","",IF(INDEX($AN$8:$AN$21,INDEX($AC$8:$AC$1407,$AG995)+1)="Z",P_BronZ,P_BronE))</f>
        <v/>
      </c>
      <c r="C995" s="108" t="str">
        <f>IF($AG995="","",P_Importdatum)</f>
        <v/>
      </c>
      <c r="D995" s="92" t="str">
        <f>IF($AG995="","",P_StatusVastleg)</f>
        <v/>
      </c>
      <c r="E995" s="92" t="str">
        <f>IF($AG995="","",P_UploadVJ)</f>
        <v/>
      </c>
      <c r="F995" s="92" t="str">
        <f>IF($AG995="","",P_UploadVersie)</f>
        <v/>
      </c>
      <c r="G995" s="92" t="str">
        <f>IF($AG995="","",IF(COUNTIFS(L_Sleutel,$S995,L_Status,"Vastgesteld")=0,0,_xlfn.MAXIFS(L_Revisie,L_Sleutel,$S995,L_Status,"Vastgesteld")+1))</f>
        <v/>
      </c>
      <c r="H995" s="108" t="str">
        <f>IF($AG995="","",P_Peildatum)</f>
        <v/>
      </c>
      <c r="I995" s="92" t="str">
        <f>IF($AG995="","",P_RJ+INDEX($AK$8:$AK$21,INDEX($AC$8:$AC$1407,$AG995)+1))</f>
        <v/>
      </c>
      <c r="J995" s="92" t="str">
        <f>IF($AG995="","",INDEX(V_WBS,INDEX($AB$8:$AB$1407,$AG995)))</f>
        <v/>
      </c>
      <c r="K995" s="92" t="str">
        <f>IF($AG995="","",INDEX(V_Projdef,INDEX($AB$8:$AB$1407,$AG995)))</f>
        <v/>
      </c>
      <c r="L995" s="92" t="str">
        <f>IF($AG995="","",INDEX(V_Naam,INDEX($AB$8:$AB$1407,$AG995)))</f>
        <v/>
      </c>
      <c r="M995" s="92" t="str">
        <f>IF($AG995="","",INDEX(V_Type,INDEX($AB$8:$AB$1407,$AG995)))</f>
        <v/>
      </c>
      <c r="N995" s="92" t="str">
        <f>IF($AG995="","",INDEX(V_IFRS,INDEX($AB$8:$AB$1407,$AG995)))</f>
        <v/>
      </c>
      <c r="O995" s="92" t="str">
        <f>IF($AG995="","",INDEX($AL$8:$AL$21,INDEX($AC$8:$AC$1407,$AG995)+1))</f>
        <v/>
      </c>
      <c r="P995" s="109" t="str">
        <f>IF($AG995="","",INDEX($AD$8:$AD$1407,$AG995))</f>
        <v/>
      </c>
      <c r="Q995" s="92" t="str">
        <f>IF($AG995="","",INDEX($AM$8:$AM$21,INDEX($AC$8:$AC$1407,$AG995)+1))</f>
        <v/>
      </c>
      <c r="R995" s="92" t="str">
        <f>IF($AG995="","",IF($G995&gt;0,P_ToelCorrectie&amp;"",""))</f>
        <v/>
      </c>
      <c r="S995" s="15" t="str">
        <f>IF(J995="","",J995&amp;"|"&amp;E995&amp;"|"&amp;F995&amp;"|"&amp;I995&amp;"|"&amp;O995)</f>
        <v/>
      </c>
      <c r="T995" s="111" t="str">
        <f>IF(S995="","",IF(COUNTIFS(L_Sleutel,S995,L_Actief,1)=0,"",SUMIFS(L_Waarde,L_Sleutel,S995,L_Actief,1)))</f>
        <v/>
      </c>
      <c r="U995" s="111">
        <f>IF(OR(S995="",T995=""),0,P995-T995)</f>
        <v>0</v>
      </c>
      <c r="AB995" s="112" t="n">
        <v>71</v>
      </c>
      <c r="AC995" s="112" t="n">
        <v>7</v>
      </c>
      <c r="AD995" s="112" t="str">
        <f>VERW_Project!AW76</f>
        <v/>
      </c>
      <c r="AE995" s="112">
        <f>IF(AND(VERW_Project!$A76&lt;&gt;"",ISNUMBER(AD995)),1,0)</f>
        <v>0</v>
      </c>
      <c r="AF995" s="112" t="str">
        <f>IF(AE995=1,SUM($AE$8:AE995),"")</f>
        <v/>
      </c>
      <c r="AG995" t="str">
        <f>IFERROR(MATCH(988,$AF$8:$AF$1407,0),"")</f>
        <v/>
      </c>
    </row>
    <row r="996">
      <c r="A996" s="92" t="str">
        <f>IF($AG996="","",P_ImportID)</f>
        <v/>
      </c>
      <c r="B996" s="92" t="str">
        <f>IF($AG996="","",IF(INDEX($AN$8:$AN$21,INDEX($AC$8:$AC$1407,$AG996)+1)="Z",P_BronZ,P_BronE))</f>
        <v/>
      </c>
      <c r="C996" s="108" t="str">
        <f>IF($AG996="","",P_Importdatum)</f>
        <v/>
      </c>
      <c r="D996" s="92" t="str">
        <f>IF($AG996="","",P_StatusVastleg)</f>
        <v/>
      </c>
      <c r="E996" s="92" t="str">
        <f>IF($AG996="","",P_UploadVJ)</f>
        <v/>
      </c>
      <c r="F996" s="92" t="str">
        <f>IF($AG996="","",P_UploadVersie)</f>
        <v/>
      </c>
      <c r="G996" s="92" t="str">
        <f>IF($AG996="","",IF(COUNTIFS(L_Sleutel,$S996,L_Status,"Vastgesteld")=0,0,_xlfn.MAXIFS(L_Revisie,L_Sleutel,$S996,L_Status,"Vastgesteld")+1))</f>
        <v/>
      </c>
      <c r="H996" s="108" t="str">
        <f>IF($AG996="","",P_Peildatum)</f>
        <v/>
      </c>
      <c r="I996" s="92" t="str">
        <f>IF($AG996="","",P_RJ+INDEX($AK$8:$AK$21,INDEX($AC$8:$AC$1407,$AG996)+1))</f>
        <v/>
      </c>
      <c r="J996" s="92" t="str">
        <f>IF($AG996="","",INDEX(V_WBS,INDEX($AB$8:$AB$1407,$AG996)))</f>
        <v/>
      </c>
      <c r="K996" s="92" t="str">
        <f>IF($AG996="","",INDEX(V_Projdef,INDEX($AB$8:$AB$1407,$AG996)))</f>
        <v/>
      </c>
      <c r="L996" s="92" t="str">
        <f>IF($AG996="","",INDEX(V_Naam,INDEX($AB$8:$AB$1407,$AG996)))</f>
        <v/>
      </c>
      <c r="M996" s="92" t="str">
        <f>IF($AG996="","",INDEX(V_Type,INDEX($AB$8:$AB$1407,$AG996)))</f>
        <v/>
      </c>
      <c r="N996" s="92" t="str">
        <f>IF($AG996="","",INDEX(V_IFRS,INDEX($AB$8:$AB$1407,$AG996)))</f>
        <v/>
      </c>
      <c r="O996" s="92" t="str">
        <f>IF($AG996="","",INDEX($AL$8:$AL$21,INDEX($AC$8:$AC$1407,$AG996)+1))</f>
        <v/>
      </c>
      <c r="P996" s="109" t="str">
        <f>IF($AG996="","",INDEX($AD$8:$AD$1407,$AG996))</f>
        <v/>
      </c>
      <c r="Q996" s="92" t="str">
        <f>IF($AG996="","",INDEX($AM$8:$AM$21,INDEX($AC$8:$AC$1407,$AG996)+1))</f>
        <v/>
      </c>
      <c r="R996" s="92" t="str">
        <f>IF($AG996="","",IF($G996&gt;0,P_ToelCorrectie&amp;"",""))</f>
        <v/>
      </c>
      <c r="S996" s="15" t="str">
        <f>IF(J996="","",J996&amp;"|"&amp;E996&amp;"|"&amp;F996&amp;"|"&amp;I996&amp;"|"&amp;O996)</f>
        <v/>
      </c>
      <c r="T996" s="111" t="str">
        <f>IF(S996="","",IF(COUNTIFS(L_Sleutel,S996,L_Actief,1)=0,"",SUMIFS(L_Waarde,L_Sleutel,S996,L_Actief,1)))</f>
        <v/>
      </c>
      <c r="U996" s="111">
        <f>IF(OR(S996="",T996=""),0,P996-T996)</f>
        <v>0</v>
      </c>
      <c r="AB996" s="112" t="n">
        <v>71</v>
      </c>
      <c r="AC996" s="112" t="n">
        <v>8</v>
      </c>
      <c r="AD996" s="112" t="str">
        <f>VERW_Project!BQ76</f>
        <v/>
      </c>
      <c r="AE996" s="112">
        <f>IF(AND(VERW_Project!$A76&lt;&gt;"",ISNUMBER(AD996)),1,0)</f>
        <v>0</v>
      </c>
      <c r="AF996" s="112" t="str">
        <f>IF(AE996=1,SUM($AE$8:AE996),"")</f>
        <v/>
      </c>
      <c r="AG996" t="str">
        <f>IFERROR(MATCH(989,$AF$8:$AF$1407,0),"")</f>
        <v/>
      </c>
    </row>
    <row r="997">
      <c r="A997" s="92" t="str">
        <f>IF($AG997="","",P_ImportID)</f>
        <v/>
      </c>
      <c r="B997" s="92" t="str">
        <f>IF($AG997="","",IF(INDEX($AN$8:$AN$21,INDEX($AC$8:$AC$1407,$AG997)+1)="Z",P_BronZ,P_BronE))</f>
        <v/>
      </c>
      <c r="C997" s="108" t="str">
        <f>IF($AG997="","",P_Importdatum)</f>
        <v/>
      </c>
      <c r="D997" s="92" t="str">
        <f>IF($AG997="","",P_StatusVastleg)</f>
        <v/>
      </c>
      <c r="E997" s="92" t="str">
        <f>IF($AG997="","",P_UploadVJ)</f>
        <v/>
      </c>
      <c r="F997" s="92" t="str">
        <f>IF($AG997="","",P_UploadVersie)</f>
        <v/>
      </c>
      <c r="G997" s="92" t="str">
        <f>IF($AG997="","",IF(COUNTIFS(L_Sleutel,$S997,L_Status,"Vastgesteld")=0,0,_xlfn.MAXIFS(L_Revisie,L_Sleutel,$S997,L_Status,"Vastgesteld")+1))</f>
        <v/>
      </c>
      <c r="H997" s="108" t="str">
        <f>IF($AG997="","",P_Peildatum)</f>
        <v/>
      </c>
      <c r="I997" s="92" t="str">
        <f>IF($AG997="","",P_RJ+INDEX($AK$8:$AK$21,INDEX($AC$8:$AC$1407,$AG997)+1))</f>
        <v/>
      </c>
      <c r="J997" s="92" t="str">
        <f>IF($AG997="","",INDEX(V_WBS,INDEX($AB$8:$AB$1407,$AG997)))</f>
        <v/>
      </c>
      <c r="K997" s="92" t="str">
        <f>IF($AG997="","",INDEX(V_Projdef,INDEX($AB$8:$AB$1407,$AG997)))</f>
        <v/>
      </c>
      <c r="L997" s="92" t="str">
        <f>IF($AG997="","",INDEX(V_Naam,INDEX($AB$8:$AB$1407,$AG997)))</f>
        <v/>
      </c>
      <c r="M997" s="92" t="str">
        <f>IF($AG997="","",INDEX(V_Type,INDEX($AB$8:$AB$1407,$AG997)))</f>
        <v/>
      </c>
      <c r="N997" s="92" t="str">
        <f>IF($AG997="","",INDEX(V_IFRS,INDEX($AB$8:$AB$1407,$AG997)))</f>
        <v/>
      </c>
      <c r="O997" s="92" t="str">
        <f>IF($AG997="","",INDEX($AL$8:$AL$21,INDEX($AC$8:$AC$1407,$AG997)+1))</f>
        <v/>
      </c>
      <c r="P997" s="109" t="str">
        <f>IF($AG997="","",INDEX($AD$8:$AD$1407,$AG997))</f>
        <v/>
      </c>
      <c r="Q997" s="92" t="str">
        <f>IF($AG997="","",INDEX($AM$8:$AM$21,INDEX($AC$8:$AC$1407,$AG997)+1))</f>
        <v/>
      </c>
      <c r="R997" s="92" t="str">
        <f>IF($AG997="","",IF($G997&gt;0,P_ToelCorrectie&amp;"",""))</f>
        <v/>
      </c>
      <c r="S997" s="15" t="str">
        <f>IF(J997="","",J997&amp;"|"&amp;E997&amp;"|"&amp;F997&amp;"|"&amp;I997&amp;"|"&amp;O997)</f>
        <v/>
      </c>
      <c r="T997" s="111" t="str">
        <f>IF(S997="","",IF(COUNTIFS(L_Sleutel,S997,L_Actief,1)=0,"",SUMIFS(L_Waarde,L_Sleutel,S997,L_Actief,1)))</f>
        <v/>
      </c>
      <c r="U997" s="111">
        <f>IF(OR(S997="",T997=""),0,P997-T997)</f>
        <v>0</v>
      </c>
      <c r="AB997" s="112" t="n">
        <v>71</v>
      </c>
      <c r="AC997" s="112" t="n">
        <v>9</v>
      </c>
      <c r="AD997" s="112" t="str">
        <f>VERW_Project!BR76</f>
        <v/>
      </c>
      <c r="AE997" s="112">
        <f>IF(AND(VERW_Project!$A76&lt;&gt;"",ISNUMBER(AD997)),1,0)</f>
        <v>0</v>
      </c>
      <c r="AF997" s="112" t="str">
        <f>IF(AE997=1,SUM($AE$8:AE997),"")</f>
        <v/>
      </c>
      <c r="AG997" t="str">
        <f>IFERROR(MATCH(990,$AF$8:$AF$1407,0),"")</f>
        <v/>
      </c>
    </row>
    <row r="998">
      <c r="A998" s="92" t="str">
        <f>IF($AG998="","",P_ImportID)</f>
        <v/>
      </c>
      <c r="B998" s="92" t="str">
        <f>IF($AG998="","",IF(INDEX($AN$8:$AN$21,INDEX($AC$8:$AC$1407,$AG998)+1)="Z",P_BronZ,P_BronE))</f>
        <v/>
      </c>
      <c r="C998" s="108" t="str">
        <f>IF($AG998="","",P_Importdatum)</f>
        <v/>
      </c>
      <c r="D998" s="92" t="str">
        <f>IF($AG998="","",P_StatusVastleg)</f>
        <v/>
      </c>
      <c r="E998" s="92" t="str">
        <f>IF($AG998="","",P_UploadVJ)</f>
        <v/>
      </c>
      <c r="F998" s="92" t="str">
        <f>IF($AG998="","",P_UploadVersie)</f>
        <v/>
      </c>
      <c r="G998" s="92" t="str">
        <f>IF($AG998="","",IF(COUNTIFS(L_Sleutel,$S998,L_Status,"Vastgesteld")=0,0,_xlfn.MAXIFS(L_Revisie,L_Sleutel,$S998,L_Status,"Vastgesteld")+1))</f>
        <v/>
      </c>
      <c r="H998" s="108" t="str">
        <f>IF($AG998="","",P_Peildatum)</f>
        <v/>
      </c>
      <c r="I998" s="92" t="str">
        <f>IF($AG998="","",P_RJ+INDEX($AK$8:$AK$21,INDEX($AC$8:$AC$1407,$AG998)+1))</f>
        <v/>
      </c>
      <c r="J998" s="92" t="str">
        <f>IF($AG998="","",INDEX(V_WBS,INDEX($AB$8:$AB$1407,$AG998)))</f>
        <v/>
      </c>
      <c r="K998" s="92" t="str">
        <f>IF($AG998="","",INDEX(V_Projdef,INDEX($AB$8:$AB$1407,$AG998)))</f>
        <v/>
      </c>
      <c r="L998" s="92" t="str">
        <f>IF($AG998="","",INDEX(V_Naam,INDEX($AB$8:$AB$1407,$AG998)))</f>
        <v/>
      </c>
      <c r="M998" s="92" t="str">
        <f>IF($AG998="","",INDEX(V_Type,INDEX($AB$8:$AB$1407,$AG998)))</f>
        <v/>
      </c>
      <c r="N998" s="92" t="str">
        <f>IF($AG998="","",INDEX(V_IFRS,INDEX($AB$8:$AB$1407,$AG998)))</f>
        <v/>
      </c>
      <c r="O998" s="92" t="str">
        <f>IF($AG998="","",INDEX($AL$8:$AL$21,INDEX($AC$8:$AC$1407,$AG998)+1))</f>
        <v/>
      </c>
      <c r="P998" s="109" t="str">
        <f>IF($AG998="","",INDEX($AD$8:$AD$1407,$AG998))</f>
        <v/>
      </c>
      <c r="Q998" s="92" t="str">
        <f>IF($AG998="","",INDEX($AM$8:$AM$21,INDEX($AC$8:$AC$1407,$AG998)+1))</f>
        <v/>
      </c>
      <c r="R998" s="92" t="str">
        <f>IF($AG998="","",IF($G998&gt;0,P_ToelCorrectie&amp;"",""))</f>
        <v/>
      </c>
      <c r="S998" s="15" t="str">
        <f>IF(J998="","",J998&amp;"|"&amp;E998&amp;"|"&amp;F998&amp;"|"&amp;I998&amp;"|"&amp;O998)</f>
        <v/>
      </c>
      <c r="T998" s="111" t="str">
        <f>IF(S998="","",IF(COUNTIFS(L_Sleutel,S998,L_Actief,1)=0,"",SUMIFS(L_Waarde,L_Sleutel,S998,L_Actief,1)))</f>
        <v/>
      </c>
      <c r="U998" s="111">
        <f>IF(OR(S998="",T998=""),0,P998-T998)</f>
        <v>0</v>
      </c>
      <c r="AB998" s="112" t="n">
        <v>71</v>
      </c>
      <c r="AC998" s="112" t="n">
        <v>10</v>
      </c>
      <c r="AD998" s="112" t="str">
        <f>VERW_Project!BS76</f>
        <v/>
      </c>
      <c r="AE998" s="112">
        <f>IF(AND(VERW_Project!$A76&lt;&gt;"",ISNUMBER(AD998)),1,0)</f>
        <v>0</v>
      </c>
      <c r="AF998" s="112" t="str">
        <f>IF(AE998=1,SUM($AE$8:AE998),"")</f>
        <v/>
      </c>
      <c r="AG998" t="str">
        <f>IFERROR(MATCH(991,$AF$8:$AF$1407,0),"")</f>
        <v/>
      </c>
    </row>
    <row r="999">
      <c r="A999" s="92" t="str">
        <f>IF($AG999="","",P_ImportID)</f>
        <v/>
      </c>
      <c r="B999" s="92" t="str">
        <f>IF($AG999="","",IF(INDEX($AN$8:$AN$21,INDEX($AC$8:$AC$1407,$AG999)+1)="Z",P_BronZ,P_BronE))</f>
        <v/>
      </c>
      <c r="C999" s="108" t="str">
        <f>IF($AG999="","",P_Importdatum)</f>
        <v/>
      </c>
      <c r="D999" s="92" t="str">
        <f>IF($AG999="","",P_StatusVastleg)</f>
        <v/>
      </c>
      <c r="E999" s="92" t="str">
        <f>IF($AG999="","",P_UploadVJ)</f>
        <v/>
      </c>
      <c r="F999" s="92" t="str">
        <f>IF($AG999="","",P_UploadVersie)</f>
        <v/>
      </c>
      <c r="G999" s="92" t="str">
        <f>IF($AG999="","",IF(COUNTIFS(L_Sleutel,$S999,L_Status,"Vastgesteld")=0,0,_xlfn.MAXIFS(L_Revisie,L_Sleutel,$S999,L_Status,"Vastgesteld")+1))</f>
        <v/>
      </c>
      <c r="H999" s="108" t="str">
        <f>IF($AG999="","",P_Peildatum)</f>
        <v/>
      </c>
      <c r="I999" s="92" t="str">
        <f>IF($AG999="","",P_RJ+INDEX($AK$8:$AK$21,INDEX($AC$8:$AC$1407,$AG999)+1))</f>
        <v/>
      </c>
      <c r="J999" s="92" t="str">
        <f>IF($AG999="","",INDEX(V_WBS,INDEX($AB$8:$AB$1407,$AG999)))</f>
        <v/>
      </c>
      <c r="K999" s="92" t="str">
        <f>IF($AG999="","",INDEX(V_Projdef,INDEX($AB$8:$AB$1407,$AG999)))</f>
        <v/>
      </c>
      <c r="L999" s="92" t="str">
        <f>IF($AG999="","",INDEX(V_Naam,INDEX($AB$8:$AB$1407,$AG999)))</f>
        <v/>
      </c>
      <c r="M999" s="92" t="str">
        <f>IF($AG999="","",INDEX(V_Type,INDEX($AB$8:$AB$1407,$AG999)))</f>
        <v/>
      </c>
      <c r="N999" s="92" t="str">
        <f>IF($AG999="","",INDEX(V_IFRS,INDEX($AB$8:$AB$1407,$AG999)))</f>
        <v/>
      </c>
      <c r="O999" s="92" t="str">
        <f>IF($AG999="","",INDEX($AL$8:$AL$21,INDEX($AC$8:$AC$1407,$AG999)+1))</f>
        <v/>
      </c>
      <c r="P999" s="109" t="str">
        <f>IF($AG999="","",INDEX($AD$8:$AD$1407,$AG999))</f>
        <v/>
      </c>
      <c r="Q999" s="92" t="str">
        <f>IF($AG999="","",INDEX($AM$8:$AM$21,INDEX($AC$8:$AC$1407,$AG999)+1))</f>
        <v/>
      </c>
      <c r="R999" s="92" t="str">
        <f>IF($AG999="","",IF($G999&gt;0,P_ToelCorrectie&amp;"",""))</f>
        <v/>
      </c>
      <c r="S999" s="15" t="str">
        <f>IF(J999="","",J999&amp;"|"&amp;E999&amp;"|"&amp;F999&amp;"|"&amp;I999&amp;"|"&amp;O999)</f>
        <v/>
      </c>
      <c r="T999" s="111" t="str">
        <f>IF(S999="","",IF(COUNTIFS(L_Sleutel,S999,L_Actief,1)=0,"",SUMIFS(L_Waarde,L_Sleutel,S999,L_Actief,1)))</f>
        <v/>
      </c>
      <c r="U999" s="111">
        <f>IF(OR(S999="",T999=""),0,P999-T999)</f>
        <v>0</v>
      </c>
      <c r="AB999" s="112" t="n">
        <v>71</v>
      </c>
      <c r="AC999" s="112" t="n">
        <v>11</v>
      </c>
      <c r="AD999" s="112" t="str">
        <f>VERW_Project!BT76</f>
        <v/>
      </c>
      <c r="AE999" s="112">
        <f>IF(AND(VERW_Project!$A76&lt;&gt;"",ISNUMBER(AD999)),1,0)</f>
        <v>0</v>
      </c>
      <c r="AF999" s="112" t="str">
        <f>IF(AE999=1,SUM($AE$8:AE999),"")</f>
        <v/>
      </c>
      <c r="AG999" t="str">
        <f>IFERROR(MATCH(992,$AF$8:$AF$1407,0),"")</f>
        <v/>
      </c>
    </row>
    <row r="1000">
      <c r="A1000" s="92" t="str">
        <f>IF($AG1000="","",P_ImportID)</f>
        <v/>
      </c>
      <c r="B1000" s="92" t="str">
        <f>IF($AG1000="","",IF(INDEX($AN$8:$AN$21,INDEX($AC$8:$AC$1407,$AG1000)+1)="Z",P_BronZ,P_BronE))</f>
        <v/>
      </c>
      <c r="C1000" s="108" t="str">
        <f>IF($AG1000="","",P_Importdatum)</f>
        <v/>
      </c>
      <c r="D1000" s="92" t="str">
        <f>IF($AG1000="","",P_StatusVastleg)</f>
        <v/>
      </c>
      <c r="E1000" s="92" t="str">
        <f>IF($AG1000="","",P_UploadVJ)</f>
        <v/>
      </c>
      <c r="F1000" s="92" t="str">
        <f>IF($AG1000="","",P_UploadVersie)</f>
        <v/>
      </c>
      <c r="G1000" s="92" t="str">
        <f>IF($AG1000="","",IF(COUNTIFS(L_Sleutel,$S1000,L_Status,"Vastgesteld")=0,0,_xlfn.MAXIFS(L_Revisie,L_Sleutel,$S1000,L_Status,"Vastgesteld")+1))</f>
        <v/>
      </c>
      <c r="H1000" s="108" t="str">
        <f>IF($AG1000="","",P_Peildatum)</f>
        <v/>
      </c>
      <c r="I1000" s="92" t="str">
        <f>IF($AG1000="","",P_RJ+INDEX($AK$8:$AK$21,INDEX($AC$8:$AC$1407,$AG1000)+1))</f>
        <v/>
      </c>
      <c r="J1000" s="92" t="str">
        <f>IF($AG1000="","",INDEX(V_WBS,INDEX($AB$8:$AB$1407,$AG1000)))</f>
        <v/>
      </c>
      <c r="K1000" s="92" t="str">
        <f>IF($AG1000="","",INDEX(V_Projdef,INDEX($AB$8:$AB$1407,$AG1000)))</f>
        <v/>
      </c>
      <c r="L1000" s="92" t="str">
        <f>IF($AG1000="","",INDEX(V_Naam,INDEX($AB$8:$AB$1407,$AG1000)))</f>
        <v/>
      </c>
      <c r="M1000" s="92" t="str">
        <f>IF($AG1000="","",INDEX(V_Type,INDEX($AB$8:$AB$1407,$AG1000)))</f>
        <v/>
      </c>
      <c r="N1000" s="92" t="str">
        <f>IF($AG1000="","",INDEX(V_IFRS,INDEX($AB$8:$AB$1407,$AG1000)))</f>
        <v/>
      </c>
      <c r="O1000" s="92" t="str">
        <f>IF($AG1000="","",INDEX($AL$8:$AL$21,INDEX($AC$8:$AC$1407,$AG1000)+1))</f>
        <v/>
      </c>
      <c r="P1000" s="109" t="str">
        <f>IF($AG1000="","",INDEX($AD$8:$AD$1407,$AG1000))</f>
        <v/>
      </c>
      <c r="Q1000" s="92" t="str">
        <f>IF($AG1000="","",INDEX($AM$8:$AM$21,INDEX($AC$8:$AC$1407,$AG1000)+1))</f>
        <v/>
      </c>
      <c r="R1000" s="92" t="str">
        <f>IF($AG1000="","",IF($G1000&gt;0,P_ToelCorrectie&amp;"",""))</f>
        <v/>
      </c>
      <c r="S1000" s="15" t="str">
        <f>IF(J1000="","",J1000&amp;"|"&amp;E1000&amp;"|"&amp;F1000&amp;"|"&amp;I1000&amp;"|"&amp;O1000)</f>
        <v/>
      </c>
      <c r="T1000" s="111" t="str">
        <f>IF(S1000="","",IF(COUNTIFS(L_Sleutel,S1000,L_Actief,1)=0,"",SUMIFS(L_Waarde,L_Sleutel,S1000,L_Actief,1)))</f>
        <v/>
      </c>
      <c r="U1000" s="111">
        <f>IF(OR(S1000="",T1000=""),0,P1000-T1000)</f>
        <v>0</v>
      </c>
      <c r="AB1000" s="112" t="n">
        <v>71</v>
      </c>
      <c r="AC1000" s="112" t="n">
        <v>12</v>
      </c>
      <c r="AD1000" s="112" t="str">
        <f>VERW_Project!BU76</f>
        <v/>
      </c>
      <c r="AE1000" s="112">
        <f>IF(AND(VERW_Project!$A76&lt;&gt;"",ISNUMBER(AD1000)),1,0)</f>
        <v>0</v>
      </c>
      <c r="AF1000" s="112" t="str">
        <f>IF(AE1000=1,SUM($AE$8:AE1000),"")</f>
        <v/>
      </c>
      <c r="AG1000" t="str">
        <f>IFERROR(MATCH(993,$AF$8:$AF$1407,0),"")</f>
        <v/>
      </c>
    </row>
    <row r="1001">
      <c r="A1001" s="92" t="str">
        <f>IF($AG1001="","",P_ImportID)</f>
        <v/>
      </c>
      <c r="B1001" s="92" t="str">
        <f>IF($AG1001="","",IF(INDEX($AN$8:$AN$21,INDEX($AC$8:$AC$1407,$AG1001)+1)="Z",P_BronZ,P_BronE))</f>
        <v/>
      </c>
      <c r="C1001" s="108" t="str">
        <f>IF($AG1001="","",P_Importdatum)</f>
        <v/>
      </c>
      <c r="D1001" s="92" t="str">
        <f>IF($AG1001="","",P_StatusVastleg)</f>
        <v/>
      </c>
      <c r="E1001" s="92" t="str">
        <f>IF($AG1001="","",P_UploadVJ)</f>
        <v/>
      </c>
      <c r="F1001" s="92" t="str">
        <f>IF($AG1001="","",P_UploadVersie)</f>
        <v/>
      </c>
      <c r="G1001" s="92" t="str">
        <f>IF($AG1001="","",IF(COUNTIFS(L_Sleutel,$S1001,L_Status,"Vastgesteld")=0,0,_xlfn.MAXIFS(L_Revisie,L_Sleutel,$S1001,L_Status,"Vastgesteld")+1))</f>
        <v/>
      </c>
      <c r="H1001" s="108" t="str">
        <f>IF($AG1001="","",P_Peildatum)</f>
        <v/>
      </c>
      <c r="I1001" s="92" t="str">
        <f>IF($AG1001="","",P_RJ+INDEX($AK$8:$AK$21,INDEX($AC$8:$AC$1407,$AG1001)+1))</f>
        <v/>
      </c>
      <c r="J1001" s="92" t="str">
        <f>IF($AG1001="","",INDEX(V_WBS,INDEX($AB$8:$AB$1407,$AG1001)))</f>
        <v/>
      </c>
      <c r="K1001" s="92" t="str">
        <f>IF($AG1001="","",INDEX(V_Projdef,INDEX($AB$8:$AB$1407,$AG1001)))</f>
        <v/>
      </c>
      <c r="L1001" s="92" t="str">
        <f>IF($AG1001="","",INDEX(V_Naam,INDEX($AB$8:$AB$1407,$AG1001)))</f>
        <v/>
      </c>
      <c r="M1001" s="92" t="str">
        <f>IF($AG1001="","",INDEX(V_Type,INDEX($AB$8:$AB$1407,$AG1001)))</f>
        <v/>
      </c>
      <c r="N1001" s="92" t="str">
        <f>IF($AG1001="","",INDEX(V_IFRS,INDEX($AB$8:$AB$1407,$AG1001)))</f>
        <v/>
      </c>
      <c r="O1001" s="92" t="str">
        <f>IF($AG1001="","",INDEX($AL$8:$AL$21,INDEX($AC$8:$AC$1407,$AG1001)+1))</f>
        <v/>
      </c>
      <c r="P1001" s="109" t="str">
        <f>IF($AG1001="","",INDEX($AD$8:$AD$1407,$AG1001))</f>
        <v/>
      </c>
      <c r="Q1001" s="92" t="str">
        <f>IF($AG1001="","",INDEX($AM$8:$AM$21,INDEX($AC$8:$AC$1407,$AG1001)+1))</f>
        <v/>
      </c>
      <c r="R1001" s="92" t="str">
        <f>IF($AG1001="","",IF($G1001&gt;0,P_ToelCorrectie&amp;"",""))</f>
        <v/>
      </c>
      <c r="S1001" s="15" t="str">
        <f>IF(J1001="","",J1001&amp;"|"&amp;E1001&amp;"|"&amp;F1001&amp;"|"&amp;I1001&amp;"|"&amp;O1001)</f>
        <v/>
      </c>
      <c r="T1001" s="111" t="str">
        <f>IF(S1001="","",IF(COUNTIFS(L_Sleutel,S1001,L_Actief,1)=0,"",SUMIFS(L_Waarde,L_Sleutel,S1001,L_Actief,1)))</f>
        <v/>
      </c>
      <c r="U1001" s="111">
        <f>IF(OR(S1001="",T1001=""),0,P1001-T1001)</f>
        <v>0</v>
      </c>
      <c r="AB1001" s="112" t="n">
        <v>71</v>
      </c>
      <c r="AC1001" s="112" t="n">
        <v>13</v>
      </c>
      <c r="AD1001" s="112" t="str">
        <f>VERW_Project!BX76</f>
        <v/>
      </c>
      <c r="AE1001" s="112">
        <f>IF(AND(VERW_Project!$A76&lt;&gt;"",ISNUMBER(AD1001)),1,0)</f>
        <v>0</v>
      </c>
      <c r="AF1001" s="112" t="str">
        <f>IF(AE1001=1,SUM($AE$8:AE1001),"")</f>
        <v/>
      </c>
      <c r="AG1001" t="str">
        <f>IFERROR(MATCH(994,$AF$8:$AF$1407,0),"")</f>
        <v/>
      </c>
    </row>
    <row r="1002">
      <c r="A1002" s="92" t="str">
        <f>IF($AG1002="","",P_ImportID)</f>
        <v/>
      </c>
      <c r="B1002" s="92" t="str">
        <f>IF($AG1002="","",IF(INDEX($AN$8:$AN$21,INDEX($AC$8:$AC$1407,$AG1002)+1)="Z",P_BronZ,P_BronE))</f>
        <v/>
      </c>
      <c r="C1002" s="108" t="str">
        <f>IF($AG1002="","",P_Importdatum)</f>
        <v/>
      </c>
      <c r="D1002" s="92" t="str">
        <f>IF($AG1002="","",P_StatusVastleg)</f>
        <v/>
      </c>
      <c r="E1002" s="92" t="str">
        <f>IF($AG1002="","",P_UploadVJ)</f>
        <v/>
      </c>
      <c r="F1002" s="92" t="str">
        <f>IF($AG1002="","",P_UploadVersie)</f>
        <v/>
      </c>
      <c r="G1002" s="92" t="str">
        <f>IF($AG1002="","",IF(COUNTIFS(L_Sleutel,$S1002,L_Status,"Vastgesteld")=0,0,_xlfn.MAXIFS(L_Revisie,L_Sleutel,$S1002,L_Status,"Vastgesteld")+1))</f>
        <v/>
      </c>
      <c r="H1002" s="108" t="str">
        <f>IF($AG1002="","",P_Peildatum)</f>
        <v/>
      </c>
      <c r="I1002" s="92" t="str">
        <f>IF($AG1002="","",P_RJ+INDEX($AK$8:$AK$21,INDEX($AC$8:$AC$1407,$AG1002)+1))</f>
        <v/>
      </c>
      <c r="J1002" s="92" t="str">
        <f>IF($AG1002="","",INDEX(V_WBS,INDEX($AB$8:$AB$1407,$AG1002)))</f>
        <v/>
      </c>
      <c r="K1002" s="92" t="str">
        <f>IF($AG1002="","",INDEX(V_Projdef,INDEX($AB$8:$AB$1407,$AG1002)))</f>
        <v/>
      </c>
      <c r="L1002" s="92" t="str">
        <f>IF($AG1002="","",INDEX(V_Naam,INDEX($AB$8:$AB$1407,$AG1002)))</f>
        <v/>
      </c>
      <c r="M1002" s="92" t="str">
        <f>IF($AG1002="","",INDEX(V_Type,INDEX($AB$8:$AB$1407,$AG1002)))</f>
        <v/>
      </c>
      <c r="N1002" s="92" t="str">
        <f>IF($AG1002="","",INDEX(V_IFRS,INDEX($AB$8:$AB$1407,$AG1002)))</f>
        <v/>
      </c>
      <c r="O1002" s="92" t="str">
        <f>IF($AG1002="","",INDEX($AL$8:$AL$21,INDEX($AC$8:$AC$1407,$AG1002)+1))</f>
        <v/>
      </c>
      <c r="P1002" s="109" t="str">
        <f>IF($AG1002="","",INDEX($AD$8:$AD$1407,$AG1002))</f>
        <v/>
      </c>
      <c r="Q1002" s="92" t="str">
        <f>IF($AG1002="","",INDEX($AM$8:$AM$21,INDEX($AC$8:$AC$1407,$AG1002)+1))</f>
        <v/>
      </c>
      <c r="R1002" s="92" t="str">
        <f>IF($AG1002="","",IF($G1002&gt;0,P_ToelCorrectie&amp;"",""))</f>
        <v/>
      </c>
      <c r="S1002" s="15" t="str">
        <f>IF(J1002="","",J1002&amp;"|"&amp;E1002&amp;"|"&amp;F1002&amp;"|"&amp;I1002&amp;"|"&amp;O1002)</f>
        <v/>
      </c>
      <c r="T1002" s="111" t="str">
        <f>IF(S1002="","",IF(COUNTIFS(L_Sleutel,S1002,L_Actief,1)=0,"",SUMIFS(L_Waarde,L_Sleutel,S1002,L_Actief,1)))</f>
        <v/>
      </c>
      <c r="U1002" s="111">
        <f>IF(OR(S1002="",T1002=""),0,P1002-T1002)</f>
        <v>0</v>
      </c>
      <c r="AB1002" s="112" t="n">
        <v>72</v>
      </c>
      <c r="AC1002" s="112" t="n">
        <v>0</v>
      </c>
      <c r="AD1002" s="112" t="str">
        <f>VERW_Project!P77</f>
        <v/>
      </c>
      <c r="AE1002" s="112">
        <f>IF(AND(VERW_Project!$A77&lt;&gt;"",ISNUMBER(AD1002)),1,0)</f>
        <v>0</v>
      </c>
      <c r="AF1002" s="112" t="str">
        <f>IF(AE1002=1,SUM($AE$8:AE1002),"")</f>
        <v/>
      </c>
      <c r="AG1002" t="str">
        <f>IFERROR(MATCH(995,$AF$8:$AF$1407,0),"")</f>
        <v/>
      </c>
    </row>
    <row r="1003">
      <c r="A1003" s="92" t="str">
        <f>IF($AG1003="","",P_ImportID)</f>
        <v/>
      </c>
      <c r="B1003" s="92" t="str">
        <f>IF($AG1003="","",IF(INDEX($AN$8:$AN$21,INDEX($AC$8:$AC$1407,$AG1003)+1)="Z",P_BronZ,P_BronE))</f>
        <v/>
      </c>
      <c r="C1003" s="108" t="str">
        <f>IF($AG1003="","",P_Importdatum)</f>
        <v/>
      </c>
      <c r="D1003" s="92" t="str">
        <f>IF($AG1003="","",P_StatusVastleg)</f>
        <v/>
      </c>
      <c r="E1003" s="92" t="str">
        <f>IF($AG1003="","",P_UploadVJ)</f>
        <v/>
      </c>
      <c r="F1003" s="92" t="str">
        <f>IF($AG1003="","",P_UploadVersie)</f>
        <v/>
      </c>
      <c r="G1003" s="92" t="str">
        <f>IF($AG1003="","",IF(COUNTIFS(L_Sleutel,$S1003,L_Status,"Vastgesteld")=0,0,_xlfn.MAXIFS(L_Revisie,L_Sleutel,$S1003,L_Status,"Vastgesteld")+1))</f>
        <v/>
      </c>
      <c r="H1003" s="108" t="str">
        <f>IF($AG1003="","",P_Peildatum)</f>
        <v/>
      </c>
      <c r="I1003" s="92" t="str">
        <f>IF($AG1003="","",P_RJ+INDEX($AK$8:$AK$21,INDEX($AC$8:$AC$1407,$AG1003)+1))</f>
        <v/>
      </c>
      <c r="J1003" s="92" t="str">
        <f>IF($AG1003="","",INDEX(V_WBS,INDEX($AB$8:$AB$1407,$AG1003)))</f>
        <v/>
      </c>
      <c r="K1003" s="92" t="str">
        <f>IF($AG1003="","",INDEX(V_Projdef,INDEX($AB$8:$AB$1407,$AG1003)))</f>
        <v/>
      </c>
      <c r="L1003" s="92" t="str">
        <f>IF($AG1003="","",INDEX(V_Naam,INDEX($AB$8:$AB$1407,$AG1003)))</f>
        <v/>
      </c>
      <c r="M1003" s="92" t="str">
        <f>IF($AG1003="","",INDEX(V_Type,INDEX($AB$8:$AB$1407,$AG1003)))</f>
        <v/>
      </c>
      <c r="N1003" s="92" t="str">
        <f>IF($AG1003="","",INDEX(V_IFRS,INDEX($AB$8:$AB$1407,$AG1003)))</f>
        <v/>
      </c>
      <c r="O1003" s="92" t="str">
        <f>IF($AG1003="","",INDEX($AL$8:$AL$21,INDEX($AC$8:$AC$1407,$AG1003)+1))</f>
        <v/>
      </c>
      <c r="P1003" s="109" t="str">
        <f>IF($AG1003="","",INDEX($AD$8:$AD$1407,$AG1003))</f>
        <v/>
      </c>
      <c r="Q1003" s="92" t="str">
        <f>IF($AG1003="","",INDEX($AM$8:$AM$21,INDEX($AC$8:$AC$1407,$AG1003)+1))</f>
        <v/>
      </c>
      <c r="R1003" s="92" t="str">
        <f>IF($AG1003="","",IF($G1003&gt;0,P_ToelCorrectie&amp;"",""))</f>
        <v/>
      </c>
      <c r="S1003" s="15" t="str">
        <f>IF(J1003="","",J1003&amp;"|"&amp;E1003&amp;"|"&amp;F1003&amp;"|"&amp;I1003&amp;"|"&amp;O1003)</f>
        <v/>
      </c>
      <c r="T1003" s="111" t="str">
        <f>IF(S1003="","",IF(COUNTIFS(L_Sleutel,S1003,L_Actief,1)=0,"",SUMIFS(L_Waarde,L_Sleutel,S1003,L_Actief,1)))</f>
        <v/>
      </c>
      <c r="U1003" s="111">
        <f>IF(OR(S1003="",T1003=""),0,P1003-T1003)</f>
        <v>0</v>
      </c>
      <c r="AB1003" s="112" t="n">
        <v>72</v>
      </c>
      <c r="AC1003" s="112" t="n">
        <v>1</v>
      </c>
      <c r="AD1003" s="112" t="str">
        <f>VERW_Project!Q77</f>
        <v/>
      </c>
      <c r="AE1003" s="112">
        <f>IF(AND(VERW_Project!$A77&lt;&gt;"",ISNUMBER(AD1003)),1,0)</f>
        <v>0</v>
      </c>
      <c r="AF1003" s="112" t="str">
        <f>IF(AE1003=1,SUM($AE$8:AE1003),"")</f>
        <v/>
      </c>
      <c r="AG1003" t="str">
        <f>IFERROR(MATCH(996,$AF$8:$AF$1407,0),"")</f>
        <v/>
      </c>
    </row>
    <row r="1004">
      <c r="A1004" s="92" t="str">
        <f>IF($AG1004="","",P_ImportID)</f>
        <v/>
      </c>
      <c r="B1004" s="92" t="str">
        <f>IF($AG1004="","",IF(INDEX($AN$8:$AN$21,INDEX($AC$8:$AC$1407,$AG1004)+1)="Z",P_BronZ,P_BronE))</f>
        <v/>
      </c>
      <c r="C1004" s="108" t="str">
        <f>IF($AG1004="","",P_Importdatum)</f>
        <v/>
      </c>
      <c r="D1004" s="92" t="str">
        <f>IF($AG1004="","",P_StatusVastleg)</f>
        <v/>
      </c>
      <c r="E1004" s="92" t="str">
        <f>IF($AG1004="","",P_UploadVJ)</f>
        <v/>
      </c>
      <c r="F1004" s="92" t="str">
        <f>IF($AG1004="","",P_UploadVersie)</f>
        <v/>
      </c>
      <c r="G1004" s="92" t="str">
        <f>IF($AG1004="","",IF(COUNTIFS(L_Sleutel,$S1004,L_Status,"Vastgesteld")=0,0,_xlfn.MAXIFS(L_Revisie,L_Sleutel,$S1004,L_Status,"Vastgesteld")+1))</f>
        <v/>
      </c>
      <c r="H1004" s="108" t="str">
        <f>IF($AG1004="","",P_Peildatum)</f>
        <v/>
      </c>
      <c r="I1004" s="92" t="str">
        <f>IF($AG1004="","",P_RJ+INDEX($AK$8:$AK$21,INDEX($AC$8:$AC$1407,$AG1004)+1))</f>
        <v/>
      </c>
      <c r="J1004" s="92" t="str">
        <f>IF($AG1004="","",INDEX(V_WBS,INDEX($AB$8:$AB$1407,$AG1004)))</f>
        <v/>
      </c>
      <c r="K1004" s="92" t="str">
        <f>IF($AG1004="","",INDEX(V_Projdef,INDEX($AB$8:$AB$1407,$AG1004)))</f>
        <v/>
      </c>
      <c r="L1004" s="92" t="str">
        <f>IF($AG1004="","",INDEX(V_Naam,INDEX($AB$8:$AB$1407,$AG1004)))</f>
        <v/>
      </c>
      <c r="M1004" s="92" t="str">
        <f>IF($AG1004="","",INDEX(V_Type,INDEX($AB$8:$AB$1407,$AG1004)))</f>
        <v/>
      </c>
      <c r="N1004" s="92" t="str">
        <f>IF($AG1004="","",INDEX(V_IFRS,INDEX($AB$8:$AB$1407,$AG1004)))</f>
        <v/>
      </c>
      <c r="O1004" s="92" t="str">
        <f>IF($AG1004="","",INDEX($AL$8:$AL$21,INDEX($AC$8:$AC$1407,$AG1004)+1))</f>
        <v/>
      </c>
      <c r="P1004" s="109" t="str">
        <f>IF($AG1004="","",INDEX($AD$8:$AD$1407,$AG1004))</f>
        <v/>
      </c>
      <c r="Q1004" s="92" t="str">
        <f>IF($AG1004="","",INDEX($AM$8:$AM$21,INDEX($AC$8:$AC$1407,$AG1004)+1))</f>
        <v/>
      </c>
      <c r="R1004" s="92" t="str">
        <f>IF($AG1004="","",IF($G1004&gt;0,P_ToelCorrectie&amp;"",""))</f>
        <v/>
      </c>
      <c r="S1004" s="15" t="str">
        <f>IF(J1004="","",J1004&amp;"|"&amp;E1004&amp;"|"&amp;F1004&amp;"|"&amp;I1004&amp;"|"&amp;O1004)</f>
        <v/>
      </c>
      <c r="T1004" s="111" t="str">
        <f>IF(S1004="","",IF(COUNTIFS(L_Sleutel,S1004,L_Actief,1)=0,"",SUMIFS(L_Waarde,L_Sleutel,S1004,L_Actief,1)))</f>
        <v/>
      </c>
      <c r="U1004" s="111">
        <f>IF(OR(S1004="",T1004=""),0,P1004-T1004)</f>
        <v>0</v>
      </c>
      <c r="AB1004" s="112" t="n">
        <v>72</v>
      </c>
      <c r="AC1004" s="112" t="n">
        <v>2</v>
      </c>
      <c r="AD1004" s="112" t="str">
        <f>VERW_Project!L77</f>
        <v/>
      </c>
      <c r="AE1004" s="112">
        <f>IF(AND(VERW_Project!$A77&lt;&gt;"",ISNUMBER(AD1004)),1,0)</f>
        <v>0</v>
      </c>
      <c r="AF1004" s="112" t="str">
        <f>IF(AE1004=1,SUM($AE$8:AE1004),"")</f>
        <v/>
      </c>
      <c r="AG1004" t="str">
        <f>IFERROR(MATCH(997,$AF$8:$AF$1407,0),"")</f>
        <v/>
      </c>
    </row>
    <row r="1005">
      <c r="A1005" s="92" t="str">
        <f>IF($AG1005="","",P_ImportID)</f>
        <v/>
      </c>
      <c r="B1005" s="92" t="str">
        <f>IF($AG1005="","",IF(INDEX($AN$8:$AN$21,INDEX($AC$8:$AC$1407,$AG1005)+1)="Z",P_BronZ,P_BronE))</f>
        <v/>
      </c>
      <c r="C1005" s="108" t="str">
        <f>IF($AG1005="","",P_Importdatum)</f>
        <v/>
      </c>
      <c r="D1005" s="92" t="str">
        <f>IF($AG1005="","",P_StatusVastleg)</f>
        <v/>
      </c>
      <c r="E1005" s="92" t="str">
        <f>IF($AG1005="","",P_UploadVJ)</f>
        <v/>
      </c>
      <c r="F1005" s="92" t="str">
        <f>IF($AG1005="","",P_UploadVersie)</f>
        <v/>
      </c>
      <c r="G1005" s="92" t="str">
        <f>IF($AG1005="","",IF(COUNTIFS(L_Sleutel,$S1005,L_Status,"Vastgesteld")=0,0,_xlfn.MAXIFS(L_Revisie,L_Sleutel,$S1005,L_Status,"Vastgesteld")+1))</f>
        <v/>
      </c>
      <c r="H1005" s="108" t="str">
        <f>IF($AG1005="","",P_Peildatum)</f>
        <v/>
      </c>
      <c r="I1005" s="92" t="str">
        <f>IF($AG1005="","",P_RJ+INDEX($AK$8:$AK$21,INDEX($AC$8:$AC$1407,$AG1005)+1))</f>
        <v/>
      </c>
      <c r="J1005" s="92" t="str">
        <f>IF($AG1005="","",INDEX(V_WBS,INDEX($AB$8:$AB$1407,$AG1005)))</f>
        <v/>
      </c>
      <c r="K1005" s="92" t="str">
        <f>IF($AG1005="","",INDEX(V_Projdef,INDEX($AB$8:$AB$1407,$AG1005)))</f>
        <v/>
      </c>
      <c r="L1005" s="92" t="str">
        <f>IF($AG1005="","",INDEX(V_Naam,INDEX($AB$8:$AB$1407,$AG1005)))</f>
        <v/>
      </c>
      <c r="M1005" s="92" t="str">
        <f>IF($AG1005="","",INDEX(V_Type,INDEX($AB$8:$AB$1407,$AG1005)))</f>
        <v/>
      </c>
      <c r="N1005" s="92" t="str">
        <f>IF($AG1005="","",INDEX(V_IFRS,INDEX($AB$8:$AB$1407,$AG1005)))</f>
        <v/>
      </c>
      <c r="O1005" s="92" t="str">
        <f>IF($AG1005="","",INDEX($AL$8:$AL$21,INDEX($AC$8:$AC$1407,$AG1005)+1))</f>
        <v/>
      </c>
      <c r="P1005" s="109" t="str">
        <f>IF($AG1005="","",INDEX($AD$8:$AD$1407,$AG1005))</f>
        <v/>
      </c>
      <c r="Q1005" s="92" t="str">
        <f>IF($AG1005="","",INDEX($AM$8:$AM$21,INDEX($AC$8:$AC$1407,$AG1005)+1))</f>
        <v/>
      </c>
      <c r="R1005" s="92" t="str">
        <f>IF($AG1005="","",IF($G1005&gt;0,P_ToelCorrectie&amp;"",""))</f>
        <v/>
      </c>
      <c r="S1005" s="15" t="str">
        <f>IF(J1005="","",J1005&amp;"|"&amp;E1005&amp;"|"&amp;F1005&amp;"|"&amp;I1005&amp;"|"&amp;O1005)</f>
        <v/>
      </c>
      <c r="T1005" s="111" t="str">
        <f>IF(S1005="","",IF(COUNTIFS(L_Sleutel,S1005,L_Actief,1)=0,"",SUMIFS(L_Waarde,L_Sleutel,S1005,L_Actief,1)))</f>
        <v/>
      </c>
      <c r="U1005" s="111">
        <f>IF(OR(S1005="",T1005=""),0,P1005-T1005)</f>
        <v>0</v>
      </c>
      <c r="AB1005" s="112" t="n">
        <v>72</v>
      </c>
      <c r="AC1005" s="112" t="n">
        <v>3</v>
      </c>
      <c r="AD1005" s="112" t="str">
        <f>VERW_Project!M77</f>
        <v/>
      </c>
      <c r="AE1005" s="112">
        <f>IF(AND(VERW_Project!$A77&lt;&gt;"",ISNUMBER(AD1005)),1,0)</f>
        <v>0</v>
      </c>
      <c r="AF1005" s="112" t="str">
        <f>IF(AE1005=1,SUM($AE$8:AE1005),"")</f>
        <v/>
      </c>
      <c r="AG1005" t="str">
        <f>IFERROR(MATCH(998,$AF$8:$AF$1407,0),"")</f>
        <v/>
      </c>
    </row>
    <row r="1006">
      <c r="A1006" s="92" t="str">
        <f>IF($AG1006="","",P_ImportID)</f>
        <v/>
      </c>
      <c r="B1006" s="92" t="str">
        <f>IF($AG1006="","",IF(INDEX($AN$8:$AN$21,INDEX($AC$8:$AC$1407,$AG1006)+1)="Z",P_BronZ,P_BronE))</f>
        <v/>
      </c>
      <c r="C1006" s="108" t="str">
        <f>IF($AG1006="","",P_Importdatum)</f>
        <v/>
      </c>
      <c r="D1006" s="92" t="str">
        <f>IF($AG1006="","",P_StatusVastleg)</f>
        <v/>
      </c>
      <c r="E1006" s="92" t="str">
        <f>IF($AG1006="","",P_UploadVJ)</f>
        <v/>
      </c>
      <c r="F1006" s="92" t="str">
        <f>IF($AG1006="","",P_UploadVersie)</f>
        <v/>
      </c>
      <c r="G1006" s="92" t="str">
        <f>IF($AG1006="","",IF(COUNTIFS(L_Sleutel,$S1006,L_Status,"Vastgesteld")=0,0,_xlfn.MAXIFS(L_Revisie,L_Sleutel,$S1006,L_Status,"Vastgesteld")+1))</f>
        <v/>
      </c>
      <c r="H1006" s="108" t="str">
        <f>IF($AG1006="","",P_Peildatum)</f>
        <v/>
      </c>
      <c r="I1006" s="92" t="str">
        <f>IF($AG1006="","",P_RJ+INDEX($AK$8:$AK$21,INDEX($AC$8:$AC$1407,$AG1006)+1))</f>
        <v/>
      </c>
      <c r="J1006" s="92" t="str">
        <f>IF($AG1006="","",INDEX(V_WBS,INDEX($AB$8:$AB$1407,$AG1006)))</f>
        <v/>
      </c>
      <c r="K1006" s="92" t="str">
        <f>IF($AG1006="","",INDEX(V_Projdef,INDEX($AB$8:$AB$1407,$AG1006)))</f>
        <v/>
      </c>
      <c r="L1006" s="92" t="str">
        <f>IF($AG1006="","",INDEX(V_Naam,INDEX($AB$8:$AB$1407,$AG1006)))</f>
        <v/>
      </c>
      <c r="M1006" s="92" t="str">
        <f>IF($AG1006="","",INDEX(V_Type,INDEX($AB$8:$AB$1407,$AG1006)))</f>
        <v/>
      </c>
      <c r="N1006" s="92" t="str">
        <f>IF($AG1006="","",INDEX(V_IFRS,INDEX($AB$8:$AB$1407,$AG1006)))</f>
        <v/>
      </c>
      <c r="O1006" s="92" t="str">
        <f>IF($AG1006="","",INDEX($AL$8:$AL$21,INDEX($AC$8:$AC$1407,$AG1006)+1))</f>
        <v/>
      </c>
      <c r="P1006" s="109" t="str">
        <f>IF($AG1006="","",INDEX($AD$8:$AD$1407,$AG1006))</f>
        <v/>
      </c>
      <c r="Q1006" s="92" t="str">
        <f>IF($AG1006="","",INDEX($AM$8:$AM$21,INDEX($AC$8:$AC$1407,$AG1006)+1))</f>
        <v/>
      </c>
      <c r="R1006" s="92" t="str">
        <f>IF($AG1006="","",IF($G1006&gt;0,P_ToelCorrectie&amp;"",""))</f>
        <v/>
      </c>
      <c r="S1006" s="15" t="str">
        <f>IF(J1006="","",J1006&amp;"|"&amp;E1006&amp;"|"&amp;F1006&amp;"|"&amp;I1006&amp;"|"&amp;O1006)</f>
        <v/>
      </c>
      <c r="T1006" s="111" t="str">
        <f>IF(S1006="","",IF(COUNTIFS(L_Sleutel,S1006,L_Actief,1)=0,"",SUMIFS(L_Waarde,L_Sleutel,S1006,L_Actief,1)))</f>
        <v/>
      </c>
      <c r="U1006" s="111">
        <f>IF(OR(S1006="",T1006=""),0,P1006-T1006)</f>
        <v>0</v>
      </c>
      <c r="AB1006" s="112" t="n">
        <v>72</v>
      </c>
      <c r="AC1006" s="112" t="n">
        <v>4</v>
      </c>
      <c r="AD1006" s="112" t="str">
        <f>VERW_Project!R77</f>
        <v/>
      </c>
      <c r="AE1006" s="112">
        <f>IF(AND(VERW_Project!$A77&lt;&gt;"",ISNUMBER(AD1006)),1,0)</f>
        <v>0</v>
      </c>
      <c r="AF1006" s="112" t="str">
        <f>IF(AE1006=1,SUM($AE$8:AE1006),"")</f>
        <v/>
      </c>
      <c r="AG1006" t="str">
        <f>IFERROR(MATCH(999,$AF$8:$AF$1407,0),"")</f>
        <v/>
      </c>
    </row>
    <row r="1007">
      <c r="A1007" s="92" t="str">
        <f>IF($AG1007="","",P_ImportID)</f>
        <v/>
      </c>
      <c r="B1007" s="92" t="str">
        <f>IF($AG1007="","",IF(INDEX($AN$8:$AN$21,INDEX($AC$8:$AC$1407,$AG1007)+1)="Z",P_BronZ,P_BronE))</f>
        <v/>
      </c>
      <c r="C1007" s="108" t="str">
        <f>IF($AG1007="","",P_Importdatum)</f>
        <v/>
      </c>
      <c r="D1007" s="92" t="str">
        <f>IF($AG1007="","",P_StatusVastleg)</f>
        <v/>
      </c>
      <c r="E1007" s="92" t="str">
        <f>IF($AG1007="","",P_UploadVJ)</f>
        <v/>
      </c>
      <c r="F1007" s="92" t="str">
        <f>IF($AG1007="","",P_UploadVersie)</f>
        <v/>
      </c>
      <c r="G1007" s="92" t="str">
        <f>IF($AG1007="","",IF(COUNTIFS(L_Sleutel,$S1007,L_Status,"Vastgesteld")=0,0,_xlfn.MAXIFS(L_Revisie,L_Sleutel,$S1007,L_Status,"Vastgesteld")+1))</f>
        <v/>
      </c>
      <c r="H1007" s="108" t="str">
        <f>IF($AG1007="","",P_Peildatum)</f>
        <v/>
      </c>
      <c r="I1007" s="92" t="str">
        <f>IF($AG1007="","",P_RJ+INDEX($AK$8:$AK$21,INDEX($AC$8:$AC$1407,$AG1007)+1))</f>
        <v/>
      </c>
      <c r="J1007" s="92" t="str">
        <f>IF($AG1007="","",INDEX(V_WBS,INDEX($AB$8:$AB$1407,$AG1007)))</f>
        <v/>
      </c>
      <c r="K1007" s="92" t="str">
        <f>IF($AG1007="","",INDEX(V_Projdef,INDEX($AB$8:$AB$1407,$AG1007)))</f>
        <v/>
      </c>
      <c r="L1007" s="92" t="str">
        <f>IF($AG1007="","",INDEX(V_Naam,INDEX($AB$8:$AB$1407,$AG1007)))</f>
        <v/>
      </c>
      <c r="M1007" s="92" t="str">
        <f>IF($AG1007="","",INDEX(V_Type,INDEX($AB$8:$AB$1407,$AG1007)))</f>
        <v/>
      </c>
      <c r="N1007" s="92" t="str">
        <f>IF($AG1007="","",INDEX(V_IFRS,INDEX($AB$8:$AB$1407,$AG1007)))</f>
        <v/>
      </c>
      <c r="O1007" s="92" t="str">
        <f>IF($AG1007="","",INDEX($AL$8:$AL$21,INDEX($AC$8:$AC$1407,$AG1007)+1))</f>
        <v/>
      </c>
      <c r="P1007" s="109" t="str">
        <f>IF($AG1007="","",INDEX($AD$8:$AD$1407,$AG1007))</f>
        <v/>
      </c>
      <c r="Q1007" s="92" t="str">
        <f>IF($AG1007="","",INDEX($AM$8:$AM$21,INDEX($AC$8:$AC$1407,$AG1007)+1))</f>
        <v/>
      </c>
      <c r="R1007" s="92" t="str">
        <f>IF($AG1007="","",IF($G1007&gt;0,P_ToelCorrectie&amp;"",""))</f>
        <v/>
      </c>
      <c r="S1007" s="15" t="str">
        <f>IF(J1007="","",J1007&amp;"|"&amp;E1007&amp;"|"&amp;F1007&amp;"|"&amp;I1007&amp;"|"&amp;O1007)</f>
        <v/>
      </c>
      <c r="T1007" s="111" t="str">
        <f>IF(S1007="","",IF(COUNTIFS(L_Sleutel,S1007,L_Actief,1)=0,"",SUMIFS(L_Waarde,L_Sleutel,S1007,L_Actief,1)))</f>
        <v/>
      </c>
      <c r="U1007" s="111">
        <f>IF(OR(S1007="",T1007=""),0,P1007-T1007)</f>
        <v>0</v>
      </c>
      <c r="AB1007" s="112" t="n">
        <v>72</v>
      </c>
      <c r="AC1007" s="112" t="n">
        <v>5</v>
      </c>
      <c r="AD1007" s="112" t="str">
        <f>VERW_Project!S77</f>
        <v/>
      </c>
      <c r="AE1007" s="112">
        <f>IF(AND(VERW_Project!$A77&lt;&gt;"",ISNUMBER(AD1007)),1,0)</f>
        <v>0</v>
      </c>
      <c r="AF1007" s="112" t="str">
        <f>IF(AE1007=1,SUM($AE$8:AE1007),"")</f>
        <v/>
      </c>
      <c r="AG1007" t="str">
        <f>IFERROR(MATCH(1000,$AF$8:$AF$1407,0),"")</f>
        <v/>
      </c>
    </row>
    <row r="1008">
      <c r="A1008" s="92" t="str">
        <f>IF($AG1008="","",P_ImportID)</f>
        <v/>
      </c>
      <c r="B1008" s="92" t="str">
        <f>IF($AG1008="","",IF(INDEX($AN$8:$AN$21,INDEX($AC$8:$AC$1407,$AG1008)+1)="Z",P_BronZ,P_BronE))</f>
        <v/>
      </c>
      <c r="C1008" s="108" t="str">
        <f>IF($AG1008="","",P_Importdatum)</f>
        <v/>
      </c>
      <c r="D1008" s="92" t="str">
        <f>IF($AG1008="","",P_StatusVastleg)</f>
        <v/>
      </c>
      <c r="E1008" s="92" t="str">
        <f>IF($AG1008="","",P_UploadVJ)</f>
        <v/>
      </c>
      <c r="F1008" s="92" t="str">
        <f>IF($AG1008="","",P_UploadVersie)</f>
        <v/>
      </c>
      <c r="G1008" s="92" t="str">
        <f>IF($AG1008="","",IF(COUNTIFS(L_Sleutel,$S1008,L_Status,"Vastgesteld")=0,0,_xlfn.MAXIFS(L_Revisie,L_Sleutel,$S1008,L_Status,"Vastgesteld")+1))</f>
        <v/>
      </c>
      <c r="H1008" s="108" t="str">
        <f>IF($AG1008="","",P_Peildatum)</f>
        <v/>
      </c>
      <c r="I1008" s="92" t="str">
        <f>IF($AG1008="","",P_RJ+INDEX($AK$8:$AK$21,INDEX($AC$8:$AC$1407,$AG1008)+1))</f>
        <v/>
      </c>
      <c r="J1008" s="92" t="str">
        <f>IF($AG1008="","",INDEX(V_WBS,INDEX($AB$8:$AB$1407,$AG1008)))</f>
        <v/>
      </c>
      <c r="K1008" s="92" t="str">
        <f>IF($AG1008="","",INDEX(V_Projdef,INDEX($AB$8:$AB$1407,$AG1008)))</f>
        <v/>
      </c>
      <c r="L1008" s="92" t="str">
        <f>IF($AG1008="","",INDEX(V_Naam,INDEX($AB$8:$AB$1407,$AG1008)))</f>
        <v/>
      </c>
      <c r="M1008" s="92" t="str">
        <f>IF($AG1008="","",INDEX(V_Type,INDEX($AB$8:$AB$1407,$AG1008)))</f>
        <v/>
      </c>
      <c r="N1008" s="92" t="str">
        <f>IF($AG1008="","",INDEX(V_IFRS,INDEX($AB$8:$AB$1407,$AG1008)))</f>
        <v/>
      </c>
      <c r="O1008" s="92" t="str">
        <f>IF($AG1008="","",INDEX($AL$8:$AL$21,INDEX($AC$8:$AC$1407,$AG1008)+1))</f>
        <v/>
      </c>
      <c r="P1008" s="109" t="str">
        <f>IF($AG1008="","",INDEX($AD$8:$AD$1407,$AG1008))</f>
        <v/>
      </c>
      <c r="Q1008" s="92" t="str">
        <f>IF($AG1008="","",INDEX($AM$8:$AM$21,INDEX($AC$8:$AC$1407,$AG1008)+1))</f>
        <v/>
      </c>
      <c r="R1008" s="92" t="str">
        <f>IF($AG1008="","",IF($G1008&gt;0,P_ToelCorrectie&amp;"",""))</f>
        <v/>
      </c>
      <c r="S1008" s="15" t="str">
        <f>IF(J1008="","",J1008&amp;"|"&amp;E1008&amp;"|"&amp;F1008&amp;"|"&amp;I1008&amp;"|"&amp;O1008)</f>
        <v/>
      </c>
      <c r="T1008" s="111" t="str">
        <f>IF(S1008="","",IF(COUNTIFS(L_Sleutel,S1008,L_Actief,1)=0,"",SUMIFS(L_Waarde,L_Sleutel,S1008,L_Actief,1)))</f>
        <v/>
      </c>
      <c r="U1008" s="111">
        <f>IF(OR(S1008="",T1008=""),0,P1008-T1008)</f>
        <v>0</v>
      </c>
      <c r="AB1008" s="112" t="n">
        <v>72</v>
      </c>
      <c r="AC1008" s="112" t="n">
        <v>6</v>
      </c>
      <c r="AD1008" s="112" t="str">
        <f>VERW_Project!BW77</f>
        <v/>
      </c>
      <c r="AE1008" s="112">
        <f>IF(AND(VERW_Project!$A77&lt;&gt;"",ISNUMBER(AD1008)),1,0)</f>
        <v>0</v>
      </c>
      <c r="AF1008" s="112" t="str">
        <f>IF(AE1008=1,SUM($AE$8:AE1008),"")</f>
        <v/>
      </c>
      <c r="AG1008" t="str">
        <f>IFERROR(MATCH(1001,$AF$8:$AF$1407,0),"")</f>
        <v/>
      </c>
    </row>
    <row r="1009">
      <c r="A1009" s="92" t="str">
        <f>IF($AG1009="","",P_ImportID)</f>
        <v/>
      </c>
      <c r="B1009" s="92" t="str">
        <f>IF($AG1009="","",IF(INDEX($AN$8:$AN$21,INDEX($AC$8:$AC$1407,$AG1009)+1)="Z",P_BronZ,P_BronE))</f>
        <v/>
      </c>
      <c r="C1009" s="108" t="str">
        <f>IF($AG1009="","",P_Importdatum)</f>
        <v/>
      </c>
      <c r="D1009" s="92" t="str">
        <f>IF($AG1009="","",P_StatusVastleg)</f>
        <v/>
      </c>
      <c r="E1009" s="92" t="str">
        <f>IF($AG1009="","",P_UploadVJ)</f>
        <v/>
      </c>
      <c r="F1009" s="92" t="str">
        <f>IF($AG1009="","",P_UploadVersie)</f>
        <v/>
      </c>
      <c r="G1009" s="92" t="str">
        <f>IF($AG1009="","",IF(COUNTIFS(L_Sleutel,$S1009,L_Status,"Vastgesteld")=0,0,_xlfn.MAXIFS(L_Revisie,L_Sleutel,$S1009,L_Status,"Vastgesteld")+1))</f>
        <v/>
      </c>
      <c r="H1009" s="108" t="str">
        <f>IF($AG1009="","",P_Peildatum)</f>
        <v/>
      </c>
      <c r="I1009" s="92" t="str">
        <f>IF($AG1009="","",P_RJ+INDEX($AK$8:$AK$21,INDEX($AC$8:$AC$1407,$AG1009)+1))</f>
        <v/>
      </c>
      <c r="J1009" s="92" t="str">
        <f>IF($AG1009="","",INDEX(V_WBS,INDEX($AB$8:$AB$1407,$AG1009)))</f>
        <v/>
      </c>
      <c r="K1009" s="92" t="str">
        <f>IF($AG1009="","",INDEX(V_Projdef,INDEX($AB$8:$AB$1407,$AG1009)))</f>
        <v/>
      </c>
      <c r="L1009" s="92" t="str">
        <f>IF($AG1009="","",INDEX(V_Naam,INDEX($AB$8:$AB$1407,$AG1009)))</f>
        <v/>
      </c>
      <c r="M1009" s="92" t="str">
        <f>IF($AG1009="","",INDEX(V_Type,INDEX($AB$8:$AB$1407,$AG1009)))</f>
        <v/>
      </c>
      <c r="N1009" s="92" t="str">
        <f>IF($AG1009="","",INDEX(V_IFRS,INDEX($AB$8:$AB$1407,$AG1009)))</f>
        <v/>
      </c>
      <c r="O1009" s="92" t="str">
        <f>IF($AG1009="","",INDEX($AL$8:$AL$21,INDEX($AC$8:$AC$1407,$AG1009)+1))</f>
        <v/>
      </c>
      <c r="P1009" s="109" t="str">
        <f>IF($AG1009="","",INDEX($AD$8:$AD$1407,$AG1009))</f>
        <v/>
      </c>
      <c r="Q1009" s="92" t="str">
        <f>IF($AG1009="","",INDEX($AM$8:$AM$21,INDEX($AC$8:$AC$1407,$AG1009)+1))</f>
        <v/>
      </c>
      <c r="R1009" s="92" t="str">
        <f>IF($AG1009="","",IF($G1009&gt;0,P_ToelCorrectie&amp;"",""))</f>
        <v/>
      </c>
      <c r="S1009" s="15" t="str">
        <f>IF(J1009="","",J1009&amp;"|"&amp;E1009&amp;"|"&amp;F1009&amp;"|"&amp;I1009&amp;"|"&amp;O1009)</f>
        <v/>
      </c>
      <c r="T1009" s="111" t="str">
        <f>IF(S1009="","",IF(COUNTIFS(L_Sleutel,S1009,L_Actief,1)=0,"",SUMIFS(L_Waarde,L_Sleutel,S1009,L_Actief,1)))</f>
        <v/>
      </c>
      <c r="U1009" s="111">
        <f>IF(OR(S1009="",T1009=""),0,P1009-T1009)</f>
        <v>0</v>
      </c>
      <c r="AB1009" s="112" t="n">
        <v>72</v>
      </c>
      <c r="AC1009" s="112" t="n">
        <v>7</v>
      </c>
      <c r="AD1009" s="112" t="str">
        <f>VERW_Project!AW77</f>
        <v/>
      </c>
      <c r="AE1009" s="112">
        <f>IF(AND(VERW_Project!$A77&lt;&gt;"",ISNUMBER(AD1009)),1,0)</f>
        <v>0</v>
      </c>
      <c r="AF1009" s="112" t="str">
        <f>IF(AE1009=1,SUM($AE$8:AE1009),"")</f>
        <v/>
      </c>
      <c r="AG1009" t="str">
        <f>IFERROR(MATCH(1002,$AF$8:$AF$1407,0),"")</f>
        <v/>
      </c>
    </row>
    <row r="1010">
      <c r="A1010" s="92" t="str">
        <f>IF($AG1010="","",P_ImportID)</f>
        <v/>
      </c>
      <c r="B1010" s="92" t="str">
        <f>IF($AG1010="","",IF(INDEX($AN$8:$AN$21,INDEX($AC$8:$AC$1407,$AG1010)+1)="Z",P_BronZ,P_BronE))</f>
        <v/>
      </c>
      <c r="C1010" s="108" t="str">
        <f>IF($AG1010="","",P_Importdatum)</f>
        <v/>
      </c>
      <c r="D1010" s="92" t="str">
        <f>IF($AG1010="","",P_StatusVastleg)</f>
        <v/>
      </c>
      <c r="E1010" s="92" t="str">
        <f>IF($AG1010="","",P_UploadVJ)</f>
        <v/>
      </c>
      <c r="F1010" s="92" t="str">
        <f>IF($AG1010="","",P_UploadVersie)</f>
        <v/>
      </c>
      <c r="G1010" s="92" t="str">
        <f>IF($AG1010="","",IF(COUNTIFS(L_Sleutel,$S1010,L_Status,"Vastgesteld")=0,0,_xlfn.MAXIFS(L_Revisie,L_Sleutel,$S1010,L_Status,"Vastgesteld")+1))</f>
        <v/>
      </c>
      <c r="H1010" s="108" t="str">
        <f>IF($AG1010="","",P_Peildatum)</f>
        <v/>
      </c>
      <c r="I1010" s="92" t="str">
        <f>IF($AG1010="","",P_RJ+INDEX($AK$8:$AK$21,INDEX($AC$8:$AC$1407,$AG1010)+1))</f>
        <v/>
      </c>
      <c r="J1010" s="92" t="str">
        <f>IF($AG1010="","",INDEX(V_WBS,INDEX($AB$8:$AB$1407,$AG1010)))</f>
        <v/>
      </c>
      <c r="K1010" s="92" t="str">
        <f>IF($AG1010="","",INDEX(V_Projdef,INDEX($AB$8:$AB$1407,$AG1010)))</f>
        <v/>
      </c>
      <c r="L1010" s="92" t="str">
        <f>IF($AG1010="","",INDEX(V_Naam,INDEX($AB$8:$AB$1407,$AG1010)))</f>
        <v/>
      </c>
      <c r="M1010" s="92" t="str">
        <f>IF($AG1010="","",INDEX(V_Type,INDEX($AB$8:$AB$1407,$AG1010)))</f>
        <v/>
      </c>
      <c r="N1010" s="92" t="str">
        <f>IF($AG1010="","",INDEX(V_IFRS,INDEX($AB$8:$AB$1407,$AG1010)))</f>
        <v/>
      </c>
      <c r="O1010" s="92" t="str">
        <f>IF($AG1010="","",INDEX($AL$8:$AL$21,INDEX($AC$8:$AC$1407,$AG1010)+1))</f>
        <v/>
      </c>
      <c r="P1010" s="109" t="str">
        <f>IF($AG1010="","",INDEX($AD$8:$AD$1407,$AG1010))</f>
        <v/>
      </c>
      <c r="Q1010" s="92" t="str">
        <f>IF($AG1010="","",INDEX($AM$8:$AM$21,INDEX($AC$8:$AC$1407,$AG1010)+1))</f>
        <v/>
      </c>
      <c r="R1010" s="92" t="str">
        <f>IF($AG1010="","",IF($G1010&gt;0,P_ToelCorrectie&amp;"",""))</f>
        <v/>
      </c>
      <c r="S1010" s="15" t="str">
        <f>IF(J1010="","",J1010&amp;"|"&amp;E1010&amp;"|"&amp;F1010&amp;"|"&amp;I1010&amp;"|"&amp;O1010)</f>
        <v/>
      </c>
      <c r="T1010" s="111" t="str">
        <f>IF(S1010="","",IF(COUNTIFS(L_Sleutel,S1010,L_Actief,1)=0,"",SUMIFS(L_Waarde,L_Sleutel,S1010,L_Actief,1)))</f>
        <v/>
      </c>
      <c r="U1010" s="111">
        <f>IF(OR(S1010="",T1010=""),0,P1010-T1010)</f>
        <v>0</v>
      </c>
      <c r="AB1010" s="112" t="n">
        <v>72</v>
      </c>
      <c r="AC1010" s="112" t="n">
        <v>8</v>
      </c>
      <c r="AD1010" s="112" t="str">
        <f>VERW_Project!BQ77</f>
        <v/>
      </c>
      <c r="AE1010" s="112">
        <f>IF(AND(VERW_Project!$A77&lt;&gt;"",ISNUMBER(AD1010)),1,0)</f>
        <v>0</v>
      </c>
      <c r="AF1010" s="112" t="str">
        <f>IF(AE1010=1,SUM($AE$8:AE1010),"")</f>
        <v/>
      </c>
      <c r="AG1010" t="str">
        <f>IFERROR(MATCH(1003,$AF$8:$AF$1407,0),"")</f>
        <v/>
      </c>
    </row>
    <row r="1011">
      <c r="A1011" s="92" t="str">
        <f>IF($AG1011="","",P_ImportID)</f>
        <v/>
      </c>
      <c r="B1011" s="92" t="str">
        <f>IF($AG1011="","",IF(INDEX($AN$8:$AN$21,INDEX($AC$8:$AC$1407,$AG1011)+1)="Z",P_BronZ,P_BronE))</f>
        <v/>
      </c>
      <c r="C1011" s="108" t="str">
        <f>IF($AG1011="","",P_Importdatum)</f>
        <v/>
      </c>
      <c r="D1011" s="92" t="str">
        <f>IF($AG1011="","",P_StatusVastleg)</f>
        <v/>
      </c>
      <c r="E1011" s="92" t="str">
        <f>IF($AG1011="","",P_UploadVJ)</f>
        <v/>
      </c>
      <c r="F1011" s="92" t="str">
        <f>IF($AG1011="","",P_UploadVersie)</f>
        <v/>
      </c>
      <c r="G1011" s="92" t="str">
        <f>IF($AG1011="","",IF(COUNTIFS(L_Sleutel,$S1011,L_Status,"Vastgesteld")=0,0,_xlfn.MAXIFS(L_Revisie,L_Sleutel,$S1011,L_Status,"Vastgesteld")+1))</f>
        <v/>
      </c>
      <c r="H1011" s="108" t="str">
        <f>IF($AG1011="","",P_Peildatum)</f>
        <v/>
      </c>
      <c r="I1011" s="92" t="str">
        <f>IF($AG1011="","",P_RJ+INDEX($AK$8:$AK$21,INDEX($AC$8:$AC$1407,$AG1011)+1))</f>
        <v/>
      </c>
      <c r="J1011" s="92" t="str">
        <f>IF($AG1011="","",INDEX(V_WBS,INDEX($AB$8:$AB$1407,$AG1011)))</f>
        <v/>
      </c>
      <c r="K1011" s="92" t="str">
        <f>IF($AG1011="","",INDEX(V_Projdef,INDEX($AB$8:$AB$1407,$AG1011)))</f>
        <v/>
      </c>
      <c r="L1011" s="92" t="str">
        <f>IF($AG1011="","",INDEX(V_Naam,INDEX($AB$8:$AB$1407,$AG1011)))</f>
        <v/>
      </c>
      <c r="M1011" s="92" t="str">
        <f>IF($AG1011="","",INDEX(V_Type,INDEX($AB$8:$AB$1407,$AG1011)))</f>
        <v/>
      </c>
      <c r="N1011" s="92" t="str">
        <f>IF($AG1011="","",INDEX(V_IFRS,INDEX($AB$8:$AB$1407,$AG1011)))</f>
        <v/>
      </c>
      <c r="O1011" s="92" t="str">
        <f>IF($AG1011="","",INDEX($AL$8:$AL$21,INDEX($AC$8:$AC$1407,$AG1011)+1))</f>
        <v/>
      </c>
      <c r="P1011" s="109" t="str">
        <f>IF($AG1011="","",INDEX($AD$8:$AD$1407,$AG1011))</f>
        <v/>
      </c>
      <c r="Q1011" s="92" t="str">
        <f>IF($AG1011="","",INDEX($AM$8:$AM$21,INDEX($AC$8:$AC$1407,$AG1011)+1))</f>
        <v/>
      </c>
      <c r="R1011" s="92" t="str">
        <f>IF($AG1011="","",IF($G1011&gt;0,P_ToelCorrectie&amp;"",""))</f>
        <v/>
      </c>
      <c r="S1011" s="15" t="str">
        <f>IF(J1011="","",J1011&amp;"|"&amp;E1011&amp;"|"&amp;F1011&amp;"|"&amp;I1011&amp;"|"&amp;O1011)</f>
        <v/>
      </c>
      <c r="T1011" s="111" t="str">
        <f>IF(S1011="","",IF(COUNTIFS(L_Sleutel,S1011,L_Actief,1)=0,"",SUMIFS(L_Waarde,L_Sleutel,S1011,L_Actief,1)))</f>
        <v/>
      </c>
      <c r="U1011" s="111">
        <f>IF(OR(S1011="",T1011=""),0,P1011-T1011)</f>
        <v>0</v>
      </c>
      <c r="AB1011" s="112" t="n">
        <v>72</v>
      </c>
      <c r="AC1011" s="112" t="n">
        <v>9</v>
      </c>
      <c r="AD1011" s="112" t="str">
        <f>VERW_Project!BR77</f>
        <v/>
      </c>
      <c r="AE1011" s="112">
        <f>IF(AND(VERW_Project!$A77&lt;&gt;"",ISNUMBER(AD1011)),1,0)</f>
        <v>0</v>
      </c>
      <c r="AF1011" s="112" t="str">
        <f>IF(AE1011=1,SUM($AE$8:AE1011),"")</f>
        <v/>
      </c>
      <c r="AG1011" t="str">
        <f>IFERROR(MATCH(1004,$AF$8:$AF$1407,0),"")</f>
        <v/>
      </c>
    </row>
    <row r="1012">
      <c r="A1012" s="92" t="str">
        <f>IF($AG1012="","",P_ImportID)</f>
        <v/>
      </c>
      <c r="B1012" s="92" t="str">
        <f>IF($AG1012="","",IF(INDEX($AN$8:$AN$21,INDEX($AC$8:$AC$1407,$AG1012)+1)="Z",P_BronZ,P_BronE))</f>
        <v/>
      </c>
      <c r="C1012" s="108" t="str">
        <f>IF($AG1012="","",P_Importdatum)</f>
        <v/>
      </c>
      <c r="D1012" s="92" t="str">
        <f>IF($AG1012="","",P_StatusVastleg)</f>
        <v/>
      </c>
      <c r="E1012" s="92" t="str">
        <f>IF($AG1012="","",P_UploadVJ)</f>
        <v/>
      </c>
      <c r="F1012" s="92" t="str">
        <f>IF($AG1012="","",P_UploadVersie)</f>
        <v/>
      </c>
      <c r="G1012" s="92" t="str">
        <f>IF($AG1012="","",IF(COUNTIFS(L_Sleutel,$S1012,L_Status,"Vastgesteld")=0,0,_xlfn.MAXIFS(L_Revisie,L_Sleutel,$S1012,L_Status,"Vastgesteld")+1))</f>
        <v/>
      </c>
      <c r="H1012" s="108" t="str">
        <f>IF($AG1012="","",P_Peildatum)</f>
        <v/>
      </c>
      <c r="I1012" s="92" t="str">
        <f>IF($AG1012="","",P_RJ+INDEX($AK$8:$AK$21,INDEX($AC$8:$AC$1407,$AG1012)+1))</f>
        <v/>
      </c>
      <c r="J1012" s="92" t="str">
        <f>IF($AG1012="","",INDEX(V_WBS,INDEX($AB$8:$AB$1407,$AG1012)))</f>
        <v/>
      </c>
      <c r="K1012" s="92" t="str">
        <f>IF($AG1012="","",INDEX(V_Projdef,INDEX($AB$8:$AB$1407,$AG1012)))</f>
        <v/>
      </c>
      <c r="L1012" s="92" t="str">
        <f>IF($AG1012="","",INDEX(V_Naam,INDEX($AB$8:$AB$1407,$AG1012)))</f>
        <v/>
      </c>
      <c r="M1012" s="92" t="str">
        <f>IF($AG1012="","",INDEX(V_Type,INDEX($AB$8:$AB$1407,$AG1012)))</f>
        <v/>
      </c>
      <c r="N1012" s="92" t="str">
        <f>IF($AG1012="","",INDEX(V_IFRS,INDEX($AB$8:$AB$1407,$AG1012)))</f>
        <v/>
      </c>
      <c r="O1012" s="92" t="str">
        <f>IF($AG1012="","",INDEX($AL$8:$AL$21,INDEX($AC$8:$AC$1407,$AG1012)+1))</f>
        <v/>
      </c>
      <c r="P1012" s="109" t="str">
        <f>IF($AG1012="","",INDEX($AD$8:$AD$1407,$AG1012))</f>
        <v/>
      </c>
      <c r="Q1012" s="92" t="str">
        <f>IF($AG1012="","",INDEX($AM$8:$AM$21,INDEX($AC$8:$AC$1407,$AG1012)+1))</f>
        <v/>
      </c>
      <c r="R1012" s="92" t="str">
        <f>IF($AG1012="","",IF($G1012&gt;0,P_ToelCorrectie&amp;"",""))</f>
        <v/>
      </c>
      <c r="S1012" s="15" t="str">
        <f>IF(J1012="","",J1012&amp;"|"&amp;E1012&amp;"|"&amp;F1012&amp;"|"&amp;I1012&amp;"|"&amp;O1012)</f>
        <v/>
      </c>
      <c r="T1012" s="111" t="str">
        <f>IF(S1012="","",IF(COUNTIFS(L_Sleutel,S1012,L_Actief,1)=0,"",SUMIFS(L_Waarde,L_Sleutel,S1012,L_Actief,1)))</f>
        <v/>
      </c>
      <c r="U1012" s="111">
        <f>IF(OR(S1012="",T1012=""),0,P1012-T1012)</f>
        <v>0</v>
      </c>
      <c r="AB1012" s="112" t="n">
        <v>72</v>
      </c>
      <c r="AC1012" s="112" t="n">
        <v>10</v>
      </c>
      <c r="AD1012" s="112" t="str">
        <f>VERW_Project!BS77</f>
        <v/>
      </c>
      <c r="AE1012" s="112">
        <f>IF(AND(VERW_Project!$A77&lt;&gt;"",ISNUMBER(AD1012)),1,0)</f>
        <v>0</v>
      </c>
      <c r="AF1012" s="112" t="str">
        <f>IF(AE1012=1,SUM($AE$8:AE1012),"")</f>
        <v/>
      </c>
      <c r="AG1012" t="str">
        <f>IFERROR(MATCH(1005,$AF$8:$AF$1407,0),"")</f>
        <v/>
      </c>
    </row>
    <row r="1013">
      <c r="A1013" s="92" t="str">
        <f>IF($AG1013="","",P_ImportID)</f>
        <v/>
      </c>
      <c r="B1013" s="92" t="str">
        <f>IF($AG1013="","",IF(INDEX($AN$8:$AN$21,INDEX($AC$8:$AC$1407,$AG1013)+1)="Z",P_BronZ,P_BronE))</f>
        <v/>
      </c>
      <c r="C1013" s="108" t="str">
        <f>IF($AG1013="","",P_Importdatum)</f>
        <v/>
      </c>
      <c r="D1013" s="92" t="str">
        <f>IF($AG1013="","",P_StatusVastleg)</f>
        <v/>
      </c>
      <c r="E1013" s="92" t="str">
        <f>IF($AG1013="","",P_UploadVJ)</f>
        <v/>
      </c>
      <c r="F1013" s="92" t="str">
        <f>IF($AG1013="","",P_UploadVersie)</f>
        <v/>
      </c>
      <c r="G1013" s="92" t="str">
        <f>IF($AG1013="","",IF(COUNTIFS(L_Sleutel,$S1013,L_Status,"Vastgesteld")=0,0,_xlfn.MAXIFS(L_Revisie,L_Sleutel,$S1013,L_Status,"Vastgesteld")+1))</f>
        <v/>
      </c>
      <c r="H1013" s="108" t="str">
        <f>IF($AG1013="","",P_Peildatum)</f>
        <v/>
      </c>
      <c r="I1013" s="92" t="str">
        <f>IF($AG1013="","",P_RJ+INDEX($AK$8:$AK$21,INDEX($AC$8:$AC$1407,$AG1013)+1))</f>
        <v/>
      </c>
      <c r="J1013" s="92" t="str">
        <f>IF($AG1013="","",INDEX(V_WBS,INDEX($AB$8:$AB$1407,$AG1013)))</f>
        <v/>
      </c>
      <c r="K1013" s="92" t="str">
        <f>IF($AG1013="","",INDEX(V_Projdef,INDEX($AB$8:$AB$1407,$AG1013)))</f>
        <v/>
      </c>
      <c r="L1013" s="92" t="str">
        <f>IF($AG1013="","",INDEX(V_Naam,INDEX($AB$8:$AB$1407,$AG1013)))</f>
        <v/>
      </c>
      <c r="M1013" s="92" t="str">
        <f>IF($AG1013="","",INDEX(V_Type,INDEX($AB$8:$AB$1407,$AG1013)))</f>
        <v/>
      </c>
      <c r="N1013" s="92" t="str">
        <f>IF($AG1013="","",INDEX(V_IFRS,INDEX($AB$8:$AB$1407,$AG1013)))</f>
        <v/>
      </c>
      <c r="O1013" s="92" t="str">
        <f>IF($AG1013="","",INDEX($AL$8:$AL$21,INDEX($AC$8:$AC$1407,$AG1013)+1))</f>
        <v/>
      </c>
      <c r="P1013" s="109" t="str">
        <f>IF($AG1013="","",INDEX($AD$8:$AD$1407,$AG1013))</f>
        <v/>
      </c>
      <c r="Q1013" s="92" t="str">
        <f>IF($AG1013="","",INDEX($AM$8:$AM$21,INDEX($AC$8:$AC$1407,$AG1013)+1))</f>
        <v/>
      </c>
      <c r="R1013" s="92" t="str">
        <f>IF($AG1013="","",IF($G1013&gt;0,P_ToelCorrectie&amp;"",""))</f>
        <v/>
      </c>
      <c r="S1013" s="15" t="str">
        <f>IF(J1013="","",J1013&amp;"|"&amp;E1013&amp;"|"&amp;F1013&amp;"|"&amp;I1013&amp;"|"&amp;O1013)</f>
        <v/>
      </c>
      <c r="T1013" s="111" t="str">
        <f>IF(S1013="","",IF(COUNTIFS(L_Sleutel,S1013,L_Actief,1)=0,"",SUMIFS(L_Waarde,L_Sleutel,S1013,L_Actief,1)))</f>
        <v/>
      </c>
      <c r="U1013" s="111">
        <f>IF(OR(S1013="",T1013=""),0,P1013-T1013)</f>
        <v>0</v>
      </c>
      <c r="AB1013" s="112" t="n">
        <v>72</v>
      </c>
      <c r="AC1013" s="112" t="n">
        <v>11</v>
      </c>
      <c r="AD1013" s="112" t="str">
        <f>VERW_Project!BT77</f>
        <v/>
      </c>
      <c r="AE1013" s="112">
        <f>IF(AND(VERW_Project!$A77&lt;&gt;"",ISNUMBER(AD1013)),1,0)</f>
        <v>0</v>
      </c>
      <c r="AF1013" s="112" t="str">
        <f>IF(AE1013=1,SUM($AE$8:AE1013),"")</f>
        <v/>
      </c>
      <c r="AG1013" t="str">
        <f>IFERROR(MATCH(1006,$AF$8:$AF$1407,0),"")</f>
        <v/>
      </c>
    </row>
    <row r="1014">
      <c r="A1014" s="92" t="str">
        <f>IF($AG1014="","",P_ImportID)</f>
        <v/>
      </c>
      <c r="B1014" s="92" t="str">
        <f>IF($AG1014="","",IF(INDEX($AN$8:$AN$21,INDEX($AC$8:$AC$1407,$AG1014)+1)="Z",P_BronZ,P_BronE))</f>
        <v/>
      </c>
      <c r="C1014" s="108" t="str">
        <f>IF($AG1014="","",P_Importdatum)</f>
        <v/>
      </c>
      <c r="D1014" s="92" t="str">
        <f>IF($AG1014="","",P_StatusVastleg)</f>
        <v/>
      </c>
      <c r="E1014" s="92" t="str">
        <f>IF($AG1014="","",P_UploadVJ)</f>
        <v/>
      </c>
      <c r="F1014" s="92" t="str">
        <f>IF($AG1014="","",P_UploadVersie)</f>
        <v/>
      </c>
      <c r="G1014" s="92" t="str">
        <f>IF($AG1014="","",IF(COUNTIFS(L_Sleutel,$S1014,L_Status,"Vastgesteld")=0,0,_xlfn.MAXIFS(L_Revisie,L_Sleutel,$S1014,L_Status,"Vastgesteld")+1))</f>
        <v/>
      </c>
      <c r="H1014" s="108" t="str">
        <f>IF($AG1014="","",P_Peildatum)</f>
        <v/>
      </c>
      <c r="I1014" s="92" t="str">
        <f>IF($AG1014="","",P_RJ+INDEX($AK$8:$AK$21,INDEX($AC$8:$AC$1407,$AG1014)+1))</f>
        <v/>
      </c>
      <c r="J1014" s="92" t="str">
        <f>IF($AG1014="","",INDEX(V_WBS,INDEX($AB$8:$AB$1407,$AG1014)))</f>
        <v/>
      </c>
      <c r="K1014" s="92" t="str">
        <f>IF($AG1014="","",INDEX(V_Projdef,INDEX($AB$8:$AB$1407,$AG1014)))</f>
        <v/>
      </c>
      <c r="L1014" s="92" t="str">
        <f>IF($AG1014="","",INDEX(V_Naam,INDEX($AB$8:$AB$1407,$AG1014)))</f>
        <v/>
      </c>
      <c r="M1014" s="92" t="str">
        <f>IF($AG1014="","",INDEX(V_Type,INDEX($AB$8:$AB$1407,$AG1014)))</f>
        <v/>
      </c>
      <c r="N1014" s="92" t="str">
        <f>IF($AG1014="","",INDEX(V_IFRS,INDEX($AB$8:$AB$1407,$AG1014)))</f>
        <v/>
      </c>
      <c r="O1014" s="92" t="str">
        <f>IF($AG1014="","",INDEX($AL$8:$AL$21,INDEX($AC$8:$AC$1407,$AG1014)+1))</f>
        <v/>
      </c>
      <c r="P1014" s="109" t="str">
        <f>IF($AG1014="","",INDEX($AD$8:$AD$1407,$AG1014))</f>
        <v/>
      </c>
      <c r="Q1014" s="92" t="str">
        <f>IF($AG1014="","",INDEX($AM$8:$AM$21,INDEX($AC$8:$AC$1407,$AG1014)+1))</f>
        <v/>
      </c>
      <c r="R1014" s="92" t="str">
        <f>IF($AG1014="","",IF($G1014&gt;0,P_ToelCorrectie&amp;"",""))</f>
        <v/>
      </c>
      <c r="S1014" s="15" t="str">
        <f>IF(J1014="","",J1014&amp;"|"&amp;E1014&amp;"|"&amp;F1014&amp;"|"&amp;I1014&amp;"|"&amp;O1014)</f>
        <v/>
      </c>
      <c r="T1014" s="111" t="str">
        <f>IF(S1014="","",IF(COUNTIFS(L_Sleutel,S1014,L_Actief,1)=0,"",SUMIFS(L_Waarde,L_Sleutel,S1014,L_Actief,1)))</f>
        <v/>
      </c>
      <c r="U1014" s="111">
        <f>IF(OR(S1014="",T1014=""),0,P1014-T1014)</f>
        <v>0</v>
      </c>
      <c r="AB1014" s="112" t="n">
        <v>72</v>
      </c>
      <c r="AC1014" s="112" t="n">
        <v>12</v>
      </c>
      <c r="AD1014" s="112" t="str">
        <f>VERW_Project!BU77</f>
        <v/>
      </c>
      <c r="AE1014" s="112">
        <f>IF(AND(VERW_Project!$A77&lt;&gt;"",ISNUMBER(AD1014)),1,0)</f>
        <v>0</v>
      </c>
      <c r="AF1014" s="112" t="str">
        <f>IF(AE1014=1,SUM($AE$8:AE1014),"")</f>
        <v/>
      </c>
      <c r="AG1014" t="str">
        <f>IFERROR(MATCH(1007,$AF$8:$AF$1407,0),"")</f>
        <v/>
      </c>
    </row>
    <row r="1015">
      <c r="A1015" s="92" t="str">
        <f>IF($AG1015="","",P_ImportID)</f>
        <v/>
      </c>
      <c r="B1015" s="92" t="str">
        <f>IF($AG1015="","",IF(INDEX($AN$8:$AN$21,INDEX($AC$8:$AC$1407,$AG1015)+1)="Z",P_BronZ,P_BronE))</f>
        <v/>
      </c>
      <c r="C1015" s="108" t="str">
        <f>IF($AG1015="","",P_Importdatum)</f>
        <v/>
      </c>
      <c r="D1015" s="92" t="str">
        <f>IF($AG1015="","",P_StatusVastleg)</f>
        <v/>
      </c>
      <c r="E1015" s="92" t="str">
        <f>IF($AG1015="","",P_UploadVJ)</f>
        <v/>
      </c>
      <c r="F1015" s="92" t="str">
        <f>IF($AG1015="","",P_UploadVersie)</f>
        <v/>
      </c>
      <c r="G1015" s="92" t="str">
        <f>IF($AG1015="","",IF(COUNTIFS(L_Sleutel,$S1015,L_Status,"Vastgesteld")=0,0,_xlfn.MAXIFS(L_Revisie,L_Sleutel,$S1015,L_Status,"Vastgesteld")+1))</f>
        <v/>
      </c>
      <c r="H1015" s="108" t="str">
        <f>IF($AG1015="","",P_Peildatum)</f>
        <v/>
      </c>
      <c r="I1015" s="92" t="str">
        <f>IF($AG1015="","",P_RJ+INDEX($AK$8:$AK$21,INDEX($AC$8:$AC$1407,$AG1015)+1))</f>
        <v/>
      </c>
      <c r="J1015" s="92" t="str">
        <f>IF($AG1015="","",INDEX(V_WBS,INDEX($AB$8:$AB$1407,$AG1015)))</f>
        <v/>
      </c>
      <c r="K1015" s="92" t="str">
        <f>IF($AG1015="","",INDEX(V_Projdef,INDEX($AB$8:$AB$1407,$AG1015)))</f>
        <v/>
      </c>
      <c r="L1015" s="92" t="str">
        <f>IF($AG1015="","",INDEX(V_Naam,INDEX($AB$8:$AB$1407,$AG1015)))</f>
        <v/>
      </c>
      <c r="M1015" s="92" t="str">
        <f>IF($AG1015="","",INDEX(V_Type,INDEX($AB$8:$AB$1407,$AG1015)))</f>
        <v/>
      </c>
      <c r="N1015" s="92" t="str">
        <f>IF($AG1015="","",INDEX(V_IFRS,INDEX($AB$8:$AB$1407,$AG1015)))</f>
        <v/>
      </c>
      <c r="O1015" s="92" t="str">
        <f>IF($AG1015="","",INDEX($AL$8:$AL$21,INDEX($AC$8:$AC$1407,$AG1015)+1))</f>
        <v/>
      </c>
      <c r="P1015" s="109" t="str">
        <f>IF($AG1015="","",INDEX($AD$8:$AD$1407,$AG1015))</f>
        <v/>
      </c>
      <c r="Q1015" s="92" t="str">
        <f>IF($AG1015="","",INDEX($AM$8:$AM$21,INDEX($AC$8:$AC$1407,$AG1015)+1))</f>
        <v/>
      </c>
      <c r="R1015" s="92" t="str">
        <f>IF($AG1015="","",IF($G1015&gt;0,P_ToelCorrectie&amp;"",""))</f>
        <v/>
      </c>
      <c r="S1015" s="15" t="str">
        <f>IF(J1015="","",J1015&amp;"|"&amp;E1015&amp;"|"&amp;F1015&amp;"|"&amp;I1015&amp;"|"&amp;O1015)</f>
        <v/>
      </c>
      <c r="T1015" s="111" t="str">
        <f>IF(S1015="","",IF(COUNTIFS(L_Sleutel,S1015,L_Actief,1)=0,"",SUMIFS(L_Waarde,L_Sleutel,S1015,L_Actief,1)))</f>
        <v/>
      </c>
      <c r="U1015" s="111">
        <f>IF(OR(S1015="",T1015=""),0,P1015-T1015)</f>
        <v>0</v>
      </c>
      <c r="AB1015" s="112" t="n">
        <v>72</v>
      </c>
      <c r="AC1015" s="112" t="n">
        <v>13</v>
      </c>
      <c r="AD1015" s="112" t="str">
        <f>VERW_Project!BX77</f>
        <v/>
      </c>
      <c r="AE1015" s="112">
        <f>IF(AND(VERW_Project!$A77&lt;&gt;"",ISNUMBER(AD1015)),1,0)</f>
        <v>0</v>
      </c>
      <c r="AF1015" s="112" t="str">
        <f>IF(AE1015=1,SUM($AE$8:AE1015),"")</f>
        <v/>
      </c>
      <c r="AG1015" t="str">
        <f>IFERROR(MATCH(1008,$AF$8:$AF$1407,0),"")</f>
        <v/>
      </c>
    </row>
    <row r="1016">
      <c r="A1016" s="92" t="str">
        <f>IF($AG1016="","",P_ImportID)</f>
        <v/>
      </c>
      <c r="B1016" s="92" t="str">
        <f>IF($AG1016="","",IF(INDEX($AN$8:$AN$21,INDEX($AC$8:$AC$1407,$AG1016)+1)="Z",P_BronZ,P_BronE))</f>
        <v/>
      </c>
      <c r="C1016" s="108" t="str">
        <f>IF($AG1016="","",P_Importdatum)</f>
        <v/>
      </c>
      <c r="D1016" s="92" t="str">
        <f>IF($AG1016="","",P_StatusVastleg)</f>
        <v/>
      </c>
      <c r="E1016" s="92" t="str">
        <f>IF($AG1016="","",P_UploadVJ)</f>
        <v/>
      </c>
      <c r="F1016" s="92" t="str">
        <f>IF($AG1016="","",P_UploadVersie)</f>
        <v/>
      </c>
      <c r="G1016" s="92" t="str">
        <f>IF($AG1016="","",IF(COUNTIFS(L_Sleutel,$S1016,L_Status,"Vastgesteld")=0,0,_xlfn.MAXIFS(L_Revisie,L_Sleutel,$S1016,L_Status,"Vastgesteld")+1))</f>
        <v/>
      </c>
      <c r="H1016" s="108" t="str">
        <f>IF($AG1016="","",P_Peildatum)</f>
        <v/>
      </c>
      <c r="I1016" s="92" t="str">
        <f>IF($AG1016="","",P_RJ+INDEX($AK$8:$AK$21,INDEX($AC$8:$AC$1407,$AG1016)+1))</f>
        <v/>
      </c>
      <c r="J1016" s="92" t="str">
        <f>IF($AG1016="","",INDEX(V_WBS,INDEX($AB$8:$AB$1407,$AG1016)))</f>
        <v/>
      </c>
      <c r="K1016" s="92" t="str">
        <f>IF($AG1016="","",INDEX(V_Projdef,INDEX($AB$8:$AB$1407,$AG1016)))</f>
        <v/>
      </c>
      <c r="L1016" s="92" t="str">
        <f>IF($AG1016="","",INDEX(V_Naam,INDEX($AB$8:$AB$1407,$AG1016)))</f>
        <v/>
      </c>
      <c r="M1016" s="92" t="str">
        <f>IF($AG1016="","",INDEX(V_Type,INDEX($AB$8:$AB$1407,$AG1016)))</f>
        <v/>
      </c>
      <c r="N1016" s="92" t="str">
        <f>IF($AG1016="","",INDEX(V_IFRS,INDEX($AB$8:$AB$1407,$AG1016)))</f>
        <v/>
      </c>
      <c r="O1016" s="92" t="str">
        <f>IF($AG1016="","",INDEX($AL$8:$AL$21,INDEX($AC$8:$AC$1407,$AG1016)+1))</f>
        <v/>
      </c>
      <c r="P1016" s="109" t="str">
        <f>IF($AG1016="","",INDEX($AD$8:$AD$1407,$AG1016))</f>
        <v/>
      </c>
      <c r="Q1016" s="92" t="str">
        <f>IF($AG1016="","",INDEX($AM$8:$AM$21,INDEX($AC$8:$AC$1407,$AG1016)+1))</f>
        <v/>
      </c>
      <c r="R1016" s="92" t="str">
        <f>IF($AG1016="","",IF($G1016&gt;0,P_ToelCorrectie&amp;"",""))</f>
        <v/>
      </c>
      <c r="S1016" s="15" t="str">
        <f>IF(J1016="","",J1016&amp;"|"&amp;E1016&amp;"|"&amp;F1016&amp;"|"&amp;I1016&amp;"|"&amp;O1016)</f>
        <v/>
      </c>
      <c r="T1016" s="111" t="str">
        <f>IF(S1016="","",IF(COUNTIFS(L_Sleutel,S1016,L_Actief,1)=0,"",SUMIFS(L_Waarde,L_Sleutel,S1016,L_Actief,1)))</f>
        <v/>
      </c>
      <c r="U1016" s="111">
        <f>IF(OR(S1016="",T1016=""),0,P1016-T1016)</f>
        <v>0</v>
      </c>
      <c r="AB1016" s="112" t="n">
        <v>73</v>
      </c>
      <c r="AC1016" s="112" t="n">
        <v>0</v>
      </c>
      <c r="AD1016" s="112" t="str">
        <f>VERW_Project!P78</f>
        <v/>
      </c>
      <c r="AE1016" s="112">
        <f>IF(AND(VERW_Project!$A78&lt;&gt;"",ISNUMBER(AD1016)),1,0)</f>
        <v>0</v>
      </c>
      <c r="AF1016" s="112" t="str">
        <f>IF(AE1016=1,SUM($AE$8:AE1016),"")</f>
        <v/>
      </c>
      <c r="AG1016" t="str">
        <f>IFERROR(MATCH(1009,$AF$8:$AF$1407,0),"")</f>
        <v/>
      </c>
    </row>
    <row r="1017">
      <c r="A1017" s="92" t="str">
        <f>IF($AG1017="","",P_ImportID)</f>
        <v/>
      </c>
      <c r="B1017" s="92" t="str">
        <f>IF($AG1017="","",IF(INDEX($AN$8:$AN$21,INDEX($AC$8:$AC$1407,$AG1017)+1)="Z",P_BronZ,P_BronE))</f>
        <v/>
      </c>
      <c r="C1017" s="108" t="str">
        <f>IF($AG1017="","",P_Importdatum)</f>
        <v/>
      </c>
      <c r="D1017" s="92" t="str">
        <f>IF($AG1017="","",P_StatusVastleg)</f>
        <v/>
      </c>
      <c r="E1017" s="92" t="str">
        <f>IF($AG1017="","",P_UploadVJ)</f>
        <v/>
      </c>
      <c r="F1017" s="92" t="str">
        <f>IF($AG1017="","",P_UploadVersie)</f>
        <v/>
      </c>
      <c r="G1017" s="92" t="str">
        <f>IF($AG1017="","",IF(COUNTIFS(L_Sleutel,$S1017,L_Status,"Vastgesteld")=0,0,_xlfn.MAXIFS(L_Revisie,L_Sleutel,$S1017,L_Status,"Vastgesteld")+1))</f>
        <v/>
      </c>
      <c r="H1017" s="108" t="str">
        <f>IF($AG1017="","",P_Peildatum)</f>
        <v/>
      </c>
      <c r="I1017" s="92" t="str">
        <f>IF($AG1017="","",P_RJ+INDEX($AK$8:$AK$21,INDEX($AC$8:$AC$1407,$AG1017)+1))</f>
        <v/>
      </c>
      <c r="J1017" s="92" t="str">
        <f>IF($AG1017="","",INDEX(V_WBS,INDEX($AB$8:$AB$1407,$AG1017)))</f>
        <v/>
      </c>
      <c r="K1017" s="92" t="str">
        <f>IF($AG1017="","",INDEX(V_Projdef,INDEX($AB$8:$AB$1407,$AG1017)))</f>
        <v/>
      </c>
      <c r="L1017" s="92" t="str">
        <f>IF($AG1017="","",INDEX(V_Naam,INDEX($AB$8:$AB$1407,$AG1017)))</f>
        <v/>
      </c>
      <c r="M1017" s="92" t="str">
        <f>IF($AG1017="","",INDEX(V_Type,INDEX($AB$8:$AB$1407,$AG1017)))</f>
        <v/>
      </c>
      <c r="N1017" s="92" t="str">
        <f>IF($AG1017="","",INDEX(V_IFRS,INDEX($AB$8:$AB$1407,$AG1017)))</f>
        <v/>
      </c>
      <c r="O1017" s="92" t="str">
        <f>IF($AG1017="","",INDEX($AL$8:$AL$21,INDEX($AC$8:$AC$1407,$AG1017)+1))</f>
        <v/>
      </c>
      <c r="P1017" s="109" t="str">
        <f>IF($AG1017="","",INDEX($AD$8:$AD$1407,$AG1017))</f>
        <v/>
      </c>
      <c r="Q1017" s="92" t="str">
        <f>IF($AG1017="","",INDEX($AM$8:$AM$21,INDEX($AC$8:$AC$1407,$AG1017)+1))</f>
        <v/>
      </c>
      <c r="R1017" s="92" t="str">
        <f>IF($AG1017="","",IF($G1017&gt;0,P_ToelCorrectie&amp;"",""))</f>
        <v/>
      </c>
      <c r="S1017" s="15" t="str">
        <f>IF(J1017="","",J1017&amp;"|"&amp;E1017&amp;"|"&amp;F1017&amp;"|"&amp;I1017&amp;"|"&amp;O1017)</f>
        <v/>
      </c>
      <c r="T1017" s="111" t="str">
        <f>IF(S1017="","",IF(COUNTIFS(L_Sleutel,S1017,L_Actief,1)=0,"",SUMIFS(L_Waarde,L_Sleutel,S1017,L_Actief,1)))</f>
        <v/>
      </c>
      <c r="U1017" s="111">
        <f>IF(OR(S1017="",T1017=""),0,P1017-T1017)</f>
        <v>0</v>
      </c>
      <c r="AB1017" s="112" t="n">
        <v>73</v>
      </c>
      <c r="AC1017" s="112" t="n">
        <v>1</v>
      </c>
      <c r="AD1017" s="112" t="str">
        <f>VERW_Project!Q78</f>
        <v/>
      </c>
      <c r="AE1017" s="112">
        <f>IF(AND(VERW_Project!$A78&lt;&gt;"",ISNUMBER(AD1017)),1,0)</f>
        <v>0</v>
      </c>
      <c r="AF1017" s="112" t="str">
        <f>IF(AE1017=1,SUM($AE$8:AE1017),"")</f>
        <v/>
      </c>
      <c r="AG1017" t="str">
        <f>IFERROR(MATCH(1010,$AF$8:$AF$1407,0),"")</f>
        <v/>
      </c>
    </row>
    <row r="1018">
      <c r="A1018" s="92" t="str">
        <f>IF($AG1018="","",P_ImportID)</f>
        <v/>
      </c>
      <c r="B1018" s="92" t="str">
        <f>IF($AG1018="","",IF(INDEX($AN$8:$AN$21,INDEX($AC$8:$AC$1407,$AG1018)+1)="Z",P_BronZ,P_BronE))</f>
        <v/>
      </c>
      <c r="C1018" s="108" t="str">
        <f>IF($AG1018="","",P_Importdatum)</f>
        <v/>
      </c>
      <c r="D1018" s="92" t="str">
        <f>IF($AG1018="","",P_StatusVastleg)</f>
        <v/>
      </c>
      <c r="E1018" s="92" t="str">
        <f>IF($AG1018="","",P_UploadVJ)</f>
        <v/>
      </c>
      <c r="F1018" s="92" t="str">
        <f>IF($AG1018="","",P_UploadVersie)</f>
        <v/>
      </c>
      <c r="G1018" s="92" t="str">
        <f>IF($AG1018="","",IF(COUNTIFS(L_Sleutel,$S1018,L_Status,"Vastgesteld")=0,0,_xlfn.MAXIFS(L_Revisie,L_Sleutel,$S1018,L_Status,"Vastgesteld")+1))</f>
        <v/>
      </c>
      <c r="H1018" s="108" t="str">
        <f>IF($AG1018="","",P_Peildatum)</f>
        <v/>
      </c>
      <c r="I1018" s="92" t="str">
        <f>IF($AG1018="","",P_RJ+INDEX($AK$8:$AK$21,INDEX($AC$8:$AC$1407,$AG1018)+1))</f>
        <v/>
      </c>
      <c r="J1018" s="92" t="str">
        <f>IF($AG1018="","",INDEX(V_WBS,INDEX($AB$8:$AB$1407,$AG1018)))</f>
        <v/>
      </c>
      <c r="K1018" s="92" t="str">
        <f>IF($AG1018="","",INDEX(V_Projdef,INDEX($AB$8:$AB$1407,$AG1018)))</f>
        <v/>
      </c>
      <c r="L1018" s="92" t="str">
        <f>IF($AG1018="","",INDEX(V_Naam,INDEX($AB$8:$AB$1407,$AG1018)))</f>
        <v/>
      </c>
      <c r="M1018" s="92" t="str">
        <f>IF($AG1018="","",INDEX(V_Type,INDEX($AB$8:$AB$1407,$AG1018)))</f>
        <v/>
      </c>
      <c r="N1018" s="92" t="str">
        <f>IF($AG1018="","",INDEX(V_IFRS,INDEX($AB$8:$AB$1407,$AG1018)))</f>
        <v/>
      </c>
      <c r="O1018" s="92" t="str">
        <f>IF($AG1018="","",INDEX($AL$8:$AL$21,INDEX($AC$8:$AC$1407,$AG1018)+1))</f>
        <v/>
      </c>
      <c r="P1018" s="109" t="str">
        <f>IF($AG1018="","",INDEX($AD$8:$AD$1407,$AG1018))</f>
        <v/>
      </c>
      <c r="Q1018" s="92" t="str">
        <f>IF($AG1018="","",INDEX($AM$8:$AM$21,INDEX($AC$8:$AC$1407,$AG1018)+1))</f>
        <v/>
      </c>
      <c r="R1018" s="92" t="str">
        <f>IF($AG1018="","",IF($G1018&gt;0,P_ToelCorrectie&amp;"",""))</f>
        <v/>
      </c>
      <c r="S1018" s="15" t="str">
        <f>IF(J1018="","",J1018&amp;"|"&amp;E1018&amp;"|"&amp;F1018&amp;"|"&amp;I1018&amp;"|"&amp;O1018)</f>
        <v/>
      </c>
      <c r="T1018" s="111" t="str">
        <f>IF(S1018="","",IF(COUNTIFS(L_Sleutel,S1018,L_Actief,1)=0,"",SUMIFS(L_Waarde,L_Sleutel,S1018,L_Actief,1)))</f>
        <v/>
      </c>
      <c r="U1018" s="111">
        <f>IF(OR(S1018="",T1018=""),0,P1018-T1018)</f>
        <v>0</v>
      </c>
      <c r="AB1018" s="112" t="n">
        <v>73</v>
      </c>
      <c r="AC1018" s="112" t="n">
        <v>2</v>
      </c>
      <c r="AD1018" s="112" t="str">
        <f>VERW_Project!L78</f>
        <v/>
      </c>
      <c r="AE1018" s="112">
        <f>IF(AND(VERW_Project!$A78&lt;&gt;"",ISNUMBER(AD1018)),1,0)</f>
        <v>0</v>
      </c>
      <c r="AF1018" s="112" t="str">
        <f>IF(AE1018=1,SUM($AE$8:AE1018),"")</f>
        <v/>
      </c>
      <c r="AG1018" t="str">
        <f>IFERROR(MATCH(1011,$AF$8:$AF$1407,0),"")</f>
        <v/>
      </c>
    </row>
    <row r="1019">
      <c r="A1019" s="92" t="str">
        <f>IF($AG1019="","",P_ImportID)</f>
        <v/>
      </c>
      <c r="B1019" s="92" t="str">
        <f>IF($AG1019="","",IF(INDEX($AN$8:$AN$21,INDEX($AC$8:$AC$1407,$AG1019)+1)="Z",P_BronZ,P_BronE))</f>
        <v/>
      </c>
      <c r="C1019" s="108" t="str">
        <f>IF($AG1019="","",P_Importdatum)</f>
        <v/>
      </c>
      <c r="D1019" s="92" t="str">
        <f>IF($AG1019="","",P_StatusVastleg)</f>
        <v/>
      </c>
      <c r="E1019" s="92" t="str">
        <f>IF($AG1019="","",P_UploadVJ)</f>
        <v/>
      </c>
      <c r="F1019" s="92" t="str">
        <f>IF($AG1019="","",P_UploadVersie)</f>
        <v/>
      </c>
      <c r="G1019" s="92" t="str">
        <f>IF($AG1019="","",IF(COUNTIFS(L_Sleutel,$S1019,L_Status,"Vastgesteld")=0,0,_xlfn.MAXIFS(L_Revisie,L_Sleutel,$S1019,L_Status,"Vastgesteld")+1))</f>
        <v/>
      </c>
      <c r="H1019" s="108" t="str">
        <f>IF($AG1019="","",P_Peildatum)</f>
        <v/>
      </c>
      <c r="I1019" s="92" t="str">
        <f>IF($AG1019="","",P_RJ+INDEX($AK$8:$AK$21,INDEX($AC$8:$AC$1407,$AG1019)+1))</f>
        <v/>
      </c>
      <c r="J1019" s="92" t="str">
        <f>IF($AG1019="","",INDEX(V_WBS,INDEX($AB$8:$AB$1407,$AG1019)))</f>
        <v/>
      </c>
      <c r="K1019" s="92" t="str">
        <f>IF($AG1019="","",INDEX(V_Projdef,INDEX($AB$8:$AB$1407,$AG1019)))</f>
        <v/>
      </c>
      <c r="L1019" s="92" t="str">
        <f>IF($AG1019="","",INDEX(V_Naam,INDEX($AB$8:$AB$1407,$AG1019)))</f>
        <v/>
      </c>
      <c r="M1019" s="92" t="str">
        <f>IF($AG1019="","",INDEX(V_Type,INDEX($AB$8:$AB$1407,$AG1019)))</f>
        <v/>
      </c>
      <c r="N1019" s="92" t="str">
        <f>IF($AG1019="","",INDEX(V_IFRS,INDEX($AB$8:$AB$1407,$AG1019)))</f>
        <v/>
      </c>
      <c r="O1019" s="92" t="str">
        <f>IF($AG1019="","",INDEX($AL$8:$AL$21,INDEX($AC$8:$AC$1407,$AG1019)+1))</f>
        <v/>
      </c>
      <c r="P1019" s="109" t="str">
        <f>IF($AG1019="","",INDEX($AD$8:$AD$1407,$AG1019))</f>
        <v/>
      </c>
      <c r="Q1019" s="92" t="str">
        <f>IF($AG1019="","",INDEX($AM$8:$AM$21,INDEX($AC$8:$AC$1407,$AG1019)+1))</f>
        <v/>
      </c>
      <c r="R1019" s="92" t="str">
        <f>IF($AG1019="","",IF($G1019&gt;0,P_ToelCorrectie&amp;"",""))</f>
        <v/>
      </c>
      <c r="S1019" s="15" t="str">
        <f>IF(J1019="","",J1019&amp;"|"&amp;E1019&amp;"|"&amp;F1019&amp;"|"&amp;I1019&amp;"|"&amp;O1019)</f>
        <v/>
      </c>
      <c r="T1019" s="111" t="str">
        <f>IF(S1019="","",IF(COUNTIFS(L_Sleutel,S1019,L_Actief,1)=0,"",SUMIFS(L_Waarde,L_Sleutel,S1019,L_Actief,1)))</f>
        <v/>
      </c>
      <c r="U1019" s="111">
        <f>IF(OR(S1019="",T1019=""),0,P1019-T1019)</f>
        <v>0</v>
      </c>
      <c r="AB1019" s="112" t="n">
        <v>73</v>
      </c>
      <c r="AC1019" s="112" t="n">
        <v>3</v>
      </c>
      <c r="AD1019" s="112" t="str">
        <f>VERW_Project!M78</f>
        <v/>
      </c>
      <c r="AE1019" s="112">
        <f>IF(AND(VERW_Project!$A78&lt;&gt;"",ISNUMBER(AD1019)),1,0)</f>
        <v>0</v>
      </c>
      <c r="AF1019" s="112" t="str">
        <f>IF(AE1019=1,SUM($AE$8:AE1019),"")</f>
        <v/>
      </c>
      <c r="AG1019" t="str">
        <f>IFERROR(MATCH(1012,$AF$8:$AF$1407,0),"")</f>
        <v/>
      </c>
    </row>
    <row r="1020">
      <c r="A1020" s="92" t="str">
        <f>IF($AG1020="","",P_ImportID)</f>
        <v/>
      </c>
      <c r="B1020" s="92" t="str">
        <f>IF($AG1020="","",IF(INDEX($AN$8:$AN$21,INDEX($AC$8:$AC$1407,$AG1020)+1)="Z",P_BronZ,P_BronE))</f>
        <v/>
      </c>
      <c r="C1020" s="108" t="str">
        <f>IF($AG1020="","",P_Importdatum)</f>
        <v/>
      </c>
      <c r="D1020" s="92" t="str">
        <f>IF($AG1020="","",P_StatusVastleg)</f>
        <v/>
      </c>
      <c r="E1020" s="92" t="str">
        <f>IF($AG1020="","",P_UploadVJ)</f>
        <v/>
      </c>
      <c r="F1020" s="92" t="str">
        <f>IF($AG1020="","",P_UploadVersie)</f>
        <v/>
      </c>
      <c r="G1020" s="92" t="str">
        <f>IF($AG1020="","",IF(COUNTIFS(L_Sleutel,$S1020,L_Status,"Vastgesteld")=0,0,_xlfn.MAXIFS(L_Revisie,L_Sleutel,$S1020,L_Status,"Vastgesteld")+1))</f>
        <v/>
      </c>
      <c r="H1020" s="108" t="str">
        <f>IF($AG1020="","",P_Peildatum)</f>
        <v/>
      </c>
      <c r="I1020" s="92" t="str">
        <f>IF($AG1020="","",P_RJ+INDEX($AK$8:$AK$21,INDEX($AC$8:$AC$1407,$AG1020)+1))</f>
        <v/>
      </c>
      <c r="J1020" s="92" t="str">
        <f>IF($AG1020="","",INDEX(V_WBS,INDEX($AB$8:$AB$1407,$AG1020)))</f>
        <v/>
      </c>
      <c r="K1020" s="92" t="str">
        <f>IF($AG1020="","",INDEX(V_Projdef,INDEX($AB$8:$AB$1407,$AG1020)))</f>
        <v/>
      </c>
      <c r="L1020" s="92" t="str">
        <f>IF($AG1020="","",INDEX(V_Naam,INDEX($AB$8:$AB$1407,$AG1020)))</f>
        <v/>
      </c>
      <c r="M1020" s="92" t="str">
        <f>IF($AG1020="","",INDEX(V_Type,INDEX($AB$8:$AB$1407,$AG1020)))</f>
        <v/>
      </c>
      <c r="N1020" s="92" t="str">
        <f>IF($AG1020="","",INDEX(V_IFRS,INDEX($AB$8:$AB$1407,$AG1020)))</f>
        <v/>
      </c>
      <c r="O1020" s="92" t="str">
        <f>IF($AG1020="","",INDEX($AL$8:$AL$21,INDEX($AC$8:$AC$1407,$AG1020)+1))</f>
        <v/>
      </c>
      <c r="P1020" s="109" t="str">
        <f>IF($AG1020="","",INDEX($AD$8:$AD$1407,$AG1020))</f>
        <v/>
      </c>
      <c r="Q1020" s="92" t="str">
        <f>IF($AG1020="","",INDEX($AM$8:$AM$21,INDEX($AC$8:$AC$1407,$AG1020)+1))</f>
        <v/>
      </c>
      <c r="R1020" s="92" t="str">
        <f>IF($AG1020="","",IF($G1020&gt;0,P_ToelCorrectie&amp;"",""))</f>
        <v/>
      </c>
      <c r="S1020" s="15" t="str">
        <f>IF(J1020="","",J1020&amp;"|"&amp;E1020&amp;"|"&amp;F1020&amp;"|"&amp;I1020&amp;"|"&amp;O1020)</f>
        <v/>
      </c>
      <c r="T1020" s="111" t="str">
        <f>IF(S1020="","",IF(COUNTIFS(L_Sleutel,S1020,L_Actief,1)=0,"",SUMIFS(L_Waarde,L_Sleutel,S1020,L_Actief,1)))</f>
        <v/>
      </c>
      <c r="U1020" s="111">
        <f>IF(OR(S1020="",T1020=""),0,P1020-T1020)</f>
        <v>0</v>
      </c>
      <c r="AB1020" s="112" t="n">
        <v>73</v>
      </c>
      <c r="AC1020" s="112" t="n">
        <v>4</v>
      </c>
      <c r="AD1020" s="112" t="str">
        <f>VERW_Project!R78</f>
        <v/>
      </c>
      <c r="AE1020" s="112">
        <f>IF(AND(VERW_Project!$A78&lt;&gt;"",ISNUMBER(AD1020)),1,0)</f>
        <v>0</v>
      </c>
      <c r="AF1020" s="112" t="str">
        <f>IF(AE1020=1,SUM($AE$8:AE1020),"")</f>
        <v/>
      </c>
      <c r="AG1020" t="str">
        <f>IFERROR(MATCH(1013,$AF$8:$AF$1407,0),"")</f>
        <v/>
      </c>
    </row>
    <row r="1021">
      <c r="A1021" s="92" t="str">
        <f>IF($AG1021="","",P_ImportID)</f>
        <v/>
      </c>
      <c r="B1021" s="92" t="str">
        <f>IF($AG1021="","",IF(INDEX($AN$8:$AN$21,INDEX($AC$8:$AC$1407,$AG1021)+1)="Z",P_BronZ,P_BronE))</f>
        <v/>
      </c>
      <c r="C1021" s="108" t="str">
        <f>IF($AG1021="","",P_Importdatum)</f>
        <v/>
      </c>
      <c r="D1021" s="92" t="str">
        <f>IF($AG1021="","",P_StatusVastleg)</f>
        <v/>
      </c>
      <c r="E1021" s="92" t="str">
        <f>IF($AG1021="","",P_UploadVJ)</f>
        <v/>
      </c>
      <c r="F1021" s="92" t="str">
        <f>IF($AG1021="","",P_UploadVersie)</f>
        <v/>
      </c>
      <c r="G1021" s="92" t="str">
        <f>IF($AG1021="","",IF(COUNTIFS(L_Sleutel,$S1021,L_Status,"Vastgesteld")=0,0,_xlfn.MAXIFS(L_Revisie,L_Sleutel,$S1021,L_Status,"Vastgesteld")+1))</f>
        <v/>
      </c>
      <c r="H1021" s="108" t="str">
        <f>IF($AG1021="","",P_Peildatum)</f>
        <v/>
      </c>
      <c r="I1021" s="92" t="str">
        <f>IF($AG1021="","",P_RJ+INDEX($AK$8:$AK$21,INDEX($AC$8:$AC$1407,$AG1021)+1))</f>
        <v/>
      </c>
      <c r="J1021" s="92" t="str">
        <f>IF($AG1021="","",INDEX(V_WBS,INDEX($AB$8:$AB$1407,$AG1021)))</f>
        <v/>
      </c>
      <c r="K1021" s="92" t="str">
        <f>IF($AG1021="","",INDEX(V_Projdef,INDEX($AB$8:$AB$1407,$AG1021)))</f>
        <v/>
      </c>
      <c r="L1021" s="92" t="str">
        <f>IF($AG1021="","",INDEX(V_Naam,INDEX($AB$8:$AB$1407,$AG1021)))</f>
        <v/>
      </c>
      <c r="M1021" s="92" t="str">
        <f>IF($AG1021="","",INDEX(V_Type,INDEX($AB$8:$AB$1407,$AG1021)))</f>
        <v/>
      </c>
      <c r="N1021" s="92" t="str">
        <f>IF($AG1021="","",INDEX(V_IFRS,INDEX($AB$8:$AB$1407,$AG1021)))</f>
        <v/>
      </c>
      <c r="O1021" s="92" t="str">
        <f>IF($AG1021="","",INDEX($AL$8:$AL$21,INDEX($AC$8:$AC$1407,$AG1021)+1))</f>
        <v/>
      </c>
      <c r="P1021" s="109" t="str">
        <f>IF($AG1021="","",INDEX($AD$8:$AD$1407,$AG1021))</f>
        <v/>
      </c>
      <c r="Q1021" s="92" t="str">
        <f>IF($AG1021="","",INDEX($AM$8:$AM$21,INDEX($AC$8:$AC$1407,$AG1021)+1))</f>
        <v/>
      </c>
      <c r="R1021" s="92" t="str">
        <f>IF($AG1021="","",IF($G1021&gt;0,P_ToelCorrectie&amp;"",""))</f>
        <v/>
      </c>
      <c r="S1021" s="15" t="str">
        <f>IF(J1021="","",J1021&amp;"|"&amp;E1021&amp;"|"&amp;F1021&amp;"|"&amp;I1021&amp;"|"&amp;O1021)</f>
        <v/>
      </c>
      <c r="T1021" s="111" t="str">
        <f>IF(S1021="","",IF(COUNTIFS(L_Sleutel,S1021,L_Actief,1)=0,"",SUMIFS(L_Waarde,L_Sleutel,S1021,L_Actief,1)))</f>
        <v/>
      </c>
      <c r="U1021" s="111">
        <f>IF(OR(S1021="",T1021=""),0,P1021-T1021)</f>
        <v>0</v>
      </c>
      <c r="AB1021" s="112" t="n">
        <v>73</v>
      </c>
      <c r="AC1021" s="112" t="n">
        <v>5</v>
      </c>
      <c r="AD1021" s="112" t="str">
        <f>VERW_Project!S78</f>
        <v/>
      </c>
      <c r="AE1021" s="112">
        <f>IF(AND(VERW_Project!$A78&lt;&gt;"",ISNUMBER(AD1021)),1,0)</f>
        <v>0</v>
      </c>
      <c r="AF1021" s="112" t="str">
        <f>IF(AE1021=1,SUM($AE$8:AE1021),"")</f>
        <v/>
      </c>
      <c r="AG1021" t="str">
        <f>IFERROR(MATCH(1014,$AF$8:$AF$1407,0),"")</f>
        <v/>
      </c>
    </row>
    <row r="1022">
      <c r="A1022" s="92" t="str">
        <f>IF($AG1022="","",P_ImportID)</f>
        <v/>
      </c>
      <c r="B1022" s="92" t="str">
        <f>IF($AG1022="","",IF(INDEX($AN$8:$AN$21,INDEX($AC$8:$AC$1407,$AG1022)+1)="Z",P_BronZ,P_BronE))</f>
        <v/>
      </c>
      <c r="C1022" s="108" t="str">
        <f>IF($AG1022="","",P_Importdatum)</f>
        <v/>
      </c>
      <c r="D1022" s="92" t="str">
        <f>IF($AG1022="","",P_StatusVastleg)</f>
        <v/>
      </c>
      <c r="E1022" s="92" t="str">
        <f>IF($AG1022="","",P_UploadVJ)</f>
        <v/>
      </c>
      <c r="F1022" s="92" t="str">
        <f>IF($AG1022="","",P_UploadVersie)</f>
        <v/>
      </c>
      <c r="G1022" s="92" t="str">
        <f>IF($AG1022="","",IF(COUNTIFS(L_Sleutel,$S1022,L_Status,"Vastgesteld")=0,0,_xlfn.MAXIFS(L_Revisie,L_Sleutel,$S1022,L_Status,"Vastgesteld")+1))</f>
        <v/>
      </c>
      <c r="H1022" s="108" t="str">
        <f>IF($AG1022="","",P_Peildatum)</f>
        <v/>
      </c>
      <c r="I1022" s="92" t="str">
        <f>IF($AG1022="","",P_RJ+INDEX($AK$8:$AK$21,INDEX($AC$8:$AC$1407,$AG1022)+1))</f>
        <v/>
      </c>
      <c r="J1022" s="92" t="str">
        <f>IF($AG1022="","",INDEX(V_WBS,INDEX($AB$8:$AB$1407,$AG1022)))</f>
        <v/>
      </c>
      <c r="K1022" s="92" t="str">
        <f>IF($AG1022="","",INDEX(V_Projdef,INDEX($AB$8:$AB$1407,$AG1022)))</f>
        <v/>
      </c>
      <c r="L1022" s="92" t="str">
        <f>IF($AG1022="","",INDEX(V_Naam,INDEX($AB$8:$AB$1407,$AG1022)))</f>
        <v/>
      </c>
      <c r="M1022" s="92" t="str">
        <f>IF($AG1022="","",INDEX(V_Type,INDEX($AB$8:$AB$1407,$AG1022)))</f>
        <v/>
      </c>
      <c r="N1022" s="92" t="str">
        <f>IF($AG1022="","",INDEX(V_IFRS,INDEX($AB$8:$AB$1407,$AG1022)))</f>
        <v/>
      </c>
      <c r="O1022" s="92" t="str">
        <f>IF($AG1022="","",INDEX($AL$8:$AL$21,INDEX($AC$8:$AC$1407,$AG1022)+1))</f>
        <v/>
      </c>
      <c r="P1022" s="109" t="str">
        <f>IF($AG1022="","",INDEX($AD$8:$AD$1407,$AG1022))</f>
        <v/>
      </c>
      <c r="Q1022" s="92" t="str">
        <f>IF($AG1022="","",INDEX($AM$8:$AM$21,INDEX($AC$8:$AC$1407,$AG1022)+1))</f>
        <v/>
      </c>
      <c r="R1022" s="92" t="str">
        <f>IF($AG1022="","",IF($G1022&gt;0,P_ToelCorrectie&amp;"",""))</f>
        <v/>
      </c>
      <c r="S1022" s="15" t="str">
        <f>IF(J1022="","",J1022&amp;"|"&amp;E1022&amp;"|"&amp;F1022&amp;"|"&amp;I1022&amp;"|"&amp;O1022)</f>
        <v/>
      </c>
      <c r="T1022" s="111" t="str">
        <f>IF(S1022="","",IF(COUNTIFS(L_Sleutel,S1022,L_Actief,1)=0,"",SUMIFS(L_Waarde,L_Sleutel,S1022,L_Actief,1)))</f>
        <v/>
      </c>
      <c r="U1022" s="111">
        <f>IF(OR(S1022="",T1022=""),0,P1022-T1022)</f>
        <v>0</v>
      </c>
      <c r="AB1022" s="112" t="n">
        <v>73</v>
      </c>
      <c r="AC1022" s="112" t="n">
        <v>6</v>
      </c>
      <c r="AD1022" s="112" t="str">
        <f>VERW_Project!BW78</f>
        <v/>
      </c>
      <c r="AE1022" s="112">
        <f>IF(AND(VERW_Project!$A78&lt;&gt;"",ISNUMBER(AD1022)),1,0)</f>
        <v>0</v>
      </c>
      <c r="AF1022" s="112" t="str">
        <f>IF(AE1022=1,SUM($AE$8:AE1022),"")</f>
        <v/>
      </c>
      <c r="AG1022" t="str">
        <f>IFERROR(MATCH(1015,$AF$8:$AF$1407,0),"")</f>
        <v/>
      </c>
    </row>
    <row r="1023">
      <c r="A1023" s="92" t="str">
        <f>IF($AG1023="","",P_ImportID)</f>
        <v/>
      </c>
      <c r="B1023" s="92" t="str">
        <f>IF($AG1023="","",IF(INDEX($AN$8:$AN$21,INDEX($AC$8:$AC$1407,$AG1023)+1)="Z",P_BronZ,P_BronE))</f>
        <v/>
      </c>
      <c r="C1023" s="108" t="str">
        <f>IF($AG1023="","",P_Importdatum)</f>
        <v/>
      </c>
      <c r="D1023" s="92" t="str">
        <f>IF($AG1023="","",P_StatusVastleg)</f>
        <v/>
      </c>
      <c r="E1023" s="92" t="str">
        <f>IF($AG1023="","",P_UploadVJ)</f>
        <v/>
      </c>
      <c r="F1023" s="92" t="str">
        <f>IF($AG1023="","",P_UploadVersie)</f>
        <v/>
      </c>
      <c r="G1023" s="92" t="str">
        <f>IF($AG1023="","",IF(COUNTIFS(L_Sleutel,$S1023,L_Status,"Vastgesteld")=0,0,_xlfn.MAXIFS(L_Revisie,L_Sleutel,$S1023,L_Status,"Vastgesteld")+1))</f>
        <v/>
      </c>
      <c r="H1023" s="108" t="str">
        <f>IF($AG1023="","",P_Peildatum)</f>
        <v/>
      </c>
      <c r="I1023" s="92" t="str">
        <f>IF($AG1023="","",P_RJ+INDEX($AK$8:$AK$21,INDEX($AC$8:$AC$1407,$AG1023)+1))</f>
        <v/>
      </c>
      <c r="J1023" s="92" t="str">
        <f>IF($AG1023="","",INDEX(V_WBS,INDEX($AB$8:$AB$1407,$AG1023)))</f>
        <v/>
      </c>
      <c r="K1023" s="92" t="str">
        <f>IF($AG1023="","",INDEX(V_Projdef,INDEX($AB$8:$AB$1407,$AG1023)))</f>
        <v/>
      </c>
      <c r="L1023" s="92" t="str">
        <f>IF($AG1023="","",INDEX(V_Naam,INDEX($AB$8:$AB$1407,$AG1023)))</f>
        <v/>
      </c>
      <c r="M1023" s="92" t="str">
        <f>IF($AG1023="","",INDEX(V_Type,INDEX($AB$8:$AB$1407,$AG1023)))</f>
        <v/>
      </c>
      <c r="N1023" s="92" t="str">
        <f>IF($AG1023="","",INDEX(V_IFRS,INDEX($AB$8:$AB$1407,$AG1023)))</f>
        <v/>
      </c>
      <c r="O1023" s="92" t="str">
        <f>IF($AG1023="","",INDEX($AL$8:$AL$21,INDEX($AC$8:$AC$1407,$AG1023)+1))</f>
        <v/>
      </c>
      <c r="P1023" s="109" t="str">
        <f>IF($AG1023="","",INDEX($AD$8:$AD$1407,$AG1023))</f>
        <v/>
      </c>
      <c r="Q1023" s="92" t="str">
        <f>IF($AG1023="","",INDEX($AM$8:$AM$21,INDEX($AC$8:$AC$1407,$AG1023)+1))</f>
        <v/>
      </c>
      <c r="R1023" s="92" t="str">
        <f>IF($AG1023="","",IF($G1023&gt;0,P_ToelCorrectie&amp;"",""))</f>
        <v/>
      </c>
      <c r="S1023" s="15" t="str">
        <f>IF(J1023="","",J1023&amp;"|"&amp;E1023&amp;"|"&amp;F1023&amp;"|"&amp;I1023&amp;"|"&amp;O1023)</f>
        <v/>
      </c>
      <c r="T1023" s="111" t="str">
        <f>IF(S1023="","",IF(COUNTIFS(L_Sleutel,S1023,L_Actief,1)=0,"",SUMIFS(L_Waarde,L_Sleutel,S1023,L_Actief,1)))</f>
        <v/>
      </c>
      <c r="U1023" s="111">
        <f>IF(OR(S1023="",T1023=""),0,P1023-T1023)</f>
        <v>0</v>
      </c>
      <c r="AB1023" s="112" t="n">
        <v>73</v>
      </c>
      <c r="AC1023" s="112" t="n">
        <v>7</v>
      </c>
      <c r="AD1023" s="112" t="str">
        <f>VERW_Project!AW78</f>
        <v/>
      </c>
      <c r="AE1023" s="112">
        <f>IF(AND(VERW_Project!$A78&lt;&gt;"",ISNUMBER(AD1023)),1,0)</f>
        <v>0</v>
      </c>
      <c r="AF1023" s="112" t="str">
        <f>IF(AE1023=1,SUM($AE$8:AE1023),"")</f>
        <v/>
      </c>
      <c r="AG1023" t="str">
        <f>IFERROR(MATCH(1016,$AF$8:$AF$1407,0),"")</f>
        <v/>
      </c>
    </row>
    <row r="1024">
      <c r="A1024" s="92" t="str">
        <f>IF($AG1024="","",P_ImportID)</f>
        <v/>
      </c>
      <c r="B1024" s="92" t="str">
        <f>IF($AG1024="","",IF(INDEX($AN$8:$AN$21,INDEX($AC$8:$AC$1407,$AG1024)+1)="Z",P_BronZ,P_BronE))</f>
        <v/>
      </c>
      <c r="C1024" s="108" t="str">
        <f>IF($AG1024="","",P_Importdatum)</f>
        <v/>
      </c>
      <c r="D1024" s="92" t="str">
        <f>IF($AG1024="","",P_StatusVastleg)</f>
        <v/>
      </c>
      <c r="E1024" s="92" t="str">
        <f>IF($AG1024="","",P_UploadVJ)</f>
        <v/>
      </c>
      <c r="F1024" s="92" t="str">
        <f>IF($AG1024="","",P_UploadVersie)</f>
        <v/>
      </c>
      <c r="G1024" s="92" t="str">
        <f>IF($AG1024="","",IF(COUNTIFS(L_Sleutel,$S1024,L_Status,"Vastgesteld")=0,0,_xlfn.MAXIFS(L_Revisie,L_Sleutel,$S1024,L_Status,"Vastgesteld")+1))</f>
        <v/>
      </c>
      <c r="H1024" s="108" t="str">
        <f>IF($AG1024="","",P_Peildatum)</f>
        <v/>
      </c>
      <c r="I1024" s="92" t="str">
        <f>IF($AG1024="","",P_RJ+INDEX($AK$8:$AK$21,INDEX($AC$8:$AC$1407,$AG1024)+1))</f>
        <v/>
      </c>
      <c r="J1024" s="92" t="str">
        <f>IF($AG1024="","",INDEX(V_WBS,INDEX($AB$8:$AB$1407,$AG1024)))</f>
        <v/>
      </c>
      <c r="K1024" s="92" t="str">
        <f>IF($AG1024="","",INDEX(V_Projdef,INDEX($AB$8:$AB$1407,$AG1024)))</f>
        <v/>
      </c>
      <c r="L1024" s="92" t="str">
        <f>IF($AG1024="","",INDEX(V_Naam,INDEX($AB$8:$AB$1407,$AG1024)))</f>
        <v/>
      </c>
      <c r="M1024" s="92" t="str">
        <f>IF($AG1024="","",INDEX(V_Type,INDEX($AB$8:$AB$1407,$AG1024)))</f>
        <v/>
      </c>
      <c r="N1024" s="92" t="str">
        <f>IF($AG1024="","",INDEX(V_IFRS,INDEX($AB$8:$AB$1407,$AG1024)))</f>
        <v/>
      </c>
      <c r="O1024" s="92" t="str">
        <f>IF($AG1024="","",INDEX($AL$8:$AL$21,INDEX($AC$8:$AC$1407,$AG1024)+1))</f>
        <v/>
      </c>
      <c r="P1024" s="109" t="str">
        <f>IF($AG1024="","",INDEX($AD$8:$AD$1407,$AG1024))</f>
        <v/>
      </c>
      <c r="Q1024" s="92" t="str">
        <f>IF($AG1024="","",INDEX($AM$8:$AM$21,INDEX($AC$8:$AC$1407,$AG1024)+1))</f>
        <v/>
      </c>
      <c r="R1024" s="92" t="str">
        <f>IF($AG1024="","",IF($G1024&gt;0,P_ToelCorrectie&amp;"",""))</f>
        <v/>
      </c>
      <c r="S1024" s="15" t="str">
        <f>IF(J1024="","",J1024&amp;"|"&amp;E1024&amp;"|"&amp;F1024&amp;"|"&amp;I1024&amp;"|"&amp;O1024)</f>
        <v/>
      </c>
      <c r="T1024" s="111" t="str">
        <f>IF(S1024="","",IF(COUNTIFS(L_Sleutel,S1024,L_Actief,1)=0,"",SUMIFS(L_Waarde,L_Sleutel,S1024,L_Actief,1)))</f>
        <v/>
      </c>
      <c r="U1024" s="111">
        <f>IF(OR(S1024="",T1024=""),0,P1024-T1024)</f>
        <v>0</v>
      </c>
      <c r="AB1024" s="112" t="n">
        <v>73</v>
      </c>
      <c r="AC1024" s="112" t="n">
        <v>8</v>
      </c>
      <c r="AD1024" s="112" t="str">
        <f>VERW_Project!BQ78</f>
        <v/>
      </c>
      <c r="AE1024" s="112">
        <f>IF(AND(VERW_Project!$A78&lt;&gt;"",ISNUMBER(AD1024)),1,0)</f>
        <v>0</v>
      </c>
      <c r="AF1024" s="112" t="str">
        <f>IF(AE1024=1,SUM($AE$8:AE1024),"")</f>
        <v/>
      </c>
      <c r="AG1024" t="str">
        <f>IFERROR(MATCH(1017,$AF$8:$AF$1407,0),"")</f>
        <v/>
      </c>
    </row>
    <row r="1025">
      <c r="A1025" s="92" t="str">
        <f>IF($AG1025="","",P_ImportID)</f>
        <v/>
      </c>
      <c r="B1025" s="92" t="str">
        <f>IF($AG1025="","",IF(INDEX($AN$8:$AN$21,INDEX($AC$8:$AC$1407,$AG1025)+1)="Z",P_BronZ,P_BronE))</f>
        <v/>
      </c>
      <c r="C1025" s="108" t="str">
        <f>IF($AG1025="","",P_Importdatum)</f>
        <v/>
      </c>
      <c r="D1025" s="92" t="str">
        <f>IF($AG1025="","",P_StatusVastleg)</f>
        <v/>
      </c>
      <c r="E1025" s="92" t="str">
        <f>IF($AG1025="","",P_UploadVJ)</f>
        <v/>
      </c>
      <c r="F1025" s="92" t="str">
        <f>IF($AG1025="","",P_UploadVersie)</f>
        <v/>
      </c>
      <c r="G1025" s="92" t="str">
        <f>IF($AG1025="","",IF(COUNTIFS(L_Sleutel,$S1025,L_Status,"Vastgesteld")=0,0,_xlfn.MAXIFS(L_Revisie,L_Sleutel,$S1025,L_Status,"Vastgesteld")+1))</f>
        <v/>
      </c>
      <c r="H1025" s="108" t="str">
        <f>IF($AG1025="","",P_Peildatum)</f>
        <v/>
      </c>
      <c r="I1025" s="92" t="str">
        <f>IF($AG1025="","",P_RJ+INDEX($AK$8:$AK$21,INDEX($AC$8:$AC$1407,$AG1025)+1))</f>
        <v/>
      </c>
      <c r="J1025" s="92" t="str">
        <f>IF($AG1025="","",INDEX(V_WBS,INDEX($AB$8:$AB$1407,$AG1025)))</f>
        <v/>
      </c>
      <c r="K1025" s="92" t="str">
        <f>IF($AG1025="","",INDEX(V_Projdef,INDEX($AB$8:$AB$1407,$AG1025)))</f>
        <v/>
      </c>
      <c r="L1025" s="92" t="str">
        <f>IF($AG1025="","",INDEX(V_Naam,INDEX($AB$8:$AB$1407,$AG1025)))</f>
        <v/>
      </c>
      <c r="M1025" s="92" t="str">
        <f>IF($AG1025="","",INDEX(V_Type,INDEX($AB$8:$AB$1407,$AG1025)))</f>
        <v/>
      </c>
      <c r="N1025" s="92" t="str">
        <f>IF($AG1025="","",INDEX(V_IFRS,INDEX($AB$8:$AB$1407,$AG1025)))</f>
        <v/>
      </c>
      <c r="O1025" s="92" t="str">
        <f>IF($AG1025="","",INDEX($AL$8:$AL$21,INDEX($AC$8:$AC$1407,$AG1025)+1))</f>
        <v/>
      </c>
      <c r="P1025" s="109" t="str">
        <f>IF($AG1025="","",INDEX($AD$8:$AD$1407,$AG1025))</f>
        <v/>
      </c>
      <c r="Q1025" s="92" t="str">
        <f>IF($AG1025="","",INDEX($AM$8:$AM$21,INDEX($AC$8:$AC$1407,$AG1025)+1))</f>
        <v/>
      </c>
      <c r="R1025" s="92" t="str">
        <f>IF($AG1025="","",IF($G1025&gt;0,P_ToelCorrectie&amp;"",""))</f>
        <v/>
      </c>
      <c r="S1025" s="15" t="str">
        <f>IF(J1025="","",J1025&amp;"|"&amp;E1025&amp;"|"&amp;F1025&amp;"|"&amp;I1025&amp;"|"&amp;O1025)</f>
        <v/>
      </c>
      <c r="T1025" s="111" t="str">
        <f>IF(S1025="","",IF(COUNTIFS(L_Sleutel,S1025,L_Actief,1)=0,"",SUMIFS(L_Waarde,L_Sleutel,S1025,L_Actief,1)))</f>
        <v/>
      </c>
      <c r="U1025" s="111">
        <f>IF(OR(S1025="",T1025=""),0,P1025-T1025)</f>
        <v>0</v>
      </c>
      <c r="AB1025" s="112" t="n">
        <v>73</v>
      </c>
      <c r="AC1025" s="112" t="n">
        <v>9</v>
      </c>
      <c r="AD1025" s="112" t="str">
        <f>VERW_Project!BR78</f>
        <v/>
      </c>
      <c r="AE1025" s="112">
        <f>IF(AND(VERW_Project!$A78&lt;&gt;"",ISNUMBER(AD1025)),1,0)</f>
        <v>0</v>
      </c>
      <c r="AF1025" s="112" t="str">
        <f>IF(AE1025=1,SUM($AE$8:AE1025),"")</f>
        <v/>
      </c>
      <c r="AG1025" t="str">
        <f>IFERROR(MATCH(1018,$AF$8:$AF$1407,0),"")</f>
        <v/>
      </c>
    </row>
    <row r="1026">
      <c r="A1026" s="92" t="str">
        <f>IF($AG1026="","",P_ImportID)</f>
        <v/>
      </c>
      <c r="B1026" s="92" t="str">
        <f>IF($AG1026="","",IF(INDEX($AN$8:$AN$21,INDEX($AC$8:$AC$1407,$AG1026)+1)="Z",P_BronZ,P_BronE))</f>
        <v/>
      </c>
      <c r="C1026" s="108" t="str">
        <f>IF($AG1026="","",P_Importdatum)</f>
        <v/>
      </c>
      <c r="D1026" s="92" t="str">
        <f>IF($AG1026="","",P_StatusVastleg)</f>
        <v/>
      </c>
      <c r="E1026" s="92" t="str">
        <f>IF($AG1026="","",P_UploadVJ)</f>
        <v/>
      </c>
      <c r="F1026" s="92" t="str">
        <f>IF($AG1026="","",P_UploadVersie)</f>
        <v/>
      </c>
      <c r="G1026" s="92" t="str">
        <f>IF($AG1026="","",IF(COUNTIFS(L_Sleutel,$S1026,L_Status,"Vastgesteld")=0,0,_xlfn.MAXIFS(L_Revisie,L_Sleutel,$S1026,L_Status,"Vastgesteld")+1))</f>
        <v/>
      </c>
      <c r="H1026" s="108" t="str">
        <f>IF($AG1026="","",P_Peildatum)</f>
        <v/>
      </c>
      <c r="I1026" s="92" t="str">
        <f>IF($AG1026="","",P_RJ+INDEX($AK$8:$AK$21,INDEX($AC$8:$AC$1407,$AG1026)+1))</f>
        <v/>
      </c>
      <c r="J1026" s="92" t="str">
        <f>IF($AG1026="","",INDEX(V_WBS,INDEX($AB$8:$AB$1407,$AG1026)))</f>
        <v/>
      </c>
      <c r="K1026" s="92" t="str">
        <f>IF($AG1026="","",INDEX(V_Projdef,INDEX($AB$8:$AB$1407,$AG1026)))</f>
        <v/>
      </c>
      <c r="L1026" s="92" t="str">
        <f>IF($AG1026="","",INDEX(V_Naam,INDEX($AB$8:$AB$1407,$AG1026)))</f>
        <v/>
      </c>
      <c r="M1026" s="92" t="str">
        <f>IF($AG1026="","",INDEX(V_Type,INDEX($AB$8:$AB$1407,$AG1026)))</f>
        <v/>
      </c>
      <c r="N1026" s="92" t="str">
        <f>IF($AG1026="","",INDEX(V_IFRS,INDEX($AB$8:$AB$1407,$AG1026)))</f>
        <v/>
      </c>
      <c r="O1026" s="92" t="str">
        <f>IF($AG1026="","",INDEX($AL$8:$AL$21,INDEX($AC$8:$AC$1407,$AG1026)+1))</f>
        <v/>
      </c>
      <c r="P1026" s="109" t="str">
        <f>IF($AG1026="","",INDEX($AD$8:$AD$1407,$AG1026))</f>
        <v/>
      </c>
      <c r="Q1026" s="92" t="str">
        <f>IF($AG1026="","",INDEX($AM$8:$AM$21,INDEX($AC$8:$AC$1407,$AG1026)+1))</f>
        <v/>
      </c>
      <c r="R1026" s="92" t="str">
        <f>IF($AG1026="","",IF($G1026&gt;0,P_ToelCorrectie&amp;"",""))</f>
        <v/>
      </c>
      <c r="S1026" s="15" t="str">
        <f>IF(J1026="","",J1026&amp;"|"&amp;E1026&amp;"|"&amp;F1026&amp;"|"&amp;I1026&amp;"|"&amp;O1026)</f>
        <v/>
      </c>
      <c r="T1026" s="111" t="str">
        <f>IF(S1026="","",IF(COUNTIFS(L_Sleutel,S1026,L_Actief,1)=0,"",SUMIFS(L_Waarde,L_Sleutel,S1026,L_Actief,1)))</f>
        <v/>
      </c>
      <c r="U1026" s="111">
        <f>IF(OR(S1026="",T1026=""),0,P1026-T1026)</f>
        <v>0</v>
      </c>
      <c r="AB1026" s="112" t="n">
        <v>73</v>
      </c>
      <c r="AC1026" s="112" t="n">
        <v>10</v>
      </c>
      <c r="AD1026" s="112" t="str">
        <f>VERW_Project!BS78</f>
        <v/>
      </c>
      <c r="AE1026" s="112">
        <f>IF(AND(VERW_Project!$A78&lt;&gt;"",ISNUMBER(AD1026)),1,0)</f>
        <v>0</v>
      </c>
      <c r="AF1026" s="112" t="str">
        <f>IF(AE1026=1,SUM($AE$8:AE1026),"")</f>
        <v/>
      </c>
      <c r="AG1026" t="str">
        <f>IFERROR(MATCH(1019,$AF$8:$AF$1407,0),"")</f>
        <v/>
      </c>
    </row>
    <row r="1027">
      <c r="A1027" s="92" t="str">
        <f>IF($AG1027="","",P_ImportID)</f>
        <v/>
      </c>
      <c r="B1027" s="92" t="str">
        <f>IF($AG1027="","",IF(INDEX($AN$8:$AN$21,INDEX($AC$8:$AC$1407,$AG1027)+1)="Z",P_BronZ,P_BronE))</f>
        <v/>
      </c>
      <c r="C1027" s="108" t="str">
        <f>IF($AG1027="","",P_Importdatum)</f>
        <v/>
      </c>
      <c r="D1027" s="92" t="str">
        <f>IF($AG1027="","",P_StatusVastleg)</f>
        <v/>
      </c>
      <c r="E1027" s="92" t="str">
        <f>IF($AG1027="","",P_UploadVJ)</f>
        <v/>
      </c>
      <c r="F1027" s="92" t="str">
        <f>IF($AG1027="","",P_UploadVersie)</f>
        <v/>
      </c>
      <c r="G1027" s="92" t="str">
        <f>IF($AG1027="","",IF(COUNTIFS(L_Sleutel,$S1027,L_Status,"Vastgesteld")=0,0,_xlfn.MAXIFS(L_Revisie,L_Sleutel,$S1027,L_Status,"Vastgesteld")+1))</f>
        <v/>
      </c>
      <c r="H1027" s="108" t="str">
        <f>IF($AG1027="","",P_Peildatum)</f>
        <v/>
      </c>
      <c r="I1027" s="92" t="str">
        <f>IF($AG1027="","",P_RJ+INDEX($AK$8:$AK$21,INDEX($AC$8:$AC$1407,$AG1027)+1))</f>
        <v/>
      </c>
      <c r="J1027" s="92" t="str">
        <f>IF($AG1027="","",INDEX(V_WBS,INDEX($AB$8:$AB$1407,$AG1027)))</f>
        <v/>
      </c>
      <c r="K1027" s="92" t="str">
        <f>IF($AG1027="","",INDEX(V_Projdef,INDEX($AB$8:$AB$1407,$AG1027)))</f>
        <v/>
      </c>
      <c r="L1027" s="92" t="str">
        <f>IF($AG1027="","",INDEX(V_Naam,INDEX($AB$8:$AB$1407,$AG1027)))</f>
        <v/>
      </c>
      <c r="M1027" s="92" t="str">
        <f>IF($AG1027="","",INDEX(V_Type,INDEX($AB$8:$AB$1407,$AG1027)))</f>
        <v/>
      </c>
      <c r="N1027" s="92" t="str">
        <f>IF($AG1027="","",INDEX(V_IFRS,INDEX($AB$8:$AB$1407,$AG1027)))</f>
        <v/>
      </c>
      <c r="O1027" s="92" t="str">
        <f>IF($AG1027="","",INDEX($AL$8:$AL$21,INDEX($AC$8:$AC$1407,$AG1027)+1))</f>
        <v/>
      </c>
      <c r="P1027" s="109" t="str">
        <f>IF($AG1027="","",INDEX($AD$8:$AD$1407,$AG1027))</f>
        <v/>
      </c>
      <c r="Q1027" s="92" t="str">
        <f>IF($AG1027="","",INDEX($AM$8:$AM$21,INDEX($AC$8:$AC$1407,$AG1027)+1))</f>
        <v/>
      </c>
      <c r="R1027" s="92" t="str">
        <f>IF($AG1027="","",IF($G1027&gt;0,P_ToelCorrectie&amp;"",""))</f>
        <v/>
      </c>
      <c r="S1027" s="15" t="str">
        <f>IF(J1027="","",J1027&amp;"|"&amp;E1027&amp;"|"&amp;F1027&amp;"|"&amp;I1027&amp;"|"&amp;O1027)</f>
        <v/>
      </c>
      <c r="T1027" s="111" t="str">
        <f>IF(S1027="","",IF(COUNTIFS(L_Sleutel,S1027,L_Actief,1)=0,"",SUMIFS(L_Waarde,L_Sleutel,S1027,L_Actief,1)))</f>
        <v/>
      </c>
      <c r="U1027" s="111">
        <f>IF(OR(S1027="",T1027=""),0,P1027-T1027)</f>
        <v>0</v>
      </c>
      <c r="AB1027" s="112" t="n">
        <v>73</v>
      </c>
      <c r="AC1027" s="112" t="n">
        <v>11</v>
      </c>
      <c r="AD1027" s="112" t="str">
        <f>VERW_Project!BT78</f>
        <v/>
      </c>
      <c r="AE1027" s="112">
        <f>IF(AND(VERW_Project!$A78&lt;&gt;"",ISNUMBER(AD1027)),1,0)</f>
        <v>0</v>
      </c>
      <c r="AF1027" s="112" t="str">
        <f>IF(AE1027=1,SUM($AE$8:AE1027),"")</f>
        <v/>
      </c>
      <c r="AG1027" t="str">
        <f>IFERROR(MATCH(1020,$AF$8:$AF$1407,0),"")</f>
        <v/>
      </c>
    </row>
    <row r="1028">
      <c r="A1028" s="92" t="str">
        <f>IF($AG1028="","",P_ImportID)</f>
        <v/>
      </c>
      <c r="B1028" s="92" t="str">
        <f>IF($AG1028="","",IF(INDEX($AN$8:$AN$21,INDEX($AC$8:$AC$1407,$AG1028)+1)="Z",P_BronZ,P_BronE))</f>
        <v/>
      </c>
      <c r="C1028" s="108" t="str">
        <f>IF($AG1028="","",P_Importdatum)</f>
        <v/>
      </c>
      <c r="D1028" s="92" t="str">
        <f>IF($AG1028="","",P_StatusVastleg)</f>
        <v/>
      </c>
      <c r="E1028" s="92" t="str">
        <f>IF($AG1028="","",P_UploadVJ)</f>
        <v/>
      </c>
      <c r="F1028" s="92" t="str">
        <f>IF($AG1028="","",P_UploadVersie)</f>
        <v/>
      </c>
      <c r="G1028" s="92" t="str">
        <f>IF($AG1028="","",IF(COUNTIFS(L_Sleutel,$S1028,L_Status,"Vastgesteld")=0,0,_xlfn.MAXIFS(L_Revisie,L_Sleutel,$S1028,L_Status,"Vastgesteld")+1))</f>
        <v/>
      </c>
      <c r="H1028" s="108" t="str">
        <f>IF($AG1028="","",P_Peildatum)</f>
        <v/>
      </c>
      <c r="I1028" s="92" t="str">
        <f>IF($AG1028="","",P_RJ+INDEX($AK$8:$AK$21,INDEX($AC$8:$AC$1407,$AG1028)+1))</f>
        <v/>
      </c>
      <c r="J1028" s="92" t="str">
        <f>IF($AG1028="","",INDEX(V_WBS,INDEX($AB$8:$AB$1407,$AG1028)))</f>
        <v/>
      </c>
      <c r="K1028" s="92" t="str">
        <f>IF($AG1028="","",INDEX(V_Projdef,INDEX($AB$8:$AB$1407,$AG1028)))</f>
        <v/>
      </c>
      <c r="L1028" s="92" t="str">
        <f>IF($AG1028="","",INDEX(V_Naam,INDEX($AB$8:$AB$1407,$AG1028)))</f>
        <v/>
      </c>
      <c r="M1028" s="92" t="str">
        <f>IF($AG1028="","",INDEX(V_Type,INDEX($AB$8:$AB$1407,$AG1028)))</f>
        <v/>
      </c>
      <c r="N1028" s="92" t="str">
        <f>IF($AG1028="","",INDEX(V_IFRS,INDEX($AB$8:$AB$1407,$AG1028)))</f>
        <v/>
      </c>
      <c r="O1028" s="92" t="str">
        <f>IF($AG1028="","",INDEX($AL$8:$AL$21,INDEX($AC$8:$AC$1407,$AG1028)+1))</f>
        <v/>
      </c>
      <c r="P1028" s="109" t="str">
        <f>IF($AG1028="","",INDEX($AD$8:$AD$1407,$AG1028))</f>
        <v/>
      </c>
      <c r="Q1028" s="92" t="str">
        <f>IF($AG1028="","",INDEX($AM$8:$AM$21,INDEX($AC$8:$AC$1407,$AG1028)+1))</f>
        <v/>
      </c>
      <c r="R1028" s="92" t="str">
        <f>IF($AG1028="","",IF($G1028&gt;0,P_ToelCorrectie&amp;"",""))</f>
        <v/>
      </c>
      <c r="S1028" s="15" t="str">
        <f>IF(J1028="","",J1028&amp;"|"&amp;E1028&amp;"|"&amp;F1028&amp;"|"&amp;I1028&amp;"|"&amp;O1028)</f>
        <v/>
      </c>
      <c r="T1028" s="111" t="str">
        <f>IF(S1028="","",IF(COUNTIFS(L_Sleutel,S1028,L_Actief,1)=0,"",SUMIFS(L_Waarde,L_Sleutel,S1028,L_Actief,1)))</f>
        <v/>
      </c>
      <c r="U1028" s="111">
        <f>IF(OR(S1028="",T1028=""),0,P1028-T1028)</f>
        <v>0</v>
      </c>
      <c r="AB1028" s="112" t="n">
        <v>73</v>
      </c>
      <c r="AC1028" s="112" t="n">
        <v>12</v>
      </c>
      <c r="AD1028" s="112" t="str">
        <f>VERW_Project!BU78</f>
        <v/>
      </c>
      <c r="AE1028" s="112">
        <f>IF(AND(VERW_Project!$A78&lt;&gt;"",ISNUMBER(AD1028)),1,0)</f>
        <v>0</v>
      </c>
      <c r="AF1028" s="112" t="str">
        <f>IF(AE1028=1,SUM($AE$8:AE1028),"")</f>
        <v/>
      </c>
      <c r="AG1028" t="str">
        <f>IFERROR(MATCH(1021,$AF$8:$AF$1407,0),"")</f>
        <v/>
      </c>
    </row>
    <row r="1029">
      <c r="A1029" s="92" t="str">
        <f>IF($AG1029="","",P_ImportID)</f>
        <v/>
      </c>
      <c r="B1029" s="92" t="str">
        <f>IF($AG1029="","",IF(INDEX($AN$8:$AN$21,INDEX($AC$8:$AC$1407,$AG1029)+1)="Z",P_BronZ,P_BronE))</f>
        <v/>
      </c>
      <c r="C1029" s="108" t="str">
        <f>IF($AG1029="","",P_Importdatum)</f>
        <v/>
      </c>
      <c r="D1029" s="92" t="str">
        <f>IF($AG1029="","",P_StatusVastleg)</f>
        <v/>
      </c>
      <c r="E1029" s="92" t="str">
        <f>IF($AG1029="","",P_UploadVJ)</f>
        <v/>
      </c>
      <c r="F1029" s="92" t="str">
        <f>IF($AG1029="","",P_UploadVersie)</f>
        <v/>
      </c>
      <c r="G1029" s="92" t="str">
        <f>IF($AG1029="","",IF(COUNTIFS(L_Sleutel,$S1029,L_Status,"Vastgesteld")=0,0,_xlfn.MAXIFS(L_Revisie,L_Sleutel,$S1029,L_Status,"Vastgesteld")+1))</f>
        <v/>
      </c>
      <c r="H1029" s="108" t="str">
        <f>IF($AG1029="","",P_Peildatum)</f>
        <v/>
      </c>
      <c r="I1029" s="92" t="str">
        <f>IF($AG1029="","",P_RJ+INDEX($AK$8:$AK$21,INDEX($AC$8:$AC$1407,$AG1029)+1))</f>
        <v/>
      </c>
      <c r="J1029" s="92" t="str">
        <f>IF($AG1029="","",INDEX(V_WBS,INDEX($AB$8:$AB$1407,$AG1029)))</f>
        <v/>
      </c>
      <c r="K1029" s="92" t="str">
        <f>IF($AG1029="","",INDEX(V_Projdef,INDEX($AB$8:$AB$1407,$AG1029)))</f>
        <v/>
      </c>
      <c r="L1029" s="92" t="str">
        <f>IF($AG1029="","",INDEX(V_Naam,INDEX($AB$8:$AB$1407,$AG1029)))</f>
        <v/>
      </c>
      <c r="M1029" s="92" t="str">
        <f>IF($AG1029="","",INDEX(V_Type,INDEX($AB$8:$AB$1407,$AG1029)))</f>
        <v/>
      </c>
      <c r="N1029" s="92" t="str">
        <f>IF($AG1029="","",INDEX(V_IFRS,INDEX($AB$8:$AB$1407,$AG1029)))</f>
        <v/>
      </c>
      <c r="O1029" s="92" t="str">
        <f>IF($AG1029="","",INDEX($AL$8:$AL$21,INDEX($AC$8:$AC$1407,$AG1029)+1))</f>
        <v/>
      </c>
      <c r="P1029" s="109" t="str">
        <f>IF($AG1029="","",INDEX($AD$8:$AD$1407,$AG1029))</f>
        <v/>
      </c>
      <c r="Q1029" s="92" t="str">
        <f>IF($AG1029="","",INDEX($AM$8:$AM$21,INDEX($AC$8:$AC$1407,$AG1029)+1))</f>
        <v/>
      </c>
      <c r="R1029" s="92" t="str">
        <f>IF($AG1029="","",IF($G1029&gt;0,P_ToelCorrectie&amp;"",""))</f>
        <v/>
      </c>
      <c r="S1029" s="15" t="str">
        <f>IF(J1029="","",J1029&amp;"|"&amp;E1029&amp;"|"&amp;F1029&amp;"|"&amp;I1029&amp;"|"&amp;O1029)</f>
        <v/>
      </c>
      <c r="T1029" s="111" t="str">
        <f>IF(S1029="","",IF(COUNTIFS(L_Sleutel,S1029,L_Actief,1)=0,"",SUMIFS(L_Waarde,L_Sleutel,S1029,L_Actief,1)))</f>
        <v/>
      </c>
      <c r="U1029" s="111">
        <f>IF(OR(S1029="",T1029=""),0,P1029-T1029)</f>
        <v>0</v>
      </c>
      <c r="AB1029" s="112" t="n">
        <v>73</v>
      </c>
      <c r="AC1029" s="112" t="n">
        <v>13</v>
      </c>
      <c r="AD1029" s="112" t="str">
        <f>VERW_Project!BX78</f>
        <v/>
      </c>
      <c r="AE1029" s="112">
        <f>IF(AND(VERW_Project!$A78&lt;&gt;"",ISNUMBER(AD1029)),1,0)</f>
        <v>0</v>
      </c>
      <c r="AF1029" s="112" t="str">
        <f>IF(AE1029=1,SUM($AE$8:AE1029),"")</f>
        <v/>
      </c>
      <c r="AG1029" t="str">
        <f>IFERROR(MATCH(1022,$AF$8:$AF$1407,0),"")</f>
        <v/>
      </c>
    </row>
    <row r="1030">
      <c r="A1030" s="92" t="str">
        <f>IF($AG1030="","",P_ImportID)</f>
        <v/>
      </c>
      <c r="B1030" s="92" t="str">
        <f>IF($AG1030="","",IF(INDEX($AN$8:$AN$21,INDEX($AC$8:$AC$1407,$AG1030)+1)="Z",P_BronZ,P_BronE))</f>
        <v/>
      </c>
      <c r="C1030" s="108" t="str">
        <f>IF($AG1030="","",P_Importdatum)</f>
        <v/>
      </c>
      <c r="D1030" s="92" t="str">
        <f>IF($AG1030="","",P_StatusVastleg)</f>
        <v/>
      </c>
      <c r="E1030" s="92" t="str">
        <f>IF($AG1030="","",P_UploadVJ)</f>
        <v/>
      </c>
      <c r="F1030" s="92" t="str">
        <f>IF($AG1030="","",P_UploadVersie)</f>
        <v/>
      </c>
      <c r="G1030" s="92" t="str">
        <f>IF($AG1030="","",IF(COUNTIFS(L_Sleutel,$S1030,L_Status,"Vastgesteld")=0,0,_xlfn.MAXIFS(L_Revisie,L_Sleutel,$S1030,L_Status,"Vastgesteld")+1))</f>
        <v/>
      </c>
      <c r="H1030" s="108" t="str">
        <f>IF($AG1030="","",P_Peildatum)</f>
        <v/>
      </c>
      <c r="I1030" s="92" t="str">
        <f>IF($AG1030="","",P_RJ+INDEX($AK$8:$AK$21,INDEX($AC$8:$AC$1407,$AG1030)+1))</f>
        <v/>
      </c>
      <c r="J1030" s="92" t="str">
        <f>IF($AG1030="","",INDEX(V_WBS,INDEX($AB$8:$AB$1407,$AG1030)))</f>
        <v/>
      </c>
      <c r="K1030" s="92" t="str">
        <f>IF($AG1030="","",INDEX(V_Projdef,INDEX($AB$8:$AB$1407,$AG1030)))</f>
        <v/>
      </c>
      <c r="L1030" s="92" t="str">
        <f>IF($AG1030="","",INDEX(V_Naam,INDEX($AB$8:$AB$1407,$AG1030)))</f>
        <v/>
      </c>
      <c r="M1030" s="92" t="str">
        <f>IF($AG1030="","",INDEX(V_Type,INDEX($AB$8:$AB$1407,$AG1030)))</f>
        <v/>
      </c>
      <c r="N1030" s="92" t="str">
        <f>IF($AG1030="","",INDEX(V_IFRS,INDEX($AB$8:$AB$1407,$AG1030)))</f>
        <v/>
      </c>
      <c r="O1030" s="92" t="str">
        <f>IF($AG1030="","",INDEX($AL$8:$AL$21,INDEX($AC$8:$AC$1407,$AG1030)+1))</f>
        <v/>
      </c>
      <c r="P1030" s="109" t="str">
        <f>IF($AG1030="","",INDEX($AD$8:$AD$1407,$AG1030))</f>
        <v/>
      </c>
      <c r="Q1030" s="92" t="str">
        <f>IF($AG1030="","",INDEX($AM$8:$AM$21,INDEX($AC$8:$AC$1407,$AG1030)+1))</f>
        <v/>
      </c>
      <c r="R1030" s="92" t="str">
        <f>IF($AG1030="","",IF($G1030&gt;0,P_ToelCorrectie&amp;"",""))</f>
        <v/>
      </c>
      <c r="S1030" s="15" t="str">
        <f>IF(J1030="","",J1030&amp;"|"&amp;E1030&amp;"|"&amp;F1030&amp;"|"&amp;I1030&amp;"|"&amp;O1030)</f>
        <v/>
      </c>
      <c r="T1030" s="111" t="str">
        <f>IF(S1030="","",IF(COUNTIFS(L_Sleutel,S1030,L_Actief,1)=0,"",SUMIFS(L_Waarde,L_Sleutel,S1030,L_Actief,1)))</f>
        <v/>
      </c>
      <c r="U1030" s="111">
        <f>IF(OR(S1030="",T1030=""),0,P1030-T1030)</f>
        <v>0</v>
      </c>
      <c r="AB1030" s="112" t="n">
        <v>74</v>
      </c>
      <c r="AC1030" s="112" t="n">
        <v>0</v>
      </c>
      <c r="AD1030" s="112" t="str">
        <f>VERW_Project!P79</f>
        <v/>
      </c>
      <c r="AE1030" s="112">
        <f>IF(AND(VERW_Project!$A79&lt;&gt;"",ISNUMBER(AD1030)),1,0)</f>
        <v>0</v>
      </c>
      <c r="AF1030" s="112" t="str">
        <f>IF(AE1030=1,SUM($AE$8:AE1030),"")</f>
        <v/>
      </c>
      <c r="AG1030" t="str">
        <f>IFERROR(MATCH(1023,$AF$8:$AF$1407,0),"")</f>
        <v/>
      </c>
    </row>
    <row r="1031">
      <c r="A1031" s="92" t="str">
        <f>IF($AG1031="","",P_ImportID)</f>
        <v/>
      </c>
      <c r="B1031" s="92" t="str">
        <f>IF($AG1031="","",IF(INDEX($AN$8:$AN$21,INDEX($AC$8:$AC$1407,$AG1031)+1)="Z",P_BronZ,P_BronE))</f>
        <v/>
      </c>
      <c r="C1031" s="108" t="str">
        <f>IF($AG1031="","",P_Importdatum)</f>
        <v/>
      </c>
      <c r="D1031" s="92" t="str">
        <f>IF($AG1031="","",P_StatusVastleg)</f>
        <v/>
      </c>
      <c r="E1031" s="92" t="str">
        <f>IF($AG1031="","",P_UploadVJ)</f>
        <v/>
      </c>
      <c r="F1031" s="92" t="str">
        <f>IF($AG1031="","",P_UploadVersie)</f>
        <v/>
      </c>
      <c r="G1031" s="92" t="str">
        <f>IF($AG1031="","",IF(COUNTIFS(L_Sleutel,$S1031,L_Status,"Vastgesteld")=0,0,_xlfn.MAXIFS(L_Revisie,L_Sleutel,$S1031,L_Status,"Vastgesteld")+1))</f>
        <v/>
      </c>
      <c r="H1031" s="108" t="str">
        <f>IF($AG1031="","",P_Peildatum)</f>
        <v/>
      </c>
      <c r="I1031" s="92" t="str">
        <f>IF($AG1031="","",P_RJ+INDEX($AK$8:$AK$21,INDEX($AC$8:$AC$1407,$AG1031)+1))</f>
        <v/>
      </c>
      <c r="J1031" s="92" t="str">
        <f>IF($AG1031="","",INDEX(V_WBS,INDEX($AB$8:$AB$1407,$AG1031)))</f>
        <v/>
      </c>
      <c r="K1031" s="92" t="str">
        <f>IF($AG1031="","",INDEX(V_Projdef,INDEX($AB$8:$AB$1407,$AG1031)))</f>
        <v/>
      </c>
      <c r="L1031" s="92" t="str">
        <f>IF($AG1031="","",INDEX(V_Naam,INDEX($AB$8:$AB$1407,$AG1031)))</f>
        <v/>
      </c>
      <c r="M1031" s="92" t="str">
        <f>IF($AG1031="","",INDEX(V_Type,INDEX($AB$8:$AB$1407,$AG1031)))</f>
        <v/>
      </c>
      <c r="N1031" s="92" t="str">
        <f>IF($AG1031="","",INDEX(V_IFRS,INDEX($AB$8:$AB$1407,$AG1031)))</f>
        <v/>
      </c>
      <c r="O1031" s="92" t="str">
        <f>IF($AG1031="","",INDEX($AL$8:$AL$21,INDEX($AC$8:$AC$1407,$AG1031)+1))</f>
        <v/>
      </c>
      <c r="P1031" s="109" t="str">
        <f>IF($AG1031="","",INDEX($AD$8:$AD$1407,$AG1031))</f>
        <v/>
      </c>
      <c r="Q1031" s="92" t="str">
        <f>IF($AG1031="","",INDEX($AM$8:$AM$21,INDEX($AC$8:$AC$1407,$AG1031)+1))</f>
        <v/>
      </c>
      <c r="R1031" s="92" t="str">
        <f>IF($AG1031="","",IF($G1031&gt;0,P_ToelCorrectie&amp;"",""))</f>
        <v/>
      </c>
      <c r="S1031" s="15" t="str">
        <f>IF(J1031="","",J1031&amp;"|"&amp;E1031&amp;"|"&amp;F1031&amp;"|"&amp;I1031&amp;"|"&amp;O1031)</f>
        <v/>
      </c>
      <c r="T1031" s="111" t="str">
        <f>IF(S1031="","",IF(COUNTIFS(L_Sleutel,S1031,L_Actief,1)=0,"",SUMIFS(L_Waarde,L_Sleutel,S1031,L_Actief,1)))</f>
        <v/>
      </c>
      <c r="U1031" s="111">
        <f>IF(OR(S1031="",T1031=""),0,P1031-T1031)</f>
        <v>0</v>
      </c>
      <c r="AB1031" s="112" t="n">
        <v>74</v>
      </c>
      <c r="AC1031" s="112" t="n">
        <v>1</v>
      </c>
      <c r="AD1031" s="112" t="str">
        <f>VERW_Project!Q79</f>
        <v/>
      </c>
      <c r="AE1031" s="112">
        <f>IF(AND(VERW_Project!$A79&lt;&gt;"",ISNUMBER(AD1031)),1,0)</f>
        <v>0</v>
      </c>
      <c r="AF1031" s="112" t="str">
        <f>IF(AE1031=1,SUM($AE$8:AE1031),"")</f>
        <v/>
      </c>
      <c r="AG1031" t="str">
        <f>IFERROR(MATCH(1024,$AF$8:$AF$1407,0),"")</f>
        <v/>
      </c>
    </row>
    <row r="1032">
      <c r="A1032" s="92" t="str">
        <f>IF($AG1032="","",P_ImportID)</f>
        <v/>
      </c>
      <c r="B1032" s="92" t="str">
        <f>IF($AG1032="","",IF(INDEX($AN$8:$AN$21,INDEX($AC$8:$AC$1407,$AG1032)+1)="Z",P_BronZ,P_BronE))</f>
        <v/>
      </c>
      <c r="C1032" s="108" t="str">
        <f>IF($AG1032="","",P_Importdatum)</f>
        <v/>
      </c>
      <c r="D1032" s="92" t="str">
        <f>IF($AG1032="","",P_StatusVastleg)</f>
        <v/>
      </c>
      <c r="E1032" s="92" t="str">
        <f>IF($AG1032="","",P_UploadVJ)</f>
        <v/>
      </c>
      <c r="F1032" s="92" t="str">
        <f>IF($AG1032="","",P_UploadVersie)</f>
        <v/>
      </c>
      <c r="G1032" s="92" t="str">
        <f>IF($AG1032="","",IF(COUNTIFS(L_Sleutel,$S1032,L_Status,"Vastgesteld")=0,0,_xlfn.MAXIFS(L_Revisie,L_Sleutel,$S1032,L_Status,"Vastgesteld")+1))</f>
        <v/>
      </c>
      <c r="H1032" s="108" t="str">
        <f>IF($AG1032="","",P_Peildatum)</f>
        <v/>
      </c>
      <c r="I1032" s="92" t="str">
        <f>IF($AG1032="","",P_RJ+INDEX($AK$8:$AK$21,INDEX($AC$8:$AC$1407,$AG1032)+1))</f>
        <v/>
      </c>
      <c r="J1032" s="92" t="str">
        <f>IF($AG1032="","",INDEX(V_WBS,INDEX($AB$8:$AB$1407,$AG1032)))</f>
        <v/>
      </c>
      <c r="K1032" s="92" t="str">
        <f>IF($AG1032="","",INDEX(V_Projdef,INDEX($AB$8:$AB$1407,$AG1032)))</f>
        <v/>
      </c>
      <c r="L1032" s="92" t="str">
        <f>IF($AG1032="","",INDEX(V_Naam,INDEX($AB$8:$AB$1407,$AG1032)))</f>
        <v/>
      </c>
      <c r="M1032" s="92" t="str">
        <f>IF($AG1032="","",INDEX(V_Type,INDEX($AB$8:$AB$1407,$AG1032)))</f>
        <v/>
      </c>
      <c r="N1032" s="92" t="str">
        <f>IF($AG1032="","",INDEX(V_IFRS,INDEX($AB$8:$AB$1407,$AG1032)))</f>
        <v/>
      </c>
      <c r="O1032" s="92" t="str">
        <f>IF($AG1032="","",INDEX($AL$8:$AL$21,INDEX($AC$8:$AC$1407,$AG1032)+1))</f>
        <v/>
      </c>
      <c r="P1032" s="109" t="str">
        <f>IF($AG1032="","",INDEX($AD$8:$AD$1407,$AG1032))</f>
        <v/>
      </c>
      <c r="Q1032" s="92" t="str">
        <f>IF($AG1032="","",INDEX($AM$8:$AM$21,INDEX($AC$8:$AC$1407,$AG1032)+1))</f>
        <v/>
      </c>
      <c r="R1032" s="92" t="str">
        <f>IF($AG1032="","",IF($G1032&gt;0,P_ToelCorrectie&amp;"",""))</f>
        <v/>
      </c>
      <c r="S1032" s="15" t="str">
        <f>IF(J1032="","",J1032&amp;"|"&amp;E1032&amp;"|"&amp;F1032&amp;"|"&amp;I1032&amp;"|"&amp;O1032)</f>
        <v/>
      </c>
      <c r="T1032" s="111" t="str">
        <f>IF(S1032="","",IF(COUNTIFS(L_Sleutel,S1032,L_Actief,1)=0,"",SUMIFS(L_Waarde,L_Sleutel,S1032,L_Actief,1)))</f>
        <v/>
      </c>
      <c r="U1032" s="111">
        <f>IF(OR(S1032="",T1032=""),0,P1032-T1032)</f>
        <v>0</v>
      </c>
      <c r="AB1032" s="112" t="n">
        <v>74</v>
      </c>
      <c r="AC1032" s="112" t="n">
        <v>2</v>
      </c>
      <c r="AD1032" s="112" t="str">
        <f>VERW_Project!L79</f>
        <v/>
      </c>
      <c r="AE1032" s="112">
        <f>IF(AND(VERW_Project!$A79&lt;&gt;"",ISNUMBER(AD1032)),1,0)</f>
        <v>0</v>
      </c>
      <c r="AF1032" s="112" t="str">
        <f>IF(AE1032=1,SUM($AE$8:AE1032),"")</f>
        <v/>
      </c>
      <c r="AG1032" t="str">
        <f>IFERROR(MATCH(1025,$AF$8:$AF$1407,0),"")</f>
        <v/>
      </c>
    </row>
    <row r="1033">
      <c r="A1033" s="92" t="str">
        <f>IF($AG1033="","",P_ImportID)</f>
        <v/>
      </c>
      <c r="B1033" s="92" t="str">
        <f>IF($AG1033="","",IF(INDEX($AN$8:$AN$21,INDEX($AC$8:$AC$1407,$AG1033)+1)="Z",P_BronZ,P_BronE))</f>
        <v/>
      </c>
      <c r="C1033" s="108" t="str">
        <f>IF($AG1033="","",P_Importdatum)</f>
        <v/>
      </c>
      <c r="D1033" s="92" t="str">
        <f>IF($AG1033="","",P_StatusVastleg)</f>
        <v/>
      </c>
      <c r="E1033" s="92" t="str">
        <f>IF($AG1033="","",P_UploadVJ)</f>
        <v/>
      </c>
      <c r="F1033" s="92" t="str">
        <f>IF($AG1033="","",P_UploadVersie)</f>
        <v/>
      </c>
      <c r="G1033" s="92" t="str">
        <f>IF($AG1033="","",IF(COUNTIFS(L_Sleutel,$S1033,L_Status,"Vastgesteld")=0,0,_xlfn.MAXIFS(L_Revisie,L_Sleutel,$S1033,L_Status,"Vastgesteld")+1))</f>
        <v/>
      </c>
      <c r="H1033" s="108" t="str">
        <f>IF($AG1033="","",P_Peildatum)</f>
        <v/>
      </c>
      <c r="I1033" s="92" t="str">
        <f>IF($AG1033="","",P_RJ+INDEX($AK$8:$AK$21,INDEX($AC$8:$AC$1407,$AG1033)+1))</f>
        <v/>
      </c>
      <c r="J1033" s="92" t="str">
        <f>IF($AG1033="","",INDEX(V_WBS,INDEX($AB$8:$AB$1407,$AG1033)))</f>
        <v/>
      </c>
      <c r="K1033" s="92" t="str">
        <f>IF($AG1033="","",INDEX(V_Projdef,INDEX($AB$8:$AB$1407,$AG1033)))</f>
        <v/>
      </c>
      <c r="L1033" s="92" t="str">
        <f>IF($AG1033="","",INDEX(V_Naam,INDEX($AB$8:$AB$1407,$AG1033)))</f>
        <v/>
      </c>
      <c r="M1033" s="92" t="str">
        <f>IF($AG1033="","",INDEX(V_Type,INDEX($AB$8:$AB$1407,$AG1033)))</f>
        <v/>
      </c>
      <c r="N1033" s="92" t="str">
        <f>IF($AG1033="","",INDEX(V_IFRS,INDEX($AB$8:$AB$1407,$AG1033)))</f>
        <v/>
      </c>
      <c r="O1033" s="92" t="str">
        <f>IF($AG1033="","",INDEX($AL$8:$AL$21,INDEX($AC$8:$AC$1407,$AG1033)+1))</f>
        <v/>
      </c>
      <c r="P1033" s="109" t="str">
        <f>IF($AG1033="","",INDEX($AD$8:$AD$1407,$AG1033))</f>
        <v/>
      </c>
      <c r="Q1033" s="92" t="str">
        <f>IF($AG1033="","",INDEX($AM$8:$AM$21,INDEX($AC$8:$AC$1407,$AG1033)+1))</f>
        <v/>
      </c>
      <c r="R1033" s="92" t="str">
        <f>IF($AG1033="","",IF($G1033&gt;0,P_ToelCorrectie&amp;"",""))</f>
        <v/>
      </c>
      <c r="S1033" s="15" t="str">
        <f>IF(J1033="","",J1033&amp;"|"&amp;E1033&amp;"|"&amp;F1033&amp;"|"&amp;I1033&amp;"|"&amp;O1033)</f>
        <v/>
      </c>
      <c r="T1033" s="111" t="str">
        <f>IF(S1033="","",IF(COUNTIFS(L_Sleutel,S1033,L_Actief,1)=0,"",SUMIFS(L_Waarde,L_Sleutel,S1033,L_Actief,1)))</f>
        <v/>
      </c>
      <c r="U1033" s="111">
        <f>IF(OR(S1033="",T1033=""),0,P1033-T1033)</f>
        <v>0</v>
      </c>
      <c r="AB1033" s="112" t="n">
        <v>74</v>
      </c>
      <c r="AC1033" s="112" t="n">
        <v>3</v>
      </c>
      <c r="AD1033" s="112" t="str">
        <f>VERW_Project!M79</f>
        <v/>
      </c>
      <c r="AE1033" s="112">
        <f>IF(AND(VERW_Project!$A79&lt;&gt;"",ISNUMBER(AD1033)),1,0)</f>
        <v>0</v>
      </c>
      <c r="AF1033" s="112" t="str">
        <f>IF(AE1033=1,SUM($AE$8:AE1033),"")</f>
        <v/>
      </c>
      <c r="AG1033" t="str">
        <f>IFERROR(MATCH(1026,$AF$8:$AF$1407,0),"")</f>
        <v/>
      </c>
    </row>
    <row r="1034">
      <c r="A1034" s="92" t="str">
        <f>IF($AG1034="","",P_ImportID)</f>
        <v/>
      </c>
      <c r="B1034" s="92" t="str">
        <f>IF($AG1034="","",IF(INDEX($AN$8:$AN$21,INDEX($AC$8:$AC$1407,$AG1034)+1)="Z",P_BronZ,P_BronE))</f>
        <v/>
      </c>
      <c r="C1034" s="108" t="str">
        <f>IF($AG1034="","",P_Importdatum)</f>
        <v/>
      </c>
      <c r="D1034" s="92" t="str">
        <f>IF($AG1034="","",P_StatusVastleg)</f>
        <v/>
      </c>
      <c r="E1034" s="92" t="str">
        <f>IF($AG1034="","",P_UploadVJ)</f>
        <v/>
      </c>
      <c r="F1034" s="92" t="str">
        <f>IF($AG1034="","",P_UploadVersie)</f>
        <v/>
      </c>
      <c r="G1034" s="92" t="str">
        <f>IF($AG1034="","",IF(COUNTIFS(L_Sleutel,$S1034,L_Status,"Vastgesteld")=0,0,_xlfn.MAXIFS(L_Revisie,L_Sleutel,$S1034,L_Status,"Vastgesteld")+1))</f>
        <v/>
      </c>
      <c r="H1034" s="108" t="str">
        <f>IF($AG1034="","",P_Peildatum)</f>
        <v/>
      </c>
      <c r="I1034" s="92" t="str">
        <f>IF($AG1034="","",P_RJ+INDEX($AK$8:$AK$21,INDEX($AC$8:$AC$1407,$AG1034)+1))</f>
        <v/>
      </c>
      <c r="J1034" s="92" t="str">
        <f>IF($AG1034="","",INDEX(V_WBS,INDEX($AB$8:$AB$1407,$AG1034)))</f>
        <v/>
      </c>
      <c r="K1034" s="92" t="str">
        <f>IF($AG1034="","",INDEX(V_Projdef,INDEX($AB$8:$AB$1407,$AG1034)))</f>
        <v/>
      </c>
      <c r="L1034" s="92" t="str">
        <f>IF($AG1034="","",INDEX(V_Naam,INDEX($AB$8:$AB$1407,$AG1034)))</f>
        <v/>
      </c>
      <c r="M1034" s="92" t="str">
        <f>IF($AG1034="","",INDEX(V_Type,INDEX($AB$8:$AB$1407,$AG1034)))</f>
        <v/>
      </c>
      <c r="N1034" s="92" t="str">
        <f>IF($AG1034="","",INDEX(V_IFRS,INDEX($AB$8:$AB$1407,$AG1034)))</f>
        <v/>
      </c>
      <c r="O1034" s="92" t="str">
        <f>IF($AG1034="","",INDEX($AL$8:$AL$21,INDEX($AC$8:$AC$1407,$AG1034)+1))</f>
        <v/>
      </c>
      <c r="P1034" s="109" t="str">
        <f>IF($AG1034="","",INDEX($AD$8:$AD$1407,$AG1034))</f>
        <v/>
      </c>
      <c r="Q1034" s="92" t="str">
        <f>IF($AG1034="","",INDEX($AM$8:$AM$21,INDEX($AC$8:$AC$1407,$AG1034)+1))</f>
        <v/>
      </c>
      <c r="R1034" s="92" t="str">
        <f>IF($AG1034="","",IF($G1034&gt;0,P_ToelCorrectie&amp;"",""))</f>
        <v/>
      </c>
      <c r="S1034" s="15" t="str">
        <f>IF(J1034="","",J1034&amp;"|"&amp;E1034&amp;"|"&amp;F1034&amp;"|"&amp;I1034&amp;"|"&amp;O1034)</f>
        <v/>
      </c>
      <c r="T1034" s="111" t="str">
        <f>IF(S1034="","",IF(COUNTIFS(L_Sleutel,S1034,L_Actief,1)=0,"",SUMIFS(L_Waarde,L_Sleutel,S1034,L_Actief,1)))</f>
        <v/>
      </c>
      <c r="U1034" s="111">
        <f>IF(OR(S1034="",T1034=""),0,P1034-T1034)</f>
        <v>0</v>
      </c>
      <c r="AB1034" s="112" t="n">
        <v>74</v>
      </c>
      <c r="AC1034" s="112" t="n">
        <v>4</v>
      </c>
      <c r="AD1034" s="112" t="str">
        <f>VERW_Project!R79</f>
        <v/>
      </c>
      <c r="AE1034" s="112">
        <f>IF(AND(VERW_Project!$A79&lt;&gt;"",ISNUMBER(AD1034)),1,0)</f>
        <v>0</v>
      </c>
      <c r="AF1034" s="112" t="str">
        <f>IF(AE1034=1,SUM($AE$8:AE1034),"")</f>
        <v/>
      </c>
      <c r="AG1034" t="str">
        <f>IFERROR(MATCH(1027,$AF$8:$AF$1407,0),"")</f>
        <v/>
      </c>
    </row>
    <row r="1035">
      <c r="A1035" s="92" t="str">
        <f>IF($AG1035="","",P_ImportID)</f>
        <v/>
      </c>
      <c r="B1035" s="92" t="str">
        <f>IF($AG1035="","",IF(INDEX($AN$8:$AN$21,INDEX($AC$8:$AC$1407,$AG1035)+1)="Z",P_BronZ,P_BronE))</f>
        <v/>
      </c>
      <c r="C1035" s="108" t="str">
        <f>IF($AG1035="","",P_Importdatum)</f>
        <v/>
      </c>
      <c r="D1035" s="92" t="str">
        <f>IF($AG1035="","",P_StatusVastleg)</f>
        <v/>
      </c>
      <c r="E1035" s="92" t="str">
        <f>IF($AG1035="","",P_UploadVJ)</f>
        <v/>
      </c>
      <c r="F1035" s="92" t="str">
        <f>IF($AG1035="","",P_UploadVersie)</f>
        <v/>
      </c>
      <c r="G1035" s="92" t="str">
        <f>IF($AG1035="","",IF(COUNTIFS(L_Sleutel,$S1035,L_Status,"Vastgesteld")=0,0,_xlfn.MAXIFS(L_Revisie,L_Sleutel,$S1035,L_Status,"Vastgesteld")+1))</f>
        <v/>
      </c>
      <c r="H1035" s="108" t="str">
        <f>IF($AG1035="","",P_Peildatum)</f>
        <v/>
      </c>
      <c r="I1035" s="92" t="str">
        <f>IF($AG1035="","",P_RJ+INDEX($AK$8:$AK$21,INDEX($AC$8:$AC$1407,$AG1035)+1))</f>
        <v/>
      </c>
      <c r="J1035" s="92" t="str">
        <f>IF($AG1035="","",INDEX(V_WBS,INDEX($AB$8:$AB$1407,$AG1035)))</f>
        <v/>
      </c>
      <c r="K1035" s="92" t="str">
        <f>IF($AG1035="","",INDEX(V_Projdef,INDEX($AB$8:$AB$1407,$AG1035)))</f>
        <v/>
      </c>
      <c r="L1035" s="92" t="str">
        <f>IF($AG1035="","",INDEX(V_Naam,INDEX($AB$8:$AB$1407,$AG1035)))</f>
        <v/>
      </c>
      <c r="M1035" s="92" t="str">
        <f>IF($AG1035="","",INDEX(V_Type,INDEX($AB$8:$AB$1407,$AG1035)))</f>
        <v/>
      </c>
      <c r="N1035" s="92" t="str">
        <f>IF($AG1035="","",INDEX(V_IFRS,INDEX($AB$8:$AB$1407,$AG1035)))</f>
        <v/>
      </c>
      <c r="O1035" s="92" t="str">
        <f>IF($AG1035="","",INDEX($AL$8:$AL$21,INDEX($AC$8:$AC$1407,$AG1035)+1))</f>
        <v/>
      </c>
      <c r="P1035" s="109" t="str">
        <f>IF($AG1035="","",INDEX($AD$8:$AD$1407,$AG1035))</f>
        <v/>
      </c>
      <c r="Q1035" s="92" t="str">
        <f>IF($AG1035="","",INDEX($AM$8:$AM$21,INDEX($AC$8:$AC$1407,$AG1035)+1))</f>
        <v/>
      </c>
      <c r="R1035" s="92" t="str">
        <f>IF($AG1035="","",IF($G1035&gt;0,P_ToelCorrectie&amp;"",""))</f>
        <v/>
      </c>
      <c r="S1035" s="15" t="str">
        <f>IF(J1035="","",J1035&amp;"|"&amp;E1035&amp;"|"&amp;F1035&amp;"|"&amp;I1035&amp;"|"&amp;O1035)</f>
        <v/>
      </c>
      <c r="T1035" s="111" t="str">
        <f>IF(S1035="","",IF(COUNTIFS(L_Sleutel,S1035,L_Actief,1)=0,"",SUMIFS(L_Waarde,L_Sleutel,S1035,L_Actief,1)))</f>
        <v/>
      </c>
      <c r="U1035" s="111">
        <f>IF(OR(S1035="",T1035=""),0,P1035-T1035)</f>
        <v>0</v>
      </c>
      <c r="AB1035" s="112" t="n">
        <v>74</v>
      </c>
      <c r="AC1035" s="112" t="n">
        <v>5</v>
      </c>
      <c r="AD1035" s="112" t="str">
        <f>VERW_Project!S79</f>
        <v/>
      </c>
      <c r="AE1035" s="112">
        <f>IF(AND(VERW_Project!$A79&lt;&gt;"",ISNUMBER(AD1035)),1,0)</f>
        <v>0</v>
      </c>
      <c r="AF1035" s="112" t="str">
        <f>IF(AE1035=1,SUM($AE$8:AE1035),"")</f>
        <v/>
      </c>
      <c r="AG1035" t="str">
        <f>IFERROR(MATCH(1028,$AF$8:$AF$1407,0),"")</f>
        <v/>
      </c>
    </row>
    <row r="1036">
      <c r="A1036" s="92" t="str">
        <f>IF($AG1036="","",P_ImportID)</f>
        <v/>
      </c>
      <c r="B1036" s="92" t="str">
        <f>IF($AG1036="","",IF(INDEX($AN$8:$AN$21,INDEX($AC$8:$AC$1407,$AG1036)+1)="Z",P_BronZ,P_BronE))</f>
        <v/>
      </c>
      <c r="C1036" s="108" t="str">
        <f>IF($AG1036="","",P_Importdatum)</f>
        <v/>
      </c>
      <c r="D1036" s="92" t="str">
        <f>IF($AG1036="","",P_StatusVastleg)</f>
        <v/>
      </c>
      <c r="E1036" s="92" t="str">
        <f>IF($AG1036="","",P_UploadVJ)</f>
        <v/>
      </c>
      <c r="F1036" s="92" t="str">
        <f>IF($AG1036="","",P_UploadVersie)</f>
        <v/>
      </c>
      <c r="G1036" s="92" t="str">
        <f>IF($AG1036="","",IF(COUNTIFS(L_Sleutel,$S1036,L_Status,"Vastgesteld")=0,0,_xlfn.MAXIFS(L_Revisie,L_Sleutel,$S1036,L_Status,"Vastgesteld")+1))</f>
        <v/>
      </c>
      <c r="H1036" s="108" t="str">
        <f>IF($AG1036="","",P_Peildatum)</f>
        <v/>
      </c>
      <c r="I1036" s="92" t="str">
        <f>IF($AG1036="","",P_RJ+INDEX($AK$8:$AK$21,INDEX($AC$8:$AC$1407,$AG1036)+1))</f>
        <v/>
      </c>
      <c r="J1036" s="92" t="str">
        <f>IF($AG1036="","",INDEX(V_WBS,INDEX($AB$8:$AB$1407,$AG1036)))</f>
        <v/>
      </c>
      <c r="K1036" s="92" t="str">
        <f>IF($AG1036="","",INDEX(V_Projdef,INDEX($AB$8:$AB$1407,$AG1036)))</f>
        <v/>
      </c>
      <c r="L1036" s="92" t="str">
        <f>IF($AG1036="","",INDEX(V_Naam,INDEX($AB$8:$AB$1407,$AG1036)))</f>
        <v/>
      </c>
      <c r="M1036" s="92" t="str">
        <f>IF($AG1036="","",INDEX(V_Type,INDEX($AB$8:$AB$1407,$AG1036)))</f>
        <v/>
      </c>
      <c r="N1036" s="92" t="str">
        <f>IF($AG1036="","",INDEX(V_IFRS,INDEX($AB$8:$AB$1407,$AG1036)))</f>
        <v/>
      </c>
      <c r="O1036" s="92" t="str">
        <f>IF($AG1036="","",INDEX($AL$8:$AL$21,INDEX($AC$8:$AC$1407,$AG1036)+1))</f>
        <v/>
      </c>
      <c r="P1036" s="109" t="str">
        <f>IF($AG1036="","",INDEX($AD$8:$AD$1407,$AG1036))</f>
        <v/>
      </c>
      <c r="Q1036" s="92" t="str">
        <f>IF($AG1036="","",INDEX($AM$8:$AM$21,INDEX($AC$8:$AC$1407,$AG1036)+1))</f>
        <v/>
      </c>
      <c r="R1036" s="92" t="str">
        <f>IF($AG1036="","",IF($G1036&gt;0,P_ToelCorrectie&amp;"",""))</f>
        <v/>
      </c>
      <c r="S1036" s="15" t="str">
        <f>IF(J1036="","",J1036&amp;"|"&amp;E1036&amp;"|"&amp;F1036&amp;"|"&amp;I1036&amp;"|"&amp;O1036)</f>
        <v/>
      </c>
      <c r="T1036" s="111" t="str">
        <f>IF(S1036="","",IF(COUNTIFS(L_Sleutel,S1036,L_Actief,1)=0,"",SUMIFS(L_Waarde,L_Sleutel,S1036,L_Actief,1)))</f>
        <v/>
      </c>
      <c r="U1036" s="111">
        <f>IF(OR(S1036="",T1036=""),0,P1036-T1036)</f>
        <v>0</v>
      </c>
      <c r="AB1036" s="112" t="n">
        <v>74</v>
      </c>
      <c r="AC1036" s="112" t="n">
        <v>6</v>
      </c>
      <c r="AD1036" s="112" t="str">
        <f>VERW_Project!BW79</f>
        <v/>
      </c>
      <c r="AE1036" s="112">
        <f>IF(AND(VERW_Project!$A79&lt;&gt;"",ISNUMBER(AD1036)),1,0)</f>
        <v>0</v>
      </c>
      <c r="AF1036" s="112" t="str">
        <f>IF(AE1036=1,SUM($AE$8:AE1036),"")</f>
        <v/>
      </c>
      <c r="AG1036" t="str">
        <f>IFERROR(MATCH(1029,$AF$8:$AF$1407,0),"")</f>
        <v/>
      </c>
    </row>
    <row r="1037">
      <c r="A1037" s="92" t="str">
        <f>IF($AG1037="","",P_ImportID)</f>
        <v/>
      </c>
      <c r="B1037" s="92" t="str">
        <f>IF($AG1037="","",IF(INDEX($AN$8:$AN$21,INDEX($AC$8:$AC$1407,$AG1037)+1)="Z",P_BronZ,P_BronE))</f>
        <v/>
      </c>
      <c r="C1037" s="108" t="str">
        <f>IF($AG1037="","",P_Importdatum)</f>
        <v/>
      </c>
      <c r="D1037" s="92" t="str">
        <f>IF($AG1037="","",P_StatusVastleg)</f>
        <v/>
      </c>
      <c r="E1037" s="92" t="str">
        <f>IF($AG1037="","",P_UploadVJ)</f>
        <v/>
      </c>
      <c r="F1037" s="92" t="str">
        <f>IF($AG1037="","",P_UploadVersie)</f>
        <v/>
      </c>
      <c r="G1037" s="92" t="str">
        <f>IF($AG1037="","",IF(COUNTIFS(L_Sleutel,$S1037,L_Status,"Vastgesteld")=0,0,_xlfn.MAXIFS(L_Revisie,L_Sleutel,$S1037,L_Status,"Vastgesteld")+1))</f>
        <v/>
      </c>
      <c r="H1037" s="108" t="str">
        <f>IF($AG1037="","",P_Peildatum)</f>
        <v/>
      </c>
      <c r="I1037" s="92" t="str">
        <f>IF($AG1037="","",P_RJ+INDEX($AK$8:$AK$21,INDEX($AC$8:$AC$1407,$AG1037)+1))</f>
        <v/>
      </c>
      <c r="J1037" s="92" t="str">
        <f>IF($AG1037="","",INDEX(V_WBS,INDEX($AB$8:$AB$1407,$AG1037)))</f>
        <v/>
      </c>
      <c r="K1037" s="92" t="str">
        <f>IF($AG1037="","",INDEX(V_Projdef,INDEX($AB$8:$AB$1407,$AG1037)))</f>
        <v/>
      </c>
      <c r="L1037" s="92" t="str">
        <f>IF($AG1037="","",INDEX(V_Naam,INDEX($AB$8:$AB$1407,$AG1037)))</f>
        <v/>
      </c>
      <c r="M1037" s="92" t="str">
        <f>IF($AG1037="","",INDEX(V_Type,INDEX($AB$8:$AB$1407,$AG1037)))</f>
        <v/>
      </c>
      <c r="N1037" s="92" t="str">
        <f>IF($AG1037="","",INDEX(V_IFRS,INDEX($AB$8:$AB$1407,$AG1037)))</f>
        <v/>
      </c>
      <c r="O1037" s="92" t="str">
        <f>IF($AG1037="","",INDEX($AL$8:$AL$21,INDEX($AC$8:$AC$1407,$AG1037)+1))</f>
        <v/>
      </c>
      <c r="P1037" s="109" t="str">
        <f>IF($AG1037="","",INDEX($AD$8:$AD$1407,$AG1037))</f>
        <v/>
      </c>
      <c r="Q1037" s="92" t="str">
        <f>IF($AG1037="","",INDEX($AM$8:$AM$21,INDEX($AC$8:$AC$1407,$AG1037)+1))</f>
        <v/>
      </c>
      <c r="R1037" s="92" t="str">
        <f>IF($AG1037="","",IF($G1037&gt;0,P_ToelCorrectie&amp;"",""))</f>
        <v/>
      </c>
      <c r="S1037" s="15" t="str">
        <f>IF(J1037="","",J1037&amp;"|"&amp;E1037&amp;"|"&amp;F1037&amp;"|"&amp;I1037&amp;"|"&amp;O1037)</f>
        <v/>
      </c>
      <c r="T1037" s="111" t="str">
        <f>IF(S1037="","",IF(COUNTIFS(L_Sleutel,S1037,L_Actief,1)=0,"",SUMIFS(L_Waarde,L_Sleutel,S1037,L_Actief,1)))</f>
        <v/>
      </c>
      <c r="U1037" s="111">
        <f>IF(OR(S1037="",T1037=""),0,P1037-T1037)</f>
        <v>0</v>
      </c>
      <c r="AB1037" s="112" t="n">
        <v>74</v>
      </c>
      <c r="AC1037" s="112" t="n">
        <v>7</v>
      </c>
      <c r="AD1037" s="112" t="str">
        <f>VERW_Project!AW79</f>
        <v/>
      </c>
      <c r="AE1037" s="112">
        <f>IF(AND(VERW_Project!$A79&lt;&gt;"",ISNUMBER(AD1037)),1,0)</f>
        <v>0</v>
      </c>
      <c r="AF1037" s="112" t="str">
        <f>IF(AE1037=1,SUM($AE$8:AE1037),"")</f>
        <v/>
      </c>
      <c r="AG1037" t="str">
        <f>IFERROR(MATCH(1030,$AF$8:$AF$1407,0),"")</f>
        <v/>
      </c>
    </row>
    <row r="1038">
      <c r="A1038" s="92" t="str">
        <f>IF($AG1038="","",P_ImportID)</f>
        <v/>
      </c>
      <c r="B1038" s="92" t="str">
        <f>IF($AG1038="","",IF(INDEX($AN$8:$AN$21,INDEX($AC$8:$AC$1407,$AG1038)+1)="Z",P_BronZ,P_BronE))</f>
        <v/>
      </c>
      <c r="C1038" s="108" t="str">
        <f>IF($AG1038="","",P_Importdatum)</f>
        <v/>
      </c>
      <c r="D1038" s="92" t="str">
        <f>IF($AG1038="","",P_StatusVastleg)</f>
        <v/>
      </c>
      <c r="E1038" s="92" t="str">
        <f>IF($AG1038="","",P_UploadVJ)</f>
        <v/>
      </c>
      <c r="F1038" s="92" t="str">
        <f>IF($AG1038="","",P_UploadVersie)</f>
        <v/>
      </c>
      <c r="G1038" s="92" t="str">
        <f>IF($AG1038="","",IF(COUNTIFS(L_Sleutel,$S1038,L_Status,"Vastgesteld")=0,0,_xlfn.MAXIFS(L_Revisie,L_Sleutel,$S1038,L_Status,"Vastgesteld")+1))</f>
        <v/>
      </c>
      <c r="H1038" s="108" t="str">
        <f>IF($AG1038="","",P_Peildatum)</f>
        <v/>
      </c>
      <c r="I1038" s="92" t="str">
        <f>IF($AG1038="","",P_RJ+INDEX($AK$8:$AK$21,INDEX($AC$8:$AC$1407,$AG1038)+1))</f>
        <v/>
      </c>
      <c r="J1038" s="92" t="str">
        <f>IF($AG1038="","",INDEX(V_WBS,INDEX($AB$8:$AB$1407,$AG1038)))</f>
        <v/>
      </c>
      <c r="K1038" s="92" t="str">
        <f>IF($AG1038="","",INDEX(V_Projdef,INDEX($AB$8:$AB$1407,$AG1038)))</f>
        <v/>
      </c>
      <c r="L1038" s="92" t="str">
        <f>IF($AG1038="","",INDEX(V_Naam,INDEX($AB$8:$AB$1407,$AG1038)))</f>
        <v/>
      </c>
      <c r="M1038" s="92" t="str">
        <f>IF($AG1038="","",INDEX(V_Type,INDEX($AB$8:$AB$1407,$AG1038)))</f>
        <v/>
      </c>
      <c r="N1038" s="92" t="str">
        <f>IF($AG1038="","",INDEX(V_IFRS,INDEX($AB$8:$AB$1407,$AG1038)))</f>
        <v/>
      </c>
      <c r="O1038" s="92" t="str">
        <f>IF($AG1038="","",INDEX($AL$8:$AL$21,INDEX($AC$8:$AC$1407,$AG1038)+1))</f>
        <v/>
      </c>
      <c r="P1038" s="109" t="str">
        <f>IF($AG1038="","",INDEX($AD$8:$AD$1407,$AG1038))</f>
        <v/>
      </c>
      <c r="Q1038" s="92" t="str">
        <f>IF($AG1038="","",INDEX($AM$8:$AM$21,INDEX($AC$8:$AC$1407,$AG1038)+1))</f>
        <v/>
      </c>
      <c r="R1038" s="92" t="str">
        <f>IF($AG1038="","",IF($G1038&gt;0,P_ToelCorrectie&amp;"",""))</f>
        <v/>
      </c>
      <c r="S1038" s="15" t="str">
        <f>IF(J1038="","",J1038&amp;"|"&amp;E1038&amp;"|"&amp;F1038&amp;"|"&amp;I1038&amp;"|"&amp;O1038)</f>
        <v/>
      </c>
      <c r="T1038" s="111" t="str">
        <f>IF(S1038="","",IF(COUNTIFS(L_Sleutel,S1038,L_Actief,1)=0,"",SUMIFS(L_Waarde,L_Sleutel,S1038,L_Actief,1)))</f>
        <v/>
      </c>
      <c r="U1038" s="111">
        <f>IF(OR(S1038="",T1038=""),0,P1038-T1038)</f>
        <v>0</v>
      </c>
      <c r="AB1038" s="112" t="n">
        <v>74</v>
      </c>
      <c r="AC1038" s="112" t="n">
        <v>8</v>
      </c>
      <c r="AD1038" s="112" t="str">
        <f>VERW_Project!BQ79</f>
        <v/>
      </c>
      <c r="AE1038" s="112">
        <f>IF(AND(VERW_Project!$A79&lt;&gt;"",ISNUMBER(AD1038)),1,0)</f>
        <v>0</v>
      </c>
      <c r="AF1038" s="112" t="str">
        <f>IF(AE1038=1,SUM($AE$8:AE1038),"")</f>
        <v/>
      </c>
      <c r="AG1038" t="str">
        <f>IFERROR(MATCH(1031,$AF$8:$AF$1407,0),"")</f>
        <v/>
      </c>
    </row>
    <row r="1039">
      <c r="A1039" s="92" t="str">
        <f>IF($AG1039="","",P_ImportID)</f>
        <v/>
      </c>
      <c r="B1039" s="92" t="str">
        <f>IF($AG1039="","",IF(INDEX($AN$8:$AN$21,INDEX($AC$8:$AC$1407,$AG1039)+1)="Z",P_BronZ,P_BronE))</f>
        <v/>
      </c>
      <c r="C1039" s="108" t="str">
        <f>IF($AG1039="","",P_Importdatum)</f>
        <v/>
      </c>
      <c r="D1039" s="92" t="str">
        <f>IF($AG1039="","",P_StatusVastleg)</f>
        <v/>
      </c>
      <c r="E1039" s="92" t="str">
        <f>IF($AG1039="","",P_UploadVJ)</f>
        <v/>
      </c>
      <c r="F1039" s="92" t="str">
        <f>IF($AG1039="","",P_UploadVersie)</f>
        <v/>
      </c>
      <c r="G1039" s="92" t="str">
        <f>IF($AG1039="","",IF(COUNTIFS(L_Sleutel,$S1039,L_Status,"Vastgesteld")=0,0,_xlfn.MAXIFS(L_Revisie,L_Sleutel,$S1039,L_Status,"Vastgesteld")+1))</f>
        <v/>
      </c>
      <c r="H1039" s="108" t="str">
        <f>IF($AG1039="","",P_Peildatum)</f>
        <v/>
      </c>
      <c r="I1039" s="92" t="str">
        <f>IF($AG1039="","",P_RJ+INDEX($AK$8:$AK$21,INDEX($AC$8:$AC$1407,$AG1039)+1))</f>
        <v/>
      </c>
      <c r="J1039" s="92" t="str">
        <f>IF($AG1039="","",INDEX(V_WBS,INDEX($AB$8:$AB$1407,$AG1039)))</f>
        <v/>
      </c>
      <c r="K1039" s="92" t="str">
        <f>IF($AG1039="","",INDEX(V_Projdef,INDEX($AB$8:$AB$1407,$AG1039)))</f>
        <v/>
      </c>
      <c r="L1039" s="92" t="str">
        <f>IF($AG1039="","",INDEX(V_Naam,INDEX($AB$8:$AB$1407,$AG1039)))</f>
        <v/>
      </c>
      <c r="M1039" s="92" t="str">
        <f>IF($AG1039="","",INDEX(V_Type,INDEX($AB$8:$AB$1407,$AG1039)))</f>
        <v/>
      </c>
      <c r="N1039" s="92" t="str">
        <f>IF($AG1039="","",INDEX(V_IFRS,INDEX($AB$8:$AB$1407,$AG1039)))</f>
        <v/>
      </c>
      <c r="O1039" s="92" t="str">
        <f>IF($AG1039="","",INDEX($AL$8:$AL$21,INDEX($AC$8:$AC$1407,$AG1039)+1))</f>
        <v/>
      </c>
      <c r="P1039" s="109" t="str">
        <f>IF($AG1039="","",INDEX($AD$8:$AD$1407,$AG1039))</f>
        <v/>
      </c>
      <c r="Q1039" s="92" t="str">
        <f>IF($AG1039="","",INDEX($AM$8:$AM$21,INDEX($AC$8:$AC$1407,$AG1039)+1))</f>
        <v/>
      </c>
      <c r="R1039" s="92" t="str">
        <f>IF($AG1039="","",IF($G1039&gt;0,P_ToelCorrectie&amp;"",""))</f>
        <v/>
      </c>
      <c r="S1039" s="15" t="str">
        <f>IF(J1039="","",J1039&amp;"|"&amp;E1039&amp;"|"&amp;F1039&amp;"|"&amp;I1039&amp;"|"&amp;O1039)</f>
        <v/>
      </c>
      <c r="T1039" s="111" t="str">
        <f>IF(S1039="","",IF(COUNTIFS(L_Sleutel,S1039,L_Actief,1)=0,"",SUMIFS(L_Waarde,L_Sleutel,S1039,L_Actief,1)))</f>
        <v/>
      </c>
      <c r="U1039" s="111">
        <f>IF(OR(S1039="",T1039=""),0,P1039-T1039)</f>
        <v>0</v>
      </c>
      <c r="AB1039" s="112" t="n">
        <v>74</v>
      </c>
      <c r="AC1039" s="112" t="n">
        <v>9</v>
      </c>
      <c r="AD1039" s="112" t="str">
        <f>VERW_Project!BR79</f>
        <v/>
      </c>
      <c r="AE1039" s="112">
        <f>IF(AND(VERW_Project!$A79&lt;&gt;"",ISNUMBER(AD1039)),1,0)</f>
        <v>0</v>
      </c>
      <c r="AF1039" s="112" t="str">
        <f>IF(AE1039=1,SUM($AE$8:AE1039),"")</f>
        <v/>
      </c>
      <c r="AG1039" t="str">
        <f>IFERROR(MATCH(1032,$AF$8:$AF$1407,0),"")</f>
        <v/>
      </c>
    </row>
    <row r="1040">
      <c r="A1040" s="92" t="str">
        <f>IF($AG1040="","",P_ImportID)</f>
        <v/>
      </c>
      <c r="B1040" s="92" t="str">
        <f>IF($AG1040="","",IF(INDEX($AN$8:$AN$21,INDEX($AC$8:$AC$1407,$AG1040)+1)="Z",P_BronZ,P_BronE))</f>
        <v/>
      </c>
      <c r="C1040" s="108" t="str">
        <f>IF($AG1040="","",P_Importdatum)</f>
        <v/>
      </c>
      <c r="D1040" s="92" t="str">
        <f>IF($AG1040="","",P_StatusVastleg)</f>
        <v/>
      </c>
      <c r="E1040" s="92" t="str">
        <f>IF($AG1040="","",P_UploadVJ)</f>
        <v/>
      </c>
      <c r="F1040" s="92" t="str">
        <f>IF($AG1040="","",P_UploadVersie)</f>
        <v/>
      </c>
      <c r="G1040" s="92" t="str">
        <f>IF($AG1040="","",IF(COUNTIFS(L_Sleutel,$S1040,L_Status,"Vastgesteld")=0,0,_xlfn.MAXIFS(L_Revisie,L_Sleutel,$S1040,L_Status,"Vastgesteld")+1))</f>
        <v/>
      </c>
      <c r="H1040" s="108" t="str">
        <f>IF($AG1040="","",P_Peildatum)</f>
        <v/>
      </c>
      <c r="I1040" s="92" t="str">
        <f>IF($AG1040="","",P_RJ+INDEX($AK$8:$AK$21,INDEX($AC$8:$AC$1407,$AG1040)+1))</f>
        <v/>
      </c>
      <c r="J1040" s="92" t="str">
        <f>IF($AG1040="","",INDEX(V_WBS,INDEX($AB$8:$AB$1407,$AG1040)))</f>
        <v/>
      </c>
      <c r="K1040" s="92" t="str">
        <f>IF($AG1040="","",INDEX(V_Projdef,INDEX($AB$8:$AB$1407,$AG1040)))</f>
        <v/>
      </c>
      <c r="L1040" s="92" t="str">
        <f>IF($AG1040="","",INDEX(V_Naam,INDEX($AB$8:$AB$1407,$AG1040)))</f>
        <v/>
      </c>
      <c r="M1040" s="92" t="str">
        <f>IF($AG1040="","",INDEX(V_Type,INDEX($AB$8:$AB$1407,$AG1040)))</f>
        <v/>
      </c>
      <c r="N1040" s="92" t="str">
        <f>IF($AG1040="","",INDEX(V_IFRS,INDEX($AB$8:$AB$1407,$AG1040)))</f>
        <v/>
      </c>
      <c r="O1040" s="92" t="str">
        <f>IF($AG1040="","",INDEX($AL$8:$AL$21,INDEX($AC$8:$AC$1407,$AG1040)+1))</f>
        <v/>
      </c>
      <c r="P1040" s="109" t="str">
        <f>IF($AG1040="","",INDEX($AD$8:$AD$1407,$AG1040))</f>
        <v/>
      </c>
      <c r="Q1040" s="92" t="str">
        <f>IF($AG1040="","",INDEX($AM$8:$AM$21,INDEX($AC$8:$AC$1407,$AG1040)+1))</f>
        <v/>
      </c>
      <c r="R1040" s="92" t="str">
        <f>IF($AG1040="","",IF($G1040&gt;0,P_ToelCorrectie&amp;"",""))</f>
        <v/>
      </c>
      <c r="S1040" s="15" t="str">
        <f>IF(J1040="","",J1040&amp;"|"&amp;E1040&amp;"|"&amp;F1040&amp;"|"&amp;I1040&amp;"|"&amp;O1040)</f>
        <v/>
      </c>
      <c r="T1040" s="111" t="str">
        <f>IF(S1040="","",IF(COUNTIFS(L_Sleutel,S1040,L_Actief,1)=0,"",SUMIFS(L_Waarde,L_Sleutel,S1040,L_Actief,1)))</f>
        <v/>
      </c>
      <c r="U1040" s="111">
        <f>IF(OR(S1040="",T1040=""),0,P1040-T1040)</f>
        <v>0</v>
      </c>
      <c r="AB1040" s="112" t="n">
        <v>74</v>
      </c>
      <c r="AC1040" s="112" t="n">
        <v>10</v>
      </c>
      <c r="AD1040" s="112" t="str">
        <f>VERW_Project!BS79</f>
        <v/>
      </c>
      <c r="AE1040" s="112">
        <f>IF(AND(VERW_Project!$A79&lt;&gt;"",ISNUMBER(AD1040)),1,0)</f>
        <v>0</v>
      </c>
      <c r="AF1040" s="112" t="str">
        <f>IF(AE1040=1,SUM($AE$8:AE1040),"")</f>
        <v/>
      </c>
      <c r="AG1040" t="str">
        <f>IFERROR(MATCH(1033,$AF$8:$AF$1407,0),"")</f>
        <v/>
      </c>
    </row>
    <row r="1041">
      <c r="A1041" s="92" t="str">
        <f>IF($AG1041="","",P_ImportID)</f>
        <v/>
      </c>
      <c r="B1041" s="92" t="str">
        <f>IF($AG1041="","",IF(INDEX($AN$8:$AN$21,INDEX($AC$8:$AC$1407,$AG1041)+1)="Z",P_BronZ,P_BronE))</f>
        <v/>
      </c>
      <c r="C1041" s="108" t="str">
        <f>IF($AG1041="","",P_Importdatum)</f>
        <v/>
      </c>
      <c r="D1041" s="92" t="str">
        <f>IF($AG1041="","",P_StatusVastleg)</f>
        <v/>
      </c>
      <c r="E1041" s="92" t="str">
        <f>IF($AG1041="","",P_UploadVJ)</f>
        <v/>
      </c>
      <c r="F1041" s="92" t="str">
        <f>IF($AG1041="","",P_UploadVersie)</f>
        <v/>
      </c>
      <c r="G1041" s="92" t="str">
        <f>IF($AG1041="","",IF(COUNTIFS(L_Sleutel,$S1041,L_Status,"Vastgesteld")=0,0,_xlfn.MAXIFS(L_Revisie,L_Sleutel,$S1041,L_Status,"Vastgesteld")+1))</f>
        <v/>
      </c>
      <c r="H1041" s="108" t="str">
        <f>IF($AG1041="","",P_Peildatum)</f>
        <v/>
      </c>
      <c r="I1041" s="92" t="str">
        <f>IF($AG1041="","",P_RJ+INDEX($AK$8:$AK$21,INDEX($AC$8:$AC$1407,$AG1041)+1))</f>
        <v/>
      </c>
      <c r="J1041" s="92" t="str">
        <f>IF($AG1041="","",INDEX(V_WBS,INDEX($AB$8:$AB$1407,$AG1041)))</f>
        <v/>
      </c>
      <c r="K1041" s="92" t="str">
        <f>IF($AG1041="","",INDEX(V_Projdef,INDEX($AB$8:$AB$1407,$AG1041)))</f>
        <v/>
      </c>
      <c r="L1041" s="92" t="str">
        <f>IF($AG1041="","",INDEX(V_Naam,INDEX($AB$8:$AB$1407,$AG1041)))</f>
        <v/>
      </c>
      <c r="M1041" s="92" t="str">
        <f>IF($AG1041="","",INDEX(V_Type,INDEX($AB$8:$AB$1407,$AG1041)))</f>
        <v/>
      </c>
      <c r="N1041" s="92" t="str">
        <f>IF($AG1041="","",INDEX(V_IFRS,INDEX($AB$8:$AB$1407,$AG1041)))</f>
        <v/>
      </c>
      <c r="O1041" s="92" t="str">
        <f>IF($AG1041="","",INDEX($AL$8:$AL$21,INDEX($AC$8:$AC$1407,$AG1041)+1))</f>
        <v/>
      </c>
      <c r="P1041" s="109" t="str">
        <f>IF($AG1041="","",INDEX($AD$8:$AD$1407,$AG1041))</f>
        <v/>
      </c>
      <c r="Q1041" s="92" t="str">
        <f>IF($AG1041="","",INDEX($AM$8:$AM$21,INDEX($AC$8:$AC$1407,$AG1041)+1))</f>
        <v/>
      </c>
      <c r="R1041" s="92" t="str">
        <f>IF($AG1041="","",IF($G1041&gt;0,P_ToelCorrectie&amp;"",""))</f>
        <v/>
      </c>
      <c r="S1041" s="15" t="str">
        <f>IF(J1041="","",J1041&amp;"|"&amp;E1041&amp;"|"&amp;F1041&amp;"|"&amp;I1041&amp;"|"&amp;O1041)</f>
        <v/>
      </c>
      <c r="T1041" s="111" t="str">
        <f>IF(S1041="","",IF(COUNTIFS(L_Sleutel,S1041,L_Actief,1)=0,"",SUMIFS(L_Waarde,L_Sleutel,S1041,L_Actief,1)))</f>
        <v/>
      </c>
      <c r="U1041" s="111">
        <f>IF(OR(S1041="",T1041=""),0,P1041-T1041)</f>
        <v>0</v>
      </c>
      <c r="AB1041" s="112" t="n">
        <v>74</v>
      </c>
      <c r="AC1041" s="112" t="n">
        <v>11</v>
      </c>
      <c r="AD1041" s="112" t="str">
        <f>VERW_Project!BT79</f>
        <v/>
      </c>
      <c r="AE1041" s="112">
        <f>IF(AND(VERW_Project!$A79&lt;&gt;"",ISNUMBER(AD1041)),1,0)</f>
        <v>0</v>
      </c>
      <c r="AF1041" s="112" t="str">
        <f>IF(AE1041=1,SUM($AE$8:AE1041),"")</f>
        <v/>
      </c>
      <c r="AG1041" t="str">
        <f>IFERROR(MATCH(1034,$AF$8:$AF$1407,0),"")</f>
        <v/>
      </c>
    </row>
    <row r="1042">
      <c r="A1042" s="92" t="str">
        <f>IF($AG1042="","",P_ImportID)</f>
        <v/>
      </c>
      <c r="B1042" s="92" t="str">
        <f>IF($AG1042="","",IF(INDEX($AN$8:$AN$21,INDEX($AC$8:$AC$1407,$AG1042)+1)="Z",P_BronZ,P_BronE))</f>
        <v/>
      </c>
      <c r="C1042" s="108" t="str">
        <f>IF($AG1042="","",P_Importdatum)</f>
        <v/>
      </c>
      <c r="D1042" s="92" t="str">
        <f>IF($AG1042="","",P_StatusVastleg)</f>
        <v/>
      </c>
      <c r="E1042" s="92" t="str">
        <f>IF($AG1042="","",P_UploadVJ)</f>
        <v/>
      </c>
      <c r="F1042" s="92" t="str">
        <f>IF($AG1042="","",P_UploadVersie)</f>
        <v/>
      </c>
      <c r="G1042" s="92" t="str">
        <f>IF($AG1042="","",IF(COUNTIFS(L_Sleutel,$S1042,L_Status,"Vastgesteld")=0,0,_xlfn.MAXIFS(L_Revisie,L_Sleutel,$S1042,L_Status,"Vastgesteld")+1))</f>
        <v/>
      </c>
      <c r="H1042" s="108" t="str">
        <f>IF($AG1042="","",P_Peildatum)</f>
        <v/>
      </c>
      <c r="I1042" s="92" t="str">
        <f>IF($AG1042="","",P_RJ+INDEX($AK$8:$AK$21,INDEX($AC$8:$AC$1407,$AG1042)+1))</f>
        <v/>
      </c>
      <c r="J1042" s="92" t="str">
        <f>IF($AG1042="","",INDEX(V_WBS,INDEX($AB$8:$AB$1407,$AG1042)))</f>
        <v/>
      </c>
      <c r="K1042" s="92" t="str">
        <f>IF($AG1042="","",INDEX(V_Projdef,INDEX($AB$8:$AB$1407,$AG1042)))</f>
        <v/>
      </c>
      <c r="L1042" s="92" t="str">
        <f>IF($AG1042="","",INDEX(V_Naam,INDEX($AB$8:$AB$1407,$AG1042)))</f>
        <v/>
      </c>
      <c r="M1042" s="92" t="str">
        <f>IF($AG1042="","",INDEX(V_Type,INDEX($AB$8:$AB$1407,$AG1042)))</f>
        <v/>
      </c>
      <c r="N1042" s="92" t="str">
        <f>IF($AG1042="","",INDEX(V_IFRS,INDEX($AB$8:$AB$1407,$AG1042)))</f>
        <v/>
      </c>
      <c r="O1042" s="92" t="str">
        <f>IF($AG1042="","",INDEX($AL$8:$AL$21,INDEX($AC$8:$AC$1407,$AG1042)+1))</f>
        <v/>
      </c>
      <c r="P1042" s="109" t="str">
        <f>IF($AG1042="","",INDEX($AD$8:$AD$1407,$AG1042))</f>
        <v/>
      </c>
      <c r="Q1042" s="92" t="str">
        <f>IF($AG1042="","",INDEX($AM$8:$AM$21,INDEX($AC$8:$AC$1407,$AG1042)+1))</f>
        <v/>
      </c>
      <c r="R1042" s="92" t="str">
        <f>IF($AG1042="","",IF($G1042&gt;0,P_ToelCorrectie&amp;"",""))</f>
        <v/>
      </c>
      <c r="S1042" s="15" t="str">
        <f>IF(J1042="","",J1042&amp;"|"&amp;E1042&amp;"|"&amp;F1042&amp;"|"&amp;I1042&amp;"|"&amp;O1042)</f>
        <v/>
      </c>
      <c r="T1042" s="111" t="str">
        <f>IF(S1042="","",IF(COUNTIFS(L_Sleutel,S1042,L_Actief,1)=0,"",SUMIFS(L_Waarde,L_Sleutel,S1042,L_Actief,1)))</f>
        <v/>
      </c>
      <c r="U1042" s="111">
        <f>IF(OR(S1042="",T1042=""),0,P1042-T1042)</f>
        <v>0</v>
      </c>
      <c r="AB1042" s="112" t="n">
        <v>74</v>
      </c>
      <c r="AC1042" s="112" t="n">
        <v>12</v>
      </c>
      <c r="AD1042" s="112" t="str">
        <f>VERW_Project!BU79</f>
        <v/>
      </c>
      <c r="AE1042" s="112">
        <f>IF(AND(VERW_Project!$A79&lt;&gt;"",ISNUMBER(AD1042)),1,0)</f>
        <v>0</v>
      </c>
      <c r="AF1042" s="112" t="str">
        <f>IF(AE1042=1,SUM($AE$8:AE1042),"")</f>
        <v/>
      </c>
      <c r="AG1042" t="str">
        <f>IFERROR(MATCH(1035,$AF$8:$AF$1407,0),"")</f>
        <v/>
      </c>
    </row>
    <row r="1043">
      <c r="A1043" s="92" t="str">
        <f>IF($AG1043="","",P_ImportID)</f>
        <v/>
      </c>
      <c r="B1043" s="92" t="str">
        <f>IF($AG1043="","",IF(INDEX($AN$8:$AN$21,INDEX($AC$8:$AC$1407,$AG1043)+1)="Z",P_BronZ,P_BronE))</f>
        <v/>
      </c>
      <c r="C1043" s="108" t="str">
        <f>IF($AG1043="","",P_Importdatum)</f>
        <v/>
      </c>
      <c r="D1043" s="92" t="str">
        <f>IF($AG1043="","",P_StatusVastleg)</f>
        <v/>
      </c>
      <c r="E1043" s="92" t="str">
        <f>IF($AG1043="","",P_UploadVJ)</f>
        <v/>
      </c>
      <c r="F1043" s="92" t="str">
        <f>IF($AG1043="","",P_UploadVersie)</f>
        <v/>
      </c>
      <c r="G1043" s="92" t="str">
        <f>IF($AG1043="","",IF(COUNTIFS(L_Sleutel,$S1043,L_Status,"Vastgesteld")=0,0,_xlfn.MAXIFS(L_Revisie,L_Sleutel,$S1043,L_Status,"Vastgesteld")+1))</f>
        <v/>
      </c>
      <c r="H1043" s="108" t="str">
        <f>IF($AG1043="","",P_Peildatum)</f>
        <v/>
      </c>
      <c r="I1043" s="92" t="str">
        <f>IF($AG1043="","",P_RJ+INDEX($AK$8:$AK$21,INDEX($AC$8:$AC$1407,$AG1043)+1))</f>
        <v/>
      </c>
      <c r="J1043" s="92" t="str">
        <f>IF($AG1043="","",INDEX(V_WBS,INDEX($AB$8:$AB$1407,$AG1043)))</f>
        <v/>
      </c>
      <c r="K1043" s="92" t="str">
        <f>IF($AG1043="","",INDEX(V_Projdef,INDEX($AB$8:$AB$1407,$AG1043)))</f>
        <v/>
      </c>
      <c r="L1043" s="92" t="str">
        <f>IF($AG1043="","",INDEX(V_Naam,INDEX($AB$8:$AB$1407,$AG1043)))</f>
        <v/>
      </c>
      <c r="M1043" s="92" t="str">
        <f>IF($AG1043="","",INDEX(V_Type,INDEX($AB$8:$AB$1407,$AG1043)))</f>
        <v/>
      </c>
      <c r="N1043" s="92" t="str">
        <f>IF($AG1043="","",INDEX(V_IFRS,INDEX($AB$8:$AB$1407,$AG1043)))</f>
        <v/>
      </c>
      <c r="O1043" s="92" t="str">
        <f>IF($AG1043="","",INDEX($AL$8:$AL$21,INDEX($AC$8:$AC$1407,$AG1043)+1))</f>
        <v/>
      </c>
      <c r="P1043" s="109" t="str">
        <f>IF($AG1043="","",INDEX($AD$8:$AD$1407,$AG1043))</f>
        <v/>
      </c>
      <c r="Q1043" s="92" t="str">
        <f>IF($AG1043="","",INDEX($AM$8:$AM$21,INDEX($AC$8:$AC$1407,$AG1043)+1))</f>
        <v/>
      </c>
      <c r="R1043" s="92" t="str">
        <f>IF($AG1043="","",IF($G1043&gt;0,P_ToelCorrectie&amp;"",""))</f>
        <v/>
      </c>
      <c r="S1043" s="15" t="str">
        <f>IF(J1043="","",J1043&amp;"|"&amp;E1043&amp;"|"&amp;F1043&amp;"|"&amp;I1043&amp;"|"&amp;O1043)</f>
        <v/>
      </c>
      <c r="T1043" s="111" t="str">
        <f>IF(S1043="","",IF(COUNTIFS(L_Sleutel,S1043,L_Actief,1)=0,"",SUMIFS(L_Waarde,L_Sleutel,S1043,L_Actief,1)))</f>
        <v/>
      </c>
      <c r="U1043" s="111">
        <f>IF(OR(S1043="",T1043=""),0,P1043-T1043)</f>
        <v>0</v>
      </c>
      <c r="AB1043" s="112" t="n">
        <v>74</v>
      </c>
      <c r="AC1043" s="112" t="n">
        <v>13</v>
      </c>
      <c r="AD1043" s="112" t="str">
        <f>VERW_Project!BX79</f>
        <v/>
      </c>
      <c r="AE1043" s="112">
        <f>IF(AND(VERW_Project!$A79&lt;&gt;"",ISNUMBER(AD1043)),1,0)</f>
        <v>0</v>
      </c>
      <c r="AF1043" s="112" t="str">
        <f>IF(AE1043=1,SUM($AE$8:AE1043),"")</f>
        <v/>
      </c>
      <c r="AG1043" t="str">
        <f>IFERROR(MATCH(1036,$AF$8:$AF$1407,0),"")</f>
        <v/>
      </c>
    </row>
    <row r="1044">
      <c r="A1044" s="92" t="str">
        <f>IF($AG1044="","",P_ImportID)</f>
        <v/>
      </c>
      <c r="B1044" s="92" t="str">
        <f>IF($AG1044="","",IF(INDEX($AN$8:$AN$21,INDEX($AC$8:$AC$1407,$AG1044)+1)="Z",P_BronZ,P_BronE))</f>
        <v/>
      </c>
      <c r="C1044" s="108" t="str">
        <f>IF($AG1044="","",P_Importdatum)</f>
        <v/>
      </c>
      <c r="D1044" s="92" t="str">
        <f>IF($AG1044="","",P_StatusVastleg)</f>
        <v/>
      </c>
      <c r="E1044" s="92" t="str">
        <f>IF($AG1044="","",P_UploadVJ)</f>
        <v/>
      </c>
      <c r="F1044" s="92" t="str">
        <f>IF($AG1044="","",P_UploadVersie)</f>
        <v/>
      </c>
      <c r="G1044" s="92" t="str">
        <f>IF($AG1044="","",IF(COUNTIFS(L_Sleutel,$S1044,L_Status,"Vastgesteld")=0,0,_xlfn.MAXIFS(L_Revisie,L_Sleutel,$S1044,L_Status,"Vastgesteld")+1))</f>
        <v/>
      </c>
      <c r="H1044" s="108" t="str">
        <f>IF($AG1044="","",P_Peildatum)</f>
        <v/>
      </c>
      <c r="I1044" s="92" t="str">
        <f>IF($AG1044="","",P_RJ+INDEX($AK$8:$AK$21,INDEX($AC$8:$AC$1407,$AG1044)+1))</f>
        <v/>
      </c>
      <c r="J1044" s="92" t="str">
        <f>IF($AG1044="","",INDEX(V_WBS,INDEX($AB$8:$AB$1407,$AG1044)))</f>
        <v/>
      </c>
      <c r="K1044" s="92" t="str">
        <f>IF($AG1044="","",INDEX(V_Projdef,INDEX($AB$8:$AB$1407,$AG1044)))</f>
        <v/>
      </c>
      <c r="L1044" s="92" t="str">
        <f>IF($AG1044="","",INDEX(V_Naam,INDEX($AB$8:$AB$1407,$AG1044)))</f>
        <v/>
      </c>
      <c r="M1044" s="92" t="str">
        <f>IF($AG1044="","",INDEX(V_Type,INDEX($AB$8:$AB$1407,$AG1044)))</f>
        <v/>
      </c>
      <c r="N1044" s="92" t="str">
        <f>IF($AG1044="","",INDEX(V_IFRS,INDEX($AB$8:$AB$1407,$AG1044)))</f>
        <v/>
      </c>
      <c r="O1044" s="92" t="str">
        <f>IF($AG1044="","",INDEX($AL$8:$AL$21,INDEX($AC$8:$AC$1407,$AG1044)+1))</f>
        <v/>
      </c>
      <c r="P1044" s="109" t="str">
        <f>IF($AG1044="","",INDEX($AD$8:$AD$1407,$AG1044))</f>
        <v/>
      </c>
      <c r="Q1044" s="92" t="str">
        <f>IF($AG1044="","",INDEX($AM$8:$AM$21,INDEX($AC$8:$AC$1407,$AG1044)+1))</f>
        <v/>
      </c>
      <c r="R1044" s="92" t="str">
        <f>IF($AG1044="","",IF($G1044&gt;0,P_ToelCorrectie&amp;"",""))</f>
        <v/>
      </c>
      <c r="S1044" s="15" t="str">
        <f>IF(J1044="","",J1044&amp;"|"&amp;E1044&amp;"|"&amp;F1044&amp;"|"&amp;I1044&amp;"|"&amp;O1044)</f>
        <v/>
      </c>
      <c r="T1044" s="111" t="str">
        <f>IF(S1044="","",IF(COUNTIFS(L_Sleutel,S1044,L_Actief,1)=0,"",SUMIFS(L_Waarde,L_Sleutel,S1044,L_Actief,1)))</f>
        <v/>
      </c>
      <c r="U1044" s="111">
        <f>IF(OR(S1044="",T1044=""),0,P1044-T1044)</f>
        <v>0</v>
      </c>
      <c r="AB1044" s="112" t="n">
        <v>75</v>
      </c>
      <c r="AC1044" s="112" t="n">
        <v>0</v>
      </c>
      <c r="AD1044" s="112" t="str">
        <f>VERW_Project!P80</f>
        <v/>
      </c>
      <c r="AE1044" s="112">
        <f>IF(AND(VERW_Project!$A80&lt;&gt;"",ISNUMBER(AD1044)),1,0)</f>
        <v>0</v>
      </c>
      <c r="AF1044" s="112" t="str">
        <f>IF(AE1044=1,SUM($AE$8:AE1044),"")</f>
        <v/>
      </c>
      <c r="AG1044" t="str">
        <f>IFERROR(MATCH(1037,$AF$8:$AF$1407,0),"")</f>
        <v/>
      </c>
    </row>
    <row r="1045">
      <c r="A1045" s="92" t="str">
        <f>IF($AG1045="","",P_ImportID)</f>
        <v/>
      </c>
      <c r="B1045" s="92" t="str">
        <f>IF($AG1045="","",IF(INDEX($AN$8:$AN$21,INDEX($AC$8:$AC$1407,$AG1045)+1)="Z",P_BronZ,P_BronE))</f>
        <v/>
      </c>
      <c r="C1045" s="108" t="str">
        <f>IF($AG1045="","",P_Importdatum)</f>
        <v/>
      </c>
      <c r="D1045" s="92" t="str">
        <f>IF($AG1045="","",P_StatusVastleg)</f>
        <v/>
      </c>
      <c r="E1045" s="92" t="str">
        <f>IF($AG1045="","",P_UploadVJ)</f>
        <v/>
      </c>
      <c r="F1045" s="92" t="str">
        <f>IF($AG1045="","",P_UploadVersie)</f>
        <v/>
      </c>
      <c r="G1045" s="92" t="str">
        <f>IF($AG1045="","",IF(COUNTIFS(L_Sleutel,$S1045,L_Status,"Vastgesteld")=0,0,_xlfn.MAXIFS(L_Revisie,L_Sleutel,$S1045,L_Status,"Vastgesteld")+1))</f>
        <v/>
      </c>
      <c r="H1045" s="108" t="str">
        <f>IF($AG1045="","",P_Peildatum)</f>
        <v/>
      </c>
      <c r="I1045" s="92" t="str">
        <f>IF($AG1045="","",P_RJ+INDEX($AK$8:$AK$21,INDEX($AC$8:$AC$1407,$AG1045)+1))</f>
        <v/>
      </c>
      <c r="J1045" s="92" t="str">
        <f>IF($AG1045="","",INDEX(V_WBS,INDEX($AB$8:$AB$1407,$AG1045)))</f>
        <v/>
      </c>
      <c r="K1045" s="92" t="str">
        <f>IF($AG1045="","",INDEX(V_Projdef,INDEX($AB$8:$AB$1407,$AG1045)))</f>
        <v/>
      </c>
      <c r="L1045" s="92" t="str">
        <f>IF($AG1045="","",INDEX(V_Naam,INDEX($AB$8:$AB$1407,$AG1045)))</f>
        <v/>
      </c>
      <c r="M1045" s="92" t="str">
        <f>IF($AG1045="","",INDEX(V_Type,INDEX($AB$8:$AB$1407,$AG1045)))</f>
        <v/>
      </c>
      <c r="N1045" s="92" t="str">
        <f>IF($AG1045="","",INDEX(V_IFRS,INDEX($AB$8:$AB$1407,$AG1045)))</f>
        <v/>
      </c>
      <c r="O1045" s="92" t="str">
        <f>IF($AG1045="","",INDEX($AL$8:$AL$21,INDEX($AC$8:$AC$1407,$AG1045)+1))</f>
        <v/>
      </c>
      <c r="P1045" s="109" t="str">
        <f>IF($AG1045="","",INDEX($AD$8:$AD$1407,$AG1045))</f>
        <v/>
      </c>
      <c r="Q1045" s="92" t="str">
        <f>IF($AG1045="","",INDEX($AM$8:$AM$21,INDEX($AC$8:$AC$1407,$AG1045)+1))</f>
        <v/>
      </c>
      <c r="R1045" s="92" t="str">
        <f>IF($AG1045="","",IF($G1045&gt;0,P_ToelCorrectie&amp;"",""))</f>
        <v/>
      </c>
      <c r="S1045" s="15" t="str">
        <f>IF(J1045="","",J1045&amp;"|"&amp;E1045&amp;"|"&amp;F1045&amp;"|"&amp;I1045&amp;"|"&amp;O1045)</f>
        <v/>
      </c>
      <c r="T1045" s="111" t="str">
        <f>IF(S1045="","",IF(COUNTIFS(L_Sleutel,S1045,L_Actief,1)=0,"",SUMIFS(L_Waarde,L_Sleutel,S1045,L_Actief,1)))</f>
        <v/>
      </c>
      <c r="U1045" s="111">
        <f>IF(OR(S1045="",T1045=""),0,P1045-T1045)</f>
        <v>0</v>
      </c>
      <c r="AB1045" s="112" t="n">
        <v>75</v>
      </c>
      <c r="AC1045" s="112" t="n">
        <v>1</v>
      </c>
      <c r="AD1045" s="112" t="str">
        <f>VERW_Project!Q80</f>
        <v/>
      </c>
      <c r="AE1045" s="112">
        <f>IF(AND(VERW_Project!$A80&lt;&gt;"",ISNUMBER(AD1045)),1,0)</f>
        <v>0</v>
      </c>
      <c r="AF1045" s="112" t="str">
        <f>IF(AE1045=1,SUM($AE$8:AE1045),"")</f>
        <v/>
      </c>
      <c r="AG1045" t="str">
        <f>IFERROR(MATCH(1038,$AF$8:$AF$1407,0),"")</f>
        <v/>
      </c>
    </row>
    <row r="1046">
      <c r="A1046" s="92" t="str">
        <f>IF($AG1046="","",P_ImportID)</f>
        <v/>
      </c>
      <c r="B1046" s="92" t="str">
        <f>IF($AG1046="","",IF(INDEX($AN$8:$AN$21,INDEX($AC$8:$AC$1407,$AG1046)+1)="Z",P_BronZ,P_BronE))</f>
        <v/>
      </c>
      <c r="C1046" s="108" t="str">
        <f>IF($AG1046="","",P_Importdatum)</f>
        <v/>
      </c>
      <c r="D1046" s="92" t="str">
        <f>IF($AG1046="","",P_StatusVastleg)</f>
        <v/>
      </c>
      <c r="E1046" s="92" t="str">
        <f>IF($AG1046="","",P_UploadVJ)</f>
        <v/>
      </c>
      <c r="F1046" s="92" t="str">
        <f>IF($AG1046="","",P_UploadVersie)</f>
        <v/>
      </c>
      <c r="G1046" s="92" t="str">
        <f>IF($AG1046="","",IF(COUNTIFS(L_Sleutel,$S1046,L_Status,"Vastgesteld")=0,0,_xlfn.MAXIFS(L_Revisie,L_Sleutel,$S1046,L_Status,"Vastgesteld")+1))</f>
        <v/>
      </c>
      <c r="H1046" s="108" t="str">
        <f>IF($AG1046="","",P_Peildatum)</f>
        <v/>
      </c>
      <c r="I1046" s="92" t="str">
        <f>IF($AG1046="","",P_RJ+INDEX($AK$8:$AK$21,INDEX($AC$8:$AC$1407,$AG1046)+1))</f>
        <v/>
      </c>
      <c r="J1046" s="92" t="str">
        <f>IF($AG1046="","",INDEX(V_WBS,INDEX($AB$8:$AB$1407,$AG1046)))</f>
        <v/>
      </c>
      <c r="K1046" s="92" t="str">
        <f>IF($AG1046="","",INDEX(V_Projdef,INDEX($AB$8:$AB$1407,$AG1046)))</f>
        <v/>
      </c>
      <c r="L1046" s="92" t="str">
        <f>IF($AG1046="","",INDEX(V_Naam,INDEX($AB$8:$AB$1407,$AG1046)))</f>
        <v/>
      </c>
      <c r="M1046" s="92" t="str">
        <f>IF($AG1046="","",INDEX(V_Type,INDEX($AB$8:$AB$1407,$AG1046)))</f>
        <v/>
      </c>
      <c r="N1046" s="92" t="str">
        <f>IF($AG1046="","",INDEX(V_IFRS,INDEX($AB$8:$AB$1407,$AG1046)))</f>
        <v/>
      </c>
      <c r="O1046" s="92" t="str">
        <f>IF($AG1046="","",INDEX($AL$8:$AL$21,INDEX($AC$8:$AC$1407,$AG1046)+1))</f>
        <v/>
      </c>
      <c r="P1046" s="109" t="str">
        <f>IF($AG1046="","",INDEX($AD$8:$AD$1407,$AG1046))</f>
        <v/>
      </c>
      <c r="Q1046" s="92" t="str">
        <f>IF($AG1046="","",INDEX($AM$8:$AM$21,INDEX($AC$8:$AC$1407,$AG1046)+1))</f>
        <v/>
      </c>
      <c r="R1046" s="92" t="str">
        <f>IF($AG1046="","",IF($G1046&gt;0,P_ToelCorrectie&amp;"",""))</f>
        <v/>
      </c>
      <c r="S1046" s="15" t="str">
        <f>IF(J1046="","",J1046&amp;"|"&amp;E1046&amp;"|"&amp;F1046&amp;"|"&amp;I1046&amp;"|"&amp;O1046)</f>
        <v/>
      </c>
      <c r="T1046" s="111" t="str">
        <f>IF(S1046="","",IF(COUNTIFS(L_Sleutel,S1046,L_Actief,1)=0,"",SUMIFS(L_Waarde,L_Sleutel,S1046,L_Actief,1)))</f>
        <v/>
      </c>
      <c r="U1046" s="111">
        <f>IF(OR(S1046="",T1046=""),0,P1046-T1046)</f>
        <v>0</v>
      </c>
      <c r="AB1046" s="112" t="n">
        <v>75</v>
      </c>
      <c r="AC1046" s="112" t="n">
        <v>2</v>
      </c>
      <c r="AD1046" s="112" t="str">
        <f>VERW_Project!L80</f>
        <v/>
      </c>
      <c r="AE1046" s="112">
        <f>IF(AND(VERW_Project!$A80&lt;&gt;"",ISNUMBER(AD1046)),1,0)</f>
        <v>0</v>
      </c>
      <c r="AF1046" s="112" t="str">
        <f>IF(AE1046=1,SUM($AE$8:AE1046),"")</f>
        <v/>
      </c>
      <c r="AG1046" t="str">
        <f>IFERROR(MATCH(1039,$AF$8:$AF$1407,0),"")</f>
        <v/>
      </c>
    </row>
    <row r="1047">
      <c r="A1047" s="92" t="str">
        <f>IF($AG1047="","",P_ImportID)</f>
        <v/>
      </c>
      <c r="B1047" s="92" t="str">
        <f>IF($AG1047="","",IF(INDEX($AN$8:$AN$21,INDEX($AC$8:$AC$1407,$AG1047)+1)="Z",P_BronZ,P_BronE))</f>
        <v/>
      </c>
      <c r="C1047" s="108" t="str">
        <f>IF($AG1047="","",P_Importdatum)</f>
        <v/>
      </c>
      <c r="D1047" s="92" t="str">
        <f>IF($AG1047="","",P_StatusVastleg)</f>
        <v/>
      </c>
      <c r="E1047" s="92" t="str">
        <f>IF($AG1047="","",P_UploadVJ)</f>
        <v/>
      </c>
      <c r="F1047" s="92" t="str">
        <f>IF($AG1047="","",P_UploadVersie)</f>
        <v/>
      </c>
      <c r="G1047" s="92" t="str">
        <f>IF($AG1047="","",IF(COUNTIFS(L_Sleutel,$S1047,L_Status,"Vastgesteld")=0,0,_xlfn.MAXIFS(L_Revisie,L_Sleutel,$S1047,L_Status,"Vastgesteld")+1))</f>
        <v/>
      </c>
      <c r="H1047" s="108" t="str">
        <f>IF($AG1047="","",P_Peildatum)</f>
        <v/>
      </c>
      <c r="I1047" s="92" t="str">
        <f>IF($AG1047="","",P_RJ+INDEX($AK$8:$AK$21,INDEX($AC$8:$AC$1407,$AG1047)+1))</f>
        <v/>
      </c>
      <c r="J1047" s="92" t="str">
        <f>IF($AG1047="","",INDEX(V_WBS,INDEX($AB$8:$AB$1407,$AG1047)))</f>
        <v/>
      </c>
      <c r="K1047" s="92" t="str">
        <f>IF($AG1047="","",INDEX(V_Projdef,INDEX($AB$8:$AB$1407,$AG1047)))</f>
        <v/>
      </c>
      <c r="L1047" s="92" t="str">
        <f>IF($AG1047="","",INDEX(V_Naam,INDEX($AB$8:$AB$1407,$AG1047)))</f>
        <v/>
      </c>
      <c r="M1047" s="92" t="str">
        <f>IF($AG1047="","",INDEX(V_Type,INDEX($AB$8:$AB$1407,$AG1047)))</f>
        <v/>
      </c>
      <c r="N1047" s="92" t="str">
        <f>IF($AG1047="","",INDEX(V_IFRS,INDEX($AB$8:$AB$1407,$AG1047)))</f>
        <v/>
      </c>
      <c r="O1047" s="92" t="str">
        <f>IF($AG1047="","",INDEX($AL$8:$AL$21,INDEX($AC$8:$AC$1407,$AG1047)+1))</f>
        <v/>
      </c>
      <c r="P1047" s="109" t="str">
        <f>IF($AG1047="","",INDEX($AD$8:$AD$1407,$AG1047))</f>
        <v/>
      </c>
      <c r="Q1047" s="92" t="str">
        <f>IF($AG1047="","",INDEX($AM$8:$AM$21,INDEX($AC$8:$AC$1407,$AG1047)+1))</f>
        <v/>
      </c>
      <c r="R1047" s="92" t="str">
        <f>IF($AG1047="","",IF($G1047&gt;0,P_ToelCorrectie&amp;"",""))</f>
        <v/>
      </c>
      <c r="S1047" s="15" t="str">
        <f>IF(J1047="","",J1047&amp;"|"&amp;E1047&amp;"|"&amp;F1047&amp;"|"&amp;I1047&amp;"|"&amp;O1047)</f>
        <v/>
      </c>
      <c r="T1047" s="111" t="str">
        <f>IF(S1047="","",IF(COUNTIFS(L_Sleutel,S1047,L_Actief,1)=0,"",SUMIFS(L_Waarde,L_Sleutel,S1047,L_Actief,1)))</f>
        <v/>
      </c>
      <c r="U1047" s="111">
        <f>IF(OR(S1047="",T1047=""),0,P1047-T1047)</f>
        <v>0</v>
      </c>
      <c r="AB1047" s="112" t="n">
        <v>75</v>
      </c>
      <c r="AC1047" s="112" t="n">
        <v>3</v>
      </c>
      <c r="AD1047" s="112" t="str">
        <f>VERW_Project!M80</f>
        <v/>
      </c>
      <c r="AE1047" s="112">
        <f>IF(AND(VERW_Project!$A80&lt;&gt;"",ISNUMBER(AD1047)),1,0)</f>
        <v>0</v>
      </c>
      <c r="AF1047" s="112" t="str">
        <f>IF(AE1047=1,SUM($AE$8:AE1047),"")</f>
        <v/>
      </c>
      <c r="AG1047" t="str">
        <f>IFERROR(MATCH(1040,$AF$8:$AF$1407,0),"")</f>
        <v/>
      </c>
    </row>
    <row r="1048">
      <c r="A1048" s="92" t="str">
        <f>IF($AG1048="","",P_ImportID)</f>
        <v/>
      </c>
      <c r="B1048" s="92" t="str">
        <f>IF($AG1048="","",IF(INDEX($AN$8:$AN$21,INDEX($AC$8:$AC$1407,$AG1048)+1)="Z",P_BronZ,P_BronE))</f>
        <v/>
      </c>
      <c r="C1048" s="108" t="str">
        <f>IF($AG1048="","",P_Importdatum)</f>
        <v/>
      </c>
      <c r="D1048" s="92" t="str">
        <f>IF($AG1048="","",P_StatusVastleg)</f>
        <v/>
      </c>
      <c r="E1048" s="92" t="str">
        <f>IF($AG1048="","",P_UploadVJ)</f>
        <v/>
      </c>
      <c r="F1048" s="92" t="str">
        <f>IF($AG1048="","",P_UploadVersie)</f>
        <v/>
      </c>
      <c r="G1048" s="92" t="str">
        <f>IF($AG1048="","",IF(COUNTIFS(L_Sleutel,$S1048,L_Status,"Vastgesteld")=0,0,_xlfn.MAXIFS(L_Revisie,L_Sleutel,$S1048,L_Status,"Vastgesteld")+1))</f>
        <v/>
      </c>
      <c r="H1048" s="108" t="str">
        <f>IF($AG1048="","",P_Peildatum)</f>
        <v/>
      </c>
      <c r="I1048" s="92" t="str">
        <f>IF($AG1048="","",P_RJ+INDEX($AK$8:$AK$21,INDEX($AC$8:$AC$1407,$AG1048)+1))</f>
        <v/>
      </c>
      <c r="J1048" s="92" t="str">
        <f>IF($AG1048="","",INDEX(V_WBS,INDEX($AB$8:$AB$1407,$AG1048)))</f>
        <v/>
      </c>
      <c r="K1048" s="92" t="str">
        <f>IF($AG1048="","",INDEX(V_Projdef,INDEX($AB$8:$AB$1407,$AG1048)))</f>
        <v/>
      </c>
      <c r="L1048" s="92" t="str">
        <f>IF($AG1048="","",INDEX(V_Naam,INDEX($AB$8:$AB$1407,$AG1048)))</f>
        <v/>
      </c>
      <c r="M1048" s="92" t="str">
        <f>IF($AG1048="","",INDEX(V_Type,INDEX($AB$8:$AB$1407,$AG1048)))</f>
        <v/>
      </c>
      <c r="N1048" s="92" t="str">
        <f>IF($AG1048="","",INDEX(V_IFRS,INDEX($AB$8:$AB$1407,$AG1048)))</f>
        <v/>
      </c>
      <c r="O1048" s="92" t="str">
        <f>IF($AG1048="","",INDEX($AL$8:$AL$21,INDEX($AC$8:$AC$1407,$AG1048)+1))</f>
        <v/>
      </c>
      <c r="P1048" s="109" t="str">
        <f>IF($AG1048="","",INDEX($AD$8:$AD$1407,$AG1048))</f>
        <v/>
      </c>
      <c r="Q1048" s="92" t="str">
        <f>IF($AG1048="","",INDEX($AM$8:$AM$21,INDEX($AC$8:$AC$1407,$AG1048)+1))</f>
        <v/>
      </c>
      <c r="R1048" s="92" t="str">
        <f>IF($AG1048="","",IF($G1048&gt;0,P_ToelCorrectie&amp;"",""))</f>
        <v/>
      </c>
      <c r="S1048" s="15" t="str">
        <f>IF(J1048="","",J1048&amp;"|"&amp;E1048&amp;"|"&amp;F1048&amp;"|"&amp;I1048&amp;"|"&amp;O1048)</f>
        <v/>
      </c>
      <c r="T1048" s="111" t="str">
        <f>IF(S1048="","",IF(COUNTIFS(L_Sleutel,S1048,L_Actief,1)=0,"",SUMIFS(L_Waarde,L_Sleutel,S1048,L_Actief,1)))</f>
        <v/>
      </c>
      <c r="U1048" s="111">
        <f>IF(OR(S1048="",T1048=""),0,P1048-T1048)</f>
        <v>0</v>
      </c>
      <c r="AB1048" s="112" t="n">
        <v>75</v>
      </c>
      <c r="AC1048" s="112" t="n">
        <v>4</v>
      </c>
      <c r="AD1048" s="112" t="str">
        <f>VERW_Project!R80</f>
        <v/>
      </c>
      <c r="AE1048" s="112">
        <f>IF(AND(VERW_Project!$A80&lt;&gt;"",ISNUMBER(AD1048)),1,0)</f>
        <v>0</v>
      </c>
      <c r="AF1048" s="112" t="str">
        <f>IF(AE1048=1,SUM($AE$8:AE1048),"")</f>
        <v/>
      </c>
      <c r="AG1048" t="str">
        <f>IFERROR(MATCH(1041,$AF$8:$AF$1407,0),"")</f>
        <v/>
      </c>
    </row>
    <row r="1049">
      <c r="A1049" s="92" t="str">
        <f>IF($AG1049="","",P_ImportID)</f>
        <v/>
      </c>
      <c r="B1049" s="92" t="str">
        <f>IF($AG1049="","",IF(INDEX($AN$8:$AN$21,INDEX($AC$8:$AC$1407,$AG1049)+1)="Z",P_BronZ,P_BronE))</f>
        <v/>
      </c>
      <c r="C1049" s="108" t="str">
        <f>IF($AG1049="","",P_Importdatum)</f>
        <v/>
      </c>
      <c r="D1049" s="92" t="str">
        <f>IF($AG1049="","",P_StatusVastleg)</f>
        <v/>
      </c>
      <c r="E1049" s="92" t="str">
        <f>IF($AG1049="","",P_UploadVJ)</f>
        <v/>
      </c>
      <c r="F1049" s="92" t="str">
        <f>IF($AG1049="","",P_UploadVersie)</f>
        <v/>
      </c>
      <c r="G1049" s="92" t="str">
        <f>IF($AG1049="","",IF(COUNTIFS(L_Sleutel,$S1049,L_Status,"Vastgesteld")=0,0,_xlfn.MAXIFS(L_Revisie,L_Sleutel,$S1049,L_Status,"Vastgesteld")+1))</f>
        <v/>
      </c>
      <c r="H1049" s="108" t="str">
        <f>IF($AG1049="","",P_Peildatum)</f>
        <v/>
      </c>
      <c r="I1049" s="92" t="str">
        <f>IF($AG1049="","",P_RJ+INDEX($AK$8:$AK$21,INDEX($AC$8:$AC$1407,$AG1049)+1))</f>
        <v/>
      </c>
      <c r="J1049" s="92" t="str">
        <f>IF($AG1049="","",INDEX(V_WBS,INDEX($AB$8:$AB$1407,$AG1049)))</f>
        <v/>
      </c>
      <c r="K1049" s="92" t="str">
        <f>IF($AG1049="","",INDEX(V_Projdef,INDEX($AB$8:$AB$1407,$AG1049)))</f>
        <v/>
      </c>
      <c r="L1049" s="92" t="str">
        <f>IF($AG1049="","",INDEX(V_Naam,INDEX($AB$8:$AB$1407,$AG1049)))</f>
        <v/>
      </c>
      <c r="M1049" s="92" t="str">
        <f>IF($AG1049="","",INDEX(V_Type,INDEX($AB$8:$AB$1407,$AG1049)))</f>
        <v/>
      </c>
      <c r="N1049" s="92" t="str">
        <f>IF($AG1049="","",INDEX(V_IFRS,INDEX($AB$8:$AB$1407,$AG1049)))</f>
        <v/>
      </c>
      <c r="O1049" s="92" t="str">
        <f>IF($AG1049="","",INDEX($AL$8:$AL$21,INDEX($AC$8:$AC$1407,$AG1049)+1))</f>
        <v/>
      </c>
      <c r="P1049" s="109" t="str">
        <f>IF($AG1049="","",INDEX($AD$8:$AD$1407,$AG1049))</f>
        <v/>
      </c>
      <c r="Q1049" s="92" t="str">
        <f>IF($AG1049="","",INDEX($AM$8:$AM$21,INDEX($AC$8:$AC$1407,$AG1049)+1))</f>
        <v/>
      </c>
      <c r="R1049" s="92" t="str">
        <f>IF($AG1049="","",IF($G1049&gt;0,P_ToelCorrectie&amp;"",""))</f>
        <v/>
      </c>
      <c r="S1049" s="15" t="str">
        <f>IF(J1049="","",J1049&amp;"|"&amp;E1049&amp;"|"&amp;F1049&amp;"|"&amp;I1049&amp;"|"&amp;O1049)</f>
        <v/>
      </c>
      <c r="T1049" s="111" t="str">
        <f>IF(S1049="","",IF(COUNTIFS(L_Sleutel,S1049,L_Actief,1)=0,"",SUMIFS(L_Waarde,L_Sleutel,S1049,L_Actief,1)))</f>
        <v/>
      </c>
      <c r="U1049" s="111">
        <f>IF(OR(S1049="",T1049=""),0,P1049-T1049)</f>
        <v>0</v>
      </c>
      <c r="AB1049" s="112" t="n">
        <v>75</v>
      </c>
      <c r="AC1049" s="112" t="n">
        <v>5</v>
      </c>
      <c r="AD1049" s="112" t="str">
        <f>VERW_Project!S80</f>
        <v/>
      </c>
      <c r="AE1049" s="112">
        <f>IF(AND(VERW_Project!$A80&lt;&gt;"",ISNUMBER(AD1049)),1,0)</f>
        <v>0</v>
      </c>
      <c r="AF1049" s="112" t="str">
        <f>IF(AE1049=1,SUM($AE$8:AE1049),"")</f>
        <v/>
      </c>
      <c r="AG1049" t="str">
        <f>IFERROR(MATCH(1042,$AF$8:$AF$1407,0),"")</f>
        <v/>
      </c>
    </row>
    <row r="1050">
      <c r="A1050" s="92" t="str">
        <f>IF($AG1050="","",P_ImportID)</f>
        <v/>
      </c>
      <c r="B1050" s="92" t="str">
        <f>IF($AG1050="","",IF(INDEX($AN$8:$AN$21,INDEX($AC$8:$AC$1407,$AG1050)+1)="Z",P_BronZ,P_BronE))</f>
        <v/>
      </c>
      <c r="C1050" s="108" t="str">
        <f>IF($AG1050="","",P_Importdatum)</f>
        <v/>
      </c>
      <c r="D1050" s="92" t="str">
        <f>IF($AG1050="","",P_StatusVastleg)</f>
        <v/>
      </c>
      <c r="E1050" s="92" t="str">
        <f>IF($AG1050="","",P_UploadVJ)</f>
        <v/>
      </c>
      <c r="F1050" s="92" t="str">
        <f>IF($AG1050="","",P_UploadVersie)</f>
        <v/>
      </c>
      <c r="G1050" s="92" t="str">
        <f>IF($AG1050="","",IF(COUNTIFS(L_Sleutel,$S1050,L_Status,"Vastgesteld")=0,0,_xlfn.MAXIFS(L_Revisie,L_Sleutel,$S1050,L_Status,"Vastgesteld")+1))</f>
        <v/>
      </c>
      <c r="H1050" s="108" t="str">
        <f>IF($AG1050="","",P_Peildatum)</f>
        <v/>
      </c>
      <c r="I1050" s="92" t="str">
        <f>IF($AG1050="","",P_RJ+INDEX($AK$8:$AK$21,INDEX($AC$8:$AC$1407,$AG1050)+1))</f>
        <v/>
      </c>
      <c r="J1050" s="92" t="str">
        <f>IF($AG1050="","",INDEX(V_WBS,INDEX($AB$8:$AB$1407,$AG1050)))</f>
        <v/>
      </c>
      <c r="K1050" s="92" t="str">
        <f>IF($AG1050="","",INDEX(V_Projdef,INDEX($AB$8:$AB$1407,$AG1050)))</f>
        <v/>
      </c>
      <c r="L1050" s="92" t="str">
        <f>IF($AG1050="","",INDEX(V_Naam,INDEX($AB$8:$AB$1407,$AG1050)))</f>
        <v/>
      </c>
      <c r="M1050" s="92" t="str">
        <f>IF($AG1050="","",INDEX(V_Type,INDEX($AB$8:$AB$1407,$AG1050)))</f>
        <v/>
      </c>
      <c r="N1050" s="92" t="str">
        <f>IF($AG1050="","",INDEX(V_IFRS,INDEX($AB$8:$AB$1407,$AG1050)))</f>
        <v/>
      </c>
      <c r="O1050" s="92" t="str">
        <f>IF($AG1050="","",INDEX($AL$8:$AL$21,INDEX($AC$8:$AC$1407,$AG1050)+1))</f>
        <v/>
      </c>
      <c r="P1050" s="109" t="str">
        <f>IF($AG1050="","",INDEX($AD$8:$AD$1407,$AG1050))</f>
        <v/>
      </c>
      <c r="Q1050" s="92" t="str">
        <f>IF($AG1050="","",INDEX($AM$8:$AM$21,INDEX($AC$8:$AC$1407,$AG1050)+1))</f>
        <v/>
      </c>
      <c r="R1050" s="92" t="str">
        <f>IF($AG1050="","",IF($G1050&gt;0,P_ToelCorrectie&amp;"",""))</f>
        <v/>
      </c>
      <c r="S1050" s="15" t="str">
        <f>IF(J1050="","",J1050&amp;"|"&amp;E1050&amp;"|"&amp;F1050&amp;"|"&amp;I1050&amp;"|"&amp;O1050)</f>
        <v/>
      </c>
      <c r="T1050" s="111" t="str">
        <f>IF(S1050="","",IF(COUNTIFS(L_Sleutel,S1050,L_Actief,1)=0,"",SUMIFS(L_Waarde,L_Sleutel,S1050,L_Actief,1)))</f>
        <v/>
      </c>
      <c r="U1050" s="111">
        <f>IF(OR(S1050="",T1050=""),0,P1050-T1050)</f>
        <v>0</v>
      </c>
      <c r="AB1050" s="112" t="n">
        <v>75</v>
      </c>
      <c r="AC1050" s="112" t="n">
        <v>6</v>
      </c>
      <c r="AD1050" s="112" t="str">
        <f>VERW_Project!BW80</f>
        <v/>
      </c>
      <c r="AE1050" s="112">
        <f>IF(AND(VERW_Project!$A80&lt;&gt;"",ISNUMBER(AD1050)),1,0)</f>
        <v>0</v>
      </c>
      <c r="AF1050" s="112" t="str">
        <f>IF(AE1050=1,SUM($AE$8:AE1050),"")</f>
        <v/>
      </c>
      <c r="AG1050" t="str">
        <f>IFERROR(MATCH(1043,$AF$8:$AF$1407,0),"")</f>
        <v/>
      </c>
    </row>
    <row r="1051">
      <c r="A1051" s="92" t="str">
        <f>IF($AG1051="","",P_ImportID)</f>
        <v/>
      </c>
      <c r="B1051" s="92" t="str">
        <f>IF($AG1051="","",IF(INDEX($AN$8:$AN$21,INDEX($AC$8:$AC$1407,$AG1051)+1)="Z",P_BronZ,P_BronE))</f>
        <v/>
      </c>
      <c r="C1051" s="108" t="str">
        <f>IF($AG1051="","",P_Importdatum)</f>
        <v/>
      </c>
      <c r="D1051" s="92" t="str">
        <f>IF($AG1051="","",P_StatusVastleg)</f>
        <v/>
      </c>
      <c r="E1051" s="92" t="str">
        <f>IF($AG1051="","",P_UploadVJ)</f>
        <v/>
      </c>
      <c r="F1051" s="92" t="str">
        <f>IF($AG1051="","",P_UploadVersie)</f>
        <v/>
      </c>
      <c r="G1051" s="92" t="str">
        <f>IF($AG1051="","",IF(COUNTIFS(L_Sleutel,$S1051,L_Status,"Vastgesteld")=0,0,_xlfn.MAXIFS(L_Revisie,L_Sleutel,$S1051,L_Status,"Vastgesteld")+1))</f>
        <v/>
      </c>
      <c r="H1051" s="108" t="str">
        <f>IF($AG1051="","",P_Peildatum)</f>
        <v/>
      </c>
      <c r="I1051" s="92" t="str">
        <f>IF($AG1051="","",P_RJ+INDEX($AK$8:$AK$21,INDEX($AC$8:$AC$1407,$AG1051)+1))</f>
        <v/>
      </c>
      <c r="J1051" s="92" t="str">
        <f>IF($AG1051="","",INDEX(V_WBS,INDEX($AB$8:$AB$1407,$AG1051)))</f>
        <v/>
      </c>
      <c r="K1051" s="92" t="str">
        <f>IF($AG1051="","",INDEX(V_Projdef,INDEX($AB$8:$AB$1407,$AG1051)))</f>
        <v/>
      </c>
      <c r="L1051" s="92" t="str">
        <f>IF($AG1051="","",INDEX(V_Naam,INDEX($AB$8:$AB$1407,$AG1051)))</f>
        <v/>
      </c>
      <c r="M1051" s="92" t="str">
        <f>IF($AG1051="","",INDEX(V_Type,INDEX($AB$8:$AB$1407,$AG1051)))</f>
        <v/>
      </c>
      <c r="N1051" s="92" t="str">
        <f>IF($AG1051="","",INDEX(V_IFRS,INDEX($AB$8:$AB$1407,$AG1051)))</f>
        <v/>
      </c>
      <c r="O1051" s="92" t="str">
        <f>IF($AG1051="","",INDEX($AL$8:$AL$21,INDEX($AC$8:$AC$1407,$AG1051)+1))</f>
        <v/>
      </c>
      <c r="P1051" s="109" t="str">
        <f>IF($AG1051="","",INDEX($AD$8:$AD$1407,$AG1051))</f>
        <v/>
      </c>
      <c r="Q1051" s="92" t="str">
        <f>IF($AG1051="","",INDEX($AM$8:$AM$21,INDEX($AC$8:$AC$1407,$AG1051)+1))</f>
        <v/>
      </c>
      <c r="R1051" s="92" t="str">
        <f>IF($AG1051="","",IF($G1051&gt;0,P_ToelCorrectie&amp;"",""))</f>
        <v/>
      </c>
      <c r="S1051" s="15" t="str">
        <f>IF(J1051="","",J1051&amp;"|"&amp;E1051&amp;"|"&amp;F1051&amp;"|"&amp;I1051&amp;"|"&amp;O1051)</f>
        <v/>
      </c>
      <c r="T1051" s="111" t="str">
        <f>IF(S1051="","",IF(COUNTIFS(L_Sleutel,S1051,L_Actief,1)=0,"",SUMIFS(L_Waarde,L_Sleutel,S1051,L_Actief,1)))</f>
        <v/>
      </c>
      <c r="U1051" s="111">
        <f>IF(OR(S1051="",T1051=""),0,P1051-T1051)</f>
        <v>0</v>
      </c>
      <c r="AB1051" s="112" t="n">
        <v>75</v>
      </c>
      <c r="AC1051" s="112" t="n">
        <v>7</v>
      </c>
      <c r="AD1051" s="112" t="str">
        <f>VERW_Project!AW80</f>
        <v/>
      </c>
      <c r="AE1051" s="112">
        <f>IF(AND(VERW_Project!$A80&lt;&gt;"",ISNUMBER(AD1051)),1,0)</f>
        <v>0</v>
      </c>
      <c r="AF1051" s="112" t="str">
        <f>IF(AE1051=1,SUM($AE$8:AE1051),"")</f>
        <v/>
      </c>
      <c r="AG1051" t="str">
        <f>IFERROR(MATCH(1044,$AF$8:$AF$1407,0),"")</f>
        <v/>
      </c>
    </row>
    <row r="1052">
      <c r="A1052" s="92" t="str">
        <f>IF($AG1052="","",P_ImportID)</f>
        <v/>
      </c>
      <c r="B1052" s="92" t="str">
        <f>IF($AG1052="","",IF(INDEX($AN$8:$AN$21,INDEX($AC$8:$AC$1407,$AG1052)+1)="Z",P_BronZ,P_BronE))</f>
        <v/>
      </c>
      <c r="C1052" s="108" t="str">
        <f>IF($AG1052="","",P_Importdatum)</f>
        <v/>
      </c>
      <c r="D1052" s="92" t="str">
        <f>IF($AG1052="","",P_StatusVastleg)</f>
        <v/>
      </c>
      <c r="E1052" s="92" t="str">
        <f>IF($AG1052="","",P_UploadVJ)</f>
        <v/>
      </c>
      <c r="F1052" s="92" t="str">
        <f>IF($AG1052="","",P_UploadVersie)</f>
        <v/>
      </c>
      <c r="G1052" s="92" t="str">
        <f>IF($AG1052="","",IF(COUNTIFS(L_Sleutel,$S1052,L_Status,"Vastgesteld")=0,0,_xlfn.MAXIFS(L_Revisie,L_Sleutel,$S1052,L_Status,"Vastgesteld")+1))</f>
        <v/>
      </c>
      <c r="H1052" s="108" t="str">
        <f>IF($AG1052="","",P_Peildatum)</f>
        <v/>
      </c>
      <c r="I1052" s="92" t="str">
        <f>IF($AG1052="","",P_RJ+INDEX($AK$8:$AK$21,INDEX($AC$8:$AC$1407,$AG1052)+1))</f>
        <v/>
      </c>
      <c r="J1052" s="92" t="str">
        <f>IF($AG1052="","",INDEX(V_WBS,INDEX($AB$8:$AB$1407,$AG1052)))</f>
        <v/>
      </c>
      <c r="K1052" s="92" t="str">
        <f>IF($AG1052="","",INDEX(V_Projdef,INDEX($AB$8:$AB$1407,$AG1052)))</f>
        <v/>
      </c>
      <c r="L1052" s="92" t="str">
        <f>IF($AG1052="","",INDEX(V_Naam,INDEX($AB$8:$AB$1407,$AG1052)))</f>
        <v/>
      </c>
      <c r="M1052" s="92" t="str">
        <f>IF($AG1052="","",INDEX(V_Type,INDEX($AB$8:$AB$1407,$AG1052)))</f>
        <v/>
      </c>
      <c r="N1052" s="92" t="str">
        <f>IF($AG1052="","",INDEX(V_IFRS,INDEX($AB$8:$AB$1407,$AG1052)))</f>
        <v/>
      </c>
      <c r="O1052" s="92" t="str">
        <f>IF($AG1052="","",INDEX($AL$8:$AL$21,INDEX($AC$8:$AC$1407,$AG1052)+1))</f>
        <v/>
      </c>
      <c r="P1052" s="109" t="str">
        <f>IF($AG1052="","",INDEX($AD$8:$AD$1407,$AG1052))</f>
        <v/>
      </c>
      <c r="Q1052" s="92" t="str">
        <f>IF($AG1052="","",INDEX($AM$8:$AM$21,INDEX($AC$8:$AC$1407,$AG1052)+1))</f>
        <v/>
      </c>
      <c r="R1052" s="92" t="str">
        <f>IF($AG1052="","",IF($G1052&gt;0,P_ToelCorrectie&amp;"",""))</f>
        <v/>
      </c>
      <c r="S1052" s="15" t="str">
        <f>IF(J1052="","",J1052&amp;"|"&amp;E1052&amp;"|"&amp;F1052&amp;"|"&amp;I1052&amp;"|"&amp;O1052)</f>
        <v/>
      </c>
      <c r="T1052" s="111" t="str">
        <f>IF(S1052="","",IF(COUNTIFS(L_Sleutel,S1052,L_Actief,1)=0,"",SUMIFS(L_Waarde,L_Sleutel,S1052,L_Actief,1)))</f>
        <v/>
      </c>
      <c r="U1052" s="111">
        <f>IF(OR(S1052="",T1052=""),0,P1052-T1052)</f>
        <v>0</v>
      </c>
      <c r="AB1052" s="112" t="n">
        <v>75</v>
      </c>
      <c r="AC1052" s="112" t="n">
        <v>8</v>
      </c>
      <c r="AD1052" s="112" t="str">
        <f>VERW_Project!BQ80</f>
        <v/>
      </c>
      <c r="AE1052" s="112">
        <f>IF(AND(VERW_Project!$A80&lt;&gt;"",ISNUMBER(AD1052)),1,0)</f>
        <v>0</v>
      </c>
      <c r="AF1052" s="112" t="str">
        <f>IF(AE1052=1,SUM($AE$8:AE1052),"")</f>
        <v/>
      </c>
      <c r="AG1052" t="str">
        <f>IFERROR(MATCH(1045,$AF$8:$AF$1407,0),"")</f>
        <v/>
      </c>
    </row>
    <row r="1053">
      <c r="A1053" s="92" t="str">
        <f>IF($AG1053="","",P_ImportID)</f>
        <v/>
      </c>
      <c r="B1053" s="92" t="str">
        <f>IF($AG1053="","",IF(INDEX($AN$8:$AN$21,INDEX($AC$8:$AC$1407,$AG1053)+1)="Z",P_BronZ,P_BronE))</f>
        <v/>
      </c>
      <c r="C1053" s="108" t="str">
        <f>IF($AG1053="","",P_Importdatum)</f>
        <v/>
      </c>
      <c r="D1053" s="92" t="str">
        <f>IF($AG1053="","",P_StatusVastleg)</f>
        <v/>
      </c>
      <c r="E1053" s="92" t="str">
        <f>IF($AG1053="","",P_UploadVJ)</f>
        <v/>
      </c>
      <c r="F1053" s="92" t="str">
        <f>IF($AG1053="","",P_UploadVersie)</f>
        <v/>
      </c>
      <c r="G1053" s="92" t="str">
        <f>IF($AG1053="","",IF(COUNTIFS(L_Sleutel,$S1053,L_Status,"Vastgesteld")=0,0,_xlfn.MAXIFS(L_Revisie,L_Sleutel,$S1053,L_Status,"Vastgesteld")+1))</f>
        <v/>
      </c>
      <c r="H1053" s="108" t="str">
        <f>IF($AG1053="","",P_Peildatum)</f>
        <v/>
      </c>
      <c r="I1053" s="92" t="str">
        <f>IF($AG1053="","",P_RJ+INDEX($AK$8:$AK$21,INDEX($AC$8:$AC$1407,$AG1053)+1))</f>
        <v/>
      </c>
      <c r="J1053" s="92" t="str">
        <f>IF($AG1053="","",INDEX(V_WBS,INDEX($AB$8:$AB$1407,$AG1053)))</f>
        <v/>
      </c>
      <c r="K1053" s="92" t="str">
        <f>IF($AG1053="","",INDEX(V_Projdef,INDEX($AB$8:$AB$1407,$AG1053)))</f>
        <v/>
      </c>
      <c r="L1053" s="92" t="str">
        <f>IF($AG1053="","",INDEX(V_Naam,INDEX($AB$8:$AB$1407,$AG1053)))</f>
        <v/>
      </c>
      <c r="M1053" s="92" t="str">
        <f>IF($AG1053="","",INDEX(V_Type,INDEX($AB$8:$AB$1407,$AG1053)))</f>
        <v/>
      </c>
      <c r="N1053" s="92" t="str">
        <f>IF($AG1053="","",INDEX(V_IFRS,INDEX($AB$8:$AB$1407,$AG1053)))</f>
        <v/>
      </c>
      <c r="O1053" s="92" t="str">
        <f>IF($AG1053="","",INDEX($AL$8:$AL$21,INDEX($AC$8:$AC$1407,$AG1053)+1))</f>
        <v/>
      </c>
      <c r="P1053" s="109" t="str">
        <f>IF($AG1053="","",INDEX($AD$8:$AD$1407,$AG1053))</f>
        <v/>
      </c>
      <c r="Q1053" s="92" t="str">
        <f>IF($AG1053="","",INDEX($AM$8:$AM$21,INDEX($AC$8:$AC$1407,$AG1053)+1))</f>
        <v/>
      </c>
      <c r="R1053" s="92" t="str">
        <f>IF($AG1053="","",IF($G1053&gt;0,P_ToelCorrectie&amp;"",""))</f>
        <v/>
      </c>
      <c r="S1053" s="15" t="str">
        <f>IF(J1053="","",J1053&amp;"|"&amp;E1053&amp;"|"&amp;F1053&amp;"|"&amp;I1053&amp;"|"&amp;O1053)</f>
        <v/>
      </c>
      <c r="T1053" s="111" t="str">
        <f>IF(S1053="","",IF(COUNTIFS(L_Sleutel,S1053,L_Actief,1)=0,"",SUMIFS(L_Waarde,L_Sleutel,S1053,L_Actief,1)))</f>
        <v/>
      </c>
      <c r="U1053" s="111">
        <f>IF(OR(S1053="",T1053=""),0,P1053-T1053)</f>
        <v>0</v>
      </c>
      <c r="AB1053" s="112" t="n">
        <v>75</v>
      </c>
      <c r="AC1053" s="112" t="n">
        <v>9</v>
      </c>
      <c r="AD1053" s="112" t="str">
        <f>VERW_Project!BR80</f>
        <v/>
      </c>
      <c r="AE1053" s="112">
        <f>IF(AND(VERW_Project!$A80&lt;&gt;"",ISNUMBER(AD1053)),1,0)</f>
        <v>0</v>
      </c>
      <c r="AF1053" s="112" t="str">
        <f>IF(AE1053=1,SUM($AE$8:AE1053),"")</f>
        <v/>
      </c>
      <c r="AG1053" t="str">
        <f>IFERROR(MATCH(1046,$AF$8:$AF$1407,0),"")</f>
        <v/>
      </c>
    </row>
    <row r="1054">
      <c r="A1054" s="92" t="str">
        <f>IF($AG1054="","",P_ImportID)</f>
        <v/>
      </c>
      <c r="B1054" s="92" t="str">
        <f>IF($AG1054="","",IF(INDEX($AN$8:$AN$21,INDEX($AC$8:$AC$1407,$AG1054)+1)="Z",P_BronZ,P_BronE))</f>
        <v/>
      </c>
      <c r="C1054" s="108" t="str">
        <f>IF($AG1054="","",P_Importdatum)</f>
        <v/>
      </c>
      <c r="D1054" s="92" t="str">
        <f>IF($AG1054="","",P_StatusVastleg)</f>
        <v/>
      </c>
      <c r="E1054" s="92" t="str">
        <f>IF($AG1054="","",P_UploadVJ)</f>
        <v/>
      </c>
      <c r="F1054" s="92" t="str">
        <f>IF($AG1054="","",P_UploadVersie)</f>
        <v/>
      </c>
      <c r="G1054" s="92" t="str">
        <f>IF($AG1054="","",IF(COUNTIFS(L_Sleutel,$S1054,L_Status,"Vastgesteld")=0,0,_xlfn.MAXIFS(L_Revisie,L_Sleutel,$S1054,L_Status,"Vastgesteld")+1))</f>
        <v/>
      </c>
      <c r="H1054" s="108" t="str">
        <f>IF($AG1054="","",P_Peildatum)</f>
        <v/>
      </c>
      <c r="I1054" s="92" t="str">
        <f>IF($AG1054="","",P_RJ+INDEX($AK$8:$AK$21,INDEX($AC$8:$AC$1407,$AG1054)+1))</f>
        <v/>
      </c>
      <c r="J1054" s="92" t="str">
        <f>IF($AG1054="","",INDEX(V_WBS,INDEX($AB$8:$AB$1407,$AG1054)))</f>
        <v/>
      </c>
      <c r="K1054" s="92" t="str">
        <f>IF($AG1054="","",INDEX(V_Projdef,INDEX($AB$8:$AB$1407,$AG1054)))</f>
        <v/>
      </c>
      <c r="L1054" s="92" t="str">
        <f>IF($AG1054="","",INDEX(V_Naam,INDEX($AB$8:$AB$1407,$AG1054)))</f>
        <v/>
      </c>
      <c r="M1054" s="92" t="str">
        <f>IF($AG1054="","",INDEX(V_Type,INDEX($AB$8:$AB$1407,$AG1054)))</f>
        <v/>
      </c>
      <c r="N1054" s="92" t="str">
        <f>IF($AG1054="","",INDEX(V_IFRS,INDEX($AB$8:$AB$1407,$AG1054)))</f>
        <v/>
      </c>
      <c r="O1054" s="92" t="str">
        <f>IF($AG1054="","",INDEX($AL$8:$AL$21,INDEX($AC$8:$AC$1407,$AG1054)+1))</f>
        <v/>
      </c>
      <c r="P1054" s="109" t="str">
        <f>IF($AG1054="","",INDEX($AD$8:$AD$1407,$AG1054))</f>
        <v/>
      </c>
      <c r="Q1054" s="92" t="str">
        <f>IF($AG1054="","",INDEX($AM$8:$AM$21,INDEX($AC$8:$AC$1407,$AG1054)+1))</f>
        <v/>
      </c>
      <c r="R1054" s="92" t="str">
        <f>IF($AG1054="","",IF($G1054&gt;0,P_ToelCorrectie&amp;"",""))</f>
        <v/>
      </c>
      <c r="S1054" s="15" t="str">
        <f>IF(J1054="","",J1054&amp;"|"&amp;E1054&amp;"|"&amp;F1054&amp;"|"&amp;I1054&amp;"|"&amp;O1054)</f>
        <v/>
      </c>
      <c r="T1054" s="111" t="str">
        <f>IF(S1054="","",IF(COUNTIFS(L_Sleutel,S1054,L_Actief,1)=0,"",SUMIFS(L_Waarde,L_Sleutel,S1054,L_Actief,1)))</f>
        <v/>
      </c>
      <c r="U1054" s="111">
        <f>IF(OR(S1054="",T1054=""),0,P1054-T1054)</f>
        <v>0</v>
      </c>
      <c r="AB1054" s="112" t="n">
        <v>75</v>
      </c>
      <c r="AC1054" s="112" t="n">
        <v>10</v>
      </c>
      <c r="AD1054" s="112" t="str">
        <f>VERW_Project!BS80</f>
        <v/>
      </c>
      <c r="AE1054" s="112">
        <f>IF(AND(VERW_Project!$A80&lt;&gt;"",ISNUMBER(AD1054)),1,0)</f>
        <v>0</v>
      </c>
      <c r="AF1054" s="112" t="str">
        <f>IF(AE1054=1,SUM($AE$8:AE1054),"")</f>
        <v/>
      </c>
      <c r="AG1054" t="str">
        <f>IFERROR(MATCH(1047,$AF$8:$AF$1407,0),"")</f>
        <v/>
      </c>
    </row>
    <row r="1055">
      <c r="A1055" s="92" t="str">
        <f>IF($AG1055="","",P_ImportID)</f>
        <v/>
      </c>
      <c r="B1055" s="92" t="str">
        <f>IF($AG1055="","",IF(INDEX($AN$8:$AN$21,INDEX($AC$8:$AC$1407,$AG1055)+1)="Z",P_BronZ,P_BronE))</f>
        <v/>
      </c>
      <c r="C1055" s="108" t="str">
        <f>IF($AG1055="","",P_Importdatum)</f>
        <v/>
      </c>
      <c r="D1055" s="92" t="str">
        <f>IF($AG1055="","",P_StatusVastleg)</f>
        <v/>
      </c>
      <c r="E1055" s="92" t="str">
        <f>IF($AG1055="","",P_UploadVJ)</f>
        <v/>
      </c>
      <c r="F1055" s="92" t="str">
        <f>IF($AG1055="","",P_UploadVersie)</f>
        <v/>
      </c>
      <c r="G1055" s="92" t="str">
        <f>IF($AG1055="","",IF(COUNTIFS(L_Sleutel,$S1055,L_Status,"Vastgesteld")=0,0,_xlfn.MAXIFS(L_Revisie,L_Sleutel,$S1055,L_Status,"Vastgesteld")+1))</f>
        <v/>
      </c>
      <c r="H1055" s="108" t="str">
        <f>IF($AG1055="","",P_Peildatum)</f>
        <v/>
      </c>
      <c r="I1055" s="92" t="str">
        <f>IF($AG1055="","",P_RJ+INDEX($AK$8:$AK$21,INDEX($AC$8:$AC$1407,$AG1055)+1))</f>
        <v/>
      </c>
      <c r="J1055" s="92" t="str">
        <f>IF($AG1055="","",INDEX(V_WBS,INDEX($AB$8:$AB$1407,$AG1055)))</f>
        <v/>
      </c>
      <c r="K1055" s="92" t="str">
        <f>IF($AG1055="","",INDEX(V_Projdef,INDEX($AB$8:$AB$1407,$AG1055)))</f>
        <v/>
      </c>
      <c r="L1055" s="92" t="str">
        <f>IF($AG1055="","",INDEX(V_Naam,INDEX($AB$8:$AB$1407,$AG1055)))</f>
        <v/>
      </c>
      <c r="M1055" s="92" t="str">
        <f>IF($AG1055="","",INDEX(V_Type,INDEX($AB$8:$AB$1407,$AG1055)))</f>
        <v/>
      </c>
      <c r="N1055" s="92" t="str">
        <f>IF($AG1055="","",INDEX(V_IFRS,INDEX($AB$8:$AB$1407,$AG1055)))</f>
        <v/>
      </c>
      <c r="O1055" s="92" t="str">
        <f>IF($AG1055="","",INDEX($AL$8:$AL$21,INDEX($AC$8:$AC$1407,$AG1055)+1))</f>
        <v/>
      </c>
      <c r="P1055" s="109" t="str">
        <f>IF($AG1055="","",INDEX($AD$8:$AD$1407,$AG1055))</f>
        <v/>
      </c>
      <c r="Q1055" s="92" t="str">
        <f>IF($AG1055="","",INDEX($AM$8:$AM$21,INDEX($AC$8:$AC$1407,$AG1055)+1))</f>
        <v/>
      </c>
      <c r="R1055" s="92" t="str">
        <f>IF($AG1055="","",IF($G1055&gt;0,P_ToelCorrectie&amp;"",""))</f>
        <v/>
      </c>
      <c r="S1055" s="15" t="str">
        <f>IF(J1055="","",J1055&amp;"|"&amp;E1055&amp;"|"&amp;F1055&amp;"|"&amp;I1055&amp;"|"&amp;O1055)</f>
        <v/>
      </c>
      <c r="T1055" s="111" t="str">
        <f>IF(S1055="","",IF(COUNTIFS(L_Sleutel,S1055,L_Actief,1)=0,"",SUMIFS(L_Waarde,L_Sleutel,S1055,L_Actief,1)))</f>
        <v/>
      </c>
      <c r="U1055" s="111">
        <f>IF(OR(S1055="",T1055=""),0,P1055-T1055)</f>
        <v>0</v>
      </c>
      <c r="AB1055" s="112" t="n">
        <v>75</v>
      </c>
      <c r="AC1055" s="112" t="n">
        <v>11</v>
      </c>
      <c r="AD1055" s="112" t="str">
        <f>VERW_Project!BT80</f>
        <v/>
      </c>
      <c r="AE1055" s="112">
        <f>IF(AND(VERW_Project!$A80&lt;&gt;"",ISNUMBER(AD1055)),1,0)</f>
        <v>0</v>
      </c>
      <c r="AF1055" s="112" t="str">
        <f>IF(AE1055=1,SUM($AE$8:AE1055),"")</f>
        <v/>
      </c>
      <c r="AG1055" t="str">
        <f>IFERROR(MATCH(1048,$AF$8:$AF$1407,0),"")</f>
        <v/>
      </c>
    </row>
    <row r="1056">
      <c r="A1056" s="92" t="str">
        <f>IF($AG1056="","",P_ImportID)</f>
        <v/>
      </c>
      <c r="B1056" s="92" t="str">
        <f>IF($AG1056="","",IF(INDEX($AN$8:$AN$21,INDEX($AC$8:$AC$1407,$AG1056)+1)="Z",P_BronZ,P_BronE))</f>
        <v/>
      </c>
      <c r="C1056" s="108" t="str">
        <f>IF($AG1056="","",P_Importdatum)</f>
        <v/>
      </c>
      <c r="D1056" s="92" t="str">
        <f>IF($AG1056="","",P_StatusVastleg)</f>
        <v/>
      </c>
      <c r="E1056" s="92" t="str">
        <f>IF($AG1056="","",P_UploadVJ)</f>
        <v/>
      </c>
      <c r="F1056" s="92" t="str">
        <f>IF($AG1056="","",P_UploadVersie)</f>
        <v/>
      </c>
      <c r="G1056" s="92" t="str">
        <f>IF($AG1056="","",IF(COUNTIFS(L_Sleutel,$S1056,L_Status,"Vastgesteld")=0,0,_xlfn.MAXIFS(L_Revisie,L_Sleutel,$S1056,L_Status,"Vastgesteld")+1))</f>
        <v/>
      </c>
      <c r="H1056" s="108" t="str">
        <f>IF($AG1056="","",P_Peildatum)</f>
        <v/>
      </c>
      <c r="I1056" s="92" t="str">
        <f>IF($AG1056="","",P_RJ+INDEX($AK$8:$AK$21,INDEX($AC$8:$AC$1407,$AG1056)+1))</f>
        <v/>
      </c>
      <c r="J1056" s="92" t="str">
        <f>IF($AG1056="","",INDEX(V_WBS,INDEX($AB$8:$AB$1407,$AG1056)))</f>
        <v/>
      </c>
      <c r="K1056" s="92" t="str">
        <f>IF($AG1056="","",INDEX(V_Projdef,INDEX($AB$8:$AB$1407,$AG1056)))</f>
        <v/>
      </c>
      <c r="L1056" s="92" t="str">
        <f>IF($AG1056="","",INDEX(V_Naam,INDEX($AB$8:$AB$1407,$AG1056)))</f>
        <v/>
      </c>
      <c r="M1056" s="92" t="str">
        <f>IF($AG1056="","",INDEX(V_Type,INDEX($AB$8:$AB$1407,$AG1056)))</f>
        <v/>
      </c>
      <c r="N1056" s="92" t="str">
        <f>IF($AG1056="","",INDEX(V_IFRS,INDEX($AB$8:$AB$1407,$AG1056)))</f>
        <v/>
      </c>
      <c r="O1056" s="92" t="str">
        <f>IF($AG1056="","",INDEX($AL$8:$AL$21,INDEX($AC$8:$AC$1407,$AG1056)+1))</f>
        <v/>
      </c>
      <c r="P1056" s="109" t="str">
        <f>IF($AG1056="","",INDEX($AD$8:$AD$1407,$AG1056))</f>
        <v/>
      </c>
      <c r="Q1056" s="92" t="str">
        <f>IF($AG1056="","",INDEX($AM$8:$AM$21,INDEX($AC$8:$AC$1407,$AG1056)+1))</f>
        <v/>
      </c>
      <c r="R1056" s="92" t="str">
        <f>IF($AG1056="","",IF($G1056&gt;0,P_ToelCorrectie&amp;"",""))</f>
        <v/>
      </c>
      <c r="S1056" s="15" t="str">
        <f>IF(J1056="","",J1056&amp;"|"&amp;E1056&amp;"|"&amp;F1056&amp;"|"&amp;I1056&amp;"|"&amp;O1056)</f>
        <v/>
      </c>
      <c r="T1056" s="111" t="str">
        <f>IF(S1056="","",IF(COUNTIFS(L_Sleutel,S1056,L_Actief,1)=0,"",SUMIFS(L_Waarde,L_Sleutel,S1056,L_Actief,1)))</f>
        <v/>
      </c>
      <c r="U1056" s="111">
        <f>IF(OR(S1056="",T1056=""),0,P1056-T1056)</f>
        <v>0</v>
      </c>
      <c r="AB1056" s="112" t="n">
        <v>75</v>
      </c>
      <c r="AC1056" s="112" t="n">
        <v>12</v>
      </c>
      <c r="AD1056" s="112" t="str">
        <f>VERW_Project!BU80</f>
        <v/>
      </c>
      <c r="AE1056" s="112">
        <f>IF(AND(VERW_Project!$A80&lt;&gt;"",ISNUMBER(AD1056)),1,0)</f>
        <v>0</v>
      </c>
      <c r="AF1056" s="112" t="str">
        <f>IF(AE1056=1,SUM($AE$8:AE1056),"")</f>
        <v/>
      </c>
      <c r="AG1056" t="str">
        <f>IFERROR(MATCH(1049,$AF$8:$AF$1407,0),"")</f>
        <v/>
      </c>
    </row>
    <row r="1057">
      <c r="A1057" s="92" t="str">
        <f>IF($AG1057="","",P_ImportID)</f>
        <v/>
      </c>
      <c r="B1057" s="92" t="str">
        <f>IF($AG1057="","",IF(INDEX($AN$8:$AN$21,INDEX($AC$8:$AC$1407,$AG1057)+1)="Z",P_BronZ,P_BronE))</f>
        <v/>
      </c>
      <c r="C1057" s="108" t="str">
        <f>IF($AG1057="","",P_Importdatum)</f>
        <v/>
      </c>
      <c r="D1057" s="92" t="str">
        <f>IF($AG1057="","",P_StatusVastleg)</f>
        <v/>
      </c>
      <c r="E1057" s="92" t="str">
        <f>IF($AG1057="","",P_UploadVJ)</f>
        <v/>
      </c>
      <c r="F1057" s="92" t="str">
        <f>IF($AG1057="","",P_UploadVersie)</f>
        <v/>
      </c>
      <c r="G1057" s="92" t="str">
        <f>IF($AG1057="","",IF(COUNTIFS(L_Sleutel,$S1057,L_Status,"Vastgesteld")=0,0,_xlfn.MAXIFS(L_Revisie,L_Sleutel,$S1057,L_Status,"Vastgesteld")+1))</f>
        <v/>
      </c>
      <c r="H1057" s="108" t="str">
        <f>IF($AG1057="","",P_Peildatum)</f>
        <v/>
      </c>
      <c r="I1057" s="92" t="str">
        <f>IF($AG1057="","",P_RJ+INDEX($AK$8:$AK$21,INDEX($AC$8:$AC$1407,$AG1057)+1))</f>
        <v/>
      </c>
      <c r="J1057" s="92" t="str">
        <f>IF($AG1057="","",INDEX(V_WBS,INDEX($AB$8:$AB$1407,$AG1057)))</f>
        <v/>
      </c>
      <c r="K1057" s="92" t="str">
        <f>IF($AG1057="","",INDEX(V_Projdef,INDEX($AB$8:$AB$1407,$AG1057)))</f>
        <v/>
      </c>
      <c r="L1057" s="92" t="str">
        <f>IF($AG1057="","",INDEX(V_Naam,INDEX($AB$8:$AB$1407,$AG1057)))</f>
        <v/>
      </c>
      <c r="M1057" s="92" t="str">
        <f>IF($AG1057="","",INDEX(V_Type,INDEX($AB$8:$AB$1407,$AG1057)))</f>
        <v/>
      </c>
      <c r="N1057" s="92" t="str">
        <f>IF($AG1057="","",INDEX(V_IFRS,INDEX($AB$8:$AB$1407,$AG1057)))</f>
        <v/>
      </c>
      <c r="O1057" s="92" t="str">
        <f>IF($AG1057="","",INDEX($AL$8:$AL$21,INDEX($AC$8:$AC$1407,$AG1057)+1))</f>
        <v/>
      </c>
      <c r="P1057" s="109" t="str">
        <f>IF($AG1057="","",INDEX($AD$8:$AD$1407,$AG1057))</f>
        <v/>
      </c>
      <c r="Q1057" s="92" t="str">
        <f>IF($AG1057="","",INDEX($AM$8:$AM$21,INDEX($AC$8:$AC$1407,$AG1057)+1))</f>
        <v/>
      </c>
      <c r="R1057" s="92" t="str">
        <f>IF($AG1057="","",IF($G1057&gt;0,P_ToelCorrectie&amp;"",""))</f>
        <v/>
      </c>
      <c r="S1057" s="15" t="str">
        <f>IF(J1057="","",J1057&amp;"|"&amp;E1057&amp;"|"&amp;F1057&amp;"|"&amp;I1057&amp;"|"&amp;O1057)</f>
        <v/>
      </c>
      <c r="T1057" s="111" t="str">
        <f>IF(S1057="","",IF(COUNTIFS(L_Sleutel,S1057,L_Actief,1)=0,"",SUMIFS(L_Waarde,L_Sleutel,S1057,L_Actief,1)))</f>
        <v/>
      </c>
      <c r="U1057" s="111">
        <f>IF(OR(S1057="",T1057=""),0,P1057-T1057)</f>
        <v>0</v>
      </c>
      <c r="AB1057" s="112" t="n">
        <v>75</v>
      </c>
      <c r="AC1057" s="112" t="n">
        <v>13</v>
      </c>
      <c r="AD1057" s="112" t="str">
        <f>VERW_Project!BX80</f>
        <v/>
      </c>
      <c r="AE1057" s="112">
        <f>IF(AND(VERW_Project!$A80&lt;&gt;"",ISNUMBER(AD1057)),1,0)</f>
        <v>0</v>
      </c>
      <c r="AF1057" s="112" t="str">
        <f>IF(AE1057=1,SUM($AE$8:AE1057),"")</f>
        <v/>
      </c>
      <c r="AG1057" t="str">
        <f>IFERROR(MATCH(1050,$AF$8:$AF$1407,0),"")</f>
        <v/>
      </c>
    </row>
    <row r="1058">
      <c r="A1058" s="92" t="str">
        <f>IF($AG1058="","",P_ImportID)</f>
        <v/>
      </c>
      <c r="B1058" s="92" t="str">
        <f>IF($AG1058="","",IF(INDEX($AN$8:$AN$21,INDEX($AC$8:$AC$1407,$AG1058)+1)="Z",P_BronZ,P_BronE))</f>
        <v/>
      </c>
      <c r="C1058" s="108" t="str">
        <f>IF($AG1058="","",P_Importdatum)</f>
        <v/>
      </c>
      <c r="D1058" s="92" t="str">
        <f>IF($AG1058="","",P_StatusVastleg)</f>
        <v/>
      </c>
      <c r="E1058" s="92" t="str">
        <f>IF($AG1058="","",P_UploadVJ)</f>
        <v/>
      </c>
      <c r="F1058" s="92" t="str">
        <f>IF($AG1058="","",P_UploadVersie)</f>
        <v/>
      </c>
      <c r="G1058" s="92" t="str">
        <f>IF($AG1058="","",IF(COUNTIFS(L_Sleutel,$S1058,L_Status,"Vastgesteld")=0,0,_xlfn.MAXIFS(L_Revisie,L_Sleutel,$S1058,L_Status,"Vastgesteld")+1))</f>
        <v/>
      </c>
      <c r="H1058" s="108" t="str">
        <f>IF($AG1058="","",P_Peildatum)</f>
        <v/>
      </c>
      <c r="I1058" s="92" t="str">
        <f>IF($AG1058="","",P_RJ+INDEX($AK$8:$AK$21,INDEX($AC$8:$AC$1407,$AG1058)+1))</f>
        <v/>
      </c>
      <c r="J1058" s="92" t="str">
        <f>IF($AG1058="","",INDEX(V_WBS,INDEX($AB$8:$AB$1407,$AG1058)))</f>
        <v/>
      </c>
      <c r="K1058" s="92" t="str">
        <f>IF($AG1058="","",INDEX(V_Projdef,INDEX($AB$8:$AB$1407,$AG1058)))</f>
        <v/>
      </c>
      <c r="L1058" s="92" t="str">
        <f>IF($AG1058="","",INDEX(V_Naam,INDEX($AB$8:$AB$1407,$AG1058)))</f>
        <v/>
      </c>
      <c r="M1058" s="92" t="str">
        <f>IF($AG1058="","",INDEX(V_Type,INDEX($AB$8:$AB$1407,$AG1058)))</f>
        <v/>
      </c>
      <c r="N1058" s="92" t="str">
        <f>IF($AG1058="","",INDEX(V_IFRS,INDEX($AB$8:$AB$1407,$AG1058)))</f>
        <v/>
      </c>
      <c r="O1058" s="92" t="str">
        <f>IF($AG1058="","",INDEX($AL$8:$AL$21,INDEX($AC$8:$AC$1407,$AG1058)+1))</f>
        <v/>
      </c>
      <c r="P1058" s="109" t="str">
        <f>IF($AG1058="","",INDEX($AD$8:$AD$1407,$AG1058))</f>
        <v/>
      </c>
      <c r="Q1058" s="92" t="str">
        <f>IF($AG1058="","",INDEX($AM$8:$AM$21,INDEX($AC$8:$AC$1407,$AG1058)+1))</f>
        <v/>
      </c>
      <c r="R1058" s="92" t="str">
        <f>IF($AG1058="","",IF($G1058&gt;0,P_ToelCorrectie&amp;"",""))</f>
        <v/>
      </c>
      <c r="S1058" s="15" t="str">
        <f>IF(J1058="","",J1058&amp;"|"&amp;E1058&amp;"|"&amp;F1058&amp;"|"&amp;I1058&amp;"|"&amp;O1058)</f>
        <v/>
      </c>
      <c r="T1058" s="111" t="str">
        <f>IF(S1058="","",IF(COUNTIFS(L_Sleutel,S1058,L_Actief,1)=0,"",SUMIFS(L_Waarde,L_Sleutel,S1058,L_Actief,1)))</f>
        <v/>
      </c>
      <c r="U1058" s="111">
        <f>IF(OR(S1058="",T1058=""),0,P1058-T1058)</f>
        <v>0</v>
      </c>
      <c r="AB1058" s="112" t="n">
        <v>76</v>
      </c>
      <c r="AC1058" s="112" t="n">
        <v>0</v>
      </c>
      <c r="AD1058" s="112" t="str">
        <f>VERW_Project!P81</f>
        <v/>
      </c>
      <c r="AE1058" s="112">
        <f>IF(AND(VERW_Project!$A81&lt;&gt;"",ISNUMBER(AD1058)),1,0)</f>
        <v>0</v>
      </c>
      <c r="AF1058" s="112" t="str">
        <f>IF(AE1058=1,SUM($AE$8:AE1058),"")</f>
        <v/>
      </c>
      <c r="AG1058" t="str">
        <f>IFERROR(MATCH(1051,$AF$8:$AF$1407,0),"")</f>
        <v/>
      </c>
    </row>
    <row r="1059">
      <c r="A1059" s="92" t="str">
        <f>IF($AG1059="","",P_ImportID)</f>
        <v/>
      </c>
      <c r="B1059" s="92" t="str">
        <f>IF($AG1059="","",IF(INDEX($AN$8:$AN$21,INDEX($AC$8:$AC$1407,$AG1059)+1)="Z",P_BronZ,P_BronE))</f>
        <v/>
      </c>
      <c r="C1059" s="108" t="str">
        <f>IF($AG1059="","",P_Importdatum)</f>
        <v/>
      </c>
      <c r="D1059" s="92" t="str">
        <f>IF($AG1059="","",P_StatusVastleg)</f>
        <v/>
      </c>
      <c r="E1059" s="92" t="str">
        <f>IF($AG1059="","",P_UploadVJ)</f>
        <v/>
      </c>
      <c r="F1059" s="92" t="str">
        <f>IF($AG1059="","",P_UploadVersie)</f>
        <v/>
      </c>
      <c r="G1059" s="92" t="str">
        <f>IF($AG1059="","",IF(COUNTIFS(L_Sleutel,$S1059,L_Status,"Vastgesteld")=0,0,_xlfn.MAXIFS(L_Revisie,L_Sleutel,$S1059,L_Status,"Vastgesteld")+1))</f>
        <v/>
      </c>
      <c r="H1059" s="108" t="str">
        <f>IF($AG1059="","",P_Peildatum)</f>
        <v/>
      </c>
      <c r="I1059" s="92" t="str">
        <f>IF($AG1059="","",P_RJ+INDEX($AK$8:$AK$21,INDEX($AC$8:$AC$1407,$AG1059)+1))</f>
        <v/>
      </c>
      <c r="J1059" s="92" t="str">
        <f>IF($AG1059="","",INDEX(V_WBS,INDEX($AB$8:$AB$1407,$AG1059)))</f>
        <v/>
      </c>
      <c r="K1059" s="92" t="str">
        <f>IF($AG1059="","",INDEX(V_Projdef,INDEX($AB$8:$AB$1407,$AG1059)))</f>
        <v/>
      </c>
      <c r="L1059" s="92" t="str">
        <f>IF($AG1059="","",INDEX(V_Naam,INDEX($AB$8:$AB$1407,$AG1059)))</f>
        <v/>
      </c>
      <c r="M1059" s="92" t="str">
        <f>IF($AG1059="","",INDEX(V_Type,INDEX($AB$8:$AB$1407,$AG1059)))</f>
        <v/>
      </c>
      <c r="N1059" s="92" t="str">
        <f>IF($AG1059="","",INDEX(V_IFRS,INDEX($AB$8:$AB$1407,$AG1059)))</f>
        <v/>
      </c>
      <c r="O1059" s="92" t="str">
        <f>IF($AG1059="","",INDEX($AL$8:$AL$21,INDEX($AC$8:$AC$1407,$AG1059)+1))</f>
        <v/>
      </c>
      <c r="P1059" s="109" t="str">
        <f>IF($AG1059="","",INDEX($AD$8:$AD$1407,$AG1059))</f>
        <v/>
      </c>
      <c r="Q1059" s="92" t="str">
        <f>IF($AG1059="","",INDEX($AM$8:$AM$21,INDEX($AC$8:$AC$1407,$AG1059)+1))</f>
        <v/>
      </c>
      <c r="R1059" s="92" t="str">
        <f>IF($AG1059="","",IF($G1059&gt;0,P_ToelCorrectie&amp;"",""))</f>
        <v/>
      </c>
      <c r="S1059" s="15" t="str">
        <f>IF(J1059="","",J1059&amp;"|"&amp;E1059&amp;"|"&amp;F1059&amp;"|"&amp;I1059&amp;"|"&amp;O1059)</f>
        <v/>
      </c>
      <c r="T1059" s="111" t="str">
        <f>IF(S1059="","",IF(COUNTIFS(L_Sleutel,S1059,L_Actief,1)=0,"",SUMIFS(L_Waarde,L_Sleutel,S1059,L_Actief,1)))</f>
        <v/>
      </c>
      <c r="U1059" s="111">
        <f>IF(OR(S1059="",T1059=""),0,P1059-T1059)</f>
        <v>0</v>
      </c>
      <c r="AB1059" s="112" t="n">
        <v>76</v>
      </c>
      <c r="AC1059" s="112" t="n">
        <v>1</v>
      </c>
      <c r="AD1059" s="112" t="str">
        <f>VERW_Project!Q81</f>
        <v/>
      </c>
      <c r="AE1059" s="112">
        <f>IF(AND(VERW_Project!$A81&lt;&gt;"",ISNUMBER(AD1059)),1,0)</f>
        <v>0</v>
      </c>
      <c r="AF1059" s="112" t="str">
        <f>IF(AE1059=1,SUM($AE$8:AE1059),"")</f>
        <v/>
      </c>
      <c r="AG1059" t="str">
        <f>IFERROR(MATCH(1052,$AF$8:$AF$1407,0),"")</f>
        <v/>
      </c>
    </row>
    <row r="1060">
      <c r="A1060" s="92" t="str">
        <f>IF($AG1060="","",P_ImportID)</f>
        <v/>
      </c>
      <c r="B1060" s="92" t="str">
        <f>IF($AG1060="","",IF(INDEX($AN$8:$AN$21,INDEX($AC$8:$AC$1407,$AG1060)+1)="Z",P_BronZ,P_BronE))</f>
        <v/>
      </c>
      <c r="C1060" s="108" t="str">
        <f>IF($AG1060="","",P_Importdatum)</f>
        <v/>
      </c>
      <c r="D1060" s="92" t="str">
        <f>IF($AG1060="","",P_StatusVastleg)</f>
        <v/>
      </c>
      <c r="E1060" s="92" t="str">
        <f>IF($AG1060="","",P_UploadVJ)</f>
        <v/>
      </c>
      <c r="F1060" s="92" t="str">
        <f>IF($AG1060="","",P_UploadVersie)</f>
        <v/>
      </c>
      <c r="G1060" s="92" t="str">
        <f>IF($AG1060="","",IF(COUNTIFS(L_Sleutel,$S1060,L_Status,"Vastgesteld")=0,0,_xlfn.MAXIFS(L_Revisie,L_Sleutel,$S1060,L_Status,"Vastgesteld")+1))</f>
        <v/>
      </c>
      <c r="H1060" s="108" t="str">
        <f>IF($AG1060="","",P_Peildatum)</f>
        <v/>
      </c>
      <c r="I1060" s="92" t="str">
        <f>IF($AG1060="","",P_RJ+INDEX($AK$8:$AK$21,INDEX($AC$8:$AC$1407,$AG1060)+1))</f>
        <v/>
      </c>
      <c r="J1060" s="92" t="str">
        <f>IF($AG1060="","",INDEX(V_WBS,INDEX($AB$8:$AB$1407,$AG1060)))</f>
        <v/>
      </c>
      <c r="K1060" s="92" t="str">
        <f>IF($AG1060="","",INDEX(V_Projdef,INDEX($AB$8:$AB$1407,$AG1060)))</f>
        <v/>
      </c>
      <c r="L1060" s="92" t="str">
        <f>IF($AG1060="","",INDEX(V_Naam,INDEX($AB$8:$AB$1407,$AG1060)))</f>
        <v/>
      </c>
      <c r="M1060" s="92" t="str">
        <f>IF($AG1060="","",INDEX(V_Type,INDEX($AB$8:$AB$1407,$AG1060)))</f>
        <v/>
      </c>
      <c r="N1060" s="92" t="str">
        <f>IF($AG1060="","",INDEX(V_IFRS,INDEX($AB$8:$AB$1407,$AG1060)))</f>
        <v/>
      </c>
      <c r="O1060" s="92" t="str">
        <f>IF($AG1060="","",INDEX($AL$8:$AL$21,INDEX($AC$8:$AC$1407,$AG1060)+1))</f>
        <v/>
      </c>
      <c r="P1060" s="109" t="str">
        <f>IF($AG1060="","",INDEX($AD$8:$AD$1407,$AG1060))</f>
        <v/>
      </c>
      <c r="Q1060" s="92" t="str">
        <f>IF($AG1060="","",INDEX($AM$8:$AM$21,INDEX($AC$8:$AC$1407,$AG1060)+1))</f>
        <v/>
      </c>
      <c r="R1060" s="92" t="str">
        <f>IF($AG1060="","",IF($G1060&gt;0,P_ToelCorrectie&amp;"",""))</f>
        <v/>
      </c>
      <c r="S1060" s="15" t="str">
        <f>IF(J1060="","",J1060&amp;"|"&amp;E1060&amp;"|"&amp;F1060&amp;"|"&amp;I1060&amp;"|"&amp;O1060)</f>
        <v/>
      </c>
      <c r="T1060" s="111" t="str">
        <f>IF(S1060="","",IF(COUNTIFS(L_Sleutel,S1060,L_Actief,1)=0,"",SUMIFS(L_Waarde,L_Sleutel,S1060,L_Actief,1)))</f>
        <v/>
      </c>
      <c r="U1060" s="111">
        <f>IF(OR(S1060="",T1060=""),0,P1060-T1060)</f>
        <v>0</v>
      </c>
      <c r="AB1060" s="112" t="n">
        <v>76</v>
      </c>
      <c r="AC1060" s="112" t="n">
        <v>2</v>
      </c>
      <c r="AD1060" s="112" t="str">
        <f>VERW_Project!L81</f>
        <v/>
      </c>
      <c r="AE1060" s="112">
        <f>IF(AND(VERW_Project!$A81&lt;&gt;"",ISNUMBER(AD1060)),1,0)</f>
        <v>0</v>
      </c>
      <c r="AF1060" s="112" t="str">
        <f>IF(AE1060=1,SUM($AE$8:AE1060),"")</f>
        <v/>
      </c>
      <c r="AG1060" t="str">
        <f>IFERROR(MATCH(1053,$AF$8:$AF$1407,0),"")</f>
        <v/>
      </c>
    </row>
    <row r="1061">
      <c r="A1061" s="92" t="str">
        <f>IF($AG1061="","",P_ImportID)</f>
        <v/>
      </c>
      <c r="B1061" s="92" t="str">
        <f>IF($AG1061="","",IF(INDEX($AN$8:$AN$21,INDEX($AC$8:$AC$1407,$AG1061)+1)="Z",P_BronZ,P_BronE))</f>
        <v/>
      </c>
      <c r="C1061" s="108" t="str">
        <f>IF($AG1061="","",P_Importdatum)</f>
        <v/>
      </c>
      <c r="D1061" s="92" t="str">
        <f>IF($AG1061="","",P_StatusVastleg)</f>
        <v/>
      </c>
      <c r="E1061" s="92" t="str">
        <f>IF($AG1061="","",P_UploadVJ)</f>
        <v/>
      </c>
      <c r="F1061" s="92" t="str">
        <f>IF($AG1061="","",P_UploadVersie)</f>
        <v/>
      </c>
      <c r="G1061" s="92" t="str">
        <f>IF($AG1061="","",IF(COUNTIFS(L_Sleutel,$S1061,L_Status,"Vastgesteld")=0,0,_xlfn.MAXIFS(L_Revisie,L_Sleutel,$S1061,L_Status,"Vastgesteld")+1))</f>
        <v/>
      </c>
      <c r="H1061" s="108" t="str">
        <f>IF($AG1061="","",P_Peildatum)</f>
        <v/>
      </c>
      <c r="I1061" s="92" t="str">
        <f>IF($AG1061="","",P_RJ+INDEX($AK$8:$AK$21,INDEX($AC$8:$AC$1407,$AG1061)+1))</f>
        <v/>
      </c>
      <c r="J1061" s="92" t="str">
        <f>IF($AG1061="","",INDEX(V_WBS,INDEX($AB$8:$AB$1407,$AG1061)))</f>
        <v/>
      </c>
      <c r="K1061" s="92" t="str">
        <f>IF($AG1061="","",INDEX(V_Projdef,INDEX($AB$8:$AB$1407,$AG1061)))</f>
        <v/>
      </c>
      <c r="L1061" s="92" t="str">
        <f>IF($AG1061="","",INDEX(V_Naam,INDEX($AB$8:$AB$1407,$AG1061)))</f>
        <v/>
      </c>
      <c r="M1061" s="92" t="str">
        <f>IF($AG1061="","",INDEX(V_Type,INDEX($AB$8:$AB$1407,$AG1061)))</f>
        <v/>
      </c>
      <c r="N1061" s="92" t="str">
        <f>IF($AG1061="","",INDEX(V_IFRS,INDEX($AB$8:$AB$1407,$AG1061)))</f>
        <v/>
      </c>
      <c r="O1061" s="92" t="str">
        <f>IF($AG1061="","",INDEX($AL$8:$AL$21,INDEX($AC$8:$AC$1407,$AG1061)+1))</f>
        <v/>
      </c>
      <c r="P1061" s="109" t="str">
        <f>IF($AG1061="","",INDEX($AD$8:$AD$1407,$AG1061))</f>
        <v/>
      </c>
      <c r="Q1061" s="92" t="str">
        <f>IF($AG1061="","",INDEX($AM$8:$AM$21,INDEX($AC$8:$AC$1407,$AG1061)+1))</f>
        <v/>
      </c>
      <c r="R1061" s="92" t="str">
        <f>IF($AG1061="","",IF($G1061&gt;0,P_ToelCorrectie&amp;"",""))</f>
        <v/>
      </c>
      <c r="S1061" s="15" t="str">
        <f>IF(J1061="","",J1061&amp;"|"&amp;E1061&amp;"|"&amp;F1061&amp;"|"&amp;I1061&amp;"|"&amp;O1061)</f>
        <v/>
      </c>
      <c r="T1061" s="111" t="str">
        <f>IF(S1061="","",IF(COUNTIFS(L_Sleutel,S1061,L_Actief,1)=0,"",SUMIFS(L_Waarde,L_Sleutel,S1061,L_Actief,1)))</f>
        <v/>
      </c>
      <c r="U1061" s="111">
        <f>IF(OR(S1061="",T1061=""),0,P1061-T1061)</f>
        <v>0</v>
      </c>
      <c r="AB1061" s="112" t="n">
        <v>76</v>
      </c>
      <c r="AC1061" s="112" t="n">
        <v>3</v>
      </c>
      <c r="AD1061" s="112" t="str">
        <f>VERW_Project!M81</f>
        <v/>
      </c>
      <c r="AE1061" s="112">
        <f>IF(AND(VERW_Project!$A81&lt;&gt;"",ISNUMBER(AD1061)),1,0)</f>
        <v>0</v>
      </c>
      <c r="AF1061" s="112" t="str">
        <f>IF(AE1061=1,SUM($AE$8:AE1061),"")</f>
        <v/>
      </c>
      <c r="AG1061" t="str">
        <f>IFERROR(MATCH(1054,$AF$8:$AF$1407,0),"")</f>
        <v/>
      </c>
    </row>
    <row r="1062">
      <c r="A1062" s="92" t="str">
        <f>IF($AG1062="","",P_ImportID)</f>
        <v/>
      </c>
      <c r="B1062" s="92" t="str">
        <f>IF($AG1062="","",IF(INDEX($AN$8:$AN$21,INDEX($AC$8:$AC$1407,$AG1062)+1)="Z",P_BronZ,P_BronE))</f>
        <v/>
      </c>
      <c r="C1062" s="108" t="str">
        <f>IF($AG1062="","",P_Importdatum)</f>
        <v/>
      </c>
      <c r="D1062" s="92" t="str">
        <f>IF($AG1062="","",P_StatusVastleg)</f>
        <v/>
      </c>
      <c r="E1062" s="92" t="str">
        <f>IF($AG1062="","",P_UploadVJ)</f>
        <v/>
      </c>
      <c r="F1062" s="92" t="str">
        <f>IF($AG1062="","",P_UploadVersie)</f>
        <v/>
      </c>
      <c r="G1062" s="92" t="str">
        <f>IF($AG1062="","",IF(COUNTIFS(L_Sleutel,$S1062,L_Status,"Vastgesteld")=0,0,_xlfn.MAXIFS(L_Revisie,L_Sleutel,$S1062,L_Status,"Vastgesteld")+1))</f>
        <v/>
      </c>
      <c r="H1062" s="108" t="str">
        <f>IF($AG1062="","",P_Peildatum)</f>
        <v/>
      </c>
      <c r="I1062" s="92" t="str">
        <f>IF($AG1062="","",P_RJ+INDEX($AK$8:$AK$21,INDEX($AC$8:$AC$1407,$AG1062)+1))</f>
        <v/>
      </c>
      <c r="J1062" s="92" t="str">
        <f>IF($AG1062="","",INDEX(V_WBS,INDEX($AB$8:$AB$1407,$AG1062)))</f>
        <v/>
      </c>
      <c r="K1062" s="92" t="str">
        <f>IF($AG1062="","",INDEX(V_Projdef,INDEX($AB$8:$AB$1407,$AG1062)))</f>
        <v/>
      </c>
      <c r="L1062" s="92" t="str">
        <f>IF($AG1062="","",INDEX(V_Naam,INDEX($AB$8:$AB$1407,$AG1062)))</f>
        <v/>
      </c>
      <c r="M1062" s="92" t="str">
        <f>IF($AG1062="","",INDEX(V_Type,INDEX($AB$8:$AB$1407,$AG1062)))</f>
        <v/>
      </c>
      <c r="N1062" s="92" t="str">
        <f>IF($AG1062="","",INDEX(V_IFRS,INDEX($AB$8:$AB$1407,$AG1062)))</f>
        <v/>
      </c>
      <c r="O1062" s="92" t="str">
        <f>IF($AG1062="","",INDEX($AL$8:$AL$21,INDEX($AC$8:$AC$1407,$AG1062)+1))</f>
        <v/>
      </c>
      <c r="P1062" s="109" t="str">
        <f>IF($AG1062="","",INDEX($AD$8:$AD$1407,$AG1062))</f>
        <v/>
      </c>
      <c r="Q1062" s="92" t="str">
        <f>IF($AG1062="","",INDEX($AM$8:$AM$21,INDEX($AC$8:$AC$1407,$AG1062)+1))</f>
        <v/>
      </c>
      <c r="R1062" s="92" t="str">
        <f>IF($AG1062="","",IF($G1062&gt;0,P_ToelCorrectie&amp;"",""))</f>
        <v/>
      </c>
      <c r="S1062" s="15" t="str">
        <f>IF(J1062="","",J1062&amp;"|"&amp;E1062&amp;"|"&amp;F1062&amp;"|"&amp;I1062&amp;"|"&amp;O1062)</f>
        <v/>
      </c>
      <c r="T1062" s="111" t="str">
        <f>IF(S1062="","",IF(COUNTIFS(L_Sleutel,S1062,L_Actief,1)=0,"",SUMIFS(L_Waarde,L_Sleutel,S1062,L_Actief,1)))</f>
        <v/>
      </c>
      <c r="U1062" s="111">
        <f>IF(OR(S1062="",T1062=""),0,P1062-T1062)</f>
        <v>0</v>
      </c>
      <c r="AB1062" s="112" t="n">
        <v>76</v>
      </c>
      <c r="AC1062" s="112" t="n">
        <v>4</v>
      </c>
      <c r="AD1062" s="112" t="str">
        <f>VERW_Project!R81</f>
        <v/>
      </c>
      <c r="AE1062" s="112">
        <f>IF(AND(VERW_Project!$A81&lt;&gt;"",ISNUMBER(AD1062)),1,0)</f>
        <v>0</v>
      </c>
      <c r="AF1062" s="112" t="str">
        <f>IF(AE1062=1,SUM($AE$8:AE1062),"")</f>
        <v/>
      </c>
      <c r="AG1062" t="str">
        <f>IFERROR(MATCH(1055,$AF$8:$AF$1407,0),"")</f>
        <v/>
      </c>
    </row>
    <row r="1063">
      <c r="A1063" s="92" t="str">
        <f>IF($AG1063="","",P_ImportID)</f>
        <v/>
      </c>
      <c r="B1063" s="92" t="str">
        <f>IF($AG1063="","",IF(INDEX($AN$8:$AN$21,INDEX($AC$8:$AC$1407,$AG1063)+1)="Z",P_BronZ,P_BronE))</f>
        <v/>
      </c>
      <c r="C1063" s="108" t="str">
        <f>IF($AG1063="","",P_Importdatum)</f>
        <v/>
      </c>
      <c r="D1063" s="92" t="str">
        <f>IF($AG1063="","",P_StatusVastleg)</f>
        <v/>
      </c>
      <c r="E1063" s="92" t="str">
        <f>IF($AG1063="","",P_UploadVJ)</f>
        <v/>
      </c>
      <c r="F1063" s="92" t="str">
        <f>IF($AG1063="","",P_UploadVersie)</f>
        <v/>
      </c>
      <c r="G1063" s="92" t="str">
        <f>IF($AG1063="","",IF(COUNTIFS(L_Sleutel,$S1063,L_Status,"Vastgesteld")=0,0,_xlfn.MAXIFS(L_Revisie,L_Sleutel,$S1063,L_Status,"Vastgesteld")+1))</f>
        <v/>
      </c>
      <c r="H1063" s="108" t="str">
        <f>IF($AG1063="","",P_Peildatum)</f>
        <v/>
      </c>
      <c r="I1063" s="92" t="str">
        <f>IF($AG1063="","",P_RJ+INDEX($AK$8:$AK$21,INDEX($AC$8:$AC$1407,$AG1063)+1))</f>
        <v/>
      </c>
      <c r="J1063" s="92" t="str">
        <f>IF($AG1063="","",INDEX(V_WBS,INDEX($AB$8:$AB$1407,$AG1063)))</f>
        <v/>
      </c>
      <c r="K1063" s="92" t="str">
        <f>IF($AG1063="","",INDEX(V_Projdef,INDEX($AB$8:$AB$1407,$AG1063)))</f>
        <v/>
      </c>
      <c r="L1063" s="92" t="str">
        <f>IF($AG1063="","",INDEX(V_Naam,INDEX($AB$8:$AB$1407,$AG1063)))</f>
        <v/>
      </c>
      <c r="M1063" s="92" t="str">
        <f>IF($AG1063="","",INDEX(V_Type,INDEX($AB$8:$AB$1407,$AG1063)))</f>
        <v/>
      </c>
      <c r="N1063" s="92" t="str">
        <f>IF($AG1063="","",INDEX(V_IFRS,INDEX($AB$8:$AB$1407,$AG1063)))</f>
        <v/>
      </c>
      <c r="O1063" s="92" t="str">
        <f>IF($AG1063="","",INDEX($AL$8:$AL$21,INDEX($AC$8:$AC$1407,$AG1063)+1))</f>
        <v/>
      </c>
      <c r="P1063" s="109" t="str">
        <f>IF($AG1063="","",INDEX($AD$8:$AD$1407,$AG1063))</f>
        <v/>
      </c>
      <c r="Q1063" s="92" t="str">
        <f>IF($AG1063="","",INDEX($AM$8:$AM$21,INDEX($AC$8:$AC$1407,$AG1063)+1))</f>
        <v/>
      </c>
      <c r="R1063" s="92" t="str">
        <f>IF($AG1063="","",IF($G1063&gt;0,P_ToelCorrectie&amp;"",""))</f>
        <v/>
      </c>
      <c r="S1063" s="15" t="str">
        <f>IF(J1063="","",J1063&amp;"|"&amp;E1063&amp;"|"&amp;F1063&amp;"|"&amp;I1063&amp;"|"&amp;O1063)</f>
        <v/>
      </c>
      <c r="T1063" s="111" t="str">
        <f>IF(S1063="","",IF(COUNTIFS(L_Sleutel,S1063,L_Actief,1)=0,"",SUMIFS(L_Waarde,L_Sleutel,S1063,L_Actief,1)))</f>
        <v/>
      </c>
      <c r="U1063" s="111">
        <f>IF(OR(S1063="",T1063=""),0,P1063-T1063)</f>
        <v>0</v>
      </c>
      <c r="AB1063" s="112" t="n">
        <v>76</v>
      </c>
      <c r="AC1063" s="112" t="n">
        <v>5</v>
      </c>
      <c r="AD1063" s="112" t="str">
        <f>VERW_Project!S81</f>
        <v/>
      </c>
      <c r="AE1063" s="112">
        <f>IF(AND(VERW_Project!$A81&lt;&gt;"",ISNUMBER(AD1063)),1,0)</f>
        <v>0</v>
      </c>
      <c r="AF1063" s="112" t="str">
        <f>IF(AE1063=1,SUM($AE$8:AE1063),"")</f>
        <v/>
      </c>
      <c r="AG1063" t="str">
        <f>IFERROR(MATCH(1056,$AF$8:$AF$1407,0),"")</f>
        <v/>
      </c>
    </row>
    <row r="1064">
      <c r="A1064" s="92" t="str">
        <f>IF($AG1064="","",P_ImportID)</f>
        <v/>
      </c>
      <c r="B1064" s="92" t="str">
        <f>IF($AG1064="","",IF(INDEX($AN$8:$AN$21,INDEX($AC$8:$AC$1407,$AG1064)+1)="Z",P_BronZ,P_BronE))</f>
        <v/>
      </c>
      <c r="C1064" s="108" t="str">
        <f>IF($AG1064="","",P_Importdatum)</f>
        <v/>
      </c>
      <c r="D1064" s="92" t="str">
        <f>IF($AG1064="","",P_StatusVastleg)</f>
        <v/>
      </c>
      <c r="E1064" s="92" t="str">
        <f>IF($AG1064="","",P_UploadVJ)</f>
        <v/>
      </c>
      <c r="F1064" s="92" t="str">
        <f>IF($AG1064="","",P_UploadVersie)</f>
        <v/>
      </c>
      <c r="G1064" s="92" t="str">
        <f>IF($AG1064="","",IF(COUNTIFS(L_Sleutel,$S1064,L_Status,"Vastgesteld")=0,0,_xlfn.MAXIFS(L_Revisie,L_Sleutel,$S1064,L_Status,"Vastgesteld")+1))</f>
        <v/>
      </c>
      <c r="H1064" s="108" t="str">
        <f>IF($AG1064="","",P_Peildatum)</f>
        <v/>
      </c>
      <c r="I1064" s="92" t="str">
        <f>IF($AG1064="","",P_RJ+INDEX($AK$8:$AK$21,INDEX($AC$8:$AC$1407,$AG1064)+1))</f>
        <v/>
      </c>
      <c r="J1064" s="92" t="str">
        <f>IF($AG1064="","",INDEX(V_WBS,INDEX($AB$8:$AB$1407,$AG1064)))</f>
        <v/>
      </c>
      <c r="K1064" s="92" t="str">
        <f>IF($AG1064="","",INDEX(V_Projdef,INDEX($AB$8:$AB$1407,$AG1064)))</f>
        <v/>
      </c>
      <c r="L1064" s="92" t="str">
        <f>IF($AG1064="","",INDEX(V_Naam,INDEX($AB$8:$AB$1407,$AG1064)))</f>
        <v/>
      </c>
      <c r="M1064" s="92" t="str">
        <f>IF($AG1064="","",INDEX(V_Type,INDEX($AB$8:$AB$1407,$AG1064)))</f>
        <v/>
      </c>
      <c r="N1064" s="92" t="str">
        <f>IF($AG1064="","",INDEX(V_IFRS,INDEX($AB$8:$AB$1407,$AG1064)))</f>
        <v/>
      </c>
      <c r="O1064" s="92" t="str">
        <f>IF($AG1064="","",INDEX($AL$8:$AL$21,INDEX($AC$8:$AC$1407,$AG1064)+1))</f>
        <v/>
      </c>
      <c r="P1064" s="109" t="str">
        <f>IF($AG1064="","",INDEX($AD$8:$AD$1407,$AG1064))</f>
        <v/>
      </c>
      <c r="Q1064" s="92" t="str">
        <f>IF($AG1064="","",INDEX($AM$8:$AM$21,INDEX($AC$8:$AC$1407,$AG1064)+1))</f>
        <v/>
      </c>
      <c r="R1064" s="92" t="str">
        <f>IF($AG1064="","",IF($G1064&gt;0,P_ToelCorrectie&amp;"",""))</f>
        <v/>
      </c>
      <c r="S1064" s="15" t="str">
        <f>IF(J1064="","",J1064&amp;"|"&amp;E1064&amp;"|"&amp;F1064&amp;"|"&amp;I1064&amp;"|"&amp;O1064)</f>
        <v/>
      </c>
      <c r="T1064" s="111" t="str">
        <f>IF(S1064="","",IF(COUNTIFS(L_Sleutel,S1064,L_Actief,1)=0,"",SUMIFS(L_Waarde,L_Sleutel,S1064,L_Actief,1)))</f>
        <v/>
      </c>
      <c r="U1064" s="111">
        <f>IF(OR(S1064="",T1064=""),0,P1064-T1064)</f>
        <v>0</v>
      </c>
      <c r="AB1064" s="112" t="n">
        <v>76</v>
      </c>
      <c r="AC1064" s="112" t="n">
        <v>6</v>
      </c>
      <c r="AD1064" s="112" t="str">
        <f>VERW_Project!BW81</f>
        <v/>
      </c>
      <c r="AE1064" s="112">
        <f>IF(AND(VERW_Project!$A81&lt;&gt;"",ISNUMBER(AD1064)),1,0)</f>
        <v>0</v>
      </c>
      <c r="AF1064" s="112" t="str">
        <f>IF(AE1064=1,SUM($AE$8:AE1064),"")</f>
        <v/>
      </c>
      <c r="AG1064" t="str">
        <f>IFERROR(MATCH(1057,$AF$8:$AF$1407,0),"")</f>
        <v/>
      </c>
    </row>
    <row r="1065">
      <c r="A1065" s="92" t="str">
        <f>IF($AG1065="","",P_ImportID)</f>
        <v/>
      </c>
      <c r="B1065" s="92" t="str">
        <f>IF($AG1065="","",IF(INDEX($AN$8:$AN$21,INDEX($AC$8:$AC$1407,$AG1065)+1)="Z",P_BronZ,P_BronE))</f>
        <v/>
      </c>
      <c r="C1065" s="108" t="str">
        <f>IF($AG1065="","",P_Importdatum)</f>
        <v/>
      </c>
      <c r="D1065" s="92" t="str">
        <f>IF($AG1065="","",P_StatusVastleg)</f>
        <v/>
      </c>
      <c r="E1065" s="92" t="str">
        <f>IF($AG1065="","",P_UploadVJ)</f>
        <v/>
      </c>
      <c r="F1065" s="92" t="str">
        <f>IF($AG1065="","",P_UploadVersie)</f>
        <v/>
      </c>
      <c r="G1065" s="92" t="str">
        <f>IF($AG1065="","",IF(COUNTIFS(L_Sleutel,$S1065,L_Status,"Vastgesteld")=0,0,_xlfn.MAXIFS(L_Revisie,L_Sleutel,$S1065,L_Status,"Vastgesteld")+1))</f>
        <v/>
      </c>
      <c r="H1065" s="108" t="str">
        <f>IF($AG1065="","",P_Peildatum)</f>
        <v/>
      </c>
      <c r="I1065" s="92" t="str">
        <f>IF($AG1065="","",P_RJ+INDEX($AK$8:$AK$21,INDEX($AC$8:$AC$1407,$AG1065)+1))</f>
        <v/>
      </c>
      <c r="J1065" s="92" t="str">
        <f>IF($AG1065="","",INDEX(V_WBS,INDEX($AB$8:$AB$1407,$AG1065)))</f>
        <v/>
      </c>
      <c r="K1065" s="92" t="str">
        <f>IF($AG1065="","",INDEX(V_Projdef,INDEX($AB$8:$AB$1407,$AG1065)))</f>
        <v/>
      </c>
      <c r="L1065" s="92" t="str">
        <f>IF($AG1065="","",INDEX(V_Naam,INDEX($AB$8:$AB$1407,$AG1065)))</f>
        <v/>
      </c>
      <c r="M1065" s="92" t="str">
        <f>IF($AG1065="","",INDEX(V_Type,INDEX($AB$8:$AB$1407,$AG1065)))</f>
        <v/>
      </c>
      <c r="N1065" s="92" t="str">
        <f>IF($AG1065="","",INDEX(V_IFRS,INDEX($AB$8:$AB$1407,$AG1065)))</f>
        <v/>
      </c>
      <c r="O1065" s="92" t="str">
        <f>IF($AG1065="","",INDEX($AL$8:$AL$21,INDEX($AC$8:$AC$1407,$AG1065)+1))</f>
        <v/>
      </c>
      <c r="P1065" s="109" t="str">
        <f>IF($AG1065="","",INDEX($AD$8:$AD$1407,$AG1065))</f>
        <v/>
      </c>
      <c r="Q1065" s="92" t="str">
        <f>IF($AG1065="","",INDEX($AM$8:$AM$21,INDEX($AC$8:$AC$1407,$AG1065)+1))</f>
        <v/>
      </c>
      <c r="R1065" s="92" t="str">
        <f>IF($AG1065="","",IF($G1065&gt;0,P_ToelCorrectie&amp;"",""))</f>
        <v/>
      </c>
      <c r="S1065" s="15" t="str">
        <f>IF(J1065="","",J1065&amp;"|"&amp;E1065&amp;"|"&amp;F1065&amp;"|"&amp;I1065&amp;"|"&amp;O1065)</f>
        <v/>
      </c>
      <c r="T1065" s="111" t="str">
        <f>IF(S1065="","",IF(COUNTIFS(L_Sleutel,S1065,L_Actief,1)=0,"",SUMIFS(L_Waarde,L_Sleutel,S1065,L_Actief,1)))</f>
        <v/>
      </c>
      <c r="U1065" s="111">
        <f>IF(OR(S1065="",T1065=""),0,P1065-T1065)</f>
        <v>0</v>
      </c>
      <c r="AB1065" s="112" t="n">
        <v>76</v>
      </c>
      <c r="AC1065" s="112" t="n">
        <v>7</v>
      </c>
      <c r="AD1065" s="112" t="str">
        <f>VERW_Project!AW81</f>
        <v/>
      </c>
      <c r="AE1065" s="112">
        <f>IF(AND(VERW_Project!$A81&lt;&gt;"",ISNUMBER(AD1065)),1,0)</f>
        <v>0</v>
      </c>
      <c r="AF1065" s="112" t="str">
        <f>IF(AE1065=1,SUM($AE$8:AE1065),"")</f>
        <v/>
      </c>
      <c r="AG1065" t="str">
        <f>IFERROR(MATCH(1058,$AF$8:$AF$1407,0),"")</f>
        <v/>
      </c>
    </row>
    <row r="1066">
      <c r="A1066" s="92" t="str">
        <f>IF($AG1066="","",P_ImportID)</f>
        <v/>
      </c>
      <c r="B1066" s="92" t="str">
        <f>IF($AG1066="","",IF(INDEX($AN$8:$AN$21,INDEX($AC$8:$AC$1407,$AG1066)+1)="Z",P_BronZ,P_BronE))</f>
        <v/>
      </c>
      <c r="C1066" s="108" t="str">
        <f>IF($AG1066="","",P_Importdatum)</f>
        <v/>
      </c>
      <c r="D1066" s="92" t="str">
        <f>IF($AG1066="","",P_StatusVastleg)</f>
        <v/>
      </c>
      <c r="E1066" s="92" t="str">
        <f>IF($AG1066="","",P_UploadVJ)</f>
        <v/>
      </c>
      <c r="F1066" s="92" t="str">
        <f>IF($AG1066="","",P_UploadVersie)</f>
        <v/>
      </c>
      <c r="G1066" s="92" t="str">
        <f>IF($AG1066="","",IF(COUNTIFS(L_Sleutel,$S1066,L_Status,"Vastgesteld")=0,0,_xlfn.MAXIFS(L_Revisie,L_Sleutel,$S1066,L_Status,"Vastgesteld")+1))</f>
        <v/>
      </c>
      <c r="H1066" s="108" t="str">
        <f>IF($AG1066="","",P_Peildatum)</f>
        <v/>
      </c>
      <c r="I1066" s="92" t="str">
        <f>IF($AG1066="","",P_RJ+INDEX($AK$8:$AK$21,INDEX($AC$8:$AC$1407,$AG1066)+1))</f>
        <v/>
      </c>
      <c r="J1066" s="92" t="str">
        <f>IF($AG1066="","",INDEX(V_WBS,INDEX($AB$8:$AB$1407,$AG1066)))</f>
        <v/>
      </c>
      <c r="K1066" s="92" t="str">
        <f>IF($AG1066="","",INDEX(V_Projdef,INDEX($AB$8:$AB$1407,$AG1066)))</f>
        <v/>
      </c>
      <c r="L1066" s="92" t="str">
        <f>IF($AG1066="","",INDEX(V_Naam,INDEX($AB$8:$AB$1407,$AG1066)))</f>
        <v/>
      </c>
      <c r="M1066" s="92" t="str">
        <f>IF($AG1066="","",INDEX(V_Type,INDEX($AB$8:$AB$1407,$AG1066)))</f>
        <v/>
      </c>
      <c r="N1066" s="92" t="str">
        <f>IF($AG1066="","",INDEX(V_IFRS,INDEX($AB$8:$AB$1407,$AG1066)))</f>
        <v/>
      </c>
      <c r="O1066" s="92" t="str">
        <f>IF($AG1066="","",INDEX($AL$8:$AL$21,INDEX($AC$8:$AC$1407,$AG1066)+1))</f>
        <v/>
      </c>
      <c r="P1066" s="109" t="str">
        <f>IF($AG1066="","",INDEX($AD$8:$AD$1407,$AG1066))</f>
        <v/>
      </c>
      <c r="Q1066" s="92" t="str">
        <f>IF($AG1066="","",INDEX($AM$8:$AM$21,INDEX($AC$8:$AC$1407,$AG1066)+1))</f>
        <v/>
      </c>
      <c r="R1066" s="92" t="str">
        <f>IF($AG1066="","",IF($G1066&gt;0,P_ToelCorrectie&amp;"",""))</f>
        <v/>
      </c>
      <c r="S1066" s="15" t="str">
        <f>IF(J1066="","",J1066&amp;"|"&amp;E1066&amp;"|"&amp;F1066&amp;"|"&amp;I1066&amp;"|"&amp;O1066)</f>
        <v/>
      </c>
      <c r="T1066" s="111" t="str">
        <f>IF(S1066="","",IF(COUNTIFS(L_Sleutel,S1066,L_Actief,1)=0,"",SUMIFS(L_Waarde,L_Sleutel,S1066,L_Actief,1)))</f>
        <v/>
      </c>
      <c r="U1066" s="111">
        <f>IF(OR(S1066="",T1066=""),0,P1066-T1066)</f>
        <v>0</v>
      </c>
      <c r="AB1066" s="112" t="n">
        <v>76</v>
      </c>
      <c r="AC1066" s="112" t="n">
        <v>8</v>
      </c>
      <c r="AD1066" s="112" t="str">
        <f>VERW_Project!BQ81</f>
        <v/>
      </c>
      <c r="AE1066" s="112">
        <f>IF(AND(VERW_Project!$A81&lt;&gt;"",ISNUMBER(AD1066)),1,0)</f>
        <v>0</v>
      </c>
      <c r="AF1066" s="112" t="str">
        <f>IF(AE1066=1,SUM($AE$8:AE1066),"")</f>
        <v/>
      </c>
      <c r="AG1066" t="str">
        <f>IFERROR(MATCH(1059,$AF$8:$AF$1407,0),"")</f>
        <v/>
      </c>
    </row>
    <row r="1067">
      <c r="A1067" s="92" t="str">
        <f>IF($AG1067="","",P_ImportID)</f>
        <v/>
      </c>
      <c r="B1067" s="92" t="str">
        <f>IF($AG1067="","",IF(INDEX($AN$8:$AN$21,INDEX($AC$8:$AC$1407,$AG1067)+1)="Z",P_BronZ,P_BronE))</f>
        <v/>
      </c>
      <c r="C1067" s="108" t="str">
        <f>IF($AG1067="","",P_Importdatum)</f>
        <v/>
      </c>
      <c r="D1067" s="92" t="str">
        <f>IF($AG1067="","",P_StatusVastleg)</f>
        <v/>
      </c>
      <c r="E1067" s="92" t="str">
        <f>IF($AG1067="","",P_UploadVJ)</f>
        <v/>
      </c>
      <c r="F1067" s="92" t="str">
        <f>IF($AG1067="","",P_UploadVersie)</f>
        <v/>
      </c>
      <c r="G1067" s="92" t="str">
        <f>IF($AG1067="","",IF(COUNTIFS(L_Sleutel,$S1067,L_Status,"Vastgesteld")=0,0,_xlfn.MAXIFS(L_Revisie,L_Sleutel,$S1067,L_Status,"Vastgesteld")+1))</f>
        <v/>
      </c>
      <c r="H1067" s="108" t="str">
        <f>IF($AG1067="","",P_Peildatum)</f>
        <v/>
      </c>
      <c r="I1067" s="92" t="str">
        <f>IF($AG1067="","",P_RJ+INDEX($AK$8:$AK$21,INDEX($AC$8:$AC$1407,$AG1067)+1))</f>
        <v/>
      </c>
      <c r="J1067" s="92" t="str">
        <f>IF($AG1067="","",INDEX(V_WBS,INDEX($AB$8:$AB$1407,$AG1067)))</f>
        <v/>
      </c>
      <c r="K1067" s="92" t="str">
        <f>IF($AG1067="","",INDEX(V_Projdef,INDEX($AB$8:$AB$1407,$AG1067)))</f>
        <v/>
      </c>
      <c r="L1067" s="92" t="str">
        <f>IF($AG1067="","",INDEX(V_Naam,INDEX($AB$8:$AB$1407,$AG1067)))</f>
        <v/>
      </c>
      <c r="M1067" s="92" t="str">
        <f>IF($AG1067="","",INDEX(V_Type,INDEX($AB$8:$AB$1407,$AG1067)))</f>
        <v/>
      </c>
      <c r="N1067" s="92" t="str">
        <f>IF($AG1067="","",INDEX(V_IFRS,INDEX($AB$8:$AB$1407,$AG1067)))</f>
        <v/>
      </c>
      <c r="O1067" s="92" t="str">
        <f>IF($AG1067="","",INDEX($AL$8:$AL$21,INDEX($AC$8:$AC$1407,$AG1067)+1))</f>
        <v/>
      </c>
      <c r="P1067" s="109" t="str">
        <f>IF($AG1067="","",INDEX($AD$8:$AD$1407,$AG1067))</f>
        <v/>
      </c>
      <c r="Q1067" s="92" t="str">
        <f>IF($AG1067="","",INDEX($AM$8:$AM$21,INDEX($AC$8:$AC$1407,$AG1067)+1))</f>
        <v/>
      </c>
      <c r="R1067" s="92" t="str">
        <f>IF($AG1067="","",IF($G1067&gt;0,P_ToelCorrectie&amp;"",""))</f>
        <v/>
      </c>
      <c r="S1067" s="15" t="str">
        <f>IF(J1067="","",J1067&amp;"|"&amp;E1067&amp;"|"&amp;F1067&amp;"|"&amp;I1067&amp;"|"&amp;O1067)</f>
        <v/>
      </c>
      <c r="T1067" s="111" t="str">
        <f>IF(S1067="","",IF(COUNTIFS(L_Sleutel,S1067,L_Actief,1)=0,"",SUMIFS(L_Waarde,L_Sleutel,S1067,L_Actief,1)))</f>
        <v/>
      </c>
      <c r="U1067" s="111">
        <f>IF(OR(S1067="",T1067=""),0,P1067-T1067)</f>
        <v>0</v>
      </c>
      <c r="AB1067" s="112" t="n">
        <v>76</v>
      </c>
      <c r="AC1067" s="112" t="n">
        <v>9</v>
      </c>
      <c r="AD1067" s="112" t="str">
        <f>VERW_Project!BR81</f>
        <v/>
      </c>
      <c r="AE1067" s="112">
        <f>IF(AND(VERW_Project!$A81&lt;&gt;"",ISNUMBER(AD1067)),1,0)</f>
        <v>0</v>
      </c>
      <c r="AF1067" s="112" t="str">
        <f>IF(AE1067=1,SUM($AE$8:AE1067),"")</f>
        <v/>
      </c>
      <c r="AG1067" t="str">
        <f>IFERROR(MATCH(1060,$AF$8:$AF$1407,0),"")</f>
        <v/>
      </c>
    </row>
    <row r="1068">
      <c r="A1068" s="92" t="str">
        <f>IF($AG1068="","",P_ImportID)</f>
        <v/>
      </c>
      <c r="B1068" s="92" t="str">
        <f>IF($AG1068="","",IF(INDEX($AN$8:$AN$21,INDEX($AC$8:$AC$1407,$AG1068)+1)="Z",P_BronZ,P_BronE))</f>
        <v/>
      </c>
      <c r="C1068" s="108" t="str">
        <f>IF($AG1068="","",P_Importdatum)</f>
        <v/>
      </c>
      <c r="D1068" s="92" t="str">
        <f>IF($AG1068="","",P_StatusVastleg)</f>
        <v/>
      </c>
      <c r="E1068" s="92" t="str">
        <f>IF($AG1068="","",P_UploadVJ)</f>
        <v/>
      </c>
      <c r="F1068" s="92" t="str">
        <f>IF($AG1068="","",P_UploadVersie)</f>
        <v/>
      </c>
      <c r="G1068" s="92" t="str">
        <f>IF($AG1068="","",IF(COUNTIFS(L_Sleutel,$S1068,L_Status,"Vastgesteld")=0,0,_xlfn.MAXIFS(L_Revisie,L_Sleutel,$S1068,L_Status,"Vastgesteld")+1))</f>
        <v/>
      </c>
      <c r="H1068" s="108" t="str">
        <f>IF($AG1068="","",P_Peildatum)</f>
        <v/>
      </c>
      <c r="I1068" s="92" t="str">
        <f>IF($AG1068="","",P_RJ+INDEX($AK$8:$AK$21,INDEX($AC$8:$AC$1407,$AG1068)+1))</f>
        <v/>
      </c>
      <c r="J1068" s="92" t="str">
        <f>IF($AG1068="","",INDEX(V_WBS,INDEX($AB$8:$AB$1407,$AG1068)))</f>
        <v/>
      </c>
      <c r="K1068" s="92" t="str">
        <f>IF($AG1068="","",INDEX(V_Projdef,INDEX($AB$8:$AB$1407,$AG1068)))</f>
        <v/>
      </c>
      <c r="L1068" s="92" t="str">
        <f>IF($AG1068="","",INDEX(V_Naam,INDEX($AB$8:$AB$1407,$AG1068)))</f>
        <v/>
      </c>
      <c r="M1068" s="92" t="str">
        <f>IF($AG1068="","",INDEX(V_Type,INDEX($AB$8:$AB$1407,$AG1068)))</f>
        <v/>
      </c>
      <c r="N1068" s="92" t="str">
        <f>IF($AG1068="","",INDEX(V_IFRS,INDEX($AB$8:$AB$1407,$AG1068)))</f>
        <v/>
      </c>
      <c r="O1068" s="92" t="str">
        <f>IF($AG1068="","",INDEX($AL$8:$AL$21,INDEX($AC$8:$AC$1407,$AG1068)+1))</f>
        <v/>
      </c>
      <c r="P1068" s="109" t="str">
        <f>IF($AG1068="","",INDEX($AD$8:$AD$1407,$AG1068))</f>
        <v/>
      </c>
      <c r="Q1068" s="92" t="str">
        <f>IF($AG1068="","",INDEX($AM$8:$AM$21,INDEX($AC$8:$AC$1407,$AG1068)+1))</f>
        <v/>
      </c>
      <c r="R1068" s="92" t="str">
        <f>IF($AG1068="","",IF($G1068&gt;0,P_ToelCorrectie&amp;"",""))</f>
        <v/>
      </c>
      <c r="S1068" s="15" t="str">
        <f>IF(J1068="","",J1068&amp;"|"&amp;E1068&amp;"|"&amp;F1068&amp;"|"&amp;I1068&amp;"|"&amp;O1068)</f>
        <v/>
      </c>
      <c r="T1068" s="111" t="str">
        <f>IF(S1068="","",IF(COUNTIFS(L_Sleutel,S1068,L_Actief,1)=0,"",SUMIFS(L_Waarde,L_Sleutel,S1068,L_Actief,1)))</f>
        <v/>
      </c>
      <c r="U1068" s="111">
        <f>IF(OR(S1068="",T1068=""),0,P1068-T1068)</f>
        <v>0</v>
      </c>
      <c r="AB1068" s="112" t="n">
        <v>76</v>
      </c>
      <c r="AC1068" s="112" t="n">
        <v>10</v>
      </c>
      <c r="AD1068" s="112" t="str">
        <f>VERW_Project!BS81</f>
        <v/>
      </c>
      <c r="AE1068" s="112">
        <f>IF(AND(VERW_Project!$A81&lt;&gt;"",ISNUMBER(AD1068)),1,0)</f>
        <v>0</v>
      </c>
      <c r="AF1068" s="112" t="str">
        <f>IF(AE1068=1,SUM($AE$8:AE1068),"")</f>
        <v/>
      </c>
      <c r="AG1068" t="str">
        <f>IFERROR(MATCH(1061,$AF$8:$AF$1407,0),"")</f>
        <v/>
      </c>
    </row>
    <row r="1069">
      <c r="A1069" s="92" t="str">
        <f>IF($AG1069="","",P_ImportID)</f>
        <v/>
      </c>
      <c r="B1069" s="92" t="str">
        <f>IF($AG1069="","",IF(INDEX($AN$8:$AN$21,INDEX($AC$8:$AC$1407,$AG1069)+1)="Z",P_BronZ,P_BronE))</f>
        <v/>
      </c>
      <c r="C1069" s="108" t="str">
        <f>IF($AG1069="","",P_Importdatum)</f>
        <v/>
      </c>
      <c r="D1069" s="92" t="str">
        <f>IF($AG1069="","",P_StatusVastleg)</f>
        <v/>
      </c>
      <c r="E1069" s="92" t="str">
        <f>IF($AG1069="","",P_UploadVJ)</f>
        <v/>
      </c>
      <c r="F1069" s="92" t="str">
        <f>IF($AG1069="","",P_UploadVersie)</f>
        <v/>
      </c>
      <c r="G1069" s="92" t="str">
        <f>IF($AG1069="","",IF(COUNTIFS(L_Sleutel,$S1069,L_Status,"Vastgesteld")=0,0,_xlfn.MAXIFS(L_Revisie,L_Sleutel,$S1069,L_Status,"Vastgesteld")+1))</f>
        <v/>
      </c>
      <c r="H1069" s="108" t="str">
        <f>IF($AG1069="","",P_Peildatum)</f>
        <v/>
      </c>
      <c r="I1069" s="92" t="str">
        <f>IF($AG1069="","",P_RJ+INDEX($AK$8:$AK$21,INDEX($AC$8:$AC$1407,$AG1069)+1))</f>
        <v/>
      </c>
      <c r="J1069" s="92" t="str">
        <f>IF($AG1069="","",INDEX(V_WBS,INDEX($AB$8:$AB$1407,$AG1069)))</f>
        <v/>
      </c>
      <c r="K1069" s="92" t="str">
        <f>IF($AG1069="","",INDEX(V_Projdef,INDEX($AB$8:$AB$1407,$AG1069)))</f>
        <v/>
      </c>
      <c r="L1069" s="92" t="str">
        <f>IF($AG1069="","",INDEX(V_Naam,INDEX($AB$8:$AB$1407,$AG1069)))</f>
        <v/>
      </c>
      <c r="M1069" s="92" t="str">
        <f>IF($AG1069="","",INDEX(V_Type,INDEX($AB$8:$AB$1407,$AG1069)))</f>
        <v/>
      </c>
      <c r="N1069" s="92" t="str">
        <f>IF($AG1069="","",INDEX(V_IFRS,INDEX($AB$8:$AB$1407,$AG1069)))</f>
        <v/>
      </c>
      <c r="O1069" s="92" t="str">
        <f>IF($AG1069="","",INDEX($AL$8:$AL$21,INDEX($AC$8:$AC$1407,$AG1069)+1))</f>
        <v/>
      </c>
      <c r="P1069" s="109" t="str">
        <f>IF($AG1069="","",INDEX($AD$8:$AD$1407,$AG1069))</f>
        <v/>
      </c>
      <c r="Q1069" s="92" t="str">
        <f>IF($AG1069="","",INDEX($AM$8:$AM$21,INDEX($AC$8:$AC$1407,$AG1069)+1))</f>
        <v/>
      </c>
      <c r="R1069" s="92" t="str">
        <f>IF($AG1069="","",IF($G1069&gt;0,P_ToelCorrectie&amp;"",""))</f>
        <v/>
      </c>
      <c r="S1069" s="15" t="str">
        <f>IF(J1069="","",J1069&amp;"|"&amp;E1069&amp;"|"&amp;F1069&amp;"|"&amp;I1069&amp;"|"&amp;O1069)</f>
        <v/>
      </c>
      <c r="T1069" s="111" t="str">
        <f>IF(S1069="","",IF(COUNTIFS(L_Sleutel,S1069,L_Actief,1)=0,"",SUMIFS(L_Waarde,L_Sleutel,S1069,L_Actief,1)))</f>
        <v/>
      </c>
      <c r="U1069" s="111">
        <f>IF(OR(S1069="",T1069=""),0,P1069-T1069)</f>
        <v>0</v>
      </c>
      <c r="AB1069" s="112" t="n">
        <v>76</v>
      </c>
      <c r="AC1069" s="112" t="n">
        <v>11</v>
      </c>
      <c r="AD1069" s="112" t="str">
        <f>VERW_Project!BT81</f>
        <v/>
      </c>
      <c r="AE1069" s="112">
        <f>IF(AND(VERW_Project!$A81&lt;&gt;"",ISNUMBER(AD1069)),1,0)</f>
        <v>0</v>
      </c>
      <c r="AF1069" s="112" t="str">
        <f>IF(AE1069=1,SUM($AE$8:AE1069),"")</f>
        <v/>
      </c>
      <c r="AG1069" t="str">
        <f>IFERROR(MATCH(1062,$AF$8:$AF$1407,0),"")</f>
        <v/>
      </c>
    </row>
    <row r="1070">
      <c r="A1070" s="92" t="str">
        <f>IF($AG1070="","",P_ImportID)</f>
        <v/>
      </c>
      <c r="B1070" s="92" t="str">
        <f>IF($AG1070="","",IF(INDEX($AN$8:$AN$21,INDEX($AC$8:$AC$1407,$AG1070)+1)="Z",P_BronZ,P_BronE))</f>
        <v/>
      </c>
      <c r="C1070" s="108" t="str">
        <f>IF($AG1070="","",P_Importdatum)</f>
        <v/>
      </c>
      <c r="D1070" s="92" t="str">
        <f>IF($AG1070="","",P_StatusVastleg)</f>
        <v/>
      </c>
      <c r="E1070" s="92" t="str">
        <f>IF($AG1070="","",P_UploadVJ)</f>
        <v/>
      </c>
      <c r="F1070" s="92" t="str">
        <f>IF($AG1070="","",P_UploadVersie)</f>
        <v/>
      </c>
      <c r="G1070" s="92" t="str">
        <f>IF($AG1070="","",IF(COUNTIFS(L_Sleutel,$S1070,L_Status,"Vastgesteld")=0,0,_xlfn.MAXIFS(L_Revisie,L_Sleutel,$S1070,L_Status,"Vastgesteld")+1))</f>
        <v/>
      </c>
      <c r="H1070" s="108" t="str">
        <f>IF($AG1070="","",P_Peildatum)</f>
        <v/>
      </c>
      <c r="I1070" s="92" t="str">
        <f>IF($AG1070="","",P_RJ+INDEX($AK$8:$AK$21,INDEX($AC$8:$AC$1407,$AG1070)+1))</f>
        <v/>
      </c>
      <c r="J1070" s="92" t="str">
        <f>IF($AG1070="","",INDEX(V_WBS,INDEX($AB$8:$AB$1407,$AG1070)))</f>
        <v/>
      </c>
      <c r="K1070" s="92" t="str">
        <f>IF($AG1070="","",INDEX(V_Projdef,INDEX($AB$8:$AB$1407,$AG1070)))</f>
        <v/>
      </c>
      <c r="L1070" s="92" t="str">
        <f>IF($AG1070="","",INDEX(V_Naam,INDEX($AB$8:$AB$1407,$AG1070)))</f>
        <v/>
      </c>
      <c r="M1070" s="92" t="str">
        <f>IF($AG1070="","",INDEX(V_Type,INDEX($AB$8:$AB$1407,$AG1070)))</f>
        <v/>
      </c>
      <c r="N1070" s="92" t="str">
        <f>IF($AG1070="","",INDEX(V_IFRS,INDEX($AB$8:$AB$1407,$AG1070)))</f>
        <v/>
      </c>
      <c r="O1070" s="92" t="str">
        <f>IF($AG1070="","",INDEX($AL$8:$AL$21,INDEX($AC$8:$AC$1407,$AG1070)+1))</f>
        <v/>
      </c>
      <c r="P1070" s="109" t="str">
        <f>IF($AG1070="","",INDEX($AD$8:$AD$1407,$AG1070))</f>
        <v/>
      </c>
      <c r="Q1070" s="92" t="str">
        <f>IF($AG1070="","",INDEX($AM$8:$AM$21,INDEX($AC$8:$AC$1407,$AG1070)+1))</f>
        <v/>
      </c>
      <c r="R1070" s="92" t="str">
        <f>IF($AG1070="","",IF($G1070&gt;0,P_ToelCorrectie&amp;"",""))</f>
        <v/>
      </c>
      <c r="S1070" s="15" t="str">
        <f>IF(J1070="","",J1070&amp;"|"&amp;E1070&amp;"|"&amp;F1070&amp;"|"&amp;I1070&amp;"|"&amp;O1070)</f>
        <v/>
      </c>
      <c r="T1070" s="111" t="str">
        <f>IF(S1070="","",IF(COUNTIFS(L_Sleutel,S1070,L_Actief,1)=0,"",SUMIFS(L_Waarde,L_Sleutel,S1070,L_Actief,1)))</f>
        <v/>
      </c>
      <c r="U1070" s="111">
        <f>IF(OR(S1070="",T1070=""),0,P1070-T1070)</f>
        <v>0</v>
      </c>
      <c r="AB1070" s="112" t="n">
        <v>76</v>
      </c>
      <c r="AC1070" s="112" t="n">
        <v>12</v>
      </c>
      <c r="AD1070" s="112" t="str">
        <f>VERW_Project!BU81</f>
        <v/>
      </c>
      <c r="AE1070" s="112">
        <f>IF(AND(VERW_Project!$A81&lt;&gt;"",ISNUMBER(AD1070)),1,0)</f>
        <v>0</v>
      </c>
      <c r="AF1070" s="112" t="str">
        <f>IF(AE1070=1,SUM($AE$8:AE1070),"")</f>
        <v/>
      </c>
      <c r="AG1070" t="str">
        <f>IFERROR(MATCH(1063,$AF$8:$AF$1407,0),"")</f>
        <v/>
      </c>
    </row>
    <row r="1071">
      <c r="A1071" s="92" t="str">
        <f>IF($AG1071="","",P_ImportID)</f>
        <v/>
      </c>
      <c r="B1071" s="92" t="str">
        <f>IF($AG1071="","",IF(INDEX($AN$8:$AN$21,INDEX($AC$8:$AC$1407,$AG1071)+1)="Z",P_BronZ,P_BronE))</f>
        <v/>
      </c>
      <c r="C1071" s="108" t="str">
        <f>IF($AG1071="","",P_Importdatum)</f>
        <v/>
      </c>
      <c r="D1071" s="92" t="str">
        <f>IF($AG1071="","",P_StatusVastleg)</f>
        <v/>
      </c>
      <c r="E1071" s="92" t="str">
        <f>IF($AG1071="","",P_UploadVJ)</f>
        <v/>
      </c>
      <c r="F1071" s="92" t="str">
        <f>IF($AG1071="","",P_UploadVersie)</f>
        <v/>
      </c>
      <c r="G1071" s="92" t="str">
        <f>IF($AG1071="","",IF(COUNTIFS(L_Sleutel,$S1071,L_Status,"Vastgesteld")=0,0,_xlfn.MAXIFS(L_Revisie,L_Sleutel,$S1071,L_Status,"Vastgesteld")+1))</f>
        <v/>
      </c>
      <c r="H1071" s="108" t="str">
        <f>IF($AG1071="","",P_Peildatum)</f>
        <v/>
      </c>
      <c r="I1071" s="92" t="str">
        <f>IF($AG1071="","",P_RJ+INDEX($AK$8:$AK$21,INDEX($AC$8:$AC$1407,$AG1071)+1))</f>
        <v/>
      </c>
      <c r="J1071" s="92" t="str">
        <f>IF($AG1071="","",INDEX(V_WBS,INDEX($AB$8:$AB$1407,$AG1071)))</f>
        <v/>
      </c>
      <c r="K1071" s="92" t="str">
        <f>IF($AG1071="","",INDEX(V_Projdef,INDEX($AB$8:$AB$1407,$AG1071)))</f>
        <v/>
      </c>
      <c r="L1071" s="92" t="str">
        <f>IF($AG1071="","",INDEX(V_Naam,INDEX($AB$8:$AB$1407,$AG1071)))</f>
        <v/>
      </c>
      <c r="M1071" s="92" t="str">
        <f>IF($AG1071="","",INDEX(V_Type,INDEX($AB$8:$AB$1407,$AG1071)))</f>
        <v/>
      </c>
      <c r="N1071" s="92" t="str">
        <f>IF($AG1071="","",INDEX(V_IFRS,INDEX($AB$8:$AB$1407,$AG1071)))</f>
        <v/>
      </c>
      <c r="O1071" s="92" t="str">
        <f>IF($AG1071="","",INDEX($AL$8:$AL$21,INDEX($AC$8:$AC$1407,$AG1071)+1))</f>
        <v/>
      </c>
      <c r="P1071" s="109" t="str">
        <f>IF($AG1071="","",INDEX($AD$8:$AD$1407,$AG1071))</f>
        <v/>
      </c>
      <c r="Q1071" s="92" t="str">
        <f>IF($AG1071="","",INDEX($AM$8:$AM$21,INDEX($AC$8:$AC$1407,$AG1071)+1))</f>
        <v/>
      </c>
      <c r="R1071" s="92" t="str">
        <f>IF($AG1071="","",IF($G1071&gt;0,P_ToelCorrectie&amp;"",""))</f>
        <v/>
      </c>
      <c r="S1071" s="15" t="str">
        <f>IF(J1071="","",J1071&amp;"|"&amp;E1071&amp;"|"&amp;F1071&amp;"|"&amp;I1071&amp;"|"&amp;O1071)</f>
        <v/>
      </c>
      <c r="T1071" s="111" t="str">
        <f>IF(S1071="","",IF(COUNTIFS(L_Sleutel,S1071,L_Actief,1)=0,"",SUMIFS(L_Waarde,L_Sleutel,S1071,L_Actief,1)))</f>
        <v/>
      </c>
      <c r="U1071" s="111">
        <f>IF(OR(S1071="",T1071=""),0,P1071-T1071)</f>
        <v>0</v>
      </c>
      <c r="AB1071" s="112" t="n">
        <v>76</v>
      </c>
      <c r="AC1071" s="112" t="n">
        <v>13</v>
      </c>
      <c r="AD1071" s="112" t="str">
        <f>VERW_Project!BX81</f>
        <v/>
      </c>
      <c r="AE1071" s="112">
        <f>IF(AND(VERW_Project!$A81&lt;&gt;"",ISNUMBER(AD1071)),1,0)</f>
        <v>0</v>
      </c>
      <c r="AF1071" s="112" t="str">
        <f>IF(AE1071=1,SUM($AE$8:AE1071),"")</f>
        <v/>
      </c>
      <c r="AG1071" t="str">
        <f>IFERROR(MATCH(1064,$AF$8:$AF$1407,0),"")</f>
        <v/>
      </c>
    </row>
    <row r="1072">
      <c r="A1072" s="92" t="str">
        <f>IF($AG1072="","",P_ImportID)</f>
        <v/>
      </c>
      <c r="B1072" s="92" t="str">
        <f>IF($AG1072="","",IF(INDEX($AN$8:$AN$21,INDEX($AC$8:$AC$1407,$AG1072)+1)="Z",P_BronZ,P_BronE))</f>
        <v/>
      </c>
      <c r="C1072" s="108" t="str">
        <f>IF($AG1072="","",P_Importdatum)</f>
        <v/>
      </c>
      <c r="D1072" s="92" t="str">
        <f>IF($AG1072="","",P_StatusVastleg)</f>
        <v/>
      </c>
      <c r="E1072" s="92" t="str">
        <f>IF($AG1072="","",P_UploadVJ)</f>
        <v/>
      </c>
      <c r="F1072" s="92" t="str">
        <f>IF($AG1072="","",P_UploadVersie)</f>
        <v/>
      </c>
      <c r="G1072" s="92" t="str">
        <f>IF($AG1072="","",IF(COUNTIFS(L_Sleutel,$S1072,L_Status,"Vastgesteld")=0,0,_xlfn.MAXIFS(L_Revisie,L_Sleutel,$S1072,L_Status,"Vastgesteld")+1))</f>
        <v/>
      </c>
      <c r="H1072" s="108" t="str">
        <f>IF($AG1072="","",P_Peildatum)</f>
        <v/>
      </c>
      <c r="I1072" s="92" t="str">
        <f>IF($AG1072="","",P_RJ+INDEX($AK$8:$AK$21,INDEX($AC$8:$AC$1407,$AG1072)+1))</f>
        <v/>
      </c>
      <c r="J1072" s="92" t="str">
        <f>IF($AG1072="","",INDEX(V_WBS,INDEX($AB$8:$AB$1407,$AG1072)))</f>
        <v/>
      </c>
      <c r="K1072" s="92" t="str">
        <f>IF($AG1072="","",INDEX(V_Projdef,INDEX($AB$8:$AB$1407,$AG1072)))</f>
        <v/>
      </c>
      <c r="L1072" s="92" t="str">
        <f>IF($AG1072="","",INDEX(V_Naam,INDEX($AB$8:$AB$1407,$AG1072)))</f>
        <v/>
      </c>
      <c r="M1072" s="92" t="str">
        <f>IF($AG1072="","",INDEX(V_Type,INDEX($AB$8:$AB$1407,$AG1072)))</f>
        <v/>
      </c>
      <c r="N1072" s="92" t="str">
        <f>IF($AG1072="","",INDEX(V_IFRS,INDEX($AB$8:$AB$1407,$AG1072)))</f>
        <v/>
      </c>
      <c r="O1072" s="92" t="str">
        <f>IF($AG1072="","",INDEX($AL$8:$AL$21,INDEX($AC$8:$AC$1407,$AG1072)+1))</f>
        <v/>
      </c>
      <c r="P1072" s="109" t="str">
        <f>IF($AG1072="","",INDEX($AD$8:$AD$1407,$AG1072))</f>
        <v/>
      </c>
      <c r="Q1072" s="92" t="str">
        <f>IF($AG1072="","",INDEX($AM$8:$AM$21,INDEX($AC$8:$AC$1407,$AG1072)+1))</f>
        <v/>
      </c>
      <c r="R1072" s="92" t="str">
        <f>IF($AG1072="","",IF($G1072&gt;0,P_ToelCorrectie&amp;"",""))</f>
        <v/>
      </c>
      <c r="S1072" s="15" t="str">
        <f>IF(J1072="","",J1072&amp;"|"&amp;E1072&amp;"|"&amp;F1072&amp;"|"&amp;I1072&amp;"|"&amp;O1072)</f>
        <v/>
      </c>
      <c r="T1072" s="111" t="str">
        <f>IF(S1072="","",IF(COUNTIFS(L_Sleutel,S1072,L_Actief,1)=0,"",SUMIFS(L_Waarde,L_Sleutel,S1072,L_Actief,1)))</f>
        <v/>
      </c>
      <c r="U1072" s="111">
        <f>IF(OR(S1072="",T1072=""),0,P1072-T1072)</f>
        <v>0</v>
      </c>
      <c r="AB1072" s="112" t="n">
        <v>77</v>
      </c>
      <c r="AC1072" s="112" t="n">
        <v>0</v>
      </c>
      <c r="AD1072" s="112" t="str">
        <f>VERW_Project!P82</f>
        <v/>
      </c>
      <c r="AE1072" s="112">
        <f>IF(AND(VERW_Project!$A82&lt;&gt;"",ISNUMBER(AD1072)),1,0)</f>
        <v>0</v>
      </c>
      <c r="AF1072" s="112" t="str">
        <f>IF(AE1072=1,SUM($AE$8:AE1072),"")</f>
        <v/>
      </c>
      <c r="AG1072" t="str">
        <f>IFERROR(MATCH(1065,$AF$8:$AF$1407,0),"")</f>
        <v/>
      </c>
    </row>
    <row r="1073">
      <c r="A1073" s="92" t="str">
        <f>IF($AG1073="","",P_ImportID)</f>
        <v/>
      </c>
      <c r="B1073" s="92" t="str">
        <f>IF($AG1073="","",IF(INDEX($AN$8:$AN$21,INDEX($AC$8:$AC$1407,$AG1073)+1)="Z",P_BronZ,P_BronE))</f>
        <v/>
      </c>
      <c r="C1073" s="108" t="str">
        <f>IF($AG1073="","",P_Importdatum)</f>
        <v/>
      </c>
      <c r="D1073" s="92" t="str">
        <f>IF($AG1073="","",P_StatusVastleg)</f>
        <v/>
      </c>
      <c r="E1073" s="92" t="str">
        <f>IF($AG1073="","",P_UploadVJ)</f>
        <v/>
      </c>
      <c r="F1073" s="92" t="str">
        <f>IF($AG1073="","",P_UploadVersie)</f>
        <v/>
      </c>
      <c r="G1073" s="92" t="str">
        <f>IF($AG1073="","",IF(COUNTIFS(L_Sleutel,$S1073,L_Status,"Vastgesteld")=0,0,_xlfn.MAXIFS(L_Revisie,L_Sleutel,$S1073,L_Status,"Vastgesteld")+1))</f>
        <v/>
      </c>
      <c r="H1073" s="108" t="str">
        <f>IF($AG1073="","",P_Peildatum)</f>
        <v/>
      </c>
      <c r="I1073" s="92" t="str">
        <f>IF($AG1073="","",P_RJ+INDEX($AK$8:$AK$21,INDEX($AC$8:$AC$1407,$AG1073)+1))</f>
        <v/>
      </c>
      <c r="J1073" s="92" t="str">
        <f>IF($AG1073="","",INDEX(V_WBS,INDEX($AB$8:$AB$1407,$AG1073)))</f>
        <v/>
      </c>
      <c r="K1073" s="92" t="str">
        <f>IF($AG1073="","",INDEX(V_Projdef,INDEX($AB$8:$AB$1407,$AG1073)))</f>
        <v/>
      </c>
      <c r="L1073" s="92" t="str">
        <f>IF($AG1073="","",INDEX(V_Naam,INDEX($AB$8:$AB$1407,$AG1073)))</f>
        <v/>
      </c>
      <c r="M1073" s="92" t="str">
        <f>IF($AG1073="","",INDEX(V_Type,INDEX($AB$8:$AB$1407,$AG1073)))</f>
        <v/>
      </c>
      <c r="N1073" s="92" t="str">
        <f>IF($AG1073="","",INDEX(V_IFRS,INDEX($AB$8:$AB$1407,$AG1073)))</f>
        <v/>
      </c>
      <c r="O1073" s="92" t="str">
        <f>IF($AG1073="","",INDEX($AL$8:$AL$21,INDEX($AC$8:$AC$1407,$AG1073)+1))</f>
        <v/>
      </c>
      <c r="P1073" s="109" t="str">
        <f>IF($AG1073="","",INDEX($AD$8:$AD$1407,$AG1073))</f>
        <v/>
      </c>
      <c r="Q1073" s="92" t="str">
        <f>IF($AG1073="","",INDEX($AM$8:$AM$21,INDEX($AC$8:$AC$1407,$AG1073)+1))</f>
        <v/>
      </c>
      <c r="R1073" s="92" t="str">
        <f>IF($AG1073="","",IF($G1073&gt;0,P_ToelCorrectie&amp;"",""))</f>
        <v/>
      </c>
      <c r="S1073" s="15" t="str">
        <f>IF(J1073="","",J1073&amp;"|"&amp;E1073&amp;"|"&amp;F1073&amp;"|"&amp;I1073&amp;"|"&amp;O1073)</f>
        <v/>
      </c>
      <c r="T1073" s="111" t="str">
        <f>IF(S1073="","",IF(COUNTIFS(L_Sleutel,S1073,L_Actief,1)=0,"",SUMIFS(L_Waarde,L_Sleutel,S1073,L_Actief,1)))</f>
        <v/>
      </c>
      <c r="U1073" s="111">
        <f>IF(OR(S1073="",T1073=""),0,P1073-T1073)</f>
        <v>0</v>
      </c>
      <c r="AB1073" s="112" t="n">
        <v>77</v>
      </c>
      <c r="AC1073" s="112" t="n">
        <v>1</v>
      </c>
      <c r="AD1073" s="112" t="str">
        <f>VERW_Project!Q82</f>
        <v/>
      </c>
      <c r="AE1073" s="112">
        <f>IF(AND(VERW_Project!$A82&lt;&gt;"",ISNUMBER(AD1073)),1,0)</f>
        <v>0</v>
      </c>
      <c r="AF1073" s="112" t="str">
        <f>IF(AE1073=1,SUM($AE$8:AE1073),"")</f>
        <v/>
      </c>
      <c r="AG1073" t="str">
        <f>IFERROR(MATCH(1066,$AF$8:$AF$1407,0),"")</f>
        <v/>
      </c>
    </row>
    <row r="1074">
      <c r="A1074" s="92" t="str">
        <f>IF($AG1074="","",P_ImportID)</f>
        <v/>
      </c>
      <c r="B1074" s="92" t="str">
        <f>IF($AG1074="","",IF(INDEX($AN$8:$AN$21,INDEX($AC$8:$AC$1407,$AG1074)+1)="Z",P_BronZ,P_BronE))</f>
        <v/>
      </c>
      <c r="C1074" s="108" t="str">
        <f>IF($AG1074="","",P_Importdatum)</f>
        <v/>
      </c>
      <c r="D1074" s="92" t="str">
        <f>IF($AG1074="","",P_StatusVastleg)</f>
        <v/>
      </c>
      <c r="E1074" s="92" t="str">
        <f>IF($AG1074="","",P_UploadVJ)</f>
        <v/>
      </c>
      <c r="F1074" s="92" t="str">
        <f>IF($AG1074="","",P_UploadVersie)</f>
        <v/>
      </c>
      <c r="G1074" s="92" t="str">
        <f>IF($AG1074="","",IF(COUNTIFS(L_Sleutel,$S1074,L_Status,"Vastgesteld")=0,0,_xlfn.MAXIFS(L_Revisie,L_Sleutel,$S1074,L_Status,"Vastgesteld")+1))</f>
        <v/>
      </c>
      <c r="H1074" s="108" t="str">
        <f>IF($AG1074="","",P_Peildatum)</f>
        <v/>
      </c>
      <c r="I1074" s="92" t="str">
        <f>IF($AG1074="","",P_RJ+INDEX($AK$8:$AK$21,INDEX($AC$8:$AC$1407,$AG1074)+1))</f>
        <v/>
      </c>
      <c r="J1074" s="92" t="str">
        <f>IF($AG1074="","",INDEX(V_WBS,INDEX($AB$8:$AB$1407,$AG1074)))</f>
        <v/>
      </c>
      <c r="K1074" s="92" t="str">
        <f>IF($AG1074="","",INDEX(V_Projdef,INDEX($AB$8:$AB$1407,$AG1074)))</f>
        <v/>
      </c>
      <c r="L1074" s="92" t="str">
        <f>IF($AG1074="","",INDEX(V_Naam,INDEX($AB$8:$AB$1407,$AG1074)))</f>
        <v/>
      </c>
      <c r="M1074" s="92" t="str">
        <f>IF($AG1074="","",INDEX(V_Type,INDEX($AB$8:$AB$1407,$AG1074)))</f>
        <v/>
      </c>
      <c r="N1074" s="92" t="str">
        <f>IF($AG1074="","",INDEX(V_IFRS,INDEX($AB$8:$AB$1407,$AG1074)))</f>
        <v/>
      </c>
      <c r="O1074" s="92" t="str">
        <f>IF($AG1074="","",INDEX($AL$8:$AL$21,INDEX($AC$8:$AC$1407,$AG1074)+1))</f>
        <v/>
      </c>
      <c r="P1074" s="109" t="str">
        <f>IF($AG1074="","",INDEX($AD$8:$AD$1407,$AG1074))</f>
        <v/>
      </c>
      <c r="Q1074" s="92" t="str">
        <f>IF($AG1074="","",INDEX($AM$8:$AM$21,INDEX($AC$8:$AC$1407,$AG1074)+1))</f>
        <v/>
      </c>
      <c r="R1074" s="92" t="str">
        <f>IF($AG1074="","",IF($G1074&gt;0,P_ToelCorrectie&amp;"",""))</f>
        <v/>
      </c>
      <c r="S1074" s="15" t="str">
        <f>IF(J1074="","",J1074&amp;"|"&amp;E1074&amp;"|"&amp;F1074&amp;"|"&amp;I1074&amp;"|"&amp;O1074)</f>
        <v/>
      </c>
      <c r="T1074" s="111" t="str">
        <f>IF(S1074="","",IF(COUNTIFS(L_Sleutel,S1074,L_Actief,1)=0,"",SUMIFS(L_Waarde,L_Sleutel,S1074,L_Actief,1)))</f>
        <v/>
      </c>
      <c r="U1074" s="111">
        <f>IF(OR(S1074="",T1074=""),0,P1074-T1074)</f>
        <v>0</v>
      </c>
      <c r="AB1074" s="112" t="n">
        <v>77</v>
      </c>
      <c r="AC1074" s="112" t="n">
        <v>2</v>
      </c>
      <c r="AD1074" s="112" t="str">
        <f>VERW_Project!L82</f>
        <v/>
      </c>
      <c r="AE1074" s="112">
        <f>IF(AND(VERW_Project!$A82&lt;&gt;"",ISNUMBER(AD1074)),1,0)</f>
        <v>0</v>
      </c>
      <c r="AF1074" s="112" t="str">
        <f>IF(AE1074=1,SUM($AE$8:AE1074),"")</f>
        <v/>
      </c>
      <c r="AG1074" t="str">
        <f>IFERROR(MATCH(1067,$AF$8:$AF$1407,0),"")</f>
        <v/>
      </c>
    </row>
    <row r="1075">
      <c r="A1075" s="92" t="str">
        <f>IF($AG1075="","",P_ImportID)</f>
        <v/>
      </c>
      <c r="B1075" s="92" t="str">
        <f>IF($AG1075="","",IF(INDEX($AN$8:$AN$21,INDEX($AC$8:$AC$1407,$AG1075)+1)="Z",P_BronZ,P_BronE))</f>
        <v/>
      </c>
      <c r="C1075" s="108" t="str">
        <f>IF($AG1075="","",P_Importdatum)</f>
        <v/>
      </c>
      <c r="D1075" s="92" t="str">
        <f>IF($AG1075="","",P_StatusVastleg)</f>
        <v/>
      </c>
      <c r="E1075" s="92" t="str">
        <f>IF($AG1075="","",P_UploadVJ)</f>
        <v/>
      </c>
      <c r="F1075" s="92" t="str">
        <f>IF($AG1075="","",P_UploadVersie)</f>
        <v/>
      </c>
      <c r="G1075" s="92" t="str">
        <f>IF($AG1075="","",IF(COUNTIFS(L_Sleutel,$S1075,L_Status,"Vastgesteld")=0,0,_xlfn.MAXIFS(L_Revisie,L_Sleutel,$S1075,L_Status,"Vastgesteld")+1))</f>
        <v/>
      </c>
      <c r="H1075" s="108" t="str">
        <f>IF($AG1075="","",P_Peildatum)</f>
        <v/>
      </c>
      <c r="I1075" s="92" t="str">
        <f>IF($AG1075="","",P_RJ+INDEX($AK$8:$AK$21,INDEX($AC$8:$AC$1407,$AG1075)+1))</f>
        <v/>
      </c>
      <c r="J1075" s="92" t="str">
        <f>IF($AG1075="","",INDEX(V_WBS,INDEX($AB$8:$AB$1407,$AG1075)))</f>
        <v/>
      </c>
      <c r="K1075" s="92" t="str">
        <f>IF($AG1075="","",INDEX(V_Projdef,INDEX($AB$8:$AB$1407,$AG1075)))</f>
        <v/>
      </c>
      <c r="L1075" s="92" t="str">
        <f>IF($AG1075="","",INDEX(V_Naam,INDEX($AB$8:$AB$1407,$AG1075)))</f>
        <v/>
      </c>
      <c r="M1075" s="92" t="str">
        <f>IF($AG1075="","",INDEX(V_Type,INDEX($AB$8:$AB$1407,$AG1075)))</f>
        <v/>
      </c>
      <c r="N1075" s="92" t="str">
        <f>IF($AG1075="","",INDEX(V_IFRS,INDEX($AB$8:$AB$1407,$AG1075)))</f>
        <v/>
      </c>
      <c r="O1075" s="92" t="str">
        <f>IF($AG1075="","",INDEX($AL$8:$AL$21,INDEX($AC$8:$AC$1407,$AG1075)+1))</f>
        <v/>
      </c>
      <c r="P1075" s="109" t="str">
        <f>IF($AG1075="","",INDEX($AD$8:$AD$1407,$AG1075))</f>
        <v/>
      </c>
      <c r="Q1075" s="92" t="str">
        <f>IF($AG1075="","",INDEX($AM$8:$AM$21,INDEX($AC$8:$AC$1407,$AG1075)+1))</f>
        <v/>
      </c>
      <c r="R1075" s="92" t="str">
        <f>IF($AG1075="","",IF($G1075&gt;0,P_ToelCorrectie&amp;"",""))</f>
        <v/>
      </c>
      <c r="S1075" s="15" t="str">
        <f>IF(J1075="","",J1075&amp;"|"&amp;E1075&amp;"|"&amp;F1075&amp;"|"&amp;I1075&amp;"|"&amp;O1075)</f>
        <v/>
      </c>
      <c r="T1075" s="111" t="str">
        <f>IF(S1075="","",IF(COUNTIFS(L_Sleutel,S1075,L_Actief,1)=0,"",SUMIFS(L_Waarde,L_Sleutel,S1075,L_Actief,1)))</f>
        <v/>
      </c>
      <c r="U1075" s="111">
        <f>IF(OR(S1075="",T1075=""),0,P1075-T1075)</f>
        <v>0</v>
      </c>
      <c r="AB1075" s="112" t="n">
        <v>77</v>
      </c>
      <c r="AC1075" s="112" t="n">
        <v>3</v>
      </c>
      <c r="AD1075" s="112" t="str">
        <f>VERW_Project!M82</f>
        <v/>
      </c>
      <c r="AE1075" s="112">
        <f>IF(AND(VERW_Project!$A82&lt;&gt;"",ISNUMBER(AD1075)),1,0)</f>
        <v>0</v>
      </c>
      <c r="AF1075" s="112" t="str">
        <f>IF(AE1075=1,SUM($AE$8:AE1075),"")</f>
        <v/>
      </c>
      <c r="AG1075" t="str">
        <f>IFERROR(MATCH(1068,$AF$8:$AF$1407,0),"")</f>
        <v/>
      </c>
    </row>
    <row r="1076">
      <c r="A1076" s="92" t="str">
        <f>IF($AG1076="","",P_ImportID)</f>
        <v/>
      </c>
      <c r="B1076" s="92" t="str">
        <f>IF($AG1076="","",IF(INDEX($AN$8:$AN$21,INDEX($AC$8:$AC$1407,$AG1076)+1)="Z",P_BronZ,P_BronE))</f>
        <v/>
      </c>
      <c r="C1076" s="108" t="str">
        <f>IF($AG1076="","",P_Importdatum)</f>
        <v/>
      </c>
      <c r="D1076" s="92" t="str">
        <f>IF($AG1076="","",P_StatusVastleg)</f>
        <v/>
      </c>
      <c r="E1076" s="92" t="str">
        <f>IF($AG1076="","",P_UploadVJ)</f>
        <v/>
      </c>
      <c r="F1076" s="92" t="str">
        <f>IF($AG1076="","",P_UploadVersie)</f>
        <v/>
      </c>
      <c r="G1076" s="92" t="str">
        <f>IF($AG1076="","",IF(COUNTIFS(L_Sleutel,$S1076,L_Status,"Vastgesteld")=0,0,_xlfn.MAXIFS(L_Revisie,L_Sleutel,$S1076,L_Status,"Vastgesteld")+1))</f>
        <v/>
      </c>
      <c r="H1076" s="108" t="str">
        <f>IF($AG1076="","",P_Peildatum)</f>
        <v/>
      </c>
      <c r="I1076" s="92" t="str">
        <f>IF($AG1076="","",P_RJ+INDEX($AK$8:$AK$21,INDEX($AC$8:$AC$1407,$AG1076)+1))</f>
        <v/>
      </c>
      <c r="J1076" s="92" t="str">
        <f>IF($AG1076="","",INDEX(V_WBS,INDEX($AB$8:$AB$1407,$AG1076)))</f>
        <v/>
      </c>
      <c r="K1076" s="92" t="str">
        <f>IF($AG1076="","",INDEX(V_Projdef,INDEX($AB$8:$AB$1407,$AG1076)))</f>
        <v/>
      </c>
      <c r="L1076" s="92" t="str">
        <f>IF($AG1076="","",INDEX(V_Naam,INDEX($AB$8:$AB$1407,$AG1076)))</f>
        <v/>
      </c>
      <c r="M1076" s="92" t="str">
        <f>IF($AG1076="","",INDEX(V_Type,INDEX($AB$8:$AB$1407,$AG1076)))</f>
        <v/>
      </c>
      <c r="N1076" s="92" t="str">
        <f>IF($AG1076="","",INDEX(V_IFRS,INDEX($AB$8:$AB$1407,$AG1076)))</f>
        <v/>
      </c>
      <c r="O1076" s="92" t="str">
        <f>IF($AG1076="","",INDEX($AL$8:$AL$21,INDEX($AC$8:$AC$1407,$AG1076)+1))</f>
        <v/>
      </c>
      <c r="P1076" s="109" t="str">
        <f>IF($AG1076="","",INDEX($AD$8:$AD$1407,$AG1076))</f>
        <v/>
      </c>
      <c r="Q1076" s="92" t="str">
        <f>IF($AG1076="","",INDEX($AM$8:$AM$21,INDEX($AC$8:$AC$1407,$AG1076)+1))</f>
        <v/>
      </c>
      <c r="R1076" s="92" t="str">
        <f>IF($AG1076="","",IF($G1076&gt;0,P_ToelCorrectie&amp;"",""))</f>
        <v/>
      </c>
      <c r="S1076" s="15" t="str">
        <f>IF(J1076="","",J1076&amp;"|"&amp;E1076&amp;"|"&amp;F1076&amp;"|"&amp;I1076&amp;"|"&amp;O1076)</f>
        <v/>
      </c>
      <c r="T1076" s="111" t="str">
        <f>IF(S1076="","",IF(COUNTIFS(L_Sleutel,S1076,L_Actief,1)=0,"",SUMIFS(L_Waarde,L_Sleutel,S1076,L_Actief,1)))</f>
        <v/>
      </c>
      <c r="U1076" s="111">
        <f>IF(OR(S1076="",T1076=""),0,P1076-T1076)</f>
        <v>0</v>
      </c>
      <c r="AB1076" s="112" t="n">
        <v>77</v>
      </c>
      <c r="AC1076" s="112" t="n">
        <v>4</v>
      </c>
      <c r="AD1076" s="112" t="str">
        <f>VERW_Project!R82</f>
        <v/>
      </c>
      <c r="AE1076" s="112">
        <f>IF(AND(VERW_Project!$A82&lt;&gt;"",ISNUMBER(AD1076)),1,0)</f>
        <v>0</v>
      </c>
      <c r="AF1076" s="112" t="str">
        <f>IF(AE1076=1,SUM($AE$8:AE1076),"")</f>
        <v/>
      </c>
      <c r="AG1076" t="str">
        <f>IFERROR(MATCH(1069,$AF$8:$AF$1407,0),"")</f>
        <v/>
      </c>
    </row>
    <row r="1077">
      <c r="A1077" s="92" t="str">
        <f>IF($AG1077="","",P_ImportID)</f>
        <v/>
      </c>
      <c r="B1077" s="92" t="str">
        <f>IF($AG1077="","",IF(INDEX($AN$8:$AN$21,INDEX($AC$8:$AC$1407,$AG1077)+1)="Z",P_BronZ,P_BronE))</f>
        <v/>
      </c>
      <c r="C1077" s="108" t="str">
        <f>IF($AG1077="","",P_Importdatum)</f>
        <v/>
      </c>
      <c r="D1077" s="92" t="str">
        <f>IF($AG1077="","",P_StatusVastleg)</f>
        <v/>
      </c>
      <c r="E1077" s="92" t="str">
        <f>IF($AG1077="","",P_UploadVJ)</f>
        <v/>
      </c>
      <c r="F1077" s="92" t="str">
        <f>IF($AG1077="","",P_UploadVersie)</f>
        <v/>
      </c>
      <c r="G1077" s="92" t="str">
        <f>IF($AG1077="","",IF(COUNTIFS(L_Sleutel,$S1077,L_Status,"Vastgesteld")=0,0,_xlfn.MAXIFS(L_Revisie,L_Sleutel,$S1077,L_Status,"Vastgesteld")+1))</f>
        <v/>
      </c>
      <c r="H1077" s="108" t="str">
        <f>IF($AG1077="","",P_Peildatum)</f>
        <v/>
      </c>
      <c r="I1077" s="92" t="str">
        <f>IF($AG1077="","",P_RJ+INDEX($AK$8:$AK$21,INDEX($AC$8:$AC$1407,$AG1077)+1))</f>
        <v/>
      </c>
      <c r="J1077" s="92" t="str">
        <f>IF($AG1077="","",INDEX(V_WBS,INDEX($AB$8:$AB$1407,$AG1077)))</f>
        <v/>
      </c>
      <c r="K1077" s="92" t="str">
        <f>IF($AG1077="","",INDEX(V_Projdef,INDEX($AB$8:$AB$1407,$AG1077)))</f>
        <v/>
      </c>
      <c r="L1077" s="92" t="str">
        <f>IF($AG1077="","",INDEX(V_Naam,INDEX($AB$8:$AB$1407,$AG1077)))</f>
        <v/>
      </c>
      <c r="M1077" s="92" t="str">
        <f>IF($AG1077="","",INDEX(V_Type,INDEX($AB$8:$AB$1407,$AG1077)))</f>
        <v/>
      </c>
      <c r="N1077" s="92" t="str">
        <f>IF($AG1077="","",INDEX(V_IFRS,INDEX($AB$8:$AB$1407,$AG1077)))</f>
        <v/>
      </c>
      <c r="O1077" s="92" t="str">
        <f>IF($AG1077="","",INDEX($AL$8:$AL$21,INDEX($AC$8:$AC$1407,$AG1077)+1))</f>
        <v/>
      </c>
      <c r="P1077" s="109" t="str">
        <f>IF($AG1077="","",INDEX($AD$8:$AD$1407,$AG1077))</f>
        <v/>
      </c>
      <c r="Q1077" s="92" t="str">
        <f>IF($AG1077="","",INDEX($AM$8:$AM$21,INDEX($AC$8:$AC$1407,$AG1077)+1))</f>
        <v/>
      </c>
      <c r="R1077" s="92" t="str">
        <f>IF($AG1077="","",IF($G1077&gt;0,P_ToelCorrectie&amp;"",""))</f>
        <v/>
      </c>
      <c r="S1077" s="15" t="str">
        <f>IF(J1077="","",J1077&amp;"|"&amp;E1077&amp;"|"&amp;F1077&amp;"|"&amp;I1077&amp;"|"&amp;O1077)</f>
        <v/>
      </c>
      <c r="T1077" s="111" t="str">
        <f>IF(S1077="","",IF(COUNTIFS(L_Sleutel,S1077,L_Actief,1)=0,"",SUMIFS(L_Waarde,L_Sleutel,S1077,L_Actief,1)))</f>
        <v/>
      </c>
      <c r="U1077" s="111">
        <f>IF(OR(S1077="",T1077=""),0,P1077-T1077)</f>
        <v>0</v>
      </c>
      <c r="AB1077" s="112" t="n">
        <v>77</v>
      </c>
      <c r="AC1077" s="112" t="n">
        <v>5</v>
      </c>
      <c r="AD1077" s="112" t="str">
        <f>VERW_Project!S82</f>
        <v/>
      </c>
      <c r="AE1077" s="112">
        <f>IF(AND(VERW_Project!$A82&lt;&gt;"",ISNUMBER(AD1077)),1,0)</f>
        <v>0</v>
      </c>
      <c r="AF1077" s="112" t="str">
        <f>IF(AE1077=1,SUM($AE$8:AE1077),"")</f>
        <v/>
      </c>
      <c r="AG1077" t="str">
        <f>IFERROR(MATCH(1070,$AF$8:$AF$1407,0),"")</f>
        <v/>
      </c>
    </row>
    <row r="1078">
      <c r="A1078" s="92" t="str">
        <f>IF($AG1078="","",P_ImportID)</f>
        <v/>
      </c>
      <c r="B1078" s="92" t="str">
        <f>IF($AG1078="","",IF(INDEX($AN$8:$AN$21,INDEX($AC$8:$AC$1407,$AG1078)+1)="Z",P_BronZ,P_BronE))</f>
        <v/>
      </c>
      <c r="C1078" s="108" t="str">
        <f>IF($AG1078="","",P_Importdatum)</f>
        <v/>
      </c>
      <c r="D1078" s="92" t="str">
        <f>IF($AG1078="","",P_StatusVastleg)</f>
        <v/>
      </c>
      <c r="E1078" s="92" t="str">
        <f>IF($AG1078="","",P_UploadVJ)</f>
        <v/>
      </c>
      <c r="F1078" s="92" t="str">
        <f>IF($AG1078="","",P_UploadVersie)</f>
        <v/>
      </c>
      <c r="G1078" s="92" t="str">
        <f>IF($AG1078="","",IF(COUNTIFS(L_Sleutel,$S1078,L_Status,"Vastgesteld")=0,0,_xlfn.MAXIFS(L_Revisie,L_Sleutel,$S1078,L_Status,"Vastgesteld")+1))</f>
        <v/>
      </c>
      <c r="H1078" s="108" t="str">
        <f>IF($AG1078="","",P_Peildatum)</f>
        <v/>
      </c>
      <c r="I1078" s="92" t="str">
        <f>IF($AG1078="","",P_RJ+INDEX($AK$8:$AK$21,INDEX($AC$8:$AC$1407,$AG1078)+1))</f>
        <v/>
      </c>
      <c r="J1078" s="92" t="str">
        <f>IF($AG1078="","",INDEX(V_WBS,INDEX($AB$8:$AB$1407,$AG1078)))</f>
        <v/>
      </c>
      <c r="K1078" s="92" t="str">
        <f>IF($AG1078="","",INDEX(V_Projdef,INDEX($AB$8:$AB$1407,$AG1078)))</f>
        <v/>
      </c>
      <c r="L1078" s="92" t="str">
        <f>IF($AG1078="","",INDEX(V_Naam,INDEX($AB$8:$AB$1407,$AG1078)))</f>
        <v/>
      </c>
      <c r="M1078" s="92" t="str">
        <f>IF($AG1078="","",INDEX(V_Type,INDEX($AB$8:$AB$1407,$AG1078)))</f>
        <v/>
      </c>
      <c r="N1078" s="92" t="str">
        <f>IF($AG1078="","",INDEX(V_IFRS,INDEX($AB$8:$AB$1407,$AG1078)))</f>
        <v/>
      </c>
      <c r="O1078" s="92" t="str">
        <f>IF($AG1078="","",INDEX($AL$8:$AL$21,INDEX($AC$8:$AC$1407,$AG1078)+1))</f>
        <v/>
      </c>
      <c r="P1078" s="109" t="str">
        <f>IF($AG1078="","",INDEX($AD$8:$AD$1407,$AG1078))</f>
        <v/>
      </c>
      <c r="Q1078" s="92" t="str">
        <f>IF($AG1078="","",INDEX($AM$8:$AM$21,INDEX($AC$8:$AC$1407,$AG1078)+1))</f>
        <v/>
      </c>
      <c r="R1078" s="92" t="str">
        <f>IF($AG1078="","",IF($G1078&gt;0,P_ToelCorrectie&amp;"",""))</f>
        <v/>
      </c>
      <c r="S1078" s="15" t="str">
        <f>IF(J1078="","",J1078&amp;"|"&amp;E1078&amp;"|"&amp;F1078&amp;"|"&amp;I1078&amp;"|"&amp;O1078)</f>
        <v/>
      </c>
      <c r="T1078" s="111" t="str">
        <f>IF(S1078="","",IF(COUNTIFS(L_Sleutel,S1078,L_Actief,1)=0,"",SUMIFS(L_Waarde,L_Sleutel,S1078,L_Actief,1)))</f>
        <v/>
      </c>
      <c r="U1078" s="111">
        <f>IF(OR(S1078="",T1078=""),0,P1078-T1078)</f>
        <v>0</v>
      </c>
      <c r="AB1078" s="112" t="n">
        <v>77</v>
      </c>
      <c r="AC1078" s="112" t="n">
        <v>6</v>
      </c>
      <c r="AD1078" s="112" t="str">
        <f>VERW_Project!BW82</f>
        <v/>
      </c>
      <c r="AE1078" s="112">
        <f>IF(AND(VERW_Project!$A82&lt;&gt;"",ISNUMBER(AD1078)),1,0)</f>
        <v>0</v>
      </c>
      <c r="AF1078" s="112" t="str">
        <f>IF(AE1078=1,SUM($AE$8:AE1078),"")</f>
        <v/>
      </c>
      <c r="AG1078" t="str">
        <f>IFERROR(MATCH(1071,$AF$8:$AF$1407,0),"")</f>
        <v/>
      </c>
    </row>
    <row r="1079">
      <c r="A1079" s="92" t="str">
        <f>IF($AG1079="","",P_ImportID)</f>
        <v/>
      </c>
      <c r="B1079" s="92" t="str">
        <f>IF($AG1079="","",IF(INDEX($AN$8:$AN$21,INDEX($AC$8:$AC$1407,$AG1079)+1)="Z",P_BronZ,P_BronE))</f>
        <v/>
      </c>
      <c r="C1079" s="108" t="str">
        <f>IF($AG1079="","",P_Importdatum)</f>
        <v/>
      </c>
      <c r="D1079" s="92" t="str">
        <f>IF($AG1079="","",P_StatusVastleg)</f>
        <v/>
      </c>
      <c r="E1079" s="92" t="str">
        <f>IF($AG1079="","",P_UploadVJ)</f>
        <v/>
      </c>
      <c r="F1079" s="92" t="str">
        <f>IF($AG1079="","",P_UploadVersie)</f>
        <v/>
      </c>
      <c r="G1079" s="92" t="str">
        <f>IF($AG1079="","",IF(COUNTIFS(L_Sleutel,$S1079,L_Status,"Vastgesteld")=0,0,_xlfn.MAXIFS(L_Revisie,L_Sleutel,$S1079,L_Status,"Vastgesteld")+1))</f>
        <v/>
      </c>
      <c r="H1079" s="108" t="str">
        <f>IF($AG1079="","",P_Peildatum)</f>
        <v/>
      </c>
      <c r="I1079" s="92" t="str">
        <f>IF($AG1079="","",P_RJ+INDEX($AK$8:$AK$21,INDEX($AC$8:$AC$1407,$AG1079)+1))</f>
        <v/>
      </c>
      <c r="J1079" s="92" t="str">
        <f>IF($AG1079="","",INDEX(V_WBS,INDEX($AB$8:$AB$1407,$AG1079)))</f>
        <v/>
      </c>
      <c r="K1079" s="92" t="str">
        <f>IF($AG1079="","",INDEX(V_Projdef,INDEX($AB$8:$AB$1407,$AG1079)))</f>
        <v/>
      </c>
      <c r="L1079" s="92" t="str">
        <f>IF($AG1079="","",INDEX(V_Naam,INDEX($AB$8:$AB$1407,$AG1079)))</f>
        <v/>
      </c>
      <c r="M1079" s="92" t="str">
        <f>IF($AG1079="","",INDEX(V_Type,INDEX($AB$8:$AB$1407,$AG1079)))</f>
        <v/>
      </c>
      <c r="N1079" s="92" t="str">
        <f>IF($AG1079="","",INDEX(V_IFRS,INDEX($AB$8:$AB$1407,$AG1079)))</f>
        <v/>
      </c>
      <c r="O1079" s="92" t="str">
        <f>IF($AG1079="","",INDEX($AL$8:$AL$21,INDEX($AC$8:$AC$1407,$AG1079)+1))</f>
        <v/>
      </c>
      <c r="P1079" s="109" t="str">
        <f>IF($AG1079="","",INDEX($AD$8:$AD$1407,$AG1079))</f>
        <v/>
      </c>
      <c r="Q1079" s="92" t="str">
        <f>IF($AG1079="","",INDEX($AM$8:$AM$21,INDEX($AC$8:$AC$1407,$AG1079)+1))</f>
        <v/>
      </c>
      <c r="R1079" s="92" t="str">
        <f>IF($AG1079="","",IF($G1079&gt;0,P_ToelCorrectie&amp;"",""))</f>
        <v/>
      </c>
      <c r="S1079" s="15" t="str">
        <f>IF(J1079="","",J1079&amp;"|"&amp;E1079&amp;"|"&amp;F1079&amp;"|"&amp;I1079&amp;"|"&amp;O1079)</f>
        <v/>
      </c>
      <c r="T1079" s="111" t="str">
        <f>IF(S1079="","",IF(COUNTIFS(L_Sleutel,S1079,L_Actief,1)=0,"",SUMIFS(L_Waarde,L_Sleutel,S1079,L_Actief,1)))</f>
        <v/>
      </c>
      <c r="U1079" s="111">
        <f>IF(OR(S1079="",T1079=""),0,P1079-T1079)</f>
        <v>0</v>
      </c>
      <c r="AB1079" s="112" t="n">
        <v>77</v>
      </c>
      <c r="AC1079" s="112" t="n">
        <v>7</v>
      </c>
      <c r="AD1079" s="112" t="str">
        <f>VERW_Project!AW82</f>
        <v/>
      </c>
      <c r="AE1079" s="112">
        <f>IF(AND(VERW_Project!$A82&lt;&gt;"",ISNUMBER(AD1079)),1,0)</f>
        <v>0</v>
      </c>
      <c r="AF1079" s="112" t="str">
        <f>IF(AE1079=1,SUM($AE$8:AE1079),"")</f>
        <v/>
      </c>
      <c r="AG1079" t="str">
        <f>IFERROR(MATCH(1072,$AF$8:$AF$1407,0),"")</f>
        <v/>
      </c>
    </row>
    <row r="1080">
      <c r="A1080" s="92" t="str">
        <f>IF($AG1080="","",P_ImportID)</f>
        <v/>
      </c>
      <c r="B1080" s="92" t="str">
        <f>IF($AG1080="","",IF(INDEX($AN$8:$AN$21,INDEX($AC$8:$AC$1407,$AG1080)+1)="Z",P_BronZ,P_BronE))</f>
        <v/>
      </c>
      <c r="C1080" s="108" t="str">
        <f>IF($AG1080="","",P_Importdatum)</f>
        <v/>
      </c>
      <c r="D1080" s="92" t="str">
        <f>IF($AG1080="","",P_StatusVastleg)</f>
        <v/>
      </c>
      <c r="E1080" s="92" t="str">
        <f>IF($AG1080="","",P_UploadVJ)</f>
        <v/>
      </c>
      <c r="F1080" s="92" t="str">
        <f>IF($AG1080="","",P_UploadVersie)</f>
        <v/>
      </c>
      <c r="G1080" s="92" t="str">
        <f>IF($AG1080="","",IF(COUNTIFS(L_Sleutel,$S1080,L_Status,"Vastgesteld")=0,0,_xlfn.MAXIFS(L_Revisie,L_Sleutel,$S1080,L_Status,"Vastgesteld")+1))</f>
        <v/>
      </c>
      <c r="H1080" s="108" t="str">
        <f>IF($AG1080="","",P_Peildatum)</f>
        <v/>
      </c>
      <c r="I1080" s="92" t="str">
        <f>IF($AG1080="","",P_RJ+INDEX($AK$8:$AK$21,INDEX($AC$8:$AC$1407,$AG1080)+1))</f>
        <v/>
      </c>
      <c r="J1080" s="92" t="str">
        <f>IF($AG1080="","",INDEX(V_WBS,INDEX($AB$8:$AB$1407,$AG1080)))</f>
        <v/>
      </c>
      <c r="K1080" s="92" t="str">
        <f>IF($AG1080="","",INDEX(V_Projdef,INDEX($AB$8:$AB$1407,$AG1080)))</f>
        <v/>
      </c>
      <c r="L1080" s="92" t="str">
        <f>IF($AG1080="","",INDEX(V_Naam,INDEX($AB$8:$AB$1407,$AG1080)))</f>
        <v/>
      </c>
      <c r="M1080" s="92" t="str">
        <f>IF($AG1080="","",INDEX(V_Type,INDEX($AB$8:$AB$1407,$AG1080)))</f>
        <v/>
      </c>
      <c r="N1080" s="92" t="str">
        <f>IF($AG1080="","",INDEX(V_IFRS,INDEX($AB$8:$AB$1407,$AG1080)))</f>
        <v/>
      </c>
      <c r="O1080" s="92" t="str">
        <f>IF($AG1080="","",INDEX($AL$8:$AL$21,INDEX($AC$8:$AC$1407,$AG1080)+1))</f>
        <v/>
      </c>
      <c r="P1080" s="109" t="str">
        <f>IF($AG1080="","",INDEX($AD$8:$AD$1407,$AG1080))</f>
        <v/>
      </c>
      <c r="Q1080" s="92" t="str">
        <f>IF($AG1080="","",INDEX($AM$8:$AM$21,INDEX($AC$8:$AC$1407,$AG1080)+1))</f>
        <v/>
      </c>
      <c r="R1080" s="92" t="str">
        <f>IF($AG1080="","",IF($G1080&gt;0,P_ToelCorrectie&amp;"",""))</f>
        <v/>
      </c>
      <c r="S1080" s="15" t="str">
        <f>IF(J1080="","",J1080&amp;"|"&amp;E1080&amp;"|"&amp;F1080&amp;"|"&amp;I1080&amp;"|"&amp;O1080)</f>
        <v/>
      </c>
      <c r="T1080" s="111" t="str">
        <f>IF(S1080="","",IF(COUNTIFS(L_Sleutel,S1080,L_Actief,1)=0,"",SUMIFS(L_Waarde,L_Sleutel,S1080,L_Actief,1)))</f>
        <v/>
      </c>
      <c r="U1080" s="111">
        <f>IF(OR(S1080="",T1080=""),0,P1080-T1080)</f>
        <v>0</v>
      </c>
      <c r="AB1080" s="112" t="n">
        <v>77</v>
      </c>
      <c r="AC1080" s="112" t="n">
        <v>8</v>
      </c>
      <c r="AD1080" s="112" t="str">
        <f>VERW_Project!BQ82</f>
        <v/>
      </c>
      <c r="AE1080" s="112">
        <f>IF(AND(VERW_Project!$A82&lt;&gt;"",ISNUMBER(AD1080)),1,0)</f>
        <v>0</v>
      </c>
      <c r="AF1080" s="112" t="str">
        <f>IF(AE1080=1,SUM($AE$8:AE1080),"")</f>
        <v/>
      </c>
      <c r="AG1080" t="str">
        <f>IFERROR(MATCH(1073,$AF$8:$AF$1407,0),"")</f>
        <v/>
      </c>
    </row>
    <row r="1081">
      <c r="A1081" s="92" t="str">
        <f>IF($AG1081="","",P_ImportID)</f>
        <v/>
      </c>
      <c r="B1081" s="92" t="str">
        <f>IF($AG1081="","",IF(INDEX($AN$8:$AN$21,INDEX($AC$8:$AC$1407,$AG1081)+1)="Z",P_BronZ,P_BronE))</f>
        <v/>
      </c>
      <c r="C1081" s="108" t="str">
        <f>IF($AG1081="","",P_Importdatum)</f>
        <v/>
      </c>
      <c r="D1081" s="92" t="str">
        <f>IF($AG1081="","",P_StatusVastleg)</f>
        <v/>
      </c>
      <c r="E1081" s="92" t="str">
        <f>IF($AG1081="","",P_UploadVJ)</f>
        <v/>
      </c>
      <c r="F1081" s="92" t="str">
        <f>IF($AG1081="","",P_UploadVersie)</f>
        <v/>
      </c>
      <c r="G1081" s="92" t="str">
        <f>IF($AG1081="","",IF(COUNTIFS(L_Sleutel,$S1081,L_Status,"Vastgesteld")=0,0,_xlfn.MAXIFS(L_Revisie,L_Sleutel,$S1081,L_Status,"Vastgesteld")+1))</f>
        <v/>
      </c>
      <c r="H1081" s="108" t="str">
        <f>IF($AG1081="","",P_Peildatum)</f>
        <v/>
      </c>
      <c r="I1081" s="92" t="str">
        <f>IF($AG1081="","",P_RJ+INDEX($AK$8:$AK$21,INDEX($AC$8:$AC$1407,$AG1081)+1))</f>
        <v/>
      </c>
      <c r="J1081" s="92" t="str">
        <f>IF($AG1081="","",INDEX(V_WBS,INDEX($AB$8:$AB$1407,$AG1081)))</f>
        <v/>
      </c>
      <c r="K1081" s="92" t="str">
        <f>IF($AG1081="","",INDEX(V_Projdef,INDEX($AB$8:$AB$1407,$AG1081)))</f>
        <v/>
      </c>
      <c r="L1081" s="92" t="str">
        <f>IF($AG1081="","",INDEX(V_Naam,INDEX($AB$8:$AB$1407,$AG1081)))</f>
        <v/>
      </c>
      <c r="M1081" s="92" t="str">
        <f>IF($AG1081="","",INDEX(V_Type,INDEX($AB$8:$AB$1407,$AG1081)))</f>
        <v/>
      </c>
      <c r="N1081" s="92" t="str">
        <f>IF($AG1081="","",INDEX(V_IFRS,INDEX($AB$8:$AB$1407,$AG1081)))</f>
        <v/>
      </c>
      <c r="O1081" s="92" t="str">
        <f>IF($AG1081="","",INDEX($AL$8:$AL$21,INDEX($AC$8:$AC$1407,$AG1081)+1))</f>
        <v/>
      </c>
      <c r="P1081" s="109" t="str">
        <f>IF($AG1081="","",INDEX($AD$8:$AD$1407,$AG1081))</f>
        <v/>
      </c>
      <c r="Q1081" s="92" t="str">
        <f>IF($AG1081="","",INDEX($AM$8:$AM$21,INDEX($AC$8:$AC$1407,$AG1081)+1))</f>
        <v/>
      </c>
      <c r="R1081" s="92" t="str">
        <f>IF($AG1081="","",IF($G1081&gt;0,P_ToelCorrectie&amp;"",""))</f>
        <v/>
      </c>
      <c r="S1081" s="15" t="str">
        <f>IF(J1081="","",J1081&amp;"|"&amp;E1081&amp;"|"&amp;F1081&amp;"|"&amp;I1081&amp;"|"&amp;O1081)</f>
        <v/>
      </c>
      <c r="T1081" s="111" t="str">
        <f>IF(S1081="","",IF(COUNTIFS(L_Sleutel,S1081,L_Actief,1)=0,"",SUMIFS(L_Waarde,L_Sleutel,S1081,L_Actief,1)))</f>
        <v/>
      </c>
      <c r="U1081" s="111">
        <f>IF(OR(S1081="",T1081=""),0,P1081-T1081)</f>
        <v>0</v>
      </c>
      <c r="AB1081" s="112" t="n">
        <v>77</v>
      </c>
      <c r="AC1081" s="112" t="n">
        <v>9</v>
      </c>
      <c r="AD1081" s="112" t="str">
        <f>VERW_Project!BR82</f>
        <v/>
      </c>
      <c r="AE1081" s="112">
        <f>IF(AND(VERW_Project!$A82&lt;&gt;"",ISNUMBER(AD1081)),1,0)</f>
        <v>0</v>
      </c>
      <c r="AF1081" s="112" t="str">
        <f>IF(AE1081=1,SUM($AE$8:AE1081),"")</f>
        <v/>
      </c>
      <c r="AG1081" t="str">
        <f>IFERROR(MATCH(1074,$AF$8:$AF$1407,0),"")</f>
        <v/>
      </c>
    </row>
    <row r="1082">
      <c r="A1082" s="92" t="str">
        <f>IF($AG1082="","",P_ImportID)</f>
        <v/>
      </c>
      <c r="B1082" s="92" t="str">
        <f>IF($AG1082="","",IF(INDEX($AN$8:$AN$21,INDEX($AC$8:$AC$1407,$AG1082)+1)="Z",P_BronZ,P_BronE))</f>
        <v/>
      </c>
      <c r="C1082" s="108" t="str">
        <f>IF($AG1082="","",P_Importdatum)</f>
        <v/>
      </c>
      <c r="D1082" s="92" t="str">
        <f>IF($AG1082="","",P_StatusVastleg)</f>
        <v/>
      </c>
      <c r="E1082" s="92" t="str">
        <f>IF($AG1082="","",P_UploadVJ)</f>
        <v/>
      </c>
      <c r="F1082" s="92" t="str">
        <f>IF($AG1082="","",P_UploadVersie)</f>
        <v/>
      </c>
      <c r="G1082" s="92" t="str">
        <f>IF($AG1082="","",IF(COUNTIFS(L_Sleutel,$S1082,L_Status,"Vastgesteld")=0,0,_xlfn.MAXIFS(L_Revisie,L_Sleutel,$S1082,L_Status,"Vastgesteld")+1))</f>
        <v/>
      </c>
      <c r="H1082" s="108" t="str">
        <f>IF($AG1082="","",P_Peildatum)</f>
        <v/>
      </c>
      <c r="I1082" s="92" t="str">
        <f>IF($AG1082="","",P_RJ+INDEX($AK$8:$AK$21,INDEX($AC$8:$AC$1407,$AG1082)+1))</f>
        <v/>
      </c>
      <c r="J1082" s="92" t="str">
        <f>IF($AG1082="","",INDEX(V_WBS,INDEX($AB$8:$AB$1407,$AG1082)))</f>
        <v/>
      </c>
      <c r="K1082" s="92" t="str">
        <f>IF($AG1082="","",INDEX(V_Projdef,INDEX($AB$8:$AB$1407,$AG1082)))</f>
        <v/>
      </c>
      <c r="L1082" s="92" t="str">
        <f>IF($AG1082="","",INDEX(V_Naam,INDEX($AB$8:$AB$1407,$AG1082)))</f>
        <v/>
      </c>
      <c r="M1082" s="92" t="str">
        <f>IF($AG1082="","",INDEX(V_Type,INDEX($AB$8:$AB$1407,$AG1082)))</f>
        <v/>
      </c>
      <c r="N1082" s="92" t="str">
        <f>IF($AG1082="","",INDEX(V_IFRS,INDEX($AB$8:$AB$1407,$AG1082)))</f>
        <v/>
      </c>
      <c r="O1082" s="92" t="str">
        <f>IF($AG1082="","",INDEX($AL$8:$AL$21,INDEX($AC$8:$AC$1407,$AG1082)+1))</f>
        <v/>
      </c>
      <c r="P1082" s="109" t="str">
        <f>IF($AG1082="","",INDEX($AD$8:$AD$1407,$AG1082))</f>
        <v/>
      </c>
      <c r="Q1082" s="92" t="str">
        <f>IF($AG1082="","",INDEX($AM$8:$AM$21,INDEX($AC$8:$AC$1407,$AG1082)+1))</f>
        <v/>
      </c>
      <c r="R1082" s="92" t="str">
        <f>IF($AG1082="","",IF($G1082&gt;0,P_ToelCorrectie&amp;"",""))</f>
        <v/>
      </c>
      <c r="S1082" s="15" t="str">
        <f>IF(J1082="","",J1082&amp;"|"&amp;E1082&amp;"|"&amp;F1082&amp;"|"&amp;I1082&amp;"|"&amp;O1082)</f>
        <v/>
      </c>
      <c r="T1082" s="111" t="str">
        <f>IF(S1082="","",IF(COUNTIFS(L_Sleutel,S1082,L_Actief,1)=0,"",SUMIFS(L_Waarde,L_Sleutel,S1082,L_Actief,1)))</f>
        <v/>
      </c>
      <c r="U1082" s="111">
        <f>IF(OR(S1082="",T1082=""),0,P1082-T1082)</f>
        <v>0</v>
      </c>
      <c r="AB1082" s="112" t="n">
        <v>77</v>
      </c>
      <c r="AC1082" s="112" t="n">
        <v>10</v>
      </c>
      <c r="AD1082" s="112" t="str">
        <f>VERW_Project!BS82</f>
        <v/>
      </c>
      <c r="AE1082" s="112">
        <f>IF(AND(VERW_Project!$A82&lt;&gt;"",ISNUMBER(AD1082)),1,0)</f>
        <v>0</v>
      </c>
      <c r="AF1082" s="112" t="str">
        <f>IF(AE1082=1,SUM($AE$8:AE1082),"")</f>
        <v/>
      </c>
      <c r="AG1082" t="str">
        <f>IFERROR(MATCH(1075,$AF$8:$AF$1407,0),"")</f>
        <v/>
      </c>
    </row>
    <row r="1083">
      <c r="A1083" s="92" t="str">
        <f>IF($AG1083="","",P_ImportID)</f>
        <v/>
      </c>
      <c r="B1083" s="92" t="str">
        <f>IF($AG1083="","",IF(INDEX($AN$8:$AN$21,INDEX($AC$8:$AC$1407,$AG1083)+1)="Z",P_BronZ,P_BronE))</f>
        <v/>
      </c>
      <c r="C1083" s="108" t="str">
        <f>IF($AG1083="","",P_Importdatum)</f>
        <v/>
      </c>
      <c r="D1083" s="92" t="str">
        <f>IF($AG1083="","",P_StatusVastleg)</f>
        <v/>
      </c>
      <c r="E1083" s="92" t="str">
        <f>IF($AG1083="","",P_UploadVJ)</f>
        <v/>
      </c>
      <c r="F1083" s="92" t="str">
        <f>IF($AG1083="","",P_UploadVersie)</f>
        <v/>
      </c>
      <c r="G1083" s="92" t="str">
        <f>IF($AG1083="","",IF(COUNTIFS(L_Sleutel,$S1083,L_Status,"Vastgesteld")=0,0,_xlfn.MAXIFS(L_Revisie,L_Sleutel,$S1083,L_Status,"Vastgesteld")+1))</f>
        <v/>
      </c>
      <c r="H1083" s="108" t="str">
        <f>IF($AG1083="","",P_Peildatum)</f>
        <v/>
      </c>
      <c r="I1083" s="92" t="str">
        <f>IF($AG1083="","",P_RJ+INDEX($AK$8:$AK$21,INDEX($AC$8:$AC$1407,$AG1083)+1))</f>
        <v/>
      </c>
      <c r="J1083" s="92" t="str">
        <f>IF($AG1083="","",INDEX(V_WBS,INDEX($AB$8:$AB$1407,$AG1083)))</f>
        <v/>
      </c>
      <c r="K1083" s="92" t="str">
        <f>IF($AG1083="","",INDEX(V_Projdef,INDEX($AB$8:$AB$1407,$AG1083)))</f>
        <v/>
      </c>
      <c r="L1083" s="92" t="str">
        <f>IF($AG1083="","",INDEX(V_Naam,INDEX($AB$8:$AB$1407,$AG1083)))</f>
        <v/>
      </c>
      <c r="M1083" s="92" t="str">
        <f>IF($AG1083="","",INDEX(V_Type,INDEX($AB$8:$AB$1407,$AG1083)))</f>
        <v/>
      </c>
      <c r="N1083" s="92" t="str">
        <f>IF($AG1083="","",INDEX(V_IFRS,INDEX($AB$8:$AB$1407,$AG1083)))</f>
        <v/>
      </c>
      <c r="O1083" s="92" t="str">
        <f>IF($AG1083="","",INDEX($AL$8:$AL$21,INDEX($AC$8:$AC$1407,$AG1083)+1))</f>
        <v/>
      </c>
      <c r="P1083" s="109" t="str">
        <f>IF($AG1083="","",INDEX($AD$8:$AD$1407,$AG1083))</f>
        <v/>
      </c>
      <c r="Q1083" s="92" t="str">
        <f>IF($AG1083="","",INDEX($AM$8:$AM$21,INDEX($AC$8:$AC$1407,$AG1083)+1))</f>
        <v/>
      </c>
      <c r="R1083" s="92" t="str">
        <f>IF($AG1083="","",IF($G1083&gt;0,P_ToelCorrectie&amp;"",""))</f>
        <v/>
      </c>
      <c r="S1083" s="15" t="str">
        <f>IF(J1083="","",J1083&amp;"|"&amp;E1083&amp;"|"&amp;F1083&amp;"|"&amp;I1083&amp;"|"&amp;O1083)</f>
        <v/>
      </c>
      <c r="T1083" s="111" t="str">
        <f>IF(S1083="","",IF(COUNTIFS(L_Sleutel,S1083,L_Actief,1)=0,"",SUMIFS(L_Waarde,L_Sleutel,S1083,L_Actief,1)))</f>
        <v/>
      </c>
      <c r="U1083" s="111">
        <f>IF(OR(S1083="",T1083=""),0,P1083-T1083)</f>
        <v>0</v>
      </c>
      <c r="AB1083" s="112" t="n">
        <v>77</v>
      </c>
      <c r="AC1083" s="112" t="n">
        <v>11</v>
      </c>
      <c r="AD1083" s="112" t="str">
        <f>VERW_Project!BT82</f>
        <v/>
      </c>
      <c r="AE1083" s="112">
        <f>IF(AND(VERW_Project!$A82&lt;&gt;"",ISNUMBER(AD1083)),1,0)</f>
        <v>0</v>
      </c>
      <c r="AF1083" s="112" t="str">
        <f>IF(AE1083=1,SUM($AE$8:AE1083),"")</f>
        <v/>
      </c>
      <c r="AG1083" t="str">
        <f>IFERROR(MATCH(1076,$AF$8:$AF$1407,0),"")</f>
        <v/>
      </c>
    </row>
    <row r="1084">
      <c r="A1084" s="92" t="str">
        <f>IF($AG1084="","",P_ImportID)</f>
        <v/>
      </c>
      <c r="B1084" s="92" t="str">
        <f>IF($AG1084="","",IF(INDEX($AN$8:$AN$21,INDEX($AC$8:$AC$1407,$AG1084)+1)="Z",P_BronZ,P_BronE))</f>
        <v/>
      </c>
      <c r="C1084" s="108" t="str">
        <f>IF($AG1084="","",P_Importdatum)</f>
        <v/>
      </c>
      <c r="D1084" s="92" t="str">
        <f>IF($AG1084="","",P_StatusVastleg)</f>
        <v/>
      </c>
      <c r="E1084" s="92" t="str">
        <f>IF($AG1084="","",P_UploadVJ)</f>
        <v/>
      </c>
      <c r="F1084" s="92" t="str">
        <f>IF($AG1084="","",P_UploadVersie)</f>
        <v/>
      </c>
      <c r="G1084" s="92" t="str">
        <f>IF($AG1084="","",IF(COUNTIFS(L_Sleutel,$S1084,L_Status,"Vastgesteld")=0,0,_xlfn.MAXIFS(L_Revisie,L_Sleutel,$S1084,L_Status,"Vastgesteld")+1))</f>
        <v/>
      </c>
      <c r="H1084" s="108" t="str">
        <f>IF($AG1084="","",P_Peildatum)</f>
        <v/>
      </c>
      <c r="I1084" s="92" t="str">
        <f>IF($AG1084="","",P_RJ+INDEX($AK$8:$AK$21,INDEX($AC$8:$AC$1407,$AG1084)+1))</f>
        <v/>
      </c>
      <c r="J1084" s="92" t="str">
        <f>IF($AG1084="","",INDEX(V_WBS,INDEX($AB$8:$AB$1407,$AG1084)))</f>
        <v/>
      </c>
      <c r="K1084" s="92" t="str">
        <f>IF($AG1084="","",INDEX(V_Projdef,INDEX($AB$8:$AB$1407,$AG1084)))</f>
        <v/>
      </c>
      <c r="L1084" s="92" t="str">
        <f>IF($AG1084="","",INDEX(V_Naam,INDEX($AB$8:$AB$1407,$AG1084)))</f>
        <v/>
      </c>
      <c r="M1084" s="92" t="str">
        <f>IF($AG1084="","",INDEX(V_Type,INDEX($AB$8:$AB$1407,$AG1084)))</f>
        <v/>
      </c>
      <c r="N1084" s="92" t="str">
        <f>IF($AG1084="","",INDEX(V_IFRS,INDEX($AB$8:$AB$1407,$AG1084)))</f>
        <v/>
      </c>
      <c r="O1084" s="92" t="str">
        <f>IF($AG1084="","",INDEX($AL$8:$AL$21,INDEX($AC$8:$AC$1407,$AG1084)+1))</f>
        <v/>
      </c>
      <c r="P1084" s="109" t="str">
        <f>IF($AG1084="","",INDEX($AD$8:$AD$1407,$AG1084))</f>
        <v/>
      </c>
      <c r="Q1084" s="92" t="str">
        <f>IF($AG1084="","",INDEX($AM$8:$AM$21,INDEX($AC$8:$AC$1407,$AG1084)+1))</f>
        <v/>
      </c>
      <c r="R1084" s="92" t="str">
        <f>IF($AG1084="","",IF($G1084&gt;0,P_ToelCorrectie&amp;"",""))</f>
        <v/>
      </c>
      <c r="S1084" s="15" t="str">
        <f>IF(J1084="","",J1084&amp;"|"&amp;E1084&amp;"|"&amp;F1084&amp;"|"&amp;I1084&amp;"|"&amp;O1084)</f>
        <v/>
      </c>
      <c r="T1084" s="111" t="str">
        <f>IF(S1084="","",IF(COUNTIFS(L_Sleutel,S1084,L_Actief,1)=0,"",SUMIFS(L_Waarde,L_Sleutel,S1084,L_Actief,1)))</f>
        <v/>
      </c>
      <c r="U1084" s="111">
        <f>IF(OR(S1084="",T1084=""),0,P1084-T1084)</f>
        <v>0</v>
      </c>
      <c r="AB1084" s="112" t="n">
        <v>77</v>
      </c>
      <c r="AC1084" s="112" t="n">
        <v>12</v>
      </c>
      <c r="AD1084" s="112" t="str">
        <f>VERW_Project!BU82</f>
        <v/>
      </c>
      <c r="AE1084" s="112">
        <f>IF(AND(VERW_Project!$A82&lt;&gt;"",ISNUMBER(AD1084)),1,0)</f>
        <v>0</v>
      </c>
      <c r="AF1084" s="112" t="str">
        <f>IF(AE1084=1,SUM($AE$8:AE1084),"")</f>
        <v/>
      </c>
      <c r="AG1084" t="str">
        <f>IFERROR(MATCH(1077,$AF$8:$AF$1407,0),"")</f>
        <v/>
      </c>
    </row>
    <row r="1085">
      <c r="A1085" s="92" t="str">
        <f>IF($AG1085="","",P_ImportID)</f>
        <v/>
      </c>
      <c r="B1085" s="92" t="str">
        <f>IF($AG1085="","",IF(INDEX($AN$8:$AN$21,INDEX($AC$8:$AC$1407,$AG1085)+1)="Z",P_BronZ,P_BronE))</f>
        <v/>
      </c>
      <c r="C1085" s="108" t="str">
        <f>IF($AG1085="","",P_Importdatum)</f>
        <v/>
      </c>
      <c r="D1085" s="92" t="str">
        <f>IF($AG1085="","",P_StatusVastleg)</f>
        <v/>
      </c>
      <c r="E1085" s="92" t="str">
        <f>IF($AG1085="","",P_UploadVJ)</f>
        <v/>
      </c>
      <c r="F1085" s="92" t="str">
        <f>IF($AG1085="","",P_UploadVersie)</f>
        <v/>
      </c>
      <c r="G1085" s="92" t="str">
        <f>IF($AG1085="","",IF(COUNTIFS(L_Sleutel,$S1085,L_Status,"Vastgesteld")=0,0,_xlfn.MAXIFS(L_Revisie,L_Sleutel,$S1085,L_Status,"Vastgesteld")+1))</f>
        <v/>
      </c>
      <c r="H1085" s="108" t="str">
        <f>IF($AG1085="","",P_Peildatum)</f>
        <v/>
      </c>
      <c r="I1085" s="92" t="str">
        <f>IF($AG1085="","",P_RJ+INDEX($AK$8:$AK$21,INDEX($AC$8:$AC$1407,$AG1085)+1))</f>
        <v/>
      </c>
      <c r="J1085" s="92" t="str">
        <f>IF($AG1085="","",INDEX(V_WBS,INDEX($AB$8:$AB$1407,$AG1085)))</f>
        <v/>
      </c>
      <c r="K1085" s="92" t="str">
        <f>IF($AG1085="","",INDEX(V_Projdef,INDEX($AB$8:$AB$1407,$AG1085)))</f>
        <v/>
      </c>
      <c r="L1085" s="92" t="str">
        <f>IF($AG1085="","",INDEX(V_Naam,INDEX($AB$8:$AB$1407,$AG1085)))</f>
        <v/>
      </c>
      <c r="M1085" s="92" t="str">
        <f>IF($AG1085="","",INDEX(V_Type,INDEX($AB$8:$AB$1407,$AG1085)))</f>
        <v/>
      </c>
      <c r="N1085" s="92" t="str">
        <f>IF($AG1085="","",INDEX(V_IFRS,INDEX($AB$8:$AB$1407,$AG1085)))</f>
        <v/>
      </c>
      <c r="O1085" s="92" t="str">
        <f>IF($AG1085="","",INDEX($AL$8:$AL$21,INDEX($AC$8:$AC$1407,$AG1085)+1))</f>
        <v/>
      </c>
      <c r="P1085" s="109" t="str">
        <f>IF($AG1085="","",INDEX($AD$8:$AD$1407,$AG1085))</f>
        <v/>
      </c>
      <c r="Q1085" s="92" t="str">
        <f>IF($AG1085="","",INDEX($AM$8:$AM$21,INDEX($AC$8:$AC$1407,$AG1085)+1))</f>
        <v/>
      </c>
      <c r="R1085" s="92" t="str">
        <f>IF($AG1085="","",IF($G1085&gt;0,P_ToelCorrectie&amp;"",""))</f>
        <v/>
      </c>
      <c r="S1085" s="15" t="str">
        <f>IF(J1085="","",J1085&amp;"|"&amp;E1085&amp;"|"&amp;F1085&amp;"|"&amp;I1085&amp;"|"&amp;O1085)</f>
        <v/>
      </c>
      <c r="T1085" s="111" t="str">
        <f>IF(S1085="","",IF(COUNTIFS(L_Sleutel,S1085,L_Actief,1)=0,"",SUMIFS(L_Waarde,L_Sleutel,S1085,L_Actief,1)))</f>
        <v/>
      </c>
      <c r="U1085" s="111">
        <f>IF(OR(S1085="",T1085=""),0,P1085-T1085)</f>
        <v>0</v>
      </c>
      <c r="AB1085" s="112" t="n">
        <v>77</v>
      </c>
      <c r="AC1085" s="112" t="n">
        <v>13</v>
      </c>
      <c r="AD1085" s="112" t="str">
        <f>VERW_Project!BX82</f>
        <v/>
      </c>
      <c r="AE1085" s="112">
        <f>IF(AND(VERW_Project!$A82&lt;&gt;"",ISNUMBER(AD1085)),1,0)</f>
        <v>0</v>
      </c>
      <c r="AF1085" s="112" t="str">
        <f>IF(AE1085=1,SUM($AE$8:AE1085),"")</f>
        <v/>
      </c>
      <c r="AG1085" t="str">
        <f>IFERROR(MATCH(1078,$AF$8:$AF$1407,0),"")</f>
        <v/>
      </c>
    </row>
    <row r="1086">
      <c r="A1086" s="92" t="str">
        <f>IF($AG1086="","",P_ImportID)</f>
        <v/>
      </c>
      <c r="B1086" s="92" t="str">
        <f>IF($AG1086="","",IF(INDEX($AN$8:$AN$21,INDEX($AC$8:$AC$1407,$AG1086)+1)="Z",P_BronZ,P_BronE))</f>
        <v/>
      </c>
      <c r="C1086" s="108" t="str">
        <f>IF($AG1086="","",P_Importdatum)</f>
        <v/>
      </c>
      <c r="D1086" s="92" t="str">
        <f>IF($AG1086="","",P_StatusVastleg)</f>
        <v/>
      </c>
      <c r="E1086" s="92" t="str">
        <f>IF($AG1086="","",P_UploadVJ)</f>
        <v/>
      </c>
      <c r="F1086" s="92" t="str">
        <f>IF($AG1086="","",P_UploadVersie)</f>
        <v/>
      </c>
      <c r="G1086" s="92" t="str">
        <f>IF($AG1086="","",IF(COUNTIFS(L_Sleutel,$S1086,L_Status,"Vastgesteld")=0,0,_xlfn.MAXIFS(L_Revisie,L_Sleutel,$S1086,L_Status,"Vastgesteld")+1))</f>
        <v/>
      </c>
      <c r="H1086" s="108" t="str">
        <f>IF($AG1086="","",P_Peildatum)</f>
        <v/>
      </c>
      <c r="I1086" s="92" t="str">
        <f>IF($AG1086="","",P_RJ+INDEX($AK$8:$AK$21,INDEX($AC$8:$AC$1407,$AG1086)+1))</f>
        <v/>
      </c>
      <c r="J1086" s="92" t="str">
        <f>IF($AG1086="","",INDEX(V_WBS,INDEX($AB$8:$AB$1407,$AG1086)))</f>
        <v/>
      </c>
      <c r="K1086" s="92" t="str">
        <f>IF($AG1086="","",INDEX(V_Projdef,INDEX($AB$8:$AB$1407,$AG1086)))</f>
        <v/>
      </c>
      <c r="L1086" s="92" t="str">
        <f>IF($AG1086="","",INDEX(V_Naam,INDEX($AB$8:$AB$1407,$AG1086)))</f>
        <v/>
      </c>
      <c r="M1086" s="92" t="str">
        <f>IF($AG1086="","",INDEX(V_Type,INDEX($AB$8:$AB$1407,$AG1086)))</f>
        <v/>
      </c>
      <c r="N1086" s="92" t="str">
        <f>IF($AG1086="","",INDEX(V_IFRS,INDEX($AB$8:$AB$1407,$AG1086)))</f>
        <v/>
      </c>
      <c r="O1086" s="92" t="str">
        <f>IF($AG1086="","",INDEX($AL$8:$AL$21,INDEX($AC$8:$AC$1407,$AG1086)+1))</f>
        <v/>
      </c>
      <c r="P1086" s="109" t="str">
        <f>IF($AG1086="","",INDEX($AD$8:$AD$1407,$AG1086))</f>
        <v/>
      </c>
      <c r="Q1086" s="92" t="str">
        <f>IF($AG1086="","",INDEX($AM$8:$AM$21,INDEX($AC$8:$AC$1407,$AG1086)+1))</f>
        <v/>
      </c>
      <c r="R1086" s="92" t="str">
        <f>IF($AG1086="","",IF($G1086&gt;0,P_ToelCorrectie&amp;"",""))</f>
        <v/>
      </c>
      <c r="S1086" s="15" t="str">
        <f>IF(J1086="","",J1086&amp;"|"&amp;E1086&amp;"|"&amp;F1086&amp;"|"&amp;I1086&amp;"|"&amp;O1086)</f>
        <v/>
      </c>
      <c r="T1086" s="111" t="str">
        <f>IF(S1086="","",IF(COUNTIFS(L_Sleutel,S1086,L_Actief,1)=0,"",SUMIFS(L_Waarde,L_Sleutel,S1086,L_Actief,1)))</f>
        <v/>
      </c>
      <c r="U1086" s="111">
        <f>IF(OR(S1086="",T1086=""),0,P1086-T1086)</f>
        <v>0</v>
      </c>
      <c r="AB1086" s="112" t="n">
        <v>78</v>
      </c>
      <c r="AC1086" s="112" t="n">
        <v>0</v>
      </c>
      <c r="AD1086" s="112" t="str">
        <f>VERW_Project!P83</f>
        <v/>
      </c>
      <c r="AE1086" s="112">
        <f>IF(AND(VERW_Project!$A83&lt;&gt;"",ISNUMBER(AD1086)),1,0)</f>
        <v>0</v>
      </c>
      <c r="AF1086" s="112" t="str">
        <f>IF(AE1086=1,SUM($AE$8:AE1086),"")</f>
        <v/>
      </c>
      <c r="AG1086" t="str">
        <f>IFERROR(MATCH(1079,$AF$8:$AF$1407,0),"")</f>
        <v/>
      </c>
    </row>
    <row r="1087">
      <c r="A1087" s="92" t="str">
        <f>IF($AG1087="","",P_ImportID)</f>
        <v/>
      </c>
      <c r="B1087" s="92" t="str">
        <f>IF($AG1087="","",IF(INDEX($AN$8:$AN$21,INDEX($AC$8:$AC$1407,$AG1087)+1)="Z",P_BronZ,P_BronE))</f>
        <v/>
      </c>
      <c r="C1087" s="108" t="str">
        <f>IF($AG1087="","",P_Importdatum)</f>
        <v/>
      </c>
      <c r="D1087" s="92" t="str">
        <f>IF($AG1087="","",P_StatusVastleg)</f>
        <v/>
      </c>
      <c r="E1087" s="92" t="str">
        <f>IF($AG1087="","",P_UploadVJ)</f>
        <v/>
      </c>
      <c r="F1087" s="92" t="str">
        <f>IF($AG1087="","",P_UploadVersie)</f>
        <v/>
      </c>
      <c r="G1087" s="92" t="str">
        <f>IF($AG1087="","",IF(COUNTIFS(L_Sleutel,$S1087,L_Status,"Vastgesteld")=0,0,_xlfn.MAXIFS(L_Revisie,L_Sleutel,$S1087,L_Status,"Vastgesteld")+1))</f>
        <v/>
      </c>
      <c r="H1087" s="108" t="str">
        <f>IF($AG1087="","",P_Peildatum)</f>
        <v/>
      </c>
      <c r="I1087" s="92" t="str">
        <f>IF($AG1087="","",P_RJ+INDEX($AK$8:$AK$21,INDEX($AC$8:$AC$1407,$AG1087)+1))</f>
        <v/>
      </c>
      <c r="J1087" s="92" t="str">
        <f>IF($AG1087="","",INDEX(V_WBS,INDEX($AB$8:$AB$1407,$AG1087)))</f>
        <v/>
      </c>
      <c r="K1087" s="92" t="str">
        <f>IF($AG1087="","",INDEX(V_Projdef,INDEX($AB$8:$AB$1407,$AG1087)))</f>
        <v/>
      </c>
      <c r="L1087" s="92" t="str">
        <f>IF($AG1087="","",INDEX(V_Naam,INDEX($AB$8:$AB$1407,$AG1087)))</f>
        <v/>
      </c>
      <c r="M1087" s="92" t="str">
        <f>IF($AG1087="","",INDEX(V_Type,INDEX($AB$8:$AB$1407,$AG1087)))</f>
        <v/>
      </c>
      <c r="N1087" s="92" t="str">
        <f>IF($AG1087="","",INDEX(V_IFRS,INDEX($AB$8:$AB$1407,$AG1087)))</f>
        <v/>
      </c>
      <c r="O1087" s="92" t="str">
        <f>IF($AG1087="","",INDEX($AL$8:$AL$21,INDEX($AC$8:$AC$1407,$AG1087)+1))</f>
        <v/>
      </c>
      <c r="P1087" s="109" t="str">
        <f>IF($AG1087="","",INDEX($AD$8:$AD$1407,$AG1087))</f>
        <v/>
      </c>
      <c r="Q1087" s="92" t="str">
        <f>IF($AG1087="","",INDEX($AM$8:$AM$21,INDEX($AC$8:$AC$1407,$AG1087)+1))</f>
        <v/>
      </c>
      <c r="R1087" s="92" t="str">
        <f>IF($AG1087="","",IF($G1087&gt;0,P_ToelCorrectie&amp;"",""))</f>
        <v/>
      </c>
      <c r="S1087" s="15" t="str">
        <f>IF(J1087="","",J1087&amp;"|"&amp;E1087&amp;"|"&amp;F1087&amp;"|"&amp;I1087&amp;"|"&amp;O1087)</f>
        <v/>
      </c>
      <c r="T1087" s="111" t="str">
        <f>IF(S1087="","",IF(COUNTIFS(L_Sleutel,S1087,L_Actief,1)=0,"",SUMIFS(L_Waarde,L_Sleutel,S1087,L_Actief,1)))</f>
        <v/>
      </c>
      <c r="U1087" s="111">
        <f>IF(OR(S1087="",T1087=""),0,P1087-T1087)</f>
        <v>0</v>
      </c>
      <c r="AB1087" s="112" t="n">
        <v>78</v>
      </c>
      <c r="AC1087" s="112" t="n">
        <v>1</v>
      </c>
      <c r="AD1087" s="112" t="str">
        <f>VERW_Project!Q83</f>
        <v/>
      </c>
      <c r="AE1087" s="112">
        <f>IF(AND(VERW_Project!$A83&lt;&gt;"",ISNUMBER(AD1087)),1,0)</f>
        <v>0</v>
      </c>
      <c r="AF1087" s="112" t="str">
        <f>IF(AE1087=1,SUM($AE$8:AE1087),"")</f>
        <v/>
      </c>
      <c r="AG1087" t="str">
        <f>IFERROR(MATCH(1080,$AF$8:$AF$1407,0),"")</f>
        <v/>
      </c>
    </row>
    <row r="1088">
      <c r="A1088" s="92" t="str">
        <f>IF($AG1088="","",P_ImportID)</f>
        <v/>
      </c>
      <c r="B1088" s="92" t="str">
        <f>IF($AG1088="","",IF(INDEX($AN$8:$AN$21,INDEX($AC$8:$AC$1407,$AG1088)+1)="Z",P_BronZ,P_BronE))</f>
        <v/>
      </c>
      <c r="C1088" s="108" t="str">
        <f>IF($AG1088="","",P_Importdatum)</f>
        <v/>
      </c>
      <c r="D1088" s="92" t="str">
        <f>IF($AG1088="","",P_StatusVastleg)</f>
        <v/>
      </c>
      <c r="E1088" s="92" t="str">
        <f>IF($AG1088="","",P_UploadVJ)</f>
        <v/>
      </c>
      <c r="F1088" s="92" t="str">
        <f>IF($AG1088="","",P_UploadVersie)</f>
        <v/>
      </c>
      <c r="G1088" s="92" t="str">
        <f>IF($AG1088="","",IF(COUNTIFS(L_Sleutel,$S1088,L_Status,"Vastgesteld")=0,0,_xlfn.MAXIFS(L_Revisie,L_Sleutel,$S1088,L_Status,"Vastgesteld")+1))</f>
        <v/>
      </c>
      <c r="H1088" s="108" t="str">
        <f>IF($AG1088="","",P_Peildatum)</f>
        <v/>
      </c>
      <c r="I1088" s="92" t="str">
        <f>IF($AG1088="","",P_RJ+INDEX($AK$8:$AK$21,INDEX($AC$8:$AC$1407,$AG1088)+1))</f>
        <v/>
      </c>
      <c r="J1088" s="92" t="str">
        <f>IF($AG1088="","",INDEX(V_WBS,INDEX($AB$8:$AB$1407,$AG1088)))</f>
        <v/>
      </c>
      <c r="K1088" s="92" t="str">
        <f>IF($AG1088="","",INDEX(V_Projdef,INDEX($AB$8:$AB$1407,$AG1088)))</f>
        <v/>
      </c>
      <c r="L1088" s="92" t="str">
        <f>IF($AG1088="","",INDEX(V_Naam,INDEX($AB$8:$AB$1407,$AG1088)))</f>
        <v/>
      </c>
      <c r="M1088" s="92" t="str">
        <f>IF($AG1088="","",INDEX(V_Type,INDEX($AB$8:$AB$1407,$AG1088)))</f>
        <v/>
      </c>
      <c r="N1088" s="92" t="str">
        <f>IF($AG1088="","",INDEX(V_IFRS,INDEX($AB$8:$AB$1407,$AG1088)))</f>
        <v/>
      </c>
      <c r="O1088" s="92" t="str">
        <f>IF($AG1088="","",INDEX($AL$8:$AL$21,INDEX($AC$8:$AC$1407,$AG1088)+1))</f>
        <v/>
      </c>
      <c r="P1088" s="109" t="str">
        <f>IF($AG1088="","",INDEX($AD$8:$AD$1407,$AG1088))</f>
        <v/>
      </c>
      <c r="Q1088" s="92" t="str">
        <f>IF($AG1088="","",INDEX($AM$8:$AM$21,INDEX($AC$8:$AC$1407,$AG1088)+1))</f>
        <v/>
      </c>
      <c r="R1088" s="92" t="str">
        <f>IF($AG1088="","",IF($G1088&gt;0,P_ToelCorrectie&amp;"",""))</f>
        <v/>
      </c>
      <c r="S1088" s="15" t="str">
        <f>IF(J1088="","",J1088&amp;"|"&amp;E1088&amp;"|"&amp;F1088&amp;"|"&amp;I1088&amp;"|"&amp;O1088)</f>
        <v/>
      </c>
      <c r="T1088" s="111" t="str">
        <f>IF(S1088="","",IF(COUNTIFS(L_Sleutel,S1088,L_Actief,1)=0,"",SUMIFS(L_Waarde,L_Sleutel,S1088,L_Actief,1)))</f>
        <v/>
      </c>
      <c r="U1088" s="111">
        <f>IF(OR(S1088="",T1088=""),0,P1088-T1088)</f>
        <v>0</v>
      </c>
      <c r="AB1088" s="112" t="n">
        <v>78</v>
      </c>
      <c r="AC1088" s="112" t="n">
        <v>2</v>
      </c>
      <c r="AD1088" s="112" t="str">
        <f>VERW_Project!L83</f>
        <v/>
      </c>
      <c r="AE1088" s="112">
        <f>IF(AND(VERW_Project!$A83&lt;&gt;"",ISNUMBER(AD1088)),1,0)</f>
        <v>0</v>
      </c>
      <c r="AF1088" s="112" t="str">
        <f>IF(AE1088=1,SUM($AE$8:AE1088),"")</f>
        <v/>
      </c>
      <c r="AG1088" t="str">
        <f>IFERROR(MATCH(1081,$AF$8:$AF$1407,0),"")</f>
        <v/>
      </c>
    </row>
    <row r="1089">
      <c r="A1089" s="92" t="str">
        <f>IF($AG1089="","",P_ImportID)</f>
        <v/>
      </c>
      <c r="B1089" s="92" t="str">
        <f>IF($AG1089="","",IF(INDEX($AN$8:$AN$21,INDEX($AC$8:$AC$1407,$AG1089)+1)="Z",P_BronZ,P_BronE))</f>
        <v/>
      </c>
      <c r="C1089" s="108" t="str">
        <f>IF($AG1089="","",P_Importdatum)</f>
        <v/>
      </c>
      <c r="D1089" s="92" t="str">
        <f>IF($AG1089="","",P_StatusVastleg)</f>
        <v/>
      </c>
      <c r="E1089" s="92" t="str">
        <f>IF($AG1089="","",P_UploadVJ)</f>
        <v/>
      </c>
      <c r="F1089" s="92" t="str">
        <f>IF($AG1089="","",P_UploadVersie)</f>
        <v/>
      </c>
      <c r="G1089" s="92" t="str">
        <f>IF($AG1089="","",IF(COUNTIFS(L_Sleutel,$S1089,L_Status,"Vastgesteld")=0,0,_xlfn.MAXIFS(L_Revisie,L_Sleutel,$S1089,L_Status,"Vastgesteld")+1))</f>
        <v/>
      </c>
      <c r="H1089" s="108" t="str">
        <f>IF($AG1089="","",P_Peildatum)</f>
        <v/>
      </c>
      <c r="I1089" s="92" t="str">
        <f>IF($AG1089="","",P_RJ+INDEX($AK$8:$AK$21,INDEX($AC$8:$AC$1407,$AG1089)+1))</f>
        <v/>
      </c>
      <c r="J1089" s="92" t="str">
        <f>IF($AG1089="","",INDEX(V_WBS,INDEX($AB$8:$AB$1407,$AG1089)))</f>
        <v/>
      </c>
      <c r="K1089" s="92" t="str">
        <f>IF($AG1089="","",INDEX(V_Projdef,INDEX($AB$8:$AB$1407,$AG1089)))</f>
        <v/>
      </c>
      <c r="L1089" s="92" t="str">
        <f>IF($AG1089="","",INDEX(V_Naam,INDEX($AB$8:$AB$1407,$AG1089)))</f>
        <v/>
      </c>
      <c r="M1089" s="92" t="str">
        <f>IF($AG1089="","",INDEX(V_Type,INDEX($AB$8:$AB$1407,$AG1089)))</f>
        <v/>
      </c>
      <c r="N1089" s="92" t="str">
        <f>IF($AG1089="","",INDEX(V_IFRS,INDEX($AB$8:$AB$1407,$AG1089)))</f>
        <v/>
      </c>
      <c r="O1089" s="92" t="str">
        <f>IF($AG1089="","",INDEX($AL$8:$AL$21,INDEX($AC$8:$AC$1407,$AG1089)+1))</f>
        <v/>
      </c>
      <c r="P1089" s="109" t="str">
        <f>IF($AG1089="","",INDEX($AD$8:$AD$1407,$AG1089))</f>
        <v/>
      </c>
      <c r="Q1089" s="92" t="str">
        <f>IF($AG1089="","",INDEX($AM$8:$AM$21,INDEX($AC$8:$AC$1407,$AG1089)+1))</f>
        <v/>
      </c>
      <c r="R1089" s="92" t="str">
        <f>IF($AG1089="","",IF($G1089&gt;0,P_ToelCorrectie&amp;"",""))</f>
        <v/>
      </c>
      <c r="S1089" s="15" t="str">
        <f>IF(J1089="","",J1089&amp;"|"&amp;E1089&amp;"|"&amp;F1089&amp;"|"&amp;I1089&amp;"|"&amp;O1089)</f>
        <v/>
      </c>
      <c r="T1089" s="111" t="str">
        <f>IF(S1089="","",IF(COUNTIFS(L_Sleutel,S1089,L_Actief,1)=0,"",SUMIFS(L_Waarde,L_Sleutel,S1089,L_Actief,1)))</f>
        <v/>
      </c>
      <c r="U1089" s="111">
        <f>IF(OR(S1089="",T1089=""),0,P1089-T1089)</f>
        <v>0</v>
      </c>
      <c r="AB1089" s="112" t="n">
        <v>78</v>
      </c>
      <c r="AC1089" s="112" t="n">
        <v>3</v>
      </c>
      <c r="AD1089" s="112" t="str">
        <f>VERW_Project!M83</f>
        <v/>
      </c>
      <c r="AE1089" s="112">
        <f>IF(AND(VERW_Project!$A83&lt;&gt;"",ISNUMBER(AD1089)),1,0)</f>
        <v>0</v>
      </c>
      <c r="AF1089" s="112" t="str">
        <f>IF(AE1089=1,SUM($AE$8:AE1089),"")</f>
        <v/>
      </c>
      <c r="AG1089" t="str">
        <f>IFERROR(MATCH(1082,$AF$8:$AF$1407,0),"")</f>
        <v/>
      </c>
    </row>
    <row r="1090">
      <c r="A1090" s="92" t="str">
        <f>IF($AG1090="","",P_ImportID)</f>
        <v/>
      </c>
      <c r="B1090" s="92" t="str">
        <f>IF($AG1090="","",IF(INDEX($AN$8:$AN$21,INDEX($AC$8:$AC$1407,$AG1090)+1)="Z",P_BronZ,P_BronE))</f>
        <v/>
      </c>
      <c r="C1090" s="108" t="str">
        <f>IF($AG1090="","",P_Importdatum)</f>
        <v/>
      </c>
      <c r="D1090" s="92" t="str">
        <f>IF($AG1090="","",P_StatusVastleg)</f>
        <v/>
      </c>
      <c r="E1090" s="92" t="str">
        <f>IF($AG1090="","",P_UploadVJ)</f>
        <v/>
      </c>
      <c r="F1090" s="92" t="str">
        <f>IF($AG1090="","",P_UploadVersie)</f>
        <v/>
      </c>
      <c r="G1090" s="92" t="str">
        <f>IF($AG1090="","",IF(COUNTIFS(L_Sleutel,$S1090,L_Status,"Vastgesteld")=0,0,_xlfn.MAXIFS(L_Revisie,L_Sleutel,$S1090,L_Status,"Vastgesteld")+1))</f>
        <v/>
      </c>
      <c r="H1090" s="108" t="str">
        <f>IF($AG1090="","",P_Peildatum)</f>
        <v/>
      </c>
      <c r="I1090" s="92" t="str">
        <f>IF($AG1090="","",P_RJ+INDEX($AK$8:$AK$21,INDEX($AC$8:$AC$1407,$AG1090)+1))</f>
        <v/>
      </c>
      <c r="J1090" s="92" t="str">
        <f>IF($AG1090="","",INDEX(V_WBS,INDEX($AB$8:$AB$1407,$AG1090)))</f>
        <v/>
      </c>
      <c r="K1090" s="92" t="str">
        <f>IF($AG1090="","",INDEX(V_Projdef,INDEX($AB$8:$AB$1407,$AG1090)))</f>
        <v/>
      </c>
      <c r="L1090" s="92" t="str">
        <f>IF($AG1090="","",INDEX(V_Naam,INDEX($AB$8:$AB$1407,$AG1090)))</f>
        <v/>
      </c>
      <c r="M1090" s="92" t="str">
        <f>IF($AG1090="","",INDEX(V_Type,INDEX($AB$8:$AB$1407,$AG1090)))</f>
        <v/>
      </c>
      <c r="N1090" s="92" t="str">
        <f>IF($AG1090="","",INDEX(V_IFRS,INDEX($AB$8:$AB$1407,$AG1090)))</f>
        <v/>
      </c>
      <c r="O1090" s="92" t="str">
        <f>IF($AG1090="","",INDEX($AL$8:$AL$21,INDEX($AC$8:$AC$1407,$AG1090)+1))</f>
        <v/>
      </c>
      <c r="P1090" s="109" t="str">
        <f>IF($AG1090="","",INDEX($AD$8:$AD$1407,$AG1090))</f>
        <v/>
      </c>
      <c r="Q1090" s="92" t="str">
        <f>IF($AG1090="","",INDEX($AM$8:$AM$21,INDEX($AC$8:$AC$1407,$AG1090)+1))</f>
        <v/>
      </c>
      <c r="R1090" s="92" t="str">
        <f>IF($AG1090="","",IF($G1090&gt;0,P_ToelCorrectie&amp;"",""))</f>
        <v/>
      </c>
      <c r="S1090" s="15" t="str">
        <f>IF(J1090="","",J1090&amp;"|"&amp;E1090&amp;"|"&amp;F1090&amp;"|"&amp;I1090&amp;"|"&amp;O1090)</f>
        <v/>
      </c>
      <c r="T1090" s="111" t="str">
        <f>IF(S1090="","",IF(COUNTIFS(L_Sleutel,S1090,L_Actief,1)=0,"",SUMIFS(L_Waarde,L_Sleutel,S1090,L_Actief,1)))</f>
        <v/>
      </c>
      <c r="U1090" s="111">
        <f>IF(OR(S1090="",T1090=""),0,P1090-T1090)</f>
        <v>0</v>
      </c>
      <c r="AB1090" s="112" t="n">
        <v>78</v>
      </c>
      <c r="AC1090" s="112" t="n">
        <v>4</v>
      </c>
      <c r="AD1090" s="112" t="str">
        <f>VERW_Project!R83</f>
        <v/>
      </c>
      <c r="AE1090" s="112">
        <f>IF(AND(VERW_Project!$A83&lt;&gt;"",ISNUMBER(AD1090)),1,0)</f>
        <v>0</v>
      </c>
      <c r="AF1090" s="112" t="str">
        <f>IF(AE1090=1,SUM($AE$8:AE1090),"")</f>
        <v/>
      </c>
      <c r="AG1090" t="str">
        <f>IFERROR(MATCH(1083,$AF$8:$AF$1407,0),"")</f>
        <v/>
      </c>
    </row>
    <row r="1091">
      <c r="A1091" s="92" t="str">
        <f>IF($AG1091="","",P_ImportID)</f>
        <v/>
      </c>
      <c r="B1091" s="92" t="str">
        <f>IF($AG1091="","",IF(INDEX($AN$8:$AN$21,INDEX($AC$8:$AC$1407,$AG1091)+1)="Z",P_BronZ,P_BronE))</f>
        <v/>
      </c>
      <c r="C1091" s="108" t="str">
        <f>IF($AG1091="","",P_Importdatum)</f>
        <v/>
      </c>
      <c r="D1091" s="92" t="str">
        <f>IF($AG1091="","",P_StatusVastleg)</f>
        <v/>
      </c>
      <c r="E1091" s="92" t="str">
        <f>IF($AG1091="","",P_UploadVJ)</f>
        <v/>
      </c>
      <c r="F1091" s="92" t="str">
        <f>IF($AG1091="","",P_UploadVersie)</f>
        <v/>
      </c>
      <c r="G1091" s="92" t="str">
        <f>IF($AG1091="","",IF(COUNTIFS(L_Sleutel,$S1091,L_Status,"Vastgesteld")=0,0,_xlfn.MAXIFS(L_Revisie,L_Sleutel,$S1091,L_Status,"Vastgesteld")+1))</f>
        <v/>
      </c>
      <c r="H1091" s="108" t="str">
        <f>IF($AG1091="","",P_Peildatum)</f>
        <v/>
      </c>
      <c r="I1091" s="92" t="str">
        <f>IF($AG1091="","",P_RJ+INDEX($AK$8:$AK$21,INDEX($AC$8:$AC$1407,$AG1091)+1))</f>
        <v/>
      </c>
      <c r="J1091" s="92" t="str">
        <f>IF($AG1091="","",INDEX(V_WBS,INDEX($AB$8:$AB$1407,$AG1091)))</f>
        <v/>
      </c>
      <c r="K1091" s="92" t="str">
        <f>IF($AG1091="","",INDEX(V_Projdef,INDEX($AB$8:$AB$1407,$AG1091)))</f>
        <v/>
      </c>
      <c r="L1091" s="92" t="str">
        <f>IF($AG1091="","",INDEX(V_Naam,INDEX($AB$8:$AB$1407,$AG1091)))</f>
        <v/>
      </c>
      <c r="M1091" s="92" t="str">
        <f>IF($AG1091="","",INDEX(V_Type,INDEX($AB$8:$AB$1407,$AG1091)))</f>
        <v/>
      </c>
      <c r="N1091" s="92" t="str">
        <f>IF($AG1091="","",INDEX(V_IFRS,INDEX($AB$8:$AB$1407,$AG1091)))</f>
        <v/>
      </c>
      <c r="O1091" s="92" t="str">
        <f>IF($AG1091="","",INDEX($AL$8:$AL$21,INDEX($AC$8:$AC$1407,$AG1091)+1))</f>
        <v/>
      </c>
      <c r="P1091" s="109" t="str">
        <f>IF($AG1091="","",INDEX($AD$8:$AD$1407,$AG1091))</f>
        <v/>
      </c>
      <c r="Q1091" s="92" t="str">
        <f>IF($AG1091="","",INDEX($AM$8:$AM$21,INDEX($AC$8:$AC$1407,$AG1091)+1))</f>
        <v/>
      </c>
      <c r="R1091" s="92" t="str">
        <f>IF($AG1091="","",IF($G1091&gt;0,P_ToelCorrectie&amp;"",""))</f>
        <v/>
      </c>
      <c r="S1091" s="15" t="str">
        <f>IF(J1091="","",J1091&amp;"|"&amp;E1091&amp;"|"&amp;F1091&amp;"|"&amp;I1091&amp;"|"&amp;O1091)</f>
        <v/>
      </c>
      <c r="T1091" s="111" t="str">
        <f>IF(S1091="","",IF(COUNTIFS(L_Sleutel,S1091,L_Actief,1)=0,"",SUMIFS(L_Waarde,L_Sleutel,S1091,L_Actief,1)))</f>
        <v/>
      </c>
      <c r="U1091" s="111">
        <f>IF(OR(S1091="",T1091=""),0,P1091-T1091)</f>
        <v>0</v>
      </c>
      <c r="AB1091" s="112" t="n">
        <v>78</v>
      </c>
      <c r="AC1091" s="112" t="n">
        <v>5</v>
      </c>
      <c r="AD1091" s="112" t="str">
        <f>VERW_Project!S83</f>
        <v/>
      </c>
      <c r="AE1091" s="112">
        <f>IF(AND(VERW_Project!$A83&lt;&gt;"",ISNUMBER(AD1091)),1,0)</f>
        <v>0</v>
      </c>
      <c r="AF1091" s="112" t="str">
        <f>IF(AE1091=1,SUM($AE$8:AE1091),"")</f>
        <v/>
      </c>
      <c r="AG1091" t="str">
        <f>IFERROR(MATCH(1084,$AF$8:$AF$1407,0),"")</f>
        <v/>
      </c>
    </row>
    <row r="1092">
      <c r="A1092" s="92" t="str">
        <f>IF($AG1092="","",P_ImportID)</f>
        <v/>
      </c>
      <c r="B1092" s="92" t="str">
        <f>IF($AG1092="","",IF(INDEX($AN$8:$AN$21,INDEX($AC$8:$AC$1407,$AG1092)+1)="Z",P_BronZ,P_BronE))</f>
        <v/>
      </c>
      <c r="C1092" s="108" t="str">
        <f>IF($AG1092="","",P_Importdatum)</f>
        <v/>
      </c>
      <c r="D1092" s="92" t="str">
        <f>IF($AG1092="","",P_StatusVastleg)</f>
        <v/>
      </c>
      <c r="E1092" s="92" t="str">
        <f>IF($AG1092="","",P_UploadVJ)</f>
        <v/>
      </c>
      <c r="F1092" s="92" t="str">
        <f>IF($AG1092="","",P_UploadVersie)</f>
        <v/>
      </c>
      <c r="G1092" s="92" t="str">
        <f>IF($AG1092="","",IF(COUNTIFS(L_Sleutel,$S1092,L_Status,"Vastgesteld")=0,0,_xlfn.MAXIFS(L_Revisie,L_Sleutel,$S1092,L_Status,"Vastgesteld")+1))</f>
        <v/>
      </c>
      <c r="H1092" s="108" t="str">
        <f>IF($AG1092="","",P_Peildatum)</f>
        <v/>
      </c>
      <c r="I1092" s="92" t="str">
        <f>IF($AG1092="","",P_RJ+INDEX($AK$8:$AK$21,INDEX($AC$8:$AC$1407,$AG1092)+1))</f>
        <v/>
      </c>
      <c r="J1092" s="92" t="str">
        <f>IF($AG1092="","",INDEX(V_WBS,INDEX($AB$8:$AB$1407,$AG1092)))</f>
        <v/>
      </c>
      <c r="K1092" s="92" t="str">
        <f>IF($AG1092="","",INDEX(V_Projdef,INDEX($AB$8:$AB$1407,$AG1092)))</f>
        <v/>
      </c>
      <c r="L1092" s="92" t="str">
        <f>IF($AG1092="","",INDEX(V_Naam,INDEX($AB$8:$AB$1407,$AG1092)))</f>
        <v/>
      </c>
      <c r="M1092" s="92" t="str">
        <f>IF($AG1092="","",INDEX(V_Type,INDEX($AB$8:$AB$1407,$AG1092)))</f>
        <v/>
      </c>
      <c r="N1092" s="92" t="str">
        <f>IF($AG1092="","",INDEX(V_IFRS,INDEX($AB$8:$AB$1407,$AG1092)))</f>
        <v/>
      </c>
      <c r="O1092" s="92" t="str">
        <f>IF($AG1092="","",INDEX($AL$8:$AL$21,INDEX($AC$8:$AC$1407,$AG1092)+1))</f>
        <v/>
      </c>
      <c r="P1092" s="109" t="str">
        <f>IF($AG1092="","",INDEX($AD$8:$AD$1407,$AG1092))</f>
        <v/>
      </c>
      <c r="Q1092" s="92" t="str">
        <f>IF($AG1092="","",INDEX($AM$8:$AM$21,INDEX($AC$8:$AC$1407,$AG1092)+1))</f>
        <v/>
      </c>
      <c r="R1092" s="92" t="str">
        <f>IF($AG1092="","",IF($G1092&gt;0,P_ToelCorrectie&amp;"",""))</f>
        <v/>
      </c>
      <c r="S1092" s="15" t="str">
        <f>IF(J1092="","",J1092&amp;"|"&amp;E1092&amp;"|"&amp;F1092&amp;"|"&amp;I1092&amp;"|"&amp;O1092)</f>
        <v/>
      </c>
      <c r="T1092" s="111" t="str">
        <f>IF(S1092="","",IF(COUNTIFS(L_Sleutel,S1092,L_Actief,1)=0,"",SUMIFS(L_Waarde,L_Sleutel,S1092,L_Actief,1)))</f>
        <v/>
      </c>
      <c r="U1092" s="111">
        <f>IF(OR(S1092="",T1092=""),0,P1092-T1092)</f>
        <v>0</v>
      </c>
      <c r="AB1092" s="112" t="n">
        <v>78</v>
      </c>
      <c r="AC1092" s="112" t="n">
        <v>6</v>
      </c>
      <c r="AD1092" s="112" t="str">
        <f>VERW_Project!BW83</f>
        <v/>
      </c>
      <c r="AE1092" s="112">
        <f>IF(AND(VERW_Project!$A83&lt;&gt;"",ISNUMBER(AD1092)),1,0)</f>
        <v>0</v>
      </c>
      <c r="AF1092" s="112" t="str">
        <f>IF(AE1092=1,SUM($AE$8:AE1092),"")</f>
        <v/>
      </c>
      <c r="AG1092" t="str">
        <f>IFERROR(MATCH(1085,$AF$8:$AF$1407,0),"")</f>
        <v/>
      </c>
    </row>
    <row r="1093">
      <c r="A1093" s="92" t="str">
        <f>IF($AG1093="","",P_ImportID)</f>
        <v/>
      </c>
      <c r="B1093" s="92" t="str">
        <f>IF($AG1093="","",IF(INDEX($AN$8:$AN$21,INDEX($AC$8:$AC$1407,$AG1093)+1)="Z",P_BronZ,P_BronE))</f>
        <v/>
      </c>
      <c r="C1093" s="108" t="str">
        <f>IF($AG1093="","",P_Importdatum)</f>
        <v/>
      </c>
      <c r="D1093" s="92" t="str">
        <f>IF($AG1093="","",P_StatusVastleg)</f>
        <v/>
      </c>
      <c r="E1093" s="92" t="str">
        <f>IF($AG1093="","",P_UploadVJ)</f>
        <v/>
      </c>
      <c r="F1093" s="92" t="str">
        <f>IF($AG1093="","",P_UploadVersie)</f>
        <v/>
      </c>
      <c r="G1093" s="92" t="str">
        <f>IF($AG1093="","",IF(COUNTIFS(L_Sleutel,$S1093,L_Status,"Vastgesteld")=0,0,_xlfn.MAXIFS(L_Revisie,L_Sleutel,$S1093,L_Status,"Vastgesteld")+1))</f>
        <v/>
      </c>
      <c r="H1093" s="108" t="str">
        <f>IF($AG1093="","",P_Peildatum)</f>
        <v/>
      </c>
      <c r="I1093" s="92" t="str">
        <f>IF($AG1093="","",P_RJ+INDEX($AK$8:$AK$21,INDEX($AC$8:$AC$1407,$AG1093)+1))</f>
        <v/>
      </c>
      <c r="J1093" s="92" t="str">
        <f>IF($AG1093="","",INDEX(V_WBS,INDEX($AB$8:$AB$1407,$AG1093)))</f>
        <v/>
      </c>
      <c r="K1093" s="92" t="str">
        <f>IF($AG1093="","",INDEX(V_Projdef,INDEX($AB$8:$AB$1407,$AG1093)))</f>
        <v/>
      </c>
      <c r="L1093" s="92" t="str">
        <f>IF($AG1093="","",INDEX(V_Naam,INDEX($AB$8:$AB$1407,$AG1093)))</f>
        <v/>
      </c>
      <c r="M1093" s="92" t="str">
        <f>IF($AG1093="","",INDEX(V_Type,INDEX($AB$8:$AB$1407,$AG1093)))</f>
        <v/>
      </c>
      <c r="N1093" s="92" t="str">
        <f>IF($AG1093="","",INDEX(V_IFRS,INDEX($AB$8:$AB$1407,$AG1093)))</f>
        <v/>
      </c>
      <c r="O1093" s="92" t="str">
        <f>IF($AG1093="","",INDEX($AL$8:$AL$21,INDEX($AC$8:$AC$1407,$AG1093)+1))</f>
        <v/>
      </c>
      <c r="P1093" s="109" t="str">
        <f>IF($AG1093="","",INDEX($AD$8:$AD$1407,$AG1093))</f>
        <v/>
      </c>
      <c r="Q1093" s="92" t="str">
        <f>IF($AG1093="","",INDEX($AM$8:$AM$21,INDEX($AC$8:$AC$1407,$AG1093)+1))</f>
        <v/>
      </c>
      <c r="R1093" s="92" t="str">
        <f>IF($AG1093="","",IF($G1093&gt;0,P_ToelCorrectie&amp;"",""))</f>
        <v/>
      </c>
      <c r="S1093" s="15" t="str">
        <f>IF(J1093="","",J1093&amp;"|"&amp;E1093&amp;"|"&amp;F1093&amp;"|"&amp;I1093&amp;"|"&amp;O1093)</f>
        <v/>
      </c>
      <c r="T1093" s="111" t="str">
        <f>IF(S1093="","",IF(COUNTIFS(L_Sleutel,S1093,L_Actief,1)=0,"",SUMIFS(L_Waarde,L_Sleutel,S1093,L_Actief,1)))</f>
        <v/>
      </c>
      <c r="U1093" s="111">
        <f>IF(OR(S1093="",T1093=""),0,P1093-T1093)</f>
        <v>0</v>
      </c>
      <c r="AB1093" s="112" t="n">
        <v>78</v>
      </c>
      <c r="AC1093" s="112" t="n">
        <v>7</v>
      </c>
      <c r="AD1093" s="112" t="str">
        <f>VERW_Project!AW83</f>
        <v/>
      </c>
      <c r="AE1093" s="112">
        <f>IF(AND(VERW_Project!$A83&lt;&gt;"",ISNUMBER(AD1093)),1,0)</f>
        <v>0</v>
      </c>
      <c r="AF1093" s="112" t="str">
        <f>IF(AE1093=1,SUM($AE$8:AE1093),"")</f>
        <v/>
      </c>
      <c r="AG1093" t="str">
        <f>IFERROR(MATCH(1086,$AF$8:$AF$1407,0),"")</f>
        <v/>
      </c>
    </row>
    <row r="1094">
      <c r="A1094" s="92" t="str">
        <f>IF($AG1094="","",P_ImportID)</f>
        <v/>
      </c>
      <c r="B1094" s="92" t="str">
        <f>IF($AG1094="","",IF(INDEX($AN$8:$AN$21,INDEX($AC$8:$AC$1407,$AG1094)+1)="Z",P_BronZ,P_BronE))</f>
        <v/>
      </c>
      <c r="C1094" s="108" t="str">
        <f>IF($AG1094="","",P_Importdatum)</f>
        <v/>
      </c>
      <c r="D1094" s="92" t="str">
        <f>IF($AG1094="","",P_StatusVastleg)</f>
        <v/>
      </c>
      <c r="E1094" s="92" t="str">
        <f>IF($AG1094="","",P_UploadVJ)</f>
        <v/>
      </c>
      <c r="F1094" s="92" t="str">
        <f>IF($AG1094="","",P_UploadVersie)</f>
        <v/>
      </c>
      <c r="G1094" s="92" t="str">
        <f>IF($AG1094="","",IF(COUNTIFS(L_Sleutel,$S1094,L_Status,"Vastgesteld")=0,0,_xlfn.MAXIFS(L_Revisie,L_Sleutel,$S1094,L_Status,"Vastgesteld")+1))</f>
        <v/>
      </c>
      <c r="H1094" s="108" t="str">
        <f>IF($AG1094="","",P_Peildatum)</f>
        <v/>
      </c>
      <c r="I1094" s="92" t="str">
        <f>IF($AG1094="","",P_RJ+INDEX($AK$8:$AK$21,INDEX($AC$8:$AC$1407,$AG1094)+1))</f>
        <v/>
      </c>
      <c r="J1094" s="92" t="str">
        <f>IF($AG1094="","",INDEX(V_WBS,INDEX($AB$8:$AB$1407,$AG1094)))</f>
        <v/>
      </c>
      <c r="K1094" s="92" t="str">
        <f>IF($AG1094="","",INDEX(V_Projdef,INDEX($AB$8:$AB$1407,$AG1094)))</f>
        <v/>
      </c>
      <c r="L1094" s="92" t="str">
        <f>IF($AG1094="","",INDEX(V_Naam,INDEX($AB$8:$AB$1407,$AG1094)))</f>
        <v/>
      </c>
      <c r="M1094" s="92" t="str">
        <f>IF($AG1094="","",INDEX(V_Type,INDEX($AB$8:$AB$1407,$AG1094)))</f>
        <v/>
      </c>
      <c r="N1094" s="92" t="str">
        <f>IF($AG1094="","",INDEX(V_IFRS,INDEX($AB$8:$AB$1407,$AG1094)))</f>
        <v/>
      </c>
      <c r="O1094" s="92" t="str">
        <f>IF($AG1094="","",INDEX($AL$8:$AL$21,INDEX($AC$8:$AC$1407,$AG1094)+1))</f>
        <v/>
      </c>
      <c r="P1094" s="109" t="str">
        <f>IF($AG1094="","",INDEX($AD$8:$AD$1407,$AG1094))</f>
        <v/>
      </c>
      <c r="Q1094" s="92" t="str">
        <f>IF($AG1094="","",INDEX($AM$8:$AM$21,INDEX($AC$8:$AC$1407,$AG1094)+1))</f>
        <v/>
      </c>
      <c r="R1094" s="92" t="str">
        <f>IF($AG1094="","",IF($G1094&gt;0,P_ToelCorrectie&amp;"",""))</f>
        <v/>
      </c>
      <c r="S1094" s="15" t="str">
        <f>IF(J1094="","",J1094&amp;"|"&amp;E1094&amp;"|"&amp;F1094&amp;"|"&amp;I1094&amp;"|"&amp;O1094)</f>
        <v/>
      </c>
      <c r="T1094" s="111" t="str">
        <f>IF(S1094="","",IF(COUNTIFS(L_Sleutel,S1094,L_Actief,1)=0,"",SUMIFS(L_Waarde,L_Sleutel,S1094,L_Actief,1)))</f>
        <v/>
      </c>
      <c r="U1094" s="111">
        <f>IF(OR(S1094="",T1094=""),0,P1094-T1094)</f>
        <v>0</v>
      </c>
      <c r="AB1094" s="112" t="n">
        <v>78</v>
      </c>
      <c r="AC1094" s="112" t="n">
        <v>8</v>
      </c>
      <c r="AD1094" s="112" t="str">
        <f>VERW_Project!BQ83</f>
        <v/>
      </c>
      <c r="AE1094" s="112">
        <f>IF(AND(VERW_Project!$A83&lt;&gt;"",ISNUMBER(AD1094)),1,0)</f>
        <v>0</v>
      </c>
      <c r="AF1094" s="112" t="str">
        <f>IF(AE1094=1,SUM($AE$8:AE1094),"")</f>
        <v/>
      </c>
      <c r="AG1094" t="str">
        <f>IFERROR(MATCH(1087,$AF$8:$AF$1407,0),"")</f>
        <v/>
      </c>
    </row>
    <row r="1095">
      <c r="A1095" s="92" t="str">
        <f>IF($AG1095="","",P_ImportID)</f>
        <v/>
      </c>
      <c r="B1095" s="92" t="str">
        <f>IF($AG1095="","",IF(INDEX($AN$8:$AN$21,INDEX($AC$8:$AC$1407,$AG1095)+1)="Z",P_BronZ,P_BronE))</f>
        <v/>
      </c>
      <c r="C1095" s="108" t="str">
        <f>IF($AG1095="","",P_Importdatum)</f>
        <v/>
      </c>
      <c r="D1095" s="92" t="str">
        <f>IF($AG1095="","",P_StatusVastleg)</f>
        <v/>
      </c>
      <c r="E1095" s="92" t="str">
        <f>IF($AG1095="","",P_UploadVJ)</f>
        <v/>
      </c>
      <c r="F1095" s="92" t="str">
        <f>IF($AG1095="","",P_UploadVersie)</f>
        <v/>
      </c>
      <c r="G1095" s="92" t="str">
        <f>IF($AG1095="","",IF(COUNTIFS(L_Sleutel,$S1095,L_Status,"Vastgesteld")=0,0,_xlfn.MAXIFS(L_Revisie,L_Sleutel,$S1095,L_Status,"Vastgesteld")+1))</f>
        <v/>
      </c>
      <c r="H1095" s="108" t="str">
        <f>IF($AG1095="","",P_Peildatum)</f>
        <v/>
      </c>
      <c r="I1095" s="92" t="str">
        <f>IF($AG1095="","",P_RJ+INDEX($AK$8:$AK$21,INDEX($AC$8:$AC$1407,$AG1095)+1))</f>
        <v/>
      </c>
      <c r="J1095" s="92" t="str">
        <f>IF($AG1095="","",INDEX(V_WBS,INDEX($AB$8:$AB$1407,$AG1095)))</f>
        <v/>
      </c>
      <c r="K1095" s="92" t="str">
        <f>IF($AG1095="","",INDEX(V_Projdef,INDEX($AB$8:$AB$1407,$AG1095)))</f>
        <v/>
      </c>
      <c r="L1095" s="92" t="str">
        <f>IF($AG1095="","",INDEX(V_Naam,INDEX($AB$8:$AB$1407,$AG1095)))</f>
        <v/>
      </c>
      <c r="M1095" s="92" t="str">
        <f>IF($AG1095="","",INDEX(V_Type,INDEX($AB$8:$AB$1407,$AG1095)))</f>
        <v/>
      </c>
      <c r="N1095" s="92" t="str">
        <f>IF($AG1095="","",INDEX(V_IFRS,INDEX($AB$8:$AB$1407,$AG1095)))</f>
        <v/>
      </c>
      <c r="O1095" s="92" t="str">
        <f>IF($AG1095="","",INDEX($AL$8:$AL$21,INDEX($AC$8:$AC$1407,$AG1095)+1))</f>
        <v/>
      </c>
      <c r="P1095" s="109" t="str">
        <f>IF($AG1095="","",INDEX($AD$8:$AD$1407,$AG1095))</f>
        <v/>
      </c>
      <c r="Q1095" s="92" t="str">
        <f>IF($AG1095="","",INDEX($AM$8:$AM$21,INDEX($AC$8:$AC$1407,$AG1095)+1))</f>
        <v/>
      </c>
      <c r="R1095" s="92" t="str">
        <f>IF($AG1095="","",IF($G1095&gt;0,P_ToelCorrectie&amp;"",""))</f>
        <v/>
      </c>
      <c r="S1095" s="15" t="str">
        <f>IF(J1095="","",J1095&amp;"|"&amp;E1095&amp;"|"&amp;F1095&amp;"|"&amp;I1095&amp;"|"&amp;O1095)</f>
        <v/>
      </c>
      <c r="T1095" s="111" t="str">
        <f>IF(S1095="","",IF(COUNTIFS(L_Sleutel,S1095,L_Actief,1)=0,"",SUMIFS(L_Waarde,L_Sleutel,S1095,L_Actief,1)))</f>
        <v/>
      </c>
      <c r="U1095" s="111">
        <f>IF(OR(S1095="",T1095=""),0,P1095-T1095)</f>
        <v>0</v>
      </c>
      <c r="AB1095" s="112" t="n">
        <v>78</v>
      </c>
      <c r="AC1095" s="112" t="n">
        <v>9</v>
      </c>
      <c r="AD1095" s="112" t="str">
        <f>VERW_Project!BR83</f>
        <v/>
      </c>
      <c r="AE1095" s="112">
        <f>IF(AND(VERW_Project!$A83&lt;&gt;"",ISNUMBER(AD1095)),1,0)</f>
        <v>0</v>
      </c>
      <c r="AF1095" s="112" t="str">
        <f>IF(AE1095=1,SUM($AE$8:AE1095),"")</f>
        <v/>
      </c>
      <c r="AG1095" t="str">
        <f>IFERROR(MATCH(1088,$AF$8:$AF$1407,0),"")</f>
        <v/>
      </c>
    </row>
    <row r="1096">
      <c r="A1096" s="92" t="str">
        <f>IF($AG1096="","",P_ImportID)</f>
        <v/>
      </c>
      <c r="B1096" s="92" t="str">
        <f>IF($AG1096="","",IF(INDEX($AN$8:$AN$21,INDEX($AC$8:$AC$1407,$AG1096)+1)="Z",P_BronZ,P_BronE))</f>
        <v/>
      </c>
      <c r="C1096" s="108" t="str">
        <f>IF($AG1096="","",P_Importdatum)</f>
        <v/>
      </c>
      <c r="D1096" s="92" t="str">
        <f>IF($AG1096="","",P_StatusVastleg)</f>
        <v/>
      </c>
      <c r="E1096" s="92" t="str">
        <f>IF($AG1096="","",P_UploadVJ)</f>
        <v/>
      </c>
      <c r="F1096" s="92" t="str">
        <f>IF($AG1096="","",P_UploadVersie)</f>
        <v/>
      </c>
      <c r="G1096" s="92" t="str">
        <f>IF($AG1096="","",IF(COUNTIFS(L_Sleutel,$S1096,L_Status,"Vastgesteld")=0,0,_xlfn.MAXIFS(L_Revisie,L_Sleutel,$S1096,L_Status,"Vastgesteld")+1))</f>
        <v/>
      </c>
      <c r="H1096" s="108" t="str">
        <f>IF($AG1096="","",P_Peildatum)</f>
        <v/>
      </c>
      <c r="I1096" s="92" t="str">
        <f>IF($AG1096="","",P_RJ+INDEX($AK$8:$AK$21,INDEX($AC$8:$AC$1407,$AG1096)+1))</f>
        <v/>
      </c>
      <c r="J1096" s="92" t="str">
        <f>IF($AG1096="","",INDEX(V_WBS,INDEX($AB$8:$AB$1407,$AG1096)))</f>
        <v/>
      </c>
      <c r="K1096" s="92" t="str">
        <f>IF($AG1096="","",INDEX(V_Projdef,INDEX($AB$8:$AB$1407,$AG1096)))</f>
        <v/>
      </c>
      <c r="L1096" s="92" t="str">
        <f>IF($AG1096="","",INDEX(V_Naam,INDEX($AB$8:$AB$1407,$AG1096)))</f>
        <v/>
      </c>
      <c r="M1096" s="92" t="str">
        <f>IF($AG1096="","",INDEX(V_Type,INDEX($AB$8:$AB$1407,$AG1096)))</f>
        <v/>
      </c>
      <c r="N1096" s="92" t="str">
        <f>IF($AG1096="","",INDEX(V_IFRS,INDEX($AB$8:$AB$1407,$AG1096)))</f>
        <v/>
      </c>
      <c r="O1096" s="92" t="str">
        <f>IF($AG1096="","",INDEX($AL$8:$AL$21,INDEX($AC$8:$AC$1407,$AG1096)+1))</f>
        <v/>
      </c>
      <c r="P1096" s="109" t="str">
        <f>IF($AG1096="","",INDEX($AD$8:$AD$1407,$AG1096))</f>
        <v/>
      </c>
      <c r="Q1096" s="92" t="str">
        <f>IF($AG1096="","",INDEX($AM$8:$AM$21,INDEX($AC$8:$AC$1407,$AG1096)+1))</f>
        <v/>
      </c>
      <c r="R1096" s="92" t="str">
        <f>IF($AG1096="","",IF($G1096&gt;0,P_ToelCorrectie&amp;"",""))</f>
        <v/>
      </c>
      <c r="S1096" s="15" t="str">
        <f>IF(J1096="","",J1096&amp;"|"&amp;E1096&amp;"|"&amp;F1096&amp;"|"&amp;I1096&amp;"|"&amp;O1096)</f>
        <v/>
      </c>
      <c r="T1096" s="111" t="str">
        <f>IF(S1096="","",IF(COUNTIFS(L_Sleutel,S1096,L_Actief,1)=0,"",SUMIFS(L_Waarde,L_Sleutel,S1096,L_Actief,1)))</f>
        <v/>
      </c>
      <c r="U1096" s="111">
        <f>IF(OR(S1096="",T1096=""),0,P1096-T1096)</f>
        <v>0</v>
      </c>
      <c r="AB1096" s="112" t="n">
        <v>78</v>
      </c>
      <c r="AC1096" s="112" t="n">
        <v>10</v>
      </c>
      <c r="AD1096" s="112" t="str">
        <f>VERW_Project!BS83</f>
        <v/>
      </c>
      <c r="AE1096" s="112">
        <f>IF(AND(VERW_Project!$A83&lt;&gt;"",ISNUMBER(AD1096)),1,0)</f>
        <v>0</v>
      </c>
      <c r="AF1096" s="112" t="str">
        <f>IF(AE1096=1,SUM($AE$8:AE1096),"")</f>
        <v/>
      </c>
      <c r="AG1096" t="str">
        <f>IFERROR(MATCH(1089,$AF$8:$AF$1407,0),"")</f>
        <v/>
      </c>
    </row>
    <row r="1097">
      <c r="A1097" s="92" t="str">
        <f>IF($AG1097="","",P_ImportID)</f>
        <v/>
      </c>
      <c r="B1097" s="92" t="str">
        <f>IF($AG1097="","",IF(INDEX($AN$8:$AN$21,INDEX($AC$8:$AC$1407,$AG1097)+1)="Z",P_BronZ,P_BronE))</f>
        <v/>
      </c>
      <c r="C1097" s="108" t="str">
        <f>IF($AG1097="","",P_Importdatum)</f>
        <v/>
      </c>
      <c r="D1097" s="92" t="str">
        <f>IF($AG1097="","",P_StatusVastleg)</f>
        <v/>
      </c>
      <c r="E1097" s="92" t="str">
        <f>IF($AG1097="","",P_UploadVJ)</f>
        <v/>
      </c>
      <c r="F1097" s="92" t="str">
        <f>IF($AG1097="","",P_UploadVersie)</f>
        <v/>
      </c>
      <c r="G1097" s="92" t="str">
        <f>IF($AG1097="","",IF(COUNTIFS(L_Sleutel,$S1097,L_Status,"Vastgesteld")=0,0,_xlfn.MAXIFS(L_Revisie,L_Sleutel,$S1097,L_Status,"Vastgesteld")+1))</f>
        <v/>
      </c>
      <c r="H1097" s="108" t="str">
        <f>IF($AG1097="","",P_Peildatum)</f>
        <v/>
      </c>
      <c r="I1097" s="92" t="str">
        <f>IF($AG1097="","",P_RJ+INDEX($AK$8:$AK$21,INDEX($AC$8:$AC$1407,$AG1097)+1))</f>
        <v/>
      </c>
      <c r="J1097" s="92" t="str">
        <f>IF($AG1097="","",INDEX(V_WBS,INDEX($AB$8:$AB$1407,$AG1097)))</f>
        <v/>
      </c>
      <c r="K1097" s="92" t="str">
        <f>IF($AG1097="","",INDEX(V_Projdef,INDEX($AB$8:$AB$1407,$AG1097)))</f>
        <v/>
      </c>
      <c r="L1097" s="92" t="str">
        <f>IF($AG1097="","",INDEX(V_Naam,INDEX($AB$8:$AB$1407,$AG1097)))</f>
        <v/>
      </c>
      <c r="M1097" s="92" t="str">
        <f>IF($AG1097="","",INDEX(V_Type,INDEX($AB$8:$AB$1407,$AG1097)))</f>
        <v/>
      </c>
      <c r="N1097" s="92" t="str">
        <f>IF($AG1097="","",INDEX(V_IFRS,INDEX($AB$8:$AB$1407,$AG1097)))</f>
        <v/>
      </c>
      <c r="O1097" s="92" t="str">
        <f>IF($AG1097="","",INDEX($AL$8:$AL$21,INDEX($AC$8:$AC$1407,$AG1097)+1))</f>
        <v/>
      </c>
      <c r="P1097" s="109" t="str">
        <f>IF($AG1097="","",INDEX($AD$8:$AD$1407,$AG1097))</f>
        <v/>
      </c>
      <c r="Q1097" s="92" t="str">
        <f>IF($AG1097="","",INDEX($AM$8:$AM$21,INDEX($AC$8:$AC$1407,$AG1097)+1))</f>
        <v/>
      </c>
      <c r="R1097" s="92" t="str">
        <f>IF($AG1097="","",IF($G1097&gt;0,P_ToelCorrectie&amp;"",""))</f>
        <v/>
      </c>
      <c r="S1097" s="15" t="str">
        <f>IF(J1097="","",J1097&amp;"|"&amp;E1097&amp;"|"&amp;F1097&amp;"|"&amp;I1097&amp;"|"&amp;O1097)</f>
        <v/>
      </c>
      <c r="T1097" s="111" t="str">
        <f>IF(S1097="","",IF(COUNTIFS(L_Sleutel,S1097,L_Actief,1)=0,"",SUMIFS(L_Waarde,L_Sleutel,S1097,L_Actief,1)))</f>
        <v/>
      </c>
      <c r="U1097" s="111">
        <f>IF(OR(S1097="",T1097=""),0,P1097-T1097)</f>
        <v>0</v>
      </c>
      <c r="AB1097" s="112" t="n">
        <v>78</v>
      </c>
      <c r="AC1097" s="112" t="n">
        <v>11</v>
      </c>
      <c r="AD1097" s="112" t="str">
        <f>VERW_Project!BT83</f>
        <v/>
      </c>
      <c r="AE1097" s="112">
        <f>IF(AND(VERW_Project!$A83&lt;&gt;"",ISNUMBER(AD1097)),1,0)</f>
        <v>0</v>
      </c>
      <c r="AF1097" s="112" t="str">
        <f>IF(AE1097=1,SUM($AE$8:AE1097),"")</f>
        <v/>
      </c>
      <c r="AG1097" t="str">
        <f>IFERROR(MATCH(1090,$AF$8:$AF$1407,0),"")</f>
        <v/>
      </c>
    </row>
    <row r="1098">
      <c r="A1098" s="92" t="str">
        <f>IF($AG1098="","",P_ImportID)</f>
        <v/>
      </c>
      <c r="B1098" s="92" t="str">
        <f>IF($AG1098="","",IF(INDEX($AN$8:$AN$21,INDEX($AC$8:$AC$1407,$AG1098)+1)="Z",P_BronZ,P_BronE))</f>
        <v/>
      </c>
      <c r="C1098" s="108" t="str">
        <f>IF($AG1098="","",P_Importdatum)</f>
        <v/>
      </c>
      <c r="D1098" s="92" t="str">
        <f>IF($AG1098="","",P_StatusVastleg)</f>
        <v/>
      </c>
      <c r="E1098" s="92" t="str">
        <f>IF($AG1098="","",P_UploadVJ)</f>
        <v/>
      </c>
      <c r="F1098" s="92" t="str">
        <f>IF($AG1098="","",P_UploadVersie)</f>
        <v/>
      </c>
      <c r="G1098" s="92" t="str">
        <f>IF($AG1098="","",IF(COUNTIFS(L_Sleutel,$S1098,L_Status,"Vastgesteld")=0,0,_xlfn.MAXIFS(L_Revisie,L_Sleutel,$S1098,L_Status,"Vastgesteld")+1))</f>
        <v/>
      </c>
      <c r="H1098" s="108" t="str">
        <f>IF($AG1098="","",P_Peildatum)</f>
        <v/>
      </c>
      <c r="I1098" s="92" t="str">
        <f>IF($AG1098="","",P_RJ+INDEX($AK$8:$AK$21,INDEX($AC$8:$AC$1407,$AG1098)+1))</f>
        <v/>
      </c>
      <c r="J1098" s="92" t="str">
        <f>IF($AG1098="","",INDEX(V_WBS,INDEX($AB$8:$AB$1407,$AG1098)))</f>
        <v/>
      </c>
      <c r="K1098" s="92" t="str">
        <f>IF($AG1098="","",INDEX(V_Projdef,INDEX($AB$8:$AB$1407,$AG1098)))</f>
        <v/>
      </c>
      <c r="L1098" s="92" t="str">
        <f>IF($AG1098="","",INDEX(V_Naam,INDEX($AB$8:$AB$1407,$AG1098)))</f>
        <v/>
      </c>
      <c r="M1098" s="92" t="str">
        <f>IF($AG1098="","",INDEX(V_Type,INDEX($AB$8:$AB$1407,$AG1098)))</f>
        <v/>
      </c>
      <c r="N1098" s="92" t="str">
        <f>IF($AG1098="","",INDEX(V_IFRS,INDEX($AB$8:$AB$1407,$AG1098)))</f>
        <v/>
      </c>
      <c r="O1098" s="92" t="str">
        <f>IF($AG1098="","",INDEX($AL$8:$AL$21,INDEX($AC$8:$AC$1407,$AG1098)+1))</f>
        <v/>
      </c>
      <c r="P1098" s="109" t="str">
        <f>IF($AG1098="","",INDEX($AD$8:$AD$1407,$AG1098))</f>
        <v/>
      </c>
      <c r="Q1098" s="92" t="str">
        <f>IF($AG1098="","",INDEX($AM$8:$AM$21,INDEX($AC$8:$AC$1407,$AG1098)+1))</f>
        <v/>
      </c>
      <c r="R1098" s="92" t="str">
        <f>IF($AG1098="","",IF($G1098&gt;0,P_ToelCorrectie&amp;"",""))</f>
        <v/>
      </c>
      <c r="S1098" s="15" t="str">
        <f>IF(J1098="","",J1098&amp;"|"&amp;E1098&amp;"|"&amp;F1098&amp;"|"&amp;I1098&amp;"|"&amp;O1098)</f>
        <v/>
      </c>
      <c r="T1098" s="111" t="str">
        <f>IF(S1098="","",IF(COUNTIFS(L_Sleutel,S1098,L_Actief,1)=0,"",SUMIFS(L_Waarde,L_Sleutel,S1098,L_Actief,1)))</f>
        <v/>
      </c>
      <c r="U1098" s="111">
        <f>IF(OR(S1098="",T1098=""),0,P1098-T1098)</f>
        <v>0</v>
      </c>
      <c r="AB1098" s="112" t="n">
        <v>78</v>
      </c>
      <c r="AC1098" s="112" t="n">
        <v>12</v>
      </c>
      <c r="AD1098" s="112" t="str">
        <f>VERW_Project!BU83</f>
        <v/>
      </c>
      <c r="AE1098" s="112">
        <f>IF(AND(VERW_Project!$A83&lt;&gt;"",ISNUMBER(AD1098)),1,0)</f>
        <v>0</v>
      </c>
      <c r="AF1098" s="112" t="str">
        <f>IF(AE1098=1,SUM($AE$8:AE1098),"")</f>
        <v/>
      </c>
      <c r="AG1098" t="str">
        <f>IFERROR(MATCH(1091,$AF$8:$AF$1407,0),"")</f>
        <v/>
      </c>
    </row>
    <row r="1099">
      <c r="A1099" s="92" t="str">
        <f>IF($AG1099="","",P_ImportID)</f>
        <v/>
      </c>
      <c r="B1099" s="92" t="str">
        <f>IF($AG1099="","",IF(INDEX($AN$8:$AN$21,INDEX($AC$8:$AC$1407,$AG1099)+1)="Z",P_BronZ,P_BronE))</f>
        <v/>
      </c>
      <c r="C1099" s="108" t="str">
        <f>IF($AG1099="","",P_Importdatum)</f>
        <v/>
      </c>
      <c r="D1099" s="92" t="str">
        <f>IF($AG1099="","",P_StatusVastleg)</f>
        <v/>
      </c>
      <c r="E1099" s="92" t="str">
        <f>IF($AG1099="","",P_UploadVJ)</f>
        <v/>
      </c>
      <c r="F1099" s="92" t="str">
        <f>IF($AG1099="","",P_UploadVersie)</f>
        <v/>
      </c>
      <c r="G1099" s="92" t="str">
        <f>IF($AG1099="","",IF(COUNTIFS(L_Sleutel,$S1099,L_Status,"Vastgesteld")=0,0,_xlfn.MAXIFS(L_Revisie,L_Sleutel,$S1099,L_Status,"Vastgesteld")+1))</f>
        <v/>
      </c>
      <c r="H1099" s="108" t="str">
        <f>IF($AG1099="","",P_Peildatum)</f>
        <v/>
      </c>
      <c r="I1099" s="92" t="str">
        <f>IF($AG1099="","",P_RJ+INDEX($AK$8:$AK$21,INDEX($AC$8:$AC$1407,$AG1099)+1))</f>
        <v/>
      </c>
      <c r="J1099" s="92" t="str">
        <f>IF($AG1099="","",INDEX(V_WBS,INDEX($AB$8:$AB$1407,$AG1099)))</f>
        <v/>
      </c>
      <c r="K1099" s="92" t="str">
        <f>IF($AG1099="","",INDEX(V_Projdef,INDEX($AB$8:$AB$1407,$AG1099)))</f>
        <v/>
      </c>
      <c r="L1099" s="92" t="str">
        <f>IF($AG1099="","",INDEX(V_Naam,INDEX($AB$8:$AB$1407,$AG1099)))</f>
        <v/>
      </c>
      <c r="M1099" s="92" t="str">
        <f>IF($AG1099="","",INDEX(V_Type,INDEX($AB$8:$AB$1407,$AG1099)))</f>
        <v/>
      </c>
      <c r="N1099" s="92" t="str">
        <f>IF($AG1099="","",INDEX(V_IFRS,INDEX($AB$8:$AB$1407,$AG1099)))</f>
        <v/>
      </c>
      <c r="O1099" s="92" t="str">
        <f>IF($AG1099="","",INDEX($AL$8:$AL$21,INDEX($AC$8:$AC$1407,$AG1099)+1))</f>
        <v/>
      </c>
      <c r="P1099" s="109" t="str">
        <f>IF($AG1099="","",INDEX($AD$8:$AD$1407,$AG1099))</f>
        <v/>
      </c>
      <c r="Q1099" s="92" t="str">
        <f>IF($AG1099="","",INDEX($AM$8:$AM$21,INDEX($AC$8:$AC$1407,$AG1099)+1))</f>
        <v/>
      </c>
      <c r="R1099" s="92" t="str">
        <f>IF($AG1099="","",IF($G1099&gt;0,P_ToelCorrectie&amp;"",""))</f>
        <v/>
      </c>
      <c r="S1099" s="15" t="str">
        <f>IF(J1099="","",J1099&amp;"|"&amp;E1099&amp;"|"&amp;F1099&amp;"|"&amp;I1099&amp;"|"&amp;O1099)</f>
        <v/>
      </c>
      <c r="T1099" s="111" t="str">
        <f>IF(S1099="","",IF(COUNTIFS(L_Sleutel,S1099,L_Actief,1)=0,"",SUMIFS(L_Waarde,L_Sleutel,S1099,L_Actief,1)))</f>
        <v/>
      </c>
      <c r="U1099" s="111">
        <f>IF(OR(S1099="",T1099=""),0,P1099-T1099)</f>
        <v>0</v>
      </c>
      <c r="AB1099" s="112" t="n">
        <v>78</v>
      </c>
      <c r="AC1099" s="112" t="n">
        <v>13</v>
      </c>
      <c r="AD1099" s="112" t="str">
        <f>VERW_Project!BX83</f>
        <v/>
      </c>
      <c r="AE1099" s="112">
        <f>IF(AND(VERW_Project!$A83&lt;&gt;"",ISNUMBER(AD1099)),1,0)</f>
        <v>0</v>
      </c>
      <c r="AF1099" s="112" t="str">
        <f>IF(AE1099=1,SUM($AE$8:AE1099),"")</f>
        <v/>
      </c>
      <c r="AG1099" t="str">
        <f>IFERROR(MATCH(1092,$AF$8:$AF$1407,0),"")</f>
        <v/>
      </c>
    </row>
    <row r="1100">
      <c r="A1100" s="92" t="str">
        <f>IF($AG1100="","",P_ImportID)</f>
        <v/>
      </c>
      <c r="B1100" s="92" t="str">
        <f>IF($AG1100="","",IF(INDEX($AN$8:$AN$21,INDEX($AC$8:$AC$1407,$AG1100)+1)="Z",P_BronZ,P_BronE))</f>
        <v/>
      </c>
      <c r="C1100" s="108" t="str">
        <f>IF($AG1100="","",P_Importdatum)</f>
        <v/>
      </c>
      <c r="D1100" s="92" t="str">
        <f>IF($AG1100="","",P_StatusVastleg)</f>
        <v/>
      </c>
      <c r="E1100" s="92" t="str">
        <f>IF($AG1100="","",P_UploadVJ)</f>
        <v/>
      </c>
      <c r="F1100" s="92" t="str">
        <f>IF($AG1100="","",P_UploadVersie)</f>
        <v/>
      </c>
      <c r="G1100" s="92" t="str">
        <f>IF($AG1100="","",IF(COUNTIFS(L_Sleutel,$S1100,L_Status,"Vastgesteld")=0,0,_xlfn.MAXIFS(L_Revisie,L_Sleutel,$S1100,L_Status,"Vastgesteld")+1))</f>
        <v/>
      </c>
      <c r="H1100" s="108" t="str">
        <f>IF($AG1100="","",P_Peildatum)</f>
        <v/>
      </c>
      <c r="I1100" s="92" t="str">
        <f>IF($AG1100="","",P_RJ+INDEX($AK$8:$AK$21,INDEX($AC$8:$AC$1407,$AG1100)+1))</f>
        <v/>
      </c>
      <c r="J1100" s="92" t="str">
        <f>IF($AG1100="","",INDEX(V_WBS,INDEX($AB$8:$AB$1407,$AG1100)))</f>
        <v/>
      </c>
      <c r="K1100" s="92" t="str">
        <f>IF($AG1100="","",INDEX(V_Projdef,INDEX($AB$8:$AB$1407,$AG1100)))</f>
        <v/>
      </c>
      <c r="L1100" s="92" t="str">
        <f>IF($AG1100="","",INDEX(V_Naam,INDEX($AB$8:$AB$1407,$AG1100)))</f>
        <v/>
      </c>
      <c r="M1100" s="92" t="str">
        <f>IF($AG1100="","",INDEX(V_Type,INDEX($AB$8:$AB$1407,$AG1100)))</f>
        <v/>
      </c>
      <c r="N1100" s="92" t="str">
        <f>IF($AG1100="","",INDEX(V_IFRS,INDEX($AB$8:$AB$1407,$AG1100)))</f>
        <v/>
      </c>
      <c r="O1100" s="92" t="str">
        <f>IF($AG1100="","",INDEX($AL$8:$AL$21,INDEX($AC$8:$AC$1407,$AG1100)+1))</f>
        <v/>
      </c>
      <c r="P1100" s="109" t="str">
        <f>IF($AG1100="","",INDEX($AD$8:$AD$1407,$AG1100))</f>
        <v/>
      </c>
      <c r="Q1100" s="92" t="str">
        <f>IF($AG1100="","",INDEX($AM$8:$AM$21,INDEX($AC$8:$AC$1407,$AG1100)+1))</f>
        <v/>
      </c>
      <c r="R1100" s="92" t="str">
        <f>IF($AG1100="","",IF($G1100&gt;0,P_ToelCorrectie&amp;"",""))</f>
        <v/>
      </c>
      <c r="S1100" s="15" t="str">
        <f>IF(J1100="","",J1100&amp;"|"&amp;E1100&amp;"|"&amp;F1100&amp;"|"&amp;I1100&amp;"|"&amp;O1100)</f>
        <v/>
      </c>
      <c r="T1100" s="111" t="str">
        <f>IF(S1100="","",IF(COUNTIFS(L_Sleutel,S1100,L_Actief,1)=0,"",SUMIFS(L_Waarde,L_Sleutel,S1100,L_Actief,1)))</f>
        <v/>
      </c>
      <c r="U1100" s="111">
        <f>IF(OR(S1100="",T1100=""),0,P1100-T1100)</f>
        <v>0</v>
      </c>
      <c r="AB1100" s="112" t="n">
        <v>79</v>
      </c>
      <c r="AC1100" s="112" t="n">
        <v>0</v>
      </c>
      <c r="AD1100" s="112" t="str">
        <f>VERW_Project!P84</f>
        <v/>
      </c>
      <c r="AE1100" s="112">
        <f>IF(AND(VERW_Project!$A84&lt;&gt;"",ISNUMBER(AD1100)),1,0)</f>
        <v>0</v>
      </c>
      <c r="AF1100" s="112" t="str">
        <f>IF(AE1100=1,SUM($AE$8:AE1100),"")</f>
        <v/>
      </c>
      <c r="AG1100" t="str">
        <f>IFERROR(MATCH(1093,$AF$8:$AF$1407,0),"")</f>
        <v/>
      </c>
    </row>
    <row r="1101">
      <c r="A1101" s="92" t="str">
        <f>IF($AG1101="","",P_ImportID)</f>
        <v/>
      </c>
      <c r="B1101" s="92" t="str">
        <f>IF($AG1101="","",IF(INDEX($AN$8:$AN$21,INDEX($AC$8:$AC$1407,$AG1101)+1)="Z",P_BronZ,P_BronE))</f>
        <v/>
      </c>
      <c r="C1101" s="108" t="str">
        <f>IF($AG1101="","",P_Importdatum)</f>
        <v/>
      </c>
      <c r="D1101" s="92" t="str">
        <f>IF($AG1101="","",P_StatusVastleg)</f>
        <v/>
      </c>
      <c r="E1101" s="92" t="str">
        <f>IF($AG1101="","",P_UploadVJ)</f>
        <v/>
      </c>
      <c r="F1101" s="92" t="str">
        <f>IF($AG1101="","",P_UploadVersie)</f>
        <v/>
      </c>
      <c r="G1101" s="92" t="str">
        <f>IF($AG1101="","",IF(COUNTIFS(L_Sleutel,$S1101,L_Status,"Vastgesteld")=0,0,_xlfn.MAXIFS(L_Revisie,L_Sleutel,$S1101,L_Status,"Vastgesteld")+1))</f>
        <v/>
      </c>
      <c r="H1101" s="108" t="str">
        <f>IF($AG1101="","",P_Peildatum)</f>
        <v/>
      </c>
      <c r="I1101" s="92" t="str">
        <f>IF($AG1101="","",P_RJ+INDEX($AK$8:$AK$21,INDEX($AC$8:$AC$1407,$AG1101)+1))</f>
        <v/>
      </c>
      <c r="J1101" s="92" t="str">
        <f>IF($AG1101="","",INDEX(V_WBS,INDEX($AB$8:$AB$1407,$AG1101)))</f>
        <v/>
      </c>
      <c r="K1101" s="92" t="str">
        <f>IF($AG1101="","",INDEX(V_Projdef,INDEX($AB$8:$AB$1407,$AG1101)))</f>
        <v/>
      </c>
      <c r="L1101" s="92" t="str">
        <f>IF($AG1101="","",INDEX(V_Naam,INDEX($AB$8:$AB$1407,$AG1101)))</f>
        <v/>
      </c>
      <c r="M1101" s="92" t="str">
        <f>IF($AG1101="","",INDEX(V_Type,INDEX($AB$8:$AB$1407,$AG1101)))</f>
        <v/>
      </c>
      <c r="N1101" s="92" t="str">
        <f>IF($AG1101="","",INDEX(V_IFRS,INDEX($AB$8:$AB$1407,$AG1101)))</f>
        <v/>
      </c>
      <c r="O1101" s="92" t="str">
        <f>IF($AG1101="","",INDEX($AL$8:$AL$21,INDEX($AC$8:$AC$1407,$AG1101)+1))</f>
        <v/>
      </c>
      <c r="P1101" s="109" t="str">
        <f>IF($AG1101="","",INDEX($AD$8:$AD$1407,$AG1101))</f>
        <v/>
      </c>
      <c r="Q1101" s="92" t="str">
        <f>IF($AG1101="","",INDEX($AM$8:$AM$21,INDEX($AC$8:$AC$1407,$AG1101)+1))</f>
        <v/>
      </c>
      <c r="R1101" s="92" t="str">
        <f>IF($AG1101="","",IF($G1101&gt;0,P_ToelCorrectie&amp;"",""))</f>
        <v/>
      </c>
      <c r="S1101" s="15" t="str">
        <f>IF(J1101="","",J1101&amp;"|"&amp;E1101&amp;"|"&amp;F1101&amp;"|"&amp;I1101&amp;"|"&amp;O1101)</f>
        <v/>
      </c>
      <c r="T1101" s="111" t="str">
        <f>IF(S1101="","",IF(COUNTIFS(L_Sleutel,S1101,L_Actief,1)=0,"",SUMIFS(L_Waarde,L_Sleutel,S1101,L_Actief,1)))</f>
        <v/>
      </c>
      <c r="U1101" s="111">
        <f>IF(OR(S1101="",T1101=""),0,P1101-T1101)</f>
        <v>0</v>
      </c>
      <c r="AB1101" s="112" t="n">
        <v>79</v>
      </c>
      <c r="AC1101" s="112" t="n">
        <v>1</v>
      </c>
      <c r="AD1101" s="112" t="str">
        <f>VERW_Project!Q84</f>
        <v/>
      </c>
      <c r="AE1101" s="112">
        <f>IF(AND(VERW_Project!$A84&lt;&gt;"",ISNUMBER(AD1101)),1,0)</f>
        <v>0</v>
      </c>
      <c r="AF1101" s="112" t="str">
        <f>IF(AE1101=1,SUM($AE$8:AE1101),"")</f>
        <v/>
      </c>
      <c r="AG1101" t="str">
        <f>IFERROR(MATCH(1094,$AF$8:$AF$1407,0),"")</f>
        <v/>
      </c>
    </row>
    <row r="1102">
      <c r="A1102" s="92" t="str">
        <f>IF($AG1102="","",P_ImportID)</f>
        <v/>
      </c>
      <c r="B1102" s="92" t="str">
        <f>IF($AG1102="","",IF(INDEX($AN$8:$AN$21,INDEX($AC$8:$AC$1407,$AG1102)+1)="Z",P_BronZ,P_BronE))</f>
        <v/>
      </c>
      <c r="C1102" s="108" t="str">
        <f>IF($AG1102="","",P_Importdatum)</f>
        <v/>
      </c>
      <c r="D1102" s="92" t="str">
        <f>IF($AG1102="","",P_StatusVastleg)</f>
        <v/>
      </c>
      <c r="E1102" s="92" t="str">
        <f>IF($AG1102="","",P_UploadVJ)</f>
        <v/>
      </c>
      <c r="F1102" s="92" t="str">
        <f>IF($AG1102="","",P_UploadVersie)</f>
        <v/>
      </c>
      <c r="G1102" s="92" t="str">
        <f>IF($AG1102="","",IF(COUNTIFS(L_Sleutel,$S1102,L_Status,"Vastgesteld")=0,0,_xlfn.MAXIFS(L_Revisie,L_Sleutel,$S1102,L_Status,"Vastgesteld")+1))</f>
        <v/>
      </c>
      <c r="H1102" s="108" t="str">
        <f>IF($AG1102="","",P_Peildatum)</f>
        <v/>
      </c>
      <c r="I1102" s="92" t="str">
        <f>IF($AG1102="","",P_RJ+INDEX($AK$8:$AK$21,INDEX($AC$8:$AC$1407,$AG1102)+1))</f>
        <v/>
      </c>
      <c r="J1102" s="92" t="str">
        <f>IF($AG1102="","",INDEX(V_WBS,INDEX($AB$8:$AB$1407,$AG1102)))</f>
        <v/>
      </c>
      <c r="K1102" s="92" t="str">
        <f>IF($AG1102="","",INDEX(V_Projdef,INDEX($AB$8:$AB$1407,$AG1102)))</f>
        <v/>
      </c>
      <c r="L1102" s="92" t="str">
        <f>IF($AG1102="","",INDEX(V_Naam,INDEX($AB$8:$AB$1407,$AG1102)))</f>
        <v/>
      </c>
      <c r="M1102" s="92" t="str">
        <f>IF($AG1102="","",INDEX(V_Type,INDEX($AB$8:$AB$1407,$AG1102)))</f>
        <v/>
      </c>
      <c r="N1102" s="92" t="str">
        <f>IF($AG1102="","",INDEX(V_IFRS,INDEX($AB$8:$AB$1407,$AG1102)))</f>
        <v/>
      </c>
      <c r="O1102" s="92" t="str">
        <f>IF($AG1102="","",INDEX($AL$8:$AL$21,INDEX($AC$8:$AC$1407,$AG1102)+1))</f>
        <v/>
      </c>
      <c r="P1102" s="109" t="str">
        <f>IF($AG1102="","",INDEX($AD$8:$AD$1407,$AG1102))</f>
        <v/>
      </c>
      <c r="Q1102" s="92" t="str">
        <f>IF($AG1102="","",INDEX($AM$8:$AM$21,INDEX($AC$8:$AC$1407,$AG1102)+1))</f>
        <v/>
      </c>
      <c r="R1102" s="92" t="str">
        <f>IF($AG1102="","",IF($G1102&gt;0,P_ToelCorrectie&amp;"",""))</f>
        <v/>
      </c>
      <c r="S1102" s="15" t="str">
        <f>IF(J1102="","",J1102&amp;"|"&amp;E1102&amp;"|"&amp;F1102&amp;"|"&amp;I1102&amp;"|"&amp;O1102)</f>
        <v/>
      </c>
      <c r="T1102" s="111" t="str">
        <f>IF(S1102="","",IF(COUNTIFS(L_Sleutel,S1102,L_Actief,1)=0,"",SUMIFS(L_Waarde,L_Sleutel,S1102,L_Actief,1)))</f>
        <v/>
      </c>
      <c r="U1102" s="111">
        <f>IF(OR(S1102="",T1102=""),0,P1102-T1102)</f>
        <v>0</v>
      </c>
      <c r="AB1102" s="112" t="n">
        <v>79</v>
      </c>
      <c r="AC1102" s="112" t="n">
        <v>2</v>
      </c>
      <c r="AD1102" s="112" t="str">
        <f>VERW_Project!L84</f>
        <v/>
      </c>
      <c r="AE1102" s="112">
        <f>IF(AND(VERW_Project!$A84&lt;&gt;"",ISNUMBER(AD1102)),1,0)</f>
        <v>0</v>
      </c>
      <c r="AF1102" s="112" t="str">
        <f>IF(AE1102=1,SUM($AE$8:AE1102),"")</f>
        <v/>
      </c>
      <c r="AG1102" t="str">
        <f>IFERROR(MATCH(1095,$AF$8:$AF$1407,0),"")</f>
        <v/>
      </c>
    </row>
    <row r="1103">
      <c r="A1103" s="92" t="str">
        <f>IF($AG1103="","",P_ImportID)</f>
        <v/>
      </c>
      <c r="B1103" s="92" t="str">
        <f>IF($AG1103="","",IF(INDEX($AN$8:$AN$21,INDEX($AC$8:$AC$1407,$AG1103)+1)="Z",P_BronZ,P_BronE))</f>
        <v/>
      </c>
      <c r="C1103" s="108" t="str">
        <f>IF($AG1103="","",P_Importdatum)</f>
        <v/>
      </c>
      <c r="D1103" s="92" t="str">
        <f>IF($AG1103="","",P_StatusVastleg)</f>
        <v/>
      </c>
      <c r="E1103" s="92" t="str">
        <f>IF($AG1103="","",P_UploadVJ)</f>
        <v/>
      </c>
      <c r="F1103" s="92" t="str">
        <f>IF($AG1103="","",P_UploadVersie)</f>
        <v/>
      </c>
      <c r="G1103" s="92" t="str">
        <f>IF($AG1103="","",IF(COUNTIFS(L_Sleutel,$S1103,L_Status,"Vastgesteld")=0,0,_xlfn.MAXIFS(L_Revisie,L_Sleutel,$S1103,L_Status,"Vastgesteld")+1))</f>
        <v/>
      </c>
      <c r="H1103" s="108" t="str">
        <f>IF($AG1103="","",P_Peildatum)</f>
        <v/>
      </c>
      <c r="I1103" s="92" t="str">
        <f>IF($AG1103="","",P_RJ+INDEX($AK$8:$AK$21,INDEX($AC$8:$AC$1407,$AG1103)+1))</f>
        <v/>
      </c>
      <c r="J1103" s="92" t="str">
        <f>IF($AG1103="","",INDEX(V_WBS,INDEX($AB$8:$AB$1407,$AG1103)))</f>
        <v/>
      </c>
      <c r="K1103" s="92" t="str">
        <f>IF($AG1103="","",INDEX(V_Projdef,INDEX($AB$8:$AB$1407,$AG1103)))</f>
        <v/>
      </c>
      <c r="L1103" s="92" t="str">
        <f>IF($AG1103="","",INDEX(V_Naam,INDEX($AB$8:$AB$1407,$AG1103)))</f>
        <v/>
      </c>
      <c r="M1103" s="92" t="str">
        <f>IF($AG1103="","",INDEX(V_Type,INDEX($AB$8:$AB$1407,$AG1103)))</f>
        <v/>
      </c>
      <c r="N1103" s="92" t="str">
        <f>IF($AG1103="","",INDEX(V_IFRS,INDEX($AB$8:$AB$1407,$AG1103)))</f>
        <v/>
      </c>
      <c r="O1103" s="92" t="str">
        <f>IF($AG1103="","",INDEX($AL$8:$AL$21,INDEX($AC$8:$AC$1407,$AG1103)+1))</f>
        <v/>
      </c>
      <c r="P1103" s="109" t="str">
        <f>IF($AG1103="","",INDEX($AD$8:$AD$1407,$AG1103))</f>
        <v/>
      </c>
      <c r="Q1103" s="92" t="str">
        <f>IF($AG1103="","",INDEX($AM$8:$AM$21,INDEX($AC$8:$AC$1407,$AG1103)+1))</f>
        <v/>
      </c>
      <c r="R1103" s="92" t="str">
        <f>IF($AG1103="","",IF($G1103&gt;0,P_ToelCorrectie&amp;"",""))</f>
        <v/>
      </c>
      <c r="S1103" s="15" t="str">
        <f>IF(J1103="","",J1103&amp;"|"&amp;E1103&amp;"|"&amp;F1103&amp;"|"&amp;I1103&amp;"|"&amp;O1103)</f>
        <v/>
      </c>
      <c r="T1103" s="111" t="str">
        <f>IF(S1103="","",IF(COUNTIFS(L_Sleutel,S1103,L_Actief,1)=0,"",SUMIFS(L_Waarde,L_Sleutel,S1103,L_Actief,1)))</f>
        <v/>
      </c>
      <c r="U1103" s="111">
        <f>IF(OR(S1103="",T1103=""),0,P1103-T1103)</f>
        <v>0</v>
      </c>
      <c r="AB1103" s="112" t="n">
        <v>79</v>
      </c>
      <c r="AC1103" s="112" t="n">
        <v>3</v>
      </c>
      <c r="AD1103" s="112" t="str">
        <f>VERW_Project!M84</f>
        <v/>
      </c>
      <c r="AE1103" s="112">
        <f>IF(AND(VERW_Project!$A84&lt;&gt;"",ISNUMBER(AD1103)),1,0)</f>
        <v>0</v>
      </c>
      <c r="AF1103" s="112" t="str">
        <f>IF(AE1103=1,SUM($AE$8:AE1103),"")</f>
        <v/>
      </c>
      <c r="AG1103" t="str">
        <f>IFERROR(MATCH(1096,$AF$8:$AF$1407,0),"")</f>
        <v/>
      </c>
    </row>
    <row r="1104">
      <c r="A1104" s="92" t="str">
        <f>IF($AG1104="","",P_ImportID)</f>
        <v/>
      </c>
      <c r="B1104" s="92" t="str">
        <f>IF($AG1104="","",IF(INDEX($AN$8:$AN$21,INDEX($AC$8:$AC$1407,$AG1104)+1)="Z",P_BronZ,P_BronE))</f>
        <v/>
      </c>
      <c r="C1104" s="108" t="str">
        <f>IF($AG1104="","",P_Importdatum)</f>
        <v/>
      </c>
      <c r="D1104" s="92" t="str">
        <f>IF($AG1104="","",P_StatusVastleg)</f>
        <v/>
      </c>
      <c r="E1104" s="92" t="str">
        <f>IF($AG1104="","",P_UploadVJ)</f>
        <v/>
      </c>
      <c r="F1104" s="92" t="str">
        <f>IF($AG1104="","",P_UploadVersie)</f>
        <v/>
      </c>
      <c r="G1104" s="92" t="str">
        <f>IF($AG1104="","",IF(COUNTIFS(L_Sleutel,$S1104,L_Status,"Vastgesteld")=0,0,_xlfn.MAXIFS(L_Revisie,L_Sleutel,$S1104,L_Status,"Vastgesteld")+1))</f>
        <v/>
      </c>
      <c r="H1104" s="108" t="str">
        <f>IF($AG1104="","",P_Peildatum)</f>
        <v/>
      </c>
      <c r="I1104" s="92" t="str">
        <f>IF($AG1104="","",P_RJ+INDEX($AK$8:$AK$21,INDEX($AC$8:$AC$1407,$AG1104)+1))</f>
        <v/>
      </c>
      <c r="J1104" s="92" t="str">
        <f>IF($AG1104="","",INDEX(V_WBS,INDEX($AB$8:$AB$1407,$AG1104)))</f>
        <v/>
      </c>
      <c r="K1104" s="92" t="str">
        <f>IF($AG1104="","",INDEX(V_Projdef,INDEX($AB$8:$AB$1407,$AG1104)))</f>
        <v/>
      </c>
      <c r="L1104" s="92" t="str">
        <f>IF($AG1104="","",INDEX(V_Naam,INDEX($AB$8:$AB$1407,$AG1104)))</f>
        <v/>
      </c>
      <c r="M1104" s="92" t="str">
        <f>IF($AG1104="","",INDEX(V_Type,INDEX($AB$8:$AB$1407,$AG1104)))</f>
        <v/>
      </c>
      <c r="N1104" s="92" t="str">
        <f>IF($AG1104="","",INDEX(V_IFRS,INDEX($AB$8:$AB$1407,$AG1104)))</f>
        <v/>
      </c>
      <c r="O1104" s="92" t="str">
        <f>IF($AG1104="","",INDEX($AL$8:$AL$21,INDEX($AC$8:$AC$1407,$AG1104)+1))</f>
        <v/>
      </c>
      <c r="P1104" s="109" t="str">
        <f>IF($AG1104="","",INDEX($AD$8:$AD$1407,$AG1104))</f>
        <v/>
      </c>
      <c r="Q1104" s="92" t="str">
        <f>IF($AG1104="","",INDEX($AM$8:$AM$21,INDEX($AC$8:$AC$1407,$AG1104)+1))</f>
        <v/>
      </c>
      <c r="R1104" s="92" t="str">
        <f>IF($AG1104="","",IF($G1104&gt;0,P_ToelCorrectie&amp;"",""))</f>
        <v/>
      </c>
      <c r="S1104" s="15" t="str">
        <f>IF(J1104="","",J1104&amp;"|"&amp;E1104&amp;"|"&amp;F1104&amp;"|"&amp;I1104&amp;"|"&amp;O1104)</f>
        <v/>
      </c>
      <c r="T1104" s="111" t="str">
        <f>IF(S1104="","",IF(COUNTIFS(L_Sleutel,S1104,L_Actief,1)=0,"",SUMIFS(L_Waarde,L_Sleutel,S1104,L_Actief,1)))</f>
        <v/>
      </c>
      <c r="U1104" s="111">
        <f>IF(OR(S1104="",T1104=""),0,P1104-T1104)</f>
        <v>0</v>
      </c>
      <c r="AB1104" s="112" t="n">
        <v>79</v>
      </c>
      <c r="AC1104" s="112" t="n">
        <v>4</v>
      </c>
      <c r="AD1104" s="112" t="str">
        <f>VERW_Project!R84</f>
        <v/>
      </c>
      <c r="AE1104" s="112">
        <f>IF(AND(VERW_Project!$A84&lt;&gt;"",ISNUMBER(AD1104)),1,0)</f>
        <v>0</v>
      </c>
      <c r="AF1104" s="112" t="str">
        <f>IF(AE1104=1,SUM($AE$8:AE1104),"")</f>
        <v/>
      </c>
      <c r="AG1104" t="str">
        <f>IFERROR(MATCH(1097,$AF$8:$AF$1407,0),"")</f>
        <v/>
      </c>
    </row>
    <row r="1105">
      <c r="A1105" s="92" t="str">
        <f>IF($AG1105="","",P_ImportID)</f>
        <v/>
      </c>
      <c r="B1105" s="92" t="str">
        <f>IF($AG1105="","",IF(INDEX($AN$8:$AN$21,INDEX($AC$8:$AC$1407,$AG1105)+1)="Z",P_BronZ,P_BronE))</f>
        <v/>
      </c>
      <c r="C1105" s="108" t="str">
        <f>IF($AG1105="","",P_Importdatum)</f>
        <v/>
      </c>
      <c r="D1105" s="92" t="str">
        <f>IF($AG1105="","",P_StatusVastleg)</f>
        <v/>
      </c>
      <c r="E1105" s="92" t="str">
        <f>IF($AG1105="","",P_UploadVJ)</f>
        <v/>
      </c>
      <c r="F1105" s="92" t="str">
        <f>IF($AG1105="","",P_UploadVersie)</f>
        <v/>
      </c>
      <c r="G1105" s="92" t="str">
        <f>IF($AG1105="","",IF(COUNTIFS(L_Sleutel,$S1105,L_Status,"Vastgesteld")=0,0,_xlfn.MAXIFS(L_Revisie,L_Sleutel,$S1105,L_Status,"Vastgesteld")+1))</f>
        <v/>
      </c>
      <c r="H1105" s="108" t="str">
        <f>IF($AG1105="","",P_Peildatum)</f>
        <v/>
      </c>
      <c r="I1105" s="92" t="str">
        <f>IF($AG1105="","",P_RJ+INDEX($AK$8:$AK$21,INDEX($AC$8:$AC$1407,$AG1105)+1))</f>
        <v/>
      </c>
      <c r="J1105" s="92" t="str">
        <f>IF($AG1105="","",INDEX(V_WBS,INDEX($AB$8:$AB$1407,$AG1105)))</f>
        <v/>
      </c>
      <c r="K1105" s="92" t="str">
        <f>IF($AG1105="","",INDEX(V_Projdef,INDEX($AB$8:$AB$1407,$AG1105)))</f>
        <v/>
      </c>
      <c r="L1105" s="92" t="str">
        <f>IF($AG1105="","",INDEX(V_Naam,INDEX($AB$8:$AB$1407,$AG1105)))</f>
        <v/>
      </c>
      <c r="M1105" s="92" t="str">
        <f>IF($AG1105="","",INDEX(V_Type,INDEX($AB$8:$AB$1407,$AG1105)))</f>
        <v/>
      </c>
      <c r="N1105" s="92" t="str">
        <f>IF($AG1105="","",INDEX(V_IFRS,INDEX($AB$8:$AB$1407,$AG1105)))</f>
        <v/>
      </c>
      <c r="O1105" s="92" t="str">
        <f>IF($AG1105="","",INDEX($AL$8:$AL$21,INDEX($AC$8:$AC$1407,$AG1105)+1))</f>
        <v/>
      </c>
      <c r="P1105" s="109" t="str">
        <f>IF($AG1105="","",INDEX($AD$8:$AD$1407,$AG1105))</f>
        <v/>
      </c>
      <c r="Q1105" s="92" t="str">
        <f>IF($AG1105="","",INDEX($AM$8:$AM$21,INDEX($AC$8:$AC$1407,$AG1105)+1))</f>
        <v/>
      </c>
      <c r="R1105" s="92" t="str">
        <f>IF($AG1105="","",IF($G1105&gt;0,P_ToelCorrectie&amp;"",""))</f>
        <v/>
      </c>
      <c r="S1105" s="15" t="str">
        <f>IF(J1105="","",J1105&amp;"|"&amp;E1105&amp;"|"&amp;F1105&amp;"|"&amp;I1105&amp;"|"&amp;O1105)</f>
        <v/>
      </c>
      <c r="T1105" s="111" t="str">
        <f>IF(S1105="","",IF(COUNTIFS(L_Sleutel,S1105,L_Actief,1)=0,"",SUMIFS(L_Waarde,L_Sleutel,S1105,L_Actief,1)))</f>
        <v/>
      </c>
      <c r="U1105" s="111">
        <f>IF(OR(S1105="",T1105=""),0,P1105-T1105)</f>
        <v>0</v>
      </c>
      <c r="AB1105" s="112" t="n">
        <v>79</v>
      </c>
      <c r="AC1105" s="112" t="n">
        <v>5</v>
      </c>
      <c r="AD1105" s="112" t="str">
        <f>VERW_Project!S84</f>
        <v/>
      </c>
      <c r="AE1105" s="112">
        <f>IF(AND(VERW_Project!$A84&lt;&gt;"",ISNUMBER(AD1105)),1,0)</f>
        <v>0</v>
      </c>
      <c r="AF1105" s="112" t="str">
        <f>IF(AE1105=1,SUM($AE$8:AE1105),"")</f>
        <v/>
      </c>
      <c r="AG1105" t="str">
        <f>IFERROR(MATCH(1098,$AF$8:$AF$1407,0),"")</f>
        <v/>
      </c>
    </row>
    <row r="1106">
      <c r="A1106" s="92" t="str">
        <f>IF($AG1106="","",P_ImportID)</f>
        <v/>
      </c>
      <c r="B1106" s="92" t="str">
        <f>IF($AG1106="","",IF(INDEX($AN$8:$AN$21,INDEX($AC$8:$AC$1407,$AG1106)+1)="Z",P_BronZ,P_BronE))</f>
        <v/>
      </c>
      <c r="C1106" s="108" t="str">
        <f>IF($AG1106="","",P_Importdatum)</f>
        <v/>
      </c>
      <c r="D1106" s="92" t="str">
        <f>IF($AG1106="","",P_StatusVastleg)</f>
        <v/>
      </c>
      <c r="E1106" s="92" t="str">
        <f>IF($AG1106="","",P_UploadVJ)</f>
        <v/>
      </c>
      <c r="F1106" s="92" t="str">
        <f>IF($AG1106="","",P_UploadVersie)</f>
        <v/>
      </c>
      <c r="G1106" s="92" t="str">
        <f>IF($AG1106="","",IF(COUNTIFS(L_Sleutel,$S1106,L_Status,"Vastgesteld")=0,0,_xlfn.MAXIFS(L_Revisie,L_Sleutel,$S1106,L_Status,"Vastgesteld")+1))</f>
        <v/>
      </c>
      <c r="H1106" s="108" t="str">
        <f>IF($AG1106="","",P_Peildatum)</f>
        <v/>
      </c>
      <c r="I1106" s="92" t="str">
        <f>IF($AG1106="","",P_RJ+INDEX($AK$8:$AK$21,INDEX($AC$8:$AC$1407,$AG1106)+1))</f>
        <v/>
      </c>
      <c r="J1106" s="92" t="str">
        <f>IF($AG1106="","",INDEX(V_WBS,INDEX($AB$8:$AB$1407,$AG1106)))</f>
        <v/>
      </c>
      <c r="K1106" s="92" t="str">
        <f>IF($AG1106="","",INDEX(V_Projdef,INDEX($AB$8:$AB$1407,$AG1106)))</f>
        <v/>
      </c>
      <c r="L1106" s="92" t="str">
        <f>IF($AG1106="","",INDEX(V_Naam,INDEX($AB$8:$AB$1407,$AG1106)))</f>
        <v/>
      </c>
      <c r="M1106" s="92" t="str">
        <f>IF($AG1106="","",INDEX(V_Type,INDEX($AB$8:$AB$1407,$AG1106)))</f>
        <v/>
      </c>
      <c r="N1106" s="92" t="str">
        <f>IF($AG1106="","",INDEX(V_IFRS,INDEX($AB$8:$AB$1407,$AG1106)))</f>
        <v/>
      </c>
      <c r="O1106" s="92" t="str">
        <f>IF($AG1106="","",INDEX($AL$8:$AL$21,INDEX($AC$8:$AC$1407,$AG1106)+1))</f>
        <v/>
      </c>
      <c r="P1106" s="109" t="str">
        <f>IF($AG1106="","",INDEX($AD$8:$AD$1407,$AG1106))</f>
        <v/>
      </c>
      <c r="Q1106" s="92" t="str">
        <f>IF($AG1106="","",INDEX($AM$8:$AM$21,INDEX($AC$8:$AC$1407,$AG1106)+1))</f>
        <v/>
      </c>
      <c r="R1106" s="92" t="str">
        <f>IF($AG1106="","",IF($G1106&gt;0,P_ToelCorrectie&amp;"",""))</f>
        <v/>
      </c>
      <c r="S1106" s="15" t="str">
        <f>IF(J1106="","",J1106&amp;"|"&amp;E1106&amp;"|"&amp;F1106&amp;"|"&amp;I1106&amp;"|"&amp;O1106)</f>
        <v/>
      </c>
      <c r="T1106" s="111" t="str">
        <f>IF(S1106="","",IF(COUNTIFS(L_Sleutel,S1106,L_Actief,1)=0,"",SUMIFS(L_Waarde,L_Sleutel,S1106,L_Actief,1)))</f>
        <v/>
      </c>
      <c r="U1106" s="111">
        <f>IF(OR(S1106="",T1106=""),0,P1106-T1106)</f>
        <v>0</v>
      </c>
      <c r="AB1106" s="112" t="n">
        <v>79</v>
      </c>
      <c r="AC1106" s="112" t="n">
        <v>6</v>
      </c>
      <c r="AD1106" s="112" t="str">
        <f>VERW_Project!BW84</f>
        <v/>
      </c>
      <c r="AE1106" s="112">
        <f>IF(AND(VERW_Project!$A84&lt;&gt;"",ISNUMBER(AD1106)),1,0)</f>
        <v>0</v>
      </c>
      <c r="AF1106" s="112" t="str">
        <f>IF(AE1106=1,SUM($AE$8:AE1106),"")</f>
        <v/>
      </c>
      <c r="AG1106" t="str">
        <f>IFERROR(MATCH(1099,$AF$8:$AF$1407,0),"")</f>
        <v/>
      </c>
    </row>
    <row r="1107">
      <c r="A1107" s="92" t="str">
        <f>IF($AG1107="","",P_ImportID)</f>
        <v/>
      </c>
      <c r="B1107" s="92" t="str">
        <f>IF($AG1107="","",IF(INDEX($AN$8:$AN$21,INDEX($AC$8:$AC$1407,$AG1107)+1)="Z",P_BronZ,P_BronE))</f>
        <v/>
      </c>
      <c r="C1107" s="108" t="str">
        <f>IF($AG1107="","",P_Importdatum)</f>
        <v/>
      </c>
      <c r="D1107" s="92" t="str">
        <f>IF($AG1107="","",P_StatusVastleg)</f>
        <v/>
      </c>
      <c r="E1107" s="92" t="str">
        <f>IF($AG1107="","",P_UploadVJ)</f>
        <v/>
      </c>
      <c r="F1107" s="92" t="str">
        <f>IF($AG1107="","",P_UploadVersie)</f>
        <v/>
      </c>
      <c r="G1107" s="92" t="str">
        <f>IF($AG1107="","",IF(COUNTIFS(L_Sleutel,$S1107,L_Status,"Vastgesteld")=0,0,_xlfn.MAXIFS(L_Revisie,L_Sleutel,$S1107,L_Status,"Vastgesteld")+1))</f>
        <v/>
      </c>
      <c r="H1107" s="108" t="str">
        <f>IF($AG1107="","",P_Peildatum)</f>
        <v/>
      </c>
      <c r="I1107" s="92" t="str">
        <f>IF($AG1107="","",P_RJ+INDEX($AK$8:$AK$21,INDEX($AC$8:$AC$1407,$AG1107)+1))</f>
        <v/>
      </c>
      <c r="J1107" s="92" t="str">
        <f>IF($AG1107="","",INDEX(V_WBS,INDEX($AB$8:$AB$1407,$AG1107)))</f>
        <v/>
      </c>
      <c r="K1107" s="92" t="str">
        <f>IF($AG1107="","",INDEX(V_Projdef,INDEX($AB$8:$AB$1407,$AG1107)))</f>
        <v/>
      </c>
      <c r="L1107" s="92" t="str">
        <f>IF($AG1107="","",INDEX(V_Naam,INDEX($AB$8:$AB$1407,$AG1107)))</f>
        <v/>
      </c>
      <c r="M1107" s="92" t="str">
        <f>IF($AG1107="","",INDEX(V_Type,INDEX($AB$8:$AB$1407,$AG1107)))</f>
        <v/>
      </c>
      <c r="N1107" s="92" t="str">
        <f>IF($AG1107="","",INDEX(V_IFRS,INDEX($AB$8:$AB$1407,$AG1107)))</f>
        <v/>
      </c>
      <c r="O1107" s="92" t="str">
        <f>IF($AG1107="","",INDEX($AL$8:$AL$21,INDEX($AC$8:$AC$1407,$AG1107)+1))</f>
        <v/>
      </c>
      <c r="P1107" s="109" t="str">
        <f>IF($AG1107="","",INDEX($AD$8:$AD$1407,$AG1107))</f>
        <v/>
      </c>
      <c r="Q1107" s="92" t="str">
        <f>IF($AG1107="","",INDEX($AM$8:$AM$21,INDEX($AC$8:$AC$1407,$AG1107)+1))</f>
        <v/>
      </c>
      <c r="R1107" s="92" t="str">
        <f>IF($AG1107="","",IF($G1107&gt;0,P_ToelCorrectie&amp;"",""))</f>
        <v/>
      </c>
      <c r="S1107" s="15" t="str">
        <f>IF(J1107="","",J1107&amp;"|"&amp;E1107&amp;"|"&amp;F1107&amp;"|"&amp;I1107&amp;"|"&amp;O1107)</f>
        <v/>
      </c>
      <c r="T1107" s="111" t="str">
        <f>IF(S1107="","",IF(COUNTIFS(L_Sleutel,S1107,L_Actief,1)=0,"",SUMIFS(L_Waarde,L_Sleutel,S1107,L_Actief,1)))</f>
        <v/>
      </c>
      <c r="U1107" s="111">
        <f>IF(OR(S1107="",T1107=""),0,P1107-T1107)</f>
        <v>0</v>
      </c>
      <c r="AB1107" s="112" t="n">
        <v>79</v>
      </c>
      <c r="AC1107" s="112" t="n">
        <v>7</v>
      </c>
      <c r="AD1107" s="112" t="str">
        <f>VERW_Project!AW84</f>
        <v/>
      </c>
      <c r="AE1107" s="112">
        <f>IF(AND(VERW_Project!$A84&lt;&gt;"",ISNUMBER(AD1107)),1,0)</f>
        <v>0</v>
      </c>
      <c r="AF1107" s="112" t="str">
        <f>IF(AE1107=1,SUM($AE$8:AE1107),"")</f>
        <v/>
      </c>
      <c r="AG1107" t="str">
        <f>IFERROR(MATCH(1100,$AF$8:$AF$1407,0),"")</f>
        <v/>
      </c>
    </row>
    <row r="1108">
      <c r="A1108" s="92" t="str">
        <f>IF($AG1108="","",P_ImportID)</f>
        <v/>
      </c>
      <c r="B1108" s="92" t="str">
        <f>IF($AG1108="","",IF(INDEX($AN$8:$AN$21,INDEX($AC$8:$AC$1407,$AG1108)+1)="Z",P_BronZ,P_BronE))</f>
        <v/>
      </c>
      <c r="C1108" s="108" t="str">
        <f>IF($AG1108="","",P_Importdatum)</f>
        <v/>
      </c>
      <c r="D1108" s="92" t="str">
        <f>IF($AG1108="","",P_StatusVastleg)</f>
        <v/>
      </c>
      <c r="E1108" s="92" t="str">
        <f>IF($AG1108="","",P_UploadVJ)</f>
        <v/>
      </c>
      <c r="F1108" s="92" t="str">
        <f>IF($AG1108="","",P_UploadVersie)</f>
        <v/>
      </c>
      <c r="G1108" s="92" t="str">
        <f>IF($AG1108="","",IF(COUNTIFS(L_Sleutel,$S1108,L_Status,"Vastgesteld")=0,0,_xlfn.MAXIFS(L_Revisie,L_Sleutel,$S1108,L_Status,"Vastgesteld")+1))</f>
        <v/>
      </c>
      <c r="H1108" s="108" t="str">
        <f>IF($AG1108="","",P_Peildatum)</f>
        <v/>
      </c>
      <c r="I1108" s="92" t="str">
        <f>IF($AG1108="","",P_RJ+INDEX($AK$8:$AK$21,INDEX($AC$8:$AC$1407,$AG1108)+1))</f>
        <v/>
      </c>
      <c r="J1108" s="92" t="str">
        <f>IF($AG1108="","",INDEX(V_WBS,INDEX($AB$8:$AB$1407,$AG1108)))</f>
        <v/>
      </c>
      <c r="K1108" s="92" t="str">
        <f>IF($AG1108="","",INDEX(V_Projdef,INDEX($AB$8:$AB$1407,$AG1108)))</f>
        <v/>
      </c>
      <c r="L1108" s="92" t="str">
        <f>IF($AG1108="","",INDEX(V_Naam,INDEX($AB$8:$AB$1407,$AG1108)))</f>
        <v/>
      </c>
      <c r="M1108" s="92" t="str">
        <f>IF($AG1108="","",INDEX(V_Type,INDEX($AB$8:$AB$1407,$AG1108)))</f>
        <v/>
      </c>
      <c r="N1108" s="92" t="str">
        <f>IF($AG1108="","",INDEX(V_IFRS,INDEX($AB$8:$AB$1407,$AG1108)))</f>
        <v/>
      </c>
      <c r="O1108" s="92" t="str">
        <f>IF($AG1108="","",INDEX($AL$8:$AL$21,INDEX($AC$8:$AC$1407,$AG1108)+1))</f>
        <v/>
      </c>
      <c r="P1108" s="109" t="str">
        <f>IF($AG1108="","",INDEX($AD$8:$AD$1407,$AG1108))</f>
        <v/>
      </c>
      <c r="Q1108" s="92" t="str">
        <f>IF($AG1108="","",INDEX($AM$8:$AM$21,INDEX($AC$8:$AC$1407,$AG1108)+1))</f>
        <v/>
      </c>
      <c r="R1108" s="92" t="str">
        <f>IF($AG1108="","",IF($G1108&gt;0,P_ToelCorrectie&amp;"",""))</f>
        <v/>
      </c>
      <c r="S1108" s="15" t="str">
        <f>IF(J1108="","",J1108&amp;"|"&amp;E1108&amp;"|"&amp;F1108&amp;"|"&amp;I1108&amp;"|"&amp;O1108)</f>
        <v/>
      </c>
      <c r="T1108" s="111" t="str">
        <f>IF(S1108="","",IF(COUNTIFS(L_Sleutel,S1108,L_Actief,1)=0,"",SUMIFS(L_Waarde,L_Sleutel,S1108,L_Actief,1)))</f>
        <v/>
      </c>
      <c r="U1108" s="111">
        <f>IF(OR(S1108="",T1108=""),0,P1108-T1108)</f>
        <v>0</v>
      </c>
      <c r="AB1108" s="112" t="n">
        <v>79</v>
      </c>
      <c r="AC1108" s="112" t="n">
        <v>8</v>
      </c>
      <c r="AD1108" s="112" t="str">
        <f>VERW_Project!BQ84</f>
        <v/>
      </c>
      <c r="AE1108" s="112">
        <f>IF(AND(VERW_Project!$A84&lt;&gt;"",ISNUMBER(AD1108)),1,0)</f>
        <v>0</v>
      </c>
      <c r="AF1108" s="112" t="str">
        <f>IF(AE1108=1,SUM($AE$8:AE1108),"")</f>
        <v/>
      </c>
      <c r="AG1108" t="str">
        <f>IFERROR(MATCH(1101,$AF$8:$AF$1407,0),"")</f>
        <v/>
      </c>
    </row>
    <row r="1109">
      <c r="A1109" s="92" t="str">
        <f>IF($AG1109="","",P_ImportID)</f>
        <v/>
      </c>
      <c r="B1109" s="92" t="str">
        <f>IF($AG1109="","",IF(INDEX($AN$8:$AN$21,INDEX($AC$8:$AC$1407,$AG1109)+1)="Z",P_BronZ,P_BronE))</f>
        <v/>
      </c>
      <c r="C1109" s="108" t="str">
        <f>IF($AG1109="","",P_Importdatum)</f>
        <v/>
      </c>
      <c r="D1109" s="92" t="str">
        <f>IF($AG1109="","",P_StatusVastleg)</f>
        <v/>
      </c>
      <c r="E1109" s="92" t="str">
        <f>IF($AG1109="","",P_UploadVJ)</f>
        <v/>
      </c>
      <c r="F1109" s="92" t="str">
        <f>IF($AG1109="","",P_UploadVersie)</f>
        <v/>
      </c>
      <c r="G1109" s="92" t="str">
        <f>IF($AG1109="","",IF(COUNTIFS(L_Sleutel,$S1109,L_Status,"Vastgesteld")=0,0,_xlfn.MAXIFS(L_Revisie,L_Sleutel,$S1109,L_Status,"Vastgesteld")+1))</f>
        <v/>
      </c>
      <c r="H1109" s="108" t="str">
        <f>IF($AG1109="","",P_Peildatum)</f>
        <v/>
      </c>
      <c r="I1109" s="92" t="str">
        <f>IF($AG1109="","",P_RJ+INDEX($AK$8:$AK$21,INDEX($AC$8:$AC$1407,$AG1109)+1))</f>
        <v/>
      </c>
      <c r="J1109" s="92" t="str">
        <f>IF($AG1109="","",INDEX(V_WBS,INDEX($AB$8:$AB$1407,$AG1109)))</f>
        <v/>
      </c>
      <c r="K1109" s="92" t="str">
        <f>IF($AG1109="","",INDEX(V_Projdef,INDEX($AB$8:$AB$1407,$AG1109)))</f>
        <v/>
      </c>
      <c r="L1109" s="92" t="str">
        <f>IF($AG1109="","",INDEX(V_Naam,INDEX($AB$8:$AB$1407,$AG1109)))</f>
        <v/>
      </c>
      <c r="M1109" s="92" t="str">
        <f>IF($AG1109="","",INDEX(V_Type,INDEX($AB$8:$AB$1407,$AG1109)))</f>
        <v/>
      </c>
      <c r="N1109" s="92" t="str">
        <f>IF($AG1109="","",INDEX(V_IFRS,INDEX($AB$8:$AB$1407,$AG1109)))</f>
        <v/>
      </c>
      <c r="O1109" s="92" t="str">
        <f>IF($AG1109="","",INDEX($AL$8:$AL$21,INDEX($AC$8:$AC$1407,$AG1109)+1))</f>
        <v/>
      </c>
      <c r="P1109" s="109" t="str">
        <f>IF($AG1109="","",INDEX($AD$8:$AD$1407,$AG1109))</f>
        <v/>
      </c>
      <c r="Q1109" s="92" t="str">
        <f>IF($AG1109="","",INDEX($AM$8:$AM$21,INDEX($AC$8:$AC$1407,$AG1109)+1))</f>
        <v/>
      </c>
      <c r="R1109" s="92" t="str">
        <f>IF($AG1109="","",IF($G1109&gt;0,P_ToelCorrectie&amp;"",""))</f>
        <v/>
      </c>
      <c r="S1109" s="15" t="str">
        <f>IF(J1109="","",J1109&amp;"|"&amp;E1109&amp;"|"&amp;F1109&amp;"|"&amp;I1109&amp;"|"&amp;O1109)</f>
        <v/>
      </c>
      <c r="T1109" s="111" t="str">
        <f>IF(S1109="","",IF(COUNTIFS(L_Sleutel,S1109,L_Actief,1)=0,"",SUMIFS(L_Waarde,L_Sleutel,S1109,L_Actief,1)))</f>
        <v/>
      </c>
      <c r="U1109" s="111">
        <f>IF(OR(S1109="",T1109=""),0,P1109-T1109)</f>
        <v>0</v>
      </c>
      <c r="AB1109" s="112" t="n">
        <v>79</v>
      </c>
      <c r="AC1109" s="112" t="n">
        <v>9</v>
      </c>
      <c r="AD1109" s="112" t="str">
        <f>VERW_Project!BR84</f>
        <v/>
      </c>
      <c r="AE1109" s="112">
        <f>IF(AND(VERW_Project!$A84&lt;&gt;"",ISNUMBER(AD1109)),1,0)</f>
        <v>0</v>
      </c>
      <c r="AF1109" s="112" t="str">
        <f>IF(AE1109=1,SUM($AE$8:AE1109),"")</f>
        <v/>
      </c>
      <c r="AG1109" t="str">
        <f>IFERROR(MATCH(1102,$AF$8:$AF$1407,0),"")</f>
        <v/>
      </c>
    </row>
    <row r="1110">
      <c r="A1110" s="92" t="str">
        <f>IF($AG1110="","",P_ImportID)</f>
        <v/>
      </c>
      <c r="B1110" s="92" t="str">
        <f>IF($AG1110="","",IF(INDEX($AN$8:$AN$21,INDEX($AC$8:$AC$1407,$AG1110)+1)="Z",P_BronZ,P_BronE))</f>
        <v/>
      </c>
      <c r="C1110" s="108" t="str">
        <f>IF($AG1110="","",P_Importdatum)</f>
        <v/>
      </c>
      <c r="D1110" s="92" t="str">
        <f>IF($AG1110="","",P_StatusVastleg)</f>
        <v/>
      </c>
      <c r="E1110" s="92" t="str">
        <f>IF($AG1110="","",P_UploadVJ)</f>
        <v/>
      </c>
      <c r="F1110" s="92" t="str">
        <f>IF($AG1110="","",P_UploadVersie)</f>
        <v/>
      </c>
      <c r="G1110" s="92" t="str">
        <f>IF($AG1110="","",IF(COUNTIFS(L_Sleutel,$S1110,L_Status,"Vastgesteld")=0,0,_xlfn.MAXIFS(L_Revisie,L_Sleutel,$S1110,L_Status,"Vastgesteld")+1))</f>
        <v/>
      </c>
      <c r="H1110" s="108" t="str">
        <f>IF($AG1110="","",P_Peildatum)</f>
        <v/>
      </c>
      <c r="I1110" s="92" t="str">
        <f>IF($AG1110="","",P_RJ+INDEX($AK$8:$AK$21,INDEX($AC$8:$AC$1407,$AG1110)+1))</f>
        <v/>
      </c>
      <c r="J1110" s="92" t="str">
        <f>IF($AG1110="","",INDEX(V_WBS,INDEX($AB$8:$AB$1407,$AG1110)))</f>
        <v/>
      </c>
      <c r="K1110" s="92" t="str">
        <f>IF($AG1110="","",INDEX(V_Projdef,INDEX($AB$8:$AB$1407,$AG1110)))</f>
        <v/>
      </c>
      <c r="L1110" s="92" t="str">
        <f>IF($AG1110="","",INDEX(V_Naam,INDEX($AB$8:$AB$1407,$AG1110)))</f>
        <v/>
      </c>
      <c r="M1110" s="92" t="str">
        <f>IF($AG1110="","",INDEX(V_Type,INDEX($AB$8:$AB$1407,$AG1110)))</f>
        <v/>
      </c>
      <c r="N1110" s="92" t="str">
        <f>IF($AG1110="","",INDEX(V_IFRS,INDEX($AB$8:$AB$1407,$AG1110)))</f>
        <v/>
      </c>
      <c r="O1110" s="92" t="str">
        <f>IF($AG1110="","",INDEX($AL$8:$AL$21,INDEX($AC$8:$AC$1407,$AG1110)+1))</f>
        <v/>
      </c>
      <c r="P1110" s="109" t="str">
        <f>IF($AG1110="","",INDEX($AD$8:$AD$1407,$AG1110))</f>
        <v/>
      </c>
      <c r="Q1110" s="92" t="str">
        <f>IF($AG1110="","",INDEX($AM$8:$AM$21,INDEX($AC$8:$AC$1407,$AG1110)+1))</f>
        <v/>
      </c>
      <c r="R1110" s="92" t="str">
        <f>IF($AG1110="","",IF($G1110&gt;0,P_ToelCorrectie&amp;"",""))</f>
        <v/>
      </c>
      <c r="S1110" s="15" t="str">
        <f>IF(J1110="","",J1110&amp;"|"&amp;E1110&amp;"|"&amp;F1110&amp;"|"&amp;I1110&amp;"|"&amp;O1110)</f>
        <v/>
      </c>
      <c r="T1110" s="111" t="str">
        <f>IF(S1110="","",IF(COUNTIFS(L_Sleutel,S1110,L_Actief,1)=0,"",SUMIFS(L_Waarde,L_Sleutel,S1110,L_Actief,1)))</f>
        <v/>
      </c>
      <c r="U1110" s="111">
        <f>IF(OR(S1110="",T1110=""),0,P1110-T1110)</f>
        <v>0</v>
      </c>
      <c r="AB1110" s="112" t="n">
        <v>79</v>
      </c>
      <c r="AC1110" s="112" t="n">
        <v>10</v>
      </c>
      <c r="AD1110" s="112" t="str">
        <f>VERW_Project!BS84</f>
        <v/>
      </c>
      <c r="AE1110" s="112">
        <f>IF(AND(VERW_Project!$A84&lt;&gt;"",ISNUMBER(AD1110)),1,0)</f>
        <v>0</v>
      </c>
      <c r="AF1110" s="112" t="str">
        <f>IF(AE1110=1,SUM($AE$8:AE1110),"")</f>
        <v/>
      </c>
      <c r="AG1110" t="str">
        <f>IFERROR(MATCH(1103,$AF$8:$AF$1407,0),"")</f>
        <v/>
      </c>
    </row>
    <row r="1111">
      <c r="A1111" s="92" t="str">
        <f>IF($AG1111="","",P_ImportID)</f>
        <v/>
      </c>
      <c r="B1111" s="92" t="str">
        <f>IF($AG1111="","",IF(INDEX($AN$8:$AN$21,INDEX($AC$8:$AC$1407,$AG1111)+1)="Z",P_BronZ,P_BronE))</f>
        <v/>
      </c>
      <c r="C1111" s="108" t="str">
        <f>IF($AG1111="","",P_Importdatum)</f>
        <v/>
      </c>
      <c r="D1111" s="92" t="str">
        <f>IF($AG1111="","",P_StatusVastleg)</f>
        <v/>
      </c>
      <c r="E1111" s="92" t="str">
        <f>IF($AG1111="","",P_UploadVJ)</f>
        <v/>
      </c>
      <c r="F1111" s="92" t="str">
        <f>IF($AG1111="","",P_UploadVersie)</f>
        <v/>
      </c>
      <c r="G1111" s="92" t="str">
        <f>IF($AG1111="","",IF(COUNTIFS(L_Sleutel,$S1111,L_Status,"Vastgesteld")=0,0,_xlfn.MAXIFS(L_Revisie,L_Sleutel,$S1111,L_Status,"Vastgesteld")+1))</f>
        <v/>
      </c>
      <c r="H1111" s="108" t="str">
        <f>IF($AG1111="","",P_Peildatum)</f>
        <v/>
      </c>
      <c r="I1111" s="92" t="str">
        <f>IF($AG1111="","",P_RJ+INDEX($AK$8:$AK$21,INDEX($AC$8:$AC$1407,$AG1111)+1))</f>
        <v/>
      </c>
      <c r="J1111" s="92" t="str">
        <f>IF($AG1111="","",INDEX(V_WBS,INDEX($AB$8:$AB$1407,$AG1111)))</f>
        <v/>
      </c>
      <c r="K1111" s="92" t="str">
        <f>IF($AG1111="","",INDEX(V_Projdef,INDEX($AB$8:$AB$1407,$AG1111)))</f>
        <v/>
      </c>
      <c r="L1111" s="92" t="str">
        <f>IF($AG1111="","",INDEX(V_Naam,INDEX($AB$8:$AB$1407,$AG1111)))</f>
        <v/>
      </c>
      <c r="M1111" s="92" t="str">
        <f>IF($AG1111="","",INDEX(V_Type,INDEX($AB$8:$AB$1407,$AG1111)))</f>
        <v/>
      </c>
      <c r="N1111" s="92" t="str">
        <f>IF($AG1111="","",INDEX(V_IFRS,INDEX($AB$8:$AB$1407,$AG1111)))</f>
        <v/>
      </c>
      <c r="O1111" s="92" t="str">
        <f>IF($AG1111="","",INDEX($AL$8:$AL$21,INDEX($AC$8:$AC$1407,$AG1111)+1))</f>
        <v/>
      </c>
      <c r="P1111" s="109" t="str">
        <f>IF($AG1111="","",INDEX($AD$8:$AD$1407,$AG1111))</f>
        <v/>
      </c>
      <c r="Q1111" s="92" t="str">
        <f>IF($AG1111="","",INDEX($AM$8:$AM$21,INDEX($AC$8:$AC$1407,$AG1111)+1))</f>
        <v/>
      </c>
      <c r="R1111" s="92" t="str">
        <f>IF($AG1111="","",IF($G1111&gt;0,P_ToelCorrectie&amp;"",""))</f>
        <v/>
      </c>
      <c r="S1111" s="15" t="str">
        <f>IF(J1111="","",J1111&amp;"|"&amp;E1111&amp;"|"&amp;F1111&amp;"|"&amp;I1111&amp;"|"&amp;O1111)</f>
        <v/>
      </c>
      <c r="T1111" s="111" t="str">
        <f>IF(S1111="","",IF(COUNTIFS(L_Sleutel,S1111,L_Actief,1)=0,"",SUMIFS(L_Waarde,L_Sleutel,S1111,L_Actief,1)))</f>
        <v/>
      </c>
      <c r="U1111" s="111">
        <f>IF(OR(S1111="",T1111=""),0,P1111-T1111)</f>
        <v>0</v>
      </c>
      <c r="AB1111" s="112" t="n">
        <v>79</v>
      </c>
      <c r="AC1111" s="112" t="n">
        <v>11</v>
      </c>
      <c r="AD1111" s="112" t="str">
        <f>VERW_Project!BT84</f>
        <v/>
      </c>
      <c r="AE1111" s="112">
        <f>IF(AND(VERW_Project!$A84&lt;&gt;"",ISNUMBER(AD1111)),1,0)</f>
        <v>0</v>
      </c>
      <c r="AF1111" s="112" t="str">
        <f>IF(AE1111=1,SUM($AE$8:AE1111),"")</f>
        <v/>
      </c>
      <c r="AG1111" t="str">
        <f>IFERROR(MATCH(1104,$AF$8:$AF$1407,0),"")</f>
        <v/>
      </c>
    </row>
    <row r="1112">
      <c r="A1112" s="92" t="str">
        <f>IF($AG1112="","",P_ImportID)</f>
        <v/>
      </c>
      <c r="B1112" s="92" t="str">
        <f>IF($AG1112="","",IF(INDEX($AN$8:$AN$21,INDEX($AC$8:$AC$1407,$AG1112)+1)="Z",P_BronZ,P_BronE))</f>
        <v/>
      </c>
      <c r="C1112" s="108" t="str">
        <f>IF($AG1112="","",P_Importdatum)</f>
        <v/>
      </c>
      <c r="D1112" s="92" t="str">
        <f>IF($AG1112="","",P_StatusVastleg)</f>
        <v/>
      </c>
      <c r="E1112" s="92" t="str">
        <f>IF($AG1112="","",P_UploadVJ)</f>
        <v/>
      </c>
      <c r="F1112" s="92" t="str">
        <f>IF($AG1112="","",P_UploadVersie)</f>
        <v/>
      </c>
      <c r="G1112" s="92" t="str">
        <f>IF($AG1112="","",IF(COUNTIFS(L_Sleutel,$S1112,L_Status,"Vastgesteld")=0,0,_xlfn.MAXIFS(L_Revisie,L_Sleutel,$S1112,L_Status,"Vastgesteld")+1))</f>
        <v/>
      </c>
      <c r="H1112" s="108" t="str">
        <f>IF($AG1112="","",P_Peildatum)</f>
        <v/>
      </c>
      <c r="I1112" s="92" t="str">
        <f>IF($AG1112="","",P_RJ+INDEX($AK$8:$AK$21,INDEX($AC$8:$AC$1407,$AG1112)+1))</f>
        <v/>
      </c>
      <c r="J1112" s="92" t="str">
        <f>IF($AG1112="","",INDEX(V_WBS,INDEX($AB$8:$AB$1407,$AG1112)))</f>
        <v/>
      </c>
      <c r="K1112" s="92" t="str">
        <f>IF($AG1112="","",INDEX(V_Projdef,INDEX($AB$8:$AB$1407,$AG1112)))</f>
        <v/>
      </c>
      <c r="L1112" s="92" t="str">
        <f>IF($AG1112="","",INDEX(V_Naam,INDEX($AB$8:$AB$1407,$AG1112)))</f>
        <v/>
      </c>
      <c r="M1112" s="92" t="str">
        <f>IF($AG1112="","",INDEX(V_Type,INDEX($AB$8:$AB$1407,$AG1112)))</f>
        <v/>
      </c>
      <c r="N1112" s="92" t="str">
        <f>IF($AG1112="","",INDEX(V_IFRS,INDEX($AB$8:$AB$1407,$AG1112)))</f>
        <v/>
      </c>
      <c r="O1112" s="92" t="str">
        <f>IF($AG1112="","",INDEX($AL$8:$AL$21,INDEX($AC$8:$AC$1407,$AG1112)+1))</f>
        <v/>
      </c>
      <c r="P1112" s="109" t="str">
        <f>IF($AG1112="","",INDEX($AD$8:$AD$1407,$AG1112))</f>
        <v/>
      </c>
      <c r="Q1112" s="92" t="str">
        <f>IF($AG1112="","",INDEX($AM$8:$AM$21,INDEX($AC$8:$AC$1407,$AG1112)+1))</f>
        <v/>
      </c>
      <c r="R1112" s="92" t="str">
        <f>IF($AG1112="","",IF($G1112&gt;0,P_ToelCorrectie&amp;"",""))</f>
        <v/>
      </c>
      <c r="S1112" s="15" t="str">
        <f>IF(J1112="","",J1112&amp;"|"&amp;E1112&amp;"|"&amp;F1112&amp;"|"&amp;I1112&amp;"|"&amp;O1112)</f>
        <v/>
      </c>
      <c r="T1112" s="111" t="str">
        <f>IF(S1112="","",IF(COUNTIFS(L_Sleutel,S1112,L_Actief,1)=0,"",SUMIFS(L_Waarde,L_Sleutel,S1112,L_Actief,1)))</f>
        <v/>
      </c>
      <c r="U1112" s="111">
        <f>IF(OR(S1112="",T1112=""),0,P1112-T1112)</f>
        <v>0</v>
      </c>
      <c r="AB1112" s="112" t="n">
        <v>79</v>
      </c>
      <c r="AC1112" s="112" t="n">
        <v>12</v>
      </c>
      <c r="AD1112" s="112" t="str">
        <f>VERW_Project!BU84</f>
        <v/>
      </c>
      <c r="AE1112" s="112">
        <f>IF(AND(VERW_Project!$A84&lt;&gt;"",ISNUMBER(AD1112)),1,0)</f>
        <v>0</v>
      </c>
      <c r="AF1112" s="112" t="str">
        <f>IF(AE1112=1,SUM($AE$8:AE1112),"")</f>
        <v/>
      </c>
      <c r="AG1112" t="str">
        <f>IFERROR(MATCH(1105,$AF$8:$AF$1407,0),"")</f>
        <v/>
      </c>
    </row>
    <row r="1113">
      <c r="A1113" s="92" t="str">
        <f>IF($AG1113="","",P_ImportID)</f>
        <v/>
      </c>
      <c r="B1113" s="92" t="str">
        <f>IF($AG1113="","",IF(INDEX($AN$8:$AN$21,INDEX($AC$8:$AC$1407,$AG1113)+1)="Z",P_BronZ,P_BronE))</f>
        <v/>
      </c>
      <c r="C1113" s="108" t="str">
        <f>IF($AG1113="","",P_Importdatum)</f>
        <v/>
      </c>
      <c r="D1113" s="92" t="str">
        <f>IF($AG1113="","",P_StatusVastleg)</f>
        <v/>
      </c>
      <c r="E1113" s="92" t="str">
        <f>IF($AG1113="","",P_UploadVJ)</f>
        <v/>
      </c>
      <c r="F1113" s="92" t="str">
        <f>IF($AG1113="","",P_UploadVersie)</f>
        <v/>
      </c>
      <c r="G1113" s="92" t="str">
        <f>IF($AG1113="","",IF(COUNTIFS(L_Sleutel,$S1113,L_Status,"Vastgesteld")=0,0,_xlfn.MAXIFS(L_Revisie,L_Sleutel,$S1113,L_Status,"Vastgesteld")+1))</f>
        <v/>
      </c>
      <c r="H1113" s="108" t="str">
        <f>IF($AG1113="","",P_Peildatum)</f>
        <v/>
      </c>
      <c r="I1113" s="92" t="str">
        <f>IF($AG1113="","",P_RJ+INDEX($AK$8:$AK$21,INDEX($AC$8:$AC$1407,$AG1113)+1))</f>
        <v/>
      </c>
      <c r="J1113" s="92" t="str">
        <f>IF($AG1113="","",INDEX(V_WBS,INDEX($AB$8:$AB$1407,$AG1113)))</f>
        <v/>
      </c>
      <c r="K1113" s="92" t="str">
        <f>IF($AG1113="","",INDEX(V_Projdef,INDEX($AB$8:$AB$1407,$AG1113)))</f>
        <v/>
      </c>
      <c r="L1113" s="92" t="str">
        <f>IF($AG1113="","",INDEX(V_Naam,INDEX($AB$8:$AB$1407,$AG1113)))</f>
        <v/>
      </c>
      <c r="M1113" s="92" t="str">
        <f>IF($AG1113="","",INDEX(V_Type,INDEX($AB$8:$AB$1407,$AG1113)))</f>
        <v/>
      </c>
      <c r="N1113" s="92" t="str">
        <f>IF($AG1113="","",INDEX(V_IFRS,INDEX($AB$8:$AB$1407,$AG1113)))</f>
        <v/>
      </c>
      <c r="O1113" s="92" t="str">
        <f>IF($AG1113="","",INDEX($AL$8:$AL$21,INDEX($AC$8:$AC$1407,$AG1113)+1))</f>
        <v/>
      </c>
      <c r="P1113" s="109" t="str">
        <f>IF($AG1113="","",INDEX($AD$8:$AD$1407,$AG1113))</f>
        <v/>
      </c>
      <c r="Q1113" s="92" t="str">
        <f>IF($AG1113="","",INDEX($AM$8:$AM$21,INDEX($AC$8:$AC$1407,$AG1113)+1))</f>
        <v/>
      </c>
      <c r="R1113" s="92" t="str">
        <f>IF($AG1113="","",IF($G1113&gt;0,P_ToelCorrectie&amp;"",""))</f>
        <v/>
      </c>
      <c r="S1113" s="15" t="str">
        <f>IF(J1113="","",J1113&amp;"|"&amp;E1113&amp;"|"&amp;F1113&amp;"|"&amp;I1113&amp;"|"&amp;O1113)</f>
        <v/>
      </c>
      <c r="T1113" s="111" t="str">
        <f>IF(S1113="","",IF(COUNTIFS(L_Sleutel,S1113,L_Actief,1)=0,"",SUMIFS(L_Waarde,L_Sleutel,S1113,L_Actief,1)))</f>
        <v/>
      </c>
      <c r="U1113" s="111">
        <f>IF(OR(S1113="",T1113=""),0,P1113-T1113)</f>
        <v>0</v>
      </c>
      <c r="AB1113" s="112" t="n">
        <v>79</v>
      </c>
      <c r="AC1113" s="112" t="n">
        <v>13</v>
      </c>
      <c r="AD1113" s="112" t="str">
        <f>VERW_Project!BX84</f>
        <v/>
      </c>
      <c r="AE1113" s="112">
        <f>IF(AND(VERW_Project!$A84&lt;&gt;"",ISNUMBER(AD1113)),1,0)</f>
        <v>0</v>
      </c>
      <c r="AF1113" s="112" t="str">
        <f>IF(AE1113=1,SUM($AE$8:AE1113),"")</f>
        <v/>
      </c>
      <c r="AG1113" t="str">
        <f>IFERROR(MATCH(1106,$AF$8:$AF$1407,0),"")</f>
        <v/>
      </c>
    </row>
    <row r="1114">
      <c r="A1114" s="92" t="str">
        <f>IF($AG1114="","",P_ImportID)</f>
        <v/>
      </c>
      <c r="B1114" s="92" t="str">
        <f>IF($AG1114="","",IF(INDEX($AN$8:$AN$21,INDEX($AC$8:$AC$1407,$AG1114)+1)="Z",P_BronZ,P_BronE))</f>
        <v/>
      </c>
      <c r="C1114" s="108" t="str">
        <f>IF($AG1114="","",P_Importdatum)</f>
        <v/>
      </c>
      <c r="D1114" s="92" t="str">
        <f>IF($AG1114="","",P_StatusVastleg)</f>
        <v/>
      </c>
      <c r="E1114" s="92" t="str">
        <f>IF($AG1114="","",P_UploadVJ)</f>
        <v/>
      </c>
      <c r="F1114" s="92" t="str">
        <f>IF($AG1114="","",P_UploadVersie)</f>
        <v/>
      </c>
      <c r="G1114" s="92" t="str">
        <f>IF($AG1114="","",IF(COUNTIFS(L_Sleutel,$S1114,L_Status,"Vastgesteld")=0,0,_xlfn.MAXIFS(L_Revisie,L_Sleutel,$S1114,L_Status,"Vastgesteld")+1))</f>
        <v/>
      </c>
      <c r="H1114" s="108" t="str">
        <f>IF($AG1114="","",P_Peildatum)</f>
        <v/>
      </c>
      <c r="I1114" s="92" t="str">
        <f>IF($AG1114="","",P_RJ+INDEX($AK$8:$AK$21,INDEX($AC$8:$AC$1407,$AG1114)+1))</f>
        <v/>
      </c>
      <c r="J1114" s="92" t="str">
        <f>IF($AG1114="","",INDEX(V_WBS,INDEX($AB$8:$AB$1407,$AG1114)))</f>
        <v/>
      </c>
      <c r="K1114" s="92" t="str">
        <f>IF($AG1114="","",INDEX(V_Projdef,INDEX($AB$8:$AB$1407,$AG1114)))</f>
        <v/>
      </c>
      <c r="L1114" s="92" t="str">
        <f>IF($AG1114="","",INDEX(V_Naam,INDEX($AB$8:$AB$1407,$AG1114)))</f>
        <v/>
      </c>
      <c r="M1114" s="92" t="str">
        <f>IF($AG1114="","",INDEX(V_Type,INDEX($AB$8:$AB$1407,$AG1114)))</f>
        <v/>
      </c>
      <c r="N1114" s="92" t="str">
        <f>IF($AG1114="","",INDEX(V_IFRS,INDEX($AB$8:$AB$1407,$AG1114)))</f>
        <v/>
      </c>
      <c r="O1114" s="92" t="str">
        <f>IF($AG1114="","",INDEX($AL$8:$AL$21,INDEX($AC$8:$AC$1407,$AG1114)+1))</f>
        <v/>
      </c>
      <c r="P1114" s="109" t="str">
        <f>IF($AG1114="","",INDEX($AD$8:$AD$1407,$AG1114))</f>
        <v/>
      </c>
      <c r="Q1114" s="92" t="str">
        <f>IF($AG1114="","",INDEX($AM$8:$AM$21,INDEX($AC$8:$AC$1407,$AG1114)+1))</f>
        <v/>
      </c>
      <c r="R1114" s="92" t="str">
        <f>IF($AG1114="","",IF($G1114&gt;0,P_ToelCorrectie&amp;"",""))</f>
        <v/>
      </c>
      <c r="S1114" s="15" t="str">
        <f>IF(J1114="","",J1114&amp;"|"&amp;E1114&amp;"|"&amp;F1114&amp;"|"&amp;I1114&amp;"|"&amp;O1114)</f>
        <v/>
      </c>
      <c r="T1114" s="111" t="str">
        <f>IF(S1114="","",IF(COUNTIFS(L_Sleutel,S1114,L_Actief,1)=0,"",SUMIFS(L_Waarde,L_Sleutel,S1114,L_Actief,1)))</f>
        <v/>
      </c>
      <c r="U1114" s="111">
        <f>IF(OR(S1114="",T1114=""),0,P1114-T1114)</f>
        <v>0</v>
      </c>
      <c r="AB1114" s="112" t="n">
        <v>80</v>
      </c>
      <c r="AC1114" s="112" t="n">
        <v>0</v>
      </c>
      <c r="AD1114" s="112" t="str">
        <f>VERW_Project!P85</f>
        <v/>
      </c>
      <c r="AE1114" s="112">
        <f>IF(AND(VERW_Project!$A85&lt;&gt;"",ISNUMBER(AD1114)),1,0)</f>
        <v>0</v>
      </c>
      <c r="AF1114" s="112" t="str">
        <f>IF(AE1114=1,SUM($AE$8:AE1114),"")</f>
        <v/>
      </c>
      <c r="AG1114" t="str">
        <f>IFERROR(MATCH(1107,$AF$8:$AF$1407,0),"")</f>
        <v/>
      </c>
    </row>
    <row r="1115">
      <c r="A1115" s="92" t="str">
        <f>IF($AG1115="","",P_ImportID)</f>
        <v/>
      </c>
      <c r="B1115" s="92" t="str">
        <f>IF($AG1115="","",IF(INDEX($AN$8:$AN$21,INDEX($AC$8:$AC$1407,$AG1115)+1)="Z",P_BronZ,P_BronE))</f>
        <v/>
      </c>
      <c r="C1115" s="108" t="str">
        <f>IF($AG1115="","",P_Importdatum)</f>
        <v/>
      </c>
      <c r="D1115" s="92" t="str">
        <f>IF($AG1115="","",P_StatusVastleg)</f>
        <v/>
      </c>
      <c r="E1115" s="92" t="str">
        <f>IF($AG1115="","",P_UploadVJ)</f>
        <v/>
      </c>
      <c r="F1115" s="92" t="str">
        <f>IF($AG1115="","",P_UploadVersie)</f>
        <v/>
      </c>
      <c r="G1115" s="92" t="str">
        <f>IF($AG1115="","",IF(COUNTIFS(L_Sleutel,$S1115,L_Status,"Vastgesteld")=0,0,_xlfn.MAXIFS(L_Revisie,L_Sleutel,$S1115,L_Status,"Vastgesteld")+1))</f>
        <v/>
      </c>
      <c r="H1115" s="108" t="str">
        <f>IF($AG1115="","",P_Peildatum)</f>
        <v/>
      </c>
      <c r="I1115" s="92" t="str">
        <f>IF($AG1115="","",P_RJ+INDEX($AK$8:$AK$21,INDEX($AC$8:$AC$1407,$AG1115)+1))</f>
        <v/>
      </c>
      <c r="J1115" s="92" t="str">
        <f>IF($AG1115="","",INDEX(V_WBS,INDEX($AB$8:$AB$1407,$AG1115)))</f>
        <v/>
      </c>
      <c r="K1115" s="92" t="str">
        <f>IF($AG1115="","",INDEX(V_Projdef,INDEX($AB$8:$AB$1407,$AG1115)))</f>
        <v/>
      </c>
      <c r="L1115" s="92" t="str">
        <f>IF($AG1115="","",INDEX(V_Naam,INDEX($AB$8:$AB$1407,$AG1115)))</f>
        <v/>
      </c>
      <c r="M1115" s="92" t="str">
        <f>IF($AG1115="","",INDEX(V_Type,INDEX($AB$8:$AB$1407,$AG1115)))</f>
        <v/>
      </c>
      <c r="N1115" s="92" t="str">
        <f>IF($AG1115="","",INDEX(V_IFRS,INDEX($AB$8:$AB$1407,$AG1115)))</f>
        <v/>
      </c>
      <c r="O1115" s="92" t="str">
        <f>IF($AG1115="","",INDEX($AL$8:$AL$21,INDEX($AC$8:$AC$1407,$AG1115)+1))</f>
        <v/>
      </c>
      <c r="P1115" s="109" t="str">
        <f>IF($AG1115="","",INDEX($AD$8:$AD$1407,$AG1115))</f>
        <v/>
      </c>
      <c r="Q1115" s="92" t="str">
        <f>IF($AG1115="","",INDEX($AM$8:$AM$21,INDEX($AC$8:$AC$1407,$AG1115)+1))</f>
        <v/>
      </c>
      <c r="R1115" s="92" t="str">
        <f>IF($AG1115="","",IF($G1115&gt;0,P_ToelCorrectie&amp;"",""))</f>
        <v/>
      </c>
      <c r="S1115" s="15" t="str">
        <f>IF(J1115="","",J1115&amp;"|"&amp;E1115&amp;"|"&amp;F1115&amp;"|"&amp;I1115&amp;"|"&amp;O1115)</f>
        <v/>
      </c>
      <c r="T1115" s="111" t="str">
        <f>IF(S1115="","",IF(COUNTIFS(L_Sleutel,S1115,L_Actief,1)=0,"",SUMIFS(L_Waarde,L_Sleutel,S1115,L_Actief,1)))</f>
        <v/>
      </c>
      <c r="U1115" s="111">
        <f>IF(OR(S1115="",T1115=""),0,P1115-T1115)</f>
        <v>0</v>
      </c>
      <c r="AB1115" s="112" t="n">
        <v>80</v>
      </c>
      <c r="AC1115" s="112" t="n">
        <v>1</v>
      </c>
      <c r="AD1115" s="112" t="str">
        <f>VERW_Project!Q85</f>
        <v/>
      </c>
      <c r="AE1115" s="112">
        <f>IF(AND(VERW_Project!$A85&lt;&gt;"",ISNUMBER(AD1115)),1,0)</f>
        <v>0</v>
      </c>
      <c r="AF1115" s="112" t="str">
        <f>IF(AE1115=1,SUM($AE$8:AE1115),"")</f>
        <v/>
      </c>
      <c r="AG1115" t="str">
        <f>IFERROR(MATCH(1108,$AF$8:$AF$1407,0),"")</f>
        <v/>
      </c>
    </row>
    <row r="1116">
      <c r="A1116" s="92" t="str">
        <f>IF($AG1116="","",P_ImportID)</f>
        <v/>
      </c>
      <c r="B1116" s="92" t="str">
        <f>IF($AG1116="","",IF(INDEX($AN$8:$AN$21,INDEX($AC$8:$AC$1407,$AG1116)+1)="Z",P_BronZ,P_BronE))</f>
        <v/>
      </c>
      <c r="C1116" s="108" t="str">
        <f>IF($AG1116="","",P_Importdatum)</f>
        <v/>
      </c>
      <c r="D1116" s="92" t="str">
        <f>IF($AG1116="","",P_StatusVastleg)</f>
        <v/>
      </c>
      <c r="E1116" s="92" t="str">
        <f>IF($AG1116="","",P_UploadVJ)</f>
        <v/>
      </c>
      <c r="F1116" s="92" t="str">
        <f>IF($AG1116="","",P_UploadVersie)</f>
        <v/>
      </c>
      <c r="G1116" s="92" t="str">
        <f>IF($AG1116="","",IF(COUNTIFS(L_Sleutel,$S1116,L_Status,"Vastgesteld")=0,0,_xlfn.MAXIFS(L_Revisie,L_Sleutel,$S1116,L_Status,"Vastgesteld")+1))</f>
        <v/>
      </c>
      <c r="H1116" s="108" t="str">
        <f>IF($AG1116="","",P_Peildatum)</f>
        <v/>
      </c>
      <c r="I1116" s="92" t="str">
        <f>IF($AG1116="","",P_RJ+INDEX($AK$8:$AK$21,INDEX($AC$8:$AC$1407,$AG1116)+1))</f>
        <v/>
      </c>
      <c r="J1116" s="92" t="str">
        <f>IF($AG1116="","",INDEX(V_WBS,INDEX($AB$8:$AB$1407,$AG1116)))</f>
        <v/>
      </c>
      <c r="K1116" s="92" t="str">
        <f>IF($AG1116="","",INDEX(V_Projdef,INDEX($AB$8:$AB$1407,$AG1116)))</f>
        <v/>
      </c>
      <c r="L1116" s="92" t="str">
        <f>IF($AG1116="","",INDEX(V_Naam,INDEX($AB$8:$AB$1407,$AG1116)))</f>
        <v/>
      </c>
      <c r="M1116" s="92" t="str">
        <f>IF($AG1116="","",INDEX(V_Type,INDEX($AB$8:$AB$1407,$AG1116)))</f>
        <v/>
      </c>
      <c r="N1116" s="92" t="str">
        <f>IF($AG1116="","",INDEX(V_IFRS,INDEX($AB$8:$AB$1407,$AG1116)))</f>
        <v/>
      </c>
      <c r="O1116" s="92" t="str">
        <f>IF($AG1116="","",INDEX($AL$8:$AL$21,INDEX($AC$8:$AC$1407,$AG1116)+1))</f>
        <v/>
      </c>
      <c r="P1116" s="109" t="str">
        <f>IF($AG1116="","",INDEX($AD$8:$AD$1407,$AG1116))</f>
        <v/>
      </c>
      <c r="Q1116" s="92" t="str">
        <f>IF($AG1116="","",INDEX($AM$8:$AM$21,INDEX($AC$8:$AC$1407,$AG1116)+1))</f>
        <v/>
      </c>
      <c r="R1116" s="92" t="str">
        <f>IF($AG1116="","",IF($G1116&gt;0,P_ToelCorrectie&amp;"",""))</f>
        <v/>
      </c>
      <c r="S1116" s="15" t="str">
        <f>IF(J1116="","",J1116&amp;"|"&amp;E1116&amp;"|"&amp;F1116&amp;"|"&amp;I1116&amp;"|"&amp;O1116)</f>
        <v/>
      </c>
      <c r="T1116" s="111" t="str">
        <f>IF(S1116="","",IF(COUNTIFS(L_Sleutel,S1116,L_Actief,1)=0,"",SUMIFS(L_Waarde,L_Sleutel,S1116,L_Actief,1)))</f>
        <v/>
      </c>
      <c r="U1116" s="111">
        <f>IF(OR(S1116="",T1116=""),0,P1116-T1116)</f>
        <v>0</v>
      </c>
      <c r="AB1116" s="112" t="n">
        <v>80</v>
      </c>
      <c r="AC1116" s="112" t="n">
        <v>2</v>
      </c>
      <c r="AD1116" s="112" t="str">
        <f>VERW_Project!L85</f>
        <v/>
      </c>
      <c r="AE1116" s="112">
        <f>IF(AND(VERW_Project!$A85&lt;&gt;"",ISNUMBER(AD1116)),1,0)</f>
        <v>0</v>
      </c>
      <c r="AF1116" s="112" t="str">
        <f>IF(AE1116=1,SUM($AE$8:AE1116),"")</f>
        <v/>
      </c>
      <c r="AG1116" t="str">
        <f>IFERROR(MATCH(1109,$AF$8:$AF$1407,0),"")</f>
        <v/>
      </c>
    </row>
    <row r="1117">
      <c r="A1117" s="92" t="str">
        <f>IF($AG1117="","",P_ImportID)</f>
        <v/>
      </c>
      <c r="B1117" s="92" t="str">
        <f>IF($AG1117="","",IF(INDEX($AN$8:$AN$21,INDEX($AC$8:$AC$1407,$AG1117)+1)="Z",P_BronZ,P_BronE))</f>
        <v/>
      </c>
      <c r="C1117" s="108" t="str">
        <f>IF($AG1117="","",P_Importdatum)</f>
        <v/>
      </c>
      <c r="D1117" s="92" t="str">
        <f>IF($AG1117="","",P_StatusVastleg)</f>
        <v/>
      </c>
      <c r="E1117" s="92" t="str">
        <f>IF($AG1117="","",P_UploadVJ)</f>
        <v/>
      </c>
      <c r="F1117" s="92" t="str">
        <f>IF($AG1117="","",P_UploadVersie)</f>
        <v/>
      </c>
      <c r="G1117" s="92" t="str">
        <f>IF($AG1117="","",IF(COUNTIFS(L_Sleutel,$S1117,L_Status,"Vastgesteld")=0,0,_xlfn.MAXIFS(L_Revisie,L_Sleutel,$S1117,L_Status,"Vastgesteld")+1))</f>
        <v/>
      </c>
      <c r="H1117" s="108" t="str">
        <f>IF($AG1117="","",P_Peildatum)</f>
        <v/>
      </c>
      <c r="I1117" s="92" t="str">
        <f>IF($AG1117="","",P_RJ+INDEX($AK$8:$AK$21,INDEX($AC$8:$AC$1407,$AG1117)+1))</f>
        <v/>
      </c>
      <c r="J1117" s="92" t="str">
        <f>IF($AG1117="","",INDEX(V_WBS,INDEX($AB$8:$AB$1407,$AG1117)))</f>
        <v/>
      </c>
      <c r="K1117" s="92" t="str">
        <f>IF($AG1117="","",INDEX(V_Projdef,INDEX($AB$8:$AB$1407,$AG1117)))</f>
        <v/>
      </c>
      <c r="L1117" s="92" t="str">
        <f>IF($AG1117="","",INDEX(V_Naam,INDEX($AB$8:$AB$1407,$AG1117)))</f>
        <v/>
      </c>
      <c r="M1117" s="92" t="str">
        <f>IF($AG1117="","",INDEX(V_Type,INDEX($AB$8:$AB$1407,$AG1117)))</f>
        <v/>
      </c>
      <c r="N1117" s="92" t="str">
        <f>IF($AG1117="","",INDEX(V_IFRS,INDEX($AB$8:$AB$1407,$AG1117)))</f>
        <v/>
      </c>
      <c r="O1117" s="92" t="str">
        <f>IF($AG1117="","",INDEX($AL$8:$AL$21,INDEX($AC$8:$AC$1407,$AG1117)+1))</f>
        <v/>
      </c>
      <c r="P1117" s="109" t="str">
        <f>IF($AG1117="","",INDEX($AD$8:$AD$1407,$AG1117))</f>
        <v/>
      </c>
      <c r="Q1117" s="92" t="str">
        <f>IF($AG1117="","",INDEX($AM$8:$AM$21,INDEX($AC$8:$AC$1407,$AG1117)+1))</f>
        <v/>
      </c>
      <c r="R1117" s="92" t="str">
        <f>IF($AG1117="","",IF($G1117&gt;0,P_ToelCorrectie&amp;"",""))</f>
        <v/>
      </c>
      <c r="S1117" s="15" t="str">
        <f>IF(J1117="","",J1117&amp;"|"&amp;E1117&amp;"|"&amp;F1117&amp;"|"&amp;I1117&amp;"|"&amp;O1117)</f>
        <v/>
      </c>
      <c r="T1117" s="111" t="str">
        <f>IF(S1117="","",IF(COUNTIFS(L_Sleutel,S1117,L_Actief,1)=0,"",SUMIFS(L_Waarde,L_Sleutel,S1117,L_Actief,1)))</f>
        <v/>
      </c>
      <c r="U1117" s="111">
        <f>IF(OR(S1117="",T1117=""),0,P1117-T1117)</f>
        <v>0</v>
      </c>
      <c r="AB1117" s="112" t="n">
        <v>80</v>
      </c>
      <c r="AC1117" s="112" t="n">
        <v>3</v>
      </c>
      <c r="AD1117" s="112" t="str">
        <f>VERW_Project!M85</f>
        <v/>
      </c>
      <c r="AE1117" s="112">
        <f>IF(AND(VERW_Project!$A85&lt;&gt;"",ISNUMBER(AD1117)),1,0)</f>
        <v>0</v>
      </c>
      <c r="AF1117" s="112" t="str">
        <f>IF(AE1117=1,SUM($AE$8:AE1117),"")</f>
        <v/>
      </c>
      <c r="AG1117" t="str">
        <f>IFERROR(MATCH(1110,$AF$8:$AF$1407,0),"")</f>
        <v/>
      </c>
    </row>
    <row r="1118">
      <c r="A1118" s="92" t="str">
        <f>IF($AG1118="","",P_ImportID)</f>
        <v/>
      </c>
      <c r="B1118" s="92" t="str">
        <f>IF($AG1118="","",IF(INDEX($AN$8:$AN$21,INDEX($AC$8:$AC$1407,$AG1118)+1)="Z",P_BronZ,P_BronE))</f>
        <v/>
      </c>
      <c r="C1118" s="108" t="str">
        <f>IF($AG1118="","",P_Importdatum)</f>
        <v/>
      </c>
      <c r="D1118" s="92" t="str">
        <f>IF($AG1118="","",P_StatusVastleg)</f>
        <v/>
      </c>
      <c r="E1118" s="92" t="str">
        <f>IF($AG1118="","",P_UploadVJ)</f>
        <v/>
      </c>
      <c r="F1118" s="92" t="str">
        <f>IF($AG1118="","",P_UploadVersie)</f>
        <v/>
      </c>
      <c r="G1118" s="92" t="str">
        <f>IF($AG1118="","",IF(COUNTIFS(L_Sleutel,$S1118,L_Status,"Vastgesteld")=0,0,_xlfn.MAXIFS(L_Revisie,L_Sleutel,$S1118,L_Status,"Vastgesteld")+1))</f>
        <v/>
      </c>
      <c r="H1118" s="108" t="str">
        <f>IF($AG1118="","",P_Peildatum)</f>
        <v/>
      </c>
      <c r="I1118" s="92" t="str">
        <f>IF($AG1118="","",P_RJ+INDEX($AK$8:$AK$21,INDEX($AC$8:$AC$1407,$AG1118)+1))</f>
        <v/>
      </c>
      <c r="J1118" s="92" t="str">
        <f>IF($AG1118="","",INDEX(V_WBS,INDEX($AB$8:$AB$1407,$AG1118)))</f>
        <v/>
      </c>
      <c r="K1118" s="92" t="str">
        <f>IF($AG1118="","",INDEX(V_Projdef,INDEX($AB$8:$AB$1407,$AG1118)))</f>
        <v/>
      </c>
      <c r="L1118" s="92" t="str">
        <f>IF($AG1118="","",INDEX(V_Naam,INDEX($AB$8:$AB$1407,$AG1118)))</f>
        <v/>
      </c>
      <c r="M1118" s="92" t="str">
        <f>IF($AG1118="","",INDEX(V_Type,INDEX($AB$8:$AB$1407,$AG1118)))</f>
        <v/>
      </c>
      <c r="N1118" s="92" t="str">
        <f>IF($AG1118="","",INDEX(V_IFRS,INDEX($AB$8:$AB$1407,$AG1118)))</f>
        <v/>
      </c>
      <c r="O1118" s="92" t="str">
        <f>IF($AG1118="","",INDEX($AL$8:$AL$21,INDEX($AC$8:$AC$1407,$AG1118)+1))</f>
        <v/>
      </c>
      <c r="P1118" s="109" t="str">
        <f>IF($AG1118="","",INDEX($AD$8:$AD$1407,$AG1118))</f>
        <v/>
      </c>
      <c r="Q1118" s="92" t="str">
        <f>IF($AG1118="","",INDEX($AM$8:$AM$21,INDEX($AC$8:$AC$1407,$AG1118)+1))</f>
        <v/>
      </c>
      <c r="R1118" s="92" t="str">
        <f>IF($AG1118="","",IF($G1118&gt;0,P_ToelCorrectie&amp;"",""))</f>
        <v/>
      </c>
      <c r="S1118" s="15" t="str">
        <f>IF(J1118="","",J1118&amp;"|"&amp;E1118&amp;"|"&amp;F1118&amp;"|"&amp;I1118&amp;"|"&amp;O1118)</f>
        <v/>
      </c>
      <c r="T1118" s="111" t="str">
        <f>IF(S1118="","",IF(COUNTIFS(L_Sleutel,S1118,L_Actief,1)=0,"",SUMIFS(L_Waarde,L_Sleutel,S1118,L_Actief,1)))</f>
        <v/>
      </c>
      <c r="U1118" s="111">
        <f>IF(OR(S1118="",T1118=""),0,P1118-T1118)</f>
        <v>0</v>
      </c>
      <c r="AB1118" s="112" t="n">
        <v>80</v>
      </c>
      <c r="AC1118" s="112" t="n">
        <v>4</v>
      </c>
      <c r="AD1118" s="112" t="str">
        <f>VERW_Project!R85</f>
        <v/>
      </c>
      <c r="AE1118" s="112">
        <f>IF(AND(VERW_Project!$A85&lt;&gt;"",ISNUMBER(AD1118)),1,0)</f>
        <v>0</v>
      </c>
      <c r="AF1118" s="112" t="str">
        <f>IF(AE1118=1,SUM($AE$8:AE1118),"")</f>
        <v/>
      </c>
      <c r="AG1118" t="str">
        <f>IFERROR(MATCH(1111,$AF$8:$AF$1407,0),"")</f>
        <v/>
      </c>
    </row>
    <row r="1119">
      <c r="A1119" s="92" t="str">
        <f>IF($AG1119="","",P_ImportID)</f>
        <v/>
      </c>
      <c r="B1119" s="92" t="str">
        <f>IF($AG1119="","",IF(INDEX($AN$8:$AN$21,INDEX($AC$8:$AC$1407,$AG1119)+1)="Z",P_BronZ,P_BronE))</f>
        <v/>
      </c>
      <c r="C1119" s="108" t="str">
        <f>IF($AG1119="","",P_Importdatum)</f>
        <v/>
      </c>
      <c r="D1119" s="92" t="str">
        <f>IF($AG1119="","",P_StatusVastleg)</f>
        <v/>
      </c>
      <c r="E1119" s="92" t="str">
        <f>IF($AG1119="","",P_UploadVJ)</f>
        <v/>
      </c>
      <c r="F1119" s="92" t="str">
        <f>IF($AG1119="","",P_UploadVersie)</f>
        <v/>
      </c>
      <c r="G1119" s="92" t="str">
        <f>IF($AG1119="","",IF(COUNTIFS(L_Sleutel,$S1119,L_Status,"Vastgesteld")=0,0,_xlfn.MAXIFS(L_Revisie,L_Sleutel,$S1119,L_Status,"Vastgesteld")+1))</f>
        <v/>
      </c>
      <c r="H1119" s="108" t="str">
        <f>IF($AG1119="","",P_Peildatum)</f>
        <v/>
      </c>
      <c r="I1119" s="92" t="str">
        <f>IF($AG1119="","",P_RJ+INDEX($AK$8:$AK$21,INDEX($AC$8:$AC$1407,$AG1119)+1))</f>
        <v/>
      </c>
      <c r="J1119" s="92" t="str">
        <f>IF($AG1119="","",INDEX(V_WBS,INDEX($AB$8:$AB$1407,$AG1119)))</f>
        <v/>
      </c>
      <c r="K1119" s="92" t="str">
        <f>IF($AG1119="","",INDEX(V_Projdef,INDEX($AB$8:$AB$1407,$AG1119)))</f>
        <v/>
      </c>
      <c r="L1119" s="92" t="str">
        <f>IF($AG1119="","",INDEX(V_Naam,INDEX($AB$8:$AB$1407,$AG1119)))</f>
        <v/>
      </c>
      <c r="M1119" s="92" t="str">
        <f>IF($AG1119="","",INDEX(V_Type,INDEX($AB$8:$AB$1407,$AG1119)))</f>
        <v/>
      </c>
      <c r="N1119" s="92" t="str">
        <f>IF($AG1119="","",INDEX(V_IFRS,INDEX($AB$8:$AB$1407,$AG1119)))</f>
        <v/>
      </c>
      <c r="O1119" s="92" t="str">
        <f>IF($AG1119="","",INDEX($AL$8:$AL$21,INDEX($AC$8:$AC$1407,$AG1119)+1))</f>
        <v/>
      </c>
      <c r="P1119" s="109" t="str">
        <f>IF($AG1119="","",INDEX($AD$8:$AD$1407,$AG1119))</f>
        <v/>
      </c>
      <c r="Q1119" s="92" t="str">
        <f>IF($AG1119="","",INDEX($AM$8:$AM$21,INDEX($AC$8:$AC$1407,$AG1119)+1))</f>
        <v/>
      </c>
      <c r="R1119" s="92" t="str">
        <f>IF($AG1119="","",IF($G1119&gt;0,P_ToelCorrectie&amp;"",""))</f>
        <v/>
      </c>
      <c r="S1119" s="15" t="str">
        <f>IF(J1119="","",J1119&amp;"|"&amp;E1119&amp;"|"&amp;F1119&amp;"|"&amp;I1119&amp;"|"&amp;O1119)</f>
        <v/>
      </c>
      <c r="T1119" s="111" t="str">
        <f>IF(S1119="","",IF(COUNTIFS(L_Sleutel,S1119,L_Actief,1)=0,"",SUMIFS(L_Waarde,L_Sleutel,S1119,L_Actief,1)))</f>
        <v/>
      </c>
      <c r="U1119" s="111">
        <f>IF(OR(S1119="",T1119=""),0,P1119-T1119)</f>
        <v>0</v>
      </c>
      <c r="AB1119" s="112" t="n">
        <v>80</v>
      </c>
      <c r="AC1119" s="112" t="n">
        <v>5</v>
      </c>
      <c r="AD1119" s="112" t="str">
        <f>VERW_Project!S85</f>
        <v/>
      </c>
      <c r="AE1119" s="112">
        <f>IF(AND(VERW_Project!$A85&lt;&gt;"",ISNUMBER(AD1119)),1,0)</f>
        <v>0</v>
      </c>
      <c r="AF1119" s="112" t="str">
        <f>IF(AE1119=1,SUM($AE$8:AE1119),"")</f>
        <v/>
      </c>
      <c r="AG1119" t="str">
        <f>IFERROR(MATCH(1112,$AF$8:$AF$1407,0),"")</f>
        <v/>
      </c>
    </row>
    <row r="1120">
      <c r="A1120" s="92" t="str">
        <f>IF($AG1120="","",P_ImportID)</f>
        <v/>
      </c>
      <c r="B1120" s="92" t="str">
        <f>IF($AG1120="","",IF(INDEX($AN$8:$AN$21,INDEX($AC$8:$AC$1407,$AG1120)+1)="Z",P_BronZ,P_BronE))</f>
        <v/>
      </c>
      <c r="C1120" s="108" t="str">
        <f>IF($AG1120="","",P_Importdatum)</f>
        <v/>
      </c>
      <c r="D1120" s="92" t="str">
        <f>IF($AG1120="","",P_StatusVastleg)</f>
        <v/>
      </c>
      <c r="E1120" s="92" t="str">
        <f>IF($AG1120="","",P_UploadVJ)</f>
        <v/>
      </c>
      <c r="F1120" s="92" t="str">
        <f>IF($AG1120="","",P_UploadVersie)</f>
        <v/>
      </c>
      <c r="G1120" s="92" t="str">
        <f>IF($AG1120="","",IF(COUNTIFS(L_Sleutel,$S1120,L_Status,"Vastgesteld")=0,0,_xlfn.MAXIFS(L_Revisie,L_Sleutel,$S1120,L_Status,"Vastgesteld")+1))</f>
        <v/>
      </c>
      <c r="H1120" s="108" t="str">
        <f>IF($AG1120="","",P_Peildatum)</f>
        <v/>
      </c>
      <c r="I1120" s="92" t="str">
        <f>IF($AG1120="","",P_RJ+INDEX($AK$8:$AK$21,INDEX($AC$8:$AC$1407,$AG1120)+1))</f>
        <v/>
      </c>
      <c r="J1120" s="92" t="str">
        <f>IF($AG1120="","",INDEX(V_WBS,INDEX($AB$8:$AB$1407,$AG1120)))</f>
        <v/>
      </c>
      <c r="K1120" s="92" t="str">
        <f>IF($AG1120="","",INDEX(V_Projdef,INDEX($AB$8:$AB$1407,$AG1120)))</f>
        <v/>
      </c>
      <c r="L1120" s="92" t="str">
        <f>IF($AG1120="","",INDEX(V_Naam,INDEX($AB$8:$AB$1407,$AG1120)))</f>
        <v/>
      </c>
      <c r="M1120" s="92" t="str">
        <f>IF($AG1120="","",INDEX(V_Type,INDEX($AB$8:$AB$1407,$AG1120)))</f>
        <v/>
      </c>
      <c r="N1120" s="92" t="str">
        <f>IF($AG1120="","",INDEX(V_IFRS,INDEX($AB$8:$AB$1407,$AG1120)))</f>
        <v/>
      </c>
      <c r="O1120" s="92" t="str">
        <f>IF($AG1120="","",INDEX($AL$8:$AL$21,INDEX($AC$8:$AC$1407,$AG1120)+1))</f>
        <v/>
      </c>
      <c r="P1120" s="109" t="str">
        <f>IF($AG1120="","",INDEX($AD$8:$AD$1407,$AG1120))</f>
        <v/>
      </c>
      <c r="Q1120" s="92" t="str">
        <f>IF($AG1120="","",INDEX($AM$8:$AM$21,INDEX($AC$8:$AC$1407,$AG1120)+1))</f>
        <v/>
      </c>
      <c r="R1120" s="92" t="str">
        <f>IF($AG1120="","",IF($G1120&gt;0,P_ToelCorrectie&amp;"",""))</f>
        <v/>
      </c>
      <c r="S1120" s="15" t="str">
        <f>IF(J1120="","",J1120&amp;"|"&amp;E1120&amp;"|"&amp;F1120&amp;"|"&amp;I1120&amp;"|"&amp;O1120)</f>
        <v/>
      </c>
      <c r="T1120" s="111" t="str">
        <f>IF(S1120="","",IF(COUNTIFS(L_Sleutel,S1120,L_Actief,1)=0,"",SUMIFS(L_Waarde,L_Sleutel,S1120,L_Actief,1)))</f>
        <v/>
      </c>
      <c r="U1120" s="111">
        <f>IF(OR(S1120="",T1120=""),0,P1120-T1120)</f>
        <v>0</v>
      </c>
      <c r="AB1120" s="112" t="n">
        <v>80</v>
      </c>
      <c r="AC1120" s="112" t="n">
        <v>6</v>
      </c>
      <c r="AD1120" s="112" t="str">
        <f>VERW_Project!BW85</f>
        <v/>
      </c>
      <c r="AE1120" s="112">
        <f>IF(AND(VERW_Project!$A85&lt;&gt;"",ISNUMBER(AD1120)),1,0)</f>
        <v>0</v>
      </c>
      <c r="AF1120" s="112" t="str">
        <f>IF(AE1120=1,SUM($AE$8:AE1120),"")</f>
        <v/>
      </c>
      <c r="AG1120" t="str">
        <f>IFERROR(MATCH(1113,$AF$8:$AF$1407,0),"")</f>
        <v/>
      </c>
    </row>
    <row r="1121">
      <c r="A1121" s="92" t="str">
        <f>IF($AG1121="","",P_ImportID)</f>
        <v/>
      </c>
      <c r="B1121" s="92" t="str">
        <f>IF($AG1121="","",IF(INDEX($AN$8:$AN$21,INDEX($AC$8:$AC$1407,$AG1121)+1)="Z",P_BronZ,P_BronE))</f>
        <v/>
      </c>
      <c r="C1121" s="108" t="str">
        <f>IF($AG1121="","",P_Importdatum)</f>
        <v/>
      </c>
      <c r="D1121" s="92" t="str">
        <f>IF($AG1121="","",P_StatusVastleg)</f>
        <v/>
      </c>
      <c r="E1121" s="92" t="str">
        <f>IF($AG1121="","",P_UploadVJ)</f>
        <v/>
      </c>
      <c r="F1121" s="92" t="str">
        <f>IF($AG1121="","",P_UploadVersie)</f>
        <v/>
      </c>
      <c r="G1121" s="92" t="str">
        <f>IF($AG1121="","",IF(COUNTIFS(L_Sleutel,$S1121,L_Status,"Vastgesteld")=0,0,_xlfn.MAXIFS(L_Revisie,L_Sleutel,$S1121,L_Status,"Vastgesteld")+1))</f>
        <v/>
      </c>
      <c r="H1121" s="108" t="str">
        <f>IF($AG1121="","",P_Peildatum)</f>
        <v/>
      </c>
      <c r="I1121" s="92" t="str">
        <f>IF($AG1121="","",P_RJ+INDEX($AK$8:$AK$21,INDEX($AC$8:$AC$1407,$AG1121)+1))</f>
        <v/>
      </c>
      <c r="J1121" s="92" t="str">
        <f>IF($AG1121="","",INDEX(V_WBS,INDEX($AB$8:$AB$1407,$AG1121)))</f>
        <v/>
      </c>
      <c r="K1121" s="92" t="str">
        <f>IF($AG1121="","",INDEX(V_Projdef,INDEX($AB$8:$AB$1407,$AG1121)))</f>
        <v/>
      </c>
      <c r="L1121" s="92" t="str">
        <f>IF($AG1121="","",INDEX(V_Naam,INDEX($AB$8:$AB$1407,$AG1121)))</f>
        <v/>
      </c>
      <c r="M1121" s="92" t="str">
        <f>IF($AG1121="","",INDEX(V_Type,INDEX($AB$8:$AB$1407,$AG1121)))</f>
        <v/>
      </c>
      <c r="N1121" s="92" t="str">
        <f>IF($AG1121="","",INDEX(V_IFRS,INDEX($AB$8:$AB$1407,$AG1121)))</f>
        <v/>
      </c>
      <c r="O1121" s="92" t="str">
        <f>IF($AG1121="","",INDEX($AL$8:$AL$21,INDEX($AC$8:$AC$1407,$AG1121)+1))</f>
        <v/>
      </c>
      <c r="P1121" s="109" t="str">
        <f>IF($AG1121="","",INDEX($AD$8:$AD$1407,$AG1121))</f>
        <v/>
      </c>
      <c r="Q1121" s="92" t="str">
        <f>IF($AG1121="","",INDEX($AM$8:$AM$21,INDEX($AC$8:$AC$1407,$AG1121)+1))</f>
        <v/>
      </c>
      <c r="R1121" s="92" t="str">
        <f>IF($AG1121="","",IF($G1121&gt;0,P_ToelCorrectie&amp;"",""))</f>
        <v/>
      </c>
      <c r="S1121" s="15" t="str">
        <f>IF(J1121="","",J1121&amp;"|"&amp;E1121&amp;"|"&amp;F1121&amp;"|"&amp;I1121&amp;"|"&amp;O1121)</f>
        <v/>
      </c>
      <c r="T1121" s="111" t="str">
        <f>IF(S1121="","",IF(COUNTIFS(L_Sleutel,S1121,L_Actief,1)=0,"",SUMIFS(L_Waarde,L_Sleutel,S1121,L_Actief,1)))</f>
        <v/>
      </c>
      <c r="U1121" s="111">
        <f>IF(OR(S1121="",T1121=""),0,P1121-T1121)</f>
        <v>0</v>
      </c>
      <c r="AB1121" s="112" t="n">
        <v>80</v>
      </c>
      <c r="AC1121" s="112" t="n">
        <v>7</v>
      </c>
      <c r="AD1121" s="112" t="str">
        <f>VERW_Project!AW85</f>
        <v/>
      </c>
      <c r="AE1121" s="112">
        <f>IF(AND(VERW_Project!$A85&lt;&gt;"",ISNUMBER(AD1121)),1,0)</f>
        <v>0</v>
      </c>
      <c r="AF1121" s="112" t="str">
        <f>IF(AE1121=1,SUM($AE$8:AE1121),"")</f>
        <v/>
      </c>
      <c r="AG1121" t="str">
        <f>IFERROR(MATCH(1114,$AF$8:$AF$1407,0),"")</f>
        <v/>
      </c>
    </row>
    <row r="1122">
      <c r="A1122" s="92" t="str">
        <f>IF($AG1122="","",P_ImportID)</f>
        <v/>
      </c>
      <c r="B1122" s="92" t="str">
        <f>IF($AG1122="","",IF(INDEX($AN$8:$AN$21,INDEX($AC$8:$AC$1407,$AG1122)+1)="Z",P_BronZ,P_BronE))</f>
        <v/>
      </c>
      <c r="C1122" s="108" t="str">
        <f>IF($AG1122="","",P_Importdatum)</f>
        <v/>
      </c>
      <c r="D1122" s="92" t="str">
        <f>IF($AG1122="","",P_StatusVastleg)</f>
        <v/>
      </c>
      <c r="E1122" s="92" t="str">
        <f>IF($AG1122="","",P_UploadVJ)</f>
        <v/>
      </c>
      <c r="F1122" s="92" t="str">
        <f>IF($AG1122="","",P_UploadVersie)</f>
        <v/>
      </c>
      <c r="G1122" s="92" t="str">
        <f>IF($AG1122="","",IF(COUNTIFS(L_Sleutel,$S1122,L_Status,"Vastgesteld")=0,0,_xlfn.MAXIFS(L_Revisie,L_Sleutel,$S1122,L_Status,"Vastgesteld")+1))</f>
        <v/>
      </c>
      <c r="H1122" s="108" t="str">
        <f>IF($AG1122="","",P_Peildatum)</f>
        <v/>
      </c>
      <c r="I1122" s="92" t="str">
        <f>IF($AG1122="","",P_RJ+INDEX($AK$8:$AK$21,INDEX($AC$8:$AC$1407,$AG1122)+1))</f>
        <v/>
      </c>
      <c r="J1122" s="92" t="str">
        <f>IF($AG1122="","",INDEX(V_WBS,INDEX($AB$8:$AB$1407,$AG1122)))</f>
        <v/>
      </c>
      <c r="K1122" s="92" t="str">
        <f>IF($AG1122="","",INDEX(V_Projdef,INDEX($AB$8:$AB$1407,$AG1122)))</f>
        <v/>
      </c>
      <c r="L1122" s="92" t="str">
        <f>IF($AG1122="","",INDEX(V_Naam,INDEX($AB$8:$AB$1407,$AG1122)))</f>
        <v/>
      </c>
      <c r="M1122" s="92" t="str">
        <f>IF($AG1122="","",INDEX(V_Type,INDEX($AB$8:$AB$1407,$AG1122)))</f>
        <v/>
      </c>
      <c r="N1122" s="92" t="str">
        <f>IF($AG1122="","",INDEX(V_IFRS,INDEX($AB$8:$AB$1407,$AG1122)))</f>
        <v/>
      </c>
      <c r="O1122" s="92" t="str">
        <f>IF($AG1122="","",INDEX($AL$8:$AL$21,INDEX($AC$8:$AC$1407,$AG1122)+1))</f>
        <v/>
      </c>
      <c r="P1122" s="109" t="str">
        <f>IF($AG1122="","",INDEX($AD$8:$AD$1407,$AG1122))</f>
        <v/>
      </c>
      <c r="Q1122" s="92" t="str">
        <f>IF($AG1122="","",INDEX($AM$8:$AM$21,INDEX($AC$8:$AC$1407,$AG1122)+1))</f>
        <v/>
      </c>
      <c r="R1122" s="92" t="str">
        <f>IF($AG1122="","",IF($G1122&gt;0,P_ToelCorrectie&amp;"",""))</f>
        <v/>
      </c>
      <c r="S1122" s="15" t="str">
        <f>IF(J1122="","",J1122&amp;"|"&amp;E1122&amp;"|"&amp;F1122&amp;"|"&amp;I1122&amp;"|"&amp;O1122)</f>
        <v/>
      </c>
      <c r="T1122" s="111" t="str">
        <f>IF(S1122="","",IF(COUNTIFS(L_Sleutel,S1122,L_Actief,1)=0,"",SUMIFS(L_Waarde,L_Sleutel,S1122,L_Actief,1)))</f>
        <v/>
      </c>
      <c r="U1122" s="111">
        <f>IF(OR(S1122="",T1122=""),0,P1122-T1122)</f>
        <v>0</v>
      </c>
      <c r="AB1122" s="112" t="n">
        <v>80</v>
      </c>
      <c r="AC1122" s="112" t="n">
        <v>8</v>
      </c>
      <c r="AD1122" s="112" t="str">
        <f>VERW_Project!BQ85</f>
        <v/>
      </c>
      <c r="AE1122" s="112">
        <f>IF(AND(VERW_Project!$A85&lt;&gt;"",ISNUMBER(AD1122)),1,0)</f>
        <v>0</v>
      </c>
      <c r="AF1122" s="112" t="str">
        <f>IF(AE1122=1,SUM($AE$8:AE1122),"")</f>
        <v/>
      </c>
      <c r="AG1122" t="str">
        <f>IFERROR(MATCH(1115,$AF$8:$AF$1407,0),"")</f>
        <v/>
      </c>
    </row>
    <row r="1123">
      <c r="A1123" s="92" t="str">
        <f>IF($AG1123="","",P_ImportID)</f>
        <v/>
      </c>
      <c r="B1123" s="92" t="str">
        <f>IF($AG1123="","",IF(INDEX($AN$8:$AN$21,INDEX($AC$8:$AC$1407,$AG1123)+1)="Z",P_BronZ,P_BronE))</f>
        <v/>
      </c>
      <c r="C1123" s="108" t="str">
        <f>IF($AG1123="","",P_Importdatum)</f>
        <v/>
      </c>
      <c r="D1123" s="92" t="str">
        <f>IF($AG1123="","",P_StatusVastleg)</f>
        <v/>
      </c>
      <c r="E1123" s="92" t="str">
        <f>IF($AG1123="","",P_UploadVJ)</f>
        <v/>
      </c>
      <c r="F1123" s="92" t="str">
        <f>IF($AG1123="","",P_UploadVersie)</f>
        <v/>
      </c>
      <c r="G1123" s="92" t="str">
        <f>IF($AG1123="","",IF(COUNTIFS(L_Sleutel,$S1123,L_Status,"Vastgesteld")=0,0,_xlfn.MAXIFS(L_Revisie,L_Sleutel,$S1123,L_Status,"Vastgesteld")+1))</f>
        <v/>
      </c>
      <c r="H1123" s="108" t="str">
        <f>IF($AG1123="","",P_Peildatum)</f>
        <v/>
      </c>
      <c r="I1123" s="92" t="str">
        <f>IF($AG1123="","",P_RJ+INDEX($AK$8:$AK$21,INDEX($AC$8:$AC$1407,$AG1123)+1))</f>
        <v/>
      </c>
      <c r="J1123" s="92" t="str">
        <f>IF($AG1123="","",INDEX(V_WBS,INDEX($AB$8:$AB$1407,$AG1123)))</f>
        <v/>
      </c>
      <c r="K1123" s="92" t="str">
        <f>IF($AG1123="","",INDEX(V_Projdef,INDEX($AB$8:$AB$1407,$AG1123)))</f>
        <v/>
      </c>
      <c r="L1123" s="92" t="str">
        <f>IF($AG1123="","",INDEX(V_Naam,INDEX($AB$8:$AB$1407,$AG1123)))</f>
        <v/>
      </c>
      <c r="M1123" s="92" t="str">
        <f>IF($AG1123="","",INDEX(V_Type,INDEX($AB$8:$AB$1407,$AG1123)))</f>
        <v/>
      </c>
      <c r="N1123" s="92" t="str">
        <f>IF($AG1123="","",INDEX(V_IFRS,INDEX($AB$8:$AB$1407,$AG1123)))</f>
        <v/>
      </c>
      <c r="O1123" s="92" t="str">
        <f>IF($AG1123="","",INDEX($AL$8:$AL$21,INDEX($AC$8:$AC$1407,$AG1123)+1))</f>
        <v/>
      </c>
      <c r="P1123" s="109" t="str">
        <f>IF($AG1123="","",INDEX($AD$8:$AD$1407,$AG1123))</f>
        <v/>
      </c>
      <c r="Q1123" s="92" t="str">
        <f>IF($AG1123="","",INDEX($AM$8:$AM$21,INDEX($AC$8:$AC$1407,$AG1123)+1))</f>
        <v/>
      </c>
      <c r="R1123" s="92" t="str">
        <f>IF($AG1123="","",IF($G1123&gt;0,P_ToelCorrectie&amp;"",""))</f>
        <v/>
      </c>
      <c r="S1123" s="15" t="str">
        <f>IF(J1123="","",J1123&amp;"|"&amp;E1123&amp;"|"&amp;F1123&amp;"|"&amp;I1123&amp;"|"&amp;O1123)</f>
        <v/>
      </c>
      <c r="T1123" s="111" t="str">
        <f>IF(S1123="","",IF(COUNTIFS(L_Sleutel,S1123,L_Actief,1)=0,"",SUMIFS(L_Waarde,L_Sleutel,S1123,L_Actief,1)))</f>
        <v/>
      </c>
      <c r="U1123" s="111">
        <f>IF(OR(S1123="",T1123=""),0,P1123-T1123)</f>
        <v>0</v>
      </c>
      <c r="AB1123" s="112" t="n">
        <v>80</v>
      </c>
      <c r="AC1123" s="112" t="n">
        <v>9</v>
      </c>
      <c r="AD1123" s="112" t="str">
        <f>VERW_Project!BR85</f>
        <v/>
      </c>
      <c r="AE1123" s="112">
        <f>IF(AND(VERW_Project!$A85&lt;&gt;"",ISNUMBER(AD1123)),1,0)</f>
        <v>0</v>
      </c>
      <c r="AF1123" s="112" t="str">
        <f>IF(AE1123=1,SUM($AE$8:AE1123),"")</f>
        <v/>
      </c>
      <c r="AG1123" t="str">
        <f>IFERROR(MATCH(1116,$AF$8:$AF$1407,0),"")</f>
        <v/>
      </c>
    </row>
    <row r="1124">
      <c r="A1124" s="92" t="str">
        <f>IF($AG1124="","",P_ImportID)</f>
        <v/>
      </c>
      <c r="B1124" s="92" t="str">
        <f>IF($AG1124="","",IF(INDEX($AN$8:$AN$21,INDEX($AC$8:$AC$1407,$AG1124)+1)="Z",P_BronZ,P_BronE))</f>
        <v/>
      </c>
      <c r="C1124" s="108" t="str">
        <f>IF($AG1124="","",P_Importdatum)</f>
        <v/>
      </c>
      <c r="D1124" s="92" t="str">
        <f>IF($AG1124="","",P_StatusVastleg)</f>
        <v/>
      </c>
      <c r="E1124" s="92" t="str">
        <f>IF($AG1124="","",P_UploadVJ)</f>
        <v/>
      </c>
      <c r="F1124" s="92" t="str">
        <f>IF($AG1124="","",P_UploadVersie)</f>
        <v/>
      </c>
      <c r="G1124" s="92" t="str">
        <f>IF($AG1124="","",IF(COUNTIFS(L_Sleutel,$S1124,L_Status,"Vastgesteld")=0,0,_xlfn.MAXIFS(L_Revisie,L_Sleutel,$S1124,L_Status,"Vastgesteld")+1))</f>
        <v/>
      </c>
      <c r="H1124" s="108" t="str">
        <f>IF($AG1124="","",P_Peildatum)</f>
        <v/>
      </c>
      <c r="I1124" s="92" t="str">
        <f>IF($AG1124="","",P_RJ+INDEX($AK$8:$AK$21,INDEX($AC$8:$AC$1407,$AG1124)+1))</f>
        <v/>
      </c>
      <c r="J1124" s="92" t="str">
        <f>IF($AG1124="","",INDEX(V_WBS,INDEX($AB$8:$AB$1407,$AG1124)))</f>
        <v/>
      </c>
      <c r="K1124" s="92" t="str">
        <f>IF($AG1124="","",INDEX(V_Projdef,INDEX($AB$8:$AB$1407,$AG1124)))</f>
        <v/>
      </c>
      <c r="L1124" s="92" t="str">
        <f>IF($AG1124="","",INDEX(V_Naam,INDEX($AB$8:$AB$1407,$AG1124)))</f>
        <v/>
      </c>
      <c r="M1124" s="92" t="str">
        <f>IF($AG1124="","",INDEX(V_Type,INDEX($AB$8:$AB$1407,$AG1124)))</f>
        <v/>
      </c>
      <c r="N1124" s="92" t="str">
        <f>IF($AG1124="","",INDEX(V_IFRS,INDEX($AB$8:$AB$1407,$AG1124)))</f>
        <v/>
      </c>
      <c r="O1124" s="92" t="str">
        <f>IF($AG1124="","",INDEX($AL$8:$AL$21,INDEX($AC$8:$AC$1407,$AG1124)+1))</f>
        <v/>
      </c>
      <c r="P1124" s="109" t="str">
        <f>IF($AG1124="","",INDEX($AD$8:$AD$1407,$AG1124))</f>
        <v/>
      </c>
      <c r="Q1124" s="92" t="str">
        <f>IF($AG1124="","",INDEX($AM$8:$AM$21,INDEX($AC$8:$AC$1407,$AG1124)+1))</f>
        <v/>
      </c>
      <c r="R1124" s="92" t="str">
        <f>IF($AG1124="","",IF($G1124&gt;0,P_ToelCorrectie&amp;"",""))</f>
        <v/>
      </c>
      <c r="S1124" s="15" t="str">
        <f>IF(J1124="","",J1124&amp;"|"&amp;E1124&amp;"|"&amp;F1124&amp;"|"&amp;I1124&amp;"|"&amp;O1124)</f>
        <v/>
      </c>
      <c r="T1124" s="111" t="str">
        <f>IF(S1124="","",IF(COUNTIFS(L_Sleutel,S1124,L_Actief,1)=0,"",SUMIFS(L_Waarde,L_Sleutel,S1124,L_Actief,1)))</f>
        <v/>
      </c>
      <c r="U1124" s="111">
        <f>IF(OR(S1124="",T1124=""),0,P1124-T1124)</f>
        <v>0</v>
      </c>
      <c r="AB1124" s="112" t="n">
        <v>80</v>
      </c>
      <c r="AC1124" s="112" t="n">
        <v>10</v>
      </c>
      <c r="AD1124" s="112" t="str">
        <f>VERW_Project!BS85</f>
        <v/>
      </c>
      <c r="AE1124" s="112">
        <f>IF(AND(VERW_Project!$A85&lt;&gt;"",ISNUMBER(AD1124)),1,0)</f>
        <v>0</v>
      </c>
      <c r="AF1124" s="112" t="str">
        <f>IF(AE1124=1,SUM($AE$8:AE1124),"")</f>
        <v/>
      </c>
      <c r="AG1124" t="str">
        <f>IFERROR(MATCH(1117,$AF$8:$AF$1407,0),"")</f>
        <v/>
      </c>
    </row>
    <row r="1125">
      <c r="A1125" s="92" t="str">
        <f>IF($AG1125="","",P_ImportID)</f>
        <v/>
      </c>
      <c r="B1125" s="92" t="str">
        <f>IF($AG1125="","",IF(INDEX($AN$8:$AN$21,INDEX($AC$8:$AC$1407,$AG1125)+1)="Z",P_BronZ,P_BronE))</f>
        <v/>
      </c>
      <c r="C1125" s="108" t="str">
        <f>IF($AG1125="","",P_Importdatum)</f>
        <v/>
      </c>
      <c r="D1125" s="92" t="str">
        <f>IF($AG1125="","",P_StatusVastleg)</f>
        <v/>
      </c>
      <c r="E1125" s="92" t="str">
        <f>IF($AG1125="","",P_UploadVJ)</f>
        <v/>
      </c>
      <c r="F1125" s="92" t="str">
        <f>IF($AG1125="","",P_UploadVersie)</f>
        <v/>
      </c>
      <c r="G1125" s="92" t="str">
        <f>IF($AG1125="","",IF(COUNTIFS(L_Sleutel,$S1125,L_Status,"Vastgesteld")=0,0,_xlfn.MAXIFS(L_Revisie,L_Sleutel,$S1125,L_Status,"Vastgesteld")+1))</f>
        <v/>
      </c>
      <c r="H1125" s="108" t="str">
        <f>IF($AG1125="","",P_Peildatum)</f>
        <v/>
      </c>
      <c r="I1125" s="92" t="str">
        <f>IF($AG1125="","",P_RJ+INDEX($AK$8:$AK$21,INDEX($AC$8:$AC$1407,$AG1125)+1))</f>
        <v/>
      </c>
      <c r="J1125" s="92" t="str">
        <f>IF($AG1125="","",INDEX(V_WBS,INDEX($AB$8:$AB$1407,$AG1125)))</f>
        <v/>
      </c>
      <c r="K1125" s="92" t="str">
        <f>IF($AG1125="","",INDEX(V_Projdef,INDEX($AB$8:$AB$1407,$AG1125)))</f>
        <v/>
      </c>
      <c r="L1125" s="92" t="str">
        <f>IF($AG1125="","",INDEX(V_Naam,INDEX($AB$8:$AB$1407,$AG1125)))</f>
        <v/>
      </c>
      <c r="M1125" s="92" t="str">
        <f>IF($AG1125="","",INDEX(V_Type,INDEX($AB$8:$AB$1407,$AG1125)))</f>
        <v/>
      </c>
      <c r="N1125" s="92" t="str">
        <f>IF($AG1125="","",INDEX(V_IFRS,INDEX($AB$8:$AB$1407,$AG1125)))</f>
        <v/>
      </c>
      <c r="O1125" s="92" t="str">
        <f>IF($AG1125="","",INDEX($AL$8:$AL$21,INDEX($AC$8:$AC$1407,$AG1125)+1))</f>
        <v/>
      </c>
      <c r="P1125" s="109" t="str">
        <f>IF($AG1125="","",INDEX($AD$8:$AD$1407,$AG1125))</f>
        <v/>
      </c>
      <c r="Q1125" s="92" t="str">
        <f>IF($AG1125="","",INDEX($AM$8:$AM$21,INDEX($AC$8:$AC$1407,$AG1125)+1))</f>
        <v/>
      </c>
      <c r="R1125" s="92" t="str">
        <f>IF($AG1125="","",IF($G1125&gt;0,P_ToelCorrectie&amp;"",""))</f>
        <v/>
      </c>
      <c r="S1125" s="15" t="str">
        <f>IF(J1125="","",J1125&amp;"|"&amp;E1125&amp;"|"&amp;F1125&amp;"|"&amp;I1125&amp;"|"&amp;O1125)</f>
        <v/>
      </c>
      <c r="T1125" s="111" t="str">
        <f>IF(S1125="","",IF(COUNTIFS(L_Sleutel,S1125,L_Actief,1)=0,"",SUMIFS(L_Waarde,L_Sleutel,S1125,L_Actief,1)))</f>
        <v/>
      </c>
      <c r="U1125" s="111">
        <f>IF(OR(S1125="",T1125=""),0,P1125-T1125)</f>
        <v>0</v>
      </c>
      <c r="AB1125" s="112" t="n">
        <v>80</v>
      </c>
      <c r="AC1125" s="112" t="n">
        <v>11</v>
      </c>
      <c r="AD1125" s="112" t="str">
        <f>VERW_Project!BT85</f>
        <v/>
      </c>
      <c r="AE1125" s="112">
        <f>IF(AND(VERW_Project!$A85&lt;&gt;"",ISNUMBER(AD1125)),1,0)</f>
        <v>0</v>
      </c>
      <c r="AF1125" s="112" t="str">
        <f>IF(AE1125=1,SUM($AE$8:AE1125),"")</f>
        <v/>
      </c>
      <c r="AG1125" t="str">
        <f>IFERROR(MATCH(1118,$AF$8:$AF$1407,0),"")</f>
        <v/>
      </c>
    </row>
    <row r="1126">
      <c r="A1126" s="92" t="str">
        <f>IF($AG1126="","",P_ImportID)</f>
        <v/>
      </c>
      <c r="B1126" s="92" t="str">
        <f>IF($AG1126="","",IF(INDEX($AN$8:$AN$21,INDEX($AC$8:$AC$1407,$AG1126)+1)="Z",P_BronZ,P_BronE))</f>
        <v/>
      </c>
      <c r="C1126" s="108" t="str">
        <f>IF($AG1126="","",P_Importdatum)</f>
        <v/>
      </c>
      <c r="D1126" s="92" t="str">
        <f>IF($AG1126="","",P_StatusVastleg)</f>
        <v/>
      </c>
      <c r="E1126" s="92" t="str">
        <f>IF($AG1126="","",P_UploadVJ)</f>
        <v/>
      </c>
      <c r="F1126" s="92" t="str">
        <f>IF($AG1126="","",P_UploadVersie)</f>
        <v/>
      </c>
      <c r="G1126" s="92" t="str">
        <f>IF($AG1126="","",IF(COUNTIFS(L_Sleutel,$S1126,L_Status,"Vastgesteld")=0,0,_xlfn.MAXIFS(L_Revisie,L_Sleutel,$S1126,L_Status,"Vastgesteld")+1))</f>
        <v/>
      </c>
      <c r="H1126" s="108" t="str">
        <f>IF($AG1126="","",P_Peildatum)</f>
        <v/>
      </c>
      <c r="I1126" s="92" t="str">
        <f>IF($AG1126="","",P_RJ+INDEX($AK$8:$AK$21,INDEX($AC$8:$AC$1407,$AG1126)+1))</f>
        <v/>
      </c>
      <c r="J1126" s="92" t="str">
        <f>IF($AG1126="","",INDEX(V_WBS,INDEX($AB$8:$AB$1407,$AG1126)))</f>
        <v/>
      </c>
      <c r="K1126" s="92" t="str">
        <f>IF($AG1126="","",INDEX(V_Projdef,INDEX($AB$8:$AB$1407,$AG1126)))</f>
        <v/>
      </c>
      <c r="L1126" s="92" t="str">
        <f>IF($AG1126="","",INDEX(V_Naam,INDEX($AB$8:$AB$1407,$AG1126)))</f>
        <v/>
      </c>
      <c r="M1126" s="92" t="str">
        <f>IF($AG1126="","",INDEX(V_Type,INDEX($AB$8:$AB$1407,$AG1126)))</f>
        <v/>
      </c>
      <c r="N1126" s="92" t="str">
        <f>IF($AG1126="","",INDEX(V_IFRS,INDEX($AB$8:$AB$1407,$AG1126)))</f>
        <v/>
      </c>
      <c r="O1126" s="92" t="str">
        <f>IF($AG1126="","",INDEX($AL$8:$AL$21,INDEX($AC$8:$AC$1407,$AG1126)+1))</f>
        <v/>
      </c>
      <c r="P1126" s="109" t="str">
        <f>IF($AG1126="","",INDEX($AD$8:$AD$1407,$AG1126))</f>
        <v/>
      </c>
      <c r="Q1126" s="92" t="str">
        <f>IF($AG1126="","",INDEX($AM$8:$AM$21,INDEX($AC$8:$AC$1407,$AG1126)+1))</f>
        <v/>
      </c>
      <c r="R1126" s="92" t="str">
        <f>IF($AG1126="","",IF($G1126&gt;0,P_ToelCorrectie&amp;"",""))</f>
        <v/>
      </c>
      <c r="S1126" s="15" t="str">
        <f>IF(J1126="","",J1126&amp;"|"&amp;E1126&amp;"|"&amp;F1126&amp;"|"&amp;I1126&amp;"|"&amp;O1126)</f>
        <v/>
      </c>
      <c r="T1126" s="111" t="str">
        <f>IF(S1126="","",IF(COUNTIFS(L_Sleutel,S1126,L_Actief,1)=0,"",SUMIFS(L_Waarde,L_Sleutel,S1126,L_Actief,1)))</f>
        <v/>
      </c>
      <c r="U1126" s="111">
        <f>IF(OR(S1126="",T1126=""),0,P1126-T1126)</f>
        <v>0</v>
      </c>
      <c r="AB1126" s="112" t="n">
        <v>80</v>
      </c>
      <c r="AC1126" s="112" t="n">
        <v>12</v>
      </c>
      <c r="AD1126" s="112" t="str">
        <f>VERW_Project!BU85</f>
        <v/>
      </c>
      <c r="AE1126" s="112">
        <f>IF(AND(VERW_Project!$A85&lt;&gt;"",ISNUMBER(AD1126)),1,0)</f>
        <v>0</v>
      </c>
      <c r="AF1126" s="112" t="str">
        <f>IF(AE1126=1,SUM($AE$8:AE1126),"")</f>
        <v/>
      </c>
      <c r="AG1126" t="str">
        <f>IFERROR(MATCH(1119,$AF$8:$AF$1407,0),"")</f>
        <v/>
      </c>
    </row>
    <row r="1127">
      <c r="A1127" s="92" t="str">
        <f>IF($AG1127="","",P_ImportID)</f>
        <v/>
      </c>
      <c r="B1127" s="92" t="str">
        <f>IF($AG1127="","",IF(INDEX($AN$8:$AN$21,INDEX($AC$8:$AC$1407,$AG1127)+1)="Z",P_BronZ,P_BronE))</f>
        <v/>
      </c>
      <c r="C1127" s="108" t="str">
        <f>IF($AG1127="","",P_Importdatum)</f>
        <v/>
      </c>
      <c r="D1127" s="92" t="str">
        <f>IF($AG1127="","",P_StatusVastleg)</f>
        <v/>
      </c>
      <c r="E1127" s="92" t="str">
        <f>IF($AG1127="","",P_UploadVJ)</f>
        <v/>
      </c>
      <c r="F1127" s="92" t="str">
        <f>IF($AG1127="","",P_UploadVersie)</f>
        <v/>
      </c>
      <c r="G1127" s="92" t="str">
        <f>IF($AG1127="","",IF(COUNTIFS(L_Sleutel,$S1127,L_Status,"Vastgesteld")=0,0,_xlfn.MAXIFS(L_Revisie,L_Sleutel,$S1127,L_Status,"Vastgesteld")+1))</f>
        <v/>
      </c>
      <c r="H1127" s="108" t="str">
        <f>IF($AG1127="","",P_Peildatum)</f>
        <v/>
      </c>
      <c r="I1127" s="92" t="str">
        <f>IF($AG1127="","",P_RJ+INDEX($AK$8:$AK$21,INDEX($AC$8:$AC$1407,$AG1127)+1))</f>
        <v/>
      </c>
      <c r="J1127" s="92" t="str">
        <f>IF($AG1127="","",INDEX(V_WBS,INDEX($AB$8:$AB$1407,$AG1127)))</f>
        <v/>
      </c>
      <c r="K1127" s="92" t="str">
        <f>IF($AG1127="","",INDEX(V_Projdef,INDEX($AB$8:$AB$1407,$AG1127)))</f>
        <v/>
      </c>
      <c r="L1127" s="92" t="str">
        <f>IF($AG1127="","",INDEX(V_Naam,INDEX($AB$8:$AB$1407,$AG1127)))</f>
        <v/>
      </c>
      <c r="M1127" s="92" t="str">
        <f>IF($AG1127="","",INDEX(V_Type,INDEX($AB$8:$AB$1407,$AG1127)))</f>
        <v/>
      </c>
      <c r="N1127" s="92" t="str">
        <f>IF($AG1127="","",INDEX(V_IFRS,INDEX($AB$8:$AB$1407,$AG1127)))</f>
        <v/>
      </c>
      <c r="O1127" s="92" t="str">
        <f>IF($AG1127="","",INDEX($AL$8:$AL$21,INDEX($AC$8:$AC$1407,$AG1127)+1))</f>
        <v/>
      </c>
      <c r="P1127" s="109" t="str">
        <f>IF($AG1127="","",INDEX($AD$8:$AD$1407,$AG1127))</f>
        <v/>
      </c>
      <c r="Q1127" s="92" t="str">
        <f>IF($AG1127="","",INDEX($AM$8:$AM$21,INDEX($AC$8:$AC$1407,$AG1127)+1))</f>
        <v/>
      </c>
      <c r="R1127" s="92" t="str">
        <f>IF($AG1127="","",IF($G1127&gt;0,P_ToelCorrectie&amp;"",""))</f>
        <v/>
      </c>
      <c r="S1127" s="15" t="str">
        <f>IF(J1127="","",J1127&amp;"|"&amp;E1127&amp;"|"&amp;F1127&amp;"|"&amp;I1127&amp;"|"&amp;O1127)</f>
        <v/>
      </c>
      <c r="T1127" s="111" t="str">
        <f>IF(S1127="","",IF(COUNTIFS(L_Sleutel,S1127,L_Actief,1)=0,"",SUMIFS(L_Waarde,L_Sleutel,S1127,L_Actief,1)))</f>
        <v/>
      </c>
      <c r="U1127" s="111">
        <f>IF(OR(S1127="",T1127=""),0,P1127-T1127)</f>
        <v>0</v>
      </c>
      <c r="AB1127" s="112" t="n">
        <v>80</v>
      </c>
      <c r="AC1127" s="112" t="n">
        <v>13</v>
      </c>
      <c r="AD1127" s="112" t="str">
        <f>VERW_Project!BX85</f>
        <v/>
      </c>
      <c r="AE1127" s="112">
        <f>IF(AND(VERW_Project!$A85&lt;&gt;"",ISNUMBER(AD1127)),1,0)</f>
        <v>0</v>
      </c>
      <c r="AF1127" s="112" t="str">
        <f>IF(AE1127=1,SUM($AE$8:AE1127),"")</f>
        <v/>
      </c>
      <c r="AG1127" t="str">
        <f>IFERROR(MATCH(1120,$AF$8:$AF$1407,0),"")</f>
        <v/>
      </c>
    </row>
    <row r="1128">
      <c r="A1128" s="92" t="str">
        <f>IF($AG1128="","",P_ImportID)</f>
        <v/>
      </c>
      <c r="B1128" s="92" t="str">
        <f>IF($AG1128="","",IF(INDEX($AN$8:$AN$21,INDEX($AC$8:$AC$1407,$AG1128)+1)="Z",P_BronZ,P_BronE))</f>
        <v/>
      </c>
      <c r="C1128" s="108" t="str">
        <f>IF($AG1128="","",P_Importdatum)</f>
        <v/>
      </c>
      <c r="D1128" s="92" t="str">
        <f>IF($AG1128="","",P_StatusVastleg)</f>
        <v/>
      </c>
      <c r="E1128" s="92" t="str">
        <f>IF($AG1128="","",P_UploadVJ)</f>
        <v/>
      </c>
      <c r="F1128" s="92" t="str">
        <f>IF($AG1128="","",P_UploadVersie)</f>
        <v/>
      </c>
      <c r="G1128" s="92" t="str">
        <f>IF($AG1128="","",IF(COUNTIFS(L_Sleutel,$S1128,L_Status,"Vastgesteld")=0,0,_xlfn.MAXIFS(L_Revisie,L_Sleutel,$S1128,L_Status,"Vastgesteld")+1))</f>
        <v/>
      </c>
      <c r="H1128" s="108" t="str">
        <f>IF($AG1128="","",P_Peildatum)</f>
        <v/>
      </c>
      <c r="I1128" s="92" t="str">
        <f>IF($AG1128="","",P_RJ+INDEX($AK$8:$AK$21,INDEX($AC$8:$AC$1407,$AG1128)+1))</f>
        <v/>
      </c>
      <c r="J1128" s="92" t="str">
        <f>IF($AG1128="","",INDEX(V_WBS,INDEX($AB$8:$AB$1407,$AG1128)))</f>
        <v/>
      </c>
      <c r="K1128" s="92" t="str">
        <f>IF($AG1128="","",INDEX(V_Projdef,INDEX($AB$8:$AB$1407,$AG1128)))</f>
        <v/>
      </c>
      <c r="L1128" s="92" t="str">
        <f>IF($AG1128="","",INDEX(V_Naam,INDEX($AB$8:$AB$1407,$AG1128)))</f>
        <v/>
      </c>
      <c r="M1128" s="92" t="str">
        <f>IF($AG1128="","",INDEX(V_Type,INDEX($AB$8:$AB$1407,$AG1128)))</f>
        <v/>
      </c>
      <c r="N1128" s="92" t="str">
        <f>IF($AG1128="","",INDEX(V_IFRS,INDEX($AB$8:$AB$1407,$AG1128)))</f>
        <v/>
      </c>
      <c r="O1128" s="92" t="str">
        <f>IF($AG1128="","",INDEX($AL$8:$AL$21,INDEX($AC$8:$AC$1407,$AG1128)+1))</f>
        <v/>
      </c>
      <c r="P1128" s="109" t="str">
        <f>IF($AG1128="","",INDEX($AD$8:$AD$1407,$AG1128))</f>
        <v/>
      </c>
      <c r="Q1128" s="92" t="str">
        <f>IF($AG1128="","",INDEX($AM$8:$AM$21,INDEX($AC$8:$AC$1407,$AG1128)+1))</f>
        <v/>
      </c>
      <c r="R1128" s="92" t="str">
        <f>IF($AG1128="","",IF($G1128&gt;0,P_ToelCorrectie&amp;"",""))</f>
        <v/>
      </c>
      <c r="S1128" s="15" t="str">
        <f>IF(J1128="","",J1128&amp;"|"&amp;E1128&amp;"|"&amp;F1128&amp;"|"&amp;I1128&amp;"|"&amp;O1128)</f>
        <v/>
      </c>
      <c r="T1128" s="111" t="str">
        <f>IF(S1128="","",IF(COUNTIFS(L_Sleutel,S1128,L_Actief,1)=0,"",SUMIFS(L_Waarde,L_Sleutel,S1128,L_Actief,1)))</f>
        <v/>
      </c>
      <c r="U1128" s="111">
        <f>IF(OR(S1128="",T1128=""),0,P1128-T1128)</f>
        <v>0</v>
      </c>
      <c r="AB1128" s="112" t="n">
        <v>81</v>
      </c>
      <c r="AC1128" s="112" t="n">
        <v>0</v>
      </c>
      <c r="AD1128" s="112" t="str">
        <f>VERW_Project!P86</f>
        <v/>
      </c>
      <c r="AE1128" s="112">
        <f>IF(AND(VERW_Project!$A86&lt;&gt;"",ISNUMBER(AD1128)),1,0)</f>
        <v>0</v>
      </c>
      <c r="AF1128" s="112" t="str">
        <f>IF(AE1128=1,SUM($AE$8:AE1128),"")</f>
        <v/>
      </c>
      <c r="AG1128" t="str">
        <f>IFERROR(MATCH(1121,$AF$8:$AF$1407,0),"")</f>
        <v/>
      </c>
    </row>
    <row r="1129">
      <c r="A1129" s="92" t="str">
        <f>IF($AG1129="","",P_ImportID)</f>
        <v/>
      </c>
      <c r="B1129" s="92" t="str">
        <f>IF($AG1129="","",IF(INDEX($AN$8:$AN$21,INDEX($AC$8:$AC$1407,$AG1129)+1)="Z",P_BronZ,P_BronE))</f>
        <v/>
      </c>
      <c r="C1129" s="108" t="str">
        <f>IF($AG1129="","",P_Importdatum)</f>
        <v/>
      </c>
      <c r="D1129" s="92" t="str">
        <f>IF($AG1129="","",P_StatusVastleg)</f>
        <v/>
      </c>
      <c r="E1129" s="92" t="str">
        <f>IF($AG1129="","",P_UploadVJ)</f>
        <v/>
      </c>
      <c r="F1129" s="92" t="str">
        <f>IF($AG1129="","",P_UploadVersie)</f>
        <v/>
      </c>
      <c r="G1129" s="92" t="str">
        <f>IF($AG1129="","",IF(COUNTIFS(L_Sleutel,$S1129,L_Status,"Vastgesteld")=0,0,_xlfn.MAXIFS(L_Revisie,L_Sleutel,$S1129,L_Status,"Vastgesteld")+1))</f>
        <v/>
      </c>
      <c r="H1129" s="108" t="str">
        <f>IF($AG1129="","",P_Peildatum)</f>
        <v/>
      </c>
      <c r="I1129" s="92" t="str">
        <f>IF($AG1129="","",P_RJ+INDEX($AK$8:$AK$21,INDEX($AC$8:$AC$1407,$AG1129)+1))</f>
        <v/>
      </c>
      <c r="J1129" s="92" t="str">
        <f>IF($AG1129="","",INDEX(V_WBS,INDEX($AB$8:$AB$1407,$AG1129)))</f>
        <v/>
      </c>
      <c r="K1129" s="92" t="str">
        <f>IF($AG1129="","",INDEX(V_Projdef,INDEX($AB$8:$AB$1407,$AG1129)))</f>
        <v/>
      </c>
      <c r="L1129" s="92" t="str">
        <f>IF($AG1129="","",INDEX(V_Naam,INDEX($AB$8:$AB$1407,$AG1129)))</f>
        <v/>
      </c>
      <c r="M1129" s="92" t="str">
        <f>IF($AG1129="","",INDEX(V_Type,INDEX($AB$8:$AB$1407,$AG1129)))</f>
        <v/>
      </c>
      <c r="N1129" s="92" t="str">
        <f>IF($AG1129="","",INDEX(V_IFRS,INDEX($AB$8:$AB$1407,$AG1129)))</f>
        <v/>
      </c>
      <c r="O1129" s="92" t="str">
        <f>IF($AG1129="","",INDEX($AL$8:$AL$21,INDEX($AC$8:$AC$1407,$AG1129)+1))</f>
        <v/>
      </c>
      <c r="P1129" s="109" t="str">
        <f>IF($AG1129="","",INDEX($AD$8:$AD$1407,$AG1129))</f>
        <v/>
      </c>
      <c r="Q1129" s="92" t="str">
        <f>IF($AG1129="","",INDEX($AM$8:$AM$21,INDEX($AC$8:$AC$1407,$AG1129)+1))</f>
        <v/>
      </c>
      <c r="R1129" s="92" t="str">
        <f>IF($AG1129="","",IF($G1129&gt;0,P_ToelCorrectie&amp;"",""))</f>
        <v/>
      </c>
      <c r="S1129" s="15" t="str">
        <f>IF(J1129="","",J1129&amp;"|"&amp;E1129&amp;"|"&amp;F1129&amp;"|"&amp;I1129&amp;"|"&amp;O1129)</f>
        <v/>
      </c>
      <c r="T1129" s="111" t="str">
        <f>IF(S1129="","",IF(COUNTIFS(L_Sleutel,S1129,L_Actief,1)=0,"",SUMIFS(L_Waarde,L_Sleutel,S1129,L_Actief,1)))</f>
        <v/>
      </c>
      <c r="U1129" s="111">
        <f>IF(OR(S1129="",T1129=""),0,P1129-T1129)</f>
        <v>0</v>
      </c>
      <c r="AB1129" s="112" t="n">
        <v>81</v>
      </c>
      <c r="AC1129" s="112" t="n">
        <v>1</v>
      </c>
      <c r="AD1129" s="112" t="str">
        <f>VERW_Project!Q86</f>
        <v/>
      </c>
      <c r="AE1129" s="112">
        <f>IF(AND(VERW_Project!$A86&lt;&gt;"",ISNUMBER(AD1129)),1,0)</f>
        <v>0</v>
      </c>
      <c r="AF1129" s="112" t="str">
        <f>IF(AE1129=1,SUM($AE$8:AE1129),"")</f>
        <v/>
      </c>
      <c r="AG1129" t="str">
        <f>IFERROR(MATCH(1122,$AF$8:$AF$1407,0),"")</f>
        <v/>
      </c>
    </row>
    <row r="1130">
      <c r="A1130" s="92" t="str">
        <f>IF($AG1130="","",P_ImportID)</f>
        <v/>
      </c>
      <c r="B1130" s="92" t="str">
        <f>IF($AG1130="","",IF(INDEX($AN$8:$AN$21,INDEX($AC$8:$AC$1407,$AG1130)+1)="Z",P_BronZ,P_BronE))</f>
        <v/>
      </c>
      <c r="C1130" s="108" t="str">
        <f>IF($AG1130="","",P_Importdatum)</f>
        <v/>
      </c>
      <c r="D1130" s="92" t="str">
        <f>IF($AG1130="","",P_StatusVastleg)</f>
        <v/>
      </c>
      <c r="E1130" s="92" t="str">
        <f>IF($AG1130="","",P_UploadVJ)</f>
        <v/>
      </c>
      <c r="F1130" s="92" t="str">
        <f>IF($AG1130="","",P_UploadVersie)</f>
        <v/>
      </c>
      <c r="G1130" s="92" t="str">
        <f>IF($AG1130="","",IF(COUNTIFS(L_Sleutel,$S1130,L_Status,"Vastgesteld")=0,0,_xlfn.MAXIFS(L_Revisie,L_Sleutel,$S1130,L_Status,"Vastgesteld")+1))</f>
        <v/>
      </c>
      <c r="H1130" s="108" t="str">
        <f>IF($AG1130="","",P_Peildatum)</f>
        <v/>
      </c>
      <c r="I1130" s="92" t="str">
        <f>IF($AG1130="","",P_RJ+INDEX($AK$8:$AK$21,INDEX($AC$8:$AC$1407,$AG1130)+1))</f>
        <v/>
      </c>
      <c r="J1130" s="92" t="str">
        <f>IF($AG1130="","",INDEX(V_WBS,INDEX($AB$8:$AB$1407,$AG1130)))</f>
        <v/>
      </c>
      <c r="K1130" s="92" t="str">
        <f>IF($AG1130="","",INDEX(V_Projdef,INDEX($AB$8:$AB$1407,$AG1130)))</f>
        <v/>
      </c>
      <c r="L1130" s="92" t="str">
        <f>IF($AG1130="","",INDEX(V_Naam,INDEX($AB$8:$AB$1407,$AG1130)))</f>
        <v/>
      </c>
      <c r="M1130" s="92" t="str">
        <f>IF($AG1130="","",INDEX(V_Type,INDEX($AB$8:$AB$1407,$AG1130)))</f>
        <v/>
      </c>
      <c r="N1130" s="92" t="str">
        <f>IF($AG1130="","",INDEX(V_IFRS,INDEX($AB$8:$AB$1407,$AG1130)))</f>
        <v/>
      </c>
      <c r="O1130" s="92" t="str">
        <f>IF($AG1130="","",INDEX($AL$8:$AL$21,INDEX($AC$8:$AC$1407,$AG1130)+1))</f>
        <v/>
      </c>
      <c r="P1130" s="109" t="str">
        <f>IF($AG1130="","",INDEX($AD$8:$AD$1407,$AG1130))</f>
        <v/>
      </c>
      <c r="Q1130" s="92" t="str">
        <f>IF($AG1130="","",INDEX($AM$8:$AM$21,INDEX($AC$8:$AC$1407,$AG1130)+1))</f>
        <v/>
      </c>
      <c r="R1130" s="92" t="str">
        <f>IF($AG1130="","",IF($G1130&gt;0,P_ToelCorrectie&amp;"",""))</f>
        <v/>
      </c>
      <c r="S1130" s="15" t="str">
        <f>IF(J1130="","",J1130&amp;"|"&amp;E1130&amp;"|"&amp;F1130&amp;"|"&amp;I1130&amp;"|"&amp;O1130)</f>
        <v/>
      </c>
      <c r="T1130" s="111" t="str">
        <f>IF(S1130="","",IF(COUNTIFS(L_Sleutel,S1130,L_Actief,1)=0,"",SUMIFS(L_Waarde,L_Sleutel,S1130,L_Actief,1)))</f>
        <v/>
      </c>
      <c r="U1130" s="111">
        <f>IF(OR(S1130="",T1130=""),0,P1130-T1130)</f>
        <v>0</v>
      </c>
      <c r="AB1130" s="112" t="n">
        <v>81</v>
      </c>
      <c r="AC1130" s="112" t="n">
        <v>2</v>
      </c>
      <c r="AD1130" s="112" t="str">
        <f>VERW_Project!L86</f>
        <v/>
      </c>
      <c r="AE1130" s="112">
        <f>IF(AND(VERW_Project!$A86&lt;&gt;"",ISNUMBER(AD1130)),1,0)</f>
        <v>0</v>
      </c>
      <c r="AF1130" s="112" t="str">
        <f>IF(AE1130=1,SUM($AE$8:AE1130),"")</f>
        <v/>
      </c>
      <c r="AG1130" t="str">
        <f>IFERROR(MATCH(1123,$AF$8:$AF$1407,0),"")</f>
        <v/>
      </c>
    </row>
    <row r="1131">
      <c r="A1131" s="92" t="str">
        <f>IF($AG1131="","",P_ImportID)</f>
        <v/>
      </c>
      <c r="B1131" s="92" t="str">
        <f>IF($AG1131="","",IF(INDEX($AN$8:$AN$21,INDEX($AC$8:$AC$1407,$AG1131)+1)="Z",P_BronZ,P_BronE))</f>
        <v/>
      </c>
      <c r="C1131" s="108" t="str">
        <f>IF($AG1131="","",P_Importdatum)</f>
        <v/>
      </c>
      <c r="D1131" s="92" t="str">
        <f>IF($AG1131="","",P_StatusVastleg)</f>
        <v/>
      </c>
      <c r="E1131" s="92" t="str">
        <f>IF($AG1131="","",P_UploadVJ)</f>
        <v/>
      </c>
      <c r="F1131" s="92" t="str">
        <f>IF($AG1131="","",P_UploadVersie)</f>
        <v/>
      </c>
      <c r="G1131" s="92" t="str">
        <f>IF($AG1131="","",IF(COUNTIFS(L_Sleutel,$S1131,L_Status,"Vastgesteld")=0,0,_xlfn.MAXIFS(L_Revisie,L_Sleutel,$S1131,L_Status,"Vastgesteld")+1))</f>
        <v/>
      </c>
      <c r="H1131" s="108" t="str">
        <f>IF($AG1131="","",P_Peildatum)</f>
        <v/>
      </c>
      <c r="I1131" s="92" t="str">
        <f>IF($AG1131="","",P_RJ+INDEX($AK$8:$AK$21,INDEX($AC$8:$AC$1407,$AG1131)+1))</f>
        <v/>
      </c>
      <c r="J1131" s="92" t="str">
        <f>IF($AG1131="","",INDEX(V_WBS,INDEX($AB$8:$AB$1407,$AG1131)))</f>
        <v/>
      </c>
      <c r="K1131" s="92" t="str">
        <f>IF($AG1131="","",INDEX(V_Projdef,INDEX($AB$8:$AB$1407,$AG1131)))</f>
        <v/>
      </c>
      <c r="L1131" s="92" t="str">
        <f>IF($AG1131="","",INDEX(V_Naam,INDEX($AB$8:$AB$1407,$AG1131)))</f>
        <v/>
      </c>
      <c r="M1131" s="92" t="str">
        <f>IF($AG1131="","",INDEX(V_Type,INDEX($AB$8:$AB$1407,$AG1131)))</f>
        <v/>
      </c>
      <c r="N1131" s="92" t="str">
        <f>IF($AG1131="","",INDEX(V_IFRS,INDEX($AB$8:$AB$1407,$AG1131)))</f>
        <v/>
      </c>
      <c r="O1131" s="92" t="str">
        <f>IF($AG1131="","",INDEX($AL$8:$AL$21,INDEX($AC$8:$AC$1407,$AG1131)+1))</f>
        <v/>
      </c>
      <c r="P1131" s="109" t="str">
        <f>IF($AG1131="","",INDEX($AD$8:$AD$1407,$AG1131))</f>
        <v/>
      </c>
      <c r="Q1131" s="92" t="str">
        <f>IF($AG1131="","",INDEX($AM$8:$AM$21,INDEX($AC$8:$AC$1407,$AG1131)+1))</f>
        <v/>
      </c>
      <c r="R1131" s="92" t="str">
        <f>IF($AG1131="","",IF($G1131&gt;0,P_ToelCorrectie&amp;"",""))</f>
        <v/>
      </c>
      <c r="S1131" s="15" t="str">
        <f>IF(J1131="","",J1131&amp;"|"&amp;E1131&amp;"|"&amp;F1131&amp;"|"&amp;I1131&amp;"|"&amp;O1131)</f>
        <v/>
      </c>
      <c r="T1131" s="111" t="str">
        <f>IF(S1131="","",IF(COUNTIFS(L_Sleutel,S1131,L_Actief,1)=0,"",SUMIFS(L_Waarde,L_Sleutel,S1131,L_Actief,1)))</f>
        <v/>
      </c>
      <c r="U1131" s="111">
        <f>IF(OR(S1131="",T1131=""),0,P1131-T1131)</f>
        <v>0</v>
      </c>
      <c r="AB1131" s="112" t="n">
        <v>81</v>
      </c>
      <c r="AC1131" s="112" t="n">
        <v>3</v>
      </c>
      <c r="AD1131" s="112" t="str">
        <f>VERW_Project!M86</f>
        <v/>
      </c>
      <c r="AE1131" s="112">
        <f>IF(AND(VERW_Project!$A86&lt;&gt;"",ISNUMBER(AD1131)),1,0)</f>
        <v>0</v>
      </c>
      <c r="AF1131" s="112" t="str">
        <f>IF(AE1131=1,SUM($AE$8:AE1131),"")</f>
        <v/>
      </c>
      <c r="AG1131" t="str">
        <f>IFERROR(MATCH(1124,$AF$8:$AF$1407,0),"")</f>
        <v/>
      </c>
    </row>
    <row r="1132">
      <c r="A1132" s="92" t="str">
        <f>IF($AG1132="","",P_ImportID)</f>
        <v/>
      </c>
      <c r="B1132" s="92" t="str">
        <f>IF($AG1132="","",IF(INDEX($AN$8:$AN$21,INDEX($AC$8:$AC$1407,$AG1132)+1)="Z",P_BronZ,P_BronE))</f>
        <v/>
      </c>
      <c r="C1132" s="108" t="str">
        <f>IF($AG1132="","",P_Importdatum)</f>
        <v/>
      </c>
      <c r="D1132" s="92" t="str">
        <f>IF($AG1132="","",P_StatusVastleg)</f>
        <v/>
      </c>
      <c r="E1132" s="92" t="str">
        <f>IF($AG1132="","",P_UploadVJ)</f>
        <v/>
      </c>
      <c r="F1132" s="92" t="str">
        <f>IF($AG1132="","",P_UploadVersie)</f>
        <v/>
      </c>
      <c r="G1132" s="92" t="str">
        <f>IF($AG1132="","",IF(COUNTIFS(L_Sleutel,$S1132,L_Status,"Vastgesteld")=0,0,_xlfn.MAXIFS(L_Revisie,L_Sleutel,$S1132,L_Status,"Vastgesteld")+1))</f>
        <v/>
      </c>
      <c r="H1132" s="108" t="str">
        <f>IF($AG1132="","",P_Peildatum)</f>
        <v/>
      </c>
      <c r="I1132" s="92" t="str">
        <f>IF($AG1132="","",P_RJ+INDEX($AK$8:$AK$21,INDEX($AC$8:$AC$1407,$AG1132)+1))</f>
        <v/>
      </c>
      <c r="J1132" s="92" t="str">
        <f>IF($AG1132="","",INDEX(V_WBS,INDEX($AB$8:$AB$1407,$AG1132)))</f>
        <v/>
      </c>
      <c r="K1132" s="92" t="str">
        <f>IF($AG1132="","",INDEX(V_Projdef,INDEX($AB$8:$AB$1407,$AG1132)))</f>
        <v/>
      </c>
      <c r="L1132" s="92" t="str">
        <f>IF($AG1132="","",INDEX(V_Naam,INDEX($AB$8:$AB$1407,$AG1132)))</f>
        <v/>
      </c>
      <c r="M1132" s="92" t="str">
        <f>IF($AG1132="","",INDEX(V_Type,INDEX($AB$8:$AB$1407,$AG1132)))</f>
        <v/>
      </c>
      <c r="N1132" s="92" t="str">
        <f>IF($AG1132="","",INDEX(V_IFRS,INDEX($AB$8:$AB$1407,$AG1132)))</f>
        <v/>
      </c>
      <c r="O1132" s="92" t="str">
        <f>IF($AG1132="","",INDEX($AL$8:$AL$21,INDEX($AC$8:$AC$1407,$AG1132)+1))</f>
        <v/>
      </c>
      <c r="P1132" s="109" t="str">
        <f>IF($AG1132="","",INDEX($AD$8:$AD$1407,$AG1132))</f>
        <v/>
      </c>
      <c r="Q1132" s="92" t="str">
        <f>IF($AG1132="","",INDEX($AM$8:$AM$21,INDEX($AC$8:$AC$1407,$AG1132)+1))</f>
        <v/>
      </c>
      <c r="R1132" s="92" t="str">
        <f>IF($AG1132="","",IF($G1132&gt;0,P_ToelCorrectie&amp;"",""))</f>
        <v/>
      </c>
      <c r="S1132" s="15" t="str">
        <f>IF(J1132="","",J1132&amp;"|"&amp;E1132&amp;"|"&amp;F1132&amp;"|"&amp;I1132&amp;"|"&amp;O1132)</f>
        <v/>
      </c>
      <c r="T1132" s="111" t="str">
        <f>IF(S1132="","",IF(COUNTIFS(L_Sleutel,S1132,L_Actief,1)=0,"",SUMIFS(L_Waarde,L_Sleutel,S1132,L_Actief,1)))</f>
        <v/>
      </c>
      <c r="U1132" s="111">
        <f>IF(OR(S1132="",T1132=""),0,P1132-T1132)</f>
        <v>0</v>
      </c>
      <c r="AB1132" s="112" t="n">
        <v>81</v>
      </c>
      <c r="AC1132" s="112" t="n">
        <v>4</v>
      </c>
      <c r="AD1132" s="112" t="str">
        <f>VERW_Project!R86</f>
        <v/>
      </c>
      <c r="AE1132" s="112">
        <f>IF(AND(VERW_Project!$A86&lt;&gt;"",ISNUMBER(AD1132)),1,0)</f>
        <v>0</v>
      </c>
      <c r="AF1132" s="112" t="str">
        <f>IF(AE1132=1,SUM($AE$8:AE1132),"")</f>
        <v/>
      </c>
      <c r="AG1132" t="str">
        <f>IFERROR(MATCH(1125,$AF$8:$AF$1407,0),"")</f>
        <v/>
      </c>
    </row>
    <row r="1133">
      <c r="A1133" s="92" t="str">
        <f>IF($AG1133="","",P_ImportID)</f>
        <v/>
      </c>
      <c r="B1133" s="92" t="str">
        <f>IF($AG1133="","",IF(INDEX($AN$8:$AN$21,INDEX($AC$8:$AC$1407,$AG1133)+1)="Z",P_BronZ,P_BronE))</f>
        <v/>
      </c>
      <c r="C1133" s="108" t="str">
        <f>IF($AG1133="","",P_Importdatum)</f>
        <v/>
      </c>
      <c r="D1133" s="92" t="str">
        <f>IF($AG1133="","",P_StatusVastleg)</f>
        <v/>
      </c>
      <c r="E1133" s="92" t="str">
        <f>IF($AG1133="","",P_UploadVJ)</f>
        <v/>
      </c>
      <c r="F1133" s="92" t="str">
        <f>IF($AG1133="","",P_UploadVersie)</f>
        <v/>
      </c>
      <c r="G1133" s="92" t="str">
        <f>IF($AG1133="","",IF(COUNTIFS(L_Sleutel,$S1133,L_Status,"Vastgesteld")=0,0,_xlfn.MAXIFS(L_Revisie,L_Sleutel,$S1133,L_Status,"Vastgesteld")+1))</f>
        <v/>
      </c>
      <c r="H1133" s="108" t="str">
        <f>IF($AG1133="","",P_Peildatum)</f>
        <v/>
      </c>
      <c r="I1133" s="92" t="str">
        <f>IF($AG1133="","",P_RJ+INDEX($AK$8:$AK$21,INDEX($AC$8:$AC$1407,$AG1133)+1))</f>
        <v/>
      </c>
      <c r="J1133" s="92" t="str">
        <f>IF($AG1133="","",INDEX(V_WBS,INDEX($AB$8:$AB$1407,$AG1133)))</f>
        <v/>
      </c>
      <c r="K1133" s="92" t="str">
        <f>IF($AG1133="","",INDEX(V_Projdef,INDEX($AB$8:$AB$1407,$AG1133)))</f>
        <v/>
      </c>
      <c r="L1133" s="92" t="str">
        <f>IF($AG1133="","",INDEX(V_Naam,INDEX($AB$8:$AB$1407,$AG1133)))</f>
        <v/>
      </c>
      <c r="M1133" s="92" t="str">
        <f>IF($AG1133="","",INDEX(V_Type,INDEX($AB$8:$AB$1407,$AG1133)))</f>
        <v/>
      </c>
      <c r="N1133" s="92" t="str">
        <f>IF($AG1133="","",INDEX(V_IFRS,INDEX($AB$8:$AB$1407,$AG1133)))</f>
        <v/>
      </c>
      <c r="O1133" s="92" t="str">
        <f>IF($AG1133="","",INDEX($AL$8:$AL$21,INDEX($AC$8:$AC$1407,$AG1133)+1))</f>
        <v/>
      </c>
      <c r="P1133" s="109" t="str">
        <f>IF($AG1133="","",INDEX($AD$8:$AD$1407,$AG1133))</f>
        <v/>
      </c>
      <c r="Q1133" s="92" t="str">
        <f>IF($AG1133="","",INDEX($AM$8:$AM$21,INDEX($AC$8:$AC$1407,$AG1133)+1))</f>
        <v/>
      </c>
      <c r="R1133" s="92" t="str">
        <f>IF($AG1133="","",IF($G1133&gt;0,P_ToelCorrectie&amp;"",""))</f>
        <v/>
      </c>
      <c r="S1133" s="15" t="str">
        <f>IF(J1133="","",J1133&amp;"|"&amp;E1133&amp;"|"&amp;F1133&amp;"|"&amp;I1133&amp;"|"&amp;O1133)</f>
        <v/>
      </c>
      <c r="T1133" s="111" t="str">
        <f>IF(S1133="","",IF(COUNTIFS(L_Sleutel,S1133,L_Actief,1)=0,"",SUMIFS(L_Waarde,L_Sleutel,S1133,L_Actief,1)))</f>
        <v/>
      </c>
      <c r="U1133" s="111">
        <f>IF(OR(S1133="",T1133=""),0,P1133-T1133)</f>
        <v>0</v>
      </c>
      <c r="AB1133" s="112" t="n">
        <v>81</v>
      </c>
      <c r="AC1133" s="112" t="n">
        <v>5</v>
      </c>
      <c r="AD1133" s="112" t="str">
        <f>VERW_Project!S86</f>
        <v/>
      </c>
      <c r="AE1133" s="112">
        <f>IF(AND(VERW_Project!$A86&lt;&gt;"",ISNUMBER(AD1133)),1,0)</f>
        <v>0</v>
      </c>
      <c r="AF1133" s="112" t="str">
        <f>IF(AE1133=1,SUM($AE$8:AE1133),"")</f>
        <v/>
      </c>
      <c r="AG1133" t="str">
        <f>IFERROR(MATCH(1126,$AF$8:$AF$1407,0),"")</f>
        <v/>
      </c>
    </row>
    <row r="1134">
      <c r="A1134" s="92" t="str">
        <f>IF($AG1134="","",P_ImportID)</f>
        <v/>
      </c>
      <c r="B1134" s="92" t="str">
        <f>IF($AG1134="","",IF(INDEX($AN$8:$AN$21,INDEX($AC$8:$AC$1407,$AG1134)+1)="Z",P_BronZ,P_BronE))</f>
        <v/>
      </c>
      <c r="C1134" s="108" t="str">
        <f>IF($AG1134="","",P_Importdatum)</f>
        <v/>
      </c>
      <c r="D1134" s="92" t="str">
        <f>IF($AG1134="","",P_StatusVastleg)</f>
        <v/>
      </c>
      <c r="E1134" s="92" t="str">
        <f>IF($AG1134="","",P_UploadVJ)</f>
        <v/>
      </c>
      <c r="F1134" s="92" t="str">
        <f>IF($AG1134="","",P_UploadVersie)</f>
        <v/>
      </c>
      <c r="G1134" s="92" t="str">
        <f>IF($AG1134="","",IF(COUNTIFS(L_Sleutel,$S1134,L_Status,"Vastgesteld")=0,0,_xlfn.MAXIFS(L_Revisie,L_Sleutel,$S1134,L_Status,"Vastgesteld")+1))</f>
        <v/>
      </c>
      <c r="H1134" s="108" t="str">
        <f>IF($AG1134="","",P_Peildatum)</f>
        <v/>
      </c>
      <c r="I1134" s="92" t="str">
        <f>IF($AG1134="","",P_RJ+INDEX($AK$8:$AK$21,INDEX($AC$8:$AC$1407,$AG1134)+1))</f>
        <v/>
      </c>
      <c r="J1134" s="92" t="str">
        <f>IF($AG1134="","",INDEX(V_WBS,INDEX($AB$8:$AB$1407,$AG1134)))</f>
        <v/>
      </c>
      <c r="K1134" s="92" t="str">
        <f>IF($AG1134="","",INDEX(V_Projdef,INDEX($AB$8:$AB$1407,$AG1134)))</f>
        <v/>
      </c>
      <c r="L1134" s="92" t="str">
        <f>IF($AG1134="","",INDEX(V_Naam,INDEX($AB$8:$AB$1407,$AG1134)))</f>
        <v/>
      </c>
      <c r="M1134" s="92" t="str">
        <f>IF($AG1134="","",INDEX(V_Type,INDEX($AB$8:$AB$1407,$AG1134)))</f>
        <v/>
      </c>
      <c r="N1134" s="92" t="str">
        <f>IF($AG1134="","",INDEX(V_IFRS,INDEX($AB$8:$AB$1407,$AG1134)))</f>
        <v/>
      </c>
      <c r="O1134" s="92" t="str">
        <f>IF($AG1134="","",INDEX($AL$8:$AL$21,INDEX($AC$8:$AC$1407,$AG1134)+1))</f>
        <v/>
      </c>
      <c r="P1134" s="109" t="str">
        <f>IF($AG1134="","",INDEX($AD$8:$AD$1407,$AG1134))</f>
        <v/>
      </c>
      <c r="Q1134" s="92" t="str">
        <f>IF($AG1134="","",INDEX($AM$8:$AM$21,INDEX($AC$8:$AC$1407,$AG1134)+1))</f>
        <v/>
      </c>
      <c r="R1134" s="92" t="str">
        <f>IF($AG1134="","",IF($G1134&gt;0,P_ToelCorrectie&amp;"",""))</f>
        <v/>
      </c>
      <c r="S1134" s="15" t="str">
        <f>IF(J1134="","",J1134&amp;"|"&amp;E1134&amp;"|"&amp;F1134&amp;"|"&amp;I1134&amp;"|"&amp;O1134)</f>
        <v/>
      </c>
      <c r="T1134" s="111" t="str">
        <f>IF(S1134="","",IF(COUNTIFS(L_Sleutel,S1134,L_Actief,1)=0,"",SUMIFS(L_Waarde,L_Sleutel,S1134,L_Actief,1)))</f>
        <v/>
      </c>
      <c r="U1134" s="111">
        <f>IF(OR(S1134="",T1134=""),0,P1134-T1134)</f>
        <v>0</v>
      </c>
      <c r="AB1134" s="112" t="n">
        <v>81</v>
      </c>
      <c r="AC1134" s="112" t="n">
        <v>6</v>
      </c>
      <c r="AD1134" s="112" t="str">
        <f>VERW_Project!BW86</f>
        <v/>
      </c>
      <c r="AE1134" s="112">
        <f>IF(AND(VERW_Project!$A86&lt;&gt;"",ISNUMBER(AD1134)),1,0)</f>
        <v>0</v>
      </c>
      <c r="AF1134" s="112" t="str">
        <f>IF(AE1134=1,SUM($AE$8:AE1134),"")</f>
        <v/>
      </c>
      <c r="AG1134" t="str">
        <f>IFERROR(MATCH(1127,$AF$8:$AF$1407,0),"")</f>
        <v/>
      </c>
    </row>
    <row r="1135">
      <c r="A1135" s="92" t="str">
        <f>IF($AG1135="","",P_ImportID)</f>
        <v/>
      </c>
      <c r="B1135" s="92" t="str">
        <f>IF($AG1135="","",IF(INDEX($AN$8:$AN$21,INDEX($AC$8:$AC$1407,$AG1135)+1)="Z",P_BronZ,P_BronE))</f>
        <v/>
      </c>
      <c r="C1135" s="108" t="str">
        <f>IF($AG1135="","",P_Importdatum)</f>
        <v/>
      </c>
      <c r="D1135" s="92" t="str">
        <f>IF($AG1135="","",P_StatusVastleg)</f>
        <v/>
      </c>
      <c r="E1135" s="92" t="str">
        <f>IF($AG1135="","",P_UploadVJ)</f>
        <v/>
      </c>
      <c r="F1135" s="92" t="str">
        <f>IF($AG1135="","",P_UploadVersie)</f>
        <v/>
      </c>
      <c r="G1135" s="92" t="str">
        <f>IF($AG1135="","",IF(COUNTIFS(L_Sleutel,$S1135,L_Status,"Vastgesteld")=0,0,_xlfn.MAXIFS(L_Revisie,L_Sleutel,$S1135,L_Status,"Vastgesteld")+1))</f>
        <v/>
      </c>
      <c r="H1135" s="108" t="str">
        <f>IF($AG1135="","",P_Peildatum)</f>
        <v/>
      </c>
      <c r="I1135" s="92" t="str">
        <f>IF($AG1135="","",P_RJ+INDEX($AK$8:$AK$21,INDEX($AC$8:$AC$1407,$AG1135)+1))</f>
        <v/>
      </c>
      <c r="J1135" s="92" t="str">
        <f>IF($AG1135="","",INDEX(V_WBS,INDEX($AB$8:$AB$1407,$AG1135)))</f>
        <v/>
      </c>
      <c r="K1135" s="92" t="str">
        <f>IF($AG1135="","",INDEX(V_Projdef,INDEX($AB$8:$AB$1407,$AG1135)))</f>
        <v/>
      </c>
      <c r="L1135" s="92" t="str">
        <f>IF($AG1135="","",INDEX(V_Naam,INDEX($AB$8:$AB$1407,$AG1135)))</f>
        <v/>
      </c>
      <c r="M1135" s="92" t="str">
        <f>IF($AG1135="","",INDEX(V_Type,INDEX($AB$8:$AB$1407,$AG1135)))</f>
        <v/>
      </c>
      <c r="N1135" s="92" t="str">
        <f>IF($AG1135="","",INDEX(V_IFRS,INDEX($AB$8:$AB$1407,$AG1135)))</f>
        <v/>
      </c>
      <c r="O1135" s="92" t="str">
        <f>IF($AG1135="","",INDEX($AL$8:$AL$21,INDEX($AC$8:$AC$1407,$AG1135)+1))</f>
        <v/>
      </c>
      <c r="P1135" s="109" t="str">
        <f>IF($AG1135="","",INDEX($AD$8:$AD$1407,$AG1135))</f>
        <v/>
      </c>
      <c r="Q1135" s="92" t="str">
        <f>IF($AG1135="","",INDEX($AM$8:$AM$21,INDEX($AC$8:$AC$1407,$AG1135)+1))</f>
        <v/>
      </c>
      <c r="R1135" s="92" t="str">
        <f>IF($AG1135="","",IF($G1135&gt;0,P_ToelCorrectie&amp;"",""))</f>
        <v/>
      </c>
      <c r="S1135" s="15" t="str">
        <f>IF(J1135="","",J1135&amp;"|"&amp;E1135&amp;"|"&amp;F1135&amp;"|"&amp;I1135&amp;"|"&amp;O1135)</f>
        <v/>
      </c>
      <c r="T1135" s="111" t="str">
        <f>IF(S1135="","",IF(COUNTIFS(L_Sleutel,S1135,L_Actief,1)=0,"",SUMIFS(L_Waarde,L_Sleutel,S1135,L_Actief,1)))</f>
        <v/>
      </c>
      <c r="U1135" s="111">
        <f>IF(OR(S1135="",T1135=""),0,P1135-T1135)</f>
        <v>0</v>
      </c>
      <c r="AB1135" s="112" t="n">
        <v>81</v>
      </c>
      <c r="AC1135" s="112" t="n">
        <v>7</v>
      </c>
      <c r="AD1135" s="112" t="str">
        <f>VERW_Project!AW86</f>
        <v/>
      </c>
      <c r="AE1135" s="112">
        <f>IF(AND(VERW_Project!$A86&lt;&gt;"",ISNUMBER(AD1135)),1,0)</f>
        <v>0</v>
      </c>
      <c r="AF1135" s="112" t="str">
        <f>IF(AE1135=1,SUM($AE$8:AE1135),"")</f>
        <v/>
      </c>
      <c r="AG1135" t="str">
        <f>IFERROR(MATCH(1128,$AF$8:$AF$1407,0),"")</f>
        <v/>
      </c>
    </row>
    <row r="1136">
      <c r="A1136" s="92" t="str">
        <f>IF($AG1136="","",P_ImportID)</f>
        <v/>
      </c>
      <c r="B1136" s="92" t="str">
        <f>IF($AG1136="","",IF(INDEX($AN$8:$AN$21,INDEX($AC$8:$AC$1407,$AG1136)+1)="Z",P_BronZ,P_BronE))</f>
        <v/>
      </c>
      <c r="C1136" s="108" t="str">
        <f>IF($AG1136="","",P_Importdatum)</f>
        <v/>
      </c>
      <c r="D1136" s="92" t="str">
        <f>IF($AG1136="","",P_StatusVastleg)</f>
        <v/>
      </c>
      <c r="E1136" s="92" t="str">
        <f>IF($AG1136="","",P_UploadVJ)</f>
        <v/>
      </c>
      <c r="F1136" s="92" t="str">
        <f>IF($AG1136="","",P_UploadVersie)</f>
        <v/>
      </c>
      <c r="G1136" s="92" t="str">
        <f>IF($AG1136="","",IF(COUNTIFS(L_Sleutel,$S1136,L_Status,"Vastgesteld")=0,0,_xlfn.MAXIFS(L_Revisie,L_Sleutel,$S1136,L_Status,"Vastgesteld")+1))</f>
        <v/>
      </c>
      <c r="H1136" s="108" t="str">
        <f>IF($AG1136="","",P_Peildatum)</f>
        <v/>
      </c>
      <c r="I1136" s="92" t="str">
        <f>IF($AG1136="","",P_RJ+INDEX($AK$8:$AK$21,INDEX($AC$8:$AC$1407,$AG1136)+1))</f>
        <v/>
      </c>
      <c r="J1136" s="92" t="str">
        <f>IF($AG1136="","",INDEX(V_WBS,INDEX($AB$8:$AB$1407,$AG1136)))</f>
        <v/>
      </c>
      <c r="K1136" s="92" t="str">
        <f>IF($AG1136="","",INDEX(V_Projdef,INDEX($AB$8:$AB$1407,$AG1136)))</f>
        <v/>
      </c>
      <c r="L1136" s="92" t="str">
        <f>IF($AG1136="","",INDEX(V_Naam,INDEX($AB$8:$AB$1407,$AG1136)))</f>
        <v/>
      </c>
      <c r="M1136" s="92" t="str">
        <f>IF($AG1136="","",INDEX(V_Type,INDEX($AB$8:$AB$1407,$AG1136)))</f>
        <v/>
      </c>
      <c r="N1136" s="92" t="str">
        <f>IF($AG1136="","",INDEX(V_IFRS,INDEX($AB$8:$AB$1407,$AG1136)))</f>
        <v/>
      </c>
      <c r="O1136" s="92" t="str">
        <f>IF($AG1136="","",INDEX($AL$8:$AL$21,INDEX($AC$8:$AC$1407,$AG1136)+1))</f>
        <v/>
      </c>
      <c r="P1136" s="109" t="str">
        <f>IF($AG1136="","",INDEX($AD$8:$AD$1407,$AG1136))</f>
        <v/>
      </c>
      <c r="Q1136" s="92" t="str">
        <f>IF($AG1136="","",INDEX($AM$8:$AM$21,INDEX($AC$8:$AC$1407,$AG1136)+1))</f>
        <v/>
      </c>
      <c r="R1136" s="92" t="str">
        <f>IF($AG1136="","",IF($G1136&gt;0,P_ToelCorrectie&amp;"",""))</f>
        <v/>
      </c>
      <c r="S1136" s="15" t="str">
        <f>IF(J1136="","",J1136&amp;"|"&amp;E1136&amp;"|"&amp;F1136&amp;"|"&amp;I1136&amp;"|"&amp;O1136)</f>
        <v/>
      </c>
      <c r="T1136" s="111" t="str">
        <f>IF(S1136="","",IF(COUNTIFS(L_Sleutel,S1136,L_Actief,1)=0,"",SUMIFS(L_Waarde,L_Sleutel,S1136,L_Actief,1)))</f>
        <v/>
      </c>
      <c r="U1136" s="111">
        <f>IF(OR(S1136="",T1136=""),0,P1136-T1136)</f>
        <v>0</v>
      </c>
      <c r="AB1136" s="112" t="n">
        <v>81</v>
      </c>
      <c r="AC1136" s="112" t="n">
        <v>8</v>
      </c>
      <c r="AD1136" s="112" t="str">
        <f>VERW_Project!BQ86</f>
        <v/>
      </c>
      <c r="AE1136" s="112">
        <f>IF(AND(VERW_Project!$A86&lt;&gt;"",ISNUMBER(AD1136)),1,0)</f>
        <v>0</v>
      </c>
      <c r="AF1136" s="112" t="str">
        <f>IF(AE1136=1,SUM($AE$8:AE1136),"")</f>
        <v/>
      </c>
      <c r="AG1136" t="str">
        <f>IFERROR(MATCH(1129,$AF$8:$AF$1407,0),"")</f>
        <v/>
      </c>
    </row>
    <row r="1137">
      <c r="A1137" s="92" t="str">
        <f>IF($AG1137="","",P_ImportID)</f>
        <v/>
      </c>
      <c r="B1137" s="92" t="str">
        <f>IF($AG1137="","",IF(INDEX($AN$8:$AN$21,INDEX($AC$8:$AC$1407,$AG1137)+1)="Z",P_BronZ,P_BronE))</f>
        <v/>
      </c>
      <c r="C1137" s="108" t="str">
        <f>IF($AG1137="","",P_Importdatum)</f>
        <v/>
      </c>
      <c r="D1137" s="92" t="str">
        <f>IF($AG1137="","",P_StatusVastleg)</f>
        <v/>
      </c>
      <c r="E1137" s="92" t="str">
        <f>IF($AG1137="","",P_UploadVJ)</f>
        <v/>
      </c>
      <c r="F1137" s="92" t="str">
        <f>IF($AG1137="","",P_UploadVersie)</f>
        <v/>
      </c>
      <c r="G1137" s="92" t="str">
        <f>IF($AG1137="","",IF(COUNTIFS(L_Sleutel,$S1137,L_Status,"Vastgesteld")=0,0,_xlfn.MAXIFS(L_Revisie,L_Sleutel,$S1137,L_Status,"Vastgesteld")+1))</f>
        <v/>
      </c>
      <c r="H1137" s="108" t="str">
        <f>IF($AG1137="","",P_Peildatum)</f>
        <v/>
      </c>
      <c r="I1137" s="92" t="str">
        <f>IF($AG1137="","",P_RJ+INDEX($AK$8:$AK$21,INDEX($AC$8:$AC$1407,$AG1137)+1))</f>
        <v/>
      </c>
      <c r="J1137" s="92" t="str">
        <f>IF($AG1137="","",INDEX(V_WBS,INDEX($AB$8:$AB$1407,$AG1137)))</f>
        <v/>
      </c>
      <c r="K1137" s="92" t="str">
        <f>IF($AG1137="","",INDEX(V_Projdef,INDEX($AB$8:$AB$1407,$AG1137)))</f>
        <v/>
      </c>
      <c r="L1137" s="92" t="str">
        <f>IF($AG1137="","",INDEX(V_Naam,INDEX($AB$8:$AB$1407,$AG1137)))</f>
        <v/>
      </c>
      <c r="M1137" s="92" t="str">
        <f>IF($AG1137="","",INDEX(V_Type,INDEX($AB$8:$AB$1407,$AG1137)))</f>
        <v/>
      </c>
      <c r="N1137" s="92" t="str">
        <f>IF($AG1137="","",INDEX(V_IFRS,INDEX($AB$8:$AB$1407,$AG1137)))</f>
        <v/>
      </c>
      <c r="O1137" s="92" t="str">
        <f>IF($AG1137="","",INDEX($AL$8:$AL$21,INDEX($AC$8:$AC$1407,$AG1137)+1))</f>
        <v/>
      </c>
      <c r="P1137" s="109" t="str">
        <f>IF($AG1137="","",INDEX($AD$8:$AD$1407,$AG1137))</f>
        <v/>
      </c>
      <c r="Q1137" s="92" t="str">
        <f>IF($AG1137="","",INDEX($AM$8:$AM$21,INDEX($AC$8:$AC$1407,$AG1137)+1))</f>
        <v/>
      </c>
      <c r="R1137" s="92" t="str">
        <f>IF($AG1137="","",IF($G1137&gt;0,P_ToelCorrectie&amp;"",""))</f>
        <v/>
      </c>
      <c r="S1137" s="15" t="str">
        <f>IF(J1137="","",J1137&amp;"|"&amp;E1137&amp;"|"&amp;F1137&amp;"|"&amp;I1137&amp;"|"&amp;O1137)</f>
        <v/>
      </c>
      <c r="T1137" s="111" t="str">
        <f>IF(S1137="","",IF(COUNTIFS(L_Sleutel,S1137,L_Actief,1)=0,"",SUMIFS(L_Waarde,L_Sleutel,S1137,L_Actief,1)))</f>
        <v/>
      </c>
      <c r="U1137" s="111">
        <f>IF(OR(S1137="",T1137=""),0,P1137-T1137)</f>
        <v>0</v>
      </c>
      <c r="AB1137" s="112" t="n">
        <v>81</v>
      </c>
      <c r="AC1137" s="112" t="n">
        <v>9</v>
      </c>
      <c r="AD1137" s="112" t="str">
        <f>VERW_Project!BR86</f>
        <v/>
      </c>
      <c r="AE1137" s="112">
        <f>IF(AND(VERW_Project!$A86&lt;&gt;"",ISNUMBER(AD1137)),1,0)</f>
        <v>0</v>
      </c>
      <c r="AF1137" s="112" t="str">
        <f>IF(AE1137=1,SUM($AE$8:AE1137),"")</f>
        <v/>
      </c>
      <c r="AG1137" t="str">
        <f>IFERROR(MATCH(1130,$AF$8:$AF$1407,0),"")</f>
        <v/>
      </c>
    </row>
    <row r="1138">
      <c r="A1138" s="92" t="str">
        <f>IF($AG1138="","",P_ImportID)</f>
        <v/>
      </c>
      <c r="B1138" s="92" t="str">
        <f>IF($AG1138="","",IF(INDEX($AN$8:$AN$21,INDEX($AC$8:$AC$1407,$AG1138)+1)="Z",P_BronZ,P_BronE))</f>
        <v/>
      </c>
      <c r="C1138" s="108" t="str">
        <f>IF($AG1138="","",P_Importdatum)</f>
        <v/>
      </c>
      <c r="D1138" s="92" t="str">
        <f>IF($AG1138="","",P_StatusVastleg)</f>
        <v/>
      </c>
      <c r="E1138" s="92" t="str">
        <f>IF($AG1138="","",P_UploadVJ)</f>
        <v/>
      </c>
      <c r="F1138" s="92" t="str">
        <f>IF($AG1138="","",P_UploadVersie)</f>
        <v/>
      </c>
      <c r="G1138" s="92" t="str">
        <f>IF($AG1138="","",IF(COUNTIFS(L_Sleutel,$S1138,L_Status,"Vastgesteld")=0,0,_xlfn.MAXIFS(L_Revisie,L_Sleutel,$S1138,L_Status,"Vastgesteld")+1))</f>
        <v/>
      </c>
      <c r="H1138" s="108" t="str">
        <f>IF($AG1138="","",P_Peildatum)</f>
        <v/>
      </c>
      <c r="I1138" s="92" t="str">
        <f>IF($AG1138="","",P_RJ+INDEX($AK$8:$AK$21,INDEX($AC$8:$AC$1407,$AG1138)+1))</f>
        <v/>
      </c>
      <c r="J1138" s="92" t="str">
        <f>IF($AG1138="","",INDEX(V_WBS,INDEX($AB$8:$AB$1407,$AG1138)))</f>
        <v/>
      </c>
      <c r="K1138" s="92" t="str">
        <f>IF($AG1138="","",INDEX(V_Projdef,INDEX($AB$8:$AB$1407,$AG1138)))</f>
        <v/>
      </c>
      <c r="L1138" s="92" t="str">
        <f>IF($AG1138="","",INDEX(V_Naam,INDEX($AB$8:$AB$1407,$AG1138)))</f>
        <v/>
      </c>
      <c r="M1138" s="92" t="str">
        <f>IF($AG1138="","",INDEX(V_Type,INDEX($AB$8:$AB$1407,$AG1138)))</f>
        <v/>
      </c>
      <c r="N1138" s="92" t="str">
        <f>IF($AG1138="","",INDEX(V_IFRS,INDEX($AB$8:$AB$1407,$AG1138)))</f>
        <v/>
      </c>
      <c r="O1138" s="92" t="str">
        <f>IF($AG1138="","",INDEX($AL$8:$AL$21,INDEX($AC$8:$AC$1407,$AG1138)+1))</f>
        <v/>
      </c>
      <c r="P1138" s="109" t="str">
        <f>IF($AG1138="","",INDEX($AD$8:$AD$1407,$AG1138))</f>
        <v/>
      </c>
      <c r="Q1138" s="92" t="str">
        <f>IF($AG1138="","",INDEX($AM$8:$AM$21,INDEX($AC$8:$AC$1407,$AG1138)+1))</f>
        <v/>
      </c>
      <c r="R1138" s="92" t="str">
        <f>IF($AG1138="","",IF($G1138&gt;0,P_ToelCorrectie&amp;"",""))</f>
        <v/>
      </c>
      <c r="S1138" s="15" t="str">
        <f>IF(J1138="","",J1138&amp;"|"&amp;E1138&amp;"|"&amp;F1138&amp;"|"&amp;I1138&amp;"|"&amp;O1138)</f>
        <v/>
      </c>
      <c r="T1138" s="111" t="str">
        <f>IF(S1138="","",IF(COUNTIFS(L_Sleutel,S1138,L_Actief,1)=0,"",SUMIFS(L_Waarde,L_Sleutel,S1138,L_Actief,1)))</f>
        <v/>
      </c>
      <c r="U1138" s="111">
        <f>IF(OR(S1138="",T1138=""),0,P1138-T1138)</f>
        <v>0</v>
      </c>
      <c r="AB1138" s="112" t="n">
        <v>81</v>
      </c>
      <c r="AC1138" s="112" t="n">
        <v>10</v>
      </c>
      <c r="AD1138" s="112" t="str">
        <f>VERW_Project!BS86</f>
        <v/>
      </c>
      <c r="AE1138" s="112">
        <f>IF(AND(VERW_Project!$A86&lt;&gt;"",ISNUMBER(AD1138)),1,0)</f>
        <v>0</v>
      </c>
      <c r="AF1138" s="112" t="str">
        <f>IF(AE1138=1,SUM($AE$8:AE1138),"")</f>
        <v/>
      </c>
      <c r="AG1138" t="str">
        <f>IFERROR(MATCH(1131,$AF$8:$AF$1407,0),"")</f>
        <v/>
      </c>
    </row>
    <row r="1139">
      <c r="A1139" s="92" t="str">
        <f>IF($AG1139="","",P_ImportID)</f>
        <v/>
      </c>
      <c r="B1139" s="92" t="str">
        <f>IF($AG1139="","",IF(INDEX($AN$8:$AN$21,INDEX($AC$8:$AC$1407,$AG1139)+1)="Z",P_BronZ,P_BronE))</f>
        <v/>
      </c>
      <c r="C1139" s="108" t="str">
        <f>IF($AG1139="","",P_Importdatum)</f>
        <v/>
      </c>
      <c r="D1139" s="92" t="str">
        <f>IF($AG1139="","",P_StatusVastleg)</f>
        <v/>
      </c>
      <c r="E1139" s="92" t="str">
        <f>IF($AG1139="","",P_UploadVJ)</f>
        <v/>
      </c>
      <c r="F1139" s="92" t="str">
        <f>IF($AG1139="","",P_UploadVersie)</f>
        <v/>
      </c>
      <c r="G1139" s="92" t="str">
        <f>IF($AG1139="","",IF(COUNTIFS(L_Sleutel,$S1139,L_Status,"Vastgesteld")=0,0,_xlfn.MAXIFS(L_Revisie,L_Sleutel,$S1139,L_Status,"Vastgesteld")+1))</f>
        <v/>
      </c>
      <c r="H1139" s="108" t="str">
        <f>IF($AG1139="","",P_Peildatum)</f>
        <v/>
      </c>
      <c r="I1139" s="92" t="str">
        <f>IF($AG1139="","",P_RJ+INDEX($AK$8:$AK$21,INDEX($AC$8:$AC$1407,$AG1139)+1))</f>
        <v/>
      </c>
      <c r="J1139" s="92" t="str">
        <f>IF($AG1139="","",INDEX(V_WBS,INDEX($AB$8:$AB$1407,$AG1139)))</f>
        <v/>
      </c>
      <c r="K1139" s="92" t="str">
        <f>IF($AG1139="","",INDEX(V_Projdef,INDEX($AB$8:$AB$1407,$AG1139)))</f>
        <v/>
      </c>
      <c r="L1139" s="92" t="str">
        <f>IF($AG1139="","",INDEX(V_Naam,INDEX($AB$8:$AB$1407,$AG1139)))</f>
        <v/>
      </c>
      <c r="M1139" s="92" t="str">
        <f>IF($AG1139="","",INDEX(V_Type,INDEX($AB$8:$AB$1407,$AG1139)))</f>
        <v/>
      </c>
      <c r="N1139" s="92" t="str">
        <f>IF($AG1139="","",INDEX(V_IFRS,INDEX($AB$8:$AB$1407,$AG1139)))</f>
        <v/>
      </c>
      <c r="O1139" s="92" t="str">
        <f>IF($AG1139="","",INDEX($AL$8:$AL$21,INDEX($AC$8:$AC$1407,$AG1139)+1))</f>
        <v/>
      </c>
      <c r="P1139" s="109" t="str">
        <f>IF($AG1139="","",INDEX($AD$8:$AD$1407,$AG1139))</f>
        <v/>
      </c>
      <c r="Q1139" s="92" t="str">
        <f>IF($AG1139="","",INDEX($AM$8:$AM$21,INDEX($AC$8:$AC$1407,$AG1139)+1))</f>
        <v/>
      </c>
      <c r="R1139" s="92" t="str">
        <f>IF($AG1139="","",IF($G1139&gt;0,P_ToelCorrectie&amp;"",""))</f>
        <v/>
      </c>
      <c r="S1139" s="15" t="str">
        <f>IF(J1139="","",J1139&amp;"|"&amp;E1139&amp;"|"&amp;F1139&amp;"|"&amp;I1139&amp;"|"&amp;O1139)</f>
        <v/>
      </c>
      <c r="T1139" s="111" t="str">
        <f>IF(S1139="","",IF(COUNTIFS(L_Sleutel,S1139,L_Actief,1)=0,"",SUMIFS(L_Waarde,L_Sleutel,S1139,L_Actief,1)))</f>
        <v/>
      </c>
      <c r="U1139" s="111">
        <f>IF(OR(S1139="",T1139=""),0,P1139-T1139)</f>
        <v>0</v>
      </c>
      <c r="AB1139" s="112" t="n">
        <v>81</v>
      </c>
      <c r="AC1139" s="112" t="n">
        <v>11</v>
      </c>
      <c r="AD1139" s="112" t="str">
        <f>VERW_Project!BT86</f>
        <v/>
      </c>
      <c r="AE1139" s="112">
        <f>IF(AND(VERW_Project!$A86&lt;&gt;"",ISNUMBER(AD1139)),1,0)</f>
        <v>0</v>
      </c>
      <c r="AF1139" s="112" t="str">
        <f>IF(AE1139=1,SUM($AE$8:AE1139),"")</f>
        <v/>
      </c>
      <c r="AG1139" t="str">
        <f>IFERROR(MATCH(1132,$AF$8:$AF$1407,0),"")</f>
        <v/>
      </c>
    </row>
    <row r="1140">
      <c r="A1140" s="92" t="str">
        <f>IF($AG1140="","",P_ImportID)</f>
        <v/>
      </c>
      <c r="B1140" s="92" t="str">
        <f>IF($AG1140="","",IF(INDEX($AN$8:$AN$21,INDEX($AC$8:$AC$1407,$AG1140)+1)="Z",P_BronZ,P_BronE))</f>
        <v/>
      </c>
      <c r="C1140" s="108" t="str">
        <f>IF($AG1140="","",P_Importdatum)</f>
        <v/>
      </c>
      <c r="D1140" s="92" t="str">
        <f>IF($AG1140="","",P_StatusVastleg)</f>
        <v/>
      </c>
      <c r="E1140" s="92" t="str">
        <f>IF($AG1140="","",P_UploadVJ)</f>
        <v/>
      </c>
      <c r="F1140" s="92" t="str">
        <f>IF($AG1140="","",P_UploadVersie)</f>
        <v/>
      </c>
      <c r="G1140" s="92" t="str">
        <f>IF($AG1140="","",IF(COUNTIFS(L_Sleutel,$S1140,L_Status,"Vastgesteld")=0,0,_xlfn.MAXIFS(L_Revisie,L_Sleutel,$S1140,L_Status,"Vastgesteld")+1))</f>
        <v/>
      </c>
      <c r="H1140" s="108" t="str">
        <f>IF($AG1140="","",P_Peildatum)</f>
        <v/>
      </c>
      <c r="I1140" s="92" t="str">
        <f>IF($AG1140="","",P_RJ+INDEX($AK$8:$AK$21,INDEX($AC$8:$AC$1407,$AG1140)+1))</f>
        <v/>
      </c>
      <c r="J1140" s="92" t="str">
        <f>IF($AG1140="","",INDEX(V_WBS,INDEX($AB$8:$AB$1407,$AG1140)))</f>
        <v/>
      </c>
      <c r="K1140" s="92" t="str">
        <f>IF($AG1140="","",INDEX(V_Projdef,INDEX($AB$8:$AB$1407,$AG1140)))</f>
        <v/>
      </c>
      <c r="L1140" s="92" t="str">
        <f>IF($AG1140="","",INDEX(V_Naam,INDEX($AB$8:$AB$1407,$AG1140)))</f>
        <v/>
      </c>
      <c r="M1140" s="92" t="str">
        <f>IF($AG1140="","",INDEX(V_Type,INDEX($AB$8:$AB$1407,$AG1140)))</f>
        <v/>
      </c>
      <c r="N1140" s="92" t="str">
        <f>IF($AG1140="","",INDEX(V_IFRS,INDEX($AB$8:$AB$1407,$AG1140)))</f>
        <v/>
      </c>
      <c r="O1140" s="92" t="str">
        <f>IF($AG1140="","",INDEX($AL$8:$AL$21,INDEX($AC$8:$AC$1407,$AG1140)+1))</f>
        <v/>
      </c>
      <c r="P1140" s="109" t="str">
        <f>IF($AG1140="","",INDEX($AD$8:$AD$1407,$AG1140))</f>
        <v/>
      </c>
      <c r="Q1140" s="92" t="str">
        <f>IF($AG1140="","",INDEX($AM$8:$AM$21,INDEX($AC$8:$AC$1407,$AG1140)+1))</f>
        <v/>
      </c>
      <c r="R1140" s="92" t="str">
        <f>IF($AG1140="","",IF($G1140&gt;0,P_ToelCorrectie&amp;"",""))</f>
        <v/>
      </c>
      <c r="S1140" s="15" t="str">
        <f>IF(J1140="","",J1140&amp;"|"&amp;E1140&amp;"|"&amp;F1140&amp;"|"&amp;I1140&amp;"|"&amp;O1140)</f>
        <v/>
      </c>
      <c r="T1140" s="111" t="str">
        <f>IF(S1140="","",IF(COUNTIFS(L_Sleutel,S1140,L_Actief,1)=0,"",SUMIFS(L_Waarde,L_Sleutel,S1140,L_Actief,1)))</f>
        <v/>
      </c>
      <c r="U1140" s="111">
        <f>IF(OR(S1140="",T1140=""),0,P1140-T1140)</f>
        <v>0</v>
      </c>
      <c r="AB1140" s="112" t="n">
        <v>81</v>
      </c>
      <c r="AC1140" s="112" t="n">
        <v>12</v>
      </c>
      <c r="AD1140" s="112" t="str">
        <f>VERW_Project!BU86</f>
        <v/>
      </c>
      <c r="AE1140" s="112">
        <f>IF(AND(VERW_Project!$A86&lt;&gt;"",ISNUMBER(AD1140)),1,0)</f>
        <v>0</v>
      </c>
      <c r="AF1140" s="112" t="str">
        <f>IF(AE1140=1,SUM($AE$8:AE1140),"")</f>
        <v/>
      </c>
      <c r="AG1140" t="str">
        <f>IFERROR(MATCH(1133,$AF$8:$AF$1407,0),"")</f>
        <v/>
      </c>
    </row>
    <row r="1141">
      <c r="A1141" s="92" t="str">
        <f>IF($AG1141="","",P_ImportID)</f>
        <v/>
      </c>
      <c r="B1141" s="92" t="str">
        <f>IF($AG1141="","",IF(INDEX($AN$8:$AN$21,INDEX($AC$8:$AC$1407,$AG1141)+1)="Z",P_BronZ,P_BronE))</f>
        <v/>
      </c>
      <c r="C1141" s="108" t="str">
        <f>IF($AG1141="","",P_Importdatum)</f>
        <v/>
      </c>
      <c r="D1141" s="92" t="str">
        <f>IF($AG1141="","",P_StatusVastleg)</f>
        <v/>
      </c>
      <c r="E1141" s="92" t="str">
        <f>IF($AG1141="","",P_UploadVJ)</f>
        <v/>
      </c>
      <c r="F1141" s="92" t="str">
        <f>IF($AG1141="","",P_UploadVersie)</f>
        <v/>
      </c>
      <c r="G1141" s="92" t="str">
        <f>IF($AG1141="","",IF(COUNTIFS(L_Sleutel,$S1141,L_Status,"Vastgesteld")=0,0,_xlfn.MAXIFS(L_Revisie,L_Sleutel,$S1141,L_Status,"Vastgesteld")+1))</f>
        <v/>
      </c>
      <c r="H1141" s="108" t="str">
        <f>IF($AG1141="","",P_Peildatum)</f>
        <v/>
      </c>
      <c r="I1141" s="92" t="str">
        <f>IF($AG1141="","",P_RJ+INDEX($AK$8:$AK$21,INDEX($AC$8:$AC$1407,$AG1141)+1))</f>
        <v/>
      </c>
      <c r="J1141" s="92" t="str">
        <f>IF($AG1141="","",INDEX(V_WBS,INDEX($AB$8:$AB$1407,$AG1141)))</f>
        <v/>
      </c>
      <c r="K1141" s="92" t="str">
        <f>IF($AG1141="","",INDEX(V_Projdef,INDEX($AB$8:$AB$1407,$AG1141)))</f>
        <v/>
      </c>
      <c r="L1141" s="92" t="str">
        <f>IF($AG1141="","",INDEX(V_Naam,INDEX($AB$8:$AB$1407,$AG1141)))</f>
        <v/>
      </c>
      <c r="M1141" s="92" t="str">
        <f>IF($AG1141="","",INDEX(V_Type,INDEX($AB$8:$AB$1407,$AG1141)))</f>
        <v/>
      </c>
      <c r="N1141" s="92" t="str">
        <f>IF($AG1141="","",INDEX(V_IFRS,INDEX($AB$8:$AB$1407,$AG1141)))</f>
        <v/>
      </c>
      <c r="O1141" s="92" t="str">
        <f>IF($AG1141="","",INDEX($AL$8:$AL$21,INDEX($AC$8:$AC$1407,$AG1141)+1))</f>
        <v/>
      </c>
      <c r="P1141" s="109" t="str">
        <f>IF($AG1141="","",INDEX($AD$8:$AD$1407,$AG1141))</f>
        <v/>
      </c>
      <c r="Q1141" s="92" t="str">
        <f>IF($AG1141="","",INDEX($AM$8:$AM$21,INDEX($AC$8:$AC$1407,$AG1141)+1))</f>
        <v/>
      </c>
      <c r="R1141" s="92" t="str">
        <f>IF($AG1141="","",IF($G1141&gt;0,P_ToelCorrectie&amp;"",""))</f>
        <v/>
      </c>
      <c r="S1141" s="15" t="str">
        <f>IF(J1141="","",J1141&amp;"|"&amp;E1141&amp;"|"&amp;F1141&amp;"|"&amp;I1141&amp;"|"&amp;O1141)</f>
        <v/>
      </c>
      <c r="T1141" s="111" t="str">
        <f>IF(S1141="","",IF(COUNTIFS(L_Sleutel,S1141,L_Actief,1)=0,"",SUMIFS(L_Waarde,L_Sleutel,S1141,L_Actief,1)))</f>
        <v/>
      </c>
      <c r="U1141" s="111">
        <f>IF(OR(S1141="",T1141=""),0,P1141-T1141)</f>
        <v>0</v>
      </c>
      <c r="AB1141" s="112" t="n">
        <v>81</v>
      </c>
      <c r="AC1141" s="112" t="n">
        <v>13</v>
      </c>
      <c r="AD1141" s="112" t="str">
        <f>VERW_Project!BX86</f>
        <v/>
      </c>
      <c r="AE1141" s="112">
        <f>IF(AND(VERW_Project!$A86&lt;&gt;"",ISNUMBER(AD1141)),1,0)</f>
        <v>0</v>
      </c>
      <c r="AF1141" s="112" t="str">
        <f>IF(AE1141=1,SUM($AE$8:AE1141),"")</f>
        <v/>
      </c>
      <c r="AG1141" t="str">
        <f>IFERROR(MATCH(1134,$AF$8:$AF$1407,0),"")</f>
        <v/>
      </c>
    </row>
    <row r="1142">
      <c r="A1142" s="92" t="str">
        <f>IF($AG1142="","",P_ImportID)</f>
        <v/>
      </c>
      <c r="B1142" s="92" t="str">
        <f>IF($AG1142="","",IF(INDEX($AN$8:$AN$21,INDEX($AC$8:$AC$1407,$AG1142)+1)="Z",P_BronZ,P_BronE))</f>
        <v/>
      </c>
      <c r="C1142" s="108" t="str">
        <f>IF($AG1142="","",P_Importdatum)</f>
        <v/>
      </c>
      <c r="D1142" s="92" t="str">
        <f>IF($AG1142="","",P_StatusVastleg)</f>
        <v/>
      </c>
      <c r="E1142" s="92" t="str">
        <f>IF($AG1142="","",P_UploadVJ)</f>
        <v/>
      </c>
      <c r="F1142" s="92" t="str">
        <f>IF($AG1142="","",P_UploadVersie)</f>
        <v/>
      </c>
      <c r="G1142" s="92" t="str">
        <f>IF($AG1142="","",IF(COUNTIFS(L_Sleutel,$S1142,L_Status,"Vastgesteld")=0,0,_xlfn.MAXIFS(L_Revisie,L_Sleutel,$S1142,L_Status,"Vastgesteld")+1))</f>
        <v/>
      </c>
      <c r="H1142" s="108" t="str">
        <f>IF($AG1142="","",P_Peildatum)</f>
        <v/>
      </c>
      <c r="I1142" s="92" t="str">
        <f>IF($AG1142="","",P_RJ+INDEX($AK$8:$AK$21,INDEX($AC$8:$AC$1407,$AG1142)+1))</f>
        <v/>
      </c>
      <c r="J1142" s="92" t="str">
        <f>IF($AG1142="","",INDEX(V_WBS,INDEX($AB$8:$AB$1407,$AG1142)))</f>
        <v/>
      </c>
      <c r="K1142" s="92" t="str">
        <f>IF($AG1142="","",INDEX(V_Projdef,INDEX($AB$8:$AB$1407,$AG1142)))</f>
        <v/>
      </c>
      <c r="L1142" s="92" t="str">
        <f>IF($AG1142="","",INDEX(V_Naam,INDEX($AB$8:$AB$1407,$AG1142)))</f>
        <v/>
      </c>
      <c r="M1142" s="92" t="str">
        <f>IF($AG1142="","",INDEX(V_Type,INDEX($AB$8:$AB$1407,$AG1142)))</f>
        <v/>
      </c>
      <c r="N1142" s="92" t="str">
        <f>IF($AG1142="","",INDEX(V_IFRS,INDEX($AB$8:$AB$1407,$AG1142)))</f>
        <v/>
      </c>
      <c r="O1142" s="92" t="str">
        <f>IF($AG1142="","",INDEX($AL$8:$AL$21,INDEX($AC$8:$AC$1407,$AG1142)+1))</f>
        <v/>
      </c>
      <c r="P1142" s="109" t="str">
        <f>IF($AG1142="","",INDEX($AD$8:$AD$1407,$AG1142))</f>
        <v/>
      </c>
      <c r="Q1142" s="92" t="str">
        <f>IF($AG1142="","",INDEX($AM$8:$AM$21,INDEX($AC$8:$AC$1407,$AG1142)+1))</f>
        <v/>
      </c>
      <c r="R1142" s="92" t="str">
        <f>IF($AG1142="","",IF($G1142&gt;0,P_ToelCorrectie&amp;"",""))</f>
        <v/>
      </c>
      <c r="S1142" s="15" t="str">
        <f>IF(J1142="","",J1142&amp;"|"&amp;E1142&amp;"|"&amp;F1142&amp;"|"&amp;I1142&amp;"|"&amp;O1142)</f>
        <v/>
      </c>
      <c r="T1142" s="111" t="str">
        <f>IF(S1142="","",IF(COUNTIFS(L_Sleutel,S1142,L_Actief,1)=0,"",SUMIFS(L_Waarde,L_Sleutel,S1142,L_Actief,1)))</f>
        <v/>
      </c>
      <c r="U1142" s="111">
        <f>IF(OR(S1142="",T1142=""),0,P1142-T1142)</f>
        <v>0</v>
      </c>
      <c r="AB1142" s="112" t="n">
        <v>82</v>
      </c>
      <c r="AC1142" s="112" t="n">
        <v>0</v>
      </c>
      <c r="AD1142" s="112" t="str">
        <f>VERW_Project!P87</f>
        <v/>
      </c>
      <c r="AE1142" s="112">
        <f>IF(AND(VERW_Project!$A87&lt;&gt;"",ISNUMBER(AD1142)),1,0)</f>
        <v>0</v>
      </c>
      <c r="AF1142" s="112" t="str">
        <f>IF(AE1142=1,SUM($AE$8:AE1142),"")</f>
        <v/>
      </c>
      <c r="AG1142" t="str">
        <f>IFERROR(MATCH(1135,$AF$8:$AF$1407,0),"")</f>
        <v/>
      </c>
    </row>
    <row r="1143">
      <c r="A1143" s="92" t="str">
        <f>IF($AG1143="","",P_ImportID)</f>
        <v/>
      </c>
      <c r="B1143" s="92" t="str">
        <f>IF($AG1143="","",IF(INDEX($AN$8:$AN$21,INDEX($AC$8:$AC$1407,$AG1143)+1)="Z",P_BronZ,P_BronE))</f>
        <v/>
      </c>
      <c r="C1143" s="108" t="str">
        <f>IF($AG1143="","",P_Importdatum)</f>
        <v/>
      </c>
      <c r="D1143" s="92" t="str">
        <f>IF($AG1143="","",P_StatusVastleg)</f>
        <v/>
      </c>
      <c r="E1143" s="92" t="str">
        <f>IF($AG1143="","",P_UploadVJ)</f>
        <v/>
      </c>
      <c r="F1143" s="92" t="str">
        <f>IF($AG1143="","",P_UploadVersie)</f>
        <v/>
      </c>
      <c r="G1143" s="92" t="str">
        <f>IF($AG1143="","",IF(COUNTIFS(L_Sleutel,$S1143,L_Status,"Vastgesteld")=0,0,_xlfn.MAXIFS(L_Revisie,L_Sleutel,$S1143,L_Status,"Vastgesteld")+1))</f>
        <v/>
      </c>
      <c r="H1143" s="108" t="str">
        <f>IF($AG1143="","",P_Peildatum)</f>
        <v/>
      </c>
      <c r="I1143" s="92" t="str">
        <f>IF($AG1143="","",P_RJ+INDEX($AK$8:$AK$21,INDEX($AC$8:$AC$1407,$AG1143)+1))</f>
        <v/>
      </c>
      <c r="J1143" s="92" t="str">
        <f>IF($AG1143="","",INDEX(V_WBS,INDEX($AB$8:$AB$1407,$AG1143)))</f>
        <v/>
      </c>
      <c r="K1143" s="92" t="str">
        <f>IF($AG1143="","",INDEX(V_Projdef,INDEX($AB$8:$AB$1407,$AG1143)))</f>
        <v/>
      </c>
      <c r="L1143" s="92" t="str">
        <f>IF($AG1143="","",INDEX(V_Naam,INDEX($AB$8:$AB$1407,$AG1143)))</f>
        <v/>
      </c>
      <c r="M1143" s="92" t="str">
        <f>IF($AG1143="","",INDEX(V_Type,INDEX($AB$8:$AB$1407,$AG1143)))</f>
        <v/>
      </c>
      <c r="N1143" s="92" t="str">
        <f>IF($AG1143="","",INDEX(V_IFRS,INDEX($AB$8:$AB$1407,$AG1143)))</f>
        <v/>
      </c>
      <c r="O1143" s="92" t="str">
        <f>IF($AG1143="","",INDEX($AL$8:$AL$21,INDEX($AC$8:$AC$1407,$AG1143)+1))</f>
        <v/>
      </c>
      <c r="P1143" s="109" t="str">
        <f>IF($AG1143="","",INDEX($AD$8:$AD$1407,$AG1143))</f>
        <v/>
      </c>
      <c r="Q1143" s="92" t="str">
        <f>IF($AG1143="","",INDEX($AM$8:$AM$21,INDEX($AC$8:$AC$1407,$AG1143)+1))</f>
        <v/>
      </c>
      <c r="R1143" s="92" t="str">
        <f>IF($AG1143="","",IF($G1143&gt;0,P_ToelCorrectie&amp;"",""))</f>
        <v/>
      </c>
      <c r="S1143" s="15" t="str">
        <f>IF(J1143="","",J1143&amp;"|"&amp;E1143&amp;"|"&amp;F1143&amp;"|"&amp;I1143&amp;"|"&amp;O1143)</f>
        <v/>
      </c>
      <c r="T1143" s="111" t="str">
        <f>IF(S1143="","",IF(COUNTIFS(L_Sleutel,S1143,L_Actief,1)=0,"",SUMIFS(L_Waarde,L_Sleutel,S1143,L_Actief,1)))</f>
        <v/>
      </c>
      <c r="U1143" s="111">
        <f>IF(OR(S1143="",T1143=""),0,P1143-T1143)</f>
        <v>0</v>
      </c>
      <c r="AB1143" s="112" t="n">
        <v>82</v>
      </c>
      <c r="AC1143" s="112" t="n">
        <v>1</v>
      </c>
      <c r="AD1143" s="112" t="str">
        <f>VERW_Project!Q87</f>
        <v/>
      </c>
      <c r="AE1143" s="112">
        <f>IF(AND(VERW_Project!$A87&lt;&gt;"",ISNUMBER(AD1143)),1,0)</f>
        <v>0</v>
      </c>
      <c r="AF1143" s="112" t="str">
        <f>IF(AE1143=1,SUM($AE$8:AE1143),"")</f>
        <v/>
      </c>
      <c r="AG1143" t="str">
        <f>IFERROR(MATCH(1136,$AF$8:$AF$1407,0),"")</f>
        <v/>
      </c>
    </row>
    <row r="1144">
      <c r="A1144" s="92" t="str">
        <f>IF($AG1144="","",P_ImportID)</f>
        <v/>
      </c>
      <c r="B1144" s="92" t="str">
        <f>IF($AG1144="","",IF(INDEX($AN$8:$AN$21,INDEX($AC$8:$AC$1407,$AG1144)+1)="Z",P_BronZ,P_BronE))</f>
        <v/>
      </c>
      <c r="C1144" s="108" t="str">
        <f>IF($AG1144="","",P_Importdatum)</f>
        <v/>
      </c>
      <c r="D1144" s="92" t="str">
        <f>IF($AG1144="","",P_StatusVastleg)</f>
        <v/>
      </c>
      <c r="E1144" s="92" t="str">
        <f>IF($AG1144="","",P_UploadVJ)</f>
        <v/>
      </c>
      <c r="F1144" s="92" t="str">
        <f>IF($AG1144="","",P_UploadVersie)</f>
        <v/>
      </c>
      <c r="G1144" s="92" t="str">
        <f>IF($AG1144="","",IF(COUNTIFS(L_Sleutel,$S1144,L_Status,"Vastgesteld")=0,0,_xlfn.MAXIFS(L_Revisie,L_Sleutel,$S1144,L_Status,"Vastgesteld")+1))</f>
        <v/>
      </c>
      <c r="H1144" s="108" t="str">
        <f>IF($AG1144="","",P_Peildatum)</f>
        <v/>
      </c>
      <c r="I1144" s="92" t="str">
        <f>IF($AG1144="","",P_RJ+INDEX($AK$8:$AK$21,INDEX($AC$8:$AC$1407,$AG1144)+1))</f>
        <v/>
      </c>
      <c r="J1144" s="92" t="str">
        <f>IF($AG1144="","",INDEX(V_WBS,INDEX($AB$8:$AB$1407,$AG1144)))</f>
        <v/>
      </c>
      <c r="K1144" s="92" t="str">
        <f>IF($AG1144="","",INDEX(V_Projdef,INDEX($AB$8:$AB$1407,$AG1144)))</f>
        <v/>
      </c>
      <c r="L1144" s="92" t="str">
        <f>IF($AG1144="","",INDEX(V_Naam,INDEX($AB$8:$AB$1407,$AG1144)))</f>
        <v/>
      </c>
      <c r="M1144" s="92" t="str">
        <f>IF($AG1144="","",INDEX(V_Type,INDEX($AB$8:$AB$1407,$AG1144)))</f>
        <v/>
      </c>
      <c r="N1144" s="92" t="str">
        <f>IF($AG1144="","",INDEX(V_IFRS,INDEX($AB$8:$AB$1407,$AG1144)))</f>
        <v/>
      </c>
      <c r="O1144" s="92" t="str">
        <f>IF($AG1144="","",INDEX($AL$8:$AL$21,INDEX($AC$8:$AC$1407,$AG1144)+1))</f>
        <v/>
      </c>
      <c r="P1144" s="109" t="str">
        <f>IF($AG1144="","",INDEX($AD$8:$AD$1407,$AG1144))</f>
        <v/>
      </c>
      <c r="Q1144" s="92" t="str">
        <f>IF($AG1144="","",INDEX($AM$8:$AM$21,INDEX($AC$8:$AC$1407,$AG1144)+1))</f>
        <v/>
      </c>
      <c r="R1144" s="92" t="str">
        <f>IF($AG1144="","",IF($G1144&gt;0,P_ToelCorrectie&amp;"",""))</f>
        <v/>
      </c>
      <c r="S1144" s="15" t="str">
        <f>IF(J1144="","",J1144&amp;"|"&amp;E1144&amp;"|"&amp;F1144&amp;"|"&amp;I1144&amp;"|"&amp;O1144)</f>
        <v/>
      </c>
      <c r="T1144" s="111" t="str">
        <f>IF(S1144="","",IF(COUNTIFS(L_Sleutel,S1144,L_Actief,1)=0,"",SUMIFS(L_Waarde,L_Sleutel,S1144,L_Actief,1)))</f>
        <v/>
      </c>
      <c r="U1144" s="111">
        <f>IF(OR(S1144="",T1144=""),0,P1144-T1144)</f>
        <v>0</v>
      </c>
      <c r="AB1144" s="112" t="n">
        <v>82</v>
      </c>
      <c r="AC1144" s="112" t="n">
        <v>2</v>
      </c>
      <c r="AD1144" s="112" t="str">
        <f>VERW_Project!L87</f>
        <v/>
      </c>
      <c r="AE1144" s="112">
        <f>IF(AND(VERW_Project!$A87&lt;&gt;"",ISNUMBER(AD1144)),1,0)</f>
        <v>0</v>
      </c>
      <c r="AF1144" s="112" t="str">
        <f>IF(AE1144=1,SUM($AE$8:AE1144),"")</f>
        <v/>
      </c>
      <c r="AG1144" t="str">
        <f>IFERROR(MATCH(1137,$AF$8:$AF$1407,0),"")</f>
        <v/>
      </c>
    </row>
    <row r="1145">
      <c r="A1145" s="92" t="str">
        <f>IF($AG1145="","",P_ImportID)</f>
        <v/>
      </c>
      <c r="B1145" s="92" t="str">
        <f>IF($AG1145="","",IF(INDEX($AN$8:$AN$21,INDEX($AC$8:$AC$1407,$AG1145)+1)="Z",P_BronZ,P_BronE))</f>
        <v/>
      </c>
      <c r="C1145" s="108" t="str">
        <f>IF($AG1145="","",P_Importdatum)</f>
        <v/>
      </c>
      <c r="D1145" s="92" t="str">
        <f>IF($AG1145="","",P_StatusVastleg)</f>
        <v/>
      </c>
      <c r="E1145" s="92" t="str">
        <f>IF($AG1145="","",P_UploadVJ)</f>
        <v/>
      </c>
      <c r="F1145" s="92" t="str">
        <f>IF($AG1145="","",P_UploadVersie)</f>
        <v/>
      </c>
      <c r="G1145" s="92" t="str">
        <f>IF($AG1145="","",IF(COUNTIFS(L_Sleutel,$S1145,L_Status,"Vastgesteld")=0,0,_xlfn.MAXIFS(L_Revisie,L_Sleutel,$S1145,L_Status,"Vastgesteld")+1))</f>
        <v/>
      </c>
      <c r="H1145" s="108" t="str">
        <f>IF($AG1145="","",P_Peildatum)</f>
        <v/>
      </c>
      <c r="I1145" s="92" t="str">
        <f>IF($AG1145="","",P_RJ+INDEX($AK$8:$AK$21,INDEX($AC$8:$AC$1407,$AG1145)+1))</f>
        <v/>
      </c>
      <c r="J1145" s="92" t="str">
        <f>IF($AG1145="","",INDEX(V_WBS,INDEX($AB$8:$AB$1407,$AG1145)))</f>
        <v/>
      </c>
      <c r="K1145" s="92" t="str">
        <f>IF($AG1145="","",INDEX(V_Projdef,INDEX($AB$8:$AB$1407,$AG1145)))</f>
        <v/>
      </c>
      <c r="L1145" s="92" t="str">
        <f>IF($AG1145="","",INDEX(V_Naam,INDEX($AB$8:$AB$1407,$AG1145)))</f>
        <v/>
      </c>
      <c r="M1145" s="92" t="str">
        <f>IF($AG1145="","",INDEX(V_Type,INDEX($AB$8:$AB$1407,$AG1145)))</f>
        <v/>
      </c>
      <c r="N1145" s="92" t="str">
        <f>IF($AG1145="","",INDEX(V_IFRS,INDEX($AB$8:$AB$1407,$AG1145)))</f>
        <v/>
      </c>
      <c r="O1145" s="92" t="str">
        <f>IF($AG1145="","",INDEX($AL$8:$AL$21,INDEX($AC$8:$AC$1407,$AG1145)+1))</f>
        <v/>
      </c>
      <c r="P1145" s="109" t="str">
        <f>IF($AG1145="","",INDEX($AD$8:$AD$1407,$AG1145))</f>
        <v/>
      </c>
      <c r="Q1145" s="92" t="str">
        <f>IF($AG1145="","",INDEX($AM$8:$AM$21,INDEX($AC$8:$AC$1407,$AG1145)+1))</f>
        <v/>
      </c>
      <c r="R1145" s="92" t="str">
        <f>IF($AG1145="","",IF($G1145&gt;0,P_ToelCorrectie&amp;"",""))</f>
        <v/>
      </c>
      <c r="S1145" s="15" t="str">
        <f>IF(J1145="","",J1145&amp;"|"&amp;E1145&amp;"|"&amp;F1145&amp;"|"&amp;I1145&amp;"|"&amp;O1145)</f>
        <v/>
      </c>
      <c r="T1145" s="111" t="str">
        <f>IF(S1145="","",IF(COUNTIFS(L_Sleutel,S1145,L_Actief,1)=0,"",SUMIFS(L_Waarde,L_Sleutel,S1145,L_Actief,1)))</f>
        <v/>
      </c>
      <c r="U1145" s="111">
        <f>IF(OR(S1145="",T1145=""),0,P1145-T1145)</f>
        <v>0</v>
      </c>
      <c r="AB1145" s="112" t="n">
        <v>82</v>
      </c>
      <c r="AC1145" s="112" t="n">
        <v>3</v>
      </c>
      <c r="AD1145" s="112" t="str">
        <f>VERW_Project!M87</f>
        <v/>
      </c>
      <c r="AE1145" s="112">
        <f>IF(AND(VERW_Project!$A87&lt;&gt;"",ISNUMBER(AD1145)),1,0)</f>
        <v>0</v>
      </c>
      <c r="AF1145" s="112" t="str">
        <f>IF(AE1145=1,SUM($AE$8:AE1145),"")</f>
        <v/>
      </c>
      <c r="AG1145" t="str">
        <f>IFERROR(MATCH(1138,$AF$8:$AF$1407,0),"")</f>
        <v/>
      </c>
    </row>
    <row r="1146">
      <c r="A1146" s="92" t="str">
        <f>IF($AG1146="","",P_ImportID)</f>
        <v/>
      </c>
      <c r="B1146" s="92" t="str">
        <f>IF($AG1146="","",IF(INDEX($AN$8:$AN$21,INDEX($AC$8:$AC$1407,$AG1146)+1)="Z",P_BronZ,P_BronE))</f>
        <v/>
      </c>
      <c r="C1146" s="108" t="str">
        <f>IF($AG1146="","",P_Importdatum)</f>
        <v/>
      </c>
      <c r="D1146" s="92" t="str">
        <f>IF($AG1146="","",P_StatusVastleg)</f>
        <v/>
      </c>
      <c r="E1146" s="92" t="str">
        <f>IF($AG1146="","",P_UploadVJ)</f>
        <v/>
      </c>
      <c r="F1146" s="92" t="str">
        <f>IF($AG1146="","",P_UploadVersie)</f>
        <v/>
      </c>
      <c r="G1146" s="92" t="str">
        <f>IF($AG1146="","",IF(COUNTIFS(L_Sleutel,$S1146,L_Status,"Vastgesteld")=0,0,_xlfn.MAXIFS(L_Revisie,L_Sleutel,$S1146,L_Status,"Vastgesteld")+1))</f>
        <v/>
      </c>
      <c r="H1146" s="108" t="str">
        <f>IF($AG1146="","",P_Peildatum)</f>
        <v/>
      </c>
      <c r="I1146" s="92" t="str">
        <f>IF($AG1146="","",P_RJ+INDEX($AK$8:$AK$21,INDEX($AC$8:$AC$1407,$AG1146)+1))</f>
        <v/>
      </c>
      <c r="J1146" s="92" t="str">
        <f>IF($AG1146="","",INDEX(V_WBS,INDEX($AB$8:$AB$1407,$AG1146)))</f>
        <v/>
      </c>
      <c r="K1146" s="92" t="str">
        <f>IF($AG1146="","",INDEX(V_Projdef,INDEX($AB$8:$AB$1407,$AG1146)))</f>
        <v/>
      </c>
      <c r="L1146" s="92" t="str">
        <f>IF($AG1146="","",INDEX(V_Naam,INDEX($AB$8:$AB$1407,$AG1146)))</f>
        <v/>
      </c>
      <c r="M1146" s="92" t="str">
        <f>IF($AG1146="","",INDEX(V_Type,INDEX($AB$8:$AB$1407,$AG1146)))</f>
        <v/>
      </c>
      <c r="N1146" s="92" t="str">
        <f>IF($AG1146="","",INDEX(V_IFRS,INDEX($AB$8:$AB$1407,$AG1146)))</f>
        <v/>
      </c>
      <c r="O1146" s="92" t="str">
        <f>IF($AG1146="","",INDEX($AL$8:$AL$21,INDEX($AC$8:$AC$1407,$AG1146)+1))</f>
        <v/>
      </c>
      <c r="P1146" s="109" t="str">
        <f>IF($AG1146="","",INDEX($AD$8:$AD$1407,$AG1146))</f>
        <v/>
      </c>
      <c r="Q1146" s="92" t="str">
        <f>IF($AG1146="","",INDEX($AM$8:$AM$21,INDEX($AC$8:$AC$1407,$AG1146)+1))</f>
        <v/>
      </c>
      <c r="R1146" s="92" t="str">
        <f>IF($AG1146="","",IF($G1146&gt;0,P_ToelCorrectie&amp;"",""))</f>
        <v/>
      </c>
      <c r="S1146" s="15" t="str">
        <f>IF(J1146="","",J1146&amp;"|"&amp;E1146&amp;"|"&amp;F1146&amp;"|"&amp;I1146&amp;"|"&amp;O1146)</f>
        <v/>
      </c>
      <c r="T1146" s="111" t="str">
        <f>IF(S1146="","",IF(COUNTIFS(L_Sleutel,S1146,L_Actief,1)=0,"",SUMIFS(L_Waarde,L_Sleutel,S1146,L_Actief,1)))</f>
        <v/>
      </c>
      <c r="U1146" s="111">
        <f>IF(OR(S1146="",T1146=""),0,P1146-T1146)</f>
        <v>0</v>
      </c>
      <c r="AB1146" s="112" t="n">
        <v>82</v>
      </c>
      <c r="AC1146" s="112" t="n">
        <v>4</v>
      </c>
      <c r="AD1146" s="112" t="str">
        <f>VERW_Project!R87</f>
        <v/>
      </c>
      <c r="AE1146" s="112">
        <f>IF(AND(VERW_Project!$A87&lt;&gt;"",ISNUMBER(AD1146)),1,0)</f>
        <v>0</v>
      </c>
      <c r="AF1146" s="112" t="str">
        <f>IF(AE1146=1,SUM($AE$8:AE1146),"")</f>
        <v/>
      </c>
      <c r="AG1146" t="str">
        <f>IFERROR(MATCH(1139,$AF$8:$AF$1407,0),"")</f>
        <v/>
      </c>
    </row>
    <row r="1147">
      <c r="A1147" s="92" t="str">
        <f>IF($AG1147="","",P_ImportID)</f>
        <v/>
      </c>
      <c r="B1147" s="92" t="str">
        <f>IF($AG1147="","",IF(INDEX($AN$8:$AN$21,INDEX($AC$8:$AC$1407,$AG1147)+1)="Z",P_BronZ,P_BronE))</f>
        <v/>
      </c>
      <c r="C1147" s="108" t="str">
        <f>IF($AG1147="","",P_Importdatum)</f>
        <v/>
      </c>
      <c r="D1147" s="92" t="str">
        <f>IF($AG1147="","",P_StatusVastleg)</f>
        <v/>
      </c>
      <c r="E1147" s="92" t="str">
        <f>IF($AG1147="","",P_UploadVJ)</f>
        <v/>
      </c>
      <c r="F1147" s="92" t="str">
        <f>IF($AG1147="","",P_UploadVersie)</f>
        <v/>
      </c>
      <c r="G1147" s="92" t="str">
        <f>IF($AG1147="","",IF(COUNTIFS(L_Sleutel,$S1147,L_Status,"Vastgesteld")=0,0,_xlfn.MAXIFS(L_Revisie,L_Sleutel,$S1147,L_Status,"Vastgesteld")+1))</f>
        <v/>
      </c>
      <c r="H1147" s="108" t="str">
        <f>IF($AG1147="","",P_Peildatum)</f>
        <v/>
      </c>
      <c r="I1147" s="92" t="str">
        <f>IF($AG1147="","",P_RJ+INDEX($AK$8:$AK$21,INDEX($AC$8:$AC$1407,$AG1147)+1))</f>
        <v/>
      </c>
      <c r="J1147" s="92" t="str">
        <f>IF($AG1147="","",INDEX(V_WBS,INDEX($AB$8:$AB$1407,$AG1147)))</f>
        <v/>
      </c>
      <c r="K1147" s="92" t="str">
        <f>IF($AG1147="","",INDEX(V_Projdef,INDEX($AB$8:$AB$1407,$AG1147)))</f>
        <v/>
      </c>
      <c r="L1147" s="92" t="str">
        <f>IF($AG1147="","",INDEX(V_Naam,INDEX($AB$8:$AB$1407,$AG1147)))</f>
        <v/>
      </c>
      <c r="M1147" s="92" t="str">
        <f>IF($AG1147="","",INDEX(V_Type,INDEX($AB$8:$AB$1407,$AG1147)))</f>
        <v/>
      </c>
      <c r="N1147" s="92" t="str">
        <f>IF($AG1147="","",INDEX(V_IFRS,INDEX($AB$8:$AB$1407,$AG1147)))</f>
        <v/>
      </c>
      <c r="O1147" s="92" t="str">
        <f>IF($AG1147="","",INDEX($AL$8:$AL$21,INDEX($AC$8:$AC$1407,$AG1147)+1))</f>
        <v/>
      </c>
      <c r="P1147" s="109" t="str">
        <f>IF($AG1147="","",INDEX($AD$8:$AD$1407,$AG1147))</f>
        <v/>
      </c>
      <c r="Q1147" s="92" t="str">
        <f>IF($AG1147="","",INDEX($AM$8:$AM$21,INDEX($AC$8:$AC$1407,$AG1147)+1))</f>
        <v/>
      </c>
      <c r="R1147" s="92" t="str">
        <f>IF($AG1147="","",IF($G1147&gt;0,P_ToelCorrectie&amp;"",""))</f>
        <v/>
      </c>
      <c r="S1147" s="15" t="str">
        <f>IF(J1147="","",J1147&amp;"|"&amp;E1147&amp;"|"&amp;F1147&amp;"|"&amp;I1147&amp;"|"&amp;O1147)</f>
        <v/>
      </c>
      <c r="T1147" s="111" t="str">
        <f>IF(S1147="","",IF(COUNTIFS(L_Sleutel,S1147,L_Actief,1)=0,"",SUMIFS(L_Waarde,L_Sleutel,S1147,L_Actief,1)))</f>
        <v/>
      </c>
      <c r="U1147" s="111">
        <f>IF(OR(S1147="",T1147=""),0,P1147-T1147)</f>
        <v>0</v>
      </c>
      <c r="AB1147" s="112" t="n">
        <v>82</v>
      </c>
      <c r="AC1147" s="112" t="n">
        <v>5</v>
      </c>
      <c r="AD1147" s="112" t="str">
        <f>VERW_Project!S87</f>
        <v/>
      </c>
      <c r="AE1147" s="112">
        <f>IF(AND(VERW_Project!$A87&lt;&gt;"",ISNUMBER(AD1147)),1,0)</f>
        <v>0</v>
      </c>
      <c r="AF1147" s="112" t="str">
        <f>IF(AE1147=1,SUM($AE$8:AE1147),"")</f>
        <v/>
      </c>
      <c r="AG1147" t="str">
        <f>IFERROR(MATCH(1140,$AF$8:$AF$1407,0),"")</f>
        <v/>
      </c>
    </row>
    <row r="1148">
      <c r="A1148" s="92" t="str">
        <f>IF($AG1148="","",P_ImportID)</f>
        <v/>
      </c>
      <c r="B1148" s="92" t="str">
        <f>IF($AG1148="","",IF(INDEX($AN$8:$AN$21,INDEX($AC$8:$AC$1407,$AG1148)+1)="Z",P_BronZ,P_BronE))</f>
        <v/>
      </c>
      <c r="C1148" s="108" t="str">
        <f>IF($AG1148="","",P_Importdatum)</f>
        <v/>
      </c>
      <c r="D1148" s="92" t="str">
        <f>IF($AG1148="","",P_StatusVastleg)</f>
        <v/>
      </c>
      <c r="E1148" s="92" t="str">
        <f>IF($AG1148="","",P_UploadVJ)</f>
        <v/>
      </c>
      <c r="F1148" s="92" t="str">
        <f>IF($AG1148="","",P_UploadVersie)</f>
        <v/>
      </c>
      <c r="G1148" s="92" t="str">
        <f>IF($AG1148="","",IF(COUNTIFS(L_Sleutel,$S1148,L_Status,"Vastgesteld")=0,0,_xlfn.MAXIFS(L_Revisie,L_Sleutel,$S1148,L_Status,"Vastgesteld")+1))</f>
        <v/>
      </c>
      <c r="H1148" s="108" t="str">
        <f>IF($AG1148="","",P_Peildatum)</f>
        <v/>
      </c>
      <c r="I1148" s="92" t="str">
        <f>IF($AG1148="","",P_RJ+INDEX($AK$8:$AK$21,INDEX($AC$8:$AC$1407,$AG1148)+1))</f>
        <v/>
      </c>
      <c r="J1148" s="92" t="str">
        <f>IF($AG1148="","",INDEX(V_WBS,INDEX($AB$8:$AB$1407,$AG1148)))</f>
        <v/>
      </c>
      <c r="K1148" s="92" t="str">
        <f>IF($AG1148="","",INDEX(V_Projdef,INDEX($AB$8:$AB$1407,$AG1148)))</f>
        <v/>
      </c>
      <c r="L1148" s="92" t="str">
        <f>IF($AG1148="","",INDEX(V_Naam,INDEX($AB$8:$AB$1407,$AG1148)))</f>
        <v/>
      </c>
      <c r="M1148" s="92" t="str">
        <f>IF($AG1148="","",INDEX(V_Type,INDEX($AB$8:$AB$1407,$AG1148)))</f>
        <v/>
      </c>
      <c r="N1148" s="92" t="str">
        <f>IF($AG1148="","",INDEX(V_IFRS,INDEX($AB$8:$AB$1407,$AG1148)))</f>
        <v/>
      </c>
      <c r="O1148" s="92" t="str">
        <f>IF($AG1148="","",INDEX($AL$8:$AL$21,INDEX($AC$8:$AC$1407,$AG1148)+1))</f>
        <v/>
      </c>
      <c r="P1148" s="109" t="str">
        <f>IF($AG1148="","",INDEX($AD$8:$AD$1407,$AG1148))</f>
        <v/>
      </c>
      <c r="Q1148" s="92" t="str">
        <f>IF($AG1148="","",INDEX($AM$8:$AM$21,INDEX($AC$8:$AC$1407,$AG1148)+1))</f>
        <v/>
      </c>
      <c r="R1148" s="92" t="str">
        <f>IF($AG1148="","",IF($G1148&gt;0,P_ToelCorrectie&amp;"",""))</f>
        <v/>
      </c>
      <c r="S1148" s="15" t="str">
        <f>IF(J1148="","",J1148&amp;"|"&amp;E1148&amp;"|"&amp;F1148&amp;"|"&amp;I1148&amp;"|"&amp;O1148)</f>
        <v/>
      </c>
      <c r="T1148" s="111" t="str">
        <f>IF(S1148="","",IF(COUNTIFS(L_Sleutel,S1148,L_Actief,1)=0,"",SUMIFS(L_Waarde,L_Sleutel,S1148,L_Actief,1)))</f>
        <v/>
      </c>
      <c r="U1148" s="111">
        <f>IF(OR(S1148="",T1148=""),0,P1148-T1148)</f>
        <v>0</v>
      </c>
      <c r="AB1148" s="112" t="n">
        <v>82</v>
      </c>
      <c r="AC1148" s="112" t="n">
        <v>6</v>
      </c>
      <c r="AD1148" s="112" t="str">
        <f>VERW_Project!BW87</f>
        <v/>
      </c>
      <c r="AE1148" s="112">
        <f>IF(AND(VERW_Project!$A87&lt;&gt;"",ISNUMBER(AD1148)),1,0)</f>
        <v>0</v>
      </c>
      <c r="AF1148" s="112" t="str">
        <f>IF(AE1148=1,SUM($AE$8:AE1148),"")</f>
        <v/>
      </c>
      <c r="AG1148" t="str">
        <f>IFERROR(MATCH(1141,$AF$8:$AF$1407,0),"")</f>
        <v/>
      </c>
    </row>
    <row r="1149">
      <c r="A1149" s="92" t="str">
        <f>IF($AG1149="","",P_ImportID)</f>
        <v/>
      </c>
      <c r="B1149" s="92" t="str">
        <f>IF($AG1149="","",IF(INDEX($AN$8:$AN$21,INDEX($AC$8:$AC$1407,$AG1149)+1)="Z",P_BronZ,P_BronE))</f>
        <v/>
      </c>
      <c r="C1149" s="108" t="str">
        <f>IF($AG1149="","",P_Importdatum)</f>
        <v/>
      </c>
      <c r="D1149" s="92" t="str">
        <f>IF($AG1149="","",P_StatusVastleg)</f>
        <v/>
      </c>
      <c r="E1149" s="92" t="str">
        <f>IF($AG1149="","",P_UploadVJ)</f>
        <v/>
      </c>
      <c r="F1149" s="92" t="str">
        <f>IF($AG1149="","",P_UploadVersie)</f>
        <v/>
      </c>
      <c r="G1149" s="92" t="str">
        <f>IF($AG1149="","",IF(COUNTIFS(L_Sleutel,$S1149,L_Status,"Vastgesteld")=0,0,_xlfn.MAXIFS(L_Revisie,L_Sleutel,$S1149,L_Status,"Vastgesteld")+1))</f>
        <v/>
      </c>
      <c r="H1149" s="108" t="str">
        <f>IF($AG1149="","",P_Peildatum)</f>
        <v/>
      </c>
      <c r="I1149" s="92" t="str">
        <f>IF($AG1149="","",P_RJ+INDEX($AK$8:$AK$21,INDEX($AC$8:$AC$1407,$AG1149)+1))</f>
        <v/>
      </c>
      <c r="J1149" s="92" t="str">
        <f>IF($AG1149="","",INDEX(V_WBS,INDEX($AB$8:$AB$1407,$AG1149)))</f>
        <v/>
      </c>
      <c r="K1149" s="92" t="str">
        <f>IF($AG1149="","",INDEX(V_Projdef,INDEX($AB$8:$AB$1407,$AG1149)))</f>
        <v/>
      </c>
      <c r="L1149" s="92" t="str">
        <f>IF($AG1149="","",INDEX(V_Naam,INDEX($AB$8:$AB$1407,$AG1149)))</f>
        <v/>
      </c>
      <c r="M1149" s="92" t="str">
        <f>IF($AG1149="","",INDEX(V_Type,INDEX($AB$8:$AB$1407,$AG1149)))</f>
        <v/>
      </c>
      <c r="N1149" s="92" t="str">
        <f>IF($AG1149="","",INDEX(V_IFRS,INDEX($AB$8:$AB$1407,$AG1149)))</f>
        <v/>
      </c>
      <c r="O1149" s="92" t="str">
        <f>IF($AG1149="","",INDEX($AL$8:$AL$21,INDEX($AC$8:$AC$1407,$AG1149)+1))</f>
        <v/>
      </c>
      <c r="P1149" s="109" t="str">
        <f>IF($AG1149="","",INDEX($AD$8:$AD$1407,$AG1149))</f>
        <v/>
      </c>
      <c r="Q1149" s="92" t="str">
        <f>IF($AG1149="","",INDEX($AM$8:$AM$21,INDEX($AC$8:$AC$1407,$AG1149)+1))</f>
        <v/>
      </c>
      <c r="R1149" s="92" t="str">
        <f>IF($AG1149="","",IF($G1149&gt;0,P_ToelCorrectie&amp;"",""))</f>
        <v/>
      </c>
      <c r="S1149" s="15" t="str">
        <f>IF(J1149="","",J1149&amp;"|"&amp;E1149&amp;"|"&amp;F1149&amp;"|"&amp;I1149&amp;"|"&amp;O1149)</f>
        <v/>
      </c>
      <c r="T1149" s="111" t="str">
        <f>IF(S1149="","",IF(COUNTIFS(L_Sleutel,S1149,L_Actief,1)=0,"",SUMIFS(L_Waarde,L_Sleutel,S1149,L_Actief,1)))</f>
        <v/>
      </c>
      <c r="U1149" s="111">
        <f>IF(OR(S1149="",T1149=""),0,P1149-T1149)</f>
        <v>0</v>
      </c>
      <c r="AB1149" s="112" t="n">
        <v>82</v>
      </c>
      <c r="AC1149" s="112" t="n">
        <v>7</v>
      </c>
      <c r="AD1149" s="112" t="str">
        <f>VERW_Project!AW87</f>
        <v/>
      </c>
      <c r="AE1149" s="112">
        <f>IF(AND(VERW_Project!$A87&lt;&gt;"",ISNUMBER(AD1149)),1,0)</f>
        <v>0</v>
      </c>
      <c r="AF1149" s="112" t="str">
        <f>IF(AE1149=1,SUM($AE$8:AE1149),"")</f>
        <v/>
      </c>
      <c r="AG1149" t="str">
        <f>IFERROR(MATCH(1142,$AF$8:$AF$1407,0),"")</f>
        <v/>
      </c>
    </row>
    <row r="1150">
      <c r="A1150" s="92" t="str">
        <f>IF($AG1150="","",P_ImportID)</f>
        <v/>
      </c>
      <c r="B1150" s="92" t="str">
        <f>IF($AG1150="","",IF(INDEX($AN$8:$AN$21,INDEX($AC$8:$AC$1407,$AG1150)+1)="Z",P_BronZ,P_BronE))</f>
        <v/>
      </c>
      <c r="C1150" s="108" t="str">
        <f>IF($AG1150="","",P_Importdatum)</f>
        <v/>
      </c>
      <c r="D1150" s="92" t="str">
        <f>IF($AG1150="","",P_StatusVastleg)</f>
        <v/>
      </c>
      <c r="E1150" s="92" t="str">
        <f>IF($AG1150="","",P_UploadVJ)</f>
        <v/>
      </c>
      <c r="F1150" s="92" t="str">
        <f>IF($AG1150="","",P_UploadVersie)</f>
        <v/>
      </c>
      <c r="G1150" s="92" t="str">
        <f>IF($AG1150="","",IF(COUNTIFS(L_Sleutel,$S1150,L_Status,"Vastgesteld")=0,0,_xlfn.MAXIFS(L_Revisie,L_Sleutel,$S1150,L_Status,"Vastgesteld")+1))</f>
        <v/>
      </c>
      <c r="H1150" s="108" t="str">
        <f>IF($AG1150="","",P_Peildatum)</f>
        <v/>
      </c>
      <c r="I1150" s="92" t="str">
        <f>IF($AG1150="","",P_RJ+INDEX($AK$8:$AK$21,INDEX($AC$8:$AC$1407,$AG1150)+1))</f>
        <v/>
      </c>
      <c r="J1150" s="92" t="str">
        <f>IF($AG1150="","",INDEX(V_WBS,INDEX($AB$8:$AB$1407,$AG1150)))</f>
        <v/>
      </c>
      <c r="K1150" s="92" t="str">
        <f>IF($AG1150="","",INDEX(V_Projdef,INDEX($AB$8:$AB$1407,$AG1150)))</f>
        <v/>
      </c>
      <c r="L1150" s="92" t="str">
        <f>IF($AG1150="","",INDEX(V_Naam,INDEX($AB$8:$AB$1407,$AG1150)))</f>
        <v/>
      </c>
      <c r="M1150" s="92" t="str">
        <f>IF($AG1150="","",INDEX(V_Type,INDEX($AB$8:$AB$1407,$AG1150)))</f>
        <v/>
      </c>
      <c r="N1150" s="92" t="str">
        <f>IF($AG1150="","",INDEX(V_IFRS,INDEX($AB$8:$AB$1407,$AG1150)))</f>
        <v/>
      </c>
      <c r="O1150" s="92" t="str">
        <f>IF($AG1150="","",INDEX($AL$8:$AL$21,INDEX($AC$8:$AC$1407,$AG1150)+1))</f>
        <v/>
      </c>
      <c r="P1150" s="109" t="str">
        <f>IF($AG1150="","",INDEX($AD$8:$AD$1407,$AG1150))</f>
        <v/>
      </c>
      <c r="Q1150" s="92" t="str">
        <f>IF($AG1150="","",INDEX($AM$8:$AM$21,INDEX($AC$8:$AC$1407,$AG1150)+1))</f>
        <v/>
      </c>
      <c r="R1150" s="92" t="str">
        <f>IF($AG1150="","",IF($G1150&gt;0,P_ToelCorrectie&amp;"",""))</f>
        <v/>
      </c>
      <c r="S1150" s="15" t="str">
        <f>IF(J1150="","",J1150&amp;"|"&amp;E1150&amp;"|"&amp;F1150&amp;"|"&amp;I1150&amp;"|"&amp;O1150)</f>
        <v/>
      </c>
      <c r="T1150" s="111" t="str">
        <f>IF(S1150="","",IF(COUNTIFS(L_Sleutel,S1150,L_Actief,1)=0,"",SUMIFS(L_Waarde,L_Sleutel,S1150,L_Actief,1)))</f>
        <v/>
      </c>
      <c r="U1150" s="111">
        <f>IF(OR(S1150="",T1150=""),0,P1150-T1150)</f>
        <v>0</v>
      </c>
      <c r="AB1150" s="112" t="n">
        <v>82</v>
      </c>
      <c r="AC1150" s="112" t="n">
        <v>8</v>
      </c>
      <c r="AD1150" s="112" t="str">
        <f>VERW_Project!BQ87</f>
        <v/>
      </c>
      <c r="AE1150" s="112">
        <f>IF(AND(VERW_Project!$A87&lt;&gt;"",ISNUMBER(AD1150)),1,0)</f>
        <v>0</v>
      </c>
      <c r="AF1150" s="112" t="str">
        <f>IF(AE1150=1,SUM($AE$8:AE1150),"")</f>
        <v/>
      </c>
      <c r="AG1150" t="str">
        <f>IFERROR(MATCH(1143,$AF$8:$AF$1407,0),"")</f>
        <v/>
      </c>
    </row>
    <row r="1151">
      <c r="A1151" s="92" t="str">
        <f>IF($AG1151="","",P_ImportID)</f>
        <v/>
      </c>
      <c r="B1151" s="92" t="str">
        <f>IF($AG1151="","",IF(INDEX($AN$8:$AN$21,INDEX($AC$8:$AC$1407,$AG1151)+1)="Z",P_BronZ,P_BronE))</f>
        <v/>
      </c>
      <c r="C1151" s="108" t="str">
        <f>IF($AG1151="","",P_Importdatum)</f>
        <v/>
      </c>
      <c r="D1151" s="92" t="str">
        <f>IF($AG1151="","",P_StatusVastleg)</f>
        <v/>
      </c>
      <c r="E1151" s="92" t="str">
        <f>IF($AG1151="","",P_UploadVJ)</f>
        <v/>
      </c>
      <c r="F1151" s="92" t="str">
        <f>IF($AG1151="","",P_UploadVersie)</f>
        <v/>
      </c>
      <c r="G1151" s="92" t="str">
        <f>IF($AG1151="","",IF(COUNTIFS(L_Sleutel,$S1151,L_Status,"Vastgesteld")=0,0,_xlfn.MAXIFS(L_Revisie,L_Sleutel,$S1151,L_Status,"Vastgesteld")+1))</f>
        <v/>
      </c>
      <c r="H1151" s="108" t="str">
        <f>IF($AG1151="","",P_Peildatum)</f>
        <v/>
      </c>
      <c r="I1151" s="92" t="str">
        <f>IF($AG1151="","",P_RJ+INDEX($AK$8:$AK$21,INDEX($AC$8:$AC$1407,$AG1151)+1))</f>
        <v/>
      </c>
      <c r="J1151" s="92" t="str">
        <f>IF($AG1151="","",INDEX(V_WBS,INDEX($AB$8:$AB$1407,$AG1151)))</f>
        <v/>
      </c>
      <c r="K1151" s="92" t="str">
        <f>IF($AG1151="","",INDEX(V_Projdef,INDEX($AB$8:$AB$1407,$AG1151)))</f>
        <v/>
      </c>
      <c r="L1151" s="92" t="str">
        <f>IF($AG1151="","",INDEX(V_Naam,INDEX($AB$8:$AB$1407,$AG1151)))</f>
        <v/>
      </c>
      <c r="M1151" s="92" t="str">
        <f>IF($AG1151="","",INDEX(V_Type,INDEX($AB$8:$AB$1407,$AG1151)))</f>
        <v/>
      </c>
      <c r="N1151" s="92" t="str">
        <f>IF($AG1151="","",INDEX(V_IFRS,INDEX($AB$8:$AB$1407,$AG1151)))</f>
        <v/>
      </c>
      <c r="O1151" s="92" t="str">
        <f>IF($AG1151="","",INDEX($AL$8:$AL$21,INDEX($AC$8:$AC$1407,$AG1151)+1))</f>
        <v/>
      </c>
      <c r="P1151" s="109" t="str">
        <f>IF($AG1151="","",INDEX($AD$8:$AD$1407,$AG1151))</f>
        <v/>
      </c>
      <c r="Q1151" s="92" t="str">
        <f>IF($AG1151="","",INDEX($AM$8:$AM$21,INDEX($AC$8:$AC$1407,$AG1151)+1))</f>
        <v/>
      </c>
      <c r="R1151" s="92" t="str">
        <f>IF($AG1151="","",IF($G1151&gt;0,P_ToelCorrectie&amp;"",""))</f>
        <v/>
      </c>
      <c r="S1151" s="15" t="str">
        <f>IF(J1151="","",J1151&amp;"|"&amp;E1151&amp;"|"&amp;F1151&amp;"|"&amp;I1151&amp;"|"&amp;O1151)</f>
        <v/>
      </c>
      <c r="T1151" s="111" t="str">
        <f>IF(S1151="","",IF(COUNTIFS(L_Sleutel,S1151,L_Actief,1)=0,"",SUMIFS(L_Waarde,L_Sleutel,S1151,L_Actief,1)))</f>
        <v/>
      </c>
      <c r="U1151" s="111">
        <f>IF(OR(S1151="",T1151=""),0,P1151-T1151)</f>
        <v>0</v>
      </c>
      <c r="AB1151" s="112" t="n">
        <v>82</v>
      </c>
      <c r="AC1151" s="112" t="n">
        <v>9</v>
      </c>
      <c r="AD1151" s="112" t="str">
        <f>VERW_Project!BR87</f>
        <v/>
      </c>
      <c r="AE1151" s="112">
        <f>IF(AND(VERW_Project!$A87&lt;&gt;"",ISNUMBER(AD1151)),1,0)</f>
        <v>0</v>
      </c>
      <c r="AF1151" s="112" t="str">
        <f>IF(AE1151=1,SUM($AE$8:AE1151),"")</f>
        <v/>
      </c>
      <c r="AG1151" t="str">
        <f>IFERROR(MATCH(1144,$AF$8:$AF$1407,0),"")</f>
        <v/>
      </c>
    </row>
    <row r="1152">
      <c r="A1152" s="92" t="str">
        <f>IF($AG1152="","",P_ImportID)</f>
        <v/>
      </c>
      <c r="B1152" s="92" t="str">
        <f>IF($AG1152="","",IF(INDEX($AN$8:$AN$21,INDEX($AC$8:$AC$1407,$AG1152)+1)="Z",P_BronZ,P_BronE))</f>
        <v/>
      </c>
      <c r="C1152" s="108" t="str">
        <f>IF($AG1152="","",P_Importdatum)</f>
        <v/>
      </c>
      <c r="D1152" s="92" t="str">
        <f>IF($AG1152="","",P_StatusVastleg)</f>
        <v/>
      </c>
      <c r="E1152" s="92" t="str">
        <f>IF($AG1152="","",P_UploadVJ)</f>
        <v/>
      </c>
      <c r="F1152" s="92" t="str">
        <f>IF($AG1152="","",P_UploadVersie)</f>
        <v/>
      </c>
      <c r="G1152" s="92" t="str">
        <f>IF($AG1152="","",IF(COUNTIFS(L_Sleutel,$S1152,L_Status,"Vastgesteld")=0,0,_xlfn.MAXIFS(L_Revisie,L_Sleutel,$S1152,L_Status,"Vastgesteld")+1))</f>
        <v/>
      </c>
      <c r="H1152" s="108" t="str">
        <f>IF($AG1152="","",P_Peildatum)</f>
        <v/>
      </c>
      <c r="I1152" s="92" t="str">
        <f>IF($AG1152="","",P_RJ+INDEX($AK$8:$AK$21,INDEX($AC$8:$AC$1407,$AG1152)+1))</f>
        <v/>
      </c>
      <c r="J1152" s="92" t="str">
        <f>IF($AG1152="","",INDEX(V_WBS,INDEX($AB$8:$AB$1407,$AG1152)))</f>
        <v/>
      </c>
      <c r="K1152" s="92" t="str">
        <f>IF($AG1152="","",INDEX(V_Projdef,INDEX($AB$8:$AB$1407,$AG1152)))</f>
        <v/>
      </c>
      <c r="L1152" s="92" t="str">
        <f>IF($AG1152="","",INDEX(V_Naam,INDEX($AB$8:$AB$1407,$AG1152)))</f>
        <v/>
      </c>
      <c r="M1152" s="92" t="str">
        <f>IF($AG1152="","",INDEX(V_Type,INDEX($AB$8:$AB$1407,$AG1152)))</f>
        <v/>
      </c>
      <c r="N1152" s="92" t="str">
        <f>IF($AG1152="","",INDEX(V_IFRS,INDEX($AB$8:$AB$1407,$AG1152)))</f>
        <v/>
      </c>
      <c r="O1152" s="92" t="str">
        <f>IF($AG1152="","",INDEX($AL$8:$AL$21,INDEX($AC$8:$AC$1407,$AG1152)+1))</f>
        <v/>
      </c>
      <c r="P1152" s="109" t="str">
        <f>IF($AG1152="","",INDEX($AD$8:$AD$1407,$AG1152))</f>
        <v/>
      </c>
      <c r="Q1152" s="92" t="str">
        <f>IF($AG1152="","",INDEX($AM$8:$AM$21,INDEX($AC$8:$AC$1407,$AG1152)+1))</f>
        <v/>
      </c>
      <c r="R1152" s="92" t="str">
        <f>IF($AG1152="","",IF($G1152&gt;0,P_ToelCorrectie&amp;"",""))</f>
        <v/>
      </c>
      <c r="S1152" s="15" t="str">
        <f>IF(J1152="","",J1152&amp;"|"&amp;E1152&amp;"|"&amp;F1152&amp;"|"&amp;I1152&amp;"|"&amp;O1152)</f>
        <v/>
      </c>
      <c r="T1152" s="111" t="str">
        <f>IF(S1152="","",IF(COUNTIFS(L_Sleutel,S1152,L_Actief,1)=0,"",SUMIFS(L_Waarde,L_Sleutel,S1152,L_Actief,1)))</f>
        <v/>
      </c>
      <c r="U1152" s="111">
        <f>IF(OR(S1152="",T1152=""),0,P1152-T1152)</f>
        <v>0</v>
      </c>
      <c r="AB1152" s="112" t="n">
        <v>82</v>
      </c>
      <c r="AC1152" s="112" t="n">
        <v>10</v>
      </c>
      <c r="AD1152" s="112" t="str">
        <f>VERW_Project!BS87</f>
        <v/>
      </c>
      <c r="AE1152" s="112">
        <f>IF(AND(VERW_Project!$A87&lt;&gt;"",ISNUMBER(AD1152)),1,0)</f>
        <v>0</v>
      </c>
      <c r="AF1152" s="112" t="str">
        <f>IF(AE1152=1,SUM($AE$8:AE1152),"")</f>
        <v/>
      </c>
      <c r="AG1152" t="str">
        <f>IFERROR(MATCH(1145,$AF$8:$AF$1407,0),"")</f>
        <v/>
      </c>
    </row>
    <row r="1153">
      <c r="A1153" s="92" t="str">
        <f>IF($AG1153="","",P_ImportID)</f>
        <v/>
      </c>
      <c r="B1153" s="92" t="str">
        <f>IF($AG1153="","",IF(INDEX($AN$8:$AN$21,INDEX($AC$8:$AC$1407,$AG1153)+1)="Z",P_BronZ,P_BronE))</f>
        <v/>
      </c>
      <c r="C1153" s="108" t="str">
        <f>IF($AG1153="","",P_Importdatum)</f>
        <v/>
      </c>
      <c r="D1153" s="92" t="str">
        <f>IF($AG1153="","",P_StatusVastleg)</f>
        <v/>
      </c>
      <c r="E1153" s="92" t="str">
        <f>IF($AG1153="","",P_UploadVJ)</f>
        <v/>
      </c>
      <c r="F1153" s="92" t="str">
        <f>IF($AG1153="","",P_UploadVersie)</f>
        <v/>
      </c>
      <c r="G1153" s="92" t="str">
        <f>IF($AG1153="","",IF(COUNTIFS(L_Sleutel,$S1153,L_Status,"Vastgesteld")=0,0,_xlfn.MAXIFS(L_Revisie,L_Sleutel,$S1153,L_Status,"Vastgesteld")+1))</f>
        <v/>
      </c>
      <c r="H1153" s="108" t="str">
        <f>IF($AG1153="","",P_Peildatum)</f>
        <v/>
      </c>
      <c r="I1153" s="92" t="str">
        <f>IF($AG1153="","",P_RJ+INDEX($AK$8:$AK$21,INDEX($AC$8:$AC$1407,$AG1153)+1))</f>
        <v/>
      </c>
      <c r="J1153" s="92" t="str">
        <f>IF($AG1153="","",INDEX(V_WBS,INDEX($AB$8:$AB$1407,$AG1153)))</f>
        <v/>
      </c>
      <c r="K1153" s="92" t="str">
        <f>IF($AG1153="","",INDEX(V_Projdef,INDEX($AB$8:$AB$1407,$AG1153)))</f>
        <v/>
      </c>
      <c r="L1153" s="92" t="str">
        <f>IF($AG1153="","",INDEX(V_Naam,INDEX($AB$8:$AB$1407,$AG1153)))</f>
        <v/>
      </c>
      <c r="M1153" s="92" t="str">
        <f>IF($AG1153="","",INDEX(V_Type,INDEX($AB$8:$AB$1407,$AG1153)))</f>
        <v/>
      </c>
      <c r="N1153" s="92" t="str">
        <f>IF($AG1153="","",INDEX(V_IFRS,INDEX($AB$8:$AB$1407,$AG1153)))</f>
        <v/>
      </c>
      <c r="O1153" s="92" t="str">
        <f>IF($AG1153="","",INDEX($AL$8:$AL$21,INDEX($AC$8:$AC$1407,$AG1153)+1))</f>
        <v/>
      </c>
      <c r="P1153" s="109" t="str">
        <f>IF($AG1153="","",INDEX($AD$8:$AD$1407,$AG1153))</f>
        <v/>
      </c>
      <c r="Q1153" s="92" t="str">
        <f>IF($AG1153="","",INDEX($AM$8:$AM$21,INDEX($AC$8:$AC$1407,$AG1153)+1))</f>
        <v/>
      </c>
      <c r="R1153" s="92" t="str">
        <f>IF($AG1153="","",IF($G1153&gt;0,P_ToelCorrectie&amp;"",""))</f>
        <v/>
      </c>
      <c r="S1153" s="15" t="str">
        <f>IF(J1153="","",J1153&amp;"|"&amp;E1153&amp;"|"&amp;F1153&amp;"|"&amp;I1153&amp;"|"&amp;O1153)</f>
        <v/>
      </c>
      <c r="T1153" s="111" t="str">
        <f>IF(S1153="","",IF(COUNTIFS(L_Sleutel,S1153,L_Actief,1)=0,"",SUMIFS(L_Waarde,L_Sleutel,S1153,L_Actief,1)))</f>
        <v/>
      </c>
      <c r="U1153" s="111">
        <f>IF(OR(S1153="",T1153=""),0,P1153-T1153)</f>
        <v>0</v>
      </c>
      <c r="AB1153" s="112" t="n">
        <v>82</v>
      </c>
      <c r="AC1153" s="112" t="n">
        <v>11</v>
      </c>
      <c r="AD1153" s="112" t="str">
        <f>VERW_Project!BT87</f>
        <v/>
      </c>
      <c r="AE1153" s="112">
        <f>IF(AND(VERW_Project!$A87&lt;&gt;"",ISNUMBER(AD1153)),1,0)</f>
        <v>0</v>
      </c>
      <c r="AF1153" s="112" t="str">
        <f>IF(AE1153=1,SUM($AE$8:AE1153),"")</f>
        <v/>
      </c>
      <c r="AG1153" t="str">
        <f>IFERROR(MATCH(1146,$AF$8:$AF$1407,0),"")</f>
        <v/>
      </c>
    </row>
    <row r="1154">
      <c r="A1154" s="92" t="str">
        <f>IF($AG1154="","",P_ImportID)</f>
        <v/>
      </c>
      <c r="B1154" s="92" t="str">
        <f>IF($AG1154="","",IF(INDEX($AN$8:$AN$21,INDEX($AC$8:$AC$1407,$AG1154)+1)="Z",P_BronZ,P_BronE))</f>
        <v/>
      </c>
      <c r="C1154" s="108" t="str">
        <f>IF($AG1154="","",P_Importdatum)</f>
        <v/>
      </c>
      <c r="D1154" s="92" t="str">
        <f>IF($AG1154="","",P_StatusVastleg)</f>
        <v/>
      </c>
      <c r="E1154" s="92" t="str">
        <f>IF($AG1154="","",P_UploadVJ)</f>
        <v/>
      </c>
      <c r="F1154" s="92" t="str">
        <f>IF($AG1154="","",P_UploadVersie)</f>
        <v/>
      </c>
      <c r="G1154" s="92" t="str">
        <f>IF($AG1154="","",IF(COUNTIFS(L_Sleutel,$S1154,L_Status,"Vastgesteld")=0,0,_xlfn.MAXIFS(L_Revisie,L_Sleutel,$S1154,L_Status,"Vastgesteld")+1))</f>
        <v/>
      </c>
      <c r="H1154" s="108" t="str">
        <f>IF($AG1154="","",P_Peildatum)</f>
        <v/>
      </c>
      <c r="I1154" s="92" t="str">
        <f>IF($AG1154="","",P_RJ+INDEX($AK$8:$AK$21,INDEX($AC$8:$AC$1407,$AG1154)+1))</f>
        <v/>
      </c>
      <c r="J1154" s="92" t="str">
        <f>IF($AG1154="","",INDEX(V_WBS,INDEX($AB$8:$AB$1407,$AG1154)))</f>
        <v/>
      </c>
      <c r="K1154" s="92" t="str">
        <f>IF($AG1154="","",INDEX(V_Projdef,INDEX($AB$8:$AB$1407,$AG1154)))</f>
        <v/>
      </c>
      <c r="L1154" s="92" t="str">
        <f>IF($AG1154="","",INDEX(V_Naam,INDEX($AB$8:$AB$1407,$AG1154)))</f>
        <v/>
      </c>
      <c r="M1154" s="92" t="str">
        <f>IF($AG1154="","",INDEX(V_Type,INDEX($AB$8:$AB$1407,$AG1154)))</f>
        <v/>
      </c>
      <c r="N1154" s="92" t="str">
        <f>IF($AG1154="","",INDEX(V_IFRS,INDEX($AB$8:$AB$1407,$AG1154)))</f>
        <v/>
      </c>
      <c r="O1154" s="92" t="str">
        <f>IF($AG1154="","",INDEX($AL$8:$AL$21,INDEX($AC$8:$AC$1407,$AG1154)+1))</f>
        <v/>
      </c>
      <c r="P1154" s="109" t="str">
        <f>IF($AG1154="","",INDEX($AD$8:$AD$1407,$AG1154))</f>
        <v/>
      </c>
      <c r="Q1154" s="92" t="str">
        <f>IF($AG1154="","",INDEX($AM$8:$AM$21,INDEX($AC$8:$AC$1407,$AG1154)+1))</f>
        <v/>
      </c>
      <c r="R1154" s="92" t="str">
        <f>IF($AG1154="","",IF($G1154&gt;0,P_ToelCorrectie&amp;"",""))</f>
        <v/>
      </c>
      <c r="S1154" s="15" t="str">
        <f>IF(J1154="","",J1154&amp;"|"&amp;E1154&amp;"|"&amp;F1154&amp;"|"&amp;I1154&amp;"|"&amp;O1154)</f>
        <v/>
      </c>
      <c r="T1154" s="111" t="str">
        <f>IF(S1154="","",IF(COUNTIFS(L_Sleutel,S1154,L_Actief,1)=0,"",SUMIFS(L_Waarde,L_Sleutel,S1154,L_Actief,1)))</f>
        <v/>
      </c>
      <c r="U1154" s="111">
        <f>IF(OR(S1154="",T1154=""),0,P1154-T1154)</f>
        <v>0</v>
      </c>
      <c r="AB1154" s="112" t="n">
        <v>82</v>
      </c>
      <c r="AC1154" s="112" t="n">
        <v>12</v>
      </c>
      <c r="AD1154" s="112" t="str">
        <f>VERW_Project!BU87</f>
        <v/>
      </c>
      <c r="AE1154" s="112">
        <f>IF(AND(VERW_Project!$A87&lt;&gt;"",ISNUMBER(AD1154)),1,0)</f>
        <v>0</v>
      </c>
      <c r="AF1154" s="112" t="str">
        <f>IF(AE1154=1,SUM($AE$8:AE1154),"")</f>
        <v/>
      </c>
      <c r="AG1154" t="str">
        <f>IFERROR(MATCH(1147,$AF$8:$AF$1407,0),"")</f>
        <v/>
      </c>
    </row>
    <row r="1155">
      <c r="A1155" s="92" t="str">
        <f>IF($AG1155="","",P_ImportID)</f>
        <v/>
      </c>
      <c r="B1155" s="92" t="str">
        <f>IF($AG1155="","",IF(INDEX($AN$8:$AN$21,INDEX($AC$8:$AC$1407,$AG1155)+1)="Z",P_BronZ,P_BronE))</f>
        <v/>
      </c>
      <c r="C1155" s="108" t="str">
        <f>IF($AG1155="","",P_Importdatum)</f>
        <v/>
      </c>
      <c r="D1155" s="92" t="str">
        <f>IF($AG1155="","",P_StatusVastleg)</f>
        <v/>
      </c>
      <c r="E1155" s="92" t="str">
        <f>IF($AG1155="","",P_UploadVJ)</f>
        <v/>
      </c>
      <c r="F1155" s="92" t="str">
        <f>IF($AG1155="","",P_UploadVersie)</f>
        <v/>
      </c>
      <c r="G1155" s="92" t="str">
        <f>IF($AG1155="","",IF(COUNTIFS(L_Sleutel,$S1155,L_Status,"Vastgesteld")=0,0,_xlfn.MAXIFS(L_Revisie,L_Sleutel,$S1155,L_Status,"Vastgesteld")+1))</f>
        <v/>
      </c>
      <c r="H1155" s="108" t="str">
        <f>IF($AG1155="","",P_Peildatum)</f>
        <v/>
      </c>
      <c r="I1155" s="92" t="str">
        <f>IF($AG1155="","",P_RJ+INDEX($AK$8:$AK$21,INDEX($AC$8:$AC$1407,$AG1155)+1))</f>
        <v/>
      </c>
      <c r="J1155" s="92" t="str">
        <f>IF($AG1155="","",INDEX(V_WBS,INDEX($AB$8:$AB$1407,$AG1155)))</f>
        <v/>
      </c>
      <c r="K1155" s="92" t="str">
        <f>IF($AG1155="","",INDEX(V_Projdef,INDEX($AB$8:$AB$1407,$AG1155)))</f>
        <v/>
      </c>
      <c r="L1155" s="92" t="str">
        <f>IF($AG1155="","",INDEX(V_Naam,INDEX($AB$8:$AB$1407,$AG1155)))</f>
        <v/>
      </c>
      <c r="M1155" s="92" t="str">
        <f>IF($AG1155="","",INDEX(V_Type,INDEX($AB$8:$AB$1407,$AG1155)))</f>
        <v/>
      </c>
      <c r="N1155" s="92" t="str">
        <f>IF($AG1155="","",INDEX(V_IFRS,INDEX($AB$8:$AB$1407,$AG1155)))</f>
        <v/>
      </c>
      <c r="O1155" s="92" t="str">
        <f>IF($AG1155="","",INDEX($AL$8:$AL$21,INDEX($AC$8:$AC$1407,$AG1155)+1))</f>
        <v/>
      </c>
      <c r="P1155" s="109" t="str">
        <f>IF($AG1155="","",INDEX($AD$8:$AD$1407,$AG1155))</f>
        <v/>
      </c>
      <c r="Q1155" s="92" t="str">
        <f>IF($AG1155="","",INDEX($AM$8:$AM$21,INDEX($AC$8:$AC$1407,$AG1155)+1))</f>
        <v/>
      </c>
      <c r="R1155" s="92" t="str">
        <f>IF($AG1155="","",IF($G1155&gt;0,P_ToelCorrectie&amp;"",""))</f>
        <v/>
      </c>
      <c r="S1155" s="15" t="str">
        <f>IF(J1155="","",J1155&amp;"|"&amp;E1155&amp;"|"&amp;F1155&amp;"|"&amp;I1155&amp;"|"&amp;O1155)</f>
        <v/>
      </c>
      <c r="T1155" s="111" t="str">
        <f>IF(S1155="","",IF(COUNTIFS(L_Sleutel,S1155,L_Actief,1)=0,"",SUMIFS(L_Waarde,L_Sleutel,S1155,L_Actief,1)))</f>
        <v/>
      </c>
      <c r="U1155" s="111">
        <f>IF(OR(S1155="",T1155=""),0,P1155-T1155)</f>
        <v>0</v>
      </c>
      <c r="AB1155" s="112" t="n">
        <v>82</v>
      </c>
      <c r="AC1155" s="112" t="n">
        <v>13</v>
      </c>
      <c r="AD1155" s="112" t="str">
        <f>VERW_Project!BX87</f>
        <v/>
      </c>
      <c r="AE1155" s="112">
        <f>IF(AND(VERW_Project!$A87&lt;&gt;"",ISNUMBER(AD1155)),1,0)</f>
        <v>0</v>
      </c>
      <c r="AF1155" s="112" t="str">
        <f>IF(AE1155=1,SUM($AE$8:AE1155),"")</f>
        <v/>
      </c>
      <c r="AG1155" t="str">
        <f>IFERROR(MATCH(1148,$AF$8:$AF$1407,0),"")</f>
        <v/>
      </c>
    </row>
    <row r="1156">
      <c r="A1156" s="92" t="str">
        <f>IF($AG1156="","",P_ImportID)</f>
        <v/>
      </c>
      <c r="B1156" s="92" t="str">
        <f>IF($AG1156="","",IF(INDEX($AN$8:$AN$21,INDEX($AC$8:$AC$1407,$AG1156)+1)="Z",P_BronZ,P_BronE))</f>
        <v/>
      </c>
      <c r="C1156" s="108" t="str">
        <f>IF($AG1156="","",P_Importdatum)</f>
        <v/>
      </c>
      <c r="D1156" s="92" t="str">
        <f>IF($AG1156="","",P_StatusVastleg)</f>
        <v/>
      </c>
      <c r="E1156" s="92" t="str">
        <f>IF($AG1156="","",P_UploadVJ)</f>
        <v/>
      </c>
      <c r="F1156" s="92" t="str">
        <f>IF($AG1156="","",P_UploadVersie)</f>
        <v/>
      </c>
      <c r="G1156" s="92" t="str">
        <f>IF($AG1156="","",IF(COUNTIFS(L_Sleutel,$S1156,L_Status,"Vastgesteld")=0,0,_xlfn.MAXIFS(L_Revisie,L_Sleutel,$S1156,L_Status,"Vastgesteld")+1))</f>
        <v/>
      </c>
      <c r="H1156" s="108" t="str">
        <f>IF($AG1156="","",P_Peildatum)</f>
        <v/>
      </c>
      <c r="I1156" s="92" t="str">
        <f>IF($AG1156="","",P_RJ+INDEX($AK$8:$AK$21,INDEX($AC$8:$AC$1407,$AG1156)+1))</f>
        <v/>
      </c>
      <c r="J1156" s="92" t="str">
        <f>IF($AG1156="","",INDEX(V_WBS,INDEX($AB$8:$AB$1407,$AG1156)))</f>
        <v/>
      </c>
      <c r="K1156" s="92" t="str">
        <f>IF($AG1156="","",INDEX(V_Projdef,INDEX($AB$8:$AB$1407,$AG1156)))</f>
        <v/>
      </c>
      <c r="L1156" s="92" t="str">
        <f>IF($AG1156="","",INDEX(V_Naam,INDEX($AB$8:$AB$1407,$AG1156)))</f>
        <v/>
      </c>
      <c r="M1156" s="92" t="str">
        <f>IF($AG1156="","",INDEX(V_Type,INDEX($AB$8:$AB$1407,$AG1156)))</f>
        <v/>
      </c>
      <c r="N1156" s="92" t="str">
        <f>IF($AG1156="","",INDEX(V_IFRS,INDEX($AB$8:$AB$1407,$AG1156)))</f>
        <v/>
      </c>
      <c r="O1156" s="92" t="str">
        <f>IF($AG1156="","",INDEX($AL$8:$AL$21,INDEX($AC$8:$AC$1407,$AG1156)+1))</f>
        <v/>
      </c>
      <c r="P1156" s="109" t="str">
        <f>IF($AG1156="","",INDEX($AD$8:$AD$1407,$AG1156))</f>
        <v/>
      </c>
      <c r="Q1156" s="92" t="str">
        <f>IF($AG1156="","",INDEX($AM$8:$AM$21,INDEX($AC$8:$AC$1407,$AG1156)+1))</f>
        <v/>
      </c>
      <c r="R1156" s="92" t="str">
        <f>IF($AG1156="","",IF($G1156&gt;0,P_ToelCorrectie&amp;"",""))</f>
        <v/>
      </c>
      <c r="S1156" s="15" t="str">
        <f>IF(J1156="","",J1156&amp;"|"&amp;E1156&amp;"|"&amp;F1156&amp;"|"&amp;I1156&amp;"|"&amp;O1156)</f>
        <v/>
      </c>
      <c r="T1156" s="111" t="str">
        <f>IF(S1156="","",IF(COUNTIFS(L_Sleutel,S1156,L_Actief,1)=0,"",SUMIFS(L_Waarde,L_Sleutel,S1156,L_Actief,1)))</f>
        <v/>
      </c>
      <c r="U1156" s="111">
        <f>IF(OR(S1156="",T1156=""),0,P1156-T1156)</f>
        <v>0</v>
      </c>
      <c r="AB1156" s="112" t="n">
        <v>83</v>
      </c>
      <c r="AC1156" s="112" t="n">
        <v>0</v>
      </c>
      <c r="AD1156" s="112" t="str">
        <f>VERW_Project!P88</f>
        <v/>
      </c>
      <c r="AE1156" s="112">
        <f>IF(AND(VERW_Project!$A88&lt;&gt;"",ISNUMBER(AD1156)),1,0)</f>
        <v>0</v>
      </c>
      <c r="AF1156" s="112" t="str">
        <f>IF(AE1156=1,SUM($AE$8:AE1156),"")</f>
        <v/>
      </c>
      <c r="AG1156" t="str">
        <f>IFERROR(MATCH(1149,$AF$8:$AF$1407,0),"")</f>
        <v/>
      </c>
    </row>
    <row r="1157">
      <c r="A1157" s="92" t="str">
        <f>IF($AG1157="","",P_ImportID)</f>
        <v/>
      </c>
      <c r="B1157" s="92" t="str">
        <f>IF($AG1157="","",IF(INDEX($AN$8:$AN$21,INDEX($AC$8:$AC$1407,$AG1157)+1)="Z",P_BronZ,P_BronE))</f>
        <v/>
      </c>
      <c r="C1157" s="108" t="str">
        <f>IF($AG1157="","",P_Importdatum)</f>
        <v/>
      </c>
      <c r="D1157" s="92" t="str">
        <f>IF($AG1157="","",P_StatusVastleg)</f>
        <v/>
      </c>
      <c r="E1157" s="92" t="str">
        <f>IF($AG1157="","",P_UploadVJ)</f>
        <v/>
      </c>
      <c r="F1157" s="92" t="str">
        <f>IF($AG1157="","",P_UploadVersie)</f>
        <v/>
      </c>
      <c r="G1157" s="92" t="str">
        <f>IF($AG1157="","",IF(COUNTIFS(L_Sleutel,$S1157,L_Status,"Vastgesteld")=0,0,_xlfn.MAXIFS(L_Revisie,L_Sleutel,$S1157,L_Status,"Vastgesteld")+1))</f>
        <v/>
      </c>
      <c r="H1157" s="108" t="str">
        <f>IF($AG1157="","",P_Peildatum)</f>
        <v/>
      </c>
      <c r="I1157" s="92" t="str">
        <f>IF($AG1157="","",P_RJ+INDEX($AK$8:$AK$21,INDEX($AC$8:$AC$1407,$AG1157)+1))</f>
        <v/>
      </c>
      <c r="J1157" s="92" t="str">
        <f>IF($AG1157="","",INDEX(V_WBS,INDEX($AB$8:$AB$1407,$AG1157)))</f>
        <v/>
      </c>
      <c r="K1157" s="92" t="str">
        <f>IF($AG1157="","",INDEX(V_Projdef,INDEX($AB$8:$AB$1407,$AG1157)))</f>
        <v/>
      </c>
      <c r="L1157" s="92" t="str">
        <f>IF($AG1157="","",INDEX(V_Naam,INDEX($AB$8:$AB$1407,$AG1157)))</f>
        <v/>
      </c>
      <c r="M1157" s="92" t="str">
        <f>IF($AG1157="","",INDEX(V_Type,INDEX($AB$8:$AB$1407,$AG1157)))</f>
        <v/>
      </c>
      <c r="N1157" s="92" t="str">
        <f>IF($AG1157="","",INDEX(V_IFRS,INDEX($AB$8:$AB$1407,$AG1157)))</f>
        <v/>
      </c>
      <c r="O1157" s="92" t="str">
        <f>IF($AG1157="","",INDEX($AL$8:$AL$21,INDEX($AC$8:$AC$1407,$AG1157)+1))</f>
        <v/>
      </c>
      <c r="P1157" s="109" t="str">
        <f>IF($AG1157="","",INDEX($AD$8:$AD$1407,$AG1157))</f>
        <v/>
      </c>
      <c r="Q1157" s="92" t="str">
        <f>IF($AG1157="","",INDEX($AM$8:$AM$21,INDEX($AC$8:$AC$1407,$AG1157)+1))</f>
        <v/>
      </c>
      <c r="R1157" s="92" t="str">
        <f>IF($AG1157="","",IF($G1157&gt;0,P_ToelCorrectie&amp;"",""))</f>
        <v/>
      </c>
      <c r="S1157" s="15" t="str">
        <f>IF(J1157="","",J1157&amp;"|"&amp;E1157&amp;"|"&amp;F1157&amp;"|"&amp;I1157&amp;"|"&amp;O1157)</f>
        <v/>
      </c>
      <c r="T1157" s="111" t="str">
        <f>IF(S1157="","",IF(COUNTIFS(L_Sleutel,S1157,L_Actief,1)=0,"",SUMIFS(L_Waarde,L_Sleutel,S1157,L_Actief,1)))</f>
        <v/>
      </c>
      <c r="U1157" s="111">
        <f>IF(OR(S1157="",T1157=""),0,P1157-T1157)</f>
        <v>0</v>
      </c>
      <c r="AB1157" s="112" t="n">
        <v>83</v>
      </c>
      <c r="AC1157" s="112" t="n">
        <v>1</v>
      </c>
      <c r="AD1157" s="112" t="str">
        <f>VERW_Project!Q88</f>
        <v/>
      </c>
      <c r="AE1157" s="112">
        <f>IF(AND(VERW_Project!$A88&lt;&gt;"",ISNUMBER(AD1157)),1,0)</f>
        <v>0</v>
      </c>
      <c r="AF1157" s="112" t="str">
        <f>IF(AE1157=1,SUM($AE$8:AE1157),"")</f>
        <v/>
      </c>
      <c r="AG1157" t="str">
        <f>IFERROR(MATCH(1150,$AF$8:$AF$1407,0),"")</f>
        <v/>
      </c>
    </row>
    <row r="1158">
      <c r="A1158" s="92" t="str">
        <f>IF($AG1158="","",P_ImportID)</f>
        <v/>
      </c>
      <c r="B1158" s="92" t="str">
        <f>IF($AG1158="","",IF(INDEX($AN$8:$AN$21,INDEX($AC$8:$AC$1407,$AG1158)+1)="Z",P_BronZ,P_BronE))</f>
        <v/>
      </c>
      <c r="C1158" s="108" t="str">
        <f>IF($AG1158="","",P_Importdatum)</f>
        <v/>
      </c>
      <c r="D1158" s="92" t="str">
        <f>IF($AG1158="","",P_StatusVastleg)</f>
        <v/>
      </c>
      <c r="E1158" s="92" t="str">
        <f>IF($AG1158="","",P_UploadVJ)</f>
        <v/>
      </c>
      <c r="F1158" s="92" t="str">
        <f>IF($AG1158="","",P_UploadVersie)</f>
        <v/>
      </c>
      <c r="G1158" s="92" t="str">
        <f>IF($AG1158="","",IF(COUNTIFS(L_Sleutel,$S1158,L_Status,"Vastgesteld")=0,0,_xlfn.MAXIFS(L_Revisie,L_Sleutel,$S1158,L_Status,"Vastgesteld")+1))</f>
        <v/>
      </c>
      <c r="H1158" s="108" t="str">
        <f>IF($AG1158="","",P_Peildatum)</f>
        <v/>
      </c>
      <c r="I1158" s="92" t="str">
        <f>IF($AG1158="","",P_RJ+INDEX($AK$8:$AK$21,INDEX($AC$8:$AC$1407,$AG1158)+1))</f>
        <v/>
      </c>
      <c r="J1158" s="92" t="str">
        <f>IF($AG1158="","",INDEX(V_WBS,INDEX($AB$8:$AB$1407,$AG1158)))</f>
        <v/>
      </c>
      <c r="K1158" s="92" t="str">
        <f>IF($AG1158="","",INDEX(V_Projdef,INDEX($AB$8:$AB$1407,$AG1158)))</f>
        <v/>
      </c>
      <c r="L1158" s="92" t="str">
        <f>IF($AG1158="","",INDEX(V_Naam,INDEX($AB$8:$AB$1407,$AG1158)))</f>
        <v/>
      </c>
      <c r="M1158" s="92" t="str">
        <f>IF($AG1158="","",INDEX(V_Type,INDEX($AB$8:$AB$1407,$AG1158)))</f>
        <v/>
      </c>
      <c r="N1158" s="92" t="str">
        <f>IF($AG1158="","",INDEX(V_IFRS,INDEX($AB$8:$AB$1407,$AG1158)))</f>
        <v/>
      </c>
      <c r="O1158" s="92" t="str">
        <f>IF($AG1158="","",INDEX($AL$8:$AL$21,INDEX($AC$8:$AC$1407,$AG1158)+1))</f>
        <v/>
      </c>
      <c r="P1158" s="109" t="str">
        <f>IF($AG1158="","",INDEX($AD$8:$AD$1407,$AG1158))</f>
        <v/>
      </c>
      <c r="Q1158" s="92" t="str">
        <f>IF($AG1158="","",INDEX($AM$8:$AM$21,INDEX($AC$8:$AC$1407,$AG1158)+1))</f>
        <v/>
      </c>
      <c r="R1158" s="92" t="str">
        <f>IF($AG1158="","",IF($G1158&gt;0,P_ToelCorrectie&amp;"",""))</f>
        <v/>
      </c>
      <c r="S1158" s="15" t="str">
        <f>IF(J1158="","",J1158&amp;"|"&amp;E1158&amp;"|"&amp;F1158&amp;"|"&amp;I1158&amp;"|"&amp;O1158)</f>
        <v/>
      </c>
      <c r="T1158" s="111" t="str">
        <f>IF(S1158="","",IF(COUNTIFS(L_Sleutel,S1158,L_Actief,1)=0,"",SUMIFS(L_Waarde,L_Sleutel,S1158,L_Actief,1)))</f>
        <v/>
      </c>
      <c r="U1158" s="111">
        <f>IF(OR(S1158="",T1158=""),0,P1158-T1158)</f>
        <v>0</v>
      </c>
      <c r="AB1158" s="112" t="n">
        <v>83</v>
      </c>
      <c r="AC1158" s="112" t="n">
        <v>2</v>
      </c>
      <c r="AD1158" s="112" t="str">
        <f>VERW_Project!L88</f>
        <v/>
      </c>
      <c r="AE1158" s="112">
        <f>IF(AND(VERW_Project!$A88&lt;&gt;"",ISNUMBER(AD1158)),1,0)</f>
        <v>0</v>
      </c>
      <c r="AF1158" s="112" t="str">
        <f>IF(AE1158=1,SUM($AE$8:AE1158),"")</f>
        <v/>
      </c>
      <c r="AG1158" t="str">
        <f>IFERROR(MATCH(1151,$AF$8:$AF$1407,0),"")</f>
        <v/>
      </c>
    </row>
    <row r="1159">
      <c r="A1159" s="92" t="str">
        <f>IF($AG1159="","",P_ImportID)</f>
        <v/>
      </c>
      <c r="B1159" s="92" t="str">
        <f>IF($AG1159="","",IF(INDEX($AN$8:$AN$21,INDEX($AC$8:$AC$1407,$AG1159)+1)="Z",P_BronZ,P_BronE))</f>
        <v/>
      </c>
      <c r="C1159" s="108" t="str">
        <f>IF($AG1159="","",P_Importdatum)</f>
        <v/>
      </c>
      <c r="D1159" s="92" t="str">
        <f>IF($AG1159="","",P_StatusVastleg)</f>
        <v/>
      </c>
      <c r="E1159" s="92" t="str">
        <f>IF($AG1159="","",P_UploadVJ)</f>
        <v/>
      </c>
      <c r="F1159" s="92" t="str">
        <f>IF($AG1159="","",P_UploadVersie)</f>
        <v/>
      </c>
      <c r="G1159" s="92" t="str">
        <f>IF($AG1159="","",IF(COUNTIFS(L_Sleutel,$S1159,L_Status,"Vastgesteld")=0,0,_xlfn.MAXIFS(L_Revisie,L_Sleutel,$S1159,L_Status,"Vastgesteld")+1))</f>
        <v/>
      </c>
      <c r="H1159" s="108" t="str">
        <f>IF($AG1159="","",P_Peildatum)</f>
        <v/>
      </c>
      <c r="I1159" s="92" t="str">
        <f>IF($AG1159="","",P_RJ+INDEX($AK$8:$AK$21,INDEX($AC$8:$AC$1407,$AG1159)+1))</f>
        <v/>
      </c>
      <c r="J1159" s="92" t="str">
        <f>IF($AG1159="","",INDEX(V_WBS,INDEX($AB$8:$AB$1407,$AG1159)))</f>
        <v/>
      </c>
      <c r="K1159" s="92" t="str">
        <f>IF($AG1159="","",INDEX(V_Projdef,INDEX($AB$8:$AB$1407,$AG1159)))</f>
        <v/>
      </c>
      <c r="L1159" s="92" t="str">
        <f>IF($AG1159="","",INDEX(V_Naam,INDEX($AB$8:$AB$1407,$AG1159)))</f>
        <v/>
      </c>
      <c r="M1159" s="92" t="str">
        <f>IF($AG1159="","",INDEX(V_Type,INDEX($AB$8:$AB$1407,$AG1159)))</f>
        <v/>
      </c>
      <c r="N1159" s="92" t="str">
        <f>IF($AG1159="","",INDEX(V_IFRS,INDEX($AB$8:$AB$1407,$AG1159)))</f>
        <v/>
      </c>
      <c r="O1159" s="92" t="str">
        <f>IF($AG1159="","",INDEX($AL$8:$AL$21,INDEX($AC$8:$AC$1407,$AG1159)+1))</f>
        <v/>
      </c>
      <c r="P1159" s="109" t="str">
        <f>IF($AG1159="","",INDEX($AD$8:$AD$1407,$AG1159))</f>
        <v/>
      </c>
      <c r="Q1159" s="92" t="str">
        <f>IF($AG1159="","",INDEX($AM$8:$AM$21,INDEX($AC$8:$AC$1407,$AG1159)+1))</f>
        <v/>
      </c>
      <c r="R1159" s="92" t="str">
        <f>IF($AG1159="","",IF($G1159&gt;0,P_ToelCorrectie&amp;"",""))</f>
        <v/>
      </c>
      <c r="S1159" s="15" t="str">
        <f>IF(J1159="","",J1159&amp;"|"&amp;E1159&amp;"|"&amp;F1159&amp;"|"&amp;I1159&amp;"|"&amp;O1159)</f>
        <v/>
      </c>
      <c r="T1159" s="111" t="str">
        <f>IF(S1159="","",IF(COUNTIFS(L_Sleutel,S1159,L_Actief,1)=0,"",SUMIFS(L_Waarde,L_Sleutel,S1159,L_Actief,1)))</f>
        <v/>
      </c>
      <c r="U1159" s="111">
        <f>IF(OR(S1159="",T1159=""),0,P1159-T1159)</f>
        <v>0</v>
      </c>
      <c r="AB1159" s="112" t="n">
        <v>83</v>
      </c>
      <c r="AC1159" s="112" t="n">
        <v>3</v>
      </c>
      <c r="AD1159" s="112" t="str">
        <f>VERW_Project!M88</f>
        <v/>
      </c>
      <c r="AE1159" s="112">
        <f>IF(AND(VERW_Project!$A88&lt;&gt;"",ISNUMBER(AD1159)),1,0)</f>
        <v>0</v>
      </c>
      <c r="AF1159" s="112" t="str">
        <f>IF(AE1159=1,SUM($AE$8:AE1159),"")</f>
        <v/>
      </c>
      <c r="AG1159" t="str">
        <f>IFERROR(MATCH(1152,$AF$8:$AF$1407,0),"")</f>
        <v/>
      </c>
    </row>
    <row r="1160">
      <c r="A1160" s="92" t="str">
        <f>IF($AG1160="","",P_ImportID)</f>
        <v/>
      </c>
      <c r="B1160" s="92" t="str">
        <f>IF($AG1160="","",IF(INDEX($AN$8:$AN$21,INDEX($AC$8:$AC$1407,$AG1160)+1)="Z",P_BronZ,P_BronE))</f>
        <v/>
      </c>
      <c r="C1160" s="108" t="str">
        <f>IF($AG1160="","",P_Importdatum)</f>
        <v/>
      </c>
      <c r="D1160" s="92" t="str">
        <f>IF($AG1160="","",P_StatusVastleg)</f>
        <v/>
      </c>
      <c r="E1160" s="92" t="str">
        <f>IF($AG1160="","",P_UploadVJ)</f>
        <v/>
      </c>
      <c r="F1160" s="92" t="str">
        <f>IF($AG1160="","",P_UploadVersie)</f>
        <v/>
      </c>
      <c r="G1160" s="92" t="str">
        <f>IF($AG1160="","",IF(COUNTIFS(L_Sleutel,$S1160,L_Status,"Vastgesteld")=0,0,_xlfn.MAXIFS(L_Revisie,L_Sleutel,$S1160,L_Status,"Vastgesteld")+1))</f>
        <v/>
      </c>
      <c r="H1160" s="108" t="str">
        <f>IF($AG1160="","",P_Peildatum)</f>
        <v/>
      </c>
      <c r="I1160" s="92" t="str">
        <f>IF($AG1160="","",P_RJ+INDEX($AK$8:$AK$21,INDEX($AC$8:$AC$1407,$AG1160)+1))</f>
        <v/>
      </c>
      <c r="J1160" s="92" t="str">
        <f>IF($AG1160="","",INDEX(V_WBS,INDEX($AB$8:$AB$1407,$AG1160)))</f>
        <v/>
      </c>
      <c r="K1160" s="92" t="str">
        <f>IF($AG1160="","",INDEX(V_Projdef,INDEX($AB$8:$AB$1407,$AG1160)))</f>
        <v/>
      </c>
      <c r="L1160" s="92" t="str">
        <f>IF($AG1160="","",INDEX(V_Naam,INDEX($AB$8:$AB$1407,$AG1160)))</f>
        <v/>
      </c>
      <c r="M1160" s="92" t="str">
        <f>IF($AG1160="","",INDEX(V_Type,INDEX($AB$8:$AB$1407,$AG1160)))</f>
        <v/>
      </c>
      <c r="N1160" s="92" t="str">
        <f>IF($AG1160="","",INDEX(V_IFRS,INDEX($AB$8:$AB$1407,$AG1160)))</f>
        <v/>
      </c>
      <c r="O1160" s="92" t="str">
        <f>IF($AG1160="","",INDEX($AL$8:$AL$21,INDEX($AC$8:$AC$1407,$AG1160)+1))</f>
        <v/>
      </c>
      <c r="P1160" s="109" t="str">
        <f>IF($AG1160="","",INDEX($AD$8:$AD$1407,$AG1160))</f>
        <v/>
      </c>
      <c r="Q1160" s="92" t="str">
        <f>IF($AG1160="","",INDEX($AM$8:$AM$21,INDEX($AC$8:$AC$1407,$AG1160)+1))</f>
        <v/>
      </c>
      <c r="R1160" s="92" t="str">
        <f>IF($AG1160="","",IF($G1160&gt;0,P_ToelCorrectie&amp;"",""))</f>
        <v/>
      </c>
      <c r="S1160" s="15" t="str">
        <f>IF(J1160="","",J1160&amp;"|"&amp;E1160&amp;"|"&amp;F1160&amp;"|"&amp;I1160&amp;"|"&amp;O1160)</f>
        <v/>
      </c>
      <c r="T1160" s="111" t="str">
        <f>IF(S1160="","",IF(COUNTIFS(L_Sleutel,S1160,L_Actief,1)=0,"",SUMIFS(L_Waarde,L_Sleutel,S1160,L_Actief,1)))</f>
        <v/>
      </c>
      <c r="U1160" s="111">
        <f>IF(OR(S1160="",T1160=""),0,P1160-T1160)</f>
        <v>0</v>
      </c>
      <c r="AB1160" s="112" t="n">
        <v>83</v>
      </c>
      <c r="AC1160" s="112" t="n">
        <v>4</v>
      </c>
      <c r="AD1160" s="112" t="str">
        <f>VERW_Project!R88</f>
        <v/>
      </c>
      <c r="AE1160" s="112">
        <f>IF(AND(VERW_Project!$A88&lt;&gt;"",ISNUMBER(AD1160)),1,0)</f>
        <v>0</v>
      </c>
      <c r="AF1160" s="112" t="str">
        <f>IF(AE1160=1,SUM($AE$8:AE1160),"")</f>
        <v/>
      </c>
      <c r="AG1160" t="str">
        <f>IFERROR(MATCH(1153,$AF$8:$AF$1407,0),"")</f>
        <v/>
      </c>
    </row>
    <row r="1161">
      <c r="A1161" s="92" t="str">
        <f>IF($AG1161="","",P_ImportID)</f>
        <v/>
      </c>
      <c r="B1161" s="92" t="str">
        <f>IF($AG1161="","",IF(INDEX($AN$8:$AN$21,INDEX($AC$8:$AC$1407,$AG1161)+1)="Z",P_BronZ,P_BronE))</f>
        <v/>
      </c>
      <c r="C1161" s="108" t="str">
        <f>IF($AG1161="","",P_Importdatum)</f>
        <v/>
      </c>
      <c r="D1161" s="92" t="str">
        <f>IF($AG1161="","",P_StatusVastleg)</f>
        <v/>
      </c>
      <c r="E1161" s="92" t="str">
        <f>IF($AG1161="","",P_UploadVJ)</f>
        <v/>
      </c>
      <c r="F1161" s="92" t="str">
        <f>IF($AG1161="","",P_UploadVersie)</f>
        <v/>
      </c>
      <c r="G1161" s="92" t="str">
        <f>IF($AG1161="","",IF(COUNTIFS(L_Sleutel,$S1161,L_Status,"Vastgesteld")=0,0,_xlfn.MAXIFS(L_Revisie,L_Sleutel,$S1161,L_Status,"Vastgesteld")+1))</f>
        <v/>
      </c>
      <c r="H1161" s="108" t="str">
        <f>IF($AG1161="","",P_Peildatum)</f>
        <v/>
      </c>
      <c r="I1161" s="92" t="str">
        <f>IF($AG1161="","",P_RJ+INDEX($AK$8:$AK$21,INDEX($AC$8:$AC$1407,$AG1161)+1))</f>
        <v/>
      </c>
      <c r="J1161" s="92" t="str">
        <f>IF($AG1161="","",INDEX(V_WBS,INDEX($AB$8:$AB$1407,$AG1161)))</f>
        <v/>
      </c>
      <c r="K1161" s="92" t="str">
        <f>IF($AG1161="","",INDEX(V_Projdef,INDEX($AB$8:$AB$1407,$AG1161)))</f>
        <v/>
      </c>
      <c r="L1161" s="92" t="str">
        <f>IF($AG1161="","",INDEX(V_Naam,INDEX($AB$8:$AB$1407,$AG1161)))</f>
        <v/>
      </c>
      <c r="M1161" s="92" t="str">
        <f>IF($AG1161="","",INDEX(V_Type,INDEX($AB$8:$AB$1407,$AG1161)))</f>
        <v/>
      </c>
      <c r="N1161" s="92" t="str">
        <f>IF($AG1161="","",INDEX(V_IFRS,INDEX($AB$8:$AB$1407,$AG1161)))</f>
        <v/>
      </c>
      <c r="O1161" s="92" t="str">
        <f>IF($AG1161="","",INDEX($AL$8:$AL$21,INDEX($AC$8:$AC$1407,$AG1161)+1))</f>
        <v/>
      </c>
      <c r="P1161" s="109" t="str">
        <f>IF($AG1161="","",INDEX($AD$8:$AD$1407,$AG1161))</f>
        <v/>
      </c>
      <c r="Q1161" s="92" t="str">
        <f>IF($AG1161="","",INDEX($AM$8:$AM$21,INDEX($AC$8:$AC$1407,$AG1161)+1))</f>
        <v/>
      </c>
      <c r="R1161" s="92" t="str">
        <f>IF($AG1161="","",IF($G1161&gt;0,P_ToelCorrectie&amp;"",""))</f>
        <v/>
      </c>
      <c r="S1161" s="15" t="str">
        <f>IF(J1161="","",J1161&amp;"|"&amp;E1161&amp;"|"&amp;F1161&amp;"|"&amp;I1161&amp;"|"&amp;O1161)</f>
        <v/>
      </c>
      <c r="T1161" s="111" t="str">
        <f>IF(S1161="","",IF(COUNTIFS(L_Sleutel,S1161,L_Actief,1)=0,"",SUMIFS(L_Waarde,L_Sleutel,S1161,L_Actief,1)))</f>
        <v/>
      </c>
      <c r="U1161" s="111">
        <f>IF(OR(S1161="",T1161=""),0,P1161-T1161)</f>
        <v>0</v>
      </c>
      <c r="AB1161" s="112" t="n">
        <v>83</v>
      </c>
      <c r="AC1161" s="112" t="n">
        <v>5</v>
      </c>
      <c r="AD1161" s="112" t="str">
        <f>VERW_Project!S88</f>
        <v/>
      </c>
      <c r="AE1161" s="112">
        <f>IF(AND(VERW_Project!$A88&lt;&gt;"",ISNUMBER(AD1161)),1,0)</f>
        <v>0</v>
      </c>
      <c r="AF1161" s="112" t="str">
        <f>IF(AE1161=1,SUM($AE$8:AE1161),"")</f>
        <v/>
      </c>
      <c r="AG1161" t="str">
        <f>IFERROR(MATCH(1154,$AF$8:$AF$1407,0),"")</f>
        <v/>
      </c>
    </row>
    <row r="1162">
      <c r="A1162" s="92" t="str">
        <f>IF($AG1162="","",P_ImportID)</f>
        <v/>
      </c>
      <c r="B1162" s="92" t="str">
        <f>IF($AG1162="","",IF(INDEX($AN$8:$AN$21,INDEX($AC$8:$AC$1407,$AG1162)+1)="Z",P_BronZ,P_BronE))</f>
        <v/>
      </c>
      <c r="C1162" s="108" t="str">
        <f>IF($AG1162="","",P_Importdatum)</f>
        <v/>
      </c>
      <c r="D1162" s="92" t="str">
        <f>IF($AG1162="","",P_StatusVastleg)</f>
        <v/>
      </c>
      <c r="E1162" s="92" t="str">
        <f>IF($AG1162="","",P_UploadVJ)</f>
        <v/>
      </c>
      <c r="F1162" s="92" t="str">
        <f>IF($AG1162="","",P_UploadVersie)</f>
        <v/>
      </c>
      <c r="G1162" s="92" t="str">
        <f>IF($AG1162="","",IF(COUNTIFS(L_Sleutel,$S1162,L_Status,"Vastgesteld")=0,0,_xlfn.MAXIFS(L_Revisie,L_Sleutel,$S1162,L_Status,"Vastgesteld")+1))</f>
        <v/>
      </c>
      <c r="H1162" s="108" t="str">
        <f>IF($AG1162="","",P_Peildatum)</f>
        <v/>
      </c>
      <c r="I1162" s="92" t="str">
        <f>IF($AG1162="","",P_RJ+INDEX($AK$8:$AK$21,INDEX($AC$8:$AC$1407,$AG1162)+1))</f>
        <v/>
      </c>
      <c r="J1162" s="92" t="str">
        <f>IF($AG1162="","",INDEX(V_WBS,INDEX($AB$8:$AB$1407,$AG1162)))</f>
        <v/>
      </c>
      <c r="K1162" s="92" t="str">
        <f>IF($AG1162="","",INDEX(V_Projdef,INDEX($AB$8:$AB$1407,$AG1162)))</f>
        <v/>
      </c>
      <c r="L1162" s="92" t="str">
        <f>IF($AG1162="","",INDEX(V_Naam,INDEX($AB$8:$AB$1407,$AG1162)))</f>
        <v/>
      </c>
      <c r="M1162" s="92" t="str">
        <f>IF($AG1162="","",INDEX(V_Type,INDEX($AB$8:$AB$1407,$AG1162)))</f>
        <v/>
      </c>
      <c r="N1162" s="92" t="str">
        <f>IF($AG1162="","",INDEX(V_IFRS,INDEX($AB$8:$AB$1407,$AG1162)))</f>
        <v/>
      </c>
      <c r="O1162" s="92" t="str">
        <f>IF($AG1162="","",INDEX($AL$8:$AL$21,INDEX($AC$8:$AC$1407,$AG1162)+1))</f>
        <v/>
      </c>
      <c r="P1162" s="109" t="str">
        <f>IF($AG1162="","",INDEX($AD$8:$AD$1407,$AG1162))</f>
        <v/>
      </c>
      <c r="Q1162" s="92" t="str">
        <f>IF($AG1162="","",INDEX($AM$8:$AM$21,INDEX($AC$8:$AC$1407,$AG1162)+1))</f>
        <v/>
      </c>
      <c r="R1162" s="92" t="str">
        <f>IF($AG1162="","",IF($G1162&gt;0,P_ToelCorrectie&amp;"",""))</f>
        <v/>
      </c>
      <c r="S1162" s="15" t="str">
        <f>IF(J1162="","",J1162&amp;"|"&amp;E1162&amp;"|"&amp;F1162&amp;"|"&amp;I1162&amp;"|"&amp;O1162)</f>
        <v/>
      </c>
      <c r="T1162" s="111" t="str">
        <f>IF(S1162="","",IF(COUNTIFS(L_Sleutel,S1162,L_Actief,1)=0,"",SUMIFS(L_Waarde,L_Sleutel,S1162,L_Actief,1)))</f>
        <v/>
      </c>
      <c r="U1162" s="111">
        <f>IF(OR(S1162="",T1162=""),0,P1162-T1162)</f>
        <v>0</v>
      </c>
      <c r="AB1162" s="112" t="n">
        <v>83</v>
      </c>
      <c r="AC1162" s="112" t="n">
        <v>6</v>
      </c>
      <c r="AD1162" s="112" t="str">
        <f>VERW_Project!BW88</f>
        <v/>
      </c>
      <c r="AE1162" s="112">
        <f>IF(AND(VERW_Project!$A88&lt;&gt;"",ISNUMBER(AD1162)),1,0)</f>
        <v>0</v>
      </c>
      <c r="AF1162" s="112" t="str">
        <f>IF(AE1162=1,SUM($AE$8:AE1162),"")</f>
        <v/>
      </c>
      <c r="AG1162" t="str">
        <f>IFERROR(MATCH(1155,$AF$8:$AF$1407,0),"")</f>
        <v/>
      </c>
    </row>
    <row r="1163">
      <c r="A1163" s="92" t="str">
        <f>IF($AG1163="","",P_ImportID)</f>
        <v/>
      </c>
      <c r="B1163" s="92" t="str">
        <f>IF($AG1163="","",IF(INDEX($AN$8:$AN$21,INDEX($AC$8:$AC$1407,$AG1163)+1)="Z",P_BronZ,P_BronE))</f>
        <v/>
      </c>
      <c r="C1163" s="108" t="str">
        <f>IF($AG1163="","",P_Importdatum)</f>
        <v/>
      </c>
      <c r="D1163" s="92" t="str">
        <f>IF($AG1163="","",P_StatusVastleg)</f>
        <v/>
      </c>
      <c r="E1163" s="92" t="str">
        <f>IF($AG1163="","",P_UploadVJ)</f>
        <v/>
      </c>
      <c r="F1163" s="92" t="str">
        <f>IF($AG1163="","",P_UploadVersie)</f>
        <v/>
      </c>
      <c r="G1163" s="92" t="str">
        <f>IF($AG1163="","",IF(COUNTIFS(L_Sleutel,$S1163,L_Status,"Vastgesteld")=0,0,_xlfn.MAXIFS(L_Revisie,L_Sleutel,$S1163,L_Status,"Vastgesteld")+1))</f>
        <v/>
      </c>
      <c r="H1163" s="108" t="str">
        <f>IF($AG1163="","",P_Peildatum)</f>
        <v/>
      </c>
      <c r="I1163" s="92" t="str">
        <f>IF($AG1163="","",P_RJ+INDEX($AK$8:$AK$21,INDEX($AC$8:$AC$1407,$AG1163)+1))</f>
        <v/>
      </c>
      <c r="J1163" s="92" t="str">
        <f>IF($AG1163="","",INDEX(V_WBS,INDEX($AB$8:$AB$1407,$AG1163)))</f>
        <v/>
      </c>
      <c r="K1163" s="92" t="str">
        <f>IF($AG1163="","",INDEX(V_Projdef,INDEX($AB$8:$AB$1407,$AG1163)))</f>
        <v/>
      </c>
      <c r="L1163" s="92" t="str">
        <f>IF($AG1163="","",INDEX(V_Naam,INDEX($AB$8:$AB$1407,$AG1163)))</f>
        <v/>
      </c>
      <c r="M1163" s="92" t="str">
        <f>IF($AG1163="","",INDEX(V_Type,INDEX($AB$8:$AB$1407,$AG1163)))</f>
        <v/>
      </c>
      <c r="N1163" s="92" t="str">
        <f>IF($AG1163="","",INDEX(V_IFRS,INDEX($AB$8:$AB$1407,$AG1163)))</f>
        <v/>
      </c>
      <c r="O1163" s="92" t="str">
        <f>IF($AG1163="","",INDEX($AL$8:$AL$21,INDEX($AC$8:$AC$1407,$AG1163)+1))</f>
        <v/>
      </c>
      <c r="P1163" s="109" t="str">
        <f>IF($AG1163="","",INDEX($AD$8:$AD$1407,$AG1163))</f>
        <v/>
      </c>
      <c r="Q1163" s="92" t="str">
        <f>IF($AG1163="","",INDEX($AM$8:$AM$21,INDEX($AC$8:$AC$1407,$AG1163)+1))</f>
        <v/>
      </c>
      <c r="R1163" s="92" t="str">
        <f>IF($AG1163="","",IF($G1163&gt;0,P_ToelCorrectie&amp;"",""))</f>
        <v/>
      </c>
      <c r="S1163" s="15" t="str">
        <f>IF(J1163="","",J1163&amp;"|"&amp;E1163&amp;"|"&amp;F1163&amp;"|"&amp;I1163&amp;"|"&amp;O1163)</f>
        <v/>
      </c>
      <c r="T1163" s="111" t="str">
        <f>IF(S1163="","",IF(COUNTIFS(L_Sleutel,S1163,L_Actief,1)=0,"",SUMIFS(L_Waarde,L_Sleutel,S1163,L_Actief,1)))</f>
        <v/>
      </c>
      <c r="U1163" s="111">
        <f>IF(OR(S1163="",T1163=""),0,P1163-T1163)</f>
        <v>0</v>
      </c>
      <c r="AB1163" s="112" t="n">
        <v>83</v>
      </c>
      <c r="AC1163" s="112" t="n">
        <v>7</v>
      </c>
      <c r="AD1163" s="112" t="str">
        <f>VERW_Project!AW88</f>
        <v/>
      </c>
      <c r="AE1163" s="112">
        <f>IF(AND(VERW_Project!$A88&lt;&gt;"",ISNUMBER(AD1163)),1,0)</f>
        <v>0</v>
      </c>
      <c r="AF1163" s="112" t="str">
        <f>IF(AE1163=1,SUM($AE$8:AE1163),"")</f>
        <v/>
      </c>
      <c r="AG1163" t="str">
        <f>IFERROR(MATCH(1156,$AF$8:$AF$1407,0),"")</f>
        <v/>
      </c>
    </row>
    <row r="1164">
      <c r="A1164" s="92" t="str">
        <f>IF($AG1164="","",P_ImportID)</f>
        <v/>
      </c>
      <c r="B1164" s="92" t="str">
        <f>IF($AG1164="","",IF(INDEX($AN$8:$AN$21,INDEX($AC$8:$AC$1407,$AG1164)+1)="Z",P_BronZ,P_BronE))</f>
        <v/>
      </c>
      <c r="C1164" s="108" t="str">
        <f>IF($AG1164="","",P_Importdatum)</f>
        <v/>
      </c>
      <c r="D1164" s="92" t="str">
        <f>IF($AG1164="","",P_StatusVastleg)</f>
        <v/>
      </c>
      <c r="E1164" s="92" t="str">
        <f>IF($AG1164="","",P_UploadVJ)</f>
        <v/>
      </c>
      <c r="F1164" s="92" t="str">
        <f>IF($AG1164="","",P_UploadVersie)</f>
        <v/>
      </c>
      <c r="G1164" s="92" t="str">
        <f>IF($AG1164="","",IF(COUNTIFS(L_Sleutel,$S1164,L_Status,"Vastgesteld")=0,0,_xlfn.MAXIFS(L_Revisie,L_Sleutel,$S1164,L_Status,"Vastgesteld")+1))</f>
        <v/>
      </c>
      <c r="H1164" s="108" t="str">
        <f>IF($AG1164="","",P_Peildatum)</f>
        <v/>
      </c>
      <c r="I1164" s="92" t="str">
        <f>IF($AG1164="","",P_RJ+INDEX($AK$8:$AK$21,INDEX($AC$8:$AC$1407,$AG1164)+1))</f>
        <v/>
      </c>
      <c r="J1164" s="92" t="str">
        <f>IF($AG1164="","",INDEX(V_WBS,INDEX($AB$8:$AB$1407,$AG1164)))</f>
        <v/>
      </c>
      <c r="K1164" s="92" t="str">
        <f>IF($AG1164="","",INDEX(V_Projdef,INDEX($AB$8:$AB$1407,$AG1164)))</f>
        <v/>
      </c>
      <c r="L1164" s="92" t="str">
        <f>IF($AG1164="","",INDEX(V_Naam,INDEX($AB$8:$AB$1407,$AG1164)))</f>
        <v/>
      </c>
      <c r="M1164" s="92" t="str">
        <f>IF($AG1164="","",INDEX(V_Type,INDEX($AB$8:$AB$1407,$AG1164)))</f>
        <v/>
      </c>
      <c r="N1164" s="92" t="str">
        <f>IF($AG1164="","",INDEX(V_IFRS,INDEX($AB$8:$AB$1407,$AG1164)))</f>
        <v/>
      </c>
      <c r="O1164" s="92" t="str">
        <f>IF($AG1164="","",INDEX($AL$8:$AL$21,INDEX($AC$8:$AC$1407,$AG1164)+1))</f>
        <v/>
      </c>
      <c r="P1164" s="109" t="str">
        <f>IF($AG1164="","",INDEX($AD$8:$AD$1407,$AG1164))</f>
        <v/>
      </c>
      <c r="Q1164" s="92" t="str">
        <f>IF($AG1164="","",INDEX($AM$8:$AM$21,INDEX($AC$8:$AC$1407,$AG1164)+1))</f>
        <v/>
      </c>
      <c r="R1164" s="92" t="str">
        <f>IF($AG1164="","",IF($G1164&gt;0,P_ToelCorrectie&amp;"",""))</f>
        <v/>
      </c>
      <c r="S1164" s="15" t="str">
        <f>IF(J1164="","",J1164&amp;"|"&amp;E1164&amp;"|"&amp;F1164&amp;"|"&amp;I1164&amp;"|"&amp;O1164)</f>
        <v/>
      </c>
      <c r="T1164" s="111" t="str">
        <f>IF(S1164="","",IF(COUNTIFS(L_Sleutel,S1164,L_Actief,1)=0,"",SUMIFS(L_Waarde,L_Sleutel,S1164,L_Actief,1)))</f>
        <v/>
      </c>
      <c r="U1164" s="111">
        <f>IF(OR(S1164="",T1164=""),0,P1164-T1164)</f>
        <v>0</v>
      </c>
      <c r="AB1164" s="112" t="n">
        <v>83</v>
      </c>
      <c r="AC1164" s="112" t="n">
        <v>8</v>
      </c>
      <c r="AD1164" s="112" t="str">
        <f>VERW_Project!BQ88</f>
        <v/>
      </c>
      <c r="AE1164" s="112">
        <f>IF(AND(VERW_Project!$A88&lt;&gt;"",ISNUMBER(AD1164)),1,0)</f>
        <v>0</v>
      </c>
      <c r="AF1164" s="112" t="str">
        <f>IF(AE1164=1,SUM($AE$8:AE1164),"")</f>
        <v/>
      </c>
      <c r="AG1164" t="str">
        <f>IFERROR(MATCH(1157,$AF$8:$AF$1407,0),"")</f>
        <v/>
      </c>
    </row>
    <row r="1165">
      <c r="A1165" s="92" t="str">
        <f>IF($AG1165="","",P_ImportID)</f>
        <v/>
      </c>
      <c r="B1165" s="92" t="str">
        <f>IF($AG1165="","",IF(INDEX($AN$8:$AN$21,INDEX($AC$8:$AC$1407,$AG1165)+1)="Z",P_BronZ,P_BronE))</f>
        <v/>
      </c>
      <c r="C1165" s="108" t="str">
        <f>IF($AG1165="","",P_Importdatum)</f>
        <v/>
      </c>
      <c r="D1165" s="92" t="str">
        <f>IF($AG1165="","",P_StatusVastleg)</f>
        <v/>
      </c>
      <c r="E1165" s="92" t="str">
        <f>IF($AG1165="","",P_UploadVJ)</f>
        <v/>
      </c>
      <c r="F1165" s="92" t="str">
        <f>IF($AG1165="","",P_UploadVersie)</f>
        <v/>
      </c>
      <c r="G1165" s="92" t="str">
        <f>IF($AG1165="","",IF(COUNTIFS(L_Sleutel,$S1165,L_Status,"Vastgesteld")=0,0,_xlfn.MAXIFS(L_Revisie,L_Sleutel,$S1165,L_Status,"Vastgesteld")+1))</f>
        <v/>
      </c>
      <c r="H1165" s="108" t="str">
        <f>IF($AG1165="","",P_Peildatum)</f>
        <v/>
      </c>
      <c r="I1165" s="92" t="str">
        <f>IF($AG1165="","",P_RJ+INDEX($AK$8:$AK$21,INDEX($AC$8:$AC$1407,$AG1165)+1))</f>
        <v/>
      </c>
      <c r="J1165" s="92" t="str">
        <f>IF($AG1165="","",INDEX(V_WBS,INDEX($AB$8:$AB$1407,$AG1165)))</f>
        <v/>
      </c>
      <c r="K1165" s="92" t="str">
        <f>IF($AG1165="","",INDEX(V_Projdef,INDEX($AB$8:$AB$1407,$AG1165)))</f>
        <v/>
      </c>
      <c r="L1165" s="92" t="str">
        <f>IF($AG1165="","",INDEX(V_Naam,INDEX($AB$8:$AB$1407,$AG1165)))</f>
        <v/>
      </c>
      <c r="M1165" s="92" t="str">
        <f>IF($AG1165="","",INDEX(V_Type,INDEX($AB$8:$AB$1407,$AG1165)))</f>
        <v/>
      </c>
      <c r="N1165" s="92" t="str">
        <f>IF($AG1165="","",INDEX(V_IFRS,INDEX($AB$8:$AB$1407,$AG1165)))</f>
        <v/>
      </c>
      <c r="O1165" s="92" t="str">
        <f>IF($AG1165="","",INDEX($AL$8:$AL$21,INDEX($AC$8:$AC$1407,$AG1165)+1))</f>
        <v/>
      </c>
      <c r="P1165" s="109" t="str">
        <f>IF($AG1165="","",INDEX($AD$8:$AD$1407,$AG1165))</f>
        <v/>
      </c>
      <c r="Q1165" s="92" t="str">
        <f>IF($AG1165="","",INDEX($AM$8:$AM$21,INDEX($AC$8:$AC$1407,$AG1165)+1))</f>
        <v/>
      </c>
      <c r="R1165" s="92" t="str">
        <f>IF($AG1165="","",IF($G1165&gt;0,P_ToelCorrectie&amp;"",""))</f>
        <v/>
      </c>
      <c r="S1165" s="15" t="str">
        <f>IF(J1165="","",J1165&amp;"|"&amp;E1165&amp;"|"&amp;F1165&amp;"|"&amp;I1165&amp;"|"&amp;O1165)</f>
        <v/>
      </c>
      <c r="T1165" s="111" t="str">
        <f>IF(S1165="","",IF(COUNTIFS(L_Sleutel,S1165,L_Actief,1)=0,"",SUMIFS(L_Waarde,L_Sleutel,S1165,L_Actief,1)))</f>
        <v/>
      </c>
      <c r="U1165" s="111">
        <f>IF(OR(S1165="",T1165=""),0,P1165-T1165)</f>
        <v>0</v>
      </c>
      <c r="AB1165" s="112" t="n">
        <v>83</v>
      </c>
      <c r="AC1165" s="112" t="n">
        <v>9</v>
      </c>
      <c r="AD1165" s="112" t="str">
        <f>VERW_Project!BR88</f>
        <v/>
      </c>
      <c r="AE1165" s="112">
        <f>IF(AND(VERW_Project!$A88&lt;&gt;"",ISNUMBER(AD1165)),1,0)</f>
        <v>0</v>
      </c>
      <c r="AF1165" s="112" t="str">
        <f>IF(AE1165=1,SUM($AE$8:AE1165),"")</f>
        <v/>
      </c>
      <c r="AG1165" t="str">
        <f>IFERROR(MATCH(1158,$AF$8:$AF$1407,0),"")</f>
        <v/>
      </c>
    </row>
    <row r="1166">
      <c r="A1166" s="92" t="str">
        <f>IF($AG1166="","",P_ImportID)</f>
        <v/>
      </c>
      <c r="B1166" s="92" t="str">
        <f>IF($AG1166="","",IF(INDEX($AN$8:$AN$21,INDEX($AC$8:$AC$1407,$AG1166)+1)="Z",P_BronZ,P_BronE))</f>
        <v/>
      </c>
      <c r="C1166" s="108" t="str">
        <f>IF($AG1166="","",P_Importdatum)</f>
        <v/>
      </c>
      <c r="D1166" s="92" t="str">
        <f>IF($AG1166="","",P_StatusVastleg)</f>
        <v/>
      </c>
      <c r="E1166" s="92" t="str">
        <f>IF($AG1166="","",P_UploadVJ)</f>
        <v/>
      </c>
      <c r="F1166" s="92" t="str">
        <f>IF($AG1166="","",P_UploadVersie)</f>
        <v/>
      </c>
      <c r="G1166" s="92" t="str">
        <f>IF($AG1166="","",IF(COUNTIFS(L_Sleutel,$S1166,L_Status,"Vastgesteld")=0,0,_xlfn.MAXIFS(L_Revisie,L_Sleutel,$S1166,L_Status,"Vastgesteld")+1))</f>
        <v/>
      </c>
      <c r="H1166" s="108" t="str">
        <f>IF($AG1166="","",P_Peildatum)</f>
        <v/>
      </c>
      <c r="I1166" s="92" t="str">
        <f>IF($AG1166="","",P_RJ+INDEX($AK$8:$AK$21,INDEX($AC$8:$AC$1407,$AG1166)+1))</f>
        <v/>
      </c>
      <c r="J1166" s="92" t="str">
        <f>IF($AG1166="","",INDEX(V_WBS,INDEX($AB$8:$AB$1407,$AG1166)))</f>
        <v/>
      </c>
      <c r="K1166" s="92" t="str">
        <f>IF($AG1166="","",INDEX(V_Projdef,INDEX($AB$8:$AB$1407,$AG1166)))</f>
        <v/>
      </c>
      <c r="L1166" s="92" t="str">
        <f>IF($AG1166="","",INDEX(V_Naam,INDEX($AB$8:$AB$1407,$AG1166)))</f>
        <v/>
      </c>
      <c r="M1166" s="92" t="str">
        <f>IF($AG1166="","",INDEX(V_Type,INDEX($AB$8:$AB$1407,$AG1166)))</f>
        <v/>
      </c>
      <c r="N1166" s="92" t="str">
        <f>IF($AG1166="","",INDEX(V_IFRS,INDEX($AB$8:$AB$1407,$AG1166)))</f>
        <v/>
      </c>
      <c r="O1166" s="92" t="str">
        <f>IF($AG1166="","",INDEX($AL$8:$AL$21,INDEX($AC$8:$AC$1407,$AG1166)+1))</f>
        <v/>
      </c>
      <c r="P1166" s="109" t="str">
        <f>IF($AG1166="","",INDEX($AD$8:$AD$1407,$AG1166))</f>
        <v/>
      </c>
      <c r="Q1166" s="92" t="str">
        <f>IF($AG1166="","",INDEX($AM$8:$AM$21,INDEX($AC$8:$AC$1407,$AG1166)+1))</f>
        <v/>
      </c>
      <c r="R1166" s="92" t="str">
        <f>IF($AG1166="","",IF($G1166&gt;0,P_ToelCorrectie&amp;"",""))</f>
        <v/>
      </c>
      <c r="S1166" s="15" t="str">
        <f>IF(J1166="","",J1166&amp;"|"&amp;E1166&amp;"|"&amp;F1166&amp;"|"&amp;I1166&amp;"|"&amp;O1166)</f>
        <v/>
      </c>
      <c r="T1166" s="111" t="str">
        <f>IF(S1166="","",IF(COUNTIFS(L_Sleutel,S1166,L_Actief,1)=0,"",SUMIFS(L_Waarde,L_Sleutel,S1166,L_Actief,1)))</f>
        <v/>
      </c>
      <c r="U1166" s="111">
        <f>IF(OR(S1166="",T1166=""),0,P1166-T1166)</f>
        <v>0</v>
      </c>
      <c r="AB1166" s="112" t="n">
        <v>83</v>
      </c>
      <c r="AC1166" s="112" t="n">
        <v>10</v>
      </c>
      <c r="AD1166" s="112" t="str">
        <f>VERW_Project!BS88</f>
        <v/>
      </c>
      <c r="AE1166" s="112">
        <f>IF(AND(VERW_Project!$A88&lt;&gt;"",ISNUMBER(AD1166)),1,0)</f>
        <v>0</v>
      </c>
      <c r="AF1166" s="112" t="str">
        <f>IF(AE1166=1,SUM($AE$8:AE1166),"")</f>
        <v/>
      </c>
      <c r="AG1166" t="str">
        <f>IFERROR(MATCH(1159,$AF$8:$AF$1407,0),"")</f>
        <v/>
      </c>
    </row>
    <row r="1167">
      <c r="A1167" s="92" t="str">
        <f>IF($AG1167="","",P_ImportID)</f>
        <v/>
      </c>
      <c r="B1167" s="92" t="str">
        <f>IF($AG1167="","",IF(INDEX($AN$8:$AN$21,INDEX($AC$8:$AC$1407,$AG1167)+1)="Z",P_BronZ,P_BronE))</f>
        <v/>
      </c>
      <c r="C1167" s="108" t="str">
        <f>IF($AG1167="","",P_Importdatum)</f>
        <v/>
      </c>
      <c r="D1167" s="92" t="str">
        <f>IF($AG1167="","",P_StatusVastleg)</f>
        <v/>
      </c>
      <c r="E1167" s="92" t="str">
        <f>IF($AG1167="","",P_UploadVJ)</f>
        <v/>
      </c>
      <c r="F1167" s="92" t="str">
        <f>IF($AG1167="","",P_UploadVersie)</f>
        <v/>
      </c>
      <c r="G1167" s="92" t="str">
        <f>IF($AG1167="","",IF(COUNTIFS(L_Sleutel,$S1167,L_Status,"Vastgesteld")=0,0,_xlfn.MAXIFS(L_Revisie,L_Sleutel,$S1167,L_Status,"Vastgesteld")+1))</f>
        <v/>
      </c>
      <c r="H1167" s="108" t="str">
        <f>IF($AG1167="","",P_Peildatum)</f>
        <v/>
      </c>
      <c r="I1167" s="92" t="str">
        <f>IF($AG1167="","",P_RJ+INDEX($AK$8:$AK$21,INDEX($AC$8:$AC$1407,$AG1167)+1))</f>
        <v/>
      </c>
      <c r="J1167" s="92" t="str">
        <f>IF($AG1167="","",INDEX(V_WBS,INDEX($AB$8:$AB$1407,$AG1167)))</f>
        <v/>
      </c>
      <c r="K1167" s="92" t="str">
        <f>IF($AG1167="","",INDEX(V_Projdef,INDEX($AB$8:$AB$1407,$AG1167)))</f>
        <v/>
      </c>
      <c r="L1167" s="92" t="str">
        <f>IF($AG1167="","",INDEX(V_Naam,INDEX($AB$8:$AB$1407,$AG1167)))</f>
        <v/>
      </c>
      <c r="M1167" s="92" t="str">
        <f>IF($AG1167="","",INDEX(V_Type,INDEX($AB$8:$AB$1407,$AG1167)))</f>
        <v/>
      </c>
      <c r="N1167" s="92" t="str">
        <f>IF($AG1167="","",INDEX(V_IFRS,INDEX($AB$8:$AB$1407,$AG1167)))</f>
        <v/>
      </c>
      <c r="O1167" s="92" t="str">
        <f>IF($AG1167="","",INDEX($AL$8:$AL$21,INDEX($AC$8:$AC$1407,$AG1167)+1))</f>
        <v/>
      </c>
      <c r="P1167" s="109" t="str">
        <f>IF($AG1167="","",INDEX($AD$8:$AD$1407,$AG1167))</f>
        <v/>
      </c>
      <c r="Q1167" s="92" t="str">
        <f>IF($AG1167="","",INDEX($AM$8:$AM$21,INDEX($AC$8:$AC$1407,$AG1167)+1))</f>
        <v/>
      </c>
      <c r="R1167" s="92" t="str">
        <f>IF($AG1167="","",IF($G1167&gt;0,P_ToelCorrectie&amp;"",""))</f>
        <v/>
      </c>
      <c r="S1167" s="15" t="str">
        <f>IF(J1167="","",J1167&amp;"|"&amp;E1167&amp;"|"&amp;F1167&amp;"|"&amp;I1167&amp;"|"&amp;O1167)</f>
        <v/>
      </c>
      <c r="T1167" s="111" t="str">
        <f>IF(S1167="","",IF(COUNTIFS(L_Sleutel,S1167,L_Actief,1)=0,"",SUMIFS(L_Waarde,L_Sleutel,S1167,L_Actief,1)))</f>
        <v/>
      </c>
      <c r="U1167" s="111">
        <f>IF(OR(S1167="",T1167=""),0,P1167-T1167)</f>
        <v>0</v>
      </c>
      <c r="AB1167" s="112" t="n">
        <v>83</v>
      </c>
      <c r="AC1167" s="112" t="n">
        <v>11</v>
      </c>
      <c r="AD1167" s="112" t="str">
        <f>VERW_Project!BT88</f>
        <v/>
      </c>
      <c r="AE1167" s="112">
        <f>IF(AND(VERW_Project!$A88&lt;&gt;"",ISNUMBER(AD1167)),1,0)</f>
        <v>0</v>
      </c>
      <c r="AF1167" s="112" t="str">
        <f>IF(AE1167=1,SUM($AE$8:AE1167),"")</f>
        <v/>
      </c>
      <c r="AG1167" t="str">
        <f>IFERROR(MATCH(1160,$AF$8:$AF$1407,0),"")</f>
        <v/>
      </c>
    </row>
    <row r="1168">
      <c r="A1168" s="92" t="str">
        <f>IF($AG1168="","",P_ImportID)</f>
        <v/>
      </c>
      <c r="B1168" s="92" t="str">
        <f>IF($AG1168="","",IF(INDEX($AN$8:$AN$21,INDEX($AC$8:$AC$1407,$AG1168)+1)="Z",P_BronZ,P_BronE))</f>
        <v/>
      </c>
      <c r="C1168" s="108" t="str">
        <f>IF($AG1168="","",P_Importdatum)</f>
        <v/>
      </c>
      <c r="D1168" s="92" t="str">
        <f>IF($AG1168="","",P_StatusVastleg)</f>
        <v/>
      </c>
      <c r="E1168" s="92" t="str">
        <f>IF($AG1168="","",P_UploadVJ)</f>
        <v/>
      </c>
      <c r="F1168" s="92" t="str">
        <f>IF($AG1168="","",P_UploadVersie)</f>
        <v/>
      </c>
      <c r="G1168" s="92" t="str">
        <f>IF($AG1168="","",IF(COUNTIFS(L_Sleutel,$S1168,L_Status,"Vastgesteld")=0,0,_xlfn.MAXIFS(L_Revisie,L_Sleutel,$S1168,L_Status,"Vastgesteld")+1))</f>
        <v/>
      </c>
      <c r="H1168" s="108" t="str">
        <f>IF($AG1168="","",P_Peildatum)</f>
        <v/>
      </c>
      <c r="I1168" s="92" t="str">
        <f>IF($AG1168="","",P_RJ+INDEX($AK$8:$AK$21,INDEX($AC$8:$AC$1407,$AG1168)+1))</f>
        <v/>
      </c>
      <c r="J1168" s="92" t="str">
        <f>IF($AG1168="","",INDEX(V_WBS,INDEX($AB$8:$AB$1407,$AG1168)))</f>
        <v/>
      </c>
      <c r="K1168" s="92" t="str">
        <f>IF($AG1168="","",INDEX(V_Projdef,INDEX($AB$8:$AB$1407,$AG1168)))</f>
        <v/>
      </c>
      <c r="L1168" s="92" t="str">
        <f>IF($AG1168="","",INDEX(V_Naam,INDEX($AB$8:$AB$1407,$AG1168)))</f>
        <v/>
      </c>
      <c r="M1168" s="92" t="str">
        <f>IF($AG1168="","",INDEX(V_Type,INDEX($AB$8:$AB$1407,$AG1168)))</f>
        <v/>
      </c>
      <c r="N1168" s="92" t="str">
        <f>IF($AG1168="","",INDEX(V_IFRS,INDEX($AB$8:$AB$1407,$AG1168)))</f>
        <v/>
      </c>
      <c r="O1168" s="92" t="str">
        <f>IF($AG1168="","",INDEX($AL$8:$AL$21,INDEX($AC$8:$AC$1407,$AG1168)+1))</f>
        <v/>
      </c>
      <c r="P1168" s="109" t="str">
        <f>IF($AG1168="","",INDEX($AD$8:$AD$1407,$AG1168))</f>
        <v/>
      </c>
      <c r="Q1168" s="92" t="str">
        <f>IF($AG1168="","",INDEX($AM$8:$AM$21,INDEX($AC$8:$AC$1407,$AG1168)+1))</f>
        <v/>
      </c>
      <c r="R1168" s="92" t="str">
        <f>IF($AG1168="","",IF($G1168&gt;0,P_ToelCorrectie&amp;"",""))</f>
        <v/>
      </c>
      <c r="S1168" s="15" t="str">
        <f>IF(J1168="","",J1168&amp;"|"&amp;E1168&amp;"|"&amp;F1168&amp;"|"&amp;I1168&amp;"|"&amp;O1168)</f>
        <v/>
      </c>
      <c r="T1168" s="111" t="str">
        <f>IF(S1168="","",IF(COUNTIFS(L_Sleutel,S1168,L_Actief,1)=0,"",SUMIFS(L_Waarde,L_Sleutel,S1168,L_Actief,1)))</f>
        <v/>
      </c>
      <c r="U1168" s="111">
        <f>IF(OR(S1168="",T1168=""),0,P1168-T1168)</f>
        <v>0</v>
      </c>
      <c r="AB1168" s="112" t="n">
        <v>83</v>
      </c>
      <c r="AC1168" s="112" t="n">
        <v>12</v>
      </c>
      <c r="AD1168" s="112" t="str">
        <f>VERW_Project!BU88</f>
        <v/>
      </c>
      <c r="AE1168" s="112">
        <f>IF(AND(VERW_Project!$A88&lt;&gt;"",ISNUMBER(AD1168)),1,0)</f>
        <v>0</v>
      </c>
      <c r="AF1168" s="112" t="str">
        <f>IF(AE1168=1,SUM($AE$8:AE1168),"")</f>
        <v/>
      </c>
      <c r="AG1168" t="str">
        <f>IFERROR(MATCH(1161,$AF$8:$AF$1407,0),"")</f>
        <v/>
      </c>
    </row>
    <row r="1169">
      <c r="A1169" s="92" t="str">
        <f>IF($AG1169="","",P_ImportID)</f>
        <v/>
      </c>
      <c r="B1169" s="92" t="str">
        <f>IF($AG1169="","",IF(INDEX($AN$8:$AN$21,INDEX($AC$8:$AC$1407,$AG1169)+1)="Z",P_BronZ,P_BronE))</f>
        <v/>
      </c>
      <c r="C1169" s="108" t="str">
        <f>IF($AG1169="","",P_Importdatum)</f>
        <v/>
      </c>
      <c r="D1169" s="92" t="str">
        <f>IF($AG1169="","",P_StatusVastleg)</f>
        <v/>
      </c>
      <c r="E1169" s="92" t="str">
        <f>IF($AG1169="","",P_UploadVJ)</f>
        <v/>
      </c>
      <c r="F1169" s="92" t="str">
        <f>IF($AG1169="","",P_UploadVersie)</f>
        <v/>
      </c>
      <c r="G1169" s="92" t="str">
        <f>IF($AG1169="","",IF(COUNTIFS(L_Sleutel,$S1169,L_Status,"Vastgesteld")=0,0,_xlfn.MAXIFS(L_Revisie,L_Sleutel,$S1169,L_Status,"Vastgesteld")+1))</f>
        <v/>
      </c>
      <c r="H1169" s="108" t="str">
        <f>IF($AG1169="","",P_Peildatum)</f>
        <v/>
      </c>
      <c r="I1169" s="92" t="str">
        <f>IF($AG1169="","",P_RJ+INDEX($AK$8:$AK$21,INDEX($AC$8:$AC$1407,$AG1169)+1))</f>
        <v/>
      </c>
      <c r="J1169" s="92" t="str">
        <f>IF($AG1169="","",INDEX(V_WBS,INDEX($AB$8:$AB$1407,$AG1169)))</f>
        <v/>
      </c>
      <c r="K1169" s="92" t="str">
        <f>IF($AG1169="","",INDEX(V_Projdef,INDEX($AB$8:$AB$1407,$AG1169)))</f>
        <v/>
      </c>
      <c r="L1169" s="92" t="str">
        <f>IF($AG1169="","",INDEX(V_Naam,INDEX($AB$8:$AB$1407,$AG1169)))</f>
        <v/>
      </c>
      <c r="M1169" s="92" t="str">
        <f>IF($AG1169="","",INDEX(V_Type,INDEX($AB$8:$AB$1407,$AG1169)))</f>
        <v/>
      </c>
      <c r="N1169" s="92" t="str">
        <f>IF($AG1169="","",INDEX(V_IFRS,INDEX($AB$8:$AB$1407,$AG1169)))</f>
        <v/>
      </c>
      <c r="O1169" s="92" t="str">
        <f>IF($AG1169="","",INDEX($AL$8:$AL$21,INDEX($AC$8:$AC$1407,$AG1169)+1))</f>
        <v/>
      </c>
      <c r="P1169" s="109" t="str">
        <f>IF($AG1169="","",INDEX($AD$8:$AD$1407,$AG1169))</f>
        <v/>
      </c>
      <c r="Q1169" s="92" t="str">
        <f>IF($AG1169="","",INDEX($AM$8:$AM$21,INDEX($AC$8:$AC$1407,$AG1169)+1))</f>
        <v/>
      </c>
      <c r="R1169" s="92" t="str">
        <f>IF($AG1169="","",IF($G1169&gt;0,P_ToelCorrectie&amp;"",""))</f>
        <v/>
      </c>
      <c r="S1169" s="15" t="str">
        <f>IF(J1169="","",J1169&amp;"|"&amp;E1169&amp;"|"&amp;F1169&amp;"|"&amp;I1169&amp;"|"&amp;O1169)</f>
        <v/>
      </c>
      <c r="T1169" s="111" t="str">
        <f>IF(S1169="","",IF(COUNTIFS(L_Sleutel,S1169,L_Actief,1)=0,"",SUMIFS(L_Waarde,L_Sleutel,S1169,L_Actief,1)))</f>
        <v/>
      </c>
      <c r="U1169" s="111">
        <f>IF(OR(S1169="",T1169=""),0,P1169-T1169)</f>
        <v>0</v>
      </c>
      <c r="AB1169" s="112" t="n">
        <v>83</v>
      </c>
      <c r="AC1169" s="112" t="n">
        <v>13</v>
      </c>
      <c r="AD1169" s="112" t="str">
        <f>VERW_Project!BX88</f>
        <v/>
      </c>
      <c r="AE1169" s="112">
        <f>IF(AND(VERW_Project!$A88&lt;&gt;"",ISNUMBER(AD1169)),1,0)</f>
        <v>0</v>
      </c>
      <c r="AF1169" s="112" t="str">
        <f>IF(AE1169=1,SUM($AE$8:AE1169),"")</f>
        <v/>
      </c>
      <c r="AG1169" t="str">
        <f>IFERROR(MATCH(1162,$AF$8:$AF$1407,0),"")</f>
        <v/>
      </c>
    </row>
    <row r="1170">
      <c r="A1170" s="92" t="str">
        <f>IF($AG1170="","",P_ImportID)</f>
        <v/>
      </c>
      <c r="B1170" s="92" t="str">
        <f>IF($AG1170="","",IF(INDEX($AN$8:$AN$21,INDEX($AC$8:$AC$1407,$AG1170)+1)="Z",P_BronZ,P_BronE))</f>
        <v/>
      </c>
      <c r="C1170" s="108" t="str">
        <f>IF($AG1170="","",P_Importdatum)</f>
        <v/>
      </c>
      <c r="D1170" s="92" t="str">
        <f>IF($AG1170="","",P_StatusVastleg)</f>
        <v/>
      </c>
      <c r="E1170" s="92" t="str">
        <f>IF($AG1170="","",P_UploadVJ)</f>
        <v/>
      </c>
      <c r="F1170" s="92" t="str">
        <f>IF($AG1170="","",P_UploadVersie)</f>
        <v/>
      </c>
      <c r="G1170" s="92" t="str">
        <f>IF($AG1170="","",IF(COUNTIFS(L_Sleutel,$S1170,L_Status,"Vastgesteld")=0,0,_xlfn.MAXIFS(L_Revisie,L_Sleutel,$S1170,L_Status,"Vastgesteld")+1))</f>
        <v/>
      </c>
      <c r="H1170" s="108" t="str">
        <f>IF($AG1170="","",P_Peildatum)</f>
        <v/>
      </c>
      <c r="I1170" s="92" t="str">
        <f>IF($AG1170="","",P_RJ+INDEX($AK$8:$AK$21,INDEX($AC$8:$AC$1407,$AG1170)+1))</f>
        <v/>
      </c>
      <c r="J1170" s="92" t="str">
        <f>IF($AG1170="","",INDEX(V_WBS,INDEX($AB$8:$AB$1407,$AG1170)))</f>
        <v/>
      </c>
      <c r="K1170" s="92" t="str">
        <f>IF($AG1170="","",INDEX(V_Projdef,INDEX($AB$8:$AB$1407,$AG1170)))</f>
        <v/>
      </c>
      <c r="L1170" s="92" t="str">
        <f>IF($AG1170="","",INDEX(V_Naam,INDEX($AB$8:$AB$1407,$AG1170)))</f>
        <v/>
      </c>
      <c r="M1170" s="92" t="str">
        <f>IF($AG1170="","",INDEX(V_Type,INDEX($AB$8:$AB$1407,$AG1170)))</f>
        <v/>
      </c>
      <c r="N1170" s="92" t="str">
        <f>IF($AG1170="","",INDEX(V_IFRS,INDEX($AB$8:$AB$1407,$AG1170)))</f>
        <v/>
      </c>
      <c r="O1170" s="92" t="str">
        <f>IF($AG1170="","",INDEX($AL$8:$AL$21,INDEX($AC$8:$AC$1407,$AG1170)+1))</f>
        <v/>
      </c>
      <c r="P1170" s="109" t="str">
        <f>IF($AG1170="","",INDEX($AD$8:$AD$1407,$AG1170))</f>
        <v/>
      </c>
      <c r="Q1170" s="92" t="str">
        <f>IF($AG1170="","",INDEX($AM$8:$AM$21,INDEX($AC$8:$AC$1407,$AG1170)+1))</f>
        <v/>
      </c>
      <c r="R1170" s="92" t="str">
        <f>IF($AG1170="","",IF($G1170&gt;0,P_ToelCorrectie&amp;"",""))</f>
        <v/>
      </c>
      <c r="S1170" s="15" t="str">
        <f>IF(J1170="","",J1170&amp;"|"&amp;E1170&amp;"|"&amp;F1170&amp;"|"&amp;I1170&amp;"|"&amp;O1170)</f>
        <v/>
      </c>
      <c r="T1170" s="111" t="str">
        <f>IF(S1170="","",IF(COUNTIFS(L_Sleutel,S1170,L_Actief,1)=0,"",SUMIFS(L_Waarde,L_Sleutel,S1170,L_Actief,1)))</f>
        <v/>
      </c>
      <c r="U1170" s="111">
        <f>IF(OR(S1170="",T1170=""),0,P1170-T1170)</f>
        <v>0</v>
      </c>
      <c r="AB1170" s="112" t="n">
        <v>84</v>
      </c>
      <c r="AC1170" s="112" t="n">
        <v>0</v>
      </c>
      <c r="AD1170" s="112" t="str">
        <f>VERW_Project!P89</f>
        <v/>
      </c>
      <c r="AE1170" s="112">
        <f>IF(AND(VERW_Project!$A89&lt;&gt;"",ISNUMBER(AD1170)),1,0)</f>
        <v>0</v>
      </c>
      <c r="AF1170" s="112" t="str">
        <f>IF(AE1170=1,SUM($AE$8:AE1170),"")</f>
        <v/>
      </c>
      <c r="AG1170" t="str">
        <f>IFERROR(MATCH(1163,$AF$8:$AF$1407,0),"")</f>
        <v/>
      </c>
    </row>
    <row r="1171">
      <c r="A1171" s="92" t="str">
        <f>IF($AG1171="","",P_ImportID)</f>
        <v/>
      </c>
      <c r="B1171" s="92" t="str">
        <f>IF($AG1171="","",IF(INDEX($AN$8:$AN$21,INDEX($AC$8:$AC$1407,$AG1171)+1)="Z",P_BronZ,P_BronE))</f>
        <v/>
      </c>
      <c r="C1171" s="108" t="str">
        <f>IF($AG1171="","",P_Importdatum)</f>
        <v/>
      </c>
      <c r="D1171" s="92" t="str">
        <f>IF($AG1171="","",P_StatusVastleg)</f>
        <v/>
      </c>
      <c r="E1171" s="92" t="str">
        <f>IF($AG1171="","",P_UploadVJ)</f>
        <v/>
      </c>
      <c r="F1171" s="92" t="str">
        <f>IF($AG1171="","",P_UploadVersie)</f>
        <v/>
      </c>
      <c r="G1171" s="92" t="str">
        <f>IF($AG1171="","",IF(COUNTIFS(L_Sleutel,$S1171,L_Status,"Vastgesteld")=0,0,_xlfn.MAXIFS(L_Revisie,L_Sleutel,$S1171,L_Status,"Vastgesteld")+1))</f>
        <v/>
      </c>
      <c r="H1171" s="108" t="str">
        <f>IF($AG1171="","",P_Peildatum)</f>
        <v/>
      </c>
      <c r="I1171" s="92" t="str">
        <f>IF($AG1171="","",P_RJ+INDEX($AK$8:$AK$21,INDEX($AC$8:$AC$1407,$AG1171)+1))</f>
        <v/>
      </c>
      <c r="J1171" s="92" t="str">
        <f>IF($AG1171="","",INDEX(V_WBS,INDEX($AB$8:$AB$1407,$AG1171)))</f>
        <v/>
      </c>
      <c r="K1171" s="92" t="str">
        <f>IF($AG1171="","",INDEX(V_Projdef,INDEX($AB$8:$AB$1407,$AG1171)))</f>
        <v/>
      </c>
      <c r="L1171" s="92" t="str">
        <f>IF($AG1171="","",INDEX(V_Naam,INDEX($AB$8:$AB$1407,$AG1171)))</f>
        <v/>
      </c>
      <c r="M1171" s="92" t="str">
        <f>IF($AG1171="","",INDEX(V_Type,INDEX($AB$8:$AB$1407,$AG1171)))</f>
        <v/>
      </c>
      <c r="N1171" s="92" t="str">
        <f>IF($AG1171="","",INDEX(V_IFRS,INDEX($AB$8:$AB$1407,$AG1171)))</f>
        <v/>
      </c>
      <c r="O1171" s="92" t="str">
        <f>IF($AG1171="","",INDEX($AL$8:$AL$21,INDEX($AC$8:$AC$1407,$AG1171)+1))</f>
        <v/>
      </c>
      <c r="P1171" s="109" t="str">
        <f>IF($AG1171="","",INDEX($AD$8:$AD$1407,$AG1171))</f>
        <v/>
      </c>
      <c r="Q1171" s="92" t="str">
        <f>IF($AG1171="","",INDEX($AM$8:$AM$21,INDEX($AC$8:$AC$1407,$AG1171)+1))</f>
        <v/>
      </c>
      <c r="R1171" s="92" t="str">
        <f>IF($AG1171="","",IF($G1171&gt;0,P_ToelCorrectie&amp;"",""))</f>
        <v/>
      </c>
      <c r="S1171" s="15" t="str">
        <f>IF(J1171="","",J1171&amp;"|"&amp;E1171&amp;"|"&amp;F1171&amp;"|"&amp;I1171&amp;"|"&amp;O1171)</f>
        <v/>
      </c>
      <c r="T1171" s="111" t="str">
        <f>IF(S1171="","",IF(COUNTIFS(L_Sleutel,S1171,L_Actief,1)=0,"",SUMIFS(L_Waarde,L_Sleutel,S1171,L_Actief,1)))</f>
        <v/>
      </c>
      <c r="U1171" s="111">
        <f>IF(OR(S1171="",T1171=""),0,P1171-T1171)</f>
        <v>0</v>
      </c>
      <c r="AB1171" s="112" t="n">
        <v>84</v>
      </c>
      <c r="AC1171" s="112" t="n">
        <v>1</v>
      </c>
      <c r="AD1171" s="112" t="str">
        <f>VERW_Project!Q89</f>
        <v/>
      </c>
      <c r="AE1171" s="112">
        <f>IF(AND(VERW_Project!$A89&lt;&gt;"",ISNUMBER(AD1171)),1,0)</f>
        <v>0</v>
      </c>
      <c r="AF1171" s="112" t="str">
        <f>IF(AE1171=1,SUM($AE$8:AE1171),"")</f>
        <v/>
      </c>
      <c r="AG1171" t="str">
        <f>IFERROR(MATCH(1164,$AF$8:$AF$1407,0),"")</f>
        <v/>
      </c>
    </row>
    <row r="1172">
      <c r="A1172" s="92" t="str">
        <f>IF($AG1172="","",P_ImportID)</f>
        <v/>
      </c>
      <c r="B1172" s="92" t="str">
        <f>IF($AG1172="","",IF(INDEX($AN$8:$AN$21,INDEX($AC$8:$AC$1407,$AG1172)+1)="Z",P_BronZ,P_BronE))</f>
        <v/>
      </c>
      <c r="C1172" s="108" t="str">
        <f>IF($AG1172="","",P_Importdatum)</f>
        <v/>
      </c>
      <c r="D1172" s="92" t="str">
        <f>IF($AG1172="","",P_StatusVastleg)</f>
        <v/>
      </c>
      <c r="E1172" s="92" t="str">
        <f>IF($AG1172="","",P_UploadVJ)</f>
        <v/>
      </c>
      <c r="F1172" s="92" t="str">
        <f>IF($AG1172="","",P_UploadVersie)</f>
        <v/>
      </c>
      <c r="G1172" s="92" t="str">
        <f>IF($AG1172="","",IF(COUNTIFS(L_Sleutel,$S1172,L_Status,"Vastgesteld")=0,0,_xlfn.MAXIFS(L_Revisie,L_Sleutel,$S1172,L_Status,"Vastgesteld")+1))</f>
        <v/>
      </c>
      <c r="H1172" s="108" t="str">
        <f>IF($AG1172="","",P_Peildatum)</f>
        <v/>
      </c>
      <c r="I1172" s="92" t="str">
        <f>IF($AG1172="","",P_RJ+INDEX($AK$8:$AK$21,INDEX($AC$8:$AC$1407,$AG1172)+1))</f>
        <v/>
      </c>
      <c r="J1172" s="92" t="str">
        <f>IF($AG1172="","",INDEX(V_WBS,INDEX($AB$8:$AB$1407,$AG1172)))</f>
        <v/>
      </c>
      <c r="K1172" s="92" t="str">
        <f>IF($AG1172="","",INDEX(V_Projdef,INDEX($AB$8:$AB$1407,$AG1172)))</f>
        <v/>
      </c>
      <c r="L1172" s="92" t="str">
        <f>IF($AG1172="","",INDEX(V_Naam,INDEX($AB$8:$AB$1407,$AG1172)))</f>
        <v/>
      </c>
      <c r="M1172" s="92" t="str">
        <f>IF($AG1172="","",INDEX(V_Type,INDEX($AB$8:$AB$1407,$AG1172)))</f>
        <v/>
      </c>
      <c r="N1172" s="92" t="str">
        <f>IF($AG1172="","",INDEX(V_IFRS,INDEX($AB$8:$AB$1407,$AG1172)))</f>
        <v/>
      </c>
      <c r="O1172" s="92" t="str">
        <f>IF($AG1172="","",INDEX($AL$8:$AL$21,INDEX($AC$8:$AC$1407,$AG1172)+1))</f>
        <v/>
      </c>
      <c r="P1172" s="109" t="str">
        <f>IF($AG1172="","",INDEX($AD$8:$AD$1407,$AG1172))</f>
        <v/>
      </c>
      <c r="Q1172" s="92" t="str">
        <f>IF($AG1172="","",INDEX($AM$8:$AM$21,INDEX($AC$8:$AC$1407,$AG1172)+1))</f>
        <v/>
      </c>
      <c r="R1172" s="92" t="str">
        <f>IF($AG1172="","",IF($G1172&gt;0,P_ToelCorrectie&amp;"",""))</f>
        <v/>
      </c>
      <c r="S1172" s="15" t="str">
        <f>IF(J1172="","",J1172&amp;"|"&amp;E1172&amp;"|"&amp;F1172&amp;"|"&amp;I1172&amp;"|"&amp;O1172)</f>
        <v/>
      </c>
      <c r="T1172" s="111" t="str">
        <f>IF(S1172="","",IF(COUNTIFS(L_Sleutel,S1172,L_Actief,1)=0,"",SUMIFS(L_Waarde,L_Sleutel,S1172,L_Actief,1)))</f>
        <v/>
      </c>
      <c r="U1172" s="111">
        <f>IF(OR(S1172="",T1172=""),0,P1172-T1172)</f>
        <v>0</v>
      </c>
      <c r="AB1172" s="112" t="n">
        <v>84</v>
      </c>
      <c r="AC1172" s="112" t="n">
        <v>2</v>
      </c>
      <c r="AD1172" s="112" t="str">
        <f>VERW_Project!L89</f>
        <v/>
      </c>
      <c r="AE1172" s="112">
        <f>IF(AND(VERW_Project!$A89&lt;&gt;"",ISNUMBER(AD1172)),1,0)</f>
        <v>0</v>
      </c>
      <c r="AF1172" s="112" t="str">
        <f>IF(AE1172=1,SUM($AE$8:AE1172),"")</f>
        <v/>
      </c>
      <c r="AG1172" t="str">
        <f>IFERROR(MATCH(1165,$AF$8:$AF$1407,0),"")</f>
        <v/>
      </c>
    </row>
    <row r="1173">
      <c r="A1173" s="92" t="str">
        <f>IF($AG1173="","",P_ImportID)</f>
        <v/>
      </c>
      <c r="B1173" s="92" t="str">
        <f>IF($AG1173="","",IF(INDEX($AN$8:$AN$21,INDEX($AC$8:$AC$1407,$AG1173)+1)="Z",P_BronZ,P_BronE))</f>
        <v/>
      </c>
      <c r="C1173" s="108" t="str">
        <f>IF($AG1173="","",P_Importdatum)</f>
        <v/>
      </c>
      <c r="D1173" s="92" t="str">
        <f>IF($AG1173="","",P_StatusVastleg)</f>
        <v/>
      </c>
      <c r="E1173" s="92" t="str">
        <f>IF($AG1173="","",P_UploadVJ)</f>
        <v/>
      </c>
      <c r="F1173" s="92" t="str">
        <f>IF($AG1173="","",P_UploadVersie)</f>
        <v/>
      </c>
      <c r="G1173" s="92" t="str">
        <f>IF($AG1173="","",IF(COUNTIFS(L_Sleutel,$S1173,L_Status,"Vastgesteld")=0,0,_xlfn.MAXIFS(L_Revisie,L_Sleutel,$S1173,L_Status,"Vastgesteld")+1))</f>
        <v/>
      </c>
      <c r="H1173" s="108" t="str">
        <f>IF($AG1173="","",P_Peildatum)</f>
        <v/>
      </c>
      <c r="I1173" s="92" t="str">
        <f>IF($AG1173="","",P_RJ+INDEX($AK$8:$AK$21,INDEX($AC$8:$AC$1407,$AG1173)+1))</f>
        <v/>
      </c>
      <c r="J1173" s="92" t="str">
        <f>IF($AG1173="","",INDEX(V_WBS,INDEX($AB$8:$AB$1407,$AG1173)))</f>
        <v/>
      </c>
      <c r="K1173" s="92" t="str">
        <f>IF($AG1173="","",INDEX(V_Projdef,INDEX($AB$8:$AB$1407,$AG1173)))</f>
        <v/>
      </c>
      <c r="L1173" s="92" t="str">
        <f>IF($AG1173="","",INDEX(V_Naam,INDEX($AB$8:$AB$1407,$AG1173)))</f>
        <v/>
      </c>
      <c r="M1173" s="92" t="str">
        <f>IF($AG1173="","",INDEX(V_Type,INDEX($AB$8:$AB$1407,$AG1173)))</f>
        <v/>
      </c>
      <c r="N1173" s="92" t="str">
        <f>IF($AG1173="","",INDEX(V_IFRS,INDEX($AB$8:$AB$1407,$AG1173)))</f>
        <v/>
      </c>
      <c r="O1173" s="92" t="str">
        <f>IF($AG1173="","",INDEX($AL$8:$AL$21,INDEX($AC$8:$AC$1407,$AG1173)+1))</f>
        <v/>
      </c>
      <c r="P1173" s="109" t="str">
        <f>IF($AG1173="","",INDEX($AD$8:$AD$1407,$AG1173))</f>
        <v/>
      </c>
      <c r="Q1173" s="92" t="str">
        <f>IF($AG1173="","",INDEX($AM$8:$AM$21,INDEX($AC$8:$AC$1407,$AG1173)+1))</f>
        <v/>
      </c>
      <c r="R1173" s="92" t="str">
        <f>IF($AG1173="","",IF($G1173&gt;0,P_ToelCorrectie&amp;"",""))</f>
        <v/>
      </c>
      <c r="S1173" s="15" t="str">
        <f>IF(J1173="","",J1173&amp;"|"&amp;E1173&amp;"|"&amp;F1173&amp;"|"&amp;I1173&amp;"|"&amp;O1173)</f>
        <v/>
      </c>
      <c r="T1173" s="111" t="str">
        <f>IF(S1173="","",IF(COUNTIFS(L_Sleutel,S1173,L_Actief,1)=0,"",SUMIFS(L_Waarde,L_Sleutel,S1173,L_Actief,1)))</f>
        <v/>
      </c>
      <c r="U1173" s="111">
        <f>IF(OR(S1173="",T1173=""),0,P1173-T1173)</f>
        <v>0</v>
      </c>
      <c r="AB1173" s="112" t="n">
        <v>84</v>
      </c>
      <c r="AC1173" s="112" t="n">
        <v>3</v>
      </c>
      <c r="AD1173" s="112" t="str">
        <f>VERW_Project!M89</f>
        <v/>
      </c>
      <c r="AE1173" s="112">
        <f>IF(AND(VERW_Project!$A89&lt;&gt;"",ISNUMBER(AD1173)),1,0)</f>
        <v>0</v>
      </c>
      <c r="AF1173" s="112" t="str">
        <f>IF(AE1173=1,SUM($AE$8:AE1173),"")</f>
        <v/>
      </c>
      <c r="AG1173" t="str">
        <f>IFERROR(MATCH(1166,$AF$8:$AF$1407,0),"")</f>
        <v/>
      </c>
    </row>
    <row r="1174">
      <c r="A1174" s="92" t="str">
        <f>IF($AG1174="","",P_ImportID)</f>
        <v/>
      </c>
      <c r="B1174" s="92" t="str">
        <f>IF($AG1174="","",IF(INDEX($AN$8:$AN$21,INDEX($AC$8:$AC$1407,$AG1174)+1)="Z",P_BronZ,P_BronE))</f>
        <v/>
      </c>
      <c r="C1174" s="108" t="str">
        <f>IF($AG1174="","",P_Importdatum)</f>
        <v/>
      </c>
      <c r="D1174" s="92" t="str">
        <f>IF($AG1174="","",P_StatusVastleg)</f>
        <v/>
      </c>
      <c r="E1174" s="92" t="str">
        <f>IF($AG1174="","",P_UploadVJ)</f>
        <v/>
      </c>
      <c r="F1174" s="92" t="str">
        <f>IF($AG1174="","",P_UploadVersie)</f>
        <v/>
      </c>
      <c r="G1174" s="92" t="str">
        <f>IF($AG1174="","",IF(COUNTIFS(L_Sleutel,$S1174,L_Status,"Vastgesteld")=0,0,_xlfn.MAXIFS(L_Revisie,L_Sleutel,$S1174,L_Status,"Vastgesteld")+1))</f>
        <v/>
      </c>
      <c r="H1174" s="108" t="str">
        <f>IF($AG1174="","",P_Peildatum)</f>
        <v/>
      </c>
      <c r="I1174" s="92" t="str">
        <f>IF($AG1174="","",P_RJ+INDEX($AK$8:$AK$21,INDEX($AC$8:$AC$1407,$AG1174)+1))</f>
        <v/>
      </c>
      <c r="J1174" s="92" t="str">
        <f>IF($AG1174="","",INDEX(V_WBS,INDEX($AB$8:$AB$1407,$AG1174)))</f>
        <v/>
      </c>
      <c r="K1174" s="92" t="str">
        <f>IF($AG1174="","",INDEX(V_Projdef,INDEX($AB$8:$AB$1407,$AG1174)))</f>
        <v/>
      </c>
      <c r="L1174" s="92" t="str">
        <f>IF($AG1174="","",INDEX(V_Naam,INDEX($AB$8:$AB$1407,$AG1174)))</f>
        <v/>
      </c>
      <c r="M1174" s="92" t="str">
        <f>IF($AG1174="","",INDEX(V_Type,INDEX($AB$8:$AB$1407,$AG1174)))</f>
        <v/>
      </c>
      <c r="N1174" s="92" t="str">
        <f>IF($AG1174="","",INDEX(V_IFRS,INDEX($AB$8:$AB$1407,$AG1174)))</f>
        <v/>
      </c>
      <c r="O1174" s="92" t="str">
        <f>IF($AG1174="","",INDEX($AL$8:$AL$21,INDEX($AC$8:$AC$1407,$AG1174)+1))</f>
        <v/>
      </c>
      <c r="P1174" s="109" t="str">
        <f>IF($AG1174="","",INDEX($AD$8:$AD$1407,$AG1174))</f>
        <v/>
      </c>
      <c r="Q1174" s="92" t="str">
        <f>IF($AG1174="","",INDEX($AM$8:$AM$21,INDEX($AC$8:$AC$1407,$AG1174)+1))</f>
        <v/>
      </c>
      <c r="R1174" s="92" t="str">
        <f>IF($AG1174="","",IF($G1174&gt;0,P_ToelCorrectie&amp;"",""))</f>
        <v/>
      </c>
      <c r="S1174" s="15" t="str">
        <f>IF(J1174="","",J1174&amp;"|"&amp;E1174&amp;"|"&amp;F1174&amp;"|"&amp;I1174&amp;"|"&amp;O1174)</f>
        <v/>
      </c>
      <c r="T1174" s="111" t="str">
        <f>IF(S1174="","",IF(COUNTIFS(L_Sleutel,S1174,L_Actief,1)=0,"",SUMIFS(L_Waarde,L_Sleutel,S1174,L_Actief,1)))</f>
        <v/>
      </c>
      <c r="U1174" s="111">
        <f>IF(OR(S1174="",T1174=""),0,P1174-T1174)</f>
        <v>0</v>
      </c>
      <c r="AB1174" s="112" t="n">
        <v>84</v>
      </c>
      <c r="AC1174" s="112" t="n">
        <v>4</v>
      </c>
      <c r="AD1174" s="112" t="str">
        <f>VERW_Project!R89</f>
        <v/>
      </c>
      <c r="AE1174" s="112">
        <f>IF(AND(VERW_Project!$A89&lt;&gt;"",ISNUMBER(AD1174)),1,0)</f>
        <v>0</v>
      </c>
      <c r="AF1174" s="112" t="str">
        <f>IF(AE1174=1,SUM($AE$8:AE1174),"")</f>
        <v/>
      </c>
      <c r="AG1174" t="str">
        <f>IFERROR(MATCH(1167,$AF$8:$AF$1407,0),"")</f>
        <v/>
      </c>
    </row>
    <row r="1175">
      <c r="A1175" s="92" t="str">
        <f>IF($AG1175="","",P_ImportID)</f>
        <v/>
      </c>
      <c r="B1175" s="92" t="str">
        <f>IF($AG1175="","",IF(INDEX($AN$8:$AN$21,INDEX($AC$8:$AC$1407,$AG1175)+1)="Z",P_BronZ,P_BronE))</f>
        <v/>
      </c>
      <c r="C1175" s="108" t="str">
        <f>IF($AG1175="","",P_Importdatum)</f>
        <v/>
      </c>
      <c r="D1175" s="92" t="str">
        <f>IF($AG1175="","",P_StatusVastleg)</f>
        <v/>
      </c>
      <c r="E1175" s="92" t="str">
        <f>IF($AG1175="","",P_UploadVJ)</f>
        <v/>
      </c>
      <c r="F1175" s="92" t="str">
        <f>IF($AG1175="","",P_UploadVersie)</f>
        <v/>
      </c>
      <c r="G1175" s="92" t="str">
        <f>IF($AG1175="","",IF(COUNTIFS(L_Sleutel,$S1175,L_Status,"Vastgesteld")=0,0,_xlfn.MAXIFS(L_Revisie,L_Sleutel,$S1175,L_Status,"Vastgesteld")+1))</f>
        <v/>
      </c>
      <c r="H1175" s="108" t="str">
        <f>IF($AG1175="","",P_Peildatum)</f>
        <v/>
      </c>
      <c r="I1175" s="92" t="str">
        <f>IF($AG1175="","",P_RJ+INDEX($AK$8:$AK$21,INDEX($AC$8:$AC$1407,$AG1175)+1))</f>
        <v/>
      </c>
      <c r="J1175" s="92" t="str">
        <f>IF($AG1175="","",INDEX(V_WBS,INDEX($AB$8:$AB$1407,$AG1175)))</f>
        <v/>
      </c>
      <c r="K1175" s="92" t="str">
        <f>IF($AG1175="","",INDEX(V_Projdef,INDEX($AB$8:$AB$1407,$AG1175)))</f>
        <v/>
      </c>
      <c r="L1175" s="92" t="str">
        <f>IF($AG1175="","",INDEX(V_Naam,INDEX($AB$8:$AB$1407,$AG1175)))</f>
        <v/>
      </c>
      <c r="M1175" s="92" t="str">
        <f>IF($AG1175="","",INDEX(V_Type,INDEX($AB$8:$AB$1407,$AG1175)))</f>
        <v/>
      </c>
      <c r="N1175" s="92" t="str">
        <f>IF($AG1175="","",INDEX(V_IFRS,INDEX($AB$8:$AB$1407,$AG1175)))</f>
        <v/>
      </c>
      <c r="O1175" s="92" t="str">
        <f>IF($AG1175="","",INDEX($AL$8:$AL$21,INDEX($AC$8:$AC$1407,$AG1175)+1))</f>
        <v/>
      </c>
      <c r="P1175" s="109" t="str">
        <f>IF($AG1175="","",INDEX($AD$8:$AD$1407,$AG1175))</f>
        <v/>
      </c>
      <c r="Q1175" s="92" t="str">
        <f>IF($AG1175="","",INDEX($AM$8:$AM$21,INDEX($AC$8:$AC$1407,$AG1175)+1))</f>
        <v/>
      </c>
      <c r="R1175" s="92" t="str">
        <f>IF($AG1175="","",IF($G1175&gt;0,P_ToelCorrectie&amp;"",""))</f>
        <v/>
      </c>
      <c r="S1175" s="15" t="str">
        <f>IF(J1175="","",J1175&amp;"|"&amp;E1175&amp;"|"&amp;F1175&amp;"|"&amp;I1175&amp;"|"&amp;O1175)</f>
        <v/>
      </c>
      <c r="T1175" s="111" t="str">
        <f>IF(S1175="","",IF(COUNTIFS(L_Sleutel,S1175,L_Actief,1)=0,"",SUMIFS(L_Waarde,L_Sleutel,S1175,L_Actief,1)))</f>
        <v/>
      </c>
      <c r="U1175" s="111">
        <f>IF(OR(S1175="",T1175=""),0,P1175-T1175)</f>
        <v>0</v>
      </c>
      <c r="AB1175" s="112" t="n">
        <v>84</v>
      </c>
      <c r="AC1175" s="112" t="n">
        <v>5</v>
      </c>
      <c r="AD1175" s="112" t="str">
        <f>VERW_Project!S89</f>
        <v/>
      </c>
      <c r="AE1175" s="112">
        <f>IF(AND(VERW_Project!$A89&lt;&gt;"",ISNUMBER(AD1175)),1,0)</f>
        <v>0</v>
      </c>
      <c r="AF1175" s="112" t="str">
        <f>IF(AE1175=1,SUM($AE$8:AE1175),"")</f>
        <v/>
      </c>
      <c r="AG1175" t="str">
        <f>IFERROR(MATCH(1168,$AF$8:$AF$1407,0),"")</f>
        <v/>
      </c>
    </row>
    <row r="1176">
      <c r="A1176" s="92" t="str">
        <f>IF($AG1176="","",P_ImportID)</f>
        <v/>
      </c>
      <c r="B1176" s="92" t="str">
        <f>IF($AG1176="","",IF(INDEX($AN$8:$AN$21,INDEX($AC$8:$AC$1407,$AG1176)+1)="Z",P_BronZ,P_BronE))</f>
        <v/>
      </c>
      <c r="C1176" s="108" t="str">
        <f>IF($AG1176="","",P_Importdatum)</f>
        <v/>
      </c>
      <c r="D1176" s="92" t="str">
        <f>IF($AG1176="","",P_StatusVastleg)</f>
        <v/>
      </c>
      <c r="E1176" s="92" t="str">
        <f>IF($AG1176="","",P_UploadVJ)</f>
        <v/>
      </c>
      <c r="F1176" s="92" t="str">
        <f>IF($AG1176="","",P_UploadVersie)</f>
        <v/>
      </c>
      <c r="G1176" s="92" t="str">
        <f>IF($AG1176="","",IF(COUNTIFS(L_Sleutel,$S1176,L_Status,"Vastgesteld")=0,0,_xlfn.MAXIFS(L_Revisie,L_Sleutel,$S1176,L_Status,"Vastgesteld")+1))</f>
        <v/>
      </c>
      <c r="H1176" s="108" t="str">
        <f>IF($AG1176="","",P_Peildatum)</f>
        <v/>
      </c>
      <c r="I1176" s="92" t="str">
        <f>IF($AG1176="","",P_RJ+INDEX($AK$8:$AK$21,INDEX($AC$8:$AC$1407,$AG1176)+1))</f>
        <v/>
      </c>
      <c r="J1176" s="92" t="str">
        <f>IF($AG1176="","",INDEX(V_WBS,INDEX($AB$8:$AB$1407,$AG1176)))</f>
        <v/>
      </c>
      <c r="K1176" s="92" t="str">
        <f>IF($AG1176="","",INDEX(V_Projdef,INDEX($AB$8:$AB$1407,$AG1176)))</f>
        <v/>
      </c>
      <c r="L1176" s="92" t="str">
        <f>IF($AG1176="","",INDEX(V_Naam,INDEX($AB$8:$AB$1407,$AG1176)))</f>
        <v/>
      </c>
      <c r="M1176" s="92" t="str">
        <f>IF($AG1176="","",INDEX(V_Type,INDEX($AB$8:$AB$1407,$AG1176)))</f>
        <v/>
      </c>
      <c r="N1176" s="92" t="str">
        <f>IF($AG1176="","",INDEX(V_IFRS,INDEX($AB$8:$AB$1407,$AG1176)))</f>
        <v/>
      </c>
      <c r="O1176" s="92" t="str">
        <f>IF($AG1176="","",INDEX($AL$8:$AL$21,INDEX($AC$8:$AC$1407,$AG1176)+1))</f>
        <v/>
      </c>
      <c r="P1176" s="109" t="str">
        <f>IF($AG1176="","",INDEX($AD$8:$AD$1407,$AG1176))</f>
        <v/>
      </c>
      <c r="Q1176" s="92" t="str">
        <f>IF($AG1176="","",INDEX($AM$8:$AM$21,INDEX($AC$8:$AC$1407,$AG1176)+1))</f>
        <v/>
      </c>
      <c r="R1176" s="92" t="str">
        <f>IF($AG1176="","",IF($G1176&gt;0,P_ToelCorrectie&amp;"",""))</f>
        <v/>
      </c>
      <c r="S1176" s="15" t="str">
        <f>IF(J1176="","",J1176&amp;"|"&amp;E1176&amp;"|"&amp;F1176&amp;"|"&amp;I1176&amp;"|"&amp;O1176)</f>
        <v/>
      </c>
      <c r="T1176" s="111" t="str">
        <f>IF(S1176="","",IF(COUNTIFS(L_Sleutel,S1176,L_Actief,1)=0,"",SUMIFS(L_Waarde,L_Sleutel,S1176,L_Actief,1)))</f>
        <v/>
      </c>
      <c r="U1176" s="111">
        <f>IF(OR(S1176="",T1176=""),0,P1176-T1176)</f>
        <v>0</v>
      </c>
      <c r="AB1176" s="112" t="n">
        <v>84</v>
      </c>
      <c r="AC1176" s="112" t="n">
        <v>6</v>
      </c>
      <c r="AD1176" s="112" t="str">
        <f>VERW_Project!BW89</f>
        <v/>
      </c>
      <c r="AE1176" s="112">
        <f>IF(AND(VERW_Project!$A89&lt;&gt;"",ISNUMBER(AD1176)),1,0)</f>
        <v>0</v>
      </c>
      <c r="AF1176" s="112" t="str">
        <f>IF(AE1176=1,SUM($AE$8:AE1176),"")</f>
        <v/>
      </c>
      <c r="AG1176" t="str">
        <f>IFERROR(MATCH(1169,$AF$8:$AF$1407,0),"")</f>
        <v/>
      </c>
    </row>
    <row r="1177">
      <c r="A1177" s="92" t="str">
        <f>IF($AG1177="","",P_ImportID)</f>
        <v/>
      </c>
      <c r="B1177" s="92" t="str">
        <f>IF($AG1177="","",IF(INDEX($AN$8:$AN$21,INDEX($AC$8:$AC$1407,$AG1177)+1)="Z",P_BronZ,P_BronE))</f>
        <v/>
      </c>
      <c r="C1177" s="108" t="str">
        <f>IF($AG1177="","",P_Importdatum)</f>
        <v/>
      </c>
      <c r="D1177" s="92" t="str">
        <f>IF($AG1177="","",P_StatusVastleg)</f>
        <v/>
      </c>
      <c r="E1177" s="92" t="str">
        <f>IF($AG1177="","",P_UploadVJ)</f>
        <v/>
      </c>
      <c r="F1177" s="92" t="str">
        <f>IF($AG1177="","",P_UploadVersie)</f>
        <v/>
      </c>
      <c r="G1177" s="92" t="str">
        <f>IF($AG1177="","",IF(COUNTIFS(L_Sleutel,$S1177,L_Status,"Vastgesteld")=0,0,_xlfn.MAXIFS(L_Revisie,L_Sleutel,$S1177,L_Status,"Vastgesteld")+1))</f>
        <v/>
      </c>
      <c r="H1177" s="108" t="str">
        <f>IF($AG1177="","",P_Peildatum)</f>
        <v/>
      </c>
      <c r="I1177" s="92" t="str">
        <f>IF($AG1177="","",P_RJ+INDEX($AK$8:$AK$21,INDEX($AC$8:$AC$1407,$AG1177)+1))</f>
        <v/>
      </c>
      <c r="J1177" s="92" t="str">
        <f>IF($AG1177="","",INDEX(V_WBS,INDEX($AB$8:$AB$1407,$AG1177)))</f>
        <v/>
      </c>
      <c r="K1177" s="92" t="str">
        <f>IF($AG1177="","",INDEX(V_Projdef,INDEX($AB$8:$AB$1407,$AG1177)))</f>
        <v/>
      </c>
      <c r="L1177" s="92" t="str">
        <f>IF($AG1177="","",INDEX(V_Naam,INDEX($AB$8:$AB$1407,$AG1177)))</f>
        <v/>
      </c>
      <c r="M1177" s="92" t="str">
        <f>IF($AG1177="","",INDEX(V_Type,INDEX($AB$8:$AB$1407,$AG1177)))</f>
        <v/>
      </c>
      <c r="N1177" s="92" t="str">
        <f>IF($AG1177="","",INDEX(V_IFRS,INDEX($AB$8:$AB$1407,$AG1177)))</f>
        <v/>
      </c>
      <c r="O1177" s="92" t="str">
        <f>IF($AG1177="","",INDEX($AL$8:$AL$21,INDEX($AC$8:$AC$1407,$AG1177)+1))</f>
        <v/>
      </c>
      <c r="P1177" s="109" t="str">
        <f>IF($AG1177="","",INDEX($AD$8:$AD$1407,$AG1177))</f>
        <v/>
      </c>
      <c r="Q1177" s="92" t="str">
        <f>IF($AG1177="","",INDEX($AM$8:$AM$21,INDEX($AC$8:$AC$1407,$AG1177)+1))</f>
        <v/>
      </c>
      <c r="R1177" s="92" t="str">
        <f>IF($AG1177="","",IF($G1177&gt;0,P_ToelCorrectie&amp;"",""))</f>
        <v/>
      </c>
      <c r="S1177" s="15" t="str">
        <f>IF(J1177="","",J1177&amp;"|"&amp;E1177&amp;"|"&amp;F1177&amp;"|"&amp;I1177&amp;"|"&amp;O1177)</f>
        <v/>
      </c>
      <c r="T1177" s="111" t="str">
        <f>IF(S1177="","",IF(COUNTIFS(L_Sleutel,S1177,L_Actief,1)=0,"",SUMIFS(L_Waarde,L_Sleutel,S1177,L_Actief,1)))</f>
        <v/>
      </c>
      <c r="U1177" s="111">
        <f>IF(OR(S1177="",T1177=""),0,P1177-T1177)</f>
        <v>0</v>
      </c>
      <c r="AB1177" s="112" t="n">
        <v>84</v>
      </c>
      <c r="AC1177" s="112" t="n">
        <v>7</v>
      </c>
      <c r="AD1177" s="112" t="str">
        <f>VERW_Project!AW89</f>
        <v/>
      </c>
      <c r="AE1177" s="112">
        <f>IF(AND(VERW_Project!$A89&lt;&gt;"",ISNUMBER(AD1177)),1,0)</f>
        <v>0</v>
      </c>
      <c r="AF1177" s="112" t="str">
        <f>IF(AE1177=1,SUM($AE$8:AE1177),"")</f>
        <v/>
      </c>
      <c r="AG1177" t="str">
        <f>IFERROR(MATCH(1170,$AF$8:$AF$1407,0),"")</f>
        <v/>
      </c>
    </row>
    <row r="1178">
      <c r="A1178" s="92" t="str">
        <f>IF($AG1178="","",P_ImportID)</f>
        <v/>
      </c>
      <c r="B1178" s="92" t="str">
        <f>IF($AG1178="","",IF(INDEX($AN$8:$AN$21,INDEX($AC$8:$AC$1407,$AG1178)+1)="Z",P_BronZ,P_BronE))</f>
        <v/>
      </c>
      <c r="C1178" s="108" t="str">
        <f>IF($AG1178="","",P_Importdatum)</f>
        <v/>
      </c>
      <c r="D1178" s="92" t="str">
        <f>IF($AG1178="","",P_StatusVastleg)</f>
        <v/>
      </c>
      <c r="E1178" s="92" t="str">
        <f>IF($AG1178="","",P_UploadVJ)</f>
        <v/>
      </c>
      <c r="F1178" s="92" t="str">
        <f>IF($AG1178="","",P_UploadVersie)</f>
        <v/>
      </c>
      <c r="G1178" s="92" t="str">
        <f>IF($AG1178="","",IF(COUNTIFS(L_Sleutel,$S1178,L_Status,"Vastgesteld")=0,0,_xlfn.MAXIFS(L_Revisie,L_Sleutel,$S1178,L_Status,"Vastgesteld")+1))</f>
        <v/>
      </c>
      <c r="H1178" s="108" t="str">
        <f>IF($AG1178="","",P_Peildatum)</f>
        <v/>
      </c>
      <c r="I1178" s="92" t="str">
        <f>IF($AG1178="","",P_RJ+INDEX($AK$8:$AK$21,INDEX($AC$8:$AC$1407,$AG1178)+1))</f>
        <v/>
      </c>
      <c r="J1178" s="92" t="str">
        <f>IF($AG1178="","",INDEX(V_WBS,INDEX($AB$8:$AB$1407,$AG1178)))</f>
        <v/>
      </c>
      <c r="K1178" s="92" t="str">
        <f>IF($AG1178="","",INDEX(V_Projdef,INDEX($AB$8:$AB$1407,$AG1178)))</f>
        <v/>
      </c>
      <c r="L1178" s="92" t="str">
        <f>IF($AG1178="","",INDEX(V_Naam,INDEX($AB$8:$AB$1407,$AG1178)))</f>
        <v/>
      </c>
      <c r="M1178" s="92" t="str">
        <f>IF($AG1178="","",INDEX(V_Type,INDEX($AB$8:$AB$1407,$AG1178)))</f>
        <v/>
      </c>
      <c r="N1178" s="92" t="str">
        <f>IF($AG1178="","",INDEX(V_IFRS,INDEX($AB$8:$AB$1407,$AG1178)))</f>
        <v/>
      </c>
      <c r="O1178" s="92" t="str">
        <f>IF($AG1178="","",INDEX($AL$8:$AL$21,INDEX($AC$8:$AC$1407,$AG1178)+1))</f>
        <v/>
      </c>
      <c r="P1178" s="109" t="str">
        <f>IF($AG1178="","",INDEX($AD$8:$AD$1407,$AG1178))</f>
        <v/>
      </c>
      <c r="Q1178" s="92" t="str">
        <f>IF($AG1178="","",INDEX($AM$8:$AM$21,INDEX($AC$8:$AC$1407,$AG1178)+1))</f>
        <v/>
      </c>
      <c r="R1178" s="92" t="str">
        <f>IF($AG1178="","",IF($G1178&gt;0,P_ToelCorrectie&amp;"",""))</f>
        <v/>
      </c>
      <c r="S1178" s="15" t="str">
        <f>IF(J1178="","",J1178&amp;"|"&amp;E1178&amp;"|"&amp;F1178&amp;"|"&amp;I1178&amp;"|"&amp;O1178)</f>
        <v/>
      </c>
      <c r="T1178" s="111" t="str">
        <f>IF(S1178="","",IF(COUNTIFS(L_Sleutel,S1178,L_Actief,1)=0,"",SUMIFS(L_Waarde,L_Sleutel,S1178,L_Actief,1)))</f>
        <v/>
      </c>
      <c r="U1178" s="111">
        <f>IF(OR(S1178="",T1178=""),0,P1178-T1178)</f>
        <v>0</v>
      </c>
      <c r="AB1178" s="112" t="n">
        <v>84</v>
      </c>
      <c r="AC1178" s="112" t="n">
        <v>8</v>
      </c>
      <c r="AD1178" s="112" t="str">
        <f>VERW_Project!BQ89</f>
        <v/>
      </c>
      <c r="AE1178" s="112">
        <f>IF(AND(VERW_Project!$A89&lt;&gt;"",ISNUMBER(AD1178)),1,0)</f>
        <v>0</v>
      </c>
      <c r="AF1178" s="112" t="str">
        <f>IF(AE1178=1,SUM($AE$8:AE1178),"")</f>
        <v/>
      </c>
      <c r="AG1178" t="str">
        <f>IFERROR(MATCH(1171,$AF$8:$AF$1407,0),"")</f>
        <v/>
      </c>
    </row>
    <row r="1179">
      <c r="A1179" s="92" t="str">
        <f>IF($AG1179="","",P_ImportID)</f>
        <v/>
      </c>
      <c r="B1179" s="92" t="str">
        <f>IF($AG1179="","",IF(INDEX($AN$8:$AN$21,INDEX($AC$8:$AC$1407,$AG1179)+1)="Z",P_BronZ,P_BronE))</f>
        <v/>
      </c>
      <c r="C1179" s="108" t="str">
        <f>IF($AG1179="","",P_Importdatum)</f>
        <v/>
      </c>
      <c r="D1179" s="92" t="str">
        <f>IF($AG1179="","",P_StatusVastleg)</f>
        <v/>
      </c>
      <c r="E1179" s="92" t="str">
        <f>IF($AG1179="","",P_UploadVJ)</f>
        <v/>
      </c>
      <c r="F1179" s="92" t="str">
        <f>IF($AG1179="","",P_UploadVersie)</f>
        <v/>
      </c>
      <c r="G1179" s="92" t="str">
        <f>IF($AG1179="","",IF(COUNTIFS(L_Sleutel,$S1179,L_Status,"Vastgesteld")=0,0,_xlfn.MAXIFS(L_Revisie,L_Sleutel,$S1179,L_Status,"Vastgesteld")+1))</f>
        <v/>
      </c>
      <c r="H1179" s="108" t="str">
        <f>IF($AG1179="","",P_Peildatum)</f>
        <v/>
      </c>
      <c r="I1179" s="92" t="str">
        <f>IF($AG1179="","",P_RJ+INDEX($AK$8:$AK$21,INDEX($AC$8:$AC$1407,$AG1179)+1))</f>
        <v/>
      </c>
      <c r="J1179" s="92" t="str">
        <f>IF($AG1179="","",INDEX(V_WBS,INDEX($AB$8:$AB$1407,$AG1179)))</f>
        <v/>
      </c>
      <c r="K1179" s="92" t="str">
        <f>IF($AG1179="","",INDEX(V_Projdef,INDEX($AB$8:$AB$1407,$AG1179)))</f>
        <v/>
      </c>
      <c r="L1179" s="92" t="str">
        <f>IF($AG1179="","",INDEX(V_Naam,INDEX($AB$8:$AB$1407,$AG1179)))</f>
        <v/>
      </c>
      <c r="M1179" s="92" t="str">
        <f>IF($AG1179="","",INDEX(V_Type,INDEX($AB$8:$AB$1407,$AG1179)))</f>
        <v/>
      </c>
      <c r="N1179" s="92" t="str">
        <f>IF($AG1179="","",INDEX(V_IFRS,INDEX($AB$8:$AB$1407,$AG1179)))</f>
        <v/>
      </c>
      <c r="O1179" s="92" t="str">
        <f>IF($AG1179="","",INDEX($AL$8:$AL$21,INDEX($AC$8:$AC$1407,$AG1179)+1))</f>
        <v/>
      </c>
      <c r="P1179" s="109" t="str">
        <f>IF($AG1179="","",INDEX($AD$8:$AD$1407,$AG1179))</f>
        <v/>
      </c>
      <c r="Q1179" s="92" t="str">
        <f>IF($AG1179="","",INDEX($AM$8:$AM$21,INDEX($AC$8:$AC$1407,$AG1179)+1))</f>
        <v/>
      </c>
      <c r="R1179" s="92" t="str">
        <f>IF($AG1179="","",IF($G1179&gt;0,P_ToelCorrectie&amp;"",""))</f>
        <v/>
      </c>
      <c r="S1179" s="15" t="str">
        <f>IF(J1179="","",J1179&amp;"|"&amp;E1179&amp;"|"&amp;F1179&amp;"|"&amp;I1179&amp;"|"&amp;O1179)</f>
        <v/>
      </c>
      <c r="T1179" s="111" t="str">
        <f>IF(S1179="","",IF(COUNTIFS(L_Sleutel,S1179,L_Actief,1)=0,"",SUMIFS(L_Waarde,L_Sleutel,S1179,L_Actief,1)))</f>
        <v/>
      </c>
      <c r="U1179" s="111">
        <f>IF(OR(S1179="",T1179=""),0,P1179-T1179)</f>
        <v>0</v>
      </c>
      <c r="AB1179" s="112" t="n">
        <v>84</v>
      </c>
      <c r="AC1179" s="112" t="n">
        <v>9</v>
      </c>
      <c r="AD1179" s="112" t="str">
        <f>VERW_Project!BR89</f>
        <v/>
      </c>
      <c r="AE1179" s="112">
        <f>IF(AND(VERW_Project!$A89&lt;&gt;"",ISNUMBER(AD1179)),1,0)</f>
        <v>0</v>
      </c>
      <c r="AF1179" s="112" t="str">
        <f>IF(AE1179=1,SUM($AE$8:AE1179),"")</f>
        <v/>
      </c>
      <c r="AG1179" t="str">
        <f>IFERROR(MATCH(1172,$AF$8:$AF$1407,0),"")</f>
        <v/>
      </c>
    </row>
    <row r="1180">
      <c r="A1180" s="92" t="str">
        <f>IF($AG1180="","",P_ImportID)</f>
        <v/>
      </c>
      <c r="B1180" s="92" t="str">
        <f>IF($AG1180="","",IF(INDEX($AN$8:$AN$21,INDEX($AC$8:$AC$1407,$AG1180)+1)="Z",P_BronZ,P_BronE))</f>
        <v/>
      </c>
      <c r="C1180" s="108" t="str">
        <f>IF($AG1180="","",P_Importdatum)</f>
        <v/>
      </c>
      <c r="D1180" s="92" t="str">
        <f>IF($AG1180="","",P_StatusVastleg)</f>
        <v/>
      </c>
      <c r="E1180" s="92" t="str">
        <f>IF($AG1180="","",P_UploadVJ)</f>
        <v/>
      </c>
      <c r="F1180" s="92" t="str">
        <f>IF($AG1180="","",P_UploadVersie)</f>
        <v/>
      </c>
      <c r="G1180" s="92" t="str">
        <f>IF($AG1180="","",IF(COUNTIFS(L_Sleutel,$S1180,L_Status,"Vastgesteld")=0,0,_xlfn.MAXIFS(L_Revisie,L_Sleutel,$S1180,L_Status,"Vastgesteld")+1))</f>
        <v/>
      </c>
      <c r="H1180" s="108" t="str">
        <f>IF($AG1180="","",P_Peildatum)</f>
        <v/>
      </c>
      <c r="I1180" s="92" t="str">
        <f>IF($AG1180="","",P_RJ+INDEX($AK$8:$AK$21,INDEX($AC$8:$AC$1407,$AG1180)+1))</f>
        <v/>
      </c>
      <c r="J1180" s="92" t="str">
        <f>IF($AG1180="","",INDEX(V_WBS,INDEX($AB$8:$AB$1407,$AG1180)))</f>
        <v/>
      </c>
      <c r="K1180" s="92" t="str">
        <f>IF($AG1180="","",INDEX(V_Projdef,INDEX($AB$8:$AB$1407,$AG1180)))</f>
        <v/>
      </c>
      <c r="L1180" s="92" t="str">
        <f>IF($AG1180="","",INDEX(V_Naam,INDEX($AB$8:$AB$1407,$AG1180)))</f>
        <v/>
      </c>
      <c r="M1180" s="92" t="str">
        <f>IF($AG1180="","",INDEX(V_Type,INDEX($AB$8:$AB$1407,$AG1180)))</f>
        <v/>
      </c>
      <c r="N1180" s="92" t="str">
        <f>IF($AG1180="","",INDEX(V_IFRS,INDEX($AB$8:$AB$1407,$AG1180)))</f>
        <v/>
      </c>
      <c r="O1180" s="92" t="str">
        <f>IF($AG1180="","",INDEX($AL$8:$AL$21,INDEX($AC$8:$AC$1407,$AG1180)+1))</f>
        <v/>
      </c>
      <c r="P1180" s="109" t="str">
        <f>IF($AG1180="","",INDEX($AD$8:$AD$1407,$AG1180))</f>
        <v/>
      </c>
      <c r="Q1180" s="92" t="str">
        <f>IF($AG1180="","",INDEX($AM$8:$AM$21,INDEX($AC$8:$AC$1407,$AG1180)+1))</f>
        <v/>
      </c>
      <c r="R1180" s="92" t="str">
        <f>IF($AG1180="","",IF($G1180&gt;0,P_ToelCorrectie&amp;"",""))</f>
        <v/>
      </c>
      <c r="S1180" s="15" t="str">
        <f>IF(J1180="","",J1180&amp;"|"&amp;E1180&amp;"|"&amp;F1180&amp;"|"&amp;I1180&amp;"|"&amp;O1180)</f>
        <v/>
      </c>
      <c r="T1180" s="111" t="str">
        <f>IF(S1180="","",IF(COUNTIFS(L_Sleutel,S1180,L_Actief,1)=0,"",SUMIFS(L_Waarde,L_Sleutel,S1180,L_Actief,1)))</f>
        <v/>
      </c>
      <c r="U1180" s="111">
        <f>IF(OR(S1180="",T1180=""),0,P1180-T1180)</f>
        <v>0</v>
      </c>
      <c r="AB1180" s="112" t="n">
        <v>84</v>
      </c>
      <c r="AC1180" s="112" t="n">
        <v>10</v>
      </c>
      <c r="AD1180" s="112" t="str">
        <f>VERW_Project!BS89</f>
        <v/>
      </c>
      <c r="AE1180" s="112">
        <f>IF(AND(VERW_Project!$A89&lt;&gt;"",ISNUMBER(AD1180)),1,0)</f>
        <v>0</v>
      </c>
      <c r="AF1180" s="112" t="str">
        <f>IF(AE1180=1,SUM($AE$8:AE1180),"")</f>
        <v/>
      </c>
      <c r="AG1180" t="str">
        <f>IFERROR(MATCH(1173,$AF$8:$AF$1407,0),"")</f>
        <v/>
      </c>
    </row>
    <row r="1181">
      <c r="A1181" s="92" t="str">
        <f>IF($AG1181="","",P_ImportID)</f>
        <v/>
      </c>
      <c r="B1181" s="92" t="str">
        <f>IF($AG1181="","",IF(INDEX($AN$8:$AN$21,INDEX($AC$8:$AC$1407,$AG1181)+1)="Z",P_BronZ,P_BronE))</f>
        <v/>
      </c>
      <c r="C1181" s="108" t="str">
        <f>IF($AG1181="","",P_Importdatum)</f>
        <v/>
      </c>
      <c r="D1181" s="92" t="str">
        <f>IF($AG1181="","",P_StatusVastleg)</f>
        <v/>
      </c>
      <c r="E1181" s="92" t="str">
        <f>IF($AG1181="","",P_UploadVJ)</f>
        <v/>
      </c>
      <c r="F1181" s="92" t="str">
        <f>IF($AG1181="","",P_UploadVersie)</f>
        <v/>
      </c>
      <c r="G1181" s="92" t="str">
        <f>IF($AG1181="","",IF(COUNTIFS(L_Sleutel,$S1181,L_Status,"Vastgesteld")=0,0,_xlfn.MAXIFS(L_Revisie,L_Sleutel,$S1181,L_Status,"Vastgesteld")+1))</f>
        <v/>
      </c>
      <c r="H1181" s="108" t="str">
        <f>IF($AG1181="","",P_Peildatum)</f>
        <v/>
      </c>
      <c r="I1181" s="92" t="str">
        <f>IF($AG1181="","",P_RJ+INDEX($AK$8:$AK$21,INDEX($AC$8:$AC$1407,$AG1181)+1))</f>
        <v/>
      </c>
      <c r="J1181" s="92" t="str">
        <f>IF($AG1181="","",INDEX(V_WBS,INDEX($AB$8:$AB$1407,$AG1181)))</f>
        <v/>
      </c>
      <c r="K1181" s="92" t="str">
        <f>IF($AG1181="","",INDEX(V_Projdef,INDEX($AB$8:$AB$1407,$AG1181)))</f>
        <v/>
      </c>
      <c r="L1181" s="92" t="str">
        <f>IF($AG1181="","",INDEX(V_Naam,INDEX($AB$8:$AB$1407,$AG1181)))</f>
        <v/>
      </c>
      <c r="M1181" s="92" t="str">
        <f>IF($AG1181="","",INDEX(V_Type,INDEX($AB$8:$AB$1407,$AG1181)))</f>
        <v/>
      </c>
      <c r="N1181" s="92" t="str">
        <f>IF($AG1181="","",INDEX(V_IFRS,INDEX($AB$8:$AB$1407,$AG1181)))</f>
        <v/>
      </c>
      <c r="O1181" s="92" t="str">
        <f>IF($AG1181="","",INDEX($AL$8:$AL$21,INDEX($AC$8:$AC$1407,$AG1181)+1))</f>
        <v/>
      </c>
      <c r="P1181" s="109" t="str">
        <f>IF($AG1181="","",INDEX($AD$8:$AD$1407,$AG1181))</f>
        <v/>
      </c>
      <c r="Q1181" s="92" t="str">
        <f>IF($AG1181="","",INDEX($AM$8:$AM$21,INDEX($AC$8:$AC$1407,$AG1181)+1))</f>
        <v/>
      </c>
      <c r="R1181" s="92" t="str">
        <f>IF($AG1181="","",IF($G1181&gt;0,P_ToelCorrectie&amp;"",""))</f>
        <v/>
      </c>
      <c r="S1181" s="15" t="str">
        <f>IF(J1181="","",J1181&amp;"|"&amp;E1181&amp;"|"&amp;F1181&amp;"|"&amp;I1181&amp;"|"&amp;O1181)</f>
        <v/>
      </c>
      <c r="T1181" s="111" t="str">
        <f>IF(S1181="","",IF(COUNTIFS(L_Sleutel,S1181,L_Actief,1)=0,"",SUMIFS(L_Waarde,L_Sleutel,S1181,L_Actief,1)))</f>
        <v/>
      </c>
      <c r="U1181" s="111">
        <f>IF(OR(S1181="",T1181=""),0,P1181-T1181)</f>
        <v>0</v>
      </c>
      <c r="AB1181" s="112" t="n">
        <v>84</v>
      </c>
      <c r="AC1181" s="112" t="n">
        <v>11</v>
      </c>
      <c r="AD1181" s="112" t="str">
        <f>VERW_Project!BT89</f>
        <v/>
      </c>
      <c r="AE1181" s="112">
        <f>IF(AND(VERW_Project!$A89&lt;&gt;"",ISNUMBER(AD1181)),1,0)</f>
        <v>0</v>
      </c>
      <c r="AF1181" s="112" t="str">
        <f>IF(AE1181=1,SUM($AE$8:AE1181),"")</f>
        <v/>
      </c>
      <c r="AG1181" t="str">
        <f>IFERROR(MATCH(1174,$AF$8:$AF$1407,0),"")</f>
        <v/>
      </c>
    </row>
    <row r="1182">
      <c r="A1182" s="92" t="str">
        <f>IF($AG1182="","",P_ImportID)</f>
        <v/>
      </c>
      <c r="B1182" s="92" t="str">
        <f>IF($AG1182="","",IF(INDEX($AN$8:$AN$21,INDEX($AC$8:$AC$1407,$AG1182)+1)="Z",P_BronZ,P_BronE))</f>
        <v/>
      </c>
      <c r="C1182" s="108" t="str">
        <f>IF($AG1182="","",P_Importdatum)</f>
        <v/>
      </c>
      <c r="D1182" s="92" t="str">
        <f>IF($AG1182="","",P_StatusVastleg)</f>
        <v/>
      </c>
      <c r="E1182" s="92" t="str">
        <f>IF($AG1182="","",P_UploadVJ)</f>
        <v/>
      </c>
      <c r="F1182" s="92" t="str">
        <f>IF($AG1182="","",P_UploadVersie)</f>
        <v/>
      </c>
      <c r="G1182" s="92" t="str">
        <f>IF($AG1182="","",IF(COUNTIFS(L_Sleutel,$S1182,L_Status,"Vastgesteld")=0,0,_xlfn.MAXIFS(L_Revisie,L_Sleutel,$S1182,L_Status,"Vastgesteld")+1))</f>
        <v/>
      </c>
      <c r="H1182" s="108" t="str">
        <f>IF($AG1182="","",P_Peildatum)</f>
        <v/>
      </c>
      <c r="I1182" s="92" t="str">
        <f>IF($AG1182="","",P_RJ+INDEX($AK$8:$AK$21,INDEX($AC$8:$AC$1407,$AG1182)+1))</f>
        <v/>
      </c>
      <c r="J1182" s="92" t="str">
        <f>IF($AG1182="","",INDEX(V_WBS,INDEX($AB$8:$AB$1407,$AG1182)))</f>
        <v/>
      </c>
      <c r="K1182" s="92" t="str">
        <f>IF($AG1182="","",INDEX(V_Projdef,INDEX($AB$8:$AB$1407,$AG1182)))</f>
        <v/>
      </c>
      <c r="L1182" s="92" t="str">
        <f>IF($AG1182="","",INDEX(V_Naam,INDEX($AB$8:$AB$1407,$AG1182)))</f>
        <v/>
      </c>
      <c r="M1182" s="92" t="str">
        <f>IF($AG1182="","",INDEX(V_Type,INDEX($AB$8:$AB$1407,$AG1182)))</f>
        <v/>
      </c>
      <c r="N1182" s="92" t="str">
        <f>IF($AG1182="","",INDEX(V_IFRS,INDEX($AB$8:$AB$1407,$AG1182)))</f>
        <v/>
      </c>
      <c r="O1182" s="92" t="str">
        <f>IF($AG1182="","",INDEX($AL$8:$AL$21,INDEX($AC$8:$AC$1407,$AG1182)+1))</f>
        <v/>
      </c>
      <c r="P1182" s="109" t="str">
        <f>IF($AG1182="","",INDEX($AD$8:$AD$1407,$AG1182))</f>
        <v/>
      </c>
      <c r="Q1182" s="92" t="str">
        <f>IF($AG1182="","",INDEX($AM$8:$AM$21,INDEX($AC$8:$AC$1407,$AG1182)+1))</f>
        <v/>
      </c>
      <c r="R1182" s="92" t="str">
        <f>IF($AG1182="","",IF($G1182&gt;0,P_ToelCorrectie&amp;"",""))</f>
        <v/>
      </c>
      <c r="S1182" s="15" t="str">
        <f>IF(J1182="","",J1182&amp;"|"&amp;E1182&amp;"|"&amp;F1182&amp;"|"&amp;I1182&amp;"|"&amp;O1182)</f>
        <v/>
      </c>
      <c r="T1182" s="111" t="str">
        <f>IF(S1182="","",IF(COUNTIFS(L_Sleutel,S1182,L_Actief,1)=0,"",SUMIFS(L_Waarde,L_Sleutel,S1182,L_Actief,1)))</f>
        <v/>
      </c>
      <c r="U1182" s="111">
        <f>IF(OR(S1182="",T1182=""),0,P1182-T1182)</f>
        <v>0</v>
      </c>
      <c r="AB1182" s="112" t="n">
        <v>84</v>
      </c>
      <c r="AC1182" s="112" t="n">
        <v>12</v>
      </c>
      <c r="AD1182" s="112" t="str">
        <f>VERW_Project!BU89</f>
        <v/>
      </c>
      <c r="AE1182" s="112">
        <f>IF(AND(VERW_Project!$A89&lt;&gt;"",ISNUMBER(AD1182)),1,0)</f>
        <v>0</v>
      </c>
      <c r="AF1182" s="112" t="str">
        <f>IF(AE1182=1,SUM($AE$8:AE1182),"")</f>
        <v/>
      </c>
      <c r="AG1182" t="str">
        <f>IFERROR(MATCH(1175,$AF$8:$AF$1407,0),"")</f>
        <v/>
      </c>
    </row>
    <row r="1183">
      <c r="A1183" s="92" t="str">
        <f>IF($AG1183="","",P_ImportID)</f>
        <v/>
      </c>
      <c r="B1183" s="92" t="str">
        <f>IF($AG1183="","",IF(INDEX($AN$8:$AN$21,INDEX($AC$8:$AC$1407,$AG1183)+1)="Z",P_BronZ,P_BronE))</f>
        <v/>
      </c>
      <c r="C1183" s="108" t="str">
        <f>IF($AG1183="","",P_Importdatum)</f>
        <v/>
      </c>
      <c r="D1183" s="92" t="str">
        <f>IF($AG1183="","",P_StatusVastleg)</f>
        <v/>
      </c>
      <c r="E1183" s="92" t="str">
        <f>IF($AG1183="","",P_UploadVJ)</f>
        <v/>
      </c>
      <c r="F1183" s="92" t="str">
        <f>IF($AG1183="","",P_UploadVersie)</f>
        <v/>
      </c>
      <c r="G1183" s="92" t="str">
        <f>IF($AG1183="","",IF(COUNTIFS(L_Sleutel,$S1183,L_Status,"Vastgesteld")=0,0,_xlfn.MAXIFS(L_Revisie,L_Sleutel,$S1183,L_Status,"Vastgesteld")+1))</f>
        <v/>
      </c>
      <c r="H1183" s="108" t="str">
        <f>IF($AG1183="","",P_Peildatum)</f>
        <v/>
      </c>
      <c r="I1183" s="92" t="str">
        <f>IF($AG1183="","",P_RJ+INDEX($AK$8:$AK$21,INDEX($AC$8:$AC$1407,$AG1183)+1))</f>
        <v/>
      </c>
      <c r="J1183" s="92" t="str">
        <f>IF($AG1183="","",INDEX(V_WBS,INDEX($AB$8:$AB$1407,$AG1183)))</f>
        <v/>
      </c>
      <c r="K1183" s="92" t="str">
        <f>IF($AG1183="","",INDEX(V_Projdef,INDEX($AB$8:$AB$1407,$AG1183)))</f>
        <v/>
      </c>
      <c r="L1183" s="92" t="str">
        <f>IF($AG1183="","",INDEX(V_Naam,INDEX($AB$8:$AB$1407,$AG1183)))</f>
        <v/>
      </c>
      <c r="M1183" s="92" t="str">
        <f>IF($AG1183="","",INDEX(V_Type,INDEX($AB$8:$AB$1407,$AG1183)))</f>
        <v/>
      </c>
      <c r="N1183" s="92" t="str">
        <f>IF($AG1183="","",INDEX(V_IFRS,INDEX($AB$8:$AB$1407,$AG1183)))</f>
        <v/>
      </c>
      <c r="O1183" s="92" t="str">
        <f>IF($AG1183="","",INDEX($AL$8:$AL$21,INDEX($AC$8:$AC$1407,$AG1183)+1))</f>
        <v/>
      </c>
      <c r="P1183" s="109" t="str">
        <f>IF($AG1183="","",INDEX($AD$8:$AD$1407,$AG1183))</f>
        <v/>
      </c>
      <c r="Q1183" s="92" t="str">
        <f>IF($AG1183="","",INDEX($AM$8:$AM$21,INDEX($AC$8:$AC$1407,$AG1183)+1))</f>
        <v/>
      </c>
      <c r="R1183" s="92" t="str">
        <f>IF($AG1183="","",IF($G1183&gt;0,P_ToelCorrectie&amp;"",""))</f>
        <v/>
      </c>
      <c r="S1183" s="15" t="str">
        <f>IF(J1183="","",J1183&amp;"|"&amp;E1183&amp;"|"&amp;F1183&amp;"|"&amp;I1183&amp;"|"&amp;O1183)</f>
        <v/>
      </c>
      <c r="T1183" s="111" t="str">
        <f>IF(S1183="","",IF(COUNTIFS(L_Sleutel,S1183,L_Actief,1)=0,"",SUMIFS(L_Waarde,L_Sleutel,S1183,L_Actief,1)))</f>
        <v/>
      </c>
      <c r="U1183" s="111">
        <f>IF(OR(S1183="",T1183=""),0,P1183-T1183)</f>
        <v>0</v>
      </c>
      <c r="AB1183" s="112" t="n">
        <v>84</v>
      </c>
      <c r="AC1183" s="112" t="n">
        <v>13</v>
      </c>
      <c r="AD1183" s="112" t="str">
        <f>VERW_Project!BX89</f>
        <v/>
      </c>
      <c r="AE1183" s="112">
        <f>IF(AND(VERW_Project!$A89&lt;&gt;"",ISNUMBER(AD1183)),1,0)</f>
        <v>0</v>
      </c>
      <c r="AF1183" s="112" t="str">
        <f>IF(AE1183=1,SUM($AE$8:AE1183),"")</f>
        <v/>
      </c>
      <c r="AG1183" t="str">
        <f>IFERROR(MATCH(1176,$AF$8:$AF$1407,0),"")</f>
        <v/>
      </c>
    </row>
    <row r="1184">
      <c r="A1184" s="92" t="str">
        <f>IF($AG1184="","",P_ImportID)</f>
        <v/>
      </c>
      <c r="B1184" s="92" t="str">
        <f>IF($AG1184="","",IF(INDEX($AN$8:$AN$21,INDEX($AC$8:$AC$1407,$AG1184)+1)="Z",P_BronZ,P_BronE))</f>
        <v/>
      </c>
      <c r="C1184" s="108" t="str">
        <f>IF($AG1184="","",P_Importdatum)</f>
        <v/>
      </c>
      <c r="D1184" s="92" t="str">
        <f>IF($AG1184="","",P_StatusVastleg)</f>
        <v/>
      </c>
      <c r="E1184" s="92" t="str">
        <f>IF($AG1184="","",P_UploadVJ)</f>
        <v/>
      </c>
      <c r="F1184" s="92" t="str">
        <f>IF($AG1184="","",P_UploadVersie)</f>
        <v/>
      </c>
      <c r="G1184" s="92" t="str">
        <f>IF($AG1184="","",IF(COUNTIFS(L_Sleutel,$S1184,L_Status,"Vastgesteld")=0,0,_xlfn.MAXIFS(L_Revisie,L_Sleutel,$S1184,L_Status,"Vastgesteld")+1))</f>
        <v/>
      </c>
      <c r="H1184" s="108" t="str">
        <f>IF($AG1184="","",P_Peildatum)</f>
        <v/>
      </c>
      <c r="I1184" s="92" t="str">
        <f>IF($AG1184="","",P_RJ+INDEX($AK$8:$AK$21,INDEX($AC$8:$AC$1407,$AG1184)+1))</f>
        <v/>
      </c>
      <c r="J1184" s="92" t="str">
        <f>IF($AG1184="","",INDEX(V_WBS,INDEX($AB$8:$AB$1407,$AG1184)))</f>
        <v/>
      </c>
      <c r="K1184" s="92" t="str">
        <f>IF($AG1184="","",INDEX(V_Projdef,INDEX($AB$8:$AB$1407,$AG1184)))</f>
        <v/>
      </c>
      <c r="L1184" s="92" t="str">
        <f>IF($AG1184="","",INDEX(V_Naam,INDEX($AB$8:$AB$1407,$AG1184)))</f>
        <v/>
      </c>
      <c r="M1184" s="92" t="str">
        <f>IF($AG1184="","",INDEX(V_Type,INDEX($AB$8:$AB$1407,$AG1184)))</f>
        <v/>
      </c>
      <c r="N1184" s="92" t="str">
        <f>IF($AG1184="","",INDEX(V_IFRS,INDEX($AB$8:$AB$1407,$AG1184)))</f>
        <v/>
      </c>
      <c r="O1184" s="92" t="str">
        <f>IF($AG1184="","",INDEX($AL$8:$AL$21,INDEX($AC$8:$AC$1407,$AG1184)+1))</f>
        <v/>
      </c>
      <c r="P1184" s="109" t="str">
        <f>IF($AG1184="","",INDEX($AD$8:$AD$1407,$AG1184))</f>
        <v/>
      </c>
      <c r="Q1184" s="92" t="str">
        <f>IF($AG1184="","",INDEX($AM$8:$AM$21,INDEX($AC$8:$AC$1407,$AG1184)+1))</f>
        <v/>
      </c>
      <c r="R1184" s="92" t="str">
        <f>IF($AG1184="","",IF($G1184&gt;0,P_ToelCorrectie&amp;"",""))</f>
        <v/>
      </c>
      <c r="S1184" s="15" t="str">
        <f>IF(J1184="","",J1184&amp;"|"&amp;E1184&amp;"|"&amp;F1184&amp;"|"&amp;I1184&amp;"|"&amp;O1184)</f>
        <v/>
      </c>
      <c r="T1184" s="111" t="str">
        <f>IF(S1184="","",IF(COUNTIFS(L_Sleutel,S1184,L_Actief,1)=0,"",SUMIFS(L_Waarde,L_Sleutel,S1184,L_Actief,1)))</f>
        <v/>
      </c>
      <c r="U1184" s="111">
        <f>IF(OR(S1184="",T1184=""),0,P1184-T1184)</f>
        <v>0</v>
      </c>
      <c r="AB1184" s="112" t="n">
        <v>85</v>
      </c>
      <c r="AC1184" s="112" t="n">
        <v>0</v>
      </c>
      <c r="AD1184" s="112" t="str">
        <f>VERW_Project!P90</f>
        <v/>
      </c>
      <c r="AE1184" s="112">
        <f>IF(AND(VERW_Project!$A90&lt;&gt;"",ISNUMBER(AD1184)),1,0)</f>
        <v>0</v>
      </c>
      <c r="AF1184" s="112" t="str">
        <f>IF(AE1184=1,SUM($AE$8:AE1184),"")</f>
        <v/>
      </c>
      <c r="AG1184" t="str">
        <f>IFERROR(MATCH(1177,$AF$8:$AF$1407,0),"")</f>
        <v/>
      </c>
    </row>
    <row r="1185">
      <c r="A1185" s="92" t="str">
        <f>IF($AG1185="","",P_ImportID)</f>
        <v/>
      </c>
      <c r="B1185" s="92" t="str">
        <f>IF($AG1185="","",IF(INDEX($AN$8:$AN$21,INDEX($AC$8:$AC$1407,$AG1185)+1)="Z",P_BronZ,P_BronE))</f>
        <v/>
      </c>
      <c r="C1185" s="108" t="str">
        <f>IF($AG1185="","",P_Importdatum)</f>
        <v/>
      </c>
      <c r="D1185" s="92" t="str">
        <f>IF($AG1185="","",P_StatusVastleg)</f>
        <v/>
      </c>
      <c r="E1185" s="92" t="str">
        <f>IF($AG1185="","",P_UploadVJ)</f>
        <v/>
      </c>
      <c r="F1185" s="92" t="str">
        <f>IF($AG1185="","",P_UploadVersie)</f>
        <v/>
      </c>
      <c r="G1185" s="92" t="str">
        <f>IF($AG1185="","",IF(COUNTIFS(L_Sleutel,$S1185,L_Status,"Vastgesteld")=0,0,_xlfn.MAXIFS(L_Revisie,L_Sleutel,$S1185,L_Status,"Vastgesteld")+1))</f>
        <v/>
      </c>
      <c r="H1185" s="108" t="str">
        <f>IF($AG1185="","",P_Peildatum)</f>
        <v/>
      </c>
      <c r="I1185" s="92" t="str">
        <f>IF($AG1185="","",P_RJ+INDEX($AK$8:$AK$21,INDEX($AC$8:$AC$1407,$AG1185)+1))</f>
        <v/>
      </c>
      <c r="J1185" s="92" t="str">
        <f>IF($AG1185="","",INDEX(V_WBS,INDEX($AB$8:$AB$1407,$AG1185)))</f>
        <v/>
      </c>
      <c r="K1185" s="92" t="str">
        <f>IF($AG1185="","",INDEX(V_Projdef,INDEX($AB$8:$AB$1407,$AG1185)))</f>
        <v/>
      </c>
      <c r="L1185" s="92" t="str">
        <f>IF($AG1185="","",INDEX(V_Naam,INDEX($AB$8:$AB$1407,$AG1185)))</f>
        <v/>
      </c>
      <c r="M1185" s="92" t="str">
        <f>IF($AG1185="","",INDEX(V_Type,INDEX($AB$8:$AB$1407,$AG1185)))</f>
        <v/>
      </c>
      <c r="N1185" s="92" t="str">
        <f>IF($AG1185="","",INDEX(V_IFRS,INDEX($AB$8:$AB$1407,$AG1185)))</f>
        <v/>
      </c>
      <c r="O1185" s="92" t="str">
        <f>IF($AG1185="","",INDEX($AL$8:$AL$21,INDEX($AC$8:$AC$1407,$AG1185)+1))</f>
        <v/>
      </c>
      <c r="P1185" s="109" t="str">
        <f>IF($AG1185="","",INDEX($AD$8:$AD$1407,$AG1185))</f>
        <v/>
      </c>
      <c r="Q1185" s="92" t="str">
        <f>IF($AG1185="","",INDEX($AM$8:$AM$21,INDEX($AC$8:$AC$1407,$AG1185)+1))</f>
        <v/>
      </c>
      <c r="R1185" s="92" t="str">
        <f>IF($AG1185="","",IF($G1185&gt;0,P_ToelCorrectie&amp;"",""))</f>
        <v/>
      </c>
      <c r="S1185" s="15" t="str">
        <f>IF(J1185="","",J1185&amp;"|"&amp;E1185&amp;"|"&amp;F1185&amp;"|"&amp;I1185&amp;"|"&amp;O1185)</f>
        <v/>
      </c>
      <c r="T1185" s="111" t="str">
        <f>IF(S1185="","",IF(COUNTIFS(L_Sleutel,S1185,L_Actief,1)=0,"",SUMIFS(L_Waarde,L_Sleutel,S1185,L_Actief,1)))</f>
        <v/>
      </c>
      <c r="U1185" s="111">
        <f>IF(OR(S1185="",T1185=""),0,P1185-T1185)</f>
        <v>0</v>
      </c>
      <c r="AB1185" s="112" t="n">
        <v>85</v>
      </c>
      <c r="AC1185" s="112" t="n">
        <v>1</v>
      </c>
      <c r="AD1185" s="112" t="str">
        <f>VERW_Project!Q90</f>
        <v/>
      </c>
      <c r="AE1185" s="112">
        <f>IF(AND(VERW_Project!$A90&lt;&gt;"",ISNUMBER(AD1185)),1,0)</f>
        <v>0</v>
      </c>
      <c r="AF1185" s="112" t="str">
        <f>IF(AE1185=1,SUM($AE$8:AE1185),"")</f>
        <v/>
      </c>
      <c r="AG1185" t="str">
        <f>IFERROR(MATCH(1178,$AF$8:$AF$1407,0),"")</f>
        <v/>
      </c>
    </row>
    <row r="1186">
      <c r="A1186" s="92" t="str">
        <f>IF($AG1186="","",P_ImportID)</f>
        <v/>
      </c>
      <c r="B1186" s="92" t="str">
        <f>IF($AG1186="","",IF(INDEX($AN$8:$AN$21,INDEX($AC$8:$AC$1407,$AG1186)+1)="Z",P_BronZ,P_BronE))</f>
        <v/>
      </c>
      <c r="C1186" s="108" t="str">
        <f>IF($AG1186="","",P_Importdatum)</f>
        <v/>
      </c>
      <c r="D1186" s="92" t="str">
        <f>IF($AG1186="","",P_StatusVastleg)</f>
        <v/>
      </c>
      <c r="E1186" s="92" t="str">
        <f>IF($AG1186="","",P_UploadVJ)</f>
        <v/>
      </c>
      <c r="F1186" s="92" t="str">
        <f>IF($AG1186="","",P_UploadVersie)</f>
        <v/>
      </c>
      <c r="G1186" s="92" t="str">
        <f>IF($AG1186="","",IF(COUNTIFS(L_Sleutel,$S1186,L_Status,"Vastgesteld")=0,0,_xlfn.MAXIFS(L_Revisie,L_Sleutel,$S1186,L_Status,"Vastgesteld")+1))</f>
        <v/>
      </c>
      <c r="H1186" s="108" t="str">
        <f>IF($AG1186="","",P_Peildatum)</f>
        <v/>
      </c>
      <c r="I1186" s="92" t="str">
        <f>IF($AG1186="","",P_RJ+INDEX($AK$8:$AK$21,INDEX($AC$8:$AC$1407,$AG1186)+1))</f>
        <v/>
      </c>
      <c r="J1186" s="92" t="str">
        <f>IF($AG1186="","",INDEX(V_WBS,INDEX($AB$8:$AB$1407,$AG1186)))</f>
        <v/>
      </c>
      <c r="K1186" s="92" t="str">
        <f>IF($AG1186="","",INDEX(V_Projdef,INDEX($AB$8:$AB$1407,$AG1186)))</f>
        <v/>
      </c>
      <c r="L1186" s="92" t="str">
        <f>IF($AG1186="","",INDEX(V_Naam,INDEX($AB$8:$AB$1407,$AG1186)))</f>
        <v/>
      </c>
      <c r="M1186" s="92" t="str">
        <f>IF($AG1186="","",INDEX(V_Type,INDEX($AB$8:$AB$1407,$AG1186)))</f>
        <v/>
      </c>
      <c r="N1186" s="92" t="str">
        <f>IF($AG1186="","",INDEX(V_IFRS,INDEX($AB$8:$AB$1407,$AG1186)))</f>
        <v/>
      </c>
      <c r="O1186" s="92" t="str">
        <f>IF($AG1186="","",INDEX($AL$8:$AL$21,INDEX($AC$8:$AC$1407,$AG1186)+1))</f>
        <v/>
      </c>
      <c r="P1186" s="109" t="str">
        <f>IF($AG1186="","",INDEX($AD$8:$AD$1407,$AG1186))</f>
        <v/>
      </c>
      <c r="Q1186" s="92" t="str">
        <f>IF($AG1186="","",INDEX($AM$8:$AM$21,INDEX($AC$8:$AC$1407,$AG1186)+1))</f>
        <v/>
      </c>
      <c r="R1186" s="92" t="str">
        <f>IF($AG1186="","",IF($G1186&gt;0,P_ToelCorrectie&amp;"",""))</f>
        <v/>
      </c>
      <c r="S1186" s="15" t="str">
        <f>IF(J1186="","",J1186&amp;"|"&amp;E1186&amp;"|"&amp;F1186&amp;"|"&amp;I1186&amp;"|"&amp;O1186)</f>
        <v/>
      </c>
      <c r="T1186" s="111" t="str">
        <f>IF(S1186="","",IF(COUNTIFS(L_Sleutel,S1186,L_Actief,1)=0,"",SUMIFS(L_Waarde,L_Sleutel,S1186,L_Actief,1)))</f>
        <v/>
      </c>
      <c r="U1186" s="111">
        <f>IF(OR(S1186="",T1186=""),0,P1186-T1186)</f>
        <v>0</v>
      </c>
      <c r="AB1186" s="112" t="n">
        <v>85</v>
      </c>
      <c r="AC1186" s="112" t="n">
        <v>2</v>
      </c>
      <c r="AD1186" s="112" t="str">
        <f>VERW_Project!L90</f>
        <v/>
      </c>
      <c r="AE1186" s="112">
        <f>IF(AND(VERW_Project!$A90&lt;&gt;"",ISNUMBER(AD1186)),1,0)</f>
        <v>0</v>
      </c>
      <c r="AF1186" s="112" t="str">
        <f>IF(AE1186=1,SUM($AE$8:AE1186),"")</f>
        <v/>
      </c>
      <c r="AG1186" t="str">
        <f>IFERROR(MATCH(1179,$AF$8:$AF$1407,0),"")</f>
        <v/>
      </c>
    </row>
    <row r="1187">
      <c r="A1187" s="92" t="str">
        <f>IF($AG1187="","",P_ImportID)</f>
        <v/>
      </c>
      <c r="B1187" s="92" t="str">
        <f>IF($AG1187="","",IF(INDEX($AN$8:$AN$21,INDEX($AC$8:$AC$1407,$AG1187)+1)="Z",P_BronZ,P_BronE))</f>
        <v/>
      </c>
      <c r="C1187" s="108" t="str">
        <f>IF($AG1187="","",P_Importdatum)</f>
        <v/>
      </c>
      <c r="D1187" s="92" t="str">
        <f>IF($AG1187="","",P_StatusVastleg)</f>
        <v/>
      </c>
      <c r="E1187" s="92" t="str">
        <f>IF($AG1187="","",P_UploadVJ)</f>
        <v/>
      </c>
      <c r="F1187" s="92" t="str">
        <f>IF($AG1187="","",P_UploadVersie)</f>
        <v/>
      </c>
      <c r="G1187" s="92" t="str">
        <f>IF($AG1187="","",IF(COUNTIFS(L_Sleutel,$S1187,L_Status,"Vastgesteld")=0,0,_xlfn.MAXIFS(L_Revisie,L_Sleutel,$S1187,L_Status,"Vastgesteld")+1))</f>
        <v/>
      </c>
      <c r="H1187" s="108" t="str">
        <f>IF($AG1187="","",P_Peildatum)</f>
        <v/>
      </c>
      <c r="I1187" s="92" t="str">
        <f>IF($AG1187="","",P_RJ+INDEX($AK$8:$AK$21,INDEX($AC$8:$AC$1407,$AG1187)+1))</f>
        <v/>
      </c>
      <c r="J1187" s="92" t="str">
        <f>IF($AG1187="","",INDEX(V_WBS,INDEX($AB$8:$AB$1407,$AG1187)))</f>
        <v/>
      </c>
      <c r="K1187" s="92" t="str">
        <f>IF($AG1187="","",INDEX(V_Projdef,INDEX($AB$8:$AB$1407,$AG1187)))</f>
        <v/>
      </c>
      <c r="L1187" s="92" t="str">
        <f>IF($AG1187="","",INDEX(V_Naam,INDEX($AB$8:$AB$1407,$AG1187)))</f>
        <v/>
      </c>
      <c r="M1187" s="92" t="str">
        <f>IF($AG1187="","",INDEX(V_Type,INDEX($AB$8:$AB$1407,$AG1187)))</f>
        <v/>
      </c>
      <c r="N1187" s="92" t="str">
        <f>IF($AG1187="","",INDEX(V_IFRS,INDEX($AB$8:$AB$1407,$AG1187)))</f>
        <v/>
      </c>
      <c r="O1187" s="92" t="str">
        <f>IF($AG1187="","",INDEX($AL$8:$AL$21,INDEX($AC$8:$AC$1407,$AG1187)+1))</f>
        <v/>
      </c>
      <c r="P1187" s="109" t="str">
        <f>IF($AG1187="","",INDEX($AD$8:$AD$1407,$AG1187))</f>
        <v/>
      </c>
      <c r="Q1187" s="92" t="str">
        <f>IF($AG1187="","",INDEX($AM$8:$AM$21,INDEX($AC$8:$AC$1407,$AG1187)+1))</f>
        <v/>
      </c>
      <c r="R1187" s="92" t="str">
        <f>IF($AG1187="","",IF($G1187&gt;0,P_ToelCorrectie&amp;"",""))</f>
        <v/>
      </c>
      <c r="S1187" s="15" t="str">
        <f>IF(J1187="","",J1187&amp;"|"&amp;E1187&amp;"|"&amp;F1187&amp;"|"&amp;I1187&amp;"|"&amp;O1187)</f>
        <v/>
      </c>
      <c r="T1187" s="111" t="str">
        <f>IF(S1187="","",IF(COUNTIFS(L_Sleutel,S1187,L_Actief,1)=0,"",SUMIFS(L_Waarde,L_Sleutel,S1187,L_Actief,1)))</f>
        <v/>
      </c>
      <c r="U1187" s="111">
        <f>IF(OR(S1187="",T1187=""),0,P1187-T1187)</f>
        <v>0</v>
      </c>
      <c r="AB1187" s="112" t="n">
        <v>85</v>
      </c>
      <c r="AC1187" s="112" t="n">
        <v>3</v>
      </c>
      <c r="AD1187" s="112" t="str">
        <f>VERW_Project!M90</f>
        <v/>
      </c>
      <c r="AE1187" s="112">
        <f>IF(AND(VERW_Project!$A90&lt;&gt;"",ISNUMBER(AD1187)),1,0)</f>
        <v>0</v>
      </c>
      <c r="AF1187" s="112" t="str">
        <f>IF(AE1187=1,SUM($AE$8:AE1187),"")</f>
        <v/>
      </c>
      <c r="AG1187" t="str">
        <f>IFERROR(MATCH(1180,$AF$8:$AF$1407,0),"")</f>
        <v/>
      </c>
    </row>
    <row r="1188">
      <c r="A1188" s="92" t="str">
        <f>IF($AG1188="","",P_ImportID)</f>
        <v/>
      </c>
      <c r="B1188" s="92" t="str">
        <f>IF($AG1188="","",IF(INDEX($AN$8:$AN$21,INDEX($AC$8:$AC$1407,$AG1188)+1)="Z",P_BronZ,P_BronE))</f>
        <v/>
      </c>
      <c r="C1188" s="108" t="str">
        <f>IF($AG1188="","",P_Importdatum)</f>
        <v/>
      </c>
      <c r="D1188" s="92" t="str">
        <f>IF($AG1188="","",P_StatusVastleg)</f>
        <v/>
      </c>
      <c r="E1188" s="92" t="str">
        <f>IF($AG1188="","",P_UploadVJ)</f>
        <v/>
      </c>
      <c r="F1188" s="92" t="str">
        <f>IF($AG1188="","",P_UploadVersie)</f>
        <v/>
      </c>
      <c r="G1188" s="92" t="str">
        <f>IF($AG1188="","",IF(COUNTIFS(L_Sleutel,$S1188,L_Status,"Vastgesteld")=0,0,_xlfn.MAXIFS(L_Revisie,L_Sleutel,$S1188,L_Status,"Vastgesteld")+1))</f>
        <v/>
      </c>
      <c r="H1188" s="108" t="str">
        <f>IF($AG1188="","",P_Peildatum)</f>
        <v/>
      </c>
      <c r="I1188" s="92" t="str">
        <f>IF($AG1188="","",P_RJ+INDEX($AK$8:$AK$21,INDEX($AC$8:$AC$1407,$AG1188)+1))</f>
        <v/>
      </c>
      <c r="J1188" s="92" t="str">
        <f>IF($AG1188="","",INDEX(V_WBS,INDEX($AB$8:$AB$1407,$AG1188)))</f>
        <v/>
      </c>
      <c r="K1188" s="92" t="str">
        <f>IF($AG1188="","",INDEX(V_Projdef,INDEX($AB$8:$AB$1407,$AG1188)))</f>
        <v/>
      </c>
      <c r="L1188" s="92" t="str">
        <f>IF($AG1188="","",INDEX(V_Naam,INDEX($AB$8:$AB$1407,$AG1188)))</f>
        <v/>
      </c>
      <c r="M1188" s="92" t="str">
        <f>IF($AG1188="","",INDEX(V_Type,INDEX($AB$8:$AB$1407,$AG1188)))</f>
        <v/>
      </c>
      <c r="N1188" s="92" t="str">
        <f>IF($AG1188="","",INDEX(V_IFRS,INDEX($AB$8:$AB$1407,$AG1188)))</f>
        <v/>
      </c>
      <c r="O1188" s="92" t="str">
        <f>IF($AG1188="","",INDEX($AL$8:$AL$21,INDEX($AC$8:$AC$1407,$AG1188)+1))</f>
        <v/>
      </c>
      <c r="P1188" s="109" t="str">
        <f>IF($AG1188="","",INDEX($AD$8:$AD$1407,$AG1188))</f>
        <v/>
      </c>
      <c r="Q1188" s="92" t="str">
        <f>IF($AG1188="","",INDEX($AM$8:$AM$21,INDEX($AC$8:$AC$1407,$AG1188)+1))</f>
        <v/>
      </c>
      <c r="R1188" s="92" t="str">
        <f>IF($AG1188="","",IF($G1188&gt;0,P_ToelCorrectie&amp;"",""))</f>
        <v/>
      </c>
      <c r="S1188" s="15" t="str">
        <f>IF(J1188="","",J1188&amp;"|"&amp;E1188&amp;"|"&amp;F1188&amp;"|"&amp;I1188&amp;"|"&amp;O1188)</f>
        <v/>
      </c>
      <c r="T1188" s="111" t="str">
        <f>IF(S1188="","",IF(COUNTIFS(L_Sleutel,S1188,L_Actief,1)=0,"",SUMIFS(L_Waarde,L_Sleutel,S1188,L_Actief,1)))</f>
        <v/>
      </c>
      <c r="U1188" s="111">
        <f>IF(OR(S1188="",T1188=""),0,P1188-T1188)</f>
        <v>0</v>
      </c>
      <c r="AB1188" s="112" t="n">
        <v>85</v>
      </c>
      <c r="AC1188" s="112" t="n">
        <v>4</v>
      </c>
      <c r="AD1188" s="112" t="str">
        <f>VERW_Project!R90</f>
        <v/>
      </c>
      <c r="AE1188" s="112">
        <f>IF(AND(VERW_Project!$A90&lt;&gt;"",ISNUMBER(AD1188)),1,0)</f>
        <v>0</v>
      </c>
      <c r="AF1188" s="112" t="str">
        <f>IF(AE1188=1,SUM($AE$8:AE1188),"")</f>
        <v/>
      </c>
      <c r="AG1188" t="str">
        <f>IFERROR(MATCH(1181,$AF$8:$AF$1407,0),"")</f>
        <v/>
      </c>
    </row>
    <row r="1189">
      <c r="A1189" s="92" t="str">
        <f>IF($AG1189="","",P_ImportID)</f>
        <v/>
      </c>
      <c r="B1189" s="92" t="str">
        <f>IF($AG1189="","",IF(INDEX($AN$8:$AN$21,INDEX($AC$8:$AC$1407,$AG1189)+1)="Z",P_BronZ,P_BronE))</f>
        <v/>
      </c>
      <c r="C1189" s="108" t="str">
        <f>IF($AG1189="","",P_Importdatum)</f>
        <v/>
      </c>
      <c r="D1189" s="92" t="str">
        <f>IF($AG1189="","",P_StatusVastleg)</f>
        <v/>
      </c>
      <c r="E1189" s="92" t="str">
        <f>IF($AG1189="","",P_UploadVJ)</f>
        <v/>
      </c>
      <c r="F1189" s="92" t="str">
        <f>IF($AG1189="","",P_UploadVersie)</f>
        <v/>
      </c>
      <c r="G1189" s="92" t="str">
        <f>IF($AG1189="","",IF(COUNTIFS(L_Sleutel,$S1189,L_Status,"Vastgesteld")=0,0,_xlfn.MAXIFS(L_Revisie,L_Sleutel,$S1189,L_Status,"Vastgesteld")+1))</f>
        <v/>
      </c>
      <c r="H1189" s="108" t="str">
        <f>IF($AG1189="","",P_Peildatum)</f>
        <v/>
      </c>
      <c r="I1189" s="92" t="str">
        <f>IF($AG1189="","",P_RJ+INDEX($AK$8:$AK$21,INDEX($AC$8:$AC$1407,$AG1189)+1))</f>
        <v/>
      </c>
      <c r="J1189" s="92" t="str">
        <f>IF($AG1189="","",INDEX(V_WBS,INDEX($AB$8:$AB$1407,$AG1189)))</f>
        <v/>
      </c>
      <c r="K1189" s="92" t="str">
        <f>IF($AG1189="","",INDEX(V_Projdef,INDEX($AB$8:$AB$1407,$AG1189)))</f>
        <v/>
      </c>
      <c r="L1189" s="92" t="str">
        <f>IF($AG1189="","",INDEX(V_Naam,INDEX($AB$8:$AB$1407,$AG1189)))</f>
        <v/>
      </c>
      <c r="M1189" s="92" t="str">
        <f>IF($AG1189="","",INDEX(V_Type,INDEX($AB$8:$AB$1407,$AG1189)))</f>
        <v/>
      </c>
      <c r="N1189" s="92" t="str">
        <f>IF($AG1189="","",INDEX(V_IFRS,INDEX($AB$8:$AB$1407,$AG1189)))</f>
        <v/>
      </c>
      <c r="O1189" s="92" t="str">
        <f>IF($AG1189="","",INDEX($AL$8:$AL$21,INDEX($AC$8:$AC$1407,$AG1189)+1))</f>
        <v/>
      </c>
      <c r="P1189" s="109" t="str">
        <f>IF($AG1189="","",INDEX($AD$8:$AD$1407,$AG1189))</f>
        <v/>
      </c>
      <c r="Q1189" s="92" t="str">
        <f>IF($AG1189="","",INDEX($AM$8:$AM$21,INDEX($AC$8:$AC$1407,$AG1189)+1))</f>
        <v/>
      </c>
      <c r="R1189" s="92" t="str">
        <f>IF($AG1189="","",IF($G1189&gt;0,P_ToelCorrectie&amp;"",""))</f>
        <v/>
      </c>
      <c r="S1189" s="15" t="str">
        <f>IF(J1189="","",J1189&amp;"|"&amp;E1189&amp;"|"&amp;F1189&amp;"|"&amp;I1189&amp;"|"&amp;O1189)</f>
        <v/>
      </c>
      <c r="T1189" s="111" t="str">
        <f>IF(S1189="","",IF(COUNTIFS(L_Sleutel,S1189,L_Actief,1)=0,"",SUMIFS(L_Waarde,L_Sleutel,S1189,L_Actief,1)))</f>
        <v/>
      </c>
      <c r="U1189" s="111">
        <f>IF(OR(S1189="",T1189=""),0,P1189-T1189)</f>
        <v>0</v>
      </c>
      <c r="AB1189" s="112" t="n">
        <v>85</v>
      </c>
      <c r="AC1189" s="112" t="n">
        <v>5</v>
      </c>
      <c r="AD1189" s="112" t="str">
        <f>VERW_Project!S90</f>
        <v/>
      </c>
      <c r="AE1189" s="112">
        <f>IF(AND(VERW_Project!$A90&lt;&gt;"",ISNUMBER(AD1189)),1,0)</f>
        <v>0</v>
      </c>
      <c r="AF1189" s="112" t="str">
        <f>IF(AE1189=1,SUM($AE$8:AE1189),"")</f>
        <v/>
      </c>
      <c r="AG1189" t="str">
        <f>IFERROR(MATCH(1182,$AF$8:$AF$1407,0),"")</f>
        <v/>
      </c>
    </row>
    <row r="1190">
      <c r="A1190" s="92" t="str">
        <f>IF($AG1190="","",P_ImportID)</f>
        <v/>
      </c>
      <c r="B1190" s="92" t="str">
        <f>IF($AG1190="","",IF(INDEX($AN$8:$AN$21,INDEX($AC$8:$AC$1407,$AG1190)+1)="Z",P_BronZ,P_BronE))</f>
        <v/>
      </c>
      <c r="C1190" s="108" t="str">
        <f>IF($AG1190="","",P_Importdatum)</f>
        <v/>
      </c>
      <c r="D1190" s="92" t="str">
        <f>IF($AG1190="","",P_StatusVastleg)</f>
        <v/>
      </c>
      <c r="E1190" s="92" t="str">
        <f>IF($AG1190="","",P_UploadVJ)</f>
        <v/>
      </c>
      <c r="F1190" s="92" t="str">
        <f>IF($AG1190="","",P_UploadVersie)</f>
        <v/>
      </c>
      <c r="G1190" s="92" t="str">
        <f>IF($AG1190="","",IF(COUNTIFS(L_Sleutel,$S1190,L_Status,"Vastgesteld")=0,0,_xlfn.MAXIFS(L_Revisie,L_Sleutel,$S1190,L_Status,"Vastgesteld")+1))</f>
        <v/>
      </c>
      <c r="H1190" s="108" t="str">
        <f>IF($AG1190="","",P_Peildatum)</f>
        <v/>
      </c>
      <c r="I1190" s="92" t="str">
        <f>IF($AG1190="","",P_RJ+INDEX($AK$8:$AK$21,INDEX($AC$8:$AC$1407,$AG1190)+1))</f>
        <v/>
      </c>
      <c r="J1190" s="92" t="str">
        <f>IF($AG1190="","",INDEX(V_WBS,INDEX($AB$8:$AB$1407,$AG1190)))</f>
        <v/>
      </c>
      <c r="K1190" s="92" t="str">
        <f>IF($AG1190="","",INDEX(V_Projdef,INDEX($AB$8:$AB$1407,$AG1190)))</f>
        <v/>
      </c>
      <c r="L1190" s="92" t="str">
        <f>IF($AG1190="","",INDEX(V_Naam,INDEX($AB$8:$AB$1407,$AG1190)))</f>
        <v/>
      </c>
      <c r="M1190" s="92" t="str">
        <f>IF($AG1190="","",INDEX(V_Type,INDEX($AB$8:$AB$1407,$AG1190)))</f>
        <v/>
      </c>
      <c r="N1190" s="92" t="str">
        <f>IF($AG1190="","",INDEX(V_IFRS,INDEX($AB$8:$AB$1407,$AG1190)))</f>
        <v/>
      </c>
      <c r="O1190" s="92" t="str">
        <f>IF($AG1190="","",INDEX($AL$8:$AL$21,INDEX($AC$8:$AC$1407,$AG1190)+1))</f>
        <v/>
      </c>
      <c r="P1190" s="109" t="str">
        <f>IF($AG1190="","",INDEX($AD$8:$AD$1407,$AG1190))</f>
        <v/>
      </c>
      <c r="Q1190" s="92" t="str">
        <f>IF($AG1190="","",INDEX($AM$8:$AM$21,INDEX($AC$8:$AC$1407,$AG1190)+1))</f>
        <v/>
      </c>
      <c r="R1190" s="92" t="str">
        <f>IF($AG1190="","",IF($G1190&gt;0,P_ToelCorrectie&amp;"",""))</f>
        <v/>
      </c>
      <c r="S1190" s="15" t="str">
        <f>IF(J1190="","",J1190&amp;"|"&amp;E1190&amp;"|"&amp;F1190&amp;"|"&amp;I1190&amp;"|"&amp;O1190)</f>
        <v/>
      </c>
      <c r="T1190" s="111" t="str">
        <f>IF(S1190="","",IF(COUNTIFS(L_Sleutel,S1190,L_Actief,1)=0,"",SUMIFS(L_Waarde,L_Sleutel,S1190,L_Actief,1)))</f>
        <v/>
      </c>
      <c r="U1190" s="111">
        <f>IF(OR(S1190="",T1190=""),0,P1190-T1190)</f>
        <v>0</v>
      </c>
      <c r="AB1190" s="112" t="n">
        <v>85</v>
      </c>
      <c r="AC1190" s="112" t="n">
        <v>6</v>
      </c>
      <c r="AD1190" s="112" t="str">
        <f>VERW_Project!BW90</f>
        <v/>
      </c>
      <c r="AE1190" s="112">
        <f>IF(AND(VERW_Project!$A90&lt;&gt;"",ISNUMBER(AD1190)),1,0)</f>
        <v>0</v>
      </c>
      <c r="AF1190" s="112" t="str">
        <f>IF(AE1190=1,SUM($AE$8:AE1190),"")</f>
        <v/>
      </c>
      <c r="AG1190" t="str">
        <f>IFERROR(MATCH(1183,$AF$8:$AF$1407,0),"")</f>
        <v/>
      </c>
    </row>
    <row r="1191">
      <c r="A1191" s="92" t="str">
        <f>IF($AG1191="","",P_ImportID)</f>
        <v/>
      </c>
      <c r="B1191" s="92" t="str">
        <f>IF($AG1191="","",IF(INDEX($AN$8:$AN$21,INDEX($AC$8:$AC$1407,$AG1191)+1)="Z",P_BronZ,P_BronE))</f>
        <v/>
      </c>
      <c r="C1191" s="108" t="str">
        <f>IF($AG1191="","",P_Importdatum)</f>
        <v/>
      </c>
      <c r="D1191" s="92" t="str">
        <f>IF($AG1191="","",P_StatusVastleg)</f>
        <v/>
      </c>
      <c r="E1191" s="92" t="str">
        <f>IF($AG1191="","",P_UploadVJ)</f>
        <v/>
      </c>
      <c r="F1191" s="92" t="str">
        <f>IF($AG1191="","",P_UploadVersie)</f>
        <v/>
      </c>
      <c r="G1191" s="92" t="str">
        <f>IF($AG1191="","",IF(COUNTIFS(L_Sleutel,$S1191,L_Status,"Vastgesteld")=0,0,_xlfn.MAXIFS(L_Revisie,L_Sleutel,$S1191,L_Status,"Vastgesteld")+1))</f>
        <v/>
      </c>
      <c r="H1191" s="108" t="str">
        <f>IF($AG1191="","",P_Peildatum)</f>
        <v/>
      </c>
      <c r="I1191" s="92" t="str">
        <f>IF($AG1191="","",P_RJ+INDEX($AK$8:$AK$21,INDEX($AC$8:$AC$1407,$AG1191)+1))</f>
        <v/>
      </c>
      <c r="J1191" s="92" t="str">
        <f>IF($AG1191="","",INDEX(V_WBS,INDEX($AB$8:$AB$1407,$AG1191)))</f>
        <v/>
      </c>
      <c r="K1191" s="92" t="str">
        <f>IF($AG1191="","",INDEX(V_Projdef,INDEX($AB$8:$AB$1407,$AG1191)))</f>
        <v/>
      </c>
      <c r="L1191" s="92" t="str">
        <f>IF($AG1191="","",INDEX(V_Naam,INDEX($AB$8:$AB$1407,$AG1191)))</f>
        <v/>
      </c>
      <c r="M1191" s="92" t="str">
        <f>IF($AG1191="","",INDEX(V_Type,INDEX($AB$8:$AB$1407,$AG1191)))</f>
        <v/>
      </c>
      <c r="N1191" s="92" t="str">
        <f>IF($AG1191="","",INDEX(V_IFRS,INDEX($AB$8:$AB$1407,$AG1191)))</f>
        <v/>
      </c>
      <c r="O1191" s="92" t="str">
        <f>IF($AG1191="","",INDEX($AL$8:$AL$21,INDEX($AC$8:$AC$1407,$AG1191)+1))</f>
        <v/>
      </c>
      <c r="P1191" s="109" t="str">
        <f>IF($AG1191="","",INDEX($AD$8:$AD$1407,$AG1191))</f>
        <v/>
      </c>
      <c r="Q1191" s="92" t="str">
        <f>IF($AG1191="","",INDEX($AM$8:$AM$21,INDEX($AC$8:$AC$1407,$AG1191)+1))</f>
        <v/>
      </c>
      <c r="R1191" s="92" t="str">
        <f>IF($AG1191="","",IF($G1191&gt;0,P_ToelCorrectie&amp;"",""))</f>
        <v/>
      </c>
      <c r="S1191" s="15" t="str">
        <f>IF(J1191="","",J1191&amp;"|"&amp;E1191&amp;"|"&amp;F1191&amp;"|"&amp;I1191&amp;"|"&amp;O1191)</f>
        <v/>
      </c>
      <c r="T1191" s="111" t="str">
        <f>IF(S1191="","",IF(COUNTIFS(L_Sleutel,S1191,L_Actief,1)=0,"",SUMIFS(L_Waarde,L_Sleutel,S1191,L_Actief,1)))</f>
        <v/>
      </c>
      <c r="U1191" s="111">
        <f>IF(OR(S1191="",T1191=""),0,P1191-T1191)</f>
        <v>0</v>
      </c>
      <c r="AB1191" s="112" t="n">
        <v>85</v>
      </c>
      <c r="AC1191" s="112" t="n">
        <v>7</v>
      </c>
      <c r="AD1191" s="112" t="str">
        <f>VERW_Project!AW90</f>
        <v/>
      </c>
      <c r="AE1191" s="112">
        <f>IF(AND(VERW_Project!$A90&lt;&gt;"",ISNUMBER(AD1191)),1,0)</f>
        <v>0</v>
      </c>
      <c r="AF1191" s="112" t="str">
        <f>IF(AE1191=1,SUM($AE$8:AE1191),"")</f>
        <v/>
      </c>
      <c r="AG1191" t="str">
        <f>IFERROR(MATCH(1184,$AF$8:$AF$1407,0),"")</f>
        <v/>
      </c>
    </row>
    <row r="1192">
      <c r="A1192" s="92" t="str">
        <f>IF($AG1192="","",P_ImportID)</f>
        <v/>
      </c>
      <c r="B1192" s="92" t="str">
        <f>IF($AG1192="","",IF(INDEX($AN$8:$AN$21,INDEX($AC$8:$AC$1407,$AG1192)+1)="Z",P_BronZ,P_BronE))</f>
        <v/>
      </c>
      <c r="C1192" s="108" t="str">
        <f>IF($AG1192="","",P_Importdatum)</f>
        <v/>
      </c>
      <c r="D1192" s="92" t="str">
        <f>IF($AG1192="","",P_StatusVastleg)</f>
        <v/>
      </c>
      <c r="E1192" s="92" t="str">
        <f>IF($AG1192="","",P_UploadVJ)</f>
        <v/>
      </c>
      <c r="F1192" s="92" t="str">
        <f>IF($AG1192="","",P_UploadVersie)</f>
        <v/>
      </c>
      <c r="G1192" s="92" t="str">
        <f>IF($AG1192="","",IF(COUNTIFS(L_Sleutel,$S1192,L_Status,"Vastgesteld")=0,0,_xlfn.MAXIFS(L_Revisie,L_Sleutel,$S1192,L_Status,"Vastgesteld")+1))</f>
        <v/>
      </c>
      <c r="H1192" s="108" t="str">
        <f>IF($AG1192="","",P_Peildatum)</f>
        <v/>
      </c>
      <c r="I1192" s="92" t="str">
        <f>IF($AG1192="","",P_RJ+INDEX($AK$8:$AK$21,INDEX($AC$8:$AC$1407,$AG1192)+1))</f>
        <v/>
      </c>
      <c r="J1192" s="92" t="str">
        <f>IF($AG1192="","",INDEX(V_WBS,INDEX($AB$8:$AB$1407,$AG1192)))</f>
        <v/>
      </c>
      <c r="K1192" s="92" t="str">
        <f>IF($AG1192="","",INDEX(V_Projdef,INDEX($AB$8:$AB$1407,$AG1192)))</f>
        <v/>
      </c>
      <c r="L1192" s="92" t="str">
        <f>IF($AG1192="","",INDEX(V_Naam,INDEX($AB$8:$AB$1407,$AG1192)))</f>
        <v/>
      </c>
      <c r="M1192" s="92" t="str">
        <f>IF($AG1192="","",INDEX(V_Type,INDEX($AB$8:$AB$1407,$AG1192)))</f>
        <v/>
      </c>
      <c r="N1192" s="92" t="str">
        <f>IF($AG1192="","",INDEX(V_IFRS,INDEX($AB$8:$AB$1407,$AG1192)))</f>
        <v/>
      </c>
      <c r="O1192" s="92" t="str">
        <f>IF($AG1192="","",INDEX($AL$8:$AL$21,INDEX($AC$8:$AC$1407,$AG1192)+1))</f>
        <v/>
      </c>
      <c r="P1192" s="109" t="str">
        <f>IF($AG1192="","",INDEX($AD$8:$AD$1407,$AG1192))</f>
        <v/>
      </c>
      <c r="Q1192" s="92" t="str">
        <f>IF($AG1192="","",INDEX($AM$8:$AM$21,INDEX($AC$8:$AC$1407,$AG1192)+1))</f>
        <v/>
      </c>
      <c r="R1192" s="92" t="str">
        <f>IF($AG1192="","",IF($G1192&gt;0,P_ToelCorrectie&amp;"",""))</f>
        <v/>
      </c>
      <c r="S1192" s="15" t="str">
        <f>IF(J1192="","",J1192&amp;"|"&amp;E1192&amp;"|"&amp;F1192&amp;"|"&amp;I1192&amp;"|"&amp;O1192)</f>
        <v/>
      </c>
      <c r="T1192" s="111" t="str">
        <f>IF(S1192="","",IF(COUNTIFS(L_Sleutel,S1192,L_Actief,1)=0,"",SUMIFS(L_Waarde,L_Sleutel,S1192,L_Actief,1)))</f>
        <v/>
      </c>
      <c r="U1192" s="111">
        <f>IF(OR(S1192="",T1192=""),0,P1192-T1192)</f>
        <v>0</v>
      </c>
      <c r="AB1192" s="112" t="n">
        <v>85</v>
      </c>
      <c r="AC1192" s="112" t="n">
        <v>8</v>
      </c>
      <c r="AD1192" s="112" t="str">
        <f>VERW_Project!BQ90</f>
        <v/>
      </c>
      <c r="AE1192" s="112">
        <f>IF(AND(VERW_Project!$A90&lt;&gt;"",ISNUMBER(AD1192)),1,0)</f>
        <v>0</v>
      </c>
      <c r="AF1192" s="112" t="str">
        <f>IF(AE1192=1,SUM($AE$8:AE1192),"")</f>
        <v/>
      </c>
      <c r="AG1192" t="str">
        <f>IFERROR(MATCH(1185,$AF$8:$AF$1407,0),"")</f>
        <v/>
      </c>
    </row>
    <row r="1193">
      <c r="A1193" s="92" t="str">
        <f>IF($AG1193="","",P_ImportID)</f>
        <v/>
      </c>
      <c r="B1193" s="92" t="str">
        <f>IF($AG1193="","",IF(INDEX($AN$8:$AN$21,INDEX($AC$8:$AC$1407,$AG1193)+1)="Z",P_BronZ,P_BronE))</f>
        <v/>
      </c>
      <c r="C1193" s="108" t="str">
        <f>IF($AG1193="","",P_Importdatum)</f>
        <v/>
      </c>
      <c r="D1193" s="92" t="str">
        <f>IF($AG1193="","",P_StatusVastleg)</f>
        <v/>
      </c>
      <c r="E1193" s="92" t="str">
        <f>IF($AG1193="","",P_UploadVJ)</f>
        <v/>
      </c>
      <c r="F1193" s="92" t="str">
        <f>IF($AG1193="","",P_UploadVersie)</f>
        <v/>
      </c>
      <c r="G1193" s="92" t="str">
        <f>IF($AG1193="","",IF(COUNTIFS(L_Sleutel,$S1193,L_Status,"Vastgesteld")=0,0,_xlfn.MAXIFS(L_Revisie,L_Sleutel,$S1193,L_Status,"Vastgesteld")+1))</f>
        <v/>
      </c>
      <c r="H1193" s="108" t="str">
        <f>IF($AG1193="","",P_Peildatum)</f>
        <v/>
      </c>
      <c r="I1193" s="92" t="str">
        <f>IF($AG1193="","",P_RJ+INDEX($AK$8:$AK$21,INDEX($AC$8:$AC$1407,$AG1193)+1))</f>
        <v/>
      </c>
      <c r="J1193" s="92" t="str">
        <f>IF($AG1193="","",INDEX(V_WBS,INDEX($AB$8:$AB$1407,$AG1193)))</f>
        <v/>
      </c>
      <c r="K1193" s="92" t="str">
        <f>IF($AG1193="","",INDEX(V_Projdef,INDEX($AB$8:$AB$1407,$AG1193)))</f>
        <v/>
      </c>
      <c r="L1193" s="92" t="str">
        <f>IF($AG1193="","",INDEX(V_Naam,INDEX($AB$8:$AB$1407,$AG1193)))</f>
        <v/>
      </c>
      <c r="M1193" s="92" t="str">
        <f>IF($AG1193="","",INDEX(V_Type,INDEX($AB$8:$AB$1407,$AG1193)))</f>
        <v/>
      </c>
      <c r="N1193" s="92" t="str">
        <f>IF($AG1193="","",INDEX(V_IFRS,INDEX($AB$8:$AB$1407,$AG1193)))</f>
        <v/>
      </c>
      <c r="O1193" s="92" t="str">
        <f>IF($AG1193="","",INDEX($AL$8:$AL$21,INDEX($AC$8:$AC$1407,$AG1193)+1))</f>
        <v/>
      </c>
      <c r="P1193" s="109" t="str">
        <f>IF($AG1193="","",INDEX($AD$8:$AD$1407,$AG1193))</f>
        <v/>
      </c>
      <c r="Q1193" s="92" t="str">
        <f>IF($AG1193="","",INDEX($AM$8:$AM$21,INDEX($AC$8:$AC$1407,$AG1193)+1))</f>
        <v/>
      </c>
      <c r="R1193" s="92" t="str">
        <f>IF($AG1193="","",IF($G1193&gt;0,P_ToelCorrectie&amp;"",""))</f>
        <v/>
      </c>
      <c r="S1193" s="15" t="str">
        <f>IF(J1193="","",J1193&amp;"|"&amp;E1193&amp;"|"&amp;F1193&amp;"|"&amp;I1193&amp;"|"&amp;O1193)</f>
        <v/>
      </c>
      <c r="T1193" s="111" t="str">
        <f>IF(S1193="","",IF(COUNTIFS(L_Sleutel,S1193,L_Actief,1)=0,"",SUMIFS(L_Waarde,L_Sleutel,S1193,L_Actief,1)))</f>
        <v/>
      </c>
      <c r="U1193" s="111">
        <f>IF(OR(S1193="",T1193=""),0,P1193-T1193)</f>
        <v>0</v>
      </c>
      <c r="AB1193" s="112" t="n">
        <v>85</v>
      </c>
      <c r="AC1193" s="112" t="n">
        <v>9</v>
      </c>
      <c r="AD1193" s="112" t="str">
        <f>VERW_Project!BR90</f>
        <v/>
      </c>
      <c r="AE1193" s="112">
        <f>IF(AND(VERW_Project!$A90&lt;&gt;"",ISNUMBER(AD1193)),1,0)</f>
        <v>0</v>
      </c>
      <c r="AF1193" s="112" t="str">
        <f>IF(AE1193=1,SUM($AE$8:AE1193),"")</f>
        <v/>
      </c>
      <c r="AG1193" t="str">
        <f>IFERROR(MATCH(1186,$AF$8:$AF$1407,0),"")</f>
        <v/>
      </c>
    </row>
    <row r="1194">
      <c r="A1194" s="92" t="str">
        <f>IF($AG1194="","",P_ImportID)</f>
        <v/>
      </c>
      <c r="B1194" s="92" t="str">
        <f>IF($AG1194="","",IF(INDEX($AN$8:$AN$21,INDEX($AC$8:$AC$1407,$AG1194)+1)="Z",P_BronZ,P_BronE))</f>
        <v/>
      </c>
      <c r="C1194" s="108" t="str">
        <f>IF($AG1194="","",P_Importdatum)</f>
        <v/>
      </c>
      <c r="D1194" s="92" t="str">
        <f>IF($AG1194="","",P_StatusVastleg)</f>
        <v/>
      </c>
      <c r="E1194" s="92" t="str">
        <f>IF($AG1194="","",P_UploadVJ)</f>
        <v/>
      </c>
      <c r="F1194" s="92" t="str">
        <f>IF($AG1194="","",P_UploadVersie)</f>
        <v/>
      </c>
      <c r="G1194" s="92" t="str">
        <f>IF($AG1194="","",IF(COUNTIFS(L_Sleutel,$S1194,L_Status,"Vastgesteld")=0,0,_xlfn.MAXIFS(L_Revisie,L_Sleutel,$S1194,L_Status,"Vastgesteld")+1))</f>
        <v/>
      </c>
      <c r="H1194" s="108" t="str">
        <f>IF($AG1194="","",P_Peildatum)</f>
        <v/>
      </c>
      <c r="I1194" s="92" t="str">
        <f>IF($AG1194="","",P_RJ+INDEX($AK$8:$AK$21,INDEX($AC$8:$AC$1407,$AG1194)+1))</f>
        <v/>
      </c>
      <c r="J1194" s="92" t="str">
        <f>IF($AG1194="","",INDEX(V_WBS,INDEX($AB$8:$AB$1407,$AG1194)))</f>
        <v/>
      </c>
      <c r="K1194" s="92" t="str">
        <f>IF($AG1194="","",INDEX(V_Projdef,INDEX($AB$8:$AB$1407,$AG1194)))</f>
        <v/>
      </c>
      <c r="L1194" s="92" t="str">
        <f>IF($AG1194="","",INDEX(V_Naam,INDEX($AB$8:$AB$1407,$AG1194)))</f>
        <v/>
      </c>
      <c r="M1194" s="92" t="str">
        <f>IF($AG1194="","",INDEX(V_Type,INDEX($AB$8:$AB$1407,$AG1194)))</f>
        <v/>
      </c>
      <c r="N1194" s="92" t="str">
        <f>IF($AG1194="","",INDEX(V_IFRS,INDEX($AB$8:$AB$1407,$AG1194)))</f>
        <v/>
      </c>
      <c r="O1194" s="92" t="str">
        <f>IF($AG1194="","",INDEX($AL$8:$AL$21,INDEX($AC$8:$AC$1407,$AG1194)+1))</f>
        <v/>
      </c>
      <c r="P1194" s="109" t="str">
        <f>IF($AG1194="","",INDEX($AD$8:$AD$1407,$AG1194))</f>
        <v/>
      </c>
      <c r="Q1194" s="92" t="str">
        <f>IF($AG1194="","",INDEX($AM$8:$AM$21,INDEX($AC$8:$AC$1407,$AG1194)+1))</f>
        <v/>
      </c>
      <c r="R1194" s="92" t="str">
        <f>IF($AG1194="","",IF($G1194&gt;0,P_ToelCorrectie&amp;"",""))</f>
        <v/>
      </c>
      <c r="S1194" s="15" t="str">
        <f>IF(J1194="","",J1194&amp;"|"&amp;E1194&amp;"|"&amp;F1194&amp;"|"&amp;I1194&amp;"|"&amp;O1194)</f>
        <v/>
      </c>
      <c r="T1194" s="111" t="str">
        <f>IF(S1194="","",IF(COUNTIFS(L_Sleutel,S1194,L_Actief,1)=0,"",SUMIFS(L_Waarde,L_Sleutel,S1194,L_Actief,1)))</f>
        <v/>
      </c>
      <c r="U1194" s="111">
        <f>IF(OR(S1194="",T1194=""),0,P1194-T1194)</f>
        <v>0</v>
      </c>
      <c r="AB1194" s="112" t="n">
        <v>85</v>
      </c>
      <c r="AC1194" s="112" t="n">
        <v>10</v>
      </c>
      <c r="AD1194" s="112" t="str">
        <f>VERW_Project!BS90</f>
        <v/>
      </c>
      <c r="AE1194" s="112">
        <f>IF(AND(VERW_Project!$A90&lt;&gt;"",ISNUMBER(AD1194)),1,0)</f>
        <v>0</v>
      </c>
      <c r="AF1194" s="112" t="str">
        <f>IF(AE1194=1,SUM($AE$8:AE1194),"")</f>
        <v/>
      </c>
      <c r="AG1194" t="str">
        <f>IFERROR(MATCH(1187,$AF$8:$AF$1407,0),"")</f>
        <v/>
      </c>
    </row>
    <row r="1195">
      <c r="A1195" s="92" t="str">
        <f>IF($AG1195="","",P_ImportID)</f>
        <v/>
      </c>
      <c r="B1195" s="92" t="str">
        <f>IF($AG1195="","",IF(INDEX($AN$8:$AN$21,INDEX($AC$8:$AC$1407,$AG1195)+1)="Z",P_BronZ,P_BronE))</f>
        <v/>
      </c>
      <c r="C1195" s="108" t="str">
        <f>IF($AG1195="","",P_Importdatum)</f>
        <v/>
      </c>
      <c r="D1195" s="92" t="str">
        <f>IF($AG1195="","",P_StatusVastleg)</f>
        <v/>
      </c>
      <c r="E1195" s="92" t="str">
        <f>IF($AG1195="","",P_UploadVJ)</f>
        <v/>
      </c>
      <c r="F1195" s="92" t="str">
        <f>IF($AG1195="","",P_UploadVersie)</f>
        <v/>
      </c>
      <c r="G1195" s="92" t="str">
        <f>IF($AG1195="","",IF(COUNTIFS(L_Sleutel,$S1195,L_Status,"Vastgesteld")=0,0,_xlfn.MAXIFS(L_Revisie,L_Sleutel,$S1195,L_Status,"Vastgesteld")+1))</f>
        <v/>
      </c>
      <c r="H1195" s="108" t="str">
        <f>IF($AG1195="","",P_Peildatum)</f>
        <v/>
      </c>
      <c r="I1195" s="92" t="str">
        <f>IF($AG1195="","",P_RJ+INDEX($AK$8:$AK$21,INDEX($AC$8:$AC$1407,$AG1195)+1))</f>
        <v/>
      </c>
      <c r="J1195" s="92" t="str">
        <f>IF($AG1195="","",INDEX(V_WBS,INDEX($AB$8:$AB$1407,$AG1195)))</f>
        <v/>
      </c>
      <c r="K1195" s="92" t="str">
        <f>IF($AG1195="","",INDEX(V_Projdef,INDEX($AB$8:$AB$1407,$AG1195)))</f>
        <v/>
      </c>
      <c r="L1195" s="92" t="str">
        <f>IF($AG1195="","",INDEX(V_Naam,INDEX($AB$8:$AB$1407,$AG1195)))</f>
        <v/>
      </c>
      <c r="M1195" s="92" t="str">
        <f>IF($AG1195="","",INDEX(V_Type,INDEX($AB$8:$AB$1407,$AG1195)))</f>
        <v/>
      </c>
      <c r="N1195" s="92" t="str">
        <f>IF($AG1195="","",INDEX(V_IFRS,INDEX($AB$8:$AB$1407,$AG1195)))</f>
        <v/>
      </c>
      <c r="O1195" s="92" t="str">
        <f>IF($AG1195="","",INDEX($AL$8:$AL$21,INDEX($AC$8:$AC$1407,$AG1195)+1))</f>
        <v/>
      </c>
      <c r="P1195" s="109" t="str">
        <f>IF($AG1195="","",INDEX($AD$8:$AD$1407,$AG1195))</f>
        <v/>
      </c>
      <c r="Q1195" s="92" t="str">
        <f>IF($AG1195="","",INDEX($AM$8:$AM$21,INDEX($AC$8:$AC$1407,$AG1195)+1))</f>
        <v/>
      </c>
      <c r="R1195" s="92" t="str">
        <f>IF($AG1195="","",IF($G1195&gt;0,P_ToelCorrectie&amp;"",""))</f>
        <v/>
      </c>
      <c r="S1195" s="15" t="str">
        <f>IF(J1195="","",J1195&amp;"|"&amp;E1195&amp;"|"&amp;F1195&amp;"|"&amp;I1195&amp;"|"&amp;O1195)</f>
        <v/>
      </c>
      <c r="T1195" s="111" t="str">
        <f>IF(S1195="","",IF(COUNTIFS(L_Sleutel,S1195,L_Actief,1)=0,"",SUMIFS(L_Waarde,L_Sleutel,S1195,L_Actief,1)))</f>
        <v/>
      </c>
      <c r="U1195" s="111">
        <f>IF(OR(S1195="",T1195=""),0,P1195-T1195)</f>
        <v>0</v>
      </c>
      <c r="AB1195" s="112" t="n">
        <v>85</v>
      </c>
      <c r="AC1195" s="112" t="n">
        <v>11</v>
      </c>
      <c r="AD1195" s="112" t="str">
        <f>VERW_Project!BT90</f>
        <v/>
      </c>
      <c r="AE1195" s="112">
        <f>IF(AND(VERW_Project!$A90&lt;&gt;"",ISNUMBER(AD1195)),1,0)</f>
        <v>0</v>
      </c>
      <c r="AF1195" s="112" t="str">
        <f>IF(AE1195=1,SUM($AE$8:AE1195),"")</f>
        <v/>
      </c>
      <c r="AG1195" t="str">
        <f>IFERROR(MATCH(1188,$AF$8:$AF$1407,0),"")</f>
        <v/>
      </c>
    </row>
    <row r="1196">
      <c r="A1196" s="92" t="str">
        <f>IF($AG1196="","",P_ImportID)</f>
        <v/>
      </c>
      <c r="B1196" s="92" t="str">
        <f>IF($AG1196="","",IF(INDEX($AN$8:$AN$21,INDEX($AC$8:$AC$1407,$AG1196)+1)="Z",P_BronZ,P_BronE))</f>
        <v/>
      </c>
      <c r="C1196" s="108" t="str">
        <f>IF($AG1196="","",P_Importdatum)</f>
        <v/>
      </c>
      <c r="D1196" s="92" t="str">
        <f>IF($AG1196="","",P_StatusVastleg)</f>
        <v/>
      </c>
      <c r="E1196" s="92" t="str">
        <f>IF($AG1196="","",P_UploadVJ)</f>
        <v/>
      </c>
      <c r="F1196" s="92" t="str">
        <f>IF($AG1196="","",P_UploadVersie)</f>
        <v/>
      </c>
      <c r="G1196" s="92" t="str">
        <f>IF($AG1196="","",IF(COUNTIFS(L_Sleutel,$S1196,L_Status,"Vastgesteld")=0,0,_xlfn.MAXIFS(L_Revisie,L_Sleutel,$S1196,L_Status,"Vastgesteld")+1))</f>
        <v/>
      </c>
      <c r="H1196" s="108" t="str">
        <f>IF($AG1196="","",P_Peildatum)</f>
        <v/>
      </c>
      <c r="I1196" s="92" t="str">
        <f>IF($AG1196="","",P_RJ+INDEX($AK$8:$AK$21,INDEX($AC$8:$AC$1407,$AG1196)+1))</f>
        <v/>
      </c>
      <c r="J1196" s="92" t="str">
        <f>IF($AG1196="","",INDEX(V_WBS,INDEX($AB$8:$AB$1407,$AG1196)))</f>
        <v/>
      </c>
      <c r="K1196" s="92" t="str">
        <f>IF($AG1196="","",INDEX(V_Projdef,INDEX($AB$8:$AB$1407,$AG1196)))</f>
        <v/>
      </c>
      <c r="L1196" s="92" t="str">
        <f>IF($AG1196="","",INDEX(V_Naam,INDEX($AB$8:$AB$1407,$AG1196)))</f>
        <v/>
      </c>
      <c r="M1196" s="92" t="str">
        <f>IF($AG1196="","",INDEX(V_Type,INDEX($AB$8:$AB$1407,$AG1196)))</f>
        <v/>
      </c>
      <c r="N1196" s="92" t="str">
        <f>IF($AG1196="","",INDEX(V_IFRS,INDEX($AB$8:$AB$1407,$AG1196)))</f>
        <v/>
      </c>
      <c r="O1196" s="92" t="str">
        <f>IF($AG1196="","",INDEX($AL$8:$AL$21,INDEX($AC$8:$AC$1407,$AG1196)+1))</f>
        <v/>
      </c>
      <c r="P1196" s="109" t="str">
        <f>IF($AG1196="","",INDEX($AD$8:$AD$1407,$AG1196))</f>
        <v/>
      </c>
      <c r="Q1196" s="92" t="str">
        <f>IF($AG1196="","",INDEX($AM$8:$AM$21,INDEX($AC$8:$AC$1407,$AG1196)+1))</f>
        <v/>
      </c>
      <c r="R1196" s="92" t="str">
        <f>IF($AG1196="","",IF($G1196&gt;0,P_ToelCorrectie&amp;"",""))</f>
        <v/>
      </c>
      <c r="S1196" s="15" t="str">
        <f>IF(J1196="","",J1196&amp;"|"&amp;E1196&amp;"|"&amp;F1196&amp;"|"&amp;I1196&amp;"|"&amp;O1196)</f>
        <v/>
      </c>
      <c r="T1196" s="111" t="str">
        <f>IF(S1196="","",IF(COUNTIFS(L_Sleutel,S1196,L_Actief,1)=0,"",SUMIFS(L_Waarde,L_Sleutel,S1196,L_Actief,1)))</f>
        <v/>
      </c>
      <c r="U1196" s="111">
        <f>IF(OR(S1196="",T1196=""),0,P1196-T1196)</f>
        <v>0</v>
      </c>
      <c r="AB1196" s="112" t="n">
        <v>85</v>
      </c>
      <c r="AC1196" s="112" t="n">
        <v>12</v>
      </c>
      <c r="AD1196" s="112" t="str">
        <f>VERW_Project!BU90</f>
        <v/>
      </c>
      <c r="AE1196" s="112">
        <f>IF(AND(VERW_Project!$A90&lt;&gt;"",ISNUMBER(AD1196)),1,0)</f>
        <v>0</v>
      </c>
      <c r="AF1196" s="112" t="str">
        <f>IF(AE1196=1,SUM($AE$8:AE1196),"")</f>
        <v/>
      </c>
      <c r="AG1196" t="str">
        <f>IFERROR(MATCH(1189,$AF$8:$AF$1407,0),"")</f>
        <v/>
      </c>
    </row>
    <row r="1197">
      <c r="A1197" s="92" t="str">
        <f>IF($AG1197="","",P_ImportID)</f>
        <v/>
      </c>
      <c r="B1197" s="92" t="str">
        <f>IF($AG1197="","",IF(INDEX($AN$8:$AN$21,INDEX($AC$8:$AC$1407,$AG1197)+1)="Z",P_BronZ,P_BronE))</f>
        <v/>
      </c>
      <c r="C1197" s="108" t="str">
        <f>IF($AG1197="","",P_Importdatum)</f>
        <v/>
      </c>
      <c r="D1197" s="92" t="str">
        <f>IF($AG1197="","",P_StatusVastleg)</f>
        <v/>
      </c>
      <c r="E1197" s="92" t="str">
        <f>IF($AG1197="","",P_UploadVJ)</f>
        <v/>
      </c>
      <c r="F1197" s="92" t="str">
        <f>IF($AG1197="","",P_UploadVersie)</f>
        <v/>
      </c>
      <c r="G1197" s="92" t="str">
        <f>IF($AG1197="","",IF(COUNTIFS(L_Sleutel,$S1197,L_Status,"Vastgesteld")=0,0,_xlfn.MAXIFS(L_Revisie,L_Sleutel,$S1197,L_Status,"Vastgesteld")+1))</f>
        <v/>
      </c>
      <c r="H1197" s="108" t="str">
        <f>IF($AG1197="","",P_Peildatum)</f>
        <v/>
      </c>
      <c r="I1197" s="92" t="str">
        <f>IF($AG1197="","",P_RJ+INDEX($AK$8:$AK$21,INDEX($AC$8:$AC$1407,$AG1197)+1))</f>
        <v/>
      </c>
      <c r="J1197" s="92" t="str">
        <f>IF($AG1197="","",INDEX(V_WBS,INDEX($AB$8:$AB$1407,$AG1197)))</f>
        <v/>
      </c>
      <c r="K1197" s="92" t="str">
        <f>IF($AG1197="","",INDEX(V_Projdef,INDEX($AB$8:$AB$1407,$AG1197)))</f>
        <v/>
      </c>
      <c r="L1197" s="92" t="str">
        <f>IF($AG1197="","",INDEX(V_Naam,INDEX($AB$8:$AB$1407,$AG1197)))</f>
        <v/>
      </c>
      <c r="M1197" s="92" t="str">
        <f>IF($AG1197="","",INDEX(V_Type,INDEX($AB$8:$AB$1407,$AG1197)))</f>
        <v/>
      </c>
      <c r="N1197" s="92" t="str">
        <f>IF($AG1197="","",INDEX(V_IFRS,INDEX($AB$8:$AB$1407,$AG1197)))</f>
        <v/>
      </c>
      <c r="O1197" s="92" t="str">
        <f>IF($AG1197="","",INDEX($AL$8:$AL$21,INDEX($AC$8:$AC$1407,$AG1197)+1))</f>
        <v/>
      </c>
      <c r="P1197" s="109" t="str">
        <f>IF($AG1197="","",INDEX($AD$8:$AD$1407,$AG1197))</f>
        <v/>
      </c>
      <c r="Q1197" s="92" t="str">
        <f>IF($AG1197="","",INDEX($AM$8:$AM$21,INDEX($AC$8:$AC$1407,$AG1197)+1))</f>
        <v/>
      </c>
      <c r="R1197" s="92" t="str">
        <f>IF($AG1197="","",IF($G1197&gt;0,P_ToelCorrectie&amp;"",""))</f>
        <v/>
      </c>
      <c r="S1197" s="15" t="str">
        <f>IF(J1197="","",J1197&amp;"|"&amp;E1197&amp;"|"&amp;F1197&amp;"|"&amp;I1197&amp;"|"&amp;O1197)</f>
        <v/>
      </c>
      <c r="T1197" s="111" t="str">
        <f>IF(S1197="","",IF(COUNTIFS(L_Sleutel,S1197,L_Actief,1)=0,"",SUMIFS(L_Waarde,L_Sleutel,S1197,L_Actief,1)))</f>
        <v/>
      </c>
      <c r="U1197" s="111">
        <f>IF(OR(S1197="",T1197=""),0,P1197-T1197)</f>
        <v>0</v>
      </c>
      <c r="AB1197" s="112" t="n">
        <v>85</v>
      </c>
      <c r="AC1197" s="112" t="n">
        <v>13</v>
      </c>
      <c r="AD1197" s="112" t="str">
        <f>VERW_Project!BX90</f>
        <v/>
      </c>
      <c r="AE1197" s="112">
        <f>IF(AND(VERW_Project!$A90&lt;&gt;"",ISNUMBER(AD1197)),1,0)</f>
        <v>0</v>
      </c>
      <c r="AF1197" s="112" t="str">
        <f>IF(AE1197=1,SUM($AE$8:AE1197),"")</f>
        <v/>
      </c>
      <c r="AG1197" t="str">
        <f>IFERROR(MATCH(1190,$AF$8:$AF$1407,0),"")</f>
        <v/>
      </c>
    </row>
    <row r="1198">
      <c r="A1198" s="92" t="str">
        <f>IF($AG1198="","",P_ImportID)</f>
        <v/>
      </c>
      <c r="B1198" s="92" t="str">
        <f>IF($AG1198="","",IF(INDEX($AN$8:$AN$21,INDEX($AC$8:$AC$1407,$AG1198)+1)="Z",P_BronZ,P_BronE))</f>
        <v/>
      </c>
      <c r="C1198" s="108" t="str">
        <f>IF($AG1198="","",P_Importdatum)</f>
        <v/>
      </c>
      <c r="D1198" s="92" t="str">
        <f>IF($AG1198="","",P_StatusVastleg)</f>
        <v/>
      </c>
      <c r="E1198" s="92" t="str">
        <f>IF($AG1198="","",P_UploadVJ)</f>
        <v/>
      </c>
      <c r="F1198" s="92" t="str">
        <f>IF($AG1198="","",P_UploadVersie)</f>
        <v/>
      </c>
      <c r="G1198" s="92" t="str">
        <f>IF($AG1198="","",IF(COUNTIFS(L_Sleutel,$S1198,L_Status,"Vastgesteld")=0,0,_xlfn.MAXIFS(L_Revisie,L_Sleutel,$S1198,L_Status,"Vastgesteld")+1))</f>
        <v/>
      </c>
      <c r="H1198" s="108" t="str">
        <f>IF($AG1198="","",P_Peildatum)</f>
        <v/>
      </c>
      <c r="I1198" s="92" t="str">
        <f>IF($AG1198="","",P_RJ+INDEX($AK$8:$AK$21,INDEX($AC$8:$AC$1407,$AG1198)+1))</f>
        <v/>
      </c>
      <c r="J1198" s="92" t="str">
        <f>IF($AG1198="","",INDEX(V_WBS,INDEX($AB$8:$AB$1407,$AG1198)))</f>
        <v/>
      </c>
      <c r="K1198" s="92" t="str">
        <f>IF($AG1198="","",INDEX(V_Projdef,INDEX($AB$8:$AB$1407,$AG1198)))</f>
        <v/>
      </c>
      <c r="L1198" s="92" t="str">
        <f>IF($AG1198="","",INDEX(V_Naam,INDEX($AB$8:$AB$1407,$AG1198)))</f>
        <v/>
      </c>
      <c r="M1198" s="92" t="str">
        <f>IF($AG1198="","",INDEX(V_Type,INDEX($AB$8:$AB$1407,$AG1198)))</f>
        <v/>
      </c>
      <c r="N1198" s="92" t="str">
        <f>IF($AG1198="","",INDEX(V_IFRS,INDEX($AB$8:$AB$1407,$AG1198)))</f>
        <v/>
      </c>
      <c r="O1198" s="92" t="str">
        <f>IF($AG1198="","",INDEX($AL$8:$AL$21,INDEX($AC$8:$AC$1407,$AG1198)+1))</f>
        <v/>
      </c>
      <c r="P1198" s="109" t="str">
        <f>IF($AG1198="","",INDEX($AD$8:$AD$1407,$AG1198))</f>
        <v/>
      </c>
      <c r="Q1198" s="92" t="str">
        <f>IF($AG1198="","",INDEX($AM$8:$AM$21,INDEX($AC$8:$AC$1407,$AG1198)+1))</f>
        <v/>
      </c>
      <c r="R1198" s="92" t="str">
        <f>IF($AG1198="","",IF($G1198&gt;0,P_ToelCorrectie&amp;"",""))</f>
        <v/>
      </c>
      <c r="S1198" s="15" t="str">
        <f>IF(J1198="","",J1198&amp;"|"&amp;E1198&amp;"|"&amp;F1198&amp;"|"&amp;I1198&amp;"|"&amp;O1198)</f>
        <v/>
      </c>
      <c r="T1198" s="111" t="str">
        <f>IF(S1198="","",IF(COUNTIFS(L_Sleutel,S1198,L_Actief,1)=0,"",SUMIFS(L_Waarde,L_Sleutel,S1198,L_Actief,1)))</f>
        <v/>
      </c>
      <c r="U1198" s="111">
        <f>IF(OR(S1198="",T1198=""),0,P1198-T1198)</f>
        <v>0</v>
      </c>
      <c r="AB1198" s="112" t="n">
        <v>86</v>
      </c>
      <c r="AC1198" s="112" t="n">
        <v>0</v>
      </c>
      <c r="AD1198" s="112" t="str">
        <f>VERW_Project!P91</f>
        <v/>
      </c>
      <c r="AE1198" s="112">
        <f>IF(AND(VERW_Project!$A91&lt;&gt;"",ISNUMBER(AD1198)),1,0)</f>
        <v>0</v>
      </c>
      <c r="AF1198" s="112" t="str">
        <f>IF(AE1198=1,SUM($AE$8:AE1198),"")</f>
        <v/>
      </c>
      <c r="AG1198" t="str">
        <f>IFERROR(MATCH(1191,$AF$8:$AF$1407,0),"")</f>
        <v/>
      </c>
    </row>
    <row r="1199">
      <c r="A1199" s="92" t="str">
        <f>IF($AG1199="","",P_ImportID)</f>
        <v/>
      </c>
      <c r="B1199" s="92" t="str">
        <f>IF($AG1199="","",IF(INDEX($AN$8:$AN$21,INDEX($AC$8:$AC$1407,$AG1199)+1)="Z",P_BronZ,P_BronE))</f>
        <v/>
      </c>
      <c r="C1199" s="108" t="str">
        <f>IF($AG1199="","",P_Importdatum)</f>
        <v/>
      </c>
      <c r="D1199" s="92" t="str">
        <f>IF($AG1199="","",P_StatusVastleg)</f>
        <v/>
      </c>
      <c r="E1199" s="92" t="str">
        <f>IF($AG1199="","",P_UploadVJ)</f>
        <v/>
      </c>
      <c r="F1199" s="92" t="str">
        <f>IF($AG1199="","",P_UploadVersie)</f>
        <v/>
      </c>
      <c r="G1199" s="92" t="str">
        <f>IF($AG1199="","",IF(COUNTIFS(L_Sleutel,$S1199,L_Status,"Vastgesteld")=0,0,_xlfn.MAXIFS(L_Revisie,L_Sleutel,$S1199,L_Status,"Vastgesteld")+1))</f>
        <v/>
      </c>
      <c r="H1199" s="108" t="str">
        <f>IF($AG1199="","",P_Peildatum)</f>
        <v/>
      </c>
      <c r="I1199" s="92" t="str">
        <f>IF($AG1199="","",P_RJ+INDEX($AK$8:$AK$21,INDEX($AC$8:$AC$1407,$AG1199)+1))</f>
        <v/>
      </c>
      <c r="J1199" s="92" t="str">
        <f>IF($AG1199="","",INDEX(V_WBS,INDEX($AB$8:$AB$1407,$AG1199)))</f>
        <v/>
      </c>
      <c r="K1199" s="92" t="str">
        <f>IF($AG1199="","",INDEX(V_Projdef,INDEX($AB$8:$AB$1407,$AG1199)))</f>
        <v/>
      </c>
      <c r="L1199" s="92" t="str">
        <f>IF($AG1199="","",INDEX(V_Naam,INDEX($AB$8:$AB$1407,$AG1199)))</f>
        <v/>
      </c>
      <c r="M1199" s="92" t="str">
        <f>IF($AG1199="","",INDEX(V_Type,INDEX($AB$8:$AB$1407,$AG1199)))</f>
        <v/>
      </c>
      <c r="N1199" s="92" t="str">
        <f>IF($AG1199="","",INDEX(V_IFRS,INDEX($AB$8:$AB$1407,$AG1199)))</f>
        <v/>
      </c>
      <c r="O1199" s="92" t="str">
        <f>IF($AG1199="","",INDEX($AL$8:$AL$21,INDEX($AC$8:$AC$1407,$AG1199)+1))</f>
        <v/>
      </c>
      <c r="P1199" s="109" t="str">
        <f>IF($AG1199="","",INDEX($AD$8:$AD$1407,$AG1199))</f>
        <v/>
      </c>
      <c r="Q1199" s="92" t="str">
        <f>IF($AG1199="","",INDEX($AM$8:$AM$21,INDEX($AC$8:$AC$1407,$AG1199)+1))</f>
        <v/>
      </c>
      <c r="R1199" s="92" t="str">
        <f>IF($AG1199="","",IF($G1199&gt;0,P_ToelCorrectie&amp;"",""))</f>
        <v/>
      </c>
      <c r="S1199" s="15" t="str">
        <f>IF(J1199="","",J1199&amp;"|"&amp;E1199&amp;"|"&amp;F1199&amp;"|"&amp;I1199&amp;"|"&amp;O1199)</f>
        <v/>
      </c>
      <c r="T1199" s="111" t="str">
        <f>IF(S1199="","",IF(COUNTIFS(L_Sleutel,S1199,L_Actief,1)=0,"",SUMIFS(L_Waarde,L_Sleutel,S1199,L_Actief,1)))</f>
        <v/>
      </c>
      <c r="U1199" s="111">
        <f>IF(OR(S1199="",T1199=""),0,P1199-T1199)</f>
        <v>0</v>
      </c>
      <c r="AB1199" s="112" t="n">
        <v>86</v>
      </c>
      <c r="AC1199" s="112" t="n">
        <v>1</v>
      </c>
      <c r="AD1199" s="112" t="str">
        <f>VERW_Project!Q91</f>
        <v/>
      </c>
      <c r="AE1199" s="112">
        <f>IF(AND(VERW_Project!$A91&lt;&gt;"",ISNUMBER(AD1199)),1,0)</f>
        <v>0</v>
      </c>
      <c r="AF1199" s="112" t="str">
        <f>IF(AE1199=1,SUM($AE$8:AE1199),"")</f>
        <v/>
      </c>
      <c r="AG1199" t="str">
        <f>IFERROR(MATCH(1192,$AF$8:$AF$1407,0),"")</f>
        <v/>
      </c>
    </row>
    <row r="1200">
      <c r="A1200" s="92" t="str">
        <f>IF($AG1200="","",P_ImportID)</f>
        <v/>
      </c>
      <c r="B1200" s="92" t="str">
        <f>IF($AG1200="","",IF(INDEX($AN$8:$AN$21,INDEX($AC$8:$AC$1407,$AG1200)+1)="Z",P_BronZ,P_BronE))</f>
        <v/>
      </c>
      <c r="C1200" s="108" t="str">
        <f>IF($AG1200="","",P_Importdatum)</f>
        <v/>
      </c>
      <c r="D1200" s="92" t="str">
        <f>IF($AG1200="","",P_StatusVastleg)</f>
        <v/>
      </c>
      <c r="E1200" s="92" t="str">
        <f>IF($AG1200="","",P_UploadVJ)</f>
        <v/>
      </c>
      <c r="F1200" s="92" t="str">
        <f>IF($AG1200="","",P_UploadVersie)</f>
        <v/>
      </c>
      <c r="G1200" s="92" t="str">
        <f>IF($AG1200="","",IF(COUNTIFS(L_Sleutel,$S1200,L_Status,"Vastgesteld")=0,0,_xlfn.MAXIFS(L_Revisie,L_Sleutel,$S1200,L_Status,"Vastgesteld")+1))</f>
        <v/>
      </c>
      <c r="H1200" s="108" t="str">
        <f>IF($AG1200="","",P_Peildatum)</f>
        <v/>
      </c>
      <c r="I1200" s="92" t="str">
        <f>IF($AG1200="","",P_RJ+INDEX($AK$8:$AK$21,INDEX($AC$8:$AC$1407,$AG1200)+1))</f>
        <v/>
      </c>
      <c r="J1200" s="92" t="str">
        <f>IF($AG1200="","",INDEX(V_WBS,INDEX($AB$8:$AB$1407,$AG1200)))</f>
        <v/>
      </c>
      <c r="K1200" s="92" t="str">
        <f>IF($AG1200="","",INDEX(V_Projdef,INDEX($AB$8:$AB$1407,$AG1200)))</f>
        <v/>
      </c>
      <c r="L1200" s="92" t="str">
        <f>IF($AG1200="","",INDEX(V_Naam,INDEX($AB$8:$AB$1407,$AG1200)))</f>
        <v/>
      </c>
      <c r="M1200" s="92" t="str">
        <f>IF($AG1200="","",INDEX(V_Type,INDEX($AB$8:$AB$1407,$AG1200)))</f>
        <v/>
      </c>
      <c r="N1200" s="92" t="str">
        <f>IF($AG1200="","",INDEX(V_IFRS,INDEX($AB$8:$AB$1407,$AG1200)))</f>
        <v/>
      </c>
      <c r="O1200" s="92" t="str">
        <f>IF($AG1200="","",INDEX($AL$8:$AL$21,INDEX($AC$8:$AC$1407,$AG1200)+1))</f>
        <v/>
      </c>
      <c r="P1200" s="109" t="str">
        <f>IF($AG1200="","",INDEX($AD$8:$AD$1407,$AG1200))</f>
        <v/>
      </c>
      <c r="Q1200" s="92" t="str">
        <f>IF($AG1200="","",INDEX($AM$8:$AM$21,INDEX($AC$8:$AC$1407,$AG1200)+1))</f>
        <v/>
      </c>
      <c r="R1200" s="92" t="str">
        <f>IF($AG1200="","",IF($G1200&gt;0,P_ToelCorrectie&amp;"",""))</f>
        <v/>
      </c>
      <c r="S1200" s="15" t="str">
        <f>IF(J1200="","",J1200&amp;"|"&amp;E1200&amp;"|"&amp;F1200&amp;"|"&amp;I1200&amp;"|"&amp;O1200)</f>
        <v/>
      </c>
      <c r="T1200" s="111" t="str">
        <f>IF(S1200="","",IF(COUNTIFS(L_Sleutel,S1200,L_Actief,1)=0,"",SUMIFS(L_Waarde,L_Sleutel,S1200,L_Actief,1)))</f>
        <v/>
      </c>
      <c r="U1200" s="111">
        <f>IF(OR(S1200="",T1200=""),0,P1200-T1200)</f>
        <v>0</v>
      </c>
      <c r="AB1200" s="112" t="n">
        <v>86</v>
      </c>
      <c r="AC1200" s="112" t="n">
        <v>2</v>
      </c>
      <c r="AD1200" s="112" t="str">
        <f>VERW_Project!L91</f>
        <v/>
      </c>
      <c r="AE1200" s="112">
        <f>IF(AND(VERW_Project!$A91&lt;&gt;"",ISNUMBER(AD1200)),1,0)</f>
        <v>0</v>
      </c>
      <c r="AF1200" s="112" t="str">
        <f>IF(AE1200=1,SUM($AE$8:AE1200),"")</f>
        <v/>
      </c>
      <c r="AG1200" t="str">
        <f>IFERROR(MATCH(1193,$AF$8:$AF$1407,0),"")</f>
        <v/>
      </c>
    </row>
    <row r="1201">
      <c r="A1201" s="92" t="str">
        <f>IF($AG1201="","",P_ImportID)</f>
        <v/>
      </c>
      <c r="B1201" s="92" t="str">
        <f>IF($AG1201="","",IF(INDEX($AN$8:$AN$21,INDEX($AC$8:$AC$1407,$AG1201)+1)="Z",P_BronZ,P_BronE))</f>
        <v/>
      </c>
      <c r="C1201" s="108" t="str">
        <f>IF($AG1201="","",P_Importdatum)</f>
        <v/>
      </c>
      <c r="D1201" s="92" t="str">
        <f>IF($AG1201="","",P_StatusVastleg)</f>
        <v/>
      </c>
      <c r="E1201" s="92" t="str">
        <f>IF($AG1201="","",P_UploadVJ)</f>
        <v/>
      </c>
      <c r="F1201" s="92" t="str">
        <f>IF($AG1201="","",P_UploadVersie)</f>
        <v/>
      </c>
      <c r="G1201" s="92" t="str">
        <f>IF($AG1201="","",IF(COUNTIFS(L_Sleutel,$S1201,L_Status,"Vastgesteld")=0,0,_xlfn.MAXIFS(L_Revisie,L_Sleutel,$S1201,L_Status,"Vastgesteld")+1))</f>
        <v/>
      </c>
      <c r="H1201" s="108" t="str">
        <f>IF($AG1201="","",P_Peildatum)</f>
        <v/>
      </c>
      <c r="I1201" s="92" t="str">
        <f>IF($AG1201="","",P_RJ+INDEX($AK$8:$AK$21,INDEX($AC$8:$AC$1407,$AG1201)+1))</f>
        <v/>
      </c>
      <c r="J1201" s="92" t="str">
        <f>IF($AG1201="","",INDEX(V_WBS,INDEX($AB$8:$AB$1407,$AG1201)))</f>
        <v/>
      </c>
      <c r="K1201" s="92" t="str">
        <f>IF($AG1201="","",INDEX(V_Projdef,INDEX($AB$8:$AB$1407,$AG1201)))</f>
        <v/>
      </c>
      <c r="L1201" s="92" t="str">
        <f>IF($AG1201="","",INDEX(V_Naam,INDEX($AB$8:$AB$1407,$AG1201)))</f>
        <v/>
      </c>
      <c r="M1201" s="92" t="str">
        <f>IF($AG1201="","",INDEX(V_Type,INDEX($AB$8:$AB$1407,$AG1201)))</f>
        <v/>
      </c>
      <c r="N1201" s="92" t="str">
        <f>IF($AG1201="","",INDEX(V_IFRS,INDEX($AB$8:$AB$1407,$AG1201)))</f>
        <v/>
      </c>
      <c r="O1201" s="92" t="str">
        <f>IF($AG1201="","",INDEX($AL$8:$AL$21,INDEX($AC$8:$AC$1407,$AG1201)+1))</f>
        <v/>
      </c>
      <c r="P1201" s="109" t="str">
        <f>IF($AG1201="","",INDEX($AD$8:$AD$1407,$AG1201))</f>
        <v/>
      </c>
      <c r="Q1201" s="92" t="str">
        <f>IF($AG1201="","",INDEX($AM$8:$AM$21,INDEX($AC$8:$AC$1407,$AG1201)+1))</f>
        <v/>
      </c>
      <c r="R1201" s="92" t="str">
        <f>IF($AG1201="","",IF($G1201&gt;0,P_ToelCorrectie&amp;"",""))</f>
        <v/>
      </c>
      <c r="S1201" s="15" t="str">
        <f>IF(J1201="","",J1201&amp;"|"&amp;E1201&amp;"|"&amp;F1201&amp;"|"&amp;I1201&amp;"|"&amp;O1201)</f>
        <v/>
      </c>
      <c r="T1201" s="111" t="str">
        <f>IF(S1201="","",IF(COUNTIFS(L_Sleutel,S1201,L_Actief,1)=0,"",SUMIFS(L_Waarde,L_Sleutel,S1201,L_Actief,1)))</f>
        <v/>
      </c>
      <c r="U1201" s="111">
        <f>IF(OR(S1201="",T1201=""),0,P1201-T1201)</f>
        <v>0</v>
      </c>
      <c r="AB1201" s="112" t="n">
        <v>86</v>
      </c>
      <c r="AC1201" s="112" t="n">
        <v>3</v>
      </c>
      <c r="AD1201" s="112" t="str">
        <f>VERW_Project!M91</f>
        <v/>
      </c>
      <c r="AE1201" s="112">
        <f>IF(AND(VERW_Project!$A91&lt;&gt;"",ISNUMBER(AD1201)),1,0)</f>
        <v>0</v>
      </c>
      <c r="AF1201" s="112" t="str">
        <f>IF(AE1201=1,SUM($AE$8:AE1201),"")</f>
        <v/>
      </c>
      <c r="AG1201" t="str">
        <f>IFERROR(MATCH(1194,$AF$8:$AF$1407,0),"")</f>
        <v/>
      </c>
    </row>
    <row r="1202">
      <c r="A1202" s="92" t="str">
        <f>IF($AG1202="","",P_ImportID)</f>
        <v/>
      </c>
      <c r="B1202" s="92" t="str">
        <f>IF($AG1202="","",IF(INDEX($AN$8:$AN$21,INDEX($AC$8:$AC$1407,$AG1202)+1)="Z",P_BronZ,P_BronE))</f>
        <v/>
      </c>
      <c r="C1202" s="108" t="str">
        <f>IF($AG1202="","",P_Importdatum)</f>
        <v/>
      </c>
      <c r="D1202" s="92" t="str">
        <f>IF($AG1202="","",P_StatusVastleg)</f>
        <v/>
      </c>
      <c r="E1202" s="92" t="str">
        <f>IF($AG1202="","",P_UploadVJ)</f>
        <v/>
      </c>
      <c r="F1202" s="92" t="str">
        <f>IF($AG1202="","",P_UploadVersie)</f>
        <v/>
      </c>
      <c r="G1202" s="92" t="str">
        <f>IF($AG1202="","",IF(COUNTIFS(L_Sleutel,$S1202,L_Status,"Vastgesteld")=0,0,_xlfn.MAXIFS(L_Revisie,L_Sleutel,$S1202,L_Status,"Vastgesteld")+1))</f>
        <v/>
      </c>
      <c r="H1202" s="108" t="str">
        <f>IF($AG1202="","",P_Peildatum)</f>
        <v/>
      </c>
      <c r="I1202" s="92" t="str">
        <f>IF($AG1202="","",P_RJ+INDEX($AK$8:$AK$21,INDEX($AC$8:$AC$1407,$AG1202)+1))</f>
        <v/>
      </c>
      <c r="J1202" s="92" t="str">
        <f>IF($AG1202="","",INDEX(V_WBS,INDEX($AB$8:$AB$1407,$AG1202)))</f>
        <v/>
      </c>
      <c r="K1202" s="92" t="str">
        <f>IF($AG1202="","",INDEX(V_Projdef,INDEX($AB$8:$AB$1407,$AG1202)))</f>
        <v/>
      </c>
      <c r="L1202" s="92" t="str">
        <f>IF($AG1202="","",INDEX(V_Naam,INDEX($AB$8:$AB$1407,$AG1202)))</f>
        <v/>
      </c>
      <c r="M1202" s="92" t="str">
        <f>IF($AG1202="","",INDEX(V_Type,INDEX($AB$8:$AB$1407,$AG1202)))</f>
        <v/>
      </c>
      <c r="N1202" s="92" t="str">
        <f>IF($AG1202="","",INDEX(V_IFRS,INDEX($AB$8:$AB$1407,$AG1202)))</f>
        <v/>
      </c>
      <c r="O1202" s="92" t="str">
        <f>IF($AG1202="","",INDEX($AL$8:$AL$21,INDEX($AC$8:$AC$1407,$AG1202)+1))</f>
        <v/>
      </c>
      <c r="P1202" s="109" t="str">
        <f>IF($AG1202="","",INDEX($AD$8:$AD$1407,$AG1202))</f>
        <v/>
      </c>
      <c r="Q1202" s="92" t="str">
        <f>IF($AG1202="","",INDEX($AM$8:$AM$21,INDEX($AC$8:$AC$1407,$AG1202)+1))</f>
        <v/>
      </c>
      <c r="R1202" s="92" t="str">
        <f>IF($AG1202="","",IF($G1202&gt;0,P_ToelCorrectie&amp;"",""))</f>
        <v/>
      </c>
      <c r="S1202" s="15" t="str">
        <f>IF(J1202="","",J1202&amp;"|"&amp;E1202&amp;"|"&amp;F1202&amp;"|"&amp;I1202&amp;"|"&amp;O1202)</f>
        <v/>
      </c>
      <c r="T1202" s="111" t="str">
        <f>IF(S1202="","",IF(COUNTIFS(L_Sleutel,S1202,L_Actief,1)=0,"",SUMIFS(L_Waarde,L_Sleutel,S1202,L_Actief,1)))</f>
        <v/>
      </c>
      <c r="U1202" s="111">
        <f>IF(OR(S1202="",T1202=""),0,P1202-T1202)</f>
        <v>0</v>
      </c>
      <c r="AB1202" s="112" t="n">
        <v>86</v>
      </c>
      <c r="AC1202" s="112" t="n">
        <v>4</v>
      </c>
      <c r="AD1202" s="112" t="str">
        <f>VERW_Project!R91</f>
        <v/>
      </c>
      <c r="AE1202" s="112">
        <f>IF(AND(VERW_Project!$A91&lt;&gt;"",ISNUMBER(AD1202)),1,0)</f>
        <v>0</v>
      </c>
      <c r="AF1202" s="112" t="str">
        <f>IF(AE1202=1,SUM($AE$8:AE1202),"")</f>
        <v/>
      </c>
      <c r="AG1202" t="str">
        <f>IFERROR(MATCH(1195,$AF$8:$AF$1407,0),"")</f>
        <v/>
      </c>
    </row>
    <row r="1203">
      <c r="A1203" s="92" t="str">
        <f>IF($AG1203="","",P_ImportID)</f>
        <v/>
      </c>
      <c r="B1203" s="92" t="str">
        <f>IF($AG1203="","",IF(INDEX($AN$8:$AN$21,INDEX($AC$8:$AC$1407,$AG1203)+1)="Z",P_BronZ,P_BronE))</f>
        <v/>
      </c>
      <c r="C1203" s="108" t="str">
        <f>IF($AG1203="","",P_Importdatum)</f>
        <v/>
      </c>
      <c r="D1203" s="92" t="str">
        <f>IF($AG1203="","",P_StatusVastleg)</f>
        <v/>
      </c>
      <c r="E1203" s="92" t="str">
        <f>IF($AG1203="","",P_UploadVJ)</f>
        <v/>
      </c>
      <c r="F1203" s="92" t="str">
        <f>IF($AG1203="","",P_UploadVersie)</f>
        <v/>
      </c>
      <c r="G1203" s="92" t="str">
        <f>IF($AG1203="","",IF(COUNTIFS(L_Sleutel,$S1203,L_Status,"Vastgesteld")=0,0,_xlfn.MAXIFS(L_Revisie,L_Sleutel,$S1203,L_Status,"Vastgesteld")+1))</f>
        <v/>
      </c>
      <c r="H1203" s="108" t="str">
        <f>IF($AG1203="","",P_Peildatum)</f>
        <v/>
      </c>
      <c r="I1203" s="92" t="str">
        <f>IF($AG1203="","",P_RJ+INDEX($AK$8:$AK$21,INDEX($AC$8:$AC$1407,$AG1203)+1))</f>
        <v/>
      </c>
      <c r="J1203" s="92" t="str">
        <f>IF($AG1203="","",INDEX(V_WBS,INDEX($AB$8:$AB$1407,$AG1203)))</f>
        <v/>
      </c>
      <c r="K1203" s="92" t="str">
        <f>IF($AG1203="","",INDEX(V_Projdef,INDEX($AB$8:$AB$1407,$AG1203)))</f>
        <v/>
      </c>
      <c r="L1203" s="92" t="str">
        <f>IF($AG1203="","",INDEX(V_Naam,INDEX($AB$8:$AB$1407,$AG1203)))</f>
        <v/>
      </c>
      <c r="M1203" s="92" t="str">
        <f>IF($AG1203="","",INDEX(V_Type,INDEX($AB$8:$AB$1407,$AG1203)))</f>
        <v/>
      </c>
      <c r="N1203" s="92" t="str">
        <f>IF($AG1203="","",INDEX(V_IFRS,INDEX($AB$8:$AB$1407,$AG1203)))</f>
        <v/>
      </c>
      <c r="O1203" s="92" t="str">
        <f>IF($AG1203="","",INDEX($AL$8:$AL$21,INDEX($AC$8:$AC$1407,$AG1203)+1))</f>
        <v/>
      </c>
      <c r="P1203" s="109" t="str">
        <f>IF($AG1203="","",INDEX($AD$8:$AD$1407,$AG1203))</f>
        <v/>
      </c>
      <c r="Q1203" s="92" t="str">
        <f>IF($AG1203="","",INDEX($AM$8:$AM$21,INDEX($AC$8:$AC$1407,$AG1203)+1))</f>
        <v/>
      </c>
      <c r="R1203" s="92" t="str">
        <f>IF($AG1203="","",IF($G1203&gt;0,P_ToelCorrectie&amp;"",""))</f>
        <v/>
      </c>
      <c r="S1203" s="15" t="str">
        <f>IF(J1203="","",J1203&amp;"|"&amp;E1203&amp;"|"&amp;F1203&amp;"|"&amp;I1203&amp;"|"&amp;O1203)</f>
        <v/>
      </c>
      <c r="T1203" s="111" t="str">
        <f>IF(S1203="","",IF(COUNTIFS(L_Sleutel,S1203,L_Actief,1)=0,"",SUMIFS(L_Waarde,L_Sleutel,S1203,L_Actief,1)))</f>
        <v/>
      </c>
      <c r="U1203" s="111">
        <f>IF(OR(S1203="",T1203=""),0,P1203-T1203)</f>
        <v>0</v>
      </c>
      <c r="AB1203" s="112" t="n">
        <v>86</v>
      </c>
      <c r="AC1203" s="112" t="n">
        <v>5</v>
      </c>
      <c r="AD1203" s="112" t="str">
        <f>VERW_Project!S91</f>
        <v/>
      </c>
      <c r="AE1203" s="112">
        <f>IF(AND(VERW_Project!$A91&lt;&gt;"",ISNUMBER(AD1203)),1,0)</f>
        <v>0</v>
      </c>
      <c r="AF1203" s="112" t="str">
        <f>IF(AE1203=1,SUM($AE$8:AE1203),"")</f>
        <v/>
      </c>
      <c r="AG1203" t="str">
        <f>IFERROR(MATCH(1196,$AF$8:$AF$1407,0),"")</f>
        <v/>
      </c>
    </row>
    <row r="1204">
      <c r="A1204" s="92" t="str">
        <f>IF($AG1204="","",P_ImportID)</f>
        <v/>
      </c>
      <c r="B1204" s="92" t="str">
        <f>IF($AG1204="","",IF(INDEX($AN$8:$AN$21,INDEX($AC$8:$AC$1407,$AG1204)+1)="Z",P_BronZ,P_BronE))</f>
        <v/>
      </c>
      <c r="C1204" s="108" t="str">
        <f>IF($AG1204="","",P_Importdatum)</f>
        <v/>
      </c>
      <c r="D1204" s="92" t="str">
        <f>IF($AG1204="","",P_StatusVastleg)</f>
        <v/>
      </c>
      <c r="E1204" s="92" t="str">
        <f>IF($AG1204="","",P_UploadVJ)</f>
        <v/>
      </c>
      <c r="F1204" s="92" t="str">
        <f>IF($AG1204="","",P_UploadVersie)</f>
        <v/>
      </c>
      <c r="G1204" s="92" t="str">
        <f>IF($AG1204="","",IF(COUNTIFS(L_Sleutel,$S1204,L_Status,"Vastgesteld")=0,0,_xlfn.MAXIFS(L_Revisie,L_Sleutel,$S1204,L_Status,"Vastgesteld")+1))</f>
        <v/>
      </c>
      <c r="H1204" s="108" t="str">
        <f>IF($AG1204="","",P_Peildatum)</f>
        <v/>
      </c>
      <c r="I1204" s="92" t="str">
        <f>IF($AG1204="","",P_RJ+INDEX($AK$8:$AK$21,INDEX($AC$8:$AC$1407,$AG1204)+1))</f>
        <v/>
      </c>
      <c r="J1204" s="92" t="str">
        <f>IF($AG1204="","",INDEX(V_WBS,INDEX($AB$8:$AB$1407,$AG1204)))</f>
        <v/>
      </c>
      <c r="K1204" s="92" t="str">
        <f>IF($AG1204="","",INDEX(V_Projdef,INDEX($AB$8:$AB$1407,$AG1204)))</f>
        <v/>
      </c>
      <c r="L1204" s="92" t="str">
        <f>IF($AG1204="","",INDEX(V_Naam,INDEX($AB$8:$AB$1407,$AG1204)))</f>
        <v/>
      </c>
      <c r="M1204" s="92" t="str">
        <f>IF($AG1204="","",INDEX(V_Type,INDEX($AB$8:$AB$1407,$AG1204)))</f>
        <v/>
      </c>
      <c r="N1204" s="92" t="str">
        <f>IF($AG1204="","",INDEX(V_IFRS,INDEX($AB$8:$AB$1407,$AG1204)))</f>
        <v/>
      </c>
      <c r="O1204" s="92" t="str">
        <f>IF($AG1204="","",INDEX($AL$8:$AL$21,INDEX($AC$8:$AC$1407,$AG1204)+1))</f>
        <v/>
      </c>
      <c r="P1204" s="109" t="str">
        <f>IF($AG1204="","",INDEX($AD$8:$AD$1407,$AG1204))</f>
        <v/>
      </c>
      <c r="Q1204" s="92" t="str">
        <f>IF($AG1204="","",INDEX($AM$8:$AM$21,INDEX($AC$8:$AC$1407,$AG1204)+1))</f>
        <v/>
      </c>
      <c r="R1204" s="92" t="str">
        <f>IF($AG1204="","",IF($G1204&gt;0,P_ToelCorrectie&amp;"",""))</f>
        <v/>
      </c>
      <c r="S1204" s="15" t="str">
        <f>IF(J1204="","",J1204&amp;"|"&amp;E1204&amp;"|"&amp;F1204&amp;"|"&amp;I1204&amp;"|"&amp;O1204)</f>
        <v/>
      </c>
      <c r="T1204" s="111" t="str">
        <f>IF(S1204="","",IF(COUNTIFS(L_Sleutel,S1204,L_Actief,1)=0,"",SUMIFS(L_Waarde,L_Sleutel,S1204,L_Actief,1)))</f>
        <v/>
      </c>
      <c r="U1204" s="111">
        <f>IF(OR(S1204="",T1204=""),0,P1204-T1204)</f>
        <v>0</v>
      </c>
      <c r="AB1204" s="112" t="n">
        <v>86</v>
      </c>
      <c r="AC1204" s="112" t="n">
        <v>6</v>
      </c>
      <c r="AD1204" s="112" t="str">
        <f>VERW_Project!BW91</f>
        <v/>
      </c>
      <c r="AE1204" s="112">
        <f>IF(AND(VERW_Project!$A91&lt;&gt;"",ISNUMBER(AD1204)),1,0)</f>
        <v>0</v>
      </c>
      <c r="AF1204" s="112" t="str">
        <f>IF(AE1204=1,SUM($AE$8:AE1204),"")</f>
        <v/>
      </c>
      <c r="AG1204" t="str">
        <f>IFERROR(MATCH(1197,$AF$8:$AF$1407,0),"")</f>
        <v/>
      </c>
    </row>
    <row r="1205">
      <c r="A1205" s="92" t="str">
        <f>IF($AG1205="","",P_ImportID)</f>
        <v/>
      </c>
      <c r="B1205" s="92" t="str">
        <f>IF($AG1205="","",IF(INDEX($AN$8:$AN$21,INDEX($AC$8:$AC$1407,$AG1205)+1)="Z",P_BronZ,P_BronE))</f>
        <v/>
      </c>
      <c r="C1205" s="108" t="str">
        <f>IF($AG1205="","",P_Importdatum)</f>
        <v/>
      </c>
      <c r="D1205" s="92" t="str">
        <f>IF($AG1205="","",P_StatusVastleg)</f>
        <v/>
      </c>
      <c r="E1205" s="92" t="str">
        <f>IF($AG1205="","",P_UploadVJ)</f>
        <v/>
      </c>
      <c r="F1205" s="92" t="str">
        <f>IF($AG1205="","",P_UploadVersie)</f>
        <v/>
      </c>
      <c r="G1205" s="92" t="str">
        <f>IF($AG1205="","",IF(COUNTIFS(L_Sleutel,$S1205,L_Status,"Vastgesteld")=0,0,_xlfn.MAXIFS(L_Revisie,L_Sleutel,$S1205,L_Status,"Vastgesteld")+1))</f>
        <v/>
      </c>
      <c r="H1205" s="108" t="str">
        <f>IF($AG1205="","",P_Peildatum)</f>
        <v/>
      </c>
      <c r="I1205" s="92" t="str">
        <f>IF($AG1205="","",P_RJ+INDEX($AK$8:$AK$21,INDEX($AC$8:$AC$1407,$AG1205)+1))</f>
        <v/>
      </c>
      <c r="J1205" s="92" t="str">
        <f>IF($AG1205="","",INDEX(V_WBS,INDEX($AB$8:$AB$1407,$AG1205)))</f>
        <v/>
      </c>
      <c r="K1205" s="92" t="str">
        <f>IF($AG1205="","",INDEX(V_Projdef,INDEX($AB$8:$AB$1407,$AG1205)))</f>
        <v/>
      </c>
      <c r="L1205" s="92" t="str">
        <f>IF($AG1205="","",INDEX(V_Naam,INDEX($AB$8:$AB$1407,$AG1205)))</f>
        <v/>
      </c>
      <c r="M1205" s="92" t="str">
        <f>IF($AG1205="","",INDEX(V_Type,INDEX($AB$8:$AB$1407,$AG1205)))</f>
        <v/>
      </c>
      <c r="N1205" s="92" t="str">
        <f>IF($AG1205="","",INDEX(V_IFRS,INDEX($AB$8:$AB$1407,$AG1205)))</f>
        <v/>
      </c>
      <c r="O1205" s="92" t="str">
        <f>IF($AG1205="","",INDEX($AL$8:$AL$21,INDEX($AC$8:$AC$1407,$AG1205)+1))</f>
        <v/>
      </c>
      <c r="P1205" s="109" t="str">
        <f>IF($AG1205="","",INDEX($AD$8:$AD$1407,$AG1205))</f>
        <v/>
      </c>
      <c r="Q1205" s="92" t="str">
        <f>IF($AG1205="","",INDEX($AM$8:$AM$21,INDEX($AC$8:$AC$1407,$AG1205)+1))</f>
        <v/>
      </c>
      <c r="R1205" s="92" t="str">
        <f>IF($AG1205="","",IF($G1205&gt;0,P_ToelCorrectie&amp;"",""))</f>
        <v/>
      </c>
      <c r="S1205" s="15" t="str">
        <f>IF(J1205="","",J1205&amp;"|"&amp;E1205&amp;"|"&amp;F1205&amp;"|"&amp;I1205&amp;"|"&amp;O1205)</f>
        <v/>
      </c>
      <c r="T1205" s="111" t="str">
        <f>IF(S1205="","",IF(COUNTIFS(L_Sleutel,S1205,L_Actief,1)=0,"",SUMIFS(L_Waarde,L_Sleutel,S1205,L_Actief,1)))</f>
        <v/>
      </c>
      <c r="U1205" s="111">
        <f>IF(OR(S1205="",T1205=""),0,P1205-T1205)</f>
        <v>0</v>
      </c>
      <c r="AB1205" s="112" t="n">
        <v>86</v>
      </c>
      <c r="AC1205" s="112" t="n">
        <v>7</v>
      </c>
      <c r="AD1205" s="112" t="str">
        <f>VERW_Project!AW91</f>
        <v/>
      </c>
      <c r="AE1205" s="112">
        <f>IF(AND(VERW_Project!$A91&lt;&gt;"",ISNUMBER(AD1205)),1,0)</f>
        <v>0</v>
      </c>
      <c r="AF1205" s="112" t="str">
        <f>IF(AE1205=1,SUM($AE$8:AE1205),"")</f>
        <v/>
      </c>
      <c r="AG1205" t="str">
        <f>IFERROR(MATCH(1198,$AF$8:$AF$1407,0),"")</f>
        <v/>
      </c>
    </row>
    <row r="1206">
      <c r="A1206" s="92" t="str">
        <f>IF($AG1206="","",P_ImportID)</f>
        <v/>
      </c>
      <c r="B1206" s="92" t="str">
        <f>IF($AG1206="","",IF(INDEX($AN$8:$AN$21,INDEX($AC$8:$AC$1407,$AG1206)+1)="Z",P_BronZ,P_BronE))</f>
        <v/>
      </c>
      <c r="C1206" s="108" t="str">
        <f>IF($AG1206="","",P_Importdatum)</f>
        <v/>
      </c>
      <c r="D1206" s="92" t="str">
        <f>IF($AG1206="","",P_StatusVastleg)</f>
        <v/>
      </c>
      <c r="E1206" s="92" t="str">
        <f>IF($AG1206="","",P_UploadVJ)</f>
        <v/>
      </c>
      <c r="F1206" s="92" t="str">
        <f>IF($AG1206="","",P_UploadVersie)</f>
        <v/>
      </c>
      <c r="G1206" s="92" t="str">
        <f>IF($AG1206="","",IF(COUNTIFS(L_Sleutel,$S1206,L_Status,"Vastgesteld")=0,0,_xlfn.MAXIFS(L_Revisie,L_Sleutel,$S1206,L_Status,"Vastgesteld")+1))</f>
        <v/>
      </c>
      <c r="H1206" s="108" t="str">
        <f>IF($AG1206="","",P_Peildatum)</f>
        <v/>
      </c>
      <c r="I1206" s="92" t="str">
        <f>IF($AG1206="","",P_RJ+INDEX($AK$8:$AK$21,INDEX($AC$8:$AC$1407,$AG1206)+1))</f>
        <v/>
      </c>
      <c r="J1206" s="92" t="str">
        <f>IF($AG1206="","",INDEX(V_WBS,INDEX($AB$8:$AB$1407,$AG1206)))</f>
        <v/>
      </c>
      <c r="K1206" s="92" t="str">
        <f>IF($AG1206="","",INDEX(V_Projdef,INDEX($AB$8:$AB$1407,$AG1206)))</f>
        <v/>
      </c>
      <c r="L1206" s="92" t="str">
        <f>IF($AG1206="","",INDEX(V_Naam,INDEX($AB$8:$AB$1407,$AG1206)))</f>
        <v/>
      </c>
      <c r="M1206" s="92" t="str">
        <f>IF($AG1206="","",INDEX(V_Type,INDEX($AB$8:$AB$1407,$AG1206)))</f>
        <v/>
      </c>
      <c r="N1206" s="92" t="str">
        <f>IF($AG1206="","",INDEX(V_IFRS,INDEX($AB$8:$AB$1407,$AG1206)))</f>
        <v/>
      </c>
      <c r="O1206" s="92" t="str">
        <f>IF($AG1206="","",INDEX($AL$8:$AL$21,INDEX($AC$8:$AC$1407,$AG1206)+1))</f>
        <v/>
      </c>
      <c r="P1206" s="109" t="str">
        <f>IF($AG1206="","",INDEX($AD$8:$AD$1407,$AG1206))</f>
        <v/>
      </c>
      <c r="Q1206" s="92" t="str">
        <f>IF($AG1206="","",INDEX($AM$8:$AM$21,INDEX($AC$8:$AC$1407,$AG1206)+1))</f>
        <v/>
      </c>
      <c r="R1206" s="92" t="str">
        <f>IF($AG1206="","",IF($G1206&gt;0,P_ToelCorrectie&amp;"",""))</f>
        <v/>
      </c>
      <c r="S1206" s="15" t="str">
        <f>IF(J1206="","",J1206&amp;"|"&amp;E1206&amp;"|"&amp;F1206&amp;"|"&amp;I1206&amp;"|"&amp;O1206)</f>
        <v/>
      </c>
      <c r="T1206" s="111" t="str">
        <f>IF(S1206="","",IF(COUNTIFS(L_Sleutel,S1206,L_Actief,1)=0,"",SUMIFS(L_Waarde,L_Sleutel,S1206,L_Actief,1)))</f>
        <v/>
      </c>
      <c r="U1206" s="111">
        <f>IF(OR(S1206="",T1206=""),0,P1206-T1206)</f>
        <v>0</v>
      </c>
      <c r="AB1206" s="112" t="n">
        <v>86</v>
      </c>
      <c r="AC1206" s="112" t="n">
        <v>8</v>
      </c>
      <c r="AD1206" s="112" t="str">
        <f>VERW_Project!BQ91</f>
        <v/>
      </c>
      <c r="AE1206" s="112">
        <f>IF(AND(VERW_Project!$A91&lt;&gt;"",ISNUMBER(AD1206)),1,0)</f>
        <v>0</v>
      </c>
      <c r="AF1206" s="112" t="str">
        <f>IF(AE1206=1,SUM($AE$8:AE1206),"")</f>
        <v/>
      </c>
      <c r="AG1206" t="str">
        <f>IFERROR(MATCH(1199,$AF$8:$AF$1407,0),"")</f>
        <v/>
      </c>
    </row>
    <row r="1207">
      <c r="A1207" s="92" t="str">
        <f>IF($AG1207="","",P_ImportID)</f>
        <v/>
      </c>
      <c r="B1207" s="92" t="str">
        <f>IF($AG1207="","",IF(INDEX($AN$8:$AN$21,INDEX($AC$8:$AC$1407,$AG1207)+1)="Z",P_BronZ,P_BronE))</f>
        <v/>
      </c>
      <c r="C1207" s="108" t="str">
        <f>IF($AG1207="","",P_Importdatum)</f>
        <v/>
      </c>
      <c r="D1207" s="92" t="str">
        <f>IF($AG1207="","",P_StatusVastleg)</f>
        <v/>
      </c>
      <c r="E1207" s="92" t="str">
        <f>IF($AG1207="","",P_UploadVJ)</f>
        <v/>
      </c>
      <c r="F1207" s="92" t="str">
        <f>IF($AG1207="","",P_UploadVersie)</f>
        <v/>
      </c>
      <c r="G1207" s="92" t="str">
        <f>IF($AG1207="","",IF(COUNTIFS(L_Sleutel,$S1207,L_Status,"Vastgesteld")=0,0,_xlfn.MAXIFS(L_Revisie,L_Sleutel,$S1207,L_Status,"Vastgesteld")+1))</f>
        <v/>
      </c>
      <c r="H1207" s="108" t="str">
        <f>IF($AG1207="","",P_Peildatum)</f>
        <v/>
      </c>
      <c r="I1207" s="92" t="str">
        <f>IF($AG1207="","",P_RJ+INDEX($AK$8:$AK$21,INDEX($AC$8:$AC$1407,$AG1207)+1))</f>
        <v/>
      </c>
      <c r="J1207" s="92" t="str">
        <f>IF($AG1207="","",INDEX(V_WBS,INDEX($AB$8:$AB$1407,$AG1207)))</f>
        <v/>
      </c>
      <c r="K1207" s="92" t="str">
        <f>IF($AG1207="","",INDEX(V_Projdef,INDEX($AB$8:$AB$1407,$AG1207)))</f>
        <v/>
      </c>
      <c r="L1207" s="92" t="str">
        <f>IF($AG1207="","",INDEX(V_Naam,INDEX($AB$8:$AB$1407,$AG1207)))</f>
        <v/>
      </c>
      <c r="M1207" s="92" t="str">
        <f>IF($AG1207="","",INDEX(V_Type,INDEX($AB$8:$AB$1407,$AG1207)))</f>
        <v/>
      </c>
      <c r="N1207" s="92" t="str">
        <f>IF($AG1207="","",INDEX(V_IFRS,INDEX($AB$8:$AB$1407,$AG1207)))</f>
        <v/>
      </c>
      <c r="O1207" s="92" t="str">
        <f>IF($AG1207="","",INDEX($AL$8:$AL$21,INDEX($AC$8:$AC$1407,$AG1207)+1))</f>
        <v/>
      </c>
      <c r="P1207" s="109" t="str">
        <f>IF($AG1207="","",INDEX($AD$8:$AD$1407,$AG1207))</f>
        <v/>
      </c>
      <c r="Q1207" s="92" t="str">
        <f>IF($AG1207="","",INDEX($AM$8:$AM$21,INDEX($AC$8:$AC$1407,$AG1207)+1))</f>
        <v/>
      </c>
      <c r="R1207" s="92" t="str">
        <f>IF($AG1207="","",IF($G1207&gt;0,P_ToelCorrectie&amp;"",""))</f>
        <v/>
      </c>
      <c r="S1207" s="15" t="str">
        <f>IF(J1207="","",J1207&amp;"|"&amp;E1207&amp;"|"&amp;F1207&amp;"|"&amp;I1207&amp;"|"&amp;O1207)</f>
        <v/>
      </c>
      <c r="T1207" s="111" t="str">
        <f>IF(S1207="","",IF(COUNTIFS(L_Sleutel,S1207,L_Actief,1)=0,"",SUMIFS(L_Waarde,L_Sleutel,S1207,L_Actief,1)))</f>
        <v/>
      </c>
      <c r="U1207" s="111">
        <f>IF(OR(S1207="",T1207=""),0,P1207-T1207)</f>
        <v>0</v>
      </c>
      <c r="AB1207" s="112" t="n">
        <v>86</v>
      </c>
      <c r="AC1207" s="112" t="n">
        <v>9</v>
      </c>
      <c r="AD1207" s="112" t="str">
        <f>VERW_Project!BR91</f>
        <v/>
      </c>
      <c r="AE1207" s="112">
        <f>IF(AND(VERW_Project!$A91&lt;&gt;"",ISNUMBER(AD1207)),1,0)</f>
        <v>0</v>
      </c>
      <c r="AF1207" s="112" t="str">
        <f>IF(AE1207=1,SUM($AE$8:AE1207),"")</f>
        <v/>
      </c>
      <c r="AG1207" t="str">
        <f>IFERROR(MATCH(1200,$AF$8:$AF$1407,0),"")</f>
        <v/>
      </c>
    </row>
    <row r="1208">
      <c r="A1208" s="92" t="str">
        <f>IF($AG1208="","",P_ImportID)</f>
        <v/>
      </c>
      <c r="B1208" s="92" t="str">
        <f>IF($AG1208="","",IF(INDEX($AN$8:$AN$21,INDEX($AC$8:$AC$1407,$AG1208)+1)="Z",P_BronZ,P_BronE))</f>
        <v/>
      </c>
      <c r="C1208" s="108" t="str">
        <f>IF($AG1208="","",P_Importdatum)</f>
        <v/>
      </c>
      <c r="D1208" s="92" t="str">
        <f>IF($AG1208="","",P_StatusVastleg)</f>
        <v/>
      </c>
      <c r="E1208" s="92" t="str">
        <f>IF($AG1208="","",P_UploadVJ)</f>
        <v/>
      </c>
      <c r="F1208" s="92" t="str">
        <f>IF($AG1208="","",P_UploadVersie)</f>
        <v/>
      </c>
      <c r="G1208" s="92" t="str">
        <f>IF($AG1208="","",IF(COUNTIFS(L_Sleutel,$S1208,L_Status,"Vastgesteld")=0,0,_xlfn.MAXIFS(L_Revisie,L_Sleutel,$S1208,L_Status,"Vastgesteld")+1))</f>
        <v/>
      </c>
      <c r="H1208" s="108" t="str">
        <f>IF($AG1208="","",P_Peildatum)</f>
        <v/>
      </c>
      <c r="I1208" s="92" t="str">
        <f>IF($AG1208="","",P_RJ+INDEX($AK$8:$AK$21,INDEX($AC$8:$AC$1407,$AG1208)+1))</f>
        <v/>
      </c>
      <c r="J1208" s="92" t="str">
        <f>IF($AG1208="","",INDEX(V_WBS,INDEX($AB$8:$AB$1407,$AG1208)))</f>
        <v/>
      </c>
      <c r="K1208" s="92" t="str">
        <f>IF($AG1208="","",INDEX(V_Projdef,INDEX($AB$8:$AB$1407,$AG1208)))</f>
        <v/>
      </c>
      <c r="L1208" s="92" t="str">
        <f>IF($AG1208="","",INDEX(V_Naam,INDEX($AB$8:$AB$1407,$AG1208)))</f>
        <v/>
      </c>
      <c r="M1208" s="92" t="str">
        <f>IF($AG1208="","",INDEX(V_Type,INDEX($AB$8:$AB$1407,$AG1208)))</f>
        <v/>
      </c>
      <c r="N1208" s="92" t="str">
        <f>IF($AG1208="","",INDEX(V_IFRS,INDEX($AB$8:$AB$1407,$AG1208)))</f>
        <v/>
      </c>
      <c r="O1208" s="92" t="str">
        <f>IF($AG1208="","",INDEX($AL$8:$AL$21,INDEX($AC$8:$AC$1407,$AG1208)+1))</f>
        <v/>
      </c>
      <c r="P1208" s="109" t="str">
        <f>IF($AG1208="","",INDEX($AD$8:$AD$1407,$AG1208))</f>
        <v/>
      </c>
      <c r="Q1208" s="92" t="str">
        <f>IF($AG1208="","",INDEX($AM$8:$AM$21,INDEX($AC$8:$AC$1407,$AG1208)+1))</f>
        <v/>
      </c>
      <c r="R1208" s="92" t="str">
        <f>IF($AG1208="","",IF($G1208&gt;0,P_ToelCorrectie&amp;"",""))</f>
        <v/>
      </c>
      <c r="S1208" s="15" t="str">
        <f>IF(J1208="","",J1208&amp;"|"&amp;E1208&amp;"|"&amp;F1208&amp;"|"&amp;I1208&amp;"|"&amp;O1208)</f>
        <v/>
      </c>
      <c r="T1208" s="111" t="str">
        <f>IF(S1208="","",IF(COUNTIFS(L_Sleutel,S1208,L_Actief,1)=0,"",SUMIFS(L_Waarde,L_Sleutel,S1208,L_Actief,1)))</f>
        <v/>
      </c>
      <c r="U1208" s="111">
        <f>IF(OR(S1208="",T1208=""),0,P1208-T1208)</f>
        <v>0</v>
      </c>
      <c r="AB1208" s="112" t="n">
        <v>86</v>
      </c>
      <c r="AC1208" s="112" t="n">
        <v>10</v>
      </c>
      <c r="AD1208" s="112" t="str">
        <f>VERW_Project!BS91</f>
        <v/>
      </c>
      <c r="AE1208" s="112">
        <f>IF(AND(VERW_Project!$A91&lt;&gt;"",ISNUMBER(AD1208)),1,0)</f>
        <v>0</v>
      </c>
      <c r="AF1208" s="112" t="str">
        <f>IF(AE1208=1,SUM($AE$8:AE1208),"")</f>
        <v/>
      </c>
      <c r="AG1208" t="str">
        <f>IFERROR(MATCH(1201,$AF$8:$AF$1407,0),"")</f>
        <v/>
      </c>
    </row>
    <row r="1209">
      <c r="A1209" s="92" t="str">
        <f>IF($AG1209="","",P_ImportID)</f>
        <v/>
      </c>
      <c r="B1209" s="92" t="str">
        <f>IF($AG1209="","",IF(INDEX($AN$8:$AN$21,INDEX($AC$8:$AC$1407,$AG1209)+1)="Z",P_BronZ,P_BronE))</f>
        <v/>
      </c>
      <c r="C1209" s="108" t="str">
        <f>IF($AG1209="","",P_Importdatum)</f>
        <v/>
      </c>
      <c r="D1209" s="92" t="str">
        <f>IF($AG1209="","",P_StatusVastleg)</f>
        <v/>
      </c>
      <c r="E1209" s="92" t="str">
        <f>IF($AG1209="","",P_UploadVJ)</f>
        <v/>
      </c>
      <c r="F1209" s="92" t="str">
        <f>IF($AG1209="","",P_UploadVersie)</f>
        <v/>
      </c>
      <c r="G1209" s="92" t="str">
        <f>IF($AG1209="","",IF(COUNTIFS(L_Sleutel,$S1209,L_Status,"Vastgesteld")=0,0,_xlfn.MAXIFS(L_Revisie,L_Sleutel,$S1209,L_Status,"Vastgesteld")+1))</f>
        <v/>
      </c>
      <c r="H1209" s="108" t="str">
        <f>IF($AG1209="","",P_Peildatum)</f>
        <v/>
      </c>
      <c r="I1209" s="92" t="str">
        <f>IF($AG1209="","",P_RJ+INDEX($AK$8:$AK$21,INDEX($AC$8:$AC$1407,$AG1209)+1))</f>
        <v/>
      </c>
      <c r="J1209" s="92" t="str">
        <f>IF($AG1209="","",INDEX(V_WBS,INDEX($AB$8:$AB$1407,$AG1209)))</f>
        <v/>
      </c>
      <c r="K1209" s="92" t="str">
        <f>IF($AG1209="","",INDEX(V_Projdef,INDEX($AB$8:$AB$1407,$AG1209)))</f>
        <v/>
      </c>
      <c r="L1209" s="92" t="str">
        <f>IF($AG1209="","",INDEX(V_Naam,INDEX($AB$8:$AB$1407,$AG1209)))</f>
        <v/>
      </c>
      <c r="M1209" s="92" t="str">
        <f>IF($AG1209="","",INDEX(V_Type,INDEX($AB$8:$AB$1407,$AG1209)))</f>
        <v/>
      </c>
      <c r="N1209" s="92" t="str">
        <f>IF($AG1209="","",INDEX(V_IFRS,INDEX($AB$8:$AB$1407,$AG1209)))</f>
        <v/>
      </c>
      <c r="O1209" s="92" t="str">
        <f>IF($AG1209="","",INDEX($AL$8:$AL$21,INDEX($AC$8:$AC$1407,$AG1209)+1))</f>
        <v/>
      </c>
      <c r="P1209" s="109" t="str">
        <f>IF($AG1209="","",INDEX($AD$8:$AD$1407,$AG1209))</f>
        <v/>
      </c>
      <c r="Q1209" s="92" t="str">
        <f>IF($AG1209="","",INDEX($AM$8:$AM$21,INDEX($AC$8:$AC$1407,$AG1209)+1))</f>
        <v/>
      </c>
      <c r="R1209" s="92" t="str">
        <f>IF($AG1209="","",IF($G1209&gt;0,P_ToelCorrectie&amp;"",""))</f>
        <v/>
      </c>
      <c r="S1209" s="15" t="str">
        <f>IF(J1209="","",J1209&amp;"|"&amp;E1209&amp;"|"&amp;F1209&amp;"|"&amp;I1209&amp;"|"&amp;O1209)</f>
        <v/>
      </c>
      <c r="T1209" s="111" t="str">
        <f>IF(S1209="","",IF(COUNTIFS(L_Sleutel,S1209,L_Actief,1)=0,"",SUMIFS(L_Waarde,L_Sleutel,S1209,L_Actief,1)))</f>
        <v/>
      </c>
      <c r="U1209" s="111">
        <f>IF(OR(S1209="",T1209=""),0,P1209-T1209)</f>
        <v>0</v>
      </c>
      <c r="AB1209" s="112" t="n">
        <v>86</v>
      </c>
      <c r="AC1209" s="112" t="n">
        <v>11</v>
      </c>
      <c r="AD1209" s="112" t="str">
        <f>VERW_Project!BT91</f>
        <v/>
      </c>
      <c r="AE1209" s="112">
        <f>IF(AND(VERW_Project!$A91&lt;&gt;"",ISNUMBER(AD1209)),1,0)</f>
        <v>0</v>
      </c>
      <c r="AF1209" s="112" t="str">
        <f>IF(AE1209=1,SUM($AE$8:AE1209),"")</f>
        <v/>
      </c>
      <c r="AG1209" t="str">
        <f>IFERROR(MATCH(1202,$AF$8:$AF$1407,0),"")</f>
        <v/>
      </c>
    </row>
    <row r="1210">
      <c r="A1210" s="92" t="str">
        <f>IF($AG1210="","",P_ImportID)</f>
        <v/>
      </c>
      <c r="B1210" s="92" t="str">
        <f>IF($AG1210="","",IF(INDEX($AN$8:$AN$21,INDEX($AC$8:$AC$1407,$AG1210)+1)="Z",P_BronZ,P_BronE))</f>
        <v/>
      </c>
      <c r="C1210" s="108" t="str">
        <f>IF($AG1210="","",P_Importdatum)</f>
        <v/>
      </c>
      <c r="D1210" s="92" t="str">
        <f>IF($AG1210="","",P_StatusVastleg)</f>
        <v/>
      </c>
      <c r="E1210" s="92" t="str">
        <f>IF($AG1210="","",P_UploadVJ)</f>
        <v/>
      </c>
      <c r="F1210" s="92" t="str">
        <f>IF($AG1210="","",P_UploadVersie)</f>
        <v/>
      </c>
      <c r="G1210" s="92" t="str">
        <f>IF($AG1210="","",IF(COUNTIFS(L_Sleutel,$S1210,L_Status,"Vastgesteld")=0,0,_xlfn.MAXIFS(L_Revisie,L_Sleutel,$S1210,L_Status,"Vastgesteld")+1))</f>
        <v/>
      </c>
      <c r="H1210" s="108" t="str">
        <f>IF($AG1210="","",P_Peildatum)</f>
        <v/>
      </c>
      <c r="I1210" s="92" t="str">
        <f>IF($AG1210="","",P_RJ+INDEX($AK$8:$AK$21,INDEX($AC$8:$AC$1407,$AG1210)+1))</f>
        <v/>
      </c>
      <c r="J1210" s="92" t="str">
        <f>IF($AG1210="","",INDEX(V_WBS,INDEX($AB$8:$AB$1407,$AG1210)))</f>
        <v/>
      </c>
      <c r="K1210" s="92" t="str">
        <f>IF($AG1210="","",INDEX(V_Projdef,INDEX($AB$8:$AB$1407,$AG1210)))</f>
        <v/>
      </c>
      <c r="L1210" s="92" t="str">
        <f>IF($AG1210="","",INDEX(V_Naam,INDEX($AB$8:$AB$1407,$AG1210)))</f>
        <v/>
      </c>
      <c r="M1210" s="92" t="str">
        <f>IF($AG1210="","",INDEX(V_Type,INDEX($AB$8:$AB$1407,$AG1210)))</f>
        <v/>
      </c>
      <c r="N1210" s="92" t="str">
        <f>IF($AG1210="","",INDEX(V_IFRS,INDEX($AB$8:$AB$1407,$AG1210)))</f>
        <v/>
      </c>
      <c r="O1210" s="92" t="str">
        <f>IF($AG1210="","",INDEX($AL$8:$AL$21,INDEX($AC$8:$AC$1407,$AG1210)+1))</f>
        <v/>
      </c>
      <c r="P1210" s="109" t="str">
        <f>IF($AG1210="","",INDEX($AD$8:$AD$1407,$AG1210))</f>
        <v/>
      </c>
      <c r="Q1210" s="92" t="str">
        <f>IF($AG1210="","",INDEX($AM$8:$AM$21,INDEX($AC$8:$AC$1407,$AG1210)+1))</f>
        <v/>
      </c>
      <c r="R1210" s="92" t="str">
        <f>IF($AG1210="","",IF($G1210&gt;0,P_ToelCorrectie&amp;"",""))</f>
        <v/>
      </c>
      <c r="S1210" s="15" t="str">
        <f>IF(J1210="","",J1210&amp;"|"&amp;E1210&amp;"|"&amp;F1210&amp;"|"&amp;I1210&amp;"|"&amp;O1210)</f>
        <v/>
      </c>
      <c r="T1210" s="111" t="str">
        <f>IF(S1210="","",IF(COUNTIFS(L_Sleutel,S1210,L_Actief,1)=0,"",SUMIFS(L_Waarde,L_Sleutel,S1210,L_Actief,1)))</f>
        <v/>
      </c>
      <c r="U1210" s="111">
        <f>IF(OR(S1210="",T1210=""),0,P1210-T1210)</f>
        <v>0</v>
      </c>
      <c r="AB1210" s="112" t="n">
        <v>86</v>
      </c>
      <c r="AC1210" s="112" t="n">
        <v>12</v>
      </c>
      <c r="AD1210" s="112" t="str">
        <f>VERW_Project!BU91</f>
        <v/>
      </c>
      <c r="AE1210" s="112">
        <f>IF(AND(VERW_Project!$A91&lt;&gt;"",ISNUMBER(AD1210)),1,0)</f>
        <v>0</v>
      </c>
      <c r="AF1210" s="112" t="str">
        <f>IF(AE1210=1,SUM($AE$8:AE1210),"")</f>
        <v/>
      </c>
      <c r="AG1210" t="str">
        <f>IFERROR(MATCH(1203,$AF$8:$AF$1407,0),"")</f>
        <v/>
      </c>
    </row>
    <row r="1211">
      <c r="A1211" s="92" t="str">
        <f>IF($AG1211="","",P_ImportID)</f>
        <v/>
      </c>
      <c r="B1211" s="92" t="str">
        <f>IF($AG1211="","",IF(INDEX($AN$8:$AN$21,INDEX($AC$8:$AC$1407,$AG1211)+1)="Z",P_BronZ,P_BronE))</f>
        <v/>
      </c>
      <c r="C1211" s="108" t="str">
        <f>IF($AG1211="","",P_Importdatum)</f>
        <v/>
      </c>
      <c r="D1211" s="92" t="str">
        <f>IF($AG1211="","",P_StatusVastleg)</f>
        <v/>
      </c>
      <c r="E1211" s="92" t="str">
        <f>IF($AG1211="","",P_UploadVJ)</f>
        <v/>
      </c>
      <c r="F1211" s="92" t="str">
        <f>IF($AG1211="","",P_UploadVersie)</f>
        <v/>
      </c>
      <c r="G1211" s="92" t="str">
        <f>IF($AG1211="","",IF(COUNTIFS(L_Sleutel,$S1211,L_Status,"Vastgesteld")=0,0,_xlfn.MAXIFS(L_Revisie,L_Sleutel,$S1211,L_Status,"Vastgesteld")+1))</f>
        <v/>
      </c>
      <c r="H1211" s="108" t="str">
        <f>IF($AG1211="","",P_Peildatum)</f>
        <v/>
      </c>
      <c r="I1211" s="92" t="str">
        <f>IF($AG1211="","",P_RJ+INDEX($AK$8:$AK$21,INDEX($AC$8:$AC$1407,$AG1211)+1))</f>
        <v/>
      </c>
      <c r="J1211" s="92" t="str">
        <f>IF($AG1211="","",INDEX(V_WBS,INDEX($AB$8:$AB$1407,$AG1211)))</f>
        <v/>
      </c>
      <c r="K1211" s="92" t="str">
        <f>IF($AG1211="","",INDEX(V_Projdef,INDEX($AB$8:$AB$1407,$AG1211)))</f>
        <v/>
      </c>
      <c r="L1211" s="92" t="str">
        <f>IF($AG1211="","",INDEX(V_Naam,INDEX($AB$8:$AB$1407,$AG1211)))</f>
        <v/>
      </c>
      <c r="M1211" s="92" t="str">
        <f>IF($AG1211="","",INDEX(V_Type,INDEX($AB$8:$AB$1407,$AG1211)))</f>
        <v/>
      </c>
      <c r="N1211" s="92" t="str">
        <f>IF($AG1211="","",INDEX(V_IFRS,INDEX($AB$8:$AB$1407,$AG1211)))</f>
        <v/>
      </c>
      <c r="O1211" s="92" t="str">
        <f>IF($AG1211="","",INDEX($AL$8:$AL$21,INDEX($AC$8:$AC$1407,$AG1211)+1))</f>
        <v/>
      </c>
      <c r="P1211" s="109" t="str">
        <f>IF($AG1211="","",INDEX($AD$8:$AD$1407,$AG1211))</f>
        <v/>
      </c>
      <c r="Q1211" s="92" t="str">
        <f>IF($AG1211="","",INDEX($AM$8:$AM$21,INDEX($AC$8:$AC$1407,$AG1211)+1))</f>
        <v/>
      </c>
      <c r="R1211" s="92" t="str">
        <f>IF($AG1211="","",IF($G1211&gt;0,P_ToelCorrectie&amp;"",""))</f>
        <v/>
      </c>
      <c r="S1211" s="15" t="str">
        <f>IF(J1211="","",J1211&amp;"|"&amp;E1211&amp;"|"&amp;F1211&amp;"|"&amp;I1211&amp;"|"&amp;O1211)</f>
        <v/>
      </c>
      <c r="T1211" s="111" t="str">
        <f>IF(S1211="","",IF(COUNTIFS(L_Sleutel,S1211,L_Actief,1)=0,"",SUMIFS(L_Waarde,L_Sleutel,S1211,L_Actief,1)))</f>
        <v/>
      </c>
      <c r="U1211" s="111">
        <f>IF(OR(S1211="",T1211=""),0,P1211-T1211)</f>
        <v>0</v>
      </c>
      <c r="AB1211" s="112" t="n">
        <v>86</v>
      </c>
      <c r="AC1211" s="112" t="n">
        <v>13</v>
      </c>
      <c r="AD1211" s="112" t="str">
        <f>VERW_Project!BX91</f>
        <v/>
      </c>
      <c r="AE1211" s="112">
        <f>IF(AND(VERW_Project!$A91&lt;&gt;"",ISNUMBER(AD1211)),1,0)</f>
        <v>0</v>
      </c>
      <c r="AF1211" s="112" t="str">
        <f>IF(AE1211=1,SUM($AE$8:AE1211),"")</f>
        <v/>
      </c>
      <c r="AG1211" t="str">
        <f>IFERROR(MATCH(1204,$AF$8:$AF$1407,0),"")</f>
        <v/>
      </c>
    </row>
    <row r="1212">
      <c r="A1212" s="92" t="str">
        <f>IF($AG1212="","",P_ImportID)</f>
        <v/>
      </c>
      <c r="B1212" s="92" t="str">
        <f>IF($AG1212="","",IF(INDEX($AN$8:$AN$21,INDEX($AC$8:$AC$1407,$AG1212)+1)="Z",P_BronZ,P_BronE))</f>
        <v/>
      </c>
      <c r="C1212" s="108" t="str">
        <f>IF($AG1212="","",P_Importdatum)</f>
        <v/>
      </c>
      <c r="D1212" s="92" t="str">
        <f>IF($AG1212="","",P_StatusVastleg)</f>
        <v/>
      </c>
      <c r="E1212" s="92" t="str">
        <f>IF($AG1212="","",P_UploadVJ)</f>
        <v/>
      </c>
      <c r="F1212" s="92" t="str">
        <f>IF($AG1212="","",P_UploadVersie)</f>
        <v/>
      </c>
      <c r="G1212" s="92" t="str">
        <f>IF($AG1212="","",IF(COUNTIFS(L_Sleutel,$S1212,L_Status,"Vastgesteld")=0,0,_xlfn.MAXIFS(L_Revisie,L_Sleutel,$S1212,L_Status,"Vastgesteld")+1))</f>
        <v/>
      </c>
      <c r="H1212" s="108" t="str">
        <f>IF($AG1212="","",P_Peildatum)</f>
        <v/>
      </c>
      <c r="I1212" s="92" t="str">
        <f>IF($AG1212="","",P_RJ+INDEX($AK$8:$AK$21,INDEX($AC$8:$AC$1407,$AG1212)+1))</f>
        <v/>
      </c>
      <c r="J1212" s="92" t="str">
        <f>IF($AG1212="","",INDEX(V_WBS,INDEX($AB$8:$AB$1407,$AG1212)))</f>
        <v/>
      </c>
      <c r="K1212" s="92" t="str">
        <f>IF($AG1212="","",INDEX(V_Projdef,INDEX($AB$8:$AB$1407,$AG1212)))</f>
        <v/>
      </c>
      <c r="L1212" s="92" t="str">
        <f>IF($AG1212="","",INDEX(V_Naam,INDEX($AB$8:$AB$1407,$AG1212)))</f>
        <v/>
      </c>
      <c r="M1212" s="92" t="str">
        <f>IF($AG1212="","",INDEX(V_Type,INDEX($AB$8:$AB$1407,$AG1212)))</f>
        <v/>
      </c>
      <c r="N1212" s="92" t="str">
        <f>IF($AG1212="","",INDEX(V_IFRS,INDEX($AB$8:$AB$1407,$AG1212)))</f>
        <v/>
      </c>
      <c r="O1212" s="92" t="str">
        <f>IF($AG1212="","",INDEX($AL$8:$AL$21,INDEX($AC$8:$AC$1407,$AG1212)+1))</f>
        <v/>
      </c>
      <c r="P1212" s="109" t="str">
        <f>IF($AG1212="","",INDEX($AD$8:$AD$1407,$AG1212))</f>
        <v/>
      </c>
      <c r="Q1212" s="92" t="str">
        <f>IF($AG1212="","",INDEX($AM$8:$AM$21,INDEX($AC$8:$AC$1407,$AG1212)+1))</f>
        <v/>
      </c>
      <c r="R1212" s="92" t="str">
        <f>IF($AG1212="","",IF($G1212&gt;0,P_ToelCorrectie&amp;"",""))</f>
        <v/>
      </c>
      <c r="S1212" s="15" t="str">
        <f>IF(J1212="","",J1212&amp;"|"&amp;E1212&amp;"|"&amp;F1212&amp;"|"&amp;I1212&amp;"|"&amp;O1212)</f>
        <v/>
      </c>
      <c r="T1212" s="111" t="str">
        <f>IF(S1212="","",IF(COUNTIFS(L_Sleutel,S1212,L_Actief,1)=0,"",SUMIFS(L_Waarde,L_Sleutel,S1212,L_Actief,1)))</f>
        <v/>
      </c>
      <c r="U1212" s="111">
        <f>IF(OR(S1212="",T1212=""),0,P1212-T1212)</f>
        <v>0</v>
      </c>
      <c r="AB1212" s="112" t="n">
        <v>87</v>
      </c>
      <c r="AC1212" s="112" t="n">
        <v>0</v>
      </c>
      <c r="AD1212" s="112" t="str">
        <f>VERW_Project!P92</f>
        <v/>
      </c>
      <c r="AE1212" s="112">
        <f>IF(AND(VERW_Project!$A92&lt;&gt;"",ISNUMBER(AD1212)),1,0)</f>
        <v>0</v>
      </c>
      <c r="AF1212" s="112" t="str">
        <f>IF(AE1212=1,SUM($AE$8:AE1212),"")</f>
        <v/>
      </c>
      <c r="AG1212" t="str">
        <f>IFERROR(MATCH(1205,$AF$8:$AF$1407,0),"")</f>
        <v/>
      </c>
    </row>
    <row r="1213">
      <c r="A1213" s="92" t="str">
        <f>IF($AG1213="","",P_ImportID)</f>
        <v/>
      </c>
      <c r="B1213" s="92" t="str">
        <f>IF($AG1213="","",IF(INDEX($AN$8:$AN$21,INDEX($AC$8:$AC$1407,$AG1213)+1)="Z",P_BronZ,P_BronE))</f>
        <v/>
      </c>
      <c r="C1213" s="108" t="str">
        <f>IF($AG1213="","",P_Importdatum)</f>
        <v/>
      </c>
      <c r="D1213" s="92" t="str">
        <f>IF($AG1213="","",P_StatusVastleg)</f>
        <v/>
      </c>
      <c r="E1213" s="92" t="str">
        <f>IF($AG1213="","",P_UploadVJ)</f>
        <v/>
      </c>
      <c r="F1213" s="92" t="str">
        <f>IF($AG1213="","",P_UploadVersie)</f>
        <v/>
      </c>
      <c r="G1213" s="92" t="str">
        <f>IF($AG1213="","",IF(COUNTIFS(L_Sleutel,$S1213,L_Status,"Vastgesteld")=0,0,_xlfn.MAXIFS(L_Revisie,L_Sleutel,$S1213,L_Status,"Vastgesteld")+1))</f>
        <v/>
      </c>
      <c r="H1213" s="108" t="str">
        <f>IF($AG1213="","",P_Peildatum)</f>
        <v/>
      </c>
      <c r="I1213" s="92" t="str">
        <f>IF($AG1213="","",P_RJ+INDEX($AK$8:$AK$21,INDEX($AC$8:$AC$1407,$AG1213)+1))</f>
        <v/>
      </c>
      <c r="J1213" s="92" t="str">
        <f>IF($AG1213="","",INDEX(V_WBS,INDEX($AB$8:$AB$1407,$AG1213)))</f>
        <v/>
      </c>
      <c r="K1213" s="92" t="str">
        <f>IF($AG1213="","",INDEX(V_Projdef,INDEX($AB$8:$AB$1407,$AG1213)))</f>
        <v/>
      </c>
      <c r="L1213" s="92" t="str">
        <f>IF($AG1213="","",INDEX(V_Naam,INDEX($AB$8:$AB$1407,$AG1213)))</f>
        <v/>
      </c>
      <c r="M1213" s="92" t="str">
        <f>IF($AG1213="","",INDEX(V_Type,INDEX($AB$8:$AB$1407,$AG1213)))</f>
        <v/>
      </c>
      <c r="N1213" s="92" t="str">
        <f>IF($AG1213="","",INDEX(V_IFRS,INDEX($AB$8:$AB$1407,$AG1213)))</f>
        <v/>
      </c>
      <c r="O1213" s="92" t="str">
        <f>IF($AG1213="","",INDEX($AL$8:$AL$21,INDEX($AC$8:$AC$1407,$AG1213)+1))</f>
        <v/>
      </c>
      <c r="P1213" s="109" t="str">
        <f>IF($AG1213="","",INDEX($AD$8:$AD$1407,$AG1213))</f>
        <v/>
      </c>
      <c r="Q1213" s="92" t="str">
        <f>IF($AG1213="","",INDEX($AM$8:$AM$21,INDEX($AC$8:$AC$1407,$AG1213)+1))</f>
        <v/>
      </c>
      <c r="R1213" s="92" t="str">
        <f>IF($AG1213="","",IF($G1213&gt;0,P_ToelCorrectie&amp;"",""))</f>
        <v/>
      </c>
      <c r="S1213" s="15" t="str">
        <f>IF(J1213="","",J1213&amp;"|"&amp;E1213&amp;"|"&amp;F1213&amp;"|"&amp;I1213&amp;"|"&amp;O1213)</f>
        <v/>
      </c>
      <c r="T1213" s="111" t="str">
        <f>IF(S1213="","",IF(COUNTIFS(L_Sleutel,S1213,L_Actief,1)=0,"",SUMIFS(L_Waarde,L_Sleutel,S1213,L_Actief,1)))</f>
        <v/>
      </c>
      <c r="U1213" s="111">
        <f>IF(OR(S1213="",T1213=""),0,P1213-T1213)</f>
        <v>0</v>
      </c>
      <c r="AB1213" s="112" t="n">
        <v>87</v>
      </c>
      <c r="AC1213" s="112" t="n">
        <v>1</v>
      </c>
      <c r="AD1213" s="112" t="str">
        <f>VERW_Project!Q92</f>
        <v/>
      </c>
      <c r="AE1213" s="112">
        <f>IF(AND(VERW_Project!$A92&lt;&gt;"",ISNUMBER(AD1213)),1,0)</f>
        <v>0</v>
      </c>
      <c r="AF1213" s="112" t="str">
        <f>IF(AE1213=1,SUM($AE$8:AE1213),"")</f>
        <v/>
      </c>
      <c r="AG1213" t="str">
        <f>IFERROR(MATCH(1206,$AF$8:$AF$1407,0),"")</f>
        <v/>
      </c>
    </row>
    <row r="1214">
      <c r="A1214" s="92" t="str">
        <f>IF($AG1214="","",P_ImportID)</f>
        <v/>
      </c>
      <c r="B1214" s="92" t="str">
        <f>IF($AG1214="","",IF(INDEX($AN$8:$AN$21,INDEX($AC$8:$AC$1407,$AG1214)+1)="Z",P_BronZ,P_BronE))</f>
        <v/>
      </c>
      <c r="C1214" s="108" t="str">
        <f>IF($AG1214="","",P_Importdatum)</f>
        <v/>
      </c>
      <c r="D1214" s="92" t="str">
        <f>IF($AG1214="","",P_StatusVastleg)</f>
        <v/>
      </c>
      <c r="E1214" s="92" t="str">
        <f>IF($AG1214="","",P_UploadVJ)</f>
        <v/>
      </c>
      <c r="F1214" s="92" t="str">
        <f>IF($AG1214="","",P_UploadVersie)</f>
        <v/>
      </c>
      <c r="G1214" s="92" t="str">
        <f>IF($AG1214="","",IF(COUNTIFS(L_Sleutel,$S1214,L_Status,"Vastgesteld")=0,0,_xlfn.MAXIFS(L_Revisie,L_Sleutel,$S1214,L_Status,"Vastgesteld")+1))</f>
        <v/>
      </c>
      <c r="H1214" s="108" t="str">
        <f>IF($AG1214="","",P_Peildatum)</f>
        <v/>
      </c>
      <c r="I1214" s="92" t="str">
        <f>IF($AG1214="","",P_RJ+INDEX($AK$8:$AK$21,INDEX($AC$8:$AC$1407,$AG1214)+1))</f>
        <v/>
      </c>
      <c r="J1214" s="92" t="str">
        <f>IF($AG1214="","",INDEX(V_WBS,INDEX($AB$8:$AB$1407,$AG1214)))</f>
        <v/>
      </c>
      <c r="K1214" s="92" t="str">
        <f>IF($AG1214="","",INDEX(V_Projdef,INDEX($AB$8:$AB$1407,$AG1214)))</f>
        <v/>
      </c>
      <c r="L1214" s="92" t="str">
        <f>IF($AG1214="","",INDEX(V_Naam,INDEX($AB$8:$AB$1407,$AG1214)))</f>
        <v/>
      </c>
      <c r="M1214" s="92" t="str">
        <f>IF($AG1214="","",INDEX(V_Type,INDEX($AB$8:$AB$1407,$AG1214)))</f>
        <v/>
      </c>
      <c r="N1214" s="92" t="str">
        <f>IF($AG1214="","",INDEX(V_IFRS,INDEX($AB$8:$AB$1407,$AG1214)))</f>
        <v/>
      </c>
      <c r="O1214" s="92" t="str">
        <f>IF($AG1214="","",INDEX($AL$8:$AL$21,INDEX($AC$8:$AC$1407,$AG1214)+1))</f>
        <v/>
      </c>
      <c r="P1214" s="109" t="str">
        <f>IF($AG1214="","",INDEX($AD$8:$AD$1407,$AG1214))</f>
        <v/>
      </c>
      <c r="Q1214" s="92" t="str">
        <f>IF($AG1214="","",INDEX($AM$8:$AM$21,INDEX($AC$8:$AC$1407,$AG1214)+1))</f>
        <v/>
      </c>
      <c r="R1214" s="92" t="str">
        <f>IF($AG1214="","",IF($G1214&gt;0,P_ToelCorrectie&amp;"",""))</f>
        <v/>
      </c>
      <c r="S1214" s="15" t="str">
        <f>IF(J1214="","",J1214&amp;"|"&amp;E1214&amp;"|"&amp;F1214&amp;"|"&amp;I1214&amp;"|"&amp;O1214)</f>
        <v/>
      </c>
      <c r="T1214" s="111" t="str">
        <f>IF(S1214="","",IF(COUNTIFS(L_Sleutel,S1214,L_Actief,1)=0,"",SUMIFS(L_Waarde,L_Sleutel,S1214,L_Actief,1)))</f>
        <v/>
      </c>
      <c r="U1214" s="111">
        <f>IF(OR(S1214="",T1214=""),0,P1214-T1214)</f>
        <v>0</v>
      </c>
      <c r="AB1214" s="112" t="n">
        <v>87</v>
      </c>
      <c r="AC1214" s="112" t="n">
        <v>2</v>
      </c>
      <c r="AD1214" s="112" t="str">
        <f>VERW_Project!L92</f>
        <v/>
      </c>
      <c r="AE1214" s="112">
        <f>IF(AND(VERW_Project!$A92&lt;&gt;"",ISNUMBER(AD1214)),1,0)</f>
        <v>0</v>
      </c>
      <c r="AF1214" s="112" t="str">
        <f>IF(AE1214=1,SUM($AE$8:AE1214),"")</f>
        <v/>
      </c>
      <c r="AG1214" t="str">
        <f>IFERROR(MATCH(1207,$AF$8:$AF$1407,0),"")</f>
        <v/>
      </c>
    </row>
    <row r="1215">
      <c r="A1215" s="92" t="str">
        <f>IF($AG1215="","",P_ImportID)</f>
        <v/>
      </c>
      <c r="B1215" s="92" t="str">
        <f>IF($AG1215="","",IF(INDEX($AN$8:$AN$21,INDEX($AC$8:$AC$1407,$AG1215)+1)="Z",P_BronZ,P_BronE))</f>
        <v/>
      </c>
      <c r="C1215" s="108" t="str">
        <f>IF($AG1215="","",P_Importdatum)</f>
        <v/>
      </c>
      <c r="D1215" s="92" t="str">
        <f>IF($AG1215="","",P_StatusVastleg)</f>
        <v/>
      </c>
      <c r="E1215" s="92" t="str">
        <f>IF($AG1215="","",P_UploadVJ)</f>
        <v/>
      </c>
      <c r="F1215" s="92" t="str">
        <f>IF($AG1215="","",P_UploadVersie)</f>
        <v/>
      </c>
      <c r="G1215" s="92" t="str">
        <f>IF($AG1215="","",IF(COUNTIFS(L_Sleutel,$S1215,L_Status,"Vastgesteld")=0,0,_xlfn.MAXIFS(L_Revisie,L_Sleutel,$S1215,L_Status,"Vastgesteld")+1))</f>
        <v/>
      </c>
      <c r="H1215" s="108" t="str">
        <f>IF($AG1215="","",P_Peildatum)</f>
        <v/>
      </c>
      <c r="I1215" s="92" t="str">
        <f>IF($AG1215="","",P_RJ+INDEX($AK$8:$AK$21,INDEX($AC$8:$AC$1407,$AG1215)+1))</f>
        <v/>
      </c>
      <c r="J1215" s="92" t="str">
        <f>IF($AG1215="","",INDEX(V_WBS,INDEX($AB$8:$AB$1407,$AG1215)))</f>
        <v/>
      </c>
      <c r="K1215" s="92" t="str">
        <f>IF($AG1215="","",INDEX(V_Projdef,INDEX($AB$8:$AB$1407,$AG1215)))</f>
        <v/>
      </c>
      <c r="L1215" s="92" t="str">
        <f>IF($AG1215="","",INDEX(V_Naam,INDEX($AB$8:$AB$1407,$AG1215)))</f>
        <v/>
      </c>
      <c r="M1215" s="92" t="str">
        <f>IF($AG1215="","",INDEX(V_Type,INDEX($AB$8:$AB$1407,$AG1215)))</f>
        <v/>
      </c>
      <c r="N1215" s="92" t="str">
        <f>IF($AG1215="","",INDEX(V_IFRS,INDEX($AB$8:$AB$1407,$AG1215)))</f>
        <v/>
      </c>
      <c r="O1215" s="92" t="str">
        <f>IF($AG1215="","",INDEX($AL$8:$AL$21,INDEX($AC$8:$AC$1407,$AG1215)+1))</f>
        <v/>
      </c>
      <c r="P1215" s="109" t="str">
        <f>IF($AG1215="","",INDEX($AD$8:$AD$1407,$AG1215))</f>
        <v/>
      </c>
      <c r="Q1215" s="92" t="str">
        <f>IF($AG1215="","",INDEX($AM$8:$AM$21,INDEX($AC$8:$AC$1407,$AG1215)+1))</f>
        <v/>
      </c>
      <c r="R1215" s="92" t="str">
        <f>IF($AG1215="","",IF($G1215&gt;0,P_ToelCorrectie&amp;"",""))</f>
        <v/>
      </c>
      <c r="S1215" s="15" t="str">
        <f>IF(J1215="","",J1215&amp;"|"&amp;E1215&amp;"|"&amp;F1215&amp;"|"&amp;I1215&amp;"|"&amp;O1215)</f>
        <v/>
      </c>
      <c r="T1215" s="111" t="str">
        <f>IF(S1215="","",IF(COUNTIFS(L_Sleutel,S1215,L_Actief,1)=0,"",SUMIFS(L_Waarde,L_Sleutel,S1215,L_Actief,1)))</f>
        <v/>
      </c>
      <c r="U1215" s="111">
        <f>IF(OR(S1215="",T1215=""),0,P1215-T1215)</f>
        <v>0</v>
      </c>
      <c r="AB1215" s="112" t="n">
        <v>87</v>
      </c>
      <c r="AC1215" s="112" t="n">
        <v>3</v>
      </c>
      <c r="AD1215" s="112" t="str">
        <f>VERW_Project!M92</f>
        <v/>
      </c>
      <c r="AE1215" s="112">
        <f>IF(AND(VERW_Project!$A92&lt;&gt;"",ISNUMBER(AD1215)),1,0)</f>
        <v>0</v>
      </c>
      <c r="AF1215" s="112" t="str">
        <f>IF(AE1215=1,SUM($AE$8:AE1215),"")</f>
        <v/>
      </c>
      <c r="AG1215" t="str">
        <f>IFERROR(MATCH(1208,$AF$8:$AF$1407,0),"")</f>
        <v/>
      </c>
    </row>
    <row r="1216">
      <c r="A1216" s="92" t="str">
        <f>IF($AG1216="","",P_ImportID)</f>
        <v/>
      </c>
      <c r="B1216" s="92" t="str">
        <f>IF($AG1216="","",IF(INDEX($AN$8:$AN$21,INDEX($AC$8:$AC$1407,$AG1216)+1)="Z",P_BronZ,P_BronE))</f>
        <v/>
      </c>
      <c r="C1216" s="108" t="str">
        <f>IF($AG1216="","",P_Importdatum)</f>
        <v/>
      </c>
      <c r="D1216" s="92" t="str">
        <f>IF($AG1216="","",P_StatusVastleg)</f>
        <v/>
      </c>
      <c r="E1216" s="92" t="str">
        <f>IF($AG1216="","",P_UploadVJ)</f>
        <v/>
      </c>
      <c r="F1216" s="92" t="str">
        <f>IF($AG1216="","",P_UploadVersie)</f>
        <v/>
      </c>
      <c r="G1216" s="92" t="str">
        <f>IF($AG1216="","",IF(COUNTIFS(L_Sleutel,$S1216,L_Status,"Vastgesteld")=0,0,_xlfn.MAXIFS(L_Revisie,L_Sleutel,$S1216,L_Status,"Vastgesteld")+1))</f>
        <v/>
      </c>
      <c r="H1216" s="108" t="str">
        <f>IF($AG1216="","",P_Peildatum)</f>
        <v/>
      </c>
      <c r="I1216" s="92" t="str">
        <f>IF($AG1216="","",P_RJ+INDEX($AK$8:$AK$21,INDEX($AC$8:$AC$1407,$AG1216)+1))</f>
        <v/>
      </c>
      <c r="J1216" s="92" t="str">
        <f>IF($AG1216="","",INDEX(V_WBS,INDEX($AB$8:$AB$1407,$AG1216)))</f>
        <v/>
      </c>
      <c r="K1216" s="92" t="str">
        <f>IF($AG1216="","",INDEX(V_Projdef,INDEX($AB$8:$AB$1407,$AG1216)))</f>
        <v/>
      </c>
      <c r="L1216" s="92" t="str">
        <f>IF($AG1216="","",INDEX(V_Naam,INDEX($AB$8:$AB$1407,$AG1216)))</f>
        <v/>
      </c>
      <c r="M1216" s="92" t="str">
        <f>IF($AG1216="","",INDEX(V_Type,INDEX($AB$8:$AB$1407,$AG1216)))</f>
        <v/>
      </c>
      <c r="N1216" s="92" t="str">
        <f>IF($AG1216="","",INDEX(V_IFRS,INDEX($AB$8:$AB$1407,$AG1216)))</f>
        <v/>
      </c>
      <c r="O1216" s="92" t="str">
        <f>IF($AG1216="","",INDEX($AL$8:$AL$21,INDEX($AC$8:$AC$1407,$AG1216)+1))</f>
        <v/>
      </c>
      <c r="P1216" s="109" t="str">
        <f>IF($AG1216="","",INDEX($AD$8:$AD$1407,$AG1216))</f>
        <v/>
      </c>
      <c r="Q1216" s="92" t="str">
        <f>IF($AG1216="","",INDEX($AM$8:$AM$21,INDEX($AC$8:$AC$1407,$AG1216)+1))</f>
        <v/>
      </c>
      <c r="R1216" s="92" t="str">
        <f>IF($AG1216="","",IF($G1216&gt;0,P_ToelCorrectie&amp;"",""))</f>
        <v/>
      </c>
      <c r="S1216" s="15" t="str">
        <f>IF(J1216="","",J1216&amp;"|"&amp;E1216&amp;"|"&amp;F1216&amp;"|"&amp;I1216&amp;"|"&amp;O1216)</f>
        <v/>
      </c>
      <c r="T1216" s="111" t="str">
        <f>IF(S1216="","",IF(COUNTIFS(L_Sleutel,S1216,L_Actief,1)=0,"",SUMIFS(L_Waarde,L_Sleutel,S1216,L_Actief,1)))</f>
        <v/>
      </c>
      <c r="U1216" s="111">
        <f>IF(OR(S1216="",T1216=""),0,P1216-T1216)</f>
        <v>0</v>
      </c>
      <c r="AB1216" s="112" t="n">
        <v>87</v>
      </c>
      <c r="AC1216" s="112" t="n">
        <v>4</v>
      </c>
      <c r="AD1216" s="112" t="str">
        <f>VERW_Project!R92</f>
        <v/>
      </c>
      <c r="AE1216" s="112">
        <f>IF(AND(VERW_Project!$A92&lt;&gt;"",ISNUMBER(AD1216)),1,0)</f>
        <v>0</v>
      </c>
      <c r="AF1216" s="112" t="str">
        <f>IF(AE1216=1,SUM($AE$8:AE1216),"")</f>
        <v/>
      </c>
      <c r="AG1216" t="str">
        <f>IFERROR(MATCH(1209,$AF$8:$AF$1407,0),"")</f>
        <v/>
      </c>
    </row>
    <row r="1217">
      <c r="A1217" s="92" t="str">
        <f>IF($AG1217="","",P_ImportID)</f>
        <v/>
      </c>
      <c r="B1217" s="92" t="str">
        <f>IF($AG1217="","",IF(INDEX($AN$8:$AN$21,INDEX($AC$8:$AC$1407,$AG1217)+1)="Z",P_BronZ,P_BronE))</f>
        <v/>
      </c>
      <c r="C1217" s="108" t="str">
        <f>IF($AG1217="","",P_Importdatum)</f>
        <v/>
      </c>
      <c r="D1217" s="92" t="str">
        <f>IF($AG1217="","",P_StatusVastleg)</f>
        <v/>
      </c>
      <c r="E1217" s="92" t="str">
        <f>IF($AG1217="","",P_UploadVJ)</f>
        <v/>
      </c>
      <c r="F1217" s="92" t="str">
        <f>IF($AG1217="","",P_UploadVersie)</f>
        <v/>
      </c>
      <c r="G1217" s="92" t="str">
        <f>IF($AG1217="","",IF(COUNTIFS(L_Sleutel,$S1217,L_Status,"Vastgesteld")=0,0,_xlfn.MAXIFS(L_Revisie,L_Sleutel,$S1217,L_Status,"Vastgesteld")+1))</f>
        <v/>
      </c>
      <c r="H1217" s="108" t="str">
        <f>IF($AG1217="","",P_Peildatum)</f>
        <v/>
      </c>
      <c r="I1217" s="92" t="str">
        <f>IF($AG1217="","",P_RJ+INDEX($AK$8:$AK$21,INDEX($AC$8:$AC$1407,$AG1217)+1))</f>
        <v/>
      </c>
      <c r="J1217" s="92" t="str">
        <f>IF($AG1217="","",INDEX(V_WBS,INDEX($AB$8:$AB$1407,$AG1217)))</f>
        <v/>
      </c>
      <c r="K1217" s="92" t="str">
        <f>IF($AG1217="","",INDEX(V_Projdef,INDEX($AB$8:$AB$1407,$AG1217)))</f>
        <v/>
      </c>
      <c r="L1217" s="92" t="str">
        <f>IF($AG1217="","",INDEX(V_Naam,INDEX($AB$8:$AB$1407,$AG1217)))</f>
        <v/>
      </c>
      <c r="M1217" s="92" t="str">
        <f>IF($AG1217="","",INDEX(V_Type,INDEX($AB$8:$AB$1407,$AG1217)))</f>
        <v/>
      </c>
      <c r="N1217" s="92" t="str">
        <f>IF($AG1217="","",INDEX(V_IFRS,INDEX($AB$8:$AB$1407,$AG1217)))</f>
        <v/>
      </c>
      <c r="O1217" s="92" t="str">
        <f>IF($AG1217="","",INDEX($AL$8:$AL$21,INDEX($AC$8:$AC$1407,$AG1217)+1))</f>
        <v/>
      </c>
      <c r="P1217" s="109" t="str">
        <f>IF($AG1217="","",INDEX($AD$8:$AD$1407,$AG1217))</f>
        <v/>
      </c>
      <c r="Q1217" s="92" t="str">
        <f>IF($AG1217="","",INDEX($AM$8:$AM$21,INDEX($AC$8:$AC$1407,$AG1217)+1))</f>
        <v/>
      </c>
      <c r="R1217" s="92" t="str">
        <f>IF($AG1217="","",IF($G1217&gt;0,P_ToelCorrectie&amp;"",""))</f>
        <v/>
      </c>
      <c r="S1217" s="15" t="str">
        <f>IF(J1217="","",J1217&amp;"|"&amp;E1217&amp;"|"&amp;F1217&amp;"|"&amp;I1217&amp;"|"&amp;O1217)</f>
        <v/>
      </c>
      <c r="T1217" s="111" t="str">
        <f>IF(S1217="","",IF(COUNTIFS(L_Sleutel,S1217,L_Actief,1)=0,"",SUMIFS(L_Waarde,L_Sleutel,S1217,L_Actief,1)))</f>
        <v/>
      </c>
      <c r="U1217" s="111">
        <f>IF(OR(S1217="",T1217=""),0,P1217-T1217)</f>
        <v>0</v>
      </c>
      <c r="AB1217" s="112" t="n">
        <v>87</v>
      </c>
      <c r="AC1217" s="112" t="n">
        <v>5</v>
      </c>
      <c r="AD1217" s="112" t="str">
        <f>VERW_Project!S92</f>
        <v/>
      </c>
      <c r="AE1217" s="112">
        <f>IF(AND(VERW_Project!$A92&lt;&gt;"",ISNUMBER(AD1217)),1,0)</f>
        <v>0</v>
      </c>
      <c r="AF1217" s="112" t="str">
        <f>IF(AE1217=1,SUM($AE$8:AE1217),"")</f>
        <v/>
      </c>
      <c r="AG1217" t="str">
        <f>IFERROR(MATCH(1210,$AF$8:$AF$1407,0),"")</f>
        <v/>
      </c>
    </row>
    <row r="1218">
      <c r="A1218" s="92" t="str">
        <f>IF($AG1218="","",P_ImportID)</f>
        <v/>
      </c>
      <c r="B1218" s="92" t="str">
        <f>IF($AG1218="","",IF(INDEX($AN$8:$AN$21,INDEX($AC$8:$AC$1407,$AG1218)+1)="Z",P_BronZ,P_BronE))</f>
        <v/>
      </c>
      <c r="C1218" s="108" t="str">
        <f>IF($AG1218="","",P_Importdatum)</f>
        <v/>
      </c>
      <c r="D1218" s="92" t="str">
        <f>IF($AG1218="","",P_StatusVastleg)</f>
        <v/>
      </c>
      <c r="E1218" s="92" t="str">
        <f>IF($AG1218="","",P_UploadVJ)</f>
        <v/>
      </c>
      <c r="F1218" s="92" t="str">
        <f>IF($AG1218="","",P_UploadVersie)</f>
        <v/>
      </c>
      <c r="G1218" s="92" t="str">
        <f>IF($AG1218="","",IF(COUNTIFS(L_Sleutel,$S1218,L_Status,"Vastgesteld")=0,0,_xlfn.MAXIFS(L_Revisie,L_Sleutel,$S1218,L_Status,"Vastgesteld")+1))</f>
        <v/>
      </c>
      <c r="H1218" s="108" t="str">
        <f>IF($AG1218="","",P_Peildatum)</f>
        <v/>
      </c>
      <c r="I1218" s="92" t="str">
        <f>IF($AG1218="","",P_RJ+INDEX($AK$8:$AK$21,INDEX($AC$8:$AC$1407,$AG1218)+1))</f>
        <v/>
      </c>
      <c r="J1218" s="92" t="str">
        <f>IF($AG1218="","",INDEX(V_WBS,INDEX($AB$8:$AB$1407,$AG1218)))</f>
        <v/>
      </c>
      <c r="K1218" s="92" t="str">
        <f>IF($AG1218="","",INDEX(V_Projdef,INDEX($AB$8:$AB$1407,$AG1218)))</f>
        <v/>
      </c>
      <c r="L1218" s="92" t="str">
        <f>IF($AG1218="","",INDEX(V_Naam,INDEX($AB$8:$AB$1407,$AG1218)))</f>
        <v/>
      </c>
      <c r="M1218" s="92" t="str">
        <f>IF($AG1218="","",INDEX(V_Type,INDEX($AB$8:$AB$1407,$AG1218)))</f>
        <v/>
      </c>
      <c r="N1218" s="92" t="str">
        <f>IF($AG1218="","",INDEX(V_IFRS,INDEX($AB$8:$AB$1407,$AG1218)))</f>
        <v/>
      </c>
      <c r="O1218" s="92" t="str">
        <f>IF($AG1218="","",INDEX($AL$8:$AL$21,INDEX($AC$8:$AC$1407,$AG1218)+1))</f>
        <v/>
      </c>
      <c r="P1218" s="109" t="str">
        <f>IF($AG1218="","",INDEX($AD$8:$AD$1407,$AG1218))</f>
        <v/>
      </c>
      <c r="Q1218" s="92" t="str">
        <f>IF($AG1218="","",INDEX($AM$8:$AM$21,INDEX($AC$8:$AC$1407,$AG1218)+1))</f>
        <v/>
      </c>
      <c r="R1218" s="92" t="str">
        <f>IF($AG1218="","",IF($G1218&gt;0,P_ToelCorrectie&amp;"",""))</f>
        <v/>
      </c>
      <c r="S1218" s="15" t="str">
        <f>IF(J1218="","",J1218&amp;"|"&amp;E1218&amp;"|"&amp;F1218&amp;"|"&amp;I1218&amp;"|"&amp;O1218)</f>
        <v/>
      </c>
      <c r="T1218" s="111" t="str">
        <f>IF(S1218="","",IF(COUNTIFS(L_Sleutel,S1218,L_Actief,1)=0,"",SUMIFS(L_Waarde,L_Sleutel,S1218,L_Actief,1)))</f>
        <v/>
      </c>
      <c r="U1218" s="111">
        <f>IF(OR(S1218="",T1218=""),0,P1218-T1218)</f>
        <v>0</v>
      </c>
      <c r="AB1218" s="112" t="n">
        <v>87</v>
      </c>
      <c r="AC1218" s="112" t="n">
        <v>6</v>
      </c>
      <c r="AD1218" s="112" t="str">
        <f>VERW_Project!BW92</f>
        <v/>
      </c>
      <c r="AE1218" s="112">
        <f>IF(AND(VERW_Project!$A92&lt;&gt;"",ISNUMBER(AD1218)),1,0)</f>
        <v>0</v>
      </c>
      <c r="AF1218" s="112" t="str">
        <f>IF(AE1218=1,SUM($AE$8:AE1218),"")</f>
        <v/>
      </c>
      <c r="AG1218" t="str">
        <f>IFERROR(MATCH(1211,$AF$8:$AF$1407,0),"")</f>
        <v/>
      </c>
    </row>
    <row r="1219">
      <c r="A1219" s="92" t="str">
        <f>IF($AG1219="","",P_ImportID)</f>
        <v/>
      </c>
      <c r="B1219" s="92" t="str">
        <f>IF($AG1219="","",IF(INDEX($AN$8:$AN$21,INDEX($AC$8:$AC$1407,$AG1219)+1)="Z",P_BronZ,P_BronE))</f>
        <v/>
      </c>
      <c r="C1219" s="108" t="str">
        <f>IF($AG1219="","",P_Importdatum)</f>
        <v/>
      </c>
      <c r="D1219" s="92" t="str">
        <f>IF($AG1219="","",P_StatusVastleg)</f>
        <v/>
      </c>
      <c r="E1219" s="92" t="str">
        <f>IF($AG1219="","",P_UploadVJ)</f>
        <v/>
      </c>
      <c r="F1219" s="92" t="str">
        <f>IF($AG1219="","",P_UploadVersie)</f>
        <v/>
      </c>
      <c r="G1219" s="92" t="str">
        <f>IF($AG1219="","",IF(COUNTIFS(L_Sleutel,$S1219,L_Status,"Vastgesteld")=0,0,_xlfn.MAXIFS(L_Revisie,L_Sleutel,$S1219,L_Status,"Vastgesteld")+1))</f>
        <v/>
      </c>
      <c r="H1219" s="108" t="str">
        <f>IF($AG1219="","",P_Peildatum)</f>
        <v/>
      </c>
      <c r="I1219" s="92" t="str">
        <f>IF($AG1219="","",P_RJ+INDEX($AK$8:$AK$21,INDEX($AC$8:$AC$1407,$AG1219)+1))</f>
        <v/>
      </c>
      <c r="J1219" s="92" t="str">
        <f>IF($AG1219="","",INDEX(V_WBS,INDEX($AB$8:$AB$1407,$AG1219)))</f>
        <v/>
      </c>
      <c r="K1219" s="92" t="str">
        <f>IF($AG1219="","",INDEX(V_Projdef,INDEX($AB$8:$AB$1407,$AG1219)))</f>
        <v/>
      </c>
      <c r="L1219" s="92" t="str">
        <f>IF($AG1219="","",INDEX(V_Naam,INDEX($AB$8:$AB$1407,$AG1219)))</f>
        <v/>
      </c>
      <c r="M1219" s="92" t="str">
        <f>IF($AG1219="","",INDEX(V_Type,INDEX($AB$8:$AB$1407,$AG1219)))</f>
        <v/>
      </c>
      <c r="N1219" s="92" t="str">
        <f>IF($AG1219="","",INDEX(V_IFRS,INDEX($AB$8:$AB$1407,$AG1219)))</f>
        <v/>
      </c>
      <c r="O1219" s="92" t="str">
        <f>IF($AG1219="","",INDEX($AL$8:$AL$21,INDEX($AC$8:$AC$1407,$AG1219)+1))</f>
        <v/>
      </c>
      <c r="P1219" s="109" t="str">
        <f>IF($AG1219="","",INDEX($AD$8:$AD$1407,$AG1219))</f>
        <v/>
      </c>
      <c r="Q1219" s="92" t="str">
        <f>IF($AG1219="","",INDEX($AM$8:$AM$21,INDEX($AC$8:$AC$1407,$AG1219)+1))</f>
        <v/>
      </c>
      <c r="R1219" s="92" t="str">
        <f>IF($AG1219="","",IF($G1219&gt;0,P_ToelCorrectie&amp;"",""))</f>
        <v/>
      </c>
      <c r="S1219" s="15" t="str">
        <f>IF(J1219="","",J1219&amp;"|"&amp;E1219&amp;"|"&amp;F1219&amp;"|"&amp;I1219&amp;"|"&amp;O1219)</f>
        <v/>
      </c>
      <c r="T1219" s="111" t="str">
        <f>IF(S1219="","",IF(COUNTIFS(L_Sleutel,S1219,L_Actief,1)=0,"",SUMIFS(L_Waarde,L_Sleutel,S1219,L_Actief,1)))</f>
        <v/>
      </c>
      <c r="U1219" s="111">
        <f>IF(OR(S1219="",T1219=""),0,P1219-T1219)</f>
        <v>0</v>
      </c>
      <c r="AB1219" s="112" t="n">
        <v>87</v>
      </c>
      <c r="AC1219" s="112" t="n">
        <v>7</v>
      </c>
      <c r="AD1219" s="112" t="str">
        <f>VERW_Project!AW92</f>
        <v/>
      </c>
      <c r="AE1219" s="112">
        <f>IF(AND(VERW_Project!$A92&lt;&gt;"",ISNUMBER(AD1219)),1,0)</f>
        <v>0</v>
      </c>
      <c r="AF1219" s="112" t="str">
        <f>IF(AE1219=1,SUM($AE$8:AE1219),"")</f>
        <v/>
      </c>
      <c r="AG1219" t="str">
        <f>IFERROR(MATCH(1212,$AF$8:$AF$1407,0),"")</f>
        <v/>
      </c>
    </row>
    <row r="1220">
      <c r="A1220" s="92" t="str">
        <f>IF($AG1220="","",P_ImportID)</f>
        <v/>
      </c>
      <c r="B1220" s="92" t="str">
        <f>IF($AG1220="","",IF(INDEX($AN$8:$AN$21,INDEX($AC$8:$AC$1407,$AG1220)+1)="Z",P_BronZ,P_BronE))</f>
        <v/>
      </c>
      <c r="C1220" s="108" t="str">
        <f>IF($AG1220="","",P_Importdatum)</f>
        <v/>
      </c>
      <c r="D1220" s="92" t="str">
        <f>IF($AG1220="","",P_StatusVastleg)</f>
        <v/>
      </c>
      <c r="E1220" s="92" t="str">
        <f>IF($AG1220="","",P_UploadVJ)</f>
        <v/>
      </c>
      <c r="F1220" s="92" t="str">
        <f>IF($AG1220="","",P_UploadVersie)</f>
        <v/>
      </c>
      <c r="G1220" s="92" t="str">
        <f>IF($AG1220="","",IF(COUNTIFS(L_Sleutel,$S1220,L_Status,"Vastgesteld")=0,0,_xlfn.MAXIFS(L_Revisie,L_Sleutel,$S1220,L_Status,"Vastgesteld")+1))</f>
        <v/>
      </c>
      <c r="H1220" s="108" t="str">
        <f>IF($AG1220="","",P_Peildatum)</f>
        <v/>
      </c>
      <c r="I1220" s="92" t="str">
        <f>IF($AG1220="","",P_RJ+INDEX($AK$8:$AK$21,INDEX($AC$8:$AC$1407,$AG1220)+1))</f>
        <v/>
      </c>
      <c r="J1220" s="92" t="str">
        <f>IF($AG1220="","",INDEX(V_WBS,INDEX($AB$8:$AB$1407,$AG1220)))</f>
        <v/>
      </c>
      <c r="K1220" s="92" t="str">
        <f>IF($AG1220="","",INDEX(V_Projdef,INDEX($AB$8:$AB$1407,$AG1220)))</f>
        <v/>
      </c>
      <c r="L1220" s="92" t="str">
        <f>IF($AG1220="","",INDEX(V_Naam,INDEX($AB$8:$AB$1407,$AG1220)))</f>
        <v/>
      </c>
      <c r="M1220" s="92" t="str">
        <f>IF($AG1220="","",INDEX(V_Type,INDEX($AB$8:$AB$1407,$AG1220)))</f>
        <v/>
      </c>
      <c r="N1220" s="92" t="str">
        <f>IF($AG1220="","",INDEX(V_IFRS,INDEX($AB$8:$AB$1407,$AG1220)))</f>
        <v/>
      </c>
      <c r="O1220" s="92" t="str">
        <f>IF($AG1220="","",INDEX($AL$8:$AL$21,INDEX($AC$8:$AC$1407,$AG1220)+1))</f>
        <v/>
      </c>
      <c r="P1220" s="109" t="str">
        <f>IF($AG1220="","",INDEX($AD$8:$AD$1407,$AG1220))</f>
        <v/>
      </c>
      <c r="Q1220" s="92" t="str">
        <f>IF($AG1220="","",INDEX($AM$8:$AM$21,INDEX($AC$8:$AC$1407,$AG1220)+1))</f>
        <v/>
      </c>
      <c r="R1220" s="92" t="str">
        <f>IF($AG1220="","",IF($G1220&gt;0,P_ToelCorrectie&amp;"",""))</f>
        <v/>
      </c>
      <c r="S1220" s="15" t="str">
        <f>IF(J1220="","",J1220&amp;"|"&amp;E1220&amp;"|"&amp;F1220&amp;"|"&amp;I1220&amp;"|"&amp;O1220)</f>
        <v/>
      </c>
      <c r="T1220" s="111" t="str">
        <f>IF(S1220="","",IF(COUNTIFS(L_Sleutel,S1220,L_Actief,1)=0,"",SUMIFS(L_Waarde,L_Sleutel,S1220,L_Actief,1)))</f>
        <v/>
      </c>
      <c r="U1220" s="111">
        <f>IF(OR(S1220="",T1220=""),0,P1220-T1220)</f>
        <v>0</v>
      </c>
      <c r="AB1220" s="112" t="n">
        <v>87</v>
      </c>
      <c r="AC1220" s="112" t="n">
        <v>8</v>
      </c>
      <c r="AD1220" s="112" t="str">
        <f>VERW_Project!BQ92</f>
        <v/>
      </c>
      <c r="AE1220" s="112">
        <f>IF(AND(VERW_Project!$A92&lt;&gt;"",ISNUMBER(AD1220)),1,0)</f>
        <v>0</v>
      </c>
      <c r="AF1220" s="112" t="str">
        <f>IF(AE1220=1,SUM($AE$8:AE1220),"")</f>
        <v/>
      </c>
      <c r="AG1220" t="str">
        <f>IFERROR(MATCH(1213,$AF$8:$AF$1407,0),"")</f>
        <v/>
      </c>
    </row>
    <row r="1221">
      <c r="A1221" s="92" t="str">
        <f>IF($AG1221="","",P_ImportID)</f>
        <v/>
      </c>
      <c r="B1221" s="92" t="str">
        <f>IF($AG1221="","",IF(INDEX($AN$8:$AN$21,INDEX($AC$8:$AC$1407,$AG1221)+1)="Z",P_BronZ,P_BronE))</f>
        <v/>
      </c>
      <c r="C1221" s="108" t="str">
        <f>IF($AG1221="","",P_Importdatum)</f>
        <v/>
      </c>
      <c r="D1221" s="92" t="str">
        <f>IF($AG1221="","",P_StatusVastleg)</f>
        <v/>
      </c>
      <c r="E1221" s="92" t="str">
        <f>IF($AG1221="","",P_UploadVJ)</f>
        <v/>
      </c>
      <c r="F1221" s="92" t="str">
        <f>IF($AG1221="","",P_UploadVersie)</f>
        <v/>
      </c>
      <c r="G1221" s="92" t="str">
        <f>IF($AG1221="","",IF(COUNTIFS(L_Sleutel,$S1221,L_Status,"Vastgesteld")=0,0,_xlfn.MAXIFS(L_Revisie,L_Sleutel,$S1221,L_Status,"Vastgesteld")+1))</f>
        <v/>
      </c>
      <c r="H1221" s="108" t="str">
        <f>IF($AG1221="","",P_Peildatum)</f>
        <v/>
      </c>
      <c r="I1221" s="92" t="str">
        <f>IF($AG1221="","",P_RJ+INDEX($AK$8:$AK$21,INDEX($AC$8:$AC$1407,$AG1221)+1))</f>
        <v/>
      </c>
      <c r="J1221" s="92" t="str">
        <f>IF($AG1221="","",INDEX(V_WBS,INDEX($AB$8:$AB$1407,$AG1221)))</f>
        <v/>
      </c>
      <c r="K1221" s="92" t="str">
        <f>IF($AG1221="","",INDEX(V_Projdef,INDEX($AB$8:$AB$1407,$AG1221)))</f>
        <v/>
      </c>
      <c r="L1221" s="92" t="str">
        <f>IF($AG1221="","",INDEX(V_Naam,INDEX($AB$8:$AB$1407,$AG1221)))</f>
        <v/>
      </c>
      <c r="M1221" s="92" t="str">
        <f>IF($AG1221="","",INDEX(V_Type,INDEX($AB$8:$AB$1407,$AG1221)))</f>
        <v/>
      </c>
      <c r="N1221" s="92" t="str">
        <f>IF($AG1221="","",INDEX(V_IFRS,INDEX($AB$8:$AB$1407,$AG1221)))</f>
        <v/>
      </c>
      <c r="O1221" s="92" t="str">
        <f>IF($AG1221="","",INDEX($AL$8:$AL$21,INDEX($AC$8:$AC$1407,$AG1221)+1))</f>
        <v/>
      </c>
      <c r="P1221" s="109" t="str">
        <f>IF($AG1221="","",INDEX($AD$8:$AD$1407,$AG1221))</f>
        <v/>
      </c>
      <c r="Q1221" s="92" t="str">
        <f>IF($AG1221="","",INDEX($AM$8:$AM$21,INDEX($AC$8:$AC$1407,$AG1221)+1))</f>
        <v/>
      </c>
      <c r="R1221" s="92" t="str">
        <f>IF($AG1221="","",IF($G1221&gt;0,P_ToelCorrectie&amp;"",""))</f>
        <v/>
      </c>
      <c r="S1221" s="15" t="str">
        <f>IF(J1221="","",J1221&amp;"|"&amp;E1221&amp;"|"&amp;F1221&amp;"|"&amp;I1221&amp;"|"&amp;O1221)</f>
        <v/>
      </c>
      <c r="T1221" s="111" t="str">
        <f>IF(S1221="","",IF(COUNTIFS(L_Sleutel,S1221,L_Actief,1)=0,"",SUMIFS(L_Waarde,L_Sleutel,S1221,L_Actief,1)))</f>
        <v/>
      </c>
      <c r="U1221" s="111">
        <f>IF(OR(S1221="",T1221=""),0,P1221-T1221)</f>
        <v>0</v>
      </c>
      <c r="AB1221" s="112" t="n">
        <v>87</v>
      </c>
      <c r="AC1221" s="112" t="n">
        <v>9</v>
      </c>
      <c r="AD1221" s="112" t="str">
        <f>VERW_Project!BR92</f>
        <v/>
      </c>
      <c r="AE1221" s="112">
        <f>IF(AND(VERW_Project!$A92&lt;&gt;"",ISNUMBER(AD1221)),1,0)</f>
        <v>0</v>
      </c>
      <c r="AF1221" s="112" t="str">
        <f>IF(AE1221=1,SUM($AE$8:AE1221),"")</f>
        <v/>
      </c>
      <c r="AG1221" t="str">
        <f>IFERROR(MATCH(1214,$AF$8:$AF$1407,0),"")</f>
        <v/>
      </c>
    </row>
    <row r="1222">
      <c r="A1222" s="92" t="str">
        <f>IF($AG1222="","",P_ImportID)</f>
        <v/>
      </c>
      <c r="B1222" s="92" t="str">
        <f>IF($AG1222="","",IF(INDEX($AN$8:$AN$21,INDEX($AC$8:$AC$1407,$AG1222)+1)="Z",P_BronZ,P_BronE))</f>
        <v/>
      </c>
      <c r="C1222" s="108" t="str">
        <f>IF($AG1222="","",P_Importdatum)</f>
        <v/>
      </c>
      <c r="D1222" s="92" t="str">
        <f>IF($AG1222="","",P_StatusVastleg)</f>
        <v/>
      </c>
      <c r="E1222" s="92" t="str">
        <f>IF($AG1222="","",P_UploadVJ)</f>
        <v/>
      </c>
      <c r="F1222" s="92" t="str">
        <f>IF($AG1222="","",P_UploadVersie)</f>
        <v/>
      </c>
      <c r="G1222" s="92" t="str">
        <f>IF($AG1222="","",IF(COUNTIFS(L_Sleutel,$S1222,L_Status,"Vastgesteld")=0,0,_xlfn.MAXIFS(L_Revisie,L_Sleutel,$S1222,L_Status,"Vastgesteld")+1))</f>
        <v/>
      </c>
      <c r="H1222" s="108" t="str">
        <f>IF($AG1222="","",P_Peildatum)</f>
        <v/>
      </c>
      <c r="I1222" s="92" t="str">
        <f>IF($AG1222="","",P_RJ+INDEX($AK$8:$AK$21,INDEX($AC$8:$AC$1407,$AG1222)+1))</f>
        <v/>
      </c>
      <c r="J1222" s="92" t="str">
        <f>IF($AG1222="","",INDEX(V_WBS,INDEX($AB$8:$AB$1407,$AG1222)))</f>
        <v/>
      </c>
      <c r="K1222" s="92" t="str">
        <f>IF($AG1222="","",INDEX(V_Projdef,INDEX($AB$8:$AB$1407,$AG1222)))</f>
        <v/>
      </c>
      <c r="L1222" s="92" t="str">
        <f>IF($AG1222="","",INDEX(V_Naam,INDEX($AB$8:$AB$1407,$AG1222)))</f>
        <v/>
      </c>
      <c r="M1222" s="92" t="str">
        <f>IF($AG1222="","",INDEX(V_Type,INDEX($AB$8:$AB$1407,$AG1222)))</f>
        <v/>
      </c>
      <c r="N1222" s="92" t="str">
        <f>IF($AG1222="","",INDEX(V_IFRS,INDEX($AB$8:$AB$1407,$AG1222)))</f>
        <v/>
      </c>
      <c r="O1222" s="92" t="str">
        <f>IF($AG1222="","",INDEX($AL$8:$AL$21,INDEX($AC$8:$AC$1407,$AG1222)+1))</f>
        <v/>
      </c>
      <c r="P1222" s="109" t="str">
        <f>IF($AG1222="","",INDEX($AD$8:$AD$1407,$AG1222))</f>
        <v/>
      </c>
      <c r="Q1222" s="92" t="str">
        <f>IF($AG1222="","",INDEX($AM$8:$AM$21,INDEX($AC$8:$AC$1407,$AG1222)+1))</f>
        <v/>
      </c>
      <c r="R1222" s="92" t="str">
        <f>IF($AG1222="","",IF($G1222&gt;0,P_ToelCorrectie&amp;"",""))</f>
        <v/>
      </c>
      <c r="S1222" s="15" t="str">
        <f>IF(J1222="","",J1222&amp;"|"&amp;E1222&amp;"|"&amp;F1222&amp;"|"&amp;I1222&amp;"|"&amp;O1222)</f>
        <v/>
      </c>
      <c r="T1222" s="111" t="str">
        <f>IF(S1222="","",IF(COUNTIFS(L_Sleutel,S1222,L_Actief,1)=0,"",SUMIFS(L_Waarde,L_Sleutel,S1222,L_Actief,1)))</f>
        <v/>
      </c>
      <c r="U1222" s="111">
        <f>IF(OR(S1222="",T1222=""),0,P1222-T1222)</f>
        <v>0</v>
      </c>
      <c r="AB1222" s="112" t="n">
        <v>87</v>
      </c>
      <c r="AC1222" s="112" t="n">
        <v>10</v>
      </c>
      <c r="AD1222" s="112" t="str">
        <f>VERW_Project!BS92</f>
        <v/>
      </c>
      <c r="AE1222" s="112">
        <f>IF(AND(VERW_Project!$A92&lt;&gt;"",ISNUMBER(AD1222)),1,0)</f>
        <v>0</v>
      </c>
      <c r="AF1222" s="112" t="str">
        <f>IF(AE1222=1,SUM($AE$8:AE1222),"")</f>
        <v/>
      </c>
      <c r="AG1222" t="str">
        <f>IFERROR(MATCH(1215,$AF$8:$AF$1407,0),"")</f>
        <v/>
      </c>
    </row>
    <row r="1223">
      <c r="A1223" s="92" t="str">
        <f>IF($AG1223="","",P_ImportID)</f>
        <v/>
      </c>
      <c r="B1223" s="92" t="str">
        <f>IF($AG1223="","",IF(INDEX($AN$8:$AN$21,INDEX($AC$8:$AC$1407,$AG1223)+1)="Z",P_BronZ,P_BronE))</f>
        <v/>
      </c>
      <c r="C1223" s="108" t="str">
        <f>IF($AG1223="","",P_Importdatum)</f>
        <v/>
      </c>
      <c r="D1223" s="92" t="str">
        <f>IF($AG1223="","",P_StatusVastleg)</f>
        <v/>
      </c>
      <c r="E1223" s="92" t="str">
        <f>IF($AG1223="","",P_UploadVJ)</f>
        <v/>
      </c>
      <c r="F1223" s="92" t="str">
        <f>IF($AG1223="","",P_UploadVersie)</f>
        <v/>
      </c>
      <c r="G1223" s="92" t="str">
        <f>IF($AG1223="","",IF(COUNTIFS(L_Sleutel,$S1223,L_Status,"Vastgesteld")=0,0,_xlfn.MAXIFS(L_Revisie,L_Sleutel,$S1223,L_Status,"Vastgesteld")+1))</f>
        <v/>
      </c>
      <c r="H1223" s="108" t="str">
        <f>IF($AG1223="","",P_Peildatum)</f>
        <v/>
      </c>
      <c r="I1223" s="92" t="str">
        <f>IF($AG1223="","",P_RJ+INDEX($AK$8:$AK$21,INDEX($AC$8:$AC$1407,$AG1223)+1))</f>
        <v/>
      </c>
      <c r="J1223" s="92" t="str">
        <f>IF($AG1223="","",INDEX(V_WBS,INDEX($AB$8:$AB$1407,$AG1223)))</f>
        <v/>
      </c>
      <c r="K1223" s="92" t="str">
        <f>IF($AG1223="","",INDEX(V_Projdef,INDEX($AB$8:$AB$1407,$AG1223)))</f>
        <v/>
      </c>
      <c r="L1223" s="92" t="str">
        <f>IF($AG1223="","",INDEX(V_Naam,INDEX($AB$8:$AB$1407,$AG1223)))</f>
        <v/>
      </c>
      <c r="M1223" s="92" t="str">
        <f>IF($AG1223="","",INDEX(V_Type,INDEX($AB$8:$AB$1407,$AG1223)))</f>
        <v/>
      </c>
      <c r="N1223" s="92" t="str">
        <f>IF($AG1223="","",INDEX(V_IFRS,INDEX($AB$8:$AB$1407,$AG1223)))</f>
        <v/>
      </c>
      <c r="O1223" s="92" t="str">
        <f>IF($AG1223="","",INDEX($AL$8:$AL$21,INDEX($AC$8:$AC$1407,$AG1223)+1))</f>
        <v/>
      </c>
      <c r="P1223" s="109" t="str">
        <f>IF($AG1223="","",INDEX($AD$8:$AD$1407,$AG1223))</f>
        <v/>
      </c>
      <c r="Q1223" s="92" t="str">
        <f>IF($AG1223="","",INDEX($AM$8:$AM$21,INDEX($AC$8:$AC$1407,$AG1223)+1))</f>
        <v/>
      </c>
      <c r="R1223" s="92" t="str">
        <f>IF($AG1223="","",IF($G1223&gt;0,P_ToelCorrectie&amp;"",""))</f>
        <v/>
      </c>
      <c r="S1223" s="15" t="str">
        <f>IF(J1223="","",J1223&amp;"|"&amp;E1223&amp;"|"&amp;F1223&amp;"|"&amp;I1223&amp;"|"&amp;O1223)</f>
        <v/>
      </c>
      <c r="T1223" s="111" t="str">
        <f>IF(S1223="","",IF(COUNTIFS(L_Sleutel,S1223,L_Actief,1)=0,"",SUMIFS(L_Waarde,L_Sleutel,S1223,L_Actief,1)))</f>
        <v/>
      </c>
      <c r="U1223" s="111">
        <f>IF(OR(S1223="",T1223=""),0,P1223-T1223)</f>
        <v>0</v>
      </c>
      <c r="AB1223" s="112" t="n">
        <v>87</v>
      </c>
      <c r="AC1223" s="112" t="n">
        <v>11</v>
      </c>
      <c r="AD1223" s="112" t="str">
        <f>VERW_Project!BT92</f>
        <v/>
      </c>
      <c r="AE1223" s="112">
        <f>IF(AND(VERW_Project!$A92&lt;&gt;"",ISNUMBER(AD1223)),1,0)</f>
        <v>0</v>
      </c>
      <c r="AF1223" s="112" t="str">
        <f>IF(AE1223=1,SUM($AE$8:AE1223),"")</f>
        <v/>
      </c>
      <c r="AG1223" t="str">
        <f>IFERROR(MATCH(1216,$AF$8:$AF$1407,0),"")</f>
        <v/>
      </c>
    </row>
    <row r="1224">
      <c r="A1224" s="92" t="str">
        <f>IF($AG1224="","",P_ImportID)</f>
        <v/>
      </c>
      <c r="B1224" s="92" t="str">
        <f>IF($AG1224="","",IF(INDEX($AN$8:$AN$21,INDEX($AC$8:$AC$1407,$AG1224)+1)="Z",P_BronZ,P_BronE))</f>
        <v/>
      </c>
      <c r="C1224" s="108" t="str">
        <f>IF($AG1224="","",P_Importdatum)</f>
        <v/>
      </c>
      <c r="D1224" s="92" t="str">
        <f>IF($AG1224="","",P_StatusVastleg)</f>
        <v/>
      </c>
      <c r="E1224" s="92" t="str">
        <f>IF($AG1224="","",P_UploadVJ)</f>
        <v/>
      </c>
      <c r="F1224" s="92" t="str">
        <f>IF($AG1224="","",P_UploadVersie)</f>
        <v/>
      </c>
      <c r="G1224" s="92" t="str">
        <f>IF($AG1224="","",IF(COUNTIFS(L_Sleutel,$S1224,L_Status,"Vastgesteld")=0,0,_xlfn.MAXIFS(L_Revisie,L_Sleutel,$S1224,L_Status,"Vastgesteld")+1))</f>
        <v/>
      </c>
      <c r="H1224" s="108" t="str">
        <f>IF($AG1224="","",P_Peildatum)</f>
        <v/>
      </c>
      <c r="I1224" s="92" t="str">
        <f>IF($AG1224="","",P_RJ+INDEX($AK$8:$AK$21,INDEX($AC$8:$AC$1407,$AG1224)+1))</f>
        <v/>
      </c>
      <c r="J1224" s="92" t="str">
        <f>IF($AG1224="","",INDEX(V_WBS,INDEX($AB$8:$AB$1407,$AG1224)))</f>
        <v/>
      </c>
      <c r="K1224" s="92" t="str">
        <f>IF($AG1224="","",INDEX(V_Projdef,INDEX($AB$8:$AB$1407,$AG1224)))</f>
        <v/>
      </c>
      <c r="L1224" s="92" t="str">
        <f>IF($AG1224="","",INDEX(V_Naam,INDEX($AB$8:$AB$1407,$AG1224)))</f>
        <v/>
      </c>
      <c r="M1224" s="92" t="str">
        <f>IF($AG1224="","",INDEX(V_Type,INDEX($AB$8:$AB$1407,$AG1224)))</f>
        <v/>
      </c>
      <c r="N1224" s="92" t="str">
        <f>IF($AG1224="","",INDEX(V_IFRS,INDEX($AB$8:$AB$1407,$AG1224)))</f>
        <v/>
      </c>
      <c r="O1224" s="92" t="str">
        <f>IF($AG1224="","",INDEX($AL$8:$AL$21,INDEX($AC$8:$AC$1407,$AG1224)+1))</f>
        <v/>
      </c>
      <c r="P1224" s="109" t="str">
        <f>IF($AG1224="","",INDEX($AD$8:$AD$1407,$AG1224))</f>
        <v/>
      </c>
      <c r="Q1224" s="92" t="str">
        <f>IF($AG1224="","",INDEX($AM$8:$AM$21,INDEX($AC$8:$AC$1407,$AG1224)+1))</f>
        <v/>
      </c>
      <c r="R1224" s="92" t="str">
        <f>IF($AG1224="","",IF($G1224&gt;0,P_ToelCorrectie&amp;"",""))</f>
        <v/>
      </c>
      <c r="S1224" s="15" t="str">
        <f>IF(J1224="","",J1224&amp;"|"&amp;E1224&amp;"|"&amp;F1224&amp;"|"&amp;I1224&amp;"|"&amp;O1224)</f>
        <v/>
      </c>
      <c r="T1224" s="111" t="str">
        <f>IF(S1224="","",IF(COUNTIFS(L_Sleutel,S1224,L_Actief,1)=0,"",SUMIFS(L_Waarde,L_Sleutel,S1224,L_Actief,1)))</f>
        <v/>
      </c>
      <c r="U1224" s="111">
        <f>IF(OR(S1224="",T1224=""),0,P1224-T1224)</f>
        <v>0</v>
      </c>
      <c r="AB1224" s="112" t="n">
        <v>87</v>
      </c>
      <c r="AC1224" s="112" t="n">
        <v>12</v>
      </c>
      <c r="AD1224" s="112" t="str">
        <f>VERW_Project!BU92</f>
        <v/>
      </c>
      <c r="AE1224" s="112">
        <f>IF(AND(VERW_Project!$A92&lt;&gt;"",ISNUMBER(AD1224)),1,0)</f>
        <v>0</v>
      </c>
      <c r="AF1224" s="112" t="str">
        <f>IF(AE1224=1,SUM($AE$8:AE1224),"")</f>
        <v/>
      </c>
      <c r="AG1224" t="str">
        <f>IFERROR(MATCH(1217,$AF$8:$AF$1407,0),"")</f>
        <v/>
      </c>
    </row>
    <row r="1225">
      <c r="A1225" s="92" t="str">
        <f>IF($AG1225="","",P_ImportID)</f>
        <v/>
      </c>
      <c r="B1225" s="92" t="str">
        <f>IF($AG1225="","",IF(INDEX($AN$8:$AN$21,INDEX($AC$8:$AC$1407,$AG1225)+1)="Z",P_BronZ,P_BronE))</f>
        <v/>
      </c>
      <c r="C1225" s="108" t="str">
        <f>IF($AG1225="","",P_Importdatum)</f>
        <v/>
      </c>
      <c r="D1225" s="92" t="str">
        <f>IF($AG1225="","",P_StatusVastleg)</f>
        <v/>
      </c>
      <c r="E1225" s="92" t="str">
        <f>IF($AG1225="","",P_UploadVJ)</f>
        <v/>
      </c>
      <c r="F1225" s="92" t="str">
        <f>IF($AG1225="","",P_UploadVersie)</f>
        <v/>
      </c>
      <c r="G1225" s="92" t="str">
        <f>IF($AG1225="","",IF(COUNTIFS(L_Sleutel,$S1225,L_Status,"Vastgesteld")=0,0,_xlfn.MAXIFS(L_Revisie,L_Sleutel,$S1225,L_Status,"Vastgesteld")+1))</f>
        <v/>
      </c>
      <c r="H1225" s="108" t="str">
        <f>IF($AG1225="","",P_Peildatum)</f>
        <v/>
      </c>
      <c r="I1225" s="92" t="str">
        <f>IF($AG1225="","",P_RJ+INDEX($AK$8:$AK$21,INDEX($AC$8:$AC$1407,$AG1225)+1))</f>
        <v/>
      </c>
      <c r="J1225" s="92" t="str">
        <f>IF($AG1225="","",INDEX(V_WBS,INDEX($AB$8:$AB$1407,$AG1225)))</f>
        <v/>
      </c>
      <c r="K1225" s="92" t="str">
        <f>IF($AG1225="","",INDEX(V_Projdef,INDEX($AB$8:$AB$1407,$AG1225)))</f>
        <v/>
      </c>
      <c r="L1225" s="92" t="str">
        <f>IF($AG1225="","",INDEX(V_Naam,INDEX($AB$8:$AB$1407,$AG1225)))</f>
        <v/>
      </c>
      <c r="M1225" s="92" t="str">
        <f>IF($AG1225="","",INDEX(V_Type,INDEX($AB$8:$AB$1407,$AG1225)))</f>
        <v/>
      </c>
      <c r="N1225" s="92" t="str">
        <f>IF($AG1225="","",INDEX(V_IFRS,INDEX($AB$8:$AB$1407,$AG1225)))</f>
        <v/>
      </c>
      <c r="O1225" s="92" t="str">
        <f>IF($AG1225="","",INDEX($AL$8:$AL$21,INDEX($AC$8:$AC$1407,$AG1225)+1))</f>
        <v/>
      </c>
      <c r="P1225" s="109" t="str">
        <f>IF($AG1225="","",INDEX($AD$8:$AD$1407,$AG1225))</f>
        <v/>
      </c>
      <c r="Q1225" s="92" t="str">
        <f>IF($AG1225="","",INDEX($AM$8:$AM$21,INDEX($AC$8:$AC$1407,$AG1225)+1))</f>
        <v/>
      </c>
      <c r="R1225" s="92" t="str">
        <f>IF($AG1225="","",IF($G1225&gt;0,P_ToelCorrectie&amp;"",""))</f>
        <v/>
      </c>
      <c r="S1225" s="15" t="str">
        <f>IF(J1225="","",J1225&amp;"|"&amp;E1225&amp;"|"&amp;F1225&amp;"|"&amp;I1225&amp;"|"&amp;O1225)</f>
        <v/>
      </c>
      <c r="T1225" s="111" t="str">
        <f>IF(S1225="","",IF(COUNTIFS(L_Sleutel,S1225,L_Actief,1)=0,"",SUMIFS(L_Waarde,L_Sleutel,S1225,L_Actief,1)))</f>
        <v/>
      </c>
      <c r="U1225" s="111">
        <f>IF(OR(S1225="",T1225=""),0,P1225-T1225)</f>
        <v>0</v>
      </c>
      <c r="AB1225" s="112" t="n">
        <v>87</v>
      </c>
      <c r="AC1225" s="112" t="n">
        <v>13</v>
      </c>
      <c r="AD1225" s="112" t="str">
        <f>VERW_Project!BX92</f>
        <v/>
      </c>
      <c r="AE1225" s="112">
        <f>IF(AND(VERW_Project!$A92&lt;&gt;"",ISNUMBER(AD1225)),1,0)</f>
        <v>0</v>
      </c>
      <c r="AF1225" s="112" t="str">
        <f>IF(AE1225=1,SUM($AE$8:AE1225),"")</f>
        <v/>
      </c>
      <c r="AG1225" t="str">
        <f>IFERROR(MATCH(1218,$AF$8:$AF$1407,0),"")</f>
        <v/>
      </c>
    </row>
    <row r="1226">
      <c r="A1226" s="92" t="str">
        <f>IF($AG1226="","",P_ImportID)</f>
        <v/>
      </c>
      <c r="B1226" s="92" t="str">
        <f>IF($AG1226="","",IF(INDEX($AN$8:$AN$21,INDEX($AC$8:$AC$1407,$AG1226)+1)="Z",P_BronZ,P_BronE))</f>
        <v/>
      </c>
      <c r="C1226" s="108" t="str">
        <f>IF($AG1226="","",P_Importdatum)</f>
        <v/>
      </c>
      <c r="D1226" s="92" t="str">
        <f>IF($AG1226="","",P_StatusVastleg)</f>
        <v/>
      </c>
      <c r="E1226" s="92" t="str">
        <f>IF($AG1226="","",P_UploadVJ)</f>
        <v/>
      </c>
      <c r="F1226" s="92" t="str">
        <f>IF($AG1226="","",P_UploadVersie)</f>
        <v/>
      </c>
      <c r="G1226" s="92" t="str">
        <f>IF($AG1226="","",IF(COUNTIFS(L_Sleutel,$S1226,L_Status,"Vastgesteld")=0,0,_xlfn.MAXIFS(L_Revisie,L_Sleutel,$S1226,L_Status,"Vastgesteld")+1))</f>
        <v/>
      </c>
      <c r="H1226" s="108" t="str">
        <f>IF($AG1226="","",P_Peildatum)</f>
        <v/>
      </c>
      <c r="I1226" s="92" t="str">
        <f>IF($AG1226="","",P_RJ+INDEX($AK$8:$AK$21,INDEX($AC$8:$AC$1407,$AG1226)+1))</f>
        <v/>
      </c>
      <c r="J1226" s="92" t="str">
        <f>IF($AG1226="","",INDEX(V_WBS,INDEX($AB$8:$AB$1407,$AG1226)))</f>
        <v/>
      </c>
      <c r="K1226" s="92" t="str">
        <f>IF($AG1226="","",INDEX(V_Projdef,INDEX($AB$8:$AB$1407,$AG1226)))</f>
        <v/>
      </c>
      <c r="L1226" s="92" t="str">
        <f>IF($AG1226="","",INDEX(V_Naam,INDEX($AB$8:$AB$1407,$AG1226)))</f>
        <v/>
      </c>
      <c r="M1226" s="92" t="str">
        <f>IF($AG1226="","",INDEX(V_Type,INDEX($AB$8:$AB$1407,$AG1226)))</f>
        <v/>
      </c>
      <c r="N1226" s="92" t="str">
        <f>IF($AG1226="","",INDEX(V_IFRS,INDEX($AB$8:$AB$1407,$AG1226)))</f>
        <v/>
      </c>
      <c r="O1226" s="92" t="str">
        <f>IF($AG1226="","",INDEX($AL$8:$AL$21,INDEX($AC$8:$AC$1407,$AG1226)+1))</f>
        <v/>
      </c>
      <c r="P1226" s="109" t="str">
        <f>IF($AG1226="","",INDEX($AD$8:$AD$1407,$AG1226))</f>
        <v/>
      </c>
      <c r="Q1226" s="92" t="str">
        <f>IF($AG1226="","",INDEX($AM$8:$AM$21,INDEX($AC$8:$AC$1407,$AG1226)+1))</f>
        <v/>
      </c>
      <c r="R1226" s="92" t="str">
        <f>IF($AG1226="","",IF($G1226&gt;0,P_ToelCorrectie&amp;"",""))</f>
        <v/>
      </c>
      <c r="S1226" s="15" t="str">
        <f>IF(J1226="","",J1226&amp;"|"&amp;E1226&amp;"|"&amp;F1226&amp;"|"&amp;I1226&amp;"|"&amp;O1226)</f>
        <v/>
      </c>
      <c r="T1226" s="111" t="str">
        <f>IF(S1226="","",IF(COUNTIFS(L_Sleutel,S1226,L_Actief,1)=0,"",SUMIFS(L_Waarde,L_Sleutel,S1226,L_Actief,1)))</f>
        <v/>
      </c>
      <c r="U1226" s="111">
        <f>IF(OR(S1226="",T1226=""),0,P1226-T1226)</f>
        <v>0</v>
      </c>
      <c r="AB1226" s="112" t="n">
        <v>88</v>
      </c>
      <c r="AC1226" s="112" t="n">
        <v>0</v>
      </c>
      <c r="AD1226" s="112" t="str">
        <f>VERW_Project!P93</f>
        <v/>
      </c>
      <c r="AE1226" s="112">
        <f>IF(AND(VERW_Project!$A93&lt;&gt;"",ISNUMBER(AD1226)),1,0)</f>
        <v>0</v>
      </c>
      <c r="AF1226" s="112" t="str">
        <f>IF(AE1226=1,SUM($AE$8:AE1226),"")</f>
        <v/>
      </c>
      <c r="AG1226" t="str">
        <f>IFERROR(MATCH(1219,$AF$8:$AF$1407,0),"")</f>
        <v/>
      </c>
    </row>
    <row r="1227">
      <c r="A1227" s="92" t="str">
        <f>IF($AG1227="","",P_ImportID)</f>
        <v/>
      </c>
      <c r="B1227" s="92" t="str">
        <f>IF($AG1227="","",IF(INDEX($AN$8:$AN$21,INDEX($AC$8:$AC$1407,$AG1227)+1)="Z",P_BronZ,P_BronE))</f>
        <v/>
      </c>
      <c r="C1227" s="108" t="str">
        <f>IF($AG1227="","",P_Importdatum)</f>
        <v/>
      </c>
      <c r="D1227" s="92" t="str">
        <f>IF($AG1227="","",P_StatusVastleg)</f>
        <v/>
      </c>
      <c r="E1227" s="92" t="str">
        <f>IF($AG1227="","",P_UploadVJ)</f>
        <v/>
      </c>
      <c r="F1227" s="92" t="str">
        <f>IF($AG1227="","",P_UploadVersie)</f>
        <v/>
      </c>
      <c r="G1227" s="92" t="str">
        <f>IF($AG1227="","",IF(COUNTIFS(L_Sleutel,$S1227,L_Status,"Vastgesteld")=0,0,_xlfn.MAXIFS(L_Revisie,L_Sleutel,$S1227,L_Status,"Vastgesteld")+1))</f>
        <v/>
      </c>
      <c r="H1227" s="108" t="str">
        <f>IF($AG1227="","",P_Peildatum)</f>
        <v/>
      </c>
      <c r="I1227" s="92" t="str">
        <f>IF($AG1227="","",P_RJ+INDEX($AK$8:$AK$21,INDEX($AC$8:$AC$1407,$AG1227)+1))</f>
        <v/>
      </c>
      <c r="J1227" s="92" t="str">
        <f>IF($AG1227="","",INDEX(V_WBS,INDEX($AB$8:$AB$1407,$AG1227)))</f>
        <v/>
      </c>
      <c r="K1227" s="92" t="str">
        <f>IF($AG1227="","",INDEX(V_Projdef,INDEX($AB$8:$AB$1407,$AG1227)))</f>
        <v/>
      </c>
      <c r="L1227" s="92" t="str">
        <f>IF($AG1227="","",INDEX(V_Naam,INDEX($AB$8:$AB$1407,$AG1227)))</f>
        <v/>
      </c>
      <c r="M1227" s="92" t="str">
        <f>IF($AG1227="","",INDEX(V_Type,INDEX($AB$8:$AB$1407,$AG1227)))</f>
        <v/>
      </c>
      <c r="N1227" s="92" t="str">
        <f>IF($AG1227="","",INDEX(V_IFRS,INDEX($AB$8:$AB$1407,$AG1227)))</f>
        <v/>
      </c>
      <c r="O1227" s="92" t="str">
        <f>IF($AG1227="","",INDEX($AL$8:$AL$21,INDEX($AC$8:$AC$1407,$AG1227)+1))</f>
        <v/>
      </c>
      <c r="P1227" s="109" t="str">
        <f>IF($AG1227="","",INDEX($AD$8:$AD$1407,$AG1227))</f>
        <v/>
      </c>
      <c r="Q1227" s="92" t="str">
        <f>IF($AG1227="","",INDEX($AM$8:$AM$21,INDEX($AC$8:$AC$1407,$AG1227)+1))</f>
        <v/>
      </c>
      <c r="R1227" s="92" t="str">
        <f>IF($AG1227="","",IF($G1227&gt;0,P_ToelCorrectie&amp;"",""))</f>
        <v/>
      </c>
      <c r="S1227" s="15" t="str">
        <f>IF(J1227="","",J1227&amp;"|"&amp;E1227&amp;"|"&amp;F1227&amp;"|"&amp;I1227&amp;"|"&amp;O1227)</f>
        <v/>
      </c>
      <c r="T1227" s="111" t="str">
        <f>IF(S1227="","",IF(COUNTIFS(L_Sleutel,S1227,L_Actief,1)=0,"",SUMIFS(L_Waarde,L_Sleutel,S1227,L_Actief,1)))</f>
        <v/>
      </c>
      <c r="U1227" s="111">
        <f>IF(OR(S1227="",T1227=""),0,P1227-T1227)</f>
        <v>0</v>
      </c>
      <c r="AB1227" s="112" t="n">
        <v>88</v>
      </c>
      <c r="AC1227" s="112" t="n">
        <v>1</v>
      </c>
      <c r="AD1227" s="112" t="str">
        <f>VERW_Project!Q93</f>
        <v/>
      </c>
      <c r="AE1227" s="112">
        <f>IF(AND(VERW_Project!$A93&lt;&gt;"",ISNUMBER(AD1227)),1,0)</f>
        <v>0</v>
      </c>
      <c r="AF1227" s="112" t="str">
        <f>IF(AE1227=1,SUM($AE$8:AE1227),"")</f>
        <v/>
      </c>
      <c r="AG1227" t="str">
        <f>IFERROR(MATCH(1220,$AF$8:$AF$1407,0),"")</f>
        <v/>
      </c>
    </row>
    <row r="1228">
      <c r="A1228" s="92" t="str">
        <f>IF($AG1228="","",P_ImportID)</f>
        <v/>
      </c>
      <c r="B1228" s="92" t="str">
        <f>IF($AG1228="","",IF(INDEX($AN$8:$AN$21,INDEX($AC$8:$AC$1407,$AG1228)+1)="Z",P_BronZ,P_BronE))</f>
        <v/>
      </c>
      <c r="C1228" s="108" t="str">
        <f>IF($AG1228="","",P_Importdatum)</f>
        <v/>
      </c>
      <c r="D1228" s="92" t="str">
        <f>IF($AG1228="","",P_StatusVastleg)</f>
        <v/>
      </c>
      <c r="E1228" s="92" t="str">
        <f>IF($AG1228="","",P_UploadVJ)</f>
        <v/>
      </c>
      <c r="F1228" s="92" t="str">
        <f>IF($AG1228="","",P_UploadVersie)</f>
        <v/>
      </c>
      <c r="G1228" s="92" t="str">
        <f>IF($AG1228="","",IF(COUNTIFS(L_Sleutel,$S1228,L_Status,"Vastgesteld")=0,0,_xlfn.MAXIFS(L_Revisie,L_Sleutel,$S1228,L_Status,"Vastgesteld")+1))</f>
        <v/>
      </c>
      <c r="H1228" s="108" t="str">
        <f>IF($AG1228="","",P_Peildatum)</f>
        <v/>
      </c>
      <c r="I1228" s="92" t="str">
        <f>IF($AG1228="","",P_RJ+INDEX($AK$8:$AK$21,INDEX($AC$8:$AC$1407,$AG1228)+1))</f>
        <v/>
      </c>
      <c r="J1228" s="92" t="str">
        <f>IF($AG1228="","",INDEX(V_WBS,INDEX($AB$8:$AB$1407,$AG1228)))</f>
        <v/>
      </c>
      <c r="K1228" s="92" t="str">
        <f>IF($AG1228="","",INDEX(V_Projdef,INDEX($AB$8:$AB$1407,$AG1228)))</f>
        <v/>
      </c>
      <c r="L1228" s="92" t="str">
        <f>IF($AG1228="","",INDEX(V_Naam,INDEX($AB$8:$AB$1407,$AG1228)))</f>
        <v/>
      </c>
      <c r="M1228" s="92" t="str">
        <f>IF($AG1228="","",INDEX(V_Type,INDEX($AB$8:$AB$1407,$AG1228)))</f>
        <v/>
      </c>
      <c r="N1228" s="92" t="str">
        <f>IF($AG1228="","",INDEX(V_IFRS,INDEX($AB$8:$AB$1407,$AG1228)))</f>
        <v/>
      </c>
      <c r="O1228" s="92" t="str">
        <f>IF($AG1228="","",INDEX($AL$8:$AL$21,INDEX($AC$8:$AC$1407,$AG1228)+1))</f>
        <v/>
      </c>
      <c r="P1228" s="109" t="str">
        <f>IF($AG1228="","",INDEX($AD$8:$AD$1407,$AG1228))</f>
        <v/>
      </c>
      <c r="Q1228" s="92" t="str">
        <f>IF($AG1228="","",INDEX($AM$8:$AM$21,INDEX($AC$8:$AC$1407,$AG1228)+1))</f>
        <v/>
      </c>
      <c r="R1228" s="92" t="str">
        <f>IF($AG1228="","",IF($G1228&gt;0,P_ToelCorrectie&amp;"",""))</f>
        <v/>
      </c>
      <c r="S1228" s="15" t="str">
        <f>IF(J1228="","",J1228&amp;"|"&amp;E1228&amp;"|"&amp;F1228&amp;"|"&amp;I1228&amp;"|"&amp;O1228)</f>
        <v/>
      </c>
      <c r="T1228" s="111" t="str">
        <f>IF(S1228="","",IF(COUNTIFS(L_Sleutel,S1228,L_Actief,1)=0,"",SUMIFS(L_Waarde,L_Sleutel,S1228,L_Actief,1)))</f>
        <v/>
      </c>
      <c r="U1228" s="111">
        <f>IF(OR(S1228="",T1228=""),0,P1228-T1228)</f>
        <v>0</v>
      </c>
      <c r="AB1228" s="112" t="n">
        <v>88</v>
      </c>
      <c r="AC1228" s="112" t="n">
        <v>2</v>
      </c>
      <c r="AD1228" s="112" t="str">
        <f>VERW_Project!L93</f>
        <v/>
      </c>
      <c r="AE1228" s="112">
        <f>IF(AND(VERW_Project!$A93&lt;&gt;"",ISNUMBER(AD1228)),1,0)</f>
        <v>0</v>
      </c>
      <c r="AF1228" s="112" t="str">
        <f>IF(AE1228=1,SUM($AE$8:AE1228),"")</f>
        <v/>
      </c>
      <c r="AG1228" t="str">
        <f>IFERROR(MATCH(1221,$AF$8:$AF$1407,0),"")</f>
        <v/>
      </c>
    </row>
    <row r="1229">
      <c r="A1229" s="92" t="str">
        <f>IF($AG1229="","",P_ImportID)</f>
        <v/>
      </c>
      <c r="B1229" s="92" t="str">
        <f>IF($AG1229="","",IF(INDEX($AN$8:$AN$21,INDEX($AC$8:$AC$1407,$AG1229)+1)="Z",P_BronZ,P_BronE))</f>
        <v/>
      </c>
      <c r="C1229" s="108" t="str">
        <f>IF($AG1229="","",P_Importdatum)</f>
        <v/>
      </c>
      <c r="D1229" s="92" t="str">
        <f>IF($AG1229="","",P_StatusVastleg)</f>
        <v/>
      </c>
      <c r="E1229" s="92" t="str">
        <f>IF($AG1229="","",P_UploadVJ)</f>
        <v/>
      </c>
      <c r="F1229" s="92" t="str">
        <f>IF($AG1229="","",P_UploadVersie)</f>
        <v/>
      </c>
      <c r="G1229" s="92" t="str">
        <f>IF($AG1229="","",IF(COUNTIFS(L_Sleutel,$S1229,L_Status,"Vastgesteld")=0,0,_xlfn.MAXIFS(L_Revisie,L_Sleutel,$S1229,L_Status,"Vastgesteld")+1))</f>
        <v/>
      </c>
      <c r="H1229" s="108" t="str">
        <f>IF($AG1229="","",P_Peildatum)</f>
        <v/>
      </c>
      <c r="I1229" s="92" t="str">
        <f>IF($AG1229="","",P_RJ+INDEX($AK$8:$AK$21,INDEX($AC$8:$AC$1407,$AG1229)+1))</f>
        <v/>
      </c>
      <c r="J1229" s="92" t="str">
        <f>IF($AG1229="","",INDEX(V_WBS,INDEX($AB$8:$AB$1407,$AG1229)))</f>
        <v/>
      </c>
      <c r="K1229" s="92" t="str">
        <f>IF($AG1229="","",INDEX(V_Projdef,INDEX($AB$8:$AB$1407,$AG1229)))</f>
        <v/>
      </c>
      <c r="L1229" s="92" t="str">
        <f>IF($AG1229="","",INDEX(V_Naam,INDEX($AB$8:$AB$1407,$AG1229)))</f>
        <v/>
      </c>
      <c r="M1229" s="92" t="str">
        <f>IF($AG1229="","",INDEX(V_Type,INDEX($AB$8:$AB$1407,$AG1229)))</f>
        <v/>
      </c>
      <c r="N1229" s="92" t="str">
        <f>IF($AG1229="","",INDEX(V_IFRS,INDEX($AB$8:$AB$1407,$AG1229)))</f>
        <v/>
      </c>
      <c r="O1229" s="92" t="str">
        <f>IF($AG1229="","",INDEX($AL$8:$AL$21,INDEX($AC$8:$AC$1407,$AG1229)+1))</f>
        <v/>
      </c>
      <c r="P1229" s="109" t="str">
        <f>IF($AG1229="","",INDEX($AD$8:$AD$1407,$AG1229))</f>
        <v/>
      </c>
      <c r="Q1229" s="92" t="str">
        <f>IF($AG1229="","",INDEX($AM$8:$AM$21,INDEX($AC$8:$AC$1407,$AG1229)+1))</f>
        <v/>
      </c>
      <c r="R1229" s="92" t="str">
        <f>IF($AG1229="","",IF($G1229&gt;0,P_ToelCorrectie&amp;"",""))</f>
        <v/>
      </c>
      <c r="S1229" s="15" t="str">
        <f>IF(J1229="","",J1229&amp;"|"&amp;E1229&amp;"|"&amp;F1229&amp;"|"&amp;I1229&amp;"|"&amp;O1229)</f>
        <v/>
      </c>
      <c r="T1229" s="111" t="str">
        <f>IF(S1229="","",IF(COUNTIFS(L_Sleutel,S1229,L_Actief,1)=0,"",SUMIFS(L_Waarde,L_Sleutel,S1229,L_Actief,1)))</f>
        <v/>
      </c>
      <c r="U1229" s="111">
        <f>IF(OR(S1229="",T1229=""),0,P1229-T1229)</f>
        <v>0</v>
      </c>
      <c r="AB1229" s="112" t="n">
        <v>88</v>
      </c>
      <c r="AC1229" s="112" t="n">
        <v>3</v>
      </c>
      <c r="AD1229" s="112" t="str">
        <f>VERW_Project!M93</f>
        <v/>
      </c>
      <c r="AE1229" s="112">
        <f>IF(AND(VERW_Project!$A93&lt;&gt;"",ISNUMBER(AD1229)),1,0)</f>
        <v>0</v>
      </c>
      <c r="AF1229" s="112" t="str">
        <f>IF(AE1229=1,SUM($AE$8:AE1229),"")</f>
        <v/>
      </c>
      <c r="AG1229" t="str">
        <f>IFERROR(MATCH(1222,$AF$8:$AF$1407,0),"")</f>
        <v/>
      </c>
    </row>
    <row r="1230">
      <c r="A1230" s="92" t="str">
        <f>IF($AG1230="","",P_ImportID)</f>
        <v/>
      </c>
      <c r="B1230" s="92" t="str">
        <f>IF($AG1230="","",IF(INDEX($AN$8:$AN$21,INDEX($AC$8:$AC$1407,$AG1230)+1)="Z",P_BronZ,P_BronE))</f>
        <v/>
      </c>
      <c r="C1230" s="108" t="str">
        <f>IF($AG1230="","",P_Importdatum)</f>
        <v/>
      </c>
      <c r="D1230" s="92" t="str">
        <f>IF($AG1230="","",P_StatusVastleg)</f>
        <v/>
      </c>
      <c r="E1230" s="92" t="str">
        <f>IF($AG1230="","",P_UploadVJ)</f>
        <v/>
      </c>
      <c r="F1230" s="92" t="str">
        <f>IF($AG1230="","",P_UploadVersie)</f>
        <v/>
      </c>
      <c r="G1230" s="92" t="str">
        <f>IF($AG1230="","",IF(COUNTIFS(L_Sleutel,$S1230,L_Status,"Vastgesteld")=0,0,_xlfn.MAXIFS(L_Revisie,L_Sleutel,$S1230,L_Status,"Vastgesteld")+1))</f>
        <v/>
      </c>
      <c r="H1230" s="108" t="str">
        <f>IF($AG1230="","",P_Peildatum)</f>
        <v/>
      </c>
      <c r="I1230" s="92" t="str">
        <f>IF($AG1230="","",P_RJ+INDEX($AK$8:$AK$21,INDEX($AC$8:$AC$1407,$AG1230)+1))</f>
        <v/>
      </c>
      <c r="J1230" s="92" t="str">
        <f>IF($AG1230="","",INDEX(V_WBS,INDEX($AB$8:$AB$1407,$AG1230)))</f>
        <v/>
      </c>
      <c r="K1230" s="92" t="str">
        <f>IF($AG1230="","",INDEX(V_Projdef,INDEX($AB$8:$AB$1407,$AG1230)))</f>
        <v/>
      </c>
      <c r="L1230" s="92" t="str">
        <f>IF($AG1230="","",INDEX(V_Naam,INDEX($AB$8:$AB$1407,$AG1230)))</f>
        <v/>
      </c>
      <c r="M1230" s="92" t="str">
        <f>IF($AG1230="","",INDEX(V_Type,INDEX($AB$8:$AB$1407,$AG1230)))</f>
        <v/>
      </c>
      <c r="N1230" s="92" t="str">
        <f>IF($AG1230="","",INDEX(V_IFRS,INDEX($AB$8:$AB$1407,$AG1230)))</f>
        <v/>
      </c>
      <c r="O1230" s="92" t="str">
        <f>IF($AG1230="","",INDEX($AL$8:$AL$21,INDEX($AC$8:$AC$1407,$AG1230)+1))</f>
        <v/>
      </c>
      <c r="P1230" s="109" t="str">
        <f>IF($AG1230="","",INDEX($AD$8:$AD$1407,$AG1230))</f>
        <v/>
      </c>
      <c r="Q1230" s="92" t="str">
        <f>IF($AG1230="","",INDEX($AM$8:$AM$21,INDEX($AC$8:$AC$1407,$AG1230)+1))</f>
        <v/>
      </c>
      <c r="R1230" s="92" t="str">
        <f>IF($AG1230="","",IF($G1230&gt;0,P_ToelCorrectie&amp;"",""))</f>
        <v/>
      </c>
      <c r="S1230" s="15" t="str">
        <f>IF(J1230="","",J1230&amp;"|"&amp;E1230&amp;"|"&amp;F1230&amp;"|"&amp;I1230&amp;"|"&amp;O1230)</f>
        <v/>
      </c>
      <c r="T1230" s="111" t="str">
        <f>IF(S1230="","",IF(COUNTIFS(L_Sleutel,S1230,L_Actief,1)=0,"",SUMIFS(L_Waarde,L_Sleutel,S1230,L_Actief,1)))</f>
        <v/>
      </c>
      <c r="U1230" s="111">
        <f>IF(OR(S1230="",T1230=""),0,P1230-T1230)</f>
        <v>0</v>
      </c>
      <c r="AB1230" s="112" t="n">
        <v>88</v>
      </c>
      <c r="AC1230" s="112" t="n">
        <v>4</v>
      </c>
      <c r="AD1230" s="112" t="str">
        <f>VERW_Project!R93</f>
        <v/>
      </c>
      <c r="AE1230" s="112">
        <f>IF(AND(VERW_Project!$A93&lt;&gt;"",ISNUMBER(AD1230)),1,0)</f>
        <v>0</v>
      </c>
      <c r="AF1230" s="112" t="str">
        <f>IF(AE1230=1,SUM($AE$8:AE1230),"")</f>
        <v/>
      </c>
      <c r="AG1230" t="str">
        <f>IFERROR(MATCH(1223,$AF$8:$AF$1407,0),"")</f>
        <v/>
      </c>
    </row>
    <row r="1231">
      <c r="A1231" s="92" t="str">
        <f>IF($AG1231="","",P_ImportID)</f>
        <v/>
      </c>
      <c r="B1231" s="92" t="str">
        <f>IF($AG1231="","",IF(INDEX($AN$8:$AN$21,INDEX($AC$8:$AC$1407,$AG1231)+1)="Z",P_BronZ,P_BronE))</f>
        <v/>
      </c>
      <c r="C1231" s="108" t="str">
        <f>IF($AG1231="","",P_Importdatum)</f>
        <v/>
      </c>
      <c r="D1231" s="92" t="str">
        <f>IF($AG1231="","",P_StatusVastleg)</f>
        <v/>
      </c>
      <c r="E1231" s="92" t="str">
        <f>IF($AG1231="","",P_UploadVJ)</f>
        <v/>
      </c>
      <c r="F1231" s="92" t="str">
        <f>IF($AG1231="","",P_UploadVersie)</f>
        <v/>
      </c>
      <c r="G1231" s="92" t="str">
        <f>IF($AG1231="","",IF(COUNTIFS(L_Sleutel,$S1231,L_Status,"Vastgesteld")=0,0,_xlfn.MAXIFS(L_Revisie,L_Sleutel,$S1231,L_Status,"Vastgesteld")+1))</f>
        <v/>
      </c>
      <c r="H1231" s="108" t="str">
        <f>IF($AG1231="","",P_Peildatum)</f>
        <v/>
      </c>
      <c r="I1231" s="92" t="str">
        <f>IF($AG1231="","",P_RJ+INDEX($AK$8:$AK$21,INDEX($AC$8:$AC$1407,$AG1231)+1))</f>
        <v/>
      </c>
      <c r="J1231" s="92" t="str">
        <f>IF($AG1231="","",INDEX(V_WBS,INDEX($AB$8:$AB$1407,$AG1231)))</f>
        <v/>
      </c>
      <c r="K1231" s="92" t="str">
        <f>IF($AG1231="","",INDEX(V_Projdef,INDEX($AB$8:$AB$1407,$AG1231)))</f>
        <v/>
      </c>
      <c r="L1231" s="92" t="str">
        <f>IF($AG1231="","",INDEX(V_Naam,INDEX($AB$8:$AB$1407,$AG1231)))</f>
        <v/>
      </c>
      <c r="M1231" s="92" t="str">
        <f>IF($AG1231="","",INDEX(V_Type,INDEX($AB$8:$AB$1407,$AG1231)))</f>
        <v/>
      </c>
      <c r="N1231" s="92" t="str">
        <f>IF($AG1231="","",INDEX(V_IFRS,INDEX($AB$8:$AB$1407,$AG1231)))</f>
        <v/>
      </c>
      <c r="O1231" s="92" t="str">
        <f>IF($AG1231="","",INDEX($AL$8:$AL$21,INDEX($AC$8:$AC$1407,$AG1231)+1))</f>
        <v/>
      </c>
      <c r="P1231" s="109" t="str">
        <f>IF($AG1231="","",INDEX($AD$8:$AD$1407,$AG1231))</f>
        <v/>
      </c>
      <c r="Q1231" s="92" t="str">
        <f>IF($AG1231="","",INDEX($AM$8:$AM$21,INDEX($AC$8:$AC$1407,$AG1231)+1))</f>
        <v/>
      </c>
      <c r="R1231" s="92" t="str">
        <f>IF($AG1231="","",IF($G1231&gt;0,P_ToelCorrectie&amp;"",""))</f>
        <v/>
      </c>
      <c r="S1231" s="15" t="str">
        <f>IF(J1231="","",J1231&amp;"|"&amp;E1231&amp;"|"&amp;F1231&amp;"|"&amp;I1231&amp;"|"&amp;O1231)</f>
        <v/>
      </c>
      <c r="T1231" s="111" t="str">
        <f>IF(S1231="","",IF(COUNTIFS(L_Sleutel,S1231,L_Actief,1)=0,"",SUMIFS(L_Waarde,L_Sleutel,S1231,L_Actief,1)))</f>
        <v/>
      </c>
      <c r="U1231" s="111">
        <f>IF(OR(S1231="",T1231=""),0,P1231-T1231)</f>
        <v>0</v>
      </c>
      <c r="AB1231" s="112" t="n">
        <v>88</v>
      </c>
      <c r="AC1231" s="112" t="n">
        <v>5</v>
      </c>
      <c r="AD1231" s="112" t="str">
        <f>VERW_Project!S93</f>
        <v/>
      </c>
      <c r="AE1231" s="112">
        <f>IF(AND(VERW_Project!$A93&lt;&gt;"",ISNUMBER(AD1231)),1,0)</f>
        <v>0</v>
      </c>
      <c r="AF1231" s="112" t="str">
        <f>IF(AE1231=1,SUM($AE$8:AE1231),"")</f>
        <v/>
      </c>
      <c r="AG1231" t="str">
        <f>IFERROR(MATCH(1224,$AF$8:$AF$1407,0),"")</f>
        <v/>
      </c>
    </row>
    <row r="1232">
      <c r="A1232" s="92" t="str">
        <f>IF($AG1232="","",P_ImportID)</f>
        <v/>
      </c>
      <c r="B1232" s="92" t="str">
        <f>IF($AG1232="","",IF(INDEX($AN$8:$AN$21,INDEX($AC$8:$AC$1407,$AG1232)+1)="Z",P_BronZ,P_BronE))</f>
        <v/>
      </c>
      <c r="C1232" s="108" t="str">
        <f>IF($AG1232="","",P_Importdatum)</f>
        <v/>
      </c>
      <c r="D1232" s="92" t="str">
        <f>IF($AG1232="","",P_StatusVastleg)</f>
        <v/>
      </c>
      <c r="E1232" s="92" t="str">
        <f>IF($AG1232="","",P_UploadVJ)</f>
        <v/>
      </c>
      <c r="F1232" s="92" t="str">
        <f>IF($AG1232="","",P_UploadVersie)</f>
        <v/>
      </c>
      <c r="G1232" s="92" t="str">
        <f>IF($AG1232="","",IF(COUNTIFS(L_Sleutel,$S1232,L_Status,"Vastgesteld")=0,0,_xlfn.MAXIFS(L_Revisie,L_Sleutel,$S1232,L_Status,"Vastgesteld")+1))</f>
        <v/>
      </c>
      <c r="H1232" s="108" t="str">
        <f>IF($AG1232="","",P_Peildatum)</f>
        <v/>
      </c>
      <c r="I1232" s="92" t="str">
        <f>IF($AG1232="","",P_RJ+INDEX($AK$8:$AK$21,INDEX($AC$8:$AC$1407,$AG1232)+1))</f>
        <v/>
      </c>
      <c r="J1232" s="92" t="str">
        <f>IF($AG1232="","",INDEX(V_WBS,INDEX($AB$8:$AB$1407,$AG1232)))</f>
        <v/>
      </c>
      <c r="K1232" s="92" t="str">
        <f>IF($AG1232="","",INDEX(V_Projdef,INDEX($AB$8:$AB$1407,$AG1232)))</f>
        <v/>
      </c>
      <c r="L1232" s="92" t="str">
        <f>IF($AG1232="","",INDEX(V_Naam,INDEX($AB$8:$AB$1407,$AG1232)))</f>
        <v/>
      </c>
      <c r="M1232" s="92" t="str">
        <f>IF($AG1232="","",INDEX(V_Type,INDEX($AB$8:$AB$1407,$AG1232)))</f>
        <v/>
      </c>
      <c r="N1232" s="92" t="str">
        <f>IF($AG1232="","",INDEX(V_IFRS,INDEX($AB$8:$AB$1407,$AG1232)))</f>
        <v/>
      </c>
      <c r="O1232" s="92" t="str">
        <f>IF($AG1232="","",INDEX($AL$8:$AL$21,INDEX($AC$8:$AC$1407,$AG1232)+1))</f>
        <v/>
      </c>
      <c r="P1232" s="109" t="str">
        <f>IF($AG1232="","",INDEX($AD$8:$AD$1407,$AG1232))</f>
        <v/>
      </c>
      <c r="Q1232" s="92" t="str">
        <f>IF($AG1232="","",INDEX($AM$8:$AM$21,INDEX($AC$8:$AC$1407,$AG1232)+1))</f>
        <v/>
      </c>
      <c r="R1232" s="92" t="str">
        <f>IF($AG1232="","",IF($G1232&gt;0,P_ToelCorrectie&amp;"",""))</f>
        <v/>
      </c>
      <c r="S1232" s="15" t="str">
        <f>IF(J1232="","",J1232&amp;"|"&amp;E1232&amp;"|"&amp;F1232&amp;"|"&amp;I1232&amp;"|"&amp;O1232)</f>
        <v/>
      </c>
      <c r="T1232" s="111" t="str">
        <f>IF(S1232="","",IF(COUNTIFS(L_Sleutel,S1232,L_Actief,1)=0,"",SUMIFS(L_Waarde,L_Sleutel,S1232,L_Actief,1)))</f>
        <v/>
      </c>
      <c r="U1232" s="111">
        <f>IF(OR(S1232="",T1232=""),0,P1232-T1232)</f>
        <v>0</v>
      </c>
      <c r="AB1232" s="112" t="n">
        <v>88</v>
      </c>
      <c r="AC1232" s="112" t="n">
        <v>6</v>
      </c>
      <c r="AD1232" s="112" t="str">
        <f>VERW_Project!BW93</f>
        <v/>
      </c>
      <c r="AE1232" s="112">
        <f>IF(AND(VERW_Project!$A93&lt;&gt;"",ISNUMBER(AD1232)),1,0)</f>
        <v>0</v>
      </c>
      <c r="AF1232" s="112" t="str">
        <f>IF(AE1232=1,SUM($AE$8:AE1232),"")</f>
        <v/>
      </c>
      <c r="AG1232" t="str">
        <f>IFERROR(MATCH(1225,$AF$8:$AF$1407,0),"")</f>
        <v/>
      </c>
    </row>
    <row r="1233">
      <c r="A1233" s="92" t="str">
        <f>IF($AG1233="","",P_ImportID)</f>
        <v/>
      </c>
      <c r="B1233" s="92" t="str">
        <f>IF($AG1233="","",IF(INDEX($AN$8:$AN$21,INDEX($AC$8:$AC$1407,$AG1233)+1)="Z",P_BronZ,P_BronE))</f>
        <v/>
      </c>
      <c r="C1233" s="108" t="str">
        <f>IF($AG1233="","",P_Importdatum)</f>
        <v/>
      </c>
      <c r="D1233" s="92" t="str">
        <f>IF($AG1233="","",P_StatusVastleg)</f>
        <v/>
      </c>
      <c r="E1233" s="92" t="str">
        <f>IF($AG1233="","",P_UploadVJ)</f>
        <v/>
      </c>
      <c r="F1233" s="92" t="str">
        <f>IF($AG1233="","",P_UploadVersie)</f>
        <v/>
      </c>
      <c r="G1233" s="92" t="str">
        <f>IF($AG1233="","",IF(COUNTIFS(L_Sleutel,$S1233,L_Status,"Vastgesteld")=0,0,_xlfn.MAXIFS(L_Revisie,L_Sleutel,$S1233,L_Status,"Vastgesteld")+1))</f>
        <v/>
      </c>
      <c r="H1233" s="108" t="str">
        <f>IF($AG1233="","",P_Peildatum)</f>
        <v/>
      </c>
      <c r="I1233" s="92" t="str">
        <f>IF($AG1233="","",P_RJ+INDEX($AK$8:$AK$21,INDEX($AC$8:$AC$1407,$AG1233)+1))</f>
        <v/>
      </c>
      <c r="J1233" s="92" t="str">
        <f>IF($AG1233="","",INDEX(V_WBS,INDEX($AB$8:$AB$1407,$AG1233)))</f>
        <v/>
      </c>
      <c r="K1233" s="92" t="str">
        <f>IF($AG1233="","",INDEX(V_Projdef,INDEX($AB$8:$AB$1407,$AG1233)))</f>
        <v/>
      </c>
      <c r="L1233" s="92" t="str">
        <f>IF($AG1233="","",INDEX(V_Naam,INDEX($AB$8:$AB$1407,$AG1233)))</f>
        <v/>
      </c>
      <c r="M1233" s="92" t="str">
        <f>IF($AG1233="","",INDEX(V_Type,INDEX($AB$8:$AB$1407,$AG1233)))</f>
        <v/>
      </c>
      <c r="N1233" s="92" t="str">
        <f>IF($AG1233="","",INDEX(V_IFRS,INDEX($AB$8:$AB$1407,$AG1233)))</f>
        <v/>
      </c>
      <c r="O1233" s="92" t="str">
        <f>IF($AG1233="","",INDEX($AL$8:$AL$21,INDEX($AC$8:$AC$1407,$AG1233)+1))</f>
        <v/>
      </c>
      <c r="P1233" s="109" t="str">
        <f>IF($AG1233="","",INDEX($AD$8:$AD$1407,$AG1233))</f>
        <v/>
      </c>
      <c r="Q1233" s="92" t="str">
        <f>IF($AG1233="","",INDEX($AM$8:$AM$21,INDEX($AC$8:$AC$1407,$AG1233)+1))</f>
        <v/>
      </c>
      <c r="R1233" s="92" t="str">
        <f>IF($AG1233="","",IF($G1233&gt;0,P_ToelCorrectie&amp;"",""))</f>
        <v/>
      </c>
      <c r="S1233" s="15" t="str">
        <f>IF(J1233="","",J1233&amp;"|"&amp;E1233&amp;"|"&amp;F1233&amp;"|"&amp;I1233&amp;"|"&amp;O1233)</f>
        <v/>
      </c>
      <c r="T1233" s="111" t="str">
        <f>IF(S1233="","",IF(COUNTIFS(L_Sleutel,S1233,L_Actief,1)=0,"",SUMIFS(L_Waarde,L_Sleutel,S1233,L_Actief,1)))</f>
        <v/>
      </c>
      <c r="U1233" s="111">
        <f>IF(OR(S1233="",T1233=""),0,P1233-T1233)</f>
        <v>0</v>
      </c>
      <c r="AB1233" s="112" t="n">
        <v>88</v>
      </c>
      <c r="AC1233" s="112" t="n">
        <v>7</v>
      </c>
      <c r="AD1233" s="112" t="str">
        <f>VERW_Project!AW93</f>
        <v/>
      </c>
      <c r="AE1233" s="112">
        <f>IF(AND(VERW_Project!$A93&lt;&gt;"",ISNUMBER(AD1233)),1,0)</f>
        <v>0</v>
      </c>
      <c r="AF1233" s="112" t="str">
        <f>IF(AE1233=1,SUM($AE$8:AE1233),"")</f>
        <v/>
      </c>
      <c r="AG1233" t="str">
        <f>IFERROR(MATCH(1226,$AF$8:$AF$1407,0),"")</f>
        <v/>
      </c>
    </row>
    <row r="1234">
      <c r="A1234" s="92" t="str">
        <f>IF($AG1234="","",P_ImportID)</f>
        <v/>
      </c>
      <c r="B1234" s="92" t="str">
        <f>IF($AG1234="","",IF(INDEX($AN$8:$AN$21,INDEX($AC$8:$AC$1407,$AG1234)+1)="Z",P_BronZ,P_BronE))</f>
        <v/>
      </c>
      <c r="C1234" s="108" t="str">
        <f>IF($AG1234="","",P_Importdatum)</f>
        <v/>
      </c>
      <c r="D1234" s="92" t="str">
        <f>IF($AG1234="","",P_StatusVastleg)</f>
        <v/>
      </c>
      <c r="E1234" s="92" t="str">
        <f>IF($AG1234="","",P_UploadVJ)</f>
        <v/>
      </c>
      <c r="F1234" s="92" t="str">
        <f>IF($AG1234="","",P_UploadVersie)</f>
        <v/>
      </c>
      <c r="G1234" s="92" t="str">
        <f>IF($AG1234="","",IF(COUNTIFS(L_Sleutel,$S1234,L_Status,"Vastgesteld")=0,0,_xlfn.MAXIFS(L_Revisie,L_Sleutel,$S1234,L_Status,"Vastgesteld")+1))</f>
        <v/>
      </c>
      <c r="H1234" s="108" t="str">
        <f>IF($AG1234="","",P_Peildatum)</f>
        <v/>
      </c>
      <c r="I1234" s="92" t="str">
        <f>IF($AG1234="","",P_RJ+INDEX($AK$8:$AK$21,INDEX($AC$8:$AC$1407,$AG1234)+1))</f>
        <v/>
      </c>
      <c r="J1234" s="92" t="str">
        <f>IF($AG1234="","",INDEX(V_WBS,INDEX($AB$8:$AB$1407,$AG1234)))</f>
        <v/>
      </c>
      <c r="K1234" s="92" t="str">
        <f>IF($AG1234="","",INDEX(V_Projdef,INDEX($AB$8:$AB$1407,$AG1234)))</f>
        <v/>
      </c>
      <c r="L1234" s="92" t="str">
        <f>IF($AG1234="","",INDEX(V_Naam,INDEX($AB$8:$AB$1407,$AG1234)))</f>
        <v/>
      </c>
      <c r="M1234" s="92" t="str">
        <f>IF($AG1234="","",INDEX(V_Type,INDEX($AB$8:$AB$1407,$AG1234)))</f>
        <v/>
      </c>
      <c r="N1234" s="92" t="str">
        <f>IF($AG1234="","",INDEX(V_IFRS,INDEX($AB$8:$AB$1407,$AG1234)))</f>
        <v/>
      </c>
      <c r="O1234" s="92" t="str">
        <f>IF($AG1234="","",INDEX($AL$8:$AL$21,INDEX($AC$8:$AC$1407,$AG1234)+1))</f>
        <v/>
      </c>
      <c r="P1234" s="109" t="str">
        <f>IF($AG1234="","",INDEX($AD$8:$AD$1407,$AG1234))</f>
        <v/>
      </c>
      <c r="Q1234" s="92" t="str">
        <f>IF($AG1234="","",INDEX($AM$8:$AM$21,INDEX($AC$8:$AC$1407,$AG1234)+1))</f>
        <v/>
      </c>
      <c r="R1234" s="92" t="str">
        <f>IF($AG1234="","",IF($G1234&gt;0,P_ToelCorrectie&amp;"",""))</f>
        <v/>
      </c>
      <c r="S1234" s="15" t="str">
        <f>IF(J1234="","",J1234&amp;"|"&amp;E1234&amp;"|"&amp;F1234&amp;"|"&amp;I1234&amp;"|"&amp;O1234)</f>
        <v/>
      </c>
      <c r="T1234" s="111" t="str">
        <f>IF(S1234="","",IF(COUNTIFS(L_Sleutel,S1234,L_Actief,1)=0,"",SUMIFS(L_Waarde,L_Sleutel,S1234,L_Actief,1)))</f>
        <v/>
      </c>
      <c r="U1234" s="111">
        <f>IF(OR(S1234="",T1234=""),0,P1234-T1234)</f>
        <v>0</v>
      </c>
      <c r="AB1234" s="112" t="n">
        <v>88</v>
      </c>
      <c r="AC1234" s="112" t="n">
        <v>8</v>
      </c>
      <c r="AD1234" s="112" t="str">
        <f>VERW_Project!BQ93</f>
        <v/>
      </c>
      <c r="AE1234" s="112">
        <f>IF(AND(VERW_Project!$A93&lt;&gt;"",ISNUMBER(AD1234)),1,0)</f>
        <v>0</v>
      </c>
      <c r="AF1234" s="112" t="str">
        <f>IF(AE1234=1,SUM($AE$8:AE1234),"")</f>
        <v/>
      </c>
      <c r="AG1234" t="str">
        <f>IFERROR(MATCH(1227,$AF$8:$AF$1407,0),"")</f>
        <v/>
      </c>
    </row>
    <row r="1235">
      <c r="A1235" s="92" t="str">
        <f>IF($AG1235="","",P_ImportID)</f>
        <v/>
      </c>
      <c r="B1235" s="92" t="str">
        <f>IF($AG1235="","",IF(INDEX($AN$8:$AN$21,INDEX($AC$8:$AC$1407,$AG1235)+1)="Z",P_BronZ,P_BronE))</f>
        <v/>
      </c>
      <c r="C1235" s="108" t="str">
        <f>IF($AG1235="","",P_Importdatum)</f>
        <v/>
      </c>
      <c r="D1235" s="92" t="str">
        <f>IF($AG1235="","",P_StatusVastleg)</f>
        <v/>
      </c>
      <c r="E1235" s="92" t="str">
        <f>IF($AG1235="","",P_UploadVJ)</f>
        <v/>
      </c>
      <c r="F1235" s="92" t="str">
        <f>IF($AG1235="","",P_UploadVersie)</f>
        <v/>
      </c>
      <c r="G1235" s="92" t="str">
        <f>IF($AG1235="","",IF(COUNTIFS(L_Sleutel,$S1235,L_Status,"Vastgesteld")=0,0,_xlfn.MAXIFS(L_Revisie,L_Sleutel,$S1235,L_Status,"Vastgesteld")+1))</f>
        <v/>
      </c>
      <c r="H1235" s="108" t="str">
        <f>IF($AG1235="","",P_Peildatum)</f>
        <v/>
      </c>
      <c r="I1235" s="92" t="str">
        <f>IF($AG1235="","",P_RJ+INDEX($AK$8:$AK$21,INDEX($AC$8:$AC$1407,$AG1235)+1))</f>
        <v/>
      </c>
      <c r="J1235" s="92" t="str">
        <f>IF($AG1235="","",INDEX(V_WBS,INDEX($AB$8:$AB$1407,$AG1235)))</f>
        <v/>
      </c>
      <c r="K1235" s="92" t="str">
        <f>IF($AG1235="","",INDEX(V_Projdef,INDEX($AB$8:$AB$1407,$AG1235)))</f>
        <v/>
      </c>
      <c r="L1235" s="92" t="str">
        <f>IF($AG1235="","",INDEX(V_Naam,INDEX($AB$8:$AB$1407,$AG1235)))</f>
        <v/>
      </c>
      <c r="M1235" s="92" t="str">
        <f>IF($AG1235="","",INDEX(V_Type,INDEX($AB$8:$AB$1407,$AG1235)))</f>
        <v/>
      </c>
      <c r="N1235" s="92" t="str">
        <f>IF($AG1235="","",INDEX(V_IFRS,INDEX($AB$8:$AB$1407,$AG1235)))</f>
        <v/>
      </c>
      <c r="O1235" s="92" t="str">
        <f>IF($AG1235="","",INDEX($AL$8:$AL$21,INDEX($AC$8:$AC$1407,$AG1235)+1))</f>
        <v/>
      </c>
      <c r="P1235" s="109" t="str">
        <f>IF($AG1235="","",INDEX($AD$8:$AD$1407,$AG1235))</f>
        <v/>
      </c>
      <c r="Q1235" s="92" t="str">
        <f>IF($AG1235="","",INDEX($AM$8:$AM$21,INDEX($AC$8:$AC$1407,$AG1235)+1))</f>
        <v/>
      </c>
      <c r="R1235" s="92" t="str">
        <f>IF($AG1235="","",IF($G1235&gt;0,P_ToelCorrectie&amp;"",""))</f>
        <v/>
      </c>
      <c r="S1235" s="15" t="str">
        <f>IF(J1235="","",J1235&amp;"|"&amp;E1235&amp;"|"&amp;F1235&amp;"|"&amp;I1235&amp;"|"&amp;O1235)</f>
        <v/>
      </c>
      <c r="T1235" s="111" t="str">
        <f>IF(S1235="","",IF(COUNTIFS(L_Sleutel,S1235,L_Actief,1)=0,"",SUMIFS(L_Waarde,L_Sleutel,S1235,L_Actief,1)))</f>
        <v/>
      </c>
      <c r="U1235" s="111">
        <f>IF(OR(S1235="",T1235=""),0,P1235-T1235)</f>
        <v>0</v>
      </c>
      <c r="AB1235" s="112" t="n">
        <v>88</v>
      </c>
      <c r="AC1235" s="112" t="n">
        <v>9</v>
      </c>
      <c r="AD1235" s="112" t="str">
        <f>VERW_Project!BR93</f>
        <v/>
      </c>
      <c r="AE1235" s="112">
        <f>IF(AND(VERW_Project!$A93&lt;&gt;"",ISNUMBER(AD1235)),1,0)</f>
        <v>0</v>
      </c>
      <c r="AF1235" s="112" t="str">
        <f>IF(AE1235=1,SUM($AE$8:AE1235),"")</f>
        <v/>
      </c>
      <c r="AG1235" t="str">
        <f>IFERROR(MATCH(1228,$AF$8:$AF$1407,0),"")</f>
        <v/>
      </c>
    </row>
    <row r="1236">
      <c r="A1236" s="92" t="str">
        <f>IF($AG1236="","",P_ImportID)</f>
        <v/>
      </c>
      <c r="B1236" s="92" t="str">
        <f>IF($AG1236="","",IF(INDEX($AN$8:$AN$21,INDEX($AC$8:$AC$1407,$AG1236)+1)="Z",P_BronZ,P_BronE))</f>
        <v/>
      </c>
      <c r="C1236" s="108" t="str">
        <f>IF($AG1236="","",P_Importdatum)</f>
        <v/>
      </c>
      <c r="D1236" s="92" t="str">
        <f>IF($AG1236="","",P_StatusVastleg)</f>
        <v/>
      </c>
      <c r="E1236" s="92" t="str">
        <f>IF($AG1236="","",P_UploadVJ)</f>
        <v/>
      </c>
      <c r="F1236" s="92" t="str">
        <f>IF($AG1236="","",P_UploadVersie)</f>
        <v/>
      </c>
      <c r="G1236" s="92" t="str">
        <f>IF($AG1236="","",IF(COUNTIFS(L_Sleutel,$S1236,L_Status,"Vastgesteld")=0,0,_xlfn.MAXIFS(L_Revisie,L_Sleutel,$S1236,L_Status,"Vastgesteld")+1))</f>
        <v/>
      </c>
      <c r="H1236" s="108" t="str">
        <f>IF($AG1236="","",P_Peildatum)</f>
        <v/>
      </c>
      <c r="I1236" s="92" t="str">
        <f>IF($AG1236="","",P_RJ+INDEX($AK$8:$AK$21,INDEX($AC$8:$AC$1407,$AG1236)+1))</f>
        <v/>
      </c>
      <c r="J1236" s="92" t="str">
        <f>IF($AG1236="","",INDEX(V_WBS,INDEX($AB$8:$AB$1407,$AG1236)))</f>
        <v/>
      </c>
      <c r="K1236" s="92" t="str">
        <f>IF($AG1236="","",INDEX(V_Projdef,INDEX($AB$8:$AB$1407,$AG1236)))</f>
        <v/>
      </c>
      <c r="L1236" s="92" t="str">
        <f>IF($AG1236="","",INDEX(V_Naam,INDEX($AB$8:$AB$1407,$AG1236)))</f>
        <v/>
      </c>
      <c r="M1236" s="92" t="str">
        <f>IF($AG1236="","",INDEX(V_Type,INDEX($AB$8:$AB$1407,$AG1236)))</f>
        <v/>
      </c>
      <c r="N1236" s="92" t="str">
        <f>IF($AG1236="","",INDEX(V_IFRS,INDEX($AB$8:$AB$1407,$AG1236)))</f>
        <v/>
      </c>
      <c r="O1236" s="92" t="str">
        <f>IF($AG1236="","",INDEX($AL$8:$AL$21,INDEX($AC$8:$AC$1407,$AG1236)+1))</f>
        <v/>
      </c>
      <c r="P1236" s="109" t="str">
        <f>IF($AG1236="","",INDEX($AD$8:$AD$1407,$AG1236))</f>
        <v/>
      </c>
      <c r="Q1236" s="92" t="str">
        <f>IF($AG1236="","",INDEX($AM$8:$AM$21,INDEX($AC$8:$AC$1407,$AG1236)+1))</f>
        <v/>
      </c>
      <c r="R1236" s="92" t="str">
        <f>IF($AG1236="","",IF($G1236&gt;0,P_ToelCorrectie&amp;"",""))</f>
        <v/>
      </c>
      <c r="S1236" s="15" t="str">
        <f>IF(J1236="","",J1236&amp;"|"&amp;E1236&amp;"|"&amp;F1236&amp;"|"&amp;I1236&amp;"|"&amp;O1236)</f>
        <v/>
      </c>
      <c r="T1236" s="111" t="str">
        <f>IF(S1236="","",IF(COUNTIFS(L_Sleutel,S1236,L_Actief,1)=0,"",SUMIFS(L_Waarde,L_Sleutel,S1236,L_Actief,1)))</f>
        <v/>
      </c>
      <c r="U1236" s="111">
        <f>IF(OR(S1236="",T1236=""),0,P1236-T1236)</f>
        <v>0</v>
      </c>
      <c r="AB1236" s="112" t="n">
        <v>88</v>
      </c>
      <c r="AC1236" s="112" t="n">
        <v>10</v>
      </c>
      <c r="AD1236" s="112" t="str">
        <f>VERW_Project!BS93</f>
        <v/>
      </c>
      <c r="AE1236" s="112">
        <f>IF(AND(VERW_Project!$A93&lt;&gt;"",ISNUMBER(AD1236)),1,0)</f>
        <v>0</v>
      </c>
      <c r="AF1236" s="112" t="str">
        <f>IF(AE1236=1,SUM($AE$8:AE1236),"")</f>
        <v/>
      </c>
      <c r="AG1236" t="str">
        <f>IFERROR(MATCH(1229,$AF$8:$AF$1407,0),"")</f>
        <v/>
      </c>
    </row>
    <row r="1237">
      <c r="A1237" s="92" t="str">
        <f>IF($AG1237="","",P_ImportID)</f>
        <v/>
      </c>
      <c r="B1237" s="92" t="str">
        <f>IF($AG1237="","",IF(INDEX($AN$8:$AN$21,INDEX($AC$8:$AC$1407,$AG1237)+1)="Z",P_BronZ,P_BronE))</f>
        <v/>
      </c>
      <c r="C1237" s="108" t="str">
        <f>IF($AG1237="","",P_Importdatum)</f>
        <v/>
      </c>
      <c r="D1237" s="92" t="str">
        <f>IF($AG1237="","",P_StatusVastleg)</f>
        <v/>
      </c>
      <c r="E1237" s="92" t="str">
        <f>IF($AG1237="","",P_UploadVJ)</f>
        <v/>
      </c>
      <c r="F1237" s="92" t="str">
        <f>IF($AG1237="","",P_UploadVersie)</f>
        <v/>
      </c>
      <c r="G1237" s="92" t="str">
        <f>IF($AG1237="","",IF(COUNTIFS(L_Sleutel,$S1237,L_Status,"Vastgesteld")=0,0,_xlfn.MAXIFS(L_Revisie,L_Sleutel,$S1237,L_Status,"Vastgesteld")+1))</f>
        <v/>
      </c>
      <c r="H1237" s="108" t="str">
        <f>IF($AG1237="","",P_Peildatum)</f>
        <v/>
      </c>
      <c r="I1237" s="92" t="str">
        <f>IF($AG1237="","",P_RJ+INDEX($AK$8:$AK$21,INDEX($AC$8:$AC$1407,$AG1237)+1))</f>
        <v/>
      </c>
      <c r="J1237" s="92" t="str">
        <f>IF($AG1237="","",INDEX(V_WBS,INDEX($AB$8:$AB$1407,$AG1237)))</f>
        <v/>
      </c>
      <c r="K1237" s="92" t="str">
        <f>IF($AG1237="","",INDEX(V_Projdef,INDEX($AB$8:$AB$1407,$AG1237)))</f>
        <v/>
      </c>
      <c r="L1237" s="92" t="str">
        <f>IF($AG1237="","",INDEX(V_Naam,INDEX($AB$8:$AB$1407,$AG1237)))</f>
        <v/>
      </c>
      <c r="M1237" s="92" t="str">
        <f>IF($AG1237="","",INDEX(V_Type,INDEX($AB$8:$AB$1407,$AG1237)))</f>
        <v/>
      </c>
      <c r="N1237" s="92" t="str">
        <f>IF($AG1237="","",INDEX(V_IFRS,INDEX($AB$8:$AB$1407,$AG1237)))</f>
        <v/>
      </c>
      <c r="O1237" s="92" t="str">
        <f>IF($AG1237="","",INDEX($AL$8:$AL$21,INDEX($AC$8:$AC$1407,$AG1237)+1))</f>
        <v/>
      </c>
      <c r="P1237" s="109" t="str">
        <f>IF($AG1237="","",INDEX($AD$8:$AD$1407,$AG1237))</f>
        <v/>
      </c>
      <c r="Q1237" s="92" t="str">
        <f>IF($AG1237="","",INDEX($AM$8:$AM$21,INDEX($AC$8:$AC$1407,$AG1237)+1))</f>
        <v/>
      </c>
      <c r="R1237" s="92" t="str">
        <f>IF($AG1237="","",IF($G1237&gt;0,P_ToelCorrectie&amp;"",""))</f>
        <v/>
      </c>
      <c r="S1237" s="15" t="str">
        <f>IF(J1237="","",J1237&amp;"|"&amp;E1237&amp;"|"&amp;F1237&amp;"|"&amp;I1237&amp;"|"&amp;O1237)</f>
        <v/>
      </c>
      <c r="T1237" s="111" t="str">
        <f>IF(S1237="","",IF(COUNTIFS(L_Sleutel,S1237,L_Actief,1)=0,"",SUMIFS(L_Waarde,L_Sleutel,S1237,L_Actief,1)))</f>
        <v/>
      </c>
      <c r="U1237" s="111">
        <f>IF(OR(S1237="",T1237=""),0,P1237-T1237)</f>
        <v>0</v>
      </c>
      <c r="AB1237" s="112" t="n">
        <v>88</v>
      </c>
      <c r="AC1237" s="112" t="n">
        <v>11</v>
      </c>
      <c r="AD1237" s="112" t="str">
        <f>VERW_Project!BT93</f>
        <v/>
      </c>
      <c r="AE1237" s="112">
        <f>IF(AND(VERW_Project!$A93&lt;&gt;"",ISNUMBER(AD1237)),1,0)</f>
        <v>0</v>
      </c>
      <c r="AF1237" s="112" t="str">
        <f>IF(AE1237=1,SUM($AE$8:AE1237),"")</f>
        <v/>
      </c>
      <c r="AG1237" t="str">
        <f>IFERROR(MATCH(1230,$AF$8:$AF$1407,0),"")</f>
        <v/>
      </c>
    </row>
    <row r="1238">
      <c r="A1238" s="92" t="str">
        <f>IF($AG1238="","",P_ImportID)</f>
        <v/>
      </c>
      <c r="B1238" s="92" t="str">
        <f>IF($AG1238="","",IF(INDEX($AN$8:$AN$21,INDEX($AC$8:$AC$1407,$AG1238)+1)="Z",P_BronZ,P_BronE))</f>
        <v/>
      </c>
      <c r="C1238" s="108" t="str">
        <f>IF($AG1238="","",P_Importdatum)</f>
        <v/>
      </c>
      <c r="D1238" s="92" t="str">
        <f>IF($AG1238="","",P_StatusVastleg)</f>
        <v/>
      </c>
      <c r="E1238" s="92" t="str">
        <f>IF($AG1238="","",P_UploadVJ)</f>
        <v/>
      </c>
      <c r="F1238" s="92" t="str">
        <f>IF($AG1238="","",P_UploadVersie)</f>
        <v/>
      </c>
      <c r="G1238" s="92" t="str">
        <f>IF($AG1238="","",IF(COUNTIFS(L_Sleutel,$S1238,L_Status,"Vastgesteld")=0,0,_xlfn.MAXIFS(L_Revisie,L_Sleutel,$S1238,L_Status,"Vastgesteld")+1))</f>
        <v/>
      </c>
      <c r="H1238" s="108" t="str">
        <f>IF($AG1238="","",P_Peildatum)</f>
        <v/>
      </c>
      <c r="I1238" s="92" t="str">
        <f>IF($AG1238="","",P_RJ+INDEX($AK$8:$AK$21,INDEX($AC$8:$AC$1407,$AG1238)+1))</f>
        <v/>
      </c>
      <c r="J1238" s="92" t="str">
        <f>IF($AG1238="","",INDEX(V_WBS,INDEX($AB$8:$AB$1407,$AG1238)))</f>
        <v/>
      </c>
      <c r="K1238" s="92" t="str">
        <f>IF($AG1238="","",INDEX(V_Projdef,INDEX($AB$8:$AB$1407,$AG1238)))</f>
        <v/>
      </c>
      <c r="L1238" s="92" t="str">
        <f>IF($AG1238="","",INDEX(V_Naam,INDEX($AB$8:$AB$1407,$AG1238)))</f>
        <v/>
      </c>
      <c r="M1238" s="92" t="str">
        <f>IF($AG1238="","",INDEX(V_Type,INDEX($AB$8:$AB$1407,$AG1238)))</f>
        <v/>
      </c>
      <c r="N1238" s="92" t="str">
        <f>IF($AG1238="","",INDEX(V_IFRS,INDEX($AB$8:$AB$1407,$AG1238)))</f>
        <v/>
      </c>
      <c r="O1238" s="92" t="str">
        <f>IF($AG1238="","",INDEX($AL$8:$AL$21,INDEX($AC$8:$AC$1407,$AG1238)+1))</f>
        <v/>
      </c>
      <c r="P1238" s="109" t="str">
        <f>IF($AG1238="","",INDEX($AD$8:$AD$1407,$AG1238))</f>
        <v/>
      </c>
      <c r="Q1238" s="92" t="str">
        <f>IF($AG1238="","",INDEX($AM$8:$AM$21,INDEX($AC$8:$AC$1407,$AG1238)+1))</f>
        <v/>
      </c>
      <c r="R1238" s="92" t="str">
        <f>IF($AG1238="","",IF($G1238&gt;0,P_ToelCorrectie&amp;"",""))</f>
        <v/>
      </c>
      <c r="S1238" s="15" t="str">
        <f>IF(J1238="","",J1238&amp;"|"&amp;E1238&amp;"|"&amp;F1238&amp;"|"&amp;I1238&amp;"|"&amp;O1238)</f>
        <v/>
      </c>
      <c r="T1238" s="111" t="str">
        <f>IF(S1238="","",IF(COUNTIFS(L_Sleutel,S1238,L_Actief,1)=0,"",SUMIFS(L_Waarde,L_Sleutel,S1238,L_Actief,1)))</f>
        <v/>
      </c>
      <c r="U1238" s="111">
        <f>IF(OR(S1238="",T1238=""),0,P1238-T1238)</f>
        <v>0</v>
      </c>
      <c r="AB1238" s="112" t="n">
        <v>88</v>
      </c>
      <c r="AC1238" s="112" t="n">
        <v>12</v>
      </c>
      <c r="AD1238" s="112" t="str">
        <f>VERW_Project!BU93</f>
        <v/>
      </c>
      <c r="AE1238" s="112">
        <f>IF(AND(VERW_Project!$A93&lt;&gt;"",ISNUMBER(AD1238)),1,0)</f>
        <v>0</v>
      </c>
      <c r="AF1238" s="112" t="str">
        <f>IF(AE1238=1,SUM($AE$8:AE1238),"")</f>
        <v/>
      </c>
      <c r="AG1238" t="str">
        <f>IFERROR(MATCH(1231,$AF$8:$AF$1407,0),"")</f>
        <v/>
      </c>
    </row>
    <row r="1239">
      <c r="A1239" s="92" t="str">
        <f>IF($AG1239="","",P_ImportID)</f>
        <v/>
      </c>
      <c r="B1239" s="92" t="str">
        <f>IF($AG1239="","",IF(INDEX($AN$8:$AN$21,INDEX($AC$8:$AC$1407,$AG1239)+1)="Z",P_BronZ,P_BronE))</f>
        <v/>
      </c>
      <c r="C1239" s="108" t="str">
        <f>IF($AG1239="","",P_Importdatum)</f>
        <v/>
      </c>
      <c r="D1239" s="92" t="str">
        <f>IF($AG1239="","",P_StatusVastleg)</f>
        <v/>
      </c>
      <c r="E1239" s="92" t="str">
        <f>IF($AG1239="","",P_UploadVJ)</f>
        <v/>
      </c>
      <c r="F1239" s="92" t="str">
        <f>IF($AG1239="","",P_UploadVersie)</f>
        <v/>
      </c>
      <c r="G1239" s="92" t="str">
        <f>IF($AG1239="","",IF(COUNTIFS(L_Sleutel,$S1239,L_Status,"Vastgesteld")=0,0,_xlfn.MAXIFS(L_Revisie,L_Sleutel,$S1239,L_Status,"Vastgesteld")+1))</f>
        <v/>
      </c>
      <c r="H1239" s="108" t="str">
        <f>IF($AG1239="","",P_Peildatum)</f>
        <v/>
      </c>
      <c r="I1239" s="92" t="str">
        <f>IF($AG1239="","",P_RJ+INDEX($AK$8:$AK$21,INDEX($AC$8:$AC$1407,$AG1239)+1))</f>
        <v/>
      </c>
      <c r="J1239" s="92" t="str">
        <f>IF($AG1239="","",INDEX(V_WBS,INDEX($AB$8:$AB$1407,$AG1239)))</f>
        <v/>
      </c>
      <c r="K1239" s="92" t="str">
        <f>IF($AG1239="","",INDEX(V_Projdef,INDEX($AB$8:$AB$1407,$AG1239)))</f>
        <v/>
      </c>
      <c r="L1239" s="92" t="str">
        <f>IF($AG1239="","",INDEX(V_Naam,INDEX($AB$8:$AB$1407,$AG1239)))</f>
        <v/>
      </c>
      <c r="M1239" s="92" t="str">
        <f>IF($AG1239="","",INDEX(V_Type,INDEX($AB$8:$AB$1407,$AG1239)))</f>
        <v/>
      </c>
      <c r="N1239" s="92" t="str">
        <f>IF($AG1239="","",INDEX(V_IFRS,INDEX($AB$8:$AB$1407,$AG1239)))</f>
        <v/>
      </c>
      <c r="O1239" s="92" t="str">
        <f>IF($AG1239="","",INDEX($AL$8:$AL$21,INDEX($AC$8:$AC$1407,$AG1239)+1))</f>
        <v/>
      </c>
      <c r="P1239" s="109" t="str">
        <f>IF($AG1239="","",INDEX($AD$8:$AD$1407,$AG1239))</f>
        <v/>
      </c>
      <c r="Q1239" s="92" t="str">
        <f>IF($AG1239="","",INDEX($AM$8:$AM$21,INDEX($AC$8:$AC$1407,$AG1239)+1))</f>
        <v/>
      </c>
      <c r="R1239" s="92" t="str">
        <f>IF($AG1239="","",IF($G1239&gt;0,P_ToelCorrectie&amp;"",""))</f>
        <v/>
      </c>
      <c r="S1239" s="15" t="str">
        <f>IF(J1239="","",J1239&amp;"|"&amp;E1239&amp;"|"&amp;F1239&amp;"|"&amp;I1239&amp;"|"&amp;O1239)</f>
        <v/>
      </c>
      <c r="T1239" s="111" t="str">
        <f>IF(S1239="","",IF(COUNTIFS(L_Sleutel,S1239,L_Actief,1)=0,"",SUMIFS(L_Waarde,L_Sleutel,S1239,L_Actief,1)))</f>
        <v/>
      </c>
      <c r="U1239" s="111">
        <f>IF(OR(S1239="",T1239=""),0,P1239-T1239)</f>
        <v>0</v>
      </c>
      <c r="AB1239" s="112" t="n">
        <v>88</v>
      </c>
      <c r="AC1239" s="112" t="n">
        <v>13</v>
      </c>
      <c r="AD1239" s="112" t="str">
        <f>VERW_Project!BX93</f>
        <v/>
      </c>
      <c r="AE1239" s="112">
        <f>IF(AND(VERW_Project!$A93&lt;&gt;"",ISNUMBER(AD1239)),1,0)</f>
        <v>0</v>
      </c>
      <c r="AF1239" s="112" t="str">
        <f>IF(AE1239=1,SUM($AE$8:AE1239),"")</f>
        <v/>
      </c>
      <c r="AG1239" t="str">
        <f>IFERROR(MATCH(1232,$AF$8:$AF$1407,0),"")</f>
        <v/>
      </c>
    </row>
    <row r="1240">
      <c r="A1240" s="92" t="str">
        <f>IF($AG1240="","",P_ImportID)</f>
        <v/>
      </c>
      <c r="B1240" s="92" t="str">
        <f>IF($AG1240="","",IF(INDEX($AN$8:$AN$21,INDEX($AC$8:$AC$1407,$AG1240)+1)="Z",P_BronZ,P_BronE))</f>
        <v/>
      </c>
      <c r="C1240" s="108" t="str">
        <f>IF($AG1240="","",P_Importdatum)</f>
        <v/>
      </c>
      <c r="D1240" s="92" t="str">
        <f>IF($AG1240="","",P_StatusVastleg)</f>
        <v/>
      </c>
      <c r="E1240" s="92" t="str">
        <f>IF($AG1240="","",P_UploadVJ)</f>
        <v/>
      </c>
      <c r="F1240" s="92" t="str">
        <f>IF($AG1240="","",P_UploadVersie)</f>
        <v/>
      </c>
      <c r="G1240" s="92" t="str">
        <f>IF($AG1240="","",IF(COUNTIFS(L_Sleutel,$S1240,L_Status,"Vastgesteld")=0,0,_xlfn.MAXIFS(L_Revisie,L_Sleutel,$S1240,L_Status,"Vastgesteld")+1))</f>
        <v/>
      </c>
      <c r="H1240" s="108" t="str">
        <f>IF($AG1240="","",P_Peildatum)</f>
        <v/>
      </c>
      <c r="I1240" s="92" t="str">
        <f>IF($AG1240="","",P_RJ+INDEX($AK$8:$AK$21,INDEX($AC$8:$AC$1407,$AG1240)+1))</f>
        <v/>
      </c>
      <c r="J1240" s="92" t="str">
        <f>IF($AG1240="","",INDEX(V_WBS,INDEX($AB$8:$AB$1407,$AG1240)))</f>
        <v/>
      </c>
      <c r="K1240" s="92" t="str">
        <f>IF($AG1240="","",INDEX(V_Projdef,INDEX($AB$8:$AB$1407,$AG1240)))</f>
        <v/>
      </c>
      <c r="L1240" s="92" t="str">
        <f>IF($AG1240="","",INDEX(V_Naam,INDEX($AB$8:$AB$1407,$AG1240)))</f>
        <v/>
      </c>
      <c r="M1240" s="92" t="str">
        <f>IF($AG1240="","",INDEX(V_Type,INDEX($AB$8:$AB$1407,$AG1240)))</f>
        <v/>
      </c>
      <c r="N1240" s="92" t="str">
        <f>IF($AG1240="","",INDEX(V_IFRS,INDEX($AB$8:$AB$1407,$AG1240)))</f>
        <v/>
      </c>
      <c r="O1240" s="92" t="str">
        <f>IF($AG1240="","",INDEX($AL$8:$AL$21,INDEX($AC$8:$AC$1407,$AG1240)+1))</f>
        <v/>
      </c>
      <c r="P1240" s="109" t="str">
        <f>IF($AG1240="","",INDEX($AD$8:$AD$1407,$AG1240))</f>
        <v/>
      </c>
      <c r="Q1240" s="92" t="str">
        <f>IF($AG1240="","",INDEX($AM$8:$AM$21,INDEX($AC$8:$AC$1407,$AG1240)+1))</f>
        <v/>
      </c>
      <c r="R1240" s="92" t="str">
        <f>IF($AG1240="","",IF($G1240&gt;0,P_ToelCorrectie&amp;"",""))</f>
        <v/>
      </c>
      <c r="S1240" s="15" t="str">
        <f>IF(J1240="","",J1240&amp;"|"&amp;E1240&amp;"|"&amp;F1240&amp;"|"&amp;I1240&amp;"|"&amp;O1240)</f>
        <v/>
      </c>
      <c r="T1240" s="111" t="str">
        <f>IF(S1240="","",IF(COUNTIFS(L_Sleutel,S1240,L_Actief,1)=0,"",SUMIFS(L_Waarde,L_Sleutel,S1240,L_Actief,1)))</f>
        <v/>
      </c>
      <c r="U1240" s="111">
        <f>IF(OR(S1240="",T1240=""),0,P1240-T1240)</f>
        <v>0</v>
      </c>
      <c r="AB1240" s="112" t="n">
        <v>89</v>
      </c>
      <c r="AC1240" s="112" t="n">
        <v>0</v>
      </c>
      <c r="AD1240" s="112" t="str">
        <f>VERW_Project!P94</f>
        <v/>
      </c>
      <c r="AE1240" s="112">
        <f>IF(AND(VERW_Project!$A94&lt;&gt;"",ISNUMBER(AD1240)),1,0)</f>
        <v>0</v>
      </c>
      <c r="AF1240" s="112" t="str">
        <f>IF(AE1240=1,SUM($AE$8:AE1240),"")</f>
        <v/>
      </c>
      <c r="AG1240" t="str">
        <f>IFERROR(MATCH(1233,$AF$8:$AF$1407,0),"")</f>
        <v/>
      </c>
    </row>
    <row r="1241">
      <c r="A1241" s="92" t="str">
        <f>IF($AG1241="","",P_ImportID)</f>
        <v/>
      </c>
      <c r="B1241" s="92" t="str">
        <f>IF($AG1241="","",IF(INDEX($AN$8:$AN$21,INDEX($AC$8:$AC$1407,$AG1241)+1)="Z",P_BronZ,P_BronE))</f>
        <v/>
      </c>
      <c r="C1241" s="108" t="str">
        <f>IF($AG1241="","",P_Importdatum)</f>
        <v/>
      </c>
      <c r="D1241" s="92" t="str">
        <f>IF($AG1241="","",P_StatusVastleg)</f>
        <v/>
      </c>
      <c r="E1241" s="92" t="str">
        <f>IF($AG1241="","",P_UploadVJ)</f>
        <v/>
      </c>
      <c r="F1241" s="92" t="str">
        <f>IF($AG1241="","",P_UploadVersie)</f>
        <v/>
      </c>
      <c r="G1241" s="92" t="str">
        <f>IF($AG1241="","",IF(COUNTIFS(L_Sleutel,$S1241,L_Status,"Vastgesteld")=0,0,_xlfn.MAXIFS(L_Revisie,L_Sleutel,$S1241,L_Status,"Vastgesteld")+1))</f>
        <v/>
      </c>
      <c r="H1241" s="108" t="str">
        <f>IF($AG1241="","",P_Peildatum)</f>
        <v/>
      </c>
      <c r="I1241" s="92" t="str">
        <f>IF($AG1241="","",P_RJ+INDEX($AK$8:$AK$21,INDEX($AC$8:$AC$1407,$AG1241)+1))</f>
        <v/>
      </c>
      <c r="J1241" s="92" t="str">
        <f>IF($AG1241="","",INDEX(V_WBS,INDEX($AB$8:$AB$1407,$AG1241)))</f>
        <v/>
      </c>
      <c r="K1241" s="92" t="str">
        <f>IF($AG1241="","",INDEX(V_Projdef,INDEX($AB$8:$AB$1407,$AG1241)))</f>
        <v/>
      </c>
      <c r="L1241" s="92" t="str">
        <f>IF($AG1241="","",INDEX(V_Naam,INDEX($AB$8:$AB$1407,$AG1241)))</f>
        <v/>
      </c>
      <c r="M1241" s="92" t="str">
        <f>IF($AG1241="","",INDEX(V_Type,INDEX($AB$8:$AB$1407,$AG1241)))</f>
        <v/>
      </c>
      <c r="N1241" s="92" t="str">
        <f>IF($AG1241="","",INDEX(V_IFRS,INDEX($AB$8:$AB$1407,$AG1241)))</f>
        <v/>
      </c>
      <c r="O1241" s="92" t="str">
        <f>IF($AG1241="","",INDEX($AL$8:$AL$21,INDEX($AC$8:$AC$1407,$AG1241)+1))</f>
        <v/>
      </c>
      <c r="P1241" s="109" t="str">
        <f>IF($AG1241="","",INDEX($AD$8:$AD$1407,$AG1241))</f>
        <v/>
      </c>
      <c r="Q1241" s="92" t="str">
        <f>IF($AG1241="","",INDEX($AM$8:$AM$21,INDEX($AC$8:$AC$1407,$AG1241)+1))</f>
        <v/>
      </c>
      <c r="R1241" s="92" t="str">
        <f>IF($AG1241="","",IF($G1241&gt;0,P_ToelCorrectie&amp;"",""))</f>
        <v/>
      </c>
      <c r="S1241" s="15" t="str">
        <f>IF(J1241="","",J1241&amp;"|"&amp;E1241&amp;"|"&amp;F1241&amp;"|"&amp;I1241&amp;"|"&amp;O1241)</f>
        <v/>
      </c>
      <c r="T1241" s="111" t="str">
        <f>IF(S1241="","",IF(COUNTIFS(L_Sleutel,S1241,L_Actief,1)=0,"",SUMIFS(L_Waarde,L_Sleutel,S1241,L_Actief,1)))</f>
        <v/>
      </c>
      <c r="U1241" s="111">
        <f>IF(OR(S1241="",T1241=""),0,P1241-T1241)</f>
        <v>0</v>
      </c>
      <c r="AB1241" s="112" t="n">
        <v>89</v>
      </c>
      <c r="AC1241" s="112" t="n">
        <v>1</v>
      </c>
      <c r="AD1241" s="112" t="str">
        <f>VERW_Project!Q94</f>
        <v/>
      </c>
      <c r="AE1241" s="112">
        <f>IF(AND(VERW_Project!$A94&lt;&gt;"",ISNUMBER(AD1241)),1,0)</f>
        <v>0</v>
      </c>
      <c r="AF1241" s="112" t="str">
        <f>IF(AE1241=1,SUM($AE$8:AE1241),"")</f>
        <v/>
      </c>
      <c r="AG1241" t="str">
        <f>IFERROR(MATCH(1234,$AF$8:$AF$1407,0),"")</f>
        <v/>
      </c>
    </row>
    <row r="1242">
      <c r="A1242" s="92" t="str">
        <f>IF($AG1242="","",P_ImportID)</f>
        <v/>
      </c>
      <c r="B1242" s="92" t="str">
        <f>IF($AG1242="","",IF(INDEX($AN$8:$AN$21,INDEX($AC$8:$AC$1407,$AG1242)+1)="Z",P_BronZ,P_BronE))</f>
        <v/>
      </c>
      <c r="C1242" s="108" t="str">
        <f>IF($AG1242="","",P_Importdatum)</f>
        <v/>
      </c>
      <c r="D1242" s="92" t="str">
        <f>IF($AG1242="","",P_StatusVastleg)</f>
        <v/>
      </c>
      <c r="E1242" s="92" t="str">
        <f>IF($AG1242="","",P_UploadVJ)</f>
        <v/>
      </c>
      <c r="F1242" s="92" t="str">
        <f>IF($AG1242="","",P_UploadVersie)</f>
        <v/>
      </c>
      <c r="G1242" s="92" t="str">
        <f>IF($AG1242="","",IF(COUNTIFS(L_Sleutel,$S1242,L_Status,"Vastgesteld")=0,0,_xlfn.MAXIFS(L_Revisie,L_Sleutel,$S1242,L_Status,"Vastgesteld")+1))</f>
        <v/>
      </c>
      <c r="H1242" s="108" t="str">
        <f>IF($AG1242="","",P_Peildatum)</f>
        <v/>
      </c>
      <c r="I1242" s="92" t="str">
        <f>IF($AG1242="","",P_RJ+INDEX($AK$8:$AK$21,INDEX($AC$8:$AC$1407,$AG1242)+1))</f>
        <v/>
      </c>
      <c r="J1242" s="92" t="str">
        <f>IF($AG1242="","",INDEX(V_WBS,INDEX($AB$8:$AB$1407,$AG1242)))</f>
        <v/>
      </c>
      <c r="K1242" s="92" t="str">
        <f>IF($AG1242="","",INDEX(V_Projdef,INDEX($AB$8:$AB$1407,$AG1242)))</f>
        <v/>
      </c>
      <c r="L1242" s="92" t="str">
        <f>IF($AG1242="","",INDEX(V_Naam,INDEX($AB$8:$AB$1407,$AG1242)))</f>
        <v/>
      </c>
      <c r="M1242" s="92" t="str">
        <f>IF($AG1242="","",INDEX(V_Type,INDEX($AB$8:$AB$1407,$AG1242)))</f>
        <v/>
      </c>
      <c r="N1242" s="92" t="str">
        <f>IF($AG1242="","",INDEX(V_IFRS,INDEX($AB$8:$AB$1407,$AG1242)))</f>
        <v/>
      </c>
      <c r="O1242" s="92" t="str">
        <f>IF($AG1242="","",INDEX($AL$8:$AL$21,INDEX($AC$8:$AC$1407,$AG1242)+1))</f>
        <v/>
      </c>
      <c r="P1242" s="109" t="str">
        <f>IF($AG1242="","",INDEX($AD$8:$AD$1407,$AG1242))</f>
        <v/>
      </c>
      <c r="Q1242" s="92" t="str">
        <f>IF($AG1242="","",INDEX($AM$8:$AM$21,INDEX($AC$8:$AC$1407,$AG1242)+1))</f>
        <v/>
      </c>
      <c r="R1242" s="92" t="str">
        <f>IF($AG1242="","",IF($G1242&gt;0,P_ToelCorrectie&amp;"",""))</f>
        <v/>
      </c>
      <c r="S1242" s="15" t="str">
        <f>IF(J1242="","",J1242&amp;"|"&amp;E1242&amp;"|"&amp;F1242&amp;"|"&amp;I1242&amp;"|"&amp;O1242)</f>
        <v/>
      </c>
      <c r="T1242" s="111" t="str">
        <f>IF(S1242="","",IF(COUNTIFS(L_Sleutel,S1242,L_Actief,1)=0,"",SUMIFS(L_Waarde,L_Sleutel,S1242,L_Actief,1)))</f>
        <v/>
      </c>
      <c r="U1242" s="111">
        <f>IF(OR(S1242="",T1242=""),0,P1242-T1242)</f>
        <v>0</v>
      </c>
      <c r="AB1242" s="112" t="n">
        <v>89</v>
      </c>
      <c r="AC1242" s="112" t="n">
        <v>2</v>
      </c>
      <c r="AD1242" s="112" t="str">
        <f>VERW_Project!L94</f>
        <v/>
      </c>
      <c r="AE1242" s="112">
        <f>IF(AND(VERW_Project!$A94&lt;&gt;"",ISNUMBER(AD1242)),1,0)</f>
        <v>0</v>
      </c>
      <c r="AF1242" s="112" t="str">
        <f>IF(AE1242=1,SUM($AE$8:AE1242),"")</f>
        <v/>
      </c>
      <c r="AG1242" t="str">
        <f>IFERROR(MATCH(1235,$AF$8:$AF$1407,0),"")</f>
        <v/>
      </c>
    </row>
    <row r="1243">
      <c r="A1243" s="92" t="str">
        <f>IF($AG1243="","",P_ImportID)</f>
        <v/>
      </c>
      <c r="B1243" s="92" t="str">
        <f>IF($AG1243="","",IF(INDEX($AN$8:$AN$21,INDEX($AC$8:$AC$1407,$AG1243)+1)="Z",P_BronZ,P_BronE))</f>
        <v/>
      </c>
      <c r="C1243" s="108" t="str">
        <f>IF($AG1243="","",P_Importdatum)</f>
        <v/>
      </c>
      <c r="D1243" s="92" t="str">
        <f>IF($AG1243="","",P_StatusVastleg)</f>
        <v/>
      </c>
      <c r="E1243" s="92" t="str">
        <f>IF($AG1243="","",P_UploadVJ)</f>
        <v/>
      </c>
      <c r="F1243" s="92" t="str">
        <f>IF($AG1243="","",P_UploadVersie)</f>
        <v/>
      </c>
      <c r="G1243" s="92" t="str">
        <f>IF($AG1243="","",IF(COUNTIFS(L_Sleutel,$S1243,L_Status,"Vastgesteld")=0,0,_xlfn.MAXIFS(L_Revisie,L_Sleutel,$S1243,L_Status,"Vastgesteld")+1))</f>
        <v/>
      </c>
      <c r="H1243" s="108" t="str">
        <f>IF($AG1243="","",P_Peildatum)</f>
        <v/>
      </c>
      <c r="I1243" s="92" t="str">
        <f>IF($AG1243="","",P_RJ+INDEX($AK$8:$AK$21,INDEX($AC$8:$AC$1407,$AG1243)+1))</f>
        <v/>
      </c>
      <c r="J1243" s="92" t="str">
        <f>IF($AG1243="","",INDEX(V_WBS,INDEX($AB$8:$AB$1407,$AG1243)))</f>
        <v/>
      </c>
      <c r="K1243" s="92" t="str">
        <f>IF($AG1243="","",INDEX(V_Projdef,INDEX($AB$8:$AB$1407,$AG1243)))</f>
        <v/>
      </c>
      <c r="L1243" s="92" t="str">
        <f>IF($AG1243="","",INDEX(V_Naam,INDEX($AB$8:$AB$1407,$AG1243)))</f>
        <v/>
      </c>
      <c r="M1243" s="92" t="str">
        <f>IF($AG1243="","",INDEX(V_Type,INDEX($AB$8:$AB$1407,$AG1243)))</f>
        <v/>
      </c>
      <c r="N1243" s="92" t="str">
        <f>IF($AG1243="","",INDEX(V_IFRS,INDEX($AB$8:$AB$1407,$AG1243)))</f>
        <v/>
      </c>
      <c r="O1243" s="92" t="str">
        <f>IF($AG1243="","",INDEX($AL$8:$AL$21,INDEX($AC$8:$AC$1407,$AG1243)+1))</f>
        <v/>
      </c>
      <c r="P1243" s="109" t="str">
        <f>IF($AG1243="","",INDEX($AD$8:$AD$1407,$AG1243))</f>
        <v/>
      </c>
      <c r="Q1243" s="92" t="str">
        <f>IF($AG1243="","",INDEX($AM$8:$AM$21,INDEX($AC$8:$AC$1407,$AG1243)+1))</f>
        <v/>
      </c>
      <c r="R1243" s="92" t="str">
        <f>IF($AG1243="","",IF($G1243&gt;0,P_ToelCorrectie&amp;"",""))</f>
        <v/>
      </c>
      <c r="S1243" s="15" t="str">
        <f>IF(J1243="","",J1243&amp;"|"&amp;E1243&amp;"|"&amp;F1243&amp;"|"&amp;I1243&amp;"|"&amp;O1243)</f>
        <v/>
      </c>
      <c r="T1243" s="111" t="str">
        <f>IF(S1243="","",IF(COUNTIFS(L_Sleutel,S1243,L_Actief,1)=0,"",SUMIFS(L_Waarde,L_Sleutel,S1243,L_Actief,1)))</f>
        <v/>
      </c>
      <c r="U1243" s="111">
        <f>IF(OR(S1243="",T1243=""),0,P1243-T1243)</f>
        <v>0</v>
      </c>
      <c r="AB1243" s="112" t="n">
        <v>89</v>
      </c>
      <c r="AC1243" s="112" t="n">
        <v>3</v>
      </c>
      <c r="AD1243" s="112" t="str">
        <f>VERW_Project!M94</f>
        <v/>
      </c>
      <c r="AE1243" s="112">
        <f>IF(AND(VERW_Project!$A94&lt;&gt;"",ISNUMBER(AD1243)),1,0)</f>
        <v>0</v>
      </c>
      <c r="AF1243" s="112" t="str">
        <f>IF(AE1243=1,SUM($AE$8:AE1243),"")</f>
        <v/>
      </c>
      <c r="AG1243" t="str">
        <f>IFERROR(MATCH(1236,$AF$8:$AF$1407,0),"")</f>
        <v/>
      </c>
    </row>
    <row r="1244">
      <c r="A1244" s="92" t="str">
        <f>IF($AG1244="","",P_ImportID)</f>
        <v/>
      </c>
      <c r="B1244" s="92" t="str">
        <f>IF($AG1244="","",IF(INDEX($AN$8:$AN$21,INDEX($AC$8:$AC$1407,$AG1244)+1)="Z",P_BronZ,P_BronE))</f>
        <v/>
      </c>
      <c r="C1244" s="108" t="str">
        <f>IF($AG1244="","",P_Importdatum)</f>
        <v/>
      </c>
      <c r="D1244" s="92" t="str">
        <f>IF($AG1244="","",P_StatusVastleg)</f>
        <v/>
      </c>
      <c r="E1244" s="92" t="str">
        <f>IF($AG1244="","",P_UploadVJ)</f>
        <v/>
      </c>
      <c r="F1244" s="92" t="str">
        <f>IF($AG1244="","",P_UploadVersie)</f>
        <v/>
      </c>
      <c r="G1244" s="92" t="str">
        <f>IF($AG1244="","",IF(COUNTIFS(L_Sleutel,$S1244,L_Status,"Vastgesteld")=0,0,_xlfn.MAXIFS(L_Revisie,L_Sleutel,$S1244,L_Status,"Vastgesteld")+1))</f>
        <v/>
      </c>
      <c r="H1244" s="108" t="str">
        <f>IF($AG1244="","",P_Peildatum)</f>
        <v/>
      </c>
      <c r="I1244" s="92" t="str">
        <f>IF($AG1244="","",P_RJ+INDEX($AK$8:$AK$21,INDEX($AC$8:$AC$1407,$AG1244)+1))</f>
        <v/>
      </c>
      <c r="J1244" s="92" t="str">
        <f>IF($AG1244="","",INDEX(V_WBS,INDEX($AB$8:$AB$1407,$AG1244)))</f>
        <v/>
      </c>
      <c r="K1244" s="92" t="str">
        <f>IF($AG1244="","",INDEX(V_Projdef,INDEX($AB$8:$AB$1407,$AG1244)))</f>
        <v/>
      </c>
      <c r="L1244" s="92" t="str">
        <f>IF($AG1244="","",INDEX(V_Naam,INDEX($AB$8:$AB$1407,$AG1244)))</f>
        <v/>
      </c>
      <c r="M1244" s="92" t="str">
        <f>IF($AG1244="","",INDEX(V_Type,INDEX($AB$8:$AB$1407,$AG1244)))</f>
        <v/>
      </c>
      <c r="N1244" s="92" t="str">
        <f>IF($AG1244="","",INDEX(V_IFRS,INDEX($AB$8:$AB$1407,$AG1244)))</f>
        <v/>
      </c>
      <c r="O1244" s="92" t="str">
        <f>IF($AG1244="","",INDEX($AL$8:$AL$21,INDEX($AC$8:$AC$1407,$AG1244)+1))</f>
        <v/>
      </c>
      <c r="P1244" s="109" t="str">
        <f>IF($AG1244="","",INDEX($AD$8:$AD$1407,$AG1244))</f>
        <v/>
      </c>
      <c r="Q1244" s="92" t="str">
        <f>IF($AG1244="","",INDEX($AM$8:$AM$21,INDEX($AC$8:$AC$1407,$AG1244)+1))</f>
        <v/>
      </c>
      <c r="R1244" s="92" t="str">
        <f>IF($AG1244="","",IF($G1244&gt;0,P_ToelCorrectie&amp;"",""))</f>
        <v/>
      </c>
      <c r="S1244" s="15" t="str">
        <f>IF(J1244="","",J1244&amp;"|"&amp;E1244&amp;"|"&amp;F1244&amp;"|"&amp;I1244&amp;"|"&amp;O1244)</f>
        <v/>
      </c>
      <c r="T1244" s="111" t="str">
        <f>IF(S1244="","",IF(COUNTIFS(L_Sleutel,S1244,L_Actief,1)=0,"",SUMIFS(L_Waarde,L_Sleutel,S1244,L_Actief,1)))</f>
        <v/>
      </c>
      <c r="U1244" s="111">
        <f>IF(OR(S1244="",T1244=""),0,P1244-T1244)</f>
        <v>0</v>
      </c>
      <c r="AB1244" s="112" t="n">
        <v>89</v>
      </c>
      <c r="AC1244" s="112" t="n">
        <v>4</v>
      </c>
      <c r="AD1244" s="112" t="str">
        <f>VERW_Project!R94</f>
        <v/>
      </c>
      <c r="AE1244" s="112">
        <f>IF(AND(VERW_Project!$A94&lt;&gt;"",ISNUMBER(AD1244)),1,0)</f>
        <v>0</v>
      </c>
      <c r="AF1244" s="112" t="str">
        <f>IF(AE1244=1,SUM($AE$8:AE1244),"")</f>
        <v/>
      </c>
      <c r="AG1244" t="str">
        <f>IFERROR(MATCH(1237,$AF$8:$AF$1407,0),"")</f>
        <v/>
      </c>
    </row>
    <row r="1245">
      <c r="A1245" s="92" t="str">
        <f>IF($AG1245="","",P_ImportID)</f>
        <v/>
      </c>
      <c r="B1245" s="92" t="str">
        <f>IF($AG1245="","",IF(INDEX($AN$8:$AN$21,INDEX($AC$8:$AC$1407,$AG1245)+1)="Z",P_BronZ,P_BronE))</f>
        <v/>
      </c>
      <c r="C1245" s="108" t="str">
        <f>IF($AG1245="","",P_Importdatum)</f>
        <v/>
      </c>
      <c r="D1245" s="92" t="str">
        <f>IF($AG1245="","",P_StatusVastleg)</f>
        <v/>
      </c>
      <c r="E1245" s="92" t="str">
        <f>IF($AG1245="","",P_UploadVJ)</f>
        <v/>
      </c>
      <c r="F1245" s="92" t="str">
        <f>IF($AG1245="","",P_UploadVersie)</f>
        <v/>
      </c>
      <c r="G1245" s="92" t="str">
        <f>IF($AG1245="","",IF(COUNTIFS(L_Sleutel,$S1245,L_Status,"Vastgesteld")=0,0,_xlfn.MAXIFS(L_Revisie,L_Sleutel,$S1245,L_Status,"Vastgesteld")+1))</f>
        <v/>
      </c>
      <c r="H1245" s="108" t="str">
        <f>IF($AG1245="","",P_Peildatum)</f>
        <v/>
      </c>
      <c r="I1245" s="92" t="str">
        <f>IF($AG1245="","",P_RJ+INDEX($AK$8:$AK$21,INDEX($AC$8:$AC$1407,$AG1245)+1))</f>
        <v/>
      </c>
      <c r="J1245" s="92" t="str">
        <f>IF($AG1245="","",INDEX(V_WBS,INDEX($AB$8:$AB$1407,$AG1245)))</f>
        <v/>
      </c>
      <c r="K1245" s="92" t="str">
        <f>IF($AG1245="","",INDEX(V_Projdef,INDEX($AB$8:$AB$1407,$AG1245)))</f>
        <v/>
      </c>
      <c r="L1245" s="92" t="str">
        <f>IF($AG1245="","",INDEX(V_Naam,INDEX($AB$8:$AB$1407,$AG1245)))</f>
        <v/>
      </c>
      <c r="M1245" s="92" t="str">
        <f>IF($AG1245="","",INDEX(V_Type,INDEX($AB$8:$AB$1407,$AG1245)))</f>
        <v/>
      </c>
      <c r="N1245" s="92" t="str">
        <f>IF($AG1245="","",INDEX(V_IFRS,INDEX($AB$8:$AB$1407,$AG1245)))</f>
        <v/>
      </c>
      <c r="O1245" s="92" t="str">
        <f>IF($AG1245="","",INDEX($AL$8:$AL$21,INDEX($AC$8:$AC$1407,$AG1245)+1))</f>
        <v/>
      </c>
      <c r="P1245" s="109" t="str">
        <f>IF($AG1245="","",INDEX($AD$8:$AD$1407,$AG1245))</f>
        <v/>
      </c>
      <c r="Q1245" s="92" t="str">
        <f>IF($AG1245="","",INDEX($AM$8:$AM$21,INDEX($AC$8:$AC$1407,$AG1245)+1))</f>
        <v/>
      </c>
      <c r="R1245" s="92" t="str">
        <f>IF($AG1245="","",IF($G1245&gt;0,P_ToelCorrectie&amp;"",""))</f>
        <v/>
      </c>
      <c r="S1245" s="15" t="str">
        <f>IF(J1245="","",J1245&amp;"|"&amp;E1245&amp;"|"&amp;F1245&amp;"|"&amp;I1245&amp;"|"&amp;O1245)</f>
        <v/>
      </c>
      <c r="T1245" s="111" t="str">
        <f>IF(S1245="","",IF(COUNTIFS(L_Sleutel,S1245,L_Actief,1)=0,"",SUMIFS(L_Waarde,L_Sleutel,S1245,L_Actief,1)))</f>
        <v/>
      </c>
      <c r="U1245" s="111">
        <f>IF(OR(S1245="",T1245=""),0,P1245-T1245)</f>
        <v>0</v>
      </c>
      <c r="AB1245" s="112" t="n">
        <v>89</v>
      </c>
      <c r="AC1245" s="112" t="n">
        <v>5</v>
      </c>
      <c r="AD1245" s="112" t="str">
        <f>VERW_Project!S94</f>
        <v/>
      </c>
      <c r="AE1245" s="112">
        <f>IF(AND(VERW_Project!$A94&lt;&gt;"",ISNUMBER(AD1245)),1,0)</f>
        <v>0</v>
      </c>
      <c r="AF1245" s="112" t="str">
        <f>IF(AE1245=1,SUM($AE$8:AE1245),"")</f>
        <v/>
      </c>
      <c r="AG1245" t="str">
        <f>IFERROR(MATCH(1238,$AF$8:$AF$1407,0),"")</f>
        <v/>
      </c>
    </row>
    <row r="1246">
      <c r="A1246" s="92" t="str">
        <f>IF($AG1246="","",P_ImportID)</f>
        <v/>
      </c>
      <c r="B1246" s="92" t="str">
        <f>IF($AG1246="","",IF(INDEX($AN$8:$AN$21,INDEX($AC$8:$AC$1407,$AG1246)+1)="Z",P_BronZ,P_BronE))</f>
        <v/>
      </c>
      <c r="C1246" s="108" t="str">
        <f>IF($AG1246="","",P_Importdatum)</f>
        <v/>
      </c>
      <c r="D1246" s="92" t="str">
        <f>IF($AG1246="","",P_StatusVastleg)</f>
        <v/>
      </c>
      <c r="E1246" s="92" t="str">
        <f>IF($AG1246="","",P_UploadVJ)</f>
        <v/>
      </c>
      <c r="F1246" s="92" t="str">
        <f>IF($AG1246="","",P_UploadVersie)</f>
        <v/>
      </c>
      <c r="G1246" s="92" t="str">
        <f>IF($AG1246="","",IF(COUNTIFS(L_Sleutel,$S1246,L_Status,"Vastgesteld")=0,0,_xlfn.MAXIFS(L_Revisie,L_Sleutel,$S1246,L_Status,"Vastgesteld")+1))</f>
        <v/>
      </c>
      <c r="H1246" s="108" t="str">
        <f>IF($AG1246="","",P_Peildatum)</f>
        <v/>
      </c>
      <c r="I1246" s="92" t="str">
        <f>IF($AG1246="","",P_RJ+INDEX($AK$8:$AK$21,INDEX($AC$8:$AC$1407,$AG1246)+1))</f>
        <v/>
      </c>
      <c r="J1246" s="92" t="str">
        <f>IF($AG1246="","",INDEX(V_WBS,INDEX($AB$8:$AB$1407,$AG1246)))</f>
        <v/>
      </c>
      <c r="K1246" s="92" t="str">
        <f>IF($AG1246="","",INDEX(V_Projdef,INDEX($AB$8:$AB$1407,$AG1246)))</f>
        <v/>
      </c>
      <c r="L1246" s="92" t="str">
        <f>IF($AG1246="","",INDEX(V_Naam,INDEX($AB$8:$AB$1407,$AG1246)))</f>
        <v/>
      </c>
      <c r="M1246" s="92" t="str">
        <f>IF($AG1246="","",INDEX(V_Type,INDEX($AB$8:$AB$1407,$AG1246)))</f>
        <v/>
      </c>
      <c r="N1246" s="92" t="str">
        <f>IF($AG1246="","",INDEX(V_IFRS,INDEX($AB$8:$AB$1407,$AG1246)))</f>
        <v/>
      </c>
      <c r="O1246" s="92" t="str">
        <f>IF($AG1246="","",INDEX($AL$8:$AL$21,INDEX($AC$8:$AC$1407,$AG1246)+1))</f>
        <v/>
      </c>
      <c r="P1246" s="109" t="str">
        <f>IF($AG1246="","",INDEX($AD$8:$AD$1407,$AG1246))</f>
        <v/>
      </c>
      <c r="Q1246" s="92" t="str">
        <f>IF($AG1246="","",INDEX($AM$8:$AM$21,INDEX($AC$8:$AC$1407,$AG1246)+1))</f>
        <v/>
      </c>
      <c r="R1246" s="92" t="str">
        <f>IF($AG1246="","",IF($G1246&gt;0,P_ToelCorrectie&amp;"",""))</f>
        <v/>
      </c>
      <c r="S1246" s="15" t="str">
        <f>IF(J1246="","",J1246&amp;"|"&amp;E1246&amp;"|"&amp;F1246&amp;"|"&amp;I1246&amp;"|"&amp;O1246)</f>
        <v/>
      </c>
      <c r="T1246" s="111" t="str">
        <f>IF(S1246="","",IF(COUNTIFS(L_Sleutel,S1246,L_Actief,1)=0,"",SUMIFS(L_Waarde,L_Sleutel,S1246,L_Actief,1)))</f>
        <v/>
      </c>
      <c r="U1246" s="111">
        <f>IF(OR(S1246="",T1246=""),0,P1246-T1246)</f>
        <v>0</v>
      </c>
      <c r="AB1246" s="112" t="n">
        <v>89</v>
      </c>
      <c r="AC1246" s="112" t="n">
        <v>6</v>
      </c>
      <c r="AD1246" s="112" t="str">
        <f>VERW_Project!BW94</f>
        <v/>
      </c>
      <c r="AE1246" s="112">
        <f>IF(AND(VERW_Project!$A94&lt;&gt;"",ISNUMBER(AD1246)),1,0)</f>
        <v>0</v>
      </c>
      <c r="AF1246" s="112" t="str">
        <f>IF(AE1246=1,SUM($AE$8:AE1246),"")</f>
        <v/>
      </c>
      <c r="AG1246" t="str">
        <f>IFERROR(MATCH(1239,$AF$8:$AF$1407,0),"")</f>
        <v/>
      </c>
    </row>
    <row r="1247">
      <c r="A1247" s="92" t="str">
        <f>IF($AG1247="","",P_ImportID)</f>
        <v/>
      </c>
      <c r="B1247" s="92" t="str">
        <f>IF($AG1247="","",IF(INDEX($AN$8:$AN$21,INDEX($AC$8:$AC$1407,$AG1247)+1)="Z",P_BronZ,P_BronE))</f>
        <v/>
      </c>
      <c r="C1247" s="108" t="str">
        <f>IF($AG1247="","",P_Importdatum)</f>
        <v/>
      </c>
      <c r="D1247" s="92" t="str">
        <f>IF($AG1247="","",P_StatusVastleg)</f>
        <v/>
      </c>
      <c r="E1247" s="92" t="str">
        <f>IF($AG1247="","",P_UploadVJ)</f>
        <v/>
      </c>
      <c r="F1247" s="92" t="str">
        <f>IF($AG1247="","",P_UploadVersie)</f>
        <v/>
      </c>
      <c r="G1247" s="92" t="str">
        <f>IF($AG1247="","",IF(COUNTIFS(L_Sleutel,$S1247,L_Status,"Vastgesteld")=0,0,_xlfn.MAXIFS(L_Revisie,L_Sleutel,$S1247,L_Status,"Vastgesteld")+1))</f>
        <v/>
      </c>
      <c r="H1247" s="108" t="str">
        <f>IF($AG1247="","",P_Peildatum)</f>
        <v/>
      </c>
      <c r="I1247" s="92" t="str">
        <f>IF($AG1247="","",P_RJ+INDEX($AK$8:$AK$21,INDEX($AC$8:$AC$1407,$AG1247)+1))</f>
        <v/>
      </c>
      <c r="J1247" s="92" t="str">
        <f>IF($AG1247="","",INDEX(V_WBS,INDEX($AB$8:$AB$1407,$AG1247)))</f>
        <v/>
      </c>
      <c r="K1247" s="92" t="str">
        <f>IF($AG1247="","",INDEX(V_Projdef,INDEX($AB$8:$AB$1407,$AG1247)))</f>
        <v/>
      </c>
      <c r="L1247" s="92" t="str">
        <f>IF($AG1247="","",INDEX(V_Naam,INDEX($AB$8:$AB$1407,$AG1247)))</f>
        <v/>
      </c>
      <c r="M1247" s="92" t="str">
        <f>IF($AG1247="","",INDEX(V_Type,INDEX($AB$8:$AB$1407,$AG1247)))</f>
        <v/>
      </c>
      <c r="N1247" s="92" t="str">
        <f>IF($AG1247="","",INDEX(V_IFRS,INDEX($AB$8:$AB$1407,$AG1247)))</f>
        <v/>
      </c>
      <c r="O1247" s="92" t="str">
        <f>IF($AG1247="","",INDEX($AL$8:$AL$21,INDEX($AC$8:$AC$1407,$AG1247)+1))</f>
        <v/>
      </c>
      <c r="P1247" s="109" t="str">
        <f>IF($AG1247="","",INDEX($AD$8:$AD$1407,$AG1247))</f>
        <v/>
      </c>
      <c r="Q1247" s="92" t="str">
        <f>IF($AG1247="","",INDEX($AM$8:$AM$21,INDEX($AC$8:$AC$1407,$AG1247)+1))</f>
        <v/>
      </c>
      <c r="R1247" s="92" t="str">
        <f>IF($AG1247="","",IF($G1247&gt;0,P_ToelCorrectie&amp;"",""))</f>
        <v/>
      </c>
      <c r="S1247" s="15" t="str">
        <f>IF(J1247="","",J1247&amp;"|"&amp;E1247&amp;"|"&amp;F1247&amp;"|"&amp;I1247&amp;"|"&amp;O1247)</f>
        <v/>
      </c>
      <c r="T1247" s="111" t="str">
        <f>IF(S1247="","",IF(COUNTIFS(L_Sleutel,S1247,L_Actief,1)=0,"",SUMIFS(L_Waarde,L_Sleutel,S1247,L_Actief,1)))</f>
        <v/>
      </c>
      <c r="U1247" s="111">
        <f>IF(OR(S1247="",T1247=""),0,P1247-T1247)</f>
        <v>0</v>
      </c>
      <c r="AB1247" s="112" t="n">
        <v>89</v>
      </c>
      <c r="AC1247" s="112" t="n">
        <v>7</v>
      </c>
      <c r="AD1247" s="112" t="str">
        <f>VERW_Project!AW94</f>
        <v/>
      </c>
      <c r="AE1247" s="112">
        <f>IF(AND(VERW_Project!$A94&lt;&gt;"",ISNUMBER(AD1247)),1,0)</f>
        <v>0</v>
      </c>
      <c r="AF1247" s="112" t="str">
        <f>IF(AE1247=1,SUM($AE$8:AE1247),"")</f>
        <v/>
      </c>
      <c r="AG1247" t="str">
        <f>IFERROR(MATCH(1240,$AF$8:$AF$1407,0),"")</f>
        <v/>
      </c>
    </row>
    <row r="1248">
      <c r="A1248" s="92" t="str">
        <f>IF($AG1248="","",P_ImportID)</f>
        <v/>
      </c>
      <c r="B1248" s="92" t="str">
        <f>IF($AG1248="","",IF(INDEX($AN$8:$AN$21,INDEX($AC$8:$AC$1407,$AG1248)+1)="Z",P_BronZ,P_BronE))</f>
        <v/>
      </c>
      <c r="C1248" s="108" t="str">
        <f>IF($AG1248="","",P_Importdatum)</f>
        <v/>
      </c>
      <c r="D1248" s="92" t="str">
        <f>IF($AG1248="","",P_StatusVastleg)</f>
        <v/>
      </c>
      <c r="E1248" s="92" t="str">
        <f>IF($AG1248="","",P_UploadVJ)</f>
        <v/>
      </c>
      <c r="F1248" s="92" t="str">
        <f>IF($AG1248="","",P_UploadVersie)</f>
        <v/>
      </c>
      <c r="G1248" s="92" t="str">
        <f>IF($AG1248="","",IF(COUNTIFS(L_Sleutel,$S1248,L_Status,"Vastgesteld")=0,0,_xlfn.MAXIFS(L_Revisie,L_Sleutel,$S1248,L_Status,"Vastgesteld")+1))</f>
        <v/>
      </c>
      <c r="H1248" s="108" t="str">
        <f>IF($AG1248="","",P_Peildatum)</f>
        <v/>
      </c>
      <c r="I1248" s="92" t="str">
        <f>IF($AG1248="","",P_RJ+INDEX($AK$8:$AK$21,INDEX($AC$8:$AC$1407,$AG1248)+1))</f>
        <v/>
      </c>
      <c r="J1248" s="92" t="str">
        <f>IF($AG1248="","",INDEX(V_WBS,INDEX($AB$8:$AB$1407,$AG1248)))</f>
        <v/>
      </c>
      <c r="K1248" s="92" t="str">
        <f>IF($AG1248="","",INDEX(V_Projdef,INDEX($AB$8:$AB$1407,$AG1248)))</f>
        <v/>
      </c>
      <c r="L1248" s="92" t="str">
        <f>IF($AG1248="","",INDEX(V_Naam,INDEX($AB$8:$AB$1407,$AG1248)))</f>
        <v/>
      </c>
      <c r="M1248" s="92" t="str">
        <f>IF($AG1248="","",INDEX(V_Type,INDEX($AB$8:$AB$1407,$AG1248)))</f>
        <v/>
      </c>
      <c r="N1248" s="92" t="str">
        <f>IF($AG1248="","",INDEX(V_IFRS,INDEX($AB$8:$AB$1407,$AG1248)))</f>
        <v/>
      </c>
      <c r="O1248" s="92" t="str">
        <f>IF($AG1248="","",INDEX($AL$8:$AL$21,INDEX($AC$8:$AC$1407,$AG1248)+1))</f>
        <v/>
      </c>
      <c r="P1248" s="109" t="str">
        <f>IF($AG1248="","",INDEX($AD$8:$AD$1407,$AG1248))</f>
        <v/>
      </c>
      <c r="Q1248" s="92" t="str">
        <f>IF($AG1248="","",INDEX($AM$8:$AM$21,INDEX($AC$8:$AC$1407,$AG1248)+1))</f>
        <v/>
      </c>
      <c r="R1248" s="92" t="str">
        <f>IF($AG1248="","",IF($G1248&gt;0,P_ToelCorrectie&amp;"",""))</f>
        <v/>
      </c>
      <c r="S1248" s="15" t="str">
        <f>IF(J1248="","",J1248&amp;"|"&amp;E1248&amp;"|"&amp;F1248&amp;"|"&amp;I1248&amp;"|"&amp;O1248)</f>
        <v/>
      </c>
      <c r="T1248" s="111" t="str">
        <f>IF(S1248="","",IF(COUNTIFS(L_Sleutel,S1248,L_Actief,1)=0,"",SUMIFS(L_Waarde,L_Sleutel,S1248,L_Actief,1)))</f>
        <v/>
      </c>
      <c r="U1248" s="111">
        <f>IF(OR(S1248="",T1248=""),0,P1248-T1248)</f>
        <v>0</v>
      </c>
      <c r="AB1248" s="112" t="n">
        <v>89</v>
      </c>
      <c r="AC1248" s="112" t="n">
        <v>8</v>
      </c>
      <c r="AD1248" s="112" t="str">
        <f>VERW_Project!BQ94</f>
        <v/>
      </c>
      <c r="AE1248" s="112">
        <f>IF(AND(VERW_Project!$A94&lt;&gt;"",ISNUMBER(AD1248)),1,0)</f>
        <v>0</v>
      </c>
      <c r="AF1248" s="112" t="str">
        <f>IF(AE1248=1,SUM($AE$8:AE1248),"")</f>
        <v/>
      </c>
      <c r="AG1248" t="str">
        <f>IFERROR(MATCH(1241,$AF$8:$AF$1407,0),"")</f>
        <v/>
      </c>
    </row>
    <row r="1249">
      <c r="A1249" s="92" t="str">
        <f>IF($AG1249="","",P_ImportID)</f>
        <v/>
      </c>
      <c r="B1249" s="92" t="str">
        <f>IF($AG1249="","",IF(INDEX($AN$8:$AN$21,INDEX($AC$8:$AC$1407,$AG1249)+1)="Z",P_BronZ,P_BronE))</f>
        <v/>
      </c>
      <c r="C1249" s="108" t="str">
        <f>IF($AG1249="","",P_Importdatum)</f>
        <v/>
      </c>
      <c r="D1249" s="92" t="str">
        <f>IF($AG1249="","",P_StatusVastleg)</f>
        <v/>
      </c>
      <c r="E1249" s="92" t="str">
        <f>IF($AG1249="","",P_UploadVJ)</f>
        <v/>
      </c>
      <c r="F1249" s="92" t="str">
        <f>IF($AG1249="","",P_UploadVersie)</f>
        <v/>
      </c>
      <c r="G1249" s="92" t="str">
        <f>IF($AG1249="","",IF(COUNTIFS(L_Sleutel,$S1249,L_Status,"Vastgesteld")=0,0,_xlfn.MAXIFS(L_Revisie,L_Sleutel,$S1249,L_Status,"Vastgesteld")+1))</f>
        <v/>
      </c>
      <c r="H1249" s="108" t="str">
        <f>IF($AG1249="","",P_Peildatum)</f>
        <v/>
      </c>
      <c r="I1249" s="92" t="str">
        <f>IF($AG1249="","",P_RJ+INDEX($AK$8:$AK$21,INDEX($AC$8:$AC$1407,$AG1249)+1))</f>
        <v/>
      </c>
      <c r="J1249" s="92" t="str">
        <f>IF($AG1249="","",INDEX(V_WBS,INDEX($AB$8:$AB$1407,$AG1249)))</f>
        <v/>
      </c>
      <c r="K1249" s="92" t="str">
        <f>IF($AG1249="","",INDEX(V_Projdef,INDEX($AB$8:$AB$1407,$AG1249)))</f>
        <v/>
      </c>
      <c r="L1249" s="92" t="str">
        <f>IF($AG1249="","",INDEX(V_Naam,INDEX($AB$8:$AB$1407,$AG1249)))</f>
        <v/>
      </c>
      <c r="M1249" s="92" t="str">
        <f>IF($AG1249="","",INDEX(V_Type,INDEX($AB$8:$AB$1407,$AG1249)))</f>
        <v/>
      </c>
      <c r="N1249" s="92" t="str">
        <f>IF($AG1249="","",INDEX(V_IFRS,INDEX($AB$8:$AB$1407,$AG1249)))</f>
        <v/>
      </c>
      <c r="O1249" s="92" t="str">
        <f>IF($AG1249="","",INDEX($AL$8:$AL$21,INDEX($AC$8:$AC$1407,$AG1249)+1))</f>
        <v/>
      </c>
      <c r="P1249" s="109" t="str">
        <f>IF($AG1249="","",INDEX($AD$8:$AD$1407,$AG1249))</f>
        <v/>
      </c>
      <c r="Q1249" s="92" t="str">
        <f>IF($AG1249="","",INDEX($AM$8:$AM$21,INDEX($AC$8:$AC$1407,$AG1249)+1))</f>
        <v/>
      </c>
      <c r="R1249" s="92" t="str">
        <f>IF($AG1249="","",IF($G1249&gt;0,P_ToelCorrectie&amp;"",""))</f>
        <v/>
      </c>
      <c r="S1249" s="15" t="str">
        <f>IF(J1249="","",J1249&amp;"|"&amp;E1249&amp;"|"&amp;F1249&amp;"|"&amp;I1249&amp;"|"&amp;O1249)</f>
        <v/>
      </c>
      <c r="T1249" s="111" t="str">
        <f>IF(S1249="","",IF(COUNTIFS(L_Sleutel,S1249,L_Actief,1)=0,"",SUMIFS(L_Waarde,L_Sleutel,S1249,L_Actief,1)))</f>
        <v/>
      </c>
      <c r="U1249" s="111">
        <f>IF(OR(S1249="",T1249=""),0,P1249-T1249)</f>
        <v>0</v>
      </c>
      <c r="AB1249" s="112" t="n">
        <v>89</v>
      </c>
      <c r="AC1249" s="112" t="n">
        <v>9</v>
      </c>
      <c r="AD1249" s="112" t="str">
        <f>VERW_Project!BR94</f>
        <v/>
      </c>
      <c r="AE1249" s="112">
        <f>IF(AND(VERW_Project!$A94&lt;&gt;"",ISNUMBER(AD1249)),1,0)</f>
        <v>0</v>
      </c>
      <c r="AF1249" s="112" t="str">
        <f>IF(AE1249=1,SUM($AE$8:AE1249),"")</f>
        <v/>
      </c>
      <c r="AG1249" t="str">
        <f>IFERROR(MATCH(1242,$AF$8:$AF$1407,0),"")</f>
        <v/>
      </c>
    </row>
    <row r="1250">
      <c r="A1250" s="92" t="str">
        <f>IF($AG1250="","",P_ImportID)</f>
        <v/>
      </c>
      <c r="B1250" s="92" t="str">
        <f>IF($AG1250="","",IF(INDEX($AN$8:$AN$21,INDEX($AC$8:$AC$1407,$AG1250)+1)="Z",P_BronZ,P_BronE))</f>
        <v/>
      </c>
      <c r="C1250" s="108" t="str">
        <f>IF($AG1250="","",P_Importdatum)</f>
        <v/>
      </c>
      <c r="D1250" s="92" t="str">
        <f>IF($AG1250="","",P_StatusVastleg)</f>
        <v/>
      </c>
      <c r="E1250" s="92" t="str">
        <f>IF($AG1250="","",P_UploadVJ)</f>
        <v/>
      </c>
      <c r="F1250" s="92" t="str">
        <f>IF($AG1250="","",P_UploadVersie)</f>
        <v/>
      </c>
      <c r="G1250" s="92" t="str">
        <f>IF($AG1250="","",IF(COUNTIFS(L_Sleutel,$S1250,L_Status,"Vastgesteld")=0,0,_xlfn.MAXIFS(L_Revisie,L_Sleutel,$S1250,L_Status,"Vastgesteld")+1))</f>
        <v/>
      </c>
      <c r="H1250" s="108" t="str">
        <f>IF($AG1250="","",P_Peildatum)</f>
        <v/>
      </c>
      <c r="I1250" s="92" t="str">
        <f>IF($AG1250="","",P_RJ+INDEX($AK$8:$AK$21,INDEX($AC$8:$AC$1407,$AG1250)+1))</f>
        <v/>
      </c>
      <c r="J1250" s="92" t="str">
        <f>IF($AG1250="","",INDEX(V_WBS,INDEX($AB$8:$AB$1407,$AG1250)))</f>
        <v/>
      </c>
      <c r="K1250" s="92" t="str">
        <f>IF($AG1250="","",INDEX(V_Projdef,INDEX($AB$8:$AB$1407,$AG1250)))</f>
        <v/>
      </c>
      <c r="L1250" s="92" t="str">
        <f>IF($AG1250="","",INDEX(V_Naam,INDEX($AB$8:$AB$1407,$AG1250)))</f>
        <v/>
      </c>
      <c r="M1250" s="92" t="str">
        <f>IF($AG1250="","",INDEX(V_Type,INDEX($AB$8:$AB$1407,$AG1250)))</f>
        <v/>
      </c>
      <c r="N1250" s="92" t="str">
        <f>IF($AG1250="","",INDEX(V_IFRS,INDEX($AB$8:$AB$1407,$AG1250)))</f>
        <v/>
      </c>
      <c r="O1250" s="92" t="str">
        <f>IF($AG1250="","",INDEX($AL$8:$AL$21,INDEX($AC$8:$AC$1407,$AG1250)+1))</f>
        <v/>
      </c>
      <c r="P1250" s="109" t="str">
        <f>IF($AG1250="","",INDEX($AD$8:$AD$1407,$AG1250))</f>
        <v/>
      </c>
      <c r="Q1250" s="92" t="str">
        <f>IF($AG1250="","",INDEX($AM$8:$AM$21,INDEX($AC$8:$AC$1407,$AG1250)+1))</f>
        <v/>
      </c>
      <c r="R1250" s="92" t="str">
        <f>IF($AG1250="","",IF($G1250&gt;0,P_ToelCorrectie&amp;"",""))</f>
        <v/>
      </c>
      <c r="S1250" s="15" t="str">
        <f>IF(J1250="","",J1250&amp;"|"&amp;E1250&amp;"|"&amp;F1250&amp;"|"&amp;I1250&amp;"|"&amp;O1250)</f>
        <v/>
      </c>
      <c r="T1250" s="111" t="str">
        <f>IF(S1250="","",IF(COUNTIFS(L_Sleutel,S1250,L_Actief,1)=0,"",SUMIFS(L_Waarde,L_Sleutel,S1250,L_Actief,1)))</f>
        <v/>
      </c>
      <c r="U1250" s="111">
        <f>IF(OR(S1250="",T1250=""),0,P1250-T1250)</f>
        <v>0</v>
      </c>
      <c r="AB1250" s="112" t="n">
        <v>89</v>
      </c>
      <c r="AC1250" s="112" t="n">
        <v>10</v>
      </c>
      <c r="AD1250" s="112" t="str">
        <f>VERW_Project!BS94</f>
        <v/>
      </c>
      <c r="AE1250" s="112">
        <f>IF(AND(VERW_Project!$A94&lt;&gt;"",ISNUMBER(AD1250)),1,0)</f>
        <v>0</v>
      </c>
      <c r="AF1250" s="112" t="str">
        <f>IF(AE1250=1,SUM($AE$8:AE1250),"")</f>
        <v/>
      </c>
      <c r="AG1250" t="str">
        <f>IFERROR(MATCH(1243,$AF$8:$AF$1407,0),"")</f>
        <v/>
      </c>
    </row>
    <row r="1251">
      <c r="A1251" s="92" t="str">
        <f>IF($AG1251="","",P_ImportID)</f>
        <v/>
      </c>
      <c r="B1251" s="92" t="str">
        <f>IF($AG1251="","",IF(INDEX($AN$8:$AN$21,INDEX($AC$8:$AC$1407,$AG1251)+1)="Z",P_BronZ,P_BronE))</f>
        <v/>
      </c>
      <c r="C1251" s="108" t="str">
        <f>IF($AG1251="","",P_Importdatum)</f>
        <v/>
      </c>
      <c r="D1251" s="92" t="str">
        <f>IF($AG1251="","",P_StatusVastleg)</f>
        <v/>
      </c>
      <c r="E1251" s="92" t="str">
        <f>IF($AG1251="","",P_UploadVJ)</f>
        <v/>
      </c>
      <c r="F1251" s="92" t="str">
        <f>IF($AG1251="","",P_UploadVersie)</f>
        <v/>
      </c>
      <c r="G1251" s="92" t="str">
        <f>IF($AG1251="","",IF(COUNTIFS(L_Sleutel,$S1251,L_Status,"Vastgesteld")=0,0,_xlfn.MAXIFS(L_Revisie,L_Sleutel,$S1251,L_Status,"Vastgesteld")+1))</f>
        <v/>
      </c>
      <c r="H1251" s="108" t="str">
        <f>IF($AG1251="","",P_Peildatum)</f>
        <v/>
      </c>
      <c r="I1251" s="92" t="str">
        <f>IF($AG1251="","",P_RJ+INDEX($AK$8:$AK$21,INDEX($AC$8:$AC$1407,$AG1251)+1))</f>
        <v/>
      </c>
      <c r="J1251" s="92" t="str">
        <f>IF($AG1251="","",INDEX(V_WBS,INDEX($AB$8:$AB$1407,$AG1251)))</f>
        <v/>
      </c>
      <c r="K1251" s="92" t="str">
        <f>IF($AG1251="","",INDEX(V_Projdef,INDEX($AB$8:$AB$1407,$AG1251)))</f>
        <v/>
      </c>
      <c r="L1251" s="92" t="str">
        <f>IF($AG1251="","",INDEX(V_Naam,INDEX($AB$8:$AB$1407,$AG1251)))</f>
        <v/>
      </c>
      <c r="M1251" s="92" t="str">
        <f>IF($AG1251="","",INDEX(V_Type,INDEX($AB$8:$AB$1407,$AG1251)))</f>
        <v/>
      </c>
      <c r="N1251" s="92" t="str">
        <f>IF($AG1251="","",INDEX(V_IFRS,INDEX($AB$8:$AB$1407,$AG1251)))</f>
        <v/>
      </c>
      <c r="O1251" s="92" t="str">
        <f>IF($AG1251="","",INDEX($AL$8:$AL$21,INDEX($AC$8:$AC$1407,$AG1251)+1))</f>
        <v/>
      </c>
      <c r="P1251" s="109" t="str">
        <f>IF($AG1251="","",INDEX($AD$8:$AD$1407,$AG1251))</f>
        <v/>
      </c>
      <c r="Q1251" s="92" t="str">
        <f>IF($AG1251="","",INDEX($AM$8:$AM$21,INDEX($AC$8:$AC$1407,$AG1251)+1))</f>
        <v/>
      </c>
      <c r="R1251" s="92" t="str">
        <f>IF($AG1251="","",IF($G1251&gt;0,P_ToelCorrectie&amp;"",""))</f>
        <v/>
      </c>
      <c r="S1251" s="15" t="str">
        <f>IF(J1251="","",J1251&amp;"|"&amp;E1251&amp;"|"&amp;F1251&amp;"|"&amp;I1251&amp;"|"&amp;O1251)</f>
        <v/>
      </c>
      <c r="T1251" s="111" t="str">
        <f>IF(S1251="","",IF(COUNTIFS(L_Sleutel,S1251,L_Actief,1)=0,"",SUMIFS(L_Waarde,L_Sleutel,S1251,L_Actief,1)))</f>
        <v/>
      </c>
      <c r="U1251" s="111">
        <f>IF(OR(S1251="",T1251=""),0,P1251-T1251)</f>
        <v>0</v>
      </c>
      <c r="AB1251" s="112" t="n">
        <v>89</v>
      </c>
      <c r="AC1251" s="112" t="n">
        <v>11</v>
      </c>
      <c r="AD1251" s="112" t="str">
        <f>VERW_Project!BT94</f>
        <v/>
      </c>
      <c r="AE1251" s="112">
        <f>IF(AND(VERW_Project!$A94&lt;&gt;"",ISNUMBER(AD1251)),1,0)</f>
        <v>0</v>
      </c>
      <c r="AF1251" s="112" t="str">
        <f>IF(AE1251=1,SUM($AE$8:AE1251),"")</f>
        <v/>
      </c>
      <c r="AG1251" t="str">
        <f>IFERROR(MATCH(1244,$AF$8:$AF$1407,0),"")</f>
        <v/>
      </c>
    </row>
    <row r="1252">
      <c r="A1252" s="92" t="str">
        <f>IF($AG1252="","",P_ImportID)</f>
        <v/>
      </c>
      <c r="B1252" s="92" t="str">
        <f>IF($AG1252="","",IF(INDEX($AN$8:$AN$21,INDEX($AC$8:$AC$1407,$AG1252)+1)="Z",P_BronZ,P_BronE))</f>
        <v/>
      </c>
      <c r="C1252" s="108" t="str">
        <f>IF($AG1252="","",P_Importdatum)</f>
        <v/>
      </c>
      <c r="D1252" s="92" t="str">
        <f>IF($AG1252="","",P_StatusVastleg)</f>
        <v/>
      </c>
      <c r="E1252" s="92" t="str">
        <f>IF($AG1252="","",P_UploadVJ)</f>
        <v/>
      </c>
      <c r="F1252" s="92" t="str">
        <f>IF($AG1252="","",P_UploadVersie)</f>
        <v/>
      </c>
      <c r="G1252" s="92" t="str">
        <f>IF($AG1252="","",IF(COUNTIFS(L_Sleutel,$S1252,L_Status,"Vastgesteld")=0,0,_xlfn.MAXIFS(L_Revisie,L_Sleutel,$S1252,L_Status,"Vastgesteld")+1))</f>
        <v/>
      </c>
      <c r="H1252" s="108" t="str">
        <f>IF($AG1252="","",P_Peildatum)</f>
        <v/>
      </c>
      <c r="I1252" s="92" t="str">
        <f>IF($AG1252="","",P_RJ+INDEX($AK$8:$AK$21,INDEX($AC$8:$AC$1407,$AG1252)+1))</f>
        <v/>
      </c>
      <c r="J1252" s="92" t="str">
        <f>IF($AG1252="","",INDEX(V_WBS,INDEX($AB$8:$AB$1407,$AG1252)))</f>
        <v/>
      </c>
      <c r="K1252" s="92" t="str">
        <f>IF($AG1252="","",INDEX(V_Projdef,INDEX($AB$8:$AB$1407,$AG1252)))</f>
        <v/>
      </c>
      <c r="L1252" s="92" t="str">
        <f>IF($AG1252="","",INDEX(V_Naam,INDEX($AB$8:$AB$1407,$AG1252)))</f>
        <v/>
      </c>
      <c r="M1252" s="92" t="str">
        <f>IF($AG1252="","",INDEX(V_Type,INDEX($AB$8:$AB$1407,$AG1252)))</f>
        <v/>
      </c>
      <c r="N1252" s="92" t="str">
        <f>IF($AG1252="","",INDEX(V_IFRS,INDEX($AB$8:$AB$1407,$AG1252)))</f>
        <v/>
      </c>
      <c r="O1252" s="92" t="str">
        <f>IF($AG1252="","",INDEX($AL$8:$AL$21,INDEX($AC$8:$AC$1407,$AG1252)+1))</f>
        <v/>
      </c>
      <c r="P1252" s="109" t="str">
        <f>IF($AG1252="","",INDEX($AD$8:$AD$1407,$AG1252))</f>
        <v/>
      </c>
      <c r="Q1252" s="92" t="str">
        <f>IF($AG1252="","",INDEX($AM$8:$AM$21,INDEX($AC$8:$AC$1407,$AG1252)+1))</f>
        <v/>
      </c>
      <c r="R1252" s="92" t="str">
        <f>IF($AG1252="","",IF($G1252&gt;0,P_ToelCorrectie&amp;"",""))</f>
        <v/>
      </c>
      <c r="S1252" s="15" t="str">
        <f>IF(J1252="","",J1252&amp;"|"&amp;E1252&amp;"|"&amp;F1252&amp;"|"&amp;I1252&amp;"|"&amp;O1252)</f>
        <v/>
      </c>
      <c r="T1252" s="111" t="str">
        <f>IF(S1252="","",IF(COUNTIFS(L_Sleutel,S1252,L_Actief,1)=0,"",SUMIFS(L_Waarde,L_Sleutel,S1252,L_Actief,1)))</f>
        <v/>
      </c>
      <c r="U1252" s="111">
        <f>IF(OR(S1252="",T1252=""),0,P1252-T1252)</f>
        <v>0</v>
      </c>
      <c r="AB1252" s="112" t="n">
        <v>89</v>
      </c>
      <c r="AC1252" s="112" t="n">
        <v>12</v>
      </c>
      <c r="AD1252" s="112" t="str">
        <f>VERW_Project!BU94</f>
        <v/>
      </c>
      <c r="AE1252" s="112">
        <f>IF(AND(VERW_Project!$A94&lt;&gt;"",ISNUMBER(AD1252)),1,0)</f>
        <v>0</v>
      </c>
      <c r="AF1252" s="112" t="str">
        <f>IF(AE1252=1,SUM($AE$8:AE1252),"")</f>
        <v/>
      </c>
      <c r="AG1252" t="str">
        <f>IFERROR(MATCH(1245,$AF$8:$AF$1407,0),"")</f>
        <v/>
      </c>
    </row>
    <row r="1253">
      <c r="A1253" s="92" t="str">
        <f>IF($AG1253="","",P_ImportID)</f>
        <v/>
      </c>
      <c r="B1253" s="92" t="str">
        <f>IF($AG1253="","",IF(INDEX($AN$8:$AN$21,INDEX($AC$8:$AC$1407,$AG1253)+1)="Z",P_BronZ,P_BronE))</f>
        <v/>
      </c>
      <c r="C1253" s="108" t="str">
        <f>IF($AG1253="","",P_Importdatum)</f>
        <v/>
      </c>
      <c r="D1253" s="92" t="str">
        <f>IF($AG1253="","",P_StatusVastleg)</f>
        <v/>
      </c>
      <c r="E1253" s="92" t="str">
        <f>IF($AG1253="","",P_UploadVJ)</f>
        <v/>
      </c>
      <c r="F1253" s="92" t="str">
        <f>IF($AG1253="","",P_UploadVersie)</f>
        <v/>
      </c>
      <c r="G1253" s="92" t="str">
        <f>IF($AG1253="","",IF(COUNTIFS(L_Sleutel,$S1253,L_Status,"Vastgesteld")=0,0,_xlfn.MAXIFS(L_Revisie,L_Sleutel,$S1253,L_Status,"Vastgesteld")+1))</f>
        <v/>
      </c>
      <c r="H1253" s="108" t="str">
        <f>IF($AG1253="","",P_Peildatum)</f>
        <v/>
      </c>
      <c r="I1253" s="92" t="str">
        <f>IF($AG1253="","",P_RJ+INDEX($AK$8:$AK$21,INDEX($AC$8:$AC$1407,$AG1253)+1))</f>
        <v/>
      </c>
      <c r="J1253" s="92" t="str">
        <f>IF($AG1253="","",INDEX(V_WBS,INDEX($AB$8:$AB$1407,$AG1253)))</f>
        <v/>
      </c>
      <c r="K1253" s="92" t="str">
        <f>IF($AG1253="","",INDEX(V_Projdef,INDEX($AB$8:$AB$1407,$AG1253)))</f>
        <v/>
      </c>
      <c r="L1253" s="92" t="str">
        <f>IF($AG1253="","",INDEX(V_Naam,INDEX($AB$8:$AB$1407,$AG1253)))</f>
        <v/>
      </c>
      <c r="M1253" s="92" t="str">
        <f>IF($AG1253="","",INDEX(V_Type,INDEX($AB$8:$AB$1407,$AG1253)))</f>
        <v/>
      </c>
      <c r="N1253" s="92" t="str">
        <f>IF($AG1253="","",INDEX(V_IFRS,INDEX($AB$8:$AB$1407,$AG1253)))</f>
        <v/>
      </c>
      <c r="O1253" s="92" t="str">
        <f>IF($AG1253="","",INDEX($AL$8:$AL$21,INDEX($AC$8:$AC$1407,$AG1253)+1))</f>
        <v/>
      </c>
      <c r="P1253" s="109" t="str">
        <f>IF($AG1253="","",INDEX($AD$8:$AD$1407,$AG1253))</f>
        <v/>
      </c>
      <c r="Q1253" s="92" t="str">
        <f>IF($AG1253="","",INDEX($AM$8:$AM$21,INDEX($AC$8:$AC$1407,$AG1253)+1))</f>
        <v/>
      </c>
      <c r="R1253" s="92" t="str">
        <f>IF($AG1253="","",IF($G1253&gt;0,P_ToelCorrectie&amp;"",""))</f>
        <v/>
      </c>
      <c r="S1253" s="15" t="str">
        <f>IF(J1253="","",J1253&amp;"|"&amp;E1253&amp;"|"&amp;F1253&amp;"|"&amp;I1253&amp;"|"&amp;O1253)</f>
        <v/>
      </c>
      <c r="T1253" s="111" t="str">
        <f>IF(S1253="","",IF(COUNTIFS(L_Sleutel,S1253,L_Actief,1)=0,"",SUMIFS(L_Waarde,L_Sleutel,S1253,L_Actief,1)))</f>
        <v/>
      </c>
      <c r="U1253" s="111">
        <f>IF(OR(S1253="",T1253=""),0,P1253-T1253)</f>
        <v>0</v>
      </c>
      <c r="AB1253" s="112" t="n">
        <v>89</v>
      </c>
      <c r="AC1253" s="112" t="n">
        <v>13</v>
      </c>
      <c r="AD1253" s="112" t="str">
        <f>VERW_Project!BX94</f>
        <v/>
      </c>
      <c r="AE1253" s="112">
        <f>IF(AND(VERW_Project!$A94&lt;&gt;"",ISNUMBER(AD1253)),1,0)</f>
        <v>0</v>
      </c>
      <c r="AF1253" s="112" t="str">
        <f>IF(AE1253=1,SUM($AE$8:AE1253),"")</f>
        <v/>
      </c>
      <c r="AG1253" t="str">
        <f>IFERROR(MATCH(1246,$AF$8:$AF$1407,0),"")</f>
        <v/>
      </c>
    </row>
    <row r="1254">
      <c r="A1254" s="92" t="str">
        <f>IF($AG1254="","",P_ImportID)</f>
        <v/>
      </c>
      <c r="B1254" s="92" t="str">
        <f>IF($AG1254="","",IF(INDEX($AN$8:$AN$21,INDEX($AC$8:$AC$1407,$AG1254)+1)="Z",P_BronZ,P_BronE))</f>
        <v/>
      </c>
      <c r="C1254" s="108" t="str">
        <f>IF($AG1254="","",P_Importdatum)</f>
        <v/>
      </c>
      <c r="D1254" s="92" t="str">
        <f>IF($AG1254="","",P_StatusVastleg)</f>
        <v/>
      </c>
      <c r="E1254" s="92" t="str">
        <f>IF($AG1254="","",P_UploadVJ)</f>
        <v/>
      </c>
      <c r="F1254" s="92" t="str">
        <f>IF($AG1254="","",P_UploadVersie)</f>
        <v/>
      </c>
      <c r="G1254" s="92" t="str">
        <f>IF($AG1254="","",IF(COUNTIFS(L_Sleutel,$S1254,L_Status,"Vastgesteld")=0,0,_xlfn.MAXIFS(L_Revisie,L_Sleutel,$S1254,L_Status,"Vastgesteld")+1))</f>
        <v/>
      </c>
      <c r="H1254" s="108" t="str">
        <f>IF($AG1254="","",P_Peildatum)</f>
        <v/>
      </c>
      <c r="I1254" s="92" t="str">
        <f>IF($AG1254="","",P_RJ+INDEX($AK$8:$AK$21,INDEX($AC$8:$AC$1407,$AG1254)+1))</f>
        <v/>
      </c>
      <c r="J1254" s="92" t="str">
        <f>IF($AG1254="","",INDEX(V_WBS,INDEX($AB$8:$AB$1407,$AG1254)))</f>
        <v/>
      </c>
      <c r="K1254" s="92" t="str">
        <f>IF($AG1254="","",INDEX(V_Projdef,INDEX($AB$8:$AB$1407,$AG1254)))</f>
        <v/>
      </c>
      <c r="L1254" s="92" t="str">
        <f>IF($AG1254="","",INDEX(V_Naam,INDEX($AB$8:$AB$1407,$AG1254)))</f>
        <v/>
      </c>
      <c r="M1254" s="92" t="str">
        <f>IF($AG1254="","",INDEX(V_Type,INDEX($AB$8:$AB$1407,$AG1254)))</f>
        <v/>
      </c>
      <c r="N1254" s="92" t="str">
        <f>IF($AG1254="","",INDEX(V_IFRS,INDEX($AB$8:$AB$1407,$AG1254)))</f>
        <v/>
      </c>
      <c r="O1254" s="92" t="str">
        <f>IF($AG1254="","",INDEX($AL$8:$AL$21,INDEX($AC$8:$AC$1407,$AG1254)+1))</f>
        <v/>
      </c>
      <c r="P1254" s="109" t="str">
        <f>IF($AG1254="","",INDEX($AD$8:$AD$1407,$AG1254))</f>
        <v/>
      </c>
      <c r="Q1254" s="92" t="str">
        <f>IF($AG1254="","",INDEX($AM$8:$AM$21,INDEX($AC$8:$AC$1407,$AG1254)+1))</f>
        <v/>
      </c>
      <c r="R1254" s="92" t="str">
        <f>IF($AG1254="","",IF($G1254&gt;0,P_ToelCorrectie&amp;"",""))</f>
        <v/>
      </c>
      <c r="S1254" s="15" t="str">
        <f>IF(J1254="","",J1254&amp;"|"&amp;E1254&amp;"|"&amp;F1254&amp;"|"&amp;I1254&amp;"|"&amp;O1254)</f>
        <v/>
      </c>
      <c r="T1254" s="111" t="str">
        <f>IF(S1254="","",IF(COUNTIFS(L_Sleutel,S1254,L_Actief,1)=0,"",SUMIFS(L_Waarde,L_Sleutel,S1254,L_Actief,1)))</f>
        <v/>
      </c>
      <c r="U1254" s="111">
        <f>IF(OR(S1254="",T1254=""),0,P1254-T1254)</f>
        <v>0</v>
      </c>
      <c r="AB1254" s="112" t="n">
        <v>90</v>
      </c>
      <c r="AC1254" s="112" t="n">
        <v>0</v>
      </c>
      <c r="AD1254" s="112" t="str">
        <f>VERW_Project!P95</f>
        <v/>
      </c>
      <c r="AE1254" s="112">
        <f>IF(AND(VERW_Project!$A95&lt;&gt;"",ISNUMBER(AD1254)),1,0)</f>
        <v>0</v>
      </c>
      <c r="AF1254" s="112" t="str">
        <f>IF(AE1254=1,SUM($AE$8:AE1254),"")</f>
        <v/>
      </c>
      <c r="AG1254" t="str">
        <f>IFERROR(MATCH(1247,$AF$8:$AF$1407,0),"")</f>
        <v/>
      </c>
    </row>
    <row r="1255">
      <c r="A1255" s="92" t="str">
        <f>IF($AG1255="","",P_ImportID)</f>
        <v/>
      </c>
      <c r="B1255" s="92" t="str">
        <f>IF($AG1255="","",IF(INDEX($AN$8:$AN$21,INDEX($AC$8:$AC$1407,$AG1255)+1)="Z",P_BronZ,P_BronE))</f>
        <v/>
      </c>
      <c r="C1255" s="108" t="str">
        <f>IF($AG1255="","",P_Importdatum)</f>
        <v/>
      </c>
      <c r="D1255" s="92" t="str">
        <f>IF($AG1255="","",P_StatusVastleg)</f>
        <v/>
      </c>
      <c r="E1255" s="92" t="str">
        <f>IF($AG1255="","",P_UploadVJ)</f>
        <v/>
      </c>
      <c r="F1255" s="92" t="str">
        <f>IF($AG1255="","",P_UploadVersie)</f>
        <v/>
      </c>
      <c r="G1255" s="92" t="str">
        <f>IF($AG1255="","",IF(COUNTIFS(L_Sleutel,$S1255,L_Status,"Vastgesteld")=0,0,_xlfn.MAXIFS(L_Revisie,L_Sleutel,$S1255,L_Status,"Vastgesteld")+1))</f>
        <v/>
      </c>
      <c r="H1255" s="108" t="str">
        <f>IF($AG1255="","",P_Peildatum)</f>
        <v/>
      </c>
      <c r="I1255" s="92" t="str">
        <f>IF($AG1255="","",P_RJ+INDEX($AK$8:$AK$21,INDEX($AC$8:$AC$1407,$AG1255)+1))</f>
        <v/>
      </c>
      <c r="J1255" s="92" t="str">
        <f>IF($AG1255="","",INDEX(V_WBS,INDEX($AB$8:$AB$1407,$AG1255)))</f>
        <v/>
      </c>
      <c r="K1255" s="92" t="str">
        <f>IF($AG1255="","",INDEX(V_Projdef,INDEX($AB$8:$AB$1407,$AG1255)))</f>
        <v/>
      </c>
      <c r="L1255" s="92" t="str">
        <f>IF($AG1255="","",INDEX(V_Naam,INDEX($AB$8:$AB$1407,$AG1255)))</f>
        <v/>
      </c>
      <c r="M1255" s="92" t="str">
        <f>IF($AG1255="","",INDEX(V_Type,INDEX($AB$8:$AB$1407,$AG1255)))</f>
        <v/>
      </c>
      <c r="N1255" s="92" t="str">
        <f>IF($AG1255="","",INDEX(V_IFRS,INDEX($AB$8:$AB$1407,$AG1255)))</f>
        <v/>
      </c>
      <c r="O1255" s="92" t="str">
        <f>IF($AG1255="","",INDEX($AL$8:$AL$21,INDEX($AC$8:$AC$1407,$AG1255)+1))</f>
        <v/>
      </c>
      <c r="P1255" s="109" t="str">
        <f>IF($AG1255="","",INDEX($AD$8:$AD$1407,$AG1255))</f>
        <v/>
      </c>
      <c r="Q1255" s="92" t="str">
        <f>IF($AG1255="","",INDEX($AM$8:$AM$21,INDEX($AC$8:$AC$1407,$AG1255)+1))</f>
        <v/>
      </c>
      <c r="R1255" s="92" t="str">
        <f>IF($AG1255="","",IF($G1255&gt;0,P_ToelCorrectie&amp;"",""))</f>
        <v/>
      </c>
      <c r="S1255" s="15" t="str">
        <f>IF(J1255="","",J1255&amp;"|"&amp;E1255&amp;"|"&amp;F1255&amp;"|"&amp;I1255&amp;"|"&amp;O1255)</f>
        <v/>
      </c>
      <c r="T1255" s="111" t="str">
        <f>IF(S1255="","",IF(COUNTIFS(L_Sleutel,S1255,L_Actief,1)=0,"",SUMIFS(L_Waarde,L_Sleutel,S1255,L_Actief,1)))</f>
        <v/>
      </c>
      <c r="U1255" s="111">
        <f>IF(OR(S1255="",T1255=""),0,P1255-T1255)</f>
        <v>0</v>
      </c>
      <c r="AB1255" s="112" t="n">
        <v>90</v>
      </c>
      <c r="AC1255" s="112" t="n">
        <v>1</v>
      </c>
      <c r="AD1255" s="112" t="str">
        <f>VERW_Project!Q95</f>
        <v/>
      </c>
      <c r="AE1255" s="112">
        <f>IF(AND(VERW_Project!$A95&lt;&gt;"",ISNUMBER(AD1255)),1,0)</f>
        <v>0</v>
      </c>
      <c r="AF1255" s="112" t="str">
        <f>IF(AE1255=1,SUM($AE$8:AE1255),"")</f>
        <v/>
      </c>
      <c r="AG1255" t="str">
        <f>IFERROR(MATCH(1248,$AF$8:$AF$1407,0),"")</f>
        <v/>
      </c>
    </row>
    <row r="1256">
      <c r="A1256" s="92" t="str">
        <f>IF($AG1256="","",P_ImportID)</f>
        <v/>
      </c>
      <c r="B1256" s="92" t="str">
        <f>IF($AG1256="","",IF(INDEX($AN$8:$AN$21,INDEX($AC$8:$AC$1407,$AG1256)+1)="Z",P_BronZ,P_BronE))</f>
        <v/>
      </c>
      <c r="C1256" s="108" t="str">
        <f>IF($AG1256="","",P_Importdatum)</f>
        <v/>
      </c>
      <c r="D1256" s="92" t="str">
        <f>IF($AG1256="","",P_StatusVastleg)</f>
        <v/>
      </c>
      <c r="E1256" s="92" t="str">
        <f>IF($AG1256="","",P_UploadVJ)</f>
        <v/>
      </c>
      <c r="F1256" s="92" t="str">
        <f>IF($AG1256="","",P_UploadVersie)</f>
        <v/>
      </c>
      <c r="G1256" s="92" t="str">
        <f>IF($AG1256="","",IF(COUNTIFS(L_Sleutel,$S1256,L_Status,"Vastgesteld")=0,0,_xlfn.MAXIFS(L_Revisie,L_Sleutel,$S1256,L_Status,"Vastgesteld")+1))</f>
        <v/>
      </c>
      <c r="H1256" s="108" t="str">
        <f>IF($AG1256="","",P_Peildatum)</f>
        <v/>
      </c>
      <c r="I1256" s="92" t="str">
        <f>IF($AG1256="","",P_RJ+INDEX($AK$8:$AK$21,INDEX($AC$8:$AC$1407,$AG1256)+1))</f>
        <v/>
      </c>
      <c r="J1256" s="92" t="str">
        <f>IF($AG1256="","",INDEX(V_WBS,INDEX($AB$8:$AB$1407,$AG1256)))</f>
        <v/>
      </c>
      <c r="K1256" s="92" t="str">
        <f>IF($AG1256="","",INDEX(V_Projdef,INDEX($AB$8:$AB$1407,$AG1256)))</f>
        <v/>
      </c>
      <c r="L1256" s="92" t="str">
        <f>IF($AG1256="","",INDEX(V_Naam,INDEX($AB$8:$AB$1407,$AG1256)))</f>
        <v/>
      </c>
      <c r="M1256" s="92" t="str">
        <f>IF($AG1256="","",INDEX(V_Type,INDEX($AB$8:$AB$1407,$AG1256)))</f>
        <v/>
      </c>
      <c r="N1256" s="92" t="str">
        <f>IF($AG1256="","",INDEX(V_IFRS,INDEX($AB$8:$AB$1407,$AG1256)))</f>
        <v/>
      </c>
      <c r="O1256" s="92" t="str">
        <f>IF($AG1256="","",INDEX($AL$8:$AL$21,INDEX($AC$8:$AC$1407,$AG1256)+1))</f>
        <v/>
      </c>
      <c r="P1256" s="109" t="str">
        <f>IF($AG1256="","",INDEX($AD$8:$AD$1407,$AG1256))</f>
        <v/>
      </c>
      <c r="Q1256" s="92" t="str">
        <f>IF($AG1256="","",INDEX($AM$8:$AM$21,INDEX($AC$8:$AC$1407,$AG1256)+1))</f>
        <v/>
      </c>
      <c r="R1256" s="92" t="str">
        <f>IF($AG1256="","",IF($G1256&gt;0,P_ToelCorrectie&amp;"",""))</f>
        <v/>
      </c>
      <c r="S1256" s="15" t="str">
        <f>IF(J1256="","",J1256&amp;"|"&amp;E1256&amp;"|"&amp;F1256&amp;"|"&amp;I1256&amp;"|"&amp;O1256)</f>
        <v/>
      </c>
      <c r="T1256" s="111" t="str">
        <f>IF(S1256="","",IF(COUNTIFS(L_Sleutel,S1256,L_Actief,1)=0,"",SUMIFS(L_Waarde,L_Sleutel,S1256,L_Actief,1)))</f>
        <v/>
      </c>
      <c r="U1256" s="111">
        <f>IF(OR(S1256="",T1256=""),0,P1256-T1256)</f>
        <v>0</v>
      </c>
      <c r="AB1256" s="112" t="n">
        <v>90</v>
      </c>
      <c r="AC1256" s="112" t="n">
        <v>2</v>
      </c>
      <c r="AD1256" s="112" t="str">
        <f>VERW_Project!L95</f>
        <v/>
      </c>
      <c r="AE1256" s="112">
        <f>IF(AND(VERW_Project!$A95&lt;&gt;"",ISNUMBER(AD1256)),1,0)</f>
        <v>0</v>
      </c>
      <c r="AF1256" s="112" t="str">
        <f>IF(AE1256=1,SUM($AE$8:AE1256),"")</f>
        <v/>
      </c>
      <c r="AG1256" t="str">
        <f>IFERROR(MATCH(1249,$AF$8:$AF$1407,0),"")</f>
        <v/>
      </c>
    </row>
    <row r="1257">
      <c r="A1257" s="92" t="str">
        <f>IF($AG1257="","",P_ImportID)</f>
        <v/>
      </c>
      <c r="B1257" s="92" t="str">
        <f>IF($AG1257="","",IF(INDEX($AN$8:$AN$21,INDEX($AC$8:$AC$1407,$AG1257)+1)="Z",P_BronZ,P_BronE))</f>
        <v/>
      </c>
      <c r="C1257" s="108" t="str">
        <f>IF($AG1257="","",P_Importdatum)</f>
        <v/>
      </c>
      <c r="D1257" s="92" t="str">
        <f>IF($AG1257="","",P_StatusVastleg)</f>
        <v/>
      </c>
      <c r="E1257" s="92" t="str">
        <f>IF($AG1257="","",P_UploadVJ)</f>
        <v/>
      </c>
      <c r="F1257" s="92" t="str">
        <f>IF($AG1257="","",P_UploadVersie)</f>
        <v/>
      </c>
      <c r="G1257" s="92" t="str">
        <f>IF($AG1257="","",IF(COUNTIFS(L_Sleutel,$S1257,L_Status,"Vastgesteld")=0,0,_xlfn.MAXIFS(L_Revisie,L_Sleutel,$S1257,L_Status,"Vastgesteld")+1))</f>
        <v/>
      </c>
      <c r="H1257" s="108" t="str">
        <f>IF($AG1257="","",P_Peildatum)</f>
        <v/>
      </c>
      <c r="I1257" s="92" t="str">
        <f>IF($AG1257="","",P_RJ+INDEX($AK$8:$AK$21,INDEX($AC$8:$AC$1407,$AG1257)+1))</f>
        <v/>
      </c>
      <c r="J1257" s="92" t="str">
        <f>IF($AG1257="","",INDEX(V_WBS,INDEX($AB$8:$AB$1407,$AG1257)))</f>
        <v/>
      </c>
      <c r="K1257" s="92" t="str">
        <f>IF($AG1257="","",INDEX(V_Projdef,INDEX($AB$8:$AB$1407,$AG1257)))</f>
        <v/>
      </c>
      <c r="L1257" s="92" t="str">
        <f>IF($AG1257="","",INDEX(V_Naam,INDEX($AB$8:$AB$1407,$AG1257)))</f>
        <v/>
      </c>
      <c r="M1257" s="92" t="str">
        <f>IF($AG1257="","",INDEX(V_Type,INDEX($AB$8:$AB$1407,$AG1257)))</f>
        <v/>
      </c>
      <c r="N1257" s="92" t="str">
        <f>IF($AG1257="","",INDEX(V_IFRS,INDEX($AB$8:$AB$1407,$AG1257)))</f>
        <v/>
      </c>
      <c r="O1257" s="92" t="str">
        <f>IF($AG1257="","",INDEX($AL$8:$AL$21,INDEX($AC$8:$AC$1407,$AG1257)+1))</f>
        <v/>
      </c>
      <c r="P1257" s="109" t="str">
        <f>IF($AG1257="","",INDEX($AD$8:$AD$1407,$AG1257))</f>
        <v/>
      </c>
      <c r="Q1257" s="92" t="str">
        <f>IF($AG1257="","",INDEX($AM$8:$AM$21,INDEX($AC$8:$AC$1407,$AG1257)+1))</f>
        <v/>
      </c>
      <c r="R1257" s="92" t="str">
        <f>IF($AG1257="","",IF($G1257&gt;0,P_ToelCorrectie&amp;"",""))</f>
        <v/>
      </c>
      <c r="S1257" s="15" t="str">
        <f>IF(J1257="","",J1257&amp;"|"&amp;E1257&amp;"|"&amp;F1257&amp;"|"&amp;I1257&amp;"|"&amp;O1257)</f>
        <v/>
      </c>
      <c r="T1257" s="111" t="str">
        <f>IF(S1257="","",IF(COUNTIFS(L_Sleutel,S1257,L_Actief,1)=0,"",SUMIFS(L_Waarde,L_Sleutel,S1257,L_Actief,1)))</f>
        <v/>
      </c>
      <c r="U1257" s="111">
        <f>IF(OR(S1257="",T1257=""),0,P1257-T1257)</f>
        <v>0</v>
      </c>
      <c r="AB1257" s="112" t="n">
        <v>90</v>
      </c>
      <c r="AC1257" s="112" t="n">
        <v>3</v>
      </c>
      <c r="AD1257" s="112" t="str">
        <f>VERW_Project!M95</f>
        <v/>
      </c>
      <c r="AE1257" s="112">
        <f>IF(AND(VERW_Project!$A95&lt;&gt;"",ISNUMBER(AD1257)),1,0)</f>
        <v>0</v>
      </c>
      <c r="AF1257" s="112" t="str">
        <f>IF(AE1257=1,SUM($AE$8:AE1257),"")</f>
        <v/>
      </c>
      <c r="AG1257" t="str">
        <f>IFERROR(MATCH(1250,$AF$8:$AF$1407,0),"")</f>
        <v/>
      </c>
    </row>
    <row r="1258">
      <c r="A1258" s="92" t="str">
        <f>IF($AG1258="","",P_ImportID)</f>
        <v/>
      </c>
      <c r="B1258" s="92" t="str">
        <f>IF($AG1258="","",IF(INDEX($AN$8:$AN$21,INDEX($AC$8:$AC$1407,$AG1258)+1)="Z",P_BronZ,P_BronE))</f>
        <v/>
      </c>
      <c r="C1258" s="108" t="str">
        <f>IF($AG1258="","",P_Importdatum)</f>
        <v/>
      </c>
      <c r="D1258" s="92" t="str">
        <f>IF($AG1258="","",P_StatusVastleg)</f>
        <v/>
      </c>
      <c r="E1258" s="92" t="str">
        <f>IF($AG1258="","",P_UploadVJ)</f>
        <v/>
      </c>
      <c r="F1258" s="92" t="str">
        <f>IF($AG1258="","",P_UploadVersie)</f>
        <v/>
      </c>
      <c r="G1258" s="92" t="str">
        <f>IF($AG1258="","",IF(COUNTIFS(L_Sleutel,$S1258,L_Status,"Vastgesteld")=0,0,_xlfn.MAXIFS(L_Revisie,L_Sleutel,$S1258,L_Status,"Vastgesteld")+1))</f>
        <v/>
      </c>
      <c r="H1258" s="108" t="str">
        <f>IF($AG1258="","",P_Peildatum)</f>
        <v/>
      </c>
      <c r="I1258" s="92" t="str">
        <f>IF($AG1258="","",P_RJ+INDEX($AK$8:$AK$21,INDEX($AC$8:$AC$1407,$AG1258)+1))</f>
        <v/>
      </c>
      <c r="J1258" s="92" t="str">
        <f>IF($AG1258="","",INDEX(V_WBS,INDEX($AB$8:$AB$1407,$AG1258)))</f>
        <v/>
      </c>
      <c r="K1258" s="92" t="str">
        <f>IF($AG1258="","",INDEX(V_Projdef,INDEX($AB$8:$AB$1407,$AG1258)))</f>
        <v/>
      </c>
      <c r="L1258" s="92" t="str">
        <f>IF($AG1258="","",INDEX(V_Naam,INDEX($AB$8:$AB$1407,$AG1258)))</f>
        <v/>
      </c>
      <c r="M1258" s="92" t="str">
        <f>IF($AG1258="","",INDEX(V_Type,INDEX($AB$8:$AB$1407,$AG1258)))</f>
        <v/>
      </c>
      <c r="N1258" s="92" t="str">
        <f>IF($AG1258="","",INDEX(V_IFRS,INDEX($AB$8:$AB$1407,$AG1258)))</f>
        <v/>
      </c>
      <c r="O1258" s="92" t="str">
        <f>IF($AG1258="","",INDEX($AL$8:$AL$21,INDEX($AC$8:$AC$1407,$AG1258)+1))</f>
        <v/>
      </c>
      <c r="P1258" s="109" t="str">
        <f>IF($AG1258="","",INDEX($AD$8:$AD$1407,$AG1258))</f>
        <v/>
      </c>
      <c r="Q1258" s="92" t="str">
        <f>IF($AG1258="","",INDEX($AM$8:$AM$21,INDEX($AC$8:$AC$1407,$AG1258)+1))</f>
        <v/>
      </c>
      <c r="R1258" s="92" t="str">
        <f>IF($AG1258="","",IF($G1258&gt;0,P_ToelCorrectie&amp;"",""))</f>
        <v/>
      </c>
      <c r="S1258" s="15" t="str">
        <f>IF(J1258="","",J1258&amp;"|"&amp;E1258&amp;"|"&amp;F1258&amp;"|"&amp;I1258&amp;"|"&amp;O1258)</f>
        <v/>
      </c>
      <c r="T1258" s="111" t="str">
        <f>IF(S1258="","",IF(COUNTIFS(L_Sleutel,S1258,L_Actief,1)=0,"",SUMIFS(L_Waarde,L_Sleutel,S1258,L_Actief,1)))</f>
        <v/>
      </c>
      <c r="U1258" s="111">
        <f>IF(OR(S1258="",T1258=""),0,P1258-T1258)</f>
        <v>0</v>
      </c>
      <c r="AB1258" s="112" t="n">
        <v>90</v>
      </c>
      <c r="AC1258" s="112" t="n">
        <v>4</v>
      </c>
      <c r="AD1258" s="112" t="str">
        <f>VERW_Project!R95</f>
        <v/>
      </c>
      <c r="AE1258" s="112">
        <f>IF(AND(VERW_Project!$A95&lt;&gt;"",ISNUMBER(AD1258)),1,0)</f>
        <v>0</v>
      </c>
      <c r="AF1258" s="112" t="str">
        <f>IF(AE1258=1,SUM($AE$8:AE1258),"")</f>
        <v/>
      </c>
      <c r="AG1258" t="str">
        <f>IFERROR(MATCH(1251,$AF$8:$AF$1407,0),"")</f>
        <v/>
      </c>
    </row>
    <row r="1259">
      <c r="A1259" s="92" t="str">
        <f>IF($AG1259="","",P_ImportID)</f>
        <v/>
      </c>
      <c r="B1259" s="92" t="str">
        <f>IF($AG1259="","",IF(INDEX($AN$8:$AN$21,INDEX($AC$8:$AC$1407,$AG1259)+1)="Z",P_BronZ,P_BronE))</f>
        <v/>
      </c>
      <c r="C1259" s="108" t="str">
        <f>IF($AG1259="","",P_Importdatum)</f>
        <v/>
      </c>
      <c r="D1259" s="92" t="str">
        <f>IF($AG1259="","",P_StatusVastleg)</f>
        <v/>
      </c>
      <c r="E1259" s="92" t="str">
        <f>IF($AG1259="","",P_UploadVJ)</f>
        <v/>
      </c>
      <c r="F1259" s="92" t="str">
        <f>IF($AG1259="","",P_UploadVersie)</f>
        <v/>
      </c>
      <c r="G1259" s="92" t="str">
        <f>IF($AG1259="","",IF(COUNTIFS(L_Sleutel,$S1259,L_Status,"Vastgesteld")=0,0,_xlfn.MAXIFS(L_Revisie,L_Sleutel,$S1259,L_Status,"Vastgesteld")+1))</f>
        <v/>
      </c>
      <c r="H1259" s="108" t="str">
        <f>IF($AG1259="","",P_Peildatum)</f>
        <v/>
      </c>
      <c r="I1259" s="92" t="str">
        <f>IF($AG1259="","",P_RJ+INDEX($AK$8:$AK$21,INDEX($AC$8:$AC$1407,$AG1259)+1))</f>
        <v/>
      </c>
      <c r="J1259" s="92" t="str">
        <f>IF($AG1259="","",INDEX(V_WBS,INDEX($AB$8:$AB$1407,$AG1259)))</f>
        <v/>
      </c>
      <c r="K1259" s="92" t="str">
        <f>IF($AG1259="","",INDEX(V_Projdef,INDEX($AB$8:$AB$1407,$AG1259)))</f>
        <v/>
      </c>
      <c r="L1259" s="92" t="str">
        <f>IF($AG1259="","",INDEX(V_Naam,INDEX($AB$8:$AB$1407,$AG1259)))</f>
        <v/>
      </c>
      <c r="M1259" s="92" t="str">
        <f>IF($AG1259="","",INDEX(V_Type,INDEX($AB$8:$AB$1407,$AG1259)))</f>
        <v/>
      </c>
      <c r="N1259" s="92" t="str">
        <f>IF($AG1259="","",INDEX(V_IFRS,INDEX($AB$8:$AB$1407,$AG1259)))</f>
        <v/>
      </c>
      <c r="O1259" s="92" t="str">
        <f>IF($AG1259="","",INDEX($AL$8:$AL$21,INDEX($AC$8:$AC$1407,$AG1259)+1))</f>
        <v/>
      </c>
      <c r="P1259" s="109" t="str">
        <f>IF($AG1259="","",INDEX($AD$8:$AD$1407,$AG1259))</f>
        <v/>
      </c>
      <c r="Q1259" s="92" t="str">
        <f>IF($AG1259="","",INDEX($AM$8:$AM$21,INDEX($AC$8:$AC$1407,$AG1259)+1))</f>
        <v/>
      </c>
      <c r="R1259" s="92" t="str">
        <f>IF($AG1259="","",IF($G1259&gt;0,P_ToelCorrectie&amp;"",""))</f>
        <v/>
      </c>
      <c r="S1259" s="15" t="str">
        <f>IF(J1259="","",J1259&amp;"|"&amp;E1259&amp;"|"&amp;F1259&amp;"|"&amp;I1259&amp;"|"&amp;O1259)</f>
        <v/>
      </c>
      <c r="T1259" s="111" t="str">
        <f>IF(S1259="","",IF(COUNTIFS(L_Sleutel,S1259,L_Actief,1)=0,"",SUMIFS(L_Waarde,L_Sleutel,S1259,L_Actief,1)))</f>
        <v/>
      </c>
      <c r="U1259" s="111">
        <f>IF(OR(S1259="",T1259=""),0,P1259-T1259)</f>
        <v>0</v>
      </c>
      <c r="AB1259" s="112" t="n">
        <v>90</v>
      </c>
      <c r="AC1259" s="112" t="n">
        <v>5</v>
      </c>
      <c r="AD1259" s="112" t="str">
        <f>VERW_Project!S95</f>
        <v/>
      </c>
      <c r="AE1259" s="112">
        <f>IF(AND(VERW_Project!$A95&lt;&gt;"",ISNUMBER(AD1259)),1,0)</f>
        <v>0</v>
      </c>
      <c r="AF1259" s="112" t="str">
        <f>IF(AE1259=1,SUM($AE$8:AE1259),"")</f>
        <v/>
      </c>
      <c r="AG1259" t="str">
        <f>IFERROR(MATCH(1252,$AF$8:$AF$1407,0),"")</f>
        <v/>
      </c>
    </row>
    <row r="1260">
      <c r="A1260" s="92" t="str">
        <f>IF($AG1260="","",P_ImportID)</f>
        <v/>
      </c>
      <c r="B1260" s="92" t="str">
        <f>IF($AG1260="","",IF(INDEX($AN$8:$AN$21,INDEX($AC$8:$AC$1407,$AG1260)+1)="Z",P_BronZ,P_BronE))</f>
        <v/>
      </c>
      <c r="C1260" s="108" t="str">
        <f>IF($AG1260="","",P_Importdatum)</f>
        <v/>
      </c>
      <c r="D1260" s="92" t="str">
        <f>IF($AG1260="","",P_StatusVastleg)</f>
        <v/>
      </c>
      <c r="E1260" s="92" t="str">
        <f>IF($AG1260="","",P_UploadVJ)</f>
        <v/>
      </c>
      <c r="F1260" s="92" t="str">
        <f>IF($AG1260="","",P_UploadVersie)</f>
        <v/>
      </c>
      <c r="G1260" s="92" t="str">
        <f>IF($AG1260="","",IF(COUNTIFS(L_Sleutel,$S1260,L_Status,"Vastgesteld")=0,0,_xlfn.MAXIFS(L_Revisie,L_Sleutel,$S1260,L_Status,"Vastgesteld")+1))</f>
        <v/>
      </c>
      <c r="H1260" s="108" t="str">
        <f>IF($AG1260="","",P_Peildatum)</f>
        <v/>
      </c>
      <c r="I1260" s="92" t="str">
        <f>IF($AG1260="","",P_RJ+INDEX($AK$8:$AK$21,INDEX($AC$8:$AC$1407,$AG1260)+1))</f>
        <v/>
      </c>
      <c r="J1260" s="92" t="str">
        <f>IF($AG1260="","",INDEX(V_WBS,INDEX($AB$8:$AB$1407,$AG1260)))</f>
        <v/>
      </c>
      <c r="K1260" s="92" t="str">
        <f>IF($AG1260="","",INDEX(V_Projdef,INDEX($AB$8:$AB$1407,$AG1260)))</f>
        <v/>
      </c>
      <c r="L1260" s="92" t="str">
        <f>IF($AG1260="","",INDEX(V_Naam,INDEX($AB$8:$AB$1407,$AG1260)))</f>
        <v/>
      </c>
      <c r="M1260" s="92" t="str">
        <f>IF($AG1260="","",INDEX(V_Type,INDEX($AB$8:$AB$1407,$AG1260)))</f>
        <v/>
      </c>
      <c r="N1260" s="92" t="str">
        <f>IF($AG1260="","",INDEX(V_IFRS,INDEX($AB$8:$AB$1407,$AG1260)))</f>
        <v/>
      </c>
      <c r="O1260" s="92" t="str">
        <f>IF($AG1260="","",INDEX($AL$8:$AL$21,INDEX($AC$8:$AC$1407,$AG1260)+1))</f>
        <v/>
      </c>
      <c r="P1260" s="109" t="str">
        <f>IF($AG1260="","",INDEX($AD$8:$AD$1407,$AG1260))</f>
        <v/>
      </c>
      <c r="Q1260" s="92" t="str">
        <f>IF($AG1260="","",INDEX($AM$8:$AM$21,INDEX($AC$8:$AC$1407,$AG1260)+1))</f>
        <v/>
      </c>
      <c r="R1260" s="92" t="str">
        <f>IF($AG1260="","",IF($G1260&gt;0,P_ToelCorrectie&amp;"",""))</f>
        <v/>
      </c>
      <c r="S1260" s="15" t="str">
        <f>IF(J1260="","",J1260&amp;"|"&amp;E1260&amp;"|"&amp;F1260&amp;"|"&amp;I1260&amp;"|"&amp;O1260)</f>
        <v/>
      </c>
      <c r="T1260" s="111" t="str">
        <f>IF(S1260="","",IF(COUNTIFS(L_Sleutel,S1260,L_Actief,1)=0,"",SUMIFS(L_Waarde,L_Sleutel,S1260,L_Actief,1)))</f>
        <v/>
      </c>
      <c r="U1260" s="111">
        <f>IF(OR(S1260="",T1260=""),0,P1260-T1260)</f>
        <v>0</v>
      </c>
      <c r="AB1260" s="112" t="n">
        <v>90</v>
      </c>
      <c r="AC1260" s="112" t="n">
        <v>6</v>
      </c>
      <c r="AD1260" s="112" t="str">
        <f>VERW_Project!BW95</f>
        <v/>
      </c>
      <c r="AE1260" s="112">
        <f>IF(AND(VERW_Project!$A95&lt;&gt;"",ISNUMBER(AD1260)),1,0)</f>
        <v>0</v>
      </c>
      <c r="AF1260" s="112" t="str">
        <f>IF(AE1260=1,SUM($AE$8:AE1260),"")</f>
        <v/>
      </c>
      <c r="AG1260" t="str">
        <f>IFERROR(MATCH(1253,$AF$8:$AF$1407,0),"")</f>
        <v/>
      </c>
    </row>
    <row r="1261">
      <c r="A1261" s="92" t="str">
        <f>IF($AG1261="","",P_ImportID)</f>
        <v/>
      </c>
      <c r="B1261" s="92" t="str">
        <f>IF($AG1261="","",IF(INDEX($AN$8:$AN$21,INDEX($AC$8:$AC$1407,$AG1261)+1)="Z",P_BronZ,P_BronE))</f>
        <v/>
      </c>
      <c r="C1261" s="108" t="str">
        <f>IF($AG1261="","",P_Importdatum)</f>
        <v/>
      </c>
      <c r="D1261" s="92" t="str">
        <f>IF($AG1261="","",P_StatusVastleg)</f>
        <v/>
      </c>
      <c r="E1261" s="92" t="str">
        <f>IF($AG1261="","",P_UploadVJ)</f>
        <v/>
      </c>
      <c r="F1261" s="92" t="str">
        <f>IF($AG1261="","",P_UploadVersie)</f>
        <v/>
      </c>
      <c r="G1261" s="92" t="str">
        <f>IF($AG1261="","",IF(COUNTIFS(L_Sleutel,$S1261,L_Status,"Vastgesteld")=0,0,_xlfn.MAXIFS(L_Revisie,L_Sleutel,$S1261,L_Status,"Vastgesteld")+1))</f>
        <v/>
      </c>
      <c r="H1261" s="108" t="str">
        <f>IF($AG1261="","",P_Peildatum)</f>
        <v/>
      </c>
      <c r="I1261" s="92" t="str">
        <f>IF($AG1261="","",P_RJ+INDEX($AK$8:$AK$21,INDEX($AC$8:$AC$1407,$AG1261)+1))</f>
        <v/>
      </c>
      <c r="J1261" s="92" t="str">
        <f>IF($AG1261="","",INDEX(V_WBS,INDEX($AB$8:$AB$1407,$AG1261)))</f>
        <v/>
      </c>
      <c r="K1261" s="92" t="str">
        <f>IF($AG1261="","",INDEX(V_Projdef,INDEX($AB$8:$AB$1407,$AG1261)))</f>
        <v/>
      </c>
      <c r="L1261" s="92" t="str">
        <f>IF($AG1261="","",INDEX(V_Naam,INDEX($AB$8:$AB$1407,$AG1261)))</f>
        <v/>
      </c>
      <c r="M1261" s="92" t="str">
        <f>IF($AG1261="","",INDEX(V_Type,INDEX($AB$8:$AB$1407,$AG1261)))</f>
        <v/>
      </c>
      <c r="N1261" s="92" t="str">
        <f>IF($AG1261="","",INDEX(V_IFRS,INDEX($AB$8:$AB$1407,$AG1261)))</f>
        <v/>
      </c>
      <c r="O1261" s="92" t="str">
        <f>IF($AG1261="","",INDEX($AL$8:$AL$21,INDEX($AC$8:$AC$1407,$AG1261)+1))</f>
        <v/>
      </c>
      <c r="P1261" s="109" t="str">
        <f>IF($AG1261="","",INDEX($AD$8:$AD$1407,$AG1261))</f>
        <v/>
      </c>
      <c r="Q1261" s="92" t="str">
        <f>IF($AG1261="","",INDEX($AM$8:$AM$21,INDEX($AC$8:$AC$1407,$AG1261)+1))</f>
        <v/>
      </c>
      <c r="R1261" s="92" t="str">
        <f>IF($AG1261="","",IF($G1261&gt;0,P_ToelCorrectie&amp;"",""))</f>
        <v/>
      </c>
      <c r="S1261" s="15" t="str">
        <f>IF(J1261="","",J1261&amp;"|"&amp;E1261&amp;"|"&amp;F1261&amp;"|"&amp;I1261&amp;"|"&amp;O1261)</f>
        <v/>
      </c>
      <c r="T1261" s="111" t="str">
        <f>IF(S1261="","",IF(COUNTIFS(L_Sleutel,S1261,L_Actief,1)=0,"",SUMIFS(L_Waarde,L_Sleutel,S1261,L_Actief,1)))</f>
        <v/>
      </c>
      <c r="U1261" s="111">
        <f>IF(OR(S1261="",T1261=""),0,P1261-T1261)</f>
        <v>0</v>
      </c>
      <c r="AB1261" s="112" t="n">
        <v>90</v>
      </c>
      <c r="AC1261" s="112" t="n">
        <v>7</v>
      </c>
      <c r="AD1261" s="112" t="str">
        <f>VERW_Project!AW95</f>
        <v/>
      </c>
      <c r="AE1261" s="112">
        <f>IF(AND(VERW_Project!$A95&lt;&gt;"",ISNUMBER(AD1261)),1,0)</f>
        <v>0</v>
      </c>
      <c r="AF1261" s="112" t="str">
        <f>IF(AE1261=1,SUM($AE$8:AE1261),"")</f>
        <v/>
      </c>
      <c r="AG1261" t="str">
        <f>IFERROR(MATCH(1254,$AF$8:$AF$1407,0),"")</f>
        <v/>
      </c>
    </row>
    <row r="1262">
      <c r="A1262" s="92" t="str">
        <f>IF($AG1262="","",P_ImportID)</f>
        <v/>
      </c>
      <c r="B1262" s="92" t="str">
        <f>IF($AG1262="","",IF(INDEX($AN$8:$AN$21,INDEX($AC$8:$AC$1407,$AG1262)+1)="Z",P_BronZ,P_BronE))</f>
        <v/>
      </c>
      <c r="C1262" s="108" t="str">
        <f>IF($AG1262="","",P_Importdatum)</f>
        <v/>
      </c>
      <c r="D1262" s="92" t="str">
        <f>IF($AG1262="","",P_StatusVastleg)</f>
        <v/>
      </c>
      <c r="E1262" s="92" t="str">
        <f>IF($AG1262="","",P_UploadVJ)</f>
        <v/>
      </c>
      <c r="F1262" s="92" t="str">
        <f>IF($AG1262="","",P_UploadVersie)</f>
        <v/>
      </c>
      <c r="G1262" s="92" t="str">
        <f>IF($AG1262="","",IF(COUNTIFS(L_Sleutel,$S1262,L_Status,"Vastgesteld")=0,0,_xlfn.MAXIFS(L_Revisie,L_Sleutel,$S1262,L_Status,"Vastgesteld")+1))</f>
        <v/>
      </c>
      <c r="H1262" s="108" t="str">
        <f>IF($AG1262="","",P_Peildatum)</f>
        <v/>
      </c>
      <c r="I1262" s="92" t="str">
        <f>IF($AG1262="","",P_RJ+INDEX($AK$8:$AK$21,INDEX($AC$8:$AC$1407,$AG1262)+1))</f>
        <v/>
      </c>
      <c r="J1262" s="92" t="str">
        <f>IF($AG1262="","",INDEX(V_WBS,INDEX($AB$8:$AB$1407,$AG1262)))</f>
        <v/>
      </c>
      <c r="K1262" s="92" t="str">
        <f>IF($AG1262="","",INDEX(V_Projdef,INDEX($AB$8:$AB$1407,$AG1262)))</f>
        <v/>
      </c>
      <c r="L1262" s="92" t="str">
        <f>IF($AG1262="","",INDEX(V_Naam,INDEX($AB$8:$AB$1407,$AG1262)))</f>
        <v/>
      </c>
      <c r="M1262" s="92" t="str">
        <f>IF($AG1262="","",INDEX(V_Type,INDEX($AB$8:$AB$1407,$AG1262)))</f>
        <v/>
      </c>
      <c r="N1262" s="92" t="str">
        <f>IF($AG1262="","",INDEX(V_IFRS,INDEX($AB$8:$AB$1407,$AG1262)))</f>
        <v/>
      </c>
      <c r="O1262" s="92" t="str">
        <f>IF($AG1262="","",INDEX($AL$8:$AL$21,INDEX($AC$8:$AC$1407,$AG1262)+1))</f>
        <v/>
      </c>
      <c r="P1262" s="109" t="str">
        <f>IF($AG1262="","",INDEX($AD$8:$AD$1407,$AG1262))</f>
        <v/>
      </c>
      <c r="Q1262" s="92" t="str">
        <f>IF($AG1262="","",INDEX($AM$8:$AM$21,INDEX($AC$8:$AC$1407,$AG1262)+1))</f>
        <v/>
      </c>
      <c r="R1262" s="92" t="str">
        <f>IF($AG1262="","",IF($G1262&gt;0,P_ToelCorrectie&amp;"",""))</f>
        <v/>
      </c>
      <c r="S1262" s="15" t="str">
        <f>IF(J1262="","",J1262&amp;"|"&amp;E1262&amp;"|"&amp;F1262&amp;"|"&amp;I1262&amp;"|"&amp;O1262)</f>
        <v/>
      </c>
      <c r="T1262" s="111" t="str">
        <f>IF(S1262="","",IF(COUNTIFS(L_Sleutel,S1262,L_Actief,1)=0,"",SUMIFS(L_Waarde,L_Sleutel,S1262,L_Actief,1)))</f>
        <v/>
      </c>
      <c r="U1262" s="111">
        <f>IF(OR(S1262="",T1262=""),0,P1262-T1262)</f>
        <v>0</v>
      </c>
      <c r="AB1262" s="112" t="n">
        <v>90</v>
      </c>
      <c r="AC1262" s="112" t="n">
        <v>8</v>
      </c>
      <c r="AD1262" s="112" t="str">
        <f>VERW_Project!BQ95</f>
        <v/>
      </c>
      <c r="AE1262" s="112">
        <f>IF(AND(VERW_Project!$A95&lt;&gt;"",ISNUMBER(AD1262)),1,0)</f>
        <v>0</v>
      </c>
      <c r="AF1262" s="112" t="str">
        <f>IF(AE1262=1,SUM($AE$8:AE1262),"")</f>
        <v/>
      </c>
      <c r="AG1262" t="str">
        <f>IFERROR(MATCH(1255,$AF$8:$AF$1407,0),"")</f>
        <v/>
      </c>
    </row>
    <row r="1263">
      <c r="A1263" s="92" t="str">
        <f>IF($AG1263="","",P_ImportID)</f>
        <v/>
      </c>
      <c r="B1263" s="92" t="str">
        <f>IF($AG1263="","",IF(INDEX($AN$8:$AN$21,INDEX($AC$8:$AC$1407,$AG1263)+1)="Z",P_BronZ,P_BronE))</f>
        <v/>
      </c>
      <c r="C1263" s="108" t="str">
        <f>IF($AG1263="","",P_Importdatum)</f>
        <v/>
      </c>
      <c r="D1263" s="92" t="str">
        <f>IF($AG1263="","",P_StatusVastleg)</f>
        <v/>
      </c>
      <c r="E1263" s="92" t="str">
        <f>IF($AG1263="","",P_UploadVJ)</f>
        <v/>
      </c>
      <c r="F1263" s="92" t="str">
        <f>IF($AG1263="","",P_UploadVersie)</f>
        <v/>
      </c>
      <c r="G1263" s="92" t="str">
        <f>IF($AG1263="","",IF(COUNTIFS(L_Sleutel,$S1263,L_Status,"Vastgesteld")=0,0,_xlfn.MAXIFS(L_Revisie,L_Sleutel,$S1263,L_Status,"Vastgesteld")+1))</f>
        <v/>
      </c>
      <c r="H1263" s="108" t="str">
        <f>IF($AG1263="","",P_Peildatum)</f>
        <v/>
      </c>
      <c r="I1263" s="92" t="str">
        <f>IF($AG1263="","",P_RJ+INDEX($AK$8:$AK$21,INDEX($AC$8:$AC$1407,$AG1263)+1))</f>
        <v/>
      </c>
      <c r="J1263" s="92" t="str">
        <f>IF($AG1263="","",INDEX(V_WBS,INDEX($AB$8:$AB$1407,$AG1263)))</f>
        <v/>
      </c>
      <c r="K1263" s="92" t="str">
        <f>IF($AG1263="","",INDEX(V_Projdef,INDEX($AB$8:$AB$1407,$AG1263)))</f>
        <v/>
      </c>
      <c r="L1263" s="92" t="str">
        <f>IF($AG1263="","",INDEX(V_Naam,INDEX($AB$8:$AB$1407,$AG1263)))</f>
        <v/>
      </c>
      <c r="M1263" s="92" t="str">
        <f>IF($AG1263="","",INDEX(V_Type,INDEX($AB$8:$AB$1407,$AG1263)))</f>
        <v/>
      </c>
      <c r="N1263" s="92" t="str">
        <f>IF($AG1263="","",INDEX(V_IFRS,INDEX($AB$8:$AB$1407,$AG1263)))</f>
        <v/>
      </c>
      <c r="O1263" s="92" t="str">
        <f>IF($AG1263="","",INDEX($AL$8:$AL$21,INDEX($AC$8:$AC$1407,$AG1263)+1))</f>
        <v/>
      </c>
      <c r="P1263" s="109" t="str">
        <f>IF($AG1263="","",INDEX($AD$8:$AD$1407,$AG1263))</f>
        <v/>
      </c>
      <c r="Q1263" s="92" t="str">
        <f>IF($AG1263="","",INDEX($AM$8:$AM$21,INDEX($AC$8:$AC$1407,$AG1263)+1))</f>
        <v/>
      </c>
      <c r="R1263" s="92" t="str">
        <f>IF($AG1263="","",IF($G1263&gt;0,P_ToelCorrectie&amp;"",""))</f>
        <v/>
      </c>
      <c r="S1263" s="15" t="str">
        <f>IF(J1263="","",J1263&amp;"|"&amp;E1263&amp;"|"&amp;F1263&amp;"|"&amp;I1263&amp;"|"&amp;O1263)</f>
        <v/>
      </c>
      <c r="T1263" s="111" t="str">
        <f>IF(S1263="","",IF(COUNTIFS(L_Sleutel,S1263,L_Actief,1)=0,"",SUMIFS(L_Waarde,L_Sleutel,S1263,L_Actief,1)))</f>
        <v/>
      </c>
      <c r="U1263" s="111">
        <f>IF(OR(S1263="",T1263=""),0,P1263-T1263)</f>
        <v>0</v>
      </c>
      <c r="AB1263" s="112" t="n">
        <v>90</v>
      </c>
      <c r="AC1263" s="112" t="n">
        <v>9</v>
      </c>
      <c r="AD1263" s="112" t="str">
        <f>VERW_Project!BR95</f>
        <v/>
      </c>
      <c r="AE1263" s="112">
        <f>IF(AND(VERW_Project!$A95&lt;&gt;"",ISNUMBER(AD1263)),1,0)</f>
        <v>0</v>
      </c>
      <c r="AF1263" s="112" t="str">
        <f>IF(AE1263=1,SUM($AE$8:AE1263),"")</f>
        <v/>
      </c>
      <c r="AG1263" t="str">
        <f>IFERROR(MATCH(1256,$AF$8:$AF$1407,0),"")</f>
        <v/>
      </c>
    </row>
    <row r="1264">
      <c r="A1264" s="92" t="str">
        <f>IF($AG1264="","",P_ImportID)</f>
        <v/>
      </c>
      <c r="B1264" s="92" t="str">
        <f>IF($AG1264="","",IF(INDEX($AN$8:$AN$21,INDEX($AC$8:$AC$1407,$AG1264)+1)="Z",P_BronZ,P_BronE))</f>
        <v/>
      </c>
      <c r="C1264" s="108" t="str">
        <f>IF($AG1264="","",P_Importdatum)</f>
        <v/>
      </c>
      <c r="D1264" s="92" t="str">
        <f>IF($AG1264="","",P_StatusVastleg)</f>
        <v/>
      </c>
      <c r="E1264" s="92" t="str">
        <f>IF($AG1264="","",P_UploadVJ)</f>
        <v/>
      </c>
      <c r="F1264" s="92" t="str">
        <f>IF($AG1264="","",P_UploadVersie)</f>
        <v/>
      </c>
      <c r="G1264" s="92" t="str">
        <f>IF($AG1264="","",IF(COUNTIFS(L_Sleutel,$S1264,L_Status,"Vastgesteld")=0,0,_xlfn.MAXIFS(L_Revisie,L_Sleutel,$S1264,L_Status,"Vastgesteld")+1))</f>
        <v/>
      </c>
      <c r="H1264" s="108" t="str">
        <f>IF($AG1264="","",P_Peildatum)</f>
        <v/>
      </c>
      <c r="I1264" s="92" t="str">
        <f>IF($AG1264="","",P_RJ+INDEX($AK$8:$AK$21,INDEX($AC$8:$AC$1407,$AG1264)+1))</f>
        <v/>
      </c>
      <c r="J1264" s="92" t="str">
        <f>IF($AG1264="","",INDEX(V_WBS,INDEX($AB$8:$AB$1407,$AG1264)))</f>
        <v/>
      </c>
      <c r="K1264" s="92" t="str">
        <f>IF($AG1264="","",INDEX(V_Projdef,INDEX($AB$8:$AB$1407,$AG1264)))</f>
        <v/>
      </c>
      <c r="L1264" s="92" t="str">
        <f>IF($AG1264="","",INDEX(V_Naam,INDEX($AB$8:$AB$1407,$AG1264)))</f>
        <v/>
      </c>
      <c r="M1264" s="92" t="str">
        <f>IF($AG1264="","",INDEX(V_Type,INDEX($AB$8:$AB$1407,$AG1264)))</f>
        <v/>
      </c>
      <c r="N1264" s="92" t="str">
        <f>IF($AG1264="","",INDEX(V_IFRS,INDEX($AB$8:$AB$1407,$AG1264)))</f>
        <v/>
      </c>
      <c r="O1264" s="92" t="str">
        <f>IF($AG1264="","",INDEX($AL$8:$AL$21,INDEX($AC$8:$AC$1407,$AG1264)+1))</f>
        <v/>
      </c>
      <c r="P1264" s="109" t="str">
        <f>IF($AG1264="","",INDEX($AD$8:$AD$1407,$AG1264))</f>
        <v/>
      </c>
      <c r="Q1264" s="92" t="str">
        <f>IF($AG1264="","",INDEX($AM$8:$AM$21,INDEX($AC$8:$AC$1407,$AG1264)+1))</f>
        <v/>
      </c>
      <c r="R1264" s="92" t="str">
        <f>IF($AG1264="","",IF($G1264&gt;0,P_ToelCorrectie&amp;"",""))</f>
        <v/>
      </c>
      <c r="S1264" s="15" t="str">
        <f>IF(J1264="","",J1264&amp;"|"&amp;E1264&amp;"|"&amp;F1264&amp;"|"&amp;I1264&amp;"|"&amp;O1264)</f>
        <v/>
      </c>
      <c r="T1264" s="111" t="str">
        <f>IF(S1264="","",IF(COUNTIFS(L_Sleutel,S1264,L_Actief,1)=0,"",SUMIFS(L_Waarde,L_Sleutel,S1264,L_Actief,1)))</f>
        <v/>
      </c>
      <c r="U1264" s="111">
        <f>IF(OR(S1264="",T1264=""),0,P1264-T1264)</f>
        <v>0</v>
      </c>
      <c r="AB1264" s="112" t="n">
        <v>90</v>
      </c>
      <c r="AC1264" s="112" t="n">
        <v>10</v>
      </c>
      <c r="AD1264" s="112" t="str">
        <f>VERW_Project!BS95</f>
        <v/>
      </c>
      <c r="AE1264" s="112">
        <f>IF(AND(VERW_Project!$A95&lt;&gt;"",ISNUMBER(AD1264)),1,0)</f>
        <v>0</v>
      </c>
      <c r="AF1264" s="112" t="str">
        <f>IF(AE1264=1,SUM($AE$8:AE1264),"")</f>
        <v/>
      </c>
      <c r="AG1264" t="str">
        <f>IFERROR(MATCH(1257,$AF$8:$AF$1407,0),"")</f>
        <v/>
      </c>
    </row>
    <row r="1265">
      <c r="A1265" s="92" t="str">
        <f>IF($AG1265="","",P_ImportID)</f>
        <v/>
      </c>
      <c r="B1265" s="92" t="str">
        <f>IF($AG1265="","",IF(INDEX($AN$8:$AN$21,INDEX($AC$8:$AC$1407,$AG1265)+1)="Z",P_BronZ,P_BronE))</f>
        <v/>
      </c>
      <c r="C1265" s="108" t="str">
        <f>IF($AG1265="","",P_Importdatum)</f>
        <v/>
      </c>
      <c r="D1265" s="92" t="str">
        <f>IF($AG1265="","",P_StatusVastleg)</f>
        <v/>
      </c>
      <c r="E1265" s="92" t="str">
        <f>IF($AG1265="","",P_UploadVJ)</f>
        <v/>
      </c>
      <c r="F1265" s="92" t="str">
        <f>IF($AG1265="","",P_UploadVersie)</f>
        <v/>
      </c>
      <c r="G1265" s="92" t="str">
        <f>IF($AG1265="","",IF(COUNTIFS(L_Sleutel,$S1265,L_Status,"Vastgesteld")=0,0,_xlfn.MAXIFS(L_Revisie,L_Sleutel,$S1265,L_Status,"Vastgesteld")+1))</f>
        <v/>
      </c>
      <c r="H1265" s="108" t="str">
        <f>IF($AG1265="","",P_Peildatum)</f>
        <v/>
      </c>
      <c r="I1265" s="92" t="str">
        <f>IF($AG1265="","",P_RJ+INDEX($AK$8:$AK$21,INDEX($AC$8:$AC$1407,$AG1265)+1))</f>
        <v/>
      </c>
      <c r="J1265" s="92" t="str">
        <f>IF($AG1265="","",INDEX(V_WBS,INDEX($AB$8:$AB$1407,$AG1265)))</f>
        <v/>
      </c>
      <c r="K1265" s="92" t="str">
        <f>IF($AG1265="","",INDEX(V_Projdef,INDEX($AB$8:$AB$1407,$AG1265)))</f>
        <v/>
      </c>
      <c r="L1265" s="92" t="str">
        <f>IF($AG1265="","",INDEX(V_Naam,INDEX($AB$8:$AB$1407,$AG1265)))</f>
        <v/>
      </c>
      <c r="M1265" s="92" t="str">
        <f>IF($AG1265="","",INDEX(V_Type,INDEX($AB$8:$AB$1407,$AG1265)))</f>
        <v/>
      </c>
      <c r="N1265" s="92" t="str">
        <f>IF($AG1265="","",INDEX(V_IFRS,INDEX($AB$8:$AB$1407,$AG1265)))</f>
        <v/>
      </c>
      <c r="O1265" s="92" t="str">
        <f>IF($AG1265="","",INDEX($AL$8:$AL$21,INDEX($AC$8:$AC$1407,$AG1265)+1))</f>
        <v/>
      </c>
      <c r="P1265" s="109" t="str">
        <f>IF($AG1265="","",INDEX($AD$8:$AD$1407,$AG1265))</f>
        <v/>
      </c>
      <c r="Q1265" s="92" t="str">
        <f>IF($AG1265="","",INDEX($AM$8:$AM$21,INDEX($AC$8:$AC$1407,$AG1265)+1))</f>
        <v/>
      </c>
      <c r="R1265" s="92" t="str">
        <f>IF($AG1265="","",IF($G1265&gt;0,P_ToelCorrectie&amp;"",""))</f>
        <v/>
      </c>
      <c r="S1265" s="15" t="str">
        <f>IF(J1265="","",J1265&amp;"|"&amp;E1265&amp;"|"&amp;F1265&amp;"|"&amp;I1265&amp;"|"&amp;O1265)</f>
        <v/>
      </c>
      <c r="T1265" s="111" t="str">
        <f>IF(S1265="","",IF(COUNTIFS(L_Sleutel,S1265,L_Actief,1)=0,"",SUMIFS(L_Waarde,L_Sleutel,S1265,L_Actief,1)))</f>
        <v/>
      </c>
      <c r="U1265" s="111">
        <f>IF(OR(S1265="",T1265=""),0,P1265-T1265)</f>
        <v>0</v>
      </c>
      <c r="AB1265" s="112" t="n">
        <v>90</v>
      </c>
      <c r="AC1265" s="112" t="n">
        <v>11</v>
      </c>
      <c r="AD1265" s="112" t="str">
        <f>VERW_Project!BT95</f>
        <v/>
      </c>
      <c r="AE1265" s="112">
        <f>IF(AND(VERW_Project!$A95&lt;&gt;"",ISNUMBER(AD1265)),1,0)</f>
        <v>0</v>
      </c>
      <c r="AF1265" s="112" t="str">
        <f>IF(AE1265=1,SUM($AE$8:AE1265),"")</f>
        <v/>
      </c>
      <c r="AG1265" t="str">
        <f>IFERROR(MATCH(1258,$AF$8:$AF$1407,0),"")</f>
        <v/>
      </c>
    </row>
    <row r="1266">
      <c r="A1266" s="92" t="str">
        <f>IF($AG1266="","",P_ImportID)</f>
        <v/>
      </c>
      <c r="B1266" s="92" t="str">
        <f>IF($AG1266="","",IF(INDEX($AN$8:$AN$21,INDEX($AC$8:$AC$1407,$AG1266)+1)="Z",P_BronZ,P_BronE))</f>
        <v/>
      </c>
      <c r="C1266" s="108" t="str">
        <f>IF($AG1266="","",P_Importdatum)</f>
        <v/>
      </c>
      <c r="D1266" s="92" t="str">
        <f>IF($AG1266="","",P_StatusVastleg)</f>
        <v/>
      </c>
      <c r="E1266" s="92" t="str">
        <f>IF($AG1266="","",P_UploadVJ)</f>
        <v/>
      </c>
      <c r="F1266" s="92" t="str">
        <f>IF($AG1266="","",P_UploadVersie)</f>
        <v/>
      </c>
      <c r="G1266" s="92" t="str">
        <f>IF($AG1266="","",IF(COUNTIFS(L_Sleutel,$S1266,L_Status,"Vastgesteld")=0,0,_xlfn.MAXIFS(L_Revisie,L_Sleutel,$S1266,L_Status,"Vastgesteld")+1))</f>
        <v/>
      </c>
      <c r="H1266" s="108" t="str">
        <f>IF($AG1266="","",P_Peildatum)</f>
        <v/>
      </c>
      <c r="I1266" s="92" t="str">
        <f>IF($AG1266="","",P_RJ+INDEX($AK$8:$AK$21,INDEX($AC$8:$AC$1407,$AG1266)+1))</f>
        <v/>
      </c>
      <c r="J1266" s="92" t="str">
        <f>IF($AG1266="","",INDEX(V_WBS,INDEX($AB$8:$AB$1407,$AG1266)))</f>
        <v/>
      </c>
      <c r="K1266" s="92" t="str">
        <f>IF($AG1266="","",INDEX(V_Projdef,INDEX($AB$8:$AB$1407,$AG1266)))</f>
        <v/>
      </c>
      <c r="L1266" s="92" t="str">
        <f>IF($AG1266="","",INDEX(V_Naam,INDEX($AB$8:$AB$1407,$AG1266)))</f>
        <v/>
      </c>
      <c r="M1266" s="92" t="str">
        <f>IF($AG1266="","",INDEX(V_Type,INDEX($AB$8:$AB$1407,$AG1266)))</f>
        <v/>
      </c>
      <c r="N1266" s="92" t="str">
        <f>IF($AG1266="","",INDEX(V_IFRS,INDEX($AB$8:$AB$1407,$AG1266)))</f>
        <v/>
      </c>
      <c r="O1266" s="92" t="str">
        <f>IF($AG1266="","",INDEX($AL$8:$AL$21,INDEX($AC$8:$AC$1407,$AG1266)+1))</f>
        <v/>
      </c>
      <c r="P1266" s="109" t="str">
        <f>IF($AG1266="","",INDEX($AD$8:$AD$1407,$AG1266))</f>
        <v/>
      </c>
      <c r="Q1266" s="92" t="str">
        <f>IF($AG1266="","",INDEX($AM$8:$AM$21,INDEX($AC$8:$AC$1407,$AG1266)+1))</f>
        <v/>
      </c>
      <c r="R1266" s="92" t="str">
        <f>IF($AG1266="","",IF($G1266&gt;0,P_ToelCorrectie&amp;"",""))</f>
        <v/>
      </c>
      <c r="S1266" s="15" t="str">
        <f>IF(J1266="","",J1266&amp;"|"&amp;E1266&amp;"|"&amp;F1266&amp;"|"&amp;I1266&amp;"|"&amp;O1266)</f>
        <v/>
      </c>
      <c r="T1266" s="111" t="str">
        <f>IF(S1266="","",IF(COUNTIFS(L_Sleutel,S1266,L_Actief,1)=0,"",SUMIFS(L_Waarde,L_Sleutel,S1266,L_Actief,1)))</f>
        <v/>
      </c>
      <c r="U1266" s="111">
        <f>IF(OR(S1266="",T1266=""),0,P1266-T1266)</f>
        <v>0</v>
      </c>
      <c r="AB1266" s="112" t="n">
        <v>90</v>
      </c>
      <c r="AC1266" s="112" t="n">
        <v>12</v>
      </c>
      <c r="AD1266" s="112" t="str">
        <f>VERW_Project!BU95</f>
        <v/>
      </c>
      <c r="AE1266" s="112">
        <f>IF(AND(VERW_Project!$A95&lt;&gt;"",ISNUMBER(AD1266)),1,0)</f>
        <v>0</v>
      </c>
      <c r="AF1266" s="112" t="str">
        <f>IF(AE1266=1,SUM($AE$8:AE1266),"")</f>
        <v/>
      </c>
      <c r="AG1266" t="str">
        <f>IFERROR(MATCH(1259,$AF$8:$AF$1407,0),"")</f>
        <v/>
      </c>
    </row>
    <row r="1267">
      <c r="A1267" s="92" t="str">
        <f>IF($AG1267="","",P_ImportID)</f>
        <v/>
      </c>
      <c r="B1267" s="92" t="str">
        <f>IF($AG1267="","",IF(INDEX($AN$8:$AN$21,INDEX($AC$8:$AC$1407,$AG1267)+1)="Z",P_BronZ,P_BronE))</f>
        <v/>
      </c>
      <c r="C1267" s="108" t="str">
        <f>IF($AG1267="","",P_Importdatum)</f>
        <v/>
      </c>
      <c r="D1267" s="92" t="str">
        <f>IF($AG1267="","",P_StatusVastleg)</f>
        <v/>
      </c>
      <c r="E1267" s="92" t="str">
        <f>IF($AG1267="","",P_UploadVJ)</f>
        <v/>
      </c>
      <c r="F1267" s="92" t="str">
        <f>IF($AG1267="","",P_UploadVersie)</f>
        <v/>
      </c>
      <c r="G1267" s="92" t="str">
        <f>IF($AG1267="","",IF(COUNTIFS(L_Sleutel,$S1267,L_Status,"Vastgesteld")=0,0,_xlfn.MAXIFS(L_Revisie,L_Sleutel,$S1267,L_Status,"Vastgesteld")+1))</f>
        <v/>
      </c>
      <c r="H1267" s="108" t="str">
        <f>IF($AG1267="","",P_Peildatum)</f>
        <v/>
      </c>
      <c r="I1267" s="92" t="str">
        <f>IF($AG1267="","",P_RJ+INDEX($AK$8:$AK$21,INDEX($AC$8:$AC$1407,$AG1267)+1))</f>
        <v/>
      </c>
      <c r="J1267" s="92" t="str">
        <f>IF($AG1267="","",INDEX(V_WBS,INDEX($AB$8:$AB$1407,$AG1267)))</f>
        <v/>
      </c>
      <c r="K1267" s="92" t="str">
        <f>IF($AG1267="","",INDEX(V_Projdef,INDEX($AB$8:$AB$1407,$AG1267)))</f>
        <v/>
      </c>
      <c r="L1267" s="92" t="str">
        <f>IF($AG1267="","",INDEX(V_Naam,INDEX($AB$8:$AB$1407,$AG1267)))</f>
        <v/>
      </c>
      <c r="M1267" s="92" t="str">
        <f>IF($AG1267="","",INDEX(V_Type,INDEX($AB$8:$AB$1407,$AG1267)))</f>
        <v/>
      </c>
      <c r="N1267" s="92" t="str">
        <f>IF($AG1267="","",INDEX(V_IFRS,INDEX($AB$8:$AB$1407,$AG1267)))</f>
        <v/>
      </c>
      <c r="O1267" s="92" t="str">
        <f>IF($AG1267="","",INDEX($AL$8:$AL$21,INDEX($AC$8:$AC$1407,$AG1267)+1))</f>
        <v/>
      </c>
      <c r="P1267" s="109" t="str">
        <f>IF($AG1267="","",INDEX($AD$8:$AD$1407,$AG1267))</f>
        <v/>
      </c>
      <c r="Q1267" s="92" t="str">
        <f>IF($AG1267="","",INDEX($AM$8:$AM$21,INDEX($AC$8:$AC$1407,$AG1267)+1))</f>
        <v/>
      </c>
      <c r="R1267" s="92" t="str">
        <f>IF($AG1267="","",IF($G1267&gt;0,P_ToelCorrectie&amp;"",""))</f>
        <v/>
      </c>
      <c r="S1267" s="15" t="str">
        <f>IF(J1267="","",J1267&amp;"|"&amp;E1267&amp;"|"&amp;F1267&amp;"|"&amp;I1267&amp;"|"&amp;O1267)</f>
        <v/>
      </c>
      <c r="T1267" s="111" t="str">
        <f>IF(S1267="","",IF(COUNTIFS(L_Sleutel,S1267,L_Actief,1)=0,"",SUMIFS(L_Waarde,L_Sleutel,S1267,L_Actief,1)))</f>
        <v/>
      </c>
      <c r="U1267" s="111">
        <f>IF(OR(S1267="",T1267=""),0,P1267-T1267)</f>
        <v>0</v>
      </c>
      <c r="AB1267" s="112" t="n">
        <v>90</v>
      </c>
      <c r="AC1267" s="112" t="n">
        <v>13</v>
      </c>
      <c r="AD1267" s="112" t="str">
        <f>VERW_Project!BX95</f>
        <v/>
      </c>
      <c r="AE1267" s="112">
        <f>IF(AND(VERW_Project!$A95&lt;&gt;"",ISNUMBER(AD1267)),1,0)</f>
        <v>0</v>
      </c>
      <c r="AF1267" s="112" t="str">
        <f>IF(AE1267=1,SUM($AE$8:AE1267),"")</f>
        <v/>
      </c>
      <c r="AG1267" t="str">
        <f>IFERROR(MATCH(1260,$AF$8:$AF$1407,0),"")</f>
        <v/>
      </c>
    </row>
    <row r="1268">
      <c r="A1268" s="92" t="str">
        <f>IF($AG1268="","",P_ImportID)</f>
        <v/>
      </c>
      <c r="B1268" s="92" t="str">
        <f>IF($AG1268="","",IF(INDEX($AN$8:$AN$21,INDEX($AC$8:$AC$1407,$AG1268)+1)="Z",P_BronZ,P_BronE))</f>
        <v/>
      </c>
      <c r="C1268" s="108" t="str">
        <f>IF($AG1268="","",P_Importdatum)</f>
        <v/>
      </c>
      <c r="D1268" s="92" t="str">
        <f>IF($AG1268="","",P_StatusVastleg)</f>
        <v/>
      </c>
      <c r="E1268" s="92" t="str">
        <f>IF($AG1268="","",P_UploadVJ)</f>
        <v/>
      </c>
      <c r="F1268" s="92" t="str">
        <f>IF($AG1268="","",P_UploadVersie)</f>
        <v/>
      </c>
      <c r="G1268" s="92" t="str">
        <f>IF($AG1268="","",IF(COUNTIFS(L_Sleutel,$S1268,L_Status,"Vastgesteld")=0,0,_xlfn.MAXIFS(L_Revisie,L_Sleutel,$S1268,L_Status,"Vastgesteld")+1))</f>
        <v/>
      </c>
      <c r="H1268" s="108" t="str">
        <f>IF($AG1268="","",P_Peildatum)</f>
        <v/>
      </c>
      <c r="I1268" s="92" t="str">
        <f>IF($AG1268="","",P_RJ+INDEX($AK$8:$AK$21,INDEX($AC$8:$AC$1407,$AG1268)+1))</f>
        <v/>
      </c>
      <c r="J1268" s="92" t="str">
        <f>IF($AG1268="","",INDEX(V_WBS,INDEX($AB$8:$AB$1407,$AG1268)))</f>
        <v/>
      </c>
      <c r="K1268" s="92" t="str">
        <f>IF($AG1268="","",INDEX(V_Projdef,INDEX($AB$8:$AB$1407,$AG1268)))</f>
        <v/>
      </c>
      <c r="L1268" s="92" t="str">
        <f>IF($AG1268="","",INDEX(V_Naam,INDEX($AB$8:$AB$1407,$AG1268)))</f>
        <v/>
      </c>
      <c r="M1268" s="92" t="str">
        <f>IF($AG1268="","",INDEX(V_Type,INDEX($AB$8:$AB$1407,$AG1268)))</f>
        <v/>
      </c>
      <c r="N1268" s="92" t="str">
        <f>IF($AG1268="","",INDEX(V_IFRS,INDEX($AB$8:$AB$1407,$AG1268)))</f>
        <v/>
      </c>
      <c r="O1268" s="92" t="str">
        <f>IF($AG1268="","",INDEX($AL$8:$AL$21,INDEX($AC$8:$AC$1407,$AG1268)+1))</f>
        <v/>
      </c>
      <c r="P1268" s="109" t="str">
        <f>IF($AG1268="","",INDEX($AD$8:$AD$1407,$AG1268))</f>
        <v/>
      </c>
      <c r="Q1268" s="92" t="str">
        <f>IF($AG1268="","",INDEX($AM$8:$AM$21,INDEX($AC$8:$AC$1407,$AG1268)+1))</f>
        <v/>
      </c>
      <c r="R1268" s="92" t="str">
        <f>IF($AG1268="","",IF($G1268&gt;0,P_ToelCorrectie&amp;"",""))</f>
        <v/>
      </c>
      <c r="S1268" s="15" t="str">
        <f>IF(J1268="","",J1268&amp;"|"&amp;E1268&amp;"|"&amp;F1268&amp;"|"&amp;I1268&amp;"|"&amp;O1268)</f>
        <v/>
      </c>
      <c r="T1268" s="111" t="str">
        <f>IF(S1268="","",IF(COUNTIFS(L_Sleutel,S1268,L_Actief,1)=0,"",SUMIFS(L_Waarde,L_Sleutel,S1268,L_Actief,1)))</f>
        <v/>
      </c>
      <c r="U1268" s="111">
        <f>IF(OR(S1268="",T1268=""),0,P1268-T1268)</f>
        <v>0</v>
      </c>
      <c r="AB1268" s="112" t="n">
        <v>91</v>
      </c>
      <c r="AC1268" s="112" t="n">
        <v>0</v>
      </c>
      <c r="AD1268" s="112" t="str">
        <f>VERW_Project!P96</f>
        <v/>
      </c>
      <c r="AE1268" s="112">
        <f>IF(AND(VERW_Project!$A96&lt;&gt;"",ISNUMBER(AD1268)),1,0)</f>
        <v>0</v>
      </c>
      <c r="AF1268" s="112" t="str">
        <f>IF(AE1268=1,SUM($AE$8:AE1268),"")</f>
        <v/>
      </c>
      <c r="AG1268" t="str">
        <f>IFERROR(MATCH(1261,$AF$8:$AF$1407,0),"")</f>
        <v/>
      </c>
    </row>
    <row r="1269">
      <c r="A1269" s="92" t="str">
        <f>IF($AG1269="","",P_ImportID)</f>
        <v/>
      </c>
      <c r="B1269" s="92" t="str">
        <f>IF($AG1269="","",IF(INDEX($AN$8:$AN$21,INDEX($AC$8:$AC$1407,$AG1269)+1)="Z",P_BronZ,P_BronE))</f>
        <v/>
      </c>
      <c r="C1269" s="108" t="str">
        <f>IF($AG1269="","",P_Importdatum)</f>
        <v/>
      </c>
      <c r="D1269" s="92" t="str">
        <f>IF($AG1269="","",P_StatusVastleg)</f>
        <v/>
      </c>
      <c r="E1269" s="92" t="str">
        <f>IF($AG1269="","",P_UploadVJ)</f>
        <v/>
      </c>
      <c r="F1269" s="92" t="str">
        <f>IF($AG1269="","",P_UploadVersie)</f>
        <v/>
      </c>
      <c r="G1269" s="92" t="str">
        <f>IF($AG1269="","",IF(COUNTIFS(L_Sleutel,$S1269,L_Status,"Vastgesteld")=0,0,_xlfn.MAXIFS(L_Revisie,L_Sleutel,$S1269,L_Status,"Vastgesteld")+1))</f>
        <v/>
      </c>
      <c r="H1269" s="108" t="str">
        <f>IF($AG1269="","",P_Peildatum)</f>
        <v/>
      </c>
      <c r="I1269" s="92" t="str">
        <f>IF($AG1269="","",P_RJ+INDEX($AK$8:$AK$21,INDEX($AC$8:$AC$1407,$AG1269)+1))</f>
        <v/>
      </c>
      <c r="J1269" s="92" t="str">
        <f>IF($AG1269="","",INDEX(V_WBS,INDEX($AB$8:$AB$1407,$AG1269)))</f>
        <v/>
      </c>
      <c r="K1269" s="92" t="str">
        <f>IF($AG1269="","",INDEX(V_Projdef,INDEX($AB$8:$AB$1407,$AG1269)))</f>
        <v/>
      </c>
      <c r="L1269" s="92" t="str">
        <f>IF($AG1269="","",INDEX(V_Naam,INDEX($AB$8:$AB$1407,$AG1269)))</f>
        <v/>
      </c>
      <c r="M1269" s="92" t="str">
        <f>IF($AG1269="","",INDEX(V_Type,INDEX($AB$8:$AB$1407,$AG1269)))</f>
        <v/>
      </c>
      <c r="N1269" s="92" t="str">
        <f>IF($AG1269="","",INDEX(V_IFRS,INDEX($AB$8:$AB$1407,$AG1269)))</f>
        <v/>
      </c>
      <c r="O1269" s="92" t="str">
        <f>IF($AG1269="","",INDEX($AL$8:$AL$21,INDEX($AC$8:$AC$1407,$AG1269)+1))</f>
        <v/>
      </c>
      <c r="P1269" s="109" t="str">
        <f>IF($AG1269="","",INDEX($AD$8:$AD$1407,$AG1269))</f>
        <v/>
      </c>
      <c r="Q1269" s="92" t="str">
        <f>IF($AG1269="","",INDEX($AM$8:$AM$21,INDEX($AC$8:$AC$1407,$AG1269)+1))</f>
        <v/>
      </c>
      <c r="R1269" s="92" t="str">
        <f>IF($AG1269="","",IF($G1269&gt;0,P_ToelCorrectie&amp;"",""))</f>
        <v/>
      </c>
      <c r="S1269" s="15" t="str">
        <f>IF(J1269="","",J1269&amp;"|"&amp;E1269&amp;"|"&amp;F1269&amp;"|"&amp;I1269&amp;"|"&amp;O1269)</f>
        <v/>
      </c>
      <c r="T1269" s="111" t="str">
        <f>IF(S1269="","",IF(COUNTIFS(L_Sleutel,S1269,L_Actief,1)=0,"",SUMIFS(L_Waarde,L_Sleutel,S1269,L_Actief,1)))</f>
        <v/>
      </c>
      <c r="U1269" s="111">
        <f>IF(OR(S1269="",T1269=""),0,P1269-T1269)</f>
        <v>0</v>
      </c>
      <c r="AB1269" s="112" t="n">
        <v>91</v>
      </c>
      <c r="AC1269" s="112" t="n">
        <v>1</v>
      </c>
      <c r="AD1269" s="112" t="str">
        <f>VERW_Project!Q96</f>
        <v/>
      </c>
      <c r="AE1269" s="112">
        <f>IF(AND(VERW_Project!$A96&lt;&gt;"",ISNUMBER(AD1269)),1,0)</f>
        <v>0</v>
      </c>
      <c r="AF1269" s="112" t="str">
        <f>IF(AE1269=1,SUM($AE$8:AE1269),"")</f>
        <v/>
      </c>
      <c r="AG1269" t="str">
        <f>IFERROR(MATCH(1262,$AF$8:$AF$1407,0),"")</f>
        <v/>
      </c>
    </row>
    <row r="1270">
      <c r="A1270" s="92" t="str">
        <f>IF($AG1270="","",P_ImportID)</f>
        <v/>
      </c>
      <c r="B1270" s="92" t="str">
        <f>IF($AG1270="","",IF(INDEX($AN$8:$AN$21,INDEX($AC$8:$AC$1407,$AG1270)+1)="Z",P_BronZ,P_BronE))</f>
        <v/>
      </c>
      <c r="C1270" s="108" t="str">
        <f>IF($AG1270="","",P_Importdatum)</f>
        <v/>
      </c>
      <c r="D1270" s="92" t="str">
        <f>IF($AG1270="","",P_StatusVastleg)</f>
        <v/>
      </c>
      <c r="E1270" s="92" t="str">
        <f>IF($AG1270="","",P_UploadVJ)</f>
        <v/>
      </c>
      <c r="F1270" s="92" t="str">
        <f>IF($AG1270="","",P_UploadVersie)</f>
        <v/>
      </c>
      <c r="G1270" s="92" t="str">
        <f>IF($AG1270="","",IF(COUNTIFS(L_Sleutel,$S1270,L_Status,"Vastgesteld")=0,0,_xlfn.MAXIFS(L_Revisie,L_Sleutel,$S1270,L_Status,"Vastgesteld")+1))</f>
        <v/>
      </c>
      <c r="H1270" s="108" t="str">
        <f>IF($AG1270="","",P_Peildatum)</f>
        <v/>
      </c>
      <c r="I1270" s="92" t="str">
        <f>IF($AG1270="","",P_RJ+INDEX($AK$8:$AK$21,INDEX($AC$8:$AC$1407,$AG1270)+1))</f>
        <v/>
      </c>
      <c r="J1270" s="92" t="str">
        <f>IF($AG1270="","",INDEX(V_WBS,INDEX($AB$8:$AB$1407,$AG1270)))</f>
        <v/>
      </c>
      <c r="K1270" s="92" t="str">
        <f>IF($AG1270="","",INDEX(V_Projdef,INDEX($AB$8:$AB$1407,$AG1270)))</f>
        <v/>
      </c>
      <c r="L1270" s="92" t="str">
        <f>IF($AG1270="","",INDEX(V_Naam,INDEX($AB$8:$AB$1407,$AG1270)))</f>
        <v/>
      </c>
      <c r="M1270" s="92" t="str">
        <f>IF($AG1270="","",INDEX(V_Type,INDEX($AB$8:$AB$1407,$AG1270)))</f>
        <v/>
      </c>
      <c r="N1270" s="92" t="str">
        <f>IF($AG1270="","",INDEX(V_IFRS,INDEX($AB$8:$AB$1407,$AG1270)))</f>
        <v/>
      </c>
      <c r="O1270" s="92" t="str">
        <f>IF($AG1270="","",INDEX($AL$8:$AL$21,INDEX($AC$8:$AC$1407,$AG1270)+1))</f>
        <v/>
      </c>
      <c r="P1270" s="109" t="str">
        <f>IF($AG1270="","",INDEX($AD$8:$AD$1407,$AG1270))</f>
        <v/>
      </c>
      <c r="Q1270" s="92" t="str">
        <f>IF($AG1270="","",INDEX($AM$8:$AM$21,INDEX($AC$8:$AC$1407,$AG1270)+1))</f>
        <v/>
      </c>
      <c r="R1270" s="92" t="str">
        <f>IF($AG1270="","",IF($G1270&gt;0,P_ToelCorrectie&amp;"",""))</f>
        <v/>
      </c>
      <c r="S1270" s="15" t="str">
        <f>IF(J1270="","",J1270&amp;"|"&amp;E1270&amp;"|"&amp;F1270&amp;"|"&amp;I1270&amp;"|"&amp;O1270)</f>
        <v/>
      </c>
      <c r="T1270" s="111" t="str">
        <f>IF(S1270="","",IF(COUNTIFS(L_Sleutel,S1270,L_Actief,1)=0,"",SUMIFS(L_Waarde,L_Sleutel,S1270,L_Actief,1)))</f>
        <v/>
      </c>
      <c r="U1270" s="111">
        <f>IF(OR(S1270="",T1270=""),0,P1270-T1270)</f>
        <v>0</v>
      </c>
      <c r="AB1270" s="112" t="n">
        <v>91</v>
      </c>
      <c r="AC1270" s="112" t="n">
        <v>2</v>
      </c>
      <c r="AD1270" s="112" t="str">
        <f>VERW_Project!L96</f>
        <v/>
      </c>
      <c r="AE1270" s="112">
        <f>IF(AND(VERW_Project!$A96&lt;&gt;"",ISNUMBER(AD1270)),1,0)</f>
        <v>0</v>
      </c>
      <c r="AF1270" s="112" t="str">
        <f>IF(AE1270=1,SUM($AE$8:AE1270),"")</f>
        <v/>
      </c>
      <c r="AG1270" t="str">
        <f>IFERROR(MATCH(1263,$AF$8:$AF$1407,0),"")</f>
        <v/>
      </c>
    </row>
    <row r="1271">
      <c r="A1271" s="92" t="str">
        <f>IF($AG1271="","",P_ImportID)</f>
        <v/>
      </c>
      <c r="B1271" s="92" t="str">
        <f>IF($AG1271="","",IF(INDEX($AN$8:$AN$21,INDEX($AC$8:$AC$1407,$AG1271)+1)="Z",P_BronZ,P_BronE))</f>
        <v/>
      </c>
      <c r="C1271" s="108" t="str">
        <f>IF($AG1271="","",P_Importdatum)</f>
        <v/>
      </c>
      <c r="D1271" s="92" t="str">
        <f>IF($AG1271="","",P_StatusVastleg)</f>
        <v/>
      </c>
      <c r="E1271" s="92" t="str">
        <f>IF($AG1271="","",P_UploadVJ)</f>
        <v/>
      </c>
      <c r="F1271" s="92" t="str">
        <f>IF($AG1271="","",P_UploadVersie)</f>
        <v/>
      </c>
      <c r="G1271" s="92" t="str">
        <f>IF($AG1271="","",IF(COUNTIFS(L_Sleutel,$S1271,L_Status,"Vastgesteld")=0,0,_xlfn.MAXIFS(L_Revisie,L_Sleutel,$S1271,L_Status,"Vastgesteld")+1))</f>
        <v/>
      </c>
      <c r="H1271" s="108" t="str">
        <f>IF($AG1271="","",P_Peildatum)</f>
        <v/>
      </c>
      <c r="I1271" s="92" t="str">
        <f>IF($AG1271="","",P_RJ+INDEX($AK$8:$AK$21,INDEX($AC$8:$AC$1407,$AG1271)+1))</f>
        <v/>
      </c>
      <c r="J1271" s="92" t="str">
        <f>IF($AG1271="","",INDEX(V_WBS,INDEX($AB$8:$AB$1407,$AG1271)))</f>
        <v/>
      </c>
      <c r="K1271" s="92" t="str">
        <f>IF($AG1271="","",INDEX(V_Projdef,INDEX($AB$8:$AB$1407,$AG1271)))</f>
        <v/>
      </c>
      <c r="L1271" s="92" t="str">
        <f>IF($AG1271="","",INDEX(V_Naam,INDEX($AB$8:$AB$1407,$AG1271)))</f>
        <v/>
      </c>
      <c r="M1271" s="92" t="str">
        <f>IF($AG1271="","",INDEX(V_Type,INDEX($AB$8:$AB$1407,$AG1271)))</f>
        <v/>
      </c>
      <c r="N1271" s="92" t="str">
        <f>IF($AG1271="","",INDEX(V_IFRS,INDEX($AB$8:$AB$1407,$AG1271)))</f>
        <v/>
      </c>
      <c r="O1271" s="92" t="str">
        <f>IF($AG1271="","",INDEX($AL$8:$AL$21,INDEX($AC$8:$AC$1407,$AG1271)+1))</f>
        <v/>
      </c>
      <c r="P1271" s="109" t="str">
        <f>IF($AG1271="","",INDEX($AD$8:$AD$1407,$AG1271))</f>
        <v/>
      </c>
      <c r="Q1271" s="92" t="str">
        <f>IF($AG1271="","",INDEX($AM$8:$AM$21,INDEX($AC$8:$AC$1407,$AG1271)+1))</f>
        <v/>
      </c>
      <c r="R1271" s="92" t="str">
        <f>IF($AG1271="","",IF($G1271&gt;0,P_ToelCorrectie&amp;"",""))</f>
        <v/>
      </c>
      <c r="S1271" s="15" t="str">
        <f>IF(J1271="","",J1271&amp;"|"&amp;E1271&amp;"|"&amp;F1271&amp;"|"&amp;I1271&amp;"|"&amp;O1271)</f>
        <v/>
      </c>
      <c r="T1271" s="111" t="str">
        <f>IF(S1271="","",IF(COUNTIFS(L_Sleutel,S1271,L_Actief,1)=0,"",SUMIFS(L_Waarde,L_Sleutel,S1271,L_Actief,1)))</f>
        <v/>
      </c>
      <c r="U1271" s="111">
        <f>IF(OR(S1271="",T1271=""),0,P1271-T1271)</f>
        <v>0</v>
      </c>
      <c r="AB1271" s="112" t="n">
        <v>91</v>
      </c>
      <c r="AC1271" s="112" t="n">
        <v>3</v>
      </c>
      <c r="AD1271" s="112" t="str">
        <f>VERW_Project!M96</f>
        <v/>
      </c>
      <c r="AE1271" s="112">
        <f>IF(AND(VERW_Project!$A96&lt;&gt;"",ISNUMBER(AD1271)),1,0)</f>
        <v>0</v>
      </c>
      <c r="AF1271" s="112" t="str">
        <f>IF(AE1271=1,SUM($AE$8:AE1271),"")</f>
        <v/>
      </c>
      <c r="AG1271" t="str">
        <f>IFERROR(MATCH(1264,$AF$8:$AF$1407,0),"")</f>
        <v/>
      </c>
    </row>
    <row r="1272">
      <c r="A1272" s="92" t="str">
        <f>IF($AG1272="","",P_ImportID)</f>
        <v/>
      </c>
      <c r="B1272" s="92" t="str">
        <f>IF($AG1272="","",IF(INDEX($AN$8:$AN$21,INDEX($AC$8:$AC$1407,$AG1272)+1)="Z",P_BronZ,P_BronE))</f>
        <v/>
      </c>
      <c r="C1272" s="108" t="str">
        <f>IF($AG1272="","",P_Importdatum)</f>
        <v/>
      </c>
      <c r="D1272" s="92" t="str">
        <f>IF($AG1272="","",P_StatusVastleg)</f>
        <v/>
      </c>
      <c r="E1272" s="92" t="str">
        <f>IF($AG1272="","",P_UploadVJ)</f>
        <v/>
      </c>
      <c r="F1272" s="92" t="str">
        <f>IF($AG1272="","",P_UploadVersie)</f>
        <v/>
      </c>
      <c r="G1272" s="92" t="str">
        <f>IF($AG1272="","",IF(COUNTIFS(L_Sleutel,$S1272,L_Status,"Vastgesteld")=0,0,_xlfn.MAXIFS(L_Revisie,L_Sleutel,$S1272,L_Status,"Vastgesteld")+1))</f>
        <v/>
      </c>
      <c r="H1272" s="108" t="str">
        <f>IF($AG1272="","",P_Peildatum)</f>
        <v/>
      </c>
      <c r="I1272" s="92" t="str">
        <f>IF($AG1272="","",P_RJ+INDEX($AK$8:$AK$21,INDEX($AC$8:$AC$1407,$AG1272)+1))</f>
        <v/>
      </c>
      <c r="J1272" s="92" t="str">
        <f>IF($AG1272="","",INDEX(V_WBS,INDEX($AB$8:$AB$1407,$AG1272)))</f>
        <v/>
      </c>
      <c r="K1272" s="92" t="str">
        <f>IF($AG1272="","",INDEX(V_Projdef,INDEX($AB$8:$AB$1407,$AG1272)))</f>
        <v/>
      </c>
      <c r="L1272" s="92" t="str">
        <f>IF($AG1272="","",INDEX(V_Naam,INDEX($AB$8:$AB$1407,$AG1272)))</f>
        <v/>
      </c>
      <c r="M1272" s="92" t="str">
        <f>IF($AG1272="","",INDEX(V_Type,INDEX($AB$8:$AB$1407,$AG1272)))</f>
        <v/>
      </c>
      <c r="N1272" s="92" t="str">
        <f>IF($AG1272="","",INDEX(V_IFRS,INDEX($AB$8:$AB$1407,$AG1272)))</f>
        <v/>
      </c>
      <c r="O1272" s="92" t="str">
        <f>IF($AG1272="","",INDEX($AL$8:$AL$21,INDEX($AC$8:$AC$1407,$AG1272)+1))</f>
        <v/>
      </c>
      <c r="P1272" s="109" t="str">
        <f>IF($AG1272="","",INDEX($AD$8:$AD$1407,$AG1272))</f>
        <v/>
      </c>
      <c r="Q1272" s="92" t="str">
        <f>IF($AG1272="","",INDEX($AM$8:$AM$21,INDEX($AC$8:$AC$1407,$AG1272)+1))</f>
        <v/>
      </c>
      <c r="R1272" s="92" t="str">
        <f>IF($AG1272="","",IF($G1272&gt;0,P_ToelCorrectie&amp;"",""))</f>
        <v/>
      </c>
      <c r="S1272" s="15" t="str">
        <f>IF(J1272="","",J1272&amp;"|"&amp;E1272&amp;"|"&amp;F1272&amp;"|"&amp;I1272&amp;"|"&amp;O1272)</f>
        <v/>
      </c>
      <c r="T1272" s="111" t="str">
        <f>IF(S1272="","",IF(COUNTIFS(L_Sleutel,S1272,L_Actief,1)=0,"",SUMIFS(L_Waarde,L_Sleutel,S1272,L_Actief,1)))</f>
        <v/>
      </c>
      <c r="U1272" s="111">
        <f>IF(OR(S1272="",T1272=""),0,P1272-T1272)</f>
        <v>0</v>
      </c>
      <c r="AB1272" s="112" t="n">
        <v>91</v>
      </c>
      <c r="AC1272" s="112" t="n">
        <v>4</v>
      </c>
      <c r="AD1272" s="112" t="str">
        <f>VERW_Project!R96</f>
        <v/>
      </c>
      <c r="AE1272" s="112">
        <f>IF(AND(VERW_Project!$A96&lt;&gt;"",ISNUMBER(AD1272)),1,0)</f>
        <v>0</v>
      </c>
      <c r="AF1272" s="112" t="str">
        <f>IF(AE1272=1,SUM($AE$8:AE1272),"")</f>
        <v/>
      </c>
      <c r="AG1272" t="str">
        <f>IFERROR(MATCH(1265,$AF$8:$AF$1407,0),"")</f>
        <v/>
      </c>
    </row>
    <row r="1273">
      <c r="A1273" s="92" t="str">
        <f>IF($AG1273="","",P_ImportID)</f>
        <v/>
      </c>
      <c r="B1273" s="92" t="str">
        <f>IF($AG1273="","",IF(INDEX($AN$8:$AN$21,INDEX($AC$8:$AC$1407,$AG1273)+1)="Z",P_BronZ,P_BronE))</f>
        <v/>
      </c>
      <c r="C1273" s="108" t="str">
        <f>IF($AG1273="","",P_Importdatum)</f>
        <v/>
      </c>
      <c r="D1273" s="92" t="str">
        <f>IF($AG1273="","",P_StatusVastleg)</f>
        <v/>
      </c>
      <c r="E1273" s="92" t="str">
        <f>IF($AG1273="","",P_UploadVJ)</f>
        <v/>
      </c>
      <c r="F1273" s="92" t="str">
        <f>IF($AG1273="","",P_UploadVersie)</f>
        <v/>
      </c>
      <c r="G1273" s="92" t="str">
        <f>IF($AG1273="","",IF(COUNTIFS(L_Sleutel,$S1273,L_Status,"Vastgesteld")=0,0,_xlfn.MAXIFS(L_Revisie,L_Sleutel,$S1273,L_Status,"Vastgesteld")+1))</f>
        <v/>
      </c>
      <c r="H1273" s="108" t="str">
        <f>IF($AG1273="","",P_Peildatum)</f>
        <v/>
      </c>
      <c r="I1273" s="92" t="str">
        <f>IF($AG1273="","",P_RJ+INDEX($AK$8:$AK$21,INDEX($AC$8:$AC$1407,$AG1273)+1))</f>
        <v/>
      </c>
      <c r="J1273" s="92" t="str">
        <f>IF($AG1273="","",INDEX(V_WBS,INDEX($AB$8:$AB$1407,$AG1273)))</f>
        <v/>
      </c>
      <c r="K1273" s="92" t="str">
        <f>IF($AG1273="","",INDEX(V_Projdef,INDEX($AB$8:$AB$1407,$AG1273)))</f>
        <v/>
      </c>
      <c r="L1273" s="92" t="str">
        <f>IF($AG1273="","",INDEX(V_Naam,INDEX($AB$8:$AB$1407,$AG1273)))</f>
        <v/>
      </c>
      <c r="M1273" s="92" t="str">
        <f>IF($AG1273="","",INDEX(V_Type,INDEX($AB$8:$AB$1407,$AG1273)))</f>
        <v/>
      </c>
      <c r="N1273" s="92" t="str">
        <f>IF($AG1273="","",INDEX(V_IFRS,INDEX($AB$8:$AB$1407,$AG1273)))</f>
        <v/>
      </c>
      <c r="O1273" s="92" t="str">
        <f>IF($AG1273="","",INDEX($AL$8:$AL$21,INDEX($AC$8:$AC$1407,$AG1273)+1))</f>
        <v/>
      </c>
      <c r="P1273" s="109" t="str">
        <f>IF($AG1273="","",INDEX($AD$8:$AD$1407,$AG1273))</f>
        <v/>
      </c>
      <c r="Q1273" s="92" t="str">
        <f>IF($AG1273="","",INDEX($AM$8:$AM$21,INDEX($AC$8:$AC$1407,$AG1273)+1))</f>
        <v/>
      </c>
      <c r="R1273" s="92" t="str">
        <f>IF($AG1273="","",IF($G1273&gt;0,P_ToelCorrectie&amp;"",""))</f>
        <v/>
      </c>
      <c r="S1273" s="15" t="str">
        <f>IF(J1273="","",J1273&amp;"|"&amp;E1273&amp;"|"&amp;F1273&amp;"|"&amp;I1273&amp;"|"&amp;O1273)</f>
        <v/>
      </c>
      <c r="T1273" s="111" t="str">
        <f>IF(S1273="","",IF(COUNTIFS(L_Sleutel,S1273,L_Actief,1)=0,"",SUMIFS(L_Waarde,L_Sleutel,S1273,L_Actief,1)))</f>
        <v/>
      </c>
      <c r="U1273" s="111">
        <f>IF(OR(S1273="",T1273=""),0,P1273-T1273)</f>
        <v>0</v>
      </c>
      <c r="AB1273" s="112" t="n">
        <v>91</v>
      </c>
      <c r="AC1273" s="112" t="n">
        <v>5</v>
      </c>
      <c r="AD1273" s="112" t="str">
        <f>VERW_Project!S96</f>
        <v/>
      </c>
      <c r="AE1273" s="112">
        <f>IF(AND(VERW_Project!$A96&lt;&gt;"",ISNUMBER(AD1273)),1,0)</f>
        <v>0</v>
      </c>
      <c r="AF1273" s="112" t="str">
        <f>IF(AE1273=1,SUM($AE$8:AE1273),"")</f>
        <v/>
      </c>
      <c r="AG1273" t="str">
        <f>IFERROR(MATCH(1266,$AF$8:$AF$1407,0),"")</f>
        <v/>
      </c>
    </row>
    <row r="1274">
      <c r="A1274" s="92" t="str">
        <f>IF($AG1274="","",P_ImportID)</f>
        <v/>
      </c>
      <c r="B1274" s="92" t="str">
        <f>IF($AG1274="","",IF(INDEX($AN$8:$AN$21,INDEX($AC$8:$AC$1407,$AG1274)+1)="Z",P_BronZ,P_BronE))</f>
        <v/>
      </c>
      <c r="C1274" s="108" t="str">
        <f>IF($AG1274="","",P_Importdatum)</f>
        <v/>
      </c>
      <c r="D1274" s="92" t="str">
        <f>IF($AG1274="","",P_StatusVastleg)</f>
        <v/>
      </c>
      <c r="E1274" s="92" t="str">
        <f>IF($AG1274="","",P_UploadVJ)</f>
        <v/>
      </c>
      <c r="F1274" s="92" t="str">
        <f>IF($AG1274="","",P_UploadVersie)</f>
        <v/>
      </c>
      <c r="G1274" s="92" t="str">
        <f>IF($AG1274="","",IF(COUNTIFS(L_Sleutel,$S1274,L_Status,"Vastgesteld")=0,0,_xlfn.MAXIFS(L_Revisie,L_Sleutel,$S1274,L_Status,"Vastgesteld")+1))</f>
        <v/>
      </c>
      <c r="H1274" s="108" t="str">
        <f>IF($AG1274="","",P_Peildatum)</f>
        <v/>
      </c>
      <c r="I1274" s="92" t="str">
        <f>IF($AG1274="","",P_RJ+INDEX($AK$8:$AK$21,INDEX($AC$8:$AC$1407,$AG1274)+1))</f>
        <v/>
      </c>
      <c r="J1274" s="92" t="str">
        <f>IF($AG1274="","",INDEX(V_WBS,INDEX($AB$8:$AB$1407,$AG1274)))</f>
        <v/>
      </c>
      <c r="K1274" s="92" t="str">
        <f>IF($AG1274="","",INDEX(V_Projdef,INDEX($AB$8:$AB$1407,$AG1274)))</f>
        <v/>
      </c>
      <c r="L1274" s="92" t="str">
        <f>IF($AG1274="","",INDEX(V_Naam,INDEX($AB$8:$AB$1407,$AG1274)))</f>
        <v/>
      </c>
      <c r="M1274" s="92" t="str">
        <f>IF($AG1274="","",INDEX(V_Type,INDEX($AB$8:$AB$1407,$AG1274)))</f>
        <v/>
      </c>
      <c r="N1274" s="92" t="str">
        <f>IF($AG1274="","",INDEX(V_IFRS,INDEX($AB$8:$AB$1407,$AG1274)))</f>
        <v/>
      </c>
      <c r="O1274" s="92" t="str">
        <f>IF($AG1274="","",INDEX($AL$8:$AL$21,INDEX($AC$8:$AC$1407,$AG1274)+1))</f>
        <v/>
      </c>
      <c r="P1274" s="109" t="str">
        <f>IF($AG1274="","",INDEX($AD$8:$AD$1407,$AG1274))</f>
        <v/>
      </c>
      <c r="Q1274" s="92" t="str">
        <f>IF($AG1274="","",INDEX($AM$8:$AM$21,INDEX($AC$8:$AC$1407,$AG1274)+1))</f>
        <v/>
      </c>
      <c r="R1274" s="92" t="str">
        <f>IF($AG1274="","",IF($G1274&gt;0,P_ToelCorrectie&amp;"",""))</f>
        <v/>
      </c>
      <c r="S1274" s="15" t="str">
        <f>IF(J1274="","",J1274&amp;"|"&amp;E1274&amp;"|"&amp;F1274&amp;"|"&amp;I1274&amp;"|"&amp;O1274)</f>
        <v/>
      </c>
      <c r="T1274" s="111" t="str">
        <f>IF(S1274="","",IF(COUNTIFS(L_Sleutel,S1274,L_Actief,1)=0,"",SUMIFS(L_Waarde,L_Sleutel,S1274,L_Actief,1)))</f>
        <v/>
      </c>
      <c r="U1274" s="111">
        <f>IF(OR(S1274="",T1274=""),0,P1274-T1274)</f>
        <v>0</v>
      </c>
      <c r="AB1274" s="112" t="n">
        <v>91</v>
      </c>
      <c r="AC1274" s="112" t="n">
        <v>6</v>
      </c>
      <c r="AD1274" s="112" t="str">
        <f>VERW_Project!BW96</f>
        <v/>
      </c>
      <c r="AE1274" s="112">
        <f>IF(AND(VERW_Project!$A96&lt;&gt;"",ISNUMBER(AD1274)),1,0)</f>
        <v>0</v>
      </c>
      <c r="AF1274" s="112" t="str">
        <f>IF(AE1274=1,SUM($AE$8:AE1274),"")</f>
        <v/>
      </c>
      <c r="AG1274" t="str">
        <f>IFERROR(MATCH(1267,$AF$8:$AF$1407,0),"")</f>
        <v/>
      </c>
    </row>
    <row r="1275">
      <c r="A1275" s="92" t="str">
        <f>IF($AG1275="","",P_ImportID)</f>
        <v/>
      </c>
      <c r="B1275" s="92" t="str">
        <f>IF($AG1275="","",IF(INDEX($AN$8:$AN$21,INDEX($AC$8:$AC$1407,$AG1275)+1)="Z",P_BronZ,P_BronE))</f>
        <v/>
      </c>
      <c r="C1275" s="108" t="str">
        <f>IF($AG1275="","",P_Importdatum)</f>
        <v/>
      </c>
      <c r="D1275" s="92" t="str">
        <f>IF($AG1275="","",P_StatusVastleg)</f>
        <v/>
      </c>
      <c r="E1275" s="92" t="str">
        <f>IF($AG1275="","",P_UploadVJ)</f>
        <v/>
      </c>
      <c r="F1275" s="92" t="str">
        <f>IF($AG1275="","",P_UploadVersie)</f>
        <v/>
      </c>
      <c r="G1275" s="92" t="str">
        <f>IF($AG1275="","",IF(COUNTIFS(L_Sleutel,$S1275,L_Status,"Vastgesteld")=0,0,_xlfn.MAXIFS(L_Revisie,L_Sleutel,$S1275,L_Status,"Vastgesteld")+1))</f>
        <v/>
      </c>
      <c r="H1275" s="108" t="str">
        <f>IF($AG1275="","",P_Peildatum)</f>
        <v/>
      </c>
      <c r="I1275" s="92" t="str">
        <f>IF($AG1275="","",P_RJ+INDEX($AK$8:$AK$21,INDEX($AC$8:$AC$1407,$AG1275)+1))</f>
        <v/>
      </c>
      <c r="J1275" s="92" t="str">
        <f>IF($AG1275="","",INDEX(V_WBS,INDEX($AB$8:$AB$1407,$AG1275)))</f>
        <v/>
      </c>
      <c r="K1275" s="92" t="str">
        <f>IF($AG1275="","",INDEX(V_Projdef,INDEX($AB$8:$AB$1407,$AG1275)))</f>
        <v/>
      </c>
      <c r="L1275" s="92" t="str">
        <f>IF($AG1275="","",INDEX(V_Naam,INDEX($AB$8:$AB$1407,$AG1275)))</f>
        <v/>
      </c>
      <c r="M1275" s="92" t="str">
        <f>IF($AG1275="","",INDEX(V_Type,INDEX($AB$8:$AB$1407,$AG1275)))</f>
        <v/>
      </c>
      <c r="N1275" s="92" t="str">
        <f>IF($AG1275="","",INDEX(V_IFRS,INDEX($AB$8:$AB$1407,$AG1275)))</f>
        <v/>
      </c>
      <c r="O1275" s="92" t="str">
        <f>IF($AG1275="","",INDEX($AL$8:$AL$21,INDEX($AC$8:$AC$1407,$AG1275)+1))</f>
        <v/>
      </c>
      <c r="P1275" s="109" t="str">
        <f>IF($AG1275="","",INDEX($AD$8:$AD$1407,$AG1275))</f>
        <v/>
      </c>
      <c r="Q1275" s="92" t="str">
        <f>IF($AG1275="","",INDEX($AM$8:$AM$21,INDEX($AC$8:$AC$1407,$AG1275)+1))</f>
        <v/>
      </c>
      <c r="R1275" s="92" t="str">
        <f>IF($AG1275="","",IF($G1275&gt;0,P_ToelCorrectie&amp;"",""))</f>
        <v/>
      </c>
      <c r="S1275" s="15" t="str">
        <f>IF(J1275="","",J1275&amp;"|"&amp;E1275&amp;"|"&amp;F1275&amp;"|"&amp;I1275&amp;"|"&amp;O1275)</f>
        <v/>
      </c>
      <c r="T1275" s="111" t="str">
        <f>IF(S1275="","",IF(COUNTIFS(L_Sleutel,S1275,L_Actief,1)=0,"",SUMIFS(L_Waarde,L_Sleutel,S1275,L_Actief,1)))</f>
        <v/>
      </c>
      <c r="U1275" s="111">
        <f>IF(OR(S1275="",T1275=""),0,P1275-T1275)</f>
        <v>0</v>
      </c>
      <c r="AB1275" s="112" t="n">
        <v>91</v>
      </c>
      <c r="AC1275" s="112" t="n">
        <v>7</v>
      </c>
      <c r="AD1275" s="112" t="str">
        <f>VERW_Project!AW96</f>
        <v/>
      </c>
      <c r="AE1275" s="112">
        <f>IF(AND(VERW_Project!$A96&lt;&gt;"",ISNUMBER(AD1275)),1,0)</f>
        <v>0</v>
      </c>
      <c r="AF1275" s="112" t="str">
        <f>IF(AE1275=1,SUM($AE$8:AE1275),"")</f>
        <v/>
      </c>
      <c r="AG1275" t="str">
        <f>IFERROR(MATCH(1268,$AF$8:$AF$1407,0),"")</f>
        <v/>
      </c>
    </row>
    <row r="1276">
      <c r="A1276" s="92" t="str">
        <f>IF($AG1276="","",P_ImportID)</f>
        <v/>
      </c>
      <c r="B1276" s="92" t="str">
        <f>IF($AG1276="","",IF(INDEX($AN$8:$AN$21,INDEX($AC$8:$AC$1407,$AG1276)+1)="Z",P_BronZ,P_BronE))</f>
        <v/>
      </c>
      <c r="C1276" s="108" t="str">
        <f>IF($AG1276="","",P_Importdatum)</f>
        <v/>
      </c>
      <c r="D1276" s="92" t="str">
        <f>IF($AG1276="","",P_StatusVastleg)</f>
        <v/>
      </c>
      <c r="E1276" s="92" t="str">
        <f>IF($AG1276="","",P_UploadVJ)</f>
        <v/>
      </c>
      <c r="F1276" s="92" t="str">
        <f>IF($AG1276="","",P_UploadVersie)</f>
        <v/>
      </c>
      <c r="G1276" s="92" t="str">
        <f>IF($AG1276="","",IF(COUNTIFS(L_Sleutel,$S1276,L_Status,"Vastgesteld")=0,0,_xlfn.MAXIFS(L_Revisie,L_Sleutel,$S1276,L_Status,"Vastgesteld")+1))</f>
        <v/>
      </c>
      <c r="H1276" s="108" t="str">
        <f>IF($AG1276="","",P_Peildatum)</f>
        <v/>
      </c>
      <c r="I1276" s="92" t="str">
        <f>IF($AG1276="","",P_RJ+INDEX($AK$8:$AK$21,INDEX($AC$8:$AC$1407,$AG1276)+1))</f>
        <v/>
      </c>
      <c r="J1276" s="92" t="str">
        <f>IF($AG1276="","",INDEX(V_WBS,INDEX($AB$8:$AB$1407,$AG1276)))</f>
        <v/>
      </c>
      <c r="K1276" s="92" t="str">
        <f>IF($AG1276="","",INDEX(V_Projdef,INDEX($AB$8:$AB$1407,$AG1276)))</f>
        <v/>
      </c>
      <c r="L1276" s="92" t="str">
        <f>IF($AG1276="","",INDEX(V_Naam,INDEX($AB$8:$AB$1407,$AG1276)))</f>
        <v/>
      </c>
      <c r="M1276" s="92" t="str">
        <f>IF($AG1276="","",INDEX(V_Type,INDEX($AB$8:$AB$1407,$AG1276)))</f>
        <v/>
      </c>
      <c r="N1276" s="92" t="str">
        <f>IF($AG1276="","",INDEX(V_IFRS,INDEX($AB$8:$AB$1407,$AG1276)))</f>
        <v/>
      </c>
      <c r="O1276" s="92" t="str">
        <f>IF($AG1276="","",INDEX($AL$8:$AL$21,INDEX($AC$8:$AC$1407,$AG1276)+1))</f>
        <v/>
      </c>
      <c r="P1276" s="109" t="str">
        <f>IF($AG1276="","",INDEX($AD$8:$AD$1407,$AG1276))</f>
        <v/>
      </c>
      <c r="Q1276" s="92" t="str">
        <f>IF($AG1276="","",INDEX($AM$8:$AM$21,INDEX($AC$8:$AC$1407,$AG1276)+1))</f>
        <v/>
      </c>
      <c r="R1276" s="92" t="str">
        <f>IF($AG1276="","",IF($G1276&gt;0,P_ToelCorrectie&amp;"",""))</f>
        <v/>
      </c>
      <c r="S1276" s="15" t="str">
        <f>IF(J1276="","",J1276&amp;"|"&amp;E1276&amp;"|"&amp;F1276&amp;"|"&amp;I1276&amp;"|"&amp;O1276)</f>
        <v/>
      </c>
      <c r="T1276" s="111" t="str">
        <f>IF(S1276="","",IF(COUNTIFS(L_Sleutel,S1276,L_Actief,1)=0,"",SUMIFS(L_Waarde,L_Sleutel,S1276,L_Actief,1)))</f>
        <v/>
      </c>
      <c r="U1276" s="111">
        <f>IF(OR(S1276="",T1276=""),0,P1276-T1276)</f>
        <v>0</v>
      </c>
      <c r="AB1276" s="112" t="n">
        <v>91</v>
      </c>
      <c r="AC1276" s="112" t="n">
        <v>8</v>
      </c>
      <c r="AD1276" s="112" t="str">
        <f>VERW_Project!BQ96</f>
        <v/>
      </c>
      <c r="AE1276" s="112">
        <f>IF(AND(VERW_Project!$A96&lt;&gt;"",ISNUMBER(AD1276)),1,0)</f>
        <v>0</v>
      </c>
      <c r="AF1276" s="112" t="str">
        <f>IF(AE1276=1,SUM($AE$8:AE1276),"")</f>
        <v/>
      </c>
      <c r="AG1276" t="str">
        <f>IFERROR(MATCH(1269,$AF$8:$AF$1407,0),"")</f>
        <v/>
      </c>
    </row>
    <row r="1277">
      <c r="A1277" s="92" t="str">
        <f>IF($AG1277="","",P_ImportID)</f>
        <v/>
      </c>
      <c r="B1277" s="92" t="str">
        <f>IF($AG1277="","",IF(INDEX($AN$8:$AN$21,INDEX($AC$8:$AC$1407,$AG1277)+1)="Z",P_BronZ,P_BronE))</f>
        <v/>
      </c>
      <c r="C1277" s="108" t="str">
        <f>IF($AG1277="","",P_Importdatum)</f>
        <v/>
      </c>
      <c r="D1277" s="92" t="str">
        <f>IF($AG1277="","",P_StatusVastleg)</f>
        <v/>
      </c>
      <c r="E1277" s="92" t="str">
        <f>IF($AG1277="","",P_UploadVJ)</f>
        <v/>
      </c>
      <c r="F1277" s="92" t="str">
        <f>IF($AG1277="","",P_UploadVersie)</f>
        <v/>
      </c>
      <c r="G1277" s="92" t="str">
        <f>IF($AG1277="","",IF(COUNTIFS(L_Sleutel,$S1277,L_Status,"Vastgesteld")=0,0,_xlfn.MAXIFS(L_Revisie,L_Sleutel,$S1277,L_Status,"Vastgesteld")+1))</f>
        <v/>
      </c>
      <c r="H1277" s="108" t="str">
        <f>IF($AG1277="","",P_Peildatum)</f>
        <v/>
      </c>
      <c r="I1277" s="92" t="str">
        <f>IF($AG1277="","",P_RJ+INDEX($AK$8:$AK$21,INDEX($AC$8:$AC$1407,$AG1277)+1))</f>
        <v/>
      </c>
      <c r="J1277" s="92" t="str">
        <f>IF($AG1277="","",INDEX(V_WBS,INDEX($AB$8:$AB$1407,$AG1277)))</f>
        <v/>
      </c>
      <c r="K1277" s="92" t="str">
        <f>IF($AG1277="","",INDEX(V_Projdef,INDEX($AB$8:$AB$1407,$AG1277)))</f>
        <v/>
      </c>
      <c r="L1277" s="92" t="str">
        <f>IF($AG1277="","",INDEX(V_Naam,INDEX($AB$8:$AB$1407,$AG1277)))</f>
        <v/>
      </c>
      <c r="M1277" s="92" t="str">
        <f>IF($AG1277="","",INDEX(V_Type,INDEX($AB$8:$AB$1407,$AG1277)))</f>
        <v/>
      </c>
      <c r="N1277" s="92" t="str">
        <f>IF($AG1277="","",INDEX(V_IFRS,INDEX($AB$8:$AB$1407,$AG1277)))</f>
        <v/>
      </c>
      <c r="O1277" s="92" t="str">
        <f>IF($AG1277="","",INDEX($AL$8:$AL$21,INDEX($AC$8:$AC$1407,$AG1277)+1))</f>
        <v/>
      </c>
      <c r="P1277" s="109" t="str">
        <f>IF($AG1277="","",INDEX($AD$8:$AD$1407,$AG1277))</f>
        <v/>
      </c>
      <c r="Q1277" s="92" t="str">
        <f>IF($AG1277="","",INDEX($AM$8:$AM$21,INDEX($AC$8:$AC$1407,$AG1277)+1))</f>
        <v/>
      </c>
      <c r="R1277" s="92" t="str">
        <f>IF($AG1277="","",IF($G1277&gt;0,P_ToelCorrectie&amp;"",""))</f>
        <v/>
      </c>
      <c r="S1277" s="15" t="str">
        <f>IF(J1277="","",J1277&amp;"|"&amp;E1277&amp;"|"&amp;F1277&amp;"|"&amp;I1277&amp;"|"&amp;O1277)</f>
        <v/>
      </c>
      <c r="T1277" s="111" t="str">
        <f>IF(S1277="","",IF(COUNTIFS(L_Sleutel,S1277,L_Actief,1)=0,"",SUMIFS(L_Waarde,L_Sleutel,S1277,L_Actief,1)))</f>
        <v/>
      </c>
      <c r="U1277" s="111">
        <f>IF(OR(S1277="",T1277=""),0,P1277-T1277)</f>
        <v>0</v>
      </c>
      <c r="AB1277" s="112" t="n">
        <v>91</v>
      </c>
      <c r="AC1277" s="112" t="n">
        <v>9</v>
      </c>
      <c r="AD1277" s="112" t="str">
        <f>VERW_Project!BR96</f>
        <v/>
      </c>
      <c r="AE1277" s="112">
        <f>IF(AND(VERW_Project!$A96&lt;&gt;"",ISNUMBER(AD1277)),1,0)</f>
        <v>0</v>
      </c>
      <c r="AF1277" s="112" t="str">
        <f>IF(AE1277=1,SUM($AE$8:AE1277),"")</f>
        <v/>
      </c>
      <c r="AG1277" t="str">
        <f>IFERROR(MATCH(1270,$AF$8:$AF$1407,0),"")</f>
        <v/>
      </c>
    </row>
    <row r="1278">
      <c r="A1278" s="92" t="str">
        <f>IF($AG1278="","",P_ImportID)</f>
        <v/>
      </c>
      <c r="B1278" s="92" t="str">
        <f>IF($AG1278="","",IF(INDEX($AN$8:$AN$21,INDEX($AC$8:$AC$1407,$AG1278)+1)="Z",P_BronZ,P_BronE))</f>
        <v/>
      </c>
      <c r="C1278" s="108" t="str">
        <f>IF($AG1278="","",P_Importdatum)</f>
        <v/>
      </c>
      <c r="D1278" s="92" t="str">
        <f>IF($AG1278="","",P_StatusVastleg)</f>
        <v/>
      </c>
      <c r="E1278" s="92" t="str">
        <f>IF($AG1278="","",P_UploadVJ)</f>
        <v/>
      </c>
      <c r="F1278" s="92" t="str">
        <f>IF($AG1278="","",P_UploadVersie)</f>
        <v/>
      </c>
      <c r="G1278" s="92" t="str">
        <f>IF($AG1278="","",IF(COUNTIFS(L_Sleutel,$S1278,L_Status,"Vastgesteld")=0,0,_xlfn.MAXIFS(L_Revisie,L_Sleutel,$S1278,L_Status,"Vastgesteld")+1))</f>
        <v/>
      </c>
      <c r="H1278" s="108" t="str">
        <f>IF($AG1278="","",P_Peildatum)</f>
        <v/>
      </c>
      <c r="I1278" s="92" t="str">
        <f>IF($AG1278="","",P_RJ+INDEX($AK$8:$AK$21,INDEX($AC$8:$AC$1407,$AG1278)+1))</f>
        <v/>
      </c>
      <c r="J1278" s="92" t="str">
        <f>IF($AG1278="","",INDEX(V_WBS,INDEX($AB$8:$AB$1407,$AG1278)))</f>
        <v/>
      </c>
      <c r="K1278" s="92" t="str">
        <f>IF($AG1278="","",INDEX(V_Projdef,INDEX($AB$8:$AB$1407,$AG1278)))</f>
        <v/>
      </c>
      <c r="L1278" s="92" t="str">
        <f>IF($AG1278="","",INDEX(V_Naam,INDEX($AB$8:$AB$1407,$AG1278)))</f>
        <v/>
      </c>
      <c r="M1278" s="92" t="str">
        <f>IF($AG1278="","",INDEX(V_Type,INDEX($AB$8:$AB$1407,$AG1278)))</f>
        <v/>
      </c>
      <c r="N1278" s="92" t="str">
        <f>IF($AG1278="","",INDEX(V_IFRS,INDEX($AB$8:$AB$1407,$AG1278)))</f>
        <v/>
      </c>
      <c r="O1278" s="92" t="str">
        <f>IF($AG1278="","",INDEX($AL$8:$AL$21,INDEX($AC$8:$AC$1407,$AG1278)+1))</f>
        <v/>
      </c>
      <c r="P1278" s="109" t="str">
        <f>IF($AG1278="","",INDEX($AD$8:$AD$1407,$AG1278))</f>
        <v/>
      </c>
      <c r="Q1278" s="92" t="str">
        <f>IF($AG1278="","",INDEX($AM$8:$AM$21,INDEX($AC$8:$AC$1407,$AG1278)+1))</f>
        <v/>
      </c>
      <c r="R1278" s="92" t="str">
        <f>IF($AG1278="","",IF($G1278&gt;0,P_ToelCorrectie&amp;"",""))</f>
        <v/>
      </c>
      <c r="S1278" s="15" t="str">
        <f>IF(J1278="","",J1278&amp;"|"&amp;E1278&amp;"|"&amp;F1278&amp;"|"&amp;I1278&amp;"|"&amp;O1278)</f>
        <v/>
      </c>
      <c r="T1278" s="111" t="str">
        <f>IF(S1278="","",IF(COUNTIFS(L_Sleutel,S1278,L_Actief,1)=0,"",SUMIFS(L_Waarde,L_Sleutel,S1278,L_Actief,1)))</f>
        <v/>
      </c>
      <c r="U1278" s="111">
        <f>IF(OR(S1278="",T1278=""),0,P1278-T1278)</f>
        <v>0</v>
      </c>
      <c r="AB1278" s="112" t="n">
        <v>91</v>
      </c>
      <c r="AC1278" s="112" t="n">
        <v>10</v>
      </c>
      <c r="AD1278" s="112" t="str">
        <f>VERW_Project!BS96</f>
        <v/>
      </c>
      <c r="AE1278" s="112">
        <f>IF(AND(VERW_Project!$A96&lt;&gt;"",ISNUMBER(AD1278)),1,0)</f>
        <v>0</v>
      </c>
      <c r="AF1278" s="112" t="str">
        <f>IF(AE1278=1,SUM($AE$8:AE1278),"")</f>
        <v/>
      </c>
      <c r="AG1278" t="str">
        <f>IFERROR(MATCH(1271,$AF$8:$AF$1407,0),"")</f>
        <v/>
      </c>
    </row>
    <row r="1279">
      <c r="A1279" s="92" t="str">
        <f>IF($AG1279="","",P_ImportID)</f>
        <v/>
      </c>
      <c r="B1279" s="92" t="str">
        <f>IF($AG1279="","",IF(INDEX($AN$8:$AN$21,INDEX($AC$8:$AC$1407,$AG1279)+1)="Z",P_BronZ,P_BronE))</f>
        <v/>
      </c>
      <c r="C1279" s="108" t="str">
        <f>IF($AG1279="","",P_Importdatum)</f>
        <v/>
      </c>
      <c r="D1279" s="92" t="str">
        <f>IF($AG1279="","",P_StatusVastleg)</f>
        <v/>
      </c>
      <c r="E1279" s="92" t="str">
        <f>IF($AG1279="","",P_UploadVJ)</f>
        <v/>
      </c>
      <c r="F1279" s="92" t="str">
        <f>IF($AG1279="","",P_UploadVersie)</f>
        <v/>
      </c>
      <c r="G1279" s="92" t="str">
        <f>IF($AG1279="","",IF(COUNTIFS(L_Sleutel,$S1279,L_Status,"Vastgesteld")=0,0,_xlfn.MAXIFS(L_Revisie,L_Sleutel,$S1279,L_Status,"Vastgesteld")+1))</f>
        <v/>
      </c>
      <c r="H1279" s="108" t="str">
        <f>IF($AG1279="","",P_Peildatum)</f>
        <v/>
      </c>
      <c r="I1279" s="92" t="str">
        <f>IF($AG1279="","",P_RJ+INDEX($AK$8:$AK$21,INDEX($AC$8:$AC$1407,$AG1279)+1))</f>
        <v/>
      </c>
      <c r="J1279" s="92" t="str">
        <f>IF($AG1279="","",INDEX(V_WBS,INDEX($AB$8:$AB$1407,$AG1279)))</f>
        <v/>
      </c>
      <c r="K1279" s="92" t="str">
        <f>IF($AG1279="","",INDEX(V_Projdef,INDEX($AB$8:$AB$1407,$AG1279)))</f>
        <v/>
      </c>
      <c r="L1279" s="92" t="str">
        <f>IF($AG1279="","",INDEX(V_Naam,INDEX($AB$8:$AB$1407,$AG1279)))</f>
        <v/>
      </c>
      <c r="M1279" s="92" t="str">
        <f>IF($AG1279="","",INDEX(V_Type,INDEX($AB$8:$AB$1407,$AG1279)))</f>
        <v/>
      </c>
      <c r="N1279" s="92" t="str">
        <f>IF($AG1279="","",INDEX(V_IFRS,INDEX($AB$8:$AB$1407,$AG1279)))</f>
        <v/>
      </c>
      <c r="O1279" s="92" t="str">
        <f>IF($AG1279="","",INDEX($AL$8:$AL$21,INDEX($AC$8:$AC$1407,$AG1279)+1))</f>
        <v/>
      </c>
      <c r="P1279" s="109" t="str">
        <f>IF($AG1279="","",INDEX($AD$8:$AD$1407,$AG1279))</f>
        <v/>
      </c>
      <c r="Q1279" s="92" t="str">
        <f>IF($AG1279="","",INDEX($AM$8:$AM$21,INDEX($AC$8:$AC$1407,$AG1279)+1))</f>
        <v/>
      </c>
      <c r="R1279" s="92" t="str">
        <f>IF($AG1279="","",IF($G1279&gt;0,P_ToelCorrectie&amp;"",""))</f>
        <v/>
      </c>
      <c r="S1279" s="15" t="str">
        <f>IF(J1279="","",J1279&amp;"|"&amp;E1279&amp;"|"&amp;F1279&amp;"|"&amp;I1279&amp;"|"&amp;O1279)</f>
        <v/>
      </c>
      <c r="T1279" s="111" t="str">
        <f>IF(S1279="","",IF(COUNTIFS(L_Sleutel,S1279,L_Actief,1)=0,"",SUMIFS(L_Waarde,L_Sleutel,S1279,L_Actief,1)))</f>
        <v/>
      </c>
      <c r="U1279" s="111">
        <f>IF(OR(S1279="",T1279=""),0,P1279-T1279)</f>
        <v>0</v>
      </c>
      <c r="AB1279" s="112" t="n">
        <v>91</v>
      </c>
      <c r="AC1279" s="112" t="n">
        <v>11</v>
      </c>
      <c r="AD1279" s="112" t="str">
        <f>VERW_Project!BT96</f>
        <v/>
      </c>
      <c r="AE1279" s="112">
        <f>IF(AND(VERW_Project!$A96&lt;&gt;"",ISNUMBER(AD1279)),1,0)</f>
        <v>0</v>
      </c>
      <c r="AF1279" s="112" t="str">
        <f>IF(AE1279=1,SUM($AE$8:AE1279),"")</f>
        <v/>
      </c>
      <c r="AG1279" t="str">
        <f>IFERROR(MATCH(1272,$AF$8:$AF$1407,0),"")</f>
        <v/>
      </c>
    </row>
    <row r="1280">
      <c r="A1280" s="92" t="str">
        <f>IF($AG1280="","",P_ImportID)</f>
        <v/>
      </c>
      <c r="B1280" s="92" t="str">
        <f>IF($AG1280="","",IF(INDEX($AN$8:$AN$21,INDEX($AC$8:$AC$1407,$AG1280)+1)="Z",P_BronZ,P_BronE))</f>
        <v/>
      </c>
      <c r="C1280" s="108" t="str">
        <f>IF($AG1280="","",P_Importdatum)</f>
        <v/>
      </c>
      <c r="D1280" s="92" t="str">
        <f>IF($AG1280="","",P_StatusVastleg)</f>
        <v/>
      </c>
      <c r="E1280" s="92" t="str">
        <f>IF($AG1280="","",P_UploadVJ)</f>
        <v/>
      </c>
      <c r="F1280" s="92" t="str">
        <f>IF($AG1280="","",P_UploadVersie)</f>
        <v/>
      </c>
      <c r="G1280" s="92" t="str">
        <f>IF($AG1280="","",IF(COUNTIFS(L_Sleutel,$S1280,L_Status,"Vastgesteld")=0,0,_xlfn.MAXIFS(L_Revisie,L_Sleutel,$S1280,L_Status,"Vastgesteld")+1))</f>
        <v/>
      </c>
      <c r="H1280" s="108" t="str">
        <f>IF($AG1280="","",P_Peildatum)</f>
        <v/>
      </c>
      <c r="I1280" s="92" t="str">
        <f>IF($AG1280="","",P_RJ+INDEX($AK$8:$AK$21,INDEX($AC$8:$AC$1407,$AG1280)+1))</f>
        <v/>
      </c>
      <c r="J1280" s="92" t="str">
        <f>IF($AG1280="","",INDEX(V_WBS,INDEX($AB$8:$AB$1407,$AG1280)))</f>
        <v/>
      </c>
      <c r="K1280" s="92" t="str">
        <f>IF($AG1280="","",INDEX(V_Projdef,INDEX($AB$8:$AB$1407,$AG1280)))</f>
        <v/>
      </c>
      <c r="L1280" s="92" t="str">
        <f>IF($AG1280="","",INDEX(V_Naam,INDEX($AB$8:$AB$1407,$AG1280)))</f>
        <v/>
      </c>
      <c r="M1280" s="92" t="str">
        <f>IF($AG1280="","",INDEX(V_Type,INDEX($AB$8:$AB$1407,$AG1280)))</f>
        <v/>
      </c>
      <c r="N1280" s="92" t="str">
        <f>IF($AG1280="","",INDEX(V_IFRS,INDEX($AB$8:$AB$1407,$AG1280)))</f>
        <v/>
      </c>
      <c r="O1280" s="92" t="str">
        <f>IF($AG1280="","",INDEX($AL$8:$AL$21,INDEX($AC$8:$AC$1407,$AG1280)+1))</f>
        <v/>
      </c>
      <c r="P1280" s="109" t="str">
        <f>IF($AG1280="","",INDEX($AD$8:$AD$1407,$AG1280))</f>
        <v/>
      </c>
      <c r="Q1280" s="92" t="str">
        <f>IF($AG1280="","",INDEX($AM$8:$AM$21,INDEX($AC$8:$AC$1407,$AG1280)+1))</f>
        <v/>
      </c>
      <c r="R1280" s="92" t="str">
        <f>IF($AG1280="","",IF($G1280&gt;0,P_ToelCorrectie&amp;"",""))</f>
        <v/>
      </c>
      <c r="S1280" s="15" t="str">
        <f>IF(J1280="","",J1280&amp;"|"&amp;E1280&amp;"|"&amp;F1280&amp;"|"&amp;I1280&amp;"|"&amp;O1280)</f>
        <v/>
      </c>
      <c r="T1280" s="111" t="str">
        <f>IF(S1280="","",IF(COUNTIFS(L_Sleutel,S1280,L_Actief,1)=0,"",SUMIFS(L_Waarde,L_Sleutel,S1280,L_Actief,1)))</f>
        <v/>
      </c>
      <c r="U1280" s="111">
        <f>IF(OR(S1280="",T1280=""),0,P1280-T1280)</f>
        <v>0</v>
      </c>
      <c r="AB1280" s="112" t="n">
        <v>91</v>
      </c>
      <c r="AC1280" s="112" t="n">
        <v>12</v>
      </c>
      <c r="AD1280" s="112" t="str">
        <f>VERW_Project!BU96</f>
        <v/>
      </c>
      <c r="AE1280" s="112">
        <f>IF(AND(VERW_Project!$A96&lt;&gt;"",ISNUMBER(AD1280)),1,0)</f>
        <v>0</v>
      </c>
      <c r="AF1280" s="112" t="str">
        <f>IF(AE1280=1,SUM($AE$8:AE1280),"")</f>
        <v/>
      </c>
      <c r="AG1280" t="str">
        <f>IFERROR(MATCH(1273,$AF$8:$AF$1407,0),"")</f>
        <v/>
      </c>
    </row>
    <row r="1281">
      <c r="A1281" s="92" t="str">
        <f>IF($AG1281="","",P_ImportID)</f>
        <v/>
      </c>
      <c r="B1281" s="92" t="str">
        <f>IF($AG1281="","",IF(INDEX($AN$8:$AN$21,INDEX($AC$8:$AC$1407,$AG1281)+1)="Z",P_BronZ,P_BronE))</f>
        <v/>
      </c>
      <c r="C1281" s="108" t="str">
        <f>IF($AG1281="","",P_Importdatum)</f>
        <v/>
      </c>
      <c r="D1281" s="92" t="str">
        <f>IF($AG1281="","",P_StatusVastleg)</f>
        <v/>
      </c>
      <c r="E1281" s="92" t="str">
        <f>IF($AG1281="","",P_UploadVJ)</f>
        <v/>
      </c>
      <c r="F1281" s="92" t="str">
        <f>IF($AG1281="","",P_UploadVersie)</f>
        <v/>
      </c>
      <c r="G1281" s="92" t="str">
        <f>IF($AG1281="","",IF(COUNTIFS(L_Sleutel,$S1281,L_Status,"Vastgesteld")=0,0,_xlfn.MAXIFS(L_Revisie,L_Sleutel,$S1281,L_Status,"Vastgesteld")+1))</f>
        <v/>
      </c>
      <c r="H1281" s="108" t="str">
        <f>IF($AG1281="","",P_Peildatum)</f>
        <v/>
      </c>
      <c r="I1281" s="92" t="str">
        <f>IF($AG1281="","",P_RJ+INDEX($AK$8:$AK$21,INDEX($AC$8:$AC$1407,$AG1281)+1))</f>
        <v/>
      </c>
      <c r="J1281" s="92" t="str">
        <f>IF($AG1281="","",INDEX(V_WBS,INDEX($AB$8:$AB$1407,$AG1281)))</f>
        <v/>
      </c>
      <c r="K1281" s="92" t="str">
        <f>IF($AG1281="","",INDEX(V_Projdef,INDEX($AB$8:$AB$1407,$AG1281)))</f>
        <v/>
      </c>
      <c r="L1281" s="92" t="str">
        <f>IF($AG1281="","",INDEX(V_Naam,INDEX($AB$8:$AB$1407,$AG1281)))</f>
        <v/>
      </c>
      <c r="M1281" s="92" t="str">
        <f>IF($AG1281="","",INDEX(V_Type,INDEX($AB$8:$AB$1407,$AG1281)))</f>
        <v/>
      </c>
      <c r="N1281" s="92" t="str">
        <f>IF($AG1281="","",INDEX(V_IFRS,INDEX($AB$8:$AB$1407,$AG1281)))</f>
        <v/>
      </c>
      <c r="O1281" s="92" t="str">
        <f>IF($AG1281="","",INDEX($AL$8:$AL$21,INDEX($AC$8:$AC$1407,$AG1281)+1))</f>
        <v/>
      </c>
      <c r="P1281" s="109" t="str">
        <f>IF($AG1281="","",INDEX($AD$8:$AD$1407,$AG1281))</f>
        <v/>
      </c>
      <c r="Q1281" s="92" t="str">
        <f>IF($AG1281="","",INDEX($AM$8:$AM$21,INDEX($AC$8:$AC$1407,$AG1281)+1))</f>
        <v/>
      </c>
      <c r="R1281" s="92" t="str">
        <f>IF($AG1281="","",IF($G1281&gt;0,P_ToelCorrectie&amp;"",""))</f>
        <v/>
      </c>
      <c r="S1281" s="15" t="str">
        <f>IF(J1281="","",J1281&amp;"|"&amp;E1281&amp;"|"&amp;F1281&amp;"|"&amp;I1281&amp;"|"&amp;O1281)</f>
        <v/>
      </c>
      <c r="T1281" s="111" t="str">
        <f>IF(S1281="","",IF(COUNTIFS(L_Sleutel,S1281,L_Actief,1)=0,"",SUMIFS(L_Waarde,L_Sleutel,S1281,L_Actief,1)))</f>
        <v/>
      </c>
      <c r="U1281" s="111">
        <f>IF(OR(S1281="",T1281=""),0,P1281-T1281)</f>
        <v>0</v>
      </c>
      <c r="AB1281" s="112" t="n">
        <v>91</v>
      </c>
      <c r="AC1281" s="112" t="n">
        <v>13</v>
      </c>
      <c r="AD1281" s="112" t="str">
        <f>VERW_Project!BX96</f>
        <v/>
      </c>
      <c r="AE1281" s="112">
        <f>IF(AND(VERW_Project!$A96&lt;&gt;"",ISNUMBER(AD1281)),1,0)</f>
        <v>0</v>
      </c>
      <c r="AF1281" s="112" t="str">
        <f>IF(AE1281=1,SUM($AE$8:AE1281),"")</f>
        <v/>
      </c>
      <c r="AG1281" t="str">
        <f>IFERROR(MATCH(1274,$AF$8:$AF$1407,0),"")</f>
        <v/>
      </c>
    </row>
    <row r="1282">
      <c r="A1282" s="92" t="str">
        <f>IF($AG1282="","",P_ImportID)</f>
        <v/>
      </c>
      <c r="B1282" s="92" t="str">
        <f>IF($AG1282="","",IF(INDEX($AN$8:$AN$21,INDEX($AC$8:$AC$1407,$AG1282)+1)="Z",P_BronZ,P_BronE))</f>
        <v/>
      </c>
      <c r="C1282" s="108" t="str">
        <f>IF($AG1282="","",P_Importdatum)</f>
        <v/>
      </c>
      <c r="D1282" s="92" t="str">
        <f>IF($AG1282="","",P_StatusVastleg)</f>
        <v/>
      </c>
      <c r="E1282" s="92" t="str">
        <f>IF($AG1282="","",P_UploadVJ)</f>
        <v/>
      </c>
      <c r="F1282" s="92" t="str">
        <f>IF($AG1282="","",P_UploadVersie)</f>
        <v/>
      </c>
      <c r="G1282" s="92" t="str">
        <f>IF($AG1282="","",IF(COUNTIFS(L_Sleutel,$S1282,L_Status,"Vastgesteld")=0,0,_xlfn.MAXIFS(L_Revisie,L_Sleutel,$S1282,L_Status,"Vastgesteld")+1))</f>
        <v/>
      </c>
      <c r="H1282" s="108" t="str">
        <f>IF($AG1282="","",P_Peildatum)</f>
        <v/>
      </c>
      <c r="I1282" s="92" t="str">
        <f>IF($AG1282="","",P_RJ+INDEX($AK$8:$AK$21,INDEX($AC$8:$AC$1407,$AG1282)+1))</f>
        <v/>
      </c>
      <c r="J1282" s="92" t="str">
        <f>IF($AG1282="","",INDEX(V_WBS,INDEX($AB$8:$AB$1407,$AG1282)))</f>
        <v/>
      </c>
      <c r="K1282" s="92" t="str">
        <f>IF($AG1282="","",INDEX(V_Projdef,INDEX($AB$8:$AB$1407,$AG1282)))</f>
        <v/>
      </c>
      <c r="L1282" s="92" t="str">
        <f>IF($AG1282="","",INDEX(V_Naam,INDEX($AB$8:$AB$1407,$AG1282)))</f>
        <v/>
      </c>
      <c r="M1282" s="92" t="str">
        <f>IF($AG1282="","",INDEX(V_Type,INDEX($AB$8:$AB$1407,$AG1282)))</f>
        <v/>
      </c>
      <c r="N1282" s="92" t="str">
        <f>IF($AG1282="","",INDEX(V_IFRS,INDEX($AB$8:$AB$1407,$AG1282)))</f>
        <v/>
      </c>
      <c r="O1282" s="92" t="str">
        <f>IF($AG1282="","",INDEX($AL$8:$AL$21,INDEX($AC$8:$AC$1407,$AG1282)+1))</f>
        <v/>
      </c>
      <c r="P1282" s="109" t="str">
        <f>IF($AG1282="","",INDEX($AD$8:$AD$1407,$AG1282))</f>
        <v/>
      </c>
      <c r="Q1282" s="92" t="str">
        <f>IF($AG1282="","",INDEX($AM$8:$AM$21,INDEX($AC$8:$AC$1407,$AG1282)+1))</f>
        <v/>
      </c>
      <c r="R1282" s="92" t="str">
        <f>IF($AG1282="","",IF($G1282&gt;0,P_ToelCorrectie&amp;"",""))</f>
        <v/>
      </c>
      <c r="S1282" s="15" t="str">
        <f>IF(J1282="","",J1282&amp;"|"&amp;E1282&amp;"|"&amp;F1282&amp;"|"&amp;I1282&amp;"|"&amp;O1282)</f>
        <v/>
      </c>
      <c r="T1282" s="111" t="str">
        <f>IF(S1282="","",IF(COUNTIFS(L_Sleutel,S1282,L_Actief,1)=0,"",SUMIFS(L_Waarde,L_Sleutel,S1282,L_Actief,1)))</f>
        <v/>
      </c>
      <c r="U1282" s="111">
        <f>IF(OR(S1282="",T1282=""),0,P1282-T1282)</f>
        <v>0</v>
      </c>
      <c r="AB1282" s="112" t="n">
        <v>92</v>
      </c>
      <c r="AC1282" s="112" t="n">
        <v>0</v>
      </c>
      <c r="AD1282" s="112" t="str">
        <f>VERW_Project!P97</f>
        <v/>
      </c>
      <c r="AE1282" s="112">
        <f>IF(AND(VERW_Project!$A97&lt;&gt;"",ISNUMBER(AD1282)),1,0)</f>
        <v>0</v>
      </c>
      <c r="AF1282" s="112" t="str">
        <f>IF(AE1282=1,SUM($AE$8:AE1282),"")</f>
        <v/>
      </c>
      <c r="AG1282" t="str">
        <f>IFERROR(MATCH(1275,$AF$8:$AF$1407,0),"")</f>
        <v/>
      </c>
    </row>
    <row r="1283">
      <c r="A1283" s="92" t="str">
        <f>IF($AG1283="","",P_ImportID)</f>
        <v/>
      </c>
      <c r="B1283" s="92" t="str">
        <f>IF($AG1283="","",IF(INDEX($AN$8:$AN$21,INDEX($AC$8:$AC$1407,$AG1283)+1)="Z",P_BronZ,P_BronE))</f>
        <v/>
      </c>
      <c r="C1283" s="108" t="str">
        <f>IF($AG1283="","",P_Importdatum)</f>
        <v/>
      </c>
      <c r="D1283" s="92" t="str">
        <f>IF($AG1283="","",P_StatusVastleg)</f>
        <v/>
      </c>
      <c r="E1283" s="92" t="str">
        <f>IF($AG1283="","",P_UploadVJ)</f>
        <v/>
      </c>
      <c r="F1283" s="92" t="str">
        <f>IF($AG1283="","",P_UploadVersie)</f>
        <v/>
      </c>
      <c r="G1283" s="92" t="str">
        <f>IF($AG1283="","",IF(COUNTIFS(L_Sleutel,$S1283,L_Status,"Vastgesteld")=0,0,_xlfn.MAXIFS(L_Revisie,L_Sleutel,$S1283,L_Status,"Vastgesteld")+1))</f>
        <v/>
      </c>
      <c r="H1283" s="108" t="str">
        <f>IF($AG1283="","",P_Peildatum)</f>
        <v/>
      </c>
      <c r="I1283" s="92" t="str">
        <f>IF($AG1283="","",P_RJ+INDEX($AK$8:$AK$21,INDEX($AC$8:$AC$1407,$AG1283)+1))</f>
        <v/>
      </c>
      <c r="J1283" s="92" t="str">
        <f>IF($AG1283="","",INDEX(V_WBS,INDEX($AB$8:$AB$1407,$AG1283)))</f>
        <v/>
      </c>
      <c r="K1283" s="92" t="str">
        <f>IF($AG1283="","",INDEX(V_Projdef,INDEX($AB$8:$AB$1407,$AG1283)))</f>
        <v/>
      </c>
      <c r="L1283" s="92" t="str">
        <f>IF($AG1283="","",INDEX(V_Naam,INDEX($AB$8:$AB$1407,$AG1283)))</f>
        <v/>
      </c>
      <c r="M1283" s="92" t="str">
        <f>IF($AG1283="","",INDEX(V_Type,INDEX($AB$8:$AB$1407,$AG1283)))</f>
        <v/>
      </c>
      <c r="N1283" s="92" t="str">
        <f>IF($AG1283="","",INDEX(V_IFRS,INDEX($AB$8:$AB$1407,$AG1283)))</f>
        <v/>
      </c>
      <c r="O1283" s="92" t="str">
        <f>IF($AG1283="","",INDEX($AL$8:$AL$21,INDEX($AC$8:$AC$1407,$AG1283)+1))</f>
        <v/>
      </c>
      <c r="P1283" s="109" t="str">
        <f>IF($AG1283="","",INDEX($AD$8:$AD$1407,$AG1283))</f>
        <v/>
      </c>
      <c r="Q1283" s="92" t="str">
        <f>IF($AG1283="","",INDEX($AM$8:$AM$21,INDEX($AC$8:$AC$1407,$AG1283)+1))</f>
        <v/>
      </c>
      <c r="R1283" s="92" t="str">
        <f>IF($AG1283="","",IF($G1283&gt;0,P_ToelCorrectie&amp;"",""))</f>
        <v/>
      </c>
      <c r="S1283" s="15" t="str">
        <f>IF(J1283="","",J1283&amp;"|"&amp;E1283&amp;"|"&amp;F1283&amp;"|"&amp;I1283&amp;"|"&amp;O1283)</f>
        <v/>
      </c>
      <c r="T1283" s="111" t="str">
        <f>IF(S1283="","",IF(COUNTIFS(L_Sleutel,S1283,L_Actief,1)=0,"",SUMIFS(L_Waarde,L_Sleutel,S1283,L_Actief,1)))</f>
        <v/>
      </c>
      <c r="U1283" s="111">
        <f>IF(OR(S1283="",T1283=""),0,P1283-T1283)</f>
        <v>0</v>
      </c>
      <c r="AB1283" s="112" t="n">
        <v>92</v>
      </c>
      <c r="AC1283" s="112" t="n">
        <v>1</v>
      </c>
      <c r="AD1283" s="112" t="str">
        <f>VERW_Project!Q97</f>
        <v/>
      </c>
      <c r="AE1283" s="112">
        <f>IF(AND(VERW_Project!$A97&lt;&gt;"",ISNUMBER(AD1283)),1,0)</f>
        <v>0</v>
      </c>
      <c r="AF1283" s="112" t="str">
        <f>IF(AE1283=1,SUM($AE$8:AE1283),"")</f>
        <v/>
      </c>
      <c r="AG1283" t="str">
        <f>IFERROR(MATCH(1276,$AF$8:$AF$1407,0),"")</f>
        <v/>
      </c>
    </row>
    <row r="1284">
      <c r="A1284" s="92" t="str">
        <f>IF($AG1284="","",P_ImportID)</f>
        <v/>
      </c>
      <c r="B1284" s="92" t="str">
        <f>IF($AG1284="","",IF(INDEX($AN$8:$AN$21,INDEX($AC$8:$AC$1407,$AG1284)+1)="Z",P_BronZ,P_BronE))</f>
        <v/>
      </c>
      <c r="C1284" s="108" t="str">
        <f>IF($AG1284="","",P_Importdatum)</f>
        <v/>
      </c>
      <c r="D1284" s="92" t="str">
        <f>IF($AG1284="","",P_StatusVastleg)</f>
        <v/>
      </c>
      <c r="E1284" s="92" t="str">
        <f>IF($AG1284="","",P_UploadVJ)</f>
        <v/>
      </c>
      <c r="F1284" s="92" t="str">
        <f>IF($AG1284="","",P_UploadVersie)</f>
        <v/>
      </c>
      <c r="G1284" s="92" t="str">
        <f>IF($AG1284="","",IF(COUNTIFS(L_Sleutel,$S1284,L_Status,"Vastgesteld")=0,0,_xlfn.MAXIFS(L_Revisie,L_Sleutel,$S1284,L_Status,"Vastgesteld")+1))</f>
        <v/>
      </c>
      <c r="H1284" s="108" t="str">
        <f>IF($AG1284="","",P_Peildatum)</f>
        <v/>
      </c>
      <c r="I1284" s="92" t="str">
        <f>IF($AG1284="","",P_RJ+INDEX($AK$8:$AK$21,INDEX($AC$8:$AC$1407,$AG1284)+1))</f>
        <v/>
      </c>
      <c r="J1284" s="92" t="str">
        <f>IF($AG1284="","",INDEX(V_WBS,INDEX($AB$8:$AB$1407,$AG1284)))</f>
        <v/>
      </c>
      <c r="K1284" s="92" t="str">
        <f>IF($AG1284="","",INDEX(V_Projdef,INDEX($AB$8:$AB$1407,$AG1284)))</f>
        <v/>
      </c>
      <c r="L1284" s="92" t="str">
        <f>IF($AG1284="","",INDEX(V_Naam,INDEX($AB$8:$AB$1407,$AG1284)))</f>
        <v/>
      </c>
      <c r="M1284" s="92" t="str">
        <f>IF($AG1284="","",INDEX(V_Type,INDEX($AB$8:$AB$1407,$AG1284)))</f>
        <v/>
      </c>
      <c r="N1284" s="92" t="str">
        <f>IF($AG1284="","",INDEX(V_IFRS,INDEX($AB$8:$AB$1407,$AG1284)))</f>
        <v/>
      </c>
      <c r="O1284" s="92" t="str">
        <f>IF($AG1284="","",INDEX($AL$8:$AL$21,INDEX($AC$8:$AC$1407,$AG1284)+1))</f>
        <v/>
      </c>
      <c r="P1284" s="109" t="str">
        <f>IF($AG1284="","",INDEX($AD$8:$AD$1407,$AG1284))</f>
        <v/>
      </c>
      <c r="Q1284" s="92" t="str">
        <f>IF($AG1284="","",INDEX($AM$8:$AM$21,INDEX($AC$8:$AC$1407,$AG1284)+1))</f>
        <v/>
      </c>
      <c r="R1284" s="92" t="str">
        <f>IF($AG1284="","",IF($G1284&gt;0,P_ToelCorrectie&amp;"",""))</f>
        <v/>
      </c>
      <c r="S1284" s="15" t="str">
        <f>IF(J1284="","",J1284&amp;"|"&amp;E1284&amp;"|"&amp;F1284&amp;"|"&amp;I1284&amp;"|"&amp;O1284)</f>
        <v/>
      </c>
      <c r="T1284" s="111" t="str">
        <f>IF(S1284="","",IF(COUNTIFS(L_Sleutel,S1284,L_Actief,1)=0,"",SUMIFS(L_Waarde,L_Sleutel,S1284,L_Actief,1)))</f>
        <v/>
      </c>
      <c r="U1284" s="111">
        <f>IF(OR(S1284="",T1284=""),0,P1284-T1284)</f>
        <v>0</v>
      </c>
      <c r="AB1284" s="112" t="n">
        <v>92</v>
      </c>
      <c r="AC1284" s="112" t="n">
        <v>2</v>
      </c>
      <c r="AD1284" s="112" t="str">
        <f>VERW_Project!L97</f>
        <v/>
      </c>
      <c r="AE1284" s="112">
        <f>IF(AND(VERW_Project!$A97&lt;&gt;"",ISNUMBER(AD1284)),1,0)</f>
        <v>0</v>
      </c>
      <c r="AF1284" s="112" t="str">
        <f>IF(AE1284=1,SUM($AE$8:AE1284),"")</f>
        <v/>
      </c>
      <c r="AG1284" t="str">
        <f>IFERROR(MATCH(1277,$AF$8:$AF$1407,0),"")</f>
        <v/>
      </c>
    </row>
    <row r="1285">
      <c r="A1285" s="92" t="str">
        <f>IF($AG1285="","",P_ImportID)</f>
        <v/>
      </c>
      <c r="B1285" s="92" t="str">
        <f>IF($AG1285="","",IF(INDEX($AN$8:$AN$21,INDEX($AC$8:$AC$1407,$AG1285)+1)="Z",P_BronZ,P_BronE))</f>
        <v/>
      </c>
      <c r="C1285" s="108" t="str">
        <f>IF($AG1285="","",P_Importdatum)</f>
        <v/>
      </c>
      <c r="D1285" s="92" t="str">
        <f>IF($AG1285="","",P_StatusVastleg)</f>
        <v/>
      </c>
      <c r="E1285" s="92" t="str">
        <f>IF($AG1285="","",P_UploadVJ)</f>
        <v/>
      </c>
      <c r="F1285" s="92" t="str">
        <f>IF($AG1285="","",P_UploadVersie)</f>
        <v/>
      </c>
      <c r="G1285" s="92" t="str">
        <f>IF($AG1285="","",IF(COUNTIFS(L_Sleutel,$S1285,L_Status,"Vastgesteld")=0,0,_xlfn.MAXIFS(L_Revisie,L_Sleutel,$S1285,L_Status,"Vastgesteld")+1))</f>
        <v/>
      </c>
      <c r="H1285" s="108" t="str">
        <f>IF($AG1285="","",P_Peildatum)</f>
        <v/>
      </c>
      <c r="I1285" s="92" t="str">
        <f>IF($AG1285="","",P_RJ+INDEX($AK$8:$AK$21,INDEX($AC$8:$AC$1407,$AG1285)+1))</f>
        <v/>
      </c>
      <c r="J1285" s="92" t="str">
        <f>IF($AG1285="","",INDEX(V_WBS,INDEX($AB$8:$AB$1407,$AG1285)))</f>
        <v/>
      </c>
      <c r="K1285" s="92" t="str">
        <f>IF($AG1285="","",INDEX(V_Projdef,INDEX($AB$8:$AB$1407,$AG1285)))</f>
        <v/>
      </c>
      <c r="L1285" s="92" t="str">
        <f>IF($AG1285="","",INDEX(V_Naam,INDEX($AB$8:$AB$1407,$AG1285)))</f>
        <v/>
      </c>
      <c r="M1285" s="92" t="str">
        <f>IF($AG1285="","",INDEX(V_Type,INDEX($AB$8:$AB$1407,$AG1285)))</f>
        <v/>
      </c>
      <c r="N1285" s="92" t="str">
        <f>IF($AG1285="","",INDEX(V_IFRS,INDEX($AB$8:$AB$1407,$AG1285)))</f>
        <v/>
      </c>
      <c r="O1285" s="92" t="str">
        <f>IF($AG1285="","",INDEX($AL$8:$AL$21,INDEX($AC$8:$AC$1407,$AG1285)+1))</f>
        <v/>
      </c>
      <c r="P1285" s="109" t="str">
        <f>IF($AG1285="","",INDEX($AD$8:$AD$1407,$AG1285))</f>
        <v/>
      </c>
      <c r="Q1285" s="92" t="str">
        <f>IF($AG1285="","",INDEX($AM$8:$AM$21,INDEX($AC$8:$AC$1407,$AG1285)+1))</f>
        <v/>
      </c>
      <c r="R1285" s="92" t="str">
        <f>IF($AG1285="","",IF($G1285&gt;0,P_ToelCorrectie&amp;"",""))</f>
        <v/>
      </c>
      <c r="S1285" s="15" t="str">
        <f>IF(J1285="","",J1285&amp;"|"&amp;E1285&amp;"|"&amp;F1285&amp;"|"&amp;I1285&amp;"|"&amp;O1285)</f>
        <v/>
      </c>
      <c r="T1285" s="111" t="str">
        <f>IF(S1285="","",IF(COUNTIFS(L_Sleutel,S1285,L_Actief,1)=0,"",SUMIFS(L_Waarde,L_Sleutel,S1285,L_Actief,1)))</f>
        <v/>
      </c>
      <c r="U1285" s="111">
        <f>IF(OR(S1285="",T1285=""),0,P1285-T1285)</f>
        <v>0</v>
      </c>
      <c r="AB1285" s="112" t="n">
        <v>92</v>
      </c>
      <c r="AC1285" s="112" t="n">
        <v>3</v>
      </c>
      <c r="AD1285" s="112" t="str">
        <f>VERW_Project!M97</f>
        <v/>
      </c>
      <c r="AE1285" s="112">
        <f>IF(AND(VERW_Project!$A97&lt;&gt;"",ISNUMBER(AD1285)),1,0)</f>
        <v>0</v>
      </c>
      <c r="AF1285" s="112" t="str">
        <f>IF(AE1285=1,SUM($AE$8:AE1285),"")</f>
        <v/>
      </c>
      <c r="AG1285" t="str">
        <f>IFERROR(MATCH(1278,$AF$8:$AF$1407,0),"")</f>
        <v/>
      </c>
    </row>
    <row r="1286">
      <c r="A1286" s="92" t="str">
        <f>IF($AG1286="","",P_ImportID)</f>
        <v/>
      </c>
      <c r="B1286" s="92" t="str">
        <f>IF($AG1286="","",IF(INDEX($AN$8:$AN$21,INDEX($AC$8:$AC$1407,$AG1286)+1)="Z",P_BronZ,P_BronE))</f>
        <v/>
      </c>
      <c r="C1286" s="108" t="str">
        <f>IF($AG1286="","",P_Importdatum)</f>
        <v/>
      </c>
      <c r="D1286" s="92" t="str">
        <f>IF($AG1286="","",P_StatusVastleg)</f>
        <v/>
      </c>
      <c r="E1286" s="92" t="str">
        <f>IF($AG1286="","",P_UploadVJ)</f>
        <v/>
      </c>
      <c r="F1286" s="92" t="str">
        <f>IF($AG1286="","",P_UploadVersie)</f>
        <v/>
      </c>
      <c r="G1286" s="92" t="str">
        <f>IF($AG1286="","",IF(COUNTIFS(L_Sleutel,$S1286,L_Status,"Vastgesteld")=0,0,_xlfn.MAXIFS(L_Revisie,L_Sleutel,$S1286,L_Status,"Vastgesteld")+1))</f>
        <v/>
      </c>
      <c r="H1286" s="108" t="str">
        <f>IF($AG1286="","",P_Peildatum)</f>
        <v/>
      </c>
      <c r="I1286" s="92" t="str">
        <f>IF($AG1286="","",P_RJ+INDEX($AK$8:$AK$21,INDEX($AC$8:$AC$1407,$AG1286)+1))</f>
        <v/>
      </c>
      <c r="J1286" s="92" t="str">
        <f>IF($AG1286="","",INDEX(V_WBS,INDEX($AB$8:$AB$1407,$AG1286)))</f>
        <v/>
      </c>
      <c r="K1286" s="92" t="str">
        <f>IF($AG1286="","",INDEX(V_Projdef,INDEX($AB$8:$AB$1407,$AG1286)))</f>
        <v/>
      </c>
      <c r="L1286" s="92" t="str">
        <f>IF($AG1286="","",INDEX(V_Naam,INDEX($AB$8:$AB$1407,$AG1286)))</f>
        <v/>
      </c>
      <c r="M1286" s="92" t="str">
        <f>IF($AG1286="","",INDEX(V_Type,INDEX($AB$8:$AB$1407,$AG1286)))</f>
        <v/>
      </c>
      <c r="N1286" s="92" t="str">
        <f>IF($AG1286="","",INDEX(V_IFRS,INDEX($AB$8:$AB$1407,$AG1286)))</f>
        <v/>
      </c>
      <c r="O1286" s="92" t="str">
        <f>IF($AG1286="","",INDEX($AL$8:$AL$21,INDEX($AC$8:$AC$1407,$AG1286)+1))</f>
        <v/>
      </c>
      <c r="P1286" s="109" t="str">
        <f>IF($AG1286="","",INDEX($AD$8:$AD$1407,$AG1286))</f>
        <v/>
      </c>
      <c r="Q1286" s="92" t="str">
        <f>IF($AG1286="","",INDEX($AM$8:$AM$21,INDEX($AC$8:$AC$1407,$AG1286)+1))</f>
        <v/>
      </c>
      <c r="R1286" s="92" t="str">
        <f>IF($AG1286="","",IF($G1286&gt;0,P_ToelCorrectie&amp;"",""))</f>
        <v/>
      </c>
      <c r="S1286" s="15" t="str">
        <f>IF(J1286="","",J1286&amp;"|"&amp;E1286&amp;"|"&amp;F1286&amp;"|"&amp;I1286&amp;"|"&amp;O1286)</f>
        <v/>
      </c>
      <c r="T1286" s="111" t="str">
        <f>IF(S1286="","",IF(COUNTIFS(L_Sleutel,S1286,L_Actief,1)=0,"",SUMIFS(L_Waarde,L_Sleutel,S1286,L_Actief,1)))</f>
        <v/>
      </c>
      <c r="U1286" s="111">
        <f>IF(OR(S1286="",T1286=""),0,P1286-T1286)</f>
        <v>0</v>
      </c>
      <c r="AB1286" s="112" t="n">
        <v>92</v>
      </c>
      <c r="AC1286" s="112" t="n">
        <v>4</v>
      </c>
      <c r="AD1286" s="112" t="str">
        <f>VERW_Project!R97</f>
        <v/>
      </c>
      <c r="AE1286" s="112">
        <f>IF(AND(VERW_Project!$A97&lt;&gt;"",ISNUMBER(AD1286)),1,0)</f>
        <v>0</v>
      </c>
      <c r="AF1286" s="112" t="str">
        <f>IF(AE1286=1,SUM($AE$8:AE1286),"")</f>
        <v/>
      </c>
      <c r="AG1286" t="str">
        <f>IFERROR(MATCH(1279,$AF$8:$AF$1407,0),"")</f>
        <v/>
      </c>
    </row>
    <row r="1287">
      <c r="A1287" s="92" t="str">
        <f>IF($AG1287="","",P_ImportID)</f>
        <v/>
      </c>
      <c r="B1287" s="92" t="str">
        <f>IF($AG1287="","",IF(INDEX($AN$8:$AN$21,INDEX($AC$8:$AC$1407,$AG1287)+1)="Z",P_BronZ,P_BronE))</f>
        <v/>
      </c>
      <c r="C1287" s="108" t="str">
        <f>IF($AG1287="","",P_Importdatum)</f>
        <v/>
      </c>
      <c r="D1287" s="92" t="str">
        <f>IF($AG1287="","",P_StatusVastleg)</f>
        <v/>
      </c>
      <c r="E1287" s="92" t="str">
        <f>IF($AG1287="","",P_UploadVJ)</f>
        <v/>
      </c>
      <c r="F1287" s="92" t="str">
        <f>IF($AG1287="","",P_UploadVersie)</f>
        <v/>
      </c>
      <c r="G1287" s="92" t="str">
        <f>IF($AG1287="","",IF(COUNTIFS(L_Sleutel,$S1287,L_Status,"Vastgesteld")=0,0,_xlfn.MAXIFS(L_Revisie,L_Sleutel,$S1287,L_Status,"Vastgesteld")+1))</f>
        <v/>
      </c>
      <c r="H1287" s="108" t="str">
        <f>IF($AG1287="","",P_Peildatum)</f>
        <v/>
      </c>
      <c r="I1287" s="92" t="str">
        <f>IF($AG1287="","",P_RJ+INDEX($AK$8:$AK$21,INDEX($AC$8:$AC$1407,$AG1287)+1))</f>
        <v/>
      </c>
      <c r="J1287" s="92" t="str">
        <f>IF($AG1287="","",INDEX(V_WBS,INDEX($AB$8:$AB$1407,$AG1287)))</f>
        <v/>
      </c>
      <c r="K1287" s="92" t="str">
        <f>IF($AG1287="","",INDEX(V_Projdef,INDEX($AB$8:$AB$1407,$AG1287)))</f>
        <v/>
      </c>
      <c r="L1287" s="92" t="str">
        <f>IF($AG1287="","",INDEX(V_Naam,INDEX($AB$8:$AB$1407,$AG1287)))</f>
        <v/>
      </c>
      <c r="M1287" s="92" t="str">
        <f>IF($AG1287="","",INDEX(V_Type,INDEX($AB$8:$AB$1407,$AG1287)))</f>
        <v/>
      </c>
      <c r="N1287" s="92" t="str">
        <f>IF($AG1287="","",INDEX(V_IFRS,INDEX($AB$8:$AB$1407,$AG1287)))</f>
        <v/>
      </c>
      <c r="O1287" s="92" t="str">
        <f>IF($AG1287="","",INDEX($AL$8:$AL$21,INDEX($AC$8:$AC$1407,$AG1287)+1))</f>
        <v/>
      </c>
      <c r="P1287" s="109" t="str">
        <f>IF($AG1287="","",INDEX($AD$8:$AD$1407,$AG1287))</f>
        <v/>
      </c>
      <c r="Q1287" s="92" t="str">
        <f>IF($AG1287="","",INDEX($AM$8:$AM$21,INDEX($AC$8:$AC$1407,$AG1287)+1))</f>
        <v/>
      </c>
      <c r="R1287" s="92" t="str">
        <f>IF($AG1287="","",IF($G1287&gt;0,P_ToelCorrectie&amp;"",""))</f>
        <v/>
      </c>
      <c r="S1287" s="15" t="str">
        <f>IF(J1287="","",J1287&amp;"|"&amp;E1287&amp;"|"&amp;F1287&amp;"|"&amp;I1287&amp;"|"&amp;O1287)</f>
        <v/>
      </c>
      <c r="T1287" s="111" t="str">
        <f>IF(S1287="","",IF(COUNTIFS(L_Sleutel,S1287,L_Actief,1)=0,"",SUMIFS(L_Waarde,L_Sleutel,S1287,L_Actief,1)))</f>
        <v/>
      </c>
      <c r="U1287" s="111">
        <f>IF(OR(S1287="",T1287=""),0,P1287-T1287)</f>
        <v>0</v>
      </c>
      <c r="AB1287" s="112" t="n">
        <v>92</v>
      </c>
      <c r="AC1287" s="112" t="n">
        <v>5</v>
      </c>
      <c r="AD1287" s="112" t="str">
        <f>VERW_Project!S97</f>
        <v/>
      </c>
      <c r="AE1287" s="112">
        <f>IF(AND(VERW_Project!$A97&lt;&gt;"",ISNUMBER(AD1287)),1,0)</f>
        <v>0</v>
      </c>
      <c r="AF1287" s="112" t="str">
        <f>IF(AE1287=1,SUM($AE$8:AE1287),"")</f>
        <v/>
      </c>
      <c r="AG1287" t="str">
        <f>IFERROR(MATCH(1280,$AF$8:$AF$1407,0),"")</f>
        <v/>
      </c>
    </row>
    <row r="1288">
      <c r="A1288" s="92" t="str">
        <f>IF($AG1288="","",P_ImportID)</f>
        <v/>
      </c>
      <c r="B1288" s="92" t="str">
        <f>IF($AG1288="","",IF(INDEX($AN$8:$AN$21,INDEX($AC$8:$AC$1407,$AG1288)+1)="Z",P_BronZ,P_BronE))</f>
        <v/>
      </c>
      <c r="C1288" s="108" t="str">
        <f>IF($AG1288="","",P_Importdatum)</f>
        <v/>
      </c>
      <c r="D1288" s="92" t="str">
        <f>IF($AG1288="","",P_StatusVastleg)</f>
        <v/>
      </c>
      <c r="E1288" s="92" t="str">
        <f>IF($AG1288="","",P_UploadVJ)</f>
        <v/>
      </c>
      <c r="F1288" s="92" t="str">
        <f>IF($AG1288="","",P_UploadVersie)</f>
        <v/>
      </c>
      <c r="G1288" s="92" t="str">
        <f>IF($AG1288="","",IF(COUNTIFS(L_Sleutel,$S1288,L_Status,"Vastgesteld")=0,0,_xlfn.MAXIFS(L_Revisie,L_Sleutel,$S1288,L_Status,"Vastgesteld")+1))</f>
        <v/>
      </c>
      <c r="H1288" s="108" t="str">
        <f>IF($AG1288="","",P_Peildatum)</f>
        <v/>
      </c>
      <c r="I1288" s="92" t="str">
        <f>IF($AG1288="","",P_RJ+INDEX($AK$8:$AK$21,INDEX($AC$8:$AC$1407,$AG1288)+1))</f>
        <v/>
      </c>
      <c r="J1288" s="92" t="str">
        <f>IF($AG1288="","",INDEX(V_WBS,INDEX($AB$8:$AB$1407,$AG1288)))</f>
        <v/>
      </c>
      <c r="K1288" s="92" t="str">
        <f>IF($AG1288="","",INDEX(V_Projdef,INDEX($AB$8:$AB$1407,$AG1288)))</f>
        <v/>
      </c>
      <c r="L1288" s="92" t="str">
        <f>IF($AG1288="","",INDEX(V_Naam,INDEX($AB$8:$AB$1407,$AG1288)))</f>
        <v/>
      </c>
      <c r="M1288" s="92" t="str">
        <f>IF($AG1288="","",INDEX(V_Type,INDEX($AB$8:$AB$1407,$AG1288)))</f>
        <v/>
      </c>
      <c r="N1288" s="92" t="str">
        <f>IF($AG1288="","",INDEX(V_IFRS,INDEX($AB$8:$AB$1407,$AG1288)))</f>
        <v/>
      </c>
      <c r="O1288" s="92" t="str">
        <f>IF($AG1288="","",INDEX($AL$8:$AL$21,INDEX($AC$8:$AC$1407,$AG1288)+1))</f>
        <v/>
      </c>
      <c r="P1288" s="109" t="str">
        <f>IF($AG1288="","",INDEX($AD$8:$AD$1407,$AG1288))</f>
        <v/>
      </c>
      <c r="Q1288" s="92" t="str">
        <f>IF($AG1288="","",INDEX($AM$8:$AM$21,INDEX($AC$8:$AC$1407,$AG1288)+1))</f>
        <v/>
      </c>
      <c r="R1288" s="92" t="str">
        <f>IF($AG1288="","",IF($G1288&gt;0,P_ToelCorrectie&amp;"",""))</f>
        <v/>
      </c>
      <c r="S1288" s="15" t="str">
        <f>IF(J1288="","",J1288&amp;"|"&amp;E1288&amp;"|"&amp;F1288&amp;"|"&amp;I1288&amp;"|"&amp;O1288)</f>
        <v/>
      </c>
      <c r="T1288" s="111" t="str">
        <f>IF(S1288="","",IF(COUNTIFS(L_Sleutel,S1288,L_Actief,1)=0,"",SUMIFS(L_Waarde,L_Sleutel,S1288,L_Actief,1)))</f>
        <v/>
      </c>
      <c r="U1288" s="111">
        <f>IF(OR(S1288="",T1288=""),0,P1288-T1288)</f>
        <v>0</v>
      </c>
      <c r="AB1288" s="112" t="n">
        <v>92</v>
      </c>
      <c r="AC1288" s="112" t="n">
        <v>6</v>
      </c>
      <c r="AD1288" s="112" t="str">
        <f>VERW_Project!BW97</f>
        <v/>
      </c>
      <c r="AE1288" s="112">
        <f>IF(AND(VERW_Project!$A97&lt;&gt;"",ISNUMBER(AD1288)),1,0)</f>
        <v>0</v>
      </c>
      <c r="AF1288" s="112" t="str">
        <f>IF(AE1288=1,SUM($AE$8:AE1288),"")</f>
        <v/>
      </c>
      <c r="AG1288" t="str">
        <f>IFERROR(MATCH(1281,$AF$8:$AF$1407,0),"")</f>
        <v/>
      </c>
    </row>
    <row r="1289">
      <c r="A1289" s="92" t="str">
        <f>IF($AG1289="","",P_ImportID)</f>
        <v/>
      </c>
      <c r="B1289" s="92" t="str">
        <f>IF($AG1289="","",IF(INDEX($AN$8:$AN$21,INDEX($AC$8:$AC$1407,$AG1289)+1)="Z",P_BronZ,P_BronE))</f>
        <v/>
      </c>
      <c r="C1289" s="108" t="str">
        <f>IF($AG1289="","",P_Importdatum)</f>
        <v/>
      </c>
      <c r="D1289" s="92" t="str">
        <f>IF($AG1289="","",P_StatusVastleg)</f>
        <v/>
      </c>
      <c r="E1289" s="92" t="str">
        <f>IF($AG1289="","",P_UploadVJ)</f>
        <v/>
      </c>
      <c r="F1289" s="92" t="str">
        <f>IF($AG1289="","",P_UploadVersie)</f>
        <v/>
      </c>
      <c r="G1289" s="92" t="str">
        <f>IF($AG1289="","",IF(COUNTIFS(L_Sleutel,$S1289,L_Status,"Vastgesteld")=0,0,_xlfn.MAXIFS(L_Revisie,L_Sleutel,$S1289,L_Status,"Vastgesteld")+1))</f>
        <v/>
      </c>
      <c r="H1289" s="108" t="str">
        <f>IF($AG1289="","",P_Peildatum)</f>
        <v/>
      </c>
      <c r="I1289" s="92" t="str">
        <f>IF($AG1289="","",P_RJ+INDEX($AK$8:$AK$21,INDEX($AC$8:$AC$1407,$AG1289)+1))</f>
        <v/>
      </c>
      <c r="J1289" s="92" t="str">
        <f>IF($AG1289="","",INDEX(V_WBS,INDEX($AB$8:$AB$1407,$AG1289)))</f>
        <v/>
      </c>
      <c r="K1289" s="92" t="str">
        <f>IF($AG1289="","",INDEX(V_Projdef,INDEX($AB$8:$AB$1407,$AG1289)))</f>
        <v/>
      </c>
      <c r="L1289" s="92" t="str">
        <f>IF($AG1289="","",INDEX(V_Naam,INDEX($AB$8:$AB$1407,$AG1289)))</f>
        <v/>
      </c>
      <c r="M1289" s="92" t="str">
        <f>IF($AG1289="","",INDEX(V_Type,INDEX($AB$8:$AB$1407,$AG1289)))</f>
        <v/>
      </c>
      <c r="N1289" s="92" t="str">
        <f>IF($AG1289="","",INDEX(V_IFRS,INDEX($AB$8:$AB$1407,$AG1289)))</f>
        <v/>
      </c>
      <c r="O1289" s="92" t="str">
        <f>IF($AG1289="","",INDEX($AL$8:$AL$21,INDEX($AC$8:$AC$1407,$AG1289)+1))</f>
        <v/>
      </c>
      <c r="P1289" s="109" t="str">
        <f>IF($AG1289="","",INDEX($AD$8:$AD$1407,$AG1289))</f>
        <v/>
      </c>
      <c r="Q1289" s="92" t="str">
        <f>IF($AG1289="","",INDEX($AM$8:$AM$21,INDEX($AC$8:$AC$1407,$AG1289)+1))</f>
        <v/>
      </c>
      <c r="R1289" s="92" t="str">
        <f>IF($AG1289="","",IF($G1289&gt;0,P_ToelCorrectie&amp;"",""))</f>
        <v/>
      </c>
      <c r="S1289" s="15" t="str">
        <f>IF(J1289="","",J1289&amp;"|"&amp;E1289&amp;"|"&amp;F1289&amp;"|"&amp;I1289&amp;"|"&amp;O1289)</f>
        <v/>
      </c>
      <c r="T1289" s="111" t="str">
        <f>IF(S1289="","",IF(COUNTIFS(L_Sleutel,S1289,L_Actief,1)=0,"",SUMIFS(L_Waarde,L_Sleutel,S1289,L_Actief,1)))</f>
        <v/>
      </c>
      <c r="U1289" s="111">
        <f>IF(OR(S1289="",T1289=""),0,P1289-T1289)</f>
        <v>0</v>
      </c>
      <c r="AB1289" s="112" t="n">
        <v>92</v>
      </c>
      <c r="AC1289" s="112" t="n">
        <v>7</v>
      </c>
      <c r="AD1289" s="112" t="str">
        <f>VERW_Project!AW97</f>
        <v/>
      </c>
      <c r="AE1289" s="112">
        <f>IF(AND(VERW_Project!$A97&lt;&gt;"",ISNUMBER(AD1289)),1,0)</f>
        <v>0</v>
      </c>
      <c r="AF1289" s="112" t="str">
        <f>IF(AE1289=1,SUM($AE$8:AE1289),"")</f>
        <v/>
      </c>
      <c r="AG1289" t="str">
        <f>IFERROR(MATCH(1282,$AF$8:$AF$1407,0),"")</f>
        <v/>
      </c>
    </row>
    <row r="1290">
      <c r="A1290" s="92" t="str">
        <f>IF($AG1290="","",P_ImportID)</f>
        <v/>
      </c>
      <c r="B1290" s="92" t="str">
        <f>IF($AG1290="","",IF(INDEX($AN$8:$AN$21,INDEX($AC$8:$AC$1407,$AG1290)+1)="Z",P_BronZ,P_BronE))</f>
        <v/>
      </c>
      <c r="C1290" s="108" t="str">
        <f>IF($AG1290="","",P_Importdatum)</f>
        <v/>
      </c>
      <c r="D1290" s="92" t="str">
        <f>IF($AG1290="","",P_StatusVastleg)</f>
        <v/>
      </c>
      <c r="E1290" s="92" t="str">
        <f>IF($AG1290="","",P_UploadVJ)</f>
        <v/>
      </c>
      <c r="F1290" s="92" t="str">
        <f>IF($AG1290="","",P_UploadVersie)</f>
        <v/>
      </c>
      <c r="G1290" s="92" t="str">
        <f>IF($AG1290="","",IF(COUNTIFS(L_Sleutel,$S1290,L_Status,"Vastgesteld")=0,0,_xlfn.MAXIFS(L_Revisie,L_Sleutel,$S1290,L_Status,"Vastgesteld")+1))</f>
        <v/>
      </c>
      <c r="H1290" s="108" t="str">
        <f>IF($AG1290="","",P_Peildatum)</f>
        <v/>
      </c>
      <c r="I1290" s="92" t="str">
        <f>IF($AG1290="","",P_RJ+INDEX($AK$8:$AK$21,INDEX($AC$8:$AC$1407,$AG1290)+1))</f>
        <v/>
      </c>
      <c r="J1290" s="92" t="str">
        <f>IF($AG1290="","",INDEX(V_WBS,INDEX($AB$8:$AB$1407,$AG1290)))</f>
        <v/>
      </c>
      <c r="K1290" s="92" t="str">
        <f>IF($AG1290="","",INDEX(V_Projdef,INDEX($AB$8:$AB$1407,$AG1290)))</f>
        <v/>
      </c>
      <c r="L1290" s="92" t="str">
        <f>IF($AG1290="","",INDEX(V_Naam,INDEX($AB$8:$AB$1407,$AG1290)))</f>
        <v/>
      </c>
      <c r="M1290" s="92" t="str">
        <f>IF($AG1290="","",INDEX(V_Type,INDEX($AB$8:$AB$1407,$AG1290)))</f>
        <v/>
      </c>
      <c r="N1290" s="92" t="str">
        <f>IF($AG1290="","",INDEX(V_IFRS,INDEX($AB$8:$AB$1407,$AG1290)))</f>
        <v/>
      </c>
      <c r="O1290" s="92" t="str">
        <f>IF($AG1290="","",INDEX($AL$8:$AL$21,INDEX($AC$8:$AC$1407,$AG1290)+1))</f>
        <v/>
      </c>
      <c r="P1290" s="109" t="str">
        <f>IF($AG1290="","",INDEX($AD$8:$AD$1407,$AG1290))</f>
        <v/>
      </c>
      <c r="Q1290" s="92" t="str">
        <f>IF($AG1290="","",INDEX($AM$8:$AM$21,INDEX($AC$8:$AC$1407,$AG1290)+1))</f>
        <v/>
      </c>
      <c r="R1290" s="92" t="str">
        <f>IF($AG1290="","",IF($G1290&gt;0,P_ToelCorrectie&amp;"",""))</f>
        <v/>
      </c>
      <c r="S1290" s="15" t="str">
        <f>IF(J1290="","",J1290&amp;"|"&amp;E1290&amp;"|"&amp;F1290&amp;"|"&amp;I1290&amp;"|"&amp;O1290)</f>
        <v/>
      </c>
      <c r="T1290" s="111" t="str">
        <f>IF(S1290="","",IF(COUNTIFS(L_Sleutel,S1290,L_Actief,1)=0,"",SUMIFS(L_Waarde,L_Sleutel,S1290,L_Actief,1)))</f>
        <v/>
      </c>
      <c r="U1290" s="111">
        <f>IF(OR(S1290="",T1290=""),0,P1290-T1290)</f>
        <v>0</v>
      </c>
      <c r="AB1290" s="112" t="n">
        <v>92</v>
      </c>
      <c r="AC1290" s="112" t="n">
        <v>8</v>
      </c>
      <c r="AD1290" s="112" t="str">
        <f>VERW_Project!BQ97</f>
        <v/>
      </c>
      <c r="AE1290" s="112">
        <f>IF(AND(VERW_Project!$A97&lt;&gt;"",ISNUMBER(AD1290)),1,0)</f>
        <v>0</v>
      </c>
      <c r="AF1290" s="112" t="str">
        <f>IF(AE1290=1,SUM($AE$8:AE1290),"")</f>
        <v/>
      </c>
      <c r="AG1290" t="str">
        <f>IFERROR(MATCH(1283,$AF$8:$AF$1407,0),"")</f>
        <v/>
      </c>
    </row>
    <row r="1291">
      <c r="A1291" s="92" t="str">
        <f>IF($AG1291="","",P_ImportID)</f>
        <v/>
      </c>
      <c r="B1291" s="92" t="str">
        <f>IF($AG1291="","",IF(INDEX($AN$8:$AN$21,INDEX($AC$8:$AC$1407,$AG1291)+1)="Z",P_BronZ,P_BronE))</f>
        <v/>
      </c>
      <c r="C1291" s="108" t="str">
        <f>IF($AG1291="","",P_Importdatum)</f>
        <v/>
      </c>
      <c r="D1291" s="92" t="str">
        <f>IF($AG1291="","",P_StatusVastleg)</f>
        <v/>
      </c>
      <c r="E1291" s="92" t="str">
        <f>IF($AG1291="","",P_UploadVJ)</f>
        <v/>
      </c>
      <c r="F1291" s="92" t="str">
        <f>IF($AG1291="","",P_UploadVersie)</f>
        <v/>
      </c>
      <c r="G1291" s="92" t="str">
        <f>IF($AG1291="","",IF(COUNTIFS(L_Sleutel,$S1291,L_Status,"Vastgesteld")=0,0,_xlfn.MAXIFS(L_Revisie,L_Sleutel,$S1291,L_Status,"Vastgesteld")+1))</f>
        <v/>
      </c>
      <c r="H1291" s="108" t="str">
        <f>IF($AG1291="","",P_Peildatum)</f>
        <v/>
      </c>
      <c r="I1291" s="92" t="str">
        <f>IF($AG1291="","",P_RJ+INDEX($AK$8:$AK$21,INDEX($AC$8:$AC$1407,$AG1291)+1))</f>
        <v/>
      </c>
      <c r="J1291" s="92" t="str">
        <f>IF($AG1291="","",INDEX(V_WBS,INDEX($AB$8:$AB$1407,$AG1291)))</f>
        <v/>
      </c>
      <c r="K1291" s="92" t="str">
        <f>IF($AG1291="","",INDEX(V_Projdef,INDEX($AB$8:$AB$1407,$AG1291)))</f>
        <v/>
      </c>
      <c r="L1291" s="92" t="str">
        <f>IF($AG1291="","",INDEX(V_Naam,INDEX($AB$8:$AB$1407,$AG1291)))</f>
        <v/>
      </c>
      <c r="M1291" s="92" t="str">
        <f>IF($AG1291="","",INDEX(V_Type,INDEX($AB$8:$AB$1407,$AG1291)))</f>
        <v/>
      </c>
      <c r="N1291" s="92" t="str">
        <f>IF($AG1291="","",INDEX(V_IFRS,INDEX($AB$8:$AB$1407,$AG1291)))</f>
        <v/>
      </c>
      <c r="O1291" s="92" t="str">
        <f>IF($AG1291="","",INDEX($AL$8:$AL$21,INDEX($AC$8:$AC$1407,$AG1291)+1))</f>
        <v/>
      </c>
      <c r="P1291" s="109" t="str">
        <f>IF($AG1291="","",INDEX($AD$8:$AD$1407,$AG1291))</f>
        <v/>
      </c>
      <c r="Q1291" s="92" t="str">
        <f>IF($AG1291="","",INDEX($AM$8:$AM$21,INDEX($AC$8:$AC$1407,$AG1291)+1))</f>
        <v/>
      </c>
      <c r="R1291" s="92" t="str">
        <f>IF($AG1291="","",IF($G1291&gt;0,P_ToelCorrectie&amp;"",""))</f>
        <v/>
      </c>
      <c r="S1291" s="15" t="str">
        <f>IF(J1291="","",J1291&amp;"|"&amp;E1291&amp;"|"&amp;F1291&amp;"|"&amp;I1291&amp;"|"&amp;O1291)</f>
        <v/>
      </c>
      <c r="T1291" s="111" t="str">
        <f>IF(S1291="","",IF(COUNTIFS(L_Sleutel,S1291,L_Actief,1)=0,"",SUMIFS(L_Waarde,L_Sleutel,S1291,L_Actief,1)))</f>
        <v/>
      </c>
      <c r="U1291" s="111">
        <f>IF(OR(S1291="",T1291=""),0,P1291-T1291)</f>
        <v>0</v>
      </c>
      <c r="AB1291" s="112" t="n">
        <v>92</v>
      </c>
      <c r="AC1291" s="112" t="n">
        <v>9</v>
      </c>
      <c r="AD1291" s="112" t="str">
        <f>VERW_Project!BR97</f>
        <v/>
      </c>
      <c r="AE1291" s="112">
        <f>IF(AND(VERW_Project!$A97&lt;&gt;"",ISNUMBER(AD1291)),1,0)</f>
        <v>0</v>
      </c>
      <c r="AF1291" s="112" t="str">
        <f>IF(AE1291=1,SUM($AE$8:AE1291),"")</f>
        <v/>
      </c>
      <c r="AG1291" t="str">
        <f>IFERROR(MATCH(1284,$AF$8:$AF$1407,0),"")</f>
        <v/>
      </c>
    </row>
    <row r="1292">
      <c r="A1292" s="92" t="str">
        <f>IF($AG1292="","",P_ImportID)</f>
        <v/>
      </c>
      <c r="B1292" s="92" t="str">
        <f>IF($AG1292="","",IF(INDEX($AN$8:$AN$21,INDEX($AC$8:$AC$1407,$AG1292)+1)="Z",P_BronZ,P_BronE))</f>
        <v/>
      </c>
      <c r="C1292" s="108" t="str">
        <f>IF($AG1292="","",P_Importdatum)</f>
        <v/>
      </c>
      <c r="D1292" s="92" t="str">
        <f>IF($AG1292="","",P_StatusVastleg)</f>
        <v/>
      </c>
      <c r="E1292" s="92" t="str">
        <f>IF($AG1292="","",P_UploadVJ)</f>
        <v/>
      </c>
      <c r="F1292" s="92" t="str">
        <f>IF($AG1292="","",P_UploadVersie)</f>
        <v/>
      </c>
      <c r="G1292" s="92" t="str">
        <f>IF($AG1292="","",IF(COUNTIFS(L_Sleutel,$S1292,L_Status,"Vastgesteld")=0,0,_xlfn.MAXIFS(L_Revisie,L_Sleutel,$S1292,L_Status,"Vastgesteld")+1))</f>
        <v/>
      </c>
      <c r="H1292" s="108" t="str">
        <f>IF($AG1292="","",P_Peildatum)</f>
        <v/>
      </c>
      <c r="I1292" s="92" t="str">
        <f>IF($AG1292="","",P_RJ+INDEX($AK$8:$AK$21,INDEX($AC$8:$AC$1407,$AG1292)+1))</f>
        <v/>
      </c>
      <c r="J1292" s="92" t="str">
        <f>IF($AG1292="","",INDEX(V_WBS,INDEX($AB$8:$AB$1407,$AG1292)))</f>
        <v/>
      </c>
      <c r="K1292" s="92" t="str">
        <f>IF($AG1292="","",INDEX(V_Projdef,INDEX($AB$8:$AB$1407,$AG1292)))</f>
        <v/>
      </c>
      <c r="L1292" s="92" t="str">
        <f>IF($AG1292="","",INDEX(V_Naam,INDEX($AB$8:$AB$1407,$AG1292)))</f>
        <v/>
      </c>
      <c r="M1292" s="92" t="str">
        <f>IF($AG1292="","",INDEX(V_Type,INDEX($AB$8:$AB$1407,$AG1292)))</f>
        <v/>
      </c>
      <c r="N1292" s="92" t="str">
        <f>IF($AG1292="","",INDEX(V_IFRS,INDEX($AB$8:$AB$1407,$AG1292)))</f>
        <v/>
      </c>
      <c r="O1292" s="92" t="str">
        <f>IF($AG1292="","",INDEX($AL$8:$AL$21,INDEX($AC$8:$AC$1407,$AG1292)+1))</f>
        <v/>
      </c>
      <c r="P1292" s="109" t="str">
        <f>IF($AG1292="","",INDEX($AD$8:$AD$1407,$AG1292))</f>
        <v/>
      </c>
      <c r="Q1292" s="92" t="str">
        <f>IF($AG1292="","",INDEX($AM$8:$AM$21,INDEX($AC$8:$AC$1407,$AG1292)+1))</f>
        <v/>
      </c>
      <c r="R1292" s="92" t="str">
        <f>IF($AG1292="","",IF($G1292&gt;0,P_ToelCorrectie&amp;"",""))</f>
        <v/>
      </c>
      <c r="S1292" s="15" t="str">
        <f>IF(J1292="","",J1292&amp;"|"&amp;E1292&amp;"|"&amp;F1292&amp;"|"&amp;I1292&amp;"|"&amp;O1292)</f>
        <v/>
      </c>
      <c r="T1292" s="111" t="str">
        <f>IF(S1292="","",IF(COUNTIFS(L_Sleutel,S1292,L_Actief,1)=0,"",SUMIFS(L_Waarde,L_Sleutel,S1292,L_Actief,1)))</f>
        <v/>
      </c>
      <c r="U1292" s="111">
        <f>IF(OR(S1292="",T1292=""),0,P1292-T1292)</f>
        <v>0</v>
      </c>
      <c r="AB1292" s="112" t="n">
        <v>92</v>
      </c>
      <c r="AC1292" s="112" t="n">
        <v>10</v>
      </c>
      <c r="AD1292" s="112" t="str">
        <f>VERW_Project!BS97</f>
        <v/>
      </c>
      <c r="AE1292" s="112">
        <f>IF(AND(VERW_Project!$A97&lt;&gt;"",ISNUMBER(AD1292)),1,0)</f>
        <v>0</v>
      </c>
      <c r="AF1292" s="112" t="str">
        <f>IF(AE1292=1,SUM($AE$8:AE1292),"")</f>
        <v/>
      </c>
      <c r="AG1292" t="str">
        <f>IFERROR(MATCH(1285,$AF$8:$AF$1407,0),"")</f>
        <v/>
      </c>
    </row>
    <row r="1293">
      <c r="A1293" s="92" t="str">
        <f>IF($AG1293="","",P_ImportID)</f>
        <v/>
      </c>
      <c r="B1293" s="92" t="str">
        <f>IF($AG1293="","",IF(INDEX($AN$8:$AN$21,INDEX($AC$8:$AC$1407,$AG1293)+1)="Z",P_BronZ,P_BronE))</f>
        <v/>
      </c>
      <c r="C1293" s="108" t="str">
        <f>IF($AG1293="","",P_Importdatum)</f>
        <v/>
      </c>
      <c r="D1293" s="92" t="str">
        <f>IF($AG1293="","",P_StatusVastleg)</f>
        <v/>
      </c>
      <c r="E1293" s="92" t="str">
        <f>IF($AG1293="","",P_UploadVJ)</f>
        <v/>
      </c>
      <c r="F1293" s="92" t="str">
        <f>IF($AG1293="","",P_UploadVersie)</f>
        <v/>
      </c>
      <c r="G1293" s="92" t="str">
        <f>IF($AG1293="","",IF(COUNTIFS(L_Sleutel,$S1293,L_Status,"Vastgesteld")=0,0,_xlfn.MAXIFS(L_Revisie,L_Sleutel,$S1293,L_Status,"Vastgesteld")+1))</f>
        <v/>
      </c>
      <c r="H1293" s="108" t="str">
        <f>IF($AG1293="","",P_Peildatum)</f>
        <v/>
      </c>
      <c r="I1293" s="92" t="str">
        <f>IF($AG1293="","",P_RJ+INDEX($AK$8:$AK$21,INDEX($AC$8:$AC$1407,$AG1293)+1))</f>
        <v/>
      </c>
      <c r="J1293" s="92" t="str">
        <f>IF($AG1293="","",INDEX(V_WBS,INDEX($AB$8:$AB$1407,$AG1293)))</f>
        <v/>
      </c>
      <c r="K1293" s="92" t="str">
        <f>IF($AG1293="","",INDEX(V_Projdef,INDEX($AB$8:$AB$1407,$AG1293)))</f>
        <v/>
      </c>
      <c r="L1293" s="92" t="str">
        <f>IF($AG1293="","",INDEX(V_Naam,INDEX($AB$8:$AB$1407,$AG1293)))</f>
        <v/>
      </c>
      <c r="M1293" s="92" t="str">
        <f>IF($AG1293="","",INDEX(V_Type,INDEX($AB$8:$AB$1407,$AG1293)))</f>
        <v/>
      </c>
      <c r="N1293" s="92" t="str">
        <f>IF($AG1293="","",INDEX(V_IFRS,INDEX($AB$8:$AB$1407,$AG1293)))</f>
        <v/>
      </c>
      <c r="O1293" s="92" t="str">
        <f>IF($AG1293="","",INDEX($AL$8:$AL$21,INDEX($AC$8:$AC$1407,$AG1293)+1))</f>
        <v/>
      </c>
      <c r="P1293" s="109" t="str">
        <f>IF($AG1293="","",INDEX($AD$8:$AD$1407,$AG1293))</f>
        <v/>
      </c>
      <c r="Q1293" s="92" t="str">
        <f>IF($AG1293="","",INDEX($AM$8:$AM$21,INDEX($AC$8:$AC$1407,$AG1293)+1))</f>
        <v/>
      </c>
      <c r="R1293" s="92" t="str">
        <f>IF($AG1293="","",IF($G1293&gt;0,P_ToelCorrectie&amp;"",""))</f>
        <v/>
      </c>
      <c r="S1293" s="15" t="str">
        <f>IF(J1293="","",J1293&amp;"|"&amp;E1293&amp;"|"&amp;F1293&amp;"|"&amp;I1293&amp;"|"&amp;O1293)</f>
        <v/>
      </c>
      <c r="T1293" s="111" t="str">
        <f>IF(S1293="","",IF(COUNTIFS(L_Sleutel,S1293,L_Actief,1)=0,"",SUMIFS(L_Waarde,L_Sleutel,S1293,L_Actief,1)))</f>
        <v/>
      </c>
      <c r="U1293" s="111">
        <f>IF(OR(S1293="",T1293=""),0,P1293-T1293)</f>
        <v>0</v>
      </c>
      <c r="AB1293" s="112" t="n">
        <v>92</v>
      </c>
      <c r="AC1293" s="112" t="n">
        <v>11</v>
      </c>
      <c r="AD1293" s="112" t="str">
        <f>VERW_Project!BT97</f>
        <v/>
      </c>
      <c r="AE1293" s="112">
        <f>IF(AND(VERW_Project!$A97&lt;&gt;"",ISNUMBER(AD1293)),1,0)</f>
        <v>0</v>
      </c>
      <c r="AF1293" s="112" t="str">
        <f>IF(AE1293=1,SUM($AE$8:AE1293),"")</f>
        <v/>
      </c>
      <c r="AG1293" t="str">
        <f>IFERROR(MATCH(1286,$AF$8:$AF$1407,0),"")</f>
        <v/>
      </c>
    </row>
    <row r="1294">
      <c r="A1294" s="92" t="str">
        <f>IF($AG1294="","",P_ImportID)</f>
        <v/>
      </c>
      <c r="B1294" s="92" t="str">
        <f>IF($AG1294="","",IF(INDEX($AN$8:$AN$21,INDEX($AC$8:$AC$1407,$AG1294)+1)="Z",P_BronZ,P_BronE))</f>
        <v/>
      </c>
      <c r="C1294" s="108" t="str">
        <f>IF($AG1294="","",P_Importdatum)</f>
        <v/>
      </c>
      <c r="D1294" s="92" t="str">
        <f>IF($AG1294="","",P_StatusVastleg)</f>
        <v/>
      </c>
      <c r="E1294" s="92" t="str">
        <f>IF($AG1294="","",P_UploadVJ)</f>
        <v/>
      </c>
      <c r="F1294" s="92" t="str">
        <f>IF($AG1294="","",P_UploadVersie)</f>
        <v/>
      </c>
      <c r="G1294" s="92" t="str">
        <f>IF($AG1294="","",IF(COUNTIFS(L_Sleutel,$S1294,L_Status,"Vastgesteld")=0,0,_xlfn.MAXIFS(L_Revisie,L_Sleutel,$S1294,L_Status,"Vastgesteld")+1))</f>
        <v/>
      </c>
      <c r="H1294" s="108" t="str">
        <f>IF($AG1294="","",P_Peildatum)</f>
        <v/>
      </c>
      <c r="I1294" s="92" t="str">
        <f>IF($AG1294="","",P_RJ+INDEX($AK$8:$AK$21,INDEX($AC$8:$AC$1407,$AG1294)+1))</f>
        <v/>
      </c>
      <c r="J1294" s="92" t="str">
        <f>IF($AG1294="","",INDEX(V_WBS,INDEX($AB$8:$AB$1407,$AG1294)))</f>
        <v/>
      </c>
      <c r="K1294" s="92" t="str">
        <f>IF($AG1294="","",INDEX(V_Projdef,INDEX($AB$8:$AB$1407,$AG1294)))</f>
        <v/>
      </c>
      <c r="L1294" s="92" t="str">
        <f>IF($AG1294="","",INDEX(V_Naam,INDEX($AB$8:$AB$1407,$AG1294)))</f>
        <v/>
      </c>
      <c r="M1294" s="92" t="str">
        <f>IF($AG1294="","",INDEX(V_Type,INDEX($AB$8:$AB$1407,$AG1294)))</f>
        <v/>
      </c>
      <c r="N1294" s="92" t="str">
        <f>IF($AG1294="","",INDEX(V_IFRS,INDEX($AB$8:$AB$1407,$AG1294)))</f>
        <v/>
      </c>
      <c r="O1294" s="92" t="str">
        <f>IF($AG1294="","",INDEX($AL$8:$AL$21,INDEX($AC$8:$AC$1407,$AG1294)+1))</f>
        <v/>
      </c>
      <c r="P1294" s="109" t="str">
        <f>IF($AG1294="","",INDEX($AD$8:$AD$1407,$AG1294))</f>
        <v/>
      </c>
      <c r="Q1294" s="92" t="str">
        <f>IF($AG1294="","",INDEX($AM$8:$AM$21,INDEX($AC$8:$AC$1407,$AG1294)+1))</f>
        <v/>
      </c>
      <c r="R1294" s="92" t="str">
        <f>IF($AG1294="","",IF($G1294&gt;0,P_ToelCorrectie&amp;"",""))</f>
        <v/>
      </c>
      <c r="S1294" s="15" t="str">
        <f>IF(J1294="","",J1294&amp;"|"&amp;E1294&amp;"|"&amp;F1294&amp;"|"&amp;I1294&amp;"|"&amp;O1294)</f>
        <v/>
      </c>
      <c r="T1294" s="111" t="str">
        <f>IF(S1294="","",IF(COUNTIFS(L_Sleutel,S1294,L_Actief,1)=0,"",SUMIFS(L_Waarde,L_Sleutel,S1294,L_Actief,1)))</f>
        <v/>
      </c>
      <c r="U1294" s="111">
        <f>IF(OR(S1294="",T1294=""),0,P1294-T1294)</f>
        <v>0</v>
      </c>
      <c r="AB1294" s="112" t="n">
        <v>92</v>
      </c>
      <c r="AC1294" s="112" t="n">
        <v>12</v>
      </c>
      <c r="AD1294" s="112" t="str">
        <f>VERW_Project!BU97</f>
        <v/>
      </c>
      <c r="AE1294" s="112">
        <f>IF(AND(VERW_Project!$A97&lt;&gt;"",ISNUMBER(AD1294)),1,0)</f>
        <v>0</v>
      </c>
      <c r="AF1294" s="112" t="str">
        <f>IF(AE1294=1,SUM($AE$8:AE1294),"")</f>
        <v/>
      </c>
      <c r="AG1294" t="str">
        <f>IFERROR(MATCH(1287,$AF$8:$AF$1407,0),"")</f>
        <v/>
      </c>
    </row>
    <row r="1295">
      <c r="A1295" s="92" t="str">
        <f>IF($AG1295="","",P_ImportID)</f>
        <v/>
      </c>
      <c r="B1295" s="92" t="str">
        <f>IF($AG1295="","",IF(INDEX($AN$8:$AN$21,INDEX($AC$8:$AC$1407,$AG1295)+1)="Z",P_BronZ,P_BronE))</f>
        <v/>
      </c>
      <c r="C1295" s="108" t="str">
        <f>IF($AG1295="","",P_Importdatum)</f>
        <v/>
      </c>
      <c r="D1295" s="92" t="str">
        <f>IF($AG1295="","",P_StatusVastleg)</f>
        <v/>
      </c>
      <c r="E1295" s="92" t="str">
        <f>IF($AG1295="","",P_UploadVJ)</f>
        <v/>
      </c>
      <c r="F1295" s="92" t="str">
        <f>IF($AG1295="","",P_UploadVersie)</f>
        <v/>
      </c>
      <c r="G1295" s="92" t="str">
        <f>IF($AG1295="","",IF(COUNTIFS(L_Sleutel,$S1295,L_Status,"Vastgesteld")=0,0,_xlfn.MAXIFS(L_Revisie,L_Sleutel,$S1295,L_Status,"Vastgesteld")+1))</f>
        <v/>
      </c>
      <c r="H1295" s="108" t="str">
        <f>IF($AG1295="","",P_Peildatum)</f>
        <v/>
      </c>
      <c r="I1295" s="92" t="str">
        <f>IF($AG1295="","",P_RJ+INDEX($AK$8:$AK$21,INDEX($AC$8:$AC$1407,$AG1295)+1))</f>
        <v/>
      </c>
      <c r="J1295" s="92" t="str">
        <f>IF($AG1295="","",INDEX(V_WBS,INDEX($AB$8:$AB$1407,$AG1295)))</f>
        <v/>
      </c>
      <c r="K1295" s="92" t="str">
        <f>IF($AG1295="","",INDEX(V_Projdef,INDEX($AB$8:$AB$1407,$AG1295)))</f>
        <v/>
      </c>
      <c r="L1295" s="92" t="str">
        <f>IF($AG1295="","",INDEX(V_Naam,INDEX($AB$8:$AB$1407,$AG1295)))</f>
        <v/>
      </c>
      <c r="M1295" s="92" t="str">
        <f>IF($AG1295="","",INDEX(V_Type,INDEX($AB$8:$AB$1407,$AG1295)))</f>
        <v/>
      </c>
      <c r="N1295" s="92" t="str">
        <f>IF($AG1295="","",INDEX(V_IFRS,INDEX($AB$8:$AB$1407,$AG1295)))</f>
        <v/>
      </c>
      <c r="O1295" s="92" t="str">
        <f>IF($AG1295="","",INDEX($AL$8:$AL$21,INDEX($AC$8:$AC$1407,$AG1295)+1))</f>
        <v/>
      </c>
      <c r="P1295" s="109" t="str">
        <f>IF($AG1295="","",INDEX($AD$8:$AD$1407,$AG1295))</f>
        <v/>
      </c>
      <c r="Q1295" s="92" t="str">
        <f>IF($AG1295="","",INDEX($AM$8:$AM$21,INDEX($AC$8:$AC$1407,$AG1295)+1))</f>
        <v/>
      </c>
      <c r="R1295" s="92" t="str">
        <f>IF($AG1295="","",IF($G1295&gt;0,P_ToelCorrectie&amp;"",""))</f>
        <v/>
      </c>
      <c r="S1295" s="15" t="str">
        <f>IF(J1295="","",J1295&amp;"|"&amp;E1295&amp;"|"&amp;F1295&amp;"|"&amp;I1295&amp;"|"&amp;O1295)</f>
        <v/>
      </c>
      <c r="T1295" s="111" t="str">
        <f>IF(S1295="","",IF(COUNTIFS(L_Sleutel,S1295,L_Actief,1)=0,"",SUMIFS(L_Waarde,L_Sleutel,S1295,L_Actief,1)))</f>
        <v/>
      </c>
      <c r="U1295" s="111">
        <f>IF(OR(S1295="",T1295=""),0,P1295-T1295)</f>
        <v>0</v>
      </c>
      <c r="AB1295" s="112" t="n">
        <v>92</v>
      </c>
      <c r="AC1295" s="112" t="n">
        <v>13</v>
      </c>
      <c r="AD1295" s="112" t="str">
        <f>VERW_Project!BX97</f>
        <v/>
      </c>
      <c r="AE1295" s="112">
        <f>IF(AND(VERW_Project!$A97&lt;&gt;"",ISNUMBER(AD1295)),1,0)</f>
        <v>0</v>
      </c>
      <c r="AF1295" s="112" t="str">
        <f>IF(AE1295=1,SUM($AE$8:AE1295),"")</f>
        <v/>
      </c>
      <c r="AG1295" t="str">
        <f>IFERROR(MATCH(1288,$AF$8:$AF$1407,0),"")</f>
        <v/>
      </c>
    </row>
    <row r="1296">
      <c r="A1296" s="92" t="str">
        <f>IF($AG1296="","",P_ImportID)</f>
        <v/>
      </c>
      <c r="B1296" s="92" t="str">
        <f>IF($AG1296="","",IF(INDEX($AN$8:$AN$21,INDEX($AC$8:$AC$1407,$AG1296)+1)="Z",P_BronZ,P_BronE))</f>
        <v/>
      </c>
      <c r="C1296" s="108" t="str">
        <f>IF($AG1296="","",P_Importdatum)</f>
        <v/>
      </c>
      <c r="D1296" s="92" t="str">
        <f>IF($AG1296="","",P_StatusVastleg)</f>
        <v/>
      </c>
      <c r="E1296" s="92" t="str">
        <f>IF($AG1296="","",P_UploadVJ)</f>
        <v/>
      </c>
      <c r="F1296" s="92" t="str">
        <f>IF($AG1296="","",P_UploadVersie)</f>
        <v/>
      </c>
      <c r="G1296" s="92" t="str">
        <f>IF($AG1296="","",IF(COUNTIFS(L_Sleutel,$S1296,L_Status,"Vastgesteld")=0,0,_xlfn.MAXIFS(L_Revisie,L_Sleutel,$S1296,L_Status,"Vastgesteld")+1))</f>
        <v/>
      </c>
      <c r="H1296" s="108" t="str">
        <f>IF($AG1296="","",P_Peildatum)</f>
        <v/>
      </c>
      <c r="I1296" s="92" t="str">
        <f>IF($AG1296="","",P_RJ+INDEX($AK$8:$AK$21,INDEX($AC$8:$AC$1407,$AG1296)+1))</f>
        <v/>
      </c>
      <c r="J1296" s="92" t="str">
        <f>IF($AG1296="","",INDEX(V_WBS,INDEX($AB$8:$AB$1407,$AG1296)))</f>
        <v/>
      </c>
      <c r="K1296" s="92" t="str">
        <f>IF($AG1296="","",INDEX(V_Projdef,INDEX($AB$8:$AB$1407,$AG1296)))</f>
        <v/>
      </c>
      <c r="L1296" s="92" t="str">
        <f>IF($AG1296="","",INDEX(V_Naam,INDEX($AB$8:$AB$1407,$AG1296)))</f>
        <v/>
      </c>
      <c r="M1296" s="92" t="str">
        <f>IF($AG1296="","",INDEX(V_Type,INDEX($AB$8:$AB$1407,$AG1296)))</f>
        <v/>
      </c>
      <c r="N1296" s="92" t="str">
        <f>IF($AG1296="","",INDEX(V_IFRS,INDEX($AB$8:$AB$1407,$AG1296)))</f>
        <v/>
      </c>
      <c r="O1296" s="92" t="str">
        <f>IF($AG1296="","",INDEX($AL$8:$AL$21,INDEX($AC$8:$AC$1407,$AG1296)+1))</f>
        <v/>
      </c>
      <c r="P1296" s="109" t="str">
        <f>IF($AG1296="","",INDEX($AD$8:$AD$1407,$AG1296))</f>
        <v/>
      </c>
      <c r="Q1296" s="92" t="str">
        <f>IF($AG1296="","",INDEX($AM$8:$AM$21,INDEX($AC$8:$AC$1407,$AG1296)+1))</f>
        <v/>
      </c>
      <c r="R1296" s="92" t="str">
        <f>IF($AG1296="","",IF($G1296&gt;0,P_ToelCorrectie&amp;"",""))</f>
        <v/>
      </c>
      <c r="S1296" s="15" t="str">
        <f>IF(J1296="","",J1296&amp;"|"&amp;E1296&amp;"|"&amp;F1296&amp;"|"&amp;I1296&amp;"|"&amp;O1296)</f>
        <v/>
      </c>
      <c r="T1296" s="111" t="str">
        <f>IF(S1296="","",IF(COUNTIFS(L_Sleutel,S1296,L_Actief,1)=0,"",SUMIFS(L_Waarde,L_Sleutel,S1296,L_Actief,1)))</f>
        <v/>
      </c>
      <c r="U1296" s="111">
        <f>IF(OR(S1296="",T1296=""),0,P1296-T1296)</f>
        <v>0</v>
      </c>
      <c r="AB1296" s="112" t="n">
        <v>93</v>
      </c>
      <c r="AC1296" s="112" t="n">
        <v>0</v>
      </c>
      <c r="AD1296" s="112" t="str">
        <f>VERW_Project!P98</f>
        <v/>
      </c>
      <c r="AE1296" s="112">
        <f>IF(AND(VERW_Project!$A98&lt;&gt;"",ISNUMBER(AD1296)),1,0)</f>
        <v>0</v>
      </c>
      <c r="AF1296" s="112" t="str">
        <f>IF(AE1296=1,SUM($AE$8:AE1296),"")</f>
        <v/>
      </c>
      <c r="AG1296" t="str">
        <f>IFERROR(MATCH(1289,$AF$8:$AF$1407,0),"")</f>
        <v/>
      </c>
    </row>
    <row r="1297">
      <c r="A1297" s="92" t="str">
        <f>IF($AG1297="","",P_ImportID)</f>
        <v/>
      </c>
      <c r="B1297" s="92" t="str">
        <f>IF($AG1297="","",IF(INDEX($AN$8:$AN$21,INDEX($AC$8:$AC$1407,$AG1297)+1)="Z",P_BronZ,P_BronE))</f>
        <v/>
      </c>
      <c r="C1297" s="108" t="str">
        <f>IF($AG1297="","",P_Importdatum)</f>
        <v/>
      </c>
      <c r="D1297" s="92" t="str">
        <f>IF($AG1297="","",P_StatusVastleg)</f>
        <v/>
      </c>
      <c r="E1297" s="92" t="str">
        <f>IF($AG1297="","",P_UploadVJ)</f>
        <v/>
      </c>
      <c r="F1297" s="92" t="str">
        <f>IF($AG1297="","",P_UploadVersie)</f>
        <v/>
      </c>
      <c r="G1297" s="92" t="str">
        <f>IF($AG1297="","",IF(COUNTIFS(L_Sleutel,$S1297,L_Status,"Vastgesteld")=0,0,_xlfn.MAXIFS(L_Revisie,L_Sleutel,$S1297,L_Status,"Vastgesteld")+1))</f>
        <v/>
      </c>
      <c r="H1297" s="108" t="str">
        <f>IF($AG1297="","",P_Peildatum)</f>
        <v/>
      </c>
      <c r="I1297" s="92" t="str">
        <f>IF($AG1297="","",P_RJ+INDEX($AK$8:$AK$21,INDEX($AC$8:$AC$1407,$AG1297)+1))</f>
        <v/>
      </c>
      <c r="J1297" s="92" t="str">
        <f>IF($AG1297="","",INDEX(V_WBS,INDEX($AB$8:$AB$1407,$AG1297)))</f>
        <v/>
      </c>
      <c r="K1297" s="92" t="str">
        <f>IF($AG1297="","",INDEX(V_Projdef,INDEX($AB$8:$AB$1407,$AG1297)))</f>
        <v/>
      </c>
      <c r="L1297" s="92" t="str">
        <f>IF($AG1297="","",INDEX(V_Naam,INDEX($AB$8:$AB$1407,$AG1297)))</f>
        <v/>
      </c>
      <c r="M1297" s="92" t="str">
        <f>IF($AG1297="","",INDEX(V_Type,INDEX($AB$8:$AB$1407,$AG1297)))</f>
        <v/>
      </c>
      <c r="N1297" s="92" t="str">
        <f>IF($AG1297="","",INDEX(V_IFRS,INDEX($AB$8:$AB$1407,$AG1297)))</f>
        <v/>
      </c>
      <c r="O1297" s="92" t="str">
        <f>IF($AG1297="","",INDEX($AL$8:$AL$21,INDEX($AC$8:$AC$1407,$AG1297)+1))</f>
        <v/>
      </c>
      <c r="P1297" s="109" t="str">
        <f>IF($AG1297="","",INDEX($AD$8:$AD$1407,$AG1297))</f>
        <v/>
      </c>
      <c r="Q1297" s="92" t="str">
        <f>IF($AG1297="","",INDEX($AM$8:$AM$21,INDEX($AC$8:$AC$1407,$AG1297)+1))</f>
        <v/>
      </c>
      <c r="R1297" s="92" t="str">
        <f>IF($AG1297="","",IF($G1297&gt;0,P_ToelCorrectie&amp;"",""))</f>
        <v/>
      </c>
      <c r="S1297" s="15" t="str">
        <f>IF(J1297="","",J1297&amp;"|"&amp;E1297&amp;"|"&amp;F1297&amp;"|"&amp;I1297&amp;"|"&amp;O1297)</f>
        <v/>
      </c>
      <c r="T1297" s="111" t="str">
        <f>IF(S1297="","",IF(COUNTIFS(L_Sleutel,S1297,L_Actief,1)=0,"",SUMIFS(L_Waarde,L_Sleutel,S1297,L_Actief,1)))</f>
        <v/>
      </c>
      <c r="U1297" s="111">
        <f>IF(OR(S1297="",T1297=""),0,P1297-T1297)</f>
        <v>0</v>
      </c>
      <c r="AB1297" s="112" t="n">
        <v>93</v>
      </c>
      <c r="AC1297" s="112" t="n">
        <v>1</v>
      </c>
      <c r="AD1297" s="112" t="str">
        <f>VERW_Project!Q98</f>
        <v/>
      </c>
      <c r="AE1297" s="112">
        <f>IF(AND(VERW_Project!$A98&lt;&gt;"",ISNUMBER(AD1297)),1,0)</f>
        <v>0</v>
      </c>
      <c r="AF1297" s="112" t="str">
        <f>IF(AE1297=1,SUM($AE$8:AE1297),"")</f>
        <v/>
      </c>
      <c r="AG1297" t="str">
        <f>IFERROR(MATCH(1290,$AF$8:$AF$1407,0),"")</f>
        <v/>
      </c>
    </row>
    <row r="1298">
      <c r="A1298" s="92" t="str">
        <f>IF($AG1298="","",P_ImportID)</f>
        <v/>
      </c>
      <c r="B1298" s="92" t="str">
        <f>IF($AG1298="","",IF(INDEX($AN$8:$AN$21,INDEX($AC$8:$AC$1407,$AG1298)+1)="Z",P_BronZ,P_BronE))</f>
        <v/>
      </c>
      <c r="C1298" s="108" t="str">
        <f>IF($AG1298="","",P_Importdatum)</f>
        <v/>
      </c>
      <c r="D1298" s="92" t="str">
        <f>IF($AG1298="","",P_StatusVastleg)</f>
        <v/>
      </c>
      <c r="E1298" s="92" t="str">
        <f>IF($AG1298="","",P_UploadVJ)</f>
        <v/>
      </c>
      <c r="F1298" s="92" t="str">
        <f>IF($AG1298="","",P_UploadVersie)</f>
        <v/>
      </c>
      <c r="G1298" s="92" t="str">
        <f>IF($AG1298="","",IF(COUNTIFS(L_Sleutel,$S1298,L_Status,"Vastgesteld")=0,0,_xlfn.MAXIFS(L_Revisie,L_Sleutel,$S1298,L_Status,"Vastgesteld")+1))</f>
        <v/>
      </c>
      <c r="H1298" s="108" t="str">
        <f>IF($AG1298="","",P_Peildatum)</f>
        <v/>
      </c>
      <c r="I1298" s="92" t="str">
        <f>IF($AG1298="","",P_RJ+INDEX($AK$8:$AK$21,INDEX($AC$8:$AC$1407,$AG1298)+1))</f>
        <v/>
      </c>
      <c r="J1298" s="92" t="str">
        <f>IF($AG1298="","",INDEX(V_WBS,INDEX($AB$8:$AB$1407,$AG1298)))</f>
        <v/>
      </c>
      <c r="K1298" s="92" t="str">
        <f>IF($AG1298="","",INDEX(V_Projdef,INDEX($AB$8:$AB$1407,$AG1298)))</f>
        <v/>
      </c>
      <c r="L1298" s="92" t="str">
        <f>IF($AG1298="","",INDEX(V_Naam,INDEX($AB$8:$AB$1407,$AG1298)))</f>
        <v/>
      </c>
      <c r="M1298" s="92" t="str">
        <f>IF($AG1298="","",INDEX(V_Type,INDEX($AB$8:$AB$1407,$AG1298)))</f>
        <v/>
      </c>
      <c r="N1298" s="92" t="str">
        <f>IF($AG1298="","",INDEX(V_IFRS,INDEX($AB$8:$AB$1407,$AG1298)))</f>
        <v/>
      </c>
      <c r="O1298" s="92" t="str">
        <f>IF($AG1298="","",INDEX($AL$8:$AL$21,INDEX($AC$8:$AC$1407,$AG1298)+1))</f>
        <v/>
      </c>
      <c r="P1298" s="109" t="str">
        <f>IF($AG1298="","",INDEX($AD$8:$AD$1407,$AG1298))</f>
        <v/>
      </c>
      <c r="Q1298" s="92" t="str">
        <f>IF($AG1298="","",INDEX($AM$8:$AM$21,INDEX($AC$8:$AC$1407,$AG1298)+1))</f>
        <v/>
      </c>
      <c r="R1298" s="92" t="str">
        <f>IF($AG1298="","",IF($G1298&gt;0,P_ToelCorrectie&amp;"",""))</f>
        <v/>
      </c>
      <c r="S1298" s="15" t="str">
        <f>IF(J1298="","",J1298&amp;"|"&amp;E1298&amp;"|"&amp;F1298&amp;"|"&amp;I1298&amp;"|"&amp;O1298)</f>
        <v/>
      </c>
      <c r="T1298" s="111" t="str">
        <f>IF(S1298="","",IF(COUNTIFS(L_Sleutel,S1298,L_Actief,1)=0,"",SUMIFS(L_Waarde,L_Sleutel,S1298,L_Actief,1)))</f>
        <v/>
      </c>
      <c r="U1298" s="111">
        <f>IF(OR(S1298="",T1298=""),0,P1298-T1298)</f>
        <v>0</v>
      </c>
      <c r="AB1298" s="112" t="n">
        <v>93</v>
      </c>
      <c r="AC1298" s="112" t="n">
        <v>2</v>
      </c>
      <c r="AD1298" s="112" t="str">
        <f>VERW_Project!L98</f>
        <v/>
      </c>
      <c r="AE1298" s="112">
        <f>IF(AND(VERW_Project!$A98&lt;&gt;"",ISNUMBER(AD1298)),1,0)</f>
        <v>0</v>
      </c>
      <c r="AF1298" s="112" t="str">
        <f>IF(AE1298=1,SUM($AE$8:AE1298),"")</f>
        <v/>
      </c>
      <c r="AG1298" t="str">
        <f>IFERROR(MATCH(1291,$AF$8:$AF$1407,0),"")</f>
        <v/>
      </c>
    </row>
    <row r="1299">
      <c r="A1299" s="92" t="str">
        <f>IF($AG1299="","",P_ImportID)</f>
        <v/>
      </c>
      <c r="B1299" s="92" t="str">
        <f>IF($AG1299="","",IF(INDEX($AN$8:$AN$21,INDEX($AC$8:$AC$1407,$AG1299)+1)="Z",P_BronZ,P_BronE))</f>
        <v/>
      </c>
      <c r="C1299" s="108" t="str">
        <f>IF($AG1299="","",P_Importdatum)</f>
        <v/>
      </c>
      <c r="D1299" s="92" t="str">
        <f>IF($AG1299="","",P_StatusVastleg)</f>
        <v/>
      </c>
      <c r="E1299" s="92" t="str">
        <f>IF($AG1299="","",P_UploadVJ)</f>
        <v/>
      </c>
      <c r="F1299" s="92" t="str">
        <f>IF($AG1299="","",P_UploadVersie)</f>
        <v/>
      </c>
      <c r="G1299" s="92" t="str">
        <f>IF($AG1299="","",IF(COUNTIFS(L_Sleutel,$S1299,L_Status,"Vastgesteld")=0,0,_xlfn.MAXIFS(L_Revisie,L_Sleutel,$S1299,L_Status,"Vastgesteld")+1))</f>
        <v/>
      </c>
      <c r="H1299" s="108" t="str">
        <f>IF($AG1299="","",P_Peildatum)</f>
        <v/>
      </c>
      <c r="I1299" s="92" t="str">
        <f>IF($AG1299="","",P_RJ+INDEX($AK$8:$AK$21,INDEX($AC$8:$AC$1407,$AG1299)+1))</f>
        <v/>
      </c>
      <c r="J1299" s="92" t="str">
        <f>IF($AG1299="","",INDEX(V_WBS,INDEX($AB$8:$AB$1407,$AG1299)))</f>
        <v/>
      </c>
      <c r="K1299" s="92" t="str">
        <f>IF($AG1299="","",INDEX(V_Projdef,INDEX($AB$8:$AB$1407,$AG1299)))</f>
        <v/>
      </c>
      <c r="L1299" s="92" t="str">
        <f>IF($AG1299="","",INDEX(V_Naam,INDEX($AB$8:$AB$1407,$AG1299)))</f>
        <v/>
      </c>
      <c r="M1299" s="92" t="str">
        <f>IF($AG1299="","",INDEX(V_Type,INDEX($AB$8:$AB$1407,$AG1299)))</f>
        <v/>
      </c>
      <c r="N1299" s="92" t="str">
        <f>IF($AG1299="","",INDEX(V_IFRS,INDEX($AB$8:$AB$1407,$AG1299)))</f>
        <v/>
      </c>
      <c r="O1299" s="92" t="str">
        <f>IF($AG1299="","",INDEX($AL$8:$AL$21,INDEX($AC$8:$AC$1407,$AG1299)+1))</f>
        <v/>
      </c>
      <c r="P1299" s="109" t="str">
        <f>IF($AG1299="","",INDEX($AD$8:$AD$1407,$AG1299))</f>
        <v/>
      </c>
      <c r="Q1299" s="92" t="str">
        <f>IF($AG1299="","",INDEX($AM$8:$AM$21,INDEX($AC$8:$AC$1407,$AG1299)+1))</f>
        <v/>
      </c>
      <c r="R1299" s="92" t="str">
        <f>IF($AG1299="","",IF($G1299&gt;0,P_ToelCorrectie&amp;"",""))</f>
        <v/>
      </c>
      <c r="S1299" s="15" t="str">
        <f>IF(J1299="","",J1299&amp;"|"&amp;E1299&amp;"|"&amp;F1299&amp;"|"&amp;I1299&amp;"|"&amp;O1299)</f>
        <v/>
      </c>
      <c r="T1299" s="111" t="str">
        <f>IF(S1299="","",IF(COUNTIFS(L_Sleutel,S1299,L_Actief,1)=0,"",SUMIFS(L_Waarde,L_Sleutel,S1299,L_Actief,1)))</f>
        <v/>
      </c>
      <c r="U1299" s="111">
        <f>IF(OR(S1299="",T1299=""),0,P1299-T1299)</f>
        <v>0</v>
      </c>
      <c r="AB1299" s="112" t="n">
        <v>93</v>
      </c>
      <c r="AC1299" s="112" t="n">
        <v>3</v>
      </c>
      <c r="AD1299" s="112" t="str">
        <f>VERW_Project!M98</f>
        <v/>
      </c>
      <c r="AE1299" s="112">
        <f>IF(AND(VERW_Project!$A98&lt;&gt;"",ISNUMBER(AD1299)),1,0)</f>
        <v>0</v>
      </c>
      <c r="AF1299" s="112" t="str">
        <f>IF(AE1299=1,SUM($AE$8:AE1299),"")</f>
        <v/>
      </c>
      <c r="AG1299" t="str">
        <f>IFERROR(MATCH(1292,$AF$8:$AF$1407,0),"")</f>
        <v/>
      </c>
    </row>
    <row r="1300">
      <c r="A1300" s="92" t="str">
        <f>IF($AG1300="","",P_ImportID)</f>
        <v/>
      </c>
      <c r="B1300" s="92" t="str">
        <f>IF($AG1300="","",IF(INDEX($AN$8:$AN$21,INDEX($AC$8:$AC$1407,$AG1300)+1)="Z",P_BronZ,P_BronE))</f>
        <v/>
      </c>
      <c r="C1300" s="108" t="str">
        <f>IF($AG1300="","",P_Importdatum)</f>
        <v/>
      </c>
      <c r="D1300" s="92" t="str">
        <f>IF($AG1300="","",P_StatusVastleg)</f>
        <v/>
      </c>
      <c r="E1300" s="92" t="str">
        <f>IF($AG1300="","",P_UploadVJ)</f>
        <v/>
      </c>
      <c r="F1300" s="92" t="str">
        <f>IF($AG1300="","",P_UploadVersie)</f>
        <v/>
      </c>
      <c r="G1300" s="92" t="str">
        <f>IF($AG1300="","",IF(COUNTIFS(L_Sleutel,$S1300,L_Status,"Vastgesteld")=0,0,_xlfn.MAXIFS(L_Revisie,L_Sleutel,$S1300,L_Status,"Vastgesteld")+1))</f>
        <v/>
      </c>
      <c r="H1300" s="108" t="str">
        <f>IF($AG1300="","",P_Peildatum)</f>
        <v/>
      </c>
      <c r="I1300" s="92" t="str">
        <f>IF($AG1300="","",P_RJ+INDEX($AK$8:$AK$21,INDEX($AC$8:$AC$1407,$AG1300)+1))</f>
        <v/>
      </c>
      <c r="J1300" s="92" t="str">
        <f>IF($AG1300="","",INDEX(V_WBS,INDEX($AB$8:$AB$1407,$AG1300)))</f>
        <v/>
      </c>
      <c r="K1300" s="92" t="str">
        <f>IF($AG1300="","",INDEX(V_Projdef,INDEX($AB$8:$AB$1407,$AG1300)))</f>
        <v/>
      </c>
      <c r="L1300" s="92" t="str">
        <f>IF($AG1300="","",INDEX(V_Naam,INDEX($AB$8:$AB$1407,$AG1300)))</f>
        <v/>
      </c>
      <c r="M1300" s="92" t="str">
        <f>IF($AG1300="","",INDEX(V_Type,INDEX($AB$8:$AB$1407,$AG1300)))</f>
        <v/>
      </c>
      <c r="N1300" s="92" t="str">
        <f>IF($AG1300="","",INDEX(V_IFRS,INDEX($AB$8:$AB$1407,$AG1300)))</f>
        <v/>
      </c>
      <c r="O1300" s="92" t="str">
        <f>IF($AG1300="","",INDEX($AL$8:$AL$21,INDEX($AC$8:$AC$1407,$AG1300)+1))</f>
        <v/>
      </c>
      <c r="P1300" s="109" t="str">
        <f>IF($AG1300="","",INDEX($AD$8:$AD$1407,$AG1300))</f>
        <v/>
      </c>
      <c r="Q1300" s="92" t="str">
        <f>IF($AG1300="","",INDEX($AM$8:$AM$21,INDEX($AC$8:$AC$1407,$AG1300)+1))</f>
        <v/>
      </c>
      <c r="R1300" s="92" t="str">
        <f>IF($AG1300="","",IF($G1300&gt;0,P_ToelCorrectie&amp;"",""))</f>
        <v/>
      </c>
      <c r="S1300" s="15" t="str">
        <f>IF(J1300="","",J1300&amp;"|"&amp;E1300&amp;"|"&amp;F1300&amp;"|"&amp;I1300&amp;"|"&amp;O1300)</f>
        <v/>
      </c>
      <c r="T1300" s="111" t="str">
        <f>IF(S1300="","",IF(COUNTIFS(L_Sleutel,S1300,L_Actief,1)=0,"",SUMIFS(L_Waarde,L_Sleutel,S1300,L_Actief,1)))</f>
        <v/>
      </c>
      <c r="U1300" s="111">
        <f>IF(OR(S1300="",T1300=""),0,P1300-T1300)</f>
        <v>0</v>
      </c>
      <c r="AB1300" s="112" t="n">
        <v>93</v>
      </c>
      <c r="AC1300" s="112" t="n">
        <v>4</v>
      </c>
      <c r="AD1300" s="112" t="str">
        <f>VERW_Project!R98</f>
        <v/>
      </c>
      <c r="AE1300" s="112">
        <f>IF(AND(VERW_Project!$A98&lt;&gt;"",ISNUMBER(AD1300)),1,0)</f>
        <v>0</v>
      </c>
      <c r="AF1300" s="112" t="str">
        <f>IF(AE1300=1,SUM($AE$8:AE1300),"")</f>
        <v/>
      </c>
      <c r="AG1300" t="str">
        <f>IFERROR(MATCH(1293,$AF$8:$AF$1407,0),"")</f>
        <v/>
      </c>
    </row>
    <row r="1301">
      <c r="A1301" s="92" t="str">
        <f>IF($AG1301="","",P_ImportID)</f>
        <v/>
      </c>
      <c r="B1301" s="92" t="str">
        <f>IF($AG1301="","",IF(INDEX($AN$8:$AN$21,INDEX($AC$8:$AC$1407,$AG1301)+1)="Z",P_BronZ,P_BronE))</f>
        <v/>
      </c>
      <c r="C1301" s="108" t="str">
        <f>IF($AG1301="","",P_Importdatum)</f>
        <v/>
      </c>
      <c r="D1301" s="92" t="str">
        <f>IF($AG1301="","",P_StatusVastleg)</f>
        <v/>
      </c>
      <c r="E1301" s="92" t="str">
        <f>IF($AG1301="","",P_UploadVJ)</f>
        <v/>
      </c>
      <c r="F1301" s="92" t="str">
        <f>IF($AG1301="","",P_UploadVersie)</f>
        <v/>
      </c>
      <c r="G1301" s="92" t="str">
        <f>IF($AG1301="","",IF(COUNTIFS(L_Sleutel,$S1301,L_Status,"Vastgesteld")=0,0,_xlfn.MAXIFS(L_Revisie,L_Sleutel,$S1301,L_Status,"Vastgesteld")+1))</f>
        <v/>
      </c>
      <c r="H1301" s="108" t="str">
        <f>IF($AG1301="","",P_Peildatum)</f>
        <v/>
      </c>
      <c r="I1301" s="92" t="str">
        <f>IF($AG1301="","",P_RJ+INDEX($AK$8:$AK$21,INDEX($AC$8:$AC$1407,$AG1301)+1))</f>
        <v/>
      </c>
      <c r="J1301" s="92" t="str">
        <f>IF($AG1301="","",INDEX(V_WBS,INDEX($AB$8:$AB$1407,$AG1301)))</f>
        <v/>
      </c>
      <c r="K1301" s="92" t="str">
        <f>IF($AG1301="","",INDEX(V_Projdef,INDEX($AB$8:$AB$1407,$AG1301)))</f>
        <v/>
      </c>
      <c r="L1301" s="92" t="str">
        <f>IF($AG1301="","",INDEX(V_Naam,INDEX($AB$8:$AB$1407,$AG1301)))</f>
        <v/>
      </c>
      <c r="M1301" s="92" t="str">
        <f>IF($AG1301="","",INDEX(V_Type,INDEX($AB$8:$AB$1407,$AG1301)))</f>
        <v/>
      </c>
      <c r="N1301" s="92" t="str">
        <f>IF($AG1301="","",INDEX(V_IFRS,INDEX($AB$8:$AB$1407,$AG1301)))</f>
        <v/>
      </c>
      <c r="O1301" s="92" t="str">
        <f>IF($AG1301="","",INDEX($AL$8:$AL$21,INDEX($AC$8:$AC$1407,$AG1301)+1))</f>
        <v/>
      </c>
      <c r="P1301" s="109" t="str">
        <f>IF($AG1301="","",INDEX($AD$8:$AD$1407,$AG1301))</f>
        <v/>
      </c>
      <c r="Q1301" s="92" t="str">
        <f>IF($AG1301="","",INDEX($AM$8:$AM$21,INDEX($AC$8:$AC$1407,$AG1301)+1))</f>
        <v/>
      </c>
      <c r="R1301" s="92" t="str">
        <f>IF($AG1301="","",IF($G1301&gt;0,P_ToelCorrectie&amp;"",""))</f>
        <v/>
      </c>
      <c r="S1301" s="15" t="str">
        <f>IF(J1301="","",J1301&amp;"|"&amp;E1301&amp;"|"&amp;F1301&amp;"|"&amp;I1301&amp;"|"&amp;O1301)</f>
        <v/>
      </c>
      <c r="T1301" s="111" t="str">
        <f>IF(S1301="","",IF(COUNTIFS(L_Sleutel,S1301,L_Actief,1)=0,"",SUMIFS(L_Waarde,L_Sleutel,S1301,L_Actief,1)))</f>
        <v/>
      </c>
      <c r="U1301" s="111">
        <f>IF(OR(S1301="",T1301=""),0,P1301-T1301)</f>
        <v>0</v>
      </c>
      <c r="AB1301" s="112" t="n">
        <v>93</v>
      </c>
      <c r="AC1301" s="112" t="n">
        <v>5</v>
      </c>
      <c r="AD1301" s="112" t="str">
        <f>VERW_Project!S98</f>
        <v/>
      </c>
      <c r="AE1301" s="112">
        <f>IF(AND(VERW_Project!$A98&lt;&gt;"",ISNUMBER(AD1301)),1,0)</f>
        <v>0</v>
      </c>
      <c r="AF1301" s="112" t="str">
        <f>IF(AE1301=1,SUM($AE$8:AE1301),"")</f>
        <v/>
      </c>
      <c r="AG1301" t="str">
        <f>IFERROR(MATCH(1294,$AF$8:$AF$1407,0),"")</f>
        <v/>
      </c>
    </row>
    <row r="1302">
      <c r="A1302" s="92" t="str">
        <f>IF($AG1302="","",P_ImportID)</f>
        <v/>
      </c>
      <c r="B1302" s="92" t="str">
        <f>IF($AG1302="","",IF(INDEX($AN$8:$AN$21,INDEX($AC$8:$AC$1407,$AG1302)+1)="Z",P_BronZ,P_BronE))</f>
        <v/>
      </c>
      <c r="C1302" s="108" t="str">
        <f>IF($AG1302="","",P_Importdatum)</f>
        <v/>
      </c>
      <c r="D1302" s="92" t="str">
        <f>IF($AG1302="","",P_StatusVastleg)</f>
        <v/>
      </c>
      <c r="E1302" s="92" t="str">
        <f>IF($AG1302="","",P_UploadVJ)</f>
        <v/>
      </c>
      <c r="F1302" s="92" t="str">
        <f>IF($AG1302="","",P_UploadVersie)</f>
        <v/>
      </c>
      <c r="G1302" s="92" t="str">
        <f>IF($AG1302="","",IF(COUNTIFS(L_Sleutel,$S1302,L_Status,"Vastgesteld")=0,0,_xlfn.MAXIFS(L_Revisie,L_Sleutel,$S1302,L_Status,"Vastgesteld")+1))</f>
        <v/>
      </c>
      <c r="H1302" s="108" t="str">
        <f>IF($AG1302="","",P_Peildatum)</f>
        <v/>
      </c>
      <c r="I1302" s="92" t="str">
        <f>IF($AG1302="","",P_RJ+INDEX($AK$8:$AK$21,INDEX($AC$8:$AC$1407,$AG1302)+1))</f>
        <v/>
      </c>
      <c r="J1302" s="92" t="str">
        <f>IF($AG1302="","",INDEX(V_WBS,INDEX($AB$8:$AB$1407,$AG1302)))</f>
        <v/>
      </c>
      <c r="K1302" s="92" t="str">
        <f>IF($AG1302="","",INDEX(V_Projdef,INDEX($AB$8:$AB$1407,$AG1302)))</f>
        <v/>
      </c>
      <c r="L1302" s="92" t="str">
        <f>IF($AG1302="","",INDEX(V_Naam,INDEX($AB$8:$AB$1407,$AG1302)))</f>
        <v/>
      </c>
      <c r="M1302" s="92" t="str">
        <f>IF($AG1302="","",INDEX(V_Type,INDEX($AB$8:$AB$1407,$AG1302)))</f>
        <v/>
      </c>
      <c r="N1302" s="92" t="str">
        <f>IF($AG1302="","",INDEX(V_IFRS,INDEX($AB$8:$AB$1407,$AG1302)))</f>
        <v/>
      </c>
      <c r="O1302" s="92" t="str">
        <f>IF($AG1302="","",INDEX($AL$8:$AL$21,INDEX($AC$8:$AC$1407,$AG1302)+1))</f>
        <v/>
      </c>
      <c r="P1302" s="109" t="str">
        <f>IF($AG1302="","",INDEX($AD$8:$AD$1407,$AG1302))</f>
        <v/>
      </c>
      <c r="Q1302" s="92" t="str">
        <f>IF($AG1302="","",INDEX($AM$8:$AM$21,INDEX($AC$8:$AC$1407,$AG1302)+1))</f>
        <v/>
      </c>
      <c r="R1302" s="92" t="str">
        <f>IF($AG1302="","",IF($G1302&gt;0,P_ToelCorrectie&amp;"",""))</f>
        <v/>
      </c>
      <c r="S1302" s="15" t="str">
        <f>IF(J1302="","",J1302&amp;"|"&amp;E1302&amp;"|"&amp;F1302&amp;"|"&amp;I1302&amp;"|"&amp;O1302)</f>
        <v/>
      </c>
      <c r="T1302" s="111" t="str">
        <f>IF(S1302="","",IF(COUNTIFS(L_Sleutel,S1302,L_Actief,1)=0,"",SUMIFS(L_Waarde,L_Sleutel,S1302,L_Actief,1)))</f>
        <v/>
      </c>
      <c r="U1302" s="111">
        <f>IF(OR(S1302="",T1302=""),0,P1302-T1302)</f>
        <v>0</v>
      </c>
      <c r="AB1302" s="112" t="n">
        <v>93</v>
      </c>
      <c r="AC1302" s="112" t="n">
        <v>6</v>
      </c>
      <c r="AD1302" s="112" t="str">
        <f>VERW_Project!BW98</f>
        <v/>
      </c>
      <c r="AE1302" s="112">
        <f>IF(AND(VERW_Project!$A98&lt;&gt;"",ISNUMBER(AD1302)),1,0)</f>
        <v>0</v>
      </c>
      <c r="AF1302" s="112" t="str">
        <f>IF(AE1302=1,SUM($AE$8:AE1302),"")</f>
        <v/>
      </c>
      <c r="AG1302" t="str">
        <f>IFERROR(MATCH(1295,$AF$8:$AF$1407,0),"")</f>
        <v/>
      </c>
    </row>
    <row r="1303">
      <c r="A1303" s="92" t="str">
        <f>IF($AG1303="","",P_ImportID)</f>
        <v/>
      </c>
      <c r="B1303" s="92" t="str">
        <f>IF($AG1303="","",IF(INDEX($AN$8:$AN$21,INDEX($AC$8:$AC$1407,$AG1303)+1)="Z",P_BronZ,P_BronE))</f>
        <v/>
      </c>
      <c r="C1303" s="108" t="str">
        <f>IF($AG1303="","",P_Importdatum)</f>
        <v/>
      </c>
      <c r="D1303" s="92" t="str">
        <f>IF($AG1303="","",P_StatusVastleg)</f>
        <v/>
      </c>
      <c r="E1303" s="92" t="str">
        <f>IF($AG1303="","",P_UploadVJ)</f>
        <v/>
      </c>
      <c r="F1303" s="92" t="str">
        <f>IF($AG1303="","",P_UploadVersie)</f>
        <v/>
      </c>
      <c r="G1303" s="92" t="str">
        <f>IF($AG1303="","",IF(COUNTIFS(L_Sleutel,$S1303,L_Status,"Vastgesteld")=0,0,_xlfn.MAXIFS(L_Revisie,L_Sleutel,$S1303,L_Status,"Vastgesteld")+1))</f>
        <v/>
      </c>
      <c r="H1303" s="108" t="str">
        <f>IF($AG1303="","",P_Peildatum)</f>
        <v/>
      </c>
      <c r="I1303" s="92" t="str">
        <f>IF($AG1303="","",P_RJ+INDEX($AK$8:$AK$21,INDEX($AC$8:$AC$1407,$AG1303)+1))</f>
        <v/>
      </c>
      <c r="J1303" s="92" t="str">
        <f>IF($AG1303="","",INDEX(V_WBS,INDEX($AB$8:$AB$1407,$AG1303)))</f>
        <v/>
      </c>
      <c r="K1303" s="92" t="str">
        <f>IF($AG1303="","",INDEX(V_Projdef,INDEX($AB$8:$AB$1407,$AG1303)))</f>
        <v/>
      </c>
      <c r="L1303" s="92" t="str">
        <f>IF($AG1303="","",INDEX(V_Naam,INDEX($AB$8:$AB$1407,$AG1303)))</f>
        <v/>
      </c>
      <c r="M1303" s="92" t="str">
        <f>IF($AG1303="","",INDEX(V_Type,INDEX($AB$8:$AB$1407,$AG1303)))</f>
        <v/>
      </c>
      <c r="N1303" s="92" t="str">
        <f>IF($AG1303="","",INDEX(V_IFRS,INDEX($AB$8:$AB$1407,$AG1303)))</f>
        <v/>
      </c>
      <c r="O1303" s="92" t="str">
        <f>IF($AG1303="","",INDEX($AL$8:$AL$21,INDEX($AC$8:$AC$1407,$AG1303)+1))</f>
        <v/>
      </c>
      <c r="P1303" s="109" t="str">
        <f>IF($AG1303="","",INDEX($AD$8:$AD$1407,$AG1303))</f>
        <v/>
      </c>
      <c r="Q1303" s="92" t="str">
        <f>IF($AG1303="","",INDEX($AM$8:$AM$21,INDEX($AC$8:$AC$1407,$AG1303)+1))</f>
        <v/>
      </c>
      <c r="R1303" s="92" t="str">
        <f>IF($AG1303="","",IF($G1303&gt;0,P_ToelCorrectie&amp;"",""))</f>
        <v/>
      </c>
      <c r="S1303" s="15" t="str">
        <f>IF(J1303="","",J1303&amp;"|"&amp;E1303&amp;"|"&amp;F1303&amp;"|"&amp;I1303&amp;"|"&amp;O1303)</f>
        <v/>
      </c>
      <c r="T1303" s="111" t="str">
        <f>IF(S1303="","",IF(COUNTIFS(L_Sleutel,S1303,L_Actief,1)=0,"",SUMIFS(L_Waarde,L_Sleutel,S1303,L_Actief,1)))</f>
        <v/>
      </c>
      <c r="U1303" s="111">
        <f>IF(OR(S1303="",T1303=""),0,P1303-T1303)</f>
        <v>0</v>
      </c>
      <c r="AB1303" s="112" t="n">
        <v>93</v>
      </c>
      <c r="AC1303" s="112" t="n">
        <v>7</v>
      </c>
      <c r="AD1303" s="112" t="str">
        <f>VERW_Project!AW98</f>
        <v/>
      </c>
      <c r="AE1303" s="112">
        <f>IF(AND(VERW_Project!$A98&lt;&gt;"",ISNUMBER(AD1303)),1,0)</f>
        <v>0</v>
      </c>
      <c r="AF1303" s="112" t="str">
        <f>IF(AE1303=1,SUM($AE$8:AE1303),"")</f>
        <v/>
      </c>
      <c r="AG1303" t="str">
        <f>IFERROR(MATCH(1296,$AF$8:$AF$1407,0),"")</f>
        <v/>
      </c>
    </row>
    <row r="1304">
      <c r="A1304" s="92" t="str">
        <f>IF($AG1304="","",P_ImportID)</f>
        <v/>
      </c>
      <c r="B1304" s="92" t="str">
        <f>IF($AG1304="","",IF(INDEX($AN$8:$AN$21,INDEX($AC$8:$AC$1407,$AG1304)+1)="Z",P_BronZ,P_BronE))</f>
        <v/>
      </c>
      <c r="C1304" s="108" t="str">
        <f>IF($AG1304="","",P_Importdatum)</f>
        <v/>
      </c>
      <c r="D1304" s="92" t="str">
        <f>IF($AG1304="","",P_StatusVastleg)</f>
        <v/>
      </c>
      <c r="E1304" s="92" t="str">
        <f>IF($AG1304="","",P_UploadVJ)</f>
        <v/>
      </c>
      <c r="F1304" s="92" t="str">
        <f>IF($AG1304="","",P_UploadVersie)</f>
        <v/>
      </c>
      <c r="G1304" s="92" t="str">
        <f>IF($AG1304="","",IF(COUNTIFS(L_Sleutel,$S1304,L_Status,"Vastgesteld")=0,0,_xlfn.MAXIFS(L_Revisie,L_Sleutel,$S1304,L_Status,"Vastgesteld")+1))</f>
        <v/>
      </c>
      <c r="H1304" s="108" t="str">
        <f>IF($AG1304="","",P_Peildatum)</f>
        <v/>
      </c>
      <c r="I1304" s="92" t="str">
        <f>IF($AG1304="","",P_RJ+INDEX($AK$8:$AK$21,INDEX($AC$8:$AC$1407,$AG1304)+1))</f>
        <v/>
      </c>
      <c r="J1304" s="92" t="str">
        <f>IF($AG1304="","",INDEX(V_WBS,INDEX($AB$8:$AB$1407,$AG1304)))</f>
        <v/>
      </c>
      <c r="K1304" s="92" t="str">
        <f>IF($AG1304="","",INDEX(V_Projdef,INDEX($AB$8:$AB$1407,$AG1304)))</f>
        <v/>
      </c>
      <c r="L1304" s="92" t="str">
        <f>IF($AG1304="","",INDEX(V_Naam,INDEX($AB$8:$AB$1407,$AG1304)))</f>
        <v/>
      </c>
      <c r="M1304" s="92" t="str">
        <f>IF($AG1304="","",INDEX(V_Type,INDEX($AB$8:$AB$1407,$AG1304)))</f>
        <v/>
      </c>
      <c r="N1304" s="92" t="str">
        <f>IF($AG1304="","",INDEX(V_IFRS,INDEX($AB$8:$AB$1407,$AG1304)))</f>
        <v/>
      </c>
      <c r="O1304" s="92" t="str">
        <f>IF($AG1304="","",INDEX($AL$8:$AL$21,INDEX($AC$8:$AC$1407,$AG1304)+1))</f>
        <v/>
      </c>
      <c r="P1304" s="109" t="str">
        <f>IF($AG1304="","",INDEX($AD$8:$AD$1407,$AG1304))</f>
        <v/>
      </c>
      <c r="Q1304" s="92" t="str">
        <f>IF($AG1304="","",INDEX($AM$8:$AM$21,INDEX($AC$8:$AC$1407,$AG1304)+1))</f>
        <v/>
      </c>
      <c r="R1304" s="92" t="str">
        <f>IF($AG1304="","",IF($G1304&gt;0,P_ToelCorrectie&amp;"",""))</f>
        <v/>
      </c>
      <c r="S1304" s="15" t="str">
        <f>IF(J1304="","",J1304&amp;"|"&amp;E1304&amp;"|"&amp;F1304&amp;"|"&amp;I1304&amp;"|"&amp;O1304)</f>
        <v/>
      </c>
      <c r="T1304" s="111" t="str">
        <f>IF(S1304="","",IF(COUNTIFS(L_Sleutel,S1304,L_Actief,1)=0,"",SUMIFS(L_Waarde,L_Sleutel,S1304,L_Actief,1)))</f>
        <v/>
      </c>
      <c r="U1304" s="111">
        <f>IF(OR(S1304="",T1304=""),0,P1304-T1304)</f>
        <v>0</v>
      </c>
      <c r="AB1304" s="112" t="n">
        <v>93</v>
      </c>
      <c r="AC1304" s="112" t="n">
        <v>8</v>
      </c>
      <c r="AD1304" s="112" t="str">
        <f>VERW_Project!BQ98</f>
        <v/>
      </c>
      <c r="AE1304" s="112">
        <f>IF(AND(VERW_Project!$A98&lt;&gt;"",ISNUMBER(AD1304)),1,0)</f>
        <v>0</v>
      </c>
      <c r="AF1304" s="112" t="str">
        <f>IF(AE1304=1,SUM($AE$8:AE1304),"")</f>
        <v/>
      </c>
      <c r="AG1304" t="str">
        <f>IFERROR(MATCH(1297,$AF$8:$AF$1407,0),"")</f>
        <v/>
      </c>
    </row>
    <row r="1305">
      <c r="A1305" s="92" t="str">
        <f>IF($AG1305="","",P_ImportID)</f>
        <v/>
      </c>
      <c r="B1305" s="92" t="str">
        <f>IF($AG1305="","",IF(INDEX($AN$8:$AN$21,INDEX($AC$8:$AC$1407,$AG1305)+1)="Z",P_BronZ,P_BronE))</f>
        <v/>
      </c>
      <c r="C1305" s="108" t="str">
        <f>IF($AG1305="","",P_Importdatum)</f>
        <v/>
      </c>
      <c r="D1305" s="92" t="str">
        <f>IF($AG1305="","",P_StatusVastleg)</f>
        <v/>
      </c>
      <c r="E1305" s="92" t="str">
        <f>IF($AG1305="","",P_UploadVJ)</f>
        <v/>
      </c>
      <c r="F1305" s="92" t="str">
        <f>IF($AG1305="","",P_UploadVersie)</f>
        <v/>
      </c>
      <c r="G1305" s="92" t="str">
        <f>IF($AG1305="","",IF(COUNTIFS(L_Sleutel,$S1305,L_Status,"Vastgesteld")=0,0,_xlfn.MAXIFS(L_Revisie,L_Sleutel,$S1305,L_Status,"Vastgesteld")+1))</f>
        <v/>
      </c>
      <c r="H1305" s="108" t="str">
        <f>IF($AG1305="","",P_Peildatum)</f>
        <v/>
      </c>
      <c r="I1305" s="92" t="str">
        <f>IF($AG1305="","",P_RJ+INDEX($AK$8:$AK$21,INDEX($AC$8:$AC$1407,$AG1305)+1))</f>
        <v/>
      </c>
      <c r="J1305" s="92" t="str">
        <f>IF($AG1305="","",INDEX(V_WBS,INDEX($AB$8:$AB$1407,$AG1305)))</f>
        <v/>
      </c>
      <c r="K1305" s="92" t="str">
        <f>IF($AG1305="","",INDEX(V_Projdef,INDEX($AB$8:$AB$1407,$AG1305)))</f>
        <v/>
      </c>
      <c r="L1305" s="92" t="str">
        <f>IF($AG1305="","",INDEX(V_Naam,INDEX($AB$8:$AB$1407,$AG1305)))</f>
        <v/>
      </c>
      <c r="M1305" s="92" t="str">
        <f>IF($AG1305="","",INDEX(V_Type,INDEX($AB$8:$AB$1407,$AG1305)))</f>
        <v/>
      </c>
      <c r="N1305" s="92" t="str">
        <f>IF($AG1305="","",INDEX(V_IFRS,INDEX($AB$8:$AB$1407,$AG1305)))</f>
        <v/>
      </c>
      <c r="O1305" s="92" t="str">
        <f>IF($AG1305="","",INDEX($AL$8:$AL$21,INDEX($AC$8:$AC$1407,$AG1305)+1))</f>
        <v/>
      </c>
      <c r="P1305" s="109" t="str">
        <f>IF($AG1305="","",INDEX($AD$8:$AD$1407,$AG1305))</f>
        <v/>
      </c>
      <c r="Q1305" s="92" t="str">
        <f>IF($AG1305="","",INDEX($AM$8:$AM$21,INDEX($AC$8:$AC$1407,$AG1305)+1))</f>
        <v/>
      </c>
      <c r="R1305" s="92" t="str">
        <f>IF($AG1305="","",IF($G1305&gt;0,P_ToelCorrectie&amp;"",""))</f>
        <v/>
      </c>
      <c r="S1305" s="15" t="str">
        <f>IF(J1305="","",J1305&amp;"|"&amp;E1305&amp;"|"&amp;F1305&amp;"|"&amp;I1305&amp;"|"&amp;O1305)</f>
        <v/>
      </c>
      <c r="T1305" s="111" t="str">
        <f>IF(S1305="","",IF(COUNTIFS(L_Sleutel,S1305,L_Actief,1)=0,"",SUMIFS(L_Waarde,L_Sleutel,S1305,L_Actief,1)))</f>
        <v/>
      </c>
      <c r="U1305" s="111">
        <f>IF(OR(S1305="",T1305=""),0,P1305-T1305)</f>
        <v>0</v>
      </c>
      <c r="AB1305" s="112" t="n">
        <v>93</v>
      </c>
      <c r="AC1305" s="112" t="n">
        <v>9</v>
      </c>
      <c r="AD1305" s="112" t="str">
        <f>VERW_Project!BR98</f>
        <v/>
      </c>
      <c r="AE1305" s="112">
        <f>IF(AND(VERW_Project!$A98&lt;&gt;"",ISNUMBER(AD1305)),1,0)</f>
        <v>0</v>
      </c>
      <c r="AF1305" s="112" t="str">
        <f>IF(AE1305=1,SUM($AE$8:AE1305),"")</f>
        <v/>
      </c>
      <c r="AG1305" t="str">
        <f>IFERROR(MATCH(1298,$AF$8:$AF$1407,0),"")</f>
        <v/>
      </c>
    </row>
    <row r="1306">
      <c r="A1306" s="92" t="str">
        <f>IF($AG1306="","",P_ImportID)</f>
        <v/>
      </c>
      <c r="B1306" s="92" t="str">
        <f>IF($AG1306="","",IF(INDEX($AN$8:$AN$21,INDEX($AC$8:$AC$1407,$AG1306)+1)="Z",P_BronZ,P_BronE))</f>
        <v/>
      </c>
      <c r="C1306" s="108" t="str">
        <f>IF($AG1306="","",P_Importdatum)</f>
        <v/>
      </c>
      <c r="D1306" s="92" t="str">
        <f>IF($AG1306="","",P_StatusVastleg)</f>
        <v/>
      </c>
      <c r="E1306" s="92" t="str">
        <f>IF($AG1306="","",P_UploadVJ)</f>
        <v/>
      </c>
      <c r="F1306" s="92" t="str">
        <f>IF($AG1306="","",P_UploadVersie)</f>
        <v/>
      </c>
      <c r="G1306" s="92" t="str">
        <f>IF($AG1306="","",IF(COUNTIFS(L_Sleutel,$S1306,L_Status,"Vastgesteld")=0,0,_xlfn.MAXIFS(L_Revisie,L_Sleutel,$S1306,L_Status,"Vastgesteld")+1))</f>
        <v/>
      </c>
      <c r="H1306" s="108" t="str">
        <f>IF($AG1306="","",P_Peildatum)</f>
        <v/>
      </c>
      <c r="I1306" s="92" t="str">
        <f>IF($AG1306="","",P_RJ+INDEX($AK$8:$AK$21,INDEX($AC$8:$AC$1407,$AG1306)+1))</f>
        <v/>
      </c>
      <c r="J1306" s="92" t="str">
        <f>IF($AG1306="","",INDEX(V_WBS,INDEX($AB$8:$AB$1407,$AG1306)))</f>
        <v/>
      </c>
      <c r="K1306" s="92" t="str">
        <f>IF($AG1306="","",INDEX(V_Projdef,INDEX($AB$8:$AB$1407,$AG1306)))</f>
        <v/>
      </c>
      <c r="L1306" s="92" t="str">
        <f>IF($AG1306="","",INDEX(V_Naam,INDEX($AB$8:$AB$1407,$AG1306)))</f>
        <v/>
      </c>
      <c r="M1306" s="92" t="str">
        <f>IF($AG1306="","",INDEX(V_Type,INDEX($AB$8:$AB$1407,$AG1306)))</f>
        <v/>
      </c>
      <c r="N1306" s="92" t="str">
        <f>IF($AG1306="","",INDEX(V_IFRS,INDEX($AB$8:$AB$1407,$AG1306)))</f>
        <v/>
      </c>
      <c r="O1306" s="92" t="str">
        <f>IF($AG1306="","",INDEX($AL$8:$AL$21,INDEX($AC$8:$AC$1407,$AG1306)+1))</f>
        <v/>
      </c>
      <c r="P1306" s="109" t="str">
        <f>IF($AG1306="","",INDEX($AD$8:$AD$1407,$AG1306))</f>
        <v/>
      </c>
      <c r="Q1306" s="92" t="str">
        <f>IF($AG1306="","",INDEX($AM$8:$AM$21,INDEX($AC$8:$AC$1407,$AG1306)+1))</f>
        <v/>
      </c>
      <c r="R1306" s="92" t="str">
        <f>IF($AG1306="","",IF($G1306&gt;0,P_ToelCorrectie&amp;"",""))</f>
        <v/>
      </c>
      <c r="S1306" s="15" t="str">
        <f>IF(J1306="","",J1306&amp;"|"&amp;E1306&amp;"|"&amp;F1306&amp;"|"&amp;I1306&amp;"|"&amp;O1306)</f>
        <v/>
      </c>
      <c r="T1306" s="111" t="str">
        <f>IF(S1306="","",IF(COUNTIFS(L_Sleutel,S1306,L_Actief,1)=0,"",SUMIFS(L_Waarde,L_Sleutel,S1306,L_Actief,1)))</f>
        <v/>
      </c>
      <c r="U1306" s="111">
        <f>IF(OR(S1306="",T1306=""),0,P1306-T1306)</f>
        <v>0</v>
      </c>
      <c r="AB1306" s="112" t="n">
        <v>93</v>
      </c>
      <c r="AC1306" s="112" t="n">
        <v>10</v>
      </c>
      <c r="AD1306" s="112" t="str">
        <f>VERW_Project!BS98</f>
        <v/>
      </c>
      <c r="AE1306" s="112">
        <f>IF(AND(VERW_Project!$A98&lt;&gt;"",ISNUMBER(AD1306)),1,0)</f>
        <v>0</v>
      </c>
      <c r="AF1306" s="112" t="str">
        <f>IF(AE1306=1,SUM($AE$8:AE1306),"")</f>
        <v/>
      </c>
      <c r="AG1306" t="str">
        <f>IFERROR(MATCH(1299,$AF$8:$AF$1407,0),"")</f>
        <v/>
      </c>
    </row>
    <row r="1307">
      <c r="A1307" s="92" t="str">
        <f>IF($AG1307="","",P_ImportID)</f>
        <v/>
      </c>
      <c r="B1307" s="92" t="str">
        <f>IF($AG1307="","",IF(INDEX($AN$8:$AN$21,INDEX($AC$8:$AC$1407,$AG1307)+1)="Z",P_BronZ,P_BronE))</f>
        <v/>
      </c>
      <c r="C1307" s="108" t="str">
        <f>IF($AG1307="","",P_Importdatum)</f>
        <v/>
      </c>
      <c r="D1307" s="92" t="str">
        <f>IF($AG1307="","",P_StatusVastleg)</f>
        <v/>
      </c>
      <c r="E1307" s="92" t="str">
        <f>IF($AG1307="","",P_UploadVJ)</f>
        <v/>
      </c>
      <c r="F1307" s="92" t="str">
        <f>IF($AG1307="","",P_UploadVersie)</f>
        <v/>
      </c>
      <c r="G1307" s="92" t="str">
        <f>IF($AG1307="","",IF(COUNTIFS(L_Sleutel,$S1307,L_Status,"Vastgesteld")=0,0,_xlfn.MAXIFS(L_Revisie,L_Sleutel,$S1307,L_Status,"Vastgesteld")+1))</f>
        <v/>
      </c>
      <c r="H1307" s="108" t="str">
        <f>IF($AG1307="","",P_Peildatum)</f>
        <v/>
      </c>
      <c r="I1307" s="92" t="str">
        <f>IF($AG1307="","",P_RJ+INDEX($AK$8:$AK$21,INDEX($AC$8:$AC$1407,$AG1307)+1))</f>
        <v/>
      </c>
      <c r="J1307" s="92" t="str">
        <f>IF($AG1307="","",INDEX(V_WBS,INDEX($AB$8:$AB$1407,$AG1307)))</f>
        <v/>
      </c>
      <c r="K1307" s="92" t="str">
        <f>IF($AG1307="","",INDEX(V_Projdef,INDEX($AB$8:$AB$1407,$AG1307)))</f>
        <v/>
      </c>
      <c r="L1307" s="92" t="str">
        <f>IF($AG1307="","",INDEX(V_Naam,INDEX($AB$8:$AB$1407,$AG1307)))</f>
        <v/>
      </c>
      <c r="M1307" s="92" t="str">
        <f>IF($AG1307="","",INDEX(V_Type,INDEX($AB$8:$AB$1407,$AG1307)))</f>
        <v/>
      </c>
      <c r="N1307" s="92" t="str">
        <f>IF($AG1307="","",INDEX(V_IFRS,INDEX($AB$8:$AB$1407,$AG1307)))</f>
        <v/>
      </c>
      <c r="O1307" s="92" t="str">
        <f>IF($AG1307="","",INDEX($AL$8:$AL$21,INDEX($AC$8:$AC$1407,$AG1307)+1))</f>
        <v/>
      </c>
      <c r="P1307" s="109" t="str">
        <f>IF($AG1307="","",INDEX($AD$8:$AD$1407,$AG1307))</f>
        <v/>
      </c>
      <c r="Q1307" s="92" t="str">
        <f>IF($AG1307="","",INDEX($AM$8:$AM$21,INDEX($AC$8:$AC$1407,$AG1307)+1))</f>
        <v/>
      </c>
      <c r="R1307" s="92" t="str">
        <f>IF($AG1307="","",IF($G1307&gt;0,P_ToelCorrectie&amp;"",""))</f>
        <v/>
      </c>
      <c r="S1307" s="15" t="str">
        <f>IF(J1307="","",J1307&amp;"|"&amp;E1307&amp;"|"&amp;F1307&amp;"|"&amp;I1307&amp;"|"&amp;O1307)</f>
        <v/>
      </c>
      <c r="T1307" s="111" t="str">
        <f>IF(S1307="","",IF(COUNTIFS(L_Sleutel,S1307,L_Actief,1)=0,"",SUMIFS(L_Waarde,L_Sleutel,S1307,L_Actief,1)))</f>
        <v/>
      </c>
      <c r="U1307" s="111">
        <f>IF(OR(S1307="",T1307=""),0,P1307-T1307)</f>
        <v>0</v>
      </c>
      <c r="AB1307" s="112" t="n">
        <v>93</v>
      </c>
      <c r="AC1307" s="112" t="n">
        <v>11</v>
      </c>
      <c r="AD1307" s="112" t="str">
        <f>VERW_Project!BT98</f>
        <v/>
      </c>
      <c r="AE1307" s="112">
        <f>IF(AND(VERW_Project!$A98&lt;&gt;"",ISNUMBER(AD1307)),1,0)</f>
        <v>0</v>
      </c>
      <c r="AF1307" s="112" t="str">
        <f>IF(AE1307=1,SUM($AE$8:AE1307),"")</f>
        <v/>
      </c>
      <c r="AG1307" t="str">
        <f>IFERROR(MATCH(1300,$AF$8:$AF$1407,0),"")</f>
        <v/>
      </c>
    </row>
    <row r="1308">
      <c r="A1308" s="92" t="str">
        <f>IF($AG1308="","",P_ImportID)</f>
        <v/>
      </c>
      <c r="B1308" s="92" t="str">
        <f>IF($AG1308="","",IF(INDEX($AN$8:$AN$21,INDEX($AC$8:$AC$1407,$AG1308)+1)="Z",P_BronZ,P_BronE))</f>
        <v/>
      </c>
      <c r="C1308" s="108" t="str">
        <f>IF($AG1308="","",P_Importdatum)</f>
        <v/>
      </c>
      <c r="D1308" s="92" t="str">
        <f>IF($AG1308="","",P_StatusVastleg)</f>
        <v/>
      </c>
      <c r="E1308" s="92" t="str">
        <f>IF($AG1308="","",P_UploadVJ)</f>
        <v/>
      </c>
      <c r="F1308" s="92" t="str">
        <f>IF($AG1308="","",P_UploadVersie)</f>
        <v/>
      </c>
      <c r="G1308" s="92" t="str">
        <f>IF($AG1308="","",IF(COUNTIFS(L_Sleutel,$S1308,L_Status,"Vastgesteld")=0,0,_xlfn.MAXIFS(L_Revisie,L_Sleutel,$S1308,L_Status,"Vastgesteld")+1))</f>
        <v/>
      </c>
      <c r="H1308" s="108" t="str">
        <f>IF($AG1308="","",P_Peildatum)</f>
        <v/>
      </c>
      <c r="I1308" s="92" t="str">
        <f>IF($AG1308="","",P_RJ+INDEX($AK$8:$AK$21,INDEX($AC$8:$AC$1407,$AG1308)+1))</f>
        <v/>
      </c>
      <c r="J1308" s="92" t="str">
        <f>IF($AG1308="","",INDEX(V_WBS,INDEX($AB$8:$AB$1407,$AG1308)))</f>
        <v/>
      </c>
      <c r="K1308" s="92" t="str">
        <f>IF($AG1308="","",INDEX(V_Projdef,INDEX($AB$8:$AB$1407,$AG1308)))</f>
        <v/>
      </c>
      <c r="L1308" s="92" t="str">
        <f>IF($AG1308="","",INDEX(V_Naam,INDEX($AB$8:$AB$1407,$AG1308)))</f>
        <v/>
      </c>
      <c r="M1308" s="92" t="str">
        <f>IF($AG1308="","",INDEX(V_Type,INDEX($AB$8:$AB$1407,$AG1308)))</f>
        <v/>
      </c>
      <c r="N1308" s="92" t="str">
        <f>IF($AG1308="","",INDEX(V_IFRS,INDEX($AB$8:$AB$1407,$AG1308)))</f>
        <v/>
      </c>
      <c r="O1308" s="92" t="str">
        <f>IF($AG1308="","",INDEX($AL$8:$AL$21,INDEX($AC$8:$AC$1407,$AG1308)+1))</f>
        <v/>
      </c>
      <c r="P1308" s="109" t="str">
        <f>IF($AG1308="","",INDEX($AD$8:$AD$1407,$AG1308))</f>
        <v/>
      </c>
      <c r="Q1308" s="92" t="str">
        <f>IF($AG1308="","",INDEX($AM$8:$AM$21,INDEX($AC$8:$AC$1407,$AG1308)+1))</f>
        <v/>
      </c>
      <c r="R1308" s="92" t="str">
        <f>IF($AG1308="","",IF($G1308&gt;0,P_ToelCorrectie&amp;"",""))</f>
        <v/>
      </c>
      <c r="S1308" s="15" t="str">
        <f>IF(J1308="","",J1308&amp;"|"&amp;E1308&amp;"|"&amp;F1308&amp;"|"&amp;I1308&amp;"|"&amp;O1308)</f>
        <v/>
      </c>
      <c r="T1308" s="111" t="str">
        <f>IF(S1308="","",IF(COUNTIFS(L_Sleutel,S1308,L_Actief,1)=0,"",SUMIFS(L_Waarde,L_Sleutel,S1308,L_Actief,1)))</f>
        <v/>
      </c>
      <c r="U1308" s="111">
        <f>IF(OR(S1308="",T1308=""),0,P1308-T1308)</f>
        <v>0</v>
      </c>
      <c r="AB1308" s="112" t="n">
        <v>93</v>
      </c>
      <c r="AC1308" s="112" t="n">
        <v>12</v>
      </c>
      <c r="AD1308" s="112" t="str">
        <f>VERW_Project!BU98</f>
        <v/>
      </c>
      <c r="AE1308" s="112">
        <f>IF(AND(VERW_Project!$A98&lt;&gt;"",ISNUMBER(AD1308)),1,0)</f>
        <v>0</v>
      </c>
      <c r="AF1308" s="112" t="str">
        <f>IF(AE1308=1,SUM($AE$8:AE1308),"")</f>
        <v/>
      </c>
      <c r="AG1308" t="str">
        <f>IFERROR(MATCH(1301,$AF$8:$AF$1407,0),"")</f>
        <v/>
      </c>
    </row>
    <row r="1309">
      <c r="A1309" s="92" t="str">
        <f>IF($AG1309="","",P_ImportID)</f>
        <v/>
      </c>
      <c r="B1309" s="92" t="str">
        <f>IF($AG1309="","",IF(INDEX($AN$8:$AN$21,INDEX($AC$8:$AC$1407,$AG1309)+1)="Z",P_BronZ,P_BronE))</f>
        <v/>
      </c>
      <c r="C1309" s="108" t="str">
        <f>IF($AG1309="","",P_Importdatum)</f>
        <v/>
      </c>
      <c r="D1309" s="92" t="str">
        <f>IF($AG1309="","",P_StatusVastleg)</f>
        <v/>
      </c>
      <c r="E1309" s="92" t="str">
        <f>IF($AG1309="","",P_UploadVJ)</f>
        <v/>
      </c>
      <c r="F1309" s="92" t="str">
        <f>IF($AG1309="","",P_UploadVersie)</f>
        <v/>
      </c>
      <c r="G1309" s="92" t="str">
        <f>IF($AG1309="","",IF(COUNTIFS(L_Sleutel,$S1309,L_Status,"Vastgesteld")=0,0,_xlfn.MAXIFS(L_Revisie,L_Sleutel,$S1309,L_Status,"Vastgesteld")+1))</f>
        <v/>
      </c>
      <c r="H1309" s="108" t="str">
        <f>IF($AG1309="","",P_Peildatum)</f>
        <v/>
      </c>
      <c r="I1309" s="92" t="str">
        <f>IF($AG1309="","",P_RJ+INDEX($AK$8:$AK$21,INDEX($AC$8:$AC$1407,$AG1309)+1))</f>
        <v/>
      </c>
      <c r="J1309" s="92" t="str">
        <f>IF($AG1309="","",INDEX(V_WBS,INDEX($AB$8:$AB$1407,$AG1309)))</f>
        <v/>
      </c>
      <c r="K1309" s="92" t="str">
        <f>IF($AG1309="","",INDEX(V_Projdef,INDEX($AB$8:$AB$1407,$AG1309)))</f>
        <v/>
      </c>
      <c r="L1309" s="92" t="str">
        <f>IF($AG1309="","",INDEX(V_Naam,INDEX($AB$8:$AB$1407,$AG1309)))</f>
        <v/>
      </c>
      <c r="M1309" s="92" t="str">
        <f>IF($AG1309="","",INDEX(V_Type,INDEX($AB$8:$AB$1407,$AG1309)))</f>
        <v/>
      </c>
      <c r="N1309" s="92" t="str">
        <f>IF($AG1309="","",INDEX(V_IFRS,INDEX($AB$8:$AB$1407,$AG1309)))</f>
        <v/>
      </c>
      <c r="O1309" s="92" t="str">
        <f>IF($AG1309="","",INDEX($AL$8:$AL$21,INDEX($AC$8:$AC$1407,$AG1309)+1))</f>
        <v/>
      </c>
      <c r="P1309" s="109" t="str">
        <f>IF($AG1309="","",INDEX($AD$8:$AD$1407,$AG1309))</f>
        <v/>
      </c>
      <c r="Q1309" s="92" t="str">
        <f>IF($AG1309="","",INDEX($AM$8:$AM$21,INDEX($AC$8:$AC$1407,$AG1309)+1))</f>
        <v/>
      </c>
      <c r="R1309" s="92" t="str">
        <f>IF($AG1309="","",IF($G1309&gt;0,P_ToelCorrectie&amp;"",""))</f>
        <v/>
      </c>
      <c r="S1309" s="15" t="str">
        <f>IF(J1309="","",J1309&amp;"|"&amp;E1309&amp;"|"&amp;F1309&amp;"|"&amp;I1309&amp;"|"&amp;O1309)</f>
        <v/>
      </c>
      <c r="T1309" s="111" t="str">
        <f>IF(S1309="","",IF(COUNTIFS(L_Sleutel,S1309,L_Actief,1)=0,"",SUMIFS(L_Waarde,L_Sleutel,S1309,L_Actief,1)))</f>
        <v/>
      </c>
      <c r="U1309" s="111">
        <f>IF(OR(S1309="",T1309=""),0,P1309-T1309)</f>
        <v>0</v>
      </c>
      <c r="AB1309" s="112" t="n">
        <v>93</v>
      </c>
      <c r="AC1309" s="112" t="n">
        <v>13</v>
      </c>
      <c r="AD1309" s="112" t="str">
        <f>VERW_Project!BX98</f>
        <v/>
      </c>
      <c r="AE1309" s="112">
        <f>IF(AND(VERW_Project!$A98&lt;&gt;"",ISNUMBER(AD1309)),1,0)</f>
        <v>0</v>
      </c>
      <c r="AF1309" s="112" t="str">
        <f>IF(AE1309=1,SUM($AE$8:AE1309),"")</f>
        <v/>
      </c>
      <c r="AG1309" t="str">
        <f>IFERROR(MATCH(1302,$AF$8:$AF$1407,0),"")</f>
        <v/>
      </c>
    </row>
    <row r="1310">
      <c r="A1310" s="92" t="str">
        <f>IF($AG1310="","",P_ImportID)</f>
        <v/>
      </c>
      <c r="B1310" s="92" t="str">
        <f>IF($AG1310="","",IF(INDEX($AN$8:$AN$21,INDEX($AC$8:$AC$1407,$AG1310)+1)="Z",P_BronZ,P_BronE))</f>
        <v/>
      </c>
      <c r="C1310" s="108" t="str">
        <f>IF($AG1310="","",P_Importdatum)</f>
        <v/>
      </c>
      <c r="D1310" s="92" t="str">
        <f>IF($AG1310="","",P_StatusVastleg)</f>
        <v/>
      </c>
      <c r="E1310" s="92" t="str">
        <f>IF($AG1310="","",P_UploadVJ)</f>
        <v/>
      </c>
      <c r="F1310" s="92" t="str">
        <f>IF($AG1310="","",P_UploadVersie)</f>
        <v/>
      </c>
      <c r="G1310" s="92" t="str">
        <f>IF($AG1310="","",IF(COUNTIFS(L_Sleutel,$S1310,L_Status,"Vastgesteld")=0,0,_xlfn.MAXIFS(L_Revisie,L_Sleutel,$S1310,L_Status,"Vastgesteld")+1))</f>
        <v/>
      </c>
      <c r="H1310" s="108" t="str">
        <f>IF($AG1310="","",P_Peildatum)</f>
        <v/>
      </c>
      <c r="I1310" s="92" t="str">
        <f>IF($AG1310="","",P_RJ+INDEX($AK$8:$AK$21,INDEX($AC$8:$AC$1407,$AG1310)+1))</f>
        <v/>
      </c>
      <c r="J1310" s="92" t="str">
        <f>IF($AG1310="","",INDEX(V_WBS,INDEX($AB$8:$AB$1407,$AG1310)))</f>
        <v/>
      </c>
      <c r="K1310" s="92" t="str">
        <f>IF($AG1310="","",INDEX(V_Projdef,INDEX($AB$8:$AB$1407,$AG1310)))</f>
        <v/>
      </c>
      <c r="L1310" s="92" t="str">
        <f>IF($AG1310="","",INDEX(V_Naam,INDEX($AB$8:$AB$1407,$AG1310)))</f>
        <v/>
      </c>
      <c r="M1310" s="92" t="str">
        <f>IF($AG1310="","",INDEX(V_Type,INDEX($AB$8:$AB$1407,$AG1310)))</f>
        <v/>
      </c>
      <c r="N1310" s="92" t="str">
        <f>IF($AG1310="","",INDEX(V_IFRS,INDEX($AB$8:$AB$1407,$AG1310)))</f>
        <v/>
      </c>
      <c r="O1310" s="92" t="str">
        <f>IF($AG1310="","",INDEX($AL$8:$AL$21,INDEX($AC$8:$AC$1407,$AG1310)+1))</f>
        <v/>
      </c>
      <c r="P1310" s="109" t="str">
        <f>IF($AG1310="","",INDEX($AD$8:$AD$1407,$AG1310))</f>
        <v/>
      </c>
      <c r="Q1310" s="92" t="str">
        <f>IF($AG1310="","",INDEX($AM$8:$AM$21,INDEX($AC$8:$AC$1407,$AG1310)+1))</f>
        <v/>
      </c>
      <c r="R1310" s="92" t="str">
        <f>IF($AG1310="","",IF($G1310&gt;0,P_ToelCorrectie&amp;"",""))</f>
        <v/>
      </c>
      <c r="S1310" s="15" t="str">
        <f>IF(J1310="","",J1310&amp;"|"&amp;E1310&amp;"|"&amp;F1310&amp;"|"&amp;I1310&amp;"|"&amp;O1310)</f>
        <v/>
      </c>
      <c r="T1310" s="111" t="str">
        <f>IF(S1310="","",IF(COUNTIFS(L_Sleutel,S1310,L_Actief,1)=0,"",SUMIFS(L_Waarde,L_Sleutel,S1310,L_Actief,1)))</f>
        <v/>
      </c>
      <c r="U1310" s="111">
        <f>IF(OR(S1310="",T1310=""),0,P1310-T1310)</f>
        <v>0</v>
      </c>
      <c r="AB1310" s="112" t="n">
        <v>94</v>
      </c>
      <c r="AC1310" s="112" t="n">
        <v>0</v>
      </c>
      <c r="AD1310" s="112" t="str">
        <f>VERW_Project!P99</f>
        <v/>
      </c>
      <c r="AE1310" s="112">
        <f>IF(AND(VERW_Project!$A99&lt;&gt;"",ISNUMBER(AD1310)),1,0)</f>
        <v>0</v>
      </c>
      <c r="AF1310" s="112" t="str">
        <f>IF(AE1310=1,SUM($AE$8:AE1310),"")</f>
        <v/>
      </c>
      <c r="AG1310" t="str">
        <f>IFERROR(MATCH(1303,$AF$8:$AF$1407,0),"")</f>
        <v/>
      </c>
    </row>
    <row r="1311">
      <c r="A1311" s="92" t="str">
        <f>IF($AG1311="","",P_ImportID)</f>
        <v/>
      </c>
      <c r="B1311" s="92" t="str">
        <f>IF($AG1311="","",IF(INDEX($AN$8:$AN$21,INDEX($AC$8:$AC$1407,$AG1311)+1)="Z",P_BronZ,P_BronE))</f>
        <v/>
      </c>
      <c r="C1311" s="108" t="str">
        <f>IF($AG1311="","",P_Importdatum)</f>
        <v/>
      </c>
      <c r="D1311" s="92" t="str">
        <f>IF($AG1311="","",P_StatusVastleg)</f>
        <v/>
      </c>
      <c r="E1311" s="92" t="str">
        <f>IF($AG1311="","",P_UploadVJ)</f>
        <v/>
      </c>
      <c r="F1311" s="92" t="str">
        <f>IF($AG1311="","",P_UploadVersie)</f>
        <v/>
      </c>
      <c r="G1311" s="92" t="str">
        <f>IF($AG1311="","",IF(COUNTIFS(L_Sleutel,$S1311,L_Status,"Vastgesteld")=0,0,_xlfn.MAXIFS(L_Revisie,L_Sleutel,$S1311,L_Status,"Vastgesteld")+1))</f>
        <v/>
      </c>
      <c r="H1311" s="108" t="str">
        <f>IF($AG1311="","",P_Peildatum)</f>
        <v/>
      </c>
      <c r="I1311" s="92" t="str">
        <f>IF($AG1311="","",P_RJ+INDEX($AK$8:$AK$21,INDEX($AC$8:$AC$1407,$AG1311)+1))</f>
        <v/>
      </c>
      <c r="J1311" s="92" t="str">
        <f>IF($AG1311="","",INDEX(V_WBS,INDEX($AB$8:$AB$1407,$AG1311)))</f>
        <v/>
      </c>
      <c r="K1311" s="92" t="str">
        <f>IF($AG1311="","",INDEX(V_Projdef,INDEX($AB$8:$AB$1407,$AG1311)))</f>
        <v/>
      </c>
      <c r="L1311" s="92" t="str">
        <f>IF($AG1311="","",INDEX(V_Naam,INDEX($AB$8:$AB$1407,$AG1311)))</f>
        <v/>
      </c>
      <c r="M1311" s="92" t="str">
        <f>IF($AG1311="","",INDEX(V_Type,INDEX($AB$8:$AB$1407,$AG1311)))</f>
        <v/>
      </c>
      <c r="N1311" s="92" t="str">
        <f>IF($AG1311="","",INDEX(V_IFRS,INDEX($AB$8:$AB$1407,$AG1311)))</f>
        <v/>
      </c>
      <c r="O1311" s="92" t="str">
        <f>IF($AG1311="","",INDEX($AL$8:$AL$21,INDEX($AC$8:$AC$1407,$AG1311)+1))</f>
        <v/>
      </c>
      <c r="P1311" s="109" t="str">
        <f>IF($AG1311="","",INDEX($AD$8:$AD$1407,$AG1311))</f>
        <v/>
      </c>
      <c r="Q1311" s="92" t="str">
        <f>IF($AG1311="","",INDEX($AM$8:$AM$21,INDEX($AC$8:$AC$1407,$AG1311)+1))</f>
        <v/>
      </c>
      <c r="R1311" s="92" t="str">
        <f>IF($AG1311="","",IF($G1311&gt;0,P_ToelCorrectie&amp;"",""))</f>
        <v/>
      </c>
      <c r="S1311" s="15" t="str">
        <f>IF(J1311="","",J1311&amp;"|"&amp;E1311&amp;"|"&amp;F1311&amp;"|"&amp;I1311&amp;"|"&amp;O1311)</f>
        <v/>
      </c>
      <c r="T1311" s="111" t="str">
        <f>IF(S1311="","",IF(COUNTIFS(L_Sleutel,S1311,L_Actief,1)=0,"",SUMIFS(L_Waarde,L_Sleutel,S1311,L_Actief,1)))</f>
        <v/>
      </c>
      <c r="U1311" s="111">
        <f>IF(OR(S1311="",T1311=""),0,P1311-T1311)</f>
        <v>0</v>
      </c>
      <c r="AB1311" s="112" t="n">
        <v>94</v>
      </c>
      <c r="AC1311" s="112" t="n">
        <v>1</v>
      </c>
      <c r="AD1311" s="112" t="str">
        <f>VERW_Project!Q99</f>
        <v/>
      </c>
      <c r="AE1311" s="112">
        <f>IF(AND(VERW_Project!$A99&lt;&gt;"",ISNUMBER(AD1311)),1,0)</f>
        <v>0</v>
      </c>
      <c r="AF1311" s="112" t="str">
        <f>IF(AE1311=1,SUM($AE$8:AE1311),"")</f>
        <v/>
      </c>
      <c r="AG1311" t="str">
        <f>IFERROR(MATCH(1304,$AF$8:$AF$1407,0),"")</f>
        <v/>
      </c>
    </row>
    <row r="1312">
      <c r="A1312" s="92" t="str">
        <f>IF($AG1312="","",P_ImportID)</f>
        <v/>
      </c>
      <c r="B1312" s="92" t="str">
        <f>IF($AG1312="","",IF(INDEX($AN$8:$AN$21,INDEX($AC$8:$AC$1407,$AG1312)+1)="Z",P_BronZ,P_BronE))</f>
        <v/>
      </c>
      <c r="C1312" s="108" t="str">
        <f>IF($AG1312="","",P_Importdatum)</f>
        <v/>
      </c>
      <c r="D1312" s="92" t="str">
        <f>IF($AG1312="","",P_StatusVastleg)</f>
        <v/>
      </c>
      <c r="E1312" s="92" t="str">
        <f>IF($AG1312="","",P_UploadVJ)</f>
        <v/>
      </c>
      <c r="F1312" s="92" t="str">
        <f>IF($AG1312="","",P_UploadVersie)</f>
        <v/>
      </c>
      <c r="G1312" s="92" t="str">
        <f>IF($AG1312="","",IF(COUNTIFS(L_Sleutel,$S1312,L_Status,"Vastgesteld")=0,0,_xlfn.MAXIFS(L_Revisie,L_Sleutel,$S1312,L_Status,"Vastgesteld")+1))</f>
        <v/>
      </c>
      <c r="H1312" s="108" t="str">
        <f>IF($AG1312="","",P_Peildatum)</f>
        <v/>
      </c>
      <c r="I1312" s="92" t="str">
        <f>IF($AG1312="","",P_RJ+INDEX($AK$8:$AK$21,INDEX($AC$8:$AC$1407,$AG1312)+1))</f>
        <v/>
      </c>
      <c r="J1312" s="92" t="str">
        <f>IF($AG1312="","",INDEX(V_WBS,INDEX($AB$8:$AB$1407,$AG1312)))</f>
        <v/>
      </c>
      <c r="K1312" s="92" t="str">
        <f>IF($AG1312="","",INDEX(V_Projdef,INDEX($AB$8:$AB$1407,$AG1312)))</f>
        <v/>
      </c>
      <c r="L1312" s="92" t="str">
        <f>IF($AG1312="","",INDEX(V_Naam,INDEX($AB$8:$AB$1407,$AG1312)))</f>
        <v/>
      </c>
      <c r="M1312" s="92" t="str">
        <f>IF($AG1312="","",INDEX(V_Type,INDEX($AB$8:$AB$1407,$AG1312)))</f>
        <v/>
      </c>
      <c r="N1312" s="92" t="str">
        <f>IF($AG1312="","",INDEX(V_IFRS,INDEX($AB$8:$AB$1407,$AG1312)))</f>
        <v/>
      </c>
      <c r="O1312" s="92" t="str">
        <f>IF($AG1312="","",INDEX($AL$8:$AL$21,INDEX($AC$8:$AC$1407,$AG1312)+1))</f>
        <v/>
      </c>
      <c r="P1312" s="109" t="str">
        <f>IF($AG1312="","",INDEX($AD$8:$AD$1407,$AG1312))</f>
        <v/>
      </c>
      <c r="Q1312" s="92" t="str">
        <f>IF($AG1312="","",INDEX($AM$8:$AM$21,INDEX($AC$8:$AC$1407,$AG1312)+1))</f>
        <v/>
      </c>
      <c r="R1312" s="92" t="str">
        <f>IF($AG1312="","",IF($G1312&gt;0,P_ToelCorrectie&amp;"",""))</f>
        <v/>
      </c>
      <c r="S1312" s="15" t="str">
        <f>IF(J1312="","",J1312&amp;"|"&amp;E1312&amp;"|"&amp;F1312&amp;"|"&amp;I1312&amp;"|"&amp;O1312)</f>
        <v/>
      </c>
      <c r="T1312" s="111" t="str">
        <f>IF(S1312="","",IF(COUNTIFS(L_Sleutel,S1312,L_Actief,1)=0,"",SUMIFS(L_Waarde,L_Sleutel,S1312,L_Actief,1)))</f>
        <v/>
      </c>
      <c r="U1312" s="111">
        <f>IF(OR(S1312="",T1312=""),0,P1312-T1312)</f>
        <v>0</v>
      </c>
      <c r="AB1312" s="112" t="n">
        <v>94</v>
      </c>
      <c r="AC1312" s="112" t="n">
        <v>2</v>
      </c>
      <c r="AD1312" s="112" t="str">
        <f>VERW_Project!L99</f>
        <v/>
      </c>
      <c r="AE1312" s="112">
        <f>IF(AND(VERW_Project!$A99&lt;&gt;"",ISNUMBER(AD1312)),1,0)</f>
        <v>0</v>
      </c>
      <c r="AF1312" s="112" t="str">
        <f>IF(AE1312=1,SUM($AE$8:AE1312),"")</f>
        <v/>
      </c>
      <c r="AG1312" t="str">
        <f>IFERROR(MATCH(1305,$AF$8:$AF$1407,0),"")</f>
        <v/>
      </c>
    </row>
    <row r="1313">
      <c r="A1313" s="92" t="str">
        <f>IF($AG1313="","",P_ImportID)</f>
        <v/>
      </c>
      <c r="B1313" s="92" t="str">
        <f>IF($AG1313="","",IF(INDEX($AN$8:$AN$21,INDEX($AC$8:$AC$1407,$AG1313)+1)="Z",P_BronZ,P_BronE))</f>
        <v/>
      </c>
      <c r="C1313" s="108" t="str">
        <f>IF($AG1313="","",P_Importdatum)</f>
        <v/>
      </c>
      <c r="D1313" s="92" t="str">
        <f>IF($AG1313="","",P_StatusVastleg)</f>
        <v/>
      </c>
      <c r="E1313" s="92" t="str">
        <f>IF($AG1313="","",P_UploadVJ)</f>
        <v/>
      </c>
      <c r="F1313" s="92" t="str">
        <f>IF($AG1313="","",P_UploadVersie)</f>
        <v/>
      </c>
      <c r="G1313" s="92" t="str">
        <f>IF($AG1313="","",IF(COUNTIFS(L_Sleutel,$S1313,L_Status,"Vastgesteld")=0,0,_xlfn.MAXIFS(L_Revisie,L_Sleutel,$S1313,L_Status,"Vastgesteld")+1))</f>
        <v/>
      </c>
      <c r="H1313" s="108" t="str">
        <f>IF($AG1313="","",P_Peildatum)</f>
        <v/>
      </c>
      <c r="I1313" s="92" t="str">
        <f>IF($AG1313="","",P_RJ+INDEX($AK$8:$AK$21,INDEX($AC$8:$AC$1407,$AG1313)+1))</f>
        <v/>
      </c>
      <c r="J1313" s="92" t="str">
        <f>IF($AG1313="","",INDEX(V_WBS,INDEX($AB$8:$AB$1407,$AG1313)))</f>
        <v/>
      </c>
      <c r="K1313" s="92" t="str">
        <f>IF($AG1313="","",INDEX(V_Projdef,INDEX($AB$8:$AB$1407,$AG1313)))</f>
        <v/>
      </c>
      <c r="L1313" s="92" t="str">
        <f>IF($AG1313="","",INDEX(V_Naam,INDEX($AB$8:$AB$1407,$AG1313)))</f>
        <v/>
      </c>
      <c r="M1313" s="92" t="str">
        <f>IF($AG1313="","",INDEX(V_Type,INDEX($AB$8:$AB$1407,$AG1313)))</f>
        <v/>
      </c>
      <c r="N1313" s="92" t="str">
        <f>IF($AG1313="","",INDEX(V_IFRS,INDEX($AB$8:$AB$1407,$AG1313)))</f>
        <v/>
      </c>
      <c r="O1313" s="92" t="str">
        <f>IF($AG1313="","",INDEX($AL$8:$AL$21,INDEX($AC$8:$AC$1407,$AG1313)+1))</f>
        <v/>
      </c>
      <c r="P1313" s="109" t="str">
        <f>IF($AG1313="","",INDEX($AD$8:$AD$1407,$AG1313))</f>
        <v/>
      </c>
      <c r="Q1313" s="92" t="str">
        <f>IF($AG1313="","",INDEX($AM$8:$AM$21,INDEX($AC$8:$AC$1407,$AG1313)+1))</f>
        <v/>
      </c>
      <c r="R1313" s="92" t="str">
        <f>IF($AG1313="","",IF($G1313&gt;0,P_ToelCorrectie&amp;"",""))</f>
        <v/>
      </c>
      <c r="S1313" s="15" t="str">
        <f>IF(J1313="","",J1313&amp;"|"&amp;E1313&amp;"|"&amp;F1313&amp;"|"&amp;I1313&amp;"|"&amp;O1313)</f>
        <v/>
      </c>
      <c r="T1313" s="111" t="str">
        <f>IF(S1313="","",IF(COUNTIFS(L_Sleutel,S1313,L_Actief,1)=0,"",SUMIFS(L_Waarde,L_Sleutel,S1313,L_Actief,1)))</f>
        <v/>
      </c>
      <c r="U1313" s="111">
        <f>IF(OR(S1313="",T1313=""),0,P1313-T1313)</f>
        <v>0</v>
      </c>
      <c r="AB1313" s="112" t="n">
        <v>94</v>
      </c>
      <c r="AC1313" s="112" t="n">
        <v>3</v>
      </c>
      <c r="AD1313" s="112" t="str">
        <f>VERW_Project!M99</f>
        <v/>
      </c>
      <c r="AE1313" s="112">
        <f>IF(AND(VERW_Project!$A99&lt;&gt;"",ISNUMBER(AD1313)),1,0)</f>
        <v>0</v>
      </c>
      <c r="AF1313" s="112" t="str">
        <f>IF(AE1313=1,SUM($AE$8:AE1313),"")</f>
        <v/>
      </c>
      <c r="AG1313" t="str">
        <f>IFERROR(MATCH(1306,$AF$8:$AF$1407,0),"")</f>
        <v/>
      </c>
    </row>
    <row r="1314">
      <c r="A1314" s="92" t="str">
        <f>IF($AG1314="","",P_ImportID)</f>
        <v/>
      </c>
      <c r="B1314" s="92" t="str">
        <f>IF($AG1314="","",IF(INDEX($AN$8:$AN$21,INDEX($AC$8:$AC$1407,$AG1314)+1)="Z",P_BronZ,P_BronE))</f>
        <v/>
      </c>
      <c r="C1314" s="108" t="str">
        <f>IF($AG1314="","",P_Importdatum)</f>
        <v/>
      </c>
      <c r="D1314" s="92" t="str">
        <f>IF($AG1314="","",P_StatusVastleg)</f>
        <v/>
      </c>
      <c r="E1314" s="92" t="str">
        <f>IF($AG1314="","",P_UploadVJ)</f>
        <v/>
      </c>
      <c r="F1314" s="92" t="str">
        <f>IF($AG1314="","",P_UploadVersie)</f>
        <v/>
      </c>
      <c r="G1314" s="92" t="str">
        <f>IF($AG1314="","",IF(COUNTIFS(L_Sleutel,$S1314,L_Status,"Vastgesteld")=0,0,_xlfn.MAXIFS(L_Revisie,L_Sleutel,$S1314,L_Status,"Vastgesteld")+1))</f>
        <v/>
      </c>
      <c r="H1314" s="108" t="str">
        <f>IF($AG1314="","",P_Peildatum)</f>
        <v/>
      </c>
      <c r="I1314" s="92" t="str">
        <f>IF($AG1314="","",P_RJ+INDEX($AK$8:$AK$21,INDEX($AC$8:$AC$1407,$AG1314)+1))</f>
        <v/>
      </c>
      <c r="J1314" s="92" t="str">
        <f>IF($AG1314="","",INDEX(V_WBS,INDEX($AB$8:$AB$1407,$AG1314)))</f>
        <v/>
      </c>
      <c r="K1314" s="92" t="str">
        <f>IF($AG1314="","",INDEX(V_Projdef,INDEX($AB$8:$AB$1407,$AG1314)))</f>
        <v/>
      </c>
      <c r="L1314" s="92" t="str">
        <f>IF($AG1314="","",INDEX(V_Naam,INDEX($AB$8:$AB$1407,$AG1314)))</f>
        <v/>
      </c>
      <c r="M1314" s="92" t="str">
        <f>IF($AG1314="","",INDEX(V_Type,INDEX($AB$8:$AB$1407,$AG1314)))</f>
        <v/>
      </c>
      <c r="N1314" s="92" t="str">
        <f>IF($AG1314="","",INDEX(V_IFRS,INDEX($AB$8:$AB$1407,$AG1314)))</f>
        <v/>
      </c>
      <c r="O1314" s="92" t="str">
        <f>IF($AG1314="","",INDEX($AL$8:$AL$21,INDEX($AC$8:$AC$1407,$AG1314)+1))</f>
        <v/>
      </c>
      <c r="P1314" s="109" t="str">
        <f>IF($AG1314="","",INDEX($AD$8:$AD$1407,$AG1314))</f>
        <v/>
      </c>
      <c r="Q1314" s="92" t="str">
        <f>IF($AG1314="","",INDEX($AM$8:$AM$21,INDEX($AC$8:$AC$1407,$AG1314)+1))</f>
        <v/>
      </c>
      <c r="R1314" s="92" t="str">
        <f>IF($AG1314="","",IF($G1314&gt;0,P_ToelCorrectie&amp;"",""))</f>
        <v/>
      </c>
      <c r="S1314" s="15" t="str">
        <f>IF(J1314="","",J1314&amp;"|"&amp;E1314&amp;"|"&amp;F1314&amp;"|"&amp;I1314&amp;"|"&amp;O1314)</f>
        <v/>
      </c>
      <c r="T1314" s="111" t="str">
        <f>IF(S1314="","",IF(COUNTIFS(L_Sleutel,S1314,L_Actief,1)=0,"",SUMIFS(L_Waarde,L_Sleutel,S1314,L_Actief,1)))</f>
        <v/>
      </c>
      <c r="U1314" s="111">
        <f>IF(OR(S1314="",T1314=""),0,P1314-T1314)</f>
        <v>0</v>
      </c>
      <c r="AB1314" s="112" t="n">
        <v>94</v>
      </c>
      <c r="AC1314" s="112" t="n">
        <v>4</v>
      </c>
      <c r="AD1314" s="112" t="str">
        <f>VERW_Project!R99</f>
        <v/>
      </c>
      <c r="AE1314" s="112">
        <f>IF(AND(VERW_Project!$A99&lt;&gt;"",ISNUMBER(AD1314)),1,0)</f>
        <v>0</v>
      </c>
      <c r="AF1314" s="112" t="str">
        <f>IF(AE1314=1,SUM($AE$8:AE1314),"")</f>
        <v/>
      </c>
      <c r="AG1314" t="str">
        <f>IFERROR(MATCH(1307,$AF$8:$AF$1407,0),"")</f>
        <v/>
      </c>
    </row>
    <row r="1315">
      <c r="A1315" s="92" t="str">
        <f>IF($AG1315="","",P_ImportID)</f>
        <v/>
      </c>
      <c r="B1315" s="92" t="str">
        <f>IF($AG1315="","",IF(INDEX($AN$8:$AN$21,INDEX($AC$8:$AC$1407,$AG1315)+1)="Z",P_BronZ,P_BronE))</f>
        <v/>
      </c>
      <c r="C1315" s="108" t="str">
        <f>IF($AG1315="","",P_Importdatum)</f>
        <v/>
      </c>
      <c r="D1315" s="92" t="str">
        <f>IF($AG1315="","",P_StatusVastleg)</f>
        <v/>
      </c>
      <c r="E1315" s="92" t="str">
        <f>IF($AG1315="","",P_UploadVJ)</f>
        <v/>
      </c>
      <c r="F1315" s="92" t="str">
        <f>IF($AG1315="","",P_UploadVersie)</f>
        <v/>
      </c>
      <c r="G1315" s="92" t="str">
        <f>IF($AG1315="","",IF(COUNTIFS(L_Sleutel,$S1315,L_Status,"Vastgesteld")=0,0,_xlfn.MAXIFS(L_Revisie,L_Sleutel,$S1315,L_Status,"Vastgesteld")+1))</f>
        <v/>
      </c>
      <c r="H1315" s="108" t="str">
        <f>IF($AG1315="","",P_Peildatum)</f>
        <v/>
      </c>
      <c r="I1315" s="92" t="str">
        <f>IF($AG1315="","",P_RJ+INDEX($AK$8:$AK$21,INDEX($AC$8:$AC$1407,$AG1315)+1))</f>
        <v/>
      </c>
      <c r="J1315" s="92" t="str">
        <f>IF($AG1315="","",INDEX(V_WBS,INDEX($AB$8:$AB$1407,$AG1315)))</f>
        <v/>
      </c>
      <c r="K1315" s="92" t="str">
        <f>IF($AG1315="","",INDEX(V_Projdef,INDEX($AB$8:$AB$1407,$AG1315)))</f>
        <v/>
      </c>
      <c r="L1315" s="92" t="str">
        <f>IF($AG1315="","",INDEX(V_Naam,INDEX($AB$8:$AB$1407,$AG1315)))</f>
        <v/>
      </c>
      <c r="M1315" s="92" t="str">
        <f>IF($AG1315="","",INDEX(V_Type,INDEX($AB$8:$AB$1407,$AG1315)))</f>
        <v/>
      </c>
      <c r="N1315" s="92" t="str">
        <f>IF($AG1315="","",INDEX(V_IFRS,INDEX($AB$8:$AB$1407,$AG1315)))</f>
        <v/>
      </c>
      <c r="O1315" s="92" t="str">
        <f>IF($AG1315="","",INDEX($AL$8:$AL$21,INDEX($AC$8:$AC$1407,$AG1315)+1))</f>
        <v/>
      </c>
      <c r="P1315" s="109" t="str">
        <f>IF($AG1315="","",INDEX($AD$8:$AD$1407,$AG1315))</f>
        <v/>
      </c>
      <c r="Q1315" s="92" t="str">
        <f>IF($AG1315="","",INDEX($AM$8:$AM$21,INDEX($AC$8:$AC$1407,$AG1315)+1))</f>
        <v/>
      </c>
      <c r="R1315" s="92" t="str">
        <f>IF($AG1315="","",IF($G1315&gt;0,P_ToelCorrectie&amp;"",""))</f>
        <v/>
      </c>
      <c r="S1315" s="15" t="str">
        <f>IF(J1315="","",J1315&amp;"|"&amp;E1315&amp;"|"&amp;F1315&amp;"|"&amp;I1315&amp;"|"&amp;O1315)</f>
        <v/>
      </c>
      <c r="T1315" s="111" t="str">
        <f>IF(S1315="","",IF(COUNTIFS(L_Sleutel,S1315,L_Actief,1)=0,"",SUMIFS(L_Waarde,L_Sleutel,S1315,L_Actief,1)))</f>
        <v/>
      </c>
      <c r="U1315" s="111">
        <f>IF(OR(S1315="",T1315=""),0,P1315-T1315)</f>
        <v>0</v>
      </c>
      <c r="AB1315" s="112" t="n">
        <v>94</v>
      </c>
      <c r="AC1315" s="112" t="n">
        <v>5</v>
      </c>
      <c r="AD1315" s="112" t="str">
        <f>VERW_Project!S99</f>
        <v/>
      </c>
      <c r="AE1315" s="112">
        <f>IF(AND(VERW_Project!$A99&lt;&gt;"",ISNUMBER(AD1315)),1,0)</f>
        <v>0</v>
      </c>
      <c r="AF1315" s="112" t="str">
        <f>IF(AE1315=1,SUM($AE$8:AE1315),"")</f>
        <v/>
      </c>
      <c r="AG1315" t="str">
        <f>IFERROR(MATCH(1308,$AF$8:$AF$1407,0),"")</f>
        <v/>
      </c>
    </row>
    <row r="1316">
      <c r="A1316" s="92" t="str">
        <f>IF($AG1316="","",P_ImportID)</f>
        <v/>
      </c>
      <c r="B1316" s="92" t="str">
        <f>IF($AG1316="","",IF(INDEX($AN$8:$AN$21,INDEX($AC$8:$AC$1407,$AG1316)+1)="Z",P_BronZ,P_BronE))</f>
        <v/>
      </c>
      <c r="C1316" s="108" t="str">
        <f>IF($AG1316="","",P_Importdatum)</f>
        <v/>
      </c>
      <c r="D1316" s="92" t="str">
        <f>IF($AG1316="","",P_StatusVastleg)</f>
        <v/>
      </c>
      <c r="E1316" s="92" t="str">
        <f>IF($AG1316="","",P_UploadVJ)</f>
        <v/>
      </c>
      <c r="F1316" s="92" t="str">
        <f>IF($AG1316="","",P_UploadVersie)</f>
        <v/>
      </c>
      <c r="G1316" s="92" t="str">
        <f>IF($AG1316="","",IF(COUNTIFS(L_Sleutel,$S1316,L_Status,"Vastgesteld")=0,0,_xlfn.MAXIFS(L_Revisie,L_Sleutel,$S1316,L_Status,"Vastgesteld")+1))</f>
        <v/>
      </c>
      <c r="H1316" s="108" t="str">
        <f>IF($AG1316="","",P_Peildatum)</f>
        <v/>
      </c>
      <c r="I1316" s="92" t="str">
        <f>IF($AG1316="","",P_RJ+INDEX($AK$8:$AK$21,INDEX($AC$8:$AC$1407,$AG1316)+1))</f>
        <v/>
      </c>
      <c r="J1316" s="92" t="str">
        <f>IF($AG1316="","",INDEX(V_WBS,INDEX($AB$8:$AB$1407,$AG1316)))</f>
        <v/>
      </c>
      <c r="K1316" s="92" t="str">
        <f>IF($AG1316="","",INDEX(V_Projdef,INDEX($AB$8:$AB$1407,$AG1316)))</f>
        <v/>
      </c>
      <c r="L1316" s="92" t="str">
        <f>IF($AG1316="","",INDEX(V_Naam,INDEX($AB$8:$AB$1407,$AG1316)))</f>
        <v/>
      </c>
      <c r="M1316" s="92" t="str">
        <f>IF($AG1316="","",INDEX(V_Type,INDEX($AB$8:$AB$1407,$AG1316)))</f>
        <v/>
      </c>
      <c r="N1316" s="92" t="str">
        <f>IF($AG1316="","",INDEX(V_IFRS,INDEX($AB$8:$AB$1407,$AG1316)))</f>
        <v/>
      </c>
      <c r="O1316" s="92" t="str">
        <f>IF($AG1316="","",INDEX($AL$8:$AL$21,INDEX($AC$8:$AC$1407,$AG1316)+1))</f>
        <v/>
      </c>
      <c r="P1316" s="109" t="str">
        <f>IF($AG1316="","",INDEX($AD$8:$AD$1407,$AG1316))</f>
        <v/>
      </c>
      <c r="Q1316" s="92" t="str">
        <f>IF($AG1316="","",INDEX($AM$8:$AM$21,INDEX($AC$8:$AC$1407,$AG1316)+1))</f>
        <v/>
      </c>
      <c r="R1316" s="92" t="str">
        <f>IF($AG1316="","",IF($G1316&gt;0,P_ToelCorrectie&amp;"",""))</f>
        <v/>
      </c>
      <c r="S1316" s="15" t="str">
        <f>IF(J1316="","",J1316&amp;"|"&amp;E1316&amp;"|"&amp;F1316&amp;"|"&amp;I1316&amp;"|"&amp;O1316)</f>
        <v/>
      </c>
      <c r="T1316" s="111" t="str">
        <f>IF(S1316="","",IF(COUNTIFS(L_Sleutel,S1316,L_Actief,1)=0,"",SUMIFS(L_Waarde,L_Sleutel,S1316,L_Actief,1)))</f>
        <v/>
      </c>
      <c r="U1316" s="111">
        <f>IF(OR(S1316="",T1316=""),0,P1316-T1316)</f>
        <v>0</v>
      </c>
      <c r="AB1316" s="112" t="n">
        <v>94</v>
      </c>
      <c r="AC1316" s="112" t="n">
        <v>6</v>
      </c>
      <c r="AD1316" s="112" t="str">
        <f>VERW_Project!BW99</f>
        <v/>
      </c>
      <c r="AE1316" s="112">
        <f>IF(AND(VERW_Project!$A99&lt;&gt;"",ISNUMBER(AD1316)),1,0)</f>
        <v>0</v>
      </c>
      <c r="AF1316" s="112" t="str">
        <f>IF(AE1316=1,SUM($AE$8:AE1316),"")</f>
        <v/>
      </c>
      <c r="AG1316" t="str">
        <f>IFERROR(MATCH(1309,$AF$8:$AF$1407,0),"")</f>
        <v/>
      </c>
    </row>
    <row r="1317">
      <c r="A1317" s="92" t="str">
        <f>IF($AG1317="","",P_ImportID)</f>
        <v/>
      </c>
      <c r="B1317" s="92" t="str">
        <f>IF($AG1317="","",IF(INDEX($AN$8:$AN$21,INDEX($AC$8:$AC$1407,$AG1317)+1)="Z",P_BronZ,P_BronE))</f>
        <v/>
      </c>
      <c r="C1317" s="108" t="str">
        <f>IF($AG1317="","",P_Importdatum)</f>
        <v/>
      </c>
      <c r="D1317" s="92" t="str">
        <f>IF($AG1317="","",P_StatusVastleg)</f>
        <v/>
      </c>
      <c r="E1317" s="92" t="str">
        <f>IF($AG1317="","",P_UploadVJ)</f>
        <v/>
      </c>
      <c r="F1317" s="92" t="str">
        <f>IF($AG1317="","",P_UploadVersie)</f>
        <v/>
      </c>
      <c r="G1317" s="92" t="str">
        <f>IF($AG1317="","",IF(COUNTIFS(L_Sleutel,$S1317,L_Status,"Vastgesteld")=0,0,_xlfn.MAXIFS(L_Revisie,L_Sleutel,$S1317,L_Status,"Vastgesteld")+1))</f>
        <v/>
      </c>
      <c r="H1317" s="108" t="str">
        <f>IF($AG1317="","",P_Peildatum)</f>
        <v/>
      </c>
      <c r="I1317" s="92" t="str">
        <f>IF($AG1317="","",P_RJ+INDEX($AK$8:$AK$21,INDEX($AC$8:$AC$1407,$AG1317)+1))</f>
        <v/>
      </c>
      <c r="J1317" s="92" t="str">
        <f>IF($AG1317="","",INDEX(V_WBS,INDEX($AB$8:$AB$1407,$AG1317)))</f>
        <v/>
      </c>
      <c r="K1317" s="92" t="str">
        <f>IF($AG1317="","",INDEX(V_Projdef,INDEX($AB$8:$AB$1407,$AG1317)))</f>
        <v/>
      </c>
      <c r="L1317" s="92" t="str">
        <f>IF($AG1317="","",INDEX(V_Naam,INDEX($AB$8:$AB$1407,$AG1317)))</f>
        <v/>
      </c>
      <c r="M1317" s="92" t="str">
        <f>IF($AG1317="","",INDEX(V_Type,INDEX($AB$8:$AB$1407,$AG1317)))</f>
        <v/>
      </c>
      <c r="N1317" s="92" t="str">
        <f>IF($AG1317="","",INDEX(V_IFRS,INDEX($AB$8:$AB$1407,$AG1317)))</f>
        <v/>
      </c>
      <c r="O1317" s="92" t="str">
        <f>IF($AG1317="","",INDEX($AL$8:$AL$21,INDEX($AC$8:$AC$1407,$AG1317)+1))</f>
        <v/>
      </c>
      <c r="P1317" s="109" t="str">
        <f>IF($AG1317="","",INDEX($AD$8:$AD$1407,$AG1317))</f>
        <v/>
      </c>
      <c r="Q1317" s="92" t="str">
        <f>IF($AG1317="","",INDEX($AM$8:$AM$21,INDEX($AC$8:$AC$1407,$AG1317)+1))</f>
        <v/>
      </c>
      <c r="R1317" s="92" t="str">
        <f>IF($AG1317="","",IF($G1317&gt;0,P_ToelCorrectie&amp;"",""))</f>
        <v/>
      </c>
      <c r="S1317" s="15" t="str">
        <f>IF(J1317="","",J1317&amp;"|"&amp;E1317&amp;"|"&amp;F1317&amp;"|"&amp;I1317&amp;"|"&amp;O1317)</f>
        <v/>
      </c>
      <c r="T1317" s="111" t="str">
        <f>IF(S1317="","",IF(COUNTIFS(L_Sleutel,S1317,L_Actief,1)=0,"",SUMIFS(L_Waarde,L_Sleutel,S1317,L_Actief,1)))</f>
        <v/>
      </c>
      <c r="U1317" s="111">
        <f>IF(OR(S1317="",T1317=""),0,P1317-T1317)</f>
        <v>0</v>
      </c>
      <c r="AB1317" s="112" t="n">
        <v>94</v>
      </c>
      <c r="AC1317" s="112" t="n">
        <v>7</v>
      </c>
      <c r="AD1317" s="112" t="str">
        <f>VERW_Project!AW99</f>
        <v/>
      </c>
      <c r="AE1317" s="112">
        <f>IF(AND(VERW_Project!$A99&lt;&gt;"",ISNUMBER(AD1317)),1,0)</f>
        <v>0</v>
      </c>
      <c r="AF1317" s="112" t="str">
        <f>IF(AE1317=1,SUM($AE$8:AE1317),"")</f>
        <v/>
      </c>
      <c r="AG1317" t="str">
        <f>IFERROR(MATCH(1310,$AF$8:$AF$1407,0),"")</f>
        <v/>
      </c>
    </row>
    <row r="1318">
      <c r="A1318" s="92" t="str">
        <f>IF($AG1318="","",P_ImportID)</f>
        <v/>
      </c>
      <c r="B1318" s="92" t="str">
        <f>IF($AG1318="","",IF(INDEX($AN$8:$AN$21,INDEX($AC$8:$AC$1407,$AG1318)+1)="Z",P_BronZ,P_BronE))</f>
        <v/>
      </c>
      <c r="C1318" s="108" t="str">
        <f>IF($AG1318="","",P_Importdatum)</f>
        <v/>
      </c>
      <c r="D1318" s="92" t="str">
        <f>IF($AG1318="","",P_StatusVastleg)</f>
        <v/>
      </c>
      <c r="E1318" s="92" t="str">
        <f>IF($AG1318="","",P_UploadVJ)</f>
        <v/>
      </c>
      <c r="F1318" s="92" t="str">
        <f>IF($AG1318="","",P_UploadVersie)</f>
        <v/>
      </c>
      <c r="G1318" s="92" t="str">
        <f>IF($AG1318="","",IF(COUNTIFS(L_Sleutel,$S1318,L_Status,"Vastgesteld")=0,0,_xlfn.MAXIFS(L_Revisie,L_Sleutel,$S1318,L_Status,"Vastgesteld")+1))</f>
        <v/>
      </c>
      <c r="H1318" s="108" t="str">
        <f>IF($AG1318="","",P_Peildatum)</f>
        <v/>
      </c>
      <c r="I1318" s="92" t="str">
        <f>IF($AG1318="","",P_RJ+INDEX($AK$8:$AK$21,INDEX($AC$8:$AC$1407,$AG1318)+1))</f>
        <v/>
      </c>
      <c r="J1318" s="92" t="str">
        <f>IF($AG1318="","",INDEX(V_WBS,INDEX($AB$8:$AB$1407,$AG1318)))</f>
        <v/>
      </c>
      <c r="K1318" s="92" t="str">
        <f>IF($AG1318="","",INDEX(V_Projdef,INDEX($AB$8:$AB$1407,$AG1318)))</f>
        <v/>
      </c>
      <c r="L1318" s="92" t="str">
        <f>IF($AG1318="","",INDEX(V_Naam,INDEX($AB$8:$AB$1407,$AG1318)))</f>
        <v/>
      </c>
      <c r="M1318" s="92" t="str">
        <f>IF($AG1318="","",INDEX(V_Type,INDEX($AB$8:$AB$1407,$AG1318)))</f>
        <v/>
      </c>
      <c r="N1318" s="92" t="str">
        <f>IF($AG1318="","",INDEX(V_IFRS,INDEX($AB$8:$AB$1407,$AG1318)))</f>
        <v/>
      </c>
      <c r="O1318" s="92" t="str">
        <f>IF($AG1318="","",INDEX($AL$8:$AL$21,INDEX($AC$8:$AC$1407,$AG1318)+1))</f>
        <v/>
      </c>
      <c r="P1318" s="109" t="str">
        <f>IF($AG1318="","",INDEX($AD$8:$AD$1407,$AG1318))</f>
        <v/>
      </c>
      <c r="Q1318" s="92" t="str">
        <f>IF($AG1318="","",INDEX($AM$8:$AM$21,INDEX($AC$8:$AC$1407,$AG1318)+1))</f>
        <v/>
      </c>
      <c r="R1318" s="92" t="str">
        <f>IF($AG1318="","",IF($G1318&gt;0,P_ToelCorrectie&amp;"",""))</f>
        <v/>
      </c>
      <c r="S1318" s="15" t="str">
        <f>IF(J1318="","",J1318&amp;"|"&amp;E1318&amp;"|"&amp;F1318&amp;"|"&amp;I1318&amp;"|"&amp;O1318)</f>
        <v/>
      </c>
      <c r="T1318" s="111" t="str">
        <f>IF(S1318="","",IF(COUNTIFS(L_Sleutel,S1318,L_Actief,1)=0,"",SUMIFS(L_Waarde,L_Sleutel,S1318,L_Actief,1)))</f>
        <v/>
      </c>
      <c r="U1318" s="111">
        <f>IF(OR(S1318="",T1318=""),0,P1318-T1318)</f>
        <v>0</v>
      </c>
      <c r="AB1318" s="112" t="n">
        <v>94</v>
      </c>
      <c r="AC1318" s="112" t="n">
        <v>8</v>
      </c>
      <c r="AD1318" s="112" t="str">
        <f>VERW_Project!BQ99</f>
        <v/>
      </c>
      <c r="AE1318" s="112">
        <f>IF(AND(VERW_Project!$A99&lt;&gt;"",ISNUMBER(AD1318)),1,0)</f>
        <v>0</v>
      </c>
      <c r="AF1318" s="112" t="str">
        <f>IF(AE1318=1,SUM($AE$8:AE1318),"")</f>
        <v/>
      </c>
      <c r="AG1318" t="str">
        <f>IFERROR(MATCH(1311,$AF$8:$AF$1407,0),"")</f>
        <v/>
      </c>
    </row>
    <row r="1319">
      <c r="A1319" s="92" t="str">
        <f>IF($AG1319="","",P_ImportID)</f>
        <v/>
      </c>
      <c r="B1319" s="92" t="str">
        <f>IF($AG1319="","",IF(INDEX($AN$8:$AN$21,INDEX($AC$8:$AC$1407,$AG1319)+1)="Z",P_BronZ,P_BronE))</f>
        <v/>
      </c>
      <c r="C1319" s="108" t="str">
        <f>IF($AG1319="","",P_Importdatum)</f>
        <v/>
      </c>
      <c r="D1319" s="92" t="str">
        <f>IF($AG1319="","",P_StatusVastleg)</f>
        <v/>
      </c>
      <c r="E1319" s="92" t="str">
        <f>IF($AG1319="","",P_UploadVJ)</f>
        <v/>
      </c>
      <c r="F1319" s="92" t="str">
        <f>IF($AG1319="","",P_UploadVersie)</f>
        <v/>
      </c>
      <c r="G1319" s="92" t="str">
        <f>IF($AG1319="","",IF(COUNTIFS(L_Sleutel,$S1319,L_Status,"Vastgesteld")=0,0,_xlfn.MAXIFS(L_Revisie,L_Sleutel,$S1319,L_Status,"Vastgesteld")+1))</f>
        <v/>
      </c>
      <c r="H1319" s="108" t="str">
        <f>IF($AG1319="","",P_Peildatum)</f>
        <v/>
      </c>
      <c r="I1319" s="92" t="str">
        <f>IF($AG1319="","",P_RJ+INDEX($AK$8:$AK$21,INDEX($AC$8:$AC$1407,$AG1319)+1))</f>
        <v/>
      </c>
      <c r="J1319" s="92" t="str">
        <f>IF($AG1319="","",INDEX(V_WBS,INDEX($AB$8:$AB$1407,$AG1319)))</f>
        <v/>
      </c>
      <c r="K1319" s="92" t="str">
        <f>IF($AG1319="","",INDEX(V_Projdef,INDEX($AB$8:$AB$1407,$AG1319)))</f>
        <v/>
      </c>
      <c r="L1319" s="92" t="str">
        <f>IF($AG1319="","",INDEX(V_Naam,INDEX($AB$8:$AB$1407,$AG1319)))</f>
        <v/>
      </c>
      <c r="M1319" s="92" t="str">
        <f>IF($AG1319="","",INDEX(V_Type,INDEX($AB$8:$AB$1407,$AG1319)))</f>
        <v/>
      </c>
      <c r="N1319" s="92" t="str">
        <f>IF($AG1319="","",INDEX(V_IFRS,INDEX($AB$8:$AB$1407,$AG1319)))</f>
        <v/>
      </c>
      <c r="O1319" s="92" t="str">
        <f>IF($AG1319="","",INDEX($AL$8:$AL$21,INDEX($AC$8:$AC$1407,$AG1319)+1))</f>
        <v/>
      </c>
      <c r="P1319" s="109" t="str">
        <f>IF($AG1319="","",INDEX($AD$8:$AD$1407,$AG1319))</f>
        <v/>
      </c>
      <c r="Q1319" s="92" t="str">
        <f>IF($AG1319="","",INDEX($AM$8:$AM$21,INDEX($AC$8:$AC$1407,$AG1319)+1))</f>
        <v/>
      </c>
      <c r="R1319" s="92" t="str">
        <f>IF($AG1319="","",IF($G1319&gt;0,P_ToelCorrectie&amp;"",""))</f>
        <v/>
      </c>
      <c r="S1319" s="15" t="str">
        <f>IF(J1319="","",J1319&amp;"|"&amp;E1319&amp;"|"&amp;F1319&amp;"|"&amp;I1319&amp;"|"&amp;O1319)</f>
        <v/>
      </c>
      <c r="T1319" s="111" t="str">
        <f>IF(S1319="","",IF(COUNTIFS(L_Sleutel,S1319,L_Actief,1)=0,"",SUMIFS(L_Waarde,L_Sleutel,S1319,L_Actief,1)))</f>
        <v/>
      </c>
      <c r="U1319" s="111">
        <f>IF(OR(S1319="",T1319=""),0,P1319-T1319)</f>
        <v>0</v>
      </c>
      <c r="AB1319" s="112" t="n">
        <v>94</v>
      </c>
      <c r="AC1319" s="112" t="n">
        <v>9</v>
      </c>
      <c r="AD1319" s="112" t="str">
        <f>VERW_Project!BR99</f>
        <v/>
      </c>
      <c r="AE1319" s="112">
        <f>IF(AND(VERW_Project!$A99&lt;&gt;"",ISNUMBER(AD1319)),1,0)</f>
        <v>0</v>
      </c>
      <c r="AF1319" s="112" t="str">
        <f>IF(AE1319=1,SUM($AE$8:AE1319),"")</f>
        <v/>
      </c>
      <c r="AG1319" t="str">
        <f>IFERROR(MATCH(1312,$AF$8:$AF$1407,0),"")</f>
        <v/>
      </c>
    </row>
    <row r="1320">
      <c r="A1320" s="92" t="str">
        <f>IF($AG1320="","",P_ImportID)</f>
        <v/>
      </c>
      <c r="B1320" s="92" t="str">
        <f>IF($AG1320="","",IF(INDEX($AN$8:$AN$21,INDEX($AC$8:$AC$1407,$AG1320)+1)="Z",P_BronZ,P_BronE))</f>
        <v/>
      </c>
      <c r="C1320" s="108" t="str">
        <f>IF($AG1320="","",P_Importdatum)</f>
        <v/>
      </c>
      <c r="D1320" s="92" t="str">
        <f>IF($AG1320="","",P_StatusVastleg)</f>
        <v/>
      </c>
      <c r="E1320" s="92" t="str">
        <f>IF($AG1320="","",P_UploadVJ)</f>
        <v/>
      </c>
      <c r="F1320" s="92" t="str">
        <f>IF($AG1320="","",P_UploadVersie)</f>
        <v/>
      </c>
      <c r="G1320" s="92" t="str">
        <f>IF($AG1320="","",IF(COUNTIFS(L_Sleutel,$S1320,L_Status,"Vastgesteld")=0,0,_xlfn.MAXIFS(L_Revisie,L_Sleutel,$S1320,L_Status,"Vastgesteld")+1))</f>
        <v/>
      </c>
      <c r="H1320" s="108" t="str">
        <f>IF($AG1320="","",P_Peildatum)</f>
        <v/>
      </c>
      <c r="I1320" s="92" t="str">
        <f>IF($AG1320="","",P_RJ+INDEX($AK$8:$AK$21,INDEX($AC$8:$AC$1407,$AG1320)+1))</f>
        <v/>
      </c>
      <c r="J1320" s="92" t="str">
        <f>IF($AG1320="","",INDEX(V_WBS,INDEX($AB$8:$AB$1407,$AG1320)))</f>
        <v/>
      </c>
      <c r="K1320" s="92" t="str">
        <f>IF($AG1320="","",INDEX(V_Projdef,INDEX($AB$8:$AB$1407,$AG1320)))</f>
        <v/>
      </c>
      <c r="L1320" s="92" t="str">
        <f>IF($AG1320="","",INDEX(V_Naam,INDEX($AB$8:$AB$1407,$AG1320)))</f>
        <v/>
      </c>
      <c r="M1320" s="92" t="str">
        <f>IF($AG1320="","",INDEX(V_Type,INDEX($AB$8:$AB$1407,$AG1320)))</f>
        <v/>
      </c>
      <c r="N1320" s="92" t="str">
        <f>IF($AG1320="","",INDEX(V_IFRS,INDEX($AB$8:$AB$1407,$AG1320)))</f>
        <v/>
      </c>
      <c r="O1320" s="92" t="str">
        <f>IF($AG1320="","",INDEX($AL$8:$AL$21,INDEX($AC$8:$AC$1407,$AG1320)+1))</f>
        <v/>
      </c>
      <c r="P1320" s="109" t="str">
        <f>IF($AG1320="","",INDEX($AD$8:$AD$1407,$AG1320))</f>
        <v/>
      </c>
      <c r="Q1320" s="92" t="str">
        <f>IF($AG1320="","",INDEX($AM$8:$AM$21,INDEX($AC$8:$AC$1407,$AG1320)+1))</f>
        <v/>
      </c>
      <c r="R1320" s="92" t="str">
        <f>IF($AG1320="","",IF($G1320&gt;0,P_ToelCorrectie&amp;"",""))</f>
        <v/>
      </c>
      <c r="S1320" s="15" t="str">
        <f>IF(J1320="","",J1320&amp;"|"&amp;E1320&amp;"|"&amp;F1320&amp;"|"&amp;I1320&amp;"|"&amp;O1320)</f>
        <v/>
      </c>
      <c r="T1320" s="111" t="str">
        <f>IF(S1320="","",IF(COUNTIFS(L_Sleutel,S1320,L_Actief,1)=0,"",SUMIFS(L_Waarde,L_Sleutel,S1320,L_Actief,1)))</f>
        <v/>
      </c>
      <c r="U1320" s="111">
        <f>IF(OR(S1320="",T1320=""),0,P1320-T1320)</f>
        <v>0</v>
      </c>
      <c r="AB1320" s="112" t="n">
        <v>94</v>
      </c>
      <c r="AC1320" s="112" t="n">
        <v>10</v>
      </c>
      <c r="AD1320" s="112" t="str">
        <f>VERW_Project!BS99</f>
        <v/>
      </c>
      <c r="AE1320" s="112">
        <f>IF(AND(VERW_Project!$A99&lt;&gt;"",ISNUMBER(AD1320)),1,0)</f>
        <v>0</v>
      </c>
      <c r="AF1320" s="112" t="str">
        <f>IF(AE1320=1,SUM($AE$8:AE1320),"")</f>
        <v/>
      </c>
      <c r="AG1320" t="str">
        <f>IFERROR(MATCH(1313,$AF$8:$AF$1407,0),"")</f>
        <v/>
      </c>
    </row>
    <row r="1321">
      <c r="A1321" s="92" t="str">
        <f>IF($AG1321="","",P_ImportID)</f>
        <v/>
      </c>
      <c r="B1321" s="92" t="str">
        <f>IF($AG1321="","",IF(INDEX($AN$8:$AN$21,INDEX($AC$8:$AC$1407,$AG1321)+1)="Z",P_BronZ,P_BronE))</f>
        <v/>
      </c>
      <c r="C1321" s="108" t="str">
        <f>IF($AG1321="","",P_Importdatum)</f>
        <v/>
      </c>
      <c r="D1321" s="92" t="str">
        <f>IF($AG1321="","",P_StatusVastleg)</f>
        <v/>
      </c>
      <c r="E1321" s="92" t="str">
        <f>IF($AG1321="","",P_UploadVJ)</f>
        <v/>
      </c>
      <c r="F1321" s="92" t="str">
        <f>IF($AG1321="","",P_UploadVersie)</f>
        <v/>
      </c>
      <c r="G1321" s="92" t="str">
        <f>IF($AG1321="","",IF(COUNTIFS(L_Sleutel,$S1321,L_Status,"Vastgesteld")=0,0,_xlfn.MAXIFS(L_Revisie,L_Sleutel,$S1321,L_Status,"Vastgesteld")+1))</f>
        <v/>
      </c>
      <c r="H1321" s="108" t="str">
        <f>IF($AG1321="","",P_Peildatum)</f>
        <v/>
      </c>
      <c r="I1321" s="92" t="str">
        <f>IF($AG1321="","",P_RJ+INDEX($AK$8:$AK$21,INDEX($AC$8:$AC$1407,$AG1321)+1))</f>
        <v/>
      </c>
      <c r="J1321" s="92" t="str">
        <f>IF($AG1321="","",INDEX(V_WBS,INDEX($AB$8:$AB$1407,$AG1321)))</f>
        <v/>
      </c>
      <c r="K1321" s="92" t="str">
        <f>IF($AG1321="","",INDEX(V_Projdef,INDEX($AB$8:$AB$1407,$AG1321)))</f>
        <v/>
      </c>
      <c r="L1321" s="92" t="str">
        <f>IF($AG1321="","",INDEX(V_Naam,INDEX($AB$8:$AB$1407,$AG1321)))</f>
        <v/>
      </c>
      <c r="M1321" s="92" t="str">
        <f>IF($AG1321="","",INDEX(V_Type,INDEX($AB$8:$AB$1407,$AG1321)))</f>
        <v/>
      </c>
      <c r="N1321" s="92" t="str">
        <f>IF($AG1321="","",INDEX(V_IFRS,INDEX($AB$8:$AB$1407,$AG1321)))</f>
        <v/>
      </c>
      <c r="O1321" s="92" t="str">
        <f>IF($AG1321="","",INDEX($AL$8:$AL$21,INDEX($AC$8:$AC$1407,$AG1321)+1))</f>
        <v/>
      </c>
      <c r="P1321" s="109" t="str">
        <f>IF($AG1321="","",INDEX($AD$8:$AD$1407,$AG1321))</f>
        <v/>
      </c>
      <c r="Q1321" s="92" t="str">
        <f>IF($AG1321="","",INDEX($AM$8:$AM$21,INDEX($AC$8:$AC$1407,$AG1321)+1))</f>
        <v/>
      </c>
      <c r="R1321" s="92" t="str">
        <f>IF($AG1321="","",IF($G1321&gt;0,P_ToelCorrectie&amp;"",""))</f>
        <v/>
      </c>
      <c r="S1321" s="15" t="str">
        <f>IF(J1321="","",J1321&amp;"|"&amp;E1321&amp;"|"&amp;F1321&amp;"|"&amp;I1321&amp;"|"&amp;O1321)</f>
        <v/>
      </c>
      <c r="T1321" s="111" t="str">
        <f>IF(S1321="","",IF(COUNTIFS(L_Sleutel,S1321,L_Actief,1)=0,"",SUMIFS(L_Waarde,L_Sleutel,S1321,L_Actief,1)))</f>
        <v/>
      </c>
      <c r="U1321" s="111">
        <f>IF(OR(S1321="",T1321=""),0,P1321-T1321)</f>
        <v>0</v>
      </c>
      <c r="AB1321" s="112" t="n">
        <v>94</v>
      </c>
      <c r="AC1321" s="112" t="n">
        <v>11</v>
      </c>
      <c r="AD1321" s="112" t="str">
        <f>VERW_Project!BT99</f>
        <v/>
      </c>
      <c r="AE1321" s="112">
        <f>IF(AND(VERW_Project!$A99&lt;&gt;"",ISNUMBER(AD1321)),1,0)</f>
        <v>0</v>
      </c>
      <c r="AF1321" s="112" t="str">
        <f>IF(AE1321=1,SUM($AE$8:AE1321),"")</f>
        <v/>
      </c>
      <c r="AG1321" t="str">
        <f>IFERROR(MATCH(1314,$AF$8:$AF$1407,0),"")</f>
        <v/>
      </c>
    </row>
    <row r="1322">
      <c r="A1322" s="92" t="str">
        <f>IF($AG1322="","",P_ImportID)</f>
        <v/>
      </c>
      <c r="B1322" s="92" t="str">
        <f>IF($AG1322="","",IF(INDEX($AN$8:$AN$21,INDEX($AC$8:$AC$1407,$AG1322)+1)="Z",P_BronZ,P_BronE))</f>
        <v/>
      </c>
      <c r="C1322" s="108" t="str">
        <f>IF($AG1322="","",P_Importdatum)</f>
        <v/>
      </c>
      <c r="D1322" s="92" t="str">
        <f>IF($AG1322="","",P_StatusVastleg)</f>
        <v/>
      </c>
      <c r="E1322" s="92" t="str">
        <f>IF($AG1322="","",P_UploadVJ)</f>
        <v/>
      </c>
      <c r="F1322" s="92" t="str">
        <f>IF($AG1322="","",P_UploadVersie)</f>
        <v/>
      </c>
      <c r="G1322" s="92" t="str">
        <f>IF($AG1322="","",IF(COUNTIFS(L_Sleutel,$S1322,L_Status,"Vastgesteld")=0,0,_xlfn.MAXIFS(L_Revisie,L_Sleutel,$S1322,L_Status,"Vastgesteld")+1))</f>
        <v/>
      </c>
      <c r="H1322" s="108" t="str">
        <f>IF($AG1322="","",P_Peildatum)</f>
        <v/>
      </c>
      <c r="I1322" s="92" t="str">
        <f>IF($AG1322="","",P_RJ+INDEX($AK$8:$AK$21,INDEX($AC$8:$AC$1407,$AG1322)+1))</f>
        <v/>
      </c>
      <c r="J1322" s="92" t="str">
        <f>IF($AG1322="","",INDEX(V_WBS,INDEX($AB$8:$AB$1407,$AG1322)))</f>
        <v/>
      </c>
      <c r="K1322" s="92" t="str">
        <f>IF($AG1322="","",INDEX(V_Projdef,INDEX($AB$8:$AB$1407,$AG1322)))</f>
        <v/>
      </c>
      <c r="L1322" s="92" t="str">
        <f>IF($AG1322="","",INDEX(V_Naam,INDEX($AB$8:$AB$1407,$AG1322)))</f>
        <v/>
      </c>
      <c r="M1322" s="92" t="str">
        <f>IF($AG1322="","",INDEX(V_Type,INDEX($AB$8:$AB$1407,$AG1322)))</f>
        <v/>
      </c>
      <c r="N1322" s="92" t="str">
        <f>IF($AG1322="","",INDEX(V_IFRS,INDEX($AB$8:$AB$1407,$AG1322)))</f>
        <v/>
      </c>
      <c r="O1322" s="92" t="str">
        <f>IF($AG1322="","",INDEX($AL$8:$AL$21,INDEX($AC$8:$AC$1407,$AG1322)+1))</f>
        <v/>
      </c>
      <c r="P1322" s="109" t="str">
        <f>IF($AG1322="","",INDEX($AD$8:$AD$1407,$AG1322))</f>
        <v/>
      </c>
      <c r="Q1322" s="92" t="str">
        <f>IF($AG1322="","",INDEX($AM$8:$AM$21,INDEX($AC$8:$AC$1407,$AG1322)+1))</f>
        <v/>
      </c>
      <c r="R1322" s="92" t="str">
        <f>IF($AG1322="","",IF($G1322&gt;0,P_ToelCorrectie&amp;"",""))</f>
        <v/>
      </c>
      <c r="S1322" s="15" t="str">
        <f>IF(J1322="","",J1322&amp;"|"&amp;E1322&amp;"|"&amp;F1322&amp;"|"&amp;I1322&amp;"|"&amp;O1322)</f>
        <v/>
      </c>
      <c r="T1322" s="111" t="str">
        <f>IF(S1322="","",IF(COUNTIFS(L_Sleutel,S1322,L_Actief,1)=0,"",SUMIFS(L_Waarde,L_Sleutel,S1322,L_Actief,1)))</f>
        <v/>
      </c>
      <c r="U1322" s="111">
        <f>IF(OR(S1322="",T1322=""),0,P1322-T1322)</f>
        <v>0</v>
      </c>
      <c r="AB1322" s="112" t="n">
        <v>94</v>
      </c>
      <c r="AC1322" s="112" t="n">
        <v>12</v>
      </c>
      <c r="AD1322" s="112" t="str">
        <f>VERW_Project!BU99</f>
        <v/>
      </c>
      <c r="AE1322" s="112">
        <f>IF(AND(VERW_Project!$A99&lt;&gt;"",ISNUMBER(AD1322)),1,0)</f>
        <v>0</v>
      </c>
      <c r="AF1322" s="112" t="str">
        <f>IF(AE1322=1,SUM($AE$8:AE1322),"")</f>
        <v/>
      </c>
      <c r="AG1322" t="str">
        <f>IFERROR(MATCH(1315,$AF$8:$AF$1407,0),"")</f>
        <v/>
      </c>
    </row>
    <row r="1323">
      <c r="A1323" s="92" t="str">
        <f>IF($AG1323="","",P_ImportID)</f>
        <v/>
      </c>
      <c r="B1323" s="92" t="str">
        <f>IF($AG1323="","",IF(INDEX($AN$8:$AN$21,INDEX($AC$8:$AC$1407,$AG1323)+1)="Z",P_BronZ,P_BronE))</f>
        <v/>
      </c>
      <c r="C1323" s="108" t="str">
        <f>IF($AG1323="","",P_Importdatum)</f>
        <v/>
      </c>
      <c r="D1323" s="92" t="str">
        <f>IF($AG1323="","",P_StatusVastleg)</f>
        <v/>
      </c>
      <c r="E1323" s="92" t="str">
        <f>IF($AG1323="","",P_UploadVJ)</f>
        <v/>
      </c>
      <c r="F1323" s="92" t="str">
        <f>IF($AG1323="","",P_UploadVersie)</f>
        <v/>
      </c>
      <c r="G1323" s="92" t="str">
        <f>IF($AG1323="","",IF(COUNTIFS(L_Sleutel,$S1323,L_Status,"Vastgesteld")=0,0,_xlfn.MAXIFS(L_Revisie,L_Sleutel,$S1323,L_Status,"Vastgesteld")+1))</f>
        <v/>
      </c>
      <c r="H1323" s="108" t="str">
        <f>IF($AG1323="","",P_Peildatum)</f>
        <v/>
      </c>
      <c r="I1323" s="92" t="str">
        <f>IF($AG1323="","",P_RJ+INDEX($AK$8:$AK$21,INDEX($AC$8:$AC$1407,$AG1323)+1))</f>
        <v/>
      </c>
      <c r="J1323" s="92" t="str">
        <f>IF($AG1323="","",INDEX(V_WBS,INDEX($AB$8:$AB$1407,$AG1323)))</f>
        <v/>
      </c>
      <c r="K1323" s="92" t="str">
        <f>IF($AG1323="","",INDEX(V_Projdef,INDEX($AB$8:$AB$1407,$AG1323)))</f>
        <v/>
      </c>
      <c r="L1323" s="92" t="str">
        <f>IF($AG1323="","",INDEX(V_Naam,INDEX($AB$8:$AB$1407,$AG1323)))</f>
        <v/>
      </c>
      <c r="M1323" s="92" t="str">
        <f>IF($AG1323="","",INDEX(V_Type,INDEX($AB$8:$AB$1407,$AG1323)))</f>
        <v/>
      </c>
      <c r="N1323" s="92" t="str">
        <f>IF($AG1323="","",INDEX(V_IFRS,INDEX($AB$8:$AB$1407,$AG1323)))</f>
        <v/>
      </c>
      <c r="O1323" s="92" t="str">
        <f>IF($AG1323="","",INDEX($AL$8:$AL$21,INDEX($AC$8:$AC$1407,$AG1323)+1))</f>
        <v/>
      </c>
      <c r="P1323" s="109" t="str">
        <f>IF($AG1323="","",INDEX($AD$8:$AD$1407,$AG1323))</f>
        <v/>
      </c>
      <c r="Q1323" s="92" t="str">
        <f>IF($AG1323="","",INDEX($AM$8:$AM$21,INDEX($AC$8:$AC$1407,$AG1323)+1))</f>
        <v/>
      </c>
      <c r="R1323" s="92" t="str">
        <f>IF($AG1323="","",IF($G1323&gt;0,P_ToelCorrectie&amp;"",""))</f>
        <v/>
      </c>
      <c r="S1323" s="15" t="str">
        <f>IF(J1323="","",J1323&amp;"|"&amp;E1323&amp;"|"&amp;F1323&amp;"|"&amp;I1323&amp;"|"&amp;O1323)</f>
        <v/>
      </c>
      <c r="T1323" s="111" t="str">
        <f>IF(S1323="","",IF(COUNTIFS(L_Sleutel,S1323,L_Actief,1)=0,"",SUMIFS(L_Waarde,L_Sleutel,S1323,L_Actief,1)))</f>
        <v/>
      </c>
      <c r="U1323" s="111">
        <f>IF(OR(S1323="",T1323=""),0,P1323-T1323)</f>
        <v>0</v>
      </c>
      <c r="AB1323" s="112" t="n">
        <v>94</v>
      </c>
      <c r="AC1323" s="112" t="n">
        <v>13</v>
      </c>
      <c r="AD1323" s="112" t="str">
        <f>VERW_Project!BX99</f>
        <v/>
      </c>
      <c r="AE1323" s="112">
        <f>IF(AND(VERW_Project!$A99&lt;&gt;"",ISNUMBER(AD1323)),1,0)</f>
        <v>0</v>
      </c>
      <c r="AF1323" s="112" t="str">
        <f>IF(AE1323=1,SUM($AE$8:AE1323),"")</f>
        <v/>
      </c>
      <c r="AG1323" t="str">
        <f>IFERROR(MATCH(1316,$AF$8:$AF$1407,0),"")</f>
        <v/>
      </c>
    </row>
    <row r="1324">
      <c r="A1324" s="92" t="str">
        <f>IF($AG1324="","",P_ImportID)</f>
        <v/>
      </c>
      <c r="B1324" s="92" t="str">
        <f>IF($AG1324="","",IF(INDEX($AN$8:$AN$21,INDEX($AC$8:$AC$1407,$AG1324)+1)="Z",P_BronZ,P_BronE))</f>
        <v/>
      </c>
      <c r="C1324" s="108" t="str">
        <f>IF($AG1324="","",P_Importdatum)</f>
        <v/>
      </c>
      <c r="D1324" s="92" t="str">
        <f>IF($AG1324="","",P_StatusVastleg)</f>
        <v/>
      </c>
      <c r="E1324" s="92" t="str">
        <f>IF($AG1324="","",P_UploadVJ)</f>
        <v/>
      </c>
      <c r="F1324" s="92" t="str">
        <f>IF($AG1324="","",P_UploadVersie)</f>
        <v/>
      </c>
      <c r="G1324" s="92" t="str">
        <f>IF($AG1324="","",IF(COUNTIFS(L_Sleutel,$S1324,L_Status,"Vastgesteld")=0,0,_xlfn.MAXIFS(L_Revisie,L_Sleutel,$S1324,L_Status,"Vastgesteld")+1))</f>
        <v/>
      </c>
      <c r="H1324" s="108" t="str">
        <f>IF($AG1324="","",P_Peildatum)</f>
        <v/>
      </c>
      <c r="I1324" s="92" t="str">
        <f>IF($AG1324="","",P_RJ+INDEX($AK$8:$AK$21,INDEX($AC$8:$AC$1407,$AG1324)+1))</f>
        <v/>
      </c>
      <c r="J1324" s="92" t="str">
        <f>IF($AG1324="","",INDEX(V_WBS,INDEX($AB$8:$AB$1407,$AG1324)))</f>
        <v/>
      </c>
      <c r="K1324" s="92" t="str">
        <f>IF($AG1324="","",INDEX(V_Projdef,INDEX($AB$8:$AB$1407,$AG1324)))</f>
        <v/>
      </c>
      <c r="L1324" s="92" t="str">
        <f>IF($AG1324="","",INDEX(V_Naam,INDEX($AB$8:$AB$1407,$AG1324)))</f>
        <v/>
      </c>
      <c r="M1324" s="92" t="str">
        <f>IF($AG1324="","",INDEX(V_Type,INDEX($AB$8:$AB$1407,$AG1324)))</f>
        <v/>
      </c>
      <c r="N1324" s="92" t="str">
        <f>IF($AG1324="","",INDEX(V_IFRS,INDEX($AB$8:$AB$1407,$AG1324)))</f>
        <v/>
      </c>
      <c r="O1324" s="92" t="str">
        <f>IF($AG1324="","",INDEX($AL$8:$AL$21,INDEX($AC$8:$AC$1407,$AG1324)+1))</f>
        <v/>
      </c>
      <c r="P1324" s="109" t="str">
        <f>IF($AG1324="","",INDEX($AD$8:$AD$1407,$AG1324))</f>
        <v/>
      </c>
      <c r="Q1324" s="92" t="str">
        <f>IF($AG1324="","",INDEX($AM$8:$AM$21,INDEX($AC$8:$AC$1407,$AG1324)+1))</f>
        <v/>
      </c>
      <c r="R1324" s="92" t="str">
        <f>IF($AG1324="","",IF($G1324&gt;0,P_ToelCorrectie&amp;"",""))</f>
        <v/>
      </c>
      <c r="S1324" s="15" t="str">
        <f>IF(J1324="","",J1324&amp;"|"&amp;E1324&amp;"|"&amp;F1324&amp;"|"&amp;I1324&amp;"|"&amp;O1324)</f>
        <v/>
      </c>
      <c r="T1324" s="111" t="str">
        <f>IF(S1324="","",IF(COUNTIFS(L_Sleutel,S1324,L_Actief,1)=0,"",SUMIFS(L_Waarde,L_Sleutel,S1324,L_Actief,1)))</f>
        <v/>
      </c>
      <c r="U1324" s="111">
        <f>IF(OR(S1324="",T1324=""),0,P1324-T1324)</f>
        <v>0</v>
      </c>
      <c r="AB1324" s="112" t="n">
        <v>95</v>
      </c>
      <c r="AC1324" s="112" t="n">
        <v>0</v>
      </c>
      <c r="AD1324" s="112" t="str">
        <f>VERW_Project!P100</f>
        <v/>
      </c>
      <c r="AE1324" s="112">
        <f>IF(AND(VERW_Project!$A100&lt;&gt;"",ISNUMBER(AD1324)),1,0)</f>
        <v>0</v>
      </c>
      <c r="AF1324" s="112" t="str">
        <f>IF(AE1324=1,SUM($AE$8:AE1324),"")</f>
        <v/>
      </c>
      <c r="AG1324" t="str">
        <f>IFERROR(MATCH(1317,$AF$8:$AF$1407,0),"")</f>
        <v/>
      </c>
    </row>
    <row r="1325">
      <c r="A1325" s="92" t="str">
        <f>IF($AG1325="","",P_ImportID)</f>
        <v/>
      </c>
      <c r="B1325" s="92" t="str">
        <f>IF($AG1325="","",IF(INDEX($AN$8:$AN$21,INDEX($AC$8:$AC$1407,$AG1325)+1)="Z",P_BronZ,P_BronE))</f>
        <v/>
      </c>
      <c r="C1325" s="108" t="str">
        <f>IF($AG1325="","",P_Importdatum)</f>
        <v/>
      </c>
      <c r="D1325" s="92" t="str">
        <f>IF($AG1325="","",P_StatusVastleg)</f>
        <v/>
      </c>
      <c r="E1325" s="92" t="str">
        <f>IF($AG1325="","",P_UploadVJ)</f>
        <v/>
      </c>
      <c r="F1325" s="92" t="str">
        <f>IF($AG1325="","",P_UploadVersie)</f>
        <v/>
      </c>
      <c r="G1325" s="92" t="str">
        <f>IF($AG1325="","",IF(COUNTIFS(L_Sleutel,$S1325,L_Status,"Vastgesteld")=0,0,_xlfn.MAXIFS(L_Revisie,L_Sleutel,$S1325,L_Status,"Vastgesteld")+1))</f>
        <v/>
      </c>
      <c r="H1325" s="108" t="str">
        <f>IF($AG1325="","",P_Peildatum)</f>
        <v/>
      </c>
      <c r="I1325" s="92" t="str">
        <f>IF($AG1325="","",P_RJ+INDEX($AK$8:$AK$21,INDEX($AC$8:$AC$1407,$AG1325)+1))</f>
        <v/>
      </c>
      <c r="J1325" s="92" t="str">
        <f>IF($AG1325="","",INDEX(V_WBS,INDEX($AB$8:$AB$1407,$AG1325)))</f>
        <v/>
      </c>
      <c r="K1325" s="92" t="str">
        <f>IF($AG1325="","",INDEX(V_Projdef,INDEX($AB$8:$AB$1407,$AG1325)))</f>
        <v/>
      </c>
      <c r="L1325" s="92" t="str">
        <f>IF($AG1325="","",INDEX(V_Naam,INDEX($AB$8:$AB$1407,$AG1325)))</f>
        <v/>
      </c>
      <c r="M1325" s="92" t="str">
        <f>IF($AG1325="","",INDEX(V_Type,INDEX($AB$8:$AB$1407,$AG1325)))</f>
        <v/>
      </c>
      <c r="N1325" s="92" t="str">
        <f>IF($AG1325="","",INDEX(V_IFRS,INDEX($AB$8:$AB$1407,$AG1325)))</f>
        <v/>
      </c>
      <c r="O1325" s="92" t="str">
        <f>IF($AG1325="","",INDEX($AL$8:$AL$21,INDEX($AC$8:$AC$1407,$AG1325)+1))</f>
        <v/>
      </c>
      <c r="P1325" s="109" t="str">
        <f>IF($AG1325="","",INDEX($AD$8:$AD$1407,$AG1325))</f>
        <v/>
      </c>
      <c r="Q1325" s="92" t="str">
        <f>IF($AG1325="","",INDEX($AM$8:$AM$21,INDEX($AC$8:$AC$1407,$AG1325)+1))</f>
        <v/>
      </c>
      <c r="R1325" s="92" t="str">
        <f>IF($AG1325="","",IF($G1325&gt;0,P_ToelCorrectie&amp;"",""))</f>
        <v/>
      </c>
      <c r="S1325" s="15" t="str">
        <f>IF(J1325="","",J1325&amp;"|"&amp;E1325&amp;"|"&amp;F1325&amp;"|"&amp;I1325&amp;"|"&amp;O1325)</f>
        <v/>
      </c>
      <c r="T1325" s="111" t="str">
        <f>IF(S1325="","",IF(COUNTIFS(L_Sleutel,S1325,L_Actief,1)=0,"",SUMIFS(L_Waarde,L_Sleutel,S1325,L_Actief,1)))</f>
        <v/>
      </c>
      <c r="U1325" s="111">
        <f>IF(OR(S1325="",T1325=""),0,P1325-T1325)</f>
        <v>0</v>
      </c>
      <c r="AB1325" s="112" t="n">
        <v>95</v>
      </c>
      <c r="AC1325" s="112" t="n">
        <v>1</v>
      </c>
      <c r="AD1325" s="112" t="str">
        <f>VERW_Project!Q100</f>
        <v/>
      </c>
      <c r="AE1325" s="112">
        <f>IF(AND(VERW_Project!$A100&lt;&gt;"",ISNUMBER(AD1325)),1,0)</f>
        <v>0</v>
      </c>
      <c r="AF1325" s="112" t="str">
        <f>IF(AE1325=1,SUM($AE$8:AE1325),"")</f>
        <v/>
      </c>
      <c r="AG1325" t="str">
        <f>IFERROR(MATCH(1318,$AF$8:$AF$1407,0),"")</f>
        <v/>
      </c>
    </row>
    <row r="1326">
      <c r="A1326" s="92" t="str">
        <f>IF($AG1326="","",P_ImportID)</f>
        <v/>
      </c>
      <c r="B1326" s="92" t="str">
        <f>IF($AG1326="","",IF(INDEX($AN$8:$AN$21,INDEX($AC$8:$AC$1407,$AG1326)+1)="Z",P_BronZ,P_BronE))</f>
        <v/>
      </c>
      <c r="C1326" s="108" t="str">
        <f>IF($AG1326="","",P_Importdatum)</f>
        <v/>
      </c>
      <c r="D1326" s="92" t="str">
        <f>IF($AG1326="","",P_StatusVastleg)</f>
        <v/>
      </c>
      <c r="E1326" s="92" t="str">
        <f>IF($AG1326="","",P_UploadVJ)</f>
        <v/>
      </c>
      <c r="F1326" s="92" t="str">
        <f>IF($AG1326="","",P_UploadVersie)</f>
        <v/>
      </c>
      <c r="G1326" s="92" t="str">
        <f>IF($AG1326="","",IF(COUNTIFS(L_Sleutel,$S1326,L_Status,"Vastgesteld")=0,0,_xlfn.MAXIFS(L_Revisie,L_Sleutel,$S1326,L_Status,"Vastgesteld")+1))</f>
        <v/>
      </c>
      <c r="H1326" s="108" t="str">
        <f>IF($AG1326="","",P_Peildatum)</f>
        <v/>
      </c>
      <c r="I1326" s="92" t="str">
        <f>IF($AG1326="","",P_RJ+INDEX($AK$8:$AK$21,INDEX($AC$8:$AC$1407,$AG1326)+1))</f>
        <v/>
      </c>
      <c r="J1326" s="92" t="str">
        <f>IF($AG1326="","",INDEX(V_WBS,INDEX($AB$8:$AB$1407,$AG1326)))</f>
        <v/>
      </c>
      <c r="K1326" s="92" t="str">
        <f>IF($AG1326="","",INDEX(V_Projdef,INDEX($AB$8:$AB$1407,$AG1326)))</f>
        <v/>
      </c>
      <c r="L1326" s="92" t="str">
        <f>IF($AG1326="","",INDEX(V_Naam,INDEX($AB$8:$AB$1407,$AG1326)))</f>
        <v/>
      </c>
      <c r="M1326" s="92" t="str">
        <f>IF($AG1326="","",INDEX(V_Type,INDEX($AB$8:$AB$1407,$AG1326)))</f>
        <v/>
      </c>
      <c r="N1326" s="92" t="str">
        <f>IF($AG1326="","",INDEX(V_IFRS,INDEX($AB$8:$AB$1407,$AG1326)))</f>
        <v/>
      </c>
      <c r="O1326" s="92" t="str">
        <f>IF($AG1326="","",INDEX($AL$8:$AL$21,INDEX($AC$8:$AC$1407,$AG1326)+1))</f>
        <v/>
      </c>
      <c r="P1326" s="109" t="str">
        <f>IF($AG1326="","",INDEX($AD$8:$AD$1407,$AG1326))</f>
        <v/>
      </c>
      <c r="Q1326" s="92" t="str">
        <f>IF($AG1326="","",INDEX($AM$8:$AM$21,INDEX($AC$8:$AC$1407,$AG1326)+1))</f>
        <v/>
      </c>
      <c r="R1326" s="92" t="str">
        <f>IF($AG1326="","",IF($G1326&gt;0,P_ToelCorrectie&amp;"",""))</f>
        <v/>
      </c>
      <c r="S1326" s="15" t="str">
        <f>IF(J1326="","",J1326&amp;"|"&amp;E1326&amp;"|"&amp;F1326&amp;"|"&amp;I1326&amp;"|"&amp;O1326)</f>
        <v/>
      </c>
      <c r="T1326" s="111" t="str">
        <f>IF(S1326="","",IF(COUNTIFS(L_Sleutel,S1326,L_Actief,1)=0,"",SUMIFS(L_Waarde,L_Sleutel,S1326,L_Actief,1)))</f>
        <v/>
      </c>
      <c r="U1326" s="111">
        <f>IF(OR(S1326="",T1326=""),0,P1326-T1326)</f>
        <v>0</v>
      </c>
      <c r="AB1326" s="112" t="n">
        <v>95</v>
      </c>
      <c r="AC1326" s="112" t="n">
        <v>2</v>
      </c>
      <c r="AD1326" s="112" t="str">
        <f>VERW_Project!L100</f>
        <v/>
      </c>
      <c r="AE1326" s="112">
        <f>IF(AND(VERW_Project!$A100&lt;&gt;"",ISNUMBER(AD1326)),1,0)</f>
        <v>0</v>
      </c>
      <c r="AF1326" s="112" t="str">
        <f>IF(AE1326=1,SUM($AE$8:AE1326),"")</f>
        <v/>
      </c>
      <c r="AG1326" t="str">
        <f>IFERROR(MATCH(1319,$AF$8:$AF$1407,0),"")</f>
        <v/>
      </c>
    </row>
    <row r="1327">
      <c r="A1327" s="92" t="str">
        <f>IF($AG1327="","",P_ImportID)</f>
        <v/>
      </c>
      <c r="B1327" s="92" t="str">
        <f>IF($AG1327="","",IF(INDEX($AN$8:$AN$21,INDEX($AC$8:$AC$1407,$AG1327)+1)="Z",P_BronZ,P_BronE))</f>
        <v/>
      </c>
      <c r="C1327" s="108" t="str">
        <f>IF($AG1327="","",P_Importdatum)</f>
        <v/>
      </c>
      <c r="D1327" s="92" t="str">
        <f>IF($AG1327="","",P_StatusVastleg)</f>
        <v/>
      </c>
      <c r="E1327" s="92" t="str">
        <f>IF($AG1327="","",P_UploadVJ)</f>
        <v/>
      </c>
      <c r="F1327" s="92" t="str">
        <f>IF($AG1327="","",P_UploadVersie)</f>
        <v/>
      </c>
      <c r="G1327" s="92" t="str">
        <f>IF($AG1327="","",IF(COUNTIFS(L_Sleutel,$S1327,L_Status,"Vastgesteld")=0,0,_xlfn.MAXIFS(L_Revisie,L_Sleutel,$S1327,L_Status,"Vastgesteld")+1))</f>
        <v/>
      </c>
      <c r="H1327" s="108" t="str">
        <f>IF($AG1327="","",P_Peildatum)</f>
        <v/>
      </c>
      <c r="I1327" s="92" t="str">
        <f>IF($AG1327="","",P_RJ+INDEX($AK$8:$AK$21,INDEX($AC$8:$AC$1407,$AG1327)+1))</f>
        <v/>
      </c>
      <c r="J1327" s="92" t="str">
        <f>IF($AG1327="","",INDEX(V_WBS,INDEX($AB$8:$AB$1407,$AG1327)))</f>
        <v/>
      </c>
      <c r="K1327" s="92" t="str">
        <f>IF($AG1327="","",INDEX(V_Projdef,INDEX($AB$8:$AB$1407,$AG1327)))</f>
        <v/>
      </c>
      <c r="L1327" s="92" t="str">
        <f>IF($AG1327="","",INDEX(V_Naam,INDEX($AB$8:$AB$1407,$AG1327)))</f>
        <v/>
      </c>
      <c r="M1327" s="92" t="str">
        <f>IF($AG1327="","",INDEX(V_Type,INDEX($AB$8:$AB$1407,$AG1327)))</f>
        <v/>
      </c>
      <c r="N1327" s="92" t="str">
        <f>IF($AG1327="","",INDEX(V_IFRS,INDEX($AB$8:$AB$1407,$AG1327)))</f>
        <v/>
      </c>
      <c r="O1327" s="92" t="str">
        <f>IF($AG1327="","",INDEX($AL$8:$AL$21,INDEX($AC$8:$AC$1407,$AG1327)+1))</f>
        <v/>
      </c>
      <c r="P1327" s="109" t="str">
        <f>IF($AG1327="","",INDEX($AD$8:$AD$1407,$AG1327))</f>
        <v/>
      </c>
      <c r="Q1327" s="92" t="str">
        <f>IF($AG1327="","",INDEX($AM$8:$AM$21,INDEX($AC$8:$AC$1407,$AG1327)+1))</f>
        <v/>
      </c>
      <c r="R1327" s="92" t="str">
        <f>IF($AG1327="","",IF($G1327&gt;0,P_ToelCorrectie&amp;"",""))</f>
        <v/>
      </c>
      <c r="S1327" s="15" t="str">
        <f>IF(J1327="","",J1327&amp;"|"&amp;E1327&amp;"|"&amp;F1327&amp;"|"&amp;I1327&amp;"|"&amp;O1327)</f>
        <v/>
      </c>
      <c r="T1327" s="111" t="str">
        <f>IF(S1327="","",IF(COUNTIFS(L_Sleutel,S1327,L_Actief,1)=0,"",SUMIFS(L_Waarde,L_Sleutel,S1327,L_Actief,1)))</f>
        <v/>
      </c>
      <c r="U1327" s="111">
        <f>IF(OR(S1327="",T1327=""),0,P1327-T1327)</f>
        <v>0</v>
      </c>
      <c r="AB1327" s="112" t="n">
        <v>95</v>
      </c>
      <c r="AC1327" s="112" t="n">
        <v>3</v>
      </c>
      <c r="AD1327" s="112" t="str">
        <f>VERW_Project!M100</f>
        <v/>
      </c>
      <c r="AE1327" s="112">
        <f>IF(AND(VERW_Project!$A100&lt;&gt;"",ISNUMBER(AD1327)),1,0)</f>
        <v>0</v>
      </c>
      <c r="AF1327" s="112" t="str">
        <f>IF(AE1327=1,SUM($AE$8:AE1327),"")</f>
        <v/>
      </c>
      <c r="AG1327" t="str">
        <f>IFERROR(MATCH(1320,$AF$8:$AF$1407,0),"")</f>
        <v/>
      </c>
    </row>
    <row r="1328">
      <c r="A1328" s="92" t="str">
        <f>IF($AG1328="","",P_ImportID)</f>
        <v/>
      </c>
      <c r="B1328" s="92" t="str">
        <f>IF($AG1328="","",IF(INDEX($AN$8:$AN$21,INDEX($AC$8:$AC$1407,$AG1328)+1)="Z",P_BronZ,P_BronE))</f>
        <v/>
      </c>
      <c r="C1328" s="108" t="str">
        <f>IF($AG1328="","",P_Importdatum)</f>
        <v/>
      </c>
      <c r="D1328" s="92" t="str">
        <f>IF($AG1328="","",P_StatusVastleg)</f>
        <v/>
      </c>
      <c r="E1328" s="92" t="str">
        <f>IF($AG1328="","",P_UploadVJ)</f>
        <v/>
      </c>
      <c r="F1328" s="92" t="str">
        <f>IF($AG1328="","",P_UploadVersie)</f>
        <v/>
      </c>
      <c r="G1328" s="92" t="str">
        <f>IF($AG1328="","",IF(COUNTIFS(L_Sleutel,$S1328,L_Status,"Vastgesteld")=0,0,_xlfn.MAXIFS(L_Revisie,L_Sleutel,$S1328,L_Status,"Vastgesteld")+1))</f>
        <v/>
      </c>
      <c r="H1328" s="108" t="str">
        <f>IF($AG1328="","",P_Peildatum)</f>
        <v/>
      </c>
      <c r="I1328" s="92" t="str">
        <f>IF($AG1328="","",P_RJ+INDEX($AK$8:$AK$21,INDEX($AC$8:$AC$1407,$AG1328)+1))</f>
        <v/>
      </c>
      <c r="J1328" s="92" t="str">
        <f>IF($AG1328="","",INDEX(V_WBS,INDEX($AB$8:$AB$1407,$AG1328)))</f>
        <v/>
      </c>
      <c r="K1328" s="92" t="str">
        <f>IF($AG1328="","",INDEX(V_Projdef,INDEX($AB$8:$AB$1407,$AG1328)))</f>
        <v/>
      </c>
      <c r="L1328" s="92" t="str">
        <f>IF($AG1328="","",INDEX(V_Naam,INDEX($AB$8:$AB$1407,$AG1328)))</f>
        <v/>
      </c>
      <c r="M1328" s="92" t="str">
        <f>IF($AG1328="","",INDEX(V_Type,INDEX($AB$8:$AB$1407,$AG1328)))</f>
        <v/>
      </c>
      <c r="N1328" s="92" t="str">
        <f>IF($AG1328="","",INDEX(V_IFRS,INDEX($AB$8:$AB$1407,$AG1328)))</f>
        <v/>
      </c>
      <c r="O1328" s="92" t="str">
        <f>IF($AG1328="","",INDEX($AL$8:$AL$21,INDEX($AC$8:$AC$1407,$AG1328)+1))</f>
        <v/>
      </c>
      <c r="P1328" s="109" t="str">
        <f>IF($AG1328="","",INDEX($AD$8:$AD$1407,$AG1328))</f>
        <v/>
      </c>
      <c r="Q1328" s="92" t="str">
        <f>IF($AG1328="","",INDEX($AM$8:$AM$21,INDEX($AC$8:$AC$1407,$AG1328)+1))</f>
        <v/>
      </c>
      <c r="R1328" s="92" t="str">
        <f>IF($AG1328="","",IF($G1328&gt;0,P_ToelCorrectie&amp;"",""))</f>
        <v/>
      </c>
      <c r="S1328" s="15" t="str">
        <f>IF(J1328="","",J1328&amp;"|"&amp;E1328&amp;"|"&amp;F1328&amp;"|"&amp;I1328&amp;"|"&amp;O1328)</f>
        <v/>
      </c>
      <c r="T1328" s="111" t="str">
        <f>IF(S1328="","",IF(COUNTIFS(L_Sleutel,S1328,L_Actief,1)=0,"",SUMIFS(L_Waarde,L_Sleutel,S1328,L_Actief,1)))</f>
        <v/>
      </c>
      <c r="U1328" s="111">
        <f>IF(OR(S1328="",T1328=""),0,P1328-T1328)</f>
        <v>0</v>
      </c>
      <c r="AB1328" s="112" t="n">
        <v>95</v>
      </c>
      <c r="AC1328" s="112" t="n">
        <v>4</v>
      </c>
      <c r="AD1328" s="112" t="str">
        <f>VERW_Project!R100</f>
        <v/>
      </c>
      <c r="AE1328" s="112">
        <f>IF(AND(VERW_Project!$A100&lt;&gt;"",ISNUMBER(AD1328)),1,0)</f>
        <v>0</v>
      </c>
      <c r="AF1328" s="112" t="str">
        <f>IF(AE1328=1,SUM($AE$8:AE1328),"")</f>
        <v/>
      </c>
      <c r="AG1328" t="str">
        <f>IFERROR(MATCH(1321,$AF$8:$AF$1407,0),"")</f>
        <v/>
      </c>
    </row>
    <row r="1329">
      <c r="A1329" s="92" t="str">
        <f>IF($AG1329="","",P_ImportID)</f>
        <v/>
      </c>
      <c r="B1329" s="92" t="str">
        <f>IF($AG1329="","",IF(INDEX($AN$8:$AN$21,INDEX($AC$8:$AC$1407,$AG1329)+1)="Z",P_BronZ,P_BronE))</f>
        <v/>
      </c>
      <c r="C1329" s="108" t="str">
        <f>IF($AG1329="","",P_Importdatum)</f>
        <v/>
      </c>
      <c r="D1329" s="92" t="str">
        <f>IF($AG1329="","",P_StatusVastleg)</f>
        <v/>
      </c>
      <c r="E1329" s="92" t="str">
        <f>IF($AG1329="","",P_UploadVJ)</f>
        <v/>
      </c>
      <c r="F1329" s="92" t="str">
        <f>IF($AG1329="","",P_UploadVersie)</f>
        <v/>
      </c>
      <c r="G1329" s="92" t="str">
        <f>IF($AG1329="","",IF(COUNTIFS(L_Sleutel,$S1329,L_Status,"Vastgesteld")=0,0,_xlfn.MAXIFS(L_Revisie,L_Sleutel,$S1329,L_Status,"Vastgesteld")+1))</f>
        <v/>
      </c>
      <c r="H1329" s="108" t="str">
        <f>IF($AG1329="","",P_Peildatum)</f>
        <v/>
      </c>
      <c r="I1329" s="92" t="str">
        <f>IF($AG1329="","",P_RJ+INDEX($AK$8:$AK$21,INDEX($AC$8:$AC$1407,$AG1329)+1))</f>
        <v/>
      </c>
      <c r="J1329" s="92" t="str">
        <f>IF($AG1329="","",INDEX(V_WBS,INDEX($AB$8:$AB$1407,$AG1329)))</f>
        <v/>
      </c>
      <c r="K1329" s="92" t="str">
        <f>IF($AG1329="","",INDEX(V_Projdef,INDEX($AB$8:$AB$1407,$AG1329)))</f>
        <v/>
      </c>
      <c r="L1329" s="92" t="str">
        <f>IF($AG1329="","",INDEX(V_Naam,INDEX($AB$8:$AB$1407,$AG1329)))</f>
        <v/>
      </c>
      <c r="M1329" s="92" t="str">
        <f>IF($AG1329="","",INDEX(V_Type,INDEX($AB$8:$AB$1407,$AG1329)))</f>
        <v/>
      </c>
      <c r="N1329" s="92" t="str">
        <f>IF($AG1329="","",INDEX(V_IFRS,INDEX($AB$8:$AB$1407,$AG1329)))</f>
        <v/>
      </c>
      <c r="O1329" s="92" t="str">
        <f>IF($AG1329="","",INDEX($AL$8:$AL$21,INDEX($AC$8:$AC$1407,$AG1329)+1))</f>
        <v/>
      </c>
      <c r="P1329" s="109" t="str">
        <f>IF($AG1329="","",INDEX($AD$8:$AD$1407,$AG1329))</f>
        <v/>
      </c>
      <c r="Q1329" s="92" t="str">
        <f>IF($AG1329="","",INDEX($AM$8:$AM$21,INDEX($AC$8:$AC$1407,$AG1329)+1))</f>
        <v/>
      </c>
      <c r="R1329" s="92" t="str">
        <f>IF($AG1329="","",IF($G1329&gt;0,P_ToelCorrectie&amp;"",""))</f>
        <v/>
      </c>
      <c r="S1329" s="15" t="str">
        <f>IF(J1329="","",J1329&amp;"|"&amp;E1329&amp;"|"&amp;F1329&amp;"|"&amp;I1329&amp;"|"&amp;O1329)</f>
        <v/>
      </c>
      <c r="T1329" s="111" t="str">
        <f>IF(S1329="","",IF(COUNTIFS(L_Sleutel,S1329,L_Actief,1)=0,"",SUMIFS(L_Waarde,L_Sleutel,S1329,L_Actief,1)))</f>
        <v/>
      </c>
      <c r="U1329" s="111">
        <f>IF(OR(S1329="",T1329=""),0,P1329-T1329)</f>
        <v>0</v>
      </c>
      <c r="AB1329" s="112" t="n">
        <v>95</v>
      </c>
      <c r="AC1329" s="112" t="n">
        <v>5</v>
      </c>
      <c r="AD1329" s="112" t="str">
        <f>VERW_Project!S100</f>
        <v/>
      </c>
      <c r="AE1329" s="112">
        <f>IF(AND(VERW_Project!$A100&lt;&gt;"",ISNUMBER(AD1329)),1,0)</f>
        <v>0</v>
      </c>
      <c r="AF1329" s="112" t="str">
        <f>IF(AE1329=1,SUM($AE$8:AE1329),"")</f>
        <v/>
      </c>
      <c r="AG1329" t="str">
        <f>IFERROR(MATCH(1322,$AF$8:$AF$1407,0),"")</f>
        <v/>
      </c>
    </row>
    <row r="1330">
      <c r="A1330" s="92" t="str">
        <f>IF($AG1330="","",P_ImportID)</f>
        <v/>
      </c>
      <c r="B1330" s="92" t="str">
        <f>IF($AG1330="","",IF(INDEX($AN$8:$AN$21,INDEX($AC$8:$AC$1407,$AG1330)+1)="Z",P_BronZ,P_BronE))</f>
        <v/>
      </c>
      <c r="C1330" s="108" t="str">
        <f>IF($AG1330="","",P_Importdatum)</f>
        <v/>
      </c>
      <c r="D1330" s="92" t="str">
        <f>IF($AG1330="","",P_StatusVastleg)</f>
        <v/>
      </c>
      <c r="E1330" s="92" t="str">
        <f>IF($AG1330="","",P_UploadVJ)</f>
        <v/>
      </c>
      <c r="F1330" s="92" t="str">
        <f>IF($AG1330="","",P_UploadVersie)</f>
        <v/>
      </c>
      <c r="G1330" s="92" t="str">
        <f>IF($AG1330="","",IF(COUNTIFS(L_Sleutel,$S1330,L_Status,"Vastgesteld")=0,0,_xlfn.MAXIFS(L_Revisie,L_Sleutel,$S1330,L_Status,"Vastgesteld")+1))</f>
        <v/>
      </c>
      <c r="H1330" s="108" t="str">
        <f>IF($AG1330="","",P_Peildatum)</f>
        <v/>
      </c>
      <c r="I1330" s="92" t="str">
        <f>IF($AG1330="","",P_RJ+INDEX($AK$8:$AK$21,INDEX($AC$8:$AC$1407,$AG1330)+1))</f>
        <v/>
      </c>
      <c r="J1330" s="92" t="str">
        <f>IF($AG1330="","",INDEX(V_WBS,INDEX($AB$8:$AB$1407,$AG1330)))</f>
        <v/>
      </c>
      <c r="K1330" s="92" t="str">
        <f>IF($AG1330="","",INDEX(V_Projdef,INDEX($AB$8:$AB$1407,$AG1330)))</f>
        <v/>
      </c>
      <c r="L1330" s="92" t="str">
        <f>IF($AG1330="","",INDEX(V_Naam,INDEX($AB$8:$AB$1407,$AG1330)))</f>
        <v/>
      </c>
      <c r="M1330" s="92" t="str">
        <f>IF($AG1330="","",INDEX(V_Type,INDEX($AB$8:$AB$1407,$AG1330)))</f>
        <v/>
      </c>
      <c r="N1330" s="92" t="str">
        <f>IF($AG1330="","",INDEX(V_IFRS,INDEX($AB$8:$AB$1407,$AG1330)))</f>
        <v/>
      </c>
      <c r="O1330" s="92" t="str">
        <f>IF($AG1330="","",INDEX($AL$8:$AL$21,INDEX($AC$8:$AC$1407,$AG1330)+1))</f>
        <v/>
      </c>
      <c r="P1330" s="109" t="str">
        <f>IF($AG1330="","",INDEX($AD$8:$AD$1407,$AG1330))</f>
        <v/>
      </c>
      <c r="Q1330" s="92" t="str">
        <f>IF($AG1330="","",INDEX($AM$8:$AM$21,INDEX($AC$8:$AC$1407,$AG1330)+1))</f>
        <v/>
      </c>
      <c r="R1330" s="92" t="str">
        <f>IF($AG1330="","",IF($G1330&gt;0,P_ToelCorrectie&amp;"",""))</f>
        <v/>
      </c>
      <c r="S1330" s="15" t="str">
        <f>IF(J1330="","",J1330&amp;"|"&amp;E1330&amp;"|"&amp;F1330&amp;"|"&amp;I1330&amp;"|"&amp;O1330)</f>
        <v/>
      </c>
      <c r="T1330" s="111" t="str">
        <f>IF(S1330="","",IF(COUNTIFS(L_Sleutel,S1330,L_Actief,1)=0,"",SUMIFS(L_Waarde,L_Sleutel,S1330,L_Actief,1)))</f>
        <v/>
      </c>
      <c r="U1330" s="111">
        <f>IF(OR(S1330="",T1330=""),0,P1330-T1330)</f>
        <v>0</v>
      </c>
      <c r="AB1330" s="112" t="n">
        <v>95</v>
      </c>
      <c r="AC1330" s="112" t="n">
        <v>6</v>
      </c>
      <c r="AD1330" s="112" t="str">
        <f>VERW_Project!BW100</f>
        <v/>
      </c>
      <c r="AE1330" s="112">
        <f>IF(AND(VERW_Project!$A100&lt;&gt;"",ISNUMBER(AD1330)),1,0)</f>
        <v>0</v>
      </c>
      <c r="AF1330" s="112" t="str">
        <f>IF(AE1330=1,SUM($AE$8:AE1330),"")</f>
        <v/>
      </c>
      <c r="AG1330" t="str">
        <f>IFERROR(MATCH(1323,$AF$8:$AF$1407,0),"")</f>
        <v/>
      </c>
    </row>
    <row r="1331">
      <c r="A1331" s="92" t="str">
        <f>IF($AG1331="","",P_ImportID)</f>
        <v/>
      </c>
      <c r="B1331" s="92" t="str">
        <f>IF($AG1331="","",IF(INDEX($AN$8:$AN$21,INDEX($AC$8:$AC$1407,$AG1331)+1)="Z",P_BronZ,P_BronE))</f>
        <v/>
      </c>
      <c r="C1331" s="108" t="str">
        <f>IF($AG1331="","",P_Importdatum)</f>
        <v/>
      </c>
      <c r="D1331" s="92" t="str">
        <f>IF($AG1331="","",P_StatusVastleg)</f>
        <v/>
      </c>
      <c r="E1331" s="92" t="str">
        <f>IF($AG1331="","",P_UploadVJ)</f>
        <v/>
      </c>
      <c r="F1331" s="92" t="str">
        <f>IF($AG1331="","",P_UploadVersie)</f>
        <v/>
      </c>
      <c r="G1331" s="92" t="str">
        <f>IF($AG1331="","",IF(COUNTIFS(L_Sleutel,$S1331,L_Status,"Vastgesteld")=0,0,_xlfn.MAXIFS(L_Revisie,L_Sleutel,$S1331,L_Status,"Vastgesteld")+1))</f>
        <v/>
      </c>
      <c r="H1331" s="108" t="str">
        <f>IF($AG1331="","",P_Peildatum)</f>
        <v/>
      </c>
      <c r="I1331" s="92" t="str">
        <f>IF($AG1331="","",P_RJ+INDEX($AK$8:$AK$21,INDEX($AC$8:$AC$1407,$AG1331)+1))</f>
        <v/>
      </c>
      <c r="J1331" s="92" t="str">
        <f>IF($AG1331="","",INDEX(V_WBS,INDEX($AB$8:$AB$1407,$AG1331)))</f>
        <v/>
      </c>
      <c r="K1331" s="92" t="str">
        <f>IF($AG1331="","",INDEX(V_Projdef,INDEX($AB$8:$AB$1407,$AG1331)))</f>
        <v/>
      </c>
      <c r="L1331" s="92" t="str">
        <f>IF($AG1331="","",INDEX(V_Naam,INDEX($AB$8:$AB$1407,$AG1331)))</f>
        <v/>
      </c>
      <c r="M1331" s="92" t="str">
        <f>IF($AG1331="","",INDEX(V_Type,INDEX($AB$8:$AB$1407,$AG1331)))</f>
        <v/>
      </c>
      <c r="N1331" s="92" t="str">
        <f>IF($AG1331="","",INDEX(V_IFRS,INDEX($AB$8:$AB$1407,$AG1331)))</f>
        <v/>
      </c>
      <c r="O1331" s="92" t="str">
        <f>IF($AG1331="","",INDEX($AL$8:$AL$21,INDEX($AC$8:$AC$1407,$AG1331)+1))</f>
        <v/>
      </c>
      <c r="P1331" s="109" t="str">
        <f>IF($AG1331="","",INDEX($AD$8:$AD$1407,$AG1331))</f>
        <v/>
      </c>
      <c r="Q1331" s="92" t="str">
        <f>IF($AG1331="","",INDEX($AM$8:$AM$21,INDEX($AC$8:$AC$1407,$AG1331)+1))</f>
        <v/>
      </c>
      <c r="R1331" s="92" t="str">
        <f>IF($AG1331="","",IF($G1331&gt;0,P_ToelCorrectie&amp;"",""))</f>
        <v/>
      </c>
      <c r="S1331" s="15" t="str">
        <f>IF(J1331="","",J1331&amp;"|"&amp;E1331&amp;"|"&amp;F1331&amp;"|"&amp;I1331&amp;"|"&amp;O1331)</f>
        <v/>
      </c>
      <c r="T1331" s="111" t="str">
        <f>IF(S1331="","",IF(COUNTIFS(L_Sleutel,S1331,L_Actief,1)=0,"",SUMIFS(L_Waarde,L_Sleutel,S1331,L_Actief,1)))</f>
        <v/>
      </c>
      <c r="U1331" s="111">
        <f>IF(OR(S1331="",T1331=""),0,P1331-T1331)</f>
        <v>0</v>
      </c>
      <c r="AB1331" s="112" t="n">
        <v>95</v>
      </c>
      <c r="AC1331" s="112" t="n">
        <v>7</v>
      </c>
      <c r="AD1331" s="112" t="str">
        <f>VERW_Project!AW100</f>
        <v/>
      </c>
      <c r="AE1331" s="112">
        <f>IF(AND(VERW_Project!$A100&lt;&gt;"",ISNUMBER(AD1331)),1,0)</f>
        <v>0</v>
      </c>
      <c r="AF1331" s="112" t="str">
        <f>IF(AE1331=1,SUM($AE$8:AE1331),"")</f>
        <v/>
      </c>
      <c r="AG1331" t="str">
        <f>IFERROR(MATCH(1324,$AF$8:$AF$1407,0),"")</f>
        <v/>
      </c>
    </row>
    <row r="1332">
      <c r="A1332" s="92" t="str">
        <f>IF($AG1332="","",P_ImportID)</f>
        <v/>
      </c>
      <c r="B1332" s="92" t="str">
        <f>IF($AG1332="","",IF(INDEX($AN$8:$AN$21,INDEX($AC$8:$AC$1407,$AG1332)+1)="Z",P_BronZ,P_BronE))</f>
        <v/>
      </c>
      <c r="C1332" s="108" t="str">
        <f>IF($AG1332="","",P_Importdatum)</f>
        <v/>
      </c>
      <c r="D1332" s="92" t="str">
        <f>IF($AG1332="","",P_StatusVastleg)</f>
        <v/>
      </c>
      <c r="E1332" s="92" t="str">
        <f>IF($AG1332="","",P_UploadVJ)</f>
        <v/>
      </c>
      <c r="F1332" s="92" t="str">
        <f>IF($AG1332="","",P_UploadVersie)</f>
        <v/>
      </c>
      <c r="G1332" s="92" t="str">
        <f>IF($AG1332="","",IF(COUNTIFS(L_Sleutel,$S1332,L_Status,"Vastgesteld")=0,0,_xlfn.MAXIFS(L_Revisie,L_Sleutel,$S1332,L_Status,"Vastgesteld")+1))</f>
        <v/>
      </c>
      <c r="H1332" s="108" t="str">
        <f>IF($AG1332="","",P_Peildatum)</f>
        <v/>
      </c>
      <c r="I1332" s="92" t="str">
        <f>IF($AG1332="","",P_RJ+INDEX($AK$8:$AK$21,INDEX($AC$8:$AC$1407,$AG1332)+1))</f>
        <v/>
      </c>
      <c r="J1332" s="92" t="str">
        <f>IF($AG1332="","",INDEX(V_WBS,INDEX($AB$8:$AB$1407,$AG1332)))</f>
        <v/>
      </c>
      <c r="K1332" s="92" t="str">
        <f>IF($AG1332="","",INDEX(V_Projdef,INDEX($AB$8:$AB$1407,$AG1332)))</f>
        <v/>
      </c>
      <c r="L1332" s="92" t="str">
        <f>IF($AG1332="","",INDEX(V_Naam,INDEX($AB$8:$AB$1407,$AG1332)))</f>
        <v/>
      </c>
      <c r="M1332" s="92" t="str">
        <f>IF($AG1332="","",INDEX(V_Type,INDEX($AB$8:$AB$1407,$AG1332)))</f>
        <v/>
      </c>
      <c r="N1332" s="92" t="str">
        <f>IF($AG1332="","",INDEX(V_IFRS,INDEX($AB$8:$AB$1407,$AG1332)))</f>
        <v/>
      </c>
      <c r="O1332" s="92" t="str">
        <f>IF($AG1332="","",INDEX($AL$8:$AL$21,INDEX($AC$8:$AC$1407,$AG1332)+1))</f>
        <v/>
      </c>
      <c r="P1332" s="109" t="str">
        <f>IF($AG1332="","",INDEX($AD$8:$AD$1407,$AG1332))</f>
        <v/>
      </c>
      <c r="Q1332" s="92" t="str">
        <f>IF($AG1332="","",INDEX($AM$8:$AM$21,INDEX($AC$8:$AC$1407,$AG1332)+1))</f>
        <v/>
      </c>
      <c r="R1332" s="92" t="str">
        <f>IF($AG1332="","",IF($G1332&gt;0,P_ToelCorrectie&amp;"",""))</f>
        <v/>
      </c>
      <c r="S1332" s="15" t="str">
        <f>IF(J1332="","",J1332&amp;"|"&amp;E1332&amp;"|"&amp;F1332&amp;"|"&amp;I1332&amp;"|"&amp;O1332)</f>
        <v/>
      </c>
      <c r="T1332" s="111" t="str">
        <f>IF(S1332="","",IF(COUNTIFS(L_Sleutel,S1332,L_Actief,1)=0,"",SUMIFS(L_Waarde,L_Sleutel,S1332,L_Actief,1)))</f>
        <v/>
      </c>
      <c r="U1332" s="111">
        <f>IF(OR(S1332="",T1332=""),0,P1332-T1332)</f>
        <v>0</v>
      </c>
      <c r="AB1332" s="112" t="n">
        <v>95</v>
      </c>
      <c r="AC1332" s="112" t="n">
        <v>8</v>
      </c>
      <c r="AD1332" s="112" t="str">
        <f>VERW_Project!BQ100</f>
        <v/>
      </c>
      <c r="AE1332" s="112">
        <f>IF(AND(VERW_Project!$A100&lt;&gt;"",ISNUMBER(AD1332)),1,0)</f>
        <v>0</v>
      </c>
      <c r="AF1332" s="112" t="str">
        <f>IF(AE1332=1,SUM($AE$8:AE1332),"")</f>
        <v/>
      </c>
      <c r="AG1332" t="str">
        <f>IFERROR(MATCH(1325,$AF$8:$AF$1407,0),"")</f>
        <v/>
      </c>
    </row>
    <row r="1333">
      <c r="A1333" s="92" t="str">
        <f>IF($AG1333="","",P_ImportID)</f>
        <v/>
      </c>
      <c r="B1333" s="92" t="str">
        <f>IF($AG1333="","",IF(INDEX($AN$8:$AN$21,INDEX($AC$8:$AC$1407,$AG1333)+1)="Z",P_BronZ,P_BronE))</f>
        <v/>
      </c>
      <c r="C1333" s="108" t="str">
        <f>IF($AG1333="","",P_Importdatum)</f>
        <v/>
      </c>
      <c r="D1333" s="92" t="str">
        <f>IF($AG1333="","",P_StatusVastleg)</f>
        <v/>
      </c>
      <c r="E1333" s="92" t="str">
        <f>IF($AG1333="","",P_UploadVJ)</f>
        <v/>
      </c>
      <c r="F1333" s="92" t="str">
        <f>IF($AG1333="","",P_UploadVersie)</f>
        <v/>
      </c>
      <c r="G1333" s="92" t="str">
        <f>IF($AG1333="","",IF(COUNTIFS(L_Sleutel,$S1333,L_Status,"Vastgesteld")=0,0,_xlfn.MAXIFS(L_Revisie,L_Sleutel,$S1333,L_Status,"Vastgesteld")+1))</f>
        <v/>
      </c>
      <c r="H1333" s="108" t="str">
        <f>IF($AG1333="","",P_Peildatum)</f>
        <v/>
      </c>
      <c r="I1333" s="92" t="str">
        <f>IF($AG1333="","",P_RJ+INDEX($AK$8:$AK$21,INDEX($AC$8:$AC$1407,$AG1333)+1))</f>
        <v/>
      </c>
      <c r="J1333" s="92" t="str">
        <f>IF($AG1333="","",INDEX(V_WBS,INDEX($AB$8:$AB$1407,$AG1333)))</f>
        <v/>
      </c>
      <c r="K1333" s="92" t="str">
        <f>IF($AG1333="","",INDEX(V_Projdef,INDEX($AB$8:$AB$1407,$AG1333)))</f>
        <v/>
      </c>
      <c r="L1333" s="92" t="str">
        <f>IF($AG1333="","",INDEX(V_Naam,INDEX($AB$8:$AB$1407,$AG1333)))</f>
        <v/>
      </c>
      <c r="M1333" s="92" t="str">
        <f>IF($AG1333="","",INDEX(V_Type,INDEX($AB$8:$AB$1407,$AG1333)))</f>
        <v/>
      </c>
      <c r="N1333" s="92" t="str">
        <f>IF($AG1333="","",INDEX(V_IFRS,INDEX($AB$8:$AB$1407,$AG1333)))</f>
        <v/>
      </c>
      <c r="O1333" s="92" t="str">
        <f>IF($AG1333="","",INDEX($AL$8:$AL$21,INDEX($AC$8:$AC$1407,$AG1333)+1))</f>
        <v/>
      </c>
      <c r="P1333" s="109" t="str">
        <f>IF($AG1333="","",INDEX($AD$8:$AD$1407,$AG1333))</f>
        <v/>
      </c>
      <c r="Q1333" s="92" t="str">
        <f>IF($AG1333="","",INDEX($AM$8:$AM$21,INDEX($AC$8:$AC$1407,$AG1333)+1))</f>
        <v/>
      </c>
      <c r="R1333" s="92" t="str">
        <f>IF($AG1333="","",IF($G1333&gt;0,P_ToelCorrectie&amp;"",""))</f>
        <v/>
      </c>
      <c r="S1333" s="15" t="str">
        <f>IF(J1333="","",J1333&amp;"|"&amp;E1333&amp;"|"&amp;F1333&amp;"|"&amp;I1333&amp;"|"&amp;O1333)</f>
        <v/>
      </c>
      <c r="T1333" s="111" t="str">
        <f>IF(S1333="","",IF(COUNTIFS(L_Sleutel,S1333,L_Actief,1)=0,"",SUMIFS(L_Waarde,L_Sleutel,S1333,L_Actief,1)))</f>
        <v/>
      </c>
      <c r="U1333" s="111">
        <f>IF(OR(S1333="",T1333=""),0,P1333-T1333)</f>
        <v>0</v>
      </c>
      <c r="AB1333" s="112" t="n">
        <v>95</v>
      </c>
      <c r="AC1333" s="112" t="n">
        <v>9</v>
      </c>
      <c r="AD1333" s="112" t="str">
        <f>VERW_Project!BR100</f>
        <v/>
      </c>
      <c r="AE1333" s="112">
        <f>IF(AND(VERW_Project!$A100&lt;&gt;"",ISNUMBER(AD1333)),1,0)</f>
        <v>0</v>
      </c>
      <c r="AF1333" s="112" t="str">
        <f>IF(AE1333=1,SUM($AE$8:AE1333),"")</f>
        <v/>
      </c>
      <c r="AG1333" t="str">
        <f>IFERROR(MATCH(1326,$AF$8:$AF$1407,0),"")</f>
        <v/>
      </c>
    </row>
    <row r="1334">
      <c r="A1334" s="92" t="str">
        <f>IF($AG1334="","",P_ImportID)</f>
        <v/>
      </c>
      <c r="B1334" s="92" t="str">
        <f>IF($AG1334="","",IF(INDEX($AN$8:$AN$21,INDEX($AC$8:$AC$1407,$AG1334)+1)="Z",P_BronZ,P_BronE))</f>
        <v/>
      </c>
      <c r="C1334" s="108" t="str">
        <f>IF($AG1334="","",P_Importdatum)</f>
        <v/>
      </c>
      <c r="D1334" s="92" t="str">
        <f>IF($AG1334="","",P_StatusVastleg)</f>
        <v/>
      </c>
      <c r="E1334" s="92" t="str">
        <f>IF($AG1334="","",P_UploadVJ)</f>
        <v/>
      </c>
      <c r="F1334" s="92" t="str">
        <f>IF($AG1334="","",P_UploadVersie)</f>
        <v/>
      </c>
      <c r="G1334" s="92" t="str">
        <f>IF($AG1334="","",IF(COUNTIFS(L_Sleutel,$S1334,L_Status,"Vastgesteld")=0,0,_xlfn.MAXIFS(L_Revisie,L_Sleutel,$S1334,L_Status,"Vastgesteld")+1))</f>
        <v/>
      </c>
      <c r="H1334" s="108" t="str">
        <f>IF($AG1334="","",P_Peildatum)</f>
        <v/>
      </c>
      <c r="I1334" s="92" t="str">
        <f>IF($AG1334="","",P_RJ+INDEX($AK$8:$AK$21,INDEX($AC$8:$AC$1407,$AG1334)+1))</f>
        <v/>
      </c>
      <c r="J1334" s="92" t="str">
        <f>IF($AG1334="","",INDEX(V_WBS,INDEX($AB$8:$AB$1407,$AG1334)))</f>
        <v/>
      </c>
      <c r="K1334" s="92" t="str">
        <f>IF($AG1334="","",INDEX(V_Projdef,INDEX($AB$8:$AB$1407,$AG1334)))</f>
        <v/>
      </c>
      <c r="L1334" s="92" t="str">
        <f>IF($AG1334="","",INDEX(V_Naam,INDEX($AB$8:$AB$1407,$AG1334)))</f>
        <v/>
      </c>
      <c r="M1334" s="92" t="str">
        <f>IF($AG1334="","",INDEX(V_Type,INDEX($AB$8:$AB$1407,$AG1334)))</f>
        <v/>
      </c>
      <c r="N1334" s="92" t="str">
        <f>IF($AG1334="","",INDEX(V_IFRS,INDEX($AB$8:$AB$1407,$AG1334)))</f>
        <v/>
      </c>
      <c r="O1334" s="92" t="str">
        <f>IF($AG1334="","",INDEX($AL$8:$AL$21,INDEX($AC$8:$AC$1407,$AG1334)+1))</f>
        <v/>
      </c>
      <c r="P1334" s="109" t="str">
        <f>IF($AG1334="","",INDEX($AD$8:$AD$1407,$AG1334))</f>
        <v/>
      </c>
      <c r="Q1334" s="92" t="str">
        <f>IF($AG1334="","",INDEX($AM$8:$AM$21,INDEX($AC$8:$AC$1407,$AG1334)+1))</f>
        <v/>
      </c>
      <c r="R1334" s="92" t="str">
        <f>IF($AG1334="","",IF($G1334&gt;0,P_ToelCorrectie&amp;"",""))</f>
        <v/>
      </c>
      <c r="S1334" s="15" t="str">
        <f>IF(J1334="","",J1334&amp;"|"&amp;E1334&amp;"|"&amp;F1334&amp;"|"&amp;I1334&amp;"|"&amp;O1334)</f>
        <v/>
      </c>
      <c r="T1334" s="111" t="str">
        <f>IF(S1334="","",IF(COUNTIFS(L_Sleutel,S1334,L_Actief,1)=0,"",SUMIFS(L_Waarde,L_Sleutel,S1334,L_Actief,1)))</f>
        <v/>
      </c>
      <c r="U1334" s="111">
        <f>IF(OR(S1334="",T1334=""),0,P1334-T1334)</f>
        <v>0</v>
      </c>
      <c r="AB1334" s="112" t="n">
        <v>95</v>
      </c>
      <c r="AC1334" s="112" t="n">
        <v>10</v>
      </c>
      <c r="AD1334" s="112" t="str">
        <f>VERW_Project!BS100</f>
        <v/>
      </c>
      <c r="AE1334" s="112">
        <f>IF(AND(VERW_Project!$A100&lt;&gt;"",ISNUMBER(AD1334)),1,0)</f>
        <v>0</v>
      </c>
      <c r="AF1334" s="112" t="str">
        <f>IF(AE1334=1,SUM($AE$8:AE1334),"")</f>
        <v/>
      </c>
      <c r="AG1334" t="str">
        <f>IFERROR(MATCH(1327,$AF$8:$AF$1407,0),"")</f>
        <v/>
      </c>
    </row>
    <row r="1335">
      <c r="A1335" s="92" t="str">
        <f>IF($AG1335="","",P_ImportID)</f>
        <v/>
      </c>
      <c r="B1335" s="92" t="str">
        <f>IF($AG1335="","",IF(INDEX($AN$8:$AN$21,INDEX($AC$8:$AC$1407,$AG1335)+1)="Z",P_BronZ,P_BronE))</f>
        <v/>
      </c>
      <c r="C1335" s="108" t="str">
        <f>IF($AG1335="","",P_Importdatum)</f>
        <v/>
      </c>
      <c r="D1335" s="92" t="str">
        <f>IF($AG1335="","",P_StatusVastleg)</f>
        <v/>
      </c>
      <c r="E1335" s="92" t="str">
        <f>IF($AG1335="","",P_UploadVJ)</f>
        <v/>
      </c>
      <c r="F1335" s="92" t="str">
        <f>IF($AG1335="","",P_UploadVersie)</f>
        <v/>
      </c>
      <c r="G1335" s="92" t="str">
        <f>IF($AG1335="","",IF(COUNTIFS(L_Sleutel,$S1335,L_Status,"Vastgesteld")=0,0,_xlfn.MAXIFS(L_Revisie,L_Sleutel,$S1335,L_Status,"Vastgesteld")+1))</f>
        <v/>
      </c>
      <c r="H1335" s="108" t="str">
        <f>IF($AG1335="","",P_Peildatum)</f>
        <v/>
      </c>
      <c r="I1335" s="92" t="str">
        <f>IF($AG1335="","",P_RJ+INDEX($AK$8:$AK$21,INDEX($AC$8:$AC$1407,$AG1335)+1))</f>
        <v/>
      </c>
      <c r="J1335" s="92" t="str">
        <f>IF($AG1335="","",INDEX(V_WBS,INDEX($AB$8:$AB$1407,$AG1335)))</f>
        <v/>
      </c>
      <c r="K1335" s="92" t="str">
        <f>IF($AG1335="","",INDEX(V_Projdef,INDEX($AB$8:$AB$1407,$AG1335)))</f>
        <v/>
      </c>
      <c r="L1335" s="92" t="str">
        <f>IF($AG1335="","",INDEX(V_Naam,INDEX($AB$8:$AB$1407,$AG1335)))</f>
        <v/>
      </c>
      <c r="M1335" s="92" t="str">
        <f>IF($AG1335="","",INDEX(V_Type,INDEX($AB$8:$AB$1407,$AG1335)))</f>
        <v/>
      </c>
      <c r="N1335" s="92" t="str">
        <f>IF($AG1335="","",INDEX(V_IFRS,INDEX($AB$8:$AB$1407,$AG1335)))</f>
        <v/>
      </c>
      <c r="O1335" s="92" t="str">
        <f>IF($AG1335="","",INDEX($AL$8:$AL$21,INDEX($AC$8:$AC$1407,$AG1335)+1))</f>
        <v/>
      </c>
      <c r="P1335" s="109" t="str">
        <f>IF($AG1335="","",INDEX($AD$8:$AD$1407,$AG1335))</f>
        <v/>
      </c>
      <c r="Q1335" s="92" t="str">
        <f>IF($AG1335="","",INDEX($AM$8:$AM$21,INDEX($AC$8:$AC$1407,$AG1335)+1))</f>
        <v/>
      </c>
      <c r="R1335" s="92" t="str">
        <f>IF($AG1335="","",IF($G1335&gt;0,P_ToelCorrectie&amp;"",""))</f>
        <v/>
      </c>
      <c r="S1335" s="15" t="str">
        <f>IF(J1335="","",J1335&amp;"|"&amp;E1335&amp;"|"&amp;F1335&amp;"|"&amp;I1335&amp;"|"&amp;O1335)</f>
        <v/>
      </c>
      <c r="T1335" s="111" t="str">
        <f>IF(S1335="","",IF(COUNTIFS(L_Sleutel,S1335,L_Actief,1)=0,"",SUMIFS(L_Waarde,L_Sleutel,S1335,L_Actief,1)))</f>
        <v/>
      </c>
      <c r="U1335" s="111">
        <f>IF(OR(S1335="",T1335=""),0,P1335-T1335)</f>
        <v>0</v>
      </c>
      <c r="AB1335" s="112" t="n">
        <v>95</v>
      </c>
      <c r="AC1335" s="112" t="n">
        <v>11</v>
      </c>
      <c r="AD1335" s="112" t="str">
        <f>VERW_Project!BT100</f>
        <v/>
      </c>
      <c r="AE1335" s="112">
        <f>IF(AND(VERW_Project!$A100&lt;&gt;"",ISNUMBER(AD1335)),1,0)</f>
        <v>0</v>
      </c>
      <c r="AF1335" s="112" t="str">
        <f>IF(AE1335=1,SUM($AE$8:AE1335),"")</f>
        <v/>
      </c>
      <c r="AG1335" t="str">
        <f>IFERROR(MATCH(1328,$AF$8:$AF$1407,0),"")</f>
        <v/>
      </c>
    </row>
    <row r="1336">
      <c r="A1336" s="92" t="str">
        <f>IF($AG1336="","",P_ImportID)</f>
        <v/>
      </c>
      <c r="B1336" s="92" t="str">
        <f>IF($AG1336="","",IF(INDEX($AN$8:$AN$21,INDEX($AC$8:$AC$1407,$AG1336)+1)="Z",P_BronZ,P_BronE))</f>
        <v/>
      </c>
      <c r="C1336" s="108" t="str">
        <f>IF($AG1336="","",P_Importdatum)</f>
        <v/>
      </c>
      <c r="D1336" s="92" t="str">
        <f>IF($AG1336="","",P_StatusVastleg)</f>
        <v/>
      </c>
      <c r="E1336" s="92" t="str">
        <f>IF($AG1336="","",P_UploadVJ)</f>
        <v/>
      </c>
      <c r="F1336" s="92" t="str">
        <f>IF($AG1336="","",P_UploadVersie)</f>
        <v/>
      </c>
      <c r="G1336" s="92" t="str">
        <f>IF($AG1336="","",IF(COUNTIFS(L_Sleutel,$S1336,L_Status,"Vastgesteld")=0,0,_xlfn.MAXIFS(L_Revisie,L_Sleutel,$S1336,L_Status,"Vastgesteld")+1))</f>
        <v/>
      </c>
      <c r="H1336" s="108" t="str">
        <f>IF($AG1336="","",P_Peildatum)</f>
        <v/>
      </c>
      <c r="I1336" s="92" t="str">
        <f>IF($AG1336="","",P_RJ+INDEX($AK$8:$AK$21,INDEX($AC$8:$AC$1407,$AG1336)+1))</f>
        <v/>
      </c>
      <c r="J1336" s="92" t="str">
        <f>IF($AG1336="","",INDEX(V_WBS,INDEX($AB$8:$AB$1407,$AG1336)))</f>
        <v/>
      </c>
      <c r="K1336" s="92" t="str">
        <f>IF($AG1336="","",INDEX(V_Projdef,INDEX($AB$8:$AB$1407,$AG1336)))</f>
        <v/>
      </c>
      <c r="L1336" s="92" t="str">
        <f>IF($AG1336="","",INDEX(V_Naam,INDEX($AB$8:$AB$1407,$AG1336)))</f>
        <v/>
      </c>
      <c r="M1336" s="92" t="str">
        <f>IF($AG1336="","",INDEX(V_Type,INDEX($AB$8:$AB$1407,$AG1336)))</f>
        <v/>
      </c>
      <c r="N1336" s="92" t="str">
        <f>IF($AG1336="","",INDEX(V_IFRS,INDEX($AB$8:$AB$1407,$AG1336)))</f>
        <v/>
      </c>
      <c r="O1336" s="92" t="str">
        <f>IF($AG1336="","",INDEX($AL$8:$AL$21,INDEX($AC$8:$AC$1407,$AG1336)+1))</f>
        <v/>
      </c>
      <c r="P1336" s="109" t="str">
        <f>IF($AG1336="","",INDEX($AD$8:$AD$1407,$AG1336))</f>
        <v/>
      </c>
      <c r="Q1336" s="92" t="str">
        <f>IF($AG1336="","",INDEX($AM$8:$AM$21,INDEX($AC$8:$AC$1407,$AG1336)+1))</f>
        <v/>
      </c>
      <c r="R1336" s="92" t="str">
        <f>IF($AG1336="","",IF($G1336&gt;0,P_ToelCorrectie&amp;"",""))</f>
        <v/>
      </c>
      <c r="S1336" s="15" t="str">
        <f>IF(J1336="","",J1336&amp;"|"&amp;E1336&amp;"|"&amp;F1336&amp;"|"&amp;I1336&amp;"|"&amp;O1336)</f>
        <v/>
      </c>
      <c r="T1336" s="111" t="str">
        <f>IF(S1336="","",IF(COUNTIFS(L_Sleutel,S1336,L_Actief,1)=0,"",SUMIFS(L_Waarde,L_Sleutel,S1336,L_Actief,1)))</f>
        <v/>
      </c>
      <c r="U1336" s="111">
        <f>IF(OR(S1336="",T1336=""),0,P1336-T1336)</f>
        <v>0</v>
      </c>
      <c r="AB1336" s="112" t="n">
        <v>95</v>
      </c>
      <c r="AC1336" s="112" t="n">
        <v>12</v>
      </c>
      <c r="AD1336" s="112" t="str">
        <f>VERW_Project!BU100</f>
        <v/>
      </c>
      <c r="AE1336" s="112">
        <f>IF(AND(VERW_Project!$A100&lt;&gt;"",ISNUMBER(AD1336)),1,0)</f>
        <v>0</v>
      </c>
      <c r="AF1336" s="112" t="str">
        <f>IF(AE1336=1,SUM($AE$8:AE1336),"")</f>
        <v/>
      </c>
      <c r="AG1336" t="str">
        <f>IFERROR(MATCH(1329,$AF$8:$AF$1407,0),"")</f>
        <v/>
      </c>
    </row>
    <row r="1337">
      <c r="A1337" s="92" t="str">
        <f>IF($AG1337="","",P_ImportID)</f>
        <v/>
      </c>
      <c r="B1337" s="92" t="str">
        <f>IF($AG1337="","",IF(INDEX($AN$8:$AN$21,INDEX($AC$8:$AC$1407,$AG1337)+1)="Z",P_BronZ,P_BronE))</f>
        <v/>
      </c>
      <c r="C1337" s="108" t="str">
        <f>IF($AG1337="","",P_Importdatum)</f>
        <v/>
      </c>
      <c r="D1337" s="92" t="str">
        <f>IF($AG1337="","",P_StatusVastleg)</f>
        <v/>
      </c>
      <c r="E1337" s="92" t="str">
        <f>IF($AG1337="","",P_UploadVJ)</f>
        <v/>
      </c>
      <c r="F1337" s="92" t="str">
        <f>IF($AG1337="","",P_UploadVersie)</f>
        <v/>
      </c>
      <c r="G1337" s="92" t="str">
        <f>IF($AG1337="","",IF(COUNTIFS(L_Sleutel,$S1337,L_Status,"Vastgesteld")=0,0,_xlfn.MAXIFS(L_Revisie,L_Sleutel,$S1337,L_Status,"Vastgesteld")+1))</f>
        <v/>
      </c>
      <c r="H1337" s="108" t="str">
        <f>IF($AG1337="","",P_Peildatum)</f>
        <v/>
      </c>
      <c r="I1337" s="92" t="str">
        <f>IF($AG1337="","",P_RJ+INDEX($AK$8:$AK$21,INDEX($AC$8:$AC$1407,$AG1337)+1))</f>
        <v/>
      </c>
      <c r="J1337" s="92" t="str">
        <f>IF($AG1337="","",INDEX(V_WBS,INDEX($AB$8:$AB$1407,$AG1337)))</f>
        <v/>
      </c>
      <c r="K1337" s="92" t="str">
        <f>IF($AG1337="","",INDEX(V_Projdef,INDEX($AB$8:$AB$1407,$AG1337)))</f>
        <v/>
      </c>
      <c r="L1337" s="92" t="str">
        <f>IF($AG1337="","",INDEX(V_Naam,INDEX($AB$8:$AB$1407,$AG1337)))</f>
        <v/>
      </c>
      <c r="M1337" s="92" t="str">
        <f>IF($AG1337="","",INDEX(V_Type,INDEX($AB$8:$AB$1407,$AG1337)))</f>
        <v/>
      </c>
      <c r="N1337" s="92" t="str">
        <f>IF($AG1337="","",INDEX(V_IFRS,INDEX($AB$8:$AB$1407,$AG1337)))</f>
        <v/>
      </c>
      <c r="O1337" s="92" t="str">
        <f>IF($AG1337="","",INDEX($AL$8:$AL$21,INDEX($AC$8:$AC$1407,$AG1337)+1))</f>
        <v/>
      </c>
      <c r="P1337" s="109" t="str">
        <f>IF($AG1337="","",INDEX($AD$8:$AD$1407,$AG1337))</f>
        <v/>
      </c>
      <c r="Q1337" s="92" t="str">
        <f>IF($AG1337="","",INDEX($AM$8:$AM$21,INDEX($AC$8:$AC$1407,$AG1337)+1))</f>
        <v/>
      </c>
      <c r="R1337" s="92" t="str">
        <f>IF($AG1337="","",IF($G1337&gt;0,P_ToelCorrectie&amp;"",""))</f>
        <v/>
      </c>
      <c r="S1337" s="15" t="str">
        <f>IF(J1337="","",J1337&amp;"|"&amp;E1337&amp;"|"&amp;F1337&amp;"|"&amp;I1337&amp;"|"&amp;O1337)</f>
        <v/>
      </c>
      <c r="T1337" s="111" t="str">
        <f>IF(S1337="","",IF(COUNTIFS(L_Sleutel,S1337,L_Actief,1)=0,"",SUMIFS(L_Waarde,L_Sleutel,S1337,L_Actief,1)))</f>
        <v/>
      </c>
      <c r="U1337" s="111">
        <f>IF(OR(S1337="",T1337=""),0,P1337-T1337)</f>
        <v>0</v>
      </c>
      <c r="AB1337" s="112" t="n">
        <v>95</v>
      </c>
      <c r="AC1337" s="112" t="n">
        <v>13</v>
      </c>
      <c r="AD1337" s="112" t="str">
        <f>VERW_Project!BX100</f>
        <v/>
      </c>
      <c r="AE1337" s="112">
        <f>IF(AND(VERW_Project!$A100&lt;&gt;"",ISNUMBER(AD1337)),1,0)</f>
        <v>0</v>
      </c>
      <c r="AF1337" s="112" t="str">
        <f>IF(AE1337=1,SUM($AE$8:AE1337),"")</f>
        <v/>
      </c>
      <c r="AG1337" t="str">
        <f>IFERROR(MATCH(1330,$AF$8:$AF$1407,0),"")</f>
        <v/>
      </c>
    </row>
    <row r="1338">
      <c r="A1338" s="92" t="str">
        <f>IF($AG1338="","",P_ImportID)</f>
        <v/>
      </c>
      <c r="B1338" s="92" t="str">
        <f>IF($AG1338="","",IF(INDEX($AN$8:$AN$21,INDEX($AC$8:$AC$1407,$AG1338)+1)="Z",P_BronZ,P_BronE))</f>
        <v/>
      </c>
      <c r="C1338" s="108" t="str">
        <f>IF($AG1338="","",P_Importdatum)</f>
        <v/>
      </c>
      <c r="D1338" s="92" t="str">
        <f>IF($AG1338="","",P_StatusVastleg)</f>
        <v/>
      </c>
      <c r="E1338" s="92" t="str">
        <f>IF($AG1338="","",P_UploadVJ)</f>
        <v/>
      </c>
      <c r="F1338" s="92" t="str">
        <f>IF($AG1338="","",P_UploadVersie)</f>
        <v/>
      </c>
      <c r="G1338" s="92" t="str">
        <f>IF($AG1338="","",IF(COUNTIFS(L_Sleutel,$S1338,L_Status,"Vastgesteld")=0,0,_xlfn.MAXIFS(L_Revisie,L_Sleutel,$S1338,L_Status,"Vastgesteld")+1))</f>
        <v/>
      </c>
      <c r="H1338" s="108" t="str">
        <f>IF($AG1338="","",P_Peildatum)</f>
        <v/>
      </c>
      <c r="I1338" s="92" t="str">
        <f>IF($AG1338="","",P_RJ+INDEX($AK$8:$AK$21,INDEX($AC$8:$AC$1407,$AG1338)+1))</f>
        <v/>
      </c>
      <c r="J1338" s="92" t="str">
        <f>IF($AG1338="","",INDEX(V_WBS,INDEX($AB$8:$AB$1407,$AG1338)))</f>
        <v/>
      </c>
      <c r="K1338" s="92" t="str">
        <f>IF($AG1338="","",INDEX(V_Projdef,INDEX($AB$8:$AB$1407,$AG1338)))</f>
        <v/>
      </c>
      <c r="L1338" s="92" t="str">
        <f>IF($AG1338="","",INDEX(V_Naam,INDEX($AB$8:$AB$1407,$AG1338)))</f>
        <v/>
      </c>
      <c r="M1338" s="92" t="str">
        <f>IF($AG1338="","",INDEX(V_Type,INDEX($AB$8:$AB$1407,$AG1338)))</f>
        <v/>
      </c>
      <c r="N1338" s="92" t="str">
        <f>IF($AG1338="","",INDEX(V_IFRS,INDEX($AB$8:$AB$1407,$AG1338)))</f>
        <v/>
      </c>
      <c r="O1338" s="92" t="str">
        <f>IF($AG1338="","",INDEX($AL$8:$AL$21,INDEX($AC$8:$AC$1407,$AG1338)+1))</f>
        <v/>
      </c>
      <c r="P1338" s="109" t="str">
        <f>IF($AG1338="","",INDEX($AD$8:$AD$1407,$AG1338))</f>
        <v/>
      </c>
      <c r="Q1338" s="92" t="str">
        <f>IF($AG1338="","",INDEX($AM$8:$AM$21,INDEX($AC$8:$AC$1407,$AG1338)+1))</f>
        <v/>
      </c>
      <c r="R1338" s="92" t="str">
        <f>IF($AG1338="","",IF($G1338&gt;0,P_ToelCorrectie&amp;"",""))</f>
        <v/>
      </c>
      <c r="S1338" s="15" t="str">
        <f>IF(J1338="","",J1338&amp;"|"&amp;E1338&amp;"|"&amp;F1338&amp;"|"&amp;I1338&amp;"|"&amp;O1338)</f>
        <v/>
      </c>
      <c r="T1338" s="111" t="str">
        <f>IF(S1338="","",IF(COUNTIFS(L_Sleutel,S1338,L_Actief,1)=0,"",SUMIFS(L_Waarde,L_Sleutel,S1338,L_Actief,1)))</f>
        <v/>
      </c>
      <c r="U1338" s="111">
        <f>IF(OR(S1338="",T1338=""),0,P1338-T1338)</f>
        <v>0</v>
      </c>
      <c r="AB1338" s="112" t="n">
        <v>96</v>
      </c>
      <c r="AC1338" s="112" t="n">
        <v>0</v>
      </c>
      <c r="AD1338" s="112" t="str">
        <f>VERW_Project!P101</f>
        <v/>
      </c>
      <c r="AE1338" s="112">
        <f>IF(AND(VERW_Project!$A101&lt;&gt;"",ISNUMBER(AD1338)),1,0)</f>
        <v>0</v>
      </c>
      <c r="AF1338" s="112" t="str">
        <f>IF(AE1338=1,SUM($AE$8:AE1338),"")</f>
        <v/>
      </c>
      <c r="AG1338" t="str">
        <f>IFERROR(MATCH(1331,$AF$8:$AF$1407,0),"")</f>
        <v/>
      </c>
    </row>
    <row r="1339">
      <c r="A1339" s="92" t="str">
        <f>IF($AG1339="","",P_ImportID)</f>
        <v/>
      </c>
      <c r="B1339" s="92" t="str">
        <f>IF($AG1339="","",IF(INDEX($AN$8:$AN$21,INDEX($AC$8:$AC$1407,$AG1339)+1)="Z",P_BronZ,P_BronE))</f>
        <v/>
      </c>
      <c r="C1339" s="108" t="str">
        <f>IF($AG1339="","",P_Importdatum)</f>
        <v/>
      </c>
      <c r="D1339" s="92" t="str">
        <f>IF($AG1339="","",P_StatusVastleg)</f>
        <v/>
      </c>
      <c r="E1339" s="92" t="str">
        <f>IF($AG1339="","",P_UploadVJ)</f>
        <v/>
      </c>
      <c r="F1339" s="92" t="str">
        <f>IF($AG1339="","",P_UploadVersie)</f>
        <v/>
      </c>
      <c r="G1339" s="92" t="str">
        <f>IF($AG1339="","",IF(COUNTIFS(L_Sleutel,$S1339,L_Status,"Vastgesteld")=0,0,_xlfn.MAXIFS(L_Revisie,L_Sleutel,$S1339,L_Status,"Vastgesteld")+1))</f>
        <v/>
      </c>
      <c r="H1339" s="108" t="str">
        <f>IF($AG1339="","",P_Peildatum)</f>
        <v/>
      </c>
      <c r="I1339" s="92" t="str">
        <f>IF($AG1339="","",P_RJ+INDEX($AK$8:$AK$21,INDEX($AC$8:$AC$1407,$AG1339)+1))</f>
        <v/>
      </c>
      <c r="J1339" s="92" t="str">
        <f>IF($AG1339="","",INDEX(V_WBS,INDEX($AB$8:$AB$1407,$AG1339)))</f>
        <v/>
      </c>
      <c r="K1339" s="92" t="str">
        <f>IF($AG1339="","",INDEX(V_Projdef,INDEX($AB$8:$AB$1407,$AG1339)))</f>
        <v/>
      </c>
      <c r="L1339" s="92" t="str">
        <f>IF($AG1339="","",INDEX(V_Naam,INDEX($AB$8:$AB$1407,$AG1339)))</f>
        <v/>
      </c>
      <c r="M1339" s="92" t="str">
        <f>IF($AG1339="","",INDEX(V_Type,INDEX($AB$8:$AB$1407,$AG1339)))</f>
        <v/>
      </c>
      <c r="N1339" s="92" t="str">
        <f>IF($AG1339="","",INDEX(V_IFRS,INDEX($AB$8:$AB$1407,$AG1339)))</f>
        <v/>
      </c>
      <c r="O1339" s="92" t="str">
        <f>IF($AG1339="","",INDEX($AL$8:$AL$21,INDEX($AC$8:$AC$1407,$AG1339)+1))</f>
        <v/>
      </c>
      <c r="P1339" s="109" t="str">
        <f>IF($AG1339="","",INDEX($AD$8:$AD$1407,$AG1339))</f>
        <v/>
      </c>
      <c r="Q1339" s="92" t="str">
        <f>IF($AG1339="","",INDEX($AM$8:$AM$21,INDEX($AC$8:$AC$1407,$AG1339)+1))</f>
        <v/>
      </c>
      <c r="R1339" s="92" t="str">
        <f>IF($AG1339="","",IF($G1339&gt;0,P_ToelCorrectie&amp;"",""))</f>
        <v/>
      </c>
      <c r="S1339" s="15" t="str">
        <f>IF(J1339="","",J1339&amp;"|"&amp;E1339&amp;"|"&amp;F1339&amp;"|"&amp;I1339&amp;"|"&amp;O1339)</f>
        <v/>
      </c>
      <c r="T1339" s="111" t="str">
        <f>IF(S1339="","",IF(COUNTIFS(L_Sleutel,S1339,L_Actief,1)=0,"",SUMIFS(L_Waarde,L_Sleutel,S1339,L_Actief,1)))</f>
        <v/>
      </c>
      <c r="U1339" s="111">
        <f>IF(OR(S1339="",T1339=""),0,P1339-T1339)</f>
        <v>0</v>
      </c>
      <c r="AB1339" s="112" t="n">
        <v>96</v>
      </c>
      <c r="AC1339" s="112" t="n">
        <v>1</v>
      </c>
      <c r="AD1339" s="112" t="str">
        <f>VERW_Project!Q101</f>
        <v/>
      </c>
      <c r="AE1339" s="112">
        <f>IF(AND(VERW_Project!$A101&lt;&gt;"",ISNUMBER(AD1339)),1,0)</f>
        <v>0</v>
      </c>
      <c r="AF1339" s="112" t="str">
        <f>IF(AE1339=1,SUM($AE$8:AE1339),"")</f>
        <v/>
      </c>
      <c r="AG1339" t="str">
        <f>IFERROR(MATCH(1332,$AF$8:$AF$1407,0),"")</f>
        <v/>
      </c>
    </row>
    <row r="1340">
      <c r="A1340" s="92" t="str">
        <f>IF($AG1340="","",P_ImportID)</f>
        <v/>
      </c>
      <c r="B1340" s="92" t="str">
        <f>IF($AG1340="","",IF(INDEX($AN$8:$AN$21,INDEX($AC$8:$AC$1407,$AG1340)+1)="Z",P_BronZ,P_BronE))</f>
        <v/>
      </c>
      <c r="C1340" s="108" t="str">
        <f>IF($AG1340="","",P_Importdatum)</f>
        <v/>
      </c>
      <c r="D1340" s="92" t="str">
        <f>IF($AG1340="","",P_StatusVastleg)</f>
        <v/>
      </c>
      <c r="E1340" s="92" t="str">
        <f>IF($AG1340="","",P_UploadVJ)</f>
        <v/>
      </c>
      <c r="F1340" s="92" t="str">
        <f>IF($AG1340="","",P_UploadVersie)</f>
        <v/>
      </c>
      <c r="G1340" s="92" t="str">
        <f>IF($AG1340="","",IF(COUNTIFS(L_Sleutel,$S1340,L_Status,"Vastgesteld")=0,0,_xlfn.MAXIFS(L_Revisie,L_Sleutel,$S1340,L_Status,"Vastgesteld")+1))</f>
        <v/>
      </c>
      <c r="H1340" s="108" t="str">
        <f>IF($AG1340="","",P_Peildatum)</f>
        <v/>
      </c>
      <c r="I1340" s="92" t="str">
        <f>IF($AG1340="","",P_RJ+INDEX($AK$8:$AK$21,INDEX($AC$8:$AC$1407,$AG1340)+1))</f>
        <v/>
      </c>
      <c r="J1340" s="92" t="str">
        <f>IF($AG1340="","",INDEX(V_WBS,INDEX($AB$8:$AB$1407,$AG1340)))</f>
        <v/>
      </c>
      <c r="K1340" s="92" t="str">
        <f>IF($AG1340="","",INDEX(V_Projdef,INDEX($AB$8:$AB$1407,$AG1340)))</f>
        <v/>
      </c>
      <c r="L1340" s="92" t="str">
        <f>IF($AG1340="","",INDEX(V_Naam,INDEX($AB$8:$AB$1407,$AG1340)))</f>
        <v/>
      </c>
      <c r="M1340" s="92" t="str">
        <f>IF($AG1340="","",INDEX(V_Type,INDEX($AB$8:$AB$1407,$AG1340)))</f>
        <v/>
      </c>
      <c r="N1340" s="92" t="str">
        <f>IF($AG1340="","",INDEX(V_IFRS,INDEX($AB$8:$AB$1407,$AG1340)))</f>
        <v/>
      </c>
      <c r="O1340" s="92" t="str">
        <f>IF($AG1340="","",INDEX($AL$8:$AL$21,INDEX($AC$8:$AC$1407,$AG1340)+1))</f>
        <v/>
      </c>
      <c r="P1340" s="109" t="str">
        <f>IF($AG1340="","",INDEX($AD$8:$AD$1407,$AG1340))</f>
        <v/>
      </c>
      <c r="Q1340" s="92" t="str">
        <f>IF($AG1340="","",INDEX($AM$8:$AM$21,INDEX($AC$8:$AC$1407,$AG1340)+1))</f>
        <v/>
      </c>
      <c r="R1340" s="92" t="str">
        <f>IF($AG1340="","",IF($G1340&gt;0,P_ToelCorrectie&amp;"",""))</f>
        <v/>
      </c>
      <c r="S1340" s="15" t="str">
        <f>IF(J1340="","",J1340&amp;"|"&amp;E1340&amp;"|"&amp;F1340&amp;"|"&amp;I1340&amp;"|"&amp;O1340)</f>
        <v/>
      </c>
      <c r="T1340" s="111" t="str">
        <f>IF(S1340="","",IF(COUNTIFS(L_Sleutel,S1340,L_Actief,1)=0,"",SUMIFS(L_Waarde,L_Sleutel,S1340,L_Actief,1)))</f>
        <v/>
      </c>
      <c r="U1340" s="111">
        <f>IF(OR(S1340="",T1340=""),0,P1340-T1340)</f>
        <v>0</v>
      </c>
      <c r="AB1340" s="112" t="n">
        <v>96</v>
      </c>
      <c r="AC1340" s="112" t="n">
        <v>2</v>
      </c>
      <c r="AD1340" s="112" t="str">
        <f>VERW_Project!L101</f>
        <v/>
      </c>
      <c r="AE1340" s="112">
        <f>IF(AND(VERW_Project!$A101&lt;&gt;"",ISNUMBER(AD1340)),1,0)</f>
        <v>0</v>
      </c>
      <c r="AF1340" s="112" t="str">
        <f>IF(AE1340=1,SUM($AE$8:AE1340),"")</f>
        <v/>
      </c>
      <c r="AG1340" t="str">
        <f>IFERROR(MATCH(1333,$AF$8:$AF$1407,0),"")</f>
        <v/>
      </c>
    </row>
    <row r="1341">
      <c r="A1341" s="92" t="str">
        <f>IF($AG1341="","",P_ImportID)</f>
        <v/>
      </c>
      <c r="B1341" s="92" t="str">
        <f>IF($AG1341="","",IF(INDEX($AN$8:$AN$21,INDEX($AC$8:$AC$1407,$AG1341)+1)="Z",P_BronZ,P_BronE))</f>
        <v/>
      </c>
      <c r="C1341" s="108" t="str">
        <f>IF($AG1341="","",P_Importdatum)</f>
        <v/>
      </c>
      <c r="D1341" s="92" t="str">
        <f>IF($AG1341="","",P_StatusVastleg)</f>
        <v/>
      </c>
      <c r="E1341" s="92" t="str">
        <f>IF($AG1341="","",P_UploadVJ)</f>
        <v/>
      </c>
      <c r="F1341" s="92" t="str">
        <f>IF($AG1341="","",P_UploadVersie)</f>
        <v/>
      </c>
      <c r="G1341" s="92" t="str">
        <f>IF($AG1341="","",IF(COUNTIFS(L_Sleutel,$S1341,L_Status,"Vastgesteld")=0,0,_xlfn.MAXIFS(L_Revisie,L_Sleutel,$S1341,L_Status,"Vastgesteld")+1))</f>
        <v/>
      </c>
      <c r="H1341" s="108" t="str">
        <f>IF($AG1341="","",P_Peildatum)</f>
        <v/>
      </c>
      <c r="I1341" s="92" t="str">
        <f>IF($AG1341="","",P_RJ+INDEX($AK$8:$AK$21,INDEX($AC$8:$AC$1407,$AG1341)+1))</f>
        <v/>
      </c>
      <c r="J1341" s="92" t="str">
        <f>IF($AG1341="","",INDEX(V_WBS,INDEX($AB$8:$AB$1407,$AG1341)))</f>
        <v/>
      </c>
      <c r="K1341" s="92" t="str">
        <f>IF($AG1341="","",INDEX(V_Projdef,INDEX($AB$8:$AB$1407,$AG1341)))</f>
        <v/>
      </c>
      <c r="L1341" s="92" t="str">
        <f>IF($AG1341="","",INDEX(V_Naam,INDEX($AB$8:$AB$1407,$AG1341)))</f>
        <v/>
      </c>
      <c r="M1341" s="92" t="str">
        <f>IF($AG1341="","",INDEX(V_Type,INDEX($AB$8:$AB$1407,$AG1341)))</f>
        <v/>
      </c>
      <c r="N1341" s="92" t="str">
        <f>IF($AG1341="","",INDEX(V_IFRS,INDEX($AB$8:$AB$1407,$AG1341)))</f>
        <v/>
      </c>
      <c r="O1341" s="92" t="str">
        <f>IF($AG1341="","",INDEX($AL$8:$AL$21,INDEX($AC$8:$AC$1407,$AG1341)+1))</f>
        <v/>
      </c>
      <c r="P1341" s="109" t="str">
        <f>IF($AG1341="","",INDEX($AD$8:$AD$1407,$AG1341))</f>
        <v/>
      </c>
      <c r="Q1341" s="92" t="str">
        <f>IF($AG1341="","",INDEX($AM$8:$AM$21,INDEX($AC$8:$AC$1407,$AG1341)+1))</f>
        <v/>
      </c>
      <c r="R1341" s="92" t="str">
        <f>IF($AG1341="","",IF($G1341&gt;0,P_ToelCorrectie&amp;"",""))</f>
        <v/>
      </c>
      <c r="S1341" s="15" t="str">
        <f>IF(J1341="","",J1341&amp;"|"&amp;E1341&amp;"|"&amp;F1341&amp;"|"&amp;I1341&amp;"|"&amp;O1341)</f>
        <v/>
      </c>
      <c r="T1341" s="111" t="str">
        <f>IF(S1341="","",IF(COUNTIFS(L_Sleutel,S1341,L_Actief,1)=0,"",SUMIFS(L_Waarde,L_Sleutel,S1341,L_Actief,1)))</f>
        <v/>
      </c>
      <c r="U1341" s="111">
        <f>IF(OR(S1341="",T1341=""),0,P1341-T1341)</f>
        <v>0</v>
      </c>
      <c r="AB1341" s="112" t="n">
        <v>96</v>
      </c>
      <c r="AC1341" s="112" t="n">
        <v>3</v>
      </c>
      <c r="AD1341" s="112" t="str">
        <f>VERW_Project!M101</f>
        <v/>
      </c>
      <c r="AE1341" s="112">
        <f>IF(AND(VERW_Project!$A101&lt;&gt;"",ISNUMBER(AD1341)),1,0)</f>
        <v>0</v>
      </c>
      <c r="AF1341" s="112" t="str">
        <f>IF(AE1341=1,SUM($AE$8:AE1341),"")</f>
        <v/>
      </c>
      <c r="AG1341" t="str">
        <f>IFERROR(MATCH(1334,$AF$8:$AF$1407,0),"")</f>
        <v/>
      </c>
    </row>
    <row r="1342">
      <c r="A1342" s="92" t="str">
        <f>IF($AG1342="","",P_ImportID)</f>
        <v/>
      </c>
      <c r="B1342" s="92" t="str">
        <f>IF($AG1342="","",IF(INDEX($AN$8:$AN$21,INDEX($AC$8:$AC$1407,$AG1342)+1)="Z",P_BronZ,P_BronE))</f>
        <v/>
      </c>
      <c r="C1342" s="108" t="str">
        <f>IF($AG1342="","",P_Importdatum)</f>
        <v/>
      </c>
      <c r="D1342" s="92" t="str">
        <f>IF($AG1342="","",P_StatusVastleg)</f>
        <v/>
      </c>
      <c r="E1342" s="92" t="str">
        <f>IF($AG1342="","",P_UploadVJ)</f>
        <v/>
      </c>
      <c r="F1342" s="92" t="str">
        <f>IF($AG1342="","",P_UploadVersie)</f>
        <v/>
      </c>
      <c r="G1342" s="92" t="str">
        <f>IF($AG1342="","",IF(COUNTIFS(L_Sleutel,$S1342,L_Status,"Vastgesteld")=0,0,_xlfn.MAXIFS(L_Revisie,L_Sleutel,$S1342,L_Status,"Vastgesteld")+1))</f>
        <v/>
      </c>
      <c r="H1342" s="108" t="str">
        <f>IF($AG1342="","",P_Peildatum)</f>
        <v/>
      </c>
      <c r="I1342" s="92" t="str">
        <f>IF($AG1342="","",P_RJ+INDEX($AK$8:$AK$21,INDEX($AC$8:$AC$1407,$AG1342)+1))</f>
        <v/>
      </c>
      <c r="J1342" s="92" t="str">
        <f>IF($AG1342="","",INDEX(V_WBS,INDEX($AB$8:$AB$1407,$AG1342)))</f>
        <v/>
      </c>
      <c r="K1342" s="92" t="str">
        <f>IF($AG1342="","",INDEX(V_Projdef,INDEX($AB$8:$AB$1407,$AG1342)))</f>
        <v/>
      </c>
      <c r="L1342" s="92" t="str">
        <f>IF($AG1342="","",INDEX(V_Naam,INDEX($AB$8:$AB$1407,$AG1342)))</f>
        <v/>
      </c>
      <c r="M1342" s="92" t="str">
        <f>IF($AG1342="","",INDEX(V_Type,INDEX($AB$8:$AB$1407,$AG1342)))</f>
        <v/>
      </c>
      <c r="N1342" s="92" t="str">
        <f>IF($AG1342="","",INDEX(V_IFRS,INDEX($AB$8:$AB$1407,$AG1342)))</f>
        <v/>
      </c>
      <c r="O1342" s="92" t="str">
        <f>IF($AG1342="","",INDEX($AL$8:$AL$21,INDEX($AC$8:$AC$1407,$AG1342)+1))</f>
        <v/>
      </c>
      <c r="P1342" s="109" t="str">
        <f>IF($AG1342="","",INDEX($AD$8:$AD$1407,$AG1342))</f>
        <v/>
      </c>
      <c r="Q1342" s="92" t="str">
        <f>IF($AG1342="","",INDEX($AM$8:$AM$21,INDEX($AC$8:$AC$1407,$AG1342)+1))</f>
        <v/>
      </c>
      <c r="R1342" s="92" t="str">
        <f>IF($AG1342="","",IF($G1342&gt;0,P_ToelCorrectie&amp;"",""))</f>
        <v/>
      </c>
      <c r="S1342" s="15" t="str">
        <f>IF(J1342="","",J1342&amp;"|"&amp;E1342&amp;"|"&amp;F1342&amp;"|"&amp;I1342&amp;"|"&amp;O1342)</f>
        <v/>
      </c>
      <c r="T1342" s="111" t="str">
        <f>IF(S1342="","",IF(COUNTIFS(L_Sleutel,S1342,L_Actief,1)=0,"",SUMIFS(L_Waarde,L_Sleutel,S1342,L_Actief,1)))</f>
        <v/>
      </c>
      <c r="U1342" s="111">
        <f>IF(OR(S1342="",T1342=""),0,P1342-T1342)</f>
        <v>0</v>
      </c>
      <c r="AB1342" s="112" t="n">
        <v>96</v>
      </c>
      <c r="AC1342" s="112" t="n">
        <v>4</v>
      </c>
      <c r="AD1342" s="112" t="str">
        <f>VERW_Project!R101</f>
        <v/>
      </c>
      <c r="AE1342" s="112">
        <f>IF(AND(VERW_Project!$A101&lt;&gt;"",ISNUMBER(AD1342)),1,0)</f>
        <v>0</v>
      </c>
      <c r="AF1342" s="112" t="str">
        <f>IF(AE1342=1,SUM($AE$8:AE1342),"")</f>
        <v/>
      </c>
      <c r="AG1342" t="str">
        <f>IFERROR(MATCH(1335,$AF$8:$AF$1407,0),"")</f>
        <v/>
      </c>
    </row>
    <row r="1343">
      <c r="A1343" s="92" t="str">
        <f>IF($AG1343="","",P_ImportID)</f>
        <v/>
      </c>
      <c r="B1343" s="92" t="str">
        <f>IF($AG1343="","",IF(INDEX($AN$8:$AN$21,INDEX($AC$8:$AC$1407,$AG1343)+1)="Z",P_BronZ,P_BronE))</f>
        <v/>
      </c>
      <c r="C1343" s="108" t="str">
        <f>IF($AG1343="","",P_Importdatum)</f>
        <v/>
      </c>
      <c r="D1343" s="92" t="str">
        <f>IF($AG1343="","",P_StatusVastleg)</f>
        <v/>
      </c>
      <c r="E1343" s="92" t="str">
        <f>IF($AG1343="","",P_UploadVJ)</f>
        <v/>
      </c>
      <c r="F1343" s="92" t="str">
        <f>IF($AG1343="","",P_UploadVersie)</f>
        <v/>
      </c>
      <c r="G1343" s="92" t="str">
        <f>IF($AG1343="","",IF(COUNTIFS(L_Sleutel,$S1343,L_Status,"Vastgesteld")=0,0,_xlfn.MAXIFS(L_Revisie,L_Sleutel,$S1343,L_Status,"Vastgesteld")+1))</f>
        <v/>
      </c>
      <c r="H1343" s="108" t="str">
        <f>IF($AG1343="","",P_Peildatum)</f>
        <v/>
      </c>
      <c r="I1343" s="92" t="str">
        <f>IF($AG1343="","",P_RJ+INDEX($AK$8:$AK$21,INDEX($AC$8:$AC$1407,$AG1343)+1))</f>
        <v/>
      </c>
      <c r="J1343" s="92" t="str">
        <f>IF($AG1343="","",INDEX(V_WBS,INDEX($AB$8:$AB$1407,$AG1343)))</f>
        <v/>
      </c>
      <c r="K1343" s="92" t="str">
        <f>IF($AG1343="","",INDEX(V_Projdef,INDEX($AB$8:$AB$1407,$AG1343)))</f>
        <v/>
      </c>
      <c r="L1343" s="92" t="str">
        <f>IF($AG1343="","",INDEX(V_Naam,INDEX($AB$8:$AB$1407,$AG1343)))</f>
        <v/>
      </c>
      <c r="M1343" s="92" t="str">
        <f>IF($AG1343="","",INDEX(V_Type,INDEX($AB$8:$AB$1407,$AG1343)))</f>
        <v/>
      </c>
      <c r="N1343" s="92" t="str">
        <f>IF($AG1343="","",INDEX(V_IFRS,INDEX($AB$8:$AB$1407,$AG1343)))</f>
        <v/>
      </c>
      <c r="O1343" s="92" t="str">
        <f>IF($AG1343="","",INDEX($AL$8:$AL$21,INDEX($AC$8:$AC$1407,$AG1343)+1))</f>
        <v/>
      </c>
      <c r="P1343" s="109" t="str">
        <f>IF($AG1343="","",INDEX($AD$8:$AD$1407,$AG1343))</f>
        <v/>
      </c>
      <c r="Q1343" s="92" t="str">
        <f>IF($AG1343="","",INDEX($AM$8:$AM$21,INDEX($AC$8:$AC$1407,$AG1343)+1))</f>
        <v/>
      </c>
      <c r="R1343" s="92" t="str">
        <f>IF($AG1343="","",IF($G1343&gt;0,P_ToelCorrectie&amp;"",""))</f>
        <v/>
      </c>
      <c r="S1343" s="15" t="str">
        <f>IF(J1343="","",J1343&amp;"|"&amp;E1343&amp;"|"&amp;F1343&amp;"|"&amp;I1343&amp;"|"&amp;O1343)</f>
        <v/>
      </c>
      <c r="T1343" s="111" t="str">
        <f>IF(S1343="","",IF(COUNTIFS(L_Sleutel,S1343,L_Actief,1)=0,"",SUMIFS(L_Waarde,L_Sleutel,S1343,L_Actief,1)))</f>
        <v/>
      </c>
      <c r="U1343" s="111">
        <f>IF(OR(S1343="",T1343=""),0,P1343-T1343)</f>
        <v>0</v>
      </c>
      <c r="AB1343" s="112" t="n">
        <v>96</v>
      </c>
      <c r="AC1343" s="112" t="n">
        <v>5</v>
      </c>
      <c r="AD1343" s="112" t="str">
        <f>VERW_Project!S101</f>
        <v/>
      </c>
      <c r="AE1343" s="112">
        <f>IF(AND(VERW_Project!$A101&lt;&gt;"",ISNUMBER(AD1343)),1,0)</f>
        <v>0</v>
      </c>
      <c r="AF1343" s="112" t="str">
        <f>IF(AE1343=1,SUM($AE$8:AE1343),"")</f>
        <v/>
      </c>
      <c r="AG1343" t="str">
        <f>IFERROR(MATCH(1336,$AF$8:$AF$1407,0),"")</f>
        <v/>
      </c>
    </row>
    <row r="1344">
      <c r="A1344" s="92" t="str">
        <f>IF($AG1344="","",P_ImportID)</f>
        <v/>
      </c>
      <c r="B1344" s="92" t="str">
        <f>IF($AG1344="","",IF(INDEX($AN$8:$AN$21,INDEX($AC$8:$AC$1407,$AG1344)+1)="Z",P_BronZ,P_BronE))</f>
        <v/>
      </c>
      <c r="C1344" s="108" t="str">
        <f>IF($AG1344="","",P_Importdatum)</f>
        <v/>
      </c>
      <c r="D1344" s="92" t="str">
        <f>IF($AG1344="","",P_StatusVastleg)</f>
        <v/>
      </c>
      <c r="E1344" s="92" t="str">
        <f>IF($AG1344="","",P_UploadVJ)</f>
        <v/>
      </c>
      <c r="F1344" s="92" t="str">
        <f>IF($AG1344="","",P_UploadVersie)</f>
        <v/>
      </c>
      <c r="G1344" s="92" t="str">
        <f>IF($AG1344="","",IF(COUNTIFS(L_Sleutel,$S1344,L_Status,"Vastgesteld")=0,0,_xlfn.MAXIFS(L_Revisie,L_Sleutel,$S1344,L_Status,"Vastgesteld")+1))</f>
        <v/>
      </c>
      <c r="H1344" s="108" t="str">
        <f>IF($AG1344="","",P_Peildatum)</f>
        <v/>
      </c>
      <c r="I1344" s="92" t="str">
        <f>IF($AG1344="","",P_RJ+INDEX($AK$8:$AK$21,INDEX($AC$8:$AC$1407,$AG1344)+1))</f>
        <v/>
      </c>
      <c r="J1344" s="92" t="str">
        <f>IF($AG1344="","",INDEX(V_WBS,INDEX($AB$8:$AB$1407,$AG1344)))</f>
        <v/>
      </c>
      <c r="K1344" s="92" t="str">
        <f>IF($AG1344="","",INDEX(V_Projdef,INDEX($AB$8:$AB$1407,$AG1344)))</f>
        <v/>
      </c>
      <c r="L1344" s="92" t="str">
        <f>IF($AG1344="","",INDEX(V_Naam,INDEX($AB$8:$AB$1407,$AG1344)))</f>
        <v/>
      </c>
      <c r="M1344" s="92" t="str">
        <f>IF($AG1344="","",INDEX(V_Type,INDEX($AB$8:$AB$1407,$AG1344)))</f>
        <v/>
      </c>
      <c r="N1344" s="92" t="str">
        <f>IF($AG1344="","",INDEX(V_IFRS,INDEX($AB$8:$AB$1407,$AG1344)))</f>
        <v/>
      </c>
      <c r="O1344" s="92" t="str">
        <f>IF($AG1344="","",INDEX($AL$8:$AL$21,INDEX($AC$8:$AC$1407,$AG1344)+1))</f>
        <v/>
      </c>
      <c r="P1344" s="109" t="str">
        <f>IF($AG1344="","",INDEX($AD$8:$AD$1407,$AG1344))</f>
        <v/>
      </c>
      <c r="Q1344" s="92" t="str">
        <f>IF($AG1344="","",INDEX($AM$8:$AM$21,INDEX($AC$8:$AC$1407,$AG1344)+1))</f>
        <v/>
      </c>
      <c r="R1344" s="92" t="str">
        <f>IF($AG1344="","",IF($G1344&gt;0,P_ToelCorrectie&amp;"",""))</f>
        <v/>
      </c>
      <c r="S1344" s="15" t="str">
        <f>IF(J1344="","",J1344&amp;"|"&amp;E1344&amp;"|"&amp;F1344&amp;"|"&amp;I1344&amp;"|"&amp;O1344)</f>
        <v/>
      </c>
      <c r="T1344" s="111" t="str">
        <f>IF(S1344="","",IF(COUNTIFS(L_Sleutel,S1344,L_Actief,1)=0,"",SUMIFS(L_Waarde,L_Sleutel,S1344,L_Actief,1)))</f>
        <v/>
      </c>
      <c r="U1344" s="111">
        <f>IF(OR(S1344="",T1344=""),0,P1344-T1344)</f>
        <v>0</v>
      </c>
      <c r="AB1344" s="112" t="n">
        <v>96</v>
      </c>
      <c r="AC1344" s="112" t="n">
        <v>6</v>
      </c>
      <c r="AD1344" s="112" t="str">
        <f>VERW_Project!BW101</f>
        <v/>
      </c>
      <c r="AE1344" s="112">
        <f>IF(AND(VERW_Project!$A101&lt;&gt;"",ISNUMBER(AD1344)),1,0)</f>
        <v>0</v>
      </c>
      <c r="AF1344" s="112" t="str">
        <f>IF(AE1344=1,SUM($AE$8:AE1344),"")</f>
        <v/>
      </c>
      <c r="AG1344" t="str">
        <f>IFERROR(MATCH(1337,$AF$8:$AF$1407,0),"")</f>
        <v/>
      </c>
    </row>
    <row r="1345">
      <c r="A1345" s="92" t="str">
        <f>IF($AG1345="","",P_ImportID)</f>
        <v/>
      </c>
      <c r="B1345" s="92" t="str">
        <f>IF($AG1345="","",IF(INDEX($AN$8:$AN$21,INDEX($AC$8:$AC$1407,$AG1345)+1)="Z",P_BronZ,P_BronE))</f>
        <v/>
      </c>
      <c r="C1345" s="108" t="str">
        <f>IF($AG1345="","",P_Importdatum)</f>
        <v/>
      </c>
      <c r="D1345" s="92" t="str">
        <f>IF($AG1345="","",P_StatusVastleg)</f>
        <v/>
      </c>
      <c r="E1345" s="92" t="str">
        <f>IF($AG1345="","",P_UploadVJ)</f>
        <v/>
      </c>
      <c r="F1345" s="92" t="str">
        <f>IF($AG1345="","",P_UploadVersie)</f>
        <v/>
      </c>
      <c r="G1345" s="92" t="str">
        <f>IF($AG1345="","",IF(COUNTIFS(L_Sleutel,$S1345,L_Status,"Vastgesteld")=0,0,_xlfn.MAXIFS(L_Revisie,L_Sleutel,$S1345,L_Status,"Vastgesteld")+1))</f>
        <v/>
      </c>
      <c r="H1345" s="108" t="str">
        <f>IF($AG1345="","",P_Peildatum)</f>
        <v/>
      </c>
      <c r="I1345" s="92" t="str">
        <f>IF($AG1345="","",P_RJ+INDEX($AK$8:$AK$21,INDEX($AC$8:$AC$1407,$AG1345)+1))</f>
        <v/>
      </c>
      <c r="J1345" s="92" t="str">
        <f>IF($AG1345="","",INDEX(V_WBS,INDEX($AB$8:$AB$1407,$AG1345)))</f>
        <v/>
      </c>
      <c r="K1345" s="92" t="str">
        <f>IF($AG1345="","",INDEX(V_Projdef,INDEX($AB$8:$AB$1407,$AG1345)))</f>
        <v/>
      </c>
      <c r="L1345" s="92" t="str">
        <f>IF($AG1345="","",INDEX(V_Naam,INDEX($AB$8:$AB$1407,$AG1345)))</f>
        <v/>
      </c>
      <c r="M1345" s="92" t="str">
        <f>IF($AG1345="","",INDEX(V_Type,INDEX($AB$8:$AB$1407,$AG1345)))</f>
        <v/>
      </c>
      <c r="N1345" s="92" t="str">
        <f>IF($AG1345="","",INDEX(V_IFRS,INDEX($AB$8:$AB$1407,$AG1345)))</f>
        <v/>
      </c>
      <c r="O1345" s="92" t="str">
        <f>IF($AG1345="","",INDEX($AL$8:$AL$21,INDEX($AC$8:$AC$1407,$AG1345)+1))</f>
        <v/>
      </c>
      <c r="P1345" s="109" t="str">
        <f>IF($AG1345="","",INDEX($AD$8:$AD$1407,$AG1345))</f>
        <v/>
      </c>
      <c r="Q1345" s="92" t="str">
        <f>IF($AG1345="","",INDEX($AM$8:$AM$21,INDEX($AC$8:$AC$1407,$AG1345)+1))</f>
        <v/>
      </c>
      <c r="R1345" s="92" t="str">
        <f>IF($AG1345="","",IF($G1345&gt;0,P_ToelCorrectie&amp;"",""))</f>
        <v/>
      </c>
      <c r="S1345" s="15" t="str">
        <f>IF(J1345="","",J1345&amp;"|"&amp;E1345&amp;"|"&amp;F1345&amp;"|"&amp;I1345&amp;"|"&amp;O1345)</f>
        <v/>
      </c>
      <c r="T1345" s="111" t="str">
        <f>IF(S1345="","",IF(COUNTIFS(L_Sleutel,S1345,L_Actief,1)=0,"",SUMIFS(L_Waarde,L_Sleutel,S1345,L_Actief,1)))</f>
        <v/>
      </c>
      <c r="U1345" s="111">
        <f>IF(OR(S1345="",T1345=""),0,P1345-T1345)</f>
        <v>0</v>
      </c>
      <c r="AB1345" s="112" t="n">
        <v>96</v>
      </c>
      <c r="AC1345" s="112" t="n">
        <v>7</v>
      </c>
      <c r="AD1345" s="112" t="str">
        <f>VERW_Project!AW101</f>
        <v/>
      </c>
      <c r="AE1345" s="112">
        <f>IF(AND(VERW_Project!$A101&lt;&gt;"",ISNUMBER(AD1345)),1,0)</f>
        <v>0</v>
      </c>
      <c r="AF1345" s="112" t="str">
        <f>IF(AE1345=1,SUM($AE$8:AE1345),"")</f>
        <v/>
      </c>
      <c r="AG1345" t="str">
        <f>IFERROR(MATCH(1338,$AF$8:$AF$1407,0),"")</f>
        <v/>
      </c>
    </row>
    <row r="1346">
      <c r="A1346" s="92" t="str">
        <f>IF($AG1346="","",P_ImportID)</f>
        <v/>
      </c>
      <c r="B1346" s="92" t="str">
        <f>IF($AG1346="","",IF(INDEX($AN$8:$AN$21,INDEX($AC$8:$AC$1407,$AG1346)+1)="Z",P_BronZ,P_BronE))</f>
        <v/>
      </c>
      <c r="C1346" s="108" t="str">
        <f>IF($AG1346="","",P_Importdatum)</f>
        <v/>
      </c>
      <c r="D1346" s="92" t="str">
        <f>IF($AG1346="","",P_StatusVastleg)</f>
        <v/>
      </c>
      <c r="E1346" s="92" t="str">
        <f>IF($AG1346="","",P_UploadVJ)</f>
        <v/>
      </c>
      <c r="F1346" s="92" t="str">
        <f>IF($AG1346="","",P_UploadVersie)</f>
        <v/>
      </c>
      <c r="G1346" s="92" t="str">
        <f>IF($AG1346="","",IF(COUNTIFS(L_Sleutel,$S1346,L_Status,"Vastgesteld")=0,0,_xlfn.MAXIFS(L_Revisie,L_Sleutel,$S1346,L_Status,"Vastgesteld")+1))</f>
        <v/>
      </c>
      <c r="H1346" s="108" t="str">
        <f>IF($AG1346="","",P_Peildatum)</f>
        <v/>
      </c>
      <c r="I1346" s="92" t="str">
        <f>IF($AG1346="","",P_RJ+INDEX($AK$8:$AK$21,INDEX($AC$8:$AC$1407,$AG1346)+1))</f>
        <v/>
      </c>
      <c r="J1346" s="92" t="str">
        <f>IF($AG1346="","",INDEX(V_WBS,INDEX($AB$8:$AB$1407,$AG1346)))</f>
        <v/>
      </c>
      <c r="K1346" s="92" t="str">
        <f>IF($AG1346="","",INDEX(V_Projdef,INDEX($AB$8:$AB$1407,$AG1346)))</f>
        <v/>
      </c>
      <c r="L1346" s="92" t="str">
        <f>IF($AG1346="","",INDEX(V_Naam,INDEX($AB$8:$AB$1407,$AG1346)))</f>
        <v/>
      </c>
      <c r="M1346" s="92" t="str">
        <f>IF($AG1346="","",INDEX(V_Type,INDEX($AB$8:$AB$1407,$AG1346)))</f>
        <v/>
      </c>
      <c r="N1346" s="92" t="str">
        <f>IF($AG1346="","",INDEX(V_IFRS,INDEX($AB$8:$AB$1407,$AG1346)))</f>
        <v/>
      </c>
      <c r="O1346" s="92" t="str">
        <f>IF($AG1346="","",INDEX($AL$8:$AL$21,INDEX($AC$8:$AC$1407,$AG1346)+1))</f>
        <v/>
      </c>
      <c r="P1346" s="109" t="str">
        <f>IF($AG1346="","",INDEX($AD$8:$AD$1407,$AG1346))</f>
        <v/>
      </c>
      <c r="Q1346" s="92" t="str">
        <f>IF($AG1346="","",INDEX($AM$8:$AM$21,INDEX($AC$8:$AC$1407,$AG1346)+1))</f>
        <v/>
      </c>
      <c r="R1346" s="92" t="str">
        <f>IF($AG1346="","",IF($G1346&gt;0,P_ToelCorrectie&amp;"",""))</f>
        <v/>
      </c>
      <c r="S1346" s="15" t="str">
        <f>IF(J1346="","",J1346&amp;"|"&amp;E1346&amp;"|"&amp;F1346&amp;"|"&amp;I1346&amp;"|"&amp;O1346)</f>
        <v/>
      </c>
      <c r="T1346" s="111" t="str">
        <f>IF(S1346="","",IF(COUNTIFS(L_Sleutel,S1346,L_Actief,1)=0,"",SUMIFS(L_Waarde,L_Sleutel,S1346,L_Actief,1)))</f>
        <v/>
      </c>
      <c r="U1346" s="111">
        <f>IF(OR(S1346="",T1346=""),0,P1346-T1346)</f>
        <v>0</v>
      </c>
      <c r="AB1346" s="112" t="n">
        <v>96</v>
      </c>
      <c r="AC1346" s="112" t="n">
        <v>8</v>
      </c>
      <c r="AD1346" s="112" t="str">
        <f>VERW_Project!BQ101</f>
        <v/>
      </c>
      <c r="AE1346" s="112">
        <f>IF(AND(VERW_Project!$A101&lt;&gt;"",ISNUMBER(AD1346)),1,0)</f>
        <v>0</v>
      </c>
      <c r="AF1346" s="112" t="str">
        <f>IF(AE1346=1,SUM($AE$8:AE1346),"")</f>
        <v/>
      </c>
      <c r="AG1346" t="str">
        <f>IFERROR(MATCH(1339,$AF$8:$AF$1407,0),"")</f>
        <v/>
      </c>
    </row>
    <row r="1347">
      <c r="A1347" s="92" t="str">
        <f>IF($AG1347="","",P_ImportID)</f>
        <v/>
      </c>
      <c r="B1347" s="92" t="str">
        <f>IF($AG1347="","",IF(INDEX($AN$8:$AN$21,INDEX($AC$8:$AC$1407,$AG1347)+1)="Z",P_BronZ,P_BronE))</f>
        <v/>
      </c>
      <c r="C1347" s="108" t="str">
        <f>IF($AG1347="","",P_Importdatum)</f>
        <v/>
      </c>
      <c r="D1347" s="92" t="str">
        <f>IF($AG1347="","",P_StatusVastleg)</f>
        <v/>
      </c>
      <c r="E1347" s="92" t="str">
        <f>IF($AG1347="","",P_UploadVJ)</f>
        <v/>
      </c>
      <c r="F1347" s="92" t="str">
        <f>IF($AG1347="","",P_UploadVersie)</f>
        <v/>
      </c>
      <c r="G1347" s="92" t="str">
        <f>IF($AG1347="","",IF(COUNTIFS(L_Sleutel,$S1347,L_Status,"Vastgesteld")=0,0,_xlfn.MAXIFS(L_Revisie,L_Sleutel,$S1347,L_Status,"Vastgesteld")+1))</f>
        <v/>
      </c>
      <c r="H1347" s="108" t="str">
        <f>IF($AG1347="","",P_Peildatum)</f>
        <v/>
      </c>
      <c r="I1347" s="92" t="str">
        <f>IF($AG1347="","",P_RJ+INDEX($AK$8:$AK$21,INDEX($AC$8:$AC$1407,$AG1347)+1))</f>
        <v/>
      </c>
      <c r="J1347" s="92" t="str">
        <f>IF($AG1347="","",INDEX(V_WBS,INDEX($AB$8:$AB$1407,$AG1347)))</f>
        <v/>
      </c>
      <c r="K1347" s="92" t="str">
        <f>IF($AG1347="","",INDEX(V_Projdef,INDEX($AB$8:$AB$1407,$AG1347)))</f>
        <v/>
      </c>
      <c r="L1347" s="92" t="str">
        <f>IF($AG1347="","",INDEX(V_Naam,INDEX($AB$8:$AB$1407,$AG1347)))</f>
        <v/>
      </c>
      <c r="M1347" s="92" t="str">
        <f>IF($AG1347="","",INDEX(V_Type,INDEX($AB$8:$AB$1407,$AG1347)))</f>
        <v/>
      </c>
      <c r="N1347" s="92" t="str">
        <f>IF($AG1347="","",INDEX(V_IFRS,INDEX($AB$8:$AB$1407,$AG1347)))</f>
        <v/>
      </c>
      <c r="O1347" s="92" t="str">
        <f>IF($AG1347="","",INDEX($AL$8:$AL$21,INDEX($AC$8:$AC$1407,$AG1347)+1))</f>
        <v/>
      </c>
      <c r="P1347" s="109" t="str">
        <f>IF($AG1347="","",INDEX($AD$8:$AD$1407,$AG1347))</f>
        <v/>
      </c>
      <c r="Q1347" s="92" t="str">
        <f>IF($AG1347="","",INDEX($AM$8:$AM$21,INDEX($AC$8:$AC$1407,$AG1347)+1))</f>
        <v/>
      </c>
      <c r="R1347" s="92" t="str">
        <f>IF($AG1347="","",IF($G1347&gt;0,P_ToelCorrectie&amp;"",""))</f>
        <v/>
      </c>
      <c r="S1347" s="15" t="str">
        <f>IF(J1347="","",J1347&amp;"|"&amp;E1347&amp;"|"&amp;F1347&amp;"|"&amp;I1347&amp;"|"&amp;O1347)</f>
        <v/>
      </c>
      <c r="T1347" s="111" t="str">
        <f>IF(S1347="","",IF(COUNTIFS(L_Sleutel,S1347,L_Actief,1)=0,"",SUMIFS(L_Waarde,L_Sleutel,S1347,L_Actief,1)))</f>
        <v/>
      </c>
      <c r="U1347" s="111">
        <f>IF(OR(S1347="",T1347=""),0,P1347-T1347)</f>
        <v>0</v>
      </c>
      <c r="AB1347" s="112" t="n">
        <v>96</v>
      </c>
      <c r="AC1347" s="112" t="n">
        <v>9</v>
      </c>
      <c r="AD1347" s="112" t="str">
        <f>VERW_Project!BR101</f>
        <v/>
      </c>
      <c r="AE1347" s="112">
        <f>IF(AND(VERW_Project!$A101&lt;&gt;"",ISNUMBER(AD1347)),1,0)</f>
        <v>0</v>
      </c>
      <c r="AF1347" s="112" t="str">
        <f>IF(AE1347=1,SUM($AE$8:AE1347),"")</f>
        <v/>
      </c>
      <c r="AG1347" t="str">
        <f>IFERROR(MATCH(1340,$AF$8:$AF$1407,0),"")</f>
        <v/>
      </c>
    </row>
    <row r="1348">
      <c r="A1348" s="92" t="str">
        <f>IF($AG1348="","",P_ImportID)</f>
        <v/>
      </c>
      <c r="B1348" s="92" t="str">
        <f>IF($AG1348="","",IF(INDEX($AN$8:$AN$21,INDEX($AC$8:$AC$1407,$AG1348)+1)="Z",P_BronZ,P_BronE))</f>
        <v/>
      </c>
      <c r="C1348" s="108" t="str">
        <f>IF($AG1348="","",P_Importdatum)</f>
        <v/>
      </c>
      <c r="D1348" s="92" t="str">
        <f>IF($AG1348="","",P_StatusVastleg)</f>
        <v/>
      </c>
      <c r="E1348" s="92" t="str">
        <f>IF($AG1348="","",P_UploadVJ)</f>
        <v/>
      </c>
      <c r="F1348" s="92" t="str">
        <f>IF($AG1348="","",P_UploadVersie)</f>
        <v/>
      </c>
      <c r="G1348" s="92" t="str">
        <f>IF($AG1348="","",IF(COUNTIFS(L_Sleutel,$S1348,L_Status,"Vastgesteld")=0,0,_xlfn.MAXIFS(L_Revisie,L_Sleutel,$S1348,L_Status,"Vastgesteld")+1))</f>
        <v/>
      </c>
      <c r="H1348" s="108" t="str">
        <f>IF($AG1348="","",P_Peildatum)</f>
        <v/>
      </c>
      <c r="I1348" s="92" t="str">
        <f>IF($AG1348="","",P_RJ+INDEX($AK$8:$AK$21,INDEX($AC$8:$AC$1407,$AG1348)+1))</f>
        <v/>
      </c>
      <c r="J1348" s="92" t="str">
        <f>IF($AG1348="","",INDEX(V_WBS,INDEX($AB$8:$AB$1407,$AG1348)))</f>
        <v/>
      </c>
      <c r="K1348" s="92" t="str">
        <f>IF($AG1348="","",INDEX(V_Projdef,INDEX($AB$8:$AB$1407,$AG1348)))</f>
        <v/>
      </c>
      <c r="L1348" s="92" t="str">
        <f>IF($AG1348="","",INDEX(V_Naam,INDEX($AB$8:$AB$1407,$AG1348)))</f>
        <v/>
      </c>
      <c r="M1348" s="92" t="str">
        <f>IF($AG1348="","",INDEX(V_Type,INDEX($AB$8:$AB$1407,$AG1348)))</f>
        <v/>
      </c>
      <c r="N1348" s="92" t="str">
        <f>IF($AG1348="","",INDEX(V_IFRS,INDEX($AB$8:$AB$1407,$AG1348)))</f>
        <v/>
      </c>
      <c r="O1348" s="92" t="str">
        <f>IF($AG1348="","",INDEX($AL$8:$AL$21,INDEX($AC$8:$AC$1407,$AG1348)+1))</f>
        <v/>
      </c>
      <c r="P1348" s="109" t="str">
        <f>IF($AG1348="","",INDEX($AD$8:$AD$1407,$AG1348))</f>
        <v/>
      </c>
      <c r="Q1348" s="92" t="str">
        <f>IF($AG1348="","",INDEX($AM$8:$AM$21,INDEX($AC$8:$AC$1407,$AG1348)+1))</f>
        <v/>
      </c>
      <c r="R1348" s="92" t="str">
        <f>IF($AG1348="","",IF($G1348&gt;0,P_ToelCorrectie&amp;"",""))</f>
        <v/>
      </c>
      <c r="S1348" s="15" t="str">
        <f>IF(J1348="","",J1348&amp;"|"&amp;E1348&amp;"|"&amp;F1348&amp;"|"&amp;I1348&amp;"|"&amp;O1348)</f>
        <v/>
      </c>
      <c r="T1348" s="111" t="str">
        <f>IF(S1348="","",IF(COUNTIFS(L_Sleutel,S1348,L_Actief,1)=0,"",SUMIFS(L_Waarde,L_Sleutel,S1348,L_Actief,1)))</f>
        <v/>
      </c>
      <c r="U1348" s="111">
        <f>IF(OR(S1348="",T1348=""),0,P1348-T1348)</f>
        <v>0</v>
      </c>
      <c r="AB1348" s="112" t="n">
        <v>96</v>
      </c>
      <c r="AC1348" s="112" t="n">
        <v>10</v>
      </c>
      <c r="AD1348" s="112" t="str">
        <f>VERW_Project!BS101</f>
        <v/>
      </c>
      <c r="AE1348" s="112">
        <f>IF(AND(VERW_Project!$A101&lt;&gt;"",ISNUMBER(AD1348)),1,0)</f>
        <v>0</v>
      </c>
      <c r="AF1348" s="112" t="str">
        <f>IF(AE1348=1,SUM($AE$8:AE1348),"")</f>
        <v/>
      </c>
      <c r="AG1348" t="str">
        <f>IFERROR(MATCH(1341,$AF$8:$AF$1407,0),"")</f>
        <v/>
      </c>
    </row>
    <row r="1349">
      <c r="A1349" s="92" t="str">
        <f>IF($AG1349="","",P_ImportID)</f>
        <v/>
      </c>
      <c r="B1349" s="92" t="str">
        <f>IF($AG1349="","",IF(INDEX($AN$8:$AN$21,INDEX($AC$8:$AC$1407,$AG1349)+1)="Z",P_BronZ,P_BronE))</f>
        <v/>
      </c>
      <c r="C1349" s="108" t="str">
        <f>IF($AG1349="","",P_Importdatum)</f>
        <v/>
      </c>
      <c r="D1349" s="92" t="str">
        <f>IF($AG1349="","",P_StatusVastleg)</f>
        <v/>
      </c>
      <c r="E1349" s="92" t="str">
        <f>IF($AG1349="","",P_UploadVJ)</f>
        <v/>
      </c>
      <c r="F1349" s="92" t="str">
        <f>IF($AG1349="","",P_UploadVersie)</f>
        <v/>
      </c>
      <c r="G1349" s="92" t="str">
        <f>IF($AG1349="","",IF(COUNTIFS(L_Sleutel,$S1349,L_Status,"Vastgesteld")=0,0,_xlfn.MAXIFS(L_Revisie,L_Sleutel,$S1349,L_Status,"Vastgesteld")+1))</f>
        <v/>
      </c>
      <c r="H1349" s="108" t="str">
        <f>IF($AG1349="","",P_Peildatum)</f>
        <v/>
      </c>
      <c r="I1349" s="92" t="str">
        <f>IF($AG1349="","",P_RJ+INDEX($AK$8:$AK$21,INDEX($AC$8:$AC$1407,$AG1349)+1))</f>
        <v/>
      </c>
      <c r="J1349" s="92" t="str">
        <f>IF($AG1349="","",INDEX(V_WBS,INDEX($AB$8:$AB$1407,$AG1349)))</f>
        <v/>
      </c>
      <c r="K1349" s="92" t="str">
        <f>IF($AG1349="","",INDEX(V_Projdef,INDEX($AB$8:$AB$1407,$AG1349)))</f>
        <v/>
      </c>
      <c r="L1349" s="92" t="str">
        <f>IF($AG1349="","",INDEX(V_Naam,INDEX($AB$8:$AB$1407,$AG1349)))</f>
        <v/>
      </c>
      <c r="M1349" s="92" t="str">
        <f>IF($AG1349="","",INDEX(V_Type,INDEX($AB$8:$AB$1407,$AG1349)))</f>
        <v/>
      </c>
      <c r="N1349" s="92" t="str">
        <f>IF($AG1349="","",INDEX(V_IFRS,INDEX($AB$8:$AB$1407,$AG1349)))</f>
        <v/>
      </c>
      <c r="O1349" s="92" t="str">
        <f>IF($AG1349="","",INDEX($AL$8:$AL$21,INDEX($AC$8:$AC$1407,$AG1349)+1))</f>
        <v/>
      </c>
      <c r="P1349" s="109" t="str">
        <f>IF($AG1349="","",INDEX($AD$8:$AD$1407,$AG1349))</f>
        <v/>
      </c>
      <c r="Q1349" s="92" t="str">
        <f>IF($AG1349="","",INDEX($AM$8:$AM$21,INDEX($AC$8:$AC$1407,$AG1349)+1))</f>
        <v/>
      </c>
      <c r="R1349" s="92" t="str">
        <f>IF($AG1349="","",IF($G1349&gt;0,P_ToelCorrectie&amp;"",""))</f>
        <v/>
      </c>
      <c r="S1349" s="15" t="str">
        <f>IF(J1349="","",J1349&amp;"|"&amp;E1349&amp;"|"&amp;F1349&amp;"|"&amp;I1349&amp;"|"&amp;O1349)</f>
        <v/>
      </c>
      <c r="T1349" s="111" t="str">
        <f>IF(S1349="","",IF(COUNTIFS(L_Sleutel,S1349,L_Actief,1)=0,"",SUMIFS(L_Waarde,L_Sleutel,S1349,L_Actief,1)))</f>
        <v/>
      </c>
      <c r="U1349" s="111">
        <f>IF(OR(S1349="",T1349=""),0,P1349-T1349)</f>
        <v>0</v>
      </c>
      <c r="AB1349" s="112" t="n">
        <v>96</v>
      </c>
      <c r="AC1349" s="112" t="n">
        <v>11</v>
      </c>
      <c r="AD1349" s="112" t="str">
        <f>VERW_Project!BT101</f>
        <v/>
      </c>
      <c r="AE1349" s="112">
        <f>IF(AND(VERW_Project!$A101&lt;&gt;"",ISNUMBER(AD1349)),1,0)</f>
        <v>0</v>
      </c>
      <c r="AF1349" s="112" t="str">
        <f>IF(AE1349=1,SUM($AE$8:AE1349),"")</f>
        <v/>
      </c>
      <c r="AG1349" t="str">
        <f>IFERROR(MATCH(1342,$AF$8:$AF$1407,0),"")</f>
        <v/>
      </c>
    </row>
    <row r="1350">
      <c r="A1350" s="92" t="str">
        <f>IF($AG1350="","",P_ImportID)</f>
        <v/>
      </c>
      <c r="B1350" s="92" t="str">
        <f>IF($AG1350="","",IF(INDEX($AN$8:$AN$21,INDEX($AC$8:$AC$1407,$AG1350)+1)="Z",P_BronZ,P_BronE))</f>
        <v/>
      </c>
      <c r="C1350" s="108" t="str">
        <f>IF($AG1350="","",P_Importdatum)</f>
        <v/>
      </c>
      <c r="D1350" s="92" t="str">
        <f>IF($AG1350="","",P_StatusVastleg)</f>
        <v/>
      </c>
      <c r="E1350" s="92" t="str">
        <f>IF($AG1350="","",P_UploadVJ)</f>
        <v/>
      </c>
      <c r="F1350" s="92" t="str">
        <f>IF($AG1350="","",P_UploadVersie)</f>
        <v/>
      </c>
      <c r="G1350" s="92" t="str">
        <f>IF($AG1350="","",IF(COUNTIFS(L_Sleutel,$S1350,L_Status,"Vastgesteld")=0,0,_xlfn.MAXIFS(L_Revisie,L_Sleutel,$S1350,L_Status,"Vastgesteld")+1))</f>
        <v/>
      </c>
      <c r="H1350" s="108" t="str">
        <f>IF($AG1350="","",P_Peildatum)</f>
        <v/>
      </c>
      <c r="I1350" s="92" t="str">
        <f>IF($AG1350="","",P_RJ+INDEX($AK$8:$AK$21,INDEX($AC$8:$AC$1407,$AG1350)+1))</f>
        <v/>
      </c>
      <c r="J1350" s="92" t="str">
        <f>IF($AG1350="","",INDEX(V_WBS,INDEX($AB$8:$AB$1407,$AG1350)))</f>
        <v/>
      </c>
      <c r="K1350" s="92" t="str">
        <f>IF($AG1350="","",INDEX(V_Projdef,INDEX($AB$8:$AB$1407,$AG1350)))</f>
        <v/>
      </c>
      <c r="L1350" s="92" t="str">
        <f>IF($AG1350="","",INDEX(V_Naam,INDEX($AB$8:$AB$1407,$AG1350)))</f>
        <v/>
      </c>
      <c r="M1350" s="92" t="str">
        <f>IF($AG1350="","",INDEX(V_Type,INDEX($AB$8:$AB$1407,$AG1350)))</f>
        <v/>
      </c>
      <c r="N1350" s="92" t="str">
        <f>IF($AG1350="","",INDEX(V_IFRS,INDEX($AB$8:$AB$1407,$AG1350)))</f>
        <v/>
      </c>
      <c r="O1350" s="92" t="str">
        <f>IF($AG1350="","",INDEX($AL$8:$AL$21,INDEX($AC$8:$AC$1407,$AG1350)+1))</f>
        <v/>
      </c>
      <c r="P1350" s="109" t="str">
        <f>IF($AG1350="","",INDEX($AD$8:$AD$1407,$AG1350))</f>
        <v/>
      </c>
      <c r="Q1350" s="92" t="str">
        <f>IF($AG1350="","",INDEX($AM$8:$AM$21,INDEX($AC$8:$AC$1407,$AG1350)+1))</f>
        <v/>
      </c>
      <c r="R1350" s="92" t="str">
        <f>IF($AG1350="","",IF($G1350&gt;0,P_ToelCorrectie&amp;"",""))</f>
        <v/>
      </c>
      <c r="S1350" s="15" t="str">
        <f>IF(J1350="","",J1350&amp;"|"&amp;E1350&amp;"|"&amp;F1350&amp;"|"&amp;I1350&amp;"|"&amp;O1350)</f>
        <v/>
      </c>
      <c r="T1350" s="111" t="str">
        <f>IF(S1350="","",IF(COUNTIFS(L_Sleutel,S1350,L_Actief,1)=0,"",SUMIFS(L_Waarde,L_Sleutel,S1350,L_Actief,1)))</f>
        <v/>
      </c>
      <c r="U1350" s="111">
        <f>IF(OR(S1350="",T1350=""),0,P1350-T1350)</f>
        <v>0</v>
      </c>
      <c r="AB1350" s="112" t="n">
        <v>96</v>
      </c>
      <c r="AC1350" s="112" t="n">
        <v>12</v>
      </c>
      <c r="AD1350" s="112" t="str">
        <f>VERW_Project!BU101</f>
        <v/>
      </c>
      <c r="AE1350" s="112">
        <f>IF(AND(VERW_Project!$A101&lt;&gt;"",ISNUMBER(AD1350)),1,0)</f>
        <v>0</v>
      </c>
      <c r="AF1350" s="112" t="str">
        <f>IF(AE1350=1,SUM($AE$8:AE1350),"")</f>
        <v/>
      </c>
      <c r="AG1350" t="str">
        <f>IFERROR(MATCH(1343,$AF$8:$AF$1407,0),"")</f>
        <v/>
      </c>
    </row>
    <row r="1351">
      <c r="A1351" s="92" t="str">
        <f>IF($AG1351="","",P_ImportID)</f>
        <v/>
      </c>
      <c r="B1351" s="92" t="str">
        <f>IF($AG1351="","",IF(INDEX($AN$8:$AN$21,INDEX($AC$8:$AC$1407,$AG1351)+1)="Z",P_BronZ,P_BronE))</f>
        <v/>
      </c>
      <c r="C1351" s="108" t="str">
        <f>IF($AG1351="","",P_Importdatum)</f>
        <v/>
      </c>
      <c r="D1351" s="92" t="str">
        <f>IF($AG1351="","",P_StatusVastleg)</f>
        <v/>
      </c>
      <c r="E1351" s="92" t="str">
        <f>IF($AG1351="","",P_UploadVJ)</f>
        <v/>
      </c>
      <c r="F1351" s="92" t="str">
        <f>IF($AG1351="","",P_UploadVersie)</f>
        <v/>
      </c>
      <c r="G1351" s="92" t="str">
        <f>IF($AG1351="","",IF(COUNTIFS(L_Sleutel,$S1351,L_Status,"Vastgesteld")=0,0,_xlfn.MAXIFS(L_Revisie,L_Sleutel,$S1351,L_Status,"Vastgesteld")+1))</f>
        <v/>
      </c>
      <c r="H1351" s="108" t="str">
        <f>IF($AG1351="","",P_Peildatum)</f>
        <v/>
      </c>
      <c r="I1351" s="92" t="str">
        <f>IF($AG1351="","",P_RJ+INDEX($AK$8:$AK$21,INDEX($AC$8:$AC$1407,$AG1351)+1))</f>
        <v/>
      </c>
      <c r="J1351" s="92" t="str">
        <f>IF($AG1351="","",INDEX(V_WBS,INDEX($AB$8:$AB$1407,$AG1351)))</f>
        <v/>
      </c>
      <c r="K1351" s="92" t="str">
        <f>IF($AG1351="","",INDEX(V_Projdef,INDEX($AB$8:$AB$1407,$AG1351)))</f>
        <v/>
      </c>
      <c r="L1351" s="92" t="str">
        <f>IF($AG1351="","",INDEX(V_Naam,INDEX($AB$8:$AB$1407,$AG1351)))</f>
        <v/>
      </c>
      <c r="M1351" s="92" t="str">
        <f>IF($AG1351="","",INDEX(V_Type,INDEX($AB$8:$AB$1407,$AG1351)))</f>
        <v/>
      </c>
      <c r="N1351" s="92" t="str">
        <f>IF($AG1351="","",INDEX(V_IFRS,INDEX($AB$8:$AB$1407,$AG1351)))</f>
        <v/>
      </c>
      <c r="O1351" s="92" t="str">
        <f>IF($AG1351="","",INDEX($AL$8:$AL$21,INDEX($AC$8:$AC$1407,$AG1351)+1))</f>
        <v/>
      </c>
      <c r="P1351" s="109" t="str">
        <f>IF($AG1351="","",INDEX($AD$8:$AD$1407,$AG1351))</f>
        <v/>
      </c>
      <c r="Q1351" s="92" t="str">
        <f>IF($AG1351="","",INDEX($AM$8:$AM$21,INDEX($AC$8:$AC$1407,$AG1351)+1))</f>
        <v/>
      </c>
      <c r="R1351" s="92" t="str">
        <f>IF($AG1351="","",IF($G1351&gt;0,P_ToelCorrectie&amp;"",""))</f>
        <v/>
      </c>
      <c r="S1351" s="15" t="str">
        <f>IF(J1351="","",J1351&amp;"|"&amp;E1351&amp;"|"&amp;F1351&amp;"|"&amp;I1351&amp;"|"&amp;O1351)</f>
        <v/>
      </c>
      <c r="T1351" s="111" t="str">
        <f>IF(S1351="","",IF(COUNTIFS(L_Sleutel,S1351,L_Actief,1)=0,"",SUMIFS(L_Waarde,L_Sleutel,S1351,L_Actief,1)))</f>
        <v/>
      </c>
      <c r="U1351" s="111">
        <f>IF(OR(S1351="",T1351=""),0,P1351-T1351)</f>
        <v>0</v>
      </c>
      <c r="AB1351" s="112" t="n">
        <v>96</v>
      </c>
      <c r="AC1351" s="112" t="n">
        <v>13</v>
      </c>
      <c r="AD1351" s="112" t="str">
        <f>VERW_Project!BX101</f>
        <v/>
      </c>
      <c r="AE1351" s="112">
        <f>IF(AND(VERW_Project!$A101&lt;&gt;"",ISNUMBER(AD1351)),1,0)</f>
        <v>0</v>
      </c>
      <c r="AF1351" s="112" t="str">
        <f>IF(AE1351=1,SUM($AE$8:AE1351),"")</f>
        <v/>
      </c>
      <c r="AG1351" t="str">
        <f>IFERROR(MATCH(1344,$AF$8:$AF$1407,0),"")</f>
        <v/>
      </c>
    </row>
    <row r="1352">
      <c r="A1352" s="92" t="str">
        <f>IF($AG1352="","",P_ImportID)</f>
        <v/>
      </c>
      <c r="B1352" s="92" t="str">
        <f>IF($AG1352="","",IF(INDEX($AN$8:$AN$21,INDEX($AC$8:$AC$1407,$AG1352)+1)="Z",P_BronZ,P_BronE))</f>
        <v/>
      </c>
      <c r="C1352" s="108" t="str">
        <f>IF($AG1352="","",P_Importdatum)</f>
        <v/>
      </c>
      <c r="D1352" s="92" t="str">
        <f>IF($AG1352="","",P_StatusVastleg)</f>
        <v/>
      </c>
      <c r="E1352" s="92" t="str">
        <f>IF($AG1352="","",P_UploadVJ)</f>
        <v/>
      </c>
      <c r="F1352" s="92" t="str">
        <f>IF($AG1352="","",P_UploadVersie)</f>
        <v/>
      </c>
      <c r="G1352" s="92" t="str">
        <f>IF($AG1352="","",IF(COUNTIFS(L_Sleutel,$S1352,L_Status,"Vastgesteld")=0,0,_xlfn.MAXIFS(L_Revisie,L_Sleutel,$S1352,L_Status,"Vastgesteld")+1))</f>
        <v/>
      </c>
      <c r="H1352" s="108" t="str">
        <f>IF($AG1352="","",P_Peildatum)</f>
        <v/>
      </c>
      <c r="I1352" s="92" t="str">
        <f>IF($AG1352="","",P_RJ+INDEX($AK$8:$AK$21,INDEX($AC$8:$AC$1407,$AG1352)+1))</f>
        <v/>
      </c>
      <c r="J1352" s="92" t="str">
        <f>IF($AG1352="","",INDEX(V_WBS,INDEX($AB$8:$AB$1407,$AG1352)))</f>
        <v/>
      </c>
      <c r="K1352" s="92" t="str">
        <f>IF($AG1352="","",INDEX(V_Projdef,INDEX($AB$8:$AB$1407,$AG1352)))</f>
        <v/>
      </c>
      <c r="L1352" s="92" t="str">
        <f>IF($AG1352="","",INDEX(V_Naam,INDEX($AB$8:$AB$1407,$AG1352)))</f>
        <v/>
      </c>
      <c r="M1352" s="92" t="str">
        <f>IF($AG1352="","",INDEX(V_Type,INDEX($AB$8:$AB$1407,$AG1352)))</f>
        <v/>
      </c>
      <c r="N1352" s="92" t="str">
        <f>IF($AG1352="","",INDEX(V_IFRS,INDEX($AB$8:$AB$1407,$AG1352)))</f>
        <v/>
      </c>
      <c r="O1352" s="92" t="str">
        <f>IF($AG1352="","",INDEX($AL$8:$AL$21,INDEX($AC$8:$AC$1407,$AG1352)+1))</f>
        <v/>
      </c>
      <c r="P1352" s="109" t="str">
        <f>IF($AG1352="","",INDEX($AD$8:$AD$1407,$AG1352))</f>
        <v/>
      </c>
      <c r="Q1352" s="92" t="str">
        <f>IF($AG1352="","",INDEX($AM$8:$AM$21,INDEX($AC$8:$AC$1407,$AG1352)+1))</f>
        <v/>
      </c>
      <c r="R1352" s="92" t="str">
        <f>IF($AG1352="","",IF($G1352&gt;0,P_ToelCorrectie&amp;"",""))</f>
        <v/>
      </c>
      <c r="S1352" s="15" t="str">
        <f>IF(J1352="","",J1352&amp;"|"&amp;E1352&amp;"|"&amp;F1352&amp;"|"&amp;I1352&amp;"|"&amp;O1352)</f>
        <v/>
      </c>
      <c r="T1352" s="111" t="str">
        <f>IF(S1352="","",IF(COUNTIFS(L_Sleutel,S1352,L_Actief,1)=0,"",SUMIFS(L_Waarde,L_Sleutel,S1352,L_Actief,1)))</f>
        <v/>
      </c>
      <c r="U1352" s="111">
        <f>IF(OR(S1352="",T1352=""),0,P1352-T1352)</f>
        <v>0</v>
      </c>
      <c r="AB1352" s="112" t="n">
        <v>97</v>
      </c>
      <c r="AC1352" s="112" t="n">
        <v>0</v>
      </c>
      <c r="AD1352" s="112" t="str">
        <f>VERW_Project!P102</f>
        <v/>
      </c>
      <c r="AE1352" s="112">
        <f>IF(AND(VERW_Project!$A102&lt;&gt;"",ISNUMBER(AD1352)),1,0)</f>
        <v>0</v>
      </c>
      <c r="AF1352" s="112" t="str">
        <f>IF(AE1352=1,SUM($AE$8:AE1352),"")</f>
        <v/>
      </c>
      <c r="AG1352" t="str">
        <f>IFERROR(MATCH(1345,$AF$8:$AF$1407,0),"")</f>
        <v/>
      </c>
    </row>
    <row r="1353">
      <c r="A1353" s="92" t="str">
        <f>IF($AG1353="","",P_ImportID)</f>
        <v/>
      </c>
      <c r="B1353" s="92" t="str">
        <f>IF($AG1353="","",IF(INDEX($AN$8:$AN$21,INDEX($AC$8:$AC$1407,$AG1353)+1)="Z",P_BronZ,P_BronE))</f>
        <v/>
      </c>
      <c r="C1353" s="108" t="str">
        <f>IF($AG1353="","",P_Importdatum)</f>
        <v/>
      </c>
      <c r="D1353" s="92" t="str">
        <f>IF($AG1353="","",P_StatusVastleg)</f>
        <v/>
      </c>
      <c r="E1353" s="92" t="str">
        <f>IF($AG1353="","",P_UploadVJ)</f>
        <v/>
      </c>
      <c r="F1353" s="92" t="str">
        <f>IF($AG1353="","",P_UploadVersie)</f>
        <v/>
      </c>
      <c r="G1353" s="92" t="str">
        <f>IF($AG1353="","",IF(COUNTIFS(L_Sleutel,$S1353,L_Status,"Vastgesteld")=0,0,_xlfn.MAXIFS(L_Revisie,L_Sleutel,$S1353,L_Status,"Vastgesteld")+1))</f>
        <v/>
      </c>
      <c r="H1353" s="108" t="str">
        <f>IF($AG1353="","",P_Peildatum)</f>
        <v/>
      </c>
      <c r="I1353" s="92" t="str">
        <f>IF($AG1353="","",P_RJ+INDEX($AK$8:$AK$21,INDEX($AC$8:$AC$1407,$AG1353)+1))</f>
        <v/>
      </c>
      <c r="J1353" s="92" t="str">
        <f>IF($AG1353="","",INDEX(V_WBS,INDEX($AB$8:$AB$1407,$AG1353)))</f>
        <v/>
      </c>
      <c r="K1353" s="92" t="str">
        <f>IF($AG1353="","",INDEX(V_Projdef,INDEX($AB$8:$AB$1407,$AG1353)))</f>
        <v/>
      </c>
      <c r="L1353" s="92" t="str">
        <f>IF($AG1353="","",INDEX(V_Naam,INDEX($AB$8:$AB$1407,$AG1353)))</f>
        <v/>
      </c>
      <c r="M1353" s="92" t="str">
        <f>IF($AG1353="","",INDEX(V_Type,INDEX($AB$8:$AB$1407,$AG1353)))</f>
        <v/>
      </c>
      <c r="N1353" s="92" t="str">
        <f>IF($AG1353="","",INDEX(V_IFRS,INDEX($AB$8:$AB$1407,$AG1353)))</f>
        <v/>
      </c>
      <c r="O1353" s="92" t="str">
        <f>IF($AG1353="","",INDEX($AL$8:$AL$21,INDEX($AC$8:$AC$1407,$AG1353)+1))</f>
        <v/>
      </c>
      <c r="P1353" s="109" t="str">
        <f>IF($AG1353="","",INDEX($AD$8:$AD$1407,$AG1353))</f>
        <v/>
      </c>
      <c r="Q1353" s="92" t="str">
        <f>IF($AG1353="","",INDEX($AM$8:$AM$21,INDEX($AC$8:$AC$1407,$AG1353)+1))</f>
        <v/>
      </c>
      <c r="R1353" s="92" t="str">
        <f>IF($AG1353="","",IF($G1353&gt;0,P_ToelCorrectie&amp;"",""))</f>
        <v/>
      </c>
      <c r="S1353" s="15" t="str">
        <f>IF(J1353="","",J1353&amp;"|"&amp;E1353&amp;"|"&amp;F1353&amp;"|"&amp;I1353&amp;"|"&amp;O1353)</f>
        <v/>
      </c>
      <c r="T1353" s="111" t="str">
        <f>IF(S1353="","",IF(COUNTIFS(L_Sleutel,S1353,L_Actief,1)=0,"",SUMIFS(L_Waarde,L_Sleutel,S1353,L_Actief,1)))</f>
        <v/>
      </c>
      <c r="U1353" s="111">
        <f>IF(OR(S1353="",T1353=""),0,P1353-T1353)</f>
        <v>0</v>
      </c>
      <c r="AB1353" s="112" t="n">
        <v>97</v>
      </c>
      <c r="AC1353" s="112" t="n">
        <v>1</v>
      </c>
      <c r="AD1353" s="112" t="str">
        <f>VERW_Project!Q102</f>
        <v/>
      </c>
      <c r="AE1353" s="112">
        <f>IF(AND(VERW_Project!$A102&lt;&gt;"",ISNUMBER(AD1353)),1,0)</f>
        <v>0</v>
      </c>
      <c r="AF1353" s="112" t="str">
        <f>IF(AE1353=1,SUM($AE$8:AE1353),"")</f>
        <v/>
      </c>
      <c r="AG1353" t="str">
        <f>IFERROR(MATCH(1346,$AF$8:$AF$1407,0),"")</f>
        <v/>
      </c>
    </row>
    <row r="1354">
      <c r="A1354" s="92" t="str">
        <f>IF($AG1354="","",P_ImportID)</f>
        <v/>
      </c>
      <c r="B1354" s="92" t="str">
        <f>IF($AG1354="","",IF(INDEX($AN$8:$AN$21,INDEX($AC$8:$AC$1407,$AG1354)+1)="Z",P_BronZ,P_BronE))</f>
        <v/>
      </c>
      <c r="C1354" s="108" t="str">
        <f>IF($AG1354="","",P_Importdatum)</f>
        <v/>
      </c>
      <c r="D1354" s="92" t="str">
        <f>IF($AG1354="","",P_StatusVastleg)</f>
        <v/>
      </c>
      <c r="E1354" s="92" t="str">
        <f>IF($AG1354="","",P_UploadVJ)</f>
        <v/>
      </c>
      <c r="F1354" s="92" t="str">
        <f>IF($AG1354="","",P_UploadVersie)</f>
        <v/>
      </c>
      <c r="G1354" s="92" t="str">
        <f>IF($AG1354="","",IF(COUNTIFS(L_Sleutel,$S1354,L_Status,"Vastgesteld")=0,0,_xlfn.MAXIFS(L_Revisie,L_Sleutel,$S1354,L_Status,"Vastgesteld")+1))</f>
        <v/>
      </c>
      <c r="H1354" s="108" t="str">
        <f>IF($AG1354="","",P_Peildatum)</f>
        <v/>
      </c>
      <c r="I1354" s="92" t="str">
        <f>IF($AG1354="","",P_RJ+INDEX($AK$8:$AK$21,INDEX($AC$8:$AC$1407,$AG1354)+1))</f>
        <v/>
      </c>
      <c r="J1354" s="92" t="str">
        <f>IF($AG1354="","",INDEX(V_WBS,INDEX($AB$8:$AB$1407,$AG1354)))</f>
        <v/>
      </c>
      <c r="K1354" s="92" t="str">
        <f>IF($AG1354="","",INDEX(V_Projdef,INDEX($AB$8:$AB$1407,$AG1354)))</f>
        <v/>
      </c>
      <c r="L1354" s="92" t="str">
        <f>IF($AG1354="","",INDEX(V_Naam,INDEX($AB$8:$AB$1407,$AG1354)))</f>
        <v/>
      </c>
      <c r="M1354" s="92" t="str">
        <f>IF($AG1354="","",INDEX(V_Type,INDEX($AB$8:$AB$1407,$AG1354)))</f>
        <v/>
      </c>
      <c r="N1354" s="92" t="str">
        <f>IF($AG1354="","",INDEX(V_IFRS,INDEX($AB$8:$AB$1407,$AG1354)))</f>
        <v/>
      </c>
      <c r="O1354" s="92" t="str">
        <f>IF($AG1354="","",INDEX($AL$8:$AL$21,INDEX($AC$8:$AC$1407,$AG1354)+1))</f>
        <v/>
      </c>
      <c r="P1354" s="109" t="str">
        <f>IF($AG1354="","",INDEX($AD$8:$AD$1407,$AG1354))</f>
        <v/>
      </c>
      <c r="Q1354" s="92" t="str">
        <f>IF($AG1354="","",INDEX($AM$8:$AM$21,INDEX($AC$8:$AC$1407,$AG1354)+1))</f>
        <v/>
      </c>
      <c r="R1354" s="92" t="str">
        <f>IF($AG1354="","",IF($G1354&gt;0,P_ToelCorrectie&amp;"",""))</f>
        <v/>
      </c>
      <c r="S1354" s="15" t="str">
        <f>IF(J1354="","",J1354&amp;"|"&amp;E1354&amp;"|"&amp;F1354&amp;"|"&amp;I1354&amp;"|"&amp;O1354)</f>
        <v/>
      </c>
      <c r="T1354" s="111" t="str">
        <f>IF(S1354="","",IF(COUNTIFS(L_Sleutel,S1354,L_Actief,1)=0,"",SUMIFS(L_Waarde,L_Sleutel,S1354,L_Actief,1)))</f>
        <v/>
      </c>
      <c r="U1354" s="111">
        <f>IF(OR(S1354="",T1354=""),0,P1354-T1354)</f>
        <v>0</v>
      </c>
      <c r="AB1354" s="112" t="n">
        <v>97</v>
      </c>
      <c r="AC1354" s="112" t="n">
        <v>2</v>
      </c>
      <c r="AD1354" s="112" t="str">
        <f>VERW_Project!L102</f>
        <v/>
      </c>
      <c r="AE1354" s="112">
        <f>IF(AND(VERW_Project!$A102&lt;&gt;"",ISNUMBER(AD1354)),1,0)</f>
        <v>0</v>
      </c>
      <c r="AF1354" s="112" t="str">
        <f>IF(AE1354=1,SUM($AE$8:AE1354),"")</f>
        <v/>
      </c>
      <c r="AG1354" t="str">
        <f>IFERROR(MATCH(1347,$AF$8:$AF$1407,0),"")</f>
        <v/>
      </c>
    </row>
    <row r="1355">
      <c r="A1355" s="92" t="str">
        <f>IF($AG1355="","",P_ImportID)</f>
        <v/>
      </c>
      <c r="B1355" s="92" t="str">
        <f>IF($AG1355="","",IF(INDEX($AN$8:$AN$21,INDEX($AC$8:$AC$1407,$AG1355)+1)="Z",P_BronZ,P_BronE))</f>
        <v/>
      </c>
      <c r="C1355" s="108" t="str">
        <f>IF($AG1355="","",P_Importdatum)</f>
        <v/>
      </c>
      <c r="D1355" s="92" t="str">
        <f>IF($AG1355="","",P_StatusVastleg)</f>
        <v/>
      </c>
      <c r="E1355" s="92" t="str">
        <f>IF($AG1355="","",P_UploadVJ)</f>
        <v/>
      </c>
      <c r="F1355" s="92" t="str">
        <f>IF($AG1355="","",P_UploadVersie)</f>
        <v/>
      </c>
      <c r="G1355" s="92" t="str">
        <f>IF($AG1355="","",IF(COUNTIFS(L_Sleutel,$S1355,L_Status,"Vastgesteld")=0,0,_xlfn.MAXIFS(L_Revisie,L_Sleutel,$S1355,L_Status,"Vastgesteld")+1))</f>
        <v/>
      </c>
      <c r="H1355" s="108" t="str">
        <f>IF($AG1355="","",P_Peildatum)</f>
        <v/>
      </c>
      <c r="I1355" s="92" t="str">
        <f>IF($AG1355="","",P_RJ+INDEX($AK$8:$AK$21,INDEX($AC$8:$AC$1407,$AG1355)+1))</f>
        <v/>
      </c>
      <c r="J1355" s="92" t="str">
        <f>IF($AG1355="","",INDEX(V_WBS,INDEX($AB$8:$AB$1407,$AG1355)))</f>
        <v/>
      </c>
      <c r="K1355" s="92" t="str">
        <f>IF($AG1355="","",INDEX(V_Projdef,INDEX($AB$8:$AB$1407,$AG1355)))</f>
        <v/>
      </c>
      <c r="L1355" s="92" t="str">
        <f>IF($AG1355="","",INDEX(V_Naam,INDEX($AB$8:$AB$1407,$AG1355)))</f>
        <v/>
      </c>
      <c r="M1355" s="92" t="str">
        <f>IF($AG1355="","",INDEX(V_Type,INDEX($AB$8:$AB$1407,$AG1355)))</f>
        <v/>
      </c>
      <c r="N1355" s="92" t="str">
        <f>IF($AG1355="","",INDEX(V_IFRS,INDEX($AB$8:$AB$1407,$AG1355)))</f>
        <v/>
      </c>
      <c r="O1355" s="92" t="str">
        <f>IF($AG1355="","",INDEX($AL$8:$AL$21,INDEX($AC$8:$AC$1407,$AG1355)+1))</f>
        <v/>
      </c>
      <c r="P1355" s="109" t="str">
        <f>IF($AG1355="","",INDEX($AD$8:$AD$1407,$AG1355))</f>
        <v/>
      </c>
      <c r="Q1355" s="92" t="str">
        <f>IF($AG1355="","",INDEX($AM$8:$AM$21,INDEX($AC$8:$AC$1407,$AG1355)+1))</f>
        <v/>
      </c>
      <c r="R1355" s="92" t="str">
        <f>IF($AG1355="","",IF($G1355&gt;0,P_ToelCorrectie&amp;"",""))</f>
        <v/>
      </c>
      <c r="S1355" s="15" t="str">
        <f>IF(J1355="","",J1355&amp;"|"&amp;E1355&amp;"|"&amp;F1355&amp;"|"&amp;I1355&amp;"|"&amp;O1355)</f>
        <v/>
      </c>
      <c r="T1355" s="111" t="str">
        <f>IF(S1355="","",IF(COUNTIFS(L_Sleutel,S1355,L_Actief,1)=0,"",SUMIFS(L_Waarde,L_Sleutel,S1355,L_Actief,1)))</f>
        <v/>
      </c>
      <c r="U1355" s="111">
        <f>IF(OR(S1355="",T1355=""),0,P1355-T1355)</f>
        <v>0</v>
      </c>
      <c r="AB1355" s="112" t="n">
        <v>97</v>
      </c>
      <c r="AC1355" s="112" t="n">
        <v>3</v>
      </c>
      <c r="AD1355" s="112" t="str">
        <f>VERW_Project!M102</f>
        <v/>
      </c>
      <c r="AE1355" s="112">
        <f>IF(AND(VERW_Project!$A102&lt;&gt;"",ISNUMBER(AD1355)),1,0)</f>
        <v>0</v>
      </c>
      <c r="AF1355" s="112" t="str">
        <f>IF(AE1355=1,SUM($AE$8:AE1355),"")</f>
        <v/>
      </c>
      <c r="AG1355" t="str">
        <f>IFERROR(MATCH(1348,$AF$8:$AF$1407,0),"")</f>
        <v/>
      </c>
    </row>
    <row r="1356">
      <c r="A1356" s="92" t="str">
        <f>IF($AG1356="","",P_ImportID)</f>
        <v/>
      </c>
      <c r="B1356" s="92" t="str">
        <f>IF($AG1356="","",IF(INDEX($AN$8:$AN$21,INDEX($AC$8:$AC$1407,$AG1356)+1)="Z",P_BronZ,P_BronE))</f>
        <v/>
      </c>
      <c r="C1356" s="108" t="str">
        <f>IF($AG1356="","",P_Importdatum)</f>
        <v/>
      </c>
      <c r="D1356" s="92" t="str">
        <f>IF($AG1356="","",P_StatusVastleg)</f>
        <v/>
      </c>
      <c r="E1356" s="92" t="str">
        <f>IF($AG1356="","",P_UploadVJ)</f>
        <v/>
      </c>
      <c r="F1356" s="92" t="str">
        <f>IF($AG1356="","",P_UploadVersie)</f>
        <v/>
      </c>
      <c r="G1356" s="92" t="str">
        <f>IF($AG1356="","",IF(COUNTIFS(L_Sleutel,$S1356,L_Status,"Vastgesteld")=0,0,_xlfn.MAXIFS(L_Revisie,L_Sleutel,$S1356,L_Status,"Vastgesteld")+1))</f>
        <v/>
      </c>
      <c r="H1356" s="108" t="str">
        <f>IF($AG1356="","",P_Peildatum)</f>
        <v/>
      </c>
      <c r="I1356" s="92" t="str">
        <f>IF($AG1356="","",P_RJ+INDEX($AK$8:$AK$21,INDEX($AC$8:$AC$1407,$AG1356)+1))</f>
        <v/>
      </c>
      <c r="J1356" s="92" t="str">
        <f>IF($AG1356="","",INDEX(V_WBS,INDEX($AB$8:$AB$1407,$AG1356)))</f>
        <v/>
      </c>
      <c r="K1356" s="92" t="str">
        <f>IF($AG1356="","",INDEX(V_Projdef,INDEX($AB$8:$AB$1407,$AG1356)))</f>
        <v/>
      </c>
      <c r="L1356" s="92" t="str">
        <f>IF($AG1356="","",INDEX(V_Naam,INDEX($AB$8:$AB$1407,$AG1356)))</f>
        <v/>
      </c>
      <c r="M1356" s="92" t="str">
        <f>IF($AG1356="","",INDEX(V_Type,INDEX($AB$8:$AB$1407,$AG1356)))</f>
        <v/>
      </c>
      <c r="N1356" s="92" t="str">
        <f>IF($AG1356="","",INDEX(V_IFRS,INDEX($AB$8:$AB$1407,$AG1356)))</f>
        <v/>
      </c>
      <c r="O1356" s="92" t="str">
        <f>IF($AG1356="","",INDEX($AL$8:$AL$21,INDEX($AC$8:$AC$1407,$AG1356)+1))</f>
        <v/>
      </c>
      <c r="P1356" s="109" t="str">
        <f>IF($AG1356="","",INDEX($AD$8:$AD$1407,$AG1356))</f>
        <v/>
      </c>
      <c r="Q1356" s="92" t="str">
        <f>IF($AG1356="","",INDEX($AM$8:$AM$21,INDEX($AC$8:$AC$1407,$AG1356)+1))</f>
        <v/>
      </c>
      <c r="R1356" s="92" t="str">
        <f>IF($AG1356="","",IF($G1356&gt;0,P_ToelCorrectie&amp;"",""))</f>
        <v/>
      </c>
      <c r="S1356" s="15" t="str">
        <f>IF(J1356="","",J1356&amp;"|"&amp;E1356&amp;"|"&amp;F1356&amp;"|"&amp;I1356&amp;"|"&amp;O1356)</f>
        <v/>
      </c>
      <c r="T1356" s="111" t="str">
        <f>IF(S1356="","",IF(COUNTIFS(L_Sleutel,S1356,L_Actief,1)=0,"",SUMIFS(L_Waarde,L_Sleutel,S1356,L_Actief,1)))</f>
        <v/>
      </c>
      <c r="U1356" s="111">
        <f>IF(OR(S1356="",T1356=""),0,P1356-T1356)</f>
        <v>0</v>
      </c>
      <c r="AB1356" s="112" t="n">
        <v>97</v>
      </c>
      <c r="AC1356" s="112" t="n">
        <v>4</v>
      </c>
      <c r="AD1356" s="112" t="str">
        <f>VERW_Project!R102</f>
        <v/>
      </c>
      <c r="AE1356" s="112">
        <f>IF(AND(VERW_Project!$A102&lt;&gt;"",ISNUMBER(AD1356)),1,0)</f>
        <v>0</v>
      </c>
      <c r="AF1356" s="112" t="str">
        <f>IF(AE1356=1,SUM($AE$8:AE1356),"")</f>
        <v/>
      </c>
      <c r="AG1356" t="str">
        <f>IFERROR(MATCH(1349,$AF$8:$AF$1407,0),"")</f>
        <v/>
      </c>
    </row>
    <row r="1357">
      <c r="A1357" s="92" t="str">
        <f>IF($AG1357="","",P_ImportID)</f>
        <v/>
      </c>
      <c r="B1357" s="92" t="str">
        <f>IF($AG1357="","",IF(INDEX($AN$8:$AN$21,INDEX($AC$8:$AC$1407,$AG1357)+1)="Z",P_BronZ,P_BronE))</f>
        <v/>
      </c>
      <c r="C1357" s="108" t="str">
        <f>IF($AG1357="","",P_Importdatum)</f>
        <v/>
      </c>
      <c r="D1357" s="92" t="str">
        <f>IF($AG1357="","",P_StatusVastleg)</f>
        <v/>
      </c>
      <c r="E1357" s="92" t="str">
        <f>IF($AG1357="","",P_UploadVJ)</f>
        <v/>
      </c>
      <c r="F1357" s="92" t="str">
        <f>IF($AG1357="","",P_UploadVersie)</f>
        <v/>
      </c>
      <c r="G1357" s="92" t="str">
        <f>IF($AG1357="","",IF(COUNTIFS(L_Sleutel,$S1357,L_Status,"Vastgesteld")=0,0,_xlfn.MAXIFS(L_Revisie,L_Sleutel,$S1357,L_Status,"Vastgesteld")+1))</f>
        <v/>
      </c>
      <c r="H1357" s="108" t="str">
        <f>IF($AG1357="","",P_Peildatum)</f>
        <v/>
      </c>
      <c r="I1357" s="92" t="str">
        <f>IF($AG1357="","",P_RJ+INDEX($AK$8:$AK$21,INDEX($AC$8:$AC$1407,$AG1357)+1))</f>
        <v/>
      </c>
      <c r="J1357" s="92" t="str">
        <f>IF($AG1357="","",INDEX(V_WBS,INDEX($AB$8:$AB$1407,$AG1357)))</f>
        <v/>
      </c>
      <c r="K1357" s="92" t="str">
        <f>IF($AG1357="","",INDEX(V_Projdef,INDEX($AB$8:$AB$1407,$AG1357)))</f>
        <v/>
      </c>
      <c r="L1357" s="92" t="str">
        <f>IF($AG1357="","",INDEX(V_Naam,INDEX($AB$8:$AB$1407,$AG1357)))</f>
        <v/>
      </c>
      <c r="M1357" s="92" t="str">
        <f>IF($AG1357="","",INDEX(V_Type,INDEX($AB$8:$AB$1407,$AG1357)))</f>
        <v/>
      </c>
      <c r="N1357" s="92" t="str">
        <f>IF($AG1357="","",INDEX(V_IFRS,INDEX($AB$8:$AB$1407,$AG1357)))</f>
        <v/>
      </c>
      <c r="O1357" s="92" t="str">
        <f>IF($AG1357="","",INDEX($AL$8:$AL$21,INDEX($AC$8:$AC$1407,$AG1357)+1))</f>
        <v/>
      </c>
      <c r="P1357" s="109" t="str">
        <f>IF($AG1357="","",INDEX($AD$8:$AD$1407,$AG1357))</f>
        <v/>
      </c>
      <c r="Q1357" s="92" t="str">
        <f>IF($AG1357="","",INDEX($AM$8:$AM$21,INDEX($AC$8:$AC$1407,$AG1357)+1))</f>
        <v/>
      </c>
      <c r="R1357" s="92" t="str">
        <f>IF($AG1357="","",IF($G1357&gt;0,P_ToelCorrectie&amp;"",""))</f>
        <v/>
      </c>
      <c r="S1357" s="15" t="str">
        <f>IF(J1357="","",J1357&amp;"|"&amp;E1357&amp;"|"&amp;F1357&amp;"|"&amp;I1357&amp;"|"&amp;O1357)</f>
        <v/>
      </c>
      <c r="T1357" s="111" t="str">
        <f>IF(S1357="","",IF(COUNTIFS(L_Sleutel,S1357,L_Actief,1)=0,"",SUMIFS(L_Waarde,L_Sleutel,S1357,L_Actief,1)))</f>
        <v/>
      </c>
      <c r="U1357" s="111">
        <f>IF(OR(S1357="",T1357=""),0,P1357-T1357)</f>
        <v>0</v>
      </c>
      <c r="AB1357" s="112" t="n">
        <v>97</v>
      </c>
      <c r="AC1357" s="112" t="n">
        <v>5</v>
      </c>
      <c r="AD1357" s="112" t="str">
        <f>VERW_Project!S102</f>
        <v/>
      </c>
      <c r="AE1357" s="112">
        <f>IF(AND(VERW_Project!$A102&lt;&gt;"",ISNUMBER(AD1357)),1,0)</f>
        <v>0</v>
      </c>
      <c r="AF1357" s="112" t="str">
        <f>IF(AE1357=1,SUM($AE$8:AE1357),"")</f>
        <v/>
      </c>
      <c r="AG1357" t="str">
        <f>IFERROR(MATCH(1350,$AF$8:$AF$1407,0),"")</f>
        <v/>
      </c>
    </row>
    <row r="1358">
      <c r="A1358" s="92" t="str">
        <f>IF($AG1358="","",P_ImportID)</f>
        <v/>
      </c>
      <c r="B1358" s="92" t="str">
        <f>IF($AG1358="","",IF(INDEX($AN$8:$AN$21,INDEX($AC$8:$AC$1407,$AG1358)+1)="Z",P_BronZ,P_BronE))</f>
        <v/>
      </c>
      <c r="C1358" s="108" t="str">
        <f>IF($AG1358="","",P_Importdatum)</f>
        <v/>
      </c>
      <c r="D1358" s="92" t="str">
        <f>IF($AG1358="","",P_StatusVastleg)</f>
        <v/>
      </c>
      <c r="E1358" s="92" t="str">
        <f>IF($AG1358="","",P_UploadVJ)</f>
        <v/>
      </c>
      <c r="F1358" s="92" t="str">
        <f>IF($AG1358="","",P_UploadVersie)</f>
        <v/>
      </c>
      <c r="G1358" s="92" t="str">
        <f>IF($AG1358="","",IF(COUNTIFS(L_Sleutel,$S1358,L_Status,"Vastgesteld")=0,0,_xlfn.MAXIFS(L_Revisie,L_Sleutel,$S1358,L_Status,"Vastgesteld")+1))</f>
        <v/>
      </c>
      <c r="H1358" s="108" t="str">
        <f>IF($AG1358="","",P_Peildatum)</f>
        <v/>
      </c>
      <c r="I1358" s="92" t="str">
        <f>IF($AG1358="","",P_RJ+INDEX($AK$8:$AK$21,INDEX($AC$8:$AC$1407,$AG1358)+1))</f>
        <v/>
      </c>
      <c r="J1358" s="92" t="str">
        <f>IF($AG1358="","",INDEX(V_WBS,INDEX($AB$8:$AB$1407,$AG1358)))</f>
        <v/>
      </c>
      <c r="K1358" s="92" t="str">
        <f>IF($AG1358="","",INDEX(V_Projdef,INDEX($AB$8:$AB$1407,$AG1358)))</f>
        <v/>
      </c>
      <c r="L1358" s="92" t="str">
        <f>IF($AG1358="","",INDEX(V_Naam,INDEX($AB$8:$AB$1407,$AG1358)))</f>
        <v/>
      </c>
      <c r="M1358" s="92" t="str">
        <f>IF($AG1358="","",INDEX(V_Type,INDEX($AB$8:$AB$1407,$AG1358)))</f>
        <v/>
      </c>
      <c r="N1358" s="92" t="str">
        <f>IF($AG1358="","",INDEX(V_IFRS,INDEX($AB$8:$AB$1407,$AG1358)))</f>
        <v/>
      </c>
      <c r="O1358" s="92" t="str">
        <f>IF($AG1358="","",INDEX($AL$8:$AL$21,INDEX($AC$8:$AC$1407,$AG1358)+1))</f>
        <v/>
      </c>
      <c r="P1358" s="109" t="str">
        <f>IF($AG1358="","",INDEX($AD$8:$AD$1407,$AG1358))</f>
        <v/>
      </c>
      <c r="Q1358" s="92" t="str">
        <f>IF($AG1358="","",INDEX($AM$8:$AM$21,INDEX($AC$8:$AC$1407,$AG1358)+1))</f>
        <v/>
      </c>
      <c r="R1358" s="92" t="str">
        <f>IF($AG1358="","",IF($G1358&gt;0,P_ToelCorrectie&amp;"",""))</f>
        <v/>
      </c>
      <c r="S1358" s="15" t="str">
        <f>IF(J1358="","",J1358&amp;"|"&amp;E1358&amp;"|"&amp;F1358&amp;"|"&amp;I1358&amp;"|"&amp;O1358)</f>
        <v/>
      </c>
      <c r="T1358" s="111" t="str">
        <f>IF(S1358="","",IF(COUNTIFS(L_Sleutel,S1358,L_Actief,1)=0,"",SUMIFS(L_Waarde,L_Sleutel,S1358,L_Actief,1)))</f>
        <v/>
      </c>
      <c r="U1358" s="111">
        <f>IF(OR(S1358="",T1358=""),0,P1358-T1358)</f>
        <v>0</v>
      </c>
      <c r="AB1358" s="112" t="n">
        <v>97</v>
      </c>
      <c r="AC1358" s="112" t="n">
        <v>6</v>
      </c>
      <c r="AD1358" s="112" t="str">
        <f>VERW_Project!BW102</f>
        <v/>
      </c>
      <c r="AE1358" s="112">
        <f>IF(AND(VERW_Project!$A102&lt;&gt;"",ISNUMBER(AD1358)),1,0)</f>
        <v>0</v>
      </c>
      <c r="AF1358" s="112" t="str">
        <f>IF(AE1358=1,SUM($AE$8:AE1358),"")</f>
        <v/>
      </c>
      <c r="AG1358" t="str">
        <f>IFERROR(MATCH(1351,$AF$8:$AF$1407,0),"")</f>
        <v/>
      </c>
    </row>
    <row r="1359">
      <c r="A1359" s="92" t="str">
        <f>IF($AG1359="","",P_ImportID)</f>
        <v/>
      </c>
      <c r="B1359" s="92" t="str">
        <f>IF($AG1359="","",IF(INDEX($AN$8:$AN$21,INDEX($AC$8:$AC$1407,$AG1359)+1)="Z",P_BronZ,P_BronE))</f>
        <v/>
      </c>
      <c r="C1359" s="108" t="str">
        <f>IF($AG1359="","",P_Importdatum)</f>
        <v/>
      </c>
      <c r="D1359" s="92" t="str">
        <f>IF($AG1359="","",P_StatusVastleg)</f>
        <v/>
      </c>
      <c r="E1359" s="92" t="str">
        <f>IF($AG1359="","",P_UploadVJ)</f>
        <v/>
      </c>
      <c r="F1359" s="92" t="str">
        <f>IF($AG1359="","",P_UploadVersie)</f>
        <v/>
      </c>
      <c r="G1359" s="92" t="str">
        <f>IF($AG1359="","",IF(COUNTIFS(L_Sleutel,$S1359,L_Status,"Vastgesteld")=0,0,_xlfn.MAXIFS(L_Revisie,L_Sleutel,$S1359,L_Status,"Vastgesteld")+1))</f>
        <v/>
      </c>
      <c r="H1359" s="108" t="str">
        <f>IF($AG1359="","",P_Peildatum)</f>
        <v/>
      </c>
      <c r="I1359" s="92" t="str">
        <f>IF($AG1359="","",P_RJ+INDEX($AK$8:$AK$21,INDEX($AC$8:$AC$1407,$AG1359)+1))</f>
        <v/>
      </c>
      <c r="J1359" s="92" t="str">
        <f>IF($AG1359="","",INDEX(V_WBS,INDEX($AB$8:$AB$1407,$AG1359)))</f>
        <v/>
      </c>
      <c r="K1359" s="92" t="str">
        <f>IF($AG1359="","",INDEX(V_Projdef,INDEX($AB$8:$AB$1407,$AG1359)))</f>
        <v/>
      </c>
      <c r="L1359" s="92" t="str">
        <f>IF($AG1359="","",INDEX(V_Naam,INDEX($AB$8:$AB$1407,$AG1359)))</f>
        <v/>
      </c>
      <c r="M1359" s="92" t="str">
        <f>IF($AG1359="","",INDEX(V_Type,INDEX($AB$8:$AB$1407,$AG1359)))</f>
        <v/>
      </c>
      <c r="N1359" s="92" t="str">
        <f>IF($AG1359="","",INDEX(V_IFRS,INDEX($AB$8:$AB$1407,$AG1359)))</f>
        <v/>
      </c>
      <c r="O1359" s="92" t="str">
        <f>IF($AG1359="","",INDEX($AL$8:$AL$21,INDEX($AC$8:$AC$1407,$AG1359)+1))</f>
        <v/>
      </c>
      <c r="P1359" s="109" t="str">
        <f>IF($AG1359="","",INDEX($AD$8:$AD$1407,$AG1359))</f>
        <v/>
      </c>
      <c r="Q1359" s="92" t="str">
        <f>IF($AG1359="","",INDEX($AM$8:$AM$21,INDEX($AC$8:$AC$1407,$AG1359)+1))</f>
        <v/>
      </c>
      <c r="R1359" s="92" t="str">
        <f>IF($AG1359="","",IF($G1359&gt;0,P_ToelCorrectie&amp;"",""))</f>
        <v/>
      </c>
      <c r="S1359" s="15" t="str">
        <f>IF(J1359="","",J1359&amp;"|"&amp;E1359&amp;"|"&amp;F1359&amp;"|"&amp;I1359&amp;"|"&amp;O1359)</f>
        <v/>
      </c>
      <c r="T1359" s="111" t="str">
        <f>IF(S1359="","",IF(COUNTIFS(L_Sleutel,S1359,L_Actief,1)=0,"",SUMIFS(L_Waarde,L_Sleutel,S1359,L_Actief,1)))</f>
        <v/>
      </c>
      <c r="U1359" s="111">
        <f>IF(OR(S1359="",T1359=""),0,P1359-T1359)</f>
        <v>0</v>
      </c>
      <c r="AB1359" s="112" t="n">
        <v>97</v>
      </c>
      <c r="AC1359" s="112" t="n">
        <v>7</v>
      </c>
      <c r="AD1359" s="112" t="str">
        <f>VERW_Project!AW102</f>
        <v/>
      </c>
      <c r="AE1359" s="112">
        <f>IF(AND(VERW_Project!$A102&lt;&gt;"",ISNUMBER(AD1359)),1,0)</f>
        <v>0</v>
      </c>
      <c r="AF1359" s="112" t="str">
        <f>IF(AE1359=1,SUM($AE$8:AE1359),"")</f>
        <v/>
      </c>
      <c r="AG1359" t="str">
        <f>IFERROR(MATCH(1352,$AF$8:$AF$1407,0),"")</f>
        <v/>
      </c>
    </row>
    <row r="1360">
      <c r="A1360" s="92" t="str">
        <f>IF($AG1360="","",P_ImportID)</f>
        <v/>
      </c>
      <c r="B1360" s="92" t="str">
        <f>IF($AG1360="","",IF(INDEX($AN$8:$AN$21,INDEX($AC$8:$AC$1407,$AG1360)+1)="Z",P_BronZ,P_BronE))</f>
        <v/>
      </c>
      <c r="C1360" s="108" t="str">
        <f>IF($AG1360="","",P_Importdatum)</f>
        <v/>
      </c>
      <c r="D1360" s="92" t="str">
        <f>IF($AG1360="","",P_StatusVastleg)</f>
        <v/>
      </c>
      <c r="E1360" s="92" t="str">
        <f>IF($AG1360="","",P_UploadVJ)</f>
        <v/>
      </c>
      <c r="F1360" s="92" t="str">
        <f>IF($AG1360="","",P_UploadVersie)</f>
        <v/>
      </c>
      <c r="G1360" s="92" t="str">
        <f>IF($AG1360="","",IF(COUNTIFS(L_Sleutel,$S1360,L_Status,"Vastgesteld")=0,0,_xlfn.MAXIFS(L_Revisie,L_Sleutel,$S1360,L_Status,"Vastgesteld")+1))</f>
        <v/>
      </c>
      <c r="H1360" s="108" t="str">
        <f>IF($AG1360="","",P_Peildatum)</f>
        <v/>
      </c>
      <c r="I1360" s="92" t="str">
        <f>IF($AG1360="","",P_RJ+INDEX($AK$8:$AK$21,INDEX($AC$8:$AC$1407,$AG1360)+1))</f>
        <v/>
      </c>
      <c r="J1360" s="92" t="str">
        <f>IF($AG1360="","",INDEX(V_WBS,INDEX($AB$8:$AB$1407,$AG1360)))</f>
        <v/>
      </c>
      <c r="K1360" s="92" t="str">
        <f>IF($AG1360="","",INDEX(V_Projdef,INDEX($AB$8:$AB$1407,$AG1360)))</f>
        <v/>
      </c>
      <c r="L1360" s="92" t="str">
        <f>IF($AG1360="","",INDEX(V_Naam,INDEX($AB$8:$AB$1407,$AG1360)))</f>
        <v/>
      </c>
      <c r="M1360" s="92" t="str">
        <f>IF($AG1360="","",INDEX(V_Type,INDEX($AB$8:$AB$1407,$AG1360)))</f>
        <v/>
      </c>
      <c r="N1360" s="92" t="str">
        <f>IF($AG1360="","",INDEX(V_IFRS,INDEX($AB$8:$AB$1407,$AG1360)))</f>
        <v/>
      </c>
      <c r="O1360" s="92" t="str">
        <f>IF($AG1360="","",INDEX($AL$8:$AL$21,INDEX($AC$8:$AC$1407,$AG1360)+1))</f>
        <v/>
      </c>
      <c r="P1360" s="109" t="str">
        <f>IF($AG1360="","",INDEX($AD$8:$AD$1407,$AG1360))</f>
        <v/>
      </c>
      <c r="Q1360" s="92" t="str">
        <f>IF($AG1360="","",INDEX($AM$8:$AM$21,INDEX($AC$8:$AC$1407,$AG1360)+1))</f>
        <v/>
      </c>
      <c r="R1360" s="92" t="str">
        <f>IF($AG1360="","",IF($G1360&gt;0,P_ToelCorrectie&amp;"",""))</f>
        <v/>
      </c>
      <c r="S1360" s="15" t="str">
        <f>IF(J1360="","",J1360&amp;"|"&amp;E1360&amp;"|"&amp;F1360&amp;"|"&amp;I1360&amp;"|"&amp;O1360)</f>
        <v/>
      </c>
      <c r="T1360" s="111" t="str">
        <f>IF(S1360="","",IF(COUNTIFS(L_Sleutel,S1360,L_Actief,1)=0,"",SUMIFS(L_Waarde,L_Sleutel,S1360,L_Actief,1)))</f>
        <v/>
      </c>
      <c r="U1360" s="111">
        <f>IF(OR(S1360="",T1360=""),0,P1360-T1360)</f>
        <v>0</v>
      </c>
      <c r="AB1360" s="112" t="n">
        <v>97</v>
      </c>
      <c r="AC1360" s="112" t="n">
        <v>8</v>
      </c>
      <c r="AD1360" s="112" t="str">
        <f>VERW_Project!BQ102</f>
        <v/>
      </c>
      <c r="AE1360" s="112">
        <f>IF(AND(VERW_Project!$A102&lt;&gt;"",ISNUMBER(AD1360)),1,0)</f>
        <v>0</v>
      </c>
      <c r="AF1360" s="112" t="str">
        <f>IF(AE1360=1,SUM($AE$8:AE1360),"")</f>
        <v/>
      </c>
      <c r="AG1360" t="str">
        <f>IFERROR(MATCH(1353,$AF$8:$AF$1407,0),"")</f>
        <v/>
      </c>
    </row>
    <row r="1361">
      <c r="A1361" s="92" t="str">
        <f>IF($AG1361="","",P_ImportID)</f>
        <v/>
      </c>
      <c r="B1361" s="92" t="str">
        <f>IF($AG1361="","",IF(INDEX($AN$8:$AN$21,INDEX($AC$8:$AC$1407,$AG1361)+1)="Z",P_BronZ,P_BronE))</f>
        <v/>
      </c>
      <c r="C1361" s="108" t="str">
        <f>IF($AG1361="","",P_Importdatum)</f>
        <v/>
      </c>
      <c r="D1361" s="92" t="str">
        <f>IF($AG1361="","",P_StatusVastleg)</f>
        <v/>
      </c>
      <c r="E1361" s="92" t="str">
        <f>IF($AG1361="","",P_UploadVJ)</f>
        <v/>
      </c>
      <c r="F1361" s="92" t="str">
        <f>IF($AG1361="","",P_UploadVersie)</f>
        <v/>
      </c>
      <c r="G1361" s="92" t="str">
        <f>IF($AG1361="","",IF(COUNTIFS(L_Sleutel,$S1361,L_Status,"Vastgesteld")=0,0,_xlfn.MAXIFS(L_Revisie,L_Sleutel,$S1361,L_Status,"Vastgesteld")+1))</f>
        <v/>
      </c>
      <c r="H1361" s="108" t="str">
        <f>IF($AG1361="","",P_Peildatum)</f>
        <v/>
      </c>
      <c r="I1361" s="92" t="str">
        <f>IF($AG1361="","",P_RJ+INDEX($AK$8:$AK$21,INDEX($AC$8:$AC$1407,$AG1361)+1))</f>
        <v/>
      </c>
      <c r="J1361" s="92" t="str">
        <f>IF($AG1361="","",INDEX(V_WBS,INDEX($AB$8:$AB$1407,$AG1361)))</f>
        <v/>
      </c>
      <c r="K1361" s="92" t="str">
        <f>IF($AG1361="","",INDEX(V_Projdef,INDEX($AB$8:$AB$1407,$AG1361)))</f>
        <v/>
      </c>
      <c r="L1361" s="92" t="str">
        <f>IF($AG1361="","",INDEX(V_Naam,INDEX($AB$8:$AB$1407,$AG1361)))</f>
        <v/>
      </c>
      <c r="M1361" s="92" t="str">
        <f>IF($AG1361="","",INDEX(V_Type,INDEX($AB$8:$AB$1407,$AG1361)))</f>
        <v/>
      </c>
      <c r="N1361" s="92" t="str">
        <f>IF($AG1361="","",INDEX(V_IFRS,INDEX($AB$8:$AB$1407,$AG1361)))</f>
        <v/>
      </c>
      <c r="O1361" s="92" t="str">
        <f>IF($AG1361="","",INDEX($AL$8:$AL$21,INDEX($AC$8:$AC$1407,$AG1361)+1))</f>
        <v/>
      </c>
      <c r="P1361" s="109" t="str">
        <f>IF($AG1361="","",INDEX($AD$8:$AD$1407,$AG1361))</f>
        <v/>
      </c>
      <c r="Q1361" s="92" t="str">
        <f>IF($AG1361="","",INDEX($AM$8:$AM$21,INDEX($AC$8:$AC$1407,$AG1361)+1))</f>
        <v/>
      </c>
      <c r="R1361" s="92" t="str">
        <f>IF($AG1361="","",IF($G1361&gt;0,P_ToelCorrectie&amp;"",""))</f>
        <v/>
      </c>
      <c r="S1361" s="15" t="str">
        <f>IF(J1361="","",J1361&amp;"|"&amp;E1361&amp;"|"&amp;F1361&amp;"|"&amp;I1361&amp;"|"&amp;O1361)</f>
        <v/>
      </c>
      <c r="T1361" s="111" t="str">
        <f>IF(S1361="","",IF(COUNTIFS(L_Sleutel,S1361,L_Actief,1)=0,"",SUMIFS(L_Waarde,L_Sleutel,S1361,L_Actief,1)))</f>
        <v/>
      </c>
      <c r="U1361" s="111">
        <f>IF(OR(S1361="",T1361=""),0,P1361-T1361)</f>
        <v>0</v>
      </c>
      <c r="AB1361" s="112" t="n">
        <v>97</v>
      </c>
      <c r="AC1361" s="112" t="n">
        <v>9</v>
      </c>
      <c r="AD1361" s="112" t="str">
        <f>VERW_Project!BR102</f>
        <v/>
      </c>
      <c r="AE1361" s="112">
        <f>IF(AND(VERW_Project!$A102&lt;&gt;"",ISNUMBER(AD1361)),1,0)</f>
        <v>0</v>
      </c>
      <c r="AF1361" s="112" t="str">
        <f>IF(AE1361=1,SUM($AE$8:AE1361),"")</f>
        <v/>
      </c>
      <c r="AG1361" t="str">
        <f>IFERROR(MATCH(1354,$AF$8:$AF$1407,0),"")</f>
        <v/>
      </c>
    </row>
    <row r="1362">
      <c r="A1362" s="92" t="str">
        <f>IF($AG1362="","",P_ImportID)</f>
        <v/>
      </c>
      <c r="B1362" s="92" t="str">
        <f>IF($AG1362="","",IF(INDEX($AN$8:$AN$21,INDEX($AC$8:$AC$1407,$AG1362)+1)="Z",P_BronZ,P_BronE))</f>
        <v/>
      </c>
      <c r="C1362" s="108" t="str">
        <f>IF($AG1362="","",P_Importdatum)</f>
        <v/>
      </c>
      <c r="D1362" s="92" t="str">
        <f>IF($AG1362="","",P_StatusVastleg)</f>
        <v/>
      </c>
      <c r="E1362" s="92" t="str">
        <f>IF($AG1362="","",P_UploadVJ)</f>
        <v/>
      </c>
      <c r="F1362" s="92" t="str">
        <f>IF($AG1362="","",P_UploadVersie)</f>
        <v/>
      </c>
      <c r="G1362" s="92" t="str">
        <f>IF($AG1362="","",IF(COUNTIFS(L_Sleutel,$S1362,L_Status,"Vastgesteld")=0,0,_xlfn.MAXIFS(L_Revisie,L_Sleutel,$S1362,L_Status,"Vastgesteld")+1))</f>
        <v/>
      </c>
      <c r="H1362" s="108" t="str">
        <f>IF($AG1362="","",P_Peildatum)</f>
        <v/>
      </c>
      <c r="I1362" s="92" t="str">
        <f>IF($AG1362="","",P_RJ+INDEX($AK$8:$AK$21,INDEX($AC$8:$AC$1407,$AG1362)+1))</f>
        <v/>
      </c>
      <c r="J1362" s="92" t="str">
        <f>IF($AG1362="","",INDEX(V_WBS,INDEX($AB$8:$AB$1407,$AG1362)))</f>
        <v/>
      </c>
      <c r="K1362" s="92" t="str">
        <f>IF($AG1362="","",INDEX(V_Projdef,INDEX($AB$8:$AB$1407,$AG1362)))</f>
        <v/>
      </c>
      <c r="L1362" s="92" t="str">
        <f>IF($AG1362="","",INDEX(V_Naam,INDEX($AB$8:$AB$1407,$AG1362)))</f>
        <v/>
      </c>
      <c r="M1362" s="92" t="str">
        <f>IF($AG1362="","",INDEX(V_Type,INDEX($AB$8:$AB$1407,$AG1362)))</f>
        <v/>
      </c>
      <c r="N1362" s="92" t="str">
        <f>IF($AG1362="","",INDEX(V_IFRS,INDEX($AB$8:$AB$1407,$AG1362)))</f>
        <v/>
      </c>
      <c r="O1362" s="92" t="str">
        <f>IF($AG1362="","",INDEX($AL$8:$AL$21,INDEX($AC$8:$AC$1407,$AG1362)+1))</f>
        <v/>
      </c>
      <c r="P1362" s="109" t="str">
        <f>IF($AG1362="","",INDEX($AD$8:$AD$1407,$AG1362))</f>
        <v/>
      </c>
      <c r="Q1362" s="92" t="str">
        <f>IF($AG1362="","",INDEX($AM$8:$AM$21,INDEX($AC$8:$AC$1407,$AG1362)+1))</f>
        <v/>
      </c>
      <c r="R1362" s="92" t="str">
        <f>IF($AG1362="","",IF($G1362&gt;0,P_ToelCorrectie&amp;"",""))</f>
        <v/>
      </c>
      <c r="S1362" s="15" t="str">
        <f>IF(J1362="","",J1362&amp;"|"&amp;E1362&amp;"|"&amp;F1362&amp;"|"&amp;I1362&amp;"|"&amp;O1362)</f>
        <v/>
      </c>
      <c r="T1362" s="111" t="str">
        <f>IF(S1362="","",IF(COUNTIFS(L_Sleutel,S1362,L_Actief,1)=0,"",SUMIFS(L_Waarde,L_Sleutel,S1362,L_Actief,1)))</f>
        <v/>
      </c>
      <c r="U1362" s="111">
        <f>IF(OR(S1362="",T1362=""),0,P1362-T1362)</f>
        <v>0</v>
      </c>
      <c r="AB1362" s="112" t="n">
        <v>97</v>
      </c>
      <c r="AC1362" s="112" t="n">
        <v>10</v>
      </c>
      <c r="AD1362" s="112" t="str">
        <f>VERW_Project!BS102</f>
        <v/>
      </c>
      <c r="AE1362" s="112">
        <f>IF(AND(VERW_Project!$A102&lt;&gt;"",ISNUMBER(AD1362)),1,0)</f>
        <v>0</v>
      </c>
      <c r="AF1362" s="112" t="str">
        <f>IF(AE1362=1,SUM($AE$8:AE1362),"")</f>
        <v/>
      </c>
      <c r="AG1362" t="str">
        <f>IFERROR(MATCH(1355,$AF$8:$AF$1407,0),"")</f>
        <v/>
      </c>
    </row>
    <row r="1363">
      <c r="A1363" s="92" t="str">
        <f>IF($AG1363="","",P_ImportID)</f>
        <v/>
      </c>
      <c r="B1363" s="92" t="str">
        <f>IF($AG1363="","",IF(INDEX($AN$8:$AN$21,INDEX($AC$8:$AC$1407,$AG1363)+1)="Z",P_BronZ,P_BronE))</f>
        <v/>
      </c>
      <c r="C1363" s="108" t="str">
        <f>IF($AG1363="","",P_Importdatum)</f>
        <v/>
      </c>
      <c r="D1363" s="92" t="str">
        <f>IF($AG1363="","",P_StatusVastleg)</f>
        <v/>
      </c>
      <c r="E1363" s="92" t="str">
        <f>IF($AG1363="","",P_UploadVJ)</f>
        <v/>
      </c>
      <c r="F1363" s="92" t="str">
        <f>IF($AG1363="","",P_UploadVersie)</f>
        <v/>
      </c>
      <c r="G1363" s="92" t="str">
        <f>IF($AG1363="","",IF(COUNTIFS(L_Sleutel,$S1363,L_Status,"Vastgesteld")=0,0,_xlfn.MAXIFS(L_Revisie,L_Sleutel,$S1363,L_Status,"Vastgesteld")+1))</f>
        <v/>
      </c>
      <c r="H1363" s="108" t="str">
        <f>IF($AG1363="","",P_Peildatum)</f>
        <v/>
      </c>
      <c r="I1363" s="92" t="str">
        <f>IF($AG1363="","",P_RJ+INDEX($AK$8:$AK$21,INDEX($AC$8:$AC$1407,$AG1363)+1))</f>
        <v/>
      </c>
      <c r="J1363" s="92" t="str">
        <f>IF($AG1363="","",INDEX(V_WBS,INDEX($AB$8:$AB$1407,$AG1363)))</f>
        <v/>
      </c>
      <c r="K1363" s="92" t="str">
        <f>IF($AG1363="","",INDEX(V_Projdef,INDEX($AB$8:$AB$1407,$AG1363)))</f>
        <v/>
      </c>
      <c r="L1363" s="92" t="str">
        <f>IF($AG1363="","",INDEX(V_Naam,INDEX($AB$8:$AB$1407,$AG1363)))</f>
        <v/>
      </c>
      <c r="M1363" s="92" t="str">
        <f>IF($AG1363="","",INDEX(V_Type,INDEX($AB$8:$AB$1407,$AG1363)))</f>
        <v/>
      </c>
      <c r="N1363" s="92" t="str">
        <f>IF($AG1363="","",INDEX(V_IFRS,INDEX($AB$8:$AB$1407,$AG1363)))</f>
        <v/>
      </c>
      <c r="O1363" s="92" t="str">
        <f>IF($AG1363="","",INDEX($AL$8:$AL$21,INDEX($AC$8:$AC$1407,$AG1363)+1))</f>
        <v/>
      </c>
      <c r="P1363" s="109" t="str">
        <f>IF($AG1363="","",INDEX($AD$8:$AD$1407,$AG1363))</f>
        <v/>
      </c>
      <c r="Q1363" s="92" t="str">
        <f>IF($AG1363="","",INDEX($AM$8:$AM$21,INDEX($AC$8:$AC$1407,$AG1363)+1))</f>
        <v/>
      </c>
      <c r="R1363" s="92" t="str">
        <f>IF($AG1363="","",IF($G1363&gt;0,P_ToelCorrectie&amp;"",""))</f>
        <v/>
      </c>
      <c r="S1363" s="15" t="str">
        <f>IF(J1363="","",J1363&amp;"|"&amp;E1363&amp;"|"&amp;F1363&amp;"|"&amp;I1363&amp;"|"&amp;O1363)</f>
        <v/>
      </c>
      <c r="T1363" s="111" t="str">
        <f>IF(S1363="","",IF(COUNTIFS(L_Sleutel,S1363,L_Actief,1)=0,"",SUMIFS(L_Waarde,L_Sleutel,S1363,L_Actief,1)))</f>
        <v/>
      </c>
      <c r="U1363" s="111">
        <f>IF(OR(S1363="",T1363=""),0,P1363-T1363)</f>
        <v>0</v>
      </c>
      <c r="AB1363" s="112" t="n">
        <v>97</v>
      </c>
      <c r="AC1363" s="112" t="n">
        <v>11</v>
      </c>
      <c r="AD1363" s="112" t="str">
        <f>VERW_Project!BT102</f>
        <v/>
      </c>
      <c r="AE1363" s="112">
        <f>IF(AND(VERW_Project!$A102&lt;&gt;"",ISNUMBER(AD1363)),1,0)</f>
        <v>0</v>
      </c>
      <c r="AF1363" s="112" t="str">
        <f>IF(AE1363=1,SUM($AE$8:AE1363),"")</f>
        <v/>
      </c>
      <c r="AG1363" t="str">
        <f>IFERROR(MATCH(1356,$AF$8:$AF$1407,0),"")</f>
        <v/>
      </c>
    </row>
    <row r="1364">
      <c r="A1364" s="92" t="str">
        <f>IF($AG1364="","",P_ImportID)</f>
        <v/>
      </c>
      <c r="B1364" s="92" t="str">
        <f>IF($AG1364="","",IF(INDEX($AN$8:$AN$21,INDEX($AC$8:$AC$1407,$AG1364)+1)="Z",P_BronZ,P_BronE))</f>
        <v/>
      </c>
      <c r="C1364" s="108" t="str">
        <f>IF($AG1364="","",P_Importdatum)</f>
        <v/>
      </c>
      <c r="D1364" s="92" t="str">
        <f>IF($AG1364="","",P_StatusVastleg)</f>
        <v/>
      </c>
      <c r="E1364" s="92" t="str">
        <f>IF($AG1364="","",P_UploadVJ)</f>
        <v/>
      </c>
      <c r="F1364" s="92" t="str">
        <f>IF($AG1364="","",P_UploadVersie)</f>
        <v/>
      </c>
      <c r="G1364" s="92" t="str">
        <f>IF($AG1364="","",IF(COUNTIFS(L_Sleutel,$S1364,L_Status,"Vastgesteld")=0,0,_xlfn.MAXIFS(L_Revisie,L_Sleutel,$S1364,L_Status,"Vastgesteld")+1))</f>
        <v/>
      </c>
      <c r="H1364" s="108" t="str">
        <f>IF($AG1364="","",P_Peildatum)</f>
        <v/>
      </c>
      <c r="I1364" s="92" t="str">
        <f>IF($AG1364="","",P_RJ+INDEX($AK$8:$AK$21,INDEX($AC$8:$AC$1407,$AG1364)+1))</f>
        <v/>
      </c>
      <c r="J1364" s="92" t="str">
        <f>IF($AG1364="","",INDEX(V_WBS,INDEX($AB$8:$AB$1407,$AG1364)))</f>
        <v/>
      </c>
      <c r="K1364" s="92" t="str">
        <f>IF($AG1364="","",INDEX(V_Projdef,INDEX($AB$8:$AB$1407,$AG1364)))</f>
        <v/>
      </c>
      <c r="L1364" s="92" t="str">
        <f>IF($AG1364="","",INDEX(V_Naam,INDEX($AB$8:$AB$1407,$AG1364)))</f>
        <v/>
      </c>
      <c r="M1364" s="92" t="str">
        <f>IF($AG1364="","",INDEX(V_Type,INDEX($AB$8:$AB$1407,$AG1364)))</f>
        <v/>
      </c>
      <c r="N1364" s="92" t="str">
        <f>IF($AG1364="","",INDEX(V_IFRS,INDEX($AB$8:$AB$1407,$AG1364)))</f>
        <v/>
      </c>
      <c r="O1364" s="92" t="str">
        <f>IF($AG1364="","",INDEX($AL$8:$AL$21,INDEX($AC$8:$AC$1407,$AG1364)+1))</f>
        <v/>
      </c>
      <c r="P1364" s="109" t="str">
        <f>IF($AG1364="","",INDEX($AD$8:$AD$1407,$AG1364))</f>
        <v/>
      </c>
      <c r="Q1364" s="92" t="str">
        <f>IF($AG1364="","",INDEX($AM$8:$AM$21,INDEX($AC$8:$AC$1407,$AG1364)+1))</f>
        <v/>
      </c>
      <c r="R1364" s="92" t="str">
        <f>IF($AG1364="","",IF($G1364&gt;0,P_ToelCorrectie&amp;"",""))</f>
        <v/>
      </c>
      <c r="S1364" s="15" t="str">
        <f>IF(J1364="","",J1364&amp;"|"&amp;E1364&amp;"|"&amp;F1364&amp;"|"&amp;I1364&amp;"|"&amp;O1364)</f>
        <v/>
      </c>
      <c r="T1364" s="111" t="str">
        <f>IF(S1364="","",IF(COUNTIFS(L_Sleutel,S1364,L_Actief,1)=0,"",SUMIFS(L_Waarde,L_Sleutel,S1364,L_Actief,1)))</f>
        <v/>
      </c>
      <c r="U1364" s="111">
        <f>IF(OR(S1364="",T1364=""),0,P1364-T1364)</f>
        <v>0</v>
      </c>
      <c r="AB1364" s="112" t="n">
        <v>97</v>
      </c>
      <c r="AC1364" s="112" t="n">
        <v>12</v>
      </c>
      <c r="AD1364" s="112" t="str">
        <f>VERW_Project!BU102</f>
        <v/>
      </c>
      <c r="AE1364" s="112">
        <f>IF(AND(VERW_Project!$A102&lt;&gt;"",ISNUMBER(AD1364)),1,0)</f>
        <v>0</v>
      </c>
      <c r="AF1364" s="112" t="str">
        <f>IF(AE1364=1,SUM($AE$8:AE1364),"")</f>
        <v/>
      </c>
      <c r="AG1364" t="str">
        <f>IFERROR(MATCH(1357,$AF$8:$AF$1407,0),"")</f>
        <v/>
      </c>
    </row>
    <row r="1365">
      <c r="A1365" s="92" t="str">
        <f>IF($AG1365="","",P_ImportID)</f>
        <v/>
      </c>
      <c r="B1365" s="92" t="str">
        <f>IF($AG1365="","",IF(INDEX($AN$8:$AN$21,INDEX($AC$8:$AC$1407,$AG1365)+1)="Z",P_BronZ,P_BronE))</f>
        <v/>
      </c>
      <c r="C1365" s="108" t="str">
        <f>IF($AG1365="","",P_Importdatum)</f>
        <v/>
      </c>
      <c r="D1365" s="92" t="str">
        <f>IF($AG1365="","",P_StatusVastleg)</f>
        <v/>
      </c>
      <c r="E1365" s="92" t="str">
        <f>IF($AG1365="","",P_UploadVJ)</f>
        <v/>
      </c>
      <c r="F1365" s="92" t="str">
        <f>IF($AG1365="","",P_UploadVersie)</f>
        <v/>
      </c>
      <c r="G1365" s="92" t="str">
        <f>IF($AG1365="","",IF(COUNTIFS(L_Sleutel,$S1365,L_Status,"Vastgesteld")=0,0,_xlfn.MAXIFS(L_Revisie,L_Sleutel,$S1365,L_Status,"Vastgesteld")+1))</f>
        <v/>
      </c>
      <c r="H1365" s="108" t="str">
        <f>IF($AG1365="","",P_Peildatum)</f>
        <v/>
      </c>
      <c r="I1365" s="92" t="str">
        <f>IF($AG1365="","",P_RJ+INDEX($AK$8:$AK$21,INDEX($AC$8:$AC$1407,$AG1365)+1))</f>
        <v/>
      </c>
      <c r="J1365" s="92" t="str">
        <f>IF($AG1365="","",INDEX(V_WBS,INDEX($AB$8:$AB$1407,$AG1365)))</f>
        <v/>
      </c>
      <c r="K1365" s="92" t="str">
        <f>IF($AG1365="","",INDEX(V_Projdef,INDEX($AB$8:$AB$1407,$AG1365)))</f>
        <v/>
      </c>
      <c r="L1365" s="92" t="str">
        <f>IF($AG1365="","",INDEX(V_Naam,INDEX($AB$8:$AB$1407,$AG1365)))</f>
        <v/>
      </c>
      <c r="M1365" s="92" t="str">
        <f>IF($AG1365="","",INDEX(V_Type,INDEX($AB$8:$AB$1407,$AG1365)))</f>
        <v/>
      </c>
      <c r="N1365" s="92" t="str">
        <f>IF($AG1365="","",INDEX(V_IFRS,INDEX($AB$8:$AB$1407,$AG1365)))</f>
        <v/>
      </c>
      <c r="O1365" s="92" t="str">
        <f>IF($AG1365="","",INDEX($AL$8:$AL$21,INDEX($AC$8:$AC$1407,$AG1365)+1))</f>
        <v/>
      </c>
      <c r="P1365" s="109" t="str">
        <f>IF($AG1365="","",INDEX($AD$8:$AD$1407,$AG1365))</f>
        <v/>
      </c>
      <c r="Q1365" s="92" t="str">
        <f>IF($AG1365="","",INDEX($AM$8:$AM$21,INDEX($AC$8:$AC$1407,$AG1365)+1))</f>
        <v/>
      </c>
      <c r="R1365" s="92" t="str">
        <f>IF($AG1365="","",IF($G1365&gt;0,P_ToelCorrectie&amp;"",""))</f>
        <v/>
      </c>
      <c r="S1365" s="15" t="str">
        <f>IF(J1365="","",J1365&amp;"|"&amp;E1365&amp;"|"&amp;F1365&amp;"|"&amp;I1365&amp;"|"&amp;O1365)</f>
        <v/>
      </c>
      <c r="T1365" s="111" t="str">
        <f>IF(S1365="","",IF(COUNTIFS(L_Sleutel,S1365,L_Actief,1)=0,"",SUMIFS(L_Waarde,L_Sleutel,S1365,L_Actief,1)))</f>
        <v/>
      </c>
      <c r="U1365" s="111">
        <f>IF(OR(S1365="",T1365=""),0,P1365-T1365)</f>
        <v>0</v>
      </c>
      <c r="AB1365" s="112" t="n">
        <v>97</v>
      </c>
      <c r="AC1365" s="112" t="n">
        <v>13</v>
      </c>
      <c r="AD1365" s="112" t="str">
        <f>VERW_Project!BX102</f>
        <v/>
      </c>
      <c r="AE1365" s="112">
        <f>IF(AND(VERW_Project!$A102&lt;&gt;"",ISNUMBER(AD1365)),1,0)</f>
        <v>0</v>
      </c>
      <c r="AF1365" s="112" t="str">
        <f>IF(AE1365=1,SUM($AE$8:AE1365),"")</f>
        <v/>
      </c>
      <c r="AG1365" t="str">
        <f>IFERROR(MATCH(1358,$AF$8:$AF$1407,0),"")</f>
        <v/>
      </c>
    </row>
    <row r="1366">
      <c r="A1366" s="92" t="str">
        <f>IF($AG1366="","",P_ImportID)</f>
        <v/>
      </c>
      <c r="B1366" s="92" t="str">
        <f>IF($AG1366="","",IF(INDEX($AN$8:$AN$21,INDEX($AC$8:$AC$1407,$AG1366)+1)="Z",P_BronZ,P_BronE))</f>
        <v/>
      </c>
      <c r="C1366" s="108" t="str">
        <f>IF($AG1366="","",P_Importdatum)</f>
        <v/>
      </c>
      <c r="D1366" s="92" t="str">
        <f>IF($AG1366="","",P_StatusVastleg)</f>
        <v/>
      </c>
      <c r="E1366" s="92" t="str">
        <f>IF($AG1366="","",P_UploadVJ)</f>
        <v/>
      </c>
      <c r="F1366" s="92" t="str">
        <f>IF($AG1366="","",P_UploadVersie)</f>
        <v/>
      </c>
      <c r="G1366" s="92" t="str">
        <f>IF($AG1366="","",IF(COUNTIFS(L_Sleutel,$S1366,L_Status,"Vastgesteld")=0,0,_xlfn.MAXIFS(L_Revisie,L_Sleutel,$S1366,L_Status,"Vastgesteld")+1))</f>
        <v/>
      </c>
      <c r="H1366" s="108" t="str">
        <f>IF($AG1366="","",P_Peildatum)</f>
        <v/>
      </c>
      <c r="I1366" s="92" t="str">
        <f>IF($AG1366="","",P_RJ+INDEX($AK$8:$AK$21,INDEX($AC$8:$AC$1407,$AG1366)+1))</f>
        <v/>
      </c>
      <c r="J1366" s="92" t="str">
        <f>IF($AG1366="","",INDEX(V_WBS,INDEX($AB$8:$AB$1407,$AG1366)))</f>
        <v/>
      </c>
      <c r="K1366" s="92" t="str">
        <f>IF($AG1366="","",INDEX(V_Projdef,INDEX($AB$8:$AB$1407,$AG1366)))</f>
        <v/>
      </c>
      <c r="L1366" s="92" t="str">
        <f>IF($AG1366="","",INDEX(V_Naam,INDEX($AB$8:$AB$1407,$AG1366)))</f>
        <v/>
      </c>
      <c r="M1366" s="92" t="str">
        <f>IF($AG1366="","",INDEX(V_Type,INDEX($AB$8:$AB$1407,$AG1366)))</f>
        <v/>
      </c>
      <c r="N1366" s="92" t="str">
        <f>IF($AG1366="","",INDEX(V_IFRS,INDEX($AB$8:$AB$1407,$AG1366)))</f>
        <v/>
      </c>
      <c r="O1366" s="92" t="str">
        <f>IF($AG1366="","",INDEX($AL$8:$AL$21,INDEX($AC$8:$AC$1407,$AG1366)+1))</f>
        <v/>
      </c>
      <c r="P1366" s="109" t="str">
        <f>IF($AG1366="","",INDEX($AD$8:$AD$1407,$AG1366))</f>
        <v/>
      </c>
      <c r="Q1366" s="92" t="str">
        <f>IF($AG1366="","",INDEX($AM$8:$AM$21,INDEX($AC$8:$AC$1407,$AG1366)+1))</f>
        <v/>
      </c>
      <c r="R1366" s="92" t="str">
        <f>IF($AG1366="","",IF($G1366&gt;0,P_ToelCorrectie&amp;"",""))</f>
        <v/>
      </c>
      <c r="S1366" s="15" t="str">
        <f>IF(J1366="","",J1366&amp;"|"&amp;E1366&amp;"|"&amp;F1366&amp;"|"&amp;I1366&amp;"|"&amp;O1366)</f>
        <v/>
      </c>
      <c r="T1366" s="111" t="str">
        <f>IF(S1366="","",IF(COUNTIFS(L_Sleutel,S1366,L_Actief,1)=0,"",SUMIFS(L_Waarde,L_Sleutel,S1366,L_Actief,1)))</f>
        <v/>
      </c>
      <c r="U1366" s="111">
        <f>IF(OR(S1366="",T1366=""),0,P1366-T1366)</f>
        <v>0</v>
      </c>
      <c r="AB1366" s="112" t="n">
        <v>98</v>
      </c>
      <c r="AC1366" s="112" t="n">
        <v>0</v>
      </c>
      <c r="AD1366" s="112" t="str">
        <f>VERW_Project!P103</f>
        <v/>
      </c>
      <c r="AE1366" s="112">
        <f>IF(AND(VERW_Project!$A103&lt;&gt;"",ISNUMBER(AD1366)),1,0)</f>
        <v>0</v>
      </c>
      <c r="AF1366" s="112" t="str">
        <f>IF(AE1366=1,SUM($AE$8:AE1366),"")</f>
        <v/>
      </c>
      <c r="AG1366" t="str">
        <f>IFERROR(MATCH(1359,$AF$8:$AF$1407,0),"")</f>
        <v/>
      </c>
    </row>
    <row r="1367">
      <c r="A1367" s="92" t="str">
        <f>IF($AG1367="","",P_ImportID)</f>
        <v/>
      </c>
      <c r="B1367" s="92" t="str">
        <f>IF($AG1367="","",IF(INDEX($AN$8:$AN$21,INDEX($AC$8:$AC$1407,$AG1367)+1)="Z",P_BronZ,P_BronE))</f>
        <v/>
      </c>
      <c r="C1367" s="108" t="str">
        <f>IF($AG1367="","",P_Importdatum)</f>
        <v/>
      </c>
      <c r="D1367" s="92" t="str">
        <f>IF($AG1367="","",P_StatusVastleg)</f>
        <v/>
      </c>
      <c r="E1367" s="92" t="str">
        <f>IF($AG1367="","",P_UploadVJ)</f>
        <v/>
      </c>
      <c r="F1367" s="92" t="str">
        <f>IF($AG1367="","",P_UploadVersie)</f>
        <v/>
      </c>
      <c r="G1367" s="92" t="str">
        <f>IF($AG1367="","",IF(COUNTIFS(L_Sleutel,$S1367,L_Status,"Vastgesteld")=0,0,_xlfn.MAXIFS(L_Revisie,L_Sleutel,$S1367,L_Status,"Vastgesteld")+1))</f>
        <v/>
      </c>
      <c r="H1367" s="108" t="str">
        <f>IF($AG1367="","",P_Peildatum)</f>
        <v/>
      </c>
      <c r="I1367" s="92" t="str">
        <f>IF($AG1367="","",P_RJ+INDEX($AK$8:$AK$21,INDEX($AC$8:$AC$1407,$AG1367)+1))</f>
        <v/>
      </c>
      <c r="J1367" s="92" t="str">
        <f>IF($AG1367="","",INDEX(V_WBS,INDEX($AB$8:$AB$1407,$AG1367)))</f>
        <v/>
      </c>
      <c r="K1367" s="92" t="str">
        <f>IF($AG1367="","",INDEX(V_Projdef,INDEX($AB$8:$AB$1407,$AG1367)))</f>
        <v/>
      </c>
      <c r="L1367" s="92" t="str">
        <f>IF($AG1367="","",INDEX(V_Naam,INDEX($AB$8:$AB$1407,$AG1367)))</f>
        <v/>
      </c>
      <c r="M1367" s="92" t="str">
        <f>IF($AG1367="","",INDEX(V_Type,INDEX($AB$8:$AB$1407,$AG1367)))</f>
        <v/>
      </c>
      <c r="N1367" s="92" t="str">
        <f>IF($AG1367="","",INDEX(V_IFRS,INDEX($AB$8:$AB$1407,$AG1367)))</f>
        <v/>
      </c>
      <c r="O1367" s="92" t="str">
        <f>IF($AG1367="","",INDEX($AL$8:$AL$21,INDEX($AC$8:$AC$1407,$AG1367)+1))</f>
        <v/>
      </c>
      <c r="P1367" s="109" t="str">
        <f>IF($AG1367="","",INDEX($AD$8:$AD$1407,$AG1367))</f>
        <v/>
      </c>
      <c r="Q1367" s="92" t="str">
        <f>IF($AG1367="","",INDEX($AM$8:$AM$21,INDEX($AC$8:$AC$1407,$AG1367)+1))</f>
        <v/>
      </c>
      <c r="R1367" s="92" t="str">
        <f>IF($AG1367="","",IF($G1367&gt;0,P_ToelCorrectie&amp;"",""))</f>
        <v/>
      </c>
      <c r="S1367" s="15" t="str">
        <f>IF(J1367="","",J1367&amp;"|"&amp;E1367&amp;"|"&amp;F1367&amp;"|"&amp;I1367&amp;"|"&amp;O1367)</f>
        <v/>
      </c>
      <c r="T1367" s="111" t="str">
        <f>IF(S1367="","",IF(COUNTIFS(L_Sleutel,S1367,L_Actief,1)=0,"",SUMIFS(L_Waarde,L_Sleutel,S1367,L_Actief,1)))</f>
        <v/>
      </c>
      <c r="U1367" s="111">
        <f>IF(OR(S1367="",T1367=""),0,P1367-T1367)</f>
        <v>0</v>
      </c>
      <c r="AB1367" s="112" t="n">
        <v>98</v>
      </c>
      <c r="AC1367" s="112" t="n">
        <v>1</v>
      </c>
      <c r="AD1367" s="112" t="str">
        <f>VERW_Project!Q103</f>
        <v/>
      </c>
      <c r="AE1367" s="112">
        <f>IF(AND(VERW_Project!$A103&lt;&gt;"",ISNUMBER(AD1367)),1,0)</f>
        <v>0</v>
      </c>
      <c r="AF1367" s="112" t="str">
        <f>IF(AE1367=1,SUM($AE$8:AE1367),"")</f>
        <v/>
      </c>
      <c r="AG1367" t="str">
        <f>IFERROR(MATCH(1360,$AF$8:$AF$1407,0),"")</f>
        <v/>
      </c>
    </row>
    <row r="1368">
      <c r="A1368" s="92" t="str">
        <f>IF($AG1368="","",P_ImportID)</f>
        <v/>
      </c>
      <c r="B1368" s="92" t="str">
        <f>IF($AG1368="","",IF(INDEX($AN$8:$AN$21,INDEX($AC$8:$AC$1407,$AG1368)+1)="Z",P_BronZ,P_BronE))</f>
        <v/>
      </c>
      <c r="C1368" s="108" t="str">
        <f>IF($AG1368="","",P_Importdatum)</f>
        <v/>
      </c>
      <c r="D1368" s="92" t="str">
        <f>IF($AG1368="","",P_StatusVastleg)</f>
        <v/>
      </c>
      <c r="E1368" s="92" t="str">
        <f>IF($AG1368="","",P_UploadVJ)</f>
        <v/>
      </c>
      <c r="F1368" s="92" t="str">
        <f>IF($AG1368="","",P_UploadVersie)</f>
        <v/>
      </c>
      <c r="G1368" s="92" t="str">
        <f>IF($AG1368="","",IF(COUNTIFS(L_Sleutel,$S1368,L_Status,"Vastgesteld")=0,0,_xlfn.MAXIFS(L_Revisie,L_Sleutel,$S1368,L_Status,"Vastgesteld")+1))</f>
        <v/>
      </c>
      <c r="H1368" s="108" t="str">
        <f>IF($AG1368="","",P_Peildatum)</f>
        <v/>
      </c>
      <c r="I1368" s="92" t="str">
        <f>IF($AG1368="","",P_RJ+INDEX($AK$8:$AK$21,INDEX($AC$8:$AC$1407,$AG1368)+1))</f>
        <v/>
      </c>
      <c r="J1368" s="92" t="str">
        <f>IF($AG1368="","",INDEX(V_WBS,INDEX($AB$8:$AB$1407,$AG1368)))</f>
        <v/>
      </c>
      <c r="K1368" s="92" t="str">
        <f>IF($AG1368="","",INDEX(V_Projdef,INDEX($AB$8:$AB$1407,$AG1368)))</f>
        <v/>
      </c>
      <c r="L1368" s="92" t="str">
        <f>IF($AG1368="","",INDEX(V_Naam,INDEX($AB$8:$AB$1407,$AG1368)))</f>
        <v/>
      </c>
      <c r="M1368" s="92" t="str">
        <f>IF($AG1368="","",INDEX(V_Type,INDEX($AB$8:$AB$1407,$AG1368)))</f>
        <v/>
      </c>
      <c r="N1368" s="92" t="str">
        <f>IF($AG1368="","",INDEX(V_IFRS,INDEX($AB$8:$AB$1407,$AG1368)))</f>
        <v/>
      </c>
      <c r="O1368" s="92" t="str">
        <f>IF($AG1368="","",INDEX($AL$8:$AL$21,INDEX($AC$8:$AC$1407,$AG1368)+1))</f>
        <v/>
      </c>
      <c r="P1368" s="109" t="str">
        <f>IF($AG1368="","",INDEX($AD$8:$AD$1407,$AG1368))</f>
        <v/>
      </c>
      <c r="Q1368" s="92" t="str">
        <f>IF($AG1368="","",INDEX($AM$8:$AM$21,INDEX($AC$8:$AC$1407,$AG1368)+1))</f>
        <v/>
      </c>
      <c r="R1368" s="92" t="str">
        <f>IF($AG1368="","",IF($G1368&gt;0,P_ToelCorrectie&amp;"",""))</f>
        <v/>
      </c>
      <c r="S1368" s="15" t="str">
        <f>IF(J1368="","",J1368&amp;"|"&amp;E1368&amp;"|"&amp;F1368&amp;"|"&amp;I1368&amp;"|"&amp;O1368)</f>
        <v/>
      </c>
      <c r="T1368" s="111" t="str">
        <f>IF(S1368="","",IF(COUNTIFS(L_Sleutel,S1368,L_Actief,1)=0,"",SUMIFS(L_Waarde,L_Sleutel,S1368,L_Actief,1)))</f>
        <v/>
      </c>
      <c r="U1368" s="111">
        <f>IF(OR(S1368="",T1368=""),0,P1368-T1368)</f>
        <v>0</v>
      </c>
      <c r="AB1368" s="112" t="n">
        <v>98</v>
      </c>
      <c r="AC1368" s="112" t="n">
        <v>2</v>
      </c>
      <c r="AD1368" s="112" t="str">
        <f>VERW_Project!L103</f>
        <v/>
      </c>
      <c r="AE1368" s="112">
        <f>IF(AND(VERW_Project!$A103&lt;&gt;"",ISNUMBER(AD1368)),1,0)</f>
        <v>0</v>
      </c>
      <c r="AF1368" s="112" t="str">
        <f>IF(AE1368=1,SUM($AE$8:AE1368),"")</f>
        <v/>
      </c>
      <c r="AG1368" t="str">
        <f>IFERROR(MATCH(1361,$AF$8:$AF$1407,0),"")</f>
        <v/>
      </c>
    </row>
    <row r="1369">
      <c r="A1369" s="92" t="str">
        <f>IF($AG1369="","",P_ImportID)</f>
        <v/>
      </c>
      <c r="B1369" s="92" t="str">
        <f>IF($AG1369="","",IF(INDEX($AN$8:$AN$21,INDEX($AC$8:$AC$1407,$AG1369)+1)="Z",P_BronZ,P_BronE))</f>
        <v/>
      </c>
      <c r="C1369" s="108" t="str">
        <f>IF($AG1369="","",P_Importdatum)</f>
        <v/>
      </c>
      <c r="D1369" s="92" t="str">
        <f>IF($AG1369="","",P_StatusVastleg)</f>
        <v/>
      </c>
      <c r="E1369" s="92" t="str">
        <f>IF($AG1369="","",P_UploadVJ)</f>
        <v/>
      </c>
      <c r="F1369" s="92" t="str">
        <f>IF($AG1369="","",P_UploadVersie)</f>
        <v/>
      </c>
      <c r="G1369" s="92" t="str">
        <f>IF($AG1369="","",IF(COUNTIFS(L_Sleutel,$S1369,L_Status,"Vastgesteld")=0,0,_xlfn.MAXIFS(L_Revisie,L_Sleutel,$S1369,L_Status,"Vastgesteld")+1))</f>
        <v/>
      </c>
      <c r="H1369" s="108" t="str">
        <f>IF($AG1369="","",P_Peildatum)</f>
        <v/>
      </c>
      <c r="I1369" s="92" t="str">
        <f>IF($AG1369="","",P_RJ+INDEX($AK$8:$AK$21,INDEX($AC$8:$AC$1407,$AG1369)+1))</f>
        <v/>
      </c>
      <c r="J1369" s="92" t="str">
        <f>IF($AG1369="","",INDEX(V_WBS,INDEX($AB$8:$AB$1407,$AG1369)))</f>
        <v/>
      </c>
      <c r="K1369" s="92" t="str">
        <f>IF($AG1369="","",INDEX(V_Projdef,INDEX($AB$8:$AB$1407,$AG1369)))</f>
        <v/>
      </c>
      <c r="L1369" s="92" t="str">
        <f>IF($AG1369="","",INDEX(V_Naam,INDEX($AB$8:$AB$1407,$AG1369)))</f>
        <v/>
      </c>
      <c r="M1369" s="92" t="str">
        <f>IF($AG1369="","",INDEX(V_Type,INDEX($AB$8:$AB$1407,$AG1369)))</f>
        <v/>
      </c>
      <c r="N1369" s="92" t="str">
        <f>IF($AG1369="","",INDEX(V_IFRS,INDEX($AB$8:$AB$1407,$AG1369)))</f>
        <v/>
      </c>
      <c r="O1369" s="92" t="str">
        <f>IF($AG1369="","",INDEX($AL$8:$AL$21,INDEX($AC$8:$AC$1407,$AG1369)+1))</f>
        <v/>
      </c>
      <c r="P1369" s="109" t="str">
        <f>IF($AG1369="","",INDEX($AD$8:$AD$1407,$AG1369))</f>
        <v/>
      </c>
      <c r="Q1369" s="92" t="str">
        <f>IF($AG1369="","",INDEX($AM$8:$AM$21,INDEX($AC$8:$AC$1407,$AG1369)+1))</f>
        <v/>
      </c>
      <c r="R1369" s="92" t="str">
        <f>IF($AG1369="","",IF($G1369&gt;0,P_ToelCorrectie&amp;"",""))</f>
        <v/>
      </c>
      <c r="S1369" s="15" t="str">
        <f>IF(J1369="","",J1369&amp;"|"&amp;E1369&amp;"|"&amp;F1369&amp;"|"&amp;I1369&amp;"|"&amp;O1369)</f>
        <v/>
      </c>
      <c r="T1369" s="111" t="str">
        <f>IF(S1369="","",IF(COUNTIFS(L_Sleutel,S1369,L_Actief,1)=0,"",SUMIFS(L_Waarde,L_Sleutel,S1369,L_Actief,1)))</f>
        <v/>
      </c>
      <c r="U1369" s="111">
        <f>IF(OR(S1369="",T1369=""),0,P1369-T1369)</f>
        <v>0</v>
      </c>
      <c r="AB1369" s="112" t="n">
        <v>98</v>
      </c>
      <c r="AC1369" s="112" t="n">
        <v>3</v>
      </c>
      <c r="AD1369" s="112" t="str">
        <f>VERW_Project!M103</f>
        <v/>
      </c>
      <c r="AE1369" s="112">
        <f>IF(AND(VERW_Project!$A103&lt;&gt;"",ISNUMBER(AD1369)),1,0)</f>
        <v>0</v>
      </c>
      <c r="AF1369" s="112" t="str">
        <f>IF(AE1369=1,SUM($AE$8:AE1369),"")</f>
        <v/>
      </c>
      <c r="AG1369" t="str">
        <f>IFERROR(MATCH(1362,$AF$8:$AF$1407,0),"")</f>
        <v/>
      </c>
    </row>
    <row r="1370">
      <c r="A1370" s="92" t="str">
        <f>IF($AG1370="","",P_ImportID)</f>
        <v/>
      </c>
      <c r="B1370" s="92" t="str">
        <f>IF($AG1370="","",IF(INDEX($AN$8:$AN$21,INDEX($AC$8:$AC$1407,$AG1370)+1)="Z",P_BronZ,P_BronE))</f>
        <v/>
      </c>
      <c r="C1370" s="108" t="str">
        <f>IF($AG1370="","",P_Importdatum)</f>
        <v/>
      </c>
      <c r="D1370" s="92" t="str">
        <f>IF($AG1370="","",P_StatusVastleg)</f>
        <v/>
      </c>
      <c r="E1370" s="92" t="str">
        <f>IF($AG1370="","",P_UploadVJ)</f>
        <v/>
      </c>
      <c r="F1370" s="92" t="str">
        <f>IF($AG1370="","",P_UploadVersie)</f>
        <v/>
      </c>
      <c r="G1370" s="92" t="str">
        <f>IF($AG1370="","",IF(COUNTIFS(L_Sleutel,$S1370,L_Status,"Vastgesteld")=0,0,_xlfn.MAXIFS(L_Revisie,L_Sleutel,$S1370,L_Status,"Vastgesteld")+1))</f>
        <v/>
      </c>
      <c r="H1370" s="108" t="str">
        <f>IF($AG1370="","",P_Peildatum)</f>
        <v/>
      </c>
      <c r="I1370" s="92" t="str">
        <f>IF($AG1370="","",P_RJ+INDEX($AK$8:$AK$21,INDEX($AC$8:$AC$1407,$AG1370)+1))</f>
        <v/>
      </c>
      <c r="J1370" s="92" t="str">
        <f>IF($AG1370="","",INDEX(V_WBS,INDEX($AB$8:$AB$1407,$AG1370)))</f>
        <v/>
      </c>
      <c r="K1370" s="92" t="str">
        <f>IF($AG1370="","",INDEX(V_Projdef,INDEX($AB$8:$AB$1407,$AG1370)))</f>
        <v/>
      </c>
      <c r="L1370" s="92" t="str">
        <f>IF($AG1370="","",INDEX(V_Naam,INDEX($AB$8:$AB$1407,$AG1370)))</f>
        <v/>
      </c>
      <c r="M1370" s="92" t="str">
        <f>IF($AG1370="","",INDEX(V_Type,INDEX($AB$8:$AB$1407,$AG1370)))</f>
        <v/>
      </c>
      <c r="N1370" s="92" t="str">
        <f>IF($AG1370="","",INDEX(V_IFRS,INDEX($AB$8:$AB$1407,$AG1370)))</f>
        <v/>
      </c>
      <c r="O1370" s="92" t="str">
        <f>IF($AG1370="","",INDEX($AL$8:$AL$21,INDEX($AC$8:$AC$1407,$AG1370)+1))</f>
        <v/>
      </c>
      <c r="P1370" s="109" t="str">
        <f>IF($AG1370="","",INDEX($AD$8:$AD$1407,$AG1370))</f>
        <v/>
      </c>
      <c r="Q1370" s="92" t="str">
        <f>IF($AG1370="","",INDEX($AM$8:$AM$21,INDEX($AC$8:$AC$1407,$AG1370)+1))</f>
        <v/>
      </c>
      <c r="R1370" s="92" t="str">
        <f>IF($AG1370="","",IF($G1370&gt;0,P_ToelCorrectie&amp;"",""))</f>
        <v/>
      </c>
      <c r="S1370" s="15" t="str">
        <f>IF(J1370="","",J1370&amp;"|"&amp;E1370&amp;"|"&amp;F1370&amp;"|"&amp;I1370&amp;"|"&amp;O1370)</f>
        <v/>
      </c>
      <c r="T1370" s="111" t="str">
        <f>IF(S1370="","",IF(COUNTIFS(L_Sleutel,S1370,L_Actief,1)=0,"",SUMIFS(L_Waarde,L_Sleutel,S1370,L_Actief,1)))</f>
        <v/>
      </c>
      <c r="U1370" s="111">
        <f>IF(OR(S1370="",T1370=""),0,P1370-T1370)</f>
        <v>0</v>
      </c>
      <c r="AB1370" s="112" t="n">
        <v>98</v>
      </c>
      <c r="AC1370" s="112" t="n">
        <v>4</v>
      </c>
      <c r="AD1370" s="112" t="str">
        <f>VERW_Project!R103</f>
        <v/>
      </c>
      <c r="AE1370" s="112">
        <f>IF(AND(VERW_Project!$A103&lt;&gt;"",ISNUMBER(AD1370)),1,0)</f>
        <v>0</v>
      </c>
      <c r="AF1370" s="112" t="str">
        <f>IF(AE1370=1,SUM($AE$8:AE1370),"")</f>
        <v/>
      </c>
      <c r="AG1370" t="str">
        <f>IFERROR(MATCH(1363,$AF$8:$AF$1407,0),"")</f>
        <v/>
      </c>
    </row>
    <row r="1371">
      <c r="A1371" s="92" t="str">
        <f>IF($AG1371="","",P_ImportID)</f>
        <v/>
      </c>
      <c r="B1371" s="92" t="str">
        <f>IF($AG1371="","",IF(INDEX($AN$8:$AN$21,INDEX($AC$8:$AC$1407,$AG1371)+1)="Z",P_BronZ,P_BronE))</f>
        <v/>
      </c>
      <c r="C1371" s="108" t="str">
        <f>IF($AG1371="","",P_Importdatum)</f>
        <v/>
      </c>
      <c r="D1371" s="92" t="str">
        <f>IF($AG1371="","",P_StatusVastleg)</f>
        <v/>
      </c>
      <c r="E1371" s="92" t="str">
        <f>IF($AG1371="","",P_UploadVJ)</f>
        <v/>
      </c>
      <c r="F1371" s="92" t="str">
        <f>IF($AG1371="","",P_UploadVersie)</f>
        <v/>
      </c>
      <c r="G1371" s="92" t="str">
        <f>IF($AG1371="","",IF(COUNTIFS(L_Sleutel,$S1371,L_Status,"Vastgesteld")=0,0,_xlfn.MAXIFS(L_Revisie,L_Sleutel,$S1371,L_Status,"Vastgesteld")+1))</f>
        <v/>
      </c>
      <c r="H1371" s="108" t="str">
        <f>IF($AG1371="","",P_Peildatum)</f>
        <v/>
      </c>
      <c r="I1371" s="92" t="str">
        <f>IF($AG1371="","",P_RJ+INDEX($AK$8:$AK$21,INDEX($AC$8:$AC$1407,$AG1371)+1))</f>
        <v/>
      </c>
      <c r="J1371" s="92" t="str">
        <f>IF($AG1371="","",INDEX(V_WBS,INDEX($AB$8:$AB$1407,$AG1371)))</f>
        <v/>
      </c>
      <c r="K1371" s="92" t="str">
        <f>IF($AG1371="","",INDEX(V_Projdef,INDEX($AB$8:$AB$1407,$AG1371)))</f>
        <v/>
      </c>
      <c r="L1371" s="92" t="str">
        <f>IF($AG1371="","",INDEX(V_Naam,INDEX($AB$8:$AB$1407,$AG1371)))</f>
        <v/>
      </c>
      <c r="M1371" s="92" t="str">
        <f>IF($AG1371="","",INDEX(V_Type,INDEX($AB$8:$AB$1407,$AG1371)))</f>
        <v/>
      </c>
      <c r="N1371" s="92" t="str">
        <f>IF($AG1371="","",INDEX(V_IFRS,INDEX($AB$8:$AB$1407,$AG1371)))</f>
        <v/>
      </c>
      <c r="O1371" s="92" t="str">
        <f>IF($AG1371="","",INDEX($AL$8:$AL$21,INDEX($AC$8:$AC$1407,$AG1371)+1))</f>
        <v/>
      </c>
      <c r="P1371" s="109" t="str">
        <f>IF($AG1371="","",INDEX($AD$8:$AD$1407,$AG1371))</f>
        <v/>
      </c>
      <c r="Q1371" s="92" t="str">
        <f>IF($AG1371="","",INDEX($AM$8:$AM$21,INDEX($AC$8:$AC$1407,$AG1371)+1))</f>
        <v/>
      </c>
      <c r="R1371" s="92" t="str">
        <f>IF($AG1371="","",IF($G1371&gt;0,P_ToelCorrectie&amp;"",""))</f>
        <v/>
      </c>
      <c r="S1371" s="15" t="str">
        <f>IF(J1371="","",J1371&amp;"|"&amp;E1371&amp;"|"&amp;F1371&amp;"|"&amp;I1371&amp;"|"&amp;O1371)</f>
        <v/>
      </c>
      <c r="T1371" s="111" t="str">
        <f>IF(S1371="","",IF(COUNTIFS(L_Sleutel,S1371,L_Actief,1)=0,"",SUMIFS(L_Waarde,L_Sleutel,S1371,L_Actief,1)))</f>
        <v/>
      </c>
      <c r="U1371" s="111">
        <f>IF(OR(S1371="",T1371=""),0,P1371-T1371)</f>
        <v>0</v>
      </c>
      <c r="AB1371" s="112" t="n">
        <v>98</v>
      </c>
      <c r="AC1371" s="112" t="n">
        <v>5</v>
      </c>
      <c r="AD1371" s="112" t="str">
        <f>VERW_Project!S103</f>
        <v/>
      </c>
      <c r="AE1371" s="112">
        <f>IF(AND(VERW_Project!$A103&lt;&gt;"",ISNUMBER(AD1371)),1,0)</f>
        <v>0</v>
      </c>
      <c r="AF1371" s="112" t="str">
        <f>IF(AE1371=1,SUM($AE$8:AE1371),"")</f>
        <v/>
      </c>
      <c r="AG1371" t="str">
        <f>IFERROR(MATCH(1364,$AF$8:$AF$1407,0),"")</f>
        <v/>
      </c>
    </row>
    <row r="1372">
      <c r="A1372" s="92" t="str">
        <f>IF($AG1372="","",P_ImportID)</f>
        <v/>
      </c>
      <c r="B1372" s="92" t="str">
        <f>IF($AG1372="","",IF(INDEX($AN$8:$AN$21,INDEX($AC$8:$AC$1407,$AG1372)+1)="Z",P_BronZ,P_BronE))</f>
        <v/>
      </c>
      <c r="C1372" s="108" t="str">
        <f>IF($AG1372="","",P_Importdatum)</f>
        <v/>
      </c>
      <c r="D1372" s="92" t="str">
        <f>IF($AG1372="","",P_StatusVastleg)</f>
        <v/>
      </c>
      <c r="E1372" s="92" t="str">
        <f>IF($AG1372="","",P_UploadVJ)</f>
        <v/>
      </c>
      <c r="F1372" s="92" t="str">
        <f>IF($AG1372="","",P_UploadVersie)</f>
        <v/>
      </c>
      <c r="G1372" s="92" t="str">
        <f>IF($AG1372="","",IF(COUNTIFS(L_Sleutel,$S1372,L_Status,"Vastgesteld")=0,0,_xlfn.MAXIFS(L_Revisie,L_Sleutel,$S1372,L_Status,"Vastgesteld")+1))</f>
        <v/>
      </c>
      <c r="H1372" s="108" t="str">
        <f>IF($AG1372="","",P_Peildatum)</f>
        <v/>
      </c>
      <c r="I1372" s="92" t="str">
        <f>IF($AG1372="","",P_RJ+INDEX($AK$8:$AK$21,INDEX($AC$8:$AC$1407,$AG1372)+1))</f>
        <v/>
      </c>
      <c r="J1372" s="92" t="str">
        <f>IF($AG1372="","",INDEX(V_WBS,INDEX($AB$8:$AB$1407,$AG1372)))</f>
        <v/>
      </c>
      <c r="K1372" s="92" t="str">
        <f>IF($AG1372="","",INDEX(V_Projdef,INDEX($AB$8:$AB$1407,$AG1372)))</f>
        <v/>
      </c>
      <c r="L1372" s="92" t="str">
        <f>IF($AG1372="","",INDEX(V_Naam,INDEX($AB$8:$AB$1407,$AG1372)))</f>
        <v/>
      </c>
      <c r="M1372" s="92" t="str">
        <f>IF($AG1372="","",INDEX(V_Type,INDEX($AB$8:$AB$1407,$AG1372)))</f>
        <v/>
      </c>
      <c r="N1372" s="92" t="str">
        <f>IF($AG1372="","",INDEX(V_IFRS,INDEX($AB$8:$AB$1407,$AG1372)))</f>
        <v/>
      </c>
      <c r="O1372" s="92" t="str">
        <f>IF($AG1372="","",INDEX($AL$8:$AL$21,INDEX($AC$8:$AC$1407,$AG1372)+1))</f>
        <v/>
      </c>
      <c r="P1372" s="109" t="str">
        <f>IF($AG1372="","",INDEX($AD$8:$AD$1407,$AG1372))</f>
        <v/>
      </c>
      <c r="Q1372" s="92" t="str">
        <f>IF($AG1372="","",INDEX($AM$8:$AM$21,INDEX($AC$8:$AC$1407,$AG1372)+1))</f>
        <v/>
      </c>
      <c r="R1372" s="92" t="str">
        <f>IF($AG1372="","",IF($G1372&gt;0,P_ToelCorrectie&amp;"",""))</f>
        <v/>
      </c>
      <c r="S1372" s="15" t="str">
        <f>IF(J1372="","",J1372&amp;"|"&amp;E1372&amp;"|"&amp;F1372&amp;"|"&amp;I1372&amp;"|"&amp;O1372)</f>
        <v/>
      </c>
      <c r="T1372" s="111" t="str">
        <f>IF(S1372="","",IF(COUNTIFS(L_Sleutel,S1372,L_Actief,1)=0,"",SUMIFS(L_Waarde,L_Sleutel,S1372,L_Actief,1)))</f>
        <v/>
      </c>
      <c r="U1372" s="111">
        <f>IF(OR(S1372="",T1372=""),0,P1372-T1372)</f>
        <v>0</v>
      </c>
      <c r="AB1372" s="112" t="n">
        <v>98</v>
      </c>
      <c r="AC1372" s="112" t="n">
        <v>6</v>
      </c>
      <c r="AD1372" s="112" t="str">
        <f>VERW_Project!BW103</f>
        <v/>
      </c>
      <c r="AE1372" s="112">
        <f>IF(AND(VERW_Project!$A103&lt;&gt;"",ISNUMBER(AD1372)),1,0)</f>
        <v>0</v>
      </c>
      <c r="AF1372" s="112" t="str">
        <f>IF(AE1372=1,SUM($AE$8:AE1372),"")</f>
        <v/>
      </c>
      <c r="AG1372" t="str">
        <f>IFERROR(MATCH(1365,$AF$8:$AF$1407,0),"")</f>
        <v/>
      </c>
    </row>
    <row r="1373">
      <c r="A1373" s="92" t="str">
        <f>IF($AG1373="","",P_ImportID)</f>
        <v/>
      </c>
      <c r="B1373" s="92" t="str">
        <f>IF($AG1373="","",IF(INDEX($AN$8:$AN$21,INDEX($AC$8:$AC$1407,$AG1373)+1)="Z",P_BronZ,P_BronE))</f>
        <v/>
      </c>
      <c r="C1373" s="108" t="str">
        <f>IF($AG1373="","",P_Importdatum)</f>
        <v/>
      </c>
      <c r="D1373" s="92" t="str">
        <f>IF($AG1373="","",P_StatusVastleg)</f>
        <v/>
      </c>
      <c r="E1373" s="92" t="str">
        <f>IF($AG1373="","",P_UploadVJ)</f>
        <v/>
      </c>
      <c r="F1373" s="92" t="str">
        <f>IF($AG1373="","",P_UploadVersie)</f>
        <v/>
      </c>
      <c r="G1373" s="92" t="str">
        <f>IF($AG1373="","",IF(COUNTIFS(L_Sleutel,$S1373,L_Status,"Vastgesteld")=0,0,_xlfn.MAXIFS(L_Revisie,L_Sleutel,$S1373,L_Status,"Vastgesteld")+1))</f>
        <v/>
      </c>
      <c r="H1373" s="108" t="str">
        <f>IF($AG1373="","",P_Peildatum)</f>
        <v/>
      </c>
      <c r="I1373" s="92" t="str">
        <f>IF($AG1373="","",P_RJ+INDEX($AK$8:$AK$21,INDEX($AC$8:$AC$1407,$AG1373)+1))</f>
        <v/>
      </c>
      <c r="J1373" s="92" t="str">
        <f>IF($AG1373="","",INDEX(V_WBS,INDEX($AB$8:$AB$1407,$AG1373)))</f>
        <v/>
      </c>
      <c r="K1373" s="92" t="str">
        <f>IF($AG1373="","",INDEX(V_Projdef,INDEX($AB$8:$AB$1407,$AG1373)))</f>
        <v/>
      </c>
      <c r="L1373" s="92" t="str">
        <f>IF($AG1373="","",INDEX(V_Naam,INDEX($AB$8:$AB$1407,$AG1373)))</f>
        <v/>
      </c>
      <c r="M1373" s="92" t="str">
        <f>IF($AG1373="","",INDEX(V_Type,INDEX($AB$8:$AB$1407,$AG1373)))</f>
        <v/>
      </c>
      <c r="N1373" s="92" t="str">
        <f>IF($AG1373="","",INDEX(V_IFRS,INDEX($AB$8:$AB$1407,$AG1373)))</f>
        <v/>
      </c>
      <c r="O1373" s="92" t="str">
        <f>IF($AG1373="","",INDEX($AL$8:$AL$21,INDEX($AC$8:$AC$1407,$AG1373)+1))</f>
        <v/>
      </c>
      <c r="P1373" s="109" t="str">
        <f>IF($AG1373="","",INDEX($AD$8:$AD$1407,$AG1373))</f>
        <v/>
      </c>
      <c r="Q1373" s="92" t="str">
        <f>IF($AG1373="","",INDEX($AM$8:$AM$21,INDEX($AC$8:$AC$1407,$AG1373)+1))</f>
        <v/>
      </c>
      <c r="R1373" s="92" t="str">
        <f>IF($AG1373="","",IF($G1373&gt;0,P_ToelCorrectie&amp;"",""))</f>
        <v/>
      </c>
      <c r="S1373" s="15" t="str">
        <f>IF(J1373="","",J1373&amp;"|"&amp;E1373&amp;"|"&amp;F1373&amp;"|"&amp;I1373&amp;"|"&amp;O1373)</f>
        <v/>
      </c>
      <c r="T1373" s="111" t="str">
        <f>IF(S1373="","",IF(COUNTIFS(L_Sleutel,S1373,L_Actief,1)=0,"",SUMIFS(L_Waarde,L_Sleutel,S1373,L_Actief,1)))</f>
        <v/>
      </c>
      <c r="U1373" s="111">
        <f>IF(OR(S1373="",T1373=""),0,P1373-T1373)</f>
        <v>0</v>
      </c>
      <c r="AB1373" s="112" t="n">
        <v>98</v>
      </c>
      <c r="AC1373" s="112" t="n">
        <v>7</v>
      </c>
      <c r="AD1373" s="112" t="str">
        <f>VERW_Project!AW103</f>
        <v/>
      </c>
      <c r="AE1373" s="112">
        <f>IF(AND(VERW_Project!$A103&lt;&gt;"",ISNUMBER(AD1373)),1,0)</f>
        <v>0</v>
      </c>
      <c r="AF1373" s="112" t="str">
        <f>IF(AE1373=1,SUM($AE$8:AE1373),"")</f>
        <v/>
      </c>
      <c r="AG1373" t="str">
        <f>IFERROR(MATCH(1366,$AF$8:$AF$1407,0),"")</f>
        <v/>
      </c>
    </row>
    <row r="1374">
      <c r="A1374" s="92" t="str">
        <f>IF($AG1374="","",P_ImportID)</f>
        <v/>
      </c>
      <c r="B1374" s="92" t="str">
        <f>IF($AG1374="","",IF(INDEX($AN$8:$AN$21,INDEX($AC$8:$AC$1407,$AG1374)+1)="Z",P_BronZ,P_BronE))</f>
        <v/>
      </c>
      <c r="C1374" s="108" t="str">
        <f>IF($AG1374="","",P_Importdatum)</f>
        <v/>
      </c>
      <c r="D1374" s="92" t="str">
        <f>IF($AG1374="","",P_StatusVastleg)</f>
        <v/>
      </c>
      <c r="E1374" s="92" t="str">
        <f>IF($AG1374="","",P_UploadVJ)</f>
        <v/>
      </c>
      <c r="F1374" s="92" t="str">
        <f>IF($AG1374="","",P_UploadVersie)</f>
        <v/>
      </c>
      <c r="G1374" s="92" t="str">
        <f>IF($AG1374="","",IF(COUNTIFS(L_Sleutel,$S1374,L_Status,"Vastgesteld")=0,0,_xlfn.MAXIFS(L_Revisie,L_Sleutel,$S1374,L_Status,"Vastgesteld")+1))</f>
        <v/>
      </c>
      <c r="H1374" s="108" t="str">
        <f>IF($AG1374="","",P_Peildatum)</f>
        <v/>
      </c>
      <c r="I1374" s="92" t="str">
        <f>IF($AG1374="","",P_RJ+INDEX($AK$8:$AK$21,INDEX($AC$8:$AC$1407,$AG1374)+1))</f>
        <v/>
      </c>
      <c r="J1374" s="92" t="str">
        <f>IF($AG1374="","",INDEX(V_WBS,INDEX($AB$8:$AB$1407,$AG1374)))</f>
        <v/>
      </c>
      <c r="K1374" s="92" t="str">
        <f>IF($AG1374="","",INDEX(V_Projdef,INDEX($AB$8:$AB$1407,$AG1374)))</f>
        <v/>
      </c>
      <c r="L1374" s="92" t="str">
        <f>IF($AG1374="","",INDEX(V_Naam,INDEX($AB$8:$AB$1407,$AG1374)))</f>
        <v/>
      </c>
      <c r="M1374" s="92" t="str">
        <f>IF($AG1374="","",INDEX(V_Type,INDEX($AB$8:$AB$1407,$AG1374)))</f>
        <v/>
      </c>
      <c r="N1374" s="92" t="str">
        <f>IF($AG1374="","",INDEX(V_IFRS,INDEX($AB$8:$AB$1407,$AG1374)))</f>
        <v/>
      </c>
      <c r="O1374" s="92" t="str">
        <f>IF($AG1374="","",INDEX($AL$8:$AL$21,INDEX($AC$8:$AC$1407,$AG1374)+1))</f>
        <v/>
      </c>
      <c r="P1374" s="109" t="str">
        <f>IF($AG1374="","",INDEX($AD$8:$AD$1407,$AG1374))</f>
        <v/>
      </c>
      <c r="Q1374" s="92" t="str">
        <f>IF($AG1374="","",INDEX($AM$8:$AM$21,INDEX($AC$8:$AC$1407,$AG1374)+1))</f>
        <v/>
      </c>
      <c r="R1374" s="92" t="str">
        <f>IF($AG1374="","",IF($G1374&gt;0,P_ToelCorrectie&amp;"",""))</f>
        <v/>
      </c>
      <c r="S1374" s="15" t="str">
        <f>IF(J1374="","",J1374&amp;"|"&amp;E1374&amp;"|"&amp;F1374&amp;"|"&amp;I1374&amp;"|"&amp;O1374)</f>
        <v/>
      </c>
      <c r="T1374" s="111" t="str">
        <f>IF(S1374="","",IF(COUNTIFS(L_Sleutel,S1374,L_Actief,1)=0,"",SUMIFS(L_Waarde,L_Sleutel,S1374,L_Actief,1)))</f>
        <v/>
      </c>
      <c r="U1374" s="111">
        <f>IF(OR(S1374="",T1374=""),0,P1374-T1374)</f>
        <v>0</v>
      </c>
      <c r="AB1374" s="112" t="n">
        <v>98</v>
      </c>
      <c r="AC1374" s="112" t="n">
        <v>8</v>
      </c>
      <c r="AD1374" s="112" t="str">
        <f>VERW_Project!BQ103</f>
        <v/>
      </c>
      <c r="AE1374" s="112">
        <f>IF(AND(VERW_Project!$A103&lt;&gt;"",ISNUMBER(AD1374)),1,0)</f>
        <v>0</v>
      </c>
      <c r="AF1374" s="112" t="str">
        <f>IF(AE1374=1,SUM($AE$8:AE1374),"")</f>
        <v/>
      </c>
      <c r="AG1374" t="str">
        <f>IFERROR(MATCH(1367,$AF$8:$AF$1407,0),"")</f>
        <v/>
      </c>
    </row>
    <row r="1375">
      <c r="A1375" s="92" t="str">
        <f>IF($AG1375="","",P_ImportID)</f>
        <v/>
      </c>
      <c r="B1375" s="92" t="str">
        <f>IF($AG1375="","",IF(INDEX($AN$8:$AN$21,INDEX($AC$8:$AC$1407,$AG1375)+1)="Z",P_BronZ,P_BronE))</f>
        <v/>
      </c>
      <c r="C1375" s="108" t="str">
        <f>IF($AG1375="","",P_Importdatum)</f>
        <v/>
      </c>
      <c r="D1375" s="92" t="str">
        <f>IF($AG1375="","",P_StatusVastleg)</f>
        <v/>
      </c>
      <c r="E1375" s="92" t="str">
        <f>IF($AG1375="","",P_UploadVJ)</f>
        <v/>
      </c>
      <c r="F1375" s="92" t="str">
        <f>IF($AG1375="","",P_UploadVersie)</f>
        <v/>
      </c>
      <c r="G1375" s="92" t="str">
        <f>IF($AG1375="","",IF(COUNTIFS(L_Sleutel,$S1375,L_Status,"Vastgesteld")=0,0,_xlfn.MAXIFS(L_Revisie,L_Sleutel,$S1375,L_Status,"Vastgesteld")+1))</f>
        <v/>
      </c>
      <c r="H1375" s="108" t="str">
        <f>IF($AG1375="","",P_Peildatum)</f>
        <v/>
      </c>
      <c r="I1375" s="92" t="str">
        <f>IF($AG1375="","",P_RJ+INDEX($AK$8:$AK$21,INDEX($AC$8:$AC$1407,$AG1375)+1))</f>
        <v/>
      </c>
      <c r="J1375" s="92" t="str">
        <f>IF($AG1375="","",INDEX(V_WBS,INDEX($AB$8:$AB$1407,$AG1375)))</f>
        <v/>
      </c>
      <c r="K1375" s="92" t="str">
        <f>IF($AG1375="","",INDEX(V_Projdef,INDEX($AB$8:$AB$1407,$AG1375)))</f>
        <v/>
      </c>
      <c r="L1375" s="92" t="str">
        <f>IF($AG1375="","",INDEX(V_Naam,INDEX($AB$8:$AB$1407,$AG1375)))</f>
        <v/>
      </c>
      <c r="M1375" s="92" t="str">
        <f>IF($AG1375="","",INDEX(V_Type,INDEX($AB$8:$AB$1407,$AG1375)))</f>
        <v/>
      </c>
      <c r="N1375" s="92" t="str">
        <f>IF($AG1375="","",INDEX(V_IFRS,INDEX($AB$8:$AB$1407,$AG1375)))</f>
        <v/>
      </c>
      <c r="O1375" s="92" t="str">
        <f>IF($AG1375="","",INDEX($AL$8:$AL$21,INDEX($AC$8:$AC$1407,$AG1375)+1))</f>
        <v/>
      </c>
      <c r="P1375" s="109" t="str">
        <f>IF($AG1375="","",INDEX($AD$8:$AD$1407,$AG1375))</f>
        <v/>
      </c>
      <c r="Q1375" s="92" t="str">
        <f>IF($AG1375="","",INDEX($AM$8:$AM$21,INDEX($AC$8:$AC$1407,$AG1375)+1))</f>
        <v/>
      </c>
      <c r="R1375" s="92" t="str">
        <f>IF($AG1375="","",IF($G1375&gt;0,P_ToelCorrectie&amp;"",""))</f>
        <v/>
      </c>
      <c r="S1375" s="15" t="str">
        <f>IF(J1375="","",J1375&amp;"|"&amp;E1375&amp;"|"&amp;F1375&amp;"|"&amp;I1375&amp;"|"&amp;O1375)</f>
        <v/>
      </c>
      <c r="T1375" s="111" t="str">
        <f>IF(S1375="","",IF(COUNTIFS(L_Sleutel,S1375,L_Actief,1)=0,"",SUMIFS(L_Waarde,L_Sleutel,S1375,L_Actief,1)))</f>
        <v/>
      </c>
      <c r="U1375" s="111">
        <f>IF(OR(S1375="",T1375=""),0,P1375-T1375)</f>
        <v>0</v>
      </c>
      <c r="AB1375" s="112" t="n">
        <v>98</v>
      </c>
      <c r="AC1375" s="112" t="n">
        <v>9</v>
      </c>
      <c r="AD1375" s="112" t="str">
        <f>VERW_Project!BR103</f>
        <v/>
      </c>
      <c r="AE1375" s="112">
        <f>IF(AND(VERW_Project!$A103&lt;&gt;"",ISNUMBER(AD1375)),1,0)</f>
        <v>0</v>
      </c>
      <c r="AF1375" s="112" t="str">
        <f>IF(AE1375=1,SUM($AE$8:AE1375),"")</f>
        <v/>
      </c>
      <c r="AG1375" t="str">
        <f>IFERROR(MATCH(1368,$AF$8:$AF$1407,0),"")</f>
        <v/>
      </c>
    </row>
    <row r="1376">
      <c r="A1376" s="92" t="str">
        <f>IF($AG1376="","",P_ImportID)</f>
        <v/>
      </c>
      <c r="B1376" s="92" t="str">
        <f>IF($AG1376="","",IF(INDEX($AN$8:$AN$21,INDEX($AC$8:$AC$1407,$AG1376)+1)="Z",P_BronZ,P_BronE))</f>
        <v/>
      </c>
      <c r="C1376" s="108" t="str">
        <f>IF($AG1376="","",P_Importdatum)</f>
        <v/>
      </c>
      <c r="D1376" s="92" t="str">
        <f>IF($AG1376="","",P_StatusVastleg)</f>
        <v/>
      </c>
      <c r="E1376" s="92" t="str">
        <f>IF($AG1376="","",P_UploadVJ)</f>
        <v/>
      </c>
      <c r="F1376" s="92" t="str">
        <f>IF($AG1376="","",P_UploadVersie)</f>
        <v/>
      </c>
      <c r="G1376" s="92" t="str">
        <f>IF($AG1376="","",IF(COUNTIFS(L_Sleutel,$S1376,L_Status,"Vastgesteld")=0,0,_xlfn.MAXIFS(L_Revisie,L_Sleutel,$S1376,L_Status,"Vastgesteld")+1))</f>
        <v/>
      </c>
      <c r="H1376" s="108" t="str">
        <f>IF($AG1376="","",P_Peildatum)</f>
        <v/>
      </c>
      <c r="I1376" s="92" t="str">
        <f>IF($AG1376="","",P_RJ+INDEX($AK$8:$AK$21,INDEX($AC$8:$AC$1407,$AG1376)+1))</f>
        <v/>
      </c>
      <c r="J1376" s="92" t="str">
        <f>IF($AG1376="","",INDEX(V_WBS,INDEX($AB$8:$AB$1407,$AG1376)))</f>
        <v/>
      </c>
      <c r="K1376" s="92" t="str">
        <f>IF($AG1376="","",INDEX(V_Projdef,INDEX($AB$8:$AB$1407,$AG1376)))</f>
        <v/>
      </c>
      <c r="L1376" s="92" t="str">
        <f>IF($AG1376="","",INDEX(V_Naam,INDEX($AB$8:$AB$1407,$AG1376)))</f>
        <v/>
      </c>
      <c r="M1376" s="92" t="str">
        <f>IF($AG1376="","",INDEX(V_Type,INDEX($AB$8:$AB$1407,$AG1376)))</f>
        <v/>
      </c>
      <c r="N1376" s="92" t="str">
        <f>IF($AG1376="","",INDEX(V_IFRS,INDEX($AB$8:$AB$1407,$AG1376)))</f>
        <v/>
      </c>
      <c r="O1376" s="92" t="str">
        <f>IF($AG1376="","",INDEX($AL$8:$AL$21,INDEX($AC$8:$AC$1407,$AG1376)+1))</f>
        <v/>
      </c>
      <c r="P1376" s="109" t="str">
        <f>IF($AG1376="","",INDEX($AD$8:$AD$1407,$AG1376))</f>
        <v/>
      </c>
      <c r="Q1376" s="92" t="str">
        <f>IF($AG1376="","",INDEX($AM$8:$AM$21,INDEX($AC$8:$AC$1407,$AG1376)+1))</f>
        <v/>
      </c>
      <c r="R1376" s="92" t="str">
        <f>IF($AG1376="","",IF($G1376&gt;0,P_ToelCorrectie&amp;"",""))</f>
        <v/>
      </c>
      <c r="S1376" s="15" t="str">
        <f>IF(J1376="","",J1376&amp;"|"&amp;E1376&amp;"|"&amp;F1376&amp;"|"&amp;I1376&amp;"|"&amp;O1376)</f>
        <v/>
      </c>
      <c r="T1376" s="111" t="str">
        <f>IF(S1376="","",IF(COUNTIFS(L_Sleutel,S1376,L_Actief,1)=0,"",SUMIFS(L_Waarde,L_Sleutel,S1376,L_Actief,1)))</f>
        <v/>
      </c>
      <c r="U1376" s="111">
        <f>IF(OR(S1376="",T1376=""),0,P1376-T1376)</f>
        <v>0</v>
      </c>
      <c r="AB1376" s="112" t="n">
        <v>98</v>
      </c>
      <c r="AC1376" s="112" t="n">
        <v>10</v>
      </c>
      <c r="AD1376" s="112" t="str">
        <f>VERW_Project!BS103</f>
        <v/>
      </c>
      <c r="AE1376" s="112">
        <f>IF(AND(VERW_Project!$A103&lt;&gt;"",ISNUMBER(AD1376)),1,0)</f>
        <v>0</v>
      </c>
      <c r="AF1376" s="112" t="str">
        <f>IF(AE1376=1,SUM($AE$8:AE1376),"")</f>
        <v/>
      </c>
      <c r="AG1376" t="str">
        <f>IFERROR(MATCH(1369,$AF$8:$AF$1407,0),"")</f>
        <v/>
      </c>
    </row>
    <row r="1377">
      <c r="A1377" s="92" t="str">
        <f>IF($AG1377="","",P_ImportID)</f>
        <v/>
      </c>
      <c r="B1377" s="92" t="str">
        <f>IF($AG1377="","",IF(INDEX($AN$8:$AN$21,INDEX($AC$8:$AC$1407,$AG1377)+1)="Z",P_BronZ,P_BronE))</f>
        <v/>
      </c>
      <c r="C1377" s="108" t="str">
        <f>IF($AG1377="","",P_Importdatum)</f>
        <v/>
      </c>
      <c r="D1377" s="92" t="str">
        <f>IF($AG1377="","",P_StatusVastleg)</f>
        <v/>
      </c>
      <c r="E1377" s="92" t="str">
        <f>IF($AG1377="","",P_UploadVJ)</f>
        <v/>
      </c>
      <c r="F1377" s="92" t="str">
        <f>IF($AG1377="","",P_UploadVersie)</f>
        <v/>
      </c>
      <c r="G1377" s="92" t="str">
        <f>IF($AG1377="","",IF(COUNTIFS(L_Sleutel,$S1377,L_Status,"Vastgesteld")=0,0,_xlfn.MAXIFS(L_Revisie,L_Sleutel,$S1377,L_Status,"Vastgesteld")+1))</f>
        <v/>
      </c>
      <c r="H1377" s="108" t="str">
        <f>IF($AG1377="","",P_Peildatum)</f>
        <v/>
      </c>
      <c r="I1377" s="92" t="str">
        <f>IF($AG1377="","",P_RJ+INDEX($AK$8:$AK$21,INDEX($AC$8:$AC$1407,$AG1377)+1))</f>
        <v/>
      </c>
      <c r="J1377" s="92" t="str">
        <f>IF($AG1377="","",INDEX(V_WBS,INDEX($AB$8:$AB$1407,$AG1377)))</f>
        <v/>
      </c>
      <c r="K1377" s="92" t="str">
        <f>IF($AG1377="","",INDEX(V_Projdef,INDEX($AB$8:$AB$1407,$AG1377)))</f>
        <v/>
      </c>
      <c r="L1377" s="92" t="str">
        <f>IF($AG1377="","",INDEX(V_Naam,INDEX($AB$8:$AB$1407,$AG1377)))</f>
        <v/>
      </c>
      <c r="M1377" s="92" t="str">
        <f>IF($AG1377="","",INDEX(V_Type,INDEX($AB$8:$AB$1407,$AG1377)))</f>
        <v/>
      </c>
      <c r="N1377" s="92" t="str">
        <f>IF($AG1377="","",INDEX(V_IFRS,INDEX($AB$8:$AB$1407,$AG1377)))</f>
        <v/>
      </c>
      <c r="O1377" s="92" t="str">
        <f>IF($AG1377="","",INDEX($AL$8:$AL$21,INDEX($AC$8:$AC$1407,$AG1377)+1))</f>
        <v/>
      </c>
      <c r="P1377" s="109" t="str">
        <f>IF($AG1377="","",INDEX($AD$8:$AD$1407,$AG1377))</f>
        <v/>
      </c>
      <c r="Q1377" s="92" t="str">
        <f>IF($AG1377="","",INDEX($AM$8:$AM$21,INDEX($AC$8:$AC$1407,$AG1377)+1))</f>
        <v/>
      </c>
      <c r="R1377" s="92" t="str">
        <f>IF($AG1377="","",IF($G1377&gt;0,P_ToelCorrectie&amp;"",""))</f>
        <v/>
      </c>
      <c r="S1377" s="15" t="str">
        <f>IF(J1377="","",J1377&amp;"|"&amp;E1377&amp;"|"&amp;F1377&amp;"|"&amp;I1377&amp;"|"&amp;O1377)</f>
        <v/>
      </c>
      <c r="T1377" s="111" t="str">
        <f>IF(S1377="","",IF(COUNTIFS(L_Sleutel,S1377,L_Actief,1)=0,"",SUMIFS(L_Waarde,L_Sleutel,S1377,L_Actief,1)))</f>
        <v/>
      </c>
      <c r="U1377" s="111">
        <f>IF(OR(S1377="",T1377=""),0,P1377-T1377)</f>
        <v>0</v>
      </c>
      <c r="AB1377" s="112" t="n">
        <v>98</v>
      </c>
      <c r="AC1377" s="112" t="n">
        <v>11</v>
      </c>
      <c r="AD1377" s="112" t="str">
        <f>VERW_Project!BT103</f>
        <v/>
      </c>
      <c r="AE1377" s="112">
        <f>IF(AND(VERW_Project!$A103&lt;&gt;"",ISNUMBER(AD1377)),1,0)</f>
        <v>0</v>
      </c>
      <c r="AF1377" s="112" t="str">
        <f>IF(AE1377=1,SUM($AE$8:AE1377),"")</f>
        <v/>
      </c>
      <c r="AG1377" t="str">
        <f>IFERROR(MATCH(1370,$AF$8:$AF$1407,0),"")</f>
        <v/>
      </c>
    </row>
    <row r="1378">
      <c r="A1378" s="92" t="str">
        <f>IF($AG1378="","",P_ImportID)</f>
        <v/>
      </c>
      <c r="B1378" s="92" t="str">
        <f>IF($AG1378="","",IF(INDEX($AN$8:$AN$21,INDEX($AC$8:$AC$1407,$AG1378)+1)="Z",P_BronZ,P_BronE))</f>
        <v/>
      </c>
      <c r="C1378" s="108" t="str">
        <f>IF($AG1378="","",P_Importdatum)</f>
        <v/>
      </c>
      <c r="D1378" s="92" t="str">
        <f>IF($AG1378="","",P_StatusVastleg)</f>
        <v/>
      </c>
      <c r="E1378" s="92" t="str">
        <f>IF($AG1378="","",P_UploadVJ)</f>
        <v/>
      </c>
      <c r="F1378" s="92" t="str">
        <f>IF($AG1378="","",P_UploadVersie)</f>
        <v/>
      </c>
      <c r="G1378" s="92" t="str">
        <f>IF($AG1378="","",IF(COUNTIFS(L_Sleutel,$S1378,L_Status,"Vastgesteld")=0,0,_xlfn.MAXIFS(L_Revisie,L_Sleutel,$S1378,L_Status,"Vastgesteld")+1))</f>
        <v/>
      </c>
      <c r="H1378" s="108" t="str">
        <f>IF($AG1378="","",P_Peildatum)</f>
        <v/>
      </c>
      <c r="I1378" s="92" t="str">
        <f>IF($AG1378="","",P_RJ+INDEX($AK$8:$AK$21,INDEX($AC$8:$AC$1407,$AG1378)+1))</f>
        <v/>
      </c>
      <c r="J1378" s="92" t="str">
        <f>IF($AG1378="","",INDEX(V_WBS,INDEX($AB$8:$AB$1407,$AG1378)))</f>
        <v/>
      </c>
      <c r="K1378" s="92" t="str">
        <f>IF($AG1378="","",INDEX(V_Projdef,INDEX($AB$8:$AB$1407,$AG1378)))</f>
        <v/>
      </c>
      <c r="L1378" s="92" t="str">
        <f>IF($AG1378="","",INDEX(V_Naam,INDEX($AB$8:$AB$1407,$AG1378)))</f>
        <v/>
      </c>
      <c r="M1378" s="92" t="str">
        <f>IF($AG1378="","",INDEX(V_Type,INDEX($AB$8:$AB$1407,$AG1378)))</f>
        <v/>
      </c>
      <c r="N1378" s="92" t="str">
        <f>IF($AG1378="","",INDEX(V_IFRS,INDEX($AB$8:$AB$1407,$AG1378)))</f>
        <v/>
      </c>
      <c r="O1378" s="92" t="str">
        <f>IF($AG1378="","",INDEX($AL$8:$AL$21,INDEX($AC$8:$AC$1407,$AG1378)+1))</f>
        <v/>
      </c>
      <c r="P1378" s="109" t="str">
        <f>IF($AG1378="","",INDEX($AD$8:$AD$1407,$AG1378))</f>
        <v/>
      </c>
      <c r="Q1378" s="92" t="str">
        <f>IF($AG1378="","",INDEX($AM$8:$AM$21,INDEX($AC$8:$AC$1407,$AG1378)+1))</f>
        <v/>
      </c>
      <c r="R1378" s="92" t="str">
        <f>IF($AG1378="","",IF($G1378&gt;0,P_ToelCorrectie&amp;"",""))</f>
        <v/>
      </c>
      <c r="S1378" s="15" t="str">
        <f>IF(J1378="","",J1378&amp;"|"&amp;E1378&amp;"|"&amp;F1378&amp;"|"&amp;I1378&amp;"|"&amp;O1378)</f>
        <v/>
      </c>
      <c r="T1378" s="111" t="str">
        <f>IF(S1378="","",IF(COUNTIFS(L_Sleutel,S1378,L_Actief,1)=0,"",SUMIFS(L_Waarde,L_Sleutel,S1378,L_Actief,1)))</f>
        <v/>
      </c>
      <c r="U1378" s="111">
        <f>IF(OR(S1378="",T1378=""),0,P1378-T1378)</f>
        <v>0</v>
      </c>
      <c r="AB1378" s="112" t="n">
        <v>98</v>
      </c>
      <c r="AC1378" s="112" t="n">
        <v>12</v>
      </c>
      <c r="AD1378" s="112" t="str">
        <f>VERW_Project!BU103</f>
        <v/>
      </c>
      <c r="AE1378" s="112">
        <f>IF(AND(VERW_Project!$A103&lt;&gt;"",ISNUMBER(AD1378)),1,0)</f>
        <v>0</v>
      </c>
      <c r="AF1378" s="112" t="str">
        <f>IF(AE1378=1,SUM($AE$8:AE1378),"")</f>
        <v/>
      </c>
      <c r="AG1378" t="str">
        <f>IFERROR(MATCH(1371,$AF$8:$AF$1407,0),"")</f>
        <v/>
      </c>
    </row>
    <row r="1379">
      <c r="A1379" s="92" t="str">
        <f>IF($AG1379="","",P_ImportID)</f>
        <v/>
      </c>
      <c r="B1379" s="92" t="str">
        <f>IF($AG1379="","",IF(INDEX($AN$8:$AN$21,INDEX($AC$8:$AC$1407,$AG1379)+1)="Z",P_BronZ,P_BronE))</f>
        <v/>
      </c>
      <c r="C1379" s="108" t="str">
        <f>IF($AG1379="","",P_Importdatum)</f>
        <v/>
      </c>
      <c r="D1379" s="92" t="str">
        <f>IF($AG1379="","",P_StatusVastleg)</f>
        <v/>
      </c>
      <c r="E1379" s="92" t="str">
        <f>IF($AG1379="","",P_UploadVJ)</f>
        <v/>
      </c>
      <c r="F1379" s="92" t="str">
        <f>IF($AG1379="","",P_UploadVersie)</f>
        <v/>
      </c>
      <c r="G1379" s="92" t="str">
        <f>IF($AG1379="","",IF(COUNTIFS(L_Sleutel,$S1379,L_Status,"Vastgesteld")=0,0,_xlfn.MAXIFS(L_Revisie,L_Sleutel,$S1379,L_Status,"Vastgesteld")+1))</f>
        <v/>
      </c>
      <c r="H1379" s="108" t="str">
        <f>IF($AG1379="","",P_Peildatum)</f>
        <v/>
      </c>
      <c r="I1379" s="92" t="str">
        <f>IF($AG1379="","",P_RJ+INDEX($AK$8:$AK$21,INDEX($AC$8:$AC$1407,$AG1379)+1))</f>
        <v/>
      </c>
      <c r="J1379" s="92" t="str">
        <f>IF($AG1379="","",INDEX(V_WBS,INDEX($AB$8:$AB$1407,$AG1379)))</f>
        <v/>
      </c>
      <c r="K1379" s="92" t="str">
        <f>IF($AG1379="","",INDEX(V_Projdef,INDEX($AB$8:$AB$1407,$AG1379)))</f>
        <v/>
      </c>
      <c r="L1379" s="92" t="str">
        <f>IF($AG1379="","",INDEX(V_Naam,INDEX($AB$8:$AB$1407,$AG1379)))</f>
        <v/>
      </c>
      <c r="M1379" s="92" t="str">
        <f>IF($AG1379="","",INDEX(V_Type,INDEX($AB$8:$AB$1407,$AG1379)))</f>
        <v/>
      </c>
      <c r="N1379" s="92" t="str">
        <f>IF($AG1379="","",INDEX(V_IFRS,INDEX($AB$8:$AB$1407,$AG1379)))</f>
        <v/>
      </c>
      <c r="O1379" s="92" t="str">
        <f>IF($AG1379="","",INDEX($AL$8:$AL$21,INDEX($AC$8:$AC$1407,$AG1379)+1))</f>
        <v/>
      </c>
      <c r="P1379" s="109" t="str">
        <f>IF($AG1379="","",INDEX($AD$8:$AD$1407,$AG1379))</f>
        <v/>
      </c>
      <c r="Q1379" s="92" t="str">
        <f>IF($AG1379="","",INDEX($AM$8:$AM$21,INDEX($AC$8:$AC$1407,$AG1379)+1))</f>
        <v/>
      </c>
      <c r="R1379" s="92" t="str">
        <f>IF($AG1379="","",IF($G1379&gt;0,P_ToelCorrectie&amp;"",""))</f>
        <v/>
      </c>
      <c r="S1379" s="15" t="str">
        <f>IF(J1379="","",J1379&amp;"|"&amp;E1379&amp;"|"&amp;F1379&amp;"|"&amp;I1379&amp;"|"&amp;O1379)</f>
        <v/>
      </c>
      <c r="T1379" s="111" t="str">
        <f>IF(S1379="","",IF(COUNTIFS(L_Sleutel,S1379,L_Actief,1)=0,"",SUMIFS(L_Waarde,L_Sleutel,S1379,L_Actief,1)))</f>
        <v/>
      </c>
      <c r="U1379" s="111">
        <f>IF(OR(S1379="",T1379=""),0,P1379-T1379)</f>
        <v>0</v>
      </c>
      <c r="AB1379" s="112" t="n">
        <v>98</v>
      </c>
      <c r="AC1379" s="112" t="n">
        <v>13</v>
      </c>
      <c r="AD1379" s="112" t="str">
        <f>VERW_Project!BX103</f>
        <v/>
      </c>
      <c r="AE1379" s="112">
        <f>IF(AND(VERW_Project!$A103&lt;&gt;"",ISNUMBER(AD1379)),1,0)</f>
        <v>0</v>
      </c>
      <c r="AF1379" s="112" t="str">
        <f>IF(AE1379=1,SUM($AE$8:AE1379),"")</f>
        <v/>
      </c>
      <c r="AG1379" t="str">
        <f>IFERROR(MATCH(1372,$AF$8:$AF$1407,0),"")</f>
        <v/>
      </c>
    </row>
    <row r="1380">
      <c r="A1380" s="92" t="str">
        <f>IF($AG1380="","",P_ImportID)</f>
        <v/>
      </c>
      <c r="B1380" s="92" t="str">
        <f>IF($AG1380="","",IF(INDEX($AN$8:$AN$21,INDEX($AC$8:$AC$1407,$AG1380)+1)="Z",P_BronZ,P_BronE))</f>
        <v/>
      </c>
      <c r="C1380" s="108" t="str">
        <f>IF($AG1380="","",P_Importdatum)</f>
        <v/>
      </c>
      <c r="D1380" s="92" t="str">
        <f>IF($AG1380="","",P_StatusVastleg)</f>
        <v/>
      </c>
      <c r="E1380" s="92" t="str">
        <f>IF($AG1380="","",P_UploadVJ)</f>
        <v/>
      </c>
      <c r="F1380" s="92" t="str">
        <f>IF($AG1380="","",P_UploadVersie)</f>
        <v/>
      </c>
      <c r="G1380" s="92" t="str">
        <f>IF($AG1380="","",IF(COUNTIFS(L_Sleutel,$S1380,L_Status,"Vastgesteld")=0,0,_xlfn.MAXIFS(L_Revisie,L_Sleutel,$S1380,L_Status,"Vastgesteld")+1))</f>
        <v/>
      </c>
      <c r="H1380" s="108" t="str">
        <f>IF($AG1380="","",P_Peildatum)</f>
        <v/>
      </c>
      <c r="I1380" s="92" t="str">
        <f>IF($AG1380="","",P_RJ+INDEX($AK$8:$AK$21,INDEX($AC$8:$AC$1407,$AG1380)+1))</f>
        <v/>
      </c>
      <c r="J1380" s="92" t="str">
        <f>IF($AG1380="","",INDEX(V_WBS,INDEX($AB$8:$AB$1407,$AG1380)))</f>
        <v/>
      </c>
      <c r="K1380" s="92" t="str">
        <f>IF($AG1380="","",INDEX(V_Projdef,INDEX($AB$8:$AB$1407,$AG1380)))</f>
        <v/>
      </c>
      <c r="L1380" s="92" t="str">
        <f>IF($AG1380="","",INDEX(V_Naam,INDEX($AB$8:$AB$1407,$AG1380)))</f>
        <v/>
      </c>
      <c r="M1380" s="92" t="str">
        <f>IF($AG1380="","",INDEX(V_Type,INDEX($AB$8:$AB$1407,$AG1380)))</f>
        <v/>
      </c>
      <c r="N1380" s="92" t="str">
        <f>IF($AG1380="","",INDEX(V_IFRS,INDEX($AB$8:$AB$1407,$AG1380)))</f>
        <v/>
      </c>
      <c r="O1380" s="92" t="str">
        <f>IF($AG1380="","",INDEX($AL$8:$AL$21,INDEX($AC$8:$AC$1407,$AG1380)+1))</f>
        <v/>
      </c>
      <c r="P1380" s="109" t="str">
        <f>IF($AG1380="","",INDEX($AD$8:$AD$1407,$AG1380))</f>
        <v/>
      </c>
      <c r="Q1380" s="92" t="str">
        <f>IF($AG1380="","",INDEX($AM$8:$AM$21,INDEX($AC$8:$AC$1407,$AG1380)+1))</f>
        <v/>
      </c>
      <c r="R1380" s="92" t="str">
        <f>IF($AG1380="","",IF($G1380&gt;0,P_ToelCorrectie&amp;"",""))</f>
        <v/>
      </c>
      <c r="S1380" s="15" t="str">
        <f>IF(J1380="","",J1380&amp;"|"&amp;E1380&amp;"|"&amp;F1380&amp;"|"&amp;I1380&amp;"|"&amp;O1380)</f>
        <v/>
      </c>
      <c r="T1380" s="111" t="str">
        <f>IF(S1380="","",IF(COUNTIFS(L_Sleutel,S1380,L_Actief,1)=0,"",SUMIFS(L_Waarde,L_Sleutel,S1380,L_Actief,1)))</f>
        <v/>
      </c>
      <c r="U1380" s="111">
        <f>IF(OR(S1380="",T1380=""),0,P1380-T1380)</f>
        <v>0</v>
      </c>
      <c r="AB1380" s="112" t="n">
        <v>99</v>
      </c>
      <c r="AC1380" s="112" t="n">
        <v>0</v>
      </c>
      <c r="AD1380" s="112" t="str">
        <f>VERW_Project!P104</f>
        <v/>
      </c>
      <c r="AE1380" s="112">
        <f>IF(AND(VERW_Project!$A104&lt;&gt;"",ISNUMBER(AD1380)),1,0)</f>
        <v>0</v>
      </c>
      <c r="AF1380" s="112" t="str">
        <f>IF(AE1380=1,SUM($AE$8:AE1380),"")</f>
        <v/>
      </c>
      <c r="AG1380" t="str">
        <f>IFERROR(MATCH(1373,$AF$8:$AF$1407,0),"")</f>
        <v/>
      </c>
    </row>
    <row r="1381">
      <c r="A1381" s="92" t="str">
        <f>IF($AG1381="","",P_ImportID)</f>
        <v/>
      </c>
      <c r="B1381" s="92" t="str">
        <f>IF($AG1381="","",IF(INDEX($AN$8:$AN$21,INDEX($AC$8:$AC$1407,$AG1381)+1)="Z",P_BronZ,P_BronE))</f>
        <v/>
      </c>
      <c r="C1381" s="108" t="str">
        <f>IF($AG1381="","",P_Importdatum)</f>
        <v/>
      </c>
      <c r="D1381" s="92" t="str">
        <f>IF($AG1381="","",P_StatusVastleg)</f>
        <v/>
      </c>
      <c r="E1381" s="92" t="str">
        <f>IF($AG1381="","",P_UploadVJ)</f>
        <v/>
      </c>
      <c r="F1381" s="92" t="str">
        <f>IF($AG1381="","",P_UploadVersie)</f>
        <v/>
      </c>
      <c r="G1381" s="92" t="str">
        <f>IF($AG1381="","",IF(COUNTIFS(L_Sleutel,$S1381,L_Status,"Vastgesteld")=0,0,_xlfn.MAXIFS(L_Revisie,L_Sleutel,$S1381,L_Status,"Vastgesteld")+1))</f>
        <v/>
      </c>
      <c r="H1381" s="108" t="str">
        <f>IF($AG1381="","",P_Peildatum)</f>
        <v/>
      </c>
      <c r="I1381" s="92" t="str">
        <f>IF($AG1381="","",P_RJ+INDEX($AK$8:$AK$21,INDEX($AC$8:$AC$1407,$AG1381)+1))</f>
        <v/>
      </c>
      <c r="J1381" s="92" t="str">
        <f>IF($AG1381="","",INDEX(V_WBS,INDEX($AB$8:$AB$1407,$AG1381)))</f>
        <v/>
      </c>
      <c r="K1381" s="92" t="str">
        <f>IF($AG1381="","",INDEX(V_Projdef,INDEX($AB$8:$AB$1407,$AG1381)))</f>
        <v/>
      </c>
      <c r="L1381" s="92" t="str">
        <f>IF($AG1381="","",INDEX(V_Naam,INDEX($AB$8:$AB$1407,$AG1381)))</f>
        <v/>
      </c>
      <c r="M1381" s="92" t="str">
        <f>IF($AG1381="","",INDEX(V_Type,INDEX($AB$8:$AB$1407,$AG1381)))</f>
        <v/>
      </c>
      <c r="N1381" s="92" t="str">
        <f>IF($AG1381="","",INDEX(V_IFRS,INDEX($AB$8:$AB$1407,$AG1381)))</f>
        <v/>
      </c>
      <c r="O1381" s="92" t="str">
        <f>IF($AG1381="","",INDEX($AL$8:$AL$21,INDEX($AC$8:$AC$1407,$AG1381)+1))</f>
        <v/>
      </c>
      <c r="P1381" s="109" t="str">
        <f>IF($AG1381="","",INDEX($AD$8:$AD$1407,$AG1381))</f>
        <v/>
      </c>
      <c r="Q1381" s="92" t="str">
        <f>IF($AG1381="","",INDEX($AM$8:$AM$21,INDEX($AC$8:$AC$1407,$AG1381)+1))</f>
        <v/>
      </c>
      <c r="R1381" s="92" t="str">
        <f>IF($AG1381="","",IF($G1381&gt;0,P_ToelCorrectie&amp;"",""))</f>
        <v/>
      </c>
      <c r="S1381" s="15" t="str">
        <f>IF(J1381="","",J1381&amp;"|"&amp;E1381&amp;"|"&amp;F1381&amp;"|"&amp;I1381&amp;"|"&amp;O1381)</f>
        <v/>
      </c>
      <c r="T1381" s="111" t="str">
        <f>IF(S1381="","",IF(COUNTIFS(L_Sleutel,S1381,L_Actief,1)=0,"",SUMIFS(L_Waarde,L_Sleutel,S1381,L_Actief,1)))</f>
        <v/>
      </c>
      <c r="U1381" s="111">
        <f>IF(OR(S1381="",T1381=""),0,P1381-T1381)</f>
        <v>0</v>
      </c>
      <c r="AB1381" s="112" t="n">
        <v>99</v>
      </c>
      <c r="AC1381" s="112" t="n">
        <v>1</v>
      </c>
      <c r="AD1381" s="112" t="str">
        <f>VERW_Project!Q104</f>
        <v/>
      </c>
      <c r="AE1381" s="112">
        <f>IF(AND(VERW_Project!$A104&lt;&gt;"",ISNUMBER(AD1381)),1,0)</f>
        <v>0</v>
      </c>
      <c r="AF1381" s="112" t="str">
        <f>IF(AE1381=1,SUM($AE$8:AE1381),"")</f>
        <v/>
      </c>
      <c r="AG1381" t="str">
        <f>IFERROR(MATCH(1374,$AF$8:$AF$1407,0),"")</f>
        <v/>
      </c>
    </row>
    <row r="1382">
      <c r="A1382" s="92" t="str">
        <f>IF($AG1382="","",P_ImportID)</f>
        <v/>
      </c>
      <c r="B1382" s="92" t="str">
        <f>IF($AG1382="","",IF(INDEX($AN$8:$AN$21,INDEX($AC$8:$AC$1407,$AG1382)+1)="Z",P_BronZ,P_BronE))</f>
        <v/>
      </c>
      <c r="C1382" s="108" t="str">
        <f>IF($AG1382="","",P_Importdatum)</f>
        <v/>
      </c>
      <c r="D1382" s="92" t="str">
        <f>IF($AG1382="","",P_StatusVastleg)</f>
        <v/>
      </c>
      <c r="E1382" s="92" t="str">
        <f>IF($AG1382="","",P_UploadVJ)</f>
        <v/>
      </c>
      <c r="F1382" s="92" t="str">
        <f>IF($AG1382="","",P_UploadVersie)</f>
        <v/>
      </c>
      <c r="G1382" s="92" t="str">
        <f>IF($AG1382="","",IF(COUNTIFS(L_Sleutel,$S1382,L_Status,"Vastgesteld")=0,0,_xlfn.MAXIFS(L_Revisie,L_Sleutel,$S1382,L_Status,"Vastgesteld")+1))</f>
        <v/>
      </c>
      <c r="H1382" s="108" t="str">
        <f>IF($AG1382="","",P_Peildatum)</f>
        <v/>
      </c>
      <c r="I1382" s="92" t="str">
        <f>IF($AG1382="","",P_RJ+INDEX($AK$8:$AK$21,INDEX($AC$8:$AC$1407,$AG1382)+1))</f>
        <v/>
      </c>
      <c r="J1382" s="92" t="str">
        <f>IF($AG1382="","",INDEX(V_WBS,INDEX($AB$8:$AB$1407,$AG1382)))</f>
        <v/>
      </c>
      <c r="K1382" s="92" t="str">
        <f>IF($AG1382="","",INDEX(V_Projdef,INDEX($AB$8:$AB$1407,$AG1382)))</f>
        <v/>
      </c>
      <c r="L1382" s="92" t="str">
        <f>IF($AG1382="","",INDEX(V_Naam,INDEX($AB$8:$AB$1407,$AG1382)))</f>
        <v/>
      </c>
      <c r="M1382" s="92" t="str">
        <f>IF($AG1382="","",INDEX(V_Type,INDEX($AB$8:$AB$1407,$AG1382)))</f>
        <v/>
      </c>
      <c r="N1382" s="92" t="str">
        <f>IF($AG1382="","",INDEX(V_IFRS,INDEX($AB$8:$AB$1407,$AG1382)))</f>
        <v/>
      </c>
      <c r="O1382" s="92" t="str">
        <f>IF($AG1382="","",INDEX($AL$8:$AL$21,INDEX($AC$8:$AC$1407,$AG1382)+1))</f>
        <v/>
      </c>
      <c r="P1382" s="109" t="str">
        <f>IF($AG1382="","",INDEX($AD$8:$AD$1407,$AG1382))</f>
        <v/>
      </c>
      <c r="Q1382" s="92" t="str">
        <f>IF($AG1382="","",INDEX($AM$8:$AM$21,INDEX($AC$8:$AC$1407,$AG1382)+1))</f>
        <v/>
      </c>
      <c r="R1382" s="92" t="str">
        <f>IF($AG1382="","",IF($G1382&gt;0,P_ToelCorrectie&amp;"",""))</f>
        <v/>
      </c>
      <c r="S1382" s="15" t="str">
        <f>IF(J1382="","",J1382&amp;"|"&amp;E1382&amp;"|"&amp;F1382&amp;"|"&amp;I1382&amp;"|"&amp;O1382)</f>
        <v/>
      </c>
      <c r="T1382" s="111" t="str">
        <f>IF(S1382="","",IF(COUNTIFS(L_Sleutel,S1382,L_Actief,1)=0,"",SUMIFS(L_Waarde,L_Sleutel,S1382,L_Actief,1)))</f>
        <v/>
      </c>
      <c r="U1382" s="111">
        <f>IF(OR(S1382="",T1382=""),0,P1382-T1382)</f>
        <v>0</v>
      </c>
      <c r="AB1382" s="112" t="n">
        <v>99</v>
      </c>
      <c r="AC1382" s="112" t="n">
        <v>2</v>
      </c>
      <c r="AD1382" s="112" t="str">
        <f>VERW_Project!L104</f>
        <v/>
      </c>
      <c r="AE1382" s="112">
        <f>IF(AND(VERW_Project!$A104&lt;&gt;"",ISNUMBER(AD1382)),1,0)</f>
        <v>0</v>
      </c>
      <c r="AF1382" s="112" t="str">
        <f>IF(AE1382=1,SUM($AE$8:AE1382),"")</f>
        <v/>
      </c>
      <c r="AG1382" t="str">
        <f>IFERROR(MATCH(1375,$AF$8:$AF$1407,0),"")</f>
        <v/>
      </c>
    </row>
    <row r="1383">
      <c r="A1383" s="92" t="str">
        <f>IF($AG1383="","",P_ImportID)</f>
        <v/>
      </c>
      <c r="B1383" s="92" t="str">
        <f>IF($AG1383="","",IF(INDEX($AN$8:$AN$21,INDEX($AC$8:$AC$1407,$AG1383)+1)="Z",P_BronZ,P_BronE))</f>
        <v/>
      </c>
      <c r="C1383" s="108" t="str">
        <f>IF($AG1383="","",P_Importdatum)</f>
        <v/>
      </c>
      <c r="D1383" s="92" t="str">
        <f>IF($AG1383="","",P_StatusVastleg)</f>
        <v/>
      </c>
      <c r="E1383" s="92" t="str">
        <f>IF($AG1383="","",P_UploadVJ)</f>
        <v/>
      </c>
      <c r="F1383" s="92" t="str">
        <f>IF($AG1383="","",P_UploadVersie)</f>
        <v/>
      </c>
      <c r="G1383" s="92" t="str">
        <f>IF($AG1383="","",IF(COUNTIFS(L_Sleutel,$S1383,L_Status,"Vastgesteld")=0,0,_xlfn.MAXIFS(L_Revisie,L_Sleutel,$S1383,L_Status,"Vastgesteld")+1))</f>
        <v/>
      </c>
      <c r="H1383" s="108" t="str">
        <f>IF($AG1383="","",P_Peildatum)</f>
        <v/>
      </c>
      <c r="I1383" s="92" t="str">
        <f>IF($AG1383="","",P_RJ+INDEX($AK$8:$AK$21,INDEX($AC$8:$AC$1407,$AG1383)+1))</f>
        <v/>
      </c>
      <c r="J1383" s="92" t="str">
        <f>IF($AG1383="","",INDEX(V_WBS,INDEX($AB$8:$AB$1407,$AG1383)))</f>
        <v/>
      </c>
      <c r="K1383" s="92" t="str">
        <f>IF($AG1383="","",INDEX(V_Projdef,INDEX($AB$8:$AB$1407,$AG1383)))</f>
        <v/>
      </c>
      <c r="L1383" s="92" t="str">
        <f>IF($AG1383="","",INDEX(V_Naam,INDEX($AB$8:$AB$1407,$AG1383)))</f>
        <v/>
      </c>
      <c r="M1383" s="92" t="str">
        <f>IF($AG1383="","",INDEX(V_Type,INDEX($AB$8:$AB$1407,$AG1383)))</f>
        <v/>
      </c>
      <c r="N1383" s="92" t="str">
        <f>IF($AG1383="","",INDEX(V_IFRS,INDEX($AB$8:$AB$1407,$AG1383)))</f>
        <v/>
      </c>
      <c r="O1383" s="92" t="str">
        <f>IF($AG1383="","",INDEX($AL$8:$AL$21,INDEX($AC$8:$AC$1407,$AG1383)+1))</f>
        <v/>
      </c>
      <c r="P1383" s="109" t="str">
        <f>IF($AG1383="","",INDEX($AD$8:$AD$1407,$AG1383))</f>
        <v/>
      </c>
      <c r="Q1383" s="92" t="str">
        <f>IF($AG1383="","",INDEX($AM$8:$AM$21,INDEX($AC$8:$AC$1407,$AG1383)+1))</f>
        <v/>
      </c>
      <c r="R1383" s="92" t="str">
        <f>IF($AG1383="","",IF($G1383&gt;0,P_ToelCorrectie&amp;"",""))</f>
        <v/>
      </c>
      <c r="S1383" s="15" t="str">
        <f>IF(J1383="","",J1383&amp;"|"&amp;E1383&amp;"|"&amp;F1383&amp;"|"&amp;I1383&amp;"|"&amp;O1383)</f>
        <v/>
      </c>
      <c r="T1383" s="111" t="str">
        <f>IF(S1383="","",IF(COUNTIFS(L_Sleutel,S1383,L_Actief,1)=0,"",SUMIFS(L_Waarde,L_Sleutel,S1383,L_Actief,1)))</f>
        <v/>
      </c>
      <c r="U1383" s="111">
        <f>IF(OR(S1383="",T1383=""),0,P1383-T1383)</f>
        <v>0</v>
      </c>
      <c r="AB1383" s="112" t="n">
        <v>99</v>
      </c>
      <c r="AC1383" s="112" t="n">
        <v>3</v>
      </c>
      <c r="AD1383" s="112" t="str">
        <f>VERW_Project!M104</f>
        <v/>
      </c>
      <c r="AE1383" s="112">
        <f>IF(AND(VERW_Project!$A104&lt;&gt;"",ISNUMBER(AD1383)),1,0)</f>
        <v>0</v>
      </c>
      <c r="AF1383" s="112" t="str">
        <f>IF(AE1383=1,SUM($AE$8:AE1383),"")</f>
        <v/>
      </c>
      <c r="AG1383" t="str">
        <f>IFERROR(MATCH(1376,$AF$8:$AF$1407,0),"")</f>
        <v/>
      </c>
    </row>
    <row r="1384">
      <c r="A1384" s="92" t="str">
        <f>IF($AG1384="","",P_ImportID)</f>
        <v/>
      </c>
      <c r="B1384" s="92" t="str">
        <f>IF($AG1384="","",IF(INDEX($AN$8:$AN$21,INDEX($AC$8:$AC$1407,$AG1384)+1)="Z",P_BronZ,P_BronE))</f>
        <v/>
      </c>
      <c r="C1384" s="108" t="str">
        <f>IF($AG1384="","",P_Importdatum)</f>
        <v/>
      </c>
      <c r="D1384" s="92" t="str">
        <f>IF($AG1384="","",P_StatusVastleg)</f>
        <v/>
      </c>
      <c r="E1384" s="92" t="str">
        <f>IF($AG1384="","",P_UploadVJ)</f>
        <v/>
      </c>
      <c r="F1384" s="92" t="str">
        <f>IF($AG1384="","",P_UploadVersie)</f>
        <v/>
      </c>
      <c r="G1384" s="92" t="str">
        <f>IF($AG1384="","",IF(COUNTIFS(L_Sleutel,$S1384,L_Status,"Vastgesteld")=0,0,_xlfn.MAXIFS(L_Revisie,L_Sleutel,$S1384,L_Status,"Vastgesteld")+1))</f>
        <v/>
      </c>
      <c r="H1384" s="108" t="str">
        <f>IF($AG1384="","",P_Peildatum)</f>
        <v/>
      </c>
      <c r="I1384" s="92" t="str">
        <f>IF($AG1384="","",P_RJ+INDEX($AK$8:$AK$21,INDEX($AC$8:$AC$1407,$AG1384)+1))</f>
        <v/>
      </c>
      <c r="J1384" s="92" t="str">
        <f>IF($AG1384="","",INDEX(V_WBS,INDEX($AB$8:$AB$1407,$AG1384)))</f>
        <v/>
      </c>
      <c r="K1384" s="92" t="str">
        <f>IF($AG1384="","",INDEX(V_Projdef,INDEX($AB$8:$AB$1407,$AG1384)))</f>
        <v/>
      </c>
      <c r="L1384" s="92" t="str">
        <f>IF($AG1384="","",INDEX(V_Naam,INDEX($AB$8:$AB$1407,$AG1384)))</f>
        <v/>
      </c>
      <c r="M1384" s="92" t="str">
        <f>IF($AG1384="","",INDEX(V_Type,INDEX($AB$8:$AB$1407,$AG1384)))</f>
        <v/>
      </c>
      <c r="N1384" s="92" t="str">
        <f>IF($AG1384="","",INDEX(V_IFRS,INDEX($AB$8:$AB$1407,$AG1384)))</f>
        <v/>
      </c>
      <c r="O1384" s="92" t="str">
        <f>IF($AG1384="","",INDEX($AL$8:$AL$21,INDEX($AC$8:$AC$1407,$AG1384)+1))</f>
        <v/>
      </c>
      <c r="P1384" s="109" t="str">
        <f>IF($AG1384="","",INDEX($AD$8:$AD$1407,$AG1384))</f>
        <v/>
      </c>
      <c r="Q1384" s="92" t="str">
        <f>IF($AG1384="","",INDEX($AM$8:$AM$21,INDEX($AC$8:$AC$1407,$AG1384)+1))</f>
        <v/>
      </c>
      <c r="R1384" s="92" t="str">
        <f>IF($AG1384="","",IF($G1384&gt;0,P_ToelCorrectie&amp;"",""))</f>
        <v/>
      </c>
      <c r="S1384" s="15" t="str">
        <f>IF(J1384="","",J1384&amp;"|"&amp;E1384&amp;"|"&amp;F1384&amp;"|"&amp;I1384&amp;"|"&amp;O1384)</f>
        <v/>
      </c>
      <c r="T1384" s="111" t="str">
        <f>IF(S1384="","",IF(COUNTIFS(L_Sleutel,S1384,L_Actief,1)=0,"",SUMIFS(L_Waarde,L_Sleutel,S1384,L_Actief,1)))</f>
        <v/>
      </c>
      <c r="U1384" s="111">
        <f>IF(OR(S1384="",T1384=""),0,P1384-T1384)</f>
        <v>0</v>
      </c>
      <c r="AB1384" s="112" t="n">
        <v>99</v>
      </c>
      <c r="AC1384" s="112" t="n">
        <v>4</v>
      </c>
      <c r="AD1384" s="112" t="str">
        <f>VERW_Project!R104</f>
        <v/>
      </c>
      <c r="AE1384" s="112">
        <f>IF(AND(VERW_Project!$A104&lt;&gt;"",ISNUMBER(AD1384)),1,0)</f>
        <v>0</v>
      </c>
      <c r="AF1384" s="112" t="str">
        <f>IF(AE1384=1,SUM($AE$8:AE1384),"")</f>
        <v/>
      </c>
      <c r="AG1384" t="str">
        <f>IFERROR(MATCH(1377,$AF$8:$AF$1407,0),"")</f>
        <v/>
      </c>
    </row>
    <row r="1385">
      <c r="A1385" s="92" t="str">
        <f>IF($AG1385="","",P_ImportID)</f>
        <v/>
      </c>
      <c r="B1385" s="92" t="str">
        <f>IF($AG1385="","",IF(INDEX($AN$8:$AN$21,INDEX($AC$8:$AC$1407,$AG1385)+1)="Z",P_BronZ,P_BronE))</f>
        <v/>
      </c>
      <c r="C1385" s="108" t="str">
        <f>IF($AG1385="","",P_Importdatum)</f>
        <v/>
      </c>
      <c r="D1385" s="92" t="str">
        <f>IF($AG1385="","",P_StatusVastleg)</f>
        <v/>
      </c>
      <c r="E1385" s="92" t="str">
        <f>IF($AG1385="","",P_UploadVJ)</f>
        <v/>
      </c>
      <c r="F1385" s="92" t="str">
        <f>IF($AG1385="","",P_UploadVersie)</f>
        <v/>
      </c>
      <c r="G1385" s="92" t="str">
        <f>IF($AG1385="","",IF(COUNTIFS(L_Sleutel,$S1385,L_Status,"Vastgesteld")=0,0,_xlfn.MAXIFS(L_Revisie,L_Sleutel,$S1385,L_Status,"Vastgesteld")+1))</f>
        <v/>
      </c>
      <c r="H1385" s="108" t="str">
        <f>IF($AG1385="","",P_Peildatum)</f>
        <v/>
      </c>
      <c r="I1385" s="92" t="str">
        <f>IF($AG1385="","",P_RJ+INDEX($AK$8:$AK$21,INDEX($AC$8:$AC$1407,$AG1385)+1))</f>
        <v/>
      </c>
      <c r="J1385" s="92" t="str">
        <f>IF($AG1385="","",INDEX(V_WBS,INDEX($AB$8:$AB$1407,$AG1385)))</f>
        <v/>
      </c>
      <c r="K1385" s="92" t="str">
        <f>IF($AG1385="","",INDEX(V_Projdef,INDEX($AB$8:$AB$1407,$AG1385)))</f>
        <v/>
      </c>
      <c r="L1385" s="92" t="str">
        <f>IF($AG1385="","",INDEX(V_Naam,INDEX($AB$8:$AB$1407,$AG1385)))</f>
        <v/>
      </c>
      <c r="M1385" s="92" t="str">
        <f>IF($AG1385="","",INDEX(V_Type,INDEX($AB$8:$AB$1407,$AG1385)))</f>
        <v/>
      </c>
      <c r="N1385" s="92" t="str">
        <f>IF($AG1385="","",INDEX(V_IFRS,INDEX($AB$8:$AB$1407,$AG1385)))</f>
        <v/>
      </c>
      <c r="O1385" s="92" t="str">
        <f>IF($AG1385="","",INDEX($AL$8:$AL$21,INDEX($AC$8:$AC$1407,$AG1385)+1))</f>
        <v/>
      </c>
      <c r="P1385" s="109" t="str">
        <f>IF($AG1385="","",INDEX($AD$8:$AD$1407,$AG1385))</f>
        <v/>
      </c>
      <c r="Q1385" s="92" t="str">
        <f>IF($AG1385="","",INDEX($AM$8:$AM$21,INDEX($AC$8:$AC$1407,$AG1385)+1))</f>
        <v/>
      </c>
      <c r="R1385" s="92" t="str">
        <f>IF($AG1385="","",IF($G1385&gt;0,P_ToelCorrectie&amp;"",""))</f>
        <v/>
      </c>
      <c r="S1385" s="15" t="str">
        <f>IF(J1385="","",J1385&amp;"|"&amp;E1385&amp;"|"&amp;F1385&amp;"|"&amp;I1385&amp;"|"&amp;O1385)</f>
        <v/>
      </c>
      <c r="T1385" s="111" t="str">
        <f>IF(S1385="","",IF(COUNTIFS(L_Sleutel,S1385,L_Actief,1)=0,"",SUMIFS(L_Waarde,L_Sleutel,S1385,L_Actief,1)))</f>
        <v/>
      </c>
      <c r="U1385" s="111">
        <f>IF(OR(S1385="",T1385=""),0,P1385-T1385)</f>
        <v>0</v>
      </c>
      <c r="AB1385" s="112" t="n">
        <v>99</v>
      </c>
      <c r="AC1385" s="112" t="n">
        <v>5</v>
      </c>
      <c r="AD1385" s="112" t="str">
        <f>VERW_Project!S104</f>
        <v/>
      </c>
      <c r="AE1385" s="112">
        <f>IF(AND(VERW_Project!$A104&lt;&gt;"",ISNUMBER(AD1385)),1,0)</f>
        <v>0</v>
      </c>
      <c r="AF1385" s="112" t="str">
        <f>IF(AE1385=1,SUM($AE$8:AE1385),"")</f>
        <v/>
      </c>
      <c r="AG1385" t="str">
        <f>IFERROR(MATCH(1378,$AF$8:$AF$1407,0),"")</f>
        <v/>
      </c>
    </row>
    <row r="1386">
      <c r="A1386" s="92" t="str">
        <f>IF($AG1386="","",P_ImportID)</f>
        <v/>
      </c>
      <c r="B1386" s="92" t="str">
        <f>IF($AG1386="","",IF(INDEX($AN$8:$AN$21,INDEX($AC$8:$AC$1407,$AG1386)+1)="Z",P_BronZ,P_BronE))</f>
        <v/>
      </c>
      <c r="C1386" s="108" t="str">
        <f>IF($AG1386="","",P_Importdatum)</f>
        <v/>
      </c>
      <c r="D1386" s="92" t="str">
        <f>IF($AG1386="","",P_StatusVastleg)</f>
        <v/>
      </c>
      <c r="E1386" s="92" t="str">
        <f>IF($AG1386="","",P_UploadVJ)</f>
        <v/>
      </c>
      <c r="F1386" s="92" t="str">
        <f>IF($AG1386="","",P_UploadVersie)</f>
        <v/>
      </c>
      <c r="G1386" s="92" t="str">
        <f>IF($AG1386="","",IF(COUNTIFS(L_Sleutel,$S1386,L_Status,"Vastgesteld")=0,0,_xlfn.MAXIFS(L_Revisie,L_Sleutel,$S1386,L_Status,"Vastgesteld")+1))</f>
        <v/>
      </c>
      <c r="H1386" s="108" t="str">
        <f>IF($AG1386="","",P_Peildatum)</f>
        <v/>
      </c>
      <c r="I1386" s="92" t="str">
        <f>IF($AG1386="","",P_RJ+INDEX($AK$8:$AK$21,INDEX($AC$8:$AC$1407,$AG1386)+1))</f>
        <v/>
      </c>
      <c r="J1386" s="92" t="str">
        <f>IF($AG1386="","",INDEX(V_WBS,INDEX($AB$8:$AB$1407,$AG1386)))</f>
        <v/>
      </c>
      <c r="K1386" s="92" t="str">
        <f>IF($AG1386="","",INDEX(V_Projdef,INDEX($AB$8:$AB$1407,$AG1386)))</f>
        <v/>
      </c>
      <c r="L1386" s="92" t="str">
        <f>IF($AG1386="","",INDEX(V_Naam,INDEX($AB$8:$AB$1407,$AG1386)))</f>
        <v/>
      </c>
      <c r="M1386" s="92" t="str">
        <f>IF($AG1386="","",INDEX(V_Type,INDEX($AB$8:$AB$1407,$AG1386)))</f>
        <v/>
      </c>
      <c r="N1386" s="92" t="str">
        <f>IF($AG1386="","",INDEX(V_IFRS,INDEX($AB$8:$AB$1407,$AG1386)))</f>
        <v/>
      </c>
      <c r="O1386" s="92" t="str">
        <f>IF($AG1386="","",INDEX($AL$8:$AL$21,INDEX($AC$8:$AC$1407,$AG1386)+1))</f>
        <v/>
      </c>
      <c r="P1386" s="109" t="str">
        <f>IF($AG1386="","",INDEX($AD$8:$AD$1407,$AG1386))</f>
        <v/>
      </c>
      <c r="Q1386" s="92" t="str">
        <f>IF($AG1386="","",INDEX($AM$8:$AM$21,INDEX($AC$8:$AC$1407,$AG1386)+1))</f>
        <v/>
      </c>
      <c r="R1386" s="92" t="str">
        <f>IF($AG1386="","",IF($G1386&gt;0,P_ToelCorrectie&amp;"",""))</f>
        <v/>
      </c>
      <c r="S1386" s="15" t="str">
        <f>IF(J1386="","",J1386&amp;"|"&amp;E1386&amp;"|"&amp;F1386&amp;"|"&amp;I1386&amp;"|"&amp;O1386)</f>
        <v/>
      </c>
      <c r="T1386" s="111" t="str">
        <f>IF(S1386="","",IF(COUNTIFS(L_Sleutel,S1386,L_Actief,1)=0,"",SUMIFS(L_Waarde,L_Sleutel,S1386,L_Actief,1)))</f>
        <v/>
      </c>
      <c r="U1386" s="111">
        <f>IF(OR(S1386="",T1386=""),0,P1386-T1386)</f>
        <v>0</v>
      </c>
      <c r="AB1386" s="112" t="n">
        <v>99</v>
      </c>
      <c r="AC1386" s="112" t="n">
        <v>6</v>
      </c>
      <c r="AD1386" s="112" t="str">
        <f>VERW_Project!BW104</f>
        <v/>
      </c>
      <c r="AE1386" s="112">
        <f>IF(AND(VERW_Project!$A104&lt;&gt;"",ISNUMBER(AD1386)),1,0)</f>
        <v>0</v>
      </c>
      <c r="AF1386" s="112" t="str">
        <f>IF(AE1386=1,SUM($AE$8:AE1386),"")</f>
        <v/>
      </c>
      <c r="AG1386" t="str">
        <f>IFERROR(MATCH(1379,$AF$8:$AF$1407,0),"")</f>
        <v/>
      </c>
    </row>
    <row r="1387">
      <c r="A1387" s="92" t="str">
        <f>IF($AG1387="","",P_ImportID)</f>
        <v/>
      </c>
      <c r="B1387" s="92" t="str">
        <f>IF($AG1387="","",IF(INDEX($AN$8:$AN$21,INDEX($AC$8:$AC$1407,$AG1387)+1)="Z",P_BronZ,P_BronE))</f>
        <v/>
      </c>
      <c r="C1387" s="108" t="str">
        <f>IF($AG1387="","",P_Importdatum)</f>
        <v/>
      </c>
      <c r="D1387" s="92" t="str">
        <f>IF($AG1387="","",P_StatusVastleg)</f>
        <v/>
      </c>
      <c r="E1387" s="92" t="str">
        <f>IF($AG1387="","",P_UploadVJ)</f>
        <v/>
      </c>
      <c r="F1387" s="92" t="str">
        <f>IF($AG1387="","",P_UploadVersie)</f>
        <v/>
      </c>
      <c r="G1387" s="92" t="str">
        <f>IF($AG1387="","",IF(COUNTIFS(L_Sleutel,$S1387,L_Status,"Vastgesteld")=0,0,_xlfn.MAXIFS(L_Revisie,L_Sleutel,$S1387,L_Status,"Vastgesteld")+1))</f>
        <v/>
      </c>
      <c r="H1387" s="108" t="str">
        <f>IF($AG1387="","",P_Peildatum)</f>
        <v/>
      </c>
      <c r="I1387" s="92" t="str">
        <f>IF($AG1387="","",P_RJ+INDEX($AK$8:$AK$21,INDEX($AC$8:$AC$1407,$AG1387)+1))</f>
        <v/>
      </c>
      <c r="J1387" s="92" t="str">
        <f>IF($AG1387="","",INDEX(V_WBS,INDEX($AB$8:$AB$1407,$AG1387)))</f>
        <v/>
      </c>
      <c r="K1387" s="92" t="str">
        <f>IF($AG1387="","",INDEX(V_Projdef,INDEX($AB$8:$AB$1407,$AG1387)))</f>
        <v/>
      </c>
      <c r="L1387" s="92" t="str">
        <f>IF($AG1387="","",INDEX(V_Naam,INDEX($AB$8:$AB$1407,$AG1387)))</f>
        <v/>
      </c>
      <c r="M1387" s="92" t="str">
        <f>IF($AG1387="","",INDEX(V_Type,INDEX($AB$8:$AB$1407,$AG1387)))</f>
        <v/>
      </c>
      <c r="N1387" s="92" t="str">
        <f>IF($AG1387="","",INDEX(V_IFRS,INDEX($AB$8:$AB$1407,$AG1387)))</f>
        <v/>
      </c>
      <c r="O1387" s="92" t="str">
        <f>IF($AG1387="","",INDEX($AL$8:$AL$21,INDEX($AC$8:$AC$1407,$AG1387)+1))</f>
        <v/>
      </c>
      <c r="P1387" s="109" t="str">
        <f>IF($AG1387="","",INDEX($AD$8:$AD$1407,$AG1387))</f>
        <v/>
      </c>
      <c r="Q1387" s="92" t="str">
        <f>IF($AG1387="","",INDEX($AM$8:$AM$21,INDEX($AC$8:$AC$1407,$AG1387)+1))</f>
        <v/>
      </c>
      <c r="R1387" s="92" t="str">
        <f>IF($AG1387="","",IF($G1387&gt;0,P_ToelCorrectie&amp;"",""))</f>
        <v/>
      </c>
      <c r="S1387" s="15" t="str">
        <f>IF(J1387="","",J1387&amp;"|"&amp;E1387&amp;"|"&amp;F1387&amp;"|"&amp;I1387&amp;"|"&amp;O1387)</f>
        <v/>
      </c>
      <c r="T1387" s="111" t="str">
        <f>IF(S1387="","",IF(COUNTIFS(L_Sleutel,S1387,L_Actief,1)=0,"",SUMIFS(L_Waarde,L_Sleutel,S1387,L_Actief,1)))</f>
        <v/>
      </c>
      <c r="U1387" s="111">
        <f>IF(OR(S1387="",T1387=""),0,P1387-T1387)</f>
        <v>0</v>
      </c>
      <c r="AB1387" s="112" t="n">
        <v>99</v>
      </c>
      <c r="AC1387" s="112" t="n">
        <v>7</v>
      </c>
      <c r="AD1387" s="112" t="str">
        <f>VERW_Project!AW104</f>
        <v/>
      </c>
      <c r="AE1387" s="112">
        <f>IF(AND(VERW_Project!$A104&lt;&gt;"",ISNUMBER(AD1387)),1,0)</f>
        <v>0</v>
      </c>
      <c r="AF1387" s="112" t="str">
        <f>IF(AE1387=1,SUM($AE$8:AE1387),"")</f>
        <v/>
      </c>
      <c r="AG1387" t="str">
        <f>IFERROR(MATCH(1380,$AF$8:$AF$1407,0),"")</f>
        <v/>
      </c>
    </row>
    <row r="1388">
      <c r="A1388" s="92" t="str">
        <f>IF($AG1388="","",P_ImportID)</f>
        <v/>
      </c>
      <c r="B1388" s="92" t="str">
        <f>IF($AG1388="","",IF(INDEX($AN$8:$AN$21,INDEX($AC$8:$AC$1407,$AG1388)+1)="Z",P_BronZ,P_BronE))</f>
        <v/>
      </c>
      <c r="C1388" s="108" t="str">
        <f>IF($AG1388="","",P_Importdatum)</f>
        <v/>
      </c>
      <c r="D1388" s="92" t="str">
        <f>IF($AG1388="","",P_StatusVastleg)</f>
        <v/>
      </c>
      <c r="E1388" s="92" t="str">
        <f>IF($AG1388="","",P_UploadVJ)</f>
        <v/>
      </c>
      <c r="F1388" s="92" t="str">
        <f>IF($AG1388="","",P_UploadVersie)</f>
        <v/>
      </c>
      <c r="G1388" s="92" t="str">
        <f>IF($AG1388="","",IF(COUNTIFS(L_Sleutel,$S1388,L_Status,"Vastgesteld")=0,0,_xlfn.MAXIFS(L_Revisie,L_Sleutel,$S1388,L_Status,"Vastgesteld")+1))</f>
        <v/>
      </c>
      <c r="H1388" s="108" t="str">
        <f>IF($AG1388="","",P_Peildatum)</f>
        <v/>
      </c>
      <c r="I1388" s="92" t="str">
        <f>IF($AG1388="","",P_RJ+INDEX($AK$8:$AK$21,INDEX($AC$8:$AC$1407,$AG1388)+1))</f>
        <v/>
      </c>
      <c r="J1388" s="92" t="str">
        <f>IF($AG1388="","",INDEX(V_WBS,INDEX($AB$8:$AB$1407,$AG1388)))</f>
        <v/>
      </c>
      <c r="K1388" s="92" t="str">
        <f>IF($AG1388="","",INDEX(V_Projdef,INDEX($AB$8:$AB$1407,$AG1388)))</f>
        <v/>
      </c>
      <c r="L1388" s="92" t="str">
        <f>IF($AG1388="","",INDEX(V_Naam,INDEX($AB$8:$AB$1407,$AG1388)))</f>
        <v/>
      </c>
      <c r="M1388" s="92" t="str">
        <f>IF($AG1388="","",INDEX(V_Type,INDEX($AB$8:$AB$1407,$AG1388)))</f>
        <v/>
      </c>
      <c r="N1388" s="92" t="str">
        <f>IF($AG1388="","",INDEX(V_IFRS,INDEX($AB$8:$AB$1407,$AG1388)))</f>
        <v/>
      </c>
      <c r="O1388" s="92" t="str">
        <f>IF($AG1388="","",INDEX($AL$8:$AL$21,INDEX($AC$8:$AC$1407,$AG1388)+1))</f>
        <v/>
      </c>
      <c r="P1388" s="109" t="str">
        <f>IF($AG1388="","",INDEX($AD$8:$AD$1407,$AG1388))</f>
        <v/>
      </c>
      <c r="Q1388" s="92" t="str">
        <f>IF($AG1388="","",INDEX($AM$8:$AM$21,INDEX($AC$8:$AC$1407,$AG1388)+1))</f>
        <v/>
      </c>
      <c r="R1388" s="92" t="str">
        <f>IF($AG1388="","",IF($G1388&gt;0,P_ToelCorrectie&amp;"",""))</f>
        <v/>
      </c>
      <c r="S1388" s="15" t="str">
        <f>IF(J1388="","",J1388&amp;"|"&amp;E1388&amp;"|"&amp;F1388&amp;"|"&amp;I1388&amp;"|"&amp;O1388)</f>
        <v/>
      </c>
      <c r="T1388" s="111" t="str">
        <f>IF(S1388="","",IF(COUNTIFS(L_Sleutel,S1388,L_Actief,1)=0,"",SUMIFS(L_Waarde,L_Sleutel,S1388,L_Actief,1)))</f>
        <v/>
      </c>
      <c r="U1388" s="111">
        <f>IF(OR(S1388="",T1388=""),0,P1388-T1388)</f>
        <v>0</v>
      </c>
      <c r="AB1388" s="112" t="n">
        <v>99</v>
      </c>
      <c r="AC1388" s="112" t="n">
        <v>8</v>
      </c>
      <c r="AD1388" s="112" t="str">
        <f>VERW_Project!BQ104</f>
        <v/>
      </c>
      <c r="AE1388" s="112">
        <f>IF(AND(VERW_Project!$A104&lt;&gt;"",ISNUMBER(AD1388)),1,0)</f>
        <v>0</v>
      </c>
      <c r="AF1388" s="112" t="str">
        <f>IF(AE1388=1,SUM($AE$8:AE1388),"")</f>
        <v/>
      </c>
      <c r="AG1388" t="str">
        <f>IFERROR(MATCH(1381,$AF$8:$AF$1407,0),"")</f>
        <v/>
      </c>
    </row>
    <row r="1389">
      <c r="A1389" s="92" t="str">
        <f>IF($AG1389="","",P_ImportID)</f>
        <v/>
      </c>
      <c r="B1389" s="92" t="str">
        <f>IF($AG1389="","",IF(INDEX($AN$8:$AN$21,INDEX($AC$8:$AC$1407,$AG1389)+1)="Z",P_BronZ,P_BronE))</f>
        <v/>
      </c>
      <c r="C1389" s="108" t="str">
        <f>IF($AG1389="","",P_Importdatum)</f>
        <v/>
      </c>
      <c r="D1389" s="92" t="str">
        <f>IF($AG1389="","",P_StatusVastleg)</f>
        <v/>
      </c>
      <c r="E1389" s="92" t="str">
        <f>IF($AG1389="","",P_UploadVJ)</f>
        <v/>
      </c>
      <c r="F1389" s="92" t="str">
        <f>IF($AG1389="","",P_UploadVersie)</f>
        <v/>
      </c>
      <c r="G1389" s="92" t="str">
        <f>IF($AG1389="","",IF(COUNTIFS(L_Sleutel,$S1389,L_Status,"Vastgesteld")=0,0,_xlfn.MAXIFS(L_Revisie,L_Sleutel,$S1389,L_Status,"Vastgesteld")+1))</f>
        <v/>
      </c>
      <c r="H1389" s="108" t="str">
        <f>IF($AG1389="","",P_Peildatum)</f>
        <v/>
      </c>
      <c r="I1389" s="92" t="str">
        <f>IF($AG1389="","",P_RJ+INDEX($AK$8:$AK$21,INDEX($AC$8:$AC$1407,$AG1389)+1))</f>
        <v/>
      </c>
      <c r="J1389" s="92" t="str">
        <f>IF($AG1389="","",INDEX(V_WBS,INDEX($AB$8:$AB$1407,$AG1389)))</f>
        <v/>
      </c>
      <c r="K1389" s="92" t="str">
        <f>IF($AG1389="","",INDEX(V_Projdef,INDEX($AB$8:$AB$1407,$AG1389)))</f>
        <v/>
      </c>
      <c r="L1389" s="92" t="str">
        <f>IF($AG1389="","",INDEX(V_Naam,INDEX($AB$8:$AB$1407,$AG1389)))</f>
        <v/>
      </c>
      <c r="M1389" s="92" t="str">
        <f>IF($AG1389="","",INDEX(V_Type,INDEX($AB$8:$AB$1407,$AG1389)))</f>
        <v/>
      </c>
      <c r="N1389" s="92" t="str">
        <f>IF($AG1389="","",INDEX(V_IFRS,INDEX($AB$8:$AB$1407,$AG1389)))</f>
        <v/>
      </c>
      <c r="O1389" s="92" t="str">
        <f>IF($AG1389="","",INDEX($AL$8:$AL$21,INDEX($AC$8:$AC$1407,$AG1389)+1))</f>
        <v/>
      </c>
      <c r="P1389" s="109" t="str">
        <f>IF($AG1389="","",INDEX($AD$8:$AD$1407,$AG1389))</f>
        <v/>
      </c>
      <c r="Q1389" s="92" t="str">
        <f>IF($AG1389="","",INDEX($AM$8:$AM$21,INDEX($AC$8:$AC$1407,$AG1389)+1))</f>
        <v/>
      </c>
      <c r="R1389" s="92" t="str">
        <f>IF($AG1389="","",IF($G1389&gt;0,P_ToelCorrectie&amp;"",""))</f>
        <v/>
      </c>
      <c r="S1389" s="15" t="str">
        <f>IF(J1389="","",J1389&amp;"|"&amp;E1389&amp;"|"&amp;F1389&amp;"|"&amp;I1389&amp;"|"&amp;O1389)</f>
        <v/>
      </c>
      <c r="T1389" s="111" t="str">
        <f>IF(S1389="","",IF(COUNTIFS(L_Sleutel,S1389,L_Actief,1)=0,"",SUMIFS(L_Waarde,L_Sleutel,S1389,L_Actief,1)))</f>
        <v/>
      </c>
      <c r="U1389" s="111">
        <f>IF(OR(S1389="",T1389=""),0,P1389-T1389)</f>
        <v>0</v>
      </c>
      <c r="AB1389" s="112" t="n">
        <v>99</v>
      </c>
      <c r="AC1389" s="112" t="n">
        <v>9</v>
      </c>
      <c r="AD1389" s="112" t="str">
        <f>VERW_Project!BR104</f>
        <v/>
      </c>
      <c r="AE1389" s="112">
        <f>IF(AND(VERW_Project!$A104&lt;&gt;"",ISNUMBER(AD1389)),1,0)</f>
        <v>0</v>
      </c>
      <c r="AF1389" s="112" t="str">
        <f>IF(AE1389=1,SUM($AE$8:AE1389),"")</f>
        <v/>
      </c>
      <c r="AG1389" t="str">
        <f>IFERROR(MATCH(1382,$AF$8:$AF$1407,0),"")</f>
        <v/>
      </c>
    </row>
    <row r="1390">
      <c r="A1390" s="92" t="str">
        <f>IF($AG1390="","",P_ImportID)</f>
        <v/>
      </c>
      <c r="B1390" s="92" t="str">
        <f>IF($AG1390="","",IF(INDEX($AN$8:$AN$21,INDEX($AC$8:$AC$1407,$AG1390)+1)="Z",P_BronZ,P_BronE))</f>
        <v/>
      </c>
      <c r="C1390" s="108" t="str">
        <f>IF($AG1390="","",P_Importdatum)</f>
        <v/>
      </c>
      <c r="D1390" s="92" t="str">
        <f>IF($AG1390="","",P_StatusVastleg)</f>
        <v/>
      </c>
      <c r="E1390" s="92" t="str">
        <f>IF($AG1390="","",P_UploadVJ)</f>
        <v/>
      </c>
      <c r="F1390" s="92" t="str">
        <f>IF($AG1390="","",P_UploadVersie)</f>
        <v/>
      </c>
      <c r="G1390" s="92" t="str">
        <f>IF($AG1390="","",IF(COUNTIFS(L_Sleutel,$S1390,L_Status,"Vastgesteld")=0,0,_xlfn.MAXIFS(L_Revisie,L_Sleutel,$S1390,L_Status,"Vastgesteld")+1))</f>
        <v/>
      </c>
      <c r="H1390" s="108" t="str">
        <f>IF($AG1390="","",P_Peildatum)</f>
        <v/>
      </c>
      <c r="I1390" s="92" t="str">
        <f>IF($AG1390="","",P_RJ+INDEX($AK$8:$AK$21,INDEX($AC$8:$AC$1407,$AG1390)+1))</f>
        <v/>
      </c>
      <c r="J1390" s="92" t="str">
        <f>IF($AG1390="","",INDEX(V_WBS,INDEX($AB$8:$AB$1407,$AG1390)))</f>
        <v/>
      </c>
      <c r="K1390" s="92" t="str">
        <f>IF($AG1390="","",INDEX(V_Projdef,INDEX($AB$8:$AB$1407,$AG1390)))</f>
        <v/>
      </c>
      <c r="L1390" s="92" t="str">
        <f>IF($AG1390="","",INDEX(V_Naam,INDEX($AB$8:$AB$1407,$AG1390)))</f>
        <v/>
      </c>
      <c r="M1390" s="92" t="str">
        <f>IF($AG1390="","",INDEX(V_Type,INDEX($AB$8:$AB$1407,$AG1390)))</f>
        <v/>
      </c>
      <c r="N1390" s="92" t="str">
        <f>IF($AG1390="","",INDEX(V_IFRS,INDEX($AB$8:$AB$1407,$AG1390)))</f>
        <v/>
      </c>
      <c r="O1390" s="92" t="str">
        <f>IF($AG1390="","",INDEX($AL$8:$AL$21,INDEX($AC$8:$AC$1407,$AG1390)+1))</f>
        <v/>
      </c>
      <c r="P1390" s="109" t="str">
        <f>IF($AG1390="","",INDEX($AD$8:$AD$1407,$AG1390))</f>
        <v/>
      </c>
      <c r="Q1390" s="92" t="str">
        <f>IF($AG1390="","",INDEX($AM$8:$AM$21,INDEX($AC$8:$AC$1407,$AG1390)+1))</f>
        <v/>
      </c>
      <c r="R1390" s="92" t="str">
        <f>IF($AG1390="","",IF($G1390&gt;0,P_ToelCorrectie&amp;"",""))</f>
        <v/>
      </c>
      <c r="S1390" s="15" t="str">
        <f>IF(J1390="","",J1390&amp;"|"&amp;E1390&amp;"|"&amp;F1390&amp;"|"&amp;I1390&amp;"|"&amp;O1390)</f>
        <v/>
      </c>
      <c r="T1390" s="111" t="str">
        <f>IF(S1390="","",IF(COUNTIFS(L_Sleutel,S1390,L_Actief,1)=0,"",SUMIFS(L_Waarde,L_Sleutel,S1390,L_Actief,1)))</f>
        <v/>
      </c>
      <c r="U1390" s="111">
        <f>IF(OR(S1390="",T1390=""),0,P1390-T1390)</f>
        <v>0</v>
      </c>
      <c r="AB1390" s="112" t="n">
        <v>99</v>
      </c>
      <c r="AC1390" s="112" t="n">
        <v>10</v>
      </c>
      <c r="AD1390" s="112" t="str">
        <f>VERW_Project!BS104</f>
        <v/>
      </c>
      <c r="AE1390" s="112">
        <f>IF(AND(VERW_Project!$A104&lt;&gt;"",ISNUMBER(AD1390)),1,0)</f>
        <v>0</v>
      </c>
      <c r="AF1390" s="112" t="str">
        <f>IF(AE1390=1,SUM($AE$8:AE1390),"")</f>
        <v/>
      </c>
      <c r="AG1390" t="str">
        <f>IFERROR(MATCH(1383,$AF$8:$AF$1407,0),"")</f>
        <v/>
      </c>
    </row>
    <row r="1391">
      <c r="A1391" s="92" t="str">
        <f>IF($AG1391="","",P_ImportID)</f>
        <v/>
      </c>
      <c r="B1391" s="92" t="str">
        <f>IF($AG1391="","",IF(INDEX($AN$8:$AN$21,INDEX($AC$8:$AC$1407,$AG1391)+1)="Z",P_BronZ,P_BronE))</f>
        <v/>
      </c>
      <c r="C1391" s="108" t="str">
        <f>IF($AG1391="","",P_Importdatum)</f>
        <v/>
      </c>
      <c r="D1391" s="92" t="str">
        <f>IF($AG1391="","",P_StatusVastleg)</f>
        <v/>
      </c>
      <c r="E1391" s="92" t="str">
        <f>IF($AG1391="","",P_UploadVJ)</f>
        <v/>
      </c>
      <c r="F1391" s="92" t="str">
        <f>IF($AG1391="","",P_UploadVersie)</f>
        <v/>
      </c>
      <c r="G1391" s="92" t="str">
        <f>IF($AG1391="","",IF(COUNTIFS(L_Sleutel,$S1391,L_Status,"Vastgesteld")=0,0,_xlfn.MAXIFS(L_Revisie,L_Sleutel,$S1391,L_Status,"Vastgesteld")+1))</f>
        <v/>
      </c>
      <c r="H1391" s="108" t="str">
        <f>IF($AG1391="","",P_Peildatum)</f>
        <v/>
      </c>
      <c r="I1391" s="92" t="str">
        <f>IF($AG1391="","",P_RJ+INDEX($AK$8:$AK$21,INDEX($AC$8:$AC$1407,$AG1391)+1))</f>
        <v/>
      </c>
      <c r="J1391" s="92" t="str">
        <f>IF($AG1391="","",INDEX(V_WBS,INDEX($AB$8:$AB$1407,$AG1391)))</f>
        <v/>
      </c>
      <c r="K1391" s="92" t="str">
        <f>IF($AG1391="","",INDEX(V_Projdef,INDEX($AB$8:$AB$1407,$AG1391)))</f>
        <v/>
      </c>
      <c r="L1391" s="92" t="str">
        <f>IF($AG1391="","",INDEX(V_Naam,INDEX($AB$8:$AB$1407,$AG1391)))</f>
        <v/>
      </c>
      <c r="M1391" s="92" t="str">
        <f>IF($AG1391="","",INDEX(V_Type,INDEX($AB$8:$AB$1407,$AG1391)))</f>
        <v/>
      </c>
      <c r="N1391" s="92" t="str">
        <f>IF($AG1391="","",INDEX(V_IFRS,INDEX($AB$8:$AB$1407,$AG1391)))</f>
        <v/>
      </c>
      <c r="O1391" s="92" t="str">
        <f>IF($AG1391="","",INDEX($AL$8:$AL$21,INDEX($AC$8:$AC$1407,$AG1391)+1))</f>
        <v/>
      </c>
      <c r="P1391" s="109" t="str">
        <f>IF($AG1391="","",INDEX($AD$8:$AD$1407,$AG1391))</f>
        <v/>
      </c>
      <c r="Q1391" s="92" t="str">
        <f>IF($AG1391="","",INDEX($AM$8:$AM$21,INDEX($AC$8:$AC$1407,$AG1391)+1))</f>
        <v/>
      </c>
      <c r="R1391" s="92" t="str">
        <f>IF($AG1391="","",IF($G1391&gt;0,P_ToelCorrectie&amp;"",""))</f>
        <v/>
      </c>
      <c r="S1391" s="15" t="str">
        <f>IF(J1391="","",J1391&amp;"|"&amp;E1391&amp;"|"&amp;F1391&amp;"|"&amp;I1391&amp;"|"&amp;O1391)</f>
        <v/>
      </c>
      <c r="T1391" s="111" t="str">
        <f>IF(S1391="","",IF(COUNTIFS(L_Sleutel,S1391,L_Actief,1)=0,"",SUMIFS(L_Waarde,L_Sleutel,S1391,L_Actief,1)))</f>
        <v/>
      </c>
      <c r="U1391" s="111">
        <f>IF(OR(S1391="",T1391=""),0,P1391-T1391)</f>
        <v>0</v>
      </c>
      <c r="AB1391" s="112" t="n">
        <v>99</v>
      </c>
      <c r="AC1391" s="112" t="n">
        <v>11</v>
      </c>
      <c r="AD1391" s="112" t="str">
        <f>VERW_Project!BT104</f>
        <v/>
      </c>
      <c r="AE1391" s="112">
        <f>IF(AND(VERW_Project!$A104&lt;&gt;"",ISNUMBER(AD1391)),1,0)</f>
        <v>0</v>
      </c>
      <c r="AF1391" s="112" t="str">
        <f>IF(AE1391=1,SUM($AE$8:AE1391),"")</f>
        <v/>
      </c>
      <c r="AG1391" t="str">
        <f>IFERROR(MATCH(1384,$AF$8:$AF$1407,0),"")</f>
        <v/>
      </c>
    </row>
    <row r="1392">
      <c r="A1392" s="92" t="str">
        <f>IF($AG1392="","",P_ImportID)</f>
        <v/>
      </c>
      <c r="B1392" s="92" t="str">
        <f>IF($AG1392="","",IF(INDEX($AN$8:$AN$21,INDEX($AC$8:$AC$1407,$AG1392)+1)="Z",P_BronZ,P_BronE))</f>
        <v/>
      </c>
      <c r="C1392" s="108" t="str">
        <f>IF($AG1392="","",P_Importdatum)</f>
        <v/>
      </c>
      <c r="D1392" s="92" t="str">
        <f>IF($AG1392="","",P_StatusVastleg)</f>
        <v/>
      </c>
      <c r="E1392" s="92" t="str">
        <f>IF($AG1392="","",P_UploadVJ)</f>
        <v/>
      </c>
      <c r="F1392" s="92" t="str">
        <f>IF($AG1392="","",P_UploadVersie)</f>
        <v/>
      </c>
      <c r="G1392" s="92" t="str">
        <f>IF($AG1392="","",IF(COUNTIFS(L_Sleutel,$S1392,L_Status,"Vastgesteld")=0,0,_xlfn.MAXIFS(L_Revisie,L_Sleutel,$S1392,L_Status,"Vastgesteld")+1))</f>
        <v/>
      </c>
      <c r="H1392" s="108" t="str">
        <f>IF($AG1392="","",P_Peildatum)</f>
        <v/>
      </c>
      <c r="I1392" s="92" t="str">
        <f>IF($AG1392="","",P_RJ+INDEX($AK$8:$AK$21,INDEX($AC$8:$AC$1407,$AG1392)+1))</f>
        <v/>
      </c>
      <c r="J1392" s="92" t="str">
        <f>IF($AG1392="","",INDEX(V_WBS,INDEX($AB$8:$AB$1407,$AG1392)))</f>
        <v/>
      </c>
      <c r="K1392" s="92" t="str">
        <f>IF($AG1392="","",INDEX(V_Projdef,INDEX($AB$8:$AB$1407,$AG1392)))</f>
        <v/>
      </c>
      <c r="L1392" s="92" t="str">
        <f>IF($AG1392="","",INDEX(V_Naam,INDEX($AB$8:$AB$1407,$AG1392)))</f>
        <v/>
      </c>
      <c r="M1392" s="92" t="str">
        <f>IF($AG1392="","",INDEX(V_Type,INDEX($AB$8:$AB$1407,$AG1392)))</f>
        <v/>
      </c>
      <c r="N1392" s="92" t="str">
        <f>IF($AG1392="","",INDEX(V_IFRS,INDEX($AB$8:$AB$1407,$AG1392)))</f>
        <v/>
      </c>
      <c r="O1392" s="92" t="str">
        <f>IF($AG1392="","",INDEX($AL$8:$AL$21,INDEX($AC$8:$AC$1407,$AG1392)+1))</f>
        <v/>
      </c>
      <c r="P1392" s="109" t="str">
        <f>IF($AG1392="","",INDEX($AD$8:$AD$1407,$AG1392))</f>
        <v/>
      </c>
      <c r="Q1392" s="92" t="str">
        <f>IF($AG1392="","",INDEX($AM$8:$AM$21,INDEX($AC$8:$AC$1407,$AG1392)+1))</f>
        <v/>
      </c>
      <c r="R1392" s="92" t="str">
        <f>IF($AG1392="","",IF($G1392&gt;0,P_ToelCorrectie&amp;"",""))</f>
        <v/>
      </c>
      <c r="S1392" s="15" t="str">
        <f>IF(J1392="","",J1392&amp;"|"&amp;E1392&amp;"|"&amp;F1392&amp;"|"&amp;I1392&amp;"|"&amp;O1392)</f>
        <v/>
      </c>
      <c r="T1392" s="111" t="str">
        <f>IF(S1392="","",IF(COUNTIFS(L_Sleutel,S1392,L_Actief,1)=0,"",SUMIFS(L_Waarde,L_Sleutel,S1392,L_Actief,1)))</f>
        <v/>
      </c>
      <c r="U1392" s="111">
        <f>IF(OR(S1392="",T1392=""),0,P1392-T1392)</f>
        <v>0</v>
      </c>
      <c r="AB1392" s="112" t="n">
        <v>99</v>
      </c>
      <c r="AC1392" s="112" t="n">
        <v>12</v>
      </c>
      <c r="AD1392" s="112" t="str">
        <f>VERW_Project!BU104</f>
        <v/>
      </c>
      <c r="AE1392" s="112">
        <f>IF(AND(VERW_Project!$A104&lt;&gt;"",ISNUMBER(AD1392)),1,0)</f>
        <v>0</v>
      </c>
      <c r="AF1392" s="112" t="str">
        <f>IF(AE1392=1,SUM($AE$8:AE1392),"")</f>
        <v/>
      </c>
      <c r="AG1392" t="str">
        <f>IFERROR(MATCH(1385,$AF$8:$AF$1407,0),"")</f>
        <v/>
      </c>
    </row>
    <row r="1393">
      <c r="A1393" s="92" t="str">
        <f>IF($AG1393="","",P_ImportID)</f>
        <v/>
      </c>
      <c r="B1393" s="92" t="str">
        <f>IF($AG1393="","",IF(INDEX($AN$8:$AN$21,INDEX($AC$8:$AC$1407,$AG1393)+1)="Z",P_BronZ,P_BronE))</f>
        <v/>
      </c>
      <c r="C1393" s="108" t="str">
        <f>IF($AG1393="","",P_Importdatum)</f>
        <v/>
      </c>
      <c r="D1393" s="92" t="str">
        <f>IF($AG1393="","",P_StatusVastleg)</f>
        <v/>
      </c>
      <c r="E1393" s="92" t="str">
        <f>IF($AG1393="","",P_UploadVJ)</f>
        <v/>
      </c>
      <c r="F1393" s="92" t="str">
        <f>IF($AG1393="","",P_UploadVersie)</f>
        <v/>
      </c>
      <c r="G1393" s="92" t="str">
        <f>IF($AG1393="","",IF(COUNTIFS(L_Sleutel,$S1393,L_Status,"Vastgesteld")=0,0,_xlfn.MAXIFS(L_Revisie,L_Sleutel,$S1393,L_Status,"Vastgesteld")+1))</f>
        <v/>
      </c>
      <c r="H1393" s="108" t="str">
        <f>IF($AG1393="","",P_Peildatum)</f>
        <v/>
      </c>
      <c r="I1393" s="92" t="str">
        <f>IF($AG1393="","",P_RJ+INDEX($AK$8:$AK$21,INDEX($AC$8:$AC$1407,$AG1393)+1))</f>
        <v/>
      </c>
      <c r="J1393" s="92" t="str">
        <f>IF($AG1393="","",INDEX(V_WBS,INDEX($AB$8:$AB$1407,$AG1393)))</f>
        <v/>
      </c>
      <c r="K1393" s="92" t="str">
        <f>IF($AG1393="","",INDEX(V_Projdef,INDEX($AB$8:$AB$1407,$AG1393)))</f>
        <v/>
      </c>
      <c r="L1393" s="92" t="str">
        <f>IF($AG1393="","",INDEX(V_Naam,INDEX($AB$8:$AB$1407,$AG1393)))</f>
        <v/>
      </c>
      <c r="M1393" s="92" t="str">
        <f>IF($AG1393="","",INDEX(V_Type,INDEX($AB$8:$AB$1407,$AG1393)))</f>
        <v/>
      </c>
      <c r="N1393" s="92" t="str">
        <f>IF($AG1393="","",INDEX(V_IFRS,INDEX($AB$8:$AB$1407,$AG1393)))</f>
        <v/>
      </c>
      <c r="O1393" s="92" t="str">
        <f>IF($AG1393="","",INDEX($AL$8:$AL$21,INDEX($AC$8:$AC$1407,$AG1393)+1))</f>
        <v/>
      </c>
      <c r="P1393" s="109" t="str">
        <f>IF($AG1393="","",INDEX($AD$8:$AD$1407,$AG1393))</f>
        <v/>
      </c>
      <c r="Q1393" s="92" t="str">
        <f>IF($AG1393="","",INDEX($AM$8:$AM$21,INDEX($AC$8:$AC$1407,$AG1393)+1))</f>
        <v/>
      </c>
      <c r="R1393" s="92" t="str">
        <f>IF($AG1393="","",IF($G1393&gt;0,P_ToelCorrectie&amp;"",""))</f>
        <v/>
      </c>
      <c r="S1393" s="15" t="str">
        <f>IF(J1393="","",J1393&amp;"|"&amp;E1393&amp;"|"&amp;F1393&amp;"|"&amp;I1393&amp;"|"&amp;O1393)</f>
        <v/>
      </c>
      <c r="T1393" s="111" t="str">
        <f>IF(S1393="","",IF(COUNTIFS(L_Sleutel,S1393,L_Actief,1)=0,"",SUMIFS(L_Waarde,L_Sleutel,S1393,L_Actief,1)))</f>
        <v/>
      </c>
      <c r="U1393" s="111">
        <f>IF(OR(S1393="",T1393=""),0,P1393-T1393)</f>
        <v>0</v>
      </c>
      <c r="AB1393" s="112" t="n">
        <v>99</v>
      </c>
      <c r="AC1393" s="112" t="n">
        <v>13</v>
      </c>
      <c r="AD1393" s="112" t="str">
        <f>VERW_Project!BX104</f>
        <v/>
      </c>
      <c r="AE1393" s="112">
        <f>IF(AND(VERW_Project!$A104&lt;&gt;"",ISNUMBER(AD1393)),1,0)</f>
        <v>0</v>
      </c>
      <c r="AF1393" s="112" t="str">
        <f>IF(AE1393=1,SUM($AE$8:AE1393),"")</f>
        <v/>
      </c>
      <c r="AG1393" t="str">
        <f>IFERROR(MATCH(1386,$AF$8:$AF$1407,0),"")</f>
        <v/>
      </c>
    </row>
    <row r="1394">
      <c r="A1394" s="92" t="str">
        <f>IF($AG1394="","",P_ImportID)</f>
        <v/>
      </c>
      <c r="B1394" s="92" t="str">
        <f>IF($AG1394="","",IF(INDEX($AN$8:$AN$21,INDEX($AC$8:$AC$1407,$AG1394)+1)="Z",P_BronZ,P_BronE))</f>
        <v/>
      </c>
      <c r="C1394" s="108" t="str">
        <f>IF($AG1394="","",P_Importdatum)</f>
        <v/>
      </c>
      <c r="D1394" s="92" t="str">
        <f>IF($AG1394="","",P_StatusVastleg)</f>
        <v/>
      </c>
      <c r="E1394" s="92" t="str">
        <f>IF($AG1394="","",P_UploadVJ)</f>
        <v/>
      </c>
      <c r="F1394" s="92" t="str">
        <f>IF($AG1394="","",P_UploadVersie)</f>
        <v/>
      </c>
      <c r="G1394" s="92" t="str">
        <f>IF($AG1394="","",IF(COUNTIFS(L_Sleutel,$S1394,L_Status,"Vastgesteld")=0,0,_xlfn.MAXIFS(L_Revisie,L_Sleutel,$S1394,L_Status,"Vastgesteld")+1))</f>
        <v/>
      </c>
      <c r="H1394" s="108" t="str">
        <f>IF($AG1394="","",P_Peildatum)</f>
        <v/>
      </c>
      <c r="I1394" s="92" t="str">
        <f>IF($AG1394="","",P_RJ+INDEX($AK$8:$AK$21,INDEX($AC$8:$AC$1407,$AG1394)+1))</f>
        <v/>
      </c>
      <c r="J1394" s="92" t="str">
        <f>IF($AG1394="","",INDEX(V_WBS,INDEX($AB$8:$AB$1407,$AG1394)))</f>
        <v/>
      </c>
      <c r="K1394" s="92" t="str">
        <f>IF($AG1394="","",INDEX(V_Projdef,INDEX($AB$8:$AB$1407,$AG1394)))</f>
        <v/>
      </c>
      <c r="L1394" s="92" t="str">
        <f>IF($AG1394="","",INDEX(V_Naam,INDEX($AB$8:$AB$1407,$AG1394)))</f>
        <v/>
      </c>
      <c r="M1394" s="92" t="str">
        <f>IF($AG1394="","",INDEX(V_Type,INDEX($AB$8:$AB$1407,$AG1394)))</f>
        <v/>
      </c>
      <c r="N1394" s="92" t="str">
        <f>IF($AG1394="","",INDEX(V_IFRS,INDEX($AB$8:$AB$1407,$AG1394)))</f>
        <v/>
      </c>
      <c r="O1394" s="92" t="str">
        <f>IF($AG1394="","",INDEX($AL$8:$AL$21,INDEX($AC$8:$AC$1407,$AG1394)+1))</f>
        <v/>
      </c>
      <c r="P1394" s="109" t="str">
        <f>IF($AG1394="","",INDEX($AD$8:$AD$1407,$AG1394))</f>
        <v/>
      </c>
      <c r="Q1394" s="92" t="str">
        <f>IF($AG1394="","",INDEX($AM$8:$AM$21,INDEX($AC$8:$AC$1407,$AG1394)+1))</f>
        <v/>
      </c>
      <c r="R1394" s="92" t="str">
        <f>IF($AG1394="","",IF($G1394&gt;0,P_ToelCorrectie&amp;"",""))</f>
        <v/>
      </c>
      <c r="S1394" s="15" t="str">
        <f>IF(J1394="","",J1394&amp;"|"&amp;E1394&amp;"|"&amp;F1394&amp;"|"&amp;I1394&amp;"|"&amp;O1394)</f>
        <v/>
      </c>
      <c r="T1394" s="111" t="str">
        <f>IF(S1394="","",IF(COUNTIFS(L_Sleutel,S1394,L_Actief,1)=0,"",SUMIFS(L_Waarde,L_Sleutel,S1394,L_Actief,1)))</f>
        <v/>
      </c>
      <c r="U1394" s="111">
        <f>IF(OR(S1394="",T1394=""),0,P1394-T1394)</f>
        <v>0</v>
      </c>
      <c r="AB1394" s="112" t="n">
        <v>100</v>
      </c>
      <c r="AC1394" s="112" t="n">
        <v>0</v>
      </c>
      <c r="AD1394" s="112" t="str">
        <f>VERW_Project!P105</f>
        <v/>
      </c>
      <c r="AE1394" s="112">
        <f>IF(AND(VERW_Project!$A105&lt;&gt;"",ISNUMBER(AD1394)),1,0)</f>
        <v>0</v>
      </c>
      <c r="AF1394" s="112" t="str">
        <f>IF(AE1394=1,SUM($AE$8:AE1394),"")</f>
        <v/>
      </c>
      <c r="AG1394" t="str">
        <f>IFERROR(MATCH(1387,$AF$8:$AF$1407,0),"")</f>
        <v/>
      </c>
    </row>
    <row r="1395">
      <c r="A1395" s="92" t="str">
        <f>IF($AG1395="","",P_ImportID)</f>
        <v/>
      </c>
      <c r="B1395" s="92" t="str">
        <f>IF($AG1395="","",IF(INDEX($AN$8:$AN$21,INDEX($AC$8:$AC$1407,$AG1395)+1)="Z",P_BronZ,P_BronE))</f>
        <v/>
      </c>
      <c r="C1395" s="108" t="str">
        <f>IF($AG1395="","",P_Importdatum)</f>
        <v/>
      </c>
      <c r="D1395" s="92" t="str">
        <f>IF($AG1395="","",P_StatusVastleg)</f>
        <v/>
      </c>
      <c r="E1395" s="92" t="str">
        <f>IF($AG1395="","",P_UploadVJ)</f>
        <v/>
      </c>
      <c r="F1395" s="92" t="str">
        <f>IF($AG1395="","",P_UploadVersie)</f>
        <v/>
      </c>
      <c r="G1395" s="92" t="str">
        <f>IF($AG1395="","",IF(COUNTIFS(L_Sleutel,$S1395,L_Status,"Vastgesteld")=0,0,_xlfn.MAXIFS(L_Revisie,L_Sleutel,$S1395,L_Status,"Vastgesteld")+1))</f>
        <v/>
      </c>
      <c r="H1395" s="108" t="str">
        <f>IF($AG1395="","",P_Peildatum)</f>
        <v/>
      </c>
      <c r="I1395" s="92" t="str">
        <f>IF($AG1395="","",P_RJ+INDEX($AK$8:$AK$21,INDEX($AC$8:$AC$1407,$AG1395)+1))</f>
        <v/>
      </c>
      <c r="J1395" s="92" t="str">
        <f>IF($AG1395="","",INDEX(V_WBS,INDEX($AB$8:$AB$1407,$AG1395)))</f>
        <v/>
      </c>
      <c r="K1395" s="92" t="str">
        <f>IF($AG1395="","",INDEX(V_Projdef,INDEX($AB$8:$AB$1407,$AG1395)))</f>
        <v/>
      </c>
      <c r="L1395" s="92" t="str">
        <f>IF($AG1395="","",INDEX(V_Naam,INDEX($AB$8:$AB$1407,$AG1395)))</f>
        <v/>
      </c>
      <c r="M1395" s="92" t="str">
        <f>IF($AG1395="","",INDEX(V_Type,INDEX($AB$8:$AB$1407,$AG1395)))</f>
        <v/>
      </c>
      <c r="N1395" s="92" t="str">
        <f>IF($AG1395="","",INDEX(V_IFRS,INDEX($AB$8:$AB$1407,$AG1395)))</f>
        <v/>
      </c>
      <c r="O1395" s="92" t="str">
        <f>IF($AG1395="","",INDEX($AL$8:$AL$21,INDEX($AC$8:$AC$1407,$AG1395)+1))</f>
        <v/>
      </c>
      <c r="P1395" s="109" t="str">
        <f>IF($AG1395="","",INDEX($AD$8:$AD$1407,$AG1395))</f>
        <v/>
      </c>
      <c r="Q1395" s="92" t="str">
        <f>IF($AG1395="","",INDEX($AM$8:$AM$21,INDEX($AC$8:$AC$1407,$AG1395)+1))</f>
        <v/>
      </c>
      <c r="R1395" s="92" t="str">
        <f>IF($AG1395="","",IF($G1395&gt;0,P_ToelCorrectie&amp;"",""))</f>
        <v/>
      </c>
      <c r="S1395" s="15" t="str">
        <f>IF(J1395="","",J1395&amp;"|"&amp;E1395&amp;"|"&amp;F1395&amp;"|"&amp;I1395&amp;"|"&amp;O1395)</f>
        <v/>
      </c>
      <c r="T1395" s="111" t="str">
        <f>IF(S1395="","",IF(COUNTIFS(L_Sleutel,S1395,L_Actief,1)=0,"",SUMIFS(L_Waarde,L_Sleutel,S1395,L_Actief,1)))</f>
        <v/>
      </c>
      <c r="U1395" s="111">
        <f>IF(OR(S1395="",T1395=""),0,P1395-T1395)</f>
        <v>0</v>
      </c>
      <c r="AB1395" s="112" t="n">
        <v>100</v>
      </c>
      <c r="AC1395" s="112" t="n">
        <v>1</v>
      </c>
      <c r="AD1395" s="112" t="str">
        <f>VERW_Project!Q105</f>
        <v/>
      </c>
      <c r="AE1395" s="112">
        <f>IF(AND(VERW_Project!$A105&lt;&gt;"",ISNUMBER(AD1395)),1,0)</f>
        <v>0</v>
      </c>
      <c r="AF1395" s="112" t="str">
        <f>IF(AE1395=1,SUM($AE$8:AE1395),"")</f>
        <v/>
      </c>
      <c r="AG1395" t="str">
        <f>IFERROR(MATCH(1388,$AF$8:$AF$1407,0),"")</f>
        <v/>
      </c>
    </row>
    <row r="1396">
      <c r="A1396" s="92" t="str">
        <f>IF($AG1396="","",P_ImportID)</f>
        <v/>
      </c>
      <c r="B1396" s="92" t="str">
        <f>IF($AG1396="","",IF(INDEX($AN$8:$AN$21,INDEX($AC$8:$AC$1407,$AG1396)+1)="Z",P_BronZ,P_BronE))</f>
        <v/>
      </c>
      <c r="C1396" s="108" t="str">
        <f>IF($AG1396="","",P_Importdatum)</f>
        <v/>
      </c>
      <c r="D1396" s="92" t="str">
        <f>IF($AG1396="","",P_StatusVastleg)</f>
        <v/>
      </c>
      <c r="E1396" s="92" t="str">
        <f>IF($AG1396="","",P_UploadVJ)</f>
        <v/>
      </c>
      <c r="F1396" s="92" t="str">
        <f>IF($AG1396="","",P_UploadVersie)</f>
        <v/>
      </c>
      <c r="G1396" s="92" t="str">
        <f>IF($AG1396="","",IF(COUNTIFS(L_Sleutel,$S1396,L_Status,"Vastgesteld")=0,0,_xlfn.MAXIFS(L_Revisie,L_Sleutel,$S1396,L_Status,"Vastgesteld")+1))</f>
        <v/>
      </c>
      <c r="H1396" s="108" t="str">
        <f>IF($AG1396="","",P_Peildatum)</f>
        <v/>
      </c>
      <c r="I1396" s="92" t="str">
        <f>IF($AG1396="","",P_RJ+INDEX($AK$8:$AK$21,INDEX($AC$8:$AC$1407,$AG1396)+1))</f>
        <v/>
      </c>
      <c r="J1396" s="92" t="str">
        <f>IF($AG1396="","",INDEX(V_WBS,INDEX($AB$8:$AB$1407,$AG1396)))</f>
        <v/>
      </c>
      <c r="K1396" s="92" t="str">
        <f>IF($AG1396="","",INDEX(V_Projdef,INDEX($AB$8:$AB$1407,$AG1396)))</f>
        <v/>
      </c>
      <c r="L1396" s="92" t="str">
        <f>IF($AG1396="","",INDEX(V_Naam,INDEX($AB$8:$AB$1407,$AG1396)))</f>
        <v/>
      </c>
      <c r="M1396" s="92" t="str">
        <f>IF($AG1396="","",INDEX(V_Type,INDEX($AB$8:$AB$1407,$AG1396)))</f>
        <v/>
      </c>
      <c r="N1396" s="92" t="str">
        <f>IF($AG1396="","",INDEX(V_IFRS,INDEX($AB$8:$AB$1407,$AG1396)))</f>
        <v/>
      </c>
      <c r="O1396" s="92" t="str">
        <f>IF($AG1396="","",INDEX($AL$8:$AL$21,INDEX($AC$8:$AC$1407,$AG1396)+1))</f>
        <v/>
      </c>
      <c r="P1396" s="109" t="str">
        <f>IF($AG1396="","",INDEX($AD$8:$AD$1407,$AG1396))</f>
        <v/>
      </c>
      <c r="Q1396" s="92" t="str">
        <f>IF($AG1396="","",INDEX($AM$8:$AM$21,INDEX($AC$8:$AC$1407,$AG1396)+1))</f>
        <v/>
      </c>
      <c r="R1396" s="92" t="str">
        <f>IF($AG1396="","",IF($G1396&gt;0,P_ToelCorrectie&amp;"",""))</f>
        <v/>
      </c>
      <c r="S1396" s="15" t="str">
        <f>IF(J1396="","",J1396&amp;"|"&amp;E1396&amp;"|"&amp;F1396&amp;"|"&amp;I1396&amp;"|"&amp;O1396)</f>
        <v/>
      </c>
      <c r="T1396" s="111" t="str">
        <f>IF(S1396="","",IF(COUNTIFS(L_Sleutel,S1396,L_Actief,1)=0,"",SUMIFS(L_Waarde,L_Sleutel,S1396,L_Actief,1)))</f>
        <v/>
      </c>
      <c r="U1396" s="111">
        <f>IF(OR(S1396="",T1396=""),0,P1396-T1396)</f>
        <v>0</v>
      </c>
      <c r="AB1396" s="112" t="n">
        <v>100</v>
      </c>
      <c r="AC1396" s="112" t="n">
        <v>2</v>
      </c>
      <c r="AD1396" s="112" t="str">
        <f>VERW_Project!L105</f>
        <v/>
      </c>
      <c r="AE1396" s="112">
        <f>IF(AND(VERW_Project!$A105&lt;&gt;"",ISNUMBER(AD1396)),1,0)</f>
        <v>0</v>
      </c>
      <c r="AF1396" s="112" t="str">
        <f>IF(AE1396=1,SUM($AE$8:AE1396),"")</f>
        <v/>
      </c>
      <c r="AG1396" t="str">
        <f>IFERROR(MATCH(1389,$AF$8:$AF$1407,0),"")</f>
        <v/>
      </c>
    </row>
    <row r="1397">
      <c r="A1397" s="92" t="str">
        <f>IF($AG1397="","",P_ImportID)</f>
        <v/>
      </c>
      <c r="B1397" s="92" t="str">
        <f>IF($AG1397="","",IF(INDEX($AN$8:$AN$21,INDEX($AC$8:$AC$1407,$AG1397)+1)="Z",P_BronZ,P_BronE))</f>
        <v/>
      </c>
      <c r="C1397" s="108" t="str">
        <f>IF($AG1397="","",P_Importdatum)</f>
        <v/>
      </c>
      <c r="D1397" s="92" t="str">
        <f>IF($AG1397="","",P_StatusVastleg)</f>
        <v/>
      </c>
      <c r="E1397" s="92" t="str">
        <f>IF($AG1397="","",P_UploadVJ)</f>
        <v/>
      </c>
      <c r="F1397" s="92" t="str">
        <f>IF($AG1397="","",P_UploadVersie)</f>
        <v/>
      </c>
      <c r="G1397" s="92" t="str">
        <f>IF($AG1397="","",IF(COUNTIFS(L_Sleutel,$S1397,L_Status,"Vastgesteld")=0,0,_xlfn.MAXIFS(L_Revisie,L_Sleutel,$S1397,L_Status,"Vastgesteld")+1))</f>
        <v/>
      </c>
      <c r="H1397" s="108" t="str">
        <f>IF($AG1397="","",P_Peildatum)</f>
        <v/>
      </c>
      <c r="I1397" s="92" t="str">
        <f>IF($AG1397="","",P_RJ+INDEX($AK$8:$AK$21,INDEX($AC$8:$AC$1407,$AG1397)+1))</f>
        <v/>
      </c>
      <c r="J1397" s="92" t="str">
        <f>IF($AG1397="","",INDEX(V_WBS,INDEX($AB$8:$AB$1407,$AG1397)))</f>
        <v/>
      </c>
      <c r="K1397" s="92" t="str">
        <f>IF($AG1397="","",INDEX(V_Projdef,INDEX($AB$8:$AB$1407,$AG1397)))</f>
        <v/>
      </c>
      <c r="L1397" s="92" t="str">
        <f>IF($AG1397="","",INDEX(V_Naam,INDEX($AB$8:$AB$1407,$AG1397)))</f>
        <v/>
      </c>
      <c r="M1397" s="92" t="str">
        <f>IF($AG1397="","",INDEX(V_Type,INDEX($AB$8:$AB$1407,$AG1397)))</f>
        <v/>
      </c>
      <c r="N1397" s="92" t="str">
        <f>IF($AG1397="","",INDEX(V_IFRS,INDEX($AB$8:$AB$1407,$AG1397)))</f>
        <v/>
      </c>
      <c r="O1397" s="92" t="str">
        <f>IF($AG1397="","",INDEX($AL$8:$AL$21,INDEX($AC$8:$AC$1407,$AG1397)+1))</f>
        <v/>
      </c>
      <c r="P1397" s="109" t="str">
        <f>IF($AG1397="","",INDEX($AD$8:$AD$1407,$AG1397))</f>
        <v/>
      </c>
      <c r="Q1397" s="92" t="str">
        <f>IF($AG1397="","",INDEX($AM$8:$AM$21,INDEX($AC$8:$AC$1407,$AG1397)+1))</f>
        <v/>
      </c>
      <c r="R1397" s="92" t="str">
        <f>IF($AG1397="","",IF($G1397&gt;0,P_ToelCorrectie&amp;"",""))</f>
        <v/>
      </c>
      <c r="S1397" s="15" t="str">
        <f>IF(J1397="","",J1397&amp;"|"&amp;E1397&amp;"|"&amp;F1397&amp;"|"&amp;I1397&amp;"|"&amp;O1397)</f>
        <v/>
      </c>
      <c r="T1397" s="111" t="str">
        <f>IF(S1397="","",IF(COUNTIFS(L_Sleutel,S1397,L_Actief,1)=0,"",SUMIFS(L_Waarde,L_Sleutel,S1397,L_Actief,1)))</f>
        <v/>
      </c>
      <c r="U1397" s="111">
        <f>IF(OR(S1397="",T1397=""),0,P1397-T1397)</f>
        <v>0</v>
      </c>
      <c r="AB1397" s="112" t="n">
        <v>100</v>
      </c>
      <c r="AC1397" s="112" t="n">
        <v>3</v>
      </c>
      <c r="AD1397" s="112" t="str">
        <f>VERW_Project!M105</f>
        <v/>
      </c>
      <c r="AE1397" s="112">
        <f>IF(AND(VERW_Project!$A105&lt;&gt;"",ISNUMBER(AD1397)),1,0)</f>
        <v>0</v>
      </c>
      <c r="AF1397" s="112" t="str">
        <f>IF(AE1397=1,SUM($AE$8:AE1397),"")</f>
        <v/>
      </c>
      <c r="AG1397" t="str">
        <f>IFERROR(MATCH(1390,$AF$8:$AF$1407,0),"")</f>
        <v/>
      </c>
    </row>
    <row r="1398">
      <c r="A1398" s="92" t="str">
        <f>IF($AG1398="","",P_ImportID)</f>
        <v/>
      </c>
      <c r="B1398" s="92" t="str">
        <f>IF($AG1398="","",IF(INDEX($AN$8:$AN$21,INDEX($AC$8:$AC$1407,$AG1398)+1)="Z",P_BronZ,P_BronE))</f>
        <v/>
      </c>
      <c r="C1398" s="108" t="str">
        <f>IF($AG1398="","",P_Importdatum)</f>
        <v/>
      </c>
      <c r="D1398" s="92" t="str">
        <f>IF($AG1398="","",P_StatusVastleg)</f>
        <v/>
      </c>
      <c r="E1398" s="92" t="str">
        <f>IF($AG1398="","",P_UploadVJ)</f>
        <v/>
      </c>
      <c r="F1398" s="92" t="str">
        <f>IF($AG1398="","",P_UploadVersie)</f>
        <v/>
      </c>
      <c r="G1398" s="92" t="str">
        <f>IF($AG1398="","",IF(COUNTIFS(L_Sleutel,$S1398,L_Status,"Vastgesteld")=0,0,_xlfn.MAXIFS(L_Revisie,L_Sleutel,$S1398,L_Status,"Vastgesteld")+1))</f>
        <v/>
      </c>
      <c r="H1398" s="108" t="str">
        <f>IF($AG1398="","",P_Peildatum)</f>
        <v/>
      </c>
      <c r="I1398" s="92" t="str">
        <f>IF($AG1398="","",P_RJ+INDEX($AK$8:$AK$21,INDEX($AC$8:$AC$1407,$AG1398)+1))</f>
        <v/>
      </c>
      <c r="J1398" s="92" t="str">
        <f>IF($AG1398="","",INDEX(V_WBS,INDEX($AB$8:$AB$1407,$AG1398)))</f>
        <v/>
      </c>
      <c r="K1398" s="92" t="str">
        <f>IF($AG1398="","",INDEX(V_Projdef,INDEX($AB$8:$AB$1407,$AG1398)))</f>
        <v/>
      </c>
      <c r="L1398" s="92" t="str">
        <f>IF($AG1398="","",INDEX(V_Naam,INDEX($AB$8:$AB$1407,$AG1398)))</f>
        <v/>
      </c>
      <c r="M1398" s="92" t="str">
        <f>IF($AG1398="","",INDEX(V_Type,INDEX($AB$8:$AB$1407,$AG1398)))</f>
        <v/>
      </c>
      <c r="N1398" s="92" t="str">
        <f>IF($AG1398="","",INDEX(V_IFRS,INDEX($AB$8:$AB$1407,$AG1398)))</f>
        <v/>
      </c>
      <c r="O1398" s="92" t="str">
        <f>IF($AG1398="","",INDEX($AL$8:$AL$21,INDEX($AC$8:$AC$1407,$AG1398)+1))</f>
        <v/>
      </c>
      <c r="P1398" s="109" t="str">
        <f>IF($AG1398="","",INDEX($AD$8:$AD$1407,$AG1398))</f>
        <v/>
      </c>
      <c r="Q1398" s="92" t="str">
        <f>IF($AG1398="","",INDEX($AM$8:$AM$21,INDEX($AC$8:$AC$1407,$AG1398)+1))</f>
        <v/>
      </c>
      <c r="R1398" s="92" t="str">
        <f>IF($AG1398="","",IF($G1398&gt;0,P_ToelCorrectie&amp;"",""))</f>
        <v/>
      </c>
      <c r="S1398" s="15" t="str">
        <f>IF(J1398="","",J1398&amp;"|"&amp;E1398&amp;"|"&amp;F1398&amp;"|"&amp;I1398&amp;"|"&amp;O1398)</f>
        <v/>
      </c>
      <c r="T1398" s="111" t="str">
        <f>IF(S1398="","",IF(COUNTIFS(L_Sleutel,S1398,L_Actief,1)=0,"",SUMIFS(L_Waarde,L_Sleutel,S1398,L_Actief,1)))</f>
        <v/>
      </c>
      <c r="U1398" s="111">
        <f>IF(OR(S1398="",T1398=""),0,P1398-T1398)</f>
        <v>0</v>
      </c>
      <c r="AB1398" s="112" t="n">
        <v>100</v>
      </c>
      <c r="AC1398" s="112" t="n">
        <v>4</v>
      </c>
      <c r="AD1398" s="112" t="str">
        <f>VERW_Project!R105</f>
        <v/>
      </c>
      <c r="AE1398" s="112">
        <f>IF(AND(VERW_Project!$A105&lt;&gt;"",ISNUMBER(AD1398)),1,0)</f>
        <v>0</v>
      </c>
      <c r="AF1398" s="112" t="str">
        <f>IF(AE1398=1,SUM($AE$8:AE1398),"")</f>
        <v/>
      </c>
      <c r="AG1398" t="str">
        <f>IFERROR(MATCH(1391,$AF$8:$AF$1407,0),"")</f>
        <v/>
      </c>
    </row>
    <row r="1399">
      <c r="A1399" s="92" t="str">
        <f>IF($AG1399="","",P_ImportID)</f>
        <v/>
      </c>
      <c r="B1399" s="92" t="str">
        <f>IF($AG1399="","",IF(INDEX($AN$8:$AN$21,INDEX($AC$8:$AC$1407,$AG1399)+1)="Z",P_BronZ,P_BronE))</f>
        <v/>
      </c>
      <c r="C1399" s="108" t="str">
        <f>IF($AG1399="","",P_Importdatum)</f>
        <v/>
      </c>
      <c r="D1399" s="92" t="str">
        <f>IF($AG1399="","",P_StatusVastleg)</f>
        <v/>
      </c>
      <c r="E1399" s="92" t="str">
        <f>IF($AG1399="","",P_UploadVJ)</f>
        <v/>
      </c>
      <c r="F1399" s="92" t="str">
        <f>IF($AG1399="","",P_UploadVersie)</f>
        <v/>
      </c>
      <c r="G1399" s="92" t="str">
        <f>IF($AG1399="","",IF(COUNTIFS(L_Sleutel,$S1399,L_Status,"Vastgesteld")=0,0,_xlfn.MAXIFS(L_Revisie,L_Sleutel,$S1399,L_Status,"Vastgesteld")+1))</f>
        <v/>
      </c>
      <c r="H1399" s="108" t="str">
        <f>IF($AG1399="","",P_Peildatum)</f>
        <v/>
      </c>
      <c r="I1399" s="92" t="str">
        <f>IF($AG1399="","",P_RJ+INDEX($AK$8:$AK$21,INDEX($AC$8:$AC$1407,$AG1399)+1))</f>
        <v/>
      </c>
      <c r="J1399" s="92" t="str">
        <f>IF($AG1399="","",INDEX(V_WBS,INDEX($AB$8:$AB$1407,$AG1399)))</f>
        <v/>
      </c>
      <c r="K1399" s="92" t="str">
        <f>IF($AG1399="","",INDEX(V_Projdef,INDEX($AB$8:$AB$1407,$AG1399)))</f>
        <v/>
      </c>
      <c r="L1399" s="92" t="str">
        <f>IF($AG1399="","",INDEX(V_Naam,INDEX($AB$8:$AB$1407,$AG1399)))</f>
        <v/>
      </c>
      <c r="M1399" s="92" t="str">
        <f>IF($AG1399="","",INDEX(V_Type,INDEX($AB$8:$AB$1407,$AG1399)))</f>
        <v/>
      </c>
      <c r="N1399" s="92" t="str">
        <f>IF($AG1399="","",INDEX(V_IFRS,INDEX($AB$8:$AB$1407,$AG1399)))</f>
        <v/>
      </c>
      <c r="O1399" s="92" t="str">
        <f>IF($AG1399="","",INDEX($AL$8:$AL$21,INDEX($AC$8:$AC$1407,$AG1399)+1))</f>
        <v/>
      </c>
      <c r="P1399" s="109" t="str">
        <f>IF($AG1399="","",INDEX($AD$8:$AD$1407,$AG1399))</f>
        <v/>
      </c>
      <c r="Q1399" s="92" t="str">
        <f>IF($AG1399="","",INDEX($AM$8:$AM$21,INDEX($AC$8:$AC$1407,$AG1399)+1))</f>
        <v/>
      </c>
      <c r="R1399" s="92" t="str">
        <f>IF($AG1399="","",IF($G1399&gt;0,P_ToelCorrectie&amp;"",""))</f>
        <v/>
      </c>
      <c r="S1399" s="15" t="str">
        <f>IF(J1399="","",J1399&amp;"|"&amp;E1399&amp;"|"&amp;F1399&amp;"|"&amp;I1399&amp;"|"&amp;O1399)</f>
        <v/>
      </c>
      <c r="T1399" s="111" t="str">
        <f>IF(S1399="","",IF(COUNTIFS(L_Sleutel,S1399,L_Actief,1)=0,"",SUMIFS(L_Waarde,L_Sleutel,S1399,L_Actief,1)))</f>
        <v/>
      </c>
      <c r="U1399" s="111">
        <f>IF(OR(S1399="",T1399=""),0,P1399-T1399)</f>
        <v>0</v>
      </c>
      <c r="AB1399" s="112" t="n">
        <v>100</v>
      </c>
      <c r="AC1399" s="112" t="n">
        <v>5</v>
      </c>
      <c r="AD1399" s="112" t="str">
        <f>VERW_Project!S105</f>
        <v/>
      </c>
      <c r="AE1399" s="112">
        <f>IF(AND(VERW_Project!$A105&lt;&gt;"",ISNUMBER(AD1399)),1,0)</f>
        <v>0</v>
      </c>
      <c r="AF1399" s="112" t="str">
        <f>IF(AE1399=1,SUM($AE$8:AE1399),"")</f>
        <v/>
      </c>
      <c r="AG1399" t="str">
        <f>IFERROR(MATCH(1392,$AF$8:$AF$1407,0),"")</f>
        <v/>
      </c>
    </row>
    <row r="1400">
      <c r="A1400" s="92" t="str">
        <f>IF($AG1400="","",P_ImportID)</f>
        <v/>
      </c>
      <c r="B1400" s="92" t="str">
        <f>IF($AG1400="","",IF(INDEX($AN$8:$AN$21,INDEX($AC$8:$AC$1407,$AG1400)+1)="Z",P_BronZ,P_BronE))</f>
        <v/>
      </c>
      <c r="C1400" s="108" t="str">
        <f>IF($AG1400="","",P_Importdatum)</f>
        <v/>
      </c>
      <c r="D1400" s="92" t="str">
        <f>IF($AG1400="","",P_StatusVastleg)</f>
        <v/>
      </c>
      <c r="E1400" s="92" t="str">
        <f>IF($AG1400="","",P_UploadVJ)</f>
        <v/>
      </c>
      <c r="F1400" s="92" t="str">
        <f>IF($AG1400="","",P_UploadVersie)</f>
        <v/>
      </c>
      <c r="G1400" s="92" t="str">
        <f>IF($AG1400="","",IF(COUNTIFS(L_Sleutel,$S1400,L_Status,"Vastgesteld")=0,0,_xlfn.MAXIFS(L_Revisie,L_Sleutel,$S1400,L_Status,"Vastgesteld")+1))</f>
        <v/>
      </c>
      <c r="H1400" s="108" t="str">
        <f>IF($AG1400="","",P_Peildatum)</f>
        <v/>
      </c>
      <c r="I1400" s="92" t="str">
        <f>IF($AG1400="","",P_RJ+INDEX($AK$8:$AK$21,INDEX($AC$8:$AC$1407,$AG1400)+1))</f>
        <v/>
      </c>
      <c r="J1400" s="92" t="str">
        <f>IF($AG1400="","",INDEX(V_WBS,INDEX($AB$8:$AB$1407,$AG1400)))</f>
        <v/>
      </c>
      <c r="K1400" s="92" t="str">
        <f>IF($AG1400="","",INDEX(V_Projdef,INDEX($AB$8:$AB$1407,$AG1400)))</f>
        <v/>
      </c>
      <c r="L1400" s="92" t="str">
        <f>IF($AG1400="","",INDEX(V_Naam,INDEX($AB$8:$AB$1407,$AG1400)))</f>
        <v/>
      </c>
      <c r="M1400" s="92" t="str">
        <f>IF($AG1400="","",INDEX(V_Type,INDEX($AB$8:$AB$1407,$AG1400)))</f>
        <v/>
      </c>
      <c r="N1400" s="92" t="str">
        <f>IF($AG1400="","",INDEX(V_IFRS,INDEX($AB$8:$AB$1407,$AG1400)))</f>
        <v/>
      </c>
      <c r="O1400" s="92" t="str">
        <f>IF($AG1400="","",INDEX($AL$8:$AL$21,INDEX($AC$8:$AC$1407,$AG1400)+1))</f>
        <v/>
      </c>
      <c r="P1400" s="109" t="str">
        <f>IF($AG1400="","",INDEX($AD$8:$AD$1407,$AG1400))</f>
        <v/>
      </c>
      <c r="Q1400" s="92" t="str">
        <f>IF($AG1400="","",INDEX($AM$8:$AM$21,INDEX($AC$8:$AC$1407,$AG1400)+1))</f>
        <v/>
      </c>
      <c r="R1400" s="92" t="str">
        <f>IF($AG1400="","",IF($G1400&gt;0,P_ToelCorrectie&amp;"",""))</f>
        <v/>
      </c>
      <c r="S1400" s="15" t="str">
        <f>IF(J1400="","",J1400&amp;"|"&amp;E1400&amp;"|"&amp;F1400&amp;"|"&amp;I1400&amp;"|"&amp;O1400)</f>
        <v/>
      </c>
      <c r="T1400" s="111" t="str">
        <f>IF(S1400="","",IF(COUNTIFS(L_Sleutel,S1400,L_Actief,1)=0,"",SUMIFS(L_Waarde,L_Sleutel,S1400,L_Actief,1)))</f>
        <v/>
      </c>
      <c r="U1400" s="111">
        <f>IF(OR(S1400="",T1400=""),0,P1400-T1400)</f>
        <v>0</v>
      </c>
      <c r="AB1400" s="112" t="n">
        <v>100</v>
      </c>
      <c r="AC1400" s="112" t="n">
        <v>6</v>
      </c>
      <c r="AD1400" s="112" t="str">
        <f>VERW_Project!BW105</f>
        <v/>
      </c>
      <c r="AE1400" s="112">
        <f>IF(AND(VERW_Project!$A105&lt;&gt;"",ISNUMBER(AD1400)),1,0)</f>
        <v>0</v>
      </c>
      <c r="AF1400" s="112" t="str">
        <f>IF(AE1400=1,SUM($AE$8:AE1400),"")</f>
        <v/>
      </c>
      <c r="AG1400" t="str">
        <f>IFERROR(MATCH(1393,$AF$8:$AF$1407,0),"")</f>
        <v/>
      </c>
    </row>
    <row r="1401">
      <c r="A1401" s="92" t="str">
        <f>IF($AG1401="","",P_ImportID)</f>
        <v/>
      </c>
      <c r="B1401" s="92" t="str">
        <f>IF($AG1401="","",IF(INDEX($AN$8:$AN$21,INDEX($AC$8:$AC$1407,$AG1401)+1)="Z",P_BronZ,P_BronE))</f>
        <v/>
      </c>
      <c r="C1401" s="108" t="str">
        <f>IF($AG1401="","",P_Importdatum)</f>
        <v/>
      </c>
      <c r="D1401" s="92" t="str">
        <f>IF($AG1401="","",P_StatusVastleg)</f>
        <v/>
      </c>
      <c r="E1401" s="92" t="str">
        <f>IF($AG1401="","",P_UploadVJ)</f>
        <v/>
      </c>
      <c r="F1401" s="92" t="str">
        <f>IF($AG1401="","",P_UploadVersie)</f>
        <v/>
      </c>
      <c r="G1401" s="92" t="str">
        <f>IF($AG1401="","",IF(COUNTIFS(L_Sleutel,$S1401,L_Status,"Vastgesteld")=0,0,_xlfn.MAXIFS(L_Revisie,L_Sleutel,$S1401,L_Status,"Vastgesteld")+1))</f>
        <v/>
      </c>
      <c r="H1401" s="108" t="str">
        <f>IF($AG1401="","",P_Peildatum)</f>
        <v/>
      </c>
      <c r="I1401" s="92" t="str">
        <f>IF($AG1401="","",P_RJ+INDEX($AK$8:$AK$21,INDEX($AC$8:$AC$1407,$AG1401)+1))</f>
        <v/>
      </c>
      <c r="J1401" s="92" t="str">
        <f>IF($AG1401="","",INDEX(V_WBS,INDEX($AB$8:$AB$1407,$AG1401)))</f>
        <v/>
      </c>
      <c r="K1401" s="92" t="str">
        <f>IF($AG1401="","",INDEX(V_Projdef,INDEX($AB$8:$AB$1407,$AG1401)))</f>
        <v/>
      </c>
      <c r="L1401" s="92" t="str">
        <f>IF($AG1401="","",INDEX(V_Naam,INDEX($AB$8:$AB$1407,$AG1401)))</f>
        <v/>
      </c>
      <c r="M1401" s="92" t="str">
        <f>IF($AG1401="","",INDEX(V_Type,INDEX($AB$8:$AB$1407,$AG1401)))</f>
        <v/>
      </c>
      <c r="N1401" s="92" t="str">
        <f>IF($AG1401="","",INDEX(V_IFRS,INDEX($AB$8:$AB$1407,$AG1401)))</f>
        <v/>
      </c>
      <c r="O1401" s="92" t="str">
        <f>IF($AG1401="","",INDEX($AL$8:$AL$21,INDEX($AC$8:$AC$1407,$AG1401)+1))</f>
        <v/>
      </c>
      <c r="P1401" s="109" t="str">
        <f>IF($AG1401="","",INDEX($AD$8:$AD$1407,$AG1401))</f>
        <v/>
      </c>
      <c r="Q1401" s="92" t="str">
        <f>IF($AG1401="","",INDEX($AM$8:$AM$21,INDEX($AC$8:$AC$1407,$AG1401)+1))</f>
        <v/>
      </c>
      <c r="R1401" s="92" t="str">
        <f>IF($AG1401="","",IF($G1401&gt;0,P_ToelCorrectie&amp;"",""))</f>
        <v/>
      </c>
      <c r="S1401" s="15" t="str">
        <f>IF(J1401="","",J1401&amp;"|"&amp;E1401&amp;"|"&amp;F1401&amp;"|"&amp;I1401&amp;"|"&amp;O1401)</f>
        <v/>
      </c>
      <c r="T1401" s="111" t="str">
        <f>IF(S1401="","",IF(COUNTIFS(L_Sleutel,S1401,L_Actief,1)=0,"",SUMIFS(L_Waarde,L_Sleutel,S1401,L_Actief,1)))</f>
        <v/>
      </c>
      <c r="U1401" s="111">
        <f>IF(OR(S1401="",T1401=""),0,P1401-T1401)</f>
        <v>0</v>
      </c>
      <c r="AB1401" s="112" t="n">
        <v>100</v>
      </c>
      <c r="AC1401" s="112" t="n">
        <v>7</v>
      </c>
      <c r="AD1401" s="112" t="str">
        <f>VERW_Project!AW105</f>
        <v/>
      </c>
      <c r="AE1401" s="112">
        <f>IF(AND(VERW_Project!$A105&lt;&gt;"",ISNUMBER(AD1401)),1,0)</f>
        <v>0</v>
      </c>
      <c r="AF1401" s="112" t="str">
        <f>IF(AE1401=1,SUM($AE$8:AE1401),"")</f>
        <v/>
      </c>
      <c r="AG1401" t="str">
        <f>IFERROR(MATCH(1394,$AF$8:$AF$1407,0),"")</f>
        <v/>
      </c>
    </row>
    <row r="1402">
      <c r="A1402" s="92" t="str">
        <f>IF($AG1402="","",P_ImportID)</f>
        <v/>
      </c>
      <c r="B1402" s="92" t="str">
        <f>IF($AG1402="","",IF(INDEX($AN$8:$AN$21,INDEX($AC$8:$AC$1407,$AG1402)+1)="Z",P_BronZ,P_BronE))</f>
        <v/>
      </c>
      <c r="C1402" s="108" t="str">
        <f>IF($AG1402="","",P_Importdatum)</f>
        <v/>
      </c>
      <c r="D1402" s="92" t="str">
        <f>IF($AG1402="","",P_StatusVastleg)</f>
        <v/>
      </c>
      <c r="E1402" s="92" t="str">
        <f>IF($AG1402="","",P_UploadVJ)</f>
        <v/>
      </c>
      <c r="F1402" s="92" t="str">
        <f>IF($AG1402="","",P_UploadVersie)</f>
        <v/>
      </c>
      <c r="G1402" s="92" t="str">
        <f>IF($AG1402="","",IF(COUNTIFS(L_Sleutel,$S1402,L_Status,"Vastgesteld")=0,0,_xlfn.MAXIFS(L_Revisie,L_Sleutel,$S1402,L_Status,"Vastgesteld")+1))</f>
        <v/>
      </c>
      <c r="H1402" s="108" t="str">
        <f>IF($AG1402="","",P_Peildatum)</f>
        <v/>
      </c>
      <c r="I1402" s="92" t="str">
        <f>IF($AG1402="","",P_RJ+INDEX($AK$8:$AK$21,INDEX($AC$8:$AC$1407,$AG1402)+1))</f>
        <v/>
      </c>
      <c r="J1402" s="92" t="str">
        <f>IF($AG1402="","",INDEX(V_WBS,INDEX($AB$8:$AB$1407,$AG1402)))</f>
        <v/>
      </c>
      <c r="K1402" s="92" t="str">
        <f>IF($AG1402="","",INDEX(V_Projdef,INDEX($AB$8:$AB$1407,$AG1402)))</f>
        <v/>
      </c>
      <c r="L1402" s="92" t="str">
        <f>IF($AG1402="","",INDEX(V_Naam,INDEX($AB$8:$AB$1407,$AG1402)))</f>
        <v/>
      </c>
      <c r="M1402" s="92" t="str">
        <f>IF($AG1402="","",INDEX(V_Type,INDEX($AB$8:$AB$1407,$AG1402)))</f>
        <v/>
      </c>
      <c r="N1402" s="92" t="str">
        <f>IF($AG1402="","",INDEX(V_IFRS,INDEX($AB$8:$AB$1407,$AG1402)))</f>
        <v/>
      </c>
      <c r="O1402" s="92" t="str">
        <f>IF($AG1402="","",INDEX($AL$8:$AL$21,INDEX($AC$8:$AC$1407,$AG1402)+1))</f>
        <v/>
      </c>
      <c r="P1402" s="109" t="str">
        <f>IF($AG1402="","",INDEX($AD$8:$AD$1407,$AG1402))</f>
        <v/>
      </c>
      <c r="Q1402" s="92" t="str">
        <f>IF($AG1402="","",INDEX($AM$8:$AM$21,INDEX($AC$8:$AC$1407,$AG1402)+1))</f>
        <v/>
      </c>
      <c r="R1402" s="92" t="str">
        <f>IF($AG1402="","",IF($G1402&gt;0,P_ToelCorrectie&amp;"",""))</f>
        <v/>
      </c>
      <c r="S1402" s="15" t="str">
        <f>IF(J1402="","",J1402&amp;"|"&amp;E1402&amp;"|"&amp;F1402&amp;"|"&amp;I1402&amp;"|"&amp;O1402)</f>
        <v/>
      </c>
      <c r="T1402" s="111" t="str">
        <f>IF(S1402="","",IF(COUNTIFS(L_Sleutel,S1402,L_Actief,1)=0,"",SUMIFS(L_Waarde,L_Sleutel,S1402,L_Actief,1)))</f>
        <v/>
      </c>
      <c r="U1402" s="111">
        <f>IF(OR(S1402="",T1402=""),0,P1402-T1402)</f>
        <v>0</v>
      </c>
      <c r="AB1402" s="112" t="n">
        <v>100</v>
      </c>
      <c r="AC1402" s="112" t="n">
        <v>8</v>
      </c>
      <c r="AD1402" s="112" t="str">
        <f>VERW_Project!BQ105</f>
        <v/>
      </c>
      <c r="AE1402" s="112">
        <f>IF(AND(VERW_Project!$A105&lt;&gt;"",ISNUMBER(AD1402)),1,0)</f>
        <v>0</v>
      </c>
      <c r="AF1402" s="112" t="str">
        <f>IF(AE1402=1,SUM($AE$8:AE1402),"")</f>
        <v/>
      </c>
      <c r="AG1402" t="str">
        <f>IFERROR(MATCH(1395,$AF$8:$AF$1407,0),"")</f>
        <v/>
      </c>
    </row>
    <row r="1403">
      <c r="A1403" s="92" t="str">
        <f>IF($AG1403="","",P_ImportID)</f>
        <v/>
      </c>
      <c r="B1403" s="92" t="str">
        <f>IF($AG1403="","",IF(INDEX($AN$8:$AN$21,INDEX($AC$8:$AC$1407,$AG1403)+1)="Z",P_BronZ,P_BronE))</f>
        <v/>
      </c>
      <c r="C1403" s="108" t="str">
        <f>IF($AG1403="","",P_Importdatum)</f>
        <v/>
      </c>
      <c r="D1403" s="92" t="str">
        <f>IF($AG1403="","",P_StatusVastleg)</f>
        <v/>
      </c>
      <c r="E1403" s="92" t="str">
        <f>IF($AG1403="","",P_UploadVJ)</f>
        <v/>
      </c>
      <c r="F1403" s="92" t="str">
        <f>IF($AG1403="","",P_UploadVersie)</f>
        <v/>
      </c>
      <c r="G1403" s="92" t="str">
        <f>IF($AG1403="","",IF(COUNTIFS(L_Sleutel,$S1403,L_Status,"Vastgesteld")=0,0,_xlfn.MAXIFS(L_Revisie,L_Sleutel,$S1403,L_Status,"Vastgesteld")+1))</f>
        <v/>
      </c>
      <c r="H1403" s="108" t="str">
        <f>IF($AG1403="","",P_Peildatum)</f>
        <v/>
      </c>
      <c r="I1403" s="92" t="str">
        <f>IF($AG1403="","",P_RJ+INDEX($AK$8:$AK$21,INDEX($AC$8:$AC$1407,$AG1403)+1))</f>
        <v/>
      </c>
      <c r="J1403" s="92" t="str">
        <f>IF($AG1403="","",INDEX(V_WBS,INDEX($AB$8:$AB$1407,$AG1403)))</f>
        <v/>
      </c>
      <c r="K1403" s="92" t="str">
        <f>IF($AG1403="","",INDEX(V_Projdef,INDEX($AB$8:$AB$1407,$AG1403)))</f>
        <v/>
      </c>
      <c r="L1403" s="92" t="str">
        <f>IF($AG1403="","",INDEX(V_Naam,INDEX($AB$8:$AB$1407,$AG1403)))</f>
        <v/>
      </c>
      <c r="M1403" s="92" t="str">
        <f>IF($AG1403="","",INDEX(V_Type,INDEX($AB$8:$AB$1407,$AG1403)))</f>
        <v/>
      </c>
      <c r="N1403" s="92" t="str">
        <f>IF($AG1403="","",INDEX(V_IFRS,INDEX($AB$8:$AB$1407,$AG1403)))</f>
        <v/>
      </c>
      <c r="O1403" s="92" t="str">
        <f>IF($AG1403="","",INDEX($AL$8:$AL$21,INDEX($AC$8:$AC$1407,$AG1403)+1))</f>
        <v/>
      </c>
      <c r="P1403" s="109" t="str">
        <f>IF($AG1403="","",INDEX($AD$8:$AD$1407,$AG1403))</f>
        <v/>
      </c>
      <c r="Q1403" s="92" t="str">
        <f>IF($AG1403="","",INDEX($AM$8:$AM$21,INDEX($AC$8:$AC$1407,$AG1403)+1))</f>
        <v/>
      </c>
      <c r="R1403" s="92" t="str">
        <f>IF($AG1403="","",IF($G1403&gt;0,P_ToelCorrectie&amp;"",""))</f>
        <v/>
      </c>
      <c r="S1403" s="15" t="str">
        <f>IF(J1403="","",J1403&amp;"|"&amp;E1403&amp;"|"&amp;F1403&amp;"|"&amp;I1403&amp;"|"&amp;O1403)</f>
        <v/>
      </c>
      <c r="T1403" s="111" t="str">
        <f>IF(S1403="","",IF(COUNTIFS(L_Sleutel,S1403,L_Actief,1)=0,"",SUMIFS(L_Waarde,L_Sleutel,S1403,L_Actief,1)))</f>
        <v/>
      </c>
      <c r="U1403" s="111">
        <f>IF(OR(S1403="",T1403=""),0,P1403-T1403)</f>
        <v>0</v>
      </c>
      <c r="AB1403" s="112" t="n">
        <v>100</v>
      </c>
      <c r="AC1403" s="112" t="n">
        <v>9</v>
      </c>
      <c r="AD1403" s="112" t="str">
        <f>VERW_Project!BR105</f>
        <v/>
      </c>
      <c r="AE1403" s="112">
        <f>IF(AND(VERW_Project!$A105&lt;&gt;"",ISNUMBER(AD1403)),1,0)</f>
        <v>0</v>
      </c>
      <c r="AF1403" s="112" t="str">
        <f>IF(AE1403=1,SUM($AE$8:AE1403),"")</f>
        <v/>
      </c>
      <c r="AG1403" t="str">
        <f>IFERROR(MATCH(1396,$AF$8:$AF$1407,0),"")</f>
        <v/>
      </c>
    </row>
    <row r="1404">
      <c r="A1404" s="92" t="str">
        <f>IF($AG1404="","",P_ImportID)</f>
        <v/>
      </c>
      <c r="B1404" s="92" t="str">
        <f>IF($AG1404="","",IF(INDEX($AN$8:$AN$21,INDEX($AC$8:$AC$1407,$AG1404)+1)="Z",P_BronZ,P_BronE))</f>
        <v/>
      </c>
      <c r="C1404" s="108" t="str">
        <f>IF($AG1404="","",P_Importdatum)</f>
        <v/>
      </c>
      <c r="D1404" s="92" t="str">
        <f>IF($AG1404="","",P_StatusVastleg)</f>
        <v/>
      </c>
      <c r="E1404" s="92" t="str">
        <f>IF($AG1404="","",P_UploadVJ)</f>
        <v/>
      </c>
      <c r="F1404" s="92" t="str">
        <f>IF($AG1404="","",P_UploadVersie)</f>
        <v/>
      </c>
      <c r="G1404" s="92" t="str">
        <f>IF($AG1404="","",IF(COUNTIFS(L_Sleutel,$S1404,L_Status,"Vastgesteld")=0,0,_xlfn.MAXIFS(L_Revisie,L_Sleutel,$S1404,L_Status,"Vastgesteld")+1))</f>
        <v/>
      </c>
      <c r="H1404" s="108" t="str">
        <f>IF($AG1404="","",P_Peildatum)</f>
        <v/>
      </c>
      <c r="I1404" s="92" t="str">
        <f>IF($AG1404="","",P_RJ+INDEX($AK$8:$AK$21,INDEX($AC$8:$AC$1407,$AG1404)+1))</f>
        <v/>
      </c>
      <c r="J1404" s="92" t="str">
        <f>IF($AG1404="","",INDEX(V_WBS,INDEX($AB$8:$AB$1407,$AG1404)))</f>
        <v/>
      </c>
      <c r="K1404" s="92" t="str">
        <f>IF($AG1404="","",INDEX(V_Projdef,INDEX($AB$8:$AB$1407,$AG1404)))</f>
        <v/>
      </c>
      <c r="L1404" s="92" t="str">
        <f>IF($AG1404="","",INDEX(V_Naam,INDEX($AB$8:$AB$1407,$AG1404)))</f>
        <v/>
      </c>
      <c r="M1404" s="92" t="str">
        <f>IF($AG1404="","",INDEX(V_Type,INDEX($AB$8:$AB$1407,$AG1404)))</f>
        <v/>
      </c>
      <c r="N1404" s="92" t="str">
        <f>IF($AG1404="","",INDEX(V_IFRS,INDEX($AB$8:$AB$1407,$AG1404)))</f>
        <v/>
      </c>
      <c r="O1404" s="92" t="str">
        <f>IF($AG1404="","",INDEX($AL$8:$AL$21,INDEX($AC$8:$AC$1407,$AG1404)+1))</f>
        <v/>
      </c>
      <c r="P1404" s="109" t="str">
        <f>IF($AG1404="","",INDEX($AD$8:$AD$1407,$AG1404))</f>
        <v/>
      </c>
      <c r="Q1404" s="92" t="str">
        <f>IF($AG1404="","",INDEX($AM$8:$AM$21,INDEX($AC$8:$AC$1407,$AG1404)+1))</f>
        <v/>
      </c>
      <c r="R1404" s="92" t="str">
        <f>IF($AG1404="","",IF($G1404&gt;0,P_ToelCorrectie&amp;"",""))</f>
        <v/>
      </c>
      <c r="S1404" s="15" t="str">
        <f>IF(J1404="","",J1404&amp;"|"&amp;E1404&amp;"|"&amp;F1404&amp;"|"&amp;I1404&amp;"|"&amp;O1404)</f>
        <v/>
      </c>
      <c r="T1404" s="111" t="str">
        <f>IF(S1404="","",IF(COUNTIFS(L_Sleutel,S1404,L_Actief,1)=0,"",SUMIFS(L_Waarde,L_Sleutel,S1404,L_Actief,1)))</f>
        <v/>
      </c>
      <c r="U1404" s="111">
        <f>IF(OR(S1404="",T1404=""),0,P1404-T1404)</f>
        <v>0</v>
      </c>
      <c r="AB1404" s="112" t="n">
        <v>100</v>
      </c>
      <c r="AC1404" s="112" t="n">
        <v>10</v>
      </c>
      <c r="AD1404" s="112" t="str">
        <f>VERW_Project!BS105</f>
        <v/>
      </c>
      <c r="AE1404" s="112">
        <f>IF(AND(VERW_Project!$A105&lt;&gt;"",ISNUMBER(AD1404)),1,0)</f>
        <v>0</v>
      </c>
      <c r="AF1404" s="112" t="str">
        <f>IF(AE1404=1,SUM($AE$8:AE1404),"")</f>
        <v/>
      </c>
      <c r="AG1404" t="str">
        <f>IFERROR(MATCH(1397,$AF$8:$AF$1407,0),"")</f>
        <v/>
      </c>
    </row>
    <row r="1405">
      <c r="A1405" s="92" t="str">
        <f>IF($AG1405="","",P_ImportID)</f>
        <v/>
      </c>
      <c r="B1405" s="92" t="str">
        <f>IF($AG1405="","",IF(INDEX($AN$8:$AN$21,INDEX($AC$8:$AC$1407,$AG1405)+1)="Z",P_BronZ,P_BronE))</f>
        <v/>
      </c>
      <c r="C1405" s="108" t="str">
        <f>IF($AG1405="","",P_Importdatum)</f>
        <v/>
      </c>
      <c r="D1405" s="92" t="str">
        <f>IF($AG1405="","",P_StatusVastleg)</f>
        <v/>
      </c>
      <c r="E1405" s="92" t="str">
        <f>IF($AG1405="","",P_UploadVJ)</f>
        <v/>
      </c>
      <c r="F1405" s="92" t="str">
        <f>IF($AG1405="","",P_UploadVersie)</f>
        <v/>
      </c>
      <c r="G1405" s="92" t="str">
        <f>IF($AG1405="","",IF(COUNTIFS(L_Sleutel,$S1405,L_Status,"Vastgesteld")=0,0,_xlfn.MAXIFS(L_Revisie,L_Sleutel,$S1405,L_Status,"Vastgesteld")+1))</f>
        <v/>
      </c>
      <c r="H1405" s="108" t="str">
        <f>IF($AG1405="","",P_Peildatum)</f>
        <v/>
      </c>
      <c r="I1405" s="92" t="str">
        <f>IF($AG1405="","",P_RJ+INDEX($AK$8:$AK$21,INDEX($AC$8:$AC$1407,$AG1405)+1))</f>
        <v/>
      </c>
      <c r="J1405" s="92" t="str">
        <f>IF($AG1405="","",INDEX(V_WBS,INDEX($AB$8:$AB$1407,$AG1405)))</f>
        <v/>
      </c>
      <c r="K1405" s="92" t="str">
        <f>IF($AG1405="","",INDEX(V_Projdef,INDEX($AB$8:$AB$1407,$AG1405)))</f>
        <v/>
      </c>
      <c r="L1405" s="92" t="str">
        <f>IF($AG1405="","",INDEX(V_Naam,INDEX($AB$8:$AB$1407,$AG1405)))</f>
        <v/>
      </c>
      <c r="M1405" s="92" t="str">
        <f>IF($AG1405="","",INDEX(V_Type,INDEX($AB$8:$AB$1407,$AG1405)))</f>
        <v/>
      </c>
      <c r="N1405" s="92" t="str">
        <f>IF($AG1405="","",INDEX(V_IFRS,INDEX($AB$8:$AB$1407,$AG1405)))</f>
        <v/>
      </c>
      <c r="O1405" s="92" t="str">
        <f>IF($AG1405="","",INDEX($AL$8:$AL$21,INDEX($AC$8:$AC$1407,$AG1405)+1))</f>
        <v/>
      </c>
      <c r="P1405" s="109" t="str">
        <f>IF($AG1405="","",INDEX($AD$8:$AD$1407,$AG1405))</f>
        <v/>
      </c>
      <c r="Q1405" s="92" t="str">
        <f>IF($AG1405="","",INDEX($AM$8:$AM$21,INDEX($AC$8:$AC$1407,$AG1405)+1))</f>
        <v/>
      </c>
      <c r="R1405" s="92" t="str">
        <f>IF($AG1405="","",IF($G1405&gt;0,P_ToelCorrectie&amp;"",""))</f>
        <v/>
      </c>
      <c r="S1405" s="15" t="str">
        <f>IF(J1405="","",J1405&amp;"|"&amp;E1405&amp;"|"&amp;F1405&amp;"|"&amp;I1405&amp;"|"&amp;O1405)</f>
        <v/>
      </c>
      <c r="T1405" s="111" t="str">
        <f>IF(S1405="","",IF(COUNTIFS(L_Sleutel,S1405,L_Actief,1)=0,"",SUMIFS(L_Waarde,L_Sleutel,S1405,L_Actief,1)))</f>
        <v/>
      </c>
      <c r="U1405" s="111">
        <f>IF(OR(S1405="",T1405=""),0,P1405-T1405)</f>
        <v>0</v>
      </c>
      <c r="AB1405" s="112" t="n">
        <v>100</v>
      </c>
      <c r="AC1405" s="112" t="n">
        <v>11</v>
      </c>
      <c r="AD1405" s="112" t="str">
        <f>VERW_Project!BT105</f>
        <v/>
      </c>
      <c r="AE1405" s="112">
        <f>IF(AND(VERW_Project!$A105&lt;&gt;"",ISNUMBER(AD1405)),1,0)</f>
        <v>0</v>
      </c>
      <c r="AF1405" s="112" t="str">
        <f>IF(AE1405=1,SUM($AE$8:AE1405),"")</f>
        <v/>
      </c>
      <c r="AG1405" t="str">
        <f>IFERROR(MATCH(1398,$AF$8:$AF$1407,0),"")</f>
        <v/>
      </c>
    </row>
    <row r="1406">
      <c r="A1406" s="92" t="str">
        <f>IF($AG1406="","",P_ImportID)</f>
        <v/>
      </c>
      <c r="B1406" s="92" t="str">
        <f>IF($AG1406="","",IF(INDEX($AN$8:$AN$21,INDEX($AC$8:$AC$1407,$AG1406)+1)="Z",P_BronZ,P_BronE))</f>
        <v/>
      </c>
      <c r="C1406" s="108" t="str">
        <f>IF($AG1406="","",P_Importdatum)</f>
        <v/>
      </c>
      <c r="D1406" s="92" t="str">
        <f>IF($AG1406="","",P_StatusVastleg)</f>
        <v/>
      </c>
      <c r="E1406" s="92" t="str">
        <f>IF($AG1406="","",P_UploadVJ)</f>
        <v/>
      </c>
      <c r="F1406" s="92" t="str">
        <f>IF($AG1406="","",P_UploadVersie)</f>
        <v/>
      </c>
      <c r="G1406" s="92" t="str">
        <f>IF($AG1406="","",IF(COUNTIFS(L_Sleutel,$S1406,L_Status,"Vastgesteld")=0,0,_xlfn.MAXIFS(L_Revisie,L_Sleutel,$S1406,L_Status,"Vastgesteld")+1))</f>
        <v/>
      </c>
      <c r="H1406" s="108" t="str">
        <f>IF($AG1406="","",P_Peildatum)</f>
        <v/>
      </c>
      <c r="I1406" s="92" t="str">
        <f>IF($AG1406="","",P_RJ+INDEX($AK$8:$AK$21,INDEX($AC$8:$AC$1407,$AG1406)+1))</f>
        <v/>
      </c>
      <c r="J1406" s="92" t="str">
        <f>IF($AG1406="","",INDEX(V_WBS,INDEX($AB$8:$AB$1407,$AG1406)))</f>
        <v/>
      </c>
      <c r="K1406" s="92" t="str">
        <f>IF($AG1406="","",INDEX(V_Projdef,INDEX($AB$8:$AB$1407,$AG1406)))</f>
        <v/>
      </c>
      <c r="L1406" s="92" t="str">
        <f>IF($AG1406="","",INDEX(V_Naam,INDEX($AB$8:$AB$1407,$AG1406)))</f>
        <v/>
      </c>
      <c r="M1406" s="92" t="str">
        <f>IF($AG1406="","",INDEX(V_Type,INDEX($AB$8:$AB$1407,$AG1406)))</f>
        <v/>
      </c>
      <c r="N1406" s="92" t="str">
        <f>IF($AG1406="","",INDEX(V_IFRS,INDEX($AB$8:$AB$1407,$AG1406)))</f>
        <v/>
      </c>
      <c r="O1406" s="92" t="str">
        <f>IF($AG1406="","",INDEX($AL$8:$AL$21,INDEX($AC$8:$AC$1407,$AG1406)+1))</f>
        <v/>
      </c>
      <c r="P1406" s="109" t="str">
        <f>IF($AG1406="","",INDEX($AD$8:$AD$1407,$AG1406))</f>
        <v/>
      </c>
      <c r="Q1406" s="92" t="str">
        <f>IF($AG1406="","",INDEX($AM$8:$AM$21,INDEX($AC$8:$AC$1407,$AG1406)+1))</f>
        <v/>
      </c>
      <c r="R1406" s="92" t="str">
        <f>IF($AG1406="","",IF($G1406&gt;0,P_ToelCorrectie&amp;"",""))</f>
        <v/>
      </c>
      <c r="S1406" s="15" t="str">
        <f>IF(J1406="","",J1406&amp;"|"&amp;E1406&amp;"|"&amp;F1406&amp;"|"&amp;I1406&amp;"|"&amp;O1406)</f>
        <v/>
      </c>
      <c r="T1406" s="111" t="str">
        <f>IF(S1406="","",IF(COUNTIFS(L_Sleutel,S1406,L_Actief,1)=0,"",SUMIFS(L_Waarde,L_Sleutel,S1406,L_Actief,1)))</f>
        <v/>
      </c>
      <c r="U1406" s="111">
        <f>IF(OR(S1406="",T1406=""),0,P1406-T1406)</f>
        <v>0</v>
      </c>
      <c r="AB1406" s="112" t="n">
        <v>100</v>
      </c>
      <c r="AC1406" s="112" t="n">
        <v>12</v>
      </c>
      <c r="AD1406" s="112" t="str">
        <f>VERW_Project!BU105</f>
        <v/>
      </c>
      <c r="AE1406" s="112">
        <f>IF(AND(VERW_Project!$A105&lt;&gt;"",ISNUMBER(AD1406)),1,0)</f>
        <v>0</v>
      </c>
      <c r="AF1406" s="112" t="str">
        <f>IF(AE1406=1,SUM($AE$8:AE1406),"")</f>
        <v/>
      </c>
      <c r="AG1406" t="str">
        <f>IFERROR(MATCH(1399,$AF$8:$AF$1407,0),"")</f>
        <v/>
      </c>
    </row>
    <row r="1407">
      <c r="A1407" s="92" t="str">
        <f>IF($AG1407="","",P_ImportID)</f>
        <v/>
      </c>
      <c r="B1407" s="92" t="str">
        <f>IF($AG1407="","",IF(INDEX($AN$8:$AN$21,INDEX($AC$8:$AC$1407,$AG1407)+1)="Z",P_BronZ,P_BronE))</f>
        <v/>
      </c>
      <c r="C1407" s="108" t="str">
        <f>IF($AG1407="","",P_Importdatum)</f>
        <v/>
      </c>
      <c r="D1407" s="92" t="str">
        <f>IF($AG1407="","",P_StatusVastleg)</f>
        <v/>
      </c>
      <c r="E1407" s="92" t="str">
        <f>IF($AG1407="","",P_UploadVJ)</f>
        <v/>
      </c>
      <c r="F1407" s="92" t="str">
        <f>IF($AG1407="","",P_UploadVersie)</f>
        <v/>
      </c>
      <c r="G1407" s="92" t="str">
        <f>IF($AG1407="","",IF(COUNTIFS(L_Sleutel,$S1407,L_Status,"Vastgesteld")=0,0,_xlfn.MAXIFS(L_Revisie,L_Sleutel,$S1407,L_Status,"Vastgesteld")+1))</f>
        <v/>
      </c>
      <c r="H1407" s="108" t="str">
        <f>IF($AG1407="","",P_Peildatum)</f>
        <v/>
      </c>
      <c r="I1407" s="92" t="str">
        <f>IF($AG1407="","",P_RJ+INDEX($AK$8:$AK$21,INDEX($AC$8:$AC$1407,$AG1407)+1))</f>
        <v/>
      </c>
      <c r="J1407" s="92" t="str">
        <f>IF($AG1407="","",INDEX(V_WBS,INDEX($AB$8:$AB$1407,$AG1407)))</f>
        <v/>
      </c>
      <c r="K1407" s="92" t="str">
        <f>IF($AG1407="","",INDEX(V_Projdef,INDEX($AB$8:$AB$1407,$AG1407)))</f>
        <v/>
      </c>
      <c r="L1407" s="92" t="str">
        <f>IF($AG1407="","",INDEX(V_Naam,INDEX($AB$8:$AB$1407,$AG1407)))</f>
        <v/>
      </c>
      <c r="M1407" s="92" t="str">
        <f>IF($AG1407="","",INDEX(V_Type,INDEX($AB$8:$AB$1407,$AG1407)))</f>
        <v/>
      </c>
      <c r="N1407" s="92" t="str">
        <f>IF($AG1407="","",INDEX(V_IFRS,INDEX($AB$8:$AB$1407,$AG1407)))</f>
        <v/>
      </c>
      <c r="O1407" s="92" t="str">
        <f>IF($AG1407="","",INDEX($AL$8:$AL$21,INDEX($AC$8:$AC$1407,$AG1407)+1))</f>
        <v/>
      </c>
      <c r="P1407" s="109" t="str">
        <f>IF($AG1407="","",INDEX($AD$8:$AD$1407,$AG1407))</f>
        <v/>
      </c>
      <c r="Q1407" s="92" t="str">
        <f>IF($AG1407="","",INDEX($AM$8:$AM$21,INDEX($AC$8:$AC$1407,$AG1407)+1))</f>
        <v/>
      </c>
      <c r="R1407" s="92" t="str">
        <f>IF($AG1407="","",IF($G1407&gt;0,P_ToelCorrectie&amp;"",""))</f>
        <v/>
      </c>
      <c r="S1407" s="15" t="str">
        <f>IF(J1407="","",J1407&amp;"|"&amp;E1407&amp;"|"&amp;F1407&amp;"|"&amp;I1407&amp;"|"&amp;O1407)</f>
        <v/>
      </c>
      <c r="T1407" s="111" t="str">
        <f>IF(S1407="","",IF(COUNTIFS(L_Sleutel,S1407,L_Actief,1)=0,"",SUMIFS(L_Waarde,L_Sleutel,S1407,L_Actief,1)))</f>
        <v/>
      </c>
      <c r="U1407" s="111">
        <f>IF(OR(S1407="",T1407=""),0,P1407-T1407)</f>
        <v>0</v>
      </c>
      <c r="AB1407" s="112" t="n">
        <v>100</v>
      </c>
      <c r="AC1407" s="112" t="n">
        <v>13</v>
      </c>
      <c r="AD1407" s="112" t="str">
        <f>VERW_Project!BX105</f>
        <v/>
      </c>
      <c r="AE1407" s="112">
        <f>IF(AND(VERW_Project!$A105&lt;&gt;"",ISNUMBER(AD1407)),1,0)</f>
        <v>0</v>
      </c>
      <c r="AF1407" s="112" t="str">
        <f>IF(AE1407=1,SUM($AE$8:AE1407),"")</f>
        <v/>
      </c>
      <c r="AG1407" t="str">
        <f>IFERROR(MATCH(1400,$AF$8:$AF$1407,0),"")</f>
        <v/>
      </c>
    </row>
  </sheetData>
  <pageMargins left="0.75" right="0.75" top="1" bottom="1" header="0.5" footer="0.5"/>
</worksheet>
</file>

<file path=xl/worksheets/sheet15.xml><?xml version="1.0" encoding="utf-8"?>
<worksheet xmlns="http://schemas.openxmlformats.org/spreadsheetml/2006/main">
  <sheetPr>
    <tabColor rgb="002E7D32"/>
    <outlinePr summaryBelow="1" summaryRight="1"/>
    <pageSetUpPr/>
  </sheetPr>
  <dimension ref="A1:L11"/>
  <sheetViews>
    <sheetView showGridLines="0" zoomScale="90" workbookViewId="0">
      <selection activeCell="A1" sqref="A1"/>
    </sheetView>
  </sheetViews>
  <sheetFormatPr baseColWidth="8" defaultRowHeight="15"/>
  <cols>
    <col width="17" customWidth="1" min="1" max="1"/>
    <col width="16" customWidth="1" min="2" max="2"/>
    <col width="38" customWidth="1" min="3" max="3"/>
    <col width="11" customWidth="1" min="4" max="4"/>
    <col width="11" customWidth="1" min="5" max="5"/>
    <col width="9" customWidth="1" min="6" max="6"/>
    <col width="7" customWidth="1" min="7" max="7"/>
    <col width="11" customWidth="1" min="8" max="8"/>
    <col width="11" customWidth="1" min="9" max="9"/>
    <col width="12" customWidth="1" min="10" max="10"/>
    <col width="70" customWidth="1" min="11" max="11"/>
  </cols>
  <sheetData>
    <row r="1" ht="28" customHeight="1">
      <c r="A1" s="1" t="n"/>
      <c r="B1" s="2" t="inlineStr">
        <is>
          <t>Importlog</t>
        </is>
      </c>
      <c r="C1" s="1" t="n"/>
      <c r="D1" s="1" t="n"/>
      <c r="E1" s="1" t="n"/>
      <c r="F1" s="1" t="n"/>
      <c r="G1" s="1" t="n"/>
      <c r="H1" s="1" t="n"/>
      <c r="I1" s="1" t="n"/>
      <c r="J1" s="1" t="n"/>
      <c r="K1" s="1" t="n"/>
      <c r="L1" s="1" t="n"/>
    </row>
    <row r="2">
      <c r="B2" s="3" t="inlineStr">
        <is>
          <t>Elke inlees- of vastlegronde krijgt een Import-ID. 'Regels vastgelegd' telt live in Vastlegging.</t>
        </is>
      </c>
    </row>
    <row r="3">
      <c r="B3" s="3" t="inlineStr">
        <is>
          <t>Na elke vastlegging: voeg hier een regel toe met hetzelfde Import-ID als in Parameters › P_ImportID.</t>
        </is>
      </c>
    </row>
    <row r="5" ht="30" customHeight="1">
      <c r="A5" s="32" t="inlineStr">
        <is>
          <t>Import-ID</t>
        </is>
      </c>
      <c r="B5" s="33" t="inlineStr">
        <is>
          <t>Bron</t>
        </is>
      </c>
      <c r="C5" s="33" t="inlineStr">
        <is>
          <t>Bestandsnaam</t>
        </is>
      </c>
      <c r="D5" s="33" t="inlineStr">
        <is>
          <t>Importdatum</t>
        </is>
      </c>
      <c r="E5" s="33" t="inlineStr">
        <is>
          <t>Peildatum</t>
        </is>
      </c>
      <c r="F5" s="33" t="inlineStr">
        <is>
          <t>Versiejaar</t>
        </is>
      </c>
      <c r="G5" s="33" t="inlineStr">
        <is>
          <t>Versie</t>
        </is>
      </c>
      <c r="H5" s="33" t="inlineStr">
        <is>
          <t>Regels in bronbestand</t>
        </is>
      </c>
      <c r="I5" s="33" t="inlineStr">
        <is>
          <t>Regels vastgelegd (live)</t>
        </is>
      </c>
      <c r="J5" s="33" t="inlineStr">
        <is>
          <t>Status</t>
        </is>
      </c>
      <c r="K5" s="33" t="inlineStr">
        <is>
          <t>Toelichting</t>
        </is>
      </c>
    </row>
    <row r="6">
      <c r="A6" s="34" t="inlineStr">
        <is>
          <t>HIST-2026-Budget</t>
        </is>
      </c>
      <c r="B6" s="34" t="inlineStr">
        <is>
          <t>Historie (fictief)</t>
        </is>
      </c>
      <c r="C6" s="34" t="inlineStr">
        <is>
          <t>RDFO_FICTIEVE_historie_en_mapping.xlsx</t>
        </is>
      </c>
      <c r="D6" s="113" t="n">
        <v>46324</v>
      </c>
      <c r="E6" s="113" t="n">
        <v>46022</v>
      </c>
      <c r="F6" s="34" t="n">
        <v>2026</v>
      </c>
      <c r="G6" s="34" t="inlineStr">
        <is>
          <t>Budget</t>
        </is>
      </c>
      <c r="H6" s="34" t="n">
        <v>200</v>
      </c>
      <c r="I6">
        <f>COUNTIF(L_ImportID,A6)</f>
        <v>200</v>
      </c>
      <c r="J6" t="inlineStr">
        <is>
          <t>Vastgesteld</t>
        </is>
      </c>
      <c r="K6" s="114" t="inlineStr">
        <is>
          <t>Synthetische snapshot uit testhistorie; geen echte historie. Prognose- en woninghistorie samen.</t>
        </is>
      </c>
    </row>
    <row r="7">
      <c r="A7" s="34" t="inlineStr">
        <is>
          <t>HIST-2026-Q1</t>
        </is>
      </c>
      <c r="B7" s="34" t="inlineStr">
        <is>
          <t>Historie (fictief)</t>
        </is>
      </c>
      <c r="C7" s="34" t="inlineStr">
        <is>
          <t>RDFO_FICTIEVE_historie_en_mapping.xlsx</t>
        </is>
      </c>
      <c r="D7" s="113" t="n">
        <v>46324</v>
      </c>
      <c r="E7" s="113" t="n">
        <v>46112</v>
      </c>
      <c r="F7" s="34" t="n">
        <v>2026</v>
      </c>
      <c r="G7" s="34" t="inlineStr">
        <is>
          <t>Q1</t>
        </is>
      </c>
      <c r="H7" s="34" t="n">
        <v>200</v>
      </c>
      <c r="I7">
        <f>COUNTIF(L_ImportID,A7)</f>
        <v>200</v>
      </c>
      <c r="J7" t="inlineStr">
        <is>
          <t>Vastgesteld</t>
        </is>
      </c>
      <c r="K7" s="114" t="inlineStr">
        <is>
          <t>Synthetische snapshot uit testhistorie; geen echte historie. Prognose- en woninghistorie samen.</t>
        </is>
      </c>
    </row>
    <row r="8">
      <c r="A8" s="34" t="inlineStr">
        <is>
          <t>HIST-2026-Q2</t>
        </is>
      </c>
      <c r="B8" s="34" t="inlineStr">
        <is>
          <t>Historie (fictief)</t>
        </is>
      </c>
      <c r="C8" s="34" t="inlineStr">
        <is>
          <t>RDFO_FICTIEVE_historie_en_mapping.xlsx</t>
        </is>
      </c>
      <c r="D8" s="113" t="n">
        <v>46324</v>
      </c>
      <c r="E8" s="113" t="n">
        <v>46203</v>
      </c>
      <c r="F8" s="34" t="n">
        <v>2026</v>
      </c>
      <c r="G8" s="34" t="inlineStr">
        <is>
          <t>Q2</t>
        </is>
      </c>
      <c r="H8" s="34" t="n">
        <v>200</v>
      </c>
      <c r="I8">
        <f>COUNTIF(L_ImportID,A8)</f>
        <v>200</v>
      </c>
      <c r="J8" t="inlineStr">
        <is>
          <t>Vastgesteld</t>
        </is>
      </c>
      <c r="K8" s="114" t="inlineStr">
        <is>
          <t>Synthetische snapshot uit testhistorie; geen echte historie. Prognose- en woninghistorie samen.</t>
        </is>
      </c>
    </row>
    <row r="9">
      <c r="A9" s="34" t="inlineStr">
        <is>
          <t>HIST-2026-Q3</t>
        </is>
      </c>
      <c r="B9" s="34" t="inlineStr">
        <is>
          <t>Historie (fictief)</t>
        </is>
      </c>
      <c r="C9" s="34" t="inlineStr">
        <is>
          <t>RDFO_FICTIEVE_historie_en_mapping.xlsx</t>
        </is>
      </c>
      <c r="D9" s="113" t="n">
        <v>46324</v>
      </c>
      <c r="E9" s="113" t="n">
        <v>46295</v>
      </c>
      <c r="F9" s="34" t="n">
        <v>2026</v>
      </c>
      <c r="G9" s="34" t="inlineStr">
        <is>
          <t>Q3</t>
        </is>
      </c>
      <c r="H9" s="34" t="n">
        <v>260</v>
      </c>
      <c r="I9">
        <f>COUNTIF(L_ImportID,A9)</f>
        <v>260</v>
      </c>
      <c r="J9" t="inlineStr">
        <is>
          <t>Vastgesteld</t>
        </is>
      </c>
      <c r="K9" s="114" t="inlineStr">
        <is>
          <t>Synthetische snapshot uit testhistorie; geen echte historie. Prognose- en woninghistorie samen.</t>
        </is>
      </c>
    </row>
    <row r="10">
      <c r="A10" s="34" t="inlineStr">
        <is>
          <t>IMP-2026-Q3-01</t>
        </is>
      </c>
      <c r="B10" s="34" t="inlineStr">
        <is>
          <t>ZPMW03</t>
        </is>
      </c>
      <c r="C10" s="34" t="inlineStr">
        <is>
          <t>ZPMW03_FICTIEF_20_projecten.xlsx</t>
        </is>
      </c>
      <c r="D10" s="113" t="n">
        <v>46324</v>
      </c>
      <c r="E10" s="113" t="n">
        <v>46295</v>
      </c>
      <c r="F10" s="34" t="n">
        <v>2026</v>
      </c>
      <c r="G10" s="34" t="inlineStr">
        <is>
          <t>Q3</t>
        </is>
      </c>
      <c r="H10" s="34" t="n">
        <v>20</v>
      </c>
      <c r="I10">
        <f>COUNTIF(L_ImportID,A10)</f>
        <v>0</v>
      </c>
      <c r="J10" t="inlineStr">
        <is>
          <t>Ingelezen</t>
        </is>
      </c>
      <c r="K10" s="114" t="inlineStr">
        <is>
          <t>Huidige bron in SRC_ZPMW03. Q3 is al vastgesteld via historie; concept dient als aansluitcontrole (niet opnieuw vastgelegd).</t>
        </is>
      </c>
    </row>
    <row r="11">
      <c r="A11" s="34" t="inlineStr">
        <is>
          <t>IMP-2026-Q3-01</t>
        </is>
      </c>
      <c r="B11" s="34" t="inlineStr">
        <is>
          <t>Woningetalage</t>
        </is>
      </c>
      <c r="C11" s="34" t="inlineStr">
        <is>
          <t>Woningetalage_FICTIEF_20_projecten.xlsx</t>
        </is>
      </c>
      <c r="D11" s="113" t="n">
        <v>46324</v>
      </c>
      <c r="E11" s="113" t="n">
        <v>46295</v>
      </c>
      <c r="F11" s="34" t="n">
        <v>2026</v>
      </c>
      <c r="G11" s="34" t="inlineStr">
        <is>
          <t>Q3</t>
        </is>
      </c>
      <c r="H11" s="34" t="n">
        <v>20</v>
      </c>
      <c r="I11">
        <f>COUNTIF(L_ImportID,A11)</f>
        <v>0</v>
      </c>
      <c r="J11" t="inlineStr">
        <is>
          <t>Ingelezen</t>
        </is>
      </c>
      <c r="K11" s="114" t="inlineStr">
        <is>
          <t>Huidige bron in SRC_Woningetalage.</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6B7385"/>
    <outlinePr summaryBelow="1" summaryRight="1"/>
    <pageSetUpPr/>
  </sheetPr>
  <dimension ref="A1:CT105"/>
  <sheetViews>
    <sheetView showGridLines="0" zoomScale="80" workbookViewId="0">
      <pane xSplit="3" ySplit="5" topLeftCell="D6"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2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s>
  <sheetData>
    <row r="1">
      <c r="A1" s="31" t="inlineStr">
        <is>
          <t>VERW_Project — berekeningslaag (niet invullen). Eén regel per mappingregel; bronnen per WBS geaggregeerd; bedragen in EUR met managementteken (omzet/winst positief, verlies negatief).</t>
        </is>
      </c>
    </row>
    <row r="2">
      <c r="A2" s="3" t="inlineStr">
        <is>
          <t>RJ = Parameters › P_RJ. 'n.b.' = project ontbreekt in de betreffende bron (zie Controle).</t>
        </is>
      </c>
    </row>
    <row r="4">
      <c r="A4" s="15" t="inlineStr">
        <is>
          <t>WBS</t>
        </is>
      </c>
      <c r="B4" s="15" t="inlineStr">
        <is>
          <t>Projdef</t>
        </is>
      </c>
      <c r="C4" s="15" t="inlineStr">
        <is>
          <t>Naam</t>
        </is>
      </c>
      <c r="D4" s="15" t="inlineStr">
        <is>
          <t>Type</t>
        </is>
      </c>
      <c r="E4" s="15" t="inlineStr">
        <is>
          <t>Segment</t>
        </is>
      </c>
      <c r="F4" s="15" t="inlineStr">
        <is>
          <t>Aandeel</t>
        </is>
      </c>
      <c r="G4" s="15" t="inlineStr">
        <is>
          <t>Meetellen</t>
        </is>
      </c>
      <c r="H4" s="15" t="inlineStr">
        <is>
          <t>MapAantal</t>
        </is>
      </c>
      <c r="I4" s="15" t="inlineStr">
        <is>
          <t>IFRS</t>
        </is>
      </c>
      <c r="J4" s="15" t="inlineStr">
        <is>
          <t>nZ</t>
        </is>
      </c>
      <c r="K4" s="15" t="inlineStr">
        <is>
          <t>nE</t>
        </is>
      </c>
      <c r="L4" s="15" t="inlineStr">
        <is>
          <t>OmzYTD</t>
        </is>
      </c>
      <c r="M4" s="15" t="inlineStr">
        <is>
          <t>BorYTD</t>
        </is>
      </c>
      <c r="N4" s="15" t="inlineStr">
        <is>
          <t>OmzRest</t>
        </is>
      </c>
      <c r="O4" s="15" t="inlineStr">
        <is>
          <t>BorRest</t>
        </is>
      </c>
      <c r="P4" s="15" t="inlineStr">
        <is>
          <t>OmzFY</t>
        </is>
      </c>
      <c r="Q4" s="15" t="inlineStr">
        <is>
          <t>BorFY</t>
        </is>
      </c>
      <c r="R4" s="15" t="inlineStr">
        <is>
          <t>OmzFY1</t>
        </is>
      </c>
      <c r="S4" s="15" t="inlineStr">
        <is>
          <t>BorFY1</t>
        </is>
      </c>
      <c r="T4" s="15" t="inlineStr">
        <is>
          <t>OmzQ4</t>
        </is>
      </c>
      <c r="U4" s="15" t="inlineStr">
        <is>
          <t>BorQ4</t>
        </is>
      </c>
      <c r="V4" s="15" t="inlineStr">
        <is>
          <t>OmzRJ1_Q1</t>
        </is>
      </c>
      <c r="W4" s="15" t="inlineStr">
        <is>
          <t>OmzRJ1_Q2</t>
        </is>
      </c>
      <c r="X4" s="15" t="inlineStr">
        <is>
          <t>OmzRJ1_Q3</t>
        </is>
      </c>
      <c r="Y4" s="15" t="inlineStr">
        <is>
          <t>OmzRJ1_Q4</t>
        </is>
      </c>
      <c r="Z4" s="15" t="inlineStr">
        <is>
          <t>BorRJ1_Q1</t>
        </is>
      </c>
      <c r="AA4" s="15" t="inlineStr">
        <is>
          <t>BorRJ1_Q2</t>
        </is>
      </c>
      <c r="AB4" s="15" t="inlineStr">
        <is>
          <t>BorRJ1_Q3</t>
        </is>
      </c>
      <c r="AC4" s="15" t="inlineStr">
        <is>
          <t>BorRJ1_Q4</t>
        </is>
      </c>
      <c r="AD4" s="15" t="inlineStr">
        <is>
          <t>OmzRJ2</t>
        </is>
      </c>
      <c r="AE4" s="15" t="inlineStr">
        <is>
          <t>OmzRJ3</t>
        </is>
      </c>
      <c r="AF4" s="15" t="inlineStr">
        <is>
          <t>OmzRJ4</t>
        </is>
      </c>
      <c r="AG4" s="15" t="inlineStr">
        <is>
          <t>OmzRJ5</t>
        </is>
      </c>
      <c r="AH4" s="15" t="inlineStr">
        <is>
          <t>OmzRJ6</t>
        </is>
      </c>
      <c r="AI4" s="15" t="inlineStr">
        <is>
          <t>OmzRJ7</t>
        </is>
      </c>
      <c r="AJ4" s="15" t="inlineStr">
        <is>
          <t>OmzRJ8</t>
        </is>
      </c>
      <c r="AK4" s="15" t="inlineStr">
        <is>
          <t>OmzONV</t>
        </is>
      </c>
      <c r="AL4" s="15" t="inlineStr">
        <is>
          <t>BorRJ2</t>
        </is>
      </c>
      <c r="AM4" s="15" t="inlineStr">
        <is>
          <t>BorRJ3</t>
        </is>
      </c>
      <c r="AN4" s="15" t="inlineStr">
        <is>
          <t>BorRJ4</t>
        </is>
      </c>
      <c r="AO4" s="15" t="inlineStr">
        <is>
          <t>BorRJ5</t>
        </is>
      </c>
      <c r="AP4" s="15" t="inlineStr">
        <is>
          <t>BorRJ6</t>
        </is>
      </c>
      <c r="AQ4" s="15" t="inlineStr">
        <is>
          <t>BorRJ7</t>
        </is>
      </c>
      <c r="AR4" s="15" t="inlineStr">
        <is>
          <t>BorRJ8</t>
        </is>
      </c>
      <c r="AS4" s="15" t="inlineStr">
        <is>
          <t>BorONV</t>
        </is>
      </c>
      <c r="AT4" s="15" t="inlineStr">
        <is>
          <t>W_Aantal</t>
        </is>
      </c>
      <c r="AU4" s="15" t="inlineStr">
        <is>
          <t>W_VJ_B</t>
        </is>
      </c>
      <c r="AV4" s="15" t="inlineStr">
        <is>
          <t>W_VJ_P</t>
        </is>
      </c>
      <c r="AW4" s="15" t="inlineStr">
        <is>
          <t>W_VJ_T</t>
        </is>
      </c>
      <c r="AX4" s="15" t="inlineStr">
        <is>
          <t>W_HJ_B</t>
        </is>
      </c>
      <c r="AY4" s="15" t="inlineStr">
        <is>
          <t>W_HJ_P</t>
        </is>
      </c>
      <c r="AZ4" s="15" t="inlineStr">
        <is>
          <t>W_HJ_T</t>
        </is>
      </c>
      <c r="BA4" s="15" t="inlineStr">
        <is>
          <t>W_Cum_B</t>
        </is>
      </c>
      <c r="BB4" s="15" t="inlineStr">
        <is>
          <t>W_Cum_P</t>
        </is>
      </c>
      <c r="BC4" s="15" t="inlineStr">
        <is>
          <t>W_Cum_T</t>
        </is>
      </c>
      <c r="BD4" s="15" t="inlineStr">
        <is>
          <t>W_Etalage</t>
        </is>
      </c>
      <c r="BE4" s="15" t="inlineStr">
        <is>
          <t>W_M01</t>
        </is>
      </c>
      <c r="BF4" s="15" t="inlineStr">
        <is>
          <t>W_M02</t>
        </is>
      </c>
      <c r="BG4" s="15" t="inlineStr">
        <is>
          <t>W_M03</t>
        </is>
      </c>
      <c r="BH4" s="15" t="inlineStr">
        <is>
          <t>W_M04</t>
        </is>
      </c>
      <c r="BI4" s="15" t="inlineStr">
        <is>
          <t>W_M05</t>
        </is>
      </c>
      <c r="BJ4" s="15" t="inlineStr">
        <is>
          <t>W_M06</t>
        </is>
      </c>
      <c r="BK4" s="15" t="inlineStr">
        <is>
          <t>W_M07</t>
        </is>
      </c>
      <c r="BL4" s="15" t="inlineStr">
        <is>
          <t>W_M08</t>
        </is>
      </c>
      <c r="BM4" s="15" t="inlineStr">
        <is>
          <t>W_M09</t>
        </is>
      </c>
      <c r="BN4" s="15" t="inlineStr">
        <is>
          <t>W_M10</t>
        </is>
      </c>
      <c r="BO4" s="15" t="inlineStr">
        <is>
          <t>W_M11</t>
        </is>
      </c>
      <c r="BP4" s="15" t="inlineStr">
        <is>
          <t>W_M12</t>
        </is>
      </c>
      <c r="BQ4" s="15" t="inlineStr">
        <is>
          <t>W_HQ1</t>
        </is>
      </c>
      <c r="BR4" s="15" t="inlineStr">
        <is>
          <t>W_HQ2</t>
        </is>
      </c>
      <c r="BS4" s="15" t="inlineStr">
        <is>
          <t>W_HQ3</t>
        </is>
      </c>
      <c r="BT4" s="15" t="inlineStr">
        <is>
          <t>W_HQ4</t>
        </is>
      </c>
      <c r="BU4" s="15" t="inlineStr">
        <is>
          <t>W_ActYTD</t>
        </is>
      </c>
      <c r="BV4" s="15" t="inlineStr">
        <is>
          <t>W_PrognoseRest</t>
        </is>
      </c>
      <c r="BW4" s="15" t="inlineStr">
        <is>
          <t>W_HuidigJaar</t>
        </is>
      </c>
      <c r="BX4" s="15" t="inlineStr">
        <is>
          <t>W_VolgendJaar</t>
        </is>
      </c>
      <c r="BY4" s="15" t="inlineStr">
        <is>
          <t>W_VQ1</t>
        </is>
      </c>
      <c r="BZ4" s="15" t="inlineStr">
        <is>
          <t>W_VQ2</t>
        </is>
      </c>
      <c r="CA4" s="15" t="inlineStr">
        <is>
          <t>W_VQ3</t>
        </is>
      </c>
      <c r="CB4" s="15" t="inlineStr">
        <is>
          <t>W_VQ4</t>
        </is>
      </c>
      <c r="CC4" s="15" t="inlineStr">
        <is>
          <t>W_Y_RJ2</t>
        </is>
      </c>
      <c r="CD4" s="15" t="inlineStr">
        <is>
          <t>I_Kans</t>
        </is>
      </c>
      <c r="CE4" s="15" t="inlineStr">
        <is>
          <t>I_StatusWBS</t>
        </is>
      </c>
      <c r="CF4" s="15" t="inlineStr">
        <is>
          <t>I_StartBouw</t>
        </is>
      </c>
      <c r="CG4" s="15" t="inlineStr">
        <is>
          <t>I_Oplevering</t>
        </is>
      </c>
      <c r="CH4" s="15" t="inlineStr">
        <is>
          <t>I_Risico</t>
        </is>
      </c>
      <c r="CI4" s="15" t="inlineStr">
        <is>
          <t>I_POC</t>
        </is>
      </c>
      <c r="CJ4" s="15" t="inlineStr">
        <is>
          <t>I_Orderintake</t>
        </is>
      </c>
      <c r="CK4" s="15" t="inlineStr">
        <is>
          <t>I_Marktsegment</t>
        </is>
      </c>
      <c r="CL4" s="15" t="inlineStr">
        <is>
          <t>I_Bedrijfsnaam</t>
        </is>
      </c>
      <c r="CM4" s="15" t="inlineStr">
        <is>
          <t>I_ProfitCenterNaam</t>
        </is>
      </c>
      <c r="CN4" s="15" t="inlineStr">
        <is>
          <t>I_StartVerk</t>
        </is>
      </c>
      <c r="CO4" s="15" t="inlineStr">
        <is>
          <t>I_EindOpl</t>
        </is>
      </c>
      <c r="CP4" s="15" t="inlineStr">
        <is>
          <t>W_Bruto</t>
        </is>
      </c>
      <c r="CQ4" s="15" t="inlineStr">
        <is>
          <t>Verlies</t>
        </is>
      </c>
      <c r="CR4" s="15" t="inlineStr">
        <is>
          <t>VerliesNr</t>
        </is>
      </c>
      <c r="CS4" s="15" t="inlineStr">
        <is>
          <t>VervallenNr</t>
        </is>
      </c>
      <c r="CT4" s="15" t="inlineStr">
        <is>
          <t>BorPct</t>
        </is>
      </c>
    </row>
    <row r="5" ht="42" customHeight="1">
      <c r="A5" s="115" t="inlineStr">
        <is>
          <t>WBS-element</t>
        </is>
      </c>
      <c r="B5" s="115" t="inlineStr">
        <is>
          <t>Projectdefinitie</t>
        </is>
      </c>
      <c r="C5" s="115" t="inlineStr">
        <is>
          <t>Projectnaam</t>
        </is>
      </c>
      <c r="D5" s="115" t="inlineStr">
        <is>
          <t>Type</t>
        </is>
      </c>
      <c r="E5" s="115" t="inlineStr">
        <is>
          <t>Segment (demo)</t>
        </is>
      </c>
      <c r="F5" s="115" t="inlineStr">
        <is>
          <t>Aandeel % (info)</t>
        </is>
      </c>
      <c r="G5" s="115" t="inlineStr">
        <is>
          <t>Woningen meetellen</t>
        </is>
      </c>
      <c r="H5" s="115" t="inlineStr">
        <is>
          <t>Aantal woningen (mapping)</t>
        </is>
      </c>
      <c r="I5" s="115" t="inlineStr">
        <is>
          <t>IFRS J/N</t>
        </is>
      </c>
      <c r="J5" s="115" t="inlineStr">
        <is>
          <t># regels ZPMW03</t>
        </is>
      </c>
      <c r="K5" s="115" t="inlineStr">
        <is>
          <t># regels Woningetalage</t>
        </is>
      </c>
      <c r="L5" s="115" t="inlineStr">
        <is>
          <t>Omzet actual YTD</t>
        </is>
      </c>
      <c r="M5" s="115" t="inlineStr">
        <is>
          <t>BOR actual YTD</t>
        </is>
      </c>
      <c r="N5" s="115" t="inlineStr">
        <is>
          <t>Omzet restant RJ</t>
        </is>
      </c>
      <c r="O5" s="115" t="inlineStr">
        <is>
          <t>BOR restant RJ</t>
        </is>
      </c>
      <c r="P5" s="115" t="inlineStr">
        <is>
          <t>Omzet FY RJ</t>
        </is>
      </c>
      <c r="Q5" s="115" t="inlineStr">
        <is>
          <t>BOR FY RJ</t>
        </is>
      </c>
      <c r="R5" s="115" t="inlineStr">
        <is>
          <t>Omzet FY RJ+1</t>
        </is>
      </c>
      <c r="S5" s="115" t="inlineStr">
        <is>
          <t>BOR FY RJ+1</t>
        </is>
      </c>
      <c r="T5" s="115" t="inlineStr">
        <is>
          <t>Omzet Q4 RJ</t>
        </is>
      </c>
      <c r="U5" s="115" t="inlineStr">
        <is>
          <t>BOR Q4 RJ</t>
        </is>
      </c>
      <c r="V5" s="115" t="inlineStr">
        <is>
          <t>Omzet RJ+1 Q1</t>
        </is>
      </c>
      <c r="W5" s="115" t="inlineStr">
        <is>
          <t>Omzet RJ+1 Q2</t>
        </is>
      </c>
      <c r="X5" s="115" t="inlineStr">
        <is>
          <t>Omzet RJ+1 Q3</t>
        </is>
      </c>
      <c r="Y5" s="115" t="inlineStr">
        <is>
          <t>Omzet RJ+1 Q4</t>
        </is>
      </c>
      <c r="Z5" s="115" t="inlineStr">
        <is>
          <t>BOR RJ+1 Q1</t>
        </is>
      </c>
      <c r="AA5" s="115" t="inlineStr">
        <is>
          <t>BOR RJ+1 Q2</t>
        </is>
      </c>
      <c r="AB5" s="115" t="inlineStr">
        <is>
          <t>BOR RJ+1 Q3</t>
        </is>
      </c>
      <c r="AC5" s="115" t="inlineStr">
        <is>
          <t>BOR RJ+1 Q4</t>
        </is>
      </c>
      <c r="AD5" s="115" t="inlineStr">
        <is>
          <t>Omzet RJ+2</t>
        </is>
      </c>
      <c r="AE5" s="115" t="inlineStr">
        <is>
          <t>Omzet RJ+3</t>
        </is>
      </c>
      <c r="AF5" s="115" t="inlineStr">
        <is>
          <t>Omzet RJ+4</t>
        </is>
      </c>
      <c r="AG5" s="115" t="inlineStr">
        <is>
          <t>Omzet RJ+5</t>
        </is>
      </c>
      <c r="AH5" s="115" t="inlineStr">
        <is>
          <t>Omzet RJ+6</t>
        </is>
      </c>
      <c r="AI5" s="115" t="inlineStr">
        <is>
          <t>Omzet RJ+7</t>
        </is>
      </c>
      <c r="AJ5" s="115" t="inlineStr">
        <is>
          <t>Omzet RJ+8</t>
        </is>
      </c>
      <c r="AK5" s="115" t="inlineStr">
        <is>
          <t>Omzet onverdeeld</t>
        </is>
      </c>
      <c r="AL5" s="115" t="inlineStr">
        <is>
          <t>BOR RJ+2</t>
        </is>
      </c>
      <c r="AM5" s="115" t="inlineStr">
        <is>
          <t>BOR RJ+3</t>
        </is>
      </c>
      <c r="AN5" s="115" t="inlineStr">
        <is>
          <t>BOR RJ+4</t>
        </is>
      </c>
      <c r="AO5" s="115" t="inlineStr">
        <is>
          <t>BOR RJ+5</t>
        </is>
      </c>
      <c r="AP5" s="115" t="inlineStr">
        <is>
          <t>BOR RJ+6</t>
        </is>
      </c>
      <c r="AQ5" s="115" t="inlineStr">
        <is>
          <t>BOR RJ+7</t>
        </is>
      </c>
      <c r="AR5" s="115" t="inlineStr">
        <is>
          <t>BOR RJ+8</t>
        </is>
      </c>
      <c r="AS5" s="115" t="inlineStr">
        <is>
          <t>BOR onverdeeld</t>
        </is>
      </c>
      <c r="AT5" s="115" t="inlineStr">
        <is>
          <t>Woningen Aantal</t>
        </is>
      </c>
      <c r="AU5" s="115" t="inlineStr">
        <is>
          <t>Woningen VJ_B</t>
        </is>
      </c>
      <c r="AV5" s="115" t="inlineStr">
        <is>
          <t>Woningen VJ_P</t>
        </is>
      </c>
      <c r="AW5" s="115" t="inlineStr">
        <is>
          <t>Woningen VJ_T</t>
        </is>
      </c>
      <c r="AX5" s="115" t="inlineStr">
        <is>
          <t>Woningen HJ_B</t>
        </is>
      </c>
      <c r="AY5" s="115" t="inlineStr">
        <is>
          <t>Woningen HJ_P</t>
        </is>
      </c>
      <c r="AZ5" s="115" t="inlineStr">
        <is>
          <t>Woningen HJ_T</t>
        </is>
      </c>
      <c r="BA5" s="115" t="inlineStr">
        <is>
          <t>Woningen Cum_B</t>
        </is>
      </c>
      <c r="BB5" s="115" t="inlineStr">
        <is>
          <t>Woningen Cum_P</t>
        </is>
      </c>
      <c r="BC5" s="115" t="inlineStr">
        <is>
          <t>Woningen Cum_T</t>
        </is>
      </c>
      <c r="BD5" s="115" t="inlineStr">
        <is>
          <t>Woningen Etalage</t>
        </is>
      </c>
      <c r="BE5" s="115" t="inlineStr">
        <is>
          <t>Woningen M01</t>
        </is>
      </c>
      <c r="BF5" s="115" t="inlineStr">
        <is>
          <t>Woningen M02</t>
        </is>
      </c>
      <c r="BG5" s="115" t="inlineStr">
        <is>
          <t>Woningen M03</t>
        </is>
      </c>
      <c r="BH5" s="115" t="inlineStr">
        <is>
          <t>Woningen M04</t>
        </is>
      </c>
      <c r="BI5" s="115" t="inlineStr">
        <is>
          <t>Woningen M05</t>
        </is>
      </c>
      <c r="BJ5" s="115" t="inlineStr">
        <is>
          <t>Woningen M06</t>
        </is>
      </c>
      <c r="BK5" s="115" t="inlineStr">
        <is>
          <t>Woningen M07</t>
        </is>
      </c>
      <c r="BL5" s="115" t="inlineStr">
        <is>
          <t>Woningen M08</t>
        </is>
      </c>
      <c r="BM5" s="115" t="inlineStr">
        <is>
          <t>Woningen M09</t>
        </is>
      </c>
      <c r="BN5" s="115" t="inlineStr">
        <is>
          <t>Woningen M10</t>
        </is>
      </c>
      <c r="BO5" s="115" t="inlineStr">
        <is>
          <t>Woningen M11</t>
        </is>
      </c>
      <c r="BP5" s="115" t="inlineStr">
        <is>
          <t>Woningen M12</t>
        </is>
      </c>
      <c r="BQ5" s="115" t="inlineStr">
        <is>
          <t>Woningen HQ1</t>
        </is>
      </c>
      <c r="BR5" s="115" t="inlineStr">
        <is>
          <t>Woningen HQ2</t>
        </is>
      </c>
      <c r="BS5" s="115" t="inlineStr">
        <is>
          <t>Woningen HQ3</t>
        </is>
      </c>
      <c r="BT5" s="115" t="inlineStr">
        <is>
          <t>Woningen HQ4</t>
        </is>
      </c>
      <c r="BU5" s="115" t="inlineStr">
        <is>
          <t>Woningen ActYTD</t>
        </is>
      </c>
      <c r="BV5" s="115" t="inlineStr">
        <is>
          <t>Woningen PrognoseRest</t>
        </is>
      </c>
      <c r="BW5" s="115" t="inlineStr">
        <is>
          <t>Woningen HuidigJaar</t>
        </is>
      </c>
      <c r="BX5" s="115" t="inlineStr">
        <is>
          <t>Woningen VolgendJaar</t>
        </is>
      </c>
      <c r="BY5" s="115" t="inlineStr">
        <is>
          <t>Woningen VQ1</t>
        </is>
      </c>
      <c r="BZ5" s="115" t="inlineStr">
        <is>
          <t>Woningen VQ2</t>
        </is>
      </c>
      <c r="CA5" s="115" t="inlineStr">
        <is>
          <t>Woningen VQ3</t>
        </is>
      </c>
      <c r="CB5" s="115" t="inlineStr">
        <is>
          <t>Woningen VQ4</t>
        </is>
      </c>
      <c r="CC5" s="115" t="inlineStr">
        <is>
          <t>Woningen Y_RJ2</t>
        </is>
      </c>
      <c r="CD5" s="115" t="inlineStr">
        <is>
          <t>Kans% (ZPMW03)</t>
        </is>
      </c>
      <c r="CE5" s="115" t="inlineStr">
        <is>
          <t>Status WBS</t>
        </is>
      </c>
      <c r="CF5" s="115" t="inlineStr">
        <is>
          <t>Start bouw</t>
        </is>
      </c>
      <c r="CG5" s="115" t="inlineStr">
        <is>
          <t>Maand oplevering</t>
        </is>
      </c>
      <c r="CH5" s="115" t="inlineStr">
        <is>
          <t>Risicoklasse</t>
        </is>
      </c>
      <c r="CI5" s="115" t="inlineStr">
        <is>
          <t>POC %</t>
        </is>
      </c>
      <c r="CJ5" s="115" t="inlineStr">
        <is>
          <t>Orderintake</t>
        </is>
      </c>
      <c r="CK5" s="115" t="inlineStr">
        <is>
          <t>Marktsegment</t>
        </is>
      </c>
      <c r="CL5" s="115" t="inlineStr">
        <is>
          <t>Bedrijfsnaam</t>
        </is>
      </c>
      <c r="CM5" s="115" t="inlineStr">
        <is>
          <t>Profitcenter</t>
        </is>
      </c>
      <c r="CN5" s="115" t="inlineStr">
        <is>
          <t>Start verkoop</t>
        </is>
      </c>
      <c r="CO5" s="115" t="inlineStr">
        <is>
          <t>Eind oplevering</t>
        </is>
      </c>
      <c r="CP5" s="115" t="inlineStr">
        <is>
          <t>Woningen bruto (afgeleid)</t>
        </is>
      </c>
      <c r="CQ5" s="115" t="inlineStr">
        <is>
          <t>Verlies (BOR FY RJ &lt; 0)</t>
        </is>
      </c>
      <c r="CR5" s="115" t="inlineStr">
        <is>
          <t>Volgnr verlies</t>
        </is>
      </c>
      <c r="CS5" s="115" t="inlineStr">
        <is>
          <t>Volgnr ontbreekt in ZPMW03</t>
        </is>
      </c>
      <c r="CT5" s="115" t="inlineStr">
        <is>
          <t>BOR % FY RJ</t>
        </is>
      </c>
    </row>
    <row r="6">
      <c r="A6" s="92" t="str">
        <f>IF(Mapping!$A5="","",Mapping!$A5)</f>
        <v>G.900001.8.9090</v>
      </c>
      <c r="B6" s="92" t="str">
        <f>IF(Mapping!$B5="","",Mapping!$B5)</f>
        <v>G.900001</v>
      </c>
      <c r="C6" s="92" t="str">
        <f>IF(Mapping!$C5="","",Mapping!$C5)</f>
        <v>Lindehaven, Parkzoom fase 1</v>
      </c>
      <c r="D6" s="92" t="str">
        <f>IF(Mapping!$F5="","",Mapping!$F5)</f>
        <v>Opstal</v>
      </c>
      <c r="E6" s="92" t="str">
        <f>IF(Mapping!$H5="","",Mapping!$H5)</f>
        <v>Grondgebonden</v>
      </c>
      <c r="F6" s="92">
        <f>IF(Mapping!$E5="","",Mapping!$E5)</f>
        <v>100</v>
      </c>
      <c r="G6" s="92" t="str">
        <f>IF(Mapping!$G5="","",Mapping!$G5)</f>
        <v>Ja</v>
      </c>
      <c r="H6" s="92">
        <f>IF(Mapping!$D5="","",Mapping!$D5)</f>
        <v>32</v>
      </c>
      <c r="I6" s="92" t="str">
        <f>IF($A6="","",IFERROR(INDEX(STG_ZPMW03!$C$6:$C$505,MATCH($A6,STG_ZPMW03!$B$6:$B$505,0)),"n.b."))</f>
        <v>J</v>
      </c>
      <c r="J6" s="116">
        <f>IF($A6="","",COUNTIF(STG_ZPMW03!$B$6:$B$505,$A6))</f>
        <v>1</v>
      </c>
      <c r="K6" s="116">
        <f>IF($A6="","",COUNTIF(STG_Woningetalage!$B$6:$B$505,$A6))</f>
        <v>1</v>
      </c>
      <c r="L6" s="117">
        <f>IF($A6="","",IF($J6=0,"n.b.",SUMIFS(STG_ZPMW03!$BK$6:$BK$505,STG_ZPMW03!$B$6:$B$505,$A6)))</f>
        <v>3635840</v>
      </c>
      <c r="M6" s="117">
        <f>IF($A6="","",IF($J6=0,"n.b.",SUMIFS(STG_ZPMW03!$BL$6:$BL$505,STG_ZPMW03!$B$6:$B$505,$A6)))</f>
        <v>327225.6</v>
      </c>
      <c r="N6" s="117">
        <f>IF($A6="","",IF($J6=0,"n.b.",SUMIFS(STG_ZPMW03!$BM$6:$BM$505,STG_ZPMW03!$B$6:$B$505,$A6)))</f>
        <v>1957760</v>
      </c>
      <c r="O6" s="117">
        <f>IF($A6="","",IF($J6=0,"n.b.",SUMIFS(STG_ZPMW03!$BN$6:$BN$505,STG_ZPMW03!$B$6:$B$505,$A6)))</f>
        <v>176198.4</v>
      </c>
      <c r="P6" s="117">
        <f>IF($A6="","",IF($J6=0,"n.b.",SUMIFS(STG_ZPMW03!$BO$6:$BO$505,STG_ZPMW03!$B$6:$B$505,$A6)))</f>
        <v>5593600</v>
      </c>
      <c r="Q6" s="117">
        <f>IF($A6="","",IF($J6=0,"n.b.",SUMIFS(STG_ZPMW03!$BP$6:$BP$505,STG_ZPMW03!$B$6:$B$505,$A6)))</f>
        <v>503424</v>
      </c>
      <c r="R6" s="117">
        <f>IF($A6="","",IF($J6=0,"n.b.",SUMIFS(STG_ZPMW03!$BQ$6:$BQ$505,STG_ZPMW03!$B$6:$B$505,$A6)))</f>
        <v>4496960</v>
      </c>
      <c r="S6" s="117">
        <f>IF($A6="","",IF($J6=0,"n.b.",SUMIFS(STG_ZPMW03!$BR$6:$BR$505,STG_ZPMW03!$B$6:$B$505,$A6)))</f>
        <v>404726.4</v>
      </c>
      <c r="T6" s="117">
        <f>IF($A6="","",IF($J6=0,"n.b.",SUMIFS(STG_ZPMW03!$BS$6:$BS$505,STG_ZPMW03!$B$6:$B$505,$A6)))</f>
        <v>1957760</v>
      </c>
      <c r="U6" s="117">
        <f>IF($A6="","",IF($J6=0,"n.b.",SUMIFS(STG_ZPMW03!$BT$6:$BT$505,STG_ZPMW03!$B$6:$B$505,$A6)))</f>
        <v>176198.4</v>
      </c>
      <c r="V6" s="117">
        <f>IF($A6="","",IF($J6=0,"n.b.",SUMIFS(STG_ZPMW03!$BU$6:$BU$505,STG_ZPMW03!$B$6:$B$505,$A6)))</f>
        <v>899392</v>
      </c>
      <c r="W6" s="117">
        <f>IF($A6="","",IF($J6=0,"n.b.",SUMIFS(STG_ZPMW03!$BW$6:$BW$505,STG_ZPMW03!$B$6:$B$505,$A6)))</f>
        <v>1124240</v>
      </c>
      <c r="X6" s="117">
        <f>IF($A6="","",IF($J6=0,"n.b.",SUMIFS(STG_ZPMW03!$BY$6:$BY$505,STG_ZPMW03!$B$6:$B$505,$A6)))</f>
        <v>1349088</v>
      </c>
      <c r="Y6" s="117">
        <f>IF($A6="","",IF($J6=0,"n.b.",SUMIFS(STG_ZPMW03!$CA$6:$CA$505,STG_ZPMW03!$B$6:$B$505,$A6)))</f>
        <v>1124240</v>
      </c>
      <c r="Z6" s="117">
        <f>IF($A6="","",IF($J6=0,"n.b.",SUMIFS(STG_ZPMW03!$BV$6:$BV$505,STG_ZPMW03!$B$6:$B$505,$A6)))</f>
        <v>80945.28</v>
      </c>
      <c r="AA6" s="117">
        <f>IF($A6="","",IF($J6=0,"n.b.",SUMIFS(STG_ZPMW03!$BX$6:$BX$505,STG_ZPMW03!$B$6:$B$505,$A6)))</f>
        <v>101181.6</v>
      </c>
      <c r="AB6" s="117">
        <f>IF($A6="","",IF($J6=0,"n.b.",SUMIFS(STG_ZPMW03!$BZ$6:$BZ$505,STG_ZPMW03!$B$6:$B$505,$A6)))</f>
        <v>121417.92</v>
      </c>
      <c r="AC6" s="117">
        <f>IF($A6="","",IF($J6=0,"n.b.",SUMIFS(STG_ZPMW03!$CB$6:$CB$505,STG_ZPMW03!$B$6:$B$505,$A6)))</f>
        <v>101181.6</v>
      </c>
      <c r="AD6" s="117">
        <f>IF($A6="","",IF($J6=0,"n.b.",SUMIFS(STG_ZPMW03!$CC$6:$CC$505,STG_ZPMW03!$B$6:$B$505,$A6)))</f>
        <v>2421440</v>
      </c>
      <c r="AE6" s="117">
        <f>IF($A6="","",IF($J6=0,"n.b.",SUMIFS(STG_ZPMW03!$CE$6:$CE$505,STG_ZPMW03!$B$6:$B$505,$A6)))</f>
        <v>0</v>
      </c>
      <c r="AF6" s="117">
        <f>IF($A6="","",IF($J6=0,"n.b.",SUMIFS(STG_ZPMW03!$CG$6:$CG$505,STG_ZPMW03!$B$6:$B$505,$A6)))</f>
        <v>0</v>
      </c>
      <c r="AG6" s="117">
        <f>IF($A6="","",IF($J6=0,"n.b.",SUMIFS(STG_ZPMW03!$CI$6:$CI$505,STG_ZPMW03!$B$6:$B$505,$A6)))</f>
        <v>0</v>
      </c>
      <c r="AH6" s="117">
        <f>IF($A6="","",IF($J6=0,"n.b.",SUMIFS(STG_ZPMW03!$CK$6:$CK$505,STG_ZPMW03!$B$6:$B$505,$A6)))</f>
        <v>0</v>
      </c>
      <c r="AI6" s="117">
        <f>IF($A6="","",IF($J6=0,"n.b.",SUMIFS(STG_ZPMW03!$CM$6:$CM$505,STG_ZPMW03!$B$6:$B$505,$A6)))</f>
        <v>0</v>
      </c>
      <c r="AJ6" s="117">
        <f>IF($A6="","",IF($J6=0,"n.b.",SUMIFS(STG_ZPMW03!$CO$6:$CO$505,STG_ZPMW03!$B$6:$B$505,$A6)))</f>
        <v>0</v>
      </c>
      <c r="AK6" s="117">
        <f>IF($A6="","",IF($J6=0,"n.b.",SUMIFS(STG_ZPMW03!$CQ$6:$CQ$505,STG_ZPMW03!$B$6:$B$505,$A6)))</f>
        <v>0</v>
      </c>
      <c r="AL6" s="117">
        <f>IF($A6="","",IF($J6=0,"n.b.",SUMIFS(STG_ZPMW03!$CD$6:$CD$505,STG_ZPMW03!$B$6:$B$505,$A6)))</f>
        <v>217929.6</v>
      </c>
      <c r="AM6" s="117">
        <f>IF($A6="","",IF($J6=0,"n.b.",SUMIFS(STG_ZPMW03!$CF$6:$CF$505,STG_ZPMW03!$B$6:$B$505,$A6)))</f>
        <v>0</v>
      </c>
      <c r="AN6" s="117">
        <f>IF($A6="","",IF($J6=0,"n.b.",SUMIFS(STG_ZPMW03!$CH$6:$CH$505,STG_ZPMW03!$B$6:$B$505,$A6)))</f>
        <v>0</v>
      </c>
      <c r="AO6" s="117">
        <f>IF($A6="","",IF($J6=0,"n.b.",SUMIFS(STG_ZPMW03!$CJ$6:$CJ$505,STG_ZPMW03!$B$6:$B$505,$A6)))</f>
        <v>0</v>
      </c>
      <c r="AP6" s="117">
        <f>IF($A6="","",IF($J6=0,"n.b.",SUMIFS(STG_ZPMW03!$CL$6:$CL$505,STG_ZPMW03!$B$6:$B$505,$A6)))</f>
        <v>0</v>
      </c>
      <c r="AQ6" s="117">
        <f>IF($A6="","",IF($J6=0,"n.b.",SUMIFS(STG_ZPMW03!$CN$6:$CN$505,STG_ZPMW03!$B$6:$B$505,$A6)))</f>
        <v>0</v>
      </c>
      <c r="AR6" s="117">
        <f>IF($A6="","",IF($J6=0,"n.b.",SUMIFS(STG_ZPMW03!$CP$6:$CP$505,STG_ZPMW03!$B$6:$B$505,$A6)))</f>
        <v>0</v>
      </c>
      <c r="AS6" s="117">
        <f>IF($A6="","",IF($J6=0,"n.b.",SUMIFS(STG_ZPMW03!$CR$6:$CR$505,STG_ZPMW03!$B$6:$B$505,$A6)))</f>
        <v>0</v>
      </c>
      <c r="AT6" s="117">
        <f>IF($A6="","",IF($K6=0,"n.b.",SUMIFS(STG_Woningetalage!$Q$6:$Q$505,STG_Woningetalage!$B$6:$B$505,$A6)))</f>
        <v>32</v>
      </c>
      <c r="AU6" s="117">
        <f>IF($A6="","",IF($K6=0,"n.b.",SUMIFS(STG_Woningetalage!$R$6:$R$505,STG_Woningetalage!$B$6:$B$505,$A6)))</f>
        <v>0</v>
      </c>
      <c r="AV6" s="117">
        <f>IF($A6="","",IF($K6=0,"n.b.",SUMIFS(STG_Woningetalage!$S$6:$S$505,STG_Woningetalage!$B$6:$B$505,$A6)))</f>
        <v>6</v>
      </c>
      <c r="AW6" s="117">
        <f>IF($A6="","",IF($K6=0,"n.b.",SUMIFS(STG_Woningetalage!$T$6:$T$505,STG_Woningetalage!$B$6:$B$505,$A6)))</f>
        <v>6</v>
      </c>
      <c r="AX6" s="117">
        <f>IF($A6="","",IF($K6=0,"n.b.",SUMIFS(STG_Woningetalage!$U$6:$U$505,STG_Woningetalage!$B$6:$B$505,$A6)))</f>
        <v>0</v>
      </c>
      <c r="AY6" s="117">
        <f>IF($A6="","",IF($K6=0,"n.b.",SUMIFS(STG_Woningetalage!$V$6:$V$505,STG_Woningetalage!$B$6:$B$505,$A6)))</f>
        <v>2</v>
      </c>
      <c r="AZ6" s="117">
        <f>IF($A6="","",IF($K6=0,"n.b.",SUMIFS(STG_Woningetalage!$W$6:$W$505,STG_Woningetalage!$B$6:$B$505,$A6)))</f>
        <v>2</v>
      </c>
      <c r="BA6" s="117">
        <f>IF($A6="","",IF($K6=0,"n.b.",SUMIFS(STG_Woningetalage!$X$6:$X$505,STG_Woningetalage!$B$6:$B$505,$A6)))</f>
        <v>0</v>
      </c>
      <c r="BB6" s="117">
        <f>IF($A6="","",IF($K6=0,"n.b.",SUMIFS(STG_Woningetalage!$Y$6:$Y$505,STG_Woningetalage!$B$6:$B$505,$A6)))</f>
        <v>8</v>
      </c>
      <c r="BC6" s="117">
        <f>IF($A6="","",IF($K6=0,"n.b.",SUMIFS(STG_Woningetalage!$Z$6:$Z$505,STG_Woningetalage!$B$6:$B$505,$A6)))</f>
        <v>8</v>
      </c>
      <c r="BD6" s="117">
        <f>IF($A6="","",IF($K6=0,"n.b.",SUMIFS(STG_Woningetalage!$AA$6:$AA$505,STG_Woningetalage!$B$6:$B$505,$A6)))</f>
        <v>24</v>
      </c>
      <c r="BE6" s="117">
        <f>IF($A6="","",IF($K6=0,"n.b.",SUMIFS(STG_Woningetalage!$AB$6:$AB$505,STG_Woningetalage!$B$6:$B$505,$A6)))</f>
        <v>0</v>
      </c>
      <c r="BF6" s="117">
        <f>IF($A6="","",IF($K6=0,"n.b.",SUMIFS(STG_Woningetalage!$AC$6:$AC$505,STG_Woningetalage!$B$6:$B$505,$A6)))</f>
        <v>0</v>
      </c>
      <c r="BG6" s="117">
        <f>IF($A6="","",IF($K6=0,"n.b.",SUMIFS(STG_Woningetalage!$AD$6:$AD$505,STG_Woningetalage!$B$6:$B$505,$A6)))</f>
        <v>0</v>
      </c>
      <c r="BH6" s="117">
        <f>IF($A6="","",IF($K6=0,"n.b.",SUMIFS(STG_Woningetalage!$AE$6:$AE$505,STG_Woningetalage!$B$6:$B$505,$A6)))</f>
        <v>0</v>
      </c>
      <c r="BI6" s="117">
        <f>IF($A6="","",IF($K6=0,"n.b.",SUMIFS(STG_Woningetalage!$AF$6:$AF$505,STG_Woningetalage!$B$6:$B$505,$A6)))</f>
        <v>1</v>
      </c>
      <c r="BJ6" s="117">
        <f>IF($A6="","",IF($K6=0,"n.b.",SUMIFS(STG_Woningetalage!$AG$6:$AG$505,STG_Woningetalage!$B$6:$B$505,$A6)))</f>
        <v>0</v>
      </c>
      <c r="BK6" s="117">
        <f>IF($A6="","",IF($K6=0,"n.b.",SUMIFS(STG_Woningetalage!$AH$6:$AH$505,STG_Woningetalage!$B$6:$B$505,$A6)))</f>
        <v>0</v>
      </c>
      <c r="BL6" s="117">
        <f>IF($A6="","",IF($K6=0,"n.b.",SUMIFS(STG_Woningetalage!$AI$6:$AI$505,STG_Woningetalage!$B$6:$B$505,$A6)))</f>
        <v>1</v>
      </c>
      <c r="BM6" s="117">
        <f>IF($A6="","",IF($K6=0,"n.b.",SUMIFS(STG_Woningetalage!$AJ$6:$AJ$505,STG_Woningetalage!$B$6:$B$505,$A6)))</f>
        <v>0</v>
      </c>
      <c r="BN6" s="117">
        <f>IF($A6="","",IF($K6=0,"n.b.",SUMIFS(STG_Woningetalage!$AK$6:$AK$505,STG_Woningetalage!$B$6:$B$505,$A6)))</f>
        <v>0</v>
      </c>
      <c r="BO6" s="117">
        <f>IF($A6="","",IF($K6=0,"n.b.",SUMIFS(STG_Woningetalage!$AL$6:$AL$505,STG_Woningetalage!$B$6:$B$505,$A6)))</f>
        <v>0</v>
      </c>
      <c r="BP6" s="117">
        <f>IF($A6="","",IF($K6=0,"n.b.",SUMIFS(STG_Woningetalage!$AM$6:$AM$505,STG_Woningetalage!$B$6:$B$505,$A6)))</f>
        <v>6</v>
      </c>
      <c r="BQ6" s="117">
        <f>IF($A6="","",IF($K6=0,"n.b.",SUMIFS(STG_Woningetalage!$BE$6:$BE$505,STG_Woningetalage!$B$6:$B$505,$A6)))</f>
        <v>0</v>
      </c>
      <c r="BR6" s="117">
        <f>IF($A6="","",IF($K6=0,"n.b.",SUMIFS(STG_Woningetalage!$BF$6:$BF$505,STG_Woningetalage!$B$6:$B$505,$A6)))</f>
        <v>1</v>
      </c>
      <c r="BS6" s="117">
        <f>IF($A6="","",IF($K6=0,"n.b.",SUMIFS(STG_Woningetalage!$BG$6:$BG$505,STG_Woningetalage!$B$6:$B$505,$A6)))</f>
        <v>1</v>
      </c>
      <c r="BT6" s="117">
        <f>IF($A6="","",IF($K6=0,"n.b.",SUMIFS(STG_Woningetalage!$BH$6:$BH$505,STG_Woningetalage!$B$6:$B$505,$A6)))</f>
        <v>6</v>
      </c>
      <c r="BU6" s="117">
        <f>IF($A6="","",IF($K6=0,"n.b.",SUMIFS(STG_Woningetalage!$BI$6:$BI$505,STG_Woningetalage!$B$6:$B$505,$A6)))</f>
        <v>2</v>
      </c>
      <c r="BV6" s="117">
        <f>IF($A6="","",IF($K6=0,"n.b.",SUMIFS(STG_Woningetalage!$BJ$6:$BJ$505,STG_Woningetalage!$B$6:$B$505,$A6)))</f>
        <v>6</v>
      </c>
      <c r="BW6" s="117">
        <f>IF($A6="","",IF($K6=0,"n.b.",SUMIFS(STG_Woningetalage!$AR$6:$AR$505,STG_Woningetalage!$B$6:$B$505,$A6)))</f>
        <v>8</v>
      </c>
      <c r="BX6" s="117">
        <f>IF($A6="","",IF($K6=0,"n.b.",SUMIFS(STG_Woningetalage!$AS$6:$AS$505,STG_Woningetalage!$B$6:$B$505,$A6)))</f>
        <v>12</v>
      </c>
      <c r="BY6" s="117">
        <f>IF($A6="","",IF($K6=0,"n.b.",SUMIFS(STG_Woningetalage!$AN$6:$AN$505,STG_Woningetalage!$B$6:$B$505,$A6)))</f>
        <v>3</v>
      </c>
      <c r="BZ6" s="117">
        <f>IF($A6="","",IF($K6=0,"n.b.",SUMIFS(STG_Woningetalage!$AO$6:$AO$505,STG_Woningetalage!$B$6:$B$505,$A6)))</f>
        <v>3</v>
      </c>
      <c r="CA6" s="117">
        <f>IF($A6="","",IF($K6=0,"n.b.",SUMIFS(STG_Woningetalage!$AP$6:$AP$505,STG_Woningetalage!$B$6:$B$505,$A6)))</f>
        <v>3</v>
      </c>
      <c r="CB6" s="117">
        <f>IF($A6="","",IF($K6=0,"n.b.",SUMIFS(STG_Woningetalage!$AQ$6:$AQ$505,STG_Woningetalage!$B$6:$B$505,$A6)))</f>
        <v>3</v>
      </c>
      <c r="CC6" s="117">
        <f>IF($A6="","",IF($K6=0,"n.b.",SUMIFS(STG_Woningetalage!$AU$6:$AU$505,STG_Woningetalage!$B$6:$B$505,$A6)))</f>
        <v>6</v>
      </c>
      <c r="CD6" s="92">
        <f>IF($A6="","",IFERROR(INDEX(STG_ZPMW03!$L$6:$L$505,MATCH($A6,STG_ZPMW03!$B$6:$B$505,0)),"n.b."))</f>
        <v>100</v>
      </c>
      <c r="CE6" s="92" t="str">
        <f>IF($A6="","",IFERROR(INDEX(STG_ZPMW03!$K$6:$K$505,MATCH($A6,STG_ZPMW03!$B$6:$B$505,0)),"n.b."))</f>
        <v>VRIJ VEN3</v>
      </c>
      <c r="CF6" s="92">
        <f>IF($A6="","",IFERROR(INDEX(STG_ZPMW03!$BH$6:$BH$505,MATCH($A6,STG_ZPMW03!$B$6:$B$505,0)),"n.b."))</f>
        <v>46023.0</v>
      </c>
      <c r="CG6" s="92">
        <f>IF($A6="","",IFERROR(INDEX(STG_ZPMW03!$BI$6:$BI$505,MATCH($A6,STG_ZPMW03!$B$6:$B$505,0)),"n.b."))</f>
        <v>202812</v>
      </c>
      <c r="CH6" s="92">
        <f>IF($A6="","",IFERROR(INDEX(STG_ZPMW03!$BJ$6:$BJ$505,MATCH($A6,STG_ZPMW03!$B$6:$B$505,0)),"n.b."))</f>
        <v>1</v>
      </c>
      <c r="CI6" s="92">
        <f>IF($A6="","",IFERROR(INDEX(STG_ZPMW03!$BF$6:$BF$505,MATCH($A6,STG_ZPMW03!$B$6:$B$505,0)),"n.b."))</f>
        <v>39.7</v>
      </c>
      <c r="CJ6" s="92">
        <f>IF($A6="","",IFERROR(INDEX(STG_ZPMW03!$BG$6:$BG$505,MATCH($A6,STG_ZPMW03!$B$6:$B$505,0)),"n.b."))</f>
        <v>45658.0</v>
      </c>
      <c r="CK6" s="92" t="str">
        <f>IF($A6="","",IFERROR(INDEX(STG_ZPMW03!$H$6:$H$505,MATCH($A6,STG_ZPMW03!$B$6:$B$505,0)),"n.b."))</f>
        <v>WO-Wonen</v>
      </c>
      <c r="CL6" s="92" t="str">
        <f>IF($A6="","",IFERROR(INDEX(STG_ZPMW03!$E$6:$E$505,MATCH($A6,STG_ZPMW03!$B$6:$B$505,0)),"n.b."))</f>
        <v>Demo Ontwikkeling BV</v>
      </c>
      <c r="CM6" s="92" t="str">
        <f>IF($A6="","",IFERROR(INDEX(STG_ZPMW03!$G$6:$G$505,MATCH($A6,STG_ZPMW03!$B$6:$B$505,0)),"n.b."))</f>
        <v>Demo Regio</v>
      </c>
      <c r="CN6" s="92">
        <f>IF($A6="","",IFERROR(INDEX(STG_Woningetalage!$N$6:$N$505,MATCH($A6,STG_Woningetalage!$B$6:$B$505,0)),"n.b."))</f>
        <v>45931.0</v>
      </c>
      <c r="CO6" s="92">
        <f>IF($A6="","",IFERROR(INDEX(STG_Woningetalage!$P$6:$P$505,MATCH($A6,STG_Woningetalage!$B$6:$B$505,0)),"n.b."))</f>
        <v>47088.0</v>
      </c>
      <c r="CP6" s="118">
        <f>IF($A6="","",IF(AND(ISNUMBER(AT6),ISNUMBER(F6)),IF(F6&gt;0,AT6/(F6/100),"n.b."),"n.b."))</f>
        <v>32</v>
      </c>
      <c r="CQ6" s="116">
        <f>IF($A6="","",IF(ISNUMBER(Q6),IF(Q6&lt;0,1,0),0))</f>
        <v>0</v>
      </c>
      <c r="CR6" s="116" t="str">
        <f>IF(CQ6=1,COUNTIF($CQ$6:CQ6,1),"")</f>
        <v/>
      </c>
      <c r="CS6" s="116" t="str">
        <f>IF(AND($A6&lt;&gt;"",$J6=0),COUNTIFS($A$6:$A6,"?*",$J$6:$J6,0),"")</f>
        <v/>
      </c>
      <c r="CT6" s="119">
        <f>IF($A6="","",IF(AND(ISNUMBER(Q6),ISNUMBER(P6)),IF(P6&lt;&gt;0,Q6/P6,"n.b."),"n.b."))</f>
        <v>0.09</v>
      </c>
    </row>
    <row r="7">
      <c r="A7" s="92" t="str">
        <f>IF(Mapping!$A6="","",Mapping!$A6)</f>
        <v>G.900002.8.9090</v>
      </c>
      <c r="B7" s="92" t="str">
        <f>IF(Mapping!$B6="","",Mapping!$B6)</f>
        <v>G.900002</v>
      </c>
      <c r="C7" s="92" t="str">
        <f>IF(Mapping!$C6="","",Mapping!$C6)</f>
        <v>Duinwaard, De Watergaarde</v>
      </c>
      <c r="D7" s="92" t="str">
        <f>IF(Mapping!$F6="","",Mapping!$F6)</f>
        <v>Opstal</v>
      </c>
      <c r="E7" s="92" t="str">
        <f>IF(Mapping!$H6="","",Mapping!$H6)</f>
        <v>Appartement</v>
      </c>
      <c r="F7" s="92">
        <f>IF(Mapping!$E6="","",Mapping!$E6)</f>
        <v>100</v>
      </c>
      <c r="G7" s="92" t="str">
        <f>IF(Mapping!$G6="","",Mapping!$G6)</f>
        <v>Ja</v>
      </c>
      <c r="H7" s="92">
        <f>IF(Mapping!$D6="","",Mapping!$D6)</f>
        <v>48</v>
      </c>
      <c r="I7" s="92" t="str">
        <f>IF($A7="","",IFERROR(INDEX(STG_ZPMW03!$C$6:$C$505,MATCH($A7,STG_ZPMW03!$B$6:$B$505,0)),"n.b."))</f>
        <v>J</v>
      </c>
      <c r="J7" s="116">
        <f>IF($A7="","",COUNTIF(STG_ZPMW03!$B$6:$B$505,$A7))</f>
        <v>1</v>
      </c>
      <c r="K7" s="116">
        <f>IF($A7="","",COUNTIF(STG_Woningetalage!$B$6:$B$505,$A7))</f>
        <v>1</v>
      </c>
      <c r="L7" s="117">
        <f>IF($A7="","",IF($J7=0,"n.b.",SUMIFS(STG_ZPMW03!$BK$6:$BK$505,STG_ZPMW03!$B$6:$B$505,$A7)))</f>
        <v>2418000</v>
      </c>
      <c r="M7" s="117">
        <f>IF($A7="","",IF($J7=0,"n.b.",SUMIFS(STG_ZPMW03!$BL$6:$BL$505,STG_ZPMW03!$B$6:$B$505,$A7)))</f>
        <v>290160</v>
      </c>
      <c r="N7" s="117">
        <f>IF($A7="","",IF($J7=0,"n.b.",SUMIFS(STG_ZPMW03!$BM$6:$BM$505,STG_ZPMW03!$B$6:$B$505,$A7)))</f>
        <v>1302000</v>
      </c>
      <c r="O7" s="117">
        <f>IF($A7="","",IF($J7=0,"n.b.",SUMIFS(STG_ZPMW03!$BN$6:$BN$505,STG_ZPMW03!$B$6:$B$505,$A7)))</f>
        <v>156240</v>
      </c>
      <c r="P7" s="117">
        <f>IF($A7="","",IF($J7=0,"n.b.",SUMIFS(STG_ZPMW03!$BO$6:$BO$505,STG_ZPMW03!$B$6:$B$505,$A7)))</f>
        <v>3720000</v>
      </c>
      <c r="Q7" s="117">
        <f>IF($A7="","",IF($J7=0,"n.b.",SUMIFS(STG_ZPMW03!$BP$6:$BP$505,STG_ZPMW03!$B$6:$B$505,$A7)))</f>
        <v>446400</v>
      </c>
      <c r="R7" s="117">
        <f>IF($A7="","",IF($J7=0,"n.b.",SUMIFS(STG_ZPMW03!$BQ$6:$BQ$505,STG_ZPMW03!$B$6:$B$505,$A7)))</f>
        <v>5803200</v>
      </c>
      <c r="S7" s="117">
        <f>IF($A7="","",IF($J7=0,"n.b.",SUMIFS(STG_ZPMW03!$BR$6:$BR$505,STG_ZPMW03!$B$6:$B$505,$A7)))</f>
        <v>696384</v>
      </c>
      <c r="T7" s="117">
        <f>IF($A7="","",IF($J7=0,"n.b.",SUMIFS(STG_ZPMW03!$BS$6:$BS$505,STG_ZPMW03!$B$6:$B$505,$A7)))</f>
        <v>1302000</v>
      </c>
      <c r="U7" s="117">
        <f>IF($A7="","",IF($J7=0,"n.b.",SUMIFS(STG_ZPMW03!$BT$6:$BT$505,STG_ZPMW03!$B$6:$B$505,$A7)))</f>
        <v>156240</v>
      </c>
      <c r="V7" s="117">
        <f>IF($A7="","",IF($J7=0,"n.b.",SUMIFS(STG_ZPMW03!$BU$6:$BU$505,STG_ZPMW03!$B$6:$B$505,$A7)))</f>
        <v>1160640</v>
      </c>
      <c r="W7" s="117">
        <f>IF($A7="","",IF($J7=0,"n.b.",SUMIFS(STG_ZPMW03!$BW$6:$BW$505,STG_ZPMW03!$B$6:$B$505,$A7)))</f>
        <v>1450800</v>
      </c>
      <c r="X7" s="117">
        <f>IF($A7="","",IF($J7=0,"n.b.",SUMIFS(STG_ZPMW03!$BY$6:$BY$505,STG_ZPMW03!$B$6:$B$505,$A7)))</f>
        <v>1740960</v>
      </c>
      <c r="Y7" s="117">
        <f>IF($A7="","",IF($J7=0,"n.b.",SUMIFS(STG_ZPMW03!$CA$6:$CA$505,STG_ZPMW03!$B$6:$B$505,$A7)))</f>
        <v>1450800</v>
      </c>
      <c r="Z7" s="117">
        <f>IF($A7="","",IF($J7=0,"n.b.",SUMIFS(STG_ZPMW03!$BV$6:$BV$505,STG_ZPMW03!$B$6:$B$505,$A7)))</f>
        <v>139276.8</v>
      </c>
      <c r="AA7" s="117">
        <f>IF($A7="","",IF($J7=0,"n.b.",SUMIFS(STG_ZPMW03!$BX$6:$BX$505,STG_ZPMW03!$B$6:$B$505,$A7)))</f>
        <v>174096</v>
      </c>
      <c r="AB7" s="117">
        <f>IF($A7="","",IF($J7=0,"n.b.",SUMIFS(STG_ZPMW03!$BZ$6:$BZ$505,STG_ZPMW03!$B$6:$B$505,$A7)))</f>
        <v>208915.2</v>
      </c>
      <c r="AC7" s="117">
        <f>IF($A7="","",IF($J7=0,"n.b.",SUMIFS(STG_ZPMW03!$CB$6:$CB$505,STG_ZPMW03!$B$6:$B$505,$A7)))</f>
        <v>174096</v>
      </c>
      <c r="AD7" s="117">
        <f>IF($A7="","",IF($J7=0,"n.b.",SUMIFS(STG_ZPMW03!$CC$6:$CC$505,STG_ZPMW03!$B$6:$B$505,$A7)))</f>
        <v>3124800</v>
      </c>
      <c r="AE7" s="117">
        <f>IF($A7="","",IF($J7=0,"n.b.",SUMIFS(STG_ZPMW03!$CE$6:$CE$505,STG_ZPMW03!$B$6:$B$505,$A7)))</f>
        <v>0</v>
      </c>
      <c r="AF7" s="117">
        <f>IF($A7="","",IF($J7=0,"n.b.",SUMIFS(STG_ZPMW03!$CG$6:$CG$505,STG_ZPMW03!$B$6:$B$505,$A7)))</f>
        <v>0</v>
      </c>
      <c r="AG7" s="117">
        <f>IF($A7="","",IF($J7=0,"n.b.",SUMIFS(STG_ZPMW03!$CI$6:$CI$505,STG_ZPMW03!$B$6:$B$505,$A7)))</f>
        <v>0</v>
      </c>
      <c r="AH7" s="117">
        <f>IF($A7="","",IF($J7=0,"n.b.",SUMIFS(STG_ZPMW03!$CK$6:$CK$505,STG_ZPMW03!$B$6:$B$505,$A7)))</f>
        <v>0</v>
      </c>
      <c r="AI7" s="117">
        <f>IF($A7="","",IF($J7=0,"n.b.",SUMIFS(STG_ZPMW03!$CM$6:$CM$505,STG_ZPMW03!$B$6:$B$505,$A7)))</f>
        <v>0</v>
      </c>
      <c r="AJ7" s="117">
        <f>IF($A7="","",IF($J7=0,"n.b.",SUMIFS(STG_ZPMW03!$CO$6:$CO$505,STG_ZPMW03!$B$6:$B$505,$A7)))</f>
        <v>0</v>
      </c>
      <c r="AK7" s="117">
        <f>IF($A7="","",IF($J7=0,"n.b.",SUMIFS(STG_ZPMW03!$CQ$6:$CQ$505,STG_ZPMW03!$B$6:$B$505,$A7)))</f>
        <v>0</v>
      </c>
      <c r="AL7" s="117">
        <f>IF($A7="","",IF($J7=0,"n.b.",SUMIFS(STG_ZPMW03!$CD$6:$CD$505,STG_ZPMW03!$B$6:$B$505,$A7)))</f>
        <v>374976</v>
      </c>
      <c r="AM7" s="117">
        <f>IF($A7="","",IF($J7=0,"n.b.",SUMIFS(STG_ZPMW03!$CF$6:$CF$505,STG_ZPMW03!$B$6:$B$505,$A7)))</f>
        <v>0</v>
      </c>
      <c r="AN7" s="117">
        <f>IF($A7="","",IF($J7=0,"n.b.",SUMIFS(STG_ZPMW03!$CH$6:$CH$505,STG_ZPMW03!$B$6:$B$505,$A7)))</f>
        <v>0</v>
      </c>
      <c r="AO7" s="117">
        <f>IF($A7="","",IF($J7=0,"n.b.",SUMIFS(STG_ZPMW03!$CJ$6:$CJ$505,STG_ZPMW03!$B$6:$B$505,$A7)))</f>
        <v>0</v>
      </c>
      <c r="AP7" s="117">
        <f>IF($A7="","",IF($J7=0,"n.b.",SUMIFS(STG_ZPMW03!$CL$6:$CL$505,STG_ZPMW03!$B$6:$B$505,$A7)))</f>
        <v>0</v>
      </c>
      <c r="AQ7" s="117">
        <f>IF($A7="","",IF($J7=0,"n.b.",SUMIFS(STG_ZPMW03!$CN$6:$CN$505,STG_ZPMW03!$B$6:$B$505,$A7)))</f>
        <v>0</v>
      </c>
      <c r="AR7" s="117">
        <f>IF($A7="","",IF($J7=0,"n.b.",SUMIFS(STG_ZPMW03!$CP$6:$CP$505,STG_ZPMW03!$B$6:$B$505,$A7)))</f>
        <v>0</v>
      </c>
      <c r="AS7" s="117">
        <f>IF($A7="","",IF($J7=0,"n.b.",SUMIFS(STG_ZPMW03!$CR$6:$CR$505,STG_ZPMW03!$B$6:$B$505,$A7)))</f>
        <v>0</v>
      </c>
      <c r="AT7" s="117">
        <f>IF($A7="","",IF($K7=0,"n.b.",SUMIFS(STG_Woningetalage!$Q$6:$Q$505,STG_Woningetalage!$B$6:$B$505,$A7)))</f>
        <v>48</v>
      </c>
      <c r="AU7" s="117">
        <f>IF($A7="","",IF($K7=0,"n.b.",SUMIFS(STG_Woningetalage!$R$6:$R$505,STG_Woningetalage!$B$6:$B$505,$A7)))</f>
        <v>0</v>
      </c>
      <c r="AV7" s="117">
        <f>IF($A7="","",IF($K7=0,"n.b.",SUMIFS(STG_Woningetalage!$S$6:$S$505,STG_Woningetalage!$B$6:$B$505,$A7)))</f>
        <v>9</v>
      </c>
      <c r="AW7" s="117">
        <f>IF($A7="","",IF($K7=0,"n.b.",SUMIFS(STG_Woningetalage!$T$6:$T$505,STG_Woningetalage!$B$6:$B$505,$A7)))</f>
        <v>9</v>
      </c>
      <c r="AX7" s="117">
        <f>IF($A7="","",IF($K7=0,"n.b.",SUMIFS(STG_Woningetalage!$U$6:$U$505,STG_Woningetalage!$B$6:$B$505,$A7)))</f>
        <v>0</v>
      </c>
      <c r="AY7" s="117">
        <f>IF($A7="","",IF($K7=0,"n.b.",SUMIFS(STG_Woningetalage!$V$6:$V$505,STG_Woningetalage!$B$6:$B$505,$A7)))</f>
        <v>7</v>
      </c>
      <c r="AZ7" s="117">
        <f>IF($A7="","",IF($K7=0,"n.b.",SUMIFS(STG_Woningetalage!$W$6:$W$505,STG_Woningetalage!$B$6:$B$505,$A7)))</f>
        <v>7</v>
      </c>
      <c r="BA7" s="117">
        <f>IF($A7="","",IF($K7=0,"n.b.",SUMIFS(STG_Woningetalage!$X$6:$X$505,STG_Woningetalage!$B$6:$B$505,$A7)))</f>
        <v>0</v>
      </c>
      <c r="BB7" s="117">
        <f>IF($A7="","",IF($K7=0,"n.b.",SUMIFS(STG_Woningetalage!$Y$6:$Y$505,STG_Woningetalage!$B$6:$B$505,$A7)))</f>
        <v>16</v>
      </c>
      <c r="BC7" s="117">
        <f>IF($A7="","",IF($K7=0,"n.b.",SUMIFS(STG_Woningetalage!$Z$6:$Z$505,STG_Woningetalage!$B$6:$B$505,$A7)))</f>
        <v>16</v>
      </c>
      <c r="BD7" s="117">
        <f>IF($A7="","",IF($K7=0,"n.b.",SUMIFS(STG_Woningetalage!$AA$6:$AA$505,STG_Woningetalage!$B$6:$B$505,$A7)))</f>
        <v>32</v>
      </c>
      <c r="BE7" s="117">
        <f>IF($A7="","",IF($K7=0,"n.b.",SUMIFS(STG_Woningetalage!$AB$6:$AB$505,STG_Woningetalage!$B$6:$B$505,$A7)))</f>
        <v>0</v>
      </c>
      <c r="BF7" s="117">
        <f>IF($A7="","",IF($K7=0,"n.b.",SUMIFS(STG_Woningetalage!$AC$6:$AC$505,STG_Woningetalage!$B$6:$B$505,$A7)))</f>
        <v>0</v>
      </c>
      <c r="BG7" s="117">
        <f>IF($A7="","",IF($K7=0,"n.b.",SUMIFS(STG_Woningetalage!$AD$6:$AD$505,STG_Woningetalage!$B$6:$B$505,$A7)))</f>
        <v>1</v>
      </c>
      <c r="BH7" s="117">
        <f>IF($A7="","",IF($K7=0,"n.b.",SUMIFS(STG_Woningetalage!$AE$6:$AE$505,STG_Woningetalage!$B$6:$B$505,$A7)))</f>
        <v>1</v>
      </c>
      <c r="BI7" s="117">
        <f>IF($A7="","",IF($K7=0,"n.b.",SUMIFS(STG_Woningetalage!$AF$6:$AF$505,STG_Woningetalage!$B$6:$B$505,$A7)))</f>
        <v>1</v>
      </c>
      <c r="BJ7" s="117">
        <f>IF($A7="","",IF($K7=0,"n.b.",SUMIFS(STG_Woningetalage!$AG$6:$AG$505,STG_Woningetalage!$B$6:$B$505,$A7)))</f>
        <v>1</v>
      </c>
      <c r="BK7" s="117">
        <f>IF($A7="","",IF($K7=0,"n.b.",SUMIFS(STG_Woningetalage!$AH$6:$AH$505,STG_Woningetalage!$B$6:$B$505,$A7)))</f>
        <v>1</v>
      </c>
      <c r="BL7" s="117">
        <f>IF($A7="","",IF($K7=0,"n.b.",SUMIFS(STG_Woningetalage!$AI$6:$AI$505,STG_Woningetalage!$B$6:$B$505,$A7)))</f>
        <v>1</v>
      </c>
      <c r="BM7" s="117">
        <f>IF($A7="","",IF($K7=0,"n.b.",SUMIFS(STG_Woningetalage!$AJ$6:$AJ$505,STG_Woningetalage!$B$6:$B$505,$A7)))</f>
        <v>1</v>
      </c>
      <c r="BN7" s="117">
        <f>IF($A7="","",IF($K7=0,"n.b.",SUMIFS(STG_Woningetalage!$AK$6:$AK$505,STG_Woningetalage!$B$6:$B$505,$A7)))</f>
        <v>0</v>
      </c>
      <c r="BO7" s="117">
        <f>IF($A7="","",IF($K7=0,"n.b.",SUMIFS(STG_Woningetalage!$AL$6:$AL$505,STG_Woningetalage!$B$6:$B$505,$A7)))</f>
        <v>0</v>
      </c>
      <c r="BP7" s="117">
        <f>IF($A7="","",IF($K7=0,"n.b.",SUMIFS(STG_Woningetalage!$AM$6:$AM$505,STG_Woningetalage!$B$6:$B$505,$A7)))</f>
        <v>6</v>
      </c>
      <c r="BQ7" s="117">
        <f>IF($A7="","",IF($K7=0,"n.b.",SUMIFS(STG_Woningetalage!$BE$6:$BE$505,STG_Woningetalage!$B$6:$B$505,$A7)))</f>
        <v>1</v>
      </c>
      <c r="BR7" s="117">
        <f>IF($A7="","",IF($K7=0,"n.b.",SUMIFS(STG_Woningetalage!$BF$6:$BF$505,STG_Woningetalage!$B$6:$B$505,$A7)))</f>
        <v>3</v>
      </c>
      <c r="BS7" s="117">
        <f>IF($A7="","",IF($K7=0,"n.b.",SUMIFS(STG_Woningetalage!$BG$6:$BG$505,STG_Woningetalage!$B$6:$B$505,$A7)))</f>
        <v>3</v>
      </c>
      <c r="BT7" s="117">
        <f>IF($A7="","",IF($K7=0,"n.b.",SUMIFS(STG_Woningetalage!$BH$6:$BH$505,STG_Woningetalage!$B$6:$B$505,$A7)))</f>
        <v>6</v>
      </c>
      <c r="BU7" s="117">
        <f>IF($A7="","",IF($K7=0,"n.b.",SUMIFS(STG_Woningetalage!$BI$6:$BI$505,STG_Woningetalage!$B$6:$B$505,$A7)))</f>
        <v>7</v>
      </c>
      <c r="BV7" s="117">
        <f>IF($A7="","",IF($K7=0,"n.b.",SUMIFS(STG_Woningetalage!$BJ$6:$BJ$505,STG_Woningetalage!$B$6:$B$505,$A7)))</f>
        <v>6</v>
      </c>
      <c r="BW7" s="117">
        <f>IF($A7="","",IF($K7=0,"n.b.",SUMIFS(STG_Woningetalage!$AR$6:$AR$505,STG_Woningetalage!$B$6:$B$505,$A7)))</f>
        <v>13</v>
      </c>
      <c r="BX7" s="117">
        <f>IF($A7="","",IF($K7=0,"n.b.",SUMIFS(STG_Woningetalage!$AS$6:$AS$505,STG_Woningetalage!$B$6:$B$505,$A7)))</f>
        <v>17</v>
      </c>
      <c r="BY7" s="117">
        <f>IF($A7="","",IF($K7=0,"n.b.",SUMIFS(STG_Woningetalage!$AN$6:$AN$505,STG_Woningetalage!$B$6:$B$505,$A7)))</f>
        <v>5</v>
      </c>
      <c r="BZ7" s="117">
        <f>IF($A7="","",IF($K7=0,"n.b.",SUMIFS(STG_Woningetalage!$AO$6:$AO$505,STG_Woningetalage!$B$6:$B$505,$A7)))</f>
        <v>4</v>
      </c>
      <c r="CA7" s="117">
        <f>IF($A7="","",IF($K7=0,"n.b.",SUMIFS(STG_Woningetalage!$AP$6:$AP$505,STG_Woningetalage!$B$6:$B$505,$A7)))</f>
        <v>4</v>
      </c>
      <c r="CB7" s="117">
        <f>IF($A7="","",IF($K7=0,"n.b.",SUMIFS(STG_Woningetalage!$AQ$6:$AQ$505,STG_Woningetalage!$B$6:$B$505,$A7)))</f>
        <v>4</v>
      </c>
      <c r="CC7" s="117">
        <f>IF($A7="","",IF($K7=0,"n.b.",SUMIFS(STG_Woningetalage!$AU$6:$AU$505,STG_Woningetalage!$B$6:$B$505,$A7)))</f>
        <v>9</v>
      </c>
      <c r="CD7" s="92">
        <f>IF($A7="","",IFERROR(INDEX(STG_ZPMW03!$L$6:$L$505,MATCH($A7,STG_ZPMW03!$B$6:$B$505,0)),"n.b."))</f>
        <v>80</v>
      </c>
      <c r="CE7" s="92" t="str">
        <f>IF($A7="","",IFERROR(INDEX(STG_ZPMW03!$K$6:$K$505,MATCH($A7,STG_ZPMW03!$B$6:$B$505,0)),"n.b."))</f>
        <v>VRIJ VEN3</v>
      </c>
      <c r="CF7" s="92">
        <f>IF($A7="","",IFERROR(INDEX(STG_ZPMW03!$BH$6:$BH$505,MATCH($A7,STG_ZPMW03!$B$6:$B$505,0)),"n.b."))</f>
        <v>46054.0</v>
      </c>
      <c r="CG7" s="92">
        <f>IF($A7="","",IFERROR(INDEX(STG_ZPMW03!$BI$6:$BI$505,MATCH($A7,STG_ZPMW03!$B$6:$B$505,0)),"n.b."))</f>
        <v>202812</v>
      </c>
      <c r="CH7" s="92">
        <f>IF($A7="","",IFERROR(INDEX(STG_ZPMW03!$BJ$6:$BJ$505,MATCH($A7,STG_ZPMW03!$B$6:$B$505,0)),"n.b."))</f>
        <v>2</v>
      </c>
      <c r="CI7" s="92">
        <f>IF($A7="","",IFERROR(INDEX(STG_ZPMW03!$BF$6:$BF$505,MATCH($A7,STG_ZPMW03!$B$6:$B$505,0)),"n.b."))</f>
        <v>31.25</v>
      </c>
      <c r="CJ7" s="92">
        <f>IF($A7="","",IFERROR(INDEX(STG_ZPMW03!$BG$6:$BG$505,MATCH($A7,STG_ZPMW03!$B$6:$B$505,0)),"n.b."))</f>
        <v>45689.0</v>
      </c>
      <c r="CK7" s="92" t="str">
        <f>IF($A7="","",IFERROR(INDEX(STG_ZPMW03!$H$6:$H$505,MATCH($A7,STG_ZPMW03!$B$6:$B$505,0)),"n.b."))</f>
        <v>WO-Wonen</v>
      </c>
      <c r="CL7" s="92" t="str">
        <f>IF($A7="","",IFERROR(INDEX(STG_ZPMW03!$E$6:$E$505,MATCH($A7,STG_ZPMW03!$B$6:$B$505,0)),"n.b."))</f>
        <v>Demo Ontwikkeling BV</v>
      </c>
      <c r="CM7" s="92" t="str">
        <f>IF($A7="","",IFERROR(INDEX(STG_ZPMW03!$G$6:$G$505,MATCH($A7,STG_ZPMW03!$B$6:$B$505,0)),"n.b."))</f>
        <v>Demo Regio</v>
      </c>
      <c r="CN7" s="92">
        <f>IF($A7="","",IFERROR(INDEX(STG_Woningetalage!$N$6:$N$505,MATCH($A7,STG_Woningetalage!$B$6:$B$505,0)),"n.b."))</f>
        <v>45931.0</v>
      </c>
      <c r="CO7" s="92">
        <f>IF($A7="","",IFERROR(INDEX(STG_Woningetalage!$P$6:$P$505,MATCH($A7,STG_Woningetalage!$B$6:$B$505,0)),"n.b."))</f>
        <v>47088.0</v>
      </c>
      <c r="CP7" s="118">
        <f>IF($A7="","",IF(AND(ISNUMBER(AT7),ISNUMBER(F7)),IF(F7&gt;0,AT7/(F7/100),"n.b."),"n.b."))</f>
        <v>48</v>
      </c>
      <c r="CQ7" s="116">
        <f>IF($A7="","",IF(ISNUMBER(Q7),IF(Q7&lt;0,1,0),0))</f>
        <v>0</v>
      </c>
      <c r="CR7" s="116" t="str">
        <f>IF(CQ7=1,COUNTIF($CQ$6:CQ7,1),"")</f>
        <v/>
      </c>
      <c r="CS7" s="116" t="str">
        <f>IF(AND($A7&lt;&gt;"",$J7=0),COUNTIFS($A$6:$A7,"?*",$J$6:$J7,0),"")</f>
        <v/>
      </c>
      <c r="CT7" s="119">
        <f>IF($A7="","",IF(AND(ISNUMBER(Q7),ISNUMBER(P7)),IF(P7&lt;&gt;0,Q7/P7,"n.b."),"n.b."))</f>
        <v>0.12</v>
      </c>
    </row>
    <row r="8">
      <c r="A8" s="92" t="str">
        <f>IF(Mapping!$A7="","",Mapping!$A7)</f>
        <v>G.900003.8.9090</v>
      </c>
      <c r="B8" s="92" t="str">
        <f>IF(Mapping!$B7="","",Mapping!$B7)</f>
        <v>G.900003</v>
      </c>
      <c r="C8" s="92" t="str">
        <f>IF(Mapping!$C7="","",Mapping!$C7)</f>
        <v>Veldendam, Stationshof</v>
      </c>
      <c r="D8" s="92" t="str">
        <f>IF(Mapping!$F7="","",Mapping!$F7)</f>
        <v>Opstal</v>
      </c>
      <c r="E8" s="92" t="str">
        <f>IF(Mapping!$H7="","",Mapping!$H7)</f>
        <v>Grondgebonden</v>
      </c>
      <c r="F8" s="92">
        <f>IF(Mapping!$E7="","",Mapping!$E7)</f>
        <v>100</v>
      </c>
      <c r="G8" s="92" t="str">
        <f>IF(Mapping!$G7="","",Mapping!$G7)</f>
        <v>Ja</v>
      </c>
      <c r="H8" s="92">
        <f>IF(Mapping!$D7="","",Mapping!$D7)</f>
        <v>76</v>
      </c>
      <c r="I8" s="92" t="str">
        <f>IF($A8="","",IFERROR(INDEX(STG_ZPMW03!$C$6:$C$505,MATCH($A8,STG_ZPMW03!$B$6:$B$505,0)),"n.b."))</f>
        <v>J</v>
      </c>
      <c r="J8" s="116">
        <f>IF($A8="","",COUNTIF(STG_ZPMW03!$B$6:$B$505,$A8))</f>
        <v>1</v>
      </c>
      <c r="K8" s="116">
        <f>IF($A8="","",COUNTIF(STG_Woningetalage!$B$6:$B$505,$A8))</f>
        <v>1</v>
      </c>
      <c r="L8" s="117">
        <f>IF($A8="","",IF($J8=0,"n.b.",SUMIFS(STG_ZPMW03!$BK$6:$BK$505,STG_ZPMW03!$B$6:$B$505,$A8)))</f>
        <v>2964000</v>
      </c>
      <c r="M8" s="117">
        <f>IF($A8="","",IF($J8=0,"n.b.",SUMIFS(STG_ZPMW03!$BL$6:$BL$505,STG_ZPMW03!$B$6:$B$505,$A8)))</f>
        <v>222300</v>
      </c>
      <c r="N8" s="117">
        <f>IF($A8="","",IF($J8=0,"n.b.",SUMIFS(STG_ZPMW03!$BM$6:$BM$505,STG_ZPMW03!$B$6:$B$505,$A8)))</f>
        <v>1596000</v>
      </c>
      <c r="O8" s="117">
        <f>IF($A8="","",IF($J8=0,"n.b.",SUMIFS(STG_ZPMW03!$BN$6:$BN$505,STG_ZPMW03!$B$6:$B$505,$A8)))</f>
        <v>119700</v>
      </c>
      <c r="P8" s="117">
        <f>IF($A8="","",IF($J8=0,"n.b.",SUMIFS(STG_ZPMW03!$BO$6:$BO$505,STG_ZPMW03!$B$6:$B$505,$A8)))</f>
        <v>4560000</v>
      </c>
      <c r="Q8" s="117">
        <f>IF($A8="","",IF($J8=0,"n.b.",SUMIFS(STG_ZPMW03!$BP$6:$BP$505,STG_ZPMW03!$B$6:$B$505,$A8)))</f>
        <v>342000</v>
      </c>
      <c r="R8" s="117">
        <f>IF($A8="","",IF($J8=0,"n.b.",SUMIFS(STG_ZPMW03!$BQ$6:$BQ$505,STG_ZPMW03!$B$6:$B$505,$A8)))</f>
        <v>13832000</v>
      </c>
      <c r="S8" s="117">
        <f>IF($A8="","",IF($J8=0,"n.b.",SUMIFS(STG_ZPMW03!$BR$6:$BR$505,STG_ZPMW03!$B$6:$B$505,$A8)))</f>
        <v>1037400</v>
      </c>
      <c r="T8" s="117">
        <f>IF($A8="","",IF($J8=0,"n.b.",SUMIFS(STG_ZPMW03!$BS$6:$BS$505,STG_ZPMW03!$B$6:$B$505,$A8)))</f>
        <v>1596000</v>
      </c>
      <c r="U8" s="117">
        <f>IF($A8="","",IF($J8=0,"n.b.",SUMIFS(STG_ZPMW03!$BT$6:$BT$505,STG_ZPMW03!$B$6:$B$505,$A8)))</f>
        <v>119700</v>
      </c>
      <c r="V8" s="117">
        <f>IF($A8="","",IF($J8=0,"n.b.",SUMIFS(STG_ZPMW03!$BU$6:$BU$505,STG_ZPMW03!$B$6:$B$505,$A8)))</f>
        <v>2766400</v>
      </c>
      <c r="W8" s="117">
        <f>IF($A8="","",IF($J8=0,"n.b.",SUMIFS(STG_ZPMW03!$BW$6:$BW$505,STG_ZPMW03!$B$6:$B$505,$A8)))</f>
        <v>3458000</v>
      </c>
      <c r="X8" s="117">
        <f>IF($A8="","",IF($J8=0,"n.b.",SUMIFS(STG_ZPMW03!$BY$6:$BY$505,STG_ZPMW03!$B$6:$B$505,$A8)))</f>
        <v>4149600</v>
      </c>
      <c r="Y8" s="117">
        <f>IF($A8="","",IF($J8=0,"n.b.",SUMIFS(STG_ZPMW03!$CA$6:$CA$505,STG_ZPMW03!$B$6:$B$505,$A8)))</f>
        <v>3458000</v>
      </c>
      <c r="Z8" s="117">
        <f>IF($A8="","",IF($J8=0,"n.b.",SUMIFS(STG_ZPMW03!$BV$6:$BV$505,STG_ZPMW03!$B$6:$B$505,$A8)))</f>
        <v>207480</v>
      </c>
      <c r="AA8" s="117">
        <f>IF($A8="","",IF($J8=0,"n.b.",SUMIFS(STG_ZPMW03!$BX$6:$BX$505,STG_ZPMW03!$B$6:$B$505,$A8)))</f>
        <v>259350</v>
      </c>
      <c r="AB8" s="117">
        <f>IF($A8="","",IF($J8=0,"n.b.",SUMIFS(STG_ZPMW03!$BZ$6:$BZ$505,STG_ZPMW03!$B$6:$B$505,$A8)))</f>
        <v>311220</v>
      </c>
      <c r="AC8" s="117">
        <f>IF($A8="","",IF($J8=0,"n.b.",SUMIFS(STG_ZPMW03!$CB$6:$CB$505,STG_ZPMW03!$B$6:$B$505,$A8)))</f>
        <v>259350</v>
      </c>
      <c r="AD8" s="117">
        <f>IF($A8="","",IF($J8=0,"n.b.",SUMIFS(STG_ZPMW03!$CC$6:$CC$505,STG_ZPMW03!$B$6:$B$505,$A8)))</f>
        <v>7448000</v>
      </c>
      <c r="AE8" s="117">
        <f>IF($A8="","",IF($J8=0,"n.b.",SUMIFS(STG_ZPMW03!$CE$6:$CE$505,STG_ZPMW03!$B$6:$B$505,$A8)))</f>
        <v>0</v>
      </c>
      <c r="AF8" s="117">
        <f>IF($A8="","",IF($J8=0,"n.b.",SUMIFS(STG_ZPMW03!$CG$6:$CG$505,STG_ZPMW03!$B$6:$B$505,$A8)))</f>
        <v>0</v>
      </c>
      <c r="AG8" s="117">
        <f>IF($A8="","",IF($J8=0,"n.b.",SUMIFS(STG_ZPMW03!$CI$6:$CI$505,STG_ZPMW03!$B$6:$B$505,$A8)))</f>
        <v>0</v>
      </c>
      <c r="AH8" s="117">
        <f>IF($A8="","",IF($J8=0,"n.b.",SUMIFS(STG_ZPMW03!$CK$6:$CK$505,STG_ZPMW03!$B$6:$B$505,$A8)))</f>
        <v>0</v>
      </c>
      <c r="AI8" s="117">
        <f>IF($A8="","",IF($J8=0,"n.b.",SUMIFS(STG_ZPMW03!$CM$6:$CM$505,STG_ZPMW03!$B$6:$B$505,$A8)))</f>
        <v>0</v>
      </c>
      <c r="AJ8" s="117">
        <f>IF($A8="","",IF($J8=0,"n.b.",SUMIFS(STG_ZPMW03!$CO$6:$CO$505,STG_ZPMW03!$B$6:$B$505,$A8)))</f>
        <v>0</v>
      </c>
      <c r="AK8" s="117">
        <f>IF($A8="","",IF($J8=0,"n.b.",SUMIFS(STG_ZPMW03!$CQ$6:$CQ$505,STG_ZPMW03!$B$6:$B$505,$A8)))</f>
        <v>0</v>
      </c>
      <c r="AL8" s="117">
        <f>IF($A8="","",IF($J8=0,"n.b.",SUMIFS(STG_ZPMW03!$CD$6:$CD$505,STG_ZPMW03!$B$6:$B$505,$A8)))</f>
        <v>558600</v>
      </c>
      <c r="AM8" s="117">
        <f>IF($A8="","",IF($J8=0,"n.b.",SUMIFS(STG_ZPMW03!$CF$6:$CF$505,STG_ZPMW03!$B$6:$B$505,$A8)))</f>
        <v>0</v>
      </c>
      <c r="AN8" s="117">
        <f>IF($A8="","",IF($J8=0,"n.b.",SUMIFS(STG_ZPMW03!$CH$6:$CH$505,STG_ZPMW03!$B$6:$B$505,$A8)))</f>
        <v>0</v>
      </c>
      <c r="AO8" s="117">
        <f>IF($A8="","",IF($J8=0,"n.b.",SUMIFS(STG_ZPMW03!$CJ$6:$CJ$505,STG_ZPMW03!$B$6:$B$505,$A8)))</f>
        <v>0</v>
      </c>
      <c r="AP8" s="117">
        <f>IF($A8="","",IF($J8=0,"n.b.",SUMIFS(STG_ZPMW03!$CL$6:$CL$505,STG_ZPMW03!$B$6:$B$505,$A8)))</f>
        <v>0</v>
      </c>
      <c r="AQ8" s="117">
        <f>IF($A8="","",IF($J8=0,"n.b.",SUMIFS(STG_ZPMW03!$CN$6:$CN$505,STG_ZPMW03!$B$6:$B$505,$A8)))</f>
        <v>0</v>
      </c>
      <c r="AR8" s="117">
        <f>IF($A8="","",IF($J8=0,"n.b.",SUMIFS(STG_ZPMW03!$CP$6:$CP$505,STG_ZPMW03!$B$6:$B$505,$A8)))</f>
        <v>0</v>
      </c>
      <c r="AS8" s="117">
        <f>IF($A8="","",IF($J8=0,"n.b.",SUMIFS(STG_ZPMW03!$CR$6:$CR$505,STG_ZPMW03!$B$6:$B$505,$A8)))</f>
        <v>0</v>
      </c>
      <c r="AT8" s="117">
        <f>IF($A8="","",IF($K8=0,"n.b.",SUMIFS(STG_Woningetalage!$Q$6:$Q$505,STG_Woningetalage!$B$6:$B$505,$A8)))</f>
        <v>76</v>
      </c>
      <c r="AU8" s="117">
        <f>IF($A8="","",IF($K8=0,"n.b.",SUMIFS(STG_Woningetalage!$R$6:$R$505,STG_Woningetalage!$B$6:$B$505,$A8)))</f>
        <v>15</v>
      </c>
      <c r="AV8" s="117">
        <f>IF($A8="","",IF($K8=0,"n.b.",SUMIFS(STG_Woningetalage!$S$6:$S$505,STG_Woningetalage!$B$6:$B$505,$A8)))</f>
        <v>0</v>
      </c>
      <c r="AW8" s="117">
        <f>IF($A8="","",IF($K8=0,"n.b.",SUMIFS(STG_Woningetalage!$T$6:$T$505,STG_Woningetalage!$B$6:$B$505,$A8)))</f>
        <v>15</v>
      </c>
      <c r="AX8" s="117">
        <f>IF($A8="","",IF($K8=0,"n.b.",SUMIFS(STG_Woningetalage!$U$6:$U$505,STG_Woningetalage!$B$6:$B$505,$A8)))</f>
        <v>9</v>
      </c>
      <c r="AY8" s="117">
        <f>IF($A8="","",IF($K8=0,"n.b.",SUMIFS(STG_Woningetalage!$V$6:$V$505,STG_Woningetalage!$B$6:$B$505,$A8)))</f>
        <v>0</v>
      </c>
      <c r="AZ8" s="117">
        <f>IF($A8="","",IF($K8=0,"n.b.",SUMIFS(STG_Woningetalage!$W$6:$W$505,STG_Woningetalage!$B$6:$B$505,$A8)))</f>
        <v>9</v>
      </c>
      <c r="BA8" s="117">
        <f>IF($A8="","",IF($K8=0,"n.b.",SUMIFS(STG_Woningetalage!$X$6:$X$505,STG_Woningetalage!$B$6:$B$505,$A8)))</f>
        <v>24</v>
      </c>
      <c r="BB8" s="117">
        <f>IF($A8="","",IF($K8=0,"n.b.",SUMIFS(STG_Woningetalage!$Y$6:$Y$505,STG_Woningetalage!$B$6:$B$505,$A8)))</f>
        <v>0</v>
      </c>
      <c r="BC8" s="117">
        <f>IF($A8="","",IF($K8=0,"n.b.",SUMIFS(STG_Woningetalage!$Z$6:$Z$505,STG_Woningetalage!$B$6:$B$505,$A8)))</f>
        <v>24</v>
      </c>
      <c r="BD8" s="117">
        <f>IF($A8="","",IF($K8=0,"n.b.",SUMIFS(STG_Woningetalage!$AA$6:$AA$505,STG_Woningetalage!$B$6:$B$505,$A8)))</f>
        <v>52</v>
      </c>
      <c r="BE8" s="117">
        <f>IF($A8="","",IF($K8=0,"n.b.",SUMIFS(STG_Woningetalage!$AB$6:$AB$505,STG_Woningetalage!$B$6:$B$505,$A8)))</f>
        <v>0</v>
      </c>
      <c r="BF8" s="117">
        <f>IF($A8="","",IF($K8=0,"n.b.",SUMIFS(STG_Woningetalage!$AC$6:$AC$505,STG_Woningetalage!$B$6:$B$505,$A8)))</f>
        <v>0</v>
      </c>
      <c r="BG8" s="117">
        <f>IF($A8="","",IF($K8=0,"n.b.",SUMIFS(STG_Woningetalage!$AD$6:$AD$505,STG_Woningetalage!$B$6:$B$505,$A8)))</f>
        <v>1</v>
      </c>
      <c r="BH8" s="117">
        <f>IF($A8="","",IF($K8=0,"n.b.",SUMIFS(STG_Woningetalage!$AE$6:$AE$505,STG_Woningetalage!$B$6:$B$505,$A8)))</f>
        <v>1</v>
      </c>
      <c r="BI8" s="117">
        <f>IF($A8="","",IF($K8=0,"n.b.",SUMIFS(STG_Woningetalage!$AF$6:$AF$505,STG_Woningetalage!$B$6:$B$505,$A8)))</f>
        <v>2</v>
      </c>
      <c r="BJ8" s="117">
        <f>IF($A8="","",IF($K8=0,"n.b.",SUMIFS(STG_Woningetalage!$AG$6:$AG$505,STG_Woningetalage!$B$6:$B$505,$A8)))</f>
        <v>1</v>
      </c>
      <c r="BK8" s="117">
        <f>IF($A8="","",IF($K8=0,"n.b.",SUMIFS(STG_Woningetalage!$AH$6:$AH$505,STG_Woningetalage!$B$6:$B$505,$A8)))</f>
        <v>1</v>
      </c>
      <c r="BL8" s="117">
        <f>IF($A8="","",IF($K8=0,"n.b.",SUMIFS(STG_Woningetalage!$AI$6:$AI$505,STG_Woningetalage!$B$6:$B$505,$A8)))</f>
        <v>2</v>
      </c>
      <c r="BM8" s="117">
        <f>IF($A8="","",IF($K8=0,"n.b.",SUMIFS(STG_Woningetalage!$AJ$6:$AJ$505,STG_Woningetalage!$B$6:$B$505,$A8)))</f>
        <v>1</v>
      </c>
      <c r="BN8" s="117">
        <f>IF($A8="","",IF($K8=0,"n.b.",SUMIFS(STG_Woningetalage!$AK$6:$AK$505,STG_Woningetalage!$B$6:$B$505,$A8)))</f>
        <v>0</v>
      </c>
      <c r="BO8" s="117">
        <f>IF($A8="","",IF($K8=0,"n.b.",SUMIFS(STG_Woningetalage!$AL$6:$AL$505,STG_Woningetalage!$B$6:$B$505,$A8)))</f>
        <v>0</v>
      </c>
      <c r="BP8" s="117">
        <f>IF($A8="","",IF($K8=0,"n.b.",SUMIFS(STG_Woningetalage!$AM$6:$AM$505,STG_Woningetalage!$B$6:$B$505,$A8)))</f>
        <v>11</v>
      </c>
      <c r="BQ8" s="117">
        <f>IF($A8="","",IF($K8=0,"n.b.",SUMIFS(STG_Woningetalage!$BE$6:$BE$505,STG_Woningetalage!$B$6:$B$505,$A8)))</f>
        <v>1</v>
      </c>
      <c r="BR8" s="117">
        <f>IF($A8="","",IF($K8=0,"n.b.",SUMIFS(STG_Woningetalage!$BF$6:$BF$505,STG_Woningetalage!$B$6:$B$505,$A8)))</f>
        <v>4</v>
      </c>
      <c r="BS8" s="117">
        <f>IF($A8="","",IF($K8=0,"n.b.",SUMIFS(STG_Woningetalage!$BG$6:$BG$505,STG_Woningetalage!$B$6:$B$505,$A8)))</f>
        <v>4</v>
      </c>
      <c r="BT8" s="117">
        <f>IF($A8="","",IF($K8=0,"n.b.",SUMIFS(STG_Woningetalage!$BH$6:$BH$505,STG_Woningetalage!$B$6:$B$505,$A8)))</f>
        <v>11</v>
      </c>
      <c r="BU8" s="117">
        <f>IF($A8="","",IF($K8=0,"n.b.",SUMIFS(STG_Woningetalage!$BI$6:$BI$505,STG_Woningetalage!$B$6:$B$505,$A8)))</f>
        <v>9</v>
      </c>
      <c r="BV8" s="117">
        <f>IF($A8="","",IF($K8=0,"n.b.",SUMIFS(STG_Woningetalage!$BJ$6:$BJ$505,STG_Woningetalage!$B$6:$B$505,$A8)))</f>
        <v>11</v>
      </c>
      <c r="BW8" s="117">
        <f>IF($A8="","",IF($K8=0,"n.b.",SUMIFS(STG_Woningetalage!$AR$6:$AR$505,STG_Woningetalage!$B$6:$B$505,$A8)))</f>
        <v>20</v>
      </c>
      <c r="BX8" s="117">
        <f>IF($A8="","",IF($K8=0,"n.b.",SUMIFS(STG_Woningetalage!$AS$6:$AS$505,STG_Woningetalage!$B$6:$B$505,$A8)))</f>
        <v>27</v>
      </c>
      <c r="BY8" s="117">
        <f>IF($A8="","",IF($K8=0,"n.b.",SUMIFS(STG_Woningetalage!$AN$6:$AN$505,STG_Woningetalage!$B$6:$B$505,$A8)))</f>
        <v>8</v>
      </c>
      <c r="BZ8" s="117">
        <f>IF($A8="","",IF($K8=0,"n.b.",SUMIFS(STG_Woningetalage!$AO$6:$AO$505,STG_Woningetalage!$B$6:$B$505,$A8)))</f>
        <v>6</v>
      </c>
      <c r="CA8" s="117">
        <f>IF($A8="","",IF($K8=0,"n.b.",SUMIFS(STG_Woningetalage!$AP$6:$AP$505,STG_Woningetalage!$B$6:$B$505,$A8)))</f>
        <v>6</v>
      </c>
      <c r="CB8" s="117">
        <f>IF($A8="","",IF($K8=0,"n.b.",SUMIFS(STG_Woningetalage!$AQ$6:$AQ$505,STG_Woningetalage!$B$6:$B$505,$A8)))</f>
        <v>7</v>
      </c>
      <c r="CC8" s="117">
        <f>IF($A8="","",IF($K8=0,"n.b.",SUMIFS(STG_Woningetalage!$AU$6:$AU$505,STG_Woningetalage!$B$6:$B$505,$A8)))</f>
        <v>14</v>
      </c>
      <c r="CD8" s="92">
        <f>IF($A8="","",IFERROR(INDEX(STG_ZPMW03!$L$6:$L$505,MATCH($A8,STG_ZPMW03!$B$6:$B$505,0)),"n.b."))</f>
        <v>60</v>
      </c>
      <c r="CE8" s="92" t="str">
        <f>IF($A8="","",IFERROR(INDEX(STG_ZPMW03!$K$6:$K$505,MATCH($A8,STG_ZPMW03!$B$6:$B$505,0)),"n.b."))</f>
        <v>VRIJ VEN3</v>
      </c>
      <c r="CF8" s="92">
        <f>IF($A8="","",IFERROR(INDEX(STG_ZPMW03!$BH$6:$BH$505,MATCH($A8,STG_ZPMW03!$B$6:$B$505,0)),"n.b."))</f>
        <v>46082.0</v>
      </c>
      <c r="CG8" s="92">
        <f>IF($A8="","",IFERROR(INDEX(STG_ZPMW03!$BI$6:$BI$505,MATCH($A8,STG_ZPMW03!$B$6:$B$505,0)),"n.b."))</f>
        <v>202812</v>
      </c>
      <c r="CH8" s="92">
        <f>IF($A8="","",IFERROR(INDEX(STG_ZPMW03!$BJ$6:$BJ$505,MATCH($A8,STG_ZPMW03!$B$6:$B$505,0)),"n.b."))</f>
        <v>3</v>
      </c>
      <c r="CI8" s="92">
        <f>IF($A8="","",IFERROR(INDEX(STG_ZPMW03!$BF$6:$BF$505,MATCH($A8,STG_ZPMW03!$B$6:$B$505,0)),"n.b."))</f>
        <v>24.75</v>
      </c>
      <c r="CJ8" s="92">
        <f>IF($A8="","",IFERROR(INDEX(STG_ZPMW03!$BG$6:$BG$505,MATCH($A8,STG_ZPMW03!$B$6:$B$505,0)),"n.b."))</f>
        <v>45717.0</v>
      </c>
      <c r="CK8" s="92" t="str">
        <f>IF($A8="","",IFERROR(INDEX(STG_ZPMW03!$H$6:$H$505,MATCH($A8,STG_ZPMW03!$B$6:$B$505,0)),"n.b."))</f>
        <v>WO-Wonen</v>
      </c>
      <c r="CL8" s="92" t="str">
        <f>IF($A8="","",IFERROR(INDEX(STG_ZPMW03!$E$6:$E$505,MATCH($A8,STG_ZPMW03!$B$6:$B$505,0)),"n.b."))</f>
        <v>Demo Ontwikkeling BV</v>
      </c>
      <c r="CM8" s="92" t="str">
        <f>IF($A8="","",IFERROR(INDEX(STG_ZPMW03!$G$6:$G$505,MATCH($A8,STG_ZPMW03!$B$6:$B$505,0)),"n.b."))</f>
        <v>Demo Regio</v>
      </c>
      <c r="CN8" s="92">
        <f>IF($A8="","",IFERROR(INDEX(STG_Woningetalage!$N$6:$N$505,MATCH($A8,STG_Woningetalage!$B$6:$B$505,0)),"n.b."))</f>
        <v>45931.0</v>
      </c>
      <c r="CO8" s="92">
        <f>IF($A8="","",IFERROR(INDEX(STG_Woningetalage!$P$6:$P$505,MATCH($A8,STG_Woningetalage!$B$6:$B$505,0)),"n.b."))</f>
        <v>47088.0</v>
      </c>
      <c r="CP8" s="118">
        <f>IF($A8="","",IF(AND(ISNUMBER(AT8),ISNUMBER(F8)),IF(F8&gt;0,AT8/(F8/100),"n.b."),"n.b."))</f>
        <v>76</v>
      </c>
      <c r="CQ8" s="116">
        <f>IF($A8="","",IF(ISNUMBER(Q8),IF(Q8&lt;0,1,0),0))</f>
        <v>0</v>
      </c>
      <c r="CR8" s="116" t="str">
        <f>IF(CQ8=1,COUNTIF($CQ$6:CQ8,1),"")</f>
        <v/>
      </c>
      <c r="CS8" s="116" t="str">
        <f>IF(AND($A8&lt;&gt;"",$J8=0),COUNTIFS($A$6:$A8,"?*",$J$6:$J8,0),"")</f>
        <v/>
      </c>
      <c r="CT8" s="119">
        <f>IF($A8="","",IF(AND(ISNUMBER(Q8),ISNUMBER(P8)),IF(P8&lt;&gt;0,Q8/P8,"n.b."),"n.b."))</f>
        <v>0.075</v>
      </c>
    </row>
    <row r="9">
      <c r="A9" s="92" t="str">
        <f>IF(Mapping!$A8="","",Mapping!$A8)</f>
        <v>G.900004.8.9090</v>
      </c>
      <c r="B9" s="92" t="str">
        <f>IF(Mapping!$B8="","",Mapping!$B8)</f>
        <v>G.900004</v>
      </c>
      <c r="C9" s="92" t="str">
        <f>IF(Mapping!$C8="","",Mapping!$C8)</f>
        <v>Meerhovenstad, Het Kompas</v>
      </c>
      <c r="D9" s="92" t="str">
        <f>IF(Mapping!$F8="","",Mapping!$F8)</f>
        <v>Deelneming</v>
      </c>
      <c r="E9" s="92" t="str">
        <f>IF(Mapping!$H8="","",Mapping!$H8)</f>
        <v>Appartement</v>
      </c>
      <c r="F9" s="92">
        <f>IF(Mapping!$E8="","",Mapping!$E8)</f>
        <v>50</v>
      </c>
      <c r="G9" s="92" t="str">
        <f>IF(Mapping!$G8="","",Mapping!$G8)</f>
        <v>Ja</v>
      </c>
      <c r="H9" s="92">
        <f>IF(Mapping!$D8="","",Mapping!$D8)</f>
        <v>24</v>
      </c>
      <c r="I9" s="92" t="str">
        <f>IF($A9="","",IFERROR(INDEX(STG_ZPMW03!$C$6:$C$505,MATCH($A9,STG_ZPMW03!$B$6:$B$505,0)),"n.b."))</f>
        <v>N</v>
      </c>
      <c r="J9" s="116">
        <f>IF($A9="","",COUNTIF(STG_ZPMW03!$B$6:$B$505,$A9))</f>
        <v>1</v>
      </c>
      <c r="K9" s="116">
        <f>IF($A9="","",COUNTIF(STG_Woningetalage!$B$6:$B$505,$A9))</f>
        <v>1</v>
      </c>
      <c r="L9" s="117">
        <f>IF($A9="","",IF($J9=0,"n.b.",SUMIFS(STG_ZPMW03!$BK$6:$BK$505,STG_ZPMW03!$B$6:$B$505,$A9)))</f>
        <v>1572480</v>
      </c>
      <c r="M9" s="117">
        <f>IF($A9="","",IF($J9=0,"n.b.",SUMIFS(STG_ZPMW03!$BL$6:$BL$505,STG_ZPMW03!$B$6:$B$505,$A9)))</f>
        <v>172972.8</v>
      </c>
      <c r="N9" s="117">
        <f>IF($A9="","",IF($J9=0,"n.b.",SUMIFS(STG_ZPMW03!$BM$6:$BM$505,STG_ZPMW03!$B$6:$B$505,$A9)))</f>
        <v>846720</v>
      </c>
      <c r="O9" s="117">
        <f>IF($A9="","",IF($J9=0,"n.b.",SUMIFS(STG_ZPMW03!$BN$6:$BN$505,STG_ZPMW03!$B$6:$B$505,$A9)))</f>
        <v>93139.2</v>
      </c>
      <c r="P9" s="117">
        <f>IF($A9="","",IF($J9=0,"n.b.",SUMIFS(STG_ZPMW03!$BO$6:$BO$505,STG_ZPMW03!$B$6:$B$505,$A9)))</f>
        <v>2419200</v>
      </c>
      <c r="Q9" s="117">
        <f>IF($A9="","",IF($J9=0,"n.b.",SUMIFS(STG_ZPMW03!$BP$6:$BP$505,STG_ZPMW03!$B$6:$B$505,$A9)))</f>
        <v>266112</v>
      </c>
      <c r="R9" s="117">
        <f>IF($A9="","",IF($J9=0,"n.b.",SUMIFS(STG_ZPMW03!$BQ$6:$BQ$505,STG_ZPMW03!$B$6:$B$505,$A9)))</f>
        <v>1609920</v>
      </c>
      <c r="S9" s="117">
        <f>IF($A9="","",IF($J9=0,"n.b.",SUMIFS(STG_ZPMW03!$BR$6:$BR$505,STG_ZPMW03!$B$6:$B$505,$A9)))</f>
        <v>177091.2</v>
      </c>
      <c r="T9" s="117">
        <f>IF($A9="","",IF($J9=0,"n.b.",SUMIFS(STG_ZPMW03!$BS$6:$BS$505,STG_ZPMW03!$B$6:$B$505,$A9)))</f>
        <v>846720</v>
      </c>
      <c r="U9" s="117">
        <f>IF($A9="","",IF($J9=0,"n.b.",SUMIFS(STG_ZPMW03!$BT$6:$BT$505,STG_ZPMW03!$B$6:$B$505,$A9)))</f>
        <v>93139.2</v>
      </c>
      <c r="V9" s="117">
        <f>IF($A9="","",IF($J9=0,"n.b.",SUMIFS(STG_ZPMW03!$BU$6:$BU$505,STG_ZPMW03!$B$6:$B$505,$A9)))</f>
        <v>321984</v>
      </c>
      <c r="W9" s="117">
        <f>IF($A9="","",IF($J9=0,"n.b.",SUMIFS(STG_ZPMW03!$BW$6:$BW$505,STG_ZPMW03!$B$6:$B$505,$A9)))</f>
        <v>402480</v>
      </c>
      <c r="X9" s="117">
        <f>IF($A9="","",IF($J9=0,"n.b.",SUMIFS(STG_ZPMW03!$BY$6:$BY$505,STG_ZPMW03!$B$6:$B$505,$A9)))</f>
        <v>482976</v>
      </c>
      <c r="Y9" s="117">
        <f>IF($A9="","",IF($J9=0,"n.b.",SUMIFS(STG_ZPMW03!$CA$6:$CA$505,STG_ZPMW03!$B$6:$B$505,$A9)))</f>
        <v>402480</v>
      </c>
      <c r="Z9" s="117">
        <f>IF($A9="","",IF($J9=0,"n.b.",SUMIFS(STG_ZPMW03!$BV$6:$BV$505,STG_ZPMW03!$B$6:$B$505,$A9)))</f>
        <v>35418.24</v>
      </c>
      <c r="AA9" s="117">
        <f>IF($A9="","",IF($J9=0,"n.b.",SUMIFS(STG_ZPMW03!$BX$6:$BX$505,STG_ZPMW03!$B$6:$B$505,$A9)))</f>
        <v>44272.8</v>
      </c>
      <c r="AB9" s="117">
        <f>IF($A9="","",IF($J9=0,"n.b.",SUMIFS(STG_ZPMW03!$BZ$6:$BZ$505,STG_ZPMW03!$B$6:$B$505,$A9)))</f>
        <v>53127.36</v>
      </c>
      <c r="AC9" s="117">
        <f>IF($A9="","",IF($J9=0,"n.b.",SUMIFS(STG_ZPMW03!$CB$6:$CB$505,STG_ZPMW03!$B$6:$B$505,$A9)))</f>
        <v>44272.8</v>
      </c>
      <c r="AD9" s="117">
        <f>IF($A9="","",IF($J9=0,"n.b.",SUMIFS(STG_ZPMW03!$CC$6:$CC$505,STG_ZPMW03!$B$6:$B$505,$A9)))</f>
        <v>866880</v>
      </c>
      <c r="AE9" s="117">
        <f>IF($A9="","",IF($J9=0,"n.b.",SUMIFS(STG_ZPMW03!$CE$6:$CE$505,STG_ZPMW03!$B$6:$B$505,$A9)))</f>
        <v>0</v>
      </c>
      <c r="AF9" s="117">
        <f>IF($A9="","",IF($J9=0,"n.b.",SUMIFS(STG_ZPMW03!$CG$6:$CG$505,STG_ZPMW03!$B$6:$B$505,$A9)))</f>
        <v>0</v>
      </c>
      <c r="AG9" s="117">
        <f>IF($A9="","",IF($J9=0,"n.b.",SUMIFS(STG_ZPMW03!$CI$6:$CI$505,STG_ZPMW03!$B$6:$B$505,$A9)))</f>
        <v>0</v>
      </c>
      <c r="AH9" s="117">
        <f>IF($A9="","",IF($J9=0,"n.b.",SUMIFS(STG_ZPMW03!$CK$6:$CK$505,STG_ZPMW03!$B$6:$B$505,$A9)))</f>
        <v>0</v>
      </c>
      <c r="AI9" s="117">
        <f>IF($A9="","",IF($J9=0,"n.b.",SUMIFS(STG_ZPMW03!$CM$6:$CM$505,STG_ZPMW03!$B$6:$B$505,$A9)))</f>
        <v>0</v>
      </c>
      <c r="AJ9" s="117">
        <f>IF($A9="","",IF($J9=0,"n.b.",SUMIFS(STG_ZPMW03!$CO$6:$CO$505,STG_ZPMW03!$B$6:$B$505,$A9)))</f>
        <v>0</v>
      </c>
      <c r="AK9" s="117">
        <f>IF($A9="","",IF($J9=0,"n.b.",SUMIFS(STG_ZPMW03!$CQ$6:$CQ$505,STG_ZPMW03!$B$6:$B$505,$A9)))</f>
        <v>0</v>
      </c>
      <c r="AL9" s="117">
        <f>IF($A9="","",IF($J9=0,"n.b.",SUMIFS(STG_ZPMW03!$CD$6:$CD$505,STG_ZPMW03!$B$6:$B$505,$A9)))</f>
        <v>95356.8</v>
      </c>
      <c r="AM9" s="117">
        <f>IF($A9="","",IF($J9=0,"n.b.",SUMIFS(STG_ZPMW03!$CF$6:$CF$505,STG_ZPMW03!$B$6:$B$505,$A9)))</f>
        <v>0</v>
      </c>
      <c r="AN9" s="117">
        <f>IF($A9="","",IF($J9=0,"n.b.",SUMIFS(STG_ZPMW03!$CH$6:$CH$505,STG_ZPMW03!$B$6:$B$505,$A9)))</f>
        <v>0</v>
      </c>
      <c r="AO9" s="117">
        <f>IF($A9="","",IF($J9=0,"n.b.",SUMIFS(STG_ZPMW03!$CJ$6:$CJ$505,STG_ZPMW03!$B$6:$B$505,$A9)))</f>
        <v>0</v>
      </c>
      <c r="AP9" s="117">
        <f>IF($A9="","",IF($J9=0,"n.b.",SUMIFS(STG_ZPMW03!$CL$6:$CL$505,STG_ZPMW03!$B$6:$B$505,$A9)))</f>
        <v>0</v>
      </c>
      <c r="AQ9" s="117">
        <f>IF($A9="","",IF($J9=0,"n.b.",SUMIFS(STG_ZPMW03!$CN$6:$CN$505,STG_ZPMW03!$B$6:$B$505,$A9)))</f>
        <v>0</v>
      </c>
      <c r="AR9" s="117">
        <f>IF($A9="","",IF($J9=0,"n.b.",SUMIFS(STG_ZPMW03!$CP$6:$CP$505,STG_ZPMW03!$B$6:$B$505,$A9)))</f>
        <v>0</v>
      </c>
      <c r="AS9" s="117">
        <f>IF($A9="","",IF($J9=0,"n.b.",SUMIFS(STG_ZPMW03!$CR$6:$CR$505,STG_ZPMW03!$B$6:$B$505,$A9)))</f>
        <v>0</v>
      </c>
      <c r="AT9" s="117">
        <f>IF($A9="","",IF($K9=0,"n.b.",SUMIFS(STG_Woningetalage!$Q$6:$Q$505,STG_Woningetalage!$B$6:$B$505,$A9)))</f>
        <v>24</v>
      </c>
      <c r="AU9" s="117">
        <f>IF($A9="","",IF($K9=0,"n.b.",SUMIFS(STG_Woningetalage!$R$6:$R$505,STG_Woningetalage!$B$6:$B$505,$A9)))</f>
        <v>0</v>
      </c>
      <c r="AV9" s="117">
        <f>IF($A9="","",IF($K9=0,"n.b.",SUMIFS(STG_Woningetalage!$S$6:$S$505,STG_Woningetalage!$B$6:$B$505,$A9)))</f>
        <v>4</v>
      </c>
      <c r="AW9" s="117">
        <f>IF($A9="","",IF($K9=0,"n.b.",SUMIFS(STG_Woningetalage!$T$6:$T$505,STG_Woningetalage!$B$6:$B$505,$A9)))</f>
        <v>4</v>
      </c>
      <c r="AX9" s="117">
        <f>IF($A9="","",IF($K9=0,"n.b.",SUMIFS(STG_Woningetalage!$U$6:$U$505,STG_Woningetalage!$B$6:$B$505,$A9)))</f>
        <v>0</v>
      </c>
      <c r="AY9" s="117">
        <f>IF($A9="","",IF($K9=0,"n.b.",SUMIFS(STG_Woningetalage!$V$6:$V$505,STG_Woningetalage!$B$6:$B$505,$A9)))</f>
        <v>0</v>
      </c>
      <c r="AZ9" s="117">
        <f>IF($A9="","",IF($K9=0,"n.b.",SUMIFS(STG_Woningetalage!$W$6:$W$505,STG_Woningetalage!$B$6:$B$505,$A9)))</f>
        <v>0</v>
      </c>
      <c r="BA9" s="117">
        <f>IF($A9="","",IF($K9=0,"n.b.",SUMIFS(STG_Woningetalage!$X$6:$X$505,STG_Woningetalage!$B$6:$B$505,$A9)))</f>
        <v>0</v>
      </c>
      <c r="BB9" s="117">
        <f>IF($A9="","",IF($K9=0,"n.b.",SUMIFS(STG_Woningetalage!$Y$6:$Y$505,STG_Woningetalage!$B$6:$B$505,$A9)))</f>
        <v>4</v>
      </c>
      <c r="BC9" s="117">
        <f>IF($A9="","",IF($K9=0,"n.b.",SUMIFS(STG_Woningetalage!$Z$6:$Z$505,STG_Woningetalage!$B$6:$B$505,$A9)))</f>
        <v>4</v>
      </c>
      <c r="BD9" s="117">
        <f>IF($A9="","",IF($K9=0,"n.b.",SUMIFS(STG_Woningetalage!$AA$6:$AA$505,STG_Woningetalage!$B$6:$B$505,$A9)))</f>
        <v>20</v>
      </c>
      <c r="BE9" s="117">
        <f>IF($A9="","",IF($K9=0,"n.b.",SUMIFS(STG_Woningetalage!$AB$6:$AB$505,STG_Woningetalage!$B$6:$B$505,$A9)))</f>
        <v>0</v>
      </c>
      <c r="BF9" s="117">
        <f>IF($A9="","",IF($K9=0,"n.b.",SUMIFS(STG_Woningetalage!$AC$6:$AC$505,STG_Woningetalage!$B$6:$B$505,$A9)))</f>
        <v>0</v>
      </c>
      <c r="BG9" s="117">
        <f>IF($A9="","",IF($K9=0,"n.b.",SUMIFS(STG_Woningetalage!$AD$6:$AD$505,STG_Woningetalage!$B$6:$B$505,$A9)))</f>
        <v>0</v>
      </c>
      <c r="BH9" s="117">
        <f>IF($A9="","",IF($K9=0,"n.b.",SUMIFS(STG_Woningetalage!$AE$6:$AE$505,STG_Woningetalage!$B$6:$B$505,$A9)))</f>
        <v>0</v>
      </c>
      <c r="BI9" s="117">
        <f>IF($A9="","",IF($K9=0,"n.b.",SUMIFS(STG_Woningetalage!$AF$6:$AF$505,STG_Woningetalage!$B$6:$B$505,$A9)))</f>
        <v>0</v>
      </c>
      <c r="BJ9" s="117">
        <f>IF($A9="","",IF($K9=0,"n.b.",SUMIFS(STG_Woningetalage!$AG$6:$AG$505,STG_Woningetalage!$B$6:$B$505,$A9)))</f>
        <v>0</v>
      </c>
      <c r="BK9" s="117">
        <f>IF($A9="","",IF($K9=0,"n.b.",SUMIFS(STG_Woningetalage!$AH$6:$AH$505,STG_Woningetalage!$B$6:$B$505,$A9)))</f>
        <v>0</v>
      </c>
      <c r="BL9" s="117">
        <f>IF($A9="","",IF($K9=0,"n.b.",SUMIFS(STG_Woningetalage!$AI$6:$AI$505,STG_Woningetalage!$B$6:$B$505,$A9)))</f>
        <v>0</v>
      </c>
      <c r="BM9" s="117">
        <f>IF($A9="","",IF($K9=0,"n.b.",SUMIFS(STG_Woningetalage!$AJ$6:$AJ$505,STG_Woningetalage!$B$6:$B$505,$A9)))</f>
        <v>0</v>
      </c>
      <c r="BN9" s="117">
        <f>IF($A9="","",IF($K9=0,"n.b.",SUMIFS(STG_Woningetalage!$AK$6:$AK$505,STG_Woningetalage!$B$6:$B$505,$A9)))</f>
        <v>0</v>
      </c>
      <c r="BO9" s="117">
        <f>IF($A9="","",IF($K9=0,"n.b.",SUMIFS(STG_Woningetalage!$AL$6:$AL$505,STG_Woningetalage!$B$6:$B$505,$A9)))</f>
        <v>0</v>
      </c>
      <c r="BP9" s="117">
        <f>IF($A9="","",IF($K9=0,"n.b.",SUMIFS(STG_Woningetalage!$AM$6:$AM$505,STG_Woningetalage!$B$6:$B$505,$A9)))</f>
        <v>6</v>
      </c>
      <c r="BQ9" s="117">
        <f>IF($A9="","",IF($K9=0,"n.b.",SUMIFS(STG_Woningetalage!$BE$6:$BE$505,STG_Woningetalage!$B$6:$B$505,$A9)))</f>
        <v>0</v>
      </c>
      <c r="BR9" s="117">
        <f>IF($A9="","",IF($K9=0,"n.b.",SUMIFS(STG_Woningetalage!$BF$6:$BF$505,STG_Woningetalage!$B$6:$B$505,$A9)))</f>
        <v>0</v>
      </c>
      <c r="BS9" s="117">
        <f>IF($A9="","",IF($K9=0,"n.b.",SUMIFS(STG_Woningetalage!$BG$6:$BG$505,STG_Woningetalage!$B$6:$B$505,$A9)))</f>
        <v>0</v>
      </c>
      <c r="BT9" s="117">
        <f>IF($A9="","",IF($K9=0,"n.b.",SUMIFS(STG_Woningetalage!$BH$6:$BH$505,STG_Woningetalage!$B$6:$B$505,$A9)))</f>
        <v>6</v>
      </c>
      <c r="BU9" s="117">
        <f>IF($A9="","",IF($K9=0,"n.b.",SUMIFS(STG_Woningetalage!$BI$6:$BI$505,STG_Woningetalage!$B$6:$B$505,$A9)))</f>
        <v>0</v>
      </c>
      <c r="BV9" s="117">
        <f>IF($A9="","",IF($K9=0,"n.b.",SUMIFS(STG_Woningetalage!$BJ$6:$BJ$505,STG_Woningetalage!$B$6:$B$505,$A9)))</f>
        <v>6</v>
      </c>
      <c r="BW9" s="117">
        <f>IF($A9="","",IF($K9=0,"n.b.",SUMIFS(STG_Woningetalage!$AR$6:$AR$505,STG_Woningetalage!$B$6:$B$505,$A9)))</f>
        <v>6</v>
      </c>
      <c r="BX9" s="117">
        <f>IF($A9="","",IF($K9=0,"n.b.",SUMIFS(STG_Woningetalage!$AS$6:$AS$505,STG_Woningetalage!$B$6:$B$505,$A9)))</f>
        <v>9</v>
      </c>
      <c r="BY9" s="117">
        <f>IF($A9="","",IF($K9=0,"n.b.",SUMIFS(STG_Woningetalage!$AN$6:$AN$505,STG_Woningetalage!$B$6:$B$505,$A9)))</f>
        <v>2</v>
      </c>
      <c r="BZ9" s="117">
        <f>IF($A9="","",IF($K9=0,"n.b.",SUMIFS(STG_Woningetalage!$AO$6:$AO$505,STG_Woningetalage!$B$6:$B$505,$A9)))</f>
        <v>2</v>
      </c>
      <c r="CA9" s="117">
        <f>IF($A9="","",IF($K9=0,"n.b.",SUMIFS(STG_Woningetalage!$AP$6:$AP$505,STG_Woningetalage!$B$6:$B$505,$A9)))</f>
        <v>2</v>
      </c>
      <c r="CB9" s="117">
        <f>IF($A9="","",IF($K9=0,"n.b.",SUMIFS(STG_Woningetalage!$AQ$6:$AQ$505,STG_Woningetalage!$B$6:$B$505,$A9)))</f>
        <v>3</v>
      </c>
      <c r="CC9" s="117">
        <f>IF($A9="","",IF($K9=0,"n.b.",SUMIFS(STG_Woningetalage!$AU$6:$AU$505,STG_Woningetalage!$B$6:$B$505,$A9)))</f>
        <v>5</v>
      </c>
      <c r="CD9" s="92">
        <f>IF($A9="","",IFERROR(INDEX(STG_ZPMW03!$L$6:$L$505,MATCH($A9,STG_ZPMW03!$B$6:$B$505,0)),"n.b."))</f>
        <v>40</v>
      </c>
      <c r="CE9" s="92" t="str">
        <f>IF($A9="","",IFERROR(INDEX(STG_ZPMW03!$K$6:$K$505,MATCH($A9,STG_ZPMW03!$B$6:$B$505,0)),"n.b."))</f>
        <v>VRIJ VEN3</v>
      </c>
      <c r="CF9" s="92">
        <f>IF($A9="","",IFERROR(INDEX(STG_ZPMW03!$BH$6:$BH$505,MATCH($A9,STG_ZPMW03!$B$6:$B$505,0)),"n.b."))</f>
        <v>46113.0</v>
      </c>
      <c r="CG9" s="92">
        <f>IF($A9="","",IFERROR(INDEX(STG_ZPMW03!$BI$6:$BI$505,MATCH($A9,STG_ZPMW03!$B$6:$B$505,0)),"n.b."))</f>
        <v>202812</v>
      </c>
      <c r="CH9" s="92">
        <f>IF($A9="","",IFERROR(INDEX(STG_ZPMW03!$BJ$6:$BJ$505,MATCH($A9,STG_ZPMW03!$B$6:$B$505,0)),"n.b."))</f>
        <v>1</v>
      </c>
      <c r="CI9" s="92">
        <f>IF($A9="","",IFERROR(INDEX(STG_ZPMW03!$BF$6:$BF$505,MATCH($A9,STG_ZPMW03!$B$6:$B$505,0)),"n.b."))</f>
        <v>42.3</v>
      </c>
      <c r="CJ9" s="92">
        <f>IF($A9="","",IFERROR(INDEX(STG_ZPMW03!$BG$6:$BG$505,MATCH($A9,STG_ZPMW03!$B$6:$B$505,0)),"n.b."))</f>
        <v>45748.0</v>
      </c>
      <c r="CK9" s="92" t="str">
        <f>IF($A9="","",IFERROR(INDEX(STG_ZPMW03!$H$6:$H$505,MATCH($A9,STG_ZPMW03!$B$6:$B$505,0)),"n.b."))</f>
        <v>WO-Wonen</v>
      </c>
      <c r="CL9" s="92" t="str">
        <f>IF($A9="","",IFERROR(INDEX(STG_ZPMW03!$E$6:$E$505,MATCH($A9,STG_ZPMW03!$B$6:$B$505,0)),"n.b."))</f>
        <v>Demo Gebiedscombinatie BV</v>
      </c>
      <c r="CM9" s="92" t="str">
        <f>IF($A9="","",IFERROR(INDEX(STG_ZPMW03!$G$6:$G$505,MATCH($A9,STG_ZPMW03!$B$6:$B$505,0)),"n.b."))</f>
        <v>Demo Regio</v>
      </c>
      <c r="CN9" s="92">
        <f>IF($A9="","",IFERROR(INDEX(STG_Woningetalage!$N$6:$N$505,MATCH($A9,STG_Woningetalage!$B$6:$B$505,0)),"n.b."))</f>
        <v>45931.0</v>
      </c>
      <c r="CO9" s="92">
        <f>IF($A9="","",IFERROR(INDEX(STG_Woningetalage!$P$6:$P$505,MATCH($A9,STG_Woningetalage!$B$6:$B$505,0)),"n.b."))</f>
        <v>47088.0</v>
      </c>
      <c r="CP9" s="118">
        <f>IF($A9="","",IF(AND(ISNUMBER(AT9),ISNUMBER(F9)),IF(F9&gt;0,AT9/(F9/100),"n.b."),"n.b."))</f>
        <v>48</v>
      </c>
      <c r="CQ9" s="116">
        <f>IF($A9="","",IF(ISNUMBER(Q9),IF(Q9&lt;0,1,0),0))</f>
        <v>0</v>
      </c>
      <c r="CR9" s="116" t="str">
        <f>IF(CQ9=1,COUNTIF($CQ$6:CQ9,1),"")</f>
        <v/>
      </c>
      <c r="CS9" s="116" t="str">
        <f>IF(AND($A9&lt;&gt;"",$J9=0),COUNTIFS($A$6:$A9,"?*",$J$6:$J9,0),"")</f>
        <v/>
      </c>
      <c r="CT9" s="119">
        <f>IF($A9="","",IF(AND(ISNUMBER(Q9),ISNUMBER(P9)),IF(P9&lt;&gt;0,Q9/P9,"n.b."),"n.b."))</f>
        <v>0.11</v>
      </c>
    </row>
    <row r="10">
      <c r="A10" s="92" t="str">
        <f>IF(Mapping!$A9="","",Mapping!$A9)</f>
        <v>G.900005.8.9090</v>
      </c>
      <c r="B10" s="92" t="str">
        <f>IF(Mapping!$B9="","",Mapping!$B9)</f>
        <v>G.900005</v>
      </c>
      <c r="C10" s="92" t="str">
        <f>IF(Mapping!$C9="","",Mapping!$C9)</f>
        <v>Zilverdam, Kadezicht</v>
      </c>
      <c r="D10" s="92" t="str">
        <f>IF(Mapping!$F9="","",Mapping!$F9)</f>
        <v>Opstal</v>
      </c>
      <c r="E10" s="92" t="str">
        <f>IF(Mapping!$H9="","",Mapping!$H9)</f>
        <v>Grondgebonden</v>
      </c>
      <c r="F10" s="92">
        <f>IF(Mapping!$E9="","",Mapping!$E9)</f>
        <v>100</v>
      </c>
      <c r="G10" s="92" t="str">
        <f>IF(Mapping!$G9="","",Mapping!$G9)</f>
        <v>Ja</v>
      </c>
      <c r="H10" s="92">
        <f>IF(Mapping!$D9="","",Mapping!$D9)</f>
        <v>120</v>
      </c>
      <c r="I10" s="92" t="str">
        <f>IF($A10="","",IFERROR(INDEX(STG_ZPMW03!$C$6:$C$505,MATCH($A10,STG_ZPMW03!$B$6:$B$505,0)),"n.b."))</f>
        <v>J</v>
      </c>
      <c r="J10" s="116">
        <f>IF($A10="","",COUNTIF(STG_ZPMW03!$B$6:$B$505,$A10))</f>
        <v>1</v>
      </c>
      <c r="K10" s="116">
        <f>IF($A10="","",COUNTIF(STG_Woningetalage!$B$6:$B$505,$A10))</f>
        <v>1</v>
      </c>
      <c r="L10" s="117">
        <f>IF($A10="","",IF($J10=0,"n.b.",SUMIFS(STG_ZPMW03!$BK$6:$BK$505,STG_ZPMW03!$B$6:$B$505,$A10)))</f>
        <v>4368000</v>
      </c>
      <c r="M10" s="117">
        <f>IF($A10="","",IF($J10=0,"n.b.",SUMIFS(STG_ZPMW03!$BL$6:$BL$505,STG_ZPMW03!$B$6:$B$505,$A10)))</f>
        <v>283920</v>
      </c>
      <c r="N10" s="117">
        <f>IF($A10="","",IF($J10=0,"n.b.",SUMIFS(STG_ZPMW03!$BM$6:$BM$505,STG_ZPMW03!$B$6:$B$505,$A10)))</f>
        <v>2352000</v>
      </c>
      <c r="O10" s="117">
        <f>IF($A10="","",IF($J10=0,"n.b.",SUMIFS(STG_ZPMW03!$BN$6:$BN$505,STG_ZPMW03!$B$6:$B$505,$A10)))</f>
        <v>152880</v>
      </c>
      <c r="P10" s="117">
        <f>IF($A10="","",IF($J10=0,"n.b.",SUMIFS(STG_ZPMW03!$BO$6:$BO$505,STG_ZPMW03!$B$6:$B$505,$A10)))</f>
        <v>6720000</v>
      </c>
      <c r="Q10" s="117">
        <f>IF($A10="","",IF($J10=0,"n.b.",SUMIFS(STG_ZPMW03!$BP$6:$BP$505,STG_ZPMW03!$B$6:$B$505,$A10)))</f>
        <v>436800</v>
      </c>
      <c r="R10" s="117">
        <f>IF($A10="","",IF($J10=0,"n.b.",SUMIFS(STG_ZPMW03!$BQ$6:$BQ$505,STG_ZPMW03!$B$6:$B$505,$A10)))</f>
        <v>32760000</v>
      </c>
      <c r="S10" s="117">
        <f>IF($A10="","",IF($J10=0,"n.b.",SUMIFS(STG_ZPMW03!$BR$6:$BR$505,STG_ZPMW03!$B$6:$B$505,$A10)))</f>
        <v>2129400</v>
      </c>
      <c r="T10" s="117">
        <f>IF($A10="","",IF($J10=0,"n.b.",SUMIFS(STG_ZPMW03!$BS$6:$BS$505,STG_ZPMW03!$B$6:$B$505,$A10)))</f>
        <v>2352000</v>
      </c>
      <c r="U10" s="117">
        <f>IF($A10="","",IF($J10=0,"n.b.",SUMIFS(STG_ZPMW03!$BT$6:$BT$505,STG_ZPMW03!$B$6:$B$505,$A10)))</f>
        <v>152880</v>
      </c>
      <c r="V10" s="117">
        <f>IF($A10="","",IF($J10=0,"n.b.",SUMIFS(STG_ZPMW03!$BU$6:$BU$505,STG_ZPMW03!$B$6:$B$505,$A10)))</f>
        <v>6552000</v>
      </c>
      <c r="W10" s="117">
        <f>IF($A10="","",IF($J10=0,"n.b.",SUMIFS(STG_ZPMW03!$BW$6:$BW$505,STG_ZPMW03!$B$6:$B$505,$A10)))</f>
        <v>8190000</v>
      </c>
      <c r="X10" s="117">
        <f>IF($A10="","",IF($J10=0,"n.b.",SUMIFS(STG_ZPMW03!$BY$6:$BY$505,STG_ZPMW03!$B$6:$B$505,$A10)))</f>
        <v>9828000</v>
      </c>
      <c r="Y10" s="117">
        <f>IF($A10="","",IF($J10=0,"n.b.",SUMIFS(STG_ZPMW03!$CA$6:$CA$505,STG_ZPMW03!$B$6:$B$505,$A10)))</f>
        <v>8190000</v>
      </c>
      <c r="Z10" s="117">
        <f>IF($A10="","",IF($J10=0,"n.b.",SUMIFS(STG_ZPMW03!$BV$6:$BV$505,STG_ZPMW03!$B$6:$B$505,$A10)))</f>
        <v>425880</v>
      </c>
      <c r="AA10" s="117">
        <f>IF($A10="","",IF($J10=0,"n.b.",SUMIFS(STG_ZPMW03!$BX$6:$BX$505,STG_ZPMW03!$B$6:$B$505,$A10)))</f>
        <v>532350</v>
      </c>
      <c r="AB10" s="117">
        <f>IF($A10="","",IF($J10=0,"n.b.",SUMIFS(STG_ZPMW03!$BZ$6:$BZ$505,STG_ZPMW03!$B$6:$B$505,$A10)))</f>
        <v>638820</v>
      </c>
      <c r="AC10" s="117">
        <f>IF($A10="","",IF($J10=0,"n.b.",SUMIFS(STG_ZPMW03!$CB$6:$CB$505,STG_ZPMW03!$B$6:$B$505,$A10)))</f>
        <v>532350</v>
      </c>
      <c r="AD10" s="117">
        <f>IF($A10="","",IF($J10=0,"n.b.",SUMIFS(STG_ZPMW03!$CC$6:$CC$505,STG_ZPMW03!$B$6:$B$505,$A10)))</f>
        <v>17640000</v>
      </c>
      <c r="AE10" s="117">
        <f>IF($A10="","",IF($J10=0,"n.b.",SUMIFS(STG_ZPMW03!$CE$6:$CE$505,STG_ZPMW03!$B$6:$B$505,$A10)))</f>
        <v>0</v>
      </c>
      <c r="AF10" s="117">
        <f>IF($A10="","",IF($J10=0,"n.b.",SUMIFS(STG_ZPMW03!$CG$6:$CG$505,STG_ZPMW03!$B$6:$B$505,$A10)))</f>
        <v>0</v>
      </c>
      <c r="AG10" s="117">
        <f>IF($A10="","",IF($J10=0,"n.b.",SUMIFS(STG_ZPMW03!$CI$6:$CI$505,STG_ZPMW03!$B$6:$B$505,$A10)))</f>
        <v>0</v>
      </c>
      <c r="AH10" s="117">
        <f>IF($A10="","",IF($J10=0,"n.b.",SUMIFS(STG_ZPMW03!$CK$6:$CK$505,STG_ZPMW03!$B$6:$B$505,$A10)))</f>
        <v>0</v>
      </c>
      <c r="AI10" s="117">
        <f>IF($A10="","",IF($J10=0,"n.b.",SUMIFS(STG_ZPMW03!$CM$6:$CM$505,STG_ZPMW03!$B$6:$B$505,$A10)))</f>
        <v>0</v>
      </c>
      <c r="AJ10" s="117">
        <f>IF($A10="","",IF($J10=0,"n.b.",SUMIFS(STG_ZPMW03!$CO$6:$CO$505,STG_ZPMW03!$B$6:$B$505,$A10)))</f>
        <v>0</v>
      </c>
      <c r="AK10" s="117">
        <f>IF($A10="","",IF($J10=0,"n.b.",SUMIFS(STG_ZPMW03!$CQ$6:$CQ$505,STG_ZPMW03!$B$6:$B$505,$A10)))</f>
        <v>0</v>
      </c>
      <c r="AL10" s="117">
        <f>IF($A10="","",IF($J10=0,"n.b.",SUMIFS(STG_ZPMW03!$CD$6:$CD$505,STG_ZPMW03!$B$6:$B$505,$A10)))</f>
        <v>1146600</v>
      </c>
      <c r="AM10" s="117">
        <f>IF($A10="","",IF($J10=0,"n.b.",SUMIFS(STG_ZPMW03!$CF$6:$CF$505,STG_ZPMW03!$B$6:$B$505,$A10)))</f>
        <v>0</v>
      </c>
      <c r="AN10" s="117">
        <f>IF($A10="","",IF($J10=0,"n.b.",SUMIFS(STG_ZPMW03!$CH$6:$CH$505,STG_ZPMW03!$B$6:$B$505,$A10)))</f>
        <v>0</v>
      </c>
      <c r="AO10" s="117">
        <f>IF($A10="","",IF($J10=0,"n.b.",SUMIFS(STG_ZPMW03!$CJ$6:$CJ$505,STG_ZPMW03!$B$6:$B$505,$A10)))</f>
        <v>0</v>
      </c>
      <c r="AP10" s="117">
        <f>IF($A10="","",IF($J10=0,"n.b.",SUMIFS(STG_ZPMW03!$CL$6:$CL$505,STG_ZPMW03!$B$6:$B$505,$A10)))</f>
        <v>0</v>
      </c>
      <c r="AQ10" s="117">
        <f>IF($A10="","",IF($J10=0,"n.b.",SUMIFS(STG_ZPMW03!$CN$6:$CN$505,STG_ZPMW03!$B$6:$B$505,$A10)))</f>
        <v>0</v>
      </c>
      <c r="AR10" s="117">
        <f>IF($A10="","",IF($J10=0,"n.b.",SUMIFS(STG_ZPMW03!$CP$6:$CP$505,STG_ZPMW03!$B$6:$B$505,$A10)))</f>
        <v>0</v>
      </c>
      <c r="AS10" s="117">
        <f>IF($A10="","",IF($J10=0,"n.b.",SUMIFS(STG_ZPMW03!$CR$6:$CR$505,STG_ZPMW03!$B$6:$B$505,$A10)))</f>
        <v>0</v>
      </c>
      <c r="AT10" s="117">
        <f>IF($A10="","",IF($K10=0,"n.b.",SUMIFS(STG_Woningetalage!$Q$6:$Q$505,STG_Woningetalage!$B$6:$B$505,$A10)))</f>
        <v>120</v>
      </c>
      <c r="AU10" s="117">
        <f>IF($A10="","",IF($K10=0,"n.b.",SUMIFS(STG_Woningetalage!$R$6:$R$505,STG_Woningetalage!$B$6:$B$505,$A10)))</f>
        <v>24</v>
      </c>
      <c r="AV10" s="117">
        <f>IF($A10="","",IF($K10=0,"n.b.",SUMIFS(STG_Woningetalage!$S$6:$S$505,STG_Woningetalage!$B$6:$B$505,$A10)))</f>
        <v>0</v>
      </c>
      <c r="AW10" s="117">
        <f>IF($A10="","",IF($K10=0,"n.b.",SUMIFS(STG_Woningetalage!$T$6:$T$505,STG_Woningetalage!$B$6:$B$505,$A10)))</f>
        <v>24</v>
      </c>
      <c r="AX10" s="117">
        <f>IF($A10="","",IF($K10=0,"n.b.",SUMIFS(STG_Woningetalage!$U$6:$U$505,STG_Woningetalage!$B$6:$B$505,$A10)))</f>
        <v>20</v>
      </c>
      <c r="AY10" s="117">
        <f>IF($A10="","",IF($K10=0,"n.b.",SUMIFS(STG_Woningetalage!$V$6:$V$505,STG_Woningetalage!$B$6:$B$505,$A10)))</f>
        <v>0</v>
      </c>
      <c r="AZ10" s="117">
        <f>IF($A10="","",IF($K10=0,"n.b.",SUMIFS(STG_Woningetalage!$W$6:$W$505,STG_Woningetalage!$B$6:$B$505,$A10)))</f>
        <v>20</v>
      </c>
      <c r="BA10" s="117">
        <f>IF($A10="","",IF($K10=0,"n.b.",SUMIFS(STG_Woningetalage!$X$6:$X$505,STG_Woningetalage!$B$6:$B$505,$A10)))</f>
        <v>44</v>
      </c>
      <c r="BB10" s="117">
        <f>IF($A10="","",IF($K10=0,"n.b.",SUMIFS(STG_Woningetalage!$Y$6:$Y$505,STG_Woningetalage!$B$6:$B$505,$A10)))</f>
        <v>0</v>
      </c>
      <c r="BC10" s="117">
        <f>IF($A10="","",IF($K10=0,"n.b.",SUMIFS(STG_Woningetalage!$Z$6:$Z$505,STG_Woningetalage!$B$6:$B$505,$A10)))</f>
        <v>44</v>
      </c>
      <c r="BD10" s="117">
        <f>IF($A10="","",IF($K10=0,"n.b.",SUMIFS(STG_Woningetalage!$AA$6:$AA$505,STG_Woningetalage!$B$6:$B$505,$A10)))</f>
        <v>76</v>
      </c>
      <c r="BE10" s="117">
        <f>IF($A10="","",IF($K10=0,"n.b.",SUMIFS(STG_Woningetalage!$AB$6:$AB$505,STG_Woningetalage!$B$6:$B$505,$A10)))</f>
        <v>1</v>
      </c>
      <c r="BF10" s="117">
        <f>IF($A10="","",IF($K10=0,"n.b.",SUMIFS(STG_Woningetalage!$AC$6:$AC$505,STG_Woningetalage!$B$6:$B$505,$A10)))</f>
        <v>1</v>
      </c>
      <c r="BG10" s="117">
        <f>IF($A10="","",IF($K10=0,"n.b.",SUMIFS(STG_Woningetalage!$AD$6:$AD$505,STG_Woningetalage!$B$6:$B$505,$A10)))</f>
        <v>2</v>
      </c>
      <c r="BH10" s="117">
        <f>IF($A10="","",IF($K10=0,"n.b.",SUMIFS(STG_Woningetalage!$AE$6:$AE$505,STG_Woningetalage!$B$6:$B$505,$A10)))</f>
        <v>2</v>
      </c>
      <c r="BI10" s="117">
        <f>IF($A10="","",IF($K10=0,"n.b.",SUMIFS(STG_Woningetalage!$AF$6:$AF$505,STG_Woningetalage!$B$6:$B$505,$A10)))</f>
        <v>4</v>
      </c>
      <c r="BJ10" s="117">
        <f>IF($A10="","",IF($K10=0,"n.b.",SUMIFS(STG_Woningetalage!$AG$6:$AG$505,STG_Woningetalage!$B$6:$B$505,$A10)))</f>
        <v>2</v>
      </c>
      <c r="BK10" s="117">
        <f>IF($A10="","",IF($K10=0,"n.b.",SUMIFS(STG_Woningetalage!$AH$6:$AH$505,STG_Woningetalage!$B$6:$B$505,$A10)))</f>
        <v>2</v>
      </c>
      <c r="BL10" s="117">
        <f>IF($A10="","",IF($K10=0,"n.b.",SUMIFS(STG_Woningetalage!$AI$6:$AI$505,STG_Woningetalage!$B$6:$B$505,$A10)))</f>
        <v>4</v>
      </c>
      <c r="BM10" s="117">
        <f>IF($A10="","",IF($K10=0,"n.b.",SUMIFS(STG_Woningetalage!$AJ$6:$AJ$505,STG_Woningetalage!$B$6:$B$505,$A10)))</f>
        <v>2</v>
      </c>
      <c r="BN10" s="117">
        <f>IF($A10="","",IF($K10=0,"n.b.",SUMIFS(STG_Woningetalage!$AK$6:$AK$505,STG_Woningetalage!$B$6:$B$505,$A10)))</f>
        <v>1</v>
      </c>
      <c r="BO10" s="117">
        <f>IF($A10="","",IF($K10=0,"n.b.",SUMIFS(STG_Woningetalage!$AL$6:$AL$505,STG_Woningetalage!$B$6:$B$505,$A10)))</f>
        <v>1</v>
      </c>
      <c r="BP10" s="117">
        <f>IF($A10="","",IF($K10=0,"n.b.",SUMIFS(STG_Woningetalage!$AM$6:$AM$505,STG_Woningetalage!$B$6:$B$505,$A10)))</f>
        <v>10</v>
      </c>
      <c r="BQ10" s="117">
        <f>IF($A10="","",IF($K10=0,"n.b.",SUMIFS(STG_Woningetalage!$BE$6:$BE$505,STG_Woningetalage!$B$6:$B$505,$A10)))</f>
        <v>4</v>
      </c>
      <c r="BR10" s="117">
        <f>IF($A10="","",IF($K10=0,"n.b.",SUMIFS(STG_Woningetalage!$BF$6:$BF$505,STG_Woningetalage!$B$6:$B$505,$A10)))</f>
        <v>8</v>
      </c>
      <c r="BS10" s="117">
        <f>IF($A10="","",IF($K10=0,"n.b.",SUMIFS(STG_Woningetalage!$BG$6:$BG$505,STG_Woningetalage!$B$6:$B$505,$A10)))</f>
        <v>8</v>
      </c>
      <c r="BT10" s="117">
        <f>IF($A10="","",IF($K10=0,"n.b.",SUMIFS(STG_Woningetalage!$BH$6:$BH$505,STG_Woningetalage!$B$6:$B$505,$A10)))</f>
        <v>12</v>
      </c>
      <c r="BU10" s="117">
        <f>IF($A10="","",IF($K10=0,"n.b.",SUMIFS(STG_Woningetalage!$BI$6:$BI$505,STG_Woningetalage!$B$6:$B$505,$A10)))</f>
        <v>20</v>
      </c>
      <c r="BV10" s="117">
        <f>IF($A10="","",IF($K10=0,"n.b.",SUMIFS(STG_Woningetalage!$BJ$6:$BJ$505,STG_Woningetalage!$B$6:$B$505,$A10)))</f>
        <v>12</v>
      </c>
      <c r="BW10" s="117">
        <f>IF($A10="","",IF($K10=0,"n.b.",SUMIFS(STG_Woningetalage!$AR$6:$AR$505,STG_Woningetalage!$B$6:$B$505,$A10)))</f>
        <v>32</v>
      </c>
      <c r="BX10" s="117">
        <f>IF($A10="","",IF($K10=0,"n.b.",SUMIFS(STG_Woningetalage!$AS$6:$AS$505,STG_Woningetalage!$B$6:$B$505,$A10)))</f>
        <v>42</v>
      </c>
      <c r="BY10" s="117">
        <f>IF($A10="","",IF($K10=0,"n.b.",SUMIFS(STG_Woningetalage!$AN$6:$AN$505,STG_Woningetalage!$B$6:$B$505,$A10)))</f>
        <v>12</v>
      </c>
      <c r="BZ10" s="117">
        <f>IF($A10="","",IF($K10=0,"n.b.",SUMIFS(STG_Woningetalage!$AO$6:$AO$505,STG_Woningetalage!$B$6:$B$505,$A10)))</f>
        <v>10</v>
      </c>
      <c r="CA10" s="117">
        <f>IF($A10="","",IF($K10=0,"n.b.",SUMIFS(STG_Woningetalage!$AP$6:$AP$505,STG_Woningetalage!$B$6:$B$505,$A10)))</f>
        <v>10</v>
      </c>
      <c r="CB10" s="117">
        <f>IF($A10="","",IF($K10=0,"n.b.",SUMIFS(STG_Woningetalage!$AQ$6:$AQ$505,STG_Woningetalage!$B$6:$B$505,$A10)))</f>
        <v>10</v>
      </c>
      <c r="CC10" s="117">
        <f>IF($A10="","",IF($K10=0,"n.b.",SUMIFS(STG_Woningetalage!$AU$6:$AU$505,STG_Woningetalage!$B$6:$B$505,$A10)))</f>
        <v>22</v>
      </c>
      <c r="CD10" s="92">
        <f>IF($A10="","",IFERROR(INDEX(STG_ZPMW03!$L$6:$L$505,MATCH($A10,STG_ZPMW03!$B$6:$B$505,0)),"n.b."))</f>
        <v>20</v>
      </c>
      <c r="CE10" s="92" t="str">
        <f>IF($A10="","",IFERROR(INDEX(STG_ZPMW03!$K$6:$K$505,MATCH($A10,STG_ZPMW03!$B$6:$B$505,0)),"n.b."))</f>
        <v>VRIJ VEN3</v>
      </c>
      <c r="CF10" s="92">
        <f>IF($A10="","",IFERROR(INDEX(STG_ZPMW03!$BH$6:$BH$505,MATCH($A10,STG_ZPMW03!$B$6:$B$505,0)),"n.b."))</f>
        <v>46143.0</v>
      </c>
      <c r="CG10" s="92">
        <f>IF($A10="","",IFERROR(INDEX(STG_ZPMW03!$BI$6:$BI$505,MATCH($A10,STG_ZPMW03!$B$6:$B$505,0)),"n.b."))</f>
        <v>202812</v>
      </c>
      <c r="CH10" s="92">
        <f>IF($A10="","",IFERROR(INDEX(STG_ZPMW03!$BJ$6:$BJ$505,MATCH($A10,STG_ZPMW03!$B$6:$B$505,0)),"n.b."))</f>
        <v>2</v>
      </c>
      <c r="CI10" s="92">
        <f>IF($A10="","",IFERROR(INDEX(STG_ZPMW03!$BF$6:$BF$505,MATCH($A10,STG_ZPMW03!$B$6:$B$505,0)),"n.b."))</f>
        <v>21.5</v>
      </c>
      <c r="CJ10" s="92">
        <f>IF($A10="","",IFERROR(INDEX(STG_ZPMW03!$BG$6:$BG$505,MATCH($A10,STG_ZPMW03!$B$6:$B$505,0)),"n.b."))</f>
        <v>45778.0</v>
      </c>
      <c r="CK10" s="92" t="str">
        <f>IF($A10="","",IFERROR(INDEX(STG_ZPMW03!$H$6:$H$505,MATCH($A10,STG_ZPMW03!$B$6:$B$505,0)),"n.b."))</f>
        <v>WO-Wonen</v>
      </c>
      <c r="CL10" s="92" t="str">
        <f>IF($A10="","",IFERROR(INDEX(STG_ZPMW03!$E$6:$E$505,MATCH($A10,STG_ZPMW03!$B$6:$B$505,0)),"n.b."))</f>
        <v>Demo Ontwikkeling BV</v>
      </c>
      <c r="CM10" s="92" t="str">
        <f>IF($A10="","",IFERROR(INDEX(STG_ZPMW03!$G$6:$G$505,MATCH($A10,STG_ZPMW03!$B$6:$B$505,0)),"n.b."))</f>
        <v>Demo Regio</v>
      </c>
      <c r="CN10" s="92">
        <f>IF($A10="","",IFERROR(INDEX(STG_Woningetalage!$N$6:$N$505,MATCH($A10,STG_Woningetalage!$B$6:$B$505,0)),"n.b."))</f>
        <v>45931.0</v>
      </c>
      <c r="CO10" s="92">
        <f>IF($A10="","",IFERROR(INDEX(STG_Woningetalage!$P$6:$P$505,MATCH($A10,STG_Woningetalage!$B$6:$B$505,0)),"n.b."))</f>
        <v>47088.0</v>
      </c>
      <c r="CP10" s="118">
        <f>IF($A10="","",IF(AND(ISNUMBER(AT10),ISNUMBER(F10)),IF(F10&gt;0,AT10/(F10/100),"n.b."),"n.b."))</f>
        <v>120</v>
      </c>
      <c r="CQ10" s="116">
        <f>IF($A10="","",IF(ISNUMBER(Q10),IF(Q10&lt;0,1,0),0))</f>
        <v>0</v>
      </c>
      <c r="CR10" s="116" t="str">
        <f>IF(CQ10=1,COUNTIF($CQ$6:CQ10,1),"")</f>
        <v/>
      </c>
      <c r="CS10" s="116" t="str">
        <f>IF(AND($A10&lt;&gt;"",$J10=0),COUNTIFS($A$6:$A10,"?*",$J$6:$J10,0),"")</f>
        <v/>
      </c>
      <c r="CT10" s="119">
        <f>IF($A10="","",IF(AND(ISNUMBER(Q10),ISNUMBER(P10)),IF(P10&lt;&gt;0,Q10/P10,"n.b."),"n.b."))</f>
        <v>0.065</v>
      </c>
    </row>
    <row r="11">
      <c r="A11" s="92" t="str">
        <f>IF(Mapping!$A10="","",Mapping!$A10)</f>
        <v>G.900006.8.9090</v>
      </c>
      <c r="B11" s="92" t="str">
        <f>IF(Mapping!$B10="","",Mapping!$B10)</f>
        <v>G.900006</v>
      </c>
      <c r="C11" s="92" t="str">
        <f>IF(Mapping!$C10="","",Mapping!$C10)</f>
        <v>Boswaard, De Eiken</v>
      </c>
      <c r="D11" s="92" t="str">
        <f>IF(Mapping!$F10="","",Mapping!$F10)</f>
        <v>Opstal</v>
      </c>
      <c r="E11" s="92" t="str">
        <f>IF(Mapping!$H10="","",Mapping!$H10)</f>
        <v>Appartement</v>
      </c>
      <c r="F11" s="92">
        <f>IF(Mapping!$E10="","",Mapping!$E10)</f>
        <v>100</v>
      </c>
      <c r="G11" s="92" t="str">
        <f>IF(Mapping!$G10="","",Mapping!$G10)</f>
        <v>Ja</v>
      </c>
      <c r="H11" s="92">
        <f>IF(Mapping!$D10="","",Mapping!$D10)</f>
        <v>36</v>
      </c>
      <c r="I11" s="92" t="str">
        <f>IF($A11="","",IFERROR(INDEX(STG_ZPMW03!$C$6:$C$505,MATCH($A11,STG_ZPMW03!$B$6:$B$505,0)),"n.b."))</f>
        <v>J</v>
      </c>
      <c r="J11" s="116">
        <f>IF($A11="","",COUNTIF(STG_ZPMW03!$B$6:$B$505,$A11))</f>
        <v>1</v>
      </c>
      <c r="K11" s="116">
        <f>IF($A11="","",COUNTIF(STG_Woningetalage!$B$6:$B$505,$A11))</f>
        <v>1</v>
      </c>
      <c r="L11" s="117">
        <f>IF($A11="","",IF($J11=0,"n.b.",SUMIFS(STG_ZPMW03!$BK$6:$BK$505,STG_ZPMW03!$B$6:$B$505,$A11)))</f>
        <v>4268160</v>
      </c>
      <c r="M11" s="117">
        <f>IF($A11="","",IF($J11=0,"n.b.",SUMIFS(STG_ZPMW03!$BL$6:$BL$505,STG_ZPMW03!$B$6:$B$505,$A11)))</f>
        <v>597542.4</v>
      </c>
      <c r="N11" s="117">
        <f>IF($A11="","",IF($J11=0,"n.b.",SUMIFS(STG_ZPMW03!$BM$6:$BM$505,STG_ZPMW03!$B$6:$B$505,$A11)))</f>
        <v>2298240</v>
      </c>
      <c r="O11" s="117">
        <f>IF($A11="","",IF($J11=0,"n.b.",SUMIFS(STG_ZPMW03!$BN$6:$BN$505,STG_ZPMW03!$B$6:$B$505,$A11)))</f>
        <v>321753.6</v>
      </c>
      <c r="P11" s="117">
        <f>IF($A11="","",IF($J11=0,"n.b.",SUMIFS(STG_ZPMW03!$BO$6:$BO$505,STG_ZPMW03!$B$6:$B$505,$A11)))</f>
        <v>6566400</v>
      </c>
      <c r="Q11" s="117">
        <f>IF($A11="","",IF($J11=0,"n.b.",SUMIFS(STG_ZPMW03!$BP$6:$BP$505,STG_ZPMW03!$B$6:$B$505,$A11)))</f>
        <v>919296</v>
      </c>
      <c r="R11" s="117">
        <f>IF($A11="","",IF($J11=0,"n.b.",SUMIFS(STG_ZPMW03!$BQ$6:$BQ$505,STG_ZPMW03!$B$6:$B$505,$A11)))</f>
        <v>6963840</v>
      </c>
      <c r="S11" s="117">
        <f>IF($A11="","",IF($J11=0,"n.b.",SUMIFS(STG_ZPMW03!$BR$6:$BR$505,STG_ZPMW03!$B$6:$B$505,$A11)))</f>
        <v>974937.6</v>
      </c>
      <c r="T11" s="117">
        <f>IF($A11="","",IF($J11=0,"n.b.",SUMIFS(STG_ZPMW03!$BS$6:$BS$505,STG_ZPMW03!$B$6:$B$505,$A11)))</f>
        <v>2298240</v>
      </c>
      <c r="U11" s="117">
        <f>IF($A11="","",IF($J11=0,"n.b.",SUMIFS(STG_ZPMW03!$BT$6:$BT$505,STG_ZPMW03!$B$6:$B$505,$A11)))</f>
        <v>321753.6</v>
      </c>
      <c r="V11" s="117">
        <f>IF($A11="","",IF($J11=0,"n.b.",SUMIFS(STG_ZPMW03!$BU$6:$BU$505,STG_ZPMW03!$B$6:$B$505,$A11)))</f>
        <v>1392768</v>
      </c>
      <c r="W11" s="117">
        <f>IF($A11="","",IF($J11=0,"n.b.",SUMIFS(STG_ZPMW03!$BW$6:$BW$505,STG_ZPMW03!$B$6:$B$505,$A11)))</f>
        <v>1740960</v>
      </c>
      <c r="X11" s="117">
        <f>IF($A11="","",IF($J11=0,"n.b.",SUMIFS(STG_ZPMW03!$BY$6:$BY$505,STG_ZPMW03!$B$6:$B$505,$A11)))</f>
        <v>2089152</v>
      </c>
      <c r="Y11" s="117">
        <f>IF($A11="","",IF($J11=0,"n.b.",SUMIFS(STG_ZPMW03!$CA$6:$CA$505,STG_ZPMW03!$B$6:$B$505,$A11)))</f>
        <v>1740960</v>
      </c>
      <c r="Z11" s="117">
        <f>IF($A11="","",IF($J11=0,"n.b.",SUMIFS(STG_ZPMW03!$BV$6:$BV$505,STG_ZPMW03!$B$6:$B$505,$A11)))</f>
        <v>194987.52</v>
      </c>
      <c r="AA11" s="117">
        <f>IF($A11="","",IF($J11=0,"n.b.",SUMIFS(STG_ZPMW03!$BX$6:$BX$505,STG_ZPMW03!$B$6:$B$505,$A11)))</f>
        <v>243734.4</v>
      </c>
      <c r="AB11" s="117">
        <f>IF($A11="","",IF($J11=0,"n.b.",SUMIFS(STG_ZPMW03!$BZ$6:$BZ$505,STG_ZPMW03!$B$6:$B$505,$A11)))</f>
        <v>292481.28</v>
      </c>
      <c r="AC11" s="117">
        <f>IF($A11="","",IF($J11=0,"n.b.",SUMIFS(STG_ZPMW03!$CB$6:$CB$505,STG_ZPMW03!$B$6:$B$505,$A11)))</f>
        <v>243734.4</v>
      </c>
      <c r="AD11" s="117">
        <f>IF($A11="","",IF($J11=0,"n.b.",SUMIFS(STG_ZPMW03!$CC$6:$CC$505,STG_ZPMW03!$B$6:$B$505,$A11)))</f>
        <v>3749760</v>
      </c>
      <c r="AE11" s="117">
        <f>IF($A11="","",IF($J11=0,"n.b.",SUMIFS(STG_ZPMW03!$CE$6:$CE$505,STG_ZPMW03!$B$6:$B$505,$A11)))</f>
        <v>0</v>
      </c>
      <c r="AF11" s="117">
        <f>IF($A11="","",IF($J11=0,"n.b.",SUMIFS(STG_ZPMW03!$CG$6:$CG$505,STG_ZPMW03!$B$6:$B$505,$A11)))</f>
        <v>0</v>
      </c>
      <c r="AG11" s="117">
        <f>IF($A11="","",IF($J11=0,"n.b.",SUMIFS(STG_ZPMW03!$CI$6:$CI$505,STG_ZPMW03!$B$6:$B$505,$A11)))</f>
        <v>0</v>
      </c>
      <c r="AH11" s="117">
        <f>IF($A11="","",IF($J11=0,"n.b.",SUMIFS(STG_ZPMW03!$CK$6:$CK$505,STG_ZPMW03!$B$6:$B$505,$A11)))</f>
        <v>0</v>
      </c>
      <c r="AI11" s="117">
        <f>IF($A11="","",IF($J11=0,"n.b.",SUMIFS(STG_ZPMW03!$CM$6:$CM$505,STG_ZPMW03!$B$6:$B$505,$A11)))</f>
        <v>0</v>
      </c>
      <c r="AJ11" s="117">
        <f>IF($A11="","",IF($J11=0,"n.b.",SUMIFS(STG_ZPMW03!$CO$6:$CO$505,STG_ZPMW03!$B$6:$B$505,$A11)))</f>
        <v>0</v>
      </c>
      <c r="AK11" s="117">
        <f>IF($A11="","",IF($J11=0,"n.b.",SUMIFS(STG_ZPMW03!$CQ$6:$CQ$505,STG_ZPMW03!$B$6:$B$505,$A11)))</f>
        <v>0</v>
      </c>
      <c r="AL11" s="117">
        <f>IF($A11="","",IF($J11=0,"n.b.",SUMIFS(STG_ZPMW03!$CD$6:$CD$505,STG_ZPMW03!$B$6:$B$505,$A11)))</f>
        <v>524966.4</v>
      </c>
      <c r="AM11" s="117">
        <f>IF($A11="","",IF($J11=0,"n.b.",SUMIFS(STG_ZPMW03!$CF$6:$CF$505,STG_ZPMW03!$B$6:$B$505,$A11)))</f>
        <v>0</v>
      </c>
      <c r="AN11" s="117">
        <f>IF($A11="","",IF($J11=0,"n.b.",SUMIFS(STG_ZPMW03!$CH$6:$CH$505,STG_ZPMW03!$B$6:$B$505,$A11)))</f>
        <v>0</v>
      </c>
      <c r="AO11" s="117">
        <f>IF($A11="","",IF($J11=0,"n.b.",SUMIFS(STG_ZPMW03!$CJ$6:$CJ$505,STG_ZPMW03!$B$6:$B$505,$A11)))</f>
        <v>0</v>
      </c>
      <c r="AP11" s="117">
        <f>IF($A11="","",IF($J11=0,"n.b.",SUMIFS(STG_ZPMW03!$CL$6:$CL$505,STG_ZPMW03!$B$6:$B$505,$A11)))</f>
        <v>0</v>
      </c>
      <c r="AQ11" s="117">
        <f>IF($A11="","",IF($J11=0,"n.b.",SUMIFS(STG_ZPMW03!$CN$6:$CN$505,STG_ZPMW03!$B$6:$B$505,$A11)))</f>
        <v>0</v>
      </c>
      <c r="AR11" s="117">
        <f>IF($A11="","",IF($J11=0,"n.b.",SUMIFS(STG_ZPMW03!$CP$6:$CP$505,STG_ZPMW03!$B$6:$B$505,$A11)))</f>
        <v>0</v>
      </c>
      <c r="AS11" s="117">
        <f>IF($A11="","",IF($J11=0,"n.b.",SUMIFS(STG_ZPMW03!$CR$6:$CR$505,STG_ZPMW03!$B$6:$B$505,$A11)))</f>
        <v>0</v>
      </c>
      <c r="AT11" s="117">
        <f>IF($A11="","",IF($K11=0,"n.b.",SUMIFS(STG_Woningetalage!$Q$6:$Q$505,STG_Woningetalage!$B$6:$B$505,$A11)))</f>
        <v>36</v>
      </c>
      <c r="AU11" s="117">
        <f>IF($A11="","",IF($K11=0,"n.b.",SUMIFS(STG_Woningetalage!$R$6:$R$505,STG_Woningetalage!$B$6:$B$505,$A11)))</f>
        <v>0</v>
      </c>
      <c r="AV11" s="117">
        <f>IF($A11="","",IF($K11=0,"n.b.",SUMIFS(STG_Woningetalage!$S$6:$S$505,STG_Woningetalage!$B$6:$B$505,$A11)))</f>
        <v>7</v>
      </c>
      <c r="AW11" s="117">
        <f>IF($A11="","",IF($K11=0,"n.b.",SUMIFS(STG_Woningetalage!$T$6:$T$505,STG_Woningetalage!$B$6:$B$505,$A11)))</f>
        <v>7</v>
      </c>
      <c r="AX11" s="117">
        <f>IF($A11="","",IF($K11=0,"n.b.",SUMIFS(STG_Woningetalage!$U$6:$U$505,STG_Woningetalage!$B$6:$B$505,$A11)))</f>
        <v>0</v>
      </c>
      <c r="AY11" s="117">
        <f>IF($A11="","",IF($K11=0,"n.b.",SUMIFS(STG_Woningetalage!$V$6:$V$505,STG_Woningetalage!$B$6:$B$505,$A11)))</f>
        <v>2</v>
      </c>
      <c r="AZ11" s="117">
        <f>IF($A11="","",IF($K11=0,"n.b.",SUMIFS(STG_Woningetalage!$W$6:$W$505,STG_Woningetalage!$B$6:$B$505,$A11)))</f>
        <v>2</v>
      </c>
      <c r="BA11" s="117">
        <f>IF($A11="","",IF($K11=0,"n.b.",SUMIFS(STG_Woningetalage!$X$6:$X$505,STG_Woningetalage!$B$6:$B$505,$A11)))</f>
        <v>0</v>
      </c>
      <c r="BB11" s="117">
        <f>IF($A11="","",IF($K11=0,"n.b.",SUMIFS(STG_Woningetalage!$Y$6:$Y$505,STG_Woningetalage!$B$6:$B$505,$A11)))</f>
        <v>9</v>
      </c>
      <c r="BC11" s="117">
        <f>IF($A11="","",IF($K11=0,"n.b.",SUMIFS(STG_Woningetalage!$Z$6:$Z$505,STG_Woningetalage!$B$6:$B$505,$A11)))</f>
        <v>9</v>
      </c>
      <c r="BD11" s="117">
        <f>IF($A11="","",IF($K11=0,"n.b.",SUMIFS(STG_Woningetalage!$AA$6:$AA$505,STG_Woningetalage!$B$6:$B$505,$A11)))</f>
        <v>27</v>
      </c>
      <c r="BE11" s="117">
        <f>IF($A11="","",IF($K11=0,"n.b.",SUMIFS(STG_Woningetalage!$AB$6:$AB$505,STG_Woningetalage!$B$6:$B$505,$A11)))</f>
        <v>0</v>
      </c>
      <c r="BF11" s="117">
        <f>IF($A11="","",IF($K11=0,"n.b.",SUMIFS(STG_Woningetalage!$AC$6:$AC$505,STG_Woningetalage!$B$6:$B$505,$A11)))</f>
        <v>0</v>
      </c>
      <c r="BG11" s="117">
        <f>IF($A11="","",IF($K11=0,"n.b.",SUMIFS(STG_Woningetalage!$AD$6:$AD$505,STG_Woningetalage!$B$6:$B$505,$A11)))</f>
        <v>0</v>
      </c>
      <c r="BH11" s="117">
        <f>IF($A11="","",IF($K11=0,"n.b.",SUMIFS(STG_Woningetalage!$AE$6:$AE$505,STG_Woningetalage!$B$6:$B$505,$A11)))</f>
        <v>0</v>
      </c>
      <c r="BI11" s="117">
        <f>IF($A11="","",IF($K11=0,"n.b.",SUMIFS(STG_Woningetalage!$AF$6:$AF$505,STG_Woningetalage!$B$6:$B$505,$A11)))</f>
        <v>1</v>
      </c>
      <c r="BJ11" s="117">
        <f>IF($A11="","",IF($K11=0,"n.b.",SUMIFS(STG_Woningetalage!$AG$6:$AG$505,STG_Woningetalage!$B$6:$B$505,$A11)))</f>
        <v>0</v>
      </c>
      <c r="BK11" s="117">
        <f>IF($A11="","",IF($K11=0,"n.b.",SUMIFS(STG_Woningetalage!$AH$6:$AH$505,STG_Woningetalage!$B$6:$B$505,$A11)))</f>
        <v>0</v>
      </c>
      <c r="BL11" s="117">
        <f>IF($A11="","",IF($K11=0,"n.b.",SUMIFS(STG_Woningetalage!$AI$6:$AI$505,STG_Woningetalage!$B$6:$B$505,$A11)))</f>
        <v>1</v>
      </c>
      <c r="BM11" s="117">
        <f>IF($A11="","",IF($K11=0,"n.b.",SUMIFS(STG_Woningetalage!$AJ$6:$AJ$505,STG_Woningetalage!$B$6:$B$505,$A11)))</f>
        <v>0</v>
      </c>
      <c r="BN11" s="117">
        <f>IF($A11="","",IF($K11=0,"n.b.",SUMIFS(STG_Woningetalage!$AK$6:$AK$505,STG_Woningetalage!$B$6:$B$505,$A11)))</f>
        <v>0</v>
      </c>
      <c r="BO11" s="117">
        <f>IF($A11="","",IF($K11=0,"n.b.",SUMIFS(STG_Woningetalage!$AL$6:$AL$505,STG_Woningetalage!$B$6:$B$505,$A11)))</f>
        <v>0</v>
      </c>
      <c r="BP11" s="117">
        <f>IF($A11="","",IF($K11=0,"n.b.",SUMIFS(STG_Woningetalage!$AM$6:$AM$505,STG_Woningetalage!$B$6:$B$505,$A11)))</f>
        <v>7</v>
      </c>
      <c r="BQ11" s="117">
        <f>IF($A11="","",IF($K11=0,"n.b.",SUMIFS(STG_Woningetalage!$BE$6:$BE$505,STG_Woningetalage!$B$6:$B$505,$A11)))</f>
        <v>0</v>
      </c>
      <c r="BR11" s="117">
        <f>IF($A11="","",IF($K11=0,"n.b.",SUMIFS(STG_Woningetalage!$BF$6:$BF$505,STG_Woningetalage!$B$6:$B$505,$A11)))</f>
        <v>1</v>
      </c>
      <c r="BS11" s="117">
        <f>IF($A11="","",IF($K11=0,"n.b.",SUMIFS(STG_Woningetalage!$BG$6:$BG$505,STG_Woningetalage!$B$6:$B$505,$A11)))</f>
        <v>1</v>
      </c>
      <c r="BT11" s="117">
        <f>IF($A11="","",IF($K11=0,"n.b.",SUMIFS(STG_Woningetalage!$BH$6:$BH$505,STG_Woningetalage!$B$6:$B$505,$A11)))</f>
        <v>7</v>
      </c>
      <c r="BU11" s="117">
        <f>IF($A11="","",IF($K11=0,"n.b.",SUMIFS(STG_Woningetalage!$BI$6:$BI$505,STG_Woningetalage!$B$6:$B$505,$A11)))</f>
        <v>2</v>
      </c>
      <c r="BV11" s="117">
        <f>IF($A11="","",IF($K11=0,"n.b.",SUMIFS(STG_Woningetalage!$BJ$6:$BJ$505,STG_Woningetalage!$B$6:$B$505,$A11)))</f>
        <v>7</v>
      </c>
      <c r="BW11" s="117">
        <f>IF($A11="","",IF($K11=0,"n.b.",SUMIFS(STG_Woningetalage!$AR$6:$AR$505,STG_Woningetalage!$B$6:$B$505,$A11)))</f>
        <v>9</v>
      </c>
      <c r="BX11" s="117">
        <f>IF($A11="","",IF($K11=0,"n.b.",SUMIFS(STG_Woningetalage!$AS$6:$AS$505,STG_Woningetalage!$B$6:$B$505,$A11)))</f>
        <v>13</v>
      </c>
      <c r="BY11" s="117">
        <f>IF($A11="","",IF($K11=0,"n.b.",SUMIFS(STG_Woningetalage!$AN$6:$AN$505,STG_Woningetalage!$B$6:$B$505,$A11)))</f>
        <v>3</v>
      </c>
      <c r="BZ11" s="117">
        <f>IF($A11="","",IF($K11=0,"n.b.",SUMIFS(STG_Woningetalage!$AO$6:$AO$505,STG_Woningetalage!$B$6:$B$505,$A11)))</f>
        <v>3</v>
      </c>
      <c r="CA11" s="117">
        <f>IF($A11="","",IF($K11=0,"n.b.",SUMIFS(STG_Woningetalage!$AP$6:$AP$505,STG_Woningetalage!$B$6:$B$505,$A11)))</f>
        <v>3</v>
      </c>
      <c r="CB11" s="117">
        <f>IF($A11="","",IF($K11=0,"n.b.",SUMIFS(STG_Woningetalage!$AQ$6:$AQ$505,STG_Woningetalage!$B$6:$B$505,$A11)))</f>
        <v>4</v>
      </c>
      <c r="CC11" s="117">
        <f>IF($A11="","",IF($K11=0,"n.b.",SUMIFS(STG_Woningetalage!$AU$6:$AU$505,STG_Woningetalage!$B$6:$B$505,$A11)))</f>
        <v>7</v>
      </c>
      <c r="CD11" s="92">
        <f>IF($A11="","",IFERROR(INDEX(STG_ZPMW03!$L$6:$L$505,MATCH($A11,STG_ZPMW03!$B$6:$B$505,0)),"n.b."))</f>
        <v>100</v>
      </c>
      <c r="CE11" s="92" t="str">
        <f>IF($A11="","",IFERROR(INDEX(STG_ZPMW03!$K$6:$K$505,MATCH($A11,STG_ZPMW03!$B$6:$B$505,0)),"n.b."))</f>
        <v>VRIJ VEN3</v>
      </c>
      <c r="CF11" s="92">
        <f>IF($A11="","",IFERROR(INDEX(STG_ZPMW03!$BH$6:$BH$505,MATCH($A11,STG_ZPMW03!$B$6:$B$505,0)),"n.b."))</f>
        <v>46174.0</v>
      </c>
      <c r="CG11" s="92">
        <f>IF($A11="","",IFERROR(INDEX(STG_ZPMW03!$BI$6:$BI$505,MATCH($A11,STG_ZPMW03!$B$6:$B$505,0)),"n.b."))</f>
        <v>202812</v>
      </c>
      <c r="CH11" s="92">
        <f>IF($A11="","",IFERROR(INDEX(STG_ZPMW03!$BJ$6:$BJ$505,MATCH($A11,STG_ZPMW03!$B$6:$B$505,0)),"n.b."))</f>
        <v>3</v>
      </c>
      <c r="CI11" s="92">
        <f>IF($A11="","",IFERROR(INDEX(STG_ZPMW03!$BF$6:$BF$505,MATCH($A11,STG_ZPMW03!$B$6:$B$505,0)),"n.b."))</f>
        <v>24.7</v>
      </c>
      <c r="CJ11" s="92">
        <f>IF($A11="","",IFERROR(INDEX(STG_ZPMW03!$BG$6:$BG$505,MATCH($A11,STG_ZPMW03!$B$6:$B$505,0)),"n.b."))</f>
        <v>46174.0</v>
      </c>
      <c r="CK11" s="92" t="str">
        <f>IF($A11="","",IFERROR(INDEX(STG_ZPMW03!$H$6:$H$505,MATCH($A11,STG_ZPMW03!$B$6:$B$505,0)),"n.b."))</f>
        <v>WO-Wonen</v>
      </c>
      <c r="CL11" s="92" t="str">
        <f>IF($A11="","",IFERROR(INDEX(STG_ZPMW03!$E$6:$E$505,MATCH($A11,STG_ZPMW03!$B$6:$B$505,0)),"n.b."))</f>
        <v>Demo Ontwikkeling BV</v>
      </c>
      <c r="CM11" s="92" t="str">
        <f>IF($A11="","",IFERROR(INDEX(STG_ZPMW03!$G$6:$G$505,MATCH($A11,STG_ZPMW03!$B$6:$B$505,0)),"n.b."))</f>
        <v>Demo Regio</v>
      </c>
      <c r="CN11" s="92">
        <f>IF($A11="","",IFERROR(INDEX(STG_Woningetalage!$N$6:$N$505,MATCH($A11,STG_Woningetalage!$B$6:$B$505,0)),"n.b."))</f>
        <v>45931.0</v>
      </c>
      <c r="CO11" s="92">
        <f>IF($A11="","",IFERROR(INDEX(STG_Woningetalage!$P$6:$P$505,MATCH($A11,STG_Woningetalage!$B$6:$B$505,0)),"n.b."))</f>
        <v>47088.0</v>
      </c>
      <c r="CP11" s="118">
        <f>IF($A11="","",IF(AND(ISNUMBER(AT11),ISNUMBER(F11)),IF(F11&gt;0,AT11/(F11/100),"n.b."),"n.b."))</f>
        <v>36</v>
      </c>
      <c r="CQ11" s="116">
        <f>IF($A11="","",IF(ISNUMBER(Q11),IF(Q11&lt;0,1,0),0))</f>
        <v>0</v>
      </c>
      <c r="CR11" s="116" t="str">
        <f>IF(CQ11=1,COUNTIF($CQ$6:CQ11,1),"")</f>
        <v/>
      </c>
      <c r="CS11" s="116" t="str">
        <f>IF(AND($A11&lt;&gt;"",$J11=0),COUNTIFS($A$6:$A11,"?*",$J$6:$J11,0),"")</f>
        <v/>
      </c>
      <c r="CT11" s="119">
        <f>IF($A11="","",IF(AND(ISNUMBER(Q11),ISNUMBER(P11)),IF(P11&lt;&gt;0,Q11/P11,"n.b."),"n.b."))</f>
        <v>0.14</v>
      </c>
    </row>
    <row r="12">
      <c r="A12" s="92" t="str">
        <f>IF(Mapping!$A11="","",Mapping!$A11)</f>
        <v>G.900007.8.9090</v>
      </c>
      <c r="B12" s="92" t="str">
        <f>IF(Mapping!$B11="","",Mapping!$B11)</f>
        <v>G.900007</v>
      </c>
      <c r="C12" s="92" t="str">
        <f>IF(Mapping!$C11="","",Mapping!$C11)</f>
        <v>Rietdam, Havenkwartier</v>
      </c>
      <c r="D12" s="92" t="str">
        <f>IF(Mapping!$F11="","",Mapping!$F11)</f>
        <v>Opstal</v>
      </c>
      <c r="E12" s="92" t="str">
        <f>IF(Mapping!$H11="","",Mapping!$H11)</f>
        <v>Grondgebonden</v>
      </c>
      <c r="F12" s="92">
        <f>IF(Mapping!$E11="","",Mapping!$E11)</f>
        <v>100</v>
      </c>
      <c r="G12" s="92" t="str">
        <f>IF(Mapping!$G11="","",Mapping!$G11)</f>
        <v>Ja</v>
      </c>
      <c r="H12" s="92">
        <f>IF(Mapping!$D11="","",Mapping!$D11)</f>
        <v>64</v>
      </c>
      <c r="I12" s="92" t="str">
        <f>IF($A12="","",IFERROR(INDEX(STG_ZPMW03!$C$6:$C$505,MATCH($A12,STG_ZPMW03!$B$6:$B$505,0)),"n.b."))</f>
        <v>J</v>
      </c>
      <c r="J12" s="116">
        <f>IF($A12="","",COUNTIF(STG_ZPMW03!$B$6:$B$505,$A12))</f>
        <v>1</v>
      </c>
      <c r="K12" s="116">
        <f>IF($A12="","",COUNTIF(STG_Woningetalage!$B$6:$B$505,$A12))</f>
        <v>1</v>
      </c>
      <c r="L12" s="117">
        <f>IF($A12="","",IF($J12=0,"n.b.",SUMIFS(STG_ZPMW03!$BK$6:$BK$505,STG_ZPMW03!$B$6:$B$505,$A12)))</f>
        <v>3952000</v>
      </c>
      <c r="M12" s="117">
        <f>IF($A12="","",IF($J12=0,"n.b.",SUMIFS(STG_ZPMW03!$BL$6:$BL$505,STG_ZPMW03!$B$6:$B$505,$A12)))</f>
        <v>395200</v>
      </c>
      <c r="N12" s="117">
        <f>IF($A12="","",IF($J12=0,"n.b.",SUMIFS(STG_ZPMW03!$BM$6:$BM$505,STG_ZPMW03!$B$6:$B$505,$A12)))</f>
        <v>2128000</v>
      </c>
      <c r="O12" s="117">
        <f>IF($A12="","",IF($J12=0,"n.b.",SUMIFS(STG_ZPMW03!$BN$6:$BN$505,STG_ZPMW03!$B$6:$B$505,$A12)))</f>
        <v>212800</v>
      </c>
      <c r="P12" s="117">
        <f>IF($A12="","",IF($J12=0,"n.b.",SUMIFS(STG_ZPMW03!$BO$6:$BO$505,STG_ZPMW03!$B$6:$B$505,$A12)))</f>
        <v>6080000</v>
      </c>
      <c r="Q12" s="117">
        <f>IF($A12="","",IF($J12=0,"n.b.",SUMIFS(STG_ZPMW03!$BP$6:$BP$505,STG_ZPMW03!$B$6:$B$505,$A12)))</f>
        <v>608000</v>
      </c>
      <c r="R12" s="117">
        <f>IF($A12="","",IF($J12=0,"n.b.",SUMIFS(STG_ZPMW03!$BQ$6:$BQ$505,STG_ZPMW03!$B$6:$B$505,$A12)))</f>
        <v>11856000</v>
      </c>
      <c r="S12" s="117">
        <f>IF($A12="","",IF($J12=0,"n.b.",SUMIFS(STG_ZPMW03!$BR$6:$BR$505,STG_ZPMW03!$B$6:$B$505,$A12)))</f>
        <v>1185600</v>
      </c>
      <c r="T12" s="117">
        <f>IF($A12="","",IF($J12=0,"n.b.",SUMIFS(STG_ZPMW03!$BS$6:$BS$505,STG_ZPMW03!$B$6:$B$505,$A12)))</f>
        <v>2128000</v>
      </c>
      <c r="U12" s="117">
        <f>IF($A12="","",IF($J12=0,"n.b.",SUMIFS(STG_ZPMW03!$BT$6:$BT$505,STG_ZPMW03!$B$6:$B$505,$A12)))</f>
        <v>212800</v>
      </c>
      <c r="V12" s="117">
        <f>IF($A12="","",IF($J12=0,"n.b.",SUMIFS(STG_ZPMW03!$BU$6:$BU$505,STG_ZPMW03!$B$6:$B$505,$A12)))</f>
        <v>2371200</v>
      </c>
      <c r="W12" s="117">
        <f>IF($A12="","",IF($J12=0,"n.b.",SUMIFS(STG_ZPMW03!$BW$6:$BW$505,STG_ZPMW03!$B$6:$B$505,$A12)))</f>
        <v>2964000</v>
      </c>
      <c r="X12" s="117">
        <f>IF($A12="","",IF($J12=0,"n.b.",SUMIFS(STG_ZPMW03!$BY$6:$BY$505,STG_ZPMW03!$B$6:$B$505,$A12)))</f>
        <v>3556800</v>
      </c>
      <c r="Y12" s="117">
        <f>IF($A12="","",IF($J12=0,"n.b.",SUMIFS(STG_ZPMW03!$CA$6:$CA$505,STG_ZPMW03!$B$6:$B$505,$A12)))</f>
        <v>2964000</v>
      </c>
      <c r="Z12" s="117">
        <f>IF($A12="","",IF($J12=0,"n.b.",SUMIFS(STG_ZPMW03!$BV$6:$BV$505,STG_ZPMW03!$B$6:$B$505,$A12)))</f>
        <v>237120</v>
      </c>
      <c r="AA12" s="117">
        <f>IF($A12="","",IF($J12=0,"n.b.",SUMIFS(STG_ZPMW03!$BX$6:$BX$505,STG_ZPMW03!$B$6:$B$505,$A12)))</f>
        <v>296400</v>
      </c>
      <c r="AB12" s="117">
        <f>IF($A12="","",IF($J12=0,"n.b.",SUMIFS(STG_ZPMW03!$BZ$6:$BZ$505,STG_ZPMW03!$B$6:$B$505,$A12)))</f>
        <v>355680</v>
      </c>
      <c r="AC12" s="117">
        <f>IF($A12="","",IF($J12=0,"n.b.",SUMIFS(STG_ZPMW03!$CB$6:$CB$505,STG_ZPMW03!$B$6:$B$505,$A12)))</f>
        <v>296400</v>
      </c>
      <c r="AD12" s="117">
        <f>IF($A12="","",IF($J12=0,"n.b.",SUMIFS(STG_ZPMW03!$CC$6:$CC$505,STG_ZPMW03!$B$6:$B$505,$A12)))</f>
        <v>6384000</v>
      </c>
      <c r="AE12" s="117">
        <f>IF($A12="","",IF($J12=0,"n.b.",SUMIFS(STG_ZPMW03!$CE$6:$CE$505,STG_ZPMW03!$B$6:$B$505,$A12)))</f>
        <v>0</v>
      </c>
      <c r="AF12" s="117">
        <f>IF($A12="","",IF($J12=0,"n.b.",SUMIFS(STG_ZPMW03!$CG$6:$CG$505,STG_ZPMW03!$B$6:$B$505,$A12)))</f>
        <v>0</v>
      </c>
      <c r="AG12" s="117">
        <f>IF($A12="","",IF($J12=0,"n.b.",SUMIFS(STG_ZPMW03!$CI$6:$CI$505,STG_ZPMW03!$B$6:$B$505,$A12)))</f>
        <v>0</v>
      </c>
      <c r="AH12" s="117">
        <f>IF($A12="","",IF($J12=0,"n.b.",SUMIFS(STG_ZPMW03!$CK$6:$CK$505,STG_ZPMW03!$B$6:$B$505,$A12)))</f>
        <v>0</v>
      </c>
      <c r="AI12" s="117">
        <f>IF($A12="","",IF($J12=0,"n.b.",SUMIFS(STG_ZPMW03!$CM$6:$CM$505,STG_ZPMW03!$B$6:$B$505,$A12)))</f>
        <v>0</v>
      </c>
      <c r="AJ12" s="117">
        <f>IF($A12="","",IF($J12=0,"n.b.",SUMIFS(STG_ZPMW03!$CO$6:$CO$505,STG_ZPMW03!$B$6:$B$505,$A12)))</f>
        <v>0</v>
      </c>
      <c r="AK12" s="117">
        <f>IF($A12="","",IF($J12=0,"n.b.",SUMIFS(STG_ZPMW03!$CQ$6:$CQ$505,STG_ZPMW03!$B$6:$B$505,$A12)))</f>
        <v>0</v>
      </c>
      <c r="AL12" s="117">
        <f>IF($A12="","",IF($J12=0,"n.b.",SUMIFS(STG_ZPMW03!$CD$6:$CD$505,STG_ZPMW03!$B$6:$B$505,$A12)))</f>
        <v>638400</v>
      </c>
      <c r="AM12" s="117">
        <f>IF($A12="","",IF($J12=0,"n.b.",SUMIFS(STG_ZPMW03!$CF$6:$CF$505,STG_ZPMW03!$B$6:$B$505,$A12)))</f>
        <v>0</v>
      </c>
      <c r="AN12" s="117">
        <f>IF($A12="","",IF($J12=0,"n.b.",SUMIFS(STG_ZPMW03!$CH$6:$CH$505,STG_ZPMW03!$B$6:$B$505,$A12)))</f>
        <v>0</v>
      </c>
      <c r="AO12" s="117">
        <f>IF($A12="","",IF($J12=0,"n.b.",SUMIFS(STG_ZPMW03!$CJ$6:$CJ$505,STG_ZPMW03!$B$6:$B$505,$A12)))</f>
        <v>0</v>
      </c>
      <c r="AP12" s="117">
        <f>IF($A12="","",IF($J12=0,"n.b.",SUMIFS(STG_ZPMW03!$CL$6:$CL$505,STG_ZPMW03!$B$6:$B$505,$A12)))</f>
        <v>0</v>
      </c>
      <c r="AQ12" s="117">
        <f>IF($A12="","",IF($J12=0,"n.b.",SUMIFS(STG_ZPMW03!$CN$6:$CN$505,STG_ZPMW03!$B$6:$B$505,$A12)))</f>
        <v>0</v>
      </c>
      <c r="AR12" s="117">
        <f>IF($A12="","",IF($J12=0,"n.b.",SUMIFS(STG_ZPMW03!$CP$6:$CP$505,STG_ZPMW03!$B$6:$B$505,$A12)))</f>
        <v>0</v>
      </c>
      <c r="AS12" s="117">
        <f>IF($A12="","",IF($J12=0,"n.b.",SUMIFS(STG_ZPMW03!$CR$6:$CR$505,STG_ZPMW03!$B$6:$B$505,$A12)))</f>
        <v>0</v>
      </c>
      <c r="AT12" s="117">
        <f>IF($A12="","",IF($K12=0,"n.b.",SUMIFS(STG_Woningetalage!$Q$6:$Q$505,STG_Woningetalage!$B$6:$B$505,$A12)))</f>
        <v>64</v>
      </c>
      <c r="AU12" s="117">
        <f>IF($A12="","",IF($K12=0,"n.b.",SUMIFS(STG_Woningetalage!$R$6:$R$505,STG_Woningetalage!$B$6:$B$505,$A12)))</f>
        <v>0</v>
      </c>
      <c r="AV12" s="117">
        <f>IF($A12="","",IF($K12=0,"n.b.",SUMIFS(STG_Woningetalage!$S$6:$S$505,STG_Woningetalage!$B$6:$B$505,$A12)))</f>
        <v>0</v>
      </c>
      <c r="AW12" s="117">
        <f>IF($A12="","",IF($K12=0,"n.b.",SUMIFS(STG_Woningetalage!$T$6:$T$505,STG_Woningetalage!$B$6:$B$505,$A12)))</f>
        <v>0</v>
      </c>
      <c r="AX12" s="117">
        <f>IF($A12="","",IF($K12=0,"n.b.",SUMIFS(STG_Woningetalage!$U$6:$U$505,STG_Woningetalage!$B$6:$B$505,$A12)))</f>
        <v>0</v>
      </c>
      <c r="AY12" s="117">
        <f>IF($A12="","",IF($K12=0,"n.b.",SUMIFS(STG_Woningetalage!$V$6:$V$505,STG_Woningetalage!$B$6:$B$505,$A12)))</f>
        <v>9</v>
      </c>
      <c r="AZ12" s="117">
        <f>IF($A12="","",IF($K12=0,"n.b.",SUMIFS(STG_Woningetalage!$W$6:$W$505,STG_Woningetalage!$B$6:$B$505,$A12)))</f>
        <v>9</v>
      </c>
      <c r="BA12" s="117">
        <f>IF($A12="","",IF($K12=0,"n.b.",SUMIFS(STG_Woningetalage!$X$6:$X$505,STG_Woningetalage!$B$6:$B$505,$A12)))</f>
        <v>0</v>
      </c>
      <c r="BB12" s="117">
        <f>IF($A12="","",IF($K12=0,"n.b.",SUMIFS(STG_Woningetalage!$Y$6:$Y$505,STG_Woningetalage!$B$6:$B$505,$A12)))</f>
        <v>9</v>
      </c>
      <c r="BC12" s="117">
        <f>IF($A12="","",IF($K12=0,"n.b.",SUMIFS(STG_Woningetalage!$Z$6:$Z$505,STG_Woningetalage!$B$6:$B$505,$A12)))</f>
        <v>9</v>
      </c>
      <c r="BD12" s="117">
        <f>IF($A12="","",IF($K12=0,"n.b.",SUMIFS(STG_Woningetalage!$AA$6:$AA$505,STG_Woningetalage!$B$6:$B$505,$A12)))</f>
        <v>55</v>
      </c>
      <c r="BE12" s="117">
        <f>IF($A12="","",IF($K12=0,"n.b.",SUMIFS(STG_Woningetalage!$AB$6:$AB$505,STG_Woningetalage!$B$6:$B$505,$A12)))</f>
        <v>0</v>
      </c>
      <c r="BF12" s="117">
        <f>IF($A12="","",IF($K12=0,"n.b.",SUMIFS(STG_Woningetalage!$AC$6:$AC$505,STG_Woningetalage!$B$6:$B$505,$A12)))</f>
        <v>0</v>
      </c>
      <c r="BG12" s="117">
        <f>IF($A12="","",IF($K12=0,"n.b.",SUMIFS(STG_Woningetalage!$AD$6:$AD$505,STG_Woningetalage!$B$6:$B$505,$A12)))</f>
        <v>1</v>
      </c>
      <c r="BH12" s="117">
        <f>IF($A12="","",IF($K12=0,"n.b.",SUMIFS(STG_Woningetalage!$AE$6:$AE$505,STG_Woningetalage!$B$6:$B$505,$A12)))</f>
        <v>1</v>
      </c>
      <c r="BI12" s="117">
        <f>IF($A12="","",IF($K12=0,"n.b.",SUMIFS(STG_Woningetalage!$AF$6:$AF$505,STG_Woningetalage!$B$6:$B$505,$A12)))</f>
        <v>2</v>
      </c>
      <c r="BJ12" s="117">
        <f>IF($A12="","",IF($K12=0,"n.b.",SUMIFS(STG_Woningetalage!$AG$6:$AG$505,STG_Woningetalage!$B$6:$B$505,$A12)))</f>
        <v>1</v>
      </c>
      <c r="BK12" s="117">
        <f>IF($A12="","",IF($K12=0,"n.b.",SUMIFS(STG_Woningetalage!$AH$6:$AH$505,STG_Woningetalage!$B$6:$B$505,$A12)))</f>
        <v>1</v>
      </c>
      <c r="BL12" s="117">
        <f>IF($A12="","",IF($K12=0,"n.b.",SUMIFS(STG_Woningetalage!$AI$6:$AI$505,STG_Woningetalage!$B$6:$B$505,$A12)))</f>
        <v>2</v>
      </c>
      <c r="BM12" s="117">
        <f>IF($A12="","",IF($K12=0,"n.b.",SUMIFS(STG_Woningetalage!$AJ$6:$AJ$505,STG_Woningetalage!$B$6:$B$505,$A12)))</f>
        <v>1</v>
      </c>
      <c r="BN12" s="117">
        <f>IF($A12="","",IF($K12=0,"n.b.",SUMIFS(STG_Woningetalage!$AK$6:$AK$505,STG_Woningetalage!$B$6:$B$505,$A12)))</f>
        <v>0</v>
      </c>
      <c r="BO12" s="117">
        <f>IF($A12="","",IF($K12=0,"n.b.",SUMIFS(STG_Woningetalage!$AL$6:$AL$505,STG_Woningetalage!$B$6:$B$505,$A12)))</f>
        <v>0</v>
      </c>
      <c r="BP12" s="117">
        <f>IF($A12="","",IF($K12=0,"n.b.",SUMIFS(STG_Woningetalage!$AM$6:$AM$505,STG_Woningetalage!$B$6:$B$505,$A12)))</f>
        <v>12</v>
      </c>
      <c r="BQ12" s="117">
        <f>IF($A12="","",IF($K12=0,"n.b.",SUMIFS(STG_Woningetalage!$BE$6:$BE$505,STG_Woningetalage!$B$6:$B$505,$A12)))</f>
        <v>1</v>
      </c>
      <c r="BR12" s="117">
        <f>IF($A12="","",IF($K12=0,"n.b.",SUMIFS(STG_Woningetalage!$BF$6:$BF$505,STG_Woningetalage!$B$6:$B$505,$A12)))</f>
        <v>4</v>
      </c>
      <c r="BS12" s="117">
        <f>IF($A12="","",IF($K12=0,"n.b.",SUMIFS(STG_Woningetalage!$BG$6:$BG$505,STG_Woningetalage!$B$6:$B$505,$A12)))</f>
        <v>4</v>
      </c>
      <c r="BT12" s="117">
        <f>IF($A12="","",IF($K12=0,"n.b.",SUMIFS(STG_Woningetalage!$BH$6:$BH$505,STG_Woningetalage!$B$6:$B$505,$A12)))</f>
        <v>12</v>
      </c>
      <c r="BU12" s="117">
        <f>IF($A12="","",IF($K12=0,"n.b.",SUMIFS(STG_Woningetalage!$BI$6:$BI$505,STG_Woningetalage!$B$6:$B$505,$A12)))</f>
        <v>9</v>
      </c>
      <c r="BV12" s="117">
        <f>IF($A12="","",IF($K12=0,"n.b.",SUMIFS(STG_Woningetalage!$BJ$6:$BJ$505,STG_Woningetalage!$B$6:$B$505,$A12)))</f>
        <v>12</v>
      </c>
      <c r="BW12" s="117">
        <f>IF($A12="","",IF($K12=0,"n.b.",SUMIFS(STG_Woningetalage!$AR$6:$AR$505,STG_Woningetalage!$B$6:$B$505,$A12)))</f>
        <v>21</v>
      </c>
      <c r="BX12" s="117">
        <f>IF($A12="","",IF($K12=0,"n.b.",SUMIFS(STG_Woningetalage!$AS$6:$AS$505,STG_Woningetalage!$B$6:$B$505,$A12)))</f>
        <v>28</v>
      </c>
      <c r="BY12" s="117">
        <f>IF($A12="","",IF($K12=0,"n.b.",SUMIFS(STG_Woningetalage!$AN$6:$AN$505,STG_Woningetalage!$B$6:$B$505,$A12)))</f>
        <v>8</v>
      </c>
      <c r="BZ12" s="117">
        <f>IF($A12="","",IF($K12=0,"n.b.",SUMIFS(STG_Woningetalage!$AO$6:$AO$505,STG_Woningetalage!$B$6:$B$505,$A12)))</f>
        <v>7</v>
      </c>
      <c r="CA12" s="117">
        <f>IF($A12="","",IF($K12=0,"n.b.",SUMIFS(STG_Woningetalage!$AP$6:$AP$505,STG_Woningetalage!$B$6:$B$505,$A12)))</f>
        <v>7</v>
      </c>
      <c r="CB12" s="117">
        <f>IF($A12="","",IF($K12=0,"n.b.",SUMIFS(STG_Woningetalage!$AQ$6:$AQ$505,STG_Woningetalage!$B$6:$B$505,$A12)))</f>
        <v>6</v>
      </c>
      <c r="CC12" s="117">
        <f>IF($A12="","",IF($K12=0,"n.b.",SUMIFS(STG_Woningetalage!$AU$6:$AU$505,STG_Woningetalage!$B$6:$B$505,$A12)))</f>
        <v>15</v>
      </c>
      <c r="CD12" s="92">
        <f>IF($A12="","",IFERROR(INDEX(STG_ZPMW03!$L$6:$L$505,MATCH($A12,STG_ZPMW03!$B$6:$B$505,0)),"n.b."))</f>
        <v>80</v>
      </c>
      <c r="CE12" s="92" t="str">
        <f>IF($A12="","",IFERROR(INDEX(STG_ZPMW03!$K$6:$K$505,MATCH($A12,STG_ZPMW03!$B$6:$B$505,0)),"n.b."))</f>
        <v>VRIJ VEN3</v>
      </c>
      <c r="CF12" s="92">
        <f>IF($A12="","",IFERROR(INDEX(STG_ZPMW03!$BH$6:$BH$505,MATCH($A12,STG_ZPMW03!$B$6:$B$505,0)),"n.b."))</f>
        <v>46204.0</v>
      </c>
      <c r="CG12" s="92">
        <f>IF($A12="","",IFERROR(INDEX(STG_ZPMW03!$BI$6:$BI$505,MATCH($A12,STG_ZPMW03!$B$6:$B$505,0)),"n.b."))</f>
        <v>202812</v>
      </c>
      <c r="CH12" s="92">
        <f>IF($A12="","",IFERROR(INDEX(STG_ZPMW03!$BJ$6:$BJ$505,MATCH($A12,STG_ZPMW03!$B$6:$B$505,0)),"n.b."))</f>
        <v>1</v>
      </c>
      <c r="CI12" s="92">
        <f>IF($A12="","",IFERROR(INDEX(STG_ZPMW03!$BF$6:$BF$505,MATCH($A12,STG_ZPMW03!$B$6:$B$505,0)),"n.b."))</f>
        <v>16.25</v>
      </c>
      <c r="CJ12" s="92">
        <f>IF($A12="","",IFERROR(INDEX(STG_ZPMW03!$BG$6:$BG$505,MATCH($A12,STG_ZPMW03!$B$6:$B$505,0)),"n.b."))</f>
        <v>46204.0</v>
      </c>
      <c r="CK12" s="92" t="str">
        <f>IF($A12="","",IFERROR(INDEX(STG_ZPMW03!$H$6:$H$505,MATCH($A12,STG_ZPMW03!$B$6:$B$505,0)),"n.b."))</f>
        <v>WO-Wonen</v>
      </c>
      <c r="CL12" s="92" t="str">
        <f>IF($A12="","",IFERROR(INDEX(STG_ZPMW03!$E$6:$E$505,MATCH($A12,STG_ZPMW03!$B$6:$B$505,0)),"n.b."))</f>
        <v>Demo Ontwikkeling BV</v>
      </c>
      <c r="CM12" s="92" t="str">
        <f>IF($A12="","",IFERROR(INDEX(STG_ZPMW03!$G$6:$G$505,MATCH($A12,STG_ZPMW03!$B$6:$B$505,0)),"n.b."))</f>
        <v>Demo Regio</v>
      </c>
      <c r="CN12" s="92">
        <f>IF($A12="","",IFERROR(INDEX(STG_Woningetalage!$N$6:$N$505,MATCH($A12,STG_Woningetalage!$B$6:$B$505,0)),"n.b."))</f>
        <v>45931.0</v>
      </c>
      <c r="CO12" s="92">
        <f>IF($A12="","",IFERROR(INDEX(STG_Woningetalage!$P$6:$P$505,MATCH($A12,STG_Woningetalage!$B$6:$B$505,0)),"n.b."))</f>
        <v>47088.0</v>
      </c>
      <c r="CP12" s="118">
        <f>IF($A12="","",IF(AND(ISNUMBER(AT12),ISNUMBER(F12)),IF(F12&gt;0,AT12/(F12/100),"n.b."),"n.b."))</f>
        <v>64</v>
      </c>
      <c r="CQ12" s="116">
        <f>IF($A12="","",IF(ISNUMBER(Q12),IF(Q12&lt;0,1,0),0))</f>
        <v>0</v>
      </c>
      <c r="CR12" s="116" t="str">
        <f>IF(CQ12=1,COUNTIF($CQ$6:CQ12,1),"")</f>
        <v/>
      </c>
      <c r="CS12" s="116" t="str">
        <f>IF(AND($A12&lt;&gt;"",$J12=0),COUNTIFS($A$6:$A12,"?*",$J$6:$J12,0),"")</f>
        <v/>
      </c>
      <c r="CT12" s="119">
        <f>IF($A12="","",IF(AND(ISNUMBER(Q12),ISNUMBER(P12)),IF(P12&lt;&gt;0,Q12/P12,"n.b."),"n.b."))</f>
        <v>0.1</v>
      </c>
    </row>
    <row r="13">
      <c r="A13" s="92" t="str">
        <f>IF(Mapping!$A12="","",Mapping!$A12)</f>
        <v>G.900008.8.9090</v>
      </c>
      <c r="B13" s="92" t="str">
        <f>IF(Mapping!$B12="","",Mapping!$B12)</f>
        <v>G.900008</v>
      </c>
      <c r="C13" s="92" t="str">
        <f>IF(Mapping!$C12="","",Mapping!$C12)</f>
        <v>Lindehaven, De Brink</v>
      </c>
      <c r="D13" s="92" t="str">
        <f>IF(Mapping!$F12="","",Mapping!$F12)</f>
        <v>Opstal</v>
      </c>
      <c r="E13" s="92" t="str">
        <f>IF(Mapping!$H12="","",Mapping!$H12)</f>
        <v>Appartement</v>
      </c>
      <c r="F13" s="92">
        <f>IF(Mapping!$E12="","",Mapping!$E12)</f>
        <v>100</v>
      </c>
      <c r="G13" s="92" t="str">
        <f>IF(Mapping!$G12="","",Mapping!$G12)</f>
        <v>Ja</v>
      </c>
      <c r="H13" s="92">
        <f>IF(Mapping!$D12="","",Mapping!$D12)</f>
        <v>42</v>
      </c>
      <c r="I13" s="92" t="str">
        <f>IF($A13="","",IFERROR(INDEX(STG_ZPMW03!$C$6:$C$505,MATCH($A13,STG_ZPMW03!$B$6:$B$505,0)),"n.b."))</f>
        <v>J</v>
      </c>
      <c r="J13" s="116">
        <f>IF($A13="","",COUNTIF(STG_ZPMW03!$B$6:$B$505,$A13))</f>
        <v>1</v>
      </c>
      <c r="K13" s="116">
        <f>IF($A13="","",COUNTIF(STG_Woningetalage!$B$6:$B$505,$A13))</f>
        <v>1</v>
      </c>
      <c r="L13" s="117">
        <f>IF($A13="","",IF($J13=0,"n.b.",SUMIFS(STG_ZPMW03!$BK$6:$BK$505,STG_ZPMW03!$B$6:$B$505,$A13)))</f>
        <v>1269450</v>
      </c>
      <c r="M13" s="117">
        <f>IF($A13="","",IF($J13=0,"n.b.",SUMIFS(STG_ZPMW03!$BL$6:$BL$505,STG_ZPMW03!$B$6:$B$505,$A13)))</f>
        <v>-38083.5</v>
      </c>
      <c r="N13" s="117">
        <f>IF($A13="","",IF($J13=0,"n.b.",SUMIFS(STG_ZPMW03!$BM$6:$BM$505,STG_ZPMW03!$B$6:$B$505,$A13)))</f>
        <v>683550</v>
      </c>
      <c r="O13" s="117">
        <f>IF($A13="","",IF($J13=0,"n.b.",SUMIFS(STG_ZPMW03!$BN$6:$BN$505,STG_ZPMW03!$B$6:$B$505,$A13)))</f>
        <v>-20506.5</v>
      </c>
      <c r="P13" s="117">
        <f>IF($A13="","",IF($J13=0,"n.b.",SUMIFS(STG_ZPMW03!$BO$6:$BO$505,STG_ZPMW03!$B$6:$B$505,$A13)))</f>
        <v>1953000</v>
      </c>
      <c r="Q13" s="117">
        <f>IF($A13="","",IF($J13=0,"n.b.",SUMIFS(STG_ZPMW03!$BP$6:$BP$505,STG_ZPMW03!$B$6:$B$505,$A13)))</f>
        <v>-58590</v>
      </c>
      <c r="R13" s="117">
        <f>IF($A13="","",IF($J13=0,"n.b.",SUMIFS(STG_ZPMW03!$BQ$6:$BQ$505,STG_ZPMW03!$B$6:$B$505,$A13)))</f>
        <v>7193550</v>
      </c>
      <c r="S13" s="117">
        <f>IF($A13="","",IF($J13=0,"n.b.",SUMIFS(STG_ZPMW03!$BR$6:$BR$505,STG_ZPMW03!$B$6:$B$505,$A13)))</f>
        <v>-215806.5</v>
      </c>
      <c r="T13" s="117">
        <f>IF($A13="","",IF($J13=0,"n.b.",SUMIFS(STG_ZPMW03!$BS$6:$BS$505,STG_ZPMW03!$B$6:$B$505,$A13)))</f>
        <v>683550</v>
      </c>
      <c r="U13" s="117">
        <f>IF($A13="","",IF($J13=0,"n.b.",SUMIFS(STG_ZPMW03!$BT$6:$BT$505,STG_ZPMW03!$B$6:$B$505,$A13)))</f>
        <v>-20506.5</v>
      </c>
      <c r="V13" s="117">
        <f>IF($A13="","",IF($J13=0,"n.b.",SUMIFS(STG_ZPMW03!$BU$6:$BU$505,STG_ZPMW03!$B$6:$B$505,$A13)))</f>
        <v>1438710</v>
      </c>
      <c r="W13" s="117">
        <f>IF($A13="","",IF($J13=0,"n.b.",SUMIFS(STG_ZPMW03!$BW$6:$BW$505,STG_ZPMW03!$B$6:$B$505,$A13)))</f>
        <v>1798387</v>
      </c>
      <c r="X13" s="117">
        <f>IF($A13="","",IF($J13=0,"n.b.",SUMIFS(STG_ZPMW03!$BY$6:$BY$505,STG_ZPMW03!$B$6:$B$505,$A13)))</f>
        <v>2158065</v>
      </c>
      <c r="Y13" s="117">
        <f>IF($A13="","",IF($J13=0,"n.b.",SUMIFS(STG_ZPMW03!$CA$6:$CA$505,STG_ZPMW03!$B$6:$B$505,$A13)))</f>
        <v>1798388</v>
      </c>
      <c r="Z13" s="117">
        <f>IF($A13="","",IF($J13=0,"n.b.",SUMIFS(STG_ZPMW03!$BV$6:$BV$505,STG_ZPMW03!$B$6:$B$505,$A13)))</f>
        <v>-43161.3</v>
      </c>
      <c r="AA13" s="117">
        <f>IF($A13="","",IF($J13=0,"n.b.",SUMIFS(STG_ZPMW03!$BX$6:$BX$505,STG_ZPMW03!$B$6:$B$505,$A13)))</f>
        <v>-53951.61</v>
      </c>
      <c r="AB13" s="117">
        <f>IF($A13="","",IF($J13=0,"n.b.",SUMIFS(STG_ZPMW03!$BZ$6:$BZ$505,STG_ZPMW03!$B$6:$B$505,$A13)))</f>
        <v>-64741.95</v>
      </c>
      <c r="AC13" s="117">
        <f>IF($A13="","",IF($J13=0,"n.b.",SUMIFS(STG_ZPMW03!$CB$6:$CB$505,STG_ZPMW03!$B$6:$B$505,$A13)))</f>
        <v>-53951.64</v>
      </c>
      <c r="AD13" s="117">
        <f>IF($A13="","",IF($J13=0,"n.b.",SUMIFS(STG_ZPMW03!$CC$6:$CC$505,STG_ZPMW03!$B$6:$B$505,$A13)))</f>
        <v>3873450</v>
      </c>
      <c r="AE13" s="117">
        <f>IF($A13="","",IF($J13=0,"n.b.",SUMIFS(STG_ZPMW03!$CE$6:$CE$505,STG_ZPMW03!$B$6:$B$505,$A13)))</f>
        <v>0</v>
      </c>
      <c r="AF13" s="117">
        <f>IF($A13="","",IF($J13=0,"n.b.",SUMIFS(STG_ZPMW03!$CG$6:$CG$505,STG_ZPMW03!$B$6:$B$505,$A13)))</f>
        <v>0</v>
      </c>
      <c r="AG13" s="117">
        <f>IF($A13="","",IF($J13=0,"n.b.",SUMIFS(STG_ZPMW03!$CI$6:$CI$505,STG_ZPMW03!$B$6:$B$505,$A13)))</f>
        <v>0</v>
      </c>
      <c r="AH13" s="117">
        <f>IF($A13="","",IF($J13=0,"n.b.",SUMIFS(STG_ZPMW03!$CK$6:$CK$505,STG_ZPMW03!$B$6:$B$505,$A13)))</f>
        <v>0</v>
      </c>
      <c r="AI13" s="117">
        <f>IF($A13="","",IF($J13=0,"n.b.",SUMIFS(STG_ZPMW03!$CM$6:$CM$505,STG_ZPMW03!$B$6:$B$505,$A13)))</f>
        <v>0</v>
      </c>
      <c r="AJ13" s="117">
        <f>IF($A13="","",IF($J13=0,"n.b.",SUMIFS(STG_ZPMW03!$CO$6:$CO$505,STG_ZPMW03!$B$6:$B$505,$A13)))</f>
        <v>0</v>
      </c>
      <c r="AK13" s="117">
        <f>IF($A13="","",IF($J13=0,"n.b.",SUMIFS(STG_ZPMW03!$CQ$6:$CQ$505,STG_ZPMW03!$B$6:$B$505,$A13)))</f>
        <v>0</v>
      </c>
      <c r="AL13" s="117">
        <f>IF($A13="","",IF($J13=0,"n.b.",SUMIFS(STG_ZPMW03!$CD$6:$CD$505,STG_ZPMW03!$B$6:$B$505,$A13)))</f>
        <v>-116203.5</v>
      </c>
      <c r="AM13" s="117">
        <f>IF($A13="","",IF($J13=0,"n.b.",SUMIFS(STG_ZPMW03!$CF$6:$CF$505,STG_ZPMW03!$B$6:$B$505,$A13)))</f>
        <v>0</v>
      </c>
      <c r="AN13" s="117">
        <f>IF($A13="","",IF($J13=0,"n.b.",SUMIFS(STG_ZPMW03!$CH$6:$CH$505,STG_ZPMW03!$B$6:$B$505,$A13)))</f>
        <v>0</v>
      </c>
      <c r="AO13" s="117">
        <f>IF($A13="","",IF($J13=0,"n.b.",SUMIFS(STG_ZPMW03!$CJ$6:$CJ$505,STG_ZPMW03!$B$6:$B$505,$A13)))</f>
        <v>0</v>
      </c>
      <c r="AP13" s="117">
        <f>IF($A13="","",IF($J13=0,"n.b.",SUMIFS(STG_ZPMW03!$CL$6:$CL$505,STG_ZPMW03!$B$6:$B$505,$A13)))</f>
        <v>0</v>
      </c>
      <c r="AQ13" s="117">
        <f>IF($A13="","",IF($J13=0,"n.b.",SUMIFS(STG_ZPMW03!$CN$6:$CN$505,STG_ZPMW03!$B$6:$B$505,$A13)))</f>
        <v>0</v>
      </c>
      <c r="AR13" s="117">
        <f>IF($A13="","",IF($J13=0,"n.b.",SUMIFS(STG_ZPMW03!$CP$6:$CP$505,STG_ZPMW03!$B$6:$B$505,$A13)))</f>
        <v>0</v>
      </c>
      <c r="AS13" s="117">
        <f>IF($A13="","",IF($J13=0,"n.b.",SUMIFS(STG_ZPMW03!$CR$6:$CR$505,STG_ZPMW03!$B$6:$B$505,$A13)))</f>
        <v>0</v>
      </c>
      <c r="AT13" s="117">
        <f>IF($A13="","",IF($K13=0,"n.b.",SUMIFS(STG_Woningetalage!$Q$6:$Q$505,STG_Woningetalage!$B$6:$B$505,$A13)))</f>
        <v>42</v>
      </c>
      <c r="AU13" s="117">
        <f>IF($A13="","",IF($K13=0,"n.b.",SUMIFS(STG_Woningetalage!$R$6:$R$505,STG_Woningetalage!$B$6:$B$505,$A13)))</f>
        <v>0</v>
      </c>
      <c r="AV13" s="117">
        <f>IF($A13="","",IF($K13=0,"n.b.",SUMIFS(STG_Woningetalage!$S$6:$S$505,STG_Woningetalage!$B$6:$B$505,$A13)))</f>
        <v>0</v>
      </c>
      <c r="AW13" s="117">
        <f>IF($A13="","",IF($K13=0,"n.b.",SUMIFS(STG_Woningetalage!$T$6:$T$505,STG_Woningetalage!$B$6:$B$505,$A13)))</f>
        <v>0</v>
      </c>
      <c r="AX13" s="117">
        <f>IF($A13="","",IF($K13=0,"n.b.",SUMIFS(STG_Woningetalage!$U$6:$U$505,STG_Woningetalage!$B$6:$B$505,$A13)))</f>
        <v>0</v>
      </c>
      <c r="AY13" s="117">
        <f>IF($A13="","",IF($K13=0,"n.b.",SUMIFS(STG_Woningetalage!$V$6:$V$505,STG_Woningetalage!$B$6:$B$505,$A13)))</f>
        <v>7</v>
      </c>
      <c r="AZ13" s="117">
        <f>IF($A13="","",IF($K13=0,"n.b.",SUMIFS(STG_Woningetalage!$W$6:$W$505,STG_Woningetalage!$B$6:$B$505,$A13)))</f>
        <v>7</v>
      </c>
      <c r="BA13" s="117">
        <f>IF($A13="","",IF($K13=0,"n.b.",SUMIFS(STG_Woningetalage!$X$6:$X$505,STG_Woningetalage!$B$6:$B$505,$A13)))</f>
        <v>0</v>
      </c>
      <c r="BB13" s="117">
        <f>IF($A13="","",IF($K13=0,"n.b.",SUMIFS(STG_Woningetalage!$Y$6:$Y$505,STG_Woningetalage!$B$6:$B$505,$A13)))</f>
        <v>7</v>
      </c>
      <c r="BC13" s="117">
        <f>IF($A13="","",IF($K13=0,"n.b.",SUMIFS(STG_Woningetalage!$Z$6:$Z$505,STG_Woningetalage!$B$6:$B$505,$A13)))</f>
        <v>7</v>
      </c>
      <c r="BD13" s="117">
        <f>IF($A13="","",IF($K13=0,"n.b.",SUMIFS(STG_Woningetalage!$AA$6:$AA$505,STG_Woningetalage!$B$6:$B$505,$A13)))</f>
        <v>35</v>
      </c>
      <c r="BE13" s="117">
        <f>IF($A13="","",IF($K13=0,"n.b.",SUMIFS(STG_Woningetalage!$AB$6:$AB$505,STG_Woningetalage!$B$6:$B$505,$A13)))</f>
        <v>0</v>
      </c>
      <c r="BF13" s="117">
        <f>IF($A13="","",IF($K13=0,"n.b.",SUMIFS(STG_Woningetalage!$AC$6:$AC$505,STG_Woningetalage!$B$6:$B$505,$A13)))</f>
        <v>0</v>
      </c>
      <c r="BG13" s="117">
        <f>IF($A13="","",IF($K13=0,"n.b.",SUMIFS(STG_Woningetalage!$AD$6:$AD$505,STG_Woningetalage!$B$6:$B$505,$A13)))</f>
        <v>1</v>
      </c>
      <c r="BH13" s="117">
        <f>IF($A13="","",IF($K13=0,"n.b.",SUMIFS(STG_Woningetalage!$AE$6:$AE$505,STG_Woningetalage!$B$6:$B$505,$A13)))</f>
        <v>1</v>
      </c>
      <c r="BI13" s="117">
        <f>IF($A13="","",IF($K13=0,"n.b.",SUMIFS(STG_Woningetalage!$AF$6:$AF$505,STG_Woningetalage!$B$6:$B$505,$A13)))</f>
        <v>1</v>
      </c>
      <c r="BJ13" s="117">
        <f>IF($A13="","",IF($K13=0,"n.b.",SUMIFS(STG_Woningetalage!$AG$6:$AG$505,STG_Woningetalage!$B$6:$B$505,$A13)))</f>
        <v>1</v>
      </c>
      <c r="BK13" s="117">
        <f>IF($A13="","",IF($K13=0,"n.b.",SUMIFS(STG_Woningetalage!$AH$6:$AH$505,STG_Woningetalage!$B$6:$B$505,$A13)))</f>
        <v>1</v>
      </c>
      <c r="BL13" s="117">
        <f>IF($A13="","",IF($K13=0,"n.b.",SUMIFS(STG_Woningetalage!$AI$6:$AI$505,STG_Woningetalage!$B$6:$B$505,$A13)))</f>
        <v>1</v>
      </c>
      <c r="BM13" s="117">
        <f>IF($A13="","",IF($K13=0,"n.b.",SUMIFS(STG_Woningetalage!$AJ$6:$AJ$505,STG_Woningetalage!$B$6:$B$505,$A13)))</f>
        <v>1</v>
      </c>
      <c r="BN13" s="117">
        <f>IF($A13="","",IF($K13=0,"n.b.",SUMIFS(STG_Woningetalage!$AK$6:$AK$505,STG_Woningetalage!$B$6:$B$505,$A13)))</f>
        <v>0</v>
      </c>
      <c r="BO13" s="117">
        <f>IF($A13="","",IF($K13=0,"n.b.",SUMIFS(STG_Woningetalage!$AL$6:$AL$505,STG_Woningetalage!$B$6:$B$505,$A13)))</f>
        <v>0</v>
      </c>
      <c r="BP13" s="117">
        <f>IF($A13="","",IF($K13=0,"n.b.",SUMIFS(STG_Woningetalage!$AM$6:$AM$505,STG_Woningetalage!$B$6:$B$505,$A13)))</f>
        <v>7</v>
      </c>
      <c r="BQ13" s="117">
        <f>IF($A13="","",IF($K13=0,"n.b.",SUMIFS(STG_Woningetalage!$BE$6:$BE$505,STG_Woningetalage!$B$6:$B$505,$A13)))</f>
        <v>1</v>
      </c>
      <c r="BR13" s="117">
        <f>IF($A13="","",IF($K13=0,"n.b.",SUMIFS(STG_Woningetalage!$BF$6:$BF$505,STG_Woningetalage!$B$6:$B$505,$A13)))</f>
        <v>3</v>
      </c>
      <c r="BS13" s="117">
        <f>IF($A13="","",IF($K13=0,"n.b.",SUMIFS(STG_Woningetalage!$BG$6:$BG$505,STG_Woningetalage!$B$6:$B$505,$A13)))</f>
        <v>3</v>
      </c>
      <c r="BT13" s="117">
        <f>IF($A13="","",IF($K13=0,"n.b.",SUMIFS(STG_Woningetalage!$BH$6:$BH$505,STG_Woningetalage!$B$6:$B$505,$A13)))</f>
        <v>7</v>
      </c>
      <c r="BU13" s="117">
        <f>IF($A13="","",IF($K13=0,"n.b.",SUMIFS(STG_Woningetalage!$BI$6:$BI$505,STG_Woningetalage!$B$6:$B$505,$A13)))</f>
        <v>7</v>
      </c>
      <c r="BV13" s="117">
        <f>IF($A13="","",IF($K13=0,"n.b.",SUMIFS(STG_Woningetalage!$BJ$6:$BJ$505,STG_Woningetalage!$B$6:$B$505,$A13)))</f>
        <v>7</v>
      </c>
      <c r="BW13" s="117">
        <f>IF($A13="","",IF($K13=0,"n.b.",SUMIFS(STG_Woningetalage!$AR$6:$AR$505,STG_Woningetalage!$B$6:$B$505,$A13)))</f>
        <v>14</v>
      </c>
      <c r="BX13" s="117">
        <f>IF($A13="","",IF($K13=0,"n.b.",SUMIFS(STG_Woningetalage!$AS$6:$AS$505,STG_Woningetalage!$B$6:$B$505,$A13)))</f>
        <v>18</v>
      </c>
      <c r="BY13" s="117">
        <f>IF($A13="","",IF($K13=0,"n.b.",SUMIFS(STG_Woningetalage!$AN$6:$AN$505,STG_Woningetalage!$B$6:$B$505,$A13)))</f>
        <v>5</v>
      </c>
      <c r="BZ13" s="117">
        <f>IF($A13="","",IF($K13=0,"n.b.",SUMIFS(STG_Woningetalage!$AO$6:$AO$505,STG_Woningetalage!$B$6:$B$505,$A13)))</f>
        <v>4</v>
      </c>
      <c r="CA13" s="117">
        <f>IF($A13="","",IF($K13=0,"n.b.",SUMIFS(STG_Woningetalage!$AP$6:$AP$505,STG_Woningetalage!$B$6:$B$505,$A13)))</f>
        <v>4</v>
      </c>
      <c r="CB13" s="117">
        <f>IF($A13="","",IF($K13=0,"n.b.",SUMIFS(STG_Woningetalage!$AQ$6:$AQ$505,STG_Woningetalage!$B$6:$B$505,$A13)))</f>
        <v>5</v>
      </c>
      <c r="CC13" s="117">
        <f>IF($A13="","",IF($K13=0,"n.b.",SUMIFS(STG_Woningetalage!$AU$6:$AU$505,STG_Woningetalage!$B$6:$B$505,$A13)))</f>
        <v>10</v>
      </c>
      <c r="CD13" s="92">
        <f>IF($A13="","",IFERROR(INDEX(STG_ZPMW03!$L$6:$L$505,MATCH($A13,STG_ZPMW03!$B$6:$B$505,0)),"n.b."))</f>
        <v>60</v>
      </c>
      <c r="CE13" s="92" t="str">
        <f>IF($A13="","",IFERROR(INDEX(STG_ZPMW03!$K$6:$K$505,MATCH($A13,STG_ZPMW03!$B$6:$B$505,0)),"n.b."))</f>
        <v>VRIJ BLOK</v>
      </c>
      <c r="CF13" s="92">
        <f>IF($A13="","",IFERROR(INDEX(STG_ZPMW03!$BH$6:$BH$505,MATCH($A13,STG_ZPMW03!$B$6:$B$505,0)),"n.b."))</f>
        <v>46235.0</v>
      </c>
      <c r="CG13" s="92">
        <f>IF($A13="","",IFERROR(INDEX(STG_ZPMW03!$BI$6:$BI$505,MATCH($A13,STG_ZPMW03!$B$6:$B$505,0)),"n.b."))</f>
        <v>202812</v>
      </c>
      <c r="CH13" s="92">
        <f>IF($A13="","",IFERROR(INDEX(STG_ZPMW03!$BJ$6:$BJ$505,MATCH($A13,STG_ZPMW03!$B$6:$B$505,0)),"n.b."))</f>
        <v>2</v>
      </c>
      <c r="CI13" s="92">
        <f>IF($A13="","",IFERROR(INDEX(STG_ZPMW03!$BF$6:$BF$505,MATCH($A13,STG_ZPMW03!$B$6:$B$505,0)),"n.b."))</f>
        <v>9.75</v>
      </c>
      <c r="CJ13" s="92">
        <f>IF($A13="","",IFERROR(INDEX(STG_ZPMW03!$BG$6:$BG$505,MATCH($A13,STG_ZPMW03!$B$6:$B$505,0)),"n.b."))</f>
        <v>46235.0</v>
      </c>
      <c r="CK13" s="92" t="str">
        <f>IF($A13="","",IFERROR(INDEX(STG_ZPMW03!$H$6:$H$505,MATCH($A13,STG_ZPMW03!$B$6:$B$505,0)),"n.b."))</f>
        <v>WO-Wonen</v>
      </c>
      <c r="CL13" s="92" t="str">
        <f>IF($A13="","",IFERROR(INDEX(STG_ZPMW03!$E$6:$E$505,MATCH($A13,STG_ZPMW03!$B$6:$B$505,0)),"n.b."))</f>
        <v>Demo Ontwikkeling BV</v>
      </c>
      <c r="CM13" s="92" t="str">
        <f>IF($A13="","",IFERROR(INDEX(STG_ZPMW03!$G$6:$G$505,MATCH($A13,STG_ZPMW03!$B$6:$B$505,0)),"n.b."))</f>
        <v>Demo Regio</v>
      </c>
      <c r="CN13" s="92">
        <f>IF($A13="","",IFERROR(INDEX(STG_Woningetalage!$N$6:$N$505,MATCH($A13,STG_Woningetalage!$B$6:$B$505,0)),"n.b."))</f>
        <v>45931.0</v>
      </c>
      <c r="CO13" s="92">
        <f>IF($A13="","",IFERROR(INDEX(STG_Woningetalage!$P$6:$P$505,MATCH($A13,STG_Woningetalage!$B$6:$B$505,0)),"n.b."))</f>
        <v>47088.0</v>
      </c>
      <c r="CP13" s="118">
        <f>IF($A13="","",IF(AND(ISNUMBER(AT13),ISNUMBER(F13)),IF(F13&gt;0,AT13/(F13/100),"n.b."),"n.b."))</f>
        <v>42</v>
      </c>
      <c r="CQ13" s="116">
        <f>IF($A13="","",IF(ISNUMBER(Q13),IF(Q13&lt;0,1,0),0))</f>
        <v>1</v>
      </c>
      <c r="CR13" s="116">
        <f>IF(CQ13=1,COUNTIF($CQ$6:CQ13,1),"")</f>
        <v>1</v>
      </c>
      <c r="CS13" s="116" t="str">
        <f>IF(AND($A13&lt;&gt;"",$J13=0),COUNTIFS($A$6:$A13,"?*",$J$6:$J13,0),"")</f>
        <v/>
      </c>
      <c r="CT13" s="119">
        <f>IF($A13="","",IF(AND(ISNUMBER(Q13),ISNUMBER(P13)),IF(P13&lt;&gt;0,Q13/P13,"n.b."),"n.b."))</f>
        <v>-0.03</v>
      </c>
    </row>
    <row r="14">
      <c r="A14" s="92" t="str">
        <f>IF(Mapping!$A13="","",Mapping!$A13)</f>
        <v>G.900009.8.9090</v>
      </c>
      <c r="B14" s="92" t="str">
        <f>IF(Mapping!$B13="","",Mapping!$B13)</f>
        <v>G.900009</v>
      </c>
      <c r="C14" s="92" t="str">
        <f>IF(Mapping!$C13="","",Mapping!$C13)</f>
        <v>Duinwaard, Duinrand</v>
      </c>
      <c r="D14" s="92" t="str">
        <f>IF(Mapping!$F13="","",Mapping!$F13)</f>
        <v>Opstal</v>
      </c>
      <c r="E14" s="92" t="str">
        <f>IF(Mapping!$H13="","",Mapping!$H13)</f>
        <v>Grondgebonden</v>
      </c>
      <c r="F14" s="92">
        <f>IF(Mapping!$E13="","",Mapping!$E13)</f>
        <v>100</v>
      </c>
      <c r="G14" s="92" t="str">
        <f>IF(Mapping!$G13="","",Mapping!$G13)</f>
        <v>Ja</v>
      </c>
      <c r="H14" s="92">
        <f>IF(Mapping!$D13="","",Mapping!$D13)</f>
        <v>88</v>
      </c>
      <c r="I14" s="92" t="str">
        <f>IF($A14="","",IFERROR(INDEX(STG_ZPMW03!$C$6:$C$505,MATCH($A14,STG_ZPMW03!$B$6:$B$505,0)),"n.b."))</f>
        <v>J</v>
      </c>
      <c r="J14" s="116">
        <f>IF($A14="","",COUNTIF(STG_ZPMW03!$B$6:$B$505,$A14))</f>
        <v>1</v>
      </c>
      <c r="K14" s="116">
        <f>IF($A14="","",COUNTIF(STG_Woningetalage!$B$6:$B$505,$A14))</f>
        <v>1</v>
      </c>
      <c r="L14" s="117">
        <f>IF($A14="","",IF($J14=0,"n.b.",SUMIFS(STG_ZPMW03!$BK$6:$BK$505,STG_ZPMW03!$B$6:$B$505,$A14)))</f>
        <v>10810800</v>
      </c>
      <c r="M14" s="117">
        <f>IF($A14="","",IF($J14=0,"n.b.",SUMIFS(STG_ZPMW03!$BL$6:$BL$505,STG_ZPMW03!$B$6:$B$505,$A14)))</f>
        <v>864864</v>
      </c>
      <c r="N14" s="117">
        <f>IF($A14="","",IF($J14=0,"n.b.",SUMIFS(STG_ZPMW03!$BM$6:$BM$505,STG_ZPMW03!$B$6:$B$505,$A14)))</f>
        <v>5821200</v>
      </c>
      <c r="O14" s="117">
        <f>IF($A14="","",IF($J14=0,"n.b.",SUMIFS(STG_ZPMW03!$BN$6:$BN$505,STG_ZPMW03!$B$6:$B$505,$A14)))</f>
        <v>465696</v>
      </c>
      <c r="P14" s="117">
        <f>IF($A14="","",IF($J14=0,"n.b.",SUMIFS(STG_ZPMW03!$BO$6:$BO$505,STG_ZPMW03!$B$6:$B$505,$A14)))</f>
        <v>16632000</v>
      </c>
      <c r="Q14" s="117">
        <f>IF($A14="","",IF($J14=0,"n.b.",SUMIFS(STG_ZPMW03!$BP$6:$BP$505,STG_ZPMW03!$B$6:$B$505,$A14)))</f>
        <v>1330560</v>
      </c>
      <c r="R14" s="117">
        <f>IF($A14="","",IF($J14=0,"n.b.",SUMIFS(STG_ZPMW03!$BQ$6:$BQ$505,STG_ZPMW03!$B$6:$B$505,$A14)))</f>
        <v>14929200</v>
      </c>
      <c r="S14" s="117">
        <f>IF($A14="","",IF($J14=0,"n.b.",SUMIFS(STG_ZPMW03!$BR$6:$BR$505,STG_ZPMW03!$B$6:$B$505,$A14)))</f>
        <v>1194336</v>
      </c>
      <c r="T14" s="117">
        <f>IF($A14="","",IF($J14=0,"n.b.",SUMIFS(STG_ZPMW03!$BS$6:$BS$505,STG_ZPMW03!$B$6:$B$505,$A14)))</f>
        <v>5821200</v>
      </c>
      <c r="U14" s="117">
        <f>IF($A14="","",IF($J14=0,"n.b.",SUMIFS(STG_ZPMW03!$BT$6:$BT$505,STG_ZPMW03!$B$6:$B$505,$A14)))</f>
        <v>465696</v>
      </c>
      <c r="V14" s="117">
        <f>IF($A14="","",IF($J14=0,"n.b.",SUMIFS(STG_ZPMW03!$BU$6:$BU$505,STG_ZPMW03!$B$6:$B$505,$A14)))</f>
        <v>2985840</v>
      </c>
      <c r="W14" s="117">
        <f>IF($A14="","",IF($J14=0,"n.b.",SUMIFS(STG_ZPMW03!$BW$6:$BW$505,STG_ZPMW03!$B$6:$B$505,$A14)))</f>
        <v>3732300</v>
      </c>
      <c r="X14" s="117">
        <f>IF($A14="","",IF($J14=0,"n.b.",SUMIFS(STG_ZPMW03!$BY$6:$BY$505,STG_ZPMW03!$B$6:$B$505,$A14)))</f>
        <v>4478760</v>
      </c>
      <c r="Y14" s="117">
        <f>IF($A14="","",IF($J14=0,"n.b.",SUMIFS(STG_ZPMW03!$CA$6:$CA$505,STG_ZPMW03!$B$6:$B$505,$A14)))</f>
        <v>3732300</v>
      </c>
      <c r="Z14" s="117">
        <f>IF($A14="","",IF($J14=0,"n.b.",SUMIFS(STG_ZPMW03!$BV$6:$BV$505,STG_ZPMW03!$B$6:$B$505,$A14)))</f>
        <v>238867.2</v>
      </c>
      <c r="AA14" s="117">
        <f>IF($A14="","",IF($J14=0,"n.b.",SUMIFS(STG_ZPMW03!$BX$6:$BX$505,STG_ZPMW03!$B$6:$B$505,$A14)))</f>
        <v>298584</v>
      </c>
      <c r="AB14" s="117">
        <f>IF($A14="","",IF($J14=0,"n.b.",SUMIFS(STG_ZPMW03!$BZ$6:$BZ$505,STG_ZPMW03!$B$6:$B$505,$A14)))</f>
        <v>358300.8</v>
      </c>
      <c r="AC14" s="117">
        <f>IF($A14="","",IF($J14=0,"n.b.",SUMIFS(STG_ZPMW03!$CB$6:$CB$505,STG_ZPMW03!$B$6:$B$505,$A14)))</f>
        <v>298584</v>
      </c>
      <c r="AD14" s="117">
        <f>IF($A14="","",IF($J14=0,"n.b.",SUMIFS(STG_ZPMW03!$CC$6:$CC$505,STG_ZPMW03!$B$6:$B$505,$A14)))</f>
        <v>8038800</v>
      </c>
      <c r="AE14" s="117">
        <f>IF($A14="","",IF($J14=0,"n.b.",SUMIFS(STG_ZPMW03!$CE$6:$CE$505,STG_ZPMW03!$B$6:$B$505,$A14)))</f>
        <v>0</v>
      </c>
      <c r="AF14" s="117">
        <f>IF($A14="","",IF($J14=0,"n.b.",SUMIFS(STG_ZPMW03!$CG$6:$CG$505,STG_ZPMW03!$B$6:$B$505,$A14)))</f>
        <v>0</v>
      </c>
      <c r="AG14" s="117">
        <f>IF($A14="","",IF($J14=0,"n.b.",SUMIFS(STG_ZPMW03!$CI$6:$CI$505,STG_ZPMW03!$B$6:$B$505,$A14)))</f>
        <v>0</v>
      </c>
      <c r="AH14" s="117">
        <f>IF($A14="","",IF($J14=0,"n.b.",SUMIFS(STG_ZPMW03!$CK$6:$CK$505,STG_ZPMW03!$B$6:$B$505,$A14)))</f>
        <v>0</v>
      </c>
      <c r="AI14" s="117">
        <f>IF($A14="","",IF($J14=0,"n.b.",SUMIFS(STG_ZPMW03!$CM$6:$CM$505,STG_ZPMW03!$B$6:$B$505,$A14)))</f>
        <v>0</v>
      </c>
      <c r="AJ14" s="117">
        <f>IF($A14="","",IF($J14=0,"n.b.",SUMIFS(STG_ZPMW03!$CO$6:$CO$505,STG_ZPMW03!$B$6:$B$505,$A14)))</f>
        <v>0</v>
      </c>
      <c r="AK14" s="117">
        <f>IF($A14="","",IF($J14=0,"n.b.",SUMIFS(STG_ZPMW03!$CQ$6:$CQ$505,STG_ZPMW03!$B$6:$B$505,$A14)))</f>
        <v>0</v>
      </c>
      <c r="AL14" s="117">
        <f>IF($A14="","",IF($J14=0,"n.b.",SUMIFS(STG_ZPMW03!$CD$6:$CD$505,STG_ZPMW03!$B$6:$B$505,$A14)))</f>
        <v>643104</v>
      </c>
      <c r="AM14" s="117">
        <f>IF($A14="","",IF($J14=0,"n.b.",SUMIFS(STG_ZPMW03!$CF$6:$CF$505,STG_ZPMW03!$B$6:$B$505,$A14)))</f>
        <v>0</v>
      </c>
      <c r="AN14" s="117">
        <f>IF($A14="","",IF($J14=0,"n.b.",SUMIFS(STG_ZPMW03!$CH$6:$CH$505,STG_ZPMW03!$B$6:$B$505,$A14)))</f>
        <v>0</v>
      </c>
      <c r="AO14" s="117">
        <f>IF($A14="","",IF($J14=0,"n.b.",SUMIFS(STG_ZPMW03!$CJ$6:$CJ$505,STG_ZPMW03!$B$6:$B$505,$A14)))</f>
        <v>0</v>
      </c>
      <c r="AP14" s="117">
        <f>IF($A14="","",IF($J14=0,"n.b.",SUMIFS(STG_ZPMW03!$CL$6:$CL$505,STG_ZPMW03!$B$6:$B$505,$A14)))</f>
        <v>0</v>
      </c>
      <c r="AQ14" s="117">
        <f>IF($A14="","",IF($J14=0,"n.b.",SUMIFS(STG_ZPMW03!$CN$6:$CN$505,STG_ZPMW03!$B$6:$B$505,$A14)))</f>
        <v>0</v>
      </c>
      <c r="AR14" s="117">
        <f>IF($A14="","",IF($J14=0,"n.b.",SUMIFS(STG_ZPMW03!$CP$6:$CP$505,STG_ZPMW03!$B$6:$B$505,$A14)))</f>
        <v>0</v>
      </c>
      <c r="AS14" s="117">
        <f>IF($A14="","",IF($J14=0,"n.b.",SUMIFS(STG_ZPMW03!$CR$6:$CR$505,STG_ZPMW03!$B$6:$B$505,$A14)))</f>
        <v>0</v>
      </c>
      <c r="AT14" s="117">
        <f>IF($A14="","",IF($K14=0,"n.b.",SUMIFS(STG_Woningetalage!$Q$6:$Q$505,STG_Woningetalage!$B$6:$B$505,$A14)))</f>
        <v>88</v>
      </c>
      <c r="AU14" s="117">
        <f>IF($A14="","",IF($K14=0,"n.b.",SUMIFS(STG_Woningetalage!$R$6:$R$505,STG_Woningetalage!$B$6:$B$505,$A14)))</f>
        <v>0</v>
      </c>
      <c r="AV14" s="117">
        <f>IF($A14="","",IF($K14=0,"n.b.",SUMIFS(STG_Woningetalage!$S$6:$S$505,STG_Woningetalage!$B$6:$B$505,$A14)))</f>
        <v>0</v>
      </c>
      <c r="AW14" s="117">
        <f>IF($A14="","",IF($K14=0,"n.b.",SUMIFS(STG_Woningetalage!$T$6:$T$505,STG_Woningetalage!$B$6:$B$505,$A14)))</f>
        <v>0</v>
      </c>
      <c r="AX14" s="117">
        <f>IF($A14="","",IF($K14=0,"n.b.",SUMIFS(STG_Woningetalage!$U$6:$U$505,STG_Woningetalage!$B$6:$B$505,$A14)))</f>
        <v>0</v>
      </c>
      <c r="AY14" s="117">
        <f>IF($A14="","",IF($K14=0,"n.b.",SUMIFS(STG_Woningetalage!$V$6:$V$505,STG_Woningetalage!$B$6:$B$505,$A14)))</f>
        <v>18</v>
      </c>
      <c r="AZ14" s="117">
        <f>IF($A14="","",IF($K14=0,"n.b.",SUMIFS(STG_Woningetalage!$W$6:$W$505,STG_Woningetalage!$B$6:$B$505,$A14)))</f>
        <v>18</v>
      </c>
      <c r="BA14" s="117">
        <f>IF($A14="","",IF($K14=0,"n.b.",SUMIFS(STG_Woningetalage!$X$6:$X$505,STG_Woningetalage!$B$6:$B$505,$A14)))</f>
        <v>0</v>
      </c>
      <c r="BB14" s="117">
        <f>IF($A14="","",IF($K14=0,"n.b.",SUMIFS(STG_Woningetalage!$Y$6:$Y$505,STG_Woningetalage!$B$6:$B$505,$A14)))</f>
        <v>18</v>
      </c>
      <c r="BC14" s="117">
        <f>IF($A14="","",IF($K14=0,"n.b.",SUMIFS(STG_Woningetalage!$Z$6:$Z$505,STG_Woningetalage!$B$6:$B$505,$A14)))</f>
        <v>18</v>
      </c>
      <c r="BD14" s="117">
        <f>IF($A14="","",IF($K14=0,"n.b.",SUMIFS(STG_Woningetalage!$AA$6:$AA$505,STG_Woningetalage!$B$6:$B$505,$A14)))</f>
        <v>70</v>
      </c>
      <c r="BE14" s="117">
        <f>IF($A14="","",IF($K14=0,"n.b.",SUMIFS(STG_Woningetalage!$AB$6:$AB$505,STG_Woningetalage!$B$6:$B$505,$A14)))</f>
        <v>1</v>
      </c>
      <c r="BF14" s="117">
        <f>IF($A14="","",IF($K14=0,"n.b.",SUMIFS(STG_Woningetalage!$AC$6:$AC$505,STG_Woningetalage!$B$6:$B$505,$A14)))</f>
        <v>1</v>
      </c>
      <c r="BG14" s="117">
        <f>IF($A14="","",IF($K14=0,"n.b.",SUMIFS(STG_Woningetalage!$AD$6:$AD$505,STG_Woningetalage!$B$6:$B$505,$A14)))</f>
        <v>2</v>
      </c>
      <c r="BH14" s="117">
        <f>IF($A14="","",IF($K14=0,"n.b.",SUMIFS(STG_Woningetalage!$AE$6:$AE$505,STG_Woningetalage!$B$6:$B$505,$A14)))</f>
        <v>2</v>
      </c>
      <c r="BI14" s="117">
        <f>IF($A14="","",IF($K14=0,"n.b.",SUMIFS(STG_Woningetalage!$AF$6:$AF$505,STG_Woningetalage!$B$6:$B$505,$A14)))</f>
        <v>3</v>
      </c>
      <c r="BJ14" s="117">
        <f>IF($A14="","",IF($K14=0,"n.b.",SUMIFS(STG_Woningetalage!$AG$6:$AG$505,STG_Woningetalage!$B$6:$B$505,$A14)))</f>
        <v>2</v>
      </c>
      <c r="BK14" s="117">
        <f>IF($A14="","",IF($K14=0,"n.b.",SUMIFS(STG_Woningetalage!$AH$6:$AH$505,STG_Woningetalage!$B$6:$B$505,$A14)))</f>
        <v>2</v>
      </c>
      <c r="BL14" s="117">
        <f>IF($A14="","",IF($K14=0,"n.b.",SUMIFS(STG_Woningetalage!$AI$6:$AI$505,STG_Woningetalage!$B$6:$B$505,$A14)))</f>
        <v>3</v>
      </c>
      <c r="BM14" s="117">
        <f>IF($A14="","",IF($K14=0,"n.b.",SUMIFS(STG_Woningetalage!$AJ$6:$AJ$505,STG_Woningetalage!$B$6:$B$505,$A14)))</f>
        <v>2</v>
      </c>
      <c r="BN14" s="117">
        <f>IF($A14="","",IF($K14=0,"n.b.",SUMIFS(STG_Woningetalage!$AK$6:$AK$505,STG_Woningetalage!$B$6:$B$505,$A14)))</f>
        <v>1</v>
      </c>
      <c r="BO14" s="117">
        <f>IF($A14="","",IF($K14=0,"n.b.",SUMIFS(STG_Woningetalage!$AL$6:$AL$505,STG_Woningetalage!$B$6:$B$505,$A14)))</f>
        <v>1</v>
      </c>
      <c r="BP14" s="117">
        <f>IF($A14="","",IF($K14=0,"n.b.",SUMIFS(STG_Woningetalage!$AM$6:$AM$505,STG_Woningetalage!$B$6:$B$505,$A14)))</f>
        <v>9</v>
      </c>
      <c r="BQ14" s="117">
        <f>IF($A14="","",IF($K14=0,"n.b.",SUMIFS(STG_Woningetalage!$BE$6:$BE$505,STG_Woningetalage!$B$6:$B$505,$A14)))</f>
        <v>4</v>
      </c>
      <c r="BR14" s="117">
        <f>IF($A14="","",IF($K14=0,"n.b.",SUMIFS(STG_Woningetalage!$BF$6:$BF$505,STG_Woningetalage!$B$6:$B$505,$A14)))</f>
        <v>7</v>
      </c>
      <c r="BS14" s="117">
        <f>IF($A14="","",IF($K14=0,"n.b.",SUMIFS(STG_Woningetalage!$BG$6:$BG$505,STG_Woningetalage!$B$6:$B$505,$A14)))</f>
        <v>7</v>
      </c>
      <c r="BT14" s="117">
        <f>IF($A14="","",IF($K14=0,"n.b.",SUMIFS(STG_Woningetalage!$BH$6:$BH$505,STG_Woningetalage!$B$6:$B$505,$A14)))</f>
        <v>11</v>
      </c>
      <c r="BU14" s="117">
        <f>IF($A14="","",IF($K14=0,"n.b.",SUMIFS(STG_Woningetalage!$BI$6:$BI$505,STG_Woningetalage!$B$6:$B$505,$A14)))</f>
        <v>18</v>
      </c>
      <c r="BV14" s="117">
        <f>IF($A14="","",IF($K14=0,"n.b.",SUMIFS(STG_Woningetalage!$BJ$6:$BJ$505,STG_Woningetalage!$B$6:$B$505,$A14)))</f>
        <v>11</v>
      </c>
      <c r="BW14" s="117">
        <f>IF($A14="","",IF($K14=0,"n.b.",SUMIFS(STG_Woningetalage!$AR$6:$AR$505,STG_Woningetalage!$B$6:$B$505,$A14)))</f>
        <v>29</v>
      </c>
      <c r="BX14" s="117">
        <f>IF($A14="","",IF($K14=0,"n.b.",SUMIFS(STG_Woningetalage!$AS$6:$AS$505,STG_Woningetalage!$B$6:$B$505,$A14)))</f>
        <v>39</v>
      </c>
      <c r="BY14" s="117">
        <f>IF($A14="","",IF($K14=0,"n.b.",SUMIFS(STG_Woningetalage!$AN$6:$AN$505,STG_Woningetalage!$B$6:$B$505,$A14)))</f>
        <v>11</v>
      </c>
      <c r="BZ14" s="117">
        <f>IF($A14="","",IF($K14=0,"n.b.",SUMIFS(STG_Woningetalage!$AO$6:$AO$505,STG_Woningetalage!$B$6:$B$505,$A14)))</f>
        <v>9</v>
      </c>
      <c r="CA14" s="117">
        <f>IF($A14="","",IF($K14=0,"n.b.",SUMIFS(STG_Woningetalage!$AP$6:$AP$505,STG_Woningetalage!$B$6:$B$505,$A14)))</f>
        <v>9</v>
      </c>
      <c r="CB14" s="117">
        <f>IF($A14="","",IF($K14=0,"n.b.",SUMIFS(STG_Woningetalage!$AQ$6:$AQ$505,STG_Woningetalage!$B$6:$B$505,$A14)))</f>
        <v>10</v>
      </c>
      <c r="CC14" s="117">
        <f>IF($A14="","",IF($K14=0,"n.b.",SUMIFS(STG_Woningetalage!$AU$6:$AU$505,STG_Woningetalage!$B$6:$B$505,$A14)))</f>
        <v>20</v>
      </c>
      <c r="CD14" s="92">
        <f>IF($A14="","",IFERROR(INDEX(STG_ZPMW03!$L$6:$L$505,MATCH($A14,STG_ZPMW03!$B$6:$B$505,0)),"n.b."))</f>
        <v>40</v>
      </c>
      <c r="CE14" s="92" t="str">
        <f>IF($A14="","",IFERROR(INDEX(STG_ZPMW03!$K$6:$K$505,MATCH($A14,STG_ZPMW03!$B$6:$B$505,0)),"n.b."))</f>
        <v>VRIJ BLOK</v>
      </c>
      <c r="CF14" s="92">
        <f>IF($A14="","",IFERROR(INDEX(STG_ZPMW03!$BH$6:$BH$505,MATCH($A14,STG_ZPMW03!$B$6:$B$505,0)),"n.b."))</f>
        <v>46266.0</v>
      </c>
      <c r="CG14" s="92">
        <f>IF($A14="","",IFERROR(INDEX(STG_ZPMW03!$BI$6:$BI$505,MATCH($A14,STG_ZPMW03!$B$6:$B$505,0)),"n.b."))</f>
        <v>202812</v>
      </c>
      <c r="CH14" s="92">
        <f>IF($A14="","",IFERROR(INDEX(STG_ZPMW03!$BJ$6:$BJ$505,MATCH($A14,STG_ZPMW03!$B$6:$B$505,0)),"n.b."))</f>
        <v>3</v>
      </c>
      <c r="CI14" s="92">
        <f>IF($A14="","",IFERROR(INDEX(STG_ZPMW03!$BF$6:$BF$505,MATCH($A14,STG_ZPMW03!$B$6:$B$505,0)),"n.b."))</f>
        <v>27.3</v>
      </c>
      <c r="CJ14" s="92">
        <f>IF($A14="","",IFERROR(INDEX(STG_ZPMW03!$BG$6:$BG$505,MATCH($A14,STG_ZPMW03!$B$6:$B$505,0)),"n.b."))</f>
        <v>46266.0</v>
      </c>
      <c r="CK14" s="92" t="str">
        <f>IF($A14="","",IFERROR(INDEX(STG_ZPMW03!$H$6:$H$505,MATCH($A14,STG_ZPMW03!$B$6:$B$505,0)),"n.b."))</f>
        <v>WO-Wonen</v>
      </c>
      <c r="CL14" s="92" t="str">
        <f>IF($A14="","",IFERROR(INDEX(STG_ZPMW03!$E$6:$E$505,MATCH($A14,STG_ZPMW03!$B$6:$B$505,0)),"n.b."))</f>
        <v>Demo Ontwikkeling BV</v>
      </c>
      <c r="CM14" s="92" t="str">
        <f>IF($A14="","",IFERROR(INDEX(STG_ZPMW03!$G$6:$G$505,MATCH($A14,STG_ZPMW03!$B$6:$B$505,0)),"n.b."))</f>
        <v>Demo Regio</v>
      </c>
      <c r="CN14" s="92">
        <f>IF($A14="","",IFERROR(INDEX(STG_Woningetalage!$N$6:$N$505,MATCH($A14,STG_Woningetalage!$B$6:$B$505,0)),"n.b."))</f>
        <v>45931.0</v>
      </c>
      <c r="CO14" s="92">
        <f>IF($A14="","",IFERROR(INDEX(STG_Woningetalage!$P$6:$P$505,MATCH($A14,STG_Woningetalage!$B$6:$B$505,0)),"n.b."))</f>
        <v>47088.0</v>
      </c>
      <c r="CP14" s="118">
        <f>IF($A14="","",IF(AND(ISNUMBER(AT14),ISNUMBER(F14)),IF(F14&gt;0,AT14/(F14/100),"n.b."),"n.b."))</f>
        <v>88</v>
      </c>
      <c r="CQ14" s="116">
        <f>IF($A14="","",IF(ISNUMBER(Q14),IF(Q14&lt;0,1,0),0))</f>
        <v>0</v>
      </c>
      <c r="CR14" s="116" t="str">
        <f>IF(CQ14=1,COUNTIF($CQ$6:CQ14,1),"")</f>
        <v/>
      </c>
      <c r="CS14" s="116" t="str">
        <f>IF(AND($A14&lt;&gt;"",$J14=0),COUNTIFS($A$6:$A14,"?*",$J$6:$J14,0),"")</f>
        <v/>
      </c>
      <c r="CT14" s="119">
        <f>IF($A14="","",IF(AND(ISNUMBER(Q14),ISNUMBER(P14)),IF(P14&lt;&gt;0,Q14/P14,"n.b."),"n.b."))</f>
        <v>0.08</v>
      </c>
    </row>
    <row r="15">
      <c r="A15" s="92" t="str">
        <f>IF(Mapping!$A14="","",Mapping!$A14)</f>
        <v>G.900010.8.9090</v>
      </c>
      <c r="B15" s="92" t="str">
        <f>IF(Mapping!$B14="","",Mapping!$B14)</f>
        <v>G.900010</v>
      </c>
      <c r="C15" s="92" t="str">
        <f>IF(Mapping!$C14="","",Mapping!$C14)</f>
        <v>Veldendam, Groene Singel</v>
      </c>
      <c r="D15" s="92" t="str">
        <f>IF(Mapping!$F14="","",Mapping!$F14)</f>
        <v>Opstal</v>
      </c>
      <c r="E15" s="92" t="str">
        <f>IF(Mapping!$H14="","",Mapping!$H14)</f>
        <v>Appartement</v>
      </c>
      <c r="F15" s="92">
        <f>IF(Mapping!$E14="","",Mapping!$E14)</f>
        <v>100</v>
      </c>
      <c r="G15" s="92" t="str">
        <f>IF(Mapping!$G14="","",Mapping!$G14)</f>
        <v>Ja</v>
      </c>
      <c r="H15" s="92">
        <f>IF(Mapping!$D14="","",Mapping!$D14)</f>
        <v>54</v>
      </c>
      <c r="I15" s="92" t="str">
        <f>IF($A15="","",IFERROR(INDEX(STG_ZPMW03!$C$6:$C$505,MATCH($A15,STG_ZPMW03!$B$6:$B$505,0)),"n.b."))</f>
        <v>J</v>
      </c>
      <c r="J15" s="116">
        <f>IF($A15="","",COUNTIF(STG_ZPMW03!$B$6:$B$505,$A15))</f>
        <v>1</v>
      </c>
      <c r="K15" s="116">
        <f>IF($A15="","",COUNTIF(STG_Woningetalage!$B$6:$B$505,$A15))</f>
        <v>1</v>
      </c>
      <c r="L15" s="117">
        <f>IF($A15="","",IF($J15=0,"n.b.",SUMIFS(STG_ZPMW03!$BK$6:$BK$505,STG_ZPMW03!$B$6:$B$505,$A15)))</f>
        <v>2035800</v>
      </c>
      <c r="M15" s="117">
        <f>IF($A15="","",IF($J15=0,"n.b.",SUMIFS(STG_ZPMW03!$BL$6:$BL$505,STG_ZPMW03!$B$6:$B$505,$A15)))</f>
        <v>264654</v>
      </c>
      <c r="N15" s="117">
        <f>IF($A15="","",IF($J15=0,"n.b.",SUMIFS(STG_ZPMW03!$BM$6:$BM$505,STG_ZPMW03!$B$6:$B$505,$A15)))</f>
        <v>1096200</v>
      </c>
      <c r="O15" s="117">
        <f>IF($A15="","",IF($J15=0,"n.b.",SUMIFS(STG_ZPMW03!$BN$6:$BN$505,STG_ZPMW03!$B$6:$B$505,$A15)))</f>
        <v>142506</v>
      </c>
      <c r="P15" s="117">
        <f>IF($A15="","",IF($J15=0,"n.b.",SUMIFS(STG_ZPMW03!$BO$6:$BO$505,STG_ZPMW03!$B$6:$B$505,$A15)))</f>
        <v>3132000</v>
      </c>
      <c r="Q15" s="117">
        <f>IF($A15="","",IF($J15=0,"n.b.",SUMIFS(STG_ZPMW03!$BP$6:$BP$505,STG_ZPMW03!$B$6:$B$505,$A15)))</f>
        <v>407160</v>
      </c>
      <c r="R15" s="117">
        <f>IF($A15="","",IF($J15=0,"n.b.",SUMIFS(STG_ZPMW03!$BQ$6:$BQ$505,STG_ZPMW03!$B$6:$B$505,$A15)))</f>
        <v>18322200</v>
      </c>
      <c r="S15" s="117">
        <f>IF($A15="","",IF($J15=0,"n.b.",SUMIFS(STG_ZPMW03!$BR$6:$BR$505,STG_ZPMW03!$B$6:$B$505,$A15)))</f>
        <v>2381886</v>
      </c>
      <c r="T15" s="117">
        <f>IF($A15="","",IF($J15=0,"n.b.",SUMIFS(STG_ZPMW03!$BS$6:$BS$505,STG_ZPMW03!$B$6:$B$505,$A15)))</f>
        <v>1096200</v>
      </c>
      <c r="U15" s="117">
        <f>IF($A15="","",IF($J15=0,"n.b.",SUMIFS(STG_ZPMW03!$BT$6:$BT$505,STG_ZPMW03!$B$6:$B$505,$A15)))</f>
        <v>142506</v>
      </c>
      <c r="V15" s="117">
        <f>IF($A15="","",IF($J15=0,"n.b.",SUMIFS(STG_ZPMW03!$BU$6:$BU$505,STG_ZPMW03!$B$6:$B$505,$A15)))</f>
        <v>3664440</v>
      </c>
      <c r="W15" s="117">
        <f>IF($A15="","",IF($J15=0,"n.b.",SUMIFS(STG_ZPMW03!$BW$6:$BW$505,STG_ZPMW03!$B$6:$B$505,$A15)))</f>
        <v>4580550</v>
      </c>
      <c r="X15" s="117">
        <f>IF($A15="","",IF($J15=0,"n.b.",SUMIFS(STG_ZPMW03!$BY$6:$BY$505,STG_ZPMW03!$B$6:$B$505,$A15)))</f>
        <v>5496660</v>
      </c>
      <c r="Y15" s="117">
        <f>IF($A15="","",IF($J15=0,"n.b.",SUMIFS(STG_ZPMW03!$CA$6:$CA$505,STG_ZPMW03!$B$6:$B$505,$A15)))</f>
        <v>4580550</v>
      </c>
      <c r="Z15" s="117">
        <f>IF($A15="","",IF($J15=0,"n.b.",SUMIFS(STG_ZPMW03!$BV$6:$BV$505,STG_ZPMW03!$B$6:$B$505,$A15)))</f>
        <v>476377.2</v>
      </c>
      <c r="AA15" s="117">
        <f>IF($A15="","",IF($J15=0,"n.b.",SUMIFS(STG_ZPMW03!$BX$6:$BX$505,STG_ZPMW03!$B$6:$B$505,$A15)))</f>
        <v>595471.5</v>
      </c>
      <c r="AB15" s="117">
        <f>IF($A15="","",IF($J15=0,"n.b.",SUMIFS(STG_ZPMW03!$BZ$6:$BZ$505,STG_ZPMW03!$B$6:$B$505,$A15)))</f>
        <v>714565.8</v>
      </c>
      <c r="AC15" s="117">
        <f>IF($A15="","",IF($J15=0,"n.b.",SUMIFS(STG_ZPMW03!$CB$6:$CB$505,STG_ZPMW03!$B$6:$B$505,$A15)))</f>
        <v>595471.5</v>
      </c>
      <c r="AD15" s="117">
        <f>IF($A15="","",IF($J15=0,"n.b.",SUMIFS(STG_ZPMW03!$CC$6:$CC$505,STG_ZPMW03!$B$6:$B$505,$A15)))</f>
        <v>9865800</v>
      </c>
      <c r="AE15" s="117">
        <f>IF($A15="","",IF($J15=0,"n.b.",SUMIFS(STG_ZPMW03!$CE$6:$CE$505,STG_ZPMW03!$B$6:$B$505,$A15)))</f>
        <v>0</v>
      </c>
      <c r="AF15" s="117">
        <f>IF($A15="","",IF($J15=0,"n.b.",SUMIFS(STG_ZPMW03!$CG$6:$CG$505,STG_ZPMW03!$B$6:$B$505,$A15)))</f>
        <v>0</v>
      </c>
      <c r="AG15" s="117">
        <f>IF($A15="","",IF($J15=0,"n.b.",SUMIFS(STG_ZPMW03!$CI$6:$CI$505,STG_ZPMW03!$B$6:$B$505,$A15)))</f>
        <v>0</v>
      </c>
      <c r="AH15" s="117">
        <f>IF($A15="","",IF($J15=0,"n.b.",SUMIFS(STG_ZPMW03!$CK$6:$CK$505,STG_ZPMW03!$B$6:$B$505,$A15)))</f>
        <v>0</v>
      </c>
      <c r="AI15" s="117">
        <f>IF($A15="","",IF($J15=0,"n.b.",SUMIFS(STG_ZPMW03!$CM$6:$CM$505,STG_ZPMW03!$B$6:$B$505,$A15)))</f>
        <v>0</v>
      </c>
      <c r="AJ15" s="117">
        <f>IF($A15="","",IF($J15=0,"n.b.",SUMIFS(STG_ZPMW03!$CO$6:$CO$505,STG_ZPMW03!$B$6:$B$505,$A15)))</f>
        <v>0</v>
      </c>
      <c r="AK15" s="117">
        <f>IF($A15="","",IF($J15=0,"n.b.",SUMIFS(STG_ZPMW03!$CQ$6:$CQ$505,STG_ZPMW03!$B$6:$B$505,$A15)))</f>
        <v>0</v>
      </c>
      <c r="AL15" s="117">
        <f>IF($A15="","",IF($J15=0,"n.b.",SUMIFS(STG_ZPMW03!$CD$6:$CD$505,STG_ZPMW03!$B$6:$B$505,$A15)))</f>
        <v>1282554</v>
      </c>
      <c r="AM15" s="117">
        <f>IF($A15="","",IF($J15=0,"n.b.",SUMIFS(STG_ZPMW03!$CF$6:$CF$505,STG_ZPMW03!$B$6:$B$505,$A15)))</f>
        <v>0</v>
      </c>
      <c r="AN15" s="117">
        <f>IF($A15="","",IF($J15=0,"n.b.",SUMIFS(STG_ZPMW03!$CH$6:$CH$505,STG_ZPMW03!$B$6:$B$505,$A15)))</f>
        <v>0</v>
      </c>
      <c r="AO15" s="117">
        <f>IF($A15="","",IF($J15=0,"n.b.",SUMIFS(STG_ZPMW03!$CJ$6:$CJ$505,STG_ZPMW03!$B$6:$B$505,$A15)))</f>
        <v>0</v>
      </c>
      <c r="AP15" s="117">
        <f>IF($A15="","",IF($J15=0,"n.b.",SUMIFS(STG_ZPMW03!$CL$6:$CL$505,STG_ZPMW03!$B$6:$B$505,$A15)))</f>
        <v>0</v>
      </c>
      <c r="AQ15" s="117">
        <f>IF($A15="","",IF($J15=0,"n.b.",SUMIFS(STG_ZPMW03!$CN$6:$CN$505,STG_ZPMW03!$B$6:$B$505,$A15)))</f>
        <v>0</v>
      </c>
      <c r="AR15" s="117">
        <f>IF($A15="","",IF($J15=0,"n.b.",SUMIFS(STG_ZPMW03!$CP$6:$CP$505,STG_ZPMW03!$B$6:$B$505,$A15)))</f>
        <v>0</v>
      </c>
      <c r="AS15" s="117">
        <f>IF($A15="","",IF($J15=0,"n.b.",SUMIFS(STG_ZPMW03!$CR$6:$CR$505,STG_ZPMW03!$B$6:$B$505,$A15)))</f>
        <v>0</v>
      </c>
      <c r="AT15" s="117">
        <f>IF($A15="","",IF($K15=0,"n.b.",SUMIFS(STG_Woningetalage!$Q$6:$Q$505,STG_Woningetalage!$B$6:$B$505,$A15)))</f>
        <v>54</v>
      </c>
      <c r="AU15" s="117">
        <f>IF($A15="","",IF($K15=0,"n.b.",SUMIFS(STG_Woningetalage!$R$6:$R$505,STG_Woningetalage!$B$6:$B$505,$A15)))</f>
        <v>0</v>
      </c>
      <c r="AV15" s="117">
        <f>IF($A15="","",IF($K15=0,"n.b.",SUMIFS(STG_Woningetalage!$S$6:$S$505,STG_Woningetalage!$B$6:$B$505,$A15)))</f>
        <v>0</v>
      </c>
      <c r="AW15" s="117">
        <f>IF($A15="","",IF($K15=0,"n.b.",SUMIFS(STG_Woningetalage!$T$6:$T$505,STG_Woningetalage!$B$6:$B$505,$A15)))</f>
        <v>0</v>
      </c>
      <c r="AX15" s="117">
        <f>IF($A15="","",IF($K15=0,"n.b.",SUMIFS(STG_Woningetalage!$U$6:$U$505,STG_Woningetalage!$B$6:$B$505,$A15)))</f>
        <v>0</v>
      </c>
      <c r="AY15" s="117">
        <f>IF($A15="","",IF($K15=0,"n.b.",SUMIFS(STG_Woningetalage!$V$6:$V$505,STG_Woningetalage!$B$6:$B$505,$A15)))</f>
        <v>9</v>
      </c>
      <c r="AZ15" s="117">
        <f>IF($A15="","",IF($K15=0,"n.b.",SUMIFS(STG_Woningetalage!$W$6:$W$505,STG_Woningetalage!$B$6:$B$505,$A15)))</f>
        <v>9</v>
      </c>
      <c r="BA15" s="117">
        <f>IF($A15="","",IF($K15=0,"n.b.",SUMIFS(STG_Woningetalage!$X$6:$X$505,STG_Woningetalage!$B$6:$B$505,$A15)))</f>
        <v>0</v>
      </c>
      <c r="BB15" s="117">
        <f>IF($A15="","",IF($K15=0,"n.b.",SUMIFS(STG_Woningetalage!$Y$6:$Y$505,STG_Woningetalage!$B$6:$B$505,$A15)))</f>
        <v>9</v>
      </c>
      <c r="BC15" s="117">
        <f>IF($A15="","",IF($K15=0,"n.b.",SUMIFS(STG_Woningetalage!$Z$6:$Z$505,STG_Woningetalage!$B$6:$B$505,$A15)))</f>
        <v>9</v>
      </c>
      <c r="BD15" s="117">
        <f>IF($A15="","",IF($K15=0,"n.b.",SUMIFS(STG_Woningetalage!$AA$6:$AA$505,STG_Woningetalage!$B$6:$B$505,$A15)))</f>
        <v>45</v>
      </c>
      <c r="BE15" s="117">
        <f>IF($A15="","",IF($K15=0,"n.b.",SUMIFS(STG_Woningetalage!$AB$6:$AB$505,STG_Woningetalage!$B$6:$B$505,$A15)))</f>
        <v>0</v>
      </c>
      <c r="BF15" s="117">
        <f>IF($A15="","",IF($K15=0,"n.b.",SUMIFS(STG_Woningetalage!$AC$6:$AC$505,STG_Woningetalage!$B$6:$B$505,$A15)))</f>
        <v>0</v>
      </c>
      <c r="BG15" s="117">
        <f>IF($A15="","",IF($K15=0,"n.b.",SUMIFS(STG_Woningetalage!$AD$6:$AD$505,STG_Woningetalage!$B$6:$B$505,$A15)))</f>
        <v>1</v>
      </c>
      <c r="BH15" s="117">
        <f>IF($A15="","",IF($K15=0,"n.b.",SUMIFS(STG_Woningetalage!$AE$6:$AE$505,STG_Woningetalage!$B$6:$B$505,$A15)))</f>
        <v>1</v>
      </c>
      <c r="BI15" s="117">
        <f>IF($A15="","",IF($K15=0,"n.b.",SUMIFS(STG_Woningetalage!$AF$6:$AF$505,STG_Woningetalage!$B$6:$B$505,$A15)))</f>
        <v>2</v>
      </c>
      <c r="BJ15" s="117">
        <f>IF($A15="","",IF($K15=0,"n.b.",SUMIFS(STG_Woningetalage!$AG$6:$AG$505,STG_Woningetalage!$B$6:$B$505,$A15)))</f>
        <v>1</v>
      </c>
      <c r="BK15" s="117">
        <f>IF($A15="","",IF($K15=0,"n.b.",SUMIFS(STG_Woningetalage!$AH$6:$AH$505,STG_Woningetalage!$B$6:$B$505,$A15)))</f>
        <v>1</v>
      </c>
      <c r="BL15" s="117">
        <f>IF($A15="","",IF($K15=0,"n.b.",SUMIFS(STG_Woningetalage!$AI$6:$AI$505,STG_Woningetalage!$B$6:$B$505,$A15)))</f>
        <v>2</v>
      </c>
      <c r="BM15" s="117">
        <f>IF($A15="","",IF($K15=0,"n.b.",SUMIFS(STG_Woningetalage!$AJ$6:$AJ$505,STG_Woningetalage!$B$6:$B$505,$A15)))</f>
        <v>1</v>
      </c>
      <c r="BN15" s="117">
        <f>IF($A15="","",IF($K15=0,"n.b.",SUMIFS(STG_Woningetalage!$AK$6:$AK$505,STG_Woningetalage!$B$6:$B$505,$A15)))</f>
        <v>0</v>
      </c>
      <c r="BO15" s="117">
        <f>IF($A15="","",IF($K15=0,"n.b.",SUMIFS(STG_Woningetalage!$AL$6:$AL$505,STG_Woningetalage!$B$6:$B$505,$A15)))</f>
        <v>0</v>
      </c>
      <c r="BP15" s="117">
        <f>IF($A15="","",IF($K15=0,"n.b.",SUMIFS(STG_Woningetalage!$AM$6:$AM$505,STG_Woningetalage!$B$6:$B$505,$A15)))</f>
        <v>9</v>
      </c>
      <c r="BQ15" s="117">
        <f>IF($A15="","",IF($K15=0,"n.b.",SUMIFS(STG_Woningetalage!$BE$6:$BE$505,STG_Woningetalage!$B$6:$B$505,$A15)))</f>
        <v>1</v>
      </c>
      <c r="BR15" s="117">
        <f>IF($A15="","",IF($K15=0,"n.b.",SUMIFS(STG_Woningetalage!$BF$6:$BF$505,STG_Woningetalage!$B$6:$B$505,$A15)))</f>
        <v>4</v>
      </c>
      <c r="BS15" s="117">
        <f>IF($A15="","",IF($K15=0,"n.b.",SUMIFS(STG_Woningetalage!$BG$6:$BG$505,STG_Woningetalage!$B$6:$B$505,$A15)))</f>
        <v>4</v>
      </c>
      <c r="BT15" s="117">
        <f>IF($A15="","",IF($K15=0,"n.b.",SUMIFS(STG_Woningetalage!$BH$6:$BH$505,STG_Woningetalage!$B$6:$B$505,$A15)))</f>
        <v>9</v>
      </c>
      <c r="BU15" s="117">
        <f>IF($A15="","",IF($K15=0,"n.b.",SUMIFS(STG_Woningetalage!$BI$6:$BI$505,STG_Woningetalage!$B$6:$B$505,$A15)))</f>
        <v>9</v>
      </c>
      <c r="BV15" s="117">
        <f>IF($A15="","",IF($K15=0,"n.b.",SUMIFS(STG_Woningetalage!$BJ$6:$BJ$505,STG_Woningetalage!$B$6:$B$505,$A15)))</f>
        <v>9</v>
      </c>
      <c r="BW15" s="117">
        <f>IF($A15="","",IF($K15=0,"n.b.",SUMIFS(STG_Woningetalage!$AR$6:$AR$505,STG_Woningetalage!$B$6:$B$505,$A15)))</f>
        <v>18</v>
      </c>
      <c r="BX15" s="117">
        <f>IF($A15="","",IF($K15=0,"n.b.",SUMIFS(STG_Woningetalage!$AS$6:$AS$505,STG_Woningetalage!$B$6:$B$505,$A15)))</f>
        <v>24</v>
      </c>
      <c r="BY15" s="117">
        <f>IF($A15="","",IF($K15=0,"n.b.",SUMIFS(STG_Woningetalage!$AN$6:$AN$505,STG_Woningetalage!$B$6:$B$505,$A15)))</f>
        <v>7</v>
      </c>
      <c r="BZ15" s="117">
        <f>IF($A15="","",IF($K15=0,"n.b.",SUMIFS(STG_Woningetalage!$AO$6:$AO$505,STG_Woningetalage!$B$6:$B$505,$A15)))</f>
        <v>6</v>
      </c>
      <c r="CA15" s="117">
        <f>IF($A15="","",IF($K15=0,"n.b.",SUMIFS(STG_Woningetalage!$AP$6:$AP$505,STG_Woningetalage!$B$6:$B$505,$A15)))</f>
        <v>6</v>
      </c>
      <c r="CB15" s="117">
        <f>IF($A15="","",IF($K15=0,"n.b.",SUMIFS(STG_Woningetalage!$AQ$6:$AQ$505,STG_Woningetalage!$B$6:$B$505,$A15)))</f>
        <v>5</v>
      </c>
      <c r="CC15" s="117">
        <f>IF($A15="","",IF($K15=0,"n.b.",SUMIFS(STG_Woningetalage!$AU$6:$AU$505,STG_Woningetalage!$B$6:$B$505,$A15)))</f>
        <v>12</v>
      </c>
      <c r="CD15" s="92">
        <f>IF($A15="","",IFERROR(INDEX(STG_ZPMW03!$L$6:$L$505,MATCH($A15,STG_ZPMW03!$B$6:$B$505,0)),"n.b."))</f>
        <v>20</v>
      </c>
      <c r="CE15" s="92" t="str">
        <f>IF($A15="","",IFERROR(INDEX(STG_ZPMW03!$K$6:$K$505,MATCH($A15,STG_ZPMW03!$B$6:$B$505,0)),"n.b."))</f>
        <v>VRIJ BLOK</v>
      </c>
      <c r="CF15" s="92">
        <f>IF($A15="","",IFERROR(INDEX(STG_ZPMW03!$BH$6:$BH$505,MATCH($A15,STG_ZPMW03!$B$6:$B$505,0)),"n.b."))</f>
        <v>46023.0</v>
      </c>
      <c r="CG15" s="92">
        <f>IF($A15="","",IFERROR(INDEX(STG_ZPMW03!$BI$6:$BI$505,MATCH($A15,STG_ZPMW03!$B$6:$B$505,0)),"n.b."))</f>
        <v>202812</v>
      </c>
      <c r="CH15" s="92">
        <f>IF($A15="","",IFERROR(INDEX(STG_ZPMW03!$BJ$6:$BJ$505,MATCH($A15,STG_ZPMW03!$B$6:$B$505,0)),"n.b."))</f>
        <v>1</v>
      </c>
      <c r="CI15" s="92">
        <f>IF($A15="","",IFERROR(INDEX(STG_ZPMW03!$BF$6:$BF$505,MATCH($A15,STG_ZPMW03!$B$6:$B$505,0)),"n.b."))</f>
        <v>6.5</v>
      </c>
      <c r="CJ15" s="92">
        <f>IF($A15="","",IFERROR(INDEX(STG_ZPMW03!$BG$6:$BG$505,MATCH($A15,STG_ZPMW03!$B$6:$B$505,0)),"n.b."))</f>
        <v>46023.0</v>
      </c>
      <c r="CK15" s="92" t="str">
        <f>IF($A15="","",IFERROR(INDEX(STG_ZPMW03!$H$6:$H$505,MATCH($A15,STG_ZPMW03!$B$6:$B$505,0)),"n.b."))</f>
        <v>WO-Wonen</v>
      </c>
      <c r="CL15" s="92" t="str">
        <f>IF($A15="","",IFERROR(INDEX(STG_ZPMW03!$E$6:$E$505,MATCH($A15,STG_ZPMW03!$B$6:$B$505,0)),"n.b."))</f>
        <v>Demo Ontwikkeling BV</v>
      </c>
      <c r="CM15" s="92" t="str">
        <f>IF($A15="","",IFERROR(INDEX(STG_ZPMW03!$G$6:$G$505,MATCH($A15,STG_ZPMW03!$B$6:$B$505,0)),"n.b."))</f>
        <v>Demo Regio</v>
      </c>
      <c r="CN15" s="92">
        <f>IF($A15="","",IFERROR(INDEX(STG_Woningetalage!$N$6:$N$505,MATCH($A15,STG_Woningetalage!$B$6:$B$505,0)),"n.b."))</f>
        <v>45931.0</v>
      </c>
      <c r="CO15" s="92">
        <f>IF($A15="","",IFERROR(INDEX(STG_Woningetalage!$P$6:$P$505,MATCH($A15,STG_Woningetalage!$B$6:$B$505,0)),"n.b."))</f>
        <v>47088.0</v>
      </c>
      <c r="CP15" s="118">
        <f>IF($A15="","",IF(AND(ISNUMBER(AT15),ISNUMBER(F15)),IF(F15&gt;0,AT15/(F15/100),"n.b."),"n.b."))</f>
        <v>54</v>
      </c>
      <c r="CQ15" s="116">
        <f>IF($A15="","",IF(ISNUMBER(Q15),IF(Q15&lt;0,1,0),0))</f>
        <v>0</v>
      </c>
      <c r="CR15" s="116" t="str">
        <f>IF(CQ15=1,COUNTIF($CQ$6:CQ15,1),"")</f>
        <v/>
      </c>
      <c r="CS15" s="116" t="str">
        <f>IF(AND($A15&lt;&gt;"",$J15=0),COUNTIFS($A$6:$A15,"?*",$J$6:$J15,0),"")</f>
        <v/>
      </c>
      <c r="CT15" s="119">
        <f>IF($A15="","",IF(AND(ISNUMBER(Q15),ISNUMBER(P15)),IF(P15&lt;&gt;0,Q15/P15,"n.b."),"n.b."))</f>
        <v>0.13</v>
      </c>
    </row>
    <row r="16">
      <c r="A16" s="92" t="str">
        <f>IF(Mapping!$A15="","",Mapping!$A15)</f>
        <v>G.900011.8.9090</v>
      </c>
      <c r="B16" s="92" t="str">
        <f>IF(Mapping!$B15="","",Mapping!$B15)</f>
        <v>G.900011</v>
      </c>
      <c r="C16" s="92" t="str">
        <f>IF(Mapping!$C15="","",Mapping!$C15)</f>
        <v>Meerhovenstad, Hofstaete</v>
      </c>
      <c r="D16" s="92" t="str">
        <f>IF(Mapping!$F15="","",Mapping!$F15)</f>
        <v>Opstal</v>
      </c>
      <c r="E16" s="92" t="str">
        <f>IF(Mapping!$H15="","",Mapping!$H15)</f>
        <v>Grondgebonden</v>
      </c>
      <c r="F16" s="92">
        <f>IF(Mapping!$E15="","",Mapping!$E15)</f>
        <v>100</v>
      </c>
      <c r="G16" s="92" t="str">
        <f>IF(Mapping!$G15="","",Mapping!$G15)</f>
        <v>Ja</v>
      </c>
      <c r="H16" s="92">
        <f>IF(Mapping!$D15="","",Mapping!$D15)</f>
        <v>96</v>
      </c>
      <c r="I16" s="92" t="str">
        <f>IF($A16="","",IFERROR(INDEX(STG_ZPMW03!$C$6:$C$505,MATCH($A16,STG_ZPMW03!$B$6:$B$505,0)),"n.b."))</f>
        <v>J</v>
      </c>
      <c r="J16" s="116">
        <f>IF($A16="","",COUNTIF(STG_ZPMW03!$B$6:$B$505,$A16))</f>
        <v>1</v>
      </c>
      <c r="K16" s="116">
        <f>IF($A16="","",COUNTIF(STG_Woningetalage!$B$6:$B$505,$A16))</f>
        <v>1</v>
      </c>
      <c r="L16" s="117">
        <f>IF($A16="","",IF($J16=0,"n.b.",SUMIFS(STG_ZPMW03!$BK$6:$BK$505,STG_ZPMW03!$B$6:$B$505,$A16)))</f>
        <v>9484800</v>
      </c>
      <c r="M16" s="117">
        <f>IF($A16="","",IF($J16=0,"n.b.",SUMIFS(STG_ZPMW03!$BL$6:$BL$505,STG_ZPMW03!$B$6:$B$505,$A16)))</f>
        <v>853632</v>
      </c>
      <c r="N16" s="117">
        <f>IF($A16="","",IF($J16=0,"n.b.",SUMIFS(STG_ZPMW03!$BM$6:$BM$505,STG_ZPMW03!$B$6:$B$505,$A16)))</f>
        <v>5107200</v>
      </c>
      <c r="O16" s="117">
        <f>IF($A16="","",IF($J16=0,"n.b.",SUMIFS(STG_ZPMW03!$BN$6:$BN$505,STG_ZPMW03!$B$6:$B$505,$A16)))</f>
        <v>459648</v>
      </c>
      <c r="P16" s="117">
        <f>IF($A16="","",IF($J16=0,"n.b.",SUMIFS(STG_ZPMW03!$BO$6:$BO$505,STG_ZPMW03!$B$6:$B$505,$A16)))</f>
        <v>14592000</v>
      </c>
      <c r="Q16" s="117">
        <f>IF($A16="","",IF($J16=0,"n.b.",SUMIFS(STG_ZPMW03!$BP$6:$BP$505,STG_ZPMW03!$B$6:$B$505,$A16)))</f>
        <v>1313280</v>
      </c>
      <c r="R16" s="117">
        <f>IF($A16="","",IF($J16=0,"n.b.",SUMIFS(STG_ZPMW03!$BQ$6:$BQ$505,STG_ZPMW03!$B$6:$B$505,$A16)))</f>
        <v>15475200</v>
      </c>
      <c r="S16" s="117">
        <f>IF($A16="","",IF($J16=0,"n.b.",SUMIFS(STG_ZPMW03!$BR$6:$BR$505,STG_ZPMW03!$B$6:$B$505,$A16)))</f>
        <v>1392768</v>
      </c>
      <c r="T16" s="117">
        <f>IF($A16="","",IF($J16=0,"n.b.",SUMIFS(STG_ZPMW03!$BS$6:$BS$505,STG_ZPMW03!$B$6:$B$505,$A16)))</f>
        <v>5107200</v>
      </c>
      <c r="U16" s="117">
        <f>IF($A16="","",IF($J16=0,"n.b.",SUMIFS(STG_ZPMW03!$BT$6:$BT$505,STG_ZPMW03!$B$6:$B$505,$A16)))</f>
        <v>459648</v>
      </c>
      <c r="V16" s="117">
        <f>IF($A16="","",IF($J16=0,"n.b.",SUMIFS(STG_ZPMW03!$BU$6:$BU$505,STG_ZPMW03!$B$6:$B$505,$A16)))</f>
        <v>3095040</v>
      </c>
      <c r="W16" s="117">
        <f>IF($A16="","",IF($J16=0,"n.b.",SUMIFS(STG_ZPMW03!$BW$6:$BW$505,STG_ZPMW03!$B$6:$B$505,$A16)))</f>
        <v>3868800</v>
      </c>
      <c r="X16" s="117">
        <f>IF($A16="","",IF($J16=0,"n.b.",SUMIFS(STG_ZPMW03!$BY$6:$BY$505,STG_ZPMW03!$B$6:$B$505,$A16)))</f>
        <v>4642560</v>
      </c>
      <c r="Y16" s="117">
        <f>IF($A16="","",IF($J16=0,"n.b.",SUMIFS(STG_ZPMW03!$CA$6:$CA$505,STG_ZPMW03!$B$6:$B$505,$A16)))</f>
        <v>3868800</v>
      </c>
      <c r="Z16" s="117">
        <f>IF($A16="","",IF($J16=0,"n.b.",SUMIFS(STG_ZPMW03!$BV$6:$BV$505,STG_ZPMW03!$B$6:$B$505,$A16)))</f>
        <v>278553.6</v>
      </c>
      <c r="AA16" s="117">
        <f>IF($A16="","",IF($J16=0,"n.b.",SUMIFS(STG_ZPMW03!$BX$6:$BX$505,STG_ZPMW03!$B$6:$B$505,$A16)))</f>
        <v>348192</v>
      </c>
      <c r="AB16" s="117">
        <f>IF($A16="","",IF($J16=0,"n.b.",SUMIFS(STG_ZPMW03!$BZ$6:$BZ$505,STG_ZPMW03!$B$6:$B$505,$A16)))</f>
        <v>417830.4</v>
      </c>
      <c r="AC16" s="117">
        <f>IF($A16="","",IF($J16=0,"n.b.",SUMIFS(STG_ZPMW03!$CB$6:$CB$505,STG_ZPMW03!$B$6:$B$505,$A16)))</f>
        <v>348192</v>
      </c>
      <c r="AD16" s="117">
        <f>IF($A16="","",IF($J16=0,"n.b.",SUMIFS(STG_ZPMW03!$CC$6:$CC$505,STG_ZPMW03!$B$6:$B$505,$A16)))</f>
        <v>8332800</v>
      </c>
      <c r="AE16" s="117">
        <f>IF($A16="","",IF($J16=0,"n.b.",SUMIFS(STG_ZPMW03!$CE$6:$CE$505,STG_ZPMW03!$B$6:$B$505,$A16)))</f>
        <v>0</v>
      </c>
      <c r="AF16" s="117">
        <f>IF($A16="","",IF($J16=0,"n.b.",SUMIFS(STG_ZPMW03!$CG$6:$CG$505,STG_ZPMW03!$B$6:$B$505,$A16)))</f>
        <v>0</v>
      </c>
      <c r="AG16" s="117">
        <f>IF($A16="","",IF($J16=0,"n.b.",SUMIFS(STG_ZPMW03!$CI$6:$CI$505,STG_ZPMW03!$B$6:$B$505,$A16)))</f>
        <v>0</v>
      </c>
      <c r="AH16" s="117">
        <f>IF($A16="","",IF($J16=0,"n.b.",SUMIFS(STG_ZPMW03!$CK$6:$CK$505,STG_ZPMW03!$B$6:$B$505,$A16)))</f>
        <v>0</v>
      </c>
      <c r="AI16" s="117">
        <f>IF($A16="","",IF($J16=0,"n.b.",SUMIFS(STG_ZPMW03!$CM$6:$CM$505,STG_ZPMW03!$B$6:$B$505,$A16)))</f>
        <v>0</v>
      </c>
      <c r="AJ16" s="117">
        <f>IF($A16="","",IF($J16=0,"n.b.",SUMIFS(STG_ZPMW03!$CO$6:$CO$505,STG_ZPMW03!$B$6:$B$505,$A16)))</f>
        <v>0</v>
      </c>
      <c r="AK16" s="117">
        <f>IF($A16="","",IF($J16=0,"n.b.",SUMIFS(STG_ZPMW03!$CQ$6:$CQ$505,STG_ZPMW03!$B$6:$B$505,$A16)))</f>
        <v>0</v>
      </c>
      <c r="AL16" s="117">
        <f>IF($A16="","",IF($J16=0,"n.b.",SUMIFS(STG_ZPMW03!$CD$6:$CD$505,STG_ZPMW03!$B$6:$B$505,$A16)))</f>
        <v>749952</v>
      </c>
      <c r="AM16" s="117">
        <f>IF($A16="","",IF($J16=0,"n.b.",SUMIFS(STG_ZPMW03!$CF$6:$CF$505,STG_ZPMW03!$B$6:$B$505,$A16)))</f>
        <v>0</v>
      </c>
      <c r="AN16" s="117">
        <f>IF($A16="","",IF($J16=0,"n.b.",SUMIFS(STG_ZPMW03!$CH$6:$CH$505,STG_ZPMW03!$B$6:$B$505,$A16)))</f>
        <v>0</v>
      </c>
      <c r="AO16" s="117">
        <f>IF($A16="","",IF($J16=0,"n.b.",SUMIFS(STG_ZPMW03!$CJ$6:$CJ$505,STG_ZPMW03!$B$6:$B$505,$A16)))</f>
        <v>0</v>
      </c>
      <c r="AP16" s="117">
        <f>IF($A16="","",IF($J16=0,"n.b.",SUMIFS(STG_ZPMW03!$CL$6:$CL$505,STG_ZPMW03!$B$6:$B$505,$A16)))</f>
        <v>0</v>
      </c>
      <c r="AQ16" s="117">
        <f>IF($A16="","",IF($J16=0,"n.b.",SUMIFS(STG_ZPMW03!$CN$6:$CN$505,STG_ZPMW03!$B$6:$B$505,$A16)))</f>
        <v>0</v>
      </c>
      <c r="AR16" s="117">
        <f>IF($A16="","",IF($J16=0,"n.b.",SUMIFS(STG_ZPMW03!$CP$6:$CP$505,STG_ZPMW03!$B$6:$B$505,$A16)))</f>
        <v>0</v>
      </c>
      <c r="AS16" s="117">
        <f>IF($A16="","",IF($J16=0,"n.b.",SUMIFS(STG_ZPMW03!$CR$6:$CR$505,STG_ZPMW03!$B$6:$B$505,$A16)))</f>
        <v>0</v>
      </c>
      <c r="AT16" s="117">
        <f>IF($A16="","",IF($K16=0,"n.b.",SUMIFS(STG_Woningetalage!$Q$6:$Q$505,STG_Woningetalage!$B$6:$B$505,$A16)))</f>
        <v>96</v>
      </c>
      <c r="AU16" s="117">
        <f>IF($A16="","",IF($K16=0,"n.b.",SUMIFS(STG_Woningetalage!$R$6:$R$505,STG_Woningetalage!$B$6:$B$505,$A16)))</f>
        <v>0</v>
      </c>
      <c r="AV16" s="117">
        <f>IF($A16="","",IF($K16=0,"n.b.",SUMIFS(STG_Woningetalage!$S$6:$S$505,STG_Woningetalage!$B$6:$B$505,$A16)))</f>
        <v>0</v>
      </c>
      <c r="AW16" s="117">
        <f>IF($A16="","",IF($K16=0,"n.b.",SUMIFS(STG_Woningetalage!$T$6:$T$505,STG_Woningetalage!$B$6:$B$505,$A16)))</f>
        <v>0</v>
      </c>
      <c r="AX16" s="117">
        <f>IF($A16="","",IF($K16=0,"n.b.",SUMIFS(STG_Woningetalage!$U$6:$U$505,STG_Woningetalage!$B$6:$B$505,$A16)))</f>
        <v>20</v>
      </c>
      <c r="AY16" s="117">
        <f>IF($A16="","",IF($K16=0,"n.b.",SUMIFS(STG_Woningetalage!$V$6:$V$505,STG_Woningetalage!$B$6:$B$505,$A16)))</f>
        <v>0</v>
      </c>
      <c r="AZ16" s="117">
        <f>IF($A16="","",IF($K16=0,"n.b.",SUMIFS(STG_Woningetalage!$W$6:$W$505,STG_Woningetalage!$B$6:$B$505,$A16)))</f>
        <v>20</v>
      </c>
      <c r="BA16" s="117">
        <f>IF($A16="","",IF($K16=0,"n.b.",SUMIFS(STG_Woningetalage!$X$6:$X$505,STG_Woningetalage!$B$6:$B$505,$A16)))</f>
        <v>20</v>
      </c>
      <c r="BB16" s="117">
        <f>IF($A16="","",IF($K16=0,"n.b.",SUMIFS(STG_Woningetalage!$Y$6:$Y$505,STG_Woningetalage!$B$6:$B$505,$A16)))</f>
        <v>0</v>
      </c>
      <c r="BC16" s="117">
        <f>IF($A16="","",IF($K16=0,"n.b.",SUMIFS(STG_Woningetalage!$Z$6:$Z$505,STG_Woningetalage!$B$6:$B$505,$A16)))</f>
        <v>20</v>
      </c>
      <c r="BD16" s="117">
        <f>IF($A16="","",IF($K16=0,"n.b.",SUMIFS(STG_Woningetalage!$AA$6:$AA$505,STG_Woningetalage!$B$6:$B$505,$A16)))</f>
        <v>76</v>
      </c>
      <c r="BE16" s="117">
        <f>IF($A16="","",IF($K16=0,"n.b.",SUMIFS(STG_Woningetalage!$AB$6:$AB$505,STG_Woningetalage!$B$6:$B$505,$A16)))</f>
        <v>1</v>
      </c>
      <c r="BF16" s="117">
        <f>IF($A16="","",IF($K16=0,"n.b.",SUMIFS(STG_Woningetalage!$AC$6:$AC$505,STG_Woningetalage!$B$6:$B$505,$A16)))</f>
        <v>1</v>
      </c>
      <c r="BG16" s="117">
        <f>IF($A16="","",IF($K16=0,"n.b.",SUMIFS(STG_Woningetalage!$AD$6:$AD$505,STG_Woningetalage!$B$6:$B$505,$A16)))</f>
        <v>2</v>
      </c>
      <c r="BH16" s="117">
        <f>IF($A16="","",IF($K16=0,"n.b.",SUMIFS(STG_Woningetalage!$AE$6:$AE$505,STG_Woningetalage!$B$6:$B$505,$A16)))</f>
        <v>2</v>
      </c>
      <c r="BI16" s="117">
        <f>IF($A16="","",IF($K16=0,"n.b.",SUMIFS(STG_Woningetalage!$AF$6:$AF$505,STG_Woningetalage!$B$6:$B$505,$A16)))</f>
        <v>4</v>
      </c>
      <c r="BJ16" s="117">
        <f>IF($A16="","",IF($K16=0,"n.b.",SUMIFS(STG_Woningetalage!$AG$6:$AG$505,STG_Woningetalage!$B$6:$B$505,$A16)))</f>
        <v>2</v>
      </c>
      <c r="BK16" s="117">
        <f>IF($A16="","",IF($K16=0,"n.b.",SUMIFS(STG_Woningetalage!$AH$6:$AH$505,STG_Woningetalage!$B$6:$B$505,$A16)))</f>
        <v>2</v>
      </c>
      <c r="BL16" s="117">
        <f>IF($A16="","",IF($K16=0,"n.b.",SUMIFS(STG_Woningetalage!$AI$6:$AI$505,STG_Woningetalage!$B$6:$B$505,$A16)))</f>
        <v>4</v>
      </c>
      <c r="BM16" s="117">
        <f>IF($A16="","",IF($K16=0,"n.b.",SUMIFS(STG_Woningetalage!$AJ$6:$AJ$505,STG_Woningetalage!$B$6:$B$505,$A16)))</f>
        <v>2</v>
      </c>
      <c r="BN16" s="117">
        <f>IF($A16="","",IF($K16=0,"n.b.",SUMIFS(STG_Woningetalage!$AK$6:$AK$505,STG_Woningetalage!$B$6:$B$505,$A16)))</f>
        <v>1</v>
      </c>
      <c r="BO16" s="117">
        <f>IF($A16="","",IF($K16=0,"n.b.",SUMIFS(STG_Woningetalage!$AL$6:$AL$505,STG_Woningetalage!$B$6:$B$505,$A16)))</f>
        <v>1</v>
      </c>
      <c r="BP16" s="117">
        <f>IF($A16="","",IF($K16=0,"n.b.",SUMIFS(STG_Woningetalage!$AM$6:$AM$505,STG_Woningetalage!$B$6:$B$505,$A16)))</f>
        <v>10</v>
      </c>
      <c r="BQ16" s="117">
        <f>IF($A16="","",IF($K16=0,"n.b.",SUMIFS(STG_Woningetalage!$BE$6:$BE$505,STG_Woningetalage!$B$6:$B$505,$A16)))</f>
        <v>4</v>
      </c>
      <c r="BR16" s="117">
        <f>IF($A16="","",IF($K16=0,"n.b.",SUMIFS(STG_Woningetalage!$BF$6:$BF$505,STG_Woningetalage!$B$6:$B$505,$A16)))</f>
        <v>8</v>
      </c>
      <c r="BS16" s="117">
        <f>IF($A16="","",IF($K16=0,"n.b.",SUMIFS(STG_Woningetalage!$BG$6:$BG$505,STG_Woningetalage!$B$6:$B$505,$A16)))</f>
        <v>8</v>
      </c>
      <c r="BT16" s="117">
        <f>IF($A16="","",IF($K16=0,"n.b.",SUMIFS(STG_Woningetalage!$BH$6:$BH$505,STG_Woningetalage!$B$6:$B$505,$A16)))</f>
        <v>12</v>
      </c>
      <c r="BU16" s="117">
        <f>IF($A16="","",IF($K16=0,"n.b.",SUMIFS(STG_Woningetalage!$BI$6:$BI$505,STG_Woningetalage!$B$6:$B$505,$A16)))</f>
        <v>20</v>
      </c>
      <c r="BV16" s="117">
        <f>IF($A16="","",IF($K16=0,"n.b.",SUMIFS(STG_Woningetalage!$BJ$6:$BJ$505,STG_Woningetalage!$B$6:$B$505,$A16)))</f>
        <v>12</v>
      </c>
      <c r="BW16" s="117">
        <f>IF($A16="","",IF($K16=0,"n.b.",SUMIFS(STG_Woningetalage!$AR$6:$AR$505,STG_Woningetalage!$B$6:$B$505,$A16)))</f>
        <v>32</v>
      </c>
      <c r="BX16" s="117">
        <f>IF($A16="","",IF($K16=0,"n.b.",SUMIFS(STG_Woningetalage!$AS$6:$AS$505,STG_Woningetalage!$B$6:$B$505,$A16)))</f>
        <v>42</v>
      </c>
      <c r="BY16" s="117">
        <f>IF($A16="","",IF($K16=0,"n.b.",SUMIFS(STG_Woningetalage!$AN$6:$AN$505,STG_Woningetalage!$B$6:$B$505,$A16)))</f>
        <v>12</v>
      </c>
      <c r="BZ16" s="117">
        <f>IF($A16="","",IF($K16=0,"n.b.",SUMIFS(STG_Woningetalage!$AO$6:$AO$505,STG_Woningetalage!$B$6:$B$505,$A16)))</f>
        <v>10</v>
      </c>
      <c r="CA16" s="117">
        <f>IF($A16="","",IF($K16=0,"n.b.",SUMIFS(STG_Woningetalage!$AP$6:$AP$505,STG_Woningetalage!$B$6:$B$505,$A16)))</f>
        <v>10</v>
      </c>
      <c r="CB16" s="117">
        <f>IF($A16="","",IF($K16=0,"n.b.",SUMIFS(STG_Woningetalage!$AQ$6:$AQ$505,STG_Woningetalage!$B$6:$B$505,$A16)))</f>
        <v>10</v>
      </c>
      <c r="CC16" s="117">
        <f>IF($A16="","",IF($K16=0,"n.b.",SUMIFS(STG_Woningetalage!$AU$6:$AU$505,STG_Woningetalage!$B$6:$B$505,$A16)))</f>
        <v>22</v>
      </c>
      <c r="CD16" s="92">
        <f>IF($A16="","",IFERROR(INDEX(STG_ZPMW03!$L$6:$L$505,MATCH($A16,STG_ZPMW03!$B$6:$B$505,0)),"n.b."))</f>
        <v>100</v>
      </c>
      <c r="CE16" s="92" t="str">
        <f>IF($A16="","",IFERROR(INDEX(STG_ZPMW03!$K$6:$K$505,MATCH($A16,STG_ZPMW03!$B$6:$B$505,0)),"n.b."))</f>
        <v>VRIJ BLOK</v>
      </c>
      <c r="CF16" s="92">
        <f>IF($A16="","",IFERROR(INDEX(STG_ZPMW03!$BH$6:$BH$505,MATCH($A16,STG_ZPMW03!$B$6:$B$505,0)),"n.b."))</f>
        <v>46419.0</v>
      </c>
      <c r="CG16" s="92">
        <f>IF($A16="","",IFERROR(INDEX(STG_ZPMW03!$BI$6:$BI$505,MATCH($A16,STG_ZPMW03!$B$6:$B$505,0)),"n.b."))</f>
        <v>202912</v>
      </c>
      <c r="CH16" s="92">
        <f>IF($A16="","",IFERROR(INDEX(STG_ZPMW03!$BJ$6:$BJ$505,MATCH($A16,STG_ZPMW03!$B$6:$B$505,0)),"n.b."))</f>
        <v>2</v>
      </c>
      <c r="CI16" s="92">
        <f>IF($A16="","",IFERROR(INDEX(STG_ZPMW03!$BF$6:$BF$505,MATCH($A16,STG_ZPMW03!$B$6:$B$505,0)),"n.b."))</f>
        <v>24.7</v>
      </c>
      <c r="CJ16" s="92">
        <f>IF($A16="","",IFERROR(INDEX(STG_ZPMW03!$BG$6:$BG$505,MATCH($A16,STG_ZPMW03!$B$6:$B$505,0)),"n.b."))</f>
        <v>46054.0</v>
      </c>
      <c r="CK16" s="92" t="str">
        <f>IF($A16="","",IFERROR(INDEX(STG_ZPMW03!$H$6:$H$505,MATCH($A16,STG_ZPMW03!$B$6:$B$505,0)),"n.b."))</f>
        <v>WO-Wonen</v>
      </c>
      <c r="CL16" s="92" t="str">
        <f>IF($A16="","",IFERROR(INDEX(STG_ZPMW03!$E$6:$E$505,MATCH($A16,STG_ZPMW03!$B$6:$B$505,0)),"n.b."))</f>
        <v>Demo Ontwikkeling BV</v>
      </c>
      <c r="CM16" s="92" t="str">
        <f>IF($A16="","",IFERROR(INDEX(STG_ZPMW03!$G$6:$G$505,MATCH($A16,STG_ZPMW03!$B$6:$B$505,0)),"n.b."))</f>
        <v>Demo Regio</v>
      </c>
      <c r="CN16" s="92">
        <f>IF($A16="","",IFERROR(INDEX(STG_Woningetalage!$N$6:$N$505,MATCH($A16,STG_Woningetalage!$B$6:$B$505,0)),"n.b."))</f>
        <v>45931.0</v>
      </c>
      <c r="CO16" s="92">
        <f>IF($A16="","",IFERROR(INDEX(STG_Woningetalage!$P$6:$P$505,MATCH($A16,STG_Woningetalage!$B$6:$B$505,0)),"n.b."))</f>
        <v>47453.0</v>
      </c>
      <c r="CP16" s="118">
        <f>IF($A16="","",IF(AND(ISNUMBER(AT16),ISNUMBER(F16)),IF(F16&gt;0,AT16/(F16/100),"n.b."),"n.b."))</f>
        <v>96</v>
      </c>
      <c r="CQ16" s="116">
        <f>IF($A16="","",IF(ISNUMBER(Q16),IF(Q16&lt;0,1,0),0))</f>
        <v>0</v>
      </c>
      <c r="CR16" s="116" t="str">
        <f>IF(CQ16=1,COUNTIF($CQ$6:CQ16,1),"")</f>
        <v/>
      </c>
      <c r="CS16" s="116" t="str">
        <f>IF(AND($A16&lt;&gt;"",$J16=0),COUNTIFS($A$6:$A16,"?*",$J$6:$J16,0),"")</f>
        <v/>
      </c>
      <c r="CT16" s="119">
        <f>IF($A16="","",IF(AND(ISNUMBER(Q16),ISNUMBER(P16)),IF(P16&lt;&gt;0,Q16/P16,"n.b."),"n.b."))</f>
        <v>0.09</v>
      </c>
    </row>
    <row r="17">
      <c r="A17" s="92" t="str">
        <f>IF(Mapping!$A16="","",Mapping!$A16)</f>
        <v>G.900012.8.9090</v>
      </c>
      <c r="B17" s="92" t="str">
        <f>IF(Mapping!$B16="","",Mapping!$B16)</f>
        <v>G.900012</v>
      </c>
      <c r="C17" s="92" t="str">
        <f>IF(Mapping!$C16="","",Mapping!$C16)</f>
        <v>Zilverdam, De Werf</v>
      </c>
      <c r="D17" s="92" t="str">
        <f>IF(Mapping!$F16="","",Mapping!$F16)</f>
        <v>Deelneming</v>
      </c>
      <c r="E17" s="92" t="str">
        <f>IF(Mapping!$H16="","",Mapping!$H16)</f>
        <v>Appartement</v>
      </c>
      <c r="F17" s="92">
        <f>IF(Mapping!$E16="","",Mapping!$E16)</f>
        <v>50</v>
      </c>
      <c r="G17" s="92" t="str">
        <f>IF(Mapping!$G16="","",Mapping!$G16)</f>
        <v>Ja</v>
      </c>
      <c r="H17" s="92">
        <f>IF(Mapping!$D16="","",Mapping!$D16)</f>
        <v>28</v>
      </c>
      <c r="I17" s="92" t="str">
        <f>IF($A17="","",IFERROR(INDEX(STG_ZPMW03!$C$6:$C$505,MATCH($A17,STG_ZPMW03!$B$6:$B$505,0)),"n.b."))</f>
        <v>N</v>
      </c>
      <c r="J17" s="116">
        <f>IF($A17="","",COUNTIF(STG_ZPMW03!$B$6:$B$505,$A17))</f>
        <v>1</v>
      </c>
      <c r="K17" s="116">
        <f>IF($A17="","",COUNTIF(STG_Woningetalage!$B$6:$B$505,$A17))</f>
        <v>1</v>
      </c>
      <c r="L17" s="117">
        <f>IF($A17="","",IF($J17=0,"n.b.",SUMIFS(STG_ZPMW03!$BK$6:$BK$505,STG_ZPMW03!$B$6:$B$505,$A17)))</f>
        <v>932750</v>
      </c>
      <c r="M17" s="117">
        <f>IF($A17="","",IF($J17=0,"n.b.",SUMIFS(STG_ZPMW03!$BL$6:$BL$505,STG_ZPMW03!$B$6:$B$505,$A17)))</f>
        <v>111930</v>
      </c>
      <c r="N17" s="117">
        <f>IF($A17="","",IF($J17=0,"n.b.",SUMIFS(STG_ZPMW03!$BM$6:$BM$505,STG_ZPMW03!$B$6:$B$505,$A17)))</f>
        <v>502250</v>
      </c>
      <c r="O17" s="117">
        <f>IF($A17="","",IF($J17=0,"n.b.",SUMIFS(STG_ZPMW03!$BN$6:$BN$505,STG_ZPMW03!$B$6:$B$505,$A17)))</f>
        <v>60270</v>
      </c>
      <c r="P17" s="117">
        <f>IF($A17="","",IF($J17=0,"n.b.",SUMIFS(STG_ZPMW03!$BO$6:$BO$505,STG_ZPMW03!$B$6:$B$505,$A17)))</f>
        <v>1435000</v>
      </c>
      <c r="Q17" s="117">
        <f>IF($A17="","",IF($J17=0,"n.b.",SUMIFS(STG_ZPMW03!$BP$6:$BP$505,STG_ZPMW03!$B$6:$B$505,$A17)))</f>
        <v>172200</v>
      </c>
      <c r="R17" s="117">
        <f>IF($A17="","",IF($J17=0,"n.b.",SUMIFS(STG_ZPMW03!$BQ$6:$BQ$505,STG_ZPMW03!$B$6:$B$505,$A17)))</f>
        <v>2798250</v>
      </c>
      <c r="S17" s="117">
        <f>IF($A17="","",IF($J17=0,"n.b.",SUMIFS(STG_ZPMW03!$BR$6:$BR$505,STG_ZPMW03!$B$6:$B$505,$A17)))</f>
        <v>335790</v>
      </c>
      <c r="T17" s="117">
        <f>IF($A17="","",IF($J17=0,"n.b.",SUMIFS(STG_ZPMW03!$BS$6:$BS$505,STG_ZPMW03!$B$6:$B$505,$A17)))</f>
        <v>502250</v>
      </c>
      <c r="U17" s="117">
        <f>IF($A17="","",IF($J17=0,"n.b.",SUMIFS(STG_ZPMW03!$BT$6:$BT$505,STG_ZPMW03!$B$6:$B$505,$A17)))</f>
        <v>60270</v>
      </c>
      <c r="V17" s="117">
        <f>IF($A17="","",IF($J17=0,"n.b.",SUMIFS(STG_ZPMW03!$BU$6:$BU$505,STG_ZPMW03!$B$6:$B$505,$A17)))</f>
        <v>559650</v>
      </c>
      <c r="W17" s="117">
        <f>IF($A17="","",IF($J17=0,"n.b.",SUMIFS(STG_ZPMW03!$BW$6:$BW$505,STG_ZPMW03!$B$6:$B$505,$A17)))</f>
        <v>699562</v>
      </c>
      <c r="X17" s="117">
        <f>IF($A17="","",IF($J17=0,"n.b.",SUMIFS(STG_ZPMW03!$BY$6:$BY$505,STG_ZPMW03!$B$6:$B$505,$A17)))</f>
        <v>839475</v>
      </c>
      <c r="Y17" s="117">
        <f>IF($A17="","",IF($J17=0,"n.b.",SUMIFS(STG_ZPMW03!$CA$6:$CA$505,STG_ZPMW03!$B$6:$B$505,$A17)))</f>
        <v>699563</v>
      </c>
      <c r="Z17" s="117">
        <f>IF($A17="","",IF($J17=0,"n.b.",SUMIFS(STG_ZPMW03!$BV$6:$BV$505,STG_ZPMW03!$B$6:$B$505,$A17)))</f>
        <v>67158</v>
      </c>
      <c r="AA17" s="117">
        <f>IF($A17="","",IF($J17=0,"n.b.",SUMIFS(STG_ZPMW03!$BX$6:$BX$505,STG_ZPMW03!$B$6:$B$505,$A17)))</f>
        <v>83947.44</v>
      </c>
      <c r="AB17" s="117">
        <f>IF($A17="","",IF($J17=0,"n.b.",SUMIFS(STG_ZPMW03!$BZ$6:$BZ$505,STG_ZPMW03!$B$6:$B$505,$A17)))</f>
        <v>100737</v>
      </c>
      <c r="AC17" s="117">
        <f>IF($A17="","",IF($J17=0,"n.b.",SUMIFS(STG_ZPMW03!$CB$6:$CB$505,STG_ZPMW03!$B$6:$B$505,$A17)))</f>
        <v>83947.56</v>
      </c>
      <c r="AD17" s="117">
        <f>IF($A17="","",IF($J17=0,"n.b.",SUMIFS(STG_ZPMW03!$CC$6:$CC$505,STG_ZPMW03!$B$6:$B$505,$A17)))</f>
        <v>1506750</v>
      </c>
      <c r="AE17" s="117">
        <f>IF($A17="","",IF($J17=0,"n.b.",SUMIFS(STG_ZPMW03!$CE$6:$CE$505,STG_ZPMW03!$B$6:$B$505,$A17)))</f>
        <v>0</v>
      </c>
      <c r="AF17" s="117">
        <f>IF($A17="","",IF($J17=0,"n.b.",SUMIFS(STG_ZPMW03!$CG$6:$CG$505,STG_ZPMW03!$B$6:$B$505,$A17)))</f>
        <v>0</v>
      </c>
      <c r="AG17" s="117">
        <f>IF($A17="","",IF($J17=0,"n.b.",SUMIFS(STG_ZPMW03!$CI$6:$CI$505,STG_ZPMW03!$B$6:$B$505,$A17)))</f>
        <v>0</v>
      </c>
      <c r="AH17" s="117">
        <f>IF($A17="","",IF($J17=0,"n.b.",SUMIFS(STG_ZPMW03!$CK$6:$CK$505,STG_ZPMW03!$B$6:$B$505,$A17)))</f>
        <v>0</v>
      </c>
      <c r="AI17" s="117">
        <f>IF($A17="","",IF($J17=0,"n.b.",SUMIFS(STG_ZPMW03!$CM$6:$CM$505,STG_ZPMW03!$B$6:$B$505,$A17)))</f>
        <v>0</v>
      </c>
      <c r="AJ17" s="117">
        <f>IF($A17="","",IF($J17=0,"n.b.",SUMIFS(STG_ZPMW03!$CO$6:$CO$505,STG_ZPMW03!$B$6:$B$505,$A17)))</f>
        <v>0</v>
      </c>
      <c r="AK17" s="117">
        <f>IF($A17="","",IF($J17=0,"n.b.",SUMIFS(STG_ZPMW03!$CQ$6:$CQ$505,STG_ZPMW03!$B$6:$B$505,$A17)))</f>
        <v>0</v>
      </c>
      <c r="AL17" s="117">
        <f>IF($A17="","",IF($J17=0,"n.b.",SUMIFS(STG_ZPMW03!$CD$6:$CD$505,STG_ZPMW03!$B$6:$B$505,$A17)))</f>
        <v>180810</v>
      </c>
      <c r="AM17" s="117">
        <f>IF($A17="","",IF($J17=0,"n.b.",SUMIFS(STG_ZPMW03!$CF$6:$CF$505,STG_ZPMW03!$B$6:$B$505,$A17)))</f>
        <v>0</v>
      </c>
      <c r="AN17" s="117">
        <f>IF($A17="","",IF($J17=0,"n.b.",SUMIFS(STG_ZPMW03!$CH$6:$CH$505,STG_ZPMW03!$B$6:$B$505,$A17)))</f>
        <v>0</v>
      </c>
      <c r="AO17" s="117">
        <f>IF($A17="","",IF($J17=0,"n.b.",SUMIFS(STG_ZPMW03!$CJ$6:$CJ$505,STG_ZPMW03!$B$6:$B$505,$A17)))</f>
        <v>0</v>
      </c>
      <c r="AP17" s="117">
        <f>IF($A17="","",IF($J17=0,"n.b.",SUMIFS(STG_ZPMW03!$CL$6:$CL$505,STG_ZPMW03!$B$6:$B$505,$A17)))</f>
        <v>0</v>
      </c>
      <c r="AQ17" s="117">
        <f>IF($A17="","",IF($J17=0,"n.b.",SUMIFS(STG_ZPMW03!$CN$6:$CN$505,STG_ZPMW03!$B$6:$B$505,$A17)))</f>
        <v>0</v>
      </c>
      <c r="AR17" s="117">
        <f>IF($A17="","",IF($J17=0,"n.b.",SUMIFS(STG_ZPMW03!$CP$6:$CP$505,STG_ZPMW03!$B$6:$B$505,$A17)))</f>
        <v>0</v>
      </c>
      <c r="AS17" s="117">
        <f>IF($A17="","",IF($J17=0,"n.b.",SUMIFS(STG_ZPMW03!$CR$6:$CR$505,STG_ZPMW03!$B$6:$B$505,$A17)))</f>
        <v>0</v>
      </c>
      <c r="AT17" s="117">
        <f>IF($A17="","",IF($K17=0,"n.b.",SUMIFS(STG_Woningetalage!$Q$6:$Q$505,STG_Woningetalage!$B$6:$B$505,$A17)))</f>
        <v>28</v>
      </c>
      <c r="AU17" s="117">
        <f>IF($A17="","",IF($K17=0,"n.b.",SUMIFS(STG_Woningetalage!$R$6:$R$505,STG_Woningetalage!$B$6:$B$505,$A17)))</f>
        <v>0</v>
      </c>
      <c r="AV17" s="117">
        <f>IF($A17="","",IF($K17=0,"n.b.",SUMIFS(STG_Woningetalage!$S$6:$S$505,STG_Woningetalage!$B$6:$B$505,$A17)))</f>
        <v>0</v>
      </c>
      <c r="AW17" s="117">
        <f>IF($A17="","",IF($K17=0,"n.b.",SUMIFS(STG_Woningetalage!$T$6:$T$505,STG_Woningetalage!$B$6:$B$505,$A17)))</f>
        <v>0</v>
      </c>
      <c r="AX17" s="117">
        <f>IF($A17="","",IF($K17=0,"n.b.",SUMIFS(STG_Woningetalage!$U$6:$U$505,STG_Woningetalage!$B$6:$B$505,$A17)))</f>
        <v>0</v>
      </c>
      <c r="AY17" s="117">
        <f>IF($A17="","",IF($K17=0,"n.b.",SUMIFS(STG_Woningetalage!$V$6:$V$505,STG_Woningetalage!$B$6:$B$505,$A17)))</f>
        <v>2</v>
      </c>
      <c r="AZ17" s="117">
        <f>IF($A17="","",IF($K17=0,"n.b.",SUMIFS(STG_Woningetalage!$W$6:$W$505,STG_Woningetalage!$B$6:$B$505,$A17)))</f>
        <v>2</v>
      </c>
      <c r="BA17" s="117">
        <f>IF($A17="","",IF($K17=0,"n.b.",SUMIFS(STG_Woningetalage!$X$6:$X$505,STG_Woningetalage!$B$6:$B$505,$A17)))</f>
        <v>0</v>
      </c>
      <c r="BB17" s="117">
        <f>IF($A17="","",IF($K17=0,"n.b.",SUMIFS(STG_Woningetalage!$Y$6:$Y$505,STG_Woningetalage!$B$6:$B$505,$A17)))</f>
        <v>2</v>
      </c>
      <c r="BC17" s="117">
        <f>IF($A17="","",IF($K17=0,"n.b.",SUMIFS(STG_Woningetalage!$Z$6:$Z$505,STG_Woningetalage!$B$6:$B$505,$A17)))</f>
        <v>2</v>
      </c>
      <c r="BD17" s="117">
        <f>IF($A17="","",IF($K17=0,"n.b.",SUMIFS(STG_Woningetalage!$AA$6:$AA$505,STG_Woningetalage!$B$6:$B$505,$A17)))</f>
        <v>26</v>
      </c>
      <c r="BE17" s="117">
        <f>IF($A17="","",IF($K17=0,"n.b.",SUMIFS(STG_Woningetalage!$AB$6:$AB$505,STG_Woningetalage!$B$6:$B$505,$A17)))</f>
        <v>0</v>
      </c>
      <c r="BF17" s="117">
        <f>IF($A17="","",IF($K17=0,"n.b.",SUMIFS(STG_Woningetalage!$AC$6:$AC$505,STG_Woningetalage!$B$6:$B$505,$A17)))</f>
        <v>0</v>
      </c>
      <c r="BG17" s="117">
        <f>IF($A17="","",IF($K17=0,"n.b.",SUMIFS(STG_Woningetalage!$AD$6:$AD$505,STG_Woningetalage!$B$6:$B$505,$A17)))</f>
        <v>0</v>
      </c>
      <c r="BH17" s="117">
        <f>IF($A17="","",IF($K17=0,"n.b.",SUMIFS(STG_Woningetalage!$AE$6:$AE$505,STG_Woningetalage!$B$6:$B$505,$A17)))</f>
        <v>0</v>
      </c>
      <c r="BI17" s="117">
        <f>IF($A17="","",IF($K17=0,"n.b.",SUMIFS(STG_Woningetalage!$AF$6:$AF$505,STG_Woningetalage!$B$6:$B$505,$A17)))</f>
        <v>1</v>
      </c>
      <c r="BJ17" s="117">
        <f>IF($A17="","",IF($K17=0,"n.b.",SUMIFS(STG_Woningetalage!$AG$6:$AG$505,STG_Woningetalage!$B$6:$B$505,$A17)))</f>
        <v>0</v>
      </c>
      <c r="BK17" s="117">
        <f>IF($A17="","",IF($K17=0,"n.b.",SUMIFS(STG_Woningetalage!$AH$6:$AH$505,STG_Woningetalage!$B$6:$B$505,$A17)))</f>
        <v>0</v>
      </c>
      <c r="BL17" s="117">
        <f>IF($A17="","",IF($K17=0,"n.b.",SUMIFS(STG_Woningetalage!$AI$6:$AI$505,STG_Woningetalage!$B$6:$B$505,$A17)))</f>
        <v>1</v>
      </c>
      <c r="BM17" s="117">
        <f>IF($A17="","",IF($K17=0,"n.b.",SUMIFS(STG_Woningetalage!$AJ$6:$AJ$505,STG_Woningetalage!$B$6:$B$505,$A17)))</f>
        <v>0</v>
      </c>
      <c r="BN17" s="117">
        <f>IF($A17="","",IF($K17=0,"n.b.",SUMIFS(STG_Woningetalage!$AK$6:$AK$505,STG_Woningetalage!$B$6:$B$505,$A17)))</f>
        <v>0</v>
      </c>
      <c r="BO17" s="117">
        <f>IF($A17="","",IF($K17=0,"n.b.",SUMIFS(STG_Woningetalage!$AL$6:$AL$505,STG_Woningetalage!$B$6:$B$505,$A17)))</f>
        <v>0</v>
      </c>
      <c r="BP17" s="117">
        <f>IF($A17="","",IF($K17=0,"n.b.",SUMIFS(STG_Woningetalage!$AM$6:$AM$505,STG_Woningetalage!$B$6:$B$505,$A17)))</f>
        <v>7</v>
      </c>
      <c r="BQ17" s="117">
        <f>IF($A17="","",IF($K17=0,"n.b.",SUMIFS(STG_Woningetalage!$BE$6:$BE$505,STG_Woningetalage!$B$6:$B$505,$A17)))</f>
        <v>0</v>
      </c>
      <c r="BR17" s="117">
        <f>IF($A17="","",IF($K17=0,"n.b.",SUMIFS(STG_Woningetalage!$BF$6:$BF$505,STG_Woningetalage!$B$6:$B$505,$A17)))</f>
        <v>1</v>
      </c>
      <c r="BS17" s="117">
        <f>IF($A17="","",IF($K17=0,"n.b.",SUMIFS(STG_Woningetalage!$BG$6:$BG$505,STG_Woningetalage!$B$6:$B$505,$A17)))</f>
        <v>1</v>
      </c>
      <c r="BT17" s="117">
        <f>IF($A17="","",IF($K17=0,"n.b.",SUMIFS(STG_Woningetalage!$BH$6:$BH$505,STG_Woningetalage!$B$6:$B$505,$A17)))</f>
        <v>7</v>
      </c>
      <c r="BU17" s="117">
        <f>IF($A17="","",IF($K17=0,"n.b.",SUMIFS(STG_Woningetalage!$BI$6:$BI$505,STG_Woningetalage!$B$6:$B$505,$A17)))</f>
        <v>2</v>
      </c>
      <c r="BV17" s="117">
        <f>IF($A17="","",IF($K17=0,"n.b.",SUMIFS(STG_Woningetalage!$BJ$6:$BJ$505,STG_Woningetalage!$B$6:$B$505,$A17)))</f>
        <v>7</v>
      </c>
      <c r="BW17" s="117">
        <f>IF($A17="","",IF($K17=0,"n.b.",SUMIFS(STG_Woningetalage!$AR$6:$AR$505,STG_Woningetalage!$B$6:$B$505,$A17)))</f>
        <v>9</v>
      </c>
      <c r="BX17" s="117">
        <f>IF($A17="","",IF($K17=0,"n.b.",SUMIFS(STG_Woningetalage!$AS$6:$AS$505,STG_Woningetalage!$B$6:$B$505,$A17)))</f>
        <v>12</v>
      </c>
      <c r="BY17" s="117">
        <f>IF($A17="","",IF($K17=0,"n.b.",SUMIFS(STG_Woningetalage!$AN$6:$AN$505,STG_Woningetalage!$B$6:$B$505,$A17)))</f>
        <v>3</v>
      </c>
      <c r="BZ17" s="117">
        <f>IF($A17="","",IF($K17=0,"n.b.",SUMIFS(STG_Woningetalage!$AO$6:$AO$505,STG_Woningetalage!$B$6:$B$505,$A17)))</f>
        <v>3</v>
      </c>
      <c r="CA17" s="117">
        <f>IF($A17="","",IF($K17=0,"n.b.",SUMIFS(STG_Woningetalage!$AP$6:$AP$505,STG_Woningetalage!$B$6:$B$505,$A17)))</f>
        <v>3</v>
      </c>
      <c r="CB17" s="117">
        <f>IF($A17="","",IF($K17=0,"n.b.",SUMIFS(STG_Woningetalage!$AQ$6:$AQ$505,STG_Woningetalage!$B$6:$B$505,$A17)))</f>
        <v>3</v>
      </c>
      <c r="CC17" s="117">
        <f>IF($A17="","",IF($K17=0,"n.b.",SUMIFS(STG_Woningetalage!$AU$6:$AU$505,STG_Woningetalage!$B$6:$B$505,$A17)))</f>
        <v>7</v>
      </c>
      <c r="CD17" s="92">
        <f>IF($A17="","",IFERROR(INDEX(STG_ZPMW03!$L$6:$L$505,MATCH($A17,STG_ZPMW03!$B$6:$B$505,0)),"n.b."))</f>
        <v>80</v>
      </c>
      <c r="CE17" s="92" t="str">
        <f>IF($A17="","",IFERROR(INDEX(STG_ZPMW03!$K$6:$K$505,MATCH($A17,STG_ZPMW03!$B$6:$B$505,0)),"n.b."))</f>
        <v>VRIJ BLOK</v>
      </c>
      <c r="CF17" s="92">
        <f>IF($A17="","",IFERROR(INDEX(STG_ZPMW03!$BH$6:$BH$505,MATCH($A17,STG_ZPMW03!$B$6:$B$505,0)),"n.b."))</f>
        <v>46447.0</v>
      </c>
      <c r="CG17" s="92">
        <f>IF($A17="","",IFERROR(INDEX(STG_ZPMW03!$BI$6:$BI$505,MATCH($A17,STG_ZPMW03!$B$6:$B$505,0)),"n.b."))</f>
        <v>202912</v>
      </c>
      <c r="CH17" s="92">
        <f>IF($A17="","",IFERROR(INDEX(STG_ZPMW03!$BJ$6:$BJ$505,MATCH($A17,STG_ZPMW03!$B$6:$B$505,0)),"n.b."))</f>
        <v>3</v>
      </c>
      <c r="CI17" s="92">
        <f>IF($A17="","",IFERROR(INDEX(STG_ZPMW03!$BF$6:$BF$505,MATCH($A17,STG_ZPMW03!$B$6:$B$505,0)),"n.b."))</f>
        <v>16.25</v>
      </c>
      <c r="CJ17" s="92">
        <f>IF($A17="","",IFERROR(INDEX(STG_ZPMW03!$BG$6:$BG$505,MATCH($A17,STG_ZPMW03!$B$6:$B$505,0)),"n.b."))</f>
        <v>46082.0</v>
      </c>
      <c r="CK17" s="92" t="str">
        <f>IF($A17="","",IFERROR(INDEX(STG_ZPMW03!$H$6:$H$505,MATCH($A17,STG_ZPMW03!$B$6:$B$505,0)),"n.b."))</f>
        <v>WO-Wonen</v>
      </c>
      <c r="CL17" s="92" t="str">
        <f>IF($A17="","",IFERROR(INDEX(STG_ZPMW03!$E$6:$E$505,MATCH($A17,STG_ZPMW03!$B$6:$B$505,0)),"n.b."))</f>
        <v>Demo Gebiedscombinatie BV</v>
      </c>
      <c r="CM17" s="92" t="str">
        <f>IF($A17="","",IFERROR(INDEX(STG_ZPMW03!$G$6:$G$505,MATCH($A17,STG_ZPMW03!$B$6:$B$505,0)),"n.b."))</f>
        <v>Demo Regio</v>
      </c>
      <c r="CN17" s="92">
        <f>IF($A17="","",IFERROR(INDEX(STG_Woningetalage!$N$6:$N$505,MATCH($A17,STG_Woningetalage!$B$6:$B$505,0)),"n.b."))</f>
        <v>45931.0</v>
      </c>
      <c r="CO17" s="92">
        <f>IF($A17="","",IFERROR(INDEX(STG_Woningetalage!$P$6:$P$505,MATCH($A17,STG_Woningetalage!$B$6:$B$505,0)),"n.b."))</f>
        <v>47453.0</v>
      </c>
      <c r="CP17" s="118">
        <f>IF($A17="","",IF(AND(ISNUMBER(AT17),ISNUMBER(F17)),IF(F17&gt;0,AT17/(F17/100),"n.b."),"n.b."))</f>
        <v>56</v>
      </c>
      <c r="CQ17" s="116">
        <f>IF($A17="","",IF(ISNUMBER(Q17),IF(Q17&lt;0,1,0),0))</f>
        <v>0</v>
      </c>
      <c r="CR17" s="116" t="str">
        <f>IF(CQ17=1,COUNTIF($CQ$6:CQ17,1),"")</f>
        <v/>
      </c>
      <c r="CS17" s="116" t="str">
        <f>IF(AND($A17&lt;&gt;"",$J17=0),COUNTIFS($A$6:$A17,"?*",$J$6:$J17,0),"")</f>
        <v/>
      </c>
      <c r="CT17" s="119">
        <f>IF($A17="","",IF(AND(ISNUMBER(Q17),ISNUMBER(P17)),IF(P17&lt;&gt;0,Q17/P17,"n.b."),"n.b."))</f>
        <v>0.12</v>
      </c>
    </row>
    <row r="18">
      <c r="A18" s="92" t="str">
        <f>IF(Mapping!$A17="","",Mapping!$A17)</f>
        <v>G.900013.8.9090</v>
      </c>
      <c r="B18" s="92" t="str">
        <f>IF(Mapping!$B17="","",Mapping!$B17)</f>
        <v>G.900013</v>
      </c>
      <c r="C18" s="92" t="str">
        <f>IF(Mapping!$C17="","",Mapping!$C17)</f>
        <v>Boswaard, Boskamers</v>
      </c>
      <c r="D18" s="92" t="str">
        <f>IF(Mapping!$F17="","",Mapping!$F17)</f>
        <v>Opstal</v>
      </c>
      <c r="E18" s="92" t="str">
        <f>IF(Mapping!$H17="","",Mapping!$H17)</f>
        <v>Grondgebonden</v>
      </c>
      <c r="F18" s="92">
        <f>IF(Mapping!$E17="","",Mapping!$E17)</f>
        <v>100</v>
      </c>
      <c r="G18" s="92" t="str">
        <f>IF(Mapping!$G17="","",Mapping!$G17)</f>
        <v>Ja</v>
      </c>
      <c r="H18" s="92">
        <f>IF(Mapping!$D17="","",Mapping!$D17)</f>
        <v>60</v>
      </c>
      <c r="I18" s="92" t="str">
        <f>IF($A18="","",IFERROR(INDEX(STG_ZPMW03!$C$6:$C$505,MATCH($A18,STG_ZPMW03!$B$6:$B$505,0)),"n.b."))</f>
        <v>J</v>
      </c>
      <c r="J18" s="116">
        <f>IF($A18="","",COUNTIF(STG_ZPMW03!$B$6:$B$505,$A18))</f>
        <v>1</v>
      </c>
      <c r="K18" s="116">
        <f>IF($A18="","",COUNTIF(STG_Woningetalage!$B$6:$B$505,$A18))</f>
        <v>1</v>
      </c>
      <c r="L18" s="117">
        <f>IF($A18="","",IF($J18=0,"n.b.",SUMIFS(STG_ZPMW03!$BK$6:$BK$505,STG_ZPMW03!$B$6:$B$505,$A18)))</f>
        <v>2457000</v>
      </c>
      <c r="M18" s="117">
        <f>IF($A18="","",IF($J18=0,"n.b.",SUMIFS(STG_ZPMW03!$BL$6:$BL$505,STG_ZPMW03!$B$6:$B$505,$A18)))</f>
        <v>184275</v>
      </c>
      <c r="N18" s="117">
        <f>IF($A18="","",IF($J18=0,"n.b.",SUMIFS(STG_ZPMW03!$BM$6:$BM$505,STG_ZPMW03!$B$6:$B$505,$A18)))</f>
        <v>1323000</v>
      </c>
      <c r="O18" s="117">
        <f>IF($A18="","",IF($J18=0,"n.b.",SUMIFS(STG_ZPMW03!$BN$6:$BN$505,STG_ZPMW03!$B$6:$B$505,$A18)))</f>
        <v>99225</v>
      </c>
      <c r="P18" s="117">
        <f>IF($A18="","",IF($J18=0,"n.b.",SUMIFS(STG_ZPMW03!$BO$6:$BO$505,STG_ZPMW03!$B$6:$B$505,$A18)))</f>
        <v>3780000</v>
      </c>
      <c r="Q18" s="117">
        <f>IF($A18="","",IF($J18=0,"n.b.",SUMIFS(STG_ZPMW03!$BP$6:$BP$505,STG_ZPMW03!$B$6:$B$505,$A18)))</f>
        <v>283500</v>
      </c>
      <c r="R18" s="117">
        <f>IF($A18="","",IF($J18=0,"n.b.",SUMIFS(STG_ZPMW03!$BQ$6:$BQ$505,STG_ZPMW03!$B$6:$B$505,$A18)))</f>
        <v>13923000</v>
      </c>
      <c r="S18" s="117">
        <f>IF($A18="","",IF($J18=0,"n.b.",SUMIFS(STG_ZPMW03!$BR$6:$BR$505,STG_ZPMW03!$B$6:$B$505,$A18)))</f>
        <v>1044225</v>
      </c>
      <c r="T18" s="117">
        <f>IF($A18="","",IF($J18=0,"n.b.",SUMIFS(STG_ZPMW03!$BS$6:$BS$505,STG_ZPMW03!$B$6:$B$505,$A18)))</f>
        <v>1323000</v>
      </c>
      <c r="U18" s="117">
        <f>IF($A18="","",IF($J18=0,"n.b.",SUMIFS(STG_ZPMW03!$BT$6:$BT$505,STG_ZPMW03!$B$6:$B$505,$A18)))</f>
        <v>99225</v>
      </c>
      <c r="V18" s="117">
        <f>IF($A18="","",IF($J18=0,"n.b.",SUMIFS(STG_ZPMW03!$BU$6:$BU$505,STG_ZPMW03!$B$6:$B$505,$A18)))</f>
        <v>2784600</v>
      </c>
      <c r="W18" s="117">
        <f>IF($A18="","",IF($J18=0,"n.b.",SUMIFS(STG_ZPMW03!$BW$6:$BW$505,STG_ZPMW03!$B$6:$B$505,$A18)))</f>
        <v>3480750</v>
      </c>
      <c r="X18" s="117">
        <f>IF($A18="","",IF($J18=0,"n.b.",SUMIFS(STG_ZPMW03!$BY$6:$BY$505,STG_ZPMW03!$B$6:$B$505,$A18)))</f>
        <v>4176900</v>
      </c>
      <c r="Y18" s="117">
        <f>IF($A18="","",IF($J18=0,"n.b.",SUMIFS(STG_ZPMW03!$CA$6:$CA$505,STG_ZPMW03!$B$6:$B$505,$A18)))</f>
        <v>3480750</v>
      </c>
      <c r="Z18" s="117">
        <f>IF($A18="","",IF($J18=0,"n.b.",SUMIFS(STG_ZPMW03!$BV$6:$BV$505,STG_ZPMW03!$B$6:$B$505,$A18)))</f>
        <v>208845</v>
      </c>
      <c r="AA18" s="117">
        <f>IF($A18="","",IF($J18=0,"n.b.",SUMIFS(STG_ZPMW03!$BX$6:$BX$505,STG_ZPMW03!$B$6:$B$505,$A18)))</f>
        <v>261056.25</v>
      </c>
      <c r="AB18" s="117">
        <f>IF($A18="","",IF($J18=0,"n.b.",SUMIFS(STG_ZPMW03!$BZ$6:$BZ$505,STG_ZPMW03!$B$6:$B$505,$A18)))</f>
        <v>313267.5</v>
      </c>
      <c r="AC18" s="117">
        <f>IF($A18="","",IF($J18=0,"n.b.",SUMIFS(STG_ZPMW03!$CB$6:$CB$505,STG_ZPMW03!$B$6:$B$505,$A18)))</f>
        <v>261056.25</v>
      </c>
      <c r="AD18" s="117">
        <f>IF($A18="","",IF($J18=0,"n.b.",SUMIFS(STG_ZPMW03!$CC$6:$CC$505,STG_ZPMW03!$B$6:$B$505,$A18)))</f>
        <v>7497000</v>
      </c>
      <c r="AE18" s="117">
        <f>IF($A18="","",IF($J18=0,"n.b.",SUMIFS(STG_ZPMW03!$CE$6:$CE$505,STG_ZPMW03!$B$6:$B$505,$A18)))</f>
        <v>0</v>
      </c>
      <c r="AF18" s="117">
        <f>IF($A18="","",IF($J18=0,"n.b.",SUMIFS(STG_ZPMW03!$CG$6:$CG$505,STG_ZPMW03!$B$6:$B$505,$A18)))</f>
        <v>0</v>
      </c>
      <c r="AG18" s="117">
        <f>IF($A18="","",IF($J18=0,"n.b.",SUMIFS(STG_ZPMW03!$CI$6:$CI$505,STG_ZPMW03!$B$6:$B$505,$A18)))</f>
        <v>0</v>
      </c>
      <c r="AH18" s="117">
        <f>IF($A18="","",IF($J18=0,"n.b.",SUMIFS(STG_ZPMW03!$CK$6:$CK$505,STG_ZPMW03!$B$6:$B$505,$A18)))</f>
        <v>0</v>
      </c>
      <c r="AI18" s="117">
        <f>IF($A18="","",IF($J18=0,"n.b.",SUMIFS(STG_ZPMW03!$CM$6:$CM$505,STG_ZPMW03!$B$6:$B$505,$A18)))</f>
        <v>0</v>
      </c>
      <c r="AJ18" s="117">
        <f>IF($A18="","",IF($J18=0,"n.b.",SUMIFS(STG_ZPMW03!$CO$6:$CO$505,STG_ZPMW03!$B$6:$B$505,$A18)))</f>
        <v>0</v>
      </c>
      <c r="AK18" s="117">
        <f>IF($A18="","",IF($J18=0,"n.b.",SUMIFS(STG_ZPMW03!$CQ$6:$CQ$505,STG_ZPMW03!$B$6:$B$505,$A18)))</f>
        <v>0</v>
      </c>
      <c r="AL18" s="117">
        <f>IF($A18="","",IF($J18=0,"n.b.",SUMIFS(STG_ZPMW03!$CD$6:$CD$505,STG_ZPMW03!$B$6:$B$505,$A18)))</f>
        <v>562275</v>
      </c>
      <c r="AM18" s="117">
        <f>IF($A18="","",IF($J18=0,"n.b.",SUMIFS(STG_ZPMW03!$CF$6:$CF$505,STG_ZPMW03!$B$6:$B$505,$A18)))</f>
        <v>0</v>
      </c>
      <c r="AN18" s="117">
        <f>IF($A18="","",IF($J18=0,"n.b.",SUMIFS(STG_ZPMW03!$CH$6:$CH$505,STG_ZPMW03!$B$6:$B$505,$A18)))</f>
        <v>0</v>
      </c>
      <c r="AO18" s="117">
        <f>IF($A18="","",IF($J18=0,"n.b.",SUMIFS(STG_ZPMW03!$CJ$6:$CJ$505,STG_ZPMW03!$B$6:$B$505,$A18)))</f>
        <v>0</v>
      </c>
      <c r="AP18" s="117">
        <f>IF($A18="","",IF($J18=0,"n.b.",SUMIFS(STG_ZPMW03!$CL$6:$CL$505,STG_ZPMW03!$B$6:$B$505,$A18)))</f>
        <v>0</v>
      </c>
      <c r="AQ18" s="117">
        <f>IF($A18="","",IF($J18=0,"n.b.",SUMIFS(STG_ZPMW03!$CN$6:$CN$505,STG_ZPMW03!$B$6:$B$505,$A18)))</f>
        <v>0</v>
      </c>
      <c r="AR18" s="117">
        <f>IF($A18="","",IF($J18=0,"n.b.",SUMIFS(STG_ZPMW03!$CP$6:$CP$505,STG_ZPMW03!$B$6:$B$505,$A18)))</f>
        <v>0</v>
      </c>
      <c r="AS18" s="117">
        <f>IF($A18="","",IF($J18=0,"n.b.",SUMIFS(STG_ZPMW03!$CR$6:$CR$505,STG_ZPMW03!$B$6:$B$505,$A18)))</f>
        <v>0</v>
      </c>
      <c r="AT18" s="117">
        <f>IF($A18="","",IF($K18=0,"n.b.",SUMIFS(STG_Woningetalage!$Q$6:$Q$505,STG_Woningetalage!$B$6:$B$505,$A18)))</f>
        <v>60</v>
      </c>
      <c r="AU18" s="117">
        <f>IF($A18="","",IF($K18=0,"n.b.",SUMIFS(STG_Woningetalage!$R$6:$R$505,STG_Woningetalage!$B$6:$B$505,$A18)))</f>
        <v>0</v>
      </c>
      <c r="AV18" s="117">
        <f>IF($A18="","",IF($K18=0,"n.b.",SUMIFS(STG_Woningetalage!$S$6:$S$505,STG_Woningetalage!$B$6:$B$505,$A18)))</f>
        <v>0</v>
      </c>
      <c r="AW18" s="117">
        <f>IF($A18="","",IF($K18=0,"n.b.",SUMIFS(STG_Woningetalage!$T$6:$T$505,STG_Woningetalage!$B$6:$B$505,$A18)))</f>
        <v>0</v>
      </c>
      <c r="AX18" s="117">
        <f>IF($A18="","",IF($K18=0,"n.b.",SUMIFS(STG_Woningetalage!$U$6:$U$505,STG_Woningetalage!$B$6:$B$505,$A18)))</f>
        <v>0</v>
      </c>
      <c r="AY18" s="117">
        <f>IF($A18="","",IF($K18=0,"n.b.",SUMIFS(STG_Woningetalage!$V$6:$V$505,STG_Woningetalage!$B$6:$B$505,$A18)))</f>
        <v>9</v>
      </c>
      <c r="AZ18" s="117">
        <f>IF($A18="","",IF($K18=0,"n.b.",SUMIFS(STG_Woningetalage!$W$6:$W$505,STG_Woningetalage!$B$6:$B$505,$A18)))</f>
        <v>9</v>
      </c>
      <c r="BA18" s="117">
        <f>IF($A18="","",IF($K18=0,"n.b.",SUMIFS(STG_Woningetalage!$X$6:$X$505,STG_Woningetalage!$B$6:$B$505,$A18)))</f>
        <v>0</v>
      </c>
      <c r="BB18" s="117">
        <f>IF($A18="","",IF($K18=0,"n.b.",SUMIFS(STG_Woningetalage!$Y$6:$Y$505,STG_Woningetalage!$B$6:$B$505,$A18)))</f>
        <v>9</v>
      </c>
      <c r="BC18" s="117">
        <f>IF($A18="","",IF($K18=0,"n.b.",SUMIFS(STG_Woningetalage!$Z$6:$Z$505,STG_Woningetalage!$B$6:$B$505,$A18)))</f>
        <v>9</v>
      </c>
      <c r="BD18" s="117">
        <f>IF($A18="","",IF($K18=0,"n.b.",SUMIFS(STG_Woningetalage!$AA$6:$AA$505,STG_Woningetalage!$B$6:$B$505,$A18)))</f>
        <v>51</v>
      </c>
      <c r="BE18" s="117">
        <f>IF($A18="","",IF($K18=0,"n.b.",SUMIFS(STG_Woningetalage!$AB$6:$AB$505,STG_Woningetalage!$B$6:$B$505,$A18)))</f>
        <v>0</v>
      </c>
      <c r="BF18" s="117">
        <f>IF($A18="","",IF($K18=0,"n.b.",SUMIFS(STG_Woningetalage!$AC$6:$AC$505,STG_Woningetalage!$B$6:$B$505,$A18)))</f>
        <v>0</v>
      </c>
      <c r="BG18" s="117">
        <f>IF($A18="","",IF($K18=0,"n.b.",SUMIFS(STG_Woningetalage!$AD$6:$AD$505,STG_Woningetalage!$B$6:$B$505,$A18)))</f>
        <v>1</v>
      </c>
      <c r="BH18" s="117">
        <f>IF($A18="","",IF($K18=0,"n.b.",SUMIFS(STG_Woningetalage!$AE$6:$AE$505,STG_Woningetalage!$B$6:$B$505,$A18)))</f>
        <v>1</v>
      </c>
      <c r="BI18" s="117">
        <f>IF($A18="","",IF($K18=0,"n.b.",SUMIFS(STG_Woningetalage!$AF$6:$AF$505,STG_Woningetalage!$B$6:$B$505,$A18)))</f>
        <v>2</v>
      </c>
      <c r="BJ18" s="117">
        <f>IF($A18="","",IF($K18=0,"n.b.",SUMIFS(STG_Woningetalage!$AG$6:$AG$505,STG_Woningetalage!$B$6:$B$505,$A18)))</f>
        <v>1</v>
      </c>
      <c r="BK18" s="117">
        <f>IF($A18="","",IF($K18=0,"n.b.",SUMIFS(STG_Woningetalage!$AH$6:$AH$505,STG_Woningetalage!$B$6:$B$505,$A18)))</f>
        <v>1</v>
      </c>
      <c r="BL18" s="117">
        <f>IF($A18="","",IF($K18=0,"n.b.",SUMIFS(STG_Woningetalage!$AI$6:$AI$505,STG_Woningetalage!$B$6:$B$505,$A18)))</f>
        <v>2</v>
      </c>
      <c r="BM18" s="117">
        <f>IF($A18="","",IF($K18=0,"n.b.",SUMIFS(STG_Woningetalage!$AJ$6:$AJ$505,STG_Woningetalage!$B$6:$B$505,$A18)))</f>
        <v>1</v>
      </c>
      <c r="BN18" s="117">
        <f>IF($A18="","",IF($K18=0,"n.b.",SUMIFS(STG_Woningetalage!$AK$6:$AK$505,STG_Woningetalage!$B$6:$B$505,$A18)))</f>
        <v>0</v>
      </c>
      <c r="BO18" s="117">
        <f>IF($A18="","",IF($K18=0,"n.b.",SUMIFS(STG_Woningetalage!$AL$6:$AL$505,STG_Woningetalage!$B$6:$B$505,$A18)))</f>
        <v>0</v>
      </c>
      <c r="BP18" s="117">
        <f>IF($A18="","",IF($K18=0,"n.b.",SUMIFS(STG_Woningetalage!$AM$6:$AM$505,STG_Woningetalage!$B$6:$B$505,$A18)))</f>
        <v>11</v>
      </c>
      <c r="BQ18" s="117">
        <f>IF($A18="","",IF($K18=0,"n.b.",SUMIFS(STG_Woningetalage!$BE$6:$BE$505,STG_Woningetalage!$B$6:$B$505,$A18)))</f>
        <v>1</v>
      </c>
      <c r="BR18" s="117">
        <f>IF($A18="","",IF($K18=0,"n.b.",SUMIFS(STG_Woningetalage!$BF$6:$BF$505,STG_Woningetalage!$B$6:$B$505,$A18)))</f>
        <v>4</v>
      </c>
      <c r="BS18" s="117">
        <f>IF($A18="","",IF($K18=0,"n.b.",SUMIFS(STG_Woningetalage!$BG$6:$BG$505,STG_Woningetalage!$B$6:$B$505,$A18)))</f>
        <v>4</v>
      </c>
      <c r="BT18" s="117">
        <f>IF($A18="","",IF($K18=0,"n.b.",SUMIFS(STG_Woningetalage!$BH$6:$BH$505,STG_Woningetalage!$B$6:$B$505,$A18)))</f>
        <v>11</v>
      </c>
      <c r="BU18" s="117">
        <f>IF($A18="","",IF($K18=0,"n.b.",SUMIFS(STG_Woningetalage!$BI$6:$BI$505,STG_Woningetalage!$B$6:$B$505,$A18)))</f>
        <v>9</v>
      </c>
      <c r="BV18" s="117">
        <f>IF($A18="","",IF($K18=0,"n.b.",SUMIFS(STG_Woningetalage!$BJ$6:$BJ$505,STG_Woningetalage!$B$6:$B$505,$A18)))</f>
        <v>11</v>
      </c>
      <c r="BW18" s="117">
        <f>IF($A18="","",IF($K18=0,"n.b.",SUMIFS(STG_Woningetalage!$AR$6:$AR$505,STG_Woningetalage!$B$6:$B$505,$A18)))</f>
        <v>20</v>
      </c>
      <c r="BX18" s="117">
        <f>IF($A18="","",IF($K18=0,"n.b.",SUMIFS(STG_Woningetalage!$AS$6:$AS$505,STG_Woningetalage!$B$6:$B$505,$A18)))</f>
        <v>26</v>
      </c>
      <c r="BY18" s="117">
        <f>IF($A18="","",IF($K18=0,"n.b.",SUMIFS(STG_Woningetalage!$AN$6:$AN$505,STG_Woningetalage!$B$6:$B$505,$A18)))</f>
        <v>7</v>
      </c>
      <c r="BZ18" s="117">
        <f>IF($A18="","",IF($K18=0,"n.b.",SUMIFS(STG_Woningetalage!$AO$6:$AO$505,STG_Woningetalage!$B$6:$B$505,$A18)))</f>
        <v>6</v>
      </c>
      <c r="CA18" s="117">
        <f>IF($A18="","",IF($K18=0,"n.b.",SUMIFS(STG_Woningetalage!$AP$6:$AP$505,STG_Woningetalage!$B$6:$B$505,$A18)))</f>
        <v>6</v>
      </c>
      <c r="CB18" s="117">
        <f>IF($A18="","",IF($K18=0,"n.b.",SUMIFS(STG_Woningetalage!$AQ$6:$AQ$505,STG_Woningetalage!$B$6:$B$505,$A18)))</f>
        <v>7</v>
      </c>
      <c r="CC18" s="117">
        <f>IF($A18="","",IF($K18=0,"n.b.",SUMIFS(STG_Woningetalage!$AU$6:$AU$505,STG_Woningetalage!$B$6:$B$505,$A18)))</f>
        <v>14</v>
      </c>
      <c r="CD18" s="92">
        <f>IF($A18="","",IFERROR(INDEX(STG_ZPMW03!$L$6:$L$505,MATCH($A18,STG_ZPMW03!$B$6:$B$505,0)),"n.b."))</f>
        <v>60</v>
      </c>
      <c r="CE18" s="92" t="str">
        <f>IF($A18="","",IFERROR(INDEX(STG_ZPMW03!$K$6:$K$505,MATCH($A18,STG_ZPMW03!$B$6:$B$505,0)),"n.b."))</f>
        <v>VRIJ BLOK</v>
      </c>
      <c r="CF18" s="92">
        <f>IF($A18="","",IFERROR(INDEX(STG_ZPMW03!$BH$6:$BH$505,MATCH($A18,STG_ZPMW03!$B$6:$B$505,0)),"n.b."))</f>
        <v>46478.0</v>
      </c>
      <c r="CG18" s="92">
        <f>IF($A18="","",IFERROR(INDEX(STG_ZPMW03!$BI$6:$BI$505,MATCH($A18,STG_ZPMW03!$B$6:$B$505,0)),"n.b."))</f>
        <v>202912</v>
      </c>
      <c r="CH18" s="92">
        <f>IF($A18="","",IFERROR(INDEX(STG_ZPMW03!$BJ$6:$BJ$505,MATCH($A18,STG_ZPMW03!$B$6:$B$505,0)),"n.b."))</f>
        <v>1</v>
      </c>
      <c r="CI18" s="92">
        <f>IF($A18="","",IFERROR(INDEX(STG_ZPMW03!$BF$6:$BF$505,MATCH($A18,STG_ZPMW03!$B$6:$B$505,0)),"n.b."))</f>
        <v>9.75</v>
      </c>
      <c r="CJ18" s="92">
        <f>IF($A18="","",IFERROR(INDEX(STG_ZPMW03!$BG$6:$BG$505,MATCH($A18,STG_ZPMW03!$B$6:$B$505,0)),"n.b."))</f>
        <v>46113.0</v>
      </c>
      <c r="CK18" s="92" t="str">
        <f>IF($A18="","",IFERROR(INDEX(STG_ZPMW03!$H$6:$H$505,MATCH($A18,STG_ZPMW03!$B$6:$B$505,0)),"n.b."))</f>
        <v>WO-Wonen</v>
      </c>
      <c r="CL18" s="92" t="str">
        <f>IF($A18="","",IFERROR(INDEX(STG_ZPMW03!$E$6:$E$505,MATCH($A18,STG_ZPMW03!$B$6:$B$505,0)),"n.b."))</f>
        <v>Demo Ontwikkeling BV</v>
      </c>
      <c r="CM18" s="92" t="str">
        <f>IF($A18="","",IFERROR(INDEX(STG_ZPMW03!$G$6:$G$505,MATCH($A18,STG_ZPMW03!$B$6:$B$505,0)),"n.b."))</f>
        <v>Demo Regio</v>
      </c>
      <c r="CN18" s="92">
        <f>IF($A18="","",IFERROR(INDEX(STG_Woningetalage!$N$6:$N$505,MATCH($A18,STG_Woningetalage!$B$6:$B$505,0)),"n.b."))</f>
        <v>45931.0</v>
      </c>
      <c r="CO18" s="92">
        <f>IF($A18="","",IFERROR(INDEX(STG_Woningetalage!$P$6:$P$505,MATCH($A18,STG_Woningetalage!$B$6:$B$505,0)),"n.b."))</f>
        <v>47453.0</v>
      </c>
      <c r="CP18" s="118">
        <f>IF($A18="","",IF(AND(ISNUMBER(AT18),ISNUMBER(F18)),IF(F18&gt;0,AT18/(F18/100),"n.b."),"n.b."))</f>
        <v>60</v>
      </c>
      <c r="CQ18" s="116">
        <f>IF($A18="","",IF(ISNUMBER(Q18),IF(Q18&lt;0,1,0),0))</f>
        <v>0</v>
      </c>
      <c r="CR18" s="116" t="str">
        <f>IF(CQ18=1,COUNTIF($CQ$6:CQ18,1),"")</f>
        <v/>
      </c>
      <c r="CS18" s="116" t="str">
        <f>IF(AND($A18&lt;&gt;"",$J18=0),COUNTIFS($A$6:$A18,"?*",$J$6:$J18,0),"")</f>
        <v/>
      </c>
      <c r="CT18" s="119">
        <f>IF($A18="","",IF(AND(ISNUMBER(Q18),ISNUMBER(P18)),IF(P18&lt;&gt;0,Q18/P18,"n.b."),"n.b."))</f>
        <v>0.075</v>
      </c>
    </row>
    <row r="19">
      <c r="A19" s="92" t="str">
        <f>IF(Mapping!$A18="","",Mapping!$A18)</f>
        <v>G.900014.8.9090</v>
      </c>
      <c r="B19" s="92" t="str">
        <f>IF(Mapping!$B18="","",Mapping!$B18)</f>
        <v>G.900014</v>
      </c>
      <c r="C19" s="92" t="str">
        <f>IF(Mapping!$C18="","",Mapping!$C18)</f>
        <v>Rietdam, Rietoevers</v>
      </c>
      <c r="D19" s="92" t="str">
        <f>IF(Mapping!$F18="","",Mapping!$F18)</f>
        <v>Opstal</v>
      </c>
      <c r="E19" s="92" t="str">
        <f>IF(Mapping!$H18="","",Mapping!$H18)</f>
        <v>Appartement</v>
      </c>
      <c r="F19" s="92">
        <f>IF(Mapping!$E18="","",Mapping!$E18)</f>
        <v>100</v>
      </c>
      <c r="G19" s="92" t="str">
        <f>IF(Mapping!$G18="","",Mapping!$G18)</f>
        <v>Ja</v>
      </c>
      <c r="H19" s="92">
        <f>IF(Mapping!$D18="","",Mapping!$D18)</f>
        <v>72</v>
      </c>
      <c r="I19" s="92" t="str">
        <f>IF($A19="","",IFERROR(INDEX(STG_ZPMW03!$C$6:$C$505,MATCH($A19,STG_ZPMW03!$B$6:$B$505,0)),"n.b."))</f>
        <v>J</v>
      </c>
      <c r="J19" s="116">
        <f>IF($A19="","",COUNTIF(STG_ZPMW03!$B$6:$B$505,$A19))</f>
        <v>1</v>
      </c>
      <c r="K19" s="116">
        <f>IF($A19="","",COUNTIF(STG_Woningetalage!$B$6:$B$505,$A19))</f>
        <v>1</v>
      </c>
      <c r="L19" s="117">
        <f>IF($A19="","",IF($J19=0,"n.b.",SUMIFS(STG_ZPMW03!$BK$6:$BK$505,STG_ZPMW03!$B$6:$B$505,$A19)))</f>
        <v>5700240</v>
      </c>
      <c r="M19" s="117">
        <f>IF($A19="","",IF($J19=0,"n.b.",SUMIFS(STG_ZPMW03!$BL$6:$BL$505,STG_ZPMW03!$B$6:$B$505,$A19)))</f>
        <v>627026.4</v>
      </c>
      <c r="N19" s="117">
        <f>IF($A19="","",IF($J19=0,"n.b.",SUMIFS(STG_ZPMW03!$BM$6:$BM$505,STG_ZPMW03!$B$6:$B$505,$A19)))</f>
        <v>3069360</v>
      </c>
      <c r="O19" s="117">
        <f>IF($A19="","",IF($J19=0,"n.b.",SUMIFS(STG_ZPMW03!$BN$6:$BN$505,STG_ZPMW03!$B$6:$B$505,$A19)))</f>
        <v>337629.6</v>
      </c>
      <c r="P19" s="117">
        <f>IF($A19="","",IF($J19=0,"n.b.",SUMIFS(STG_ZPMW03!$BO$6:$BO$505,STG_ZPMW03!$B$6:$B$505,$A19)))</f>
        <v>8769600</v>
      </c>
      <c r="Q19" s="117">
        <f>IF($A19="","",IF($J19=0,"n.b.",SUMIFS(STG_ZPMW03!$BP$6:$BP$505,STG_ZPMW03!$B$6:$B$505,$A19)))</f>
        <v>964656</v>
      </c>
      <c r="R19" s="117">
        <f>IF($A19="","",IF($J19=0,"n.b.",SUMIFS(STG_ZPMW03!$BQ$6:$BQ$505,STG_ZPMW03!$B$6:$B$505,$A19)))</f>
        <v>7871760</v>
      </c>
      <c r="S19" s="117">
        <f>IF($A19="","",IF($J19=0,"n.b.",SUMIFS(STG_ZPMW03!$BR$6:$BR$505,STG_ZPMW03!$B$6:$B$505,$A19)))</f>
        <v>865893.6</v>
      </c>
      <c r="T19" s="117">
        <f>IF($A19="","",IF($J19=0,"n.b.",SUMIFS(STG_ZPMW03!$BS$6:$BS$505,STG_ZPMW03!$B$6:$B$505,$A19)))</f>
        <v>3069360</v>
      </c>
      <c r="U19" s="117">
        <f>IF($A19="","",IF($J19=0,"n.b.",SUMIFS(STG_ZPMW03!$BT$6:$BT$505,STG_ZPMW03!$B$6:$B$505,$A19)))</f>
        <v>337629.6</v>
      </c>
      <c r="V19" s="117">
        <f>IF($A19="","",IF($J19=0,"n.b.",SUMIFS(STG_ZPMW03!$BU$6:$BU$505,STG_ZPMW03!$B$6:$B$505,$A19)))</f>
        <v>1574352</v>
      </c>
      <c r="W19" s="117">
        <f>IF($A19="","",IF($J19=0,"n.b.",SUMIFS(STG_ZPMW03!$BW$6:$BW$505,STG_ZPMW03!$B$6:$B$505,$A19)))</f>
        <v>1967940</v>
      </c>
      <c r="X19" s="117">
        <f>IF($A19="","",IF($J19=0,"n.b.",SUMIFS(STG_ZPMW03!$BY$6:$BY$505,STG_ZPMW03!$B$6:$B$505,$A19)))</f>
        <v>2361528</v>
      </c>
      <c r="Y19" s="117">
        <f>IF($A19="","",IF($J19=0,"n.b.",SUMIFS(STG_ZPMW03!$CA$6:$CA$505,STG_ZPMW03!$B$6:$B$505,$A19)))</f>
        <v>1967940</v>
      </c>
      <c r="Z19" s="117">
        <f>IF($A19="","",IF($J19=0,"n.b.",SUMIFS(STG_ZPMW03!$BV$6:$BV$505,STG_ZPMW03!$B$6:$B$505,$A19)))</f>
        <v>173178.72</v>
      </c>
      <c r="AA19" s="117">
        <f>IF($A19="","",IF($J19=0,"n.b.",SUMIFS(STG_ZPMW03!$BX$6:$BX$505,STG_ZPMW03!$B$6:$B$505,$A19)))</f>
        <v>216473.4</v>
      </c>
      <c r="AB19" s="117">
        <f>IF($A19="","",IF($J19=0,"n.b.",SUMIFS(STG_ZPMW03!$BZ$6:$BZ$505,STG_ZPMW03!$B$6:$B$505,$A19)))</f>
        <v>259768.08</v>
      </c>
      <c r="AC19" s="117">
        <f>IF($A19="","",IF($J19=0,"n.b.",SUMIFS(STG_ZPMW03!$CB$6:$CB$505,STG_ZPMW03!$B$6:$B$505,$A19)))</f>
        <v>216473.4</v>
      </c>
      <c r="AD19" s="117">
        <f>IF($A19="","",IF($J19=0,"n.b.",SUMIFS(STG_ZPMW03!$CC$6:$CC$505,STG_ZPMW03!$B$6:$B$505,$A19)))</f>
        <v>4238640</v>
      </c>
      <c r="AE19" s="117">
        <f>IF($A19="","",IF($J19=0,"n.b.",SUMIFS(STG_ZPMW03!$CE$6:$CE$505,STG_ZPMW03!$B$6:$B$505,$A19)))</f>
        <v>0</v>
      </c>
      <c r="AF19" s="117">
        <f>IF($A19="","",IF($J19=0,"n.b.",SUMIFS(STG_ZPMW03!$CG$6:$CG$505,STG_ZPMW03!$B$6:$B$505,$A19)))</f>
        <v>0</v>
      </c>
      <c r="AG19" s="117">
        <f>IF($A19="","",IF($J19=0,"n.b.",SUMIFS(STG_ZPMW03!$CI$6:$CI$505,STG_ZPMW03!$B$6:$B$505,$A19)))</f>
        <v>0</v>
      </c>
      <c r="AH19" s="117">
        <f>IF($A19="","",IF($J19=0,"n.b.",SUMIFS(STG_ZPMW03!$CK$6:$CK$505,STG_ZPMW03!$B$6:$B$505,$A19)))</f>
        <v>0</v>
      </c>
      <c r="AI19" s="117">
        <f>IF($A19="","",IF($J19=0,"n.b.",SUMIFS(STG_ZPMW03!$CM$6:$CM$505,STG_ZPMW03!$B$6:$B$505,$A19)))</f>
        <v>0</v>
      </c>
      <c r="AJ19" s="117">
        <f>IF($A19="","",IF($J19=0,"n.b.",SUMIFS(STG_ZPMW03!$CO$6:$CO$505,STG_ZPMW03!$B$6:$B$505,$A19)))</f>
        <v>0</v>
      </c>
      <c r="AK19" s="117">
        <f>IF($A19="","",IF($J19=0,"n.b.",SUMIFS(STG_ZPMW03!$CQ$6:$CQ$505,STG_ZPMW03!$B$6:$B$505,$A19)))</f>
        <v>0</v>
      </c>
      <c r="AL19" s="117">
        <f>IF($A19="","",IF($J19=0,"n.b.",SUMIFS(STG_ZPMW03!$CD$6:$CD$505,STG_ZPMW03!$B$6:$B$505,$A19)))</f>
        <v>466250.4</v>
      </c>
      <c r="AM19" s="117">
        <f>IF($A19="","",IF($J19=0,"n.b.",SUMIFS(STG_ZPMW03!$CF$6:$CF$505,STG_ZPMW03!$B$6:$B$505,$A19)))</f>
        <v>0</v>
      </c>
      <c r="AN19" s="117">
        <f>IF($A19="","",IF($J19=0,"n.b.",SUMIFS(STG_ZPMW03!$CH$6:$CH$505,STG_ZPMW03!$B$6:$B$505,$A19)))</f>
        <v>0</v>
      </c>
      <c r="AO19" s="117">
        <f>IF($A19="","",IF($J19=0,"n.b.",SUMIFS(STG_ZPMW03!$CJ$6:$CJ$505,STG_ZPMW03!$B$6:$B$505,$A19)))</f>
        <v>0</v>
      </c>
      <c r="AP19" s="117">
        <f>IF($A19="","",IF($J19=0,"n.b.",SUMIFS(STG_ZPMW03!$CL$6:$CL$505,STG_ZPMW03!$B$6:$B$505,$A19)))</f>
        <v>0</v>
      </c>
      <c r="AQ19" s="117">
        <f>IF($A19="","",IF($J19=0,"n.b.",SUMIFS(STG_ZPMW03!$CN$6:$CN$505,STG_ZPMW03!$B$6:$B$505,$A19)))</f>
        <v>0</v>
      </c>
      <c r="AR19" s="117">
        <f>IF($A19="","",IF($J19=0,"n.b.",SUMIFS(STG_ZPMW03!$CP$6:$CP$505,STG_ZPMW03!$B$6:$B$505,$A19)))</f>
        <v>0</v>
      </c>
      <c r="AS19" s="117">
        <f>IF($A19="","",IF($J19=0,"n.b.",SUMIFS(STG_ZPMW03!$CR$6:$CR$505,STG_ZPMW03!$B$6:$B$505,$A19)))</f>
        <v>0</v>
      </c>
      <c r="AT19" s="117">
        <f>IF($A19="","",IF($K19=0,"n.b.",SUMIFS(STG_Woningetalage!$Q$6:$Q$505,STG_Woningetalage!$B$6:$B$505,$A19)))</f>
        <v>72</v>
      </c>
      <c r="AU19" s="117">
        <f>IF($A19="","",IF($K19=0,"n.b.",SUMIFS(STG_Woningetalage!$R$6:$R$505,STG_Woningetalage!$B$6:$B$505,$A19)))</f>
        <v>0</v>
      </c>
      <c r="AV19" s="117">
        <f>IF($A19="","",IF($K19=0,"n.b.",SUMIFS(STG_Woningetalage!$S$6:$S$505,STG_Woningetalage!$B$6:$B$505,$A19)))</f>
        <v>0</v>
      </c>
      <c r="AW19" s="117">
        <f>IF($A19="","",IF($K19=0,"n.b.",SUMIFS(STG_Woningetalage!$T$6:$T$505,STG_Woningetalage!$B$6:$B$505,$A19)))</f>
        <v>0</v>
      </c>
      <c r="AX19" s="117">
        <f>IF($A19="","",IF($K19=0,"n.b.",SUMIFS(STG_Woningetalage!$U$6:$U$505,STG_Woningetalage!$B$6:$B$505,$A19)))</f>
        <v>0</v>
      </c>
      <c r="AY19" s="117">
        <f>IF($A19="","",IF($K19=0,"n.b.",SUMIFS(STG_Woningetalage!$V$6:$V$505,STG_Woningetalage!$B$6:$B$505,$A19)))</f>
        <v>18</v>
      </c>
      <c r="AZ19" s="117">
        <f>IF($A19="","",IF($K19=0,"n.b.",SUMIFS(STG_Woningetalage!$W$6:$W$505,STG_Woningetalage!$B$6:$B$505,$A19)))</f>
        <v>18</v>
      </c>
      <c r="BA19" s="117">
        <f>IF($A19="","",IF($K19=0,"n.b.",SUMIFS(STG_Woningetalage!$X$6:$X$505,STG_Woningetalage!$B$6:$B$505,$A19)))</f>
        <v>0</v>
      </c>
      <c r="BB19" s="117">
        <f>IF($A19="","",IF($K19=0,"n.b.",SUMIFS(STG_Woningetalage!$Y$6:$Y$505,STG_Woningetalage!$B$6:$B$505,$A19)))</f>
        <v>18</v>
      </c>
      <c r="BC19" s="117">
        <f>IF($A19="","",IF($K19=0,"n.b.",SUMIFS(STG_Woningetalage!$Z$6:$Z$505,STG_Woningetalage!$B$6:$B$505,$A19)))</f>
        <v>18</v>
      </c>
      <c r="BD19" s="117">
        <f>IF($A19="","",IF($K19=0,"n.b.",SUMIFS(STG_Woningetalage!$AA$6:$AA$505,STG_Woningetalage!$B$6:$B$505,$A19)))</f>
        <v>54</v>
      </c>
      <c r="BE19" s="117">
        <f>IF($A19="","",IF($K19=0,"n.b.",SUMIFS(STG_Woningetalage!$AB$6:$AB$505,STG_Woningetalage!$B$6:$B$505,$A19)))</f>
        <v>1</v>
      </c>
      <c r="BF19" s="117">
        <f>IF($A19="","",IF($K19=0,"n.b.",SUMIFS(STG_Woningetalage!$AC$6:$AC$505,STG_Woningetalage!$B$6:$B$505,$A19)))</f>
        <v>1</v>
      </c>
      <c r="BG19" s="117">
        <f>IF($A19="","",IF($K19=0,"n.b.",SUMIFS(STG_Woningetalage!$AD$6:$AD$505,STG_Woningetalage!$B$6:$B$505,$A19)))</f>
        <v>2</v>
      </c>
      <c r="BH19" s="117">
        <f>IF($A19="","",IF($K19=0,"n.b.",SUMIFS(STG_Woningetalage!$AE$6:$AE$505,STG_Woningetalage!$B$6:$B$505,$A19)))</f>
        <v>2</v>
      </c>
      <c r="BI19" s="117">
        <f>IF($A19="","",IF($K19=0,"n.b.",SUMIFS(STG_Woningetalage!$AF$6:$AF$505,STG_Woningetalage!$B$6:$B$505,$A19)))</f>
        <v>3</v>
      </c>
      <c r="BJ19" s="117">
        <f>IF($A19="","",IF($K19=0,"n.b.",SUMIFS(STG_Woningetalage!$AG$6:$AG$505,STG_Woningetalage!$B$6:$B$505,$A19)))</f>
        <v>2</v>
      </c>
      <c r="BK19" s="117">
        <f>IF($A19="","",IF($K19=0,"n.b.",SUMIFS(STG_Woningetalage!$AH$6:$AH$505,STG_Woningetalage!$B$6:$B$505,$A19)))</f>
        <v>2</v>
      </c>
      <c r="BL19" s="117">
        <f>IF($A19="","",IF($K19=0,"n.b.",SUMIFS(STG_Woningetalage!$AI$6:$AI$505,STG_Woningetalage!$B$6:$B$505,$A19)))</f>
        <v>3</v>
      </c>
      <c r="BM19" s="117">
        <f>IF($A19="","",IF($K19=0,"n.b.",SUMIFS(STG_Woningetalage!$AJ$6:$AJ$505,STG_Woningetalage!$B$6:$B$505,$A19)))</f>
        <v>2</v>
      </c>
      <c r="BN19" s="117">
        <f>IF($A19="","",IF($K19=0,"n.b.",SUMIFS(STG_Woningetalage!$AK$6:$AK$505,STG_Woningetalage!$B$6:$B$505,$A19)))</f>
        <v>1</v>
      </c>
      <c r="BO19" s="117">
        <f>IF($A19="","",IF($K19=0,"n.b.",SUMIFS(STG_Woningetalage!$AL$6:$AL$505,STG_Woningetalage!$B$6:$B$505,$A19)))</f>
        <v>1</v>
      </c>
      <c r="BP19" s="117">
        <f>IF($A19="","",IF($K19=0,"n.b.",SUMIFS(STG_Woningetalage!$AM$6:$AM$505,STG_Woningetalage!$B$6:$B$505,$A19)))</f>
        <v>4</v>
      </c>
      <c r="BQ19" s="117">
        <f>IF($A19="","",IF($K19=0,"n.b.",SUMIFS(STG_Woningetalage!$BE$6:$BE$505,STG_Woningetalage!$B$6:$B$505,$A19)))</f>
        <v>4</v>
      </c>
      <c r="BR19" s="117">
        <f>IF($A19="","",IF($K19=0,"n.b.",SUMIFS(STG_Woningetalage!$BF$6:$BF$505,STG_Woningetalage!$B$6:$B$505,$A19)))</f>
        <v>7</v>
      </c>
      <c r="BS19" s="117">
        <f>IF($A19="","",IF($K19=0,"n.b.",SUMIFS(STG_Woningetalage!$BG$6:$BG$505,STG_Woningetalage!$B$6:$B$505,$A19)))</f>
        <v>7</v>
      </c>
      <c r="BT19" s="117">
        <f>IF($A19="","",IF($K19=0,"n.b.",SUMIFS(STG_Woningetalage!$BH$6:$BH$505,STG_Woningetalage!$B$6:$B$505,$A19)))</f>
        <v>6</v>
      </c>
      <c r="BU19" s="117">
        <f>IF($A19="","",IF($K19=0,"n.b.",SUMIFS(STG_Woningetalage!$BI$6:$BI$505,STG_Woningetalage!$B$6:$B$505,$A19)))</f>
        <v>18</v>
      </c>
      <c r="BV19" s="117">
        <f>IF($A19="","",IF($K19=0,"n.b.",SUMIFS(STG_Woningetalage!$BJ$6:$BJ$505,STG_Woningetalage!$B$6:$B$505,$A19)))</f>
        <v>6</v>
      </c>
      <c r="BW19" s="117">
        <f>IF($A19="","",IF($K19=0,"n.b.",SUMIFS(STG_Woningetalage!$AR$6:$AR$505,STG_Woningetalage!$B$6:$B$505,$A19)))</f>
        <v>24</v>
      </c>
      <c r="BX19" s="117">
        <f>IF($A19="","",IF($K19=0,"n.b.",SUMIFS(STG_Woningetalage!$AS$6:$AS$505,STG_Woningetalage!$B$6:$B$505,$A19)))</f>
        <v>32</v>
      </c>
      <c r="BY19" s="117">
        <f>IF($A19="","",IF($K19=0,"n.b.",SUMIFS(STG_Woningetalage!$AN$6:$AN$505,STG_Woningetalage!$B$6:$B$505,$A19)))</f>
        <v>9</v>
      </c>
      <c r="BZ19" s="117">
        <f>IF($A19="","",IF($K19=0,"n.b.",SUMIFS(STG_Woningetalage!$AO$6:$AO$505,STG_Woningetalage!$B$6:$B$505,$A19)))</f>
        <v>8</v>
      </c>
      <c r="CA19" s="117">
        <f>IF($A19="","",IF($K19=0,"n.b.",SUMIFS(STG_Woningetalage!$AP$6:$AP$505,STG_Woningetalage!$B$6:$B$505,$A19)))</f>
        <v>8</v>
      </c>
      <c r="CB19" s="117">
        <f>IF($A19="","",IF($K19=0,"n.b.",SUMIFS(STG_Woningetalage!$AQ$6:$AQ$505,STG_Woningetalage!$B$6:$B$505,$A19)))</f>
        <v>7</v>
      </c>
      <c r="CC19" s="117">
        <f>IF($A19="","",IF($K19=0,"n.b.",SUMIFS(STG_Woningetalage!$AU$6:$AU$505,STG_Woningetalage!$B$6:$B$505,$A19)))</f>
        <v>16</v>
      </c>
      <c r="CD19" s="92">
        <f>IF($A19="","",IFERROR(INDEX(STG_ZPMW03!$L$6:$L$505,MATCH($A19,STG_ZPMW03!$B$6:$B$505,0)),"n.b."))</f>
        <v>40</v>
      </c>
      <c r="CE19" s="92" t="str">
        <f>IF($A19="","",IFERROR(INDEX(STG_ZPMW03!$K$6:$K$505,MATCH($A19,STG_ZPMW03!$B$6:$B$505,0)),"n.b."))</f>
        <v>VRIJ BLOK</v>
      </c>
      <c r="CF19" s="92">
        <f>IF($A19="","",IFERROR(INDEX(STG_ZPMW03!$BH$6:$BH$505,MATCH($A19,STG_ZPMW03!$B$6:$B$505,0)),"n.b."))</f>
        <v>46508.0</v>
      </c>
      <c r="CG19" s="92">
        <f>IF($A19="","",IFERROR(INDEX(STG_ZPMW03!$BI$6:$BI$505,MATCH($A19,STG_ZPMW03!$B$6:$B$505,0)),"n.b."))</f>
        <v>202912</v>
      </c>
      <c r="CH19" s="92">
        <f>IF($A19="","",IFERROR(INDEX(STG_ZPMW03!$BJ$6:$BJ$505,MATCH($A19,STG_ZPMW03!$B$6:$B$505,0)),"n.b."))</f>
        <v>2</v>
      </c>
      <c r="CI19" s="92">
        <f>IF($A19="","",IFERROR(INDEX(STG_ZPMW03!$BF$6:$BF$505,MATCH($A19,STG_ZPMW03!$B$6:$B$505,0)),"n.b."))</f>
        <v>27.3</v>
      </c>
      <c r="CJ19" s="92">
        <f>IF($A19="","",IFERROR(INDEX(STG_ZPMW03!$BG$6:$BG$505,MATCH($A19,STG_ZPMW03!$B$6:$B$505,0)),"n.b."))</f>
        <v>46143.0</v>
      </c>
      <c r="CK19" s="92" t="str">
        <f>IF($A19="","",IFERROR(INDEX(STG_ZPMW03!$H$6:$H$505,MATCH($A19,STG_ZPMW03!$B$6:$B$505,0)),"n.b."))</f>
        <v>WO-Wonen</v>
      </c>
      <c r="CL19" s="92" t="str">
        <f>IF($A19="","",IFERROR(INDEX(STG_ZPMW03!$E$6:$E$505,MATCH($A19,STG_ZPMW03!$B$6:$B$505,0)),"n.b."))</f>
        <v>Demo Ontwikkeling BV</v>
      </c>
      <c r="CM19" s="92" t="str">
        <f>IF($A19="","",IFERROR(INDEX(STG_ZPMW03!$G$6:$G$505,MATCH($A19,STG_ZPMW03!$B$6:$B$505,0)),"n.b."))</f>
        <v>Demo Regio</v>
      </c>
      <c r="CN19" s="92">
        <f>IF($A19="","",IFERROR(INDEX(STG_Woningetalage!$N$6:$N$505,MATCH($A19,STG_Woningetalage!$B$6:$B$505,0)),"n.b."))</f>
        <v>45931.0</v>
      </c>
      <c r="CO19" s="92">
        <f>IF($A19="","",IFERROR(INDEX(STG_Woningetalage!$P$6:$P$505,MATCH($A19,STG_Woningetalage!$B$6:$B$505,0)),"n.b."))</f>
        <v>47453.0</v>
      </c>
      <c r="CP19" s="118">
        <f>IF($A19="","",IF(AND(ISNUMBER(AT19),ISNUMBER(F19)),IF(F19&gt;0,AT19/(F19/100),"n.b."),"n.b."))</f>
        <v>72</v>
      </c>
      <c r="CQ19" s="116">
        <f>IF($A19="","",IF(ISNUMBER(Q19),IF(Q19&lt;0,1,0),0))</f>
        <v>0</v>
      </c>
      <c r="CR19" s="116" t="str">
        <f>IF(CQ19=1,COUNTIF($CQ$6:CQ19,1),"")</f>
        <v/>
      </c>
      <c r="CS19" s="116" t="str">
        <f>IF(AND($A19&lt;&gt;"",$J19=0),COUNTIFS($A$6:$A19,"?*",$J$6:$J19,0),"")</f>
        <v/>
      </c>
      <c r="CT19" s="119">
        <f>IF($A19="","",IF(AND(ISNUMBER(Q19),ISNUMBER(P19)),IF(P19&lt;&gt;0,Q19/P19,"n.b."),"n.b."))</f>
        <v>0.11</v>
      </c>
    </row>
    <row r="20">
      <c r="A20" s="92" t="str">
        <f>IF(Mapping!$A19="","",Mapping!$A19)</f>
        <v>G.900015.8.9090</v>
      </c>
      <c r="B20" s="92" t="str">
        <f>IF(Mapping!$B19="","",Mapping!$B19)</f>
        <v>G.900015</v>
      </c>
      <c r="C20" s="92" t="str">
        <f>IF(Mapping!$C19="","",Mapping!$C19)</f>
        <v>Lindehaven, Parkzoom fase 2</v>
      </c>
      <c r="D20" s="92" t="str">
        <f>IF(Mapping!$F19="","",Mapping!$F19)</f>
        <v>Opstal</v>
      </c>
      <c r="E20" s="92" t="str">
        <f>IF(Mapping!$H19="","",Mapping!$H19)</f>
        <v>Grondgebonden</v>
      </c>
      <c r="F20" s="92">
        <f>IF(Mapping!$E19="","",Mapping!$E19)</f>
        <v>100</v>
      </c>
      <c r="G20" s="92" t="str">
        <f>IF(Mapping!$G19="","",Mapping!$G19)</f>
        <v>Ja</v>
      </c>
      <c r="H20" s="92">
        <f>IF(Mapping!$D19="","",Mapping!$D19)</f>
        <v>110</v>
      </c>
      <c r="I20" s="92" t="str">
        <f>IF($A20="","",IFERROR(INDEX(STG_ZPMW03!$C$6:$C$505,MATCH($A20,STG_ZPMW03!$B$6:$B$505,0)),"n.b."))</f>
        <v>J</v>
      </c>
      <c r="J20" s="116">
        <f>IF($A20="","",COUNTIF(STG_ZPMW03!$B$6:$B$505,$A20))</f>
        <v>1</v>
      </c>
      <c r="K20" s="116">
        <f>IF($A20="","",COUNTIF(STG_Woningetalage!$B$6:$B$505,$A20))</f>
        <v>1</v>
      </c>
      <c r="L20" s="117">
        <f>IF($A20="","",IF($J20=0,"n.b.",SUMIFS(STG_ZPMW03!$BK$6:$BK$505,STG_ZPMW03!$B$6:$B$505,$A20)))</f>
        <v>2145000</v>
      </c>
      <c r="M20" s="117">
        <f>IF($A20="","",IF($J20=0,"n.b.",SUMIFS(STG_ZPMW03!$BL$6:$BL$505,STG_ZPMW03!$B$6:$B$505,$A20)))</f>
        <v>139425</v>
      </c>
      <c r="N20" s="117">
        <f>IF($A20="","",IF($J20=0,"n.b.",SUMIFS(STG_ZPMW03!$BM$6:$BM$505,STG_ZPMW03!$B$6:$B$505,$A20)))</f>
        <v>1155000</v>
      </c>
      <c r="O20" s="117">
        <f>IF($A20="","",IF($J20=0,"n.b.",SUMIFS(STG_ZPMW03!$BN$6:$BN$505,STG_ZPMW03!$B$6:$B$505,$A20)))</f>
        <v>75075</v>
      </c>
      <c r="P20" s="117">
        <f>IF($A20="","",IF($J20=0,"n.b.",SUMIFS(STG_ZPMW03!$BO$6:$BO$505,STG_ZPMW03!$B$6:$B$505,$A20)))</f>
        <v>3300000</v>
      </c>
      <c r="Q20" s="117">
        <f>IF($A20="","",IF($J20=0,"n.b.",SUMIFS(STG_ZPMW03!$BP$6:$BP$505,STG_ZPMW03!$B$6:$B$505,$A20)))</f>
        <v>214500</v>
      </c>
      <c r="R20" s="117">
        <f>IF($A20="","",IF($J20=0,"n.b.",SUMIFS(STG_ZPMW03!$BQ$6:$BQ$505,STG_ZPMW03!$B$6:$B$505,$A20)))</f>
        <v>19305000</v>
      </c>
      <c r="S20" s="117">
        <f>IF($A20="","",IF($J20=0,"n.b.",SUMIFS(STG_ZPMW03!$BR$6:$BR$505,STG_ZPMW03!$B$6:$B$505,$A20)))</f>
        <v>1254825</v>
      </c>
      <c r="T20" s="117">
        <f>IF($A20="","",IF($J20=0,"n.b.",SUMIFS(STG_ZPMW03!$BS$6:$BS$505,STG_ZPMW03!$B$6:$B$505,$A20)))</f>
        <v>1155000</v>
      </c>
      <c r="U20" s="117">
        <f>IF($A20="","",IF($J20=0,"n.b.",SUMIFS(STG_ZPMW03!$BT$6:$BT$505,STG_ZPMW03!$B$6:$B$505,$A20)))</f>
        <v>75075</v>
      </c>
      <c r="V20" s="117">
        <f>IF($A20="","",IF($J20=0,"n.b.",SUMIFS(STG_ZPMW03!$BU$6:$BU$505,STG_ZPMW03!$B$6:$B$505,$A20)))</f>
        <v>3861000</v>
      </c>
      <c r="W20" s="117">
        <f>IF($A20="","",IF($J20=0,"n.b.",SUMIFS(STG_ZPMW03!$BW$6:$BW$505,STG_ZPMW03!$B$6:$B$505,$A20)))</f>
        <v>4826250</v>
      </c>
      <c r="X20" s="117">
        <f>IF($A20="","",IF($J20=0,"n.b.",SUMIFS(STG_ZPMW03!$BY$6:$BY$505,STG_ZPMW03!$B$6:$B$505,$A20)))</f>
        <v>5791500</v>
      </c>
      <c r="Y20" s="117">
        <f>IF($A20="","",IF($J20=0,"n.b.",SUMIFS(STG_ZPMW03!$CA$6:$CA$505,STG_ZPMW03!$B$6:$B$505,$A20)))</f>
        <v>4826250</v>
      </c>
      <c r="Z20" s="117">
        <f>IF($A20="","",IF($J20=0,"n.b.",SUMIFS(STG_ZPMW03!$BV$6:$BV$505,STG_ZPMW03!$B$6:$B$505,$A20)))</f>
        <v>250965</v>
      </c>
      <c r="AA20" s="117">
        <f>IF($A20="","",IF($J20=0,"n.b.",SUMIFS(STG_ZPMW03!$BX$6:$BX$505,STG_ZPMW03!$B$6:$B$505,$A20)))</f>
        <v>313706.25</v>
      </c>
      <c r="AB20" s="117">
        <f>IF($A20="","",IF($J20=0,"n.b.",SUMIFS(STG_ZPMW03!$BZ$6:$BZ$505,STG_ZPMW03!$B$6:$B$505,$A20)))</f>
        <v>376447.5</v>
      </c>
      <c r="AC20" s="117">
        <f>IF($A20="","",IF($J20=0,"n.b.",SUMIFS(STG_ZPMW03!$CB$6:$CB$505,STG_ZPMW03!$B$6:$B$505,$A20)))</f>
        <v>313706.25</v>
      </c>
      <c r="AD20" s="117">
        <f>IF($A20="","",IF($J20=0,"n.b.",SUMIFS(STG_ZPMW03!$CC$6:$CC$505,STG_ZPMW03!$B$6:$B$505,$A20)))</f>
        <v>10395000</v>
      </c>
      <c r="AE20" s="117">
        <f>IF($A20="","",IF($J20=0,"n.b.",SUMIFS(STG_ZPMW03!$CE$6:$CE$505,STG_ZPMW03!$B$6:$B$505,$A20)))</f>
        <v>0</v>
      </c>
      <c r="AF20" s="117">
        <f>IF($A20="","",IF($J20=0,"n.b.",SUMIFS(STG_ZPMW03!$CG$6:$CG$505,STG_ZPMW03!$B$6:$B$505,$A20)))</f>
        <v>0</v>
      </c>
      <c r="AG20" s="117">
        <f>IF($A20="","",IF($J20=0,"n.b.",SUMIFS(STG_ZPMW03!$CI$6:$CI$505,STG_ZPMW03!$B$6:$B$505,$A20)))</f>
        <v>0</v>
      </c>
      <c r="AH20" s="117">
        <f>IF($A20="","",IF($J20=0,"n.b.",SUMIFS(STG_ZPMW03!$CK$6:$CK$505,STG_ZPMW03!$B$6:$B$505,$A20)))</f>
        <v>0</v>
      </c>
      <c r="AI20" s="117">
        <f>IF($A20="","",IF($J20=0,"n.b.",SUMIFS(STG_ZPMW03!$CM$6:$CM$505,STG_ZPMW03!$B$6:$B$505,$A20)))</f>
        <v>0</v>
      </c>
      <c r="AJ20" s="117">
        <f>IF($A20="","",IF($J20=0,"n.b.",SUMIFS(STG_ZPMW03!$CO$6:$CO$505,STG_ZPMW03!$B$6:$B$505,$A20)))</f>
        <v>0</v>
      </c>
      <c r="AK20" s="117">
        <f>IF($A20="","",IF($J20=0,"n.b.",SUMIFS(STG_ZPMW03!$CQ$6:$CQ$505,STG_ZPMW03!$B$6:$B$505,$A20)))</f>
        <v>0</v>
      </c>
      <c r="AL20" s="117">
        <f>IF($A20="","",IF($J20=0,"n.b.",SUMIFS(STG_ZPMW03!$CD$6:$CD$505,STG_ZPMW03!$B$6:$B$505,$A20)))</f>
        <v>675675</v>
      </c>
      <c r="AM20" s="117">
        <f>IF($A20="","",IF($J20=0,"n.b.",SUMIFS(STG_ZPMW03!$CF$6:$CF$505,STG_ZPMW03!$B$6:$B$505,$A20)))</f>
        <v>0</v>
      </c>
      <c r="AN20" s="117">
        <f>IF($A20="","",IF($J20=0,"n.b.",SUMIFS(STG_ZPMW03!$CH$6:$CH$505,STG_ZPMW03!$B$6:$B$505,$A20)))</f>
        <v>0</v>
      </c>
      <c r="AO20" s="117">
        <f>IF($A20="","",IF($J20=0,"n.b.",SUMIFS(STG_ZPMW03!$CJ$6:$CJ$505,STG_ZPMW03!$B$6:$B$505,$A20)))</f>
        <v>0</v>
      </c>
      <c r="AP20" s="117">
        <f>IF($A20="","",IF($J20=0,"n.b.",SUMIFS(STG_ZPMW03!$CL$6:$CL$505,STG_ZPMW03!$B$6:$B$505,$A20)))</f>
        <v>0</v>
      </c>
      <c r="AQ20" s="117">
        <f>IF($A20="","",IF($J20=0,"n.b.",SUMIFS(STG_ZPMW03!$CN$6:$CN$505,STG_ZPMW03!$B$6:$B$505,$A20)))</f>
        <v>0</v>
      </c>
      <c r="AR20" s="117">
        <f>IF($A20="","",IF($J20=0,"n.b.",SUMIFS(STG_ZPMW03!$CP$6:$CP$505,STG_ZPMW03!$B$6:$B$505,$A20)))</f>
        <v>0</v>
      </c>
      <c r="AS20" s="117">
        <f>IF($A20="","",IF($J20=0,"n.b.",SUMIFS(STG_ZPMW03!$CR$6:$CR$505,STG_ZPMW03!$B$6:$B$505,$A20)))</f>
        <v>0</v>
      </c>
      <c r="AT20" s="117">
        <f>IF($A20="","",IF($K20=0,"n.b.",SUMIFS(STG_Woningetalage!$Q$6:$Q$505,STG_Woningetalage!$B$6:$B$505,$A20)))</f>
        <v>110</v>
      </c>
      <c r="AU20" s="117">
        <f>IF($A20="","",IF($K20=0,"n.b.",SUMIFS(STG_Woningetalage!$R$6:$R$505,STG_Woningetalage!$B$6:$B$505,$A20)))</f>
        <v>0</v>
      </c>
      <c r="AV20" s="117">
        <f>IF($A20="","",IF($K20=0,"n.b.",SUMIFS(STG_Woningetalage!$S$6:$S$505,STG_Woningetalage!$B$6:$B$505,$A20)))</f>
        <v>0</v>
      </c>
      <c r="AW20" s="117">
        <f>IF($A20="","",IF($K20=0,"n.b.",SUMIFS(STG_Woningetalage!$T$6:$T$505,STG_Woningetalage!$B$6:$B$505,$A20)))</f>
        <v>0</v>
      </c>
      <c r="AX20" s="117">
        <f>IF($A20="","",IF($K20=0,"n.b.",SUMIFS(STG_Woningetalage!$U$6:$U$505,STG_Woningetalage!$B$6:$B$505,$A20)))</f>
        <v>0</v>
      </c>
      <c r="AY20" s="117">
        <f>IF($A20="","",IF($K20=0,"n.b.",SUMIFS(STG_Woningetalage!$V$6:$V$505,STG_Woningetalage!$B$6:$B$505,$A20)))</f>
        <v>25</v>
      </c>
      <c r="AZ20" s="117">
        <f>IF($A20="","",IF($K20=0,"n.b.",SUMIFS(STG_Woningetalage!$W$6:$W$505,STG_Woningetalage!$B$6:$B$505,$A20)))</f>
        <v>25</v>
      </c>
      <c r="BA20" s="117">
        <f>IF($A20="","",IF($K20=0,"n.b.",SUMIFS(STG_Woningetalage!$X$6:$X$505,STG_Woningetalage!$B$6:$B$505,$A20)))</f>
        <v>0</v>
      </c>
      <c r="BB20" s="117">
        <f>IF($A20="","",IF($K20=0,"n.b.",SUMIFS(STG_Woningetalage!$Y$6:$Y$505,STG_Woningetalage!$B$6:$B$505,$A20)))</f>
        <v>25</v>
      </c>
      <c r="BC20" s="117">
        <f>IF($A20="","",IF($K20=0,"n.b.",SUMIFS(STG_Woningetalage!$Z$6:$Z$505,STG_Woningetalage!$B$6:$B$505,$A20)))</f>
        <v>25</v>
      </c>
      <c r="BD20" s="117">
        <f>IF($A20="","",IF($K20=0,"n.b.",SUMIFS(STG_Woningetalage!$AA$6:$AA$505,STG_Woningetalage!$B$6:$B$505,$A20)))</f>
        <v>85</v>
      </c>
      <c r="BE20" s="117">
        <f>IF($A20="","",IF($K20=0,"n.b.",SUMIFS(STG_Woningetalage!$AB$6:$AB$505,STG_Woningetalage!$B$6:$B$505,$A20)))</f>
        <v>1</v>
      </c>
      <c r="BF20" s="117">
        <f>IF($A20="","",IF($K20=0,"n.b.",SUMIFS(STG_Woningetalage!$AC$6:$AC$505,STG_Woningetalage!$B$6:$B$505,$A20)))</f>
        <v>1</v>
      </c>
      <c r="BG20" s="117">
        <f>IF($A20="","",IF($K20=0,"n.b.",SUMIFS(STG_Woningetalage!$AD$6:$AD$505,STG_Woningetalage!$B$6:$B$505,$A20)))</f>
        <v>3</v>
      </c>
      <c r="BH20" s="117">
        <f>IF($A20="","",IF($K20=0,"n.b.",SUMIFS(STG_Woningetalage!$AE$6:$AE$505,STG_Woningetalage!$B$6:$B$505,$A20)))</f>
        <v>3</v>
      </c>
      <c r="BI20" s="117">
        <f>IF($A20="","",IF($K20=0,"n.b.",SUMIFS(STG_Woningetalage!$AF$6:$AF$505,STG_Woningetalage!$B$6:$B$505,$A20)))</f>
        <v>4</v>
      </c>
      <c r="BJ20" s="117">
        <f>IF($A20="","",IF($K20=0,"n.b.",SUMIFS(STG_Woningetalage!$AG$6:$AG$505,STG_Woningetalage!$B$6:$B$505,$A20)))</f>
        <v>3</v>
      </c>
      <c r="BK20" s="117">
        <f>IF($A20="","",IF($K20=0,"n.b.",SUMIFS(STG_Woningetalage!$AH$6:$AH$505,STG_Woningetalage!$B$6:$B$505,$A20)))</f>
        <v>3</v>
      </c>
      <c r="BL20" s="117">
        <f>IF($A20="","",IF($K20=0,"n.b.",SUMIFS(STG_Woningetalage!$AI$6:$AI$505,STG_Woningetalage!$B$6:$B$505,$A20)))</f>
        <v>4</v>
      </c>
      <c r="BM20" s="117">
        <f>IF($A20="","",IF($K20=0,"n.b.",SUMIFS(STG_Woningetalage!$AJ$6:$AJ$505,STG_Woningetalage!$B$6:$B$505,$A20)))</f>
        <v>3</v>
      </c>
      <c r="BN20" s="117">
        <f>IF($A20="","",IF($K20=0,"n.b.",SUMIFS(STG_Woningetalage!$AK$6:$AK$505,STG_Woningetalage!$B$6:$B$505,$A20)))</f>
        <v>1</v>
      </c>
      <c r="BO20" s="117">
        <f>IF($A20="","",IF($K20=0,"n.b.",SUMIFS(STG_Woningetalage!$AL$6:$AL$505,STG_Woningetalage!$B$6:$B$505,$A20)))</f>
        <v>1</v>
      </c>
      <c r="BP20" s="117">
        <f>IF($A20="","",IF($K20=0,"n.b.",SUMIFS(STG_Woningetalage!$AM$6:$AM$505,STG_Woningetalage!$B$6:$B$505,$A20)))</f>
        <v>9</v>
      </c>
      <c r="BQ20" s="117">
        <f>IF($A20="","",IF($K20=0,"n.b.",SUMIFS(STG_Woningetalage!$BE$6:$BE$505,STG_Woningetalage!$B$6:$B$505,$A20)))</f>
        <v>5</v>
      </c>
      <c r="BR20" s="117">
        <f>IF($A20="","",IF($K20=0,"n.b.",SUMIFS(STG_Woningetalage!$BF$6:$BF$505,STG_Woningetalage!$B$6:$B$505,$A20)))</f>
        <v>10</v>
      </c>
      <c r="BS20" s="117">
        <f>IF($A20="","",IF($K20=0,"n.b.",SUMIFS(STG_Woningetalage!$BG$6:$BG$505,STG_Woningetalage!$B$6:$B$505,$A20)))</f>
        <v>10</v>
      </c>
      <c r="BT20" s="117">
        <f>IF($A20="","",IF($K20=0,"n.b.",SUMIFS(STG_Woningetalage!$BH$6:$BH$505,STG_Woningetalage!$B$6:$B$505,$A20)))</f>
        <v>11</v>
      </c>
      <c r="BU20" s="117">
        <f>IF($A20="","",IF($K20=0,"n.b.",SUMIFS(STG_Woningetalage!$BI$6:$BI$505,STG_Woningetalage!$B$6:$B$505,$A20)))</f>
        <v>25</v>
      </c>
      <c r="BV20" s="117">
        <f>IF($A20="","",IF($K20=0,"n.b.",SUMIFS(STG_Woningetalage!$BJ$6:$BJ$505,STG_Woningetalage!$B$6:$B$505,$A20)))</f>
        <v>11</v>
      </c>
      <c r="BW20" s="117">
        <f>IF($A20="","",IF($K20=0,"n.b.",SUMIFS(STG_Woningetalage!$AR$6:$AR$505,STG_Woningetalage!$B$6:$B$505,$A20)))</f>
        <v>36</v>
      </c>
      <c r="BX20" s="117">
        <f>IF($A20="","",IF($K20=0,"n.b.",SUMIFS(STG_Woningetalage!$AS$6:$AS$505,STG_Woningetalage!$B$6:$B$505,$A20)))</f>
        <v>49</v>
      </c>
      <c r="BY20" s="117">
        <f>IF($A20="","",IF($K20=0,"n.b.",SUMIFS(STG_Woningetalage!$AN$6:$AN$505,STG_Woningetalage!$B$6:$B$505,$A20)))</f>
        <v>14</v>
      </c>
      <c r="BZ20" s="117">
        <f>IF($A20="","",IF($K20=0,"n.b.",SUMIFS(STG_Woningetalage!$AO$6:$AO$505,STG_Woningetalage!$B$6:$B$505,$A20)))</f>
        <v>12</v>
      </c>
      <c r="CA20" s="117">
        <f>IF($A20="","",IF($K20=0,"n.b.",SUMIFS(STG_Woningetalage!$AP$6:$AP$505,STG_Woningetalage!$B$6:$B$505,$A20)))</f>
        <v>12</v>
      </c>
      <c r="CB20" s="117">
        <f>IF($A20="","",IF($K20=0,"n.b.",SUMIFS(STG_Woningetalage!$AQ$6:$AQ$505,STG_Woningetalage!$B$6:$B$505,$A20)))</f>
        <v>11</v>
      </c>
      <c r="CC20" s="117">
        <f>IF($A20="","",IF($K20=0,"n.b.",SUMIFS(STG_Woningetalage!$AU$6:$AU$505,STG_Woningetalage!$B$6:$B$505,$A20)))</f>
        <v>25</v>
      </c>
      <c r="CD20" s="92">
        <f>IF($A20="","",IFERROR(INDEX(STG_ZPMW03!$L$6:$L$505,MATCH($A20,STG_ZPMW03!$B$6:$B$505,0)),"n.b."))</f>
        <v>20</v>
      </c>
      <c r="CE20" s="92" t="str">
        <f>IF($A20="","",IFERROR(INDEX(STG_ZPMW03!$K$6:$K$505,MATCH($A20,STG_ZPMW03!$B$6:$B$505,0)),"n.b."))</f>
        <v>VRIJ BLOK</v>
      </c>
      <c r="CF20" s="92">
        <f>IF($A20="","",IFERROR(INDEX(STG_ZPMW03!$BH$6:$BH$505,MATCH($A20,STG_ZPMW03!$B$6:$B$505,0)),"n.b."))</f>
        <v>46539.0</v>
      </c>
      <c r="CG20" s="92">
        <f>IF($A20="","",IFERROR(INDEX(STG_ZPMW03!$BI$6:$BI$505,MATCH($A20,STG_ZPMW03!$B$6:$B$505,0)),"n.b."))</f>
        <v>202912</v>
      </c>
      <c r="CH20" s="92">
        <f>IF($A20="","",IFERROR(INDEX(STG_ZPMW03!$BJ$6:$BJ$505,MATCH($A20,STG_ZPMW03!$B$6:$B$505,0)),"n.b."))</f>
        <v>3</v>
      </c>
      <c r="CI20" s="92">
        <f>IF($A20="","",IFERROR(INDEX(STG_ZPMW03!$BF$6:$BF$505,MATCH($A20,STG_ZPMW03!$B$6:$B$505,0)),"n.b."))</f>
        <v>6.5</v>
      </c>
      <c r="CJ20" s="92">
        <f>IF($A20="","",IFERROR(INDEX(STG_ZPMW03!$BG$6:$BG$505,MATCH($A20,STG_ZPMW03!$B$6:$B$505,0)),"n.b."))</f>
        <v>46174.0</v>
      </c>
      <c r="CK20" s="92" t="str">
        <f>IF($A20="","",IFERROR(INDEX(STG_ZPMW03!$H$6:$H$505,MATCH($A20,STG_ZPMW03!$B$6:$B$505,0)),"n.b."))</f>
        <v>WO-Wonen</v>
      </c>
      <c r="CL20" s="92" t="str">
        <f>IF($A20="","",IFERROR(INDEX(STG_ZPMW03!$E$6:$E$505,MATCH($A20,STG_ZPMW03!$B$6:$B$505,0)),"n.b."))</f>
        <v>Demo Ontwikkeling BV</v>
      </c>
      <c r="CM20" s="92" t="str">
        <f>IF($A20="","",IFERROR(INDEX(STG_ZPMW03!$G$6:$G$505,MATCH($A20,STG_ZPMW03!$B$6:$B$505,0)),"n.b."))</f>
        <v>Demo Regio</v>
      </c>
      <c r="CN20" s="92">
        <f>IF($A20="","",IFERROR(INDEX(STG_Woningetalage!$N$6:$N$505,MATCH($A20,STG_Woningetalage!$B$6:$B$505,0)),"n.b."))</f>
        <v>45931.0</v>
      </c>
      <c r="CO20" s="92">
        <f>IF($A20="","",IFERROR(INDEX(STG_Woningetalage!$P$6:$P$505,MATCH($A20,STG_Woningetalage!$B$6:$B$505,0)),"n.b."))</f>
        <v>47453.0</v>
      </c>
      <c r="CP20" s="118">
        <f>IF($A20="","",IF(AND(ISNUMBER(AT20),ISNUMBER(F20)),IF(F20&gt;0,AT20/(F20/100),"n.b."),"n.b."))</f>
        <v>110</v>
      </c>
      <c r="CQ20" s="116">
        <f>IF($A20="","",IF(ISNUMBER(Q20),IF(Q20&lt;0,1,0),0))</f>
        <v>0</v>
      </c>
      <c r="CR20" s="116" t="str">
        <f>IF(CQ20=1,COUNTIF($CQ$6:CQ20,1),"")</f>
        <v/>
      </c>
      <c r="CS20" s="116" t="str">
        <f>IF(AND($A20&lt;&gt;"",$J20=0),COUNTIFS($A$6:$A20,"?*",$J$6:$J20,0),"")</f>
        <v/>
      </c>
      <c r="CT20" s="119">
        <f>IF($A20="","",IF(AND(ISNUMBER(Q20),ISNUMBER(P20)),IF(P20&lt;&gt;0,Q20/P20,"n.b."),"n.b."))</f>
        <v>0.065</v>
      </c>
    </row>
    <row r="21">
      <c r="A21" s="92" t="str">
        <f>IF(Mapping!$A20="","",Mapping!$A20)</f>
        <v>G.900016.8.9090</v>
      </c>
      <c r="B21" s="92" t="str">
        <f>IF(Mapping!$B20="","",Mapping!$B20)</f>
        <v>G.900016</v>
      </c>
      <c r="C21" s="92" t="str">
        <f>IF(Mapping!$C20="","",Mapping!$C20)</f>
        <v>Duinwaard, De Lantaarn</v>
      </c>
      <c r="D21" s="92" t="str">
        <f>IF(Mapping!$F20="","",Mapping!$F20)</f>
        <v>Opstal</v>
      </c>
      <c r="E21" s="92" t="str">
        <f>IF(Mapping!$H20="","",Mapping!$H20)</f>
        <v>Appartement</v>
      </c>
      <c r="F21" s="92">
        <f>IF(Mapping!$E20="","",Mapping!$E20)</f>
        <v>100</v>
      </c>
      <c r="G21" s="92" t="str">
        <f>IF(Mapping!$G20="","",Mapping!$G20)</f>
        <v>Ja</v>
      </c>
      <c r="H21" s="92">
        <f>IF(Mapping!$D20="","",Mapping!$D20)</f>
        <v>40</v>
      </c>
      <c r="I21" s="92" t="str">
        <f>IF($A21="","",IFERROR(INDEX(STG_ZPMW03!$C$6:$C$505,MATCH($A21,STG_ZPMW03!$B$6:$B$505,0)),"n.b."))</f>
        <v>J</v>
      </c>
      <c r="J21" s="116">
        <f>IF($A21="","",COUNTIF(STG_ZPMW03!$B$6:$B$505,$A21))</f>
        <v>1</v>
      </c>
      <c r="K21" s="116">
        <f>IF($A21="","",COUNTIF(STG_Woningetalage!$B$6:$B$505,$A21))</f>
        <v>1</v>
      </c>
      <c r="L21" s="117">
        <f>IF($A21="","",IF($J21=0,"n.b.",SUMIFS(STG_ZPMW03!$BK$6:$BK$505,STG_ZPMW03!$B$6:$B$505,$A21)))</f>
        <v>3161600</v>
      </c>
      <c r="M21" s="117">
        <f>IF($A21="","",IF($J21=0,"n.b.",SUMIFS(STG_ZPMW03!$BL$6:$BL$505,STG_ZPMW03!$B$6:$B$505,$A21)))</f>
        <v>442624</v>
      </c>
      <c r="N21" s="117">
        <f>IF($A21="","",IF($J21=0,"n.b.",SUMIFS(STG_ZPMW03!$BM$6:$BM$505,STG_ZPMW03!$B$6:$B$505,$A21)))</f>
        <v>1702400</v>
      </c>
      <c r="O21" s="117">
        <f>IF($A21="","",IF($J21=0,"n.b.",SUMIFS(STG_ZPMW03!$BN$6:$BN$505,STG_ZPMW03!$B$6:$B$505,$A21)))</f>
        <v>238336</v>
      </c>
      <c r="P21" s="117">
        <f>IF($A21="","",IF($J21=0,"n.b.",SUMIFS(STG_ZPMW03!$BO$6:$BO$505,STG_ZPMW03!$B$6:$B$505,$A21)))</f>
        <v>4864000</v>
      </c>
      <c r="Q21" s="117">
        <f>IF($A21="","",IF($J21=0,"n.b.",SUMIFS(STG_ZPMW03!$BP$6:$BP$505,STG_ZPMW03!$B$6:$B$505,$A21)))</f>
        <v>680960</v>
      </c>
      <c r="R21" s="117">
        <f>IF($A21="","",IF($J21=0,"n.b.",SUMIFS(STG_ZPMW03!$BQ$6:$BQ$505,STG_ZPMW03!$B$6:$B$505,$A21)))</f>
        <v>5158400</v>
      </c>
      <c r="S21" s="117">
        <f>IF($A21="","",IF($J21=0,"n.b.",SUMIFS(STG_ZPMW03!$BR$6:$BR$505,STG_ZPMW03!$B$6:$B$505,$A21)))</f>
        <v>722176</v>
      </c>
      <c r="T21" s="117">
        <f>IF($A21="","",IF($J21=0,"n.b.",SUMIFS(STG_ZPMW03!$BS$6:$BS$505,STG_ZPMW03!$B$6:$B$505,$A21)))</f>
        <v>1702400</v>
      </c>
      <c r="U21" s="117">
        <f>IF($A21="","",IF($J21=0,"n.b.",SUMIFS(STG_ZPMW03!$BT$6:$BT$505,STG_ZPMW03!$B$6:$B$505,$A21)))</f>
        <v>238336</v>
      </c>
      <c r="V21" s="117">
        <f>IF($A21="","",IF($J21=0,"n.b.",SUMIFS(STG_ZPMW03!$BU$6:$BU$505,STG_ZPMW03!$B$6:$B$505,$A21)))</f>
        <v>1031680</v>
      </c>
      <c r="W21" s="117">
        <f>IF($A21="","",IF($J21=0,"n.b.",SUMIFS(STG_ZPMW03!$BW$6:$BW$505,STG_ZPMW03!$B$6:$B$505,$A21)))</f>
        <v>1289600</v>
      </c>
      <c r="X21" s="117">
        <f>IF($A21="","",IF($J21=0,"n.b.",SUMIFS(STG_ZPMW03!$BY$6:$BY$505,STG_ZPMW03!$B$6:$B$505,$A21)))</f>
        <v>1547520</v>
      </c>
      <c r="Y21" s="117">
        <f>IF($A21="","",IF($J21=0,"n.b.",SUMIFS(STG_ZPMW03!$CA$6:$CA$505,STG_ZPMW03!$B$6:$B$505,$A21)))</f>
        <v>1289600</v>
      </c>
      <c r="Z21" s="117">
        <f>IF($A21="","",IF($J21=0,"n.b.",SUMIFS(STG_ZPMW03!$BV$6:$BV$505,STG_ZPMW03!$B$6:$B$505,$A21)))</f>
        <v>144435.2</v>
      </c>
      <c r="AA21" s="117">
        <f>IF($A21="","",IF($J21=0,"n.b.",SUMIFS(STG_ZPMW03!$BX$6:$BX$505,STG_ZPMW03!$B$6:$B$505,$A21)))</f>
        <v>180544</v>
      </c>
      <c r="AB21" s="117">
        <f>IF($A21="","",IF($J21=0,"n.b.",SUMIFS(STG_ZPMW03!$BZ$6:$BZ$505,STG_ZPMW03!$B$6:$B$505,$A21)))</f>
        <v>216652.8</v>
      </c>
      <c r="AC21" s="117">
        <f>IF($A21="","",IF($J21=0,"n.b.",SUMIFS(STG_ZPMW03!$CB$6:$CB$505,STG_ZPMW03!$B$6:$B$505,$A21)))</f>
        <v>180544</v>
      </c>
      <c r="AD21" s="117">
        <f>IF($A21="","",IF($J21=0,"n.b.",SUMIFS(STG_ZPMW03!$CC$6:$CC$505,STG_ZPMW03!$B$6:$B$505,$A21)))</f>
        <v>2777600</v>
      </c>
      <c r="AE21" s="117">
        <f>IF($A21="","",IF($J21=0,"n.b.",SUMIFS(STG_ZPMW03!$CE$6:$CE$505,STG_ZPMW03!$B$6:$B$505,$A21)))</f>
        <v>0</v>
      </c>
      <c r="AF21" s="117">
        <f>IF($A21="","",IF($J21=0,"n.b.",SUMIFS(STG_ZPMW03!$CG$6:$CG$505,STG_ZPMW03!$B$6:$B$505,$A21)))</f>
        <v>0</v>
      </c>
      <c r="AG21" s="117">
        <f>IF($A21="","",IF($J21=0,"n.b.",SUMIFS(STG_ZPMW03!$CI$6:$CI$505,STG_ZPMW03!$B$6:$B$505,$A21)))</f>
        <v>0</v>
      </c>
      <c r="AH21" s="117">
        <f>IF($A21="","",IF($J21=0,"n.b.",SUMIFS(STG_ZPMW03!$CK$6:$CK$505,STG_ZPMW03!$B$6:$B$505,$A21)))</f>
        <v>0</v>
      </c>
      <c r="AI21" s="117">
        <f>IF($A21="","",IF($J21=0,"n.b.",SUMIFS(STG_ZPMW03!$CM$6:$CM$505,STG_ZPMW03!$B$6:$B$505,$A21)))</f>
        <v>0</v>
      </c>
      <c r="AJ21" s="117">
        <f>IF($A21="","",IF($J21=0,"n.b.",SUMIFS(STG_ZPMW03!$CO$6:$CO$505,STG_ZPMW03!$B$6:$B$505,$A21)))</f>
        <v>0</v>
      </c>
      <c r="AK21" s="117">
        <f>IF($A21="","",IF($J21=0,"n.b.",SUMIFS(STG_ZPMW03!$CQ$6:$CQ$505,STG_ZPMW03!$B$6:$B$505,$A21)))</f>
        <v>0</v>
      </c>
      <c r="AL21" s="117">
        <f>IF($A21="","",IF($J21=0,"n.b.",SUMIFS(STG_ZPMW03!$CD$6:$CD$505,STG_ZPMW03!$B$6:$B$505,$A21)))</f>
        <v>388864</v>
      </c>
      <c r="AM21" s="117">
        <f>IF($A21="","",IF($J21=0,"n.b.",SUMIFS(STG_ZPMW03!$CF$6:$CF$505,STG_ZPMW03!$B$6:$B$505,$A21)))</f>
        <v>0</v>
      </c>
      <c r="AN21" s="117">
        <f>IF($A21="","",IF($J21=0,"n.b.",SUMIFS(STG_ZPMW03!$CH$6:$CH$505,STG_ZPMW03!$B$6:$B$505,$A21)))</f>
        <v>0</v>
      </c>
      <c r="AO21" s="117">
        <f>IF($A21="","",IF($J21=0,"n.b.",SUMIFS(STG_ZPMW03!$CJ$6:$CJ$505,STG_ZPMW03!$B$6:$B$505,$A21)))</f>
        <v>0</v>
      </c>
      <c r="AP21" s="117">
        <f>IF($A21="","",IF($J21=0,"n.b.",SUMIFS(STG_ZPMW03!$CL$6:$CL$505,STG_ZPMW03!$B$6:$B$505,$A21)))</f>
        <v>0</v>
      </c>
      <c r="AQ21" s="117">
        <f>IF($A21="","",IF($J21=0,"n.b.",SUMIFS(STG_ZPMW03!$CN$6:$CN$505,STG_ZPMW03!$B$6:$B$505,$A21)))</f>
        <v>0</v>
      </c>
      <c r="AR21" s="117">
        <f>IF($A21="","",IF($J21=0,"n.b.",SUMIFS(STG_ZPMW03!$CP$6:$CP$505,STG_ZPMW03!$B$6:$B$505,$A21)))</f>
        <v>0</v>
      </c>
      <c r="AS21" s="117">
        <f>IF($A21="","",IF($J21=0,"n.b.",SUMIFS(STG_ZPMW03!$CR$6:$CR$505,STG_ZPMW03!$B$6:$B$505,$A21)))</f>
        <v>0</v>
      </c>
      <c r="AT21" s="117">
        <f>IF($A21="","",IF($K21=0,"n.b.",SUMIFS(STG_Woningetalage!$Q$6:$Q$505,STG_Woningetalage!$B$6:$B$505,$A21)))</f>
        <v>40</v>
      </c>
      <c r="AU21" s="117">
        <f>IF($A21="","",IF($K21=0,"n.b.",SUMIFS(STG_Woningetalage!$R$6:$R$505,STG_Woningetalage!$B$6:$B$505,$A21)))</f>
        <v>0</v>
      </c>
      <c r="AV21" s="117">
        <f>IF($A21="","",IF($K21=0,"n.b.",SUMIFS(STG_Woningetalage!$S$6:$S$505,STG_Woningetalage!$B$6:$B$505,$A21)))</f>
        <v>0</v>
      </c>
      <c r="AW21" s="117">
        <f>IF($A21="","",IF($K21=0,"n.b.",SUMIFS(STG_Woningetalage!$T$6:$T$505,STG_Woningetalage!$B$6:$B$505,$A21)))</f>
        <v>0</v>
      </c>
      <c r="AX21" s="117">
        <f>IF($A21="","",IF($K21=0,"n.b.",SUMIFS(STG_Woningetalage!$U$6:$U$505,STG_Woningetalage!$B$6:$B$505,$A21)))</f>
        <v>0</v>
      </c>
      <c r="AY21" s="117">
        <f>IF($A21="","",IF($K21=0,"n.b.",SUMIFS(STG_Woningetalage!$V$6:$V$505,STG_Woningetalage!$B$6:$B$505,$A21)))</f>
        <v>7</v>
      </c>
      <c r="AZ21" s="117">
        <f>IF($A21="","",IF($K21=0,"n.b.",SUMIFS(STG_Woningetalage!$W$6:$W$505,STG_Woningetalage!$B$6:$B$505,$A21)))</f>
        <v>7</v>
      </c>
      <c r="BA21" s="117">
        <f>IF($A21="","",IF($K21=0,"n.b.",SUMIFS(STG_Woningetalage!$X$6:$X$505,STG_Woningetalage!$B$6:$B$505,$A21)))</f>
        <v>0</v>
      </c>
      <c r="BB21" s="117">
        <f>IF($A21="","",IF($K21=0,"n.b.",SUMIFS(STG_Woningetalage!$Y$6:$Y$505,STG_Woningetalage!$B$6:$B$505,$A21)))</f>
        <v>7</v>
      </c>
      <c r="BC21" s="117">
        <f>IF($A21="","",IF($K21=0,"n.b.",SUMIFS(STG_Woningetalage!$Z$6:$Z$505,STG_Woningetalage!$B$6:$B$505,$A21)))</f>
        <v>7</v>
      </c>
      <c r="BD21" s="117">
        <f>IF($A21="","",IF($K21=0,"n.b.",SUMIFS(STG_Woningetalage!$AA$6:$AA$505,STG_Woningetalage!$B$6:$B$505,$A21)))</f>
        <v>33</v>
      </c>
      <c r="BE21" s="117">
        <f>IF($A21="","",IF($K21=0,"n.b.",SUMIFS(STG_Woningetalage!$AB$6:$AB$505,STG_Woningetalage!$B$6:$B$505,$A21)))</f>
        <v>0</v>
      </c>
      <c r="BF21" s="117">
        <f>IF($A21="","",IF($K21=0,"n.b.",SUMIFS(STG_Woningetalage!$AC$6:$AC$505,STG_Woningetalage!$B$6:$B$505,$A21)))</f>
        <v>0</v>
      </c>
      <c r="BG21" s="117">
        <f>IF($A21="","",IF($K21=0,"n.b.",SUMIFS(STG_Woningetalage!$AD$6:$AD$505,STG_Woningetalage!$B$6:$B$505,$A21)))</f>
        <v>1</v>
      </c>
      <c r="BH21" s="117">
        <f>IF($A21="","",IF($K21=0,"n.b.",SUMIFS(STG_Woningetalage!$AE$6:$AE$505,STG_Woningetalage!$B$6:$B$505,$A21)))</f>
        <v>1</v>
      </c>
      <c r="BI21" s="117">
        <f>IF($A21="","",IF($K21=0,"n.b.",SUMIFS(STG_Woningetalage!$AF$6:$AF$505,STG_Woningetalage!$B$6:$B$505,$A21)))</f>
        <v>1</v>
      </c>
      <c r="BJ21" s="117">
        <f>IF($A21="","",IF($K21=0,"n.b.",SUMIFS(STG_Woningetalage!$AG$6:$AG$505,STG_Woningetalage!$B$6:$B$505,$A21)))</f>
        <v>1</v>
      </c>
      <c r="BK21" s="117">
        <f>IF($A21="","",IF($K21=0,"n.b.",SUMIFS(STG_Woningetalage!$AH$6:$AH$505,STG_Woningetalage!$B$6:$B$505,$A21)))</f>
        <v>1</v>
      </c>
      <c r="BL21" s="117">
        <f>IF($A21="","",IF($K21=0,"n.b.",SUMIFS(STG_Woningetalage!$AI$6:$AI$505,STG_Woningetalage!$B$6:$B$505,$A21)))</f>
        <v>1</v>
      </c>
      <c r="BM21" s="117">
        <f>IF($A21="","",IF($K21=0,"n.b.",SUMIFS(STG_Woningetalage!$AJ$6:$AJ$505,STG_Woningetalage!$B$6:$B$505,$A21)))</f>
        <v>1</v>
      </c>
      <c r="BN21" s="117">
        <f>IF($A21="","",IF($K21=0,"n.b.",SUMIFS(STG_Woningetalage!$AK$6:$AK$505,STG_Woningetalage!$B$6:$B$505,$A21)))</f>
        <v>0</v>
      </c>
      <c r="BO21" s="117">
        <f>IF($A21="","",IF($K21=0,"n.b.",SUMIFS(STG_Woningetalage!$AL$6:$AL$505,STG_Woningetalage!$B$6:$B$505,$A21)))</f>
        <v>0</v>
      </c>
      <c r="BP21" s="117">
        <f>IF($A21="","",IF($K21=0,"n.b.",SUMIFS(STG_Woningetalage!$AM$6:$AM$505,STG_Woningetalage!$B$6:$B$505,$A21)))</f>
        <v>6</v>
      </c>
      <c r="BQ21" s="117">
        <f>IF($A21="","",IF($K21=0,"n.b.",SUMIFS(STG_Woningetalage!$BE$6:$BE$505,STG_Woningetalage!$B$6:$B$505,$A21)))</f>
        <v>1</v>
      </c>
      <c r="BR21" s="117">
        <f>IF($A21="","",IF($K21=0,"n.b.",SUMIFS(STG_Woningetalage!$BF$6:$BF$505,STG_Woningetalage!$B$6:$B$505,$A21)))</f>
        <v>3</v>
      </c>
      <c r="BS21" s="117">
        <f>IF($A21="","",IF($K21=0,"n.b.",SUMIFS(STG_Woningetalage!$BG$6:$BG$505,STG_Woningetalage!$B$6:$B$505,$A21)))</f>
        <v>3</v>
      </c>
      <c r="BT21" s="117">
        <f>IF($A21="","",IF($K21=0,"n.b.",SUMIFS(STG_Woningetalage!$BH$6:$BH$505,STG_Woningetalage!$B$6:$B$505,$A21)))</f>
        <v>6</v>
      </c>
      <c r="BU21" s="117">
        <f>IF($A21="","",IF($K21=0,"n.b.",SUMIFS(STG_Woningetalage!$BI$6:$BI$505,STG_Woningetalage!$B$6:$B$505,$A21)))</f>
        <v>7</v>
      </c>
      <c r="BV21" s="117">
        <f>IF($A21="","",IF($K21=0,"n.b.",SUMIFS(STG_Woningetalage!$BJ$6:$BJ$505,STG_Woningetalage!$B$6:$B$505,$A21)))</f>
        <v>6</v>
      </c>
      <c r="BW21" s="117">
        <f>IF($A21="","",IF($K21=0,"n.b.",SUMIFS(STG_Woningetalage!$AR$6:$AR$505,STG_Woningetalage!$B$6:$B$505,$A21)))</f>
        <v>13</v>
      </c>
      <c r="BX21" s="117">
        <f>IF($A21="","",IF($K21=0,"n.b.",SUMIFS(STG_Woningetalage!$AS$6:$AS$505,STG_Woningetalage!$B$6:$B$505,$A21)))</f>
        <v>18</v>
      </c>
      <c r="BY21" s="117">
        <f>IF($A21="","",IF($K21=0,"n.b.",SUMIFS(STG_Woningetalage!$AN$6:$AN$505,STG_Woningetalage!$B$6:$B$505,$A21)))</f>
        <v>5</v>
      </c>
      <c r="BZ21" s="117">
        <f>IF($A21="","",IF($K21=0,"n.b.",SUMIFS(STG_Woningetalage!$AO$6:$AO$505,STG_Woningetalage!$B$6:$B$505,$A21)))</f>
        <v>4</v>
      </c>
      <c r="CA21" s="117">
        <f>IF($A21="","",IF($K21=0,"n.b.",SUMIFS(STG_Woningetalage!$AP$6:$AP$505,STG_Woningetalage!$B$6:$B$505,$A21)))</f>
        <v>4</v>
      </c>
      <c r="CB21" s="117">
        <f>IF($A21="","",IF($K21=0,"n.b.",SUMIFS(STG_Woningetalage!$AQ$6:$AQ$505,STG_Woningetalage!$B$6:$B$505,$A21)))</f>
        <v>5</v>
      </c>
      <c r="CC21" s="117">
        <f>IF($A21="","",IF($K21=0,"n.b.",SUMIFS(STG_Woningetalage!$AU$6:$AU$505,STG_Woningetalage!$B$6:$B$505,$A21)))</f>
        <v>9</v>
      </c>
      <c r="CD21" s="92">
        <f>IF($A21="","",IFERROR(INDEX(STG_ZPMW03!$L$6:$L$505,MATCH($A21,STG_ZPMW03!$B$6:$B$505,0)),"n.b."))</f>
        <v>100</v>
      </c>
      <c r="CE21" s="92" t="str">
        <f>IF($A21="","",IFERROR(INDEX(STG_ZPMW03!$K$6:$K$505,MATCH($A21,STG_ZPMW03!$B$6:$B$505,0)),"n.b."))</f>
        <v>VRIJ BLOK</v>
      </c>
      <c r="CF21" s="92">
        <f>IF($A21="","",IFERROR(INDEX(STG_ZPMW03!$BH$6:$BH$505,MATCH($A21,STG_ZPMW03!$B$6:$B$505,0)),"n.b."))</f>
        <v>46569.0</v>
      </c>
      <c r="CG21" s="92">
        <f>IF($A21="","",IFERROR(INDEX(STG_ZPMW03!$BI$6:$BI$505,MATCH($A21,STG_ZPMW03!$B$6:$B$505,0)),"n.b."))</f>
        <v>202912</v>
      </c>
      <c r="CH21" s="92">
        <f>IF($A21="","",IFERROR(INDEX(STG_ZPMW03!$BJ$6:$BJ$505,MATCH($A21,STG_ZPMW03!$B$6:$B$505,0)),"n.b."))</f>
        <v>1</v>
      </c>
      <c r="CI21" s="92">
        <f>IF($A21="","",IFERROR(INDEX(STG_ZPMW03!$BF$6:$BF$505,MATCH($A21,STG_ZPMW03!$B$6:$B$505,0)),"n.b."))</f>
        <v>24.7</v>
      </c>
      <c r="CJ21" s="92">
        <f>IF($A21="","",IFERROR(INDEX(STG_ZPMW03!$BG$6:$BG$505,MATCH($A21,STG_ZPMW03!$B$6:$B$505,0)),"n.b."))</f>
        <v>46204.0</v>
      </c>
      <c r="CK21" s="92" t="str">
        <f>IF($A21="","",IFERROR(INDEX(STG_ZPMW03!$H$6:$H$505,MATCH($A21,STG_ZPMW03!$B$6:$B$505,0)),"n.b."))</f>
        <v>WO-Wonen</v>
      </c>
      <c r="CL21" s="92" t="str">
        <f>IF($A21="","",IFERROR(INDEX(STG_ZPMW03!$E$6:$E$505,MATCH($A21,STG_ZPMW03!$B$6:$B$505,0)),"n.b."))</f>
        <v>Demo Ontwikkeling BV</v>
      </c>
      <c r="CM21" s="92" t="str">
        <f>IF($A21="","",IFERROR(INDEX(STG_ZPMW03!$G$6:$G$505,MATCH($A21,STG_ZPMW03!$B$6:$B$505,0)),"n.b."))</f>
        <v>Demo Regio</v>
      </c>
      <c r="CN21" s="92">
        <f>IF($A21="","",IFERROR(INDEX(STG_Woningetalage!$N$6:$N$505,MATCH($A21,STG_Woningetalage!$B$6:$B$505,0)),"n.b."))</f>
        <v>45931.0</v>
      </c>
      <c r="CO21" s="92">
        <f>IF($A21="","",IFERROR(INDEX(STG_Woningetalage!$P$6:$P$505,MATCH($A21,STG_Woningetalage!$B$6:$B$505,0)),"n.b."))</f>
        <v>47453.0</v>
      </c>
      <c r="CP21" s="118">
        <f>IF($A21="","",IF(AND(ISNUMBER(AT21),ISNUMBER(F21)),IF(F21&gt;0,AT21/(F21/100),"n.b."),"n.b."))</f>
        <v>40</v>
      </c>
      <c r="CQ21" s="116">
        <f>IF($A21="","",IF(ISNUMBER(Q21),IF(Q21&lt;0,1,0),0))</f>
        <v>0</v>
      </c>
      <c r="CR21" s="116" t="str">
        <f>IF(CQ21=1,COUNTIF($CQ$6:CQ21,1),"")</f>
        <v/>
      </c>
      <c r="CS21" s="116" t="str">
        <f>IF(AND($A21&lt;&gt;"",$J21=0),COUNTIFS($A$6:$A21,"?*",$J$6:$J21,0),"")</f>
        <v/>
      </c>
      <c r="CT21" s="119">
        <f>IF($A21="","",IF(AND(ISNUMBER(Q21),ISNUMBER(P21)),IF(P21&lt;&gt;0,Q21/P21,"n.b."),"n.b."))</f>
        <v>0.14</v>
      </c>
    </row>
    <row r="22">
      <c r="A22" s="92" t="str">
        <f>IF(Mapping!$A21="","",Mapping!$A21)</f>
        <v>G.900017.8.9090</v>
      </c>
      <c r="B22" s="92" t="str">
        <f>IF(Mapping!$B21="","",Mapping!$B21)</f>
        <v>G.900017</v>
      </c>
      <c r="C22" s="92" t="str">
        <f>IF(Mapping!$C21="","",Mapping!$C21)</f>
        <v>Veldendam, Spoorpark</v>
      </c>
      <c r="D22" s="92" t="str">
        <f>IF(Mapping!$F21="","",Mapping!$F21)</f>
        <v>Opstal</v>
      </c>
      <c r="E22" s="92" t="str">
        <f>IF(Mapping!$H21="","",Mapping!$H21)</f>
        <v>Grondgebonden</v>
      </c>
      <c r="F22" s="92">
        <f>IF(Mapping!$E21="","",Mapping!$E21)</f>
        <v>100</v>
      </c>
      <c r="G22" s="92" t="str">
        <f>IF(Mapping!$G21="","",Mapping!$G21)</f>
        <v>Ja</v>
      </c>
      <c r="H22" s="92">
        <f>IF(Mapping!$D21="","",Mapping!$D21)</f>
        <v>84</v>
      </c>
      <c r="I22" s="92" t="str">
        <f>IF($A22="","",IFERROR(INDEX(STG_ZPMW03!$C$6:$C$505,MATCH($A22,STG_ZPMW03!$B$6:$B$505,0)),"n.b."))</f>
        <v>J</v>
      </c>
      <c r="J22" s="116">
        <f>IF($A22="","",COUNTIF(STG_ZPMW03!$B$6:$B$505,$A22))</f>
        <v>1</v>
      </c>
      <c r="K22" s="116">
        <f>IF($A22="","",COUNTIF(STG_Woningetalage!$B$6:$B$505,$A22))</f>
        <v>1</v>
      </c>
      <c r="L22" s="117">
        <f>IF($A22="","",IF($J22=0,"n.b.",SUMIFS(STG_ZPMW03!$BK$6:$BK$505,STG_ZPMW03!$B$6:$B$505,$A22)))</f>
        <v>7644000</v>
      </c>
      <c r="M22" s="117">
        <f>IF($A22="","",IF($J22=0,"n.b.",SUMIFS(STG_ZPMW03!$BL$6:$BL$505,STG_ZPMW03!$B$6:$B$505,$A22)))</f>
        <v>764400</v>
      </c>
      <c r="N22" s="117">
        <f>IF($A22="","",IF($J22=0,"n.b.",SUMIFS(STG_ZPMW03!$BM$6:$BM$505,STG_ZPMW03!$B$6:$B$505,$A22)))</f>
        <v>4116000</v>
      </c>
      <c r="O22" s="117">
        <f>IF($A22="","",IF($J22=0,"n.b.",SUMIFS(STG_ZPMW03!$BN$6:$BN$505,STG_ZPMW03!$B$6:$B$505,$A22)))</f>
        <v>411600</v>
      </c>
      <c r="P22" s="117">
        <f>IF($A22="","",IF($J22=0,"n.b.",SUMIFS(STG_ZPMW03!$BO$6:$BO$505,STG_ZPMW03!$B$6:$B$505,$A22)))</f>
        <v>11760000</v>
      </c>
      <c r="Q22" s="117">
        <f>IF($A22="","",IF($J22=0,"n.b.",SUMIFS(STG_ZPMW03!$BP$6:$BP$505,STG_ZPMW03!$B$6:$B$505,$A22)))</f>
        <v>1176000</v>
      </c>
      <c r="R22" s="117">
        <f>IF($A22="","",IF($J22=0,"n.b.",SUMIFS(STG_ZPMW03!$BQ$6:$BQ$505,STG_ZPMW03!$B$6:$B$505,$A22)))</f>
        <v>22932000</v>
      </c>
      <c r="S22" s="117">
        <f>IF($A22="","",IF($J22=0,"n.b.",SUMIFS(STG_ZPMW03!$BR$6:$BR$505,STG_ZPMW03!$B$6:$B$505,$A22)))</f>
        <v>2293200</v>
      </c>
      <c r="T22" s="117">
        <f>IF($A22="","",IF($J22=0,"n.b.",SUMIFS(STG_ZPMW03!$BS$6:$BS$505,STG_ZPMW03!$B$6:$B$505,$A22)))</f>
        <v>4116000</v>
      </c>
      <c r="U22" s="117">
        <f>IF($A22="","",IF($J22=0,"n.b.",SUMIFS(STG_ZPMW03!$BT$6:$BT$505,STG_ZPMW03!$B$6:$B$505,$A22)))</f>
        <v>411600</v>
      </c>
      <c r="V22" s="117">
        <f>IF($A22="","",IF($J22=0,"n.b.",SUMIFS(STG_ZPMW03!$BU$6:$BU$505,STG_ZPMW03!$B$6:$B$505,$A22)))</f>
        <v>4586400</v>
      </c>
      <c r="W22" s="117">
        <f>IF($A22="","",IF($J22=0,"n.b.",SUMIFS(STG_ZPMW03!$BW$6:$BW$505,STG_ZPMW03!$B$6:$B$505,$A22)))</f>
        <v>5733000</v>
      </c>
      <c r="X22" s="117">
        <f>IF($A22="","",IF($J22=0,"n.b.",SUMIFS(STG_ZPMW03!$BY$6:$BY$505,STG_ZPMW03!$B$6:$B$505,$A22)))</f>
        <v>6879600</v>
      </c>
      <c r="Y22" s="117">
        <f>IF($A22="","",IF($J22=0,"n.b.",SUMIFS(STG_ZPMW03!$CA$6:$CA$505,STG_ZPMW03!$B$6:$B$505,$A22)))</f>
        <v>5733000</v>
      </c>
      <c r="Z22" s="117">
        <f>IF($A22="","",IF($J22=0,"n.b.",SUMIFS(STG_ZPMW03!$BV$6:$BV$505,STG_ZPMW03!$B$6:$B$505,$A22)))</f>
        <v>458640</v>
      </c>
      <c r="AA22" s="117">
        <f>IF($A22="","",IF($J22=0,"n.b.",SUMIFS(STG_ZPMW03!$BX$6:$BX$505,STG_ZPMW03!$B$6:$B$505,$A22)))</f>
        <v>573300</v>
      </c>
      <c r="AB22" s="117">
        <f>IF($A22="","",IF($J22=0,"n.b.",SUMIFS(STG_ZPMW03!$BZ$6:$BZ$505,STG_ZPMW03!$B$6:$B$505,$A22)))</f>
        <v>687960</v>
      </c>
      <c r="AC22" s="117">
        <f>IF($A22="","",IF($J22=0,"n.b.",SUMIFS(STG_ZPMW03!$CB$6:$CB$505,STG_ZPMW03!$B$6:$B$505,$A22)))</f>
        <v>573300</v>
      </c>
      <c r="AD22" s="117">
        <f>IF($A22="","",IF($J22=0,"n.b.",SUMIFS(STG_ZPMW03!$CC$6:$CC$505,STG_ZPMW03!$B$6:$B$505,$A22)))</f>
        <v>12348000</v>
      </c>
      <c r="AE22" s="117">
        <f>IF($A22="","",IF($J22=0,"n.b.",SUMIFS(STG_ZPMW03!$CE$6:$CE$505,STG_ZPMW03!$B$6:$B$505,$A22)))</f>
        <v>0</v>
      </c>
      <c r="AF22" s="117">
        <f>IF($A22="","",IF($J22=0,"n.b.",SUMIFS(STG_ZPMW03!$CG$6:$CG$505,STG_ZPMW03!$B$6:$B$505,$A22)))</f>
        <v>0</v>
      </c>
      <c r="AG22" s="117">
        <f>IF($A22="","",IF($J22=0,"n.b.",SUMIFS(STG_ZPMW03!$CI$6:$CI$505,STG_ZPMW03!$B$6:$B$505,$A22)))</f>
        <v>0</v>
      </c>
      <c r="AH22" s="117">
        <f>IF($A22="","",IF($J22=0,"n.b.",SUMIFS(STG_ZPMW03!$CK$6:$CK$505,STG_ZPMW03!$B$6:$B$505,$A22)))</f>
        <v>0</v>
      </c>
      <c r="AI22" s="117">
        <f>IF($A22="","",IF($J22=0,"n.b.",SUMIFS(STG_ZPMW03!$CM$6:$CM$505,STG_ZPMW03!$B$6:$B$505,$A22)))</f>
        <v>0</v>
      </c>
      <c r="AJ22" s="117">
        <f>IF($A22="","",IF($J22=0,"n.b.",SUMIFS(STG_ZPMW03!$CO$6:$CO$505,STG_ZPMW03!$B$6:$B$505,$A22)))</f>
        <v>0</v>
      </c>
      <c r="AK22" s="117">
        <f>IF($A22="","",IF($J22=0,"n.b.",SUMIFS(STG_ZPMW03!$CQ$6:$CQ$505,STG_ZPMW03!$B$6:$B$505,$A22)))</f>
        <v>0</v>
      </c>
      <c r="AL22" s="117">
        <f>IF($A22="","",IF($J22=0,"n.b.",SUMIFS(STG_ZPMW03!$CD$6:$CD$505,STG_ZPMW03!$B$6:$B$505,$A22)))</f>
        <v>1234800</v>
      </c>
      <c r="AM22" s="117">
        <f>IF($A22="","",IF($J22=0,"n.b.",SUMIFS(STG_ZPMW03!$CF$6:$CF$505,STG_ZPMW03!$B$6:$B$505,$A22)))</f>
        <v>0</v>
      </c>
      <c r="AN22" s="117">
        <f>IF($A22="","",IF($J22=0,"n.b.",SUMIFS(STG_ZPMW03!$CH$6:$CH$505,STG_ZPMW03!$B$6:$B$505,$A22)))</f>
        <v>0</v>
      </c>
      <c r="AO22" s="117">
        <f>IF($A22="","",IF($J22=0,"n.b.",SUMIFS(STG_ZPMW03!$CJ$6:$CJ$505,STG_ZPMW03!$B$6:$B$505,$A22)))</f>
        <v>0</v>
      </c>
      <c r="AP22" s="117">
        <f>IF($A22="","",IF($J22=0,"n.b.",SUMIFS(STG_ZPMW03!$CL$6:$CL$505,STG_ZPMW03!$B$6:$B$505,$A22)))</f>
        <v>0</v>
      </c>
      <c r="AQ22" s="117">
        <f>IF($A22="","",IF($J22=0,"n.b.",SUMIFS(STG_ZPMW03!$CN$6:$CN$505,STG_ZPMW03!$B$6:$B$505,$A22)))</f>
        <v>0</v>
      </c>
      <c r="AR22" s="117">
        <f>IF($A22="","",IF($J22=0,"n.b.",SUMIFS(STG_ZPMW03!$CP$6:$CP$505,STG_ZPMW03!$B$6:$B$505,$A22)))</f>
        <v>0</v>
      </c>
      <c r="AS22" s="117">
        <f>IF($A22="","",IF($J22=0,"n.b.",SUMIFS(STG_ZPMW03!$CR$6:$CR$505,STG_ZPMW03!$B$6:$B$505,$A22)))</f>
        <v>0</v>
      </c>
      <c r="AT22" s="117">
        <f>IF($A22="","",IF($K22=0,"n.b.",SUMIFS(STG_Woningetalage!$Q$6:$Q$505,STG_Woningetalage!$B$6:$B$505,$A22)))</f>
        <v>84</v>
      </c>
      <c r="AU22" s="117">
        <f>IF($A22="","",IF($K22=0,"n.b.",SUMIFS(STG_Woningetalage!$R$6:$R$505,STG_Woningetalage!$B$6:$B$505,$A22)))</f>
        <v>0</v>
      </c>
      <c r="AV22" s="117">
        <f>IF($A22="","",IF($K22=0,"n.b.",SUMIFS(STG_Woningetalage!$S$6:$S$505,STG_Woningetalage!$B$6:$B$505,$A22)))</f>
        <v>0</v>
      </c>
      <c r="AW22" s="117">
        <f>IF($A22="","",IF($K22=0,"n.b.",SUMIFS(STG_Woningetalage!$T$6:$T$505,STG_Woningetalage!$B$6:$B$505,$A22)))</f>
        <v>0</v>
      </c>
      <c r="AX22" s="117">
        <f>IF($A22="","",IF($K22=0,"n.b.",SUMIFS(STG_Woningetalage!$U$6:$U$505,STG_Woningetalage!$B$6:$B$505,$A22)))</f>
        <v>18</v>
      </c>
      <c r="AY22" s="117">
        <f>IF($A22="","",IF($K22=0,"n.b.",SUMIFS(STG_Woningetalage!$V$6:$V$505,STG_Woningetalage!$B$6:$B$505,$A22)))</f>
        <v>0</v>
      </c>
      <c r="AZ22" s="117">
        <f>IF($A22="","",IF($K22=0,"n.b.",SUMIFS(STG_Woningetalage!$W$6:$W$505,STG_Woningetalage!$B$6:$B$505,$A22)))</f>
        <v>18</v>
      </c>
      <c r="BA22" s="117">
        <f>IF($A22="","",IF($K22=0,"n.b.",SUMIFS(STG_Woningetalage!$X$6:$X$505,STG_Woningetalage!$B$6:$B$505,$A22)))</f>
        <v>18</v>
      </c>
      <c r="BB22" s="117">
        <f>IF($A22="","",IF($K22=0,"n.b.",SUMIFS(STG_Woningetalage!$Y$6:$Y$505,STG_Woningetalage!$B$6:$B$505,$A22)))</f>
        <v>0</v>
      </c>
      <c r="BC22" s="117">
        <f>IF($A22="","",IF($K22=0,"n.b.",SUMIFS(STG_Woningetalage!$Z$6:$Z$505,STG_Woningetalage!$B$6:$B$505,$A22)))</f>
        <v>18</v>
      </c>
      <c r="BD22" s="117">
        <f>IF($A22="","",IF($K22=0,"n.b.",SUMIFS(STG_Woningetalage!$AA$6:$AA$505,STG_Woningetalage!$B$6:$B$505,$A22)))</f>
        <v>66</v>
      </c>
      <c r="BE22" s="117">
        <f>IF($A22="","",IF($K22=0,"n.b.",SUMIFS(STG_Woningetalage!$AB$6:$AB$505,STG_Woningetalage!$B$6:$B$505,$A22)))</f>
        <v>1</v>
      </c>
      <c r="BF22" s="117">
        <f>IF($A22="","",IF($K22=0,"n.b.",SUMIFS(STG_Woningetalage!$AC$6:$AC$505,STG_Woningetalage!$B$6:$B$505,$A22)))</f>
        <v>1</v>
      </c>
      <c r="BG22" s="117">
        <f>IF($A22="","",IF($K22=0,"n.b.",SUMIFS(STG_Woningetalage!$AD$6:$AD$505,STG_Woningetalage!$B$6:$B$505,$A22)))</f>
        <v>2</v>
      </c>
      <c r="BH22" s="117">
        <f>IF($A22="","",IF($K22=0,"n.b.",SUMIFS(STG_Woningetalage!$AE$6:$AE$505,STG_Woningetalage!$B$6:$B$505,$A22)))</f>
        <v>2</v>
      </c>
      <c r="BI22" s="117">
        <f>IF($A22="","",IF($K22=0,"n.b.",SUMIFS(STG_Woningetalage!$AF$6:$AF$505,STG_Woningetalage!$B$6:$B$505,$A22)))</f>
        <v>3</v>
      </c>
      <c r="BJ22" s="117">
        <f>IF($A22="","",IF($K22=0,"n.b.",SUMIFS(STG_Woningetalage!$AG$6:$AG$505,STG_Woningetalage!$B$6:$B$505,$A22)))</f>
        <v>2</v>
      </c>
      <c r="BK22" s="117">
        <f>IF($A22="","",IF($K22=0,"n.b.",SUMIFS(STG_Woningetalage!$AH$6:$AH$505,STG_Woningetalage!$B$6:$B$505,$A22)))</f>
        <v>2</v>
      </c>
      <c r="BL22" s="117">
        <f>IF($A22="","",IF($K22=0,"n.b.",SUMIFS(STG_Woningetalage!$AI$6:$AI$505,STG_Woningetalage!$B$6:$B$505,$A22)))</f>
        <v>3</v>
      </c>
      <c r="BM22" s="117">
        <f>IF($A22="","",IF($K22=0,"n.b.",SUMIFS(STG_Woningetalage!$AJ$6:$AJ$505,STG_Woningetalage!$B$6:$B$505,$A22)))</f>
        <v>2</v>
      </c>
      <c r="BN22" s="117">
        <f>IF($A22="","",IF($K22=0,"n.b.",SUMIFS(STG_Woningetalage!$AK$6:$AK$505,STG_Woningetalage!$B$6:$B$505,$A22)))</f>
        <v>1</v>
      </c>
      <c r="BO22" s="117">
        <f>IF($A22="","",IF($K22=0,"n.b.",SUMIFS(STG_Woningetalage!$AL$6:$AL$505,STG_Woningetalage!$B$6:$B$505,$A22)))</f>
        <v>1</v>
      </c>
      <c r="BP22" s="117">
        <f>IF($A22="","",IF($K22=0,"n.b.",SUMIFS(STG_Woningetalage!$AM$6:$AM$505,STG_Woningetalage!$B$6:$B$505,$A22)))</f>
        <v>8</v>
      </c>
      <c r="BQ22" s="117">
        <f>IF($A22="","",IF($K22=0,"n.b.",SUMIFS(STG_Woningetalage!$BE$6:$BE$505,STG_Woningetalage!$B$6:$B$505,$A22)))</f>
        <v>4</v>
      </c>
      <c r="BR22" s="117">
        <f>IF($A22="","",IF($K22=0,"n.b.",SUMIFS(STG_Woningetalage!$BF$6:$BF$505,STG_Woningetalage!$B$6:$B$505,$A22)))</f>
        <v>7</v>
      </c>
      <c r="BS22" s="117">
        <f>IF($A22="","",IF($K22=0,"n.b.",SUMIFS(STG_Woningetalage!$BG$6:$BG$505,STG_Woningetalage!$B$6:$B$505,$A22)))</f>
        <v>7</v>
      </c>
      <c r="BT22" s="117">
        <f>IF($A22="","",IF($K22=0,"n.b.",SUMIFS(STG_Woningetalage!$BH$6:$BH$505,STG_Woningetalage!$B$6:$B$505,$A22)))</f>
        <v>10</v>
      </c>
      <c r="BU22" s="117">
        <f>IF($A22="","",IF($K22=0,"n.b.",SUMIFS(STG_Woningetalage!$BI$6:$BI$505,STG_Woningetalage!$B$6:$B$505,$A22)))</f>
        <v>18</v>
      </c>
      <c r="BV22" s="117">
        <f>IF($A22="","",IF($K22=0,"n.b.",SUMIFS(STG_Woningetalage!$BJ$6:$BJ$505,STG_Woningetalage!$B$6:$B$505,$A22)))</f>
        <v>10</v>
      </c>
      <c r="BW22" s="117">
        <f>IF($A22="","",IF($K22=0,"n.b.",SUMIFS(STG_Woningetalage!$AR$6:$AR$505,STG_Woningetalage!$B$6:$B$505,$A22)))</f>
        <v>28</v>
      </c>
      <c r="BX22" s="117">
        <f>IF($A22="","",IF($K22=0,"n.b.",SUMIFS(STG_Woningetalage!$AS$6:$AS$505,STG_Woningetalage!$B$6:$B$505,$A22)))</f>
        <v>37</v>
      </c>
      <c r="BY22" s="117">
        <f>IF($A22="","",IF($K22=0,"n.b.",SUMIFS(STG_Woningetalage!$AN$6:$AN$505,STG_Woningetalage!$B$6:$B$505,$A22)))</f>
        <v>11</v>
      </c>
      <c r="BZ22" s="117">
        <f>IF($A22="","",IF($K22=0,"n.b.",SUMIFS(STG_Woningetalage!$AO$6:$AO$505,STG_Woningetalage!$B$6:$B$505,$A22)))</f>
        <v>9</v>
      </c>
      <c r="CA22" s="117">
        <f>IF($A22="","",IF($K22=0,"n.b.",SUMIFS(STG_Woningetalage!$AP$6:$AP$505,STG_Woningetalage!$B$6:$B$505,$A22)))</f>
        <v>9</v>
      </c>
      <c r="CB22" s="117">
        <f>IF($A22="","",IF($K22=0,"n.b.",SUMIFS(STG_Woningetalage!$AQ$6:$AQ$505,STG_Woningetalage!$B$6:$B$505,$A22)))</f>
        <v>8</v>
      </c>
      <c r="CC22" s="117">
        <f>IF($A22="","",IF($K22=0,"n.b.",SUMIFS(STG_Woningetalage!$AU$6:$AU$505,STG_Woningetalage!$B$6:$B$505,$A22)))</f>
        <v>19</v>
      </c>
      <c r="CD22" s="92">
        <f>IF($A22="","",IFERROR(INDEX(STG_ZPMW03!$L$6:$L$505,MATCH($A22,STG_ZPMW03!$B$6:$B$505,0)),"n.b."))</f>
        <v>80</v>
      </c>
      <c r="CE22" s="92" t="str">
        <f>IF($A22="","",IFERROR(INDEX(STG_ZPMW03!$K$6:$K$505,MATCH($A22,STG_ZPMW03!$B$6:$B$505,0)),"n.b."))</f>
        <v>VRIJ BLOK</v>
      </c>
      <c r="CF22" s="92">
        <f>IF($A22="","",IFERROR(INDEX(STG_ZPMW03!$BH$6:$BH$505,MATCH($A22,STG_ZPMW03!$B$6:$B$505,0)),"n.b."))</f>
        <v>46600.0</v>
      </c>
      <c r="CG22" s="92">
        <f>IF($A22="","",IFERROR(INDEX(STG_ZPMW03!$BI$6:$BI$505,MATCH($A22,STG_ZPMW03!$B$6:$B$505,0)),"n.b."))</f>
        <v>202912</v>
      </c>
      <c r="CH22" s="92">
        <f>IF($A22="","",IFERROR(INDEX(STG_ZPMW03!$BJ$6:$BJ$505,MATCH($A22,STG_ZPMW03!$B$6:$B$505,0)),"n.b."))</f>
        <v>2</v>
      </c>
      <c r="CI22" s="92">
        <f>IF($A22="","",IFERROR(INDEX(STG_ZPMW03!$BF$6:$BF$505,MATCH($A22,STG_ZPMW03!$B$6:$B$505,0)),"n.b."))</f>
        <v>16.25</v>
      </c>
      <c r="CJ22" s="92">
        <f>IF($A22="","",IFERROR(INDEX(STG_ZPMW03!$BG$6:$BG$505,MATCH($A22,STG_ZPMW03!$B$6:$B$505,0)),"n.b."))</f>
        <v>46235.0</v>
      </c>
      <c r="CK22" s="92" t="str">
        <f>IF($A22="","",IFERROR(INDEX(STG_ZPMW03!$H$6:$H$505,MATCH($A22,STG_ZPMW03!$B$6:$B$505,0)),"n.b."))</f>
        <v>WO-Wonen</v>
      </c>
      <c r="CL22" s="92" t="str">
        <f>IF($A22="","",IFERROR(INDEX(STG_ZPMW03!$E$6:$E$505,MATCH($A22,STG_ZPMW03!$B$6:$B$505,0)),"n.b."))</f>
        <v>Demo Ontwikkeling BV</v>
      </c>
      <c r="CM22" s="92" t="str">
        <f>IF($A22="","",IFERROR(INDEX(STG_ZPMW03!$G$6:$G$505,MATCH($A22,STG_ZPMW03!$B$6:$B$505,0)),"n.b."))</f>
        <v>Demo Regio</v>
      </c>
      <c r="CN22" s="92">
        <f>IF($A22="","",IFERROR(INDEX(STG_Woningetalage!$N$6:$N$505,MATCH($A22,STG_Woningetalage!$B$6:$B$505,0)),"n.b."))</f>
        <v>45931.0</v>
      </c>
      <c r="CO22" s="92">
        <f>IF($A22="","",IFERROR(INDEX(STG_Woningetalage!$P$6:$P$505,MATCH($A22,STG_Woningetalage!$B$6:$B$505,0)),"n.b."))</f>
        <v>47453.0</v>
      </c>
      <c r="CP22" s="118">
        <f>IF($A22="","",IF(AND(ISNUMBER(AT22),ISNUMBER(F22)),IF(F22&gt;0,AT22/(F22/100),"n.b."),"n.b."))</f>
        <v>84</v>
      </c>
      <c r="CQ22" s="116">
        <f>IF($A22="","",IF(ISNUMBER(Q22),IF(Q22&lt;0,1,0),0))</f>
        <v>0</v>
      </c>
      <c r="CR22" s="116" t="str">
        <f>IF(CQ22=1,COUNTIF($CQ$6:CQ22,1),"")</f>
        <v/>
      </c>
      <c r="CS22" s="116" t="str">
        <f>IF(AND($A22&lt;&gt;"",$J22=0),COUNTIFS($A$6:$A22,"?*",$J$6:$J22,0),"")</f>
        <v/>
      </c>
      <c r="CT22" s="119">
        <f>IF($A22="","",IF(AND(ISNUMBER(Q22),ISNUMBER(P22)),IF(P22&lt;&gt;0,Q22/P22,"n.b."),"n.b."))</f>
        <v>0.1</v>
      </c>
    </row>
    <row r="23">
      <c r="A23" s="92" t="str">
        <f>IF(Mapping!$A22="","",Mapping!$A22)</f>
        <v>G.900018.8.9090</v>
      </c>
      <c r="B23" s="92" t="str">
        <f>IF(Mapping!$B22="","",Mapping!$B22)</f>
        <v>G.900018</v>
      </c>
      <c r="C23" s="92" t="str">
        <f>IF(Mapping!$C22="","",Mapping!$C22)</f>
        <v>Meerhovenstad, De Boog</v>
      </c>
      <c r="D23" s="92" t="str">
        <f>IF(Mapping!$F22="","",Mapping!$F22)</f>
        <v>Deelneming</v>
      </c>
      <c r="E23" s="92" t="str">
        <f>IF(Mapping!$H22="","",Mapping!$H22)</f>
        <v>Appartement</v>
      </c>
      <c r="F23" s="92">
        <f>IF(Mapping!$E22="","",Mapping!$E22)</f>
        <v>50</v>
      </c>
      <c r="G23" s="92" t="str">
        <f>IF(Mapping!$G22="","",Mapping!$G22)</f>
        <v>Ja</v>
      </c>
      <c r="H23" s="92">
        <f>IF(Mapping!$D22="","",Mapping!$D22)</f>
        <v>56</v>
      </c>
      <c r="I23" s="92" t="str">
        <f>IF($A23="","",IFERROR(INDEX(STG_ZPMW03!$C$6:$C$505,MATCH($A23,STG_ZPMW03!$B$6:$B$505,0)),"n.b."))</f>
        <v>N</v>
      </c>
      <c r="J23" s="116">
        <f>IF($A23="","",COUNTIF(STG_ZPMW03!$B$6:$B$505,$A23))</f>
        <v>1</v>
      </c>
      <c r="K23" s="116">
        <f>IF($A23="","",COUNTIF(STG_Woningetalage!$B$6:$B$505,$A23))</f>
        <v>1</v>
      </c>
      <c r="L23" s="117">
        <f>IF($A23="","",IF($J23=0,"n.b.",SUMIFS(STG_ZPMW03!$BK$6:$BK$505,STG_ZPMW03!$B$6:$B$505,$A23)))</f>
        <v>1173900</v>
      </c>
      <c r="M23" s="117">
        <f>IF($A23="","",IF($J23=0,"n.b.",SUMIFS(STG_ZPMW03!$BL$6:$BL$505,STG_ZPMW03!$B$6:$B$505,$A23)))</f>
        <v>-35217</v>
      </c>
      <c r="N23" s="117">
        <f>IF($A23="","",IF($J23=0,"n.b.",SUMIFS(STG_ZPMW03!$BM$6:$BM$505,STG_ZPMW03!$B$6:$B$505,$A23)))</f>
        <v>632100</v>
      </c>
      <c r="O23" s="117">
        <f>IF($A23="","",IF($J23=0,"n.b.",SUMIFS(STG_ZPMW03!$BN$6:$BN$505,STG_ZPMW03!$B$6:$B$505,$A23)))</f>
        <v>-18963</v>
      </c>
      <c r="P23" s="117">
        <f>IF($A23="","",IF($J23=0,"n.b.",SUMIFS(STG_ZPMW03!$BO$6:$BO$505,STG_ZPMW03!$B$6:$B$505,$A23)))</f>
        <v>1806000</v>
      </c>
      <c r="Q23" s="117">
        <f>IF($A23="","",IF($J23=0,"n.b.",SUMIFS(STG_ZPMW03!$BP$6:$BP$505,STG_ZPMW03!$B$6:$B$505,$A23)))</f>
        <v>-54180</v>
      </c>
      <c r="R23" s="117">
        <f>IF($A23="","",IF($J23=0,"n.b.",SUMIFS(STG_ZPMW03!$BQ$6:$BQ$505,STG_ZPMW03!$B$6:$B$505,$A23)))</f>
        <v>6652100</v>
      </c>
      <c r="S23" s="117">
        <f>IF($A23="","",IF($J23=0,"n.b.",SUMIFS(STG_ZPMW03!$BR$6:$BR$505,STG_ZPMW03!$B$6:$B$505,$A23)))</f>
        <v>-199563</v>
      </c>
      <c r="T23" s="117">
        <f>IF($A23="","",IF($J23=0,"n.b.",SUMIFS(STG_ZPMW03!$BS$6:$BS$505,STG_ZPMW03!$B$6:$B$505,$A23)))</f>
        <v>632100</v>
      </c>
      <c r="U23" s="117">
        <f>IF($A23="","",IF($J23=0,"n.b.",SUMIFS(STG_ZPMW03!$BT$6:$BT$505,STG_ZPMW03!$B$6:$B$505,$A23)))</f>
        <v>-18963</v>
      </c>
      <c r="V23" s="117">
        <f>IF($A23="","",IF($J23=0,"n.b.",SUMIFS(STG_ZPMW03!$BU$6:$BU$505,STG_ZPMW03!$B$6:$B$505,$A23)))</f>
        <v>1330420</v>
      </c>
      <c r="W23" s="117">
        <f>IF($A23="","",IF($J23=0,"n.b.",SUMIFS(STG_ZPMW03!$BW$6:$BW$505,STG_ZPMW03!$B$6:$B$505,$A23)))</f>
        <v>1663025</v>
      </c>
      <c r="X23" s="117">
        <f>IF($A23="","",IF($J23=0,"n.b.",SUMIFS(STG_ZPMW03!$BY$6:$BY$505,STG_ZPMW03!$B$6:$B$505,$A23)))</f>
        <v>1995630</v>
      </c>
      <c r="Y23" s="117">
        <f>IF($A23="","",IF($J23=0,"n.b.",SUMIFS(STG_ZPMW03!$CA$6:$CA$505,STG_ZPMW03!$B$6:$B$505,$A23)))</f>
        <v>1663025</v>
      </c>
      <c r="Z23" s="117">
        <f>IF($A23="","",IF($J23=0,"n.b.",SUMIFS(STG_ZPMW03!$BV$6:$BV$505,STG_ZPMW03!$B$6:$B$505,$A23)))</f>
        <v>-39912.6</v>
      </c>
      <c r="AA23" s="117">
        <f>IF($A23="","",IF($J23=0,"n.b.",SUMIFS(STG_ZPMW03!$BX$6:$BX$505,STG_ZPMW03!$B$6:$B$505,$A23)))</f>
        <v>-49890.75</v>
      </c>
      <c r="AB23" s="117">
        <f>IF($A23="","",IF($J23=0,"n.b.",SUMIFS(STG_ZPMW03!$BZ$6:$BZ$505,STG_ZPMW03!$B$6:$B$505,$A23)))</f>
        <v>-59868.9</v>
      </c>
      <c r="AC23" s="117">
        <f>IF($A23="","",IF($J23=0,"n.b.",SUMIFS(STG_ZPMW03!$CB$6:$CB$505,STG_ZPMW03!$B$6:$B$505,$A23)))</f>
        <v>-49890.75</v>
      </c>
      <c r="AD23" s="117">
        <f>IF($A23="","",IF($J23=0,"n.b.",SUMIFS(STG_ZPMW03!$CC$6:$CC$505,STG_ZPMW03!$B$6:$B$505,$A23)))</f>
        <v>3581900</v>
      </c>
      <c r="AE23" s="117">
        <f>IF($A23="","",IF($J23=0,"n.b.",SUMIFS(STG_ZPMW03!$CE$6:$CE$505,STG_ZPMW03!$B$6:$B$505,$A23)))</f>
        <v>0</v>
      </c>
      <c r="AF23" s="117">
        <f>IF($A23="","",IF($J23=0,"n.b.",SUMIFS(STG_ZPMW03!$CG$6:$CG$505,STG_ZPMW03!$B$6:$B$505,$A23)))</f>
        <v>0</v>
      </c>
      <c r="AG23" s="117">
        <f>IF($A23="","",IF($J23=0,"n.b.",SUMIFS(STG_ZPMW03!$CI$6:$CI$505,STG_ZPMW03!$B$6:$B$505,$A23)))</f>
        <v>0</v>
      </c>
      <c r="AH23" s="117">
        <f>IF($A23="","",IF($J23=0,"n.b.",SUMIFS(STG_ZPMW03!$CK$6:$CK$505,STG_ZPMW03!$B$6:$B$505,$A23)))</f>
        <v>0</v>
      </c>
      <c r="AI23" s="117">
        <f>IF($A23="","",IF($J23=0,"n.b.",SUMIFS(STG_ZPMW03!$CM$6:$CM$505,STG_ZPMW03!$B$6:$B$505,$A23)))</f>
        <v>0</v>
      </c>
      <c r="AJ23" s="117">
        <f>IF($A23="","",IF($J23=0,"n.b.",SUMIFS(STG_ZPMW03!$CO$6:$CO$505,STG_ZPMW03!$B$6:$B$505,$A23)))</f>
        <v>0</v>
      </c>
      <c r="AK23" s="117">
        <f>IF($A23="","",IF($J23=0,"n.b.",SUMIFS(STG_ZPMW03!$CQ$6:$CQ$505,STG_ZPMW03!$B$6:$B$505,$A23)))</f>
        <v>0</v>
      </c>
      <c r="AL23" s="117">
        <f>IF($A23="","",IF($J23=0,"n.b.",SUMIFS(STG_ZPMW03!$CD$6:$CD$505,STG_ZPMW03!$B$6:$B$505,$A23)))</f>
        <v>-107457</v>
      </c>
      <c r="AM23" s="117">
        <f>IF($A23="","",IF($J23=0,"n.b.",SUMIFS(STG_ZPMW03!$CF$6:$CF$505,STG_ZPMW03!$B$6:$B$505,$A23)))</f>
        <v>0</v>
      </c>
      <c r="AN23" s="117">
        <f>IF($A23="","",IF($J23=0,"n.b.",SUMIFS(STG_ZPMW03!$CH$6:$CH$505,STG_ZPMW03!$B$6:$B$505,$A23)))</f>
        <v>0</v>
      </c>
      <c r="AO23" s="117">
        <f>IF($A23="","",IF($J23=0,"n.b.",SUMIFS(STG_ZPMW03!$CJ$6:$CJ$505,STG_ZPMW03!$B$6:$B$505,$A23)))</f>
        <v>0</v>
      </c>
      <c r="AP23" s="117">
        <f>IF($A23="","",IF($J23=0,"n.b.",SUMIFS(STG_ZPMW03!$CL$6:$CL$505,STG_ZPMW03!$B$6:$B$505,$A23)))</f>
        <v>0</v>
      </c>
      <c r="AQ23" s="117">
        <f>IF($A23="","",IF($J23=0,"n.b.",SUMIFS(STG_ZPMW03!$CN$6:$CN$505,STG_ZPMW03!$B$6:$B$505,$A23)))</f>
        <v>0</v>
      </c>
      <c r="AR23" s="117">
        <f>IF($A23="","",IF($J23=0,"n.b.",SUMIFS(STG_ZPMW03!$CP$6:$CP$505,STG_ZPMW03!$B$6:$B$505,$A23)))</f>
        <v>0</v>
      </c>
      <c r="AS23" s="117">
        <f>IF($A23="","",IF($J23=0,"n.b.",SUMIFS(STG_ZPMW03!$CR$6:$CR$505,STG_ZPMW03!$B$6:$B$505,$A23)))</f>
        <v>0</v>
      </c>
      <c r="AT23" s="117">
        <f>IF($A23="","",IF($K23=0,"n.b.",SUMIFS(STG_Woningetalage!$Q$6:$Q$505,STG_Woningetalage!$B$6:$B$505,$A23)))</f>
        <v>56</v>
      </c>
      <c r="AU23" s="117">
        <f>IF($A23="","",IF($K23=0,"n.b.",SUMIFS(STG_Woningetalage!$R$6:$R$505,STG_Woningetalage!$B$6:$B$505,$A23)))</f>
        <v>0</v>
      </c>
      <c r="AV23" s="117">
        <f>IF($A23="","",IF($K23=0,"n.b.",SUMIFS(STG_Woningetalage!$S$6:$S$505,STG_Woningetalage!$B$6:$B$505,$A23)))</f>
        <v>0</v>
      </c>
      <c r="AW23" s="117">
        <f>IF($A23="","",IF($K23=0,"n.b.",SUMIFS(STG_Woningetalage!$T$6:$T$505,STG_Woningetalage!$B$6:$B$505,$A23)))</f>
        <v>0</v>
      </c>
      <c r="AX23" s="117">
        <f>IF($A23="","",IF($K23=0,"n.b.",SUMIFS(STG_Woningetalage!$U$6:$U$505,STG_Woningetalage!$B$6:$B$505,$A23)))</f>
        <v>0</v>
      </c>
      <c r="AY23" s="117">
        <f>IF($A23="","",IF($K23=0,"n.b.",SUMIFS(STG_Woningetalage!$V$6:$V$505,STG_Woningetalage!$B$6:$B$505,$A23)))</f>
        <v>9</v>
      </c>
      <c r="AZ23" s="117">
        <f>IF($A23="","",IF($K23=0,"n.b.",SUMIFS(STG_Woningetalage!$W$6:$W$505,STG_Woningetalage!$B$6:$B$505,$A23)))</f>
        <v>9</v>
      </c>
      <c r="BA23" s="117">
        <f>IF($A23="","",IF($K23=0,"n.b.",SUMIFS(STG_Woningetalage!$X$6:$X$505,STG_Woningetalage!$B$6:$B$505,$A23)))</f>
        <v>0</v>
      </c>
      <c r="BB23" s="117">
        <f>IF($A23="","",IF($K23=0,"n.b.",SUMIFS(STG_Woningetalage!$Y$6:$Y$505,STG_Woningetalage!$B$6:$B$505,$A23)))</f>
        <v>9</v>
      </c>
      <c r="BC23" s="117">
        <f>IF($A23="","",IF($K23=0,"n.b.",SUMIFS(STG_Woningetalage!$Z$6:$Z$505,STG_Woningetalage!$B$6:$B$505,$A23)))</f>
        <v>9</v>
      </c>
      <c r="BD23" s="117">
        <f>IF($A23="","",IF($K23=0,"n.b.",SUMIFS(STG_Woningetalage!$AA$6:$AA$505,STG_Woningetalage!$B$6:$B$505,$A23)))</f>
        <v>47</v>
      </c>
      <c r="BE23" s="117">
        <f>IF($A23="","",IF($K23=0,"n.b.",SUMIFS(STG_Woningetalage!$AB$6:$AB$505,STG_Woningetalage!$B$6:$B$505,$A23)))</f>
        <v>0</v>
      </c>
      <c r="BF23" s="117">
        <f>IF($A23="","",IF($K23=0,"n.b.",SUMIFS(STG_Woningetalage!$AC$6:$AC$505,STG_Woningetalage!$B$6:$B$505,$A23)))</f>
        <v>0</v>
      </c>
      <c r="BG23" s="117">
        <f>IF($A23="","",IF($K23=0,"n.b.",SUMIFS(STG_Woningetalage!$AD$6:$AD$505,STG_Woningetalage!$B$6:$B$505,$A23)))</f>
        <v>1</v>
      </c>
      <c r="BH23" s="117">
        <f>IF($A23="","",IF($K23=0,"n.b.",SUMIFS(STG_Woningetalage!$AE$6:$AE$505,STG_Woningetalage!$B$6:$B$505,$A23)))</f>
        <v>1</v>
      </c>
      <c r="BI23" s="117">
        <f>IF($A23="","",IF($K23=0,"n.b.",SUMIFS(STG_Woningetalage!$AF$6:$AF$505,STG_Woningetalage!$B$6:$B$505,$A23)))</f>
        <v>2</v>
      </c>
      <c r="BJ23" s="117">
        <f>IF($A23="","",IF($K23=0,"n.b.",SUMIFS(STG_Woningetalage!$AG$6:$AG$505,STG_Woningetalage!$B$6:$B$505,$A23)))</f>
        <v>1</v>
      </c>
      <c r="BK23" s="117">
        <f>IF($A23="","",IF($K23=0,"n.b.",SUMIFS(STG_Woningetalage!$AH$6:$AH$505,STG_Woningetalage!$B$6:$B$505,$A23)))</f>
        <v>1</v>
      </c>
      <c r="BL23" s="117">
        <f>IF($A23="","",IF($K23=0,"n.b.",SUMIFS(STG_Woningetalage!$AI$6:$AI$505,STG_Woningetalage!$B$6:$B$505,$A23)))</f>
        <v>2</v>
      </c>
      <c r="BM23" s="117">
        <f>IF($A23="","",IF($K23=0,"n.b.",SUMIFS(STG_Woningetalage!$AJ$6:$AJ$505,STG_Woningetalage!$B$6:$B$505,$A23)))</f>
        <v>1</v>
      </c>
      <c r="BN23" s="117">
        <f>IF($A23="","",IF($K23=0,"n.b.",SUMIFS(STG_Woningetalage!$AK$6:$AK$505,STG_Woningetalage!$B$6:$B$505,$A23)))</f>
        <v>0</v>
      </c>
      <c r="BO23" s="117">
        <f>IF($A23="","",IF($K23=0,"n.b.",SUMIFS(STG_Woningetalage!$AL$6:$AL$505,STG_Woningetalage!$B$6:$B$505,$A23)))</f>
        <v>0</v>
      </c>
      <c r="BP23" s="117">
        <f>IF($A23="","",IF($K23=0,"n.b.",SUMIFS(STG_Woningetalage!$AM$6:$AM$505,STG_Woningetalage!$B$6:$B$505,$A23)))</f>
        <v>9</v>
      </c>
      <c r="BQ23" s="117">
        <f>IF($A23="","",IF($K23=0,"n.b.",SUMIFS(STG_Woningetalage!$BE$6:$BE$505,STG_Woningetalage!$B$6:$B$505,$A23)))</f>
        <v>1</v>
      </c>
      <c r="BR23" s="117">
        <f>IF($A23="","",IF($K23=0,"n.b.",SUMIFS(STG_Woningetalage!$BF$6:$BF$505,STG_Woningetalage!$B$6:$B$505,$A23)))</f>
        <v>4</v>
      </c>
      <c r="BS23" s="117">
        <f>IF($A23="","",IF($K23=0,"n.b.",SUMIFS(STG_Woningetalage!$BG$6:$BG$505,STG_Woningetalage!$B$6:$B$505,$A23)))</f>
        <v>4</v>
      </c>
      <c r="BT23" s="117">
        <f>IF($A23="","",IF($K23=0,"n.b.",SUMIFS(STG_Woningetalage!$BH$6:$BH$505,STG_Woningetalage!$B$6:$B$505,$A23)))</f>
        <v>9</v>
      </c>
      <c r="BU23" s="117">
        <f>IF($A23="","",IF($K23=0,"n.b.",SUMIFS(STG_Woningetalage!$BI$6:$BI$505,STG_Woningetalage!$B$6:$B$505,$A23)))</f>
        <v>9</v>
      </c>
      <c r="BV23" s="117">
        <f>IF($A23="","",IF($K23=0,"n.b.",SUMIFS(STG_Woningetalage!$BJ$6:$BJ$505,STG_Woningetalage!$B$6:$B$505,$A23)))</f>
        <v>9</v>
      </c>
      <c r="BW23" s="117">
        <f>IF($A23="","",IF($K23=0,"n.b.",SUMIFS(STG_Woningetalage!$AR$6:$AR$505,STG_Woningetalage!$B$6:$B$505,$A23)))</f>
        <v>18</v>
      </c>
      <c r="BX23" s="117">
        <f>IF($A23="","",IF($K23=0,"n.b.",SUMIFS(STG_Woningetalage!$AS$6:$AS$505,STG_Woningetalage!$B$6:$B$505,$A23)))</f>
        <v>25</v>
      </c>
      <c r="BY23" s="117">
        <f>IF($A23="","",IF($K23=0,"n.b.",SUMIFS(STG_Woningetalage!$AN$6:$AN$505,STG_Woningetalage!$B$6:$B$505,$A23)))</f>
        <v>7</v>
      </c>
      <c r="BZ23" s="117">
        <f>IF($A23="","",IF($K23=0,"n.b.",SUMIFS(STG_Woningetalage!$AO$6:$AO$505,STG_Woningetalage!$B$6:$B$505,$A23)))</f>
        <v>6</v>
      </c>
      <c r="CA23" s="117">
        <f>IF($A23="","",IF($K23=0,"n.b.",SUMIFS(STG_Woningetalage!$AP$6:$AP$505,STG_Woningetalage!$B$6:$B$505,$A23)))</f>
        <v>6</v>
      </c>
      <c r="CB23" s="117">
        <f>IF($A23="","",IF($K23=0,"n.b.",SUMIFS(STG_Woningetalage!$AQ$6:$AQ$505,STG_Woningetalage!$B$6:$B$505,$A23)))</f>
        <v>6</v>
      </c>
      <c r="CC23" s="117">
        <f>IF($A23="","",IF($K23=0,"n.b.",SUMIFS(STG_Woningetalage!$AU$6:$AU$505,STG_Woningetalage!$B$6:$B$505,$A23)))</f>
        <v>13</v>
      </c>
      <c r="CD23" s="92">
        <f>IF($A23="","",IFERROR(INDEX(STG_ZPMW03!$L$6:$L$505,MATCH($A23,STG_ZPMW03!$B$6:$B$505,0)),"n.b."))</f>
        <v>60</v>
      </c>
      <c r="CE23" s="92" t="str">
        <f>IF($A23="","",IFERROR(INDEX(STG_ZPMW03!$K$6:$K$505,MATCH($A23,STG_ZPMW03!$B$6:$B$505,0)),"n.b."))</f>
        <v>VRIJ BLOK</v>
      </c>
      <c r="CF23" s="92">
        <f>IF($A23="","",IFERROR(INDEX(STG_ZPMW03!$BH$6:$BH$505,MATCH($A23,STG_ZPMW03!$B$6:$B$505,0)),"n.b."))</f>
        <v>46631.0</v>
      </c>
      <c r="CG23" s="92">
        <f>IF($A23="","",IFERROR(INDEX(STG_ZPMW03!$BI$6:$BI$505,MATCH($A23,STG_ZPMW03!$B$6:$B$505,0)),"n.b."))</f>
        <v>202912</v>
      </c>
      <c r="CH23" s="92">
        <f>IF($A23="","",IFERROR(INDEX(STG_ZPMW03!$BJ$6:$BJ$505,MATCH($A23,STG_ZPMW03!$B$6:$B$505,0)),"n.b."))</f>
        <v>3</v>
      </c>
      <c r="CI23" s="92">
        <f>IF($A23="","",IFERROR(INDEX(STG_ZPMW03!$BF$6:$BF$505,MATCH($A23,STG_ZPMW03!$B$6:$B$505,0)),"n.b."))</f>
        <v>9.75</v>
      </c>
      <c r="CJ23" s="92">
        <f>IF($A23="","",IFERROR(INDEX(STG_ZPMW03!$BG$6:$BG$505,MATCH($A23,STG_ZPMW03!$B$6:$B$505,0)),"n.b."))</f>
        <v>46266.0</v>
      </c>
      <c r="CK23" s="92" t="str">
        <f>IF($A23="","",IFERROR(INDEX(STG_ZPMW03!$H$6:$H$505,MATCH($A23,STG_ZPMW03!$B$6:$B$505,0)),"n.b."))</f>
        <v>WO-Wonen</v>
      </c>
      <c r="CL23" s="92" t="str">
        <f>IF($A23="","",IFERROR(INDEX(STG_ZPMW03!$E$6:$E$505,MATCH($A23,STG_ZPMW03!$B$6:$B$505,0)),"n.b."))</f>
        <v>Demo Gebiedscombinatie BV</v>
      </c>
      <c r="CM23" s="92" t="str">
        <f>IF($A23="","",IFERROR(INDEX(STG_ZPMW03!$G$6:$G$505,MATCH($A23,STG_ZPMW03!$B$6:$B$505,0)),"n.b."))</f>
        <v>Demo Regio</v>
      </c>
      <c r="CN23" s="92">
        <f>IF($A23="","",IFERROR(INDEX(STG_Woningetalage!$N$6:$N$505,MATCH($A23,STG_Woningetalage!$B$6:$B$505,0)),"n.b."))</f>
        <v>45931.0</v>
      </c>
      <c r="CO23" s="92">
        <f>IF($A23="","",IFERROR(INDEX(STG_Woningetalage!$P$6:$P$505,MATCH($A23,STG_Woningetalage!$B$6:$B$505,0)),"n.b."))</f>
        <v>47453.0</v>
      </c>
      <c r="CP23" s="118">
        <f>IF($A23="","",IF(AND(ISNUMBER(AT23),ISNUMBER(F23)),IF(F23&gt;0,AT23/(F23/100),"n.b."),"n.b."))</f>
        <v>112</v>
      </c>
      <c r="CQ23" s="116">
        <f>IF($A23="","",IF(ISNUMBER(Q23),IF(Q23&lt;0,1,0),0))</f>
        <v>1</v>
      </c>
      <c r="CR23" s="116">
        <f>IF(CQ23=1,COUNTIF($CQ$6:CQ23,1),"")</f>
        <v>2</v>
      </c>
      <c r="CS23" s="116" t="str">
        <f>IF(AND($A23&lt;&gt;"",$J23=0),COUNTIFS($A$6:$A23,"?*",$J$6:$J23,0),"")</f>
        <v/>
      </c>
      <c r="CT23" s="119">
        <f>IF($A23="","",IF(AND(ISNUMBER(Q23),ISNUMBER(P23)),IF(P23&lt;&gt;0,Q23/P23,"n.b."),"n.b."))</f>
        <v>-0.03</v>
      </c>
    </row>
    <row r="24">
      <c r="A24" s="92" t="str">
        <f>IF(Mapping!$A23="","",Mapping!$A23)</f>
        <v>G.900019.8.9090</v>
      </c>
      <c r="B24" s="92" t="str">
        <f>IF(Mapping!$B23="","",Mapping!$B23)</f>
        <v>G.900019</v>
      </c>
      <c r="C24" s="92" t="str">
        <f>IF(Mapping!$C23="","",Mapping!$C23)</f>
        <v>Zilverdam, Havenlicht</v>
      </c>
      <c r="D24" s="92" t="str">
        <f>IF(Mapping!$F23="","",Mapping!$F23)</f>
        <v>Opstal</v>
      </c>
      <c r="E24" s="92" t="str">
        <f>IF(Mapping!$H23="","",Mapping!$H23)</f>
        <v>Grondgebonden</v>
      </c>
      <c r="F24" s="92">
        <f>IF(Mapping!$E23="","",Mapping!$E23)</f>
        <v>100</v>
      </c>
      <c r="G24" s="92" t="str">
        <f>IF(Mapping!$G23="","",Mapping!$G23)</f>
        <v>Ja</v>
      </c>
      <c r="H24" s="92">
        <f>IF(Mapping!$D23="","",Mapping!$D23)</f>
        <v>30</v>
      </c>
      <c r="I24" s="92" t="str">
        <f>IF($A24="","",IFERROR(INDEX(STG_ZPMW03!$C$6:$C$505,MATCH($A24,STG_ZPMW03!$B$6:$B$505,0)),"n.b."))</f>
        <v>J</v>
      </c>
      <c r="J24" s="116">
        <f>IF($A24="","",COUNTIF(STG_ZPMW03!$B$6:$B$505,$A24))</f>
        <v>1</v>
      </c>
      <c r="K24" s="116">
        <f>IF($A24="","",COUNTIF(STG_Woningetalage!$B$6:$B$505,$A24))</f>
        <v>1</v>
      </c>
      <c r="L24" s="117">
        <f>IF($A24="","",IF($J24=0,"n.b.",SUMIFS(STG_ZPMW03!$BK$6:$BK$505,STG_ZPMW03!$B$6:$B$505,$A24)))</f>
        <v>4013100</v>
      </c>
      <c r="M24" s="117">
        <f>IF($A24="","",IF($J24=0,"n.b.",SUMIFS(STG_ZPMW03!$BL$6:$BL$505,STG_ZPMW03!$B$6:$B$505,$A24)))</f>
        <v>321048</v>
      </c>
      <c r="N24" s="117">
        <f>IF($A24="","",IF($J24=0,"n.b.",SUMIFS(STG_ZPMW03!$BM$6:$BM$505,STG_ZPMW03!$B$6:$B$505,$A24)))</f>
        <v>2160900</v>
      </c>
      <c r="O24" s="117">
        <f>IF($A24="","",IF($J24=0,"n.b.",SUMIFS(STG_ZPMW03!$BN$6:$BN$505,STG_ZPMW03!$B$6:$B$505,$A24)))</f>
        <v>172872</v>
      </c>
      <c r="P24" s="117">
        <f>IF($A24="","",IF($J24=0,"n.b.",SUMIFS(STG_ZPMW03!$BO$6:$BO$505,STG_ZPMW03!$B$6:$B$505,$A24)))</f>
        <v>6174000</v>
      </c>
      <c r="Q24" s="117">
        <f>IF($A24="","",IF($J24=0,"n.b.",SUMIFS(STG_ZPMW03!$BP$6:$BP$505,STG_ZPMW03!$B$6:$B$505,$A24)))</f>
        <v>493920</v>
      </c>
      <c r="R24" s="117">
        <f>IF($A24="","",IF($J24=0,"n.b.",SUMIFS(STG_ZPMW03!$BQ$6:$BQ$505,STG_ZPMW03!$B$6:$B$505,$A24)))</f>
        <v>5541900</v>
      </c>
      <c r="S24" s="117">
        <f>IF($A24="","",IF($J24=0,"n.b.",SUMIFS(STG_ZPMW03!$BR$6:$BR$505,STG_ZPMW03!$B$6:$B$505,$A24)))</f>
        <v>443352</v>
      </c>
      <c r="T24" s="117">
        <f>IF($A24="","",IF($J24=0,"n.b.",SUMIFS(STG_ZPMW03!$BS$6:$BS$505,STG_ZPMW03!$B$6:$B$505,$A24)))</f>
        <v>2160900</v>
      </c>
      <c r="U24" s="117">
        <f>IF($A24="","",IF($J24=0,"n.b.",SUMIFS(STG_ZPMW03!$BT$6:$BT$505,STG_ZPMW03!$B$6:$B$505,$A24)))</f>
        <v>172872</v>
      </c>
      <c r="V24" s="117">
        <f>IF($A24="","",IF($J24=0,"n.b.",SUMIFS(STG_ZPMW03!$BU$6:$BU$505,STG_ZPMW03!$B$6:$B$505,$A24)))</f>
        <v>1108380</v>
      </c>
      <c r="W24" s="117">
        <f>IF($A24="","",IF($J24=0,"n.b.",SUMIFS(STG_ZPMW03!$BW$6:$BW$505,STG_ZPMW03!$B$6:$B$505,$A24)))</f>
        <v>1385475</v>
      </c>
      <c r="X24" s="117">
        <f>IF($A24="","",IF($J24=0,"n.b.",SUMIFS(STG_ZPMW03!$BY$6:$BY$505,STG_ZPMW03!$B$6:$B$505,$A24)))</f>
        <v>1662570</v>
      </c>
      <c r="Y24" s="117">
        <f>IF($A24="","",IF($J24=0,"n.b.",SUMIFS(STG_ZPMW03!$CA$6:$CA$505,STG_ZPMW03!$B$6:$B$505,$A24)))</f>
        <v>1385475</v>
      </c>
      <c r="Z24" s="117">
        <f>IF($A24="","",IF($J24=0,"n.b.",SUMIFS(STG_ZPMW03!$BV$6:$BV$505,STG_ZPMW03!$B$6:$B$505,$A24)))</f>
        <v>88670.4</v>
      </c>
      <c r="AA24" s="117">
        <f>IF($A24="","",IF($J24=0,"n.b.",SUMIFS(STG_ZPMW03!$BX$6:$BX$505,STG_ZPMW03!$B$6:$B$505,$A24)))</f>
        <v>110838</v>
      </c>
      <c r="AB24" s="117">
        <f>IF($A24="","",IF($J24=0,"n.b.",SUMIFS(STG_ZPMW03!$BZ$6:$BZ$505,STG_ZPMW03!$B$6:$B$505,$A24)))</f>
        <v>133005.6</v>
      </c>
      <c r="AC24" s="117">
        <f>IF($A24="","",IF($J24=0,"n.b.",SUMIFS(STG_ZPMW03!$CB$6:$CB$505,STG_ZPMW03!$B$6:$B$505,$A24)))</f>
        <v>110838</v>
      </c>
      <c r="AD24" s="117">
        <f>IF($A24="","",IF($J24=0,"n.b.",SUMIFS(STG_ZPMW03!$CC$6:$CC$505,STG_ZPMW03!$B$6:$B$505,$A24)))</f>
        <v>2984100</v>
      </c>
      <c r="AE24" s="117">
        <f>IF($A24="","",IF($J24=0,"n.b.",SUMIFS(STG_ZPMW03!$CE$6:$CE$505,STG_ZPMW03!$B$6:$B$505,$A24)))</f>
        <v>0</v>
      </c>
      <c r="AF24" s="117">
        <f>IF($A24="","",IF($J24=0,"n.b.",SUMIFS(STG_ZPMW03!$CG$6:$CG$505,STG_ZPMW03!$B$6:$B$505,$A24)))</f>
        <v>0</v>
      </c>
      <c r="AG24" s="117">
        <f>IF($A24="","",IF($J24=0,"n.b.",SUMIFS(STG_ZPMW03!$CI$6:$CI$505,STG_ZPMW03!$B$6:$B$505,$A24)))</f>
        <v>0</v>
      </c>
      <c r="AH24" s="117">
        <f>IF($A24="","",IF($J24=0,"n.b.",SUMIFS(STG_ZPMW03!$CK$6:$CK$505,STG_ZPMW03!$B$6:$B$505,$A24)))</f>
        <v>0</v>
      </c>
      <c r="AI24" s="117">
        <f>IF($A24="","",IF($J24=0,"n.b.",SUMIFS(STG_ZPMW03!$CM$6:$CM$505,STG_ZPMW03!$B$6:$B$505,$A24)))</f>
        <v>0</v>
      </c>
      <c r="AJ24" s="117">
        <f>IF($A24="","",IF($J24=0,"n.b.",SUMIFS(STG_ZPMW03!$CO$6:$CO$505,STG_ZPMW03!$B$6:$B$505,$A24)))</f>
        <v>0</v>
      </c>
      <c r="AK24" s="117">
        <f>IF($A24="","",IF($J24=0,"n.b.",SUMIFS(STG_ZPMW03!$CQ$6:$CQ$505,STG_ZPMW03!$B$6:$B$505,$A24)))</f>
        <v>0</v>
      </c>
      <c r="AL24" s="117">
        <f>IF($A24="","",IF($J24=0,"n.b.",SUMIFS(STG_ZPMW03!$CD$6:$CD$505,STG_ZPMW03!$B$6:$B$505,$A24)))</f>
        <v>238728</v>
      </c>
      <c r="AM24" s="117">
        <f>IF($A24="","",IF($J24=0,"n.b.",SUMIFS(STG_ZPMW03!$CF$6:$CF$505,STG_ZPMW03!$B$6:$B$505,$A24)))</f>
        <v>0</v>
      </c>
      <c r="AN24" s="117">
        <f>IF($A24="","",IF($J24=0,"n.b.",SUMIFS(STG_ZPMW03!$CH$6:$CH$505,STG_ZPMW03!$B$6:$B$505,$A24)))</f>
        <v>0</v>
      </c>
      <c r="AO24" s="117">
        <f>IF($A24="","",IF($J24=0,"n.b.",SUMIFS(STG_ZPMW03!$CJ$6:$CJ$505,STG_ZPMW03!$B$6:$B$505,$A24)))</f>
        <v>0</v>
      </c>
      <c r="AP24" s="117">
        <f>IF($A24="","",IF($J24=0,"n.b.",SUMIFS(STG_ZPMW03!$CL$6:$CL$505,STG_ZPMW03!$B$6:$B$505,$A24)))</f>
        <v>0</v>
      </c>
      <c r="AQ24" s="117">
        <f>IF($A24="","",IF($J24=0,"n.b.",SUMIFS(STG_ZPMW03!$CN$6:$CN$505,STG_ZPMW03!$B$6:$B$505,$A24)))</f>
        <v>0</v>
      </c>
      <c r="AR24" s="117">
        <f>IF($A24="","",IF($J24=0,"n.b.",SUMIFS(STG_ZPMW03!$CP$6:$CP$505,STG_ZPMW03!$B$6:$B$505,$A24)))</f>
        <v>0</v>
      </c>
      <c r="AS24" s="117">
        <f>IF($A24="","",IF($J24=0,"n.b.",SUMIFS(STG_ZPMW03!$CR$6:$CR$505,STG_ZPMW03!$B$6:$B$505,$A24)))</f>
        <v>0</v>
      </c>
      <c r="AT24" s="117">
        <f>IF($A24="","",IF($K24=0,"n.b.",SUMIFS(STG_Woningetalage!$Q$6:$Q$505,STG_Woningetalage!$B$6:$B$505,$A24)))</f>
        <v>30</v>
      </c>
      <c r="AU24" s="117">
        <f>IF($A24="","",IF($K24=0,"n.b.",SUMIFS(STG_Woningetalage!$R$6:$R$505,STG_Woningetalage!$B$6:$B$505,$A24)))</f>
        <v>0</v>
      </c>
      <c r="AV24" s="117">
        <f>IF($A24="","",IF($K24=0,"n.b.",SUMIFS(STG_Woningetalage!$S$6:$S$505,STG_Woningetalage!$B$6:$B$505,$A24)))</f>
        <v>0</v>
      </c>
      <c r="AW24" s="117">
        <f>IF($A24="","",IF($K24=0,"n.b.",SUMIFS(STG_Woningetalage!$T$6:$T$505,STG_Woningetalage!$B$6:$B$505,$A24)))</f>
        <v>0</v>
      </c>
      <c r="AX24" s="117">
        <f>IF($A24="","",IF($K24=0,"n.b.",SUMIFS(STG_Woningetalage!$U$6:$U$505,STG_Woningetalage!$B$6:$B$505,$A24)))</f>
        <v>0</v>
      </c>
      <c r="AY24" s="117">
        <f>IF($A24="","",IF($K24=0,"n.b.",SUMIFS(STG_Woningetalage!$V$6:$V$505,STG_Woningetalage!$B$6:$B$505,$A24)))</f>
        <v>2</v>
      </c>
      <c r="AZ24" s="117">
        <f>IF($A24="","",IF($K24=0,"n.b.",SUMIFS(STG_Woningetalage!$W$6:$W$505,STG_Woningetalage!$B$6:$B$505,$A24)))</f>
        <v>2</v>
      </c>
      <c r="BA24" s="117">
        <f>IF($A24="","",IF($K24=0,"n.b.",SUMIFS(STG_Woningetalage!$X$6:$X$505,STG_Woningetalage!$B$6:$B$505,$A24)))</f>
        <v>0</v>
      </c>
      <c r="BB24" s="117">
        <f>IF($A24="","",IF($K24=0,"n.b.",SUMIFS(STG_Woningetalage!$Y$6:$Y$505,STG_Woningetalage!$B$6:$B$505,$A24)))</f>
        <v>2</v>
      </c>
      <c r="BC24" s="117">
        <f>IF($A24="","",IF($K24=0,"n.b.",SUMIFS(STG_Woningetalage!$Z$6:$Z$505,STG_Woningetalage!$B$6:$B$505,$A24)))</f>
        <v>2</v>
      </c>
      <c r="BD24" s="117">
        <f>IF($A24="","",IF($K24=0,"n.b.",SUMIFS(STG_Woningetalage!$AA$6:$AA$505,STG_Woningetalage!$B$6:$B$505,$A24)))</f>
        <v>28</v>
      </c>
      <c r="BE24" s="117">
        <f>IF($A24="","",IF($K24=0,"n.b.",SUMIFS(STG_Woningetalage!$AB$6:$AB$505,STG_Woningetalage!$B$6:$B$505,$A24)))</f>
        <v>0</v>
      </c>
      <c r="BF24" s="117">
        <f>IF($A24="","",IF($K24=0,"n.b.",SUMIFS(STG_Woningetalage!$AC$6:$AC$505,STG_Woningetalage!$B$6:$B$505,$A24)))</f>
        <v>0</v>
      </c>
      <c r="BG24" s="117">
        <f>IF($A24="","",IF($K24=0,"n.b.",SUMIFS(STG_Woningetalage!$AD$6:$AD$505,STG_Woningetalage!$B$6:$B$505,$A24)))</f>
        <v>0</v>
      </c>
      <c r="BH24" s="117">
        <f>IF($A24="","",IF($K24=0,"n.b.",SUMIFS(STG_Woningetalage!$AE$6:$AE$505,STG_Woningetalage!$B$6:$B$505,$A24)))</f>
        <v>0</v>
      </c>
      <c r="BI24" s="117">
        <f>IF($A24="","",IF($K24=0,"n.b.",SUMIFS(STG_Woningetalage!$AF$6:$AF$505,STG_Woningetalage!$B$6:$B$505,$A24)))</f>
        <v>1</v>
      </c>
      <c r="BJ24" s="117">
        <f>IF($A24="","",IF($K24=0,"n.b.",SUMIFS(STG_Woningetalage!$AG$6:$AG$505,STG_Woningetalage!$B$6:$B$505,$A24)))</f>
        <v>0</v>
      </c>
      <c r="BK24" s="117">
        <f>IF($A24="","",IF($K24=0,"n.b.",SUMIFS(STG_Woningetalage!$AH$6:$AH$505,STG_Woningetalage!$B$6:$B$505,$A24)))</f>
        <v>0</v>
      </c>
      <c r="BL24" s="117">
        <f>IF($A24="","",IF($K24=0,"n.b.",SUMIFS(STG_Woningetalage!$AI$6:$AI$505,STG_Woningetalage!$B$6:$B$505,$A24)))</f>
        <v>1</v>
      </c>
      <c r="BM24" s="117">
        <f>IF($A24="","",IF($K24=0,"n.b.",SUMIFS(STG_Woningetalage!$AJ$6:$AJ$505,STG_Woningetalage!$B$6:$B$505,$A24)))</f>
        <v>0</v>
      </c>
      <c r="BN24" s="117">
        <f>IF($A24="","",IF($K24=0,"n.b.",SUMIFS(STG_Woningetalage!$AK$6:$AK$505,STG_Woningetalage!$B$6:$B$505,$A24)))</f>
        <v>0</v>
      </c>
      <c r="BO24" s="117">
        <f>IF($A24="","",IF($K24=0,"n.b.",SUMIFS(STG_Woningetalage!$AL$6:$AL$505,STG_Woningetalage!$B$6:$B$505,$A24)))</f>
        <v>0</v>
      </c>
      <c r="BP24" s="117">
        <f>IF($A24="","",IF($K24=0,"n.b.",SUMIFS(STG_Woningetalage!$AM$6:$AM$505,STG_Woningetalage!$B$6:$B$505,$A24)))</f>
        <v>8</v>
      </c>
      <c r="BQ24" s="117">
        <f>IF($A24="","",IF($K24=0,"n.b.",SUMIFS(STG_Woningetalage!$BE$6:$BE$505,STG_Woningetalage!$B$6:$B$505,$A24)))</f>
        <v>0</v>
      </c>
      <c r="BR24" s="117">
        <f>IF($A24="","",IF($K24=0,"n.b.",SUMIFS(STG_Woningetalage!$BF$6:$BF$505,STG_Woningetalage!$B$6:$B$505,$A24)))</f>
        <v>1</v>
      </c>
      <c r="BS24" s="117">
        <f>IF($A24="","",IF($K24=0,"n.b.",SUMIFS(STG_Woningetalage!$BG$6:$BG$505,STG_Woningetalage!$B$6:$B$505,$A24)))</f>
        <v>1</v>
      </c>
      <c r="BT24" s="117">
        <f>IF($A24="","",IF($K24=0,"n.b.",SUMIFS(STG_Woningetalage!$BH$6:$BH$505,STG_Woningetalage!$B$6:$B$505,$A24)))</f>
        <v>8</v>
      </c>
      <c r="BU24" s="117">
        <f>IF($A24="","",IF($K24=0,"n.b.",SUMIFS(STG_Woningetalage!$BI$6:$BI$505,STG_Woningetalage!$B$6:$B$505,$A24)))</f>
        <v>2</v>
      </c>
      <c r="BV24" s="117">
        <f>IF($A24="","",IF($K24=0,"n.b.",SUMIFS(STG_Woningetalage!$BJ$6:$BJ$505,STG_Woningetalage!$B$6:$B$505,$A24)))</f>
        <v>8</v>
      </c>
      <c r="BW24" s="117">
        <f>IF($A24="","",IF($K24=0,"n.b.",SUMIFS(STG_Woningetalage!$AR$6:$AR$505,STG_Woningetalage!$B$6:$B$505,$A24)))</f>
        <v>10</v>
      </c>
      <c r="BX24" s="117">
        <f>IF($A24="","",IF($K24=0,"n.b.",SUMIFS(STG_Woningetalage!$AS$6:$AS$505,STG_Woningetalage!$B$6:$B$505,$A24)))</f>
        <v>13</v>
      </c>
      <c r="BY24" s="117">
        <f>IF($A24="","",IF($K24=0,"n.b.",SUMIFS(STG_Woningetalage!$AN$6:$AN$505,STG_Woningetalage!$B$6:$B$505,$A24)))</f>
        <v>3</v>
      </c>
      <c r="BZ24" s="117">
        <f>IF($A24="","",IF($K24=0,"n.b.",SUMIFS(STG_Woningetalage!$AO$6:$AO$505,STG_Woningetalage!$B$6:$B$505,$A24)))</f>
        <v>3</v>
      </c>
      <c r="CA24" s="117">
        <f>IF($A24="","",IF($K24=0,"n.b.",SUMIFS(STG_Woningetalage!$AP$6:$AP$505,STG_Woningetalage!$B$6:$B$505,$A24)))</f>
        <v>3</v>
      </c>
      <c r="CB24" s="117">
        <f>IF($A24="","",IF($K24=0,"n.b.",SUMIFS(STG_Woningetalage!$AQ$6:$AQ$505,STG_Woningetalage!$B$6:$B$505,$A24)))</f>
        <v>4</v>
      </c>
      <c r="CC24" s="117">
        <f>IF($A24="","",IF($K24=0,"n.b.",SUMIFS(STG_Woningetalage!$AU$6:$AU$505,STG_Woningetalage!$B$6:$B$505,$A24)))</f>
        <v>7</v>
      </c>
      <c r="CD24" s="92">
        <f>IF($A24="","",IFERROR(INDEX(STG_ZPMW03!$L$6:$L$505,MATCH($A24,STG_ZPMW03!$B$6:$B$505,0)),"n.b."))</f>
        <v>40</v>
      </c>
      <c r="CE24" s="92" t="str">
        <f>IF($A24="","",IFERROR(INDEX(STG_ZPMW03!$K$6:$K$505,MATCH($A24,STG_ZPMW03!$B$6:$B$505,0)),"n.b."))</f>
        <v>VRIJ BLOK</v>
      </c>
      <c r="CF24" s="92">
        <f>IF($A24="","",IFERROR(INDEX(STG_ZPMW03!$BH$6:$BH$505,MATCH($A24,STG_ZPMW03!$B$6:$B$505,0)),"n.b."))</f>
        <v>46388.0</v>
      </c>
      <c r="CG24" s="92">
        <f>IF($A24="","",IFERROR(INDEX(STG_ZPMW03!$BI$6:$BI$505,MATCH($A24,STG_ZPMW03!$B$6:$B$505,0)),"n.b."))</f>
        <v>202912</v>
      </c>
      <c r="CH24" s="92">
        <f>IF($A24="","",IFERROR(INDEX(STG_ZPMW03!$BJ$6:$BJ$505,MATCH($A24,STG_ZPMW03!$B$6:$B$505,0)),"n.b."))</f>
        <v>1</v>
      </c>
      <c r="CI24" s="92">
        <f>IF($A24="","",IFERROR(INDEX(STG_ZPMW03!$BF$6:$BF$505,MATCH($A24,STG_ZPMW03!$B$6:$B$505,0)),"n.b."))</f>
        <v>27.3</v>
      </c>
      <c r="CJ24" s="92">
        <f>IF($A24="","",IFERROR(INDEX(STG_ZPMW03!$BG$6:$BG$505,MATCH($A24,STG_ZPMW03!$B$6:$B$505,0)),"n.b."))</f>
        <v>46023.0</v>
      </c>
      <c r="CK24" s="92" t="str">
        <f>IF($A24="","",IFERROR(INDEX(STG_ZPMW03!$H$6:$H$505,MATCH($A24,STG_ZPMW03!$B$6:$B$505,0)),"n.b."))</f>
        <v>WO-Wonen</v>
      </c>
      <c r="CL24" s="92" t="str">
        <f>IF($A24="","",IFERROR(INDEX(STG_ZPMW03!$E$6:$E$505,MATCH($A24,STG_ZPMW03!$B$6:$B$505,0)),"n.b."))</f>
        <v>Demo Ontwikkeling BV</v>
      </c>
      <c r="CM24" s="92" t="str">
        <f>IF($A24="","",IFERROR(INDEX(STG_ZPMW03!$G$6:$G$505,MATCH($A24,STG_ZPMW03!$B$6:$B$505,0)),"n.b."))</f>
        <v>Demo Regio</v>
      </c>
      <c r="CN24" s="92">
        <f>IF($A24="","",IFERROR(INDEX(STG_Woningetalage!$N$6:$N$505,MATCH($A24,STG_Woningetalage!$B$6:$B$505,0)),"n.b."))</f>
        <v>45931.0</v>
      </c>
      <c r="CO24" s="92">
        <f>IF($A24="","",IFERROR(INDEX(STG_Woningetalage!$P$6:$P$505,MATCH($A24,STG_Woningetalage!$B$6:$B$505,0)),"n.b."))</f>
        <v>47453.0</v>
      </c>
      <c r="CP24" s="118">
        <f>IF($A24="","",IF(AND(ISNUMBER(AT24),ISNUMBER(F24)),IF(F24&gt;0,AT24/(F24/100),"n.b."),"n.b."))</f>
        <v>30</v>
      </c>
      <c r="CQ24" s="116">
        <f>IF($A24="","",IF(ISNUMBER(Q24),IF(Q24&lt;0,1,0),0))</f>
        <v>0</v>
      </c>
      <c r="CR24" s="116" t="str">
        <f>IF(CQ24=1,COUNTIF($CQ$6:CQ24,1),"")</f>
        <v/>
      </c>
      <c r="CS24" s="116" t="str">
        <f>IF(AND($A24&lt;&gt;"",$J24=0),COUNTIFS($A$6:$A24,"?*",$J$6:$J24,0),"")</f>
        <v/>
      </c>
      <c r="CT24" s="119">
        <f>IF($A24="","",IF(AND(ISNUMBER(Q24),ISNUMBER(P24)),IF(P24&lt;&gt;0,Q24/P24,"n.b."),"n.b."))</f>
        <v>0.08</v>
      </c>
    </row>
    <row r="25">
      <c r="A25" s="92" t="str">
        <f>IF(Mapping!$A24="","",Mapping!$A24)</f>
        <v>G.900020.8.9090</v>
      </c>
      <c r="B25" s="92" t="str">
        <f>IF(Mapping!$B24="","",Mapping!$B24)</f>
        <v>G.900020</v>
      </c>
      <c r="C25" s="92" t="str">
        <f>IF(Mapping!$C24="","",Mapping!$C24)</f>
        <v>Boswaard, Parkeergebouw</v>
      </c>
      <c r="D25" s="92" t="str">
        <f>IF(Mapping!$F24="","",Mapping!$F24)</f>
        <v>Opstal</v>
      </c>
      <c r="E25" s="92" t="str">
        <f>IF(Mapping!$H24="","",Mapping!$H24)</f>
        <v>Appartement</v>
      </c>
      <c r="F25" s="92">
        <f>IF(Mapping!$E24="","",Mapping!$E24)</f>
        <v>100</v>
      </c>
      <c r="G25" s="92" t="str">
        <f>IF(Mapping!$G24="","",Mapping!$G24)</f>
        <v>Nee</v>
      </c>
      <c r="H25" s="92">
        <f>IF(Mapping!$D24="","",Mapping!$D24)</f>
        <v>0</v>
      </c>
      <c r="I25" s="92" t="str">
        <f>IF($A25="","",IFERROR(INDEX(STG_ZPMW03!$C$6:$C$505,MATCH($A25,STG_ZPMW03!$B$6:$B$505,0)),"n.b."))</f>
        <v>J</v>
      </c>
      <c r="J25" s="116">
        <f>IF($A25="","",COUNTIF(STG_ZPMW03!$B$6:$B$505,$A25))</f>
        <v>1</v>
      </c>
      <c r="K25" s="116">
        <f>IF($A25="","",COUNTIF(STG_Woningetalage!$B$6:$B$505,$A25))</f>
        <v>1</v>
      </c>
      <c r="L25" s="117">
        <f>IF($A25="","",IF($J25=0,"n.b.",SUMIFS(STG_ZPMW03!$BK$6:$BK$505,STG_ZPMW03!$B$6:$B$505,$A25)))</f>
        <v>156000</v>
      </c>
      <c r="M25" s="117">
        <f>IF($A25="","",IF($J25=0,"n.b.",SUMIFS(STG_ZPMW03!$BL$6:$BL$505,STG_ZPMW03!$B$6:$B$505,$A25)))</f>
        <v>20280</v>
      </c>
      <c r="N25" s="117">
        <f>IF($A25="","",IF($J25=0,"n.b.",SUMIFS(STG_ZPMW03!$BM$6:$BM$505,STG_ZPMW03!$B$6:$B$505,$A25)))</f>
        <v>84000</v>
      </c>
      <c r="O25" s="117">
        <f>IF($A25="","",IF($J25=0,"n.b.",SUMIFS(STG_ZPMW03!$BN$6:$BN$505,STG_ZPMW03!$B$6:$B$505,$A25)))</f>
        <v>10920</v>
      </c>
      <c r="P25" s="117">
        <f>IF($A25="","",IF($J25=0,"n.b.",SUMIFS(STG_ZPMW03!$BO$6:$BO$505,STG_ZPMW03!$B$6:$B$505,$A25)))</f>
        <v>240000</v>
      </c>
      <c r="Q25" s="117">
        <f>IF($A25="","",IF($J25=0,"n.b.",SUMIFS(STG_ZPMW03!$BP$6:$BP$505,STG_ZPMW03!$B$6:$B$505,$A25)))</f>
        <v>31200</v>
      </c>
      <c r="R25" s="117">
        <f>IF($A25="","",IF($J25=0,"n.b.",SUMIFS(STG_ZPMW03!$BQ$6:$BQ$505,STG_ZPMW03!$B$6:$B$505,$A25)))</f>
        <v>1404000</v>
      </c>
      <c r="S25" s="117">
        <f>IF($A25="","",IF($J25=0,"n.b.",SUMIFS(STG_ZPMW03!$BR$6:$BR$505,STG_ZPMW03!$B$6:$B$505,$A25)))</f>
        <v>182520</v>
      </c>
      <c r="T25" s="117">
        <f>IF($A25="","",IF($J25=0,"n.b.",SUMIFS(STG_ZPMW03!$BS$6:$BS$505,STG_ZPMW03!$B$6:$B$505,$A25)))</f>
        <v>84000</v>
      </c>
      <c r="U25" s="117">
        <f>IF($A25="","",IF($J25=0,"n.b.",SUMIFS(STG_ZPMW03!$BT$6:$BT$505,STG_ZPMW03!$B$6:$B$505,$A25)))</f>
        <v>10920</v>
      </c>
      <c r="V25" s="117">
        <f>IF($A25="","",IF($J25=0,"n.b.",SUMIFS(STG_ZPMW03!$BU$6:$BU$505,STG_ZPMW03!$B$6:$B$505,$A25)))</f>
        <v>280800</v>
      </c>
      <c r="W25" s="117">
        <f>IF($A25="","",IF($J25=0,"n.b.",SUMIFS(STG_ZPMW03!$BW$6:$BW$505,STG_ZPMW03!$B$6:$B$505,$A25)))</f>
        <v>351000</v>
      </c>
      <c r="X25" s="117">
        <f>IF($A25="","",IF($J25=0,"n.b.",SUMIFS(STG_ZPMW03!$BY$6:$BY$505,STG_ZPMW03!$B$6:$B$505,$A25)))</f>
        <v>421200</v>
      </c>
      <c r="Y25" s="117">
        <f>IF($A25="","",IF($J25=0,"n.b.",SUMIFS(STG_ZPMW03!$CA$6:$CA$505,STG_ZPMW03!$B$6:$B$505,$A25)))</f>
        <v>351000</v>
      </c>
      <c r="Z25" s="117">
        <f>IF($A25="","",IF($J25=0,"n.b.",SUMIFS(STG_ZPMW03!$BV$6:$BV$505,STG_ZPMW03!$B$6:$B$505,$A25)))</f>
        <v>36504</v>
      </c>
      <c r="AA25" s="117">
        <f>IF($A25="","",IF($J25=0,"n.b.",SUMIFS(STG_ZPMW03!$BX$6:$BX$505,STG_ZPMW03!$B$6:$B$505,$A25)))</f>
        <v>45630</v>
      </c>
      <c r="AB25" s="117">
        <f>IF($A25="","",IF($J25=0,"n.b.",SUMIFS(STG_ZPMW03!$BZ$6:$BZ$505,STG_ZPMW03!$B$6:$B$505,$A25)))</f>
        <v>54756</v>
      </c>
      <c r="AC25" s="117">
        <f>IF($A25="","",IF($J25=0,"n.b.",SUMIFS(STG_ZPMW03!$CB$6:$CB$505,STG_ZPMW03!$B$6:$B$505,$A25)))</f>
        <v>45630</v>
      </c>
      <c r="AD25" s="117">
        <f>IF($A25="","",IF($J25=0,"n.b.",SUMIFS(STG_ZPMW03!$CC$6:$CC$505,STG_ZPMW03!$B$6:$B$505,$A25)))</f>
        <v>756000</v>
      </c>
      <c r="AE25" s="117">
        <f>IF($A25="","",IF($J25=0,"n.b.",SUMIFS(STG_ZPMW03!$CE$6:$CE$505,STG_ZPMW03!$B$6:$B$505,$A25)))</f>
        <v>0</v>
      </c>
      <c r="AF25" s="117">
        <f>IF($A25="","",IF($J25=0,"n.b.",SUMIFS(STG_ZPMW03!$CG$6:$CG$505,STG_ZPMW03!$B$6:$B$505,$A25)))</f>
        <v>0</v>
      </c>
      <c r="AG25" s="117">
        <f>IF($A25="","",IF($J25=0,"n.b.",SUMIFS(STG_ZPMW03!$CI$6:$CI$505,STG_ZPMW03!$B$6:$B$505,$A25)))</f>
        <v>0</v>
      </c>
      <c r="AH25" s="117">
        <f>IF($A25="","",IF($J25=0,"n.b.",SUMIFS(STG_ZPMW03!$CK$6:$CK$505,STG_ZPMW03!$B$6:$B$505,$A25)))</f>
        <v>0</v>
      </c>
      <c r="AI25" s="117">
        <f>IF($A25="","",IF($J25=0,"n.b.",SUMIFS(STG_ZPMW03!$CM$6:$CM$505,STG_ZPMW03!$B$6:$B$505,$A25)))</f>
        <v>0</v>
      </c>
      <c r="AJ25" s="117">
        <f>IF($A25="","",IF($J25=0,"n.b.",SUMIFS(STG_ZPMW03!$CO$6:$CO$505,STG_ZPMW03!$B$6:$B$505,$A25)))</f>
        <v>0</v>
      </c>
      <c r="AK25" s="117">
        <f>IF($A25="","",IF($J25=0,"n.b.",SUMIFS(STG_ZPMW03!$CQ$6:$CQ$505,STG_ZPMW03!$B$6:$B$505,$A25)))</f>
        <v>0</v>
      </c>
      <c r="AL25" s="117">
        <f>IF($A25="","",IF($J25=0,"n.b.",SUMIFS(STG_ZPMW03!$CD$6:$CD$505,STG_ZPMW03!$B$6:$B$505,$A25)))</f>
        <v>98280</v>
      </c>
      <c r="AM25" s="117">
        <f>IF($A25="","",IF($J25=0,"n.b.",SUMIFS(STG_ZPMW03!$CF$6:$CF$505,STG_ZPMW03!$B$6:$B$505,$A25)))</f>
        <v>0</v>
      </c>
      <c r="AN25" s="117">
        <f>IF($A25="","",IF($J25=0,"n.b.",SUMIFS(STG_ZPMW03!$CH$6:$CH$505,STG_ZPMW03!$B$6:$B$505,$A25)))</f>
        <v>0</v>
      </c>
      <c r="AO25" s="117">
        <f>IF($A25="","",IF($J25=0,"n.b.",SUMIFS(STG_ZPMW03!$CJ$6:$CJ$505,STG_ZPMW03!$B$6:$B$505,$A25)))</f>
        <v>0</v>
      </c>
      <c r="AP25" s="117">
        <f>IF($A25="","",IF($J25=0,"n.b.",SUMIFS(STG_ZPMW03!$CL$6:$CL$505,STG_ZPMW03!$B$6:$B$505,$A25)))</f>
        <v>0</v>
      </c>
      <c r="AQ25" s="117">
        <f>IF($A25="","",IF($J25=0,"n.b.",SUMIFS(STG_ZPMW03!$CN$6:$CN$505,STG_ZPMW03!$B$6:$B$505,$A25)))</f>
        <v>0</v>
      </c>
      <c r="AR25" s="117">
        <f>IF($A25="","",IF($J25=0,"n.b.",SUMIFS(STG_ZPMW03!$CP$6:$CP$505,STG_ZPMW03!$B$6:$B$505,$A25)))</f>
        <v>0</v>
      </c>
      <c r="AS25" s="117">
        <f>IF($A25="","",IF($J25=0,"n.b.",SUMIFS(STG_ZPMW03!$CR$6:$CR$505,STG_ZPMW03!$B$6:$B$505,$A25)))</f>
        <v>0</v>
      </c>
      <c r="AT25" s="117">
        <f>IF($A25="","",IF($K25=0,"n.b.",SUMIFS(STG_Woningetalage!$Q$6:$Q$505,STG_Woningetalage!$B$6:$B$505,$A25)))</f>
        <v>0</v>
      </c>
      <c r="AU25" s="117">
        <f>IF($A25="","",IF($K25=0,"n.b.",SUMIFS(STG_Woningetalage!$R$6:$R$505,STG_Woningetalage!$B$6:$B$505,$A25)))</f>
        <v>0</v>
      </c>
      <c r="AV25" s="117">
        <f>IF($A25="","",IF($K25=0,"n.b.",SUMIFS(STG_Woningetalage!$S$6:$S$505,STG_Woningetalage!$B$6:$B$505,$A25)))</f>
        <v>0</v>
      </c>
      <c r="AW25" s="117">
        <f>IF($A25="","",IF($K25=0,"n.b.",SUMIFS(STG_Woningetalage!$T$6:$T$505,STG_Woningetalage!$B$6:$B$505,$A25)))</f>
        <v>0</v>
      </c>
      <c r="AX25" s="117">
        <f>IF($A25="","",IF($K25=0,"n.b.",SUMIFS(STG_Woningetalage!$U$6:$U$505,STG_Woningetalage!$B$6:$B$505,$A25)))</f>
        <v>0</v>
      </c>
      <c r="AY25" s="117">
        <f>IF($A25="","",IF($K25=0,"n.b.",SUMIFS(STG_Woningetalage!$V$6:$V$505,STG_Woningetalage!$B$6:$B$505,$A25)))</f>
        <v>0</v>
      </c>
      <c r="AZ25" s="117">
        <f>IF($A25="","",IF($K25=0,"n.b.",SUMIFS(STG_Woningetalage!$W$6:$W$505,STG_Woningetalage!$B$6:$B$505,$A25)))</f>
        <v>0</v>
      </c>
      <c r="BA25" s="117">
        <f>IF($A25="","",IF($K25=0,"n.b.",SUMIFS(STG_Woningetalage!$X$6:$X$505,STG_Woningetalage!$B$6:$B$505,$A25)))</f>
        <v>0</v>
      </c>
      <c r="BB25" s="117">
        <f>IF($A25="","",IF($K25=0,"n.b.",SUMIFS(STG_Woningetalage!$Y$6:$Y$505,STG_Woningetalage!$B$6:$B$505,$A25)))</f>
        <v>0</v>
      </c>
      <c r="BC25" s="117">
        <f>IF($A25="","",IF($K25=0,"n.b.",SUMIFS(STG_Woningetalage!$Z$6:$Z$505,STG_Woningetalage!$B$6:$B$505,$A25)))</f>
        <v>0</v>
      </c>
      <c r="BD25" s="117">
        <f>IF($A25="","",IF($K25=0,"n.b.",SUMIFS(STG_Woningetalage!$AA$6:$AA$505,STG_Woningetalage!$B$6:$B$505,$A25)))</f>
        <v>0</v>
      </c>
      <c r="BE25" s="117">
        <f>IF($A25="","",IF($K25=0,"n.b.",SUMIFS(STG_Woningetalage!$AB$6:$AB$505,STG_Woningetalage!$B$6:$B$505,$A25)))</f>
        <v>0</v>
      </c>
      <c r="BF25" s="117">
        <f>IF($A25="","",IF($K25=0,"n.b.",SUMIFS(STG_Woningetalage!$AC$6:$AC$505,STG_Woningetalage!$B$6:$B$505,$A25)))</f>
        <v>0</v>
      </c>
      <c r="BG25" s="117">
        <f>IF($A25="","",IF($K25=0,"n.b.",SUMIFS(STG_Woningetalage!$AD$6:$AD$505,STG_Woningetalage!$B$6:$B$505,$A25)))</f>
        <v>0</v>
      </c>
      <c r="BH25" s="117">
        <f>IF($A25="","",IF($K25=0,"n.b.",SUMIFS(STG_Woningetalage!$AE$6:$AE$505,STG_Woningetalage!$B$6:$B$505,$A25)))</f>
        <v>0</v>
      </c>
      <c r="BI25" s="117">
        <f>IF($A25="","",IF($K25=0,"n.b.",SUMIFS(STG_Woningetalage!$AF$6:$AF$505,STG_Woningetalage!$B$6:$B$505,$A25)))</f>
        <v>0</v>
      </c>
      <c r="BJ25" s="117">
        <f>IF($A25="","",IF($K25=0,"n.b.",SUMIFS(STG_Woningetalage!$AG$6:$AG$505,STG_Woningetalage!$B$6:$B$505,$A25)))</f>
        <v>0</v>
      </c>
      <c r="BK25" s="117">
        <f>IF($A25="","",IF($K25=0,"n.b.",SUMIFS(STG_Woningetalage!$AH$6:$AH$505,STG_Woningetalage!$B$6:$B$505,$A25)))</f>
        <v>0</v>
      </c>
      <c r="BL25" s="117">
        <f>IF($A25="","",IF($K25=0,"n.b.",SUMIFS(STG_Woningetalage!$AI$6:$AI$505,STG_Woningetalage!$B$6:$B$505,$A25)))</f>
        <v>0</v>
      </c>
      <c r="BM25" s="117">
        <f>IF($A25="","",IF($K25=0,"n.b.",SUMIFS(STG_Woningetalage!$AJ$6:$AJ$505,STG_Woningetalage!$B$6:$B$505,$A25)))</f>
        <v>0</v>
      </c>
      <c r="BN25" s="117">
        <f>IF($A25="","",IF($K25=0,"n.b.",SUMIFS(STG_Woningetalage!$AK$6:$AK$505,STG_Woningetalage!$B$6:$B$505,$A25)))</f>
        <v>0</v>
      </c>
      <c r="BO25" s="117">
        <f>IF($A25="","",IF($K25=0,"n.b.",SUMIFS(STG_Woningetalage!$AL$6:$AL$505,STG_Woningetalage!$B$6:$B$505,$A25)))</f>
        <v>0</v>
      </c>
      <c r="BP25" s="117">
        <f>IF($A25="","",IF($K25=0,"n.b.",SUMIFS(STG_Woningetalage!$AM$6:$AM$505,STG_Woningetalage!$B$6:$B$505,$A25)))</f>
        <v>0</v>
      </c>
      <c r="BQ25" s="117">
        <f>IF($A25="","",IF($K25=0,"n.b.",SUMIFS(STG_Woningetalage!$BE$6:$BE$505,STG_Woningetalage!$B$6:$B$505,$A25)))</f>
        <v>0</v>
      </c>
      <c r="BR25" s="117">
        <f>IF($A25="","",IF($K25=0,"n.b.",SUMIFS(STG_Woningetalage!$BF$6:$BF$505,STG_Woningetalage!$B$6:$B$505,$A25)))</f>
        <v>0</v>
      </c>
      <c r="BS25" s="117">
        <f>IF($A25="","",IF($K25=0,"n.b.",SUMIFS(STG_Woningetalage!$BG$6:$BG$505,STG_Woningetalage!$B$6:$B$505,$A25)))</f>
        <v>0</v>
      </c>
      <c r="BT25" s="117">
        <f>IF($A25="","",IF($K25=0,"n.b.",SUMIFS(STG_Woningetalage!$BH$6:$BH$505,STG_Woningetalage!$B$6:$B$505,$A25)))</f>
        <v>0</v>
      </c>
      <c r="BU25" s="117">
        <f>IF($A25="","",IF($K25=0,"n.b.",SUMIFS(STG_Woningetalage!$BI$6:$BI$505,STG_Woningetalage!$B$6:$B$505,$A25)))</f>
        <v>0</v>
      </c>
      <c r="BV25" s="117">
        <f>IF($A25="","",IF($K25=0,"n.b.",SUMIFS(STG_Woningetalage!$BJ$6:$BJ$505,STG_Woningetalage!$B$6:$B$505,$A25)))</f>
        <v>0</v>
      </c>
      <c r="BW25" s="117">
        <f>IF($A25="","",IF($K25=0,"n.b.",SUMIFS(STG_Woningetalage!$AR$6:$AR$505,STG_Woningetalage!$B$6:$B$505,$A25)))</f>
        <v>0</v>
      </c>
      <c r="BX25" s="117">
        <f>IF($A25="","",IF($K25=0,"n.b.",SUMIFS(STG_Woningetalage!$AS$6:$AS$505,STG_Woningetalage!$B$6:$B$505,$A25)))</f>
        <v>0</v>
      </c>
      <c r="BY25" s="117">
        <f>IF($A25="","",IF($K25=0,"n.b.",SUMIFS(STG_Woningetalage!$AN$6:$AN$505,STG_Woningetalage!$B$6:$B$505,$A25)))</f>
        <v>0</v>
      </c>
      <c r="BZ25" s="117">
        <f>IF($A25="","",IF($K25=0,"n.b.",SUMIFS(STG_Woningetalage!$AO$6:$AO$505,STG_Woningetalage!$B$6:$B$505,$A25)))</f>
        <v>0</v>
      </c>
      <c r="CA25" s="117">
        <f>IF($A25="","",IF($K25=0,"n.b.",SUMIFS(STG_Woningetalage!$AP$6:$AP$505,STG_Woningetalage!$B$6:$B$505,$A25)))</f>
        <v>0</v>
      </c>
      <c r="CB25" s="117">
        <f>IF($A25="","",IF($K25=0,"n.b.",SUMIFS(STG_Woningetalage!$AQ$6:$AQ$505,STG_Woningetalage!$B$6:$B$505,$A25)))</f>
        <v>0</v>
      </c>
      <c r="CC25" s="117">
        <f>IF($A25="","",IF($K25=0,"n.b.",SUMIFS(STG_Woningetalage!$AU$6:$AU$505,STG_Woningetalage!$B$6:$B$505,$A25)))</f>
        <v>0</v>
      </c>
      <c r="CD25" s="92">
        <f>IF($A25="","",IFERROR(INDEX(STG_ZPMW03!$L$6:$L$505,MATCH($A25,STG_ZPMW03!$B$6:$B$505,0)),"n.b."))</f>
        <v>20</v>
      </c>
      <c r="CE25" s="92" t="str">
        <f>IF($A25="","",IFERROR(INDEX(STG_ZPMW03!$K$6:$K$505,MATCH($A25,STG_ZPMW03!$B$6:$B$505,0)),"n.b."))</f>
        <v>VRIJ BLOK</v>
      </c>
      <c r="CF25" s="92">
        <f>IF($A25="","",IFERROR(INDEX(STG_ZPMW03!$BH$6:$BH$505,MATCH($A25,STG_ZPMW03!$B$6:$B$505,0)),"n.b."))</f>
        <v>46419.0</v>
      </c>
      <c r="CG25" s="92">
        <f>IF($A25="","",IFERROR(INDEX(STG_ZPMW03!$BI$6:$BI$505,MATCH($A25,STG_ZPMW03!$B$6:$B$505,0)),"n.b."))</f>
        <v>202912</v>
      </c>
      <c r="CH25" s="92">
        <f>IF($A25="","",IFERROR(INDEX(STG_ZPMW03!$BJ$6:$BJ$505,MATCH($A25,STG_ZPMW03!$B$6:$B$505,0)),"n.b."))</f>
        <v>2</v>
      </c>
      <c r="CI25" s="92">
        <f>IF($A25="","",IFERROR(INDEX(STG_ZPMW03!$BF$6:$BF$505,MATCH($A25,STG_ZPMW03!$B$6:$B$505,0)),"n.b."))</f>
        <v>6.5</v>
      </c>
      <c r="CJ25" s="92">
        <f>IF($A25="","",IFERROR(INDEX(STG_ZPMW03!$BG$6:$BG$505,MATCH($A25,STG_ZPMW03!$B$6:$B$505,0)),"n.b."))</f>
        <v>46054.0</v>
      </c>
      <c r="CK25" s="92" t="str">
        <f>IF($A25="","",IFERROR(INDEX(STG_ZPMW03!$H$6:$H$505,MATCH($A25,STG_ZPMW03!$B$6:$B$505,0)),"n.b."))</f>
        <v>RH-Winkels &amp; Horeca</v>
      </c>
      <c r="CL25" s="92" t="str">
        <f>IF($A25="","",IFERROR(INDEX(STG_ZPMW03!$E$6:$E$505,MATCH($A25,STG_ZPMW03!$B$6:$B$505,0)),"n.b."))</f>
        <v>Demo Ontwikkeling BV</v>
      </c>
      <c r="CM25" s="92" t="str">
        <f>IF($A25="","",IFERROR(INDEX(STG_ZPMW03!$G$6:$G$505,MATCH($A25,STG_ZPMW03!$B$6:$B$505,0)),"n.b."))</f>
        <v>Demo Regio</v>
      </c>
      <c r="CN25" s="92">
        <f>IF($A25="","",IFERROR(INDEX(STG_Woningetalage!$N$6:$N$505,MATCH($A25,STG_Woningetalage!$B$6:$B$505,0)),"n.b."))</f>
        <v>45931.0</v>
      </c>
      <c r="CO25" s="92">
        <f>IF($A25="","",IFERROR(INDEX(STG_Woningetalage!$P$6:$P$505,MATCH($A25,STG_Woningetalage!$B$6:$B$505,0)),"n.b."))</f>
        <v>47453.0</v>
      </c>
      <c r="CP25" s="118">
        <f>IF($A25="","",IF(AND(ISNUMBER(AT25),ISNUMBER(F25)),IF(F25&gt;0,AT25/(F25/100),"n.b."),"n.b."))</f>
        <v>0</v>
      </c>
      <c r="CQ25" s="116">
        <f>IF($A25="","",IF(ISNUMBER(Q25),IF(Q25&lt;0,1,0),0))</f>
        <v>0</v>
      </c>
      <c r="CR25" s="116" t="str">
        <f>IF(CQ25=1,COUNTIF($CQ$6:CQ25,1),"")</f>
        <v/>
      </c>
      <c r="CS25" s="116" t="str">
        <f>IF(AND($A25&lt;&gt;"",$J25=0),COUNTIFS($A$6:$A25,"?*",$J$6:$J25,0),"")</f>
        <v/>
      </c>
      <c r="CT25" s="119">
        <f>IF($A25="","",IF(AND(ISNUMBER(Q25),ISNUMBER(P25)),IF(P25&lt;&gt;0,Q25/P25,"n.b."),"n.b."))</f>
        <v>0.13</v>
      </c>
    </row>
    <row r="26">
      <c r="A26" s="92" t="str">
        <f>IF(Mapping!$A25="","",Mapping!$A25)</f>
        <v/>
      </c>
      <c r="B26" s="92" t="str">
        <f>IF(Mapping!$B25="","",Mapping!$B25)</f>
        <v/>
      </c>
      <c r="C26" s="92" t="str">
        <f>IF(Mapping!$C25="","",Mapping!$C25)</f>
        <v/>
      </c>
      <c r="D26" s="92" t="str">
        <f>IF(Mapping!$F25="","",Mapping!$F25)</f>
        <v/>
      </c>
      <c r="E26" s="92" t="str">
        <f>IF(Mapping!$H25="","",Mapping!$H25)</f>
        <v/>
      </c>
      <c r="F26" s="92" t="str">
        <f>IF(Mapping!$E25="","",Mapping!$E25)</f>
        <v/>
      </c>
      <c r="G26" s="92" t="str">
        <f>IF(Mapping!$G25="","",Mapping!$G25)</f>
        <v/>
      </c>
      <c r="H26" s="92" t="str">
        <f>IF(Mapping!$D25="","",Mapping!$D25)</f>
        <v/>
      </c>
      <c r="I26" s="92" t="str">
        <f>IF($A26="","",IFERROR(INDEX(STG_ZPMW03!$C$6:$C$505,MATCH($A26,STG_ZPMW03!$B$6:$B$505,0)),"n.b."))</f>
        <v/>
      </c>
      <c r="J26" s="116" t="str">
        <f>IF($A26="","",COUNTIF(STG_ZPMW03!$B$6:$B$505,$A26))</f>
        <v/>
      </c>
      <c r="K26" s="116" t="str">
        <f>IF($A26="","",COUNTIF(STG_Woningetalage!$B$6:$B$505,$A26))</f>
        <v/>
      </c>
      <c r="L26" s="117" t="str">
        <f>IF($A26="","",IF($J26=0,"n.b.",SUMIFS(STG_ZPMW03!$BK$6:$BK$505,STG_ZPMW03!$B$6:$B$505,$A26)))</f>
        <v/>
      </c>
      <c r="M26" s="117" t="str">
        <f>IF($A26="","",IF($J26=0,"n.b.",SUMIFS(STG_ZPMW03!$BL$6:$BL$505,STG_ZPMW03!$B$6:$B$505,$A26)))</f>
        <v/>
      </c>
      <c r="N26" s="117" t="str">
        <f>IF($A26="","",IF($J26=0,"n.b.",SUMIFS(STG_ZPMW03!$BM$6:$BM$505,STG_ZPMW03!$B$6:$B$505,$A26)))</f>
        <v/>
      </c>
      <c r="O26" s="117" t="str">
        <f>IF($A26="","",IF($J26=0,"n.b.",SUMIFS(STG_ZPMW03!$BN$6:$BN$505,STG_ZPMW03!$B$6:$B$505,$A26)))</f>
        <v/>
      </c>
      <c r="P26" s="117" t="str">
        <f>IF($A26="","",IF($J26=0,"n.b.",SUMIFS(STG_ZPMW03!$BO$6:$BO$505,STG_ZPMW03!$B$6:$B$505,$A26)))</f>
        <v/>
      </c>
      <c r="Q26" s="117" t="str">
        <f>IF($A26="","",IF($J26=0,"n.b.",SUMIFS(STG_ZPMW03!$BP$6:$BP$505,STG_ZPMW03!$B$6:$B$505,$A26)))</f>
        <v/>
      </c>
      <c r="R26" s="117" t="str">
        <f>IF($A26="","",IF($J26=0,"n.b.",SUMIFS(STG_ZPMW03!$BQ$6:$BQ$505,STG_ZPMW03!$B$6:$B$505,$A26)))</f>
        <v/>
      </c>
      <c r="S26" s="117" t="str">
        <f>IF($A26="","",IF($J26=0,"n.b.",SUMIFS(STG_ZPMW03!$BR$6:$BR$505,STG_ZPMW03!$B$6:$B$505,$A26)))</f>
        <v/>
      </c>
      <c r="T26" s="117" t="str">
        <f>IF($A26="","",IF($J26=0,"n.b.",SUMIFS(STG_ZPMW03!$BS$6:$BS$505,STG_ZPMW03!$B$6:$B$505,$A26)))</f>
        <v/>
      </c>
      <c r="U26" s="117" t="str">
        <f>IF($A26="","",IF($J26=0,"n.b.",SUMIFS(STG_ZPMW03!$BT$6:$BT$505,STG_ZPMW03!$B$6:$B$505,$A26)))</f>
        <v/>
      </c>
      <c r="V26" s="117" t="str">
        <f>IF($A26="","",IF($J26=0,"n.b.",SUMIFS(STG_ZPMW03!$BU$6:$BU$505,STG_ZPMW03!$B$6:$B$505,$A26)))</f>
        <v/>
      </c>
      <c r="W26" s="117" t="str">
        <f>IF($A26="","",IF($J26=0,"n.b.",SUMIFS(STG_ZPMW03!$BW$6:$BW$505,STG_ZPMW03!$B$6:$B$505,$A26)))</f>
        <v/>
      </c>
      <c r="X26" s="117" t="str">
        <f>IF($A26="","",IF($J26=0,"n.b.",SUMIFS(STG_ZPMW03!$BY$6:$BY$505,STG_ZPMW03!$B$6:$B$505,$A26)))</f>
        <v/>
      </c>
      <c r="Y26" s="117" t="str">
        <f>IF($A26="","",IF($J26=0,"n.b.",SUMIFS(STG_ZPMW03!$CA$6:$CA$505,STG_ZPMW03!$B$6:$B$505,$A26)))</f>
        <v/>
      </c>
      <c r="Z26" s="117" t="str">
        <f>IF($A26="","",IF($J26=0,"n.b.",SUMIFS(STG_ZPMW03!$BV$6:$BV$505,STG_ZPMW03!$B$6:$B$505,$A26)))</f>
        <v/>
      </c>
      <c r="AA26" s="117" t="str">
        <f>IF($A26="","",IF($J26=0,"n.b.",SUMIFS(STG_ZPMW03!$BX$6:$BX$505,STG_ZPMW03!$B$6:$B$505,$A26)))</f>
        <v/>
      </c>
      <c r="AB26" s="117" t="str">
        <f>IF($A26="","",IF($J26=0,"n.b.",SUMIFS(STG_ZPMW03!$BZ$6:$BZ$505,STG_ZPMW03!$B$6:$B$505,$A26)))</f>
        <v/>
      </c>
      <c r="AC26" s="117" t="str">
        <f>IF($A26="","",IF($J26=0,"n.b.",SUMIFS(STG_ZPMW03!$CB$6:$CB$505,STG_ZPMW03!$B$6:$B$505,$A26)))</f>
        <v/>
      </c>
      <c r="AD26" s="117" t="str">
        <f>IF($A26="","",IF($J26=0,"n.b.",SUMIFS(STG_ZPMW03!$CC$6:$CC$505,STG_ZPMW03!$B$6:$B$505,$A26)))</f>
        <v/>
      </c>
      <c r="AE26" s="117" t="str">
        <f>IF($A26="","",IF($J26=0,"n.b.",SUMIFS(STG_ZPMW03!$CE$6:$CE$505,STG_ZPMW03!$B$6:$B$505,$A26)))</f>
        <v/>
      </c>
      <c r="AF26" s="117" t="str">
        <f>IF($A26="","",IF($J26=0,"n.b.",SUMIFS(STG_ZPMW03!$CG$6:$CG$505,STG_ZPMW03!$B$6:$B$505,$A26)))</f>
        <v/>
      </c>
      <c r="AG26" s="117" t="str">
        <f>IF($A26="","",IF($J26=0,"n.b.",SUMIFS(STG_ZPMW03!$CI$6:$CI$505,STG_ZPMW03!$B$6:$B$505,$A26)))</f>
        <v/>
      </c>
      <c r="AH26" s="117" t="str">
        <f>IF($A26="","",IF($J26=0,"n.b.",SUMIFS(STG_ZPMW03!$CK$6:$CK$505,STG_ZPMW03!$B$6:$B$505,$A26)))</f>
        <v/>
      </c>
      <c r="AI26" s="117" t="str">
        <f>IF($A26="","",IF($J26=0,"n.b.",SUMIFS(STG_ZPMW03!$CM$6:$CM$505,STG_ZPMW03!$B$6:$B$505,$A26)))</f>
        <v/>
      </c>
      <c r="AJ26" s="117" t="str">
        <f>IF($A26="","",IF($J26=0,"n.b.",SUMIFS(STG_ZPMW03!$CO$6:$CO$505,STG_ZPMW03!$B$6:$B$505,$A26)))</f>
        <v/>
      </c>
      <c r="AK26" s="117" t="str">
        <f>IF($A26="","",IF($J26=0,"n.b.",SUMIFS(STG_ZPMW03!$CQ$6:$CQ$505,STG_ZPMW03!$B$6:$B$505,$A26)))</f>
        <v/>
      </c>
      <c r="AL26" s="117" t="str">
        <f>IF($A26="","",IF($J26=0,"n.b.",SUMIFS(STG_ZPMW03!$CD$6:$CD$505,STG_ZPMW03!$B$6:$B$505,$A26)))</f>
        <v/>
      </c>
      <c r="AM26" s="117" t="str">
        <f>IF($A26="","",IF($J26=0,"n.b.",SUMIFS(STG_ZPMW03!$CF$6:$CF$505,STG_ZPMW03!$B$6:$B$505,$A26)))</f>
        <v/>
      </c>
      <c r="AN26" s="117" t="str">
        <f>IF($A26="","",IF($J26=0,"n.b.",SUMIFS(STG_ZPMW03!$CH$6:$CH$505,STG_ZPMW03!$B$6:$B$505,$A26)))</f>
        <v/>
      </c>
      <c r="AO26" s="117" t="str">
        <f>IF($A26="","",IF($J26=0,"n.b.",SUMIFS(STG_ZPMW03!$CJ$6:$CJ$505,STG_ZPMW03!$B$6:$B$505,$A26)))</f>
        <v/>
      </c>
      <c r="AP26" s="117" t="str">
        <f>IF($A26="","",IF($J26=0,"n.b.",SUMIFS(STG_ZPMW03!$CL$6:$CL$505,STG_ZPMW03!$B$6:$B$505,$A26)))</f>
        <v/>
      </c>
      <c r="AQ26" s="117" t="str">
        <f>IF($A26="","",IF($J26=0,"n.b.",SUMIFS(STG_ZPMW03!$CN$6:$CN$505,STG_ZPMW03!$B$6:$B$505,$A26)))</f>
        <v/>
      </c>
      <c r="AR26" s="117" t="str">
        <f>IF($A26="","",IF($J26=0,"n.b.",SUMIFS(STG_ZPMW03!$CP$6:$CP$505,STG_ZPMW03!$B$6:$B$505,$A26)))</f>
        <v/>
      </c>
      <c r="AS26" s="117" t="str">
        <f>IF($A26="","",IF($J26=0,"n.b.",SUMIFS(STG_ZPMW03!$CR$6:$CR$505,STG_ZPMW03!$B$6:$B$505,$A26)))</f>
        <v/>
      </c>
      <c r="AT26" s="117" t="str">
        <f>IF($A26="","",IF($K26=0,"n.b.",SUMIFS(STG_Woningetalage!$Q$6:$Q$505,STG_Woningetalage!$B$6:$B$505,$A26)))</f>
        <v/>
      </c>
      <c r="AU26" s="117" t="str">
        <f>IF($A26="","",IF($K26=0,"n.b.",SUMIFS(STG_Woningetalage!$R$6:$R$505,STG_Woningetalage!$B$6:$B$505,$A26)))</f>
        <v/>
      </c>
      <c r="AV26" s="117" t="str">
        <f>IF($A26="","",IF($K26=0,"n.b.",SUMIFS(STG_Woningetalage!$S$6:$S$505,STG_Woningetalage!$B$6:$B$505,$A26)))</f>
        <v/>
      </c>
      <c r="AW26" s="117" t="str">
        <f>IF($A26="","",IF($K26=0,"n.b.",SUMIFS(STG_Woningetalage!$T$6:$T$505,STG_Woningetalage!$B$6:$B$505,$A26)))</f>
        <v/>
      </c>
      <c r="AX26" s="117" t="str">
        <f>IF($A26="","",IF($K26=0,"n.b.",SUMIFS(STG_Woningetalage!$U$6:$U$505,STG_Woningetalage!$B$6:$B$505,$A26)))</f>
        <v/>
      </c>
      <c r="AY26" s="117" t="str">
        <f>IF($A26="","",IF($K26=0,"n.b.",SUMIFS(STG_Woningetalage!$V$6:$V$505,STG_Woningetalage!$B$6:$B$505,$A26)))</f>
        <v/>
      </c>
      <c r="AZ26" s="117" t="str">
        <f>IF($A26="","",IF($K26=0,"n.b.",SUMIFS(STG_Woningetalage!$W$6:$W$505,STG_Woningetalage!$B$6:$B$505,$A26)))</f>
        <v/>
      </c>
      <c r="BA26" s="117" t="str">
        <f>IF($A26="","",IF($K26=0,"n.b.",SUMIFS(STG_Woningetalage!$X$6:$X$505,STG_Woningetalage!$B$6:$B$505,$A26)))</f>
        <v/>
      </c>
      <c r="BB26" s="117" t="str">
        <f>IF($A26="","",IF($K26=0,"n.b.",SUMIFS(STG_Woningetalage!$Y$6:$Y$505,STG_Woningetalage!$B$6:$B$505,$A26)))</f>
        <v/>
      </c>
      <c r="BC26" s="117" t="str">
        <f>IF($A26="","",IF($K26=0,"n.b.",SUMIFS(STG_Woningetalage!$Z$6:$Z$505,STG_Woningetalage!$B$6:$B$505,$A26)))</f>
        <v/>
      </c>
      <c r="BD26" s="117" t="str">
        <f>IF($A26="","",IF($K26=0,"n.b.",SUMIFS(STG_Woningetalage!$AA$6:$AA$505,STG_Woningetalage!$B$6:$B$505,$A26)))</f>
        <v/>
      </c>
      <c r="BE26" s="117" t="str">
        <f>IF($A26="","",IF($K26=0,"n.b.",SUMIFS(STG_Woningetalage!$AB$6:$AB$505,STG_Woningetalage!$B$6:$B$505,$A26)))</f>
        <v/>
      </c>
      <c r="BF26" s="117" t="str">
        <f>IF($A26="","",IF($K26=0,"n.b.",SUMIFS(STG_Woningetalage!$AC$6:$AC$505,STG_Woningetalage!$B$6:$B$505,$A26)))</f>
        <v/>
      </c>
      <c r="BG26" s="117" t="str">
        <f>IF($A26="","",IF($K26=0,"n.b.",SUMIFS(STG_Woningetalage!$AD$6:$AD$505,STG_Woningetalage!$B$6:$B$505,$A26)))</f>
        <v/>
      </c>
      <c r="BH26" s="117" t="str">
        <f>IF($A26="","",IF($K26=0,"n.b.",SUMIFS(STG_Woningetalage!$AE$6:$AE$505,STG_Woningetalage!$B$6:$B$505,$A26)))</f>
        <v/>
      </c>
      <c r="BI26" s="117" t="str">
        <f>IF($A26="","",IF($K26=0,"n.b.",SUMIFS(STG_Woningetalage!$AF$6:$AF$505,STG_Woningetalage!$B$6:$B$505,$A26)))</f>
        <v/>
      </c>
      <c r="BJ26" s="117" t="str">
        <f>IF($A26="","",IF($K26=0,"n.b.",SUMIFS(STG_Woningetalage!$AG$6:$AG$505,STG_Woningetalage!$B$6:$B$505,$A26)))</f>
        <v/>
      </c>
      <c r="BK26" s="117" t="str">
        <f>IF($A26="","",IF($K26=0,"n.b.",SUMIFS(STG_Woningetalage!$AH$6:$AH$505,STG_Woningetalage!$B$6:$B$505,$A26)))</f>
        <v/>
      </c>
      <c r="BL26" s="117" t="str">
        <f>IF($A26="","",IF($K26=0,"n.b.",SUMIFS(STG_Woningetalage!$AI$6:$AI$505,STG_Woningetalage!$B$6:$B$505,$A26)))</f>
        <v/>
      </c>
      <c r="BM26" s="117" t="str">
        <f>IF($A26="","",IF($K26=0,"n.b.",SUMIFS(STG_Woningetalage!$AJ$6:$AJ$505,STG_Woningetalage!$B$6:$B$505,$A26)))</f>
        <v/>
      </c>
      <c r="BN26" s="117" t="str">
        <f>IF($A26="","",IF($K26=0,"n.b.",SUMIFS(STG_Woningetalage!$AK$6:$AK$505,STG_Woningetalage!$B$6:$B$505,$A26)))</f>
        <v/>
      </c>
      <c r="BO26" s="117" t="str">
        <f>IF($A26="","",IF($K26=0,"n.b.",SUMIFS(STG_Woningetalage!$AL$6:$AL$505,STG_Woningetalage!$B$6:$B$505,$A26)))</f>
        <v/>
      </c>
      <c r="BP26" s="117" t="str">
        <f>IF($A26="","",IF($K26=0,"n.b.",SUMIFS(STG_Woningetalage!$AM$6:$AM$505,STG_Woningetalage!$B$6:$B$505,$A26)))</f>
        <v/>
      </c>
      <c r="BQ26" s="117" t="str">
        <f>IF($A26="","",IF($K26=0,"n.b.",SUMIFS(STG_Woningetalage!$BE$6:$BE$505,STG_Woningetalage!$B$6:$B$505,$A26)))</f>
        <v/>
      </c>
      <c r="BR26" s="117" t="str">
        <f>IF($A26="","",IF($K26=0,"n.b.",SUMIFS(STG_Woningetalage!$BF$6:$BF$505,STG_Woningetalage!$B$6:$B$505,$A26)))</f>
        <v/>
      </c>
      <c r="BS26" s="117" t="str">
        <f>IF($A26="","",IF($K26=0,"n.b.",SUMIFS(STG_Woningetalage!$BG$6:$BG$505,STG_Woningetalage!$B$6:$B$505,$A26)))</f>
        <v/>
      </c>
      <c r="BT26" s="117" t="str">
        <f>IF($A26="","",IF($K26=0,"n.b.",SUMIFS(STG_Woningetalage!$BH$6:$BH$505,STG_Woningetalage!$B$6:$B$505,$A26)))</f>
        <v/>
      </c>
      <c r="BU26" s="117" t="str">
        <f>IF($A26="","",IF($K26=0,"n.b.",SUMIFS(STG_Woningetalage!$BI$6:$BI$505,STG_Woningetalage!$B$6:$B$505,$A26)))</f>
        <v/>
      </c>
      <c r="BV26" s="117" t="str">
        <f>IF($A26="","",IF($K26=0,"n.b.",SUMIFS(STG_Woningetalage!$BJ$6:$BJ$505,STG_Woningetalage!$B$6:$B$505,$A26)))</f>
        <v/>
      </c>
      <c r="BW26" s="117" t="str">
        <f>IF($A26="","",IF($K26=0,"n.b.",SUMIFS(STG_Woningetalage!$AR$6:$AR$505,STG_Woningetalage!$B$6:$B$505,$A26)))</f>
        <v/>
      </c>
      <c r="BX26" s="117" t="str">
        <f>IF($A26="","",IF($K26=0,"n.b.",SUMIFS(STG_Woningetalage!$AS$6:$AS$505,STG_Woningetalage!$B$6:$B$505,$A26)))</f>
        <v/>
      </c>
      <c r="BY26" s="117" t="str">
        <f>IF($A26="","",IF($K26=0,"n.b.",SUMIFS(STG_Woningetalage!$AN$6:$AN$505,STG_Woningetalage!$B$6:$B$505,$A26)))</f>
        <v/>
      </c>
      <c r="BZ26" s="117" t="str">
        <f>IF($A26="","",IF($K26=0,"n.b.",SUMIFS(STG_Woningetalage!$AO$6:$AO$505,STG_Woningetalage!$B$6:$B$505,$A26)))</f>
        <v/>
      </c>
      <c r="CA26" s="117" t="str">
        <f>IF($A26="","",IF($K26=0,"n.b.",SUMIFS(STG_Woningetalage!$AP$6:$AP$505,STG_Woningetalage!$B$6:$B$505,$A26)))</f>
        <v/>
      </c>
      <c r="CB26" s="117" t="str">
        <f>IF($A26="","",IF($K26=0,"n.b.",SUMIFS(STG_Woningetalage!$AQ$6:$AQ$505,STG_Woningetalage!$B$6:$B$505,$A26)))</f>
        <v/>
      </c>
      <c r="CC26" s="117" t="str">
        <f>IF($A26="","",IF($K26=0,"n.b.",SUMIFS(STG_Woningetalage!$AU$6:$AU$505,STG_Woningetalage!$B$6:$B$505,$A26)))</f>
        <v/>
      </c>
      <c r="CD26" s="92" t="str">
        <f>IF($A26="","",IFERROR(INDEX(STG_ZPMW03!$L$6:$L$505,MATCH($A26,STG_ZPMW03!$B$6:$B$505,0)),"n.b."))</f>
        <v/>
      </c>
      <c r="CE26" s="92" t="str">
        <f>IF($A26="","",IFERROR(INDEX(STG_ZPMW03!$K$6:$K$505,MATCH($A26,STG_ZPMW03!$B$6:$B$505,0)),"n.b."))</f>
        <v/>
      </c>
      <c r="CF26" s="92" t="str">
        <f>IF($A26="","",IFERROR(INDEX(STG_ZPMW03!$BH$6:$BH$505,MATCH($A26,STG_ZPMW03!$B$6:$B$505,0)),"n.b."))</f>
        <v/>
      </c>
      <c r="CG26" s="92" t="str">
        <f>IF($A26="","",IFERROR(INDEX(STG_ZPMW03!$BI$6:$BI$505,MATCH($A26,STG_ZPMW03!$B$6:$B$505,0)),"n.b."))</f>
        <v/>
      </c>
      <c r="CH26" s="92" t="str">
        <f>IF($A26="","",IFERROR(INDEX(STG_ZPMW03!$BJ$6:$BJ$505,MATCH($A26,STG_ZPMW03!$B$6:$B$505,0)),"n.b."))</f>
        <v/>
      </c>
      <c r="CI26" s="92" t="str">
        <f>IF($A26="","",IFERROR(INDEX(STG_ZPMW03!$BF$6:$BF$505,MATCH($A26,STG_ZPMW03!$B$6:$B$505,0)),"n.b."))</f>
        <v/>
      </c>
      <c r="CJ26" s="92" t="str">
        <f>IF($A26="","",IFERROR(INDEX(STG_ZPMW03!$BG$6:$BG$505,MATCH($A26,STG_ZPMW03!$B$6:$B$505,0)),"n.b."))</f>
        <v/>
      </c>
      <c r="CK26" s="92" t="str">
        <f>IF($A26="","",IFERROR(INDEX(STG_ZPMW03!$H$6:$H$505,MATCH($A26,STG_ZPMW03!$B$6:$B$505,0)),"n.b."))</f>
        <v/>
      </c>
      <c r="CL26" s="92" t="str">
        <f>IF($A26="","",IFERROR(INDEX(STG_ZPMW03!$E$6:$E$505,MATCH($A26,STG_ZPMW03!$B$6:$B$505,0)),"n.b."))</f>
        <v/>
      </c>
      <c r="CM26" s="92" t="str">
        <f>IF($A26="","",IFERROR(INDEX(STG_ZPMW03!$G$6:$G$505,MATCH($A26,STG_ZPMW03!$B$6:$B$505,0)),"n.b."))</f>
        <v/>
      </c>
      <c r="CN26" s="92" t="str">
        <f>IF($A26="","",IFERROR(INDEX(STG_Woningetalage!$N$6:$N$505,MATCH($A26,STG_Woningetalage!$B$6:$B$505,0)),"n.b."))</f>
        <v/>
      </c>
      <c r="CO26" s="92" t="str">
        <f>IF($A26="","",IFERROR(INDEX(STG_Woningetalage!$P$6:$P$505,MATCH($A26,STG_Woningetalage!$B$6:$B$505,0)),"n.b."))</f>
        <v/>
      </c>
      <c r="CP26" s="118" t="str">
        <f>IF($A26="","",IF(AND(ISNUMBER(AT26),ISNUMBER(F26)),IF(F26&gt;0,AT26/(F26/100),"n.b."),"n.b."))</f>
        <v/>
      </c>
      <c r="CQ26" s="116" t="str">
        <f>IF($A26="","",IF(ISNUMBER(Q26),IF(Q26&lt;0,1,0),0))</f>
        <v/>
      </c>
      <c r="CR26" s="116" t="str">
        <f>IF(CQ26=1,COUNTIF($CQ$6:CQ26,1),"")</f>
        <v/>
      </c>
      <c r="CS26" s="116" t="str">
        <f>IF(AND($A26&lt;&gt;"",$J26=0),COUNTIFS($A$6:$A26,"?*",$J$6:$J26,0),"")</f>
        <v/>
      </c>
      <c r="CT26" s="119" t="str">
        <f>IF($A26="","",IF(AND(ISNUMBER(Q26),ISNUMBER(P26)),IF(P26&lt;&gt;0,Q26/P26,"n.b."),"n.b."))</f>
        <v/>
      </c>
    </row>
    <row r="27">
      <c r="A27" s="92" t="str">
        <f>IF(Mapping!$A26="","",Mapping!$A26)</f>
        <v/>
      </c>
      <c r="B27" s="92" t="str">
        <f>IF(Mapping!$B26="","",Mapping!$B26)</f>
        <v/>
      </c>
      <c r="C27" s="92" t="str">
        <f>IF(Mapping!$C26="","",Mapping!$C26)</f>
        <v/>
      </c>
      <c r="D27" s="92" t="str">
        <f>IF(Mapping!$F26="","",Mapping!$F26)</f>
        <v/>
      </c>
      <c r="E27" s="92" t="str">
        <f>IF(Mapping!$H26="","",Mapping!$H26)</f>
        <v/>
      </c>
      <c r="F27" s="92" t="str">
        <f>IF(Mapping!$E26="","",Mapping!$E26)</f>
        <v/>
      </c>
      <c r="G27" s="92" t="str">
        <f>IF(Mapping!$G26="","",Mapping!$G26)</f>
        <v/>
      </c>
      <c r="H27" s="92" t="str">
        <f>IF(Mapping!$D26="","",Mapping!$D26)</f>
        <v/>
      </c>
      <c r="I27" s="92" t="str">
        <f>IF($A27="","",IFERROR(INDEX(STG_ZPMW03!$C$6:$C$505,MATCH($A27,STG_ZPMW03!$B$6:$B$505,0)),"n.b."))</f>
        <v/>
      </c>
      <c r="J27" s="116" t="str">
        <f>IF($A27="","",COUNTIF(STG_ZPMW03!$B$6:$B$505,$A27))</f>
        <v/>
      </c>
      <c r="K27" s="116" t="str">
        <f>IF($A27="","",COUNTIF(STG_Woningetalage!$B$6:$B$505,$A27))</f>
        <v/>
      </c>
      <c r="L27" s="117" t="str">
        <f>IF($A27="","",IF($J27=0,"n.b.",SUMIFS(STG_ZPMW03!$BK$6:$BK$505,STG_ZPMW03!$B$6:$B$505,$A27)))</f>
        <v/>
      </c>
      <c r="M27" s="117" t="str">
        <f>IF($A27="","",IF($J27=0,"n.b.",SUMIFS(STG_ZPMW03!$BL$6:$BL$505,STG_ZPMW03!$B$6:$B$505,$A27)))</f>
        <v/>
      </c>
      <c r="N27" s="117" t="str">
        <f>IF($A27="","",IF($J27=0,"n.b.",SUMIFS(STG_ZPMW03!$BM$6:$BM$505,STG_ZPMW03!$B$6:$B$505,$A27)))</f>
        <v/>
      </c>
      <c r="O27" s="117" t="str">
        <f>IF($A27="","",IF($J27=0,"n.b.",SUMIFS(STG_ZPMW03!$BN$6:$BN$505,STG_ZPMW03!$B$6:$B$505,$A27)))</f>
        <v/>
      </c>
      <c r="P27" s="117" t="str">
        <f>IF($A27="","",IF($J27=0,"n.b.",SUMIFS(STG_ZPMW03!$BO$6:$BO$505,STG_ZPMW03!$B$6:$B$505,$A27)))</f>
        <v/>
      </c>
      <c r="Q27" s="117" t="str">
        <f>IF($A27="","",IF($J27=0,"n.b.",SUMIFS(STG_ZPMW03!$BP$6:$BP$505,STG_ZPMW03!$B$6:$B$505,$A27)))</f>
        <v/>
      </c>
      <c r="R27" s="117" t="str">
        <f>IF($A27="","",IF($J27=0,"n.b.",SUMIFS(STG_ZPMW03!$BQ$6:$BQ$505,STG_ZPMW03!$B$6:$B$505,$A27)))</f>
        <v/>
      </c>
      <c r="S27" s="117" t="str">
        <f>IF($A27="","",IF($J27=0,"n.b.",SUMIFS(STG_ZPMW03!$BR$6:$BR$505,STG_ZPMW03!$B$6:$B$505,$A27)))</f>
        <v/>
      </c>
      <c r="T27" s="117" t="str">
        <f>IF($A27="","",IF($J27=0,"n.b.",SUMIFS(STG_ZPMW03!$BS$6:$BS$505,STG_ZPMW03!$B$6:$B$505,$A27)))</f>
        <v/>
      </c>
      <c r="U27" s="117" t="str">
        <f>IF($A27="","",IF($J27=0,"n.b.",SUMIFS(STG_ZPMW03!$BT$6:$BT$505,STG_ZPMW03!$B$6:$B$505,$A27)))</f>
        <v/>
      </c>
      <c r="V27" s="117" t="str">
        <f>IF($A27="","",IF($J27=0,"n.b.",SUMIFS(STG_ZPMW03!$BU$6:$BU$505,STG_ZPMW03!$B$6:$B$505,$A27)))</f>
        <v/>
      </c>
      <c r="W27" s="117" t="str">
        <f>IF($A27="","",IF($J27=0,"n.b.",SUMIFS(STG_ZPMW03!$BW$6:$BW$505,STG_ZPMW03!$B$6:$B$505,$A27)))</f>
        <v/>
      </c>
      <c r="X27" s="117" t="str">
        <f>IF($A27="","",IF($J27=0,"n.b.",SUMIFS(STG_ZPMW03!$BY$6:$BY$505,STG_ZPMW03!$B$6:$B$505,$A27)))</f>
        <v/>
      </c>
      <c r="Y27" s="117" t="str">
        <f>IF($A27="","",IF($J27=0,"n.b.",SUMIFS(STG_ZPMW03!$CA$6:$CA$505,STG_ZPMW03!$B$6:$B$505,$A27)))</f>
        <v/>
      </c>
      <c r="Z27" s="117" t="str">
        <f>IF($A27="","",IF($J27=0,"n.b.",SUMIFS(STG_ZPMW03!$BV$6:$BV$505,STG_ZPMW03!$B$6:$B$505,$A27)))</f>
        <v/>
      </c>
      <c r="AA27" s="117" t="str">
        <f>IF($A27="","",IF($J27=0,"n.b.",SUMIFS(STG_ZPMW03!$BX$6:$BX$505,STG_ZPMW03!$B$6:$B$505,$A27)))</f>
        <v/>
      </c>
      <c r="AB27" s="117" t="str">
        <f>IF($A27="","",IF($J27=0,"n.b.",SUMIFS(STG_ZPMW03!$BZ$6:$BZ$505,STG_ZPMW03!$B$6:$B$505,$A27)))</f>
        <v/>
      </c>
      <c r="AC27" s="117" t="str">
        <f>IF($A27="","",IF($J27=0,"n.b.",SUMIFS(STG_ZPMW03!$CB$6:$CB$505,STG_ZPMW03!$B$6:$B$505,$A27)))</f>
        <v/>
      </c>
      <c r="AD27" s="117" t="str">
        <f>IF($A27="","",IF($J27=0,"n.b.",SUMIFS(STG_ZPMW03!$CC$6:$CC$505,STG_ZPMW03!$B$6:$B$505,$A27)))</f>
        <v/>
      </c>
      <c r="AE27" s="117" t="str">
        <f>IF($A27="","",IF($J27=0,"n.b.",SUMIFS(STG_ZPMW03!$CE$6:$CE$505,STG_ZPMW03!$B$6:$B$505,$A27)))</f>
        <v/>
      </c>
      <c r="AF27" s="117" t="str">
        <f>IF($A27="","",IF($J27=0,"n.b.",SUMIFS(STG_ZPMW03!$CG$6:$CG$505,STG_ZPMW03!$B$6:$B$505,$A27)))</f>
        <v/>
      </c>
      <c r="AG27" s="117" t="str">
        <f>IF($A27="","",IF($J27=0,"n.b.",SUMIFS(STG_ZPMW03!$CI$6:$CI$505,STG_ZPMW03!$B$6:$B$505,$A27)))</f>
        <v/>
      </c>
      <c r="AH27" s="117" t="str">
        <f>IF($A27="","",IF($J27=0,"n.b.",SUMIFS(STG_ZPMW03!$CK$6:$CK$505,STG_ZPMW03!$B$6:$B$505,$A27)))</f>
        <v/>
      </c>
      <c r="AI27" s="117" t="str">
        <f>IF($A27="","",IF($J27=0,"n.b.",SUMIFS(STG_ZPMW03!$CM$6:$CM$505,STG_ZPMW03!$B$6:$B$505,$A27)))</f>
        <v/>
      </c>
      <c r="AJ27" s="117" t="str">
        <f>IF($A27="","",IF($J27=0,"n.b.",SUMIFS(STG_ZPMW03!$CO$6:$CO$505,STG_ZPMW03!$B$6:$B$505,$A27)))</f>
        <v/>
      </c>
      <c r="AK27" s="117" t="str">
        <f>IF($A27="","",IF($J27=0,"n.b.",SUMIFS(STG_ZPMW03!$CQ$6:$CQ$505,STG_ZPMW03!$B$6:$B$505,$A27)))</f>
        <v/>
      </c>
      <c r="AL27" s="117" t="str">
        <f>IF($A27="","",IF($J27=0,"n.b.",SUMIFS(STG_ZPMW03!$CD$6:$CD$505,STG_ZPMW03!$B$6:$B$505,$A27)))</f>
        <v/>
      </c>
      <c r="AM27" s="117" t="str">
        <f>IF($A27="","",IF($J27=0,"n.b.",SUMIFS(STG_ZPMW03!$CF$6:$CF$505,STG_ZPMW03!$B$6:$B$505,$A27)))</f>
        <v/>
      </c>
      <c r="AN27" s="117" t="str">
        <f>IF($A27="","",IF($J27=0,"n.b.",SUMIFS(STG_ZPMW03!$CH$6:$CH$505,STG_ZPMW03!$B$6:$B$505,$A27)))</f>
        <v/>
      </c>
      <c r="AO27" s="117" t="str">
        <f>IF($A27="","",IF($J27=0,"n.b.",SUMIFS(STG_ZPMW03!$CJ$6:$CJ$505,STG_ZPMW03!$B$6:$B$505,$A27)))</f>
        <v/>
      </c>
      <c r="AP27" s="117" t="str">
        <f>IF($A27="","",IF($J27=0,"n.b.",SUMIFS(STG_ZPMW03!$CL$6:$CL$505,STG_ZPMW03!$B$6:$B$505,$A27)))</f>
        <v/>
      </c>
      <c r="AQ27" s="117" t="str">
        <f>IF($A27="","",IF($J27=0,"n.b.",SUMIFS(STG_ZPMW03!$CN$6:$CN$505,STG_ZPMW03!$B$6:$B$505,$A27)))</f>
        <v/>
      </c>
      <c r="AR27" s="117" t="str">
        <f>IF($A27="","",IF($J27=0,"n.b.",SUMIFS(STG_ZPMW03!$CP$6:$CP$505,STG_ZPMW03!$B$6:$B$505,$A27)))</f>
        <v/>
      </c>
      <c r="AS27" s="117" t="str">
        <f>IF($A27="","",IF($J27=0,"n.b.",SUMIFS(STG_ZPMW03!$CR$6:$CR$505,STG_ZPMW03!$B$6:$B$505,$A27)))</f>
        <v/>
      </c>
      <c r="AT27" s="117" t="str">
        <f>IF($A27="","",IF($K27=0,"n.b.",SUMIFS(STG_Woningetalage!$Q$6:$Q$505,STG_Woningetalage!$B$6:$B$505,$A27)))</f>
        <v/>
      </c>
      <c r="AU27" s="117" t="str">
        <f>IF($A27="","",IF($K27=0,"n.b.",SUMIFS(STG_Woningetalage!$R$6:$R$505,STG_Woningetalage!$B$6:$B$505,$A27)))</f>
        <v/>
      </c>
      <c r="AV27" s="117" t="str">
        <f>IF($A27="","",IF($K27=0,"n.b.",SUMIFS(STG_Woningetalage!$S$6:$S$505,STG_Woningetalage!$B$6:$B$505,$A27)))</f>
        <v/>
      </c>
      <c r="AW27" s="117" t="str">
        <f>IF($A27="","",IF($K27=0,"n.b.",SUMIFS(STG_Woningetalage!$T$6:$T$505,STG_Woningetalage!$B$6:$B$505,$A27)))</f>
        <v/>
      </c>
      <c r="AX27" s="117" t="str">
        <f>IF($A27="","",IF($K27=0,"n.b.",SUMIFS(STG_Woningetalage!$U$6:$U$505,STG_Woningetalage!$B$6:$B$505,$A27)))</f>
        <v/>
      </c>
      <c r="AY27" s="117" t="str">
        <f>IF($A27="","",IF($K27=0,"n.b.",SUMIFS(STG_Woningetalage!$V$6:$V$505,STG_Woningetalage!$B$6:$B$505,$A27)))</f>
        <v/>
      </c>
      <c r="AZ27" s="117" t="str">
        <f>IF($A27="","",IF($K27=0,"n.b.",SUMIFS(STG_Woningetalage!$W$6:$W$505,STG_Woningetalage!$B$6:$B$505,$A27)))</f>
        <v/>
      </c>
      <c r="BA27" s="117" t="str">
        <f>IF($A27="","",IF($K27=0,"n.b.",SUMIFS(STG_Woningetalage!$X$6:$X$505,STG_Woningetalage!$B$6:$B$505,$A27)))</f>
        <v/>
      </c>
      <c r="BB27" s="117" t="str">
        <f>IF($A27="","",IF($K27=0,"n.b.",SUMIFS(STG_Woningetalage!$Y$6:$Y$505,STG_Woningetalage!$B$6:$B$505,$A27)))</f>
        <v/>
      </c>
      <c r="BC27" s="117" t="str">
        <f>IF($A27="","",IF($K27=0,"n.b.",SUMIFS(STG_Woningetalage!$Z$6:$Z$505,STG_Woningetalage!$B$6:$B$505,$A27)))</f>
        <v/>
      </c>
      <c r="BD27" s="117" t="str">
        <f>IF($A27="","",IF($K27=0,"n.b.",SUMIFS(STG_Woningetalage!$AA$6:$AA$505,STG_Woningetalage!$B$6:$B$505,$A27)))</f>
        <v/>
      </c>
      <c r="BE27" s="117" t="str">
        <f>IF($A27="","",IF($K27=0,"n.b.",SUMIFS(STG_Woningetalage!$AB$6:$AB$505,STG_Woningetalage!$B$6:$B$505,$A27)))</f>
        <v/>
      </c>
      <c r="BF27" s="117" t="str">
        <f>IF($A27="","",IF($K27=0,"n.b.",SUMIFS(STG_Woningetalage!$AC$6:$AC$505,STG_Woningetalage!$B$6:$B$505,$A27)))</f>
        <v/>
      </c>
      <c r="BG27" s="117" t="str">
        <f>IF($A27="","",IF($K27=0,"n.b.",SUMIFS(STG_Woningetalage!$AD$6:$AD$505,STG_Woningetalage!$B$6:$B$505,$A27)))</f>
        <v/>
      </c>
      <c r="BH27" s="117" t="str">
        <f>IF($A27="","",IF($K27=0,"n.b.",SUMIFS(STG_Woningetalage!$AE$6:$AE$505,STG_Woningetalage!$B$6:$B$505,$A27)))</f>
        <v/>
      </c>
      <c r="BI27" s="117" t="str">
        <f>IF($A27="","",IF($K27=0,"n.b.",SUMIFS(STG_Woningetalage!$AF$6:$AF$505,STG_Woningetalage!$B$6:$B$505,$A27)))</f>
        <v/>
      </c>
      <c r="BJ27" s="117" t="str">
        <f>IF($A27="","",IF($K27=0,"n.b.",SUMIFS(STG_Woningetalage!$AG$6:$AG$505,STG_Woningetalage!$B$6:$B$505,$A27)))</f>
        <v/>
      </c>
      <c r="BK27" s="117" t="str">
        <f>IF($A27="","",IF($K27=0,"n.b.",SUMIFS(STG_Woningetalage!$AH$6:$AH$505,STG_Woningetalage!$B$6:$B$505,$A27)))</f>
        <v/>
      </c>
      <c r="BL27" s="117" t="str">
        <f>IF($A27="","",IF($K27=0,"n.b.",SUMIFS(STG_Woningetalage!$AI$6:$AI$505,STG_Woningetalage!$B$6:$B$505,$A27)))</f>
        <v/>
      </c>
      <c r="BM27" s="117" t="str">
        <f>IF($A27="","",IF($K27=0,"n.b.",SUMIFS(STG_Woningetalage!$AJ$6:$AJ$505,STG_Woningetalage!$B$6:$B$505,$A27)))</f>
        <v/>
      </c>
      <c r="BN27" s="117" t="str">
        <f>IF($A27="","",IF($K27=0,"n.b.",SUMIFS(STG_Woningetalage!$AK$6:$AK$505,STG_Woningetalage!$B$6:$B$505,$A27)))</f>
        <v/>
      </c>
      <c r="BO27" s="117" t="str">
        <f>IF($A27="","",IF($K27=0,"n.b.",SUMIFS(STG_Woningetalage!$AL$6:$AL$505,STG_Woningetalage!$B$6:$B$505,$A27)))</f>
        <v/>
      </c>
      <c r="BP27" s="117" t="str">
        <f>IF($A27="","",IF($K27=0,"n.b.",SUMIFS(STG_Woningetalage!$AM$6:$AM$505,STG_Woningetalage!$B$6:$B$505,$A27)))</f>
        <v/>
      </c>
      <c r="BQ27" s="117" t="str">
        <f>IF($A27="","",IF($K27=0,"n.b.",SUMIFS(STG_Woningetalage!$BE$6:$BE$505,STG_Woningetalage!$B$6:$B$505,$A27)))</f>
        <v/>
      </c>
      <c r="BR27" s="117" t="str">
        <f>IF($A27="","",IF($K27=0,"n.b.",SUMIFS(STG_Woningetalage!$BF$6:$BF$505,STG_Woningetalage!$B$6:$B$505,$A27)))</f>
        <v/>
      </c>
      <c r="BS27" s="117" t="str">
        <f>IF($A27="","",IF($K27=0,"n.b.",SUMIFS(STG_Woningetalage!$BG$6:$BG$505,STG_Woningetalage!$B$6:$B$505,$A27)))</f>
        <v/>
      </c>
      <c r="BT27" s="117" t="str">
        <f>IF($A27="","",IF($K27=0,"n.b.",SUMIFS(STG_Woningetalage!$BH$6:$BH$505,STG_Woningetalage!$B$6:$B$505,$A27)))</f>
        <v/>
      </c>
      <c r="BU27" s="117" t="str">
        <f>IF($A27="","",IF($K27=0,"n.b.",SUMIFS(STG_Woningetalage!$BI$6:$BI$505,STG_Woningetalage!$B$6:$B$505,$A27)))</f>
        <v/>
      </c>
      <c r="BV27" s="117" t="str">
        <f>IF($A27="","",IF($K27=0,"n.b.",SUMIFS(STG_Woningetalage!$BJ$6:$BJ$505,STG_Woningetalage!$B$6:$B$505,$A27)))</f>
        <v/>
      </c>
      <c r="BW27" s="117" t="str">
        <f>IF($A27="","",IF($K27=0,"n.b.",SUMIFS(STG_Woningetalage!$AR$6:$AR$505,STG_Woningetalage!$B$6:$B$505,$A27)))</f>
        <v/>
      </c>
      <c r="BX27" s="117" t="str">
        <f>IF($A27="","",IF($K27=0,"n.b.",SUMIFS(STG_Woningetalage!$AS$6:$AS$505,STG_Woningetalage!$B$6:$B$505,$A27)))</f>
        <v/>
      </c>
      <c r="BY27" s="117" t="str">
        <f>IF($A27="","",IF($K27=0,"n.b.",SUMIFS(STG_Woningetalage!$AN$6:$AN$505,STG_Woningetalage!$B$6:$B$505,$A27)))</f>
        <v/>
      </c>
      <c r="BZ27" s="117" t="str">
        <f>IF($A27="","",IF($K27=0,"n.b.",SUMIFS(STG_Woningetalage!$AO$6:$AO$505,STG_Woningetalage!$B$6:$B$505,$A27)))</f>
        <v/>
      </c>
      <c r="CA27" s="117" t="str">
        <f>IF($A27="","",IF($K27=0,"n.b.",SUMIFS(STG_Woningetalage!$AP$6:$AP$505,STG_Woningetalage!$B$6:$B$505,$A27)))</f>
        <v/>
      </c>
      <c r="CB27" s="117" t="str">
        <f>IF($A27="","",IF($K27=0,"n.b.",SUMIFS(STG_Woningetalage!$AQ$6:$AQ$505,STG_Woningetalage!$B$6:$B$505,$A27)))</f>
        <v/>
      </c>
      <c r="CC27" s="117" t="str">
        <f>IF($A27="","",IF($K27=0,"n.b.",SUMIFS(STG_Woningetalage!$AU$6:$AU$505,STG_Woningetalage!$B$6:$B$505,$A27)))</f>
        <v/>
      </c>
      <c r="CD27" s="92" t="str">
        <f>IF($A27="","",IFERROR(INDEX(STG_ZPMW03!$L$6:$L$505,MATCH($A27,STG_ZPMW03!$B$6:$B$505,0)),"n.b."))</f>
        <v/>
      </c>
      <c r="CE27" s="92" t="str">
        <f>IF($A27="","",IFERROR(INDEX(STG_ZPMW03!$K$6:$K$505,MATCH($A27,STG_ZPMW03!$B$6:$B$505,0)),"n.b."))</f>
        <v/>
      </c>
      <c r="CF27" s="92" t="str">
        <f>IF($A27="","",IFERROR(INDEX(STG_ZPMW03!$BH$6:$BH$505,MATCH($A27,STG_ZPMW03!$B$6:$B$505,0)),"n.b."))</f>
        <v/>
      </c>
      <c r="CG27" s="92" t="str">
        <f>IF($A27="","",IFERROR(INDEX(STG_ZPMW03!$BI$6:$BI$505,MATCH($A27,STG_ZPMW03!$B$6:$B$505,0)),"n.b."))</f>
        <v/>
      </c>
      <c r="CH27" s="92" t="str">
        <f>IF($A27="","",IFERROR(INDEX(STG_ZPMW03!$BJ$6:$BJ$505,MATCH($A27,STG_ZPMW03!$B$6:$B$505,0)),"n.b."))</f>
        <v/>
      </c>
      <c r="CI27" s="92" t="str">
        <f>IF($A27="","",IFERROR(INDEX(STG_ZPMW03!$BF$6:$BF$505,MATCH($A27,STG_ZPMW03!$B$6:$B$505,0)),"n.b."))</f>
        <v/>
      </c>
      <c r="CJ27" s="92" t="str">
        <f>IF($A27="","",IFERROR(INDEX(STG_ZPMW03!$BG$6:$BG$505,MATCH($A27,STG_ZPMW03!$B$6:$B$505,0)),"n.b."))</f>
        <v/>
      </c>
      <c r="CK27" s="92" t="str">
        <f>IF($A27="","",IFERROR(INDEX(STG_ZPMW03!$H$6:$H$505,MATCH($A27,STG_ZPMW03!$B$6:$B$505,0)),"n.b."))</f>
        <v/>
      </c>
      <c r="CL27" s="92" t="str">
        <f>IF($A27="","",IFERROR(INDEX(STG_ZPMW03!$E$6:$E$505,MATCH($A27,STG_ZPMW03!$B$6:$B$505,0)),"n.b."))</f>
        <v/>
      </c>
      <c r="CM27" s="92" t="str">
        <f>IF($A27="","",IFERROR(INDEX(STG_ZPMW03!$G$6:$G$505,MATCH($A27,STG_ZPMW03!$B$6:$B$505,0)),"n.b."))</f>
        <v/>
      </c>
      <c r="CN27" s="92" t="str">
        <f>IF($A27="","",IFERROR(INDEX(STG_Woningetalage!$N$6:$N$505,MATCH($A27,STG_Woningetalage!$B$6:$B$505,0)),"n.b."))</f>
        <v/>
      </c>
      <c r="CO27" s="92" t="str">
        <f>IF($A27="","",IFERROR(INDEX(STG_Woningetalage!$P$6:$P$505,MATCH($A27,STG_Woningetalage!$B$6:$B$505,0)),"n.b."))</f>
        <v/>
      </c>
      <c r="CP27" s="118" t="str">
        <f>IF($A27="","",IF(AND(ISNUMBER(AT27),ISNUMBER(F27)),IF(F27&gt;0,AT27/(F27/100),"n.b."),"n.b."))</f>
        <v/>
      </c>
      <c r="CQ27" s="116" t="str">
        <f>IF($A27="","",IF(ISNUMBER(Q27),IF(Q27&lt;0,1,0),0))</f>
        <v/>
      </c>
      <c r="CR27" s="116" t="str">
        <f>IF(CQ27=1,COUNTIF($CQ$6:CQ27,1),"")</f>
        <v/>
      </c>
      <c r="CS27" s="116" t="str">
        <f>IF(AND($A27&lt;&gt;"",$J27=0),COUNTIFS($A$6:$A27,"?*",$J$6:$J27,0),"")</f>
        <v/>
      </c>
      <c r="CT27" s="119" t="str">
        <f>IF($A27="","",IF(AND(ISNUMBER(Q27),ISNUMBER(P27)),IF(P27&lt;&gt;0,Q27/P27,"n.b."),"n.b."))</f>
        <v/>
      </c>
    </row>
    <row r="28">
      <c r="A28" s="92" t="str">
        <f>IF(Mapping!$A27="","",Mapping!$A27)</f>
        <v/>
      </c>
      <c r="B28" s="92" t="str">
        <f>IF(Mapping!$B27="","",Mapping!$B27)</f>
        <v/>
      </c>
      <c r="C28" s="92" t="str">
        <f>IF(Mapping!$C27="","",Mapping!$C27)</f>
        <v/>
      </c>
      <c r="D28" s="92" t="str">
        <f>IF(Mapping!$F27="","",Mapping!$F27)</f>
        <v/>
      </c>
      <c r="E28" s="92" t="str">
        <f>IF(Mapping!$H27="","",Mapping!$H27)</f>
        <v/>
      </c>
      <c r="F28" s="92" t="str">
        <f>IF(Mapping!$E27="","",Mapping!$E27)</f>
        <v/>
      </c>
      <c r="G28" s="92" t="str">
        <f>IF(Mapping!$G27="","",Mapping!$G27)</f>
        <v/>
      </c>
      <c r="H28" s="92" t="str">
        <f>IF(Mapping!$D27="","",Mapping!$D27)</f>
        <v/>
      </c>
      <c r="I28" s="92" t="str">
        <f>IF($A28="","",IFERROR(INDEX(STG_ZPMW03!$C$6:$C$505,MATCH($A28,STG_ZPMW03!$B$6:$B$505,0)),"n.b."))</f>
        <v/>
      </c>
      <c r="J28" s="116" t="str">
        <f>IF($A28="","",COUNTIF(STG_ZPMW03!$B$6:$B$505,$A28))</f>
        <v/>
      </c>
      <c r="K28" s="116" t="str">
        <f>IF($A28="","",COUNTIF(STG_Woningetalage!$B$6:$B$505,$A28))</f>
        <v/>
      </c>
      <c r="L28" s="117" t="str">
        <f>IF($A28="","",IF($J28=0,"n.b.",SUMIFS(STG_ZPMW03!$BK$6:$BK$505,STG_ZPMW03!$B$6:$B$505,$A28)))</f>
        <v/>
      </c>
      <c r="M28" s="117" t="str">
        <f>IF($A28="","",IF($J28=0,"n.b.",SUMIFS(STG_ZPMW03!$BL$6:$BL$505,STG_ZPMW03!$B$6:$B$505,$A28)))</f>
        <v/>
      </c>
      <c r="N28" s="117" t="str">
        <f>IF($A28="","",IF($J28=0,"n.b.",SUMIFS(STG_ZPMW03!$BM$6:$BM$505,STG_ZPMW03!$B$6:$B$505,$A28)))</f>
        <v/>
      </c>
      <c r="O28" s="117" t="str">
        <f>IF($A28="","",IF($J28=0,"n.b.",SUMIFS(STG_ZPMW03!$BN$6:$BN$505,STG_ZPMW03!$B$6:$B$505,$A28)))</f>
        <v/>
      </c>
      <c r="P28" s="117" t="str">
        <f>IF($A28="","",IF($J28=0,"n.b.",SUMIFS(STG_ZPMW03!$BO$6:$BO$505,STG_ZPMW03!$B$6:$B$505,$A28)))</f>
        <v/>
      </c>
      <c r="Q28" s="117" t="str">
        <f>IF($A28="","",IF($J28=0,"n.b.",SUMIFS(STG_ZPMW03!$BP$6:$BP$505,STG_ZPMW03!$B$6:$B$505,$A28)))</f>
        <v/>
      </c>
      <c r="R28" s="117" t="str">
        <f>IF($A28="","",IF($J28=0,"n.b.",SUMIFS(STG_ZPMW03!$BQ$6:$BQ$505,STG_ZPMW03!$B$6:$B$505,$A28)))</f>
        <v/>
      </c>
      <c r="S28" s="117" t="str">
        <f>IF($A28="","",IF($J28=0,"n.b.",SUMIFS(STG_ZPMW03!$BR$6:$BR$505,STG_ZPMW03!$B$6:$B$505,$A28)))</f>
        <v/>
      </c>
      <c r="T28" s="117" t="str">
        <f>IF($A28="","",IF($J28=0,"n.b.",SUMIFS(STG_ZPMW03!$BS$6:$BS$505,STG_ZPMW03!$B$6:$B$505,$A28)))</f>
        <v/>
      </c>
      <c r="U28" s="117" t="str">
        <f>IF($A28="","",IF($J28=0,"n.b.",SUMIFS(STG_ZPMW03!$BT$6:$BT$505,STG_ZPMW03!$B$6:$B$505,$A28)))</f>
        <v/>
      </c>
      <c r="V28" s="117" t="str">
        <f>IF($A28="","",IF($J28=0,"n.b.",SUMIFS(STG_ZPMW03!$BU$6:$BU$505,STG_ZPMW03!$B$6:$B$505,$A28)))</f>
        <v/>
      </c>
      <c r="W28" s="117" t="str">
        <f>IF($A28="","",IF($J28=0,"n.b.",SUMIFS(STG_ZPMW03!$BW$6:$BW$505,STG_ZPMW03!$B$6:$B$505,$A28)))</f>
        <v/>
      </c>
      <c r="X28" s="117" t="str">
        <f>IF($A28="","",IF($J28=0,"n.b.",SUMIFS(STG_ZPMW03!$BY$6:$BY$505,STG_ZPMW03!$B$6:$B$505,$A28)))</f>
        <v/>
      </c>
      <c r="Y28" s="117" t="str">
        <f>IF($A28="","",IF($J28=0,"n.b.",SUMIFS(STG_ZPMW03!$CA$6:$CA$505,STG_ZPMW03!$B$6:$B$505,$A28)))</f>
        <v/>
      </c>
      <c r="Z28" s="117" t="str">
        <f>IF($A28="","",IF($J28=0,"n.b.",SUMIFS(STG_ZPMW03!$BV$6:$BV$505,STG_ZPMW03!$B$6:$B$505,$A28)))</f>
        <v/>
      </c>
      <c r="AA28" s="117" t="str">
        <f>IF($A28="","",IF($J28=0,"n.b.",SUMIFS(STG_ZPMW03!$BX$6:$BX$505,STG_ZPMW03!$B$6:$B$505,$A28)))</f>
        <v/>
      </c>
      <c r="AB28" s="117" t="str">
        <f>IF($A28="","",IF($J28=0,"n.b.",SUMIFS(STG_ZPMW03!$BZ$6:$BZ$505,STG_ZPMW03!$B$6:$B$505,$A28)))</f>
        <v/>
      </c>
      <c r="AC28" s="117" t="str">
        <f>IF($A28="","",IF($J28=0,"n.b.",SUMIFS(STG_ZPMW03!$CB$6:$CB$505,STG_ZPMW03!$B$6:$B$505,$A28)))</f>
        <v/>
      </c>
      <c r="AD28" s="117" t="str">
        <f>IF($A28="","",IF($J28=0,"n.b.",SUMIFS(STG_ZPMW03!$CC$6:$CC$505,STG_ZPMW03!$B$6:$B$505,$A28)))</f>
        <v/>
      </c>
      <c r="AE28" s="117" t="str">
        <f>IF($A28="","",IF($J28=0,"n.b.",SUMIFS(STG_ZPMW03!$CE$6:$CE$505,STG_ZPMW03!$B$6:$B$505,$A28)))</f>
        <v/>
      </c>
      <c r="AF28" s="117" t="str">
        <f>IF($A28="","",IF($J28=0,"n.b.",SUMIFS(STG_ZPMW03!$CG$6:$CG$505,STG_ZPMW03!$B$6:$B$505,$A28)))</f>
        <v/>
      </c>
      <c r="AG28" s="117" t="str">
        <f>IF($A28="","",IF($J28=0,"n.b.",SUMIFS(STG_ZPMW03!$CI$6:$CI$505,STG_ZPMW03!$B$6:$B$505,$A28)))</f>
        <v/>
      </c>
      <c r="AH28" s="117" t="str">
        <f>IF($A28="","",IF($J28=0,"n.b.",SUMIFS(STG_ZPMW03!$CK$6:$CK$505,STG_ZPMW03!$B$6:$B$505,$A28)))</f>
        <v/>
      </c>
      <c r="AI28" s="117" t="str">
        <f>IF($A28="","",IF($J28=0,"n.b.",SUMIFS(STG_ZPMW03!$CM$6:$CM$505,STG_ZPMW03!$B$6:$B$505,$A28)))</f>
        <v/>
      </c>
      <c r="AJ28" s="117" t="str">
        <f>IF($A28="","",IF($J28=0,"n.b.",SUMIFS(STG_ZPMW03!$CO$6:$CO$505,STG_ZPMW03!$B$6:$B$505,$A28)))</f>
        <v/>
      </c>
      <c r="AK28" s="117" t="str">
        <f>IF($A28="","",IF($J28=0,"n.b.",SUMIFS(STG_ZPMW03!$CQ$6:$CQ$505,STG_ZPMW03!$B$6:$B$505,$A28)))</f>
        <v/>
      </c>
      <c r="AL28" s="117" t="str">
        <f>IF($A28="","",IF($J28=0,"n.b.",SUMIFS(STG_ZPMW03!$CD$6:$CD$505,STG_ZPMW03!$B$6:$B$505,$A28)))</f>
        <v/>
      </c>
      <c r="AM28" s="117" t="str">
        <f>IF($A28="","",IF($J28=0,"n.b.",SUMIFS(STG_ZPMW03!$CF$6:$CF$505,STG_ZPMW03!$B$6:$B$505,$A28)))</f>
        <v/>
      </c>
      <c r="AN28" s="117" t="str">
        <f>IF($A28="","",IF($J28=0,"n.b.",SUMIFS(STG_ZPMW03!$CH$6:$CH$505,STG_ZPMW03!$B$6:$B$505,$A28)))</f>
        <v/>
      </c>
      <c r="AO28" s="117" t="str">
        <f>IF($A28="","",IF($J28=0,"n.b.",SUMIFS(STG_ZPMW03!$CJ$6:$CJ$505,STG_ZPMW03!$B$6:$B$505,$A28)))</f>
        <v/>
      </c>
      <c r="AP28" s="117" t="str">
        <f>IF($A28="","",IF($J28=0,"n.b.",SUMIFS(STG_ZPMW03!$CL$6:$CL$505,STG_ZPMW03!$B$6:$B$505,$A28)))</f>
        <v/>
      </c>
      <c r="AQ28" s="117" t="str">
        <f>IF($A28="","",IF($J28=0,"n.b.",SUMIFS(STG_ZPMW03!$CN$6:$CN$505,STG_ZPMW03!$B$6:$B$505,$A28)))</f>
        <v/>
      </c>
      <c r="AR28" s="117" t="str">
        <f>IF($A28="","",IF($J28=0,"n.b.",SUMIFS(STG_ZPMW03!$CP$6:$CP$505,STG_ZPMW03!$B$6:$B$505,$A28)))</f>
        <v/>
      </c>
      <c r="AS28" s="117" t="str">
        <f>IF($A28="","",IF($J28=0,"n.b.",SUMIFS(STG_ZPMW03!$CR$6:$CR$505,STG_ZPMW03!$B$6:$B$505,$A28)))</f>
        <v/>
      </c>
      <c r="AT28" s="117" t="str">
        <f>IF($A28="","",IF($K28=0,"n.b.",SUMIFS(STG_Woningetalage!$Q$6:$Q$505,STG_Woningetalage!$B$6:$B$505,$A28)))</f>
        <v/>
      </c>
      <c r="AU28" s="117" t="str">
        <f>IF($A28="","",IF($K28=0,"n.b.",SUMIFS(STG_Woningetalage!$R$6:$R$505,STG_Woningetalage!$B$6:$B$505,$A28)))</f>
        <v/>
      </c>
      <c r="AV28" s="117" t="str">
        <f>IF($A28="","",IF($K28=0,"n.b.",SUMIFS(STG_Woningetalage!$S$6:$S$505,STG_Woningetalage!$B$6:$B$505,$A28)))</f>
        <v/>
      </c>
      <c r="AW28" s="117" t="str">
        <f>IF($A28="","",IF($K28=0,"n.b.",SUMIFS(STG_Woningetalage!$T$6:$T$505,STG_Woningetalage!$B$6:$B$505,$A28)))</f>
        <v/>
      </c>
      <c r="AX28" s="117" t="str">
        <f>IF($A28="","",IF($K28=0,"n.b.",SUMIFS(STG_Woningetalage!$U$6:$U$505,STG_Woningetalage!$B$6:$B$505,$A28)))</f>
        <v/>
      </c>
      <c r="AY28" s="117" t="str">
        <f>IF($A28="","",IF($K28=0,"n.b.",SUMIFS(STG_Woningetalage!$V$6:$V$505,STG_Woningetalage!$B$6:$B$505,$A28)))</f>
        <v/>
      </c>
      <c r="AZ28" s="117" t="str">
        <f>IF($A28="","",IF($K28=0,"n.b.",SUMIFS(STG_Woningetalage!$W$6:$W$505,STG_Woningetalage!$B$6:$B$505,$A28)))</f>
        <v/>
      </c>
      <c r="BA28" s="117" t="str">
        <f>IF($A28="","",IF($K28=0,"n.b.",SUMIFS(STG_Woningetalage!$X$6:$X$505,STG_Woningetalage!$B$6:$B$505,$A28)))</f>
        <v/>
      </c>
      <c r="BB28" s="117" t="str">
        <f>IF($A28="","",IF($K28=0,"n.b.",SUMIFS(STG_Woningetalage!$Y$6:$Y$505,STG_Woningetalage!$B$6:$B$505,$A28)))</f>
        <v/>
      </c>
      <c r="BC28" s="117" t="str">
        <f>IF($A28="","",IF($K28=0,"n.b.",SUMIFS(STG_Woningetalage!$Z$6:$Z$505,STG_Woningetalage!$B$6:$B$505,$A28)))</f>
        <v/>
      </c>
      <c r="BD28" s="117" t="str">
        <f>IF($A28="","",IF($K28=0,"n.b.",SUMIFS(STG_Woningetalage!$AA$6:$AA$505,STG_Woningetalage!$B$6:$B$505,$A28)))</f>
        <v/>
      </c>
      <c r="BE28" s="117" t="str">
        <f>IF($A28="","",IF($K28=0,"n.b.",SUMIFS(STG_Woningetalage!$AB$6:$AB$505,STG_Woningetalage!$B$6:$B$505,$A28)))</f>
        <v/>
      </c>
      <c r="BF28" s="117" t="str">
        <f>IF($A28="","",IF($K28=0,"n.b.",SUMIFS(STG_Woningetalage!$AC$6:$AC$505,STG_Woningetalage!$B$6:$B$505,$A28)))</f>
        <v/>
      </c>
      <c r="BG28" s="117" t="str">
        <f>IF($A28="","",IF($K28=0,"n.b.",SUMIFS(STG_Woningetalage!$AD$6:$AD$505,STG_Woningetalage!$B$6:$B$505,$A28)))</f>
        <v/>
      </c>
      <c r="BH28" s="117" t="str">
        <f>IF($A28="","",IF($K28=0,"n.b.",SUMIFS(STG_Woningetalage!$AE$6:$AE$505,STG_Woningetalage!$B$6:$B$505,$A28)))</f>
        <v/>
      </c>
      <c r="BI28" s="117" t="str">
        <f>IF($A28="","",IF($K28=0,"n.b.",SUMIFS(STG_Woningetalage!$AF$6:$AF$505,STG_Woningetalage!$B$6:$B$505,$A28)))</f>
        <v/>
      </c>
      <c r="BJ28" s="117" t="str">
        <f>IF($A28="","",IF($K28=0,"n.b.",SUMIFS(STG_Woningetalage!$AG$6:$AG$505,STG_Woningetalage!$B$6:$B$505,$A28)))</f>
        <v/>
      </c>
      <c r="BK28" s="117" t="str">
        <f>IF($A28="","",IF($K28=0,"n.b.",SUMIFS(STG_Woningetalage!$AH$6:$AH$505,STG_Woningetalage!$B$6:$B$505,$A28)))</f>
        <v/>
      </c>
      <c r="BL28" s="117" t="str">
        <f>IF($A28="","",IF($K28=0,"n.b.",SUMIFS(STG_Woningetalage!$AI$6:$AI$505,STG_Woningetalage!$B$6:$B$505,$A28)))</f>
        <v/>
      </c>
      <c r="BM28" s="117" t="str">
        <f>IF($A28="","",IF($K28=0,"n.b.",SUMIFS(STG_Woningetalage!$AJ$6:$AJ$505,STG_Woningetalage!$B$6:$B$505,$A28)))</f>
        <v/>
      </c>
      <c r="BN28" s="117" t="str">
        <f>IF($A28="","",IF($K28=0,"n.b.",SUMIFS(STG_Woningetalage!$AK$6:$AK$505,STG_Woningetalage!$B$6:$B$505,$A28)))</f>
        <v/>
      </c>
      <c r="BO28" s="117" t="str">
        <f>IF($A28="","",IF($K28=0,"n.b.",SUMIFS(STG_Woningetalage!$AL$6:$AL$505,STG_Woningetalage!$B$6:$B$505,$A28)))</f>
        <v/>
      </c>
      <c r="BP28" s="117" t="str">
        <f>IF($A28="","",IF($K28=0,"n.b.",SUMIFS(STG_Woningetalage!$AM$6:$AM$505,STG_Woningetalage!$B$6:$B$505,$A28)))</f>
        <v/>
      </c>
      <c r="BQ28" s="117" t="str">
        <f>IF($A28="","",IF($K28=0,"n.b.",SUMIFS(STG_Woningetalage!$BE$6:$BE$505,STG_Woningetalage!$B$6:$B$505,$A28)))</f>
        <v/>
      </c>
      <c r="BR28" s="117" t="str">
        <f>IF($A28="","",IF($K28=0,"n.b.",SUMIFS(STG_Woningetalage!$BF$6:$BF$505,STG_Woningetalage!$B$6:$B$505,$A28)))</f>
        <v/>
      </c>
      <c r="BS28" s="117" t="str">
        <f>IF($A28="","",IF($K28=0,"n.b.",SUMIFS(STG_Woningetalage!$BG$6:$BG$505,STG_Woningetalage!$B$6:$B$505,$A28)))</f>
        <v/>
      </c>
      <c r="BT28" s="117" t="str">
        <f>IF($A28="","",IF($K28=0,"n.b.",SUMIFS(STG_Woningetalage!$BH$6:$BH$505,STG_Woningetalage!$B$6:$B$505,$A28)))</f>
        <v/>
      </c>
      <c r="BU28" s="117" t="str">
        <f>IF($A28="","",IF($K28=0,"n.b.",SUMIFS(STG_Woningetalage!$BI$6:$BI$505,STG_Woningetalage!$B$6:$B$505,$A28)))</f>
        <v/>
      </c>
      <c r="BV28" s="117" t="str">
        <f>IF($A28="","",IF($K28=0,"n.b.",SUMIFS(STG_Woningetalage!$BJ$6:$BJ$505,STG_Woningetalage!$B$6:$B$505,$A28)))</f>
        <v/>
      </c>
      <c r="BW28" s="117" t="str">
        <f>IF($A28="","",IF($K28=0,"n.b.",SUMIFS(STG_Woningetalage!$AR$6:$AR$505,STG_Woningetalage!$B$6:$B$505,$A28)))</f>
        <v/>
      </c>
      <c r="BX28" s="117" t="str">
        <f>IF($A28="","",IF($K28=0,"n.b.",SUMIFS(STG_Woningetalage!$AS$6:$AS$505,STG_Woningetalage!$B$6:$B$505,$A28)))</f>
        <v/>
      </c>
      <c r="BY28" s="117" t="str">
        <f>IF($A28="","",IF($K28=0,"n.b.",SUMIFS(STG_Woningetalage!$AN$6:$AN$505,STG_Woningetalage!$B$6:$B$505,$A28)))</f>
        <v/>
      </c>
      <c r="BZ28" s="117" t="str">
        <f>IF($A28="","",IF($K28=0,"n.b.",SUMIFS(STG_Woningetalage!$AO$6:$AO$505,STG_Woningetalage!$B$6:$B$505,$A28)))</f>
        <v/>
      </c>
      <c r="CA28" s="117" t="str">
        <f>IF($A28="","",IF($K28=0,"n.b.",SUMIFS(STG_Woningetalage!$AP$6:$AP$505,STG_Woningetalage!$B$6:$B$505,$A28)))</f>
        <v/>
      </c>
      <c r="CB28" s="117" t="str">
        <f>IF($A28="","",IF($K28=0,"n.b.",SUMIFS(STG_Woningetalage!$AQ$6:$AQ$505,STG_Woningetalage!$B$6:$B$505,$A28)))</f>
        <v/>
      </c>
      <c r="CC28" s="117" t="str">
        <f>IF($A28="","",IF($K28=0,"n.b.",SUMIFS(STG_Woningetalage!$AU$6:$AU$505,STG_Woningetalage!$B$6:$B$505,$A28)))</f>
        <v/>
      </c>
      <c r="CD28" s="92" t="str">
        <f>IF($A28="","",IFERROR(INDEX(STG_ZPMW03!$L$6:$L$505,MATCH($A28,STG_ZPMW03!$B$6:$B$505,0)),"n.b."))</f>
        <v/>
      </c>
      <c r="CE28" s="92" t="str">
        <f>IF($A28="","",IFERROR(INDEX(STG_ZPMW03!$K$6:$K$505,MATCH($A28,STG_ZPMW03!$B$6:$B$505,0)),"n.b."))</f>
        <v/>
      </c>
      <c r="CF28" s="92" t="str">
        <f>IF($A28="","",IFERROR(INDEX(STG_ZPMW03!$BH$6:$BH$505,MATCH($A28,STG_ZPMW03!$B$6:$B$505,0)),"n.b."))</f>
        <v/>
      </c>
      <c r="CG28" s="92" t="str">
        <f>IF($A28="","",IFERROR(INDEX(STG_ZPMW03!$BI$6:$BI$505,MATCH($A28,STG_ZPMW03!$B$6:$B$505,0)),"n.b."))</f>
        <v/>
      </c>
      <c r="CH28" s="92" t="str">
        <f>IF($A28="","",IFERROR(INDEX(STG_ZPMW03!$BJ$6:$BJ$505,MATCH($A28,STG_ZPMW03!$B$6:$B$505,0)),"n.b."))</f>
        <v/>
      </c>
      <c r="CI28" s="92" t="str">
        <f>IF($A28="","",IFERROR(INDEX(STG_ZPMW03!$BF$6:$BF$505,MATCH($A28,STG_ZPMW03!$B$6:$B$505,0)),"n.b."))</f>
        <v/>
      </c>
      <c r="CJ28" s="92" t="str">
        <f>IF($A28="","",IFERROR(INDEX(STG_ZPMW03!$BG$6:$BG$505,MATCH($A28,STG_ZPMW03!$B$6:$B$505,0)),"n.b."))</f>
        <v/>
      </c>
      <c r="CK28" s="92" t="str">
        <f>IF($A28="","",IFERROR(INDEX(STG_ZPMW03!$H$6:$H$505,MATCH($A28,STG_ZPMW03!$B$6:$B$505,0)),"n.b."))</f>
        <v/>
      </c>
      <c r="CL28" s="92" t="str">
        <f>IF($A28="","",IFERROR(INDEX(STG_ZPMW03!$E$6:$E$505,MATCH($A28,STG_ZPMW03!$B$6:$B$505,0)),"n.b."))</f>
        <v/>
      </c>
      <c r="CM28" s="92" t="str">
        <f>IF($A28="","",IFERROR(INDEX(STG_ZPMW03!$G$6:$G$505,MATCH($A28,STG_ZPMW03!$B$6:$B$505,0)),"n.b."))</f>
        <v/>
      </c>
      <c r="CN28" s="92" t="str">
        <f>IF($A28="","",IFERROR(INDEX(STG_Woningetalage!$N$6:$N$505,MATCH($A28,STG_Woningetalage!$B$6:$B$505,0)),"n.b."))</f>
        <v/>
      </c>
      <c r="CO28" s="92" t="str">
        <f>IF($A28="","",IFERROR(INDEX(STG_Woningetalage!$P$6:$P$505,MATCH($A28,STG_Woningetalage!$B$6:$B$505,0)),"n.b."))</f>
        <v/>
      </c>
      <c r="CP28" s="118" t="str">
        <f>IF($A28="","",IF(AND(ISNUMBER(AT28),ISNUMBER(F28)),IF(F28&gt;0,AT28/(F28/100),"n.b."),"n.b."))</f>
        <v/>
      </c>
      <c r="CQ28" s="116" t="str">
        <f>IF($A28="","",IF(ISNUMBER(Q28),IF(Q28&lt;0,1,0),0))</f>
        <v/>
      </c>
      <c r="CR28" s="116" t="str">
        <f>IF(CQ28=1,COUNTIF($CQ$6:CQ28,1),"")</f>
        <v/>
      </c>
      <c r="CS28" s="116" t="str">
        <f>IF(AND($A28&lt;&gt;"",$J28=0),COUNTIFS($A$6:$A28,"?*",$J$6:$J28,0),"")</f>
        <v/>
      </c>
      <c r="CT28" s="119" t="str">
        <f>IF($A28="","",IF(AND(ISNUMBER(Q28),ISNUMBER(P28)),IF(P28&lt;&gt;0,Q28/P28,"n.b."),"n.b."))</f>
        <v/>
      </c>
    </row>
    <row r="29">
      <c r="A29" s="92" t="str">
        <f>IF(Mapping!$A28="","",Mapping!$A28)</f>
        <v/>
      </c>
      <c r="B29" s="92" t="str">
        <f>IF(Mapping!$B28="","",Mapping!$B28)</f>
        <v/>
      </c>
      <c r="C29" s="92" t="str">
        <f>IF(Mapping!$C28="","",Mapping!$C28)</f>
        <v/>
      </c>
      <c r="D29" s="92" t="str">
        <f>IF(Mapping!$F28="","",Mapping!$F28)</f>
        <v/>
      </c>
      <c r="E29" s="92" t="str">
        <f>IF(Mapping!$H28="","",Mapping!$H28)</f>
        <v/>
      </c>
      <c r="F29" s="92" t="str">
        <f>IF(Mapping!$E28="","",Mapping!$E28)</f>
        <v/>
      </c>
      <c r="G29" s="92" t="str">
        <f>IF(Mapping!$G28="","",Mapping!$G28)</f>
        <v/>
      </c>
      <c r="H29" s="92" t="str">
        <f>IF(Mapping!$D28="","",Mapping!$D28)</f>
        <v/>
      </c>
      <c r="I29" s="92" t="str">
        <f>IF($A29="","",IFERROR(INDEX(STG_ZPMW03!$C$6:$C$505,MATCH($A29,STG_ZPMW03!$B$6:$B$505,0)),"n.b."))</f>
        <v/>
      </c>
      <c r="J29" s="116" t="str">
        <f>IF($A29="","",COUNTIF(STG_ZPMW03!$B$6:$B$505,$A29))</f>
        <v/>
      </c>
      <c r="K29" s="116" t="str">
        <f>IF($A29="","",COUNTIF(STG_Woningetalage!$B$6:$B$505,$A29))</f>
        <v/>
      </c>
      <c r="L29" s="117" t="str">
        <f>IF($A29="","",IF($J29=0,"n.b.",SUMIFS(STG_ZPMW03!$BK$6:$BK$505,STG_ZPMW03!$B$6:$B$505,$A29)))</f>
        <v/>
      </c>
      <c r="M29" s="117" t="str">
        <f>IF($A29="","",IF($J29=0,"n.b.",SUMIFS(STG_ZPMW03!$BL$6:$BL$505,STG_ZPMW03!$B$6:$B$505,$A29)))</f>
        <v/>
      </c>
      <c r="N29" s="117" t="str">
        <f>IF($A29="","",IF($J29=0,"n.b.",SUMIFS(STG_ZPMW03!$BM$6:$BM$505,STG_ZPMW03!$B$6:$B$505,$A29)))</f>
        <v/>
      </c>
      <c r="O29" s="117" t="str">
        <f>IF($A29="","",IF($J29=0,"n.b.",SUMIFS(STG_ZPMW03!$BN$6:$BN$505,STG_ZPMW03!$B$6:$B$505,$A29)))</f>
        <v/>
      </c>
      <c r="P29" s="117" t="str">
        <f>IF($A29="","",IF($J29=0,"n.b.",SUMIFS(STG_ZPMW03!$BO$6:$BO$505,STG_ZPMW03!$B$6:$B$505,$A29)))</f>
        <v/>
      </c>
      <c r="Q29" s="117" t="str">
        <f>IF($A29="","",IF($J29=0,"n.b.",SUMIFS(STG_ZPMW03!$BP$6:$BP$505,STG_ZPMW03!$B$6:$B$505,$A29)))</f>
        <v/>
      </c>
      <c r="R29" s="117" t="str">
        <f>IF($A29="","",IF($J29=0,"n.b.",SUMIFS(STG_ZPMW03!$BQ$6:$BQ$505,STG_ZPMW03!$B$6:$B$505,$A29)))</f>
        <v/>
      </c>
      <c r="S29" s="117" t="str">
        <f>IF($A29="","",IF($J29=0,"n.b.",SUMIFS(STG_ZPMW03!$BR$6:$BR$505,STG_ZPMW03!$B$6:$B$505,$A29)))</f>
        <v/>
      </c>
      <c r="T29" s="117" t="str">
        <f>IF($A29="","",IF($J29=0,"n.b.",SUMIFS(STG_ZPMW03!$BS$6:$BS$505,STG_ZPMW03!$B$6:$B$505,$A29)))</f>
        <v/>
      </c>
      <c r="U29" s="117" t="str">
        <f>IF($A29="","",IF($J29=0,"n.b.",SUMIFS(STG_ZPMW03!$BT$6:$BT$505,STG_ZPMW03!$B$6:$B$505,$A29)))</f>
        <v/>
      </c>
      <c r="V29" s="117" t="str">
        <f>IF($A29="","",IF($J29=0,"n.b.",SUMIFS(STG_ZPMW03!$BU$6:$BU$505,STG_ZPMW03!$B$6:$B$505,$A29)))</f>
        <v/>
      </c>
      <c r="W29" s="117" t="str">
        <f>IF($A29="","",IF($J29=0,"n.b.",SUMIFS(STG_ZPMW03!$BW$6:$BW$505,STG_ZPMW03!$B$6:$B$505,$A29)))</f>
        <v/>
      </c>
      <c r="X29" s="117" t="str">
        <f>IF($A29="","",IF($J29=0,"n.b.",SUMIFS(STG_ZPMW03!$BY$6:$BY$505,STG_ZPMW03!$B$6:$B$505,$A29)))</f>
        <v/>
      </c>
      <c r="Y29" s="117" t="str">
        <f>IF($A29="","",IF($J29=0,"n.b.",SUMIFS(STG_ZPMW03!$CA$6:$CA$505,STG_ZPMW03!$B$6:$B$505,$A29)))</f>
        <v/>
      </c>
      <c r="Z29" s="117" t="str">
        <f>IF($A29="","",IF($J29=0,"n.b.",SUMIFS(STG_ZPMW03!$BV$6:$BV$505,STG_ZPMW03!$B$6:$B$505,$A29)))</f>
        <v/>
      </c>
      <c r="AA29" s="117" t="str">
        <f>IF($A29="","",IF($J29=0,"n.b.",SUMIFS(STG_ZPMW03!$BX$6:$BX$505,STG_ZPMW03!$B$6:$B$505,$A29)))</f>
        <v/>
      </c>
      <c r="AB29" s="117" t="str">
        <f>IF($A29="","",IF($J29=0,"n.b.",SUMIFS(STG_ZPMW03!$BZ$6:$BZ$505,STG_ZPMW03!$B$6:$B$505,$A29)))</f>
        <v/>
      </c>
      <c r="AC29" s="117" t="str">
        <f>IF($A29="","",IF($J29=0,"n.b.",SUMIFS(STG_ZPMW03!$CB$6:$CB$505,STG_ZPMW03!$B$6:$B$505,$A29)))</f>
        <v/>
      </c>
      <c r="AD29" s="117" t="str">
        <f>IF($A29="","",IF($J29=0,"n.b.",SUMIFS(STG_ZPMW03!$CC$6:$CC$505,STG_ZPMW03!$B$6:$B$505,$A29)))</f>
        <v/>
      </c>
      <c r="AE29" s="117" t="str">
        <f>IF($A29="","",IF($J29=0,"n.b.",SUMIFS(STG_ZPMW03!$CE$6:$CE$505,STG_ZPMW03!$B$6:$B$505,$A29)))</f>
        <v/>
      </c>
      <c r="AF29" s="117" t="str">
        <f>IF($A29="","",IF($J29=0,"n.b.",SUMIFS(STG_ZPMW03!$CG$6:$CG$505,STG_ZPMW03!$B$6:$B$505,$A29)))</f>
        <v/>
      </c>
      <c r="AG29" s="117" t="str">
        <f>IF($A29="","",IF($J29=0,"n.b.",SUMIFS(STG_ZPMW03!$CI$6:$CI$505,STG_ZPMW03!$B$6:$B$505,$A29)))</f>
        <v/>
      </c>
      <c r="AH29" s="117" t="str">
        <f>IF($A29="","",IF($J29=0,"n.b.",SUMIFS(STG_ZPMW03!$CK$6:$CK$505,STG_ZPMW03!$B$6:$B$505,$A29)))</f>
        <v/>
      </c>
      <c r="AI29" s="117" t="str">
        <f>IF($A29="","",IF($J29=0,"n.b.",SUMIFS(STG_ZPMW03!$CM$6:$CM$505,STG_ZPMW03!$B$6:$B$505,$A29)))</f>
        <v/>
      </c>
      <c r="AJ29" s="117" t="str">
        <f>IF($A29="","",IF($J29=0,"n.b.",SUMIFS(STG_ZPMW03!$CO$6:$CO$505,STG_ZPMW03!$B$6:$B$505,$A29)))</f>
        <v/>
      </c>
      <c r="AK29" s="117" t="str">
        <f>IF($A29="","",IF($J29=0,"n.b.",SUMIFS(STG_ZPMW03!$CQ$6:$CQ$505,STG_ZPMW03!$B$6:$B$505,$A29)))</f>
        <v/>
      </c>
      <c r="AL29" s="117" t="str">
        <f>IF($A29="","",IF($J29=0,"n.b.",SUMIFS(STG_ZPMW03!$CD$6:$CD$505,STG_ZPMW03!$B$6:$B$505,$A29)))</f>
        <v/>
      </c>
      <c r="AM29" s="117" t="str">
        <f>IF($A29="","",IF($J29=0,"n.b.",SUMIFS(STG_ZPMW03!$CF$6:$CF$505,STG_ZPMW03!$B$6:$B$505,$A29)))</f>
        <v/>
      </c>
      <c r="AN29" s="117" t="str">
        <f>IF($A29="","",IF($J29=0,"n.b.",SUMIFS(STG_ZPMW03!$CH$6:$CH$505,STG_ZPMW03!$B$6:$B$505,$A29)))</f>
        <v/>
      </c>
      <c r="AO29" s="117" t="str">
        <f>IF($A29="","",IF($J29=0,"n.b.",SUMIFS(STG_ZPMW03!$CJ$6:$CJ$505,STG_ZPMW03!$B$6:$B$505,$A29)))</f>
        <v/>
      </c>
      <c r="AP29" s="117" t="str">
        <f>IF($A29="","",IF($J29=0,"n.b.",SUMIFS(STG_ZPMW03!$CL$6:$CL$505,STG_ZPMW03!$B$6:$B$505,$A29)))</f>
        <v/>
      </c>
      <c r="AQ29" s="117" t="str">
        <f>IF($A29="","",IF($J29=0,"n.b.",SUMIFS(STG_ZPMW03!$CN$6:$CN$505,STG_ZPMW03!$B$6:$B$505,$A29)))</f>
        <v/>
      </c>
      <c r="AR29" s="117" t="str">
        <f>IF($A29="","",IF($J29=0,"n.b.",SUMIFS(STG_ZPMW03!$CP$6:$CP$505,STG_ZPMW03!$B$6:$B$505,$A29)))</f>
        <v/>
      </c>
      <c r="AS29" s="117" t="str">
        <f>IF($A29="","",IF($J29=0,"n.b.",SUMIFS(STG_ZPMW03!$CR$6:$CR$505,STG_ZPMW03!$B$6:$B$505,$A29)))</f>
        <v/>
      </c>
      <c r="AT29" s="117" t="str">
        <f>IF($A29="","",IF($K29=0,"n.b.",SUMIFS(STG_Woningetalage!$Q$6:$Q$505,STG_Woningetalage!$B$6:$B$505,$A29)))</f>
        <v/>
      </c>
      <c r="AU29" s="117" t="str">
        <f>IF($A29="","",IF($K29=0,"n.b.",SUMIFS(STG_Woningetalage!$R$6:$R$505,STG_Woningetalage!$B$6:$B$505,$A29)))</f>
        <v/>
      </c>
      <c r="AV29" s="117" t="str">
        <f>IF($A29="","",IF($K29=0,"n.b.",SUMIFS(STG_Woningetalage!$S$6:$S$505,STG_Woningetalage!$B$6:$B$505,$A29)))</f>
        <v/>
      </c>
      <c r="AW29" s="117" t="str">
        <f>IF($A29="","",IF($K29=0,"n.b.",SUMIFS(STG_Woningetalage!$T$6:$T$505,STG_Woningetalage!$B$6:$B$505,$A29)))</f>
        <v/>
      </c>
      <c r="AX29" s="117" t="str">
        <f>IF($A29="","",IF($K29=0,"n.b.",SUMIFS(STG_Woningetalage!$U$6:$U$505,STG_Woningetalage!$B$6:$B$505,$A29)))</f>
        <v/>
      </c>
      <c r="AY29" s="117" t="str">
        <f>IF($A29="","",IF($K29=0,"n.b.",SUMIFS(STG_Woningetalage!$V$6:$V$505,STG_Woningetalage!$B$6:$B$505,$A29)))</f>
        <v/>
      </c>
      <c r="AZ29" s="117" t="str">
        <f>IF($A29="","",IF($K29=0,"n.b.",SUMIFS(STG_Woningetalage!$W$6:$W$505,STG_Woningetalage!$B$6:$B$505,$A29)))</f>
        <v/>
      </c>
      <c r="BA29" s="117" t="str">
        <f>IF($A29="","",IF($K29=0,"n.b.",SUMIFS(STG_Woningetalage!$X$6:$X$505,STG_Woningetalage!$B$6:$B$505,$A29)))</f>
        <v/>
      </c>
      <c r="BB29" s="117" t="str">
        <f>IF($A29="","",IF($K29=0,"n.b.",SUMIFS(STG_Woningetalage!$Y$6:$Y$505,STG_Woningetalage!$B$6:$B$505,$A29)))</f>
        <v/>
      </c>
      <c r="BC29" s="117" t="str">
        <f>IF($A29="","",IF($K29=0,"n.b.",SUMIFS(STG_Woningetalage!$Z$6:$Z$505,STG_Woningetalage!$B$6:$B$505,$A29)))</f>
        <v/>
      </c>
      <c r="BD29" s="117" t="str">
        <f>IF($A29="","",IF($K29=0,"n.b.",SUMIFS(STG_Woningetalage!$AA$6:$AA$505,STG_Woningetalage!$B$6:$B$505,$A29)))</f>
        <v/>
      </c>
      <c r="BE29" s="117" t="str">
        <f>IF($A29="","",IF($K29=0,"n.b.",SUMIFS(STG_Woningetalage!$AB$6:$AB$505,STG_Woningetalage!$B$6:$B$505,$A29)))</f>
        <v/>
      </c>
      <c r="BF29" s="117" t="str">
        <f>IF($A29="","",IF($K29=0,"n.b.",SUMIFS(STG_Woningetalage!$AC$6:$AC$505,STG_Woningetalage!$B$6:$B$505,$A29)))</f>
        <v/>
      </c>
      <c r="BG29" s="117" t="str">
        <f>IF($A29="","",IF($K29=0,"n.b.",SUMIFS(STG_Woningetalage!$AD$6:$AD$505,STG_Woningetalage!$B$6:$B$505,$A29)))</f>
        <v/>
      </c>
      <c r="BH29" s="117" t="str">
        <f>IF($A29="","",IF($K29=0,"n.b.",SUMIFS(STG_Woningetalage!$AE$6:$AE$505,STG_Woningetalage!$B$6:$B$505,$A29)))</f>
        <v/>
      </c>
      <c r="BI29" s="117" t="str">
        <f>IF($A29="","",IF($K29=0,"n.b.",SUMIFS(STG_Woningetalage!$AF$6:$AF$505,STG_Woningetalage!$B$6:$B$505,$A29)))</f>
        <v/>
      </c>
      <c r="BJ29" s="117" t="str">
        <f>IF($A29="","",IF($K29=0,"n.b.",SUMIFS(STG_Woningetalage!$AG$6:$AG$505,STG_Woningetalage!$B$6:$B$505,$A29)))</f>
        <v/>
      </c>
      <c r="BK29" s="117" t="str">
        <f>IF($A29="","",IF($K29=0,"n.b.",SUMIFS(STG_Woningetalage!$AH$6:$AH$505,STG_Woningetalage!$B$6:$B$505,$A29)))</f>
        <v/>
      </c>
      <c r="BL29" s="117" t="str">
        <f>IF($A29="","",IF($K29=0,"n.b.",SUMIFS(STG_Woningetalage!$AI$6:$AI$505,STG_Woningetalage!$B$6:$B$505,$A29)))</f>
        <v/>
      </c>
      <c r="BM29" s="117" t="str">
        <f>IF($A29="","",IF($K29=0,"n.b.",SUMIFS(STG_Woningetalage!$AJ$6:$AJ$505,STG_Woningetalage!$B$6:$B$505,$A29)))</f>
        <v/>
      </c>
      <c r="BN29" s="117" t="str">
        <f>IF($A29="","",IF($K29=0,"n.b.",SUMIFS(STG_Woningetalage!$AK$6:$AK$505,STG_Woningetalage!$B$6:$B$505,$A29)))</f>
        <v/>
      </c>
      <c r="BO29" s="117" t="str">
        <f>IF($A29="","",IF($K29=0,"n.b.",SUMIFS(STG_Woningetalage!$AL$6:$AL$505,STG_Woningetalage!$B$6:$B$505,$A29)))</f>
        <v/>
      </c>
      <c r="BP29" s="117" t="str">
        <f>IF($A29="","",IF($K29=0,"n.b.",SUMIFS(STG_Woningetalage!$AM$6:$AM$505,STG_Woningetalage!$B$6:$B$505,$A29)))</f>
        <v/>
      </c>
      <c r="BQ29" s="117" t="str">
        <f>IF($A29="","",IF($K29=0,"n.b.",SUMIFS(STG_Woningetalage!$BE$6:$BE$505,STG_Woningetalage!$B$6:$B$505,$A29)))</f>
        <v/>
      </c>
      <c r="BR29" s="117" t="str">
        <f>IF($A29="","",IF($K29=0,"n.b.",SUMIFS(STG_Woningetalage!$BF$6:$BF$505,STG_Woningetalage!$B$6:$B$505,$A29)))</f>
        <v/>
      </c>
      <c r="BS29" s="117" t="str">
        <f>IF($A29="","",IF($K29=0,"n.b.",SUMIFS(STG_Woningetalage!$BG$6:$BG$505,STG_Woningetalage!$B$6:$B$505,$A29)))</f>
        <v/>
      </c>
      <c r="BT29" s="117" t="str">
        <f>IF($A29="","",IF($K29=0,"n.b.",SUMIFS(STG_Woningetalage!$BH$6:$BH$505,STG_Woningetalage!$B$6:$B$505,$A29)))</f>
        <v/>
      </c>
      <c r="BU29" s="117" t="str">
        <f>IF($A29="","",IF($K29=0,"n.b.",SUMIFS(STG_Woningetalage!$BI$6:$BI$505,STG_Woningetalage!$B$6:$B$505,$A29)))</f>
        <v/>
      </c>
      <c r="BV29" s="117" t="str">
        <f>IF($A29="","",IF($K29=0,"n.b.",SUMIFS(STG_Woningetalage!$BJ$6:$BJ$505,STG_Woningetalage!$B$6:$B$505,$A29)))</f>
        <v/>
      </c>
      <c r="BW29" s="117" t="str">
        <f>IF($A29="","",IF($K29=0,"n.b.",SUMIFS(STG_Woningetalage!$AR$6:$AR$505,STG_Woningetalage!$B$6:$B$505,$A29)))</f>
        <v/>
      </c>
      <c r="BX29" s="117" t="str">
        <f>IF($A29="","",IF($K29=0,"n.b.",SUMIFS(STG_Woningetalage!$AS$6:$AS$505,STG_Woningetalage!$B$6:$B$505,$A29)))</f>
        <v/>
      </c>
      <c r="BY29" s="117" t="str">
        <f>IF($A29="","",IF($K29=0,"n.b.",SUMIFS(STG_Woningetalage!$AN$6:$AN$505,STG_Woningetalage!$B$6:$B$505,$A29)))</f>
        <v/>
      </c>
      <c r="BZ29" s="117" t="str">
        <f>IF($A29="","",IF($K29=0,"n.b.",SUMIFS(STG_Woningetalage!$AO$6:$AO$505,STG_Woningetalage!$B$6:$B$505,$A29)))</f>
        <v/>
      </c>
      <c r="CA29" s="117" t="str">
        <f>IF($A29="","",IF($K29=0,"n.b.",SUMIFS(STG_Woningetalage!$AP$6:$AP$505,STG_Woningetalage!$B$6:$B$505,$A29)))</f>
        <v/>
      </c>
      <c r="CB29" s="117" t="str">
        <f>IF($A29="","",IF($K29=0,"n.b.",SUMIFS(STG_Woningetalage!$AQ$6:$AQ$505,STG_Woningetalage!$B$6:$B$505,$A29)))</f>
        <v/>
      </c>
      <c r="CC29" s="117" t="str">
        <f>IF($A29="","",IF($K29=0,"n.b.",SUMIFS(STG_Woningetalage!$AU$6:$AU$505,STG_Woningetalage!$B$6:$B$505,$A29)))</f>
        <v/>
      </c>
      <c r="CD29" s="92" t="str">
        <f>IF($A29="","",IFERROR(INDEX(STG_ZPMW03!$L$6:$L$505,MATCH($A29,STG_ZPMW03!$B$6:$B$505,0)),"n.b."))</f>
        <v/>
      </c>
      <c r="CE29" s="92" t="str">
        <f>IF($A29="","",IFERROR(INDEX(STG_ZPMW03!$K$6:$K$505,MATCH($A29,STG_ZPMW03!$B$6:$B$505,0)),"n.b."))</f>
        <v/>
      </c>
      <c r="CF29" s="92" t="str">
        <f>IF($A29="","",IFERROR(INDEX(STG_ZPMW03!$BH$6:$BH$505,MATCH($A29,STG_ZPMW03!$B$6:$B$505,0)),"n.b."))</f>
        <v/>
      </c>
      <c r="CG29" s="92" t="str">
        <f>IF($A29="","",IFERROR(INDEX(STG_ZPMW03!$BI$6:$BI$505,MATCH($A29,STG_ZPMW03!$B$6:$B$505,0)),"n.b."))</f>
        <v/>
      </c>
      <c r="CH29" s="92" t="str">
        <f>IF($A29="","",IFERROR(INDEX(STG_ZPMW03!$BJ$6:$BJ$505,MATCH($A29,STG_ZPMW03!$B$6:$B$505,0)),"n.b."))</f>
        <v/>
      </c>
      <c r="CI29" s="92" t="str">
        <f>IF($A29="","",IFERROR(INDEX(STG_ZPMW03!$BF$6:$BF$505,MATCH($A29,STG_ZPMW03!$B$6:$B$505,0)),"n.b."))</f>
        <v/>
      </c>
      <c r="CJ29" s="92" t="str">
        <f>IF($A29="","",IFERROR(INDEX(STG_ZPMW03!$BG$6:$BG$505,MATCH($A29,STG_ZPMW03!$B$6:$B$505,0)),"n.b."))</f>
        <v/>
      </c>
      <c r="CK29" s="92" t="str">
        <f>IF($A29="","",IFERROR(INDEX(STG_ZPMW03!$H$6:$H$505,MATCH($A29,STG_ZPMW03!$B$6:$B$505,0)),"n.b."))</f>
        <v/>
      </c>
      <c r="CL29" s="92" t="str">
        <f>IF($A29="","",IFERROR(INDEX(STG_ZPMW03!$E$6:$E$505,MATCH($A29,STG_ZPMW03!$B$6:$B$505,0)),"n.b."))</f>
        <v/>
      </c>
      <c r="CM29" s="92" t="str">
        <f>IF($A29="","",IFERROR(INDEX(STG_ZPMW03!$G$6:$G$505,MATCH($A29,STG_ZPMW03!$B$6:$B$505,0)),"n.b."))</f>
        <v/>
      </c>
      <c r="CN29" s="92" t="str">
        <f>IF($A29="","",IFERROR(INDEX(STG_Woningetalage!$N$6:$N$505,MATCH($A29,STG_Woningetalage!$B$6:$B$505,0)),"n.b."))</f>
        <v/>
      </c>
      <c r="CO29" s="92" t="str">
        <f>IF($A29="","",IFERROR(INDEX(STG_Woningetalage!$P$6:$P$505,MATCH($A29,STG_Woningetalage!$B$6:$B$505,0)),"n.b."))</f>
        <v/>
      </c>
      <c r="CP29" s="118" t="str">
        <f>IF($A29="","",IF(AND(ISNUMBER(AT29),ISNUMBER(F29)),IF(F29&gt;0,AT29/(F29/100),"n.b."),"n.b."))</f>
        <v/>
      </c>
      <c r="CQ29" s="116" t="str">
        <f>IF($A29="","",IF(ISNUMBER(Q29),IF(Q29&lt;0,1,0),0))</f>
        <v/>
      </c>
      <c r="CR29" s="116" t="str">
        <f>IF(CQ29=1,COUNTIF($CQ$6:CQ29,1),"")</f>
        <v/>
      </c>
      <c r="CS29" s="116" t="str">
        <f>IF(AND($A29&lt;&gt;"",$J29=0),COUNTIFS($A$6:$A29,"?*",$J$6:$J29,0),"")</f>
        <v/>
      </c>
      <c r="CT29" s="119" t="str">
        <f>IF($A29="","",IF(AND(ISNUMBER(Q29),ISNUMBER(P29)),IF(P29&lt;&gt;0,Q29/P29,"n.b."),"n.b."))</f>
        <v/>
      </c>
    </row>
    <row r="30">
      <c r="A30" s="92" t="str">
        <f>IF(Mapping!$A29="","",Mapping!$A29)</f>
        <v/>
      </c>
      <c r="B30" s="92" t="str">
        <f>IF(Mapping!$B29="","",Mapping!$B29)</f>
        <v/>
      </c>
      <c r="C30" s="92" t="str">
        <f>IF(Mapping!$C29="","",Mapping!$C29)</f>
        <v/>
      </c>
      <c r="D30" s="92" t="str">
        <f>IF(Mapping!$F29="","",Mapping!$F29)</f>
        <v/>
      </c>
      <c r="E30" s="92" t="str">
        <f>IF(Mapping!$H29="","",Mapping!$H29)</f>
        <v/>
      </c>
      <c r="F30" s="92" t="str">
        <f>IF(Mapping!$E29="","",Mapping!$E29)</f>
        <v/>
      </c>
      <c r="G30" s="92" t="str">
        <f>IF(Mapping!$G29="","",Mapping!$G29)</f>
        <v/>
      </c>
      <c r="H30" s="92" t="str">
        <f>IF(Mapping!$D29="","",Mapping!$D29)</f>
        <v/>
      </c>
      <c r="I30" s="92" t="str">
        <f>IF($A30="","",IFERROR(INDEX(STG_ZPMW03!$C$6:$C$505,MATCH($A30,STG_ZPMW03!$B$6:$B$505,0)),"n.b."))</f>
        <v/>
      </c>
      <c r="J30" s="116" t="str">
        <f>IF($A30="","",COUNTIF(STG_ZPMW03!$B$6:$B$505,$A30))</f>
        <v/>
      </c>
      <c r="K30" s="116" t="str">
        <f>IF($A30="","",COUNTIF(STG_Woningetalage!$B$6:$B$505,$A30))</f>
        <v/>
      </c>
      <c r="L30" s="117" t="str">
        <f>IF($A30="","",IF($J30=0,"n.b.",SUMIFS(STG_ZPMW03!$BK$6:$BK$505,STG_ZPMW03!$B$6:$B$505,$A30)))</f>
        <v/>
      </c>
      <c r="M30" s="117" t="str">
        <f>IF($A30="","",IF($J30=0,"n.b.",SUMIFS(STG_ZPMW03!$BL$6:$BL$505,STG_ZPMW03!$B$6:$B$505,$A30)))</f>
        <v/>
      </c>
      <c r="N30" s="117" t="str">
        <f>IF($A30="","",IF($J30=0,"n.b.",SUMIFS(STG_ZPMW03!$BM$6:$BM$505,STG_ZPMW03!$B$6:$B$505,$A30)))</f>
        <v/>
      </c>
      <c r="O30" s="117" t="str">
        <f>IF($A30="","",IF($J30=0,"n.b.",SUMIFS(STG_ZPMW03!$BN$6:$BN$505,STG_ZPMW03!$B$6:$B$505,$A30)))</f>
        <v/>
      </c>
      <c r="P30" s="117" t="str">
        <f>IF($A30="","",IF($J30=0,"n.b.",SUMIFS(STG_ZPMW03!$BO$6:$BO$505,STG_ZPMW03!$B$6:$B$505,$A30)))</f>
        <v/>
      </c>
      <c r="Q30" s="117" t="str">
        <f>IF($A30="","",IF($J30=0,"n.b.",SUMIFS(STG_ZPMW03!$BP$6:$BP$505,STG_ZPMW03!$B$6:$B$505,$A30)))</f>
        <v/>
      </c>
      <c r="R30" s="117" t="str">
        <f>IF($A30="","",IF($J30=0,"n.b.",SUMIFS(STG_ZPMW03!$BQ$6:$BQ$505,STG_ZPMW03!$B$6:$B$505,$A30)))</f>
        <v/>
      </c>
      <c r="S30" s="117" t="str">
        <f>IF($A30="","",IF($J30=0,"n.b.",SUMIFS(STG_ZPMW03!$BR$6:$BR$505,STG_ZPMW03!$B$6:$B$505,$A30)))</f>
        <v/>
      </c>
      <c r="T30" s="117" t="str">
        <f>IF($A30="","",IF($J30=0,"n.b.",SUMIFS(STG_ZPMW03!$BS$6:$BS$505,STG_ZPMW03!$B$6:$B$505,$A30)))</f>
        <v/>
      </c>
      <c r="U30" s="117" t="str">
        <f>IF($A30="","",IF($J30=0,"n.b.",SUMIFS(STG_ZPMW03!$BT$6:$BT$505,STG_ZPMW03!$B$6:$B$505,$A30)))</f>
        <v/>
      </c>
      <c r="V30" s="117" t="str">
        <f>IF($A30="","",IF($J30=0,"n.b.",SUMIFS(STG_ZPMW03!$BU$6:$BU$505,STG_ZPMW03!$B$6:$B$505,$A30)))</f>
        <v/>
      </c>
      <c r="W30" s="117" t="str">
        <f>IF($A30="","",IF($J30=0,"n.b.",SUMIFS(STG_ZPMW03!$BW$6:$BW$505,STG_ZPMW03!$B$6:$B$505,$A30)))</f>
        <v/>
      </c>
      <c r="X30" s="117" t="str">
        <f>IF($A30="","",IF($J30=0,"n.b.",SUMIFS(STG_ZPMW03!$BY$6:$BY$505,STG_ZPMW03!$B$6:$B$505,$A30)))</f>
        <v/>
      </c>
      <c r="Y30" s="117" t="str">
        <f>IF($A30="","",IF($J30=0,"n.b.",SUMIFS(STG_ZPMW03!$CA$6:$CA$505,STG_ZPMW03!$B$6:$B$505,$A30)))</f>
        <v/>
      </c>
      <c r="Z30" s="117" t="str">
        <f>IF($A30="","",IF($J30=0,"n.b.",SUMIFS(STG_ZPMW03!$BV$6:$BV$505,STG_ZPMW03!$B$6:$B$505,$A30)))</f>
        <v/>
      </c>
      <c r="AA30" s="117" t="str">
        <f>IF($A30="","",IF($J30=0,"n.b.",SUMIFS(STG_ZPMW03!$BX$6:$BX$505,STG_ZPMW03!$B$6:$B$505,$A30)))</f>
        <v/>
      </c>
      <c r="AB30" s="117" t="str">
        <f>IF($A30="","",IF($J30=0,"n.b.",SUMIFS(STG_ZPMW03!$BZ$6:$BZ$505,STG_ZPMW03!$B$6:$B$505,$A30)))</f>
        <v/>
      </c>
      <c r="AC30" s="117" t="str">
        <f>IF($A30="","",IF($J30=0,"n.b.",SUMIFS(STG_ZPMW03!$CB$6:$CB$505,STG_ZPMW03!$B$6:$B$505,$A30)))</f>
        <v/>
      </c>
      <c r="AD30" s="117" t="str">
        <f>IF($A30="","",IF($J30=0,"n.b.",SUMIFS(STG_ZPMW03!$CC$6:$CC$505,STG_ZPMW03!$B$6:$B$505,$A30)))</f>
        <v/>
      </c>
      <c r="AE30" s="117" t="str">
        <f>IF($A30="","",IF($J30=0,"n.b.",SUMIFS(STG_ZPMW03!$CE$6:$CE$505,STG_ZPMW03!$B$6:$B$505,$A30)))</f>
        <v/>
      </c>
      <c r="AF30" s="117" t="str">
        <f>IF($A30="","",IF($J30=0,"n.b.",SUMIFS(STG_ZPMW03!$CG$6:$CG$505,STG_ZPMW03!$B$6:$B$505,$A30)))</f>
        <v/>
      </c>
      <c r="AG30" s="117" t="str">
        <f>IF($A30="","",IF($J30=0,"n.b.",SUMIFS(STG_ZPMW03!$CI$6:$CI$505,STG_ZPMW03!$B$6:$B$505,$A30)))</f>
        <v/>
      </c>
      <c r="AH30" s="117" t="str">
        <f>IF($A30="","",IF($J30=0,"n.b.",SUMIFS(STG_ZPMW03!$CK$6:$CK$505,STG_ZPMW03!$B$6:$B$505,$A30)))</f>
        <v/>
      </c>
      <c r="AI30" s="117" t="str">
        <f>IF($A30="","",IF($J30=0,"n.b.",SUMIFS(STG_ZPMW03!$CM$6:$CM$505,STG_ZPMW03!$B$6:$B$505,$A30)))</f>
        <v/>
      </c>
      <c r="AJ30" s="117" t="str">
        <f>IF($A30="","",IF($J30=0,"n.b.",SUMIFS(STG_ZPMW03!$CO$6:$CO$505,STG_ZPMW03!$B$6:$B$505,$A30)))</f>
        <v/>
      </c>
      <c r="AK30" s="117" t="str">
        <f>IF($A30="","",IF($J30=0,"n.b.",SUMIFS(STG_ZPMW03!$CQ$6:$CQ$505,STG_ZPMW03!$B$6:$B$505,$A30)))</f>
        <v/>
      </c>
      <c r="AL30" s="117" t="str">
        <f>IF($A30="","",IF($J30=0,"n.b.",SUMIFS(STG_ZPMW03!$CD$6:$CD$505,STG_ZPMW03!$B$6:$B$505,$A30)))</f>
        <v/>
      </c>
      <c r="AM30" s="117" t="str">
        <f>IF($A30="","",IF($J30=0,"n.b.",SUMIFS(STG_ZPMW03!$CF$6:$CF$505,STG_ZPMW03!$B$6:$B$505,$A30)))</f>
        <v/>
      </c>
      <c r="AN30" s="117" t="str">
        <f>IF($A30="","",IF($J30=0,"n.b.",SUMIFS(STG_ZPMW03!$CH$6:$CH$505,STG_ZPMW03!$B$6:$B$505,$A30)))</f>
        <v/>
      </c>
      <c r="AO30" s="117" t="str">
        <f>IF($A30="","",IF($J30=0,"n.b.",SUMIFS(STG_ZPMW03!$CJ$6:$CJ$505,STG_ZPMW03!$B$6:$B$505,$A30)))</f>
        <v/>
      </c>
      <c r="AP30" s="117" t="str">
        <f>IF($A30="","",IF($J30=0,"n.b.",SUMIFS(STG_ZPMW03!$CL$6:$CL$505,STG_ZPMW03!$B$6:$B$505,$A30)))</f>
        <v/>
      </c>
      <c r="AQ30" s="117" t="str">
        <f>IF($A30="","",IF($J30=0,"n.b.",SUMIFS(STG_ZPMW03!$CN$6:$CN$505,STG_ZPMW03!$B$6:$B$505,$A30)))</f>
        <v/>
      </c>
      <c r="AR30" s="117" t="str">
        <f>IF($A30="","",IF($J30=0,"n.b.",SUMIFS(STG_ZPMW03!$CP$6:$CP$505,STG_ZPMW03!$B$6:$B$505,$A30)))</f>
        <v/>
      </c>
      <c r="AS30" s="117" t="str">
        <f>IF($A30="","",IF($J30=0,"n.b.",SUMIFS(STG_ZPMW03!$CR$6:$CR$505,STG_ZPMW03!$B$6:$B$505,$A30)))</f>
        <v/>
      </c>
      <c r="AT30" s="117" t="str">
        <f>IF($A30="","",IF($K30=0,"n.b.",SUMIFS(STG_Woningetalage!$Q$6:$Q$505,STG_Woningetalage!$B$6:$B$505,$A30)))</f>
        <v/>
      </c>
      <c r="AU30" s="117" t="str">
        <f>IF($A30="","",IF($K30=0,"n.b.",SUMIFS(STG_Woningetalage!$R$6:$R$505,STG_Woningetalage!$B$6:$B$505,$A30)))</f>
        <v/>
      </c>
      <c r="AV30" s="117" t="str">
        <f>IF($A30="","",IF($K30=0,"n.b.",SUMIFS(STG_Woningetalage!$S$6:$S$505,STG_Woningetalage!$B$6:$B$505,$A30)))</f>
        <v/>
      </c>
      <c r="AW30" s="117" t="str">
        <f>IF($A30="","",IF($K30=0,"n.b.",SUMIFS(STG_Woningetalage!$T$6:$T$505,STG_Woningetalage!$B$6:$B$505,$A30)))</f>
        <v/>
      </c>
      <c r="AX30" s="117" t="str">
        <f>IF($A30="","",IF($K30=0,"n.b.",SUMIFS(STG_Woningetalage!$U$6:$U$505,STG_Woningetalage!$B$6:$B$505,$A30)))</f>
        <v/>
      </c>
      <c r="AY30" s="117" t="str">
        <f>IF($A30="","",IF($K30=0,"n.b.",SUMIFS(STG_Woningetalage!$V$6:$V$505,STG_Woningetalage!$B$6:$B$505,$A30)))</f>
        <v/>
      </c>
      <c r="AZ30" s="117" t="str">
        <f>IF($A30="","",IF($K30=0,"n.b.",SUMIFS(STG_Woningetalage!$W$6:$W$505,STG_Woningetalage!$B$6:$B$505,$A30)))</f>
        <v/>
      </c>
      <c r="BA30" s="117" t="str">
        <f>IF($A30="","",IF($K30=0,"n.b.",SUMIFS(STG_Woningetalage!$X$6:$X$505,STG_Woningetalage!$B$6:$B$505,$A30)))</f>
        <v/>
      </c>
      <c r="BB30" s="117" t="str">
        <f>IF($A30="","",IF($K30=0,"n.b.",SUMIFS(STG_Woningetalage!$Y$6:$Y$505,STG_Woningetalage!$B$6:$B$505,$A30)))</f>
        <v/>
      </c>
      <c r="BC30" s="117" t="str">
        <f>IF($A30="","",IF($K30=0,"n.b.",SUMIFS(STG_Woningetalage!$Z$6:$Z$505,STG_Woningetalage!$B$6:$B$505,$A30)))</f>
        <v/>
      </c>
      <c r="BD30" s="117" t="str">
        <f>IF($A30="","",IF($K30=0,"n.b.",SUMIFS(STG_Woningetalage!$AA$6:$AA$505,STG_Woningetalage!$B$6:$B$505,$A30)))</f>
        <v/>
      </c>
      <c r="BE30" s="117" t="str">
        <f>IF($A30="","",IF($K30=0,"n.b.",SUMIFS(STG_Woningetalage!$AB$6:$AB$505,STG_Woningetalage!$B$6:$B$505,$A30)))</f>
        <v/>
      </c>
      <c r="BF30" s="117" t="str">
        <f>IF($A30="","",IF($K30=0,"n.b.",SUMIFS(STG_Woningetalage!$AC$6:$AC$505,STG_Woningetalage!$B$6:$B$505,$A30)))</f>
        <v/>
      </c>
      <c r="BG30" s="117" t="str">
        <f>IF($A30="","",IF($K30=0,"n.b.",SUMIFS(STG_Woningetalage!$AD$6:$AD$505,STG_Woningetalage!$B$6:$B$505,$A30)))</f>
        <v/>
      </c>
      <c r="BH30" s="117" t="str">
        <f>IF($A30="","",IF($K30=0,"n.b.",SUMIFS(STG_Woningetalage!$AE$6:$AE$505,STG_Woningetalage!$B$6:$B$505,$A30)))</f>
        <v/>
      </c>
      <c r="BI30" s="117" t="str">
        <f>IF($A30="","",IF($K30=0,"n.b.",SUMIFS(STG_Woningetalage!$AF$6:$AF$505,STG_Woningetalage!$B$6:$B$505,$A30)))</f>
        <v/>
      </c>
      <c r="BJ30" s="117" t="str">
        <f>IF($A30="","",IF($K30=0,"n.b.",SUMIFS(STG_Woningetalage!$AG$6:$AG$505,STG_Woningetalage!$B$6:$B$505,$A30)))</f>
        <v/>
      </c>
      <c r="BK30" s="117" t="str">
        <f>IF($A30="","",IF($K30=0,"n.b.",SUMIFS(STG_Woningetalage!$AH$6:$AH$505,STG_Woningetalage!$B$6:$B$505,$A30)))</f>
        <v/>
      </c>
      <c r="BL30" s="117" t="str">
        <f>IF($A30="","",IF($K30=0,"n.b.",SUMIFS(STG_Woningetalage!$AI$6:$AI$505,STG_Woningetalage!$B$6:$B$505,$A30)))</f>
        <v/>
      </c>
      <c r="BM30" s="117" t="str">
        <f>IF($A30="","",IF($K30=0,"n.b.",SUMIFS(STG_Woningetalage!$AJ$6:$AJ$505,STG_Woningetalage!$B$6:$B$505,$A30)))</f>
        <v/>
      </c>
      <c r="BN30" s="117" t="str">
        <f>IF($A30="","",IF($K30=0,"n.b.",SUMIFS(STG_Woningetalage!$AK$6:$AK$505,STG_Woningetalage!$B$6:$B$505,$A30)))</f>
        <v/>
      </c>
      <c r="BO30" s="117" t="str">
        <f>IF($A30="","",IF($K30=0,"n.b.",SUMIFS(STG_Woningetalage!$AL$6:$AL$505,STG_Woningetalage!$B$6:$B$505,$A30)))</f>
        <v/>
      </c>
      <c r="BP30" s="117" t="str">
        <f>IF($A30="","",IF($K30=0,"n.b.",SUMIFS(STG_Woningetalage!$AM$6:$AM$505,STG_Woningetalage!$B$6:$B$505,$A30)))</f>
        <v/>
      </c>
      <c r="BQ30" s="117" t="str">
        <f>IF($A30="","",IF($K30=0,"n.b.",SUMIFS(STG_Woningetalage!$BE$6:$BE$505,STG_Woningetalage!$B$6:$B$505,$A30)))</f>
        <v/>
      </c>
      <c r="BR30" s="117" t="str">
        <f>IF($A30="","",IF($K30=0,"n.b.",SUMIFS(STG_Woningetalage!$BF$6:$BF$505,STG_Woningetalage!$B$6:$B$505,$A30)))</f>
        <v/>
      </c>
      <c r="BS30" s="117" t="str">
        <f>IF($A30="","",IF($K30=0,"n.b.",SUMIFS(STG_Woningetalage!$BG$6:$BG$505,STG_Woningetalage!$B$6:$B$505,$A30)))</f>
        <v/>
      </c>
      <c r="BT30" s="117" t="str">
        <f>IF($A30="","",IF($K30=0,"n.b.",SUMIFS(STG_Woningetalage!$BH$6:$BH$505,STG_Woningetalage!$B$6:$B$505,$A30)))</f>
        <v/>
      </c>
      <c r="BU30" s="117" t="str">
        <f>IF($A30="","",IF($K30=0,"n.b.",SUMIFS(STG_Woningetalage!$BI$6:$BI$505,STG_Woningetalage!$B$6:$B$505,$A30)))</f>
        <v/>
      </c>
      <c r="BV30" s="117" t="str">
        <f>IF($A30="","",IF($K30=0,"n.b.",SUMIFS(STG_Woningetalage!$BJ$6:$BJ$505,STG_Woningetalage!$B$6:$B$505,$A30)))</f>
        <v/>
      </c>
      <c r="BW30" s="117" t="str">
        <f>IF($A30="","",IF($K30=0,"n.b.",SUMIFS(STG_Woningetalage!$AR$6:$AR$505,STG_Woningetalage!$B$6:$B$505,$A30)))</f>
        <v/>
      </c>
      <c r="BX30" s="117" t="str">
        <f>IF($A30="","",IF($K30=0,"n.b.",SUMIFS(STG_Woningetalage!$AS$6:$AS$505,STG_Woningetalage!$B$6:$B$505,$A30)))</f>
        <v/>
      </c>
      <c r="BY30" s="117" t="str">
        <f>IF($A30="","",IF($K30=0,"n.b.",SUMIFS(STG_Woningetalage!$AN$6:$AN$505,STG_Woningetalage!$B$6:$B$505,$A30)))</f>
        <v/>
      </c>
      <c r="BZ30" s="117" t="str">
        <f>IF($A30="","",IF($K30=0,"n.b.",SUMIFS(STG_Woningetalage!$AO$6:$AO$505,STG_Woningetalage!$B$6:$B$505,$A30)))</f>
        <v/>
      </c>
      <c r="CA30" s="117" t="str">
        <f>IF($A30="","",IF($K30=0,"n.b.",SUMIFS(STG_Woningetalage!$AP$6:$AP$505,STG_Woningetalage!$B$6:$B$505,$A30)))</f>
        <v/>
      </c>
      <c r="CB30" s="117" t="str">
        <f>IF($A30="","",IF($K30=0,"n.b.",SUMIFS(STG_Woningetalage!$AQ$6:$AQ$505,STG_Woningetalage!$B$6:$B$505,$A30)))</f>
        <v/>
      </c>
      <c r="CC30" s="117" t="str">
        <f>IF($A30="","",IF($K30=0,"n.b.",SUMIFS(STG_Woningetalage!$AU$6:$AU$505,STG_Woningetalage!$B$6:$B$505,$A30)))</f>
        <v/>
      </c>
      <c r="CD30" s="92" t="str">
        <f>IF($A30="","",IFERROR(INDEX(STG_ZPMW03!$L$6:$L$505,MATCH($A30,STG_ZPMW03!$B$6:$B$505,0)),"n.b."))</f>
        <v/>
      </c>
      <c r="CE30" s="92" t="str">
        <f>IF($A30="","",IFERROR(INDEX(STG_ZPMW03!$K$6:$K$505,MATCH($A30,STG_ZPMW03!$B$6:$B$505,0)),"n.b."))</f>
        <v/>
      </c>
      <c r="CF30" s="92" t="str">
        <f>IF($A30="","",IFERROR(INDEX(STG_ZPMW03!$BH$6:$BH$505,MATCH($A30,STG_ZPMW03!$B$6:$B$505,0)),"n.b."))</f>
        <v/>
      </c>
      <c r="CG30" s="92" t="str">
        <f>IF($A30="","",IFERROR(INDEX(STG_ZPMW03!$BI$6:$BI$505,MATCH($A30,STG_ZPMW03!$B$6:$B$505,0)),"n.b."))</f>
        <v/>
      </c>
      <c r="CH30" s="92" t="str">
        <f>IF($A30="","",IFERROR(INDEX(STG_ZPMW03!$BJ$6:$BJ$505,MATCH($A30,STG_ZPMW03!$B$6:$B$505,0)),"n.b."))</f>
        <v/>
      </c>
      <c r="CI30" s="92" t="str">
        <f>IF($A30="","",IFERROR(INDEX(STG_ZPMW03!$BF$6:$BF$505,MATCH($A30,STG_ZPMW03!$B$6:$B$505,0)),"n.b."))</f>
        <v/>
      </c>
      <c r="CJ30" s="92" t="str">
        <f>IF($A30="","",IFERROR(INDEX(STG_ZPMW03!$BG$6:$BG$505,MATCH($A30,STG_ZPMW03!$B$6:$B$505,0)),"n.b."))</f>
        <v/>
      </c>
      <c r="CK30" s="92" t="str">
        <f>IF($A30="","",IFERROR(INDEX(STG_ZPMW03!$H$6:$H$505,MATCH($A30,STG_ZPMW03!$B$6:$B$505,0)),"n.b."))</f>
        <v/>
      </c>
      <c r="CL30" s="92" t="str">
        <f>IF($A30="","",IFERROR(INDEX(STG_ZPMW03!$E$6:$E$505,MATCH($A30,STG_ZPMW03!$B$6:$B$505,0)),"n.b."))</f>
        <v/>
      </c>
      <c r="CM30" s="92" t="str">
        <f>IF($A30="","",IFERROR(INDEX(STG_ZPMW03!$G$6:$G$505,MATCH($A30,STG_ZPMW03!$B$6:$B$505,0)),"n.b."))</f>
        <v/>
      </c>
      <c r="CN30" s="92" t="str">
        <f>IF($A30="","",IFERROR(INDEX(STG_Woningetalage!$N$6:$N$505,MATCH($A30,STG_Woningetalage!$B$6:$B$505,0)),"n.b."))</f>
        <v/>
      </c>
      <c r="CO30" s="92" t="str">
        <f>IF($A30="","",IFERROR(INDEX(STG_Woningetalage!$P$6:$P$505,MATCH($A30,STG_Woningetalage!$B$6:$B$505,0)),"n.b."))</f>
        <v/>
      </c>
      <c r="CP30" s="118" t="str">
        <f>IF($A30="","",IF(AND(ISNUMBER(AT30),ISNUMBER(F30)),IF(F30&gt;0,AT30/(F30/100),"n.b."),"n.b."))</f>
        <v/>
      </c>
      <c r="CQ30" s="116" t="str">
        <f>IF($A30="","",IF(ISNUMBER(Q30),IF(Q30&lt;0,1,0),0))</f>
        <v/>
      </c>
      <c r="CR30" s="116" t="str">
        <f>IF(CQ30=1,COUNTIF($CQ$6:CQ30,1),"")</f>
        <v/>
      </c>
      <c r="CS30" s="116" t="str">
        <f>IF(AND($A30&lt;&gt;"",$J30=0),COUNTIFS($A$6:$A30,"?*",$J$6:$J30,0),"")</f>
        <v/>
      </c>
      <c r="CT30" s="119" t="str">
        <f>IF($A30="","",IF(AND(ISNUMBER(Q30),ISNUMBER(P30)),IF(P30&lt;&gt;0,Q30/P30,"n.b."),"n.b."))</f>
        <v/>
      </c>
    </row>
    <row r="31">
      <c r="A31" s="92" t="str">
        <f>IF(Mapping!$A30="","",Mapping!$A30)</f>
        <v/>
      </c>
      <c r="B31" s="92" t="str">
        <f>IF(Mapping!$B30="","",Mapping!$B30)</f>
        <v/>
      </c>
      <c r="C31" s="92" t="str">
        <f>IF(Mapping!$C30="","",Mapping!$C30)</f>
        <v/>
      </c>
      <c r="D31" s="92" t="str">
        <f>IF(Mapping!$F30="","",Mapping!$F30)</f>
        <v/>
      </c>
      <c r="E31" s="92" t="str">
        <f>IF(Mapping!$H30="","",Mapping!$H30)</f>
        <v/>
      </c>
      <c r="F31" s="92" t="str">
        <f>IF(Mapping!$E30="","",Mapping!$E30)</f>
        <v/>
      </c>
      <c r="G31" s="92" t="str">
        <f>IF(Mapping!$G30="","",Mapping!$G30)</f>
        <v/>
      </c>
      <c r="H31" s="92" t="str">
        <f>IF(Mapping!$D30="","",Mapping!$D30)</f>
        <v/>
      </c>
      <c r="I31" s="92" t="str">
        <f>IF($A31="","",IFERROR(INDEX(STG_ZPMW03!$C$6:$C$505,MATCH($A31,STG_ZPMW03!$B$6:$B$505,0)),"n.b."))</f>
        <v/>
      </c>
      <c r="J31" s="116" t="str">
        <f>IF($A31="","",COUNTIF(STG_ZPMW03!$B$6:$B$505,$A31))</f>
        <v/>
      </c>
      <c r="K31" s="116" t="str">
        <f>IF($A31="","",COUNTIF(STG_Woningetalage!$B$6:$B$505,$A31))</f>
        <v/>
      </c>
      <c r="L31" s="117" t="str">
        <f>IF($A31="","",IF($J31=0,"n.b.",SUMIFS(STG_ZPMW03!$BK$6:$BK$505,STG_ZPMW03!$B$6:$B$505,$A31)))</f>
        <v/>
      </c>
      <c r="M31" s="117" t="str">
        <f>IF($A31="","",IF($J31=0,"n.b.",SUMIFS(STG_ZPMW03!$BL$6:$BL$505,STG_ZPMW03!$B$6:$B$505,$A31)))</f>
        <v/>
      </c>
      <c r="N31" s="117" t="str">
        <f>IF($A31="","",IF($J31=0,"n.b.",SUMIFS(STG_ZPMW03!$BM$6:$BM$505,STG_ZPMW03!$B$6:$B$505,$A31)))</f>
        <v/>
      </c>
      <c r="O31" s="117" t="str">
        <f>IF($A31="","",IF($J31=0,"n.b.",SUMIFS(STG_ZPMW03!$BN$6:$BN$505,STG_ZPMW03!$B$6:$B$505,$A31)))</f>
        <v/>
      </c>
      <c r="P31" s="117" t="str">
        <f>IF($A31="","",IF($J31=0,"n.b.",SUMIFS(STG_ZPMW03!$BO$6:$BO$505,STG_ZPMW03!$B$6:$B$505,$A31)))</f>
        <v/>
      </c>
      <c r="Q31" s="117" t="str">
        <f>IF($A31="","",IF($J31=0,"n.b.",SUMIFS(STG_ZPMW03!$BP$6:$BP$505,STG_ZPMW03!$B$6:$B$505,$A31)))</f>
        <v/>
      </c>
      <c r="R31" s="117" t="str">
        <f>IF($A31="","",IF($J31=0,"n.b.",SUMIFS(STG_ZPMW03!$BQ$6:$BQ$505,STG_ZPMW03!$B$6:$B$505,$A31)))</f>
        <v/>
      </c>
      <c r="S31" s="117" t="str">
        <f>IF($A31="","",IF($J31=0,"n.b.",SUMIFS(STG_ZPMW03!$BR$6:$BR$505,STG_ZPMW03!$B$6:$B$505,$A31)))</f>
        <v/>
      </c>
      <c r="T31" s="117" t="str">
        <f>IF($A31="","",IF($J31=0,"n.b.",SUMIFS(STG_ZPMW03!$BS$6:$BS$505,STG_ZPMW03!$B$6:$B$505,$A31)))</f>
        <v/>
      </c>
      <c r="U31" s="117" t="str">
        <f>IF($A31="","",IF($J31=0,"n.b.",SUMIFS(STG_ZPMW03!$BT$6:$BT$505,STG_ZPMW03!$B$6:$B$505,$A31)))</f>
        <v/>
      </c>
      <c r="V31" s="117" t="str">
        <f>IF($A31="","",IF($J31=0,"n.b.",SUMIFS(STG_ZPMW03!$BU$6:$BU$505,STG_ZPMW03!$B$6:$B$505,$A31)))</f>
        <v/>
      </c>
      <c r="W31" s="117" t="str">
        <f>IF($A31="","",IF($J31=0,"n.b.",SUMIFS(STG_ZPMW03!$BW$6:$BW$505,STG_ZPMW03!$B$6:$B$505,$A31)))</f>
        <v/>
      </c>
      <c r="X31" s="117" t="str">
        <f>IF($A31="","",IF($J31=0,"n.b.",SUMIFS(STG_ZPMW03!$BY$6:$BY$505,STG_ZPMW03!$B$6:$B$505,$A31)))</f>
        <v/>
      </c>
      <c r="Y31" s="117" t="str">
        <f>IF($A31="","",IF($J31=0,"n.b.",SUMIFS(STG_ZPMW03!$CA$6:$CA$505,STG_ZPMW03!$B$6:$B$505,$A31)))</f>
        <v/>
      </c>
      <c r="Z31" s="117" t="str">
        <f>IF($A31="","",IF($J31=0,"n.b.",SUMIFS(STG_ZPMW03!$BV$6:$BV$505,STG_ZPMW03!$B$6:$B$505,$A31)))</f>
        <v/>
      </c>
      <c r="AA31" s="117" t="str">
        <f>IF($A31="","",IF($J31=0,"n.b.",SUMIFS(STG_ZPMW03!$BX$6:$BX$505,STG_ZPMW03!$B$6:$B$505,$A31)))</f>
        <v/>
      </c>
      <c r="AB31" s="117" t="str">
        <f>IF($A31="","",IF($J31=0,"n.b.",SUMIFS(STG_ZPMW03!$BZ$6:$BZ$505,STG_ZPMW03!$B$6:$B$505,$A31)))</f>
        <v/>
      </c>
      <c r="AC31" s="117" t="str">
        <f>IF($A31="","",IF($J31=0,"n.b.",SUMIFS(STG_ZPMW03!$CB$6:$CB$505,STG_ZPMW03!$B$6:$B$505,$A31)))</f>
        <v/>
      </c>
      <c r="AD31" s="117" t="str">
        <f>IF($A31="","",IF($J31=0,"n.b.",SUMIFS(STG_ZPMW03!$CC$6:$CC$505,STG_ZPMW03!$B$6:$B$505,$A31)))</f>
        <v/>
      </c>
      <c r="AE31" s="117" t="str">
        <f>IF($A31="","",IF($J31=0,"n.b.",SUMIFS(STG_ZPMW03!$CE$6:$CE$505,STG_ZPMW03!$B$6:$B$505,$A31)))</f>
        <v/>
      </c>
      <c r="AF31" s="117" t="str">
        <f>IF($A31="","",IF($J31=0,"n.b.",SUMIFS(STG_ZPMW03!$CG$6:$CG$505,STG_ZPMW03!$B$6:$B$505,$A31)))</f>
        <v/>
      </c>
      <c r="AG31" s="117" t="str">
        <f>IF($A31="","",IF($J31=0,"n.b.",SUMIFS(STG_ZPMW03!$CI$6:$CI$505,STG_ZPMW03!$B$6:$B$505,$A31)))</f>
        <v/>
      </c>
      <c r="AH31" s="117" t="str">
        <f>IF($A31="","",IF($J31=0,"n.b.",SUMIFS(STG_ZPMW03!$CK$6:$CK$505,STG_ZPMW03!$B$6:$B$505,$A31)))</f>
        <v/>
      </c>
      <c r="AI31" s="117" t="str">
        <f>IF($A31="","",IF($J31=0,"n.b.",SUMIFS(STG_ZPMW03!$CM$6:$CM$505,STG_ZPMW03!$B$6:$B$505,$A31)))</f>
        <v/>
      </c>
      <c r="AJ31" s="117" t="str">
        <f>IF($A31="","",IF($J31=0,"n.b.",SUMIFS(STG_ZPMW03!$CO$6:$CO$505,STG_ZPMW03!$B$6:$B$505,$A31)))</f>
        <v/>
      </c>
      <c r="AK31" s="117" t="str">
        <f>IF($A31="","",IF($J31=0,"n.b.",SUMIFS(STG_ZPMW03!$CQ$6:$CQ$505,STG_ZPMW03!$B$6:$B$505,$A31)))</f>
        <v/>
      </c>
      <c r="AL31" s="117" t="str">
        <f>IF($A31="","",IF($J31=0,"n.b.",SUMIFS(STG_ZPMW03!$CD$6:$CD$505,STG_ZPMW03!$B$6:$B$505,$A31)))</f>
        <v/>
      </c>
      <c r="AM31" s="117" t="str">
        <f>IF($A31="","",IF($J31=0,"n.b.",SUMIFS(STG_ZPMW03!$CF$6:$CF$505,STG_ZPMW03!$B$6:$B$505,$A31)))</f>
        <v/>
      </c>
      <c r="AN31" s="117" t="str">
        <f>IF($A31="","",IF($J31=0,"n.b.",SUMIFS(STG_ZPMW03!$CH$6:$CH$505,STG_ZPMW03!$B$6:$B$505,$A31)))</f>
        <v/>
      </c>
      <c r="AO31" s="117" t="str">
        <f>IF($A31="","",IF($J31=0,"n.b.",SUMIFS(STG_ZPMW03!$CJ$6:$CJ$505,STG_ZPMW03!$B$6:$B$505,$A31)))</f>
        <v/>
      </c>
      <c r="AP31" s="117" t="str">
        <f>IF($A31="","",IF($J31=0,"n.b.",SUMIFS(STG_ZPMW03!$CL$6:$CL$505,STG_ZPMW03!$B$6:$B$505,$A31)))</f>
        <v/>
      </c>
      <c r="AQ31" s="117" t="str">
        <f>IF($A31="","",IF($J31=0,"n.b.",SUMIFS(STG_ZPMW03!$CN$6:$CN$505,STG_ZPMW03!$B$6:$B$505,$A31)))</f>
        <v/>
      </c>
      <c r="AR31" s="117" t="str">
        <f>IF($A31="","",IF($J31=0,"n.b.",SUMIFS(STG_ZPMW03!$CP$6:$CP$505,STG_ZPMW03!$B$6:$B$505,$A31)))</f>
        <v/>
      </c>
      <c r="AS31" s="117" t="str">
        <f>IF($A31="","",IF($J31=0,"n.b.",SUMIFS(STG_ZPMW03!$CR$6:$CR$505,STG_ZPMW03!$B$6:$B$505,$A31)))</f>
        <v/>
      </c>
      <c r="AT31" s="117" t="str">
        <f>IF($A31="","",IF($K31=0,"n.b.",SUMIFS(STG_Woningetalage!$Q$6:$Q$505,STG_Woningetalage!$B$6:$B$505,$A31)))</f>
        <v/>
      </c>
      <c r="AU31" s="117" t="str">
        <f>IF($A31="","",IF($K31=0,"n.b.",SUMIFS(STG_Woningetalage!$R$6:$R$505,STG_Woningetalage!$B$6:$B$505,$A31)))</f>
        <v/>
      </c>
      <c r="AV31" s="117" t="str">
        <f>IF($A31="","",IF($K31=0,"n.b.",SUMIFS(STG_Woningetalage!$S$6:$S$505,STG_Woningetalage!$B$6:$B$505,$A31)))</f>
        <v/>
      </c>
      <c r="AW31" s="117" t="str">
        <f>IF($A31="","",IF($K31=0,"n.b.",SUMIFS(STG_Woningetalage!$T$6:$T$505,STG_Woningetalage!$B$6:$B$505,$A31)))</f>
        <v/>
      </c>
      <c r="AX31" s="117" t="str">
        <f>IF($A31="","",IF($K31=0,"n.b.",SUMIFS(STG_Woningetalage!$U$6:$U$505,STG_Woningetalage!$B$6:$B$505,$A31)))</f>
        <v/>
      </c>
      <c r="AY31" s="117" t="str">
        <f>IF($A31="","",IF($K31=0,"n.b.",SUMIFS(STG_Woningetalage!$V$6:$V$505,STG_Woningetalage!$B$6:$B$505,$A31)))</f>
        <v/>
      </c>
      <c r="AZ31" s="117" t="str">
        <f>IF($A31="","",IF($K31=0,"n.b.",SUMIFS(STG_Woningetalage!$W$6:$W$505,STG_Woningetalage!$B$6:$B$505,$A31)))</f>
        <v/>
      </c>
      <c r="BA31" s="117" t="str">
        <f>IF($A31="","",IF($K31=0,"n.b.",SUMIFS(STG_Woningetalage!$X$6:$X$505,STG_Woningetalage!$B$6:$B$505,$A31)))</f>
        <v/>
      </c>
      <c r="BB31" s="117" t="str">
        <f>IF($A31="","",IF($K31=0,"n.b.",SUMIFS(STG_Woningetalage!$Y$6:$Y$505,STG_Woningetalage!$B$6:$B$505,$A31)))</f>
        <v/>
      </c>
      <c r="BC31" s="117" t="str">
        <f>IF($A31="","",IF($K31=0,"n.b.",SUMIFS(STG_Woningetalage!$Z$6:$Z$505,STG_Woningetalage!$B$6:$B$505,$A31)))</f>
        <v/>
      </c>
      <c r="BD31" s="117" t="str">
        <f>IF($A31="","",IF($K31=0,"n.b.",SUMIFS(STG_Woningetalage!$AA$6:$AA$505,STG_Woningetalage!$B$6:$B$505,$A31)))</f>
        <v/>
      </c>
      <c r="BE31" s="117" t="str">
        <f>IF($A31="","",IF($K31=0,"n.b.",SUMIFS(STG_Woningetalage!$AB$6:$AB$505,STG_Woningetalage!$B$6:$B$505,$A31)))</f>
        <v/>
      </c>
      <c r="BF31" s="117" t="str">
        <f>IF($A31="","",IF($K31=0,"n.b.",SUMIFS(STG_Woningetalage!$AC$6:$AC$505,STG_Woningetalage!$B$6:$B$505,$A31)))</f>
        <v/>
      </c>
      <c r="BG31" s="117" t="str">
        <f>IF($A31="","",IF($K31=0,"n.b.",SUMIFS(STG_Woningetalage!$AD$6:$AD$505,STG_Woningetalage!$B$6:$B$505,$A31)))</f>
        <v/>
      </c>
      <c r="BH31" s="117" t="str">
        <f>IF($A31="","",IF($K31=0,"n.b.",SUMIFS(STG_Woningetalage!$AE$6:$AE$505,STG_Woningetalage!$B$6:$B$505,$A31)))</f>
        <v/>
      </c>
      <c r="BI31" s="117" t="str">
        <f>IF($A31="","",IF($K31=0,"n.b.",SUMIFS(STG_Woningetalage!$AF$6:$AF$505,STG_Woningetalage!$B$6:$B$505,$A31)))</f>
        <v/>
      </c>
      <c r="BJ31" s="117" t="str">
        <f>IF($A31="","",IF($K31=0,"n.b.",SUMIFS(STG_Woningetalage!$AG$6:$AG$505,STG_Woningetalage!$B$6:$B$505,$A31)))</f>
        <v/>
      </c>
      <c r="BK31" s="117" t="str">
        <f>IF($A31="","",IF($K31=0,"n.b.",SUMIFS(STG_Woningetalage!$AH$6:$AH$505,STG_Woningetalage!$B$6:$B$505,$A31)))</f>
        <v/>
      </c>
      <c r="BL31" s="117" t="str">
        <f>IF($A31="","",IF($K31=0,"n.b.",SUMIFS(STG_Woningetalage!$AI$6:$AI$505,STG_Woningetalage!$B$6:$B$505,$A31)))</f>
        <v/>
      </c>
      <c r="BM31" s="117" t="str">
        <f>IF($A31="","",IF($K31=0,"n.b.",SUMIFS(STG_Woningetalage!$AJ$6:$AJ$505,STG_Woningetalage!$B$6:$B$505,$A31)))</f>
        <v/>
      </c>
      <c r="BN31" s="117" t="str">
        <f>IF($A31="","",IF($K31=0,"n.b.",SUMIFS(STG_Woningetalage!$AK$6:$AK$505,STG_Woningetalage!$B$6:$B$505,$A31)))</f>
        <v/>
      </c>
      <c r="BO31" s="117" t="str">
        <f>IF($A31="","",IF($K31=0,"n.b.",SUMIFS(STG_Woningetalage!$AL$6:$AL$505,STG_Woningetalage!$B$6:$B$505,$A31)))</f>
        <v/>
      </c>
      <c r="BP31" s="117" t="str">
        <f>IF($A31="","",IF($K31=0,"n.b.",SUMIFS(STG_Woningetalage!$AM$6:$AM$505,STG_Woningetalage!$B$6:$B$505,$A31)))</f>
        <v/>
      </c>
      <c r="BQ31" s="117" t="str">
        <f>IF($A31="","",IF($K31=0,"n.b.",SUMIFS(STG_Woningetalage!$BE$6:$BE$505,STG_Woningetalage!$B$6:$B$505,$A31)))</f>
        <v/>
      </c>
      <c r="BR31" s="117" t="str">
        <f>IF($A31="","",IF($K31=0,"n.b.",SUMIFS(STG_Woningetalage!$BF$6:$BF$505,STG_Woningetalage!$B$6:$B$505,$A31)))</f>
        <v/>
      </c>
      <c r="BS31" s="117" t="str">
        <f>IF($A31="","",IF($K31=0,"n.b.",SUMIFS(STG_Woningetalage!$BG$6:$BG$505,STG_Woningetalage!$B$6:$B$505,$A31)))</f>
        <v/>
      </c>
      <c r="BT31" s="117" t="str">
        <f>IF($A31="","",IF($K31=0,"n.b.",SUMIFS(STG_Woningetalage!$BH$6:$BH$505,STG_Woningetalage!$B$6:$B$505,$A31)))</f>
        <v/>
      </c>
      <c r="BU31" s="117" t="str">
        <f>IF($A31="","",IF($K31=0,"n.b.",SUMIFS(STG_Woningetalage!$BI$6:$BI$505,STG_Woningetalage!$B$6:$B$505,$A31)))</f>
        <v/>
      </c>
      <c r="BV31" s="117" t="str">
        <f>IF($A31="","",IF($K31=0,"n.b.",SUMIFS(STG_Woningetalage!$BJ$6:$BJ$505,STG_Woningetalage!$B$6:$B$505,$A31)))</f>
        <v/>
      </c>
      <c r="BW31" s="117" t="str">
        <f>IF($A31="","",IF($K31=0,"n.b.",SUMIFS(STG_Woningetalage!$AR$6:$AR$505,STG_Woningetalage!$B$6:$B$505,$A31)))</f>
        <v/>
      </c>
      <c r="BX31" s="117" t="str">
        <f>IF($A31="","",IF($K31=0,"n.b.",SUMIFS(STG_Woningetalage!$AS$6:$AS$505,STG_Woningetalage!$B$6:$B$505,$A31)))</f>
        <v/>
      </c>
      <c r="BY31" s="117" t="str">
        <f>IF($A31="","",IF($K31=0,"n.b.",SUMIFS(STG_Woningetalage!$AN$6:$AN$505,STG_Woningetalage!$B$6:$B$505,$A31)))</f>
        <v/>
      </c>
      <c r="BZ31" s="117" t="str">
        <f>IF($A31="","",IF($K31=0,"n.b.",SUMIFS(STG_Woningetalage!$AO$6:$AO$505,STG_Woningetalage!$B$6:$B$505,$A31)))</f>
        <v/>
      </c>
      <c r="CA31" s="117" t="str">
        <f>IF($A31="","",IF($K31=0,"n.b.",SUMIFS(STG_Woningetalage!$AP$6:$AP$505,STG_Woningetalage!$B$6:$B$505,$A31)))</f>
        <v/>
      </c>
      <c r="CB31" s="117" t="str">
        <f>IF($A31="","",IF($K31=0,"n.b.",SUMIFS(STG_Woningetalage!$AQ$6:$AQ$505,STG_Woningetalage!$B$6:$B$505,$A31)))</f>
        <v/>
      </c>
      <c r="CC31" s="117" t="str">
        <f>IF($A31="","",IF($K31=0,"n.b.",SUMIFS(STG_Woningetalage!$AU$6:$AU$505,STG_Woningetalage!$B$6:$B$505,$A31)))</f>
        <v/>
      </c>
      <c r="CD31" s="92" t="str">
        <f>IF($A31="","",IFERROR(INDEX(STG_ZPMW03!$L$6:$L$505,MATCH($A31,STG_ZPMW03!$B$6:$B$505,0)),"n.b."))</f>
        <v/>
      </c>
      <c r="CE31" s="92" t="str">
        <f>IF($A31="","",IFERROR(INDEX(STG_ZPMW03!$K$6:$K$505,MATCH($A31,STG_ZPMW03!$B$6:$B$505,0)),"n.b."))</f>
        <v/>
      </c>
      <c r="CF31" s="92" t="str">
        <f>IF($A31="","",IFERROR(INDEX(STG_ZPMW03!$BH$6:$BH$505,MATCH($A31,STG_ZPMW03!$B$6:$B$505,0)),"n.b."))</f>
        <v/>
      </c>
      <c r="CG31" s="92" t="str">
        <f>IF($A31="","",IFERROR(INDEX(STG_ZPMW03!$BI$6:$BI$505,MATCH($A31,STG_ZPMW03!$B$6:$B$505,0)),"n.b."))</f>
        <v/>
      </c>
      <c r="CH31" s="92" t="str">
        <f>IF($A31="","",IFERROR(INDEX(STG_ZPMW03!$BJ$6:$BJ$505,MATCH($A31,STG_ZPMW03!$B$6:$B$505,0)),"n.b."))</f>
        <v/>
      </c>
      <c r="CI31" s="92" t="str">
        <f>IF($A31="","",IFERROR(INDEX(STG_ZPMW03!$BF$6:$BF$505,MATCH($A31,STG_ZPMW03!$B$6:$B$505,0)),"n.b."))</f>
        <v/>
      </c>
      <c r="CJ31" s="92" t="str">
        <f>IF($A31="","",IFERROR(INDEX(STG_ZPMW03!$BG$6:$BG$505,MATCH($A31,STG_ZPMW03!$B$6:$B$505,0)),"n.b."))</f>
        <v/>
      </c>
      <c r="CK31" s="92" t="str">
        <f>IF($A31="","",IFERROR(INDEX(STG_ZPMW03!$H$6:$H$505,MATCH($A31,STG_ZPMW03!$B$6:$B$505,0)),"n.b."))</f>
        <v/>
      </c>
      <c r="CL31" s="92" t="str">
        <f>IF($A31="","",IFERROR(INDEX(STG_ZPMW03!$E$6:$E$505,MATCH($A31,STG_ZPMW03!$B$6:$B$505,0)),"n.b."))</f>
        <v/>
      </c>
      <c r="CM31" s="92" t="str">
        <f>IF($A31="","",IFERROR(INDEX(STG_ZPMW03!$G$6:$G$505,MATCH($A31,STG_ZPMW03!$B$6:$B$505,0)),"n.b."))</f>
        <v/>
      </c>
      <c r="CN31" s="92" t="str">
        <f>IF($A31="","",IFERROR(INDEX(STG_Woningetalage!$N$6:$N$505,MATCH($A31,STG_Woningetalage!$B$6:$B$505,0)),"n.b."))</f>
        <v/>
      </c>
      <c r="CO31" s="92" t="str">
        <f>IF($A31="","",IFERROR(INDEX(STG_Woningetalage!$P$6:$P$505,MATCH($A31,STG_Woningetalage!$B$6:$B$505,0)),"n.b."))</f>
        <v/>
      </c>
      <c r="CP31" s="118" t="str">
        <f>IF($A31="","",IF(AND(ISNUMBER(AT31),ISNUMBER(F31)),IF(F31&gt;0,AT31/(F31/100),"n.b."),"n.b."))</f>
        <v/>
      </c>
      <c r="CQ31" s="116" t="str">
        <f>IF($A31="","",IF(ISNUMBER(Q31),IF(Q31&lt;0,1,0),0))</f>
        <v/>
      </c>
      <c r="CR31" s="116" t="str">
        <f>IF(CQ31=1,COUNTIF($CQ$6:CQ31,1),"")</f>
        <v/>
      </c>
      <c r="CS31" s="116" t="str">
        <f>IF(AND($A31&lt;&gt;"",$J31=0),COUNTIFS($A$6:$A31,"?*",$J$6:$J31,0),"")</f>
        <v/>
      </c>
      <c r="CT31" s="119" t="str">
        <f>IF($A31="","",IF(AND(ISNUMBER(Q31),ISNUMBER(P31)),IF(P31&lt;&gt;0,Q31/P31,"n.b."),"n.b."))</f>
        <v/>
      </c>
    </row>
    <row r="32">
      <c r="A32" s="92" t="str">
        <f>IF(Mapping!$A31="","",Mapping!$A31)</f>
        <v/>
      </c>
      <c r="B32" s="92" t="str">
        <f>IF(Mapping!$B31="","",Mapping!$B31)</f>
        <v/>
      </c>
      <c r="C32" s="92" t="str">
        <f>IF(Mapping!$C31="","",Mapping!$C31)</f>
        <v/>
      </c>
      <c r="D32" s="92" t="str">
        <f>IF(Mapping!$F31="","",Mapping!$F31)</f>
        <v/>
      </c>
      <c r="E32" s="92" t="str">
        <f>IF(Mapping!$H31="","",Mapping!$H31)</f>
        <v/>
      </c>
      <c r="F32" s="92" t="str">
        <f>IF(Mapping!$E31="","",Mapping!$E31)</f>
        <v/>
      </c>
      <c r="G32" s="92" t="str">
        <f>IF(Mapping!$G31="","",Mapping!$G31)</f>
        <v/>
      </c>
      <c r="H32" s="92" t="str">
        <f>IF(Mapping!$D31="","",Mapping!$D31)</f>
        <v/>
      </c>
      <c r="I32" s="92" t="str">
        <f>IF($A32="","",IFERROR(INDEX(STG_ZPMW03!$C$6:$C$505,MATCH($A32,STG_ZPMW03!$B$6:$B$505,0)),"n.b."))</f>
        <v/>
      </c>
      <c r="J32" s="116" t="str">
        <f>IF($A32="","",COUNTIF(STG_ZPMW03!$B$6:$B$505,$A32))</f>
        <v/>
      </c>
      <c r="K32" s="116" t="str">
        <f>IF($A32="","",COUNTIF(STG_Woningetalage!$B$6:$B$505,$A32))</f>
        <v/>
      </c>
      <c r="L32" s="117" t="str">
        <f>IF($A32="","",IF($J32=0,"n.b.",SUMIFS(STG_ZPMW03!$BK$6:$BK$505,STG_ZPMW03!$B$6:$B$505,$A32)))</f>
        <v/>
      </c>
      <c r="M32" s="117" t="str">
        <f>IF($A32="","",IF($J32=0,"n.b.",SUMIFS(STG_ZPMW03!$BL$6:$BL$505,STG_ZPMW03!$B$6:$B$505,$A32)))</f>
        <v/>
      </c>
      <c r="N32" s="117" t="str">
        <f>IF($A32="","",IF($J32=0,"n.b.",SUMIFS(STG_ZPMW03!$BM$6:$BM$505,STG_ZPMW03!$B$6:$B$505,$A32)))</f>
        <v/>
      </c>
      <c r="O32" s="117" t="str">
        <f>IF($A32="","",IF($J32=0,"n.b.",SUMIFS(STG_ZPMW03!$BN$6:$BN$505,STG_ZPMW03!$B$6:$B$505,$A32)))</f>
        <v/>
      </c>
      <c r="P32" s="117" t="str">
        <f>IF($A32="","",IF($J32=0,"n.b.",SUMIFS(STG_ZPMW03!$BO$6:$BO$505,STG_ZPMW03!$B$6:$B$505,$A32)))</f>
        <v/>
      </c>
      <c r="Q32" s="117" t="str">
        <f>IF($A32="","",IF($J32=0,"n.b.",SUMIFS(STG_ZPMW03!$BP$6:$BP$505,STG_ZPMW03!$B$6:$B$505,$A32)))</f>
        <v/>
      </c>
      <c r="R32" s="117" t="str">
        <f>IF($A32="","",IF($J32=0,"n.b.",SUMIFS(STG_ZPMW03!$BQ$6:$BQ$505,STG_ZPMW03!$B$6:$B$505,$A32)))</f>
        <v/>
      </c>
      <c r="S32" s="117" t="str">
        <f>IF($A32="","",IF($J32=0,"n.b.",SUMIFS(STG_ZPMW03!$BR$6:$BR$505,STG_ZPMW03!$B$6:$B$505,$A32)))</f>
        <v/>
      </c>
      <c r="T32" s="117" t="str">
        <f>IF($A32="","",IF($J32=0,"n.b.",SUMIFS(STG_ZPMW03!$BS$6:$BS$505,STG_ZPMW03!$B$6:$B$505,$A32)))</f>
        <v/>
      </c>
      <c r="U32" s="117" t="str">
        <f>IF($A32="","",IF($J32=0,"n.b.",SUMIFS(STG_ZPMW03!$BT$6:$BT$505,STG_ZPMW03!$B$6:$B$505,$A32)))</f>
        <v/>
      </c>
      <c r="V32" s="117" t="str">
        <f>IF($A32="","",IF($J32=0,"n.b.",SUMIFS(STG_ZPMW03!$BU$6:$BU$505,STG_ZPMW03!$B$6:$B$505,$A32)))</f>
        <v/>
      </c>
      <c r="W32" s="117" t="str">
        <f>IF($A32="","",IF($J32=0,"n.b.",SUMIFS(STG_ZPMW03!$BW$6:$BW$505,STG_ZPMW03!$B$6:$B$505,$A32)))</f>
        <v/>
      </c>
      <c r="X32" s="117" t="str">
        <f>IF($A32="","",IF($J32=0,"n.b.",SUMIFS(STG_ZPMW03!$BY$6:$BY$505,STG_ZPMW03!$B$6:$B$505,$A32)))</f>
        <v/>
      </c>
      <c r="Y32" s="117" t="str">
        <f>IF($A32="","",IF($J32=0,"n.b.",SUMIFS(STG_ZPMW03!$CA$6:$CA$505,STG_ZPMW03!$B$6:$B$505,$A32)))</f>
        <v/>
      </c>
      <c r="Z32" s="117" t="str">
        <f>IF($A32="","",IF($J32=0,"n.b.",SUMIFS(STG_ZPMW03!$BV$6:$BV$505,STG_ZPMW03!$B$6:$B$505,$A32)))</f>
        <v/>
      </c>
      <c r="AA32" s="117" t="str">
        <f>IF($A32="","",IF($J32=0,"n.b.",SUMIFS(STG_ZPMW03!$BX$6:$BX$505,STG_ZPMW03!$B$6:$B$505,$A32)))</f>
        <v/>
      </c>
      <c r="AB32" s="117" t="str">
        <f>IF($A32="","",IF($J32=0,"n.b.",SUMIFS(STG_ZPMW03!$BZ$6:$BZ$505,STG_ZPMW03!$B$6:$B$505,$A32)))</f>
        <v/>
      </c>
      <c r="AC32" s="117" t="str">
        <f>IF($A32="","",IF($J32=0,"n.b.",SUMIFS(STG_ZPMW03!$CB$6:$CB$505,STG_ZPMW03!$B$6:$B$505,$A32)))</f>
        <v/>
      </c>
      <c r="AD32" s="117" t="str">
        <f>IF($A32="","",IF($J32=0,"n.b.",SUMIFS(STG_ZPMW03!$CC$6:$CC$505,STG_ZPMW03!$B$6:$B$505,$A32)))</f>
        <v/>
      </c>
      <c r="AE32" s="117" t="str">
        <f>IF($A32="","",IF($J32=0,"n.b.",SUMIFS(STG_ZPMW03!$CE$6:$CE$505,STG_ZPMW03!$B$6:$B$505,$A32)))</f>
        <v/>
      </c>
      <c r="AF32" s="117" t="str">
        <f>IF($A32="","",IF($J32=0,"n.b.",SUMIFS(STG_ZPMW03!$CG$6:$CG$505,STG_ZPMW03!$B$6:$B$505,$A32)))</f>
        <v/>
      </c>
      <c r="AG32" s="117" t="str">
        <f>IF($A32="","",IF($J32=0,"n.b.",SUMIFS(STG_ZPMW03!$CI$6:$CI$505,STG_ZPMW03!$B$6:$B$505,$A32)))</f>
        <v/>
      </c>
      <c r="AH32" s="117" t="str">
        <f>IF($A32="","",IF($J32=0,"n.b.",SUMIFS(STG_ZPMW03!$CK$6:$CK$505,STG_ZPMW03!$B$6:$B$505,$A32)))</f>
        <v/>
      </c>
      <c r="AI32" s="117" t="str">
        <f>IF($A32="","",IF($J32=0,"n.b.",SUMIFS(STG_ZPMW03!$CM$6:$CM$505,STG_ZPMW03!$B$6:$B$505,$A32)))</f>
        <v/>
      </c>
      <c r="AJ32" s="117" t="str">
        <f>IF($A32="","",IF($J32=0,"n.b.",SUMIFS(STG_ZPMW03!$CO$6:$CO$505,STG_ZPMW03!$B$6:$B$505,$A32)))</f>
        <v/>
      </c>
      <c r="AK32" s="117" t="str">
        <f>IF($A32="","",IF($J32=0,"n.b.",SUMIFS(STG_ZPMW03!$CQ$6:$CQ$505,STG_ZPMW03!$B$6:$B$505,$A32)))</f>
        <v/>
      </c>
      <c r="AL32" s="117" t="str">
        <f>IF($A32="","",IF($J32=0,"n.b.",SUMIFS(STG_ZPMW03!$CD$6:$CD$505,STG_ZPMW03!$B$6:$B$505,$A32)))</f>
        <v/>
      </c>
      <c r="AM32" s="117" t="str">
        <f>IF($A32="","",IF($J32=0,"n.b.",SUMIFS(STG_ZPMW03!$CF$6:$CF$505,STG_ZPMW03!$B$6:$B$505,$A32)))</f>
        <v/>
      </c>
      <c r="AN32" s="117" t="str">
        <f>IF($A32="","",IF($J32=0,"n.b.",SUMIFS(STG_ZPMW03!$CH$6:$CH$505,STG_ZPMW03!$B$6:$B$505,$A32)))</f>
        <v/>
      </c>
      <c r="AO32" s="117" t="str">
        <f>IF($A32="","",IF($J32=0,"n.b.",SUMIFS(STG_ZPMW03!$CJ$6:$CJ$505,STG_ZPMW03!$B$6:$B$505,$A32)))</f>
        <v/>
      </c>
      <c r="AP32" s="117" t="str">
        <f>IF($A32="","",IF($J32=0,"n.b.",SUMIFS(STG_ZPMW03!$CL$6:$CL$505,STG_ZPMW03!$B$6:$B$505,$A32)))</f>
        <v/>
      </c>
      <c r="AQ32" s="117" t="str">
        <f>IF($A32="","",IF($J32=0,"n.b.",SUMIFS(STG_ZPMW03!$CN$6:$CN$505,STG_ZPMW03!$B$6:$B$505,$A32)))</f>
        <v/>
      </c>
      <c r="AR32" s="117" t="str">
        <f>IF($A32="","",IF($J32=0,"n.b.",SUMIFS(STG_ZPMW03!$CP$6:$CP$505,STG_ZPMW03!$B$6:$B$505,$A32)))</f>
        <v/>
      </c>
      <c r="AS32" s="117" t="str">
        <f>IF($A32="","",IF($J32=0,"n.b.",SUMIFS(STG_ZPMW03!$CR$6:$CR$505,STG_ZPMW03!$B$6:$B$505,$A32)))</f>
        <v/>
      </c>
      <c r="AT32" s="117" t="str">
        <f>IF($A32="","",IF($K32=0,"n.b.",SUMIFS(STG_Woningetalage!$Q$6:$Q$505,STG_Woningetalage!$B$6:$B$505,$A32)))</f>
        <v/>
      </c>
      <c r="AU32" s="117" t="str">
        <f>IF($A32="","",IF($K32=0,"n.b.",SUMIFS(STG_Woningetalage!$R$6:$R$505,STG_Woningetalage!$B$6:$B$505,$A32)))</f>
        <v/>
      </c>
      <c r="AV32" s="117" t="str">
        <f>IF($A32="","",IF($K32=0,"n.b.",SUMIFS(STG_Woningetalage!$S$6:$S$505,STG_Woningetalage!$B$6:$B$505,$A32)))</f>
        <v/>
      </c>
      <c r="AW32" s="117" t="str">
        <f>IF($A32="","",IF($K32=0,"n.b.",SUMIFS(STG_Woningetalage!$T$6:$T$505,STG_Woningetalage!$B$6:$B$505,$A32)))</f>
        <v/>
      </c>
      <c r="AX32" s="117" t="str">
        <f>IF($A32="","",IF($K32=0,"n.b.",SUMIFS(STG_Woningetalage!$U$6:$U$505,STG_Woningetalage!$B$6:$B$505,$A32)))</f>
        <v/>
      </c>
      <c r="AY32" s="117" t="str">
        <f>IF($A32="","",IF($K32=0,"n.b.",SUMIFS(STG_Woningetalage!$V$6:$V$505,STG_Woningetalage!$B$6:$B$505,$A32)))</f>
        <v/>
      </c>
      <c r="AZ32" s="117" t="str">
        <f>IF($A32="","",IF($K32=0,"n.b.",SUMIFS(STG_Woningetalage!$W$6:$W$505,STG_Woningetalage!$B$6:$B$505,$A32)))</f>
        <v/>
      </c>
      <c r="BA32" s="117" t="str">
        <f>IF($A32="","",IF($K32=0,"n.b.",SUMIFS(STG_Woningetalage!$X$6:$X$505,STG_Woningetalage!$B$6:$B$505,$A32)))</f>
        <v/>
      </c>
      <c r="BB32" s="117" t="str">
        <f>IF($A32="","",IF($K32=0,"n.b.",SUMIFS(STG_Woningetalage!$Y$6:$Y$505,STG_Woningetalage!$B$6:$B$505,$A32)))</f>
        <v/>
      </c>
      <c r="BC32" s="117" t="str">
        <f>IF($A32="","",IF($K32=0,"n.b.",SUMIFS(STG_Woningetalage!$Z$6:$Z$505,STG_Woningetalage!$B$6:$B$505,$A32)))</f>
        <v/>
      </c>
      <c r="BD32" s="117" t="str">
        <f>IF($A32="","",IF($K32=0,"n.b.",SUMIFS(STG_Woningetalage!$AA$6:$AA$505,STG_Woningetalage!$B$6:$B$505,$A32)))</f>
        <v/>
      </c>
      <c r="BE32" s="117" t="str">
        <f>IF($A32="","",IF($K32=0,"n.b.",SUMIFS(STG_Woningetalage!$AB$6:$AB$505,STG_Woningetalage!$B$6:$B$505,$A32)))</f>
        <v/>
      </c>
      <c r="BF32" s="117" t="str">
        <f>IF($A32="","",IF($K32=0,"n.b.",SUMIFS(STG_Woningetalage!$AC$6:$AC$505,STG_Woningetalage!$B$6:$B$505,$A32)))</f>
        <v/>
      </c>
      <c r="BG32" s="117" t="str">
        <f>IF($A32="","",IF($K32=0,"n.b.",SUMIFS(STG_Woningetalage!$AD$6:$AD$505,STG_Woningetalage!$B$6:$B$505,$A32)))</f>
        <v/>
      </c>
      <c r="BH32" s="117" t="str">
        <f>IF($A32="","",IF($K32=0,"n.b.",SUMIFS(STG_Woningetalage!$AE$6:$AE$505,STG_Woningetalage!$B$6:$B$505,$A32)))</f>
        <v/>
      </c>
      <c r="BI32" s="117" t="str">
        <f>IF($A32="","",IF($K32=0,"n.b.",SUMIFS(STG_Woningetalage!$AF$6:$AF$505,STG_Woningetalage!$B$6:$B$505,$A32)))</f>
        <v/>
      </c>
      <c r="BJ32" s="117" t="str">
        <f>IF($A32="","",IF($K32=0,"n.b.",SUMIFS(STG_Woningetalage!$AG$6:$AG$505,STG_Woningetalage!$B$6:$B$505,$A32)))</f>
        <v/>
      </c>
      <c r="BK32" s="117" t="str">
        <f>IF($A32="","",IF($K32=0,"n.b.",SUMIFS(STG_Woningetalage!$AH$6:$AH$505,STG_Woningetalage!$B$6:$B$505,$A32)))</f>
        <v/>
      </c>
      <c r="BL32" s="117" t="str">
        <f>IF($A32="","",IF($K32=0,"n.b.",SUMIFS(STG_Woningetalage!$AI$6:$AI$505,STG_Woningetalage!$B$6:$B$505,$A32)))</f>
        <v/>
      </c>
      <c r="BM32" s="117" t="str">
        <f>IF($A32="","",IF($K32=0,"n.b.",SUMIFS(STG_Woningetalage!$AJ$6:$AJ$505,STG_Woningetalage!$B$6:$B$505,$A32)))</f>
        <v/>
      </c>
      <c r="BN32" s="117" t="str">
        <f>IF($A32="","",IF($K32=0,"n.b.",SUMIFS(STG_Woningetalage!$AK$6:$AK$505,STG_Woningetalage!$B$6:$B$505,$A32)))</f>
        <v/>
      </c>
      <c r="BO32" s="117" t="str">
        <f>IF($A32="","",IF($K32=0,"n.b.",SUMIFS(STG_Woningetalage!$AL$6:$AL$505,STG_Woningetalage!$B$6:$B$505,$A32)))</f>
        <v/>
      </c>
      <c r="BP32" s="117" t="str">
        <f>IF($A32="","",IF($K32=0,"n.b.",SUMIFS(STG_Woningetalage!$AM$6:$AM$505,STG_Woningetalage!$B$6:$B$505,$A32)))</f>
        <v/>
      </c>
      <c r="BQ32" s="117" t="str">
        <f>IF($A32="","",IF($K32=0,"n.b.",SUMIFS(STG_Woningetalage!$BE$6:$BE$505,STG_Woningetalage!$B$6:$B$505,$A32)))</f>
        <v/>
      </c>
      <c r="BR32" s="117" t="str">
        <f>IF($A32="","",IF($K32=0,"n.b.",SUMIFS(STG_Woningetalage!$BF$6:$BF$505,STG_Woningetalage!$B$6:$B$505,$A32)))</f>
        <v/>
      </c>
      <c r="BS32" s="117" t="str">
        <f>IF($A32="","",IF($K32=0,"n.b.",SUMIFS(STG_Woningetalage!$BG$6:$BG$505,STG_Woningetalage!$B$6:$B$505,$A32)))</f>
        <v/>
      </c>
      <c r="BT32" s="117" t="str">
        <f>IF($A32="","",IF($K32=0,"n.b.",SUMIFS(STG_Woningetalage!$BH$6:$BH$505,STG_Woningetalage!$B$6:$B$505,$A32)))</f>
        <v/>
      </c>
      <c r="BU32" s="117" t="str">
        <f>IF($A32="","",IF($K32=0,"n.b.",SUMIFS(STG_Woningetalage!$BI$6:$BI$505,STG_Woningetalage!$B$6:$B$505,$A32)))</f>
        <v/>
      </c>
      <c r="BV32" s="117" t="str">
        <f>IF($A32="","",IF($K32=0,"n.b.",SUMIFS(STG_Woningetalage!$BJ$6:$BJ$505,STG_Woningetalage!$B$6:$B$505,$A32)))</f>
        <v/>
      </c>
      <c r="BW32" s="117" t="str">
        <f>IF($A32="","",IF($K32=0,"n.b.",SUMIFS(STG_Woningetalage!$AR$6:$AR$505,STG_Woningetalage!$B$6:$B$505,$A32)))</f>
        <v/>
      </c>
      <c r="BX32" s="117" t="str">
        <f>IF($A32="","",IF($K32=0,"n.b.",SUMIFS(STG_Woningetalage!$AS$6:$AS$505,STG_Woningetalage!$B$6:$B$505,$A32)))</f>
        <v/>
      </c>
      <c r="BY32" s="117" t="str">
        <f>IF($A32="","",IF($K32=0,"n.b.",SUMIFS(STG_Woningetalage!$AN$6:$AN$505,STG_Woningetalage!$B$6:$B$505,$A32)))</f>
        <v/>
      </c>
      <c r="BZ32" s="117" t="str">
        <f>IF($A32="","",IF($K32=0,"n.b.",SUMIFS(STG_Woningetalage!$AO$6:$AO$505,STG_Woningetalage!$B$6:$B$505,$A32)))</f>
        <v/>
      </c>
      <c r="CA32" s="117" t="str">
        <f>IF($A32="","",IF($K32=0,"n.b.",SUMIFS(STG_Woningetalage!$AP$6:$AP$505,STG_Woningetalage!$B$6:$B$505,$A32)))</f>
        <v/>
      </c>
      <c r="CB32" s="117" t="str">
        <f>IF($A32="","",IF($K32=0,"n.b.",SUMIFS(STG_Woningetalage!$AQ$6:$AQ$505,STG_Woningetalage!$B$6:$B$505,$A32)))</f>
        <v/>
      </c>
      <c r="CC32" s="117" t="str">
        <f>IF($A32="","",IF($K32=0,"n.b.",SUMIFS(STG_Woningetalage!$AU$6:$AU$505,STG_Woningetalage!$B$6:$B$505,$A32)))</f>
        <v/>
      </c>
      <c r="CD32" s="92" t="str">
        <f>IF($A32="","",IFERROR(INDEX(STG_ZPMW03!$L$6:$L$505,MATCH($A32,STG_ZPMW03!$B$6:$B$505,0)),"n.b."))</f>
        <v/>
      </c>
      <c r="CE32" s="92" t="str">
        <f>IF($A32="","",IFERROR(INDEX(STG_ZPMW03!$K$6:$K$505,MATCH($A32,STG_ZPMW03!$B$6:$B$505,0)),"n.b."))</f>
        <v/>
      </c>
      <c r="CF32" s="92" t="str">
        <f>IF($A32="","",IFERROR(INDEX(STG_ZPMW03!$BH$6:$BH$505,MATCH($A32,STG_ZPMW03!$B$6:$B$505,0)),"n.b."))</f>
        <v/>
      </c>
      <c r="CG32" s="92" t="str">
        <f>IF($A32="","",IFERROR(INDEX(STG_ZPMW03!$BI$6:$BI$505,MATCH($A32,STG_ZPMW03!$B$6:$B$505,0)),"n.b."))</f>
        <v/>
      </c>
      <c r="CH32" s="92" t="str">
        <f>IF($A32="","",IFERROR(INDEX(STG_ZPMW03!$BJ$6:$BJ$505,MATCH($A32,STG_ZPMW03!$B$6:$B$505,0)),"n.b."))</f>
        <v/>
      </c>
      <c r="CI32" s="92" t="str">
        <f>IF($A32="","",IFERROR(INDEX(STG_ZPMW03!$BF$6:$BF$505,MATCH($A32,STG_ZPMW03!$B$6:$B$505,0)),"n.b."))</f>
        <v/>
      </c>
      <c r="CJ32" s="92" t="str">
        <f>IF($A32="","",IFERROR(INDEX(STG_ZPMW03!$BG$6:$BG$505,MATCH($A32,STG_ZPMW03!$B$6:$B$505,0)),"n.b."))</f>
        <v/>
      </c>
      <c r="CK32" s="92" t="str">
        <f>IF($A32="","",IFERROR(INDEX(STG_ZPMW03!$H$6:$H$505,MATCH($A32,STG_ZPMW03!$B$6:$B$505,0)),"n.b."))</f>
        <v/>
      </c>
      <c r="CL32" s="92" t="str">
        <f>IF($A32="","",IFERROR(INDEX(STG_ZPMW03!$E$6:$E$505,MATCH($A32,STG_ZPMW03!$B$6:$B$505,0)),"n.b."))</f>
        <v/>
      </c>
      <c r="CM32" s="92" t="str">
        <f>IF($A32="","",IFERROR(INDEX(STG_ZPMW03!$G$6:$G$505,MATCH($A32,STG_ZPMW03!$B$6:$B$505,0)),"n.b."))</f>
        <v/>
      </c>
      <c r="CN32" s="92" t="str">
        <f>IF($A32="","",IFERROR(INDEX(STG_Woningetalage!$N$6:$N$505,MATCH($A32,STG_Woningetalage!$B$6:$B$505,0)),"n.b."))</f>
        <v/>
      </c>
      <c r="CO32" s="92" t="str">
        <f>IF($A32="","",IFERROR(INDEX(STG_Woningetalage!$P$6:$P$505,MATCH($A32,STG_Woningetalage!$B$6:$B$505,0)),"n.b."))</f>
        <v/>
      </c>
      <c r="CP32" s="118" t="str">
        <f>IF($A32="","",IF(AND(ISNUMBER(AT32),ISNUMBER(F32)),IF(F32&gt;0,AT32/(F32/100),"n.b."),"n.b."))</f>
        <v/>
      </c>
      <c r="CQ32" s="116" t="str">
        <f>IF($A32="","",IF(ISNUMBER(Q32),IF(Q32&lt;0,1,0),0))</f>
        <v/>
      </c>
      <c r="CR32" s="116" t="str">
        <f>IF(CQ32=1,COUNTIF($CQ$6:CQ32,1),"")</f>
        <v/>
      </c>
      <c r="CS32" s="116" t="str">
        <f>IF(AND($A32&lt;&gt;"",$J32=0),COUNTIFS($A$6:$A32,"?*",$J$6:$J32,0),"")</f>
        <v/>
      </c>
      <c r="CT32" s="119" t="str">
        <f>IF($A32="","",IF(AND(ISNUMBER(Q32),ISNUMBER(P32)),IF(P32&lt;&gt;0,Q32/P32,"n.b."),"n.b."))</f>
        <v/>
      </c>
    </row>
    <row r="33">
      <c r="A33" s="92" t="str">
        <f>IF(Mapping!$A32="","",Mapping!$A32)</f>
        <v/>
      </c>
      <c r="B33" s="92" t="str">
        <f>IF(Mapping!$B32="","",Mapping!$B32)</f>
        <v/>
      </c>
      <c r="C33" s="92" t="str">
        <f>IF(Mapping!$C32="","",Mapping!$C32)</f>
        <v/>
      </c>
      <c r="D33" s="92" t="str">
        <f>IF(Mapping!$F32="","",Mapping!$F32)</f>
        <v/>
      </c>
      <c r="E33" s="92" t="str">
        <f>IF(Mapping!$H32="","",Mapping!$H32)</f>
        <v/>
      </c>
      <c r="F33" s="92" t="str">
        <f>IF(Mapping!$E32="","",Mapping!$E32)</f>
        <v/>
      </c>
      <c r="G33" s="92" t="str">
        <f>IF(Mapping!$G32="","",Mapping!$G32)</f>
        <v/>
      </c>
      <c r="H33" s="92" t="str">
        <f>IF(Mapping!$D32="","",Mapping!$D32)</f>
        <v/>
      </c>
      <c r="I33" s="92" t="str">
        <f>IF($A33="","",IFERROR(INDEX(STG_ZPMW03!$C$6:$C$505,MATCH($A33,STG_ZPMW03!$B$6:$B$505,0)),"n.b."))</f>
        <v/>
      </c>
      <c r="J33" s="116" t="str">
        <f>IF($A33="","",COUNTIF(STG_ZPMW03!$B$6:$B$505,$A33))</f>
        <v/>
      </c>
      <c r="K33" s="116" t="str">
        <f>IF($A33="","",COUNTIF(STG_Woningetalage!$B$6:$B$505,$A33))</f>
        <v/>
      </c>
      <c r="L33" s="117" t="str">
        <f>IF($A33="","",IF($J33=0,"n.b.",SUMIFS(STG_ZPMW03!$BK$6:$BK$505,STG_ZPMW03!$B$6:$B$505,$A33)))</f>
        <v/>
      </c>
      <c r="M33" s="117" t="str">
        <f>IF($A33="","",IF($J33=0,"n.b.",SUMIFS(STG_ZPMW03!$BL$6:$BL$505,STG_ZPMW03!$B$6:$B$505,$A33)))</f>
        <v/>
      </c>
      <c r="N33" s="117" t="str">
        <f>IF($A33="","",IF($J33=0,"n.b.",SUMIFS(STG_ZPMW03!$BM$6:$BM$505,STG_ZPMW03!$B$6:$B$505,$A33)))</f>
        <v/>
      </c>
      <c r="O33" s="117" t="str">
        <f>IF($A33="","",IF($J33=0,"n.b.",SUMIFS(STG_ZPMW03!$BN$6:$BN$505,STG_ZPMW03!$B$6:$B$505,$A33)))</f>
        <v/>
      </c>
      <c r="P33" s="117" t="str">
        <f>IF($A33="","",IF($J33=0,"n.b.",SUMIFS(STG_ZPMW03!$BO$6:$BO$505,STG_ZPMW03!$B$6:$B$505,$A33)))</f>
        <v/>
      </c>
      <c r="Q33" s="117" t="str">
        <f>IF($A33="","",IF($J33=0,"n.b.",SUMIFS(STG_ZPMW03!$BP$6:$BP$505,STG_ZPMW03!$B$6:$B$505,$A33)))</f>
        <v/>
      </c>
      <c r="R33" s="117" t="str">
        <f>IF($A33="","",IF($J33=0,"n.b.",SUMIFS(STG_ZPMW03!$BQ$6:$BQ$505,STG_ZPMW03!$B$6:$B$505,$A33)))</f>
        <v/>
      </c>
      <c r="S33" s="117" t="str">
        <f>IF($A33="","",IF($J33=0,"n.b.",SUMIFS(STG_ZPMW03!$BR$6:$BR$505,STG_ZPMW03!$B$6:$B$505,$A33)))</f>
        <v/>
      </c>
      <c r="T33" s="117" t="str">
        <f>IF($A33="","",IF($J33=0,"n.b.",SUMIFS(STG_ZPMW03!$BS$6:$BS$505,STG_ZPMW03!$B$6:$B$505,$A33)))</f>
        <v/>
      </c>
      <c r="U33" s="117" t="str">
        <f>IF($A33="","",IF($J33=0,"n.b.",SUMIFS(STG_ZPMW03!$BT$6:$BT$505,STG_ZPMW03!$B$6:$B$505,$A33)))</f>
        <v/>
      </c>
      <c r="V33" s="117" t="str">
        <f>IF($A33="","",IF($J33=0,"n.b.",SUMIFS(STG_ZPMW03!$BU$6:$BU$505,STG_ZPMW03!$B$6:$B$505,$A33)))</f>
        <v/>
      </c>
      <c r="W33" s="117" t="str">
        <f>IF($A33="","",IF($J33=0,"n.b.",SUMIFS(STG_ZPMW03!$BW$6:$BW$505,STG_ZPMW03!$B$6:$B$505,$A33)))</f>
        <v/>
      </c>
      <c r="X33" s="117" t="str">
        <f>IF($A33="","",IF($J33=0,"n.b.",SUMIFS(STG_ZPMW03!$BY$6:$BY$505,STG_ZPMW03!$B$6:$B$505,$A33)))</f>
        <v/>
      </c>
      <c r="Y33" s="117" t="str">
        <f>IF($A33="","",IF($J33=0,"n.b.",SUMIFS(STG_ZPMW03!$CA$6:$CA$505,STG_ZPMW03!$B$6:$B$505,$A33)))</f>
        <v/>
      </c>
      <c r="Z33" s="117" t="str">
        <f>IF($A33="","",IF($J33=0,"n.b.",SUMIFS(STG_ZPMW03!$BV$6:$BV$505,STG_ZPMW03!$B$6:$B$505,$A33)))</f>
        <v/>
      </c>
      <c r="AA33" s="117" t="str">
        <f>IF($A33="","",IF($J33=0,"n.b.",SUMIFS(STG_ZPMW03!$BX$6:$BX$505,STG_ZPMW03!$B$6:$B$505,$A33)))</f>
        <v/>
      </c>
      <c r="AB33" s="117" t="str">
        <f>IF($A33="","",IF($J33=0,"n.b.",SUMIFS(STG_ZPMW03!$BZ$6:$BZ$505,STG_ZPMW03!$B$6:$B$505,$A33)))</f>
        <v/>
      </c>
      <c r="AC33" s="117" t="str">
        <f>IF($A33="","",IF($J33=0,"n.b.",SUMIFS(STG_ZPMW03!$CB$6:$CB$505,STG_ZPMW03!$B$6:$B$505,$A33)))</f>
        <v/>
      </c>
      <c r="AD33" s="117" t="str">
        <f>IF($A33="","",IF($J33=0,"n.b.",SUMIFS(STG_ZPMW03!$CC$6:$CC$505,STG_ZPMW03!$B$6:$B$505,$A33)))</f>
        <v/>
      </c>
      <c r="AE33" s="117" t="str">
        <f>IF($A33="","",IF($J33=0,"n.b.",SUMIFS(STG_ZPMW03!$CE$6:$CE$505,STG_ZPMW03!$B$6:$B$505,$A33)))</f>
        <v/>
      </c>
      <c r="AF33" s="117" t="str">
        <f>IF($A33="","",IF($J33=0,"n.b.",SUMIFS(STG_ZPMW03!$CG$6:$CG$505,STG_ZPMW03!$B$6:$B$505,$A33)))</f>
        <v/>
      </c>
      <c r="AG33" s="117" t="str">
        <f>IF($A33="","",IF($J33=0,"n.b.",SUMIFS(STG_ZPMW03!$CI$6:$CI$505,STG_ZPMW03!$B$6:$B$505,$A33)))</f>
        <v/>
      </c>
      <c r="AH33" s="117" t="str">
        <f>IF($A33="","",IF($J33=0,"n.b.",SUMIFS(STG_ZPMW03!$CK$6:$CK$505,STG_ZPMW03!$B$6:$B$505,$A33)))</f>
        <v/>
      </c>
      <c r="AI33" s="117" t="str">
        <f>IF($A33="","",IF($J33=0,"n.b.",SUMIFS(STG_ZPMW03!$CM$6:$CM$505,STG_ZPMW03!$B$6:$B$505,$A33)))</f>
        <v/>
      </c>
      <c r="AJ33" s="117" t="str">
        <f>IF($A33="","",IF($J33=0,"n.b.",SUMIFS(STG_ZPMW03!$CO$6:$CO$505,STG_ZPMW03!$B$6:$B$505,$A33)))</f>
        <v/>
      </c>
      <c r="AK33" s="117" t="str">
        <f>IF($A33="","",IF($J33=0,"n.b.",SUMIFS(STG_ZPMW03!$CQ$6:$CQ$505,STG_ZPMW03!$B$6:$B$505,$A33)))</f>
        <v/>
      </c>
      <c r="AL33" s="117" t="str">
        <f>IF($A33="","",IF($J33=0,"n.b.",SUMIFS(STG_ZPMW03!$CD$6:$CD$505,STG_ZPMW03!$B$6:$B$505,$A33)))</f>
        <v/>
      </c>
      <c r="AM33" s="117" t="str">
        <f>IF($A33="","",IF($J33=0,"n.b.",SUMIFS(STG_ZPMW03!$CF$6:$CF$505,STG_ZPMW03!$B$6:$B$505,$A33)))</f>
        <v/>
      </c>
      <c r="AN33" s="117" t="str">
        <f>IF($A33="","",IF($J33=0,"n.b.",SUMIFS(STG_ZPMW03!$CH$6:$CH$505,STG_ZPMW03!$B$6:$B$505,$A33)))</f>
        <v/>
      </c>
      <c r="AO33" s="117" t="str">
        <f>IF($A33="","",IF($J33=0,"n.b.",SUMIFS(STG_ZPMW03!$CJ$6:$CJ$505,STG_ZPMW03!$B$6:$B$505,$A33)))</f>
        <v/>
      </c>
      <c r="AP33" s="117" t="str">
        <f>IF($A33="","",IF($J33=0,"n.b.",SUMIFS(STG_ZPMW03!$CL$6:$CL$505,STG_ZPMW03!$B$6:$B$505,$A33)))</f>
        <v/>
      </c>
      <c r="AQ33" s="117" t="str">
        <f>IF($A33="","",IF($J33=0,"n.b.",SUMIFS(STG_ZPMW03!$CN$6:$CN$505,STG_ZPMW03!$B$6:$B$505,$A33)))</f>
        <v/>
      </c>
      <c r="AR33" s="117" t="str">
        <f>IF($A33="","",IF($J33=0,"n.b.",SUMIFS(STG_ZPMW03!$CP$6:$CP$505,STG_ZPMW03!$B$6:$B$505,$A33)))</f>
        <v/>
      </c>
      <c r="AS33" s="117" t="str">
        <f>IF($A33="","",IF($J33=0,"n.b.",SUMIFS(STG_ZPMW03!$CR$6:$CR$505,STG_ZPMW03!$B$6:$B$505,$A33)))</f>
        <v/>
      </c>
      <c r="AT33" s="117" t="str">
        <f>IF($A33="","",IF($K33=0,"n.b.",SUMIFS(STG_Woningetalage!$Q$6:$Q$505,STG_Woningetalage!$B$6:$B$505,$A33)))</f>
        <v/>
      </c>
      <c r="AU33" s="117" t="str">
        <f>IF($A33="","",IF($K33=0,"n.b.",SUMIFS(STG_Woningetalage!$R$6:$R$505,STG_Woningetalage!$B$6:$B$505,$A33)))</f>
        <v/>
      </c>
      <c r="AV33" s="117" t="str">
        <f>IF($A33="","",IF($K33=0,"n.b.",SUMIFS(STG_Woningetalage!$S$6:$S$505,STG_Woningetalage!$B$6:$B$505,$A33)))</f>
        <v/>
      </c>
      <c r="AW33" s="117" t="str">
        <f>IF($A33="","",IF($K33=0,"n.b.",SUMIFS(STG_Woningetalage!$T$6:$T$505,STG_Woningetalage!$B$6:$B$505,$A33)))</f>
        <v/>
      </c>
      <c r="AX33" s="117" t="str">
        <f>IF($A33="","",IF($K33=0,"n.b.",SUMIFS(STG_Woningetalage!$U$6:$U$505,STG_Woningetalage!$B$6:$B$505,$A33)))</f>
        <v/>
      </c>
      <c r="AY33" s="117" t="str">
        <f>IF($A33="","",IF($K33=0,"n.b.",SUMIFS(STG_Woningetalage!$V$6:$V$505,STG_Woningetalage!$B$6:$B$505,$A33)))</f>
        <v/>
      </c>
      <c r="AZ33" s="117" t="str">
        <f>IF($A33="","",IF($K33=0,"n.b.",SUMIFS(STG_Woningetalage!$W$6:$W$505,STG_Woningetalage!$B$6:$B$505,$A33)))</f>
        <v/>
      </c>
      <c r="BA33" s="117" t="str">
        <f>IF($A33="","",IF($K33=0,"n.b.",SUMIFS(STG_Woningetalage!$X$6:$X$505,STG_Woningetalage!$B$6:$B$505,$A33)))</f>
        <v/>
      </c>
      <c r="BB33" s="117" t="str">
        <f>IF($A33="","",IF($K33=0,"n.b.",SUMIFS(STG_Woningetalage!$Y$6:$Y$505,STG_Woningetalage!$B$6:$B$505,$A33)))</f>
        <v/>
      </c>
      <c r="BC33" s="117" t="str">
        <f>IF($A33="","",IF($K33=0,"n.b.",SUMIFS(STG_Woningetalage!$Z$6:$Z$505,STG_Woningetalage!$B$6:$B$505,$A33)))</f>
        <v/>
      </c>
      <c r="BD33" s="117" t="str">
        <f>IF($A33="","",IF($K33=0,"n.b.",SUMIFS(STG_Woningetalage!$AA$6:$AA$505,STG_Woningetalage!$B$6:$B$505,$A33)))</f>
        <v/>
      </c>
      <c r="BE33" s="117" t="str">
        <f>IF($A33="","",IF($K33=0,"n.b.",SUMIFS(STG_Woningetalage!$AB$6:$AB$505,STG_Woningetalage!$B$6:$B$505,$A33)))</f>
        <v/>
      </c>
      <c r="BF33" s="117" t="str">
        <f>IF($A33="","",IF($K33=0,"n.b.",SUMIFS(STG_Woningetalage!$AC$6:$AC$505,STG_Woningetalage!$B$6:$B$505,$A33)))</f>
        <v/>
      </c>
      <c r="BG33" s="117" t="str">
        <f>IF($A33="","",IF($K33=0,"n.b.",SUMIFS(STG_Woningetalage!$AD$6:$AD$505,STG_Woningetalage!$B$6:$B$505,$A33)))</f>
        <v/>
      </c>
      <c r="BH33" s="117" t="str">
        <f>IF($A33="","",IF($K33=0,"n.b.",SUMIFS(STG_Woningetalage!$AE$6:$AE$505,STG_Woningetalage!$B$6:$B$505,$A33)))</f>
        <v/>
      </c>
      <c r="BI33" s="117" t="str">
        <f>IF($A33="","",IF($K33=0,"n.b.",SUMIFS(STG_Woningetalage!$AF$6:$AF$505,STG_Woningetalage!$B$6:$B$505,$A33)))</f>
        <v/>
      </c>
      <c r="BJ33" s="117" t="str">
        <f>IF($A33="","",IF($K33=0,"n.b.",SUMIFS(STG_Woningetalage!$AG$6:$AG$505,STG_Woningetalage!$B$6:$B$505,$A33)))</f>
        <v/>
      </c>
      <c r="BK33" s="117" t="str">
        <f>IF($A33="","",IF($K33=0,"n.b.",SUMIFS(STG_Woningetalage!$AH$6:$AH$505,STG_Woningetalage!$B$6:$B$505,$A33)))</f>
        <v/>
      </c>
      <c r="BL33" s="117" t="str">
        <f>IF($A33="","",IF($K33=0,"n.b.",SUMIFS(STG_Woningetalage!$AI$6:$AI$505,STG_Woningetalage!$B$6:$B$505,$A33)))</f>
        <v/>
      </c>
      <c r="BM33" s="117" t="str">
        <f>IF($A33="","",IF($K33=0,"n.b.",SUMIFS(STG_Woningetalage!$AJ$6:$AJ$505,STG_Woningetalage!$B$6:$B$505,$A33)))</f>
        <v/>
      </c>
      <c r="BN33" s="117" t="str">
        <f>IF($A33="","",IF($K33=0,"n.b.",SUMIFS(STG_Woningetalage!$AK$6:$AK$505,STG_Woningetalage!$B$6:$B$505,$A33)))</f>
        <v/>
      </c>
      <c r="BO33" s="117" t="str">
        <f>IF($A33="","",IF($K33=0,"n.b.",SUMIFS(STG_Woningetalage!$AL$6:$AL$505,STG_Woningetalage!$B$6:$B$505,$A33)))</f>
        <v/>
      </c>
      <c r="BP33" s="117" t="str">
        <f>IF($A33="","",IF($K33=0,"n.b.",SUMIFS(STG_Woningetalage!$AM$6:$AM$505,STG_Woningetalage!$B$6:$B$505,$A33)))</f>
        <v/>
      </c>
      <c r="BQ33" s="117" t="str">
        <f>IF($A33="","",IF($K33=0,"n.b.",SUMIFS(STG_Woningetalage!$BE$6:$BE$505,STG_Woningetalage!$B$6:$B$505,$A33)))</f>
        <v/>
      </c>
      <c r="BR33" s="117" t="str">
        <f>IF($A33="","",IF($K33=0,"n.b.",SUMIFS(STG_Woningetalage!$BF$6:$BF$505,STG_Woningetalage!$B$6:$B$505,$A33)))</f>
        <v/>
      </c>
      <c r="BS33" s="117" t="str">
        <f>IF($A33="","",IF($K33=0,"n.b.",SUMIFS(STG_Woningetalage!$BG$6:$BG$505,STG_Woningetalage!$B$6:$B$505,$A33)))</f>
        <v/>
      </c>
      <c r="BT33" s="117" t="str">
        <f>IF($A33="","",IF($K33=0,"n.b.",SUMIFS(STG_Woningetalage!$BH$6:$BH$505,STG_Woningetalage!$B$6:$B$505,$A33)))</f>
        <v/>
      </c>
      <c r="BU33" s="117" t="str">
        <f>IF($A33="","",IF($K33=0,"n.b.",SUMIFS(STG_Woningetalage!$BI$6:$BI$505,STG_Woningetalage!$B$6:$B$505,$A33)))</f>
        <v/>
      </c>
      <c r="BV33" s="117" t="str">
        <f>IF($A33="","",IF($K33=0,"n.b.",SUMIFS(STG_Woningetalage!$BJ$6:$BJ$505,STG_Woningetalage!$B$6:$B$505,$A33)))</f>
        <v/>
      </c>
      <c r="BW33" s="117" t="str">
        <f>IF($A33="","",IF($K33=0,"n.b.",SUMIFS(STG_Woningetalage!$AR$6:$AR$505,STG_Woningetalage!$B$6:$B$505,$A33)))</f>
        <v/>
      </c>
      <c r="BX33" s="117" t="str">
        <f>IF($A33="","",IF($K33=0,"n.b.",SUMIFS(STG_Woningetalage!$AS$6:$AS$505,STG_Woningetalage!$B$6:$B$505,$A33)))</f>
        <v/>
      </c>
      <c r="BY33" s="117" t="str">
        <f>IF($A33="","",IF($K33=0,"n.b.",SUMIFS(STG_Woningetalage!$AN$6:$AN$505,STG_Woningetalage!$B$6:$B$505,$A33)))</f>
        <v/>
      </c>
      <c r="BZ33" s="117" t="str">
        <f>IF($A33="","",IF($K33=0,"n.b.",SUMIFS(STG_Woningetalage!$AO$6:$AO$505,STG_Woningetalage!$B$6:$B$505,$A33)))</f>
        <v/>
      </c>
      <c r="CA33" s="117" t="str">
        <f>IF($A33="","",IF($K33=0,"n.b.",SUMIFS(STG_Woningetalage!$AP$6:$AP$505,STG_Woningetalage!$B$6:$B$505,$A33)))</f>
        <v/>
      </c>
      <c r="CB33" s="117" t="str">
        <f>IF($A33="","",IF($K33=0,"n.b.",SUMIFS(STG_Woningetalage!$AQ$6:$AQ$505,STG_Woningetalage!$B$6:$B$505,$A33)))</f>
        <v/>
      </c>
      <c r="CC33" s="117" t="str">
        <f>IF($A33="","",IF($K33=0,"n.b.",SUMIFS(STG_Woningetalage!$AU$6:$AU$505,STG_Woningetalage!$B$6:$B$505,$A33)))</f>
        <v/>
      </c>
      <c r="CD33" s="92" t="str">
        <f>IF($A33="","",IFERROR(INDEX(STG_ZPMW03!$L$6:$L$505,MATCH($A33,STG_ZPMW03!$B$6:$B$505,0)),"n.b."))</f>
        <v/>
      </c>
      <c r="CE33" s="92" t="str">
        <f>IF($A33="","",IFERROR(INDEX(STG_ZPMW03!$K$6:$K$505,MATCH($A33,STG_ZPMW03!$B$6:$B$505,0)),"n.b."))</f>
        <v/>
      </c>
      <c r="CF33" s="92" t="str">
        <f>IF($A33="","",IFERROR(INDEX(STG_ZPMW03!$BH$6:$BH$505,MATCH($A33,STG_ZPMW03!$B$6:$B$505,0)),"n.b."))</f>
        <v/>
      </c>
      <c r="CG33" s="92" t="str">
        <f>IF($A33="","",IFERROR(INDEX(STG_ZPMW03!$BI$6:$BI$505,MATCH($A33,STG_ZPMW03!$B$6:$B$505,0)),"n.b."))</f>
        <v/>
      </c>
      <c r="CH33" s="92" t="str">
        <f>IF($A33="","",IFERROR(INDEX(STG_ZPMW03!$BJ$6:$BJ$505,MATCH($A33,STG_ZPMW03!$B$6:$B$505,0)),"n.b."))</f>
        <v/>
      </c>
      <c r="CI33" s="92" t="str">
        <f>IF($A33="","",IFERROR(INDEX(STG_ZPMW03!$BF$6:$BF$505,MATCH($A33,STG_ZPMW03!$B$6:$B$505,0)),"n.b."))</f>
        <v/>
      </c>
      <c r="CJ33" s="92" t="str">
        <f>IF($A33="","",IFERROR(INDEX(STG_ZPMW03!$BG$6:$BG$505,MATCH($A33,STG_ZPMW03!$B$6:$B$505,0)),"n.b."))</f>
        <v/>
      </c>
      <c r="CK33" s="92" t="str">
        <f>IF($A33="","",IFERROR(INDEX(STG_ZPMW03!$H$6:$H$505,MATCH($A33,STG_ZPMW03!$B$6:$B$505,0)),"n.b."))</f>
        <v/>
      </c>
      <c r="CL33" s="92" t="str">
        <f>IF($A33="","",IFERROR(INDEX(STG_ZPMW03!$E$6:$E$505,MATCH($A33,STG_ZPMW03!$B$6:$B$505,0)),"n.b."))</f>
        <v/>
      </c>
      <c r="CM33" s="92" t="str">
        <f>IF($A33="","",IFERROR(INDEX(STG_ZPMW03!$G$6:$G$505,MATCH($A33,STG_ZPMW03!$B$6:$B$505,0)),"n.b."))</f>
        <v/>
      </c>
      <c r="CN33" s="92" t="str">
        <f>IF($A33="","",IFERROR(INDEX(STG_Woningetalage!$N$6:$N$505,MATCH($A33,STG_Woningetalage!$B$6:$B$505,0)),"n.b."))</f>
        <v/>
      </c>
      <c r="CO33" s="92" t="str">
        <f>IF($A33="","",IFERROR(INDEX(STG_Woningetalage!$P$6:$P$505,MATCH($A33,STG_Woningetalage!$B$6:$B$505,0)),"n.b."))</f>
        <v/>
      </c>
      <c r="CP33" s="118" t="str">
        <f>IF($A33="","",IF(AND(ISNUMBER(AT33),ISNUMBER(F33)),IF(F33&gt;0,AT33/(F33/100),"n.b."),"n.b."))</f>
        <v/>
      </c>
      <c r="CQ33" s="116" t="str">
        <f>IF($A33="","",IF(ISNUMBER(Q33),IF(Q33&lt;0,1,0),0))</f>
        <v/>
      </c>
      <c r="CR33" s="116" t="str">
        <f>IF(CQ33=1,COUNTIF($CQ$6:CQ33,1),"")</f>
        <v/>
      </c>
      <c r="CS33" s="116" t="str">
        <f>IF(AND($A33&lt;&gt;"",$J33=0),COUNTIFS($A$6:$A33,"?*",$J$6:$J33,0),"")</f>
        <v/>
      </c>
      <c r="CT33" s="119" t="str">
        <f>IF($A33="","",IF(AND(ISNUMBER(Q33),ISNUMBER(P33)),IF(P33&lt;&gt;0,Q33/P33,"n.b."),"n.b."))</f>
        <v/>
      </c>
    </row>
    <row r="34">
      <c r="A34" s="92" t="str">
        <f>IF(Mapping!$A33="","",Mapping!$A33)</f>
        <v/>
      </c>
      <c r="B34" s="92" t="str">
        <f>IF(Mapping!$B33="","",Mapping!$B33)</f>
        <v/>
      </c>
      <c r="C34" s="92" t="str">
        <f>IF(Mapping!$C33="","",Mapping!$C33)</f>
        <v/>
      </c>
      <c r="D34" s="92" t="str">
        <f>IF(Mapping!$F33="","",Mapping!$F33)</f>
        <v/>
      </c>
      <c r="E34" s="92" t="str">
        <f>IF(Mapping!$H33="","",Mapping!$H33)</f>
        <v/>
      </c>
      <c r="F34" s="92" t="str">
        <f>IF(Mapping!$E33="","",Mapping!$E33)</f>
        <v/>
      </c>
      <c r="G34" s="92" t="str">
        <f>IF(Mapping!$G33="","",Mapping!$G33)</f>
        <v/>
      </c>
      <c r="H34" s="92" t="str">
        <f>IF(Mapping!$D33="","",Mapping!$D33)</f>
        <v/>
      </c>
      <c r="I34" s="92" t="str">
        <f>IF($A34="","",IFERROR(INDEX(STG_ZPMW03!$C$6:$C$505,MATCH($A34,STG_ZPMW03!$B$6:$B$505,0)),"n.b."))</f>
        <v/>
      </c>
      <c r="J34" s="116" t="str">
        <f>IF($A34="","",COUNTIF(STG_ZPMW03!$B$6:$B$505,$A34))</f>
        <v/>
      </c>
      <c r="K34" s="116" t="str">
        <f>IF($A34="","",COUNTIF(STG_Woningetalage!$B$6:$B$505,$A34))</f>
        <v/>
      </c>
      <c r="L34" s="117" t="str">
        <f>IF($A34="","",IF($J34=0,"n.b.",SUMIFS(STG_ZPMW03!$BK$6:$BK$505,STG_ZPMW03!$B$6:$B$505,$A34)))</f>
        <v/>
      </c>
      <c r="M34" s="117" t="str">
        <f>IF($A34="","",IF($J34=0,"n.b.",SUMIFS(STG_ZPMW03!$BL$6:$BL$505,STG_ZPMW03!$B$6:$B$505,$A34)))</f>
        <v/>
      </c>
      <c r="N34" s="117" t="str">
        <f>IF($A34="","",IF($J34=0,"n.b.",SUMIFS(STG_ZPMW03!$BM$6:$BM$505,STG_ZPMW03!$B$6:$B$505,$A34)))</f>
        <v/>
      </c>
      <c r="O34" s="117" t="str">
        <f>IF($A34="","",IF($J34=0,"n.b.",SUMIFS(STG_ZPMW03!$BN$6:$BN$505,STG_ZPMW03!$B$6:$B$505,$A34)))</f>
        <v/>
      </c>
      <c r="P34" s="117" t="str">
        <f>IF($A34="","",IF($J34=0,"n.b.",SUMIFS(STG_ZPMW03!$BO$6:$BO$505,STG_ZPMW03!$B$6:$B$505,$A34)))</f>
        <v/>
      </c>
      <c r="Q34" s="117" t="str">
        <f>IF($A34="","",IF($J34=0,"n.b.",SUMIFS(STG_ZPMW03!$BP$6:$BP$505,STG_ZPMW03!$B$6:$B$505,$A34)))</f>
        <v/>
      </c>
      <c r="R34" s="117" t="str">
        <f>IF($A34="","",IF($J34=0,"n.b.",SUMIFS(STG_ZPMW03!$BQ$6:$BQ$505,STG_ZPMW03!$B$6:$B$505,$A34)))</f>
        <v/>
      </c>
      <c r="S34" s="117" t="str">
        <f>IF($A34="","",IF($J34=0,"n.b.",SUMIFS(STG_ZPMW03!$BR$6:$BR$505,STG_ZPMW03!$B$6:$B$505,$A34)))</f>
        <v/>
      </c>
      <c r="T34" s="117" t="str">
        <f>IF($A34="","",IF($J34=0,"n.b.",SUMIFS(STG_ZPMW03!$BS$6:$BS$505,STG_ZPMW03!$B$6:$B$505,$A34)))</f>
        <v/>
      </c>
      <c r="U34" s="117" t="str">
        <f>IF($A34="","",IF($J34=0,"n.b.",SUMIFS(STG_ZPMW03!$BT$6:$BT$505,STG_ZPMW03!$B$6:$B$505,$A34)))</f>
        <v/>
      </c>
      <c r="V34" s="117" t="str">
        <f>IF($A34="","",IF($J34=0,"n.b.",SUMIFS(STG_ZPMW03!$BU$6:$BU$505,STG_ZPMW03!$B$6:$B$505,$A34)))</f>
        <v/>
      </c>
      <c r="W34" s="117" t="str">
        <f>IF($A34="","",IF($J34=0,"n.b.",SUMIFS(STG_ZPMW03!$BW$6:$BW$505,STG_ZPMW03!$B$6:$B$505,$A34)))</f>
        <v/>
      </c>
      <c r="X34" s="117" t="str">
        <f>IF($A34="","",IF($J34=0,"n.b.",SUMIFS(STG_ZPMW03!$BY$6:$BY$505,STG_ZPMW03!$B$6:$B$505,$A34)))</f>
        <v/>
      </c>
      <c r="Y34" s="117" t="str">
        <f>IF($A34="","",IF($J34=0,"n.b.",SUMIFS(STG_ZPMW03!$CA$6:$CA$505,STG_ZPMW03!$B$6:$B$505,$A34)))</f>
        <v/>
      </c>
      <c r="Z34" s="117" t="str">
        <f>IF($A34="","",IF($J34=0,"n.b.",SUMIFS(STG_ZPMW03!$BV$6:$BV$505,STG_ZPMW03!$B$6:$B$505,$A34)))</f>
        <v/>
      </c>
      <c r="AA34" s="117" t="str">
        <f>IF($A34="","",IF($J34=0,"n.b.",SUMIFS(STG_ZPMW03!$BX$6:$BX$505,STG_ZPMW03!$B$6:$B$505,$A34)))</f>
        <v/>
      </c>
      <c r="AB34" s="117" t="str">
        <f>IF($A34="","",IF($J34=0,"n.b.",SUMIFS(STG_ZPMW03!$BZ$6:$BZ$505,STG_ZPMW03!$B$6:$B$505,$A34)))</f>
        <v/>
      </c>
      <c r="AC34" s="117" t="str">
        <f>IF($A34="","",IF($J34=0,"n.b.",SUMIFS(STG_ZPMW03!$CB$6:$CB$505,STG_ZPMW03!$B$6:$B$505,$A34)))</f>
        <v/>
      </c>
      <c r="AD34" s="117" t="str">
        <f>IF($A34="","",IF($J34=0,"n.b.",SUMIFS(STG_ZPMW03!$CC$6:$CC$505,STG_ZPMW03!$B$6:$B$505,$A34)))</f>
        <v/>
      </c>
      <c r="AE34" s="117" t="str">
        <f>IF($A34="","",IF($J34=0,"n.b.",SUMIFS(STG_ZPMW03!$CE$6:$CE$505,STG_ZPMW03!$B$6:$B$505,$A34)))</f>
        <v/>
      </c>
      <c r="AF34" s="117" t="str">
        <f>IF($A34="","",IF($J34=0,"n.b.",SUMIFS(STG_ZPMW03!$CG$6:$CG$505,STG_ZPMW03!$B$6:$B$505,$A34)))</f>
        <v/>
      </c>
      <c r="AG34" s="117" t="str">
        <f>IF($A34="","",IF($J34=0,"n.b.",SUMIFS(STG_ZPMW03!$CI$6:$CI$505,STG_ZPMW03!$B$6:$B$505,$A34)))</f>
        <v/>
      </c>
      <c r="AH34" s="117" t="str">
        <f>IF($A34="","",IF($J34=0,"n.b.",SUMIFS(STG_ZPMW03!$CK$6:$CK$505,STG_ZPMW03!$B$6:$B$505,$A34)))</f>
        <v/>
      </c>
      <c r="AI34" s="117" t="str">
        <f>IF($A34="","",IF($J34=0,"n.b.",SUMIFS(STG_ZPMW03!$CM$6:$CM$505,STG_ZPMW03!$B$6:$B$505,$A34)))</f>
        <v/>
      </c>
      <c r="AJ34" s="117" t="str">
        <f>IF($A34="","",IF($J34=0,"n.b.",SUMIFS(STG_ZPMW03!$CO$6:$CO$505,STG_ZPMW03!$B$6:$B$505,$A34)))</f>
        <v/>
      </c>
      <c r="AK34" s="117" t="str">
        <f>IF($A34="","",IF($J34=0,"n.b.",SUMIFS(STG_ZPMW03!$CQ$6:$CQ$505,STG_ZPMW03!$B$6:$B$505,$A34)))</f>
        <v/>
      </c>
      <c r="AL34" s="117" t="str">
        <f>IF($A34="","",IF($J34=0,"n.b.",SUMIFS(STG_ZPMW03!$CD$6:$CD$505,STG_ZPMW03!$B$6:$B$505,$A34)))</f>
        <v/>
      </c>
      <c r="AM34" s="117" t="str">
        <f>IF($A34="","",IF($J34=0,"n.b.",SUMIFS(STG_ZPMW03!$CF$6:$CF$505,STG_ZPMW03!$B$6:$B$505,$A34)))</f>
        <v/>
      </c>
      <c r="AN34" s="117" t="str">
        <f>IF($A34="","",IF($J34=0,"n.b.",SUMIFS(STG_ZPMW03!$CH$6:$CH$505,STG_ZPMW03!$B$6:$B$505,$A34)))</f>
        <v/>
      </c>
      <c r="AO34" s="117" t="str">
        <f>IF($A34="","",IF($J34=0,"n.b.",SUMIFS(STG_ZPMW03!$CJ$6:$CJ$505,STG_ZPMW03!$B$6:$B$505,$A34)))</f>
        <v/>
      </c>
      <c r="AP34" s="117" t="str">
        <f>IF($A34="","",IF($J34=0,"n.b.",SUMIFS(STG_ZPMW03!$CL$6:$CL$505,STG_ZPMW03!$B$6:$B$505,$A34)))</f>
        <v/>
      </c>
      <c r="AQ34" s="117" t="str">
        <f>IF($A34="","",IF($J34=0,"n.b.",SUMIFS(STG_ZPMW03!$CN$6:$CN$505,STG_ZPMW03!$B$6:$B$505,$A34)))</f>
        <v/>
      </c>
      <c r="AR34" s="117" t="str">
        <f>IF($A34="","",IF($J34=0,"n.b.",SUMIFS(STG_ZPMW03!$CP$6:$CP$505,STG_ZPMW03!$B$6:$B$505,$A34)))</f>
        <v/>
      </c>
      <c r="AS34" s="117" t="str">
        <f>IF($A34="","",IF($J34=0,"n.b.",SUMIFS(STG_ZPMW03!$CR$6:$CR$505,STG_ZPMW03!$B$6:$B$505,$A34)))</f>
        <v/>
      </c>
      <c r="AT34" s="117" t="str">
        <f>IF($A34="","",IF($K34=0,"n.b.",SUMIFS(STG_Woningetalage!$Q$6:$Q$505,STG_Woningetalage!$B$6:$B$505,$A34)))</f>
        <v/>
      </c>
      <c r="AU34" s="117" t="str">
        <f>IF($A34="","",IF($K34=0,"n.b.",SUMIFS(STG_Woningetalage!$R$6:$R$505,STG_Woningetalage!$B$6:$B$505,$A34)))</f>
        <v/>
      </c>
      <c r="AV34" s="117" t="str">
        <f>IF($A34="","",IF($K34=0,"n.b.",SUMIFS(STG_Woningetalage!$S$6:$S$505,STG_Woningetalage!$B$6:$B$505,$A34)))</f>
        <v/>
      </c>
      <c r="AW34" s="117" t="str">
        <f>IF($A34="","",IF($K34=0,"n.b.",SUMIFS(STG_Woningetalage!$T$6:$T$505,STG_Woningetalage!$B$6:$B$505,$A34)))</f>
        <v/>
      </c>
      <c r="AX34" s="117" t="str">
        <f>IF($A34="","",IF($K34=0,"n.b.",SUMIFS(STG_Woningetalage!$U$6:$U$505,STG_Woningetalage!$B$6:$B$505,$A34)))</f>
        <v/>
      </c>
      <c r="AY34" s="117" t="str">
        <f>IF($A34="","",IF($K34=0,"n.b.",SUMIFS(STG_Woningetalage!$V$6:$V$505,STG_Woningetalage!$B$6:$B$505,$A34)))</f>
        <v/>
      </c>
      <c r="AZ34" s="117" t="str">
        <f>IF($A34="","",IF($K34=0,"n.b.",SUMIFS(STG_Woningetalage!$W$6:$W$505,STG_Woningetalage!$B$6:$B$505,$A34)))</f>
        <v/>
      </c>
      <c r="BA34" s="117" t="str">
        <f>IF($A34="","",IF($K34=0,"n.b.",SUMIFS(STG_Woningetalage!$X$6:$X$505,STG_Woningetalage!$B$6:$B$505,$A34)))</f>
        <v/>
      </c>
      <c r="BB34" s="117" t="str">
        <f>IF($A34="","",IF($K34=0,"n.b.",SUMIFS(STG_Woningetalage!$Y$6:$Y$505,STG_Woningetalage!$B$6:$B$505,$A34)))</f>
        <v/>
      </c>
      <c r="BC34" s="117" t="str">
        <f>IF($A34="","",IF($K34=0,"n.b.",SUMIFS(STG_Woningetalage!$Z$6:$Z$505,STG_Woningetalage!$B$6:$B$505,$A34)))</f>
        <v/>
      </c>
      <c r="BD34" s="117" t="str">
        <f>IF($A34="","",IF($K34=0,"n.b.",SUMIFS(STG_Woningetalage!$AA$6:$AA$505,STG_Woningetalage!$B$6:$B$505,$A34)))</f>
        <v/>
      </c>
      <c r="BE34" s="117" t="str">
        <f>IF($A34="","",IF($K34=0,"n.b.",SUMIFS(STG_Woningetalage!$AB$6:$AB$505,STG_Woningetalage!$B$6:$B$505,$A34)))</f>
        <v/>
      </c>
      <c r="BF34" s="117" t="str">
        <f>IF($A34="","",IF($K34=0,"n.b.",SUMIFS(STG_Woningetalage!$AC$6:$AC$505,STG_Woningetalage!$B$6:$B$505,$A34)))</f>
        <v/>
      </c>
      <c r="BG34" s="117" t="str">
        <f>IF($A34="","",IF($K34=0,"n.b.",SUMIFS(STG_Woningetalage!$AD$6:$AD$505,STG_Woningetalage!$B$6:$B$505,$A34)))</f>
        <v/>
      </c>
      <c r="BH34" s="117" t="str">
        <f>IF($A34="","",IF($K34=0,"n.b.",SUMIFS(STG_Woningetalage!$AE$6:$AE$505,STG_Woningetalage!$B$6:$B$505,$A34)))</f>
        <v/>
      </c>
      <c r="BI34" s="117" t="str">
        <f>IF($A34="","",IF($K34=0,"n.b.",SUMIFS(STG_Woningetalage!$AF$6:$AF$505,STG_Woningetalage!$B$6:$B$505,$A34)))</f>
        <v/>
      </c>
      <c r="BJ34" s="117" t="str">
        <f>IF($A34="","",IF($K34=0,"n.b.",SUMIFS(STG_Woningetalage!$AG$6:$AG$505,STG_Woningetalage!$B$6:$B$505,$A34)))</f>
        <v/>
      </c>
      <c r="BK34" s="117" t="str">
        <f>IF($A34="","",IF($K34=0,"n.b.",SUMIFS(STG_Woningetalage!$AH$6:$AH$505,STG_Woningetalage!$B$6:$B$505,$A34)))</f>
        <v/>
      </c>
      <c r="BL34" s="117" t="str">
        <f>IF($A34="","",IF($K34=0,"n.b.",SUMIFS(STG_Woningetalage!$AI$6:$AI$505,STG_Woningetalage!$B$6:$B$505,$A34)))</f>
        <v/>
      </c>
      <c r="BM34" s="117" t="str">
        <f>IF($A34="","",IF($K34=0,"n.b.",SUMIFS(STG_Woningetalage!$AJ$6:$AJ$505,STG_Woningetalage!$B$6:$B$505,$A34)))</f>
        <v/>
      </c>
      <c r="BN34" s="117" t="str">
        <f>IF($A34="","",IF($K34=0,"n.b.",SUMIFS(STG_Woningetalage!$AK$6:$AK$505,STG_Woningetalage!$B$6:$B$505,$A34)))</f>
        <v/>
      </c>
      <c r="BO34" s="117" t="str">
        <f>IF($A34="","",IF($K34=0,"n.b.",SUMIFS(STG_Woningetalage!$AL$6:$AL$505,STG_Woningetalage!$B$6:$B$505,$A34)))</f>
        <v/>
      </c>
      <c r="BP34" s="117" t="str">
        <f>IF($A34="","",IF($K34=0,"n.b.",SUMIFS(STG_Woningetalage!$AM$6:$AM$505,STG_Woningetalage!$B$6:$B$505,$A34)))</f>
        <v/>
      </c>
      <c r="BQ34" s="117" t="str">
        <f>IF($A34="","",IF($K34=0,"n.b.",SUMIFS(STG_Woningetalage!$BE$6:$BE$505,STG_Woningetalage!$B$6:$B$505,$A34)))</f>
        <v/>
      </c>
      <c r="BR34" s="117" t="str">
        <f>IF($A34="","",IF($K34=0,"n.b.",SUMIFS(STG_Woningetalage!$BF$6:$BF$505,STG_Woningetalage!$B$6:$B$505,$A34)))</f>
        <v/>
      </c>
      <c r="BS34" s="117" t="str">
        <f>IF($A34="","",IF($K34=0,"n.b.",SUMIFS(STG_Woningetalage!$BG$6:$BG$505,STG_Woningetalage!$B$6:$B$505,$A34)))</f>
        <v/>
      </c>
      <c r="BT34" s="117" t="str">
        <f>IF($A34="","",IF($K34=0,"n.b.",SUMIFS(STG_Woningetalage!$BH$6:$BH$505,STG_Woningetalage!$B$6:$B$505,$A34)))</f>
        <v/>
      </c>
      <c r="BU34" s="117" t="str">
        <f>IF($A34="","",IF($K34=0,"n.b.",SUMIFS(STG_Woningetalage!$BI$6:$BI$505,STG_Woningetalage!$B$6:$B$505,$A34)))</f>
        <v/>
      </c>
      <c r="BV34" s="117" t="str">
        <f>IF($A34="","",IF($K34=0,"n.b.",SUMIFS(STG_Woningetalage!$BJ$6:$BJ$505,STG_Woningetalage!$B$6:$B$505,$A34)))</f>
        <v/>
      </c>
      <c r="BW34" s="117" t="str">
        <f>IF($A34="","",IF($K34=0,"n.b.",SUMIFS(STG_Woningetalage!$AR$6:$AR$505,STG_Woningetalage!$B$6:$B$505,$A34)))</f>
        <v/>
      </c>
      <c r="BX34" s="117" t="str">
        <f>IF($A34="","",IF($K34=0,"n.b.",SUMIFS(STG_Woningetalage!$AS$6:$AS$505,STG_Woningetalage!$B$6:$B$505,$A34)))</f>
        <v/>
      </c>
      <c r="BY34" s="117" t="str">
        <f>IF($A34="","",IF($K34=0,"n.b.",SUMIFS(STG_Woningetalage!$AN$6:$AN$505,STG_Woningetalage!$B$6:$B$505,$A34)))</f>
        <v/>
      </c>
      <c r="BZ34" s="117" t="str">
        <f>IF($A34="","",IF($K34=0,"n.b.",SUMIFS(STG_Woningetalage!$AO$6:$AO$505,STG_Woningetalage!$B$6:$B$505,$A34)))</f>
        <v/>
      </c>
      <c r="CA34" s="117" t="str">
        <f>IF($A34="","",IF($K34=0,"n.b.",SUMIFS(STG_Woningetalage!$AP$6:$AP$505,STG_Woningetalage!$B$6:$B$505,$A34)))</f>
        <v/>
      </c>
      <c r="CB34" s="117" t="str">
        <f>IF($A34="","",IF($K34=0,"n.b.",SUMIFS(STG_Woningetalage!$AQ$6:$AQ$505,STG_Woningetalage!$B$6:$B$505,$A34)))</f>
        <v/>
      </c>
      <c r="CC34" s="117" t="str">
        <f>IF($A34="","",IF($K34=0,"n.b.",SUMIFS(STG_Woningetalage!$AU$6:$AU$505,STG_Woningetalage!$B$6:$B$505,$A34)))</f>
        <v/>
      </c>
      <c r="CD34" s="92" t="str">
        <f>IF($A34="","",IFERROR(INDEX(STG_ZPMW03!$L$6:$L$505,MATCH($A34,STG_ZPMW03!$B$6:$B$505,0)),"n.b."))</f>
        <v/>
      </c>
      <c r="CE34" s="92" t="str">
        <f>IF($A34="","",IFERROR(INDEX(STG_ZPMW03!$K$6:$K$505,MATCH($A34,STG_ZPMW03!$B$6:$B$505,0)),"n.b."))</f>
        <v/>
      </c>
      <c r="CF34" s="92" t="str">
        <f>IF($A34="","",IFERROR(INDEX(STG_ZPMW03!$BH$6:$BH$505,MATCH($A34,STG_ZPMW03!$B$6:$B$505,0)),"n.b."))</f>
        <v/>
      </c>
      <c r="CG34" s="92" t="str">
        <f>IF($A34="","",IFERROR(INDEX(STG_ZPMW03!$BI$6:$BI$505,MATCH($A34,STG_ZPMW03!$B$6:$B$505,0)),"n.b."))</f>
        <v/>
      </c>
      <c r="CH34" s="92" t="str">
        <f>IF($A34="","",IFERROR(INDEX(STG_ZPMW03!$BJ$6:$BJ$505,MATCH($A34,STG_ZPMW03!$B$6:$B$505,0)),"n.b."))</f>
        <v/>
      </c>
      <c r="CI34" s="92" t="str">
        <f>IF($A34="","",IFERROR(INDEX(STG_ZPMW03!$BF$6:$BF$505,MATCH($A34,STG_ZPMW03!$B$6:$B$505,0)),"n.b."))</f>
        <v/>
      </c>
      <c r="CJ34" s="92" t="str">
        <f>IF($A34="","",IFERROR(INDEX(STG_ZPMW03!$BG$6:$BG$505,MATCH($A34,STG_ZPMW03!$B$6:$B$505,0)),"n.b."))</f>
        <v/>
      </c>
      <c r="CK34" s="92" t="str">
        <f>IF($A34="","",IFERROR(INDEX(STG_ZPMW03!$H$6:$H$505,MATCH($A34,STG_ZPMW03!$B$6:$B$505,0)),"n.b."))</f>
        <v/>
      </c>
      <c r="CL34" s="92" t="str">
        <f>IF($A34="","",IFERROR(INDEX(STG_ZPMW03!$E$6:$E$505,MATCH($A34,STG_ZPMW03!$B$6:$B$505,0)),"n.b."))</f>
        <v/>
      </c>
      <c r="CM34" s="92" t="str">
        <f>IF($A34="","",IFERROR(INDEX(STG_ZPMW03!$G$6:$G$505,MATCH($A34,STG_ZPMW03!$B$6:$B$505,0)),"n.b."))</f>
        <v/>
      </c>
      <c r="CN34" s="92" t="str">
        <f>IF($A34="","",IFERROR(INDEX(STG_Woningetalage!$N$6:$N$505,MATCH($A34,STG_Woningetalage!$B$6:$B$505,0)),"n.b."))</f>
        <v/>
      </c>
      <c r="CO34" s="92" t="str">
        <f>IF($A34="","",IFERROR(INDEX(STG_Woningetalage!$P$6:$P$505,MATCH($A34,STG_Woningetalage!$B$6:$B$505,0)),"n.b."))</f>
        <v/>
      </c>
      <c r="CP34" s="118" t="str">
        <f>IF($A34="","",IF(AND(ISNUMBER(AT34),ISNUMBER(F34)),IF(F34&gt;0,AT34/(F34/100),"n.b."),"n.b."))</f>
        <v/>
      </c>
      <c r="CQ34" s="116" t="str">
        <f>IF($A34="","",IF(ISNUMBER(Q34),IF(Q34&lt;0,1,0),0))</f>
        <v/>
      </c>
      <c r="CR34" s="116" t="str">
        <f>IF(CQ34=1,COUNTIF($CQ$6:CQ34,1),"")</f>
        <v/>
      </c>
      <c r="CS34" s="116" t="str">
        <f>IF(AND($A34&lt;&gt;"",$J34=0),COUNTIFS($A$6:$A34,"?*",$J$6:$J34,0),"")</f>
        <v/>
      </c>
      <c r="CT34" s="119" t="str">
        <f>IF($A34="","",IF(AND(ISNUMBER(Q34),ISNUMBER(P34)),IF(P34&lt;&gt;0,Q34/P34,"n.b."),"n.b."))</f>
        <v/>
      </c>
    </row>
    <row r="35">
      <c r="A35" s="92" t="str">
        <f>IF(Mapping!$A34="","",Mapping!$A34)</f>
        <v/>
      </c>
      <c r="B35" s="92" t="str">
        <f>IF(Mapping!$B34="","",Mapping!$B34)</f>
        <v/>
      </c>
      <c r="C35" s="92" t="str">
        <f>IF(Mapping!$C34="","",Mapping!$C34)</f>
        <v/>
      </c>
      <c r="D35" s="92" t="str">
        <f>IF(Mapping!$F34="","",Mapping!$F34)</f>
        <v/>
      </c>
      <c r="E35" s="92" t="str">
        <f>IF(Mapping!$H34="","",Mapping!$H34)</f>
        <v/>
      </c>
      <c r="F35" s="92" t="str">
        <f>IF(Mapping!$E34="","",Mapping!$E34)</f>
        <v/>
      </c>
      <c r="G35" s="92" t="str">
        <f>IF(Mapping!$G34="","",Mapping!$G34)</f>
        <v/>
      </c>
      <c r="H35" s="92" t="str">
        <f>IF(Mapping!$D34="","",Mapping!$D34)</f>
        <v/>
      </c>
      <c r="I35" s="92" t="str">
        <f>IF($A35="","",IFERROR(INDEX(STG_ZPMW03!$C$6:$C$505,MATCH($A35,STG_ZPMW03!$B$6:$B$505,0)),"n.b."))</f>
        <v/>
      </c>
      <c r="J35" s="116" t="str">
        <f>IF($A35="","",COUNTIF(STG_ZPMW03!$B$6:$B$505,$A35))</f>
        <v/>
      </c>
      <c r="K35" s="116" t="str">
        <f>IF($A35="","",COUNTIF(STG_Woningetalage!$B$6:$B$505,$A35))</f>
        <v/>
      </c>
      <c r="L35" s="117" t="str">
        <f>IF($A35="","",IF($J35=0,"n.b.",SUMIFS(STG_ZPMW03!$BK$6:$BK$505,STG_ZPMW03!$B$6:$B$505,$A35)))</f>
        <v/>
      </c>
      <c r="M35" s="117" t="str">
        <f>IF($A35="","",IF($J35=0,"n.b.",SUMIFS(STG_ZPMW03!$BL$6:$BL$505,STG_ZPMW03!$B$6:$B$505,$A35)))</f>
        <v/>
      </c>
      <c r="N35" s="117" t="str">
        <f>IF($A35="","",IF($J35=0,"n.b.",SUMIFS(STG_ZPMW03!$BM$6:$BM$505,STG_ZPMW03!$B$6:$B$505,$A35)))</f>
        <v/>
      </c>
      <c r="O35" s="117" t="str">
        <f>IF($A35="","",IF($J35=0,"n.b.",SUMIFS(STG_ZPMW03!$BN$6:$BN$505,STG_ZPMW03!$B$6:$B$505,$A35)))</f>
        <v/>
      </c>
      <c r="P35" s="117" t="str">
        <f>IF($A35="","",IF($J35=0,"n.b.",SUMIFS(STG_ZPMW03!$BO$6:$BO$505,STG_ZPMW03!$B$6:$B$505,$A35)))</f>
        <v/>
      </c>
      <c r="Q35" s="117" t="str">
        <f>IF($A35="","",IF($J35=0,"n.b.",SUMIFS(STG_ZPMW03!$BP$6:$BP$505,STG_ZPMW03!$B$6:$B$505,$A35)))</f>
        <v/>
      </c>
      <c r="R35" s="117" t="str">
        <f>IF($A35="","",IF($J35=0,"n.b.",SUMIFS(STG_ZPMW03!$BQ$6:$BQ$505,STG_ZPMW03!$B$6:$B$505,$A35)))</f>
        <v/>
      </c>
      <c r="S35" s="117" t="str">
        <f>IF($A35="","",IF($J35=0,"n.b.",SUMIFS(STG_ZPMW03!$BR$6:$BR$505,STG_ZPMW03!$B$6:$B$505,$A35)))</f>
        <v/>
      </c>
      <c r="T35" s="117" t="str">
        <f>IF($A35="","",IF($J35=0,"n.b.",SUMIFS(STG_ZPMW03!$BS$6:$BS$505,STG_ZPMW03!$B$6:$B$505,$A35)))</f>
        <v/>
      </c>
      <c r="U35" s="117" t="str">
        <f>IF($A35="","",IF($J35=0,"n.b.",SUMIFS(STG_ZPMW03!$BT$6:$BT$505,STG_ZPMW03!$B$6:$B$505,$A35)))</f>
        <v/>
      </c>
      <c r="V35" s="117" t="str">
        <f>IF($A35="","",IF($J35=0,"n.b.",SUMIFS(STG_ZPMW03!$BU$6:$BU$505,STG_ZPMW03!$B$6:$B$505,$A35)))</f>
        <v/>
      </c>
      <c r="W35" s="117" t="str">
        <f>IF($A35="","",IF($J35=0,"n.b.",SUMIFS(STG_ZPMW03!$BW$6:$BW$505,STG_ZPMW03!$B$6:$B$505,$A35)))</f>
        <v/>
      </c>
      <c r="X35" s="117" t="str">
        <f>IF($A35="","",IF($J35=0,"n.b.",SUMIFS(STG_ZPMW03!$BY$6:$BY$505,STG_ZPMW03!$B$6:$B$505,$A35)))</f>
        <v/>
      </c>
      <c r="Y35" s="117" t="str">
        <f>IF($A35="","",IF($J35=0,"n.b.",SUMIFS(STG_ZPMW03!$CA$6:$CA$505,STG_ZPMW03!$B$6:$B$505,$A35)))</f>
        <v/>
      </c>
      <c r="Z35" s="117" t="str">
        <f>IF($A35="","",IF($J35=0,"n.b.",SUMIFS(STG_ZPMW03!$BV$6:$BV$505,STG_ZPMW03!$B$6:$B$505,$A35)))</f>
        <v/>
      </c>
      <c r="AA35" s="117" t="str">
        <f>IF($A35="","",IF($J35=0,"n.b.",SUMIFS(STG_ZPMW03!$BX$6:$BX$505,STG_ZPMW03!$B$6:$B$505,$A35)))</f>
        <v/>
      </c>
      <c r="AB35" s="117" t="str">
        <f>IF($A35="","",IF($J35=0,"n.b.",SUMIFS(STG_ZPMW03!$BZ$6:$BZ$505,STG_ZPMW03!$B$6:$B$505,$A35)))</f>
        <v/>
      </c>
      <c r="AC35" s="117" t="str">
        <f>IF($A35="","",IF($J35=0,"n.b.",SUMIFS(STG_ZPMW03!$CB$6:$CB$505,STG_ZPMW03!$B$6:$B$505,$A35)))</f>
        <v/>
      </c>
      <c r="AD35" s="117" t="str">
        <f>IF($A35="","",IF($J35=0,"n.b.",SUMIFS(STG_ZPMW03!$CC$6:$CC$505,STG_ZPMW03!$B$6:$B$505,$A35)))</f>
        <v/>
      </c>
      <c r="AE35" s="117" t="str">
        <f>IF($A35="","",IF($J35=0,"n.b.",SUMIFS(STG_ZPMW03!$CE$6:$CE$505,STG_ZPMW03!$B$6:$B$505,$A35)))</f>
        <v/>
      </c>
      <c r="AF35" s="117" t="str">
        <f>IF($A35="","",IF($J35=0,"n.b.",SUMIFS(STG_ZPMW03!$CG$6:$CG$505,STG_ZPMW03!$B$6:$B$505,$A35)))</f>
        <v/>
      </c>
      <c r="AG35" s="117" t="str">
        <f>IF($A35="","",IF($J35=0,"n.b.",SUMIFS(STG_ZPMW03!$CI$6:$CI$505,STG_ZPMW03!$B$6:$B$505,$A35)))</f>
        <v/>
      </c>
      <c r="AH35" s="117" t="str">
        <f>IF($A35="","",IF($J35=0,"n.b.",SUMIFS(STG_ZPMW03!$CK$6:$CK$505,STG_ZPMW03!$B$6:$B$505,$A35)))</f>
        <v/>
      </c>
      <c r="AI35" s="117" t="str">
        <f>IF($A35="","",IF($J35=0,"n.b.",SUMIFS(STG_ZPMW03!$CM$6:$CM$505,STG_ZPMW03!$B$6:$B$505,$A35)))</f>
        <v/>
      </c>
      <c r="AJ35" s="117" t="str">
        <f>IF($A35="","",IF($J35=0,"n.b.",SUMIFS(STG_ZPMW03!$CO$6:$CO$505,STG_ZPMW03!$B$6:$B$505,$A35)))</f>
        <v/>
      </c>
      <c r="AK35" s="117" t="str">
        <f>IF($A35="","",IF($J35=0,"n.b.",SUMIFS(STG_ZPMW03!$CQ$6:$CQ$505,STG_ZPMW03!$B$6:$B$505,$A35)))</f>
        <v/>
      </c>
      <c r="AL35" s="117" t="str">
        <f>IF($A35="","",IF($J35=0,"n.b.",SUMIFS(STG_ZPMW03!$CD$6:$CD$505,STG_ZPMW03!$B$6:$B$505,$A35)))</f>
        <v/>
      </c>
      <c r="AM35" s="117" t="str">
        <f>IF($A35="","",IF($J35=0,"n.b.",SUMIFS(STG_ZPMW03!$CF$6:$CF$505,STG_ZPMW03!$B$6:$B$505,$A35)))</f>
        <v/>
      </c>
      <c r="AN35" s="117" t="str">
        <f>IF($A35="","",IF($J35=0,"n.b.",SUMIFS(STG_ZPMW03!$CH$6:$CH$505,STG_ZPMW03!$B$6:$B$505,$A35)))</f>
        <v/>
      </c>
      <c r="AO35" s="117" t="str">
        <f>IF($A35="","",IF($J35=0,"n.b.",SUMIFS(STG_ZPMW03!$CJ$6:$CJ$505,STG_ZPMW03!$B$6:$B$505,$A35)))</f>
        <v/>
      </c>
      <c r="AP35" s="117" t="str">
        <f>IF($A35="","",IF($J35=0,"n.b.",SUMIFS(STG_ZPMW03!$CL$6:$CL$505,STG_ZPMW03!$B$6:$B$505,$A35)))</f>
        <v/>
      </c>
      <c r="AQ35" s="117" t="str">
        <f>IF($A35="","",IF($J35=0,"n.b.",SUMIFS(STG_ZPMW03!$CN$6:$CN$505,STG_ZPMW03!$B$6:$B$505,$A35)))</f>
        <v/>
      </c>
      <c r="AR35" s="117" t="str">
        <f>IF($A35="","",IF($J35=0,"n.b.",SUMIFS(STG_ZPMW03!$CP$6:$CP$505,STG_ZPMW03!$B$6:$B$505,$A35)))</f>
        <v/>
      </c>
      <c r="AS35" s="117" t="str">
        <f>IF($A35="","",IF($J35=0,"n.b.",SUMIFS(STG_ZPMW03!$CR$6:$CR$505,STG_ZPMW03!$B$6:$B$505,$A35)))</f>
        <v/>
      </c>
      <c r="AT35" s="117" t="str">
        <f>IF($A35="","",IF($K35=0,"n.b.",SUMIFS(STG_Woningetalage!$Q$6:$Q$505,STG_Woningetalage!$B$6:$B$505,$A35)))</f>
        <v/>
      </c>
      <c r="AU35" s="117" t="str">
        <f>IF($A35="","",IF($K35=0,"n.b.",SUMIFS(STG_Woningetalage!$R$6:$R$505,STG_Woningetalage!$B$6:$B$505,$A35)))</f>
        <v/>
      </c>
      <c r="AV35" s="117" t="str">
        <f>IF($A35="","",IF($K35=0,"n.b.",SUMIFS(STG_Woningetalage!$S$6:$S$505,STG_Woningetalage!$B$6:$B$505,$A35)))</f>
        <v/>
      </c>
      <c r="AW35" s="117" t="str">
        <f>IF($A35="","",IF($K35=0,"n.b.",SUMIFS(STG_Woningetalage!$T$6:$T$505,STG_Woningetalage!$B$6:$B$505,$A35)))</f>
        <v/>
      </c>
      <c r="AX35" s="117" t="str">
        <f>IF($A35="","",IF($K35=0,"n.b.",SUMIFS(STG_Woningetalage!$U$6:$U$505,STG_Woningetalage!$B$6:$B$505,$A35)))</f>
        <v/>
      </c>
      <c r="AY35" s="117" t="str">
        <f>IF($A35="","",IF($K35=0,"n.b.",SUMIFS(STG_Woningetalage!$V$6:$V$505,STG_Woningetalage!$B$6:$B$505,$A35)))</f>
        <v/>
      </c>
      <c r="AZ35" s="117" t="str">
        <f>IF($A35="","",IF($K35=0,"n.b.",SUMIFS(STG_Woningetalage!$W$6:$W$505,STG_Woningetalage!$B$6:$B$505,$A35)))</f>
        <v/>
      </c>
      <c r="BA35" s="117" t="str">
        <f>IF($A35="","",IF($K35=0,"n.b.",SUMIFS(STG_Woningetalage!$X$6:$X$505,STG_Woningetalage!$B$6:$B$505,$A35)))</f>
        <v/>
      </c>
      <c r="BB35" s="117" t="str">
        <f>IF($A35="","",IF($K35=0,"n.b.",SUMIFS(STG_Woningetalage!$Y$6:$Y$505,STG_Woningetalage!$B$6:$B$505,$A35)))</f>
        <v/>
      </c>
      <c r="BC35" s="117" t="str">
        <f>IF($A35="","",IF($K35=0,"n.b.",SUMIFS(STG_Woningetalage!$Z$6:$Z$505,STG_Woningetalage!$B$6:$B$505,$A35)))</f>
        <v/>
      </c>
      <c r="BD35" s="117" t="str">
        <f>IF($A35="","",IF($K35=0,"n.b.",SUMIFS(STG_Woningetalage!$AA$6:$AA$505,STG_Woningetalage!$B$6:$B$505,$A35)))</f>
        <v/>
      </c>
      <c r="BE35" s="117" t="str">
        <f>IF($A35="","",IF($K35=0,"n.b.",SUMIFS(STG_Woningetalage!$AB$6:$AB$505,STG_Woningetalage!$B$6:$B$505,$A35)))</f>
        <v/>
      </c>
      <c r="BF35" s="117" t="str">
        <f>IF($A35="","",IF($K35=0,"n.b.",SUMIFS(STG_Woningetalage!$AC$6:$AC$505,STG_Woningetalage!$B$6:$B$505,$A35)))</f>
        <v/>
      </c>
      <c r="BG35" s="117" t="str">
        <f>IF($A35="","",IF($K35=0,"n.b.",SUMIFS(STG_Woningetalage!$AD$6:$AD$505,STG_Woningetalage!$B$6:$B$505,$A35)))</f>
        <v/>
      </c>
      <c r="BH35" s="117" t="str">
        <f>IF($A35="","",IF($K35=0,"n.b.",SUMIFS(STG_Woningetalage!$AE$6:$AE$505,STG_Woningetalage!$B$6:$B$505,$A35)))</f>
        <v/>
      </c>
      <c r="BI35" s="117" t="str">
        <f>IF($A35="","",IF($K35=0,"n.b.",SUMIFS(STG_Woningetalage!$AF$6:$AF$505,STG_Woningetalage!$B$6:$B$505,$A35)))</f>
        <v/>
      </c>
      <c r="BJ35" s="117" t="str">
        <f>IF($A35="","",IF($K35=0,"n.b.",SUMIFS(STG_Woningetalage!$AG$6:$AG$505,STG_Woningetalage!$B$6:$B$505,$A35)))</f>
        <v/>
      </c>
      <c r="BK35" s="117" t="str">
        <f>IF($A35="","",IF($K35=0,"n.b.",SUMIFS(STG_Woningetalage!$AH$6:$AH$505,STG_Woningetalage!$B$6:$B$505,$A35)))</f>
        <v/>
      </c>
      <c r="BL35" s="117" t="str">
        <f>IF($A35="","",IF($K35=0,"n.b.",SUMIFS(STG_Woningetalage!$AI$6:$AI$505,STG_Woningetalage!$B$6:$B$505,$A35)))</f>
        <v/>
      </c>
      <c r="BM35" s="117" t="str">
        <f>IF($A35="","",IF($K35=0,"n.b.",SUMIFS(STG_Woningetalage!$AJ$6:$AJ$505,STG_Woningetalage!$B$6:$B$505,$A35)))</f>
        <v/>
      </c>
      <c r="BN35" s="117" t="str">
        <f>IF($A35="","",IF($K35=0,"n.b.",SUMIFS(STG_Woningetalage!$AK$6:$AK$505,STG_Woningetalage!$B$6:$B$505,$A35)))</f>
        <v/>
      </c>
      <c r="BO35" s="117" t="str">
        <f>IF($A35="","",IF($K35=0,"n.b.",SUMIFS(STG_Woningetalage!$AL$6:$AL$505,STG_Woningetalage!$B$6:$B$505,$A35)))</f>
        <v/>
      </c>
      <c r="BP35" s="117" t="str">
        <f>IF($A35="","",IF($K35=0,"n.b.",SUMIFS(STG_Woningetalage!$AM$6:$AM$505,STG_Woningetalage!$B$6:$B$505,$A35)))</f>
        <v/>
      </c>
      <c r="BQ35" s="117" t="str">
        <f>IF($A35="","",IF($K35=0,"n.b.",SUMIFS(STG_Woningetalage!$BE$6:$BE$505,STG_Woningetalage!$B$6:$B$505,$A35)))</f>
        <v/>
      </c>
      <c r="BR35" s="117" t="str">
        <f>IF($A35="","",IF($K35=0,"n.b.",SUMIFS(STG_Woningetalage!$BF$6:$BF$505,STG_Woningetalage!$B$6:$B$505,$A35)))</f>
        <v/>
      </c>
      <c r="BS35" s="117" t="str">
        <f>IF($A35="","",IF($K35=0,"n.b.",SUMIFS(STG_Woningetalage!$BG$6:$BG$505,STG_Woningetalage!$B$6:$B$505,$A35)))</f>
        <v/>
      </c>
      <c r="BT35" s="117" t="str">
        <f>IF($A35="","",IF($K35=0,"n.b.",SUMIFS(STG_Woningetalage!$BH$6:$BH$505,STG_Woningetalage!$B$6:$B$505,$A35)))</f>
        <v/>
      </c>
      <c r="BU35" s="117" t="str">
        <f>IF($A35="","",IF($K35=0,"n.b.",SUMIFS(STG_Woningetalage!$BI$6:$BI$505,STG_Woningetalage!$B$6:$B$505,$A35)))</f>
        <v/>
      </c>
      <c r="BV35" s="117" t="str">
        <f>IF($A35="","",IF($K35=0,"n.b.",SUMIFS(STG_Woningetalage!$BJ$6:$BJ$505,STG_Woningetalage!$B$6:$B$505,$A35)))</f>
        <v/>
      </c>
      <c r="BW35" s="117" t="str">
        <f>IF($A35="","",IF($K35=0,"n.b.",SUMIFS(STG_Woningetalage!$AR$6:$AR$505,STG_Woningetalage!$B$6:$B$505,$A35)))</f>
        <v/>
      </c>
      <c r="BX35" s="117" t="str">
        <f>IF($A35="","",IF($K35=0,"n.b.",SUMIFS(STG_Woningetalage!$AS$6:$AS$505,STG_Woningetalage!$B$6:$B$505,$A35)))</f>
        <v/>
      </c>
      <c r="BY35" s="117" t="str">
        <f>IF($A35="","",IF($K35=0,"n.b.",SUMIFS(STG_Woningetalage!$AN$6:$AN$505,STG_Woningetalage!$B$6:$B$505,$A35)))</f>
        <v/>
      </c>
      <c r="BZ35" s="117" t="str">
        <f>IF($A35="","",IF($K35=0,"n.b.",SUMIFS(STG_Woningetalage!$AO$6:$AO$505,STG_Woningetalage!$B$6:$B$505,$A35)))</f>
        <v/>
      </c>
      <c r="CA35" s="117" t="str">
        <f>IF($A35="","",IF($K35=0,"n.b.",SUMIFS(STG_Woningetalage!$AP$6:$AP$505,STG_Woningetalage!$B$6:$B$505,$A35)))</f>
        <v/>
      </c>
      <c r="CB35" s="117" t="str">
        <f>IF($A35="","",IF($K35=0,"n.b.",SUMIFS(STG_Woningetalage!$AQ$6:$AQ$505,STG_Woningetalage!$B$6:$B$505,$A35)))</f>
        <v/>
      </c>
      <c r="CC35" s="117" t="str">
        <f>IF($A35="","",IF($K35=0,"n.b.",SUMIFS(STG_Woningetalage!$AU$6:$AU$505,STG_Woningetalage!$B$6:$B$505,$A35)))</f>
        <v/>
      </c>
      <c r="CD35" s="92" t="str">
        <f>IF($A35="","",IFERROR(INDEX(STG_ZPMW03!$L$6:$L$505,MATCH($A35,STG_ZPMW03!$B$6:$B$505,0)),"n.b."))</f>
        <v/>
      </c>
      <c r="CE35" s="92" t="str">
        <f>IF($A35="","",IFERROR(INDEX(STG_ZPMW03!$K$6:$K$505,MATCH($A35,STG_ZPMW03!$B$6:$B$505,0)),"n.b."))</f>
        <v/>
      </c>
      <c r="CF35" s="92" t="str">
        <f>IF($A35="","",IFERROR(INDEX(STG_ZPMW03!$BH$6:$BH$505,MATCH($A35,STG_ZPMW03!$B$6:$B$505,0)),"n.b."))</f>
        <v/>
      </c>
      <c r="CG35" s="92" t="str">
        <f>IF($A35="","",IFERROR(INDEX(STG_ZPMW03!$BI$6:$BI$505,MATCH($A35,STG_ZPMW03!$B$6:$B$505,0)),"n.b."))</f>
        <v/>
      </c>
      <c r="CH35" s="92" t="str">
        <f>IF($A35="","",IFERROR(INDEX(STG_ZPMW03!$BJ$6:$BJ$505,MATCH($A35,STG_ZPMW03!$B$6:$B$505,0)),"n.b."))</f>
        <v/>
      </c>
      <c r="CI35" s="92" t="str">
        <f>IF($A35="","",IFERROR(INDEX(STG_ZPMW03!$BF$6:$BF$505,MATCH($A35,STG_ZPMW03!$B$6:$B$505,0)),"n.b."))</f>
        <v/>
      </c>
      <c r="CJ35" s="92" t="str">
        <f>IF($A35="","",IFERROR(INDEX(STG_ZPMW03!$BG$6:$BG$505,MATCH($A35,STG_ZPMW03!$B$6:$B$505,0)),"n.b."))</f>
        <v/>
      </c>
      <c r="CK35" s="92" t="str">
        <f>IF($A35="","",IFERROR(INDEX(STG_ZPMW03!$H$6:$H$505,MATCH($A35,STG_ZPMW03!$B$6:$B$505,0)),"n.b."))</f>
        <v/>
      </c>
      <c r="CL35" s="92" t="str">
        <f>IF($A35="","",IFERROR(INDEX(STG_ZPMW03!$E$6:$E$505,MATCH($A35,STG_ZPMW03!$B$6:$B$505,0)),"n.b."))</f>
        <v/>
      </c>
      <c r="CM35" s="92" t="str">
        <f>IF($A35="","",IFERROR(INDEX(STG_ZPMW03!$G$6:$G$505,MATCH($A35,STG_ZPMW03!$B$6:$B$505,0)),"n.b."))</f>
        <v/>
      </c>
      <c r="CN35" s="92" t="str">
        <f>IF($A35="","",IFERROR(INDEX(STG_Woningetalage!$N$6:$N$505,MATCH($A35,STG_Woningetalage!$B$6:$B$505,0)),"n.b."))</f>
        <v/>
      </c>
      <c r="CO35" s="92" t="str">
        <f>IF($A35="","",IFERROR(INDEX(STG_Woningetalage!$P$6:$P$505,MATCH($A35,STG_Woningetalage!$B$6:$B$505,0)),"n.b."))</f>
        <v/>
      </c>
      <c r="CP35" s="118" t="str">
        <f>IF($A35="","",IF(AND(ISNUMBER(AT35),ISNUMBER(F35)),IF(F35&gt;0,AT35/(F35/100),"n.b."),"n.b."))</f>
        <v/>
      </c>
      <c r="CQ35" s="116" t="str">
        <f>IF($A35="","",IF(ISNUMBER(Q35),IF(Q35&lt;0,1,0),0))</f>
        <v/>
      </c>
      <c r="CR35" s="116" t="str">
        <f>IF(CQ35=1,COUNTIF($CQ$6:CQ35,1),"")</f>
        <v/>
      </c>
      <c r="CS35" s="116" t="str">
        <f>IF(AND($A35&lt;&gt;"",$J35=0),COUNTIFS($A$6:$A35,"?*",$J$6:$J35,0),"")</f>
        <v/>
      </c>
      <c r="CT35" s="119" t="str">
        <f>IF($A35="","",IF(AND(ISNUMBER(Q35),ISNUMBER(P35)),IF(P35&lt;&gt;0,Q35/P35,"n.b."),"n.b."))</f>
        <v/>
      </c>
    </row>
    <row r="36">
      <c r="A36" s="92" t="str">
        <f>IF(Mapping!$A35="","",Mapping!$A35)</f>
        <v/>
      </c>
      <c r="B36" s="92" t="str">
        <f>IF(Mapping!$B35="","",Mapping!$B35)</f>
        <v/>
      </c>
      <c r="C36" s="92" t="str">
        <f>IF(Mapping!$C35="","",Mapping!$C35)</f>
        <v/>
      </c>
      <c r="D36" s="92" t="str">
        <f>IF(Mapping!$F35="","",Mapping!$F35)</f>
        <v/>
      </c>
      <c r="E36" s="92" t="str">
        <f>IF(Mapping!$H35="","",Mapping!$H35)</f>
        <v/>
      </c>
      <c r="F36" s="92" t="str">
        <f>IF(Mapping!$E35="","",Mapping!$E35)</f>
        <v/>
      </c>
      <c r="G36" s="92" t="str">
        <f>IF(Mapping!$G35="","",Mapping!$G35)</f>
        <v/>
      </c>
      <c r="H36" s="92" t="str">
        <f>IF(Mapping!$D35="","",Mapping!$D35)</f>
        <v/>
      </c>
      <c r="I36" s="92" t="str">
        <f>IF($A36="","",IFERROR(INDEX(STG_ZPMW03!$C$6:$C$505,MATCH($A36,STG_ZPMW03!$B$6:$B$505,0)),"n.b."))</f>
        <v/>
      </c>
      <c r="J36" s="116" t="str">
        <f>IF($A36="","",COUNTIF(STG_ZPMW03!$B$6:$B$505,$A36))</f>
        <v/>
      </c>
      <c r="K36" s="116" t="str">
        <f>IF($A36="","",COUNTIF(STG_Woningetalage!$B$6:$B$505,$A36))</f>
        <v/>
      </c>
      <c r="L36" s="117" t="str">
        <f>IF($A36="","",IF($J36=0,"n.b.",SUMIFS(STG_ZPMW03!$BK$6:$BK$505,STG_ZPMW03!$B$6:$B$505,$A36)))</f>
        <v/>
      </c>
      <c r="M36" s="117" t="str">
        <f>IF($A36="","",IF($J36=0,"n.b.",SUMIFS(STG_ZPMW03!$BL$6:$BL$505,STG_ZPMW03!$B$6:$B$505,$A36)))</f>
        <v/>
      </c>
      <c r="N36" s="117" t="str">
        <f>IF($A36="","",IF($J36=0,"n.b.",SUMIFS(STG_ZPMW03!$BM$6:$BM$505,STG_ZPMW03!$B$6:$B$505,$A36)))</f>
        <v/>
      </c>
      <c r="O36" s="117" t="str">
        <f>IF($A36="","",IF($J36=0,"n.b.",SUMIFS(STG_ZPMW03!$BN$6:$BN$505,STG_ZPMW03!$B$6:$B$505,$A36)))</f>
        <v/>
      </c>
      <c r="P36" s="117" t="str">
        <f>IF($A36="","",IF($J36=0,"n.b.",SUMIFS(STG_ZPMW03!$BO$6:$BO$505,STG_ZPMW03!$B$6:$B$505,$A36)))</f>
        <v/>
      </c>
      <c r="Q36" s="117" t="str">
        <f>IF($A36="","",IF($J36=0,"n.b.",SUMIFS(STG_ZPMW03!$BP$6:$BP$505,STG_ZPMW03!$B$6:$B$505,$A36)))</f>
        <v/>
      </c>
      <c r="R36" s="117" t="str">
        <f>IF($A36="","",IF($J36=0,"n.b.",SUMIFS(STG_ZPMW03!$BQ$6:$BQ$505,STG_ZPMW03!$B$6:$B$505,$A36)))</f>
        <v/>
      </c>
      <c r="S36" s="117" t="str">
        <f>IF($A36="","",IF($J36=0,"n.b.",SUMIFS(STG_ZPMW03!$BR$6:$BR$505,STG_ZPMW03!$B$6:$B$505,$A36)))</f>
        <v/>
      </c>
      <c r="T36" s="117" t="str">
        <f>IF($A36="","",IF($J36=0,"n.b.",SUMIFS(STG_ZPMW03!$BS$6:$BS$505,STG_ZPMW03!$B$6:$B$505,$A36)))</f>
        <v/>
      </c>
      <c r="U36" s="117" t="str">
        <f>IF($A36="","",IF($J36=0,"n.b.",SUMIFS(STG_ZPMW03!$BT$6:$BT$505,STG_ZPMW03!$B$6:$B$505,$A36)))</f>
        <v/>
      </c>
      <c r="V36" s="117" t="str">
        <f>IF($A36="","",IF($J36=0,"n.b.",SUMIFS(STG_ZPMW03!$BU$6:$BU$505,STG_ZPMW03!$B$6:$B$505,$A36)))</f>
        <v/>
      </c>
      <c r="W36" s="117" t="str">
        <f>IF($A36="","",IF($J36=0,"n.b.",SUMIFS(STG_ZPMW03!$BW$6:$BW$505,STG_ZPMW03!$B$6:$B$505,$A36)))</f>
        <v/>
      </c>
      <c r="X36" s="117" t="str">
        <f>IF($A36="","",IF($J36=0,"n.b.",SUMIFS(STG_ZPMW03!$BY$6:$BY$505,STG_ZPMW03!$B$6:$B$505,$A36)))</f>
        <v/>
      </c>
      <c r="Y36" s="117" t="str">
        <f>IF($A36="","",IF($J36=0,"n.b.",SUMIFS(STG_ZPMW03!$CA$6:$CA$505,STG_ZPMW03!$B$6:$B$505,$A36)))</f>
        <v/>
      </c>
      <c r="Z36" s="117" t="str">
        <f>IF($A36="","",IF($J36=0,"n.b.",SUMIFS(STG_ZPMW03!$BV$6:$BV$505,STG_ZPMW03!$B$6:$B$505,$A36)))</f>
        <v/>
      </c>
      <c r="AA36" s="117" t="str">
        <f>IF($A36="","",IF($J36=0,"n.b.",SUMIFS(STG_ZPMW03!$BX$6:$BX$505,STG_ZPMW03!$B$6:$B$505,$A36)))</f>
        <v/>
      </c>
      <c r="AB36" s="117" t="str">
        <f>IF($A36="","",IF($J36=0,"n.b.",SUMIFS(STG_ZPMW03!$BZ$6:$BZ$505,STG_ZPMW03!$B$6:$B$505,$A36)))</f>
        <v/>
      </c>
      <c r="AC36" s="117" t="str">
        <f>IF($A36="","",IF($J36=0,"n.b.",SUMIFS(STG_ZPMW03!$CB$6:$CB$505,STG_ZPMW03!$B$6:$B$505,$A36)))</f>
        <v/>
      </c>
      <c r="AD36" s="117" t="str">
        <f>IF($A36="","",IF($J36=0,"n.b.",SUMIFS(STG_ZPMW03!$CC$6:$CC$505,STG_ZPMW03!$B$6:$B$505,$A36)))</f>
        <v/>
      </c>
      <c r="AE36" s="117" t="str">
        <f>IF($A36="","",IF($J36=0,"n.b.",SUMIFS(STG_ZPMW03!$CE$6:$CE$505,STG_ZPMW03!$B$6:$B$505,$A36)))</f>
        <v/>
      </c>
      <c r="AF36" s="117" t="str">
        <f>IF($A36="","",IF($J36=0,"n.b.",SUMIFS(STG_ZPMW03!$CG$6:$CG$505,STG_ZPMW03!$B$6:$B$505,$A36)))</f>
        <v/>
      </c>
      <c r="AG36" s="117" t="str">
        <f>IF($A36="","",IF($J36=0,"n.b.",SUMIFS(STG_ZPMW03!$CI$6:$CI$505,STG_ZPMW03!$B$6:$B$505,$A36)))</f>
        <v/>
      </c>
      <c r="AH36" s="117" t="str">
        <f>IF($A36="","",IF($J36=0,"n.b.",SUMIFS(STG_ZPMW03!$CK$6:$CK$505,STG_ZPMW03!$B$6:$B$505,$A36)))</f>
        <v/>
      </c>
      <c r="AI36" s="117" t="str">
        <f>IF($A36="","",IF($J36=0,"n.b.",SUMIFS(STG_ZPMW03!$CM$6:$CM$505,STG_ZPMW03!$B$6:$B$505,$A36)))</f>
        <v/>
      </c>
      <c r="AJ36" s="117" t="str">
        <f>IF($A36="","",IF($J36=0,"n.b.",SUMIFS(STG_ZPMW03!$CO$6:$CO$505,STG_ZPMW03!$B$6:$B$505,$A36)))</f>
        <v/>
      </c>
      <c r="AK36" s="117" t="str">
        <f>IF($A36="","",IF($J36=0,"n.b.",SUMIFS(STG_ZPMW03!$CQ$6:$CQ$505,STG_ZPMW03!$B$6:$B$505,$A36)))</f>
        <v/>
      </c>
      <c r="AL36" s="117" t="str">
        <f>IF($A36="","",IF($J36=0,"n.b.",SUMIFS(STG_ZPMW03!$CD$6:$CD$505,STG_ZPMW03!$B$6:$B$505,$A36)))</f>
        <v/>
      </c>
      <c r="AM36" s="117" t="str">
        <f>IF($A36="","",IF($J36=0,"n.b.",SUMIFS(STG_ZPMW03!$CF$6:$CF$505,STG_ZPMW03!$B$6:$B$505,$A36)))</f>
        <v/>
      </c>
      <c r="AN36" s="117" t="str">
        <f>IF($A36="","",IF($J36=0,"n.b.",SUMIFS(STG_ZPMW03!$CH$6:$CH$505,STG_ZPMW03!$B$6:$B$505,$A36)))</f>
        <v/>
      </c>
      <c r="AO36" s="117" t="str">
        <f>IF($A36="","",IF($J36=0,"n.b.",SUMIFS(STG_ZPMW03!$CJ$6:$CJ$505,STG_ZPMW03!$B$6:$B$505,$A36)))</f>
        <v/>
      </c>
      <c r="AP36" s="117" t="str">
        <f>IF($A36="","",IF($J36=0,"n.b.",SUMIFS(STG_ZPMW03!$CL$6:$CL$505,STG_ZPMW03!$B$6:$B$505,$A36)))</f>
        <v/>
      </c>
      <c r="AQ36" s="117" t="str">
        <f>IF($A36="","",IF($J36=0,"n.b.",SUMIFS(STG_ZPMW03!$CN$6:$CN$505,STG_ZPMW03!$B$6:$B$505,$A36)))</f>
        <v/>
      </c>
      <c r="AR36" s="117" t="str">
        <f>IF($A36="","",IF($J36=0,"n.b.",SUMIFS(STG_ZPMW03!$CP$6:$CP$505,STG_ZPMW03!$B$6:$B$505,$A36)))</f>
        <v/>
      </c>
      <c r="AS36" s="117" t="str">
        <f>IF($A36="","",IF($J36=0,"n.b.",SUMIFS(STG_ZPMW03!$CR$6:$CR$505,STG_ZPMW03!$B$6:$B$505,$A36)))</f>
        <v/>
      </c>
      <c r="AT36" s="117" t="str">
        <f>IF($A36="","",IF($K36=0,"n.b.",SUMIFS(STG_Woningetalage!$Q$6:$Q$505,STG_Woningetalage!$B$6:$B$505,$A36)))</f>
        <v/>
      </c>
      <c r="AU36" s="117" t="str">
        <f>IF($A36="","",IF($K36=0,"n.b.",SUMIFS(STG_Woningetalage!$R$6:$R$505,STG_Woningetalage!$B$6:$B$505,$A36)))</f>
        <v/>
      </c>
      <c r="AV36" s="117" t="str">
        <f>IF($A36="","",IF($K36=0,"n.b.",SUMIFS(STG_Woningetalage!$S$6:$S$505,STG_Woningetalage!$B$6:$B$505,$A36)))</f>
        <v/>
      </c>
      <c r="AW36" s="117" t="str">
        <f>IF($A36="","",IF($K36=0,"n.b.",SUMIFS(STG_Woningetalage!$T$6:$T$505,STG_Woningetalage!$B$6:$B$505,$A36)))</f>
        <v/>
      </c>
      <c r="AX36" s="117" t="str">
        <f>IF($A36="","",IF($K36=0,"n.b.",SUMIFS(STG_Woningetalage!$U$6:$U$505,STG_Woningetalage!$B$6:$B$505,$A36)))</f>
        <v/>
      </c>
      <c r="AY36" s="117" t="str">
        <f>IF($A36="","",IF($K36=0,"n.b.",SUMIFS(STG_Woningetalage!$V$6:$V$505,STG_Woningetalage!$B$6:$B$505,$A36)))</f>
        <v/>
      </c>
      <c r="AZ36" s="117" t="str">
        <f>IF($A36="","",IF($K36=0,"n.b.",SUMIFS(STG_Woningetalage!$W$6:$W$505,STG_Woningetalage!$B$6:$B$505,$A36)))</f>
        <v/>
      </c>
      <c r="BA36" s="117" t="str">
        <f>IF($A36="","",IF($K36=0,"n.b.",SUMIFS(STG_Woningetalage!$X$6:$X$505,STG_Woningetalage!$B$6:$B$505,$A36)))</f>
        <v/>
      </c>
      <c r="BB36" s="117" t="str">
        <f>IF($A36="","",IF($K36=0,"n.b.",SUMIFS(STG_Woningetalage!$Y$6:$Y$505,STG_Woningetalage!$B$6:$B$505,$A36)))</f>
        <v/>
      </c>
      <c r="BC36" s="117" t="str">
        <f>IF($A36="","",IF($K36=0,"n.b.",SUMIFS(STG_Woningetalage!$Z$6:$Z$505,STG_Woningetalage!$B$6:$B$505,$A36)))</f>
        <v/>
      </c>
      <c r="BD36" s="117" t="str">
        <f>IF($A36="","",IF($K36=0,"n.b.",SUMIFS(STG_Woningetalage!$AA$6:$AA$505,STG_Woningetalage!$B$6:$B$505,$A36)))</f>
        <v/>
      </c>
      <c r="BE36" s="117" t="str">
        <f>IF($A36="","",IF($K36=0,"n.b.",SUMIFS(STG_Woningetalage!$AB$6:$AB$505,STG_Woningetalage!$B$6:$B$505,$A36)))</f>
        <v/>
      </c>
      <c r="BF36" s="117" t="str">
        <f>IF($A36="","",IF($K36=0,"n.b.",SUMIFS(STG_Woningetalage!$AC$6:$AC$505,STG_Woningetalage!$B$6:$B$505,$A36)))</f>
        <v/>
      </c>
      <c r="BG36" s="117" t="str">
        <f>IF($A36="","",IF($K36=0,"n.b.",SUMIFS(STG_Woningetalage!$AD$6:$AD$505,STG_Woningetalage!$B$6:$B$505,$A36)))</f>
        <v/>
      </c>
      <c r="BH36" s="117" t="str">
        <f>IF($A36="","",IF($K36=0,"n.b.",SUMIFS(STG_Woningetalage!$AE$6:$AE$505,STG_Woningetalage!$B$6:$B$505,$A36)))</f>
        <v/>
      </c>
      <c r="BI36" s="117" t="str">
        <f>IF($A36="","",IF($K36=0,"n.b.",SUMIFS(STG_Woningetalage!$AF$6:$AF$505,STG_Woningetalage!$B$6:$B$505,$A36)))</f>
        <v/>
      </c>
      <c r="BJ36" s="117" t="str">
        <f>IF($A36="","",IF($K36=0,"n.b.",SUMIFS(STG_Woningetalage!$AG$6:$AG$505,STG_Woningetalage!$B$6:$B$505,$A36)))</f>
        <v/>
      </c>
      <c r="BK36" s="117" t="str">
        <f>IF($A36="","",IF($K36=0,"n.b.",SUMIFS(STG_Woningetalage!$AH$6:$AH$505,STG_Woningetalage!$B$6:$B$505,$A36)))</f>
        <v/>
      </c>
      <c r="BL36" s="117" t="str">
        <f>IF($A36="","",IF($K36=0,"n.b.",SUMIFS(STG_Woningetalage!$AI$6:$AI$505,STG_Woningetalage!$B$6:$B$505,$A36)))</f>
        <v/>
      </c>
      <c r="BM36" s="117" t="str">
        <f>IF($A36="","",IF($K36=0,"n.b.",SUMIFS(STG_Woningetalage!$AJ$6:$AJ$505,STG_Woningetalage!$B$6:$B$505,$A36)))</f>
        <v/>
      </c>
      <c r="BN36" s="117" t="str">
        <f>IF($A36="","",IF($K36=0,"n.b.",SUMIFS(STG_Woningetalage!$AK$6:$AK$505,STG_Woningetalage!$B$6:$B$505,$A36)))</f>
        <v/>
      </c>
      <c r="BO36" s="117" t="str">
        <f>IF($A36="","",IF($K36=0,"n.b.",SUMIFS(STG_Woningetalage!$AL$6:$AL$505,STG_Woningetalage!$B$6:$B$505,$A36)))</f>
        <v/>
      </c>
      <c r="BP36" s="117" t="str">
        <f>IF($A36="","",IF($K36=0,"n.b.",SUMIFS(STG_Woningetalage!$AM$6:$AM$505,STG_Woningetalage!$B$6:$B$505,$A36)))</f>
        <v/>
      </c>
      <c r="BQ36" s="117" t="str">
        <f>IF($A36="","",IF($K36=0,"n.b.",SUMIFS(STG_Woningetalage!$BE$6:$BE$505,STG_Woningetalage!$B$6:$B$505,$A36)))</f>
        <v/>
      </c>
      <c r="BR36" s="117" t="str">
        <f>IF($A36="","",IF($K36=0,"n.b.",SUMIFS(STG_Woningetalage!$BF$6:$BF$505,STG_Woningetalage!$B$6:$B$505,$A36)))</f>
        <v/>
      </c>
      <c r="BS36" s="117" t="str">
        <f>IF($A36="","",IF($K36=0,"n.b.",SUMIFS(STG_Woningetalage!$BG$6:$BG$505,STG_Woningetalage!$B$6:$B$505,$A36)))</f>
        <v/>
      </c>
      <c r="BT36" s="117" t="str">
        <f>IF($A36="","",IF($K36=0,"n.b.",SUMIFS(STG_Woningetalage!$BH$6:$BH$505,STG_Woningetalage!$B$6:$B$505,$A36)))</f>
        <v/>
      </c>
      <c r="BU36" s="117" t="str">
        <f>IF($A36="","",IF($K36=0,"n.b.",SUMIFS(STG_Woningetalage!$BI$6:$BI$505,STG_Woningetalage!$B$6:$B$505,$A36)))</f>
        <v/>
      </c>
      <c r="BV36" s="117" t="str">
        <f>IF($A36="","",IF($K36=0,"n.b.",SUMIFS(STG_Woningetalage!$BJ$6:$BJ$505,STG_Woningetalage!$B$6:$B$505,$A36)))</f>
        <v/>
      </c>
      <c r="BW36" s="117" t="str">
        <f>IF($A36="","",IF($K36=0,"n.b.",SUMIFS(STG_Woningetalage!$AR$6:$AR$505,STG_Woningetalage!$B$6:$B$505,$A36)))</f>
        <v/>
      </c>
      <c r="BX36" s="117" t="str">
        <f>IF($A36="","",IF($K36=0,"n.b.",SUMIFS(STG_Woningetalage!$AS$6:$AS$505,STG_Woningetalage!$B$6:$B$505,$A36)))</f>
        <v/>
      </c>
      <c r="BY36" s="117" t="str">
        <f>IF($A36="","",IF($K36=0,"n.b.",SUMIFS(STG_Woningetalage!$AN$6:$AN$505,STG_Woningetalage!$B$6:$B$505,$A36)))</f>
        <v/>
      </c>
      <c r="BZ36" s="117" t="str">
        <f>IF($A36="","",IF($K36=0,"n.b.",SUMIFS(STG_Woningetalage!$AO$6:$AO$505,STG_Woningetalage!$B$6:$B$505,$A36)))</f>
        <v/>
      </c>
      <c r="CA36" s="117" t="str">
        <f>IF($A36="","",IF($K36=0,"n.b.",SUMIFS(STG_Woningetalage!$AP$6:$AP$505,STG_Woningetalage!$B$6:$B$505,$A36)))</f>
        <v/>
      </c>
      <c r="CB36" s="117" t="str">
        <f>IF($A36="","",IF($K36=0,"n.b.",SUMIFS(STG_Woningetalage!$AQ$6:$AQ$505,STG_Woningetalage!$B$6:$B$505,$A36)))</f>
        <v/>
      </c>
      <c r="CC36" s="117" t="str">
        <f>IF($A36="","",IF($K36=0,"n.b.",SUMIFS(STG_Woningetalage!$AU$6:$AU$505,STG_Woningetalage!$B$6:$B$505,$A36)))</f>
        <v/>
      </c>
      <c r="CD36" s="92" t="str">
        <f>IF($A36="","",IFERROR(INDEX(STG_ZPMW03!$L$6:$L$505,MATCH($A36,STG_ZPMW03!$B$6:$B$505,0)),"n.b."))</f>
        <v/>
      </c>
      <c r="CE36" s="92" t="str">
        <f>IF($A36="","",IFERROR(INDEX(STG_ZPMW03!$K$6:$K$505,MATCH($A36,STG_ZPMW03!$B$6:$B$505,0)),"n.b."))</f>
        <v/>
      </c>
      <c r="CF36" s="92" t="str">
        <f>IF($A36="","",IFERROR(INDEX(STG_ZPMW03!$BH$6:$BH$505,MATCH($A36,STG_ZPMW03!$B$6:$B$505,0)),"n.b."))</f>
        <v/>
      </c>
      <c r="CG36" s="92" t="str">
        <f>IF($A36="","",IFERROR(INDEX(STG_ZPMW03!$BI$6:$BI$505,MATCH($A36,STG_ZPMW03!$B$6:$B$505,0)),"n.b."))</f>
        <v/>
      </c>
      <c r="CH36" s="92" t="str">
        <f>IF($A36="","",IFERROR(INDEX(STG_ZPMW03!$BJ$6:$BJ$505,MATCH($A36,STG_ZPMW03!$B$6:$B$505,0)),"n.b."))</f>
        <v/>
      </c>
      <c r="CI36" s="92" t="str">
        <f>IF($A36="","",IFERROR(INDEX(STG_ZPMW03!$BF$6:$BF$505,MATCH($A36,STG_ZPMW03!$B$6:$B$505,0)),"n.b."))</f>
        <v/>
      </c>
      <c r="CJ36" s="92" t="str">
        <f>IF($A36="","",IFERROR(INDEX(STG_ZPMW03!$BG$6:$BG$505,MATCH($A36,STG_ZPMW03!$B$6:$B$505,0)),"n.b."))</f>
        <v/>
      </c>
      <c r="CK36" s="92" t="str">
        <f>IF($A36="","",IFERROR(INDEX(STG_ZPMW03!$H$6:$H$505,MATCH($A36,STG_ZPMW03!$B$6:$B$505,0)),"n.b."))</f>
        <v/>
      </c>
      <c r="CL36" s="92" t="str">
        <f>IF($A36="","",IFERROR(INDEX(STG_ZPMW03!$E$6:$E$505,MATCH($A36,STG_ZPMW03!$B$6:$B$505,0)),"n.b."))</f>
        <v/>
      </c>
      <c r="CM36" s="92" t="str">
        <f>IF($A36="","",IFERROR(INDEX(STG_ZPMW03!$G$6:$G$505,MATCH($A36,STG_ZPMW03!$B$6:$B$505,0)),"n.b."))</f>
        <v/>
      </c>
      <c r="CN36" s="92" t="str">
        <f>IF($A36="","",IFERROR(INDEX(STG_Woningetalage!$N$6:$N$505,MATCH($A36,STG_Woningetalage!$B$6:$B$505,0)),"n.b."))</f>
        <v/>
      </c>
      <c r="CO36" s="92" t="str">
        <f>IF($A36="","",IFERROR(INDEX(STG_Woningetalage!$P$6:$P$505,MATCH($A36,STG_Woningetalage!$B$6:$B$505,0)),"n.b."))</f>
        <v/>
      </c>
      <c r="CP36" s="118" t="str">
        <f>IF($A36="","",IF(AND(ISNUMBER(AT36),ISNUMBER(F36)),IF(F36&gt;0,AT36/(F36/100),"n.b."),"n.b."))</f>
        <v/>
      </c>
      <c r="CQ36" s="116" t="str">
        <f>IF($A36="","",IF(ISNUMBER(Q36),IF(Q36&lt;0,1,0),0))</f>
        <v/>
      </c>
      <c r="CR36" s="116" t="str">
        <f>IF(CQ36=1,COUNTIF($CQ$6:CQ36,1),"")</f>
        <v/>
      </c>
      <c r="CS36" s="116" t="str">
        <f>IF(AND($A36&lt;&gt;"",$J36=0),COUNTIFS($A$6:$A36,"?*",$J$6:$J36,0),"")</f>
        <v/>
      </c>
      <c r="CT36" s="119" t="str">
        <f>IF($A36="","",IF(AND(ISNUMBER(Q36),ISNUMBER(P36)),IF(P36&lt;&gt;0,Q36/P36,"n.b."),"n.b."))</f>
        <v/>
      </c>
    </row>
    <row r="37">
      <c r="A37" s="92" t="str">
        <f>IF(Mapping!$A36="","",Mapping!$A36)</f>
        <v/>
      </c>
      <c r="B37" s="92" t="str">
        <f>IF(Mapping!$B36="","",Mapping!$B36)</f>
        <v/>
      </c>
      <c r="C37" s="92" t="str">
        <f>IF(Mapping!$C36="","",Mapping!$C36)</f>
        <v/>
      </c>
      <c r="D37" s="92" t="str">
        <f>IF(Mapping!$F36="","",Mapping!$F36)</f>
        <v/>
      </c>
      <c r="E37" s="92" t="str">
        <f>IF(Mapping!$H36="","",Mapping!$H36)</f>
        <v/>
      </c>
      <c r="F37" s="92" t="str">
        <f>IF(Mapping!$E36="","",Mapping!$E36)</f>
        <v/>
      </c>
      <c r="G37" s="92" t="str">
        <f>IF(Mapping!$G36="","",Mapping!$G36)</f>
        <v/>
      </c>
      <c r="H37" s="92" t="str">
        <f>IF(Mapping!$D36="","",Mapping!$D36)</f>
        <v/>
      </c>
      <c r="I37" s="92" t="str">
        <f>IF($A37="","",IFERROR(INDEX(STG_ZPMW03!$C$6:$C$505,MATCH($A37,STG_ZPMW03!$B$6:$B$505,0)),"n.b."))</f>
        <v/>
      </c>
      <c r="J37" s="116" t="str">
        <f>IF($A37="","",COUNTIF(STG_ZPMW03!$B$6:$B$505,$A37))</f>
        <v/>
      </c>
      <c r="K37" s="116" t="str">
        <f>IF($A37="","",COUNTIF(STG_Woningetalage!$B$6:$B$505,$A37))</f>
        <v/>
      </c>
      <c r="L37" s="117" t="str">
        <f>IF($A37="","",IF($J37=0,"n.b.",SUMIFS(STG_ZPMW03!$BK$6:$BK$505,STG_ZPMW03!$B$6:$B$505,$A37)))</f>
        <v/>
      </c>
      <c r="M37" s="117" t="str">
        <f>IF($A37="","",IF($J37=0,"n.b.",SUMIFS(STG_ZPMW03!$BL$6:$BL$505,STG_ZPMW03!$B$6:$B$505,$A37)))</f>
        <v/>
      </c>
      <c r="N37" s="117" t="str">
        <f>IF($A37="","",IF($J37=0,"n.b.",SUMIFS(STG_ZPMW03!$BM$6:$BM$505,STG_ZPMW03!$B$6:$B$505,$A37)))</f>
        <v/>
      </c>
      <c r="O37" s="117" t="str">
        <f>IF($A37="","",IF($J37=0,"n.b.",SUMIFS(STG_ZPMW03!$BN$6:$BN$505,STG_ZPMW03!$B$6:$B$505,$A37)))</f>
        <v/>
      </c>
      <c r="P37" s="117" t="str">
        <f>IF($A37="","",IF($J37=0,"n.b.",SUMIFS(STG_ZPMW03!$BO$6:$BO$505,STG_ZPMW03!$B$6:$B$505,$A37)))</f>
        <v/>
      </c>
      <c r="Q37" s="117" t="str">
        <f>IF($A37="","",IF($J37=0,"n.b.",SUMIFS(STG_ZPMW03!$BP$6:$BP$505,STG_ZPMW03!$B$6:$B$505,$A37)))</f>
        <v/>
      </c>
      <c r="R37" s="117" t="str">
        <f>IF($A37="","",IF($J37=0,"n.b.",SUMIFS(STG_ZPMW03!$BQ$6:$BQ$505,STG_ZPMW03!$B$6:$B$505,$A37)))</f>
        <v/>
      </c>
      <c r="S37" s="117" t="str">
        <f>IF($A37="","",IF($J37=0,"n.b.",SUMIFS(STG_ZPMW03!$BR$6:$BR$505,STG_ZPMW03!$B$6:$B$505,$A37)))</f>
        <v/>
      </c>
      <c r="T37" s="117" t="str">
        <f>IF($A37="","",IF($J37=0,"n.b.",SUMIFS(STG_ZPMW03!$BS$6:$BS$505,STG_ZPMW03!$B$6:$B$505,$A37)))</f>
        <v/>
      </c>
      <c r="U37" s="117" t="str">
        <f>IF($A37="","",IF($J37=0,"n.b.",SUMIFS(STG_ZPMW03!$BT$6:$BT$505,STG_ZPMW03!$B$6:$B$505,$A37)))</f>
        <v/>
      </c>
      <c r="V37" s="117" t="str">
        <f>IF($A37="","",IF($J37=0,"n.b.",SUMIFS(STG_ZPMW03!$BU$6:$BU$505,STG_ZPMW03!$B$6:$B$505,$A37)))</f>
        <v/>
      </c>
      <c r="W37" s="117" t="str">
        <f>IF($A37="","",IF($J37=0,"n.b.",SUMIFS(STG_ZPMW03!$BW$6:$BW$505,STG_ZPMW03!$B$6:$B$505,$A37)))</f>
        <v/>
      </c>
      <c r="X37" s="117" t="str">
        <f>IF($A37="","",IF($J37=0,"n.b.",SUMIFS(STG_ZPMW03!$BY$6:$BY$505,STG_ZPMW03!$B$6:$B$505,$A37)))</f>
        <v/>
      </c>
      <c r="Y37" s="117" t="str">
        <f>IF($A37="","",IF($J37=0,"n.b.",SUMIFS(STG_ZPMW03!$CA$6:$CA$505,STG_ZPMW03!$B$6:$B$505,$A37)))</f>
        <v/>
      </c>
      <c r="Z37" s="117" t="str">
        <f>IF($A37="","",IF($J37=0,"n.b.",SUMIFS(STG_ZPMW03!$BV$6:$BV$505,STG_ZPMW03!$B$6:$B$505,$A37)))</f>
        <v/>
      </c>
      <c r="AA37" s="117" t="str">
        <f>IF($A37="","",IF($J37=0,"n.b.",SUMIFS(STG_ZPMW03!$BX$6:$BX$505,STG_ZPMW03!$B$6:$B$505,$A37)))</f>
        <v/>
      </c>
      <c r="AB37" s="117" t="str">
        <f>IF($A37="","",IF($J37=0,"n.b.",SUMIFS(STG_ZPMW03!$BZ$6:$BZ$505,STG_ZPMW03!$B$6:$B$505,$A37)))</f>
        <v/>
      </c>
      <c r="AC37" s="117" t="str">
        <f>IF($A37="","",IF($J37=0,"n.b.",SUMIFS(STG_ZPMW03!$CB$6:$CB$505,STG_ZPMW03!$B$6:$B$505,$A37)))</f>
        <v/>
      </c>
      <c r="AD37" s="117" t="str">
        <f>IF($A37="","",IF($J37=0,"n.b.",SUMIFS(STG_ZPMW03!$CC$6:$CC$505,STG_ZPMW03!$B$6:$B$505,$A37)))</f>
        <v/>
      </c>
      <c r="AE37" s="117" t="str">
        <f>IF($A37="","",IF($J37=0,"n.b.",SUMIFS(STG_ZPMW03!$CE$6:$CE$505,STG_ZPMW03!$B$6:$B$505,$A37)))</f>
        <v/>
      </c>
      <c r="AF37" s="117" t="str">
        <f>IF($A37="","",IF($J37=0,"n.b.",SUMIFS(STG_ZPMW03!$CG$6:$CG$505,STG_ZPMW03!$B$6:$B$505,$A37)))</f>
        <v/>
      </c>
      <c r="AG37" s="117" t="str">
        <f>IF($A37="","",IF($J37=0,"n.b.",SUMIFS(STG_ZPMW03!$CI$6:$CI$505,STG_ZPMW03!$B$6:$B$505,$A37)))</f>
        <v/>
      </c>
      <c r="AH37" s="117" t="str">
        <f>IF($A37="","",IF($J37=0,"n.b.",SUMIFS(STG_ZPMW03!$CK$6:$CK$505,STG_ZPMW03!$B$6:$B$505,$A37)))</f>
        <v/>
      </c>
      <c r="AI37" s="117" t="str">
        <f>IF($A37="","",IF($J37=0,"n.b.",SUMIFS(STG_ZPMW03!$CM$6:$CM$505,STG_ZPMW03!$B$6:$B$505,$A37)))</f>
        <v/>
      </c>
      <c r="AJ37" s="117" t="str">
        <f>IF($A37="","",IF($J37=0,"n.b.",SUMIFS(STG_ZPMW03!$CO$6:$CO$505,STG_ZPMW03!$B$6:$B$505,$A37)))</f>
        <v/>
      </c>
      <c r="AK37" s="117" t="str">
        <f>IF($A37="","",IF($J37=0,"n.b.",SUMIFS(STG_ZPMW03!$CQ$6:$CQ$505,STG_ZPMW03!$B$6:$B$505,$A37)))</f>
        <v/>
      </c>
      <c r="AL37" s="117" t="str">
        <f>IF($A37="","",IF($J37=0,"n.b.",SUMIFS(STG_ZPMW03!$CD$6:$CD$505,STG_ZPMW03!$B$6:$B$505,$A37)))</f>
        <v/>
      </c>
      <c r="AM37" s="117" t="str">
        <f>IF($A37="","",IF($J37=0,"n.b.",SUMIFS(STG_ZPMW03!$CF$6:$CF$505,STG_ZPMW03!$B$6:$B$505,$A37)))</f>
        <v/>
      </c>
      <c r="AN37" s="117" t="str">
        <f>IF($A37="","",IF($J37=0,"n.b.",SUMIFS(STG_ZPMW03!$CH$6:$CH$505,STG_ZPMW03!$B$6:$B$505,$A37)))</f>
        <v/>
      </c>
      <c r="AO37" s="117" t="str">
        <f>IF($A37="","",IF($J37=0,"n.b.",SUMIFS(STG_ZPMW03!$CJ$6:$CJ$505,STG_ZPMW03!$B$6:$B$505,$A37)))</f>
        <v/>
      </c>
      <c r="AP37" s="117" t="str">
        <f>IF($A37="","",IF($J37=0,"n.b.",SUMIFS(STG_ZPMW03!$CL$6:$CL$505,STG_ZPMW03!$B$6:$B$505,$A37)))</f>
        <v/>
      </c>
      <c r="AQ37" s="117" t="str">
        <f>IF($A37="","",IF($J37=0,"n.b.",SUMIFS(STG_ZPMW03!$CN$6:$CN$505,STG_ZPMW03!$B$6:$B$505,$A37)))</f>
        <v/>
      </c>
      <c r="AR37" s="117" t="str">
        <f>IF($A37="","",IF($J37=0,"n.b.",SUMIFS(STG_ZPMW03!$CP$6:$CP$505,STG_ZPMW03!$B$6:$B$505,$A37)))</f>
        <v/>
      </c>
      <c r="AS37" s="117" t="str">
        <f>IF($A37="","",IF($J37=0,"n.b.",SUMIFS(STG_ZPMW03!$CR$6:$CR$505,STG_ZPMW03!$B$6:$B$505,$A37)))</f>
        <v/>
      </c>
      <c r="AT37" s="117" t="str">
        <f>IF($A37="","",IF($K37=0,"n.b.",SUMIFS(STG_Woningetalage!$Q$6:$Q$505,STG_Woningetalage!$B$6:$B$505,$A37)))</f>
        <v/>
      </c>
      <c r="AU37" s="117" t="str">
        <f>IF($A37="","",IF($K37=0,"n.b.",SUMIFS(STG_Woningetalage!$R$6:$R$505,STG_Woningetalage!$B$6:$B$505,$A37)))</f>
        <v/>
      </c>
      <c r="AV37" s="117" t="str">
        <f>IF($A37="","",IF($K37=0,"n.b.",SUMIFS(STG_Woningetalage!$S$6:$S$505,STG_Woningetalage!$B$6:$B$505,$A37)))</f>
        <v/>
      </c>
      <c r="AW37" s="117" t="str">
        <f>IF($A37="","",IF($K37=0,"n.b.",SUMIFS(STG_Woningetalage!$T$6:$T$505,STG_Woningetalage!$B$6:$B$505,$A37)))</f>
        <v/>
      </c>
      <c r="AX37" s="117" t="str">
        <f>IF($A37="","",IF($K37=0,"n.b.",SUMIFS(STG_Woningetalage!$U$6:$U$505,STG_Woningetalage!$B$6:$B$505,$A37)))</f>
        <v/>
      </c>
      <c r="AY37" s="117" t="str">
        <f>IF($A37="","",IF($K37=0,"n.b.",SUMIFS(STG_Woningetalage!$V$6:$V$505,STG_Woningetalage!$B$6:$B$505,$A37)))</f>
        <v/>
      </c>
      <c r="AZ37" s="117" t="str">
        <f>IF($A37="","",IF($K37=0,"n.b.",SUMIFS(STG_Woningetalage!$W$6:$W$505,STG_Woningetalage!$B$6:$B$505,$A37)))</f>
        <v/>
      </c>
      <c r="BA37" s="117" t="str">
        <f>IF($A37="","",IF($K37=0,"n.b.",SUMIFS(STG_Woningetalage!$X$6:$X$505,STG_Woningetalage!$B$6:$B$505,$A37)))</f>
        <v/>
      </c>
      <c r="BB37" s="117" t="str">
        <f>IF($A37="","",IF($K37=0,"n.b.",SUMIFS(STG_Woningetalage!$Y$6:$Y$505,STG_Woningetalage!$B$6:$B$505,$A37)))</f>
        <v/>
      </c>
      <c r="BC37" s="117" t="str">
        <f>IF($A37="","",IF($K37=0,"n.b.",SUMIFS(STG_Woningetalage!$Z$6:$Z$505,STG_Woningetalage!$B$6:$B$505,$A37)))</f>
        <v/>
      </c>
      <c r="BD37" s="117" t="str">
        <f>IF($A37="","",IF($K37=0,"n.b.",SUMIFS(STG_Woningetalage!$AA$6:$AA$505,STG_Woningetalage!$B$6:$B$505,$A37)))</f>
        <v/>
      </c>
      <c r="BE37" s="117" t="str">
        <f>IF($A37="","",IF($K37=0,"n.b.",SUMIFS(STG_Woningetalage!$AB$6:$AB$505,STG_Woningetalage!$B$6:$B$505,$A37)))</f>
        <v/>
      </c>
      <c r="BF37" s="117" t="str">
        <f>IF($A37="","",IF($K37=0,"n.b.",SUMIFS(STG_Woningetalage!$AC$6:$AC$505,STG_Woningetalage!$B$6:$B$505,$A37)))</f>
        <v/>
      </c>
      <c r="BG37" s="117" t="str">
        <f>IF($A37="","",IF($K37=0,"n.b.",SUMIFS(STG_Woningetalage!$AD$6:$AD$505,STG_Woningetalage!$B$6:$B$505,$A37)))</f>
        <v/>
      </c>
      <c r="BH37" s="117" t="str">
        <f>IF($A37="","",IF($K37=0,"n.b.",SUMIFS(STG_Woningetalage!$AE$6:$AE$505,STG_Woningetalage!$B$6:$B$505,$A37)))</f>
        <v/>
      </c>
      <c r="BI37" s="117" t="str">
        <f>IF($A37="","",IF($K37=0,"n.b.",SUMIFS(STG_Woningetalage!$AF$6:$AF$505,STG_Woningetalage!$B$6:$B$505,$A37)))</f>
        <v/>
      </c>
      <c r="BJ37" s="117" t="str">
        <f>IF($A37="","",IF($K37=0,"n.b.",SUMIFS(STG_Woningetalage!$AG$6:$AG$505,STG_Woningetalage!$B$6:$B$505,$A37)))</f>
        <v/>
      </c>
      <c r="BK37" s="117" t="str">
        <f>IF($A37="","",IF($K37=0,"n.b.",SUMIFS(STG_Woningetalage!$AH$6:$AH$505,STG_Woningetalage!$B$6:$B$505,$A37)))</f>
        <v/>
      </c>
      <c r="BL37" s="117" t="str">
        <f>IF($A37="","",IF($K37=0,"n.b.",SUMIFS(STG_Woningetalage!$AI$6:$AI$505,STG_Woningetalage!$B$6:$B$505,$A37)))</f>
        <v/>
      </c>
      <c r="BM37" s="117" t="str">
        <f>IF($A37="","",IF($K37=0,"n.b.",SUMIFS(STG_Woningetalage!$AJ$6:$AJ$505,STG_Woningetalage!$B$6:$B$505,$A37)))</f>
        <v/>
      </c>
      <c r="BN37" s="117" t="str">
        <f>IF($A37="","",IF($K37=0,"n.b.",SUMIFS(STG_Woningetalage!$AK$6:$AK$505,STG_Woningetalage!$B$6:$B$505,$A37)))</f>
        <v/>
      </c>
      <c r="BO37" s="117" t="str">
        <f>IF($A37="","",IF($K37=0,"n.b.",SUMIFS(STG_Woningetalage!$AL$6:$AL$505,STG_Woningetalage!$B$6:$B$505,$A37)))</f>
        <v/>
      </c>
      <c r="BP37" s="117" t="str">
        <f>IF($A37="","",IF($K37=0,"n.b.",SUMIFS(STG_Woningetalage!$AM$6:$AM$505,STG_Woningetalage!$B$6:$B$505,$A37)))</f>
        <v/>
      </c>
      <c r="BQ37" s="117" t="str">
        <f>IF($A37="","",IF($K37=0,"n.b.",SUMIFS(STG_Woningetalage!$BE$6:$BE$505,STG_Woningetalage!$B$6:$B$505,$A37)))</f>
        <v/>
      </c>
      <c r="BR37" s="117" t="str">
        <f>IF($A37="","",IF($K37=0,"n.b.",SUMIFS(STG_Woningetalage!$BF$6:$BF$505,STG_Woningetalage!$B$6:$B$505,$A37)))</f>
        <v/>
      </c>
      <c r="BS37" s="117" t="str">
        <f>IF($A37="","",IF($K37=0,"n.b.",SUMIFS(STG_Woningetalage!$BG$6:$BG$505,STG_Woningetalage!$B$6:$B$505,$A37)))</f>
        <v/>
      </c>
      <c r="BT37" s="117" t="str">
        <f>IF($A37="","",IF($K37=0,"n.b.",SUMIFS(STG_Woningetalage!$BH$6:$BH$505,STG_Woningetalage!$B$6:$B$505,$A37)))</f>
        <v/>
      </c>
      <c r="BU37" s="117" t="str">
        <f>IF($A37="","",IF($K37=0,"n.b.",SUMIFS(STG_Woningetalage!$BI$6:$BI$505,STG_Woningetalage!$B$6:$B$505,$A37)))</f>
        <v/>
      </c>
      <c r="BV37" s="117" t="str">
        <f>IF($A37="","",IF($K37=0,"n.b.",SUMIFS(STG_Woningetalage!$BJ$6:$BJ$505,STG_Woningetalage!$B$6:$B$505,$A37)))</f>
        <v/>
      </c>
      <c r="BW37" s="117" t="str">
        <f>IF($A37="","",IF($K37=0,"n.b.",SUMIFS(STG_Woningetalage!$AR$6:$AR$505,STG_Woningetalage!$B$6:$B$505,$A37)))</f>
        <v/>
      </c>
      <c r="BX37" s="117" t="str">
        <f>IF($A37="","",IF($K37=0,"n.b.",SUMIFS(STG_Woningetalage!$AS$6:$AS$505,STG_Woningetalage!$B$6:$B$505,$A37)))</f>
        <v/>
      </c>
      <c r="BY37" s="117" t="str">
        <f>IF($A37="","",IF($K37=0,"n.b.",SUMIFS(STG_Woningetalage!$AN$6:$AN$505,STG_Woningetalage!$B$6:$B$505,$A37)))</f>
        <v/>
      </c>
      <c r="BZ37" s="117" t="str">
        <f>IF($A37="","",IF($K37=0,"n.b.",SUMIFS(STG_Woningetalage!$AO$6:$AO$505,STG_Woningetalage!$B$6:$B$505,$A37)))</f>
        <v/>
      </c>
      <c r="CA37" s="117" t="str">
        <f>IF($A37="","",IF($K37=0,"n.b.",SUMIFS(STG_Woningetalage!$AP$6:$AP$505,STG_Woningetalage!$B$6:$B$505,$A37)))</f>
        <v/>
      </c>
      <c r="CB37" s="117" t="str">
        <f>IF($A37="","",IF($K37=0,"n.b.",SUMIFS(STG_Woningetalage!$AQ$6:$AQ$505,STG_Woningetalage!$B$6:$B$505,$A37)))</f>
        <v/>
      </c>
      <c r="CC37" s="117" t="str">
        <f>IF($A37="","",IF($K37=0,"n.b.",SUMIFS(STG_Woningetalage!$AU$6:$AU$505,STG_Woningetalage!$B$6:$B$505,$A37)))</f>
        <v/>
      </c>
      <c r="CD37" s="92" t="str">
        <f>IF($A37="","",IFERROR(INDEX(STG_ZPMW03!$L$6:$L$505,MATCH($A37,STG_ZPMW03!$B$6:$B$505,0)),"n.b."))</f>
        <v/>
      </c>
      <c r="CE37" s="92" t="str">
        <f>IF($A37="","",IFERROR(INDEX(STG_ZPMW03!$K$6:$K$505,MATCH($A37,STG_ZPMW03!$B$6:$B$505,0)),"n.b."))</f>
        <v/>
      </c>
      <c r="CF37" s="92" t="str">
        <f>IF($A37="","",IFERROR(INDEX(STG_ZPMW03!$BH$6:$BH$505,MATCH($A37,STG_ZPMW03!$B$6:$B$505,0)),"n.b."))</f>
        <v/>
      </c>
      <c r="CG37" s="92" t="str">
        <f>IF($A37="","",IFERROR(INDEX(STG_ZPMW03!$BI$6:$BI$505,MATCH($A37,STG_ZPMW03!$B$6:$B$505,0)),"n.b."))</f>
        <v/>
      </c>
      <c r="CH37" s="92" t="str">
        <f>IF($A37="","",IFERROR(INDEX(STG_ZPMW03!$BJ$6:$BJ$505,MATCH($A37,STG_ZPMW03!$B$6:$B$505,0)),"n.b."))</f>
        <v/>
      </c>
      <c r="CI37" s="92" t="str">
        <f>IF($A37="","",IFERROR(INDEX(STG_ZPMW03!$BF$6:$BF$505,MATCH($A37,STG_ZPMW03!$B$6:$B$505,0)),"n.b."))</f>
        <v/>
      </c>
      <c r="CJ37" s="92" t="str">
        <f>IF($A37="","",IFERROR(INDEX(STG_ZPMW03!$BG$6:$BG$505,MATCH($A37,STG_ZPMW03!$B$6:$B$505,0)),"n.b."))</f>
        <v/>
      </c>
      <c r="CK37" s="92" t="str">
        <f>IF($A37="","",IFERROR(INDEX(STG_ZPMW03!$H$6:$H$505,MATCH($A37,STG_ZPMW03!$B$6:$B$505,0)),"n.b."))</f>
        <v/>
      </c>
      <c r="CL37" s="92" t="str">
        <f>IF($A37="","",IFERROR(INDEX(STG_ZPMW03!$E$6:$E$505,MATCH($A37,STG_ZPMW03!$B$6:$B$505,0)),"n.b."))</f>
        <v/>
      </c>
      <c r="CM37" s="92" t="str">
        <f>IF($A37="","",IFERROR(INDEX(STG_ZPMW03!$G$6:$G$505,MATCH($A37,STG_ZPMW03!$B$6:$B$505,0)),"n.b."))</f>
        <v/>
      </c>
      <c r="CN37" s="92" t="str">
        <f>IF($A37="","",IFERROR(INDEX(STG_Woningetalage!$N$6:$N$505,MATCH($A37,STG_Woningetalage!$B$6:$B$505,0)),"n.b."))</f>
        <v/>
      </c>
      <c r="CO37" s="92" t="str">
        <f>IF($A37="","",IFERROR(INDEX(STG_Woningetalage!$P$6:$P$505,MATCH($A37,STG_Woningetalage!$B$6:$B$505,0)),"n.b."))</f>
        <v/>
      </c>
      <c r="CP37" s="118" t="str">
        <f>IF($A37="","",IF(AND(ISNUMBER(AT37),ISNUMBER(F37)),IF(F37&gt;0,AT37/(F37/100),"n.b."),"n.b."))</f>
        <v/>
      </c>
      <c r="CQ37" s="116" t="str">
        <f>IF($A37="","",IF(ISNUMBER(Q37),IF(Q37&lt;0,1,0),0))</f>
        <v/>
      </c>
      <c r="CR37" s="116" t="str">
        <f>IF(CQ37=1,COUNTIF($CQ$6:CQ37,1),"")</f>
        <v/>
      </c>
      <c r="CS37" s="116" t="str">
        <f>IF(AND($A37&lt;&gt;"",$J37=0),COUNTIFS($A$6:$A37,"?*",$J$6:$J37,0),"")</f>
        <v/>
      </c>
      <c r="CT37" s="119" t="str">
        <f>IF($A37="","",IF(AND(ISNUMBER(Q37),ISNUMBER(P37)),IF(P37&lt;&gt;0,Q37/P37,"n.b."),"n.b."))</f>
        <v/>
      </c>
    </row>
    <row r="38">
      <c r="A38" s="92" t="str">
        <f>IF(Mapping!$A37="","",Mapping!$A37)</f>
        <v/>
      </c>
      <c r="B38" s="92" t="str">
        <f>IF(Mapping!$B37="","",Mapping!$B37)</f>
        <v/>
      </c>
      <c r="C38" s="92" t="str">
        <f>IF(Mapping!$C37="","",Mapping!$C37)</f>
        <v/>
      </c>
      <c r="D38" s="92" t="str">
        <f>IF(Mapping!$F37="","",Mapping!$F37)</f>
        <v/>
      </c>
      <c r="E38" s="92" t="str">
        <f>IF(Mapping!$H37="","",Mapping!$H37)</f>
        <v/>
      </c>
      <c r="F38" s="92" t="str">
        <f>IF(Mapping!$E37="","",Mapping!$E37)</f>
        <v/>
      </c>
      <c r="G38" s="92" t="str">
        <f>IF(Mapping!$G37="","",Mapping!$G37)</f>
        <v/>
      </c>
      <c r="H38" s="92" t="str">
        <f>IF(Mapping!$D37="","",Mapping!$D37)</f>
        <v/>
      </c>
      <c r="I38" s="92" t="str">
        <f>IF($A38="","",IFERROR(INDEX(STG_ZPMW03!$C$6:$C$505,MATCH($A38,STG_ZPMW03!$B$6:$B$505,0)),"n.b."))</f>
        <v/>
      </c>
      <c r="J38" s="116" t="str">
        <f>IF($A38="","",COUNTIF(STG_ZPMW03!$B$6:$B$505,$A38))</f>
        <v/>
      </c>
      <c r="K38" s="116" t="str">
        <f>IF($A38="","",COUNTIF(STG_Woningetalage!$B$6:$B$505,$A38))</f>
        <v/>
      </c>
      <c r="L38" s="117" t="str">
        <f>IF($A38="","",IF($J38=0,"n.b.",SUMIFS(STG_ZPMW03!$BK$6:$BK$505,STG_ZPMW03!$B$6:$B$505,$A38)))</f>
        <v/>
      </c>
      <c r="M38" s="117" t="str">
        <f>IF($A38="","",IF($J38=0,"n.b.",SUMIFS(STG_ZPMW03!$BL$6:$BL$505,STG_ZPMW03!$B$6:$B$505,$A38)))</f>
        <v/>
      </c>
      <c r="N38" s="117" t="str">
        <f>IF($A38="","",IF($J38=0,"n.b.",SUMIFS(STG_ZPMW03!$BM$6:$BM$505,STG_ZPMW03!$B$6:$B$505,$A38)))</f>
        <v/>
      </c>
      <c r="O38" s="117" t="str">
        <f>IF($A38="","",IF($J38=0,"n.b.",SUMIFS(STG_ZPMW03!$BN$6:$BN$505,STG_ZPMW03!$B$6:$B$505,$A38)))</f>
        <v/>
      </c>
      <c r="P38" s="117" t="str">
        <f>IF($A38="","",IF($J38=0,"n.b.",SUMIFS(STG_ZPMW03!$BO$6:$BO$505,STG_ZPMW03!$B$6:$B$505,$A38)))</f>
        <v/>
      </c>
      <c r="Q38" s="117" t="str">
        <f>IF($A38="","",IF($J38=0,"n.b.",SUMIFS(STG_ZPMW03!$BP$6:$BP$505,STG_ZPMW03!$B$6:$B$505,$A38)))</f>
        <v/>
      </c>
      <c r="R38" s="117" t="str">
        <f>IF($A38="","",IF($J38=0,"n.b.",SUMIFS(STG_ZPMW03!$BQ$6:$BQ$505,STG_ZPMW03!$B$6:$B$505,$A38)))</f>
        <v/>
      </c>
      <c r="S38" s="117" t="str">
        <f>IF($A38="","",IF($J38=0,"n.b.",SUMIFS(STG_ZPMW03!$BR$6:$BR$505,STG_ZPMW03!$B$6:$B$505,$A38)))</f>
        <v/>
      </c>
      <c r="T38" s="117" t="str">
        <f>IF($A38="","",IF($J38=0,"n.b.",SUMIFS(STG_ZPMW03!$BS$6:$BS$505,STG_ZPMW03!$B$6:$B$505,$A38)))</f>
        <v/>
      </c>
      <c r="U38" s="117" t="str">
        <f>IF($A38="","",IF($J38=0,"n.b.",SUMIFS(STG_ZPMW03!$BT$6:$BT$505,STG_ZPMW03!$B$6:$B$505,$A38)))</f>
        <v/>
      </c>
      <c r="V38" s="117" t="str">
        <f>IF($A38="","",IF($J38=0,"n.b.",SUMIFS(STG_ZPMW03!$BU$6:$BU$505,STG_ZPMW03!$B$6:$B$505,$A38)))</f>
        <v/>
      </c>
      <c r="W38" s="117" t="str">
        <f>IF($A38="","",IF($J38=0,"n.b.",SUMIFS(STG_ZPMW03!$BW$6:$BW$505,STG_ZPMW03!$B$6:$B$505,$A38)))</f>
        <v/>
      </c>
      <c r="X38" s="117" t="str">
        <f>IF($A38="","",IF($J38=0,"n.b.",SUMIFS(STG_ZPMW03!$BY$6:$BY$505,STG_ZPMW03!$B$6:$B$505,$A38)))</f>
        <v/>
      </c>
      <c r="Y38" s="117" t="str">
        <f>IF($A38="","",IF($J38=0,"n.b.",SUMIFS(STG_ZPMW03!$CA$6:$CA$505,STG_ZPMW03!$B$6:$B$505,$A38)))</f>
        <v/>
      </c>
      <c r="Z38" s="117" t="str">
        <f>IF($A38="","",IF($J38=0,"n.b.",SUMIFS(STG_ZPMW03!$BV$6:$BV$505,STG_ZPMW03!$B$6:$B$505,$A38)))</f>
        <v/>
      </c>
      <c r="AA38" s="117" t="str">
        <f>IF($A38="","",IF($J38=0,"n.b.",SUMIFS(STG_ZPMW03!$BX$6:$BX$505,STG_ZPMW03!$B$6:$B$505,$A38)))</f>
        <v/>
      </c>
      <c r="AB38" s="117" t="str">
        <f>IF($A38="","",IF($J38=0,"n.b.",SUMIFS(STG_ZPMW03!$BZ$6:$BZ$505,STG_ZPMW03!$B$6:$B$505,$A38)))</f>
        <v/>
      </c>
      <c r="AC38" s="117" t="str">
        <f>IF($A38="","",IF($J38=0,"n.b.",SUMIFS(STG_ZPMW03!$CB$6:$CB$505,STG_ZPMW03!$B$6:$B$505,$A38)))</f>
        <v/>
      </c>
      <c r="AD38" s="117" t="str">
        <f>IF($A38="","",IF($J38=0,"n.b.",SUMIFS(STG_ZPMW03!$CC$6:$CC$505,STG_ZPMW03!$B$6:$B$505,$A38)))</f>
        <v/>
      </c>
      <c r="AE38" s="117" t="str">
        <f>IF($A38="","",IF($J38=0,"n.b.",SUMIFS(STG_ZPMW03!$CE$6:$CE$505,STG_ZPMW03!$B$6:$B$505,$A38)))</f>
        <v/>
      </c>
      <c r="AF38" s="117" t="str">
        <f>IF($A38="","",IF($J38=0,"n.b.",SUMIFS(STG_ZPMW03!$CG$6:$CG$505,STG_ZPMW03!$B$6:$B$505,$A38)))</f>
        <v/>
      </c>
      <c r="AG38" s="117" t="str">
        <f>IF($A38="","",IF($J38=0,"n.b.",SUMIFS(STG_ZPMW03!$CI$6:$CI$505,STG_ZPMW03!$B$6:$B$505,$A38)))</f>
        <v/>
      </c>
      <c r="AH38" s="117" t="str">
        <f>IF($A38="","",IF($J38=0,"n.b.",SUMIFS(STG_ZPMW03!$CK$6:$CK$505,STG_ZPMW03!$B$6:$B$505,$A38)))</f>
        <v/>
      </c>
      <c r="AI38" s="117" t="str">
        <f>IF($A38="","",IF($J38=0,"n.b.",SUMIFS(STG_ZPMW03!$CM$6:$CM$505,STG_ZPMW03!$B$6:$B$505,$A38)))</f>
        <v/>
      </c>
      <c r="AJ38" s="117" t="str">
        <f>IF($A38="","",IF($J38=0,"n.b.",SUMIFS(STG_ZPMW03!$CO$6:$CO$505,STG_ZPMW03!$B$6:$B$505,$A38)))</f>
        <v/>
      </c>
      <c r="AK38" s="117" t="str">
        <f>IF($A38="","",IF($J38=0,"n.b.",SUMIFS(STG_ZPMW03!$CQ$6:$CQ$505,STG_ZPMW03!$B$6:$B$505,$A38)))</f>
        <v/>
      </c>
      <c r="AL38" s="117" t="str">
        <f>IF($A38="","",IF($J38=0,"n.b.",SUMIFS(STG_ZPMW03!$CD$6:$CD$505,STG_ZPMW03!$B$6:$B$505,$A38)))</f>
        <v/>
      </c>
      <c r="AM38" s="117" t="str">
        <f>IF($A38="","",IF($J38=0,"n.b.",SUMIFS(STG_ZPMW03!$CF$6:$CF$505,STG_ZPMW03!$B$6:$B$505,$A38)))</f>
        <v/>
      </c>
      <c r="AN38" s="117" t="str">
        <f>IF($A38="","",IF($J38=0,"n.b.",SUMIFS(STG_ZPMW03!$CH$6:$CH$505,STG_ZPMW03!$B$6:$B$505,$A38)))</f>
        <v/>
      </c>
      <c r="AO38" s="117" t="str">
        <f>IF($A38="","",IF($J38=0,"n.b.",SUMIFS(STG_ZPMW03!$CJ$6:$CJ$505,STG_ZPMW03!$B$6:$B$505,$A38)))</f>
        <v/>
      </c>
      <c r="AP38" s="117" t="str">
        <f>IF($A38="","",IF($J38=0,"n.b.",SUMIFS(STG_ZPMW03!$CL$6:$CL$505,STG_ZPMW03!$B$6:$B$505,$A38)))</f>
        <v/>
      </c>
      <c r="AQ38" s="117" t="str">
        <f>IF($A38="","",IF($J38=0,"n.b.",SUMIFS(STG_ZPMW03!$CN$6:$CN$505,STG_ZPMW03!$B$6:$B$505,$A38)))</f>
        <v/>
      </c>
      <c r="AR38" s="117" t="str">
        <f>IF($A38="","",IF($J38=0,"n.b.",SUMIFS(STG_ZPMW03!$CP$6:$CP$505,STG_ZPMW03!$B$6:$B$505,$A38)))</f>
        <v/>
      </c>
      <c r="AS38" s="117" t="str">
        <f>IF($A38="","",IF($J38=0,"n.b.",SUMIFS(STG_ZPMW03!$CR$6:$CR$505,STG_ZPMW03!$B$6:$B$505,$A38)))</f>
        <v/>
      </c>
      <c r="AT38" s="117" t="str">
        <f>IF($A38="","",IF($K38=0,"n.b.",SUMIFS(STG_Woningetalage!$Q$6:$Q$505,STG_Woningetalage!$B$6:$B$505,$A38)))</f>
        <v/>
      </c>
      <c r="AU38" s="117" t="str">
        <f>IF($A38="","",IF($K38=0,"n.b.",SUMIFS(STG_Woningetalage!$R$6:$R$505,STG_Woningetalage!$B$6:$B$505,$A38)))</f>
        <v/>
      </c>
      <c r="AV38" s="117" t="str">
        <f>IF($A38="","",IF($K38=0,"n.b.",SUMIFS(STG_Woningetalage!$S$6:$S$505,STG_Woningetalage!$B$6:$B$505,$A38)))</f>
        <v/>
      </c>
      <c r="AW38" s="117" t="str">
        <f>IF($A38="","",IF($K38=0,"n.b.",SUMIFS(STG_Woningetalage!$T$6:$T$505,STG_Woningetalage!$B$6:$B$505,$A38)))</f>
        <v/>
      </c>
      <c r="AX38" s="117" t="str">
        <f>IF($A38="","",IF($K38=0,"n.b.",SUMIFS(STG_Woningetalage!$U$6:$U$505,STG_Woningetalage!$B$6:$B$505,$A38)))</f>
        <v/>
      </c>
      <c r="AY38" s="117" t="str">
        <f>IF($A38="","",IF($K38=0,"n.b.",SUMIFS(STG_Woningetalage!$V$6:$V$505,STG_Woningetalage!$B$6:$B$505,$A38)))</f>
        <v/>
      </c>
      <c r="AZ38" s="117" t="str">
        <f>IF($A38="","",IF($K38=0,"n.b.",SUMIFS(STG_Woningetalage!$W$6:$W$505,STG_Woningetalage!$B$6:$B$505,$A38)))</f>
        <v/>
      </c>
      <c r="BA38" s="117" t="str">
        <f>IF($A38="","",IF($K38=0,"n.b.",SUMIFS(STG_Woningetalage!$X$6:$X$505,STG_Woningetalage!$B$6:$B$505,$A38)))</f>
        <v/>
      </c>
      <c r="BB38" s="117" t="str">
        <f>IF($A38="","",IF($K38=0,"n.b.",SUMIFS(STG_Woningetalage!$Y$6:$Y$505,STG_Woningetalage!$B$6:$B$505,$A38)))</f>
        <v/>
      </c>
      <c r="BC38" s="117" t="str">
        <f>IF($A38="","",IF($K38=0,"n.b.",SUMIFS(STG_Woningetalage!$Z$6:$Z$505,STG_Woningetalage!$B$6:$B$505,$A38)))</f>
        <v/>
      </c>
      <c r="BD38" s="117" t="str">
        <f>IF($A38="","",IF($K38=0,"n.b.",SUMIFS(STG_Woningetalage!$AA$6:$AA$505,STG_Woningetalage!$B$6:$B$505,$A38)))</f>
        <v/>
      </c>
      <c r="BE38" s="117" t="str">
        <f>IF($A38="","",IF($K38=0,"n.b.",SUMIFS(STG_Woningetalage!$AB$6:$AB$505,STG_Woningetalage!$B$6:$B$505,$A38)))</f>
        <v/>
      </c>
      <c r="BF38" s="117" t="str">
        <f>IF($A38="","",IF($K38=0,"n.b.",SUMIFS(STG_Woningetalage!$AC$6:$AC$505,STG_Woningetalage!$B$6:$B$505,$A38)))</f>
        <v/>
      </c>
      <c r="BG38" s="117" t="str">
        <f>IF($A38="","",IF($K38=0,"n.b.",SUMIFS(STG_Woningetalage!$AD$6:$AD$505,STG_Woningetalage!$B$6:$B$505,$A38)))</f>
        <v/>
      </c>
      <c r="BH38" s="117" t="str">
        <f>IF($A38="","",IF($K38=0,"n.b.",SUMIFS(STG_Woningetalage!$AE$6:$AE$505,STG_Woningetalage!$B$6:$B$505,$A38)))</f>
        <v/>
      </c>
      <c r="BI38" s="117" t="str">
        <f>IF($A38="","",IF($K38=0,"n.b.",SUMIFS(STG_Woningetalage!$AF$6:$AF$505,STG_Woningetalage!$B$6:$B$505,$A38)))</f>
        <v/>
      </c>
      <c r="BJ38" s="117" t="str">
        <f>IF($A38="","",IF($K38=0,"n.b.",SUMIFS(STG_Woningetalage!$AG$6:$AG$505,STG_Woningetalage!$B$6:$B$505,$A38)))</f>
        <v/>
      </c>
      <c r="BK38" s="117" t="str">
        <f>IF($A38="","",IF($K38=0,"n.b.",SUMIFS(STG_Woningetalage!$AH$6:$AH$505,STG_Woningetalage!$B$6:$B$505,$A38)))</f>
        <v/>
      </c>
      <c r="BL38" s="117" t="str">
        <f>IF($A38="","",IF($K38=0,"n.b.",SUMIFS(STG_Woningetalage!$AI$6:$AI$505,STG_Woningetalage!$B$6:$B$505,$A38)))</f>
        <v/>
      </c>
      <c r="BM38" s="117" t="str">
        <f>IF($A38="","",IF($K38=0,"n.b.",SUMIFS(STG_Woningetalage!$AJ$6:$AJ$505,STG_Woningetalage!$B$6:$B$505,$A38)))</f>
        <v/>
      </c>
      <c r="BN38" s="117" t="str">
        <f>IF($A38="","",IF($K38=0,"n.b.",SUMIFS(STG_Woningetalage!$AK$6:$AK$505,STG_Woningetalage!$B$6:$B$505,$A38)))</f>
        <v/>
      </c>
      <c r="BO38" s="117" t="str">
        <f>IF($A38="","",IF($K38=0,"n.b.",SUMIFS(STG_Woningetalage!$AL$6:$AL$505,STG_Woningetalage!$B$6:$B$505,$A38)))</f>
        <v/>
      </c>
      <c r="BP38" s="117" t="str">
        <f>IF($A38="","",IF($K38=0,"n.b.",SUMIFS(STG_Woningetalage!$AM$6:$AM$505,STG_Woningetalage!$B$6:$B$505,$A38)))</f>
        <v/>
      </c>
      <c r="BQ38" s="117" t="str">
        <f>IF($A38="","",IF($K38=0,"n.b.",SUMIFS(STG_Woningetalage!$BE$6:$BE$505,STG_Woningetalage!$B$6:$B$505,$A38)))</f>
        <v/>
      </c>
      <c r="BR38" s="117" t="str">
        <f>IF($A38="","",IF($K38=0,"n.b.",SUMIFS(STG_Woningetalage!$BF$6:$BF$505,STG_Woningetalage!$B$6:$B$505,$A38)))</f>
        <v/>
      </c>
      <c r="BS38" s="117" t="str">
        <f>IF($A38="","",IF($K38=0,"n.b.",SUMIFS(STG_Woningetalage!$BG$6:$BG$505,STG_Woningetalage!$B$6:$B$505,$A38)))</f>
        <v/>
      </c>
      <c r="BT38" s="117" t="str">
        <f>IF($A38="","",IF($K38=0,"n.b.",SUMIFS(STG_Woningetalage!$BH$6:$BH$505,STG_Woningetalage!$B$6:$B$505,$A38)))</f>
        <v/>
      </c>
      <c r="BU38" s="117" t="str">
        <f>IF($A38="","",IF($K38=0,"n.b.",SUMIFS(STG_Woningetalage!$BI$6:$BI$505,STG_Woningetalage!$B$6:$B$505,$A38)))</f>
        <v/>
      </c>
      <c r="BV38" s="117" t="str">
        <f>IF($A38="","",IF($K38=0,"n.b.",SUMIFS(STG_Woningetalage!$BJ$6:$BJ$505,STG_Woningetalage!$B$6:$B$505,$A38)))</f>
        <v/>
      </c>
      <c r="BW38" s="117" t="str">
        <f>IF($A38="","",IF($K38=0,"n.b.",SUMIFS(STG_Woningetalage!$AR$6:$AR$505,STG_Woningetalage!$B$6:$B$505,$A38)))</f>
        <v/>
      </c>
      <c r="BX38" s="117" t="str">
        <f>IF($A38="","",IF($K38=0,"n.b.",SUMIFS(STG_Woningetalage!$AS$6:$AS$505,STG_Woningetalage!$B$6:$B$505,$A38)))</f>
        <v/>
      </c>
      <c r="BY38" s="117" t="str">
        <f>IF($A38="","",IF($K38=0,"n.b.",SUMIFS(STG_Woningetalage!$AN$6:$AN$505,STG_Woningetalage!$B$6:$B$505,$A38)))</f>
        <v/>
      </c>
      <c r="BZ38" s="117" t="str">
        <f>IF($A38="","",IF($K38=0,"n.b.",SUMIFS(STG_Woningetalage!$AO$6:$AO$505,STG_Woningetalage!$B$6:$B$505,$A38)))</f>
        <v/>
      </c>
      <c r="CA38" s="117" t="str">
        <f>IF($A38="","",IF($K38=0,"n.b.",SUMIFS(STG_Woningetalage!$AP$6:$AP$505,STG_Woningetalage!$B$6:$B$505,$A38)))</f>
        <v/>
      </c>
      <c r="CB38" s="117" t="str">
        <f>IF($A38="","",IF($K38=0,"n.b.",SUMIFS(STG_Woningetalage!$AQ$6:$AQ$505,STG_Woningetalage!$B$6:$B$505,$A38)))</f>
        <v/>
      </c>
      <c r="CC38" s="117" t="str">
        <f>IF($A38="","",IF($K38=0,"n.b.",SUMIFS(STG_Woningetalage!$AU$6:$AU$505,STG_Woningetalage!$B$6:$B$505,$A38)))</f>
        <v/>
      </c>
      <c r="CD38" s="92" t="str">
        <f>IF($A38="","",IFERROR(INDEX(STG_ZPMW03!$L$6:$L$505,MATCH($A38,STG_ZPMW03!$B$6:$B$505,0)),"n.b."))</f>
        <v/>
      </c>
      <c r="CE38" s="92" t="str">
        <f>IF($A38="","",IFERROR(INDEX(STG_ZPMW03!$K$6:$K$505,MATCH($A38,STG_ZPMW03!$B$6:$B$505,0)),"n.b."))</f>
        <v/>
      </c>
      <c r="CF38" s="92" t="str">
        <f>IF($A38="","",IFERROR(INDEX(STG_ZPMW03!$BH$6:$BH$505,MATCH($A38,STG_ZPMW03!$B$6:$B$505,0)),"n.b."))</f>
        <v/>
      </c>
      <c r="CG38" s="92" t="str">
        <f>IF($A38="","",IFERROR(INDEX(STG_ZPMW03!$BI$6:$BI$505,MATCH($A38,STG_ZPMW03!$B$6:$B$505,0)),"n.b."))</f>
        <v/>
      </c>
      <c r="CH38" s="92" t="str">
        <f>IF($A38="","",IFERROR(INDEX(STG_ZPMW03!$BJ$6:$BJ$505,MATCH($A38,STG_ZPMW03!$B$6:$B$505,0)),"n.b."))</f>
        <v/>
      </c>
      <c r="CI38" s="92" t="str">
        <f>IF($A38="","",IFERROR(INDEX(STG_ZPMW03!$BF$6:$BF$505,MATCH($A38,STG_ZPMW03!$B$6:$B$505,0)),"n.b."))</f>
        <v/>
      </c>
      <c r="CJ38" s="92" t="str">
        <f>IF($A38="","",IFERROR(INDEX(STG_ZPMW03!$BG$6:$BG$505,MATCH($A38,STG_ZPMW03!$B$6:$B$505,0)),"n.b."))</f>
        <v/>
      </c>
      <c r="CK38" s="92" t="str">
        <f>IF($A38="","",IFERROR(INDEX(STG_ZPMW03!$H$6:$H$505,MATCH($A38,STG_ZPMW03!$B$6:$B$505,0)),"n.b."))</f>
        <v/>
      </c>
      <c r="CL38" s="92" t="str">
        <f>IF($A38="","",IFERROR(INDEX(STG_ZPMW03!$E$6:$E$505,MATCH($A38,STG_ZPMW03!$B$6:$B$505,0)),"n.b."))</f>
        <v/>
      </c>
      <c r="CM38" s="92" t="str">
        <f>IF($A38="","",IFERROR(INDEX(STG_ZPMW03!$G$6:$G$505,MATCH($A38,STG_ZPMW03!$B$6:$B$505,0)),"n.b."))</f>
        <v/>
      </c>
      <c r="CN38" s="92" t="str">
        <f>IF($A38="","",IFERROR(INDEX(STG_Woningetalage!$N$6:$N$505,MATCH($A38,STG_Woningetalage!$B$6:$B$505,0)),"n.b."))</f>
        <v/>
      </c>
      <c r="CO38" s="92" t="str">
        <f>IF($A38="","",IFERROR(INDEX(STG_Woningetalage!$P$6:$P$505,MATCH($A38,STG_Woningetalage!$B$6:$B$505,0)),"n.b."))</f>
        <v/>
      </c>
      <c r="CP38" s="118" t="str">
        <f>IF($A38="","",IF(AND(ISNUMBER(AT38),ISNUMBER(F38)),IF(F38&gt;0,AT38/(F38/100),"n.b."),"n.b."))</f>
        <v/>
      </c>
      <c r="CQ38" s="116" t="str">
        <f>IF($A38="","",IF(ISNUMBER(Q38),IF(Q38&lt;0,1,0),0))</f>
        <v/>
      </c>
      <c r="CR38" s="116" t="str">
        <f>IF(CQ38=1,COUNTIF($CQ$6:CQ38,1),"")</f>
        <v/>
      </c>
      <c r="CS38" s="116" t="str">
        <f>IF(AND($A38&lt;&gt;"",$J38=0),COUNTIFS($A$6:$A38,"?*",$J$6:$J38,0),"")</f>
        <v/>
      </c>
      <c r="CT38" s="119" t="str">
        <f>IF($A38="","",IF(AND(ISNUMBER(Q38),ISNUMBER(P38)),IF(P38&lt;&gt;0,Q38/P38,"n.b."),"n.b."))</f>
        <v/>
      </c>
    </row>
    <row r="39">
      <c r="A39" s="92" t="str">
        <f>IF(Mapping!$A38="","",Mapping!$A38)</f>
        <v/>
      </c>
      <c r="B39" s="92" t="str">
        <f>IF(Mapping!$B38="","",Mapping!$B38)</f>
        <v/>
      </c>
      <c r="C39" s="92" t="str">
        <f>IF(Mapping!$C38="","",Mapping!$C38)</f>
        <v/>
      </c>
      <c r="D39" s="92" t="str">
        <f>IF(Mapping!$F38="","",Mapping!$F38)</f>
        <v/>
      </c>
      <c r="E39" s="92" t="str">
        <f>IF(Mapping!$H38="","",Mapping!$H38)</f>
        <v/>
      </c>
      <c r="F39" s="92" t="str">
        <f>IF(Mapping!$E38="","",Mapping!$E38)</f>
        <v/>
      </c>
      <c r="G39" s="92" t="str">
        <f>IF(Mapping!$G38="","",Mapping!$G38)</f>
        <v/>
      </c>
      <c r="H39" s="92" t="str">
        <f>IF(Mapping!$D38="","",Mapping!$D38)</f>
        <v/>
      </c>
      <c r="I39" s="92" t="str">
        <f>IF($A39="","",IFERROR(INDEX(STG_ZPMW03!$C$6:$C$505,MATCH($A39,STG_ZPMW03!$B$6:$B$505,0)),"n.b."))</f>
        <v/>
      </c>
      <c r="J39" s="116" t="str">
        <f>IF($A39="","",COUNTIF(STG_ZPMW03!$B$6:$B$505,$A39))</f>
        <v/>
      </c>
      <c r="K39" s="116" t="str">
        <f>IF($A39="","",COUNTIF(STG_Woningetalage!$B$6:$B$505,$A39))</f>
        <v/>
      </c>
      <c r="L39" s="117" t="str">
        <f>IF($A39="","",IF($J39=0,"n.b.",SUMIFS(STG_ZPMW03!$BK$6:$BK$505,STG_ZPMW03!$B$6:$B$505,$A39)))</f>
        <v/>
      </c>
      <c r="M39" s="117" t="str">
        <f>IF($A39="","",IF($J39=0,"n.b.",SUMIFS(STG_ZPMW03!$BL$6:$BL$505,STG_ZPMW03!$B$6:$B$505,$A39)))</f>
        <v/>
      </c>
      <c r="N39" s="117" t="str">
        <f>IF($A39="","",IF($J39=0,"n.b.",SUMIFS(STG_ZPMW03!$BM$6:$BM$505,STG_ZPMW03!$B$6:$B$505,$A39)))</f>
        <v/>
      </c>
      <c r="O39" s="117" t="str">
        <f>IF($A39="","",IF($J39=0,"n.b.",SUMIFS(STG_ZPMW03!$BN$6:$BN$505,STG_ZPMW03!$B$6:$B$505,$A39)))</f>
        <v/>
      </c>
      <c r="P39" s="117" t="str">
        <f>IF($A39="","",IF($J39=0,"n.b.",SUMIFS(STG_ZPMW03!$BO$6:$BO$505,STG_ZPMW03!$B$6:$B$505,$A39)))</f>
        <v/>
      </c>
      <c r="Q39" s="117" t="str">
        <f>IF($A39="","",IF($J39=0,"n.b.",SUMIFS(STG_ZPMW03!$BP$6:$BP$505,STG_ZPMW03!$B$6:$B$505,$A39)))</f>
        <v/>
      </c>
      <c r="R39" s="117" t="str">
        <f>IF($A39="","",IF($J39=0,"n.b.",SUMIFS(STG_ZPMW03!$BQ$6:$BQ$505,STG_ZPMW03!$B$6:$B$505,$A39)))</f>
        <v/>
      </c>
      <c r="S39" s="117" t="str">
        <f>IF($A39="","",IF($J39=0,"n.b.",SUMIFS(STG_ZPMW03!$BR$6:$BR$505,STG_ZPMW03!$B$6:$B$505,$A39)))</f>
        <v/>
      </c>
      <c r="T39" s="117" t="str">
        <f>IF($A39="","",IF($J39=0,"n.b.",SUMIFS(STG_ZPMW03!$BS$6:$BS$505,STG_ZPMW03!$B$6:$B$505,$A39)))</f>
        <v/>
      </c>
      <c r="U39" s="117" t="str">
        <f>IF($A39="","",IF($J39=0,"n.b.",SUMIFS(STG_ZPMW03!$BT$6:$BT$505,STG_ZPMW03!$B$6:$B$505,$A39)))</f>
        <v/>
      </c>
      <c r="V39" s="117" t="str">
        <f>IF($A39="","",IF($J39=0,"n.b.",SUMIFS(STG_ZPMW03!$BU$6:$BU$505,STG_ZPMW03!$B$6:$B$505,$A39)))</f>
        <v/>
      </c>
      <c r="W39" s="117" t="str">
        <f>IF($A39="","",IF($J39=0,"n.b.",SUMIFS(STG_ZPMW03!$BW$6:$BW$505,STG_ZPMW03!$B$6:$B$505,$A39)))</f>
        <v/>
      </c>
      <c r="X39" s="117" t="str">
        <f>IF($A39="","",IF($J39=0,"n.b.",SUMIFS(STG_ZPMW03!$BY$6:$BY$505,STG_ZPMW03!$B$6:$B$505,$A39)))</f>
        <v/>
      </c>
      <c r="Y39" s="117" t="str">
        <f>IF($A39="","",IF($J39=0,"n.b.",SUMIFS(STG_ZPMW03!$CA$6:$CA$505,STG_ZPMW03!$B$6:$B$505,$A39)))</f>
        <v/>
      </c>
      <c r="Z39" s="117" t="str">
        <f>IF($A39="","",IF($J39=0,"n.b.",SUMIFS(STG_ZPMW03!$BV$6:$BV$505,STG_ZPMW03!$B$6:$B$505,$A39)))</f>
        <v/>
      </c>
      <c r="AA39" s="117" t="str">
        <f>IF($A39="","",IF($J39=0,"n.b.",SUMIFS(STG_ZPMW03!$BX$6:$BX$505,STG_ZPMW03!$B$6:$B$505,$A39)))</f>
        <v/>
      </c>
      <c r="AB39" s="117" t="str">
        <f>IF($A39="","",IF($J39=0,"n.b.",SUMIFS(STG_ZPMW03!$BZ$6:$BZ$505,STG_ZPMW03!$B$6:$B$505,$A39)))</f>
        <v/>
      </c>
      <c r="AC39" s="117" t="str">
        <f>IF($A39="","",IF($J39=0,"n.b.",SUMIFS(STG_ZPMW03!$CB$6:$CB$505,STG_ZPMW03!$B$6:$B$505,$A39)))</f>
        <v/>
      </c>
      <c r="AD39" s="117" t="str">
        <f>IF($A39="","",IF($J39=0,"n.b.",SUMIFS(STG_ZPMW03!$CC$6:$CC$505,STG_ZPMW03!$B$6:$B$505,$A39)))</f>
        <v/>
      </c>
      <c r="AE39" s="117" t="str">
        <f>IF($A39="","",IF($J39=0,"n.b.",SUMIFS(STG_ZPMW03!$CE$6:$CE$505,STG_ZPMW03!$B$6:$B$505,$A39)))</f>
        <v/>
      </c>
      <c r="AF39" s="117" t="str">
        <f>IF($A39="","",IF($J39=0,"n.b.",SUMIFS(STG_ZPMW03!$CG$6:$CG$505,STG_ZPMW03!$B$6:$B$505,$A39)))</f>
        <v/>
      </c>
      <c r="AG39" s="117" t="str">
        <f>IF($A39="","",IF($J39=0,"n.b.",SUMIFS(STG_ZPMW03!$CI$6:$CI$505,STG_ZPMW03!$B$6:$B$505,$A39)))</f>
        <v/>
      </c>
      <c r="AH39" s="117" t="str">
        <f>IF($A39="","",IF($J39=0,"n.b.",SUMIFS(STG_ZPMW03!$CK$6:$CK$505,STG_ZPMW03!$B$6:$B$505,$A39)))</f>
        <v/>
      </c>
      <c r="AI39" s="117" t="str">
        <f>IF($A39="","",IF($J39=0,"n.b.",SUMIFS(STG_ZPMW03!$CM$6:$CM$505,STG_ZPMW03!$B$6:$B$505,$A39)))</f>
        <v/>
      </c>
      <c r="AJ39" s="117" t="str">
        <f>IF($A39="","",IF($J39=0,"n.b.",SUMIFS(STG_ZPMW03!$CO$6:$CO$505,STG_ZPMW03!$B$6:$B$505,$A39)))</f>
        <v/>
      </c>
      <c r="AK39" s="117" t="str">
        <f>IF($A39="","",IF($J39=0,"n.b.",SUMIFS(STG_ZPMW03!$CQ$6:$CQ$505,STG_ZPMW03!$B$6:$B$505,$A39)))</f>
        <v/>
      </c>
      <c r="AL39" s="117" t="str">
        <f>IF($A39="","",IF($J39=0,"n.b.",SUMIFS(STG_ZPMW03!$CD$6:$CD$505,STG_ZPMW03!$B$6:$B$505,$A39)))</f>
        <v/>
      </c>
      <c r="AM39" s="117" t="str">
        <f>IF($A39="","",IF($J39=0,"n.b.",SUMIFS(STG_ZPMW03!$CF$6:$CF$505,STG_ZPMW03!$B$6:$B$505,$A39)))</f>
        <v/>
      </c>
      <c r="AN39" s="117" t="str">
        <f>IF($A39="","",IF($J39=0,"n.b.",SUMIFS(STG_ZPMW03!$CH$6:$CH$505,STG_ZPMW03!$B$6:$B$505,$A39)))</f>
        <v/>
      </c>
      <c r="AO39" s="117" t="str">
        <f>IF($A39="","",IF($J39=0,"n.b.",SUMIFS(STG_ZPMW03!$CJ$6:$CJ$505,STG_ZPMW03!$B$6:$B$505,$A39)))</f>
        <v/>
      </c>
      <c r="AP39" s="117" t="str">
        <f>IF($A39="","",IF($J39=0,"n.b.",SUMIFS(STG_ZPMW03!$CL$6:$CL$505,STG_ZPMW03!$B$6:$B$505,$A39)))</f>
        <v/>
      </c>
      <c r="AQ39" s="117" t="str">
        <f>IF($A39="","",IF($J39=0,"n.b.",SUMIFS(STG_ZPMW03!$CN$6:$CN$505,STG_ZPMW03!$B$6:$B$505,$A39)))</f>
        <v/>
      </c>
      <c r="AR39" s="117" t="str">
        <f>IF($A39="","",IF($J39=0,"n.b.",SUMIFS(STG_ZPMW03!$CP$6:$CP$505,STG_ZPMW03!$B$6:$B$505,$A39)))</f>
        <v/>
      </c>
      <c r="AS39" s="117" t="str">
        <f>IF($A39="","",IF($J39=0,"n.b.",SUMIFS(STG_ZPMW03!$CR$6:$CR$505,STG_ZPMW03!$B$6:$B$505,$A39)))</f>
        <v/>
      </c>
      <c r="AT39" s="117" t="str">
        <f>IF($A39="","",IF($K39=0,"n.b.",SUMIFS(STG_Woningetalage!$Q$6:$Q$505,STG_Woningetalage!$B$6:$B$505,$A39)))</f>
        <v/>
      </c>
      <c r="AU39" s="117" t="str">
        <f>IF($A39="","",IF($K39=0,"n.b.",SUMIFS(STG_Woningetalage!$R$6:$R$505,STG_Woningetalage!$B$6:$B$505,$A39)))</f>
        <v/>
      </c>
      <c r="AV39" s="117" t="str">
        <f>IF($A39="","",IF($K39=0,"n.b.",SUMIFS(STG_Woningetalage!$S$6:$S$505,STG_Woningetalage!$B$6:$B$505,$A39)))</f>
        <v/>
      </c>
      <c r="AW39" s="117" t="str">
        <f>IF($A39="","",IF($K39=0,"n.b.",SUMIFS(STG_Woningetalage!$T$6:$T$505,STG_Woningetalage!$B$6:$B$505,$A39)))</f>
        <v/>
      </c>
      <c r="AX39" s="117" t="str">
        <f>IF($A39="","",IF($K39=0,"n.b.",SUMIFS(STG_Woningetalage!$U$6:$U$505,STG_Woningetalage!$B$6:$B$505,$A39)))</f>
        <v/>
      </c>
      <c r="AY39" s="117" t="str">
        <f>IF($A39="","",IF($K39=0,"n.b.",SUMIFS(STG_Woningetalage!$V$6:$V$505,STG_Woningetalage!$B$6:$B$505,$A39)))</f>
        <v/>
      </c>
      <c r="AZ39" s="117" t="str">
        <f>IF($A39="","",IF($K39=0,"n.b.",SUMIFS(STG_Woningetalage!$W$6:$W$505,STG_Woningetalage!$B$6:$B$505,$A39)))</f>
        <v/>
      </c>
      <c r="BA39" s="117" t="str">
        <f>IF($A39="","",IF($K39=0,"n.b.",SUMIFS(STG_Woningetalage!$X$6:$X$505,STG_Woningetalage!$B$6:$B$505,$A39)))</f>
        <v/>
      </c>
      <c r="BB39" s="117" t="str">
        <f>IF($A39="","",IF($K39=0,"n.b.",SUMIFS(STG_Woningetalage!$Y$6:$Y$505,STG_Woningetalage!$B$6:$B$505,$A39)))</f>
        <v/>
      </c>
      <c r="BC39" s="117" t="str">
        <f>IF($A39="","",IF($K39=0,"n.b.",SUMIFS(STG_Woningetalage!$Z$6:$Z$505,STG_Woningetalage!$B$6:$B$505,$A39)))</f>
        <v/>
      </c>
      <c r="BD39" s="117" t="str">
        <f>IF($A39="","",IF($K39=0,"n.b.",SUMIFS(STG_Woningetalage!$AA$6:$AA$505,STG_Woningetalage!$B$6:$B$505,$A39)))</f>
        <v/>
      </c>
      <c r="BE39" s="117" t="str">
        <f>IF($A39="","",IF($K39=0,"n.b.",SUMIFS(STG_Woningetalage!$AB$6:$AB$505,STG_Woningetalage!$B$6:$B$505,$A39)))</f>
        <v/>
      </c>
      <c r="BF39" s="117" t="str">
        <f>IF($A39="","",IF($K39=0,"n.b.",SUMIFS(STG_Woningetalage!$AC$6:$AC$505,STG_Woningetalage!$B$6:$B$505,$A39)))</f>
        <v/>
      </c>
      <c r="BG39" s="117" t="str">
        <f>IF($A39="","",IF($K39=0,"n.b.",SUMIFS(STG_Woningetalage!$AD$6:$AD$505,STG_Woningetalage!$B$6:$B$505,$A39)))</f>
        <v/>
      </c>
      <c r="BH39" s="117" t="str">
        <f>IF($A39="","",IF($K39=0,"n.b.",SUMIFS(STG_Woningetalage!$AE$6:$AE$505,STG_Woningetalage!$B$6:$B$505,$A39)))</f>
        <v/>
      </c>
      <c r="BI39" s="117" t="str">
        <f>IF($A39="","",IF($K39=0,"n.b.",SUMIFS(STG_Woningetalage!$AF$6:$AF$505,STG_Woningetalage!$B$6:$B$505,$A39)))</f>
        <v/>
      </c>
      <c r="BJ39" s="117" t="str">
        <f>IF($A39="","",IF($K39=0,"n.b.",SUMIFS(STG_Woningetalage!$AG$6:$AG$505,STG_Woningetalage!$B$6:$B$505,$A39)))</f>
        <v/>
      </c>
      <c r="BK39" s="117" t="str">
        <f>IF($A39="","",IF($K39=0,"n.b.",SUMIFS(STG_Woningetalage!$AH$6:$AH$505,STG_Woningetalage!$B$6:$B$505,$A39)))</f>
        <v/>
      </c>
      <c r="BL39" s="117" t="str">
        <f>IF($A39="","",IF($K39=0,"n.b.",SUMIFS(STG_Woningetalage!$AI$6:$AI$505,STG_Woningetalage!$B$6:$B$505,$A39)))</f>
        <v/>
      </c>
      <c r="BM39" s="117" t="str">
        <f>IF($A39="","",IF($K39=0,"n.b.",SUMIFS(STG_Woningetalage!$AJ$6:$AJ$505,STG_Woningetalage!$B$6:$B$505,$A39)))</f>
        <v/>
      </c>
      <c r="BN39" s="117" t="str">
        <f>IF($A39="","",IF($K39=0,"n.b.",SUMIFS(STG_Woningetalage!$AK$6:$AK$505,STG_Woningetalage!$B$6:$B$505,$A39)))</f>
        <v/>
      </c>
      <c r="BO39" s="117" t="str">
        <f>IF($A39="","",IF($K39=0,"n.b.",SUMIFS(STG_Woningetalage!$AL$6:$AL$505,STG_Woningetalage!$B$6:$B$505,$A39)))</f>
        <v/>
      </c>
      <c r="BP39" s="117" t="str">
        <f>IF($A39="","",IF($K39=0,"n.b.",SUMIFS(STG_Woningetalage!$AM$6:$AM$505,STG_Woningetalage!$B$6:$B$505,$A39)))</f>
        <v/>
      </c>
      <c r="BQ39" s="117" t="str">
        <f>IF($A39="","",IF($K39=0,"n.b.",SUMIFS(STG_Woningetalage!$BE$6:$BE$505,STG_Woningetalage!$B$6:$B$505,$A39)))</f>
        <v/>
      </c>
      <c r="BR39" s="117" t="str">
        <f>IF($A39="","",IF($K39=0,"n.b.",SUMIFS(STG_Woningetalage!$BF$6:$BF$505,STG_Woningetalage!$B$6:$B$505,$A39)))</f>
        <v/>
      </c>
      <c r="BS39" s="117" t="str">
        <f>IF($A39="","",IF($K39=0,"n.b.",SUMIFS(STG_Woningetalage!$BG$6:$BG$505,STG_Woningetalage!$B$6:$B$505,$A39)))</f>
        <v/>
      </c>
      <c r="BT39" s="117" t="str">
        <f>IF($A39="","",IF($K39=0,"n.b.",SUMIFS(STG_Woningetalage!$BH$6:$BH$505,STG_Woningetalage!$B$6:$B$505,$A39)))</f>
        <v/>
      </c>
      <c r="BU39" s="117" t="str">
        <f>IF($A39="","",IF($K39=0,"n.b.",SUMIFS(STG_Woningetalage!$BI$6:$BI$505,STG_Woningetalage!$B$6:$B$505,$A39)))</f>
        <v/>
      </c>
      <c r="BV39" s="117" t="str">
        <f>IF($A39="","",IF($K39=0,"n.b.",SUMIFS(STG_Woningetalage!$BJ$6:$BJ$505,STG_Woningetalage!$B$6:$B$505,$A39)))</f>
        <v/>
      </c>
      <c r="BW39" s="117" t="str">
        <f>IF($A39="","",IF($K39=0,"n.b.",SUMIFS(STG_Woningetalage!$AR$6:$AR$505,STG_Woningetalage!$B$6:$B$505,$A39)))</f>
        <v/>
      </c>
      <c r="BX39" s="117" t="str">
        <f>IF($A39="","",IF($K39=0,"n.b.",SUMIFS(STG_Woningetalage!$AS$6:$AS$505,STG_Woningetalage!$B$6:$B$505,$A39)))</f>
        <v/>
      </c>
      <c r="BY39" s="117" t="str">
        <f>IF($A39="","",IF($K39=0,"n.b.",SUMIFS(STG_Woningetalage!$AN$6:$AN$505,STG_Woningetalage!$B$6:$B$505,$A39)))</f>
        <v/>
      </c>
      <c r="BZ39" s="117" t="str">
        <f>IF($A39="","",IF($K39=0,"n.b.",SUMIFS(STG_Woningetalage!$AO$6:$AO$505,STG_Woningetalage!$B$6:$B$505,$A39)))</f>
        <v/>
      </c>
      <c r="CA39" s="117" t="str">
        <f>IF($A39="","",IF($K39=0,"n.b.",SUMIFS(STG_Woningetalage!$AP$6:$AP$505,STG_Woningetalage!$B$6:$B$505,$A39)))</f>
        <v/>
      </c>
      <c r="CB39" s="117" t="str">
        <f>IF($A39="","",IF($K39=0,"n.b.",SUMIFS(STG_Woningetalage!$AQ$6:$AQ$505,STG_Woningetalage!$B$6:$B$505,$A39)))</f>
        <v/>
      </c>
      <c r="CC39" s="117" t="str">
        <f>IF($A39="","",IF($K39=0,"n.b.",SUMIFS(STG_Woningetalage!$AU$6:$AU$505,STG_Woningetalage!$B$6:$B$505,$A39)))</f>
        <v/>
      </c>
      <c r="CD39" s="92" t="str">
        <f>IF($A39="","",IFERROR(INDEX(STG_ZPMW03!$L$6:$L$505,MATCH($A39,STG_ZPMW03!$B$6:$B$505,0)),"n.b."))</f>
        <v/>
      </c>
      <c r="CE39" s="92" t="str">
        <f>IF($A39="","",IFERROR(INDEX(STG_ZPMW03!$K$6:$K$505,MATCH($A39,STG_ZPMW03!$B$6:$B$505,0)),"n.b."))</f>
        <v/>
      </c>
      <c r="CF39" s="92" t="str">
        <f>IF($A39="","",IFERROR(INDEX(STG_ZPMW03!$BH$6:$BH$505,MATCH($A39,STG_ZPMW03!$B$6:$B$505,0)),"n.b."))</f>
        <v/>
      </c>
      <c r="CG39" s="92" t="str">
        <f>IF($A39="","",IFERROR(INDEX(STG_ZPMW03!$BI$6:$BI$505,MATCH($A39,STG_ZPMW03!$B$6:$B$505,0)),"n.b."))</f>
        <v/>
      </c>
      <c r="CH39" s="92" t="str">
        <f>IF($A39="","",IFERROR(INDEX(STG_ZPMW03!$BJ$6:$BJ$505,MATCH($A39,STG_ZPMW03!$B$6:$B$505,0)),"n.b."))</f>
        <v/>
      </c>
      <c r="CI39" s="92" t="str">
        <f>IF($A39="","",IFERROR(INDEX(STG_ZPMW03!$BF$6:$BF$505,MATCH($A39,STG_ZPMW03!$B$6:$B$505,0)),"n.b."))</f>
        <v/>
      </c>
      <c r="CJ39" s="92" t="str">
        <f>IF($A39="","",IFERROR(INDEX(STG_ZPMW03!$BG$6:$BG$505,MATCH($A39,STG_ZPMW03!$B$6:$B$505,0)),"n.b."))</f>
        <v/>
      </c>
      <c r="CK39" s="92" t="str">
        <f>IF($A39="","",IFERROR(INDEX(STG_ZPMW03!$H$6:$H$505,MATCH($A39,STG_ZPMW03!$B$6:$B$505,0)),"n.b."))</f>
        <v/>
      </c>
      <c r="CL39" s="92" t="str">
        <f>IF($A39="","",IFERROR(INDEX(STG_ZPMW03!$E$6:$E$505,MATCH($A39,STG_ZPMW03!$B$6:$B$505,0)),"n.b."))</f>
        <v/>
      </c>
      <c r="CM39" s="92" t="str">
        <f>IF($A39="","",IFERROR(INDEX(STG_ZPMW03!$G$6:$G$505,MATCH($A39,STG_ZPMW03!$B$6:$B$505,0)),"n.b."))</f>
        <v/>
      </c>
      <c r="CN39" s="92" t="str">
        <f>IF($A39="","",IFERROR(INDEX(STG_Woningetalage!$N$6:$N$505,MATCH($A39,STG_Woningetalage!$B$6:$B$505,0)),"n.b."))</f>
        <v/>
      </c>
      <c r="CO39" s="92" t="str">
        <f>IF($A39="","",IFERROR(INDEX(STG_Woningetalage!$P$6:$P$505,MATCH($A39,STG_Woningetalage!$B$6:$B$505,0)),"n.b."))</f>
        <v/>
      </c>
      <c r="CP39" s="118" t="str">
        <f>IF($A39="","",IF(AND(ISNUMBER(AT39),ISNUMBER(F39)),IF(F39&gt;0,AT39/(F39/100),"n.b."),"n.b."))</f>
        <v/>
      </c>
      <c r="CQ39" s="116" t="str">
        <f>IF($A39="","",IF(ISNUMBER(Q39),IF(Q39&lt;0,1,0),0))</f>
        <v/>
      </c>
      <c r="CR39" s="116" t="str">
        <f>IF(CQ39=1,COUNTIF($CQ$6:CQ39,1),"")</f>
        <v/>
      </c>
      <c r="CS39" s="116" t="str">
        <f>IF(AND($A39&lt;&gt;"",$J39=0),COUNTIFS($A$6:$A39,"?*",$J$6:$J39,0),"")</f>
        <v/>
      </c>
      <c r="CT39" s="119" t="str">
        <f>IF($A39="","",IF(AND(ISNUMBER(Q39),ISNUMBER(P39)),IF(P39&lt;&gt;0,Q39/P39,"n.b."),"n.b."))</f>
        <v/>
      </c>
    </row>
    <row r="40">
      <c r="A40" s="92" t="str">
        <f>IF(Mapping!$A39="","",Mapping!$A39)</f>
        <v/>
      </c>
      <c r="B40" s="92" t="str">
        <f>IF(Mapping!$B39="","",Mapping!$B39)</f>
        <v/>
      </c>
      <c r="C40" s="92" t="str">
        <f>IF(Mapping!$C39="","",Mapping!$C39)</f>
        <v/>
      </c>
      <c r="D40" s="92" t="str">
        <f>IF(Mapping!$F39="","",Mapping!$F39)</f>
        <v/>
      </c>
      <c r="E40" s="92" t="str">
        <f>IF(Mapping!$H39="","",Mapping!$H39)</f>
        <v/>
      </c>
      <c r="F40" s="92" t="str">
        <f>IF(Mapping!$E39="","",Mapping!$E39)</f>
        <v/>
      </c>
      <c r="G40" s="92" t="str">
        <f>IF(Mapping!$G39="","",Mapping!$G39)</f>
        <v/>
      </c>
      <c r="H40" s="92" t="str">
        <f>IF(Mapping!$D39="","",Mapping!$D39)</f>
        <v/>
      </c>
      <c r="I40" s="92" t="str">
        <f>IF($A40="","",IFERROR(INDEX(STG_ZPMW03!$C$6:$C$505,MATCH($A40,STG_ZPMW03!$B$6:$B$505,0)),"n.b."))</f>
        <v/>
      </c>
      <c r="J40" s="116" t="str">
        <f>IF($A40="","",COUNTIF(STG_ZPMW03!$B$6:$B$505,$A40))</f>
        <v/>
      </c>
      <c r="K40" s="116" t="str">
        <f>IF($A40="","",COUNTIF(STG_Woningetalage!$B$6:$B$505,$A40))</f>
        <v/>
      </c>
      <c r="L40" s="117" t="str">
        <f>IF($A40="","",IF($J40=0,"n.b.",SUMIFS(STG_ZPMW03!$BK$6:$BK$505,STG_ZPMW03!$B$6:$B$505,$A40)))</f>
        <v/>
      </c>
      <c r="M40" s="117" t="str">
        <f>IF($A40="","",IF($J40=0,"n.b.",SUMIFS(STG_ZPMW03!$BL$6:$BL$505,STG_ZPMW03!$B$6:$B$505,$A40)))</f>
        <v/>
      </c>
      <c r="N40" s="117" t="str">
        <f>IF($A40="","",IF($J40=0,"n.b.",SUMIFS(STG_ZPMW03!$BM$6:$BM$505,STG_ZPMW03!$B$6:$B$505,$A40)))</f>
        <v/>
      </c>
      <c r="O40" s="117" t="str">
        <f>IF($A40="","",IF($J40=0,"n.b.",SUMIFS(STG_ZPMW03!$BN$6:$BN$505,STG_ZPMW03!$B$6:$B$505,$A40)))</f>
        <v/>
      </c>
      <c r="P40" s="117" t="str">
        <f>IF($A40="","",IF($J40=0,"n.b.",SUMIFS(STG_ZPMW03!$BO$6:$BO$505,STG_ZPMW03!$B$6:$B$505,$A40)))</f>
        <v/>
      </c>
      <c r="Q40" s="117" t="str">
        <f>IF($A40="","",IF($J40=0,"n.b.",SUMIFS(STG_ZPMW03!$BP$6:$BP$505,STG_ZPMW03!$B$6:$B$505,$A40)))</f>
        <v/>
      </c>
      <c r="R40" s="117" t="str">
        <f>IF($A40="","",IF($J40=0,"n.b.",SUMIFS(STG_ZPMW03!$BQ$6:$BQ$505,STG_ZPMW03!$B$6:$B$505,$A40)))</f>
        <v/>
      </c>
      <c r="S40" s="117" t="str">
        <f>IF($A40="","",IF($J40=0,"n.b.",SUMIFS(STG_ZPMW03!$BR$6:$BR$505,STG_ZPMW03!$B$6:$B$505,$A40)))</f>
        <v/>
      </c>
      <c r="T40" s="117" t="str">
        <f>IF($A40="","",IF($J40=0,"n.b.",SUMIFS(STG_ZPMW03!$BS$6:$BS$505,STG_ZPMW03!$B$6:$B$505,$A40)))</f>
        <v/>
      </c>
      <c r="U40" s="117" t="str">
        <f>IF($A40="","",IF($J40=0,"n.b.",SUMIFS(STG_ZPMW03!$BT$6:$BT$505,STG_ZPMW03!$B$6:$B$505,$A40)))</f>
        <v/>
      </c>
      <c r="V40" s="117" t="str">
        <f>IF($A40="","",IF($J40=0,"n.b.",SUMIFS(STG_ZPMW03!$BU$6:$BU$505,STG_ZPMW03!$B$6:$B$505,$A40)))</f>
        <v/>
      </c>
      <c r="W40" s="117" t="str">
        <f>IF($A40="","",IF($J40=0,"n.b.",SUMIFS(STG_ZPMW03!$BW$6:$BW$505,STG_ZPMW03!$B$6:$B$505,$A40)))</f>
        <v/>
      </c>
      <c r="X40" s="117" t="str">
        <f>IF($A40="","",IF($J40=0,"n.b.",SUMIFS(STG_ZPMW03!$BY$6:$BY$505,STG_ZPMW03!$B$6:$B$505,$A40)))</f>
        <v/>
      </c>
      <c r="Y40" s="117" t="str">
        <f>IF($A40="","",IF($J40=0,"n.b.",SUMIFS(STG_ZPMW03!$CA$6:$CA$505,STG_ZPMW03!$B$6:$B$505,$A40)))</f>
        <v/>
      </c>
      <c r="Z40" s="117" t="str">
        <f>IF($A40="","",IF($J40=0,"n.b.",SUMIFS(STG_ZPMW03!$BV$6:$BV$505,STG_ZPMW03!$B$6:$B$505,$A40)))</f>
        <v/>
      </c>
      <c r="AA40" s="117" t="str">
        <f>IF($A40="","",IF($J40=0,"n.b.",SUMIFS(STG_ZPMW03!$BX$6:$BX$505,STG_ZPMW03!$B$6:$B$505,$A40)))</f>
        <v/>
      </c>
      <c r="AB40" s="117" t="str">
        <f>IF($A40="","",IF($J40=0,"n.b.",SUMIFS(STG_ZPMW03!$BZ$6:$BZ$505,STG_ZPMW03!$B$6:$B$505,$A40)))</f>
        <v/>
      </c>
      <c r="AC40" s="117" t="str">
        <f>IF($A40="","",IF($J40=0,"n.b.",SUMIFS(STG_ZPMW03!$CB$6:$CB$505,STG_ZPMW03!$B$6:$B$505,$A40)))</f>
        <v/>
      </c>
      <c r="AD40" s="117" t="str">
        <f>IF($A40="","",IF($J40=0,"n.b.",SUMIFS(STG_ZPMW03!$CC$6:$CC$505,STG_ZPMW03!$B$6:$B$505,$A40)))</f>
        <v/>
      </c>
      <c r="AE40" s="117" t="str">
        <f>IF($A40="","",IF($J40=0,"n.b.",SUMIFS(STG_ZPMW03!$CE$6:$CE$505,STG_ZPMW03!$B$6:$B$505,$A40)))</f>
        <v/>
      </c>
      <c r="AF40" s="117" t="str">
        <f>IF($A40="","",IF($J40=0,"n.b.",SUMIFS(STG_ZPMW03!$CG$6:$CG$505,STG_ZPMW03!$B$6:$B$505,$A40)))</f>
        <v/>
      </c>
      <c r="AG40" s="117" t="str">
        <f>IF($A40="","",IF($J40=0,"n.b.",SUMIFS(STG_ZPMW03!$CI$6:$CI$505,STG_ZPMW03!$B$6:$B$505,$A40)))</f>
        <v/>
      </c>
      <c r="AH40" s="117" t="str">
        <f>IF($A40="","",IF($J40=0,"n.b.",SUMIFS(STG_ZPMW03!$CK$6:$CK$505,STG_ZPMW03!$B$6:$B$505,$A40)))</f>
        <v/>
      </c>
      <c r="AI40" s="117" t="str">
        <f>IF($A40="","",IF($J40=0,"n.b.",SUMIFS(STG_ZPMW03!$CM$6:$CM$505,STG_ZPMW03!$B$6:$B$505,$A40)))</f>
        <v/>
      </c>
      <c r="AJ40" s="117" t="str">
        <f>IF($A40="","",IF($J40=0,"n.b.",SUMIFS(STG_ZPMW03!$CO$6:$CO$505,STG_ZPMW03!$B$6:$B$505,$A40)))</f>
        <v/>
      </c>
      <c r="AK40" s="117" t="str">
        <f>IF($A40="","",IF($J40=0,"n.b.",SUMIFS(STG_ZPMW03!$CQ$6:$CQ$505,STG_ZPMW03!$B$6:$B$505,$A40)))</f>
        <v/>
      </c>
      <c r="AL40" s="117" t="str">
        <f>IF($A40="","",IF($J40=0,"n.b.",SUMIFS(STG_ZPMW03!$CD$6:$CD$505,STG_ZPMW03!$B$6:$B$505,$A40)))</f>
        <v/>
      </c>
      <c r="AM40" s="117" t="str">
        <f>IF($A40="","",IF($J40=0,"n.b.",SUMIFS(STG_ZPMW03!$CF$6:$CF$505,STG_ZPMW03!$B$6:$B$505,$A40)))</f>
        <v/>
      </c>
      <c r="AN40" s="117" t="str">
        <f>IF($A40="","",IF($J40=0,"n.b.",SUMIFS(STG_ZPMW03!$CH$6:$CH$505,STG_ZPMW03!$B$6:$B$505,$A40)))</f>
        <v/>
      </c>
      <c r="AO40" s="117" t="str">
        <f>IF($A40="","",IF($J40=0,"n.b.",SUMIFS(STG_ZPMW03!$CJ$6:$CJ$505,STG_ZPMW03!$B$6:$B$505,$A40)))</f>
        <v/>
      </c>
      <c r="AP40" s="117" t="str">
        <f>IF($A40="","",IF($J40=0,"n.b.",SUMIFS(STG_ZPMW03!$CL$6:$CL$505,STG_ZPMW03!$B$6:$B$505,$A40)))</f>
        <v/>
      </c>
      <c r="AQ40" s="117" t="str">
        <f>IF($A40="","",IF($J40=0,"n.b.",SUMIFS(STG_ZPMW03!$CN$6:$CN$505,STG_ZPMW03!$B$6:$B$505,$A40)))</f>
        <v/>
      </c>
      <c r="AR40" s="117" t="str">
        <f>IF($A40="","",IF($J40=0,"n.b.",SUMIFS(STG_ZPMW03!$CP$6:$CP$505,STG_ZPMW03!$B$6:$B$505,$A40)))</f>
        <v/>
      </c>
      <c r="AS40" s="117" t="str">
        <f>IF($A40="","",IF($J40=0,"n.b.",SUMIFS(STG_ZPMW03!$CR$6:$CR$505,STG_ZPMW03!$B$6:$B$505,$A40)))</f>
        <v/>
      </c>
      <c r="AT40" s="117" t="str">
        <f>IF($A40="","",IF($K40=0,"n.b.",SUMIFS(STG_Woningetalage!$Q$6:$Q$505,STG_Woningetalage!$B$6:$B$505,$A40)))</f>
        <v/>
      </c>
      <c r="AU40" s="117" t="str">
        <f>IF($A40="","",IF($K40=0,"n.b.",SUMIFS(STG_Woningetalage!$R$6:$R$505,STG_Woningetalage!$B$6:$B$505,$A40)))</f>
        <v/>
      </c>
      <c r="AV40" s="117" t="str">
        <f>IF($A40="","",IF($K40=0,"n.b.",SUMIFS(STG_Woningetalage!$S$6:$S$505,STG_Woningetalage!$B$6:$B$505,$A40)))</f>
        <v/>
      </c>
      <c r="AW40" s="117" t="str">
        <f>IF($A40="","",IF($K40=0,"n.b.",SUMIFS(STG_Woningetalage!$T$6:$T$505,STG_Woningetalage!$B$6:$B$505,$A40)))</f>
        <v/>
      </c>
      <c r="AX40" s="117" t="str">
        <f>IF($A40="","",IF($K40=0,"n.b.",SUMIFS(STG_Woningetalage!$U$6:$U$505,STG_Woningetalage!$B$6:$B$505,$A40)))</f>
        <v/>
      </c>
      <c r="AY40" s="117" t="str">
        <f>IF($A40="","",IF($K40=0,"n.b.",SUMIFS(STG_Woningetalage!$V$6:$V$505,STG_Woningetalage!$B$6:$B$505,$A40)))</f>
        <v/>
      </c>
      <c r="AZ40" s="117" t="str">
        <f>IF($A40="","",IF($K40=0,"n.b.",SUMIFS(STG_Woningetalage!$W$6:$W$505,STG_Woningetalage!$B$6:$B$505,$A40)))</f>
        <v/>
      </c>
      <c r="BA40" s="117" t="str">
        <f>IF($A40="","",IF($K40=0,"n.b.",SUMIFS(STG_Woningetalage!$X$6:$X$505,STG_Woningetalage!$B$6:$B$505,$A40)))</f>
        <v/>
      </c>
      <c r="BB40" s="117" t="str">
        <f>IF($A40="","",IF($K40=0,"n.b.",SUMIFS(STG_Woningetalage!$Y$6:$Y$505,STG_Woningetalage!$B$6:$B$505,$A40)))</f>
        <v/>
      </c>
      <c r="BC40" s="117" t="str">
        <f>IF($A40="","",IF($K40=0,"n.b.",SUMIFS(STG_Woningetalage!$Z$6:$Z$505,STG_Woningetalage!$B$6:$B$505,$A40)))</f>
        <v/>
      </c>
      <c r="BD40" s="117" t="str">
        <f>IF($A40="","",IF($K40=0,"n.b.",SUMIFS(STG_Woningetalage!$AA$6:$AA$505,STG_Woningetalage!$B$6:$B$505,$A40)))</f>
        <v/>
      </c>
      <c r="BE40" s="117" t="str">
        <f>IF($A40="","",IF($K40=0,"n.b.",SUMIFS(STG_Woningetalage!$AB$6:$AB$505,STG_Woningetalage!$B$6:$B$505,$A40)))</f>
        <v/>
      </c>
      <c r="BF40" s="117" t="str">
        <f>IF($A40="","",IF($K40=0,"n.b.",SUMIFS(STG_Woningetalage!$AC$6:$AC$505,STG_Woningetalage!$B$6:$B$505,$A40)))</f>
        <v/>
      </c>
      <c r="BG40" s="117" t="str">
        <f>IF($A40="","",IF($K40=0,"n.b.",SUMIFS(STG_Woningetalage!$AD$6:$AD$505,STG_Woningetalage!$B$6:$B$505,$A40)))</f>
        <v/>
      </c>
      <c r="BH40" s="117" t="str">
        <f>IF($A40="","",IF($K40=0,"n.b.",SUMIFS(STG_Woningetalage!$AE$6:$AE$505,STG_Woningetalage!$B$6:$B$505,$A40)))</f>
        <v/>
      </c>
      <c r="BI40" s="117" t="str">
        <f>IF($A40="","",IF($K40=0,"n.b.",SUMIFS(STG_Woningetalage!$AF$6:$AF$505,STG_Woningetalage!$B$6:$B$505,$A40)))</f>
        <v/>
      </c>
      <c r="BJ40" s="117" t="str">
        <f>IF($A40="","",IF($K40=0,"n.b.",SUMIFS(STG_Woningetalage!$AG$6:$AG$505,STG_Woningetalage!$B$6:$B$505,$A40)))</f>
        <v/>
      </c>
      <c r="BK40" s="117" t="str">
        <f>IF($A40="","",IF($K40=0,"n.b.",SUMIFS(STG_Woningetalage!$AH$6:$AH$505,STG_Woningetalage!$B$6:$B$505,$A40)))</f>
        <v/>
      </c>
      <c r="BL40" s="117" t="str">
        <f>IF($A40="","",IF($K40=0,"n.b.",SUMIFS(STG_Woningetalage!$AI$6:$AI$505,STG_Woningetalage!$B$6:$B$505,$A40)))</f>
        <v/>
      </c>
      <c r="BM40" s="117" t="str">
        <f>IF($A40="","",IF($K40=0,"n.b.",SUMIFS(STG_Woningetalage!$AJ$6:$AJ$505,STG_Woningetalage!$B$6:$B$505,$A40)))</f>
        <v/>
      </c>
      <c r="BN40" s="117" t="str">
        <f>IF($A40="","",IF($K40=0,"n.b.",SUMIFS(STG_Woningetalage!$AK$6:$AK$505,STG_Woningetalage!$B$6:$B$505,$A40)))</f>
        <v/>
      </c>
      <c r="BO40" s="117" t="str">
        <f>IF($A40="","",IF($K40=0,"n.b.",SUMIFS(STG_Woningetalage!$AL$6:$AL$505,STG_Woningetalage!$B$6:$B$505,$A40)))</f>
        <v/>
      </c>
      <c r="BP40" s="117" t="str">
        <f>IF($A40="","",IF($K40=0,"n.b.",SUMIFS(STG_Woningetalage!$AM$6:$AM$505,STG_Woningetalage!$B$6:$B$505,$A40)))</f>
        <v/>
      </c>
      <c r="BQ40" s="117" t="str">
        <f>IF($A40="","",IF($K40=0,"n.b.",SUMIFS(STG_Woningetalage!$BE$6:$BE$505,STG_Woningetalage!$B$6:$B$505,$A40)))</f>
        <v/>
      </c>
      <c r="BR40" s="117" t="str">
        <f>IF($A40="","",IF($K40=0,"n.b.",SUMIFS(STG_Woningetalage!$BF$6:$BF$505,STG_Woningetalage!$B$6:$B$505,$A40)))</f>
        <v/>
      </c>
      <c r="BS40" s="117" t="str">
        <f>IF($A40="","",IF($K40=0,"n.b.",SUMIFS(STG_Woningetalage!$BG$6:$BG$505,STG_Woningetalage!$B$6:$B$505,$A40)))</f>
        <v/>
      </c>
      <c r="BT40" s="117" t="str">
        <f>IF($A40="","",IF($K40=0,"n.b.",SUMIFS(STG_Woningetalage!$BH$6:$BH$505,STG_Woningetalage!$B$6:$B$505,$A40)))</f>
        <v/>
      </c>
      <c r="BU40" s="117" t="str">
        <f>IF($A40="","",IF($K40=0,"n.b.",SUMIFS(STG_Woningetalage!$BI$6:$BI$505,STG_Woningetalage!$B$6:$B$505,$A40)))</f>
        <v/>
      </c>
      <c r="BV40" s="117" t="str">
        <f>IF($A40="","",IF($K40=0,"n.b.",SUMIFS(STG_Woningetalage!$BJ$6:$BJ$505,STG_Woningetalage!$B$6:$B$505,$A40)))</f>
        <v/>
      </c>
      <c r="BW40" s="117" t="str">
        <f>IF($A40="","",IF($K40=0,"n.b.",SUMIFS(STG_Woningetalage!$AR$6:$AR$505,STG_Woningetalage!$B$6:$B$505,$A40)))</f>
        <v/>
      </c>
      <c r="BX40" s="117" t="str">
        <f>IF($A40="","",IF($K40=0,"n.b.",SUMIFS(STG_Woningetalage!$AS$6:$AS$505,STG_Woningetalage!$B$6:$B$505,$A40)))</f>
        <v/>
      </c>
      <c r="BY40" s="117" t="str">
        <f>IF($A40="","",IF($K40=0,"n.b.",SUMIFS(STG_Woningetalage!$AN$6:$AN$505,STG_Woningetalage!$B$6:$B$505,$A40)))</f>
        <v/>
      </c>
      <c r="BZ40" s="117" t="str">
        <f>IF($A40="","",IF($K40=0,"n.b.",SUMIFS(STG_Woningetalage!$AO$6:$AO$505,STG_Woningetalage!$B$6:$B$505,$A40)))</f>
        <v/>
      </c>
      <c r="CA40" s="117" t="str">
        <f>IF($A40="","",IF($K40=0,"n.b.",SUMIFS(STG_Woningetalage!$AP$6:$AP$505,STG_Woningetalage!$B$6:$B$505,$A40)))</f>
        <v/>
      </c>
      <c r="CB40" s="117" t="str">
        <f>IF($A40="","",IF($K40=0,"n.b.",SUMIFS(STG_Woningetalage!$AQ$6:$AQ$505,STG_Woningetalage!$B$6:$B$505,$A40)))</f>
        <v/>
      </c>
      <c r="CC40" s="117" t="str">
        <f>IF($A40="","",IF($K40=0,"n.b.",SUMIFS(STG_Woningetalage!$AU$6:$AU$505,STG_Woningetalage!$B$6:$B$505,$A40)))</f>
        <v/>
      </c>
      <c r="CD40" s="92" t="str">
        <f>IF($A40="","",IFERROR(INDEX(STG_ZPMW03!$L$6:$L$505,MATCH($A40,STG_ZPMW03!$B$6:$B$505,0)),"n.b."))</f>
        <v/>
      </c>
      <c r="CE40" s="92" t="str">
        <f>IF($A40="","",IFERROR(INDEX(STG_ZPMW03!$K$6:$K$505,MATCH($A40,STG_ZPMW03!$B$6:$B$505,0)),"n.b."))</f>
        <v/>
      </c>
      <c r="CF40" s="92" t="str">
        <f>IF($A40="","",IFERROR(INDEX(STG_ZPMW03!$BH$6:$BH$505,MATCH($A40,STG_ZPMW03!$B$6:$B$505,0)),"n.b."))</f>
        <v/>
      </c>
      <c r="CG40" s="92" t="str">
        <f>IF($A40="","",IFERROR(INDEX(STG_ZPMW03!$BI$6:$BI$505,MATCH($A40,STG_ZPMW03!$B$6:$B$505,0)),"n.b."))</f>
        <v/>
      </c>
      <c r="CH40" s="92" t="str">
        <f>IF($A40="","",IFERROR(INDEX(STG_ZPMW03!$BJ$6:$BJ$505,MATCH($A40,STG_ZPMW03!$B$6:$B$505,0)),"n.b."))</f>
        <v/>
      </c>
      <c r="CI40" s="92" t="str">
        <f>IF($A40="","",IFERROR(INDEX(STG_ZPMW03!$BF$6:$BF$505,MATCH($A40,STG_ZPMW03!$B$6:$B$505,0)),"n.b."))</f>
        <v/>
      </c>
      <c r="CJ40" s="92" t="str">
        <f>IF($A40="","",IFERROR(INDEX(STG_ZPMW03!$BG$6:$BG$505,MATCH($A40,STG_ZPMW03!$B$6:$B$505,0)),"n.b."))</f>
        <v/>
      </c>
      <c r="CK40" s="92" t="str">
        <f>IF($A40="","",IFERROR(INDEX(STG_ZPMW03!$H$6:$H$505,MATCH($A40,STG_ZPMW03!$B$6:$B$505,0)),"n.b."))</f>
        <v/>
      </c>
      <c r="CL40" s="92" t="str">
        <f>IF($A40="","",IFERROR(INDEX(STG_ZPMW03!$E$6:$E$505,MATCH($A40,STG_ZPMW03!$B$6:$B$505,0)),"n.b."))</f>
        <v/>
      </c>
      <c r="CM40" s="92" t="str">
        <f>IF($A40="","",IFERROR(INDEX(STG_ZPMW03!$G$6:$G$505,MATCH($A40,STG_ZPMW03!$B$6:$B$505,0)),"n.b."))</f>
        <v/>
      </c>
      <c r="CN40" s="92" t="str">
        <f>IF($A40="","",IFERROR(INDEX(STG_Woningetalage!$N$6:$N$505,MATCH($A40,STG_Woningetalage!$B$6:$B$505,0)),"n.b."))</f>
        <v/>
      </c>
      <c r="CO40" s="92" t="str">
        <f>IF($A40="","",IFERROR(INDEX(STG_Woningetalage!$P$6:$P$505,MATCH($A40,STG_Woningetalage!$B$6:$B$505,0)),"n.b."))</f>
        <v/>
      </c>
      <c r="CP40" s="118" t="str">
        <f>IF($A40="","",IF(AND(ISNUMBER(AT40),ISNUMBER(F40)),IF(F40&gt;0,AT40/(F40/100),"n.b."),"n.b."))</f>
        <v/>
      </c>
      <c r="CQ40" s="116" t="str">
        <f>IF($A40="","",IF(ISNUMBER(Q40),IF(Q40&lt;0,1,0),0))</f>
        <v/>
      </c>
      <c r="CR40" s="116" t="str">
        <f>IF(CQ40=1,COUNTIF($CQ$6:CQ40,1),"")</f>
        <v/>
      </c>
      <c r="CS40" s="116" t="str">
        <f>IF(AND($A40&lt;&gt;"",$J40=0),COUNTIFS($A$6:$A40,"?*",$J$6:$J40,0),"")</f>
        <v/>
      </c>
      <c r="CT40" s="119" t="str">
        <f>IF($A40="","",IF(AND(ISNUMBER(Q40),ISNUMBER(P40)),IF(P40&lt;&gt;0,Q40/P40,"n.b."),"n.b."))</f>
        <v/>
      </c>
    </row>
    <row r="41">
      <c r="A41" s="92" t="str">
        <f>IF(Mapping!$A40="","",Mapping!$A40)</f>
        <v/>
      </c>
      <c r="B41" s="92" t="str">
        <f>IF(Mapping!$B40="","",Mapping!$B40)</f>
        <v/>
      </c>
      <c r="C41" s="92" t="str">
        <f>IF(Mapping!$C40="","",Mapping!$C40)</f>
        <v/>
      </c>
      <c r="D41" s="92" t="str">
        <f>IF(Mapping!$F40="","",Mapping!$F40)</f>
        <v/>
      </c>
      <c r="E41" s="92" t="str">
        <f>IF(Mapping!$H40="","",Mapping!$H40)</f>
        <v/>
      </c>
      <c r="F41" s="92" t="str">
        <f>IF(Mapping!$E40="","",Mapping!$E40)</f>
        <v/>
      </c>
      <c r="G41" s="92" t="str">
        <f>IF(Mapping!$G40="","",Mapping!$G40)</f>
        <v/>
      </c>
      <c r="H41" s="92" t="str">
        <f>IF(Mapping!$D40="","",Mapping!$D40)</f>
        <v/>
      </c>
      <c r="I41" s="92" t="str">
        <f>IF($A41="","",IFERROR(INDEX(STG_ZPMW03!$C$6:$C$505,MATCH($A41,STG_ZPMW03!$B$6:$B$505,0)),"n.b."))</f>
        <v/>
      </c>
      <c r="J41" s="116" t="str">
        <f>IF($A41="","",COUNTIF(STG_ZPMW03!$B$6:$B$505,$A41))</f>
        <v/>
      </c>
      <c r="K41" s="116" t="str">
        <f>IF($A41="","",COUNTIF(STG_Woningetalage!$B$6:$B$505,$A41))</f>
        <v/>
      </c>
      <c r="L41" s="117" t="str">
        <f>IF($A41="","",IF($J41=0,"n.b.",SUMIFS(STG_ZPMW03!$BK$6:$BK$505,STG_ZPMW03!$B$6:$B$505,$A41)))</f>
        <v/>
      </c>
      <c r="M41" s="117" t="str">
        <f>IF($A41="","",IF($J41=0,"n.b.",SUMIFS(STG_ZPMW03!$BL$6:$BL$505,STG_ZPMW03!$B$6:$B$505,$A41)))</f>
        <v/>
      </c>
      <c r="N41" s="117" t="str">
        <f>IF($A41="","",IF($J41=0,"n.b.",SUMIFS(STG_ZPMW03!$BM$6:$BM$505,STG_ZPMW03!$B$6:$B$505,$A41)))</f>
        <v/>
      </c>
      <c r="O41" s="117" t="str">
        <f>IF($A41="","",IF($J41=0,"n.b.",SUMIFS(STG_ZPMW03!$BN$6:$BN$505,STG_ZPMW03!$B$6:$B$505,$A41)))</f>
        <v/>
      </c>
      <c r="P41" s="117" t="str">
        <f>IF($A41="","",IF($J41=0,"n.b.",SUMIFS(STG_ZPMW03!$BO$6:$BO$505,STG_ZPMW03!$B$6:$B$505,$A41)))</f>
        <v/>
      </c>
      <c r="Q41" s="117" t="str">
        <f>IF($A41="","",IF($J41=0,"n.b.",SUMIFS(STG_ZPMW03!$BP$6:$BP$505,STG_ZPMW03!$B$6:$B$505,$A41)))</f>
        <v/>
      </c>
      <c r="R41" s="117" t="str">
        <f>IF($A41="","",IF($J41=0,"n.b.",SUMIFS(STG_ZPMW03!$BQ$6:$BQ$505,STG_ZPMW03!$B$6:$B$505,$A41)))</f>
        <v/>
      </c>
      <c r="S41" s="117" t="str">
        <f>IF($A41="","",IF($J41=0,"n.b.",SUMIFS(STG_ZPMW03!$BR$6:$BR$505,STG_ZPMW03!$B$6:$B$505,$A41)))</f>
        <v/>
      </c>
      <c r="T41" s="117" t="str">
        <f>IF($A41="","",IF($J41=0,"n.b.",SUMIFS(STG_ZPMW03!$BS$6:$BS$505,STG_ZPMW03!$B$6:$B$505,$A41)))</f>
        <v/>
      </c>
      <c r="U41" s="117" t="str">
        <f>IF($A41="","",IF($J41=0,"n.b.",SUMIFS(STG_ZPMW03!$BT$6:$BT$505,STG_ZPMW03!$B$6:$B$505,$A41)))</f>
        <v/>
      </c>
      <c r="V41" s="117" t="str">
        <f>IF($A41="","",IF($J41=0,"n.b.",SUMIFS(STG_ZPMW03!$BU$6:$BU$505,STG_ZPMW03!$B$6:$B$505,$A41)))</f>
        <v/>
      </c>
      <c r="W41" s="117" t="str">
        <f>IF($A41="","",IF($J41=0,"n.b.",SUMIFS(STG_ZPMW03!$BW$6:$BW$505,STG_ZPMW03!$B$6:$B$505,$A41)))</f>
        <v/>
      </c>
      <c r="X41" s="117" t="str">
        <f>IF($A41="","",IF($J41=0,"n.b.",SUMIFS(STG_ZPMW03!$BY$6:$BY$505,STG_ZPMW03!$B$6:$B$505,$A41)))</f>
        <v/>
      </c>
      <c r="Y41" s="117" t="str">
        <f>IF($A41="","",IF($J41=0,"n.b.",SUMIFS(STG_ZPMW03!$CA$6:$CA$505,STG_ZPMW03!$B$6:$B$505,$A41)))</f>
        <v/>
      </c>
      <c r="Z41" s="117" t="str">
        <f>IF($A41="","",IF($J41=0,"n.b.",SUMIFS(STG_ZPMW03!$BV$6:$BV$505,STG_ZPMW03!$B$6:$B$505,$A41)))</f>
        <v/>
      </c>
      <c r="AA41" s="117" t="str">
        <f>IF($A41="","",IF($J41=0,"n.b.",SUMIFS(STG_ZPMW03!$BX$6:$BX$505,STG_ZPMW03!$B$6:$B$505,$A41)))</f>
        <v/>
      </c>
      <c r="AB41" s="117" t="str">
        <f>IF($A41="","",IF($J41=0,"n.b.",SUMIFS(STG_ZPMW03!$BZ$6:$BZ$505,STG_ZPMW03!$B$6:$B$505,$A41)))</f>
        <v/>
      </c>
      <c r="AC41" s="117" t="str">
        <f>IF($A41="","",IF($J41=0,"n.b.",SUMIFS(STG_ZPMW03!$CB$6:$CB$505,STG_ZPMW03!$B$6:$B$505,$A41)))</f>
        <v/>
      </c>
      <c r="AD41" s="117" t="str">
        <f>IF($A41="","",IF($J41=0,"n.b.",SUMIFS(STG_ZPMW03!$CC$6:$CC$505,STG_ZPMW03!$B$6:$B$505,$A41)))</f>
        <v/>
      </c>
      <c r="AE41" s="117" t="str">
        <f>IF($A41="","",IF($J41=0,"n.b.",SUMIFS(STG_ZPMW03!$CE$6:$CE$505,STG_ZPMW03!$B$6:$B$505,$A41)))</f>
        <v/>
      </c>
      <c r="AF41" s="117" t="str">
        <f>IF($A41="","",IF($J41=0,"n.b.",SUMIFS(STG_ZPMW03!$CG$6:$CG$505,STG_ZPMW03!$B$6:$B$505,$A41)))</f>
        <v/>
      </c>
      <c r="AG41" s="117" t="str">
        <f>IF($A41="","",IF($J41=0,"n.b.",SUMIFS(STG_ZPMW03!$CI$6:$CI$505,STG_ZPMW03!$B$6:$B$505,$A41)))</f>
        <v/>
      </c>
      <c r="AH41" s="117" t="str">
        <f>IF($A41="","",IF($J41=0,"n.b.",SUMIFS(STG_ZPMW03!$CK$6:$CK$505,STG_ZPMW03!$B$6:$B$505,$A41)))</f>
        <v/>
      </c>
      <c r="AI41" s="117" t="str">
        <f>IF($A41="","",IF($J41=0,"n.b.",SUMIFS(STG_ZPMW03!$CM$6:$CM$505,STG_ZPMW03!$B$6:$B$505,$A41)))</f>
        <v/>
      </c>
      <c r="AJ41" s="117" t="str">
        <f>IF($A41="","",IF($J41=0,"n.b.",SUMIFS(STG_ZPMW03!$CO$6:$CO$505,STG_ZPMW03!$B$6:$B$505,$A41)))</f>
        <v/>
      </c>
      <c r="AK41" s="117" t="str">
        <f>IF($A41="","",IF($J41=0,"n.b.",SUMIFS(STG_ZPMW03!$CQ$6:$CQ$505,STG_ZPMW03!$B$6:$B$505,$A41)))</f>
        <v/>
      </c>
      <c r="AL41" s="117" t="str">
        <f>IF($A41="","",IF($J41=0,"n.b.",SUMIFS(STG_ZPMW03!$CD$6:$CD$505,STG_ZPMW03!$B$6:$B$505,$A41)))</f>
        <v/>
      </c>
      <c r="AM41" s="117" t="str">
        <f>IF($A41="","",IF($J41=0,"n.b.",SUMIFS(STG_ZPMW03!$CF$6:$CF$505,STG_ZPMW03!$B$6:$B$505,$A41)))</f>
        <v/>
      </c>
      <c r="AN41" s="117" t="str">
        <f>IF($A41="","",IF($J41=0,"n.b.",SUMIFS(STG_ZPMW03!$CH$6:$CH$505,STG_ZPMW03!$B$6:$B$505,$A41)))</f>
        <v/>
      </c>
      <c r="AO41" s="117" t="str">
        <f>IF($A41="","",IF($J41=0,"n.b.",SUMIFS(STG_ZPMW03!$CJ$6:$CJ$505,STG_ZPMW03!$B$6:$B$505,$A41)))</f>
        <v/>
      </c>
      <c r="AP41" s="117" t="str">
        <f>IF($A41="","",IF($J41=0,"n.b.",SUMIFS(STG_ZPMW03!$CL$6:$CL$505,STG_ZPMW03!$B$6:$B$505,$A41)))</f>
        <v/>
      </c>
      <c r="AQ41" s="117" t="str">
        <f>IF($A41="","",IF($J41=0,"n.b.",SUMIFS(STG_ZPMW03!$CN$6:$CN$505,STG_ZPMW03!$B$6:$B$505,$A41)))</f>
        <v/>
      </c>
      <c r="AR41" s="117" t="str">
        <f>IF($A41="","",IF($J41=0,"n.b.",SUMIFS(STG_ZPMW03!$CP$6:$CP$505,STG_ZPMW03!$B$6:$B$505,$A41)))</f>
        <v/>
      </c>
      <c r="AS41" s="117" t="str">
        <f>IF($A41="","",IF($J41=0,"n.b.",SUMIFS(STG_ZPMW03!$CR$6:$CR$505,STG_ZPMW03!$B$6:$B$505,$A41)))</f>
        <v/>
      </c>
      <c r="AT41" s="117" t="str">
        <f>IF($A41="","",IF($K41=0,"n.b.",SUMIFS(STG_Woningetalage!$Q$6:$Q$505,STG_Woningetalage!$B$6:$B$505,$A41)))</f>
        <v/>
      </c>
      <c r="AU41" s="117" t="str">
        <f>IF($A41="","",IF($K41=0,"n.b.",SUMIFS(STG_Woningetalage!$R$6:$R$505,STG_Woningetalage!$B$6:$B$505,$A41)))</f>
        <v/>
      </c>
      <c r="AV41" s="117" t="str">
        <f>IF($A41="","",IF($K41=0,"n.b.",SUMIFS(STG_Woningetalage!$S$6:$S$505,STG_Woningetalage!$B$6:$B$505,$A41)))</f>
        <v/>
      </c>
      <c r="AW41" s="117" t="str">
        <f>IF($A41="","",IF($K41=0,"n.b.",SUMIFS(STG_Woningetalage!$T$6:$T$505,STG_Woningetalage!$B$6:$B$505,$A41)))</f>
        <v/>
      </c>
      <c r="AX41" s="117" t="str">
        <f>IF($A41="","",IF($K41=0,"n.b.",SUMIFS(STG_Woningetalage!$U$6:$U$505,STG_Woningetalage!$B$6:$B$505,$A41)))</f>
        <v/>
      </c>
      <c r="AY41" s="117" t="str">
        <f>IF($A41="","",IF($K41=0,"n.b.",SUMIFS(STG_Woningetalage!$V$6:$V$505,STG_Woningetalage!$B$6:$B$505,$A41)))</f>
        <v/>
      </c>
      <c r="AZ41" s="117" t="str">
        <f>IF($A41="","",IF($K41=0,"n.b.",SUMIFS(STG_Woningetalage!$W$6:$W$505,STG_Woningetalage!$B$6:$B$505,$A41)))</f>
        <v/>
      </c>
      <c r="BA41" s="117" t="str">
        <f>IF($A41="","",IF($K41=0,"n.b.",SUMIFS(STG_Woningetalage!$X$6:$X$505,STG_Woningetalage!$B$6:$B$505,$A41)))</f>
        <v/>
      </c>
      <c r="BB41" s="117" t="str">
        <f>IF($A41="","",IF($K41=0,"n.b.",SUMIFS(STG_Woningetalage!$Y$6:$Y$505,STG_Woningetalage!$B$6:$B$505,$A41)))</f>
        <v/>
      </c>
      <c r="BC41" s="117" t="str">
        <f>IF($A41="","",IF($K41=0,"n.b.",SUMIFS(STG_Woningetalage!$Z$6:$Z$505,STG_Woningetalage!$B$6:$B$505,$A41)))</f>
        <v/>
      </c>
      <c r="BD41" s="117" t="str">
        <f>IF($A41="","",IF($K41=0,"n.b.",SUMIFS(STG_Woningetalage!$AA$6:$AA$505,STG_Woningetalage!$B$6:$B$505,$A41)))</f>
        <v/>
      </c>
      <c r="BE41" s="117" t="str">
        <f>IF($A41="","",IF($K41=0,"n.b.",SUMIFS(STG_Woningetalage!$AB$6:$AB$505,STG_Woningetalage!$B$6:$B$505,$A41)))</f>
        <v/>
      </c>
      <c r="BF41" s="117" t="str">
        <f>IF($A41="","",IF($K41=0,"n.b.",SUMIFS(STG_Woningetalage!$AC$6:$AC$505,STG_Woningetalage!$B$6:$B$505,$A41)))</f>
        <v/>
      </c>
      <c r="BG41" s="117" t="str">
        <f>IF($A41="","",IF($K41=0,"n.b.",SUMIFS(STG_Woningetalage!$AD$6:$AD$505,STG_Woningetalage!$B$6:$B$505,$A41)))</f>
        <v/>
      </c>
      <c r="BH41" s="117" t="str">
        <f>IF($A41="","",IF($K41=0,"n.b.",SUMIFS(STG_Woningetalage!$AE$6:$AE$505,STG_Woningetalage!$B$6:$B$505,$A41)))</f>
        <v/>
      </c>
      <c r="BI41" s="117" t="str">
        <f>IF($A41="","",IF($K41=0,"n.b.",SUMIFS(STG_Woningetalage!$AF$6:$AF$505,STG_Woningetalage!$B$6:$B$505,$A41)))</f>
        <v/>
      </c>
      <c r="BJ41" s="117" t="str">
        <f>IF($A41="","",IF($K41=0,"n.b.",SUMIFS(STG_Woningetalage!$AG$6:$AG$505,STG_Woningetalage!$B$6:$B$505,$A41)))</f>
        <v/>
      </c>
      <c r="BK41" s="117" t="str">
        <f>IF($A41="","",IF($K41=0,"n.b.",SUMIFS(STG_Woningetalage!$AH$6:$AH$505,STG_Woningetalage!$B$6:$B$505,$A41)))</f>
        <v/>
      </c>
      <c r="BL41" s="117" t="str">
        <f>IF($A41="","",IF($K41=0,"n.b.",SUMIFS(STG_Woningetalage!$AI$6:$AI$505,STG_Woningetalage!$B$6:$B$505,$A41)))</f>
        <v/>
      </c>
      <c r="BM41" s="117" t="str">
        <f>IF($A41="","",IF($K41=0,"n.b.",SUMIFS(STG_Woningetalage!$AJ$6:$AJ$505,STG_Woningetalage!$B$6:$B$505,$A41)))</f>
        <v/>
      </c>
      <c r="BN41" s="117" t="str">
        <f>IF($A41="","",IF($K41=0,"n.b.",SUMIFS(STG_Woningetalage!$AK$6:$AK$505,STG_Woningetalage!$B$6:$B$505,$A41)))</f>
        <v/>
      </c>
      <c r="BO41" s="117" t="str">
        <f>IF($A41="","",IF($K41=0,"n.b.",SUMIFS(STG_Woningetalage!$AL$6:$AL$505,STG_Woningetalage!$B$6:$B$505,$A41)))</f>
        <v/>
      </c>
      <c r="BP41" s="117" t="str">
        <f>IF($A41="","",IF($K41=0,"n.b.",SUMIFS(STG_Woningetalage!$AM$6:$AM$505,STG_Woningetalage!$B$6:$B$505,$A41)))</f>
        <v/>
      </c>
      <c r="BQ41" s="117" t="str">
        <f>IF($A41="","",IF($K41=0,"n.b.",SUMIFS(STG_Woningetalage!$BE$6:$BE$505,STG_Woningetalage!$B$6:$B$505,$A41)))</f>
        <v/>
      </c>
      <c r="BR41" s="117" t="str">
        <f>IF($A41="","",IF($K41=0,"n.b.",SUMIFS(STG_Woningetalage!$BF$6:$BF$505,STG_Woningetalage!$B$6:$B$505,$A41)))</f>
        <v/>
      </c>
      <c r="BS41" s="117" t="str">
        <f>IF($A41="","",IF($K41=0,"n.b.",SUMIFS(STG_Woningetalage!$BG$6:$BG$505,STG_Woningetalage!$B$6:$B$505,$A41)))</f>
        <v/>
      </c>
      <c r="BT41" s="117" t="str">
        <f>IF($A41="","",IF($K41=0,"n.b.",SUMIFS(STG_Woningetalage!$BH$6:$BH$505,STG_Woningetalage!$B$6:$B$505,$A41)))</f>
        <v/>
      </c>
      <c r="BU41" s="117" t="str">
        <f>IF($A41="","",IF($K41=0,"n.b.",SUMIFS(STG_Woningetalage!$BI$6:$BI$505,STG_Woningetalage!$B$6:$B$505,$A41)))</f>
        <v/>
      </c>
      <c r="BV41" s="117" t="str">
        <f>IF($A41="","",IF($K41=0,"n.b.",SUMIFS(STG_Woningetalage!$BJ$6:$BJ$505,STG_Woningetalage!$B$6:$B$505,$A41)))</f>
        <v/>
      </c>
      <c r="BW41" s="117" t="str">
        <f>IF($A41="","",IF($K41=0,"n.b.",SUMIFS(STG_Woningetalage!$AR$6:$AR$505,STG_Woningetalage!$B$6:$B$505,$A41)))</f>
        <v/>
      </c>
      <c r="BX41" s="117" t="str">
        <f>IF($A41="","",IF($K41=0,"n.b.",SUMIFS(STG_Woningetalage!$AS$6:$AS$505,STG_Woningetalage!$B$6:$B$505,$A41)))</f>
        <v/>
      </c>
      <c r="BY41" s="117" t="str">
        <f>IF($A41="","",IF($K41=0,"n.b.",SUMIFS(STG_Woningetalage!$AN$6:$AN$505,STG_Woningetalage!$B$6:$B$505,$A41)))</f>
        <v/>
      </c>
      <c r="BZ41" s="117" t="str">
        <f>IF($A41="","",IF($K41=0,"n.b.",SUMIFS(STG_Woningetalage!$AO$6:$AO$505,STG_Woningetalage!$B$6:$B$505,$A41)))</f>
        <v/>
      </c>
      <c r="CA41" s="117" t="str">
        <f>IF($A41="","",IF($K41=0,"n.b.",SUMIFS(STG_Woningetalage!$AP$6:$AP$505,STG_Woningetalage!$B$6:$B$505,$A41)))</f>
        <v/>
      </c>
      <c r="CB41" s="117" t="str">
        <f>IF($A41="","",IF($K41=0,"n.b.",SUMIFS(STG_Woningetalage!$AQ$6:$AQ$505,STG_Woningetalage!$B$6:$B$505,$A41)))</f>
        <v/>
      </c>
      <c r="CC41" s="117" t="str">
        <f>IF($A41="","",IF($K41=0,"n.b.",SUMIFS(STG_Woningetalage!$AU$6:$AU$505,STG_Woningetalage!$B$6:$B$505,$A41)))</f>
        <v/>
      </c>
      <c r="CD41" s="92" t="str">
        <f>IF($A41="","",IFERROR(INDEX(STG_ZPMW03!$L$6:$L$505,MATCH($A41,STG_ZPMW03!$B$6:$B$505,0)),"n.b."))</f>
        <v/>
      </c>
      <c r="CE41" s="92" t="str">
        <f>IF($A41="","",IFERROR(INDEX(STG_ZPMW03!$K$6:$K$505,MATCH($A41,STG_ZPMW03!$B$6:$B$505,0)),"n.b."))</f>
        <v/>
      </c>
      <c r="CF41" s="92" t="str">
        <f>IF($A41="","",IFERROR(INDEX(STG_ZPMW03!$BH$6:$BH$505,MATCH($A41,STG_ZPMW03!$B$6:$B$505,0)),"n.b."))</f>
        <v/>
      </c>
      <c r="CG41" s="92" t="str">
        <f>IF($A41="","",IFERROR(INDEX(STG_ZPMW03!$BI$6:$BI$505,MATCH($A41,STG_ZPMW03!$B$6:$B$505,0)),"n.b."))</f>
        <v/>
      </c>
      <c r="CH41" s="92" t="str">
        <f>IF($A41="","",IFERROR(INDEX(STG_ZPMW03!$BJ$6:$BJ$505,MATCH($A41,STG_ZPMW03!$B$6:$B$505,0)),"n.b."))</f>
        <v/>
      </c>
      <c r="CI41" s="92" t="str">
        <f>IF($A41="","",IFERROR(INDEX(STG_ZPMW03!$BF$6:$BF$505,MATCH($A41,STG_ZPMW03!$B$6:$B$505,0)),"n.b."))</f>
        <v/>
      </c>
      <c r="CJ41" s="92" t="str">
        <f>IF($A41="","",IFERROR(INDEX(STG_ZPMW03!$BG$6:$BG$505,MATCH($A41,STG_ZPMW03!$B$6:$B$505,0)),"n.b."))</f>
        <v/>
      </c>
      <c r="CK41" s="92" t="str">
        <f>IF($A41="","",IFERROR(INDEX(STG_ZPMW03!$H$6:$H$505,MATCH($A41,STG_ZPMW03!$B$6:$B$505,0)),"n.b."))</f>
        <v/>
      </c>
      <c r="CL41" s="92" t="str">
        <f>IF($A41="","",IFERROR(INDEX(STG_ZPMW03!$E$6:$E$505,MATCH($A41,STG_ZPMW03!$B$6:$B$505,0)),"n.b."))</f>
        <v/>
      </c>
      <c r="CM41" s="92" t="str">
        <f>IF($A41="","",IFERROR(INDEX(STG_ZPMW03!$G$6:$G$505,MATCH($A41,STG_ZPMW03!$B$6:$B$505,0)),"n.b."))</f>
        <v/>
      </c>
      <c r="CN41" s="92" t="str">
        <f>IF($A41="","",IFERROR(INDEX(STG_Woningetalage!$N$6:$N$505,MATCH($A41,STG_Woningetalage!$B$6:$B$505,0)),"n.b."))</f>
        <v/>
      </c>
      <c r="CO41" s="92" t="str">
        <f>IF($A41="","",IFERROR(INDEX(STG_Woningetalage!$P$6:$P$505,MATCH($A41,STG_Woningetalage!$B$6:$B$505,0)),"n.b."))</f>
        <v/>
      </c>
      <c r="CP41" s="118" t="str">
        <f>IF($A41="","",IF(AND(ISNUMBER(AT41),ISNUMBER(F41)),IF(F41&gt;0,AT41/(F41/100),"n.b."),"n.b."))</f>
        <v/>
      </c>
      <c r="CQ41" s="116" t="str">
        <f>IF($A41="","",IF(ISNUMBER(Q41),IF(Q41&lt;0,1,0),0))</f>
        <v/>
      </c>
      <c r="CR41" s="116" t="str">
        <f>IF(CQ41=1,COUNTIF($CQ$6:CQ41,1),"")</f>
        <v/>
      </c>
      <c r="CS41" s="116" t="str">
        <f>IF(AND($A41&lt;&gt;"",$J41=0),COUNTIFS($A$6:$A41,"?*",$J$6:$J41,0),"")</f>
        <v/>
      </c>
      <c r="CT41" s="119" t="str">
        <f>IF($A41="","",IF(AND(ISNUMBER(Q41),ISNUMBER(P41)),IF(P41&lt;&gt;0,Q41/P41,"n.b."),"n.b."))</f>
        <v/>
      </c>
    </row>
    <row r="42">
      <c r="A42" s="92" t="str">
        <f>IF(Mapping!$A41="","",Mapping!$A41)</f>
        <v/>
      </c>
      <c r="B42" s="92" t="str">
        <f>IF(Mapping!$B41="","",Mapping!$B41)</f>
        <v/>
      </c>
      <c r="C42" s="92" t="str">
        <f>IF(Mapping!$C41="","",Mapping!$C41)</f>
        <v/>
      </c>
      <c r="D42" s="92" t="str">
        <f>IF(Mapping!$F41="","",Mapping!$F41)</f>
        <v/>
      </c>
      <c r="E42" s="92" t="str">
        <f>IF(Mapping!$H41="","",Mapping!$H41)</f>
        <v/>
      </c>
      <c r="F42" s="92" t="str">
        <f>IF(Mapping!$E41="","",Mapping!$E41)</f>
        <v/>
      </c>
      <c r="G42" s="92" t="str">
        <f>IF(Mapping!$G41="","",Mapping!$G41)</f>
        <v/>
      </c>
      <c r="H42" s="92" t="str">
        <f>IF(Mapping!$D41="","",Mapping!$D41)</f>
        <v/>
      </c>
      <c r="I42" s="92" t="str">
        <f>IF($A42="","",IFERROR(INDEX(STG_ZPMW03!$C$6:$C$505,MATCH($A42,STG_ZPMW03!$B$6:$B$505,0)),"n.b."))</f>
        <v/>
      </c>
      <c r="J42" s="116" t="str">
        <f>IF($A42="","",COUNTIF(STG_ZPMW03!$B$6:$B$505,$A42))</f>
        <v/>
      </c>
      <c r="K42" s="116" t="str">
        <f>IF($A42="","",COUNTIF(STG_Woningetalage!$B$6:$B$505,$A42))</f>
        <v/>
      </c>
      <c r="L42" s="117" t="str">
        <f>IF($A42="","",IF($J42=0,"n.b.",SUMIFS(STG_ZPMW03!$BK$6:$BK$505,STG_ZPMW03!$B$6:$B$505,$A42)))</f>
        <v/>
      </c>
      <c r="M42" s="117" t="str">
        <f>IF($A42="","",IF($J42=0,"n.b.",SUMIFS(STG_ZPMW03!$BL$6:$BL$505,STG_ZPMW03!$B$6:$B$505,$A42)))</f>
        <v/>
      </c>
      <c r="N42" s="117" t="str">
        <f>IF($A42="","",IF($J42=0,"n.b.",SUMIFS(STG_ZPMW03!$BM$6:$BM$505,STG_ZPMW03!$B$6:$B$505,$A42)))</f>
        <v/>
      </c>
      <c r="O42" s="117" t="str">
        <f>IF($A42="","",IF($J42=0,"n.b.",SUMIFS(STG_ZPMW03!$BN$6:$BN$505,STG_ZPMW03!$B$6:$B$505,$A42)))</f>
        <v/>
      </c>
      <c r="P42" s="117" t="str">
        <f>IF($A42="","",IF($J42=0,"n.b.",SUMIFS(STG_ZPMW03!$BO$6:$BO$505,STG_ZPMW03!$B$6:$B$505,$A42)))</f>
        <v/>
      </c>
      <c r="Q42" s="117" t="str">
        <f>IF($A42="","",IF($J42=0,"n.b.",SUMIFS(STG_ZPMW03!$BP$6:$BP$505,STG_ZPMW03!$B$6:$B$505,$A42)))</f>
        <v/>
      </c>
      <c r="R42" s="117" t="str">
        <f>IF($A42="","",IF($J42=0,"n.b.",SUMIFS(STG_ZPMW03!$BQ$6:$BQ$505,STG_ZPMW03!$B$6:$B$505,$A42)))</f>
        <v/>
      </c>
      <c r="S42" s="117" t="str">
        <f>IF($A42="","",IF($J42=0,"n.b.",SUMIFS(STG_ZPMW03!$BR$6:$BR$505,STG_ZPMW03!$B$6:$B$505,$A42)))</f>
        <v/>
      </c>
      <c r="T42" s="117" t="str">
        <f>IF($A42="","",IF($J42=0,"n.b.",SUMIFS(STG_ZPMW03!$BS$6:$BS$505,STG_ZPMW03!$B$6:$B$505,$A42)))</f>
        <v/>
      </c>
      <c r="U42" s="117" t="str">
        <f>IF($A42="","",IF($J42=0,"n.b.",SUMIFS(STG_ZPMW03!$BT$6:$BT$505,STG_ZPMW03!$B$6:$B$505,$A42)))</f>
        <v/>
      </c>
      <c r="V42" s="117" t="str">
        <f>IF($A42="","",IF($J42=0,"n.b.",SUMIFS(STG_ZPMW03!$BU$6:$BU$505,STG_ZPMW03!$B$6:$B$505,$A42)))</f>
        <v/>
      </c>
      <c r="W42" s="117" t="str">
        <f>IF($A42="","",IF($J42=0,"n.b.",SUMIFS(STG_ZPMW03!$BW$6:$BW$505,STG_ZPMW03!$B$6:$B$505,$A42)))</f>
        <v/>
      </c>
      <c r="X42" s="117" t="str">
        <f>IF($A42="","",IF($J42=0,"n.b.",SUMIFS(STG_ZPMW03!$BY$6:$BY$505,STG_ZPMW03!$B$6:$B$505,$A42)))</f>
        <v/>
      </c>
      <c r="Y42" s="117" t="str">
        <f>IF($A42="","",IF($J42=0,"n.b.",SUMIFS(STG_ZPMW03!$CA$6:$CA$505,STG_ZPMW03!$B$6:$B$505,$A42)))</f>
        <v/>
      </c>
      <c r="Z42" s="117" t="str">
        <f>IF($A42="","",IF($J42=0,"n.b.",SUMIFS(STG_ZPMW03!$BV$6:$BV$505,STG_ZPMW03!$B$6:$B$505,$A42)))</f>
        <v/>
      </c>
      <c r="AA42" s="117" t="str">
        <f>IF($A42="","",IF($J42=0,"n.b.",SUMIFS(STG_ZPMW03!$BX$6:$BX$505,STG_ZPMW03!$B$6:$B$505,$A42)))</f>
        <v/>
      </c>
      <c r="AB42" s="117" t="str">
        <f>IF($A42="","",IF($J42=0,"n.b.",SUMIFS(STG_ZPMW03!$BZ$6:$BZ$505,STG_ZPMW03!$B$6:$B$505,$A42)))</f>
        <v/>
      </c>
      <c r="AC42" s="117" t="str">
        <f>IF($A42="","",IF($J42=0,"n.b.",SUMIFS(STG_ZPMW03!$CB$6:$CB$505,STG_ZPMW03!$B$6:$B$505,$A42)))</f>
        <v/>
      </c>
      <c r="AD42" s="117" t="str">
        <f>IF($A42="","",IF($J42=0,"n.b.",SUMIFS(STG_ZPMW03!$CC$6:$CC$505,STG_ZPMW03!$B$6:$B$505,$A42)))</f>
        <v/>
      </c>
      <c r="AE42" s="117" t="str">
        <f>IF($A42="","",IF($J42=0,"n.b.",SUMIFS(STG_ZPMW03!$CE$6:$CE$505,STG_ZPMW03!$B$6:$B$505,$A42)))</f>
        <v/>
      </c>
      <c r="AF42" s="117" t="str">
        <f>IF($A42="","",IF($J42=0,"n.b.",SUMIFS(STG_ZPMW03!$CG$6:$CG$505,STG_ZPMW03!$B$6:$B$505,$A42)))</f>
        <v/>
      </c>
      <c r="AG42" s="117" t="str">
        <f>IF($A42="","",IF($J42=0,"n.b.",SUMIFS(STG_ZPMW03!$CI$6:$CI$505,STG_ZPMW03!$B$6:$B$505,$A42)))</f>
        <v/>
      </c>
      <c r="AH42" s="117" t="str">
        <f>IF($A42="","",IF($J42=0,"n.b.",SUMIFS(STG_ZPMW03!$CK$6:$CK$505,STG_ZPMW03!$B$6:$B$505,$A42)))</f>
        <v/>
      </c>
      <c r="AI42" s="117" t="str">
        <f>IF($A42="","",IF($J42=0,"n.b.",SUMIFS(STG_ZPMW03!$CM$6:$CM$505,STG_ZPMW03!$B$6:$B$505,$A42)))</f>
        <v/>
      </c>
      <c r="AJ42" s="117" t="str">
        <f>IF($A42="","",IF($J42=0,"n.b.",SUMIFS(STG_ZPMW03!$CO$6:$CO$505,STG_ZPMW03!$B$6:$B$505,$A42)))</f>
        <v/>
      </c>
      <c r="AK42" s="117" t="str">
        <f>IF($A42="","",IF($J42=0,"n.b.",SUMIFS(STG_ZPMW03!$CQ$6:$CQ$505,STG_ZPMW03!$B$6:$B$505,$A42)))</f>
        <v/>
      </c>
      <c r="AL42" s="117" t="str">
        <f>IF($A42="","",IF($J42=0,"n.b.",SUMIFS(STG_ZPMW03!$CD$6:$CD$505,STG_ZPMW03!$B$6:$B$505,$A42)))</f>
        <v/>
      </c>
      <c r="AM42" s="117" t="str">
        <f>IF($A42="","",IF($J42=0,"n.b.",SUMIFS(STG_ZPMW03!$CF$6:$CF$505,STG_ZPMW03!$B$6:$B$505,$A42)))</f>
        <v/>
      </c>
      <c r="AN42" s="117" t="str">
        <f>IF($A42="","",IF($J42=0,"n.b.",SUMIFS(STG_ZPMW03!$CH$6:$CH$505,STG_ZPMW03!$B$6:$B$505,$A42)))</f>
        <v/>
      </c>
      <c r="AO42" s="117" t="str">
        <f>IF($A42="","",IF($J42=0,"n.b.",SUMIFS(STG_ZPMW03!$CJ$6:$CJ$505,STG_ZPMW03!$B$6:$B$505,$A42)))</f>
        <v/>
      </c>
      <c r="AP42" s="117" t="str">
        <f>IF($A42="","",IF($J42=0,"n.b.",SUMIFS(STG_ZPMW03!$CL$6:$CL$505,STG_ZPMW03!$B$6:$B$505,$A42)))</f>
        <v/>
      </c>
      <c r="AQ42" s="117" t="str">
        <f>IF($A42="","",IF($J42=0,"n.b.",SUMIFS(STG_ZPMW03!$CN$6:$CN$505,STG_ZPMW03!$B$6:$B$505,$A42)))</f>
        <v/>
      </c>
      <c r="AR42" s="117" t="str">
        <f>IF($A42="","",IF($J42=0,"n.b.",SUMIFS(STG_ZPMW03!$CP$6:$CP$505,STG_ZPMW03!$B$6:$B$505,$A42)))</f>
        <v/>
      </c>
      <c r="AS42" s="117" t="str">
        <f>IF($A42="","",IF($J42=0,"n.b.",SUMIFS(STG_ZPMW03!$CR$6:$CR$505,STG_ZPMW03!$B$6:$B$505,$A42)))</f>
        <v/>
      </c>
      <c r="AT42" s="117" t="str">
        <f>IF($A42="","",IF($K42=0,"n.b.",SUMIFS(STG_Woningetalage!$Q$6:$Q$505,STG_Woningetalage!$B$6:$B$505,$A42)))</f>
        <v/>
      </c>
      <c r="AU42" s="117" t="str">
        <f>IF($A42="","",IF($K42=0,"n.b.",SUMIFS(STG_Woningetalage!$R$6:$R$505,STG_Woningetalage!$B$6:$B$505,$A42)))</f>
        <v/>
      </c>
      <c r="AV42" s="117" t="str">
        <f>IF($A42="","",IF($K42=0,"n.b.",SUMIFS(STG_Woningetalage!$S$6:$S$505,STG_Woningetalage!$B$6:$B$505,$A42)))</f>
        <v/>
      </c>
      <c r="AW42" s="117" t="str">
        <f>IF($A42="","",IF($K42=0,"n.b.",SUMIFS(STG_Woningetalage!$T$6:$T$505,STG_Woningetalage!$B$6:$B$505,$A42)))</f>
        <v/>
      </c>
      <c r="AX42" s="117" t="str">
        <f>IF($A42="","",IF($K42=0,"n.b.",SUMIFS(STG_Woningetalage!$U$6:$U$505,STG_Woningetalage!$B$6:$B$505,$A42)))</f>
        <v/>
      </c>
      <c r="AY42" s="117" t="str">
        <f>IF($A42="","",IF($K42=0,"n.b.",SUMIFS(STG_Woningetalage!$V$6:$V$505,STG_Woningetalage!$B$6:$B$505,$A42)))</f>
        <v/>
      </c>
      <c r="AZ42" s="117" t="str">
        <f>IF($A42="","",IF($K42=0,"n.b.",SUMIFS(STG_Woningetalage!$W$6:$W$505,STG_Woningetalage!$B$6:$B$505,$A42)))</f>
        <v/>
      </c>
      <c r="BA42" s="117" t="str">
        <f>IF($A42="","",IF($K42=0,"n.b.",SUMIFS(STG_Woningetalage!$X$6:$X$505,STG_Woningetalage!$B$6:$B$505,$A42)))</f>
        <v/>
      </c>
      <c r="BB42" s="117" t="str">
        <f>IF($A42="","",IF($K42=0,"n.b.",SUMIFS(STG_Woningetalage!$Y$6:$Y$505,STG_Woningetalage!$B$6:$B$505,$A42)))</f>
        <v/>
      </c>
      <c r="BC42" s="117" t="str">
        <f>IF($A42="","",IF($K42=0,"n.b.",SUMIFS(STG_Woningetalage!$Z$6:$Z$505,STG_Woningetalage!$B$6:$B$505,$A42)))</f>
        <v/>
      </c>
      <c r="BD42" s="117" t="str">
        <f>IF($A42="","",IF($K42=0,"n.b.",SUMIFS(STG_Woningetalage!$AA$6:$AA$505,STG_Woningetalage!$B$6:$B$505,$A42)))</f>
        <v/>
      </c>
      <c r="BE42" s="117" t="str">
        <f>IF($A42="","",IF($K42=0,"n.b.",SUMIFS(STG_Woningetalage!$AB$6:$AB$505,STG_Woningetalage!$B$6:$B$505,$A42)))</f>
        <v/>
      </c>
      <c r="BF42" s="117" t="str">
        <f>IF($A42="","",IF($K42=0,"n.b.",SUMIFS(STG_Woningetalage!$AC$6:$AC$505,STG_Woningetalage!$B$6:$B$505,$A42)))</f>
        <v/>
      </c>
      <c r="BG42" s="117" t="str">
        <f>IF($A42="","",IF($K42=0,"n.b.",SUMIFS(STG_Woningetalage!$AD$6:$AD$505,STG_Woningetalage!$B$6:$B$505,$A42)))</f>
        <v/>
      </c>
      <c r="BH42" s="117" t="str">
        <f>IF($A42="","",IF($K42=0,"n.b.",SUMIFS(STG_Woningetalage!$AE$6:$AE$505,STG_Woningetalage!$B$6:$B$505,$A42)))</f>
        <v/>
      </c>
      <c r="BI42" s="117" t="str">
        <f>IF($A42="","",IF($K42=0,"n.b.",SUMIFS(STG_Woningetalage!$AF$6:$AF$505,STG_Woningetalage!$B$6:$B$505,$A42)))</f>
        <v/>
      </c>
      <c r="BJ42" s="117" t="str">
        <f>IF($A42="","",IF($K42=0,"n.b.",SUMIFS(STG_Woningetalage!$AG$6:$AG$505,STG_Woningetalage!$B$6:$B$505,$A42)))</f>
        <v/>
      </c>
      <c r="BK42" s="117" t="str">
        <f>IF($A42="","",IF($K42=0,"n.b.",SUMIFS(STG_Woningetalage!$AH$6:$AH$505,STG_Woningetalage!$B$6:$B$505,$A42)))</f>
        <v/>
      </c>
      <c r="BL42" s="117" t="str">
        <f>IF($A42="","",IF($K42=0,"n.b.",SUMIFS(STG_Woningetalage!$AI$6:$AI$505,STG_Woningetalage!$B$6:$B$505,$A42)))</f>
        <v/>
      </c>
      <c r="BM42" s="117" t="str">
        <f>IF($A42="","",IF($K42=0,"n.b.",SUMIFS(STG_Woningetalage!$AJ$6:$AJ$505,STG_Woningetalage!$B$6:$B$505,$A42)))</f>
        <v/>
      </c>
      <c r="BN42" s="117" t="str">
        <f>IF($A42="","",IF($K42=0,"n.b.",SUMIFS(STG_Woningetalage!$AK$6:$AK$505,STG_Woningetalage!$B$6:$B$505,$A42)))</f>
        <v/>
      </c>
      <c r="BO42" s="117" t="str">
        <f>IF($A42="","",IF($K42=0,"n.b.",SUMIFS(STG_Woningetalage!$AL$6:$AL$505,STG_Woningetalage!$B$6:$B$505,$A42)))</f>
        <v/>
      </c>
      <c r="BP42" s="117" t="str">
        <f>IF($A42="","",IF($K42=0,"n.b.",SUMIFS(STG_Woningetalage!$AM$6:$AM$505,STG_Woningetalage!$B$6:$B$505,$A42)))</f>
        <v/>
      </c>
      <c r="BQ42" s="117" t="str">
        <f>IF($A42="","",IF($K42=0,"n.b.",SUMIFS(STG_Woningetalage!$BE$6:$BE$505,STG_Woningetalage!$B$6:$B$505,$A42)))</f>
        <v/>
      </c>
      <c r="BR42" s="117" t="str">
        <f>IF($A42="","",IF($K42=0,"n.b.",SUMIFS(STG_Woningetalage!$BF$6:$BF$505,STG_Woningetalage!$B$6:$B$505,$A42)))</f>
        <v/>
      </c>
      <c r="BS42" s="117" t="str">
        <f>IF($A42="","",IF($K42=0,"n.b.",SUMIFS(STG_Woningetalage!$BG$6:$BG$505,STG_Woningetalage!$B$6:$B$505,$A42)))</f>
        <v/>
      </c>
      <c r="BT42" s="117" t="str">
        <f>IF($A42="","",IF($K42=0,"n.b.",SUMIFS(STG_Woningetalage!$BH$6:$BH$505,STG_Woningetalage!$B$6:$B$505,$A42)))</f>
        <v/>
      </c>
      <c r="BU42" s="117" t="str">
        <f>IF($A42="","",IF($K42=0,"n.b.",SUMIFS(STG_Woningetalage!$BI$6:$BI$505,STG_Woningetalage!$B$6:$B$505,$A42)))</f>
        <v/>
      </c>
      <c r="BV42" s="117" t="str">
        <f>IF($A42="","",IF($K42=0,"n.b.",SUMIFS(STG_Woningetalage!$BJ$6:$BJ$505,STG_Woningetalage!$B$6:$B$505,$A42)))</f>
        <v/>
      </c>
      <c r="BW42" s="117" t="str">
        <f>IF($A42="","",IF($K42=0,"n.b.",SUMIFS(STG_Woningetalage!$AR$6:$AR$505,STG_Woningetalage!$B$6:$B$505,$A42)))</f>
        <v/>
      </c>
      <c r="BX42" s="117" t="str">
        <f>IF($A42="","",IF($K42=0,"n.b.",SUMIFS(STG_Woningetalage!$AS$6:$AS$505,STG_Woningetalage!$B$6:$B$505,$A42)))</f>
        <v/>
      </c>
      <c r="BY42" s="117" t="str">
        <f>IF($A42="","",IF($K42=0,"n.b.",SUMIFS(STG_Woningetalage!$AN$6:$AN$505,STG_Woningetalage!$B$6:$B$505,$A42)))</f>
        <v/>
      </c>
      <c r="BZ42" s="117" t="str">
        <f>IF($A42="","",IF($K42=0,"n.b.",SUMIFS(STG_Woningetalage!$AO$6:$AO$505,STG_Woningetalage!$B$6:$B$505,$A42)))</f>
        <v/>
      </c>
      <c r="CA42" s="117" t="str">
        <f>IF($A42="","",IF($K42=0,"n.b.",SUMIFS(STG_Woningetalage!$AP$6:$AP$505,STG_Woningetalage!$B$6:$B$505,$A42)))</f>
        <v/>
      </c>
      <c r="CB42" s="117" t="str">
        <f>IF($A42="","",IF($K42=0,"n.b.",SUMIFS(STG_Woningetalage!$AQ$6:$AQ$505,STG_Woningetalage!$B$6:$B$505,$A42)))</f>
        <v/>
      </c>
      <c r="CC42" s="117" t="str">
        <f>IF($A42="","",IF($K42=0,"n.b.",SUMIFS(STG_Woningetalage!$AU$6:$AU$505,STG_Woningetalage!$B$6:$B$505,$A42)))</f>
        <v/>
      </c>
      <c r="CD42" s="92" t="str">
        <f>IF($A42="","",IFERROR(INDEX(STG_ZPMW03!$L$6:$L$505,MATCH($A42,STG_ZPMW03!$B$6:$B$505,0)),"n.b."))</f>
        <v/>
      </c>
      <c r="CE42" s="92" t="str">
        <f>IF($A42="","",IFERROR(INDEX(STG_ZPMW03!$K$6:$K$505,MATCH($A42,STG_ZPMW03!$B$6:$B$505,0)),"n.b."))</f>
        <v/>
      </c>
      <c r="CF42" s="92" t="str">
        <f>IF($A42="","",IFERROR(INDEX(STG_ZPMW03!$BH$6:$BH$505,MATCH($A42,STG_ZPMW03!$B$6:$B$505,0)),"n.b."))</f>
        <v/>
      </c>
      <c r="CG42" s="92" t="str">
        <f>IF($A42="","",IFERROR(INDEX(STG_ZPMW03!$BI$6:$BI$505,MATCH($A42,STG_ZPMW03!$B$6:$B$505,0)),"n.b."))</f>
        <v/>
      </c>
      <c r="CH42" s="92" t="str">
        <f>IF($A42="","",IFERROR(INDEX(STG_ZPMW03!$BJ$6:$BJ$505,MATCH($A42,STG_ZPMW03!$B$6:$B$505,0)),"n.b."))</f>
        <v/>
      </c>
      <c r="CI42" s="92" t="str">
        <f>IF($A42="","",IFERROR(INDEX(STG_ZPMW03!$BF$6:$BF$505,MATCH($A42,STG_ZPMW03!$B$6:$B$505,0)),"n.b."))</f>
        <v/>
      </c>
      <c r="CJ42" s="92" t="str">
        <f>IF($A42="","",IFERROR(INDEX(STG_ZPMW03!$BG$6:$BG$505,MATCH($A42,STG_ZPMW03!$B$6:$B$505,0)),"n.b."))</f>
        <v/>
      </c>
      <c r="CK42" s="92" t="str">
        <f>IF($A42="","",IFERROR(INDEX(STG_ZPMW03!$H$6:$H$505,MATCH($A42,STG_ZPMW03!$B$6:$B$505,0)),"n.b."))</f>
        <v/>
      </c>
      <c r="CL42" s="92" t="str">
        <f>IF($A42="","",IFERROR(INDEX(STG_ZPMW03!$E$6:$E$505,MATCH($A42,STG_ZPMW03!$B$6:$B$505,0)),"n.b."))</f>
        <v/>
      </c>
      <c r="CM42" s="92" t="str">
        <f>IF($A42="","",IFERROR(INDEX(STG_ZPMW03!$G$6:$G$505,MATCH($A42,STG_ZPMW03!$B$6:$B$505,0)),"n.b."))</f>
        <v/>
      </c>
      <c r="CN42" s="92" t="str">
        <f>IF($A42="","",IFERROR(INDEX(STG_Woningetalage!$N$6:$N$505,MATCH($A42,STG_Woningetalage!$B$6:$B$505,0)),"n.b."))</f>
        <v/>
      </c>
      <c r="CO42" s="92" t="str">
        <f>IF($A42="","",IFERROR(INDEX(STG_Woningetalage!$P$6:$P$505,MATCH($A42,STG_Woningetalage!$B$6:$B$505,0)),"n.b."))</f>
        <v/>
      </c>
      <c r="CP42" s="118" t="str">
        <f>IF($A42="","",IF(AND(ISNUMBER(AT42),ISNUMBER(F42)),IF(F42&gt;0,AT42/(F42/100),"n.b."),"n.b."))</f>
        <v/>
      </c>
      <c r="CQ42" s="116" t="str">
        <f>IF($A42="","",IF(ISNUMBER(Q42),IF(Q42&lt;0,1,0),0))</f>
        <v/>
      </c>
      <c r="CR42" s="116" t="str">
        <f>IF(CQ42=1,COUNTIF($CQ$6:CQ42,1),"")</f>
        <v/>
      </c>
      <c r="CS42" s="116" t="str">
        <f>IF(AND($A42&lt;&gt;"",$J42=0),COUNTIFS($A$6:$A42,"?*",$J$6:$J42,0),"")</f>
        <v/>
      </c>
      <c r="CT42" s="119" t="str">
        <f>IF($A42="","",IF(AND(ISNUMBER(Q42),ISNUMBER(P42)),IF(P42&lt;&gt;0,Q42/P42,"n.b."),"n.b."))</f>
        <v/>
      </c>
    </row>
    <row r="43">
      <c r="A43" s="92" t="str">
        <f>IF(Mapping!$A42="","",Mapping!$A42)</f>
        <v/>
      </c>
      <c r="B43" s="92" t="str">
        <f>IF(Mapping!$B42="","",Mapping!$B42)</f>
        <v/>
      </c>
      <c r="C43" s="92" t="str">
        <f>IF(Mapping!$C42="","",Mapping!$C42)</f>
        <v/>
      </c>
      <c r="D43" s="92" t="str">
        <f>IF(Mapping!$F42="","",Mapping!$F42)</f>
        <v/>
      </c>
      <c r="E43" s="92" t="str">
        <f>IF(Mapping!$H42="","",Mapping!$H42)</f>
        <v/>
      </c>
      <c r="F43" s="92" t="str">
        <f>IF(Mapping!$E42="","",Mapping!$E42)</f>
        <v/>
      </c>
      <c r="G43" s="92" t="str">
        <f>IF(Mapping!$G42="","",Mapping!$G42)</f>
        <v/>
      </c>
      <c r="H43" s="92" t="str">
        <f>IF(Mapping!$D42="","",Mapping!$D42)</f>
        <v/>
      </c>
      <c r="I43" s="92" t="str">
        <f>IF($A43="","",IFERROR(INDEX(STG_ZPMW03!$C$6:$C$505,MATCH($A43,STG_ZPMW03!$B$6:$B$505,0)),"n.b."))</f>
        <v/>
      </c>
      <c r="J43" s="116" t="str">
        <f>IF($A43="","",COUNTIF(STG_ZPMW03!$B$6:$B$505,$A43))</f>
        <v/>
      </c>
      <c r="K43" s="116" t="str">
        <f>IF($A43="","",COUNTIF(STG_Woningetalage!$B$6:$B$505,$A43))</f>
        <v/>
      </c>
      <c r="L43" s="117" t="str">
        <f>IF($A43="","",IF($J43=0,"n.b.",SUMIFS(STG_ZPMW03!$BK$6:$BK$505,STG_ZPMW03!$B$6:$B$505,$A43)))</f>
        <v/>
      </c>
      <c r="M43" s="117" t="str">
        <f>IF($A43="","",IF($J43=0,"n.b.",SUMIFS(STG_ZPMW03!$BL$6:$BL$505,STG_ZPMW03!$B$6:$B$505,$A43)))</f>
        <v/>
      </c>
      <c r="N43" s="117" t="str">
        <f>IF($A43="","",IF($J43=0,"n.b.",SUMIFS(STG_ZPMW03!$BM$6:$BM$505,STG_ZPMW03!$B$6:$B$505,$A43)))</f>
        <v/>
      </c>
      <c r="O43" s="117" t="str">
        <f>IF($A43="","",IF($J43=0,"n.b.",SUMIFS(STG_ZPMW03!$BN$6:$BN$505,STG_ZPMW03!$B$6:$B$505,$A43)))</f>
        <v/>
      </c>
      <c r="P43" s="117" t="str">
        <f>IF($A43="","",IF($J43=0,"n.b.",SUMIFS(STG_ZPMW03!$BO$6:$BO$505,STG_ZPMW03!$B$6:$B$505,$A43)))</f>
        <v/>
      </c>
      <c r="Q43" s="117" t="str">
        <f>IF($A43="","",IF($J43=0,"n.b.",SUMIFS(STG_ZPMW03!$BP$6:$BP$505,STG_ZPMW03!$B$6:$B$505,$A43)))</f>
        <v/>
      </c>
      <c r="R43" s="117" t="str">
        <f>IF($A43="","",IF($J43=0,"n.b.",SUMIFS(STG_ZPMW03!$BQ$6:$BQ$505,STG_ZPMW03!$B$6:$B$505,$A43)))</f>
        <v/>
      </c>
      <c r="S43" s="117" t="str">
        <f>IF($A43="","",IF($J43=0,"n.b.",SUMIFS(STG_ZPMW03!$BR$6:$BR$505,STG_ZPMW03!$B$6:$B$505,$A43)))</f>
        <v/>
      </c>
      <c r="T43" s="117" t="str">
        <f>IF($A43="","",IF($J43=0,"n.b.",SUMIFS(STG_ZPMW03!$BS$6:$BS$505,STG_ZPMW03!$B$6:$B$505,$A43)))</f>
        <v/>
      </c>
      <c r="U43" s="117" t="str">
        <f>IF($A43="","",IF($J43=0,"n.b.",SUMIFS(STG_ZPMW03!$BT$6:$BT$505,STG_ZPMW03!$B$6:$B$505,$A43)))</f>
        <v/>
      </c>
      <c r="V43" s="117" t="str">
        <f>IF($A43="","",IF($J43=0,"n.b.",SUMIFS(STG_ZPMW03!$BU$6:$BU$505,STG_ZPMW03!$B$6:$B$505,$A43)))</f>
        <v/>
      </c>
      <c r="W43" s="117" t="str">
        <f>IF($A43="","",IF($J43=0,"n.b.",SUMIFS(STG_ZPMW03!$BW$6:$BW$505,STG_ZPMW03!$B$6:$B$505,$A43)))</f>
        <v/>
      </c>
      <c r="X43" s="117" t="str">
        <f>IF($A43="","",IF($J43=0,"n.b.",SUMIFS(STG_ZPMW03!$BY$6:$BY$505,STG_ZPMW03!$B$6:$B$505,$A43)))</f>
        <v/>
      </c>
      <c r="Y43" s="117" t="str">
        <f>IF($A43="","",IF($J43=0,"n.b.",SUMIFS(STG_ZPMW03!$CA$6:$CA$505,STG_ZPMW03!$B$6:$B$505,$A43)))</f>
        <v/>
      </c>
      <c r="Z43" s="117" t="str">
        <f>IF($A43="","",IF($J43=0,"n.b.",SUMIFS(STG_ZPMW03!$BV$6:$BV$505,STG_ZPMW03!$B$6:$B$505,$A43)))</f>
        <v/>
      </c>
      <c r="AA43" s="117" t="str">
        <f>IF($A43="","",IF($J43=0,"n.b.",SUMIFS(STG_ZPMW03!$BX$6:$BX$505,STG_ZPMW03!$B$6:$B$505,$A43)))</f>
        <v/>
      </c>
      <c r="AB43" s="117" t="str">
        <f>IF($A43="","",IF($J43=0,"n.b.",SUMIFS(STG_ZPMW03!$BZ$6:$BZ$505,STG_ZPMW03!$B$6:$B$505,$A43)))</f>
        <v/>
      </c>
      <c r="AC43" s="117" t="str">
        <f>IF($A43="","",IF($J43=0,"n.b.",SUMIFS(STG_ZPMW03!$CB$6:$CB$505,STG_ZPMW03!$B$6:$B$505,$A43)))</f>
        <v/>
      </c>
      <c r="AD43" s="117" t="str">
        <f>IF($A43="","",IF($J43=0,"n.b.",SUMIFS(STG_ZPMW03!$CC$6:$CC$505,STG_ZPMW03!$B$6:$B$505,$A43)))</f>
        <v/>
      </c>
      <c r="AE43" s="117" t="str">
        <f>IF($A43="","",IF($J43=0,"n.b.",SUMIFS(STG_ZPMW03!$CE$6:$CE$505,STG_ZPMW03!$B$6:$B$505,$A43)))</f>
        <v/>
      </c>
      <c r="AF43" s="117" t="str">
        <f>IF($A43="","",IF($J43=0,"n.b.",SUMIFS(STG_ZPMW03!$CG$6:$CG$505,STG_ZPMW03!$B$6:$B$505,$A43)))</f>
        <v/>
      </c>
      <c r="AG43" s="117" t="str">
        <f>IF($A43="","",IF($J43=0,"n.b.",SUMIFS(STG_ZPMW03!$CI$6:$CI$505,STG_ZPMW03!$B$6:$B$505,$A43)))</f>
        <v/>
      </c>
      <c r="AH43" s="117" t="str">
        <f>IF($A43="","",IF($J43=0,"n.b.",SUMIFS(STG_ZPMW03!$CK$6:$CK$505,STG_ZPMW03!$B$6:$B$505,$A43)))</f>
        <v/>
      </c>
      <c r="AI43" s="117" t="str">
        <f>IF($A43="","",IF($J43=0,"n.b.",SUMIFS(STG_ZPMW03!$CM$6:$CM$505,STG_ZPMW03!$B$6:$B$505,$A43)))</f>
        <v/>
      </c>
      <c r="AJ43" s="117" t="str">
        <f>IF($A43="","",IF($J43=0,"n.b.",SUMIFS(STG_ZPMW03!$CO$6:$CO$505,STG_ZPMW03!$B$6:$B$505,$A43)))</f>
        <v/>
      </c>
      <c r="AK43" s="117" t="str">
        <f>IF($A43="","",IF($J43=0,"n.b.",SUMIFS(STG_ZPMW03!$CQ$6:$CQ$505,STG_ZPMW03!$B$6:$B$505,$A43)))</f>
        <v/>
      </c>
      <c r="AL43" s="117" t="str">
        <f>IF($A43="","",IF($J43=0,"n.b.",SUMIFS(STG_ZPMW03!$CD$6:$CD$505,STG_ZPMW03!$B$6:$B$505,$A43)))</f>
        <v/>
      </c>
      <c r="AM43" s="117" t="str">
        <f>IF($A43="","",IF($J43=0,"n.b.",SUMIFS(STG_ZPMW03!$CF$6:$CF$505,STG_ZPMW03!$B$6:$B$505,$A43)))</f>
        <v/>
      </c>
      <c r="AN43" s="117" t="str">
        <f>IF($A43="","",IF($J43=0,"n.b.",SUMIFS(STG_ZPMW03!$CH$6:$CH$505,STG_ZPMW03!$B$6:$B$505,$A43)))</f>
        <v/>
      </c>
      <c r="AO43" s="117" t="str">
        <f>IF($A43="","",IF($J43=0,"n.b.",SUMIFS(STG_ZPMW03!$CJ$6:$CJ$505,STG_ZPMW03!$B$6:$B$505,$A43)))</f>
        <v/>
      </c>
      <c r="AP43" s="117" t="str">
        <f>IF($A43="","",IF($J43=0,"n.b.",SUMIFS(STG_ZPMW03!$CL$6:$CL$505,STG_ZPMW03!$B$6:$B$505,$A43)))</f>
        <v/>
      </c>
      <c r="AQ43" s="117" t="str">
        <f>IF($A43="","",IF($J43=0,"n.b.",SUMIFS(STG_ZPMW03!$CN$6:$CN$505,STG_ZPMW03!$B$6:$B$505,$A43)))</f>
        <v/>
      </c>
      <c r="AR43" s="117" t="str">
        <f>IF($A43="","",IF($J43=0,"n.b.",SUMIFS(STG_ZPMW03!$CP$6:$CP$505,STG_ZPMW03!$B$6:$B$505,$A43)))</f>
        <v/>
      </c>
      <c r="AS43" s="117" t="str">
        <f>IF($A43="","",IF($J43=0,"n.b.",SUMIFS(STG_ZPMW03!$CR$6:$CR$505,STG_ZPMW03!$B$6:$B$505,$A43)))</f>
        <v/>
      </c>
      <c r="AT43" s="117" t="str">
        <f>IF($A43="","",IF($K43=0,"n.b.",SUMIFS(STG_Woningetalage!$Q$6:$Q$505,STG_Woningetalage!$B$6:$B$505,$A43)))</f>
        <v/>
      </c>
      <c r="AU43" s="117" t="str">
        <f>IF($A43="","",IF($K43=0,"n.b.",SUMIFS(STG_Woningetalage!$R$6:$R$505,STG_Woningetalage!$B$6:$B$505,$A43)))</f>
        <v/>
      </c>
      <c r="AV43" s="117" t="str">
        <f>IF($A43="","",IF($K43=0,"n.b.",SUMIFS(STG_Woningetalage!$S$6:$S$505,STG_Woningetalage!$B$6:$B$505,$A43)))</f>
        <v/>
      </c>
      <c r="AW43" s="117" t="str">
        <f>IF($A43="","",IF($K43=0,"n.b.",SUMIFS(STG_Woningetalage!$T$6:$T$505,STG_Woningetalage!$B$6:$B$505,$A43)))</f>
        <v/>
      </c>
      <c r="AX43" s="117" t="str">
        <f>IF($A43="","",IF($K43=0,"n.b.",SUMIFS(STG_Woningetalage!$U$6:$U$505,STG_Woningetalage!$B$6:$B$505,$A43)))</f>
        <v/>
      </c>
      <c r="AY43" s="117" t="str">
        <f>IF($A43="","",IF($K43=0,"n.b.",SUMIFS(STG_Woningetalage!$V$6:$V$505,STG_Woningetalage!$B$6:$B$505,$A43)))</f>
        <v/>
      </c>
      <c r="AZ43" s="117" t="str">
        <f>IF($A43="","",IF($K43=0,"n.b.",SUMIFS(STG_Woningetalage!$W$6:$W$505,STG_Woningetalage!$B$6:$B$505,$A43)))</f>
        <v/>
      </c>
      <c r="BA43" s="117" t="str">
        <f>IF($A43="","",IF($K43=0,"n.b.",SUMIFS(STG_Woningetalage!$X$6:$X$505,STG_Woningetalage!$B$6:$B$505,$A43)))</f>
        <v/>
      </c>
      <c r="BB43" s="117" t="str">
        <f>IF($A43="","",IF($K43=0,"n.b.",SUMIFS(STG_Woningetalage!$Y$6:$Y$505,STG_Woningetalage!$B$6:$B$505,$A43)))</f>
        <v/>
      </c>
      <c r="BC43" s="117" t="str">
        <f>IF($A43="","",IF($K43=0,"n.b.",SUMIFS(STG_Woningetalage!$Z$6:$Z$505,STG_Woningetalage!$B$6:$B$505,$A43)))</f>
        <v/>
      </c>
      <c r="BD43" s="117" t="str">
        <f>IF($A43="","",IF($K43=0,"n.b.",SUMIFS(STG_Woningetalage!$AA$6:$AA$505,STG_Woningetalage!$B$6:$B$505,$A43)))</f>
        <v/>
      </c>
      <c r="BE43" s="117" t="str">
        <f>IF($A43="","",IF($K43=0,"n.b.",SUMIFS(STG_Woningetalage!$AB$6:$AB$505,STG_Woningetalage!$B$6:$B$505,$A43)))</f>
        <v/>
      </c>
      <c r="BF43" s="117" t="str">
        <f>IF($A43="","",IF($K43=0,"n.b.",SUMIFS(STG_Woningetalage!$AC$6:$AC$505,STG_Woningetalage!$B$6:$B$505,$A43)))</f>
        <v/>
      </c>
      <c r="BG43" s="117" t="str">
        <f>IF($A43="","",IF($K43=0,"n.b.",SUMIFS(STG_Woningetalage!$AD$6:$AD$505,STG_Woningetalage!$B$6:$B$505,$A43)))</f>
        <v/>
      </c>
      <c r="BH43" s="117" t="str">
        <f>IF($A43="","",IF($K43=0,"n.b.",SUMIFS(STG_Woningetalage!$AE$6:$AE$505,STG_Woningetalage!$B$6:$B$505,$A43)))</f>
        <v/>
      </c>
      <c r="BI43" s="117" t="str">
        <f>IF($A43="","",IF($K43=0,"n.b.",SUMIFS(STG_Woningetalage!$AF$6:$AF$505,STG_Woningetalage!$B$6:$B$505,$A43)))</f>
        <v/>
      </c>
      <c r="BJ43" s="117" t="str">
        <f>IF($A43="","",IF($K43=0,"n.b.",SUMIFS(STG_Woningetalage!$AG$6:$AG$505,STG_Woningetalage!$B$6:$B$505,$A43)))</f>
        <v/>
      </c>
      <c r="BK43" s="117" t="str">
        <f>IF($A43="","",IF($K43=0,"n.b.",SUMIFS(STG_Woningetalage!$AH$6:$AH$505,STG_Woningetalage!$B$6:$B$505,$A43)))</f>
        <v/>
      </c>
      <c r="BL43" s="117" t="str">
        <f>IF($A43="","",IF($K43=0,"n.b.",SUMIFS(STG_Woningetalage!$AI$6:$AI$505,STG_Woningetalage!$B$6:$B$505,$A43)))</f>
        <v/>
      </c>
      <c r="BM43" s="117" t="str">
        <f>IF($A43="","",IF($K43=0,"n.b.",SUMIFS(STG_Woningetalage!$AJ$6:$AJ$505,STG_Woningetalage!$B$6:$B$505,$A43)))</f>
        <v/>
      </c>
      <c r="BN43" s="117" t="str">
        <f>IF($A43="","",IF($K43=0,"n.b.",SUMIFS(STG_Woningetalage!$AK$6:$AK$505,STG_Woningetalage!$B$6:$B$505,$A43)))</f>
        <v/>
      </c>
      <c r="BO43" s="117" t="str">
        <f>IF($A43="","",IF($K43=0,"n.b.",SUMIFS(STG_Woningetalage!$AL$6:$AL$505,STG_Woningetalage!$B$6:$B$505,$A43)))</f>
        <v/>
      </c>
      <c r="BP43" s="117" t="str">
        <f>IF($A43="","",IF($K43=0,"n.b.",SUMIFS(STG_Woningetalage!$AM$6:$AM$505,STG_Woningetalage!$B$6:$B$505,$A43)))</f>
        <v/>
      </c>
      <c r="BQ43" s="117" t="str">
        <f>IF($A43="","",IF($K43=0,"n.b.",SUMIFS(STG_Woningetalage!$BE$6:$BE$505,STG_Woningetalage!$B$6:$B$505,$A43)))</f>
        <v/>
      </c>
      <c r="BR43" s="117" t="str">
        <f>IF($A43="","",IF($K43=0,"n.b.",SUMIFS(STG_Woningetalage!$BF$6:$BF$505,STG_Woningetalage!$B$6:$B$505,$A43)))</f>
        <v/>
      </c>
      <c r="BS43" s="117" t="str">
        <f>IF($A43="","",IF($K43=0,"n.b.",SUMIFS(STG_Woningetalage!$BG$6:$BG$505,STG_Woningetalage!$B$6:$B$505,$A43)))</f>
        <v/>
      </c>
      <c r="BT43" s="117" t="str">
        <f>IF($A43="","",IF($K43=0,"n.b.",SUMIFS(STG_Woningetalage!$BH$6:$BH$505,STG_Woningetalage!$B$6:$B$505,$A43)))</f>
        <v/>
      </c>
      <c r="BU43" s="117" t="str">
        <f>IF($A43="","",IF($K43=0,"n.b.",SUMIFS(STG_Woningetalage!$BI$6:$BI$505,STG_Woningetalage!$B$6:$B$505,$A43)))</f>
        <v/>
      </c>
      <c r="BV43" s="117" t="str">
        <f>IF($A43="","",IF($K43=0,"n.b.",SUMIFS(STG_Woningetalage!$BJ$6:$BJ$505,STG_Woningetalage!$B$6:$B$505,$A43)))</f>
        <v/>
      </c>
      <c r="BW43" s="117" t="str">
        <f>IF($A43="","",IF($K43=0,"n.b.",SUMIFS(STG_Woningetalage!$AR$6:$AR$505,STG_Woningetalage!$B$6:$B$505,$A43)))</f>
        <v/>
      </c>
      <c r="BX43" s="117" t="str">
        <f>IF($A43="","",IF($K43=0,"n.b.",SUMIFS(STG_Woningetalage!$AS$6:$AS$505,STG_Woningetalage!$B$6:$B$505,$A43)))</f>
        <v/>
      </c>
      <c r="BY43" s="117" t="str">
        <f>IF($A43="","",IF($K43=0,"n.b.",SUMIFS(STG_Woningetalage!$AN$6:$AN$505,STG_Woningetalage!$B$6:$B$505,$A43)))</f>
        <v/>
      </c>
      <c r="BZ43" s="117" t="str">
        <f>IF($A43="","",IF($K43=0,"n.b.",SUMIFS(STG_Woningetalage!$AO$6:$AO$505,STG_Woningetalage!$B$6:$B$505,$A43)))</f>
        <v/>
      </c>
      <c r="CA43" s="117" t="str">
        <f>IF($A43="","",IF($K43=0,"n.b.",SUMIFS(STG_Woningetalage!$AP$6:$AP$505,STG_Woningetalage!$B$6:$B$505,$A43)))</f>
        <v/>
      </c>
      <c r="CB43" s="117" t="str">
        <f>IF($A43="","",IF($K43=0,"n.b.",SUMIFS(STG_Woningetalage!$AQ$6:$AQ$505,STG_Woningetalage!$B$6:$B$505,$A43)))</f>
        <v/>
      </c>
      <c r="CC43" s="117" t="str">
        <f>IF($A43="","",IF($K43=0,"n.b.",SUMIFS(STG_Woningetalage!$AU$6:$AU$505,STG_Woningetalage!$B$6:$B$505,$A43)))</f>
        <v/>
      </c>
      <c r="CD43" s="92" t="str">
        <f>IF($A43="","",IFERROR(INDEX(STG_ZPMW03!$L$6:$L$505,MATCH($A43,STG_ZPMW03!$B$6:$B$505,0)),"n.b."))</f>
        <v/>
      </c>
      <c r="CE43" s="92" t="str">
        <f>IF($A43="","",IFERROR(INDEX(STG_ZPMW03!$K$6:$K$505,MATCH($A43,STG_ZPMW03!$B$6:$B$505,0)),"n.b."))</f>
        <v/>
      </c>
      <c r="CF43" s="92" t="str">
        <f>IF($A43="","",IFERROR(INDEX(STG_ZPMW03!$BH$6:$BH$505,MATCH($A43,STG_ZPMW03!$B$6:$B$505,0)),"n.b."))</f>
        <v/>
      </c>
      <c r="CG43" s="92" t="str">
        <f>IF($A43="","",IFERROR(INDEX(STG_ZPMW03!$BI$6:$BI$505,MATCH($A43,STG_ZPMW03!$B$6:$B$505,0)),"n.b."))</f>
        <v/>
      </c>
      <c r="CH43" s="92" t="str">
        <f>IF($A43="","",IFERROR(INDEX(STG_ZPMW03!$BJ$6:$BJ$505,MATCH($A43,STG_ZPMW03!$B$6:$B$505,0)),"n.b."))</f>
        <v/>
      </c>
      <c r="CI43" s="92" t="str">
        <f>IF($A43="","",IFERROR(INDEX(STG_ZPMW03!$BF$6:$BF$505,MATCH($A43,STG_ZPMW03!$B$6:$B$505,0)),"n.b."))</f>
        <v/>
      </c>
      <c r="CJ43" s="92" t="str">
        <f>IF($A43="","",IFERROR(INDEX(STG_ZPMW03!$BG$6:$BG$505,MATCH($A43,STG_ZPMW03!$B$6:$B$505,0)),"n.b."))</f>
        <v/>
      </c>
      <c r="CK43" s="92" t="str">
        <f>IF($A43="","",IFERROR(INDEX(STG_ZPMW03!$H$6:$H$505,MATCH($A43,STG_ZPMW03!$B$6:$B$505,0)),"n.b."))</f>
        <v/>
      </c>
      <c r="CL43" s="92" t="str">
        <f>IF($A43="","",IFERROR(INDEX(STG_ZPMW03!$E$6:$E$505,MATCH($A43,STG_ZPMW03!$B$6:$B$505,0)),"n.b."))</f>
        <v/>
      </c>
      <c r="CM43" s="92" t="str">
        <f>IF($A43="","",IFERROR(INDEX(STG_ZPMW03!$G$6:$G$505,MATCH($A43,STG_ZPMW03!$B$6:$B$505,0)),"n.b."))</f>
        <v/>
      </c>
      <c r="CN43" s="92" t="str">
        <f>IF($A43="","",IFERROR(INDEX(STG_Woningetalage!$N$6:$N$505,MATCH($A43,STG_Woningetalage!$B$6:$B$505,0)),"n.b."))</f>
        <v/>
      </c>
      <c r="CO43" s="92" t="str">
        <f>IF($A43="","",IFERROR(INDEX(STG_Woningetalage!$P$6:$P$505,MATCH($A43,STG_Woningetalage!$B$6:$B$505,0)),"n.b."))</f>
        <v/>
      </c>
      <c r="CP43" s="118" t="str">
        <f>IF($A43="","",IF(AND(ISNUMBER(AT43),ISNUMBER(F43)),IF(F43&gt;0,AT43/(F43/100),"n.b."),"n.b."))</f>
        <v/>
      </c>
      <c r="CQ43" s="116" t="str">
        <f>IF($A43="","",IF(ISNUMBER(Q43),IF(Q43&lt;0,1,0),0))</f>
        <v/>
      </c>
      <c r="CR43" s="116" t="str">
        <f>IF(CQ43=1,COUNTIF($CQ$6:CQ43,1),"")</f>
        <v/>
      </c>
      <c r="CS43" s="116" t="str">
        <f>IF(AND($A43&lt;&gt;"",$J43=0),COUNTIFS($A$6:$A43,"?*",$J$6:$J43,0),"")</f>
        <v/>
      </c>
      <c r="CT43" s="119" t="str">
        <f>IF($A43="","",IF(AND(ISNUMBER(Q43),ISNUMBER(P43)),IF(P43&lt;&gt;0,Q43/P43,"n.b."),"n.b."))</f>
        <v/>
      </c>
    </row>
    <row r="44">
      <c r="A44" s="92" t="str">
        <f>IF(Mapping!$A43="","",Mapping!$A43)</f>
        <v/>
      </c>
      <c r="B44" s="92" t="str">
        <f>IF(Mapping!$B43="","",Mapping!$B43)</f>
        <v/>
      </c>
      <c r="C44" s="92" t="str">
        <f>IF(Mapping!$C43="","",Mapping!$C43)</f>
        <v/>
      </c>
      <c r="D44" s="92" t="str">
        <f>IF(Mapping!$F43="","",Mapping!$F43)</f>
        <v/>
      </c>
      <c r="E44" s="92" t="str">
        <f>IF(Mapping!$H43="","",Mapping!$H43)</f>
        <v/>
      </c>
      <c r="F44" s="92" t="str">
        <f>IF(Mapping!$E43="","",Mapping!$E43)</f>
        <v/>
      </c>
      <c r="G44" s="92" t="str">
        <f>IF(Mapping!$G43="","",Mapping!$G43)</f>
        <v/>
      </c>
      <c r="H44" s="92" t="str">
        <f>IF(Mapping!$D43="","",Mapping!$D43)</f>
        <v/>
      </c>
      <c r="I44" s="92" t="str">
        <f>IF($A44="","",IFERROR(INDEX(STG_ZPMW03!$C$6:$C$505,MATCH($A44,STG_ZPMW03!$B$6:$B$505,0)),"n.b."))</f>
        <v/>
      </c>
      <c r="J44" s="116" t="str">
        <f>IF($A44="","",COUNTIF(STG_ZPMW03!$B$6:$B$505,$A44))</f>
        <v/>
      </c>
      <c r="K44" s="116" t="str">
        <f>IF($A44="","",COUNTIF(STG_Woningetalage!$B$6:$B$505,$A44))</f>
        <v/>
      </c>
      <c r="L44" s="117" t="str">
        <f>IF($A44="","",IF($J44=0,"n.b.",SUMIFS(STG_ZPMW03!$BK$6:$BK$505,STG_ZPMW03!$B$6:$B$505,$A44)))</f>
        <v/>
      </c>
      <c r="M44" s="117" t="str">
        <f>IF($A44="","",IF($J44=0,"n.b.",SUMIFS(STG_ZPMW03!$BL$6:$BL$505,STG_ZPMW03!$B$6:$B$505,$A44)))</f>
        <v/>
      </c>
      <c r="N44" s="117" t="str">
        <f>IF($A44="","",IF($J44=0,"n.b.",SUMIFS(STG_ZPMW03!$BM$6:$BM$505,STG_ZPMW03!$B$6:$B$505,$A44)))</f>
        <v/>
      </c>
      <c r="O44" s="117" t="str">
        <f>IF($A44="","",IF($J44=0,"n.b.",SUMIFS(STG_ZPMW03!$BN$6:$BN$505,STG_ZPMW03!$B$6:$B$505,$A44)))</f>
        <v/>
      </c>
      <c r="P44" s="117" t="str">
        <f>IF($A44="","",IF($J44=0,"n.b.",SUMIFS(STG_ZPMW03!$BO$6:$BO$505,STG_ZPMW03!$B$6:$B$505,$A44)))</f>
        <v/>
      </c>
      <c r="Q44" s="117" t="str">
        <f>IF($A44="","",IF($J44=0,"n.b.",SUMIFS(STG_ZPMW03!$BP$6:$BP$505,STG_ZPMW03!$B$6:$B$505,$A44)))</f>
        <v/>
      </c>
      <c r="R44" s="117" t="str">
        <f>IF($A44="","",IF($J44=0,"n.b.",SUMIFS(STG_ZPMW03!$BQ$6:$BQ$505,STG_ZPMW03!$B$6:$B$505,$A44)))</f>
        <v/>
      </c>
      <c r="S44" s="117" t="str">
        <f>IF($A44="","",IF($J44=0,"n.b.",SUMIFS(STG_ZPMW03!$BR$6:$BR$505,STG_ZPMW03!$B$6:$B$505,$A44)))</f>
        <v/>
      </c>
      <c r="T44" s="117" t="str">
        <f>IF($A44="","",IF($J44=0,"n.b.",SUMIFS(STG_ZPMW03!$BS$6:$BS$505,STG_ZPMW03!$B$6:$B$505,$A44)))</f>
        <v/>
      </c>
      <c r="U44" s="117" t="str">
        <f>IF($A44="","",IF($J44=0,"n.b.",SUMIFS(STG_ZPMW03!$BT$6:$BT$505,STG_ZPMW03!$B$6:$B$505,$A44)))</f>
        <v/>
      </c>
      <c r="V44" s="117" t="str">
        <f>IF($A44="","",IF($J44=0,"n.b.",SUMIFS(STG_ZPMW03!$BU$6:$BU$505,STG_ZPMW03!$B$6:$B$505,$A44)))</f>
        <v/>
      </c>
      <c r="W44" s="117" t="str">
        <f>IF($A44="","",IF($J44=0,"n.b.",SUMIFS(STG_ZPMW03!$BW$6:$BW$505,STG_ZPMW03!$B$6:$B$505,$A44)))</f>
        <v/>
      </c>
      <c r="X44" s="117" t="str">
        <f>IF($A44="","",IF($J44=0,"n.b.",SUMIFS(STG_ZPMW03!$BY$6:$BY$505,STG_ZPMW03!$B$6:$B$505,$A44)))</f>
        <v/>
      </c>
      <c r="Y44" s="117" t="str">
        <f>IF($A44="","",IF($J44=0,"n.b.",SUMIFS(STG_ZPMW03!$CA$6:$CA$505,STG_ZPMW03!$B$6:$B$505,$A44)))</f>
        <v/>
      </c>
      <c r="Z44" s="117" t="str">
        <f>IF($A44="","",IF($J44=0,"n.b.",SUMIFS(STG_ZPMW03!$BV$6:$BV$505,STG_ZPMW03!$B$6:$B$505,$A44)))</f>
        <v/>
      </c>
      <c r="AA44" s="117" t="str">
        <f>IF($A44="","",IF($J44=0,"n.b.",SUMIFS(STG_ZPMW03!$BX$6:$BX$505,STG_ZPMW03!$B$6:$B$505,$A44)))</f>
        <v/>
      </c>
      <c r="AB44" s="117" t="str">
        <f>IF($A44="","",IF($J44=0,"n.b.",SUMIFS(STG_ZPMW03!$BZ$6:$BZ$505,STG_ZPMW03!$B$6:$B$505,$A44)))</f>
        <v/>
      </c>
      <c r="AC44" s="117" t="str">
        <f>IF($A44="","",IF($J44=0,"n.b.",SUMIFS(STG_ZPMW03!$CB$6:$CB$505,STG_ZPMW03!$B$6:$B$505,$A44)))</f>
        <v/>
      </c>
      <c r="AD44" s="117" t="str">
        <f>IF($A44="","",IF($J44=0,"n.b.",SUMIFS(STG_ZPMW03!$CC$6:$CC$505,STG_ZPMW03!$B$6:$B$505,$A44)))</f>
        <v/>
      </c>
      <c r="AE44" s="117" t="str">
        <f>IF($A44="","",IF($J44=0,"n.b.",SUMIFS(STG_ZPMW03!$CE$6:$CE$505,STG_ZPMW03!$B$6:$B$505,$A44)))</f>
        <v/>
      </c>
      <c r="AF44" s="117" t="str">
        <f>IF($A44="","",IF($J44=0,"n.b.",SUMIFS(STG_ZPMW03!$CG$6:$CG$505,STG_ZPMW03!$B$6:$B$505,$A44)))</f>
        <v/>
      </c>
      <c r="AG44" s="117" t="str">
        <f>IF($A44="","",IF($J44=0,"n.b.",SUMIFS(STG_ZPMW03!$CI$6:$CI$505,STG_ZPMW03!$B$6:$B$505,$A44)))</f>
        <v/>
      </c>
      <c r="AH44" s="117" t="str">
        <f>IF($A44="","",IF($J44=0,"n.b.",SUMIFS(STG_ZPMW03!$CK$6:$CK$505,STG_ZPMW03!$B$6:$B$505,$A44)))</f>
        <v/>
      </c>
      <c r="AI44" s="117" t="str">
        <f>IF($A44="","",IF($J44=0,"n.b.",SUMIFS(STG_ZPMW03!$CM$6:$CM$505,STG_ZPMW03!$B$6:$B$505,$A44)))</f>
        <v/>
      </c>
      <c r="AJ44" s="117" t="str">
        <f>IF($A44="","",IF($J44=0,"n.b.",SUMIFS(STG_ZPMW03!$CO$6:$CO$505,STG_ZPMW03!$B$6:$B$505,$A44)))</f>
        <v/>
      </c>
      <c r="AK44" s="117" t="str">
        <f>IF($A44="","",IF($J44=0,"n.b.",SUMIFS(STG_ZPMW03!$CQ$6:$CQ$505,STG_ZPMW03!$B$6:$B$505,$A44)))</f>
        <v/>
      </c>
      <c r="AL44" s="117" t="str">
        <f>IF($A44="","",IF($J44=0,"n.b.",SUMIFS(STG_ZPMW03!$CD$6:$CD$505,STG_ZPMW03!$B$6:$B$505,$A44)))</f>
        <v/>
      </c>
      <c r="AM44" s="117" t="str">
        <f>IF($A44="","",IF($J44=0,"n.b.",SUMIFS(STG_ZPMW03!$CF$6:$CF$505,STG_ZPMW03!$B$6:$B$505,$A44)))</f>
        <v/>
      </c>
      <c r="AN44" s="117" t="str">
        <f>IF($A44="","",IF($J44=0,"n.b.",SUMIFS(STG_ZPMW03!$CH$6:$CH$505,STG_ZPMW03!$B$6:$B$505,$A44)))</f>
        <v/>
      </c>
      <c r="AO44" s="117" t="str">
        <f>IF($A44="","",IF($J44=0,"n.b.",SUMIFS(STG_ZPMW03!$CJ$6:$CJ$505,STG_ZPMW03!$B$6:$B$505,$A44)))</f>
        <v/>
      </c>
      <c r="AP44" s="117" t="str">
        <f>IF($A44="","",IF($J44=0,"n.b.",SUMIFS(STG_ZPMW03!$CL$6:$CL$505,STG_ZPMW03!$B$6:$B$505,$A44)))</f>
        <v/>
      </c>
      <c r="AQ44" s="117" t="str">
        <f>IF($A44="","",IF($J44=0,"n.b.",SUMIFS(STG_ZPMW03!$CN$6:$CN$505,STG_ZPMW03!$B$6:$B$505,$A44)))</f>
        <v/>
      </c>
      <c r="AR44" s="117" t="str">
        <f>IF($A44="","",IF($J44=0,"n.b.",SUMIFS(STG_ZPMW03!$CP$6:$CP$505,STG_ZPMW03!$B$6:$B$505,$A44)))</f>
        <v/>
      </c>
      <c r="AS44" s="117" t="str">
        <f>IF($A44="","",IF($J44=0,"n.b.",SUMIFS(STG_ZPMW03!$CR$6:$CR$505,STG_ZPMW03!$B$6:$B$505,$A44)))</f>
        <v/>
      </c>
      <c r="AT44" s="117" t="str">
        <f>IF($A44="","",IF($K44=0,"n.b.",SUMIFS(STG_Woningetalage!$Q$6:$Q$505,STG_Woningetalage!$B$6:$B$505,$A44)))</f>
        <v/>
      </c>
      <c r="AU44" s="117" t="str">
        <f>IF($A44="","",IF($K44=0,"n.b.",SUMIFS(STG_Woningetalage!$R$6:$R$505,STG_Woningetalage!$B$6:$B$505,$A44)))</f>
        <v/>
      </c>
      <c r="AV44" s="117" t="str">
        <f>IF($A44="","",IF($K44=0,"n.b.",SUMIFS(STG_Woningetalage!$S$6:$S$505,STG_Woningetalage!$B$6:$B$505,$A44)))</f>
        <v/>
      </c>
      <c r="AW44" s="117" t="str">
        <f>IF($A44="","",IF($K44=0,"n.b.",SUMIFS(STG_Woningetalage!$T$6:$T$505,STG_Woningetalage!$B$6:$B$505,$A44)))</f>
        <v/>
      </c>
      <c r="AX44" s="117" t="str">
        <f>IF($A44="","",IF($K44=0,"n.b.",SUMIFS(STG_Woningetalage!$U$6:$U$505,STG_Woningetalage!$B$6:$B$505,$A44)))</f>
        <v/>
      </c>
      <c r="AY44" s="117" t="str">
        <f>IF($A44="","",IF($K44=0,"n.b.",SUMIFS(STG_Woningetalage!$V$6:$V$505,STG_Woningetalage!$B$6:$B$505,$A44)))</f>
        <v/>
      </c>
      <c r="AZ44" s="117" t="str">
        <f>IF($A44="","",IF($K44=0,"n.b.",SUMIFS(STG_Woningetalage!$W$6:$W$505,STG_Woningetalage!$B$6:$B$505,$A44)))</f>
        <v/>
      </c>
      <c r="BA44" s="117" t="str">
        <f>IF($A44="","",IF($K44=0,"n.b.",SUMIFS(STG_Woningetalage!$X$6:$X$505,STG_Woningetalage!$B$6:$B$505,$A44)))</f>
        <v/>
      </c>
      <c r="BB44" s="117" t="str">
        <f>IF($A44="","",IF($K44=0,"n.b.",SUMIFS(STG_Woningetalage!$Y$6:$Y$505,STG_Woningetalage!$B$6:$B$505,$A44)))</f>
        <v/>
      </c>
      <c r="BC44" s="117" t="str">
        <f>IF($A44="","",IF($K44=0,"n.b.",SUMIFS(STG_Woningetalage!$Z$6:$Z$505,STG_Woningetalage!$B$6:$B$505,$A44)))</f>
        <v/>
      </c>
      <c r="BD44" s="117" t="str">
        <f>IF($A44="","",IF($K44=0,"n.b.",SUMIFS(STG_Woningetalage!$AA$6:$AA$505,STG_Woningetalage!$B$6:$B$505,$A44)))</f>
        <v/>
      </c>
      <c r="BE44" s="117" t="str">
        <f>IF($A44="","",IF($K44=0,"n.b.",SUMIFS(STG_Woningetalage!$AB$6:$AB$505,STG_Woningetalage!$B$6:$B$505,$A44)))</f>
        <v/>
      </c>
      <c r="BF44" s="117" t="str">
        <f>IF($A44="","",IF($K44=0,"n.b.",SUMIFS(STG_Woningetalage!$AC$6:$AC$505,STG_Woningetalage!$B$6:$B$505,$A44)))</f>
        <v/>
      </c>
      <c r="BG44" s="117" t="str">
        <f>IF($A44="","",IF($K44=0,"n.b.",SUMIFS(STG_Woningetalage!$AD$6:$AD$505,STG_Woningetalage!$B$6:$B$505,$A44)))</f>
        <v/>
      </c>
      <c r="BH44" s="117" t="str">
        <f>IF($A44="","",IF($K44=0,"n.b.",SUMIFS(STG_Woningetalage!$AE$6:$AE$505,STG_Woningetalage!$B$6:$B$505,$A44)))</f>
        <v/>
      </c>
      <c r="BI44" s="117" t="str">
        <f>IF($A44="","",IF($K44=0,"n.b.",SUMIFS(STG_Woningetalage!$AF$6:$AF$505,STG_Woningetalage!$B$6:$B$505,$A44)))</f>
        <v/>
      </c>
      <c r="BJ44" s="117" t="str">
        <f>IF($A44="","",IF($K44=0,"n.b.",SUMIFS(STG_Woningetalage!$AG$6:$AG$505,STG_Woningetalage!$B$6:$B$505,$A44)))</f>
        <v/>
      </c>
      <c r="BK44" s="117" t="str">
        <f>IF($A44="","",IF($K44=0,"n.b.",SUMIFS(STG_Woningetalage!$AH$6:$AH$505,STG_Woningetalage!$B$6:$B$505,$A44)))</f>
        <v/>
      </c>
      <c r="BL44" s="117" t="str">
        <f>IF($A44="","",IF($K44=0,"n.b.",SUMIFS(STG_Woningetalage!$AI$6:$AI$505,STG_Woningetalage!$B$6:$B$505,$A44)))</f>
        <v/>
      </c>
      <c r="BM44" s="117" t="str">
        <f>IF($A44="","",IF($K44=0,"n.b.",SUMIFS(STG_Woningetalage!$AJ$6:$AJ$505,STG_Woningetalage!$B$6:$B$505,$A44)))</f>
        <v/>
      </c>
      <c r="BN44" s="117" t="str">
        <f>IF($A44="","",IF($K44=0,"n.b.",SUMIFS(STG_Woningetalage!$AK$6:$AK$505,STG_Woningetalage!$B$6:$B$505,$A44)))</f>
        <v/>
      </c>
      <c r="BO44" s="117" t="str">
        <f>IF($A44="","",IF($K44=0,"n.b.",SUMIFS(STG_Woningetalage!$AL$6:$AL$505,STG_Woningetalage!$B$6:$B$505,$A44)))</f>
        <v/>
      </c>
      <c r="BP44" s="117" t="str">
        <f>IF($A44="","",IF($K44=0,"n.b.",SUMIFS(STG_Woningetalage!$AM$6:$AM$505,STG_Woningetalage!$B$6:$B$505,$A44)))</f>
        <v/>
      </c>
      <c r="BQ44" s="117" t="str">
        <f>IF($A44="","",IF($K44=0,"n.b.",SUMIFS(STG_Woningetalage!$BE$6:$BE$505,STG_Woningetalage!$B$6:$B$505,$A44)))</f>
        <v/>
      </c>
      <c r="BR44" s="117" t="str">
        <f>IF($A44="","",IF($K44=0,"n.b.",SUMIFS(STG_Woningetalage!$BF$6:$BF$505,STG_Woningetalage!$B$6:$B$505,$A44)))</f>
        <v/>
      </c>
      <c r="BS44" s="117" t="str">
        <f>IF($A44="","",IF($K44=0,"n.b.",SUMIFS(STG_Woningetalage!$BG$6:$BG$505,STG_Woningetalage!$B$6:$B$505,$A44)))</f>
        <v/>
      </c>
      <c r="BT44" s="117" t="str">
        <f>IF($A44="","",IF($K44=0,"n.b.",SUMIFS(STG_Woningetalage!$BH$6:$BH$505,STG_Woningetalage!$B$6:$B$505,$A44)))</f>
        <v/>
      </c>
      <c r="BU44" s="117" t="str">
        <f>IF($A44="","",IF($K44=0,"n.b.",SUMIFS(STG_Woningetalage!$BI$6:$BI$505,STG_Woningetalage!$B$6:$B$505,$A44)))</f>
        <v/>
      </c>
      <c r="BV44" s="117" t="str">
        <f>IF($A44="","",IF($K44=0,"n.b.",SUMIFS(STG_Woningetalage!$BJ$6:$BJ$505,STG_Woningetalage!$B$6:$B$505,$A44)))</f>
        <v/>
      </c>
      <c r="BW44" s="117" t="str">
        <f>IF($A44="","",IF($K44=0,"n.b.",SUMIFS(STG_Woningetalage!$AR$6:$AR$505,STG_Woningetalage!$B$6:$B$505,$A44)))</f>
        <v/>
      </c>
      <c r="BX44" s="117" t="str">
        <f>IF($A44="","",IF($K44=0,"n.b.",SUMIFS(STG_Woningetalage!$AS$6:$AS$505,STG_Woningetalage!$B$6:$B$505,$A44)))</f>
        <v/>
      </c>
      <c r="BY44" s="117" t="str">
        <f>IF($A44="","",IF($K44=0,"n.b.",SUMIFS(STG_Woningetalage!$AN$6:$AN$505,STG_Woningetalage!$B$6:$B$505,$A44)))</f>
        <v/>
      </c>
      <c r="BZ44" s="117" t="str">
        <f>IF($A44="","",IF($K44=0,"n.b.",SUMIFS(STG_Woningetalage!$AO$6:$AO$505,STG_Woningetalage!$B$6:$B$505,$A44)))</f>
        <v/>
      </c>
      <c r="CA44" s="117" t="str">
        <f>IF($A44="","",IF($K44=0,"n.b.",SUMIFS(STG_Woningetalage!$AP$6:$AP$505,STG_Woningetalage!$B$6:$B$505,$A44)))</f>
        <v/>
      </c>
      <c r="CB44" s="117" t="str">
        <f>IF($A44="","",IF($K44=0,"n.b.",SUMIFS(STG_Woningetalage!$AQ$6:$AQ$505,STG_Woningetalage!$B$6:$B$505,$A44)))</f>
        <v/>
      </c>
      <c r="CC44" s="117" t="str">
        <f>IF($A44="","",IF($K44=0,"n.b.",SUMIFS(STG_Woningetalage!$AU$6:$AU$505,STG_Woningetalage!$B$6:$B$505,$A44)))</f>
        <v/>
      </c>
      <c r="CD44" s="92" t="str">
        <f>IF($A44="","",IFERROR(INDEX(STG_ZPMW03!$L$6:$L$505,MATCH($A44,STG_ZPMW03!$B$6:$B$505,0)),"n.b."))</f>
        <v/>
      </c>
      <c r="CE44" s="92" t="str">
        <f>IF($A44="","",IFERROR(INDEX(STG_ZPMW03!$K$6:$K$505,MATCH($A44,STG_ZPMW03!$B$6:$B$505,0)),"n.b."))</f>
        <v/>
      </c>
      <c r="CF44" s="92" t="str">
        <f>IF($A44="","",IFERROR(INDEX(STG_ZPMW03!$BH$6:$BH$505,MATCH($A44,STG_ZPMW03!$B$6:$B$505,0)),"n.b."))</f>
        <v/>
      </c>
      <c r="CG44" s="92" t="str">
        <f>IF($A44="","",IFERROR(INDEX(STG_ZPMW03!$BI$6:$BI$505,MATCH($A44,STG_ZPMW03!$B$6:$B$505,0)),"n.b."))</f>
        <v/>
      </c>
      <c r="CH44" s="92" t="str">
        <f>IF($A44="","",IFERROR(INDEX(STG_ZPMW03!$BJ$6:$BJ$505,MATCH($A44,STG_ZPMW03!$B$6:$B$505,0)),"n.b."))</f>
        <v/>
      </c>
      <c r="CI44" s="92" t="str">
        <f>IF($A44="","",IFERROR(INDEX(STG_ZPMW03!$BF$6:$BF$505,MATCH($A44,STG_ZPMW03!$B$6:$B$505,0)),"n.b."))</f>
        <v/>
      </c>
      <c r="CJ44" s="92" t="str">
        <f>IF($A44="","",IFERROR(INDEX(STG_ZPMW03!$BG$6:$BG$505,MATCH($A44,STG_ZPMW03!$B$6:$B$505,0)),"n.b."))</f>
        <v/>
      </c>
      <c r="CK44" s="92" t="str">
        <f>IF($A44="","",IFERROR(INDEX(STG_ZPMW03!$H$6:$H$505,MATCH($A44,STG_ZPMW03!$B$6:$B$505,0)),"n.b."))</f>
        <v/>
      </c>
      <c r="CL44" s="92" t="str">
        <f>IF($A44="","",IFERROR(INDEX(STG_ZPMW03!$E$6:$E$505,MATCH($A44,STG_ZPMW03!$B$6:$B$505,0)),"n.b."))</f>
        <v/>
      </c>
      <c r="CM44" s="92" t="str">
        <f>IF($A44="","",IFERROR(INDEX(STG_ZPMW03!$G$6:$G$505,MATCH($A44,STG_ZPMW03!$B$6:$B$505,0)),"n.b."))</f>
        <v/>
      </c>
      <c r="CN44" s="92" t="str">
        <f>IF($A44="","",IFERROR(INDEX(STG_Woningetalage!$N$6:$N$505,MATCH($A44,STG_Woningetalage!$B$6:$B$505,0)),"n.b."))</f>
        <v/>
      </c>
      <c r="CO44" s="92" t="str">
        <f>IF($A44="","",IFERROR(INDEX(STG_Woningetalage!$P$6:$P$505,MATCH($A44,STG_Woningetalage!$B$6:$B$505,0)),"n.b."))</f>
        <v/>
      </c>
      <c r="CP44" s="118" t="str">
        <f>IF($A44="","",IF(AND(ISNUMBER(AT44),ISNUMBER(F44)),IF(F44&gt;0,AT44/(F44/100),"n.b."),"n.b."))</f>
        <v/>
      </c>
      <c r="CQ44" s="116" t="str">
        <f>IF($A44="","",IF(ISNUMBER(Q44),IF(Q44&lt;0,1,0),0))</f>
        <v/>
      </c>
      <c r="CR44" s="116" t="str">
        <f>IF(CQ44=1,COUNTIF($CQ$6:CQ44,1),"")</f>
        <v/>
      </c>
      <c r="CS44" s="116" t="str">
        <f>IF(AND($A44&lt;&gt;"",$J44=0),COUNTIFS($A$6:$A44,"?*",$J$6:$J44,0),"")</f>
        <v/>
      </c>
      <c r="CT44" s="119" t="str">
        <f>IF($A44="","",IF(AND(ISNUMBER(Q44),ISNUMBER(P44)),IF(P44&lt;&gt;0,Q44/P44,"n.b."),"n.b."))</f>
        <v/>
      </c>
    </row>
    <row r="45">
      <c r="A45" s="92" t="str">
        <f>IF(Mapping!$A44="","",Mapping!$A44)</f>
        <v/>
      </c>
      <c r="B45" s="92" t="str">
        <f>IF(Mapping!$B44="","",Mapping!$B44)</f>
        <v/>
      </c>
      <c r="C45" s="92" t="str">
        <f>IF(Mapping!$C44="","",Mapping!$C44)</f>
        <v/>
      </c>
      <c r="D45" s="92" t="str">
        <f>IF(Mapping!$F44="","",Mapping!$F44)</f>
        <v/>
      </c>
      <c r="E45" s="92" t="str">
        <f>IF(Mapping!$H44="","",Mapping!$H44)</f>
        <v/>
      </c>
      <c r="F45" s="92" t="str">
        <f>IF(Mapping!$E44="","",Mapping!$E44)</f>
        <v/>
      </c>
      <c r="G45" s="92" t="str">
        <f>IF(Mapping!$G44="","",Mapping!$G44)</f>
        <v/>
      </c>
      <c r="H45" s="92" t="str">
        <f>IF(Mapping!$D44="","",Mapping!$D44)</f>
        <v/>
      </c>
      <c r="I45" s="92" t="str">
        <f>IF($A45="","",IFERROR(INDEX(STG_ZPMW03!$C$6:$C$505,MATCH($A45,STG_ZPMW03!$B$6:$B$505,0)),"n.b."))</f>
        <v/>
      </c>
      <c r="J45" s="116" t="str">
        <f>IF($A45="","",COUNTIF(STG_ZPMW03!$B$6:$B$505,$A45))</f>
        <v/>
      </c>
      <c r="K45" s="116" t="str">
        <f>IF($A45="","",COUNTIF(STG_Woningetalage!$B$6:$B$505,$A45))</f>
        <v/>
      </c>
      <c r="L45" s="117" t="str">
        <f>IF($A45="","",IF($J45=0,"n.b.",SUMIFS(STG_ZPMW03!$BK$6:$BK$505,STG_ZPMW03!$B$6:$B$505,$A45)))</f>
        <v/>
      </c>
      <c r="M45" s="117" t="str">
        <f>IF($A45="","",IF($J45=0,"n.b.",SUMIFS(STG_ZPMW03!$BL$6:$BL$505,STG_ZPMW03!$B$6:$B$505,$A45)))</f>
        <v/>
      </c>
      <c r="N45" s="117" t="str">
        <f>IF($A45="","",IF($J45=0,"n.b.",SUMIFS(STG_ZPMW03!$BM$6:$BM$505,STG_ZPMW03!$B$6:$B$505,$A45)))</f>
        <v/>
      </c>
      <c r="O45" s="117" t="str">
        <f>IF($A45="","",IF($J45=0,"n.b.",SUMIFS(STG_ZPMW03!$BN$6:$BN$505,STG_ZPMW03!$B$6:$B$505,$A45)))</f>
        <v/>
      </c>
      <c r="P45" s="117" t="str">
        <f>IF($A45="","",IF($J45=0,"n.b.",SUMIFS(STG_ZPMW03!$BO$6:$BO$505,STG_ZPMW03!$B$6:$B$505,$A45)))</f>
        <v/>
      </c>
      <c r="Q45" s="117" t="str">
        <f>IF($A45="","",IF($J45=0,"n.b.",SUMIFS(STG_ZPMW03!$BP$6:$BP$505,STG_ZPMW03!$B$6:$B$505,$A45)))</f>
        <v/>
      </c>
      <c r="R45" s="117" t="str">
        <f>IF($A45="","",IF($J45=0,"n.b.",SUMIFS(STG_ZPMW03!$BQ$6:$BQ$505,STG_ZPMW03!$B$6:$B$505,$A45)))</f>
        <v/>
      </c>
      <c r="S45" s="117" t="str">
        <f>IF($A45="","",IF($J45=0,"n.b.",SUMIFS(STG_ZPMW03!$BR$6:$BR$505,STG_ZPMW03!$B$6:$B$505,$A45)))</f>
        <v/>
      </c>
      <c r="T45" s="117" t="str">
        <f>IF($A45="","",IF($J45=0,"n.b.",SUMIFS(STG_ZPMW03!$BS$6:$BS$505,STG_ZPMW03!$B$6:$B$505,$A45)))</f>
        <v/>
      </c>
      <c r="U45" s="117" t="str">
        <f>IF($A45="","",IF($J45=0,"n.b.",SUMIFS(STG_ZPMW03!$BT$6:$BT$505,STG_ZPMW03!$B$6:$B$505,$A45)))</f>
        <v/>
      </c>
      <c r="V45" s="117" t="str">
        <f>IF($A45="","",IF($J45=0,"n.b.",SUMIFS(STG_ZPMW03!$BU$6:$BU$505,STG_ZPMW03!$B$6:$B$505,$A45)))</f>
        <v/>
      </c>
      <c r="W45" s="117" t="str">
        <f>IF($A45="","",IF($J45=0,"n.b.",SUMIFS(STG_ZPMW03!$BW$6:$BW$505,STG_ZPMW03!$B$6:$B$505,$A45)))</f>
        <v/>
      </c>
      <c r="X45" s="117" t="str">
        <f>IF($A45="","",IF($J45=0,"n.b.",SUMIFS(STG_ZPMW03!$BY$6:$BY$505,STG_ZPMW03!$B$6:$B$505,$A45)))</f>
        <v/>
      </c>
      <c r="Y45" s="117" t="str">
        <f>IF($A45="","",IF($J45=0,"n.b.",SUMIFS(STG_ZPMW03!$CA$6:$CA$505,STG_ZPMW03!$B$6:$B$505,$A45)))</f>
        <v/>
      </c>
      <c r="Z45" s="117" t="str">
        <f>IF($A45="","",IF($J45=0,"n.b.",SUMIFS(STG_ZPMW03!$BV$6:$BV$505,STG_ZPMW03!$B$6:$B$505,$A45)))</f>
        <v/>
      </c>
      <c r="AA45" s="117" t="str">
        <f>IF($A45="","",IF($J45=0,"n.b.",SUMIFS(STG_ZPMW03!$BX$6:$BX$505,STG_ZPMW03!$B$6:$B$505,$A45)))</f>
        <v/>
      </c>
      <c r="AB45" s="117" t="str">
        <f>IF($A45="","",IF($J45=0,"n.b.",SUMIFS(STG_ZPMW03!$BZ$6:$BZ$505,STG_ZPMW03!$B$6:$B$505,$A45)))</f>
        <v/>
      </c>
      <c r="AC45" s="117" t="str">
        <f>IF($A45="","",IF($J45=0,"n.b.",SUMIFS(STG_ZPMW03!$CB$6:$CB$505,STG_ZPMW03!$B$6:$B$505,$A45)))</f>
        <v/>
      </c>
      <c r="AD45" s="117" t="str">
        <f>IF($A45="","",IF($J45=0,"n.b.",SUMIFS(STG_ZPMW03!$CC$6:$CC$505,STG_ZPMW03!$B$6:$B$505,$A45)))</f>
        <v/>
      </c>
      <c r="AE45" s="117" t="str">
        <f>IF($A45="","",IF($J45=0,"n.b.",SUMIFS(STG_ZPMW03!$CE$6:$CE$505,STG_ZPMW03!$B$6:$B$505,$A45)))</f>
        <v/>
      </c>
      <c r="AF45" s="117" t="str">
        <f>IF($A45="","",IF($J45=0,"n.b.",SUMIFS(STG_ZPMW03!$CG$6:$CG$505,STG_ZPMW03!$B$6:$B$505,$A45)))</f>
        <v/>
      </c>
      <c r="AG45" s="117" t="str">
        <f>IF($A45="","",IF($J45=0,"n.b.",SUMIFS(STG_ZPMW03!$CI$6:$CI$505,STG_ZPMW03!$B$6:$B$505,$A45)))</f>
        <v/>
      </c>
      <c r="AH45" s="117" t="str">
        <f>IF($A45="","",IF($J45=0,"n.b.",SUMIFS(STG_ZPMW03!$CK$6:$CK$505,STG_ZPMW03!$B$6:$B$505,$A45)))</f>
        <v/>
      </c>
      <c r="AI45" s="117" t="str">
        <f>IF($A45="","",IF($J45=0,"n.b.",SUMIFS(STG_ZPMW03!$CM$6:$CM$505,STG_ZPMW03!$B$6:$B$505,$A45)))</f>
        <v/>
      </c>
      <c r="AJ45" s="117" t="str">
        <f>IF($A45="","",IF($J45=0,"n.b.",SUMIFS(STG_ZPMW03!$CO$6:$CO$505,STG_ZPMW03!$B$6:$B$505,$A45)))</f>
        <v/>
      </c>
      <c r="AK45" s="117" t="str">
        <f>IF($A45="","",IF($J45=0,"n.b.",SUMIFS(STG_ZPMW03!$CQ$6:$CQ$505,STG_ZPMW03!$B$6:$B$505,$A45)))</f>
        <v/>
      </c>
      <c r="AL45" s="117" t="str">
        <f>IF($A45="","",IF($J45=0,"n.b.",SUMIFS(STG_ZPMW03!$CD$6:$CD$505,STG_ZPMW03!$B$6:$B$505,$A45)))</f>
        <v/>
      </c>
      <c r="AM45" s="117" t="str">
        <f>IF($A45="","",IF($J45=0,"n.b.",SUMIFS(STG_ZPMW03!$CF$6:$CF$505,STG_ZPMW03!$B$6:$B$505,$A45)))</f>
        <v/>
      </c>
      <c r="AN45" s="117" t="str">
        <f>IF($A45="","",IF($J45=0,"n.b.",SUMIFS(STG_ZPMW03!$CH$6:$CH$505,STG_ZPMW03!$B$6:$B$505,$A45)))</f>
        <v/>
      </c>
      <c r="AO45" s="117" t="str">
        <f>IF($A45="","",IF($J45=0,"n.b.",SUMIFS(STG_ZPMW03!$CJ$6:$CJ$505,STG_ZPMW03!$B$6:$B$505,$A45)))</f>
        <v/>
      </c>
      <c r="AP45" s="117" t="str">
        <f>IF($A45="","",IF($J45=0,"n.b.",SUMIFS(STG_ZPMW03!$CL$6:$CL$505,STG_ZPMW03!$B$6:$B$505,$A45)))</f>
        <v/>
      </c>
      <c r="AQ45" s="117" t="str">
        <f>IF($A45="","",IF($J45=0,"n.b.",SUMIFS(STG_ZPMW03!$CN$6:$CN$505,STG_ZPMW03!$B$6:$B$505,$A45)))</f>
        <v/>
      </c>
      <c r="AR45" s="117" t="str">
        <f>IF($A45="","",IF($J45=0,"n.b.",SUMIFS(STG_ZPMW03!$CP$6:$CP$505,STG_ZPMW03!$B$6:$B$505,$A45)))</f>
        <v/>
      </c>
      <c r="AS45" s="117" t="str">
        <f>IF($A45="","",IF($J45=0,"n.b.",SUMIFS(STG_ZPMW03!$CR$6:$CR$505,STG_ZPMW03!$B$6:$B$505,$A45)))</f>
        <v/>
      </c>
      <c r="AT45" s="117" t="str">
        <f>IF($A45="","",IF($K45=0,"n.b.",SUMIFS(STG_Woningetalage!$Q$6:$Q$505,STG_Woningetalage!$B$6:$B$505,$A45)))</f>
        <v/>
      </c>
      <c r="AU45" s="117" t="str">
        <f>IF($A45="","",IF($K45=0,"n.b.",SUMIFS(STG_Woningetalage!$R$6:$R$505,STG_Woningetalage!$B$6:$B$505,$A45)))</f>
        <v/>
      </c>
      <c r="AV45" s="117" t="str">
        <f>IF($A45="","",IF($K45=0,"n.b.",SUMIFS(STG_Woningetalage!$S$6:$S$505,STG_Woningetalage!$B$6:$B$505,$A45)))</f>
        <v/>
      </c>
      <c r="AW45" s="117" t="str">
        <f>IF($A45="","",IF($K45=0,"n.b.",SUMIFS(STG_Woningetalage!$T$6:$T$505,STG_Woningetalage!$B$6:$B$505,$A45)))</f>
        <v/>
      </c>
      <c r="AX45" s="117" t="str">
        <f>IF($A45="","",IF($K45=0,"n.b.",SUMIFS(STG_Woningetalage!$U$6:$U$505,STG_Woningetalage!$B$6:$B$505,$A45)))</f>
        <v/>
      </c>
      <c r="AY45" s="117" t="str">
        <f>IF($A45="","",IF($K45=0,"n.b.",SUMIFS(STG_Woningetalage!$V$6:$V$505,STG_Woningetalage!$B$6:$B$505,$A45)))</f>
        <v/>
      </c>
      <c r="AZ45" s="117" t="str">
        <f>IF($A45="","",IF($K45=0,"n.b.",SUMIFS(STG_Woningetalage!$W$6:$W$505,STG_Woningetalage!$B$6:$B$505,$A45)))</f>
        <v/>
      </c>
      <c r="BA45" s="117" t="str">
        <f>IF($A45="","",IF($K45=0,"n.b.",SUMIFS(STG_Woningetalage!$X$6:$X$505,STG_Woningetalage!$B$6:$B$505,$A45)))</f>
        <v/>
      </c>
      <c r="BB45" s="117" t="str">
        <f>IF($A45="","",IF($K45=0,"n.b.",SUMIFS(STG_Woningetalage!$Y$6:$Y$505,STG_Woningetalage!$B$6:$B$505,$A45)))</f>
        <v/>
      </c>
      <c r="BC45" s="117" t="str">
        <f>IF($A45="","",IF($K45=0,"n.b.",SUMIFS(STG_Woningetalage!$Z$6:$Z$505,STG_Woningetalage!$B$6:$B$505,$A45)))</f>
        <v/>
      </c>
      <c r="BD45" s="117" t="str">
        <f>IF($A45="","",IF($K45=0,"n.b.",SUMIFS(STG_Woningetalage!$AA$6:$AA$505,STG_Woningetalage!$B$6:$B$505,$A45)))</f>
        <v/>
      </c>
      <c r="BE45" s="117" t="str">
        <f>IF($A45="","",IF($K45=0,"n.b.",SUMIFS(STG_Woningetalage!$AB$6:$AB$505,STG_Woningetalage!$B$6:$B$505,$A45)))</f>
        <v/>
      </c>
      <c r="BF45" s="117" t="str">
        <f>IF($A45="","",IF($K45=0,"n.b.",SUMIFS(STG_Woningetalage!$AC$6:$AC$505,STG_Woningetalage!$B$6:$B$505,$A45)))</f>
        <v/>
      </c>
      <c r="BG45" s="117" t="str">
        <f>IF($A45="","",IF($K45=0,"n.b.",SUMIFS(STG_Woningetalage!$AD$6:$AD$505,STG_Woningetalage!$B$6:$B$505,$A45)))</f>
        <v/>
      </c>
      <c r="BH45" s="117" t="str">
        <f>IF($A45="","",IF($K45=0,"n.b.",SUMIFS(STG_Woningetalage!$AE$6:$AE$505,STG_Woningetalage!$B$6:$B$505,$A45)))</f>
        <v/>
      </c>
      <c r="BI45" s="117" t="str">
        <f>IF($A45="","",IF($K45=0,"n.b.",SUMIFS(STG_Woningetalage!$AF$6:$AF$505,STG_Woningetalage!$B$6:$B$505,$A45)))</f>
        <v/>
      </c>
      <c r="BJ45" s="117" t="str">
        <f>IF($A45="","",IF($K45=0,"n.b.",SUMIFS(STG_Woningetalage!$AG$6:$AG$505,STG_Woningetalage!$B$6:$B$505,$A45)))</f>
        <v/>
      </c>
      <c r="BK45" s="117" t="str">
        <f>IF($A45="","",IF($K45=0,"n.b.",SUMIFS(STG_Woningetalage!$AH$6:$AH$505,STG_Woningetalage!$B$6:$B$505,$A45)))</f>
        <v/>
      </c>
      <c r="BL45" s="117" t="str">
        <f>IF($A45="","",IF($K45=0,"n.b.",SUMIFS(STG_Woningetalage!$AI$6:$AI$505,STG_Woningetalage!$B$6:$B$505,$A45)))</f>
        <v/>
      </c>
      <c r="BM45" s="117" t="str">
        <f>IF($A45="","",IF($K45=0,"n.b.",SUMIFS(STG_Woningetalage!$AJ$6:$AJ$505,STG_Woningetalage!$B$6:$B$505,$A45)))</f>
        <v/>
      </c>
      <c r="BN45" s="117" t="str">
        <f>IF($A45="","",IF($K45=0,"n.b.",SUMIFS(STG_Woningetalage!$AK$6:$AK$505,STG_Woningetalage!$B$6:$B$505,$A45)))</f>
        <v/>
      </c>
      <c r="BO45" s="117" t="str">
        <f>IF($A45="","",IF($K45=0,"n.b.",SUMIFS(STG_Woningetalage!$AL$6:$AL$505,STG_Woningetalage!$B$6:$B$505,$A45)))</f>
        <v/>
      </c>
      <c r="BP45" s="117" t="str">
        <f>IF($A45="","",IF($K45=0,"n.b.",SUMIFS(STG_Woningetalage!$AM$6:$AM$505,STG_Woningetalage!$B$6:$B$505,$A45)))</f>
        <v/>
      </c>
      <c r="BQ45" s="117" t="str">
        <f>IF($A45="","",IF($K45=0,"n.b.",SUMIFS(STG_Woningetalage!$BE$6:$BE$505,STG_Woningetalage!$B$6:$B$505,$A45)))</f>
        <v/>
      </c>
      <c r="BR45" s="117" t="str">
        <f>IF($A45="","",IF($K45=0,"n.b.",SUMIFS(STG_Woningetalage!$BF$6:$BF$505,STG_Woningetalage!$B$6:$B$505,$A45)))</f>
        <v/>
      </c>
      <c r="BS45" s="117" t="str">
        <f>IF($A45="","",IF($K45=0,"n.b.",SUMIFS(STG_Woningetalage!$BG$6:$BG$505,STG_Woningetalage!$B$6:$B$505,$A45)))</f>
        <v/>
      </c>
      <c r="BT45" s="117" t="str">
        <f>IF($A45="","",IF($K45=0,"n.b.",SUMIFS(STG_Woningetalage!$BH$6:$BH$505,STG_Woningetalage!$B$6:$B$505,$A45)))</f>
        <v/>
      </c>
      <c r="BU45" s="117" t="str">
        <f>IF($A45="","",IF($K45=0,"n.b.",SUMIFS(STG_Woningetalage!$BI$6:$BI$505,STG_Woningetalage!$B$6:$B$505,$A45)))</f>
        <v/>
      </c>
      <c r="BV45" s="117" t="str">
        <f>IF($A45="","",IF($K45=0,"n.b.",SUMIFS(STG_Woningetalage!$BJ$6:$BJ$505,STG_Woningetalage!$B$6:$B$505,$A45)))</f>
        <v/>
      </c>
      <c r="BW45" s="117" t="str">
        <f>IF($A45="","",IF($K45=0,"n.b.",SUMIFS(STG_Woningetalage!$AR$6:$AR$505,STG_Woningetalage!$B$6:$B$505,$A45)))</f>
        <v/>
      </c>
      <c r="BX45" s="117" t="str">
        <f>IF($A45="","",IF($K45=0,"n.b.",SUMIFS(STG_Woningetalage!$AS$6:$AS$505,STG_Woningetalage!$B$6:$B$505,$A45)))</f>
        <v/>
      </c>
      <c r="BY45" s="117" t="str">
        <f>IF($A45="","",IF($K45=0,"n.b.",SUMIFS(STG_Woningetalage!$AN$6:$AN$505,STG_Woningetalage!$B$6:$B$505,$A45)))</f>
        <v/>
      </c>
      <c r="BZ45" s="117" t="str">
        <f>IF($A45="","",IF($K45=0,"n.b.",SUMIFS(STG_Woningetalage!$AO$6:$AO$505,STG_Woningetalage!$B$6:$B$505,$A45)))</f>
        <v/>
      </c>
      <c r="CA45" s="117" t="str">
        <f>IF($A45="","",IF($K45=0,"n.b.",SUMIFS(STG_Woningetalage!$AP$6:$AP$505,STG_Woningetalage!$B$6:$B$505,$A45)))</f>
        <v/>
      </c>
      <c r="CB45" s="117" t="str">
        <f>IF($A45="","",IF($K45=0,"n.b.",SUMIFS(STG_Woningetalage!$AQ$6:$AQ$505,STG_Woningetalage!$B$6:$B$505,$A45)))</f>
        <v/>
      </c>
      <c r="CC45" s="117" t="str">
        <f>IF($A45="","",IF($K45=0,"n.b.",SUMIFS(STG_Woningetalage!$AU$6:$AU$505,STG_Woningetalage!$B$6:$B$505,$A45)))</f>
        <v/>
      </c>
      <c r="CD45" s="92" t="str">
        <f>IF($A45="","",IFERROR(INDEX(STG_ZPMW03!$L$6:$L$505,MATCH($A45,STG_ZPMW03!$B$6:$B$505,0)),"n.b."))</f>
        <v/>
      </c>
      <c r="CE45" s="92" t="str">
        <f>IF($A45="","",IFERROR(INDEX(STG_ZPMW03!$K$6:$K$505,MATCH($A45,STG_ZPMW03!$B$6:$B$505,0)),"n.b."))</f>
        <v/>
      </c>
      <c r="CF45" s="92" t="str">
        <f>IF($A45="","",IFERROR(INDEX(STG_ZPMW03!$BH$6:$BH$505,MATCH($A45,STG_ZPMW03!$B$6:$B$505,0)),"n.b."))</f>
        <v/>
      </c>
      <c r="CG45" s="92" t="str">
        <f>IF($A45="","",IFERROR(INDEX(STG_ZPMW03!$BI$6:$BI$505,MATCH($A45,STG_ZPMW03!$B$6:$B$505,0)),"n.b."))</f>
        <v/>
      </c>
      <c r="CH45" s="92" t="str">
        <f>IF($A45="","",IFERROR(INDEX(STG_ZPMW03!$BJ$6:$BJ$505,MATCH($A45,STG_ZPMW03!$B$6:$B$505,0)),"n.b."))</f>
        <v/>
      </c>
      <c r="CI45" s="92" t="str">
        <f>IF($A45="","",IFERROR(INDEX(STG_ZPMW03!$BF$6:$BF$505,MATCH($A45,STG_ZPMW03!$B$6:$B$505,0)),"n.b."))</f>
        <v/>
      </c>
      <c r="CJ45" s="92" t="str">
        <f>IF($A45="","",IFERROR(INDEX(STG_ZPMW03!$BG$6:$BG$505,MATCH($A45,STG_ZPMW03!$B$6:$B$505,0)),"n.b."))</f>
        <v/>
      </c>
      <c r="CK45" s="92" t="str">
        <f>IF($A45="","",IFERROR(INDEX(STG_ZPMW03!$H$6:$H$505,MATCH($A45,STG_ZPMW03!$B$6:$B$505,0)),"n.b."))</f>
        <v/>
      </c>
      <c r="CL45" s="92" t="str">
        <f>IF($A45="","",IFERROR(INDEX(STG_ZPMW03!$E$6:$E$505,MATCH($A45,STG_ZPMW03!$B$6:$B$505,0)),"n.b."))</f>
        <v/>
      </c>
      <c r="CM45" s="92" t="str">
        <f>IF($A45="","",IFERROR(INDEX(STG_ZPMW03!$G$6:$G$505,MATCH($A45,STG_ZPMW03!$B$6:$B$505,0)),"n.b."))</f>
        <v/>
      </c>
      <c r="CN45" s="92" t="str">
        <f>IF($A45="","",IFERROR(INDEX(STG_Woningetalage!$N$6:$N$505,MATCH($A45,STG_Woningetalage!$B$6:$B$505,0)),"n.b."))</f>
        <v/>
      </c>
      <c r="CO45" s="92" t="str">
        <f>IF($A45="","",IFERROR(INDEX(STG_Woningetalage!$P$6:$P$505,MATCH($A45,STG_Woningetalage!$B$6:$B$505,0)),"n.b."))</f>
        <v/>
      </c>
      <c r="CP45" s="118" t="str">
        <f>IF($A45="","",IF(AND(ISNUMBER(AT45),ISNUMBER(F45)),IF(F45&gt;0,AT45/(F45/100),"n.b."),"n.b."))</f>
        <v/>
      </c>
      <c r="CQ45" s="116" t="str">
        <f>IF($A45="","",IF(ISNUMBER(Q45),IF(Q45&lt;0,1,0),0))</f>
        <v/>
      </c>
      <c r="CR45" s="116" t="str">
        <f>IF(CQ45=1,COUNTIF($CQ$6:CQ45,1),"")</f>
        <v/>
      </c>
      <c r="CS45" s="116" t="str">
        <f>IF(AND($A45&lt;&gt;"",$J45=0),COUNTIFS($A$6:$A45,"?*",$J$6:$J45,0),"")</f>
        <v/>
      </c>
      <c r="CT45" s="119" t="str">
        <f>IF($A45="","",IF(AND(ISNUMBER(Q45),ISNUMBER(P45)),IF(P45&lt;&gt;0,Q45/P45,"n.b."),"n.b."))</f>
        <v/>
      </c>
    </row>
    <row r="46">
      <c r="A46" s="92" t="str">
        <f>IF(Mapping!$A45="","",Mapping!$A45)</f>
        <v/>
      </c>
      <c r="B46" s="92" t="str">
        <f>IF(Mapping!$B45="","",Mapping!$B45)</f>
        <v/>
      </c>
      <c r="C46" s="92" t="str">
        <f>IF(Mapping!$C45="","",Mapping!$C45)</f>
        <v/>
      </c>
      <c r="D46" s="92" t="str">
        <f>IF(Mapping!$F45="","",Mapping!$F45)</f>
        <v/>
      </c>
      <c r="E46" s="92" t="str">
        <f>IF(Mapping!$H45="","",Mapping!$H45)</f>
        <v/>
      </c>
      <c r="F46" s="92" t="str">
        <f>IF(Mapping!$E45="","",Mapping!$E45)</f>
        <v/>
      </c>
      <c r="G46" s="92" t="str">
        <f>IF(Mapping!$G45="","",Mapping!$G45)</f>
        <v/>
      </c>
      <c r="H46" s="92" t="str">
        <f>IF(Mapping!$D45="","",Mapping!$D45)</f>
        <v/>
      </c>
      <c r="I46" s="92" t="str">
        <f>IF($A46="","",IFERROR(INDEX(STG_ZPMW03!$C$6:$C$505,MATCH($A46,STG_ZPMW03!$B$6:$B$505,0)),"n.b."))</f>
        <v/>
      </c>
      <c r="J46" s="116" t="str">
        <f>IF($A46="","",COUNTIF(STG_ZPMW03!$B$6:$B$505,$A46))</f>
        <v/>
      </c>
      <c r="K46" s="116" t="str">
        <f>IF($A46="","",COUNTIF(STG_Woningetalage!$B$6:$B$505,$A46))</f>
        <v/>
      </c>
      <c r="L46" s="117" t="str">
        <f>IF($A46="","",IF($J46=0,"n.b.",SUMIFS(STG_ZPMW03!$BK$6:$BK$505,STG_ZPMW03!$B$6:$B$505,$A46)))</f>
        <v/>
      </c>
      <c r="M46" s="117" t="str">
        <f>IF($A46="","",IF($J46=0,"n.b.",SUMIFS(STG_ZPMW03!$BL$6:$BL$505,STG_ZPMW03!$B$6:$B$505,$A46)))</f>
        <v/>
      </c>
      <c r="N46" s="117" t="str">
        <f>IF($A46="","",IF($J46=0,"n.b.",SUMIFS(STG_ZPMW03!$BM$6:$BM$505,STG_ZPMW03!$B$6:$B$505,$A46)))</f>
        <v/>
      </c>
      <c r="O46" s="117" t="str">
        <f>IF($A46="","",IF($J46=0,"n.b.",SUMIFS(STG_ZPMW03!$BN$6:$BN$505,STG_ZPMW03!$B$6:$B$505,$A46)))</f>
        <v/>
      </c>
      <c r="P46" s="117" t="str">
        <f>IF($A46="","",IF($J46=0,"n.b.",SUMIFS(STG_ZPMW03!$BO$6:$BO$505,STG_ZPMW03!$B$6:$B$505,$A46)))</f>
        <v/>
      </c>
      <c r="Q46" s="117" t="str">
        <f>IF($A46="","",IF($J46=0,"n.b.",SUMIFS(STG_ZPMW03!$BP$6:$BP$505,STG_ZPMW03!$B$6:$B$505,$A46)))</f>
        <v/>
      </c>
      <c r="R46" s="117" t="str">
        <f>IF($A46="","",IF($J46=0,"n.b.",SUMIFS(STG_ZPMW03!$BQ$6:$BQ$505,STG_ZPMW03!$B$6:$B$505,$A46)))</f>
        <v/>
      </c>
      <c r="S46" s="117" t="str">
        <f>IF($A46="","",IF($J46=0,"n.b.",SUMIFS(STG_ZPMW03!$BR$6:$BR$505,STG_ZPMW03!$B$6:$B$505,$A46)))</f>
        <v/>
      </c>
      <c r="T46" s="117" t="str">
        <f>IF($A46="","",IF($J46=0,"n.b.",SUMIFS(STG_ZPMW03!$BS$6:$BS$505,STG_ZPMW03!$B$6:$B$505,$A46)))</f>
        <v/>
      </c>
      <c r="U46" s="117" t="str">
        <f>IF($A46="","",IF($J46=0,"n.b.",SUMIFS(STG_ZPMW03!$BT$6:$BT$505,STG_ZPMW03!$B$6:$B$505,$A46)))</f>
        <v/>
      </c>
      <c r="V46" s="117" t="str">
        <f>IF($A46="","",IF($J46=0,"n.b.",SUMIFS(STG_ZPMW03!$BU$6:$BU$505,STG_ZPMW03!$B$6:$B$505,$A46)))</f>
        <v/>
      </c>
      <c r="W46" s="117" t="str">
        <f>IF($A46="","",IF($J46=0,"n.b.",SUMIFS(STG_ZPMW03!$BW$6:$BW$505,STG_ZPMW03!$B$6:$B$505,$A46)))</f>
        <v/>
      </c>
      <c r="X46" s="117" t="str">
        <f>IF($A46="","",IF($J46=0,"n.b.",SUMIFS(STG_ZPMW03!$BY$6:$BY$505,STG_ZPMW03!$B$6:$B$505,$A46)))</f>
        <v/>
      </c>
      <c r="Y46" s="117" t="str">
        <f>IF($A46="","",IF($J46=0,"n.b.",SUMIFS(STG_ZPMW03!$CA$6:$CA$505,STG_ZPMW03!$B$6:$B$505,$A46)))</f>
        <v/>
      </c>
      <c r="Z46" s="117" t="str">
        <f>IF($A46="","",IF($J46=0,"n.b.",SUMIFS(STG_ZPMW03!$BV$6:$BV$505,STG_ZPMW03!$B$6:$B$505,$A46)))</f>
        <v/>
      </c>
      <c r="AA46" s="117" t="str">
        <f>IF($A46="","",IF($J46=0,"n.b.",SUMIFS(STG_ZPMW03!$BX$6:$BX$505,STG_ZPMW03!$B$6:$B$505,$A46)))</f>
        <v/>
      </c>
      <c r="AB46" s="117" t="str">
        <f>IF($A46="","",IF($J46=0,"n.b.",SUMIFS(STG_ZPMW03!$BZ$6:$BZ$505,STG_ZPMW03!$B$6:$B$505,$A46)))</f>
        <v/>
      </c>
      <c r="AC46" s="117" t="str">
        <f>IF($A46="","",IF($J46=0,"n.b.",SUMIFS(STG_ZPMW03!$CB$6:$CB$505,STG_ZPMW03!$B$6:$B$505,$A46)))</f>
        <v/>
      </c>
      <c r="AD46" s="117" t="str">
        <f>IF($A46="","",IF($J46=0,"n.b.",SUMIFS(STG_ZPMW03!$CC$6:$CC$505,STG_ZPMW03!$B$6:$B$505,$A46)))</f>
        <v/>
      </c>
      <c r="AE46" s="117" t="str">
        <f>IF($A46="","",IF($J46=0,"n.b.",SUMIFS(STG_ZPMW03!$CE$6:$CE$505,STG_ZPMW03!$B$6:$B$505,$A46)))</f>
        <v/>
      </c>
      <c r="AF46" s="117" t="str">
        <f>IF($A46="","",IF($J46=0,"n.b.",SUMIFS(STG_ZPMW03!$CG$6:$CG$505,STG_ZPMW03!$B$6:$B$505,$A46)))</f>
        <v/>
      </c>
      <c r="AG46" s="117" t="str">
        <f>IF($A46="","",IF($J46=0,"n.b.",SUMIFS(STG_ZPMW03!$CI$6:$CI$505,STG_ZPMW03!$B$6:$B$505,$A46)))</f>
        <v/>
      </c>
      <c r="AH46" s="117" t="str">
        <f>IF($A46="","",IF($J46=0,"n.b.",SUMIFS(STG_ZPMW03!$CK$6:$CK$505,STG_ZPMW03!$B$6:$B$505,$A46)))</f>
        <v/>
      </c>
      <c r="AI46" s="117" t="str">
        <f>IF($A46="","",IF($J46=0,"n.b.",SUMIFS(STG_ZPMW03!$CM$6:$CM$505,STG_ZPMW03!$B$6:$B$505,$A46)))</f>
        <v/>
      </c>
      <c r="AJ46" s="117" t="str">
        <f>IF($A46="","",IF($J46=0,"n.b.",SUMIFS(STG_ZPMW03!$CO$6:$CO$505,STG_ZPMW03!$B$6:$B$505,$A46)))</f>
        <v/>
      </c>
      <c r="AK46" s="117" t="str">
        <f>IF($A46="","",IF($J46=0,"n.b.",SUMIFS(STG_ZPMW03!$CQ$6:$CQ$505,STG_ZPMW03!$B$6:$B$505,$A46)))</f>
        <v/>
      </c>
      <c r="AL46" s="117" t="str">
        <f>IF($A46="","",IF($J46=0,"n.b.",SUMIFS(STG_ZPMW03!$CD$6:$CD$505,STG_ZPMW03!$B$6:$B$505,$A46)))</f>
        <v/>
      </c>
      <c r="AM46" s="117" t="str">
        <f>IF($A46="","",IF($J46=0,"n.b.",SUMIFS(STG_ZPMW03!$CF$6:$CF$505,STG_ZPMW03!$B$6:$B$505,$A46)))</f>
        <v/>
      </c>
      <c r="AN46" s="117" t="str">
        <f>IF($A46="","",IF($J46=0,"n.b.",SUMIFS(STG_ZPMW03!$CH$6:$CH$505,STG_ZPMW03!$B$6:$B$505,$A46)))</f>
        <v/>
      </c>
      <c r="AO46" s="117" t="str">
        <f>IF($A46="","",IF($J46=0,"n.b.",SUMIFS(STG_ZPMW03!$CJ$6:$CJ$505,STG_ZPMW03!$B$6:$B$505,$A46)))</f>
        <v/>
      </c>
      <c r="AP46" s="117" t="str">
        <f>IF($A46="","",IF($J46=0,"n.b.",SUMIFS(STG_ZPMW03!$CL$6:$CL$505,STG_ZPMW03!$B$6:$B$505,$A46)))</f>
        <v/>
      </c>
      <c r="AQ46" s="117" t="str">
        <f>IF($A46="","",IF($J46=0,"n.b.",SUMIFS(STG_ZPMW03!$CN$6:$CN$505,STG_ZPMW03!$B$6:$B$505,$A46)))</f>
        <v/>
      </c>
      <c r="AR46" s="117" t="str">
        <f>IF($A46="","",IF($J46=0,"n.b.",SUMIFS(STG_ZPMW03!$CP$6:$CP$505,STG_ZPMW03!$B$6:$B$505,$A46)))</f>
        <v/>
      </c>
      <c r="AS46" s="117" t="str">
        <f>IF($A46="","",IF($J46=0,"n.b.",SUMIFS(STG_ZPMW03!$CR$6:$CR$505,STG_ZPMW03!$B$6:$B$505,$A46)))</f>
        <v/>
      </c>
      <c r="AT46" s="117" t="str">
        <f>IF($A46="","",IF($K46=0,"n.b.",SUMIFS(STG_Woningetalage!$Q$6:$Q$505,STG_Woningetalage!$B$6:$B$505,$A46)))</f>
        <v/>
      </c>
      <c r="AU46" s="117" t="str">
        <f>IF($A46="","",IF($K46=0,"n.b.",SUMIFS(STG_Woningetalage!$R$6:$R$505,STG_Woningetalage!$B$6:$B$505,$A46)))</f>
        <v/>
      </c>
      <c r="AV46" s="117" t="str">
        <f>IF($A46="","",IF($K46=0,"n.b.",SUMIFS(STG_Woningetalage!$S$6:$S$505,STG_Woningetalage!$B$6:$B$505,$A46)))</f>
        <v/>
      </c>
      <c r="AW46" s="117" t="str">
        <f>IF($A46="","",IF($K46=0,"n.b.",SUMIFS(STG_Woningetalage!$T$6:$T$505,STG_Woningetalage!$B$6:$B$505,$A46)))</f>
        <v/>
      </c>
      <c r="AX46" s="117" t="str">
        <f>IF($A46="","",IF($K46=0,"n.b.",SUMIFS(STG_Woningetalage!$U$6:$U$505,STG_Woningetalage!$B$6:$B$505,$A46)))</f>
        <v/>
      </c>
      <c r="AY46" s="117" t="str">
        <f>IF($A46="","",IF($K46=0,"n.b.",SUMIFS(STG_Woningetalage!$V$6:$V$505,STG_Woningetalage!$B$6:$B$505,$A46)))</f>
        <v/>
      </c>
      <c r="AZ46" s="117" t="str">
        <f>IF($A46="","",IF($K46=0,"n.b.",SUMIFS(STG_Woningetalage!$W$6:$W$505,STG_Woningetalage!$B$6:$B$505,$A46)))</f>
        <v/>
      </c>
      <c r="BA46" s="117" t="str">
        <f>IF($A46="","",IF($K46=0,"n.b.",SUMIFS(STG_Woningetalage!$X$6:$X$505,STG_Woningetalage!$B$6:$B$505,$A46)))</f>
        <v/>
      </c>
      <c r="BB46" s="117" t="str">
        <f>IF($A46="","",IF($K46=0,"n.b.",SUMIFS(STG_Woningetalage!$Y$6:$Y$505,STG_Woningetalage!$B$6:$B$505,$A46)))</f>
        <v/>
      </c>
      <c r="BC46" s="117" t="str">
        <f>IF($A46="","",IF($K46=0,"n.b.",SUMIFS(STG_Woningetalage!$Z$6:$Z$505,STG_Woningetalage!$B$6:$B$505,$A46)))</f>
        <v/>
      </c>
      <c r="BD46" s="117" t="str">
        <f>IF($A46="","",IF($K46=0,"n.b.",SUMIFS(STG_Woningetalage!$AA$6:$AA$505,STG_Woningetalage!$B$6:$B$505,$A46)))</f>
        <v/>
      </c>
      <c r="BE46" s="117" t="str">
        <f>IF($A46="","",IF($K46=0,"n.b.",SUMIFS(STG_Woningetalage!$AB$6:$AB$505,STG_Woningetalage!$B$6:$B$505,$A46)))</f>
        <v/>
      </c>
      <c r="BF46" s="117" t="str">
        <f>IF($A46="","",IF($K46=0,"n.b.",SUMIFS(STG_Woningetalage!$AC$6:$AC$505,STG_Woningetalage!$B$6:$B$505,$A46)))</f>
        <v/>
      </c>
      <c r="BG46" s="117" t="str">
        <f>IF($A46="","",IF($K46=0,"n.b.",SUMIFS(STG_Woningetalage!$AD$6:$AD$505,STG_Woningetalage!$B$6:$B$505,$A46)))</f>
        <v/>
      </c>
      <c r="BH46" s="117" t="str">
        <f>IF($A46="","",IF($K46=0,"n.b.",SUMIFS(STG_Woningetalage!$AE$6:$AE$505,STG_Woningetalage!$B$6:$B$505,$A46)))</f>
        <v/>
      </c>
      <c r="BI46" s="117" t="str">
        <f>IF($A46="","",IF($K46=0,"n.b.",SUMIFS(STG_Woningetalage!$AF$6:$AF$505,STG_Woningetalage!$B$6:$B$505,$A46)))</f>
        <v/>
      </c>
      <c r="BJ46" s="117" t="str">
        <f>IF($A46="","",IF($K46=0,"n.b.",SUMIFS(STG_Woningetalage!$AG$6:$AG$505,STG_Woningetalage!$B$6:$B$505,$A46)))</f>
        <v/>
      </c>
      <c r="BK46" s="117" t="str">
        <f>IF($A46="","",IF($K46=0,"n.b.",SUMIFS(STG_Woningetalage!$AH$6:$AH$505,STG_Woningetalage!$B$6:$B$505,$A46)))</f>
        <v/>
      </c>
      <c r="BL46" s="117" t="str">
        <f>IF($A46="","",IF($K46=0,"n.b.",SUMIFS(STG_Woningetalage!$AI$6:$AI$505,STG_Woningetalage!$B$6:$B$505,$A46)))</f>
        <v/>
      </c>
      <c r="BM46" s="117" t="str">
        <f>IF($A46="","",IF($K46=0,"n.b.",SUMIFS(STG_Woningetalage!$AJ$6:$AJ$505,STG_Woningetalage!$B$6:$B$505,$A46)))</f>
        <v/>
      </c>
      <c r="BN46" s="117" t="str">
        <f>IF($A46="","",IF($K46=0,"n.b.",SUMIFS(STG_Woningetalage!$AK$6:$AK$505,STG_Woningetalage!$B$6:$B$505,$A46)))</f>
        <v/>
      </c>
      <c r="BO46" s="117" t="str">
        <f>IF($A46="","",IF($K46=0,"n.b.",SUMIFS(STG_Woningetalage!$AL$6:$AL$505,STG_Woningetalage!$B$6:$B$505,$A46)))</f>
        <v/>
      </c>
      <c r="BP46" s="117" t="str">
        <f>IF($A46="","",IF($K46=0,"n.b.",SUMIFS(STG_Woningetalage!$AM$6:$AM$505,STG_Woningetalage!$B$6:$B$505,$A46)))</f>
        <v/>
      </c>
      <c r="BQ46" s="117" t="str">
        <f>IF($A46="","",IF($K46=0,"n.b.",SUMIFS(STG_Woningetalage!$BE$6:$BE$505,STG_Woningetalage!$B$6:$B$505,$A46)))</f>
        <v/>
      </c>
      <c r="BR46" s="117" t="str">
        <f>IF($A46="","",IF($K46=0,"n.b.",SUMIFS(STG_Woningetalage!$BF$6:$BF$505,STG_Woningetalage!$B$6:$B$505,$A46)))</f>
        <v/>
      </c>
      <c r="BS46" s="117" t="str">
        <f>IF($A46="","",IF($K46=0,"n.b.",SUMIFS(STG_Woningetalage!$BG$6:$BG$505,STG_Woningetalage!$B$6:$B$505,$A46)))</f>
        <v/>
      </c>
      <c r="BT46" s="117" t="str">
        <f>IF($A46="","",IF($K46=0,"n.b.",SUMIFS(STG_Woningetalage!$BH$6:$BH$505,STG_Woningetalage!$B$6:$B$505,$A46)))</f>
        <v/>
      </c>
      <c r="BU46" s="117" t="str">
        <f>IF($A46="","",IF($K46=0,"n.b.",SUMIFS(STG_Woningetalage!$BI$6:$BI$505,STG_Woningetalage!$B$6:$B$505,$A46)))</f>
        <v/>
      </c>
      <c r="BV46" s="117" t="str">
        <f>IF($A46="","",IF($K46=0,"n.b.",SUMIFS(STG_Woningetalage!$BJ$6:$BJ$505,STG_Woningetalage!$B$6:$B$505,$A46)))</f>
        <v/>
      </c>
      <c r="BW46" s="117" t="str">
        <f>IF($A46="","",IF($K46=0,"n.b.",SUMIFS(STG_Woningetalage!$AR$6:$AR$505,STG_Woningetalage!$B$6:$B$505,$A46)))</f>
        <v/>
      </c>
      <c r="BX46" s="117" t="str">
        <f>IF($A46="","",IF($K46=0,"n.b.",SUMIFS(STG_Woningetalage!$AS$6:$AS$505,STG_Woningetalage!$B$6:$B$505,$A46)))</f>
        <v/>
      </c>
      <c r="BY46" s="117" t="str">
        <f>IF($A46="","",IF($K46=0,"n.b.",SUMIFS(STG_Woningetalage!$AN$6:$AN$505,STG_Woningetalage!$B$6:$B$505,$A46)))</f>
        <v/>
      </c>
      <c r="BZ46" s="117" t="str">
        <f>IF($A46="","",IF($K46=0,"n.b.",SUMIFS(STG_Woningetalage!$AO$6:$AO$505,STG_Woningetalage!$B$6:$B$505,$A46)))</f>
        <v/>
      </c>
      <c r="CA46" s="117" t="str">
        <f>IF($A46="","",IF($K46=0,"n.b.",SUMIFS(STG_Woningetalage!$AP$6:$AP$505,STG_Woningetalage!$B$6:$B$505,$A46)))</f>
        <v/>
      </c>
      <c r="CB46" s="117" t="str">
        <f>IF($A46="","",IF($K46=0,"n.b.",SUMIFS(STG_Woningetalage!$AQ$6:$AQ$505,STG_Woningetalage!$B$6:$B$505,$A46)))</f>
        <v/>
      </c>
      <c r="CC46" s="117" t="str">
        <f>IF($A46="","",IF($K46=0,"n.b.",SUMIFS(STG_Woningetalage!$AU$6:$AU$505,STG_Woningetalage!$B$6:$B$505,$A46)))</f>
        <v/>
      </c>
      <c r="CD46" s="92" t="str">
        <f>IF($A46="","",IFERROR(INDEX(STG_ZPMW03!$L$6:$L$505,MATCH($A46,STG_ZPMW03!$B$6:$B$505,0)),"n.b."))</f>
        <v/>
      </c>
      <c r="CE46" s="92" t="str">
        <f>IF($A46="","",IFERROR(INDEX(STG_ZPMW03!$K$6:$K$505,MATCH($A46,STG_ZPMW03!$B$6:$B$505,0)),"n.b."))</f>
        <v/>
      </c>
      <c r="CF46" s="92" t="str">
        <f>IF($A46="","",IFERROR(INDEX(STG_ZPMW03!$BH$6:$BH$505,MATCH($A46,STG_ZPMW03!$B$6:$B$505,0)),"n.b."))</f>
        <v/>
      </c>
      <c r="CG46" s="92" t="str">
        <f>IF($A46="","",IFERROR(INDEX(STG_ZPMW03!$BI$6:$BI$505,MATCH($A46,STG_ZPMW03!$B$6:$B$505,0)),"n.b."))</f>
        <v/>
      </c>
      <c r="CH46" s="92" t="str">
        <f>IF($A46="","",IFERROR(INDEX(STG_ZPMW03!$BJ$6:$BJ$505,MATCH($A46,STG_ZPMW03!$B$6:$B$505,0)),"n.b."))</f>
        <v/>
      </c>
      <c r="CI46" s="92" t="str">
        <f>IF($A46="","",IFERROR(INDEX(STG_ZPMW03!$BF$6:$BF$505,MATCH($A46,STG_ZPMW03!$B$6:$B$505,0)),"n.b."))</f>
        <v/>
      </c>
      <c r="CJ46" s="92" t="str">
        <f>IF($A46="","",IFERROR(INDEX(STG_ZPMW03!$BG$6:$BG$505,MATCH($A46,STG_ZPMW03!$B$6:$B$505,0)),"n.b."))</f>
        <v/>
      </c>
      <c r="CK46" s="92" t="str">
        <f>IF($A46="","",IFERROR(INDEX(STG_ZPMW03!$H$6:$H$505,MATCH($A46,STG_ZPMW03!$B$6:$B$505,0)),"n.b."))</f>
        <v/>
      </c>
      <c r="CL46" s="92" t="str">
        <f>IF($A46="","",IFERROR(INDEX(STG_ZPMW03!$E$6:$E$505,MATCH($A46,STG_ZPMW03!$B$6:$B$505,0)),"n.b."))</f>
        <v/>
      </c>
      <c r="CM46" s="92" t="str">
        <f>IF($A46="","",IFERROR(INDEX(STG_ZPMW03!$G$6:$G$505,MATCH($A46,STG_ZPMW03!$B$6:$B$505,0)),"n.b."))</f>
        <v/>
      </c>
      <c r="CN46" s="92" t="str">
        <f>IF($A46="","",IFERROR(INDEX(STG_Woningetalage!$N$6:$N$505,MATCH($A46,STG_Woningetalage!$B$6:$B$505,0)),"n.b."))</f>
        <v/>
      </c>
      <c r="CO46" s="92" t="str">
        <f>IF($A46="","",IFERROR(INDEX(STG_Woningetalage!$P$6:$P$505,MATCH($A46,STG_Woningetalage!$B$6:$B$505,0)),"n.b."))</f>
        <v/>
      </c>
      <c r="CP46" s="118" t="str">
        <f>IF($A46="","",IF(AND(ISNUMBER(AT46),ISNUMBER(F46)),IF(F46&gt;0,AT46/(F46/100),"n.b."),"n.b."))</f>
        <v/>
      </c>
      <c r="CQ46" s="116" t="str">
        <f>IF($A46="","",IF(ISNUMBER(Q46),IF(Q46&lt;0,1,0),0))</f>
        <v/>
      </c>
      <c r="CR46" s="116" t="str">
        <f>IF(CQ46=1,COUNTIF($CQ$6:CQ46,1),"")</f>
        <v/>
      </c>
      <c r="CS46" s="116" t="str">
        <f>IF(AND($A46&lt;&gt;"",$J46=0),COUNTIFS($A$6:$A46,"?*",$J$6:$J46,0),"")</f>
        <v/>
      </c>
      <c r="CT46" s="119" t="str">
        <f>IF($A46="","",IF(AND(ISNUMBER(Q46),ISNUMBER(P46)),IF(P46&lt;&gt;0,Q46/P46,"n.b."),"n.b."))</f>
        <v/>
      </c>
    </row>
    <row r="47">
      <c r="A47" s="92" t="str">
        <f>IF(Mapping!$A46="","",Mapping!$A46)</f>
        <v/>
      </c>
      <c r="B47" s="92" t="str">
        <f>IF(Mapping!$B46="","",Mapping!$B46)</f>
        <v/>
      </c>
      <c r="C47" s="92" t="str">
        <f>IF(Mapping!$C46="","",Mapping!$C46)</f>
        <v/>
      </c>
      <c r="D47" s="92" t="str">
        <f>IF(Mapping!$F46="","",Mapping!$F46)</f>
        <v/>
      </c>
      <c r="E47" s="92" t="str">
        <f>IF(Mapping!$H46="","",Mapping!$H46)</f>
        <v/>
      </c>
      <c r="F47" s="92" t="str">
        <f>IF(Mapping!$E46="","",Mapping!$E46)</f>
        <v/>
      </c>
      <c r="G47" s="92" t="str">
        <f>IF(Mapping!$G46="","",Mapping!$G46)</f>
        <v/>
      </c>
      <c r="H47" s="92" t="str">
        <f>IF(Mapping!$D46="","",Mapping!$D46)</f>
        <v/>
      </c>
      <c r="I47" s="92" t="str">
        <f>IF($A47="","",IFERROR(INDEX(STG_ZPMW03!$C$6:$C$505,MATCH($A47,STG_ZPMW03!$B$6:$B$505,0)),"n.b."))</f>
        <v/>
      </c>
      <c r="J47" s="116" t="str">
        <f>IF($A47="","",COUNTIF(STG_ZPMW03!$B$6:$B$505,$A47))</f>
        <v/>
      </c>
      <c r="K47" s="116" t="str">
        <f>IF($A47="","",COUNTIF(STG_Woningetalage!$B$6:$B$505,$A47))</f>
        <v/>
      </c>
      <c r="L47" s="117" t="str">
        <f>IF($A47="","",IF($J47=0,"n.b.",SUMIFS(STG_ZPMW03!$BK$6:$BK$505,STG_ZPMW03!$B$6:$B$505,$A47)))</f>
        <v/>
      </c>
      <c r="M47" s="117" t="str">
        <f>IF($A47="","",IF($J47=0,"n.b.",SUMIFS(STG_ZPMW03!$BL$6:$BL$505,STG_ZPMW03!$B$6:$B$505,$A47)))</f>
        <v/>
      </c>
      <c r="N47" s="117" t="str">
        <f>IF($A47="","",IF($J47=0,"n.b.",SUMIFS(STG_ZPMW03!$BM$6:$BM$505,STG_ZPMW03!$B$6:$B$505,$A47)))</f>
        <v/>
      </c>
      <c r="O47" s="117" t="str">
        <f>IF($A47="","",IF($J47=0,"n.b.",SUMIFS(STG_ZPMW03!$BN$6:$BN$505,STG_ZPMW03!$B$6:$B$505,$A47)))</f>
        <v/>
      </c>
      <c r="P47" s="117" t="str">
        <f>IF($A47="","",IF($J47=0,"n.b.",SUMIFS(STG_ZPMW03!$BO$6:$BO$505,STG_ZPMW03!$B$6:$B$505,$A47)))</f>
        <v/>
      </c>
      <c r="Q47" s="117" t="str">
        <f>IF($A47="","",IF($J47=0,"n.b.",SUMIFS(STG_ZPMW03!$BP$6:$BP$505,STG_ZPMW03!$B$6:$B$505,$A47)))</f>
        <v/>
      </c>
      <c r="R47" s="117" t="str">
        <f>IF($A47="","",IF($J47=0,"n.b.",SUMIFS(STG_ZPMW03!$BQ$6:$BQ$505,STG_ZPMW03!$B$6:$B$505,$A47)))</f>
        <v/>
      </c>
      <c r="S47" s="117" t="str">
        <f>IF($A47="","",IF($J47=0,"n.b.",SUMIFS(STG_ZPMW03!$BR$6:$BR$505,STG_ZPMW03!$B$6:$B$505,$A47)))</f>
        <v/>
      </c>
      <c r="T47" s="117" t="str">
        <f>IF($A47="","",IF($J47=0,"n.b.",SUMIFS(STG_ZPMW03!$BS$6:$BS$505,STG_ZPMW03!$B$6:$B$505,$A47)))</f>
        <v/>
      </c>
      <c r="U47" s="117" t="str">
        <f>IF($A47="","",IF($J47=0,"n.b.",SUMIFS(STG_ZPMW03!$BT$6:$BT$505,STG_ZPMW03!$B$6:$B$505,$A47)))</f>
        <v/>
      </c>
      <c r="V47" s="117" t="str">
        <f>IF($A47="","",IF($J47=0,"n.b.",SUMIFS(STG_ZPMW03!$BU$6:$BU$505,STG_ZPMW03!$B$6:$B$505,$A47)))</f>
        <v/>
      </c>
      <c r="W47" s="117" t="str">
        <f>IF($A47="","",IF($J47=0,"n.b.",SUMIFS(STG_ZPMW03!$BW$6:$BW$505,STG_ZPMW03!$B$6:$B$505,$A47)))</f>
        <v/>
      </c>
      <c r="X47" s="117" t="str">
        <f>IF($A47="","",IF($J47=0,"n.b.",SUMIFS(STG_ZPMW03!$BY$6:$BY$505,STG_ZPMW03!$B$6:$B$505,$A47)))</f>
        <v/>
      </c>
      <c r="Y47" s="117" t="str">
        <f>IF($A47="","",IF($J47=0,"n.b.",SUMIFS(STG_ZPMW03!$CA$6:$CA$505,STG_ZPMW03!$B$6:$B$505,$A47)))</f>
        <v/>
      </c>
      <c r="Z47" s="117" t="str">
        <f>IF($A47="","",IF($J47=0,"n.b.",SUMIFS(STG_ZPMW03!$BV$6:$BV$505,STG_ZPMW03!$B$6:$B$505,$A47)))</f>
        <v/>
      </c>
      <c r="AA47" s="117" t="str">
        <f>IF($A47="","",IF($J47=0,"n.b.",SUMIFS(STG_ZPMW03!$BX$6:$BX$505,STG_ZPMW03!$B$6:$B$505,$A47)))</f>
        <v/>
      </c>
      <c r="AB47" s="117" t="str">
        <f>IF($A47="","",IF($J47=0,"n.b.",SUMIFS(STG_ZPMW03!$BZ$6:$BZ$505,STG_ZPMW03!$B$6:$B$505,$A47)))</f>
        <v/>
      </c>
      <c r="AC47" s="117" t="str">
        <f>IF($A47="","",IF($J47=0,"n.b.",SUMIFS(STG_ZPMW03!$CB$6:$CB$505,STG_ZPMW03!$B$6:$B$505,$A47)))</f>
        <v/>
      </c>
      <c r="AD47" s="117" t="str">
        <f>IF($A47="","",IF($J47=0,"n.b.",SUMIFS(STG_ZPMW03!$CC$6:$CC$505,STG_ZPMW03!$B$6:$B$505,$A47)))</f>
        <v/>
      </c>
      <c r="AE47" s="117" t="str">
        <f>IF($A47="","",IF($J47=0,"n.b.",SUMIFS(STG_ZPMW03!$CE$6:$CE$505,STG_ZPMW03!$B$6:$B$505,$A47)))</f>
        <v/>
      </c>
      <c r="AF47" s="117" t="str">
        <f>IF($A47="","",IF($J47=0,"n.b.",SUMIFS(STG_ZPMW03!$CG$6:$CG$505,STG_ZPMW03!$B$6:$B$505,$A47)))</f>
        <v/>
      </c>
      <c r="AG47" s="117" t="str">
        <f>IF($A47="","",IF($J47=0,"n.b.",SUMIFS(STG_ZPMW03!$CI$6:$CI$505,STG_ZPMW03!$B$6:$B$505,$A47)))</f>
        <v/>
      </c>
      <c r="AH47" s="117" t="str">
        <f>IF($A47="","",IF($J47=0,"n.b.",SUMIFS(STG_ZPMW03!$CK$6:$CK$505,STG_ZPMW03!$B$6:$B$505,$A47)))</f>
        <v/>
      </c>
      <c r="AI47" s="117" t="str">
        <f>IF($A47="","",IF($J47=0,"n.b.",SUMIFS(STG_ZPMW03!$CM$6:$CM$505,STG_ZPMW03!$B$6:$B$505,$A47)))</f>
        <v/>
      </c>
      <c r="AJ47" s="117" t="str">
        <f>IF($A47="","",IF($J47=0,"n.b.",SUMIFS(STG_ZPMW03!$CO$6:$CO$505,STG_ZPMW03!$B$6:$B$505,$A47)))</f>
        <v/>
      </c>
      <c r="AK47" s="117" t="str">
        <f>IF($A47="","",IF($J47=0,"n.b.",SUMIFS(STG_ZPMW03!$CQ$6:$CQ$505,STG_ZPMW03!$B$6:$B$505,$A47)))</f>
        <v/>
      </c>
      <c r="AL47" s="117" t="str">
        <f>IF($A47="","",IF($J47=0,"n.b.",SUMIFS(STG_ZPMW03!$CD$6:$CD$505,STG_ZPMW03!$B$6:$B$505,$A47)))</f>
        <v/>
      </c>
      <c r="AM47" s="117" t="str">
        <f>IF($A47="","",IF($J47=0,"n.b.",SUMIFS(STG_ZPMW03!$CF$6:$CF$505,STG_ZPMW03!$B$6:$B$505,$A47)))</f>
        <v/>
      </c>
      <c r="AN47" s="117" t="str">
        <f>IF($A47="","",IF($J47=0,"n.b.",SUMIFS(STG_ZPMW03!$CH$6:$CH$505,STG_ZPMW03!$B$6:$B$505,$A47)))</f>
        <v/>
      </c>
      <c r="AO47" s="117" t="str">
        <f>IF($A47="","",IF($J47=0,"n.b.",SUMIFS(STG_ZPMW03!$CJ$6:$CJ$505,STG_ZPMW03!$B$6:$B$505,$A47)))</f>
        <v/>
      </c>
      <c r="AP47" s="117" t="str">
        <f>IF($A47="","",IF($J47=0,"n.b.",SUMIFS(STG_ZPMW03!$CL$6:$CL$505,STG_ZPMW03!$B$6:$B$505,$A47)))</f>
        <v/>
      </c>
      <c r="AQ47" s="117" t="str">
        <f>IF($A47="","",IF($J47=0,"n.b.",SUMIFS(STG_ZPMW03!$CN$6:$CN$505,STG_ZPMW03!$B$6:$B$505,$A47)))</f>
        <v/>
      </c>
      <c r="AR47" s="117" t="str">
        <f>IF($A47="","",IF($J47=0,"n.b.",SUMIFS(STG_ZPMW03!$CP$6:$CP$505,STG_ZPMW03!$B$6:$B$505,$A47)))</f>
        <v/>
      </c>
      <c r="AS47" s="117" t="str">
        <f>IF($A47="","",IF($J47=0,"n.b.",SUMIFS(STG_ZPMW03!$CR$6:$CR$505,STG_ZPMW03!$B$6:$B$505,$A47)))</f>
        <v/>
      </c>
      <c r="AT47" s="117" t="str">
        <f>IF($A47="","",IF($K47=0,"n.b.",SUMIFS(STG_Woningetalage!$Q$6:$Q$505,STG_Woningetalage!$B$6:$B$505,$A47)))</f>
        <v/>
      </c>
      <c r="AU47" s="117" t="str">
        <f>IF($A47="","",IF($K47=0,"n.b.",SUMIFS(STG_Woningetalage!$R$6:$R$505,STG_Woningetalage!$B$6:$B$505,$A47)))</f>
        <v/>
      </c>
      <c r="AV47" s="117" t="str">
        <f>IF($A47="","",IF($K47=0,"n.b.",SUMIFS(STG_Woningetalage!$S$6:$S$505,STG_Woningetalage!$B$6:$B$505,$A47)))</f>
        <v/>
      </c>
      <c r="AW47" s="117" t="str">
        <f>IF($A47="","",IF($K47=0,"n.b.",SUMIFS(STG_Woningetalage!$T$6:$T$505,STG_Woningetalage!$B$6:$B$505,$A47)))</f>
        <v/>
      </c>
      <c r="AX47" s="117" t="str">
        <f>IF($A47="","",IF($K47=0,"n.b.",SUMIFS(STG_Woningetalage!$U$6:$U$505,STG_Woningetalage!$B$6:$B$505,$A47)))</f>
        <v/>
      </c>
      <c r="AY47" s="117" t="str">
        <f>IF($A47="","",IF($K47=0,"n.b.",SUMIFS(STG_Woningetalage!$V$6:$V$505,STG_Woningetalage!$B$6:$B$505,$A47)))</f>
        <v/>
      </c>
      <c r="AZ47" s="117" t="str">
        <f>IF($A47="","",IF($K47=0,"n.b.",SUMIFS(STG_Woningetalage!$W$6:$W$505,STG_Woningetalage!$B$6:$B$505,$A47)))</f>
        <v/>
      </c>
      <c r="BA47" s="117" t="str">
        <f>IF($A47="","",IF($K47=0,"n.b.",SUMIFS(STG_Woningetalage!$X$6:$X$505,STG_Woningetalage!$B$6:$B$505,$A47)))</f>
        <v/>
      </c>
      <c r="BB47" s="117" t="str">
        <f>IF($A47="","",IF($K47=0,"n.b.",SUMIFS(STG_Woningetalage!$Y$6:$Y$505,STG_Woningetalage!$B$6:$B$505,$A47)))</f>
        <v/>
      </c>
      <c r="BC47" s="117" t="str">
        <f>IF($A47="","",IF($K47=0,"n.b.",SUMIFS(STG_Woningetalage!$Z$6:$Z$505,STG_Woningetalage!$B$6:$B$505,$A47)))</f>
        <v/>
      </c>
      <c r="BD47" s="117" t="str">
        <f>IF($A47="","",IF($K47=0,"n.b.",SUMIFS(STG_Woningetalage!$AA$6:$AA$505,STG_Woningetalage!$B$6:$B$505,$A47)))</f>
        <v/>
      </c>
      <c r="BE47" s="117" t="str">
        <f>IF($A47="","",IF($K47=0,"n.b.",SUMIFS(STG_Woningetalage!$AB$6:$AB$505,STG_Woningetalage!$B$6:$B$505,$A47)))</f>
        <v/>
      </c>
      <c r="BF47" s="117" t="str">
        <f>IF($A47="","",IF($K47=0,"n.b.",SUMIFS(STG_Woningetalage!$AC$6:$AC$505,STG_Woningetalage!$B$6:$B$505,$A47)))</f>
        <v/>
      </c>
      <c r="BG47" s="117" t="str">
        <f>IF($A47="","",IF($K47=0,"n.b.",SUMIFS(STG_Woningetalage!$AD$6:$AD$505,STG_Woningetalage!$B$6:$B$505,$A47)))</f>
        <v/>
      </c>
      <c r="BH47" s="117" t="str">
        <f>IF($A47="","",IF($K47=0,"n.b.",SUMIFS(STG_Woningetalage!$AE$6:$AE$505,STG_Woningetalage!$B$6:$B$505,$A47)))</f>
        <v/>
      </c>
      <c r="BI47" s="117" t="str">
        <f>IF($A47="","",IF($K47=0,"n.b.",SUMIFS(STG_Woningetalage!$AF$6:$AF$505,STG_Woningetalage!$B$6:$B$505,$A47)))</f>
        <v/>
      </c>
      <c r="BJ47" s="117" t="str">
        <f>IF($A47="","",IF($K47=0,"n.b.",SUMIFS(STG_Woningetalage!$AG$6:$AG$505,STG_Woningetalage!$B$6:$B$505,$A47)))</f>
        <v/>
      </c>
      <c r="BK47" s="117" t="str">
        <f>IF($A47="","",IF($K47=0,"n.b.",SUMIFS(STG_Woningetalage!$AH$6:$AH$505,STG_Woningetalage!$B$6:$B$505,$A47)))</f>
        <v/>
      </c>
      <c r="BL47" s="117" t="str">
        <f>IF($A47="","",IF($K47=0,"n.b.",SUMIFS(STG_Woningetalage!$AI$6:$AI$505,STG_Woningetalage!$B$6:$B$505,$A47)))</f>
        <v/>
      </c>
      <c r="BM47" s="117" t="str">
        <f>IF($A47="","",IF($K47=0,"n.b.",SUMIFS(STG_Woningetalage!$AJ$6:$AJ$505,STG_Woningetalage!$B$6:$B$505,$A47)))</f>
        <v/>
      </c>
      <c r="BN47" s="117" t="str">
        <f>IF($A47="","",IF($K47=0,"n.b.",SUMIFS(STG_Woningetalage!$AK$6:$AK$505,STG_Woningetalage!$B$6:$B$505,$A47)))</f>
        <v/>
      </c>
      <c r="BO47" s="117" t="str">
        <f>IF($A47="","",IF($K47=0,"n.b.",SUMIFS(STG_Woningetalage!$AL$6:$AL$505,STG_Woningetalage!$B$6:$B$505,$A47)))</f>
        <v/>
      </c>
      <c r="BP47" s="117" t="str">
        <f>IF($A47="","",IF($K47=0,"n.b.",SUMIFS(STG_Woningetalage!$AM$6:$AM$505,STG_Woningetalage!$B$6:$B$505,$A47)))</f>
        <v/>
      </c>
      <c r="BQ47" s="117" t="str">
        <f>IF($A47="","",IF($K47=0,"n.b.",SUMIFS(STG_Woningetalage!$BE$6:$BE$505,STG_Woningetalage!$B$6:$B$505,$A47)))</f>
        <v/>
      </c>
      <c r="BR47" s="117" t="str">
        <f>IF($A47="","",IF($K47=0,"n.b.",SUMIFS(STG_Woningetalage!$BF$6:$BF$505,STG_Woningetalage!$B$6:$B$505,$A47)))</f>
        <v/>
      </c>
      <c r="BS47" s="117" t="str">
        <f>IF($A47="","",IF($K47=0,"n.b.",SUMIFS(STG_Woningetalage!$BG$6:$BG$505,STG_Woningetalage!$B$6:$B$505,$A47)))</f>
        <v/>
      </c>
      <c r="BT47" s="117" t="str">
        <f>IF($A47="","",IF($K47=0,"n.b.",SUMIFS(STG_Woningetalage!$BH$6:$BH$505,STG_Woningetalage!$B$6:$B$505,$A47)))</f>
        <v/>
      </c>
      <c r="BU47" s="117" t="str">
        <f>IF($A47="","",IF($K47=0,"n.b.",SUMIFS(STG_Woningetalage!$BI$6:$BI$505,STG_Woningetalage!$B$6:$B$505,$A47)))</f>
        <v/>
      </c>
      <c r="BV47" s="117" t="str">
        <f>IF($A47="","",IF($K47=0,"n.b.",SUMIFS(STG_Woningetalage!$BJ$6:$BJ$505,STG_Woningetalage!$B$6:$B$505,$A47)))</f>
        <v/>
      </c>
      <c r="BW47" s="117" t="str">
        <f>IF($A47="","",IF($K47=0,"n.b.",SUMIFS(STG_Woningetalage!$AR$6:$AR$505,STG_Woningetalage!$B$6:$B$505,$A47)))</f>
        <v/>
      </c>
      <c r="BX47" s="117" t="str">
        <f>IF($A47="","",IF($K47=0,"n.b.",SUMIFS(STG_Woningetalage!$AS$6:$AS$505,STG_Woningetalage!$B$6:$B$505,$A47)))</f>
        <v/>
      </c>
      <c r="BY47" s="117" t="str">
        <f>IF($A47="","",IF($K47=0,"n.b.",SUMIFS(STG_Woningetalage!$AN$6:$AN$505,STG_Woningetalage!$B$6:$B$505,$A47)))</f>
        <v/>
      </c>
      <c r="BZ47" s="117" t="str">
        <f>IF($A47="","",IF($K47=0,"n.b.",SUMIFS(STG_Woningetalage!$AO$6:$AO$505,STG_Woningetalage!$B$6:$B$505,$A47)))</f>
        <v/>
      </c>
      <c r="CA47" s="117" t="str">
        <f>IF($A47="","",IF($K47=0,"n.b.",SUMIFS(STG_Woningetalage!$AP$6:$AP$505,STG_Woningetalage!$B$6:$B$505,$A47)))</f>
        <v/>
      </c>
      <c r="CB47" s="117" t="str">
        <f>IF($A47="","",IF($K47=0,"n.b.",SUMIFS(STG_Woningetalage!$AQ$6:$AQ$505,STG_Woningetalage!$B$6:$B$505,$A47)))</f>
        <v/>
      </c>
      <c r="CC47" s="117" t="str">
        <f>IF($A47="","",IF($K47=0,"n.b.",SUMIFS(STG_Woningetalage!$AU$6:$AU$505,STG_Woningetalage!$B$6:$B$505,$A47)))</f>
        <v/>
      </c>
      <c r="CD47" s="92" t="str">
        <f>IF($A47="","",IFERROR(INDEX(STG_ZPMW03!$L$6:$L$505,MATCH($A47,STG_ZPMW03!$B$6:$B$505,0)),"n.b."))</f>
        <v/>
      </c>
      <c r="CE47" s="92" t="str">
        <f>IF($A47="","",IFERROR(INDEX(STG_ZPMW03!$K$6:$K$505,MATCH($A47,STG_ZPMW03!$B$6:$B$505,0)),"n.b."))</f>
        <v/>
      </c>
      <c r="CF47" s="92" t="str">
        <f>IF($A47="","",IFERROR(INDEX(STG_ZPMW03!$BH$6:$BH$505,MATCH($A47,STG_ZPMW03!$B$6:$B$505,0)),"n.b."))</f>
        <v/>
      </c>
      <c r="CG47" s="92" t="str">
        <f>IF($A47="","",IFERROR(INDEX(STG_ZPMW03!$BI$6:$BI$505,MATCH($A47,STG_ZPMW03!$B$6:$B$505,0)),"n.b."))</f>
        <v/>
      </c>
      <c r="CH47" s="92" t="str">
        <f>IF($A47="","",IFERROR(INDEX(STG_ZPMW03!$BJ$6:$BJ$505,MATCH($A47,STG_ZPMW03!$B$6:$B$505,0)),"n.b."))</f>
        <v/>
      </c>
      <c r="CI47" s="92" t="str">
        <f>IF($A47="","",IFERROR(INDEX(STG_ZPMW03!$BF$6:$BF$505,MATCH($A47,STG_ZPMW03!$B$6:$B$505,0)),"n.b."))</f>
        <v/>
      </c>
      <c r="CJ47" s="92" t="str">
        <f>IF($A47="","",IFERROR(INDEX(STG_ZPMW03!$BG$6:$BG$505,MATCH($A47,STG_ZPMW03!$B$6:$B$505,0)),"n.b."))</f>
        <v/>
      </c>
      <c r="CK47" s="92" t="str">
        <f>IF($A47="","",IFERROR(INDEX(STG_ZPMW03!$H$6:$H$505,MATCH($A47,STG_ZPMW03!$B$6:$B$505,0)),"n.b."))</f>
        <v/>
      </c>
      <c r="CL47" s="92" t="str">
        <f>IF($A47="","",IFERROR(INDEX(STG_ZPMW03!$E$6:$E$505,MATCH($A47,STG_ZPMW03!$B$6:$B$505,0)),"n.b."))</f>
        <v/>
      </c>
      <c r="CM47" s="92" t="str">
        <f>IF($A47="","",IFERROR(INDEX(STG_ZPMW03!$G$6:$G$505,MATCH($A47,STG_ZPMW03!$B$6:$B$505,0)),"n.b."))</f>
        <v/>
      </c>
      <c r="CN47" s="92" t="str">
        <f>IF($A47="","",IFERROR(INDEX(STG_Woningetalage!$N$6:$N$505,MATCH($A47,STG_Woningetalage!$B$6:$B$505,0)),"n.b."))</f>
        <v/>
      </c>
      <c r="CO47" s="92" t="str">
        <f>IF($A47="","",IFERROR(INDEX(STG_Woningetalage!$P$6:$P$505,MATCH($A47,STG_Woningetalage!$B$6:$B$505,0)),"n.b."))</f>
        <v/>
      </c>
      <c r="CP47" s="118" t="str">
        <f>IF($A47="","",IF(AND(ISNUMBER(AT47),ISNUMBER(F47)),IF(F47&gt;0,AT47/(F47/100),"n.b."),"n.b."))</f>
        <v/>
      </c>
      <c r="CQ47" s="116" t="str">
        <f>IF($A47="","",IF(ISNUMBER(Q47),IF(Q47&lt;0,1,0),0))</f>
        <v/>
      </c>
      <c r="CR47" s="116" t="str">
        <f>IF(CQ47=1,COUNTIF($CQ$6:CQ47,1),"")</f>
        <v/>
      </c>
      <c r="CS47" s="116" t="str">
        <f>IF(AND($A47&lt;&gt;"",$J47=0),COUNTIFS($A$6:$A47,"?*",$J$6:$J47,0),"")</f>
        <v/>
      </c>
      <c r="CT47" s="119" t="str">
        <f>IF($A47="","",IF(AND(ISNUMBER(Q47),ISNUMBER(P47)),IF(P47&lt;&gt;0,Q47/P47,"n.b."),"n.b."))</f>
        <v/>
      </c>
    </row>
    <row r="48">
      <c r="A48" s="92" t="str">
        <f>IF(Mapping!$A47="","",Mapping!$A47)</f>
        <v/>
      </c>
      <c r="B48" s="92" t="str">
        <f>IF(Mapping!$B47="","",Mapping!$B47)</f>
        <v/>
      </c>
      <c r="C48" s="92" t="str">
        <f>IF(Mapping!$C47="","",Mapping!$C47)</f>
        <v/>
      </c>
      <c r="D48" s="92" t="str">
        <f>IF(Mapping!$F47="","",Mapping!$F47)</f>
        <v/>
      </c>
      <c r="E48" s="92" t="str">
        <f>IF(Mapping!$H47="","",Mapping!$H47)</f>
        <v/>
      </c>
      <c r="F48" s="92" t="str">
        <f>IF(Mapping!$E47="","",Mapping!$E47)</f>
        <v/>
      </c>
      <c r="G48" s="92" t="str">
        <f>IF(Mapping!$G47="","",Mapping!$G47)</f>
        <v/>
      </c>
      <c r="H48" s="92" t="str">
        <f>IF(Mapping!$D47="","",Mapping!$D47)</f>
        <v/>
      </c>
      <c r="I48" s="92" t="str">
        <f>IF($A48="","",IFERROR(INDEX(STG_ZPMW03!$C$6:$C$505,MATCH($A48,STG_ZPMW03!$B$6:$B$505,0)),"n.b."))</f>
        <v/>
      </c>
      <c r="J48" s="116" t="str">
        <f>IF($A48="","",COUNTIF(STG_ZPMW03!$B$6:$B$505,$A48))</f>
        <v/>
      </c>
      <c r="K48" s="116" t="str">
        <f>IF($A48="","",COUNTIF(STG_Woningetalage!$B$6:$B$505,$A48))</f>
        <v/>
      </c>
      <c r="L48" s="117" t="str">
        <f>IF($A48="","",IF($J48=0,"n.b.",SUMIFS(STG_ZPMW03!$BK$6:$BK$505,STG_ZPMW03!$B$6:$B$505,$A48)))</f>
        <v/>
      </c>
      <c r="M48" s="117" t="str">
        <f>IF($A48="","",IF($J48=0,"n.b.",SUMIFS(STG_ZPMW03!$BL$6:$BL$505,STG_ZPMW03!$B$6:$B$505,$A48)))</f>
        <v/>
      </c>
      <c r="N48" s="117" t="str">
        <f>IF($A48="","",IF($J48=0,"n.b.",SUMIFS(STG_ZPMW03!$BM$6:$BM$505,STG_ZPMW03!$B$6:$B$505,$A48)))</f>
        <v/>
      </c>
      <c r="O48" s="117" t="str">
        <f>IF($A48="","",IF($J48=0,"n.b.",SUMIFS(STG_ZPMW03!$BN$6:$BN$505,STG_ZPMW03!$B$6:$B$505,$A48)))</f>
        <v/>
      </c>
      <c r="P48" s="117" t="str">
        <f>IF($A48="","",IF($J48=0,"n.b.",SUMIFS(STG_ZPMW03!$BO$6:$BO$505,STG_ZPMW03!$B$6:$B$505,$A48)))</f>
        <v/>
      </c>
      <c r="Q48" s="117" t="str">
        <f>IF($A48="","",IF($J48=0,"n.b.",SUMIFS(STG_ZPMW03!$BP$6:$BP$505,STG_ZPMW03!$B$6:$B$505,$A48)))</f>
        <v/>
      </c>
      <c r="R48" s="117" t="str">
        <f>IF($A48="","",IF($J48=0,"n.b.",SUMIFS(STG_ZPMW03!$BQ$6:$BQ$505,STG_ZPMW03!$B$6:$B$505,$A48)))</f>
        <v/>
      </c>
      <c r="S48" s="117" t="str">
        <f>IF($A48="","",IF($J48=0,"n.b.",SUMIFS(STG_ZPMW03!$BR$6:$BR$505,STG_ZPMW03!$B$6:$B$505,$A48)))</f>
        <v/>
      </c>
      <c r="T48" s="117" t="str">
        <f>IF($A48="","",IF($J48=0,"n.b.",SUMIFS(STG_ZPMW03!$BS$6:$BS$505,STG_ZPMW03!$B$6:$B$505,$A48)))</f>
        <v/>
      </c>
      <c r="U48" s="117" t="str">
        <f>IF($A48="","",IF($J48=0,"n.b.",SUMIFS(STG_ZPMW03!$BT$6:$BT$505,STG_ZPMW03!$B$6:$B$505,$A48)))</f>
        <v/>
      </c>
      <c r="V48" s="117" t="str">
        <f>IF($A48="","",IF($J48=0,"n.b.",SUMIFS(STG_ZPMW03!$BU$6:$BU$505,STG_ZPMW03!$B$6:$B$505,$A48)))</f>
        <v/>
      </c>
      <c r="W48" s="117" t="str">
        <f>IF($A48="","",IF($J48=0,"n.b.",SUMIFS(STG_ZPMW03!$BW$6:$BW$505,STG_ZPMW03!$B$6:$B$505,$A48)))</f>
        <v/>
      </c>
      <c r="X48" s="117" t="str">
        <f>IF($A48="","",IF($J48=0,"n.b.",SUMIFS(STG_ZPMW03!$BY$6:$BY$505,STG_ZPMW03!$B$6:$B$505,$A48)))</f>
        <v/>
      </c>
      <c r="Y48" s="117" t="str">
        <f>IF($A48="","",IF($J48=0,"n.b.",SUMIFS(STG_ZPMW03!$CA$6:$CA$505,STG_ZPMW03!$B$6:$B$505,$A48)))</f>
        <v/>
      </c>
      <c r="Z48" s="117" t="str">
        <f>IF($A48="","",IF($J48=0,"n.b.",SUMIFS(STG_ZPMW03!$BV$6:$BV$505,STG_ZPMW03!$B$6:$B$505,$A48)))</f>
        <v/>
      </c>
      <c r="AA48" s="117" t="str">
        <f>IF($A48="","",IF($J48=0,"n.b.",SUMIFS(STG_ZPMW03!$BX$6:$BX$505,STG_ZPMW03!$B$6:$B$505,$A48)))</f>
        <v/>
      </c>
      <c r="AB48" s="117" t="str">
        <f>IF($A48="","",IF($J48=0,"n.b.",SUMIFS(STG_ZPMW03!$BZ$6:$BZ$505,STG_ZPMW03!$B$6:$B$505,$A48)))</f>
        <v/>
      </c>
      <c r="AC48" s="117" t="str">
        <f>IF($A48="","",IF($J48=0,"n.b.",SUMIFS(STG_ZPMW03!$CB$6:$CB$505,STG_ZPMW03!$B$6:$B$505,$A48)))</f>
        <v/>
      </c>
      <c r="AD48" s="117" t="str">
        <f>IF($A48="","",IF($J48=0,"n.b.",SUMIFS(STG_ZPMW03!$CC$6:$CC$505,STG_ZPMW03!$B$6:$B$505,$A48)))</f>
        <v/>
      </c>
      <c r="AE48" s="117" t="str">
        <f>IF($A48="","",IF($J48=0,"n.b.",SUMIFS(STG_ZPMW03!$CE$6:$CE$505,STG_ZPMW03!$B$6:$B$505,$A48)))</f>
        <v/>
      </c>
      <c r="AF48" s="117" t="str">
        <f>IF($A48="","",IF($J48=0,"n.b.",SUMIFS(STG_ZPMW03!$CG$6:$CG$505,STG_ZPMW03!$B$6:$B$505,$A48)))</f>
        <v/>
      </c>
      <c r="AG48" s="117" t="str">
        <f>IF($A48="","",IF($J48=0,"n.b.",SUMIFS(STG_ZPMW03!$CI$6:$CI$505,STG_ZPMW03!$B$6:$B$505,$A48)))</f>
        <v/>
      </c>
      <c r="AH48" s="117" t="str">
        <f>IF($A48="","",IF($J48=0,"n.b.",SUMIFS(STG_ZPMW03!$CK$6:$CK$505,STG_ZPMW03!$B$6:$B$505,$A48)))</f>
        <v/>
      </c>
      <c r="AI48" s="117" t="str">
        <f>IF($A48="","",IF($J48=0,"n.b.",SUMIFS(STG_ZPMW03!$CM$6:$CM$505,STG_ZPMW03!$B$6:$B$505,$A48)))</f>
        <v/>
      </c>
      <c r="AJ48" s="117" t="str">
        <f>IF($A48="","",IF($J48=0,"n.b.",SUMIFS(STG_ZPMW03!$CO$6:$CO$505,STG_ZPMW03!$B$6:$B$505,$A48)))</f>
        <v/>
      </c>
      <c r="AK48" s="117" t="str">
        <f>IF($A48="","",IF($J48=0,"n.b.",SUMIFS(STG_ZPMW03!$CQ$6:$CQ$505,STG_ZPMW03!$B$6:$B$505,$A48)))</f>
        <v/>
      </c>
      <c r="AL48" s="117" t="str">
        <f>IF($A48="","",IF($J48=0,"n.b.",SUMIFS(STG_ZPMW03!$CD$6:$CD$505,STG_ZPMW03!$B$6:$B$505,$A48)))</f>
        <v/>
      </c>
      <c r="AM48" s="117" t="str">
        <f>IF($A48="","",IF($J48=0,"n.b.",SUMIFS(STG_ZPMW03!$CF$6:$CF$505,STG_ZPMW03!$B$6:$B$505,$A48)))</f>
        <v/>
      </c>
      <c r="AN48" s="117" t="str">
        <f>IF($A48="","",IF($J48=0,"n.b.",SUMIFS(STG_ZPMW03!$CH$6:$CH$505,STG_ZPMW03!$B$6:$B$505,$A48)))</f>
        <v/>
      </c>
      <c r="AO48" s="117" t="str">
        <f>IF($A48="","",IF($J48=0,"n.b.",SUMIFS(STG_ZPMW03!$CJ$6:$CJ$505,STG_ZPMW03!$B$6:$B$505,$A48)))</f>
        <v/>
      </c>
      <c r="AP48" s="117" t="str">
        <f>IF($A48="","",IF($J48=0,"n.b.",SUMIFS(STG_ZPMW03!$CL$6:$CL$505,STG_ZPMW03!$B$6:$B$505,$A48)))</f>
        <v/>
      </c>
      <c r="AQ48" s="117" t="str">
        <f>IF($A48="","",IF($J48=0,"n.b.",SUMIFS(STG_ZPMW03!$CN$6:$CN$505,STG_ZPMW03!$B$6:$B$505,$A48)))</f>
        <v/>
      </c>
      <c r="AR48" s="117" t="str">
        <f>IF($A48="","",IF($J48=0,"n.b.",SUMIFS(STG_ZPMW03!$CP$6:$CP$505,STG_ZPMW03!$B$6:$B$505,$A48)))</f>
        <v/>
      </c>
      <c r="AS48" s="117" t="str">
        <f>IF($A48="","",IF($J48=0,"n.b.",SUMIFS(STG_ZPMW03!$CR$6:$CR$505,STG_ZPMW03!$B$6:$B$505,$A48)))</f>
        <v/>
      </c>
      <c r="AT48" s="117" t="str">
        <f>IF($A48="","",IF($K48=0,"n.b.",SUMIFS(STG_Woningetalage!$Q$6:$Q$505,STG_Woningetalage!$B$6:$B$505,$A48)))</f>
        <v/>
      </c>
      <c r="AU48" s="117" t="str">
        <f>IF($A48="","",IF($K48=0,"n.b.",SUMIFS(STG_Woningetalage!$R$6:$R$505,STG_Woningetalage!$B$6:$B$505,$A48)))</f>
        <v/>
      </c>
      <c r="AV48" s="117" t="str">
        <f>IF($A48="","",IF($K48=0,"n.b.",SUMIFS(STG_Woningetalage!$S$6:$S$505,STG_Woningetalage!$B$6:$B$505,$A48)))</f>
        <v/>
      </c>
      <c r="AW48" s="117" t="str">
        <f>IF($A48="","",IF($K48=0,"n.b.",SUMIFS(STG_Woningetalage!$T$6:$T$505,STG_Woningetalage!$B$6:$B$505,$A48)))</f>
        <v/>
      </c>
      <c r="AX48" s="117" t="str">
        <f>IF($A48="","",IF($K48=0,"n.b.",SUMIFS(STG_Woningetalage!$U$6:$U$505,STG_Woningetalage!$B$6:$B$505,$A48)))</f>
        <v/>
      </c>
      <c r="AY48" s="117" t="str">
        <f>IF($A48="","",IF($K48=0,"n.b.",SUMIFS(STG_Woningetalage!$V$6:$V$505,STG_Woningetalage!$B$6:$B$505,$A48)))</f>
        <v/>
      </c>
      <c r="AZ48" s="117" t="str">
        <f>IF($A48="","",IF($K48=0,"n.b.",SUMIFS(STG_Woningetalage!$W$6:$W$505,STG_Woningetalage!$B$6:$B$505,$A48)))</f>
        <v/>
      </c>
      <c r="BA48" s="117" t="str">
        <f>IF($A48="","",IF($K48=0,"n.b.",SUMIFS(STG_Woningetalage!$X$6:$X$505,STG_Woningetalage!$B$6:$B$505,$A48)))</f>
        <v/>
      </c>
      <c r="BB48" s="117" t="str">
        <f>IF($A48="","",IF($K48=0,"n.b.",SUMIFS(STG_Woningetalage!$Y$6:$Y$505,STG_Woningetalage!$B$6:$B$505,$A48)))</f>
        <v/>
      </c>
      <c r="BC48" s="117" t="str">
        <f>IF($A48="","",IF($K48=0,"n.b.",SUMIFS(STG_Woningetalage!$Z$6:$Z$505,STG_Woningetalage!$B$6:$B$505,$A48)))</f>
        <v/>
      </c>
      <c r="BD48" s="117" t="str">
        <f>IF($A48="","",IF($K48=0,"n.b.",SUMIFS(STG_Woningetalage!$AA$6:$AA$505,STG_Woningetalage!$B$6:$B$505,$A48)))</f>
        <v/>
      </c>
      <c r="BE48" s="117" t="str">
        <f>IF($A48="","",IF($K48=0,"n.b.",SUMIFS(STG_Woningetalage!$AB$6:$AB$505,STG_Woningetalage!$B$6:$B$505,$A48)))</f>
        <v/>
      </c>
      <c r="BF48" s="117" t="str">
        <f>IF($A48="","",IF($K48=0,"n.b.",SUMIFS(STG_Woningetalage!$AC$6:$AC$505,STG_Woningetalage!$B$6:$B$505,$A48)))</f>
        <v/>
      </c>
      <c r="BG48" s="117" t="str">
        <f>IF($A48="","",IF($K48=0,"n.b.",SUMIFS(STG_Woningetalage!$AD$6:$AD$505,STG_Woningetalage!$B$6:$B$505,$A48)))</f>
        <v/>
      </c>
      <c r="BH48" s="117" t="str">
        <f>IF($A48="","",IF($K48=0,"n.b.",SUMIFS(STG_Woningetalage!$AE$6:$AE$505,STG_Woningetalage!$B$6:$B$505,$A48)))</f>
        <v/>
      </c>
      <c r="BI48" s="117" t="str">
        <f>IF($A48="","",IF($K48=0,"n.b.",SUMIFS(STG_Woningetalage!$AF$6:$AF$505,STG_Woningetalage!$B$6:$B$505,$A48)))</f>
        <v/>
      </c>
      <c r="BJ48" s="117" t="str">
        <f>IF($A48="","",IF($K48=0,"n.b.",SUMIFS(STG_Woningetalage!$AG$6:$AG$505,STG_Woningetalage!$B$6:$B$505,$A48)))</f>
        <v/>
      </c>
      <c r="BK48" s="117" t="str">
        <f>IF($A48="","",IF($K48=0,"n.b.",SUMIFS(STG_Woningetalage!$AH$6:$AH$505,STG_Woningetalage!$B$6:$B$505,$A48)))</f>
        <v/>
      </c>
      <c r="BL48" s="117" t="str">
        <f>IF($A48="","",IF($K48=0,"n.b.",SUMIFS(STG_Woningetalage!$AI$6:$AI$505,STG_Woningetalage!$B$6:$B$505,$A48)))</f>
        <v/>
      </c>
      <c r="BM48" s="117" t="str">
        <f>IF($A48="","",IF($K48=0,"n.b.",SUMIFS(STG_Woningetalage!$AJ$6:$AJ$505,STG_Woningetalage!$B$6:$B$505,$A48)))</f>
        <v/>
      </c>
      <c r="BN48" s="117" t="str">
        <f>IF($A48="","",IF($K48=0,"n.b.",SUMIFS(STG_Woningetalage!$AK$6:$AK$505,STG_Woningetalage!$B$6:$B$505,$A48)))</f>
        <v/>
      </c>
      <c r="BO48" s="117" t="str">
        <f>IF($A48="","",IF($K48=0,"n.b.",SUMIFS(STG_Woningetalage!$AL$6:$AL$505,STG_Woningetalage!$B$6:$B$505,$A48)))</f>
        <v/>
      </c>
      <c r="BP48" s="117" t="str">
        <f>IF($A48="","",IF($K48=0,"n.b.",SUMIFS(STG_Woningetalage!$AM$6:$AM$505,STG_Woningetalage!$B$6:$B$505,$A48)))</f>
        <v/>
      </c>
      <c r="BQ48" s="117" t="str">
        <f>IF($A48="","",IF($K48=0,"n.b.",SUMIFS(STG_Woningetalage!$BE$6:$BE$505,STG_Woningetalage!$B$6:$B$505,$A48)))</f>
        <v/>
      </c>
      <c r="BR48" s="117" t="str">
        <f>IF($A48="","",IF($K48=0,"n.b.",SUMIFS(STG_Woningetalage!$BF$6:$BF$505,STG_Woningetalage!$B$6:$B$505,$A48)))</f>
        <v/>
      </c>
      <c r="BS48" s="117" t="str">
        <f>IF($A48="","",IF($K48=0,"n.b.",SUMIFS(STG_Woningetalage!$BG$6:$BG$505,STG_Woningetalage!$B$6:$B$505,$A48)))</f>
        <v/>
      </c>
      <c r="BT48" s="117" t="str">
        <f>IF($A48="","",IF($K48=0,"n.b.",SUMIFS(STG_Woningetalage!$BH$6:$BH$505,STG_Woningetalage!$B$6:$B$505,$A48)))</f>
        <v/>
      </c>
      <c r="BU48" s="117" t="str">
        <f>IF($A48="","",IF($K48=0,"n.b.",SUMIFS(STG_Woningetalage!$BI$6:$BI$505,STG_Woningetalage!$B$6:$B$505,$A48)))</f>
        <v/>
      </c>
      <c r="BV48" s="117" t="str">
        <f>IF($A48="","",IF($K48=0,"n.b.",SUMIFS(STG_Woningetalage!$BJ$6:$BJ$505,STG_Woningetalage!$B$6:$B$505,$A48)))</f>
        <v/>
      </c>
      <c r="BW48" s="117" t="str">
        <f>IF($A48="","",IF($K48=0,"n.b.",SUMIFS(STG_Woningetalage!$AR$6:$AR$505,STG_Woningetalage!$B$6:$B$505,$A48)))</f>
        <v/>
      </c>
      <c r="BX48" s="117" t="str">
        <f>IF($A48="","",IF($K48=0,"n.b.",SUMIFS(STG_Woningetalage!$AS$6:$AS$505,STG_Woningetalage!$B$6:$B$505,$A48)))</f>
        <v/>
      </c>
      <c r="BY48" s="117" t="str">
        <f>IF($A48="","",IF($K48=0,"n.b.",SUMIFS(STG_Woningetalage!$AN$6:$AN$505,STG_Woningetalage!$B$6:$B$505,$A48)))</f>
        <v/>
      </c>
      <c r="BZ48" s="117" t="str">
        <f>IF($A48="","",IF($K48=0,"n.b.",SUMIFS(STG_Woningetalage!$AO$6:$AO$505,STG_Woningetalage!$B$6:$B$505,$A48)))</f>
        <v/>
      </c>
      <c r="CA48" s="117" t="str">
        <f>IF($A48="","",IF($K48=0,"n.b.",SUMIFS(STG_Woningetalage!$AP$6:$AP$505,STG_Woningetalage!$B$6:$B$505,$A48)))</f>
        <v/>
      </c>
      <c r="CB48" s="117" t="str">
        <f>IF($A48="","",IF($K48=0,"n.b.",SUMIFS(STG_Woningetalage!$AQ$6:$AQ$505,STG_Woningetalage!$B$6:$B$505,$A48)))</f>
        <v/>
      </c>
      <c r="CC48" s="117" t="str">
        <f>IF($A48="","",IF($K48=0,"n.b.",SUMIFS(STG_Woningetalage!$AU$6:$AU$505,STG_Woningetalage!$B$6:$B$505,$A48)))</f>
        <v/>
      </c>
      <c r="CD48" s="92" t="str">
        <f>IF($A48="","",IFERROR(INDEX(STG_ZPMW03!$L$6:$L$505,MATCH($A48,STG_ZPMW03!$B$6:$B$505,0)),"n.b."))</f>
        <v/>
      </c>
      <c r="CE48" s="92" t="str">
        <f>IF($A48="","",IFERROR(INDEX(STG_ZPMW03!$K$6:$K$505,MATCH($A48,STG_ZPMW03!$B$6:$B$505,0)),"n.b."))</f>
        <v/>
      </c>
      <c r="CF48" s="92" t="str">
        <f>IF($A48="","",IFERROR(INDEX(STG_ZPMW03!$BH$6:$BH$505,MATCH($A48,STG_ZPMW03!$B$6:$B$505,0)),"n.b."))</f>
        <v/>
      </c>
      <c r="CG48" s="92" t="str">
        <f>IF($A48="","",IFERROR(INDEX(STG_ZPMW03!$BI$6:$BI$505,MATCH($A48,STG_ZPMW03!$B$6:$B$505,0)),"n.b."))</f>
        <v/>
      </c>
      <c r="CH48" s="92" t="str">
        <f>IF($A48="","",IFERROR(INDEX(STG_ZPMW03!$BJ$6:$BJ$505,MATCH($A48,STG_ZPMW03!$B$6:$B$505,0)),"n.b."))</f>
        <v/>
      </c>
      <c r="CI48" s="92" t="str">
        <f>IF($A48="","",IFERROR(INDEX(STG_ZPMW03!$BF$6:$BF$505,MATCH($A48,STG_ZPMW03!$B$6:$B$505,0)),"n.b."))</f>
        <v/>
      </c>
      <c r="CJ48" s="92" t="str">
        <f>IF($A48="","",IFERROR(INDEX(STG_ZPMW03!$BG$6:$BG$505,MATCH($A48,STG_ZPMW03!$B$6:$B$505,0)),"n.b."))</f>
        <v/>
      </c>
      <c r="CK48" s="92" t="str">
        <f>IF($A48="","",IFERROR(INDEX(STG_ZPMW03!$H$6:$H$505,MATCH($A48,STG_ZPMW03!$B$6:$B$505,0)),"n.b."))</f>
        <v/>
      </c>
      <c r="CL48" s="92" t="str">
        <f>IF($A48="","",IFERROR(INDEX(STG_ZPMW03!$E$6:$E$505,MATCH($A48,STG_ZPMW03!$B$6:$B$505,0)),"n.b."))</f>
        <v/>
      </c>
      <c r="CM48" s="92" t="str">
        <f>IF($A48="","",IFERROR(INDEX(STG_ZPMW03!$G$6:$G$505,MATCH($A48,STG_ZPMW03!$B$6:$B$505,0)),"n.b."))</f>
        <v/>
      </c>
      <c r="CN48" s="92" t="str">
        <f>IF($A48="","",IFERROR(INDEX(STG_Woningetalage!$N$6:$N$505,MATCH($A48,STG_Woningetalage!$B$6:$B$505,0)),"n.b."))</f>
        <v/>
      </c>
      <c r="CO48" s="92" t="str">
        <f>IF($A48="","",IFERROR(INDEX(STG_Woningetalage!$P$6:$P$505,MATCH($A48,STG_Woningetalage!$B$6:$B$505,0)),"n.b."))</f>
        <v/>
      </c>
      <c r="CP48" s="118" t="str">
        <f>IF($A48="","",IF(AND(ISNUMBER(AT48),ISNUMBER(F48)),IF(F48&gt;0,AT48/(F48/100),"n.b."),"n.b."))</f>
        <v/>
      </c>
      <c r="CQ48" s="116" t="str">
        <f>IF($A48="","",IF(ISNUMBER(Q48),IF(Q48&lt;0,1,0),0))</f>
        <v/>
      </c>
      <c r="CR48" s="116" t="str">
        <f>IF(CQ48=1,COUNTIF($CQ$6:CQ48,1),"")</f>
        <v/>
      </c>
      <c r="CS48" s="116" t="str">
        <f>IF(AND($A48&lt;&gt;"",$J48=0),COUNTIFS($A$6:$A48,"?*",$J$6:$J48,0),"")</f>
        <v/>
      </c>
      <c r="CT48" s="119" t="str">
        <f>IF($A48="","",IF(AND(ISNUMBER(Q48),ISNUMBER(P48)),IF(P48&lt;&gt;0,Q48/P48,"n.b."),"n.b."))</f>
        <v/>
      </c>
    </row>
    <row r="49">
      <c r="A49" s="92" t="str">
        <f>IF(Mapping!$A48="","",Mapping!$A48)</f>
        <v/>
      </c>
      <c r="B49" s="92" t="str">
        <f>IF(Mapping!$B48="","",Mapping!$B48)</f>
        <v/>
      </c>
      <c r="C49" s="92" t="str">
        <f>IF(Mapping!$C48="","",Mapping!$C48)</f>
        <v/>
      </c>
      <c r="D49" s="92" t="str">
        <f>IF(Mapping!$F48="","",Mapping!$F48)</f>
        <v/>
      </c>
      <c r="E49" s="92" t="str">
        <f>IF(Mapping!$H48="","",Mapping!$H48)</f>
        <v/>
      </c>
      <c r="F49" s="92" t="str">
        <f>IF(Mapping!$E48="","",Mapping!$E48)</f>
        <v/>
      </c>
      <c r="G49" s="92" t="str">
        <f>IF(Mapping!$G48="","",Mapping!$G48)</f>
        <v/>
      </c>
      <c r="H49" s="92" t="str">
        <f>IF(Mapping!$D48="","",Mapping!$D48)</f>
        <v/>
      </c>
      <c r="I49" s="92" t="str">
        <f>IF($A49="","",IFERROR(INDEX(STG_ZPMW03!$C$6:$C$505,MATCH($A49,STG_ZPMW03!$B$6:$B$505,0)),"n.b."))</f>
        <v/>
      </c>
      <c r="J49" s="116" t="str">
        <f>IF($A49="","",COUNTIF(STG_ZPMW03!$B$6:$B$505,$A49))</f>
        <v/>
      </c>
      <c r="K49" s="116" t="str">
        <f>IF($A49="","",COUNTIF(STG_Woningetalage!$B$6:$B$505,$A49))</f>
        <v/>
      </c>
      <c r="L49" s="117" t="str">
        <f>IF($A49="","",IF($J49=0,"n.b.",SUMIFS(STG_ZPMW03!$BK$6:$BK$505,STG_ZPMW03!$B$6:$B$505,$A49)))</f>
        <v/>
      </c>
      <c r="M49" s="117" t="str">
        <f>IF($A49="","",IF($J49=0,"n.b.",SUMIFS(STG_ZPMW03!$BL$6:$BL$505,STG_ZPMW03!$B$6:$B$505,$A49)))</f>
        <v/>
      </c>
      <c r="N49" s="117" t="str">
        <f>IF($A49="","",IF($J49=0,"n.b.",SUMIFS(STG_ZPMW03!$BM$6:$BM$505,STG_ZPMW03!$B$6:$B$505,$A49)))</f>
        <v/>
      </c>
      <c r="O49" s="117" t="str">
        <f>IF($A49="","",IF($J49=0,"n.b.",SUMIFS(STG_ZPMW03!$BN$6:$BN$505,STG_ZPMW03!$B$6:$B$505,$A49)))</f>
        <v/>
      </c>
      <c r="P49" s="117" t="str">
        <f>IF($A49="","",IF($J49=0,"n.b.",SUMIFS(STG_ZPMW03!$BO$6:$BO$505,STG_ZPMW03!$B$6:$B$505,$A49)))</f>
        <v/>
      </c>
      <c r="Q49" s="117" t="str">
        <f>IF($A49="","",IF($J49=0,"n.b.",SUMIFS(STG_ZPMW03!$BP$6:$BP$505,STG_ZPMW03!$B$6:$B$505,$A49)))</f>
        <v/>
      </c>
      <c r="R49" s="117" t="str">
        <f>IF($A49="","",IF($J49=0,"n.b.",SUMIFS(STG_ZPMW03!$BQ$6:$BQ$505,STG_ZPMW03!$B$6:$B$505,$A49)))</f>
        <v/>
      </c>
      <c r="S49" s="117" t="str">
        <f>IF($A49="","",IF($J49=0,"n.b.",SUMIFS(STG_ZPMW03!$BR$6:$BR$505,STG_ZPMW03!$B$6:$B$505,$A49)))</f>
        <v/>
      </c>
      <c r="T49" s="117" t="str">
        <f>IF($A49="","",IF($J49=0,"n.b.",SUMIFS(STG_ZPMW03!$BS$6:$BS$505,STG_ZPMW03!$B$6:$B$505,$A49)))</f>
        <v/>
      </c>
      <c r="U49" s="117" t="str">
        <f>IF($A49="","",IF($J49=0,"n.b.",SUMIFS(STG_ZPMW03!$BT$6:$BT$505,STG_ZPMW03!$B$6:$B$505,$A49)))</f>
        <v/>
      </c>
      <c r="V49" s="117" t="str">
        <f>IF($A49="","",IF($J49=0,"n.b.",SUMIFS(STG_ZPMW03!$BU$6:$BU$505,STG_ZPMW03!$B$6:$B$505,$A49)))</f>
        <v/>
      </c>
      <c r="W49" s="117" t="str">
        <f>IF($A49="","",IF($J49=0,"n.b.",SUMIFS(STG_ZPMW03!$BW$6:$BW$505,STG_ZPMW03!$B$6:$B$505,$A49)))</f>
        <v/>
      </c>
      <c r="X49" s="117" t="str">
        <f>IF($A49="","",IF($J49=0,"n.b.",SUMIFS(STG_ZPMW03!$BY$6:$BY$505,STG_ZPMW03!$B$6:$B$505,$A49)))</f>
        <v/>
      </c>
      <c r="Y49" s="117" t="str">
        <f>IF($A49="","",IF($J49=0,"n.b.",SUMIFS(STG_ZPMW03!$CA$6:$CA$505,STG_ZPMW03!$B$6:$B$505,$A49)))</f>
        <v/>
      </c>
      <c r="Z49" s="117" t="str">
        <f>IF($A49="","",IF($J49=0,"n.b.",SUMIFS(STG_ZPMW03!$BV$6:$BV$505,STG_ZPMW03!$B$6:$B$505,$A49)))</f>
        <v/>
      </c>
      <c r="AA49" s="117" t="str">
        <f>IF($A49="","",IF($J49=0,"n.b.",SUMIFS(STG_ZPMW03!$BX$6:$BX$505,STG_ZPMW03!$B$6:$B$505,$A49)))</f>
        <v/>
      </c>
      <c r="AB49" s="117" t="str">
        <f>IF($A49="","",IF($J49=0,"n.b.",SUMIFS(STG_ZPMW03!$BZ$6:$BZ$505,STG_ZPMW03!$B$6:$B$505,$A49)))</f>
        <v/>
      </c>
      <c r="AC49" s="117" t="str">
        <f>IF($A49="","",IF($J49=0,"n.b.",SUMIFS(STG_ZPMW03!$CB$6:$CB$505,STG_ZPMW03!$B$6:$B$505,$A49)))</f>
        <v/>
      </c>
      <c r="AD49" s="117" t="str">
        <f>IF($A49="","",IF($J49=0,"n.b.",SUMIFS(STG_ZPMW03!$CC$6:$CC$505,STG_ZPMW03!$B$6:$B$505,$A49)))</f>
        <v/>
      </c>
      <c r="AE49" s="117" t="str">
        <f>IF($A49="","",IF($J49=0,"n.b.",SUMIFS(STG_ZPMW03!$CE$6:$CE$505,STG_ZPMW03!$B$6:$B$505,$A49)))</f>
        <v/>
      </c>
      <c r="AF49" s="117" t="str">
        <f>IF($A49="","",IF($J49=0,"n.b.",SUMIFS(STG_ZPMW03!$CG$6:$CG$505,STG_ZPMW03!$B$6:$B$505,$A49)))</f>
        <v/>
      </c>
      <c r="AG49" s="117" t="str">
        <f>IF($A49="","",IF($J49=0,"n.b.",SUMIFS(STG_ZPMW03!$CI$6:$CI$505,STG_ZPMW03!$B$6:$B$505,$A49)))</f>
        <v/>
      </c>
      <c r="AH49" s="117" t="str">
        <f>IF($A49="","",IF($J49=0,"n.b.",SUMIFS(STG_ZPMW03!$CK$6:$CK$505,STG_ZPMW03!$B$6:$B$505,$A49)))</f>
        <v/>
      </c>
      <c r="AI49" s="117" t="str">
        <f>IF($A49="","",IF($J49=0,"n.b.",SUMIFS(STG_ZPMW03!$CM$6:$CM$505,STG_ZPMW03!$B$6:$B$505,$A49)))</f>
        <v/>
      </c>
      <c r="AJ49" s="117" t="str">
        <f>IF($A49="","",IF($J49=0,"n.b.",SUMIFS(STG_ZPMW03!$CO$6:$CO$505,STG_ZPMW03!$B$6:$B$505,$A49)))</f>
        <v/>
      </c>
      <c r="AK49" s="117" t="str">
        <f>IF($A49="","",IF($J49=0,"n.b.",SUMIFS(STG_ZPMW03!$CQ$6:$CQ$505,STG_ZPMW03!$B$6:$B$505,$A49)))</f>
        <v/>
      </c>
      <c r="AL49" s="117" t="str">
        <f>IF($A49="","",IF($J49=0,"n.b.",SUMIFS(STG_ZPMW03!$CD$6:$CD$505,STG_ZPMW03!$B$6:$B$505,$A49)))</f>
        <v/>
      </c>
      <c r="AM49" s="117" t="str">
        <f>IF($A49="","",IF($J49=0,"n.b.",SUMIFS(STG_ZPMW03!$CF$6:$CF$505,STG_ZPMW03!$B$6:$B$505,$A49)))</f>
        <v/>
      </c>
      <c r="AN49" s="117" t="str">
        <f>IF($A49="","",IF($J49=0,"n.b.",SUMIFS(STG_ZPMW03!$CH$6:$CH$505,STG_ZPMW03!$B$6:$B$505,$A49)))</f>
        <v/>
      </c>
      <c r="AO49" s="117" t="str">
        <f>IF($A49="","",IF($J49=0,"n.b.",SUMIFS(STG_ZPMW03!$CJ$6:$CJ$505,STG_ZPMW03!$B$6:$B$505,$A49)))</f>
        <v/>
      </c>
      <c r="AP49" s="117" t="str">
        <f>IF($A49="","",IF($J49=0,"n.b.",SUMIFS(STG_ZPMW03!$CL$6:$CL$505,STG_ZPMW03!$B$6:$B$505,$A49)))</f>
        <v/>
      </c>
      <c r="AQ49" s="117" t="str">
        <f>IF($A49="","",IF($J49=0,"n.b.",SUMIFS(STG_ZPMW03!$CN$6:$CN$505,STG_ZPMW03!$B$6:$B$505,$A49)))</f>
        <v/>
      </c>
      <c r="AR49" s="117" t="str">
        <f>IF($A49="","",IF($J49=0,"n.b.",SUMIFS(STG_ZPMW03!$CP$6:$CP$505,STG_ZPMW03!$B$6:$B$505,$A49)))</f>
        <v/>
      </c>
      <c r="AS49" s="117" t="str">
        <f>IF($A49="","",IF($J49=0,"n.b.",SUMIFS(STG_ZPMW03!$CR$6:$CR$505,STG_ZPMW03!$B$6:$B$505,$A49)))</f>
        <v/>
      </c>
      <c r="AT49" s="117" t="str">
        <f>IF($A49="","",IF($K49=0,"n.b.",SUMIFS(STG_Woningetalage!$Q$6:$Q$505,STG_Woningetalage!$B$6:$B$505,$A49)))</f>
        <v/>
      </c>
      <c r="AU49" s="117" t="str">
        <f>IF($A49="","",IF($K49=0,"n.b.",SUMIFS(STG_Woningetalage!$R$6:$R$505,STG_Woningetalage!$B$6:$B$505,$A49)))</f>
        <v/>
      </c>
      <c r="AV49" s="117" t="str">
        <f>IF($A49="","",IF($K49=0,"n.b.",SUMIFS(STG_Woningetalage!$S$6:$S$505,STG_Woningetalage!$B$6:$B$505,$A49)))</f>
        <v/>
      </c>
      <c r="AW49" s="117" t="str">
        <f>IF($A49="","",IF($K49=0,"n.b.",SUMIFS(STG_Woningetalage!$T$6:$T$505,STG_Woningetalage!$B$6:$B$505,$A49)))</f>
        <v/>
      </c>
      <c r="AX49" s="117" t="str">
        <f>IF($A49="","",IF($K49=0,"n.b.",SUMIFS(STG_Woningetalage!$U$6:$U$505,STG_Woningetalage!$B$6:$B$505,$A49)))</f>
        <v/>
      </c>
      <c r="AY49" s="117" t="str">
        <f>IF($A49="","",IF($K49=0,"n.b.",SUMIFS(STG_Woningetalage!$V$6:$V$505,STG_Woningetalage!$B$6:$B$505,$A49)))</f>
        <v/>
      </c>
      <c r="AZ49" s="117" t="str">
        <f>IF($A49="","",IF($K49=0,"n.b.",SUMIFS(STG_Woningetalage!$W$6:$W$505,STG_Woningetalage!$B$6:$B$505,$A49)))</f>
        <v/>
      </c>
      <c r="BA49" s="117" t="str">
        <f>IF($A49="","",IF($K49=0,"n.b.",SUMIFS(STG_Woningetalage!$X$6:$X$505,STG_Woningetalage!$B$6:$B$505,$A49)))</f>
        <v/>
      </c>
      <c r="BB49" s="117" t="str">
        <f>IF($A49="","",IF($K49=0,"n.b.",SUMIFS(STG_Woningetalage!$Y$6:$Y$505,STG_Woningetalage!$B$6:$B$505,$A49)))</f>
        <v/>
      </c>
      <c r="BC49" s="117" t="str">
        <f>IF($A49="","",IF($K49=0,"n.b.",SUMIFS(STG_Woningetalage!$Z$6:$Z$505,STG_Woningetalage!$B$6:$B$505,$A49)))</f>
        <v/>
      </c>
      <c r="BD49" s="117" t="str">
        <f>IF($A49="","",IF($K49=0,"n.b.",SUMIFS(STG_Woningetalage!$AA$6:$AA$505,STG_Woningetalage!$B$6:$B$505,$A49)))</f>
        <v/>
      </c>
      <c r="BE49" s="117" t="str">
        <f>IF($A49="","",IF($K49=0,"n.b.",SUMIFS(STG_Woningetalage!$AB$6:$AB$505,STG_Woningetalage!$B$6:$B$505,$A49)))</f>
        <v/>
      </c>
      <c r="BF49" s="117" t="str">
        <f>IF($A49="","",IF($K49=0,"n.b.",SUMIFS(STG_Woningetalage!$AC$6:$AC$505,STG_Woningetalage!$B$6:$B$505,$A49)))</f>
        <v/>
      </c>
      <c r="BG49" s="117" t="str">
        <f>IF($A49="","",IF($K49=0,"n.b.",SUMIFS(STG_Woningetalage!$AD$6:$AD$505,STG_Woningetalage!$B$6:$B$505,$A49)))</f>
        <v/>
      </c>
      <c r="BH49" s="117" t="str">
        <f>IF($A49="","",IF($K49=0,"n.b.",SUMIFS(STG_Woningetalage!$AE$6:$AE$505,STG_Woningetalage!$B$6:$B$505,$A49)))</f>
        <v/>
      </c>
      <c r="BI49" s="117" t="str">
        <f>IF($A49="","",IF($K49=0,"n.b.",SUMIFS(STG_Woningetalage!$AF$6:$AF$505,STG_Woningetalage!$B$6:$B$505,$A49)))</f>
        <v/>
      </c>
      <c r="BJ49" s="117" t="str">
        <f>IF($A49="","",IF($K49=0,"n.b.",SUMIFS(STG_Woningetalage!$AG$6:$AG$505,STG_Woningetalage!$B$6:$B$505,$A49)))</f>
        <v/>
      </c>
      <c r="BK49" s="117" t="str">
        <f>IF($A49="","",IF($K49=0,"n.b.",SUMIFS(STG_Woningetalage!$AH$6:$AH$505,STG_Woningetalage!$B$6:$B$505,$A49)))</f>
        <v/>
      </c>
      <c r="BL49" s="117" t="str">
        <f>IF($A49="","",IF($K49=0,"n.b.",SUMIFS(STG_Woningetalage!$AI$6:$AI$505,STG_Woningetalage!$B$6:$B$505,$A49)))</f>
        <v/>
      </c>
      <c r="BM49" s="117" t="str">
        <f>IF($A49="","",IF($K49=0,"n.b.",SUMIFS(STG_Woningetalage!$AJ$6:$AJ$505,STG_Woningetalage!$B$6:$B$505,$A49)))</f>
        <v/>
      </c>
      <c r="BN49" s="117" t="str">
        <f>IF($A49="","",IF($K49=0,"n.b.",SUMIFS(STG_Woningetalage!$AK$6:$AK$505,STG_Woningetalage!$B$6:$B$505,$A49)))</f>
        <v/>
      </c>
      <c r="BO49" s="117" t="str">
        <f>IF($A49="","",IF($K49=0,"n.b.",SUMIFS(STG_Woningetalage!$AL$6:$AL$505,STG_Woningetalage!$B$6:$B$505,$A49)))</f>
        <v/>
      </c>
      <c r="BP49" s="117" t="str">
        <f>IF($A49="","",IF($K49=0,"n.b.",SUMIFS(STG_Woningetalage!$AM$6:$AM$505,STG_Woningetalage!$B$6:$B$505,$A49)))</f>
        <v/>
      </c>
      <c r="BQ49" s="117" t="str">
        <f>IF($A49="","",IF($K49=0,"n.b.",SUMIFS(STG_Woningetalage!$BE$6:$BE$505,STG_Woningetalage!$B$6:$B$505,$A49)))</f>
        <v/>
      </c>
      <c r="BR49" s="117" t="str">
        <f>IF($A49="","",IF($K49=0,"n.b.",SUMIFS(STG_Woningetalage!$BF$6:$BF$505,STG_Woningetalage!$B$6:$B$505,$A49)))</f>
        <v/>
      </c>
      <c r="BS49" s="117" t="str">
        <f>IF($A49="","",IF($K49=0,"n.b.",SUMIFS(STG_Woningetalage!$BG$6:$BG$505,STG_Woningetalage!$B$6:$B$505,$A49)))</f>
        <v/>
      </c>
      <c r="BT49" s="117" t="str">
        <f>IF($A49="","",IF($K49=0,"n.b.",SUMIFS(STG_Woningetalage!$BH$6:$BH$505,STG_Woningetalage!$B$6:$B$505,$A49)))</f>
        <v/>
      </c>
      <c r="BU49" s="117" t="str">
        <f>IF($A49="","",IF($K49=0,"n.b.",SUMIFS(STG_Woningetalage!$BI$6:$BI$505,STG_Woningetalage!$B$6:$B$505,$A49)))</f>
        <v/>
      </c>
      <c r="BV49" s="117" t="str">
        <f>IF($A49="","",IF($K49=0,"n.b.",SUMIFS(STG_Woningetalage!$BJ$6:$BJ$505,STG_Woningetalage!$B$6:$B$505,$A49)))</f>
        <v/>
      </c>
      <c r="BW49" s="117" t="str">
        <f>IF($A49="","",IF($K49=0,"n.b.",SUMIFS(STG_Woningetalage!$AR$6:$AR$505,STG_Woningetalage!$B$6:$B$505,$A49)))</f>
        <v/>
      </c>
      <c r="BX49" s="117" t="str">
        <f>IF($A49="","",IF($K49=0,"n.b.",SUMIFS(STG_Woningetalage!$AS$6:$AS$505,STG_Woningetalage!$B$6:$B$505,$A49)))</f>
        <v/>
      </c>
      <c r="BY49" s="117" t="str">
        <f>IF($A49="","",IF($K49=0,"n.b.",SUMIFS(STG_Woningetalage!$AN$6:$AN$505,STG_Woningetalage!$B$6:$B$505,$A49)))</f>
        <v/>
      </c>
      <c r="BZ49" s="117" t="str">
        <f>IF($A49="","",IF($K49=0,"n.b.",SUMIFS(STG_Woningetalage!$AO$6:$AO$505,STG_Woningetalage!$B$6:$B$505,$A49)))</f>
        <v/>
      </c>
      <c r="CA49" s="117" t="str">
        <f>IF($A49="","",IF($K49=0,"n.b.",SUMIFS(STG_Woningetalage!$AP$6:$AP$505,STG_Woningetalage!$B$6:$B$505,$A49)))</f>
        <v/>
      </c>
      <c r="CB49" s="117" t="str">
        <f>IF($A49="","",IF($K49=0,"n.b.",SUMIFS(STG_Woningetalage!$AQ$6:$AQ$505,STG_Woningetalage!$B$6:$B$505,$A49)))</f>
        <v/>
      </c>
      <c r="CC49" s="117" t="str">
        <f>IF($A49="","",IF($K49=0,"n.b.",SUMIFS(STG_Woningetalage!$AU$6:$AU$505,STG_Woningetalage!$B$6:$B$505,$A49)))</f>
        <v/>
      </c>
      <c r="CD49" s="92" t="str">
        <f>IF($A49="","",IFERROR(INDEX(STG_ZPMW03!$L$6:$L$505,MATCH($A49,STG_ZPMW03!$B$6:$B$505,0)),"n.b."))</f>
        <v/>
      </c>
      <c r="CE49" s="92" t="str">
        <f>IF($A49="","",IFERROR(INDEX(STG_ZPMW03!$K$6:$K$505,MATCH($A49,STG_ZPMW03!$B$6:$B$505,0)),"n.b."))</f>
        <v/>
      </c>
      <c r="CF49" s="92" t="str">
        <f>IF($A49="","",IFERROR(INDEX(STG_ZPMW03!$BH$6:$BH$505,MATCH($A49,STG_ZPMW03!$B$6:$B$505,0)),"n.b."))</f>
        <v/>
      </c>
      <c r="CG49" s="92" t="str">
        <f>IF($A49="","",IFERROR(INDEX(STG_ZPMW03!$BI$6:$BI$505,MATCH($A49,STG_ZPMW03!$B$6:$B$505,0)),"n.b."))</f>
        <v/>
      </c>
      <c r="CH49" s="92" t="str">
        <f>IF($A49="","",IFERROR(INDEX(STG_ZPMW03!$BJ$6:$BJ$505,MATCH($A49,STG_ZPMW03!$B$6:$B$505,0)),"n.b."))</f>
        <v/>
      </c>
      <c r="CI49" s="92" t="str">
        <f>IF($A49="","",IFERROR(INDEX(STG_ZPMW03!$BF$6:$BF$505,MATCH($A49,STG_ZPMW03!$B$6:$B$505,0)),"n.b."))</f>
        <v/>
      </c>
      <c r="CJ49" s="92" t="str">
        <f>IF($A49="","",IFERROR(INDEX(STG_ZPMW03!$BG$6:$BG$505,MATCH($A49,STG_ZPMW03!$B$6:$B$505,0)),"n.b."))</f>
        <v/>
      </c>
      <c r="CK49" s="92" t="str">
        <f>IF($A49="","",IFERROR(INDEX(STG_ZPMW03!$H$6:$H$505,MATCH($A49,STG_ZPMW03!$B$6:$B$505,0)),"n.b."))</f>
        <v/>
      </c>
      <c r="CL49" s="92" t="str">
        <f>IF($A49="","",IFERROR(INDEX(STG_ZPMW03!$E$6:$E$505,MATCH($A49,STG_ZPMW03!$B$6:$B$505,0)),"n.b."))</f>
        <v/>
      </c>
      <c r="CM49" s="92" t="str">
        <f>IF($A49="","",IFERROR(INDEX(STG_ZPMW03!$G$6:$G$505,MATCH($A49,STG_ZPMW03!$B$6:$B$505,0)),"n.b."))</f>
        <v/>
      </c>
      <c r="CN49" s="92" t="str">
        <f>IF($A49="","",IFERROR(INDEX(STG_Woningetalage!$N$6:$N$505,MATCH($A49,STG_Woningetalage!$B$6:$B$505,0)),"n.b."))</f>
        <v/>
      </c>
      <c r="CO49" s="92" t="str">
        <f>IF($A49="","",IFERROR(INDEX(STG_Woningetalage!$P$6:$P$505,MATCH($A49,STG_Woningetalage!$B$6:$B$505,0)),"n.b."))</f>
        <v/>
      </c>
      <c r="CP49" s="118" t="str">
        <f>IF($A49="","",IF(AND(ISNUMBER(AT49),ISNUMBER(F49)),IF(F49&gt;0,AT49/(F49/100),"n.b."),"n.b."))</f>
        <v/>
      </c>
      <c r="CQ49" s="116" t="str">
        <f>IF($A49="","",IF(ISNUMBER(Q49),IF(Q49&lt;0,1,0),0))</f>
        <v/>
      </c>
      <c r="CR49" s="116" t="str">
        <f>IF(CQ49=1,COUNTIF($CQ$6:CQ49,1),"")</f>
        <v/>
      </c>
      <c r="CS49" s="116" t="str">
        <f>IF(AND($A49&lt;&gt;"",$J49=0),COUNTIFS($A$6:$A49,"?*",$J$6:$J49,0),"")</f>
        <v/>
      </c>
      <c r="CT49" s="119" t="str">
        <f>IF($A49="","",IF(AND(ISNUMBER(Q49),ISNUMBER(P49)),IF(P49&lt;&gt;0,Q49/P49,"n.b."),"n.b."))</f>
        <v/>
      </c>
    </row>
    <row r="50">
      <c r="A50" s="92" t="str">
        <f>IF(Mapping!$A49="","",Mapping!$A49)</f>
        <v/>
      </c>
      <c r="B50" s="92" t="str">
        <f>IF(Mapping!$B49="","",Mapping!$B49)</f>
        <v/>
      </c>
      <c r="C50" s="92" t="str">
        <f>IF(Mapping!$C49="","",Mapping!$C49)</f>
        <v/>
      </c>
      <c r="D50" s="92" t="str">
        <f>IF(Mapping!$F49="","",Mapping!$F49)</f>
        <v/>
      </c>
      <c r="E50" s="92" t="str">
        <f>IF(Mapping!$H49="","",Mapping!$H49)</f>
        <v/>
      </c>
      <c r="F50" s="92" t="str">
        <f>IF(Mapping!$E49="","",Mapping!$E49)</f>
        <v/>
      </c>
      <c r="G50" s="92" t="str">
        <f>IF(Mapping!$G49="","",Mapping!$G49)</f>
        <v/>
      </c>
      <c r="H50" s="92" t="str">
        <f>IF(Mapping!$D49="","",Mapping!$D49)</f>
        <v/>
      </c>
      <c r="I50" s="92" t="str">
        <f>IF($A50="","",IFERROR(INDEX(STG_ZPMW03!$C$6:$C$505,MATCH($A50,STG_ZPMW03!$B$6:$B$505,0)),"n.b."))</f>
        <v/>
      </c>
      <c r="J50" s="116" t="str">
        <f>IF($A50="","",COUNTIF(STG_ZPMW03!$B$6:$B$505,$A50))</f>
        <v/>
      </c>
      <c r="K50" s="116" t="str">
        <f>IF($A50="","",COUNTIF(STG_Woningetalage!$B$6:$B$505,$A50))</f>
        <v/>
      </c>
      <c r="L50" s="117" t="str">
        <f>IF($A50="","",IF($J50=0,"n.b.",SUMIFS(STG_ZPMW03!$BK$6:$BK$505,STG_ZPMW03!$B$6:$B$505,$A50)))</f>
        <v/>
      </c>
      <c r="M50" s="117" t="str">
        <f>IF($A50="","",IF($J50=0,"n.b.",SUMIFS(STG_ZPMW03!$BL$6:$BL$505,STG_ZPMW03!$B$6:$B$505,$A50)))</f>
        <v/>
      </c>
      <c r="N50" s="117" t="str">
        <f>IF($A50="","",IF($J50=0,"n.b.",SUMIFS(STG_ZPMW03!$BM$6:$BM$505,STG_ZPMW03!$B$6:$B$505,$A50)))</f>
        <v/>
      </c>
      <c r="O50" s="117" t="str">
        <f>IF($A50="","",IF($J50=0,"n.b.",SUMIFS(STG_ZPMW03!$BN$6:$BN$505,STG_ZPMW03!$B$6:$B$505,$A50)))</f>
        <v/>
      </c>
      <c r="P50" s="117" t="str">
        <f>IF($A50="","",IF($J50=0,"n.b.",SUMIFS(STG_ZPMW03!$BO$6:$BO$505,STG_ZPMW03!$B$6:$B$505,$A50)))</f>
        <v/>
      </c>
      <c r="Q50" s="117" t="str">
        <f>IF($A50="","",IF($J50=0,"n.b.",SUMIFS(STG_ZPMW03!$BP$6:$BP$505,STG_ZPMW03!$B$6:$B$505,$A50)))</f>
        <v/>
      </c>
      <c r="R50" s="117" t="str">
        <f>IF($A50="","",IF($J50=0,"n.b.",SUMIFS(STG_ZPMW03!$BQ$6:$BQ$505,STG_ZPMW03!$B$6:$B$505,$A50)))</f>
        <v/>
      </c>
      <c r="S50" s="117" t="str">
        <f>IF($A50="","",IF($J50=0,"n.b.",SUMIFS(STG_ZPMW03!$BR$6:$BR$505,STG_ZPMW03!$B$6:$B$505,$A50)))</f>
        <v/>
      </c>
      <c r="T50" s="117" t="str">
        <f>IF($A50="","",IF($J50=0,"n.b.",SUMIFS(STG_ZPMW03!$BS$6:$BS$505,STG_ZPMW03!$B$6:$B$505,$A50)))</f>
        <v/>
      </c>
      <c r="U50" s="117" t="str">
        <f>IF($A50="","",IF($J50=0,"n.b.",SUMIFS(STG_ZPMW03!$BT$6:$BT$505,STG_ZPMW03!$B$6:$B$505,$A50)))</f>
        <v/>
      </c>
      <c r="V50" s="117" t="str">
        <f>IF($A50="","",IF($J50=0,"n.b.",SUMIFS(STG_ZPMW03!$BU$6:$BU$505,STG_ZPMW03!$B$6:$B$505,$A50)))</f>
        <v/>
      </c>
      <c r="W50" s="117" t="str">
        <f>IF($A50="","",IF($J50=0,"n.b.",SUMIFS(STG_ZPMW03!$BW$6:$BW$505,STG_ZPMW03!$B$6:$B$505,$A50)))</f>
        <v/>
      </c>
      <c r="X50" s="117" t="str">
        <f>IF($A50="","",IF($J50=0,"n.b.",SUMIFS(STG_ZPMW03!$BY$6:$BY$505,STG_ZPMW03!$B$6:$B$505,$A50)))</f>
        <v/>
      </c>
      <c r="Y50" s="117" t="str">
        <f>IF($A50="","",IF($J50=0,"n.b.",SUMIFS(STG_ZPMW03!$CA$6:$CA$505,STG_ZPMW03!$B$6:$B$505,$A50)))</f>
        <v/>
      </c>
      <c r="Z50" s="117" t="str">
        <f>IF($A50="","",IF($J50=0,"n.b.",SUMIFS(STG_ZPMW03!$BV$6:$BV$505,STG_ZPMW03!$B$6:$B$505,$A50)))</f>
        <v/>
      </c>
      <c r="AA50" s="117" t="str">
        <f>IF($A50="","",IF($J50=0,"n.b.",SUMIFS(STG_ZPMW03!$BX$6:$BX$505,STG_ZPMW03!$B$6:$B$505,$A50)))</f>
        <v/>
      </c>
      <c r="AB50" s="117" t="str">
        <f>IF($A50="","",IF($J50=0,"n.b.",SUMIFS(STG_ZPMW03!$BZ$6:$BZ$505,STG_ZPMW03!$B$6:$B$505,$A50)))</f>
        <v/>
      </c>
      <c r="AC50" s="117" t="str">
        <f>IF($A50="","",IF($J50=0,"n.b.",SUMIFS(STG_ZPMW03!$CB$6:$CB$505,STG_ZPMW03!$B$6:$B$505,$A50)))</f>
        <v/>
      </c>
      <c r="AD50" s="117" t="str">
        <f>IF($A50="","",IF($J50=0,"n.b.",SUMIFS(STG_ZPMW03!$CC$6:$CC$505,STG_ZPMW03!$B$6:$B$505,$A50)))</f>
        <v/>
      </c>
      <c r="AE50" s="117" t="str">
        <f>IF($A50="","",IF($J50=0,"n.b.",SUMIFS(STG_ZPMW03!$CE$6:$CE$505,STG_ZPMW03!$B$6:$B$505,$A50)))</f>
        <v/>
      </c>
      <c r="AF50" s="117" t="str">
        <f>IF($A50="","",IF($J50=0,"n.b.",SUMIFS(STG_ZPMW03!$CG$6:$CG$505,STG_ZPMW03!$B$6:$B$505,$A50)))</f>
        <v/>
      </c>
      <c r="AG50" s="117" t="str">
        <f>IF($A50="","",IF($J50=0,"n.b.",SUMIFS(STG_ZPMW03!$CI$6:$CI$505,STG_ZPMW03!$B$6:$B$505,$A50)))</f>
        <v/>
      </c>
      <c r="AH50" s="117" t="str">
        <f>IF($A50="","",IF($J50=0,"n.b.",SUMIFS(STG_ZPMW03!$CK$6:$CK$505,STG_ZPMW03!$B$6:$B$505,$A50)))</f>
        <v/>
      </c>
      <c r="AI50" s="117" t="str">
        <f>IF($A50="","",IF($J50=0,"n.b.",SUMIFS(STG_ZPMW03!$CM$6:$CM$505,STG_ZPMW03!$B$6:$B$505,$A50)))</f>
        <v/>
      </c>
      <c r="AJ50" s="117" t="str">
        <f>IF($A50="","",IF($J50=0,"n.b.",SUMIFS(STG_ZPMW03!$CO$6:$CO$505,STG_ZPMW03!$B$6:$B$505,$A50)))</f>
        <v/>
      </c>
      <c r="AK50" s="117" t="str">
        <f>IF($A50="","",IF($J50=0,"n.b.",SUMIFS(STG_ZPMW03!$CQ$6:$CQ$505,STG_ZPMW03!$B$6:$B$505,$A50)))</f>
        <v/>
      </c>
      <c r="AL50" s="117" t="str">
        <f>IF($A50="","",IF($J50=0,"n.b.",SUMIFS(STG_ZPMW03!$CD$6:$CD$505,STG_ZPMW03!$B$6:$B$505,$A50)))</f>
        <v/>
      </c>
      <c r="AM50" s="117" t="str">
        <f>IF($A50="","",IF($J50=0,"n.b.",SUMIFS(STG_ZPMW03!$CF$6:$CF$505,STG_ZPMW03!$B$6:$B$505,$A50)))</f>
        <v/>
      </c>
      <c r="AN50" s="117" t="str">
        <f>IF($A50="","",IF($J50=0,"n.b.",SUMIFS(STG_ZPMW03!$CH$6:$CH$505,STG_ZPMW03!$B$6:$B$505,$A50)))</f>
        <v/>
      </c>
      <c r="AO50" s="117" t="str">
        <f>IF($A50="","",IF($J50=0,"n.b.",SUMIFS(STG_ZPMW03!$CJ$6:$CJ$505,STG_ZPMW03!$B$6:$B$505,$A50)))</f>
        <v/>
      </c>
      <c r="AP50" s="117" t="str">
        <f>IF($A50="","",IF($J50=0,"n.b.",SUMIFS(STG_ZPMW03!$CL$6:$CL$505,STG_ZPMW03!$B$6:$B$505,$A50)))</f>
        <v/>
      </c>
      <c r="AQ50" s="117" t="str">
        <f>IF($A50="","",IF($J50=0,"n.b.",SUMIFS(STG_ZPMW03!$CN$6:$CN$505,STG_ZPMW03!$B$6:$B$505,$A50)))</f>
        <v/>
      </c>
      <c r="AR50" s="117" t="str">
        <f>IF($A50="","",IF($J50=0,"n.b.",SUMIFS(STG_ZPMW03!$CP$6:$CP$505,STG_ZPMW03!$B$6:$B$505,$A50)))</f>
        <v/>
      </c>
      <c r="AS50" s="117" t="str">
        <f>IF($A50="","",IF($J50=0,"n.b.",SUMIFS(STG_ZPMW03!$CR$6:$CR$505,STG_ZPMW03!$B$6:$B$505,$A50)))</f>
        <v/>
      </c>
      <c r="AT50" s="117" t="str">
        <f>IF($A50="","",IF($K50=0,"n.b.",SUMIFS(STG_Woningetalage!$Q$6:$Q$505,STG_Woningetalage!$B$6:$B$505,$A50)))</f>
        <v/>
      </c>
      <c r="AU50" s="117" t="str">
        <f>IF($A50="","",IF($K50=0,"n.b.",SUMIFS(STG_Woningetalage!$R$6:$R$505,STG_Woningetalage!$B$6:$B$505,$A50)))</f>
        <v/>
      </c>
      <c r="AV50" s="117" t="str">
        <f>IF($A50="","",IF($K50=0,"n.b.",SUMIFS(STG_Woningetalage!$S$6:$S$505,STG_Woningetalage!$B$6:$B$505,$A50)))</f>
        <v/>
      </c>
      <c r="AW50" s="117" t="str">
        <f>IF($A50="","",IF($K50=0,"n.b.",SUMIFS(STG_Woningetalage!$T$6:$T$505,STG_Woningetalage!$B$6:$B$505,$A50)))</f>
        <v/>
      </c>
      <c r="AX50" s="117" t="str">
        <f>IF($A50="","",IF($K50=0,"n.b.",SUMIFS(STG_Woningetalage!$U$6:$U$505,STG_Woningetalage!$B$6:$B$505,$A50)))</f>
        <v/>
      </c>
      <c r="AY50" s="117" t="str">
        <f>IF($A50="","",IF($K50=0,"n.b.",SUMIFS(STG_Woningetalage!$V$6:$V$505,STG_Woningetalage!$B$6:$B$505,$A50)))</f>
        <v/>
      </c>
      <c r="AZ50" s="117" t="str">
        <f>IF($A50="","",IF($K50=0,"n.b.",SUMIFS(STG_Woningetalage!$W$6:$W$505,STG_Woningetalage!$B$6:$B$505,$A50)))</f>
        <v/>
      </c>
      <c r="BA50" s="117" t="str">
        <f>IF($A50="","",IF($K50=0,"n.b.",SUMIFS(STG_Woningetalage!$X$6:$X$505,STG_Woningetalage!$B$6:$B$505,$A50)))</f>
        <v/>
      </c>
      <c r="BB50" s="117" t="str">
        <f>IF($A50="","",IF($K50=0,"n.b.",SUMIFS(STG_Woningetalage!$Y$6:$Y$505,STG_Woningetalage!$B$6:$B$505,$A50)))</f>
        <v/>
      </c>
      <c r="BC50" s="117" t="str">
        <f>IF($A50="","",IF($K50=0,"n.b.",SUMIFS(STG_Woningetalage!$Z$6:$Z$505,STG_Woningetalage!$B$6:$B$505,$A50)))</f>
        <v/>
      </c>
      <c r="BD50" s="117" t="str">
        <f>IF($A50="","",IF($K50=0,"n.b.",SUMIFS(STG_Woningetalage!$AA$6:$AA$505,STG_Woningetalage!$B$6:$B$505,$A50)))</f>
        <v/>
      </c>
      <c r="BE50" s="117" t="str">
        <f>IF($A50="","",IF($K50=0,"n.b.",SUMIFS(STG_Woningetalage!$AB$6:$AB$505,STG_Woningetalage!$B$6:$B$505,$A50)))</f>
        <v/>
      </c>
      <c r="BF50" s="117" t="str">
        <f>IF($A50="","",IF($K50=0,"n.b.",SUMIFS(STG_Woningetalage!$AC$6:$AC$505,STG_Woningetalage!$B$6:$B$505,$A50)))</f>
        <v/>
      </c>
      <c r="BG50" s="117" t="str">
        <f>IF($A50="","",IF($K50=0,"n.b.",SUMIFS(STG_Woningetalage!$AD$6:$AD$505,STG_Woningetalage!$B$6:$B$505,$A50)))</f>
        <v/>
      </c>
      <c r="BH50" s="117" t="str">
        <f>IF($A50="","",IF($K50=0,"n.b.",SUMIFS(STG_Woningetalage!$AE$6:$AE$505,STG_Woningetalage!$B$6:$B$505,$A50)))</f>
        <v/>
      </c>
      <c r="BI50" s="117" t="str">
        <f>IF($A50="","",IF($K50=0,"n.b.",SUMIFS(STG_Woningetalage!$AF$6:$AF$505,STG_Woningetalage!$B$6:$B$505,$A50)))</f>
        <v/>
      </c>
      <c r="BJ50" s="117" t="str">
        <f>IF($A50="","",IF($K50=0,"n.b.",SUMIFS(STG_Woningetalage!$AG$6:$AG$505,STG_Woningetalage!$B$6:$B$505,$A50)))</f>
        <v/>
      </c>
      <c r="BK50" s="117" t="str">
        <f>IF($A50="","",IF($K50=0,"n.b.",SUMIFS(STG_Woningetalage!$AH$6:$AH$505,STG_Woningetalage!$B$6:$B$505,$A50)))</f>
        <v/>
      </c>
      <c r="BL50" s="117" t="str">
        <f>IF($A50="","",IF($K50=0,"n.b.",SUMIFS(STG_Woningetalage!$AI$6:$AI$505,STG_Woningetalage!$B$6:$B$505,$A50)))</f>
        <v/>
      </c>
      <c r="BM50" s="117" t="str">
        <f>IF($A50="","",IF($K50=0,"n.b.",SUMIFS(STG_Woningetalage!$AJ$6:$AJ$505,STG_Woningetalage!$B$6:$B$505,$A50)))</f>
        <v/>
      </c>
      <c r="BN50" s="117" t="str">
        <f>IF($A50="","",IF($K50=0,"n.b.",SUMIFS(STG_Woningetalage!$AK$6:$AK$505,STG_Woningetalage!$B$6:$B$505,$A50)))</f>
        <v/>
      </c>
      <c r="BO50" s="117" t="str">
        <f>IF($A50="","",IF($K50=0,"n.b.",SUMIFS(STG_Woningetalage!$AL$6:$AL$505,STG_Woningetalage!$B$6:$B$505,$A50)))</f>
        <v/>
      </c>
      <c r="BP50" s="117" t="str">
        <f>IF($A50="","",IF($K50=0,"n.b.",SUMIFS(STG_Woningetalage!$AM$6:$AM$505,STG_Woningetalage!$B$6:$B$505,$A50)))</f>
        <v/>
      </c>
      <c r="BQ50" s="117" t="str">
        <f>IF($A50="","",IF($K50=0,"n.b.",SUMIFS(STG_Woningetalage!$BE$6:$BE$505,STG_Woningetalage!$B$6:$B$505,$A50)))</f>
        <v/>
      </c>
      <c r="BR50" s="117" t="str">
        <f>IF($A50="","",IF($K50=0,"n.b.",SUMIFS(STG_Woningetalage!$BF$6:$BF$505,STG_Woningetalage!$B$6:$B$505,$A50)))</f>
        <v/>
      </c>
      <c r="BS50" s="117" t="str">
        <f>IF($A50="","",IF($K50=0,"n.b.",SUMIFS(STG_Woningetalage!$BG$6:$BG$505,STG_Woningetalage!$B$6:$B$505,$A50)))</f>
        <v/>
      </c>
      <c r="BT50" s="117" t="str">
        <f>IF($A50="","",IF($K50=0,"n.b.",SUMIFS(STG_Woningetalage!$BH$6:$BH$505,STG_Woningetalage!$B$6:$B$505,$A50)))</f>
        <v/>
      </c>
      <c r="BU50" s="117" t="str">
        <f>IF($A50="","",IF($K50=0,"n.b.",SUMIFS(STG_Woningetalage!$BI$6:$BI$505,STG_Woningetalage!$B$6:$B$505,$A50)))</f>
        <v/>
      </c>
      <c r="BV50" s="117" t="str">
        <f>IF($A50="","",IF($K50=0,"n.b.",SUMIFS(STG_Woningetalage!$BJ$6:$BJ$505,STG_Woningetalage!$B$6:$B$505,$A50)))</f>
        <v/>
      </c>
      <c r="BW50" s="117" t="str">
        <f>IF($A50="","",IF($K50=0,"n.b.",SUMIFS(STG_Woningetalage!$AR$6:$AR$505,STG_Woningetalage!$B$6:$B$505,$A50)))</f>
        <v/>
      </c>
      <c r="BX50" s="117" t="str">
        <f>IF($A50="","",IF($K50=0,"n.b.",SUMIFS(STG_Woningetalage!$AS$6:$AS$505,STG_Woningetalage!$B$6:$B$505,$A50)))</f>
        <v/>
      </c>
      <c r="BY50" s="117" t="str">
        <f>IF($A50="","",IF($K50=0,"n.b.",SUMIFS(STG_Woningetalage!$AN$6:$AN$505,STG_Woningetalage!$B$6:$B$505,$A50)))</f>
        <v/>
      </c>
      <c r="BZ50" s="117" t="str">
        <f>IF($A50="","",IF($K50=0,"n.b.",SUMIFS(STG_Woningetalage!$AO$6:$AO$505,STG_Woningetalage!$B$6:$B$505,$A50)))</f>
        <v/>
      </c>
      <c r="CA50" s="117" t="str">
        <f>IF($A50="","",IF($K50=0,"n.b.",SUMIFS(STG_Woningetalage!$AP$6:$AP$505,STG_Woningetalage!$B$6:$B$505,$A50)))</f>
        <v/>
      </c>
      <c r="CB50" s="117" t="str">
        <f>IF($A50="","",IF($K50=0,"n.b.",SUMIFS(STG_Woningetalage!$AQ$6:$AQ$505,STG_Woningetalage!$B$6:$B$505,$A50)))</f>
        <v/>
      </c>
      <c r="CC50" s="117" t="str">
        <f>IF($A50="","",IF($K50=0,"n.b.",SUMIFS(STG_Woningetalage!$AU$6:$AU$505,STG_Woningetalage!$B$6:$B$505,$A50)))</f>
        <v/>
      </c>
      <c r="CD50" s="92" t="str">
        <f>IF($A50="","",IFERROR(INDEX(STG_ZPMW03!$L$6:$L$505,MATCH($A50,STG_ZPMW03!$B$6:$B$505,0)),"n.b."))</f>
        <v/>
      </c>
      <c r="CE50" s="92" t="str">
        <f>IF($A50="","",IFERROR(INDEX(STG_ZPMW03!$K$6:$K$505,MATCH($A50,STG_ZPMW03!$B$6:$B$505,0)),"n.b."))</f>
        <v/>
      </c>
      <c r="CF50" s="92" t="str">
        <f>IF($A50="","",IFERROR(INDEX(STG_ZPMW03!$BH$6:$BH$505,MATCH($A50,STG_ZPMW03!$B$6:$B$505,0)),"n.b."))</f>
        <v/>
      </c>
      <c r="CG50" s="92" t="str">
        <f>IF($A50="","",IFERROR(INDEX(STG_ZPMW03!$BI$6:$BI$505,MATCH($A50,STG_ZPMW03!$B$6:$B$505,0)),"n.b."))</f>
        <v/>
      </c>
      <c r="CH50" s="92" t="str">
        <f>IF($A50="","",IFERROR(INDEX(STG_ZPMW03!$BJ$6:$BJ$505,MATCH($A50,STG_ZPMW03!$B$6:$B$505,0)),"n.b."))</f>
        <v/>
      </c>
      <c r="CI50" s="92" t="str">
        <f>IF($A50="","",IFERROR(INDEX(STG_ZPMW03!$BF$6:$BF$505,MATCH($A50,STG_ZPMW03!$B$6:$B$505,0)),"n.b."))</f>
        <v/>
      </c>
      <c r="CJ50" s="92" t="str">
        <f>IF($A50="","",IFERROR(INDEX(STG_ZPMW03!$BG$6:$BG$505,MATCH($A50,STG_ZPMW03!$B$6:$B$505,0)),"n.b."))</f>
        <v/>
      </c>
      <c r="CK50" s="92" t="str">
        <f>IF($A50="","",IFERROR(INDEX(STG_ZPMW03!$H$6:$H$505,MATCH($A50,STG_ZPMW03!$B$6:$B$505,0)),"n.b."))</f>
        <v/>
      </c>
      <c r="CL50" s="92" t="str">
        <f>IF($A50="","",IFERROR(INDEX(STG_ZPMW03!$E$6:$E$505,MATCH($A50,STG_ZPMW03!$B$6:$B$505,0)),"n.b."))</f>
        <v/>
      </c>
      <c r="CM50" s="92" t="str">
        <f>IF($A50="","",IFERROR(INDEX(STG_ZPMW03!$G$6:$G$505,MATCH($A50,STG_ZPMW03!$B$6:$B$505,0)),"n.b."))</f>
        <v/>
      </c>
      <c r="CN50" s="92" t="str">
        <f>IF($A50="","",IFERROR(INDEX(STG_Woningetalage!$N$6:$N$505,MATCH($A50,STG_Woningetalage!$B$6:$B$505,0)),"n.b."))</f>
        <v/>
      </c>
      <c r="CO50" s="92" t="str">
        <f>IF($A50="","",IFERROR(INDEX(STG_Woningetalage!$P$6:$P$505,MATCH($A50,STG_Woningetalage!$B$6:$B$505,0)),"n.b."))</f>
        <v/>
      </c>
      <c r="CP50" s="118" t="str">
        <f>IF($A50="","",IF(AND(ISNUMBER(AT50),ISNUMBER(F50)),IF(F50&gt;0,AT50/(F50/100),"n.b."),"n.b."))</f>
        <v/>
      </c>
      <c r="CQ50" s="116" t="str">
        <f>IF($A50="","",IF(ISNUMBER(Q50),IF(Q50&lt;0,1,0),0))</f>
        <v/>
      </c>
      <c r="CR50" s="116" t="str">
        <f>IF(CQ50=1,COUNTIF($CQ$6:CQ50,1),"")</f>
        <v/>
      </c>
      <c r="CS50" s="116" t="str">
        <f>IF(AND($A50&lt;&gt;"",$J50=0),COUNTIFS($A$6:$A50,"?*",$J$6:$J50,0),"")</f>
        <v/>
      </c>
      <c r="CT50" s="119" t="str">
        <f>IF($A50="","",IF(AND(ISNUMBER(Q50),ISNUMBER(P50)),IF(P50&lt;&gt;0,Q50/P50,"n.b."),"n.b."))</f>
        <v/>
      </c>
    </row>
    <row r="51">
      <c r="A51" s="92" t="str">
        <f>IF(Mapping!$A50="","",Mapping!$A50)</f>
        <v/>
      </c>
      <c r="B51" s="92" t="str">
        <f>IF(Mapping!$B50="","",Mapping!$B50)</f>
        <v/>
      </c>
      <c r="C51" s="92" t="str">
        <f>IF(Mapping!$C50="","",Mapping!$C50)</f>
        <v/>
      </c>
      <c r="D51" s="92" t="str">
        <f>IF(Mapping!$F50="","",Mapping!$F50)</f>
        <v/>
      </c>
      <c r="E51" s="92" t="str">
        <f>IF(Mapping!$H50="","",Mapping!$H50)</f>
        <v/>
      </c>
      <c r="F51" s="92" t="str">
        <f>IF(Mapping!$E50="","",Mapping!$E50)</f>
        <v/>
      </c>
      <c r="G51" s="92" t="str">
        <f>IF(Mapping!$G50="","",Mapping!$G50)</f>
        <v/>
      </c>
      <c r="H51" s="92" t="str">
        <f>IF(Mapping!$D50="","",Mapping!$D50)</f>
        <v/>
      </c>
      <c r="I51" s="92" t="str">
        <f>IF($A51="","",IFERROR(INDEX(STG_ZPMW03!$C$6:$C$505,MATCH($A51,STG_ZPMW03!$B$6:$B$505,0)),"n.b."))</f>
        <v/>
      </c>
      <c r="J51" s="116" t="str">
        <f>IF($A51="","",COUNTIF(STG_ZPMW03!$B$6:$B$505,$A51))</f>
        <v/>
      </c>
      <c r="K51" s="116" t="str">
        <f>IF($A51="","",COUNTIF(STG_Woningetalage!$B$6:$B$505,$A51))</f>
        <v/>
      </c>
      <c r="L51" s="117" t="str">
        <f>IF($A51="","",IF($J51=0,"n.b.",SUMIFS(STG_ZPMW03!$BK$6:$BK$505,STG_ZPMW03!$B$6:$B$505,$A51)))</f>
        <v/>
      </c>
      <c r="M51" s="117" t="str">
        <f>IF($A51="","",IF($J51=0,"n.b.",SUMIFS(STG_ZPMW03!$BL$6:$BL$505,STG_ZPMW03!$B$6:$B$505,$A51)))</f>
        <v/>
      </c>
      <c r="N51" s="117" t="str">
        <f>IF($A51="","",IF($J51=0,"n.b.",SUMIFS(STG_ZPMW03!$BM$6:$BM$505,STG_ZPMW03!$B$6:$B$505,$A51)))</f>
        <v/>
      </c>
      <c r="O51" s="117" t="str">
        <f>IF($A51="","",IF($J51=0,"n.b.",SUMIFS(STG_ZPMW03!$BN$6:$BN$505,STG_ZPMW03!$B$6:$B$505,$A51)))</f>
        <v/>
      </c>
      <c r="P51" s="117" t="str">
        <f>IF($A51="","",IF($J51=0,"n.b.",SUMIFS(STG_ZPMW03!$BO$6:$BO$505,STG_ZPMW03!$B$6:$B$505,$A51)))</f>
        <v/>
      </c>
      <c r="Q51" s="117" t="str">
        <f>IF($A51="","",IF($J51=0,"n.b.",SUMIFS(STG_ZPMW03!$BP$6:$BP$505,STG_ZPMW03!$B$6:$B$505,$A51)))</f>
        <v/>
      </c>
      <c r="R51" s="117" t="str">
        <f>IF($A51="","",IF($J51=0,"n.b.",SUMIFS(STG_ZPMW03!$BQ$6:$BQ$505,STG_ZPMW03!$B$6:$B$505,$A51)))</f>
        <v/>
      </c>
      <c r="S51" s="117" t="str">
        <f>IF($A51="","",IF($J51=0,"n.b.",SUMIFS(STG_ZPMW03!$BR$6:$BR$505,STG_ZPMW03!$B$6:$B$505,$A51)))</f>
        <v/>
      </c>
      <c r="T51" s="117" t="str">
        <f>IF($A51="","",IF($J51=0,"n.b.",SUMIFS(STG_ZPMW03!$BS$6:$BS$505,STG_ZPMW03!$B$6:$B$505,$A51)))</f>
        <v/>
      </c>
      <c r="U51" s="117" t="str">
        <f>IF($A51="","",IF($J51=0,"n.b.",SUMIFS(STG_ZPMW03!$BT$6:$BT$505,STG_ZPMW03!$B$6:$B$505,$A51)))</f>
        <v/>
      </c>
      <c r="V51" s="117" t="str">
        <f>IF($A51="","",IF($J51=0,"n.b.",SUMIFS(STG_ZPMW03!$BU$6:$BU$505,STG_ZPMW03!$B$6:$B$505,$A51)))</f>
        <v/>
      </c>
      <c r="W51" s="117" t="str">
        <f>IF($A51="","",IF($J51=0,"n.b.",SUMIFS(STG_ZPMW03!$BW$6:$BW$505,STG_ZPMW03!$B$6:$B$505,$A51)))</f>
        <v/>
      </c>
      <c r="X51" s="117" t="str">
        <f>IF($A51="","",IF($J51=0,"n.b.",SUMIFS(STG_ZPMW03!$BY$6:$BY$505,STG_ZPMW03!$B$6:$B$505,$A51)))</f>
        <v/>
      </c>
      <c r="Y51" s="117" t="str">
        <f>IF($A51="","",IF($J51=0,"n.b.",SUMIFS(STG_ZPMW03!$CA$6:$CA$505,STG_ZPMW03!$B$6:$B$505,$A51)))</f>
        <v/>
      </c>
      <c r="Z51" s="117" t="str">
        <f>IF($A51="","",IF($J51=0,"n.b.",SUMIFS(STG_ZPMW03!$BV$6:$BV$505,STG_ZPMW03!$B$6:$B$505,$A51)))</f>
        <v/>
      </c>
      <c r="AA51" s="117" t="str">
        <f>IF($A51="","",IF($J51=0,"n.b.",SUMIFS(STG_ZPMW03!$BX$6:$BX$505,STG_ZPMW03!$B$6:$B$505,$A51)))</f>
        <v/>
      </c>
      <c r="AB51" s="117" t="str">
        <f>IF($A51="","",IF($J51=0,"n.b.",SUMIFS(STG_ZPMW03!$BZ$6:$BZ$505,STG_ZPMW03!$B$6:$B$505,$A51)))</f>
        <v/>
      </c>
      <c r="AC51" s="117" t="str">
        <f>IF($A51="","",IF($J51=0,"n.b.",SUMIFS(STG_ZPMW03!$CB$6:$CB$505,STG_ZPMW03!$B$6:$B$505,$A51)))</f>
        <v/>
      </c>
      <c r="AD51" s="117" t="str">
        <f>IF($A51="","",IF($J51=0,"n.b.",SUMIFS(STG_ZPMW03!$CC$6:$CC$505,STG_ZPMW03!$B$6:$B$505,$A51)))</f>
        <v/>
      </c>
      <c r="AE51" s="117" t="str">
        <f>IF($A51="","",IF($J51=0,"n.b.",SUMIFS(STG_ZPMW03!$CE$6:$CE$505,STG_ZPMW03!$B$6:$B$505,$A51)))</f>
        <v/>
      </c>
      <c r="AF51" s="117" t="str">
        <f>IF($A51="","",IF($J51=0,"n.b.",SUMIFS(STG_ZPMW03!$CG$6:$CG$505,STG_ZPMW03!$B$6:$B$505,$A51)))</f>
        <v/>
      </c>
      <c r="AG51" s="117" t="str">
        <f>IF($A51="","",IF($J51=0,"n.b.",SUMIFS(STG_ZPMW03!$CI$6:$CI$505,STG_ZPMW03!$B$6:$B$505,$A51)))</f>
        <v/>
      </c>
      <c r="AH51" s="117" t="str">
        <f>IF($A51="","",IF($J51=0,"n.b.",SUMIFS(STG_ZPMW03!$CK$6:$CK$505,STG_ZPMW03!$B$6:$B$505,$A51)))</f>
        <v/>
      </c>
      <c r="AI51" s="117" t="str">
        <f>IF($A51="","",IF($J51=0,"n.b.",SUMIFS(STG_ZPMW03!$CM$6:$CM$505,STG_ZPMW03!$B$6:$B$505,$A51)))</f>
        <v/>
      </c>
      <c r="AJ51" s="117" t="str">
        <f>IF($A51="","",IF($J51=0,"n.b.",SUMIFS(STG_ZPMW03!$CO$6:$CO$505,STG_ZPMW03!$B$6:$B$505,$A51)))</f>
        <v/>
      </c>
      <c r="AK51" s="117" t="str">
        <f>IF($A51="","",IF($J51=0,"n.b.",SUMIFS(STG_ZPMW03!$CQ$6:$CQ$505,STG_ZPMW03!$B$6:$B$505,$A51)))</f>
        <v/>
      </c>
      <c r="AL51" s="117" t="str">
        <f>IF($A51="","",IF($J51=0,"n.b.",SUMIFS(STG_ZPMW03!$CD$6:$CD$505,STG_ZPMW03!$B$6:$B$505,$A51)))</f>
        <v/>
      </c>
      <c r="AM51" s="117" t="str">
        <f>IF($A51="","",IF($J51=0,"n.b.",SUMIFS(STG_ZPMW03!$CF$6:$CF$505,STG_ZPMW03!$B$6:$B$505,$A51)))</f>
        <v/>
      </c>
      <c r="AN51" s="117" t="str">
        <f>IF($A51="","",IF($J51=0,"n.b.",SUMIFS(STG_ZPMW03!$CH$6:$CH$505,STG_ZPMW03!$B$6:$B$505,$A51)))</f>
        <v/>
      </c>
      <c r="AO51" s="117" t="str">
        <f>IF($A51="","",IF($J51=0,"n.b.",SUMIFS(STG_ZPMW03!$CJ$6:$CJ$505,STG_ZPMW03!$B$6:$B$505,$A51)))</f>
        <v/>
      </c>
      <c r="AP51" s="117" t="str">
        <f>IF($A51="","",IF($J51=0,"n.b.",SUMIFS(STG_ZPMW03!$CL$6:$CL$505,STG_ZPMW03!$B$6:$B$505,$A51)))</f>
        <v/>
      </c>
      <c r="AQ51" s="117" t="str">
        <f>IF($A51="","",IF($J51=0,"n.b.",SUMIFS(STG_ZPMW03!$CN$6:$CN$505,STG_ZPMW03!$B$6:$B$505,$A51)))</f>
        <v/>
      </c>
      <c r="AR51" s="117" t="str">
        <f>IF($A51="","",IF($J51=0,"n.b.",SUMIFS(STG_ZPMW03!$CP$6:$CP$505,STG_ZPMW03!$B$6:$B$505,$A51)))</f>
        <v/>
      </c>
      <c r="AS51" s="117" t="str">
        <f>IF($A51="","",IF($J51=0,"n.b.",SUMIFS(STG_ZPMW03!$CR$6:$CR$505,STG_ZPMW03!$B$6:$B$505,$A51)))</f>
        <v/>
      </c>
      <c r="AT51" s="117" t="str">
        <f>IF($A51="","",IF($K51=0,"n.b.",SUMIFS(STG_Woningetalage!$Q$6:$Q$505,STG_Woningetalage!$B$6:$B$505,$A51)))</f>
        <v/>
      </c>
      <c r="AU51" s="117" t="str">
        <f>IF($A51="","",IF($K51=0,"n.b.",SUMIFS(STG_Woningetalage!$R$6:$R$505,STG_Woningetalage!$B$6:$B$505,$A51)))</f>
        <v/>
      </c>
      <c r="AV51" s="117" t="str">
        <f>IF($A51="","",IF($K51=0,"n.b.",SUMIFS(STG_Woningetalage!$S$6:$S$505,STG_Woningetalage!$B$6:$B$505,$A51)))</f>
        <v/>
      </c>
      <c r="AW51" s="117" t="str">
        <f>IF($A51="","",IF($K51=0,"n.b.",SUMIFS(STG_Woningetalage!$T$6:$T$505,STG_Woningetalage!$B$6:$B$505,$A51)))</f>
        <v/>
      </c>
      <c r="AX51" s="117" t="str">
        <f>IF($A51="","",IF($K51=0,"n.b.",SUMIFS(STG_Woningetalage!$U$6:$U$505,STG_Woningetalage!$B$6:$B$505,$A51)))</f>
        <v/>
      </c>
      <c r="AY51" s="117" t="str">
        <f>IF($A51="","",IF($K51=0,"n.b.",SUMIFS(STG_Woningetalage!$V$6:$V$505,STG_Woningetalage!$B$6:$B$505,$A51)))</f>
        <v/>
      </c>
      <c r="AZ51" s="117" t="str">
        <f>IF($A51="","",IF($K51=0,"n.b.",SUMIFS(STG_Woningetalage!$W$6:$W$505,STG_Woningetalage!$B$6:$B$505,$A51)))</f>
        <v/>
      </c>
      <c r="BA51" s="117" t="str">
        <f>IF($A51="","",IF($K51=0,"n.b.",SUMIFS(STG_Woningetalage!$X$6:$X$505,STG_Woningetalage!$B$6:$B$505,$A51)))</f>
        <v/>
      </c>
      <c r="BB51" s="117" t="str">
        <f>IF($A51="","",IF($K51=0,"n.b.",SUMIFS(STG_Woningetalage!$Y$6:$Y$505,STG_Woningetalage!$B$6:$B$505,$A51)))</f>
        <v/>
      </c>
      <c r="BC51" s="117" t="str">
        <f>IF($A51="","",IF($K51=0,"n.b.",SUMIFS(STG_Woningetalage!$Z$6:$Z$505,STG_Woningetalage!$B$6:$B$505,$A51)))</f>
        <v/>
      </c>
      <c r="BD51" s="117" t="str">
        <f>IF($A51="","",IF($K51=0,"n.b.",SUMIFS(STG_Woningetalage!$AA$6:$AA$505,STG_Woningetalage!$B$6:$B$505,$A51)))</f>
        <v/>
      </c>
      <c r="BE51" s="117" t="str">
        <f>IF($A51="","",IF($K51=0,"n.b.",SUMIFS(STG_Woningetalage!$AB$6:$AB$505,STG_Woningetalage!$B$6:$B$505,$A51)))</f>
        <v/>
      </c>
      <c r="BF51" s="117" t="str">
        <f>IF($A51="","",IF($K51=0,"n.b.",SUMIFS(STG_Woningetalage!$AC$6:$AC$505,STG_Woningetalage!$B$6:$B$505,$A51)))</f>
        <v/>
      </c>
      <c r="BG51" s="117" t="str">
        <f>IF($A51="","",IF($K51=0,"n.b.",SUMIFS(STG_Woningetalage!$AD$6:$AD$505,STG_Woningetalage!$B$6:$B$505,$A51)))</f>
        <v/>
      </c>
      <c r="BH51" s="117" t="str">
        <f>IF($A51="","",IF($K51=0,"n.b.",SUMIFS(STG_Woningetalage!$AE$6:$AE$505,STG_Woningetalage!$B$6:$B$505,$A51)))</f>
        <v/>
      </c>
      <c r="BI51" s="117" t="str">
        <f>IF($A51="","",IF($K51=0,"n.b.",SUMIFS(STG_Woningetalage!$AF$6:$AF$505,STG_Woningetalage!$B$6:$B$505,$A51)))</f>
        <v/>
      </c>
      <c r="BJ51" s="117" t="str">
        <f>IF($A51="","",IF($K51=0,"n.b.",SUMIFS(STG_Woningetalage!$AG$6:$AG$505,STG_Woningetalage!$B$6:$B$505,$A51)))</f>
        <v/>
      </c>
      <c r="BK51" s="117" t="str">
        <f>IF($A51="","",IF($K51=0,"n.b.",SUMIFS(STG_Woningetalage!$AH$6:$AH$505,STG_Woningetalage!$B$6:$B$505,$A51)))</f>
        <v/>
      </c>
      <c r="BL51" s="117" t="str">
        <f>IF($A51="","",IF($K51=0,"n.b.",SUMIFS(STG_Woningetalage!$AI$6:$AI$505,STG_Woningetalage!$B$6:$B$505,$A51)))</f>
        <v/>
      </c>
      <c r="BM51" s="117" t="str">
        <f>IF($A51="","",IF($K51=0,"n.b.",SUMIFS(STG_Woningetalage!$AJ$6:$AJ$505,STG_Woningetalage!$B$6:$B$505,$A51)))</f>
        <v/>
      </c>
      <c r="BN51" s="117" t="str">
        <f>IF($A51="","",IF($K51=0,"n.b.",SUMIFS(STG_Woningetalage!$AK$6:$AK$505,STG_Woningetalage!$B$6:$B$505,$A51)))</f>
        <v/>
      </c>
      <c r="BO51" s="117" t="str">
        <f>IF($A51="","",IF($K51=0,"n.b.",SUMIFS(STG_Woningetalage!$AL$6:$AL$505,STG_Woningetalage!$B$6:$B$505,$A51)))</f>
        <v/>
      </c>
      <c r="BP51" s="117" t="str">
        <f>IF($A51="","",IF($K51=0,"n.b.",SUMIFS(STG_Woningetalage!$AM$6:$AM$505,STG_Woningetalage!$B$6:$B$505,$A51)))</f>
        <v/>
      </c>
      <c r="BQ51" s="117" t="str">
        <f>IF($A51="","",IF($K51=0,"n.b.",SUMIFS(STG_Woningetalage!$BE$6:$BE$505,STG_Woningetalage!$B$6:$B$505,$A51)))</f>
        <v/>
      </c>
      <c r="BR51" s="117" t="str">
        <f>IF($A51="","",IF($K51=0,"n.b.",SUMIFS(STG_Woningetalage!$BF$6:$BF$505,STG_Woningetalage!$B$6:$B$505,$A51)))</f>
        <v/>
      </c>
      <c r="BS51" s="117" t="str">
        <f>IF($A51="","",IF($K51=0,"n.b.",SUMIFS(STG_Woningetalage!$BG$6:$BG$505,STG_Woningetalage!$B$6:$B$505,$A51)))</f>
        <v/>
      </c>
      <c r="BT51" s="117" t="str">
        <f>IF($A51="","",IF($K51=0,"n.b.",SUMIFS(STG_Woningetalage!$BH$6:$BH$505,STG_Woningetalage!$B$6:$B$505,$A51)))</f>
        <v/>
      </c>
      <c r="BU51" s="117" t="str">
        <f>IF($A51="","",IF($K51=0,"n.b.",SUMIFS(STG_Woningetalage!$BI$6:$BI$505,STG_Woningetalage!$B$6:$B$505,$A51)))</f>
        <v/>
      </c>
      <c r="BV51" s="117" t="str">
        <f>IF($A51="","",IF($K51=0,"n.b.",SUMIFS(STG_Woningetalage!$BJ$6:$BJ$505,STG_Woningetalage!$B$6:$B$505,$A51)))</f>
        <v/>
      </c>
      <c r="BW51" s="117" t="str">
        <f>IF($A51="","",IF($K51=0,"n.b.",SUMIFS(STG_Woningetalage!$AR$6:$AR$505,STG_Woningetalage!$B$6:$B$505,$A51)))</f>
        <v/>
      </c>
      <c r="BX51" s="117" t="str">
        <f>IF($A51="","",IF($K51=0,"n.b.",SUMIFS(STG_Woningetalage!$AS$6:$AS$505,STG_Woningetalage!$B$6:$B$505,$A51)))</f>
        <v/>
      </c>
      <c r="BY51" s="117" t="str">
        <f>IF($A51="","",IF($K51=0,"n.b.",SUMIFS(STG_Woningetalage!$AN$6:$AN$505,STG_Woningetalage!$B$6:$B$505,$A51)))</f>
        <v/>
      </c>
      <c r="BZ51" s="117" t="str">
        <f>IF($A51="","",IF($K51=0,"n.b.",SUMIFS(STG_Woningetalage!$AO$6:$AO$505,STG_Woningetalage!$B$6:$B$505,$A51)))</f>
        <v/>
      </c>
      <c r="CA51" s="117" t="str">
        <f>IF($A51="","",IF($K51=0,"n.b.",SUMIFS(STG_Woningetalage!$AP$6:$AP$505,STG_Woningetalage!$B$6:$B$505,$A51)))</f>
        <v/>
      </c>
      <c r="CB51" s="117" t="str">
        <f>IF($A51="","",IF($K51=0,"n.b.",SUMIFS(STG_Woningetalage!$AQ$6:$AQ$505,STG_Woningetalage!$B$6:$B$505,$A51)))</f>
        <v/>
      </c>
      <c r="CC51" s="117" t="str">
        <f>IF($A51="","",IF($K51=0,"n.b.",SUMIFS(STG_Woningetalage!$AU$6:$AU$505,STG_Woningetalage!$B$6:$B$505,$A51)))</f>
        <v/>
      </c>
      <c r="CD51" s="92" t="str">
        <f>IF($A51="","",IFERROR(INDEX(STG_ZPMW03!$L$6:$L$505,MATCH($A51,STG_ZPMW03!$B$6:$B$505,0)),"n.b."))</f>
        <v/>
      </c>
      <c r="CE51" s="92" t="str">
        <f>IF($A51="","",IFERROR(INDEX(STG_ZPMW03!$K$6:$K$505,MATCH($A51,STG_ZPMW03!$B$6:$B$505,0)),"n.b."))</f>
        <v/>
      </c>
      <c r="CF51" s="92" t="str">
        <f>IF($A51="","",IFERROR(INDEX(STG_ZPMW03!$BH$6:$BH$505,MATCH($A51,STG_ZPMW03!$B$6:$B$505,0)),"n.b."))</f>
        <v/>
      </c>
      <c r="CG51" s="92" t="str">
        <f>IF($A51="","",IFERROR(INDEX(STG_ZPMW03!$BI$6:$BI$505,MATCH($A51,STG_ZPMW03!$B$6:$B$505,0)),"n.b."))</f>
        <v/>
      </c>
      <c r="CH51" s="92" t="str">
        <f>IF($A51="","",IFERROR(INDEX(STG_ZPMW03!$BJ$6:$BJ$505,MATCH($A51,STG_ZPMW03!$B$6:$B$505,0)),"n.b."))</f>
        <v/>
      </c>
      <c r="CI51" s="92" t="str">
        <f>IF($A51="","",IFERROR(INDEX(STG_ZPMW03!$BF$6:$BF$505,MATCH($A51,STG_ZPMW03!$B$6:$B$505,0)),"n.b."))</f>
        <v/>
      </c>
      <c r="CJ51" s="92" t="str">
        <f>IF($A51="","",IFERROR(INDEX(STG_ZPMW03!$BG$6:$BG$505,MATCH($A51,STG_ZPMW03!$B$6:$B$505,0)),"n.b."))</f>
        <v/>
      </c>
      <c r="CK51" s="92" t="str">
        <f>IF($A51="","",IFERROR(INDEX(STG_ZPMW03!$H$6:$H$505,MATCH($A51,STG_ZPMW03!$B$6:$B$505,0)),"n.b."))</f>
        <v/>
      </c>
      <c r="CL51" s="92" t="str">
        <f>IF($A51="","",IFERROR(INDEX(STG_ZPMW03!$E$6:$E$505,MATCH($A51,STG_ZPMW03!$B$6:$B$505,0)),"n.b."))</f>
        <v/>
      </c>
      <c r="CM51" s="92" t="str">
        <f>IF($A51="","",IFERROR(INDEX(STG_ZPMW03!$G$6:$G$505,MATCH($A51,STG_ZPMW03!$B$6:$B$505,0)),"n.b."))</f>
        <v/>
      </c>
      <c r="CN51" s="92" t="str">
        <f>IF($A51="","",IFERROR(INDEX(STG_Woningetalage!$N$6:$N$505,MATCH($A51,STG_Woningetalage!$B$6:$B$505,0)),"n.b."))</f>
        <v/>
      </c>
      <c r="CO51" s="92" t="str">
        <f>IF($A51="","",IFERROR(INDEX(STG_Woningetalage!$P$6:$P$505,MATCH($A51,STG_Woningetalage!$B$6:$B$505,0)),"n.b."))</f>
        <v/>
      </c>
      <c r="CP51" s="118" t="str">
        <f>IF($A51="","",IF(AND(ISNUMBER(AT51),ISNUMBER(F51)),IF(F51&gt;0,AT51/(F51/100),"n.b."),"n.b."))</f>
        <v/>
      </c>
      <c r="CQ51" s="116" t="str">
        <f>IF($A51="","",IF(ISNUMBER(Q51),IF(Q51&lt;0,1,0),0))</f>
        <v/>
      </c>
      <c r="CR51" s="116" t="str">
        <f>IF(CQ51=1,COUNTIF($CQ$6:CQ51,1),"")</f>
        <v/>
      </c>
      <c r="CS51" s="116" t="str">
        <f>IF(AND($A51&lt;&gt;"",$J51=0),COUNTIFS($A$6:$A51,"?*",$J$6:$J51,0),"")</f>
        <v/>
      </c>
      <c r="CT51" s="119" t="str">
        <f>IF($A51="","",IF(AND(ISNUMBER(Q51),ISNUMBER(P51)),IF(P51&lt;&gt;0,Q51/P51,"n.b."),"n.b."))</f>
        <v/>
      </c>
    </row>
    <row r="52">
      <c r="A52" s="92" t="str">
        <f>IF(Mapping!$A51="","",Mapping!$A51)</f>
        <v/>
      </c>
      <c r="B52" s="92" t="str">
        <f>IF(Mapping!$B51="","",Mapping!$B51)</f>
        <v/>
      </c>
      <c r="C52" s="92" t="str">
        <f>IF(Mapping!$C51="","",Mapping!$C51)</f>
        <v/>
      </c>
      <c r="D52" s="92" t="str">
        <f>IF(Mapping!$F51="","",Mapping!$F51)</f>
        <v/>
      </c>
      <c r="E52" s="92" t="str">
        <f>IF(Mapping!$H51="","",Mapping!$H51)</f>
        <v/>
      </c>
      <c r="F52" s="92" t="str">
        <f>IF(Mapping!$E51="","",Mapping!$E51)</f>
        <v/>
      </c>
      <c r="G52" s="92" t="str">
        <f>IF(Mapping!$G51="","",Mapping!$G51)</f>
        <v/>
      </c>
      <c r="H52" s="92" t="str">
        <f>IF(Mapping!$D51="","",Mapping!$D51)</f>
        <v/>
      </c>
      <c r="I52" s="92" t="str">
        <f>IF($A52="","",IFERROR(INDEX(STG_ZPMW03!$C$6:$C$505,MATCH($A52,STG_ZPMW03!$B$6:$B$505,0)),"n.b."))</f>
        <v/>
      </c>
      <c r="J52" s="116" t="str">
        <f>IF($A52="","",COUNTIF(STG_ZPMW03!$B$6:$B$505,$A52))</f>
        <v/>
      </c>
      <c r="K52" s="116" t="str">
        <f>IF($A52="","",COUNTIF(STG_Woningetalage!$B$6:$B$505,$A52))</f>
        <v/>
      </c>
      <c r="L52" s="117" t="str">
        <f>IF($A52="","",IF($J52=0,"n.b.",SUMIFS(STG_ZPMW03!$BK$6:$BK$505,STG_ZPMW03!$B$6:$B$505,$A52)))</f>
        <v/>
      </c>
      <c r="M52" s="117" t="str">
        <f>IF($A52="","",IF($J52=0,"n.b.",SUMIFS(STG_ZPMW03!$BL$6:$BL$505,STG_ZPMW03!$B$6:$B$505,$A52)))</f>
        <v/>
      </c>
      <c r="N52" s="117" t="str">
        <f>IF($A52="","",IF($J52=0,"n.b.",SUMIFS(STG_ZPMW03!$BM$6:$BM$505,STG_ZPMW03!$B$6:$B$505,$A52)))</f>
        <v/>
      </c>
      <c r="O52" s="117" t="str">
        <f>IF($A52="","",IF($J52=0,"n.b.",SUMIFS(STG_ZPMW03!$BN$6:$BN$505,STG_ZPMW03!$B$6:$B$505,$A52)))</f>
        <v/>
      </c>
      <c r="P52" s="117" t="str">
        <f>IF($A52="","",IF($J52=0,"n.b.",SUMIFS(STG_ZPMW03!$BO$6:$BO$505,STG_ZPMW03!$B$6:$B$505,$A52)))</f>
        <v/>
      </c>
      <c r="Q52" s="117" t="str">
        <f>IF($A52="","",IF($J52=0,"n.b.",SUMIFS(STG_ZPMW03!$BP$6:$BP$505,STG_ZPMW03!$B$6:$B$505,$A52)))</f>
        <v/>
      </c>
      <c r="R52" s="117" t="str">
        <f>IF($A52="","",IF($J52=0,"n.b.",SUMIFS(STG_ZPMW03!$BQ$6:$BQ$505,STG_ZPMW03!$B$6:$B$505,$A52)))</f>
        <v/>
      </c>
      <c r="S52" s="117" t="str">
        <f>IF($A52="","",IF($J52=0,"n.b.",SUMIFS(STG_ZPMW03!$BR$6:$BR$505,STG_ZPMW03!$B$6:$B$505,$A52)))</f>
        <v/>
      </c>
      <c r="T52" s="117" t="str">
        <f>IF($A52="","",IF($J52=0,"n.b.",SUMIFS(STG_ZPMW03!$BS$6:$BS$505,STG_ZPMW03!$B$6:$B$505,$A52)))</f>
        <v/>
      </c>
      <c r="U52" s="117" t="str">
        <f>IF($A52="","",IF($J52=0,"n.b.",SUMIFS(STG_ZPMW03!$BT$6:$BT$505,STG_ZPMW03!$B$6:$B$505,$A52)))</f>
        <v/>
      </c>
      <c r="V52" s="117" t="str">
        <f>IF($A52="","",IF($J52=0,"n.b.",SUMIFS(STG_ZPMW03!$BU$6:$BU$505,STG_ZPMW03!$B$6:$B$505,$A52)))</f>
        <v/>
      </c>
      <c r="W52" s="117" t="str">
        <f>IF($A52="","",IF($J52=0,"n.b.",SUMIFS(STG_ZPMW03!$BW$6:$BW$505,STG_ZPMW03!$B$6:$B$505,$A52)))</f>
        <v/>
      </c>
      <c r="X52" s="117" t="str">
        <f>IF($A52="","",IF($J52=0,"n.b.",SUMIFS(STG_ZPMW03!$BY$6:$BY$505,STG_ZPMW03!$B$6:$B$505,$A52)))</f>
        <v/>
      </c>
      <c r="Y52" s="117" t="str">
        <f>IF($A52="","",IF($J52=0,"n.b.",SUMIFS(STG_ZPMW03!$CA$6:$CA$505,STG_ZPMW03!$B$6:$B$505,$A52)))</f>
        <v/>
      </c>
      <c r="Z52" s="117" t="str">
        <f>IF($A52="","",IF($J52=0,"n.b.",SUMIFS(STG_ZPMW03!$BV$6:$BV$505,STG_ZPMW03!$B$6:$B$505,$A52)))</f>
        <v/>
      </c>
      <c r="AA52" s="117" t="str">
        <f>IF($A52="","",IF($J52=0,"n.b.",SUMIFS(STG_ZPMW03!$BX$6:$BX$505,STG_ZPMW03!$B$6:$B$505,$A52)))</f>
        <v/>
      </c>
      <c r="AB52" s="117" t="str">
        <f>IF($A52="","",IF($J52=0,"n.b.",SUMIFS(STG_ZPMW03!$BZ$6:$BZ$505,STG_ZPMW03!$B$6:$B$505,$A52)))</f>
        <v/>
      </c>
      <c r="AC52" s="117" t="str">
        <f>IF($A52="","",IF($J52=0,"n.b.",SUMIFS(STG_ZPMW03!$CB$6:$CB$505,STG_ZPMW03!$B$6:$B$505,$A52)))</f>
        <v/>
      </c>
      <c r="AD52" s="117" t="str">
        <f>IF($A52="","",IF($J52=0,"n.b.",SUMIFS(STG_ZPMW03!$CC$6:$CC$505,STG_ZPMW03!$B$6:$B$505,$A52)))</f>
        <v/>
      </c>
      <c r="AE52" s="117" t="str">
        <f>IF($A52="","",IF($J52=0,"n.b.",SUMIFS(STG_ZPMW03!$CE$6:$CE$505,STG_ZPMW03!$B$6:$B$505,$A52)))</f>
        <v/>
      </c>
      <c r="AF52" s="117" t="str">
        <f>IF($A52="","",IF($J52=0,"n.b.",SUMIFS(STG_ZPMW03!$CG$6:$CG$505,STG_ZPMW03!$B$6:$B$505,$A52)))</f>
        <v/>
      </c>
      <c r="AG52" s="117" t="str">
        <f>IF($A52="","",IF($J52=0,"n.b.",SUMIFS(STG_ZPMW03!$CI$6:$CI$505,STG_ZPMW03!$B$6:$B$505,$A52)))</f>
        <v/>
      </c>
      <c r="AH52" s="117" t="str">
        <f>IF($A52="","",IF($J52=0,"n.b.",SUMIFS(STG_ZPMW03!$CK$6:$CK$505,STG_ZPMW03!$B$6:$B$505,$A52)))</f>
        <v/>
      </c>
      <c r="AI52" s="117" t="str">
        <f>IF($A52="","",IF($J52=0,"n.b.",SUMIFS(STG_ZPMW03!$CM$6:$CM$505,STG_ZPMW03!$B$6:$B$505,$A52)))</f>
        <v/>
      </c>
      <c r="AJ52" s="117" t="str">
        <f>IF($A52="","",IF($J52=0,"n.b.",SUMIFS(STG_ZPMW03!$CO$6:$CO$505,STG_ZPMW03!$B$6:$B$505,$A52)))</f>
        <v/>
      </c>
      <c r="AK52" s="117" t="str">
        <f>IF($A52="","",IF($J52=0,"n.b.",SUMIFS(STG_ZPMW03!$CQ$6:$CQ$505,STG_ZPMW03!$B$6:$B$505,$A52)))</f>
        <v/>
      </c>
      <c r="AL52" s="117" t="str">
        <f>IF($A52="","",IF($J52=0,"n.b.",SUMIFS(STG_ZPMW03!$CD$6:$CD$505,STG_ZPMW03!$B$6:$B$505,$A52)))</f>
        <v/>
      </c>
      <c r="AM52" s="117" t="str">
        <f>IF($A52="","",IF($J52=0,"n.b.",SUMIFS(STG_ZPMW03!$CF$6:$CF$505,STG_ZPMW03!$B$6:$B$505,$A52)))</f>
        <v/>
      </c>
      <c r="AN52" s="117" t="str">
        <f>IF($A52="","",IF($J52=0,"n.b.",SUMIFS(STG_ZPMW03!$CH$6:$CH$505,STG_ZPMW03!$B$6:$B$505,$A52)))</f>
        <v/>
      </c>
      <c r="AO52" s="117" t="str">
        <f>IF($A52="","",IF($J52=0,"n.b.",SUMIFS(STG_ZPMW03!$CJ$6:$CJ$505,STG_ZPMW03!$B$6:$B$505,$A52)))</f>
        <v/>
      </c>
      <c r="AP52" s="117" t="str">
        <f>IF($A52="","",IF($J52=0,"n.b.",SUMIFS(STG_ZPMW03!$CL$6:$CL$505,STG_ZPMW03!$B$6:$B$505,$A52)))</f>
        <v/>
      </c>
      <c r="AQ52" s="117" t="str">
        <f>IF($A52="","",IF($J52=0,"n.b.",SUMIFS(STG_ZPMW03!$CN$6:$CN$505,STG_ZPMW03!$B$6:$B$505,$A52)))</f>
        <v/>
      </c>
      <c r="AR52" s="117" t="str">
        <f>IF($A52="","",IF($J52=0,"n.b.",SUMIFS(STG_ZPMW03!$CP$6:$CP$505,STG_ZPMW03!$B$6:$B$505,$A52)))</f>
        <v/>
      </c>
      <c r="AS52" s="117" t="str">
        <f>IF($A52="","",IF($J52=0,"n.b.",SUMIFS(STG_ZPMW03!$CR$6:$CR$505,STG_ZPMW03!$B$6:$B$505,$A52)))</f>
        <v/>
      </c>
      <c r="AT52" s="117" t="str">
        <f>IF($A52="","",IF($K52=0,"n.b.",SUMIFS(STG_Woningetalage!$Q$6:$Q$505,STG_Woningetalage!$B$6:$B$505,$A52)))</f>
        <v/>
      </c>
      <c r="AU52" s="117" t="str">
        <f>IF($A52="","",IF($K52=0,"n.b.",SUMIFS(STG_Woningetalage!$R$6:$R$505,STG_Woningetalage!$B$6:$B$505,$A52)))</f>
        <v/>
      </c>
      <c r="AV52" s="117" t="str">
        <f>IF($A52="","",IF($K52=0,"n.b.",SUMIFS(STG_Woningetalage!$S$6:$S$505,STG_Woningetalage!$B$6:$B$505,$A52)))</f>
        <v/>
      </c>
      <c r="AW52" s="117" t="str">
        <f>IF($A52="","",IF($K52=0,"n.b.",SUMIFS(STG_Woningetalage!$T$6:$T$505,STG_Woningetalage!$B$6:$B$505,$A52)))</f>
        <v/>
      </c>
      <c r="AX52" s="117" t="str">
        <f>IF($A52="","",IF($K52=0,"n.b.",SUMIFS(STG_Woningetalage!$U$6:$U$505,STG_Woningetalage!$B$6:$B$505,$A52)))</f>
        <v/>
      </c>
      <c r="AY52" s="117" t="str">
        <f>IF($A52="","",IF($K52=0,"n.b.",SUMIFS(STG_Woningetalage!$V$6:$V$505,STG_Woningetalage!$B$6:$B$505,$A52)))</f>
        <v/>
      </c>
      <c r="AZ52" s="117" t="str">
        <f>IF($A52="","",IF($K52=0,"n.b.",SUMIFS(STG_Woningetalage!$W$6:$W$505,STG_Woningetalage!$B$6:$B$505,$A52)))</f>
        <v/>
      </c>
      <c r="BA52" s="117" t="str">
        <f>IF($A52="","",IF($K52=0,"n.b.",SUMIFS(STG_Woningetalage!$X$6:$X$505,STG_Woningetalage!$B$6:$B$505,$A52)))</f>
        <v/>
      </c>
      <c r="BB52" s="117" t="str">
        <f>IF($A52="","",IF($K52=0,"n.b.",SUMIFS(STG_Woningetalage!$Y$6:$Y$505,STG_Woningetalage!$B$6:$B$505,$A52)))</f>
        <v/>
      </c>
      <c r="BC52" s="117" t="str">
        <f>IF($A52="","",IF($K52=0,"n.b.",SUMIFS(STG_Woningetalage!$Z$6:$Z$505,STG_Woningetalage!$B$6:$B$505,$A52)))</f>
        <v/>
      </c>
      <c r="BD52" s="117" t="str">
        <f>IF($A52="","",IF($K52=0,"n.b.",SUMIFS(STG_Woningetalage!$AA$6:$AA$505,STG_Woningetalage!$B$6:$B$505,$A52)))</f>
        <v/>
      </c>
      <c r="BE52" s="117" t="str">
        <f>IF($A52="","",IF($K52=0,"n.b.",SUMIFS(STG_Woningetalage!$AB$6:$AB$505,STG_Woningetalage!$B$6:$B$505,$A52)))</f>
        <v/>
      </c>
      <c r="BF52" s="117" t="str">
        <f>IF($A52="","",IF($K52=0,"n.b.",SUMIFS(STG_Woningetalage!$AC$6:$AC$505,STG_Woningetalage!$B$6:$B$505,$A52)))</f>
        <v/>
      </c>
      <c r="BG52" s="117" t="str">
        <f>IF($A52="","",IF($K52=0,"n.b.",SUMIFS(STG_Woningetalage!$AD$6:$AD$505,STG_Woningetalage!$B$6:$B$505,$A52)))</f>
        <v/>
      </c>
      <c r="BH52" s="117" t="str">
        <f>IF($A52="","",IF($K52=0,"n.b.",SUMIFS(STG_Woningetalage!$AE$6:$AE$505,STG_Woningetalage!$B$6:$B$505,$A52)))</f>
        <v/>
      </c>
      <c r="BI52" s="117" t="str">
        <f>IF($A52="","",IF($K52=0,"n.b.",SUMIFS(STG_Woningetalage!$AF$6:$AF$505,STG_Woningetalage!$B$6:$B$505,$A52)))</f>
        <v/>
      </c>
      <c r="BJ52" s="117" t="str">
        <f>IF($A52="","",IF($K52=0,"n.b.",SUMIFS(STG_Woningetalage!$AG$6:$AG$505,STG_Woningetalage!$B$6:$B$505,$A52)))</f>
        <v/>
      </c>
      <c r="BK52" s="117" t="str">
        <f>IF($A52="","",IF($K52=0,"n.b.",SUMIFS(STG_Woningetalage!$AH$6:$AH$505,STG_Woningetalage!$B$6:$B$505,$A52)))</f>
        <v/>
      </c>
      <c r="BL52" s="117" t="str">
        <f>IF($A52="","",IF($K52=0,"n.b.",SUMIFS(STG_Woningetalage!$AI$6:$AI$505,STG_Woningetalage!$B$6:$B$505,$A52)))</f>
        <v/>
      </c>
      <c r="BM52" s="117" t="str">
        <f>IF($A52="","",IF($K52=0,"n.b.",SUMIFS(STG_Woningetalage!$AJ$6:$AJ$505,STG_Woningetalage!$B$6:$B$505,$A52)))</f>
        <v/>
      </c>
      <c r="BN52" s="117" t="str">
        <f>IF($A52="","",IF($K52=0,"n.b.",SUMIFS(STG_Woningetalage!$AK$6:$AK$505,STG_Woningetalage!$B$6:$B$505,$A52)))</f>
        <v/>
      </c>
      <c r="BO52" s="117" t="str">
        <f>IF($A52="","",IF($K52=0,"n.b.",SUMIFS(STG_Woningetalage!$AL$6:$AL$505,STG_Woningetalage!$B$6:$B$505,$A52)))</f>
        <v/>
      </c>
      <c r="BP52" s="117" t="str">
        <f>IF($A52="","",IF($K52=0,"n.b.",SUMIFS(STG_Woningetalage!$AM$6:$AM$505,STG_Woningetalage!$B$6:$B$505,$A52)))</f>
        <v/>
      </c>
      <c r="BQ52" s="117" t="str">
        <f>IF($A52="","",IF($K52=0,"n.b.",SUMIFS(STG_Woningetalage!$BE$6:$BE$505,STG_Woningetalage!$B$6:$B$505,$A52)))</f>
        <v/>
      </c>
      <c r="BR52" s="117" t="str">
        <f>IF($A52="","",IF($K52=0,"n.b.",SUMIFS(STG_Woningetalage!$BF$6:$BF$505,STG_Woningetalage!$B$6:$B$505,$A52)))</f>
        <v/>
      </c>
      <c r="BS52" s="117" t="str">
        <f>IF($A52="","",IF($K52=0,"n.b.",SUMIFS(STG_Woningetalage!$BG$6:$BG$505,STG_Woningetalage!$B$6:$B$505,$A52)))</f>
        <v/>
      </c>
      <c r="BT52" s="117" t="str">
        <f>IF($A52="","",IF($K52=0,"n.b.",SUMIFS(STG_Woningetalage!$BH$6:$BH$505,STG_Woningetalage!$B$6:$B$505,$A52)))</f>
        <v/>
      </c>
      <c r="BU52" s="117" t="str">
        <f>IF($A52="","",IF($K52=0,"n.b.",SUMIFS(STG_Woningetalage!$BI$6:$BI$505,STG_Woningetalage!$B$6:$B$505,$A52)))</f>
        <v/>
      </c>
      <c r="BV52" s="117" t="str">
        <f>IF($A52="","",IF($K52=0,"n.b.",SUMIFS(STG_Woningetalage!$BJ$6:$BJ$505,STG_Woningetalage!$B$6:$B$505,$A52)))</f>
        <v/>
      </c>
      <c r="BW52" s="117" t="str">
        <f>IF($A52="","",IF($K52=0,"n.b.",SUMIFS(STG_Woningetalage!$AR$6:$AR$505,STG_Woningetalage!$B$6:$B$505,$A52)))</f>
        <v/>
      </c>
      <c r="BX52" s="117" t="str">
        <f>IF($A52="","",IF($K52=0,"n.b.",SUMIFS(STG_Woningetalage!$AS$6:$AS$505,STG_Woningetalage!$B$6:$B$505,$A52)))</f>
        <v/>
      </c>
      <c r="BY52" s="117" t="str">
        <f>IF($A52="","",IF($K52=0,"n.b.",SUMIFS(STG_Woningetalage!$AN$6:$AN$505,STG_Woningetalage!$B$6:$B$505,$A52)))</f>
        <v/>
      </c>
      <c r="BZ52" s="117" t="str">
        <f>IF($A52="","",IF($K52=0,"n.b.",SUMIFS(STG_Woningetalage!$AO$6:$AO$505,STG_Woningetalage!$B$6:$B$505,$A52)))</f>
        <v/>
      </c>
      <c r="CA52" s="117" t="str">
        <f>IF($A52="","",IF($K52=0,"n.b.",SUMIFS(STG_Woningetalage!$AP$6:$AP$505,STG_Woningetalage!$B$6:$B$505,$A52)))</f>
        <v/>
      </c>
      <c r="CB52" s="117" t="str">
        <f>IF($A52="","",IF($K52=0,"n.b.",SUMIFS(STG_Woningetalage!$AQ$6:$AQ$505,STG_Woningetalage!$B$6:$B$505,$A52)))</f>
        <v/>
      </c>
      <c r="CC52" s="117" t="str">
        <f>IF($A52="","",IF($K52=0,"n.b.",SUMIFS(STG_Woningetalage!$AU$6:$AU$505,STG_Woningetalage!$B$6:$B$505,$A52)))</f>
        <v/>
      </c>
      <c r="CD52" s="92" t="str">
        <f>IF($A52="","",IFERROR(INDEX(STG_ZPMW03!$L$6:$L$505,MATCH($A52,STG_ZPMW03!$B$6:$B$505,0)),"n.b."))</f>
        <v/>
      </c>
      <c r="CE52" s="92" t="str">
        <f>IF($A52="","",IFERROR(INDEX(STG_ZPMW03!$K$6:$K$505,MATCH($A52,STG_ZPMW03!$B$6:$B$505,0)),"n.b."))</f>
        <v/>
      </c>
      <c r="CF52" s="92" t="str">
        <f>IF($A52="","",IFERROR(INDEX(STG_ZPMW03!$BH$6:$BH$505,MATCH($A52,STG_ZPMW03!$B$6:$B$505,0)),"n.b."))</f>
        <v/>
      </c>
      <c r="CG52" s="92" t="str">
        <f>IF($A52="","",IFERROR(INDEX(STG_ZPMW03!$BI$6:$BI$505,MATCH($A52,STG_ZPMW03!$B$6:$B$505,0)),"n.b."))</f>
        <v/>
      </c>
      <c r="CH52" s="92" t="str">
        <f>IF($A52="","",IFERROR(INDEX(STG_ZPMW03!$BJ$6:$BJ$505,MATCH($A52,STG_ZPMW03!$B$6:$B$505,0)),"n.b."))</f>
        <v/>
      </c>
      <c r="CI52" s="92" t="str">
        <f>IF($A52="","",IFERROR(INDEX(STG_ZPMW03!$BF$6:$BF$505,MATCH($A52,STG_ZPMW03!$B$6:$B$505,0)),"n.b."))</f>
        <v/>
      </c>
      <c r="CJ52" s="92" t="str">
        <f>IF($A52="","",IFERROR(INDEX(STG_ZPMW03!$BG$6:$BG$505,MATCH($A52,STG_ZPMW03!$B$6:$B$505,0)),"n.b."))</f>
        <v/>
      </c>
      <c r="CK52" s="92" t="str">
        <f>IF($A52="","",IFERROR(INDEX(STG_ZPMW03!$H$6:$H$505,MATCH($A52,STG_ZPMW03!$B$6:$B$505,0)),"n.b."))</f>
        <v/>
      </c>
      <c r="CL52" s="92" t="str">
        <f>IF($A52="","",IFERROR(INDEX(STG_ZPMW03!$E$6:$E$505,MATCH($A52,STG_ZPMW03!$B$6:$B$505,0)),"n.b."))</f>
        <v/>
      </c>
      <c r="CM52" s="92" t="str">
        <f>IF($A52="","",IFERROR(INDEX(STG_ZPMW03!$G$6:$G$505,MATCH($A52,STG_ZPMW03!$B$6:$B$505,0)),"n.b."))</f>
        <v/>
      </c>
      <c r="CN52" s="92" t="str">
        <f>IF($A52="","",IFERROR(INDEX(STG_Woningetalage!$N$6:$N$505,MATCH($A52,STG_Woningetalage!$B$6:$B$505,0)),"n.b."))</f>
        <v/>
      </c>
      <c r="CO52" s="92" t="str">
        <f>IF($A52="","",IFERROR(INDEX(STG_Woningetalage!$P$6:$P$505,MATCH($A52,STG_Woningetalage!$B$6:$B$505,0)),"n.b."))</f>
        <v/>
      </c>
      <c r="CP52" s="118" t="str">
        <f>IF($A52="","",IF(AND(ISNUMBER(AT52),ISNUMBER(F52)),IF(F52&gt;0,AT52/(F52/100),"n.b."),"n.b."))</f>
        <v/>
      </c>
      <c r="CQ52" s="116" t="str">
        <f>IF($A52="","",IF(ISNUMBER(Q52),IF(Q52&lt;0,1,0),0))</f>
        <v/>
      </c>
      <c r="CR52" s="116" t="str">
        <f>IF(CQ52=1,COUNTIF($CQ$6:CQ52,1),"")</f>
        <v/>
      </c>
      <c r="CS52" s="116" t="str">
        <f>IF(AND($A52&lt;&gt;"",$J52=0),COUNTIFS($A$6:$A52,"?*",$J$6:$J52,0),"")</f>
        <v/>
      </c>
      <c r="CT52" s="119" t="str">
        <f>IF($A52="","",IF(AND(ISNUMBER(Q52),ISNUMBER(P52)),IF(P52&lt;&gt;0,Q52/P52,"n.b."),"n.b."))</f>
        <v/>
      </c>
    </row>
    <row r="53">
      <c r="A53" s="92" t="str">
        <f>IF(Mapping!$A52="","",Mapping!$A52)</f>
        <v/>
      </c>
      <c r="B53" s="92" t="str">
        <f>IF(Mapping!$B52="","",Mapping!$B52)</f>
        <v/>
      </c>
      <c r="C53" s="92" t="str">
        <f>IF(Mapping!$C52="","",Mapping!$C52)</f>
        <v/>
      </c>
      <c r="D53" s="92" t="str">
        <f>IF(Mapping!$F52="","",Mapping!$F52)</f>
        <v/>
      </c>
      <c r="E53" s="92" t="str">
        <f>IF(Mapping!$H52="","",Mapping!$H52)</f>
        <v/>
      </c>
      <c r="F53" s="92" t="str">
        <f>IF(Mapping!$E52="","",Mapping!$E52)</f>
        <v/>
      </c>
      <c r="G53" s="92" t="str">
        <f>IF(Mapping!$G52="","",Mapping!$G52)</f>
        <v/>
      </c>
      <c r="H53" s="92" t="str">
        <f>IF(Mapping!$D52="","",Mapping!$D52)</f>
        <v/>
      </c>
      <c r="I53" s="92" t="str">
        <f>IF($A53="","",IFERROR(INDEX(STG_ZPMW03!$C$6:$C$505,MATCH($A53,STG_ZPMW03!$B$6:$B$505,0)),"n.b."))</f>
        <v/>
      </c>
      <c r="J53" s="116" t="str">
        <f>IF($A53="","",COUNTIF(STG_ZPMW03!$B$6:$B$505,$A53))</f>
        <v/>
      </c>
      <c r="K53" s="116" t="str">
        <f>IF($A53="","",COUNTIF(STG_Woningetalage!$B$6:$B$505,$A53))</f>
        <v/>
      </c>
      <c r="L53" s="117" t="str">
        <f>IF($A53="","",IF($J53=0,"n.b.",SUMIFS(STG_ZPMW03!$BK$6:$BK$505,STG_ZPMW03!$B$6:$B$505,$A53)))</f>
        <v/>
      </c>
      <c r="M53" s="117" t="str">
        <f>IF($A53="","",IF($J53=0,"n.b.",SUMIFS(STG_ZPMW03!$BL$6:$BL$505,STG_ZPMW03!$B$6:$B$505,$A53)))</f>
        <v/>
      </c>
      <c r="N53" s="117" t="str">
        <f>IF($A53="","",IF($J53=0,"n.b.",SUMIFS(STG_ZPMW03!$BM$6:$BM$505,STG_ZPMW03!$B$6:$B$505,$A53)))</f>
        <v/>
      </c>
      <c r="O53" s="117" t="str">
        <f>IF($A53="","",IF($J53=0,"n.b.",SUMIFS(STG_ZPMW03!$BN$6:$BN$505,STG_ZPMW03!$B$6:$B$505,$A53)))</f>
        <v/>
      </c>
      <c r="P53" s="117" t="str">
        <f>IF($A53="","",IF($J53=0,"n.b.",SUMIFS(STG_ZPMW03!$BO$6:$BO$505,STG_ZPMW03!$B$6:$B$505,$A53)))</f>
        <v/>
      </c>
      <c r="Q53" s="117" t="str">
        <f>IF($A53="","",IF($J53=0,"n.b.",SUMIFS(STG_ZPMW03!$BP$6:$BP$505,STG_ZPMW03!$B$6:$B$505,$A53)))</f>
        <v/>
      </c>
      <c r="R53" s="117" t="str">
        <f>IF($A53="","",IF($J53=0,"n.b.",SUMIFS(STG_ZPMW03!$BQ$6:$BQ$505,STG_ZPMW03!$B$6:$B$505,$A53)))</f>
        <v/>
      </c>
      <c r="S53" s="117" t="str">
        <f>IF($A53="","",IF($J53=0,"n.b.",SUMIFS(STG_ZPMW03!$BR$6:$BR$505,STG_ZPMW03!$B$6:$B$505,$A53)))</f>
        <v/>
      </c>
      <c r="T53" s="117" t="str">
        <f>IF($A53="","",IF($J53=0,"n.b.",SUMIFS(STG_ZPMW03!$BS$6:$BS$505,STG_ZPMW03!$B$6:$B$505,$A53)))</f>
        <v/>
      </c>
      <c r="U53" s="117" t="str">
        <f>IF($A53="","",IF($J53=0,"n.b.",SUMIFS(STG_ZPMW03!$BT$6:$BT$505,STG_ZPMW03!$B$6:$B$505,$A53)))</f>
        <v/>
      </c>
      <c r="V53" s="117" t="str">
        <f>IF($A53="","",IF($J53=0,"n.b.",SUMIFS(STG_ZPMW03!$BU$6:$BU$505,STG_ZPMW03!$B$6:$B$505,$A53)))</f>
        <v/>
      </c>
      <c r="W53" s="117" t="str">
        <f>IF($A53="","",IF($J53=0,"n.b.",SUMIFS(STG_ZPMW03!$BW$6:$BW$505,STG_ZPMW03!$B$6:$B$505,$A53)))</f>
        <v/>
      </c>
      <c r="X53" s="117" t="str">
        <f>IF($A53="","",IF($J53=0,"n.b.",SUMIFS(STG_ZPMW03!$BY$6:$BY$505,STG_ZPMW03!$B$6:$B$505,$A53)))</f>
        <v/>
      </c>
      <c r="Y53" s="117" t="str">
        <f>IF($A53="","",IF($J53=0,"n.b.",SUMIFS(STG_ZPMW03!$CA$6:$CA$505,STG_ZPMW03!$B$6:$B$505,$A53)))</f>
        <v/>
      </c>
      <c r="Z53" s="117" t="str">
        <f>IF($A53="","",IF($J53=0,"n.b.",SUMIFS(STG_ZPMW03!$BV$6:$BV$505,STG_ZPMW03!$B$6:$B$505,$A53)))</f>
        <v/>
      </c>
      <c r="AA53" s="117" t="str">
        <f>IF($A53="","",IF($J53=0,"n.b.",SUMIFS(STG_ZPMW03!$BX$6:$BX$505,STG_ZPMW03!$B$6:$B$505,$A53)))</f>
        <v/>
      </c>
      <c r="AB53" s="117" t="str">
        <f>IF($A53="","",IF($J53=0,"n.b.",SUMIFS(STG_ZPMW03!$BZ$6:$BZ$505,STG_ZPMW03!$B$6:$B$505,$A53)))</f>
        <v/>
      </c>
      <c r="AC53" s="117" t="str">
        <f>IF($A53="","",IF($J53=0,"n.b.",SUMIFS(STG_ZPMW03!$CB$6:$CB$505,STG_ZPMW03!$B$6:$B$505,$A53)))</f>
        <v/>
      </c>
      <c r="AD53" s="117" t="str">
        <f>IF($A53="","",IF($J53=0,"n.b.",SUMIFS(STG_ZPMW03!$CC$6:$CC$505,STG_ZPMW03!$B$6:$B$505,$A53)))</f>
        <v/>
      </c>
      <c r="AE53" s="117" t="str">
        <f>IF($A53="","",IF($J53=0,"n.b.",SUMIFS(STG_ZPMW03!$CE$6:$CE$505,STG_ZPMW03!$B$6:$B$505,$A53)))</f>
        <v/>
      </c>
      <c r="AF53" s="117" t="str">
        <f>IF($A53="","",IF($J53=0,"n.b.",SUMIFS(STG_ZPMW03!$CG$6:$CG$505,STG_ZPMW03!$B$6:$B$505,$A53)))</f>
        <v/>
      </c>
      <c r="AG53" s="117" t="str">
        <f>IF($A53="","",IF($J53=0,"n.b.",SUMIFS(STG_ZPMW03!$CI$6:$CI$505,STG_ZPMW03!$B$6:$B$505,$A53)))</f>
        <v/>
      </c>
      <c r="AH53" s="117" t="str">
        <f>IF($A53="","",IF($J53=0,"n.b.",SUMIFS(STG_ZPMW03!$CK$6:$CK$505,STG_ZPMW03!$B$6:$B$505,$A53)))</f>
        <v/>
      </c>
      <c r="AI53" s="117" t="str">
        <f>IF($A53="","",IF($J53=0,"n.b.",SUMIFS(STG_ZPMW03!$CM$6:$CM$505,STG_ZPMW03!$B$6:$B$505,$A53)))</f>
        <v/>
      </c>
      <c r="AJ53" s="117" t="str">
        <f>IF($A53="","",IF($J53=0,"n.b.",SUMIFS(STG_ZPMW03!$CO$6:$CO$505,STG_ZPMW03!$B$6:$B$505,$A53)))</f>
        <v/>
      </c>
      <c r="AK53" s="117" t="str">
        <f>IF($A53="","",IF($J53=0,"n.b.",SUMIFS(STG_ZPMW03!$CQ$6:$CQ$505,STG_ZPMW03!$B$6:$B$505,$A53)))</f>
        <v/>
      </c>
      <c r="AL53" s="117" t="str">
        <f>IF($A53="","",IF($J53=0,"n.b.",SUMIFS(STG_ZPMW03!$CD$6:$CD$505,STG_ZPMW03!$B$6:$B$505,$A53)))</f>
        <v/>
      </c>
      <c r="AM53" s="117" t="str">
        <f>IF($A53="","",IF($J53=0,"n.b.",SUMIFS(STG_ZPMW03!$CF$6:$CF$505,STG_ZPMW03!$B$6:$B$505,$A53)))</f>
        <v/>
      </c>
      <c r="AN53" s="117" t="str">
        <f>IF($A53="","",IF($J53=0,"n.b.",SUMIFS(STG_ZPMW03!$CH$6:$CH$505,STG_ZPMW03!$B$6:$B$505,$A53)))</f>
        <v/>
      </c>
      <c r="AO53" s="117" t="str">
        <f>IF($A53="","",IF($J53=0,"n.b.",SUMIFS(STG_ZPMW03!$CJ$6:$CJ$505,STG_ZPMW03!$B$6:$B$505,$A53)))</f>
        <v/>
      </c>
      <c r="AP53" s="117" t="str">
        <f>IF($A53="","",IF($J53=0,"n.b.",SUMIFS(STG_ZPMW03!$CL$6:$CL$505,STG_ZPMW03!$B$6:$B$505,$A53)))</f>
        <v/>
      </c>
      <c r="AQ53" s="117" t="str">
        <f>IF($A53="","",IF($J53=0,"n.b.",SUMIFS(STG_ZPMW03!$CN$6:$CN$505,STG_ZPMW03!$B$6:$B$505,$A53)))</f>
        <v/>
      </c>
      <c r="AR53" s="117" t="str">
        <f>IF($A53="","",IF($J53=0,"n.b.",SUMIFS(STG_ZPMW03!$CP$6:$CP$505,STG_ZPMW03!$B$6:$B$505,$A53)))</f>
        <v/>
      </c>
      <c r="AS53" s="117" t="str">
        <f>IF($A53="","",IF($J53=0,"n.b.",SUMIFS(STG_ZPMW03!$CR$6:$CR$505,STG_ZPMW03!$B$6:$B$505,$A53)))</f>
        <v/>
      </c>
      <c r="AT53" s="117" t="str">
        <f>IF($A53="","",IF($K53=0,"n.b.",SUMIFS(STG_Woningetalage!$Q$6:$Q$505,STG_Woningetalage!$B$6:$B$505,$A53)))</f>
        <v/>
      </c>
      <c r="AU53" s="117" t="str">
        <f>IF($A53="","",IF($K53=0,"n.b.",SUMIFS(STG_Woningetalage!$R$6:$R$505,STG_Woningetalage!$B$6:$B$505,$A53)))</f>
        <v/>
      </c>
      <c r="AV53" s="117" t="str">
        <f>IF($A53="","",IF($K53=0,"n.b.",SUMIFS(STG_Woningetalage!$S$6:$S$505,STG_Woningetalage!$B$6:$B$505,$A53)))</f>
        <v/>
      </c>
      <c r="AW53" s="117" t="str">
        <f>IF($A53="","",IF($K53=0,"n.b.",SUMIFS(STG_Woningetalage!$T$6:$T$505,STG_Woningetalage!$B$6:$B$505,$A53)))</f>
        <v/>
      </c>
      <c r="AX53" s="117" t="str">
        <f>IF($A53="","",IF($K53=0,"n.b.",SUMIFS(STG_Woningetalage!$U$6:$U$505,STG_Woningetalage!$B$6:$B$505,$A53)))</f>
        <v/>
      </c>
      <c r="AY53" s="117" t="str">
        <f>IF($A53="","",IF($K53=0,"n.b.",SUMIFS(STG_Woningetalage!$V$6:$V$505,STG_Woningetalage!$B$6:$B$505,$A53)))</f>
        <v/>
      </c>
      <c r="AZ53" s="117" t="str">
        <f>IF($A53="","",IF($K53=0,"n.b.",SUMIFS(STG_Woningetalage!$W$6:$W$505,STG_Woningetalage!$B$6:$B$505,$A53)))</f>
        <v/>
      </c>
      <c r="BA53" s="117" t="str">
        <f>IF($A53="","",IF($K53=0,"n.b.",SUMIFS(STG_Woningetalage!$X$6:$X$505,STG_Woningetalage!$B$6:$B$505,$A53)))</f>
        <v/>
      </c>
      <c r="BB53" s="117" t="str">
        <f>IF($A53="","",IF($K53=0,"n.b.",SUMIFS(STG_Woningetalage!$Y$6:$Y$505,STG_Woningetalage!$B$6:$B$505,$A53)))</f>
        <v/>
      </c>
      <c r="BC53" s="117" t="str">
        <f>IF($A53="","",IF($K53=0,"n.b.",SUMIFS(STG_Woningetalage!$Z$6:$Z$505,STG_Woningetalage!$B$6:$B$505,$A53)))</f>
        <v/>
      </c>
      <c r="BD53" s="117" t="str">
        <f>IF($A53="","",IF($K53=0,"n.b.",SUMIFS(STG_Woningetalage!$AA$6:$AA$505,STG_Woningetalage!$B$6:$B$505,$A53)))</f>
        <v/>
      </c>
      <c r="BE53" s="117" t="str">
        <f>IF($A53="","",IF($K53=0,"n.b.",SUMIFS(STG_Woningetalage!$AB$6:$AB$505,STG_Woningetalage!$B$6:$B$505,$A53)))</f>
        <v/>
      </c>
      <c r="BF53" s="117" t="str">
        <f>IF($A53="","",IF($K53=0,"n.b.",SUMIFS(STG_Woningetalage!$AC$6:$AC$505,STG_Woningetalage!$B$6:$B$505,$A53)))</f>
        <v/>
      </c>
      <c r="BG53" s="117" t="str">
        <f>IF($A53="","",IF($K53=0,"n.b.",SUMIFS(STG_Woningetalage!$AD$6:$AD$505,STG_Woningetalage!$B$6:$B$505,$A53)))</f>
        <v/>
      </c>
      <c r="BH53" s="117" t="str">
        <f>IF($A53="","",IF($K53=0,"n.b.",SUMIFS(STG_Woningetalage!$AE$6:$AE$505,STG_Woningetalage!$B$6:$B$505,$A53)))</f>
        <v/>
      </c>
      <c r="BI53" s="117" t="str">
        <f>IF($A53="","",IF($K53=0,"n.b.",SUMIFS(STG_Woningetalage!$AF$6:$AF$505,STG_Woningetalage!$B$6:$B$505,$A53)))</f>
        <v/>
      </c>
      <c r="BJ53" s="117" t="str">
        <f>IF($A53="","",IF($K53=0,"n.b.",SUMIFS(STG_Woningetalage!$AG$6:$AG$505,STG_Woningetalage!$B$6:$B$505,$A53)))</f>
        <v/>
      </c>
      <c r="BK53" s="117" t="str">
        <f>IF($A53="","",IF($K53=0,"n.b.",SUMIFS(STG_Woningetalage!$AH$6:$AH$505,STG_Woningetalage!$B$6:$B$505,$A53)))</f>
        <v/>
      </c>
      <c r="BL53" s="117" t="str">
        <f>IF($A53="","",IF($K53=0,"n.b.",SUMIFS(STG_Woningetalage!$AI$6:$AI$505,STG_Woningetalage!$B$6:$B$505,$A53)))</f>
        <v/>
      </c>
      <c r="BM53" s="117" t="str">
        <f>IF($A53="","",IF($K53=0,"n.b.",SUMIFS(STG_Woningetalage!$AJ$6:$AJ$505,STG_Woningetalage!$B$6:$B$505,$A53)))</f>
        <v/>
      </c>
      <c r="BN53" s="117" t="str">
        <f>IF($A53="","",IF($K53=0,"n.b.",SUMIFS(STG_Woningetalage!$AK$6:$AK$505,STG_Woningetalage!$B$6:$B$505,$A53)))</f>
        <v/>
      </c>
      <c r="BO53" s="117" t="str">
        <f>IF($A53="","",IF($K53=0,"n.b.",SUMIFS(STG_Woningetalage!$AL$6:$AL$505,STG_Woningetalage!$B$6:$B$505,$A53)))</f>
        <v/>
      </c>
      <c r="BP53" s="117" t="str">
        <f>IF($A53="","",IF($K53=0,"n.b.",SUMIFS(STG_Woningetalage!$AM$6:$AM$505,STG_Woningetalage!$B$6:$B$505,$A53)))</f>
        <v/>
      </c>
      <c r="BQ53" s="117" t="str">
        <f>IF($A53="","",IF($K53=0,"n.b.",SUMIFS(STG_Woningetalage!$BE$6:$BE$505,STG_Woningetalage!$B$6:$B$505,$A53)))</f>
        <v/>
      </c>
      <c r="BR53" s="117" t="str">
        <f>IF($A53="","",IF($K53=0,"n.b.",SUMIFS(STG_Woningetalage!$BF$6:$BF$505,STG_Woningetalage!$B$6:$B$505,$A53)))</f>
        <v/>
      </c>
      <c r="BS53" s="117" t="str">
        <f>IF($A53="","",IF($K53=0,"n.b.",SUMIFS(STG_Woningetalage!$BG$6:$BG$505,STG_Woningetalage!$B$6:$B$505,$A53)))</f>
        <v/>
      </c>
      <c r="BT53" s="117" t="str">
        <f>IF($A53="","",IF($K53=0,"n.b.",SUMIFS(STG_Woningetalage!$BH$6:$BH$505,STG_Woningetalage!$B$6:$B$505,$A53)))</f>
        <v/>
      </c>
      <c r="BU53" s="117" t="str">
        <f>IF($A53="","",IF($K53=0,"n.b.",SUMIFS(STG_Woningetalage!$BI$6:$BI$505,STG_Woningetalage!$B$6:$B$505,$A53)))</f>
        <v/>
      </c>
      <c r="BV53" s="117" t="str">
        <f>IF($A53="","",IF($K53=0,"n.b.",SUMIFS(STG_Woningetalage!$BJ$6:$BJ$505,STG_Woningetalage!$B$6:$B$505,$A53)))</f>
        <v/>
      </c>
      <c r="BW53" s="117" t="str">
        <f>IF($A53="","",IF($K53=0,"n.b.",SUMIFS(STG_Woningetalage!$AR$6:$AR$505,STG_Woningetalage!$B$6:$B$505,$A53)))</f>
        <v/>
      </c>
      <c r="BX53" s="117" t="str">
        <f>IF($A53="","",IF($K53=0,"n.b.",SUMIFS(STG_Woningetalage!$AS$6:$AS$505,STG_Woningetalage!$B$6:$B$505,$A53)))</f>
        <v/>
      </c>
      <c r="BY53" s="117" t="str">
        <f>IF($A53="","",IF($K53=0,"n.b.",SUMIFS(STG_Woningetalage!$AN$6:$AN$505,STG_Woningetalage!$B$6:$B$505,$A53)))</f>
        <v/>
      </c>
      <c r="BZ53" s="117" t="str">
        <f>IF($A53="","",IF($K53=0,"n.b.",SUMIFS(STG_Woningetalage!$AO$6:$AO$505,STG_Woningetalage!$B$6:$B$505,$A53)))</f>
        <v/>
      </c>
      <c r="CA53" s="117" t="str">
        <f>IF($A53="","",IF($K53=0,"n.b.",SUMIFS(STG_Woningetalage!$AP$6:$AP$505,STG_Woningetalage!$B$6:$B$505,$A53)))</f>
        <v/>
      </c>
      <c r="CB53" s="117" t="str">
        <f>IF($A53="","",IF($K53=0,"n.b.",SUMIFS(STG_Woningetalage!$AQ$6:$AQ$505,STG_Woningetalage!$B$6:$B$505,$A53)))</f>
        <v/>
      </c>
      <c r="CC53" s="117" t="str">
        <f>IF($A53="","",IF($K53=0,"n.b.",SUMIFS(STG_Woningetalage!$AU$6:$AU$505,STG_Woningetalage!$B$6:$B$505,$A53)))</f>
        <v/>
      </c>
      <c r="CD53" s="92" t="str">
        <f>IF($A53="","",IFERROR(INDEX(STG_ZPMW03!$L$6:$L$505,MATCH($A53,STG_ZPMW03!$B$6:$B$505,0)),"n.b."))</f>
        <v/>
      </c>
      <c r="CE53" s="92" t="str">
        <f>IF($A53="","",IFERROR(INDEX(STG_ZPMW03!$K$6:$K$505,MATCH($A53,STG_ZPMW03!$B$6:$B$505,0)),"n.b."))</f>
        <v/>
      </c>
      <c r="CF53" s="92" t="str">
        <f>IF($A53="","",IFERROR(INDEX(STG_ZPMW03!$BH$6:$BH$505,MATCH($A53,STG_ZPMW03!$B$6:$B$505,0)),"n.b."))</f>
        <v/>
      </c>
      <c r="CG53" s="92" t="str">
        <f>IF($A53="","",IFERROR(INDEX(STG_ZPMW03!$BI$6:$BI$505,MATCH($A53,STG_ZPMW03!$B$6:$B$505,0)),"n.b."))</f>
        <v/>
      </c>
      <c r="CH53" s="92" t="str">
        <f>IF($A53="","",IFERROR(INDEX(STG_ZPMW03!$BJ$6:$BJ$505,MATCH($A53,STG_ZPMW03!$B$6:$B$505,0)),"n.b."))</f>
        <v/>
      </c>
      <c r="CI53" s="92" t="str">
        <f>IF($A53="","",IFERROR(INDEX(STG_ZPMW03!$BF$6:$BF$505,MATCH($A53,STG_ZPMW03!$B$6:$B$505,0)),"n.b."))</f>
        <v/>
      </c>
      <c r="CJ53" s="92" t="str">
        <f>IF($A53="","",IFERROR(INDEX(STG_ZPMW03!$BG$6:$BG$505,MATCH($A53,STG_ZPMW03!$B$6:$B$505,0)),"n.b."))</f>
        <v/>
      </c>
      <c r="CK53" s="92" t="str">
        <f>IF($A53="","",IFERROR(INDEX(STG_ZPMW03!$H$6:$H$505,MATCH($A53,STG_ZPMW03!$B$6:$B$505,0)),"n.b."))</f>
        <v/>
      </c>
      <c r="CL53" s="92" t="str">
        <f>IF($A53="","",IFERROR(INDEX(STG_ZPMW03!$E$6:$E$505,MATCH($A53,STG_ZPMW03!$B$6:$B$505,0)),"n.b."))</f>
        <v/>
      </c>
      <c r="CM53" s="92" t="str">
        <f>IF($A53="","",IFERROR(INDEX(STG_ZPMW03!$G$6:$G$505,MATCH($A53,STG_ZPMW03!$B$6:$B$505,0)),"n.b."))</f>
        <v/>
      </c>
      <c r="CN53" s="92" t="str">
        <f>IF($A53="","",IFERROR(INDEX(STG_Woningetalage!$N$6:$N$505,MATCH($A53,STG_Woningetalage!$B$6:$B$505,0)),"n.b."))</f>
        <v/>
      </c>
      <c r="CO53" s="92" t="str">
        <f>IF($A53="","",IFERROR(INDEX(STG_Woningetalage!$P$6:$P$505,MATCH($A53,STG_Woningetalage!$B$6:$B$505,0)),"n.b."))</f>
        <v/>
      </c>
      <c r="CP53" s="118" t="str">
        <f>IF($A53="","",IF(AND(ISNUMBER(AT53),ISNUMBER(F53)),IF(F53&gt;0,AT53/(F53/100),"n.b."),"n.b."))</f>
        <v/>
      </c>
      <c r="CQ53" s="116" t="str">
        <f>IF($A53="","",IF(ISNUMBER(Q53),IF(Q53&lt;0,1,0),0))</f>
        <v/>
      </c>
      <c r="CR53" s="116" t="str">
        <f>IF(CQ53=1,COUNTIF($CQ$6:CQ53,1),"")</f>
        <v/>
      </c>
      <c r="CS53" s="116" t="str">
        <f>IF(AND($A53&lt;&gt;"",$J53=0),COUNTIFS($A$6:$A53,"?*",$J$6:$J53,0),"")</f>
        <v/>
      </c>
      <c r="CT53" s="119" t="str">
        <f>IF($A53="","",IF(AND(ISNUMBER(Q53),ISNUMBER(P53)),IF(P53&lt;&gt;0,Q53/P53,"n.b."),"n.b."))</f>
        <v/>
      </c>
    </row>
    <row r="54">
      <c r="A54" s="92" t="str">
        <f>IF(Mapping!$A53="","",Mapping!$A53)</f>
        <v/>
      </c>
      <c r="B54" s="92" t="str">
        <f>IF(Mapping!$B53="","",Mapping!$B53)</f>
        <v/>
      </c>
      <c r="C54" s="92" t="str">
        <f>IF(Mapping!$C53="","",Mapping!$C53)</f>
        <v/>
      </c>
      <c r="D54" s="92" t="str">
        <f>IF(Mapping!$F53="","",Mapping!$F53)</f>
        <v/>
      </c>
      <c r="E54" s="92" t="str">
        <f>IF(Mapping!$H53="","",Mapping!$H53)</f>
        <v/>
      </c>
      <c r="F54" s="92" t="str">
        <f>IF(Mapping!$E53="","",Mapping!$E53)</f>
        <v/>
      </c>
      <c r="G54" s="92" t="str">
        <f>IF(Mapping!$G53="","",Mapping!$G53)</f>
        <v/>
      </c>
      <c r="H54" s="92" t="str">
        <f>IF(Mapping!$D53="","",Mapping!$D53)</f>
        <v/>
      </c>
      <c r="I54" s="92" t="str">
        <f>IF($A54="","",IFERROR(INDEX(STG_ZPMW03!$C$6:$C$505,MATCH($A54,STG_ZPMW03!$B$6:$B$505,0)),"n.b."))</f>
        <v/>
      </c>
      <c r="J54" s="116" t="str">
        <f>IF($A54="","",COUNTIF(STG_ZPMW03!$B$6:$B$505,$A54))</f>
        <v/>
      </c>
      <c r="K54" s="116" t="str">
        <f>IF($A54="","",COUNTIF(STG_Woningetalage!$B$6:$B$505,$A54))</f>
        <v/>
      </c>
      <c r="L54" s="117" t="str">
        <f>IF($A54="","",IF($J54=0,"n.b.",SUMIFS(STG_ZPMW03!$BK$6:$BK$505,STG_ZPMW03!$B$6:$B$505,$A54)))</f>
        <v/>
      </c>
      <c r="M54" s="117" t="str">
        <f>IF($A54="","",IF($J54=0,"n.b.",SUMIFS(STG_ZPMW03!$BL$6:$BL$505,STG_ZPMW03!$B$6:$B$505,$A54)))</f>
        <v/>
      </c>
      <c r="N54" s="117" t="str">
        <f>IF($A54="","",IF($J54=0,"n.b.",SUMIFS(STG_ZPMW03!$BM$6:$BM$505,STG_ZPMW03!$B$6:$B$505,$A54)))</f>
        <v/>
      </c>
      <c r="O54" s="117" t="str">
        <f>IF($A54="","",IF($J54=0,"n.b.",SUMIFS(STG_ZPMW03!$BN$6:$BN$505,STG_ZPMW03!$B$6:$B$505,$A54)))</f>
        <v/>
      </c>
      <c r="P54" s="117" t="str">
        <f>IF($A54="","",IF($J54=0,"n.b.",SUMIFS(STG_ZPMW03!$BO$6:$BO$505,STG_ZPMW03!$B$6:$B$505,$A54)))</f>
        <v/>
      </c>
      <c r="Q54" s="117" t="str">
        <f>IF($A54="","",IF($J54=0,"n.b.",SUMIFS(STG_ZPMW03!$BP$6:$BP$505,STG_ZPMW03!$B$6:$B$505,$A54)))</f>
        <v/>
      </c>
      <c r="R54" s="117" t="str">
        <f>IF($A54="","",IF($J54=0,"n.b.",SUMIFS(STG_ZPMW03!$BQ$6:$BQ$505,STG_ZPMW03!$B$6:$B$505,$A54)))</f>
        <v/>
      </c>
      <c r="S54" s="117" t="str">
        <f>IF($A54="","",IF($J54=0,"n.b.",SUMIFS(STG_ZPMW03!$BR$6:$BR$505,STG_ZPMW03!$B$6:$B$505,$A54)))</f>
        <v/>
      </c>
      <c r="T54" s="117" t="str">
        <f>IF($A54="","",IF($J54=0,"n.b.",SUMIFS(STG_ZPMW03!$BS$6:$BS$505,STG_ZPMW03!$B$6:$B$505,$A54)))</f>
        <v/>
      </c>
      <c r="U54" s="117" t="str">
        <f>IF($A54="","",IF($J54=0,"n.b.",SUMIFS(STG_ZPMW03!$BT$6:$BT$505,STG_ZPMW03!$B$6:$B$505,$A54)))</f>
        <v/>
      </c>
      <c r="V54" s="117" t="str">
        <f>IF($A54="","",IF($J54=0,"n.b.",SUMIFS(STG_ZPMW03!$BU$6:$BU$505,STG_ZPMW03!$B$6:$B$505,$A54)))</f>
        <v/>
      </c>
      <c r="W54" s="117" t="str">
        <f>IF($A54="","",IF($J54=0,"n.b.",SUMIFS(STG_ZPMW03!$BW$6:$BW$505,STG_ZPMW03!$B$6:$B$505,$A54)))</f>
        <v/>
      </c>
      <c r="X54" s="117" t="str">
        <f>IF($A54="","",IF($J54=0,"n.b.",SUMIFS(STG_ZPMW03!$BY$6:$BY$505,STG_ZPMW03!$B$6:$B$505,$A54)))</f>
        <v/>
      </c>
      <c r="Y54" s="117" t="str">
        <f>IF($A54="","",IF($J54=0,"n.b.",SUMIFS(STG_ZPMW03!$CA$6:$CA$505,STG_ZPMW03!$B$6:$B$505,$A54)))</f>
        <v/>
      </c>
      <c r="Z54" s="117" t="str">
        <f>IF($A54="","",IF($J54=0,"n.b.",SUMIFS(STG_ZPMW03!$BV$6:$BV$505,STG_ZPMW03!$B$6:$B$505,$A54)))</f>
        <v/>
      </c>
      <c r="AA54" s="117" t="str">
        <f>IF($A54="","",IF($J54=0,"n.b.",SUMIFS(STG_ZPMW03!$BX$6:$BX$505,STG_ZPMW03!$B$6:$B$505,$A54)))</f>
        <v/>
      </c>
      <c r="AB54" s="117" t="str">
        <f>IF($A54="","",IF($J54=0,"n.b.",SUMIFS(STG_ZPMW03!$BZ$6:$BZ$505,STG_ZPMW03!$B$6:$B$505,$A54)))</f>
        <v/>
      </c>
      <c r="AC54" s="117" t="str">
        <f>IF($A54="","",IF($J54=0,"n.b.",SUMIFS(STG_ZPMW03!$CB$6:$CB$505,STG_ZPMW03!$B$6:$B$505,$A54)))</f>
        <v/>
      </c>
      <c r="AD54" s="117" t="str">
        <f>IF($A54="","",IF($J54=0,"n.b.",SUMIFS(STG_ZPMW03!$CC$6:$CC$505,STG_ZPMW03!$B$6:$B$505,$A54)))</f>
        <v/>
      </c>
      <c r="AE54" s="117" t="str">
        <f>IF($A54="","",IF($J54=0,"n.b.",SUMIFS(STG_ZPMW03!$CE$6:$CE$505,STG_ZPMW03!$B$6:$B$505,$A54)))</f>
        <v/>
      </c>
      <c r="AF54" s="117" t="str">
        <f>IF($A54="","",IF($J54=0,"n.b.",SUMIFS(STG_ZPMW03!$CG$6:$CG$505,STG_ZPMW03!$B$6:$B$505,$A54)))</f>
        <v/>
      </c>
      <c r="AG54" s="117" t="str">
        <f>IF($A54="","",IF($J54=0,"n.b.",SUMIFS(STG_ZPMW03!$CI$6:$CI$505,STG_ZPMW03!$B$6:$B$505,$A54)))</f>
        <v/>
      </c>
      <c r="AH54" s="117" t="str">
        <f>IF($A54="","",IF($J54=0,"n.b.",SUMIFS(STG_ZPMW03!$CK$6:$CK$505,STG_ZPMW03!$B$6:$B$505,$A54)))</f>
        <v/>
      </c>
      <c r="AI54" s="117" t="str">
        <f>IF($A54="","",IF($J54=0,"n.b.",SUMIFS(STG_ZPMW03!$CM$6:$CM$505,STG_ZPMW03!$B$6:$B$505,$A54)))</f>
        <v/>
      </c>
      <c r="AJ54" s="117" t="str">
        <f>IF($A54="","",IF($J54=0,"n.b.",SUMIFS(STG_ZPMW03!$CO$6:$CO$505,STG_ZPMW03!$B$6:$B$505,$A54)))</f>
        <v/>
      </c>
      <c r="AK54" s="117" t="str">
        <f>IF($A54="","",IF($J54=0,"n.b.",SUMIFS(STG_ZPMW03!$CQ$6:$CQ$505,STG_ZPMW03!$B$6:$B$505,$A54)))</f>
        <v/>
      </c>
      <c r="AL54" s="117" t="str">
        <f>IF($A54="","",IF($J54=0,"n.b.",SUMIFS(STG_ZPMW03!$CD$6:$CD$505,STG_ZPMW03!$B$6:$B$505,$A54)))</f>
        <v/>
      </c>
      <c r="AM54" s="117" t="str">
        <f>IF($A54="","",IF($J54=0,"n.b.",SUMIFS(STG_ZPMW03!$CF$6:$CF$505,STG_ZPMW03!$B$6:$B$505,$A54)))</f>
        <v/>
      </c>
      <c r="AN54" s="117" t="str">
        <f>IF($A54="","",IF($J54=0,"n.b.",SUMIFS(STG_ZPMW03!$CH$6:$CH$505,STG_ZPMW03!$B$6:$B$505,$A54)))</f>
        <v/>
      </c>
      <c r="AO54" s="117" t="str">
        <f>IF($A54="","",IF($J54=0,"n.b.",SUMIFS(STG_ZPMW03!$CJ$6:$CJ$505,STG_ZPMW03!$B$6:$B$505,$A54)))</f>
        <v/>
      </c>
      <c r="AP54" s="117" t="str">
        <f>IF($A54="","",IF($J54=0,"n.b.",SUMIFS(STG_ZPMW03!$CL$6:$CL$505,STG_ZPMW03!$B$6:$B$505,$A54)))</f>
        <v/>
      </c>
      <c r="AQ54" s="117" t="str">
        <f>IF($A54="","",IF($J54=0,"n.b.",SUMIFS(STG_ZPMW03!$CN$6:$CN$505,STG_ZPMW03!$B$6:$B$505,$A54)))</f>
        <v/>
      </c>
      <c r="AR54" s="117" t="str">
        <f>IF($A54="","",IF($J54=0,"n.b.",SUMIFS(STG_ZPMW03!$CP$6:$CP$505,STG_ZPMW03!$B$6:$B$505,$A54)))</f>
        <v/>
      </c>
      <c r="AS54" s="117" t="str">
        <f>IF($A54="","",IF($J54=0,"n.b.",SUMIFS(STG_ZPMW03!$CR$6:$CR$505,STG_ZPMW03!$B$6:$B$505,$A54)))</f>
        <v/>
      </c>
      <c r="AT54" s="117" t="str">
        <f>IF($A54="","",IF($K54=0,"n.b.",SUMIFS(STG_Woningetalage!$Q$6:$Q$505,STG_Woningetalage!$B$6:$B$505,$A54)))</f>
        <v/>
      </c>
      <c r="AU54" s="117" t="str">
        <f>IF($A54="","",IF($K54=0,"n.b.",SUMIFS(STG_Woningetalage!$R$6:$R$505,STG_Woningetalage!$B$6:$B$505,$A54)))</f>
        <v/>
      </c>
      <c r="AV54" s="117" t="str">
        <f>IF($A54="","",IF($K54=0,"n.b.",SUMIFS(STG_Woningetalage!$S$6:$S$505,STG_Woningetalage!$B$6:$B$505,$A54)))</f>
        <v/>
      </c>
      <c r="AW54" s="117" t="str">
        <f>IF($A54="","",IF($K54=0,"n.b.",SUMIFS(STG_Woningetalage!$T$6:$T$505,STG_Woningetalage!$B$6:$B$505,$A54)))</f>
        <v/>
      </c>
      <c r="AX54" s="117" t="str">
        <f>IF($A54="","",IF($K54=0,"n.b.",SUMIFS(STG_Woningetalage!$U$6:$U$505,STG_Woningetalage!$B$6:$B$505,$A54)))</f>
        <v/>
      </c>
      <c r="AY54" s="117" t="str">
        <f>IF($A54="","",IF($K54=0,"n.b.",SUMIFS(STG_Woningetalage!$V$6:$V$505,STG_Woningetalage!$B$6:$B$505,$A54)))</f>
        <v/>
      </c>
      <c r="AZ54" s="117" t="str">
        <f>IF($A54="","",IF($K54=0,"n.b.",SUMIFS(STG_Woningetalage!$W$6:$W$505,STG_Woningetalage!$B$6:$B$505,$A54)))</f>
        <v/>
      </c>
      <c r="BA54" s="117" t="str">
        <f>IF($A54="","",IF($K54=0,"n.b.",SUMIFS(STG_Woningetalage!$X$6:$X$505,STG_Woningetalage!$B$6:$B$505,$A54)))</f>
        <v/>
      </c>
      <c r="BB54" s="117" t="str">
        <f>IF($A54="","",IF($K54=0,"n.b.",SUMIFS(STG_Woningetalage!$Y$6:$Y$505,STG_Woningetalage!$B$6:$B$505,$A54)))</f>
        <v/>
      </c>
      <c r="BC54" s="117" t="str">
        <f>IF($A54="","",IF($K54=0,"n.b.",SUMIFS(STG_Woningetalage!$Z$6:$Z$505,STG_Woningetalage!$B$6:$B$505,$A54)))</f>
        <v/>
      </c>
      <c r="BD54" s="117" t="str">
        <f>IF($A54="","",IF($K54=0,"n.b.",SUMIFS(STG_Woningetalage!$AA$6:$AA$505,STG_Woningetalage!$B$6:$B$505,$A54)))</f>
        <v/>
      </c>
      <c r="BE54" s="117" t="str">
        <f>IF($A54="","",IF($K54=0,"n.b.",SUMIFS(STG_Woningetalage!$AB$6:$AB$505,STG_Woningetalage!$B$6:$B$505,$A54)))</f>
        <v/>
      </c>
      <c r="BF54" s="117" t="str">
        <f>IF($A54="","",IF($K54=0,"n.b.",SUMIFS(STG_Woningetalage!$AC$6:$AC$505,STG_Woningetalage!$B$6:$B$505,$A54)))</f>
        <v/>
      </c>
      <c r="BG54" s="117" t="str">
        <f>IF($A54="","",IF($K54=0,"n.b.",SUMIFS(STG_Woningetalage!$AD$6:$AD$505,STG_Woningetalage!$B$6:$B$505,$A54)))</f>
        <v/>
      </c>
      <c r="BH54" s="117" t="str">
        <f>IF($A54="","",IF($K54=0,"n.b.",SUMIFS(STG_Woningetalage!$AE$6:$AE$505,STG_Woningetalage!$B$6:$B$505,$A54)))</f>
        <v/>
      </c>
      <c r="BI54" s="117" t="str">
        <f>IF($A54="","",IF($K54=0,"n.b.",SUMIFS(STG_Woningetalage!$AF$6:$AF$505,STG_Woningetalage!$B$6:$B$505,$A54)))</f>
        <v/>
      </c>
      <c r="BJ54" s="117" t="str">
        <f>IF($A54="","",IF($K54=0,"n.b.",SUMIFS(STG_Woningetalage!$AG$6:$AG$505,STG_Woningetalage!$B$6:$B$505,$A54)))</f>
        <v/>
      </c>
      <c r="BK54" s="117" t="str">
        <f>IF($A54="","",IF($K54=0,"n.b.",SUMIFS(STG_Woningetalage!$AH$6:$AH$505,STG_Woningetalage!$B$6:$B$505,$A54)))</f>
        <v/>
      </c>
      <c r="BL54" s="117" t="str">
        <f>IF($A54="","",IF($K54=0,"n.b.",SUMIFS(STG_Woningetalage!$AI$6:$AI$505,STG_Woningetalage!$B$6:$B$505,$A54)))</f>
        <v/>
      </c>
      <c r="BM54" s="117" t="str">
        <f>IF($A54="","",IF($K54=0,"n.b.",SUMIFS(STG_Woningetalage!$AJ$6:$AJ$505,STG_Woningetalage!$B$6:$B$505,$A54)))</f>
        <v/>
      </c>
      <c r="BN54" s="117" t="str">
        <f>IF($A54="","",IF($K54=0,"n.b.",SUMIFS(STG_Woningetalage!$AK$6:$AK$505,STG_Woningetalage!$B$6:$B$505,$A54)))</f>
        <v/>
      </c>
      <c r="BO54" s="117" t="str">
        <f>IF($A54="","",IF($K54=0,"n.b.",SUMIFS(STG_Woningetalage!$AL$6:$AL$505,STG_Woningetalage!$B$6:$B$505,$A54)))</f>
        <v/>
      </c>
      <c r="BP54" s="117" t="str">
        <f>IF($A54="","",IF($K54=0,"n.b.",SUMIFS(STG_Woningetalage!$AM$6:$AM$505,STG_Woningetalage!$B$6:$B$505,$A54)))</f>
        <v/>
      </c>
      <c r="BQ54" s="117" t="str">
        <f>IF($A54="","",IF($K54=0,"n.b.",SUMIFS(STG_Woningetalage!$BE$6:$BE$505,STG_Woningetalage!$B$6:$B$505,$A54)))</f>
        <v/>
      </c>
      <c r="BR54" s="117" t="str">
        <f>IF($A54="","",IF($K54=0,"n.b.",SUMIFS(STG_Woningetalage!$BF$6:$BF$505,STG_Woningetalage!$B$6:$B$505,$A54)))</f>
        <v/>
      </c>
      <c r="BS54" s="117" t="str">
        <f>IF($A54="","",IF($K54=0,"n.b.",SUMIFS(STG_Woningetalage!$BG$6:$BG$505,STG_Woningetalage!$B$6:$B$505,$A54)))</f>
        <v/>
      </c>
      <c r="BT54" s="117" t="str">
        <f>IF($A54="","",IF($K54=0,"n.b.",SUMIFS(STG_Woningetalage!$BH$6:$BH$505,STG_Woningetalage!$B$6:$B$505,$A54)))</f>
        <v/>
      </c>
      <c r="BU54" s="117" t="str">
        <f>IF($A54="","",IF($K54=0,"n.b.",SUMIFS(STG_Woningetalage!$BI$6:$BI$505,STG_Woningetalage!$B$6:$B$505,$A54)))</f>
        <v/>
      </c>
      <c r="BV54" s="117" t="str">
        <f>IF($A54="","",IF($K54=0,"n.b.",SUMIFS(STG_Woningetalage!$BJ$6:$BJ$505,STG_Woningetalage!$B$6:$B$505,$A54)))</f>
        <v/>
      </c>
      <c r="BW54" s="117" t="str">
        <f>IF($A54="","",IF($K54=0,"n.b.",SUMIFS(STG_Woningetalage!$AR$6:$AR$505,STG_Woningetalage!$B$6:$B$505,$A54)))</f>
        <v/>
      </c>
      <c r="BX54" s="117" t="str">
        <f>IF($A54="","",IF($K54=0,"n.b.",SUMIFS(STG_Woningetalage!$AS$6:$AS$505,STG_Woningetalage!$B$6:$B$505,$A54)))</f>
        <v/>
      </c>
      <c r="BY54" s="117" t="str">
        <f>IF($A54="","",IF($K54=0,"n.b.",SUMIFS(STG_Woningetalage!$AN$6:$AN$505,STG_Woningetalage!$B$6:$B$505,$A54)))</f>
        <v/>
      </c>
      <c r="BZ54" s="117" t="str">
        <f>IF($A54="","",IF($K54=0,"n.b.",SUMIFS(STG_Woningetalage!$AO$6:$AO$505,STG_Woningetalage!$B$6:$B$505,$A54)))</f>
        <v/>
      </c>
      <c r="CA54" s="117" t="str">
        <f>IF($A54="","",IF($K54=0,"n.b.",SUMIFS(STG_Woningetalage!$AP$6:$AP$505,STG_Woningetalage!$B$6:$B$505,$A54)))</f>
        <v/>
      </c>
      <c r="CB54" s="117" t="str">
        <f>IF($A54="","",IF($K54=0,"n.b.",SUMIFS(STG_Woningetalage!$AQ$6:$AQ$505,STG_Woningetalage!$B$6:$B$505,$A54)))</f>
        <v/>
      </c>
      <c r="CC54" s="117" t="str">
        <f>IF($A54="","",IF($K54=0,"n.b.",SUMIFS(STG_Woningetalage!$AU$6:$AU$505,STG_Woningetalage!$B$6:$B$505,$A54)))</f>
        <v/>
      </c>
      <c r="CD54" s="92" t="str">
        <f>IF($A54="","",IFERROR(INDEX(STG_ZPMW03!$L$6:$L$505,MATCH($A54,STG_ZPMW03!$B$6:$B$505,0)),"n.b."))</f>
        <v/>
      </c>
      <c r="CE54" s="92" t="str">
        <f>IF($A54="","",IFERROR(INDEX(STG_ZPMW03!$K$6:$K$505,MATCH($A54,STG_ZPMW03!$B$6:$B$505,0)),"n.b."))</f>
        <v/>
      </c>
      <c r="CF54" s="92" t="str">
        <f>IF($A54="","",IFERROR(INDEX(STG_ZPMW03!$BH$6:$BH$505,MATCH($A54,STG_ZPMW03!$B$6:$B$505,0)),"n.b."))</f>
        <v/>
      </c>
      <c r="CG54" s="92" t="str">
        <f>IF($A54="","",IFERROR(INDEX(STG_ZPMW03!$BI$6:$BI$505,MATCH($A54,STG_ZPMW03!$B$6:$B$505,0)),"n.b."))</f>
        <v/>
      </c>
      <c r="CH54" s="92" t="str">
        <f>IF($A54="","",IFERROR(INDEX(STG_ZPMW03!$BJ$6:$BJ$505,MATCH($A54,STG_ZPMW03!$B$6:$B$505,0)),"n.b."))</f>
        <v/>
      </c>
      <c r="CI54" s="92" t="str">
        <f>IF($A54="","",IFERROR(INDEX(STG_ZPMW03!$BF$6:$BF$505,MATCH($A54,STG_ZPMW03!$B$6:$B$505,0)),"n.b."))</f>
        <v/>
      </c>
      <c r="CJ54" s="92" t="str">
        <f>IF($A54="","",IFERROR(INDEX(STG_ZPMW03!$BG$6:$BG$505,MATCH($A54,STG_ZPMW03!$B$6:$B$505,0)),"n.b."))</f>
        <v/>
      </c>
      <c r="CK54" s="92" t="str">
        <f>IF($A54="","",IFERROR(INDEX(STG_ZPMW03!$H$6:$H$505,MATCH($A54,STG_ZPMW03!$B$6:$B$505,0)),"n.b."))</f>
        <v/>
      </c>
      <c r="CL54" s="92" t="str">
        <f>IF($A54="","",IFERROR(INDEX(STG_ZPMW03!$E$6:$E$505,MATCH($A54,STG_ZPMW03!$B$6:$B$505,0)),"n.b."))</f>
        <v/>
      </c>
      <c r="CM54" s="92" t="str">
        <f>IF($A54="","",IFERROR(INDEX(STG_ZPMW03!$G$6:$G$505,MATCH($A54,STG_ZPMW03!$B$6:$B$505,0)),"n.b."))</f>
        <v/>
      </c>
      <c r="CN54" s="92" t="str">
        <f>IF($A54="","",IFERROR(INDEX(STG_Woningetalage!$N$6:$N$505,MATCH($A54,STG_Woningetalage!$B$6:$B$505,0)),"n.b."))</f>
        <v/>
      </c>
      <c r="CO54" s="92" t="str">
        <f>IF($A54="","",IFERROR(INDEX(STG_Woningetalage!$P$6:$P$505,MATCH($A54,STG_Woningetalage!$B$6:$B$505,0)),"n.b."))</f>
        <v/>
      </c>
      <c r="CP54" s="118" t="str">
        <f>IF($A54="","",IF(AND(ISNUMBER(AT54),ISNUMBER(F54)),IF(F54&gt;0,AT54/(F54/100),"n.b."),"n.b."))</f>
        <v/>
      </c>
      <c r="CQ54" s="116" t="str">
        <f>IF($A54="","",IF(ISNUMBER(Q54),IF(Q54&lt;0,1,0),0))</f>
        <v/>
      </c>
      <c r="CR54" s="116" t="str">
        <f>IF(CQ54=1,COUNTIF($CQ$6:CQ54,1),"")</f>
        <v/>
      </c>
      <c r="CS54" s="116" t="str">
        <f>IF(AND($A54&lt;&gt;"",$J54=0),COUNTIFS($A$6:$A54,"?*",$J$6:$J54,0),"")</f>
        <v/>
      </c>
      <c r="CT54" s="119" t="str">
        <f>IF($A54="","",IF(AND(ISNUMBER(Q54),ISNUMBER(P54)),IF(P54&lt;&gt;0,Q54/P54,"n.b."),"n.b."))</f>
        <v/>
      </c>
    </row>
    <row r="55">
      <c r="A55" s="92" t="str">
        <f>IF(Mapping!$A54="","",Mapping!$A54)</f>
        <v/>
      </c>
      <c r="B55" s="92" t="str">
        <f>IF(Mapping!$B54="","",Mapping!$B54)</f>
        <v/>
      </c>
      <c r="C55" s="92" t="str">
        <f>IF(Mapping!$C54="","",Mapping!$C54)</f>
        <v/>
      </c>
      <c r="D55" s="92" t="str">
        <f>IF(Mapping!$F54="","",Mapping!$F54)</f>
        <v/>
      </c>
      <c r="E55" s="92" t="str">
        <f>IF(Mapping!$H54="","",Mapping!$H54)</f>
        <v/>
      </c>
      <c r="F55" s="92" t="str">
        <f>IF(Mapping!$E54="","",Mapping!$E54)</f>
        <v/>
      </c>
      <c r="G55" s="92" t="str">
        <f>IF(Mapping!$G54="","",Mapping!$G54)</f>
        <v/>
      </c>
      <c r="H55" s="92" t="str">
        <f>IF(Mapping!$D54="","",Mapping!$D54)</f>
        <v/>
      </c>
      <c r="I55" s="92" t="str">
        <f>IF($A55="","",IFERROR(INDEX(STG_ZPMW03!$C$6:$C$505,MATCH($A55,STG_ZPMW03!$B$6:$B$505,0)),"n.b."))</f>
        <v/>
      </c>
      <c r="J55" s="116" t="str">
        <f>IF($A55="","",COUNTIF(STG_ZPMW03!$B$6:$B$505,$A55))</f>
        <v/>
      </c>
      <c r="K55" s="116" t="str">
        <f>IF($A55="","",COUNTIF(STG_Woningetalage!$B$6:$B$505,$A55))</f>
        <v/>
      </c>
      <c r="L55" s="117" t="str">
        <f>IF($A55="","",IF($J55=0,"n.b.",SUMIFS(STG_ZPMW03!$BK$6:$BK$505,STG_ZPMW03!$B$6:$B$505,$A55)))</f>
        <v/>
      </c>
      <c r="M55" s="117" t="str">
        <f>IF($A55="","",IF($J55=0,"n.b.",SUMIFS(STG_ZPMW03!$BL$6:$BL$505,STG_ZPMW03!$B$6:$B$505,$A55)))</f>
        <v/>
      </c>
      <c r="N55" s="117" t="str">
        <f>IF($A55="","",IF($J55=0,"n.b.",SUMIFS(STG_ZPMW03!$BM$6:$BM$505,STG_ZPMW03!$B$6:$B$505,$A55)))</f>
        <v/>
      </c>
      <c r="O55" s="117" t="str">
        <f>IF($A55="","",IF($J55=0,"n.b.",SUMIFS(STG_ZPMW03!$BN$6:$BN$505,STG_ZPMW03!$B$6:$B$505,$A55)))</f>
        <v/>
      </c>
      <c r="P55" s="117" t="str">
        <f>IF($A55="","",IF($J55=0,"n.b.",SUMIFS(STG_ZPMW03!$BO$6:$BO$505,STG_ZPMW03!$B$6:$B$505,$A55)))</f>
        <v/>
      </c>
      <c r="Q55" s="117" t="str">
        <f>IF($A55="","",IF($J55=0,"n.b.",SUMIFS(STG_ZPMW03!$BP$6:$BP$505,STG_ZPMW03!$B$6:$B$505,$A55)))</f>
        <v/>
      </c>
      <c r="R55" s="117" t="str">
        <f>IF($A55="","",IF($J55=0,"n.b.",SUMIFS(STG_ZPMW03!$BQ$6:$BQ$505,STG_ZPMW03!$B$6:$B$505,$A55)))</f>
        <v/>
      </c>
      <c r="S55" s="117" t="str">
        <f>IF($A55="","",IF($J55=0,"n.b.",SUMIFS(STG_ZPMW03!$BR$6:$BR$505,STG_ZPMW03!$B$6:$B$505,$A55)))</f>
        <v/>
      </c>
      <c r="T55" s="117" t="str">
        <f>IF($A55="","",IF($J55=0,"n.b.",SUMIFS(STG_ZPMW03!$BS$6:$BS$505,STG_ZPMW03!$B$6:$B$505,$A55)))</f>
        <v/>
      </c>
      <c r="U55" s="117" t="str">
        <f>IF($A55="","",IF($J55=0,"n.b.",SUMIFS(STG_ZPMW03!$BT$6:$BT$505,STG_ZPMW03!$B$6:$B$505,$A55)))</f>
        <v/>
      </c>
      <c r="V55" s="117" t="str">
        <f>IF($A55="","",IF($J55=0,"n.b.",SUMIFS(STG_ZPMW03!$BU$6:$BU$505,STG_ZPMW03!$B$6:$B$505,$A55)))</f>
        <v/>
      </c>
      <c r="W55" s="117" t="str">
        <f>IF($A55="","",IF($J55=0,"n.b.",SUMIFS(STG_ZPMW03!$BW$6:$BW$505,STG_ZPMW03!$B$6:$B$505,$A55)))</f>
        <v/>
      </c>
      <c r="X55" s="117" t="str">
        <f>IF($A55="","",IF($J55=0,"n.b.",SUMIFS(STG_ZPMW03!$BY$6:$BY$505,STG_ZPMW03!$B$6:$B$505,$A55)))</f>
        <v/>
      </c>
      <c r="Y55" s="117" t="str">
        <f>IF($A55="","",IF($J55=0,"n.b.",SUMIFS(STG_ZPMW03!$CA$6:$CA$505,STG_ZPMW03!$B$6:$B$505,$A55)))</f>
        <v/>
      </c>
      <c r="Z55" s="117" t="str">
        <f>IF($A55="","",IF($J55=0,"n.b.",SUMIFS(STG_ZPMW03!$BV$6:$BV$505,STG_ZPMW03!$B$6:$B$505,$A55)))</f>
        <v/>
      </c>
      <c r="AA55" s="117" t="str">
        <f>IF($A55="","",IF($J55=0,"n.b.",SUMIFS(STG_ZPMW03!$BX$6:$BX$505,STG_ZPMW03!$B$6:$B$505,$A55)))</f>
        <v/>
      </c>
      <c r="AB55" s="117" t="str">
        <f>IF($A55="","",IF($J55=0,"n.b.",SUMIFS(STG_ZPMW03!$BZ$6:$BZ$505,STG_ZPMW03!$B$6:$B$505,$A55)))</f>
        <v/>
      </c>
      <c r="AC55" s="117" t="str">
        <f>IF($A55="","",IF($J55=0,"n.b.",SUMIFS(STG_ZPMW03!$CB$6:$CB$505,STG_ZPMW03!$B$6:$B$505,$A55)))</f>
        <v/>
      </c>
      <c r="AD55" s="117" t="str">
        <f>IF($A55="","",IF($J55=0,"n.b.",SUMIFS(STG_ZPMW03!$CC$6:$CC$505,STG_ZPMW03!$B$6:$B$505,$A55)))</f>
        <v/>
      </c>
      <c r="AE55" s="117" t="str">
        <f>IF($A55="","",IF($J55=0,"n.b.",SUMIFS(STG_ZPMW03!$CE$6:$CE$505,STG_ZPMW03!$B$6:$B$505,$A55)))</f>
        <v/>
      </c>
      <c r="AF55" s="117" t="str">
        <f>IF($A55="","",IF($J55=0,"n.b.",SUMIFS(STG_ZPMW03!$CG$6:$CG$505,STG_ZPMW03!$B$6:$B$505,$A55)))</f>
        <v/>
      </c>
      <c r="AG55" s="117" t="str">
        <f>IF($A55="","",IF($J55=0,"n.b.",SUMIFS(STG_ZPMW03!$CI$6:$CI$505,STG_ZPMW03!$B$6:$B$505,$A55)))</f>
        <v/>
      </c>
      <c r="AH55" s="117" t="str">
        <f>IF($A55="","",IF($J55=0,"n.b.",SUMIFS(STG_ZPMW03!$CK$6:$CK$505,STG_ZPMW03!$B$6:$B$505,$A55)))</f>
        <v/>
      </c>
      <c r="AI55" s="117" t="str">
        <f>IF($A55="","",IF($J55=0,"n.b.",SUMIFS(STG_ZPMW03!$CM$6:$CM$505,STG_ZPMW03!$B$6:$B$505,$A55)))</f>
        <v/>
      </c>
      <c r="AJ55" s="117" t="str">
        <f>IF($A55="","",IF($J55=0,"n.b.",SUMIFS(STG_ZPMW03!$CO$6:$CO$505,STG_ZPMW03!$B$6:$B$505,$A55)))</f>
        <v/>
      </c>
      <c r="AK55" s="117" t="str">
        <f>IF($A55="","",IF($J55=0,"n.b.",SUMIFS(STG_ZPMW03!$CQ$6:$CQ$505,STG_ZPMW03!$B$6:$B$505,$A55)))</f>
        <v/>
      </c>
      <c r="AL55" s="117" t="str">
        <f>IF($A55="","",IF($J55=0,"n.b.",SUMIFS(STG_ZPMW03!$CD$6:$CD$505,STG_ZPMW03!$B$6:$B$505,$A55)))</f>
        <v/>
      </c>
      <c r="AM55" s="117" t="str">
        <f>IF($A55="","",IF($J55=0,"n.b.",SUMIFS(STG_ZPMW03!$CF$6:$CF$505,STG_ZPMW03!$B$6:$B$505,$A55)))</f>
        <v/>
      </c>
      <c r="AN55" s="117" t="str">
        <f>IF($A55="","",IF($J55=0,"n.b.",SUMIFS(STG_ZPMW03!$CH$6:$CH$505,STG_ZPMW03!$B$6:$B$505,$A55)))</f>
        <v/>
      </c>
      <c r="AO55" s="117" t="str">
        <f>IF($A55="","",IF($J55=0,"n.b.",SUMIFS(STG_ZPMW03!$CJ$6:$CJ$505,STG_ZPMW03!$B$6:$B$505,$A55)))</f>
        <v/>
      </c>
      <c r="AP55" s="117" t="str">
        <f>IF($A55="","",IF($J55=0,"n.b.",SUMIFS(STG_ZPMW03!$CL$6:$CL$505,STG_ZPMW03!$B$6:$B$505,$A55)))</f>
        <v/>
      </c>
      <c r="AQ55" s="117" t="str">
        <f>IF($A55="","",IF($J55=0,"n.b.",SUMIFS(STG_ZPMW03!$CN$6:$CN$505,STG_ZPMW03!$B$6:$B$505,$A55)))</f>
        <v/>
      </c>
      <c r="AR55" s="117" t="str">
        <f>IF($A55="","",IF($J55=0,"n.b.",SUMIFS(STG_ZPMW03!$CP$6:$CP$505,STG_ZPMW03!$B$6:$B$505,$A55)))</f>
        <v/>
      </c>
      <c r="AS55" s="117" t="str">
        <f>IF($A55="","",IF($J55=0,"n.b.",SUMIFS(STG_ZPMW03!$CR$6:$CR$505,STG_ZPMW03!$B$6:$B$505,$A55)))</f>
        <v/>
      </c>
      <c r="AT55" s="117" t="str">
        <f>IF($A55="","",IF($K55=0,"n.b.",SUMIFS(STG_Woningetalage!$Q$6:$Q$505,STG_Woningetalage!$B$6:$B$505,$A55)))</f>
        <v/>
      </c>
      <c r="AU55" s="117" t="str">
        <f>IF($A55="","",IF($K55=0,"n.b.",SUMIFS(STG_Woningetalage!$R$6:$R$505,STG_Woningetalage!$B$6:$B$505,$A55)))</f>
        <v/>
      </c>
      <c r="AV55" s="117" t="str">
        <f>IF($A55="","",IF($K55=0,"n.b.",SUMIFS(STG_Woningetalage!$S$6:$S$505,STG_Woningetalage!$B$6:$B$505,$A55)))</f>
        <v/>
      </c>
      <c r="AW55" s="117" t="str">
        <f>IF($A55="","",IF($K55=0,"n.b.",SUMIFS(STG_Woningetalage!$T$6:$T$505,STG_Woningetalage!$B$6:$B$505,$A55)))</f>
        <v/>
      </c>
      <c r="AX55" s="117" t="str">
        <f>IF($A55="","",IF($K55=0,"n.b.",SUMIFS(STG_Woningetalage!$U$6:$U$505,STG_Woningetalage!$B$6:$B$505,$A55)))</f>
        <v/>
      </c>
      <c r="AY55" s="117" t="str">
        <f>IF($A55="","",IF($K55=0,"n.b.",SUMIFS(STG_Woningetalage!$V$6:$V$505,STG_Woningetalage!$B$6:$B$505,$A55)))</f>
        <v/>
      </c>
      <c r="AZ55" s="117" t="str">
        <f>IF($A55="","",IF($K55=0,"n.b.",SUMIFS(STG_Woningetalage!$W$6:$W$505,STG_Woningetalage!$B$6:$B$505,$A55)))</f>
        <v/>
      </c>
      <c r="BA55" s="117" t="str">
        <f>IF($A55="","",IF($K55=0,"n.b.",SUMIFS(STG_Woningetalage!$X$6:$X$505,STG_Woningetalage!$B$6:$B$505,$A55)))</f>
        <v/>
      </c>
      <c r="BB55" s="117" t="str">
        <f>IF($A55="","",IF($K55=0,"n.b.",SUMIFS(STG_Woningetalage!$Y$6:$Y$505,STG_Woningetalage!$B$6:$B$505,$A55)))</f>
        <v/>
      </c>
      <c r="BC55" s="117" t="str">
        <f>IF($A55="","",IF($K55=0,"n.b.",SUMIFS(STG_Woningetalage!$Z$6:$Z$505,STG_Woningetalage!$B$6:$B$505,$A55)))</f>
        <v/>
      </c>
      <c r="BD55" s="117" t="str">
        <f>IF($A55="","",IF($K55=0,"n.b.",SUMIFS(STG_Woningetalage!$AA$6:$AA$505,STG_Woningetalage!$B$6:$B$505,$A55)))</f>
        <v/>
      </c>
      <c r="BE55" s="117" t="str">
        <f>IF($A55="","",IF($K55=0,"n.b.",SUMIFS(STG_Woningetalage!$AB$6:$AB$505,STG_Woningetalage!$B$6:$B$505,$A55)))</f>
        <v/>
      </c>
      <c r="BF55" s="117" t="str">
        <f>IF($A55="","",IF($K55=0,"n.b.",SUMIFS(STG_Woningetalage!$AC$6:$AC$505,STG_Woningetalage!$B$6:$B$505,$A55)))</f>
        <v/>
      </c>
      <c r="BG55" s="117" t="str">
        <f>IF($A55="","",IF($K55=0,"n.b.",SUMIFS(STG_Woningetalage!$AD$6:$AD$505,STG_Woningetalage!$B$6:$B$505,$A55)))</f>
        <v/>
      </c>
      <c r="BH55" s="117" t="str">
        <f>IF($A55="","",IF($K55=0,"n.b.",SUMIFS(STG_Woningetalage!$AE$6:$AE$505,STG_Woningetalage!$B$6:$B$505,$A55)))</f>
        <v/>
      </c>
      <c r="BI55" s="117" t="str">
        <f>IF($A55="","",IF($K55=0,"n.b.",SUMIFS(STG_Woningetalage!$AF$6:$AF$505,STG_Woningetalage!$B$6:$B$505,$A55)))</f>
        <v/>
      </c>
      <c r="BJ55" s="117" t="str">
        <f>IF($A55="","",IF($K55=0,"n.b.",SUMIFS(STG_Woningetalage!$AG$6:$AG$505,STG_Woningetalage!$B$6:$B$505,$A55)))</f>
        <v/>
      </c>
      <c r="BK55" s="117" t="str">
        <f>IF($A55="","",IF($K55=0,"n.b.",SUMIFS(STG_Woningetalage!$AH$6:$AH$505,STG_Woningetalage!$B$6:$B$505,$A55)))</f>
        <v/>
      </c>
      <c r="BL55" s="117" t="str">
        <f>IF($A55="","",IF($K55=0,"n.b.",SUMIFS(STG_Woningetalage!$AI$6:$AI$505,STG_Woningetalage!$B$6:$B$505,$A55)))</f>
        <v/>
      </c>
      <c r="BM55" s="117" t="str">
        <f>IF($A55="","",IF($K55=0,"n.b.",SUMIFS(STG_Woningetalage!$AJ$6:$AJ$505,STG_Woningetalage!$B$6:$B$505,$A55)))</f>
        <v/>
      </c>
      <c r="BN55" s="117" t="str">
        <f>IF($A55="","",IF($K55=0,"n.b.",SUMIFS(STG_Woningetalage!$AK$6:$AK$505,STG_Woningetalage!$B$6:$B$505,$A55)))</f>
        <v/>
      </c>
      <c r="BO55" s="117" t="str">
        <f>IF($A55="","",IF($K55=0,"n.b.",SUMIFS(STG_Woningetalage!$AL$6:$AL$505,STG_Woningetalage!$B$6:$B$505,$A55)))</f>
        <v/>
      </c>
      <c r="BP55" s="117" t="str">
        <f>IF($A55="","",IF($K55=0,"n.b.",SUMIFS(STG_Woningetalage!$AM$6:$AM$505,STG_Woningetalage!$B$6:$B$505,$A55)))</f>
        <v/>
      </c>
      <c r="BQ55" s="117" t="str">
        <f>IF($A55="","",IF($K55=0,"n.b.",SUMIFS(STG_Woningetalage!$BE$6:$BE$505,STG_Woningetalage!$B$6:$B$505,$A55)))</f>
        <v/>
      </c>
      <c r="BR55" s="117" t="str">
        <f>IF($A55="","",IF($K55=0,"n.b.",SUMIFS(STG_Woningetalage!$BF$6:$BF$505,STG_Woningetalage!$B$6:$B$505,$A55)))</f>
        <v/>
      </c>
      <c r="BS55" s="117" t="str">
        <f>IF($A55="","",IF($K55=0,"n.b.",SUMIFS(STG_Woningetalage!$BG$6:$BG$505,STG_Woningetalage!$B$6:$B$505,$A55)))</f>
        <v/>
      </c>
      <c r="BT55" s="117" t="str">
        <f>IF($A55="","",IF($K55=0,"n.b.",SUMIFS(STG_Woningetalage!$BH$6:$BH$505,STG_Woningetalage!$B$6:$B$505,$A55)))</f>
        <v/>
      </c>
      <c r="BU55" s="117" t="str">
        <f>IF($A55="","",IF($K55=0,"n.b.",SUMIFS(STG_Woningetalage!$BI$6:$BI$505,STG_Woningetalage!$B$6:$B$505,$A55)))</f>
        <v/>
      </c>
      <c r="BV55" s="117" t="str">
        <f>IF($A55="","",IF($K55=0,"n.b.",SUMIFS(STG_Woningetalage!$BJ$6:$BJ$505,STG_Woningetalage!$B$6:$B$505,$A55)))</f>
        <v/>
      </c>
      <c r="BW55" s="117" t="str">
        <f>IF($A55="","",IF($K55=0,"n.b.",SUMIFS(STG_Woningetalage!$AR$6:$AR$505,STG_Woningetalage!$B$6:$B$505,$A55)))</f>
        <v/>
      </c>
      <c r="BX55" s="117" t="str">
        <f>IF($A55="","",IF($K55=0,"n.b.",SUMIFS(STG_Woningetalage!$AS$6:$AS$505,STG_Woningetalage!$B$6:$B$505,$A55)))</f>
        <v/>
      </c>
      <c r="BY55" s="117" t="str">
        <f>IF($A55="","",IF($K55=0,"n.b.",SUMIFS(STG_Woningetalage!$AN$6:$AN$505,STG_Woningetalage!$B$6:$B$505,$A55)))</f>
        <v/>
      </c>
      <c r="BZ55" s="117" t="str">
        <f>IF($A55="","",IF($K55=0,"n.b.",SUMIFS(STG_Woningetalage!$AO$6:$AO$505,STG_Woningetalage!$B$6:$B$505,$A55)))</f>
        <v/>
      </c>
      <c r="CA55" s="117" t="str">
        <f>IF($A55="","",IF($K55=0,"n.b.",SUMIFS(STG_Woningetalage!$AP$6:$AP$505,STG_Woningetalage!$B$6:$B$505,$A55)))</f>
        <v/>
      </c>
      <c r="CB55" s="117" t="str">
        <f>IF($A55="","",IF($K55=0,"n.b.",SUMIFS(STG_Woningetalage!$AQ$6:$AQ$505,STG_Woningetalage!$B$6:$B$505,$A55)))</f>
        <v/>
      </c>
      <c r="CC55" s="117" t="str">
        <f>IF($A55="","",IF($K55=0,"n.b.",SUMIFS(STG_Woningetalage!$AU$6:$AU$505,STG_Woningetalage!$B$6:$B$505,$A55)))</f>
        <v/>
      </c>
      <c r="CD55" s="92" t="str">
        <f>IF($A55="","",IFERROR(INDEX(STG_ZPMW03!$L$6:$L$505,MATCH($A55,STG_ZPMW03!$B$6:$B$505,0)),"n.b."))</f>
        <v/>
      </c>
      <c r="CE55" s="92" t="str">
        <f>IF($A55="","",IFERROR(INDEX(STG_ZPMW03!$K$6:$K$505,MATCH($A55,STG_ZPMW03!$B$6:$B$505,0)),"n.b."))</f>
        <v/>
      </c>
      <c r="CF55" s="92" t="str">
        <f>IF($A55="","",IFERROR(INDEX(STG_ZPMW03!$BH$6:$BH$505,MATCH($A55,STG_ZPMW03!$B$6:$B$505,0)),"n.b."))</f>
        <v/>
      </c>
      <c r="CG55" s="92" t="str">
        <f>IF($A55="","",IFERROR(INDEX(STG_ZPMW03!$BI$6:$BI$505,MATCH($A55,STG_ZPMW03!$B$6:$B$505,0)),"n.b."))</f>
        <v/>
      </c>
      <c r="CH55" s="92" t="str">
        <f>IF($A55="","",IFERROR(INDEX(STG_ZPMW03!$BJ$6:$BJ$505,MATCH($A55,STG_ZPMW03!$B$6:$B$505,0)),"n.b."))</f>
        <v/>
      </c>
      <c r="CI55" s="92" t="str">
        <f>IF($A55="","",IFERROR(INDEX(STG_ZPMW03!$BF$6:$BF$505,MATCH($A55,STG_ZPMW03!$B$6:$B$505,0)),"n.b."))</f>
        <v/>
      </c>
      <c r="CJ55" s="92" t="str">
        <f>IF($A55="","",IFERROR(INDEX(STG_ZPMW03!$BG$6:$BG$505,MATCH($A55,STG_ZPMW03!$B$6:$B$505,0)),"n.b."))</f>
        <v/>
      </c>
      <c r="CK55" s="92" t="str">
        <f>IF($A55="","",IFERROR(INDEX(STG_ZPMW03!$H$6:$H$505,MATCH($A55,STG_ZPMW03!$B$6:$B$505,0)),"n.b."))</f>
        <v/>
      </c>
      <c r="CL55" s="92" t="str">
        <f>IF($A55="","",IFERROR(INDEX(STG_ZPMW03!$E$6:$E$505,MATCH($A55,STG_ZPMW03!$B$6:$B$505,0)),"n.b."))</f>
        <v/>
      </c>
      <c r="CM55" s="92" t="str">
        <f>IF($A55="","",IFERROR(INDEX(STG_ZPMW03!$G$6:$G$505,MATCH($A55,STG_ZPMW03!$B$6:$B$505,0)),"n.b."))</f>
        <v/>
      </c>
      <c r="CN55" s="92" t="str">
        <f>IF($A55="","",IFERROR(INDEX(STG_Woningetalage!$N$6:$N$505,MATCH($A55,STG_Woningetalage!$B$6:$B$505,0)),"n.b."))</f>
        <v/>
      </c>
      <c r="CO55" s="92" t="str">
        <f>IF($A55="","",IFERROR(INDEX(STG_Woningetalage!$P$6:$P$505,MATCH($A55,STG_Woningetalage!$B$6:$B$505,0)),"n.b."))</f>
        <v/>
      </c>
      <c r="CP55" s="118" t="str">
        <f>IF($A55="","",IF(AND(ISNUMBER(AT55),ISNUMBER(F55)),IF(F55&gt;0,AT55/(F55/100),"n.b."),"n.b."))</f>
        <v/>
      </c>
      <c r="CQ55" s="116" t="str">
        <f>IF($A55="","",IF(ISNUMBER(Q55),IF(Q55&lt;0,1,0),0))</f>
        <v/>
      </c>
      <c r="CR55" s="116" t="str">
        <f>IF(CQ55=1,COUNTIF($CQ$6:CQ55,1),"")</f>
        <v/>
      </c>
      <c r="CS55" s="116" t="str">
        <f>IF(AND($A55&lt;&gt;"",$J55=0),COUNTIFS($A$6:$A55,"?*",$J$6:$J55,0),"")</f>
        <v/>
      </c>
      <c r="CT55" s="119" t="str">
        <f>IF($A55="","",IF(AND(ISNUMBER(Q55),ISNUMBER(P55)),IF(P55&lt;&gt;0,Q55/P55,"n.b."),"n.b."))</f>
        <v/>
      </c>
    </row>
    <row r="56">
      <c r="A56" s="92" t="str">
        <f>IF(Mapping!$A55="","",Mapping!$A55)</f>
        <v/>
      </c>
      <c r="B56" s="92" t="str">
        <f>IF(Mapping!$B55="","",Mapping!$B55)</f>
        <v/>
      </c>
      <c r="C56" s="92" t="str">
        <f>IF(Mapping!$C55="","",Mapping!$C55)</f>
        <v/>
      </c>
      <c r="D56" s="92" t="str">
        <f>IF(Mapping!$F55="","",Mapping!$F55)</f>
        <v/>
      </c>
      <c r="E56" s="92" t="str">
        <f>IF(Mapping!$H55="","",Mapping!$H55)</f>
        <v/>
      </c>
      <c r="F56" s="92" t="str">
        <f>IF(Mapping!$E55="","",Mapping!$E55)</f>
        <v/>
      </c>
      <c r="G56" s="92" t="str">
        <f>IF(Mapping!$G55="","",Mapping!$G55)</f>
        <v/>
      </c>
      <c r="H56" s="92" t="str">
        <f>IF(Mapping!$D55="","",Mapping!$D55)</f>
        <v/>
      </c>
      <c r="I56" s="92" t="str">
        <f>IF($A56="","",IFERROR(INDEX(STG_ZPMW03!$C$6:$C$505,MATCH($A56,STG_ZPMW03!$B$6:$B$505,0)),"n.b."))</f>
        <v/>
      </c>
      <c r="J56" s="116" t="str">
        <f>IF($A56="","",COUNTIF(STG_ZPMW03!$B$6:$B$505,$A56))</f>
        <v/>
      </c>
      <c r="K56" s="116" t="str">
        <f>IF($A56="","",COUNTIF(STG_Woningetalage!$B$6:$B$505,$A56))</f>
        <v/>
      </c>
      <c r="L56" s="117" t="str">
        <f>IF($A56="","",IF($J56=0,"n.b.",SUMIFS(STG_ZPMW03!$BK$6:$BK$505,STG_ZPMW03!$B$6:$B$505,$A56)))</f>
        <v/>
      </c>
      <c r="M56" s="117" t="str">
        <f>IF($A56="","",IF($J56=0,"n.b.",SUMIFS(STG_ZPMW03!$BL$6:$BL$505,STG_ZPMW03!$B$6:$B$505,$A56)))</f>
        <v/>
      </c>
      <c r="N56" s="117" t="str">
        <f>IF($A56="","",IF($J56=0,"n.b.",SUMIFS(STG_ZPMW03!$BM$6:$BM$505,STG_ZPMW03!$B$6:$B$505,$A56)))</f>
        <v/>
      </c>
      <c r="O56" s="117" t="str">
        <f>IF($A56="","",IF($J56=0,"n.b.",SUMIFS(STG_ZPMW03!$BN$6:$BN$505,STG_ZPMW03!$B$6:$B$505,$A56)))</f>
        <v/>
      </c>
      <c r="P56" s="117" t="str">
        <f>IF($A56="","",IF($J56=0,"n.b.",SUMIFS(STG_ZPMW03!$BO$6:$BO$505,STG_ZPMW03!$B$6:$B$505,$A56)))</f>
        <v/>
      </c>
      <c r="Q56" s="117" t="str">
        <f>IF($A56="","",IF($J56=0,"n.b.",SUMIFS(STG_ZPMW03!$BP$6:$BP$505,STG_ZPMW03!$B$6:$B$505,$A56)))</f>
        <v/>
      </c>
      <c r="R56" s="117" t="str">
        <f>IF($A56="","",IF($J56=0,"n.b.",SUMIFS(STG_ZPMW03!$BQ$6:$BQ$505,STG_ZPMW03!$B$6:$B$505,$A56)))</f>
        <v/>
      </c>
      <c r="S56" s="117" t="str">
        <f>IF($A56="","",IF($J56=0,"n.b.",SUMIFS(STG_ZPMW03!$BR$6:$BR$505,STG_ZPMW03!$B$6:$B$505,$A56)))</f>
        <v/>
      </c>
      <c r="T56" s="117" t="str">
        <f>IF($A56="","",IF($J56=0,"n.b.",SUMIFS(STG_ZPMW03!$BS$6:$BS$505,STG_ZPMW03!$B$6:$B$505,$A56)))</f>
        <v/>
      </c>
      <c r="U56" s="117" t="str">
        <f>IF($A56="","",IF($J56=0,"n.b.",SUMIFS(STG_ZPMW03!$BT$6:$BT$505,STG_ZPMW03!$B$6:$B$505,$A56)))</f>
        <v/>
      </c>
      <c r="V56" s="117" t="str">
        <f>IF($A56="","",IF($J56=0,"n.b.",SUMIFS(STG_ZPMW03!$BU$6:$BU$505,STG_ZPMW03!$B$6:$B$505,$A56)))</f>
        <v/>
      </c>
      <c r="W56" s="117" t="str">
        <f>IF($A56="","",IF($J56=0,"n.b.",SUMIFS(STG_ZPMW03!$BW$6:$BW$505,STG_ZPMW03!$B$6:$B$505,$A56)))</f>
        <v/>
      </c>
      <c r="X56" s="117" t="str">
        <f>IF($A56="","",IF($J56=0,"n.b.",SUMIFS(STG_ZPMW03!$BY$6:$BY$505,STG_ZPMW03!$B$6:$B$505,$A56)))</f>
        <v/>
      </c>
      <c r="Y56" s="117" t="str">
        <f>IF($A56="","",IF($J56=0,"n.b.",SUMIFS(STG_ZPMW03!$CA$6:$CA$505,STG_ZPMW03!$B$6:$B$505,$A56)))</f>
        <v/>
      </c>
      <c r="Z56" s="117" t="str">
        <f>IF($A56="","",IF($J56=0,"n.b.",SUMIFS(STG_ZPMW03!$BV$6:$BV$505,STG_ZPMW03!$B$6:$B$505,$A56)))</f>
        <v/>
      </c>
      <c r="AA56" s="117" t="str">
        <f>IF($A56="","",IF($J56=0,"n.b.",SUMIFS(STG_ZPMW03!$BX$6:$BX$505,STG_ZPMW03!$B$6:$B$505,$A56)))</f>
        <v/>
      </c>
      <c r="AB56" s="117" t="str">
        <f>IF($A56="","",IF($J56=0,"n.b.",SUMIFS(STG_ZPMW03!$BZ$6:$BZ$505,STG_ZPMW03!$B$6:$B$505,$A56)))</f>
        <v/>
      </c>
      <c r="AC56" s="117" t="str">
        <f>IF($A56="","",IF($J56=0,"n.b.",SUMIFS(STG_ZPMW03!$CB$6:$CB$505,STG_ZPMW03!$B$6:$B$505,$A56)))</f>
        <v/>
      </c>
      <c r="AD56" s="117" t="str">
        <f>IF($A56="","",IF($J56=0,"n.b.",SUMIFS(STG_ZPMW03!$CC$6:$CC$505,STG_ZPMW03!$B$6:$B$505,$A56)))</f>
        <v/>
      </c>
      <c r="AE56" s="117" t="str">
        <f>IF($A56="","",IF($J56=0,"n.b.",SUMIFS(STG_ZPMW03!$CE$6:$CE$505,STG_ZPMW03!$B$6:$B$505,$A56)))</f>
        <v/>
      </c>
      <c r="AF56" s="117" t="str">
        <f>IF($A56="","",IF($J56=0,"n.b.",SUMIFS(STG_ZPMW03!$CG$6:$CG$505,STG_ZPMW03!$B$6:$B$505,$A56)))</f>
        <v/>
      </c>
      <c r="AG56" s="117" t="str">
        <f>IF($A56="","",IF($J56=0,"n.b.",SUMIFS(STG_ZPMW03!$CI$6:$CI$505,STG_ZPMW03!$B$6:$B$505,$A56)))</f>
        <v/>
      </c>
      <c r="AH56" s="117" t="str">
        <f>IF($A56="","",IF($J56=0,"n.b.",SUMIFS(STG_ZPMW03!$CK$6:$CK$505,STG_ZPMW03!$B$6:$B$505,$A56)))</f>
        <v/>
      </c>
      <c r="AI56" s="117" t="str">
        <f>IF($A56="","",IF($J56=0,"n.b.",SUMIFS(STG_ZPMW03!$CM$6:$CM$505,STG_ZPMW03!$B$6:$B$505,$A56)))</f>
        <v/>
      </c>
      <c r="AJ56" s="117" t="str">
        <f>IF($A56="","",IF($J56=0,"n.b.",SUMIFS(STG_ZPMW03!$CO$6:$CO$505,STG_ZPMW03!$B$6:$B$505,$A56)))</f>
        <v/>
      </c>
      <c r="AK56" s="117" t="str">
        <f>IF($A56="","",IF($J56=0,"n.b.",SUMIFS(STG_ZPMW03!$CQ$6:$CQ$505,STG_ZPMW03!$B$6:$B$505,$A56)))</f>
        <v/>
      </c>
      <c r="AL56" s="117" t="str">
        <f>IF($A56="","",IF($J56=0,"n.b.",SUMIFS(STG_ZPMW03!$CD$6:$CD$505,STG_ZPMW03!$B$6:$B$505,$A56)))</f>
        <v/>
      </c>
      <c r="AM56" s="117" t="str">
        <f>IF($A56="","",IF($J56=0,"n.b.",SUMIFS(STG_ZPMW03!$CF$6:$CF$505,STG_ZPMW03!$B$6:$B$505,$A56)))</f>
        <v/>
      </c>
      <c r="AN56" s="117" t="str">
        <f>IF($A56="","",IF($J56=0,"n.b.",SUMIFS(STG_ZPMW03!$CH$6:$CH$505,STG_ZPMW03!$B$6:$B$505,$A56)))</f>
        <v/>
      </c>
      <c r="AO56" s="117" t="str">
        <f>IF($A56="","",IF($J56=0,"n.b.",SUMIFS(STG_ZPMW03!$CJ$6:$CJ$505,STG_ZPMW03!$B$6:$B$505,$A56)))</f>
        <v/>
      </c>
      <c r="AP56" s="117" t="str">
        <f>IF($A56="","",IF($J56=0,"n.b.",SUMIFS(STG_ZPMW03!$CL$6:$CL$505,STG_ZPMW03!$B$6:$B$505,$A56)))</f>
        <v/>
      </c>
      <c r="AQ56" s="117" t="str">
        <f>IF($A56="","",IF($J56=0,"n.b.",SUMIFS(STG_ZPMW03!$CN$6:$CN$505,STG_ZPMW03!$B$6:$B$505,$A56)))</f>
        <v/>
      </c>
      <c r="AR56" s="117" t="str">
        <f>IF($A56="","",IF($J56=0,"n.b.",SUMIFS(STG_ZPMW03!$CP$6:$CP$505,STG_ZPMW03!$B$6:$B$505,$A56)))</f>
        <v/>
      </c>
      <c r="AS56" s="117" t="str">
        <f>IF($A56="","",IF($J56=0,"n.b.",SUMIFS(STG_ZPMW03!$CR$6:$CR$505,STG_ZPMW03!$B$6:$B$505,$A56)))</f>
        <v/>
      </c>
      <c r="AT56" s="117" t="str">
        <f>IF($A56="","",IF($K56=0,"n.b.",SUMIFS(STG_Woningetalage!$Q$6:$Q$505,STG_Woningetalage!$B$6:$B$505,$A56)))</f>
        <v/>
      </c>
      <c r="AU56" s="117" t="str">
        <f>IF($A56="","",IF($K56=0,"n.b.",SUMIFS(STG_Woningetalage!$R$6:$R$505,STG_Woningetalage!$B$6:$B$505,$A56)))</f>
        <v/>
      </c>
      <c r="AV56" s="117" t="str">
        <f>IF($A56="","",IF($K56=0,"n.b.",SUMIFS(STG_Woningetalage!$S$6:$S$505,STG_Woningetalage!$B$6:$B$505,$A56)))</f>
        <v/>
      </c>
      <c r="AW56" s="117" t="str">
        <f>IF($A56="","",IF($K56=0,"n.b.",SUMIFS(STG_Woningetalage!$T$6:$T$505,STG_Woningetalage!$B$6:$B$505,$A56)))</f>
        <v/>
      </c>
      <c r="AX56" s="117" t="str">
        <f>IF($A56="","",IF($K56=0,"n.b.",SUMIFS(STG_Woningetalage!$U$6:$U$505,STG_Woningetalage!$B$6:$B$505,$A56)))</f>
        <v/>
      </c>
      <c r="AY56" s="117" t="str">
        <f>IF($A56="","",IF($K56=0,"n.b.",SUMIFS(STG_Woningetalage!$V$6:$V$505,STG_Woningetalage!$B$6:$B$505,$A56)))</f>
        <v/>
      </c>
      <c r="AZ56" s="117" t="str">
        <f>IF($A56="","",IF($K56=0,"n.b.",SUMIFS(STG_Woningetalage!$W$6:$W$505,STG_Woningetalage!$B$6:$B$505,$A56)))</f>
        <v/>
      </c>
      <c r="BA56" s="117" t="str">
        <f>IF($A56="","",IF($K56=0,"n.b.",SUMIFS(STG_Woningetalage!$X$6:$X$505,STG_Woningetalage!$B$6:$B$505,$A56)))</f>
        <v/>
      </c>
      <c r="BB56" s="117" t="str">
        <f>IF($A56="","",IF($K56=0,"n.b.",SUMIFS(STG_Woningetalage!$Y$6:$Y$505,STG_Woningetalage!$B$6:$B$505,$A56)))</f>
        <v/>
      </c>
      <c r="BC56" s="117" t="str">
        <f>IF($A56="","",IF($K56=0,"n.b.",SUMIFS(STG_Woningetalage!$Z$6:$Z$505,STG_Woningetalage!$B$6:$B$505,$A56)))</f>
        <v/>
      </c>
      <c r="BD56" s="117" t="str">
        <f>IF($A56="","",IF($K56=0,"n.b.",SUMIFS(STG_Woningetalage!$AA$6:$AA$505,STG_Woningetalage!$B$6:$B$505,$A56)))</f>
        <v/>
      </c>
      <c r="BE56" s="117" t="str">
        <f>IF($A56="","",IF($K56=0,"n.b.",SUMIFS(STG_Woningetalage!$AB$6:$AB$505,STG_Woningetalage!$B$6:$B$505,$A56)))</f>
        <v/>
      </c>
      <c r="BF56" s="117" t="str">
        <f>IF($A56="","",IF($K56=0,"n.b.",SUMIFS(STG_Woningetalage!$AC$6:$AC$505,STG_Woningetalage!$B$6:$B$505,$A56)))</f>
        <v/>
      </c>
      <c r="BG56" s="117" t="str">
        <f>IF($A56="","",IF($K56=0,"n.b.",SUMIFS(STG_Woningetalage!$AD$6:$AD$505,STG_Woningetalage!$B$6:$B$505,$A56)))</f>
        <v/>
      </c>
      <c r="BH56" s="117" t="str">
        <f>IF($A56="","",IF($K56=0,"n.b.",SUMIFS(STG_Woningetalage!$AE$6:$AE$505,STG_Woningetalage!$B$6:$B$505,$A56)))</f>
        <v/>
      </c>
      <c r="BI56" s="117" t="str">
        <f>IF($A56="","",IF($K56=0,"n.b.",SUMIFS(STG_Woningetalage!$AF$6:$AF$505,STG_Woningetalage!$B$6:$B$505,$A56)))</f>
        <v/>
      </c>
      <c r="BJ56" s="117" t="str">
        <f>IF($A56="","",IF($K56=0,"n.b.",SUMIFS(STG_Woningetalage!$AG$6:$AG$505,STG_Woningetalage!$B$6:$B$505,$A56)))</f>
        <v/>
      </c>
      <c r="BK56" s="117" t="str">
        <f>IF($A56="","",IF($K56=0,"n.b.",SUMIFS(STG_Woningetalage!$AH$6:$AH$505,STG_Woningetalage!$B$6:$B$505,$A56)))</f>
        <v/>
      </c>
      <c r="BL56" s="117" t="str">
        <f>IF($A56="","",IF($K56=0,"n.b.",SUMIFS(STG_Woningetalage!$AI$6:$AI$505,STG_Woningetalage!$B$6:$B$505,$A56)))</f>
        <v/>
      </c>
      <c r="BM56" s="117" t="str">
        <f>IF($A56="","",IF($K56=0,"n.b.",SUMIFS(STG_Woningetalage!$AJ$6:$AJ$505,STG_Woningetalage!$B$6:$B$505,$A56)))</f>
        <v/>
      </c>
      <c r="BN56" s="117" t="str">
        <f>IF($A56="","",IF($K56=0,"n.b.",SUMIFS(STG_Woningetalage!$AK$6:$AK$505,STG_Woningetalage!$B$6:$B$505,$A56)))</f>
        <v/>
      </c>
      <c r="BO56" s="117" t="str">
        <f>IF($A56="","",IF($K56=0,"n.b.",SUMIFS(STG_Woningetalage!$AL$6:$AL$505,STG_Woningetalage!$B$6:$B$505,$A56)))</f>
        <v/>
      </c>
      <c r="BP56" s="117" t="str">
        <f>IF($A56="","",IF($K56=0,"n.b.",SUMIFS(STG_Woningetalage!$AM$6:$AM$505,STG_Woningetalage!$B$6:$B$505,$A56)))</f>
        <v/>
      </c>
      <c r="BQ56" s="117" t="str">
        <f>IF($A56="","",IF($K56=0,"n.b.",SUMIFS(STG_Woningetalage!$BE$6:$BE$505,STG_Woningetalage!$B$6:$B$505,$A56)))</f>
        <v/>
      </c>
      <c r="BR56" s="117" t="str">
        <f>IF($A56="","",IF($K56=0,"n.b.",SUMIFS(STG_Woningetalage!$BF$6:$BF$505,STG_Woningetalage!$B$6:$B$505,$A56)))</f>
        <v/>
      </c>
      <c r="BS56" s="117" t="str">
        <f>IF($A56="","",IF($K56=0,"n.b.",SUMIFS(STG_Woningetalage!$BG$6:$BG$505,STG_Woningetalage!$B$6:$B$505,$A56)))</f>
        <v/>
      </c>
      <c r="BT56" s="117" t="str">
        <f>IF($A56="","",IF($K56=0,"n.b.",SUMIFS(STG_Woningetalage!$BH$6:$BH$505,STG_Woningetalage!$B$6:$B$505,$A56)))</f>
        <v/>
      </c>
      <c r="BU56" s="117" t="str">
        <f>IF($A56="","",IF($K56=0,"n.b.",SUMIFS(STG_Woningetalage!$BI$6:$BI$505,STG_Woningetalage!$B$6:$B$505,$A56)))</f>
        <v/>
      </c>
      <c r="BV56" s="117" t="str">
        <f>IF($A56="","",IF($K56=0,"n.b.",SUMIFS(STG_Woningetalage!$BJ$6:$BJ$505,STG_Woningetalage!$B$6:$B$505,$A56)))</f>
        <v/>
      </c>
      <c r="BW56" s="117" t="str">
        <f>IF($A56="","",IF($K56=0,"n.b.",SUMIFS(STG_Woningetalage!$AR$6:$AR$505,STG_Woningetalage!$B$6:$B$505,$A56)))</f>
        <v/>
      </c>
      <c r="BX56" s="117" t="str">
        <f>IF($A56="","",IF($K56=0,"n.b.",SUMIFS(STG_Woningetalage!$AS$6:$AS$505,STG_Woningetalage!$B$6:$B$505,$A56)))</f>
        <v/>
      </c>
      <c r="BY56" s="117" t="str">
        <f>IF($A56="","",IF($K56=0,"n.b.",SUMIFS(STG_Woningetalage!$AN$6:$AN$505,STG_Woningetalage!$B$6:$B$505,$A56)))</f>
        <v/>
      </c>
      <c r="BZ56" s="117" t="str">
        <f>IF($A56="","",IF($K56=0,"n.b.",SUMIFS(STG_Woningetalage!$AO$6:$AO$505,STG_Woningetalage!$B$6:$B$505,$A56)))</f>
        <v/>
      </c>
      <c r="CA56" s="117" t="str">
        <f>IF($A56="","",IF($K56=0,"n.b.",SUMIFS(STG_Woningetalage!$AP$6:$AP$505,STG_Woningetalage!$B$6:$B$505,$A56)))</f>
        <v/>
      </c>
      <c r="CB56" s="117" t="str">
        <f>IF($A56="","",IF($K56=0,"n.b.",SUMIFS(STG_Woningetalage!$AQ$6:$AQ$505,STG_Woningetalage!$B$6:$B$505,$A56)))</f>
        <v/>
      </c>
      <c r="CC56" s="117" t="str">
        <f>IF($A56="","",IF($K56=0,"n.b.",SUMIFS(STG_Woningetalage!$AU$6:$AU$505,STG_Woningetalage!$B$6:$B$505,$A56)))</f>
        <v/>
      </c>
      <c r="CD56" s="92" t="str">
        <f>IF($A56="","",IFERROR(INDEX(STG_ZPMW03!$L$6:$L$505,MATCH($A56,STG_ZPMW03!$B$6:$B$505,0)),"n.b."))</f>
        <v/>
      </c>
      <c r="CE56" s="92" t="str">
        <f>IF($A56="","",IFERROR(INDEX(STG_ZPMW03!$K$6:$K$505,MATCH($A56,STG_ZPMW03!$B$6:$B$505,0)),"n.b."))</f>
        <v/>
      </c>
      <c r="CF56" s="92" t="str">
        <f>IF($A56="","",IFERROR(INDEX(STG_ZPMW03!$BH$6:$BH$505,MATCH($A56,STG_ZPMW03!$B$6:$B$505,0)),"n.b."))</f>
        <v/>
      </c>
      <c r="CG56" s="92" t="str">
        <f>IF($A56="","",IFERROR(INDEX(STG_ZPMW03!$BI$6:$BI$505,MATCH($A56,STG_ZPMW03!$B$6:$B$505,0)),"n.b."))</f>
        <v/>
      </c>
      <c r="CH56" s="92" t="str">
        <f>IF($A56="","",IFERROR(INDEX(STG_ZPMW03!$BJ$6:$BJ$505,MATCH($A56,STG_ZPMW03!$B$6:$B$505,0)),"n.b."))</f>
        <v/>
      </c>
      <c r="CI56" s="92" t="str">
        <f>IF($A56="","",IFERROR(INDEX(STG_ZPMW03!$BF$6:$BF$505,MATCH($A56,STG_ZPMW03!$B$6:$B$505,0)),"n.b."))</f>
        <v/>
      </c>
      <c r="CJ56" s="92" t="str">
        <f>IF($A56="","",IFERROR(INDEX(STG_ZPMW03!$BG$6:$BG$505,MATCH($A56,STG_ZPMW03!$B$6:$B$505,0)),"n.b."))</f>
        <v/>
      </c>
      <c r="CK56" s="92" t="str">
        <f>IF($A56="","",IFERROR(INDEX(STG_ZPMW03!$H$6:$H$505,MATCH($A56,STG_ZPMW03!$B$6:$B$505,0)),"n.b."))</f>
        <v/>
      </c>
      <c r="CL56" s="92" t="str">
        <f>IF($A56="","",IFERROR(INDEX(STG_ZPMW03!$E$6:$E$505,MATCH($A56,STG_ZPMW03!$B$6:$B$505,0)),"n.b."))</f>
        <v/>
      </c>
      <c r="CM56" s="92" t="str">
        <f>IF($A56="","",IFERROR(INDEX(STG_ZPMW03!$G$6:$G$505,MATCH($A56,STG_ZPMW03!$B$6:$B$505,0)),"n.b."))</f>
        <v/>
      </c>
      <c r="CN56" s="92" t="str">
        <f>IF($A56="","",IFERROR(INDEX(STG_Woningetalage!$N$6:$N$505,MATCH($A56,STG_Woningetalage!$B$6:$B$505,0)),"n.b."))</f>
        <v/>
      </c>
      <c r="CO56" s="92" t="str">
        <f>IF($A56="","",IFERROR(INDEX(STG_Woningetalage!$P$6:$P$505,MATCH($A56,STG_Woningetalage!$B$6:$B$505,0)),"n.b."))</f>
        <v/>
      </c>
      <c r="CP56" s="118" t="str">
        <f>IF($A56="","",IF(AND(ISNUMBER(AT56),ISNUMBER(F56)),IF(F56&gt;0,AT56/(F56/100),"n.b."),"n.b."))</f>
        <v/>
      </c>
      <c r="CQ56" s="116" t="str">
        <f>IF($A56="","",IF(ISNUMBER(Q56),IF(Q56&lt;0,1,0),0))</f>
        <v/>
      </c>
      <c r="CR56" s="116" t="str">
        <f>IF(CQ56=1,COUNTIF($CQ$6:CQ56,1),"")</f>
        <v/>
      </c>
      <c r="CS56" s="116" t="str">
        <f>IF(AND($A56&lt;&gt;"",$J56=0),COUNTIFS($A$6:$A56,"?*",$J$6:$J56,0),"")</f>
        <v/>
      </c>
      <c r="CT56" s="119" t="str">
        <f>IF($A56="","",IF(AND(ISNUMBER(Q56),ISNUMBER(P56)),IF(P56&lt;&gt;0,Q56/P56,"n.b."),"n.b."))</f>
        <v/>
      </c>
    </row>
    <row r="57">
      <c r="A57" s="92" t="str">
        <f>IF(Mapping!$A56="","",Mapping!$A56)</f>
        <v/>
      </c>
      <c r="B57" s="92" t="str">
        <f>IF(Mapping!$B56="","",Mapping!$B56)</f>
        <v/>
      </c>
      <c r="C57" s="92" t="str">
        <f>IF(Mapping!$C56="","",Mapping!$C56)</f>
        <v/>
      </c>
      <c r="D57" s="92" t="str">
        <f>IF(Mapping!$F56="","",Mapping!$F56)</f>
        <v/>
      </c>
      <c r="E57" s="92" t="str">
        <f>IF(Mapping!$H56="","",Mapping!$H56)</f>
        <v/>
      </c>
      <c r="F57" s="92" t="str">
        <f>IF(Mapping!$E56="","",Mapping!$E56)</f>
        <v/>
      </c>
      <c r="G57" s="92" t="str">
        <f>IF(Mapping!$G56="","",Mapping!$G56)</f>
        <v/>
      </c>
      <c r="H57" s="92" t="str">
        <f>IF(Mapping!$D56="","",Mapping!$D56)</f>
        <v/>
      </c>
      <c r="I57" s="92" t="str">
        <f>IF($A57="","",IFERROR(INDEX(STG_ZPMW03!$C$6:$C$505,MATCH($A57,STG_ZPMW03!$B$6:$B$505,0)),"n.b."))</f>
        <v/>
      </c>
      <c r="J57" s="116" t="str">
        <f>IF($A57="","",COUNTIF(STG_ZPMW03!$B$6:$B$505,$A57))</f>
        <v/>
      </c>
      <c r="K57" s="116" t="str">
        <f>IF($A57="","",COUNTIF(STG_Woningetalage!$B$6:$B$505,$A57))</f>
        <v/>
      </c>
      <c r="L57" s="117" t="str">
        <f>IF($A57="","",IF($J57=0,"n.b.",SUMIFS(STG_ZPMW03!$BK$6:$BK$505,STG_ZPMW03!$B$6:$B$505,$A57)))</f>
        <v/>
      </c>
      <c r="M57" s="117" t="str">
        <f>IF($A57="","",IF($J57=0,"n.b.",SUMIFS(STG_ZPMW03!$BL$6:$BL$505,STG_ZPMW03!$B$6:$B$505,$A57)))</f>
        <v/>
      </c>
      <c r="N57" s="117" t="str">
        <f>IF($A57="","",IF($J57=0,"n.b.",SUMIFS(STG_ZPMW03!$BM$6:$BM$505,STG_ZPMW03!$B$6:$B$505,$A57)))</f>
        <v/>
      </c>
      <c r="O57" s="117" t="str">
        <f>IF($A57="","",IF($J57=0,"n.b.",SUMIFS(STG_ZPMW03!$BN$6:$BN$505,STG_ZPMW03!$B$6:$B$505,$A57)))</f>
        <v/>
      </c>
      <c r="P57" s="117" t="str">
        <f>IF($A57="","",IF($J57=0,"n.b.",SUMIFS(STG_ZPMW03!$BO$6:$BO$505,STG_ZPMW03!$B$6:$B$505,$A57)))</f>
        <v/>
      </c>
      <c r="Q57" s="117" t="str">
        <f>IF($A57="","",IF($J57=0,"n.b.",SUMIFS(STG_ZPMW03!$BP$6:$BP$505,STG_ZPMW03!$B$6:$B$505,$A57)))</f>
        <v/>
      </c>
      <c r="R57" s="117" t="str">
        <f>IF($A57="","",IF($J57=0,"n.b.",SUMIFS(STG_ZPMW03!$BQ$6:$BQ$505,STG_ZPMW03!$B$6:$B$505,$A57)))</f>
        <v/>
      </c>
      <c r="S57" s="117" t="str">
        <f>IF($A57="","",IF($J57=0,"n.b.",SUMIFS(STG_ZPMW03!$BR$6:$BR$505,STG_ZPMW03!$B$6:$B$505,$A57)))</f>
        <v/>
      </c>
      <c r="T57" s="117" t="str">
        <f>IF($A57="","",IF($J57=0,"n.b.",SUMIFS(STG_ZPMW03!$BS$6:$BS$505,STG_ZPMW03!$B$6:$B$505,$A57)))</f>
        <v/>
      </c>
      <c r="U57" s="117" t="str">
        <f>IF($A57="","",IF($J57=0,"n.b.",SUMIFS(STG_ZPMW03!$BT$6:$BT$505,STG_ZPMW03!$B$6:$B$505,$A57)))</f>
        <v/>
      </c>
      <c r="V57" s="117" t="str">
        <f>IF($A57="","",IF($J57=0,"n.b.",SUMIFS(STG_ZPMW03!$BU$6:$BU$505,STG_ZPMW03!$B$6:$B$505,$A57)))</f>
        <v/>
      </c>
      <c r="W57" s="117" t="str">
        <f>IF($A57="","",IF($J57=0,"n.b.",SUMIFS(STG_ZPMW03!$BW$6:$BW$505,STG_ZPMW03!$B$6:$B$505,$A57)))</f>
        <v/>
      </c>
      <c r="X57" s="117" t="str">
        <f>IF($A57="","",IF($J57=0,"n.b.",SUMIFS(STG_ZPMW03!$BY$6:$BY$505,STG_ZPMW03!$B$6:$B$505,$A57)))</f>
        <v/>
      </c>
      <c r="Y57" s="117" t="str">
        <f>IF($A57="","",IF($J57=0,"n.b.",SUMIFS(STG_ZPMW03!$CA$6:$CA$505,STG_ZPMW03!$B$6:$B$505,$A57)))</f>
        <v/>
      </c>
      <c r="Z57" s="117" t="str">
        <f>IF($A57="","",IF($J57=0,"n.b.",SUMIFS(STG_ZPMW03!$BV$6:$BV$505,STG_ZPMW03!$B$6:$B$505,$A57)))</f>
        <v/>
      </c>
      <c r="AA57" s="117" t="str">
        <f>IF($A57="","",IF($J57=0,"n.b.",SUMIFS(STG_ZPMW03!$BX$6:$BX$505,STG_ZPMW03!$B$6:$B$505,$A57)))</f>
        <v/>
      </c>
      <c r="AB57" s="117" t="str">
        <f>IF($A57="","",IF($J57=0,"n.b.",SUMIFS(STG_ZPMW03!$BZ$6:$BZ$505,STG_ZPMW03!$B$6:$B$505,$A57)))</f>
        <v/>
      </c>
      <c r="AC57" s="117" t="str">
        <f>IF($A57="","",IF($J57=0,"n.b.",SUMIFS(STG_ZPMW03!$CB$6:$CB$505,STG_ZPMW03!$B$6:$B$505,$A57)))</f>
        <v/>
      </c>
      <c r="AD57" s="117" t="str">
        <f>IF($A57="","",IF($J57=0,"n.b.",SUMIFS(STG_ZPMW03!$CC$6:$CC$505,STG_ZPMW03!$B$6:$B$505,$A57)))</f>
        <v/>
      </c>
      <c r="AE57" s="117" t="str">
        <f>IF($A57="","",IF($J57=0,"n.b.",SUMIFS(STG_ZPMW03!$CE$6:$CE$505,STG_ZPMW03!$B$6:$B$505,$A57)))</f>
        <v/>
      </c>
      <c r="AF57" s="117" t="str">
        <f>IF($A57="","",IF($J57=0,"n.b.",SUMIFS(STG_ZPMW03!$CG$6:$CG$505,STG_ZPMW03!$B$6:$B$505,$A57)))</f>
        <v/>
      </c>
      <c r="AG57" s="117" t="str">
        <f>IF($A57="","",IF($J57=0,"n.b.",SUMIFS(STG_ZPMW03!$CI$6:$CI$505,STG_ZPMW03!$B$6:$B$505,$A57)))</f>
        <v/>
      </c>
      <c r="AH57" s="117" t="str">
        <f>IF($A57="","",IF($J57=0,"n.b.",SUMIFS(STG_ZPMW03!$CK$6:$CK$505,STG_ZPMW03!$B$6:$B$505,$A57)))</f>
        <v/>
      </c>
      <c r="AI57" s="117" t="str">
        <f>IF($A57="","",IF($J57=0,"n.b.",SUMIFS(STG_ZPMW03!$CM$6:$CM$505,STG_ZPMW03!$B$6:$B$505,$A57)))</f>
        <v/>
      </c>
      <c r="AJ57" s="117" t="str">
        <f>IF($A57="","",IF($J57=0,"n.b.",SUMIFS(STG_ZPMW03!$CO$6:$CO$505,STG_ZPMW03!$B$6:$B$505,$A57)))</f>
        <v/>
      </c>
      <c r="AK57" s="117" t="str">
        <f>IF($A57="","",IF($J57=0,"n.b.",SUMIFS(STG_ZPMW03!$CQ$6:$CQ$505,STG_ZPMW03!$B$6:$B$505,$A57)))</f>
        <v/>
      </c>
      <c r="AL57" s="117" t="str">
        <f>IF($A57="","",IF($J57=0,"n.b.",SUMIFS(STG_ZPMW03!$CD$6:$CD$505,STG_ZPMW03!$B$6:$B$505,$A57)))</f>
        <v/>
      </c>
      <c r="AM57" s="117" t="str">
        <f>IF($A57="","",IF($J57=0,"n.b.",SUMIFS(STG_ZPMW03!$CF$6:$CF$505,STG_ZPMW03!$B$6:$B$505,$A57)))</f>
        <v/>
      </c>
      <c r="AN57" s="117" t="str">
        <f>IF($A57="","",IF($J57=0,"n.b.",SUMIFS(STG_ZPMW03!$CH$6:$CH$505,STG_ZPMW03!$B$6:$B$505,$A57)))</f>
        <v/>
      </c>
      <c r="AO57" s="117" t="str">
        <f>IF($A57="","",IF($J57=0,"n.b.",SUMIFS(STG_ZPMW03!$CJ$6:$CJ$505,STG_ZPMW03!$B$6:$B$505,$A57)))</f>
        <v/>
      </c>
      <c r="AP57" s="117" t="str">
        <f>IF($A57="","",IF($J57=0,"n.b.",SUMIFS(STG_ZPMW03!$CL$6:$CL$505,STG_ZPMW03!$B$6:$B$505,$A57)))</f>
        <v/>
      </c>
      <c r="AQ57" s="117" t="str">
        <f>IF($A57="","",IF($J57=0,"n.b.",SUMIFS(STG_ZPMW03!$CN$6:$CN$505,STG_ZPMW03!$B$6:$B$505,$A57)))</f>
        <v/>
      </c>
      <c r="AR57" s="117" t="str">
        <f>IF($A57="","",IF($J57=0,"n.b.",SUMIFS(STG_ZPMW03!$CP$6:$CP$505,STG_ZPMW03!$B$6:$B$505,$A57)))</f>
        <v/>
      </c>
      <c r="AS57" s="117" t="str">
        <f>IF($A57="","",IF($J57=0,"n.b.",SUMIFS(STG_ZPMW03!$CR$6:$CR$505,STG_ZPMW03!$B$6:$B$505,$A57)))</f>
        <v/>
      </c>
      <c r="AT57" s="117" t="str">
        <f>IF($A57="","",IF($K57=0,"n.b.",SUMIFS(STG_Woningetalage!$Q$6:$Q$505,STG_Woningetalage!$B$6:$B$505,$A57)))</f>
        <v/>
      </c>
      <c r="AU57" s="117" t="str">
        <f>IF($A57="","",IF($K57=0,"n.b.",SUMIFS(STG_Woningetalage!$R$6:$R$505,STG_Woningetalage!$B$6:$B$505,$A57)))</f>
        <v/>
      </c>
      <c r="AV57" s="117" t="str">
        <f>IF($A57="","",IF($K57=0,"n.b.",SUMIFS(STG_Woningetalage!$S$6:$S$505,STG_Woningetalage!$B$6:$B$505,$A57)))</f>
        <v/>
      </c>
      <c r="AW57" s="117" t="str">
        <f>IF($A57="","",IF($K57=0,"n.b.",SUMIFS(STG_Woningetalage!$T$6:$T$505,STG_Woningetalage!$B$6:$B$505,$A57)))</f>
        <v/>
      </c>
      <c r="AX57" s="117" t="str">
        <f>IF($A57="","",IF($K57=0,"n.b.",SUMIFS(STG_Woningetalage!$U$6:$U$505,STG_Woningetalage!$B$6:$B$505,$A57)))</f>
        <v/>
      </c>
      <c r="AY57" s="117" t="str">
        <f>IF($A57="","",IF($K57=0,"n.b.",SUMIFS(STG_Woningetalage!$V$6:$V$505,STG_Woningetalage!$B$6:$B$505,$A57)))</f>
        <v/>
      </c>
      <c r="AZ57" s="117" t="str">
        <f>IF($A57="","",IF($K57=0,"n.b.",SUMIFS(STG_Woningetalage!$W$6:$W$505,STG_Woningetalage!$B$6:$B$505,$A57)))</f>
        <v/>
      </c>
      <c r="BA57" s="117" t="str">
        <f>IF($A57="","",IF($K57=0,"n.b.",SUMIFS(STG_Woningetalage!$X$6:$X$505,STG_Woningetalage!$B$6:$B$505,$A57)))</f>
        <v/>
      </c>
      <c r="BB57" s="117" t="str">
        <f>IF($A57="","",IF($K57=0,"n.b.",SUMIFS(STG_Woningetalage!$Y$6:$Y$505,STG_Woningetalage!$B$6:$B$505,$A57)))</f>
        <v/>
      </c>
      <c r="BC57" s="117" t="str">
        <f>IF($A57="","",IF($K57=0,"n.b.",SUMIFS(STG_Woningetalage!$Z$6:$Z$505,STG_Woningetalage!$B$6:$B$505,$A57)))</f>
        <v/>
      </c>
      <c r="BD57" s="117" t="str">
        <f>IF($A57="","",IF($K57=0,"n.b.",SUMIFS(STG_Woningetalage!$AA$6:$AA$505,STG_Woningetalage!$B$6:$B$505,$A57)))</f>
        <v/>
      </c>
      <c r="BE57" s="117" t="str">
        <f>IF($A57="","",IF($K57=0,"n.b.",SUMIFS(STG_Woningetalage!$AB$6:$AB$505,STG_Woningetalage!$B$6:$B$505,$A57)))</f>
        <v/>
      </c>
      <c r="BF57" s="117" t="str">
        <f>IF($A57="","",IF($K57=0,"n.b.",SUMIFS(STG_Woningetalage!$AC$6:$AC$505,STG_Woningetalage!$B$6:$B$505,$A57)))</f>
        <v/>
      </c>
      <c r="BG57" s="117" t="str">
        <f>IF($A57="","",IF($K57=0,"n.b.",SUMIFS(STG_Woningetalage!$AD$6:$AD$505,STG_Woningetalage!$B$6:$B$505,$A57)))</f>
        <v/>
      </c>
      <c r="BH57" s="117" t="str">
        <f>IF($A57="","",IF($K57=0,"n.b.",SUMIFS(STG_Woningetalage!$AE$6:$AE$505,STG_Woningetalage!$B$6:$B$505,$A57)))</f>
        <v/>
      </c>
      <c r="BI57" s="117" t="str">
        <f>IF($A57="","",IF($K57=0,"n.b.",SUMIFS(STG_Woningetalage!$AF$6:$AF$505,STG_Woningetalage!$B$6:$B$505,$A57)))</f>
        <v/>
      </c>
      <c r="BJ57" s="117" t="str">
        <f>IF($A57="","",IF($K57=0,"n.b.",SUMIFS(STG_Woningetalage!$AG$6:$AG$505,STG_Woningetalage!$B$6:$B$505,$A57)))</f>
        <v/>
      </c>
      <c r="BK57" s="117" t="str">
        <f>IF($A57="","",IF($K57=0,"n.b.",SUMIFS(STG_Woningetalage!$AH$6:$AH$505,STG_Woningetalage!$B$6:$B$505,$A57)))</f>
        <v/>
      </c>
      <c r="BL57" s="117" t="str">
        <f>IF($A57="","",IF($K57=0,"n.b.",SUMIFS(STG_Woningetalage!$AI$6:$AI$505,STG_Woningetalage!$B$6:$B$505,$A57)))</f>
        <v/>
      </c>
      <c r="BM57" s="117" t="str">
        <f>IF($A57="","",IF($K57=0,"n.b.",SUMIFS(STG_Woningetalage!$AJ$6:$AJ$505,STG_Woningetalage!$B$6:$B$505,$A57)))</f>
        <v/>
      </c>
      <c r="BN57" s="117" t="str">
        <f>IF($A57="","",IF($K57=0,"n.b.",SUMIFS(STG_Woningetalage!$AK$6:$AK$505,STG_Woningetalage!$B$6:$B$505,$A57)))</f>
        <v/>
      </c>
      <c r="BO57" s="117" t="str">
        <f>IF($A57="","",IF($K57=0,"n.b.",SUMIFS(STG_Woningetalage!$AL$6:$AL$505,STG_Woningetalage!$B$6:$B$505,$A57)))</f>
        <v/>
      </c>
      <c r="BP57" s="117" t="str">
        <f>IF($A57="","",IF($K57=0,"n.b.",SUMIFS(STG_Woningetalage!$AM$6:$AM$505,STG_Woningetalage!$B$6:$B$505,$A57)))</f>
        <v/>
      </c>
      <c r="BQ57" s="117" t="str">
        <f>IF($A57="","",IF($K57=0,"n.b.",SUMIFS(STG_Woningetalage!$BE$6:$BE$505,STG_Woningetalage!$B$6:$B$505,$A57)))</f>
        <v/>
      </c>
      <c r="BR57" s="117" t="str">
        <f>IF($A57="","",IF($K57=0,"n.b.",SUMIFS(STG_Woningetalage!$BF$6:$BF$505,STG_Woningetalage!$B$6:$B$505,$A57)))</f>
        <v/>
      </c>
      <c r="BS57" s="117" t="str">
        <f>IF($A57="","",IF($K57=0,"n.b.",SUMIFS(STG_Woningetalage!$BG$6:$BG$505,STG_Woningetalage!$B$6:$B$505,$A57)))</f>
        <v/>
      </c>
      <c r="BT57" s="117" t="str">
        <f>IF($A57="","",IF($K57=0,"n.b.",SUMIFS(STG_Woningetalage!$BH$6:$BH$505,STG_Woningetalage!$B$6:$B$505,$A57)))</f>
        <v/>
      </c>
      <c r="BU57" s="117" t="str">
        <f>IF($A57="","",IF($K57=0,"n.b.",SUMIFS(STG_Woningetalage!$BI$6:$BI$505,STG_Woningetalage!$B$6:$B$505,$A57)))</f>
        <v/>
      </c>
      <c r="BV57" s="117" t="str">
        <f>IF($A57="","",IF($K57=0,"n.b.",SUMIFS(STG_Woningetalage!$BJ$6:$BJ$505,STG_Woningetalage!$B$6:$B$505,$A57)))</f>
        <v/>
      </c>
      <c r="BW57" s="117" t="str">
        <f>IF($A57="","",IF($K57=0,"n.b.",SUMIFS(STG_Woningetalage!$AR$6:$AR$505,STG_Woningetalage!$B$6:$B$505,$A57)))</f>
        <v/>
      </c>
      <c r="BX57" s="117" t="str">
        <f>IF($A57="","",IF($K57=0,"n.b.",SUMIFS(STG_Woningetalage!$AS$6:$AS$505,STG_Woningetalage!$B$6:$B$505,$A57)))</f>
        <v/>
      </c>
      <c r="BY57" s="117" t="str">
        <f>IF($A57="","",IF($K57=0,"n.b.",SUMIFS(STG_Woningetalage!$AN$6:$AN$505,STG_Woningetalage!$B$6:$B$505,$A57)))</f>
        <v/>
      </c>
      <c r="BZ57" s="117" t="str">
        <f>IF($A57="","",IF($K57=0,"n.b.",SUMIFS(STG_Woningetalage!$AO$6:$AO$505,STG_Woningetalage!$B$6:$B$505,$A57)))</f>
        <v/>
      </c>
      <c r="CA57" s="117" t="str">
        <f>IF($A57="","",IF($K57=0,"n.b.",SUMIFS(STG_Woningetalage!$AP$6:$AP$505,STG_Woningetalage!$B$6:$B$505,$A57)))</f>
        <v/>
      </c>
      <c r="CB57" s="117" t="str">
        <f>IF($A57="","",IF($K57=0,"n.b.",SUMIFS(STG_Woningetalage!$AQ$6:$AQ$505,STG_Woningetalage!$B$6:$B$505,$A57)))</f>
        <v/>
      </c>
      <c r="CC57" s="117" t="str">
        <f>IF($A57="","",IF($K57=0,"n.b.",SUMIFS(STG_Woningetalage!$AU$6:$AU$505,STG_Woningetalage!$B$6:$B$505,$A57)))</f>
        <v/>
      </c>
      <c r="CD57" s="92" t="str">
        <f>IF($A57="","",IFERROR(INDEX(STG_ZPMW03!$L$6:$L$505,MATCH($A57,STG_ZPMW03!$B$6:$B$505,0)),"n.b."))</f>
        <v/>
      </c>
      <c r="CE57" s="92" t="str">
        <f>IF($A57="","",IFERROR(INDEX(STG_ZPMW03!$K$6:$K$505,MATCH($A57,STG_ZPMW03!$B$6:$B$505,0)),"n.b."))</f>
        <v/>
      </c>
      <c r="CF57" s="92" t="str">
        <f>IF($A57="","",IFERROR(INDEX(STG_ZPMW03!$BH$6:$BH$505,MATCH($A57,STG_ZPMW03!$B$6:$B$505,0)),"n.b."))</f>
        <v/>
      </c>
      <c r="CG57" s="92" t="str">
        <f>IF($A57="","",IFERROR(INDEX(STG_ZPMW03!$BI$6:$BI$505,MATCH($A57,STG_ZPMW03!$B$6:$B$505,0)),"n.b."))</f>
        <v/>
      </c>
      <c r="CH57" s="92" t="str">
        <f>IF($A57="","",IFERROR(INDEX(STG_ZPMW03!$BJ$6:$BJ$505,MATCH($A57,STG_ZPMW03!$B$6:$B$505,0)),"n.b."))</f>
        <v/>
      </c>
      <c r="CI57" s="92" t="str">
        <f>IF($A57="","",IFERROR(INDEX(STG_ZPMW03!$BF$6:$BF$505,MATCH($A57,STG_ZPMW03!$B$6:$B$505,0)),"n.b."))</f>
        <v/>
      </c>
      <c r="CJ57" s="92" t="str">
        <f>IF($A57="","",IFERROR(INDEX(STG_ZPMW03!$BG$6:$BG$505,MATCH($A57,STG_ZPMW03!$B$6:$B$505,0)),"n.b."))</f>
        <v/>
      </c>
      <c r="CK57" s="92" t="str">
        <f>IF($A57="","",IFERROR(INDEX(STG_ZPMW03!$H$6:$H$505,MATCH($A57,STG_ZPMW03!$B$6:$B$505,0)),"n.b."))</f>
        <v/>
      </c>
      <c r="CL57" s="92" t="str">
        <f>IF($A57="","",IFERROR(INDEX(STG_ZPMW03!$E$6:$E$505,MATCH($A57,STG_ZPMW03!$B$6:$B$505,0)),"n.b."))</f>
        <v/>
      </c>
      <c r="CM57" s="92" t="str">
        <f>IF($A57="","",IFERROR(INDEX(STG_ZPMW03!$G$6:$G$505,MATCH($A57,STG_ZPMW03!$B$6:$B$505,0)),"n.b."))</f>
        <v/>
      </c>
      <c r="CN57" s="92" t="str">
        <f>IF($A57="","",IFERROR(INDEX(STG_Woningetalage!$N$6:$N$505,MATCH($A57,STG_Woningetalage!$B$6:$B$505,0)),"n.b."))</f>
        <v/>
      </c>
      <c r="CO57" s="92" t="str">
        <f>IF($A57="","",IFERROR(INDEX(STG_Woningetalage!$P$6:$P$505,MATCH($A57,STG_Woningetalage!$B$6:$B$505,0)),"n.b."))</f>
        <v/>
      </c>
      <c r="CP57" s="118" t="str">
        <f>IF($A57="","",IF(AND(ISNUMBER(AT57),ISNUMBER(F57)),IF(F57&gt;0,AT57/(F57/100),"n.b."),"n.b."))</f>
        <v/>
      </c>
      <c r="CQ57" s="116" t="str">
        <f>IF($A57="","",IF(ISNUMBER(Q57),IF(Q57&lt;0,1,0),0))</f>
        <v/>
      </c>
      <c r="CR57" s="116" t="str">
        <f>IF(CQ57=1,COUNTIF($CQ$6:CQ57,1),"")</f>
        <v/>
      </c>
      <c r="CS57" s="116" t="str">
        <f>IF(AND($A57&lt;&gt;"",$J57=0),COUNTIFS($A$6:$A57,"?*",$J$6:$J57,0),"")</f>
        <v/>
      </c>
      <c r="CT57" s="119" t="str">
        <f>IF($A57="","",IF(AND(ISNUMBER(Q57),ISNUMBER(P57)),IF(P57&lt;&gt;0,Q57/P57,"n.b."),"n.b."))</f>
        <v/>
      </c>
    </row>
    <row r="58">
      <c r="A58" s="92" t="str">
        <f>IF(Mapping!$A57="","",Mapping!$A57)</f>
        <v/>
      </c>
      <c r="B58" s="92" t="str">
        <f>IF(Mapping!$B57="","",Mapping!$B57)</f>
        <v/>
      </c>
      <c r="C58" s="92" t="str">
        <f>IF(Mapping!$C57="","",Mapping!$C57)</f>
        <v/>
      </c>
      <c r="D58" s="92" t="str">
        <f>IF(Mapping!$F57="","",Mapping!$F57)</f>
        <v/>
      </c>
      <c r="E58" s="92" t="str">
        <f>IF(Mapping!$H57="","",Mapping!$H57)</f>
        <v/>
      </c>
      <c r="F58" s="92" t="str">
        <f>IF(Mapping!$E57="","",Mapping!$E57)</f>
        <v/>
      </c>
      <c r="G58" s="92" t="str">
        <f>IF(Mapping!$G57="","",Mapping!$G57)</f>
        <v/>
      </c>
      <c r="H58" s="92" t="str">
        <f>IF(Mapping!$D57="","",Mapping!$D57)</f>
        <v/>
      </c>
      <c r="I58" s="92" t="str">
        <f>IF($A58="","",IFERROR(INDEX(STG_ZPMW03!$C$6:$C$505,MATCH($A58,STG_ZPMW03!$B$6:$B$505,0)),"n.b."))</f>
        <v/>
      </c>
      <c r="J58" s="116" t="str">
        <f>IF($A58="","",COUNTIF(STG_ZPMW03!$B$6:$B$505,$A58))</f>
        <v/>
      </c>
      <c r="K58" s="116" t="str">
        <f>IF($A58="","",COUNTIF(STG_Woningetalage!$B$6:$B$505,$A58))</f>
        <v/>
      </c>
      <c r="L58" s="117" t="str">
        <f>IF($A58="","",IF($J58=0,"n.b.",SUMIFS(STG_ZPMW03!$BK$6:$BK$505,STG_ZPMW03!$B$6:$B$505,$A58)))</f>
        <v/>
      </c>
      <c r="M58" s="117" t="str">
        <f>IF($A58="","",IF($J58=0,"n.b.",SUMIFS(STG_ZPMW03!$BL$6:$BL$505,STG_ZPMW03!$B$6:$B$505,$A58)))</f>
        <v/>
      </c>
      <c r="N58" s="117" t="str">
        <f>IF($A58="","",IF($J58=0,"n.b.",SUMIFS(STG_ZPMW03!$BM$6:$BM$505,STG_ZPMW03!$B$6:$B$505,$A58)))</f>
        <v/>
      </c>
      <c r="O58" s="117" t="str">
        <f>IF($A58="","",IF($J58=0,"n.b.",SUMIFS(STG_ZPMW03!$BN$6:$BN$505,STG_ZPMW03!$B$6:$B$505,$A58)))</f>
        <v/>
      </c>
      <c r="P58" s="117" t="str">
        <f>IF($A58="","",IF($J58=0,"n.b.",SUMIFS(STG_ZPMW03!$BO$6:$BO$505,STG_ZPMW03!$B$6:$B$505,$A58)))</f>
        <v/>
      </c>
      <c r="Q58" s="117" t="str">
        <f>IF($A58="","",IF($J58=0,"n.b.",SUMIFS(STG_ZPMW03!$BP$6:$BP$505,STG_ZPMW03!$B$6:$B$505,$A58)))</f>
        <v/>
      </c>
      <c r="R58" s="117" t="str">
        <f>IF($A58="","",IF($J58=0,"n.b.",SUMIFS(STG_ZPMW03!$BQ$6:$BQ$505,STG_ZPMW03!$B$6:$B$505,$A58)))</f>
        <v/>
      </c>
      <c r="S58" s="117" t="str">
        <f>IF($A58="","",IF($J58=0,"n.b.",SUMIFS(STG_ZPMW03!$BR$6:$BR$505,STG_ZPMW03!$B$6:$B$505,$A58)))</f>
        <v/>
      </c>
      <c r="T58" s="117" t="str">
        <f>IF($A58="","",IF($J58=0,"n.b.",SUMIFS(STG_ZPMW03!$BS$6:$BS$505,STG_ZPMW03!$B$6:$B$505,$A58)))</f>
        <v/>
      </c>
      <c r="U58" s="117" t="str">
        <f>IF($A58="","",IF($J58=0,"n.b.",SUMIFS(STG_ZPMW03!$BT$6:$BT$505,STG_ZPMW03!$B$6:$B$505,$A58)))</f>
        <v/>
      </c>
      <c r="V58" s="117" t="str">
        <f>IF($A58="","",IF($J58=0,"n.b.",SUMIFS(STG_ZPMW03!$BU$6:$BU$505,STG_ZPMW03!$B$6:$B$505,$A58)))</f>
        <v/>
      </c>
      <c r="W58" s="117" t="str">
        <f>IF($A58="","",IF($J58=0,"n.b.",SUMIFS(STG_ZPMW03!$BW$6:$BW$505,STG_ZPMW03!$B$6:$B$505,$A58)))</f>
        <v/>
      </c>
      <c r="X58" s="117" t="str">
        <f>IF($A58="","",IF($J58=0,"n.b.",SUMIFS(STG_ZPMW03!$BY$6:$BY$505,STG_ZPMW03!$B$6:$B$505,$A58)))</f>
        <v/>
      </c>
      <c r="Y58" s="117" t="str">
        <f>IF($A58="","",IF($J58=0,"n.b.",SUMIFS(STG_ZPMW03!$CA$6:$CA$505,STG_ZPMW03!$B$6:$B$505,$A58)))</f>
        <v/>
      </c>
      <c r="Z58" s="117" t="str">
        <f>IF($A58="","",IF($J58=0,"n.b.",SUMIFS(STG_ZPMW03!$BV$6:$BV$505,STG_ZPMW03!$B$6:$B$505,$A58)))</f>
        <v/>
      </c>
      <c r="AA58" s="117" t="str">
        <f>IF($A58="","",IF($J58=0,"n.b.",SUMIFS(STG_ZPMW03!$BX$6:$BX$505,STG_ZPMW03!$B$6:$B$505,$A58)))</f>
        <v/>
      </c>
      <c r="AB58" s="117" t="str">
        <f>IF($A58="","",IF($J58=0,"n.b.",SUMIFS(STG_ZPMW03!$BZ$6:$BZ$505,STG_ZPMW03!$B$6:$B$505,$A58)))</f>
        <v/>
      </c>
      <c r="AC58" s="117" t="str">
        <f>IF($A58="","",IF($J58=0,"n.b.",SUMIFS(STG_ZPMW03!$CB$6:$CB$505,STG_ZPMW03!$B$6:$B$505,$A58)))</f>
        <v/>
      </c>
      <c r="AD58" s="117" t="str">
        <f>IF($A58="","",IF($J58=0,"n.b.",SUMIFS(STG_ZPMW03!$CC$6:$CC$505,STG_ZPMW03!$B$6:$B$505,$A58)))</f>
        <v/>
      </c>
      <c r="AE58" s="117" t="str">
        <f>IF($A58="","",IF($J58=0,"n.b.",SUMIFS(STG_ZPMW03!$CE$6:$CE$505,STG_ZPMW03!$B$6:$B$505,$A58)))</f>
        <v/>
      </c>
      <c r="AF58" s="117" t="str">
        <f>IF($A58="","",IF($J58=0,"n.b.",SUMIFS(STG_ZPMW03!$CG$6:$CG$505,STG_ZPMW03!$B$6:$B$505,$A58)))</f>
        <v/>
      </c>
      <c r="AG58" s="117" t="str">
        <f>IF($A58="","",IF($J58=0,"n.b.",SUMIFS(STG_ZPMW03!$CI$6:$CI$505,STG_ZPMW03!$B$6:$B$505,$A58)))</f>
        <v/>
      </c>
      <c r="AH58" s="117" t="str">
        <f>IF($A58="","",IF($J58=0,"n.b.",SUMIFS(STG_ZPMW03!$CK$6:$CK$505,STG_ZPMW03!$B$6:$B$505,$A58)))</f>
        <v/>
      </c>
      <c r="AI58" s="117" t="str">
        <f>IF($A58="","",IF($J58=0,"n.b.",SUMIFS(STG_ZPMW03!$CM$6:$CM$505,STG_ZPMW03!$B$6:$B$505,$A58)))</f>
        <v/>
      </c>
      <c r="AJ58" s="117" t="str">
        <f>IF($A58="","",IF($J58=0,"n.b.",SUMIFS(STG_ZPMW03!$CO$6:$CO$505,STG_ZPMW03!$B$6:$B$505,$A58)))</f>
        <v/>
      </c>
      <c r="AK58" s="117" t="str">
        <f>IF($A58="","",IF($J58=0,"n.b.",SUMIFS(STG_ZPMW03!$CQ$6:$CQ$505,STG_ZPMW03!$B$6:$B$505,$A58)))</f>
        <v/>
      </c>
      <c r="AL58" s="117" t="str">
        <f>IF($A58="","",IF($J58=0,"n.b.",SUMIFS(STG_ZPMW03!$CD$6:$CD$505,STG_ZPMW03!$B$6:$B$505,$A58)))</f>
        <v/>
      </c>
      <c r="AM58" s="117" t="str">
        <f>IF($A58="","",IF($J58=0,"n.b.",SUMIFS(STG_ZPMW03!$CF$6:$CF$505,STG_ZPMW03!$B$6:$B$505,$A58)))</f>
        <v/>
      </c>
      <c r="AN58" s="117" t="str">
        <f>IF($A58="","",IF($J58=0,"n.b.",SUMIFS(STG_ZPMW03!$CH$6:$CH$505,STG_ZPMW03!$B$6:$B$505,$A58)))</f>
        <v/>
      </c>
      <c r="AO58" s="117" t="str">
        <f>IF($A58="","",IF($J58=0,"n.b.",SUMIFS(STG_ZPMW03!$CJ$6:$CJ$505,STG_ZPMW03!$B$6:$B$505,$A58)))</f>
        <v/>
      </c>
      <c r="AP58" s="117" t="str">
        <f>IF($A58="","",IF($J58=0,"n.b.",SUMIFS(STG_ZPMW03!$CL$6:$CL$505,STG_ZPMW03!$B$6:$B$505,$A58)))</f>
        <v/>
      </c>
      <c r="AQ58" s="117" t="str">
        <f>IF($A58="","",IF($J58=0,"n.b.",SUMIFS(STG_ZPMW03!$CN$6:$CN$505,STG_ZPMW03!$B$6:$B$505,$A58)))</f>
        <v/>
      </c>
      <c r="AR58" s="117" t="str">
        <f>IF($A58="","",IF($J58=0,"n.b.",SUMIFS(STG_ZPMW03!$CP$6:$CP$505,STG_ZPMW03!$B$6:$B$505,$A58)))</f>
        <v/>
      </c>
      <c r="AS58" s="117" t="str">
        <f>IF($A58="","",IF($J58=0,"n.b.",SUMIFS(STG_ZPMW03!$CR$6:$CR$505,STG_ZPMW03!$B$6:$B$505,$A58)))</f>
        <v/>
      </c>
      <c r="AT58" s="117" t="str">
        <f>IF($A58="","",IF($K58=0,"n.b.",SUMIFS(STG_Woningetalage!$Q$6:$Q$505,STG_Woningetalage!$B$6:$B$505,$A58)))</f>
        <v/>
      </c>
      <c r="AU58" s="117" t="str">
        <f>IF($A58="","",IF($K58=0,"n.b.",SUMIFS(STG_Woningetalage!$R$6:$R$505,STG_Woningetalage!$B$6:$B$505,$A58)))</f>
        <v/>
      </c>
      <c r="AV58" s="117" t="str">
        <f>IF($A58="","",IF($K58=0,"n.b.",SUMIFS(STG_Woningetalage!$S$6:$S$505,STG_Woningetalage!$B$6:$B$505,$A58)))</f>
        <v/>
      </c>
      <c r="AW58" s="117" t="str">
        <f>IF($A58="","",IF($K58=0,"n.b.",SUMIFS(STG_Woningetalage!$T$6:$T$505,STG_Woningetalage!$B$6:$B$505,$A58)))</f>
        <v/>
      </c>
      <c r="AX58" s="117" t="str">
        <f>IF($A58="","",IF($K58=0,"n.b.",SUMIFS(STG_Woningetalage!$U$6:$U$505,STG_Woningetalage!$B$6:$B$505,$A58)))</f>
        <v/>
      </c>
      <c r="AY58" s="117" t="str">
        <f>IF($A58="","",IF($K58=0,"n.b.",SUMIFS(STG_Woningetalage!$V$6:$V$505,STG_Woningetalage!$B$6:$B$505,$A58)))</f>
        <v/>
      </c>
      <c r="AZ58" s="117" t="str">
        <f>IF($A58="","",IF($K58=0,"n.b.",SUMIFS(STG_Woningetalage!$W$6:$W$505,STG_Woningetalage!$B$6:$B$505,$A58)))</f>
        <v/>
      </c>
      <c r="BA58" s="117" t="str">
        <f>IF($A58="","",IF($K58=0,"n.b.",SUMIFS(STG_Woningetalage!$X$6:$X$505,STG_Woningetalage!$B$6:$B$505,$A58)))</f>
        <v/>
      </c>
      <c r="BB58" s="117" t="str">
        <f>IF($A58="","",IF($K58=0,"n.b.",SUMIFS(STG_Woningetalage!$Y$6:$Y$505,STG_Woningetalage!$B$6:$B$505,$A58)))</f>
        <v/>
      </c>
      <c r="BC58" s="117" t="str">
        <f>IF($A58="","",IF($K58=0,"n.b.",SUMIFS(STG_Woningetalage!$Z$6:$Z$505,STG_Woningetalage!$B$6:$B$505,$A58)))</f>
        <v/>
      </c>
      <c r="BD58" s="117" t="str">
        <f>IF($A58="","",IF($K58=0,"n.b.",SUMIFS(STG_Woningetalage!$AA$6:$AA$505,STG_Woningetalage!$B$6:$B$505,$A58)))</f>
        <v/>
      </c>
      <c r="BE58" s="117" t="str">
        <f>IF($A58="","",IF($K58=0,"n.b.",SUMIFS(STG_Woningetalage!$AB$6:$AB$505,STG_Woningetalage!$B$6:$B$505,$A58)))</f>
        <v/>
      </c>
      <c r="BF58" s="117" t="str">
        <f>IF($A58="","",IF($K58=0,"n.b.",SUMIFS(STG_Woningetalage!$AC$6:$AC$505,STG_Woningetalage!$B$6:$B$505,$A58)))</f>
        <v/>
      </c>
      <c r="BG58" s="117" t="str">
        <f>IF($A58="","",IF($K58=0,"n.b.",SUMIFS(STG_Woningetalage!$AD$6:$AD$505,STG_Woningetalage!$B$6:$B$505,$A58)))</f>
        <v/>
      </c>
      <c r="BH58" s="117" t="str">
        <f>IF($A58="","",IF($K58=0,"n.b.",SUMIFS(STG_Woningetalage!$AE$6:$AE$505,STG_Woningetalage!$B$6:$B$505,$A58)))</f>
        <v/>
      </c>
      <c r="BI58" s="117" t="str">
        <f>IF($A58="","",IF($K58=0,"n.b.",SUMIFS(STG_Woningetalage!$AF$6:$AF$505,STG_Woningetalage!$B$6:$B$505,$A58)))</f>
        <v/>
      </c>
      <c r="BJ58" s="117" t="str">
        <f>IF($A58="","",IF($K58=0,"n.b.",SUMIFS(STG_Woningetalage!$AG$6:$AG$505,STG_Woningetalage!$B$6:$B$505,$A58)))</f>
        <v/>
      </c>
      <c r="BK58" s="117" t="str">
        <f>IF($A58="","",IF($K58=0,"n.b.",SUMIFS(STG_Woningetalage!$AH$6:$AH$505,STG_Woningetalage!$B$6:$B$505,$A58)))</f>
        <v/>
      </c>
      <c r="BL58" s="117" t="str">
        <f>IF($A58="","",IF($K58=0,"n.b.",SUMIFS(STG_Woningetalage!$AI$6:$AI$505,STG_Woningetalage!$B$6:$B$505,$A58)))</f>
        <v/>
      </c>
      <c r="BM58" s="117" t="str">
        <f>IF($A58="","",IF($K58=0,"n.b.",SUMIFS(STG_Woningetalage!$AJ$6:$AJ$505,STG_Woningetalage!$B$6:$B$505,$A58)))</f>
        <v/>
      </c>
      <c r="BN58" s="117" t="str">
        <f>IF($A58="","",IF($K58=0,"n.b.",SUMIFS(STG_Woningetalage!$AK$6:$AK$505,STG_Woningetalage!$B$6:$B$505,$A58)))</f>
        <v/>
      </c>
      <c r="BO58" s="117" t="str">
        <f>IF($A58="","",IF($K58=0,"n.b.",SUMIFS(STG_Woningetalage!$AL$6:$AL$505,STG_Woningetalage!$B$6:$B$505,$A58)))</f>
        <v/>
      </c>
      <c r="BP58" s="117" t="str">
        <f>IF($A58="","",IF($K58=0,"n.b.",SUMIFS(STG_Woningetalage!$AM$6:$AM$505,STG_Woningetalage!$B$6:$B$505,$A58)))</f>
        <v/>
      </c>
      <c r="BQ58" s="117" t="str">
        <f>IF($A58="","",IF($K58=0,"n.b.",SUMIFS(STG_Woningetalage!$BE$6:$BE$505,STG_Woningetalage!$B$6:$B$505,$A58)))</f>
        <v/>
      </c>
      <c r="BR58" s="117" t="str">
        <f>IF($A58="","",IF($K58=0,"n.b.",SUMIFS(STG_Woningetalage!$BF$6:$BF$505,STG_Woningetalage!$B$6:$B$505,$A58)))</f>
        <v/>
      </c>
      <c r="BS58" s="117" t="str">
        <f>IF($A58="","",IF($K58=0,"n.b.",SUMIFS(STG_Woningetalage!$BG$6:$BG$505,STG_Woningetalage!$B$6:$B$505,$A58)))</f>
        <v/>
      </c>
      <c r="BT58" s="117" t="str">
        <f>IF($A58="","",IF($K58=0,"n.b.",SUMIFS(STG_Woningetalage!$BH$6:$BH$505,STG_Woningetalage!$B$6:$B$505,$A58)))</f>
        <v/>
      </c>
      <c r="BU58" s="117" t="str">
        <f>IF($A58="","",IF($K58=0,"n.b.",SUMIFS(STG_Woningetalage!$BI$6:$BI$505,STG_Woningetalage!$B$6:$B$505,$A58)))</f>
        <v/>
      </c>
      <c r="BV58" s="117" t="str">
        <f>IF($A58="","",IF($K58=0,"n.b.",SUMIFS(STG_Woningetalage!$BJ$6:$BJ$505,STG_Woningetalage!$B$6:$B$505,$A58)))</f>
        <v/>
      </c>
      <c r="BW58" s="117" t="str">
        <f>IF($A58="","",IF($K58=0,"n.b.",SUMIFS(STG_Woningetalage!$AR$6:$AR$505,STG_Woningetalage!$B$6:$B$505,$A58)))</f>
        <v/>
      </c>
      <c r="BX58" s="117" t="str">
        <f>IF($A58="","",IF($K58=0,"n.b.",SUMIFS(STG_Woningetalage!$AS$6:$AS$505,STG_Woningetalage!$B$6:$B$505,$A58)))</f>
        <v/>
      </c>
      <c r="BY58" s="117" t="str">
        <f>IF($A58="","",IF($K58=0,"n.b.",SUMIFS(STG_Woningetalage!$AN$6:$AN$505,STG_Woningetalage!$B$6:$B$505,$A58)))</f>
        <v/>
      </c>
      <c r="BZ58" s="117" t="str">
        <f>IF($A58="","",IF($K58=0,"n.b.",SUMIFS(STG_Woningetalage!$AO$6:$AO$505,STG_Woningetalage!$B$6:$B$505,$A58)))</f>
        <v/>
      </c>
      <c r="CA58" s="117" t="str">
        <f>IF($A58="","",IF($K58=0,"n.b.",SUMIFS(STG_Woningetalage!$AP$6:$AP$505,STG_Woningetalage!$B$6:$B$505,$A58)))</f>
        <v/>
      </c>
      <c r="CB58" s="117" t="str">
        <f>IF($A58="","",IF($K58=0,"n.b.",SUMIFS(STG_Woningetalage!$AQ$6:$AQ$505,STG_Woningetalage!$B$6:$B$505,$A58)))</f>
        <v/>
      </c>
      <c r="CC58" s="117" t="str">
        <f>IF($A58="","",IF($K58=0,"n.b.",SUMIFS(STG_Woningetalage!$AU$6:$AU$505,STG_Woningetalage!$B$6:$B$505,$A58)))</f>
        <v/>
      </c>
      <c r="CD58" s="92" t="str">
        <f>IF($A58="","",IFERROR(INDEX(STG_ZPMW03!$L$6:$L$505,MATCH($A58,STG_ZPMW03!$B$6:$B$505,0)),"n.b."))</f>
        <v/>
      </c>
      <c r="CE58" s="92" t="str">
        <f>IF($A58="","",IFERROR(INDEX(STG_ZPMW03!$K$6:$K$505,MATCH($A58,STG_ZPMW03!$B$6:$B$505,0)),"n.b."))</f>
        <v/>
      </c>
      <c r="CF58" s="92" t="str">
        <f>IF($A58="","",IFERROR(INDEX(STG_ZPMW03!$BH$6:$BH$505,MATCH($A58,STG_ZPMW03!$B$6:$B$505,0)),"n.b."))</f>
        <v/>
      </c>
      <c r="CG58" s="92" t="str">
        <f>IF($A58="","",IFERROR(INDEX(STG_ZPMW03!$BI$6:$BI$505,MATCH($A58,STG_ZPMW03!$B$6:$B$505,0)),"n.b."))</f>
        <v/>
      </c>
      <c r="CH58" s="92" t="str">
        <f>IF($A58="","",IFERROR(INDEX(STG_ZPMW03!$BJ$6:$BJ$505,MATCH($A58,STG_ZPMW03!$B$6:$B$505,0)),"n.b."))</f>
        <v/>
      </c>
      <c r="CI58" s="92" t="str">
        <f>IF($A58="","",IFERROR(INDEX(STG_ZPMW03!$BF$6:$BF$505,MATCH($A58,STG_ZPMW03!$B$6:$B$505,0)),"n.b."))</f>
        <v/>
      </c>
      <c r="CJ58" s="92" t="str">
        <f>IF($A58="","",IFERROR(INDEX(STG_ZPMW03!$BG$6:$BG$505,MATCH($A58,STG_ZPMW03!$B$6:$B$505,0)),"n.b."))</f>
        <v/>
      </c>
      <c r="CK58" s="92" t="str">
        <f>IF($A58="","",IFERROR(INDEX(STG_ZPMW03!$H$6:$H$505,MATCH($A58,STG_ZPMW03!$B$6:$B$505,0)),"n.b."))</f>
        <v/>
      </c>
      <c r="CL58" s="92" t="str">
        <f>IF($A58="","",IFERROR(INDEX(STG_ZPMW03!$E$6:$E$505,MATCH($A58,STG_ZPMW03!$B$6:$B$505,0)),"n.b."))</f>
        <v/>
      </c>
      <c r="CM58" s="92" t="str">
        <f>IF($A58="","",IFERROR(INDEX(STG_ZPMW03!$G$6:$G$505,MATCH($A58,STG_ZPMW03!$B$6:$B$505,0)),"n.b."))</f>
        <v/>
      </c>
      <c r="CN58" s="92" t="str">
        <f>IF($A58="","",IFERROR(INDEX(STG_Woningetalage!$N$6:$N$505,MATCH($A58,STG_Woningetalage!$B$6:$B$505,0)),"n.b."))</f>
        <v/>
      </c>
      <c r="CO58" s="92" t="str">
        <f>IF($A58="","",IFERROR(INDEX(STG_Woningetalage!$P$6:$P$505,MATCH($A58,STG_Woningetalage!$B$6:$B$505,0)),"n.b."))</f>
        <v/>
      </c>
      <c r="CP58" s="118" t="str">
        <f>IF($A58="","",IF(AND(ISNUMBER(AT58),ISNUMBER(F58)),IF(F58&gt;0,AT58/(F58/100),"n.b."),"n.b."))</f>
        <v/>
      </c>
      <c r="CQ58" s="116" t="str">
        <f>IF($A58="","",IF(ISNUMBER(Q58),IF(Q58&lt;0,1,0),0))</f>
        <v/>
      </c>
      <c r="CR58" s="116" t="str">
        <f>IF(CQ58=1,COUNTIF($CQ$6:CQ58,1),"")</f>
        <v/>
      </c>
      <c r="CS58" s="116" t="str">
        <f>IF(AND($A58&lt;&gt;"",$J58=0),COUNTIFS($A$6:$A58,"?*",$J$6:$J58,0),"")</f>
        <v/>
      </c>
      <c r="CT58" s="119" t="str">
        <f>IF($A58="","",IF(AND(ISNUMBER(Q58),ISNUMBER(P58)),IF(P58&lt;&gt;0,Q58/P58,"n.b."),"n.b."))</f>
        <v/>
      </c>
    </row>
    <row r="59">
      <c r="A59" s="92" t="str">
        <f>IF(Mapping!$A58="","",Mapping!$A58)</f>
        <v/>
      </c>
      <c r="B59" s="92" t="str">
        <f>IF(Mapping!$B58="","",Mapping!$B58)</f>
        <v/>
      </c>
      <c r="C59" s="92" t="str">
        <f>IF(Mapping!$C58="","",Mapping!$C58)</f>
        <v/>
      </c>
      <c r="D59" s="92" t="str">
        <f>IF(Mapping!$F58="","",Mapping!$F58)</f>
        <v/>
      </c>
      <c r="E59" s="92" t="str">
        <f>IF(Mapping!$H58="","",Mapping!$H58)</f>
        <v/>
      </c>
      <c r="F59" s="92" t="str">
        <f>IF(Mapping!$E58="","",Mapping!$E58)</f>
        <v/>
      </c>
      <c r="G59" s="92" t="str">
        <f>IF(Mapping!$G58="","",Mapping!$G58)</f>
        <v/>
      </c>
      <c r="H59" s="92" t="str">
        <f>IF(Mapping!$D58="","",Mapping!$D58)</f>
        <v/>
      </c>
      <c r="I59" s="92" t="str">
        <f>IF($A59="","",IFERROR(INDEX(STG_ZPMW03!$C$6:$C$505,MATCH($A59,STG_ZPMW03!$B$6:$B$505,0)),"n.b."))</f>
        <v/>
      </c>
      <c r="J59" s="116" t="str">
        <f>IF($A59="","",COUNTIF(STG_ZPMW03!$B$6:$B$505,$A59))</f>
        <v/>
      </c>
      <c r="K59" s="116" t="str">
        <f>IF($A59="","",COUNTIF(STG_Woningetalage!$B$6:$B$505,$A59))</f>
        <v/>
      </c>
      <c r="L59" s="117" t="str">
        <f>IF($A59="","",IF($J59=0,"n.b.",SUMIFS(STG_ZPMW03!$BK$6:$BK$505,STG_ZPMW03!$B$6:$B$505,$A59)))</f>
        <v/>
      </c>
      <c r="M59" s="117" t="str">
        <f>IF($A59="","",IF($J59=0,"n.b.",SUMIFS(STG_ZPMW03!$BL$6:$BL$505,STG_ZPMW03!$B$6:$B$505,$A59)))</f>
        <v/>
      </c>
      <c r="N59" s="117" t="str">
        <f>IF($A59="","",IF($J59=0,"n.b.",SUMIFS(STG_ZPMW03!$BM$6:$BM$505,STG_ZPMW03!$B$6:$B$505,$A59)))</f>
        <v/>
      </c>
      <c r="O59" s="117" t="str">
        <f>IF($A59="","",IF($J59=0,"n.b.",SUMIFS(STG_ZPMW03!$BN$6:$BN$505,STG_ZPMW03!$B$6:$B$505,$A59)))</f>
        <v/>
      </c>
      <c r="P59" s="117" t="str">
        <f>IF($A59="","",IF($J59=0,"n.b.",SUMIFS(STG_ZPMW03!$BO$6:$BO$505,STG_ZPMW03!$B$6:$B$505,$A59)))</f>
        <v/>
      </c>
      <c r="Q59" s="117" t="str">
        <f>IF($A59="","",IF($J59=0,"n.b.",SUMIFS(STG_ZPMW03!$BP$6:$BP$505,STG_ZPMW03!$B$6:$B$505,$A59)))</f>
        <v/>
      </c>
      <c r="R59" s="117" t="str">
        <f>IF($A59="","",IF($J59=0,"n.b.",SUMIFS(STG_ZPMW03!$BQ$6:$BQ$505,STG_ZPMW03!$B$6:$B$505,$A59)))</f>
        <v/>
      </c>
      <c r="S59" s="117" t="str">
        <f>IF($A59="","",IF($J59=0,"n.b.",SUMIFS(STG_ZPMW03!$BR$6:$BR$505,STG_ZPMW03!$B$6:$B$505,$A59)))</f>
        <v/>
      </c>
      <c r="T59" s="117" t="str">
        <f>IF($A59="","",IF($J59=0,"n.b.",SUMIFS(STG_ZPMW03!$BS$6:$BS$505,STG_ZPMW03!$B$6:$B$505,$A59)))</f>
        <v/>
      </c>
      <c r="U59" s="117" t="str">
        <f>IF($A59="","",IF($J59=0,"n.b.",SUMIFS(STG_ZPMW03!$BT$6:$BT$505,STG_ZPMW03!$B$6:$B$505,$A59)))</f>
        <v/>
      </c>
      <c r="V59" s="117" t="str">
        <f>IF($A59="","",IF($J59=0,"n.b.",SUMIFS(STG_ZPMW03!$BU$6:$BU$505,STG_ZPMW03!$B$6:$B$505,$A59)))</f>
        <v/>
      </c>
      <c r="W59" s="117" t="str">
        <f>IF($A59="","",IF($J59=0,"n.b.",SUMIFS(STG_ZPMW03!$BW$6:$BW$505,STG_ZPMW03!$B$6:$B$505,$A59)))</f>
        <v/>
      </c>
      <c r="X59" s="117" t="str">
        <f>IF($A59="","",IF($J59=0,"n.b.",SUMIFS(STG_ZPMW03!$BY$6:$BY$505,STG_ZPMW03!$B$6:$B$505,$A59)))</f>
        <v/>
      </c>
      <c r="Y59" s="117" t="str">
        <f>IF($A59="","",IF($J59=0,"n.b.",SUMIFS(STG_ZPMW03!$CA$6:$CA$505,STG_ZPMW03!$B$6:$B$505,$A59)))</f>
        <v/>
      </c>
      <c r="Z59" s="117" t="str">
        <f>IF($A59="","",IF($J59=0,"n.b.",SUMIFS(STG_ZPMW03!$BV$6:$BV$505,STG_ZPMW03!$B$6:$B$505,$A59)))</f>
        <v/>
      </c>
      <c r="AA59" s="117" t="str">
        <f>IF($A59="","",IF($J59=0,"n.b.",SUMIFS(STG_ZPMW03!$BX$6:$BX$505,STG_ZPMW03!$B$6:$B$505,$A59)))</f>
        <v/>
      </c>
      <c r="AB59" s="117" t="str">
        <f>IF($A59="","",IF($J59=0,"n.b.",SUMIFS(STG_ZPMW03!$BZ$6:$BZ$505,STG_ZPMW03!$B$6:$B$505,$A59)))</f>
        <v/>
      </c>
      <c r="AC59" s="117" t="str">
        <f>IF($A59="","",IF($J59=0,"n.b.",SUMIFS(STG_ZPMW03!$CB$6:$CB$505,STG_ZPMW03!$B$6:$B$505,$A59)))</f>
        <v/>
      </c>
      <c r="AD59" s="117" t="str">
        <f>IF($A59="","",IF($J59=0,"n.b.",SUMIFS(STG_ZPMW03!$CC$6:$CC$505,STG_ZPMW03!$B$6:$B$505,$A59)))</f>
        <v/>
      </c>
      <c r="AE59" s="117" t="str">
        <f>IF($A59="","",IF($J59=0,"n.b.",SUMIFS(STG_ZPMW03!$CE$6:$CE$505,STG_ZPMW03!$B$6:$B$505,$A59)))</f>
        <v/>
      </c>
      <c r="AF59" s="117" t="str">
        <f>IF($A59="","",IF($J59=0,"n.b.",SUMIFS(STG_ZPMW03!$CG$6:$CG$505,STG_ZPMW03!$B$6:$B$505,$A59)))</f>
        <v/>
      </c>
      <c r="AG59" s="117" t="str">
        <f>IF($A59="","",IF($J59=0,"n.b.",SUMIFS(STG_ZPMW03!$CI$6:$CI$505,STG_ZPMW03!$B$6:$B$505,$A59)))</f>
        <v/>
      </c>
      <c r="AH59" s="117" t="str">
        <f>IF($A59="","",IF($J59=0,"n.b.",SUMIFS(STG_ZPMW03!$CK$6:$CK$505,STG_ZPMW03!$B$6:$B$505,$A59)))</f>
        <v/>
      </c>
      <c r="AI59" s="117" t="str">
        <f>IF($A59="","",IF($J59=0,"n.b.",SUMIFS(STG_ZPMW03!$CM$6:$CM$505,STG_ZPMW03!$B$6:$B$505,$A59)))</f>
        <v/>
      </c>
      <c r="AJ59" s="117" t="str">
        <f>IF($A59="","",IF($J59=0,"n.b.",SUMIFS(STG_ZPMW03!$CO$6:$CO$505,STG_ZPMW03!$B$6:$B$505,$A59)))</f>
        <v/>
      </c>
      <c r="AK59" s="117" t="str">
        <f>IF($A59="","",IF($J59=0,"n.b.",SUMIFS(STG_ZPMW03!$CQ$6:$CQ$505,STG_ZPMW03!$B$6:$B$505,$A59)))</f>
        <v/>
      </c>
      <c r="AL59" s="117" t="str">
        <f>IF($A59="","",IF($J59=0,"n.b.",SUMIFS(STG_ZPMW03!$CD$6:$CD$505,STG_ZPMW03!$B$6:$B$505,$A59)))</f>
        <v/>
      </c>
      <c r="AM59" s="117" t="str">
        <f>IF($A59="","",IF($J59=0,"n.b.",SUMIFS(STG_ZPMW03!$CF$6:$CF$505,STG_ZPMW03!$B$6:$B$505,$A59)))</f>
        <v/>
      </c>
      <c r="AN59" s="117" t="str">
        <f>IF($A59="","",IF($J59=0,"n.b.",SUMIFS(STG_ZPMW03!$CH$6:$CH$505,STG_ZPMW03!$B$6:$B$505,$A59)))</f>
        <v/>
      </c>
      <c r="AO59" s="117" t="str">
        <f>IF($A59="","",IF($J59=0,"n.b.",SUMIFS(STG_ZPMW03!$CJ$6:$CJ$505,STG_ZPMW03!$B$6:$B$505,$A59)))</f>
        <v/>
      </c>
      <c r="AP59" s="117" t="str">
        <f>IF($A59="","",IF($J59=0,"n.b.",SUMIFS(STG_ZPMW03!$CL$6:$CL$505,STG_ZPMW03!$B$6:$B$505,$A59)))</f>
        <v/>
      </c>
      <c r="AQ59" s="117" t="str">
        <f>IF($A59="","",IF($J59=0,"n.b.",SUMIFS(STG_ZPMW03!$CN$6:$CN$505,STG_ZPMW03!$B$6:$B$505,$A59)))</f>
        <v/>
      </c>
      <c r="AR59" s="117" t="str">
        <f>IF($A59="","",IF($J59=0,"n.b.",SUMIFS(STG_ZPMW03!$CP$6:$CP$505,STG_ZPMW03!$B$6:$B$505,$A59)))</f>
        <v/>
      </c>
      <c r="AS59" s="117" t="str">
        <f>IF($A59="","",IF($J59=0,"n.b.",SUMIFS(STG_ZPMW03!$CR$6:$CR$505,STG_ZPMW03!$B$6:$B$505,$A59)))</f>
        <v/>
      </c>
      <c r="AT59" s="117" t="str">
        <f>IF($A59="","",IF($K59=0,"n.b.",SUMIFS(STG_Woningetalage!$Q$6:$Q$505,STG_Woningetalage!$B$6:$B$505,$A59)))</f>
        <v/>
      </c>
      <c r="AU59" s="117" t="str">
        <f>IF($A59="","",IF($K59=0,"n.b.",SUMIFS(STG_Woningetalage!$R$6:$R$505,STG_Woningetalage!$B$6:$B$505,$A59)))</f>
        <v/>
      </c>
      <c r="AV59" s="117" t="str">
        <f>IF($A59="","",IF($K59=0,"n.b.",SUMIFS(STG_Woningetalage!$S$6:$S$505,STG_Woningetalage!$B$6:$B$505,$A59)))</f>
        <v/>
      </c>
      <c r="AW59" s="117" t="str">
        <f>IF($A59="","",IF($K59=0,"n.b.",SUMIFS(STG_Woningetalage!$T$6:$T$505,STG_Woningetalage!$B$6:$B$505,$A59)))</f>
        <v/>
      </c>
      <c r="AX59" s="117" t="str">
        <f>IF($A59="","",IF($K59=0,"n.b.",SUMIFS(STG_Woningetalage!$U$6:$U$505,STG_Woningetalage!$B$6:$B$505,$A59)))</f>
        <v/>
      </c>
      <c r="AY59" s="117" t="str">
        <f>IF($A59="","",IF($K59=0,"n.b.",SUMIFS(STG_Woningetalage!$V$6:$V$505,STG_Woningetalage!$B$6:$B$505,$A59)))</f>
        <v/>
      </c>
      <c r="AZ59" s="117" t="str">
        <f>IF($A59="","",IF($K59=0,"n.b.",SUMIFS(STG_Woningetalage!$W$6:$W$505,STG_Woningetalage!$B$6:$B$505,$A59)))</f>
        <v/>
      </c>
      <c r="BA59" s="117" t="str">
        <f>IF($A59="","",IF($K59=0,"n.b.",SUMIFS(STG_Woningetalage!$X$6:$X$505,STG_Woningetalage!$B$6:$B$505,$A59)))</f>
        <v/>
      </c>
      <c r="BB59" s="117" t="str">
        <f>IF($A59="","",IF($K59=0,"n.b.",SUMIFS(STG_Woningetalage!$Y$6:$Y$505,STG_Woningetalage!$B$6:$B$505,$A59)))</f>
        <v/>
      </c>
      <c r="BC59" s="117" t="str">
        <f>IF($A59="","",IF($K59=0,"n.b.",SUMIFS(STG_Woningetalage!$Z$6:$Z$505,STG_Woningetalage!$B$6:$B$505,$A59)))</f>
        <v/>
      </c>
      <c r="BD59" s="117" t="str">
        <f>IF($A59="","",IF($K59=0,"n.b.",SUMIFS(STG_Woningetalage!$AA$6:$AA$505,STG_Woningetalage!$B$6:$B$505,$A59)))</f>
        <v/>
      </c>
      <c r="BE59" s="117" t="str">
        <f>IF($A59="","",IF($K59=0,"n.b.",SUMIFS(STG_Woningetalage!$AB$6:$AB$505,STG_Woningetalage!$B$6:$B$505,$A59)))</f>
        <v/>
      </c>
      <c r="BF59" s="117" t="str">
        <f>IF($A59="","",IF($K59=0,"n.b.",SUMIFS(STG_Woningetalage!$AC$6:$AC$505,STG_Woningetalage!$B$6:$B$505,$A59)))</f>
        <v/>
      </c>
      <c r="BG59" s="117" t="str">
        <f>IF($A59="","",IF($K59=0,"n.b.",SUMIFS(STG_Woningetalage!$AD$6:$AD$505,STG_Woningetalage!$B$6:$B$505,$A59)))</f>
        <v/>
      </c>
      <c r="BH59" s="117" t="str">
        <f>IF($A59="","",IF($K59=0,"n.b.",SUMIFS(STG_Woningetalage!$AE$6:$AE$505,STG_Woningetalage!$B$6:$B$505,$A59)))</f>
        <v/>
      </c>
      <c r="BI59" s="117" t="str">
        <f>IF($A59="","",IF($K59=0,"n.b.",SUMIFS(STG_Woningetalage!$AF$6:$AF$505,STG_Woningetalage!$B$6:$B$505,$A59)))</f>
        <v/>
      </c>
      <c r="BJ59" s="117" t="str">
        <f>IF($A59="","",IF($K59=0,"n.b.",SUMIFS(STG_Woningetalage!$AG$6:$AG$505,STG_Woningetalage!$B$6:$B$505,$A59)))</f>
        <v/>
      </c>
      <c r="BK59" s="117" t="str">
        <f>IF($A59="","",IF($K59=0,"n.b.",SUMIFS(STG_Woningetalage!$AH$6:$AH$505,STG_Woningetalage!$B$6:$B$505,$A59)))</f>
        <v/>
      </c>
      <c r="BL59" s="117" t="str">
        <f>IF($A59="","",IF($K59=0,"n.b.",SUMIFS(STG_Woningetalage!$AI$6:$AI$505,STG_Woningetalage!$B$6:$B$505,$A59)))</f>
        <v/>
      </c>
      <c r="BM59" s="117" t="str">
        <f>IF($A59="","",IF($K59=0,"n.b.",SUMIFS(STG_Woningetalage!$AJ$6:$AJ$505,STG_Woningetalage!$B$6:$B$505,$A59)))</f>
        <v/>
      </c>
      <c r="BN59" s="117" t="str">
        <f>IF($A59="","",IF($K59=0,"n.b.",SUMIFS(STG_Woningetalage!$AK$6:$AK$505,STG_Woningetalage!$B$6:$B$505,$A59)))</f>
        <v/>
      </c>
      <c r="BO59" s="117" t="str">
        <f>IF($A59="","",IF($K59=0,"n.b.",SUMIFS(STG_Woningetalage!$AL$6:$AL$505,STG_Woningetalage!$B$6:$B$505,$A59)))</f>
        <v/>
      </c>
      <c r="BP59" s="117" t="str">
        <f>IF($A59="","",IF($K59=0,"n.b.",SUMIFS(STG_Woningetalage!$AM$6:$AM$505,STG_Woningetalage!$B$6:$B$505,$A59)))</f>
        <v/>
      </c>
      <c r="BQ59" s="117" t="str">
        <f>IF($A59="","",IF($K59=0,"n.b.",SUMIFS(STG_Woningetalage!$BE$6:$BE$505,STG_Woningetalage!$B$6:$B$505,$A59)))</f>
        <v/>
      </c>
      <c r="BR59" s="117" t="str">
        <f>IF($A59="","",IF($K59=0,"n.b.",SUMIFS(STG_Woningetalage!$BF$6:$BF$505,STG_Woningetalage!$B$6:$B$505,$A59)))</f>
        <v/>
      </c>
      <c r="BS59" s="117" t="str">
        <f>IF($A59="","",IF($K59=0,"n.b.",SUMIFS(STG_Woningetalage!$BG$6:$BG$505,STG_Woningetalage!$B$6:$B$505,$A59)))</f>
        <v/>
      </c>
      <c r="BT59" s="117" t="str">
        <f>IF($A59="","",IF($K59=0,"n.b.",SUMIFS(STG_Woningetalage!$BH$6:$BH$505,STG_Woningetalage!$B$6:$B$505,$A59)))</f>
        <v/>
      </c>
      <c r="BU59" s="117" t="str">
        <f>IF($A59="","",IF($K59=0,"n.b.",SUMIFS(STG_Woningetalage!$BI$6:$BI$505,STG_Woningetalage!$B$6:$B$505,$A59)))</f>
        <v/>
      </c>
      <c r="BV59" s="117" t="str">
        <f>IF($A59="","",IF($K59=0,"n.b.",SUMIFS(STG_Woningetalage!$BJ$6:$BJ$505,STG_Woningetalage!$B$6:$B$505,$A59)))</f>
        <v/>
      </c>
      <c r="BW59" s="117" t="str">
        <f>IF($A59="","",IF($K59=0,"n.b.",SUMIFS(STG_Woningetalage!$AR$6:$AR$505,STG_Woningetalage!$B$6:$B$505,$A59)))</f>
        <v/>
      </c>
      <c r="BX59" s="117" t="str">
        <f>IF($A59="","",IF($K59=0,"n.b.",SUMIFS(STG_Woningetalage!$AS$6:$AS$505,STG_Woningetalage!$B$6:$B$505,$A59)))</f>
        <v/>
      </c>
      <c r="BY59" s="117" t="str">
        <f>IF($A59="","",IF($K59=0,"n.b.",SUMIFS(STG_Woningetalage!$AN$6:$AN$505,STG_Woningetalage!$B$6:$B$505,$A59)))</f>
        <v/>
      </c>
      <c r="BZ59" s="117" t="str">
        <f>IF($A59="","",IF($K59=0,"n.b.",SUMIFS(STG_Woningetalage!$AO$6:$AO$505,STG_Woningetalage!$B$6:$B$505,$A59)))</f>
        <v/>
      </c>
      <c r="CA59" s="117" t="str">
        <f>IF($A59="","",IF($K59=0,"n.b.",SUMIFS(STG_Woningetalage!$AP$6:$AP$505,STG_Woningetalage!$B$6:$B$505,$A59)))</f>
        <v/>
      </c>
      <c r="CB59" s="117" t="str">
        <f>IF($A59="","",IF($K59=0,"n.b.",SUMIFS(STG_Woningetalage!$AQ$6:$AQ$505,STG_Woningetalage!$B$6:$B$505,$A59)))</f>
        <v/>
      </c>
      <c r="CC59" s="117" t="str">
        <f>IF($A59="","",IF($K59=0,"n.b.",SUMIFS(STG_Woningetalage!$AU$6:$AU$505,STG_Woningetalage!$B$6:$B$505,$A59)))</f>
        <v/>
      </c>
      <c r="CD59" s="92" t="str">
        <f>IF($A59="","",IFERROR(INDEX(STG_ZPMW03!$L$6:$L$505,MATCH($A59,STG_ZPMW03!$B$6:$B$505,0)),"n.b."))</f>
        <v/>
      </c>
      <c r="CE59" s="92" t="str">
        <f>IF($A59="","",IFERROR(INDEX(STG_ZPMW03!$K$6:$K$505,MATCH($A59,STG_ZPMW03!$B$6:$B$505,0)),"n.b."))</f>
        <v/>
      </c>
      <c r="CF59" s="92" t="str">
        <f>IF($A59="","",IFERROR(INDEX(STG_ZPMW03!$BH$6:$BH$505,MATCH($A59,STG_ZPMW03!$B$6:$B$505,0)),"n.b."))</f>
        <v/>
      </c>
      <c r="CG59" s="92" t="str">
        <f>IF($A59="","",IFERROR(INDEX(STG_ZPMW03!$BI$6:$BI$505,MATCH($A59,STG_ZPMW03!$B$6:$B$505,0)),"n.b."))</f>
        <v/>
      </c>
      <c r="CH59" s="92" t="str">
        <f>IF($A59="","",IFERROR(INDEX(STG_ZPMW03!$BJ$6:$BJ$505,MATCH($A59,STG_ZPMW03!$B$6:$B$505,0)),"n.b."))</f>
        <v/>
      </c>
      <c r="CI59" s="92" t="str">
        <f>IF($A59="","",IFERROR(INDEX(STG_ZPMW03!$BF$6:$BF$505,MATCH($A59,STG_ZPMW03!$B$6:$B$505,0)),"n.b."))</f>
        <v/>
      </c>
      <c r="CJ59" s="92" t="str">
        <f>IF($A59="","",IFERROR(INDEX(STG_ZPMW03!$BG$6:$BG$505,MATCH($A59,STG_ZPMW03!$B$6:$B$505,0)),"n.b."))</f>
        <v/>
      </c>
      <c r="CK59" s="92" t="str">
        <f>IF($A59="","",IFERROR(INDEX(STG_ZPMW03!$H$6:$H$505,MATCH($A59,STG_ZPMW03!$B$6:$B$505,0)),"n.b."))</f>
        <v/>
      </c>
      <c r="CL59" s="92" t="str">
        <f>IF($A59="","",IFERROR(INDEX(STG_ZPMW03!$E$6:$E$505,MATCH($A59,STG_ZPMW03!$B$6:$B$505,0)),"n.b."))</f>
        <v/>
      </c>
      <c r="CM59" s="92" t="str">
        <f>IF($A59="","",IFERROR(INDEX(STG_ZPMW03!$G$6:$G$505,MATCH($A59,STG_ZPMW03!$B$6:$B$505,0)),"n.b."))</f>
        <v/>
      </c>
      <c r="CN59" s="92" t="str">
        <f>IF($A59="","",IFERROR(INDEX(STG_Woningetalage!$N$6:$N$505,MATCH($A59,STG_Woningetalage!$B$6:$B$505,0)),"n.b."))</f>
        <v/>
      </c>
      <c r="CO59" s="92" t="str">
        <f>IF($A59="","",IFERROR(INDEX(STG_Woningetalage!$P$6:$P$505,MATCH($A59,STG_Woningetalage!$B$6:$B$505,0)),"n.b."))</f>
        <v/>
      </c>
      <c r="CP59" s="118" t="str">
        <f>IF($A59="","",IF(AND(ISNUMBER(AT59),ISNUMBER(F59)),IF(F59&gt;0,AT59/(F59/100),"n.b."),"n.b."))</f>
        <v/>
      </c>
      <c r="CQ59" s="116" t="str">
        <f>IF($A59="","",IF(ISNUMBER(Q59),IF(Q59&lt;0,1,0),0))</f>
        <v/>
      </c>
      <c r="CR59" s="116" t="str">
        <f>IF(CQ59=1,COUNTIF($CQ$6:CQ59,1),"")</f>
        <v/>
      </c>
      <c r="CS59" s="116" t="str">
        <f>IF(AND($A59&lt;&gt;"",$J59=0),COUNTIFS($A$6:$A59,"?*",$J$6:$J59,0),"")</f>
        <v/>
      </c>
      <c r="CT59" s="119" t="str">
        <f>IF($A59="","",IF(AND(ISNUMBER(Q59),ISNUMBER(P59)),IF(P59&lt;&gt;0,Q59/P59,"n.b."),"n.b."))</f>
        <v/>
      </c>
    </row>
    <row r="60">
      <c r="A60" s="92" t="str">
        <f>IF(Mapping!$A59="","",Mapping!$A59)</f>
        <v/>
      </c>
      <c r="B60" s="92" t="str">
        <f>IF(Mapping!$B59="","",Mapping!$B59)</f>
        <v/>
      </c>
      <c r="C60" s="92" t="str">
        <f>IF(Mapping!$C59="","",Mapping!$C59)</f>
        <v/>
      </c>
      <c r="D60" s="92" t="str">
        <f>IF(Mapping!$F59="","",Mapping!$F59)</f>
        <v/>
      </c>
      <c r="E60" s="92" t="str">
        <f>IF(Mapping!$H59="","",Mapping!$H59)</f>
        <v/>
      </c>
      <c r="F60" s="92" t="str">
        <f>IF(Mapping!$E59="","",Mapping!$E59)</f>
        <v/>
      </c>
      <c r="G60" s="92" t="str">
        <f>IF(Mapping!$G59="","",Mapping!$G59)</f>
        <v/>
      </c>
      <c r="H60" s="92" t="str">
        <f>IF(Mapping!$D59="","",Mapping!$D59)</f>
        <v/>
      </c>
      <c r="I60" s="92" t="str">
        <f>IF($A60="","",IFERROR(INDEX(STG_ZPMW03!$C$6:$C$505,MATCH($A60,STG_ZPMW03!$B$6:$B$505,0)),"n.b."))</f>
        <v/>
      </c>
      <c r="J60" s="116" t="str">
        <f>IF($A60="","",COUNTIF(STG_ZPMW03!$B$6:$B$505,$A60))</f>
        <v/>
      </c>
      <c r="K60" s="116" t="str">
        <f>IF($A60="","",COUNTIF(STG_Woningetalage!$B$6:$B$505,$A60))</f>
        <v/>
      </c>
      <c r="L60" s="117" t="str">
        <f>IF($A60="","",IF($J60=0,"n.b.",SUMIFS(STG_ZPMW03!$BK$6:$BK$505,STG_ZPMW03!$B$6:$B$505,$A60)))</f>
        <v/>
      </c>
      <c r="M60" s="117" t="str">
        <f>IF($A60="","",IF($J60=0,"n.b.",SUMIFS(STG_ZPMW03!$BL$6:$BL$505,STG_ZPMW03!$B$6:$B$505,$A60)))</f>
        <v/>
      </c>
      <c r="N60" s="117" t="str">
        <f>IF($A60="","",IF($J60=0,"n.b.",SUMIFS(STG_ZPMW03!$BM$6:$BM$505,STG_ZPMW03!$B$6:$B$505,$A60)))</f>
        <v/>
      </c>
      <c r="O60" s="117" t="str">
        <f>IF($A60="","",IF($J60=0,"n.b.",SUMIFS(STG_ZPMW03!$BN$6:$BN$505,STG_ZPMW03!$B$6:$B$505,$A60)))</f>
        <v/>
      </c>
      <c r="P60" s="117" t="str">
        <f>IF($A60="","",IF($J60=0,"n.b.",SUMIFS(STG_ZPMW03!$BO$6:$BO$505,STG_ZPMW03!$B$6:$B$505,$A60)))</f>
        <v/>
      </c>
      <c r="Q60" s="117" t="str">
        <f>IF($A60="","",IF($J60=0,"n.b.",SUMIFS(STG_ZPMW03!$BP$6:$BP$505,STG_ZPMW03!$B$6:$B$505,$A60)))</f>
        <v/>
      </c>
      <c r="R60" s="117" t="str">
        <f>IF($A60="","",IF($J60=0,"n.b.",SUMIFS(STG_ZPMW03!$BQ$6:$BQ$505,STG_ZPMW03!$B$6:$B$505,$A60)))</f>
        <v/>
      </c>
      <c r="S60" s="117" t="str">
        <f>IF($A60="","",IF($J60=0,"n.b.",SUMIFS(STG_ZPMW03!$BR$6:$BR$505,STG_ZPMW03!$B$6:$B$505,$A60)))</f>
        <v/>
      </c>
      <c r="T60" s="117" t="str">
        <f>IF($A60="","",IF($J60=0,"n.b.",SUMIFS(STG_ZPMW03!$BS$6:$BS$505,STG_ZPMW03!$B$6:$B$505,$A60)))</f>
        <v/>
      </c>
      <c r="U60" s="117" t="str">
        <f>IF($A60="","",IF($J60=0,"n.b.",SUMIFS(STG_ZPMW03!$BT$6:$BT$505,STG_ZPMW03!$B$6:$B$505,$A60)))</f>
        <v/>
      </c>
      <c r="V60" s="117" t="str">
        <f>IF($A60="","",IF($J60=0,"n.b.",SUMIFS(STG_ZPMW03!$BU$6:$BU$505,STG_ZPMW03!$B$6:$B$505,$A60)))</f>
        <v/>
      </c>
      <c r="W60" s="117" t="str">
        <f>IF($A60="","",IF($J60=0,"n.b.",SUMIFS(STG_ZPMW03!$BW$6:$BW$505,STG_ZPMW03!$B$6:$B$505,$A60)))</f>
        <v/>
      </c>
      <c r="X60" s="117" t="str">
        <f>IF($A60="","",IF($J60=0,"n.b.",SUMIFS(STG_ZPMW03!$BY$6:$BY$505,STG_ZPMW03!$B$6:$B$505,$A60)))</f>
        <v/>
      </c>
      <c r="Y60" s="117" t="str">
        <f>IF($A60="","",IF($J60=0,"n.b.",SUMIFS(STG_ZPMW03!$CA$6:$CA$505,STG_ZPMW03!$B$6:$B$505,$A60)))</f>
        <v/>
      </c>
      <c r="Z60" s="117" t="str">
        <f>IF($A60="","",IF($J60=0,"n.b.",SUMIFS(STG_ZPMW03!$BV$6:$BV$505,STG_ZPMW03!$B$6:$B$505,$A60)))</f>
        <v/>
      </c>
      <c r="AA60" s="117" t="str">
        <f>IF($A60="","",IF($J60=0,"n.b.",SUMIFS(STG_ZPMW03!$BX$6:$BX$505,STG_ZPMW03!$B$6:$B$505,$A60)))</f>
        <v/>
      </c>
      <c r="AB60" s="117" t="str">
        <f>IF($A60="","",IF($J60=0,"n.b.",SUMIFS(STG_ZPMW03!$BZ$6:$BZ$505,STG_ZPMW03!$B$6:$B$505,$A60)))</f>
        <v/>
      </c>
      <c r="AC60" s="117" t="str">
        <f>IF($A60="","",IF($J60=0,"n.b.",SUMIFS(STG_ZPMW03!$CB$6:$CB$505,STG_ZPMW03!$B$6:$B$505,$A60)))</f>
        <v/>
      </c>
      <c r="AD60" s="117" t="str">
        <f>IF($A60="","",IF($J60=0,"n.b.",SUMIFS(STG_ZPMW03!$CC$6:$CC$505,STG_ZPMW03!$B$6:$B$505,$A60)))</f>
        <v/>
      </c>
      <c r="AE60" s="117" t="str">
        <f>IF($A60="","",IF($J60=0,"n.b.",SUMIFS(STG_ZPMW03!$CE$6:$CE$505,STG_ZPMW03!$B$6:$B$505,$A60)))</f>
        <v/>
      </c>
      <c r="AF60" s="117" t="str">
        <f>IF($A60="","",IF($J60=0,"n.b.",SUMIFS(STG_ZPMW03!$CG$6:$CG$505,STG_ZPMW03!$B$6:$B$505,$A60)))</f>
        <v/>
      </c>
      <c r="AG60" s="117" t="str">
        <f>IF($A60="","",IF($J60=0,"n.b.",SUMIFS(STG_ZPMW03!$CI$6:$CI$505,STG_ZPMW03!$B$6:$B$505,$A60)))</f>
        <v/>
      </c>
      <c r="AH60" s="117" t="str">
        <f>IF($A60="","",IF($J60=0,"n.b.",SUMIFS(STG_ZPMW03!$CK$6:$CK$505,STG_ZPMW03!$B$6:$B$505,$A60)))</f>
        <v/>
      </c>
      <c r="AI60" s="117" t="str">
        <f>IF($A60="","",IF($J60=0,"n.b.",SUMIFS(STG_ZPMW03!$CM$6:$CM$505,STG_ZPMW03!$B$6:$B$505,$A60)))</f>
        <v/>
      </c>
      <c r="AJ60" s="117" t="str">
        <f>IF($A60="","",IF($J60=0,"n.b.",SUMIFS(STG_ZPMW03!$CO$6:$CO$505,STG_ZPMW03!$B$6:$B$505,$A60)))</f>
        <v/>
      </c>
      <c r="AK60" s="117" t="str">
        <f>IF($A60="","",IF($J60=0,"n.b.",SUMIFS(STG_ZPMW03!$CQ$6:$CQ$505,STG_ZPMW03!$B$6:$B$505,$A60)))</f>
        <v/>
      </c>
      <c r="AL60" s="117" t="str">
        <f>IF($A60="","",IF($J60=0,"n.b.",SUMIFS(STG_ZPMW03!$CD$6:$CD$505,STG_ZPMW03!$B$6:$B$505,$A60)))</f>
        <v/>
      </c>
      <c r="AM60" s="117" t="str">
        <f>IF($A60="","",IF($J60=0,"n.b.",SUMIFS(STG_ZPMW03!$CF$6:$CF$505,STG_ZPMW03!$B$6:$B$505,$A60)))</f>
        <v/>
      </c>
      <c r="AN60" s="117" t="str">
        <f>IF($A60="","",IF($J60=0,"n.b.",SUMIFS(STG_ZPMW03!$CH$6:$CH$505,STG_ZPMW03!$B$6:$B$505,$A60)))</f>
        <v/>
      </c>
      <c r="AO60" s="117" t="str">
        <f>IF($A60="","",IF($J60=0,"n.b.",SUMIFS(STG_ZPMW03!$CJ$6:$CJ$505,STG_ZPMW03!$B$6:$B$505,$A60)))</f>
        <v/>
      </c>
      <c r="AP60" s="117" t="str">
        <f>IF($A60="","",IF($J60=0,"n.b.",SUMIFS(STG_ZPMW03!$CL$6:$CL$505,STG_ZPMW03!$B$6:$B$505,$A60)))</f>
        <v/>
      </c>
      <c r="AQ60" s="117" t="str">
        <f>IF($A60="","",IF($J60=0,"n.b.",SUMIFS(STG_ZPMW03!$CN$6:$CN$505,STG_ZPMW03!$B$6:$B$505,$A60)))</f>
        <v/>
      </c>
      <c r="AR60" s="117" t="str">
        <f>IF($A60="","",IF($J60=0,"n.b.",SUMIFS(STG_ZPMW03!$CP$6:$CP$505,STG_ZPMW03!$B$6:$B$505,$A60)))</f>
        <v/>
      </c>
      <c r="AS60" s="117" t="str">
        <f>IF($A60="","",IF($J60=0,"n.b.",SUMIFS(STG_ZPMW03!$CR$6:$CR$505,STG_ZPMW03!$B$6:$B$505,$A60)))</f>
        <v/>
      </c>
      <c r="AT60" s="117" t="str">
        <f>IF($A60="","",IF($K60=0,"n.b.",SUMIFS(STG_Woningetalage!$Q$6:$Q$505,STG_Woningetalage!$B$6:$B$505,$A60)))</f>
        <v/>
      </c>
      <c r="AU60" s="117" t="str">
        <f>IF($A60="","",IF($K60=0,"n.b.",SUMIFS(STG_Woningetalage!$R$6:$R$505,STG_Woningetalage!$B$6:$B$505,$A60)))</f>
        <v/>
      </c>
      <c r="AV60" s="117" t="str">
        <f>IF($A60="","",IF($K60=0,"n.b.",SUMIFS(STG_Woningetalage!$S$6:$S$505,STG_Woningetalage!$B$6:$B$505,$A60)))</f>
        <v/>
      </c>
      <c r="AW60" s="117" t="str">
        <f>IF($A60="","",IF($K60=0,"n.b.",SUMIFS(STG_Woningetalage!$T$6:$T$505,STG_Woningetalage!$B$6:$B$505,$A60)))</f>
        <v/>
      </c>
      <c r="AX60" s="117" t="str">
        <f>IF($A60="","",IF($K60=0,"n.b.",SUMIFS(STG_Woningetalage!$U$6:$U$505,STG_Woningetalage!$B$6:$B$505,$A60)))</f>
        <v/>
      </c>
      <c r="AY60" s="117" t="str">
        <f>IF($A60="","",IF($K60=0,"n.b.",SUMIFS(STG_Woningetalage!$V$6:$V$505,STG_Woningetalage!$B$6:$B$505,$A60)))</f>
        <v/>
      </c>
      <c r="AZ60" s="117" t="str">
        <f>IF($A60="","",IF($K60=0,"n.b.",SUMIFS(STG_Woningetalage!$W$6:$W$505,STG_Woningetalage!$B$6:$B$505,$A60)))</f>
        <v/>
      </c>
      <c r="BA60" s="117" t="str">
        <f>IF($A60="","",IF($K60=0,"n.b.",SUMIFS(STG_Woningetalage!$X$6:$X$505,STG_Woningetalage!$B$6:$B$505,$A60)))</f>
        <v/>
      </c>
      <c r="BB60" s="117" t="str">
        <f>IF($A60="","",IF($K60=0,"n.b.",SUMIFS(STG_Woningetalage!$Y$6:$Y$505,STG_Woningetalage!$B$6:$B$505,$A60)))</f>
        <v/>
      </c>
      <c r="BC60" s="117" t="str">
        <f>IF($A60="","",IF($K60=0,"n.b.",SUMIFS(STG_Woningetalage!$Z$6:$Z$505,STG_Woningetalage!$B$6:$B$505,$A60)))</f>
        <v/>
      </c>
      <c r="BD60" s="117" t="str">
        <f>IF($A60="","",IF($K60=0,"n.b.",SUMIFS(STG_Woningetalage!$AA$6:$AA$505,STG_Woningetalage!$B$6:$B$505,$A60)))</f>
        <v/>
      </c>
      <c r="BE60" s="117" t="str">
        <f>IF($A60="","",IF($K60=0,"n.b.",SUMIFS(STG_Woningetalage!$AB$6:$AB$505,STG_Woningetalage!$B$6:$B$505,$A60)))</f>
        <v/>
      </c>
      <c r="BF60" s="117" t="str">
        <f>IF($A60="","",IF($K60=0,"n.b.",SUMIFS(STG_Woningetalage!$AC$6:$AC$505,STG_Woningetalage!$B$6:$B$505,$A60)))</f>
        <v/>
      </c>
      <c r="BG60" s="117" t="str">
        <f>IF($A60="","",IF($K60=0,"n.b.",SUMIFS(STG_Woningetalage!$AD$6:$AD$505,STG_Woningetalage!$B$6:$B$505,$A60)))</f>
        <v/>
      </c>
      <c r="BH60" s="117" t="str">
        <f>IF($A60="","",IF($K60=0,"n.b.",SUMIFS(STG_Woningetalage!$AE$6:$AE$505,STG_Woningetalage!$B$6:$B$505,$A60)))</f>
        <v/>
      </c>
      <c r="BI60" s="117" t="str">
        <f>IF($A60="","",IF($K60=0,"n.b.",SUMIFS(STG_Woningetalage!$AF$6:$AF$505,STG_Woningetalage!$B$6:$B$505,$A60)))</f>
        <v/>
      </c>
      <c r="BJ60" s="117" t="str">
        <f>IF($A60="","",IF($K60=0,"n.b.",SUMIFS(STG_Woningetalage!$AG$6:$AG$505,STG_Woningetalage!$B$6:$B$505,$A60)))</f>
        <v/>
      </c>
      <c r="BK60" s="117" t="str">
        <f>IF($A60="","",IF($K60=0,"n.b.",SUMIFS(STG_Woningetalage!$AH$6:$AH$505,STG_Woningetalage!$B$6:$B$505,$A60)))</f>
        <v/>
      </c>
      <c r="BL60" s="117" t="str">
        <f>IF($A60="","",IF($K60=0,"n.b.",SUMIFS(STG_Woningetalage!$AI$6:$AI$505,STG_Woningetalage!$B$6:$B$505,$A60)))</f>
        <v/>
      </c>
      <c r="BM60" s="117" t="str">
        <f>IF($A60="","",IF($K60=0,"n.b.",SUMIFS(STG_Woningetalage!$AJ$6:$AJ$505,STG_Woningetalage!$B$6:$B$505,$A60)))</f>
        <v/>
      </c>
      <c r="BN60" s="117" t="str">
        <f>IF($A60="","",IF($K60=0,"n.b.",SUMIFS(STG_Woningetalage!$AK$6:$AK$505,STG_Woningetalage!$B$6:$B$505,$A60)))</f>
        <v/>
      </c>
      <c r="BO60" s="117" t="str">
        <f>IF($A60="","",IF($K60=0,"n.b.",SUMIFS(STG_Woningetalage!$AL$6:$AL$505,STG_Woningetalage!$B$6:$B$505,$A60)))</f>
        <v/>
      </c>
      <c r="BP60" s="117" t="str">
        <f>IF($A60="","",IF($K60=0,"n.b.",SUMIFS(STG_Woningetalage!$AM$6:$AM$505,STG_Woningetalage!$B$6:$B$505,$A60)))</f>
        <v/>
      </c>
      <c r="BQ60" s="117" t="str">
        <f>IF($A60="","",IF($K60=0,"n.b.",SUMIFS(STG_Woningetalage!$BE$6:$BE$505,STG_Woningetalage!$B$6:$B$505,$A60)))</f>
        <v/>
      </c>
      <c r="BR60" s="117" t="str">
        <f>IF($A60="","",IF($K60=0,"n.b.",SUMIFS(STG_Woningetalage!$BF$6:$BF$505,STG_Woningetalage!$B$6:$B$505,$A60)))</f>
        <v/>
      </c>
      <c r="BS60" s="117" t="str">
        <f>IF($A60="","",IF($K60=0,"n.b.",SUMIFS(STG_Woningetalage!$BG$6:$BG$505,STG_Woningetalage!$B$6:$B$505,$A60)))</f>
        <v/>
      </c>
      <c r="BT60" s="117" t="str">
        <f>IF($A60="","",IF($K60=0,"n.b.",SUMIFS(STG_Woningetalage!$BH$6:$BH$505,STG_Woningetalage!$B$6:$B$505,$A60)))</f>
        <v/>
      </c>
      <c r="BU60" s="117" t="str">
        <f>IF($A60="","",IF($K60=0,"n.b.",SUMIFS(STG_Woningetalage!$BI$6:$BI$505,STG_Woningetalage!$B$6:$B$505,$A60)))</f>
        <v/>
      </c>
      <c r="BV60" s="117" t="str">
        <f>IF($A60="","",IF($K60=0,"n.b.",SUMIFS(STG_Woningetalage!$BJ$6:$BJ$505,STG_Woningetalage!$B$6:$B$505,$A60)))</f>
        <v/>
      </c>
      <c r="BW60" s="117" t="str">
        <f>IF($A60="","",IF($K60=0,"n.b.",SUMIFS(STG_Woningetalage!$AR$6:$AR$505,STG_Woningetalage!$B$6:$B$505,$A60)))</f>
        <v/>
      </c>
      <c r="BX60" s="117" t="str">
        <f>IF($A60="","",IF($K60=0,"n.b.",SUMIFS(STG_Woningetalage!$AS$6:$AS$505,STG_Woningetalage!$B$6:$B$505,$A60)))</f>
        <v/>
      </c>
      <c r="BY60" s="117" t="str">
        <f>IF($A60="","",IF($K60=0,"n.b.",SUMIFS(STG_Woningetalage!$AN$6:$AN$505,STG_Woningetalage!$B$6:$B$505,$A60)))</f>
        <v/>
      </c>
      <c r="BZ60" s="117" t="str">
        <f>IF($A60="","",IF($K60=0,"n.b.",SUMIFS(STG_Woningetalage!$AO$6:$AO$505,STG_Woningetalage!$B$6:$B$505,$A60)))</f>
        <v/>
      </c>
      <c r="CA60" s="117" t="str">
        <f>IF($A60="","",IF($K60=0,"n.b.",SUMIFS(STG_Woningetalage!$AP$6:$AP$505,STG_Woningetalage!$B$6:$B$505,$A60)))</f>
        <v/>
      </c>
      <c r="CB60" s="117" t="str">
        <f>IF($A60="","",IF($K60=0,"n.b.",SUMIFS(STG_Woningetalage!$AQ$6:$AQ$505,STG_Woningetalage!$B$6:$B$505,$A60)))</f>
        <v/>
      </c>
      <c r="CC60" s="117" t="str">
        <f>IF($A60="","",IF($K60=0,"n.b.",SUMIFS(STG_Woningetalage!$AU$6:$AU$505,STG_Woningetalage!$B$6:$B$505,$A60)))</f>
        <v/>
      </c>
      <c r="CD60" s="92" t="str">
        <f>IF($A60="","",IFERROR(INDEX(STG_ZPMW03!$L$6:$L$505,MATCH($A60,STG_ZPMW03!$B$6:$B$505,0)),"n.b."))</f>
        <v/>
      </c>
      <c r="CE60" s="92" t="str">
        <f>IF($A60="","",IFERROR(INDEX(STG_ZPMW03!$K$6:$K$505,MATCH($A60,STG_ZPMW03!$B$6:$B$505,0)),"n.b."))</f>
        <v/>
      </c>
      <c r="CF60" s="92" t="str">
        <f>IF($A60="","",IFERROR(INDEX(STG_ZPMW03!$BH$6:$BH$505,MATCH($A60,STG_ZPMW03!$B$6:$B$505,0)),"n.b."))</f>
        <v/>
      </c>
      <c r="CG60" s="92" t="str">
        <f>IF($A60="","",IFERROR(INDEX(STG_ZPMW03!$BI$6:$BI$505,MATCH($A60,STG_ZPMW03!$B$6:$B$505,0)),"n.b."))</f>
        <v/>
      </c>
      <c r="CH60" s="92" t="str">
        <f>IF($A60="","",IFERROR(INDEX(STG_ZPMW03!$BJ$6:$BJ$505,MATCH($A60,STG_ZPMW03!$B$6:$B$505,0)),"n.b."))</f>
        <v/>
      </c>
      <c r="CI60" s="92" t="str">
        <f>IF($A60="","",IFERROR(INDEX(STG_ZPMW03!$BF$6:$BF$505,MATCH($A60,STG_ZPMW03!$B$6:$B$505,0)),"n.b."))</f>
        <v/>
      </c>
      <c r="CJ60" s="92" t="str">
        <f>IF($A60="","",IFERROR(INDEX(STG_ZPMW03!$BG$6:$BG$505,MATCH($A60,STG_ZPMW03!$B$6:$B$505,0)),"n.b."))</f>
        <v/>
      </c>
      <c r="CK60" s="92" t="str">
        <f>IF($A60="","",IFERROR(INDEX(STG_ZPMW03!$H$6:$H$505,MATCH($A60,STG_ZPMW03!$B$6:$B$505,0)),"n.b."))</f>
        <v/>
      </c>
      <c r="CL60" s="92" t="str">
        <f>IF($A60="","",IFERROR(INDEX(STG_ZPMW03!$E$6:$E$505,MATCH($A60,STG_ZPMW03!$B$6:$B$505,0)),"n.b."))</f>
        <v/>
      </c>
      <c r="CM60" s="92" t="str">
        <f>IF($A60="","",IFERROR(INDEX(STG_ZPMW03!$G$6:$G$505,MATCH($A60,STG_ZPMW03!$B$6:$B$505,0)),"n.b."))</f>
        <v/>
      </c>
      <c r="CN60" s="92" t="str">
        <f>IF($A60="","",IFERROR(INDEX(STG_Woningetalage!$N$6:$N$505,MATCH($A60,STG_Woningetalage!$B$6:$B$505,0)),"n.b."))</f>
        <v/>
      </c>
      <c r="CO60" s="92" t="str">
        <f>IF($A60="","",IFERROR(INDEX(STG_Woningetalage!$P$6:$P$505,MATCH($A60,STG_Woningetalage!$B$6:$B$505,0)),"n.b."))</f>
        <v/>
      </c>
      <c r="CP60" s="118" t="str">
        <f>IF($A60="","",IF(AND(ISNUMBER(AT60),ISNUMBER(F60)),IF(F60&gt;0,AT60/(F60/100),"n.b."),"n.b."))</f>
        <v/>
      </c>
      <c r="CQ60" s="116" t="str">
        <f>IF($A60="","",IF(ISNUMBER(Q60),IF(Q60&lt;0,1,0),0))</f>
        <v/>
      </c>
      <c r="CR60" s="116" t="str">
        <f>IF(CQ60=1,COUNTIF($CQ$6:CQ60,1),"")</f>
        <v/>
      </c>
      <c r="CS60" s="116" t="str">
        <f>IF(AND($A60&lt;&gt;"",$J60=0),COUNTIFS($A$6:$A60,"?*",$J$6:$J60,0),"")</f>
        <v/>
      </c>
      <c r="CT60" s="119" t="str">
        <f>IF($A60="","",IF(AND(ISNUMBER(Q60),ISNUMBER(P60)),IF(P60&lt;&gt;0,Q60/P60,"n.b."),"n.b."))</f>
        <v/>
      </c>
    </row>
    <row r="61">
      <c r="A61" s="92" t="str">
        <f>IF(Mapping!$A60="","",Mapping!$A60)</f>
        <v/>
      </c>
      <c r="B61" s="92" t="str">
        <f>IF(Mapping!$B60="","",Mapping!$B60)</f>
        <v/>
      </c>
      <c r="C61" s="92" t="str">
        <f>IF(Mapping!$C60="","",Mapping!$C60)</f>
        <v/>
      </c>
      <c r="D61" s="92" t="str">
        <f>IF(Mapping!$F60="","",Mapping!$F60)</f>
        <v/>
      </c>
      <c r="E61" s="92" t="str">
        <f>IF(Mapping!$H60="","",Mapping!$H60)</f>
        <v/>
      </c>
      <c r="F61" s="92" t="str">
        <f>IF(Mapping!$E60="","",Mapping!$E60)</f>
        <v/>
      </c>
      <c r="G61" s="92" t="str">
        <f>IF(Mapping!$G60="","",Mapping!$G60)</f>
        <v/>
      </c>
      <c r="H61" s="92" t="str">
        <f>IF(Mapping!$D60="","",Mapping!$D60)</f>
        <v/>
      </c>
      <c r="I61" s="92" t="str">
        <f>IF($A61="","",IFERROR(INDEX(STG_ZPMW03!$C$6:$C$505,MATCH($A61,STG_ZPMW03!$B$6:$B$505,0)),"n.b."))</f>
        <v/>
      </c>
      <c r="J61" s="116" t="str">
        <f>IF($A61="","",COUNTIF(STG_ZPMW03!$B$6:$B$505,$A61))</f>
        <v/>
      </c>
      <c r="K61" s="116" t="str">
        <f>IF($A61="","",COUNTIF(STG_Woningetalage!$B$6:$B$505,$A61))</f>
        <v/>
      </c>
      <c r="L61" s="117" t="str">
        <f>IF($A61="","",IF($J61=0,"n.b.",SUMIFS(STG_ZPMW03!$BK$6:$BK$505,STG_ZPMW03!$B$6:$B$505,$A61)))</f>
        <v/>
      </c>
      <c r="M61" s="117" t="str">
        <f>IF($A61="","",IF($J61=0,"n.b.",SUMIFS(STG_ZPMW03!$BL$6:$BL$505,STG_ZPMW03!$B$6:$B$505,$A61)))</f>
        <v/>
      </c>
      <c r="N61" s="117" t="str">
        <f>IF($A61="","",IF($J61=0,"n.b.",SUMIFS(STG_ZPMW03!$BM$6:$BM$505,STG_ZPMW03!$B$6:$B$505,$A61)))</f>
        <v/>
      </c>
      <c r="O61" s="117" t="str">
        <f>IF($A61="","",IF($J61=0,"n.b.",SUMIFS(STG_ZPMW03!$BN$6:$BN$505,STG_ZPMW03!$B$6:$B$505,$A61)))</f>
        <v/>
      </c>
      <c r="P61" s="117" t="str">
        <f>IF($A61="","",IF($J61=0,"n.b.",SUMIFS(STG_ZPMW03!$BO$6:$BO$505,STG_ZPMW03!$B$6:$B$505,$A61)))</f>
        <v/>
      </c>
      <c r="Q61" s="117" t="str">
        <f>IF($A61="","",IF($J61=0,"n.b.",SUMIFS(STG_ZPMW03!$BP$6:$BP$505,STG_ZPMW03!$B$6:$B$505,$A61)))</f>
        <v/>
      </c>
      <c r="R61" s="117" t="str">
        <f>IF($A61="","",IF($J61=0,"n.b.",SUMIFS(STG_ZPMW03!$BQ$6:$BQ$505,STG_ZPMW03!$B$6:$B$505,$A61)))</f>
        <v/>
      </c>
      <c r="S61" s="117" t="str">
        <f>IF($A61="","",IF($J61=0,"n.b.",SUMIFS(STG_ZPMW03!$BR$6:$BR$505,STG_ZPMW03!$B$6:$B$505,$A61)))</f>
        <v/>
      </c>
      <c r="T61" s="117" t="str">
        <f>IF($A61="","",IF($J61=0,"n.b.",SUMIFS(STG_ZPMW03!$BS$6:$BS$505,STG_ZPMW03!$B$6:$B$505,$A61)))</f>
        <v/>
      </c>
      <c r="U61" s="117" t="str">
        <f>IF($A61="","",IF($J61=0,"n.b.",SUMIFS(STG_ZPMW03!$BT$6:$BT$505,STG_ZPMW03!$B$6:$B$505,$A61)))</f>
        <v/>
      </c>
      <c r="V61" s="117" t="str">
        <f>IF($A61="","",IF($J61=0,"n.b.",SUMIFS(STG_ZPMW03!$BU$6:$BU$505,STG_ZPMW03!$B$6:$B$505,$A61)))</f>
        <v/>
      </c>
      <c r="W61" s="117" t="str">
        <f>IF($A61="","",IF($J61=0,"n.b.",SUMIFS(STG_ZPMW03!$BW$6:$BW$505,STG_ZPMW03!$B$6:$B$505,$A61)))</f>
        <v/>
      </c>
      <c r="X61" s="117" t="str">
        <f>IF($A61="","",IF($J61=0,"n.b.",SUMIFS(STG_ZPMW03!$BY$6:$BY$505,STG_ZPMW03!$B$6:$B$505,$A61)))</f>
        <v/>
      </c>
      <c r="Y61" s="117" t="str">
        <f>IF($A61="","",IF($J61=0,"n.b.",SUMIFS(STG_ZPMW03!$CA$6:$CA$505,STG_ZPMW03!$B$6:$B$505,$A61)))</f>
        <v/>
      </c>
      <c r="Z61" s="117" t="str">
        <f>IF($A61="","",IF($J61=0,"n.b.",SUMIFS(STG_ZPMW03!$BV$6:$BV$505,STG_ZPMW03!$B$6:$B$505,$A61)))</f>
        <v/>
      </c>
      <c r="AA61" s="117" t="str">
        <f>IF($A61="","",IF($J61=0,"n.b.",SUMIFS(STG_ZPMW03!$BX$6:$BX$505,STG_ZPMW03!$B$6:$B$505,$A61)))</f>
        <v/>
      </c>
      <c r="AB61" s="117" t="str">
        <f>IF($A61="","",IF($J61=0,"n.b.",SUMIFS(STG_ZPMW03!$BZ$6:$BZ$505,STG_ZPMW03!$B$6:$B$505,$A61)))</f>
        <v/>
      </c>
      <c r="AC61" s="117" t="str">
        <f>IF($A61="","",IF($J61=0,"n.b.",SUMIFS(STG_ZPMW03!$CB$6:$CB$505,STG_ZPMW03!$B$6:$B$505,$A61)))</f>
        <v/>
      </c>
      <c r="AD61" s="117" t="str">
        <f>IF($A61="","",IF($J61=0,"n.b.",SUMIFS(STG_ZPMW03!$CC$6:$CC$505,STG_ZPMW03!$B$6:$B$505,$A61)))</f>
        <v/>
      </c>
      <c r="AE61" s="117" t="str">
        <f>IF($A61="","",IF($J61=0,"n.b.",SUMIFS(STG_ZPMW03!$CE$6:$CE$505,STG_ZPMW03!$B$6:$B$505,$A61)))</f>
        <v/>
      </c>
      <c r="AF61" s="117" t="str">
        <f>IF($A61="","",IF($J61=0,"n.b.",SUMIFS(STG_ZPMW03!$CG$6:$CG$505,STG_ZPMW03!$B$6:$B$505,$A61)))</f>
        <v/>
      </c>
      <c r="AG61" s="117" t="str">
        <f>IF($A61="","",IF($J61=0,"n.b.",SUMIFS(STG_ZPMW03!$CI$6:$CI$505,STG_ZPMW03!$B$6:$B$505,$A61)))</f>
        <v/>
      </c>
      <c r="AH61" s="117" t="str">
        <f>IF($A61="","",IF($J61=0,"n.b.",SUMIFS(STG_ZPMW03!$CK$6:$CK$505,STG_ZPMW03!$B$6:$B$505,$A61)))</f>
        <v/>
      </c>
      <c r="AI61" s="117" t="str">
        <f>IF($A61="","",IF($J61=0,"n.b.",SUMIFS(STG_ZPMW03!$CM$6:$CM$505,STG_ZPMW03!$B$6:$B$505,$A61)))</f>
        <v/>
      </c>
      <c r="AJ61" s="117" t="str">
        <f>IF($A61="","",IF($J61=0,"n.b.",SUMIFS(STG_ZPMW03!$CO$6:$CO$505,STG_ZPMW03!$B$6:$B$505,$A61)))</f>
        <v/>
      </c>
      <c r="AK61" s="117" t="str">
        <f>IF($A61="","",IF($J61=0,"n.b.",SUMIFS(STG_ZPMW03!$CQ$6:$CQ$505,STG_ZPMW03!$B$6:$B$505,$A61)))</f>
        <v/>
      </c>
      <c r="AL61" s="117" t="str">
        <f>IF($A61="","",IF($J61=0,"n.b.",SUMIFS(STG_ZPMW03!$CD$6:$CD$505,STG_ZPMW03!$B$6:$B$505,$A61)))</f>
        <v/>
      </c>
      <c r="AM61" s="117" t="str">
        <f>IF($A61="","",IF($J61=0,"n.b.",SUMIFS(STG_ZPMW03!$CF$6:$CF$505,STG_ZPMW03!$B$6:$B$505,$A61)))</f>
        <v/>
      </c>
      <c r="AN61" s="117" t="str">
        <f>IF($A61="","",IF($J61=0,"n.b.",SUMIFS(STG_ZPMW03!$CH$6:$CH$505,STG_ZPMW03!$B$6:$B$505,$A61)))</f>
        <v/>
      </c>
      <c r="AO61" s="117" t="str">
        <f>IF($A61="","",IF($J61=0,"n.b.",SUMIFS(STG_ZPMW03!$CJ$6:$CJ$505,STG_ZPMW03!$B$6:$B$505,$A61)))</f>
        <v/>
      </c>
      <c r="AP61" s="117" t="str">
        <f>IF($A61="","",IF($J61=0,"n.b.",SUMIFS(STG_ZPMW03!$CL$6:$CL$505,STG_ZPMW03!$B$6:$B$505,$A61)))</f>
        <v/>
      </c>
      <c r="AQ61" s="117" t="str">
        <f>IF($A61="","",IF($J61=0,"n.b.",SUMIFS(STG_ZPMW03!$CN$6:$CN$505,STG_ZPMW03!$B$6:$B$505,$A61)))</f>
        <v/>
      </c>
      <c r="AR61" s="117" t="str">
        <f>IF($A61="","",IF($J61=0,"n.b.",SUMIFS(STG_ZPMW03!$CP$6:$CP$505,STG_ZPMW03!$B$6:$B$505,$A61)))</f>
        <v/>
      </c>
      <c r="AS61" s="117" t="str">
        <f>IF($A61="","",IF($J61=0,"n.b.",SUMIFS(STG_ZPMW03!$CR$6:$CR$505,STG_ZPMW03!$B$6:$B$505,$A61)))</f>
        <v/>
      </c>
      <c r="AT61" s="117" t="str">
        <f>IF($A61="","",IF($K61=0,"n.b.",SUMIFS(STG_Woningetalage!$Q$6:$Q$505,STG_Woningetalage!$B$6:$B$505,$A61)))</f>
        <v/>
      </c>
      <c r="AU61" s="117" t="str">
        <f>IF($A61="","",IF($K61=0,"n.b.",SUMIFS(STG_Woningetalage!$R$6:$R$505,STG_Woningetalage!$B$6:$B$505,$A61)))</f>
        <v/>
      </c>
      <c r="AV61" s="117" t="str">
        <f>IF($A61="","",IF($K61=0,"n.b.",SUMIFS(STG_Woningetalage!$S$6:$S$505,STG_Woningetalage!$B$6:$B$505,$A61)))</f>
        <v/>
      </c>
      <c r="AW61" s="117" t="str">
        <f>IF($A61="","",IF($K61=0,"n.b.",SUMIFS(STG_Woningetalage!$T$6:$T$505,STG_Woningetalage!$B$6:$B$505,$A61)))</f>
        <v/>
      </c>
      <c r="AX61" s="117" t="str">
        <f>IF($A61="","",IF($K61=0,"n.b.",SUMIFS(STG_Woningetalage!$U$6:$U$505,STG_Woningetalage!$B$6:$B$505,$A61)))</f>
        <v/>
      </c>
      <c r="AY61" s="117" t="str">
        <f>IF($A61="","",IF($K61=0,"n.b.",SUMIFS(STG_Woningetalage!$V$6:$V$505,STG_Woningetalage!$B$6:$B$505,$A61)))</f>
        <v/>
      </c>
      <c r="AZ61" s="117" t="str">
        <f>IF($A61="","",IF($K61=0,"n.b.",SUMIFS(STG_Woningetalage!$W$6:$W$505,STG_Woningetalage!$B$6:$B$505,$A61)))</f>
        <v/>
      </c>
      <c r="BA61" s="117" t="str">
        <f>IF($A61="","",IF($K61=0,"n.b.",SUMIFS(STG_Woningetalage!$X$6:$X$505,STG_Woningetalage!$B$6:$B$505,$A61)))</f>
        <v/>
      </c>
      <c r="BB61" s="117" t="str">
        <f>IF($A61="","",IF($K61=0,"n.b.",SUMIFS(STG_Woningetalage!$Y$6:$Y$505,STG_Woningetalage!$B$6:$B$505,$A61)))</f>
        <v/>
      </c>
      <c r="BC61" s="117" t="str">
        <f>IF($A61="","",IF($K61=0,"n.b.",SUMIFS(STG_Woningetalage!$Z$6:$Z$505,STG_Woningetalage!$B$6:$B$505,$A61)))</f>
        <v/>
      </c>
      <c r="BD61" s="117" t="str">
        <f>IF($A61="","",IF($K61=0,"n.b.",SUMIFS(STG_Woningetalage!$AA$6:$AA$505,STG_Woningetalage!$B$6:$B$505,$A61)))</f>
        <v/>
      </c>
      <c r="BE61" s="117" t="str">
        <f>IF($A61="","",IF($K61=0,"n.b.",SUMIFS(STG_Woningetalage!$AB$6:$AB$505,STG_Woningetalage!$B$6:$B$505,$A61)))</f>
        <v/>
      </c>
      <c r="BF61" s="117" t="str">
        <f>IF($A61="","",IF($K61=0,"n.b.",SUMIFS(STG_Woningetalage!$AC$6:$AC$505,STG_Woningetalage!$B$6:$B$505,$A61)))</f>
        <v/>
      </c>
      <c r="BG61" s="117" t="str">
        <f>IF($A61="","",IF($K61=0,"n.b.",SUMIFS(STG_Woningetalage!$AD$6:$AD$505,STG_Woningetalage!$B$6:$B$505,$A61)))</f>
        <v/>
      </c>
      <c r="BH61" s="117" t="str">
        <f>IF($A61="","",IF($K61=0,"n.b.",SUMIFS(STG_Woningetalage!$AE$6:$AE$505,STG_Woningetalage!$B$6:$B$505,$A61)))</f>
        <v/>
      </c>
      <c r="BI61" s="117" t="str">
        <f>IF($A61="","",IF($K61=0,"n.b.",SUMIFS(STG_Woningetalage!$AF$6:$AF$505,STG_Woningetalage!$B$6:$B$505,$A61)))</f>
        <v/>
      </c>
      <c r="BJ61" s="117" t="str">
        <f>IF($A61="","",IF($K61=0,"n.b.",SUMIFS(STG_Woningetalage!$AG$6:$AG$505,STG_Woningetalage!$B$6:$B$505,$A61)))</f>
        <v/>
      </c>
      <c r="BK61" s="117" t="str">
        <f>IF($A61="","",IF($K61=0,"n.b.",SUMIFS(STG_Woningetalage!$AH$6:$AH$505,STG_Woningetalage!$B$6:$B$505,$A61)))</f>
        <v/>
      </c>
      <c r="BL61" s="117" t="str">
        <f>IF($A61="","",IF($K61=0,"n.b.",SUMIFS(STG_Woningetalage!$AI$6:$AI$505,STG_Woningetalage!$B$6:$B$505,$A61)))</f>
        <v/>
      </c>
      <c r="BM61" s="117" t="str">
        <f>IF($A61="","",IF($K61=0,"n.b.",SUMIFS(STG_Woningetalage!$AJ$6:$AJ$505,STG_Woningetalage!$B$6:$B$505,$A61)))</f>
        <v/>
      </c>
      <c r="BN61" s="117" t="str">
        <f>IF($A61="","",IF($K61=0,"n.b.",SUMIFS(STG_Woningetalage!$AK$6:$AK$505,STG_Woningetalage!$B$6:$B$505,$A61)))</f>
        <v/>
      </c>
      <c r="BO61" s="117" t="str">
        <f>IF($A61="","",IF($K61=0,"n.b.",SUMIFS(STG_Woningetalage!$AL$6:$AL$505,STG_Woningetalage!$B$6:$B$505,$A61)))</f>
        <v/>
      </c>
      <c r="BP61" s="117" t="str">
        <f>IF($A61="","",IF($K61=0,"n.b.",SUMIFS(STG_Woningetalage!$AM$6:$AM$505,STG_Woningetalage!$B$6:$B$505,$A61)))</f>
        <v/>
      </c>
      <c r="BQ61" s="117" t="str">
        <f>IF($A61="","",IF($K61=0,"n.b.",SUMIFS(STG_Woningetalage!$BE$6:$BE$505,STG_Woningetalage!$B$6:$B$505,$A61)))</f>
        <v/>
      </c>
      <c r="BR61" s="117" t="str">
        <f>IF($A61="","",IF($K61=0,"n.b.",SUMIFS(STG_Woningetalage!$BF$6:$BF$505,STG_Woningetalage!$B$6:$B$505,$A61)))</f>
        <v/>
      </c>
      <c r="BS61" s="117" t="str">
        <f>IF($A61="","",IF($K61=0,"n.b.",SUMIFS(STG_Woningetalage!$BG$6:$BG$505,STG_Woningetalage!$B$6:$B$505,$A61)))</f>
        <v/>
      </c>
      <c r="BT61" s="117" t="str">
        <f>IF($A61="","",IF($K61=0,"n.b.",SUMIFS(STG_Woningetalage!$BH$6:$BH$505,STG_Woningetalage!$B$6:$B$505,$A61)))</f>
        <v/>
      </c>
      <c r="BU61" s="117" t="str">
        <f>IF($A61="","",IF($K61=0,"n.b.",SUMIFS(STG_Woningetalage!$BI$6:$BI$505,STG_Woningetalage!$B$6:$B$505,$A61)))</f>
        <v/>
      </c>
      <c r="BV61" s="117" t="str">
        <f>IF($A61="","",IF($K61=0,"n.b.",SUMIFS(STG_Woningetalage!$BJ$6:$BJ$505,STG_Woningetalage!$B$6:$B$505,$A61)))</f>
        <v/>
      </c>
      <c r="BW61" s="117" t="str">
        <f>IF($A61="","",IF($K61=0,"n.b.",SUMIFS(STG_Woningetalage!$AR$6:$AR$505,STG_Woningetalage!$B$6:$B$505,$A61)))</f>
        <v/>
      </c>
      <c r="BX61" s="117" t="str">
        <f>IF($A61="","",IF($K61=0,"n.b.",SUMIFS(STG_Woningetalage!$AS$6:$AS$505,STG_Woningetalage!$B$6:$B$505,$A61)))</f>
        <v/>
      </c>
      <c r="BY61" s="117" t="str">
        <f>IF($A61="","",IF($K61=0,"n.b.",SUMIFS(STG_Woningetalage!$AN$6:$AN$505,STG_Woningetalage!$B$6:$B$505,$A61)))</f>
        <v/>
      </c>
      <c r="BZ61" s="117" t="str">
        <f>IF($A61="","",IF($K61=0,"n.b.",SUMIFS(STG_Woningetalage!$AO$6:$AO$505,STG_Woningetalage!$B$6:$B$505,$A61)))</f>
        <v/>
      </c>
      <c r="CA61" s="117" t="str">
        <f>IF($A61="","",IF($K61=0,"n.b.",SUMIFS(STG_Woningetalage!$AP$6:$AP$505,STG_Woningetalage!$B$6:$B$505,$A61)))</f>
        <v/>
      </c>
      <c r="CB61" s="117" t="str">
        <f>IF($A61="","",IF($K61=0,"n.b.",SUMIFS(STG_Woningetalage!$AQ$6:$AQ$505,STG_Woningetalage!$B$6:$B$505,$A61)))</f>
        <v/>
      </c>
      <c r="CC61" s="117" t="str">
        <f>IF($A61="","",IF($K61=0,"n.b.",SUMIFS(STG_Woningetalage!$AU$6:$AU$505,STG_Woningetalage!$B$6:$B$505,$A61)))</f>
        <v/>
      </c>
      <c r="CD61" s="92" t="str">
        <f>IF($A61="","",IFERROR(INDEX(STG_ZPMW03!$L$6:$L$505,MATCH($A61,STG_ZPMW03!$B$6:$B$505,0)),"n.b."))</f>
        <v/>
      </c>
      <c r="CE61" s="92" t="str">
        <f>IF($A61="","",IFERROR(INDEX(STG_ZPMW03!$K$6:$K$505,MATCH($A61,STG_ZPMW03!$B$6:$B$505,0)),"n.b."))</f>
        <v/>
      </c>
      <c r="CF61" s="92" t="str">
        <f>IF($A61="","",IFERROR(INDEX(STG_ZPMW03!$BH$6:$BH$505,MATCH($A61,STG_ZPMW03!$B$6:$B$505,0)),"n.b."))</f>
        <v/>
      </c>
      <c r="CG61" s="92" t="str">
        <f>IF($A61="","",IFERROR(INDEX(STG_ZPMW03!$BI$6:$BI$505,MATCH($A61,STG_ZPMW03!$B$6:$B$505,0)),"n.b."))</f>
        <v/>
      </c>
      <c r="CH61" s="92" t="str">
        <f>IF($A61="","",IFERROR(INDEX(STG_ZPMW03!$BJ$6:$BJ$505,MATCH($A61,STG_ZPMW03!$B$6:$B$505,0)),"n.b."))</f>
        <v/>
      </c>
      <c r="CI61" s="92" t="str">
        <f>IF($A61="","",IFERROR(INDEX(STG_ZPMW03!$BF$6:$BF$505,MATCH($A61,STG_ZPMW03!$B$6:$B$505,0)),"n.b."))</f>
        <v/>
      </c>
      <c r="CJ61" s="92" t="str">
        <f>IF($A61="","",IFERROR(INDEX(STG_ZPMW03!$BG$6:$BG$505,MATCH($A61,STG_ZPMW03!$B$6:$B$505,0)),"n.b."))</f>
        <v/>
      </c>
      <c r="CK61" s="92" t="str">
        <f>IF($A61="","",IFERROR(INDEX(STG_ZPMW03!$H$6:$H$505,MATCH($A61,STG_ZPMW03!$B$6:$B$505,0)),"n.b."))</f>
        <v/>
      </c>
      <c r="CL61" s="92" t="str">
        <f>IF($A61="","",IFERROR(INDEX(STG_ZPMW03!$E$6:$E$505,MATCH($A61,STG_ZPMW03!$B$6:$B$505,0)),"n.b."))</f>
        <v/>
      </c>
      <c r="CM61" s="92" t="str">
        <f>IF($A61="","",IFERROR(INDEX(STG_ZPMW03!$G$6:$G$505,MATCH($A61,STG_ZPMW03!$B$6:$B$505,0)),"n.b."))</f>
        <v/>
      </c>
      <c r="CN61" s="92" t="str">
        <f>IF($A61="","",IFERROR(INDEX(STG_Woningetalage!$N$6:$N$505,MATCH($A61,STG_Woningetalage!$B$6:$B$505,0)),"n.b."))</f>
        <v/>
      </c>
      <c r="CO61" s="92" t="str">
        <f>IF($A61="","",IFERROR(INDEX(STG_Woningetalage!$P$6:$P$505,MATCH($A61,STG_Woningetalage!$B$6:$B$505,0)),"n.b."))</f>
        <v/>
      </c>
      <c r="CP61" s="118" t="str">
        <f>IF($A61="","",IF(AND(ISNUMBER(AT61),ISNUMBER(F61)),IF(F61&gt;0,AT61/(F61/100),"n.b."),"n.b."))</f>
        <v/>
      </c>
      <c r="CQ61" s="116" t="str">
        <f>IF($A61="","",IF(ISNUMBER(Q61),IF(Q61&lt;0,1,0),0))</f>
        <v/>
      </c>
      <c r="CR61" s="116" t="str">
        <f>IF(CQ61=1,COUNTIF($CQ$6:CQ61,1),"")</f>
        <v/>
      </c>
      <c r="CS61" s="116" t="str">
        <f>IF(AND($A61&lt;&gt;"",$J61=0),COUNTIFS($A$6:$A61,"?*",$J$6:$J61,0),"")</f>
        <v/>
      </c>
      <c r="CT61" s="119" t="str">
        <f>IF($A61="","",IF(AND(ISNUMBER(Q61),ISNUMBER(P61)),IF(P61&lt;&gt;0,Q61/P61,"n.b."),"n.b."))</f>
        <v/>
      </c>
    </row>
    <row r="62">
      <c r="A62" s="92" t="str">
        <f>IF(Mapping!$A61="","",Mapping!$A61)</f>
        <v/>
      </c>
      <c r="B62" s="92" t="str">
        <f>IF(Mapping!$B61="","",Mapping!$B61)</f>
        <v/>
      </c>
      <c r="C62" s="92" t="str">
        <f>IF(Mapping!$C61="","",Mapping!$C61)</f>
        <v/>
      </c>
      <c r="D62" s="92" t="str">
        <f>IF(Mapping!$F61="","",Mapping!$F61)</f>
        <v/>
      </c>
      <c r="E62" s="92" t="str">
        <f>IF(Mapping!$H61="","",Mapping!$H61)</f>
        <v/>
      </c>
      <c r="F62" s="92" t="str">
        <f>IF(Mapping!$E61="","",Mapping!$E61)</f>
        <v/>
      </c>
      <c r="G62" s="92" t="str">
        <f>IF(Mapping!$G61="","",Mapping!$G61)</f>
        <v/>
      </c>
      <c r="H62" s="92" t="str">
        <f>IF(Mapping!$D61="","",Mapping!$D61)</f>
        <v/>
      </c>
      <c r="I62" s="92" t="str">
        <f>IF($A62="","",IFERROR(INDEX(STG_ZPMW03!$C$6:$C$505,MATCH($A62,STG_ZPMW03!$B$6:$B$505,0)),"n.b."))</f>
        <v/>
      </c>
      <c r="J62" s="116" t="str">
        <f>IF($A62="","",COUNTIF(STG_ZPMW03!$B$6:$B$505,$A62))</f>
        <v/>
      </c>
      <c r="K62" s="116" t="str">
        <f>IF($A62="","",COUNTIF(STG_Woningetalage!$B$6:$B$505,$A62))</f>
        <v/>
      </c>
      <c r="L62" s="117" t="str">
        <f>IF($A62="","",IF($J62=0,"n.b.",SUMIFS(STG_ZPMW03!$BK$6:$BK$505,STG_ZPMW03!$B$6:$B$505,$A62)))</f>
        <v/>
      </c>
      <c r="M62" s="117" t="str">
        <f>IF($A62="","",IF($J62=0,"n.b.",SUMIFS(STG_ZPMW03!$BL$6:$BL$505,STG_ZPMW03!$B$6:$B$505,$A62)))</f>
        <v/>
      </c>
      <c r="N62" s="117" t="str">
        <f>IF($A62="","",IF($J62=0,"n.b.",SUMIFS(STG_ZPMW03!$BM$6:$BM$505,STG_ZPMW03!$B$6:$B$505,$A62)))</f>
        <v/>
      </c>
      <c r="O62" s="117" t="str">
        <f>IF($A62="","",IF($J62=0,"n.b.",SUMIFS(STG_ZPMW03!$BN$6:$BN$505,STG_ZPMW03!$B$6:$B$505,$A62)))</f>
        <v/>
      </c>
      <c r="P62" s="117" t="str">
        <f>IF($A62="","",IF($J62=0,"n.b.",SUMIFS(STG_ZPMW03!$BO$6:$BO$505,STG_ZPMW03!$B$6:$B$505,$A62)))</f>
        <v/>
      </c>
      <c r="Q62" s="117" t="str">
        <f>IF($A62="","",IF($J62=0,"n.b.",SUMIFS(STG_ZPMW03!$BP$6:$BP$505,STG_ZPMW03!$B$6:$B$505,$A62)))</f>
        <v/>
      </c>
      <c r="R62" s="117" t="str">
        <f>IF($A62="","",IF($J62=0,"n.b.",SUMIFS(STG_ZPMW03!$BQ$6:$BQ$505,STG_ZPMW03!$B$6:$B$505,$A62)))</f>
        <v/>
      </c>
      <c r="S62" s="117" t="str">
        <f>IF($A62="","",IF($J62=0,"n.b.",SUMIFS(STG_ZPMW03!$BR$6:$BR$505,STG_ZPMW03!$B$6:$B$505,$A62)))</f>
        <v/>
      </c>
      <c r="T62" s="117" t="str">
        <f>IF($A62="","",IF($J62=0,"n.b.",SUMIFS(STG_ZPMW03!$BS$6:$BS$505,STG_ZPMW03!$B$6:$B$505,$A62)))</f>
        <v/>
      </c>
      <c r="U62" s="117" t="str">
        <f>IF($A62="","",IF($J62=0,"n.b.",SUMIFS(STG_ZPMW03!$BT$6:$BT$505,STG_ZPMW03!$B$6:$B$505,$A62)))</f>
        <v/>
      </c>
      <c r="V62" s="117" t="str">
        <f>IF($A62="","",IF($J62=0,"n.b.",SUMIFS(STG_ZPMW03!$BU$6:$BU$505,STG_ZPMW03!$B$6:$B$505,$A62)))</f>
        <v/>
      </c>
      <c r="W62" s="117" t="str">
        <f>IF($A62="","",IF($J62=0,"n.b.",SUMIFS(STG_ZPMW03!$BW$6:$BW$505,STG_ZPMW03!$B$6:$B$505,$A62)))</f>
        <v/>
      </c>
      <c r="X62" s="117" t="str">
        <f>IF($A62="","",IF($J62=0,"n.b.",SUMIFS(STG_ZPMW03!$BY$6:$BY$505,STG_ZPMW03!$B$6:$B$505,$A62)))</f>
        <v/>
      </c>
      <c r="Y62" s="117" t="str">
        <f>IF($A62="","",IF($J62=0,"n.b.",SUMIFS(STG_ZPMW03!$CA$6:$CA$505,STG_ZPMW03!$B$6:$B$505,$A62)))</f>
        <v/>
      </c>
      <c r="Z62" s="117" t="str">
        <f>IF($A62="","",IF($J62=0,"n.b.",SUMIFS(STG_ZPMW03!$BV$6:$BV$505,STG_ZPMW03!$B$6:$B$505,$A62)))</f>
        <v/>
      </c>
      <c r="AA62" s="117" t="str">
        <f>IF($A62="","",IF($J62=0,"n.b.",SUMIFS(STG_ZPMW03!$BX$6:$BX$505,STG_ZPMW03!$B$6:$B$505,$A62)))</f>
        <v/>
      </c>
      <c r="AB62" s="117" t="str">
        <f>IF($A62="","",IF($J62=0,"n.b.",SUMIFS(STG_ZPMW03!$BZ$6:$BZ$505,STG_ZPMW03!$B$6:$B$505,$A62)))</f>
        <v/>
      </c>
      <c r="AC62" s="117" t="str">
        <f>IF($A62="","",IF($J62=0,"n.b.",SUMIFS(STG_ZPMW03!$CB$6:$CB$505,STG_ZPMW03!$B$6:$B$505,$A62)))</f>
        <v/>
      </c>
      <c r="AD62" s="117" t="str">
        <f>IF($A62="","",IF($J62=0,"n.b.",SUMIFS(STG_ZPMW03!$CC$6:$CC$505,STG_ZPMW03!$B$6:$B$505,$A62)))</f>
        <v/>
      </c>
      <c r="AE62" s="117" t="str">
        <f>IF($A62="","",IF($J62=0,"n.b.",SUMIFS(STG_ZPMW03!$CE$6:$CE$505,STG_ZPMW03!$B$6:$B$505,$A62)))</f>
        <v/>
      </c>
      <c r="AF62" s="117" t="str">
        <f>IF($A62="","",IF($J62=0,"n.b.",SUMIFS(STG_ZPMW03!$CG$6:$CG$505,STG_ZPMW03!$B$6:$B$505,$A62)))</f>
        <v/>
      </c>
      <c r="AG62" s="117" t="str">
        <f>IF($A62="","",IF($J62=0,"n.b.",SUMIFS(STG_ZPMW03!$CI$6:$CI$505,STG_ZPMW03!$B$6:$B$505,$A62)))</f>
        <v/>
      </c>
      <c r="AH62" s="117" t="str">
        <f>IF($A62="","",IF($J62=0,"n.b.",SUMIFS(STG_ZPMW03!$CK$6:$CK$505,STG_ZPMW03!$B$6:$B$505,$A62)))</f>
        <v/>
      </c>
      <c r="AI62" s="117" t="str">
        <f>IF($A62="","",IF($J62=0,"n.b.",SUMIFS(STG_ZPMW03!$CM$6:$CM$505,STG_ZPMW03!$B$6:$B$505,$A62)))</f>
        <v/>
      </c>
      <c r="AJ62" s="117" t="str">
        <f>IF($A62="","",IF($J62=0,"n.b.",SUMIFS(STG_ZPMW03!$CO$6:$CO$505,STG_ZPMW03!$B$6:$B$505,$A62)))</f>
        <v/>
      </c>
      <c r="AK62" s="117" t="str">
        <f>IF($A62="","",IF($J62=0,"n.b.",SUMIFS(STG_ZPMW03!$CQ$6:$CQ$505,STG_ZPMW03!$B$6:$B$505,$A62)))</f>
        <v/>
      </c>
      <c r="AL62" s="117" t="str">
        <f>IF($A62="","",IF($J62=0,"n.b.",SUMIFS(STG_ZPMW03!$CD$6:$CD$505,STG_ZPMW03!$B$6:$B$505,$A62)))</f>
        <v/>
      </c>
      <c r="AM62" s="117" t="str">
        <f>IF($A62="","",IF($J62=0,"n.b.",SUMIFS(STG_ZPMW03!$CF$6:$CF$505,STG_ZPMW03!$B$6:$B$505,$A62)))</f>
        <v/>
      </c>
      <c r="AN62" s="117" t="str">
        <f>IF($A62="","",IF($J62=0,"n.b.",SUMIFS(STG_ZPMW03!$CH$6:$CH$505,STG_ZPMW03!$B$6:$B$505,$A62)))</f>
        <v/>
      </c>
      <c r="AO62" s="117" t="str">
        <f>IF($A62="","",IF($J62=0,"n.b.",SUMIFS(STG_ZPMW03!$CJ$6:$CJ$505,STG_ZPMW03!$B$6:$B$505,$A62)))</f>
        <v/>
      </c>
      <c r="AP62" s="117" t="str">
        <f>IF($A62="","",IF($J62=0,"n.b.",SUMIFS(STG_ZPMW03!$CL$6:$CL$505,STG_ZPMW03!$B$6:$B$505,$A62)))</f>
        <v/>
      </c>
      <c r="AQ62" s="117" t="str">
        <f>IF($A62="","",IF($J62=0,"n.b.",SUMIFS(STG_ZPMW03!$CN$6:$CN$505,STG_ZPMW03!$B$6:$B$505,$A62)))</f>
        <v/>
      </c>
      <c r="AR62" s="117" t="str">
        <f>IF($A62="","",IF($J62=0,"n.b.",SUMIFS(STG_ZPMW03!$CP$6:$CP$505,STG_ZPMW03!$B$6:$B$505,$A62)))</f>
        <v/>
      </c>
      <c r="AS62" s="117" t="str">
        <f>IF($A62="","",IF($J62=0,"n.b.",SUMIFS(STG_ZPMW03!$CR$6:$CR$505,STG_ZPMW03!$B$6:$B$505,$A62)))</f>
        <v/>
      </c>
      <c r="AT62" s="117" t="str">
        <f>IF($A62="","",IF($K62=0,"n.b.",SUMIFS(STG_Woningetalage!$Q$6:$Q$505,STG_Woningetalage!$B$6:$B$505,$A62)))</f>
        <v/>
      </c>
      <c r="AU62" s="117" t="str">
        <f>IF($A62="","",IF($K62=0,"n.b.",SUMIFS(STG_Woningetalage!$R$6:$R$505,STG_Woningetalage!$B$6:$B$505,$A62)))</f>
        <v/>
      </c>
      <c r="AV62" s="117" t="str">
        <f>IF($A62="","",IF($K62=0,"n.b.",SUMIFS(STG_Woningetalage!$S$6:$S$505,STG_Woningetalage!$B$6:$B$505,$A62)))</f>
        <v/>
      </c>
      <c r="AW62" s="117" t="str">
        <f>IF($A62="","",IF($K62=0,"n.b.",SUMIFS(STG_Woningetalage!$T$6:$T$505,STG_Woningetalage!$B$6:$B$505,$A62)))</f>
        <v/>
      </c>
      <c r="AX62" s="117" t="str">
        <f>IF($A62="","",IF($K62=0,"n.b.",SUMIFS(STG_Woningetalage!$U$6:$U$505,STG_Woningetalage!$B$6:$B$505,$A62)))</f>
        <v/>
      </c>
      <c r="AY62" s="117" t="str">
        <f>IF($A62="","",IF($K62=0,"n.b.",SUMIFS(STG_Woningetalage!$V$6:$V$505,STG_Woningetalage!$B$6:$B$505,$A62)))</f>
        <v/>
      </c>
      <c r="AZ62" s="117" t="str">
        <f>IF($A62="","",IF($K62=0,"n.b.",SUMIFS(STG_Woningetalage!$W$6:$W$505,STG_Woningetalage!$B$6:$B$505,$A62)))</f>
        <v/>
      </c>
      <c r="BA62" s="117" t="str">
        <f>IF($A62="","",IF($K62=0,"n.b.",SUMIFS(STG_Woningetalage!$X$6:$X$505,STG_Woningetalage!$B$6:$B$505,$A62)))</f>
        <v/>
      </c>
      <c r="BB62" s="117" t="str">
        <f>IF($A62="","",IF($K62=0,"n.b.",SUMIFS(STG_Woningetalage!$Y$6:$Y$505,STG_Woningetalage!$B$6:$B$505,$A62)))</f>
        <v/>
      </c>
      <c r="BC62" s="117" t="str">
        <f>IF($A62="","",IF($K62=0,"n.b.",SUMIFS(STG_Woningetalage!$Z$6:$Z$505,STG_Woningetalage!$B$6:$B$505,$A62)))</f>
        <v/>
      </c>
      <c r="BD62" s="117" t="str">
        <f>IF($A62="","",IF($K62=0,"n.b.",SUMIFS(STG_Woningetalage!$AA$6:$AA$505,STG_Woningetalage!$B$6:$B$505,$A62)))</f>
        <v/>
      </c>
      <c r="BE62" s="117" t="str">
        <f>IF($A62="","",IF($K62=0,"n.b.",SUMIFS(STG_Woningetalage!$AB$6:$AB$505,STG_Woningetalage!$B$6:$B$505,$A62)))</f>
        <v/>
      </c>
      <c r="BF62" s="117" t="str">
        <f>IF($A62="","",IF($K62=0,"n.b.",SUMIFS(STG_Woningetalage!$AC$6:$AC$505,STG_Woningetalage!$B$6:$B$505,$A62)))</f>
        <v/>
      </c>
      <c r="BG62" s="117" t="str">
        <f>IF($A62="","",IF($K62=0,"n.b.",SUMIFS(STG_Woningetalage!$AD$6:$AD$505,STG_Woningetalage!$B$6:$B$505,$A62)))</f>
        <v/>
      </c>
      <c r="BH62" s="117" t="str">
        <f>IF($A62="","",IF($K62=0,"n.b.",SUMIFS(STG_Woningetalage!$AE$6:$AE$505,STG_Woningetalage!$B$6:$B$505,$A62)))</f>
        <v/>
      </c>
      <c r="BI62" s="117" t="str">
        <f>IF($A62="","",IF($K62=0,"n.b.",SUMIFS(STG_Woningetalage!$AF$6:$AF$505,STG_Woningetalage!$B$6:$B$505,$A62)))</f>
        <v/>
      </c>
      <c r="BJ62" s="117" t="str">
        <f>IF($A62="","",IF($K62=0,"n.b.",SUMIFS(STG_Woningetalage!$AG$6:$AG$505,STG_Woningetalage!$B$6:$B$505,$A62)))</f>
        <v/>
      </c>
      <c r="BK62" s="117" t="str">
        <f>IF($A62="","",IF($K62=0,"n.b.",SUMIFS(STG_Woningetalage!$AH$6:$AH$505,STG_Woningetalage!$B$6:$B$505,$A62)))</f>
        <v/>
      </c>
      <c r="BL62" s="117" t="str">
        <f>IF($A62="","",IF($K62=0,"n.b.",SUMIFS(STG_Woningetalage!$AI$6:$AI$505,STG_Woningetalage!$B$6:$B$505,$A62)))</f>
        <v/>
      </c>
      <c r="BM62" s="117" t="str">
        <f>IF($A62="","",IF($K62=0,"n.b.",SUMIFS(STG_Woningetalage!$AJ$6:$AJ$505,STG_Woningetalage!$B$6:$B$505,$A62)))</f>
        <v/>
      </c>
      <c r="BN62" s="117" t="str">
        <f>IF($A62="","",IF($K62=0,"n.b.",SUMIFS(STG_Woningetalage!$AK$6:$AK$505,STG_Woningetalage!$B$6:$B$505,$A62)))</f>
        <v/>
      </c>
      <c r="BO62" s="117" t="str">
        <f>IF($A62="","",IF($K62=0,"n.b.",SUMIFS(STG_Woningetalage!$AL$6:$AL$505,STG_Woningetalage!$B$6:$B$505,$A62)))</f>
        <v/>
      </c>
      <c r="BP62" s="117" t="str">
        <f>IF($A62="","",IF($K62=0,"n.b.",SUMIFS(STG_Woningetalage!$AM$6:$AM$505,STG_Woningetalage!$B$6:$B$505,$A62)))</f>
        <v/>
      </c>
      <c r="BQ62" s="117" t="str">
        <f>IF($A62="","",IF($K62=0,"n.b.",SUMIFS(STG_Woningetalage!$BE$6:$BE$505,STG_Woningetalage!$B$6:$B$505,$A62)))</f>
        <v/>
      </c>
      <c r="BR62" s="117" t="str">
        <f>IF($A62="","",IF($K62=0,"n.b.",SUMIFS(STG_Woningetalage!$BF$6:$BF$505,STG_Woningetalage!$B$6:$B$505,$A62)))</f>
        <v/>
      </c>
      <c r="BS62" s="117" t="str">
        <f>IF($A62="","",IF($K62=0,"n.b.",SUMIFS(STG_Woningetalage!$BG$6:$BG$505,STG_Woningetalage!$B$6:$B$505,$A62)))</f>
        <v/>
      </c>
      <c r="BT62" s="117" t="str">
        <f>IF($A62="","",IF($K62=0,"n.b.",SUMIFS(STG_Woningetalage!$BH$6:$BH$505,STG_Woningetalage!$B$6:$B$505,$A62)))</f>
        <v/>
      </c>
      <c r="BU62" s="117" t="str">
        <f>IF($A62="","",IF($K62=0,"n.b.",SUMIFS(STG_Woningetalage!$BI$6:$BI$505,STG_Woningetalage!$B$6:$B$505,$A62)))</f>
        <v/>
      </c>
      <c r="BV62" s="117" t="str">
        <f>IF($A62="","",IF($K62=0,"n.b.",SUMIFS(STG_Woningetalage!$BJ$6:$BJ$505,STG_Woningetalage!$B$6:$B$505,$A62)))</f>
        <v/>
      </c>
      <c r="BW62" s="117" t="str">
        <f>IF($A62="","",IF($K62=0,"n.b.",SUMIFS(STG_Woningetalage!$AR$6:$AR$505,STG_Woningetalage!$B$6:$B$505,$A62)))</f>
        <v/>
      </c>
      <c r="BX62" s="117" t="str">
        <f>IF($A62="","",IF($K62=0,"n.b.",SUMIFS(STG_Woningetalage!$AS$6:$AS$505,STG_Woningetalage!$B$6:$B$505,$A62)))</f>
        <v/>
      </c>
      <c r="BY62" s="117" t="str">
        <f>IF($A62="","",IF($K62=0,"n.b.",SUMIFS(STG_Woningetalage!$AN$6:$AN$505,STG_Woningetalage!$B$6:$B$505,$A62)))</f>
        <v/>
      </c>
      <c r="BZ62" s="117" t="str">
        <f>IF($A62="","",IF($K62=0,"n.b.",SUMIFS(STG_Woningetalage!$AO$6:$AO$505,STG_Woningetalage!$B$6:$B$505,$A62)))</f>
        <v/>
      </c>
      <c r="CA62" s="117" t="str">
        <f>IF($A62="","",IF($K62=0,"n.b.",SUMIFS(STG_Woningetalage!$AP$6:$AP$505,STG_Woningetalage!$B$6:$B$505,$A62)))</f>
        <v/>
      </c>
      <c r="CB62" s="117" t="str">
        <f>IF($A62="","",IF($K62=0,"n.b.",SUMIFS(STG_Woningetalage!$AQ$6:$AQ$505,STG_Woningetalage!$B$6:$B$505,$A62)))</f>
        <v/>
      </c>
      <c r="CC62" s="117" t="str">
        <f>IF($A62="","",IF($K62=0,"n.b.",SUMIFS(STG_Woningetalage!$AU$6:$AU$505,STG_Woningetalage!$B$6:$B$505,$A62)))</f>
        <v/>
      </c>
      <c r="CD62" s="92" t="str">
        <f>IF($A62="","",IFERROR(INDEX(STG_ZPMW03!$L$6:$L$505,MATCH($A62,STG_ZPMW03!$B$6:$B$505,0)),"n.b."))</f>
        <v/>
      </c>
      <c r="CE62" s="92" t="str">
        <f>IF($A62="","",IFERROR(INDEX(STG_ZPMW03!$K$6:$K$505,MATCH($A62,STG_ZPMW03!$B$6:$B$505,0)),"n.b."))</f>
        <v/>
      </c>
      <c r="CF62" s="92" t="str">
        <f>IF($A62="","",IFERROR(INDEX(STG_ZPMW03!$BH$6:$BH$505,MATCH($A62,STG_ZPMW03!$B$6:$B$505,0)),"n.b."))</f>
        <v/>
      </c>
      <c r="CG62" s="92" t="str">
        <f>IF($A62="","",IFERROR(INDEX(STG_ZPMW03!$BI$6:$BI$505,MATCH($A62,STG_ZPMW03!$B$6:$B$505,0)),"n.b."))</f>
        <v/>
      </c>
      <c r="CH62" s="92" t="str">
        <f>IF($A62="","",IFERROR(INDEX(STG_ZPMW03!$BJ$6:$BJ$505,MATCH($A62,STG_ZPMW03!$B$6:$B$505,0)),"n.b."))</f>
        <v/>
      </c>
      <c r="CI62" s="92" t="str">
        <f>IF($A62="","",IFERROR(INDEX(STG_ZPMW03!$BF$6:$BF$505,MATCH($A62,STG_ZPMW03!$B$6:$B$505,0)),"n.b."))</f>
        <v/>
      </c>
      <c r="CJ62" s="92" t="str">
        <f>IF($A62="","",IFERROR(INDEX(STG_ZPMW03!$BG$6:$BG$505,MATCH($A62,STG_ZPMW03!$B$6:$B$505,0)),"n.b."))</f>
        <v/>
      </c>
      <c r="CK62" s="92" t="str">
        <f>IF($A62="","",IFERROR(INDEX(STG_ZPMW03!$H$6:$H$505,MATCH($A62,STG_ZPMW03!$B$6:$B$505,0)),"n.b."))</f>
        <v/>
      </c>
      <c r="CL62" s="92" t="str">
        <f>IF($A62="","",IFERROR(INDEX(STG_ZPMW03!$E$6:$E$505,MATCH($A62,STG_ZPMW03!$B$6:$B$505,0)),"n.b."))</f>
        <v/>
      </c>
      <c r="CM62" s="92" t="str">
        <f>IF($A62="","",IFERROR(INDEX(STG_ZPMW03!$G$6:$G$505,MATCH($A62,STG_ZPMW03!$B$6:$B$505,0)),"n.b."))</f>
        <v/>
      </c>
      <c r="CN62" s="92" t="str">
        <f>IF($A62="","",IFERROR(INDEX(STG_Woningetalage!$N$6:$N$505,MATCH($A62,STG_Woningetalage!$B$6:$B$505,0)),"n.b."))</f>
        <v/>
      </c>
      <c r="CO62" s="92" t="str">
        <f>IF($A62="","",IFERROR(INDEX(STG_Woningetalage!$P$6:$P$505,MATCH($A62,STG_Woningetalage!$B$6:$B$505,0)),"n.b."))</f>
        <v/>
      </c>
      <c r="CP62" s="118" t="str">
        <f>IF($A62="","",IF(AND(ISNUMBER(AT62),ISNUMBER(F62)),IF(F62&gt;0,AT62/(F62/100),"n.b."),"n.b."))</f>
        <v/>
      </c>
      <c r="CQ62" s="116" t="str">
        <f>IF($A62="","",IF(ISNUMBER(Q62),IF(Q62&lt;0,1,0),0))</f>
        <v/>
      </c>
      <c r="CR62" s="116" t="str">
        <f>IF(CQ62=1,COUNTIF($CQ$6:CQ62,1),"")</f>
        <v/>
      </c>
      <c r="CS62" s="116" t="str">
        <f>IF(AND($A62&lt;&gt;"",$J62=0),COUNTIFS($A$6:$A62,"?*",$J$6:$J62,0),"")</f>
        <v/>
      </c>
      <c r="CT62" s="119" t="str">
        <f>IF($A62="","",IF(AND(ISNUMBER(Q62),ISNUMBER(P62)),IF(P62&lt;&gt;0,Q62/P62,"n.b."),"n.b."))</f>
        <v/>
      </c>
    </row>
    <row r="63">
      <c r="A63" s="92" t="str">
        <f>IF(Mapping!$A62="","",Mapping!$A62)</f>
        <v/>
      </c>
      <c r="B63" s="92" t="str">
        <f>IF(Mapping!$B62="","",Mapping!$B62)</f>
        <v/>
      </c>
      <c r="C63" s="92" t="str">
        <f>IF(Mapping!$C62="","",Mapping!$C62)</f>
        <v/>
      </c>
      <c r="D63" s="92" t="str">
        <f>IF(Mapping!$F62="","",Mapping!$F62)</f>
        <v/>
      </c>
      <c r="E63" s="92" t="str">
        <f>IF(Mapping!$H62="","",Mapping!$H62)</f>
        <v/>
      </c>
      <c r="F63" s="92" t="str">
        <f>IF(Mapping!$E62="","",Mapping!$E62)</f>
        <v/>
      </c>
      <c r="G63" s="92" t="str">
        <f>IF(Mapping!$G62="","",Mapping!$G62)</f>
        <v/>
      </c>
      <c r="H63" s="92" t="str">
        <f>IF(Mapping!$D62="","",Mapping!$D62)</f>
        <v/>
      </c>
      <c r="I63" s="92" t="str">
        <f>IF($A63="","",IFERROR(INDEX(STG_ZPMW03!$C$6:$C$505,MATCH($A63,STG_ZPMW03!$B$6:$B$505,0)),"n.b."))</f>
        <v/>
      </c>
      <c r="J63" s="116" t="str">
        <f>IF($A63="","",COUNTIF(STG_ZPMW03!$B$6:$B$505,$A63))</f>
        <v/>
      </c>
      <c r="K63" s="116" t="str">
        <f>IF($A63="","",COUNTIF(STG_Woningetalage!$B$6:$B$505,$A63))</f>
        <v/>
      </c>
      <c r="L63" s="117" t="str">
        <f>IF($A63="","",IF($J63=0,"n.b.",SUMIFS(STG_ZPMW03!$BK$6:$BK$505,STG_ZPMW03!$B$6:$B$505,$A63)))</f>
        <v/>
      </c>
      <c r="M63" s="117" t="str">
        <f>IF($A63="","",IF($J63=0,"n.b.",SUMIFS(STG_ZPMW03!$BL$6:$BL$505,STG_ZPMW03!$B$6:$B$505,$A63)))</f>
        <v/>
      </c>
      <c r="N63" s="117" t="str">
        <f>IF($A63="","",IF($J63=0,"n.b.",SUMIFS(STG_ZPMW03!$BM$6:$BM$505,STG_ZPMW03!$B$6:$B$505,$A63)))</f>
        <v/>
      </c>
      <c r="O63" s="117" t="str">
        <f>IF($A63="","",IF($J63=0,"n.b.",SUMIFS(STG_ZPMW03!$BN$6:$BN$505,STG_ZPMW03!$B$6:$B$505,$A63)))</f>
        <v/>
      </c>
      <c r="P63" s="117" t="str">
        <f>IF($A63="","",IF($J63=0,"n.b.",SUMIFS(STG_ZPMW03!$BO$6:$BO$505,STG_ZPMW03!$B$6:$B$505,$A63)))</f>
        <v/>
      </c>
      <c r="Q63" s="117" t="str">
        <f>IF($A63="","",IF($J63=0,"n.b.",SUMIFS(STG_ZPMW03!$BP$6:$BP$505,STG_ZPMW03!$B$6:$B$505,$A63)))</f>
        <v/>
      </c>
      <c r="R63" s="117" t="str">
        <f>IF($A63="","",IF($J63=0,"n.b.",SUMIFS(STG_ZPMW03!$BQ$6:$BQ$505,STG_ZPMW03!$B$6:$B$505,$A63)))</f>
        <v/>
      </c>
      <c r="S63" s="117" t="str">
        <f>IF($A63="","",IF($J63=0,"n.b.",SUMIFS(STG_ZPMW03!$BR$6:$BR$505,STG_ZPMW03!$B$6:$B$505,$A63)))</f>
        <v/>
      </c>
      <c r="T63" s="117" t="str">
        <f>IF($A63="","",IF($J63=0,"n.b.",SUMIFS(STG_ZPMW03!$BS$6:$BS$505,STG_ZPMW03!$B$6:$B$505,$A63)))</f>
        <v/>
      </c>
      <c r="U63" s="117" t="str">
        <f>IF($A63="","",IF($J63=0,"n.b.",SUMIFS(STG_ZPMW03!$BT$6:$BT$505,STG_ZPMW03!$B$6:$B$505,$A63)))</f>
        <v/>
      </c>
      <c r="V63" s="117" t="str">
        <f>IF($A63="","",IF($J63=0,"n.b.",SUMIFS(STG_ZPMW03!$BU$6:$BU$505,STG_ZPMW03!$B$6:$B$505,$A63)))</f>
        <v/>
      </c>
      <c r="W63" s="117" t="str">
        <f>IF($A63="","",IF($J63=0,"n.b.",SUMIFS(STG_ZPMW03!$BW$6:$BW$505,STG_ZPMW03!$B$6:$B$505,$A63)))</f>
        <v/>
      </c>
      <c r="X63" s="117" t="str">
        <f>IF($A63="","",IF($J63=0,"n.b.",SUMIFS(STG_ZPMW03!$BY$6:$BY$505,STG_ZPMW03!$B$6:$B$505,$A63)))</f>
        <v/>
      </c>
      <c r="Y63" s="117" t="str">
        <f>IF($A63="","",IF($J63=0,"n.b.",SUMIFS(STG_ZPMW03!$CA$6:$CA$505,STG_ZPMW03!$B$6:$B$505,$A63)))</f>
        <v/>
      </c>
      <c r="Z63" s="117" t="str">
        <f>IF($A63="","",IF($J63=0,"n.b.",SUMIFS(STG_ZPMW03!$BV$6:$BV$505,STG_ZPMW03!$B$6:$B$505,$A63)))</f>
        <v/>
      </c>
      <c r="AA63" s="117" t="str">
        <f>IF($A63="","",IF($J63=0,"n.b.",SUMIFS(STG_ZPMW03!$BX$6:$BX$505,STG_ZPMW03!$B$6:$B$505,$A63)))</f>
        <v/>
      </c>
      <c r="AB63" s="117" t="str">
        <f>IF($A63="","",IF($J63=0,"n.b.",SUMIFS(STG_ZPMW03!$BZ$6:$BZ$505,STG_ZPMW03!$B$6:$B$505,$A63)))</f>
        <v/>
      </c>
      <c r="AC63" s="117" t="str">
        <f>IF($A63="","",IF($J63=0,"n.b.",SUMIFS(STG_ZPMW03!$CB$6:$CB$505,STG_ZPMW03!$B$6:$B$505,$A63)))</f>
        <v/>
      </c>
      <c r="AD63" s="117" t="str">
        <f>IF($A63="","",IF($J63=0,"n.b.",SUMIFS(STG_ZPMW03!$CC$6:$CC$505,STG_ZPMW03!$B$6:$B$505,$A63)))</f>
        <v/>
      </c>
      <c r="AE63" s="117" t="str">
        <f>IF($A63="","",IF($J63=0,"n.b.",SUMIFS(STG_ZPMW03!$CE$6:$CE$505,STG_ZPMW03!$B$6:$B$505,$A63)))</f>
        <v/>
      </c>
      <c r="AF63" s="117" t="str">
        <f>IF($A63="","",IF($J63=0,"n.b.",SUMIFS(STG_ZPMW03!$CG$6:$CG$505,STG_ZPMW03!$B$6:$B$505,$A63)))</f>
        <v/>
      </c>
      <c r="AG63" s="117" t="str">
        <f>IF($A63="","",IF($J63=0,"n.b.",SUMIFS(STG_ZPMW03!$CI$6:$CI$505,STG_ZPMW03!$B$6:$B$505,$A63)))</f>
        <v/>
      </c>
      <c r="AH63" s="117" t="str">
        <f>IF($A63="","",IF($J63=0,"n.b.",SUMIFS(STG_ZPMW03!$CK$6:$CK$505,STG_ZPMW03!$B$6:$B$505,$A63)))</f>
        <v/>
      </c>
      <c r="AI63" s="117" t="str">
        <f>IF($A63="","",IF($J63=0,"n.b.",SUMIFS(STG_ZPMW03!$CM$6:$CM$505,STG_ZPMW03!$B$6:$B$505,$A63)))</f>
        <v/>
      </c>
      <c r="AJ63" s="117" t="str">
        <f>IF($A63="","",IF($J63=0,"n.b.",SUMIFS(STG_ZPMW03!$CO$6:$CO$505,STG_ZPMW03!$B$6:$B$505,$A63)))</f>
        <v/>
      </c>
      <c r="AK63" s="117" t="str">
        <f>IF($A63="","",IF($J63=0,"n.b.",SUMIFS(STG_ZPMW03!$CQ$6:$CQ$505,STG_ZPMW03!$B$6:$B$505,$A63)))</f>
        <v/>
      </c>
      <c r="AL63" s="117" t="str">
        <f>IF($A63="","",IF($J63=0,"n.b.",SUMIFS(STG_ZPMW03!$CD$6:$CD$505,STG_ZPMW03!$B$6:$B$505,$A63)))</f>
        <v/>
      </c>
      <c r="AM63" s="117" t="str">
        <f>IF($A63="","",IF($J63=0,"n.b.",SUMIFS(STG_ZPMW03!$CF$6:$CF$505,STG_ZPMW03!$B$6:$B$505,$A63)))</f>
        <v/>
      </c>
      <c r="AN63" s="117" t="str">
        <f>IF($A63="","",IF($J63=0,"n.b.",SUMIFS(STG_ZPMW03!$CH$6:$CH$505,STG_ZPMW03!$B$6:$B$505,$A63)))</f>
        <v/>
      </c>
      <c r="AO63" s="117" t="str">
        <f>IF($A63="","",IF($J63=0,"n.b.",SUMIFS(STG_ZPMW03!$CJ$6:$CJ$505,STG_ZPMW03!$B$6:$B$505,$A63)))</f>
        <v/>
      </c>
      <c r="AP63" s="117" t="str">
        <f>IF($A63="","",IF($J63=0,"n.b.",SUMIFS(STG_ZPMW03!$CL$6:$CL$505,STG_ZPMW03!$B$6:$B$505,$A63)))</f>
        <v/>
      </c>
      <c r="AQ63" s="117" t="str">
        <f>IF($A63="","",IF($J63=0,"n.b.",SUMIFS(STG_ZPMW03!$CN$6:$CN$505,STG_ZPMW03!$B$6:$B$505,$A63)))</f>
        <v/>
      </c>
      <c r="AR63" s="117" t="str">
        <f>IF($A63="","",IF($J63=0,"n.b.",SUMIFS(STG_ZPMW03!$CP$6:$CP$505,STG_ZPMW03!$B$6:$B$505,$A63)))</f>
        <v/>
      </c>
      <c r="AS63" s="117" t="str">
        <f>IF($A63="","",IF($J63=0,"n.b.",SUMIFS(STG_ZPMW03!$CR$6:$CR$505,STG_ZPMW03!$B$6:$B$505,$A63)))</f>
        <v/>
      </c>
      <c r="AT63" s="117" t="str">
        <f>IF($A63="","",IF($K63=0,"n.b.",SUMIFS(STG_Woningetalage!$Q$6:$Q$505,STG_Woningetalage!$B$6:$B$505,$A63)))</f>
        <v/>
      </c>
      <c r="AU63" s="117" t="str">
        <f>IF($A63="","",IF($K63=0,"n.b.",SUMIFS(STG_Woningetalage!$R$6:$R$505,STG_Woningetalage!$B$6:$B$505,$A63)))</f>
        <v/>
      </c>
      <c r="AV63" s="117" t="str">
        <f>IF($A63="","",IF($K63=0,"n.b.",SUMIFS(STG_Woningetalage!$S$6:$S$505,STG_Woningetalage!$B$6:$B$505,$A63)))</f>
        <v/>
      </c>
      <c r="AW63" s="117" t="str">
        <f>IF($A63="","",IF($K63=0,"n.b.",SUMIFS(STG_Woningetalage!$T$6:$T$505,STG_Woningetalage!$B$6:$B$505,$A63)))</f>
        <v/>
      </c>
      <c r="AX63" s="117" t="str">
        <f>IF($A63="","",IF($K63=0,"n.b.",SUMIFS(STG_Woningetalage!$U$6:$U$505,STG_Woningetalage!$B$6:$B$505,$A63)))</f>
        <v/>
      </c>
      <c r="AY63" s="117" t="str">
        <f>IF($A63="","",IF($K63=0,"n.b.",SUMIFS(STG_Woningetalage!$V$6:$V$505,STG_Woningetalage!$B$6:$B$505,$A63)))</f>
        <v/>
      </c>
      <c r="AZ63" s="117" t="str">
        <f>IF($A63="","",IF($K63=0,"n.b.",SUMIFS(STG_Woningetalage!$W$6:$W$505,STG_Woningetalage!$B$6:$B$505,$A63)))</f>
        <v/>
      </c>
      <c r="BA63" s="117" t="str">
        <f>IF($A63="","",IF($K63=0,"n.b.",SUMIFS(STG_Woningetalage!$X$6:$X$505,STG_Woningetalage!$B$6:$B$505,$A63)))</f>
        <v/>
      </c>
      <c r="BB63" s="117" t="str">
        <f>IF($A63="","",IF($K63=0,"n.b.",SUMIFS(STG_Woningetalage!$Y$6:$Y$505,STG_Woningetalage!$B$6:$B$505,$A63)))</f>
        <v/>
      </c>
      <c r="BC63" s="117" t="str">
        <f>IF($A63="","",IF($K63=0,"n.b.",SUMIFS(STG_Woningetalage!$Z$6:$Z$505,STG_Woningetalage!$B$6:$B$505,$A63)))</f>
        <v/>
      </c>
      <c r="BD63" s="117" t="str">
        <f>IF($A63="","",IF($K63=0,"n.b.",SUMIFS(STG_Woningetalage!$AA$6:$AA$505,STG_Woningetalage!$B$6:$B$505,$A63)))</f>
        <v/>
      </c>
      <c r="BE63" s="117" t="str">
        <f>IF($A63="","",IF($K63=0,"n.b.",SUMIFS(STG_Woningetalage!$AB$6:$AB$505,STG_Woningetalage!$B$6:$B$505,$A63)))</f>
        <v/>
      </c>
      <c r="BF63" s="117" t="str">
        <f>IF($A63="","",IF($K63=0,"n.b.",SUMIFS(STG_Woningetalage!$AC$6:$AC$505,STG_Woningetalage!$B$6:$B$505,$A63)))</f>
        <v/>
      </c>
      <c r="BG63" s="117" t="str">
        <f>IF($A63="","",IF($K63=0,"n.b.",SUMIFS(STG_Woningetalage!$AD$6:$AD$505,STG_Woningetalage!$B$6:$B$505,$A63)))</f>
        <v/>
      </c>
      <c r="BH63" s="117" t="str">
        <f>IF($A63="","",IF($K63=0,"n.b.",SUMIFS(STG_Woningetalage!$AE$6:$AE$505,STG_Woningetalage!$B$6:$B$505,$A63)))</f>
        <v/>
      </c>
      <c r="BI63" s="117" t="str">
        <f>IF($A63="","",IF($K63=0,"n.b.",SUMIFS(STG_Woningetalage!$AF$6:$AF$505,STG_Woningetalage!$B$6:$B$505,$A63)))</f>
        <v/>
      </c>
      <c r="BJ63" s="117" t="str">
        <f>IF($A63="","",IF($K63=0,"n.b.",SUMIFS(STG_Woningetalage!$AG$6:$AG$505,STG_Woningetalage!$B$6:$B$505,$A63)))</f>
        <v/>
      </c>
      <c r="BK63" s="117" t="str">
        <f>IF($A63="","",IF($K63=0,"n.b.",SUMIFS(STG_Woningetalage!$AH$6:$AH$505,STG_Woningetalage!$B$6:$B$505,$A63)))</f>
        <v/>
      </c>
      <c r="BL63" s="117" t="str">
        <f>IF($A63="","",IF($K63=0,"n.b.",SUMIFS(STG_Woningetalage!$AI$6:$AI$505,STG_Woningetalage!$B$6:$B$505,$A63)))</f>
        <v/>
      </c>
      <c r="BM63" s="117" t="str">
        <f>IF($A63="","",IF($K63=0,"n.b.",SUMIFS(STG_Woningetalage!$AJ$6:$AJ$505,STG_Woningetalage!$B$6:$B$505,$A63)))</f>
        <v/>
      </c>
      <c r="BN63" s="117" t="str">
        <f>IF($A63="","",IF($K63=0,"n.b.",SUMIFS(STG_Woningetalage!$AK$6:$AK$505,STG_Woningetalage!$B$6:$B$505,$A63)))</f>
        <v/>
      </c>
      <c r="BO63" s="117" t="str">
        <f>IF($A63="","",IF($K63=0,"n.b.",SUMIFS(STG_Woningetalage!$AL$6:$AL$505,STG_Woningetalage!$B$6:$B$505,$A63)))</f>
        <v/>
      </c>
      <c r="BP63" s="117" t="str">
        <f>IF($A63="","",IF($K63=0,"n.b.",SUMIFS(STG_Woningetalage!$AM$6:$AM$505,STG_Woningetalage!$B$6:$B$505,$A63)))</f>
        <v/>
      </c>
      <c r="BQ63" s="117" t="str">
        <f>IF($A63="","",IF($K63=0,"n.b.",SUMIFS(STG_Woningetalage!$BE$6:$BE$505,STG_Woningetalage!$B$6:$B$505,$A63)))</f>
        <v/>
      </c>
      <c r="BR63" s="117" t="str">
        <f>IF($A63="","",IF($K63=0,"n.b.",SUMIFS(STG_Woningetalage!$BF$6:$BF$505,STG_Woningetalage!$B$6:$B$505,$A63)))</f>
        <v/>
      </c>
      <c r="BS63" s="117" t="str">
        <f>IF($A63="","",IF($K63=0,"n.b.",SUMIFS(STG_Woningetalage!$BG$6:$BG$505,STG_Woningetalage!$B$6:$B$505,$A63)))</f>
        <v/>
      </c>
      <c r="BT63" s="117" t="str">
        <f>IF($A63="","",IF($K63=0,"n.b.",SUMIFS(STG_Woningetalage!$BH$6:$BH$505,STG_Woningetalage!$B$6:$B$505,$A63)))</f>
        <v/>
      </c>
      <c r="BU63" s="117" t="str">
        <f>IF($A63="","",IF($K63=0,"n.b.",SUMIFS(STG_Woningetalage!$BI$6:$BI$505,STG_Woningetalage!$B$6:$B$505,$A63)))</f>
        <v/>
      </c>
      <c r="BV63" s="117" t="str">
        <f>IF($A63="","",IF($K63=0,"n.b.",SUMIFS(STG_Woningetalage!$BJ$6:$BJ$505,STG_Woningetalage!$B$6:$B$505,$A63)))</f>
        <v/>
      </c>
      <c r="BW63" s="117" t="str">
        <f>IF($A63="","",IF($K63=0,"n.b.",SUMIFS(STG_Woningetalage!$AR$6:$AR$505,STG_Woningetalage!$B$6:$B$505,$A63)))</f>
        <v/>
      </c>
      <c r="BX63" s="117" t="str">
        <f>IF($A63="","",IF($K63=0,"n.b.",SUMIFS(STG_Woningetalage!$AS$6:$AS$505,STG_Woningetalage!$B$6:$B$505,$A63)))</f>
        <v/>
      </c>
      <c r="BY63" s="117" t="str">
        <f>IF($A63="","",IF($K63=0,"n.b.",SUMIFS(STG_Woningetalage!$AN$6:$AN$505,STG_Woningetalage!$B$6:$B$505,$A63)))</f>
        <v/>
      </c>
      <c r="BZ63" s="117" t="str">
        <f>IF($A63="","",IF($K63=0,"n.b.",SUMIFS(STG_Woningetalage!$AO$6:$AO$505,STG_Woningetalage!$B$6:$B$505,$A63)))</f>
        <v/>
      </c>
      <c r="CA63" s="117" t="str">
        <f>IF($A63="","",IF($K63=0,"n.b.",SUMIFS(STG_Woningetalage!$AP$6:$AP$505,STG_Woningetalage!$B$6:$B$505,$A63)))</f>
        <v/>
      </c>
      <c r="CB63" s="117" t="str">
        <f>IF($A63="","",IF($K63=0,"n.b.",SUMIFS(STG_Woningetalage!$AQ$6:$AQ$505,STG_Woningetalage!$B$6:$B$505,$A63)))</f>
        <v/>
      </c>
      <c r="CC63" s="117" t="str">
        <f>IF($A63="","",IF($K63=0,"n.b.",SUMIFS(STG_Woningetalage!$AU$6:$AU$505,STG_Woningetalage!$B$6:$B$505,$A63)))</f>
        <v/>
      </c>
      <c r="CD63" s="92" t="str">
        <f>IF($A63="","",IFERROR(INDEX(STG_ZPMW03!$L$6:$L$505,MATCH($A63,STG_ZPMW03!$B$6:$B$505,0)),"n.b."))</f>
        <v/>
      </c>
      <c r="CE63" s="92" t="str">
        <f>IF($A63="","",IFERROR(INDEX(STG_ZPMW03!$K$6:$K$505,MATCH($A63,STG_ZPMW03!$B$6:$B$505,0)),"n.b."))</f>
        <v/>
      </c>
      <c r="CF63" s="92" t="str">
        <f>IF($A63="","",IFERROR(INDEX(STG_ZPMW03!$BH$6:$BH$505,MATCH($A63,STG_ZPMW03!$B$6:$B$505,0)),"n.b."))</f>
        <v/>
      </c>
      <c r="CG63" s="92" t="str">
        <f>IF($A63="","",IFERROR(INDEX(STG_ZPMW03!$BI$6:$BI$505,MATCH($A63,STG_ZPMW03!$B$6:$B$505,0)),"n.b."))</f>
        <v/>
      </c>
      <c r="CH63" s="92" t="str">
        <f>IF($A63="","",IFERROR(INDEX(STG_ZPMW03!$BJ$6:$BJ$505,MATCH($A63,STG_ZPMW03!$B$6:$B$505,0)),"n.b."))</f>
        <v/>
      </c>
      <c r="CI63" s="92" t="str">
        <f>IF($A63="","",IFERROR(INDEX(STG_ZPMW03!$BF$6:$BF$505,MATCH($A63,STG_ZPMW03!$B$6:$B$505,0)),"n.b."))</f>
        <v/>
      </c>
      <c r="CJ63" s="92" t="str">
        <f>IF($A63="","",IFERROR(INDEX(STG_ZPMW03!$BG$6:$BG$505,MATCH($A63,STG_ZPMW03!$B$6:$B$505,0)),"n.b."))</f>
        <v/>
      </c>
      <c r="CK63" s="92" t="str">
        <f>IF($A63="","",IFERROR(INDEX(STG_ZPMW03!$H$6:$H$505,MATCH($A63,STG_ZPMW03!$B$6:$B$505,0)),"n.b."))</f>
        <v/>
      </c>
      <c r="CL63" s="92" t="str">
        <f>IF($A63="","",IFERROR(INDEX(STG_ZPMW03!$E$6:$E$505,MATCH($A63,STG_ZPMW03!$B$6:$B$505,0)),"n.b."))</f>
        <v/>
      </c>
      <c r="CM63" s="92" t="str">
        <f>IF($A63="","",IFERROR(INDEX(STG_ZPMW03!$G$6:$G$505,MATCH($A63,STG_ZPMW03!$B$6:$B$505,0)),"n.b."))</f>
        <v/>
      </c>
      <c r="CN63" s="92" t="str">
        <f>IF($A63="","",IFERROR(INDEX(STG_Woningetalage!$N$6:$N$505,MATCH($A63,STG_Woningetalage!$B$6:$B$505,0)),"n.b."))</f>
        <v/>
      </c>
      <c r="CO63" s="92" t="str">
        <f>IF($A63="","",IFERROR(INDEX(STG_Woningetalage!$P$6:$P$505,MATCH($A63,STG_Woningetalage!$B$6:$B$505,0)),"n.b."))</f>
        <v/>
      </c>
      <c r="CP63" s="118" t="str">
        <f>IF($A63="","",IF(AND(ISNUMBER(AT63),ISNUMBER(F63)),IF(F63&gt;0,AT63/(F63/100),"n.b."),"n.b."))</f>
        <v/>
      </c>
      <c r="CQ63" s="116" t="str">
        <f>IF($A63="","",IF(ISNUMBER(Q63),IF(Q63&lt;0,1,0),0))</f>
        <v/>
      </c>
      <c r="CR63" s="116" t="str">
        <f>IF(CQ63=1,COUNTIF($CQ$6:CQ63,1),"")</f>
        <v/>
      </c>
      <c r="CS63" s="116" t="str">
        <f>IF(AND($A63&lt;&gt;"",$J63=0),COUNTIFS($A$6:$A63,"?*",$J$6:$J63,0),"")</f>
        <v/>
      </c>
      <c r="CT63" s="119" t="str">
        <f>IF($A63="","",IF(AND(ISNUMBER(Q63),ISNUMBER(P63)),IF(P63&lt;&gt;0,Q63/P63,"n.b."),"n.b."))</f>
        <v/>
      </c>
    </row>
    <row r="64">
      <c r="A64" s="92" t="str">
        <f>IF(Mapping!$A63="","",Mapping!$A63)</f>
        <v/>
      </c>
      <c r="B64" s="92" t="str">
        <f>IF(Mapping!$B63="","",Mapping!$B63)</f>
        <v/>
      </c>
      <c r="C64" s="92" t="str">
        <f>IF(Mapping!$C63="","",Mapping!$C63)</f>
        <v/>
      </c>
      <c r="D64" s="92" t="str">
        <f>IF(Mapping!$F63="","",Mapping!$F63)</f>
        <v/>
      </c>
      <c r="E64" s="92" t="str">
        <f>IF(Mapping!$H63="","",Mapping!$H63)</f>
        <v/>
      </c>
      <c r="F64" s="92" t="str">
        <f>IF(Mapping!$E63="","",Mapping!$E63)</f>
        <v/>
      </c>
      <c r="G64" s="92" t="str">
        <f>IF(Mapping!$G63="","",Mapping!$G63)</f>
        <v/>
      </c>
      <c r="H64" s="92" t="str">
        <f>IF(Mapping!$D63="","",Mapping!$D63)</f>
        <v/>
      </c>
      <c r="I64" s="92" t="str">
        <f>IF($A64="","",IFERROR(INDEX(STG_ZPMW03!$C$6:$C$505,MATCH($A64,STG_ZPMW03!$B$6:$B$505,0)),"n.b."))</f>
        <v/>
      </c>
      <c r="J64" s="116" t="str">
        <f>IF($A64="","",COUNTIF(STG_ZPMW03!$B$6:$B$505,$A64))</f>
        <v/>
      </c>
      <c r="K64" s="116" t="str">
        <f>IF($A64="","",COUNTIF(STG_Woningetalage!$B$6:$B$505,$A64))</f>
        <v/>
      </c>
      <c r="L64" s="117" t="str">
        <f>IF($A64="","",IF($J64=0,"n.b.",SUMIFS(STG_ZPMW03!$BK$6:$BK$505,STG_ZPMW03!$B$6:$B$505,$A64)))</f>
        <v/>
      </c>
      <c r="M64" s="117" t="str">
        <f>IF($A64="","",IF($J64=0,"n.b.",SUMIFS(STG_ZPMW03!$BL$6:$BL$505,STG_ZPMW03!$B$6:$B$505,$A64)))</f>
        <v/>
      </c>
      <c r="N64" s="117" t="str">
        <f>IF($A64="","",IF($J64=0,"n.b.",SUMIFS(STG_ZPMW03!$BM$6:$BM$505,STG_ZPMW03!$B$6:$B$505,$A64)))</f>
        <v/>
      </c>
      <c r="O64" s="117" t="str">
        <f>IF($A64="","",IF($J64=0,"n.b.",SUMIFS(STG_ZPMW03!$BN$6:$BN$505,STG_ZPMW03!$B$6:$B$505,$A64)))</f>
        <v/>
      </c>
      <c r="P64" s="117" t="str">
        <f>IF($A64="","",IF($J64=0,"n.b.",SUMIFS(STG_ZPMW03!$BO$6:$BO$505,STG_ZPMW03!$B$6:$B$505,$A64)))</f>
        <v/>
      </c>
      <c r="Q64" s="117" t="str">
        <f>IF($A64="","",IF($J64=0,"n.b.",SUMIFS(STG_ZPMW03!$BP$6:$BP$505,STG_ZPMW03!$B$6:$B$505,$A64)))</f>
        <v/>
      </c>
      <c r="R64" s="117" t="str">
        <f>IF($A64="","",IF($J64=0,"n.b.",SUMIFS(STG_ZPMW03!$BQ$6:$BQ$505,STG_ZPMW03!$B$6:$B$505,$A64)))</f>
        <v/>
      </c>
      <c r="S64" s="117" t="str">
        <f>IF($A64="","",IF($J64=0,"n.b.",SUMIFS(STG_ZPMW03!$BR$6:$BR$505,STG_ZPMW03!$B$6:$B$505,$A64)))</f>
        <v/>
      </c>
      <c r="T64" s="117" t="str">
        <f>IF($A64="","",IF($J64=0,"n.b.",SUMIFS(STG_ZPMW03!$BS$6:$BS$505,STG_ZPMW03!$B$6:$B$505,$A64)))</f>
        <v/>
      </c>
      <c r="U64" s="117" t="str">
        <f>IF($A64="","",IF($J64=0,"n.b.",SUMIFS(STG_ZPMW03!$BT$6:$BT$505,STG_ZPMW03!$B$6:$B$505,$A64)))</f>
        <v/>
      </c>
      <c r="V64" s="117" t="str">
        <f>IF($A64="","",IF($J64=0,"n.b.",SUMIFS(STG_ZPMW03!$BU$6:$BU$505,STG_ZPMW03!$B$6:$B$505,$A64)))</f>
        <v/>
      </c>
      <c r="W64" s="117" t="str">
        <f>IF($A64="","",IF($J64=0,"n.b.",SUMIFS(STG_ZPMW03!$BW$6:$BW$505,STG_ZPMW03!$B$6:$B$505,$A64)))</f>
        <v/>
      </c>
      <c r="X64" s="117" t="str">
        <f>IF($A64="","",IF($J64=0,"n.b.",SUMIFS(STG_ZPMW03!$BY$6:$BY$505,STG_ZPMW03!$B$6:$B$505,$A64)))</f>
        <v/>
      </c>
      <c r="Y64" s="117" t="str">
        <f>IF($A64="","",IF($J64=0,"n.b.",SUMIFS(STG_ZPMW03!$CA$6:$CA$505,STG_ZPMW03!$B$6:$B$505,$A64)))</f>
        <v/>
      </c>
      <c r="Z64" s="117" t="str">
        <f>IF($A64="","",IF($J64=0,"n.b.",SUMIFS(STG_ZPMW03!$BV$6:$BV$505,STG_ZPMW03!$B$6:$B$505,$A64)))</f>
        <v/>
      </c>
      <c r="AA64" s="117" t="str">
        <f>IF($A64="","",IF($J64=0,"n.b.",SUMIFS(STG_ZPMW03!$BX$6:$BX$505,STG_ZPMW03!$B$6:$B$505,$A64)))</f>
        <v/>
      </c>
      <c r="AB64" s="117" t="str">
        <f>IF($A64="","",IF($J64=0,"n.b.",SUMIFS(STG_ZPMW03!$BZ$6:$BZ$505,STG_ZPMW03!$B$6:$B$505,$A64)))</f>
        <v/>
      </c>
      <c r="AC64" s="117" t="str">
        <f>IF($A64="","",IF($J64=0,"n.b.",SUMIFS(STG_ZPMW03!$CB$6:$CB$505,STG_ZPMW03!$B$6:$B$505,$A64)))</f>
        <v/>
      </c>
      <c r="AD64" s="117" t="str">
        <f>IF($A64="","",IF($J64=0,"n.b.",SUMIFS(STG_ZPMW03!$CC$6:$CC$505,STG_ZPMW03!$B$6:$B$505,$A64)))</f>
        <v/>
      </c>
      <c r="AE64" s="117" t="str">
        <f>IF($A64="","",IF($J64=0,"n.b.",SUMIFS(STG_ZPMW03!$CE$6:$CE$505,STG_ZPMW03!$B$6:$B$505,$A64)))</f>
        <v/>
      </c>
      <c r="AF64" s="117" t="str">
        <f>IF($A64="","",IF($J64=0,"n.b.",SUMIFS(STG_ZPMW03!$CG$6:$CG$505,STG_ZPMW03!$B$6:$B$505,$A64)))</f>
        <v/>
      </c>
      <c r="AG64" s="117" t="str">
        <f>IF($A64="","",IF($J64=0,"n.b.",SUMIFS(STG_ZPMW03!$CI$6:$CI$505,STG_ZPMW03!$B$6:$B$505,$A64)))</f>
        <v/>
      </c>
      <c r="AH64" s="117" t="str">
        <f>IF($A64="","",IF($J64=0,"n.b.",SUMIFS(STG_ZPMW03!$CK$6:$CK$505,STG_ZPMW03!$B$6:$B$505,$A64)))</f>
        <v/>
      </c>
      <c r="AI64" s="117" t="str">
        <f>IF($A64="","",IF($J64=0,"n.b.",SUMIFS(STG_ZPMW03!$CM$6:$CM$505,STG_ZPMW03!$B$6:$B$505,$A64)))</f>
        <v/>
      </c>
      <c r="AJ64" s="117" t="str">
        <f>IF($A64="","",IF($J64=0,"n.b.",SUMIFS(STG_ZPMW03!$CO$6:$CO$505,STG_ZPMW03!$B$6:$B$505,$A64)))</f>
        <v/>
      </c>
      <c r="AK64" s="117" t="str">
        <f>IF($A64="","",IF($J64=0,"n.b.",SUMIFS(STG_ZPMW03!$CQ$6:$CQ$505,STG_ZPMW03!$B$6:$B$505,$A64)))</f>
        <v/>
      </c>
      <c r="AL64" s="117" t="str">
        <f>IF($A64="","",IF($J64=0,"n.b.",SUMIFS(STG_ZPMW03!$CD$6:$CD$505,STG_ZPMW03!$B$6:$B$505,$A64)))</f>
        <v/>
      </c>
      <c r="AM64" s="117" t="str">
        <f>IF($A64="","",IF($J64=0,"n.b.",SUMIFS(STG_ZPMW03!$CF$6:$CF$505,STG_ZPMW03!$B$6:$B$505,$A64)))</f>
        <v/>
      </c>
      <c r="AN64" s="117" t="str">
        <f>IF($A64="","",IF($J64=0,"n.b.",SUMIFS(STG_ZPMW03!$CH$6:$CH$505,STG_ZPMW03!$B$6:$B$505,$A64)))</f>
        <v/>
      </c>
      <c r="AO64" s="117" t="str">
        <f>IF($A64="","",IF($J64=0,"n.b.",SUMIFS(STG_ZPMW03!$CJ$6:$CJ$505,STG_ZPMW03!$B$6:$B$505,$A64)))</f>
        <v/>
      </c>
      <c r="AP64" s="117" t="str">
        <f>IF($A64="","",IF($J64=0,"n.b.",SUMIFS(STG_ZPMW03!$CL$6:$CL$505,STG_ZPMW03!$B$6:$B$505,$A64)))</f>
        <v/>
      </c>
      <c r="AQ64" s="117" t="str">
        <f>IF($A64="","",IF($J64=0,"n.b.",SUMIFS(STG_ZPMW03!$CN$6:$CN$505,STG_ZPMW03!$B$6:$B$505,$A64)))</f>
        <v/>
      </c>
      <c r="AR64" s="117" t="str">
        <f>IF($A64="","",IF($J64=0,"n.b.",SUMIFS(STG_ZPMW03!$CP$6:$CP$505,STG_ZPMW03!$B$6:$B$505,$A64)))</f>
        <v/>
      </c>
      <c r="AS64" s="117" t="str">
        <f>IF($A64="","",IF($J64=0,"n.b.",SUMIFS(STG_ZPMW03!$CR$6:$CR$505,STG_ZPMW03!$B$6:$B$505,$A64)))</f>
        <v/>
      </c>
      <c r="AT64" s="117" t="str">
        <f>IF($A64="","",IF($K64=0,"n.b.",SUMIFS(STG_Woningetalage!$Q$6:$Q$505,STG_Woningetalage!$B$6:$B$505,$A64)))</f>
        <v/>
      </c>
      <c r="AU64" s="117" t="str">
        <f>IF($A64="","",IF($K64=0,"n.b.",SUMIFS(STG_Woningetalage!$R$6:$R$505,STG_Woningetalage!$B$6:$B$505,$A64)))</f>
        <v/>
      </c>
      <c r="AV64" s="117" t="str">
        <f>IF($A64="","",IF($K64=0,"n.b.",SUMIFS(STG_Woningetalage!$S$6:$S$505,STG_Woningetalage!$B$6:$B$505,$A64)))</f>
        <v/>
      </c>
      <c r="AW64" s="117" t="str">
        <f>IF($A64="","",IF($K64=0,"n.b.",SUMIFS(STG_Woningetalage!$T$6:$T$505,STG_Woningetalage!$B$6:$B$505,$A64)))</f>
        <v/>
      </c>
      <c r="AX64" s="117" t="str">
        <f>IF($A64="","",IF($K64=0,"n.b.",SUMIFS(STG_Woningetalage!$U$6:$U$505,STG_Woningetalage!$B$6:$B$505,$A64)))</f>
        <v/>
      </c>
      <c r="AY64" s="117" t="str">
        <f>IF($A64="","",IF($K64=0,"n.b.",SUMIFS(STG_Woningetalage!$V$6:$V$505,STG_Woningetalage!$B$6:$B$505,$A64)))</f>
        <v/>
      </c>
      <c r="AZ64" s="117" t="str">
        <f>IF($A64="","",IF($K64=0,"n.b.",SUMIFS(STG_Woningetalage!$W$6:$W$505,STG_Woningetalage!$B$6:$B$505,$A64)))</f>
        <v/>
      </c>
      <c r="BA64" s="117" t="str">
        <f>IF($A64="","",IF($K64=0,"n.b.",SUMIFS(STG_Woningetalage!$X$6:$X$505,STG_Woningetalage!$B$6:$B$505,$A64)))</f>
        <v/>
      </c>
      <c r="BB64" s="117" t="str">
        <f>IF($A64="","",IF($K64=0,"n.b.",SUMIFS(STG_Woningetalage!$Y$6:$Y$505,STG_Woningetalage!$B$6:$B$505,$A64)))</f>
        <v/>
      </c>
      <c r="BC64" s="117" t="str">
        <f>IF($A64="","",IF($K64=0,"n.b.",SUMIFS(STG_Woningetalage!$Z$6:$Z$505,STG_Woningetalage!$B$6:$B$505,$A64)))</f>
        <v/>
      </c>
      <c r="BD64" s="117" t="str">
        <f>IF($A64="","",IF($K64=0,"n.b.",SUMIFS(STG_Woningetalage!$AA$6:$AA$505,STG_Woningetalage!$B$6:$B$505,$A64)))</f>
        <v/>
      </c>
      <c r="BE64" s="117" t="str">
        <f>IF($A64="","",IF($K64=0,"n.b.",SUMIFS(STG_Woningetalage!$AB$6:$AB$505,STG_Woningetalage!$B$6:$B$505,$A64)))</f>
        <v/>
      </c>
      <c r="BF64" s="117" t="str">
        <f>IF($A64="","",IF($K64=0,"n.b.",SUMIFS(STG_Woningetalage!$AC$6:$AC$505,STG_Woningetalage!$B$6:$B$505,$A64)))</f>
        <v/>
      </c>
      <c r="BG64" s="117" t="str">
        <f>IF($A64="","",IF($K64=0,"n.b.",SUMIFS(STG_Woningetalage!$AD$6:$AD$505,STG_Woningetalage!$B$6:$B$505,$A64)))</f>
        <v/>
      </c>
      <c r="BH64" s="117" t="str">
        <f>IF($A64="","",IF($K64=0,"n.b.",SUMIFS(STG_Woningetalage!$AE$6:$AE$505,STG_Woningetalage!$B$6:$B$505,$A64)))</f>
        <v/>
      </c>
      <c r="BI64" s="117" t="str">
        <f>IF($A64="","",IF($K64=0,"n.b.",SUMIFS(STG_Woningetalage!$AF$6:$AF$505,STG_Woningetalage!$B$6:$B$505,$A64)))</f>
        <v/>
      </c>
      <c r="BJ64" s="117" t="str">
        <f>IF($A64="","",IF($K64=0,"n.b.",SUMIFS(STG_Woningetalage!$AG$6:$AG$505,STG_Woningetalage!$B$6:$B$505,$A64)))</f>
        <v/>
      </c>
      <c r="BK64" s="117" t="str">
        <f>IF($A64="","",IF($K64=0,"n.b.",SUMIFS(STG_Woningetalage!$AH$6:$AH$505,STG_Woningetalage!$B$6:$B$505,$A64)))</f>
        <v/>
      </c>
      <c r="BL64" s="117" t="str">
        <f>IF($A64="","",IF($K64=0,"n.b.",SUMIFS(STG_Woningetalage!$AI$6:$AI$505,STG_Woningetalage!$B$6:$B$505,$A64)))</f>
        <v/>
      </c>
      <c r="BM64" s="117" t="str">
        <f>IF($A64="","",IF($K64=0,"n.b.",SUMIFS(STG_Woningetalage!$AJ$6:$AJ$505,STG_Woningetalage!$B$6:$B$505,$A64)))</f>
        <v/>
      </c>
      <c r="BN64" s="117" t="str">
        <f>IF($A64="","",IF($K64=0,"n.b.",SUMIFS(STG_Woningetalage!$AK$6:$AK$505,STG_Woningetalage!$B$6:$B$505,$A64)))</f>
        <v/>
      </c>
      <c r="BO64" s="117" t="str">
        <f>IF($A64="","",IF($K64=0,"n.b.",SUMIFS(STG_Woningetalage!$AL$6:$AL$505,STG_Woningetalage!$B$6:$B$505,$A64)))</f>
        <v/>
      </c>
      <c r="BP64" s="117" t="str">
        <f>IF($A64="","",IF($K64=0,"n.b.",SUMIFS(STG_Woningetalage!$AM$6:$AM$505,STG_Woningetalage!$B$6:$B$505,$A64)))</f>
        <v/>
      </c>
      <c r="BQ64" s="117" t="str">
        <f>IF($A64="","",IF($K64=0,"n.b.",SUMIFS(STG_Woningetalage!$BE$6:$BE$505,STG_Woningetalage!$B$6:$B$505,$A64)))</f>
        <v/>
      </c>
      <c r="BR64" s="117" t="str">
        <f>IF($A64="","",IF($K64=0,"n.b.",SUMIFS(STG_Woningetalage!$BF$6:$BF$505,STG_Woningetalage!$B$6:$B$505,$A64)))</f>
        <v/>
      </c>
      <c r="BS64" s="117" t="str">
        <f>IF($A64="","",IF($K64=0,"n.b.",SUMIFS(STG_Woningetalage!$BG$6:$BG$505,STG_Woningetalage!$B$6:$B$505,$A64)))</f>
        <v/>
      </c>
      <c r="BT64" s="117" t="str">
        <f>IF($A64="","",IF($K64=0,"n.b.",SUMIFS(STG_Woningetalage!$BH$6:$BH$505,STG_Woningetalage!$B$6:$B$505,$A64)))</f>
        <v/>
      </c>
      <c r="BU64" s="117" t="str">
        <f>IF($A64="","",IF($K64=0,"n.b.",SUMIFS(STG_Woningetalage!$BI$6:$BI$505,STG_Woningetalage!$B$6:$B$505,$A64)))</f>
        <v/>
      </c>
      <c r="BV64" s="117" t="str">
        <f>IF($A64="","",IF($K64=0,"n.b.",SUMIFS(STG_Woningetalage!$BJ$6:$BJ$505,STG_Woningetalage!$B$6:$B$505,$A64)))</f>
        <v/>
      </c>
      <c r="BW64" s="117" t="str">
        <f>IF($A64="","",IF($K64=0,"n.b.",SUMIFS(STG_Woningetalage!$AR$6:$AR$505,STG_Woningetalage!$B$6:$B$505,$A64)))</f>
        <v/>
      </c>
      <c r="BX64" s="117" t="str">
        <f>IF($A64="","",IF($K64=0,"n.b.",SUMIFS(STG_Woningetalage!$AS$6:$AS$505,STG_Woningetalage!$B$6:$B$505,$A64)))</f>
        <v/>
      </c>
      <c r="BY64" s="117" t="str">
        <f>IF($A64="","",IF($K64=0,"n.b.",SUMIFS(STG_Woningetalage!$AN$6:$AN$505,STG_Woningetalage!$B$6:$B$505,$A64)))</f>
        <v/>
      </c>
      <c r="BZ64" s="117" t="str">
        <f>IF($A64="","",IF($K64=0,"n.b.",SUMIFS(STG_Woningetalage!$AO$6:$AO$505,STG_Woningetalage!$B$6:$B$505,$A64)))</f>
        <v/>
      </c>
      <c r="CA64" s="117" t="str">
        <f>IF($A64="","",IF($K64=0,"n.b.",SUMIFS(STG_Woningetalage!$AP$6:$AP$505,STG_Woningetalage!$B$6:$B$505,$A64)))</f>
        <v/>
      </c>
      <c r="CB64" s="117" t="str">
        <f>IF($A64="","",IF($K64=0,"n.b.",SUMIFS(STG_Woningetalage!$AQ$6:$AQ$505,STG_Woningetalage!$B$6:$B$505,$A64)))</f>
        <v/>
      </c>
      <c r="CC64" s="117" t="str">
        <f>IF($A64="","",IF($K64=0,"n.b.",SUMIFS(STG_Woningetalage!$AU$6:$AU$505,STG_Woningetalage!$B$6:$B$505,$A64)))</f>
        <v/>
      </c>
      <c r="CD64" s="92" t="str">
        <f>IF($A64="","",IFERROR(INDEX(STG_ZPMW03!$L$6:$L$505,MATCH($A64,STG_ZPMW03!$B$6:$B$505,0)),"n.b."))</f>
        <v/>
      </c>
      <c r="CE64" s="92" t="str">
        <f>IF($A64="","",IFERROR(INDEX(STG_ZPMW03!$K$6:$K$505,MATCH($A64,STG_ZPMW03!$B$6:$B$505,0)),"n.b."))</f>
        <v/>
      </c>
      <c r="CF64" s="92" t="str">
        <f>IF($A64="","",IFERROR(INDEX(STG_ZPMW03!$BH$6:$BH$505,MATCH($A64,STG_ZPMW03!$B$6:$B$505,0)),"n.b."))</f>
        <v/>
      </c>
      <c r="CG64" s="92" t="str">
        <f>IF($A64="","",IFERROR(INDEX(STG_ZPMW03!$BI$6:$BI$505,MATCH($A64,STG_ZPMW03!$B$6:$B$505,0)),"n.b."))</f>
        <v/>
      </c>
      <c r="CH64" s="92" t="str">
        <f>IF($A64="","",IFERROR(INDEX(STG_ZPMW03!$BJ$6:$BJ$505,MATCH($A64,STG_ZPMW03!$B$6:$B$505,0)),"n.b."))</f>
        <v/>
      </c>
      <c r="CI64" s="92" t="str">
        <f>IF($A64="","",IFERROR(INDEX(STG_ZPMW03!$BF$6:$BF$505,MATCH($A64,STG_ZPMW03!$B$6:$B$505,0)),"n.b."))</f>
        <v/>
      </c>
      <c r="CJ64" s="92" t="str">
        <f>IF($A64="","",IFERROR(INDEX(STG_ZPMW03!$BG$6:$BG$505,MATCH($A64,STG_ZPMW03!$B$6:$B$505,0)),"n.b."))</f>
        <v/>
      </c>
      <c r="CK64" s="92" t="str">
        <f>IF($A64="","",IFERROR(INDEX(STG_ZPMW03!$H$6:$H$505,MATCH($A64,STG_ZPMW03!$B$6:$B$505,0)),"n.b."))</f>
        <v/>
      </c>
      <c r="CL64" s="92" t="str">
        <f>IF($A64="","",IFERROR(INDEX(STG_ZPMW03!$E$6:$E$505,MATCH($A64,STG_ZPMW03!$B$6:$B$505,0)),"n.b."))</f>
        <v/>
      </c>
      <c r="CM64" s="92" t="str">
        <f>IF($A64="","",IFERROR(INDEX(STG_ZPMW03!$G$6:$G$505,MATCH($A64,STG_ZPMW03!$B$6:$B$505,0)),"n.b."))</f>
        <v/>
      </c>
      <c r="CN64" s="92" t="str">
        <f>IF($A64="","",IFERROR(INDEX(STG_Woningetalage!$N$6:$N$505,MATCH($A64,STG_Woningetalage!$B$6:$B$505,0)),"n.b."))</f>
        <v/>
      </c>
      <c r="CO64" s="92" t="str">
        <f>IF($A64="","",IFERROR(INDEX(STG_Woningetalage!$P$6:$P$505,MATCH($A64,STG_Woningetalage!$B$6:$B$505,0)),"n.b."))</f>
        <v/>
      </c>
      <c r="CP64" s="118" t="str">
        <f>IF($A64="","",IF(AND(ISNUMBER(AT64),ISNUMBER(F64)),IF(F64&gt;0,AT64/(F64/100),"n.b."),"n.b."))</f>
        <v/>
      </c>
      <c r="CQ64" s="116" t="str">
        <f>IF($A64="","",IF(ISNUMBER(Q64),IF(Q64&lt;0,1,0),0))</f>
        <v/>
      </c>
      <c r="CR64" s="116" t="str">
        <f>IF(CQ64=1,COUNTIF($CQ$6:CQ64,1),"")</f>
        <v/>
      </c>
      <c r="CS64" s="116" t="str">
        <f>IF(AND($A64&lt;&gt;"",$J64=0),COUNTIFS($A$6:$A64,"?*",$J$6:$J64,0),"")</f>
        <v/>
      </c>
      <c r="CT64" s="119" t="str">
        <f>IF($A64="","",IF(AND(ISNUMBER(Q64),ISNUMBER(P64)),IF(P64&lt;&gt;0,Q64/P64,"n.b."),"n.b."))</f>
        <v/>
      </c>
    </row>
    <row r="65">
      <c r="A65" s="92" t="str">
        <f>IF(Mapping!$A64="","",Mapping!$A64)</f>
        <v/>
      </c>
      <c r="B65" s="92" t="str">
        <f>IF(Mapping!$B64="","",Mapping!$B64)</f>
        <v/>
      </c>
      <c r="C65" s="92" t="str">
        <f>IF(Mapping!$C64="","",Mapping!$C64)</f>
        <v/>
      </c>
      <c r="D65" s="92" t="str">
        <f>IF(Mapping!$F64="","",Mapping!$F64)</f>
        <v/>
      </c>
      <c r="E65" s="92" t="str">
        <f>IF(Mapping!$H64="","",Mapping!$H64)</f>
        <v/>
      </c>
      <c r="F65" s="92" t="str">
        <f>IF(Mapping!$E64="","",Mapping!$E64)</f>
        <v/>
      </c>
      <c r="G65" s="92" t="str">
        <f>IF(Mapping!$G64="","",Mapping!$G64)</f>
        <v/>
      </c>
      <c r="H65" s="92" t="str">
        <f>IF(Mapping!$D64="","",Mapping!$D64)</f>
        <v/>
      </c>
      <c r="I65" s="92" t="str">
        <f>IF($A65="","",IFERROR(INDEX(STG_ZPMW03!$C$6:$C$505,MATCH($A65,STG_ZPMW03!$B$6:$B$505,0)),"n.b."))</f>
        <v/>
      </c>
      <c r="J65" s="116" t="str">
        <f>IF($A65="","",COUNTIF(STG_ZPMW03!$B$6:$B$505,$A65))</f>
        <v/>
      </c>
      <c r="K65" s="116" t="str">
        <f>IF($A65="","",COUNTIF(STG_Woningetalage!$B$6:$B$505,$A65))</f>
        <v/>
      </c>
      <c r="L65" s="117" t="str">
        <f>IF($A65="","",IF($J65=0,"n.b.",SUMIFS(STG_ZPMW03!$BK$6:$BK$505,STG_ZPMW03!$B$6:$B$505,$A65)))</f>
        <v/>
      </c>
      <c r="M65" s="117" t="str">
        <f>IF($A65="","",IF($J65=0,"n.b.",SUMIFS(STG_ZPMW03!$BL$6:$BL$505,STG_ZPMW03!$B$6:$B$505,$A65)))</f>
        <v/>
      </c>
      <c r="N65" s="117" t="str">
        <f>IF($A65="","",IF($J65=0,"n.b.",SUMIFS(STG_ZPMW03!$BM$6:$BM$505,STG_ZPMW03!$B$6:$B$505,$A65)))</f>
        <v/>
      </c>
      <c r="O65" s="117" t="str">
        <f>IF($A65="","",IF($J65=0,"n.b.",SUMIFS(STG_ZPMW03!$BN$6:$BN$505,STG_ZPMW03!$B$6:$B$505,$A65)))</f>
        <v/>
      </c>
      <c r="P65" s="117" t="str">
        <f>IF($A65="","",IF($J65=0,"n.b.",SUMIFS(STG_ZPMW03!$BO$6:$BO$505,STG_ZPMW03!$B$6:$B$505,$A65)))</f>
        <v/>
      </c>
      <c r="Q65" s="117" t="str">
        <f>IF($A65="","",IF($J65=0,"n.b.",SUMIFS(STG_ZPMW03!$BP$6:$BP$505,STG_ZPMW03!$B$6:$B$505,$A65)))</f>
        <v/>
      </c>
      <c r="R65" s="117" t="str">
        <f>IF($A65="","",IF($J65=0,"n.b.",SUMIFS(STG_ZPMW03!$BQ$6:$BQ$505,STG_ZPMW03!$B$6:$B$505,$A65)))</f>
        <v/>
      </c>
      <c r="S65" s="117" t="str">
        <f>IF($A65="","",IF($J65=0,"n.b.",SUMIFS(STG_ZPMW03!$BR$6:$BR$505,STG_ZPMW03!$B$6:$B$505,$A65)))</f>
        <v/>
      </c>
      <c r="T65" s="117" t="str">
        <f>IF($A65="","",IF($J65=0,"n.b.",SUMIFS(STG_ZPMW03!$BS$6:$BS$505,STG_ZPMW03!$B$6:$B$505,$A65)))</f>
        <v/>
      </c>
      <c r="U65" s="117" t="str">
        <f>IF($A65="","",IF($J65=0,"n.b.",SUMIFS(STG_ZPMW03!$BT$6:$BT$505,STG_ZPMW03!$B$6:$B$505,$A65)))</f>
        <v/>
      </c>
      <c r="V65" s="117" t="str">
        <f>IF($A65="","",IF($J65=0,"n.b.",SUMIFS(STG_ZPMW03!$BU$6:$BU$505,STG_ZPMW03!$B$6:$B$505,$A65)))</f>
        <v/>
      </c>
      <c r="W65" s="117" t="str">
        <f>IF($A65="","",IF($J65=0,"n.b.",SUMIFS(STG_ZPMW03!$BW$6:$BW$505,STG_ZPMW03!$B$6:$B$505,$A65)))</f>
        <v/>
      </c>
      <c r="X65" s="117" t="str">
        <f>IF($A65="","",IF($J65=0,"n.b.",SUMIFS(STG_ZPMW03!$BY$6:$BY$505,STG_ZPMW03!$B$6:$B$505,$A65)))</f>
        <v/>
      </c>
      <c r="Y65" s="117" t="str">
        <f>IF($A65="","",IF($J65=0,"n.b.",SUMIFS(STG_ZPMW03!$CA$6:$CA$505,STG_ZPMW03!$B$6:$B$505,$A65)))</f>
        <v/>
      </c>
      <c r="Z65" s="117" t="str">
        <f>IF($A65="","",IF($J65=0,"n.b.",SUMIFS(STG_ZPMW03!$BV$6:$BV$505,STG_ZPMW03!$B$6:$B$505,$A65)))</f>
        <v/>
      </c>
      <c r="AA65" s="117" t="str">
        <f>IF($A65="","",IF($J65=0,"n.b.",SUMIFS(STG_ZPMW03!$BX$6:$BX$505,STG_ZPMW03!$B$6:$B$505,$A65)))</f>
        <v/>
      </c>
      <c r="AB65" s="117" t="str">
        <f>IF($A65="","",IF($J65=0,"n.b.",SUMIFS(STG_ZPMW03!$BZ$6:$BZ$505,STG_ZPMW03!$B$6:$B$505,$A65)))</f>
        <v/>
      </c>
      <c r="AC65" s="117" t="str">
        <f>IF($A65="","",IF($J65=0,"n.b.",SUMIFS(STG_ZPMW03!$CB$6:$CB$505,STG_ZPMW03!$B$6:$B$505,$A65)))</f>
        <v/>
      </c>
      <c r="AD65" s="117" t="str">
        <f>IF($A65="","",IF($J65=0,"n.b.",SUMIFS(STG_ZPMW03!$CC$6:$CC$505,STG_ZPMW03!$B$6:$B$505,$A65)))</f>
        <v/>
      </c>
      <c r="AE65" s="117" t="str">
        <f>IF($A65="","",IF($J65=0,"n.b.",SUMIFS(STG_ZPMW03!$CE$6:$CE$505,STG_ZPMW03!$B$6:$B$505,$A65)))</f>
        <v/>
      </c>
      <c r="AF65" s="117" t="str">
        <f>IF($A65="","",IF($J65=0,"n.b.",SUMIFS(STG_ZPMW03!$CG$6:$CG$505,STG_ZPMW03!$B$6:$B$505,$A65)))</f>
        <v/>
      </c>
      <c r="AG65" s="117" t="str">
        <f>IF($A65="","",IF($J65=0,"n.b.",SUMIFS(STG_ZPMW03!$CI$6:$CI$505,STG_ZPMW03!$B$6:$B$505,$A65)))</f>
        <v/>
      </c>
      <c r="AH65" s="117" t="str">
        <f>IF($A65="","",IF($J65=0,"n.b.",SUMIFS(STG_ZPMW03!$CK$6:$CK$505,STG_ZPMW03!$B$6:$B$505,$A65)))</f>
        <v/>
      </c>
      <c r="AI65" s="117" t="str">
        <f>IF($A65="","",IF($J65=0,"n.b.",SUMIFS(STG_ZPMW03!$CM$6:$CM$505,STG_ZPMW03!$B$6:$B$505,$A65)))</f>
        <v/>
      </c>
      <c r="AJ65" s="117" t="str">
        <f>IF($A65="","",IF($J65=0,"n.b.",SUMIFS(STG_ZPMW03!$CO$6:$CO$505,STG_ZPMW03!$B$6:$B$505,$A65)))</f>
        <v/>
      </c>
      <c r="AK65" s="117" t="str">
        <f>IF($A65="","",IF($J65=0,"n.b.",SUMIFS(STG_ZPMW03!$CQ$6:$CQ$505,STG_ZPMW03!$B$6:$B$505,$A65)))</f>
        <v/>
      </c>
      <c r="AL65" s="117" t="str">
        <f>IF($A65="","",IF($J65=0,"n.b.",SUMIFS(STG_ZPMW03!$CD$6:$CD$505,STG_ZPMW03!$B$6:$B$505,$A65)))</f>
        <v/>
      </c>
      <c r="AM65" s="117" t="str">
        <f>IF($A65="","",IF($J65=0,"n.b.",SUMIFS(STG_ZPMW03!$CF$6:$CF$505,STG_ZPMW03!$B$6:$B$505,$A65)))</f>
        <v/>
      </c>
      <c r="AN65" s="117" t="str">
        <f>IF($A65="","",IF($J65=0,"n.b.",SUMIFS(STG_ZPMW03!$CH$6:$CH$505,STG_ZPMW03!$B$6:$B$505,$A65)))</f>
        <v/>
      </c>
      <c r="AO65" s="117" t="str">
        <f>IF($A65="","",IF($J65=0,"n.b.",SUMIFS(STG_ZPMW03!$CJ$6:$CJ$505,STG_ZPMW03!$B$6:$B$505,$A65)))</f>
        <v/>
      </c>
      <c r="AP65" s="117" t="str">
        <f>IF($A65="","",IF($J65=0,"n.b.",SUMIFS(STG_ZPMW03!$CL$6:$CL$505,STG_ZPMW03!$B$6:$B$505,$A65)))</f>
        <v/>
      </c>
      <c r="AQ65" s="117" t="str">
        <f>IF($A65="","",IF($J65=0,"n.b.",SUMIFS(STG_ZPMW03!$CN$6:$CN$505,STG_ZPMW03!$B$6:$B$505,$A65)))</f>
        <v/>
      </c>
      <c r="AR65" s="117" t="str">
        <f>IF($A65="","",IF($J65=0,"n.b.",SUMIFS(STG_ZPMW03!$CP$6:$CP$505,STG_ZPMW03!$B$6:$B$505,$A65)))</f>
        <v/>
      </c>
      <c r="AS65" s="117" t="str">
        <f>IF($A65="","",IF($J65=0,"n.b.",SUMIFS(STG_ZPMW03!$CR$6:$CR$505,STG_ZPMW03!$B$6:$B$505,$A65)))</f>
        <v/>
      </c>
      <c r="AT65" s="117" t="str">
        <f>IF($A65="","",IF($K65=0,"n.b.",SUMIFS(STG_Woningetalage!$Q$6:$Q$505,STG_Woningetalage!$B$6:$B$505,$A65)))</f>
        <v/>
      </c>
      <c r="AU65" s="117" t="str">
        <f>IF($A65="","",IF($K65=0,"n.b.",SUMIFS(STG_Woningetalage!$R$6:$R$505,STG_Woningetalage!$B$6:$B$505,$A65)))</f>
        <v/>
      </c>
      <c r="AV65" s="117" t="str">
        <f>IF($A65="","",IF($K65=0,"n.b.",SUMIFS(STG_Woningetalage!$S$6:$S$505,STG_Woningetalage!$B$6:$B$505,$A65)))</f>
        <v/>
      </c>
      <c r="AW65" s="117" t="str">
        <f>IF($A65="","",IF($K65=0,"n.b.",SUMIFS(STG_Woningetalage!$T$6:$T$505,STG_Woningetalage!$B$6:$B$505,$A65)))</f>
        <v/>
      </c>
      <c r="AX65" s="117" t="str">
        <f>IF($A65="","",IF($K65=0,"n.b.",SUMIFS(STG_Woningetalage!$U$6:$U$505,STG_Woningetalage!$B$6:$B$505,$A65)))</f>
        <v/>
      </c>
      <c r="AY65" s="117" t="str">
        <f>IF($A65="","",IF($K65=0,"n.b.",SUMIFS(STG_Woningetalage!$V$6:$V$505,STG_Woningetalage!$B$6:$B$505,$A65)))</f>
        <v/>
      </c>
      <c r="AZ65" s="117" t="str">
        <f>IF($A65="","",IF($K65=0,"n.b.",SUMIFS(STG_Woningetalage!$W$6:$W$505,STG_Woningetalage!$B$6:$B$505,$A65)))</f>
        <v/>
      </c>
      <c r="BA65" s="117" t="str">
        <f>IF($A65="","",IF($K65=0,"n.b.",SUMIFS(STG_Woningetalage!$X$6:$X$505,STG_Woningetalage!$B$6:$B$505,$A65)))</f>
        <v/>
      </c>
      <c r="BB65" s="117" t="str">
        <f>IF($A65="","",IF($K65=0,"n.b.",SUMIFS(STG_Woningetalage!$Y$6:$Y$505,STG_Woningetalage!$B$6:$B$505,$A65)))</f>
        <v/>
      </c>
      <c r="BC65" s="117" t="str">
        <f>IF($A65="","",IF($K65=0,"n.b.",SUMIFS(STG_Woningetalage!$Z$6:$Z$505,STG_Woningetalage!$B$6:$B$505,$A65)))</f>
        <v/>
      </c>
      <c r="BD65" s="117" t="str">
        <f>IF($A65="","",IF($K65=0,"n.b.",SUMIFS(STG_Woningetalage!$AA$6:$AA$505,STG_Woningetalage!$B$6:$B$505,$A65)))</f>
        <v/>
      </c>
      <c r="BE65" s="117" t="str">
        <f>IF($A65="","",IF($K65=0,"n.b.",SUMIFS(STG_Woningetalage!$AB$6:$AB$505,STG_Woningetalage!$B$6:$B$505,$A65)))</f>
        <v/>
      </c>
      <c r="BF65" s="117" t="str">
        <f>IF($A65="","",IF($K65=0,"n.b.",SUMIFS(STG_Woningetalage!$AC$6:$AC$505,STG_Woningetalage!$B$6:$B$505,$A65)))</f>
        <v/>
      </c>
      <c r="BG65" s="117" t="str">
        <f>IF($A65="","",IF($K65=0,"n.b.",SUMIFS(STG_Woningetalage!$AD$6:$AD$505,STG_Woningetalage!$B$6:$B$505,$A65)))</f>
        <v/>
      </c>
      <c r="BH65" s="117" t="str">
        <f>IF($A65="","",IF($K65=0,"n.b.",SUMIFS(STG_Woningetalage!$AE$6:$AE$505,STG_Woningetalage!$B$6:$B$505,$A65)))</f>
        <v/>
      </c>
      <c r="BI65" s="117" t="str">
        <f>IF($A65="","",IF($K65=0,"n.b.",SUMIFS(STG_Woningetalage!$AF$6:$AF$505,STG_Woningetalage!$B$6:$B$505,$A65)))</f>
        <v/>
      </c>
      <c r="BJ65" s="117" t="str">
        <f>IF($A65="","",IF($K65=0,"n.b.",SUMIFS(STG_Woningetalage!$AG$6:$AG$505,STG_Woningetalage!$B$6:$B$505,$A65)))</f>
        <v/>
      </c>
      <c r="BK65" s="117" t="str">
        <f>IF($A65="","",IF($K65=0,"n.b.",SUMIFS(STG_Woningetalage!$AH$6:$AH$505,STG_Woningetalage!$B$6:$B$505,$A65)))</f>
        <v/>
      </c>
      <c r="BL65" s="117" t="str">
        <f>IF($A65="","",IF($K65=0,"n.b.",SUMIFS(STG_Woningetalage!$AI$6:$AI$505,STG_Woningetalage!$B$6:$B$505,$A65)))</f>
        <v/>
      </c>
      <c r="BM65" s="117" t="str">
        <f>IF($A65="","",IF($K65=0,"n.b.",SUMIFS(STG_Woningetalage!$AJ$6:$AJ$505,STG_Woningetalage!$B$6:$B$505,$A65)))</f>
        <v/>
      </c>
      <c r="BN65" s="117" t="str">
        <f>IF($A65="","",IF($K65=0,"n.b.",SUMIFS(STG_Woningetalage!$AK$6:$AK$505,STG_Woningetalage!$B$6:$B$505,$A65)))</f>
        <v/>
      </c>
      <c r="BO65" s="117" t="str">
        <f>IF($A65="","",IF($K65=0,"n.b.",SUMIFS(STG_Woningetalage!$AL$6:$AL$505,STG_Woningetalage!$B$6:$B$505,$A65)))</f>
        <v/>
      </c>
      <c r="BP65" s="117" t="str">
        <f>IF($A65="","",IF($K65=0,"n.b.",SUMIFS(STG_Woningetalage!$AM$6:$AM$505,STG_Woningetalage!$B$6:$B$505,$A65)))</f>
        <v/>
      </c>
      <c r="BQ65" s="117" t="str">
        <f>IF($A65="","",IF($K65=0,"n.b.",SUMIFS(STG_Woningetalage!$BE$6:$BE$505,STG_Woningetalage!$B$6:$B$505,$A65)))</f>
        <v/>
      </c>
      <c r="BR65" s="117" t="str">
        <f>IF($A65="","",IF($K65=0,"n.b.",SUMIFS(STG_Woningetalage!$BF$6:$BF$505,STG_Woningetalage!$B$6:$B$505,$A65)))</f>
        <v/>
      </c>
      <c r="BS65" s="117" t="str">
        <f>IF($A65="","",IF($K65=0,"n.b.",SUMIFS(STG_Woningetalage!$BG$6:$BG$505,STG_Woningetalage!$B$6:$B$505,$A65)))</f>
        <v/>
      </c>
      <c r="BT65" s="117" t="str">
        <f>IF($A65="","",IF($K65=0,"n.b.",SUMIFS(STG_Woningetalage!$BH$6:$BH$505,STG_Woningetalage!$B$6:$B$505,$A65)))</f>
        <v/>
      </c>
      <c r="BU65" s="117" t="str">
        <f>IF($A65="","",IF($K65=0,"n.b.",SUMIFS(STG_Woningetalage!$BI$6:$BI$505,STG_Woningetalage!$B$6:$B$505,$A65)))</f>
        <v/>
      </c>
      <c r="BV65" s="117" t="str">
        <f>IF($A65="","",IF($K65=0,"n.b.",SUMIFS(STG_Woningetalage!$BJ$6:$BJ$505,STG_Woningetalage!$B$6:$B$505,$A65)))</f>
        <v/>
      </c>
      <c r="BW65" s="117" t="str">
        <f>IF($A65="","",IF($K65=0,"n.b.",SUMIFS(STG_Woningetalage!$AR$6:$AR$505,STG_Woningetalage!$B$6:$B$505,$A65)))</f>
        <v/>
      </c>
      <c r="BX65" s="117" t="str">
        <f>IF($A65="","",IF($K65=0,"n.b.",SUMIFS(STG_Woningetalage!$AS$6:$AS$505,STG_Woningetalage!$B$6:$B$505,$A65)))</f>
        <v/>
      </c>
      <c r="BY65" s="117" t="str">
        <f>IF($A65="","",IF($K65=0,"n.b.",SUMIFS(STG_Woningetalage!$AN$6:$AN$505,STG_Woningetalage!$B$6:$B$505,$A65)))</f>
        <v/>
      </c>
      <c r="BZ65" s="117" t="str">
        <f>IF($A65="","",IF($K65=0,"n.b.",SUMIFS(STG_Woningetalage!$AO$6:$AO$505,STG_Woningetalage!$B$6:$B$505,$A65)))</f>
        <v/>
      </c>
      <c r="CA65" s="117" t="str">
        <f>IF($A65="","",IF($K65=0,"n.b.",SUMIFS(STG_Woningetalage!$AP$6:$AP$505,STG_Woningetalage!$B$6:$B$505,$A65)))</f>
        <v/>
      </c>
      <c r="CB65" s="117" t="str">
        <f>IF($A65="","",IF($K65=0,"n.b.",SUMIFS(STG_Woningetalage!$AQ$6:$AQ$505,STG_Woningetalage!$B$6:$B$505,$A65)))</f>
        <v/>
      </c>
      <c r="CC65" s="117" t="str">
        <f>IF($A65="","",IF($K65=0,"n.b.",SUMIFS(STG_Woningetalage!$AU$6:$AU$505,STG_Woningetalage!$B$6:$B$505,$A65)))</f>
        <v/>
      </c>
      <c r="CD65" s="92" t="str">
        <f>IF($A65="","",IFERROR(INDEX(STG_ZPMW03!$L$6:$L$505,MATCH($A65,STG_ZPMW03!$B$6:$B$505,0)),"n.b."))</f>
        <v/>
      </c>
      <c r="CE65" s="92" t="str">
        <f>IF($A65="","",IFERROR(INDEX(STG_ZPMW03!$K$6:$K$505,MATCH($A65,STG_ZPMW03!$B$6:$B$505,0)),"n.b."))</f>
        <v/>
      </c>
      <c r="CF65" s="92" t="str">
        <f>IF($A65="","",IFERROR(INDEX(STG_ZPMW03!$BH$6:$BH$505,MATCH($A65,STG_ZPMW03!$B$6:$B$505,0)),"n.b."))</f>
        <v/>
      </c>
      <c r="CG65" s="92" t="str">
        <f>IF($A65="","",IFERROR(INDEX(STG_ZPMW03!$BI$6:$BI$505,MATCH($A65,STG_ZPMW03!$B$6:$B$505,0)),"n.b."))</f>
        <v/>
      </c>
      <c r="CH65" s="92" t="str">
        <f>IF($A65="","",IFERROR(INDEX(STG_ZPMW03!$BJ$6:$BJ$505,MATCH($A65,STG_ZPMW03!$B$6:$B$505,0)),"n.b."))</f>
        <v/>
      </c>
      <c r="CI65" s="92" t="str">
        <f>IF($A65="","",IFERROR(INDEX(STG_ZPMW03!$BF$6:$BF$505,MATCH($A65,STG_ZPMW03!$B$6:$B$505,0)),"n.b."))</f>
        <v/>
      </c>
      <c r="CJ65" s="92" t="str">
        <f>IF($A65="","",IFERROR(INDEX(STG_ZPMW03!$BG$6:$BG$505,MATCH($A65,STG_ZPMW03!$B$6:$B$505,0)),"n.b."))</f>
        <v/>
      </c>
      <c r="CK65" s="92" t="str">
        <f>IF($A65="","",IFERROR(INDEX(STG_ZPMW03!$H$6:$H$505,MATCH($A65,STG_ZPMW03!$B$6:$B$505,0)),"n.b."))</f>
        <v/>
      </c>
      <c r="CL65" s="92" t="str">
        <f>IF($A65="","",IFERROR(INDEX(STG_ZPMW03!$E$6:$E$505,MATCH($A65,STG_ZPMW03!$B$6:$B$505,0)),"n.b."))</f>
        <v/>
      </c>
      <c r="CM65" s="92" t="str">
        <f>IF($A65="","",IFERROR(INDEX(STG_ZPMW03!$G$6:$G$505,MATCH($A65,STG_ZPMW03!$B$6:$B$505,0)),"n.b."))</f>
        <v/>
      </c>
      <c r="CN65" s="92" t="str">
        <f>IF($A65="","",IFERROR(INDEX(STG_Woningetalage!$N$6:$N$505,MATCH($A65,STG_Woningetalage!$B$6:$B$505,0)),"n.b."))</f>
        <v/>
      </c>
      <c r="CO65" s="92" t="str">
        <f>IF($A65="","",IFERROR(INDEX(STG_Woningetalage!$P$6:$P$505,MATCH($A65,STG_Woningetalage!$B$6:$B$505,0)),"n.b."))</f>
        <v/>
      </c>
      <c r="CP65" s="118" t="str">
        <f>IF($A65="","",IF(AND(ISNUMBER(AT65),ISNUMBER(F65)),IF(F65&gt;0,AT65/(F65/100),"n.b."),"n.b."))</f>
        <v/>
      </c>
      <c r="CQ65" s="116" t="str">
        <f>IF($A65="","",IF(ISNUMBER(Q65),IF(Q65&lt;0,1,0),0))</f>
        <v/>
      </c>
      <c r="CR65" s="116" t="str">
        <f>IF(CQ65=1,COUNTIF($CQ$6:CQ65,1),"")</f>
        <v/>
      </c>
      <c r="CS65" s="116" t="str">
        <f>IF(AND($A65&lt;&gt;"",$J65=0),COUNTIFS($A$6:$A65,"?*",$J$6:$J65,0),"")</f>
        <v/>
      </c>
      <c r="CT65" s="119" t="str">
        <f>IF($A65="","",IF(AND(ISNUMBER(Q65),ISNUMBER(P65)),IF(P65&lt;&gt;0,Q65/P65,"n.b."),"n.b."))</f>
        <v/>
      </c>
    </row>
    <row r="66">
      <c r="A66" s="92" t="str">
        <f>IF(Mapping!$A65="","",Mapping!$A65)</f>
        <v/>
      </c>
      <c r="B66" s="92" t="str">
        <f>IF(Mapping!$B65="","",Mapping!$B65)</f>
        <v/>
      </c>
      <c r="C66" s="92" t="str">
        <f>IF(Mapping!$C65="","",Mapping!$C65)</f>
        <v/>
      </c>
      <c r="D66" s="92" t="str">
        <f>IF(Mapping!$F65="","",Mapping!$F65)</f>
        <v/>
      </c>
      <c r="E66" s="92" t="str">
        <f>IF(Mapping!$H65="","",Mapping!$H65)</f>
        <v/>
      </c>
      <c r="F66" s="92" t="str">
        <f>IF(Mapping!$E65="","",Mapping!$E65)</f>
        <v/>
      </c>
      <c r="G66" s="92" t="str">
        <f>IF(Mapping!$G65="","",Mapping!$G65)</f>
        <v/>
      </c>
      <c r="H66" s="92" t="str">
        <f>IF(Mapping!$D65="","",Mapping!$D65)</f>
        <v/>
      </c>
      <c r="I66" s="92" t="str">
        <f>IF($A66="","",IFERROR(INDEX(STG_ZPMW03!$C$6:$C$505,MATCH($A66,STG_ZPMW03!$B$6:$B$505,0)),"n.b."))</f>
        <v/>
      </c>
      <c r="J66" s="116" t="str">
        <f>IF($A66="","",COUNTIF(STG_ZPMW03!$B$6:$B$505,$A66))</f>
        <v/>
      </c>
      <c r="K66" s="116" t="str">
        <f>IF($A66="","",COUNTIF(STG_Woningetalage!$B$6:$B$505,$A66))</f>
        <v/>
      </c>
      <c r="L66" s="117" t="str">
        <f>IF($A66="","",IF($J66=0,"n.b.",SUMIFS(STG_ZPMW03!$BK$6:$BK$505,STG_ZPMW03!$B$6:$B$505,$A66)))</f>
        <v/>
      </c>
      <c r="M66" s="117" t="str">
        <f>IF($A66="","",IF($J66=0,"n.b.",SUMIFS(STG_ZPMW03!$BL$6:$BL$505,STG_ZPMW03!$B$6:$B$505,$A66)))</f>
        <v/>
      </c>
      <c r="N66" s="117" t="str">
        <f>IF($A66="","",IF($J66=0,"n.b.",SUMIFS(STG_ZPMW03!$BM$6:$BM$505,STG_ZPMW03!$B$6:$B$505,$A66)))</f>
        <v/>
      </c>
      <c r="O66" s="117" t="str">
        <f>IF($A66="","",IF($J66=0,"n.b.",SUMIFS(STG_ZPMW03!$BN$6:$BN$505,STG_ZPMW03!$B$6:$B$505,$A66)))</f>
        <v/>
      </c>
      <c r="P66" s="117" t="str">
        <f>IF($A66="","",IF($J66=0,"n.b.",SUMIFS(STG_ZPMW03!$BO$6:$BO$505,STG_ZPMW03!$B$6:$B$505,$A66)))</f>
        <v/>
      </c>
      <c r="Q66" s="117" t="str">
        <f>IF($A66="","",IF($J66=0,"n.b.",SUMIFS(STG_ZPMW03!$BP$6:$BP$505,STG_ZPMW03!$B$6:$B$505,$A66)))</f>
        <v/>
      </c>
      <c r="R66" s="117" t="str">
        <f>IF($A66="","",IF($J66=0,"n.b.",SUMIFS(STG_ZPMW03!$BQ$6:$BQ$505,STG_ZPMW03!$B$6:$B$505,$A66)))</f>
        <v/>
      </c>
      <c r="S66" s="117" t="str">
        <f>IF($A66="","",IF($J66=0,"n.b.",SUMIFS(STG_ZPMW03!$BR$6:$BR$505,STG_ZPMW03!$B$6:$B$505,$A66)))</f>
        <v/>
      </c>
      <c r="T66" s="117" t="str">
        <f>IF($A66="","",IF($J66=0,"n.b.",SUMIFS(STG_ZPMW03!$BS$6:$BS$505,STG_ZPMW03!$B$6:$B$505,$A66)))</f>
        <v/>
      </c>
      <c r="U66" s="117" t="str">
        <f>IF($A66="","",IF($J66=0,"n.b.",SUMIFS(STG_ZPMW03!$BT$6:$BT$505,STG_ZPMW03!$B$6:$B$505,$A66)))</f>
        <v/>
      </c>
      <c r="V66" s="117" t="str">
        <f>IF($A66="","",IF($J66=0,"n.b.",SUMIFS(STG_ZPMW03!$BU$6:$BU$505,STG_ZPMW03!$B$6:$B$505,$A66)))</f>
        <v/>
      </c>
      <c r="W66" s="117" t="str">
        <f>IF($A66="","",IF($J66=0,"n.b.",SUMIFS(STG_ZPMW03!$BW$6:$BW$505,STG_ZPMW03!$B$6:$B$505,$A66)))</f>
        <v/>
      </c>
      <c r="X66" s="117" t="str">
        <f>IF($A66="","",IF($J66=0,"n.b.",SUMIFS(STG_ZPMW03!$BY$6:$BY$505,STG_ZPMW03!$B$6:$B$505,$A66)))</f>
        <v/>
      </c>
      <c r="Y66" s="117" t="str">
        <f>IF($A66="","",IF($J66=0,"n.b.",SUMIFS(STG_ZPMW03!$CA$6:$CA$505,STG_ZPMW03!$B$6:$B$505,$A66)))</f>
        <v/>
      </c>
      <c r="Z66" s="117" t="str">
        <f>IF($A66="","",IF($J66=0,"n.b.",SUMIFS(STG_ZPMW03!$BV$6:$BV$505,STG_ZPMW03!$B$6:$B$505,$A66)))</f>
        <v/>
      </c>
      <c r="AA66" s="117" t="str">
        <f>IF($A66="","",IF($J66=0,"n.b.",SUMIFS(STG_ZPMW03!$BX$6:$BX$505,STG_ZPMW03!$B$6:$B$505,$A66)))</f>
        <v/>
      </c>
      <c r="AB66" s="117" t="str">
        <f>IF($A66="","",IF($J66=0,"n.b.",SUMIFS(STG_ZPMW03!$BZ$6:$BZ$505,STG_ZPMW03!$B$6:$B$505,$A66)))</f>
        <v/>
      </c>
      <c r="AC66" s="117" t="str">
        <f>IF($A66="","",IF($J66=0,"n.b.",SUMIFS(STG_ZPMW03!$CB$6:$CB$505,STG_ZPMW03!$B$6:$B$505,$A66)))</f>
        <v/>
      </c>
      <c r="AD66" s="117" t="str">
        <f>IF($A66="","",IF($J66=0,"n.b.",SUMIFS(STG_ZPMW03!$CC$6:$CC$505,STG_ZPMW03!$B$6:$B$505,$A66)))</f>
        <v/>
      </c>
      <c r="AE66" s="117" t="str">
        <f>IF($A66="","",IF($J66=0,"n.b.",SUMIFS(STG_ZPMW03!$CE$6:$CE$505,STG_ZPMW03!$B$6:$B$505,$A66)))</f>
        <v/>
      </c>
      <c r="AF66" s="117" t="str">
        <f>IF($A66="","",IF($J66=0,"n.b.",SUMIFS(STG_ZPMW03!$CG$6:$CG$505,STG_ZPMW03!$B$6:$B$505,$A66)))</f>
        <v/>
      </c>
      <c r="AG66" s="117" t="str">
        <f>IF($A66="","",IF($J66=0,"n.b.",SUMIFS(STG_ZPMW03!$CI$6:$CI$505,STG_ZPMW03!$B$6:$B$505,$A66)))</f>
        <v/>
      </c>
      <c r="AH66" s="117" t="str">
        <f>IF($A66="","",IF($J66=0,"n.b.",SUMIFS(STG_ZPMW03!$CK$6:$CK$505,STG_ZPMW03!$B$6:$B$505,$A66)))</f>
        <v/>
      </c>
      <c r="AI66" s="117" t="str">
        <f>IF($A66="","",IF($J66=0,"n.b.",SUMIFS(STG_ZPMW03!$CM$6:$CM$505,STG_ZPMW03!$B$6:$B$505,$A66)))</f>
        <v/>
      </c>
      <c r="AJ66" s="117" t="str">
        <f>IF($A66="","",IF($J66=0,"n.b.",SUMIFS(STG_ZPMW03!$CO$6:$CO$505,STG_ZPMW03!$B$6:$B$505,$A66)))</f>
        <v/>
      </c>
      <c r="AK66" s="117" t="str">
        <f>IF($A66="","",IF($J66=0,"n.b.",SUMIFS(STG_ZPMW03!$CQ$6:$CQ$505,STG_ZPMW03!$B$6:$B$505,$A66)))</f>
        <v/>
      </c>
      <c r="AL66" s="117" t="str">
        <f>IF($A66="","",IF($J66=0,"n.b.",SUMIFS(STG_ZPMW03!$CD$6:$CD$505,STG_ZPMW03!$B$6:$B$505,$A66)))</f>
        <v/>
      </c>
      <c r="AM66" s="117" t="str">
        <f>IF($A66="","",IF($J66=0,"n.b.",SUMIFS(STG_ZPMW03!$CF$6:$CF$505,STG_ZPMW03!$B$6:$B$505,$A66)))</f>
        <v/>
      </c>
      <c r="AN66" s="117" t="str">
        <f>IF($A66="","",IF($J66=0,"n.b.",SUMIFS(STG_ZPMW03!$CH$6:$CH$505,STG_ZPMW03!$B$6:$B$505,$A66)))</f>
        <v/>
      </c>
      <c r="AO66" s="117" t="str">
        <f>IF($A66="","",IF($J66=0,"n.b.",SUMIFS(STG_ZPMW03!$CJ$6:$CJ$505,STG_ZPMW03!$B$6:$B$505,$A66)))</f>
        <v/>
      </c>
      <c r="AP66" s="117" t="str">
        <f>IF($A66="","",IF($J66=0,"n.b.",SUMIFS(STG_ZPMW03!$CL$6:$CL$505,STG_ZPMW03!$B$6:$B$505,$A66)))</f>
        <v/>
      </c>
      <c r="AQ66" s="117" t="str">
        <f>IF($A66="","",IF($J66=0,"n.b.",SUMIFS(STG_ZPMW03!$CN$6:$CN$505,STG_ZPMW03!$B$6:$B$505,$A66)))</f>
        <v/>
      </c>
      <c r="AR66" s="117" t="str">
        <f>IF($A66="","",IF($J66=0,"n.b.",SUMIFS(STG_ZPMW03!$CP$6:$CP$505,STG_ZPMW03!$B$6:$B$505,$A66)))</f>
        <v/>
      </c>
      <c r="AS66" s="117" t="str">
        <f>IF($A66="","",IF($J66=0,"n.b.",SUMIFS(STG_ZPMW03!$CR$6:$CR$505,STG_ZPMW03!$B$6:$B$505,$A66)))</f>
        <v/>
      </c>
      <c r="AT66" s="117" t="str">
        <f>IF($A66="","",IF($K66=0,"n.b.",SUMIFS(STG_Woningetalage!$Q$6:$Q$505,STG_Woningetalage!$B$6:$B$505,$A66)))</f>
        <v/>
      </c>
      <c r="AU66" s="117" t="str">
        <f>IF($A66="","",IF($K66=0,"n.b.",SUMIFS(STG_Woningetalage!$R$6:$R$505,STG_Woningetalage!$B$6:$B$505,$A66)))</f>
        <v/>
      </c>
      <c r="AV66" s="117" t="str">
        <f>IF($A66="","",IF($K66=0,"n.b.",SUMIFS(STG_Woningetalage!$S$6:$S$505,STG_Woningetalage!$B$6:$B$505,$A66)))</f>
        <v/>
      </c>
      <c r="AW66" s="117" t="str">
        <f>IF($A66="","",IF($K66=0,"n.b.",SUMIFS(STG_Woningetalage!$T$6:$T$505,STG_Woningetalage!$B$6:$B$505,$A66)))</f>
        <v/>
      </c>
      <c r="AX66" s="117" t="str">
        <f>IF($A66="","",IF($K66=0,"n.b.",SUMIFS(STG_Woningetalage!$U$6:$U$505,STG_Woningetalage!$B$6:$B$505,$A66)))</f>
        <v/>
      </c>
      <c r="AY66" s="117" t="str">
        <f>IF($A66="","",IF($K66=0,"n.b.",SUMIFS(STG_Woningetalage!$V$6:$V$505,STG_Woningetalage!$B$6:$B$505,$A66)))</f>
        <v/>
      </c>
      <c r="AZ66" s="117" t="str">
        <f>IF($A66="","",IF($K66=0,"n.b.",SUMIFS(STG_Woningetalage!$W$6:$W$505,STG_Woningetalage!$B$6:$B$505,$A66)))</f>
        <v/>
      </c>
      <c r="BA66" s="117" t="str">
        <f>IF($A66="","",IF($K66=0,"n.b.",SUMIFS(STG_Woningetalage!$X$6:$X$505,STG_Woningetalage!$B$6:$B$505,$A66)))</f>
        <v/>
      </c>
      <c r="BB66" s="117" t="str">
        <f>IF($A66="","",IF($K66=0,"n.b.",SUMIFS(STG_Woningetalage!$Y$6:$Y$505,STG_Woningetalage!$B$6:$B$505,$A66)))</f>
        <v/>
      </c>
      <c r="BC66" s="117" t="str">
        <f>IF($A66="","",IF($K66=0,"n.b.",SUMIFS(STG_Woningetalage!$Z$6:$Z$505,STG_Woningetalage!$B$6:$B$505,$A66)))</f>
        <v/>
      </c>
      <c r="BD66" s="117" t="str">
        <f>IF($A66="","",IF($K66=0,"n.b.",SUMIFS(STG_Woningetalage!$AA$6:$AA$505,STG_Woningetalage!$B$6:$B$505,$A66)))</f>
        <v/>
      </c>
      <c r="BE66" s="117" t="str">
        <f>IF($A66="","",IF($K66=0,"n.b.",SUMIFS(STG_Woningetalage!$AB$6:$AB$505,STG_Woningetalage!$B$6:$B$505,$A66)))</f>
        <v/>
      </c>
      <c r="BF66" s="117" t="str">
        <f>IF($A66="","",IF($K66=0,"n.b.",SUMIFS(STG_Woningetalage!$AC$6:$AC$505,STG_Woningetalage!$B$6:$B$505,$A66)))</f>
        <v/>
      </c>
      <c r="BG66" s="117" t="str">
        <f>IF($A66="","",IF($K66=0,"n.b.",SUMIFS(STG_Woningetalage!$AD$6:$AD$505,STG_Woningetalage!$B$6:$B$505,$A66)))</f>
        <v/>
      </c>
      <c r="BH66" s="117" t="str">
        <f>IF($A66="","",IF($K66=0,"n.b.",SUMIFS(STG_Woningetalage!$AE$6:$AE$505,STG_Woningetalage!$B$6:$B$505,$A66)))</f>
        <v/>
      </c>
      <c r="BI66" s="117" t="str">
        <f>IF($A66="","",IF($K66=0,"n.b.",SUMIFS(STG_Woningetalage!$AF$6:$AF$505,STG_Woningetalage!$B$6:$B$505,$A66)))</f>
        <v/>
      </c>
      <c r="BJ66" s="117" t="str">
        <f>IF($A66="","",IF($K66=0,"n.b.",SUMIFS(STG_Woningetalage!$AG$6:$AG$505,STG_Woningetalage!$B$6:$B$505,$A66)))</f>
        <v/>
      </c>
      <c r="BK66" s="117" t="str">
        <f>IF($A66="","",IF($K66=0,"n.b.",SUMIFS(STG_Woningetalage!$AH$6:$AH$505,STG_Woningetalage!$B$6:$B$505,$A66)))</f>
        <v/>
      </c>
      <c r="BL66" s="117" t="str">
        <f>IF($A66="","",IF($K66=0,"n.b.",SUMIFS(STG_Woningetalage!$AI$6:$AI$505,STG_Woningetalage!$B$6:$B$505,$A66)))</f>
        <v/>
      </c>
      <c r="BM66" s="117" t="str">
        <f>IF($A66="","",IF($K66=0,"n.b.",SUMIFS(STG_Woningetalage!$AJ$6:$AJ$505,STG_Woningetalage!$B$6:$B$505,$A66)))</f>
        <v/>
      </c>
      <c r="BN66" s="117" t="str">
        <f>IF($A66="","",IF($K66=0,"n.b.",SUMIFS(STG_Woningetalage!$AK$6:$AK$505,STG_Woningetalage!$B$6:$B$505,$A66)))</f>
        <v/>
      </c>
      <c r="BO66" s="117" t="str">
        <f>IF($A66="","",IF($K66=0,"n.b.",SUMIFS(STG_Woningetalage!$AL$6:$AL$505,STG_Woningetalage!$B$6:$B$505,$A66)))</f>
        <v/>
      </c>
      <c r="BP66" s="117" t="str">
        <f>IF($A66="","",IF($K66=0,"n.b.",SUMIFS(STG_Woningetalage!$AM$6:$AM$505,STG_Woningetalage!$B$6:$B$505,$A66)))</f>
        <v/>
      </c>
      <c r="BQ66" s="117" t="str">
        <f>IF($A66="","",IF($K66=0,"n.b.",SUMIFS(STG_Woningetalage!$BE$6:$BE$505,STG_Woningetalage!$B$6:$B$505,$A66)))</f>
        <v/>
      </c>
      <c r="BR66" s="117" t="str">
        <f>IF($A66="","",IF($K66=0,"n.b.",SUMIFS(STG_Woningetalage!$BF$6:$BF$505,STG_Woningetalage!$B$6:$B$505,$A66)))</f>
        <v/>
      </c>
      <c r="BS66" s="117" t="str">
        <f>IF($A66="","",IF($K66=0,"n.b.",SUMIFS(STG_Woningetalage!$BG$6:$BG$505,STG_Woningetalage!$B$6:$B$505,$A66)))</f>
        <v/>
      </c>
      <c r="BT66" s="117" t="str">
        <f>IF($A66="","",IF($K66=0,"n.b.",SUMIFS(STG_Woningetalage!$BH$6:$BH$505,STG_Woningetalage!$B$6:$B$505,$A66)))</f>
        <v/>
      </c>
      <c r="BU66" s="117" t="str">
        <f>IF($A66="","",IF($K66=0,"n.b.",SUMIFS(STG_Woningetalage!$BI$6:$BI$505,STG_Woningetalage!$B$6:$B$505,$A66)))</f>
        <v/>
      </c>
      <c r="BV66" s="117" t="str">
        <f>IF($A66="","",IF($K66=0,"n.b.",SUMIFS(STG_Woningetalage!$BJ$6:$BJ$505,STG_Woningetalage!$B$6:$B$505,$A66)))</f>
        <v/>
      </c>
      <c r="BW66" s="117" t="str">
        <f>IF($A66="","",IF($K66=0,"n.b.",SUMIFS(STG_Woningetalage!$AR$6:$AR$505,STG_Woningetalage!$B$6:$B$505,$A66)))</f>
        <v/>
      </c>
      <c r="BX66" s="117" t="str">
        <f>IF($A66="","",IF($K66=0,"n.b.",SUMIFS(STG_Woningetalage!$AS$6:$AS$505,STG_Woningetalage!$B$6:$B$505,$A66)))</f>
        <v/>
      </c>
      <c r="BY66" s="117" t="str">
        <f>IF($A66="","",IF($K66=0,"n.b.",SUMIFS(STG_Woningetalage!$AN$6:$AN$505,STG_Woningetalage!$B$6:$B$505,$A66)))</f>
        <v/>
      </c>
      <c r="BZ66" s="117" t="str">
        <f>IF($A66="","",IF($K66=0,"n.b.",SUMIFS(STG_Woningetalage!$AO$6:$AO$505,STG_Woningetalage!$B$6:$B$505,$A66)))</f>
        <v/>
      </c>
      <c r="CA66" s="117" t="str">
        <f>IF($A66="","",IF($K66=0,"n.b.",SUMIFS(STG_Woningetalage!$AP$6:$AP$505,STG_Woningetalage!$B$6:$B$505,$A66)))</f>
        <v/>
      </c>
      <c r="CB66" s="117" t="str">
        <f>IF($A66="","",IF($K66=0,"n.b.",SUMIFS(STG_Woningetalage!$AQ$6:$AQ$505,STG_Woningetalage!$B$6:$B$505,$A66)))</f>
        <v/>
      </c>
      <c r="CC66" s="117" t="str">
        <f>IF($A66="","",IF($K66=0,"n.b.",SUMIFS(STG_Woningetalage!$AU$6:$AU$505,STG_Woningetalage!$B$6:$B$505,$A66)))</f>
        <v/>
      </c>
      <c r="CD66" s="92" t="str">
        <f>IF($A66="","",IFERROR(INDEX(STG_ZPMW03!$L$6:$L$505,MATCH($A66,STG_ZPMW03!$B$6:$B$505,0)),"n.b."))</f>
        <v/>
      </c>
      <c r="CE66" s="92" t="str">
        <f>IF($A66="","",IFERROR(INDEX(STG_ZPMW03!$K$6:$K$505,MATCH($A66,STG_ZPMW03!$B$6:$B$505,0)),"n.b."))</f>
        <v/>
      </c>
      <c r="CF66" s="92" t="str">
        <f>IF($A66="","",IFERROR(INDEX(STG_ZPMW03!$BH$6:$BH$505,MATCH($A66,STG_ZPMW03!$B$6:$B$505,0)),"n.b."))</f>
        <v/>
      </c>
      <c r="CG66" s="92" t="str">
        <f>IF($A66="","",IFERROR(INDEX(STG_ZPMW03!$BI$6:$BI$505,MATCH($A66,STG_ZPMW03!$B$6:$B$505,0)),"n.b."))</f>
        <v/>
      </c>
      <c r="CH66" s="92" t="str">
        <f>IF($A66="","",IFERROR(INDEX(STG_ZPMW03!$BJ$6:$BJ$505,MATCH($A66,STG_ZPMW03!$B$6:$B$505,0)),"n.b."))</f>
        <v/>
      </c>
      <c r="CI66" s="92" t="str">
        <f>IF($A66="","",IFERROR(INDEX(STG_ZPMW03!$BF$6:$BF$505,MATCH($A66,STG_ZPMW03!$B$6:$B$505,0)),"n.b."))</f>
        <v/>
      </c>
      <c r="CJ66" s="92" t="str">
        <f>IF($A66="","",IFERROR(INDEX(STG_ZPMW03!$BG$6:$BG$505,MATCH($A66,STG_ZPMW03!$B$6:$B$505,0)),"n.b."))</f>
        <v/>
      </c>
      <c r="CK66" s="92" t="str">
        <f>IF($A66="","",IFERROR(INDEX(STG_ZPMW03!$H$6:$H$505,MATCH($A66,STG_ZPMW03!$B$6:$B$505,0)),"n.b."))</f>
        <v/>
      </c>
      <c r="CL66" s="92" t="str">
        <f>IF($A66="","",IFERROR(INDEX(STG_ZPMW03!$E$6:$E$505,MATCH($A66,STG_ZPMW03!$B$6:$B$505,0)),"n.b."))</f>
        <v/>
      </c>
      <c r="CM66" s="92" t="str">
        <f>IF($A66="","",IFERROR(INDEX(STG_ZPMW03!$G$6:$G$505,MATCH($A66,STG_ZPMW03!$B$6:$B$505,0)),"n.b."))</f>
        <v/>
      </c>
      <c r="CN66" s="92" t="str">
        <f>IF($A66="","",IFERROR(INDEX(STG_Woningetalage!$N$6:$N$505,MATCH($A66,STG_Woningetalage!$B$6:$B$505,0)),"n.b."))</f>
        <v/>
      </c>
      <c r="CO66" s="92" t="str">
        <f>IF($A66="","",IFERROR(INDEX(STG_Woningetalage!$P$6:$P$505,MATCH($A66,STG_Woningetalage!$B$6:$B$505,0)),"n.b."))</f>
        <v/>
      </c>
      <c r="CP66" s="118" t="str">
        <f>IF($A66="","",IF(AND(ISNUMBER(AT66),ISNUMBER(F66)),IF(F66&gt;0,AT66/(F66/100),"n.b."),"n.b."))</f>
        <v/>
      </c>
      <c r="CQ66" s="116" t="str">
        <f>IF($A66="","",IF(ISNUMBER(Q66),IF(Q66&lt;0,1,0),0))</f>
        <v/>
      </c>
      <c r="CR66" s="116" t="str">
        <f>IF(CQ66=1,COUNTIF($CQ$6:CQ66,1),"")</f>
        <v/>
      </c>
      <c r="CS66" s="116" t="str">
        <f>IF(AND($A66&lt;&gt;"",$J66=0),COUNTIFS($A$6:$A66,"?*",$J$6:$J66,0),"")</f>
        <v/>
      </c>
      <c r="CT66" s="119" t="str">
        <f>IF($A66="","",IF(AND(ISNUMBER(Q66),ISNUMBER(P66)),IF(P66&lt;&gt;0,Q66/P66,"n.b."),"n.b."))</f>
        <v/>
      </c>
    </row>
    <row r="67">
      <c r="A67" s="92" t="str">
        <f>IF(Mapping!$A66="","",Mapping!$A66)</f>
        <v/>
      </c>
      <c r="B67" s="92" t="str">
        <f>IF(Mapping!$B66="","",Mapping!$B66)</f>
        <v/>
      </c>
      <c r="C67" s="92" t="str">
        <f>IF(Mapping!$C66="","",Mapping!$C66)</f>
        <v/>
      </c>
      <c r="D67" s="92" t="str">
        <f>IF(Mapping!$F66="","",Mapping!$F66)</f>
        <v/>
      </c>
      <c r="E67" s="92" t="str">
        <f>IF(Mapping!$H66="","",Mapping!$H66)</f>
        <v/>
      </c>
      <c r="F67" s="92" t="str">
        <f>IF(Mapping!$E66="","",Mapping!$E66)</f>
        <v/>
      </c>
      <c r="G67" s="92" t="str">
        <f>IF(Mapping!$G66="","",Mapping!$G66)</f>
        <v/>
      </c>
      <c r="H67" s="92" t="str">
        <f>IF(Mapping!$D66="","",Mapping!$D66)</f>
        <v/>
      </c>
      <c r="I67" s="92" t="str">
        <f>IF($A67="","",IFERROR(INDEX(STG_ZPMW03!$C$6:$C$505,MATCH($A67,STG_ZPMW03!$B$6:$B$505,0)),"n.b."))</f>
        <v/>
      </c>
      <c r="J67" s="116" t="str">
        <f>IF($A67="","",COUNTIF(STG_ZPMW03!$B$6:$B$505,$A67))</f>
        <v/>
      </c>
      <c r="K67" s="116" t="str">
        <f>IF($A67="","",COUNTIF(STG_Woningetalage!$B$6:$B$505,$A67))</f>
        <v/>
      </c>
      <c r="L67" s="117" t="str">
        <f>IF($A67="","",IF($J67=0,"n.b.",SUMIFS(STG_ZPMW03!$BK$6:$BK$505,STG_ZPMW03!$B$6:$B$505,$A67)))</f>
        <v/>
      </c>
      <c r="M67" s="117" t="str">
        <f>IF($A67="","",IF($J67=0,"n.b.",SUMIFS(STG_ZPMW03!$BL$6:$BL$505,STG_ZPMW03!$B$6:$B$505,$A67)))</f>
        <v/>
      </c>
      <c r="N67" s="117" t="str">
        <f>IF($A67="","",IF($J67=0,"n.b.",SUMIFS(STG_ZPMW03!$BM$6:$BM$505,STG_ZPMW03!$B$6:$B$505,$A67)))</f>
        <v/>
      </c>
      <c r="O67" s="117" t="str">
        <f>IF($A67="","",IF($J67=0,"n.b.",SUMIFS(STG_ZPMW03!$BN$6:$BN$505,STG_ZPMW03!$B$6:$B$505,$A67)))</f>
        <v/>
      </c>
      <c r="P67" s="117" t="str">
        <f>IF($A67="","",IF($J67=0,"n.b.",SUMIFS(STG_ZPMW03!$BO$6:$BO$505,STG_ZPMW03!$B$6:$B$505,$A67)))</f>
        <v/>
      </c>
      <c r="Q67" s="117" t="str">
        <f>IF($A67="","",IF($J67=0,"n.b.",SUMIFS(STG_ZPMW03!$BP$6:$BP$505,STG_ZPMW03!$B$6:$B$505,$A67)))</f>
        <v/>
      </c>
      <c r="R67" s="117" t="str">
        <f>IF($A67="","",IF($J67=0,"n.b.",SUMIFS(STG_ZPMW03!$BQ$6:$BQ$505,STG_ZPMW03!$B$6:$B$505,$A67)))</f>
        <v/>
      </c>
      <c r="S67" s="117" t="str">
        <f>IF($A67="","",IF($J67=0,"n.b.",SUMIFS(STG_ZPMW03!$BR$6:$BR$505,STG_ZPMW03!$B$6:$B$505,$A67)))</f>
        <v/>
      </c>
      <c r="T67" s="117" t="str">
        <f>IF($A67="","",IF($J67=0,"n.b.",SUMIFS(STG_ZPMW03!$BS$6:$BS$505,STG_ZPMW03!$B$6:$B$505,$A67)))</f>
        <v/>
      </c>
      <c r="U67" s="117" t="str">
        <f>IF($A67="","",IF($J67=0,"n.b.",SUMIFS(STG_ZPMW03!$BT$6:$BT$505,STG_ZPMW03!$B$6:$B$505,$A67)))</f>
        <v/>
      </c>
      <c r="V67" s="117" t="str">
        <f>IF($A67="","",IF($J67=0,"n.b.",SUMIFS(STG_ZPMW03!$BU$6:$BU$505,STG_ZPMW03!$B$6:$B$505,$A67)))</f>
        <v/>
      </c>
      <c r="W67" s="117" t="str">
        <f>IF($A67="","",IF($J67=0,"n.b.",SUMIFS(STG_ZPMW03!$BW$6:$BW$505,STG_ZPMW03!$B$6:$B$505,$A67)))</f>
        <v/>
      </c>
      <c r="X67" s="117" t="str">
        <f>IF($A67="","",IF($J67=0,"n.b.",SUMIFS(STG_ZPMW03!$BY$6:$BY$505,STG_ZPMW03!$B$6:$B$505,$A67)))</f>
        <v/>
      </c>
      <c r="Y67" s="117" t="str">
        <f>IF($A67="","",IF($J67=0,"n.b.",SUMIFS(STG_ZPMW03!$CA$6:$CA$505,STG_ZPMW03!$B$6:$B$505,$A67)))</f>
        <v/>
      </c>
      <c r="Z67" s="117" t="str">
        <f>IF($A67="","",IF($J67=0,"n.b.",SUMIFS(STG_ZPMW03!$BV$6:$BV$505,STG_ZPMW03!$B$6:$B$505,$A67)))</f>
        <v/>
      </c>
      <c r="AA67" s="117" t="str">
        <f>IF($A67="","",IF($J67=0,"n.b.",SUMIFS(STG_ZPMW03!$BX$6:$BX$505,STG_ZPMW03!$B$6:$B$505,$A67)))</f>
        <v/>
      </c>
      <c r="AB67" s="117" t="str">
        <f>IF($A67="","",IF($J67=0,"n.b.",SUMIFS(STG_ZPMW03!$BZ$6:$BZ$505,STG_ZPMW03!$B$6:$B$505,$A67)))</f>
        <v/>
      </c>
      <c r="AC67" s="117" t="str">
        <f>IF($A67="","",IF($J67=0,"n.b.",SUMIFS(STG_ZPMW03!$CB$6:$CB$505,STG_ZPMW03!$B$6:$B$505,$A67)))</f>
        <v/>
      </c>
      <c r="AD67" s="117" t="str">
        <f>IF($A67="","",IF($J67=0,"n.b.",SUMIFS(STG_ZPMW03!$CC$6:$CC$505,STG_ZPMW03!$B$6:$B$505,$A67)))</f>
        <v/>
      </c>
      <c r="AE67" s="117" t="str">
        <f>IF($A67="","",IF($J67=0,"n.b.",SUMIFS(STG_ZPMW03!$CE$6:$CE$505,STG_ZPMW03!$B$6:$B$505,$A67)))</f>
        <v/>
      </c>
      <c r="AF67" s="117" t="str">
        <f>IF($A67="","",IF($J67=0,"n.b.",SUMIFS(STG_ZPMW03!$CG$6:$CG$505,STG_ZPMW03!$B$6:$B$505,$A67)))</f>
        <v/>
      </c>
      <c r="AG67" s="117" t="str">
        <f>IF($A67="","",IF($J67=0,"n.b.",SUMIFS(STG_ZPMW03!$CI$6:$CI$505,STG_ZPMW03!$B$6:$B$505,$A67)))</f>
        <v/>
      </c>
      <c r="AH67" s="117" t="str">
        <f>IF($A67="","",IF($J67=0,"n.b.",SUMIFS(STG_ZPMW03!$CK$6:$CK$505,STG_ZPMW03!$B$6:$B$505,$A67)))</f>
        <v/>
      </c>
      <c r="AI67" s="117" t="str">
        <f>IF($A67="","",IF($J67=0,"n.b.",SUMIFS(STG_ZPMW03!$CM$6:$CM$505,STG_ZPMW03!$B$6:$B$505,$A67)))</f>
        <v/>
      </c>
      <c r="AJ67" s="117" t="str">
        <f>IF($A67="","",IF($J67=0,"n.b.",SUMIFS(STG_ZPMW03!$CO$6:$CO$505,STG_ZPMW03!$B$6:$B$505,$A67)))</f>
        <v/>
      </c>
      <c r="AK67" s="117" t="str">
        <f>IF($A67="","",IF($J67=0,"n.b.",SUMIFS(STG_ZPMW03!$CQ$6:$CQ$505,STG_ZPMW03!$B$6:$B$505,$A67)))</f>
        <v/>
      </c>
      <c r="AL67" s="117" t="str">
        <f>IF($A67="","",IF($J67=0,"n.b.",SUMIFS(STG_ZPMW03!$CD$6:$CD$505,STG_ZPMW03!$B$6:$B$505,$A67)))</f>
        <v/>
      </c>
      <c r="AM67" s="117" t="str">
        <f>IF($A67="","",IF($J67=0,"n.b.",SUMIFS(STG_ZPMW03!$CF$6:$CF$505,STG_ZPMW03!$B$6:$B$505,$A67)))</f>
        <v/>
      </c>
      <c r="AN67" s="117" t="str">
        <f>IF($A67="","",IF($J67=0,"n.b.",SUMIFS(STG_ZPMW03!$CH$6:$CH$505,STG_ZPMW03!$B$6:$B$505,$A67)))</f>
        <v/>
      </c>
      <c r="AO67" s="117" t="str">
        <f>IF($A67="","",IF($J67=0,"n.b.",SUMIFS(STG_ZPMW03!$CJ$6:$CJ$505,STG_ZPMW03!$B$6:$B$505,$A67)))</f>
        <v/>
      </c>
      <c r="AP67" s="117" t="str">
        <f>IF($A67="","",IF($J67=0,"n.b.",SUMIFS(STG_ZPMW03!$CL$6:$CL$505,STG_ZPMW03!$B$6:$B$505,$A67)))</f>
        <v/>
      </c>
      <c r="AQ67" s="117" t="str">
        <f>IF($A67="","",IF($J67=0,"n.b.",SUMIFS(STG_ZPMW03!$CN$6:$CN$505,STG_ZPMW03!$B$6:$B$505,$A67)))</f>
        <v/>
      </c>
      <c r="AR67" s="117" t="str">
        <f>IF($A67="","",IF($J67=0,"n.b.",SUMIFS(STG_ZPMW03!$CP$6:$CP$505,STG_ZPMW03!$B$6:$B$505,$A67)))</f>
        <v/>
      </c>
      <c r="AS67" s="117" t="str">
        <f>IF($A67="","",IF($J67=0,"n.b.",SUMIFS(STG_ZPMW03!$CR$6:$CR$505,STG_ZPMW03!$B$6:$B$505,$A67)))</f>
        <v/>
      </c>
      <c r="AT67" s="117" t="str">
        <f>IF($A67="","",IF($K67=0,"n.b.",SUMIFS(STG_Woningetalage!$Q$6:$Q$505,STG_Woningetalage!$B$6:$B$505,$A67)))</f>
        <v/>
      </c>
      <c r="AU67" s="117" t="str">
        <f>IF($A67="","",IF($K67=0,"n.b.",SUMIFS(STG_Woningetalage!$R$6:$R$505,STG_Woningetalage!$B$6:$B$505,$A67)))</f>
        <v/>
      </c>
      <c r="AV67" s="117" t="str">
        <f>IF($A67="","",IF($K67=0,"n.b.",SUMIFS(STG_Woningetalage!$S$6:$S$505,STG_Woningetalage!$B$6:$B$505,$A67)))</f>
        <v/>
      </c>
      <c r="AW67" s="117" t="str">
        <f>IF($A67="","",IF($K67=0,"n.b.",SUMIFS(STG_Woningetalage!$T$6:$T$505,STG_Woningetalage!$B$6:$B$505,$A67)))</f>
        <v/>
      </c>
      <c r="AX67" s="117" t="str">
        <f>IF($A67="","",IF($K67=0,"n.b.",SUMIFS(STG_Woningetalage!$U$6:$U$505,STG_Woningetalage!$B$6:$B$505,$A67)))</f>
        <v/>
      </c>
      <c r="AY67" s="117" t="str">
        <f>IF($A67="","",IF($K67=0,"n.b.",SUMIFS(STG_Woningetalage!$V$6:$V$505,STG_Woningetalage!$B$6:$B$505,$A67)))</f>
        <v/>
      </c>
      <c r="AZ67" s="117" t="str">
        <f>IF($A67="","",IF($K67=0,"n.b.",SUMIFS(STG_Woningetalage!$W$6:$W$505,STG_Woningetalage!$B$6:$B$505,$A67)))</f>
        <v/>
      </c>
      <c r="BA67" s="117" t="str">
        <f>IF($A67="","",IF($K67=0,"n.b.",SUMIFS(STG_Woningetalage!$X$6:$X$505,STG_Woningetalage!$B$6:$B$505,$A67)))</f>
        <v/>
      </c>
      <c r="BB67" s="117" t="str">
        <f>IF($A67="","",IF($K67=0,"n.b.",SUMIFS(STG_Woningetalage!$Y$6:$Y$505,STG_Woningetalage!$B$6:$B$505,$A67)))</f>
        <v/>
      </c>
      <c r="BC67" s="117" t="str">
        <f>IF($A67="","",IF($K67=0,"n.b.",SUMIFS(STG_Woningetalage!$Z$6:$Z$505,STG_Woningetalage!$B$6:$B$505,$A67)))</f>
        <v/>
      </c>
      <c r="BD67" s="117" t="str">
        <f>IF($A67="","",IF($K67=0,"n.b.",SUMIFS(STG_Woningetalage!$AA$6:$AA$505,STG_Woningetalage!$B$6:$B$505,$A67)))</f>
        <v/>
      </c>
      <c r="BE67" s="117" t="str">
        <f>IF($A67="","",IF($K67=0,"n.b.",SUMIFS(STG_Woningetalage!$AB$6:$AB$505,STG_Woningetalage!$B$6:$B$505,$A67)))</f>
        <v/>
      </c>
      <c r="BF67" s="117" t="str">
        <f>IF($A67="","",IF($K67=0,"n.b.",SUMIFS(STG_Woningetalage!$AC$6:$AC$505,STG_Woningetalage!$B$6:$B$505,$A67)))</f>
        <v/>
      </c>
      <c r="BG67" s="117" t="str">
        <f>IF($A67="","",IF($K67=0,"n.b.",SUMIFS(STG_Woningetalage!$AD$6:$AD$505,STG_Woningetalage!$B$6:$B$505,$A67)))</f>
        <v/>
      </c>
      <c r="BH67" s="117" t="str">
        <f>IF($A67="","",IF($K67=0,"n.b.",SUMIFS(STG_Woningetalage!$AE$6:$AE$505,STG_Woningetalage!$B$6:$B$505,$A67)))</f>
        <v/>
      </c>
      <c r="BI67" s="117" t="str">
        <f>IF($A67="","",IF($K67=0,"n.b.",SUMIFS(STG_Woningetalage!$AF$6:$AF$505,STG_Woningetalage!$B$6:$B$505,$A67)))</f>
        <v/>
      </c>
      <c r="BJ67" s="117" t="str">
        <f>IF($A67="","",IF($K67=0,"n.b.",SUMIFS(STG_Woningetalage!$AG$6:$AG$505,STG_Woningetalage!$B$6:$B$505,$A67)))</f>
        <v/>
      </c>
      <c r="BK67" s="117" t="str">
        <f>IF($A67="","",IF($K67=0,"n.b.",SUMIFS(STG_Woningetalage!$AH$6:$AH$505,STG_Woningetalage!$B$6:$B$505,$A67)))</f>
        <v/>
      </c>
      <c r="BL67" s="117" t="str">
        <f>IF($A67="","",IF($K67=0,"n.b.",SUMIFS(STG_Woningetalage!$AI$6:$AI$505,STG_Woningetalage!$B$6:$B$505,$A67)))</f>
        <v/>
      </c>
      <c r="BM67" s="117" t="str">
        <f>IF($A67="","",IF($K67=0,"n.b.",SUMIFS(STG_Woningetalage!$AJ$6:$AJ$505,STG_Woningetalage!$B$6:$B$505,$A67)))</f>
        <v/>
      </c>
      <c r="BN67" s="117" t="str">
        <f>IF($A67="","",IF($K67=0,"n.b.",SUMIFS(STG_Woningetalage!$AK$6:$AK$505,STG_Woningetalage!$B$6:$B$505,$A67)))</f>
        <v/>
      </c>
      <c r="BO67" s="117" t="str">
        <f>IF($A67="","",IF($K67=0,"n.b.",SUMIFS(STG_Woningetalage!$AL$6:$AL$505,STG_Woningetalage!$B$6:$B$505,$A67)))</f>
        <v/>
      </c>
      <c r="BP67" s="117" t="str">
        <f>IF($A67="","",IF($K67=0,"n.b.",SUMIFS(STG_Woningetalage!$AM$6:$AM$505,STG_Woningetalage!$B$6:$B$505,$A67)))</f>
        <v/>
      </c>
      <c r="BQ67" s="117" t="str">
        <f>IF($A67="","",IF($K67=0,"n.b.",SUMIFS(STG_Woningetalage!$BE$6:$BE$505,STG_Woningetalage!$B$6:$B$505,$A67)))</f>
        <v/>
      </c>
      <c r="BR67" s="117" t="str">
        <f>IF($A67="","",IF($K67=0,"n.b.",SUMIFS(STG_Woningetalage!$BF$6:$BF$505,STG_Woningetalage!$B$6:$B$505,$A67)))</f>
        <v/>
      </c>
      <c r="BS67" s="117" t="str">
        <f>IF($A67="","",IF($K67=0,"n.b.",SUMIFS(STG_Woningetalage!$BG$6:$BG$505,STG_Woningetalage!$B$6:$B$505,$A67)))</f>
        <v/>
      </c>
      <c r="BT67" s="117" t="str">
        <f>IF($A67="","",IF($K67=0,"n.b.",SUMIFS(STG_Woningetalage!$BH$6:$BH$505,STG_Woningetalage!$B$6:$B$505,$A67)))</f>
        <v/>
      </c>
      <c r="BU67" s="117" t="str">
        <f>IF($A67="","",IF($K67=0,"n.b.",SUMIFS(STG_Woningetalage!$BI$6:$BI$505,STG_Woningetalage!$B$6:$B$505,$A67)))</f>
        <v/>
      </c>
      <c r="BV67" s="117" t="str">
        <f>IF($A67="","",IF($K67=0,"n.b.",SUMIFS(STG_Woningetalage!$BJ$6:$BJ$505,STG_Woningetalage!$B$6:$B$505,$A67)))</f>
        <v/>
      </c>
      <c r="BW67" s="117" t="str">
        <f>IF($A67="","",IF($K67=0,"n.b.",SUMIFS(STG_Woningetalage!$AR$6:$AR$505,STG_Woningetalage!$B$6:$B$505,$A67)))</f>
        <v/>
      </c>
      <c r="BX67" s="117" t="str">
        <f>IF($A67="","",IF($K67=0,"n.b.",SUMIFS(STG_Woningetalage!$AS$6:$AS$505,STG_Woningetalage!$B$6:$B$505,$A67)))</f>
        <v/>
      </c>
      <c r="BY67" s="117" t="str">
        <f>IF($A67="","",IF($K67=0,"n.b.",SUMIFS(STG_Woningetalage!$AN$6:$AN$505,STG_Woningetalage!$B$6:$B$505,$A67)))</f>
        <v/>
      </c>
      <c r="BZ67" s="117" t="str">
        <f>IF($A67="","",IF($K67=0,"n.b.",SUMIFS(STG_Woningetalage!$AO$6:$AO$505,STG_Woningetalage!$B$6:$B$505,$A67)))</f>
        <v/>
      </c>
      <c r="CA67" s="117" t="str">
        <f>IF($A67="","",IF($K67=0,"n.b.",SUMIFS(STG_Woningetalage!$AP$6:$AP$505,STG_Woningetalage!$B$6:$B$505,$A67)))</f>
        <v/>
      </c>
      <c r="CB67" s="117" t="str">
        <f>IF($A67="","",IF($K67=0,"n.b.",SUMIFS(STG_Woningetalage!$AQ$6:$AQ$505,STG_Woningetalage!$B$6:$B$505,$A67)))</f>
        <v/>
      </c>
      <c r="CC67" s="117" t="str">
        <f>IF($A67="","",IF($K67=0,"n.b.",SUMIFS(STG_Woningetalage!$AU$6:$AU$505,STG_Woningetalage!$B$6:$B$505,$A67)))</f>
        <v/>
      </c>
      <c r="CD67" s="92" t="str">
        <f>IF($A67="","",IFERROR(INDEX(STG_ZPMW03!$L$6:$L$505,MATCH($A67,STG_ZPMW03!$B$6:$B$505,0)),"n.b."))</f>
        <v/>
      </c>
      <c r="CE67" s="92" t="str">
        <f>IF($A67="","",IFERROR(INDEX(STG_ZPMW03!$K$6:$K$505,MATCH($A67,STG_ZPMW03!$B$6:$B$505,0)),"n.b."))</f>
        <v/>
      </c>
      <c r="CF67" s="92" t="str">
        <f>IF($A67="","",IFERROR(INDEX(STG_ZPMW03!$BH$6:$BH$505,MATCH($A67,STG_ZPMW03!$B$6:$B$505,0)),"n.b."))</f>
        <v/>
      </c>
      <c r="CG67" s="92" t="str">
        <f>IF($A67="","",IFERROR(INDEX(STG_ZPMW03!$BI$6:$BI$505,MATCH($A67,STG_ZPMW03!$B$6:$B$505,0)),"n.b."))</f>
        <v/>
      </c>
      <c r="CH67" s="92" t="str">
        <f>IF($A67="","",IFERROR(INDEX(STG_ZPMW03!$BJ$6:$BJ$505,MATCH($A67,STG_ZPMW03!$B$6:$B$505,0)),"n.b."))</f>
        <v/>
      </c>
      <c r="CI67" s="92" t="str">
        <f>IF($A67="","",IFERROR(INDEX(STG_ZPMW03!$BF$6:$BF$505,MATCH($A67,STG_ZPMW03!$B$6:$B$505,0)),"n.b."))</f>
        <v/>
      </c>
      <c r="CJ67" s="92" t="str">
        <f>IF($A67="","",IFERROR(INDEX(STG_ZPMW03!$BG$6:$BG$505,MATCH($A67,STG_ZPMW03!$B$6:$B$505,0)),"n.b."))</f>
        <v/>
      </c>
      <c r="CK67" s="92" t="str">
        <f>IF($A67="","",IFERROR(INDEX(STG_ZPMW03!$H$6:$H$505,MATCH($A67,STG_ZPMW03!$B$6:$B$505,0)),"n.b."))</f>
        <v/>
      </c>
      <c r="CL67" s="92" t="str">
        <f>IF($A67="","",IFERROR(INDEX(STG_ZPMW03!$E$6:$E$505,MATCH($A67,STG_ZPMW03!$B$6:$B$505,0)),"n.b."))</f>
        <v/>
      </c>
      <c r="CM67" s="92" t="str">
        <f>IF($A67="","",IFERROR(INDEX(STG_ZPMW03!$G$6:$G$505,MATCH($A67,STG_ZPMW03!$B$6:$B$505,0)),"n.b."))</f>
        <v/>
      </c>
      <c r="CN67" s="92" t="str">
        <f>IF($A67="","",IFERROR(INDEX(STG_Woningetalage!$N$6:$N$505,MATCH($A67,STG_Woningetalage!$B$6:$B$505,0)),"n.b."))</f>
        <v/>
      </c>
      <c r="CO67" s="92" t="str">
        <f>IF($A67="","",IFERROR(INDEX(STG_Woningetalage!$P$6:$P$505,MATCH($A67,STG_Woningetalage!$B$6:$B$505,0)),"n.b."))</f>
        <v/>
      </c>
      <c r="CP67" s="118" t="str">
        <f>IF($A67="","",IF(AND(ISNUMBER(AT67),ISNUMBER(F67)),IF(F67&gt;0,AT67/(F67/100),"n.b."),"n.b."))</f>
        <v/>
      </c>
      <c r="CQ67" s="116" t="str">
        <f>IF($A67="","",IF(ISNUMBER(Q67),IF(Q67&lt;0,1,0),0))</f>
        <v/>
      </c>
      <c r="CR67" s="116" t="str">
        <f>IF(CQ67=1,COUNTIF($CQ$6:CQ67,1),"")</f>
        <v/>
      </c>
      <c r="CS67" s="116" t="str">
        <f>IF(AND($A67&lt;&gt;"",$J67=0),COUNTIFS($A$6:$A67,"?*",$J$6:$J67,0),"")</f>
        <v/>
      </c>
      <c r="CT67" s="119" t="str">
        <f>IF($A67="","",IF(AND(ISNUMBER(Q67),ISNUMBER(P67)),IF(P67&lt;&gt;0,Q67/P67,"n.b."),"n.b."))</f>
        <v/>
      </c>
    </row>
    <row r="68">
      <c r="A68" s="92" t="str">
        <f>IF(Mapping!$A67="","",Mapping!$A67)</f>
        <v/>
      </c>
      <c r="B68" s="92" t="str">
        <f>IF(Mapping!$B67="","",Mapping!$B67)</f>
        <v/>
      </c>
      <c r="C68" s="92" t="str">
        <f>IF(Mapping!$C67="","",Mapping!$C67)</f>
        <v/>
      </c>
      <c r="D68" s="92" t="str">
        <f>IF(Mapping!$F67="","",Mapping!$F67)</f>
        <v/>
      </c>
      <c r="E68" s="92" t="str">
        <f>IF(Mapping!$H67="","",Mapping!$H67)</f>
        <v/>
      </c>
      <c r="F68" s="92" t="str">
        <f>IF(Mapping!$E67="","",Mapping!$E67)</f>
        <v/>
      </c>
      <c r="G68" s="92" t="str">
        <f>IF(Mapping!$G67="","",Mapping!$G67)</f>
        <v/>
      </c>
      <c r="H68" s="92" t="str">
        <f>IF(Mapping!$D67="","",Mapping!$D67)</f>
        <v/>
      </c>
      <c r="I68" s="92" t="str">
        <f>IF($A68="","",IFERROR(INDEX(STG_ZPMW03!$C$6:$C$505,MATCH($A68,STG_ZPMW03!$B$6:$B$505,0)),"n.b."))</f>
        <v/>
      </c>
      <c r="J68" s="116" t="str">
        <f>IF($A68="","",COUNTIF(STG_ZPMW03!$B$6:$B$505,$A68))</f>
        <v/>
      </c>
      <c r="K68" s="116" t="str">
        <f>IF($A68="","",COUNTIF(STG_Woningetalage!$B$6:$B$505,$A68))</f>
        <v/>
      </c>
      <c r="L68" s="117" t="str">
        <f>IF($A68="","",IF($J68=0,"n.b.",SUMIFS(STG_ZPMW03!$BK$6:$BK$505,STG_ZPMW03!$B$6:$B$505,$A68)))</f>
        <v/>
      </c>
      <c r="M68" s="117" t="str">
        <f>IF($A68="","",IF($J68=0,"n.b.",SUMIFS(STG_ZPMW03!$BL$6:$BL$505,STG_ZPMW03!$B$6:$B$505,$A68)))</f>
        <v/>
      </c>
      <c r="N68" s="117" t="str">
        <f>IF($A68="","",IF($J68=0,"n.b.",SUMIFS(STG_ZPMW03!$BM$6:$BM$505,STG_ZPMW03!$B$6:$B$505,$A68)))</f>
        <v/>
      </c>
      <c r="O68" s="117" t="str">
        <f>IF($A68="","",IF($J68=0,"n.b.",SUMIFS(STG_ZPMW03!$BN$6:$BN$505,STG_ZPMW03!$B$6:$B$505,$A68)))</f>
        <v/>
      </c>
      <c r="P68" s="117" t="str">
        <f>IF($A68="","",IF($J68=0,"n.b.",SUMIFS(STG_ZPMW03!$BO$6:$BO$505,STG_ZPMW03!$B$6:$B$505,$A68)))</f>
        <v/>
      </c>
      <c r="Q68" s="117" t="str">
        <f>IF($A68="","",IF($J68=0,"n.b.",SUMIFS(STG_ZPMW03!$BP$6:$BP$505,STG_ZPMW03!$B$6:$B$505,$A68)))</f>
        <v/>
      </c>
      <c r="R68" s="117" t="str">
        <f>IF($A68="","",IF($J68=0,"n.b.",SUMIFS(STG_ZPMW03!$BQ$6:$BQ$505,STG_ZPMW03!$B$6:$B$505,$A68)))</f>
        <v/>
      </c>
      <c r="S68" s="117" t="str">
        <f>IF($A68="","",IF($J68=0,"n.b.",SUMIFS(STG_ZPMW03!$BR$6:$BR$505,STG_ZPMW03!$B$6:$B$505,$A68)))</f>
        <v/>
      </c>
      <c r="T68" s="117" t="str">
        <f>IF($A68="","",IF($J68=0,"n.b.",SUMIFS(STG_ZPMW03!$BS$6:$BS$505,STG_ZPMW03!$B$6:$B$505,$A68)))</f>
        <v/>
      </c>
      <c r="U68" s="117" t="str">
        <f>IF($A68="","",IF($J68=0,"n.b.",SUMIFS(STG_ZPMW03!$BT$6:$BT$505,STG_ZPMW03!$B$6:$B$505,$A68)))</f>
        <v/>
      </c>
      <c r="V68" s="117" t="str">
        <f>IF($A68="","",IF($J68=0,"n.b.",SUMIFS(STG_ZPMW03!$BU$6:$BU$505,STG_ZPMW03!$B$6:$B$505,$A68)))</f>
        <v/>
      </c>
      <c r="W68" s="117" t="str">
        <f>IF($A68="","",IF($J68=0,"n.b.",SUMIFS(STG_ZPMW03!$BW$6:$BW$505,STG_ZPMW03!$B$6:$B$505,$A68)))</f>
        <v/>
      </c>
      <c r="X68" s="117" t="str">
        <f>IF($A68="","",IF($J68=0,"n.b.",SUMIFS(STG_ZPMW03!$BY$6:$BY$505,STG_ZPMW03!$B$6:$B$505,$A68)))</f>
        <v/>
      </c>
      <c r="Y68" s="117" t="str">
        <f>IF($A68="","",IF($J68=0,"n.b.",SUMIFS(STG_ZPMW03!$CA$6:$CA$505,STG_ZPMW03!$B$6:$B$505,$A68)))</f>
        <v/>
      </c>
      <c r="Z68" s="117" t="str">
        <f>IF($A68="","",IF($J68=0,"n.b.",SUMIFS(STG_ZPMW03!$BV$6:$BV$505,STG_ZPMW03!$B$6:$B$505,$A68)))</f>
        <v/>
      </c>
      <c r="AA68" s="117" t="str">
        <f>IF($A68="","",IF($J68=0,"n.b.",SUMIFS(STG_ZPMW03!$BX$6:$BX$505,STG_ZPMW03!$B$6:$B$505,$A68)))</f>
        <v/>
      </c>
      <c r="AB68" s="117" t="str">
        <f>IF($A68="","",IF($J68=0,"n.b.",SUMIFS(STG_ZPMW03!$BZ$6:$BZ$505,STG_ZPMW03!$B$6:$B$505,$A68)))</f>
        <v/>
      </c>
      <c r="AC68" s="117" t="str">
        <f>IF($A68="","",IF($J68=0,"n.b.",SUMIFS(STG_ZPMW03!$CB$6:$CB$505,STG_ZPMW03!$B$6:$B$505,$A68)))</f>
        <v/>
      </c>
      <c r="AD68" s="117" t="str">
        <f>IF($A68="","",IF($J68=0,"n.b.",SUMIFS(STG_ZPMW03!$CC$6:$CC$505,STG_ZPMW03!$B$6:$B$505,$A68)))</f>
        <v/>
      </c>
      <c r="AE68" s="117" t="str">
        <f>IF($A68="","",IF($J68=0,"n.b.",SUMIFS(STG_ZPMW03!$CE$6:$CE$505,STG_ZPMW03!$B$6:$B$505,$A68)))</f>
        <v/>
      </c>
      <c r="AF68" s="117" t="str">
        <f>IF($A68="","",IF($J68=0,"n.b.",SUMIFS(STG_ZPMW03!$CG$6:$CG$505,STG_ZPMW03!$B$6:$B$505,$A68)))</f>
        <v/>
      </c>
      <c r="AG68" s="117" t="str">
        <f>IF($A68="","",IF($J68=0,"n.b.",SUMIFS(STG_ZPMW03!$CI$6:$CI$505,STG_ZPMW03!$B$6:$B$505,$A68)))</f>
        <v/>
      </c>
      <c r="AH68" s="117" t="str">
        <f>IF($A68="","",IF($J68=0,"n.b.",SUMIFS(STG_ZPMW03!$CK$6:$CK$505,STG_ZPMW03!$B$6:$B$505,$A68)))</f>
        <v/>
      </c>
      <c r="AI68" s="117" t="str">
        <f>IF($A68="","",IF($J68=0,"n.b.",SUMIFS(STG_ZPMW03!$CM$6:$CM$505,STG_ZPMW03!$B$6:$B$505,$A68)))</f>
        <v/>
      </c>
      <c r="AJ68" s="117" t="str">
        <f>IF($A68="","",IF($J68=0,"n.b.",SUMIFS(STG_ZPMW03!$CO$6:$CO$505,STG_ZPMW03!$B$6:$B$505,$A68)))</f>
        <v/>
      </c>
      <c r="AK68" s="117" t="str">
        <f>IF($A68="","",IF($J68=0,"n.b.",SUMIFS(STG_ZPMW03!$CQ$6:$CQ$505,STG_ZPMW03!$B$6:$B$505,$A68)))</f>
        <v/>
      </c>
      <c r="AL68" s="117" t="str">
        <f>IF($A68="","",IF($J68=0,"n.b.",SUMIFS(STG_ZPMW03!$CD$6:$CD$505,STG_ZPMW03!$B$6:$B$505,$A68)))</f>
        <v/>
      </c>
      <c r="AM68" s="117" t="str">
        <f>IF($A68="","",IF($J68=0,"n.b.",SUMIFS(STG_ZPMW03!$CF$6:$CF$505,STG_ZPMW03!$B$6:$B$505,$A68)))</f>
        <v/>
      </c>
      <c r="AN68" s="117" t="str">
        <f>IF($A68="","",IF($J68=0,"n.b.",SUMIFS(STG_ZPMW03!$CH$6:$CH$505,STG_ZPMW03!$B$6:$B$505,$A68)))</f>
        <v/>
      </c>
      <c r="AO68" s="117" t="str">
        <f>IF($A68="","",IF($J68=0,"n.b.",SUMIFS(STG_ZPMW03!$CJ$6:$CJ$505,STG_ZPMW03!$B$6:$B$505,$A68)))</f>
        <v/>
      </c>
      <c r="AP68" s="117" t="str">
        <f>IF($A68="","",IF($J68=0,"n.b.",SUMIFS(STG_ZPMW03!$CL$6:$CL$505,STG_ZPMW03!$B$6:$B$505,$A68)))</f>
        <v/>
      </c>
      <c r="AQ68" s="117" t="str">
        <f>IF($A68="","",IF($J68=0,"n.b.",SUMIFS(STG_ZPMW03!$CN$6:$CN$505,STG_ZPMW03!$B$6:$B$505,$A68)))</f>
        <v/>
      </c>
      <c r="AR68" s="117" t="str">
        <f>IF($A68="","",IF($J68=0,"n.b.",SUMIFS(STG_ZPMW03!$CP$6:$CP$505,STG_ZPMW03!$B$6:$B$505,$A68)))</f>
        <v/>
      </c>
      <c r="AS68" s="117" t="str">
        <f>IF($A68="","",IF($J68=0,"n.b.",SUMIFS(STG_ZPMW03!$CR$6:$CR$505,STG_ZPMW03!$B$6:$B$505,$A68)))</f>
        <v/>
      </c>
      <c r="AT68" s="117" t="str">
        <f>IF($A68="","",IF($K68=0,"n.b.",SUMIFS(STG_Woningetalage!$Q$6:$Q$505,STG_Woningetalage!$B$6:$B$505,$A68)))</f>
        <v/>
      </c>
      <c r="AU68" s="117" t="str">
        <f>IF($A68="","",IF($K68=0,"n.b.",SUMIFS(STG_Woningetalage!$R$6:$R$505,STG_Woningetalage!$B$6:$B$505,$A68)))</f>
        <v/>
      </c>
      <c r="AV68" s="117" t="str">
        <f>IF($A68="","",IF($K68=0,"n.b.",SUMIFS(STG_Woningetalage!$S$6:$S$505,STG_Woningetalage!$B$6:$B$505,$A68)))</f>
        <v/>
      </c>
      <c r="AW68" s="117" t="str">
        <f>IF($A68="","",IF($K68=0,"n.b.",SUMIFS(STG_Woningetalage!$T$6:$T$505,STG_Woningetalage!$B$6:$B$505,$A68)))</f>
        <v/>
      </c>
      <c r="AX68" s="117" t="str">
        <f>IF($A68="","",IF($K68=0,"n.b.",SUMIFS(STG_Woningetalage!$U$6:$U$505,STG_Woningetalage!$B$6:$B$505,$A68)))</f>
        <v/>
      </c>
      <c r="AY68" s="117" t="str">
        <f>IF($A68="","",IF($K68=0,"n.b.",SUMIFS(STG_Woningetalage!$V$6:$V$505,STG_Woningetalage!$B$6:$B$505,$A68)))</f>
        <v/>
      </c>
      <c r="AZ68" s="117" t="str">
        <f>IF($A68="","",IF($K68=0,"n.b.",SUMIFS(STG_Woningetalage!$W$6:$W$505,STG_Woningetalage!$B$6:$B$505,$A68)))</f>
        <v/>
      </c>
      <c r="BA68" s="117" t="str">
        <f>IF($A68="","",IF($K68=0,"n.b.",SUMIFS(STG_Woningetalage!$X$6:$X$505,STG_Woningetalage!$B$6:$B$505,$A68)))</f>
        <v/>
      </c>
      <c r="BB68" s="117" t="str">
        <f>IF($A68="","",IF($K68=0,"n.b.",SUMIFS(STG_Woningetalage!$Y$6:$Y$505,STG_Woningetalage!$B$6:$B$505,$A68)))</f>
        <v/>
      </c>
      <c r="BC68" s="117" t="str">
        <f>IF($A68="","",IF($K68=0,"n.b.",SUMIFS(STG_Woningetalage!$Z$6:$Z$505,STG_Woningetalage!$B$6:$B$505,$A68)))</f>
        <v/>
      </c>
      <c r="BD68" s="117" t="str">
        <f>IF($A68="","",IF($K68=0,"n.b.",SUMIFS(STG_Woningetalage!$AA$6:$AA$505,STG_Woningetalage!$B$6:$B$505,$A68)))</f>
        <v/>
      </c>
      <c r="BE68" s="117" t="str">
        <f>IF($A68="","",IF($K68=0,"n.b.",SUMIFS(STG_Woningetalage!$AB$6:$AB$505,STG_Woningetalage!$B$6:$B$505,$A68)))</f>
        <v/>
      </c>
      <c r="BF68" s="117" t="str">
        <f>IF($A68="","",IF($K68=0,"n.b.",SUMIFS(STG_Woningetalage!$AC$6:$AC$505,STG_Woningetalage!$B$6:$B$505,$A68)))</f>
        <v/>
      </c>
      <c r="BG68" s="117" t="str">
        <f>IF($A68="","",IF($K68=0,"n.b.",SUMIFS(STG_Woningetalage!$AD$6:$AD$505,STG_Woningetalage!$B$6:$B$505,$A68)))</f>
        <v/>
      </c>
      <c r="BH68" s="117" t="str">
        <f>IF($A68="","",IF($K68=0,"n.b.",SUMIFS(STG_Woningetalage!$AE$6:$AE$505,STG_Woningetalage!$B$6:$B$505,$A68)))</f>
        <v/>
      </c>
      <c r="BI68" s="117" t="str">
        <f>IF($A68="","",IF($K68=0,"n.b.",SUMIFS(STG_Woningetalage!$AF$6:$AF$505,STG_Woningetalage!$B$6:$B$505,$A68)))</f>
        <v/>
      </c>
      <c r="BJ68" s="117" t="str">
        <f>IF($A68="","",IF($K68=0,"n.b.",SUMIFS(STG_Woningetalage!$AG$6:$AG$505,STG_Woningetalage!$B$6:$B$505,$A68)))</f>
        <v/>
      </c>
      <c r="BK68" s="117" t="str">
        <f>IF($A68="","",IF($K68=0,"n.b.",SUMIFS(STG_Woningetalage!$AH$6:$AH$505,STG_Woningetalage!$B$6:$B$505,$A68)))</f>
        <v/>
      </c>
      <c r="BL68" s="117" t="str">
        <f>IF($A68="","",IF($K68=0,"n.b.",SUMIFS(STG_Woningetalage!$AI$6:$AI$505,STG_Woningetalage!$B$6:$B$505,$A68)))</f>
        <v/>
      </c>
      <c r="BM68" s="117" t="str">
        <f>IF($A68="","",IF($K68=0,"n.b.",SUMIFS(STG_Woningetalage!$AJ$6:$AJ$505,STG_Woningetalage!$B$6:$B$505,$A68)))</f>
        <v/>
      </c>
      <c r="BN68" s="117" t="str">
        <f>IF($A68="","",IF($K68=0,"n.b.",SUMIFS(STG_Woningetalage!$AK$6:$AK$505,STG_Woningetalage!$B$6:$B$505,$A68)))</f>
        <v/>
      </c>
      <c r="BO68" s="117" t="str">
        <f>IF($A68="","",IF($K68=0,"n.b.",SUMIFS(STG_Woningetalage!$AL$6:$AL$505,STG_Woningetalage!$B$6:$B$505,$A68)))</f>
        <v/>
      </c>
      <c r="BP68" s="117" t="str">
        <f>IF($A68="","",IF($K68=0,"n.b.",SUMIFS(STG_Woningetalage!$AM$6:$AM$505,STG_Woningetalage!$B$6:$B$505,$A68)))</f>
        <v/>
      </c>
      <c r="BQ68" s="117" t="str">
        <f>IF($A68="","",IF($K68=0,"n.b.",SUMIFS(STG_Woningetalage!$BE$6:$BE$505,STG_Woningetalage!$B$6:$B$505,$A68)))</f>
        <v/>
      </c>
      <c r="BR68" s="117" t="str">
        <f>IF($A68="","",IF($K68=0,"n.b.",SUMIFS(STG_Woningetalage!$BF$6:$BF$505,STG_Woningetalage!$B$6:$B$505,$A68)))</f>
        <v/>
      </c>
      <c r="BS68" s="117" t="str">
        <f>IF($A68="","",IF($K68=0,"n.b.",SUMIFS(STG_Woningetalage!$BG$6:$BG$505,STG_Woningetalage!$B$6:$B$505,$A68)))</f>
        <v/>
      </c>
      <c r="BT68" s="117" t="str">
        <f>IF($A68="","",IF($K68=0,"n.b.",SUMIFS(STG_Woningetalage!$BH$6:$BH$505,STG_Woningetalage!$B$6:$B$505,$A68)))</f>
        <v/>
      </c>
      <c r="BU68" s="117" t="str">
        <f>IF($A68="","",IF($K68=0,"n.b.",SUMIFS(STG_Woningetalage!$BI$6:$BI$505,STG_Woningetalage!$B$6:$B$505,$A68)))</f>
        <v/>
      </c>
      <c r="BV68" s="117" t="str">
        <f>IF($A68="","",IF($K68=0,"n.b.",SUMIFS(STG_Woningetalage!$BJ$6:$BJ$505,STG_Woningetalage!$B$6:$B$505,$A68)))</f>
        <v/>
      </c>
      <c r="BW68" s="117" t="str">
        <f>IF($A68="","",IF($K68=0,"n.b.",SUMIFS(STG_Woningetalage!$AR$6:$AR$505,STG_Woningetalage!$B$6:$B$505,$A68)))</f>
        <v/>
      </c>
      <c r="BX68" s="117" t="str">
        <f>IF($A68="","",IF($K68=0,"n.b.",SUMIFS(STG_Woningetalage!$AS$6:$AS$505,STG_Woningetalage!$B$6:$B$505,$A68)))</f>
        <v/>
      </c>
      <c r="BY68" s="117" t="str">
        <f>IF($A68="","",IF($K68=0,"n.b.",SUMIFS(STG_Woningetalage!$AN$6:$AN$505,STG_Woningetalage!$B$6:$B$505,$A68)))</f>
        <v/>
      </c>
      <c r="BZ68" s="117" t="str">
        <f>IF($A68="","",IF($K68=0,"n.b.",SUMIFS(STG_Woningetalage!$AO$6:$AO$505,STG_Woningetalage!$B$6:$B$505,$A68)))</f>
        <v/>
      </c>
      <c r="CA68" s="117" t="str">
        <f>IF($A68="","",IF($K68=0,"n.b.",SUMIFS(STG_Woningetalage!$AP$6:$AP$505,STG_Woningetalage!$B$6:$B$505,$A68)))</f>
        <v/>
      </c>
      <c r="CB68" s="117" t="str">
        <f>IF($A68="","",IF($K68=0,"n.b.",SUMIFS(STG_Woningetalage!$AQ$6:$AQ$505,STG_Woningetalage!$B$6:$B$505,$A68)))</f>
        <v/>
      </c>
      <c r="CC68" s="117" t="str">
        <f>IF($A68="","",IF($K68=0,"n.b.",SUMIFS(STG_Woningetalage!$AU$6:$AU$505,STG_Woningetalage!$B$6:$B$505,$A68)))</f>
        <v/>
      </c>
      <c r="CD68" s="92" t="str">
        <f>IF($A68="","",IFERROR(INDEX(STG_ZPMW03!$L$6:$L$505,MATCH($A68,STG_ZPMW03!$B$6:$B$505,0)),"n.b."))</f>
        <v/>
      </c>
      <c r="CE68" s="92" t="str">
        <f>IF($A68="","",IFERROR(INDEX(STG_ZPMW03!$K$6:$K$505,MATCH($A68,STG_ZPMW03!$B$6:$B$505,0)),"n.b."))</f>
        <v/>
      </c>
      <c r="CF68" s="92" t="str">
        <f>IF($A68="","",IFERROR(INDEX(STG_ZPMW03!$BH$6:$BH$505,MATCH($A68,STG_ZPMW03!$B$6:$B$505,0)),"n.b."))</f>
        <v/>
      </c>
      <c r="CG68" s="92" t="str">
        <f>IF($A68="","",IFERROR(INDEX(STG_ZPMW03!$BI$6:$BI$505,MATCH($A68,STG_ZPMW03!$B$6:$B$505,0)),"n.b."))</f>
        <v/>
      </c>
      <c r="CH68" s="92" t="str">
        <f>IF($A68="","",IFERROR(INDEX(STG_ZPMW03!$BJ$6:$BJ$505,MATCH($A68,STG_ZPMW03!$B$6:$B$505,0)),"n.b."))</f>
        <v/>
      </c>
      <c r="CI68" s="92" t="str">
        <f>IF($A68="","",IFERROR(INDEX(STG_ZPMW03!$BF$6:$BF$505,MATCH($A68,STG_ZPMW03!$B$6:$B$505,0)),"n.b."))</f>
        <v/>
      </c>
      <c r="CJ68" s="92" t="str">
        <f>IF($A68="","",IFERROR(INDEX(STG_ZPMW03!$BG$6:$BG$505,MATCH($A68,STG_ZPMW03!$B$6:$B$505,0)),"n.b."))</f>
        <v/>
      </c>
      <c r="CK68" s="92" t="str">
        <f>IF($A68="","",IFERROR(INDEX(STG_ZPMW03!$H$6:$H$505,MATCH($A68,STG_ZPMW03!$B$6:$B$505,0)),"n.b."))</f>
        <v/>
      </c>
      <c r="CL68" s="92" t="str">
        <f>IF($A68="","",IFERROR(INDEX(STG_ZPMW03!$E$6:$E$505,MATCH($A68,STG_ZPMW03!$B$6:$B$505,0)),"n.b."))</f>
        <v/>
      </c>
      <c r="CM68" s="92" t="str">
        <f>IF($A68="","",IFERROR(INDEX(STG_ZPMW03!$G$6:$G$505,MATCH($A68,STG_ZPMW03!$B$6:$B$505,0)),"n.b."))</f>
        <v/>
      </c>
      <c r="CN68" s="92" t="str">
        <f>IF($A68="","",IFERROR(INDEX(STG_Woningetalage!$N$6:$N$505,MATCH($A68,STG_Woningetalage!$B$6:$B$505,0)),"n.b."))</f>
        <v/>
      </c>
      <c r="CO68" s="92" t="str">
        <f>IF($A68="","",IFERROR(INDEX(STG_Woningetalage!$P$6:$P$505,MATCH($A68,STG_Woningetalage!$B$6:$B$505,0)),"n.b."))</f>
        <v/>
      </c>
      <c r="CP68" s="118" t="str">
        <f>IF($A68="","",IF(AND(ISNUMBER(AT68),ISNUMBER(F68)),IF(F68&gt;0,AT68/(F68/100),"n.b."),"n.b."))</f>
        <v/>
      </c>
      <c r="CQ68" s="116" t="str">
        <f>IF($A68="","",IF(ISNUMBER(Q68),IF(Q68&lt;0,1,0),0))</f>
        <v/>
      </c>
      <c r="CR68" s="116" t="str">
        <f>IF(CQ68=1,COUNTIF($CQ$6:CQ68,1),"")</f>
        <v/>
      </c>
      <c r="CS68" s="116" t="str">
        <f>IF(AND($A68&lt;&gt;"",$J68=0),COUNTIFS($A$6:$A68,"?*",$J$6:$J68,0),"")</f>
        <v/>
      </c>
      <c r="CT68" s="119" t="str">
        <f>IF($A68="","",IF(AND(ISNUMBER(Q68),ISNUMBER(P68)),IF(P68&lt;&gt;0,Q68/P68,"n.b."),"n.b."))</f>
        <v/>
      </c>
    </row>
    <row r="69">
      <c r="A69" s="92" t="str">
        <f>IF(Mapping!$A68="","",Mapping!$A68)</f>
        <v/>
      </c>
      <c r="B69" s="92" t="str">
        <f>IF(Mapping!$B68="","",Mapping!$B68)</f>
        <v/>
      </c>
      <c r="C69" s="92" t="str">
        <f>IF(Mapping!$C68="","",Mapping!$C68)</f>
        <v/>
      </c>
      <c r="D69" s="92" t="str">
        <f>IF(Mapping!$F68="","",Mapping!$F68)</f>
        <v/>
      </c>
      <c r="E69" s="92" t="str">
        <f>IF(Mapping!$H68="","",Mapping!$H68)</f>
        <v/>
      </c>
      <c r="F69" s="92" t="str">
        <f>IF(Mapping!$E68="","",Mapping!$E68)</f>
        <v/>
      </c>
      <c r="G69" s="92" t="str">
        <f>IF(Mapping!$G68="","",Mapping!$G68)</f>
        <v/>
      </c>
      <c r="H69" s="92" t="str">
        <f>IF(Mapping!$D68="","",Mapping!$D68)</f>
        <v/>
      </c>
      <c r="I69" s="92" t="str">
        <f>IF($A69="","",IFERROR(INDEX(STG_ZPMW03!$C$6:$C$505,MATCH($A69,STG_ZPMW03!$B$6:$B$505,0)),"n.b."))</f>
        <v/>
      </c>
      <c r="J69" s="116" t="str">
        <f>IF($A69="","",COUNTIF(STG_ZPMW03!$B$6:$B$505,$A69))</f>
        <v/>
      </c>
      <c r="K69" s="116" t="str">
        <f>IF($A69="","",COUNTIF(STG_Woningetalage!$B$6:$B$505,$A69))</f>
        <v/>
      </c>
      <c r="L69" s="117" t="str">
        <f>IF($A69="","",IF($J69=0,"n.b.",SUMIFS(STG_ZPMW03!$BK$6:$BK$505,STG_ZPMW03!$B$6:$B$505,$A69)))</f>
        <v/>
      </c>
      <c r="M69" s="117" t="str">
        <f>IF($A69="","",IF($J69=0,"n.b.",SUMIFS(STG_ZPMW03!$BL$6:$BL$505,STG_ZPMW03!$B$6:$B$505,$A69)))</f>
        <v/>
      </c>
      <c r="N69" s="117" t="str">
        <f>IF($A69="","",IF($J69=0,"n.b.",SUMIFS(STG_ZPMW03!$BM$6:$BM$505,STG_ZPMW03!$B$6:$B$505,$A69)))</f>
        <v/>
      </c>
      <c r="O69" s="117" t="str">
        <f>IF($A69="","",IF($J69=0,"n.b.",SUMIFS(STG_ZPMW03!$BN$6:$BN$505,STG_ZPMW03!$B$6:$B$505,$A69)))</f>
        <v/>
      </c>
      <c r="P69" s="117" t="str">
        <f>IF($A69="","",IF($J69=0,"n.b.",SUMIFS(STG_ZPMW03!$BO$6:$BO$505,STG_ZPMW03!$B$6:$B$505,$A69)))</f>
        <v/>
      </c>
      <c r="Q69" s="117" t="str">
        <f>IF($A69="","",IF($J69=0,"n.b.",SUMIFS(STG_ZPMW03!$BP$6:$BP$505,STG_ZPMW03!$B$6:$B$505,$A69)))</f>
        <v/>
      </c>
      <c r="R69" s="117" t="str">
        <f>IF($A69="","",IF($J69=0,"n.b.",SUMIFS(STG_ZPMW03!$BQ$6:$BQ$505,STG_ZPMW03!$B$6:$B$505,$A69)))</f>
        <v/>
      </c>
      <c r="S69" s="117" t="str">
        <f>IF($A69="","",IF($J69=0,"n.b.",SUMIFS(STG_ZPMW03!$BR$6:$BR$505,STG_ZPMW03!$B$6:$B$505,$A69)))</f>
        <v/>
      </c>
      <c r="T69" s="117" t="str">
        <f>IF($A69="","",IF($J69=0,"n.b.",SUMIFS(STG_ZPMW03!$BS$6:$BS$505,STG_ZPMW03!$B$6:$B$505,$A69)))</f>
        <v/>
      </c>
      <c r="U69" s="117" t="str">
        <f>IF($A69="","",IF($J69=0,"n.b.",SUMIFS(STG_ZPMW03!$BT$6:$BT$505,STG_ZPMW03!$B$6:$B$505,$A69)))</f>
        <v/>
      </c>
      <c r="V69" s="117" t="str">
        <f>IF($A69="","",IF($J69=0,"n.b.",SUMIFS(STG_ZPMW03!$BU$6:$BU$505,STG_ZPMW03!$B$6:$B$505,$A69)))</f>
        <v/>
      </c>
      <c r="W69" s="117" t="str">
        <f>IF($A69="","",IF($J69=0,"n.b.",SUMIFS(STG_ZPMW03!$BW$6:$BW$505,STG_ZPMW03!$B$6:$B$505,$A69)))</f>
        <v/>
      </c>
      <c r="X69" s="117" t="str">
        <f>IF($A69="","",IF($J69=0,"n.b.",SUMIFS(STG_ZPMW03!$BY$6:$BY$505,STG_ZPMW03!$B$6:$B$505,$A69)))</f>
        <v/>
      </c>
      <c r="Y69" s="117" t="str">
        <f>IF($A69="","",IF($J69=0,"n.b.",SUMIFS(STG_ZPMW03!$CA$6:$CA$505,STG_ZPMW03!$B$6:$B$505,$A69)))</f>
        <v/>
      </c>
      <c r="Z69" s="117" t="str">
        <f>IF($A69="","",IF($J69=0,"n.b.",SUMIFS(STG_ZPMW03!$BV$6:$BV$505,STG_ZPMW03!$B$6:$B$505,$A69)))</f>
        <v/>
      </c>
      <c r="AA69" s="117" t="str">
        <f>IF($A69="","",IF($J69=0,"n.b.",SUMIFS(STG_ZPMW03!$BX$6:$BX$505,STG_ZPMW03!$B$6:$B$505,$A69)))</f>
        <v/>
      </c>
      <c r="AB69" s="117" t="str">
        <f>IF($A69="","",IF($J69=0,"n.b.",SUMIFS(STG_ZPMW03!$BZ$6:$BZ$505,STG_ZPMW03!$B$6:$B$505,$A69)))</f>
        <v/>
      </c>
      <c r="AC69" s="117" t="str">
        <f>IF($A69="","",IF($J69=0,"n.b.",SUMIFS(STG_ZPMW03!$CB$6:$CB$505,STG_ZPMW03!$B$6:$B$505,$A69)))</f>
        <v/>
      </c>
      <c r="AD69" s="117" t="str">
        <f>IF($A69="","",IF($J69=0,"n.b.",SUMIFS(STG_ZPMW03!$CC$6:$CC$505,STG_ZPMW03!$B$6:$B$505,$A69)))</f>
        <v/>
      </c>
      <c r="AE69" s="117" t="str">
        <f>IF($A69="","",IF($J69=0,"n.b.",SUMIFS(STG_ZPMW03!$CE$6:$CE$505,STG_ZPMW03!$B$6:$B$505,$A69)))</f>
        <v/>
      </c>
      <c r="AF69" s="117" t="str">
        <f>IF($A69="","",IF($J69=0,"n.b.",SUMIFS(STG_ZPMW03!$CG$6:$CG$505,STG_ZPMW03!$B$6:$B$505,$A69)))</f>
        <v/>
      </c>
      <c r="AG69" s="117" t="str">
        <f>IF($A69="","",IF($J69=0,"n.b.",SUMIFS(STG_ZPMW03!$CI$6:$CI$505,STG_ZPMW03!$B$6:$B$505,$A69)))</f>
        <v/>
      </c>
      <c r="AH69" s="117" t="str">
        <f>IF($A69="","",IF($J69=0,"n.b.",SUMIFS(STG_ZPMW03!$CK$6:$CK$505,STG_ZPMW03!$B$6:$B$505,$A69)))</f>
        <v/>
      </c>
      <c r="AI69" s="117" t="str">
        <f>IF($A69="","",IF($J69=0,"n.b.",SUMIFS(STG_ZPMW03!$CM$6:$CM$505,STG_ZPMW03!$B$6:$B$505,$A69)))</f>
        <v/>
      </c>
      <c r="AJ69" s="117" t="str">
        <f>IF($A69="","",IF($J69=0,"n.b.",SUMIFS(STG_ZPMW03!$CO$6:$CO$505,STG_ZPMW03!$B$6:$B$505,$A69)))</f>
        <v/>
      </c>
      <c r="AK69" s="117" t="str">
        <f>IF($A69="","",IF($J69=0,"n.b.",SUMIFS(STG_ZPMW03!$CQ$6:$CQ$505,STG_ZPMW03!$B$6:$B$505,$A69)))</f>
        <v/>
      </c>
      <c r="AL69" s="117" t="str">
        <f>IF($A69="","",IF($J69=0,"n.b.",SUMIFS(STG_ZPMW03!$CD$6:$CD$505,STG_ZPMW03!$B$6:$B$505,$A69)))</f>
        <v/>
      </c>
      <c r="AM69" s="117" t="str">
        <f>IF($A69="","",IF($J69=0,"n.b.",SUMIFS(STG_ZPMW03!$CF$6:$CF$505,STG_ZPMW03!$B$6:$B$505,$A69)))</f>
        <v/>
      </c>
      <c r="AN69" s="117" t="str">
        <f>IF($A69="","",IF($J69=0,"n.b.",SUMIFS(STG_ZPMW03!$CH$6:$CH$505,STG_ZPMW03!$B$6:$B$505,$A69)))</f>
        <v/>
      </c>
      <c r="AO69" s="117" t="str">
        <f>IF($A69="","",IF($J69=0,"n.b.",SUMIFS(STG_ZPMW03!$CJ$6:$CJ$505,STG_ZPMW03!$B$6:$B$505,$A69)))</f>
        <v/>
      </c>
      <c r="AP69" s="117" t="str">
        <f>IF($A69="","",IF($J69=0,"n.b.",SUMIFS(STG_ZPMW03!$CL$6:$CL$505,STG_ZPMW03!$B$6:$B$505,$A69)))</f>
        <v/>
      </c>
      <c r="AQ69" s="117" t="str">
        <f>IF($A69="","",IF($J69=0,"n.b.",SUMIFS(STG_ZPMW03!$CN$6:$CN$505,STG_ZPMW03!$B$6:$B$505,$A69)))</f>
        <v/>
      </c>
      <c r="AR69" s="117" t="str">
        <f>IF($A69="","",IF($J69=0,"n.b.",SUMIFS(STG_ZPMW03!$CP$6:$CP$505,STG_ZPMW03!$B$6:$B$505,$A69)))</f>
        <v/>
      </c>
      <c r="AS69" s="117" t="str">
        <f>IF($A69="","",IF($J69=0,"n.b.",SUMIFS(STG_ZPMW03!$CR$6:$CR$505,STG_ZPMW03!$B$6:$B$505,$A69)))</f>
        <v/>
      </c>
      <c r="AT69" s="117" t="str">
        <f>IF($A69="","",IF($K69=0,"n.b.",SUMIFS(STG_Woningetalage!$Q$6:$Q$505,STG_Woningetalage!$B$6:$B$505,$A69)))</f>
        <v/>
      </c>
      <c r="AU69" s="117" t="str">
        <f>IF($A69="","",IF($K69=0,"n.b.",SUMIFS(STG_Woningetalage!$R$6:$R$505,STG_Woningetalage!$B$6:$B$505,$A69)))</f>
        <v/>
      </c>
      <c r="AV69" s="117" t="str">
        <f>IF($A69="","",IF($K69=0,"n.b.",SUMIFS(STG_Woningetalage!$S$6:$S$505,STG_Woningetalage!$B$6:$B$505,$A69)))</f>
        <v/>
      </c>
      <c r="AW69" s="117" t="str">
        <f>IF($A69="","",IF($K69=0,"n.b.",SUMIFS(STG_Woningetalage!$T$6:$T$505,STG_Woningetalage!$B$6:$B$505,$A69)))</f>
        <v/>
      </c>
      <c r="AX69" s="117" t="str">
        <f>IF($A69="","",IF($K69=0,"n.b.",SUMIFS(STG_Woningetalage!$U$6:$U$505,STG_Woningetalage!$B$6:$B$505,$A69)))</f>
        <v/>
      </c>
      <c r="AY69" s="117" t="str">
        <f>IF($A69="","",IF($K69=0,"n.b.",SUMIFS(STG_Woningetalage!$V$6:$V$505,STG_Woningetalage!$B$6:$B$505,$A69)))</f>
        <v/>
      </c>
      <c r="AZ69" s="117" t="str">
        <f>IF($A69="","",IF($K69=0,"n.b.",SUMIFS(STG_Woningetalage!$W$6:$W$505,STG_Woningetalage!$B$6:$B$505,$A69)))</f>
        <v/>
      </c>
      <c r="BA69" s="117" t="str">
        <f>IF($A69="","",IF($K69=0,"n.b.",SUMIFS(STG_Woningetalage!$X$6:$X$505,STG_Woningetalage!$B$6:$B$505,$A69)))</f>
        <v/>
      </c>
      <c r="BB69" s="117" t="str">
        <f>IF($A69="","",IF($K69=0,"n.b.",SUMIFS(STG_Woningetalage!$Y$6:$Y$505,STG_Woningetalage!$B$6:$B$505,$A69)))</f>
        <v/>
      </c>
      <c r="BC69" s="117" t="str">
        <f>IF($A69="","",IF($K69=0,"n.b.",SUMIFS(STG_Woningetalage!$Z$6:$Z$505,STG_Woningetalage!$B$6:$B$505,$A69)))</f>
        <v/>
      </c>
      <c r="BD69" s="117" t="str">
        <f>IF($A69="","",IF($K69=0,"n.b.",SUMIFS(STG_Woningetalage!$AA$6:$AA$505,STG_Woningetalage!$B$6:$B$505,$A69)))</f>
        <v/>
      </c>
      <c r="BE69" s="117" t="str">
        <f>IF($A69="","",IF($K69=0,"n.b.",SUMIFS(STG_Woningetalage!$AB$6:$AB$505,STG_Woningetalage!$B$6:$B$505,$A69)))</f>
        <v/>
      </c>
      <c r="BF69" s="117" t="str">
        <f>IF($A69="","",IF($K69=0,"n.b.",SUMIFS(STG_Woningetalage!$AC$6:$AC$505,STG_Woningetalage!$B$6:$B$505,$A69)))</f>
        <v/>
      </c>
      <c r="BG69" s="117" t="str">
        <f>IF($A69="","",IF($K69=0,"n.b.",SUMIFS(STG_Woningetalage!$AD$6:$AD$505,STG_Woningetalage!$B$6:$B$505,$A69)))</f>
        <v/>
      </c>
      <c r="BH69" s="117" t="str">
        <f>IF($A69="","",IF($K69=0,"n.b.",SUMIFS(STG_Woningetalage!$AE$6:$AE$505,STG_Woningetalage!$B$6:$B$505,$A69)))</f>
        <v/>
      </c>
      <c r="BI69" s="117" t="str">
        <f>IF($A69="","",IF($K69=0,"n.b.",SUMIFS(STG_Woningetalage!$AF$6:$AF$505,STG_Woningetalage!$B$6:$B$505,$A69)))</f>
        <v/>
      </c>
      <c r="BJ69" s="117" t="str">
        <f>IF($A69="","",IF($K69=0,"n.b.",SUMIFS(STG_Woningetalage!$AG$6:$AG$505,STG_Woningetalage!$B$6:$B$505,$A69)))</f>
        <v/>
      </c>
      <c r="BK69" s="117" t="str">
        <f>IF($A69="","",IF($K69=0,"n.b.",SUMIFS(STG_Woningetalage!$AH$6:$AH$505,STG_Woningetalage!$B$6:$B$505,$A69)))</f>
        <v/>
      </c>
      <c r="BL69" s="117" t="str">
        <f>IF($A69="","",IF($K69=0,"n.b.",SUMIFS(STG_Woningetalage!$AI$6:$AI$505,STG_Woningetalage!$B$6:$B$505,$A69)))</f>
        <v/>
      </c>
      <c r="BM69" s="117" t="str">
        <f>IF($A69="","",IF($K69=0,"n.b.",SUMIFS(STG_Woningetalage!$AJ$6:$AJ$505,STG_Woningetalage!$B$6:$B$505,$A69)))</f>
        <v/>
      </c>
      <c r="BN69" s="117" t="str">
        <f>IF($A69="","",IF($K69=0,"n.b.",SUMIFS(STG_Woningetalage!$AK$6:$AK$505,STG_Woningetalage!$B$6:$B$505,$A69)))</f>
        <v/>
      </c>
      <c r="BO69" s="117" t="str">
        <f>IF($A69="","",IF($K69=0,"n.b.",SUMIFS(STG_Woningetalage!$AL$6:$AL$505,STG_Woningetalage!$B$6:$B$505,$A69)))</f>
        <v/>
      </c>
      <c r="BP69" s="117" t="str">
        <f>IF($A69="","",IF($K69=0,"n.b.",SUMIFS(STG_Woningetalage!$AM$6:$AM$505,STG_Woningetalage!$B$6:$B$505,$A69)))</f>
        <v/>
      </c>
      <c r="BQ69" s="117" t="str">
        <f>IF($A69="","",IF($K69=0,"n.b.",SUMIFS(STG_Woningetalage!$BE$6:$BE$505,STG_Woningetalage!$B$6:$B$505,$A69)))</f>
        <v/>
      </c>
      <c r="BR69" s="117" t="str">
        <f>IF($A69="","",IF($K69=0,"n.b.",SUMIFS(STG_Woningetalage!$BF$6:$BF$505,STG_Woningetalage!$B$6:$B$505,$A69)))</f>
        <v/>
      </c>
      <c r="BS69" s="117" t="str">
        <f>IF($A69="","",IF($K69=0,"n.b.",SUMIFS(STG_Woningetalage!$BG$6:$BG$505,STG_Woningetalage!$B$6:$B$505,$A69)))</f>
        <v/>
      </c>
      <c r="BT69" s="117" t="str">
        <f>IF($A69="","",IF($K69=0,"n.b.",SUMIFS(STG_Woningetalage!$BH$6:$BH$505,STG_Woningetalage!$B$6:$B$505,$A69)))</f>
        <v/>
      </c>
      <c r="BU69" s="117" t="str">
        <f>IF($A69="","",IF($K69=0,"n.b.",SUMIFS(STG_Woningetalage!$BI$6:$BI$505,STG_Woningetalage!$B$6:$B$505,$A69)))</f>
        <v/>
      </c>
      <c r="BV69" s="117" t="str">
        <f>IF($A69="","",IF($K69=0,"n.b.",SUMIFS(STG_Woningetalage!$BJ$6:$BJ$505,STG_Woningetalage!$B$6:$B$505,$A69)))</f>
        <v/>
      </c>
      <c r="BW69" s="117" t="str">
        <f>IF($A69="","",IF($K69=0,"n.b.",SUMIFS(STG_Woningetalage!$AR$6:$AR$505,STG_Woningetalage!$B$6:$B$505,$A69)))</f>
        <v/>
      </c>
      <c r="BX69" s="117" t="str">
        <f>IF($A69="","",IF($K69=0,"n.b.",SUMIFS(STG_Woningetalage!$AS$6:$AS$505,STG_Woningetalage!$B$6:$B$505,$A69)))</f>
        <v/>
      </c>
      <c r="BY69" s="117" t="str">
        <f>IF($A69="","",IF($K69=0,"n.b.",SUMIFS(STG_Woningetalage!$AN$6:$AN$505,STG_Woningetalage!$B$6:$B$505,$A69)))</f>
        <v/>
      </c>
      <c r="BZ69" s="117" t="str">
        <f>IF($A69="","",IF($K69=0,"n.b.",SUMIFS(STG_Woningetalage!$AO$6:$AO$505,STG_Woningetalage!$B$6:$B$505,$A69)))</f>
        <v/>
      </c>
      <c r="CA69" s="117" t="str">
        <f>IF($A69="","",IF($K69=0,"n.b.",SUMIFS(STG_Woningetalage!$AP$6:$AP$505,STG_Woningetalage!$B$6:$B$505,$A69)))</f>
        <v/>
      </c>
      <c r="CB69" s="117" t="str">
        <f>IF($A69="","",IF($K69=0,"n.b.",SUMIFS(STG_Woningetalage!$AQ$6:$AQ$505,STG_Woningetalage!$B$6:$B$505,$A69)))</f>
        <v/>
      </c>
      <c r="CC69" s="117" t="str">
        <f>IF($A69="","",IF($K69=0,"n.b.",SUMIFS(STG_Woningetalage!$AU$6:$AU$505,STG_Woningetalage!$B$6:$B$505,$A69)))</f>
        <v/>
      </c>
      <c r="CD69" s="92" t="str">
        <f>IF($A69="","",IFERROR(INDEX(STG_ZPMW03!$L$6:$L$505,MATCH($A69,STG_ZPMW03!$B$6:$B$505,0)),"n.b."))</f>
        <v/>
      </c>
      <c r="CE69" s="92" t="str">
        <f>IF($A69="","",IFERROR(INDEX(STG_ZPMW03!$K$6:$K$505,MATCH($A69,STG_ZPMW03!$B$6:$B$505,0)),"n.b."))</f>
        <v/>
      </c>
      <c r="CF69" s="92" t="str">
        <f>IF($A69="","",IFERROR(INDEX(STG_ZPMW03!$BH$6:$BH$505,MATCH($A69,STG_ZPMW03!$B$6:$B$505,0)),"n.b."))</f>
        <v/>
      </c>
      <c r="CG69" s="92" t="str">
        <f>IF($A69="","",IFERROR(INDEX(STG_ZPMW03!$BI$6:$BI$505,MATCH($A69,STG_ZPMW03!$B$6:$B$505,0)),"n.b."))</f>
        <v/>
      </c>
      <c r="CH69" s="92" t="str">
        <f>IF($A69="","",IFERROR(INDEX(STG_ZPMW03!$BJ$6:$BJ$505,MATCH($A69,STG_ZPMW03!$B$6:$B$505,0)),"n.b."))</f>
        <v/>
      </c>
      <c r="CI69" s="92" t="str">
        <f>IF($A69="","",IFERROR(INDEX(STG_ZPMW03!$BF$6:$BF$505,MATCH($A69,STG_ZPMW03!$B$6:$B$505,0)),"n.b."))</f>
        <v/>
      </c>
      <c r="CJ69" s="92" t="str">
        <f>IF($A69="","",IFERROR(INDEX(STG_ZPMW03!$BG$6:$BG$505,MATCH($A69,STG_ZPMW03!$B$6:$B$505,0)),"n.b."))</f>
        <v/>
      </c>
      <c r="CK69" s="92" t="str">
        <f>IF($A69="","",IFERROR(INDEX(STG_ZPMW03!$H$6:$H$505,MATCH($A69,STG_ZPMW03!$B$6:$B$505,0)),"n.b."))</f>
        <v/>
      </c>
      <c r="CL69" s="92" t="str">
        <f>IF($A69="","",IFERROR(INDEX(STG_ZPMW03!$E$6:$E$505,MATCH($A69,STG_ZPMW03!$B$6:$B$505,0)),"n.b."))</f>
        <v/>
      </c>
      <c r="CM69" s="92" t="str">
        <f>IF($A69="","",IFERROR(INDEX(STG_ZPMW03!$G$6:$G$505,MATCH($A69,STG_ZPMW03!$B$6:$B$505,0)),"n.b."))</f>
        <v/>
      </c>
      <c r="CN69" s="92" t="str">
        <f>IF($A69="","",IFERROR(INDEX(STG_Woningetalage!$N$6:$N$505,MATCH($A69,STG_Woningetalage!$B$6:$B$505,0)),"n.b."))</f>
        <v/>
      </c>
      <c r="CO69" s="92" t="str">
        <f>IF($A69="","",IFERROR(INDEX(STG_Woningetalage!$P$6:$P$505,MATCH($A69,STG_Woningetalage!$B$6:$B$505,0)),"n.b."))</f>
        <v/>
      </c>
      <c r="CP69" s="118" t="str">
        <f>IF($A69="","",IF(AND(ISNUMBER(AT69),ISNUMBER(F69)),IF(F69&gt;0,AT69/(F69/100),"n.b."),"n.b."))</f>
        <v/>
      </c>
      <c r="CQ69" s="116" t="str">
        <f>IF($A69="","",IF(ISNUMBER(Q69),IF(Q69&lt;0,1,0),0))</f>
        <v/>
      </c>
      <c r="CR69" s="116" t="str">
        <f>IF(CQ69=1,COUNTIF($CQ$6:CQ69,1),"")</f>
        <v/>
      </c>
      <c r="CS69" s="116" t="str">
        <f>IF(AND($A69&lt;&gt;"",$J69=0),COUNTIFS($A$6:$A69,"?*",$J$6:$J69,0),"")</f>
        <v/>
      </c>
      <c r="CT69" s="119" t="str">
        <f>IF($A69="","",IF(AND(ISNUMBER(Q69),ISNUMBER(P69)),IF(P69&lt;&gt;0,Q69/P69,"n.b."),"n.b."))</f>
        <v/>
      </c>
    </row>
    <row r="70">
      <c r="A70" s="92" t="str">
        <f>IF(Mapping!$A69="","",Mapping!$A69)</f>
        <v/>
      </c>
      <c r="B70" s="92" t="str">
        <f>IF(Mapping!$B69="","",Mapping!$B69)</f>
        <v/>
      </c>
      <c r="C70" s="92" t="str">
        <f>IF(Mapping!$C69="","",Mapping!$C69)</f>
        <v/>
      </c>
      <c r="D70" s="92" t="str">
        <f>IF(Mapping!$F69="","",Mapping!$F69)</f>
        <v/>
      </c>
      <c r="E70" s="92" t="str">
        <f>IF(Mapping!$H69="","",Mapping!$H69)</f>
        <v/>
      </c>
      <c r="F70" s="92" t="str">
        <f>IF(Mapping!$E69="","",Mapping!$E69)</f>
        <v/>
      </c>
      <c r="G70" s="92" t="str">
        <f>IF(Mapping!$G69="","",Mapping!$G69)</f>
        <v/>
      </c>
      <c r="H70" s="92" t="str">
        <f>IF(Mapping!$D69="","",Mapping!$D69)</f>
        <v/>
      </c>
      <c r="I70" s="92" t="str">
        <f>IF($A70="","",IFERROR(INDEX(STG_ZPMW03!$C$6:$C$505,MATCH($A70,STG_ZPMW03!$B$6:$B$505,0)),"n.b."))</f>
        <v/>
      </c>
      <c r="J70" s="116" t="str">
        <f>IF($A70="","",COUNTIF(STG_ZPMW03!$B$6:$B$505,$A70))</f>
        <v/>
      </c>
      <c r="K70" s="116" t="str">
        <f>IF($A70="","",COUNTIF(STG_Woningetalage!$B$6:$B$505,$A70))</f>
        <v/>
      </c>
      <c r="L70" s="117" t="str">
        <f>IF($A70="","",IF($J70=0,"n.b.",SUMIFS(STG_ZPMW03!$BK$6:$BK$505,STG_ZPMW03!$B$6:$B$505,$A70)))</f>
        <v/>
      </c>
      <c r="M70" s="117" t="str">
        <f>IF($A70="","",IF($J70=0,"n.b.",SUMIFS(STG_ZPMW03!$BL$6:$BL$505,STG_ZPMW03!$B$6:$B$505,$A70)))</f>
        <v/>
      </c>
      <c r="N70" s="117" t="str">
        <f>IF($A70="","",IF($J70=0,"n.b.",SUMIFS(STG_ZPMW03!$BM$6:$BM$505,STG_ZPMW03!$B$6:$B$505,$A70)))</f>
        <v/>
      </c>
      <c r="O70" s="117" t="str">
        <f>IF($A70="","",IF($J70=0,"n.b.",SUMIFS(STG_ZPMW03!$BN$6:$BN$505,STG_ZPMW03!$B$6:$B$505,$A70)))</f>
        <v/>
      </c>
      <c r="P70" s="117" t="str">
        <f>IF($A70="","",IF($J70=0,"n.b.",SUMIFS(STG_ZPMW03!$BO$6:$BO$505,STG_ZPMW03!$B$6:$B$505,$A70)))</f>
        <v/>
      </c>
      <c r="Q70" s="117" t="str">
        <f>IF($A70="","",IF($J70=0,"n.b.",SUMIFS(STG_ZPMW03!$BP$6:$BP$505,STG_ZPMW03!$B$6:$B$505,$A70)))</f>
        <v/>
      </c>
      <c r="R70" s="117" t="str">
        <f>IF($A70="","",IF($J70=0,"n.b.",SUMIFS(STG_ZPMW03!$BQ$6:$BQ$505,STG_ZPMW03!$B$6:$B$505,$A70)))</f>
        <v/>
      </c>
      <c r="S70" s="117" t="str">
        <f>IF($A70="","",IF($J70=0,"n.b.",SUMIFS(STG_ZPMW03!$BR$6:$BR$505,STG_ZPMW03!$B$6:$B$505,$A70)))</f>
        <v/>
      </c>
      <c r="T70" s="117" t="str">
        <f>IF($A70="","",IF($J70=0,"n.b.",SUMIFS(STG_ZPMW03!$BS$6:$BS$505,STG_ZPMW03!$B$6:$B$505,$A70)))</f>
        <v/>
      </c>
      <c r="U70" s="117" t="str">
        <f>IF($A70="","",IF($J70=0,"n.b.",SUMIFS(STG_ZPMW03!$BT$6:$BT$505,STG_ZPMW03!$B$6:$B$505,$A70)))</f>
        <v/>
      </c>
      <c r="V70" s="117" t="str">
        <f>IF($A70="","",IF($J70=0,"n.b.",SUMIFS(STG_ZPMW03!$BU$6:$BU$505,STG_ZPMW03!$B$6:$B$505,$A70)))</f>
        <v/>
      </c>
      <c r="W70" s="117" t="str">
        <f>IF($A70="","",IF($J70=0,"n.b.",SUMIFS(STG_ZPMW03!$BW$6:$BW$505,STG_ZPMW03!$B$6:$B$505,$A70)))</f>
        <v/>
      </c>
      <c r="X70" s="117" t="str">
        <f>IF($A70="","",IF($J70=0,"n.b.",SUMIFS(STG_ZPMW03!$BY$6:$BY$505,STG_ZPMW03!$B$6:$B$505,$A70)))</f>
        <v/>
      </c>
      <c r="Y70" s="117" t="str">
        <f>IF($A70="","",IF($J70=0,"n.b.",SUMIFS(STG_ZPMW03!$CA$6:$CA$505,STG_ZPMW03!$B$6:$B$505,$A70)))</f>
        <v/>
      </c>
      <c r="Z70" s="117" t="str">
        <f>IF($A70="","",IF($J70=0,"n.b.",SUMIFS(STG_ZPMW03!$BV$6:$BV$505,STG_ZPMW03!$B$6:$B$505,$A70)))</f>
        <v/>
      </c>
      <c r="AA70" s="117" t="str">
        <f>IF($A70="","",IF($J70=0,"n.b.",SUMIFS(STG_ZPMW03!$BX$6:$BX$505,STG_ZPMW03!$B$6:$B$505,$A70)))</f>
        <v/>
      </c>
      <c r="AB70" s="117" t="str">
        <f>IF($A70="","",IF($J70=0,"n.b.",SUMIFS(STG_ZPMW03!$BZ$6:$BZ$505,STG_ZPMW03!$B$6:$B$505,$A70)))</f>
        <v/>
      </c>
      <c r="AC70" s="117" t="str">
        <f>IF($A70="","",IF($J70=0,"n.b.",SUMIFS(STG_ZPMW03!$CB$6:$CB$505,STG_ZPMW03!$B$6:$B$505,$A70)))</f>
        <v/>
      </c>
      <c r="AD70" s="117" t="str">
        <f>IF($A70="","",IF($J70=0,"n.b.",SUMIFS(STG_ZPMW03!$CC$6:$CC$505,STG_ZPMW03!$B$6:$B$505,$A70)))</f>
        <v/>
      </c>
      <c r="AE70" s="117" t="str">
        <f>IF($A70="","",IF($J70=0,"n.b.",SUMIFS(STG_ZPMW03!$CE$6:$CE$505,STG_ZPMW03!$B$6:$B$505,$A70)))</f>
        <v/>
      </c>
      <c r="AF70" s="117" t="str">
        <f>IF($A70="","",IF($J70=0,"n.b.",SUMIFS(STG_ZPMW03!$CG$6:$CG$505,STG_ZPMW03!$B$6:$B$505,$A70)))</f>
        <v/>
      </c>
      <c r="AG70" s="117" t="str">
        <f>IF($A70="","",IF($J70=0,"n.b.",SUMIFS(STG_ZPMW03!$CI$6:$CI$505,STG_ZPMW03!$B$6:$B$505,$A70)))</f>
        <v/>
      </c>
      <c r="AH70" s="117" t="str">
        <f>IF($A70="","",IF($J70=0,"n.b.",SUMIFS(STG_ZPMW03!$CK$6:$CK$505,STG_ZPMW03!$B$6:$B$505,$A70)))</f>
        <v/>
      </c>
      <c r="AI70" s="117" t="str">
        <f>IF($A70="","",IF($J70=0,"n.b.",SUMIFS(STG_ZPMW03!$CM$6:$CM$505,STG_ZPMW03!$B$6:$B$505,$A70)))</f>
        <v/>
      </c>
      <c r="AJ70" s="117" t="str">
        <f>IF($A70="","",IF($J70=0,"n.b.",SUMIFS(STG_ZPMW03!$CO$6:$CO$505,STG_ZPMW03!$B$6:$B$505,$A70)))</f>
        <v/>
      </c>
      <c r="AK70" s="117" t="str">
        <f>IF($A70="","",IF($J70=0,"n.b.",SUMIFS(STG_ZPMW03!$CQ$6:$CQ$505,STG_ZPMW03!$B$6:$B$505,$A70)))</f>
        <v/>
      </c>
      <c r="AL70" s="117" t="str">
        <f>IF($A70="","",IF($J70=0,"n.b.",SUMIFS(STG_ZPMW03!$CD$6:$CD$505,STG_ZPMW03!$B$6:$B$505,$A70)))</f>
        <v/>
      </c>
      <c r="AM70" s="117" t="str">
        <f>IF($A70="","",IF($J70=0,"n.b.",SUMIFS(STG_ZPMW03!$CF$6:$CF$505,STG_ZPMW03!$B$6:$B$505,$A70)))</f>
        <v/>
      </c>
      <c r="AN70" s="117" t="str">
        <f>IF($A70="","",IF($J70=0,"n.b.",SUMIFS(STG_ZPMW03!$CH$6:$CH$505,STG_ZPMW03!$B$6:$B$505,$A70)))</f>
        <v/>
      </c>
      <c r="AO70" s="117" t="str">
        <f>IF($A70="","",IF($J70=0,"n.b.",SUMIFS(STG_ZPMW03!$CJ$6:$CJ$505,STG_ZPMW03!$B$6:$B$505,$A70)))</f>
        <v/>
      </c>
      <c r="AP70" s="117" t="str">
        <f>IF($A70="","",IF($J70=0,"n.b.",SUMIFS(STG_ZPMW03!$CL$6:$CL$505,STG_ZPMW03!$B$6:$B$505,$A70)))</f>
        <v/>
      </c>
      <c r="AQ70" s="117" t="str">
        <f>IF($A70="","",IF($J70=0,"n.b.",SUMIFS(STG_ZPMW03!$CN$6:$CN$505,STG_ZPMW03!$B$6:$B$505,$A70)))</f>
        <v/>
      </c>
      <c r="AR70" s="117" t="str">
        <f>IF($A70="","",IF($J70=0,"n.b.",SUMIFS(STG_ZPMW03!$CP$6:$CP$505,STG_ZPMW03!$B$6:$B$505,$A70)))</f>
        <v/>
      </c>
      <c r="AS70" s="117" t="str">
        <f>IF($A70="","",IF($J70=0,"n.b.",SUMIFS(STG_ZPMW03!$CR$6:$CR$505,STG_ZPMW03!$B$6:$B$505,$A70)))</f>
        <v/>
      </c>
      <c r="AT70" s="117" t="str">
        <f>IF($A70="","",IF($K70=0,"n.b.",SUMIFS(STG_Woningetalage!$Q$6:$Q$505,STG_Woningetalage!$B$6:$B$505,$A70)))</f>
        <v/>
      </c>
      <c r="AU70" s="117" t="str">
        <f>IF($A70="","",IF($K70=0,"n.b.",SUMIFS(STG_Woningetalage!$R$6:$R$505,STG_Woningetalage!$B$6:$B$505,$A70)))</f>
        <v/>
      </c>
      <c r="AV70" s="117" t="str">
        <f>IF($A70="","",IF($K70=0,"n.b.",SUMIFS(STG_Woningetalage!$S$6:$S$505,STG_Woningetalage!$B$6:$B$505,$A70)))</f>
        <v/>
      </c>
      <c r="AW70" s="117" t="str">
        <f>IF($A70="","",IF($K70=0,"n.b.",SUMIFS(STG_Woningetalage!$T$6:$T$505,STG_Woningetalage!$B$6:$B$505,$A70)))</f>
        <v/>
      </c>
      <c r="AX70" s="117" t="str">
        <f>IF($A70="","",IF($K70=0,"n.b.",SUMIFS(STG_Woningetalage!$U$6:$U$505,STG_Woningetalage!$B$6:$B$505,$A70)))</f>
        <v/>
      </c>
      <c r="AY70" s="117" t="str">
        <f>IF($A70="","",IF($K70=0,"n.b.",SUMIFS(STG_Woningetalage!$V$6:$V$505,STG_Woningetalage!$B$6:$B$505,$A70)))</f>
        <v/>
      </c>
      <c r="AZ70" s="117" t="str">
        <f>IF($A70="","",IF($K70=0,"n.b.",SUMIFS(STG_Woningetalage!$W$6:$W$505,STG_Woningetalage!$B$6:$B$505,$A70)))</f>
        <v/>
      </c>
      <c r="BA70" s="117" t="str">
        <f>IF($A70="","",IF($K70=0,"n.b.",SUMIFS(STG_Woningetalage!$X$6:$X$505,STG_Woningetalage!$B$6:$B$505,$A70)))</f>
        <v/>
      </c>
      <c r="BB70" s="117" t="str">
        <f>IF($A70="","",IF($K70=0,"n.b.",SUMIFS(STG_Woningetalage!$Y$6:$Y$505,STG_Woningetalage!$B$6:$B$505,$A70)))</f>
        <v/>
      </c>
      <c r="BC70" s="117" t="str">
        <f>IF($A70="","",IF($K70=0,"n.b.",SUMIFS(STG_Woningetalage!$Z$6:$Z$505,STG_Woningetalage!$B$6:$B$505,$A70)))</f>
        <v/>
      </c>
      <c r="BD70" s="117" t="str">
        <f>IF($A70="","",IF($K70=0,"n.b.",SUMIFS(STG_Woningetalage!$AA$6:$AA$505,STG_Woningetalage!$B$6:$B$505,$A70)))</f>
        <v/>
      </c>
      <c r="BE70" s="117" t="str">
        <f>IF($A70="","",IF($K70=0,"n.b.",SUMIFS(STG_Woningetalage!$AB$6:$AB$505,STG_Woningetalage!$B$6:$B$505,$A70)))</f>
        <v/>
      </c>
      <c r="BF70" s="117" t="str">
        <f>IF($A70="","",IF($K70=0,"n.b.",SUMIFS(STG_Woningetalage!$AC$6:$AC$505,STG_Woningetalage!$B$6:$B$505,$A70)))</f>
        <v/>
      </c>
      <c r="BG70" s="117" t="str">
        <f>IF($A70="","",IF($K70=0,"n.b.",SUMIFS(STG_Woningetalage!$AD$6:$AD$505,STG_Woningetalage!$B$6:$B$505,$A70)))</f>
        <v/>
      </c>
      <c r="BH70" s="117" t="str">
        <f>IF($A70="","",IF($K70=0,"n.b.",SUMIFS(STG_Woningetalage!$AE$6:$AE$505,STG_Woningetalage!$B$6:$B$505,$A70)))</f>
        <v/>
      </c>
      <c r="BI70" s="117" t="str">
        <f>IF($A70="","",IF($K70=0,"n.b.",SUMIFS(STG_Woningetalage!$AF$6:$AF$505,STG_Woningetalage!$B$6:$B$505,$A70)))</f>
        <v/>
      </c>
      <c r="BJ70" s="117" t="str">
        <f>IF($A70="","",IF($K70=0,"n.b.",SUMIFS(STG_Woningetalage!$AG$6:$AG$505,STG_Woningetalage!$B$6:$B$505,$A70)))</f>
        <v/>
      </c>
      <c r="BK70" s="117" t="str">
        <f>IF($A70="","",IF($K70=0,"n.b.",SUMIFS(STG_Woningetalage!$AH$6:$AH$505,STG_Woningetalage!$B$6:$B$505,$A70)))</f>
        <v/>
      </c>
      <c r="BL70" s="117" t="str">
        <f>IF($A70="","",IF($K70=0,"n.b.",SUMIFS(STG_Woningetalage!$AI$6:$AI$505,STG_Woningetalage!$B$6:$B$505,$A70)))</f>
        <v/>
      </c>
      <c r="BM70" s="117" t="str">
        <f>IF($A70="","",IF($K70=0,"n.b.",SUMIFS(STG_Woningetalage!$AJ$6:$AJ$505,STG_Woningetalage!$B$6:$B$505,$A70)))</f>
        <v/>
      </c>
      <c r="BN70" s="117" t="str">
        <f>IF($A70="","",IF($K70=0,"n.b.",SUMIFS(STG_Woningetalage!$AK$6:$AK$505,STG_Woningetalage!$B$6:$B$505,$A70)))</f>
        <v/>
      </c>
      <c r="BO70" s="117" t="str">
        <f>IF($A70="","",IF($K70=0,"n.b.",SUMIFS(STG_Woningetalage!$AL$6:$AL$505,STG_Woningetalage!$B$6:$B$505,$A70)))</f>
        <v/>
      </c>
      <c r="BP70" s="117" t="str">
        <f>IF($A70="","",IF($K70=0,"n.b.",SUMIFS(STG_Woningetalage!$AM$6:$AM$505,STG_Woningetalage!$B$6:$B$505,$A70)))</f>
        <v/>
      </c>
      <c r="BQ70" s="117" t="str">
        <f>IF($A70="","",IF($K70=0,"n.b.",SUMIFS(STG_Woningetalage!$BE$6:$BE$505,STG_Woningetalage!$B$6:$B$505,$A70)))</f>
        <v/>
      </c>
      <c r="BR70" s="117" t="str">
        <f>IF($A70="","",IF($K70=0,"n.b.",SUMIFS(STG_Woningetalage!$BF$6:$BF$505,STG_Woningetalage!$B$6:$B$505,$A70)))</f>
        <v/>
      </c>
      <c r="BS70" s="117" t="str">
        <f>IF($A70="","",IF($K70=0,"n.b.",SUMIFS(STG_Woningetalage!$BG$6:$BG$505,STG_Woningetalage!$B$6:$B$505,$A70)))</f>
        <v/>
      </c>
      <c r="BT70" s="117" t="str">
        <f>IF($A70="","",IF($K70=0,"n.b.",SUMIFS(STG_Woningetalage!$BH$6:$BH$505,STG_Woningetalage!$B$6:$B$505,$A70)))</f>
        <v/>
      </c>
      <c r="BU70" s="117" t="str">
        <f>IF($A70="","",IF($K70=0,"n.b.",SUMIFS(STG_Woningetalage!$BI$6:$BI$505,STG_Woningetalage!$B$6:$B$505,$A70)))</f>
        <v/>
      </c>
      <c r="BV70" s="117" t="str">
        <f>IF($A70="","",IF($K70=0,"n.b.",SUMIFS(STG_Woningetalage!$BJ$6:$BJ$505,STG_Woningetalage!$B$6:$B$505,$A70)))</f>
        <v/>
      </c>
      <c r="BW70" s="117" t="str">
        <f>IF($A70="","",IF($K70=0,"n.b.",SUMIFS(STG_Woningetalage!$AR$6:$AR$505,STG_Woningetalage!$B$6:$B$505,$A70)))</f>
        <v/>
      </c>
      <c r="BX70" s="117" t="str">
        <f>IF($A70="","",IF($K70=0,"n.b.",SUMIFS(STG_Woningetalage!$AS$6:$AS$505,STG_Woningetalage!$B$6:$B$505,$A70)))</f>
        <v/>
      </c>
      <c r="BY70" s="117" t="str">
        <f>IF($A70="","",IF($K70=0,"n.b.",SUMIFS(STG_Woningetalage!$AN$6:$AN$505,STG_Woningetalage!$B$6:$B$505,$A70)))</f>
        <v/>
      </c>
      <c r="BZ70" s="117" t="str">
        <f>IF($A70="","",IF($K70=0,"n.b.",SUMIFS(STG_Woningetalage!$AO$6:$AO$505,STG_Woningetalage!$B$6:$B$505,$A70)))</f>
        <v/>
      </c>
      <c r="CA70" s="117" t="str">
        <f>IF($A70="","",IF($K70=0,"n.b.",SUMIFS(STG_Woningetalage!$AP$6:$AP$505,STG_Woningetalage!$B$6:$B$505,$A70)))</f>
        <v/>
      </c>
      <c r="CB70" s="117" t="str">
        <f>IF($A70="","",IF($K70=0,"n.b.",SUMIFS(STG_Woningetalage!$AQ$6:$AQ$505,STG_Woningetalage!$B$6:$B$505,$A70)))</f>
        <v/>
      </c>
      <c r="CC70" s="117" t="str">
        <f>IF($A70="","",IF($K70=0,"n.b.",SUMIFS(STG_Woningetalage!$AU$6:$AU$505,STG_Woningetalage!$B$6:$B$505,$A70)))</f>
        <v/>
      </c>
      <c r="CD70" s="92" t="str">
        <f>IF($A70="","",IFERROR(INDEX(STG_ZPMW03!$L$6:$L$505,MATCH($A70,STG_ZPMW03!$B$6:$B$505,0)),"n.b."))</f>
        <v/>
      </c>
      <c r="CE70" s="92" t="str">
        <f>IF($A70="","",IFERROR(INDEX(STG_ZPMW03!$K$6:$K$505,MATCH($A70,STG_ZPMW03!$B$6:$B$505,0)),"n.b."))</f>
        <v/>
      </c>
      <c r="CF70" s="92" t="str">
        <f>IF($A70="","",IFERROR(INDEX(STG_ZPMW03!$BH$6:$BH$505,MATCH($A70,STG_ZPMW03!$B$6:$B$505,0)),"n.b."))</f>
        <v/>
      </c>
      <c r="CG70" s="92" t="str">
        <f>IF($A70="","",IFERROR(INDEX(STG_ZPMW03!$BI$6:$BI$505,MATCH($A70,STG_ZPMW03!$B$6:$B$505,0)),"n.b."))</f>
        <v/>
      </c>
      <c r="CH70" s="92" t="str">
        <f>IF($A70="","",IFERROR(INDEX(STG_ZPMW03!$BJ$6:$BJ$505,MATCH($A70,STG_ZPMW03!$B$6:$B$505,0)),"n.b."))</f>
        <v/>
      </c>
      <c r="CI70" s="92" t="str">
        <f>IF($A70="","",IFERROR(INDEX(STG_ZPMW03!$BF$6:$BF$505,MATCH($A70,STG_ZPMW03!$B$6:$B$505,0)),"n.b."))</f>
        <v/>
      </c>
      <c r="CJ70" s="92" t="str">
        <f>IF($A70="","",IFERROR(INDEX(STG_ZPMW03!$BG$6:$BG$505,MATCH($A70,STG_ZPMW03!$B$6:$B$505,0)),"n.b."))</f>
        <v/>
      </c>
      <c r="CK70" s="92" t="str">
        <f>IF($A70="","",IFERROR(INDEX(STG_ZPMW03!$H$6:$H$505,MATCH($A70,STG_ZPMW03!$B$6:$B$505,0)),"n.b."))</f>
        <v/>
      </c>
      <c r="CL70" s="92" t="str">
        <f>IF($A70="","",IFERROR(INDEX(STG_ZPMW03!$E$6:$E$505,MATCH($A70,STG_ZPMW03!$B$6:$B$505,0)),"n.b."))</f>
        <v/>
      </c>
      <c r="CM70" s="92" t="str">
        <f>IF($A70="","",IFERROR(INDEX(STG_ZPMW03!$G$6:$G$505,MATCH($A70,STG_ZPMW03!$B$6:$B$505,0)),"n.b."))</f>
        <v/>
      </c>
      <c r="CN70" s="92" t="str">
        <f>IF($A70="","",IFERROR(INDEX(STG_Woningetalage!$N$6:$N$505,MATCH($A70,STG_Woningetalage!$B$6:$B$505,0)),"n.b."))</f>
        <v/>
      </c>
      <c r="CO70" s="92" t="str">
        <f>IF($A70="","",IFERROR(INDEX(STG_Woningetalage!$P$6:$P$505,MATCH($A70,STG_Woningetalage!$B$6:$B$505,0)),"n.b."))</f>
        <v/>
      </c>
      <c r="CP70" s="118" t="str">
        <f>IF($A70="","",IF(AND(ISNUMBER(AT70),ISNUMBER(F70)),IF(F70&gt;0,AT70/(F70/100),"n.b."),"n.b."))</f>
        <v/>
      </c>
      <c r="CQ70" s="116" t="str">
        <f>IF($A70="","",IF(ISNUMBER(Q70),IF(Q70&lt;0,1,0),0))</f>
        <v/>
      </c>
      <c r="CR70" s="116" t="str">
        <f>IF(CQ70=1,COUNTIF($CQ$6:CQ70,1),"")</f>
        <v/>
      </c>
      <c r="CS70" s="116" t="str">
        <f>IF(AND($A70&lt;&gt;"",$J70=0),COUNTIFS($A$6:$A70,"?*",$J$6:$J70,0),"")</f>
        <v/>
      </c>
      <c r="CT70" s="119" t="str">
        <f>IF($A70="","",IF(AND(ISNUMBER(Q70),ISNUMBER(P70)),IF(P70&lt;&gt;0,Q70/P70,"n.b."),"n.b."))</f>
        <v/>
      </c>
    </row>
    <row r="71">
      <c r="A71" s="92" t="str">
        <f>IF(Mapping!$A70="","",Mapping!$A70)</f>
        <v/>
      </c>
      <c r="B71" s="92" t="str">
        <f>IF(Mapping!$B70="","",Mapping!$B70)</f>
        <v/>
      </c>
      <c r="C71" s="92" t="str">
        <f>IF(Mapping!$C70="","",Mapping!$C70)</f>
        <v/>
      </c>
      <c r="D71" s="92" t="str">
        <f>IF(Mapping!$F70="","",Mapping!$F70)</f>
        <v/>
      </c>
      <c r="E71" s="92" t="str">
        <f>IF(Mapping!$H70="","",Mapping!$H70)</f>
        <v/>
      </c>
      <c r="F71" s="92" t="str">
        <f>IF(Mapping!$E70="","",Mapping!$E70)</f>
        <v/>
      </c>
      <c r="G71" s="92" t="str">
        <f>IF(Mapping!$G70="","",Mapping!$G70)</f>
        <v/>
      </c>
      <c r="H71" s="92" t="str">
        <f>IF(Mapping!$D70="","",Mapping!$D70)</f>
        <v/>
      </c>
      <c r="I71" s="92" t="str">
        <f>IF($A71="","",IFERROR(INDEX(STG_ZPMW03!$C$6:$C$505,MATCH($A71,STG_ZPMW03!$B$6:$B$505,0)),"n.b."))</f>
        <v/>
      </c>
      <c r="J71" s="116" t="str">
        <f>IF($A71="","",COUNTIF(STG_ZPMW03!$B$6:$B$505,$A71))</f>
        <v/>
      </c>
      <c r="K71" s="116" t="str">
        <f>IF($A71="","",COUNTIF(STG_Woningetalage!$B$6:$B$505,$A71))</f>
        <v/>
      </c>
      <c r="L71" s="117" t="str">
        <f>IF($A71="","",IF($J71=0,"n.b.",SUMIFS(STG_ZPMW03!$BK$6:$BK$505,STG_ZPMW03!$B$6:$B$505,$A71)))</f>
        <v/>
      </c>
      <c r="M71" s="117" t="str">
        <f>IF($A71="","",IF($J71=0,"n.b.",SUMIFS(STG_ZPMW03!$BL$6:$BL$505,STG_ZPMW03!$B$6:$B$505,$A71)))</f>
        <v/>
      </c>
      <c r="N71" s="117" t="str">
        <f>IF($A71="","",IF($J71=0,"n.b.",SUMIFS(STG_ZPMW03!$BM$6:$BM$505,STG_ZPMW03!$B$6:$B$505,$A71)))</f>
        <v/>
      </c>
      <c r="O71" s="117" t="str">
        <f>IF($A71="","",IF($J71=0,"n.b.",SUMIFS(STG_ZPMW03!$BN$6:$BN$505,STG_ZPMW03!$B$6:$B$505,$A71)))</f>
        <v/>
      </c>
      <c r="P71" s="117" t="str">
        <f>IF($A71="","",IF($J71=0,"n.b.",SUMIFS(STG_ZPMW03!$BO$6:$BO$505,STG_ZPMW03!$B$6:$B$505,$A71)))</f>
        <v/>
      </c>
      <c r="Q71" s="117" t="str">
        <f>IF($A71="","",IF($J71=0,"n.b.",SUMIFS(STG_ZPMW03!$BP$6:$BP$505,STG_ZPMW03!$B$6:$B$505,$A71)))</f>
        <v/>
      </c>
      <c r="R71" s="117" t="str">
        <f>IF($A71="","",IF($J71=0,"n.b.",SUMIFS(STG_ZPMW03!$BQ$6:$BQ$505,STG_ZPMW03!$B$6:$B$505,$A71)))</f>
        <v/>
      </c>
      <c r="S71" s="117" t="str">
        <f>IF($A71="","",IF($J71=0,"n.b.",SUMIFS(STG_ZPMW03!$BR$6:$BR$505,STG_ZPMW03!$B$6:$B$505,$A71)))</f>
        <v/>
      </c>
      <c r="T71" s="117" t="str">
        <f>IF($A71="","",IF($J71=0,"n.b.",SUMIFS(STG_ZPMW03!$BS$6:$BS$505,STG_ZPMW03!$B$6:$B$505,$A71)))</f>
        <v/>
      </c>
      <c r="U71" s="117" t="str">
        <f>IF($A71="","",IF($J71=0,"n.b.",SUMIFS(STG_ZPMW03!$BT$6:$BT$505,STG_ZPMW03!$B$6:$B$505,$A71)))</f>
        <v/>
      </c>
      <c r="V71" s="117" t="str">
        <f>IF($A71="","",IF($J71=0,"n.b.",SUMIFS(STG_ZPMW03!$BU$6:$BU$505,STG_ZPMW03!$B$6:$B$505,$A71)))</f>
        <v/>
      </c>
      <c r="W71" s="117" t="str">
        <f>IF($A71="","",IF($J71=0,"n.b.",SUMIFS(STG_ZPMW03!$BW$6:$BW$505,STG_ZPMW03!$B$6:$B$505,$A71)))</f>
        <v/>
      </c>
      <c r="X71" s="117" t="str">
        <f>IF($A71="","",IF($J71=0,"n.b.",SUMIFS(STG_ZPMW03!$BY$6:$BY$505,STG_ZPMW03!$B$6:$B$505,$A71)))</f>
        <v/>
      </c>
      <c r="Y71" s="117" t="str">
        <f>IF($A71="","",IF($J71=0,"n.b.",SUMIFS(STG_ZPMW03!$CA$6:$CA$505,STG_ZPMW03!$B$6:$B$505,$A71)))</f>
        <v/>
      </c>
      <c r="Z71" s="117" t="str">
        <f>IF($A71="","",IF($J71=0,"n.b.",SUMIFS(STG_ZPMW03!$BV$6:$BV$505,STG_ZPMW03!$B$6:$B$505,$A71)))</f>
        <v/>
      </c>
      <c r="AA71" s="117" t="str">
        <f>IF($A71="","",IF($J71=0,"n.b.",SUMIFS(STG_ZPMW03!$BX$6:$BX$505,STG_ZPMW03!$B$6:$B$505,$A71)))</f>
        <v/>
      </c>
      <c r="AB71" s="117" t="str">
        <f>IF($A71="","",IF($J71=0,"n.b.",SUMIFS(STG_ZPMW03!$BZ$6:$BZ$505,STG_ZPMW03!$B$6:$B$505,$A71)))</f>
        <v/>
      </c>
      <c r="AC71" s="117" t="str">
        <f>IF($A71="","",IF($J71=0,"n.b.",SUMIFS(STG_ZPMW03!$CB$6:$CB$505,STG_ZPMW03!$B$6:$B$505,$A71)))</f>
        <v/>
      </c>
      <c r="AD71" s="117" t="str">
        <f>IF($A71="","",IF($J71=0,"n.b.",SUMIFS(STG_ZPMW03!$CC$6:$CC$505,STG_ZPMW03!$B$6:$B$505,$A71)))</f>
        <v/>
      </c>
      <c r="AE71" s="117" t="str">
        <f>IF($A71="","",IF($J71=0,"n.b.",SUMIFS(STG_ZPMW03!$CE$6:$CE$505,STG_ZPMW03!$B$6:$B$505,$A71)))</f>
        <v/>
      </c>
      <c r="AF71" s="117" t="str">
        <f>IF($A71="","",IF($J71=0,"n.b.",SUMIFS(STG_ZPMW03!$CG$6:$CG$505,STG_ZPMW03!$B$6:$B$505,$A71)))</f>
        <v/>
      </c>
      <c r="AG71" s="117" t="str">
        <f>IF($A71="","",IF($J71=0,"n.b.",SUMIFS(STG_ZPMW03!$CI$6:$CI$505,STG_ZPMW03!$B$6:$B$505,$A71)))</f>
        <v/>
      </c>
      <c r="AH71" s="117" t="str">
        <f>IF($A71="","",IF($J71=0,"n.b.",SUMIFS(STG_ZPMW03!$CK$6:$CK$505,STG_ZPMW03!$B$6:$B$505,$A71)))</f>
        <v/>
      </c>
      <c r="AI71" s="117" t="str">
        <f>IF($A71="","",IF($J71=0,"n.b.",SUMIFS(STG_ZPMW03!$CM$6:$CM$505,STG_ZPMW03!$B$6:$B$505,$A71)))</f>
        <v/>
      </c>
      <c r="AJ71" s="117" t="str">
        <f>IF($A71="","",IF($J71=0,"n.b.",SUMIFS(STG_ZPMW03!$CO$6:$CO$505,STG_ZPMW03!$B$6:$B$505,$A71)))</f>
        <v/>
      </c>
      <c r="AK71" s="117" t="str">
        <f>IF($A71="","",IF($J71=0,"n.b.",SUMIFS(STG_ZPMW03!$CQ$6:$CQ$505,STG_ZPMW03!$B$6:$B$505,$A71)))</f>
        <v/>
      </c>
      <c r="AL71" s="117" t="str">
        <f>IF($A71="","",IF($J71=0,"n.b.",SUMIFS(STG_ZPMW03!$CD$6:$CD$505,STG_ZPMW03!$B$6:$B$505,$A71)))</f>
        <v/>
      </c>
      <c r="AM71" s="117" t="str">
        <f>IF($A71="","",IF($J71=0,"n.b.",SUMIFS(STG_ZPMW03!$CF$6:$CF$505,STG_ZPMW03!$B$6:$B$505,$A71)))</f>
        <v/>
      </c>
      <c r="AN71" s="117" t="str">
        <f>IF($A71="","",IF($J71=0,"n.b.",SUMIFS(STG_ZPMW03!$CH$6:$CH$505,STG_ZPMW03!$B$6:$B$505,$A71)))</f>
        <v/>
      </c>
      <c r="AO71" s="117" t="str">
        <f>IF($A71="","",IF($J71=0,"n.b.",SUMIFS(STG_ZPMW03!$CJ$6:$CJ$505,STG_ZPMW03!$B$6:$B$505,$A71)))</f>
        <v/>
      </c>
      <c r="AP71" s="117" t="str">
        <f>IF($A71="","",IF($J71=0,"n.b.",SUMIFS(STG_ZPMW03!$CL$6:$CL$505,STG_ZPMW03!$B$6:$B$505,$A71)))</f>
        <v/>
      </c>
      <c r="AQ71" s="117" t="str">
        <f>IF($A71="","",IF($J71=0,"n.b.",SUMIFS(STG_ZPMW03!$CN$6:$CN$505,STG_ZPMW03!$B$6:$B$505,$A71)))</f>
        <v/>
      </c>
      <c r="AR71" s="117" t="str">
        <f>IF($A71="","",IF($J71=0,"n.b.",SUMIFS(STG_ZPMW03!$CP$6:$CP$505,STG_ZPMW03!$B$6:$B$505,$A71)))</f>
        <v/>
      </c>
      <c r="AS71" s="117" t="str">
        <f>IF($A71="","",IF($J71=0,"n.b.",SUMIFS(STG_ZPMW03!$CR$6:$CR$505,STG_ZPMW03!$B$6:$B$505,$A71)))</f>
        <v/>
      </c>
      <c r="AT71" s="117" t="str">
        <f>IF($A71="","",IF($K71=0,"n.b.",SUMIFS(STG_Woningetalage!$Q$6:$Q$505,STG_Woningetalage!$B$6:$B$505,$A71)))</f>
        <v/>
      </c>
      <c r="AU71" s="117" t="str">
        <f>IF($A71="","",IF($K71=0,"n.b.",SUMIFS(STG_Woningetalage!$R$6:$R$505,STG_Woningetalage!$B$6:$B$505,$A71)))</f>
        <v/>
      </c>
      <c r="AV71" s="117" t="str">
        <f>IF($A71="","",IF($K71=0,"n.b.",SUMIFS(STG_Woningetalage!$S$6:$S$505,STG_Woningetalage!$B$6:$B$505,$A71)))</f>
        <v/>
      </c>
      <c r="AW71" s="117" t="str">
        <f>IF($A71="","",IF($K71=0,"n.b.",SUMIFS(STG_Woningetalage!$T$6:$T$505,STG_Woningetalage!$B$6:$B$505,$A71)))</f>
        <v/>
      </c>
      <c r="AX71" s="117" t="str">
        <f>IF($A71="","",IF($K71=0,"n.b.",SUMIFS(STG_Woningetalage!$U$6:$U$505,STG_Woningetalage!$B$6:$B$505,$A71)))</f>
        <v/>
      </c>
      <c r="AY71" s="117" t="str">
        <f>IF($A71="","",IF($K71=0,"n.b.",SUMIFS(STG_Woningetalage!$V$6:$V$505,STG_Woningetalage!$B$6:$B$505,$A71)))</f>
        <v/>
      </c>
      <c r="AZ71" s="117" t="str">
        <f>IF($A71="","",IF($K71=0,"n.b.",SUMIFS(STG_Woningetalage!$W$6:$W$505,STG_Woningetalage!$B$6:$B$505,$A71)))</f>
        <v/>
      </c>
      <c r="BA71" s="117" t="str">
        <f>IF($A71="","",IF($K71=0,"n.b.",SUMIFS(STG_Woningetalage!$X$6:$X$505,STG_Woningetalage!$B$6:$B$505,$A71)))</f>
        <v/>
      </c>
      <c r="BB71" s="117" t="str">
        <f>IF($A71="","",IF($K71=0,"n.b.",SUMIFS(STG_Woningetalage!$Y$6:$Y$505,STG_Woningetalage!$B$6:$B$505,$A71)))</f>
        <v/>
      </c>
      <c r="BC71" s="117" t="str">
        <f>IF($A71="","",IF($K71=0,"n.b.",SUMIFS(STG_Woningetalage!$Z$6:$Z$505,STG_Woningetalage!$B$6:$B$505,$A71)))</f>
        <v/>
      </c>
      <c r="BD71" s="117" t="str">
        <f>IF($A71="","",IF($K71=0,"n.b.",SUMIFS(STG_Woningetalage!$AA$6:$AA$505,STG_Woningetalage!$B$6:$B$505,$A71)))</f>
        <v/>
      </c>
      <c r="BE71" s="117" t="str">
        <f>IF($A71="","",IF($K71=0,"n.b.",SUMIFS(STG_Woningetalage!$AB$6:$AB$505,STG_Woningetalage!$B$6:$B$505,$A71)))</f>
        <v/>
      </c>
      <c r="BF71" s="117" t="str">
        <f>IF($A71="","",IF($K71=0,"n.b.",SUMIFS(STG_Woningetalage!$AC$6:$AC$505,STG_Woningetalage!$B$6:$B$505,$A71)))</f>
        <v/>
      </c>
      <c r="BG71" s="117" t="str">
        <f>IF($A71="","",IF($K71=0,"n.b.",SUMIFS(STG_Woningetalage!$AD$6:$AD$505,STG_Woningetalage!$B$6:$B$505,$A71)))</f>
        <v/>
      </c>
      <c r="BH71" s="117" t="str">
        <f>IF($A71="","",IF($K71=0,"n.b.",SUMIFS(STG_Woningetalage!$AE$6:$AE$505,STG_Woningetalage!$B$6:$B$505,$A71)))</f>
        <v/>
      </c>
      <c r="BI71" s="117" t="str">
        <f>IF($A71="","",IF($K71=0,"n.b.",SUMIFS(STG_Woningetalage!$AF$6:$AF$505,STG_Woningetalage!$B$6:$B$505,$A71)))</f>
        <v/>
      </c>
      <c r="BJ71" s="117" t="str">
        <f>IF($A71="","",IF($K71=0,"n.b.",SUMIFS(STG_Woningetalage!$AG$6:$AG$505,STG_Woningetalage!$B$6:$B$505,$A71)))</f>
        <v/>
      </c>
      <c r="BK71" s="117" t="str">
        <f>IF($A71="","",IF($K71=0,"n.b.",SUMIFS(STG_Woningetalage!$AH$6:$AH$505,STG_Woningetalage!$B$6:$B$505,$A71)))</f>
        <v/>
      </c>
      <c r="BL71" s="117" t="str">
        <f>IF($A71="","",IF($K71=0,"n.b.",SUMIFS(STG_Woningetalage!$AI$6:$AI$505,STG_Woningetalage!$B$6:$B$505,$A71)))</f>
        <v/>
      </c>
      <c r="BM71" s="117" t="str">
        <f>IF($A71="","",IF($K71=0,"n.b.",SUMIFS(STG_Woningetalage!$AJ$6:$AJ$505,STG_Woningetalage!$B$6:$B$505,$A71)))</f>
        <v/>
      </c>
      <c r="BN71" s="117" t="str">
        <f>IF($A71="","",IF($K71=0,"n.b.",SUMIFS(STG_Woningetalage!$AK$6:$AK$505,STG_Woningetalage!$B$6:$B$505,$A71)))</f>
        <v/>
      </c>
      <c r="BO71" s="117" t="str">
        <f>IF($A71="","",IF($K71=0,"n.b.",SUMIFS(STG_Woningetalage!$AL$6:$AL$505,STG_Woningetalage!$B$6:$B$505,$A71)))</f>
        <v/>
      </c>
      <c r="BP71" s="117" t="str">
        <f>IF($A71="","",IF($K71=0,"n.b.",SUMIFS(STG_Woningetalage!$AM$6:$AM$505,STG_Woningetalage!$B$6:$B$505,$A71)))</f>
        <v/>
      </c>
      <c r="BQ71" s="117" t="str">
        <f>IF($A71="","",IF($K71=0,"n.b.",SUMIFS(STG_Woningetalage!$BE$6:$BE$505,STG_Woningetalage!$B$6:$B$505,$A71)))</f>
        <v/>
      </c>
      <c r="BR71" s="117" t="str">
        <f>IF($A71="","",IF($K71=0,"n.b.",SUMIFS(STG_Woningetalage!$BF$6:$BF$505,STG_Woningetalage!$B$6:$B$505,$A71)))</f>
        <v/>
      </c>
      <c r="BS71" s="117" t="str">
        <f>IF($A71="","",IF($K71=0,"n.b.",SUMIFS(STG_Woningetalage!$BG$6:$BG$505,STG_Woningetalage!$B$6:$B$505,$A71)))</f>
        <v/>
      </c>
      <c r="BT71" s="117" t="str">
        <f>IF($A71="","",IF($K71=0,"n.b.",SUMIFS(STG_Woningetalage!$BH$6:$BH$505,STG_Woningetalage!$B$6:$B$505,$A71)))</f>
        <v/>
      </c>
      <c r="BU71" s="117" t="str">
        <f>IF($A71="","",IF($K71=0,"n.b.",SUMIFS(STG_Woningetalage!$BI$6:$BI$505,STG_Woningetalage!$B$6:$B$505,$A71)))</f>
        <v/>
      </c>
      <c r="BV71" s="117" t="str">
        <f>IF($A71="","",IF($K71=0,"n.b.",SUMIFS(STG_Woningetalage!$BJ$6:$BJ$505,STG_Woningetalage!$B$6:$B$505,$A71)))</f>
        <v/>
      </c>
      <c r="BW71" s="117" t="str">
        <f>IF($A71="","",IF($K71=0,"n.b.",SUMIFS(STG_Woningetalage!$AR$6:$AR$505,STG_Woningetalage!$B$6:$B$505,$A71)))</f>
        <v/>
      </c>
      <c r="BX71" s="117" t="str">
        <f>IF($A71="","",IF($K71=0,"n.b.",SUMIFS(STG_Woningetalage!$AS$6:$AS$505,STG_Woningetalage!$B$6:$B$505,$A71)))</f>
        <v/>
      </c>
      <c r="BY71" s="117" t="str">
        <f>IF($A71="","",IF($K71=0,"n.b.",SUMIFS(STG_Woningetalage!$AN$6:$AN$505,STG_Woningetalage!$B$6:$B$505,$A71)))</f>
        <v/>
      </c>
      <c r="BZ71" s="117" t="str">
        <f>IF($A71="","",IF($K71=0,"n.b.",SUMIFS(STG_Woningetalage!$AO$6:$AO$505,STG_Woningetalage!$B$6:$B$505,$A71)))</f>
        <v/>
      </c>
      <c r="CA71" s="117" t="str">
        <f>IF($A71="","",IF($K71=0,"n.b.",SUMIFS(STG_Woningetalage!$AP$6:$AP$505,STG_Woningetalage!$B$6:$B$505,$A71)))</f>
        <v/>
      </c>
      <c r="CB71" s="117" t="str">
        <f>IF($A71="","",IF($K71=0,"n.b.",SUMIFS(STG_Woningetalage!$AQ$6:$AQ$505,STG_Woningetalage!$B$6:$B$505,$A71)))</f>
        <v/>
      </c>
      <c r="CC71" s="117" t="str">
        <f>IF($A71="","",IF($K71=0,"n.b.",SUMIFS(STG_Woningetalage!$AU$6:$AU$505,STG_Woningetalage!$B$6:$B$505,$A71)))</f>
        <v/>
      </c>
      <c r="CD71" s="92" t="str">
        <f>IF($A71="","",IFERROR(INDEX(STG_ZPMW03!$L$6:$L$505,MATCH($A71,STG_ZPMW03!$B$6:$B$505,0)),"n.b."))</f>
        <v/>
      </c>
      <c r="CE71" s="92" t="str">
        <f>IF($A71="","",IFERROR(INDEX(STG_ZPMW03!$K$6:$K$505,MATCH($A71,STG_ZPMW03!$B$6:$B$505,0)),"n.b."))</f>
        <v/>
      </c>
      <c r="CF71" s="92" t="str">
        <f>IF($A71="","",IFERROR(INDEX(STG_ZPMW03!$BH$6:$BH$505,MATCH($A71,STG_ZPMW03!$B$6:$B$505,0)),"n.b."))</f>
        <v/>
      </c>
      <c r="CG71" s="92" t="str">
        <f>IF($A71="","",IFERROR(INDEX(STG_ZPMW03!$BI$6:$BI$505,MATCH($A71,STG_ZPMW03!$B$6:$B$505,0)),"n.b."))</f>
        <v/>
      </c>
      <c r="CH71" s="92" t="str">
        <f>IF($A71="","",IFERROR(INDEX(STG_ZPMW03!$BJ$6:$BJ$505,MATCH($A71,STG_ZPMW03!$B$6:$B$505,0)),"n.b."))</f>
        <v/>
      </c>
      <c r="CI71" s="92" t="str">
        <f>IF($A71="","",IFERROR(INDEX(STG_ZPMW03!$BF$6:$BF$505,MATCH($A71,STG_ZPMW03!$B$6:$B$505,0)),"n.b."))</f>
        <v/>
      </c>
      <c r="CJ71" s="92" t="str">
        <f>IF($A71="","",IFERROR(INDEX(STG_ZPMW03!$BG$6:$BG$505,MATCH($A71,STG_ZPMW03!$B$6:$B$505,0)),"n.b."))</f>
        <v/>
      </c>
      <c r="CK71" s="92" t="str">
        <f>IF($A71="","",IFERROR(INDEX(STG_ZPMW03!$H$6:$H$505,MATCH($A71,STG_ZPMW03!$B$6:$B$505,0)),"n.b."))</f>
        <v/>
      </c>
      <c r="CL71" s="92" t="str">
        <f>IF($A71="","",IFERROR(INDEX(STG_ZPMW03!$E$6:$E$505,MATCH($A71,STG_ZPMW03!$B$6:$B$505,0)),"n.b."))</f>
        <v/>
      </c>
      <c r="CM71" s="92" t="str">
        <f>IF($A71="","",IFERROR(INDEX(STG_ZPMW03!$G$6:$G$505,MATCH($A71,STG_ZPMW03!$B$6:$B$505,0)),"n.b."))</f>
        <v/>
      </c>
      <c r="CN71" s="92" t="str">
        <f>IF($A71="","",IFERROR(INDEX(STG_Woningetalage!$N$6:$N$505,MATCH($A71,STG_Woningetalage!$B$6:$B$505,0)),"n.b."))</f>
        <v/>
      </c>
      <c r="CO71" s="92" t="str">
        <f>IF($A71="","",IFERROR(INDEX(STG_Woningetalage!$P$6:$P$505,MATCH($A71,STG_Woningetalage!$B$6:$B$505,0)),"n.b."))</f>
        <v/>
      </c>
      <c r="CP71" s="118" t="str">
        <f>IF($A71="","",IF(AND(ISNUMBER(AT71),ISNUMBER(F71)),IF(F71&gt;0,AT71/(F71/100),"n.b."),"n.b."))</f>
        <v/>
      </c>
      <c r="CQ71" s="116" t="str">
        <f>IF($A71="","",IF(ISNUMBER(Q71),IF(Q71&lt;0,1,0),0))</f>
        <v/>
      </c>
      <c r="CR71" s="116" t="str">
        <f>IF(CQ71=1,COUNTIF($CQ$6:CQ71,1),"")</f>
        <v/>
      </c>
      <c r="CS71" s="116" t="str">
        <f>IF(AND($A71&lt;&gt;"",$J71=0),COUNTIFS($A$6:$A71,"?*",$J$6:$J71,0),"")</f>
        <v/>
      </c>
      <c r="CT71" s="119" t="str">
        <f>IF($A71="","",IF(AND(ISNUMBER(Q71),ISNUMBER(P71)),IF(P71&lt;&gt;0,Q71/P71,"n.b."),"n.b."))</f>
        <v/>
      </c>
    </row>
    <row r="72">
      <c r="A72" s="92" t="str">
        <f>IF(Mapping!$A71="","",Mapping!$A71)</f>
        <v/>
      </c>
      <c r="B72" s="92" t="str">
        <f>IF(Mapping!$B71="","",Mapping!$B71)</f>
        <v/>
      </c>
      <c r="C72" s="92" t="str">
        <f>IF(Mapping!$C71="","",Mapping!$C71)</f>
        <v/>
      </c>
      <c r="D72" s="92" t="str">
        <f>IF(Mapping!$F71="","",Mapping!$F71)</f>
        <v/>
      </c>
      <c r="E72" s="92" t="str">
        <f>IF(Mapping!$H71="","",Mapping!$H71)</f>
        <v/>
      </c>
      <c r="F72" s="92" t="str">
        <f>IF(Mapping!$E71="","",Mapping!$E71)</f>
        <v/>
      </c>
      <c r="G72" s="92" t="str">
        <f>IF(Mapping!$G71="","",Mapping!$G71)</f>
        <v/>
      </c>
      <c r="H72" s="92" t="str">
        <f>IF(Mapping!$D71="","",Mapping!$D71)</f>
        <v/>
      </c>
      <c r="I72" s="92" t="str">
        <f>IF($A72="","",IFERROR(INDEX(STG_ZPMW03!$C$6:$C$505,MATCH($A72,STG_ZPMW03!$B$6:$B$505,0)),"n.b."))</f>
        <v/>
      </c>
      <c r="J72" s="116" t="str">
        <f>IF($A72="","",COUNTIF(STG_ZPMW03!$B$6:$B$505,$A72))</f>
        <v/>
      </c>
      <c r="K72" s="116" t="str">
        <f>IF($A72="","",COUNTIF(STG_Woningetalage!$B$6:$B$505,$A72))</f>
        <v/>
      </c>
      <c r="L72" s="117" t="str">
        <f>IF($A72="","",IF($J72=0,"n.b.",SUMIFS(STG_ZPMW03!$BK$6:$BK$505,STG_ZPMW03!$B$6:$B$505,$A72)))</f>
        <v/>
      </c>
      <c r="M72" s="117" t="str">
        <f>IF($A72="","",IF($J72=0,"n.b.",SUMIFS(STG_ZPMW03!$BL$6:$BL$505,STG_ZPMW03!$B$6:$B$505,$A72)))</f>
        <v/>
      </c>
      <c r="N72" s="117" t="str">
        <f>IF($A72="","",IF($J72=0,"n.b.",SUMIFS(STG_ZPMW03!$BM$6:$BM$505,STG_ZPMW03!$B$6:$B$505,$A72)))</f>
        <v/>
      </c>
      <c r="O72" s="117" t="str">
        <f>IF($A72="","",IF($J72=0,"n.b.",SUMIFS(STG_ZPMW03!$BN$6:$BN$505,STG_ZPMW03!$B$6:$B$505,$A72)))</f>
        <v/>
      </c>
      <c r="P72" s="117" t="str">
        <f>IF($A72="","",IF($J72=0,"n.b.",SUMIFS(STG_ZPMW03!$BO$6:$BO$505,STG_ZPMW03!$B$6:$B$505,$A72)))</f>
        <v/>
      </c>
      <c r="Q72" s="117" t="str">
        <f>IF($A72="","",IF($J72=0,"n.b.",SUMIFS(STG_ZPMW03!$BP$6:$BP$505,STG_ZPMW03!$B$6:$B$505,$A72)))</f>
        <v/>
      </c>
      <c r="R72" s="117" t="str">
        <f>IF($A72="","",IF($J72=0,"n.b.",SUMIFS(STG_ZPMW03!$BQ$6:$BQ$505,STG_ZPMW03!$B$6:$B$505,$A72)))</f>
        <v/>
      </c>
      <c r="S72" s="117" t="str">
        <f>IF($A72="","",IF($J72=0,"n.b.",SUMIFS(STG_ZPMW03!$BR$6:$BR$505,STG_ZPMW03!$B$6:$B$505,$A72)))</f>
        <v/>
      </c>
      <c r="T72" s="117" t="str">
        <f>IF($A72="","",IF($J72=0,"n.b.",SUMIFS(STG_ZPMW03!$BS$6:$BS$505,STG_ZPMW03!$B$6:$B$505,$A72)))</f>
        <v/>
      </c>
      <c r="U72" s="117" t="str">
        <f>IF($A72="","",IF($J72=0,"n.b.",SUMIFS(STG_ZPMW03!$BT$6:$BT$505,STG_ZPMW03!$B$6:$B$505,$A72)))</f>
        <v/>
      </c>
      <c r="V72" s="117" t="str">
        <f>IF($A72="","",IF($J72=0,"n.b.",SUMIFS(STG_ZPMW03!$BU$6:$BU$505,STG_ZPMW03!$B$6:$B$505,$A72)))</f>
        <v/>
      </c>
      <c r="W72" s="117" t="str">
        <f>IF($A72="","",IF($J72=0,"n.b.",SUMIFS(STG_ZPMW03!$BW$6:$BW$505,STG_ZPMW03!$B$6:$B$505,$A72)))</f>
        <v/>
      </c>
      <c r="X72" s="117" t="str">
        <f>IF($A72="","",IF($J72=0,"n.b.",SUMIFS(STG_ZPMW03!$BY$6:$BY$505,STG_ZPMW03!$B$6:$B$505,$A72)))</f>
        <v/>
      </c>
      <c r="Y72" s="117" t="str">
        <f>IF($A72="","",IF($J72=0,"n.b.",SUMIFS(STG_ZPMW03!$CA$6:$CA$505,STG_ZPMW03!$B$6:$B$505,$A72)))</f>
        <v/>
      </c>
      <c r="Z72" s="117" t="str">
        <f>IF($A72="","",IF($J72=0,"n.b.",SUMIFS(STG_ZPMW03!$BV$6:$BV$505,STG_ZPMW03!$B$6:$B$505,$A72)))</f>
        <v/>
      </c>
      <c r="AA72" s="117" t="str">
        <f>IF($A72="","",IF($J72=0,"n.b.",SUMIFS(STG_ZPMW03!$BX$6:$BX$505,STG_ZPMW03!$B$6:$B$505,$A72)))</f>
        <v/>
      </c>
      <c r="AB72" s="117" t="str">
        <f>IF($A72="","",IF($J72=0,"n.b.",SUMIFS(STG_ZPMW03!$BZ$6:$BZ$505,STG_ZPMW03!$B$6:$B$505,$A72)))</f>
        <v/>
      </c>
      <c r="AC72" s="117" t="str">
        <f>IF($A72="","",IF($J72=0,"n.b.",SUMIFS(STG_ZPMW03!$CB$6:$CB$505,STG_ZPMW03!$B$6:$B$505,$A72)))</f>
        <v/>
      </c>
      <c r="AD72" s="117" t="str">
        <f>IF($A72="","",IF($J72=0,"n.b.",SUMIFS(STG_ZPMW03!$CC$6:$CC$505,STG_ZPMW03!$B$6:$B$505,$A72)))</f>
        <v/>
      </c>
      <c r="AE72" s="117" t="str">
        <f>IF($A72="","",IF($J72=0,"n.b.",SUMIFS(STG_ZPMW03!$CE$6:$CE$505,STG_ZPMW03!$B$6:$B$505,$A72)))</f>
        <v/>
      </c>
      <c r="AF72" s="117" t="str">
        <f>IF($A72="","",IF($J72=0,"n.b.",SUMIFS(STG_ZPMW03!$CG$6:$CG$505,STG_ZPMW03!$B$6:$B$505,$A72)))</f>
        <v/>
      </c>
      <c r="AG72" s="117" t="str">
        <f>IF($A72="","",IF($J72=0,"n.b.",SUMIFS(STG_ZPMW03!$CI$6:$CI$505,STG_ZPMW03!$B$6:$B$505,$A72)))</f>
        <v/>
      </c>
      <c r="AH72" s="117" t="str">
        <f>IF($A72="","",IF($J72=0,"n.b.",SUMIFS(STG_ZPMW03!$CK$6:$CK$505,STG_ZPMW03!$B$6:$B$505,$A72)))</f>
        <v/>
      </c>
      <c r="AI72" s="117" t="str">
        <f>IF($A72="","",IF($J72=0,"n.b.",SUMIFS(STG_ZPMW03!$CM$6:$CM$505,STG_ZPMW03!$B$6:$B$505,$A72)))</f>
        <v/>
      </c>
      <c r="AJ72" s="117" t="str">
        <f>IF($A72="","",IF($J72=0,"n.b.",SUMIFS(STG_ZPMW03!$CO$6:$CO$505,STG_ZPMW03!$B$6:$B$505,$A72)))</f>
        <v/>
      </c>
      <c r="AK72" s="117" t="str">
        <f>IF($A72="","",IF($J72=0,"n.b.",SUMIFS(STG_ZPMW03!$CQ$6:$CQ$505,STG_ZPMW03!$B$6:$B$505,$A72)))</f>
        <v/>
      </c>
      <c r="AL72" s="117" t="str">
        <f>IF($A72="","",IF($J72=0,"n.b.",SUMIFS(STG_ZPMW03!$CD$6:$CD$505,STG_ZPMW03!$B$6:$B$505,$A72)))</f>
        <v/>
      </c>
      <c r="AM72" s="117" t="str">
        <f>IF($A72="","",IF($J72=0,"n.b.",SUMIFS(STG_ZPMW03!$CF$6:$CF$505,STG_ZPMW03!$B$6:$B$505,$A72)))</f>
        <v/>
      </c>
      <c r="AN72" s="117" t="str">
        <f>IF($A72="","",IF($J72=0,"n.b.",SUMIFS(STG_ZPMW03!$CH$6:$CH$505,STG_ZPMW03!$B$6:$B$505,$A72)))</f>
        <v/>
      </c>
      <c r="AO72" s="117" t="str">
        <f>IF($A72="","",IF($J72=0,"n.b.",SUMIFS(STG_ZPMW03!$CJ$6:$CJ$505,STG_ZPMW03!$B$6:$B$505,$A72)))</f>
        <v/>
      </c>
      <c r="AP72" s="117" t="str">
        <f>IF($A72="","",IF($J72=0,"n.b.",SUMIFS(STG_ZPMW03!$CL$6:$CL$505,STG_ZPMW03!$B$6:$B$505,$A72)))</f>
        <v/>
      </c>
      <c r="AQ72" s="117" t="str">
        <f>IF($A72="","",IF($J72=0,"n.b.",SUMIFS(STG_ZPMW03!$CN$6:$CN$505,STG_ZPMW03!$B$6:$B$505,$A72)))</f>
        <v/>
      </c>
      <c r="AR72" s="117" t="str">
        <f>IF($A72="","",IF($J72=0,"n.b.",SUMIFS(STG_ZPMW03!$CP$6:$CP$505,STG_ZPMW03!$B$6:$B$505,$A72)))</f>
        <v/>
      </c>
      <c r="AS72" s="117" t="str">
        <f>IF($A72="","",IF($J72=0,"n.b.",SUMIFS(STG_ZPMW03!$CR$6:$CR$505,STG_ZPMW03!$B$6:$B$505,$A72)))</f>
        <v/>
      </c>
      <c r="AT72" s="117" t="str">
        <f>IF($A72="","",IF($K72=0,"n.b.",SUMIFS(STG_Woningetalage!$Q$6:$Q$505,STG_Woningetalage!$B$6:$B$505,$A72)))</f>
        <v/>
      </c>
      <c r="AU72" s="117" t="str">
        <f>IF($A72="","",IF($K72=0,"n.b.",SUMIFS(STG_Woningetalage!$R$6:$R$505,STG_Woningetalage!$B$6:$B$505,$A72)))</f>
        <v/>
      </c>
      <c r="AV72" s="117" t="str">
        <f>IF($A72="","",IF($K72=0,"n.b.",SUMIFS(STG_Woningetalage!$S$6:$S$505,STG_Woningetalage!$B$6:$B$505,$A72)))</f>
        <v/>
      </c>
      <c r="AW72" s="117" t="str">
        <f>IF($A72="","",IF($K72=0,"n.b.",SUMIFS(STG_Woningetalage!$T$6:$T$505,STG_Woningetalage!$B$6:$B$505,$A72)))</f>
        <v/>
      </c>
      <c r="AX72" s="117" t="str">
        <f>IF($A72="","",IF($K72=0,"n.b.",SUMIFS(STG_Woningetalage!$U$6:$U$505,STG_Woningetalage!$B$6:$B$505,$A72)))</f>
        <v/>
      </c>
      <c r="AY72" s="117" t="str">
        <f>IF($A72="","",IF($K72=0,"n.b.",SUMIFS(STG_Woningetalage!$V$6:$V$505,STG_Woningetalage!$B$6:$B$505,$A72)))</f>
        <v/>
      </c>
      <c r="AZ72" s="117" t="str">
        <f>IF($A72="","",IF($K72=0,"n.b.",SUMIFS(STG_Woningetalage!$W$6:$W$505,STG_Woningetalage!$B$6:$B$505,$A72)))</f>
        <v/>
      </c>
      <c r="BA72" s="117" t="str">
        <f>IF($A72="","",IF($K72=0,"n.b.",SUMIFS(STG_Woningetalage!$X$6:$X$505,STG_Woningetalage!$B$6:$B$505,$A72)))</f>
        <v/>
      </c>
      <c r="BB72" s="117" t="str">
        <f>IF($A72="","",IF($K72=0,"n.b.",SUMIFS(STG_Woningetalage!$Y$6:$Y$505,STG_Woningetalage!$B$6:$B$505,$A72)))</f>
        <v/>
      </c>
      <c r="BC72" s="117" t="str">
        <f>IF($A72="","",IF($K72=0,"n.b.",SUMIFS(STG_Woningetalage!$Z$6:$Z$505,STG_Woningetalage!$B$6:$B$505,$A72)))</f>
        <v/>
      </c>
      <c r="BD72" s="117" t="str">
        <f>IF($A72="","",IF($K72=0,"n.b.",SUMIFS(STG_Woningetalage!$AA$6:$AA$505,STG_Woningetalage!$B$6:$B$505,$A72)))</f>
        <v/>
      </c>
      <c r="BE72" s="117" t="str">
        <f>IF($A72="","",IF($K72=0,"n.b.",SUMIFS(STG_Woningetalage!$AB$6:$AB$505,STG_Woningetalage!$B$6:$B$505,$A72)))</f>
        <v/>
      </c>
      <c r="BF72" s="117" t="str">
        <f>IF($A72="","",IF($K72=0,"n.b.",SUMIFS(STG_Woningetalage!$AC$6:$AC$505,STG_Woningetalage!$B$6:$B$505,$A72)))</f>
        <v/>
      </c>
      <c r="BG72" s="117" t="str">
        <f>IF($A72="","",IF($K72=0,"n.b.",SUMIFS(STG_Woningetalage!$AD$6:$AD$505,STG_Woningetalage!$B$6:$B$505,$A72)))</f>
        <v/>
      </c>
      <c r="BH72" s="117" t="str">
        <f>IF($A72="","",IF($K72=0,"n.b.",SUMIFS(STG_Woningetalage!$AE$6:$AE$505,STG_Woningetalage!$B$6:$B$505,$A72)))</f>
        <v/>
      </c>
      <c r="BI72" s="117" t="str">
        <f>IF($A72="","",IF($K72=0,"n.b.",SUMIFS(STG_Woningetalage!$AF$6:$AF$505,STG_Woningetalage!$B$6:$B$505,$A72)))</f>
        <v/>
      </c>
      <c r="BJ72" s="117" t="str">
        <f>IF($A72="","",IF($K72=0,"n.b.",SUMIFS(STG_Woningetalage!$AG$6:$AG$505,STG_Woningetalage!$B$6:$B$505,$A72)))</f>
        <v/>
      </c>
      <c r="BK72" s="117" t="str">
        <f>IF($A72="","",IF($K72=0,"n.b.",SUMIFS(STG_Woningetalage!$AH$6:$AH$505,STG_Woningetalage!$B$6:$B$505,$A72)))</f>
        <v/>
      </c>
      <c r="BL72" s="117" t="str">
        <f>IF($A72="","",IF($K72=0,"n.b.",SUMIFS(STG_Woningetalage!$AI$6:$AI$505,STG_Woningetalage!$B$6:$B$505,$A72)))</f>
        <v/>
      </c>
      <c r="BM72" s="117" t="str">
        <f>IF($A72="","",IF($K72=0,"n.b.",SUMIFS(STG_Woningetalage!$AJ$6:$AJ$505,STG_Woningetalage!$B$6:$B$505,$A72)))</f>
        <v/>
      </c>
      <c r="BN72" s="117" t="str">
        <f>IF($A72="","",IF($K72=0,"n.b.",SUMIFS(STG_Woningetalage!$AK$6:$AK$505,STG_Woningetalage!$B$6:$B$505,$A72)))</f>
        <v/>
      </c>
      <c r="BO72" s="117" t="str">
        <f>IF($A72="","",IF($K72=0,"n.b.",SUMIFS(STG_Woningetalage!$AL$6:$AL$505,STG_Woningetalage!$B$6:$B$505,$A72)))</f>
        <v/>
      </c>
      <c r="BP72" s="117" t="str">
        <f>IF($A72="","",IF($K72=0,"n.b.",SUMIFS(STG_Woningetalage!$AM$6:$AM$505,STG_Woningetalage!$B$6:$B$505,$A72)))</f>
        <v/>
      </c>
      <c r="BQ72" s="117" t="str">
        <f>IF($A72="","",IF($K72=0,"n.b.",SUMIFS(STG_Woningetalage!$BE$6:$BE$505,STG_Woningetalage!$B$6:$B$505,$A72)))</f>
        <v/>
      </c>
      <c r="BR72" s="117" t="str">
        <f>IF($A72="","",IF($K72=0,"n.b.",SUMIFS(STG_Woningetalage!$BF$6:$BF$505,STG_Woningetalage!$B$6:$B$505,$A72)))</f>
        <v/>
      </c>
      <c r="BS72" s="117" t="str">
        <f>IF($A72="","",IF($K72=0,"n.b.",SUMIFS(STG_Woningetalage!$BG$6:$BG$505,STG_Woningetalage!$B$6:$B$505,$A72)))</f>
        <v/>
      </c>
      <c r="BT72" s="117" t="str">
        <f>IF($A72="","",IF($K72=0,"n.b.",SUMIFS(STG_Woningetalage!$BH$6:$BH$505,STG_Woningetalage!$B$6:$B$505,$A72)))</f>
        <v/>
      </c>
      <c r="BU72" s="117" t="str">
        <f>IF($A72="","",IF($K72=0,"n.b.",SUMIFS(STG_Woningetalage!$BI$6:$BI$505,STG_Woningetalage!$B$6:$B$505,$A72)))</f>
        <v/>
      </c>
      <c r="BV72" s="117" t="str">
        <f>IF($A72="","",IF($K72=0,"n.b.",SUMIFS(STG_Woningetalage!$BJ$6:$BJ$505,STG_Woningetalage!$B$6:$B$505,$A72)))</f>
        <v/>
      </c>
      <c r="BW72" s="117" t="str">
        <f>IF($A72="","",IF($K72=0,"n.b.",SUMIFS(STG_Woningetalage!$AR$6:$AR$505,STG_Woningetalage!$B$6:$B$505,$A72)))</f>
        <v/>
      </c>
      <c r="BX72" s="117" t="str">
        <f>IF($A72="","",IF($K72=0,"n.b.",SUMIFS(STG_Woningetalage!$AS$6:$AS$505,STG_Woningetalage!$B$6:$B$505,$A72)))</f>
        <v/>
      </c>
      <c r="BY72" s="117" t="str">
        <f>IF($A72="","",IF($K72=0,"n.b.",SUMIFS(STG_Woningetalage!$AN$6:$AN$505,STG_Woningetalage!$B$6:$B$505,$A72)))</f>
        <v/>
      </c>
      <c r="BZ72" s="117" t="str">
        <f>IF($A72="","",IF($K72=0,"n.b.",SUMIFS(STG_Woningetalage!$AO$6:$AO$505,STG_Woningetalage!$B$6:$B$505,$A72)))</f>
        <v/>
      </c>
      <c r="CA72" s="117" t="str">
        <f>IF($A72="","",IF($K72=0,"n.b.",SUMIFS(STG_Woningetalage!$AP$6:$AP$505,STG_Woningetalage!$B$6:$B$505,$A72)))</f>
        <v/>
      </c>
      <c r="CB72" s="117" t="str">
        <f>IF($A72="","",IF($K72=0,"n.b.",SUMIFS(STG_Woningetalage!$AQ$6:$AQ$505,STG_Woningetalage!$B$6:$B$505,$A72)))</f>
        <v/>
      </c>
      <c r="CC72" s="117" t="str">
        <f>IF($A72="","",IF($K72=0,"n.b.",SUMIFS(STG_Woningetalage!$AU$6:$AU$505,STG_Woningetalage!$B$6:$B$505,$A72)))</f>
        <v/>
      </c>
      <c r="CD72" s="92" t="str">
        <f>IF($A72="","",IFERROR(INDEX(STG_ZPMW03!$L$6:$L$505,MATCH($A72,STG_ZPMW03!$B$6:$B$505,0)),"n.b."))</f>
        <v/>
      </c>
      <c r="CE72" s="92" t="str">
        <f>IF($A72="","",IFERROR(INDEX(STG_ZPMW03!$K$6:$K$505,MATCH($A72,STG_ZPMW03!$B$6:$B$505,0)),"n.b."))</f>
        <v/>
      </c>
      <c r="CF72" s="92" t="str">
        <f>IF($A72="","",IFERROR(INDEX(STG_ZPMW03!$BH$6:$BH$505,MATCH($A72,STG_ZPMW03!$B$6:$B$505,0)),"n.b."))</f>
        <v/>
      </c>
      <c r="CG72" s="92" t="str">
        <f>IF($A72="","",IFERROR(INDEX(STG_ZPMW03!$BI$6:$BI$505,MATCH($A72,STG_ZPMW03!$B$6:$B$505,0)),"n.b."))</f>
        <v/>
      </c>
      <c r="CH72" s="92" t="str">
        <f>IF($A72="","",IFERROR(INDEX(STG_ZPMW03!$BJ$6:$BJ$505,MATCH($A72,STG_ZPMW03!$B$6:$B$505,0)),"n.b."))</f>
        <v/>
      </c>
      <c r="CI72" s="92" t="str">
        <f>IF($A72="","",IFERROR(INDEX(STG_ZPMW03!$BF$6:$BF$505,MATCH($A72,STG_ZPMW03!$B$6:$B$505,0)),"n.b."))</f>
        <v/>
      </c>
      <c r="CJ72" s="92" t="str">
        <f>IF($A72="","",IFERROR(INDEX(STG_ZPMW03!$BG$6:$BG$505,MATCH($A72,STG_ZPMW03!$B$6:$B$505,0)),"n.b."))</f>
        <v/>
      </c>
      <c r="CK72" s="92" t="str">
        <f>IF($A72="","",IFERROR(INDEX(STG_ZPMW03!$H$6:$H$505,MATCH($A72,STG_ZPMW03!$B$6:$B$505,0)),"n.b."))</f>
        <v/>
      </c>
      <c r="CL72" s="92" t="str">
        <f>IF($A72="","",IFERROR(INDEX(STG_ZPMW03!$E$6:$E$505,MATCH($A72,STG_ZPMW03!$B$6:$B$505,0)),"n.b."))</f>
        <v/>
      </c>
      <c r="CM72" s="92" t="str">
        <f>IF($A72="","",IFERROR(INDEX(STG_ZPMW03!$G$6:$G$505,MATCH($A72,STG_ZPMW03!$B$6:$B$505,0)),"n.b."))</f>
        <v/>
      </c>
      <c r="CN72" s="92" t="str">
        <f>IF($A72="","",IFERROR(INDEX(STG_Woningetalage!$N$6:$N$505,MATCH($A72,STG_Woningetalage!$B$6:$B$505,0)),"n.b."))</f>
        <v/>
      </c>
      <c r="CO72" s="92" t="str">
        <f>IF($A72="","",IFERROR(INDEX(STG_Woningetalage!$P$6:$P$505,MATCH($A72,STG_Woningetalage!$B$6:$B$505,0)),"n.b."))</f>
        <v/>
      </c>
      <c r="CP72" s="118" t="str">
        <f>IF($A72="","",IF(AND(ISNUMBER(AT72),ISNUMBER(F72)),IF(F72&gt;0,AT72/(F72/100),"n.b."),"n.b."))</f>
        <v/>
      </c>
      <c r="CQ72" s="116" t="str">
        <f>IF($A72="","",IF(ISNUMBER(Q72),IF(Q72&lt;0,1,0),0))</f>
        <v/>
      </c>
      <c r="CR72" s="116" t="str">
        <f>IF(CQ72=1,COUNTIF($CQ$6:CQ72,1),"")</f>
        <v/>
      </c>
      <c r="CS72" s="116" t="str">
        <f>IF(AND($A72&lt;&gt;"",$J72=0),COUNTIFS($A$6:$A72,"?*",$J$6:$J72,0),"")</f>
        <v/>
      </c>
      <c r="CT72" s="119" t="str">
        <f>IF($A72="","",IF(AND(ISNUMBER(Q72),ISNUMBER(P72)),IF(P72&lt;&gt;0,Q72/P72,"n.b."),"n.b."))</f>
        <v/>
      </c>
    </row>
    <row r="73">
      <c r="A73" s="92" t="str">
        <f>IF(Mapping!$A72="","",Mapping!$A72)</f>
        <v/>
      </c>
      <c r="B73" s="92" t="str">
        <f>IF(Mapping!$B72="","",Mapping!$B72)</f>
        <v/>
      </c>
      <c r="C73" s="92" t="str">
        <f>IF(Mapping!$C72="","",Mapping!$C72)</f>
        <v/>
      </c>
      <c r="D73" s="92" t="str">
        <f>IF(Mapping!$F72="","",Mapping!$F72)</f>
        <v/>
      </c>
      <c r="E73" s="92" t="str">
        <f>IF(Mapping!$H72="","",Mapping!$H72)</f>
        <v/>
      </c>
      <c r="F73" s="92" t="str">
        <f>IF(Mapping!$E72="","",Mapping!$E72)</f>
        <v/>
      </c>
      <c r="G73" s="92" t="str">
        <f>IF(Mapping!$G72="","",Mapping!$G72)</f>
        <v/>
      </c>
      <c r="H73" s="92" t="str">
        <f>IF(Mapping!$D72="","",Mapping!$D72)</f>
        <v/>
      </c>
      <c r="I73" s="92" t="str">
        <f>IF($A73="","",IFERROR(INDEX(STG_ZPMW03!$C$6:$C$505,MATCH($A73,STG_ZPMW03!$B$6:$B$505,0)),"n.b."))</f>
        <v/>
      </c>
      <c r="J73" s="116" t="str">
        <f>IF($A73="","",COUNTIF(STG_ZPMW03!$B$6:$B$505,$A73))</f>
        <v/>
      </c>
      <c r="K73" s="116" t="str">
        <f>IF($A73="","",COUNTIF(STG_Woningetalage!$B$6:$B$505,$A73))</f>
        <v/>
      </c>
      <c r="L73" s="117" t="str">
        <f>IF($A73="","",IF($J73=0,"n.b.",SUMIFS(STG_ZPMW03!$BK$6:$BK$505,STG_ZPMW03!$B$6:$B$505,$A73)))</f>
        <v/>
      </c>
      <c r="M73" s="117" t="str">
        <f>IF($A73="","",IF($J73=0,"n.b.",SUMIFS(STG_ZPMW03!$BL$6:$BL$505,STG_ZPMW03!$B$6:$B$505,$A73)))</f>
        <v/>
      </c>
      <c r="N73" s="117" t="str">
        <f>IF($A73="","",IF($J73=0,"n.b.",SUMIFS(STG_ZPMW03!$BM$6:$BM$505,STG_ZPMW03!$B$6:$B$505,$A73)))</f>
        <v/>
      </c>
      <c r="O73" s="117" t="str">
        <f>IF($A73="","",IF($J73=0,"n.b.",SUMIFS(STG_ZPMW03!$BN$6:$BN$505,STG_ZPMW03!$B$6:$B$505,$A73)))</f>
        <v/>
      </c>
      <c r="P73" s="117" t="str">
        <f>IF($A73="","",IF($J73=0,"n.b.",SUMIFS(STG_ZPMW03!$BO$6:$BO$505,STG_ZPMW03!$B$6:$B$505,$A73)))</f>
        <v/>
      </c>
      <c r="Q73" s="117" t="str">
        <f>IF($A73="","",IF($J73=0,"n.b.",SUMIFS(STG_ZPMW03!$BP$6:$BP$505,STG_ZPMW03!$B$6:$B$505,$A73)))</f>
        <v/>
      </c>
      <c r="R73" s="117" t="str">
        <f>IF($A73="","",IF($J73=0,"n.b.",SUMIFS(STG_ZPMW03!$BQ$6:$BQ$505,STG_ZPMW03!$B$6:$B$505,$A73)))</f>
        <v/>
      </c>
      <c r="S73" s="117" t="str">
        <f>IF($A73="","",IF($J73=0,"n.b.",SUMIFS(STG_ZPMW03!$BR$6:$BR$505,STG_ZPMW03!$B$6:$B$505,$A73)))</f>
        <v/>
      </c>
      <c r="T73" s="117" t="str">
        <f>IF($A73="","",IF($J73=0,"n.b.",SUMIFS(STG_ZPMW03!$BS$6:$BS$505,STG_ZPMW03!$B$6:$B$505,$A73)))</f>
        <v/>
      </c>
      <c r="U73" s="117" t="str">
        <f>IF($A73="","",IF($J73=0,"n.b.",SUMIFS(STG_ZPMW03!$BT$6:$BT$505,STG_ZPMW03!$B$6:$B$505,$A73)))</f>
        <v/>
      </c>
      <c r="V73" s="117" t="str">
        <f>IF($A73="","",IF($J73=0,"n.b.",SUMIFS(STG_ZPMW03!$BU$6:$BU$505,STG_ZPMW03!$B$6:$B$505,$A73)))</f>
        <v/>
      </c>
      <c r="W73" s="117" t="str">
        <f>IF($A73="","",IF($J73=0,"n.b.",SUMIFS(STG_ZPMW03!$BW$6:$BW$505,STG_ZPMW03!$B$6:$B$505,$A73)))</f>
        <v/>
      </c>
      <c r="X73" s="117" t="str">
        <f>IF($A73="","",IF($J73=0,"n.b.",SUMIFS(STG_ZPMW03!$BY$6:$BY$505,STG_ZPMW03!$B$6:$B$505,$A73)))</f>
        <v/>
      </c>
      <c r="Y73" s="117" t="str">
        <f>IF($A73="","",IF($J73=0,"n.b.",SUMIFS(STG_ZPMW03!$CA$6:$CA$505,STG_ZPMW03!$B$6:$B$505,$A73)))</f>
        <v/>
      </c>
      <c r="Z73" s="117" t="str">
        <f>IF($A73="","",IF($J73=0,"n.b.",SUMIFS(STG_ZPMW03!$BV$6:$BV$505,STG_ZPMW03!$B$6:$B$505,$A73)))</f>
        <v/>
      </c>
      <c r="AA73" s="117" t="str">
        <f>IF($A73="","",IF($J73=0,"n.b.",SUMIFS(STG_ZPMW03!$BX$6:$BX$505,STG_ZPMW03!$B$6:$B$505,$A73)))</f>
        <v/>
      </c>
      <c r="AB73" s="117" t="str">
        <f>IF($A73="","",IF($J73=0,"n.b.",SUMIFS(STG_ZPMW03!$BZ$6:$BZ$505,STG_ZPMW03!$B$6:$B$505,$A73)))</f>
        <v/>
      </c>
      <c r="AC73" s="117" t="str">
        <f>IF($A73="","",IF($J73=0,"n.b.",SUMIFS(STG_ZPMW03!$CB$6:$CB$505,STG_ZPMW03!$B$6:$B$505,$A73)))</f>
        <v/>
      </c>
      <c r="AD73" s="117" t="str">
        <f>IF($A73="","",IF($J73=0,"n.b.",SUMIFS(STG_ZPMW03!$CC$6:$CC$505,STG_ZPMW03!$B$6:$B$505,$A73)))</f>
        <v/>
      </c>
      <c r="AE73" s="117" t="str">
        <f>IF($A73="","",IF($J73=0,"n.b.",SUMIFS(STG_ZPMW03!$CE$6:$CE$505,STG_ZPMW03!$B$6:$B$505,$A73)))</f>
        <v/>
      </c>
      <c r="AF73" s="117" t="str">
        <f>IF($A73="","",IF($J73=0,"n.b.",SUMIFS(STG_ZPMW03!$CG$6:$CG$505,STG_ZPMW03!$B$6:$B$505,$A73)))</f>
        <v/>
      </c>
      <c r="AG73" s="117" t="str">
        <f>IF($A73="","",IF($J73=0,"n.b.",SUMIFS(STG_ZPMW03!$CI$6:$CI$505,STG_ZPMW03!$B$6:$B$505,$A73)))</f>
        <v/>
      </c>
      <c r="AH73" s="117" t="str">
        <f>IF($A73="","",IF($J73=0,"n.b.",SUMIFS(STG_ZPMW03!$CK$6:$CK$505,STG_ZPMW03!$B$6:$B$505,$A73)))</f>
        <v/>
      </c>
      <c r="AI73" s="117" t="str">
        <f>IF($A73="","",IF($J73=0,"n.b.",SUMIFS(STG_ZPMW03!$CM$6:$CM$505,STG_ZPMW03!$B$6:$B$505,$A73)))</f>
        <v/>
      </c>
      <c r="AJ73" s="117" t="str">
        <f>IF($A73="","",IF($J73=0,"n.b.",SUMIFS(STG_ZPMW03!$CO$6:$CO$505,STG_ZPMW03!$B$6:$B$505,$A73)))</f>
        <v/>
      </c>
      <c r="AK73" s="117" t="str">
        <f>IF($A73="","",IF($J73=0,"n.b.",SUMIFS(STG_ZPMW03!$CQ$6:$CQ$505,STG_ZPMW03!$B$6:$B$505,$A73)))</f>
        <v/>
      </c>
      <c r="AL73" s="117" t="str">
        <f>IF($A73="","",IF($J73=0,"n.b.",SUMIFS(STG_ZPMW03!$CD$6:$CD$505,STG_ZPMW03!$B$6:$B$505,$A73)))</f>
        <v/>
      </c>
      <c r="AM73" s="117" t="str">
        <f>IF($A73="","",IF($J73=0,"n.b.",SUMIFS(STG_ZPMW03!$CF$6:$CF$505,STG_ZPMW03!$B$6:$B$505,$A73)))</f>
        <v/>
      </c>
      <c r="AN73" s="117" t="str">
        <f>IF($A73="","",IF($J73=0,"n.b.",SUMIFS(STG_ZPMW03!$CH$6:$CH$505,STG_ZPMW03!$B$6:$B$505,$A73)))</f>
        <v/>
      </c>
      <c r="AO73" s="117" t="str">
        <f>IF($A73="","",IF($J73=0,"n.b.",SUMIFS(STG_ZPMW03!$CJ$6:$CJ$505,STG_ZPMW03!$B$6:$B$505,$A73)))</f>
        <v/>
      </c>
      <c r="AP73" s="117" t="str">
        <f>IF($A73="","",IF($J73=0,"n.b.",SUMIFS(STG_ZPMW03!$CL$6:$CL$505,STG_ZPMW03!$B$6:$B$505,$A73)))</f>
        <v/>
      </c>
      <c r="AQ73" s="117" t="str">
        <f>IF($A73="","",IF($J73=0,"n.b.",SUMIFS(STG_ZPMW03!$CN$6:$CN$505,STG_ZPMW03!$B$6:$B$505,$A73)))</f>
        <v/>
      </c>
      <c r="AR73" s="117" t="str">
        <f>IF($A73="","",IF($J73=0,"n.b.",SUMIFS(STG_ZPMW03!$CP$6:$CP$505,STG_ZPMW03!$B$6:$B$505,$A73)))</f>
        <v/>
      </c>
      <c r="AS73" s="117" t="str">
        <f>IF($A73="","",IF($J73=0,"n.b.",SUMIFS(STG_ZPMW03!$CR$6:$CR$505,STG_ZPMW03!$B$6:$B$505,$A73)))</f>
        <v/>
      </c>
      <c r="AT73" s="117" t="str">
        <f>IF($A73="","",IF($K73=0,"n.b.",SUMIFS(STG_Woningetalage!$Q$6:$Q$505,STG_Woningetalage!$B$6:$B$505,$A73)))</f>
        <v/>
      </c>
      <c r="AU73" s="117" t="str">
        <f>IF($A73="","",IF($K73=0,"n.b.",SUMIFS(STG_Woningetalage!$R$6:$R$505,STG_Woningetalage!$B$6:$B$505,$A73)))</f>
        <v/>
      </c>
      <c r="AV73" s="117" t="str">
        <f>IF($A73="","",IF($K73=0,"n.b.",SUMIFS(STG_Woningetalage!$S$6:$S$505,STG_Woningetalage!$B$6:$B$505,$A73)))</f>
        <v/>
      </c>
      <c r="AW73" s="117" t="str">
        <f>IF($A73="","",IF($K73=0,"n.b.",SUMIFS(STG_Woningetalage!$T$6:$T$505,STG_Woningetalage!$B$6:$B$505,$A73)))</f>
        <v/>
      </c>
      <c r="AX73" s="117" t="str">
        <f>IF($A73="","",IF($K73=0,"n.b.",SUMIFS(STG_Woningetalage!$U$6:$U$505,STG_Woningetalage!$B$6:$B$505,$A73)))</f>
        <v/>
      </c>
      <c r="AY73" s="117" t="str">
        <f>IF($A73="","",IF($K73=0,"n.b.",SUMIFS(STG_Woningetalage!$V$6:$V$505,STG_Woningetalage!$B$6:$B$505,$A73)))</f>
        <v/>
      </c>
      <c r="AZ73" s="117" t="str">
        <f>IF($A73="","",IF($K73=0,"n.b.",SUMIFS(STG_Woningetalage!$W$6:$W$505,STG_Woningetalage!$B$6:$B$505,$A73)))</f>
        <v/>
      </c>
      <c r="BA73" s="117" t="str">
        <f>IF($A73="","",IF($K73=0,"n.b.",SUMIFS(STG_Woningetalage!$X$6:$X$505,STG_Woningetalage!$B$6:$B$505,$A73)))</f>
        <v/>
      </c>
      <c r="BB73" s="117" t="str">
        <f>IF($A73="","",IF($K73=0,"n.b.",SUMIFS(STG_Woningetalage!$Y$6:$Y$505,STG_Woningetalage!$B$6:$B$505,$A73)))</f>
        <v/>
      </c>
      <c r="BC73" s="117" t="str">
        <f>IF($A73="","",IF($K73=0,"n.b.",SUMIFS(STG_Woningetalage!$Z$6:$Z$505,STG_Woningetalage!$B$6:$B$505,$A73)))</f>
        <v/>
      </c>
      <c r="BD73" s="117" t="str">
        <f>IF($A73="","",IF($K73=0,"n.b.",SUMIFS(STG_Woningetalage!$AA$6:$AA$505,STG_Woningetalage!$B$6:$B$505,$A73)))</f>
        <v/>
      </c>
      <c r="BE73" s="117" t="str">
        <f>IF($A73="","",IF($K73=0,"n.b.",SUMIFS(STG_Woningetalage!$AB$6:$AB$505,STG_Woningetalage!$B$6:$B$505,$A73)))</f>
        <v/>
      </c>
      <c r="BF73" s="117" t="str">
        <f>IF($A73="","",IF($K73=0,"n.b.",SUMIFS(STG_Woningetalage!$AC$6:$AC$505,STG_Woningetalage!$B$6:$B$505,$A73)))</f>
        <v/>
      </c>
      <c r="BG73" s="117" t="str">
        <f>IF($A73="","",IF($K73=0,"n.b.",SUMIFS(STG_Woningetalage!$AD$6:$AD$505,STG_Woningetalage!$B$6:$B$505,$A73)))</f>
        <v/>
      </c>
      <c r="BH73" s="117" t="str">
        <f>IF($A73="","",IF($K73=0,"n.b.",SUMIFS(STG_Woningetalage!$AE$6:$AE$505,STG_Woningetalage!$B$6:$B$505,$A73)))</f>
        <v/>
      </c>
      <c r="BI73" s="117" t="str">
        <f>IF($A73="","",IF($K73=0,"n.b.",SUMIFS(STG_Woningetalage!$AF$6:$AF$505,STG_Woningetalage!$B$6:$B$505,$A73)))</f>
        <v/>
      </c>
      <c r="BJ73" s="117" t="str">
        <f>IF($A73="","",IF($K73=0,"n.b.",SUMIFS(STG_Woningetalage!$AG$6:$AG$505,STG_Woningetalage!$B$6:$B$505,$A73)))</f>
        <v/>
      </c>
      <c r="BK73" s="117" t="str">
        <f>IF($A73="","",IF($K73=0,"n.b.",SUMIFS(STG_Woningetalage!$AH$6:$AH$505,STG_Woningetalage!$B$6:$B$505,$A73)))</f>
        <v/>
      </c>
      <c r="BL73" s="117" t="str">
        <f>IF($A73="","",IF($K73=0,"n.b.",SUMIFS(STG_Woningetalage!$AI$6:$AI$505,STG_Woningetalage!$B$6:$B$505,$A73)))</f>
        <v/>
      </c>
      <c r="BM73" s="117" t="str">
        <f>IF($A73="","",IF($K73=0,"n.b.",SUMIFS(STG_Woningetalage!$AJ$6:$AJ$505,STG_Woningetalage!$B$6:$B$505,$A73)))</f>
        <v/>
      </c>
      <c r="BN73" s="117" t="str">
        <f>IF($A73="","",IF($K73=0,"n.b.",SUMIFS(STG_Woningetalage!$AK$6:$AK$505,STG_Woningetalage!$B$6:$B$505,$A73)))</f>
        <v/>
      </c>
      <c r="BO73" s="117" t="str">
        <f>IF($A73="","",IF($K73=0,"n.b.",SUMIFS(STG_Woningetalage!$AL$6:$AL$505,STG_Woningetalage!$B$6:$B$505,$A73)))</f>
        <v/>
      </c>
      <c r="BP73" s="117" t="str">
        <f>IF($A73="","",IF($K73=0,"n.b.",SUMIFS(STG_Woningetalage!$AM$6:$AM$505,STG_Woningetalage!$B$6:$B$505,$A73)))</f>
        <v/>
      </c>
      <c r="BQ73" s="117" t="str">
        <f>IF($A73="","",IF($K73=0,"n.b.",SUMIFS(STG_Woningetalage!$BE$6:$BE$505,STG_Woningetalage!$B$6:$B$505,$A73)))</f>
        <v/>
      </c>
      <c r="BR73" s="117" t="str">
        <f>IF($A73="","",IF($K73=0,"n.b.",SUMIFS(STG_Woningetalage!$BF$6:$BF$505,STG_Woningetalage!$B$6:$B$505,$A73)))</f>
        <v/>
      </c>
      <c r="BS73" s="117" t="str">
        <f>IF($A73="","",IF($K73=0,"n.b.",SUMIFS(STG_Woningetalage!$BG$6:$BG$505,STG_Woningetalage!$B$6:$B$505,$A73)))</f>
        <v/>
      </c>
      <c r="BT73" s="117" t="str">
        <f>IF($A73="","",IF($K73=0,"n.b.",SUMIFS(STG_Woningetalage!$BH$6:$BH$505,STG_Woningetalage!$B$6:$B$505,$A73)))</f>
        <v/>
      </c>
      <c r="BU73" s="117" t="str">
        <f>IF($A73="","",IF($K73=0,"n.b.",SUMIFS(STG_Woningetalage!$BI$6:$BI$505,STG_Woningetalage!$B$6:$B$505,$A73)))</f>
        <v/>
      </c>
      <c r="BV73" s="117" t="str">
        <f>IF($A73="","",IF($K73=0,"n.b.",SUMIFS(STG_Woningetalage!$BJ$6:$BJ$505,STG_Woningetalage!$B$6:$B$505,$A73)))</f>
        <v/>
      </c>
      <c r="BW73" s="117" t="str">
        <f>IF($A73="","",IF($K73=0,"n.b.",SUMIFS(STG_Woningetalage!$AR$6:$AR$505,STG_Woningetalage!$B$6:$B$505,$A73)))</f>
        <v/>
      </c>
      <c r="BX73" s="117" t="str">
        <f>IF($A73="","",IF($K73=0,"n.b.",SUMIFS(STG_Woningetalage!$AS$6:$AS$505,STG_Woningetalage!$B$6:$B$505,$A73)))</f>
        <v/>
      </c>
      <c r="BY73" s="117" t="str">
        <f>IF($A73="","",IF($K73=0,"n.b.",SUMIFS(STG_Woningetalage!$AN$6:$AN$505,STG_Woningetalage!$B$6:$B$505,$A73)))</f>
        <v/>
      </c>
      <c r="BZ73" s="117" t="str">
        <f>IF($A73="","",IF($K73=0,"n.b.",SUMIFS(STG_Woningetalage!$AO$6:$AO$505,STG_Woningetalage!$B$6:$B$505,$A73)))</f>
        <v/>
      </c>
      <c r="CA73" s="117" t="str">
        <f>IF($A73="","",IF($K73=0,"n.b.",SUMIFS(STG_Woningetalage!$AP$6:$AP$505,STG_Woningetalage!$B$6:$B$505,$A73)))</f>
        <v/>
      </c>
      <c r="CB73" s="117" t="str">
        <f>IF($A73="","",IF($K73=0,"n.b.",SUMIFS(STG_Woningetalage!$AQ$6:$AQ$505,STG_Woningetalage!$B$6:$B$505,$A73)))</f>
        <v/>
      </c>
      <c r="CC73" s="117" t="str">
        <f>IF($A73="","",IF($K73=0,"n.b.",SUMIFS(STG_Woningetalage!$AU$6:$AU$505,STG_Woningetalage!$B$6:$B$505,$A73)))</f>
        <v/>
      </c>
      <c r="CD73" s="92" t="str">
        <f>IF($A73="","",IFERROR(INDEX(STG_ZPMW03!$L$6:$L$505,MATCH($A73,STG_ZPMW03!$B$6:$B$505,0)),"n.b."))</f>
        <v/>
      </c>
      <c r="CE73" s="92" t="str">
        <f>IF($A73="","",IFERROR(INDEX(STG_ZPMW03!$K$6:$K$505,MATCH($A73,STG_ZPMW03!$B$6:$B$505,0)),"n.b."))</f>
        <v/>
      </c>
      <c r="CF73" s="92" t="str">
        <f>IF($A73="","",IFERROR(INDEX(STG_ZPMW03!$BH$6:$BH$505,MATCH($A73,STG_ZPMW03!$B$6:$B$505,0)),"n.b."))</f>
        <v/>
      </c>
      <c r="CG73" s="92" t="str">
        <f>IF($A73="","",IFERROR(INDEX(STG_ZPMW03!$BI$6:$BI$505,MATCH($A73,STG_ZPMW03!$B$6:$B$505,0)),"n.b."))</f>
        <v/>
      </c>
      <c r="CH73" s="92" t="str">
        <f>IF($A73="","",IFERROR(INDEX(STG_ZPMW03!$BJ$6:$BJ$505,MATCH($A73,STG_ZPMW03!$B$6:$B$505,0)),"n.b."))</f>
        <v/>
      </c>
      <c r="CI73" s="92" t="str">
        <f>IF($A73="","",IFERROR(INDEX(STG_ZPMW03!$BF$6:$BF$505,MATCH($A73,STG_ZPMW03!$B$6:$B$505,0)),"n.b."))</f>
        <v/>
      </c>
      <c r="CJ73" s="92" t="str">
        <f>IF($A73="","",IFERROR(INDEX(STG_ZPMW03!$BG$6:$BG$505,MATCH($A73,STG_ZPMW03!$B$6:$B$505,0)),"n.b."))</f>
        <v/>
      </c>
      <c r="CK73" s="92" t="str">
        <f>IF($A73="","",IFERROR(INDEX(STG_ZPMW03!$H$6:$H$505,MATCH($A73,STG_ZPMW03!$B$6:$B$505,0)),"n.b."))</f>
        <v/>
      </c>
      <c r="CL73" s="92" t="str">
        <f>IF($A73="","",IFERROR(INDEX(STG_ZPMW03!$E$6:$E$505,MATCH($A73,STG_ZPMW03!$B$6:$B$505,0)),"n.b."))</f>
        <v/>
      </c>
      <c r="CM73" s="92" t="str">
        <f>IF($A73="","",IFERROR(INDEX(STG_ZPMW03!$G$6:$G$505,MATCH($A73,STG_ZPMW03!$B$6:$B$505,0)),"n.b."))</f>
        <v/>
      </c>
      <c r="CN73" s="92" t="str">
        <f>IF($A73="","",IFERROR(INDEX(STG_Woningetalage!$N$6:$N$505,MATCH($A73,STG_Woningetalage!$B$6:$B$505,0)),"n.b."))</f>
        <v/>
      </c>
      <c r="CO73" s="92" t="str">
        <f>IF($A73="","",IFERROR(INDEX(STG_Woningetalage!$P$6:$P$505,MATCH($A73,STG_Woningetalage!$B$6:$B$505,0)),"n.b."))</f>
        <v/>
      </c>
      <c r="CP73" s="118" t="str">
        <f>IF($A73="","",IF(AND(ISNUMBER(AT73),ISNUMBER(F73)),IF(F73&gt;0,AT73/(F73/100),"n.b."),"n.b."))</f>
        <v/>
      </c>
      <c r="CQ73" s="116" t="str">
        <f>IF($A73="","",IF(ISNUMBER(Q73),IF(Q73&lt;0,1,0),0))</f>
        <v/>
      </c>
      <c r="CR73" s="116" t="str">
        <f>IF(CQ73=1,COUNTIF($CQ$6:CQ73,1),"")</f>
        <v/>
      </c>
      <c r="CS73" s="116" t="str">
        <f>IF(AND($A73&lt;&gt;"",$J73=0),COUNTIFS($A$6:$A73,"?*",$J$6:$J73,0),"")</f>
        <v/>
      </c>
      <c r="CT73" s="119" t="str">
        <f>IF($A73="","",IF(AND(ISNUMBER(Q73),ISNUMBER(P73)),IF(P73&lt;&gt;0,Q73/P73,"n.b."),"n.b."))</f>
        <v/>
      </c>
    </row>
    <row r="74">
      <c r="A74" s="92" t="str">
        <f>IF(Mapping!$A73="","",Mapping!$A73)</f>
        <v/>
      </c>
      <c r="B74" s="92" t="str">
        <f>IF(Mapping!$B73="","",Mapping!$B73)</f>
        <v/>
      </c>
      <c r="C74" s="92" t="str">
        <f>IF(Mapping!$C73="","",Mapping!$C73)</f>
        <v/>
      </c>
      <c r="D74" s="92" t="str">
        <f>IF(Mapping!$F73="","",Mapping!$F73)</f>
        <v/>
      </c>
      <c r="E74" s="92" t="str">
        <f>IF(Mapping!$H73="","",Mapping!$H73)</f>
        <v/>
      </c>
      <c r="F74" s="92" t="str">
        <f>IF(Mapping!$E73="","",Mapping!$E73)</f>
        <v/>
      </c>
      <c r="G74" s="92" t="str">
        <f>IF(Mapping!$G73="","",Mapping!$G73)</f>
        <v/>
      </c>
      <c r="H74" s="92" t="str">
        <f>IF(Mapping!$D73="","",Mapping!$D73)</f>
        <v/>
      </c>
      <c r="I74" s="92" t="str">
        <f>IF($A74="","",IFERROR(INDEX(STG_ZPMW03!$C$6:$C$505,MATCH($A74,STG_ZPMW03!$B$6:$B$505,0)),"n.b."))</f>
        <v/>
      </c>
      <c r="J74" s="116" t="str">
        <f>IF($A74="","",COUNTIF(STG_ZPMW03!$B$6:$B$505,$A74))</f>
        <v/>
      </c>
      <c r="K74" s="116" t="str">
        <f>IF($A74="","",COUNTIF(STG_Woningetalage!$B$6:$B$505,$A74))</f>
        <v/>
      </c>
      <c r="L74" s="117" t="str">
        <f>IF($A74="","",IF($J74=0,"n.b.",SUMIFS(STG_ZPMW03!$BK$6:$BK$505,STG_ZPMW03!$B$6:$B$505,$A74)))</f>
        <v/>
      </c>
      <c r="M74" s="117" t="str">
        <f>IF($A74="","",IF($J74=0,"n.b.",SUMIFS(STG_ZPMW03!$BL$6:$BL$505,STG_ZPMW03!$B$6:$B$505,$A74)))</f>
        <v/>
      </c>
      <c r="N74" s="117" t="str">
        <f>IF($A74="","",IF($J74=0,"n.b.",SUMIFS(STG_ZPMW03!$BM$6:$BM$505,STG_ZPMW03!$B$6:$B$505,$A74)))</f>
        <v/>
      </c>
      <c r="O74" s="117" t="str">
        <f>IF($A74="","",IF($J74=0,"n.b.",SUMIFS(STG_ZPMW03!$BN$6:$BN$505,STG_ZPMW03!$B$6:$B$505,$A74)))</f>
        <v/>
      </c>
      <c r="P74" s="117" t="str">
        <f>IF($A74="","",IF($J74=0,"n.b.",SUMIFS(STG_ZPMW03!$BO$6:$BO$505,STG_ZPMW03!$B$6:$B$505,$A74)))</f>
        <v/>
      </c>
      <c r="Q74" s="117" t="str">
        <f>IF($A74="","",IF($J74=0,"n.b.",SUMIFS(STG_ZPMW03!$BP$6:$BP$505,STG_ZPMW03!$B$6:$B$505,$A74)))</f>
        <v/>
      </c>
      <c r="R74" s="117" t="str">
        <f>IF($A74="","",IF($J74=0,"n.b.",SUMIFS(STG_ZPMW03!$BQ$6:$BQ$505,STG_ZPMW03!$B$6:$B$505,$A74)))</f>
        <v/>
      </c>
      <c r="S74" s="117" t="str">
        <f>IF($A74="","",IF($J74=0,"n.b.",SUMIFS(STG_ZPMW03!$BR$6:$BR$505,STG_ZPMW03!$B$6:$B$505,$A74)))</f>
        <v/>
      </c>
      <c r="T74" s="117" t="str">
        <f>IF($A74="","",IF($J74=0,"n.b.",SUMIFS(STG_ZPMW03!$BS$6:$BS$505,STG_ZPMW03!$B$6:$B$505,$A74)))</f>
        <v/>
      </c>
      <c r="U74" s="117" t="str">
        <f>IF($A74="","",IF($J74=0,"n.b.",SUMIFS(STG_ZPMW03!$BT$6:$BT$505,STG_ZPMW03!$B$6:$B$505,$A74)))</f>
        <v/>
      </c>
      <c r="V74" s="117" t="str">
        <f>IF($A74="","",IF($J74=0,"n.b.",SUMIFS(STG_ZPMW03!$BU$6:$BU$505,STG_ZPMW03!$B$6:$B$505,$A74)))</f>
        <v/>
      </c>
      <c r="W74" s="117" t="str">
        <f>IF($A74="","",IF($J74=0,"n.b.",SUMIFS(STG_ZPMW03!$BW$6:$BW$505,STG_ZPMW03!$B$6:$B$505,$A74)))</f>
        <v/>
      </c>
      <c r="X74" s="117" t="str">
        <f>IF($A74="","",IF($J74=0,"n.b.",SUMIFS(STG_ZPMW03!$BY$6:$BY$505,STG_ZPMW03!$B$6:$B$505,$A74)))</f>
        <v/>
      </c>
      <c r="Y74" s="117" t="str">
        <f>IF($A74="","",IF($J74=0,"n.b.",SUMIFS(STG_ZPMW03!$CA$6:$CA$505,STG_ZPMW03!$B$6:$B$505,$A74)))</f>
        <v/>
      </c>
      <c r="Z74" s="117" t="str">
        <f>IF($A74="","",IF($J74=0,"n.b.",SUMIFS(STG_ZPMW03!$BV$6:$BV$505,STG_ZPMW03!$B$6:$B$505,$A74)))</f>
        <v/>
      </c>
      <c r="AA74" s="117" t="str">
        <f>IF($A74="","",IF($J74=0,"n.b.",SUMIFS(STG_ZPMW03!$BX$6:$BX$505,STG_ZPMW03!$B$6:$B$505,$A74)))</f>
        <v/>
      </c>
      <c r="AB74" s="117" t="str">
        <f>IF($A74="","",IF($J74=0,"n.b.",SUMIFS(STG_ZPMW03!$BZ$6:$BZ$505,STG_ZPMW03!$B$6:$B$505,$A74)))</f>
        <v/>
      </c>
      <c r="AC74" s="117" t="str">
        <f>IF($A74="","",IF($J74=0,"n.b.",SUMIFS(STG_ZPMW03!$CB$6:$CB$505,STG_ZPMW03!$B$6:$B$505,$A74)))</f>
        <v/>
      </c>
      <c r="AD74" s="117" t="str">
        <f>IF($A74="","",IF($J74=0,"n.b.",SUMIFS(STG_ZPMW03!$CC$6:$CC$505,STG_ZPMW03!$B$6:$B$505,$A74)))</f>
        <v/>
      </c>
      <c r="AE74" s="117" t="str">
        <f>IF($A74="","",IF($J74=0,"n.b.",SUMIFS(STG_ZPMW03!$CE$6:$CE$505,STG_ZPMW03!$B$6:$B$505,$A74)))</f>
        <v/>
      </c>
      <c r="AF74" s="117" t="str">
        <f>IF($A74="","",IF($J74=0,"n.b.",SUMIFS(STG_ZPMW03!$CG$6:$CG$505,STG_ZPMW03!$B$6:$B$505,$A74)))</f>
        <v/>
      </c>
      <c r="AG74" s="117" t="str">
        <f>IF($A74="","",IF($J74=0,"n.b.",SUMIFS(STG_ZPMW03!$CI$6:$CI$505,STG_ZPMW03!$B$6:$B$505,$A74)))</f>
        <v/>
      </c>
      <c r="AH74" s="117" t="str">
        <f>IF($A74="","",IF($J74=0,"n.b.",SUMIFS(STG_ZPMW03!$CK$6:$CK$505,STG_ZPMW03!$B$6:$B$505,$A74)))</f>
        <v/>
      </c>
      <c r="AI74" s="117" t="str">
        <f>IF($A74="","",IF($J74=0,"n.b.",SUMIFS(STG_ZPMW03!$CM$6:$CM$505,STG_ZPMW03!$B$6:$B$505,$A74)))</f>
        <v/>
      </c>
      <c r="AJ74" s="117" t="str">
        <f>IF($A74="","",IF($J74=0,"n.b.",SUMIFS(STG_ZPMW03!$CO$6:$CO$505,STG_ZPMW03!$B$6:$B$505,$A74)))</f>
        <v/>
      </c>
      <c r="AK74" s="117" t="str">
        <f>IF($A74="","",IF($J74=0,"n.b.",SUMIFS(STG_ZPMW03!$CQ$6:$CQ$505,STG_ZPMW03!$B$6:$B$505,$A74)))</f>
        <v/>
      </c>
      <c r="AL74" s="117" t="str">
        <f>IF($A74="","",IF($J74=0,"n.b.",SUMIFS(STG_ZPMW03!$CD$6:$CD$505,STG_ZPMW03!$B$6:$B$505,$A74)))</f>
        <v/>
      </c>
      <c r="AM74" s="117" t="str">
        <f>IF($A74="","",IF($J74=0,"n.b.",SUMIFS(STG_ZPMW03!$CF$6:$CF$505,STG_ZPMW03!$B$6:$B$505,$A74)))</f>
        <v/>
      </c>
      <c r="AN74" s="117" t="str">
        <f>IF($A74="","",IF($J74=0,"n.b.",SUMIFS(STG_ZPMW03!$CH$6:$CH$505,STG_ZPMW03!$B$6:$B$505,$A74)))</f>
        <v/>
      </c>
      <c r="AO74" s="117" t="str">
        <f>IF($A74="","",IF($J74=0,"n.b.",SUMIFS(STG_ZPMW03!$CJ$6:$CJ$505,STG_ZPMW03!$B$6:$B$505,$A74)))</f>
        <v/>
      </c>
      <c r="AP74" s="117" t="str">
        <f>IF($A74="","",IF($J74=0,"n.b.",SUMIFS(STG_ZPMW03!$CL$6:$CL$505,STG_ZPMW03!$B$6:$B$505,$A74)))</f>
        <v/>
      </c>
      <c r="AQ74" s="117" t="str">
        <f>IF($A74="","",IF($J74=0,"n.b.",SUMIFS(STG_ZPMW03!$CN$6:$CN$505,STG_ZPMW03!$B$6:$B$505,$A74)))</f>
        <v/>
      </c>
      <c r="AR74" s="117" t="str">
        <f>IF($A74="","",IF($J74=0,"n.b.",SUMIFS(STG_ZPMW03!$CP$6:$CP$505,STG_ZPMW03!$B$6:$B$505,$A74)))</f>
        <v/>
      </c>
      <c r="AS74" s="117" t="str">
        <f>IF($A74="","",IF($J74=0,"n.b.",SUMIFS(STG_ZPMW03!$CR$6:$CR$505,STG_ZPMW03!$B$6:$B$505,$A74)))</f>
        <v/>
      </c>
      <c r="AT74" s="117" t="str">
        <f>IF($A74="","",IF($K74=0,"n.b.",SUMIFS(STG_Woningetalage!$Q$6:$Q$505,STG_Woningetalage!$B$6:$B$505,$A74)))</f>
        <v/>
      </c>
      <c r="AU74" s="117" t="str">
        <f>IF($A74="","",IF($K74=0,"n.b.",SUMIFS(STG_Woningetalage!$R$6:$R$505,STG_Woningetalage!$B$6:$B$505,$A74)))</f>
        <v/>
      </c>
      <c r="AV74" s="117" t="str">
        <f>IF($A74="","",IF($K74=0,"n.b.",SUMIFS(STG_Woningetalage!$S$6:$S$505,STG_Woningetalage!$B$6:$B$505,$A74)))</f>
        <v/>
      </c>
      <c r="AW74" s="117" t="str">
        <f>IF($A74="","",IF($K74=0,"n.b.",SUMIFS(STG_Woningetalage!$T$6:$T$505,STG_Woningetalage!$B$6:$B$505,$A74)))</f>
        <v/>
      </c>
      <c r="AX74" s="117" t="str">
        <f>IF($A74="","",IF($K74=0,"n.b.",SUMIFS(STG_Woningetalage!$U$6:$U$505,STG_Woningetalage!$B$6:$B$505,$A74)))</f>
        <v/>
      </c>
      <c r="AY74" s="117" t="str">
        <f>IF($A74="","",IF($K74=0,"n.b.",SUMIFS(STG_Woningetalage!$V$6:$V$505,STG_Woningetalage!$B$6:$B$505,$A74)))</f>
        <v/>
      </c>
      <c r="AZ74" s="117" t="str">
        <f>IF($A74="","",IF($K74=0,"n.b.",SUMIFS(STG_Woningetalage!$W$6:$W$505,STG_Woningetalage!$B$6:$B$505,$A74)))</f>
        <v/>
      </c>
      <c r="BA74" s="117" t="str">
        <f>IF($A74="","",IF($K74=0,"n.b.",SUMIFS(STG_Woningetalage!$X$6:$X$505,STG_Woningetalage!$B$6:$B$505,$A74)))</f>
        <v/>
      </c>
      <c r="BB74" s="117" t="str">
        <f>IF($A74="","",IF($K74=0,"n.b.",SUMIFS(STG_Woningetalage!$Y$6:$Y$505,STG_Woningetalage!$B$6:$B$505,$A74)))</f>
        <v/>
      </c>
      <c r="BC74" s="117" t="str">
        <f>IF($A74="","",IF($K74=0,"n.b.",SUMIFS(STG_Woningetalage!$Z$6:$Z$505,STG_Woningetalage!$B$6:$B$505,$A74)))</f>
        <v/>
      </c>
      <c r="BD74" s="117" t="str">
        <f>IF($A74="","",IF($K74=0,"n.b.",SUMIFS(STG_Woningetalage!$AA$6:$AA$505,STG_Woningetalage!$B$6:$B$505,$A74)))</f>
        <v/>
      </c>
      <c r="BE74" s="117" t="str">
        <f>IF($A74="","",IF($K74=0,"n.b.",SUMIFS(STG_Woningetalage!$AB$6:$AB$505,STG_Woningetalage!$B$6:$B$505,$A74)))</f>
        <v/>
      </c>
      <c r="BF74" s="117" t="str">
        <f>IF($A74="","",IF($K74=0,"n.b.",SUMIFS(STG_Woningetalage!$AC$6:$AC$505,STG_Woningetalage!$B$6:$B$505,$A74)))</f>
        <v/>
      </c>
      <c r="BG74" s="117" t="str">
        <f>IF($A74="","",IF($K74=0,"n.b.",SUMIFS(STG_Woningetalage!$AD$6:$AD$505,STG_Woningetalage!$B$6:$B$505,$A74)))</f>
        <v/>
      </c>
      <c r="BH74" s="117" t="str">
        <f>IF($A74="","",IF($K74=0,"n.b.",SUMIFS(STG_Woningetalage!$AE$6:$AE$505,STG_Woningetalage!$B$6:$B$505,$A74)))</f>
        <v/>
      </c>
      <c r="BI74" s="117" t="str">
        <f>IF($A74="","",IF($K74=0,"n.b.",SUMIFS(STG_Woningetalage!$AF$6:$AF$505,STG_Woningetalage!$B$6:$B$505,$A74)))</f>
        <v/>
      </c>
      <c r="BJ74" s="117" t="str">
        <f>IF($A74="","",IF($K74=0,"n.b.",SUMIFS(STG_Woningetalage!$AG$6:$AG$505,STG_Woningetalage!$B$6:$B$505,$A74)))</f>
        <v/>
      </c>
      <c r="BK74" s="117" t="str">
        <f>IF($A74="","",IF($K74=0,"n.b.",SUMIFS(STG_Woningetalage!$AH$6:$AH$505,STG_Woningetalage!$B$6:$B$505,$A74)))</f>
        <v/>
      </c>
      <c r="BL74" s="117" t="str">
        <f>IF($A74="","",IF($K74=0,"n.b.",SUMIFS(STG_Woningetalage!$AI$6:$AI$505,STG_Woningetalage!$B$6:$B$505,$A74)))</f>
        <v/>
      </c>
      <c r="BM74" s="117" t="str">
        <f>IF($A74="","",IF($K74=0,"n.b.",SUMIFS(STG_Woningetalage!$AJ$6:$AJ$505,STG_Woningetalage!$B$6:$B$505,$A74)))</f>
        <v/>
      </c>
      <c r="BN74" s="117" t="str">
        <f>IF($A74="","",IF($K74=0,"n.b.",SUMIFS(STG_Woningetalage!$AK$6:$AK$505,STG_Woningetalage!$B$6:$B$505,$A74)))</f>
        <v/>
      </c>
      <c r="BO74" s="117" t="str">
        <f>IF($A74="","",IF($K74=0,"n.b.",SUMIFS(STG_Woningetalage!$AL$6:$AL$505,STG_Woningetalage!$B$6:$B$505,$A74)))</f>
        <v/>
      </c>
      <c r="BP74" s="117" t="str">
        <f>IF($A74="","",IF($K74=0,"n.b.",SUMIFS(STG_Woningetalage!$AM$6:$AM$505,STG_Woningetalage!$B$6:$B$505,$A74)))</f>
        <v/>
      </c>
      <c r="BQ74" s="117" t="str">
        <f>IF($A74="","",IF($K74=0,"n.b.",SUMIFS(STG_Woningetalage!$BE$6:$BE$505,STG_Woningetalage!$B$6:$B$505,$A74)))</f>
        <v/>
      </c>
      <c r="BR74" s="117" t="str">
        <f>IF($A74="","",IF($K74=0,"n.b.",SUMIFS(STG_Woningetalage!$BF$6:$BF$505,STG_Woningetalage!$B$6:$B$505,$A74)))</f>
        <v/>
      </c>
      <c r="BS74" s="117" t="str">
        <f>IF($A74="","",IF($K74=0,"n.b.",SUMIFS(STG_Woningetalage!$BG$6:$BG$505,STG_Woningetalage!$B$6:$B$505,$A74)))</f>
        <v/>
      </c>
      <c r="BT74" s="117" t="str">
        <f>IF($A74="","",IF($K74=0,"n.b.",SUMIFS(STG_Woningetalage!$BH$6:$BH$505,STG_Woningetalage!$B$6:$B$505,$A74)))</f>
        <v/>
      </c>
      <c r="BU74" s="117" t="str">
        <f>IF($A74="","",IF($K74=0,"n.b.",SUMIFS(STG_Woningetalage!$BI$6:$BI$505,STG_Woningetalage!$B$6:$B$505,$A74)))</f>
        <v/>
      </c>
      <c r="BV74" s="117" t="str">
        <f>IF($A74="","",IF($K74=0,"n.b.",SUMIFS(STG_Woningetalage!$BJ$6:$BJ$505,STG_Woningetalage!$B$6:$B$505,$A74)))</f>
        <v/>
      </c>
      <c r="BW74" s="117" t="str">
        <f>IF($A74="","",IF($K74=0,"n.b.",SUMIFS(STG_Woningetalage!$AR$6:$AR$505,STG_Woningetalage!$B$6:$B$505,$A74)))</f>
        <v/>
      </c>
      <c r="BX74" s="117" t="str">
        <f>IF($A74="","",IF($K74=0,"n.b.",SUMIFS(STG_Woningetalage!$AS$6:$AS$505,STG_Woningetalage!$B$6:$B$505,$A74)))</f>
        <v/>
      </c>
      <c r="BY74" s="117" t="str">
        <f>IF($A74="","",IF($K74=0,"n.b.",SUMIFS(STG_Woningetalage!$AN$6:$AN$505,STG_Woningetalage!$B$6:$B$505,$A74)))</f>
        <v/>
      </c>
      <c r="BZ74" s="117" t="str">
        <f>IF($A74="","",IF($K74=0,"n.b.",SUMIFS(STG_Woningetalage!$AO$6:$AO$505,STG_Woningetalage!$B$6:$B$505,$A74)))</f>
        <v/>
      </c>
      <c r="CA74" s="117" t="str">
        <f>IF($A74="","",IF($K74=0,"n.b.",SUMIFS(STG_Woningetalage!$AP$6:$AP$505,STG_Woningetalage!$B$6:$B$505,$A74)))</f>
        <v/>
      </c>
      <c r="CB74" s="117" t="str">
        <f>IF($A74="","",IF($K74=0,"n.b.",SUMIFS(STG_Woningetalage!$AQ$6:$AQ$505,STG_Woningetalage!$B$6:$B$505,$A74)))</f>
        <v/>
      </c>
      <c r="CC74" s="117" t="str">
        <f>IF($A74="","",IF($K74=0,"n.b.",SUMIFS(STG_Woningetalage!$AU$6:$AU$505,STG_Woningetalage!$B$6:$B$505,$A74)))</f>
        <v/>
      </c>
      <c r="CD74" s="92" t="str">
        <f>IF($A74="","",IFERROR(INDEX(STG_ZPMW03!$L$6:$L$505,MATCH($A74,STG_ZPMW03!$B$6:$B$505,0)),"n.b."))</f>
        <v/>
      </c>
      <c r="CE74" s="92" t="str">
        <f>IF($A74="","",IFERROR(INDEX(STG_ZPMW03!$K$6:$K$505,MATCH($A74,STG_ZPMW03!$B$6:$B$505,0)),"n.b."))</f>
        <v/>
      </c>
      <c r="CF74" s="92" t="str">
        <f>IF($A74="","",IFERROR(INDEX(STG_ZPMW03!$BH$6:$BH$505,MATCH($A74,STG_ZPMW03!$B$6:$B$505,0)),"n.b."))</f>
        <v/>
      </c>
      <c r="CG74" s="92" t="str">
        <f>IF($A74="","",IFERROR(INDEX(STG_ZPMW03!$BI$6:$BI$505,MATCH($A74,STG_ZPMW03!$B$6:$B$505,0)),"n.b."))</f>
        <v/>
      </c>
      <c r="CH74" s="92" t="str">
        <f>IF($A74="","",IFERROR(INDEX(STG_ZPMW03!$BJ$6:$BJ$505,MATCH($A74,STG_ZPMW03!$B$6:$B$505,0)),"n.b."))</f>
        <v/>
      </c>
      <c r="CI74" s="92" t="str">
        <f>IF($A74="","",IFERROR(INDEX(STG_ZPMW03!$BF$6:$BF$505,MATCH($A74,STG_ZPMW03!$B$6:$B$505,0)),"n.b."))</f>
        <v/>
      </c>
      <c r="CJ74" s="92" t="str">
        <f>IF($A74="","",IFERROR(INDEX(STG_ZPMW03!$BG$6:$BG$505,MATCH($A74,STG_ZPMW03!$B$6:$B$505,0)),"n.b."))</f>
        <v/>
      </c>
      <c r="CK74" s="92" t="str">
        <f>IF($A74="","",IFERROR(INDEX(STG_ZPMW03!$H$6:$H$505,MATCH($A74,STG_ZPMW03!$B$6:$B$505,0)),"n.b."))</f>
        <v/>
      </c>
      <c r="CL74" s="92" t="str">
        <f>IF($A74="","",IFERROR(INDEX(STG_ZPMW03!$E$6:$E$505,MATCH($A74,STG_ZPMW03!$B$6:$B$505,0)),"n.b."))</f>
        <v/>
      </c>
      <c r="CM74" s="92" t="str">
        <f>IF($A74="","",IFERROR(INDEX(STG_ZPMW03!$G$6:$G$505,MATCH($A74,STG_ZPMW03!$B$6:$B$505,0)),"n.b."))</f>
        <v/>
      </c>
      <c r="CN74" s="92" t="str">
        <f>IF($A74="","",IFERROR(INDEX(STG_Woningetalage!$N$6:$N$505,MATCH($A74,STG_Woningetalage!$B$6:$B$505,0)),"n.b."))</f>
        <v/>
      </c>
      <c r="CO74" s="92" t="str">
        <f>IF($A74="","",IFERROR(INDEX(STG_Woningetalage!$P$6:$P$505,MATCH($A74,STG_Woningetalage!$B$6:$B$505,0)),"n.b."))</f>
        <v/>
      </c>
      <c r="CP74" s="118" t="str">
        <f>IF($A74="","",IF(AND(ISNUMBER(AT74),ISNUMBER(F74)),IF(F74&gt;0,AT74/(F74/100),"n.b."),"n.b."))</f>
        <v/>
      </c>
      <c r="CQ74" s="116" t="str">
        <f>IF($A74="","",IF(ISNUMBER(Q74),IF(Q74&lt;0,1,0),0))</f>
        <v/>
      </c>
      <c r="CR74" s="116" t="str">
        <f>IF(CQ74=1,COUNTIF($CQ$6:CQ74,1),"")</f>
        <v/>
      </c>
      <c r="CS74" s="116" t="str">
        <f>IF(AND($A74&lt;&gt;"",$J74=0),COUNTIFS($A$6:$A74,"?*",$J$6:$J74,0),"")</f>
        <v/>
      </c>
      <c r="CT74" s="119" t="str">
        <f>IF($A74="","",IF(AND(ISNUMBER(Q74),ISNUMBER(P74)),IF(P74&lt;&gt;0,Q74/P74,"n.b."),"n.b."))</f>
        <v/>
      </c>
    </row>
    <row r="75">
      <c r="A75" s="92" t="str">
        <f>IF(Mapping!$A74="","",Mapping!$A74)</f>
        <v/>
      </c>
      <c r="B75" s="92" t="str">
        <f>IF(Mapping!$B74="","",Mapping!$B74)</f>
        <v/>
      </c>
      <c r="C75" s="92" t="str">
        <f>IF(Mapping!$C74="","",Mapping!$C74)</f>
        <v/>
      </c>
      <c r="D75" s="92" t="str">
        <f>IF(Mapping!$F74="","",Mapping!$F74)</f>
        <v/>
      </c>
      <c r="E75" s="92" t="str">
        <f>IF(Mapping!$H74="","",Mapping!$H74)</f>
        <v/>
      </c>
      <c r="F75" s="92" t="str">
        <f>IF(Mapping!$E74="","",Mapping!$E74)</f>
        <v/>
      </c>
      <c r="G75" s="92" t="str">
        <f>IF(Mapping!$G74="","",Mapping!$G74)</f>
        <v/>
      </c>
      <c r="H75" s="92" t="str">
        <f>IF(Mapping!$D74="","",Mapping!$D74)</f>
        <v/>
      </c>
      <c r="I75" s="92" t="str">
        <f>IF($A75="","",IFERROR(INDEX(STG_ZPMW03!$C$6:$C$505,MATCH($A75,STG_ZPMW03!$B$6:$B$505,0)),"n.b."))</f>
        <v/>
      </c>
      <c r="J75" s="116" t="str">
        <f>IF($A75="","",COUNTIF(STG_ZPMW03!$B$6:$B$505,$A75))</f>
        <v/>
      </c>
      <c r="K75" s="116" t="str">
        <f>IF($A75="","",COUNTIF(STG_Woningetalage!$B$6:$B$505,$A75))</f>
        <v/>
      </c>
      <c r="L75" s="117" t="str">
        <f>IF($A75="","",IF($J75=0,"n.b.",SUMIFS(STG_ZPMW03!$BK$6:$BK$505,STG_ZPMW03!$B$6:$B$505,$A75)))</f>
        <v/>
      </c>
      <c r="M75" s="117" t="str">
        <f>IF($A75="","",IF($J75=0,"n.b.",SUMIFS(STG_ZPMW03!$BL$6:$BL$505,STG_ZPMW03!$B$6:$B$505,$A75)))</f>
        <v/>
      </c>
      <c r="N75" s="117" t="str">
        <f>IF($A75="","",IF($J75=0,"n.b.",SUMIFS(STG_ZPMW03!$BM$6:$BM$505,STG_ZPMW03!$B$6:$B$505,$A75)))</f>
        <v/>
      </c>
      <c r="O75" s="117" t="str">
        <f>IF($A75="","",IF($J75=0,"n.b.",SUMIFS(STG_ZPMW03!$BN$6:$BN$505,STG_ZPMW03!$B$6:$B$505,$A75)))</f>
        <v/>
      </c>
      <c r="P75" s="117" t="str">
        <f>IF($A75="","",IF($J75=0,"n.b.",SUMIFS(STG_ZPMW03!$BO$6:$BO$505,STG_ZPMW03!$B$6:$B$505,$A75)))</f>
        <v/>
      </c>
      <c r="Q75" s="117" t="str">
        <f>IF($A75="","",IF($J75=0,"n.b.",SUMIFS(STG_ZPMW03!$BP$6:$BP$505,STG_ZPMW03!$B$6:$B$505,$A75)))</f>
        <v/>
      </c>
      <c r="R75" s="117" t="str">
        <f>IF($A75="","",IF($J75=0,"n.b.",SUMIFS(STG_ZPMW03!$BQ$6:$BQ$505,STG_ZPMW03!$B$6:$B$505,$A75)))</f>
        <v/>
      </c>
      <c r="S75" s="117" t="str">
        <f>IF($A75="","",IF($J75=0,"n.b.",SUMIFS(STG_ZPMW03!$BR$6:$BR$505,STG_ZPMW03!$B$6:$B$505,$A75)))</f>
        <v/>
      </c>
      <c r="T75" s="117" t="str">
        <f>IF($A75="","",IF($J75=0,"n.b.",SUMIFS(STG_ZPMW03!$BS$6:$BS$505,STG_ZPMW03!$B$6:$B$505,$A75)))</f>
        <v/>
      </c>
      <c r="U75" s="117" t="str">
        <f>IF($A75="","",IF($J75=0,"n.b.",SUMIFS(STG_ZPMW03!$BT$6:$BT$505,STG_ZPMW03!$B$6:$B$505,$A75)))</f>
        <v/>
      </c>
      <c r="V75" s="117" t="str">
        <f>IF($A75="","",IF($J75=0,"n.b.",SUMIFS(STG_ZPMW03!$BU$6:$BU$505,STG_ZPMW03!$B$6:$B$505,$A75)))</f>
        <v/>
      </c>
      <c r="W75" s="117" t="str">
        <f>IF($A75="","",IF($J75=0,"n.b.",SUMIFS(STG_ZPMW03!$BW$6:$BW$505,STG_ZPMW03!$B$6:$B$505,$A75)))</f>
        <v/>
      </c>
      <c r="X75" s="117" t="str">
        <f>IF($A75="","",IF($J75=0,"n.b.",SUMIFS(STG_ZPMW03!$BY$6:$BY$505,STG_ZPMW03!$B$6:$B$505,$A75)))</f>
        <v/>
      </c>
      <c r="Y75" s="117" t="str">
        <f>IF($A75="","",IF($J75=0,"n.b.",SUMIFS(STG_ZPMW03!$CA$6:$CA$505,STG_ZPMW03!$B$6:$B$505,$A75)))</f>
        <v/>
      </c>
      <c r="Z75" s="117" t="str">
        <f>IF($A75="","",IF($J75=0,"n.b.",SUMIFS(STG_ZPMW03!$BV$6:$BV$505,STG_ZPMW03!$B$6:$B$505,$A75)))</f>
        <v/>
      </c>
      <c r="AA75" s="117" t="str">
        <f>IF($A75="","",IF($J75=0,"n.b.",SUMIFS(STG_ZPMW03!$BX$6:$BX$505,STG_ZPMW03!$B$6:$B$505,$A75)))</f>
        <v/>
      </c>
      <c r="AB75" s="117" t="str">
        <f>IF($A75="","",IF($J75=0,"n.b.",SUMIFS(STG_ZPMW03!$BZ$6:$BZ$505,STG_ZPMW03!$B$6:$B$505,$A75)))</f>
        <v/>
      </c>
      <c r="AC75" s="117" t="str">
        <f>IF($A75="","",IF($J75=0,"n.b.",SUMIFS(STG_ZPMW03!$CB$6:$CB$505,STG_ZPMW03!$B$6:$B$505,$A75)))</f>
        <v/>
      </c>
      <c r="AD75" s="117" t="str">
        <f>IF($A75="","",IF($J75=0,"n.b.",SUMIFS(STG_ZPMW03!$CC$6:$CC$505,STG_ZPMW03!$B$6:$B$505,$A75)))</f>
        <v/>
      </c>
      <c r="AE75" s="117" t="str">
        <f>IF($A75="","",IF($J75=0,"n.b.",SUMIFS(STG_ZPMW03!$CE$6:$CE$505,STG_ZPMW03!$B$6:$B$505,$A75)))</f>
        <v/>
      </c>
      <c r="AF75" s="117" t="str">
        <f>IF($A75="","",IF($J75=0,"n.b.",SUMIFS(STG_ZPMW03!$CG$6:$CG$505,STG_ZPMW03!$B$6:$B$505,$A75)))</f>
        <v/>
      </c>
      <c r="AG75" s="117" t="str">
        <f>IF($A75="","",IF($J75=0,"n.b.",SUMIFS(STG_ZPMW03!$CI$6:$CI$505,STG_ZPMW03!$B$6:$B$505,$A75)))</f>
        <v/>
      </c>
      <c r="AH75" s="117" t="str">
        <f>IF($A75="","",IF($J75=0,"n.b.",SUMIFS(STG_ZPMW03!$CK$6:$CK$505,STG_ZPMW03!$B$6:$B$505,$A75)))</f>
        <v/>
      </c>
      <c r="AI75" s="117" t="str">
        <f>IF($A75="","",IF($J75=0,"n.b.",SUMIFS(STG_ZPMW03!$CM$6:$CM$505,STG_ZPMW03!$B$6:$B$505,$A75)))</f>
        <v/>
      </c>
      <c r="AJ75" s="117" t="str">
        <f>IF($A75="","",IF($J75=0,"n.b.",SUMIFS(STG_ZPMW03!$CO$6:$CO$505,STG_ZPMW03!$B$6:$B$505,$A75)))</f>
        <v/>
      </c>
      <c r="AK75" s="117" t="str">
        <f>IF($A75="","",IF($J75=0,"n.b.",SUMIFS(STG_ZPMW03!$CQ$6:$CQ$505,STG_ZPMW03!$B$6:$B$505,$A75)))</f>
        <v/>
      </c>
      <c r="AL75" s="117" t="str">
        <f>IF($A75="","",IF($J75=0,"n.b.",SUMIFS(STG_ZPMW03!$CD$6:$CD$505,STG_ZPMW03!$B$6:$B$505,$A75)))</f>
        <v/>
      </c>
      <c r="AM75" s="117" t="str">
        <f>IF($A75="","",IF($J75=0,"n.b.",SUMIFS(STG_ZPMW03!$CF$6:$CF$505,STG_ZPMW03!$B$6:$B$505,$A75)))</f>
        <v/>
      </c>
      <c r="AN75" s="117" t="str">
        <f>IF($A75="","",IF($J75=0,"n.b.",SUMIFS(STG_ZPMW03!$CH$6:$CH$505,STG_ZPMW03!$B$6:$B$505,$A75)))</f>
        <v/>
      </c>
      <c r="AO75" s="117" t="str">
        <f>IF($A75="","",IF($J75=0,"n.b.",SUMIFS(STG_ZPMW03!$CJ$6:$CJ$505,STG_ZPMW03!$B$6:$B$505,$A75)))</f>
        <v/>
      </c>
      <c r="AP75" s="117" t="str">
        <f>IF($A75="","",IF($J75=0,"n.b.",SUMIFS(STG_ZPMW03!$CL$6:$CL$505,STG_ZPMW03!$B$6:$B$505,$A75)))</f>
        <v/>
      </c>
      <c r="AQ75" s="117" t="str">
        <f>IF($A75="","",IF($J75=0,"n.b.",SUMIFS(STG_ZPMW03!$CN$6:$CN$505,STG_ZPMW03!$B$6:$B$505,$A75)))</f>
        <v/>
      </c>
      <c r="AR75" s="117" t="str">
        <f>IF($A75="","",IF($J75=0,"n.b.",SUMIFS(STG_ZPMW03!$CP$6:$CP$505,STG_ZPMW03!$B$6:$B$505,$A75)))</f>
        <v/>
      </c>
      <c r="AS75" s="117" t="str">
        <f>IF($A75="","",IF($J75=0,"n.b.",SUMIFS(STG_ZPMW03!$CR$6:$CR$505,STG_ZPMW03!$B$6:$B$505,$A75)))</f>
        <v/>
      </c>
      <c r="AT75" s="117" t="str">
        <f>IF($A75="","",IF($K75=0,"n.b.",SUMIFS(STG_Woningetalage!$Q$6:$Q$505,STG_Woningetalage!$B$6:$B$505,$A75)))</f>
        <v/>
      </c>
      <c r="AU75" s="117" t="str">
        <f>IF($A75="","",IF($K75=0,"n.b.",SUMIFS(STG_Woningetalage!$R$6:$R$505,STG_Woningetalage!$B$6:$B$505,$A75)))</f>
        <v/>
      </c>
      <c r="AV75" s="117" t="str">
        <f>IF($A75="","",IF($K75=0,"n.b.",SUMIFS(STG_Woningetalage!$S$6:$S$505,STG_Woningetalage!$B$6:$B$505,$A75)))</f>
        <v/>
      </c>
      <c r="AW75" s="117" t="str">
        <f>IF($A75="","",IF($K75=0,"n.b.",SUMIFS(STG_Woningetalage!$T$6:$T$505,STG_Woningetalage!$B$6:$B$505,$A75)))</f>
        <v/>
      </c>
      <c r="AX75" s="117" t="str">
        <f>IF($A75="","",IF($K75=0,"n.b.",SUMIFS(STG_Woningetalage!$U$6:$U$505,STG_Woningetalage!$B$6:$B$505,$A75)))</f>
        <v/>
      </c>
      <c r="AY75" s="117" t="str">
        <f>IF($A75="","",IF($K75=0,"n.b.",SUMIFS(STG_Woningetalage!$V$6:$V$505,STG_Woningetalage!$B$6:$B$505,$A75)))</f>
        <v/>
      </c>
      <c r="AZ75" s="117" t="str">
        <f>IF($A75="","",IF($K75=0,"n.b.",SUMIFS(STG_Woningetalage!$W$6:$W$505,STG_Woningetalage!$B$6:$B$505,$A75)))</f>
        <v/>
      </c>
      <c r="BA75" s="117" t="str">
        <f>IF($A75="","",IF($K75=0,"n.b.",SUMIFS(STG_Woningetalage!$X$6:$X$505,STG_Woningetalage!$B$6:$B$505,$A75)))</f>
        <v/>
      </c>
      <c r="BB75" s="117" t="str">
        <f>IF($A75="","",IF($K75=0,"n.b.",SUMIFS(STG_Woningetalage!$Y$6:$Y$505,STG_Woningetalage!$B$6:$B$505,$A75)))</f>
        <v/>
      </c>
      <c r="BC75" s="117" t="str">
        <f>IF($A75="","",IF($K75=0,"n.b.",SUMIFS(STG_Woningetalage!$Z$6:$Z$505,STG_Woningetalage!$B$6:$B$505,$A75)))</f>
        <v/>
      </c>
      <c r="BD75" s="117" t="str">
        <f>IF($A75="","",IF($K75=0,"n.b.",SUMIFS(STG_Woningetalage!$AA$6:$AA$505,STG_Woningetalage!$B$6:$B$505,$A75)))</f>
        <v/>
      </c>
      <c r="BE75" s="117" t="str">
        <f>IF($A75="","",IF($K75=0,"n.b.",SUMIFS(STG_Woningetalage!$AB$6:$AB$505,STG_Woningetalage!$B$6:$B$505,$A75)))</f>
        <v/>
      </c>
      <c r="BF75" s="117" t="str">
        <f>IF($A75="","",IF($K75=0,"n.b.",SUMIFS(STG_Woningetalage!$AC$6:$AC$505,STG_Woningetalage!$B$6:$B$505,$A75)))</f>
        <v/>
      </c>
      <c r="BG75" s="117" t="str">
        <f>IF($A75="","",IF($K75=0,"n.b.",SUMIFS(STG_Woningetalage!$AD$6:$AD$505,STG_Woningetalage!$B$6:$B$505,$A75)))</f>
        <v/>
      </c>
      <c r="BH75" s="117" t="str">
        <f>IF($A75="","",IF($K75=0,"n.b.",SUMIFS(STG_Woningetalage!$AE$6:$AE$505,STG_Woningetalage!$B$6:$B$505,$A75)))</f>
        <v/>
      </c>
      <c r="BI75" s="117" t="str">
        <f>IF($A75="","",IF($K75=0,"n.b.",SUMIFS(STG_Woningetalage!$AF$6:$AF$505,STG_Woningetalage!$B$6:$B$505,$A75)))</f>
        <v/>
      </c>
      <c r="BJ75" s="117" t="str">
        <f>IF($A75="","",IF($K75=0,"n.b.",SUMIFS(STG_Woningetalage!$AG$6:$AG$505,STG_Woningetalage!$B$6:$B$505,$A75)))</f>
        <v/>
      </c>
      <c r="BK75" s="117" t="str">
        <f>IF($A75="","",IF($K75=0,"n.b.",SUMIFS(STG_Woningetalage!$AH$6:$AH$505,STG_Woningetalage!$B$6:$B$505,$A75)))</f>
        <v/>
      </c>
      <c r="BL75" s="117" t="str">
        <f>IF($A75="","",IF($K75=0,"n.b.",SUMIFS(STG_Woningetalage!$AI$6:$AI$505,STG_Woningetalage!$B$6:$B$505,$A75)))</f>
        <v/>
      </c>
      <c r="BM75" s="117" t="str">
        <f>IF($A75="","",IF($K75=0,"n.b.",SUMIFS(STG_Woningetalage!$AJ$6:$AJ$505,STG_Woningetalage!$B$6:$B$505,$A75)))</f>
        <v/>
      </c>
      <c r="BN75" s="117" t="str">
        <f>IF($A75="","",IF($K75=0,"n.b.",SUMIFS(STG_Woningetalage!$AK$6:$AK$505,STG_Woningetalage!$B$6:$B$505,$A75)))</f>
        <v/>
      </c>
      <c r="BO75" s="117" t="str">
        <f>IF($A75="","",IF($K75=0,"n.b.",SUMIFS(STG_Woningetalage!$AL$6:$AL$505,STG_Woningetalage!$B$6:$B$505,$A75)))</f>
        <v/>
      </c>
      <c r="BP75" s="117" t="str">
        <f>IF($A75="","",IF($K75=0,"n.b.",SUMIFS(STG_Woningetalage!$AM$6:$AM$505,STG_Woningetalage!$B$6:$B$505,$A75)))</f>
        <v/>
      </c>
      <c r="BQ75" s="117" t="str">
        <f>IF($A75="","",IF($K75=0,"n.b.",SUMIFS(STG_Woningetalage!$BE$6:$BE$505,STG_Woningetalage!$B$6:$B$505,$A75)))</f>
        <v/>
      </c>
      <c r="BR75" s="117" t="str">
        <f>IF($A75="","",IF($K75=0,"n.b.",SUMIFS(STG_Woningetalage!$BF$6:$BF$505,STG_Woningetalage!$B$6:$B$505,$A75)))</f>
        <v/>
      </c>
      <c r="BS75" s="117" t="str">
        <f>IF($A75="","",IF($K75=0,"n.b.",SUMIFS(STG_Woningetalage!$BG$6:$BG$505,STG_Woningetalage!$B$6:$B$505,$A75)))</f>
        <v/>
      </c>
      <c r="BT75" s="117" t="str">
        <f>IF($A75="","",IF($K75=0,"n.b.",SUMIFS(STG_Woningetalage!$BH$6:$BH$505,STG_Woningetalage!$B$6:$B$505,$A75)))</f>
        <v/>
      </c>
      <c r="BU75" s="117" t="str">
        <f>IF($A75="","",IF($K75=0,"n.b.",SUMIFS(STG_Woningetalage!$BI$6:$BI$505,STG_Woningetalage!$B$6:$B$505,$A75)))</f>
        <v/>
      </c>
      <c r="BV75" s="117" t="str">
        <f>IF($A75="","",IF($K75=0,"n.b.",SUMIFS(STG_Woningetalage!$BJ$6:$BJ$505,STG_Woningetalage!$B$6:$B$505,$A75)))</f>
        <v/>
      </c>
      <c r="BW75" s="117" t="str">
        <f>IF($A75="","",IF($K75=0,"n.b.",SUMIFS(STG_Woningetalage!$AR$6:$AR$505,STG_Woningetalage!$B$6:$B$505,$A75)))</f>
        <v/>
      </c>
      <c r="BX75" s="117" t="str">
        <f>IF($A75="","",IF($K75=0,"n.b.",SUMIFS(STG_Woningetalage!$AS$6:$AS$505,STG_Woningetalage!$B$6:$B$505,$A75)))</f>
        <v/>
      </c>
      <c r="BY75" s="117" t="str">
        <f>IF($A75="","",IF($K75=0,"n.b.",SUMIFS(STG_Woningetalage!$AN$6:$AN$505,STG_Woningetalage!$B$6:$B$505,$A75)))</f>
        <v/>
      </c>
      <c r="BZ75" s="117" t="str">
        <f>IF($A75="","",IF($K75=0,"n.b.",SUMIFS(STG_Woningetalage!$AO$6:$AO$505,STG_Woningetalage!$B$6:$B$505,$A75)))</f>
        <v/>
      </c>
      <c r="CA75" s="117" t="str">
        <f>IF($A75="","",IF($K75=0,"n.b.",SUMIFS(STG_Woningetalage!$AP$6:$AP$505,STG_Woningetalage!$B$6:$B$505,$A75)))</f>
        <v/>
      </c>
      <c r="CB75" s="117" t="str">
        <f>IF($A75="","",IF($K75=0,"n.b.",SUMIFS(STG_Woningetalage!$AQ$6:$AQ$505,STG_Woningetalage!$B$6:$B$505,$A75)))</f>
        <v/>
      </c>
      <c r="CC75" s="117" t="str">
        <f>IF($A75="","",IF($K75=0,"n.b.",SUMIFS(STG_Woningetalage!$AU$6:$AU$505,STG_Woningetalage!$B$6:$B$505,$A75)))</f>
        <v/>
      </c>
      <c r="CD75" s="92" t="str">
        <f>IF($A75="","",IFERROR(INDEX(STG_ZPMW03!$L$6:$L$505,MATCH($A75,STG_ZPMW03!$B$6:$B$505,0)),"n.b."))</f>
        <v/>
      </c>
      <c r="CE75" s="92" t="str">
        <f>IF($A75="","",IFERROR(INDEX(STG_ZPMW03!$K$6:$K$505,MATCH($A75,STG_ZPMW03!$B$6:$B$505,0)),"n.b."))</f>
        <v/>
      </c>
      <c r="CF75" s="92" t="str">
        <f>IF($A75="","",IFERROR(INDEX(STG_ZPMW03!$BH$6:$BH$505,MATCH($A75,STG_ZPMW03!$B$6:$B$505,0)),"n.b."))</f>
        <v/>
      </c>
      <c r="CG75" s="92" t="str">
        <f>IF($A75="","",IFERROR(INDEX(STG_ZPMW03!$BI$6:$BI$505,MATCH($A75,STG_ZPMW03!$B$6:$B$505,0)),"n.b."))</f>
        <v/>
      </c>
      <c r="CH75" s="92" t="str">
        <f>IF($A75="","",IFERROR(INDEX(STG_ZPMW03!$BJ$6:$BJ$505,MATCH($A75,STG_ZPMW03!$B$6:$B$505,0)),"n.b."))</f>
        <v/>
      </c>
      <c r="CI75" s="92" t="str">
        <f>IF($A75="","",IFERROR(INDEX(STG_ZPMW03!$BF$6:$BF$505,MATCH($A75,STG_ZPMW03!$B$6:$B$505,0)),"n.b."))</f>
        <v/>
      </c>
      <c r="CJ75" s="92" t="str">
        <f>IF($A75="","",IFERROR(INDEX(STG_ZPMW03!$BG$6:$BG$505,MATCH($A75,STG_ZPMW03!$B$6:$B$505,0)),"n.b."))</f>
        <v/>
      </c>
      <c r="CK75" s="92" t="str">
        <f>IF($A75="","",IFERROR(INDEX(STG_ZPMW03!$H$6:$H$505,MATCH($A75,STG_ZPMW03!$B$6:$B$505,0)),"n.b."))</f>
        <v/>
      </c>
      <c r="CL75" s="92" t="str">
        <f>IF($A75="","",IFERROR(INDEX(STG_ZPMW03!$E$6:$E$505,MATCH($A75,STG_ZPMW03!$B$6:$B$505,0)),"n.b."))</f>
        <v/>
      </c>
      <c r="CM75" s="92" t="str">
        <f>IF($A75="","",IFERROR(INDEX(STG_ZPMW03!$G$6:$G$505,MATCH($A75,STG_ZPMW03!$B$6:$B$505,0)),"n.b."))</f>
        <v/>
      </c>
      <c r="CN75" s="92" t="str">
        <f>IF($A75="","",IFERROR(INDEX(STG_Woningetalage!$N$6:$N$505,MATCH($A75,STG_Woningetalage!$B$6:$B$505,0)),"n.b."))</f>
        <v/>
      </c>
      <c r="CO75" s="92" t="str">
        <f>IF($A75="","",IFERROR(INDEX(STG_Woningetalage!$P$6:$P$505,MATCH($A75,STG_Woningetalage!$B$6:$B$505,0)),"n.b."))</f>
        <v/>
      </c>
      <c r="CP75" s="118" t="str">
        <f>IF($A75="","",IF(AND(ISNUMBER(AT75),ISNUMBER(F75)),IF(F75&gt;0,AT75/(F75/100),"n.b."),"n.b."))</f>
        <v/>
      </c>
      <c r="CQ75" s="116" t="str">
        <f>IF($A75="","",IF(ISNUMBER(Q75),IF(Q75&lt;0,1,0),0))</f>
        <v/>
      </c>
      <c r="CR75" s="116" t="str">
        <f>IF(CQ75=1,COUNTIF($CQ$6:CQ75,1),"")</f>
        <v/>
      </c>
      <c r="CS75" s="116" t="str">
        <f>IF(AND($A75&lt;&gt;"",$J75=0),COUNTIFS($A$6:$A75,"?*",$J$6:$J75,0),"")</f>
        <v/>
      </c>
      <c r="CT75" s="119" t="str">
        <f>IF($A75="","",IF(AND(ISNUMBER(Q75),ISNUMBER(P75)),IF(P75&lt;&gt;0,Q75/P75,"n.b."),"n.b."))</f>
        <v/>
      </c>
    </row>
    <row r="76">
      <c r="A76" s="92" t="str">
        <f>IF(Mapping!$A75="","",Mapping!$A75)</f>
        <v/>
      </c>
      <c r="B76" s="92" t="str">
        <f>IF(Mapping!$B75="","",Mapping!$B75)</f>
        <v/>
      </c>
      <c r="C76" s="92" t="str">
        <f>IF(Mapping!$C75="","",Mapping!$C75)</f>
        <v/>
      </c>
      <c r="D76" s="92" t="str">
        <f>IF(Mapping!$F75="","",Mapping!$F75)</f>
        <v/>
      </c>
      <c r="E76" s="92" t="str">
        <f>IF(Mapping!$H75="","",Mapping!$H75)</f>
        <v/>
      </c>
      <c r="F76" s="92" t="str">
        <f>IF(Mapping!$E75="","",Mapping!$E75)</f>
        <v/>
      </c>
      <c r="G76" s="92" t="str">
        <f>IF(Mapping!$G75="","",Mapping!$G75)</f>
        <v/>
      </c>
      <c r="H76" s="92" t="str">
        <f>IF(Mapping!$D75="","",Mapping!$D75)</f>
        <v/>
      </c>
      <c r="I76" s="92" t="str">
        <f>IF($A76="","",IFERROR(INDEX(STG_ZPMW03!$C$6:$C$505,MATCH($A76,STG_ZPMW03!$B$6:$B$505,0)),"n.b."))</f>
        <v/>
      </c>
      <c r="J76" s="116" t="str">
        <f>IF($A76="","",COUNTIF(STG_ZPMW03!$B$6:$B$505,$A76))</f>
        <v/>
      </c>
      <c r="K76" s="116" t="str">
        <f>IF($A76="","",COUNTIF(STG_Woningetalage!$B$6:$B$505,$A76))</f>
        <v/>
      </c>
      <c r="L76" s="117" t="str">
        <f>IF($A76="","",IF($J76=0,"n.b.",SUMIFS(STG_ZPMW03!$BK$6:$BK$505,STG_ZPMW03!$B$6:$B$505,$A76)))</f>
        <v/>
      </c>
      <c r="M76" s="117" t="str">
        <f>IF($A76="","",IF($J76=0,"n.b.",SUMIFS(STG_ZPMW03!$BL$6:$BL$505,STG_ZPMW03!$B$6:$B$505,$A76)))</f>
        <v/>
      </c>
      <c r="N76" s="117" t="str">
        <f>IF($A76="","",IF($J76=0,"n.b.",SUMIFS(STG_ZPMW03!$BM$6:$BM$505,STG_ZPMW03!$B$6:$B$505,$A76)))</f>
        <v/>
      </c>
      <c r="O76" s="117" t="str">
        <f>IF($A76="","",IF($J76=0,"n.b.",SUMIFS(STG_ZPMW03!$BN$6:$BN$505,STG_ZPMW03!$B$6:$B$505,$A76)))</f>
        <v/>
      </c>
      <c r="P76" s="117" t="str">
        <f>IF($A76="","",IF($J76=0,"n.b.",SUMIFS(STG_ZPMW03!$BO$6:$BO$505,STG_ZPMW03!$B$6:$B$505,$A76)))</f>
        <v/>
      </c>
      <c r="Q76" s="117" t="str">
        <f>IF($A76="","",IF($J76=0,"n.b.",SUMIFS(STG_ZPMW03!$BP$6:$BP$505,STG_ZPMW03!$B$6:$B$505,$A76)))</f>
        <v/>
      </c>
      <c r="R76" s="117" t="str">
        <f>IF($A76="","",IF($J76=0,"n.b.",SUMIFS(STG_ZPMW03!$BQ$6:$BQ$505,STG_ZPMW03!$B$6:$B$505,$A76)))</f>
        <v/>
      </c>
      <c r="S76" s="117" t="str">
        <f>IF($A76="","",IF($J76=0,"n.b.",SUMIFS(STG_ZPMW03!$BR$6:$BR$505,STG_ZPMW03!$B$6:$B$505,$A76)))</f>
        <v/>
      </c>
      <c r="T76" s="117" t="str">
        <f>IF($A76="","",IF($J76=0,"n.b.",SUMIFS(STG_ZPMW03!$BS$6:$BS$505,STG_ZPMW03!$B$6:$B$505,$A76)))</f>
        <v/>
      </c>
      <c r="U76" s="117" t="str">
        <f>IF($A76="","",IF($J76=0,"n.b.",SUMIFS(STG_ZPMW03!$BT$6:$BT$505,STG_ZPMW03!$B$6:$B$505,$A76)))</f>
        <v/>
      </c>
      <c r="V76" s="117" t="str">
        <f>IF($A76="","",IF($J76=0,"n.b.",SUMIFS(STG_ZPMW03!$BU$6:$BU$505,STG_ZPMW03!$B$6:$B$505,$A76)))</f>
        <v/>
      </c>
      <c r="W76" s="117" t="str">
        <f>IF($A76="","",IF($J76=0,"n.b.",SUMIFS(STG_ZPMW03!$BW$6:$BW$505,STG_ZPMW03!$B$6:$B$505,$A76)))</f>
        <v/>
      </c>
      <c r="X76" s="117" t="str">
        <f>IF($A76="","",IF($J76=0,"n.b.",SUMIFS(STG_ZPMW03!$BY$6:$BY$505,STG_ZPMW03!$B$6:$B$505,$A76)))</f>
        <v/>
      </c>
      <c r="Y76" s="117" t="str">
        <f>IF($A76="","",IF($J76=0,"n.b.",SUMIFS(STG_ZPMW03!$CA$6:$CA$505,STG_ZPMW03!$B$6:$B$505,$A76)))</f>
        <v/>
      </c>
      <c r="Z76" s="117" t="str">
        <f>IF($A76="","",IF($J76=0,"n.b.",SUMIFS(STG_ZPMW03!$BV$6:$BV$505,STG_ZPMW03!$B$6:$B$505,$A76)))</f>
        <v/>
      </c>
      <c r="AA76" s="117" t="str">
        <f>IF($A76="","",IF($J76=0,"n.b.",SUMIFS(STG_ZPMW03!$BX$6:$BX$505,STG_ZPMW03!$B$6:$B$505,$A76)))</f>
        <v/>
      </c>
      <c r="AB76" s="117" t="str">
        <f>IF($A76="","",IF($J76=0,"n.b.",SUMIFS(STG_ZPMW03!$BZ$6:$BZ$505,STG_ZPMW03!$B$6:$B$505,$A76)))</f>
        <v/>
      </c>
      <c r="AC76" s="117" t="str">
        <f>IF($A76="","",IF($J76=0,"n.b.",SUMIFS(STG_ZPMW03!$CB$6:$CB$505,STG_ZPMW03!$B$6:$B$505,$A76)))</f>
        <v/>
      </c>
      <c r="AD76" s="117" t="str">
        <f>IF($A76="","",IF($J76=0,"n.b.",SUMIFS(STG_ZPMW03!$CC$6:$CC$505,STG_ZPMW03!$B$6:$B$505,$A76)))</f>
        <v/>
      </c>
      <c r="AE76" s="117" t="str">
        <f>IF($A76="","",IF($J76=0,"n.b.",SUMIFS(STG_ZPMW03!$CE$6:$CE$505,STG_ZPMW03!$B$6:$B$505,$A76)))</f>
        <v/>
      </c>
      <c r="AF76" s="117" t="str">
        <f>IF($A76="","",IF($J76=0,"n.b.",SUMIFS(STG_ZPMW03!$CG$6:$CG$505,STG_ZPMW03!$B$6:$B$505,$A76)))</f>
        <v/>
      </c>
      <c r="AG76" s="117" t="str">
        <f>IF($A76="","",IF($J76=0,"n.b.",SUMIFS(STG_ZPMW03!$CI$6:$CI$505,STG_ZPMW03!$B$6:$B$505,$A76)))</f>
        <v/>
      </c>
      <c r="AH76" s="117" t="str">
        <f>IF($A76="","",IF($J76=0,"n.b.",SUMIFS(STG_ZPMW03!$CK$6:$CK$505,STG_ZPMW03!$B$6:$B$505,$A76)))</f>
        <v/>
      </c>
      <c r="AI76" s="117" t="str">
        <f>IF($A76="","",IF($J76=0,"n.b.",SUMIFS(STG_ZPMW03!$CM$6:$CM$505,STG_ZPMW03!$B$6:$B$505,$A76)))</f>
        <v/>
      </c>
      <c r="AJ76" s="117" t="str">
        <f>IF($A76="","",IF($J76=0,"n.b.",SUMIFS(STG_ZPMW03!$CO$6:$CO$505,STG_ZPMW03!$B$6:$B$505,$A76)))</f>
        <v/>
      </c>
      <c r="AK76" s="117" t="str">
        <f>IF($A76="","",IF($J76=0,"n.b.",SUMIFS(STG_ZPMW03!$CQ$6:$CQ$505,STG_ZPMW03!$B$6:$B$505,$A76)))</f>
        <v/>
      </c>
      <c r="AL76" s="117" t="str">
        <f>IF($A76="","",IF($J76=0,"n.b.",SUMIFS(STG_ZPMW03!$CD$6:$CD$505,STG_ZPMW03!$B$6:$B$505,$A76)))</f>
        <v/>
      </c>
      <c r="AM76" s="117" t="str">
        <f>IF($A76="","",IF($J76=0,"n.b.",SUMIFS(STG_ZPMW03!$CF$6:$CF$505,STG_ZPMW03!$B$6:$B$505,$A76)))</f>
        <v/>
      </c>
      <c r="AN76" s="117" t="str">
        <f>IF($A76="","",IF($J76=0,"n.b.",SUMIFS(STG_ZPMW03!$CH$6:$CH$505,STG_ZPMW03!$B$6:$B$505,$A76)))</f>
        <v/>
      </c>
      <c r="AO76" s="117" t="str">
        <f>IF($A76="","",IF($J76=0,"n.b.",SUMIFS(STG_ZPMW03!$CJ$6:$CJ$505,STG_ZPMW03!$B$6:$B$505,$A76)))</f>
        <v/>
      </c>
      <c r="AP76" s="117" t="str">
        <f>IF($A76="","",IF($J76=0,"n.b.",SUMIFS(STG_ZPMW03!$CL$6:$CL$505,STG_ZPMW03!$B$6:$B$505,$A76)))</f>
        <v/>
      </c>
      <c r="AQ76" s="117" t="str">
        <f>IF($A76="","",IF($J76=0,"n.b.",SUMIFS(STG_ZPMW03!$CN$6:$CN$505,STG_ZPMW03!$B$6:$B$505,$A76)))</f>
        <v/>
      </c>
      <c r="AR76" s="117" t="str">
        <f>IF($A76="","",IF($J76=0,"n.b.",SUMIFS(STG_ZPMW03!$CP$6:$CP$505,STG_ZPMW03!$B$6:$B$505,$A76)))</f>
        <v/>
      </c>
      <c r="AS76" s="117" t="str">
        <f>IF($A76="","",IF($J76=0,"n.b.",SUMIFS(STG_ZPMW03!$CR$6:$CR$505,STG_ZPMW03!$B$6:$B$505,$A76)))</f>
        <v/>
      </c>
      <c r="AT76" s="117" t="str">
        <f>IF($A76="","",IF($K76=0,"n.b.",SUMIFS(STG_Woningetalage!$Q$6:$Q$505,STG_Woningetalage!$B$6:$B$505,$A76)))</f>
        <v/>
      </c>
      <c r="AU76" s="117" t="str">
        <f>IF($A76="","",IF($K76=0,"n.b.",SUMIFS(STG_Woningetalage!$R$6:$R$505,STG_Woningetalage!$B$6:$B$505,$A76)))</f>
        <v/>
      </c>
      <c r="AV76" s="117" t="str">
        <f>IF($A76="","",IF($K76=0,"n.b.",SUMIFS(STG_Woningetalage!$S$6:$S$505,STG_Woningetalage!$B$6:$B$505,$A76)))</f>
        <v/>
      </c>
      <c r="AW76" s="117" t="str">
        <f>IF($A76="","",IF($K76=0,"n.b.",SUMIFS(STG_Woningetalage!$T$6:$T$505,STG_Woningetalage!$B$6:$B$505,$A76)))</f>
        <v/>
      </c>
      <c r="AX76" s="117" t="str">
        <f>IF($A76="","",IF($K76=0,"n.b.",SUMIFS(STG_Woningetalage!$U$6:$U$505,STG_Woningetalage!$B$6:$B$505,$A76)))</f>
        <v/>
      </c>
      <c r="AY76" s="117" t="str">
        <f>IF($A76="","",IF($K76=0,"n.b.",SUMIFS(STG_Woningetalage!$V$6:$V$505,STG_Woningetalage!$B$6:$B$505,$A76)))</f>
        <v/>
      </c>
      <c r="AZ76" s="117" t="str">
        <f>IF($A76="","",IF($K76=0,"n.b.",SUMIFS(STG_Woningetalage!$W$6:$W$505,STG_Woningetalage!$B$6:$B$505,$A76)))</f>
        <v/>
      </c>
      <c r="BA76" s="117" t="str">
        <f>IF($A76="","",IF($K76=0,"n.b.",SUMIFS(STG_Woningetalage!$X$6:$X$505,STG_Woningetalage!$B$6:$B$505,$A76)))</f>
        <v/>
      </c>
      <c r="BB76" s="117" t="str">
        <f>IF($A76="","",IF($K76=0,"n.b.",SUMIFS(STG_Woningetalage!$Y$6:$Y$505,STG_Woningetalage!$B$6:$B$505,$A76)))</f>
        <v/>
      </c>
      <c r="BC76" s="117" t="str">
        <f>IF($A76="","",IF($K76=0,"n.b.",SUMIFS(STG_Woningetalage!$Z$6:$Z$505,STG_Woningetalage!$B$6:$B$505,$A76)))</f>
        <v/>
      </c>
      <c r="BD76" s="117" t="str">
        <f>IF($A76="","",IF($K76=0,"n.b.",SUMIFS(STG_Woningetalage!$AA$6:$AA$505,STG_Woningetalage!$B$6:$B$505,$A76)))</f>
        <v/>
      </c>
      <c r="BE76" s="117" t="str">
        <f>IF($A76="","",IF($K76=0,"n.b.",SUMIFS(STG_Woningetalage!$AB$6:$AB$505,STG_Woningetalage!$B$6:$B$505,$A76)))</f>
        <v/>
      </c>
      <c r="BF76" s="117" t="str">
        <f>IF($A76="","",IF($K76=0,"n.b.",SUMIFS(STG_Woningetalage!$AC$6:$AC$505,STG_Woningetalage!$B$6:$B$505,$A76)))</f>
        <v/>
      </c>
      <c r="BG76" s="117" t="str">
        <f>IF($A76="","",IF($K76=0,"n.b.",SUMIFS(STG_Woningetalage!$AD$6:$AD$505,STG_Woningetalage!$B$6:$B$505,$A76)))</f>
        <v/>
      </c>
      <c r="BH76" s="117" t="str">
        <f>IF($A76="","",IF($K76=0,"n.b.",SUMIFS(STG_Woningetalage!$AE$6:$AE$505,STG_Woningetalage!$B$6:$B$505,$A76)))</f>
        <v/>
      </c>
      <c r="BI76" s="117" t="str">
        <f>IF($A76="","",IF($K76=0,"n.b.",SUMIFS(STG_Woningetalage!$AF$6:$AF$505,STG_Woningetalage!$B$6:$B$505,$A76)))</f>
        <v/>
      </c>
      <c r="BJ76" s="117" t="str">
        <f>IF($A76="","",IF($K76=0,"n.b.",SUMIFS(STG_Woningetalage!$AG$6:$AG$505,STG_Woningetalage!$B$6:$B$505,$A76)))</f>
        <v/>
      </c>
      <c r="BK76" s="117" t="str">
        <f>IF($A76="","",IF($K76=0,"n.b.",SUMIFS(STG_Woningetalage!$AH$6:$AH$505,STG_Woningetalage!$B$6:$B$505,$A76)))</f>
        <v/>
      </c>
      <c r="BL76" s="117" t="str">
        <f>IF($A76="","",IF($K76=0,"n.b.",SUMIFS(STG_Woningetalage!$AI$6:$AI$505,STG_Woningetalage!$B$6:$B$505,$A76)))</f>
        <v/>
      </c>
      <c r="BM76" s="117" t="str">
        <f>IF($A76="","",IF($K76=0,"n.b.",SUMIFS(STG_Woningetalage!$AJ$6:$AJ$505,STG_Woningetalage!$B$6:$B$505,$A76)))</f>
        <v/>
      </c>
      <c r="BN76" s="117" t="str">
        <f>IF($A76="","",IF($K76=0,"n.b.",SUMIFS(STG_Woningetalage!$AK$6:$AK$505,STG_Woningetalage!$B$6:$B$505,$A76)))</f>
        <v/>
      </c>
      <c r="BO76" s="117" t="str">
        <f>IF($A76="","",IF($K76=0,"n.b.",SUMIFS(STG_Woningetalage!$AL$6:$AL$505,STG_Woningetalage!$B$6:$B$505,$A76)))</f>
        <v/>
      </c>
      <c r="BP76" s="117" t="str">
        <f>IF($A76="","",IF($K76=0,"n.b.",SUMIFS(STG_Woningetalage!$AM$6:$AM$505,STG_Woningetalage!$B$6:$B$505,$A76)))</f>
        <v/>
      </c>
      <c r="BQ76" s="117" t="str">
        <f>IF($A76="","",IF($K76=0,"n.b.",SUMIFS(STG_Woningetalage!$BE$6:$BE$505,STG_Woningetalage!$B$6:$B$505,$A76)))</f>
        <v/>
      </c>
      <c r="BR76" s="117" t="str">
        <f>IF($A76="","",IF($K76=0,"n.b.",SUMIFS(STG_Woningetalage!$BF$6:$BF$505,STG_Woningetalage!$B$6:$B$505,$A76)))</f>
        <v/>
      </c>
      <c r="BS76" s="117" t="str">
        <f>IF($A76="","",IF($K76=0,"n.b.",SUMIFS(STG_Woningetalage!$BG$6:$BG$505,STG_Woningetalage!$B$6:$B$505,$A76)))</f>
        <v/>
      </c>
      <c r="BT76" s="117" t="str">
        <f>IF($A76="","",IF($K76=0,"n.b.",SUMIFS(STG_Woningetalage!$BH$6:$BH$505,STG_Woningetalage!$B$6:$B$505,$A76)))</f>
        <v/>
      </c>
      <c r="BU76" s="117" t="str">
        <f>IF($A76="","",IF($K76=0,"n.b.",SUMIFS(STG_Woningetalage!$BI$6:$BI$505,STG_Woningetalage!$B$6:$B$505,$A76)))</f>
        <v/>
      </c>
      <c r="BV76" s="117" t="str">
        <f>IF($A76="","",IF($K76=0,"n.b.",SUMIFS(STG_Woningetalage!$BJ$6:$BJ$505,STG_Woningetalage!$B$6:$B$505,$A76)))</f>
        <v/>
      </c>
      <c r="BW76" s="117" t="str">
        <f>IF($A76="","",IF($K76=0,"n.b.",SUMIFS(STG_Woningetalage!$AR$6:$AR$505,STG_Woningetalage!$B$6:$B$505,$A76)))</f>
        <v/>
      </c>
      <c r="BX76" s="117" t="str">
        <f>IF($A76="","",IF($K76=0,"n.b.",SUMIFS(STG_Woningetalage!$AS$6:$AS$505,STG_Woningetalage!$B$6:$B$505,$A76)))</f>
        <v/>
      </c>
      <c r="BY76" s="117" t="str">
        <f>IF($A76="","",IF($K76=0,"n.b.",SUMIFS(STG_Woningetalage!$AN$6:$AN$505,STG_Woningetalage!$B$6:$B$505,$A76)))</f>
        <v/>
      </c>
      <c r="BZ76" s="117" t="str">
        <f>IF($A76="","",IF($K76=0,"n.b.",SUMIFS(STG_Woningetalage!$AO$6:$AO$505,STG_Woningetalage!$B$6:$B$505,$A76)))</f>
        <v/>
      </c>
      <c r="CA76" s="117" t="str">
        <f>IF($A76="","",IF($K76=0,"n.b.",SUMIFS(STG_Woningetalage!$AP$6:$AP$505,STG_Woningetalage!$B$6:$B$505,$A76)))</f>
        <v/>
      </c>
      <c r="CB76" s="117" t="str">
        <f>IF($A76="","",IF($K76=0,"n.b.",SUMIFS(STG_Woningetalage!$AQ$6:$AQ$505,STG_Woningetalage!$B$6:$B$505,$A76)))</f>
        <v/>
      </c>
      <c r="CC76" s="117" t="str">
        <f>IF($A76="","",IF($K76=0,"n.b.",SUMIFS(STG_Woningetalage!$AU$6:$AU$505,STG_Woningetalage!$B$6:$B$505,$A76)))</f>
        <v/>
      </c>
      <c r="CD76" s="92" t="str">
        <f>IF($A76="","",IFERROR(INDEX(STG_ZPMW03!$L$6:$L$505,MATCH($A76,STG_ZPMW03!$B$6:$B$505,0)),"n.b."))</f>
        <v/>
      </c>
      <c r="CE76" s="92" t="str">
        <f>IF($A76="","",IFERROR(INDEX(STG_ZPMW03!$K$6:$K$505,MATCH($A76,STG_ZPMW03!$B$6:$B$505,0)),"n.b."))</f>
        <v/>
      </c>
      <c r="CF76" s="92" t="str">
        <f>IF($A76="","",IFERROR(INDEX(STG_ZPMW03!$BH$6:$BH$505,MATCH($A76,STG_ZPMW03!$B$6:$B$505,0)),"n.b."))</f>
        <v/>
      </c>
      <c r="CG76" s="92" t="str">
        <f>IF($A76="","",IFERROR(INDEX(STG_ZPMW03!$BI$6:$BI$505,MATCH($A76,STG_ZPMW03!$B$6:$B$505,0)),"n.b."))</f>
        <v/>
      </c>
      <c r="CH76" s="92" t="str">
        <f>IF($A76="","",IFERROR(INDEX(STG_ZPMW03!$BJ$6:$BJ$505,MATCH($A76,STG_ZPMW03!$B$6:$B$505,0)),"n.b."))</f>
        <v/>
      </c>
      <c r="CI76" s="92" t="str">
        <f>IF($A76="","",IFERROR(INDEX(STG_ZPMW03!$BF$6:$BF$505,MATCH($A76,STG_ZPMW03!$B$6:$B$505,0)),"n.b."))</f>
        <v/>
      </c>
      <c r="CJ76" s="92" t="str">
        <f>IF($A76="","",IFERROR(INDEX(STG_ZPMW03!$BG$6:$BG$505,MATCH($A76,STG_ZPMW03!$B$6:$B$505,0)),"n.b."))</f>
        <v/>
      </c>
      <c r="CK76" s="92" t="str">
        <f>IF($A76="","",IFERROR(INDEX(STG_ZPMW03!$H$6:$H$505,MATCH($A76,STG_ZPMW03!$B$6:$B$505,0)),"n.b."))</f>
        <v/>
      </c>
      <c r="CL76" s="92" t="str">
        <f>IF($A76="","",IFERROR(INDEX(STG_ZPMW03!$E$6:$E$505,MATCH($A76,STG_ZPMW03!$B$6:$B$505,0)),"n.b."))</f>
        <v/>
      </c>
      <c r="CM76" s="92" t="str">
        <f>IF($A76="","",IFERROR(INDEX(STG_ZPMW03!$G$6:$G$505,MATCH($A76,STG_ZPMW03!$B$6:$B$505,0)),"n.b."))</f>
        <v/>
      </c>
      <c r="CN76" s="92" t="str">
        <f>IF($A76="","",IFERROR(INDEX(STG_Woningetalage!$N$6:$N$505,MATCH($A76,STG_Woningetalage!$B$6:$B$505,0)),"n.b."))</f>
        <v/>
      </c>
      <c r="CO76" s="92" t="str">
        <f>IF($A76="","",IFERROR(INDEX(STG_Woningetalage!$P$6:$P$505,MATCH($A76,STG_Woningetalage!$B$6:$B$505,0)),"n.b."))</f>
        <v/>
      </c>
      <c r="CP76" s="118" t="str">
        <f>IF($A76="","",IF(AND(ISNUMBER(AT76),ISNUMBER(F76)),IF(F76&gt;0,AT76/(F76/100),"n.b."),"n.b."))</f>
        <v/>
      </c>
      <c r="CQ76" s="116" t="str">
        <f>IF($A76="","",IF(ISNUMBER(Q76),IF(Q76&lt;0,1,0),0))</f>
        <v/>
      </c>
      <c r="CR76" s="116" t="str">
        <f>IF(CQ76=1,COUNTIF($CQ$6:CQ76,1),"")</f>
        <v/>
      </c>
      <c r="CS76" s="116" t="str">
        <f>IF(AND($A76&lt;&gt;"",$J76=0),COUNTIFS($A$6:$A76,"?*",$J$6:$J76,0),"")</f>
        <v/>
      </c>
      <c r="CT76" s="119" t="str">
        <f>IF($A76="","",IF(AND(ISNUMBER(Q76),ISNUMBER(P76)),IF(P76&lt;&gt;0,Q76/P76,"n.b."),"n.b."))</f>
        <v/>
      </c>
    </row>
    <row r="77">
      <c r="A77" s="92" t="str">
        <f>IF(Mapping!$A76="","",Mapping!$A76)</f>
        <v/>
      </c>
      <c r="B77" s="92" t="str">
        <f>IF(Mapping!$B76="","",Mapping!$B76)</f>
        <v/>
      </c>
      <c r="C77" s="92" t="str">
        <f>IF(Mapping!$C76="","",Mapping!$C76)</f>
        <v/>
      </c>
      <c r="D77" s="92" t="str">
        <f>IF(Mapping!$F76="","",Mapping!$F76)</f>
        <v/>
      </c>
      <c r="E77" s="92" t="str">
        <f>IF(Mapping!$H76="","",Mapping!$H76)</f>
        <v/>
      </c>
      <c r="F77" s="92" t="str">
        <f>IF(Mapping!$E76="","",Mapping!$E76)</f>
        <v/>
      </c>
      <c r="G77" s="92" t="str">
        <f>IF(Mapping!$G76="","",Mapping!$G76)</f>
        <v/>
      </c>
      <c r="H77" s="92" t="str">
        <f>IF(Mapping!$D76="","",Mapping!$D76)</f>
        <v/>
      </c>
      <c r="I77" s="92" t="str">
        <f>IF($A77="","",IFERROR(INDEX(STG_ZPMW03!$C$6:$C$505,MATCH($A77,STG_ZPMW03!$B$6:$B$505,0)),"n.b."))</f>
        <v/>
      </c>
      <c r="J77" s="116" t="str">
        <f>IF($A77="","",COUNTIF(STG_ZPMW03!$B$6:$B$505,$A77))</f>
        <v/>
      </c>
      <c r="K77" s="116" t="str">
        <f>IF($A77="","",COUNTIF(STG_Woningetalage!$B$6:$B$505,$A77))</f>
        <v/>
      </c>
      <c r="L77" s="117" t="str">
        <f>IF($A77="","",IF($J77=0,"n.b.",SUMIFS(STG_ZPMW03!$BK$6:$BK$505,STG_ZPMW03!$B$6:$B$505,$A77)))</f>
        <v/>
      </c>
      <c r="M77" s="117" t="str">
        <f>IF($A77="","",IF($J77=0,"n.b.",SUMIFS(STG_ZPMW03!$BL$6:$BL$505,STG_ZPMW03!$B$6:$B$505,$A77)))</f>
        <v/>
      </c>
      <c r="N77" s="117" t="str">
        <f>IF($A77="","",IF($J77=0,"n.b.",SUMIFS(STG_ZPMW03!$BM$6:$BM$505,STG_ZPMW03!$B$6:$B$505,$A77)))</f>
        <v/>
      </c>
      <c r="O77" s="117" t="str">
        <f>IF($A77="","",IF($J77=0,"n.b.",SUMIFS(STG_ZPMW03!$BN$6:$BN$505,STG_ZPMW03!$B$6:$B$505,$A77)))</f>
        <v/>
      </c>
      <c r="P77" s="117" t="str">
        <f>IF($A77="","",IF($J77=0,"n.b.",SUMIFS(STG_ZPMW03!$BO$6:$BO$505,STG_ZPMW03!$B$6:$B$505,$A77)))</f>
        <v/>
      </c>
      <c r="Q77" s="117" t="str">
        <f>IF($A77="","",IF($J77=0,"n.b.",SUMIFS(STG_ZPMW03!$BP$6:$BP$505,STG_ZPMW03!$B$6:$B$505,$A77)))</f>
        <v/>
      </c>
      <c r="R77" s="117" t="str">
        <f>IF($A77="","",IF($J77=0,"n.b.",SUMIFS(STG_ZPMW03!$BQ$6:$BQ$505,STG_ZPMW03!$B$6:$B$505,$A77)))</f>
        <v/>
      </c>
      <c r="S77" s="117" t="str">
        <f>IF($A77="","",IF($J77=0,"n.b.",SUMIFS(STG_ZPMW03!$BR$6:$BR$505,STG_ZPMW03!$B$6:$B$505,$A77)))</f>
        <v/>
      </c>
      <c r="T77" s="117" t="str">
        <f>IF($A77="","",IF($J77=0,"n.b.",SUMIFS(STG_ZPMW03!$BS$6:$BS$505,STG_ZPMW03!$B$6:$B$505,$A77)))</f>
        <v/>
      </c>
      <c r="U77" s="117" t="str">
        <f>IF($A77="","",IF($J77=0,"n.b.",SUMIFS(STG_ZPMW03!$BT$6:$BT$505,STG_ZPMW03!$B$6:$B$505,$A77)))</f>
        <v/>
      </c>
      <c r="V77" s="117" t="str">
        <f>IF($A77="","",IF($J77=0,"n.b.",SUMIFS(STG_ZPMW03!$BU$6:$BU$505,STG_ZPMW03!$B$6:$B$505,$A77)))</f>
        <v/>
      </c>
      <c r="W77" s="117" t="str">
        <f>IF($A77="","",IF($J77=0,"n.b.",SUMIFS(STG_ZPMW03!$BW$6:$BW$505,STG_ZPMW03!$B$6:$B$505,$A77)))</f>
        <v/>
      </c>
      <c r="X77" s="117" t="str">
        <f>IF($A77="","",IF($J77=0,"n.b.",SUMIFS(STG_ZPMW03!$BY$6:$BY$505,STG_ZPMW03!$B$6:$B$505,$A77)))</f>
        <v/>
      </c>
      <c r="Y77" s="117" t="str">
        <f>IF($A77="","",IF($J77=0,"n.b.",SUMIFS(STG_ZPMW03!$CA$6:$CA$505,STG_ZPMW03!$B$6:$B$505,$A77)))</f>
        <v/>
      </c>
      <c r="Z77" s="117" t="str">
        <f>IF($A77="","",IF($J77=0,"n.b.",SUMIFS(STG_ZPMW03!$BV$6:$BV$505,STG_ZPMW03!$B$6:$B$505,$A77)))</f>
        <v/>
      </c>
      <c r="AA77" s="117" t="str">
        <f>IF($A77="","",IF($J77=0,"n.b.",SUMIFS(STG_ZPMW03!$BX$6:$BX$505,STG_ZPMW03!$B$6:$B$505,$A77)))</f>
        <v/>
      </c>
      <c r="AB77" s="117" t="str">
        <f>IF($A77="","",IF($J77=0,"n.b.",SUMIFS(STG_ZPMW03!$BZ$6:$BZ$505,STG_ZPMW03!$B$6:$B$505,$A77)))</f>
        <v/>
      </c>
      <c r="AC77" s="117" t="str">
        <f>IF($A77="","",IF($J77=0,"n.b.",SUMIFS(STG_ZPMW03!$CB$6:$CB$505,STG_ZPMW03!$B$6:$B$505,$A77)))</f>
        <v/>
      </c>
      <c r="AD77" s="117" t="str">
        <f>IF($A77="","",IF($J77=0,"n.b.",SUMIFS(STG_ZPMW03!$CC$6:$CC$505,STG_ZPMW03!$B$6:$B$505,$A77)))</f>
        <v/>
      </c>
      <c r="AE77" s="117" t="str">
        <f>IF($A77="","",IF($J77=0,"n.b.",SUMIFS(STG_ZPMW03!$CE$6:$CE$505,STG_ZPMW03!$B$6:$B$505,$A77)))</f>
        <v/>
      </c>
      <c r="AF77" s="117" t="str">
        <f>IF($A77="","",IF($J77=0,"n.b.",SUMIFS(STG_ZPMW03!$CG$6:$CG$505,STG_ZPMW03!$B$6:$B$505,$A77)))</f>
        <v/>
      </c>
      <c r="AG77" s="117" t="str">
        <f>IF($A77="","",IF($J77=0,"n.b.",SUMIFS(STG_ZPMW03!$CI$6:$CI$505,STG_ZPMW03!$B$6:$B$505,$A77)))</f>
        <v/>
      </c>
      <c r="AH77" s="117" t="str">
        <f>IF($A77="","",IF($J77=0,"n.b.",SUMIFS(STG_ZPMW03!$CK$6:$CK$505,STG_ZPMW03!$B$6:$B$505,$A77)))</f>
        <v/>
      </c>
      <c r="AI77" s="117" t="str">
        <f>IF($A77="","",IF($J77=0,"n.b.",SUMIFS(STG_ZPMW03!$CM$6:$CM$505,STG_ZPMW03!$B$6:$B$505,$A77)))</f>
        <v/>
      </c>
      <c r="AJ77" s="117" t="str">
        <f>IF($A77="","",IF($J77=0,"n.b.",SUMIFS(STG_ZPMW03!$CO$6:$CO$505,STG_ZPMW03!$B$6:$B$505,$A77)))</f>
        <v/>
      </c>
      <c r="AK77" s="117" t="str">
        <f>IF($A77="","",IF($J77=0,"n.b.",SUMIFS(STG_ZPMW03!$CQ$6:$CQ$505,STG_ZPMW03!$B$6:$B$505,$A77)))</f>
        <v/>
      </c>
      <c r="AL77" s="117" t="str">
        <f>IF($A77="","",IF($J77=0,"n.b.",SUMIFS(STG_ZPMW03!$CD$6:$CD$505,STG_ZPMW03!$B$6:$B$505,$A77)))</f>
        <v/>
      </c>
      <c r="AM77" s="117" t="str">
        <f>IF($A77="","",IF($J77=0,"n.b.",SUMIFS(STG_ZPMW03!$CF$6:$CF$505,STG_ZPMW03!$B$6:$B$505,$A77)))</f>
        <v/>
      </c>
      <c r="AN77" s="117" t="str">
        <f>IF($A77="","",IF($J77=0,"n.b.",SUMIFS(STG_ZPMW03!$CH$6:$CH$505,STG_ZPMW03!$B$6:$B$505,$A77)))</f>
        <v/>
      </c>
      <c r="AO77" s="117" t="str">
        <f>IF($A77="","",IF($J77=0,"n.b.",SUMIFS(STG_ZPMW03!$CJ$6:$CJ$505,STG_ZPMW03!$B$6:$B$505,$A77)))</f>
        <v/>
      </c>
      <c r="AP77" s="117" t="str">
        <f>IF($A77="","",IF($J77=0,"n.b.",SUMIFS(STG_ZPMW03!$CL$6:$CL$505,STG_ZPMW03!$B$6:$B$505,$A77)))</f>
        <v/>
      </c>
      <c r="AQ77" s="117" t="str">
        <f>IF($A77="","",IF($J77=0,"n.b.",SUMIFS(STG_ZPMW03!$CN$6:$CN$505,STG_ZPMW03!$B$6:$B$505,$A77)))</f>
        <v/>
      </c>
      <c r="AR77" s="117" t="str">
        <f>IF($A77="","",IF($J77=0,"n.b.",SUMIFS(STG_ZPMW03!$CP$6:$CP$505,STG_ZPMW03!$B$6:$B$505,$A77)))</f>
        <v/>
      </c>
      <c r="AS77" s="117" t="str">
        <f>IF($A77="","",IF($J77=0,"n.b.",SUMIFS(STG_ZPMW03!$CR$6:$CR$505,STG_ZPMW03!$B$6:$B$505,$A77)))</f>
        <v/>
      </c>
      <c r="AT77" s="117" t="str">
        <f>IF($A77="","",IF($K77=0,"n.b.",SUMIFS(STG_Woningetalage!$Q$6:$Q$505,STG_Woningetalage!$B$6:$B$505,$A77)))</f>
        <v/>
      </c>
      <c r="AU77" s="117" t="str">
        <f>IF($A77="","",IF($K77=0,"n.b.",SUMIFS(STG_Woningetalage!$R$6:$R$505,STG_Woningetalage!$B$6:$B$505,$A77)))</f>
        <v/>
      </c>
      <c r="AV77" s="117" t="str">
        <f>IF($A77="","",IF($K77=0,"n.b.",SUMIFS(STG_Woningetalage!$S$6:$S$505,STG_Woningetalage!$B$6:$B$505,$A77)))</f>
        <v/>
      </c>
      <c r="AW77" s="117" t="str">
        <f>IF($A77="","",IF($K77=0,"n.b.",SUMIFS(STG_Woningetalage!$T$6:$T$505,STG_Woningetalage!$B$6:$B$505,$A77)))</f>
        <v/>
      </c>
      <c r="AX77" s="117" t="str">
        <f>IF($A77="","",IF($K77=0,"n.b.",SUMIFS(STG_Woningetalage!$U$6:$U$505,STG_Woningetalage!$B$6:$B$505,$A77)))</f>
        <v/>
      </c>
      <c r="AY77" s="117" t="str">
        <f>IF($A77="","",IF($K77=0,"n.b.",SUMIFS(STG_Woningetalage!$V$6:$V$505,STG_Woningetalage!$B$6:$B$505,$A77)))</f>
        <v/>
      </c>
      <c r="AZ77" s="117" t="str">
        <f>IF($A77="","",IF($K77=0,"n.b.",SUMIFS(STG_Woningetalage!$W$6:$W$505,STG_Woningetalage!$B$6:$B$505,$A77)))</f>
        <v/>
      </c>
      <c r="BA77" s="117" t="str">
        <f>IF($A77="","",IF($K77=0,"n.b.",SUMIFS(STG_Woningetalage!$X$6:$X$505,STG_Woningetalage!$B$6:$B$505,$A77)))</f>
        <v/>
      </c>
      <c r="BB77" s="117" t="str">
        <f>IF($A77="","",IF($K77=0,"n.b.",SUMIFS(STG_Woningetalage!$Y$6:$Y$505,STG_Woningetalage!$B$6:$B$505,$A77)))</f>
        <v/>
      </c>
      <c r="BC77" s="117" t="str">
        <f>IF($A77="","",IF($K77=0,"n.b.",SUMIFS(STG_Woningetalage!$Z$6:$Z$505,STG_Woningetalage!$B$6:$B$505,$A77)))</f>
        <v/>
      </c>
      <c r="BD77" s="117" t="str">
        <f>IF($A77="","",IF($K77=0,"n.b.",SUMIFS(STG_Woningetalage!$AA$6:$AA$505,STG_Woningetalage!$B$6:$B$505,$A77)))</f>
        <v/>
      </c>
      <c r="BE77" s="117" t="str">
        <f>IF($A77="","",IF($K77=0,"n.b.",SUMIFS(STG_Woningetalage!$AB$6:$AB$505,STG_Woningetalage!$B$6:$B$505,$A77)))</f>
        <v/>
      </c>
      <c r="BF77" s="117" t="str">
        <f>IF($A77="","",IF($K77=0,"n.b.",SUMIFS(STG_Woningetalage!$AC$6:$AC$505,STG_Woningetalage!$B$6:$B$505,$A77)))</f>
        <v/>
      </c>
      <c r="BG77" s="117" t="str">
        <f>IF($A77="","",IF($K77=0,"n.b.",SUMIFS(STG_Woningetalage!$AD$6:$AD$505,STG_Woningetalage!$B$6:$B$505,$A77)))</f>
        <v/>
      </c>
      <c r="BH77" s="117" t="str">
        <f>IF($A77="","",IF($K77=0,"n.b.",SUMIFS(STG_Woningetalage!$AE$6:$AE$505,STG_Woningetalage!$B$6:$B$505,$A77)))</f>
        <v/>
      </c>
      <c r="BI77" s="117" t="str">
        <f>IF($A77="","",IF($K77=0,"n.b.",SUMIFS(STG_Woningetalage!$AF$6:$AF$505,STG_Woningetalage!$B$6:$B$505,$A77)))</f>
        <v/>
      </c>
      <c r="BJ77" s="117" t="str">
        <f>IF($A77="","",IF($K77=0,"n.b.",SUMIFS(STG_Woningetalage!$AG$6:$AG$505,STG_Woningetalage!$B$6:$B$505,$A77)))</f>
        <v/>
      </c>
      <c r="BK77" s="117" t="str">
        <f>IF($A77="","",IF($K77=0,"n.b.",SUMIFS(STG_Woningetalage!$AH$6:$AH$505,STG_Woningetalage!$B$6:$B$505,$A77)))</f>
        <v/>
      </c>
      <c r="BL77" s="117" t="str">
        <f>IF($A77="","",IF($K77=0,"n.b.",SUMIFS(STG_Woningetalage!$AI$6:$AI$505,STG_Woningetalage!$B$6:$B$505,$A77)))</f>
        <v/>
      </c>
      <c r="BM77" s="117" t="str">
        <f>IF($A77="","",IF($K77=0,"n.b.",SUMIFS(STG_Woningetalage!$AJ$6:$AJ$505,STG_Woningetalage!$B$6:$B$505,$A77)))</f>
        <v/>
      </c>
      <c r="BN77" s="117" t="str">
        <f>IF($A77="","",IF($K77=0,"n.b.",SUMIFS(STG_Woningetalage!$AK$6:$AK$505,STG_Woningetalage!$B$6:$B$505,$A77)))</f>
        <v/>
      </c>
      <c r="BO77" s="117" t="str">
        <f>IF($A77="","",IF($K77=0,"n.b.",SUMIFS(STG_Woningetalage!$AL$6:$AL$505,STG_Woningetalage!$B$6:$B$505,$A77)))</f>
        <v/>
      </c>
      <c r="BP77" s="117" t="str">
        <f>IF($A77="","",IF($K77=0,"n.b.",SUMIFS(STG_Woningetalage!$AM$6:$AM$505,STG_Woningetalage!$B$6:$B$505,$A77)))</f>
        <v/>
      </c>
      <c r="BQ77" s="117" t="str">
        <f>IF($A77="","",IF($K77=0,"n.b.",SUMIFS(STG_Woningetalage!$BE$6:$BE$505,STG_Woningetalage!$B$6:$B$505,$A77)))</f>
        <v/>
      </c>
      <c r="BR77" s="117" t="str">
        <f>IF($A77="","",IF($K77=0,"n.b.",SUMIFS(STG_Woningetalage!$BF$6:$BF$505,STG_Woningetalage!$B$6:$B$505,$A77)))</f>
        <v/>
      </c>
      <c r="BS77" s="117" t="str">
        <f>IF($A77="","",IF($K77=0,"n.b.",SUMIFS(STG_Woningetalage!$BG$6:$BG$505,STG_Woningetalage!$B$6:$B$505,$A77)))</f>
        <v/>
      </c>
      <c r="BT77" s="117" t="str">
        <f>IF($A77="","",IF($K77=0,"n.b.",SUMIFS(STG_Woningetalage!$BH$6:$BH$505,STG_Woningetalage!$B$6:$B$505,$A77)))</f>
        <v/>
      </c>
      <c r="BU77" s="117" t="str">
        <f>IF($A77="","",IF($K77=0,"n.b.",SUMIFS(STG_Woningetalage!$BI$6:$BI$505,STG_Woningetalage!$B$6:$B$505,$A77)))</f>
        <v/>
      </c>
      <c r="BV77" s="117" t="str">
        <f>IF($A77="","",IF($K77=0,"n.b.",SUMIFS(STG_Woningetalage!$BJ$6:$BJ$505,STG_Woningetalage!$B$6:$B$505,$A77)))</f>
        <v/>
      </c>
      <c r="BW77" s="117" t="str">
        <f>IF($A77="","",IF($K77=0,"n.b.",SUMIFS(STG_Woningetalage!$AR$6:$AR$505,STG_Woningetalage!$B$6:$B$505,$A77)))</f>
        <v/>
      </c>
      <c r="BX77" s="117" t="str">
        <f>IF($A77="","",IF($K77=0,"n.b.",SUMIFS(STG_Woningetalage!$AS$6:$AS$505,STG_Woningetalage!$B$6:$B$505,$A77)))</f>
        <v/>
      </c>
      <c r="BY77" s="117" t="str">
        <f>IF($A77="","",IF($K77=0,"n.b.",SUMIFS(STG_Woningetalage!$AN$6:$AN$505,STG_Woningetalage!$B$6:$B$505,$A77)))</f>
        <v/>
      </c>
      <c r="BZ77" s="117" t="str">
        <f>IF($A77="","",IF($K77=0,"n.b.",SUMIFS(STG_Woningetalage!$AO$6:$AO$505,STG_Woningetalage!$B$6:$B$505,$A77)))</f>
        <v/>
      </c>
      <c r="CA77" s="117" t="str">
        <f>IF($A77="","",IF($K77=0,"n.b.",SUMIFS(STG_Woningetalage!$AP$6:$AP$505,STG_Woningetalage!$B$6:$B$505,$A77)))</f>
        <v/>
      </c>
      <c r="CB77" s="117" t="str">
        <f>IF($A77="","",IF($K77=0,"n.b.",SUMIFS(STG_Woningetalage!$AQ$6:$AQ$505,STG_Woningetalage!$B$6:$B$505,$A77)))</f>
        <v/>
      </c>
      <c r="CC77" s="117" t="str">
        <f>IF($A77="","",IF($K77=0,"n.b.",SUMIFS(STG_Woningetalage!$AU$6:$AU$505,STG_Woningetalage!$B$6:$B$505,$A77)))</f>
        <v/>
      </c>
      <c r="CD77" s="92" t="str">
        <f>IF($A77="","",IFERROR(INDEX(STG_ZPMW03!$L$6:$L$505,MATCH($A77,STG_ZPMW03!$B$6:$B$505,0)),"n.b."))</f>
        <v/>
      </c>
      <c r="CE77" s="92" t="str">
        <f>IF($A77="","",IFERROR(INDEX(STG_ZPMW03!$K$6:$K$505,MATCH($A77,STG_ZPMW03!$B$6:$B$505,0)),"n.b."))</f>
        <v/>
      </c>
      <c r="CF77" s="92" t="str">
        <f>IF($A77="","",IFERROR(INDEX(STG_ZPMW03!$BH$6:$BH$505,MATCH($A77,STG_ZPMW03!$B$6:$B$505,0)),"n.b."))</f>
        <v/>
      </c>
      <c r="CG77" s="92" t="str">
        <f>IF($A77="","",IFERROR(INDEX(STG_ZPMW03!$BI$6:$BI$505,MATCH($A77,STG_ZPMW03!$B$6:$B$505,0)),"n.b."))</f>
        <v/>
      </c>
      <c r="CH77" s="92" t="str">
        <f>IF($A77="","",IFERROR(INDEX(STG_ZPMW03!$BJ$6:$BJ$505,MATCH($A77,STG_ZPMW03!$B$6:$B$505,0)),"n.b."))</f>
        <v/>
      </c>
      <c r="CI77" s="92" t="str">
        <f>IF($A77="","",IFERROR(INDEX(STG_ZPMW03!$BF$6:$BF$505,MATCH($A77,STG_ZPMW03!$B$6:$B$505,0)),"n.b."))</f>
        <v/>
      </c>
      <c r="CJ77" s="92" t="str">
        <f>IF($A77="","",IFERROR(INDEX(STG_ZPMW03!$BG$6:$BG$505,MATCH($A77,STG_ZPMW03!$B$6:$B$505,0)),"n.b."))</f>
        <v/>
      </c>
      <c r="CK77" s="92" t="str">
        <f>IF($A77="","",IFERROR(INDEX(STG_ZPMW03!$H$6:$H$505,MATCH($A77,STG_ZPMW03!$B$6:$B$505,0)),"n.b."))</f>
        <v/>
      </c>
      <c r="CL77" s="92" t="str">
        <f>IF($A77="","",IFERROR(INDEX(STG_ZPMW03!$E$6:$E$505,MATCH($A77,STG_ZPMW03!$B$6:$B$505,0)),"n.b."))</f>
        <v/>
      </c>
      <c r="CM77" s="92" t="str">
        <f>IF($A77="","",IFERROR(INDEX(STG_ZPMW03!$G$6:$G$505,MATCH($A77,STG_ZPMW03!$B$6:$B$505,0)),"n.b."))</f>
        <v/>
      </c>
      <c r="CN77" s="92" t="str">
        <f>IF($A77="","",IFERROR(INDEX(STG_Woningetalage!$N$6:$N$505,MATCH($A77,STG_Woningetalage!$B$6:$B$505,0)),"n.b."))</f>
        <v/>
      </c>
      <c r="CO77" s="92" t="str">
        <f>IF($A77="","",IFERROR(INDEX(STG_Woningetalage!$P$6:$P$505,MATCH($A77,STG_Woningetalage!$B$6:$B$505,0)),"n.b."))</f>
        <v/>
      </c>
      <c r="CP77" s="118" t="str">
        <f>IF($A77="","",IF(AND(ISNUMBER(AT77),ISNUMBER(F77)),IF(F77&gt;0,AT77/(F77/100),"n.b."),"n.b."))</f>
        <v/>
      </c>
      <c r="CQ77" s="116" t="str">
        <f>IF($A77="","",IF(ISNUMBER(Q77),IF(Q77&lt;0,1,0),0))</f>
        <v/>
      </c>
      <c r="CR77" s="116" t="str">
        <f>IF(CQ77=1,COUNTIF($CQ$6:CQ77,1),"")</f>
        <v/>
      </c>
      <c r="CS77" s="116" t="str">
        <f>IF(AND($A77&lt;&gt;"",$J77=0),COUNTIFS($A$6:$A77,"?*",$J$6:$J77,0),"")</f>
        <v/>
      </c>
      <c r="CT77" s="119" t="str">
        <f>IF($A77="","",IF(AND(ISNUMBER(Q77),ISNUMBER(P77)),IF(P77&lt;&gt;0,Q77/P77,"n.b."),"n.b."))</f>
        <v/>
      </c>
    </row>
    <row r="78">
      <c r="A78" s="92" t="str">
        <f>IF(Mapping!$A77="","",Mapping!$A77)</f>
        <v/>
      </c>
      <c r="B78" s="92" t="str">
        <f>IF(Mapping!$B77="","",Mapping!$B77)</f>
        <v/>
      </c>
      <c r="C78" s="92" t="str">
        <f>IF(Mapping!$C77="","",Mapping!$C77)</f>
        <v/>
      </c>
      <c r="D78" s="92" t="str">
        <f>IF(Mapping!$F77="","",Mapping!$F77)</f>
        <v/>
      </c>
      <c r="E78" s="92" t="str">
        <f>IF(Mapping!$H77="","",Mapping!$H77)</f>
        <v/>
      </c>
      <c r="F78" s="92" t="str">
        <f>IF(Mapping!$E77="","",Mapping!$E77)</f>
        <v/>
      </c>
      <c r="G78" s="92" t="str">
        <f>IF(Mapping!$G77="","",Mapping!$G77)</f>
        <v/>
      </c>
      <c r="H78" s="92" t="str">
        <f>IF(Mapping!$D77="","",Mapping!$D77)</f>
        <v/>
      </c>
      <c r="I78" s="92" t="str">
        <f>IF($A78="","",IFERROR(INDEX(STG_ZPMW03!$C$6:$C$505,MATCH($A78,STG_ZPMW03!$B$6:$B$505,0)),"n.b."))</f>
        <v/>
      </c>
      <c r="J78" s="116" t="str">
        <f>IF($A78="","",COUNTIF(STG_ZPMW03!$B$6:$B$505,$A78))</f>
        <v/>
      </c>
      <c r="K78" s="116" t="str">
        <f>IF($A78="","",COUNTIF(STG_Woningetalage!$B$6:$B$505,$A78))</f>
        <v/>
      </c>
      <c r="L78" s="117" t="str">
        <f>IF($A78="","",IF($J78=0,"n.b.",SUMIFS(STG_ZPMW03!$BK$6:$BK$505,STG_ZPMW03!$B$6:$B$505,$A78)))</f>
        <v/>
      </c>
      <c r="M78" s="117" t="str">
        <f>IF($A78="","",IF($J78=0,"n.b.",SUMIFS(STG_ZPMW03!$BL$6:$BL$505,STG_ZPMW03!$B$6:$B$505,$A78)))</f>
        <v/>
      </c>
      <c r="N78" s="117" t="str">
        <f>IF($A78="","",IF($J78=0,"n.b.",SUMIFS(STG_ZPMW03!$BM$6:$BM$505,STG_ZPMW03!$B$6:$B$505,$A78)))</f>
        <v/>
      </c>
      <c r="O78" s="117" t="str">
        <f>IF($A78="","",IF($J78=0,"n.b.",SUMIFS(STG_ZPMW03!$BN$6:$BN$505,STG_ZPMW03!$B$6:$B$505,$A78)))</f>
        <v/>
      </c>
      <c r="P78" s="117" t="str">
        <f>IF($A78="","",IF($J78=0,"n.b.",SUMIFS(STG_ZPMW03!$BO$6:$BO$505,STG_ZPMW03!$B$6:$B$505,$A78)))</f>
        <v/>
      </c>
      <c r="Q78" s="117" t="str">
        <f>IF($A78="","",IF($J78=0,"n.b.",SUMIFS(STG_ZPMW03!$BP$6:$BP$505,STG_ZPMW03!$B$6:$B$505,$A78)))</f>
        <v/>
      </c>
      <c r="R78" s="117" t="str">
        <f>IF($A78="","",IF($J78=0,"n.b.",SUMIFS(STG_ZPMW03!$BQ$6:$BQ$505,STG_ZPMW03!$B$6:$B$505,$A78)))</f>
        <v/>
      </c>
      <c r="S78" s="117" t="str">
        <f>IF($A78="","",IF($J78=0,"n.b.",SUMIFS(STG_ZPMW03!$BR$6:$BR$505,STG_ZPMW03!$B$6:$B$505,$A78)))</f>
        <v/>
      </c>
      <c r="T78" s="117" t="str">
        <f>IF($A78="","",IF($J78=0,"n.b.",SUMIFS(STG_ZPMW03!$BS$6:$BS$505,STG_ZPMW03!$B$6:$B$505,$A78)))</f>
        <v/>
      </c>
      <c r="U78" s="117" t="str">
        <f>IF($A78="","",IF($J78=0,"n.b.",SUMIFS(STG_ZPMW03!$BT$6:$BT$505,STG_ZPMW03!$B$6:$B$505,$A78)))</f>
        <v/>
      </c>
      <c r="V78" s="117" t="str">
        <f>IF($A78="","",IF($J78=0,"n.b.",SUMIFS(STG_ZPMW03!$BU$6:$BU$505,STG_ZPMW03!$B$6:$B$505,$A78)))</f>
        <v/>
      </c>
      <c r="W78" s="117" t="str">
        <f>IF($A78="","",IF($J78=0,"n.b.",SUMIFS(STG_ZPMW03!$BW$6:$BW$505,STG_ZPMW03!$B$6:$B$505,$A78)))</f>
        <v/>
      </c>
      <c r="X78" s="117" t="str">
        <f>IF($A78="","",IF($J78=0,"n.b.",SUMIFS(STG_ZPMW03!$BY$6:$BY$505,STG_ZPMW03!$B$6:$B$505,$A78)))</f>
        <v/>
      </c>
      <c r="Y78" s="117" t="str">
        <f>IF($A78="","",IF($J78=0,"n.b.",SUMIFS(STG_ZPMW03!$CA$6:$CA$505,STG_ZPMW03!$B$6:$B$505,$A78)))</f>
        <v/>
      </c>
      <c r="Z78" s="117" t="str">
        <f>IF($A78="","",IF($J78=0,"n.b.",SUMIFS(STG_ZPMW03!$BV$6:$BV$505,STG_ZPMW03!$B$6:$B$505,$A78)))</f>
        <v/>
      </c>
      <c r="AA78" s="117" t="str">
        <f>IF($A78="","",IF($J78=0,"n.b.",SUMIFS(STG_ZPMW03!$BX$6:$BX$505,STG_ZPMW03!$B$6:$B$505,$A78)))</f>
        <v/>
      </c>
      <c r="AB78" s="117" t="str">
        <f>IF($A78="","",IF($J78=0,"n.b.",SUMIFS(STG_ZPMW03!$BZ$6:$BZ$505,STG_ZPMW03!$B$6:$B$505,$A78)))</f>
        <v/>
      </c>
      <c r="AC78" s="117" t="str">
        <f>IF($A78="","",IF($J78=0,"n.b.",SUMIFS(STG_ZPMW03!$CB$6:$CB$505,STG_ZPMW03!$B$6:$B$505,$A78)))</f>
        <v/>
      </c>
      <c r="AD78" s="117" t="str">
        <f>IF($A78="","",IF($J78=0,"n.b.",SUMIFS(STG_ZPMW03!$CC$6:$CC$505,STG_ZPMW03!$B$6:$B$505,$A78)))</f>
        <v/>
      </c>
      <c r="AE78" s="117" t="str">
        <f>IF($A78="","",IF($J78=0,"n.b.",SUMIFS(STG_ZPMW03!$CE$6:$CE$505,STG_ZPMW03!$B$6:$B$505,$A78)))</f>
        <v/>
      </c>
      <c r="AF78" s="117" t="str">
        <f>IF($A78="","",IF($J78=0,"n.b.",SUMIFS(STG_ZPMW03!$CG$6:$CG$505,STG_ZPMW03!$B$6:$B$505,$A78)))</f>
        <v/>
      </c>
      <c r="AG78" s="117" t="str">
        <f>IF($A78="","",IF($J78=0,"n.b.",SUMIFS(STG_ZPMW03!$CI$6:$CI$505,STG_ZPMW03!$B$6:$B$505,$A78)))</f>
        <v/>
      </c>
      <c r="AH78" s="117" t="str">
        <f>IF($A78="","",IF($J78=0,"n.b.",SUMIFS(STG_ZPMW03!$CK$6:$CK$505,STG_ZPMW03!$B$6:$B$505,$A78)))</f>
        <v/>
      </c>
      <c r="AI78" s="117" t="str">
        <f>IF($A78="","",IF($J78=0,"n.b.",SUMIFS(STG_ZPMW03!$CM$6:$CM$505,STG_ZPMW03!$B$6:$B$505,$A78)))</f>
        <v/>
      </c>
      <c r="AJ78" s="117" t="str">
        <f>IF($A78="","",IF($J78=0,"n.b.",SUMIFS(STG_ZPMW03!$CO$6:$CO$505,STG_ZPMW03!$B$6:$B$505,$A78)))</f>
        <v/>
      </c>
      <c r="AK78" s="117" t="str">
        <f>IF($A78="","",IF($J78=0,"n.b.",SUMIFS(STG_ZPMW03!$CQ$6:$CQ$505,STG_ZPMW03!$B$6:$B$505,$A78)))</f>
        <v/>
      </c>
      <c r="AL78" s="117" t="str">
        <f>IF($A78="","",IF($J78=0,"n.b.",SUMIFS(STG_ZPMW03!$CD$6:$CD$505,STG_ZPMW03!$B$6:$B$505,$A78)))</f>
        <v/>
      </c>
      <c r="AM78" s="117" t="str">
        <f>IF($A78="","",IF($J78=0,"n.b.",SUMIFS(STG_ZPMW03!$CF$6:$CF$505,STG_ZPMW03!$B$6:$B$505,$A78)))</f>
        <v/>
      </c>
      <c r="AN78" s="117" t="str">
        <f>IF($A78="","",IF($J78=0,"n.b.",SUMIFS(STG_ZPMW03!$CH$6:$CH$505,STG_ZPMW03!$B$6:$B$505,$A78)))</f>
        <v/>
      </c>
      <c r="AO78" s="117" t="str">
        <f>IF($A78="","",IF($J78=0,"n.b.",SUMIFS(STG_ZPMW03!$CJ$6:$CJ$505,STG_ZPMW03!$B$6:$B$505,$A78)))</f>
        <v/>
      </c>
      <c r="AP78" s="117" t="str">
        <f>IF($A78="","",IF($J78=0,"n.b.",SUMIFS(STG_ZPMW03!$CL$6:$CL$505,STG_ZPMW03!$B$6:$B$505,$A78)))</f>
        <v/>
      </c>
      <c r="AQ78" s="117" t="str">
        <f>IF($A78="","",IF($J78=0,"n.b.",SUMIFS(STG_ZPMW03!$CN$6:$CN$505,STG_ZPMW03!$B$6:$B$505,$A78)))</f>
        <v/>
      </c>
      <c r="AR78" s="117" t="str">
        <f>IF($A78="","",IF($J78=0,"n.b.",SUMIFS(STG_ZPMW03!$CP$6:$CP$505,STG_ZPMW03!$B$6:$B$505,$A78)))</f>
        <v/>
      </c>
      <c r="AS78" s="117" t="str">
        <f>IF($A78="","",IF($J78=0,"n.b.",SUMIFS(STG_ZPMW03!$CR$6:$CR$505,STG_ZPMW03!$B$6:$B$505,$A78)))</f>
        <v/>
      </c>
      <c r="AT78" s="117" t="str">
        <f>IF($A78="","",IF($K78=0,"n.b.",SUMIFS(STG_Woningetalage!$Q$6:$Q$505,STG_Woningetalage!$B$6:$B$505,$A78)))</f>
        <v/>
      </c>
      <c r="AU78" s="117" t="str">
        <f>IF($A78="","",IF($K78=0,"n.b.",SUMIFS(STG_Woningetalage!$R$6:$R$505,STG_Woningetalage!$B$6:$B$505,$A78)))</f>
        <v/>
      </c>
      <c r="AV78" s="117" t="str">
        <f>IF($A78="","",IF($K78=0,"n.b.",SUMIFS(STG_Woningetalage!$S$6:$S$505,STG_Woningetalage!$B$6:$B$505,$A78)))</f>
        <v/>
      </c>
      <c r="AW78" s="117" t="str">
        <f>IF($A78="","",IF($K78=0,"n.b.",SUMIFS(STG_Woningetalage!$T$6:$T$505,STG_Woningetalage!$B$6:$B$505,$A78)))</f>
        <v/>
      </c>
      <c r="AX78" s="117" t="str">
        <f>IF($A78="","",IF($K78=0,"n.b.",SUMIFS(STG_Woningetalage!$U$6:$U$505,STG_Woningetalage!$B$6:$B$505,$A78)))</f>
        <v/>
      </c>
      <c r="AY78" s="117" t="str">
        <f>IF($A78="","",IF($K78=0,"n.b.",SUMIFS(STG_Woningetalage!$V$6:$V$505,STG_Woningetalage!$B$6:$B$505,$A78)))</f>
        <v/>
      </c>
      <c r="AZ78" s="117" t="str">
        <f>IF($A78="","",IF($K78=0,"n.b.",SUMIFS(STG_Woningetalage!$W$6:$W$505,STG_Woningetalage!$B$6:$B$505,$A78)))</f>
        <v/>
      </c>
      <c r="BA78" s="117" t="str">
        <f>IF($A78="","",IF($K78=0,"n.b.",SUMIFS(STG_Woningetalage!$X$6:$X$505,STG_Woningetalage!$B$6:$B$505,$A78)))</f>
        <v/>
      </c>
      <c r="BB78" s="117" t="str">
        <f>IF($A78="","",IF($K78=0,"n.b.",SUMIFS(STG_Woningetalage!$Y$6:$Y$505,STG_Woningetalage!$B$6:$B$505,$A78)))</f>
        <v/>
      </c>
      <c r="BC78" s="117" t="str">
        <f>IF($A78="","",IF($K78=0,"n.b.",SUMIFS(STG_Woningetalage!$Z$6:$Z$505,STG_Woningetalage!$B$6:$B$505,$A78)))</f>
        <v/>
      </c>
      <c r="BD78" s="117" t="str">
        <f>IF($A78="","",IF($K78=0,"n.b.",SUMIFS(STG_Woningetalage!$AA$6:$AA$505,STG_Woningetalage!$B$6:$B$505,$A78)))</f>
        <v/>
      </c>
      <c r="BE78" s="117" t="str">
        <f>IF($A78="","",IF($K78=0,"n.b.",SUMIFS(STG_Woningetalage!$AB$6:$AB$505,STG_Woningetalage!$B$6:$B$505,$A78)))</f>
        <v/>
      </c>
      <c r="BF78" s="117" t="str">
        <f>IF($A78="","",IF($K78=0,"n.b.",SUMIFS(STG_Woningetalage!$AC$6:$AC$505,STG_Woningetalage!$B$6:$B$505,$A78)))</f>
        <v/>
      </c>
      <c r="BG78" s="117" t="str">
        <f>IF($A78="","",IF($K78=0,"n.b.",SUMIFS(STG_Woningetalage!$AD$6:$AD$505,STG_Woningetalage!$B$6:$B$505,$A78)))</f>
        <v/>
      </c>
      <c r="BH78" s="117" t="str">
        <f>IF($A78="","",IF($K78=0,"n.b.",SUMIFS(STG_Woningetalage!$AE$6:$AE$505,STG_Woningetalage!$B$6:$B$505,$A78)))</f>
        <v/>
      </c>
      <c r="BI78" s="117" t="str">
        <f>IF($A78="","",IF($K78=0,"n.b.",SUMIFS(STG_Woningetalage!$AF$6:$AF$505,STG_Woningetalage!$B$6:$B$505,$A78)))</f>
        <v/>
      </c>
      <c r="BJ78" s="117" t="str">
        <f>IF($A78="","",IF($K78=0,"n.b.",SUMIFS(STG_Woningetalage!$AG$6:$AG$505,STG_Woningetalage!$B$6:$B$505,$A78)))</f>
        <v/>
      </c>
      <c r="BK78" s="117" t="str">
        <f>IF($A78="","",IF($K78=0,"n.b.",SUMIFS(STG_Woningetalage!$AH$6:$AH$505,STG_Woningetalage!$B$6:$B$505,$A78)))</f>
        <v/>
      </c>
      <c r="BL78" s="117" t="str">
        <f>IF($A78="","",IF($K78=0,"n.b.",SUMIFS(STG_Woningetalage!$AI$6:$AI$505,STG_Woningetalage!$B$6:$B$505,$A78)))</f>
        <v/>
      </c>
      <c r="BM78" s="117" t="str">
        <f>IF($A78="","",IF($K78=0,"n.b.",SUMIFS(STG_Woningetalage!$AJ$6:$AJ$505,STG_Woningetalage!$B$6:$B$505,$A78)))</f>
        <v/>
      </c>
      <c r="BN78" s="117" t="str">
        <f>IF($A78="","",IF($K78=0,"n.b.",SUMIFS(STG_Woningetalage!$AK$6:$AK$505,STG_Woningetalage!$B$6:$B$505,$A78)))</f>
        <v/>
      </c>
      <c r="BO78" s="117" t="str">
        <f>IF($A78="","",IF($K78=0,"n.b.",SUMIFS(STG_Woningetalage!$AL$6:$AL$505,STG_Woningetalage!$B$6:$B$505,$A78)))</f>
        <v/>
      </c>
      <c r="BP78" s="117" t="str">
        <f>IF($A78="","",IF($K78=0,"n.b.",SUMIFS(STG_Woningetalage!$AM$6:$AM$505,STG_Woningetalage!$B$6:$B$505,$A78)))</f>
        <v/>
      </c>
      <c r="BQ78" s="117" t="str">
        <f>IF($A78="","",IF($K78=0,"n.b.",SUMIFS(STG_Woningetalage!$BE$6:$BE$505,STG_Woningetalage!$B$6:$B$505,$A78)))</f>
        <v/>
      </c>
      <c r="BR78" s="117" t="str">
        <f>IF($A78="","",IF($K78=0,"n.b.",SUMIFS(STG_Woningetalage!$BF$6:$BF$505,STG_Woningetalage!$B$6:$B$505,$A78)))</f>
        <v/>
      </c>
      <c r="BS78" s="117" t="str">
        <f>IF($A78="","",IF($K78=0,"n.b.",SUMIFS(STG_Woningetalage!$BG$6:$BG$505,STG_Woningetalage!$B$6:$B$505,$A78)))</f>
        <v/>
      </c>
      <c r="BT78" s="117" t="str">
        <f>IF($A78="","",IF($K78=0,"n.b.",SUMIFS(STG_Woningetalage!$BH$6:$BH$505,STG_Woningetalage!$B$6:$B$505,$A78)))</f>
        <v/>
      </c>
      <c r="BU78" s="117" t="str">
        <f>IF($A78="","",IF($K78=0,"n.b.",SUMIFS(STG_Woningetalage!$BI$6:$BI$505,STG_Woningetalage!$B$6:$B$505,$A78)))</f>
        <v/>
      </c>
      <c r="BV78" s="117" t="str">
        <f>IF($A78="","",IF($K78=0,"n.b.",SUMIFS(STG_Woningetalage!$BJ$6:$BJ$505,STG_Woningetalage!$B$6:$B$505,$A78)))</f>
        <v/>
      </c>
      <c r="BW78" s="117" t="str">
        <f>IF($A78="","",IF($K78=0,"n.b.",SUMIFS(STG_Woningetalage!$AR$6:$AR$505,STG_Woningetalage!$B$6:$B$505,$A78)))</f>
        <v/>
      </c>
      <c r="BX78" s="117" t="str">
        <f>IF($A78="","",IF($K78=0,"n.b.",SUMIFS(STG_Woningetalage!$AS$6:$AS$505,STG_Woningetalage!$B$6:$B$505,$A78)))</f>
        <v/>
      </c>
      <c r="BY78" s="117" t="str">
        <f>IF($A78="","",IF($K78=0,"n.b.",SUMIFS(STG_Woningetalage!$AN$6:$AN$505,STG_Woningetalage!$B$6:$B$505,$A78)))</f>
        <v/>
      </c>
      <c r="BZ78" s="117" t="str">
        <f>IF($A78="","",IF($K78=0,"n.b.",SUMIFS(STG_Woningetalage!$AO$6:$AO$505,STG_Woningetalage!$B$6:$B$505,$A78)))</f>
        <v/>
      </c>
      <c r="CA78" s="117" t="str">
        <f>IF($A78="","",IF($K78=0,"n.b.",SUMIFS(STG_Woningetalage!$AP$6:$AP$505,STG_Woningetalage!$B$6:$B$505,$A78)))</f>
        <v/>
      </c>
      <c r="CB78" s="117" t="str">
        <f>IF($A78="","",IF($K78=0,"n.b.",SUMIFS(STG_Woningetalage!$AQ$6:$AQ$505,STG_Woningetalage!$B$6:$B$505,$A78)))</f>
        <v/>
      </c>
      <c r="CC78" s="117" t="str">
        <f>IF($A78="","",IF($K78=0,"n.b.",SUMIFS(STG_Woningetalage!$AU$6:$AU$505,STG_Woningetalage!$B$6:$B$505,$A78)))</f>
        <v/>
      </c>
      <c r="CD78" s="92" t="str">
        <f>IF($A78="","",IFERROR(INDEX(STG_ZPMW03!$L$6:$L$505,MATCH($A78,STG_ZPMW03!$B$6:$B$505,0)),"n.b."))</f>
        <v/>
      </c>
      <c r="CE78" s="92" t="str">
        <f>IF($A78="","",IFERROR(INDEX(STG_ZPMW03!$K$6:$K$505,MATCH($A78,STG_ZPMW03!$B$6:$B$505,0)),"n.b."))</f>
        <v/>
      </c>
      <c r="CF78" s="92" t="str">
        <f>IF($A78="","",IFERROR(INDEX(STG_ZPMW03!$BH$6:$BH$505,MATCH($A78,STG_ZPMW03!$B$6:$B$505,0)),"n.b."))</f>
        <v/>
      </c>
      <c r="CG78" s="92" t="str">
        <f>IF($A78="","",IFERROR(INDEX(STG_ZPMW03!$BI$6:$BI$505,MATCH($A78,STG_ZPMW03!$B$6:$B$505,0)),"n.b."))</f>
        <v/>
      </c>
      <c r="CH78" s="92" t="str">
        <f>IF($A78="","",IFERROR(INDEX(STG_ZPMW03!$BJ$6:$BJ$505,MATCH($A78,STG_ZPMW03!$B$6:$B$505,0)),"n.b."))</f>
        <v/>
      </c>
      <c r="CI78" s="92" t="str">
        <f>IF($A78="","",IFERROR(INDEX(STG_ZPMW03!$BF$6:$BF$505,MATCH($A78,STG_ZPMW03!$B$6:$B$505,0)),"n.b."))</f>
        <v/>
      </c>
      <c r="CJ78" s="92" t="str">
        <f>IF($A78="","",IFERROR(INDEX(STG_ZPMW03!$BG$6:$BG$505,MATCH($A78,STG_ZPMW03!$B$6:$B$505,0)),"n.b."))</f>
        <v/>
      </c>
      <c r="CK78" s="92" t="str">
        <f>IF($A78="","",IFERROR(INDEX(STG_ZPMW03!$H$6:$H$505,MATCH($A78,STG_ZPMW03!$B$6:$B$505,0)),"n.b."))</f>
        <v/>
      </c>
      <c r="CL78" s="92" t="str">
        <f>IF($A78="","",IFERROR(INDEX(STG_ZPMW03!$E$6:$E$505,MATCH($A78,STG_ZPMW03!$B$6:$B$505,0)),"n.b."))</f>
        <v/>
      </c>
      <c r="CM78" s="92" t="str">
        <f>IF($A78="","",IFERROR(INDEX(STG_ZPMW03!$G$6:$G$505,MATCH($A78,STG_ZPMW03!$B$6:$B$505,0)),"n.b."))</f>
        <v/>
      </c>
      <c r="CN78" s="92" t="str">
        <f>IF($A78="","",IFERROR(INDEX(STG_Woningetalage!$N$6:$N$505,MATCH($A78,STG_Woningetalage!$B$6:$B$505,0)),"n.b."))</f>
        <v/>
      </c>
      <c r="CO78" s="92" t="str">
        <f>IF($A78="","",IFERROR(INDEX(STG_Woningetalage!$P$6:$P$505,MATCH($A78,STG_Woningetalage!$B$6:$B$505,0)),"n.b."))</f>
        <v/>
      </c>
      <c r="CP78" s="118" t="str">
        <f>IF($A78="","",IF(AND(ISNUMBER(AT78),ISNUMBER(F78)),IF(F78&gt;0,AT78/(F78/100),"n.b."),"n.b."))</f>
        <v/>
      </c>
      <c r="CQ78" s="116" t="str">
        <f>IF($A78="","",IF(ISNUMBER(Q78),IF(Q78&lt;0,1,0),0))</f>
        <v/>
      </c>
      <c r="CR78" s="116" t="str">
        <f>IF(CQ78=1,COUNTIF($CQ$6:CQ78,1),"")</f>
        <v/>
      </c>
      <c r="CS78" s="116" t="str">
        <f>IF(AND($A78&lt;&gt;"",$J78=0),COUNTIFS($A$6:$A78,"?*",$J$6:$J78,0),"")</f>
        <v/>
      </c>
      <c r="CT78" s="119" t="str">
        <f>IF($A78="","",IF(AND(ISNUMBER(Q78),ISNUMBER(P78)),IF(P78&lt;&gt;0,Q78/P78,"n.b."),"n.b."))</f>
        <v/>
      </c>
    </row>
    <row r="79">
      <c r="A79" s="92" t="str">
        <f>IF(Mapping!$A78="","",Mapping!$A78)</f>
        <v/>
      </c>
      <c r="B79" s="92" t="str">
        <f>IF(Mapping!$B78="","",Mapping!$B78)</f>
        <v/>
      </c>
      <c r="C79" s="92" t="str">
        <f>IF(Mapping!$C78="","",Mapping!$C78)</f>
        <v/>
      </c>
      <c r="D79" s="92" t="str">
        <f>IF(Mapping!$F78="","",Mapping!$F78)</f>
        <v/>
      </c>
      <c r="E79" s="92" t="str">
        <f>IF(Mapping!$H78="","",Mapping!$H78)</f>
        <v/>
      </c>
      <c r="F79" s="92" t="str">
        <f>IF(Mapping!$E78="","",Mapping!$E78)</f>
        <v/>
      </c>
      <c r="G79" s="92" t="str">
        <f>IF(Mapping!$G78="","",Mapping!$G78)</f>
        <v/>
      </c>
      <c r="H79" s="92" t="str">
        <f>IF(Mapping!$D78="","",Mapping!$D78)</f>
        <v/>
      </c>
      <c r="I79" s="92" t="str">
        <f>IF($A79="","",IFERROR(INDEX(STG_ZPMW03!$C$6:$C$505,MATCH($A79,STG_ZPMW03!$B$6:$B$505,0)),"n.b."))</f>
        <v/>
      </c>
      <c r="J79" s="116" t="str">
        <f>IF($A79="","",COUNTIF(STG_ZPMW03!$B$6:$B$505,$A79))</f>
        <v/>
      </c>
      <c r="K79" s="116" t="str">
        <f>IF($A79="","",COUNTIF(STG_Woningetalage!$B$6:$B$505,$A79))</f>
        <v/>
      </c>
      <c r="L79" s="117" t="str">
        <f>IF($A79="","",IF($J79=0,"n.b.",SUMIFS(STG_ZPMW03!$BK$6:$BK$505,STG_ZPMW03!$B$6:$B$505,$A79)))</f>
        <v/>
      </c>
      <c r="M79" s="117" t="str">
        <f>IF($A79="","",IF($J79=0,"n.b.",SUMIFS(STG_ZPMW03!$BL$6:$BL$505,STG_ZPMW03!$B$6:$B$505,$A79)))</f>
        <v/>
      </c>
      <c r="N79" s="117" t="str">
        <f>IF($A79="","",IF($J79=0,"n.b.",SUMIFS(STG_ZPMW03!$BM$6:$BM$505,STG_ZPMW03!$B$6:$B$505,$A79)))</f>
        <v/>
      </c>
      <c r="O79" s="117" t="str">
        <f>IF($A79="","",IF($J79=0,"n.b.",SUMIFS(STG_ZPMW03!$BN$6:$BN$505,STG_ZPMW03!$B$6:$B$505,$A79)))</f>
        <v/>
      </c>
      <c r="P79" s="117" t="str">
        <f>IF($A79="","",IF($J79=0,"n.b.",SUMIFS(STG_ZPMW03!$BO$6:$BO$505,STG_ZPMW03!$B$6:$B$505,$A79)))</f>
        <v/>
      </c>
      <c r="Q79" s="117" t="str">
        <f>IF($A79="","",IF($J79=0,"n.b.",SUMIFS(STG_ZPMW03!$BP$6:$BP$505,STG_ZPMW03!$B$6:$B$505,$A79)))</f>
        <v/>
      </c>
      <c r="R79" s="117" t="str">
        <f>IF($A79="","",IF($J79=0,"n.b.",SUMIFS(STG_ZPMW03!$BQ$6:$BQ$505,STG_ZPMW03!$B$6:$B$505,$A79)))</f>
        <v/>
      </c>
      <c r="S79" s="117" t="str">
        <f>IF($A79="","",IF($J79=0,"n.b.",SUMIFS(STG_ZPMW03!$BR$6:$BR$505,STG_ZPMW03!$B$6:$B$505,$A79)))</f>
        <v/>
      </c>
      <c r="T79" s="117" t="str">
        <f>IF($A79="","",IF($J79=0,"n.b.",SUMIFS(STG_ZPMW03!$BS$6:$BS$505,STG_ZPMW03!$B$6:$B$505,$A79)))</f>
        <v/>
      </c>
      <c r="U79" s="117" t="str">
        <f>IF($A79="","",IF($J79=0,"n.b.",SUMIFS(STG_ZPMW03!$BT$6:$BT$505,STG_ZPMW03!$B$6:$B$505,$A79)))</f>
        <v/>
      </c>
      <c r="V79" s="117" t="str">
        <f>IF($A79="","",IF($J79=0,"n.b.",SUMIFS(STG_ZPMW03!$BU$6:$BU$505,STG_ZPMW03!$B$6:$B$505,$A79)))</f>
        <v/>
      </c>
      <c r="W79" s="117" t="str">
        <f>IF($A79="","",IF($J79=0,"n.b.",SUMIFS(STG_ZPMW03!$BW$6:$BW$505,STG_ZPMW03!$B$6:$B$505,$A79)))</f>
        <v/>
      </c>
      <c r="X79" s="117" t="str">
        <f>IF($A79="","",IF($J79=0,"n.b.",SUMIFS(STG_ZPMW03!$BY$6:$BY$505,STG_ZPMW03!$B$6:$B$505,$A79)))</f>
        <v/>
      </c>
      <c r="Y79" s="117" t="str">
        <f>IF($A79="","",IF($J79=0,"n.b.",SUMIFS(STG_ZPMW03!$CA$6:$CA$505,STG_ZPMW03!$B$6:$B$505,$A79)))</f>
        <v/>
      </c>
      <c r="Z79" s="117" t="str">
        <f>IF($A79="","",IF($J79=0,"n.b.",SUMIFS(STG_ZPMW03!$BV$6:$BV$505,STG_ZPMW03!$B$6:$B$505,$A79)))</f>
        <v/>
      </c>
      <c r="AA79" s="117" t="str">
        <f>IF($A79="","",IF($J79=0,"n.b.",SUMIFS(STG_ZPMW03!$BX$6:$BX$505,STG_ZPMW03!$B$6:$B$505,$A79)))</f>
        <v/>
      </c>
      <c r="AB79" s="117" t="str">
        <f>IF($A79="","",IF($J79=0,"n.b.",SUMIFS(STG_ZPMW03!$BZ$6:$BZ$505,STG_ZPMW03!$B$6:$B$505,$A79)))</f>
        <v/>
      </c>
      <c r="AC79" s="117" t="str">
        <f>IF($A79="","",IF($J79=0,"n.b.",SUMIFS(STG_ZPMW03!$CB$6:$CB$505,STG_ZPMW03!$B$6:$B$505,$A79)))</f>
        <v/>
      </c>
      <c r="AD79" s="117" t="str">
        <f>IF($A79="","",IF($J79=0,"n.b.",SUMIFS(STG_ZPMW03!$CC$6:$CC$505,STG_ZPMW03!$B$6:$B$505,$A79)))</f>
        <v/>
      </c>
      <c r="AE79" s="117" t="str">
        <f>IF($A79="","",IF($J79=0,"n.b.",SUMIFS(STG_ZPMW03!$CE$6:$CE$505,STG_ZPMW03!$B$6:$B$505,$A79)))</f>
        <v/>
      </c>
      <c r="AF79" s="117" t="str">
        <f>IF($A79="","",IF($J79=0,"n.b.",SUMIFS(STG_ZPMW03!$CG$6:$CG$505,STG_ZPMW03!$B$6:$B$505,$A79)))</f>
        <v/>
      </c>
      <c r="AG79" s="117" t="str">
        <f>IF($A79="","",IF($J79=0,"n.b.",SUMIFS(STG_ZPMW03!$CI$6:$CI$505,STG_ZPMW03!$B$6:$B$505,$A79)))</f>
        <v/>
      </c>
      <c r="AH79" s="117" t="str">
        <f>IF($A79="","",IF($J79=0,"n.b.",SUMIFS(STG_ZPMW03!$CK$6:$CK$505,STG_ZPMW03!$B$6:$B$505,$A79)))</f>
        <v/>
      </c>
      <c r="AI79" s="117" t="str">
        <f>IF($A79="","",IF($J79=0,"n.b.",SUMIFS(STG_ZPMW03!$CM$6:$CM$505,STG_ZPMW03!$B$6:$B$505,$A79)))</f>
        <v/>
      </c>
      <c r="AJ79" s="117" t="str">
        <f>IF($A79="","",IF($J79=0,"n.b.",SUMIFS(STG_ZPMW03!$CO$6:$CO$505,STG_ZPMW03!$B$6:$B$505,$A79)))</f>
        <v/>
      </c>
      <c r="AK79" s="117" t="str">
        <f>IF($A79="","",IF($J79=0,"n.b.",SUMIFS(STG_ZPMW03!$CQ$6:$CQ$505,STG_ZPMW03!$B$6:$B$505,$A79)))</f>
        <v/>
      </c>
      <c r="AL79" s="117" t="str">
        <f>IF($A79="","",IF($J79=0,"n.b.",SUMIFS(STG_ZPMW03!$CD$6:$CD$505,STG_ZPMW03!$B$6:$B$505,$A79)))</f>
        <v/>
      </c>
      <c r="AM79" s="117" t="str">
        <f>IF($A79="","",IF($J79=0,"n.b.",SUMIFS(STG_ZPMW03!$CF$6:$CF$505,STG_ZPMW03!$B$6:$B$505,$A79)))</f>
        <v/>
      </c>
      <c r="AN79" s="117" t="str">
        <f>IF($A79="","",IF($J79=0,"n.b.",SUMIFS(STG_ZPMW03!$CH$6:$CH$505,STG_ZPMW03!$B$6:$B$505,$A79)))</f>
        <v/>
      </c>
      <c r="AO79" s="117" t="str">
        <f>IF($A79="","",IF($J79=0,"n.b.",SUMIFS(STG_ZPMW03!$CJ$6:$CJ$505,STG_ZPMW03!$B$6:$B$505,$A79)))</f>
        <v/>
      </c>
      <c r="AP79" s="117" t="str">
        <f>IF($A79="","",IF($J79=0,"n.b.",SUMIFS(STG_ZPMW03!$CL$6:$CL$505,STG_ZPMW03!$B$6:$B$505,$A79)))</f>
        <v/>
      </c>
      <c r="AQ79" s="117" t="str">
        <f>IF($A79="","",IF($J79=0,"n.b.",SUMIFS(STG_ZPMW03!$CN$6:$CN$505,STG_ZPMW03!$B$6:$B$505,$A79)))</f>
        <v/>
      </c>
      <c r="AR79" s="117" t="str">
        <f>IF($A79="","",IF($J79=0,"n.b.",SUMIFS(STG_ZPMW03!$CP$6:$CP$505,STG_ZPMW03!$B$6:$B$505,$A79)))</f>
        <v/>
      </c>
      <c r="AS79" s="117" t="str">
        <f>IF($A79="","",IF($J79=0,"n.b.",SUMIFS(STG_ZPMW03!$CR$6:$CR$505,STG_ZPMW03!$B$6:$B$505,$A79)))</f>
        <v/>
      </c>
      <c r="AT79" s="117" t="str">
        <f>IF($A79="","",IF($K79=0,"n.b.",SUMIFS(STG_Woningetalage!$Q$6:$Q$505,STG_Woningetalage!$B$6:$B$505,$A79)))</f>
        <v/>
      </c>
      <c r="AU79" s="117" t="str">
        <f>IF($A79="","",IF($K79=0,"n.b.",SUMIFS(STG_Woningetalage!$R$6:$R$505,STG_Woningetalage!$B$6:$B$505,$A79)))</f>
        <v/>
      </c>
      <c r="AV79" s="117" t="str">
        <f>IF($A79="","",IF($K79=0,"n.b.",SUMIFS(STG_Woningetalage!$S$6:$S$505,STG_Woningetalage!$B$6:$B$505,$A79)))</f>
        <v/>
      </c>
      <c r="AW79" s="117" t="str">
        <f>IF($A79="","",IF($K79=0,"n.b.",SUMIFS(STG_Woningetalage!$T$6:$T$505,STG_Woningetalage!$B$6:$B$505,$A79)))</f>
        <v/>
      </c>
      <c r="AX79" s="117" t="str">
        <f>IF($A79="","",IF($K79=0,"n.b.",SUMIFS(STG_Woningetalage!$U$6:$U$505,STG_Woningetalage!$B$6:$B$505,$A79)))</f>
        <v/>
      </c>
      <c r="AY79" s="117" t="str">
        <f>IF($A79="","",IF($K79=0,"n.b.",SUMIFS(STG_Woningetalage!$V$6:$V$505,STG_Woningetalage!$B$6:$B$505,$A79)))</f>
        <v/>
      </c>
      <c r="AZ79" s="117" t="str">
        <f>IF($A79="","",IF($K79=0,"n.b.",SUMIFS(STG_Woningetalage!$W$6:$W$505,STG_Woningetalage!$B$6:$B$505,$A79)))</f>
        <v/>
      </c>
      <c r="BA79" s="117" t="str">
        <f>IF($A79="","",IF($K79=0,"n.b.",SUMIFS(STG_Woningetalage!$X$6:$X$505,STG_Woningetalage!$B$6:$B$505,$A79)))</f>
        <v/>
      </c>
      <c r="BB79" s="117" t="str">
        <f>IF($A79="","",IF($K79=0,"n.b.",SUMIFS(STG_Woningetalage!$Y$6:$Y$505,STG_Woningetalage!$B$6:$B$505,$A79)))</f>
        <v/>
      </c>
      <c r="BC79" s="117" t="str">
        <f>IF($A79="","",IF($K79=0,"n.b.",SUMIFS(STG_Woningetalage!$Z$6:$Z$505,STG_Woningetalage!$B$6:$B$505,$A79)))</f>
        <v/>
      </c>
      <c r="BD79" s="117" t="str">
        <f>IF($A79="","",IF($K79=0,"n.b.",SUMIFS(STG_Woningetalage!$AA$6:$AA$505,STG_Woningetalage!$B$6:$B$505,$A79)))</f>
        <v/>
      </c>
      <c r="BE79" s="117" t="str">
        <f>IF($A79="","",IF($K79=0,"n.b.",SUMIFS(STG_Woningetalage!$AB$6:$AB$505,STG_Woningetalage!$B$6:$B$505,$A79)))</f>
        <v/>
      </c>
      <c r="BF79" s="117" t="str">
        <f>IF($A79="","",IF($K79=0,"n.b.",SUMIFS(STG_Woningetalage!$AC$6:$AC$505,STG_Woningetalage!$B$6:$B$505,$A79)))</f>
        <v/>
      </c>
      <c r="BG79" s="117" t="str">
        <f>IF($A79="","",IF($K79=0,"n.b.",SUMIFS(STG_Woningetalage!$AD$6:$AD$505,STG_Woningetalage!$B$6:$B$505,$A79)))</f>
        <v/>
      </c>
      <c r="BH79" s="117" t="str">
        <f>IF($A79="","",IF($K79=0,"n.b.",SUMIFS(STG_Woningetalage!$AE$6:$AE$505,STG_Woningetalage!$B$6:$B$505,$A79)))</f>
        <v/>
      </c>
      <c r="BI79" s="117" t="str">
        <f>IF($A79="","",IF($K79=0,"n.b.",SUMIFS(STG_Woningetalage!$AF$6:$AF$505,STG_Woningetalage!$B$6:$B$505,$A79)))</f>
        <v/>
      </c>
      <c r="BJ79" s="117" t="str">
        <f>IF($A79="","",IF($K79=0,"n.b.",SUMIFS(STG_Woningetalage!$AG$6:$AG$505,STG_Woningetalage!$B$6:$B$505,$A79)))</f>
        <v/>
      </c>
      <c r="BK79" s="117" t="str">
        <f>IF($A79="","",IF($K79=0,"n.b.",SUMIFS(STG_Woningetalage!$AH$6:$AH$505,STG_Woningetalage!$B$6:$B$505,$A79)))</f>
        <v/>
      </c>
      <c r="BL79" s="117" t="str">
        <f>IF($A79="","",IF($K79=0,"n.b.",SUMIFS(STG_Woningetalage!$AI$6:$AI$505,STG_Woningetalage!$B$6:$B$505,$A79)))</f>
        <v/>
      </c>
      <c r="BM79" s="117" t="str">
        <f>IF($A79="","",IF($K79=0,"n.b.",SUMIFS(STG_Woningetalage!$AJ$6:$AJ$505,STG_Woningetalage!$B$6:$B$505,$A79)))</f>
        <v/>
      </c>
      <c r="BN79" s="117" t="str">
        <f>IF($A79="","",IF($K79=0,"n.b.",SUMIFS(STG_Woningetalage!$AK$6:$AK$505,STG_Woningetalage!$B$6:$B$505,$A79)))</f>
        <v/>
      </c>
      <c r="BO79" s="117" t="str">
        <f>IF($A79="","",IF($K79=0,"n.b.",SUMIFS(STG_Woningetalage!$AL$6:$AL$505,STG_Woningetalage!$B$6:$B$505,$A79)))</f>
        <v/>
      </c>
      <c r="BP79" s="117" t="str">
        <f>IF($A79="","",IF($K79=0,"n.b.",SUMIFS(STG_Woningetalage!$AM$6:$AM$505,STG_Woningetalage!$B$6:$B$505,$A79)))</f>
        <v/>
      </c>
      <c r="BQ79" s="117" t="str">
        <f>IF($A79="","",IF($K79=0,"n.b.",SUMIFS(STG_Woningetalage!$BE$6:$BE$505,STG_Woningetalage!$B$6:$B$505,$A79)))</f>
        <v/>
      </c>
      <c r="BR79" s="117" t="str">
        <f>IF($A79="","",IF($K79=0,"n.b.",SUMIFS(STG_Woningetalage!$BF$6:$BF$505,STG_Woningetalage!$B$6:$B$505,$A79)))</f>
        <v/>
      </c>
      <c r="BS79" s="117" t="str">
        <f>IF($A79="","",IF($K79=0,"n.b.",SUMIFS(STG_Woningetalage!$BG$6:$BG$505,STG_Woningetalage!$B$6:$B$505,$A79)))</f>
        <v/>
      </c>
      <c r="BT79" s="117" t="str">
        <f>IF($A79="","",IF($K79=0,"n.b.",SUMIFS(STG_Woningetalage!$BH$6:$BH$505,STG_Woningetalage!$B$6:$B$505,$A79)))</f>
        <v/>
      </c>
      <c r="BU79" s="117" t="str">
        <f>IF($A79="","",IF($K79=0,"n.b.",SUMIFS(STG_Woningetalage!$BI$6:$BI$505,STG_Woningetalage!$B$6:$B$505,$A79)))</f>
        <v/>
      </c>
      <c r="BV79" s="117" t="str">
        <f>IF($A79="","",IF($K79=0,"n.b.",SUMIFS(STG_Woningetalage!$BJ$6:$BJ$505,STG_Woningetalage!$B$6:$B$505,$A79)))</f>
        <v/>
      </c>
      <c r="BW79" s="117" t="str">
        <f>IF($A79="","",IF($K79=0,"n.b.",SUMIFS(STG_Woningetalage!$AR$6:$AR$505,STG_Woningetalage!$B$6:$B$505,$A79)))</f>
        <v/>
      </c>
      <c r="BX79" s="117" t="str">
        <f>IF($A79="","",IF($K79=0,"n.b.",SUMIFS(STG_Woningetalage!$AS$6:$AS$505,STG_Woningetalage!$B$6:$B$505,$A79)))</f>
        <v/>
      </c>
      <c r="BY79" s="117" t="str">
        <f>IF($A79="","",IF($K79=0,"n.b.",SUMIFS(STG_Woningetalage!$AN$6:$AN$505,STG_Woningetalage!$B$6:$B$505,$A79)))</f>
        <v/>
      </c>
      <c r="BZ79" s="117" t="str">
        <f>IF($A79="","",IF($K79=0,"n.b.",SUMIFS(STG_Woningetalage!$AO$6:$AO$505,STG_Woningetalage!$B$6:$B$505,$A79)))</f>
        <v/>
      </c>
      <c r="CA79" s="117" t="str">
        <f>IF($A79="","",IF($K79=0,"n.b.",SUMIFS(STG_Woningetalage!$AP$6:$AP$505,STG_Woningetalage!$B$6:$B$505,$A79)))</f>
        <v/>
      </c>
      <c r="CB79" s="117" t="str">
        <f>IF($A79="","",IF($K79=0,"n.b.",SUMIFS(STG_Woningetalage!$AQ$6:$AQ$505,STG_Woningetalage!$B$6:$B$505,$A79)))</f>
        <v/>
      </c>
      <c r="CC79" s="117" t="str">
        <f>IF($A79="","",IF($K79=0,"n.b.",SUMIFS(STG_Woningetalage!$AU$6:$AU$505,STG_Woningetalage!$B$6:$B$505,$A79)))</f>
        <v/>
      </c>
      <c r="CD79" s="92" t="str">
        <f>IF($A79="","",IFERROR(INDEX(STG_ZPMW03!$L$6:$L$505,MATCH($A79,STG_ZPMW03!$B$6:$B$505,0)),"n.b."))</f>
        <v/>
      </c>
      <c r="CE79" s="92" t="str">
        <f>IF($A79="","",IFERROR(INDEX(STG_ZPMW03!$K$6:$K$505,MATCH($A79,STG_ZPMW03!$B$6:$B$505,0)),"n.b."))</f>
        <v/>
      </c>
      <c r="CF79" s="92" t="str">
        <f>IF($A79="","",IFERROR(INDEX(STG_ZPMW03!$BH$6:$BH$505,MATCH($A79,STG_ZPMW03!$B$6:$B$505,0)),"n.b."))</f>
        <v/>
      </c>
      <c r="CG79" s="92" t="str">
        <f>IF($A79="","",IFERROR(INDEX(STG_ZPMW03!$BI$6:$BI$505,MATCH($A79,STG_ZPMW03!$B$6:$B$505,0)),"n.b."))</f>
        <v/>
      </c>
      <c r="CH79" s="92" t="str">
        <f>IF($A79="","",IFERROR(INDEX(STG_ZPMW03!$BJ$6:$BJ$505,MATCH($A79,STG_ZPMW03!$B$6:$B$505,0)),"n.b."))</f>
        <v/>
      </c>
      <c r="CI79" s="92" t="str">
        <f>IF($A79="","",IFERROR(INDEX(STG_ZPMW03!$BF$6:$BF$505,MATCH($A79,STG_ZPMW03!$B$6:$B$505,0)),"n.b."))</f>
        <v/>
      </c>
      <c r="CJ79" s="92" t="str">
        <f>IF($A79="","",IFERROR(INDEX(STG_ZPMW03!$BG$6:$BG$505,MATCH($A79,STG_ZPMW03!$B$6:$B$505,0)),"n.b."))</f>
        <v/>
      </c>
      <c r="CK79" s="92" t="str">
        <f>IF($A79="","",IFERROR(INDEX(STG_ZPMW03!$H$6:$H$505,MATCH($A79,STG_ZPMW03!$B$6:$B$505,0)),"n.b."))</f>
        <v/>
      </c>
      <c r="CL79" s="92" t="str">
        <f>IF($A79="","",IFERROR(INDEX(STG_ZPMW03!$E$6:$E$505,MATCH($A79,STG_ZPMW03!$B$6:$B$505,0)),"n.b."))</f>
        <v/>
      </c>
      <c r="CM79" s="92" t="str">
        <f>IF($A79="","",IFERROR(INDEX(STG_ZPMW03!$G$6:$G$505,MATCH($A79,STG_ZPMW03!$B$6:$B$505,0)),"n.b."))</f>
        <v/>
      </c>
      <c r="CN79" s="92" t="str">
        <f>IF($A79="","",IFERROR(INDEX(STG_Woningetalage!$N$6:$N$505,MATCH($A79,STG_Woningetalage!$B$6:$B$505,0)),"n.b."))</f>
        <v/>
      </c>
      <c r="CO79" s="92" t="str">
        <f>IF($A79="","",IFERROR(INDEX(STG_Woningetalage!$P$6:$P$505,MATCH($A79,STG_Woningetalage!$B$6:$B$505,0)),"n.b."))</f>
        <v/>
      </c>
      <c r="CP79" s="118" t="str">
        <f>IF($A79="","",IF(AND(ISNUMBER(AT79),ISNUMBER(F79)),IF(F79&gt;0,AT79/(F79/100),"n.b."),"n.b."))</f>
        <v/>
      </c>
      <c r="CQ79" s="116" t="str">
        <f>IF($A79="","",IF(ISNUMBER(Q79),IF(Q79&lt;0,1,0),0))</f>
        <v/>
      </c>
      <c r="CR79" s="116" t="str">
        <f>IF(CQ79=1,COUNTIF($CQ$6:CQ79,1),"")</f>
        <v/>
      </c>
      <c r="CS79" s="116" t="str">
        <f>IF(AND($A79&lt;&gt;"",$J79=0),COUNTIFS($A$6:$A79,"?*",$J$6:$J79,0),"")</f>
        <v/>
      </c>
      <c r="CT79" s="119" t="str">
        <f>IF($A79="","",IF(AND(ISNUMBER(Q79),ISNUMBER(P79)),IF(P79&lt;&gt;0,Q79/P79,"n.b."),"n.b."))</f>
        <v/>
      </c>
    </row>
    <row r="80">
      <c r="A80" s="92" t="str">
        <f>IF(Mapping!$A79="","",Mapping!$A79)</f>
        <v/>
      </c>
      <c r="B80" s="92" t="str">
        <f>IF(Mapping!$B79="","",Mapping!$B79)</f>
        <v/>
      </c>
      <c r="C80" s="92" t="str">
        <f>IF(Mapping!$C79="","",Mapping!$C79)</f>
        <v/>
      </c>
      <c r="D80" s="92" t="str">
        <f>IF(Mapping!$F79="","",Mapping!$F79)</f>
        <v/>
      </c>
      <c r="E80" s="92" t="str">
        <f>IF(Mapping!$H79="","",Mapping!$H79)</f>
        <v/>
      </c>
      <c r="F80" s="92" t="str">
        <f>IF(Mapping!$E79="","",Mapping!$E79)</f>
        <v/>
      </c>
      <c r="G80" s="92" t="str">
        <f>IF(Mapping!$G79="","",Mapping!$G79)</f>
        <v/>
      </c>
      <c r="H80" s="92" t="str">
        <f>IF(Mapping!$D79="","",Mapping!$D79)</f>
        <v/>
      </c>
      <c r="I80" s="92" t="str">
        <f>IF($A80="","",IFERROR(INDEX(STG_ZPMW03!$C$6:$C$505,MATCH($A80,STG_ZPMW03!$B$6:$B$505,0)),"n.b."))</f>
        <v/>
      </c>
      <c r="J80" s="116" t="str">
        <f>IF($A80="","",COUNTIF(STG_ZPMW03!$B$6:$B$505,$A80))</f>
        <v/>
      </c>
      <c r="K80" s="116" t="str">
        <f>IF($A80="","",COUNTIF(STG_Woningetalage!$B$6:$B$505,$A80))</f>
        <v/>
      </c>
      <c r="L80" s="117" t="str">
        <f>IF($A80="","",IF($J80=0,"n.b.",SUMIFS(STG_ZPMW03!$BK$6:$BK$505,STG_ZPMW03!$B$6:$B$505,$A80)))</f>
        <v/>
      </c>
      <c r="M80" s="117" t="str">
        <f>IF($A80="","",IF($J80=0,"n.b.",SUMIFS(STG_ZPMW03!$BL$6:$BL$505,STG_ZPMW03!$B$6:$B$505,$A80)))</f>
        <v/>
      </c>
      <c r="N80" s="117" t="str">
        <f>IF($A80="","",IF($J80=0,"n.b.",SUMIFS(STG_ZPMW03!$BM$6:$BM$505,STG_ZPMW03!$B$6:$B$505,$A80)))</f>
        <v/>
      </c>
      <c r="O80" s="117" t="str">
        <f>IF($A80="","",IF($J80=0,"n.b.",SUMIFS(STG_ZPMW03!$BN$6:$BN$505,STG_ZPMW03!$B$6:$B$505,$A80)))</f>
        <v/>
      </c>
      <c r="P80" s="117" t="str">
        <f>IF($A80="","",IF($J80=0,"n.b.",SUMIFS(STG_ZPMW03!$BO$6:$BO$505,STG_ZPMW03!$B$6:$B$505,$A80)))</f>
        <v/>
      </c>
      <c r="Q80" s="117" t="str">
        <f>IF($A80="","",IF($J80=0,"n.b.",SUMIFS(STG_ZPMW03!$BP$6:$BP$505,STG_ZPMW03!$B$6:$B$505,$A80)))</f>
        <v/>
      </c>
      <c r="R80" s="117" t="str">
        <f>IF($A80="","",IF($J80=0,"n.b.",SUMIFS(STG_ZPMW03!$BQ$6:$BQ$505,STG_ZPMW03!$B$6:$B$505,$A80)))</f>
        <v/>
      </c>
      <c r="S80" s="117" t="str">
        <f>IF($A80="","",IF($J80=0,"n.b.",SUMIFS(STG_ZPMW03!$BR$6:$BR$505,STG_ZPMW03!$B$6:$B$505,$A80)))</f>
        <v/>
      </c>
      <c r="T80" s="117" t="str">
        <f>IF($A80="","",IF($J80=0,"n.b.",SUMIFS(STG_ZPMW03!$BS$6:$BS$505,STG_ZPMW03!$B$6:$B$505,$A80)))</f>
        <v/>
      </c>
      <c r="U80" s="117" t="str">
        <f>IF($A80="","",IF($J80=0,"n.b.",SUMIFS(STG_ZPMW03!$BT$6:$BT$505,STG_ZPMW03!$B$6:$B$505,$A80)))</f>
        <v/>
      </c>
      <c r="V80" s="117" t="str">
        <f>IF($A80="","",IF($J80=0,"n.b.",SUMIFS(STG_ZPMW03!$BU$6:$BU$505,STG_ZPMW03!$B$6:$B$505,$A80)))</f>
        <v/>
      </c>
      <c r="W80" s="117" t="str">
        <f>IF($A80="","",IF($J80=0,"n.b.",SUMIFS(STG_ZPMW03!$BW$6:$BW$505,STG_ZPMW03!$B$6:$B$505,$A80)))</f>
        <v/>
      </c>
      <c r="X80" s="117" t="str">
        <f>IF($A80="","",IF($J80=0,"n.b.",SUMIFS(STG_ZPMW03!$BY$6:$BY$505,STG_ZPMW03!$B$6:$B$505,$A80)))</f>
        <v/>
      </c>
      <c r="Y80" s="117" t="str">
        <f>IF($A80="","",IF($J80=0,"n.b.",SUMIFS(STG_ZPMW03!$CA$6:$CA$505,STG_ZPMW03!$B$6:$B$505,$A80)))</f>
        <v/>
      </c>
      <c r="Z80" s="117" t="str">
        <f>IF($A80="","",IF($J80=0,"n.b.",SUMIFS(STG_ZPMW03!$BV$6:$BV$505,STG_ZPMW03!$B$6:$B$505,$A80)))</f>
        <v/>
      </c>
      <c r="AA80" s="117" t="str">
        <f>IF($A80="","",IF($J80=0,"n.b.",SUMIFS(STG_ZPMW03!$BX$6:$BX$505,STG_ZPMW03!$B$6:$B$505,$A80)))</f>
        <v/>
      </c>
      <c r="AB80" s="117" t="str">
        <f>IF($A80="","",IF($J80=0,"n.b.",SUMIFS(STG_ZPMW03!$BZ$6:$BZ$505,STG_ZPMW03!$B$6:$B$505,$A80)))</f>
        <v/>
      </c>
      <c r="AC80" s="117" t="str">
        <f>IF($A80="","",IF($J80=0,"n.b.",SUMIFS(STG_ZPMW03!$CB$6:$CB$505,STG_ZPMW03!$B$6:$B$505,$A80)))</f>
        <v/>
      </c>
      <c r="AD80" s="117" t="str">
        <f>IF($A80="","",IF($J80=0,"n.b.",SUMIFS(STG_ZPMW03!$CC$6:$CC$505,STG_ZPMW03!$B$6:$B$505,$A80)))</f>
        <v/>
      </c>
      <c r="AE80" s="117" t="str">
        <f>IF($A80="","",IF($J80=0,"n.b.",SUMIFS(STG_ZPMW03!$CE$6:$CE$505,STG_ZPMW03!$B$6:$B$505,$A80)))</f>
        <v/>
      </c>
      <c r="AF80" s="117" t="str">
        <f>IF($A80="","",IF($J80=0,"n.b.",SUMIFS(STG_ZPMW03!$CG$6:$CG$505,STG_ZPMW03!$B$6:$B$505,$A80)))</f>
        <v/>
      </c>
      <c r="AG80" s="117" t="str">
        <f>IF($A80="","",IF($J80=0,"n.b.",SUMIFS(STG_ZPMW03!$CI$6:$CI$505,STG_ZPMW03!$B$6:$B$505,$A80)))</f>
        <v/>
      </c>
      <c r="AH80" s="117" t="str">
        <f>IF($A80="","",IF($J80=0,"n.b.",SUMIFS(STG_ZPMW03!$CK$6:$CK$505,STG_ZPMW03!$B$6:$B$505,$A80)))</f>
        <v/>
      </c>
      <c r="AI80" s="117" t="str">
        <f>IF($A80="","",IF($J80=0,"n.b.",SUMIFS(STG_ZPMW03!$CM$6:$CM$505,STG_ZPMW03!$B$6:$B$505,$A80)))</f>
        <v/>
      </c>
      <c r="AJ80" s="117" t="str">
        <f>IF($A80="","",IF($J80=0,"n.b.",SUMIFS(STG_ZPMW03!$CO$6:$CO$505,STG_ZPMW03!$B$6:$B$505,$A80)))</f>
        <v/>
      </c>
      <c r="AK80" s="117" t="str">
        <f>IF($A80="","",IF($J80=0,"n.b.",SUMIFS(STG_ZPMW03!$CQ$6:$CQ$505,STG_ZPMW03!$B$6:$B$505,$A80)))</f>
        <v/>
      </c>
      <c r="AL80" s="117" t="str">
        <f>IF($A80="","",IF($J80=0,"n.b.",SUMIFS(STG_ZPMW03!$CD$6:$CD$505,STG_ZPMW03!$B$6:$B$505,$A80)))</f>
        <v/>
      </c>
      <c r="AM80" s="117" t="str">
        <f>IF($A80="","",IF($J80=0,"n.b.",SUMIFS(STG_ZPMW03!$CF$6:$CF$505,STG_ZPMW03!$B$6:$B$505,$A80)))</f>
        <v/>
      </c>
      <c r="AN80" s="117" t="str">
        <f>IF($A80="","",IF($J80=0,"n.b.",SUMIFS(STG_ZPMW03!$CH$6:$CH$505,STG_ZPMW03!$B$6:$B$505,$A80)))</f>
        <v/>
      </c>
      <c r="AO80" s="117" t="str">
        <f>IF($A80="","",IF($J80=0,"n.b.",SUMIFS(STG_ZPMW03!$CJ$6:$CJ$505,STG_ZPMW03!$B$6:$B$505,$A80)))</f>
        <v/>
      </c>
      <c r="AP80" s="117" t="str">
        <f>IF($A80="","",IF($J80=0,"n.b.",SUMIFS(STG_ZPMW03!$CL$6:$CL$505,STG_ZPMW03!$B$6:$B$505,$A80)))</f>
        <v/>
      </c>
      <c r="AQ80" s="117" t="str">
        <f>IF($A80="","",IF($J80=0,"n.b.",SUMIFS(STG_ZPMW03!$CN$6:$CN$505,STG_ZPMW03!$B$6:$B$505,$A80)))</f>
        <v/>
      </c>
      <c r="AR80" s="117" t="str">
        <f>IF($A80="","",IF($J80=0,"n.b.",SUMIFS(STG_ZPMW03!$CP$6:$CP$505,STG_ZPMW03!$B$6:$B$505,$A80)))</f>
        <v/>
      </c>
      <c r="AS80" s="117" t="str">
        <f>IF($A80="","",IF($J80=0,"n.b.",SUMIFS(STG_ZPMW03!$CR$6:$CR$505,STG_ZPMW03!$B$6:$B$505,$A80)))</f>
        <v/>
      </c>
      <c r="AT80" s="117" t="str">
        <f>IF($A80="","",IF($K80=0,"n.b.",SUMIFS(STG_Woningetalage!$Q$6:$Q$505,STG_Woningetalage!$B$6:$B$505,$A80)))</f>
        <v/>
      </c>
      <c r="AU80" s="117" t="str">
        <f>IF($A80="","",IF($K80=0,"n.b.",SUMIFS(STG_Woningetalage!$R$6:$R$505,STG_Woningetalage!$B$6:$B$505,$A80)))</f>
        <v/>
      </c>
      <c r="AV80" s="117" t="str">
        <f>IF($A80="","",IF($K80=0,"n.b.",SUMIFS(STG_Woningetalage!$S$6:$S$505,STG_Woningetalage!$B$6:$B$505,$A80)))</f>
        <v/>
      </c>
      <c r="AW80" s="117" t="str">
        <f>IF($A80="","",IF($K80=0,"n.b.",SUMIFS(STG_Woningetalage!$T$6:$T$505,STG_Woningetalage!$B$6:$B$505,$A80)))</f>
        <v/>
      </c>
      <c r="AX80" s="117" t="str">
        <f>IF($A80="","",IF($K80=0,"n.b.",SUMIFS(STG_Woningetalage!$U$6:$U$505,STG_Woningetalage!$B$6:$B$505,$A80)))</f>
        <v/>
      </c>
      <c r="AY80" s="117" t="str">
        <f>IF($A80="","",IF($K80=0,"n.b.",SUMIFS(STG_Woningetalage!$V$6:$V$505,STG_Woningetalage!$B$6:$B$505,$A80)))</f>
        <v/>
      </c>
      <c r="AZ80" s="117" t="str">
        <f>IF($A80="","",IF($K80=0,"n.b.",SUMIFS(STG_Woningetalage!$W$6:$W$505,STG_Woningetalage!$B$6:$B$505,$A80)))</f>
        <v/>
      </c>
      <c r="BA80" s="117" t="str">
        <f>IF($A80="","",IF($K80=0,"n.b.",SUMIFS(STG_Woningetalage!$X$6:$X$505,STG_Woningetalage!$B$6:$B$505,$A80)))</f>
        <v/>
      </c>
      <c r="BB80" s="117" t="str">
        <f>IF($A80="","",IF($K80=0,"n.b.",SUMIFS(STG_Woningetalage!$Y$6:$Y$505,STG_Woningetalage!$B$6:$B$505,$A80)))</f>
        <v/>
      </c>
      <c r="BC80" s="117" t="str">
        <f>IF($A80="","",IF($K80=0,"n.b.",SUMIFS(STG_Woningetalage!$Z$6:$Z$505,STG_Woningetalage!$B$6:$B$505,$A80)))</f>
        <v/>
      </c>
      <c r="BD80" s="117" t="str">
        <f>IF($A80="","",IF($K80=0,"n.b.",SUMIFS(STG_Woningetalage!$AA$6:$AA$505,STG_Woningetalage!$B$6:$B$505,$A80)))</f>
        <v/>
      </c>
      <c r="BE80" s="117" t="str">
        <f>IF($A80="","",IF($K80=0,"n.b.",SUMIFS(STG_Woningetalage!$AB$6:$AB$505,STG_Woningetalage!$B$6:$B$505,$A80)))</f>
        <v/>
      </c>
      <c r="BF80" s="117" t="str">
        <f>IF($A80="","",IF($K80=0,"n.b.",SUMIFS(STG_Woningetalage!$AC$6:$AC$505,STG_Woningetalage!$B$6:$B$505,$A80)))</f>
        <v/>
      </c>
      <c r="BG80" s="117" t="str">
        <f>IF($A80="","",IF($K80=0,"n.b.",SUMIFS(STG_Woningetalage!$AD$6:$AD$505,STG_Woningetalage!$B$6:$B$505,$A80)))</f>
        <v/>
      </c>
      <c r="BH80" s="117" t="str">
        <f>IF($A80="","",IF($K80=0,"n.b.",SUMIFS(STG_Woningetalage!$AE$6:$AE$505,STG_Woningetalage!$B$6:$B$505,$A80)))</f>
        <v/>
      </c>
      <c r="BI80" s="117" t="str">
        <f>IF($A80="","",IF($K80=0,"n.b.",SUMIFS(STG_Woningetalage!$AF$6:$AF$505,STG_Woningetalage!$B$6:$B$505,$A80)))</f>
        <v/>
      </c>
      <c r="BJ80" s="117" t="str">
        <f>IF($A80="","",IF($K80=0,"n.b.",SUMIFS(STG_Woningetalage!$AG$6:$AG$505,STG_Woningetalage!$B$6:$B$505,$A80)))</f>
        <v/>
      </c>
      <c r="BK80" s="117" t="str">
        <f>IF($A80="","",IF($K80=0,"n.b.",SUMIFS(STG_Woningetalage!$AH$6:$AH$505,STG_Woningetalage!$B$6:$B$505,$A80)))</f>
        <v/>
      </c>
      <c r="BL80" s="117" t="str">
        <f>IF($A80="","",IF($K80=0,"n.b.",SUMIFS(STG_Woningetalage!$AI$6:$AI$505,STG_Woningetalage!$B$6:$B$505,$A80)))</f>
        <v/>
      </c>
      <c r="BM80" s="117" t="str">
        <f>IF($A80="","",IF($K80=0,"n.b.",SUMIFS(STG_Woningetalage!$AJ$6:$AJ$505,STG_Woningetalage!$B$6:$B$505,$A80)))</f>
        <v/>
      </c>
      <c r="BN80" s="117" t="str">
        <f>IF($A80="","",IF($K80=0,"n.b.",SUMIFS(STG_Woningetalage!$AK$6:$AK$505,STG_Woningetalage!$B$6:$B$505,$A80)))</f>
        <v/>
      </c>
      <c r="BO80" s="117" t="str">
        <f>IF($A80="","",IF($K80=0,"n.b.",SUMIFS(STG_Woningetalage!$AL$6:$AL$505,STG_Woningetalage!$B$6:$B$505,$A80)))</f>
        <v/>
      </c>
      <c r="BP80" s="117" t="str">
        <f>IF($A80="","",IF($K80=0,"n.b.",SUMIFS(STG_Woningetalage!$AM$6:$AM$505,STG_Woningetalage!$B$6:$B$505,$A80)))</f>
        <v/>
      </c>
      <c r="BQ80" s="117" t="str">
        <f>IF($A80="","",IF($K80=0,"n.b.",SUMIFS(STG_Woningetalage!$BE$6:$BE$505,STG_Woningetalage!$B$6:$B$505,$A80)))</f>
        <v/>
      </c>
      <c r="BR80" s="117" t="str">
        <f>IF($A80="","",IF($K80=0,"n.b.",SUMIFS(STG_Woningetalage!$BF$6:$BF$505,STG_Woningetalage!$B$6:$B$505,$A80)))</f>
        <v/>
      </c>
      <c r="BS80" s="117" t="str">
        <f>IF($A80="","",IF($K80=0,"n.b.",SUMIFS(STG_Woningetalage!$BG$6:$BG$505,STG_Woningetalage!$B$6:$B$505,$A80)))</f>
        <v/>
      </c>
      <c r="BT80" s="117" t="str">
        <f>IF($A80="","",IF($K80=0,"n.b.",SUMIFS(STG_Woningetalage!$BH$6:$BH$505,STG_Woningetalage!$B$6:$B$505,$A80)))</f>
        <v/>
      </c>
      <c r="BU80" s="117" t="str">
        <f>IF($A80="","",IF($K80=0,"n.b.",SUMIFS(STG_Woningetalage!$BI$6:$BI$505,STG_Woningetalage!$B$6:$B$505,$A80)))</f>
        <v/>
      </c>
      <c r="BV80" s="117" t="str">
        <f>IF($A80="","",IF($K80=0,"n.b.",SUMIFS(STG_Woningetalage!$BJ$6:$BJ$505,STG_Woningetalage!$B$6:$B$505,$A80)))</f>
        <v/>
      </c>
      <c r="BW80" s="117" t="str">
        <f>IF($A80="","",IF($K80=0,"n.b.",SUMIFS(STG_Woningetalage!$AR$6:$AR$505,STG_Woningetalage!$B$6:$B$505,$A80)))</f>
        <v/>
      </c>
      <c r="BX80" s="117" t="str">
        <f>IF($A80="","",IF($K80=0,"n.b.",SUMIFS(STG_Woningetalage!$AS$6:$AS$505,STG_Woningetalage!$B$6:$B$505,$A80)))</f>
        <v/>
      </c>
      <c r="BY80" s="117" t="str">
        <f>IF($A80="","",IF($K80=0,"n.b.",SUMIFS(STG_Woningetalage!$AN$6:$AN$505,STG_Woningetalage!$B$6:$B$505,$A80)))</f>
        <v/>
      </c>
      <c r="BZ80" s="117" t="str">
        <f>IF($A80="","",IF($K80=0,"n.b.",SUMIFS(STG_Woningetalage!$AO$6:$AO$505,STG_Woningetalage!$B$6:$B$505,$A80)))</f>
        <v/>
      </c>
      <c r="CA80" s="117" t="str">
        <f>IF($A80="","",IF($K80=0,"n.b.",SUMIFS(STG_Woningetalage!$AP$6:$AP$505,STG_Woningetalage!$B$6:$B$505,$A80)))</f>
        <v/>
      </c>
      <c r="CB80" s="117" t="str">
        <f>IF($A80="","",IF($K80=0,"n.b.",SUMIFS(STG_Woningetalage!$AQ$6:$AQ$505,STG_Woningetalage!$B$6:$B$505,$A80)))</f>
        <v/>
      </c>
      <c r="CC80" s="117" t="str">
        <f>IF($A80="","",IF($K80=0,"n.b.",SUMIFS(STG_Woningetalage!$AU$6:$AU$505,STG_Woningetalage!$B$6:$B$505,$A80)))</f>
        <v/>
      </c>
      <c r="CD80" s="92" t="str">
        <f>IF($A80="","",IFERROR(INDEX(STG_ZPMW03!$L$6:$L$505,MATCH($A80,STG_ZPMW03!$B$6:$B$505,0)),"n.b."))</f>
        <v/>
      </c>
      <c r="CE80" s="92" t="str">
        <f>IF($A80="","",IFERROR(INDEX(STG_ZPMW03!$K$6:$K$505,MATCH($A80,STG_ZPMW03!$B$6:$B$505,0)),"n.b."))</f>
        <v/>
      </c>
      <c r="CF80" s="92" t="str">
        <f>IF($A80="","",IFERROR(INDEX(STG_ZPMW03!$BH$6:$BH$505,MATCH($A80,STG_ZPMW03!$B$6:$B$505,0)),"n.b."))</f>
        <v/>
      </c>
      <c r="CG80" s="92" t="str">
        <f>IF($A80="","",IFERROR(INDEX(STG_ZPMW03!$BI$6:$BI$505,MATCH($A80,STG_ZPMW03!$B$6:$B$505,0)),"n.b."))</f>
        <v/>
      </c>
      <c r="CH80" s="92" t="str">
        <f>IF($A80="","",IFERROR(INDEX(STG_ZPMW03!$BJ$6:$BJ$505,MATCH($A80,STG_ZPMW03!$B$6:$B$505,0)),"n.b."))</f>
        <v/>
      </c>
      <c r="CI80" s="92" t="str">
        <f>IF($A80="","",IFERROR(INDEX(STG_ZPMW03!$BF$6:$BF$505,MATCH($A80,STG_ZPMW03!$B$6:$B$505,0)),"n.b."))</f>
        <v/>
      </c>
      <c r="CJ80" s="92" t="str">
        <f>IF($A80="","",IFERROR(INDEX(STG_ZPMW03!$BG$6:$BG$505,MATCH($A80,STG_ZPMW03!$B$6:$B$505,0)),"n.b."))</f>
        <v/>
      </c>
      <c r="CK80" s="92" t="str">
        <f>IF($A80="","",IFERROR(INDEX(STG_ZPMW03!$H$6:$H$505,MATCH($A80,STG_ZPMW03!$B$6:$B$505,0)),"n.b."))</f>
        <v/>
      </c>
      <c r="CL80" s="92" t="str">
        <f>IF($A80="","",IFERROR(INDEX(STG_ZPMW03!$E$6:$E$505,MATCH($A80,STG_ZPMW03!$B$6:$B$505,0)),"n.b."))</f>
        <v/>
      </c>
      <c r="CM80" s="92" t="str">
        <f>IF($A80="","",IFERROR(INDEX(STG_ZPMW03!$G$6:$G$505,MATCH($A80,STG_ZPMW03!$B$6:$B$505,0)),"n.b."))</f>
        <v/>
      </c>
      <c r="CN80" s="92" t="str">
        <f>IF($A80="","",IFERROR(INDEX(STG_Woningetalage!$N$6:$N$505,MATCH($A80,STG_Woningetalage!$B$6:$B$505,0)),"n.b."))</f>
        <v/>
      </c>
      <c r="CO80" s="92" t="str">
        <f>IF($A80="","",IFERROR(INDEX(STG_Woningetalage!$P$6:$P$505,MATCH($A80,STG_Woningetalage!$B$6:$B$505,0)),"n.b."))</f>
        <v/>
      </c>
      <c r="CP80" s="118" t="str">
        <f>IF($A80="","",IF(AND(ISNUMBER(AT80),ISNUMBER(F80)),IF(F80&gt;0,AT80/(F80/100),"n.b."),"n.b."))</f>
        <v/>
      </c>
      <c r="CQ80" s="116" t="str">
        <f>IF($A80="","",IF(ISNUMBER(Q80),IF(Q80&lt;0,1,0),0))</f>
        <v/>
      </c>
      <c r="CR80" s="116" t="str">
        <f>IF(CQ80=1,COUNTIF($CQ$6:CQ80,1),"")</f>
        <v/>
      </c>
      <c r="CS80" s="116" t="str">
        <f>IF(AND($A80&lt;&gt;"",$J80=0),COUNTIFS($A$6:$A80,"?*",$J$6:$J80,0),"")</f>
        <v/>
      </c>
      <c r="CT80" s="119" t="str">
        <f>IF($A80="","",IF(AND(ISNUMBER(Q80),ISNUMBER(P80)),IF(P80&lt;&gt;0,Q80/P80,"n.b."),"n.b."))</f>
        <v/>
      </c>
    </row>
    <row r="81">
      <c r="A81" s="92" t="str">
        <f>IF(Mapping!$A80="","",Mapping!$A80)</f>
        <v/>
      </c>
      <c r="B81" s="92" t="str">
        <f>IF(Mapping!$B80="","",Mapping!$B80)</f>
        <v/>
      </c>
      <c r="C81" s="92" t="str">
        <f>IF(Mapping!$C80="","",Mapping!$C80)</f>
        <v/>
      </c>
      <c r="D81" s="92" t="str">
        <f>IF(Mapping!$F80="","",Mapping!$F80)</f>
        <v/>
      </c>
      <c r="E81" s="92" t="str">
        <f>IF(Mapping!$H80="","",Mapping!$H80)</f>
        <v/>
      </c>
      <c r="F81" s="92" t="str">
        <f>IF(Mapping!$E80="","",Mapping!$E80)</f>
        <v/>
      </c>
      <c r="G81" s="92" t="str">
        <f>IF(Mapping!$G80="","",Mapping!$G80)</f>
        <v/>
      </c>
      <c r="H81" s="92" t="str">
        <f>IF(Mapping!$D80="","",Mapping!$D80)</f>
        <v/>
      </c>
      <c r="I81" s="92" t="str">
        <f>IF($A81="","",IFERROR(INDEX(STG_ZPMW03!$C$6:$C$505,MATCH($A81,STG_ZPMW03!$B$6:$B$505,0)),"n.b."))</f>
        <v/>
      </c>
      <c r="J81" s="116" t="str">
        <f>IF($A81="","",COUNTIF(STG_ZPMW03!$B$6:$B$505,$A81))</f>
        <v/>
      </c>
      <c r="K81" s="116" t="str">
        <f>IF($A81="","",COUNTIF(STG_Woningetalage!$B$6:$B$505,$A81))</f>
        <v/>
      </c>
      <c r="L81" s="117" t="str">
        <f>IF($A81="","",IF($J81=0,"n.b.",SUMIFS(STG_ZPMW03!$BK$6:$BK$505,STG_ZPMW03!$B$6:$B$505,$A81)))</f>
        <v/>
      </c>
      <c r="M81" s="117" t="str">
        <f>IF($A81="","",IF($J81=0,"n.b.",SUMIFS(STG_ZPMW03!$BL$6:$BL$505,STG_ZPMW03!$B$6:$B$505,$A81)))</f>
        <v/>
      </c>
      <c r="N81" s="117" t="str">
        <f>IF($A81="","",IF($J81=0,"n.b.",SUMIFS(STG_ZPMW03!$BM$6:$BM$505,STG_ZPMW03!$B$6:$B$505,$A81)))</f>
        <v/>
      </c>
      <c r="O81" s="117" t="str">
        <f>IF($A81="","",IF($J81=0,"n.b.",SUMIFS(STG_ZPMW03!$BN$6:$BN$505,STG_ZPMW03!$B$6:$B$505,$A81)))</f>
        <v/>
      </c>
      <c r="P81" s="117" t="str">
        <f>IF($A81="","",IF($J81=0,"n.b.",SUMIFS(STG_ZPMW03!$BO$6:$BO$505,STG_ZPMW03!$B$6:$B$505,$A81)))</f>
        <v/>
      </c>
      <c r="Q81" s="117" t="str">
        <f>IF($A81="","",IF($J81=0,"n.b.",SUMIFS(STG_ZPMW03!$BP$6:$BP$505,STG_ZPMW03!$B$6:$B$505,$A81)))</f>
        <v/>
      </c>
      <c r="R81" s="117" t="str">
        <f>IF($A81="","",IF($J81=0,"n.b.",SUMIFS(STG_ZPMW03!$BQ$6:$BQ$505,STG_ZPMW03!$B$6:$B$505,$A81)))</f>
        <v/>
      </c>
      <c r="S81" s="117" t="str">
        <f>IF($A81="","",IF($J81=0,"n.b.",SUMIFS(STG_ZPMW03!$BR$6:$BR$505,STG_ZPMW03!$B$6:$B$505,$A81)))</f>
        <v/>
      </c>
      <c r="T81" s="117" t="str">
        <f>IF($A81="","",IF($J81=0,"n.b.",SUMIFS(STG_ZPMW03!$BS$6:$BS$505,STG_ZPMW03!$B$6:$B$505,$A81)))</f>
        <v/>
      </c>
      <c r="U81" s="117" t="str">
        <f>IF($A81="","",IF($J81=0,"n.b.",SUMIFS(STG_ZPMW03!$BT$6:$BT$505,STG_ZPMW03!$B$6:$B$505,$A81)))</f>
        <v/>
      </c>
      <c r="V81" s="117" t="str">
        <f>IF($A81="","",IF($J81=0,"n.b.",SUMIFS(STG_ZPMW03!$BU$6:$BU$505,STG_ZPMW03!$B$6:$B$505,$A81)))</f>
        <v/>
      </c>
      <c r="W81" s="117" t="str">
        <f>IF($A81="","",IF($J81=0,"n.b.",SUMIFS(STG_ZPMW03!$BW$6:$BW$505,STG_ZPMW03!$B$6:$B$505,$A81)))</f>
        <v/>
      </c>
      <c r="X81" s="117" t="str">
        <f>IF($A81="","",IF($J81=0,"n.b.",SUMIFS(STG_ZPMW03!$BY$6:$BY$505,STG_ZPMW03!$B$6:$B$505,$A81)))</f>
        <v/>
      </c>
      <c r="Y81" s="117" t="str">
        <f>IF($A81="","",IF($J81=0,"n.b.",SUMIFS(STG_ZPMW03!$CA$6:$CA$505,STG_ZPMW03!$B$6:$B$505,$A81)))</f>
        <v/>
      </c>
      <c r="Z81" s="117" t="str">
        <f>IF($A81="","",IF($J81=0,"n.b.",SUMIFS(STG_ZPMW03!$BV$6:$BV$505,STG_ZPMW03!$B$6:$B$505,$A81)))</f>
        <v/>
      </c>
      <c r="AA81" s="117" t="str">
        <f>IF($A81="","",IF($J81=0,"n.b.",SUMIFS(STG_ZPMW03!$BX$6:$BX$505,STG_ZPMW03!$B$6:$B$505,$A81)))</f>
        <v/>
      </c>
      <c r="AB81" s="117" t="str">
        <f>IF($A81="","",IF($J81=0,"n.b.",SUMIFS(STG_ZPMW03!$BZ$6:$BZ$505,STG_ZPMW03!$B$6:$B$505,$A81)))</f>
        <v/>
      </c>
      <c r="AC81" s="117" t="str">
        <f>IF($A81="","",IF($J81=0,"n.b.",SUMIFS(STG_ZPMW03!$CB$6:$CB$505,STG_ZPMW03!$B$6:$B$505,$A81)))</f>
        <v/>
      </c>
      <c r="AD81" s="117" t="str">
        <f>IF($A81="","",IF($J81=0,"n.b.",SUMIFS(STG_ZPMW03!$CC$6:$CC$505,STG_ZPMW03!$B$6:$B$505,$A81)))</f>
        <v/>
      </c>
      <c r="AE81" s="117" t="str">
        <f>IF($A81="","",IF($J81=0,"n.b.",SUMIFS(STG_ZPMW03!$CE$6:$CE$505,STG_ZPMW03!$B$6:$B$505,$A81)))</f>
        <v/>
      </c>
      <c r="AF81" s="117" t="str">
        <f>IF($A81="","",IF($J81=0,"n.b.",SUMIFS(STG_ZPMW03!$CG$6:$CG$505,STG_ZPMW03!$B$6:$B$505,$A81)))</f>
        <v/>
      </c>
      <c r="AG81" s="117" t="str">
        <f>IF($A81="","",IF($J81=0,"n.b.",SUMIFS(STG_ZPMW03!$CI$6:$CI$505,STG_ZPMW03!$B$6:$B$505,$A81)))</f>
        <v/>
      </c>
      <c r="AH81" s="117" t="str">
        <f>IF($A81="","",IF($J81=0,"n.b.",SUMIFS(STG_ZPMW03!$CK$6:$CK$505,STG_ZPMW03!$B$6:$B$505,$A81)))</f>
        <v/>
      </c>
      <c r="AI81" s="117" t="str">
        <f>IF($A81="","",IF($J81=0,"n.b.",SUMIFS(STG_ZPMW03!$CM$6:$CM$505,STG_ZPMW03!$B$6:$B$505,$A81)))</f>
        <v/>
      </c>
      <c r="AJ81" s="117" t="str">
        <f>IF($A81="","",IF($J81=0,"n.b.",SUMIFS(STG_ZPMW03!$CO$6:$CO$505,STG_ZPMW03!$B$6:$B$505,$A81)))</f>
        <v/>
      </c>
      <c r="AK81" s="117" t="str">
        <f>IF($A81="","",IF($J81=0,"n.b.",SUMIFS(STG_ZPMW03!$CQ$6:$CQ$505,STG_ZPMW03!$B$6:$B$505,$A81)))</f>
        <v/>
      </c>
      <c r="AL81" s="117" t="str">
        <f>IF($A81="","",IF($J81=0,"n.b.",SUMIFS(STG_ZPMW03!$CD$6:$CD$505,STG_ZPMW03!$B$6:$B$505,$A81)))</f>
        <v/>
      </c>
      <c r="AM81" s="117" t="str">
        <f>IF($A81="","",IF($J81=0,"n.b.",SUMIFS(STG_ZPMW03!$CF$6:$CF$505,STG_ZPMW03!$B$6:$B$505,$A81)))</f>
        <v/>
      </c>
      <c r="AN81" s="117" t="str">
        <f>IF($A81="","",IF($J81=0,"n.b.",SUMIFS(STG_ZPMW03!$CH$6:$CH$505,STG_ZPMW03!$B$6:$B$505,$A81)))</f>
        <v/>
      </c>
      <c r="AO81" s="117" t="str">
        <f>IF($A81="","",IF($J81=0,"n.b.",SUMIFS(STG_ZPMW03!$CJ$6:$CJ$505,STG_ZPMW03!$B$6:$B$505,$A81)))</f>
        <v/>
      </c>
      <c r="AP81" s="117" t="str">
        <f>IF($A81="","",IF($J81=0,"n.b.",SUMIFS(STG_ZPMW03!$CL$6:$CL$505,STG_ZPMW03!$B$6:$B$505,$A81)))</f>
        <v/>
      </c>
      <c r="AQ81" s="117" t="str">
        <f>IF($A81="","",IF($J81=0,"n.b.",SUMIFS(STG_ZPMW03!$CN$6:$CN$505,STG_ZPMW03!$B$6:$B$505,$A81)))</f>
        <v/>
      </c>
      <c r="AR81" s="117" t="str">
        <f>IF($A81="","",IF($J81=0,"n.b.",SUMIFS(STG_ZPMW03!$CP$6:$CP$505,STG_ZPMW03!$B$6:$B$505,$A81)))</f>
        <v/>
      </c>
      <c r="AS81" s="117" t="str">
        <f>IF($A81="","",IF($J81=0,"n.b.",SUMIFS(STG_ZPMW03!$CR$6:$CR$505,STG_ZPMW03!$B$6:$B$505,$A81)))</f>
        <v/>
      </c>
      <c r="AT81" s="117" t="str">
        <f>IF($A81="","",IF($K81=0,"n.b.",SUMIFS(STG_Woningetalage!$Q$6:$Q$505,STG_Woningetalage!$B$6:$B$505,$A81)))</f>
        <v/>
      </c>
      <c r="AU81" s="117" t="str">
        <f>IF($A81="","",IF($K81=0,"n.b.",SUMIFS(STG_Woningetalage!$R$6:$R$505,STG_Woningetalage!$B$6:$B$505,$A81)))</f>
        <v/>
      </c>
      <c r="AV81" s="117" t="str">
        <f>IF($A81="","",IF($K81=0,"n.b.",SUMIFS(STG_Woningetalage!$S$6:$S$505,STG_Woningetalage!$B$6:$B$505,$A81)))</f>
        <v/>
      </c>
      <c r="AW81" s="117" t="str">
        <f>IF($A81="","",IF($K81=0,"n.b.",SUMIFS(STG_Woningetalage!$T$6:$T$505,STG_Woningetalage!$B$6:$B$505,$A81)))</f>
        <v/>
      </c>
      <c r="AX81" s="117" t="str">
        <f>IF($A81="","",IF($K81=0,"n.b.",SUMIFS(STG_Woningetalage!$U$6:$U$505,STG_Woningetalage!$B$6:$B$505,$A81)))</f>
        <v/>
      </c>
      <c r="AY81" s="117" t="str">
        <f>IF($A81="","",IF($K81=0,"n.b.",SUMIFS(STG_Woningetalage!$V$6:$V$505,STG_Woningetalage!$B$6:$B$505,$A81)))</f>
        <v/>
      </c>
      <c r="AZ81" s="117" t="str">
        <f>IF($A81="","",IF($K81=0,"n.b.",SUMIFS(STG_Woningetalage!$W$6:$W$505,STG_Woningetalage!$B$6:$B$505,$A81)))</f>
        <v/>
      </c>
      <c r="BA81" s="117" t="str">
        <f>IF($A81="","",IF($K81=0,"n.b.",SUMIFS(STG_Woningetalage!$X$6:$X$505,STG_Woningetalage!$B$6:$B$505,$A81)))</f>
        <v/>
      </c>
      <c r="BB81" s="117" t="str">
        <f>IF($A81="","",IF($K81=0,"n.b.",SUMIFS(STG_Woningetalage!$Y$6:$Y$505,STG_Woningetalage!$B$6:$B$505,$A81)))</f>
        <v/>
      </c>
      <c r="BC81" s="117" t="str">
        <f>IF($A81="","",IF($K81=0,"n.b.",SUMIFS(STG_Woningetalage!$Z$6:$Z$505,STG_Woningetalage!$B$6:$B$505,$A81)))</f>
        <v/>
      </c>
      <c r="BD81" s="117" t="str">
        <f>IF($A81="","",IF($K81=0,"n.b.",SUMIFS(STG_Woningetalage!$AA$6:$AA$505,STG_Woningetalage!$B$6:$B$505,$A81)))</f>
        <v/>
      </c>
      <c r="BE81" s="117" t="str">
        <f>IF($A81="","",IF($K81=0,"n.b.",SUMIFS(STG_Woningetalage!$AB$6:$AB$505,STG_Woningetalage!$B$6:$B$505,$A81)))</f>
        <v/>
      </c>
      <c r="BF81" s="117" t="str">
        <f>IF($A81="","",IF($K81=0,"n.b.",SUMIFS(STG_Woningetalage!$AC$6:$AC$505,STG_Woningetalage!$B$6:$B$505,$A81)))</f>
        <v/>
      </c>
      <c r="BG81" s="117" t="str">
        <f>IF($A81="","",IF($K81=0,"n.b.",SUMIFS(STG_Woningetalage!$AD$6:$AD$505,STG_Woningetalage!$B$6:$B$505,$A81)))</f>
        <v/>
      </c>
      <c r="BH81" s="117" t="str">
        <f>IF($A81="","",IF($K81=0,"n.b.",SUMIFS(STG_Woningetalage!$AE$6:$AE$505,STG_Woningetalage!$B$6:$B$505,$A81)))</f>
        <v/>
      </c>
      <c r="BI81" s="117" t="str">
        <f>IF($A81="","",IF($K81=0,"n.b.",SUMIFS(STG_Woningetalage!$AF$6:$AF$505,STG_Woningetalage!$B$6:$B$505,$A81)))</f>
        <v/>
      </c>
      <c r="BJ81" s="117" t="str">
        <f>IF($A81="","",IF($K81=0,"n.b.",SUMIFS(STG_Woningetalage!$AG$6:$AG$505,STG_Woningetalage!$B$6:$B$505,$A81)))</f>
        <v/>
      </c>
      <c r="BK81" s="117" t="str">
        <f>IF($A81="","",IF($K81=0,"n.b.",SUMIFS(STG_Woningetalage!$AH$6:$AH$505,STG_Woningetalage!$B$6:$B$505,$A81)))</f>
        <v/>
      </c>
      <c r="BL81" s="117" t="str">
        <f>IF($A81="","",IF($K81=0,"n.b.",SUMIFS(STG_Woningetalage!$AI$6:$AI$505,STG_Woningetalage!$B$6:$B$505,$A81)))</f>
        <v/>
      </c>
      <c r="BM81" s="117" t="str">
        <f>IF($A81="","",IF($K81=0,"n.b.",SUMIFS(STG_Woningetalage!$AJ$6:$AJ$505,STG_Woningetalage!$B$6:$B$505,$A81)))</f>
        <v/>
      </c>
      <c r="BN81" s="117" t="str">
        <f>IF($A81="","",IF($K81=0,"n.b.",SUMIFS(STG_Woningetalage!$AK$6:$AK$505,STG_Woningetalage!$B$6:$B$505,$A81)))</f>
        <v/>
      </c>
      <c r="BO81" s="117" t="str">
        <f>IF($A81="","",IF($K81=0,"n.b.",SUMIFS(STG_Woningetalage!$AL$6:$AL$505,STG_Woningetalage!$B$6:$B$505,$A81)))</f>
        <v/>
      </c>
      <c r="BP81" s="117" t="str">
        <f>IF($A81="","",IF($K81=0,"n.b.",SUMIFS(STG_Woningetalage!$AM$6:$AM$505,STG_Woningetalage!$B$6:$B$505,$A81)))</f>
        <v/>
      </c>
      <c r="BQ81" s="117" t="str">
        <f>IF($A81="","",IF($K81=0,"n.b.",SUMIFS(STG_Woningetalage!$BE$6:$BE$505,STG_Woningetalage!$B$6:$B$505,$A81)))</f>
        <v/>
      </c>
      <c r="BR81" s="117" t="str">
        <f>IF($A81="","",IF($K81=0,"n.b.",SUMIFS(STG_Woningetalage!$BF$6:$BF$505,STG_Woningetalage!$B$6:$B$505,$A81)))</f>
        <v/>
      </c>
      <c r="BS81" s="117" t="str">
        <f>IF($A81="","",IF($K81=0,"n.b.",SUMIFS(STG_Woningetalage!$BG$6:$BG$505,STG_Woningetalage!$B$6:$B$505,$A81)))</f>
        <v/>
      </c>
      <c r="BT81" s="117" t="str">
        <f>IF($A81="","",IF($K81=0,"n.b.",SUMIFS(STG_Woningetalage!$BH$6:$BH$505,STG_Woningetalage!$B$6:$B$505,$A81)))</f>
        <v/>
      </c>
      <c r="BU81" s="117" t="str">
        <f>IF($A81="","",IF($K81=0,"n.b.",SUMIFS(STG_Woningetalage!$BI$6:$BI$505,STG_Woningetalage!$B$6:$B$505,$A81)))</f>
        <v/>
      </c>
      <c r="BV81" s="117" t="str">
        <f>IF($A81="","",IF($K81=0,"n.b.",SUMIFS(STG_Woningetalage!$BJ$6:$BJ$505,STG_Woningetalage!$B$6:$B$505,$A81)))</f>
        <v/>
      </c>
      <c r="BW81" s="117" t="str">
        <f>IF($A81="","",IF($K81=0,"n.b.",SUMIFS(STG_Woningetalage!$AR$6:$AR$505,STG_Woningetalage!$B$6:$B$505,$A81)))</f>
        <v/>
      </c>
      <c r="BX81" s="117" t="str">
        <f>IF($A81="","",IF($K81=0,"n.b.",SUMIFS(STG_Woningetalage!$AS$6:$AS$505,STG_Woningetalage!$B$6:$B$505,$A81)))</f>
        <v/>
      </c>
      <c r="BY81" s="117" t="str">
        <f>IF($A81="","",IF($K81=0,"n.b.",SUMIFS(STG_Woningetalage!$AN$6:$AN$505,STG_Woningetalage!$B$6:$B$505,$A81)))</f>
        <v/>
      </c>
      <c r="BZ81" s="117" t="str">
        <f>IF($A81="","",IF($K81=0,"n.b.",SUMIFS(STG_Woningetalage!$AO$6:$AO$505,STG_Woningetalage!$B$6:$B$505,$A81)))</f>
        <v/>
      </c>
      <c r="CA81" s="117" t="str">
        <f>IF($A81="","",IF($K81=0,"n.b.",SUMIFS(STG_Woningetalage!$AP$6:$AP$505,STG_Woningetalage!$B$6:$B$505,$A81)))</f>
        <v/>
      </c>
      <c r="CB81" s="117" t="str">
        <f>IF($A81="","",IF($K81=0,"n.b.",SUMIFS(STG_Woningetalage!$AQ$6:$AQ$505,STG_Woningetalage!$B$6:$B$505,$A81)))</f>
        <v/>
      </c>
      <c r="CC81" s="117" t="str">
        <f>IF($A81="","",IF($K81=0,"n.b.",SUMIFS(STG_Woningetalage!$AU$6:$AU$505,STG_Woningetalage!$B$6:$B$505,$A81)))</f>
        <v/>
      </c>
      <c r="CD81" s="92" t="str">
        <f>IF($A81="","",IFERROR(INDEX(STG_ZPMW03!$L$6:$L$505,MATCH($A81,STG_ZPMW03!$B$6:$B$505,0)),"n.b."))</f>
        <v/>
      </c>
      <c r="CE81" s="92" t="str">
        <f>IF($A81="","",IFERROR(INDEX(STG_ZPMW03!$K$6:$K$505,MATCH($A81,STG_ZPMW03!$B$6:$B$505,0)),"n.b."))</f>
        <v/>
      </c>
      <c r="CF81" s="92" t="str">
        <f>IF($A81="","",IFERROR(INDEX(STG_ZPMW03!$BH$6:$BH$505,MATCH($A81,STG_ZPMW03!$B$6:$B$505,0)),"n.b."))</f>
        <v/>
      </c>
      <c r="CG81" s="92" t="str">
        <f>IF($A81="","",IFERROR(INDEX(STG_ZPMW03!$BI$6:$BI$505,MATCH($A81,STG_ZPMW03!$B$6:$B$505,0)),"n.b."))</f>
        <v/>
      </c>
      <c r="CH81" s="92" t="str">
        <f>IF($A81="","",IFERROR(INDEX(STG_ZPMW03!$BJ$6:$BJ$505,MATCH($A81,STG_ZPMW03!$B$6:$B$505,0)),"n.b."))</f>
        <v/>
      </c>
      <c r="CI81" s="92" t="str">
        <f>IF($A81="","",IFERROR(INDEX(STG_ZPMW03!$BF$6:$BF$505,MATCH($A81,STG_ZPMW03!$B$6:$B$505,0)),"n.b."))</f>
        <v/>
      </c>
      <c r="CJ81" s="92" t="str">
        <f>IF($A81="","",IFERROR(INDEX(STG_ZPMW03!$BG$6:$BG$505,MATCH($A81,STG_ZPMW03!$B$6:$B$505,0)),"n.b."))</f>
        <v/>
      </c>
      <c r="CK81" s="92" t="str">
        <f>IF($A81="","",IFERROR(INDEX(STG_ZPMW03!$H$6:$H$505,MATCH($A81,STG_ZPMW03!$B$6:$B$505,0)),"n.b."))</f>
        <v/>
      </c>
      <c r="CL81" s="92" t="str">
        <f>IF($A81="","",IFERROR(INDEX(STG_ZPMW03!$E$6:$E$505,MATCH($A81,STG_ZPMW03!$B$6:$B$505,0)),"n.b."))</f>
        <v/>
      </c>
      <c r="CM81" s="92" t="str">
        <f>IF($A81="","",IFERROR(INDEX(STG_ZPMW03!$G$6:$G$505,MATCH($A81,STG_ZPMW03!$B$6:$B$505,0)),"n.b."))</f>
        <v/>
      </c>
      <c r="CN81" s="92" t="str">
        <f>IF($A81="","",IFERROR(INDEX(STG_Woningetalage!$N$6:$N$505,MATCH($A81,STG_Woningetalage!$B$6:$B$505,0)),"n.b."))</f>
        <v/>
      </c>
      <c r="CO81" s="92" t="str">
        <f>IF($A81="","",IFERROR(INDEX(STG_Woningetalage!$P$6:$P$505,MATCH($A81,STG_Woningetalage!$B$6:$B$505,0)),"n.b."))</f>
        <v/>
      </c>
      <c r="CP81" s="118" t="str">
        <f>IF($A81="","",IF(AND(ISNUMBER(AT81),ISNUMBER(F81)),IF(F81&gt;0,AT81/(F81/100),"n.b."),"n.b."))</f>
        <v/>
      </c>
      <c r="CQ81" s="116" t="str">
        <f>IF($A81="","",IF(ISNUMBER(Q81),IF(Q81&lt;0,1,0),0))</f>
        <v/>
      </c>
      <c r="CR81" s="116" t="str">
        <f>IF(CQ81=1,COUNTIF($CQ$6:CQ81,1),"")</f>
        <v/>
      </c>
      <c r="CS81" s="116" t="str">
        <f>IF(AND($A81&lt;&gt;"",$J81=0),COUNTIFS($A$6:$A81,"?*",$J$6:$J81,0),"")</f>
        <v/>
      </c>
      <c r="CT81" s="119" t="str">
        <f>IF($A81="","",IF(AND(ISNUMBER(Q81),ISNUMBER(P81)),IF(P81&lt;&gt;0,Q81/P81,"n.b."),"n.b."))</f>
        <v/>
      </c>
    </row>
    <row r="82">
      <c r="A82" s="92" t="str">
        <f>IF(Mapping!$A81="","",Mapping!$A81)</f>
        <v/>
      </c>
      <c r="B82" s="92" t="str">
        <f>IF(Mapping!$B81="","",Mapping!$B81)</f>
        <v/>
      </c>
      <c r="C82" s="92" t="str">
        <f>IF(Mapping!$C81="","",Mapping!$C81)</f>
        <v/>
      </c>
      <c r="D82" s="92" t="str">
        <f>IF(Mapping!$F81="","",Mapping!$F81)</f>
        <v/>
      </c>
      <c r="E82" s="92" t="str">
        <f>IF(Mapping!$H81="","",Mapping!$H81)</f>
        <v/>
      </c>
      <c r="F82" s="92" t="str">
        <f>IF(Mapping!$E81="","",Mapping!$E81)</f>
        <v/>
      </c>
      <c r="G82" s="92" t="str">
        <f>IF(Mapping!$G81="","",Mapping!$G81)</f>
        <v/>
      </c>
      <c r="H82" s="92" t="str">
        <f>IF(Mapping!$D81="","",Mapping!$D81)</f>
        <v/>
      </c>
      <c r="I82" s="92" t="str">
        <f>IF($A82="","",IFERROR(INDEX(STG_ZPMW03!$C$6:$C$505,MATCH($A82,STG_ZPMW03!$B$6:$B$505,0)),"n.b."))</f>
        <v/>
      </c>
      <c r="J82" s="116" t="str">
        <f>IF($A82="","",COUNTIF(STG_ZPMW03!$B$6:$B$505,$A82))</f>
        <v/>
      </c>
      <c r="K82" s="116" t="str">
        <f>IF($A82="","",COUNTIF(STG_Woningetalage!$B$6:$B$505,$A82))</f>
        <v/>
      </c>
      <c r="L82" s="117" t="str">
        <f>IF($A82="","",IF($J82=0,"n.b.",SUMIFS(STG_ZPMW03!$BK$6:$BK$505,STG_ZPMW03!$B$6:$B$505,$A82)))</f>
        <v/>
      </c>
      <c r="M82" s="117" t="str">
        <f>IF($A82="","",IF($J82=0,"n.b.",SUMIFS(STG_ZPMW03!$BL$6:$BL$505,STG_ZPMW03!$B$6:$B$505,$A82)))</f>
        <v/>
      </c>
      <c r="N82" s="117" t="str">
        <f>IF($A82="","",IF($J82=0,"n.b.",SUMIFS(STG_ZPMW03!$BM$6:$BM$505,STG_ZPMW03!$B$6:$B$505,$A82)))</f>
        <v/>
      </c>
      <c r="O82" s="117" t="str">
        <f>IF($A82="","",IF($J82=0,"n.b.",SUMIFS(STG_ZPMW03!$BN$6:$BN$505,STG_ZPMW03!$B$6:$B$505,$A82)))</f>
        <v/>
      </c>
      <c r="P82" s="117" t="str">
        <f>IF($A82="","",IF($J82=0,"n.b.",SUMIFS(STG_ZPMW03!$BO$6:$BO$505,STG_ZPMW03!$B$6:$B$505,$A82)))</f>
        <v/>
      </c>
      <c r="Q82" s="117" t="str">
        <f>IF($A82="","",IF($J82=0,"n.b.",SUMIFS(STG_ZPMW03!$BP$6:$BP$505,STG_ZPMW03!$B$6:$B$505,$A82)))</f>
        <v/>
      </c>
      <c r="R82" s="117" t="str">
        <f>IF($A82="","",IF($J82=0,"n.b.",SUMIFS(STG_ZPMW03!$BQ$6:$BQ$505,STG_ZPMW03!$B$6:$B$505,$A82)))</f>
        <v/>
      </c>
      <c r="S82" s="117" t="str">
        <f>IF($A82="","",IF($J82=0,"n.b.",SUMIFS(STG_ZPMW03!$BR$6:$BR$505,STG_ZPMW03!$B$6:$B$505,$A82)))</f>
        <v/>
      </c>
      <c r="T82" s="117" t="str">
        <f>IF($A82="","",IF($J82=0,"n.b.",SUMIFS(STG_ZPMW03!$BS$6:$BS$505,STG_ZPMW03!$B$6:$B$505,$A82)))</f>
        <v/>
      </c>
      <c r="U82" s="117" t="str">
        <f>IF($A82="","",IF($J82=0,"n.b.",SUMIFS(STG_ZPMW03!$BT$6:$BT$505,STG_ZPMW03!$B$6:$B$505,$A82)))</f>
        <v/>
      </c>
      <c r="V82" s="117" t="str">
        <f>IF($A82="","",IF($J82=0,"n.b.",SUMIFS(STG_ZPMW03!$BU$6:$BU$505,STG_ZPMW03!$B$6:$B$505,$A82)))</f>
        <v/>
      </c>
      <c r="W82" s="117" t="str">
        <f>IF($A82="","",IF($J82=0,"n.b.",SUMIFS(STG_ZPMW03!$BW$6:$BW$505,STG_ZPMW03!$B$6:$B$505,$A82)))</f>
        <v/>
      </c>
      <c r="X82" s="117" t="str">
        <f>IF($A82="","",IF($J82=0,"n.b.",SUMIFS(STG_ZPMW03!$BY$6:$BY$505,STG_ZPMW03!$B$6:$B$505,$A82)))</f>
        <v/>
      </c>
      <c r="Y82" s="117" t="str">
        <f>IF($A82="","",IF($J82=0,"n.b.",SUMIFS(STG_ZPMW03!$CA$6:$CA$505,STG_ZPMW03!$B$6:$B$505,$A82)))</f>
        <v/>
      </c>
      <c r="Z82" s="117" t="str">
        <f>IF($A82="","",IF($J82=0,"n.b.",SUMIFS(STG_ZPMW03!$BV$6:$BV$505,STG_ZPMW03!$B$6:$B$505,$A82)))</f>
        <v/>
      </c>
      <c r="AA82" s="117" t="str">
        <f>IF($A82="","",IF($J82=0,"n.b.",SUMIFS(STG_ZPMW03!$BX$6:$BX$505,STG_ZPMW03!$B$6:$B$505,$A82)))</f>
        <v/>
      </c>
      <c r="AB82" s="117" t="str">
        <f>IF($A82="","",IF($J82=0,"n.b.",SUMIFS(STG_ZPMW03!$BZ$6:$BZ$505,STG_ZPMW03!$B$6:$B$505,$A82)))</f>
        <v/>
      </c>
      <c r="AC82" s="117" t="str">
        <f>IF($A82="","",IF($J82=0,"n.b.",SUMIFS(STG_ZPMW03!$CB$6:$CB$505,STG_ZPMW03!$B$6:$B$505,$A82)))</f>
        <v/>
      </c>
      <c r="AD82" s="117" t="str">
        <f>IF($A82="","",IF($J82=0,"n.b.",SUMIFS(STG_ZPMW03!$CC$6:$CC$505,STG_ZPMW03!$B$6:$B$505,$A82)))</f>
        <v/>
      </c>
      <c r="AE82" s="117" t="str">
        <f>IF($A82="","",IF($J82=0,"n.b.",SUMIFS(STG_ZPMW03!$CE$6:$CE$505,STG_ZPMW03!$B$6:$B$505,$A82)))</f>
        <v/>
      </c>
      <c r="AF82" s="117" t="str">
        <f>IF($A82="","",IF($J82=0,"n.b.",SUMIFS(STG_ZPMW03!$CG$6:$CG$505,STG_ZPMW03!$B$6:$B$505,$A82)))</f>
        <v/>
      </c>
      <c r="AG82" s="117" t="str">
        <f>IF($A82="","",IF($J82=0,"n.b.",SUMIFS(STG_ZPMW03!$CI$6:$CI$505,STG_ZPMW03!$B$6:$B$505,$A82)))</f>
        <v/>
      </c>
      <c r="AH82" s="117" t="str">
        <f>IF($A82="","",IF($J82=0,"n.b.",SUMIFS(STG_ZPMW03!$CK$6:$CK$505,STG_ZPMW03!$B$6:$B$505,$A82)))</f>
        <v/>
      </c>
      <c r="AI82" s="117" t="str">
        <f>IF($A82="","",IF($J82=0,"n.b.",SUMIFS(STG_ZPMW03!$CM$6:$CM$505,STG_ZPMW03!$B$6:$B$505,$A82)))</f>
        <v/>
      </c>
      <c r="AJ82" s="117" t="str">
        <f>IF($A82="","",IF($J82=0,"n.b.",SUMIFS(STG_ZPMW03!$CO$6:$CO$505,STG_ZPMW03!$B$6:$B$505,$A82)))</f>
        <v/>
      </c>
      <c r="AK82" s="117" t="str">
        <f>IF($A82="","",IF($J82=0,"n.b.",SUMIFS(STG_ZPMW03!$CQ$6:$CQ$505,STG_ZPMW03!$B$6:$B$505,$A82)))</f>
        <v/>
      </c>
      <c r="AL82" s="117" t="str">
        <f>IF($A82="","",IF($J82=0,"n.b.",SUMIFS(STG_ZPMW03!$CD$6:$CD$505,STG_ZPMW03!$B$6:$B$505,$A82)))</f>
        <v/>
      </c>
      <c r="AM82" s="117" t="str">
        <f>IF($A82="","",IF($J82=0,"n.b.",SUMIFS(STG_ZPMW03!$CF$6:$CF$505,STG_ZPMW03!$B$6:$B$505,$A82)))</f>
        <v/>
      </c>
      <c r="AN82" s="117" t="str">
        <f>IF($A82="","",IF($J82=0,"n.b.",SUMIFS(STG_ZPMW03!$CH$6:$CH$505,STG_ZPMW03!$B$6:$B$505,$A82)))</f>
        <v/>
      </c>
      <c r="AO82" s="117" t="str">
        <f>IF($A82="","",IF($J82=0,"n.b.",SUMIFS(STG_ZPMW03!$CJ$6:$CJ$505,STG_ZPMW03!$B$6:$B$505,$A82)))</f>
        <v/>
      </c>
      <c r="AP82" s="117" t="str">
        <f>IF($A82="","",IF($J82=0,"n.b.",SUMIFS(STG_ZPMW03!$CL$6:$CL$505,STG_ZPMW03!$B$6:$B$505,$A82)))</f>
        <v/>
      </c>
      <c r="AQ82" s="117" t="str">
        <f>IF($A82="","",IF($J82=0,"n.b.",SUMIFS(STG_ZPMW03!$CN$6:$CN$505,STG_ZPMW03!$B$6:$B$505,$A82)))</f>
        <v/>
      </c>
      <c r="AR82" s="117" t="str">
        <f>IF($A82="","",IF($J82=0,"n.b.",SUMIFS(STG_ZPMW03!$CP$6:$CP$505,STG_ZPMW03!$B$6:$B$505,$A82)))</f>
        <v/>
      </c>
      <c r="AS82" s="117" t="str">
        <f>IF($A82="","",IF($J82=0,"n.b.",SUMIFS(STG_ZPMW03!$CR$6:$CR$505,STG_ZPMW03!$B$6:$B$505,$A82)))</f>
        <v/>
      </c>
      <c r="AT82" s="117" t="str">
        <f>IF($A82="","",IF($K82=0,"n.b.",SUMIFS(STG_Woningetalage!$Q$6:$Q$505,STG_Woningetalage!$B$6:$B$505,$A82)))</f>
        <v/>
      </c>
      <c r="AU82" s="117" t="str">
        <f>IF($A82="","",IF($K82=0,"n.b.",SUMIFS(STG_Woningetalage!$R$6:$R$505,STG_Woningetalage!$B$6:$B$505,$A82)))</f>
        <v/>
      </c>
      <c r="AV82" s="117" t="str">
        <f>IF($A82="","",IF($K82=0,"n.b.",SUMIFS(STG_Woningetalage!$S$6:$S$505,STG_Woningetalage!$B$6:$B$505,$A82)))</f>
        <v/>
      </c>
      <c r="AW82" s="117" t="str">
        <f>IF($A82="","",IF($K82=0,"n.b.",SUMIFS(STG_Woningetalage!$T$6:$T$505,STG_Woningetalage!$B$6:$B$505,$A82)))</f>
        <v/>
      </c>
      <c r="AX82" s="117" t="str">
        <f>IF($A82="","",IF($K82=0,"n.b.",SUMIFS(STG_Woningetalage!$U$6:$U$505,STG_Woningetalage!$B$6:$B$505,$A82)))</f>
        <v/>
      </c>
      <c r="AY82" s="117" t="str">
        <f>IF($A82="","",IF($K82=0,"n.b.",SUMIFS(STG_Woningetalage!$V$6:$V$505,STG_Woningetalage!$B$6:$B$505,$A82)))</f>
        <v/>
      </c>
      <c r="AZ82" s="117" t="str">
        <f>IF($A82="","",IF($K82=0,"n.b.",SUMIFS(STG_Woningetalage!$W$6:$W$505,STG_Woningetalage!$B$6:$B$505,$A82)))</f>
        <v/>
      </c>
      <c r="BA82" s="117" t="str">
        <f>IF($A82="","",IF($K82=0,"n.b.",SUMIFS(STG_Woningetalage!$X$6:$X$505,STG_Woningetalage!$B$6:$B$505,$A82)))</f>
        <v/>
      </c>
      <c r="BB82" s="117" t="str">
        <f>IF($A82="","",IF($K82=0,"n.b.",SUMIFS(STG_Woningetalage!$Y$6:$Y$505,STG_Woningetalage!$B$6:$B$505,$A82)))</f>
        <v/>
      </c>
      <c r="BC82" s="117" t="str">
        <f>IF($A82="","",IF($K82=0,"n.b.",SUMIFS(STG_Woningetalage!$Z$6:$Z$505,STG_Woningetalage!$B$6:$B$505,$A82)))</f>
        <v/>
      </c>
      <c r="BD82" s="117" t="str">
        <f>IF($A82="","",IF($K82=0,"n.b.",SUMIFS(STG_Woningetalage!$AA$6:$AA$505,STG_Woningetalage!$B$6:$B$505,$A82)))</f>
        <v/>
      </c>
      <c r="BE82" s="117" t="str">
        <f>IF($A82="","",IF($K82=0,"n.b.",SUMIFS(STG_Woningetalage!$AB$6:$AB$505,STG_Woningetalage!$B$6:$B$505,$A82)))</f>
        <v/>
      </c>
      <c r="BF82" s="117" t="str">
        <f>IF($A82="","",IF($K82=0,"n.b.",SUMIFS(STG_Woningetalage!$AC$6:$AC$505,STG_Woningetalage!$B$6:$B$505,$A82)))</f>
        <v/>
      </c>
      <c r="BG82" s="117" t="str">
        <f>IF($A82="","",IF($K82=0,"n.b.",SUMIFS(STG_Woningetalage!$AD$6:$AD$505,STG_Woningetalage!$B$6:$B$505,$A82)))</f>
        <v/>
      </c>
      <c r="BH82" s="117" t="str">
        <f>IF($A82="","",IF($K82=0,"n.b.",SUMIFS(STG_Woningetalage!$AE$6:$AE$505,STG_Woningetalage!$B$6:$B$505,$A82)))</f>
        <v/>
      </c>
      <c r="BI82" s="117" t="str">
        <f>IF($A82="","",IF($K82=0,"n.b.",SUMIFS(STG_Woningetalage!$AF$6:$AF$505,STG_Woningetalage!$B$6:$B$505,$A82)))</f>
        <v/>
      </c>
      <c r="BJ82" s="117" t="str">
        <f>IF($A82="","",IF($K82=0,"n.b.",SUMIFS(STG_Woningetalage!$AG$6:$AG$505,STG_Woningetalage!$B$6:$B$505,$A82)))</f>
        <v/>
      </c>
      <c r="BK82" s="117" t="str">
        <f>IF($A82="","",IF($K82=0,"n.b.",SUMIFS(STG_Woningetalage!$AH$6:$AH$505,STG_Woningetalage!$B$6:$B$505,$A82)))</f>
        <v/>
      </c>
      <c r="BL82" s="117" t="str">
        <f>IF($A82="","",IF($K82=0,"n.b.",SUMIFS(STG_Woningetalage!$AI$6:$AI$505,STG_Woningetalage!$B$6:$B$505,$A82)))</f>
        <v/>
      </c>
      <c r="BM82" s="117" t="str">
        <f>IF($A82="","",IF($K82=0,"n.b.",SUMIFS(STG_Woningetalage!$AJ$6:$AJ$505,STG_Woningetalage!$B$6:$B$505,$A82)))</f>
        <v/>
      </c>
      <c r="BN82" s="117" t="str">
        <f>IF($A82="","",IF($K82=0,"n.b.",SUMIFS(STG_Woningetalage!$AK$6:$AK$505,STG_Woningetalage!$B$6:$B$505,$A82)))</f>
        <v/>
      </c>
      <c r="BO82" s="117" t="str">
        <f>IF($A82="","",IF($K82=0,"n.b.",SUMIFS(STG_Woningetalage!$AL$6:$AL$505,STG_Woningetalage!$B$6:$B$505,$A82)))</f>
        <v/>
      </c>
      <c r="BP82" s="117" t="str">
        <f>IF($A82="","",IF($K82=0,"n.b.",SUMIFS(STG_Woningetalage!$AM$6:$AM$505,STG_Woningetalage!$B$6:$B$505,$A82)))</f>
        <v/>
      </c>
      <c r="BQ82" s="117" t="str">
        <f>IF($A82="","",IF($K82=0,"n.b.",SUMIFS(STG_Woningetalage!$BE$6:$BE$505,STG_Woningetalage!$B$6:$B$505,$A82)))</f>
        <v/>
      </c>
      <c r="BR82" s="117" t="str">
        <f>IF($A82="","",IF($K82=0,"n.b.",SUMIFS(STG_Woningetalage!$BF$6:$BF$505,STG_Woningetalage!$B$6:$B$505,$A82)))</f>
        <v/>
      </c>
      <c r="BS82" s="117" t="str">
        <f>IF($A82="","",IF($K82=0,"n.b.",SUMIFS(STG_Woningetalage!$BG$6:$BG$505,STG_Woningetalage!$B$6:$B$505,$A82)))</f>
        <v/>
      </c>
      <c r="BT82" s="117" t="str">
        <f>IF($A82="","",IF($K82=0,"n.b.",SUMIFS(STG_Woningetalage!$BH$6:$BH$505,STG_Woningetalage!$B$6:$B$505,$A82)))</f>
        <v/>
      </c>
      <c r="BU82" s="117" t="str">
        <f>IF($A82="","",IF($K82=0,"n.b.",SUMIFS(STG_Woningetalage!$BI$6:$BI$505,STG_Woningetalage!$B$6:$B$505,$A82)))</f>
        <v/>
      </c>
      <c r="BV82" s="117" t="str">
        <f>IF($A82="","",IF($K82=0,"n.b.",SUMIFS(STG_Woningetalage!$BJ$6:$BJ$505,STG_Woningetalage!$B$6:$B$505,$A82)))</f>
        <v/>
      </c>
      <c r="BW82" s="117" t="str">
        <f>IF($A82="","",IF($K82=0,"n.b.",SUMIFS(STG_Woningetalage!$AR$6:$AR$505,STG_Woningetalage!$B$6:$B$505,$A82)))</f>
        <v/>
      </c>
      <c r="BX82" s="117" t="str">
        <f>IF($A82="","",IF($K82=0,"n.b.",SUMIFS(STG_Woningetalage!$AS$6:$AS$505,STG_Woningetalage!$B$6:$B$505,$A82)))</f>
        <v/>
      </c>
      <c r="BY82" s="117" t="str">
        <f>IF($A82="","",IF($K82=0,"n.b.",SUMIFS(STG_Woningetalage!$AN$6:$AN$505,STG_Woningetalage!$B$6:$B$505,$A82)))</f>
        <v/>
      </c>
      <c r="BZ82" s="117" t="str">
        <f>IF($A82="","",IF($K82=0,"n.b.",SUMIFS(STG_Woningetalage!$AO$6:$AO$505,STG_Woningetalage!$B$6:$B$505,$A82)))</f>
        <v/>
      </c>
      <c r="CA82" s="117" t="str">
        <f>IF($A82="","",IF($K82=0,"n.b.",SUMIFS(STG_Woningetalage!$AP$6:$AP$505,STG_Woningetalage!$B$6:$B$505,$A82)))</f>
        <v/>
      </c>
      <c r="CB82" s="117" t="str">
        <f>IF($A82="","",IF($K82=0,"n.b.",SUMIFS(STG_Woningetalage!$AQ$6:$AQ$505,STG_Woningetalage!$B$6:$B$505,$A82)))</f>
        <v/>
      </c>
      <c r="CC82" s="117" t="str">
        <f>IF($A82="","",IF($K82=0,"n.b.",SUMIFS(STG_Woningetalage!$AU$6:$AU$505,STG_Woningetalage!$B$6:$B$505,$A82)))</f>
        <v/>
      </c>
      <c r="CD82" s="92" t="str">
        <f>IF($A82="","",IFERROR(INDEX(STG_ZPMW03!$L$6:$L$505,MATCH($A82,STG_ZPMW03!$B$6:$B$505,0)),"n.b."))</f>
        <v/>
      </c>
      <c r="CE82" s="92" t="str">
        <f>IF($A82="","",IFERROR(INDEX(STG_ZPMW03!$K$6:$K$505,MATCH($A82,STG_ZPMW03!$B$6:$B$505,0)),"n.b."))</f>
        <v/>
      </c>
      <c r="CF82" s="92" t="str">
        <f>IF($A82="","",IFERROR(INDEX(STG_ZPMW03!$BH$6:$BH$505,MATCH($A82,STG_ZPMW03!$B$6:$B$505,0)),"n.b."))</f>
        <v/>
      </c>
      <c r="CG82" s="92" t="str">
        <f>IF($A82="","",IFERROR(INDEX(STG_ZPMW03!$BI$6:$BI$505,MATCH($A82,STG_ZPMW03!$B$6:$B$505,0)),"n.b."))</f>
        <v/>
      </c>
      <c r="CH82" s="92" t="str">
        <f>IF($A82="","",IFERROR(INDEX(STG_ZPMW03!$BJ$6:$BJ$505,MATCH($A82,STG_ZPMW03!$B$6:$B$505,0)),"n.b."))</f>
        <v/>
      </c>
      <c r="CI82" s="92" t="str">
        <f>IF($A82="","",IFERROR(INDEX(STG_ZPMW03!$BF$6:$BF$505,MATCH($A82,STG_ZPMW03!$B$6:$B$505,0)),"n.b."))</f>
        <v/>
      </c>
      <c r="CJ82" s="92" t="str">
        <f>IF($A82="","",IFERROR(INDEX(STG_ZPMW03!$BG$6:$BG$505,MATCH($A82,STG_ZPMW03!$B$6:$B$505,0)),"n.b."))</f>
        <v/>
      </c>
      <c r="CK82" s="92" t="str">
        <f>IF($A82="","",IFERROR(INDEX(STG_ZPMW03!$H$6:$H$505,MATCH($A82,STG_ZPMW03!$B$6:$B$505,0)),"n.b."))</f>
        <v/>
      </c>
      <c r="CL82" s="92" t="str">
        <f>IF($A82="","",IFERROR(INDEX(STG_ZPMW03!$E$6:$E$505,MATCH($A82,STG_ZPMW03!$B$6:$B$505,0)),"n.b."))</f>
        <v/>
      </c>
      <c r="CM82" s="92" t="str">
        <f>IF($A82="","",IFERROR(INDEX(STG_ZPMW03!$G$6:$G$505,MATCH($A82,STG_ZPMW03!$B$6:$B$505,0)),"n.b."))</f>
        <v/>
      </c>
      <c r="CN82" s="92" t="str">
        <f>IF($A82="","",IFERROR(INDEX(STG_Woningetalage!$N$6:$N$505,MATCH($A82,STG_Woningetalage!$B$6:$B$505,0)),"n.b."))</f>
        <v/>
      </c>
      <c r="CO82" s="92" t="str">
        <f>IF($A82="","",IFERROR(INDEX(STG_Woningetalage!$P$6:$P$505,MATCH($A82,STG_Woningetalage!$B$6:$B$505,0)),"n.b."))</f>
        <v/>
      </c>
      <c r="CP82" s="118" t="str">
        <f>IF($A82="","",IF(AND(ISNUMBER(AT82),ISNUMBER(F82)),IF(F82&gt;0,AT82/(F82/100),"n.b."),"n.b."))</f>
        <v/>
      </c>
      <c r="CQ82" s="116" t="str">
        <f>IF($A82="","",IF(ISNUMBER(Q82),IF(Q82&lt;0,1,0),0))</f>
        <v/>
      </c>
      <c r="CR82" s="116" t="str">
        <f>IF(CQ82=1,COUNTIF($CQ$6:CQ82,1),"")</f>
        <v/>
      </c>
      <c r="CS82" s="116" t="str">
        <f>IF(AND($A82&lt;&gt;"",$J82=0),COUNTIFS($A$6:$A82,"?*",$J$6:$J82,0),"")</f>
        <v/>
      </c>
      <c r="CT82" s="119" t="str">
        <f>IF($A82="","",IF(AND(ISNUMBER(Q82),ISNUMBER(P82)),IF(P82&lt;&gt;0,Q82/P82,"n.b."),"n.b."))</f>
        <v/>
      </c>
    </row>
    <row r="83">
      <c r="A83" s="92" t="str">
        <f>IF(Mapping!$A82="","",Mapping!$A82)</f>
        <v/>
      </c>
      <c r="B83" s="92" t="str">
        <f>IF(Mapping!$B82="","",Mapping!$B82)</f>
        <v/>
      </c>
      <c r="C83" s="92" t="str">
        <f>IF(Mapping!$C82="","",Mapping!$C82)</f>
        <v/>
      </c>
      <c r="D83" s="92" t="str">
        <f>IF(Mapping!$F82="","",Mapping!$F82)</f>
        <v/>
      </c>
      <c r="E83" s="92" t="str">
        <f>IF(Mapping!$H82="","",Mapping!$H82)</f>
        <v/>
      </c>
      <c r="F83" s="92" t="str">
        <f>IF(Mapping!$E82="","",Mapping!$E82)</f>
        <v/>
      </c>
      <c r="G83" s="92" t="str">
        <f>IF(Mapping!$G82="","",Mapping!$G82)</f>
        <v/>
      </c>
      <c r="H83" s="92" t="str">
        <f>IF(Mapping!$D82="","",Mapping!$D82)</f>
        <v/>
      </c>
      <c r="I83" s="92" t="str">
        <f>IF($A83="","",IFERROR(INDEX(STG_ZPMW03!$C$6:$C$505,MATCH($A83,STG_ZPMW03!$B$6:$B$505,0)),"n.b."))</f>
        <v/>
      </c>
      <c r="J83" s="116" t="str">
        <f>IF($A83="","",COUNTIF(STG_ZPMW03!$B$6:$B$505,$A83))</f>
        <v/>
      </c>
      <c r="K83" s="116" t="str">
        <f>IF($A83="","",COUNTIF(STG_Woningetalage!$B$6:$B$505,$A83))</f>
        <v/>
      </c>
      <c r="L83" s="117" t="str">
        <f>IF($A83="","",IF($J83=0,"n.b.",SUMIFS(STG_ZPMW03!$BK$6:$BK$505,STG_ZPMW03!$B$6:$B$505,$A83)))</f>
        <v/>
      </c>
      <c r="M83" s="117" t="str">
        <f>IF($A83="","",IF($J83=0,"n.b.",SUMIFS(STG_ZPMW03!$BL$6:$BL$505,STG_ZPMW03!$B$6:$B$505,$A83)))</f>
        <v/>
      </c>
      <c r="N83" s="117" t="str">
        <f>IF($A83="","",IF($J83=0,"n.b.",SUMIFS(STG_ZPMW03!$BM$6:$BM$505,STG_ZPMW03!$B$6:$B$505,$A83)))</f>
        <v/>
      </c>
      <c r="O83" s="117" t="str">
        <f>IF($A83="","",IF($J83=0,"n.b.",SUMIFS(STG_ZPMW03!$BN$6:$BN$505,STG_ZPMW03!$B$6:$B$505,$A83)))</f>
        <v/>
      </c>
      <c r="P83" s="117" t="str">
        <f>IF($A83="","",IF($J83=0,"n.b.",SUMIFS(STG_ZPMW03!$BO$6:$BO$505,STG_ZPMW03!$B$6:$B$505,$A83)))</f>
        <v/>
      </c>
      <c r="Q83" s="117" t="str">
        <f>IF($A83="","",IF($J83=0,"n.b.",SUMIFS(STG_ZPMW03!$BP$6:$BP$505,STG_ZPMW03!$B$6:$B$505,$A83)))</f>
        <v/>
      </c>
      <c r="R83" s="117" t="str">
        <f>IF($A83="","",IF($J83=0,"n.b.",SUMIFS(STG_ZPMW03!$BQ$6:$BQ$505,STG_ZPMW03!$B$6:$B$505,$A83)))</f>
        <v/>
      </c>
      <c r="S83" s="117" t="str">
        <f>IF($A83="","",IF($J83=0,"n.b.",SUMIFS(STG_ZPMW03!$BR$6:$BR$505,STG_ZPMW03!$B$6:$B$505,$A83)))</f>
        <v/>
      </c>
      <c r="T83" s="117" t="str">
        <f>IF($A83="","",IF($J83=0,"n.b.",SUMIFS(STG_ZPMW03!$BS$6:$BS$505,STG_ZPMW03!$B$6:$B$505,$A83)))</f>
        <v/>
      </c>
      <c r="U83" s="117" t="str">
        <f>IF($A83="","",IF($J83=0,"n.b.",SUMIFS(STG_ZPMW03!$BT$6:$BT$505,STG_ZPMW03!$B$6:$B$505,$A83)))</f>
        <v/>
      </c>
      <c r="V83" s="117" t="str">
        <f>IF($A83="","",IF($J83=0,"n.b.",SUMIFS(STG_ZPMW03!$BU$6:$BU$505,STG_ZPMW03!$B$6:$B$505,$A83)))</f>
        <v/>
      </c>
      <c r="W83" s="117" t="str">
        <f>IF($A83="","",IF($J83=0,"n.b.",SUMIFS(STG_ZPMW03!$BW$6:$BW$505,STG_ZPMW03!$B$6:$B$505,$A83)))</f>
        <v/>
      </c>
      <c r="X83" s="117" t="str">
        <f>IF($A83="","",IF($J83=0,"n.b.",SUMIFS(STG_ZPMW03!$BY$6:$BY$505,STG_ZPMW03!$B$6:$B$505,$A83)))</f>
        <v/>
      </c>
      <c r="Y83" s="117" t="str">
        <f>IF($A83="","",IF($J83=0,"n.b.",SUMIFS(STG_ZPMW03!$CA$6:$CA$505,STG_ZPMW03!$B$6:$B$505,$A83)))</f>
        <v/>
      </c>
      <c r="Z83" s="117" t="str">
        <f>IF($A83="","",IF($J83=0,"n.b.",SUMIFS(STG_ZPMW03!$BV$6:$BV$505,STG_ZPMW03!$B$6:$B$505,$A83)))</f>
        <v/>
      </c>
      <c r="AA83" s="117" t="str">
        <f>IF($A83="","",IF($J83=0,"n.b.",SUMIFS(STG_ZPMW03!$BX$6:$BX$505,STG_ZPMW03!$B$6:$B$505,$A83)))</f>
        <v/>
      </c>
      <c r="AB83" s="117" t="str">
        <f>IF($A83="","",IF($J83=0,"n.b.",SUMIFS(STG_ZPMW03!$BZ$6:$BZ$505,STG_ZPMW03!$B$6:$B$505,$A83)))</f>
        <v/>
      </c>
      <c r="AC83" s="117" t="str">
        <f>IF($A83="","",IF($J83=0,"n.b.",SUMIFS(STG_ZPMW03!$CB$6:$CB$505,STG_ZPMW03!$B$6:$B$505,$A83)))</f>
        <v/>
      </c>
      <c r="AD83" s="117" t="str">
        <f>IF($A83="","",IF($J83=0,"n.b.",SUMIFS(STG_ZPMW03!$CC$6:$CC$505,STG_ZPMW03!$B$6:$B$505,$A83)))</f>
        <v/>
      </c>
      <c r="AE83" s="117" t="str">
        <f>IF($A83="","",IF($J83=0,"n.b.",SUMIFS(STG_ZPMW03!$CE$6:$CE$505,STG_ZPMW03!$B$6:$B$505,$A83)))</f>
        <v/>
      </c>
      <c r="AF83" s="117" t="str">
        <f>IF($A83="","",IF($J83=0,"n.b.",SUMIFS(STG_ZPMW03!$CG$6:$CG$505,STG_ZPMW03!$B$6:$B$505,$A83)))</f>
        <v/>
      </c>
      <c r="AG83" s="117" t="str">
        <f>IF($A83="","",IF($J83=0,"n.b.",SUMIFS(STG_ZPMW03!$CI$6:$CI$505,STG_ZPMW03!$B$6:$B$505,$A83)))</f>
        <v/>
      </c>
      <c r="AH83" s="117" t="str">
        <f>IF($A83="","",IF($J83=0,"n.b.",SUMIFS(STG_ZPMW03!$CK$6:$CK$505,STG_ZPMW03!$B$6:$B$505,$A83)))</f>
        <v/>
      </c>
      <c r="AI83" s="117" t="str">
        <f>IF($A83="","",IF($J83=0,"n.b.",SUMIFS(STG_ZPMW03!$CM$6:$CM$505,STG_ZPMW03!$B$6:$B$505,$A83)))</f>
        <v/>
      </c>
      <c r="AJ83" s="117" t="str">
        <f>IF($A83="","",IF($J83=0,"n.b.",SUMIFS(STG_ZPMW03!$CO$6:$CO$505,STG_ZPMW03!$B$6:$B$505,$A83)))</f>
        <v/>
      </c>
      <c r="AK83" s="117" t="str">
        <f>IF($A83="","",IF($J83=0,"n.b.",SUMIFS(STG_ZPMW03!$CQ$6:$CQ$505,STG_ZPMW03!$B$6:$B$505,$A83)))</f>
        <v/>
      </c>
      <c r="AL83" s="117" t="str">
        <f>IF($A83="","",IF($J83=0,"n.b.",SUMIFS(STG_ZPMW03!$CD$6:$CD$505,STG_ZPMW03!$B$6:$B$505,$A83)))</f>
        <v/>
      </c>
      <c r="AM83" s="117" t="str">
        <f>IF($A83="","",IF($J83=0,"n.b.",SUMIFS(STG_ZPMW03!$CF$6:$CF$505,STG_ZPMW03!$B$6:$B$505,$A83)))</f>
        <v/>
      </c>
      <c r="AN83" s="117" t="str">
        <f>IF($A83="","",IF($J83=0,"n.b.",SUMIFS(STG_ZPMW03!$CH$6:$CH$505,STG_ZPMW03!$B$6:$B$505,$A83)))</f>
        <v/>
      </c>
      <c r="AO83" s="117" t="str">
        <f>IF($A83="","",IF($J83=0,"n.b.",SUMIFS(STG_ZPMW03!$CJ$6:$CJ$505,STG_ZPMW03!$B$6:$B$505,$A83)))</f>
        <v/>
      </c>
      <c r="AP83" s="117" t="str">
        <f>IF($A83="","",IF($J83=0,"n.b.",SUMIFS(STG_ZPMW03!$CL$6:$CL$505,STG_ZPMW03!$B$6:$B$505,$A83)))</f>
        <v/>
      </c>
      <c r="AQ83" s="117" t="str">
        <f>IF($A83="","",IF($J83=0,"n.b.",SUMIFS(STG_ZPMW03!$CN$6:$CN$505,STG_ZPMW03!$B$6:$B$505,$A83)))</f>
        <v/>
      </c>
      <c r="AR83" s="117" t="str">
        <f>IF($A83="","",IF($J83=0,"n.b.",SUMIFS(STG_ZPMW03!$CP$6:$CP$505,STG_ZPMW03!$B$6:$B$505,$A83)))</f>
        <v/>
      </c>
      <c r="AS83" s="117" t="str">
        <f>IF($A83="","",IF($J83=0,"n.b.",SUMIFS(STG_ZPMW03!$CR$6:$CR$505,STG_ZPMW03!$B$6:$B$505,$A83)))</f>
        <v/>
      </c>
      <c r="AT83" s="117" t="str">
        <f>IF($A83="","",IF($K83=0,"n.b.",SUMIFS(STG_Woningetalage!$Q$6:$Q$505,STG_Woningetalage!$B$6:$B$505,$A83)))</f>
        <v/>
      </c>
      <c r="AU83" s="117" t="str">
        <f>IF($A83="","",IF($K83=0,"n.b.",SUMIFS(STG_Woningetalage!$R$6:$R$505,STG_Woningetalage!$B$6:$B$505,$A83)))</f>
        <v/>
      </c>
      <c r="AV83" s="117" t="str">
        <f>IF($A83="","",IF($K83=0,"n.b.",SUMIFS(STG_Woningetalage!$S$6:$S$505,STG_Woningetalage!$B$6:$B$505,$A83)))</f>
        <v/>
      </c>
      <c r="AW83" s="117" t="str">
        <f>IF($A83="","",IF($K83=0,"n.b.",SUMIFS(STG_Woningetalage!$T$6:$T$505,STG_Woningetalage!$B$6:$B$505,$A83)))</f>
        <v/>
      </c>
      <c r="AX83" s="117" t="str">
        <f>IF($A83="","",IF($K83=0,"n.b.",SUMIFS(STG_Woningetalage!$U$6:$U$505,STG_Woningetalage!$B$6:$B$505,$A83)))</f>
        <v/>
      </c>
      <c r="AY83" s="117" t="str">
        <f>IF($A83="","",IF($K83=0,"n.b.",SUMIFS(STG_Woningetalage!$V$6:$V$505,STG_Woningetalage!$B$6:$B$505,$A83)))</f>
        <v/>
      </c>
      <c r="AZ83" s="117" t="str">
        <f>IF($A83="","",IF($K83=0,"n.b.",SUMIFS(STG_Woningetalage!$W$6:$W$505,STG_Woningetalage!$B$6:$B$505,$A83)))</f>
        <v/>
      </c>
      <c r="BA83" s="117" t="str">
        <f>IF($A83="","",IF($K83=0,"n.b.",SUMIFS(STG_Woningetalage!$X$6:$X$505,STG_Woningetalage!$B$6:$B$505,$A83)))</f>
        <v/>
      </c>
      <c r="BB83" s="117" t="str">
        <f>IF($A83="","",IF($K83=0,"n.b.",SUMIFS(STG_Woningetalage!$Y$6:$Y$505,STG_Woningetalage!$B$6:$B$505,$A83)))</f>
        <v/>
      </c>
      <c r="BC83" s="117" t="str">
        <f>IF($A83="","",IF($K83=0,"n.b.",SUMIFS(STG_Woningetalage!$Z$6:$Z$505,STG_Woningetalage!$B$6:$B$505,$A83)))</f>
        <v/>
      </c>
      <c r="BD83" s="117" t="str">
        <f>IF($A83="","",IF($K83=0,"n.b.",SUMIFS(STG_Woningetalage!$AA$6:$AA$505,STG_Woningetalage!$B$6:$B$505,$A83)))</f>
        <v/>
      </c>
      <c r="BE83" s="117" t="str">
        <f>IF($A83="","",IF($K83=0,"n.b.",SUMIFS(STG_Woningetalage!$AB$6:$AB$505,STG_Woningetalage!$B$6:$B$505,$A83)))</f>
        <v/>
      </c>
      <c r="BF83" s="117" t="str">
        <f>IF($A83="","",IF($K83=0,"n.b.",SUMIFS(STG_Woningetalage!$AC$6:$AC$505,STG_Woningetalage!$B$6:$B$505,$A83)))</f>
        <v/>
      </c>
      <c r="BG83" s="117" t="str">
        <f>IF($A83="","",IF($K83=0,"n.b.",SUMIFS(STG_Woningetalage!$AD$6:$AD$505,STG_Woningetalage!$B$6:$B$505,$A83)))</f>
        <v/>
      </c>
      <c r="BH83" s="117" t="str">
        <f>IF($A83="","",IF($K83=0,"n.b.",SUMIFS(STG_Woningetalage!$AE$6:$AE$505,STG_Woningetalage!$B$6:$B$505,$A83)))</f>
        <v/>
      </c>
      <c r="BI83" s="117" t="str">
        <f>IF($A83="","",IF($K83=0,"n.b.",SUMIFS(STG_Woningetalage!$AF$6:$AF$505,STG_Woningetalage!$B$6:$B$505,$A83)))</f>
        <v/>
      </c>
      <c r="BJ83" s="117" t="str">
        <f>IF($A83="","",IF($K83=0,"n.b.",SUMIFS(STG_Woningetalage!$AG$6:$AG$505,STG_Woningetalage!$B$6:$B$505,$A83)))</f>
        <v/>
      </c>
      <c r="BK83" s="117" t="str">
        <f>IF($A83="","",IF($K83=0,"n.b.",SUMIFS(STG_Woningetalage!$AH$6:$AH$505,STG_Woningetalage!$B$6:$B$505,$A83)))</f>
        <v/>
      </c>
      <c r="BL83" s="117" t="str">
        <f>IF($A83="","",IF($K83=0,"n.b.",SUMIFS(STG_Woningetalage!$AI$6:$AI$505,STG_Woningetalage!$B$6:$B$505,$A83)))</f>
        <v/>
      </c>
      <c r="BM83" s="117" t="str">
        <f>IF($A83="","",IF($K83=0,"n.b.",SUMIFS(STG_Woningetalage!$AJ$6:$AJ$505,STG_Woningetalage!$B$6:$B$505,$A83)))</f>
        <v/>
      </c>
      <c r="BN83" s="117" t="str">
        <f>IF($A83="","",IF($K83=0,"n.b.",SUMIFS(STG_Woningetalage!$AK$6:$AK$505,STG_Woningetalage!$B$6:$B$505,$A83)))</f>
        <v/>
      </c>
      <c r="BO83" s="117" t="str">
        <f>IF($A83="","",IF($K83=0,"n.b.",SUMIFS(STG_Woningetalage!$AL$6:$AL$505,STG_Woningetalage!$B$6:$B$505,$A83)))</f>
        <v/>
      </c>
      <c r="BP83" s="117" t="str">
        <f>IF($A83="","",IF($K83=0,"n.b.",SUMIFS(STG_Woningetalage!$AM$6:$AM$505,STG_Woningetalage!$B$6:$B$505,$A83)))</f>
        <v/>
      </c>
      <c r="BQ83" s="117" t="str">
        <f>IF($A83="","",IF($K83=0,"n.b.",SUMIFS(STG_Woningetalage!$BE$6:$BE$505,STG_Woningetalage!$B$6:$B$505,$A83)))</f>
        <v/>
      </c>
      <c r="BR83" s="117" t="str">
        <f>IF($A83="","",IF($K83=0,"n.b.",SUMIFS(STG_Woningetalage!$BF$6:$BF$505,STG_Woningetalage!$B$6:$B$505,$A83)))</f>
        <v/>
      </c>
      <c r="BS83" s="117" t="str">
        <f>IF($A83="","",IF($K83=0,"n.b.",SUMIFS(STG_Woningetalage!$BG$6:$BG$505,STG_Woningetalage!$B$6:$B$505,$A83)))</f>
        <v/>
      </c>
      <c r="BT83" s="117" t="str">
        <f>IF($A83="","",IF($K83=0,"n.b.",SUMIFS(STG_Woningetalage!$BH$6:$BH$505,STG_Woningetalage!$B$6:$B$505,$A83)))</f>
        <v/>
      </c>
      <c r="BU83" s="117" t="str">
        <f>IF($A83="","",IF($K83=0,"n.b.",SUMIFS(STG_Woningetalage!$BI$6:$BI$505,STG_Woningetalage!$B$6:$B$505,$A83)))</f>
        <v/>
      </c>
      <c r="BV83" s="117" t="str">
        <f>IF($A83="","",IF($K83=0,"n.b.",SUMIFS(STG_Woningetalage!$BJ$6:$BJ$505,STG_Woningetalage!$B$6:$B$505,$A83)))</f>
        <v/>
      </c>
      <c r="BW83" s="117" t="str">
        <f>IF($A83="","",IF($K83=0,"n.b.",SUMIFS(STG_Woningetalage!$AR$6:$AR$505,STG_Woningetalage!$B$6:$B$505,$A83)))</f>
        <v/>
      </c>
      <c r="BX83" s="117" t="str">
        <f>IF($A83="","",IF($K83=0,"n.b.",SUMIFS(STG_Woningetalage!$AS$6:$AS$505,STG_Woningetalage!$B$6:$B$505,$A83)))</f>
        <v/>
      </c>
      <c r="BY83" s="117" t="str">
        <f>IF($A83="","",IF($K83=0,"n.b.",SUMIFS(STG_Woningetalage!$AN$6:$AN$505,STG_Woningetalage!$B$6:$B$505,$A83)))</f>
        <v/>
      </c>
      <c r="BZ83" s="117" t="str">
        <f>IF($A83="","",IF($K83=0,"n.b.",SUMIFS(STG_Woningetalage!$AO$6:$AO$505,STG_Woningetalage!$B$6:$B$505,$A83)))</f>
        <v/>
      </c>
      <c r="CA83" s="117" t="str">
        <f>IF($A83="","",IF($K83=0,"n.b.",SUMIFS(STG_Woningetalage!$AP$6:$AP$505,STG_Woningetalage!$B$6:$B$505,$A83)))</f>
        <v/>
      </c>
      <c r="CB83" s="117" t="str">
        <f>IF($A83="","",IF($K83=0,"n.b.",SUMIFS(STG_Woningetalage!$AQ$6:$AQ$505,STG_Woningetalage!$B$6:$B$505,$A83)))</f>
        <v/>
      </c>
      <c r="CC83" s="117" t="str">
        <f>IF($A83="","",IF($K83=0,"n.b.",SUMIFS(STG_Woningetalage!$AU$6:$AU$505,STG_Woningetalage!$B$6:$B$505,$A83)))</f>
        <v/>
      </c>
      <c r="CD83" s="92" t="str">
        <f>IF($A83="","",IFERROR(INDEX(STG_ZPMW03!$L$6:$L$505,MATCH($A83,STG_ZPMW03!$B$6:$B$505,0)),"n.b."))</f>
        <v/>
      </c>
      <c r="CE83" s="92" t="str">
        <f>IF($A83="","",IFERROR(INDEX(STG_ZPMW03!$K$6:$K$505,MATCH($A83,STG_ZPMW03!$B$6:$B$505,0)),"n.b."))</f>
        <v/>
      </c>
      <c r="CF83" s="92" t="str">
        <f>IF($A83="","",IFERROR(INDEX(STG_ZPMW03!$BH$6:$BH$505,MATCH($A83,STG_ZPMW03!$B$6:$B$505,0)),"n.b."))</f>
        <v/>
      </c>
      <c r="CG83" s="92" t="str">
        <f>IF($A83="","",IFERROR(INDEX(STG_ZPMW03!$BI$6:$BI$505,MATCH($A83,STG_ZPMW03!$B$6:$B$505,0)),"n.b."))</f>
        <v/>
      </c>
      <c r="CH83" s="92" t="str">
        <f>IF($A83="","",IFERROR(INDEX(STG_ZPMW03!$BJ$6:$BJ$505,MATCH($A83,STG_ZPMW03!$B$6:$B$505,0)),"n.b."))</f>
        <v/>
      </c>
      <c r="CI83" s="92" t="str">
        <f>IF($A83="","",IFERROR(INDEX(STG_ZPMW03!$BF$6:$BF$505,MATCH($A83,STG_ZPMW03!$B$6:$B$505,0)),"n.b."))</f>
        <v/>
      </c>
      <c r="CJ83" s="92" t="str">
        <f>IF($A83="","",IFERROR(INDEX(STG_ZPMW03!$BG$6:$BG$505,MATCH($A83,STG_ZPMW03!$B$6:$B$505,0)),"n.b."))</f>
        <v/>
      </c>
      <c r="CK83" s="92" t="str">
        <f>IF($A83="","",IFERROR(INDEX(STG_ZPMW03!$H$6:$H$505,MATCH($A83,STG_ZPMW03!$B$6:$B$505,0)),"n.b."))</f>
        <v/>
      </c>
      <c r="CL83" s="92" t="str">
        <f>IF($A83="","",IFERROR(INDEX(STG_ZPMW03!$E$6:$E$505,MATCH($A83,STG_ZPMW03!$B$6:$B$505,0)),"n.b."))</f>
        <v/>
      </c>
      <c r="CM83" s="92" t="str">
        <f>IF($A83="","",IFERROR(INDEX(STG_ZPMW03!$G$6:$G$505,MATCH($A83,STG_ZPMW03!$B$6:$B$505,0)),"n.b."))</f>
        <v/>
      </c>
      <c r="CN83" s="92" t="str">
        <f>IF($A83="","",IFERROR(INDEX(STG_Woningetalage!$N$6:$N$505,MATCH($A83,STG_Woningetalage!$B$6:$B$505,0)),"n.b."))</f>
        <v/>
      </c>
      <c r="CO83" s="92" t="str">
        <f>IF($A83="","",IFERROR(INDEX(STG_Woningetalage!$P$6:$P$505,MATCH($A83,STG_Woningetalage!$B$6:$B$505,0)),"n.b."))</f>
        <v/>
      </c>
      <c r="CP83" s="118" t="str">
        <f>IF($A83="","",IF(AND(ISNUMBER(AT83),ISNUMBER(F83)),IF(F83&gt;0,AT83/(F83/100),"n.b."),"n.b."))</f>
        <v/>
      </c>
      <c r="CQ83" s="116" t="str">
        <f>IF($A83="","",IF(ISNUMBER(Q83),IF(Q83&lt;0,1,0),0))</f>
        <v/>
      </c>
      <c r="CR83" s="116" t="str">
        <f>IF(CQ83=1,COUNTIF($CQ$6:CQ83,1),"")</f>
        <v/>
      </c>
      <c r="CS83" s="116" t="str">
        <f>IF(AND($A83&lt;&gt;"",$J83=0),COUNTIFS($A$6:$A83,"?*",$J$6:$J83,0),"")</f>
        <v/>
      </c>
      <c r="CT83" s="119" t="str">
        <f>IF($A83="","",IF(AND(ISNUMBER(Q83),ISNUMBER(P83)),IF(P83&lt;&gt;0,Q83/P83,"n.b."),"n.b."))</f>
        <v/>
      </c>
    </row>
    <row r="84">
      <c r="A84" s="92" t="str">
        <f>IF(Mapping!$A83="","",Mapping!$A83)</f>
        <v/>
      </c>
      <c r="B84" s="92" t="str">
        <f>IF(Mapping!$B83="","",Mapping!$B83)</f>
        <v/>
      </c>
      <c r="C84" s="92" t="str">
        <f>IF(Mapping!$C83="","",Mapping!$C83)</f>
        <v/>
      </c>
      <c r="D84" s="92" t="str">
        <f>IF(Mapping!$F83="","",Mapping!$F83)</f>
        <v/>
      </c>
      <c r="E84" s="92" t="str">
        <f>IF(Mapping!$H83="","",Mapping!$H83)</f>
        <v/>
      </c>
      <c r="F84" s="92" t="str">
        <f>IF(Mapping!$E83="","",Mapping!$E83)</f>
        <v/>
      </c>
      <c r="G84" s="92" t="str">
        <f>IF(Mapping!$G83="","",Mapping!$G83)</f>
        <v/>
      </c>
      <c r="H84" s="92" t="str">
        <f>IF(Mapping!$D83="","",Mapping!$D83)</f>
        <v/>
      </c>
      <c r="I84" s="92" t="str">
        <f>IF($A84="","",IFERROR(INDEX(STG_ZPMW03!$C$6:$C$505,MATCH($A84,STG_ZPMW03!$B$6:$B$505,0)),"n.b."))</f>
        <v/>
      </c>
      <c r="J84" s="116" t="str">
        <f>IF($A84="","",COUNTIF(STG_ZPMW03!$B$6:$B$505,$A84))</f>
        <v/>
      </c>
      <c r="K84" s="116" t="str">
        <f>IF($A84="","",COUNTIF(STG_Woningetalage!$B$6:$B$505,$A84))</f>
        <v/>
      </c>
      <c r="L84" s="117" t="str">
        <f>IF($A84="","",IF($J84=0,"n.b.",SUMIFS(STG_ZPMW03!$BK$6:$BK$505,STG_ZPMW03!$B$6:$B$505,$A84)))</f>
        <v/>
      </c>
      <c r="M84" s="117" t="str">
        <f>IF($A84="","",IF($J84=0,"n.b.",SUMIFS(STG_ZPMW03!$BL$6:$BL$505,STG_ZPMW03!$B$6:$B$505,$A84)))</f>
        <v/>
      </c>
      <c r="N84" s="117" t="str">
        <f>IF($A84="","",IF($J84=0,"n.b.",SUMIFS(STG_ZPMW03!$BM$6:$BM$505,STG_ZPMW03!$B$6:$B$505,$A84)))</f>
        <v/>
      </c>
      <c r="O84" s="117" t="str">
        <f>IF($A84="","",IF($J84=0,"n.b.",SUMIFS(STG_ZPMW03!$BN$6:$BN$505,STG_ZPMW03!$B$6:$B$505,$A84)))</f>
        <v/>
      </c>
      <c r="P84" s="117" t="str">
        <f>IF($A84="","",IF($J84=0,"n.b.",SUMIFS(STG_ZPMW03!$BO$6:$BO$505,STG_ZPMW03!$B$6:$B$505,$A84)))</f>
        <v/>
      </c>
      <c r="Q84" s="117" t="str">
        <f>IF($A84="","",IF($J84=0,"n.b.",SUMIFS(STG_ZPMW03!$BP$6:$BP$505,STG_ZPMW03!$B$6:$B$505,$A84)))</f>
        <v/>
      </c>
      <c r="R84" s="117" t="str">
        <f>IF($A84="","",IF($J84=0,"n.b.",SUMIFS(STG_ZPMW03!$BQ$6:$BQ$505,STG_ZPMW03!$B$6:$B$505,$A84)))</f>
        <v/>
      </c>
      <c r="S84" s="117" t="str">
        <f>IF($A84="","",IF($J84=0,"n.b.",SUMIFS(STG_ZPMW03!$BR$6:$BR$505,STG_ZPMW03!$B$6:$B$505,$A84)))</f>
        <v/>
      </c>
      <c r="T84" s="117" t="str">
        <f>IF($A84="","",IF($J84=0,"n.b.",SUMIFS(STG_ZPMW03!$BS$6:$BS$505,STG_ZPMW03!$B$6:$B$505,$A84)))</f>
        <v/>
      </c>
      <c r="U84" s="117" t="str">
        <f>IF($A84="","",IF($J84=0,"n.b.",SUMIFS(STG_ZPMW03!$BT$6:$BT$505,STG_ZPMW03!$B$6:$B$505,$A84)))</f>
        <v/>
      </c>
      <c r="V84" s="117" t="str">
        <f>IF($A84="","",IF($J84=0,"n.b.",SUMIFS(STG_ZPMW03!$BU$6:$BU$505,STG_ZPMW03!$B$6:$B$505,$A84)))</f>
        <v/>
      </c>
      <c r="W84" s="117" t="str">
        <f>IF($A84="","",IF($J84=0,"n.b.",SUMIFS(STG_ZPMW03!$BW$6:$BW$505,STG_ZPMW03!$B$6:$B$505,$A84)))</f>
        <v/>
      </c>
      <c r="X84" s="117" t="str">
        <f>IF($A84="","",IF($J84=0,"n.b.",SUMIFS(STG_ZPMW03!$BY$6:$BY$505,STG_ZPMW03!$B$6:$B$505,$A84)))</f>
        <v/>
      </c>
      <c r="Y84" s="117" t="str">
        <f>IF($A84="","",IF($J84=0,"n.b.",SUMIFS(STG_ZPMW03!$CA$6:$CA$505,STG_ZPMW03!$B$6:$B$505,$A84)))</f>
        <v/>
      </c>
      <c r="Z84" s="117" t="str">
        <f>IF($A84="","",IF($J84=0,"n.b.",SUMIFS(STG_ZPMW03!$BV$6:$BV$505,STG_ZPMW03!$B$6:$B$505,$A84)))</f>
        <v/>
      </c>
      <c r="AA84" s="117" t="str">
        <f>IF($A84="","",IF($J84=0,"n.b.",SUMIFS(STG_ZPMW03!$BX$6:$BX$505,STG_ZPMW03!$B$6:$B$505,$A84)))</f>
        <v/>
      </c>
      <c r="AB84" s="117" t="str">
        <f>IF($A84="","",IF($J84=0,"n.b.",SUMIFS(STG_ZPMW03!$BZ$6:$BZ$505,STG_ZPMW03!$B$6:$B$505,$A84)))</f>
        <v/>
      </c>
      <c r="AC84" s="117" t="str">
        <f>IF($A84="","",IF($J84=0,"n.b.",SUMIFS(STG_ZPMW03!$CB$6:$CB$505,STG_ZPMW03!$B$6:$B$505,$A84)))</f>
        <v/>
      </c>
      <c r="AD84" s="117" t="str">
        <f>IF($A84="","",IF($J84=0,"n.b.",SUMIFS(STG_ZPMW03!$CC$6:$CC$505,STG_ZPMW03!$B$6:$B$505,$A84)))</f>
        <v/>
      </c>
      <c r="AE84" s="117" t="str">
        <f>IF($A84="","",IF($J84=0,"n.b.",SUMIFS(STG_ZPMW03!$CE$6:$CE$505,STG_ZPMW03!$B$6:$B$505,$A84)))</f>
        <v/>
      </c>
      <c r="AF84" s="117" t="str">
        <f>IF($A84="","",IF($J84=0,"n.b.",SUMIFS(STG_ZPMW03!$CG$6:$CG$505,STG_ZPMW03!$B$6:$B$505,$A84)))</f>
        <v/>
      </c>
      <c r="AG84" s="117" t="str">
        <f>IF($A84="","",IF($J84=0,"n.b.",SUMIFS(STG_ZPMW03!$CI$6:$CI$505,STG_ZPMW03!$B$6:$B$505,$A84)))</f>
        <v/>
      </c>
      <c r="AH84" s="117" t="str">
        <f>IF($A84="","",IF($J84=0,"n.b.",SUMIFS(STG_ZPMW03!$CK$6:$CK$505,STG_ZPMW03!$B$6:$B$505,$A84)))</f>
        <v/>
      </c>
      <c r="AI84" s="117" t="str">
        <f>IF($A84="","",IF($J84=0,"n.b.",SUMIFS(STG_ZPMW03!$CM$6:$CM$505,STG_ZPMW03!$B$6:$B$505,$A84)))</f>
        <v/>
      </c>
      <c r="AJ84" s="117" t="str">
        <f>IF($A84="","",IF($J84=0,"n.b.",SUMIFS(STG_ZPMW03!$CO$6:$CO$505,STG_ZPMW03!$B$6:$B$505,$A84)))</f>
        <v/>
      </c>
      <c r="AK84" s="117" t="str">
        <f>IF($A84="","",IF($J84=0,"n.b.",SUMIFS(STG_ZPMW03!$CQ$6:$CQ$505,STG_ZPMW03!$B$6:$B$505,$A84)))</f>
        <v/>
      </c>
      <c r="AL84" s="117" t="str">
        <f>IF($A84="","",IF($J84=0,"n.b.",SUMIFS(STG_ZPMW03!$CD$6:$CD$505,STG_ZPMW03!$B$6:$B$505,$A84)))</f>
        <v/>
      </c>
      <c r="AM84" s="117" t="str">
        <f>IF($A84="","",IF($J84=0,"n.b.",SUMIFS(STG_ZPMW03!$CF$6:$CF$505,STG_ZPMW03!$B$6:$B$505,$A84)))</f>
        <v/>
      </c>
      <c r="AN84" s="117" t="str">
        <f>IF($A84="","",IF($J84=0,"n.b.",SUMIFS(STG_ZPMW03!$CH$6:$CH$505,STG_ZPMW03!$B$6:$B$505,$A84)))</f>
        <v/>
      </c>
      <c r="AO84" s="117" t="str">
        <f>IF($A84="","",IF($J84=0,"n.b.",SUMIFS(STG_ZPMW03!$CJ$6:$CJ$505,STG_ZPMW03!$B$6:$B$505,$A84)))</f>
        <v/>
      </c>
      <c r="AP84" s="117" t="str">
        <f>IF($A84="","",IF($J84=0,"n.b.",SUMIFS(STG_ZPMW03!$CL$6:$CL$505,STG_ZPMW03!$B$6:$B$505,$A84)))</f>
        <v/>
      </c>
      <c r="AQ84" s="117" t="str">
        <f>IF($A84="","",IF($J84=0,"n.b.",SUMIFS(STG_ZPMW03!$CN$6:$CN$505,STG_ZPMW03!$B$6:$B$505,$A84)))</f>
        <v/>
      </c>
      <c r="AR84" s="117" t="str">
        <f>IF($A84="","",IF($J84=0,"n.b.",SUMIFS(STG_ZPMW03!$CP$6:$CP$505,STG_ZPMW03!$B$6:$B$505,$A84)))</f>
        <v/>
      </c>
      <c r="AS84" s="117" t="str">
        <f>IF($A84="","",IF($J84=0,"n.b.",SUMIFS(STG_ZPMW03!$CR$6:$CR$505,STG_ZPMW03!$B$6:$B$505,$A84)))</f>
        <v/>
      </c>
      <c r="AT84" s="117" t="str">
        <f>IF($A84="","",IF($K84=0,"n.b.",SUMIFS(STG_Woningetalage!$Q$6:$Q$505,STG_Woningetalage!$B$6:$B$505,$A84)))</f>
        <v/>
      </c>
      <c r="AU84" s="117" t="str">
        <f>IF($A84="","",IF($K84=0,"n.b.",SUMIFS(STG_Woningetalage!$R$6:$R$505,STG_Woningetalage!$B$6:$B$505,$A84)))</f>
        <v/>
      </c>
      <c r="AV84" s="117" t="str">
        <f>IF($A84="","",IF($K84=0,"n.b.",SUMIFS(STG_Woningetalage!$S$6:$S$505,STG_Woningetalage!$B$6:$B$505,$A84)))</f>
        <v/>
      </c>
      <c r="AW84" s="117" t="str">
        <f>IF($A84="","",IF($K84=0,"n.b.",SUMIFS(STG_Woningetalage!$T$6:$T$505,STG_Woningetalage!$B$6:$B$505,$A84)))</f>
        <v/>
      </c>
      <c r="AX84" s="117" t="str">
        <f>IF($A84="","",IF($K84=0,"n.b.",SUMIFS(STG_Woningetalage!$U$6:$U$505,STG_Woningetalage!$B$6:$B$505,$A84)))</f>
        <v/>
      </c>
      <c r="AY84" s="117" t="str">
        <f>IF($A84="","",IF($K84=0,"n.b.",SUMIFS(STG_Woningetalage!$V$6:$V$505,STG_Woningetalage!$B$6:$B$505,$A84)))</f>
        <v/>
      </c>
      <c r="AZ84" s="117" t="str">
        <f>IF($A84="","",IF($K84=0,"n.b.",SUMIFS(STG_Woningetalage!$W$6:$W$505,STG_Woningetalage!$B$6:$B$505,$A84)))</f>
        <v/>
      </c>
      <c r="BA84" s="117" t="str">
        <f>IF($A84="","",IF($K84=0,"n.b.",SUMIFS(STG_Woningetalage!$X$6:$X$505,STG_Woningetalage!$B$6:$B$505,$A84)))</f>
        <v/>
      </c>
      <c r="BB84" s="117" t="str">
        <f>IF($A84="","",IF($K84=0,"n.b.",SUMIFS(STG_Woningetalage!$Y$6:$Y$505,STG_Woningetalage!$B$6:$B$505,$A84)))</f>
        <v/>
      </c>
      <c r="BC84" s="117" t="str">
        <f>IF($A84="","",IF($K84=0,"n.b.",SUMIFS(STG_Woningetalage!$Z$6:$Z$505,STG_Woningetalage!$B$6:$B$505,$A84)))</f>
        <v/>
      </c>
      <c r="BD84" s="117" t="str">
        <f>IF($A84="","",IF($K84=0,"n.b.",SUMIFS(STG_Woningetalage!$AA$6:$AA$505,STG_Woningetalage!$B$6:$B$505,$A84)))</f>
        <v/>
      </c>
      <c r="BE84" s="117" t="str">
        <f>IF($A84="","",IF($K84=0,"n.b.",SUMIFS(STG_Woningetalage!$AB$6:$AB$505,STG_Woningetalage!$B$6:$B$505,$A84)))</f>
        <v/>
      </c>
      <c r="BF84" s="117" t="str">
        <f>IF($A84="","",IF($K84=0,"n.b.",SUMIFS(STG_Woningetalage!$AC$6:$AC$505,STG_Woningetalage!$B$6:$B$505,$A84)))</f>
        <v/>
      </c>
      <c r="BG84" s="117" t="str">
        <f>IF($A84="","",IF($K84=0,"n.b.",SUMIFS(STG_Woningetalage!$AD$6:$AD$505,STG_Woningetalage!$B$6:$B$505,$A84)))</f>
        <v/>
      </c>
      <c r="BH84" s="117" t="str">
        <f>IF($A84="","",IF($K84=0,"n.b.",SUMIFS(STG_Woningetalage!$AE$6:$AE$505,STG_Woningetalage!$B$6:$B$505,$A84)))</f>
        <v/>
      </c>
      <c r="BI84" s="117" t="str">
        <f>IF($A84="","",IF($K84=0,"n.b.",SUMIFS(STG_Woningetalage!$AF$6:$AF$505,STG_Woningetalage!$B$6:$B$505,$A84)))</f>
        <v/>
      </c>
      <c r="BJ84" s="117" t="str">
        <f>IF($A84="","",IF($K84=0,"n.b.",SUMIFS(STG_Woningetalage!$AG$6:$AG$505,STG_Woningetalage!$B$6:$B$505,$A84)))</f>
        <v/>
      </c>
      <c r="BK84" s="117" t="str">
        <f>IF($A84="","",IF($K84=0,"n.b.",SUMIFS(STG_Woningetalage!$AH$6:$AH$505,STG_Woningetalage!$B$6:$B$505,$A84)))</f>
        <v/>
      </c>
      <c r="BL84" s="117" t="str">
        <f>IF($A84="","",IF($K84=0,"n.b.",SUMIFS(STG_Woningetalage!$AI$6:$AI$505,STG_Woningetalage!$B$6:$B$505,$A84)))</f>
        <v/>
      </c>
      <c r="BM84" s="117" t="str">
        <f>IF($A84="","",IF($K84=0,"n.b.",SUMIFS(STG_Woningetalage!$AJ$6:$AJ$505,STG_Woningetalage!$B$6:$B$505,$A84)))</f>
        <v/>
      </c>
      <c r="BN84" s="117" t="str">
        <f>IF($A84="","",IF($K84=0,"n.b.",SUMIFS(STG_Woningetalage!$AK$6:$AK$505,STG_Woningetalage!$B$6:$B$505,$A84)))</f>
        <v/>
      </c>
      <c r="BO84" s="117" t="str">
        <f>IF($A84="","",IF($K84=0,"n.b.",SUMIFS(STG_Woningetalage!$AL$6:$AL$505,STG_Woningetalage!$B$6:$B$505,$A84)))</f>
        <v/>
      </c>
      <c r="BP84" s="117" t="str">
        <f>IF($A84="","",IF($K84=0,"n.b.",SUMIFS(STG_Woningetalage!$AM$6:$AM$505,STG_Woningetalage!$B$6:$B$505,$A84)))</f>
        <v/>
      </c>
      <c r="BQ84" s="117" t="str">
        <f>IF($A84="","",IF($K84=0,"n.b.",SUMIFS(STG_Woningetalage!$BE$6:$BE$505,STG_Woningetalage!$B$6:$B$505,$A84)))</f>
        <v/>
      </c>
      <c r="BR84" s="117" t="str">
        <f>IF($A84="","",IF($K84=0,"n.b.",SUMIFS(STG_Woningetalage!$BF$6:$BF$505,STG_Woningetalage!$B$6:$B$505,$A84)))</f>
        <v/>
      </c>
      <c r="BS84" s="117" t="str">
        <f>IF($A84="","",IF($K84=0,"n.b.",SUMIFS(STG_Woningetalage!$BG$6:$BG$505,STG_Woningetalage!$B$6:$B$505,$A84)))</f>
        <v/>
      </c>
      <c r="BT84" s="117" t="str">
        <f>IF($A84="","",IF($K84=0,"n.b.",SUMIFS(STG_Woningetalage!$BH$6:$BH$505,STG_Woningetalage!$B$6:$B$505,$A84)))</f>
        <v/>
      </c>
      <c r="BU84" s="117" t="str">
        <f>IF($A84="","",IF($K84=0,"n.b.",SUMIFS(STG_Woningetalage!$BI$6:$BI$505,STG_Woningetalage!$B$6:$B$505,$A84)))</f>
        <v/>
      </c>
      <c r="BV84" s="117" t="str">
        <f>IF($A84="","",IF($K84=0,"n.b.",SUMIFS(STG_Woningetalage!$BJ$6:$BJ$505,STG_Woningetalage!$B$6:$B$505,$A84)))</f>
        <v/>
      </c>
      <c r="BW84" s="117" t="str">
        <f>IF($A84="","",IF($K84=0,"n.b.",SUMIFS(STG_Woningetalage!$AR$6:$AR$505,STG_Woningetalage!$B$6:$B$505,$A84)))</f>
        <v/>
      </c>
      <c r="BX84" s="117" t="str">
        <f>IF($A84="","",IF($K84=0,"n.b.",SUMIFS(STG_Woningetalage!$AS$6:$AS$505,STG_Woningetalage!$B$6:$B$505,$A84)))</f>
        <v/>
      </c>
      <c r="BY84" s="117" t="str">
        <f>IF($A84="","",IF($K84=0,"n.b.",SUMIFS(STG_Woningetalage!$AN$6:$AN$505,STG_Woningetalage!$B$6:$B$505,$A84)))</f>
        <v/>
      </c>
      <c r="BZ84" s="117" t="str">
        <f>IF($A84="","",IF($K84=0,"n.b.",SUMIFS(STG_Woningetalage!$AO$6:$AO$505,STG_Woningetalage!$B$6:$B$505,$A84)))</f>
        <v/>
      </c>
      <c r="CA84" s="117" t="str">
        <f>IF($A84="","",IF($K84=0,"n.b.",SUMIFS(STG_Woningetalage!$AP$6:$AP$505,STG_Woningetalage!$B$6:$B$505,$A84)))</f>
        <v/>
      </c>
      <c r="CB84" s="117" t="str">
        <f>IF($A84="","",IF($K84=0,"n.b.",SUMIFS(STG_Woningetalage!$AQ$6:$AQ$505,STG_Woningetalage!$B$6:$B$505,$A84)))</f>
        <v/>
      </c>
      <c r="CC84" s="117" t="str">
        <f>IF($A84="","",IF($K84=0,"n.b.",SUMIFS(STG_Woningetalage!$AU$6:$AU$505,STG_Woningetalage!$B$6:$B$505,$A84)))</f>
        <v/>
      </c>
      <c r="CD84" s="92" t="str">
        <f>IF($A84="","",IFERROR(INDEX(STG_ZPMW03!$L$6:$L$505,MATCH($A84,STG_ZPMW03!$B$6:$B$505,0)),"n.b."))</f>
        <v/>
      </c>
      <c r="CE84" s="92" t="str">
        <f>IF($A84="","",IFERROR(INDEX(STG_ZPMW03!$K$6:$K$505,MATCH($A84,STG_ZPMW03!$B$6:$B$505,0)),"n.b."))</f>
        <v/>
      </c>
      <c r="CF84" s="92" t="str">
        <f>IF($A84="","",IFERROR(INDEX(STG_ZPMW03!$BH$6:$BH$505,MATCH($A84,STG_ZPMW03!$B$6:$B$505,0)),"n.b."))</f>
        <v/>
      </c>
      <c r="CG84" s="92" t="str">
        <f>IF($A84="","",IFERROR(INDEX(STG_ZPMW03!$BI$6:$BI$505,MATCH($A84,STG_ZPMW03!$B$6:$B$505,0)),"n.b."))</f>
        <v/>
      </c>
      <c r="CH84" s="92" t="str">
        <f>IF($A84="","",IFERROR(INDEX(STG_ZPMW03!$BJ$6:$BJ$505,MATCH($A84,STG_ZPMW03!$B$6:$B$505,0)),"n.b."))</f>
        <v/>
      </c>
      <c r="CI84" s="92" t="str">
        <f>IF($A84="","",IFERROR(INDEX(STG_ZPMW03!$BF$6:$BF$505,MATCH($A84,STG_ZPMW03!$B$6:$B$505,0)),"n.b."))</f>
        <v/>
      </c>
      <c r="CJ84" s="92" t="str">
        <f>IF($A84="","",IFERROR(INDEX(STG_ZPMW03!$BG$6:$BG$505,MATCH($A84,STG_ZPMW03!$B$6:$B$505,0)),"n.b."))</f>
        <v/>
      </c>
      <c r="CK84" s="92" t="str">
        <f>IF($A84="","",IFERROR(INDEX(STG_ZPMW03!$H$6:$H$505,MATCH($A84,STG_ZPMW03!$B$6:$B$505,0)),"n.b."))</f>
        <v/>
      </c>
      <c r="CL84" s="92" t="str">
        <f>IF($A84="","",IFERROR(INDEX(STG_ZPMW03!$E$6:$E$505,MATCH($A84,STG_ZPMW03!$B$6:$B$505,0)),"n.b."))</f>
        <v/>
      </c>
      <c r="CM84" s="92" t="str">
        <f>IF($A84="","",IFERROR(INDEX(STG_ZPMW03!$G$6:$G$505,MATCH($A84,STG_ZPMW03!$B$6:$B$505,0)),"n.b."))</f>
        <v/>
      </c>
      <c r="CN84" s="92" t="str">
        <f>IF($A84="","",IFERROR(INDEX(STG_Woningetalage!$N$6:$N$505,MATCH($A84,STG_Woningetalage!$B$6:$B$505,0)),"n.b."))</f>
        <v/>
      </c>
      <c r="CO84" s="92" t="str">
        <f>IF($A84="","",IFERROR(INDEX(STG_Woningetalage!$P$6:$P$505,MATCH($A84,STG_Woningetalage!$B$6:$B$505,0)),"n.b."))</f>
        <v/>
      </c>
      <c r="CP84" s="118" t="str">
        <f>IF($A84="","",IF(AND(ISNUMBER(AT84),ISNUMBER(F84)),IF(F84&gt;0,AT84/(F84/100),"n.b."),"n.b."))</f>
        <v/>
      </c>
      <c r="CQ84" s="116" t="str">
        <f>IF($A84="","",IF(ISNUMBER(Q84),IF(Q84&lt;0,1,0),0))</f>
        <v/>
      </c>
      <c r="CR84" s="116" t="str">
        <f>IF(CQ84=1,COUNTIF($CQ$6:CQ84,1),"")</f>
        <v/>
      </c>
      <c r="CS84" s="116" t="str">
        <f>IF(AND($A84&lt;&gt;"",$J84=0),COUNTIFS($A$6:$A84,"?*",$J$6:$J84,0),"")</f>
        <v/>
      </c>
      <c r="CT84" s="119" t="str">
        <f>IF($A84="","",IF(AND(ISNUMBER(Q84),ISNUMBER(P84)),IF(P84&lt;&gt;0,Q84/P84,"n.b."),"n.b."))</f>
        <v/>
      </c>
    </row>
    <row r="85">
      <c r="A85" s="92" t="str">
        <f>IF(Mapping!$A84="","",Mapping!$A84)</f>
        <v/>
      </c>
      <c r="B85" s="92" t="str">
        <f>IF(Mapping!$B84="","",Mapping!$B84)</f>
        <v/>
      </c>
      <c r="C85" s="92" t="str">
        <f>IF(Mapping!$C84="","",Mapping!$C84)</f>
        <v/>
      </c>
      <c r="D85" s="92" t="str">
        <f>IF(Mapping!$F84="","",Mapping!$F84)</f>
        <v/>
      </c>
      <c r="E85" s="92" t="str">
        <f>IF(Mapping!$H84="","",Mapping!$H84)</f>
        <v/>
      </c>
      <c r="F85" s="92" t="str">
        <f>IF(Mapping!$E84="","",Mapping!$E84)</f>
        <v/>
      </c>
      <c r="G85" s="92" t="str">
        <f>IF(Mapping!$G84="","",Mapping!$G84)</f>
        <v/>
      </c>
      <c r="H85" s="92" t="str">
        <f>IF(Mapping!$D84="","",Mapping!$D84)</f>
        <v/>
      </c>
      <c r="I85" s="92" t="str">
        <f>IF($A85="","",IFERROR(INDEX(STG_ZPMW03!$C$6:$C$505,MATCH($A85,STG_ZPMW03!$B$6:$B$505,0)),"n.b."))</f>
        <v/>
      </c>
      <c r="J85" s="116" t="str">
        <f>IF($A85="","",COUNTIF(STG_ZPMW03!$B$6:$B$505,$A85))</f>
        <v/>
      </c>
      <c r="K85" s="116" t="str">
        <f>IF($A85="","",COUNTIF(STG_Woningetalage!$B$6:$B$505,$A85))</f>
        <v/>
      </c>
      <c r="L85" s="117" t="str">
        <f>IF($A85="","",IF($J85=0,"n.b.",SUMIFS(STG_ZPMW03!$BK$6:$BK$505,STG_ZPMW03!$B$6:$B$505,$A85)))</f>
        <v/>
      </c>
      <c r="M85" s="117" t="str">
        <f>IF($A85="","",IF($J85=0,"n.b.",SUMIFS(STG_ZPMW03!$BL$6:$BL$505,STG_ZPMW03!$B$6:$B$505,$A85)))</f>
        <v/>
      </c>
      <c r="N85" s="117" t="str">
        <f>IF($A85="","",IF($J85=0,"n.b.",SUMIFS(STG_ZPMW03!$BM$6:$BM$505,STG_ZPMW03!$B$6:$B$505,$A85)))</f>
        <v/>
      </c>
      <c r="O85" s="117" t="str">
        <f>IF($A85="","",IF($J85=0,"n.b.",SUMIFS(STG_ZPMW03!$BN$6:$BN$505,STG_ZPMW03!$B$6:$B$505,$A85)))</f>
        <v/>
      </c>
      <c r="P85" s="117" t="str">
        <f>IF($A85="","",IF($J85=0,"n.b.",SUMIFS(STG_ZPMW03!$BO$6:$BO$505,STG_ZPMW03!$B$6:$B$505,$A85)))</f>
        <v/>
      </c>
      <c r="Q85" s="117" t="str">
        <f>IF($A85="","",IF($J85=0,"n.b.",SUMIFS(STG_ZPMW03!$BP$6:$BP$505,STG_ZPMW03!$B$6:$B$505,$A85)))</f>
        <v/>
      </c>
      <c r="R85" s="117" t="str">
        <f>IF($A85="","",IF($J85=0,"n.b.",SUMIFS(STG_ZPMW03!$BQ$6:$BQ$505,STG_ZPMW03!$B$6:$B$505,$A85)))</f>
        <v/>
      </c>
      <c r="S85" s="117" t="str">
        <f>IF($A85="","",IF($J85=0,"n.b.",SUMIFS(STG_ZPMW03!$BR$6:$BR$505,STG_ZPMW03!$B$6:$B$505,$A85)))</f>
        <v/>
      </c>
      <c r="T85" s="117" t="str">
        <f>IF($A85="","",IF($J85=0,"n.b.",SUMIFS(STG_ZPMW03!$BS$6:$BS$505,STG_ZPMW03!$B$6:$B$505,$A85)))</f>
        <v/>
      </c>
      <c r="U85" s="117" t="str">
        <f>IF($A85="","",IF($J85=0,"n.b.",SUMIFS(STG_ZPMW03!$BT$6:$BT$505,STG_ZPMW03!$B$6:$B$505,$A85)))</f>
        <v/>
      </c>
      <c r="V85" s="117" t="str">
        <f>IF($A85="","",IF($J85=0,"n.b.",SUMIFS(STG_ZPMW03!$BU$6:$BU$505,STG_ZPMW03!$B$6:$B$505,$A85)))</f>
        <v/>
      </c>
      <c r="W85" s="117" t="str">
        <f>IF($A85="","",IF($J85=0,"n.b.",SUMIFS(STG_ZPMW03!$BW$6:$BW$505,STG_ZPMW03!$B$6:$B$505,$A85)))</f>
        <v/>
      </c>
      <c r="X85" s="117" t="str">
        <f>IF($A85="","",IF($J85=0,"n.b.",SUMIFS(STG_ZPMW03!$BY$6:$BY$505,STG_ZPMW03!$B$6:$B$505,$A85)))</f>
        <v/>
      </c>
      <c r="Y85" s="117" t="str">
        <f>IF($A85="","",IF($J85=0,"n.b.",SUMIFS(STG_ZPMW03!$CA$6:$CA$505,STG_ZPMW03!$B$6:$B$505,$A85)))</f>
        <v/>
      </c>
      <c r="Z85" s="117" t="str">
        <f>IF($A85="","",IF($J85=0,"n.b.",SUMIFS(STG_ZPMW03!$BV$6:$BV$505,STG_ZPMW03!$B$6:$B$505,$A85)))</f>
        <v/>
      </c>
      <c r="AA85" s="117" t="str">
        <f>IF($A85="","",IF($J85=0,"n.b.",SUMIFS(STG_ZPMW03!$BX$6:$BX$505,STG_ZPMW03!$B$6:$B$505,$A85)))</f>
        <v/>
      </c>
      <c r="AB85" s="117" t="str">
        <f>IF($A85="","",IF($J85=0,"n.b.",SUMIFS(STG_ZPMW03!$BZ$6:$BZ$505,STG_ZPMW03!$B$6:$B$505,$A85)))</f>
        <v/>
      </c>
      <c r="AC85" s="117" t="str">
        <f>IF($A85="","",IF($J85=0,"n.b.",SUMIFS(STG_ZPMW03!$CB$6:$CB$505,STG_ZPMW03!$B$6:$B$505,$A85)))</f>
        <v/>
      </c>
      <c r="AD85" s="117" t="str">
        <f>IF($A85="","",IF($J85=0,"n.b.",SUMIFS(STG_ZPMW03!$CC$6:$CC$505,STG_ZPMW03!$B$6:$B$505,$A85)))</f>
        <v/>
      </c>
      <c r="AE85" s="117" t="str">
        <f>IF($A85="","",IF($J85=0,"n.b.",SUMIFS(STG_ZPMW03!$CE$6:$CE$505,STG_ZPMW03!$B$6:$B$505,$A85)))</f>
        <v/>
      </c>
      <c r="AF85" s="117" t="str">
        <f>IF($A85="","",IF($J85=0,"n.b.",SUMIFS(STG_ZPMW03!$CG$6:$CG$505,STG_ZPMW03!$B$6:$B$505,$A85)))</f>
        <v/>
      </c>
      <c r="AG85" s="117" t="str">
        <f>IF($A85="","",IF($J85=0,"n.b.",SUMIFS(STG_ZPMW03!$CI$6:$CI$505,STG_ZPMW03!$B$6:$B$505,$A85)))</f>
        <v/>
      </c>
      <c r="AH85" s="117" t="str">
        <f>IF($A85="","",IF($J85=0,"n.b.",SUMIFS(STG_ZPMW03!$CK$6:$CK$505,STG_ZPMW03!$B$6:$B$505,$A85)))</f>
        <v/>
      </c>
      <c r="AI85" s="117" t="str">
        <f>IF($A85="","",IF($J85=0,"n.b.",SUMIFS(STG_ZPMW03!$CM$6:$CM$505,STG_ZPMW03!$B$6:$B$505,$A85)))</f>
        <v/>
      </c>
      <c r="AJ85" s="117" t="str">
        <f>IF($A85="","",IF($J85=0,"n.b.",SUMIFS(STG_ZPMW03!$CO$6:$CO$505,STG_ZPMW03!$B$6:$B$505,$A85)))</f>
        <v/>
      </c>
      <c r="AK85" s="117" t="str">
        <f>IF($A85="","",IF($J85=0,"n.b.",SUMIFS(STG_ZPMW03!$CQ$6:$CQ$505,STG_ZPMW03!$B$6:$B$505,$A85)))</f>
        <v/>
      </c>
      <c r="AL85" s="117" t="str">
        <f>IF($A85="","",IF($J85=0,"n.b.",SUMIFS(STG_ZPMW03!$CD$6:$CD$505,STG_ZPMW03!$B$6:$B$505,$A85)))</f>
        <v/>
      </c>
      <c r="AM85" s="117" t="str">
        <f>IF($A85="","",IF($J85=0,"n.b.",SUMIFS(STG_ZPMW03!$CF$6:$CF$505,STG_ZPMW03!$B$6:$B$505,$A85)))</f>
        <v/>
      </c>
      <c r="AN85" s="117" t="str">
        <f>IF($A85="","",IF($J85=0,"n.b.",SUMIFS(STG_ZPMW03!$CH$6:$CH$505,STG_ZPMW03!$B$6:$B$505,$A85)))</f>
        <v/>
      </c>
      <c r="AO85" s="117" t="str">
        <f>IF($A85="","",IF($J85=0,"n.b.",SUMIFS(STG_ZPMW03!$CJ$6:$CJ$505,STG_ZPMW03!$B$6:$B$505,$A85)))</f>
        <v/>
      </c>
      <c r="AP85" s="117" t="str">
        <f>IF($A85="","",IF($J85=0,"n.b.",SUMIFS(STG_ZPMW03!$CL$6:$CL$505,STG_ZPMW03!$B$6:$B$505,$A85)))</f>
        <v/>
      </c>
      <c r="AQ85" s="117" t="str">
        <f>IF($A85="","",IF($J85=0,"n.b.",SUMIFS(STG_ZPMW03!$CN$6:$CN$505,STG_ZPMW03!$B$6:$B$505,$A85)))</f>
        <v/>
      </c>
      <c r="AR85" s="117" t="str">
        <f>IF($A85="","",IF($J85=0,"n.b.",SUMIFS(STG_ZPMW03!$CP$6:$CP$505,STG_ZPMW03!$B$6:$B$505,$A85)))</f>
        <v/>
      </c>
      <c r="AS85" s="117" t="str">
        <f>IF($A85="","",IF($J85=0,"n.b.",SUMIFS(STG_ZPMW03!$CR$6:$CR$505,STG_ZPMW03!$B$6:$B$505,$A85)))</f>
        <v/>
      </c>
      <c r="AT85" s="117" t="str">
        <f>IF($A85="","",IF($K85=0,"n.b.",SUMIFS(STG_Woningetalage!$Q$6:$Q$505,STG_Woningetalage!$B$6:$B$505,$A85)))</f>
        <v/>
      </c>
      <c r="AU85" s="117" t="str">
        <f>IF($A85="","",IF($K85=0,"n.b.",SUMIFS(STG_Woningetalage!$R$6:$R$505,STG_Woningetalage!$B$6:$B$505,$A85)))</f>
        <v/>
      </c>
      <c r="AV85" s="117" t="str">
        <f>IF($A85="","",IF($K85=0,"n.b.",SUMIFS(STG_Woningetalage!$S$6:$S$505,STG_Woningetalage!$B$6:$B$505,$A85)))</f>
        <v/>
      </c>
      <c r="AW85" s="117" t="str">
        <f>IF($A85="","",IF($K85=0,"n.b.",SUMIFS(STG_Woningetalage!$T$6:$T$505,STG_Woningetalage!$B$6:$B$505,$A85)))</f>
        <v/>
      </c>
      <c r="AX85" s="117" t="str">
        <f>IF($A85="","",IF($K85=0,"n.b.",SUMIFS(STG_Woningetalage!$U$6:$U$505,STG_Woningetalage!$B$6:$B$505,$A85)))</f>
        <v/>
      </c>
      <c r="AY85" s="117" t="str">
        <f>IF($A85="","",IF($K85=0,"n.b.",SUMIFS(STG_Woningetalage!$V$6:$V$505,STG_Woningetalage!$B$6:$B$505,$A85)))</f>
        <v/>
      </c>
      <c r="AZ85" s="117" t="str">
        <f>IF($A85="","",IF($K85=0,"n.b.",SUMIFS(STG_Woningetalage!$W$6:$W$505,STG_Woningetalage!$B$6:$B$505,$A85)))</f>
        <v/>
      </c>
      <c r="BA85" s="117" t="str">
        <f>IF($A85="","",IF($K85=0,"n.b.",SUMIFS(STG_Woningetalage!$X$6:$X$505,STG_Woningetalage!$B$6:$B$505,$A85)))</f>
        <v/>
      </c>
      <c r="BB85" s="117" t="str">
        <f>IF($A85="","",IF($K85=0,"n.b.",SUMIFS(STG_Woningetalage!$Y$6:$Y$505,STG_Woningetalage!$B$6:$B$505,$A85)))</f>
        <v/>
      </c>
      <c r="BC85" s="117" t="str">
        <f>IF($A85="","",IF($K85=0,"n.b.",SUMIFS(STG_Woningetalage!$Z$6:$Z$505,STG_Woningetalage!$B$6:$B$505,$A85)))</f>
        <v/>
      </c>
      <c r="BD85" s="117" t="str">
        <f>IF($A85="","",IF($K85=0,"n.b.",SUMIFS(STG_Woningetalage!$AA$6:$AA$505,STG_Woningetalage!$B$6:$B$505,$A85)))</f>
        <v/>
      </c>
      <c r="BE85" s="117" t="str">
        <f>IF($A85="","",IF($K85=0,"n.b.",SUMIFS(STG_Woningetalage!$AB$6:$AB$505,STG_Woningetalage!$B$6:$B$505,$A85)))</f>
        <v/>
      </c>
      <c r="BF85" s="117" t="str">
        <f>IF($A85="","",IF($K85=0,"n.b.",SUMIFS(STG_Woningetalage!$AC$6:$AC$505,STG_Woningetalage!$B$6:$B$505,$A85)))</f>
        <v/>
      </c>
      <c r="BG85" s="117" t="str">
        <f>IF($A85="","",IF($K85=0,"n.b.",SUMIFS(STG_Woningetalage!$AD$6:$AD$505,STG_Woningetalage!$B$6:$B$505,$A85)))</f>
        <v/>
      </c>
      <c r="BH85" s="117" t="str">
        <f>IF($A85="","",IF($K85=0,"n.b.",SUMIFS(STG_Woningetalage!$AE$6:$AE$505,STG_Woningetalage!$B$6:$B$505,$A85)))</f>
        <v/>
      </c>
      <c r="BI85" s="117" t="str">
        <f>IF($A85="","",IF($K85=0,"n.b.",SUMIFS(STG_Woningetalage!$AF$6:$AF$505,STG_Woningetalage!$B$6:$B$505,$A85)))</f>
        <v/>
      </c>
      <c r="BJ85" s="117" t="str">
        <f>IF($A85="","",IF($K85=0,"n.b.",SUMIFS(STG_Woningetalage!$AG$6:$AG$505,STG_Woningetalage!$B$6:$B$505,$A85)))</f>
        <v/>
      </c>
      <c r="BK85" s="117" t="str">
        <f>IF($A85="","",IF($K85=0,"n.b.",SUMIFS(STG_Woningetalage!$AH$6:$AH$505,STG_Woningetalage!$B$6:$B$505,$A85)))</f>
        <v/>
      </c>
      <c r="BL85" s="117" t="str">
        <f>IF($A85="","",IF($K85=0,"n.b.",SUMIFS(STG_Woningetalage!$AI$6:$AI$505,STG_Woningetalage!$B$6:$B$505,$A85)))</f>
        <v/>
      </c>
      <c r="BM85" s="117" t="str">
        <f>IF($A85="","",IF($K85=0,"n.b.",SUMIFS(STG_Woningetalage!$AJ$6:$AJ$505,STG_Woningetalage!$B$6:$B$505,$A85)))</f>
        <v/>
      </c>
      <c r="BN85" s="117" t="str">
        <f>IF($A85="","",IF($K85=0,"n.b.",SUMIFS(STG_Woningetalage!$AK$6:$AK$505,STG_Woningetalage!$B$6:$B$505,$A85)))</f>
        <v/>
      </c>
      <c r="BO85" s="117" t="str">
        <f>IF($A85="","",IF($K85=0,"n.b.",SUMIFS(STG_Woningetalage!$AL$6:$AL$505,STG_Woningetalage!$B$6:$B$505,$A85)))</f>
        <v/>
      </c>
      <c r="BP85" s="117" t="str">
        <f>IF($A85="","",IF($K85=0,"n.b.",SUMIFS(STG_Woningetalage!$AM$6:$AM$505,STG_Woningetalage!$B$6:$B$505,$A85)))</f>
        <v/>
      </c>
      <c r="BQ85" s="117" t="str">
        <f>IF($A85="","",IF($K85=0,"n.b.",SUMIFS(STG_Woningetalage!$BE$6:$BE$505,STG_Woningetalage!$B$6:$B$505,$A85)))</f>
        <v/>
      </c>
      <c r="BR85" s="117" t="str">
        <f>IF($A85="","",IF($K85=0,"n.b.",SUMIFS(STG_Woningetalage!$BF$6:$BF$505,STG_Woningetalage!$B$6:$B$505,$A85)))</f>
        <v/>
      </c>
      <c r="BS85" s="117" t="str">
        <f>IF($A85="","",IF($K85=0,"n.b.",SUMIFS(STG_Woningetalage!$BG$6:$BG$505,STG_Woningetalage!$B$6:$B$505,$A85)))</f>
        <v/>
      </c>
      <c r="BT85" s="117" t="str">
        <f>IF($A85="","",IF($K85=0,"n.b.",SUMIFS(STG_Woningetalage!$BH$6:$BH$505,STG_Woningetalage!$B$6:$B$505,$A85)))</f>
        <v/>
      </c>
      <c r="BU85" s="117" t="str">
        <f>IF($A85="","",IF($K85=0,"n.b.",SUMIFS(STG_Woningetalage!$BI$6:$BI$505,STG_Woningetalage!$B$6:$B$505,$A85)))</f>
        <v/>
      </c>
      <c r="BV85" s="117" t="str">
        <f>IF($A85="","",IF($K85=0,"n.b.",SUMIFS(STG_Woningetalage!$BJ$6:$BJ$505,STG_Woningetalage!$B$6:$B$505,$A85)))</f>
        <v/>
      </c>
      <c r="BW85" s="117" t="str">
        <f>IF($A85="","",IF($K85=0,"n.b.",SUMIFS(STG_Woningetalage!$AR$6:$AR$505,STG_Woningetalage!$B$6:$B$505,$A85)))</f>
        <v/>
      </c>
      <c r="BX85" s="117" t="str">
        <f>IF($A85="","",IF($K85=0,"n.b.",SUMIFS(STG_Woningetalage!$AS$6:$AS$505,STG_Woningetalage!$B$6:$B$505,$A85)))</f>
        <v/>
      </c>
      <c r="BY85" s="117" t="str">
        <f>IF($A85="","",IF($K85=0,"n.b.",SUMIFS(STG_Woningetalage!$AN$6:$AN$505,STG_Woningetalage!$B$6:$B$505,$A85)))</f>
        <v/>
      </c>
      <c r="BZ85" s="117" t="str">
        <f>IF($A85="","",IF($K85=0,"n.b.",SUMIFS(STG_Woningetalage!$AO$6:$AO$505,STG_Woningetalage!$B$6:$B$505,$A85)))</f>
        <v/>
      </c>
      <c r="CA85" s="117" t="str">
        <f>IF($A85="","",IF($K85=0,"n.b.",SUMIFS(STG_Woningetalage!$AP$6:$AP$505,STG_Woningetalage!$B$6:$B$505,$A85)))</f>
        <v/>
      </c>
      <c r="CB85" s="117" t="str">
        <f>IF($A85="","",IF($K85=0,"n.b.",SUMIFS(STG_Woningetalage!$AQ$6:$AQ$505,STG_Woningetalage!$B$6:$B$505,$A85)))</f>
        <v/>
      </c>
      <c r="CC85" s="117" t="str">
        <f>IF($A85="","",IF($K85=0,"n.b.",SUMIFS(STG_Woningetalage!$AU$6:$AU$505,STG_Woningetalage!$B$6:$B$505,$A85)))</f>
        <v/>
      </c>
      <c r="CD85" s="92" t="str">
        <f>IF($A85="","",IFERROR(INDEX(STG_ZPMW03!$L$6:$L$505,MATCH($A85,STG_ZPMW03!$B$6:$B$505,0)),"n.b."))</f>
        <v/>
      </c>
      <c r="CE85" s="92" t="str">
        <f>IF($A85="","",IFERROR(INDEX(STG_ZPMW03!$K$6:$K$505,MATCH($A85,STG_ZPMW03!$B$6:$B$505,0)),"n.b."))</f>
        <v/>
      </c>
      <c r="CF85" s="92" t="str">
        <f>IF($A85="","",IFERROR(INDEX(STG_ZPMW03!$BH$6:$BH$505,MATCH($A85,STG_ZPMW03!$B$6:$B$505,0)),"n.b."))</f>
        <v/>
      </c>
      <c r="CG85" s="92" t="str">
        <f>IF($A85="","",IFERROR(INDEX(STG_ZPMW03!$BI$6:$BI$505,MATCH($A85,STG_ZPMW03!$B$6:$B$505,0)),"n.b."))</f>
        <v/>
      </c>
      <c r="CH85" s="92" t="str">
        <f>IF($A85="","",IFERROR(INDEX(STG_ZPMW03!$BJ$6:$BJ$505,MATCH($A85,STG_ZPMW03!$B$6:$B$505,0)),"n.b."))</f>
        <v/>
      </c>
      <c r="CI85" s="92" t="str">
        <f>IF($A85="","",IFERROR(INDEX(STG_ZPMW03!$BF$6:$BF$505,MATCH($A85,STG_ZPMW03!$B$6:$B$505,0)),"n.b."))</f>
        <v/>
      </c>
      <c r="CJ85" s="92" t="str">
        <f>IF($A85="","",IFERROR(INDEX(STG_ZPMW03!$BG$6:$BG$505,MATCH($A85,STG_ZPMW03!$B$6:$B$505,0)),"n.b."))</f>
        <v/>
      </c>
      <c r="CK85" s="92" t="str">
        <f>IF($A85="","",IFERROR(INDEX(STG_ZPMW03!$H$6:$H$505,MATCH($A85,STG_ZPMW03!$B$6:$B$505,0)),"n.b."))</f>
        <v/>
      </c>
      <c r="CL85" s="92" t="str">
        <f>IF($A85="","",IFERROR(INDEX(STG_ZPMW03!$E$6:$E$505,MATCH($A85,STG_ZPMW03!$B$6:$B$505,0)),"n.b."))</f>
        <v/>
      </c>
      <c r="CM85" s="92" t="str">
        <f>IF($A85="","",IFERROR(INDEX(STG_ZPMW03!$G$6:$G$505,MATCH($A85,STG_ZPMW03!$B$6:$B$505,0)),"n.b."))</f>
        <v/>
      </c>
      <c r="CN85" s="92" t="str">
        <f>IF($A85="","",IFERROR(INDEX(STG_Woningetalage!$N$6:$N$505,MATCH($A85,STG_Woningetalage!$B$6:$B$505,0)),"n.b."))</f>
        <v/>
      </c>
      <c r="CO85" s="92" t="str">
        <f>IF($A85="","",IFERROR(INDEX(STG_Woningetalage!$P$6:$P$505,MATCH($A85,STG_Woningetalage!$B$6:$B$505,0)),"n.b."))</f>
        <v/>
      </c>
      <c r="CP85" s="118" t="str">
        <f>IF($A85="","",IF(AND(ISNUMBER(AT85),ISNUMBER(F85)),IF(F85&gt;0,AT85/(F85/100),"n.b."),"n.b."))</f>
        <v/>
      </c>
      <c r="CQ85" s="116" t="str">
        <f>IF($A85="","",IF(ISNUMBER(Q85),IF(Q85&lt;0,1,0),0))</f>
        <v/>
      </c>
      <c r="CR85" s="116" t="str">
        <f>IF(CQ85=1,COUNTIF($CQ$6:CQ85,1),"")</f>
        <v/>
      </c>
      <c r="CS85" s="116" t="str">
        <f>IF(AND($A85&lt;&gt;"",$J85=0),COUNTIFS($A$6:$A85,"?*",$J$6:$J85,0),"")</f>
        <v/>
      </c>
      <c r="CT85" s="119" t="str">
        <f>IF($A85="","",IF(AND(ISNUMBER(Q85),ISNUMBER(P85)),IF(P85&lt;&gt;0,Q85/P85,"n.b."),"n.b."))</f>
        <v/>
      </c>
    </row>
    <row r="86">
      <c r="A86" s="92" t="str">
        <f>IF(Mapping!$A85="","",Mapping!$A85)</f>
        <v/>
      </c>
      <c r="B86" s="92" t="str">
        <f>IF(Mapping!$B85="","",Mapping!$B85)</f>
        <v/>
      </c>
      <c r="C86" s="92" t="str">
        <f>IF(Mapping!$C85="","",Mapping!$C85)</f>
        <v/>
      </c>
      <c r="D86" s="92" t="str">
        <f>IF(Mapping!$F85="","",Mapping!$F85)</f>
        <v/>
      </c>
      <c r="E86" s="92" t="str">
        <f>IF(Mapping!$H85="","",Mapping!$H85)</f>
        <v/>
      </c>
      <c r="F86" s="92" t="str">
        <f>IF(Mapping!$E85="","",Mapping!$E85)</f>
        <v/>
      </c>
      <c r="G86" s="92" t="str">
        <f>IF(Mapping!$G85="","",Mapping!$G85)</f>
        <v/>
      </c>
      <c r="H86" s="92" t="str">
        <f>IF(Mapping!$D85="","",Mapping!$D85)</f>
        <v/>
      </c>
      <c r="I86" s="92" t="str">
        <f>IF($A86="","",IFERROR(INDEX(STG_ZPMW03!$C$6:$C$505,MATCH($A86,STG_ZPMW03!$B$6:$B$505,0)),"n.b."))</f>
        <v/>
      </c>
      <c r="J86" s="116" t="str">
        <f>IF($A86="","",COUNTIF(STG_ZPMW03!$B$6:$B$505,$A86))</f>
        <v/>
      </c>
      <c r="K86" s="116" t="str">
        <f>IF($A86="","",COUNTIF(STG_Woningetalage!$B$6:$B$505,$A86))</f>
        <v/>
      </c>
      <c r="L86" s="117" t="str">
        <f>IF($A86="","",IF($J86=0,"n.b.",SUMIFS(STG_ZPMW03!$BK$6:$BK$505,STG_ZPMW03!$B$6:$B$505,$A86)))</f>
        <v/>
      </c>
      <c r="M86" s="117" t="str">
        <f>IF($A86="","",IF($J86=0,"n.b.",SUMIFS(STG_ZPMW03!$BL$6:$BL$505,STG_ZPMW03!$B$6:$B$505,$A86)))</f>
        <v/>
      </c>
      <c r="N86" s="117" t="str">
        <f>IF($A86="","",IF($J86=0,"n.b.",SUMIFS(STG_ZPMW03!$BM$6:$BM$505,STG_ZPMW03!$B$6:$B$505,$A86)))</f>
        <v/>
      </c>
      <c r="O86" s="117" t="str">
        <f>IF($A86="","",IF($J86=0,"n.b.",SUMIFS(STG_ZPMW03!$BN$6:$BN$505,STG_ZPMW03!$B$6:$B$505,$A86)))</f>
        <v/>
      </c>
      <c r="P86" s="117" t="str">
        <f>IF($A86="","",IF($J86=0,"n.b.",SUMIFS(STG_ZPMW03!$BO$6:$BO$505,STG_ZPMW03!$B$6:$B$505,$A86)))</f>
        <v/>
      </c>
      <c r="Q86" s="117" t="str">
        <f>IF($A86="","",IF($J86=0,"n.b.",SUMIFS(STG_ZPMW03!$BP$6:$BP$505,STG_ZPMW03!$B$6:$B$505,$A86)))</f>
        <v/>
      </c>
      <c r="R86" s="117" t="str">
        <f>IF($A86="","",IF($J86=0,"n.b.",SUMIFS(STG_ZPMW03!$BQ$6:$BQ$505,STG_ZPMW03!$B$6:$B$505,$A86)))</f>
        <v/>
      </c>
      <c r="S86" s="117" t="str">
        <f>IF($A86="","",IF($J86=0,"n.b.",SUMIFS(STG_ZPMW03!$BR$6:$BR$505,STG_ZPMW03!$B$6:$B$505,$A86)))</f>
        <v/>
      </c>
      <c r="T86" s="117" t="str">
        <f>IF($A86="","",IF($J86=0,"n.b.",SUMIFS(STG_ZPMW03!$BS$6:$BS$505,STG_ZPMW03!$B$6:$B$505,$A86)))</f>
        <v/>
      </c>
      <c r="U86" s="117" t="str">
        <f>IF($A86="","",IF($J86=0,"n.b.",SUMIFS(STG_ZPMW03!$BT$6:$BT$505,STG_ZPMW03!$B$6:$B$505,$A86)))</f>
        <v/>
      </c>
      <c r="V86" s="117" t="str">
        <f>IF($A86="","",IF($J86=0,"n.b.",SUMIFS(STG_ZPMW03!$BU$6:$BU$505,STG_ZPMW03!$B$6:$B$505,$A86)))</f>
        <v/>
      </c>
      <c r="W86" s="117" t="str">
        <f>IF($A86="","",IF($J86=0,"n.b.",SUMIFS(STG_ZPMW03!$BW$6:$BW$505,STG_ZPMW03!$B$6:$B$505,$A86)))</f>
        <v/>
      </c>
      <c r="X86" s="117" t="str">
        <f>IF($A86="","",IF($J86=0,"n.b.",SUMIFS(STG_ZPMW03!$BY$6:$BY$505,STG_ZPMW03!$B$6:$B$505,$A86)))</f>
        <v/>
      </c>
      <c r="Y86" s="117" t="str">
        <f>IF($A86="","",IF($J86=0,"n.b.",SUMIFS(STG_ZPMW03!$CA$6:$CA$505,STG_ZPMW03!$B$6:$B$505,$A86)))</f>
        <v/>
      </c>
      <c r="Z86" s="117" t="str">
        <f>IF($A86="","",IF($J86=0,"n.b.",SUMIFS(STG_ZPMW03!$BV$6:$BV$505,STG_ZPMW03!$B$6:$B$505,$A86)))</f>
        <v/>
      </c>
      <c r="AA86" s="117" t="str">
        <f>IF($A86="","",IF($J86=0,"n.b.",SUMIFS(STG_ZPMW03!$BX$6:$BX$505,STG_ZPMW03!$B$6:$B$505,$A86)))</f>
        <v/>
      </c>
      <c r="AB86" s="117" t="str">
        <f>IF($A86="","",IF($J86=0,"n.b.",SUMIFS(STG_ZPMW03!$BZ$6:$BZ$505,STG_ZPMW03!$B$6:$B$505,$A86)))</f>
        <v/>
      </c>
      <c r="AC86" s="117" t="str">
        <f>IF($A86="","",IF($J86=0,"n.b.",SUMIFS(STG_ZPMW03!$CB$6:$CB$505,STG_ZPMW03!$B$6:$B$505,$A86)))</f>
        <v/>
      </c>
      <c r="AD86" s="117" t="str">
        <f>IF($A86="","",IF($J86=0,"n.b.",SUMIFS(STG_ZPMW03!$CC$6:$CC$505,STG_ZPMW03!$B$6:$B$505,$A86)))</f>
        <v/>
      </c>
      <c r="AE86" s="117" t="str">
        <f>IF($A86="","",IF($J86=0,"n.b.",SUMIFS(STG_ZPMW03!$CE$6:$CE$505,STG_ZPMW03!$B$6:$B$505,$A86)))</f>
        <v/>
      </c>
      <c r="AF86" s="117" t="str">
        <f>IF($A86="","",IF($J86=0,"n.b.",SUMIFS(STG_ZPMW03!$CG$6:$CG$505,STG_ZPMW03!$B$6:$B$505,$A86)))</f>
        <v/>
      </c>
      <c r="AG86" s="117" t="str">
        <f>IF($A86="","",IF($J86=0,"n.b.",SUMIFS(STG_ZPMW03!$CI$6:$CI$505,STG_ZPMW03!$B$6:$B$505,$A86)))</f>
        <v/>
      </c>
      <c r="AH86" s="117" t="str">
        <f>IF($A86="","",IF($J86=0,"n.b.",SUMIFS(STG_ZPMW03!$CK$6:$CK$505,STG_ZPMW03!$B$6:$B$505,$A86)))</f>
        <v/>
      </c>
      <c r="AI86" s="117" t="str">
        <f>IF($A86="","",IF($J86=0,"n.b.",SUMIFS(STG_ZPMW03!$CM$6:$CM$505,STG_ZPMW03!$B$6:$B$505,$A86)))</f>
        <v/>
      </c>
      <c r="AJ86" s="117" t="str">
        <f>IF($A86="","",IF($J86=0,"n.b.",SUMIFS(STG_ZPMW03!$CO$6:$CO$505,STG_ZPMW03!$B$6:$B$505,$A86)))</f>
        <v/>
      </c>
      <c r="AK86" s="117" t="str">
        <f>IF($A86="","",IF($J86=0,"n.b.",SUMIFS(STG_ZPMW03!$CQ$6:$CQ$505,STG_ZPMW03!$B$6:$B$505,$A86)))</f>
        <v/>
      </c>
      <c r="AL86" s="117" t="str">
        <f>IF($A86="","",IF($J86=0,"n.b.",SUMIFS(STG_ZPMW03!$CD$6:$CD$505,STG_ZPMW03!$B$6:$B$505,$A86)))</f>
        <v/>
      </c>
      <c r="AM86" s="117" t="str">
        <f>IF($A86="","",IF($J86=0,"n.b.",SUMIFS(STG_ZPMW03!$CF$6:$CF$505,STG_ZPMW03!$B$6:$B$505,$A86)))</f>
        <v/>
      </c>
      <c r="AN86" s="117" t="str">
        <f>IF($A86="","",IF($J86=0,"n.b.",SUMIFS(STG_ZPMW03!$CH$6:$CH$505,STG_ZPMW03!$B$6:$B$505,$A86)))</f>
        <v/>
      </c>
      <c r="AO86" s="117" t="str">
        <f>IF($A86="","",IF($J86=0,"n.b.",SUMIFS(STG_ZPMW03!$CJ$6:$CJ$505,STG_ZPMW03!$B$6:$B$505,$A86)))</f>
        <v/>
      </c>
      <c r="AP86" s="117" t="str">
        <f>IF($A86="","",IF($J86=0,"n.b.",SUMIFS(STG_ZPMW03!$CL$6:$CL$505,STG_ZPMW03!$B$6:$B$505,$A86)))</f>
        <v/>
      </c>
      <c r="AQ86" s="117" t="str">
        <f>IF($A86="","",IF($J86=0,"n.b.",SUMIFS(STG_ZPMW03!$CN$6:$CN$505,STG_ZPMW03!$B$6:$B$505,$A86)))</f>
        <v/>
      </c>
      <c r="AR86" s="117" t="str">
        <f>IF($A86="","",IF($J86=0,"n.b.",SUMIFS(STG_ZPMW03!$CP$6:$CP$505,STG_ZPMW03!$B$6:$B$505,$A86)))</f>
        <v/>
      </c>
      <c r="AS86" s="117" t="str">
        <f>IF($A86="","",IF($J86=0,"n.b.",SUMIFS(STG_ZPMW03!$CR$6:$CR$505,STG_ZPMW03!$B$6:$B$505,$A86)))</f>
        <v/>
      </c>
      <c r="AT86" s="117" t="str">
        <f>IF($A86="","",IF($K86=0,"n.b.",SUMIFS(STG_Woningetalage!$Q$6:$Q$505,STG_Woningetalage!$B$6:$B$505,$A86)))</f>
        <v/>
      </c>
      <c r="AU86" s="117" t="str">
        <f>IF($A86="","",IF($K86=0,"n.b.",SUMIFS(STG_Woningetalage!$R$6:$R$505,STG_Woningetalage!$B$6:$B$505,$A86)))</f>
        <v/>
      </c>
      <c r="AV86" s="117" t="str">
        <f>IF($A86="","",IF($K86=0,"n.b.",SUMIFS(STG_Woningetalage!$S$6:$S$505,STG_Woningetalage!$B$6:$B$505,$A86)))</f>
        <v/>
      </c>
      <c r="AW86" s="117" t="str">
        <f>IF($A86="","",IF($K86=0,"n.b.",SUMIFS(STG_Woningetalage!$T$6:$T$505,STG_Woningetalage!$B$6:$B$505,$A86)))</f>
        <v/>
      </c>
      <c r="AX86" s="117" t="str">
        <f>IF($A86="","",IF($K86=0,"n.b.",SUMIFS(STG_Woningetalage!$U$6:$U$505,STG_Woningetalage!$B$6:$B$505,$A86)))</f>
        <v/>
      </c>
      <c r="AY86" s="117" t="str">
        <f>IF($A86="","",IF($K86=0,"n.b.",SUMIFS(STG_Woningetalage!$V$6:$V$505,STG_Woningetalage!$B$6:$B$505,$A86)))</f>
        <v/>
      </c>
      <c r="AZ86" s="117" t="str">
        <f>IF($A86="","",IF($K86=0,"n.b.",SUMIFS(STG_Woningetalage!$W$6:$W$505,STG_Woningetalage!$B$6:$B$505,$A86)))</f>
        <v/>
      </c>
      <c r="BA86" s="117" t="str">
        <f>IF($A86="","",IF($K86=0,"n.b.",SUMIFS(STG_Woningetalage!$X$6:$X$505,STG_Woningetalage!$B$6:$B$505,$A86)))</f>
        <v/>
      </c>
      <c r="BB86" s="117" t="str">
        <f>IF($A86="","",IF($K86=0,"n.b.",SUMIFS(STG_Woningetalage!$Y$6:$Y$505,STG_Woningetalage!$B$6:$B$505,$A86)))</f>
        <v/>
      </c>
      <c r="BC86" s="117" t="str">
        <f>IF($A86="","",IF($K86=0,"n.b.",SUMIFS(STG_Woningetalage!$Z$6:$Z$505,STG_Woningetalage!$B$6:$B$505,$A86)))</f>
        <v/>
      </c>
      <c r="BD86" s="117" t="str">
        <f>IF($A86="","",IF($K86=0,"n.b.",SUMIFS(STG_Woningetalage!$AA$6:$AA$505,STG_Woningetalage!$B$6:$B$505,$A86)))</f>
        <v/>
      </c>
      <c r="BE86" s="117" t="str">
        <f>IF($A86="","",IF($K86=0,"n.b.",SUMIFS(STG_Woningetalage!$AB$6:$AB$505,STG_Woningetalage!$B$6:$B$505,$A86)))</f>
        <v/>
      </c>
      <c r="BF86" s="117" t="str">
        <f>IF($A86="","",IF($K86=0,"n.b.",SUMIFS(STG_Woningetalage!$AC$6:$AC$505,STG_Woningetalage!$B$6:$B$505,$A86)))</f>
        <v/>
      </c>
      <c r="BG86" s="117" t="str">
        <f>IF($A86="","",IF($K86=0,"n.b.",SUMIFS(STG_Woningetalage!$AD$6:$AD$505,STG_Woningetalage!$B$6:$B$505,$A86)))</f>
        <v/>
      </c>
      <c r="BH86" s="117" t="str">
        <f>IF($A86="","",IF($K86=0,"n.b.",SUMIFS(STG_Woningetalage!$AE$6:$AE$505,STG_Woningetalage!$B$6:$B$505,$A86)))</f>
        <v/>
      </c>
      <c r="BI86" s="117" t="str">
        <f>IF($A86="","",IF($K86=0,"n.b.",SUMIFS(STG_Woningetalage!$AF$6:$AF$505,STG_Woningetalage!$B$6:$B$505,$A86)))</f>
        <v/>
      </c>
      <c r="BJ86" s="117" t="str">
        <f>IF($A86="","",IF($K86=0,"n.b.",SUMIFS(STG_Woningetalage!$AG$6:$AG$505,STG_Woningetalage!$B$6:$B$505,$A86)))</f>
        <v/>
      </c>
      <c r="BK86" s="117" t="str">
        <f>IF($A86="","",IF($K86=0,"n.b.",SUMIFS(STG_Woningetalage!$AH$6:$AH$505,STG_Woningetalage!$B$6:$B$505,$A86)))</f>
        <v/>
      </c>
      <c r="BL86" s="117" t="str">
        <f>IF($A86="","",IF($K86=0,"n.b.",SUMIFS(STG_Woningetalage!$AI$6:$AI$505,STG_Woningetalage!$B$6:$B$505,$A86)))</f>
        <v/>
      </c>
      <c r="BM86" s="117" t="str">
        <f>IF($A86="","",IF($K86=0,"n.b.",SUMIFS(STG_Woningetalage!$AJ$6:$AJ$505,STG_Woningetalage!$B$6:$B$505,$A86)))</f>
        <v/>
      </c>
      <c r="BN86" s="117" t="str">
        <f>IF($A86="","",IF($K86=0,"n.b.",SUMIFS(STG_Woningetalage!$AK$6:$AK$505,STG_Woningetalage!$B$6:$B$505,$A86)))</f>
        <v/>
      </c>
      <c r="BO86" s="117" t="str">
        <f>IF($A86="","",IF($K86=0,"n.b.",SUMIFS(STG_Woningetalage!$AL$6:$AL$505,STG_Woningetalage!$B$6:$B$505,$A86)))</f>
        <v/>
      </c>
      <c r="BP86" s="117" t="str">
        <f>IF($A86="","",IF($K86=0,"n.b.",SUMIFS(STG_Woningetalage!$AM$6:$AM$505,STG_Woningetalage!$B$6:$B$505,$A86)))</f>
        <v/>
      </c>
      <c r="BQ86" s="117" t="str">
        <f>IF($A86="","",IF($K86=0,"n.b.",SUMIFS(STG_Woningetalage!$BE$6:$BE$505,STG_Woningetalage!$B$6:$B$505,$A86)))</f>
        <v/>
      </c>
      <c r="BR86" s="117" t="str">
        <f>IF($A86="","",IF($K86=0,"n.b.",SUMIFS(STG_Woningetalage!$BF$6:$BF$505,STG_Woningetalage!$B$6:$B$505,$A86)))</f>
        <v/>
      </c>
      <c r="BS86" s="117" t="str">
        <f>IF($A86="","",IF($K86=0,"n.b.",SUMIFS(STG_Woningetalage!$BG$6:$BG$505,STG_Woningetalage!$B$6:$B$505,$A86)))</f>
        <v/>
      </c>
      <c r="BT86" s="117" t="str">
        <f>IF($A86="","",IF($K86=0,"n.b.",SUMIFS(STG_Woningetalage!$BH$6:$BH$505,STG_Woningetalage!$B$6:$B$505,$A86)))</f>
        <v/>
      </c>
      <c r="BU86" s="117" t="str">
        <f>IF($A86="","",IF($K86=0,"n.b.",SUMIFS(STG_Woningetalage!$BI$6:$BI$505,STG_Woningetalage!$B$6:$B$505,$A86)))</f>
        <v/>
      </c>
      <c r="BV86" s="117" t="str">
        <f>IF($A86="","",IF($K86=0,"n.b.",SUMIFS(STG_Woningetalage!$BJ$6:$BJ$505,STG_Woningetalage!$B$6:$B$505,$A86)))</f>
        <v/>
      </c>
      <c r="BW86" s="117" t="str">
        <f>IF($A86="","",IF($K86=0,"n.b.",SUMIFS(STG_Woningetalage!$AR$6:$AR$505,STG_Woningetalage!$B$6:$B$505,$A86)))</f>
        <v/>
      </c>
      <c r="BX86" s="117" t="str">
        <f>IF($A86="","",IF($K86=0,"n.b.",SUMIFS(STG_Woningetalage!$AS$6:$AS$505,STG_Woningetalage!$B$6:$B$505,$A86)))</f>
        <v/>
      </c>
      <c r="BY86" s="117" t="str">
        <f>IF($A86="","",IF($K86=0,"n.b.",SUMIFS(STG_Woningetalage!$AN$6:$AN$505,STG_Woningetalage!$B$6:$B$505,$A86)))</f>
        <v/>
      </c>
      <c r="BZ86" s="117" t="str">
        <f>IF($A86="","",IF($K86=0,"n.b.",SUMIFS(STG_Woningetalage!$AO$6:$AO$505,STG_Woningetalage!$B$6:$B$505,$A86)))</f>
        <v/>
      </c>
      <c r="CA86" s="117" t="str">
        <f>IF($A86="","",IF($K86=0,"n.b.",SUMIFS(STG_Woningetalage!$AP$6:$AP$505,STG_Woningetalage!$B$6:$B$505,$A86)))</f>
        <v/>
      </c>
      <c r="CB86" s="117" t="str">
        <f>IF($A86="","",IF($K86=0,"n.b.",SUMIFS(STG_Woningetalage!$AQ$6:$AQ$505,STG_Woningetalage!$B$6:$B$505,$A86)))</f>
        <v/>
      </c>
      <c r="CC86" s="117" t="str">
        <f>IF($A86="","",IF($K86=0,"n.b.",SUMIFS(STG_Woningetalage!$AU$6:$AU$505,STG_Woningetalage!$B$6:$B$505,$A86)))</f>
        <v/>
      </c>
      <c r="CD86" s="92" t="str">
        <f>IF($A86="","",IFERROR(INDEX(STG_ZPMW03!$L$6:$L$505,MATCH($A86,STG_ZPMW03!$B$6:$B$505,0)),"n.b."))</f>
        <v/>
      </c>
      <c r="CE86" s="92" t="str">
        <f>IF($A86="","",IFERROR(INDEX(STG_ZPMW03!$K$6:$K$505,MATCH($A86,STG_ZPMW03!$B$6:$B$505,0)),"n.b."))</f>
        <v/>
      </c>
      <c r="CF86" s="92" t="str">
        <f>IF($A86="","",IFERROR(INDEX(STG_ZPMW03!$BH$6:$BH$505,MATCH($A86,STG_ZPMW03!$B$6:$B$505,0)),"n.b."))</f>
        <v/>
      </c>
      <c r="CG86" s="92" t="str">
        <f>IF($A86="","",IFERROR(INDEX(STG_ZPMW03!$BI$6:$BI$505,MATCH($A86,STG_ZPMW03!$B$6:$B$505,0)),"n.b."))</f>
        <v/>
      </c>
      <c r="CH86" s="92" t="str">
        <f>IF($A86="","",IFERROR(INDEX(STG_ZPMW03!$BJ$6:$BJ$505,MATCH($A86,STG_ZPMW03!$B$6:$B$505,0)),"n.b."))</f>
        <v/>
      </c>
      <c r="CI86" s="92" t="str">
        <f>IF($A86="","",IFERROR(INDEX(STG_ZPMW03!$BF$6:$BF$505,MATCH($A86,STG_ZPMW03!$B$6:$B$505,0)),"n.b."))</f>
        <v/>
      </c>
      <c r="CJ86" s="92" t="str">
        <f>IF($A86="","",IFERROR(INDEX(STG_ZPMW03!$BG$6:$BG$505,MATCH($A86,STG_ZPMW03!$B$6:$B$505,0)),"n.b."))</f>
        <v/>
      </c>
      <c r="CK86" s="92" t="str">
        <f>IF($A86="","",IFERROR(INDEX(STG_ZPMW03!$H$6:$H$505,MATCH($A86,STG_ZPMW03!$B$6:$B$505,0)),"n.b."))</f>
        <v/>
      </c>
      <c r="CL86" s="92" t="str">
        <f>IF($A86="","",IFERROR(INDEX(STG_ZPMW03!$E$6:$E$505,MATCH($A86,STG_ZPMW03!$B$6:$B$505,0)),"n.b."))</f>
        <v/>
      </c>
      <c r="CM86" s="92" t="str">
        <f>IF($A86="","",IFERROR(INDEX(STG_ZPMW03!$G$6:$G$505,MATCH($A86,STG_ZPMW03!$B$6:$B$505,0)),"n.b."))</f>
        <v/>
      </c>
      <c r="CN86" s="92" t="str">
        <f>IF($A86="","",IFERROR(INDEX(STG_Woningetalage!$N$6:$N$505,MATCH($A86,STG_Woningetalage!$B$6:$B$505,0)),"n.b."))</f>
        <v/>
      </c>
      <c r="CO86" s="92" t="str">
        <f>IF($A86="","",IFERROR(INDEX(STG_Woningetalage!$P$6:$P$505,MATCH($A86,STG_Woningetalage!$B$6:$B$505,0)),"n.b."))</f>
        <v/>
      </c>
      <c r="CP86" s="118" t="str">
        <f>IF($A86="","",IF(AND(ISNUMBER(AT86),ISNUMBER(F86)),IF(F86&gt;0,AT86/(F86/100),"n.b."),"n.b."))</f>
        <v/>
      </c>
      <c r="CQ86" s="116" t="str">
        <f>IF($A86="","",IF(ISNUMBER(Q86),IF(Q86&lt;0,1,0),0))</f>
        <v/>
      </c>
      <c r="CR86" s="116" t="str">
        <f>IF(CQ86=1,COUNTIF($CQ$6:CQ86,1),"")</f>
        <v/>
      </c>
      <c r="CS86" s="116" t="str">
        <f>IF(AND($A86&lt;&gt;"",$J86=0),COUNTIFS($A$6:$A86,"?*",$J$6:$J86,0),"")</f>
        <v/>
      </c>
      <c r="CT86" s="119" t="str">
        <f>IF($A86="","",IF(AND(ISNUMBER(Q86),ISNUMBER(P86)),IF(P86&lt;&gt;0,Q86/P86,"n.b."),"n.b."))</f>
        <v/>
      </c>
    </row>
    <row r="87">
      <c r="A87" s="92" t="str">
        <f>IF(Mapping!$A86="","",Mapping!$A86)</f>
        <v/>
      </c>
      <c r="B87" s="92" t="str">
        <f>IF(Mapping!$B86="","",Mapping!$B86)</f>
        <v/>
      </c>
      <c r="C87" s="92" t="str">
        <f>IF(Mapping!$C86="","",Mapping!$C86)</f>
        <v/>
      </c>
      <c r="D87" s="92" t="str">
        <f>IF(Mapping!$F86="","",Mapping!$F86)</f>
        <v/>
      </c>
      <c r="E87" s="92" t="str">
        <f>IF(Mapping!$H86="","",Mapping!$H86)</f>
        <v/>
      </c>
      <c r="F87" s="92" t="str">
        <f>IF(Mapping!$E86="","",Mapping!$E86)</f>
        <v/>
      </c>
      <c r="G87" s="92" t="str">
        <f>IF(Mapping!$G86="","",Mapping!$G86)</f>
        <v/>
      </c>
      <c r="H87" s="92" t="str">
        <f>IF(Mapping!$D86="","",Mapping!$D86)</f>
        <v/>
      </c>
      <c r="I87" s="92" t="str">
        <f>IF($A87="","",IFERROR(INDEX(STG_ZPMW03!$C$6:$C$505,MATCH($A87,STG_ZPMW03!$B$6:$B$505,0)),"n.b."))</f>
        <v/>
      </c>
      <c r="J87" s="116" t="str">
        <f>IF($A87="","",COUNTIF(STG_ZPMW03!$B$6:$B$505,$A87))</f>
        <v/>
      </c>
      <c r="K87" s="116" t="str">
        <f>IF($A87="","",COUNTIF(STG_Woningetalage!$B$6:$B$505,$A87))</f>
        <v/>
      </c>
      <c r="L87" s="117" t="str">
        <f>IF($A87="","",IF($J87=0,"n.b.",SUMIFS(STG_ZPMW03!$BK$6:$BK$505,STG_ZPMW03!$B$6:$B$505,$A87)))</f>
        <v/>
      </c>
      <c r="M87" s="117" t="str">
        <f>IF($A87="","",IF($J87=0,"n.b.",SUMIFS(STG_ZPMW03!$BL$6:$BL$505,STG_ZPMW03!$B$6:$B$505,$A87)))</f>
        <v/>
      </c>
      <c r="N87" s="117" t="str">
        <f>IF($A87="","",IF($J87=0,"n.b.",SUMIFS(STG_ZPMW03!$BM$6:$BM$505,STG_ZPMW03!$B$6:$B$505,$A87)))</f>
        <v/>
      </c>
      <c r="O87" s="117" t="str">
        <f>IF($A87="","",IF($J87=0,"n.b.",SUMIFS(STG_ZPMW03!$BN$6:$BN$505,STG_ZPMW03!$B$6:$B$505,$A87)))</f>
        <v/>
      </c>
      <c r="P87" s="117" t="str">
        <f>IF($A87="","",IF($J87=0,"n.b.",SUMIFS(STG_ZPMW03!$BO$6:$BO$505,STG_ZPMW03!$B$6:$B$505,$A87)))</f>
        <v/>
      </c>
      <c r="Q87" s="117" t="str">
        <f>IF($A87="","",IF($J87=0,"n.b.",SUMIFS(STG_ZPMW03!$BP$6:$BP$505,STG_ZPMW03!$B$6:$B$505,$A87)))</f>
        <v/>
      </c>
      <c r="R87" s="117" t="str">
        <f>IF($A87="","",IF($J87=0,"n.b.",SUMIFS(STG_ZPMW03!$BQ$6:$BQ$505,STG_ZPMW03!$B$6:$B$505,$A87)))</f>
        <v/>
      </c>
      <c r="S87" s="117" t="str">
        <f>IF($A87="","",IF($J87=0,"n.b.",SUMIFS(STG_ZPMW03!$BR$6:$BR$505,STG_ZPMW03!$B$6:$B$505,$A87)))</f>
        <v/>
      </c>
      <c r="T87" s="117" t="str">
        <f>IF($A87="","",IF($J87=0,"n.b.",SUMIFS(STG_ZPMW03!$BS$6:$BS$505,STG_ZPMW03!$B$6:$B$505,$A87)))</f>
        <v/>
      </c>
      <c r="U87" s="117" t="str">
        <f>IF($A87="","",IF($J87=0,"n.b.",SUMIFS(STG_ZPMW03!$BT$6:$BT$505,STG_ZPMW03!$B$6:$B$505,$A87)))</f>
        <v/>
      </c>
      <c r="V87" s="117" t="str">
        <f>IF($A87="","",IF($J87=0,"n.b.",SUMIFS(STG_ZPMW03!$BU$6:$BU$505,STG_ZPMW03!$B$6:$B$505,$A87)))</f>
        <v/>
      </c>
      <c r="W87" s="117" t="str">
        <f>IF($A87="","",IF($J87=0,"n.b.",SUMIFS(STG_ZPMW03!$BW$6:$BW$505,STG_ZPMW03!$B$6:$B$505,$A87)))</f>
        <v/>
      </c>
      <c r="X87" s="117" t="str">
        <f>IF($A87="","",IF($J87=0,"n.b.",SUMIFS(STG_ZPMW03!$BY$6:$BY$505,STG_ZPMW03!$B$6:$B$505,$A87)))</f>
        <v/>
      </c>
      <c r="Y87" s="117" t="str">
        <f>IF($A87="","",IF($J87=0,"n.b.",SUMIFS(STG_ZPMW03!$CA$6:$CA$505,STG_ZPMW03!$B$6:$B$505,$A87)))</f>
        <v/>
      </c>
      <c r="Z87" s="117" t="str">
        <f>IF($A87="","",IF($J87=0,"n.b.",SUMIFS(STG_ZPMW03!$BV$6:$BV$505,STG_ZPMW03!$B$6:$B$505,$A87)))</f>
        <v/>
      </c>
      <c r="AA87" s="117" t="str">
        <f>IF($A87="","",IF($J87=0,"n.b.",SUMIFS(STG_ZPMW03!$BX$6:$BX$505,STG_ZPMW03!$B$6:$B$505,$A87)))</f>
        <v/>
      </c>
      <c r="AB87" s="117" t="str">
        <f>IF($A87="","",IF($J87=0,"n.b.",SUMIFS(STG_ZPMW03!$BZ$6:$BZ$505,STG_ZPMW03!$B$6:$B$505,$A87)))</f>
        <v/>
      </c>
      <c r="AC87" s="117" t="str">
        <f>IF($A87="","",IF($J87=0,"n.b.",SUMIFS(STG_ZPMW03!$CB$6:$CB$505,STG_ZPMW03!$B$6:$B$505,$A87)))</f>
        <v/>
      </c>
      <c r="AD87" s="117" t="str">
        <f>IF($A87="","",IF($J87=0,"n.b.",SUMIFS(STG_ZPMW03!$CC$6:$CC$505,STG_ZPMW03!$B$6:$B$505,$A87)))</f>
        <v/>
      </c>
      <c r="AE87" s="117" t="str">
        <f>IF($A87="","",IF($J87=0,"n.b.",SUMIFS(STG_ZPMW03!$CE$6:$CE$505,STG_ZPMW03!$B$6:$B$505,$A87)))</f>
        <v/>
      </c>
      <c r="AF87" s="117" t="str">
        <f>IF($A87="","",IF($J87=0,"n.b.",SUMIFS(STG_ZPMW03!$CG$6:$CG$505,STG_ZPMW03!$B$6:$B$505,$A87)))</f>
        <v/>
      </c>
      <c r="AG87" s="117" t="str">
        <f>IF($A87="","",IF($J87=0,"n.b.",SUMIFS(STG_ZPMW03!$CI$6:$CI$505,STG_ZPMW03!$B$6:$B$505,$A87)))</f>
        <v/>
      </c>
      <c r="AH87" s="117" t="str">
        <f>IF($A87="","",IF($J87=0,"n.b.",SUMIFS(STG_ZPMW03!$CK$6:$CK$505,STG_ZPMW03!$B$6:$B$505,$A87)))</f>
        <v/>
      </c>
      <c r="AI87" s="117" t="str">
        <f>IF($A87="","",IF($J87=0,"n.b.",SUMIFS(STG_ZPMW03!$CM$6:$CM$505,STG_ZPMW03!$B$6:$B$505,$A87)))</f>
        <v/>
      </c>
      <c r="AJ87" s="117" t="str">
        <f>IF($A87="","",IF($J87=0,"n.b.",SUMIFS(STG_ZPMW03!$CO$6:$CO$505,STG_ZPMW03!$B$6:$B$505,$A87)))</f>
        <v/>
      </c>
      <c r="AK87" s="117" t="str">
        <f>IF($A87="","",IF($J87=0,"n.b.",SUMIFS(STG_ZPMW03!$CQ$6:$CQ$505,STG_ZPMW03!$B$6:$B$505,$A87)))</f>
        <v/>
      </c>
      <c r="AL87" s="117" t="str">
        <f>IF($A87="","",IF($J87=0,"n.b.",SUMIFS(STG_ZPMW03!$CD$6:$CD$505,STG_ZPMW03!$B$6:$B$505,$A87)))</f>
        <v/>
      </c>
      <c r="AM87" s="117" t="str">
        <f>IF($A87="","",IF($J87=0,"n.b.",SUMIFS(STG_ZPMW03!$CF$6:$CF$505,STG_ZPMW03!$B$6:$B$505,$A87)))</f>
        <v/>
      </c>
      <c r="AN87" s="117" t="str">
        <f>IF($A87="","",IF($J87=0,"n.b.",SUMIFS(STG_ZPMW03!$CH$6:$CH$505,STG_ZPMW03!$B$6:$B$505,$A87)))</f>
        <v/>
      </c>
      <c r="AO87" s="117" t="str">
        <f>IF($A87="","",IF($J87=0,"n.b.",SUMIFS(STG_ZPMW03!$CJ$6:$CJ$505,STG_ZPMW03!$B$6:$B$505,$A87)))</f>
        <v/>
      </c>
      <c r="AP87" s="117" t="str">
        <f>IF($A87="","",IF($J87=0,"n.b.",SUMIFS(STG_ZPMW03!$CL$6:$CL$505,STG_ZPMW03!$B$6:$B$505,$A87)))</f>
        <v/>
      </c>
      <c r="AQ87" s="117" t="str">
        <f>IF($A87="","",IF($J87=0,"n.b.",SUMIFS(STG_ZPMW03!$CN$6:$CN$505,STG_ZPMW03!$B$6:$B$505,$A87)))</f>
        <v/>
      </c>
      <c r="AR87" s="117" t="str">
        <f>IF($A87="","",IF($J87=0,"n.b.",SUMIFS(STG_ZPMW03!$CP$6:$CP$505,STG_ZPMW03!$B$6:$B$505,$A87)))</f>
        <v/>
      </c>
      <c r="AS87" s="117" t="str">
        <f>IF($A87="","",IF($J87=0,"n.b.",SUMIFS(STG_ZPMW03!$CR$6:$CR$505,STG_ZPMW03!$B$6:$B$505,$A87)))</f>
        <v/>
      </c>
      <c r="AT87" s="117" t="str">
        <f>IF($A87="","",IF($K87=0,"n.b.",SUMIFS(STG_Woningetalage!$Q$6:$Q$505,STG_Woningetalage!$B$6:$B$505,$A87)))</f>
        <v/>
      </c>
      <c r="AU87" s="117" t="str">
        <f>IF($A87="","",IF($K87=0,"n.b.",SUMIFS(STG_Woningetalage!$R$6:$R$505,STG_Woningetalage!$B$6:$B$505,$A87)))</f>
        <v/>
      </c>
      <c r="AV87" s="117" t="str">
        <f>IF($A87="","",IF($K87=0,"n.b.",SUMIFS(STG_Woningetalage!$S$6:$S$505,STG_Woningetalage!$B$6:$B$505,$A87)))</f>
        <v/>
      </c>
      <c r="AW87" s="117" t="str">
        <f>IF($A87="","",IF($K87=0,"n.b.",SUMIFS(STG_Woningetalage!$T$6:$T$505,STG_Woningetalage!$B$6:$B$505,$A87)))</f>
        <v/>
      </c>
      <c r="AX87" s="117" t="str">
        <f>IF($A87="","",IF($K87=0,"n.b.",SUMIFS(STG_Woningetalage!$U$6:$U$505,STG_Woningetalage!$B$6:$B$505,$A87)))</f>
        <v/>
      </c>
      <c r="AY87" s="117" t="str">
        <f>IF($A87="","",IF($K87=0,"n.b.",SUMIFS(STG_Woningetalage!$V$6:$V$505,STG_Woningetalage!$B$6:$B$505,$A87)))</f>
        <v/>
      </c>
      <c r="AZ87" s="117" t="str">
        <f>IF($A87="","",IF($K87=0,"n.b.",SUMIFS(STG_Woningetalage!$W$6:$W$505,STG_Woningetalage!$B$6:$B$505,$A87)))</f>
        <v/>
      </c>
      <c r="BA87" s="117" t="str">
        <f>IF($A87="","",IF($K87=0,"n.b.",SUMIFS(STG_Woningetalage!$X$6:$X$505,STG_Woningetalage!$B$6:$B$505,$A87)))</f>
        <v/>
      </c>
      <c r="BB87" s="117" t="str">
        <f>IF($A87="","",IF($K87=0,"n.b.",SUMIFS(STG_Woningetalage!$Y$6:$Y$505,STG_Woningetalage!$B$6:$B$505,$A87)))</f>
        <v/>
      </c>
      <c r="BC87" s="117" t="str">
        <f>IF($A87="","",IF($K87=0,"n.b.",SUMIFS(STG_Woningetalage!$Z$6:$Z$505,STG_Woningetalage!$B$6:$B$505,$A87)))</f>
        <v/>
      </c>
      <c r="BD87" s="117" t="str">
        <f>IF($A87="","",IF($K87=0,"n.b.",SUMIFS(STG_Woningetalage!$AA$6:$AA$505,STG_Woningetalage!$B$6:$B$505,$A87)))</f>
        <v/>
      </c>
      <c r="BE87" s="117" t="str">
        <f>IF($A87="","",IF($K87=0,"n.b.",SUMIFS(STG_Woningetalage!$AB$6:$AB$505,STG_Woningetalage!$B$6:$B$505,$A87)))</f>
        <v/>
      </c>
      <c r="BF87" s="117" t="str">
        <f>IF($A87="","",IF($K87=0,"n.b.",SUMIFS(STG_Woningetalage!$AC$6:$AC$505,STG_Woningetalage!$B$6:$B$505,$A87)))</f>
        <v/>
      </c>
      <c r="BG87" s="117" t="str">
        <f>IF($A87="","",IF($K87=0,"n.b.",SUMIFS(STG_Woningetalage!$AD$6:$AD$505,STG_Woningetalage!$B$6:$B$505,$A87)))</f>
        <v/>
      </c>
      <c r="BH87" s="117" t="str">
        <f>IF($A87="","",IF($K87=0,"n.b.",SUMIFS(STG_Woningetalage!$AE$6:$AE$505,STG_Woningetalage!$B$6:$B$505,$A87)))</f>
        <v/>
      </c>
      <c r="BI87" s="117" t="str">
        <f>IF($A87="","",IF($K87=0,"n.b.",SUMIFS(STG_Woningetalage!$AF$6:$AF$505,STG_Woningetalage!$B$6:$B$505,$A87)))</f>
        <v/>
      </c>
      <c r="BJ87" s="117" t="str">
        <f>IF($A87="","",IF($K87=0,"n.b.",SUMIFS(STG_Woningetalage!$AG$6:$AG$505,STG_Woningetalage!$B$6:$B$505,$A87)))</f>
        <v/>
      </c>
      <c r="BK87" s="117" t="str">
        <f>IF($A87="","",IF($K87=0,"n.b.",SUMIFS(STG_Woningetalage!$AH$6:$AH$505,STG_Woningetalage!$B$6:$B$505,$A87)))</f>
        <v/>
      </c>
      <c r="BL87" s="117" t="str">
        <f>IF($A87="","",IF($K87=0,"n.b.",SUMIFS(STG_Woningetalage!$AI$6:$AI$505,STG_Woningetalage!$B$6:$B$505,$A87)))</f>
        <v/>
      </c>
      <c r="BM87" s="117" t="str">
        <f>IF($A87="","",IF($K87=0,"n.b.",SUMIFS(STG_Woningetalage!$AJ$6:$AJ$505,STG_Woningetalage!$B$6:$B$505,$A87)))</f>
        <v/>
      </c>
      <c r="BN87" s="117" t="str">
        <f>IF($A87="","",IF($K87=0,"n.b.",SUMIFS(STG_Woningetalage!$AK$6:$AK$505,STG_Woningetalage!$B$6:$B$505,$A87)))</f>
        <v/>
      </c>
      <c r="BO87" s="117" t="str">
        <f>IF($A87="","",IF($K87=0,"n.b.",SUMIFS(STG_Woningetalage!$AL$6:$AL$505,STG_Woningetalage!$B$6:$B$505,$A87)))</f>
        <v/>
      </c>
      <c r="BP87" s="117" t="str">
        <f>IF($A87="","",IF($K87=0,"n.b.",SUMIFS(STG_Woningetalage!$AM$6:$AM$505,STG_Woningetalage!$B$6:$B$505,$A87)))</f>
        <v/>
      </c>
      <c r="BQ87" s="117" t="str">
        <f>IF($A87="","",IF($K87=0,"n.b.",SUMIFS(STG_Woningetalage!$BE$6:$BE$505,STG_Woningetalage!$B$6:$B$505,$A87)))</f>
        <v/>
      </c>
      <c r="BR87" s="117" t="str">
        <f>IF($A87="","",IF($K87=0,"n.b.",SUMIFS(STG_Woningetalage!$BF$6:$BF$505,STG_Woningetalage!$B$6:$B$505,$A87)))</f>
        <v/>
      </c>
      <c r="BS87" s="117" t="str">
        <f>IF($A87="","",IF($K87=0,"n.b.",SUMIFS(STG_Woningetalage!$BG$6:$BG$505,STG_Woningetalage!$B$6:$B$505,$A87)))</f>
        <v/>
      </c>
      <c r="BT87" s="117" t="str">
        <f>IF($A87="","",IF($K87=0,"n.b.",SUMIFS(STG_Woningetalage!$BH$6:$BH$505,STG_Woningetalage!$B$6:$B$505,$A87)))</f>
        <v/>
      </c>
      <c r="BU87" s="117" t="str">
        <f>IF($A87="","",IF($K87=0,"n.b.",SUMIFS(STG_Woningetalage!$BI$6:$BI$505,STG_Woningetalage!$B$6:$B$505,$A87)))</f>
        <v/>
      </c>
      <c r="BV87" s="117" t="str">
        <f>IF($A87="","",IF($K87=0,"n.b.",SUMIFS(STG_Woningetalage!$BJ$6:$BJ$505,STG_Woningetalage!$B$6:$B$505,$A87)))</f>
        <v/>
      </c>
      <c r="BW87" s="117" t="str">
        <f>IF($A87="","",IF($K87=0,"n.b.",SUMIFS(STG_Woningetalage!$AR$6:$AR$505,STG_Woningetalage!$B$6:$B$505,$A87)))</f>
        <v/>
      </c>
      <c r="BX87" s="117" t="str">
        <f>IF($A87="","",IF($K87=0,"n.b.",SUMIFS(STG_Woningetalage!$AS$6:$AS$505,STG_Woningetalage!$B$6:$B$505,$A87)))</f>
        <v/>
      </c>
      <c r="BY87" s="117" t="str">
        <f>IF($A87="","",IF($K87=0,"n.b.",SUMIFS(STG_Woningetalage!$AN$6:$AN$505,STG_Woningetalage!$B$6:$B$505,$A87)))</f>
        <v/>
      </c>
      <c r="BZ87" s="117" t="str">
        <f>IF($A87="","",IF($K87=0,"n.b.",SUMIFS(STG_Woningetalage!$AO$6:$AO$505,STG_Woningetalage!$B$6:$B$505,$A87)))</f>
        <v/>
      </c>
      <c r="CA87" s="117" t="str">
        <f>IF($A87="","",IF($K87=0,"n.b.",SUMIFS(STG_Woningetalage!$AP$6:$AP$505,STG_Woningetalage!$B$6:$B$505,$A87)))</f>
        <v/>
      </c>
      <c r="CB87" s="117" t="str">
        <f>IF($A87="","",IF($K87=0,"n.b.",SUMIFS(STG_Woningetalage!$AQ$6:$AQ$505,STG_Woningetalage!$B$6:$B$505,$A87)))</f>
        <v/>
      </c>
      <c r="CC87" s="117" t="str">
        <f>IF($A87="","",IF($K87=0,"n.b.",SUMIFS(STG_Woningetalage!$AU$6:$AU$505,STG_Woningetalage!$B$6:$B$505,$A87)))</f>
        <v/>
      </c>
      <c r="CD87" s="92" t="str">
        <f>IF($A87="","",IFERROR(INDEX(STG_ZPMW03!$L$6:$L$505,MATCH($A87,STG_ZPMW03!$B$6:$B$505,0)),"n.b."))</f>
        <v/>
      </c>
      <c r="CE87" s="92" t="str">
        <f>IF($A87="","",IFERROR(INDEX(STG_ZPMW03!$K$6:$K$505,MATCH($A87,STG_ZPMW03!$B$6:$B$505,0)),"n.b."))</f>
        <v/>
      </c>
      <c r="CF87" s="92" t="str">
        <f>IF($A87="","",IFERROR(INDEX(STG_ZPMW03!$BH$6:$BH$505,MATCH($A87,STG_ZPMW03!$B$6:$B$505,0)),"n.b."))</f>
        <v/>
      </c>
      <c r="CG87" s="92" t="str">
        <f>IF($A87="","",IFERROR(INDEX(STG_ZPMW03!$BI$6:$BI$505,MATCH($A87,STG_ZPMW03!$B$6:$B$505,0)),"n.b."))</f>
        <v/>
      </c>
      <c r="CH87" s="92" t="str">
        <f>IF($A87="","",IFERROR(INDEX(STG_ZPMW03!$BJ$6:$BJ$505,MATCH($A87,STG_ZPMW03!$B$6:$B$505,0)),"n.b."))</f>
        <v/>
      </c>
      <c r="CI87" s="92" t="str">
        <f>IF($A87="","",IFERROR(INDEX(STG_ZPMW03!$BF$6:$BF$505,MATCH($A87,STG_ZPMW03!$B$6:$B$505,0)),"n.b."))</f>
        <v/>
      </c>
      <c r="CJ87" s="92" t="str">
        <f>IF($A87="","",IFERROR(INDEX(STG_ZPMW03!$BG$6:$BG$505,MATCH($A87,STG_ZPMW03!$B$6:$B$505,0)),"n.b."))</f>
        <v/>
      </c>
      <c r="CK87" s="92" t="str">
        <f>IF($A87="","",IFERROR(INDEX(STG_ZPMW03!$H$6:$H$505,MATCH($A87,STG_ZPMW03!$B$6:$B$505,0)),"n.b."))</f>
        <v/>
      </c>
      <c r="CL87" s="92" t="str">
        <f>IF($A87="","",IFERROR(INDEX(STG_ZPMW03!$E$6:$E$505,MATCH($A87,STG_ZPMW03!$B$6:$B$505,0)),"n.b."))</f>
        <v/>
      </c>
      <c r="CM87" s="92" t="str">
        <f>IF($A87="","",IFERROR(INDEX(STG_ZPMW03!$G$6:$G$505,MATCH($A87,STG_ZPMW03!$B$6:$B$505,0)),"n.b."))</f>
        <v/>
      </c>
      <c r="CN87" s="92" t="str">
        <f>IF($A87="","",IFERROR(INDEX(STG_Woningetalage!$N$6:$N$505,MATCH($A87,STG_Woningetalage!$B$6:$B$505,0)),"n.b."))</f>
        <v/>
      </c>
      <c r="CO87" s="92" t="str">
        <f>IF($A87="","",IFERROR(INDEX(STG_Woningetalage!$P$6:$P$505,MATCH($A87,STG_Woningetalage!$B$6:$B$505,0)),"n.b."))</f>
        <v/>
      </c>
      <c r="CP87" s="118" t="str">
        <f>IF($A87="","",IF(AND(ISNUMBER(AT87),ISNUMBER(F87)),IF(F87&gt;0,AT87/(F87/100),"n.b."),"n.b."))</f>
        <v/>
      </c>
      <c r="CQ87" s="116" t="str">
        <f>IF($A87="","",IF(ISNUMBER(Q87),IF(Q87&lt;0,1,0),0))</f>
        <v/>
      </c>
      <c r="CR87" s="116" t="str">
        <f>IF(CQ87=1,COUNTIF($CQ$6:CQ87,1),"")</f>
        <v/>
      </c>
      <c r="CS87" s="116" t="str">
        <f>IF(AND($A87&lt;&gt;"",$J87=0),COUNTIFS($A$6:$A87,"?*",$J$6:$J87,0),"")</f>
        <v/>
      </c>
      <c r="CT87" s="119" t="str">
        <f>IF($A87="","",IF(AND(ISNUMBER(Q87),ISNUMBER(P87)),IF(P87&lt;&gt;0,Q87/P87,"n.b."),"n.b."))</f>
        <v/>
      </c>
    </row>
    <row r="88">
      <c r="A88" s="92" t="str">
        <f>IF(Mapping!$A87="","",Mapping!$A87)</f>
        <v/>
      </c>
      <c r="B88" s="92" t="str">
        <f>IF(Mapping!$B87="","",Mapping!$B87)</f>
        <v/>
      </c>
      <c r="C88" s="92" t="str">
        <f>IF(Mapping!$C87="","",Mapping!$C87)</f>
        <v/>
      </c>
      <c r="D88" s="92" t="str">
        <f>IF(Mapping!$F87="","",Mapping!$F87)</f>
        <v/>
      </c>
      <c r="E88" s="92" t="str">
        <f>IF(Mapping!$H87="","",Mapping!$H87)</f>
        <v/>
      </c>
      <c r="F88" s="92" t="str">
        <f>IF(Mapping!$E87="","",Mapping!$E87)</f>
        <v/>
      </c>
      <c r="G88" s="92" t="str">
        <f>IF(Mapping!$G87="","",Mapping!$G87)</f>
        <v/>
      </c>
      <c r="H88" s="92" t="str">
        <f>IF(Mapping!$D87="","",Mapping!$D87)</f>
        <v/>
      </c>
      <c r="I88" s="92" t="str">
        <f>IF($A88="","",IFERROR(INDEX(STG_ZPMW03!$C$6:$C$505,MATCH($A88,STG_ZPMW03!$B$6:$B$505,0)),"n.b."))</f>
        <v/>
      </c>
      <c r="J88" s="116" t="str">
        <f>IF($A88="","",COUNTIF(STG_ZPMW03!$B$6:$B$505,$A88))</f>
        <v/>
      </c>
      <c r="K88" s="116" t="str">
        <f>IF($A88="","",COUNTIF(STG_Woningetalage!$B$6:$B$505,$A88))</f>
        <v/>
      </c>
      <c r="L88" s="117" t="str">
        <f>IF($A88="","",IF($J88=0,"n.b.",SUMIFS(STG_ZPMW03!$BK$6:$BK$505,STG_ZPMW03!$B$6:$B$505,$A88)))</f>
        <v/>
      </c>
      <c r="M88" s="117" t="str">
        <f>IF($A88="","",IF($J88=0,"n.b.",SUMIFS(STG_ZPMW03!$BL$6:$BL$505,STG_ZPMW03!$B$6:$B$505,$A88)))</f>
        <v/>
      </c>
      <c r="N88" s="117" t="str">
        <f>IF($A88="","",IF($J88=0,"n.b.",SUMIFS(STG_ZPMW03!$BM$6:$BM$505,STG_ZPMW03!$B$6:$B$505,$A88)))</f>
        <v/>
      </c>
      <c r="O88" s="117" t="str">
        <f>IF($A88="","",IF($J88=0,"n.b.",SUMIFS(STG_ZPMW03!$BN$6:$BN$505,STG_ZPMW03!$B$6:$B$505,$A88)))</f>
        <v/>
      </c>
      <c r="P88" s="117" t="str">
        <f>IF($A88="","",IF($J88=0,"n.b.",SUMIFS(STG_ZPMW03!$BO$6:$BO$505,STG_ZPMW03!$B$6:$B$505,$A88)))</f>
        <v/>
      </c>
      <c r="Q88" s="117" t="str">
        <f>IF($A88="","",IF($J88=0,"n.b.",SUMIFS(STG_ZPMW03!$BP$6:$BP$505,STG_ZPMW03!$B$6:$B$505,$A88)))</f>
        <v/>
      </c>
      <c r="R88" s="117" t="str">
        <f>IF($A88="","",IF($J88=0,"n.b.",SUMIFS(STG_ZPMW03!$BQ$6:$BQ$505,STG_ZPMW03!$B$6:$B$505,$A88)))</f>
        <v/>
      </c>
      <c r="S88" s="117" t="str">
        <f>IF($A88="","",IF($J88=0,"n.b.",SUMIFS(STG_ZPMW03!$BR$6:$BR$505,STG_ZPMW03!$B$6:$B$505,$A88)))</f>
        <v/>
      </c>
      <c r="T88" s="117" t="str">
        <f>IF($A88="","",IF($J88=0,"n.b.",SUMIFS(STG_ZPMW03!$BS$6:$BS$505,STG_ZPMW03!$B$6:$B$505,$A88)))</f>
        <v/>
      </c>
      <c r="U88" s="117" t="str">
        <f>IF($A88="","",IF($J88=0,"n.b.",SUMIFS(STG_ZPMW03!$BT$6:$BT$505,STG_ZPMW03!$B$6:$B$505,$A88)))</f>
        <v/>
      </c>
      <c r="V88" s="117" t="str">
        <f>IF($A88="","",IF($J88=0,"n.b.",SUMIFS(STG_ZPMW03!$BU$6:$BU$505,STG_ZPMW03!$B$6:$B$505,$A88)))</f>
        <v/>
      </c>
      <c r="W88" s="117" t="str">
        <f>IF($A88="","",IF($J88=0,"n.b.",SUMIFS(STG_ZPMW03!$BW$6:$BW$505,STG_ZPMW03!$B$6:$B$505,$A88)))</f>
        <v/>
      </c>
      <c r="X88" s="117" t="str">
        <f>IF($A88="","",IF($J88=0,"n.b.",SUMIFS(STG_ZPMW03!$BY$6:$BY$505,STG_ZPMW03!$B$6:$B$505,$A88)))</f>
        <v/>
      </c>
      <c r="Y88" s="117" t="str">
        <f>IF($A88="","",IF($J88=0,"n.b.",SUMIFS(STG_ZPMW03!$CA$6:$CA$505,STG_ZPMW03!$B$6:$B$505,$A88)))</f>
        <v/>
      </c>
      <c r="Z88" s="117" t="str">
        <f>IF($A88="","",IF($J88=0,"n.b.",SUMIFS(STG_ZPMW03!$BV$6:$BV$505,STG_ZPMW03!$B$6:$B$505,$A88)))</f>
        <v/>
      </c>
      <c r="AA88" s="117" t="str">
        <f>IF($A88="","",IF($J88=0,"n.b.",SUMIFS(STG_ZPMW03!$BX$6:$BX$505,STG_ZPMW03!$B$6:$B$505,$A88)))</f>
        <v/>
      </c>
      <c r="AB88" s="117" t="str">
        <f>IF($A88="","",IF($J88=0,"n.b.",SUMIFS(STG_ZPMW03!$BZ$6:$BZ$505,STG_ZPMW03!$B$6:$B$505,$A88)))</f>
        <v/>
      </c>
      <c r="AC88" s="117" t="str">
        <f>IF($A88="","",IF($J88=0,"n.b.",SUMIFS(STG_ZPMW03!$CB$6:$CB$505,STG_ZPMW03!$B$6:$B$505,$A88)))</f>
        <v/>
      </c>
      <c r="AD88" s="117" t="str">
        <f>IF($A88="","",IF($J88=0,"n.b.",SUMIFS(STG_ZPMW03!$CC$6:$CC$505,STG_ZPMW03!$B$6:$B$505,$A88)))</f>
        <v/>
      </c>
      <c r="AE88" s="117" t="str">
        <f>IF($A88="","",IF($J88=0,"n.b.",SUMIFS(STG_ZPMW03!$CE$6:$CE$505,STG_ZPMW03!$B$6:$B$505,$A88)))</f>
        <v/>
      </c>
      <c r="AF88" s="117" t="str">
        <f>IF($A88="","",IF($J88=0,"n.b.",SUMIFS(STG_ZPMW03!$CG$6:$CG$505,STG_ZPMW03!$B$6:$B$505,$A88)))</f>
        <v/>
      </c>
      <c r="AG88" s="117" t="str">
        <f>IF($A88="","",IF($J88=0,"n.b.",SUMIFS(STG_ZPMW03!$CI$6:$CI$505,STG_ZPMW03!$B$6:$B$505,$A88)))</f>
        <v/>
      </c>
      <c r="AH88" s="117" t="str">
        <f>IF($A88="","",IF($J88=0,"n.b.",SUMIFS(STG_ZPMW03!$CK$6:$CK$505,STG_ZPMW03!$B$6:$B$505,$A88)))</f>
        <v/>
      </c>
      <c r="AI88" s="117" t="str">
        <f>IF($A88="","",IF($J88=0,"n.b.",SUMIFS(STG_ZPMW03!$CM$6:$CM$505,STG_ZPMW03!$B$6:$B$505,$A88)))</f>
        <v/>
      </c>
      <c r="AJ88" s="117" t="str">
        <f>IF($A88="","",IF($J88=0,"n.b.",SUMIFS(STG_ZPMW03!$CO$6:$CO$505,STG_ZPMW03!$B$6:$B$505,$A88)))</f>
        <v/>
      </c>
      <c r="AK88" s="117" t="str">
        <f>IF($A88="","",IF($J88=0,"n.b.",SUMIFS(STG_ZPMW03!$CQ$6:$CQ$505,STG_ZPMW03!$B$6:$B$505,$A88)))</f>
        <v/>
      </c>
      <c r="AL88" s="117" t="str">
        <f>IF($A88="","",IF($J88=0,"n.b.",SUMIFS(STG_ZPMW03!$CD$6:$CD$505,STG_ZPMW03!$B$6:$B$505,$A88)))</f>
        <v/>
      </c>
      <c r="AM88" s="117" t="str">
        <f>IF($A88="","",IF($J88=0,"n.b.",SUMIFS(STG_ZPMW03!$CF$6:$CF$505,STG_ZPMW03!$B$6:$B$505,$A88)))</f>
        <v/>
      </c>
      <c r="AN88" s="117" t="str">
        <f>IF($A88="","",IF($J88=0,"n.b.",SUMIFS(STG_ZPMW03!$CH$6:$CH$505,STG_ZPMW03!$B$6:$B$505,$A88)))</f>
        <v/>
      </c>
      <c r="AO88" s="117" t="str">
        <f>IF($A88="","",IF($J88=0,"n.b.",SUMIFS(STG_ZPMW03!$CJ$6:$CJ$505,STG_ZPMW03!$B$6:$B$505,$A88)))</f>
        <v/>
      </c>
      <c r="AP88" s="117" t="str">
        <f>IF($A88="","",IF($J88=0,"n.b.",SUMIFS(STG_ZPMW03!$CL$6:$CL$505,STG_ZPMW03!$B$6:$B$505,$A88)))</f>
        <v/>
      </c>
      <c r="AQ88" s="117" t="str">
        <f>IF($A88="","",IF($J88=0,"n.b.",SUMIFS(STG_ZPMW03!$CN$6:$CN$505,STG_ZPMW03!$B$6:$B$505,$A88)))</f>
        <v/>
      </c>
      <c r="AR88" s="117" t="str">
        <f>IF($A88="","",IF($J88=0,"n.b.",SUMIFS(STG_ZPMW03!$CP$6:$CP$505,STG_ZPMW03!$B$6:$B$505,$A88)))</f>
        <v/>
      </c>
      <c r="AS88" s="117" t="str">
        <f>IF($A88="","",IF($J88=0,"n.b.",SUMIFS(STG_ZPMW03!$CR$6:$CR$505,STG_ZPMW03!$B$6:$B$505,$A88)))</f>
        <v/>
      </c>
      <c r="AT88" s="117" t="str">
        <f>IF($A88="","",IF($K88=0,"n.b.",SUMIFS(STG_Woningetalage!$Q$6:$Q$505,STG_Woningetalage!$B$6:$B$505,$A88)))</f>
        <v/>
      </c>
      <c r="AU88" s="117" t="str">
        <f>IF($A88="","",IF($K88=0,"n.b.",SUMIFS(STG_Woningetalage!$R$6:$R$505,STG_Woningetalage!$B$6:$B$505,$A88)))</f>
        <v/>
      </c>
      <c r="AV88" s="117" t="str">
        <f>IF($A88="","",IF($K88=0,"n.b.",SUMIFS(STG_Woningetalage!$S$6:$S$505,STG_Woningetalage!$B$6:$B$505,$A88)))</f>
        <v/>
      </c>
      <c r="AW88" s="117" t="str">
        <f>IF($A88="","",IF($K88=0,"n.b.",SUMIFS(STG_Woningetalage!$T$6:$T$505,STG_Woningetalage!$B$6:$B$505,$A88)))</f>
        <v/>
      </c>
      <c r="AX88" s="117" t="str">
        <f>IF($A88="","",IF($K88=0,"n.b.",SUMIFS(STG_Woningetalage!$U$6:$U$505,STG_Woningetalage!$B$6:$B$505,$A88)))</f>
        <v/>
      </c>
      <c r="AY88" s="117" t="str">
        <f>IF($A88="","",IF($K88=0,"n.b.",SUMIFS(STG_Woningetalage!$V$6:$V$505,STG_Woningetalage!$B$6:$B$505,$A88)))</f>
        <v/>
      </c>
      <c r="AZ88" s="117" t="str">
        <f>IF($A88="","",IF($K88=0,"n.b.",SUMIFS(STG_Woningetalage!$W$6:$W$505,STG_Woningetalage!$B$6:$B$505,$A88)))</f>
        <v/>
      </c>
      <c r="BA88" s="117" t="str">
        <f>IF($A88="","",IF($K88=0,"n.b.",SUMIFS(STG_Woningetalage!$X$6:$X$505,STG_Woningetalage!$B$6:$B$505,$A88)))</f>
        <v/>
      </c>
      <c r="BB88" s="117" t="str">
        <f>IF($A88="","",IF($K88=0,"n.b.",SUMIFS(STG_Woningetalage!$Y$6:$Y$505,STG_Woningetalage!$B$6:$B$505,$A88)))</f>
        <v/>
      </c>
      <c r="BC88" s="117" t="str">
        <f>IF($A88="","",IF($K88=0,"n.b.",SUMIFS(STG_Woningetalage!$Z$6:$Z$505,STG_Woningetalage!$B$6:$B$505,$A88)))</f>
        <v/>
      </c>
      <c r="BD88" s="117" t="str">
        <f>IF($A88="","",IF($K88=0,"n.b.",SUMIFS(STG_Woningetalage!$AA$6:$AA$505,STG_Woningetalage!$B$6:$B$505,$A88)))</f>
        <v/>
      </c>
      <c r="BE88" s="117" t="str">
        <f>IF($A88="","",IF($K88=0,"n.b.",SUMIFS(STG_Woningetalage!$AB$6:$AB$505,STG_Woningetalage!$B$6:$B$505,$A88)))</f>
        <v/>
      </c>
      <c r="BF88" s="117" t="str">
        <f>IF($A88="","",IF($K88=0,"n.b.",SUMIFS(STG_Woningetalage!$AC$6:$AC$505,STG_Woningetalage!$B$6:$B$505,$A88)))</f>
        <v/>
      </c>
      <c r="BG88" s="117" t="str">
        <f>IF($A88="","",IF($K88=0,"n.b.",SUMIFS(STG_Woningetalage!$AD$6:$AD$505,STG_Woningetalage!$B$6:$B$505,$A88)))</f>
        <v/>
      </c>
      <c r="BH88" s="117" t="str">
        <f>IF($A88="","",IF($K88=0,"n.b.",SUMIFS(STG_Woningetalage!$AE$6:$AE$505,STG_Woningetalage!$B$6:$B$505,$A88)))</f>
        <v/>
      </c>
      <c r="BI88" s="117" t="str">
        <f>IF($A88="","",IF($K88=0,"n.b.",SUMIFS(STG_Woningetalage!$AF$6:$AF$505,STG_Woningetalage!$B$6:$B$505,$A88)))</f>
        <v/>
      </c>
      <c r="BJ88" s="117" t="str">
        <f>IF($A88="","",IF($K88=0,"n.b.",SUMIFS(STG_Woningetalage!$AG$6:$AG$505,STG_Woningetalage!$B$6:$B$505,$A88)))</f>
        <v/>
      </c>
      <c r="BK88" s="117" t="str">
        <f>IF($A88="","",IF($K88=0,"n.b.",SUMIFS(STG_Woningetalage!$AH$6:$AH$505,STG_Woningetalage!$B$6:$B$505,$A88)))</f>
        <v/>
      </c>
      <c r="BL88" s="117" t="str">
        <f>IF($A88="","",IF($K88=0,"n.b.",SUMIFS(STG_Woningetalage!$AI$6:$AI$505,STG_Woningetalage!$B$6:$B$505,$A88)))</f>
        <v/>
      </c>
      <c r="BM88" s="117" t="str">
        <f>IF($A88="","",IF($K88=0,"n.b.",SUMIFS(STG_Woningetalage!$AJ$6:$AJ$505,STG_Woningetalage!$B$6:$B$505,$A88)))</f>
        <v/>
      </c>
      <c r="BN88" s="117" t="str">
        <f>IF($A88="","",IF($K88=0,"n.b.",SUMIFS(STG_Woningetalage!$AK$6:$AK$505,STG_Woningetalage!$B$6:$B$505,$A88)))</f>
        <v/>
      </c>
      <c r="BO88" s="117" t="str">
        <f>IF($A88="","",IF($K88=0,"n.b.",SUMIFS(STG_Woningetalage!$AL$6:$AL$505,STG_Woningetalage!$B$6:$B$505,$A88)))</f>
        <v/>
      </c>
      <c r="BP88" s="117" t="str">
        <f>IF($A88="","",IF($K88=0,"n.b.",SUMIFS(STG_Woningetalage!$AM$6:$AM$505,STG_Woningetalage!$B$6:$B$505,$A88)))</f>
        <v/>
      </c>
      <c r="BQ88" s="117" t="str">
        <f>IF($A88="","",IF($K88=0,"n.b.",SUMIFS(STG_Woningetalage!$BE$6:$BE$505,STG_Woningetalage!$B$6:$B$505,$A88)))</f>
        <v/>
      </c>
      <c r="BR88" s="117" t="str">
        <f>IF($A88="","",IF($K88=0,"n.b.",SUMIFS(STG_Woningetalage!$BF$6:$BF$505,STG_Woningetalage!$B$6:$B$505,$A88)))</f>
        <v/>
      </c>
      <c r="BS88" s="117" t="str">
        <f>IF($A88="","",IF($K88=0,"n.b.",SUMIFS(STG_Woningetalage!$BG$6:$BG$505,STG_Woningetalage!$B$6:$B$505,$A88)))</f>
        <v/>
      </c>
      <c r="BT88" s="117" t="str">
        <f>IF($A88="","",IF($K88=0,"n.b.",SUMIFS(STG_Woningetalage!$BH$6:$BH$505,STG_Woningetalage!$B$6:$B$505,$A88)))</f>
        <v/>
      </c>
      <c r="BU88" s="117" t="str">
        <f>IF($A88="","",IF($K88=0,"n.b.",SUMIFS(STG_Woningetalage!$BI$6:$BI$505,STG_Woningetalage!$B$6:$B$505,$A88)))</f>
        <v/>
      </c>
      <c r="BV88" s="117" t="str">
        <f>IF($A88="","",IF($K88=0,"n.b.",SUMIFS(STG_Woningetalage!$BJ$6:$BJ$505,STG_Woningetalage!$B$6:$B$505,$A88)))</f>
        <v/>
      </c>
      <c r="BW88" s="117" t="str">
        <f>IF($A88="","",IF($K88=0,"n.b.",SUMIFS(STG_Woningetalage!$AR$6:$AR$505,STG_Woningetalage!$B$6:$B$505,$A88)))</f>
        <v/>
      </c>
      <c r="BX88" s="117" t="str">
        <f>IF($A88="","",IF($K88=0,"n.b.",SUMIFS(STG_Woningetalage!$AS$6:$AS$505,STG_Woningetalage!$B$6:$B$505,$A88)))</f>
        <v/>
      </c>
      <c r="BY88" s="117" t="str">
        <f>IF($A88="","",IF($K88=0,"n.b.",SUMIFS(STG_Woningetalage!$AN$6:$AN$505,STG_Woningetalage!$B$6:$B$505,$A88)))</f>
        <v/>
      </c>
      <c r="BZ88" s="117" t="str">
        <f>IF($A88="","",IF($K88=0,"n.b.",SUMIFS(STG_Woningetalage!$AO$6:$AO$505,STG_Woningetalage!$B$6:$B$505,$A88)))</f>
        <v/>
      </c>
      <c r="CA88" s="117" t="str">
        <f>IF($A88="","",IF($K88=0,"n.b.",SUMIFS(STG_Woningetalage!$AP$6:$AP$505,STG_Woningetalage!$B$6:$B$505,$A88)))</f>
        <v/>
      </c>
      <c r="CB88" s="117" t="str">
        <f>IF($A88="","",IF($K88=0,"n.b.",SUMIFS(STG_Woningetalage!$AQ$6:$AQ$505,STG_Woningetalage!$B$6:$B$505,$A88)))</f>
        <v/>
      </c>
      <c r="CC88" s="117" t="str">
        <f>IF($A88="","",IF($K88=0,"n.b.",SUMIFS(STG_Woningetalage!$AU$6:$AU$505,STG_Woningetalage!$B$6:$B$505,$A88)))</f>
        <v/>
      </c>
      <c r="CD88" s="92" t="str">
        <f>IF($A88="","",IFERROR(INDEX(STG_ZPMW03!$L$6:$L$505,MATCH($A88,STG_ZPMW03!$B$6:$B$505,0)),"n.b."))</f>
        <v/>
      </c>
      <c r="CE88" s="92" t="str">
        <f>IF($A88="","",IFERROR(INDEX(STG_ZPMW03!$K$6:$K$505,MATCH($A88,STG_ZPMW03!$B$6:$B$505,0)),"n.b."))</f>
        <v/>
      </c>
      <c r="CF88" s="92" t="str">
        <f>IF($A88="","",IFERROR(INDEX(STG_ZPMW03!$BH$6:$BH$505,MATCH($A88,STG_ZPMW03!$B$6:$B$505,0)),"n.b."))</f>
        <v/>
      </c>
      <c r="CG88" s="92" t="str">
        <f>IF($A88="","",IFERROR(INDEX(STG_ZPMW03!$BI$6:$BI$505,MATCH($A88,STG_ZPMW03!$B$6:$B$505,0)),"n.b."))</f>
        <v/>
      </c>
      <c r="CH88" s="92" t="str">
        <f>IF($A88="","",IFERROR(INDEX(STG_ZPMW03!$BJ$6:$BJ$505,MATCH($A88,STG_ZPMW03!$B$6:$B$505,0)),"n.b."))</f>
        <v/>
      </c>
      <c r="CI88" s="92" t="str">
        <f>IF($A88="","",IFERROR(INDEX(STG_ZPMW03!$BF$6:$BF$505,MATCH($A88,STG_ZPMW03!$B$6:$B$505,0)),"n.b."))</f>
        <v/>
      </c>
      <c r="CJ88" s="92" t="str">
        <f>IF($A88="","",IFERROR(INDEX(STG_ZPMW03!$BG$6:$BG$505,MATCH($A88,STG_ZPMW03!$B$6:$B$505,0)),"n.b."))</f>
        <v/>
      </c>
      <c r="CK88" s="92" t="str">
        <f>IF($A88="","",IFERROR(INDEX(STG_ZPMW03!$H$6:$H$505,MATCH($A88,STG_ZPMW03!$B$6:$B$505,0)),"n.b."))</f>
        <v/>
      </c>
      <c r="CL88" s="92" t="str">
        <f>IF($A88="","",IFERROR(INDEX(STG_ZPMW03!$E$6:$E$505,MATCH($A88,STG_ZPMW03!$B$6:$B$505,0)),"n.b."))</f>
        <v/>
      </c>
      <c r="CM88" s="92" t="str">
        <f>IF($A88="","",IFERROR(INDEX(STG_ZPMW03!$G$6:$G$505,MATCH($A88,STG_ZPMW03!$B$6:$B$505,0)),"n.b."))</f>
        <v/>
      </c>
      <c r="CN88" s="92" t="str">
        <f>IF($A88="","",IFERROR(INDEX(STG_Woningetalage!$N$6:$N$505,MATCH($A88,STG_Woningetalage!$B$6:$B$505,0)),"n.b."))</f>
        <v/>
      </c>
      <c r="CO88" s="92" t="str">
        <f>IF($A88="","",IFERROR(INDEX(STG_Woningetalage!$P$6:$P$505,MATCH($A88,STG_Woningetalage!$B$6:$B$505,0)),"n.b."))</f>
        <v/>
      </c>
      <c r="CP88" s="118" t="str">
        <f>IF($A88="","",IF(AND(ISNUMBER(AT88),ISNUMBER(F88)),IF(F88&gt;0,AT88/(F88/100),"n.b."),"n.b."))</f>
        <v/>
      </c>
      <c r="CQ88" s="116" t="str">
        <f>IF($A88="","",IF(ISNUMBER(Q88),IF(Q88&lt;0,1,0),0))</f>
        <v/>
      </c>
      <c r="CR88" s="116" t="str">
        <f>IF(CQ88=1,COUNTIF($CQ$6:CQ88,1),"")</f>
        <v/>
      </c>
      <c r="CS88" s="116" t="str">
        <f>IF(AND($A88&lt;&gt;"",$J88=0),COUNTIFS($A$6:$A88,"?*",$J$6:$J88,0),"")</f>
        <v/>
      </c>
      <c r="CT88" s="119" t="str">
        <f>IF($A88="","",IF(AND(ISNUMBER(Q88),ISNUMBER(P88)),IF(P88&lt;&gt;0,Q88/P88,"n.b."),"n.b."))</f>
        <v/>
      </c>
    </row>
    <row r="89">
      <c r="A89" s="92" t="str">
        <f>IF(Mapping!$A88="","",Mapping!$A88)</f>
        <v/>
      </c>
      <c r="B89" s="92" t="str">
        <f>IF(Mapping!$B88="","",Mapping!$B88)</f>
        <v/>
      </c>
      <c r="C89" s="92" t="str">
        <f>IF(Mapping!$C88="","",Mapping!$C88)</f>
        <v/>
      </c>
      <c r="D89" s="92" t="str">
        <f>IF(Mapping!$F88="","",Mapping!$F88)</f>
        <v/>
      </c>
      <c r="E89" s="92" t="str">
        <f>IF(Mapping!$H88="","",Mapping!$H88)</f>
        <v/>
      </c>
      <c r="F89" s="92" t="str">
        <f>IF(Mapping!$E88="","",Mapping!$E88)</f>
        <v/>
      </c>
      <c r="G89" s="92" t="str">
        <f>IF(Mapping!$G88="","",Mapping!$G88)</f>
        <v/>
      </c>
      <c r="H89" s="92" t="str">
        <f>IF(Mapping!$D88="","",Mapping!$D88)</f>
        <v/>
      </c>
      <c r="I89" s="92" t="str">
        <f>IF($A89="","",IFERROR(INDEX(STG_ZPMW03!$C$6:$C$505,MATCH($A89,STG_ZPMW03!$B$6:$B$505,0)),"n.b."))</f>
        <v/>
      </c>
      <c r="J89" s="116" t="str">
        <f>IF($A89="","",COUNTIF(STG_ZPMW03!$B$6:$B$505,$A89))</f>
        <v/>
      </c>
      <c r="K89" s="116" t="str">
        <f>IF($A89="","",COUNTIF(STG_Woningetalage!$B$6:$B$505,$A89))</f>
        <v/>
      </c>
      <c r="L89" s="117" t="str">
        <f>IF($A89="","",IF($J89=0,"n.b.",SUMIFS(STG_ZPMW03!$BK$6:$BK$505,STG_ZPMW03!$B$6:$B$505,$A89)))</f>
        <v/>
      </c>
      <c r="M89" s="117" t="str">
        <f>IF($A89="","",IF($J89=0,"n.b.",SUMIFS(STG_ZPMW03!$BL$6:$BL$505,STG_ZPMW03!$B$6:$B$505,$A89)))</f>
        <v/>
      </c>
      <c r="N89" s="117" t="str">
        <f>IF($A89="","",IF($J89=0,"n.b.",SUMIFS(STG_ZPMW03!$BM$6:$BM$505,STG_ZPMW03!$B$6:$B$505,$A89)))</f>
        <v/>
      </c>
      <c r="O89" s="117" t="str">
        <f>IF($A89="","",IF($J89=0,"n.b.",SUMIFS(STG_ZPMW03!$BN$6:$BN$505,STG_ZPMW03!$B$6:$B$505,$A89)))</f>
        <v/>
      </c>
      <c r="P89" s="117" t="str">
        <f>IF($A89="","",IF($J89=0,"n.b.",SUMIFS(STG_ZPMW03!$BO$6:$BO$505,STG_ZPMW03!$B$6:$B$505,$A89)))</f>
        <v/>
      </c>
      <c r="Q89" s="117" t="str">
        <f>IF($A89="","",IF($J89=0,"n.b.",SUMIFS(STG_ZPMW03!$BP$6:$BP$505,STG_ZPMW03!$B$6:$B$505,$A89)))</f>
        <v/>
      </c>
      <c r="R89" s="117" t="str">
        <f>IF($A89="","",IF($J89=0,"n.b.",SUMIFS(STG_ZPMW03!$BQ$6:$BQ$505,STG_ZPMW03!$B$6:$B$505,$A89)))</f>
        <v/>
      </c>
      <c r="S89" s="117" t="str">
        <f>IF($A89="","",IF($J89=0,"n.b.",SUMIFS(STG_ZPMW03!$BR$6:$BR$505,STG_ZPMW03!$B$6:$B$505,$A89)))</f>
        <v/>
      </c>
      <c r="T89" s="117" t="str">
        <f>IF($A89="","",IF($J89=0,"n.b.",SUMIFS(STG_ZPMW03!$BS$6:$BS$505,STG_ZPMW03!$B$6:$B$505,$A89)))</f>
        <v/>
      </c>
      <c r="U89" s="117" t="str">
        <f>IF($A89="","",IF($J89=0,"n.b.",SUMIFS(STG_ZPMW03!$BT$6:$BT$505,STG_ZPMW03!$B$6:$B$505,$A89)))</f>
        <v/>
      </c>
      <c r="V89" s="117" t="str">
        <f>IF($A89="","",IF($J89=0,"n.b.",SUMIFS(STG_ZPMW03!$BU$6:$BU$505,STG_ZPMW03!$B$6:$B$505,$A89)))</f>
        <v/>
      </c>
      <c r="W89" s="117" t="str">
        <f>IF($A89="","",IF($J89=0,"n.b.",SUMIFS(STG_ZPMW03!$BW$6:$BW$505,STG_ZPMW03!$B$6:$B$505,$A89)))</f>
        <v/>
      </c>
      <c r="X89" s="117" t="str">
        <f>IF($A89="","",IF($J89=0,"n.b.",SUMIFS(STG_ZPMW03!$BY$6:$BY$505,STG_ZPMW03!$B$6:$B$505,$A89)))</f>
        <v/>
      </c>
      <c r="Y89" s="117" t="str">
        <f>IF($A89="","",IF($J89=0,"n.b.",SUMIFS(STG_ZPMW03!$CA$6:$CA$505,STG_ZPMW03!$B$6:$B$505,$A89)))</f>
        <v/>
      </c>
      <c r="Z89" s="117" t="str">
        <f>IF($A89="","",IF($J89=0,"n.b.",SUMIFS(STG_ZPMW03!$BV$6:$BV$505,STG_ZPMW03!$B$6:$B$505,$A89)))</f>
        <v/>
      </c>
      <c r="AA89" s="117" t="str">
        <f>IF($A89="","",IF($J89=0,"n.b.",SUMIFS(STG_ZPMW03!$BX$6:$BX$505,STG_ZPMW03!$B$6:$B$505,$A89)))</f>
        <v/>
      </c>
      <c r="AB89" s="117" t="str">
        <f>IF($A89="","",IF($J89=0,"n.b.",SUMIFS(STG_ZPMW03!$BZ$6:$BZ$505,STG_ZPMW03!$B$6:$B$505,$A89)))</f>
        <v/>
      </c>
      <c r="AC89" s="117" t="str">
        <f>IF($A89="","",IF($J89=0,"n.b.",SUMIFS(STG_ZPMW03!$CB$6:$CB$505,STG_ZPMW03!$B$6:$B$505,$A89)))</f>
        <v/>
      </c>
      <c r="AD89" s="117" t="str">
        <f>IF($A89="","",IF($J89=0,"n.b.",SUMIFS(STG_ZPMW03!$CC$6:$CC$505,STG_ZPMW03!$B$6:$B$505,$A89)))</f>
        <v/>
      </c>
      <c r="AE89" s="117" t="str">
        <f>IF($A89="","",IF($J89=0,"n.b.",SUMIFS(STG_ZPMW03!$CE$6:$CE$505,STG_ZPMW03!$B$6:$B$505,$A89)))</f>
        <v/>
      </c>
      <c r="AF89" s="117" t="str">
        <f>IF($A89="","",IF($J89=0,"n.b.",SUMIFS(STG_ZPMW03!$CG$6:$CG$505,STG_ZPMW03!$B$6:$B$505,$A89)))</f>
        <v/>
      </c>
      <c r="AG89" s="117" t="str">
        <f>IF($A89="","",IF($J89=0,"n.b.",SUMIFS(STG_ZPMW03!$CI$6:$CI$505,STG_ZPMW03!$B$6:$B$505,$A89)))</f>
        <v/>
      </c>
      <c r="AH89" s="117" t="str">
        <f>IF($A89="","",IF($J89=0,"n.b.",SUMIFS(STG_ZPMW03!$CK$6:$CK$505,STG_ZPMW03!$B$6:$B$505,$A89)))</f>
        <v/>
      </c>
      <c r="AI89" s="117" t="str">
        <f>IF($A89="","",IF($J89=0,"n.b.",SUMIFS(STG_ZPMW03!$CM$6:$CM$505,STG_ZPMW03!$B$6:$B$505,$A89)))</f>
        <v/>
      </c>
      <c r="AJ89" s="117" t="str">
        <f>IF($A89="","",IF($J89=0,"n.b.",SUMIFS(STG_ZPMW03!$CO$6:$CO$505,STG_ZPMW03!$B$6:$B$505,$A89)))</f>
        <v/>
      </c>
      <c r="AK89" s="117" t="str">
        <f>IF($A89="","",IF($J89=0,"n.b.",SUMIFS(STG_ZPMW03!$CQ$6:$CQ$505,STG_ZPMW03!$B$6:$B$505,$A89)))</f>
        <v/>
      </c>
      <c r="AL89" s="117" t="str">
        <f>IF($A89="","",IF($J89=0,"n.b.",SUMIFS(STG_ZPMW03!$CD$6:$CD$505,STG_ZPMW03!$B$6:$B$505,$A89)))</f>
        <v/>
      </c>
      <c r="AM89" s="117" t="str">
        <f>IF($A89="","",IF($J89=0,"n.b.",SUMIFS(STG_ZPMW03!$CF$6:$CF$505,STG_ZPMW03!$B$6:$B$505,$A89)))</f>
        <v/>
      </c>
      <c r="AN89" s="117" t="str">
        <f>IF($A89="","",IF($J89=0,"n.b.",SUMIFS(STG_ZPMW03!$CH$6:$CH$505,STG_ZPMW03!$B$6:$B$505,$A89)))</f>
        <v/>
      </c>
      <c r="AO89" s="117" t="str">
        <f>IF($A89="","",IF($J89=0,"n.b.",SUMIFS(STG_ZPMW03!$CJ$6:$CJ$505,STG_ZPMW03!$B$6:$B$505,$A89)))</f>
        <v/>
      </c>
      <c r="AP89" s="117" t="str">
        <f>IF($A89="","",IF($J89=0,"n.b.",SUMIFS(STG_ZPMW03!$CL$6:$CL$505,STG_ZPMW03!$B$6:$B$505,$A89)))</f>
        <v/>
      </c>
      <c r="AQ89" s="117" t="str">
        <f>IF($A89="","",IF($J89=0,"n.b.",SUMIFS(STG_ZPMW03!$CN$6:$CN$505,STG_ZPMW03!$B$6:$B$505,$A89)))</f>
        <v/>
      </c>
      <c r="AR89" s="117" t="str">
        <f>IF($A89="","",IF($J89=0,"n.b.",SUMIFS(STG_ZPMW03!$CP$6:$CP$505,STG_ZPMW03!$B$6:$B$505,$A89)))</f>
        <v/>
      </c>
      <c r="AS89" s="117" t="str">
        <f>IF($A89="","",IF($J89=0,"n.b.",SUMIFS(STG_ZPMW03!$CR$6:$CR$505,STG_ZPMW03!$B$6:$B$505,$A89)))</f>
        <v/>
      </c>
      <c r="AT89" s="117" t="str">
        <f>IF($A89="","",IF($K89=0,"n.b.",SUMIFS(STG_Woningetalage!$Q$6:$Q$505,STG_Woningetalage!$B$6:$B$505,$A89)))</f>
        <v/>
      </c>
      <c r="AU89" s="117" t="str">
        <f>IF($A89="","",IF($K89=0,"n.b.",SUMIFS(STG_Woningetalage!$R$6:$R$505,STG_Woningetalage!$B$6:$B$505,$A89)))</f>
        <v/>
      </c>
      <c r="AV89" s="117" t="str">
        <f>IF($A89="","",IF($K89=0,"n.b.",SUMIFS(STG_Woningetalage!$S$6:$S$505,STG_Woningetalage!$B$6:$B$505,$A89)))</f>
        <v/>
      </c>
      <c r="AW89" s="117" t="str">
        <f>IF($A89="","",IF($K89=0,"n.b.",SUMIFS(STG_Woningetalage!$T$6:$T$505,STG_Woningetalage!$B$6:$B$505,$A89)))</f>
        <v/>
      </c>
      <c r="AX89" s="117" t="str">
        <f>IF($A89="","",IF($K89=0,"n.b.",SUMIFS(STG_Woningetalage!$U$6:$U$505,STG_Woningetalage!$B$6:$B$505,$A89)))</f>
        <v/>
      </c>
      <c r="AY89" s="117" t="str">
        <f>IF($A89="","",IF($K89=0,"n.b.",SUMIFS(STG_Woningetalage!$V$6:$V$505,STG_Woningetalage!$B$6:$B$505,$A89)))</f>
        <v/>
      </c>
      <c r="AZ89" s="117" t="str">
        <f>IF($A89="","",IF($K89=0,"n.b.",SUMIFS(STG_Woningetalage!$W$6:$W$505,STG_Woningetalage!$B$6:$B$505,$A89)))</f>
        <v/>
      </c>
      <c r="BA89" s="117" t="str">
        <f>IF($A89="","",IF($K89=0,"n.b.",SUMIFS(STG_Woningetalage!$X$6:$X$505,STG_Woningetalage!$B$6:$B$505,$A89)))</f>
        <v/>
      </c>
      <c r="BB89" s="117" t="str">
        <f>IF($A89="","",IF($K89=0,"n.b.",SUMIFS(STG_Woningetalage!$Y$6:$Y$505,STG_Woningetalage!$B$6:$B$505,$A89)))</f>
        <v/>
      </c>
      <c r="BC89" s="117" t="str">
        <f>IF($A89="","",IF($K89=0,"n.b.",SUMIFS(STG_Woningetalage!$Z$6:$Z$505,STG_Woningetalage!$B$6:$B$505,$A89)))</f>
        <v/>
      </c>
      <c r="BD89" s="117" t="str">
        <f>IF($A89="","",IF($K89=0,"n.b.",SUMIFS(STG_Woningetalage!$AA$6:$AA$505,STG_Woningetalage!$B$6:$B$505,$A89)))</f>
        <v/>
      </c>
      <c r="BE89" s="117" t="str">
        <f>IF($A89="","",IF($K89=0,"n.b.",SUMIFS(STG_Woningetalage!$AB$6:$AB$505,STG_Woningetalage!$B$6:$B$505,$A89)))</f>
        <v/>
      </c>
      <c r="BF89" s="117" t="str">
        <f>IF($A89="","",IF($K89=0,"n.b.",SUMIFS(STG_Woningetalage!$AC$6:$AC$505,STG_Woningetalage!$B$6:$B$505,$A89)))</f>
        <v/>
      </c>
      <c r="BG89" s="117" t="str">
        <f>IF($A89="","",IF($K89=0,"n.b.",SUMIFS(STG_Woningetalage!$AD$6:$AD$505,STG_Woningetalage!$B$6:$B$505,$A89)))</f>
        <v/>
      </c>
      <c r="BH89" s="117" t="str">
        <f>IF($A89="","",IF($K89=0,"n.b.",SUMIFS(STG_Woningetalage!$AE$6:$AE$505,STG_Woningetalage!$B$6:$B$505,$A89)))</f>
        <v/>
      </c>
      <c r="BI89" s="117" t="str">
        <f>IF($A89="","",IF($K89=0,"n.b.",SUMIFS(STG_Woningetalage!$AF$6:$AF$505,STG_Woningetalage!$B$6:$B$505,$A89)))</f>
        <v/>
      </c>
      <c r="BJ89" s="117" t="str">
        <f>IF($A89="","",IF($K89=0,"n.b.",SUMIFS(STG_Woningetalage!$AG$6:$AG$505,STG_Woningetalage!$B$6:$B$505,$A89)))</f>
        <v/>
      </c>
      <c r="BK89" s="117" t="str">
        <f>IF($A89="","",IF($K89=0,"n.b.",SUMIFS(STG_Woningetalage!$AH$6:$AH$505,STG_Woningetalage!$B$6:$B$505,$A89)))</f>
        <v/>
      </c>
      <c r="BL89" s="117" t="str">
        <f>IF($A89="","",IF($K89=0,"n.b.",SUMIFS(STG_Woningetalage!$AI$6:$AI$505,STG_Woningetalage!$B$6:$B$505,$A89)))</f>
        <v/>
      </c>
      <c r="BM89" s="117" t="str">
        <f>IF($A89="","",IF($K89=0,"n.b.",SUMIFS(STG_Woningetalage!$AJ$6:$AJ$505,STG_Woningetalage!$B$6:$B$505,$A89)))</f>
        <v/>
      </c>
      <c r="BN89" s="117" t="str">
        <f>IF($A89="","",IF($K89=0,"n.b.",SUMIFS(STG_Woningetalage!$AK$6:$AK$505,STG_Woningetalage!$B$6:$B$505,$A89)))</f>
        <v/>
      </c>
      <c r="BO89" s="117" t="str">
        <f>IF($A89="","",IF($K89=0,"n.b.",SUMIFS(STG_Woningetalage!$AL$6:$AL$505,STG_Woningetalage!$B$6:$B$505,$A89)))</f>
        <v/>
      </c>
      <c r="BP89" s="117" t="str">
        <f>IF($A89="","",IF($K89=0,"n.b.",SUMIFS(STG_Woningetalage!$AM$6:$AM$505,STG_Woningetalage!$B$6:$B$505,$A89)))</f>
        <v/>
      </c>
      <c r="BQ89" s="117" t="str">
        <f>IF($A89="","",IF($K89=0,"n.b.",SUMIFS(STG_Woningetalage!$BE$6:$BE$505,STG_Woningetalage!$B$6:$B$505,$A89)))</f>
        <v/>
      </c>
      <c r="BR89" s="117" t="str">
        <f>IF($A89="","",IF($K89=0,"n.b.",SUMIFS(STG_Woningetalage!$BF$6:$BF$505,STG_Woningetalage!$B$6:$B$505,$A89)))</f>
        <v/>
      </c>
      <c r="BS89" s="117" t="str">
        <f>IF($A89="","",IF($K89=0,"n.b.",SUMIFS(STG_Woningetalage!$BG$6:$BG$505,STG_Woningetalage!$B$6:$B$505,$A89)))</f>
        <v/>
      </c>
      <c r="BT89" s="117" t="str">
        <f>IF($A89="","",IF($K89=0,"n.b.",SUMIFS(STG_Woningetalage!$BH$6:$BH$505,STG_Woningetalage!$B$6:$B$505,$A89)))</f>
        <v/>
      </c>
      <c r="BU89" s="117" t="str">
        <f>IF($A89="","",IF($K89=0,"n.b.",SUMIFS(STG_Woningetalage!$BI$6:$BI$505,STG_Woningetalage!$B$6:$B$505,$A89)))</f>
        <v/>
      </c>
      <c r="BV89" s="117" t="str">
        <f>IF($A89="","",IF($K89=0,"n.b.",SUMIFS(STG_Woningetalage!$BJ$6:$BJ$505,STG_Woningetalage!$B$6:$B$505,$A89)))</f>
        <v/>
      </c>
      <c r="BW89" s="117" t="str">
        <f>IF($A89="","",IF($K89=0,"n.b.",SUMIFS(STG_Woningetalage!$AR$6:$AR$505,STG_Woningetalage!$B$6:$B$505,$A89)))</f>
        <v/>
      </c>
      <c r="BX89" s="117" t="str">
        <f>IF($A89="","",IF($K89=0,"n.b.",SUMIFS(STG_Woningetalage!$AS$6:$AS$505,STG_Woningetalage!$B$6:$B$505,$A89)))</f>
        <v/>
      </c>
      <c r="BY89" s="117" t="str">
        <f>IF($A89="","",IF($K89=0,"n.b.",SUMIFS(STG_Woningetalage!$AN$6:$AN$505,STG_Woningetalage!$B$6:$B$505,$A89)))</f>
        <v/>
      </c>
      <c r="BZ89" s="117" t="str">
        <f>IF($A89="","",IF($K89=0,"n.b.",SUMIFS(STG_Woningetalage!$AO$6:$AO$505,STG_Woningetalage!$B$6:$B$505,$A89)))</f>
        <v/>
      </c>
      <c r="CA89" s="117" t="str">
        <f>IF($A89="","",IF($K89=0,"n.b.",SUMIFS(STG_Woningetalage!$AP$6:$AP$505,STG_Woningetalage!$B$6:$B$505,$A89)))</f>
        <v/>
      </c>
      <c r="CB89" s="117" t="str">
        <f>IF($A89="","",IF($K89=0,"n.b.",SUMIFS(STG_Woningetalage!$AQ$6:$AQ$505,STG_Woningetalage!$B$6:$B$505,$A89)))</f>
        <v/>
      </c>
      <c r="CC89" s="117" t="str">
        <f>IF($A89="","",IF($K89=0,"n.b.",SUMIFS(STG_Woningetalage!$AU$6:$AU$505,STG_Woningetalage!$B$6:$B$505,$A89)))</f>
        <v/>
      </c>
      <c r="CD89" s="92" t="str">
        <f>IF($A89="","",IFERROR(INDEX(STG_ZPMW03!$L$6:$L$505,MATCH($A89,STG_ZPMW03!$B$6:$B$505,0)),"n.b."))</f>
        <v/>
      </c>
      <c r="CE89" s="92" t="str">
        <f>IF($A89="","",IFERROR(INDEX(STG_ZPMW03!$K$6:$K$505,MATCH($A89,STG_ZPMW03!$B$6:$B$505,0)),"n.b."))</f>
        <v/>
      </c>
      <c r="CF89" s="92" t="str">
        <f>IF($A89="","",IFERROR(INDEX(STG_ZPMW03!$BH$6:$BH$505,MATCH($A89,STG_ZPMW03!$B$6:$B$505,0)),"n.b."))</f>
        <v/>
      </c>
      <c r="CG89" s="92" t="str">
        <f>IF($A89="","",IFERROR(INDEX(STG_ZPMW03!$BI$6:$BI$505,MATCH($A89,STG_ZPMW03!$B$6:$B$505,0)),"n.b."))</f>
        <v/>
      </c>
      <c r="CH89" s="92" t="str">
        <f>IF($A89="","",IFERROR(INDEX(STG_ZPMW03!$BJ$6:$BJ$505,MATCH($A89,STG_ZPMW03!$B$6:$B$505,0)),"n.b."))</f>
        <v/>
      </c>
      <c r="CI89" s="92" t="str">
        <f>IF($A89="","",IFERROR(INDEX(STG_ZPMW03!$BF$6:$BF$505,MATCH($A89,STG_ZPMW03!$B$6:$B$505,0)),"n.b."))</f>
        <v/>
      </c>
      <c r="CJ89" s="92" t="str">
        <f>IF($A89="","",IFERROR(INDEX(STG_ZPMW03!$BG$6:$BG$505,MATCH($A89,STG_ZPMW03!$B$6:$B$505,0)),"n.b."))</f>
        <v/>
      </c>
      <c r="CK89" s="92" t="str">
        <f>IF($A89="","",IFERROR(INDEX(STG_ZPMW03!$H$6:$H$505,MATCH($A89,STG_ZPMW03!$B$6:$B$505,0)),"n.b."))</f>
        <v/>
      </c>
      <c r="CL89" s="92" t="str">
        <f>IF($A89="","",IFERROR(INDEX(STG_ZPMW03!$E$6:$E$505,MATCH($A89,STG_ZPMW03!$B$6:$B$505,0)),"n.b."))</f>
        <v/>
      </c>
      <c r="CM89" s="92" t="str">
        <f>IF($A89="","",IFERROR(INDEX(STG_ZPMW03!$G$6:$G$505,MATCH($A89,STG_ZPMW03!$B$6:$B$505,0)),"n.b."))</f>
        <v/>
      </c>
      <c r="CN89" s="92" t="str">
        <f>IF($A89="","",IFERROR(INDEX(STG_Woningetalage!$N$6:$N$505,MATCH($A89,STG_Woningetalage!$B$6:$B$505,0)),"n.b."))</f>
        <v/>
      </c>
      <c r="CO89" s="92" t="str">
        <f>IF($A89="","",IFERROR(INDEX(STG_Woningetalage!$P$6:$P$505,MATCH($A89,STG_Woningetalage!$B$6:$B$505,0)),"n.b."))</f>
        <v/>
      </c>
      <c r="CP89" s="118" t="str">
        <f>IF($A89="","",IF(AND(ISNUMBER(AT89),ISNUMBER(F89)),IF(F89&gt;0,AT89/(F89/100),"n.b."),"n.b."))</f>
        <v/>
      </c>
      <c r="CQ89" s="116" t="str">
        <f>IF($A89="","",IF(ISNUMBER(Q89),IF(Q89&lt;0,1,0),0))</f>
        <v/>
      </c>
      <c r="CR89" s="116" t="str">
        <f>IF(CQ89=1,COUNTIF($CQ$6:CQ89,1),"")</f>
        <v/>
      </c>
      <c r="CS89" s="116" t="str">
        <f>IF(AND($A89&lt;&gt;"",$J89=0),COUNTIFS($A$6:$A89,"?*",$J$6:$J89,0),"")</f>
        <v/>
      </c>
      <c r="CT89" s="119" t="str">
        <f>IF($A89="","",IF(AND(ISNUMBER(Q89),ISNUMBER(P89)),IF(P89&lt;&gt;0,Q89/P89,"n.b."),"n.b."))</f>
        <v/>
      </c>
    </row>
    <row r="90">
      <c r="A90" s="92" t="str">
        <f>IF(Mapping!$A89="","",Mapping!$A89)</f>
        <v/>
      </c>
      <c r="B90" s="92" t="str">
        <f>IF(Mapping!$B89="","",Mapping!$B89)</f>
        <v/>
      </c>
      <c r="C90" s="92" t="str">
        <f>IF(Mapping!$C89="","",Mapping!$C89)</f>
        <v/>
      </c>
      <c r="D90" s="92" t="str">
        <f>IF(Mapping!$F89="","",Mapping!$F89)</f>
        <v/>
      </c>
      <c r="E90" s="92" t="str">
        <f>IF(Mapping!$H89="","",Mapping!$H89)</f>
        <v/>
      </c>
      <c r="F90" s="92" t="str">
        <f>IF(Mapping!$E89="","",Mapping!$E89)</f>
        <v/>
      </c>
      <c r="G90" s="92" t="str">
        <f>IF(Mapping!$G89="","",Mapping!$G89)</f>
        <v/>
      </c>
      <c r="H90" s="92" t="str">
        <f>IF(Mapping!$D89="","",Mapping!$D89)</f>
        <v/>
      </c>
      <c r="I90" s="92" t="str">
        <f>IF($A90="","",IFERROR(INDEX(STG_ZPMW03!$C$6:$C$505,MATCH($A90,STG_ZPMW03!$B$6:$B$505,0)),"n.b."))</f>
        <v/>
      </c>
      <c r="J90" s="116" t="str">
        <f>IF($A90="","",COUNTIF(STG_ZPMW03!$B$6:$B$505,$A90))</f>
        <v/>
      </c>
      <c r="K90" s="116" t="str">
        <f>IF($A90="","",COUNTIF(STG_Woningetalage!$B$6:$B$505,$A90))</f>
        <v/>
      </c>
      <c r="L90" s="117" t="str">
        <f>IF($A90="","",IF($J90=0,"n.b.",SUMIFS(STG_ZPMW03!$BK$6:$BK$505,STG_ZPMW03!$B$6:$B$505,$A90)))</f>
        <v/>
      </c>
      <c r="M90" s="117" t="str">
        <f>IF($A90="","",IF($J90=0,"n.b.",SUMIFS(STG_ZPMW03!$BL$6:$BL$505,STG_ZPMW03!$B$6:$B$505,$A90)))</f>
        <v/>
      </c>
      <c r="N90" s="117" t="str">
        <f>IF($A90="","",IF($J90=0,"n.b.",SUMIFS(STG_ZPMW03!$BM$6:$BM$505,STG_ZPMW03!$B$6:$B$505,$A90)))</f>
        <v/>
      </c>
      <c r="O90" s="117" t="str">
        <f>IF($A90="","",IF($J90=0,"n.b.",SUMIFS(STG_ZPMW03!$BN$6:$BN$505,STG_ZPMW03!$B$6:$B$505,$A90)))</f>
        <v/>
      </c>
      <c r="P90" s="117" t="str">
        <f>IF($A90="","",IF($J90=0,"n.b.",SUMIFS(STG_ZPMW03!$BO$6:$BO$505,STG_ZPMW03!$B$6:$B$505,$A90)))</f>
        <v/>
      </c>
      <c r="Q90" s="117" t="str">
        <f>IF($A90="","",IF($J90=0,"n.b.",SUMIFS(STG_ZPMW03!$BP$6:$BP$505,STG_ZPMW03!$B$6:$B$505,$A90)))</f>
        <v/>
      </c>
      <c r="R90" s="117" t="str">
        <f>IF($A90="","",IF($J90=0,"n.b.",SUMIFS(STG_ZPMW03!$BQ$6:$BQ$505,STG_ZPMW03!$B$6:$B$505,$A90)))</f>
        <v/>
      </c>
      <c r="S90" s="117" t="str">
        <f>IF($A90="","",IF($J90=0,"n.b.",SUMIFS(STG_ZPMW03!$BR$6:$BR$505,STG_ZPMW03!$B$6:$B$505,$A90)))</f>
        <v/>
      </c>
      <c r="T90" s="117" t="str">
        <f>IF($A90="","",IF($J90=0,"n.b.",SUMIFS(STG_ZPMW03!$BS$6:$BS$505,STG_ZPMW03!$B$6:$B$505,$A90)))</f>
        <v/>
      </c>
      <c r="U90" s="117" t="str">
        <f>IF($A90="","",IF($J90=0,"n.b.",SUMIFS(STG_ZPMW03!$BT$6:$BT$505,STG_ZPMW03!$B$6:$B$505,$A90)))</f>
        <v/>
      </c>
      <c r="V90" s="117" t="str">
        <f>IF($A90="","",IF($J90=0,"n.b.",SUMIFS(STG_ZPMW03!$BU$6:$BU$505,STG_ZPMW03!$B$6:$B$505,$A90)))</f>
        <v/>
      </c>
      <c r="W90" s="117" t="str">
        <f>IF($A90="","",IF($J90=0,"n.b.",SUMIFS(STG_ZPMW03!$BW$6:$BW$505,STG_ZPMW03!$B$6:$B$505,$A90)))</f>
        <v/>
      </c>
      <c r="X90" s="117" t="str">
        <f>IF($A90="","",IF($J90=0,"n.b.",SUMIFS(STG_ZPMW03!$BY$6:$BY$505,STG_ZPMW03!$B$6:$B$505,$A90)))</f>
        <v/>
      </c>
      <c r="Y90" s="117" t="str">
        <f>IF($A90="","",IF($J90=0,"n.b.",SUMIFS(STG_ZPMW03!$CA$6:$CA$505,STG_ZPMW03!$B$6:$B$505,$A90)))</f>
        <v/>
      </c>
      <c r="Z90" s="117" t="str">
        <f>IF($A90="","",IF($J90=0,"n.b.",SUMIFS(STG_ZPMW03!$BV$6:$BV$505,STG_ZPMW03!$B$6:$B$505,$A90)))</f>
        <v/>
      </c>
      <c r="AA90" s="117" t="str">
        <f>IF($A90="","",IF($J90=0,"n.b.",SUMIFS(STG_ZPMW03!$BX$6:$BX$505,STG_ZPMW03!$B$6:$B$505,$A90)))</f>
        <v/>
      </c>
      <c r="AB90" s="117" t="str">
        <f>IF($A90="","",IF($J90=0,"n.b.",SUMIFS(STG_ZPMW03!$BZ$6:$BZ$505,STG_ZPMW03!$B$6:$B$505,$A90)))</f>
        <v/>
      </c>
      <c r="AC90" s="117" t="str">
        <f>IF($A90="","",IF($J90=0,"n.b.",SUMIFS(STG_ZPMW03!$CB$6:$CB$505,STG_ZPMW03!$B$6:$B$505,$A90)))</f>
        <v/>
      </c>
      <c r="AD90" s="117" t="str">
        <f>IF($A90="","",IF($J90=0,"n.b.",SUMIFS(STG_ZPMW03!$CC$6:$CC$505,STG_ZPMW03!$B$6:$B$505,$A90)))</f>
        <v/>
      </c>
      <c r="AE90" s="117" t="str">
        <f>IF($A90="","",IF($J90=0,"n.b.",SUMIFS(STG_ZPMW03!$CE$6:$CE$505,STG_ZPMW03!$B$6:$B$505,$A90)))</f>
        <v/>
      </c>
      <c r="AF90" s="117" t="str">
        <f>IF($A90="","",IF($J90=0,"n.b.",SUMIFS(STG_ZPMW03!$CG$6:$CG$505,STG_ZPMW03!$B$6:$B$505,$A90)))</f>
        <v/>
      </c>
      <c r="AG90" s="117" t="str">
        <f>IF($A90="","",IF($J90=0,"n.b.",SUMIFS(STG_ZPMW03!$CI$6:$CI$505,STG_ZPMW03!$B$6:$B$505,$A90)))</f>
        <v/>
      </c>
      <c r="AH90" s="117" t="str">
        <f>IF($A90="","",IF($J90=0,"n.b.",SUMIFS(STG_ZPMW03!$CK$6:$CK$505,STG_ZPMW03!$B$6:$B$505,$A90)))</f>
        <v/>
      </c>
      <c r="AI90" s="117" t="str">
        <f>IF($A90="","",IF($J90=0,"n.b.",SUMIFS(STG_ZPMW03!$CM$6:$CM$505,STG_ZPMW03!$B$6:$B$505,$A90)))</f>
        <v/>
      </c>
      <c r="AJ90" s="117" t="str">
        <f>IF($A90="","",IF($J90=0,"n.b.",SUMIFS(STG_ZPMW03!$CO$6:$CO$505,STG_ZPMW03!$B$6:$B$505,$A90)))</f>
        <v/>
      </c>
      <c r="AK90" s="117" t="str">
        <f>IF($A90="","",IF($J90=0,"n.b.",SUMIFS(STG_ZPMW03!$CQ$6:$CQ$505,STG_ZPMW03!$B$6:$B$505,$A90)))</f>
        <v/>
      </c>
      <c r="AL90" s="117" t="str">
        <f>IF($A90="","",IF($J90=0,"n.b.",SUMIFS(STG_ZPMW03!$CD$6:$CD$505,STG_ZPMW03!$B$6:$B$505,$A90)))</f>
        <v/>
      </c>
      <c r="AM90" s="117" t="str">
        <f>IF($A90="","",IF($J90=0,"n.b.",SUMIFS(STG_ZPMW03!$CF$6:$CF$505,STG_ZPMW03!$B$6:$B$505,$A90)))</f>
        <v/>
      </c>
      <c r="AN90" s="117" t="str">
        <f>IF($A90="","",IF($J90=0,"n.b.",SUMIFS(STG_ZPMW03!$CH$6:$CH$505,STG_ZPMW03!$B$6:$B$505,$A90)))</f>
        <v/>
      </c>
      <c r="AO90" s="117" t="str">
        <f>IF($A90="","",IF($J90=0,"n.b.",SUMIFS(STG_ZPMW03!$CJ$6:$CJ$505,STG_ZPMW03!$B$6:$B$505,$A90)))</f>
        <v/>
      </c>
      <c r="AP90" s="117" t="str">
        <f>IF($A90="","",IF($J90=0,"n.b.",SUMIFS(STG_ZPMW03!$CL$6:$CL$505,STG_ZPMW03!$B$6:$B$505,$A90)))</f>
        <v/>
      </c>
      <c r="AQ90" s="117" t="str">
        <f>IF($A90="","",IF($J90=0,"n.b.",SUMIFS(STG_ZPMW03!$CN$6:$CN$505,STG_ZPMW03!$B$6:$B$505,$A90)))</f>
        <v/>
      </c>
      <c r="AR90" s="117" t="str">
        <f>IF($A90="","",IF($J90=0,"n.b.",SUMIFS(STG_ZPMW03!$CP$6:$CP$505,STG_ZPMW03!$B$6:$B$505,$A90)))</f>
        <v/>
      </c>
      <c r="AS90" s="117" t="str">
        <f>IF($A90="","",IF($J90=0,"n.b.",SUMIFS(STG_ZPMW03!$CR$6:$CR$505,STG_ZPMW03!$B$6:$B$505,$A90)))</f>
        <v/>
      </c>
      <c r="AT90" s="117" t="str">
        <f>IF($A90="","",IF($K90=0,"n.b.",SUMIFS(STG_Woningetalage!$Q$6:$Q$505,STG_Woningetalage!$B$6:$B$505,$A90)))</f>
        <v/>
      </c>
      <c r="AU90" s="117" t="str">
        <f>IF($A90="","",IF($K90=0,"n.b.",SUMIFS(STG_Woningetalage!$R$6:$R$505,STG_Woningetalage!$B$6:$B$505,$A90)))</f>
        <v/>
      </c>
      <c r="AV90" s="117" t="str">
        <f>IF($A90="","",IF($K90=0,"n.b.",SUMIFS(STG_Woningetalage!$S$6:$S$505,STG_Woningetalage!$B$6:$B$505,$A90)))</f>
        <v/>
      </c>
      <c r="AW90" s="117" t="str">
        <f>IF($A90="","",IF($K90=0,"n.b.",SUMIFS(STG_Woningetalage!$T$6:$T$505,STG_Woningetalage!$B$6:$B$505,$A90)))</f>
        <v/>
      </c>
      <c r="AX90" s="117" t="str">
        <f>IF($A90="","",IF($K90=0,"n.b.",SUMIFS(STG_Woningetalage!$U$6:$U$505,STG_Woningetalage!$B$6:$B$505,$A90)))</f>
        <v/>
      </c>
      <c r="AY90" s="117" t="str">
        <f>IF($A90="","",IF($K90=0,"n.b.",SUMIFS(STG_Woningetalage!$V$6:$V$505,STG_Woningetalage!$B$6:$B$505,$A90)))</f>
        <v/>
      </c>
      <c r="AZ90" s="117" t="str">
        <f>IF($A90="","",IF($K90=0,"n.b.",SUMIFS(STG_Woningetalage!$W$6:$W$505,STG_Woningetalage!$B$6:$B$505,$A90)))</f>
        <v/>
      </c>
      <c r="BA90" s="117" t="str">
        <f>IF($A90="","",IF($K90=0,"n.b.",SUMIFS(STG_Woningetalage!$X$6:$X$505,STG_Woningetalage!$B$6:$B$505,$A90)))</f>
        <v/>
      </c>
      <c r="BB90" s="117" t="str">
        <f>IF($A90="","",IF($K90=0,"n.b.",SUMIFS(STG_Woningetalage!$Y$6:$Y$505,STG_Woningetalage!$B$6:$B$505,$A90)))</f>
        <v/>
      </c>
      <c r="BC90" s="117" t="str">
        <f>IF($A90="","",IF($K90=0,"n.b.",SUMIFS(STG_Woningetalage!$Z$6:$Z$505,STG_Woningetalage!$B$6:$B$505,$A90)))</f>
        <v/>
      </c>
      <c r="BD90" s="117" t="str">
        <f>IF($A90="","",IF($K90=0,"n.b.",SUMIFS(STG_Woningetalage!$AA$6:$AA$505,STG_Woningetalage!$B$6:$B$505,$A90)))</f>
        <v/>
      </c>
      <c r="BE90" s="117" t="str">
        <f>IF($A90="","",IF($K90=0,"n.b.",SUMIFS(STG_Woningetalage!$AB$6:$AB$505,STG_Woningetalage!$B$6:$B$505,$A90)))</f>
        <v/>
      </c>
      <c r="BF90" s="117" t="str">
        <f>IF($A90="","",IF($K90=0,"n.b.",SUMIFS(STG_Woningetalage!$AC$6:$AC$505,STG_Woningetalage!$B$6:$B$505,$A90)))</f>
        <v/>
      </c>
      <c r="BG90" s="117" t="str">
        <f>IF($A90="","",IF($K90=0,"n.b.",SUMIFS(STG_Woningetalage!$AD$6:$AD$505,STG_Woningetalage!$B$6:$B$505,$A90)))</f>
        <v/>
      </c>
      <c r="BH90" s="117" t="str">
        <f>IF($A90="","",IF($K90=0,"n.b.",SUMIFS(STG_Woningetalage!$AE$6:$AE$505,STG_Woningetalage!$B$6:$B$505,$A90)))</f>
        <v/>
      </c>
      <c r="BI90" s="117" t="str">
        <f>IF($A90="","",IF($K90=0,"n.b.",SUMIFS(STG_Woningetalage!$AF$6:$AF$505,STG_Woningetalage!$B$6:$B$505,$A90)))</f>
        <v/>
      </c>
      <c r="BJ90" s="117" t="str">
        <f>IF($A90="","",IF($K90=0,"n.b.",SUMIFS(STG_Woningetalage!$AG$6:$AG$505,STG_Woningetalage!$B$6:$B$505,$A90)))</f>
        <v/>
      </c>
      <c r="BK90" s="117" t="str">
        <f>IF($A90="","",IF($K90=0,"n.b.",SUMIFS(STG_Woningetalage!$AH$6:$AH$505,STG_Woningetalage!$B$6:$B$505,$A90)))</f>
        <v/>
      </c>
      <c r="BL90" s="117" t="str">
        <f>IF($A90="","",IF($K90=0,"n.b.",SUMIFS(STG_Woningetalage!$AI$6:$AI$505,STG_Woningetalage!$B$6:$B$505,$A90)))</f>
        <v/>
      </c>
      <c r="BM90" s="117" t="str">
        <f>IF($A90="","",IF($K90=0,"n.b.",SUMIFS(STG_Woningetalage!$AJ$6:$AJ$505,STG_Woningetalage!$B$6:$B$505,$A90)))</f>
        <v/>
      </c>
      <c r="BN90" s="117" t="str">
        <f>IF($A90="","",IF($K90=0,"n.b.",SUMIFS(STG_Woningetalage!$AK$6:$AK$505,STG_Woningetalage!$B$6:$B$505,$A90)))</f>
        <v/>
      </c>
      <c r="BO90" s="117" t="str">
        <f>IF($A90="","",IF($K90=0,"n.b.",SUMIFS(STG_Woningetalage!$AL$6:$AL$505,STG_Woningetalage!$B$6:$B$505,$A90)))</f>
        <v/>
      </c>
      <c r="BP90" s="117" t="str">
        <f>IF($A90="","",IF($K90=0,"n.b.",SUMIFS(STG_Woningetalage!$AM$6:$AM$505,STG_Woningetalage!$B$6:$B$505,$A90)))</f>
        <v/>
      </c>
      <c r="BQ90" s="117" t="str">
        <f>IF($A90="","",IF($K90=0,"n.b.",SUMIFS(STG_Woningetalage!$BE$6:$BE$505,STG_Woningetalage!$B$6:$B$505,$A90)))</f>
        <v/>
      </c>
      <c r="BR90" s="117" t="str">
        <f>IF($A90="","",IF($K90=0,"n.b.",SUMIFS(STG_Woningetalage!$BF$6:$BF$505,STG_Woningetalage!$B$6:$B$505,$A90)))</f>
        <v/>
      </c>
      <c r="BS90" s="117" t="str">
        <f>IF($A90="","",IF($K90=0,"n.b.",SUMIFS(STG_Woningetalage!$BG$6:$BG$505,STG_Woningetalage!$B$6:$B$505,$A90)))</f>
        <v/>
      </c>
      <c r="BT90" s="117" t="str">
        <f>IF($A90="","",IF($K90=0,"n.b.",SUMIFS(STG_Woningetalage!$BH$6:$BH$505,STG_Woningetalage!$B$6:$B$505,$A90)))</f>
        <v/>
      </c>
      <c r="BU90" s="117" t="str">
        <f>IF($A90="","",IF($K90=0,"n.b.",SUMIFS(STG_Woningetalage!$BI$6:$BI$505,STG_Woningetalage!$B$6:$B$505,$A90)))</f>
        <v/>
      </c>
      <c r="BV90" s="117" t="str">
        <f>IF($A90="","",IF($K90=0,"n.b.",SUMIFS(STG_Woningetalage!$BJ$6:$BJ$505,STG_Woningetalage!$B$6:$B$505,$A90)))</f>
        <v/>
      </c>
      <c r="BW90" s="117" t="str">
        <f>IF($A90="","",IF($K90=0,"n.b.",SUMIFS(STG_Woningetalage!$AR$6:$AR$505,STG_Woningetalage!$B$6:$B$505,$A90)))</f>
        <v/>
      </c>
      <c r="BX90" s="117" t="str">
        <f>IF($A90="","",IF($K90=0,"n.b.",SUMIFS(STG_Woningetalage!$AS$6:$AS$505,STG_Woningetalage!$B$6:$B$505,$A90)))</f>
        <v/>
      </c>
      <c r="BY90" s="117" t="str">
        <f>IF($A90="","",IF($K90=0,"n.b.",SUMIFS(STG_Woningetalage!$AN$6:$AN$505,STG_Woningetalage!$B$6:$B$505,$A90)))</f>
        <v/>
      </c>
      <c r="BZ90" s="117" t="str">
        <f>IF($A90="","",IF($K90=0,"n.b.",SUMIFS(STG_Woningetalage!$AO$6:$AO$505,STG_Woningetalage!$B$6:$B$505,$A90)))</f>
        <v/>
      </c>
      <c r="CA90" s="117" t="str">
        <f>IF($A90="","",IF($K90=0,"n.b.",SUMIFS(STG_Woningetalage!$AP$6:$AP$505,STG_Woningetalage!$B$6:$B$505,$A90)))</f>
        <v/>
      </c>
      <c r="CB90" s="117" t="str">
        <f>IF($A90="","",IF($K90=0,"n.b.",SUMIFS(STG_Woningetalage!$AQ$6:$AQ$505,STG_Woningetalage!$B$6:$B$505,$A90)))</f>
        <v/>
      </c>
      <c r="CC90" s="117" t="str">
        <f>IF($A90="","",IF($K90=0,"n.b.",SUMIFS(STG_Woningetalage!$AU$6:$AU$505,STG_Woningetalage!$B$6:$B$505,$A90)))</f>
        <v/>
      </c>
      <c r="CD90" s="92" t="str">
        <f>IF($A90="","",IFERROR(INDEX(STG_ZPMW03!$L$6:$L$505,MATCH($A90,STG_ZPMW03!$B$6:$B$505,0)),"n.b."))</f>
        <v/>
      </c>
      <c r="CE90" s="92" t="str">
        <f>IF($A90="","",IFERROR(INDEX(STG_ZPMW03!$K$6:$K$505,MATCH($A90,STG_ZPMW03!$B$6:$B$505,0)),"n.b."))</f>
        <v/>
      </c>
      <c r="CF90" s="92" t="str">
        <f>IF($A90="","",IFERROR(INDEX(STG_ZPMW03!$BH$6:$BH$505,MATCH($A90,STG_ZPMW03!$B$6:$B$505,0)),"n.b."))</f>
        <v/>
      </c>
      <c r="CG90" s="92" t="str">
        <f>IF($A90="","",IFERROR(INDEX(STG_ZPMW03!$BI$6:$BI$505,MATCH($A90,STG_ZPMW03!$B$6:$B$505,0)),"n.b."))</f>
        <v/>
      </c>
      <c r="CH90" s="92" t="str">
        <f>IF($A90="","",IFERROR(INDEX(STG_ZPMW03!$BJ$6:$BJ$505,MATCH($A90,STG_ZPMW03!$B$6:$B$505,0)),"n.b."))</f>
        <v/>
      </c>
      <c r="CI90" s="92" t="str">
        <f>IF($A90="","",IFERROR(INDEX(STG_ZPMW03!$BF$6:$BF$505,MATCH($A90,STG_ZPMW03!$B$6:$B$505,0)),"n.b."))</f>
        <v/>
      </c>
      <c r="CJ90" s="92" t="str">
        <f>IF($A90="","",IFERROR(INDEX(STG_ZPMW03!$BG$6:$BG$505,MATCH($A90,STG_ZPMW03!$B$6:$B$505,0)),"n.b."))</f>
        <v/>
      </c>
      <c r="CK90" s="92" t="str">
        <f>IF($A90="","",IFERROR(INDEX(STG_ZPMW03!$H$6:$H$505,MATCH($A90,STG_ZPMW03!$B$6:$B$505,0)),"n.b."))</f>
        <v/>
      </c>
      <c r="CL90" s="92" t="str">
        <f>IF($A90="","",IFERROR(INDEX(STG_ZPMW03!$E$6:$E$505,MATCH($A90,STG_ZPMW03!$B$6:$B$505,0)),"n.b."))</f>
        <v/>
      </c>
      <c r="CM90" s="92" t="str">
        <f>IF($A90="","",IFERROR(INDEX(STG_ZPMW03!$G$6:$G$505,MATCH($A90,STG_ZPMW03!$B$6:$B$505,0)),"n.b."))</f>
        <v/>
      </c>
      <c r="CN90" s="92" t="str">
        <f>IF($A90="","",IFERROR(INDEX(STG_Woningetalage!$N$6:$N$505,MATCH($A90,STG_Woningetalage!$B$6:$B$505,0)),"n.b."))</f>
        <v/>
      </c>
      <c r="CO90" s="92" t="str">
        <f>IF($A90="","",IFERROR(INDEX(STG_Woningetalage!$P$6:$P$505,MATCH($A90,STG_Woningetalage!$B$6:$B$505,0)),"n.b."))</f>
        <v/>
      </c>
      <c r="CP90" s="118" t="str">
        <f>IF($A90="","",IF(AND(ISNUMBER(AT90),ISNUMBER(F90)),IF(F90&gt;0,AT90/(F90/100),"n.b."),"n.b."))</f>
        <v/>
      </c>
      <c r="CQ90" s="116" t="str">
        <f>IF($A90="","",IF(ISNUMBER(Q90),IF(Q90&lt;0,1,0),0))</f>
        <v/>
      </c>
      <c r="CR90" s="116" t="str">
        <f>IF(CQ90=1,COUNTIF($CQ$6:CQ90,1),"")</f>
        <v/>
      </c>
      <c r="CS90" s="116" t="str">
        <f>IF(AND($A90&lt;&gt;"",$J90=0),COUNTIFS($A$6:$A90,"?*",$J$6:$J90,0),"")</f>
        <v/>
      </c>
      <c r="CT90" s="119" t="str">
        <f>IF($A90="","",IF(AND(ISNUMBER(Q90),ISNUMBER(P90)),IF(P90&lt;&gt;0,Q90/P90,"n.b."),"n.b."))</f>
        <v/>
      </c>
    </row>
    <row r="91">
      <c r="A91" s="92" t="str">
        <f>IF(Mapping!$A90="","",Mapping!$A90)</f>
        <v/>
      </c>
      <c r="B91" s="92" t="str">
        <f>IF(Mapping!$B90="","",Mapping!$B90)</f>
        <v/>
      </c>
      <c r="C91" s="92" t="str">
        <f>IF(Mapping!$C90="","",Mapping!$C90)</f>
        <v/>
      </c>
      <c r="D91" s="92" t="str">
        <f>IF(Mapping!$F90="","",Mapping!$F90)</f>
        <v/>
      </c>
      <c r="E91" s="92" t="str">
        <f>IF(Mapping!$H90="","",Mapping!$H90)</f>
        <v/>
      </c>
      <c r="F91" s="92" t="str">
        <f>IF(Mapping!$E90="","",Mapping!$E90)</f>
        <v/>
      </c>
      <c r="G91" s="92" t="str">
        <f>IF(Mapping!$G90="","",Mapping!$G90)</f>
        <v/>
      </c>
      <c r="H91" s="92" t="str">
        <f>IF(Mapping!$D90="","",Mapping!$D90)</f>
        <v/>
      </c>
      <c r="I91" s="92" t="str">
        <f>IF($A91="","",IFERROR(INDEX(STG_ZPMW03!$C$6:$C$505,MATCH($A91,STG_ZPMW03!$B$6:$B$505,0)),"n.b."))</f>
        <v/>
      </c>
      <c r="J91" s="116" t="str">
        <f>IF($A91="","",COUNTIF(STG_ZPMW03!$B$6:$B$505,$A91))</f>
        <v/>
      </c>
      <c r="K91" s="116" t="str">
        <f>IF($A91="","",COUNTIF(STG_Woningetalage!$B$6:$B$505,$A91))</f>
        <v/>
      </c>
      <c r="L91" s="117" t="str">
        <f>IF($A91="","",IF($J91=0,"n.b.",SUMIFS(STG_ZPMW03!$BK$6:$BK$505,STG_ZPMW03!$B$6:$B$505,$A91)))</f>
        <v/>
      </c>
      <c r="M91" s="117" t="str">
        <f>IF($A91="","",IF($J91=0,"n.b.",SUMIFS(STG_ZPMW03!$BL$6:$BL$505,STG_ZPMW03!$B$6:$B$505,$A91)))</f>
        <v/>
      </c>
      <c r="N91" s="117" t="str">
        <f>IF($A91="","",IF($J91=0,"n.b.",SUMIFS(STG_ZPMW03!$BM$6:$BM$505,STG_ZPMW03!$B$6:$B$505,$A91)))</f>
        <v/>
      </c>
      <c r="O91" s="117" t="str">
        <f>IF($A91="","",IF($J91=0,"n.b.",SUMIFS(STG_ZPMW03!$BN$6:$BN$505,STG_ZPMW03!$B$6:$B$505,$A91)))</f>
        <v/>
      </c>
      <c r="P91" s="117" t="str">
        <f>IF($A91="","",IF($J91=0,"n.b.",SUMIFS(STG_ZPMW03!$BO$6:$BO$505,STG_ZPMW03!$B$6:$B$505,$A91)))</f>
        <v/>
      </c>
      <c r="Q91" s="117" t="str">
        <f>IF($A91="","",IF($J91=0,"n.b.",SUMIFS(STG_ZPMW03!$BP$6:$BP$505,STG_ZPMW03!$B$6:$B$505,$A91)))</f>
        <v/>
      </c>
      <c r="R91" s="117" t="str">
        <f>IF($A91="","",IF($J91=0,"n.b.",SUMIFS(STG_ZPMW03!$BQ$6:$BQ$505,STG_ZPMW03!$B$6:$B$505,$A91)))</f>
        <v/>
      </c>
      <c r="S91" s="117" t="str">
        <f>IF($A91="","",IF($J91=0,"n.b.",SUMIFS(STG_ZPMW03!$BR$6:$BR$505,STG_ZPMW03!$B$6:$B$505,$A91)))</f>
        <v/>
      </c>
      <c r="T91" s="117" t="str">
        <f>IF($A91="","",IF($J91=0,"n.b.",SUMIFS(STG_ZPMW03!$BS$6:$BS$505,STG_ZPMW03!$B$6:$B$505,$A91)))</f>
        <v/>
      </c>
      <c r="U91" s="117" t="str">
        <f>IF($A91="","",IF($J91=0,"n.b.",SUMIFS(STG_ZPMW03!$BT$6:$BT$505,STG_ZPMW03!$B$6:$B$505,$A91)))</f>
        <v/>
      </c>
      <c r="V91" s="117" t="str">
        <f>IF($A91="","",IF($J91=0,"n.b.",SUMIFS(STG_ZPMW03!$BU$6:$BU$505,STG_ZPMW03!$B$6:$B$505,$A91)))</f>
        <v/>
      </c>
      <c r="W91" s="117" t="str">
        <f>IF($A91="","",IF($J91=0,"n.b.",SUMIFS(STG_ZPMW03!$BW$6:$BW$505,STG_ZPMW03!$B$6:$B$505,$A91)))</f>
        <v/>
      </c>
      <c r="X91" s="117" t="str">
        <f>IF($A91="","",IF($J91=0,"n.b.",SUMIFS(STG_ZPMW03!$BY$6:$BY$505,STG_ZPMW03!$B$6:$B$505,$A91)))</f>
        <v/>
      </c>
      <c r="Y91" s="117" t="str">
        <f>IF($A91="","",IF($J91=0,"n.b.",SUMIFS(STG_ZPMW03!$CA$6:$CA$505,STG_ZPMW03!$B$6:$B$505,$A91)))</f>
        <v/>
      </c>
      <c r="Z91" s="117" t="str">
        <f>IF($A91="","",IF($J91=0,"n.b.",SUMIFS(STG_ZPMW03!$BV$6:$BV$505,STG_ZPMW03!$B$6:$B$505,$A91)))</f>
        <v/>
      </c>
      <c r="AA91" s="117" t="str">
        <f>IF($A91="","",IF($J91=0,"n.b.",SUMIFS(STG_ZPMW03!$BX$6:$BX$505,STG_ZPMW03!$B$6:$B$505,$A91)))</f>
        <v/>
      </c>
      <c r="AB91" s="117" t="str">
        <f>IF($A91="","",IF($J91=0,"n.b.",SUMIFS(STG_ZPMW03!$BZ$6:$BZ$505,STG_ZPMW03!$B$6:$B$505,$A91)))</f>
        <v/>
      </c>
      <c r="AC91" s="117" t="str">
        <f>IF($A91="","",IF($J91=0,"n.b.",SUMIFS(STG_ZPMW03!$CB$6:$CB$505,STG_ZPMW03!$B$6:$B$505,$A91)))</f>
        <v/>
      </c>
      <c r="AD91" s="117" t="str">
        <f>IF($A91="","",IF($J91=0,"n.b.",SUMIFS(STG_ZPMW03!$CC$6:$CC$505,STG_ZPMW03!$B$6:$B$505,$A91)))</f>
        <v/>
      </c>
      <c r="AE91" s="117" t="str">
        <f>IF($A91="","",IF($J91=0,"n.b.",SUMIFS(STG_ZPMW03!$CE$6:$CE$505,STG_ZPMW03!$B$6:$B$505,$A91)))</f>
        <v/>
      </c>
      <c r="AF91" s="117" t="str">
        <f>IF($A91="","",IF($J91=0,"n.b.",SUMIFS(STG_ZPMW03!$CG$6:$CG$505,STG_ZPMW03!$B$6:$B$505,$A91)))</f>
        <v/>
      </c>
      <c r="AG91" s="117" t="str">
        <f>IF($A91="","",IF($J91=0,"n.b.",SUMIFS(STG_ZPMW03!$CI$6:$CI$505,STG_ZPMW03!$B$6:$B$505,$A91)))</f>
        <v/>
      </c>
      <c r="AH91" s="117" t="str">
        <f>IF($A91="","",IF($J91=0,"n.b.",SUMIFS(STG_ZPMW03!$CK$6:$CK$505,STG_ZPMW03!$B$6:$B$505,$A91)))</f>
        <v/>
      </c>
      <c r="AI91" s="117" t="str">
        <f>IF($A91="","",IF($J91=0,"n.b.",SUMIFS(STG_ZPMW03!$CM$6:$CM$505,STG_ZPMW03!$B$6:$B$505,$A91)))</f>
        <v/>
      </c>
      <c r="AJ91" s="117" t="str">
        <f>IF($A91="","",IF($J91=0,"n.b.",SUMIFS(STG_ZPMW03!$CO$6:$CO$505,STG_ZPMW03!$B$6:$B$505,$A91)))</f>
        <v/>
      </c>
      <c r="AK91" s="117" t="str">
        <f>IF($A91="","",IF($J91=0,"n.b.",SUMIFS(STG_ZPMW03!$CQ$6:$CQ$505,STG_ZPMW03!$B$6:$B$505,$A91)))</f>
        <v/>
      </c>
      <c r="AL91" s="117" t="str">
        <f>IF($A91="","",IF($J91=0,"n.b.",SUMIFS(STG_ZPMW03!$CD$6:$CD$505,STG_ZPMW03!$B$6:$B$505,$A91)))</f>
        <v/>
      </c>
      <c r="AM91" s="117" t="str">
        <f>IF($A91="","",IF($J91=0,"n.b.",SUMIFS(STG_ZPMW03!$CF$6:$CF$505,STG_ZPMW03!$B$6:$B$505,$A91)))</f>
        <v/>
      </c>
      <c r="AN91" s="117" t="str">
        <f>IF($A91="","",IF($J91=0,"n.b.",SUMIFS(STG_ZPMW03!$CH$6:$CH$505,STG_ZPMW03!$B$6:$B$505,$A91)))</f>
        <v/>
      </c>
      <c r="AO91" s="117" t="str">
        <f>IF($A91="","",IF($J91=0,"n.b.",SUMIFS(STG_ZPMW03!$CJ$6:$CJ$505,STG_ZPMW03!$B$6:$B$505,$A91)))</f>
        <v/>
      </c>
      <c r="AP91" s="117" t="str">
        <f>IF($A91="","",IF($J91=0,"n.b.",SUMIFS(STG_ZPMW03!$CL$6:$CL$505,STG_ZPMW03!$B$6:$B$505,$A91)))</f>
        <v/>
      </c>
      <c r="AQ91" s="117" t="str">
        <f>IF($A91="","",IF($J91=0,"n.b.",SUMIFS(STG_ZPMW03!$CN$6:$CN$505,STG_ZPMW03!$B$6:$B$505,$A91)))</f>
        <v/>
      </c>
      <c r="AR91" s="117" t="str">
        <f>IF($A91="","",IF($J91=0,"n.b.",SUMIFS(STG_ZPMW03!$CP$6:$CP$505,STG_ZPMW03!$B$6:$B$505,$A91)))</f>
        <v/>
      </c>
      <c r="AS91" s="117" t="str">
        <f>IF($A91="","",IF($J91=0,"n.b.",SUMIFS(STG_ZPMW03!$CR$6:$CR$505,STG_ZPMW03!$B$6:$B$505,$A91)))</f>
        <v/>
      </c>
      <c r="AT91" s="117" t="str">
        <f>IF($A91="","",IF($K91=0,"n.b.",SUMIFS(STG_Woningetalage!$Q$6:$Q$505,STG_Woningetalage!$B$6:$B$505,$A91)))</f>
        <v/>
      </c>
      <c r="AU91" s="117" t="str">
        <f>IF($A91="","",IF($K91=0,"n.b.",SUMIFS(STG_Woningetalage!$R$6:$R$505,STG_Woningetalage!$B$6:$B$505,$A91)))</f>
        <v/>
      </c>
      <c r="AV91" s="117" t="str">
        <f>IF($A91="","",IF($K91=0,"n.b.",SUMIFS(STG_Woningetalage!$S$6:$S$505,STG_Woningetalage!$B$6:$B$505,$A91)))</f>
        <v/>
      </c>
      <c r="AW91" s="117" t="str">
        <f>IF($A91="","",IF($K91=0,"n.b.",SUMIFS(STG_Woningetalage!$T$6:$T$505,STG_Woningetalage!$B$6:$B$505,$A91)))</f>
        <v/>
      </c>
      <c r="AX91" s="117" t="str">
        <f>IF($A91="","",IF($K91=0,"n.b.",SUMIFS(STG_Woningetalage!$U$6:$U$505,STG_Woningetalage!$B$6:$B$505,$A91)))</f>
        <v/>
      </c>
      <c r="AY91" s="117" t="str">
        <f>IF($A91="","",IF($K91=0,"n.b.",SUMIFS(STG_Woningetalage!$V$6:$V$505,STG_Woningetalage!$B$6:$B$505,$A91)))</f>
        <v/>
      </c>
      <c r="AZ91" s="117" t="str">
        <f>IF($A91="","",IF($K91=0,"n.b.",SUMIFS(STG_Woningetalage!$W$6:$W$505,STG_Woningetalage!$B$6:$B$505,$A91)))</f>
        <v/>
      </c>
      <c r="BA91" s="117" t="str">
        <f>IF($A91="","",IF($K91=0,"n.b.",SUMIFS(STG_Woningetalage!$X$6:$X$505,STG_Woningetalage!$B$6:$B$505,$A91)))</f>
        <v/>
      </c>
      <c r="BB91" s="117" t="str">
        <f>IF($A91="","",IF($K91=0,"n.b.",SUMIFS(STG_Woningetalage!$Y$6:$Y$505,STG_Woningetalage!$B$6:$B$505,$A91)))</f>
        <v/>
      </c>
      <c r="BC91" s="117" t="str">
        <f>IF($A91="","",IF($K91=0,"n.b.",SUMIFS(STG_Woningetalage!$Z$6:$Z$505,STG_Woningetalage!$B$6:$B$505,$A91)))</f>
        <v/>
      </c>
      <c r="BD91" s="117" t="str">
        <f>IF($A91="","",IF($K91=0,"n.b.",SUMIFS(STG_Woningetalage!$AA$6:$AA$505,STG_Woningetalage!$B$6:$B$505,$A91)))</f>
        <v/>
      </c>
      <c r="BE91" s="117" t="str">
        <f>IF($A91="","",IF($K91=0,"n.b.",SUMIFS(STG_Woningetalage!$AB$6:$AB$505,STG_Woningetalage!$B$6:$B$505,$A91)))</f>
        <v/>
      </c>
      <c r="BF91" s="117" t="str">
        <f>IF($A91="","",IF($K91=0,"n.b.",SUMIFS(STG_Woningetalage!$AC$6:$AC$505,STG_Woningetalage!$B$6:$B$505,$A91)))</f>
        <v/>
      </c>
      <c r="BG91" s="117" t="str">
        <f>IF($A91="","",IF($K91=0,"n.b.",SUMIFS(STG_Woningetalage!$AD$6:$AD$505,STG_Woningetalage!$B$6:$B$505,$A91)))</f>
        <v/>
      </c>
      <c r="BH91" s="117" t="str">
        <f>IF($A91="","",IF($K91=0,"n.b.",SUMIFS(STG_Woningetalage!$AE$6:$AE$505,STG_Woningetalage!$B$6:$B$505,$A91)))</f>
        <v/>
      </c>
      <c r="BI91" s="117" t="str">
        <f>IF($A91="","",IF($K91=0,"n.b.",SUMIFS(STG_Woningetalage!$AF$6:$AF$505,STG_Woningetalage!$B$6:$B$505,$A91)))</f>
        <v/>
      </c>
      <c r="BJ91" s="117" t="str">
        <f>IF($A91="","",IF($K91=0,"n.b.",SUMIFS(STG_Woningetalage!$AG$6:$AG$505,STG_Woningetalage!$B$6:$B$505,$A91)))</f>
        <v/>
      </c>
      <c r="BK91" s="117" t="str">
        <f>IF($A91="","",IF($K91=0,"n.b.",SUMIFS(STG_Woningetalage!$AH$6:$AH$505,STG_Woningetalage!$B$6:$B$505,$A91)))</f>
        <v/>
      </c>
      <c r="BL91" s="117" t="str">
        <f>IF($A91="","",IF($K91=0,"n.b.",SUMIFS(STG_Woningetalage!$AI$6:$AI$505,STG_Woningetalage!$B$6:$B$505,$A91)))</f>
        <v/>
      </c>
      <c r="BM91" s="117" t="str">
        <f>IF($A91="","",IF($K91=0,"n.b.",SUMIFS(STG_Woningetalage!$AJ$6:$AJ$505,STG_Woningetalage!$B$6:$B$505,$A91)))</f>
        <v/>
      </c>
      <c r="BN91" s="117" t="str">
        <f>IF($A91="","",IF($K91=0,"n.b.",SUMIFS(STG_Woningetalage!$AK$6:$AK$505,STG_Woningetalage!$B$6:$B$505,$A91)))</f>
        <v/>
      </c>
      <c r="BO91" s="117" t="str">
        <f>IF($A91="","",IF($K91=0,"n.b.",SUMIFS(STG_Woningetalage!$AL$6:$AL$505,STG_Woningetalage!$B$6:$B$505,$A91)))</f>
        <v/>
      </c>
      <c r="BP91" s="117" t="str">
        <f>IF($A91="","",IF($K91=0,"n.b.",SUMIFS(STG_Woningetalage!$AM$6:$AM$505,STG_Woningetalage!$B$6:$B$505,$A91)))</f>
        <v/>
      </c>
      <c r="BQ91" s="117" t="str">
        <f>IF($A91="","",IF($K91=0,"n.b.",SUMIFS(STG_Woningetalage!$BE$6:$BE$505,STG_Woningetalage!$B$6:$B$505,$A91)))</f>
        <v/>
      </c>
      <c r="BR91" s="117" t="str">
        <f>IF($A91="","",IF($K91=0,"n.b.",SUMIFS(STG_Woningetalage!$BF$6:$BF$505,STG_Woningetalage!$B$6:$B$505,$A91)))</f>
        <v/>
      </c>
      <c r="BS91" s="117" t="str">
        <f>IF($A91="","",IF($K91=0,"n.b.",SUMIFS(STG_Woningetalage!$BG$6:$BG$505,STG_Woningetalage!$B$6:$B$505,$A91)))</f>
        <v/>
      </c>
      <c r="BT91" s="117" t="str">
        <f>IF($A91="","",IF($K91=0,"n.b.",SUMIFS(STG_Woningetalage!$BH$6:$BH$505,STG_Woningetalage!$B$6:$B$505,$A91)))</f>
        <v/>
      </c>
      <c r="BU91" s="117" t="str">
        <f>IF($A91="","",IF($K91=0,"n.b.",SUMIFS(STG_Woningetalage!$BI$6:$BI$505,STG_Woningetalage!$B$6:$B$505,$A91)))</f>
        <v/>
      </c>
      <c r="BV91" s="117" t="str">
        <f>IF($A91="","",IF($K91=0,"n.b.",SUMIFS(STG_Woningetalage!$BJ$6:$BJ$505,STG_Woningetalage!$B$6:$B$505,$A91)))</f>
        <v/>
      </c>
      <c r="BW91" s="117" t="str">
        <f>IF($A91="","",IF($K91=0,"n.b.",SUMIFS(STG_Woningetalage!$AR$6:$AR$505,STG_Woningetalage!$B$6:$B$505,$A91)))</f>
        <v/>
      </c>
      <c r="BX91" s="117" t="str">
        <f>IF($A91="","",IF($K91=0,"n.b.",SUMIFS(STG_Woningetalage!$AS$6:$AS$505,STG_Woningetalage!$B$6:$B$505,$A91)))</f>
        <v/>
      </c>
      <c r="BY91" s="117" t="str">
        <f>IF($A91="","",IF($K91=0,"n.b.",SUMIFS(STG_Woningetalage!$AN$6:$AN$505,STG_Woningetalage!$B$6:$B$505,$A91)))</f>
        <v/>
      </c>
      <c r="BZ91" s="117" t="str">
        <f>IF($A91="","",IF($K91=0,"n.b.",SUMIFS(STG_Woningetalage!$AO$6:$AO$505,STG_Woningetalage!$B$6:$B$505,$A91)))</f>
        <v/>
      </c>
      <c r="CA91" s="117" t="str">
        <f>IF($A91="","",IF($K91=0,"n.b.",SUMIFS(STG_Woningetalage!$AP$6:$AP$505,STG_Woningetalage!$B$6:$B$505,$A91)))</f>
        <v/>
      </c>
      <c r="CB91" s="117" t="str">
        <f>IF($A91="","",IF($K91=0,"n.b.",SUMIFS(STG_Woningetalage!$AQ$6:$AQ$505,STG_Woningetalage!$B$6:$B$505,$A91)))</f>
        <v/>
      </c>
      <c r="CC91" s="117" t="str">
        <f>IF($A91="","",IF($K91=0,"n.b.",SUMIFS(STG_Woningetalage!$AU$6:$AU$505,STG_Woningetalage!$B$6:$B$505,$A91)))</f>
        <v/>
      </c>
      <c r="CD91" s="92" t="str">
        <f>IF($A91="","",IFERROR(INDEX(STG_ZPMW03!$L$6:$L$505,MATCH($A91,STG_ZPMW03!$B$6:$B$505,0)),"n.b."))</f>
        <v/>
      </c>
      <c r="CE91" s="92" t="str">
        <f>IF($A91="","",IFERROR(INDEX(STG_ZPMW03!$K$6:$K$505,MATCH($A91,STG_ZPMW03!$B$6:$B$505,0)),"n.b."))</f>
        <v/>
      </c>
      <c r="CF91" s="92" t="str">
        <f>IF($A91="","",IFERROR(INDEX(STG_ZPMW03!$BH$6:$BH$505,MATCH($A91,STG_ZPMW03!$B$6:$B$505,0)),"n.b."))</f>
        <v/>
      </c>
      <c r="CG91" s="92" t="str">
        <f>IF($A91="","",IFERROR(INDEX(STG_ZPMW03!$BI$6:$BI$505,MATCH($A91,STG_ZPMW03!$B$6:$B$505,0)),"n.b."))</f>
        <v/>
      </c>
      <c r="CH91" s="92" t="str">
        <f>IF($A91="","",IFERROR(INDEX(STG_ZPMW03!$BJ$6:$BJ$505,MATCH($A91,STG_ZPMW03!$B$6:$B$505,0)),"n.b."))</f>
        <v/>
      </c>
      <c r="CI91" s="92" t="str">
        <f>IF($A91="","",IFERROR(INDEX(STG_ZPMW03!$BF$6:$BF$505,MATCH($A91,STG_ZPMW03!$B$6:$B$505,0)),"n.b."))</f>
        <v/>
      </c>
      <c r="CJ91" s="92" t="str">
        <f>IF($A91="","",IFERROR(INDEX(STG_ZPMW03!$BG$6:$BG$505,MATCH($A91,STG_ZPMW03!$B$6:$B$505,0)),"n.b."))</f>
        <v/>
      </c>
      <c r="CK91" s="92" t="str">
        <f>IF($A91="","",IFERROR(INDEX(STG_ZPMW03!$H$6:$H$505,MATCH($A91,STG_ZPMW03!$B$6:$B$505,0)),"n.b."))</f>
        <v/>
      </c>
      <c r="CL91" s="92" t="str">
        <f>IF($A91="","",IFERROR(INDEX(STG_ZPMW03!$E$6:$E$505,MATCH($A91,STG_ZPMW03!$B$6:$B$505,0)),"n.b."))</f>
        <v/>
      </c>
      <c r="CM91" s="92" t="str">
        <f>IF($A91="","",IFERROR(INDEX(STG_ZPMW03!$G$6:$G$505,MATCH($A91,STG_ZPMW03!$B$6:$B$505,0)),"n.b."))</f>
        <v/>
      </c>
      <c r="CN91" s="92" t="str">
        <f>IF($A91="","",IFERROR(INDEX(STG_Woningetalage!$N$6:$N$505,MATCH($A91,STG_Woningetalage!$B$6:$B$505,0)),"n.b."))</f>
        <v/>
      </c>
      <c r="CO91" s="92" t="str">
        <f>IF($A91="","",IFERROR(INDEX(STG_Woningetalage!$P$6:$P$505,MATCH($A91,STG_Woningetalage!$B$6:$B$505,0)),"n.b."))</f>
        <v/>
      </c>
      <c r="CP91" s="118" t="str">
        <f>IF($A91="","",IF(AND(ISNUMBER(AT91),ISNUMBER(F91)),IF(F91&gt;0,AT91/(F91/100),"n.b."),"n.b."))</f>
        <v/>
      </c>
      <c r="CQ91" s="116" t="str">
        <f>IF($A91="","",IF(ISNUMBER(Q91),IF(Q91&lt;0,1,0),0))</f>
        <v/>
      </c>
      <c r="CR91" s="116" t="str">
        <f>IF(CQ91=1,COUNTIF($CQ$6:CQ91,1),"")</f>
        <v/>
      </c>
      <c r="CS91" s="116" t="str">
        <f>IF(AND($A91&lt;&gt;"",$J91=0),COUNTIFS($A$6:$A91,"?*",$J$6:$J91,0),"")</f>
        <v/>
      </c>
      <c r="CT91" s="119" t="str">
        <f>IF($A91="","",IF(AND(ISNUMBER(Q91),ISNUMBER(P91)),IF(P91&lt;&gt;0,Q91/P91,"n.b."),"n.b."))</f>
        <v/>
      </c>
    </row>
    <row r="92">
      <c r="A92" s="92" t="str">
        <f>IF(Mapping!$A91="","",Mapping!$A91)</f>
        <v/>
      </c>
      <c r="B92" s="92" t="str">
        <f>IF(Mapping!$B91="","",Mapping!$B91)</f>
        <v/>
      </c>
      <c r="C92" s="92" t="str">
        <f>IF(Mapping!$C91="","",Mapping!$C91)</f>
        <v/>
      </c>
      <c r="D92" s="92" t="str">
        <f>IF(Mapping!$F91="","",Mapping!$F91)</f>
        <v/>
      </c>
      <c r="E92" s="92" t="str">
        <f>IF(Mapping!$H91="","",Mapping!$H91)</f>
        <v/>
      </c>
      <c r="F92" s="92" t="str">
        <f>IF(Mapping!$E91="","",Mapping!$E91)</f>
        <v/>
      </c>
      <c r="G92" s="92" t="str">
        <f>IF(Mapping!$G91="","",Mapping!$G91)</f>
        <v/>
      </c>
      <c r="H92" s="92" t="str">
        <f>IF(Mapping!$D91="","",Mapping!$D91)</f>
        <v/>
      </c>
      <c r="I92" s="92" t="str">
        <f>IF($A92="","",IFERROR(INDEX(STG_ZPMW03!$C$6:$C$505,MATCH($A92,STG_ZPMW03!$B$6:$B$505,0)),"n.b."))</f>
        <v/>
      </c>
      <c r="J92" s="116" t="str">
        <f>IF($A92="","",COUNTIF(STG_ZPMW03!$B$6:$B$505,$A92))</f>
        <v/>
      </c>
      <c r="K92" s="116" t="str">
        <f>IF($A92="","",COUNTIF(STG_Woningetalage!$B$6:$B$505,$A92))</f>
        <v/>
      </c>
      <c r="L92" s="117" t="str">
        <f>IF($A92="","",IF($J92=0,"n.b.",SUMIFS(STG_ZPMW03!$BK$6:$BK$505,STG_ZPMW03!$B$6:$B$505,$A92)))</f>
        <v/>
      </c>
      <c r="M92" s="117" t="str">
        <f>IF($A92="","",IF($J92=0,"n.b.",SUMIFS(STG_ZPMW03!$BL$6:$BL$505,STG_ZPMW03!$B$6:$B$505,$A92)))</f>
        <v/>
      </c>
      <c r="N92" s="117" t="str">
        <f>IF($A92="","",IF($J92=0,"n.b.",SUMIFS(STG_ZPMW03!$BM$6:$BM$505,STG_ZPMW03!$B$6:$B$505,$A92)))</f>
        <v/>
      </c>
      <c r="O92" s="117" t="str">
        <f>IF($A92="","",IF($J92=0,"n.b.",SUMIFS(STG_ZPMW03!$BN$6:$BN$505,STG_ZPMW03!$B$6:$B$505,$A92)))</f>
        <v/>
      </c>
      <c r="P92" s="117" t="str">
        <f>IF($A92="","",IF($J92=0,"n.b.",SUMIFS(STG_ZPMW03!$BO$6:$BO$505,STG_ZPMW03!$B$6:$B$505,$A92)))</f>
        <v/>
      </c>
      <c r="Q92" s="117" t="str">
        <f>IF($A92="","",IF($J92=0,"n.b.",SUMIFS(STG_ZPMW03!$BP$6:$BP$505,STG_ZPMW03!$B$6:$B$505,$A92)))</f>
        <v/>
      </c>
      <c r="R92" s="117" t="str">
        <f>IF($A92="","",IF($J92=0,"n.b.",SUMIFS(STG_ZPMW03!$BQ$6:$BQ$505,STG_ZPMW03!$B$6:$B$505,$A92)))</f>
        <v/>
      </c>
      <c r="S92" s="117" t="str">
        <f>IF($A92="","",IF($J92=0,"n.b.",SUMIFS(STG_ZPMW03!$BR$6:$BR$505,STG_ZPMW03!$B$6:$B$505,$A92)))</f>
        <v/>
      </c>
      <c r="T92" s="117" t="str">
        <f>IF($A92="","",IF($J92=0,"n.b.",SUMIFS(STG_ZPMW03!$BS$6:$BS$505,STG_ZPMW03!$B$6:$B$505,$A92)))</f>
        <v/>
      </c>
      <c r="U92" s="117" t="str">
        <f>IF($A92="","",IF($J92=0,"n.b.",SUMIFS(STG_ZPMW03!$BT$6:$BT$505,STG_ZPMW03!$B$6:$B$505,$A92)))</f>
        <v/>
      </c>
      <c r="V92" s="117" t="str">
        <f>IF($A92="","",IF($J92=0,"n.b.",SUMIFS(STG_ZPMW03!$BU$6:$BU$505,STG_ZPMW03!$B$6:$B$505,$A92)))</f>
        <v/>
      </c>
      <c r="W92" s="117" t="str">
        <f>IF($A92="","",IF($J92=0,"n.b.",SUMIFS(STG_ZPMW03!$BW$6:$BW$505,STG_ZPMW03!$B$6:$B$505,$A92)))</f>
        <v/>
      </c>
      <c r="X92" s="117" t="str">
        <f>IF($A92="","",IF($J92=0,"n.b.",SUMIFS(STG_ZPMW03!$BY$6:$BY$505,STG_ZPMW03!$B$6:$B$505,$A92)))</f>
        <v/>
      </c>
      <c r="Y92" s="117" t="str">
        <f>IF($A92="","",IF($J92=0,"n.b.",SUMIFS(STG_ZPMW03!$CA$6:$CA$505,STG_ZPMW03!$B$6:$B$505,$A92)))</f>
        <v/>
      </c>
      <c r="Z92" s="117" t="str">
        <f>IF($A92="","",IF($J92=0,"n.b.",SUMIFS(STG_ZPMW03!$BV$6:$BV$505,STG_ZPMW03!$B$6:$B$505,$A92)))</f>
        <v/>
      </c>
      <c r="AA92" s="117" t="str">
        <f>IF($A92="","",IF($J92=0,"n.b.",SUMIFS(STG_ZPMW03!$BX$6:$BX$505,STG_ZPMW03!$B$6:$B$505,$A92)))</f>
        <v/>
      </c>
      <c r="AB92" s="117" t="str">
        <f>IF($A92="","",IF($J92=0,"n.b.",SUMIFS(STG_ZPMW03!$BZ$6:$BZ$505,STG_ZPMW03!$B$6:$B$505,$A92)))</f>
        <v/>
      </c>
      <c r="AC92" s="117" t="str">
        <f>IF($A92="","",IF($J92=0,"n.b.",SUMIFS(STG_ZPMW03!$CB$6:$CB$505,STG_ZPMW03!$B$6:$B$505,$A92)))</f>
        <v/>
      </c>
      <c r="AD92" s="117" t="str">
        <f>IF($A92="","",IF($J92=0,"n.b.",SUMIFS(STG_ZPMW03!$CC$6:$CC$505,STG_ZPMW03!$B$6:$B$505,$A92)))</f>
        <v/>
      </c>
      <c r="AE92" s="117" t="str">
        <f>IF($A92="","",IF($J92=0,"n.b.",SUMIFS(STG_ZPMW03!$CE$6:$CE$505,STG_ZPMW03!$B$6:$B$505,$A92)))</f>
        <v/>
      </c>
      <c r="AF92" s="117" t="str">
        <f>IF($A92="","",IF($J92=0,"n.b.",SUMIFS(STG_ZPMW03!$CG$6:$CG$505,STG_ZPMW03!$B$6:$B$505,$A92)))</f>
        <v/>
      </c>
      <c r="AG92" s="117" t="str">
        <f>IF($A92="","",IF($J92=0,"n.b.",SUMIFS(STG_ZPMW03!$CI$6:$CI$505,STG_ZPMW03!$B$6:$B$505,$A92)))</f>
        <v/>
      </c>
      <c r="AH92" s="117" t="str">
        <f>IF($A92="","",IF($J92=0,"n.b.",SUMIFS(STG_ZPMW03!$CK$6:$CK$505,STG_ZPMW03!$B$6:$B$505,$A92)))</f>
        <v/>
      </c>
      <c r="AI92" s="117" t="str">
        <f>IF($A92="","",IF($J92=0,"n.b.",SUMIFS(STG_ZPMW03!$CM$6:$CM$505,STG_ZPMW03!$B$6:$B$505,$A92)))</f>
        <v/>
      </c>
      <c r="AJ92" s="117" t="str">
        <f>IF($A92="","",IF($J92=0,"n.b.",SUMIFS(STG_ZPMW03!$CO$6:$CO$505,STG_ZPMW03!$B$6:$B$505,$A92)))</f>
        <v/>
      </c>
      <c r="AK92" s="117" t="str">
        <f>IF($A92="","",IF($J92=0,"n.b.",SUMIFS(STG_ZPMW03!$CQ$6:$CQ$505,STG_ZPMW03!$B$6:$B$505,$A92)))</f>
        <v/>
      </c>
      <c r="AL92" s="117" t="str">
        <f>IF($A92="","",IF($J92=0,"n.b.",SUMIFS(STG_ZPMW03!$CD$6:$CD$505,STG_ZPMW03!$B$6:$B$505,$A92)))</f>
        <v/>
      </c>
      <c r="AM92" s="117" t="str">
        <f>IF($A92="","",IF($J92=0,"n.b.",SUMIFS(STG_ZPMW03!$CF$6:$CF$505,STG_ZPMW03!$B$6:$B$505,$A92)))</f>
        <v/>
      </c>
      <c r="AN92" s="117" t="str">
        <f>IF($A92="","",IF($J92=0,"n.b.",SUMIFS(STG_ZPMW03!$CH$6:$CH$505,STG_ZPMW03!$B$6:$B$505,$A92)))</f>
        <v/>
      </c>
      <c r="AO92" s="117" t="str">
        <f>IF($A92="","",IF($J92=0,"n.b.",SUMIFS(STG_ZPMW03!$CJ$6:$CJ$505,STG_ZPMW03!$B$6:$B$505,$A92)))</f>
        <v/>
      </c>
      <c r="AP92" s="117" t="str">
        <f>IF($A92="","",IF($J92=0,"n.b.",SUMIFS(STG_ZPMW03!$CL$6:$CL$505,STG_ZPMW03!$B$6:$B$505,$A92)))</f>
        <v/>
      </c>
      <c r="AQ92" s="117" t="str">
        <f>IF($A92="","",IF($J92=0,"n.b.",SUMIFS(STG_ZPMW03!$CN$6:$CN$505,STG_ZPMW03!$B$6:$B$505,$A92)))</f>
        <v/>
      </c>
      <c r="AR92" s="117" t="str">
        <f>IF($A92="","",IF($J92=0,"n.b.",SUMIFS(STG_ZPMW03!$CP$6:$CP$505,STG_ZPMW03!$B$6:$B$505,$A92)))</f>
        <v/>
      </c>
      <c r="AS92" s="117" t="str">
        <f>IF($A92="","",IF($J92=0,"n.b.",SUMIFS(STG_ZPMW03!$CR$6:$CR$505,STG_ZPMW03!$B$6:$B$505,$A92)))</f>
        <v/>
      </c>
      <c r="AT92" s="117" t="str">
        <f>IF($A92="","",IF($K92=0,"n.b.",SUMIFS(STG_Woningetalage!$Q$6:$Q$505,STG_Woningetalage!$B$6:$B$505,$A92)))</f>
        <v/>
      </c>
      <c r="AU92" s="117" t="str">
        <f>IF($A92="","",IF($K92=0,"n.b.",SUMIFS(STG_Woningetalage!$R$6:$R$505,STG_Woningetalage!$B$6:$B$505,$A92)))</f>
        <v/>
      </c>
      <c r="AV92" s="117" t="str">
        <f>IF($A92="","",IF($K92=0,"n.b.",SUMIFS(STG_Woningetalage!$S$6:$S$505,STG_Woningetalage!$B$6:$B$505,$A92)))</f>
        <v/>
      </c>
      <c r="AW92" s="117" t="str">
        <f>IF($A92="","",IF($K92=0,"n.b.",SUMIFS(STG_Woningetalage!$T$6:$T$505,STG_Woningetalage!$B$6:$B$505,$A92)))</f>
        <v/>
      </c>
      <c r="AX92" s="117" t="str">
        <f>IF($A92="","",IF($K92=0,"n.b.",SUMIFS(STG_Woningetalage!$U$6:$U$505,STG_Woningetalage!$B$6:$B$505,$A92)))</f>
        <v/>
      </c>
      <c r="AY92" s="117" t="str">
        <f>IF($A92="","",IF($K92=0,"n.b.",SUMIFS(STG_Woningetalage!$V$6:$V$505,STG_Woningetalage!$B$6:$B$505,$A92)))</f>
        <v/>
      </c>
      <c r="AZ92" s="117" t="str">
        <f>IF($A92="","",IF($K92=0,"n.b.",SUMIFS(STG_Woningetalage!$W$6:$W$505,STG_Woningetalage!$B$6:$B$505,$A92)))</f>
        <v/>
      </c>
      <c r="BA92" s="117" t="str">
        <f>IF($A92="","",IF($K92=0,"n.b.",SUMIFS(STG_Woningetalage!$X$6:$X$505,STG_Woningetalage!$B$6:$B$505,$A92)))</f>
        <v/>
      </c>
      <c r="BB92" s="117" t="str">
        <f>IF($A92="","",IF($K92=0,"n.b.",SUMIFS(STG_Woningetalage!$Y$6:$Y$505,STG_Woningetalage!$B$6:$B$505,$A92)))</f>
        <v/>
      </c>
      <c r="BC92" s="117" t="str">
        <f>IF($A92="","",IF($K92=0,"n.b.",SUMIFS(STG_Woningetalage!$Z$6:$Z$505,STG_Woningetalage!$B$6:$B$505,$A92)))</f>
        <v/>
      </c>
      <c r="BD92" s="117" t="str">
        <f>IF($A92="","",IF($K92=0,"n.b.",SUMIFS(STG_Woningetalage!$AA$6:$AA$505,STG_Woningetalage!$B$6:$B$505,$A92)))</f>
        <v/>
      </c>
      <c r="BE92" s="117" t="str">
        <f>IF($A92="","",IF($K92=0,"n.b.",SUMIFS(STG_Woningetalage!$AB$6:$AB$505,STG_Woningetalage!$B$6:$B$505,$A92)))</f>
        <v/>
      </c>
      <c r="BF92" s="117" t="str">
        <f>IF($A92="","",IF($K92=0,"n.b.",SUMIFS(STG_Woningetalage!$AC$6:$AC$505,STG_Woningetalage!$B$6:$B$505,$A92)))</f>
        <v/>
      </c>
      <c r="BG92" s="117" t="str">
        <f>IF($A92="","",IF($K92=0,"n.b.",SUMIFS(STG_Woningetalage!$AD$6:$AD$505,STG_Woningetalage!$B$6:$B$505,$A92)))</f>
        <v/>
      </c>
      <c r="BH92" s="117" t="str">
        <f>IF($A92="","",IF($K92=0,"n.b.",SUMIFS(STG_Woningetalage!$AE$6:$AE$505,STG_Woningetalage!$B$6:$B$505,$A92)))</f>
        <v/>
      </c>
      <c r="BI92" s="117" t="str">
        <f>IF($A92="","",IF($K92=0,"n.b.",SUMIFS(STG_Woningetalage!$AF$6:$AF$505,STG_Woningetalage!$B$6:$B$505,$A92)))</f>
        <v/>
      </c>
      <c r="BJ92" s="117" t="str">
        <f>IF($A92="","",IF($K92=0,"n.b.",SUMIFS(STG_Woningetalage!$AG$6:$AG$505,STG_Woningetalage!$B$6:$B$505,$A92)))</f>
        <v/>
      </c>
      <c r="BK92" s="117" t="str">
        <f>IF($A92="","",IF($K92=0,"n.b.",SUMIFS(STG_Woningetalage!$AH$6:$AH$505,STG_Woningetalage!$B$6:$B$505,$A92)))</f>
        <v/>
      </c>
      <c r="BL92" s="117" t="str">
        <f>IF($A92="","",IF($K92=0,"n.b.",SUMIFS(STG_Woningetalage!$AI$6:$AI$505,STG_Woningetalage!$B$6:$B$505,$A92)))</f>
        <v/>
      </c>
      <c r="BM92" s="117" t="str">
        <f>IF($A92="","",IF($K92=0,"n.b.",SUMIFS(STG_Woningetalage!$AJ$6:$AJ$505,STG_Woningetalage!$B$6:$B$505,$A92)))</f>
        <v/>
      </c>
      <c r="BN92" s="117" t="str">
        <f>IF($A92="","",IF($K92=0,"n.b.",SUMIFS(STG_Woningetalage!$AK$6:$AK$505,STG_Woningetalage!$B$6:$B$505,$A92)))</f>
        <v/>
      </c>
      <c r="BO92" s="117" t="str">
        <f>IF($A92="","",IF($K92=0,"n.b.",SUMIFS(STG_Woningetalage!$AL$6:$AL$505,STG_Woningetalage!$B$6:$B$505,$A92)))</f>
        <v/>
      </c>
      <c r="BP92" s="117" t="str">
        <f>IF($A92="","",IF($K92=0,"n.b.",SUMIFS(STG_Woningetalage!$AM$6:$AM$505,STG_Woningetalage!$B$6:$B$505,$A92)))</f>
        <v/>
      </c>
      <c r="BQ92" s="117" t="str">
        <f>IF($A92="","",IF($K92=0,"n.b.",SUMIFS(STG_Woningetalage!$BE$6:$BE$505,STG_Woningetalage!$B$6:$B$505,$A92)))</f>
        <v/>
      </c>
      <c r="BR92" s="117" t="str">
        <f>IF($A92="","",IF($K92=0,"n.b.",SUMIFS(STG_Woningetalage!$BF$6:$BF$505,STG_Woningetalage!$B$6:$B$505,$A92)))</f>
        <v/>
      </c>
      <c r="BS92" s="117" t="str">
        <f>IF($A92="","",IF($K92=0,"n.b.",SUMIFS(STG_Woningetalage!$BG$6:$BG$505,STG_Woningetalage!$B$6:$B$505,$A92)))</f>
        <v/>
      </c>
      <c r="BT92" s="117" t="str">
        <f>IF($A92="","",IF($K92=0,"n.b.",SUMIFS(STG_Woningetalage!$BH$6:$BH$505,STG_Woningetalage!$B$6:$B$505,$A92)))</f>
        <v/>
      </c>
      <c r="BU92" s="117" t="str">
        <f>IF($A92="","",IF($K92=0,"n.b.",SUMIFS(STG_Woningetalage!$BI$6:$BI$505,STG_Woningetalage!$B$6:$B$505,$A92)))</f>
        <v/>
      </c>
      <c r="BV92" s="117" t="str">
        <f>IF($A92="","",IF($K92=0,"n.b.",SUMIFS(STG_Woningetalage!$BJ$6:$BJ$505,STG_Woningetalage!$B$6:$B$505,$A92)))</f>
        <v/>
      </c>
      <c r="BW92" s="117" t="str">
        <f>IF($A92="","",IF($K92=0,"n.b.",SUMIFS(STG_Woningetalage!$AR$6:$AR$505,STG_Woningetalage!$B$6:$B$505,$A92)))</f>
        <v/>
      </c>
      <c r="BX92" s="117" t="str">
        <f>IF($A92="","",IF($K92=0,"n.b.",SUMIFS(STG_Woningetalage!$AS$6:$AS$505,STG_Woningetalage!$B$6:$B$505,$A92)))</f>
        <v/>
      </c>
      <c r="BY92" s="117" t="str">
        <f>IF($A92="","",IF($K92=0,"n.b.",SUMIFS(STG_Woningetalage!$AN$6:$AN$505,STG_Woningetalage!$B$6:$B$505,$A92)))</f>
        <v/>
      </c>
      <c r="BZ92" s="117" t="str">
        <f>IF($A92="","",IF($K92=0,"n.b.",SUMIFS(STG_Woningetalage!$AO$6:$AO$505,STG_Woningetalage!$B$6:$B$505,$A92)))</f>
        <v/>
      </c>
      <c r="CA92" s="117" t="str">
        <f>IF($A92="","",IF($K92=0,"n.b.",SUMIFS(STG_Woningetalage!$AP$6:$AP$505,STG_Woningetalage!$B$6:$B$505,$A92)))</f>
        <v/>
      </c>
      <c r="CB92" s="117" t="str">
        <f>IF($A92="","",IF($K92=0,"n.b.",SUMIFS(STG_Woningetalage!$AQ$6:$AQ$505,STG_Woningetalage!$B$6:$B$505,$A92)))</f>
        <v/>
      </c>
      <c r="CC92" s="117" t="str">
        <f>IF($A92="","",IF($K92=0,"n.b.",SUMIFS(STG_Woningetalage!$AU$6:$AU$505,STG_Woningetalage!$B$6:$B$505,$A92)))</f>
        <v/>
      </c>
      <c r="CD92" s="92" t="str">
        <f>IF($A92="","",IFERROR(INDEX(STG_ZPMW03!$L$6:$L$505,MATCH($A92,STG_ZPMW03!$B$6:$B$505,0)),"n.b."))</f>
        <v/>
      </c>
      <c r="CE92" s="92" t="str">
        <f>IF($A92="","",IFERROR(INDEX(STG_ZPMW03!$K$6:$K$505,MATCH($A92,STG_ZPMW03!$B$6:$B$505,0)),"n.b."))</f>
        <v/>
      </c>
      <c r="CF92" s="92" t="str">
        <f>IF($A92="","",IFERROR(INDEX(STG_ZPMW03!$BH$6:$BH$505,MATCH($A92,STG_ZPMW03!$B$6:$B$505,0)),"n.b."))</f>
        <v/>
      </c>
      <c r="CG92" s="92" t="str">
        <f>IF($A92="","",IFERROR(INDEX(STG_ZPMW03!$BI$6:$BI$505,MATCH($A92,STG_ZPMW03!$B$6:$B$505,0)),"n.b."))</f>
        <v/>
      </c>
      <c r="CH92" s="92" t="str">
        <f>IF($A92="","",IFERROR(INDEX(STG_ZPMW03!$BJ$6:$BJ$505,MATCH($A92,STG_ZPMW03!$B$6:$B$505,0)),"n.b."))</f>
        <v/>
      </c>
      <c r="CI92" s="92" t="str">
        <f>IF($A92="","",IFERROR(INDEX(STG_ZPMW03!$BF$6:$BF$505,MATCH($A92,STG_ZPMW03!$B$6:$B$505,0)),"n.b."))</f>
        <v/>
      </c>
      <c r="CJ92" s="92" t="str">
        <f>IF($A92="","",IFERROR(INDEX(STG_ZPMW03!$BG$6:$BG$505,MATCH($A92,STG_ZPMW03!$B$6:$B$505,0)),"n.b."))</f>
        <v/>
      </c>
      <c r="CK92" s="92" t="str">
        <f>IF($A92="","",IFERROR(INDEX(STG_ZPMW03!$H$6:$H$505,MATCH($A92,STG_ZPMW03!$B$6:$B$505,0)),"n.b."))</f>
        <v/>
      </c>
      <c r="CL92" s="92" t="str">
        <f>IF($A92="","",IFERROR(INDEX(STG_ZPMW03!$E$6:$E$505,MATCH($A92,STG_ZPMW03!$B$6:$B$505,0)),"n.b."))</f>
        <v/>
      </c>
      <c r="CM92" s="92" t="str">
        <f>IF($A92="","",IFERROR(INDEX(STG_ZPMW03!$G$6:$G$505,MATCH($A92,STG_ZPMW03!$B$6:$B$505,0)),"n.b."))</f>
        <v/>
      </c>
      <c r="CN92" s="92" t="str">
        <f>IF($A92="","",IFERROR(INDEX(STG_Woningetalage!$N$6:$N$505,MATCH($A92,STG_Woningetalage!$B$6:$B$505,0)),"n.b."))</f>
        <v/>
      </c>
      <c r="CO92" s="92" t="str">
        <f>IF($A92="","",IFERROR(INDEX(STG_Woningetalage!$P$6:$P$505,MATCH($A92,STG_Woningetalage!$B$6:$B$505,0)),"n.b."))</f>
        <v/>
      </c>
      <c r="CP92" s="118" t="str">
        <f>IF($A92="","",IF(AND(ISNUMBER(AT92),ISNUMBER(F92)),IF(F92&gt;0,AT92/(F92/100),"n.b."),"n.b."))</f>
        <v/>
      </c>
      <c r="CQ92" s="116" t="str">
        <f>IF($A92="","",IF(ISNUMBER(Q92),IF(Q92&lt;0,1,0),0))</f>
        <v/>
      </c>
      <c r="CR92" s="116" t="str">
        <f>IF(CQ92=1,COUNTIF($CQ$6:CQ92,1),"")</f>
        <v/>
      </c>
      <c r="CS92" s="116" t="str">
        <f>IF(AND($A92&lt;&gt;"",$J92=0),COUNTIFS($A$6:$A92,"?*",$J$6:$J92,0),"")</f>
        <v/>
      </c>
      <c r="CT92" s="119" t="str">
        <f>IF($A92="","",IF(AND(ISNUMBER(Q92),ISNUMBER(P92)),IF(P92&lt;&gt;0,Q92/P92,"n.b."),"n.b."))</f>
        <v/>
      </c>
    </row>
    <row r="93">
      <c r="A93" s="92" t="str">
        <f>IF(Mapping!$A92="","",Mapping!$A92)</f>
        <v/>
      </c>
      <c r="B93" s="92" t="str">
        <f>IF(Mapping!$B92="","",Mapping!$B92)</f>
        <v/>
      </c>
      <c r="C93" s="92" t="str">
        <f>IF(Mapping!$C92="","",Mapping!$C92)</f>
        <v/>
      </c>
      <c r="D93" s="92" t="str">
        <f>IF(Mapping!$F92="","",Mapping!$F92)</f>
        <v/>
      </c>
      <c r="E93" s="92" t="str">
        <f>IF(Mapping!$H92="","",Mapping!$H92)</f>
        <v/>
      </c>
      <c r="F93" s="92" t="str">
        <f>IF(Mapping!$E92="","",Mapping!$E92)</f>
        <v/>
      </c>
      <c r="G93" s="92" t="str">
        <f>IF(Mapping!$G92="","",Mapping!$G92)</f>
        <v/>
      </c>
      <c r="H93" s="92" t="str">
        <f>IF(Mapping!$D92="","",Mapping!$D92)</f>
        <v/>
      </c>
      <c r="I93" s="92" t="str">
        <f>IF($A93="","",IFERROR(INDEX(STG_ZPMW03!$C$6:$C$505,MATCH($A93,STG_ZPMW03!$B$6:$B$505,0)),"n.b."))</f>
        <v/>
      </c>
      <c r="J93" s="116" t="str">
        <f>IF($A93="","",COUNTIF(STG_ZPMW03!$B$6:$B$505,$A93))</f>
        <v/>
      </c>
      <c r="K93" s="116" t="str">
        <f>IF($A93="","",COUNTIF(STG_Woningetalage!$B$6:$B$505,$A93))</f>
        <v/>
      </c>
      <c r="L93" s="117" t="str">
        <f>IF($A93="","",IF($J93=0,"n.b.",SUMIFS(STG_ZPMW03!$BK$6:$BK$505,STG_ZPMW03!$B$6:$B$505,$A93)))</f>
        <v/>
      </c>
      <c r="M93" s="117" t="str">
        <f>IF($A93="","",IF($J93=0,"n.b.",SUMIFS(STG_ZPMW03!$BL$6:$BL$505,STG_ZPMW03!$B$6:$B$505,$A93)))</f>
        <v/>
      </c>
      <c r="N93" s="117" t="str">
        <f>IF($A93="","",IF($J93=0,"n.b.",SUMIFS(STG_ZPMW03!$BM$6:$BM$505,STG_ZPMW03!$B$6:$B$505,$A93)))</f>
        <v/>
      </c>
      <c r="O93" s="117" t="str">
        <f>IF($A93="","",IF($J93=0,"n.b.",SUMIFS(STG_ZPMW03!$BN$6:$BN$505,STG_ZPMW03!$B$6:$B$505,$A93)))</f>
        <v/>
      </c>
      <c r="P93" s="117" t="str">
        <f>IF($A93="","",IF($J93=0,"n.b.",SUMIFS(STG_ZPMW03!$BO$6:$BO$505,STG_ZPMW03!$B$6:$B$505,$A93)))</f>
        <v/>
      </c>
      <c r="Q93" s="117" t="str">
        <f>IF($A93="","",IF($J93=0,"n.b.",SUMIFS(STG_ZPMW03!$BP$6:$BP$505,STG_ZPMW03!$B$6:$B$505,$A93)))</f>
        <v/>
      </c>
      <c r="R93" s="117" t="str">
        <f>IF($A93="","",IF($J93=0,"n.b.",SUMIFS(STG_ZPMW03!$BQ$6:$BQ$505,STG_ZPMW03!$B$6:$B$505,$A93)))</f>
        <v/>
      </c>
      <c r="S93" s="117" t="str">
        <f>IF($A93="","",IF($J93=0,"n.b.",SUMIFS(STG_ZPMW03!$BR$6:$BR$505,STG_ZPMW03!$B$6:$B$505,$A93)))</f>
        <v/>
      </c>
      <c r="T93" s="117" t="str">
        <f>IF($A93="","",IF($J93=0,"n.b.",SUMIFS(STG_ZPMW03!$BS$6:$BS$505,STG_ZPMW03!$B$6:$B$505,$A93)))</f>
        <v/>
      </c>
      <c r="U93" s="117" t="str">
        <f>IF($A93="","",IF($J93=0,"n.b.",SUMIFS(STG_ZPMW03!$BT$6:$BT$505,STG_ZPMW03!$B$6:$B$505,$A93)))</f>
        <v/>
      </c>
      <c r="V93" s="117" t="str">
        <f>IF($A93="","",IF($J93=0,"n.b.",SUMIFS(STG_ZPMW03!$BU$6:$BU$505,STG_ZPMW03!$B$6:$B$505,$A93)))</f>
        <v/>
      </c>
      <c r="W93" s="117" t="str">
        <f>IF($A93="","",IF($J93=0,"n.b.",SUMIFS(STG_ZPMW03!$BW$6:$BW$505,STG_ZPMW03!$B$6:$B$505,$A93)))</f>
        <v/>
      </c>
      <c r="X93" s="117" t="str">
        <f>IF($A93="","",IF($J93=0,"n.b.",SUMIFS(STG_ZPMW03!$BY$6:$BY$505,STG_ZPMW03!$B$6:$B$505,$A93)))</f>
        <v/>
      </c>
      <c r="Y93" s="117" t="str">
        <f>IF($A93="","",IF($J93=0,"n.b.",SUMIFS(STG_ZPMW03!$CA$6:$CA$505,STG_ZPMW03!$B$6:$B$505,$A93)))</f>
        <v/>
      </c>
      <c r="Z93" s="117" t="str">
        <f>IF($A93="","",IF($J93=0,"n.b.",SUMIFS(STG_ZPMW03!$BV$6:$BV$505,STG_ZPMW03!$B$6:$B$505,$A93)))</f>
        <v/>
      </c>
      <c r="AA93" s="117" t="str">
        <f>IF($A93="","",IF($J93=0,"n.b.",SUMIFS(STG_ZPMW03!$BX$6:$BX$505,STG_ZPMW03!$B$6:$B$505,$A93)))</f>
        <v/>
      </c>
      <c r="AB93" s="117" t="str">
        <f>IF($A93="","",IF($J93=0,"n.b.",SUMIFS(STG_ZPMW03!$BZ$6:$BZ$505,STG_ZPMW03!$B$6:$B$505,$A93)))</f>
        <v/>
      </c>
      <c r="AC93" s="117" t="str">
        <f>IF($A93="","",IF($J93=0,"n.b.",SUMIFS(STG_ZPMW03!$CB$6:$CB$505,STG_ZPMW03!$B$6:$B$505,$A93)))</f>
        <v/>
      </c>
      <c r="AD93" s="117" t="str">
        <f>IF($A93="","",IF($J93=0,"n.b.",SUMIFS(STG_ZPMW03!$CC$6:$CC$505,STG_ZPMW03!$B$6:$B$505,$A93)))</f>
        <v/>
      </c>
      <c r="AE93" s="117" t="str">
        <f>IF($A93="","",IF($J93=0,"n.b.",SUMIFS(STG_ZPMW03!$CE$6:$CE$505,STG_ZPMW03!$B$6:$B$505,$A93)))</f>
        <v/>
      </c>
      <c r="AF93" s="117" t="str">
        <f>IF($A93="","",IF($J93=0,"n.b.",SUMIFS(STG_ZPMW03!$CG$6:$CG$505,STG_ZPMW03!$B$6:$B$505,$A93)))</f>
        <v/>
      </c>
      <c r="AG93" s="117" t="str">
        <f>IF($A93="","",IF($J93=0,"n.b.",SUMIFS(STG_ZPMW03!$CI$6:$CI$505,STG_ZPMW03!$B$6:$B$505,$A93)))</f>
        <v/>
      </c>
      <c r="AH93" s="117" t="str">
        <f>IF($A93="","",IF($J93=0,"n.b.",SUMIFS(STG_ZPMW03!$CK$6:$CK$505,STG_ZPMW03!$B$6:$B$505,$A93)))</f>
        <v/>
      </c>
      <c r="AI93" s="117" t="str">
        <f>IF($A93="","",IF($J93=0,"n.b.",SUMIFS(STG_ZPMW03!$CM$6:$CM$505,STG_ZPMW03!$B$6:$B$505,$A93)))</f>
        <v/>
      </c>
      <c r="AJ93" s="117" t="str">
        <f>IF($A93="","",IF($J93=0,"n.b.",SUMIFS(STG_ZPMW03!$CO$6:$CO$505,STG_ZPMW03!$B$6:$B$505,$A93)))</f>
        <v/>
      </c>
      <c r="AK93" s="117" t="str">
        <f>IF($A93="","",IF($J93=0,"n.b.",SUMIFS(STG_ZPMW03!$CQ$6:$CQ$505,STG_ZPMW03!$B$6:$B$505,$A93)))</f>
        <v/>
      </c>
      <c r="AL93" s="117" t="str">
        <f>IF($A93="","",IF($J93=0,"n.b.",SUMIFS(STG_ZPMW03!$CD$6:$CD$505,STG_ZPMW03!$B$6:$B$505,$A93)))</f>
        <v/>
      </c>
      <c r="AM93" s="117" t="str">
        <f>IF($A93="","",IF($J93=0,"n.b.",SUMIFS(STG_ZPMW03!$CF$6:$CF$505,STG_ZPMW03!$B$6:$B$505,$A93)))</f>
        <v/>
      </c>
      <c r="AN93" s="117" t="str">
        <f>IF($A93="","",IF($J93=0,"n.b.",SUMIFS(STG_ZPMW03!$CH$6:$CH$505,STG_ZPMW03!$B$6:$B$505,$A93)))</f>
        <v/>
      </c>
      <c r="AO93" s="117" t="str">
        <f>IF($A93="","",IF($J93=0,"n.b.",SUMIFS(STG_ZPMW03!$CJ$6:$CJ$505,STG_ZPMW03!$B$6:$B$505,$A93)))</f>
        <v/>
      </c>
      <c r="AP93" s="117" t="str">
        <f>IF($A93="","",IF($J93=0,"n.b.",SUMIFS(STG_ZPMW03!$CL$6:$CL$505,STG_ZPMW03!$B$6:$B$505,$A93)))</f>
        <v/>
      </c>
      <c r="AQ93" s="117" t="str">
        <f>IF($A93="","",IF($J93=0,"n.b.",SUMIFS(STG_ZPMW03!$CN$6:$CN$505,STG_ZPMW03!$B$6:$B$505,$A93)))</f>
        <v/>
      </c>
      <c r="AR93" s="117" t="str">
        <f>IF($A93="","",IF($J93=0,"n.b.",SUMIFS(STG_ZPMW03!$CP$6:$CP$505,STG_ZPMW03!$B$6:$B$505,$A93)))</f>
        <v/>
      </c>
      <c r="AS93" s="117" t="str">
        <f>IF($A93="","",IF($J93=0,"n.b.",SUMIFS(STG_ZPMW03!$CR$6:$CR$505,STG_ZPMW03!$B$6:$B$505,$A93)))</f>
        <v/>
      </c>
      <c r="AT93" s="117" t="str">
        <f>IF($A93="","",IF($K93=0,"n.b.",SUMIFS(STG_Woningetalage!$Q$6:$Q$505,STG_Woningetalage!$B$6:$B$505,$A93)))</f>
        <v/>
      </c>
      <c r="AU93" s="117" t="str">
        <f>IF($A93="","",IF($K93=0,"n.b.",SUMIFS(STG_Woningetalage!$R$6:$R$505,STG_Woningetalage!$B$6:$B$505,$A93)))</f>
        <v/>
      </c>
      <c r="AV93" s="117" t="str">
        <f>IF($A93="","",IF($K93=0,"n.b.",SUMIFS(STG_Woningetalage!$S$6:$S$505,STG_Woningetalage!$B$6:$B$505,$A93)))</f>
        <v/>
      </c>
      <c r="AW93" s="117" t="str">
        <f>IF($A93="","",IF($K93=0,"n.b.",SUMIFS(STG_Woningetalage!$T$6:$T$505,STG_Woningetalage!$B$6:$B$505,$A93)))</f>
        <v/>
      </c>
      <c r="AX93" s="117" t="str">
        <f>IF($A93="","",IF($K93=0,"n.b.",SUMIFS(STG_Woningetalage!$U$6:$U$505,STG_Woningetalage!$B$6:$B$505,$A93)))</f>
        <v/>
      </c>
      <c r="AY93" s="117" t="str">
        <f>IF($A93="","",IF($K93=0,"n.b.",SUMIFS(STG_Woningetalage!$V$6:$V$505,STG_Woningetalage!$B$6:$B$505,$A93)))</f>
        <v/>
      </c>
      <c r="AZ93" s="117" t="str">
        <f>IF($A93="","",IF($K93=0,"n.b.",SUMIFS(STG_Woningetalage!$W$6:$W$505,STG_Woningetalage!$B$6:$B$505,$A93)))</f>
        <v/>
      </c>
      <c r="BA93" s="117" t="str">
        <f>IF($A93="","",IF($K93=0,"n.b.",SUMIFS(STG_Woningetalage!$X$6:$X$505,STG_Woningetalage!$B$6:$B$505,$A93)))</f>
        <v/>
      </c>
      <c r="BB93" s="117" t="str">
        <f>IF($A93="","",IF($K93=0,"n.b.",SUMIFS(STG_Woningetalage!$Y$6:$Y$505,STG_Woningetalage!$B$6:$B$505,$A93)))</f>
        <v/>
      </c>
      <c r="BC93" s="117" t="str">
        <f>IF($A93="","",IF($K93=0,"n.b.",SUMIFS(STG_Woningetalage!$Z$6:$Z$505,STG_Woningetalage!$B$6:$B$505,$A93)))</f>
        <v/>
      </c>
      <c r="BD93" s="117" t="str">
        <f>IF($A93="","",IF($K93=0,"n.b.",SUMIFS(STG_Woningetalage!$AA$6:$AA$505,STG_Woningetalage!$B$6:$B$505,$A93)))</f>
        <v/>
      </c>
      <c r="BE93" s="117" t="str">
        <f>IF($A93="","",IF($K93=0,"n.b.",SUMIFS(STG_Woningetalage!$AB$6:$AB$505,STG_Woningetalage!$B$6:$B$505,$A93)))</f>
        <v/>
      </c>
      <c r="BF93" s="117" t="str">
        <f>IF($A93="","",IF($K93=0,"n.b.",SUMIFS(STG_Woningetalage!$AC$6:$AC$505,STG_Woningetalage!$B$6:$B$505,$A93)))</f>
        <v/>
      </c>
      <c r="BG93" s="117" t="str">
        <f>IF($A93="","",IF($K93=0,"n.b.",SUMIFS(STG_Woningetalage!$AD$6:$AD$505,STG_Woningetalage!$B$6:$B$505,$A93)))</f>
        <v/>
      </c>
      <c r="BH93" s="117" t="str">
        <f>IF($A93="","",IF($K93=0,"n.b.",SUMIFS(STG_Woningetalage!$AE$6:$AE$505,STG_Woningetalage!$B$6:$B$505,$A93)))</f>
        <v/>
      </c>
      <c r="BI93" s="117" t="str">
        <f>IF($A93="","",IF($K93=0,"n.b.",SUMIFS(STG_Woningetalage!$AF$6:$AF$505,STG_Woningetalage!$B$6:$B$505,$A93)))</f>
        <v/>
      </c>
      <c r="BJ93" s="117" t="str">
        <f>IF($A93="","",IF($K93=0,"n.b.",SUMIFS(STG_Woningetalage!$AG$6:$AG$505,STG_Woningetalage!$B$6:$B$505,$A93)))</f>
        <v/>
      </c>
      <c r="BK93" s="117" t="str">
        <f>IF($A93="","",IF($K93=0,"n.b.",SUMIFS(STG_Woningetalage!$AH$6:$AH$505,STG_Woningetalage!$B$6:$B$505,$A93)))</f>
        <v/>
      </c>
      <c r="BL93" s="117" t="str">
        <f>IF($A93="","",IF($K93=0,"n.b.",SUMIFS(STG_Woningetalage!$AI$6:$AI$505,STG_Woningetalage!$B$6:$B$505,$A93)))</f>
        <v/>
      </c>
      <c r="BM93" s="117" t="str">
        <f>IF($A93="","",IF($K93=0,"n.b.",SUMIFS(STG_Woningetalage!$AJ$6:$AJ$505,STG_Woningetalage!$B$6:$B$505,$A93)))</f>
        <v/>
      </c>
      <c r="BN93" s="117" t="str">
        <f>IF($A93="","",IF($K93=0,"n.b.",SUMIFS(STG_Woningetalage!$AK$6:$AK$505,STG_Woningetalage!$B$6:$B$505,$A93)))</f>
        <v/>
      </c>
      <c r="BO93" s="117" t="str">
        <f>IF($A93="","",IF($K93=0,"n.b.",SUMIFS(STG_Woningetalage!$AL$6:$AL$505,STG_Woningetalage!$B$6:$B$505,$A93)))</f>
        <v/>
      </c>
      <c r="BP93" s="117" t="str">
        <f>IF($A93="","",IF($K93=0,"n.b.",SUMIFS(STG_Woningetalage!$AM$6:$AM$505,STG_Woningetalage!$B$6:$B$505,$A93)))</f>
        <v/>
      </c>
      <c r="BQ93" s="117" t="str">
        <f>IF($A93="","",IF($K93=0,"n.b.",SUMIFS(STG_Woningetalage!$BE$6:$BE$505,STG_Woningetalage!$B$6:$B$505,$A93)))</f>
        <v/>
      </c>
      <c r="BR93" s="117" t="str">
        <f>IF($A93="","",IF($K93=0,"n.b.",SUMIFS(STG_Woningetalage!$BF$6:$BF$505,STG_Woningetalage!$B$6:$B$505,$A93)))</f>
        <v/>
      </c>
      <c r="BS93" s="117" t="str">
        <f>IF($A93="","",IF($K93=0,"n.b.",SUMIFS(STG_Woningetalage!$BG$6:$BG$505,STG_Woningetalage!$B$6:$B$505,$A93)))</f>
        <v/>
      </c>
      <c r="BT93" s="117" t="str">
        <f>IF($A93="","",IF($K93=0,"n.b.",SUMIFS(STG_Woningetalage!$BH$6:$BH$505,STG_Woningetalage!$B$6:$B$505,$A93)))</f>
        <v/>
      </c>
      <c r="BU93" s="117" t="str">
        <f>IF($A93="","",IF($K93=0,"n.b.",SUMIFS(STG_Woningetalage!$BI$6:$BI$505,STG_Woningetalage!$B$6:$B$505,$A93)))</f>
        <v/>
      </c>
      <c r="BV93" s="117" t="str">
        <f>IF($A93="","",IF($K93=0,"n.b.",SUMIFS(STG_Woningetalage!$BJ$6:$BJ$505,STG_Woningetalage!$B$6:$B$505,$A93)))</f>
        <v/>
      </c>
      <c r="BW93" s="117" t="str">
        <f>IF($A93="","",IF($K93=0,"n.b.",SUMIFS(STG_Woningetalage!$AR$6:$AR$505,STG_Woningetalage!$B$6:$B$505,$A93)))</f>
        <v/>
      </c>
      <c r="BX93" s="117" t="str">
        <f>IF($A93="","",IF($K93=0,"n.b.",SUMIFS(STG_Woningetalage!$AS$6:$AS$505,STG_Woningetalage!$B$6:$B$505,$A93)))</f>
        <v/>
      </c>
      <c r="BY93" s="117" t="str">
        <f>IF($A93="","",IF($K93=0,"n.b.",SUMIFS(STG_Woningetalage!$AN$6:$AN$505,STG_Woningetalage!$B$6:$B$505,$A93)))</f>
        <v/>
      </c>
      <c r="BZ93" s="117" t="str">
        <f>IF($A93="","",IF($K93=0,"n.b.",SUMIFS(STG_Woningetalage!$AO$6:$AO$505,STG_Woningetalage!$B$6:$B$505,$A93)))</f>
        <v/>
      </c>
      <c r="CA93" s="117" t="str">
        <f>IF($A93="","",IF($K93=0,"n.b.",SUMIFS(STG_Woningetalage!$AP$6:$AP$505,STG_Woningetalage!$B$6:$B$505,$A93)))</f>
        <v/>
      </c>
      <c r="CB93" s="117" t="str">
        <f>IF($A93="","",IF($K93=0,"n.b.",SUMIFS(STG_Woningetalage!$AQ$6:$AQ$505,STG_Woningetalage!$B$6:$B$505,$A93)))</f>
        <v/>
      </c>
      <c r="CC93" s="117" t="str">
        <f>IF($A93="","",IF($K93=0,"n.b.",SUMIFS(STG_Woningetalage!$AU$6:$AU$505,STG_Woningetalage!$B$6:$B$505,$A93)))</f>
        <v/>
      </c>
      <c r="CD93" s="92" t="str">
        <f>IF($A93="","",IFERROR(INDEX(STG_ZPMW03!$L$6:$L$505,MATCH($A93,STG_ZPMW03!$B$6:$B$505,0)),"n.b."))</f>
        <v/>
      </c>
      <c r="CE93" s="92" t="str">
        <f>IF($A93="","",IFERROR(INDEX(STG_ZPMW03!$K$6:$K$505,MATCH($A93,STG_ZPMW03!$B$6:$B$505,0)),"n.b."))</f>
        <v/>
      </c>
      <c r="CF93" s="92" t="str">
        <f>IF($A93="","",IFERROR(INDEX(STG_ZPMW03!$BH$6:$BH$505,MATCH($A93,STG_ZPMW03!$B$6:$B$505,0)),"n.b."))</f>
        <v/>
      </c>
      <c r="CG93" s="92" t="str">
        <f>IF($A93="","",IFERROR(INDEX(STG_ZPMW03!$BI$6:$BI$505,MATCH($A93,STG_ZPMW03!$B$6:$B$505,0)),"n.b."))</f>
        <v/>
      </c>
      <c r="CH93" s="92" t="str">
        <f>IF($A93="","",IFERROR(INDEX(STG_ZPMW03!$BJ$6:$BJ$505,MATCH($A93,STG_ZPMW03!$B$6:$B$505,0)),"n.b."))</f>
        <v/>
      </c>
      <c r="CI93" s="92" t="str">
        <f>IF($A93="","",IFERROR(INDEX(STG_ZPMW03!$BF$6:$BF$505,MATCH($A93,STG_ZPMW03!$B$6:$B$505,0)),"n.b."))</f>
        <v/>
      </c>
      <c r="CJ93" s="92" t="str">
        <f>IF($A93="","",IFERROR(INDEX(STG_ZPMW03!$BG$6:$BG$505,MATCH($A93,STG_ZPMW03!$B$6:$B$505,0)),"n.b."))</f>
        <v/>
      </c>
      <c r="CK93" s="92" t="str">
        <f>IF($A93="","",IFERROR(INDEX(STG_ZPMW03!$H$6:$H$505,MATCH($A93,STG_ZPMW03!$B$6:$B$505,0)),"n.b."))</f>
        <v/>
      </c>
      <c r="CL93" s="92" t="str">
        <f>IF($A93="","",IFERROR(INDEX(STG_ZPMW03!$E$6:$E$505,MATCH($A93,STG_ZPMW03!$B$6:$B$505,0)),"n.b."))</f>
        <v/>
      </c>
      <c r="CM93" s="92" t="str">
        <f>IF($A93="","",IFERROR(INDEX(STG_ZPMW03!$G$6:$G$505,MATCH($A93,STG_ZPMW03!$B$6:$B$505,0)),"n.b."))</f>
        <v/>
      </c>
      <c r="CN93" s="92" t="str">
        <f>IF($A93="","",IFERROR(INDEX(STG_Woningetalage!$N$6:$N$505,MATCH($A93,STG_Woningetalage!$B$6:$B$505,0)),"n.b."))</f>
        <v/>
      </c>
      <c r="CO93" s="92" t="str">
        <f>IF($A93="","",IFERROR(INDEX(STG_Woningetalage!$P$6:$P$505,MATCH($A93,STG_Woningetalage!$B$6:$B$505,0)),"n.b."))</f>
        <v/>
      </c>
      <c r="CP93" s="118" t="str">
        <f>IF($A93="","",IF(AND(ISNUMBER(AT93),ISNUMBER(F93)),IF(F93&gt;0,AT93/(F93/100),"n.b."),"n.b."))</f>
        <v/>
      </c>
      <c r="CQ93" s="116" t="str">
        <f>IF($A93="","",IF(ISNUMBER(Q93),IF(Q93&lt;0,1,0),0))</f>
        <v/>
      </c>
      <c r="CR93" s="116" t="str">
        <f>IF(CQ93=1,COUNTIF($CQ$6:CQ93,1),"")</f>
        <v/>
      </c>
      <c r="CS93" s="116" t="str">
        <f>IF(AND($A93&lt;&gt;"",$J93=0),COUNTIFS($A$6:$A93,"?*",$J$6:$J93,0),"")</f>
        <v/>
      </c>
      <c r="CT93" s="119" t="str">
        <f>IF($A93="","",IF(AND(ISNUMBER(Q93),ISNUMBER(P93)),IF(P93&lt;&gt;0,Q93/P93,"n.b."),"n.b."))</f>
        <v/>
      </c>
    </row>
    <row r="94">
      <c r="A94" s="92" t="str">
        <f>IF(Mapping!$A93="","",Mapping!$A93)</f>
        <v/>
      </c>
      <c r="B94" s="92" t="str">
        <f>IF(Mapping!$B93="","",Mapping!$B93)</f>
        <v/>
      </c>
      <c r="C94" s="92" t="str">
        <f>IF(Mapping!$C93="","",Mapping!$C93)</f>
        <v/>
      </c>
      <c r="D94" s="92" t="str">
        <f>IF(Mapping!$F93="","",Mapping!$F93)</f>
        <v/>
      </c>
      <c r="E94" s="92" t="str">
        <f>IF(Mapping!$H93="","",Mapping!$H93)</f>
        <v/>
      </c>
      <c r="F94" s="92" t="str">
        <f>IF(Mapping!$E93="","",Mapping!$E93)</f>
        <v/>
      </c>
      <c r="G94" s="92" t="str">
        <f>IF(Mapping!$G93="","",Mapping!$G93)</f>
        <v/>
      </c>
      <c r="H94" s="92" t="str">
        <f>IF(Mapping!$D93="","",Mapping!$D93)</f>
        <v/>
      </c>
      <c r="I94" s="92" t="str">
        <f>IF($A94="","",IFERROR(INDEX(STG_ZPMW03!$C$6:$C$505,MATCH($A94,STG_ZPMW03!$B$6:$B$505,0)),"n.b."))</f>
        <v/>
      </c>
      <c r="J94" s="116" t="str">
        <f>IF($A94="","",COUNTIF(STG_ZPMW03!$B$6:$B$505,$A94))</f>
        <v/>
      </c>
      <c r="K94" s="116" t="str">
        <f>IF($A94="","",COUNTIF(STG_Woningetalage!$B$6:$B$505,$A94))</f>
        <v/>
      </c>
      <c r="L94" s="117" t="str">
        <f>IF($A94="","",IF($J94=0,"n.b.",SUMIFS(STG_ZPMW03!$BK$6:$BK$505,STG_ZPMW03!$B$6:$B$505,$A94)))</f>
        <v/>
      </c>
      <c r="M94" s="117" t="str">
        <f>IF($A94="","",IF($J94=0,"n.b.",SUMIFS(STG_ZPMW03!$BL$6:$BL$505,STG_ZPMW03!$B$6:$B$505,$A94)))</f>
        <v/>
      </c>
      <c r="N94" s="117" t="str">
        <f>IF($A94="","",IF($J94=0,"n.b.",SUMIFS(STG_ZPMW03!$BM$6:$BM$505,STG_ZPMW03!$B$6:$B$505,$A94)))</f>
        <v/>
      </c>
      <c r="O94" s="117" t="str">
        <f>IF($A94="","",IF($J94=0,"n.b.",SUMIFS(STG_ZPMW03!$BN$6:$BN$505,STG_ZPMW03!$B$6:$B$505,$A94)))</f>
        <v/>
      </c>
      <c r="P94" s="117" t="str">
        <f>IF($A94="","",IF($J94=0,"n.b.",SUMIFS(STG_ZPMW03!$BO$6:$BO$505,STG_ZPMW03!$B$6:$B$505,$A94)))</f>
        <v/>
      </c>
      <c r="Q94" s="117" t="str">
        <f>IF($A94="","",IF($J94=0,"n.b.",SUMIFS(STG_ZPMW03!$BP$6:$BP$505,STG_ZPMW03!$B$6:$B$505,$A94)))</f>
        <v/>
      </c>
      <c r="R94" s="117" t="str">
        <f>IF($A94="","",IF($J94=0,"n.b.",SUMIFS(STG_ZPMW03!$BQ$6:$BQ$505,STG_ZPMW03!$B$6:$B$505,$A94)))</f>
        <v/>
      </c>
      <c r="S94" s="117" t="str">
        <f>IF($A94="","",IF($J94=0,"n.b.",SUMIFS(STG_ZPMW03!$BR$6:$BR$505,STG_ZPMW03!$B$6:$B$505,$A94)))</f>
        <v/>
      </c>
      <c r="T94" s="117" t="str">
        <f>IF($A94="","",IF($J94=0,"n.b.",SUMIFS(STG_ZPMW03!$BS$6:$BS$505,STG_ZPMW03!$B$6:$B$505,$A94)))</f>
        <v/>
      </c>
      <c r="U94" s="117" t="str">
        <f>IF($A94="","",IF($J94=0,"n.b.",SUMIFS(STG_ZPMW03!$BT$6:$BT$505,STG_ZPMW03!$B$6:$B$505,$A94)))</f>
        <v/>
      </c>
      <c r="V94" s="117" t="str">
        <f>IF($A94="","",IF($J94=0,"n.b.",SUMIFS(STG_ZPMW03!$BU$6:$BU$505,STG_ZPMW03!$B$6:$B$505,$A94)))</f>
        <v/>
      </c>
      <c r="W94" s="117" t="str">
        <f>IF($A94="","",IF($J94=0,"n.b.",SUMIFS(STG_ZPMW03!$BW$6:$BW$505,STG_ZPMW03!$B$6:$B$505,$A94)))</f>
        <v/>
      </c>
      <c r="X94" s="117" t="str">
        <f>IF($A94="","",IF($J94=0,"n.b.",SUMIFS(STG_ZPMW03!$BY$6:$BY$505,STG_ZPMW03!$B$6:$B$505,$A94)))</f>
        <v/>
      </c>
      <c r="Y94" s="117" t="str">
        <f>IF($A94="","",IF($J94=0,"n.b.",SUMIFS(STG_ZPMW03!$CA$6:$CA$505,STG_ZPMW03!$B$6:$B$505,$A94)))</f>
        <v/>
      </c>
      <c r="Z94" s="117" t="str">
        <f>IF($A94="","",IF($J94=0,"n.b.",SUMIFS(STG_ZPMW03!$BV$6:$BV$505,STG_ZPMW03!$B$6:$B$505,$A94)))</f>
        <v/>
      </c>
      <c r="AA94" s="117" t="str">
        <f>IF($A94="","",IF($J94=0,"n.b.",SUMIFS(STG_ZPMW03!$BX$6:$BX$505,STG_ZPMW03!$B$6:$B$505,$A94)))</f>
        <v/>
      </c>
      <c r="AB94" s="117" t="str">
        <f>IF($A94="","",IF($J94=0,"n.b.",SUMIFS(STG_ZPMW03!$BZ$6:$BZ$505,STG_ZPMW03!$B$6:$B$505,$A94)))</f>
        <v/>
      </c>
      <c r="AC94" s="117" t="str">
        <f>IF($A94="","",IF($J94=0,"n.b.",SUMIFS(STG_ZPMW03!$CB$6:$CB$505,STG_ZPMW03!$B$6:$B$505,$A94)))</f>
        <v/>
      </c>
      <c r="AD94" s="117" t="str">
        <f>IF($A94="","",IF($J94=0,"n.b.",SUMIFS(STG_ZPMW03!$CC$6:$CC$505,STG_ZPMW03!$B$6:$B$505,$A94)))</f>
        <v/>
      </c>
      <c r="AE94" s="117" t="str">
        <f>IF($A94="","",IF($J94=0,"n.b.",SUMIFS(STG_ZPMW03!$CE$6:$CE$505,STG_ZPMW03!$B$6:$B$505,$A94)))</f>
        <v/>
      </c>
      <c r="AF94" s="117" t="str">
        <f>IF($A94="","",IF($J94=0,"n.b.",SUMIFS(STG_ZPMW03!$CG$6:$CG$505,STG_ZPMW03!$B$6:$B$505,$A94)))</f>
        <v/>
      </c>
      <c r="AG94" s="117" t="str">
        <f>IF($A94="","",IF($J94=0,"n.b.",SUMIFS(STG_ZPMW03!$CI$6:$CI$505,STG_ZPMW03!$B$6:$B$505,$A94)))</f>
        <v/>
      </c>
      <c r="AH94" s="117" t="str">
        <f>IF($A94="","",IF($J94=0,"n.b.",SUMIFS(STG_ZPMW03!$CK$6:$CK$505,STG_ZPMW03!$B$6:$B$505,$A94)))</f>
        <v/>
      </c>
      <c r="AI94" s="117" t="str">
        <f>IF($A94="","",IF($J94=0,"n.b.",SUMIFS(STG_ZPMW03!$CM$6:$CM$505,STG_ZPMW03!$B$6:$B$505,$A94)))</f>
        <v/>
      </c>
      <c r="AJ94" s="117" t="str">
        <f>IF($A94="","",IF($J94=0,"n.b.",SUMIFS(STG_ZPMW03!$CO$6:$CO$505,STG_ZPMW03!$B$6:$B$505,$A94)))</f>
        <v/>
      </c>
      <c r="AK94" s="117" t="str">
        <f>IF($A94="","",IF($J94=0,"n.b.",SUMIFS(STG_ZPMW03!$CQ$6:$CQ$505,STG_ZPMW03!$B$6:$B$505,$A94)))</f>
        <v/>
      </c>
      <c r="AL94" s="117" t="str">
        <f>IF($A94="","",IF($J94=0,"n.b.",SUMIFS(STG_ZPMW03!$CD$6:$CD$505,STG_ZPMW03!$B$6:$B$505,$A94)))</f>
        <v/>
      </c>
      <c r="AM94" s="117" t="str">
        <f>IF($A94="","",IF($J94=0,"n.b.",SUMIFS(STG_ZPMW03!$CF$6:$CF$505,STG_ZPMW03!$B$6:$B$505,$A94)))</f>
        <v/>
      </c>
      <c r="AN94" s="117" t="str">
        <f>IF($A94="","",IF($J94=0,"n.b.",SUMIFS(STG_ZPMW03!$CH$6:$CH$505,STG_ZPMW03!$B$6:$B$505,$A94)))</f>
        <v/>
      </c>
      <c r="AO94" s="117" t="str">
        <f>IF($A94="","",IF($J94=0,"n.b.",SUMIFS(STG_ZPMW03!$CJ$6:$CJ$505,STG_ZPMW03!$B$6:$B$505,$A94)))</f>
        <v/>
      </c>
      <c r="AP94" s="117" t="str">
        <f>IF($A94="","",IF($J94=0,"n.b.",SUMIFS(STG_ZPMW03!$CL$6:$CL$505,STG_ZPMW03!$B$6:$B$505,$A94)))</f>
        <v/>
      </c>
      <c r="AQ94" s="117" t="str">
        <f>IF($A94="","",IF($J94=0,"n.b.",SUMIFS(STG_ZPMW03!$CN$6:$CN$505,STG_ZPMW03!$B$6:$B$505,$A94)))</f>
        <v/>
      </c>
      <c r="AR94" s="117" t="str">
        <f>IF($A94="","",IF($J94=0,"n.b.",SUMIFS(STG_ZPMW03!$CP$6:$CP$505,STG_ZPMW03!$B$6:$B$505,$A94)))</f>
        <v/>
      </c>
      <c r="AS94" s="117" t="str">
        <f>IF($A94="","",IF($J94=0,"n.b.",SUMIFS(STG_ZPMW03!$CR$6:$CR$505,STG_ZPMW03!$B$6:$B$505,$A94)))</f>
        <v/>
      </c>
      <c r="AT94" s="117" t="str">
        <f>IF($A94="","",IF($K94=0,"n.b.",SUMIFS(STG_Woningetalage!$Q$6:$Q$505,STG_Woningetalage!$B$6:$B$505,$A94)))</f>
        <v/>
      </c>
      <c r="AU94" s="117" t="str">
        <f>IF($A94="","",IF($K94=0,"n.b.",SUMIFS(STG_Woningetalage!$R$6:$R$505,STG_Woningetalage!$B$6:$B$505,$A94)))</f>
        <v/>
      </c>
      <c r="AV94" s="117" t="str">
        <f>IF($A94="","",IF($K94=0,"n.b.",SUMIFS(STG_Woningetalage!$S$6:$S$505,STG_Woningetalage!$B$6:$B$505,$A94)))</f>
        <v/>
      </c>
      <c r="AW94" s="117" t="str">
        <f>IF($A94="","",IF($K94=0,"n.b.",SUMIFS(STG_Woningetalage!$T$6:$T$505,STG_Woningetalage!$B$6:$B$505,$A94)))</f>
        <v/>
      </c>
      <c r="AX94" s="117" t="str">
        <f>IF($A94="","",IF($K94=0,"n.b.",SUMIFS(STG_Woningetalage!$U$6:$U$505,STG_Woningetalage!$B$6:$B$505,$A94)))</f>
        <v/>
      </c>
      <c r="AY94" s="117" t="str">
        <f>IF($A94="","",IF($K94=0,"n.b.",SUMIFS(STG_Woningetalage!$V$6:$V$505,STG_Woningetalage!$B$6:$B$505,$A94)))</f>
        <v/>
      </c>
      <c r="AZ94" s="117" t="str">
        <f>IF($A94="","",IF($K94=0,"n.b.",SUMIFS(STG_Woningetalage!$W$6:$W$505,STG_Woningetalage!$B$6:$B$505,$A94)))</f>
        <v/>
      </c>
      <c r="BA94" s="117" t="str">
        <f>IF($A94="","",IF($K94=0,"n.b.",SUMIFS(STG_Woningetalage!$X$6:$X$505,STG_Woningetalage!$B$6:$B$505,$A94)))</f>
        <v/>
      </c>
      <c r="BB94" s="117" t="str">
        <f>IF($A94="","",IF($K94=0,"n.b.",SUMIFS(STG_Woningetalage!$Y$6:$Y$505,STG_Woningetalage!$B$6:$B$505,$A94)))</f>
        <v/>
      </c>
      <c r="BC94" s="117" t="str">
        <f>IF($A94="","",IF($K94=0,"n.b.",SUMIFS(STG_Woningetalage!$Z$6:$Z$505,STG_Woningetalage!$B$6:$B$505,$A94)))</f>
        <v/>
      </c>
      <c r="BD94" s="117" t="str">
        <f>IF($A94="","",IF($K94=0,"n.b.",SUMIFS(STG_Woningetalage!$AA$6:$AA$505,STG_Woningetalage!$B$6:$B$505,$A94)))</f>
        <v/>
      </c>
      <c r="BE94" s="117" t="str">
        <f>IF($A94="","",IF($K94=0,"n.b.",SUMIFS(STG_Woningetalage!$AB$6:$AB$505,STG_Woningetalage!$B$6:$B$505,$A94)))</f>
        <v/>
      </c>
      <c r="BF94" s="117" t="str">
        <f>IF($A94="","",IF($K94=0,"n.b.",SUMIFS(STG_Woningetalage!$AC$6:$AC$505,STG_Woningetalage!$B$6:$B$505,$A94)))</f>
        <v/>
      </c>
      <c r="BG94" s="117" t="str">
        <f>IF($A94="","",IF($K94=0,"n.b.",SUMIFS(STG_Woningetalage!$AD$6:$AD$505,STG_Woningetalage!$B$6:$B$505,$A94)))</f>
        <v/>
      </c>
      <c r="BH94" s="117" t="str">
        <f>IF($A94="","",IF($K94=0,"n.b.",SUMIFS(STG_Woningetalage!$AE$6:$AE$505,STG_Woningetalage!$B$6:$B$505,$A94)))</f>
        <v/>
      </c>
      <c r="BI94" s="117" t="str">
        <f>IF($A94="","",IF($K94=0,"n.b.",SUMIFS(STG_Woningetalage!$AF$6:$AF$505,STG_Woningetalage!$B$6:$B$505,$A94)))</f>
        <v/>
      </c>
      <c r="BJ94" s="117" t="str">
        <f>IF($A94="","",IF($K94=0,"n.b.",SUMIFS(STG_Woningetalage!$AG$6:$AG$505,STG_Woningetalage!$B$6:$B$505,$A94)))</f>
        <v/>
      </c>
      <c r="BK94" s="117" t="str">
        <f>IF($A94="","",IF($K94=0,"n.b.",SUMIFS(STG_Woningetalage!$AH$6:$AH$505,STG_Woningetalage!$B$6:$B$505,$A94)))</f>
        <v/>
      </c>
      <c r="BL94" s="117" t="str">
        <f>IF($A94="","",IF($K94=0,"n.b.",SUMIFS(STG_Woningetalage!$AI$6:$AI$505,STG_Woningetalage!$B$6:$B$505,$A94)))</f>
        <v/>
      </c>
      <c r="BM94" s="117" t="str">
        <f>IF($A94="","",IF($K94=0,"n.b.",SUMIFS(STG_Woningetalage!$AJ$6:$AJ$505,STG_Woningetalage!$B$6:$B$505,$A94)))</f>
        <v/>
      </c>
      <c r="BN94" s="117" t="str">
        <f>IF($A94="","",IF($K94=0,"n.b.",SUMIFS(STG_Woningetalage!$AK$6:$AK$505,STG_Woningetalage!$B$6:$B$505,$A94)))</f>
        <v/>
      </c>
      <c r="BO94" s="117" t="str">
        <f>IF($A94="","",IF($K94=0,"n.b.",SUMIFS(STG_Woningetalage!$AL$6:$AL$505,STG_Woningetalage!$B$6:$B$505,$A94)))</f>
        <v/>
      </c>
      <c r="BP94" s="117" t="str">
        <f>IF($A94="","",IF($K94=0,"n.b.",SUMIFS(STG_Woningetalage!$AM$6:$AM$505,STG_Woningetalage!$B$6:$B$505,$A94)))</f>
        <v/>
      </c>
      <c r="BQ94" s="117" t="str">
        <f>IF($A94="","",IF($K94=0,"n.b.",SUMIFS(STG_Woningetalage!$BE$6:$BE$505,STG_Woningetalage!$B$6:$B$505,$A94)))</f>
        <v/>
      </c>
      <c r="BR94" s="117" t="str">
        <f>IF($A94="","",IF($K94=0,"n.b.",SUMIFS(STG_Woningetalage!$BF$6:$BF$505,STG_Woningetalage!$B$6:$B$505,$A94)))</f>
        <v/>
      </c>
      <c r="BS94" s="117" t="str">
        <f>IF($A94="","",IF($K94=0,"n.b.",SUMIFS(STG_Woningetalage!$BG$6:$BG$505,STG_Woningetalage!$B$6:$B$505,$A94)))</f>
        <v/>
      </c>
      <c r="BT94" s="117" t="str">
        <f>IF($A94="","",IF($K94=0,"n.b.",SUMIFS(STG_Woningetalage!$BH$6:$BH$505,STG_Woningetalage!$B$6:$B$505,$A94)))</f>
        <v/>
      </c>
      <c r="BU94" s="117" t="str">
        <f>IF($A94="","",IF($K94=0,"n.b.",SUMIFS(STG_Woningetalage!$BI$6:$BI$505,STG_Woningetalage!$B$6:$B$505,$A94)))</f>
        <v/>
      </c>
      <c r="BV94" s="117" t="str">
        <f>IF($A94="","",IF($K94=0,"n.b.",SUMIFS(STG_Woningetalage!$BJ$6:$BJ$505,STG_Woningetalage!$B$6:$B$505,$A94)))</f>
        <v/>
      </c>
      <c r="BW94" s="117" t="str">
        <f>IF($A94="","",IF($K94=0,"n.b.",SUMIFS(STG_Woningetalage!$AR$6:$AR$505,STG_Woningetalage!$B$6:$B$505,$A94)))</f>
        <v/>
      </c>
      <c r="BX94" s="117" t="str">
        <f>IF($A94="","",IF($K94=0,"n.b.",SUMIFS(STG_Woningetalage!$AS$6:$AS$505,STG_Woningetalage!$B$6:$B$505,$A94)))</f>
        <v/>
      </c>
      <c r="BY94" s="117" t="str">
        <f>IF($A94="","",IF($K94=0,"n.b.",SUMIFS(STG_Woningetalage!$AN$6:$AN$505,STG_Woningetalage!$B$6:$B$505,$A94)))</f>
        <v/>
      </c>
      <c r="BZ94" s="117" t="str">
        <f>IF($A94="","",IF($K94=0,"n.b.",SUMIFS(STG_Woningetalage!$AO$6:$AO$505,STG_Woningetalage!$B$6:$B$505,$A94)))</f>
        <v/>
      </c>
      <c r="CA94" s="117" t="str">
        <f>IF($A94="","",IF($K94=0,"n.b.",SUMIFS(STG_Woningetalage!$AP$6:$AP$505,STG_Woningetalage!$B$6:$B$505,$A94)))</f>
        <v/>
      </c>
      <c r="CB94" s="117" t="str">
        <f>IF($A94="","",IF($K94=0,"n.b.",SUMIFS(STG_Woningetalage!$AQ$6:$AQ$505,STG_Woningetalage!$B$6:$B$505,$A94)))</f>
        <v/>
      </c>
      <c r="CC94" s="117" t="str">
        <f>IF($A94="","",IF($K94=0,"n.b.",SUMIFS(STG_Woningetalage!$AU$6:$AU$505,STG_Woningetalage!$B$6:$B$505,$A94)))</f>
        <v/>
      </c>
      <c r="CD94" s="92" t="str">
        <f>IF($A94="","",IFERROR(INDEX(STG_ZPMW03!$L$6:$L$505,MATCH($A94,STG_ZPMW03!$B$6:$B$505,0)),"n.b."))</f>
        <v/>
      </c>
      <c r="CE94" s="92" t="str">
        <f>IF($A94="","",IFERROR(INDEX(STG_ZPMW03!$K$6:$K$505,MATCH($A94,STG_ZPMW03!$B$6:$B$505,0)),"n.b."))</f>
        <v/>
      </c>
      <c r="CF94" s="92" t="str">
        <f>IF($A94="","",IFERROR(INDEX(STG_ZPMW03!$BH$6:$BH$505,MATCH($A94,STG_ZPMW03!$B$6:$B$505,0)),"n.b."))</f>
        <v/>
      </c>
      <c r="CG94" s="92" t="str">
        <f>IF($A94="","",IFERROR(INDEX(STG_ZPMW03!$BI$6:$BI$505,MATCH($A94,STG_ZPMW03!$B$6:$B$505,0)),"n.b."))</f>
        <v/>
      </c>
      <c r="CH94" s="92" t="str">
        <f>IF($A94="","",IFERROR(INDEX(STG_ZPMW03!$BJ$6:$BJ$505,MATCH($A94,STG_ZPMW03!$B$6:$B$505,0)),"n.b."))</f>
        <v/>
      </c>
      <c r="CI94" s="92" t="str">
        <f>IF($A94="","",IFERROR(INDEX(STG_ZPMW03!$BF$6:$BF$505,MATCH($A94,STG_ZPMW03!$B$6:$B$505,0)),"n.b."))</f>
        <v/>
      </c>
      <c r="CJ94" s="92" t="str">
        <f>IF($A94="","",IFERROR(INDEX(STG_ZPMW03!$BG$6:$BG$505,MATCH($A94,STG_ZPMW03!$B$6:$B$505,0)),"n.b."))</f>
        <v/>
      </c>
      <c r="CK94" s="92" t="str">
        <f>IF($A94="","",IFERROR(INDEX(STG_ZPMW03!$H$6:$H$505,MATCH($A94,STG_ZPMW03!$B$6:$B$505,0)),"n.b."))</f>
        <v/>
      </c>
      <c r="CL94" s="92" t="str">
        <f>IF($A94="","",IFERROR(INDEX(STG_ZPMW03!$E$6:$E$505,MATCH($A94,STG_ZPMW03!$B$6:$B$505,0)),"n.b."))</f>
        <v/>
      </c>
      <c r="CM94" s="92" t="str">
        <f>IF($A94="","",IFERROR(INDEX(STG_ZPMW03!$G$6:$G$505,MATCH($A94,STG_ZPMW03!$B$6:$B$505,0)),"n.b."))</f>
        <v/>
      </c>
      <c r="CN94" s="92" t="str">
        <f>IF($A94="","",IFERROR(INDEX(STG_Woningetalage!$N$6:$N$505,MATCH($A94,STG_Woningetalage!$B$6:$B$505,0)),"n.b."))</f>
        <v/>
      </c>
      <c r="CO94" s="92" t="str">
        <f>IF($A94="","",IFERROR(INDEX(STG_Woningetalage!$P$6:$P$505,MATCH($A94,STG_Woningetalage!$B$6:$B$505,0)),"n.b."))</f>
        <v/>
      </c>
      <c r="CP94" s="118" t="str">
        <f>IF($A94="","",IF(AND(ISNUMBER(AT94),ISNUMBER(F94)),IF(F94&gt;0,AT94/(F94/100),"n.b."),"n.b."))</f>
        <v/>
      </c>
      <c r="CQ94" s="116" t="str">
        <f>IF($A94="","",IF(ISNUMBER(Q94),IF(Q94&lt;0,1,0),0))</f>
        <v/>
      </c>
      <c r="CR94" s="116" t="str">
        <f>IF(CQ94=1,COUNTIF($CQ$6:CQ94,1),"")</f>
        <v/>
      </c>
      <c r="CS94" s="116" t="str">
        <f>IF(AND($A94&lt;&gt;"",$J94=0),COUNTIFS($A$6:$A94,"?*",$J$6:$J94,0),"")</f>
        <v/>
      </c>
      <c r="CT94" s="119" t="str">
        <f>IF($A94="","",IF(AND(ISNUMBER(Q94),ISNUMBER(P94)),IF(P94&lt;&gt;0,Q94/P94,"n.b."),"n.b."))</f>
        <v/>
      </c>
    </row>
    <row r="95">
      <c r="A95" s="92" t="str">
        <f>IF(Mapping!$A94="","",Mapping!$A94)</f>
        <v/>
      </c>
      <c r="B95" s="92" t="str">
        <f>IF(Mapping!$B94="","",Mapping!$B94)</f>
        <v/>
      </c>
      <c r="C95" s="92" t="str">
        <f>IF(Mapping!$C94="","",Mapping!$C94)</f>
        <v/>
      </c>
      <c r="D95" s="92" t="str">
        <f>IF(Mapping!$F94="","",Mapping!$F94)</f>
        <v/>
      </c>
      <c r="E95" s="92" t="str">
        <f>IF(Mapping!$H94="","",Mapping!$H94)</f>
        <v/>
      </c>
      <c r="F95" s="92" t="str">
        <f>IF(Mapping!$E94="","",Mapping!$E94)</f>
        <v/>
      </c>
      <c r="G95" s="92" t="str">
        <f>IF(Mapping!$G94="","",Mapping!$G94)</f>
        <v/>
      </c>
      <c r="H95" s="92" t="str">
        <f>IF(Mapping!$D94="","",Mapping!$D94)</f>
        <v/>
      </c>
      <c r="I95" s="92" t="str">
        <f>IF($A95="","",IFERROR(INDEX(STG_ZPMW03!$C$6:$C$505,MATCH($A95,STG_ZPMW03!$B$6:$B$505,0)),"n.b."))</f>
        <v/>
      </c>
      <c r="J95" s="116" t="str">
        <f>IF($A95="","",COUNTIF(STG_ZPMW03!$B$6:$B$505,$A95))</f>
        <v/>
      </c>
      <c r="K95" s="116" t="str">
        <f>IF($A95="","",COUNTIF(STG_Woningetalage!$B$6:$B$505,$A95))</f>
        <v/>
      </c>
      <c r="L95" s="117" t="str">
        <f>IF($A95="","",IF($J95=0,"n.b.",SUMIFS(STG_ZPMW03!$BK$6:$BK$505,STG_ZPMW03!$B$6:$B$505,$A95)))</f>
        <v/>
      </c>
      <c r="M95" s="117" t="str">
        <f>IF($A95="","",IF($J95=0,"n.b.",SUMIFS(STG_ZPMW03!$BL$6:$BL$505,STG_ZPMW03!$B$6:$B$505,$A95)))</f>
        <v/>
      </c>
      <c r="N95" s="117" t="str">
        <f>IF($A95="","",IF($J95=0,"n.b.",SUMIFS(STG_ZPMW03!$BM$6:$BM$505,STG_ZPMW03!$B$6:$B$505,$A95)))</f>
        <v/>
      </c>
      <c r="O95" s="117" t="str">
        <f>IF($A95="","",IF($J95=0,"n.b.",SUMIFS(STG_ZPMW03!$BN$6:$BN$505,STG_ZPMW03!$B$6:$B$505,$A95)))</f>
        <v/>
      </c>
      <c r="P95" s="117" t="str">
        <f>IF($A95="","",IF($J95=0,"n.b.",SUMIFS(STG_ZPMW03!$BO$6:$BO$505,STG_ZPMW03!$B$6:$B$505,$A95)))</f>
        <v/>
      </c>
      <c r="Q95" s="117" t="str">
        <f>IF($A95="","",IF($J95=0,"n.b.",SUMIFS(STG_ZPMW03!$BP$6:$BP$505,STG_ZPMW03!$B$6:$B$505,$A95)))</f>
        <v/>
      </c>
      <c r="R95" s="117" t="str">
        <f>IF($A95="","",IF($J95=0,"n.b.",SUMIFS(STG_ZPMW03!$BQ$6:$BQ$505,STG_ZPMW03!$B$6:$B$505,$A95)))</f>
        <v/>
      </c>
      <c r="S95" s="117" t="str">
        <f>IF($A95="","",IF($J95=0,"n.b.",SUMIFS(STG_ZPMW03!$BR$6:$BR$505,STG_ZPMW03!$B$6:$B$505,$A95)))</f>
        <v/>
      </c>
      <c r="T95" s="117" t="str">
        <f>IF($A95="","",IF($J95=0,"n.b.",SUMIFS(STG_ZPMW03!$BS$6:$BS$505,STG_ZPMW03!$B$6:$B$505,$A95)))</f>
        <v/>
      </c>
      <c r="U95" s="117" t="str">
        <f>IF($A95="","",IF($J95=0,"n.b.",SUMIFS(STG_ZPMW03!$BT$6:$BT$505,STG_ZPMW03!$B$6:$B$505,$A95)))</f>
        <v/>
      </c>
      <c r="V95" s="117" t="str">
        <f>IF($A95="","",IF($J95=0,"n.b.",SUMIFS(STG_ZPMW03!$BU$6:$BU$505,STG_ZPMW03!$B$6:$B$505,$A95)))</f>
        <v/>
      </c>
      <c r="W95" s="117" t="str">
        <f>IF($A95="","",IF($J95=0,"n.b.",SUMIFS(STG_ZPMW03!$BW$6:$BW$505,STG_ZPMW03!$B$6:$B$505,$A95)))</f>
        <v/>
      </c>
      <c r="X95" s="117" t="str">
        <f>IF($A95="","",IF($J95=0,"n.b.",SUMIFS(STG_ZPMW03!$BY$6:$BY$505,STG_ZPMW03!$B$6:$B$505,$A95)))</f>
        <v/>
      </c>
      <c r="Y95" s="117" t="str">
        <f>IF($A95="","",IF($J95=0,"n.b.",SUMIFS(STG_ZPMW03!$CA$6:$CA$505,STG_ZPMW03!$B$6:$B$505,$A95)))</f>
        <v/>
      </c>
      <c r="Z95" s="117" t="str">
        <f>IF($A95="","",IF($J95=0,"n.b.",SUMIFS(STG_ZPMW03!$BV$6:$BV$505,STG_ZPMW03!$B$6:$B$505,$A95)))</f>
        <v/>
      </c>
      <c r="AA95" s="117" t="str">
        <f>IF($A95="","",IF($J95=0,"n.b.",SUMIFS(STG_ZPMW03!$BX$6:$BX$505,STG_ZPMW03!$B$6:$B$505,$A95)))</f>
        <v/>
      </c>
      <c r="AB95" s="117" t="str">
        <f>IF($A95="","",IF($J95=0,"n.b.",SUMIFS(STG_ZPMW03!$BZ$6:$BZ$505,STG_ZPMW03!$B$6:$B$505,$A95)))</f>
        <v/>
      </c>
      <c r="AC95" s="117" t="str">
        <f>IF($A95="","",IF($J95=0,"n.b.",SUMIFS(STG_ZPMW03!$CB$6:$CB$505,STG_ZPMW03!$B$6:$B$505,$A95)))</f>
        <v/>
      </c>
      <c r="AD95" s="117" t="str">
        <f>IF($A95="","",IF($J95=0,"n.b.",SUMIFS(STG_ZPMW03!$CC$6:$CC$505,STG_ZPMW03!$B$6:$B$505,$A95)))</f>
        <v/>
      </c>
      <c r="AE95" s="117" t="str">
        <f>IF($A95="","",IF($J95=0,"n.b.",SUMIFS(STG_ZPMW03!$CE$6:$CE$505,STG_ZPMW03!$B$6:$B$505,$A95)))</f>
        <v/>
      </c>
      <c r="AF95" s="117" t="str">
        <f>IF($A95="","",IF($J95=0,"n.b.",SUMIFS(STG_ZPMW03!$CG$6:$CG$505,STG_ZPMW03!$B$6:$B$505,$A95)))</f>
        <v/>
      </c>
      <c r="AG95" s="117" t="str">
        <f>IF($A95="","",IF($J95=0,"n.b.",SUMIFS(STG_ZPMW03!$CI$6:$CI$505,STG_ZPMW03!$B$6:$B$505,$A95)))</f>
        <v/>
      </c>
      <c r="AH95" s="117" t="str">
        <f>IF($A95="","",IF($J95=0,"n.b.",SUMIFS(STG_ZPMW03!$CK$6:$CK$505,STG_ZPMW03!$B$6:$B$505,$A95)))</f>
        <v/>
      </c>
      <c r="AI95" s="117" t="str">
        <f>IF($A95="","",IF($J95=0,"n.b.",SUMIFS(STG_ZPMW03!$CM$6:$CM$505,STG_ZPMW03!$B$6:$B$505,$A95)))</f>
        <v/>
      </c>
      <c r="AJ95" s="117" t="str">
        <f>IF($A95="","",IF($J95=0,"n.b.",SUMIFS(STG_ZPMW03!$CO$6:$CO$505,STG_ZPMW03!$B$6:$B$505,$A95)))</f>
        <v/>
      </c>
      <c r="AK95" s="117" t="str">
        <f>IF($A95="","",IF($J95=0,"n.b.",SUMIFS(STG_ZPMW03!$CQ$6:$CQ$505,STG_ZPMW03!$B$6:$B$505,$A95)))</f>
        <v/>
      </c>
      <c r="AL95" s="117" t="str">
        <f>IF($A95="","",IF($J95=0,"n.b.",SUMIFS(STG_ZPMW03!$CD$6:$CD$505,STG_ZPMW03!$B$6:$B$505,$A95)))</f>
        <v/>
      </c>
      <c r="AM95" s="117" t="str">
        <f>IF($A95="","",IF($J95=0,"n.b.",SUMIFS(STG_ZPMW03!$CF$6:$CF$505,STG_ZPMW03!$B$6:$B$505,$A95)))</f>
        <v/>
      </c>
      <c r="AN95" s="117" t="str">
        <f>IF($A95="","",IF($J95=0,"n.b.",SUMIFS(STG_ZPMW03!$CH$6:$CH$505,STG_ZPMW03!$B$6:$B$505,$A95)))</f>
        <v/>
      </c>
      <c r="AO95" s="117" t="str">
        <f>IF($A95="","",IF($J95=0,"n.b.",SUMIFS(STG_ZPMW03!$CJ$6:$CJ$505,STG_ZPMW03!$B$6:$B$505,$A95)))</f>
        <v/>
      </c>
      <c r="AP95" s="117" t="str">
        <f>IF($A95="","",IF($J95=0,"n.b.",SUMIFS(STG_ZPMW03!$CL$6:$CL$505,STG_ZPMW03!$B$6:$B$505,$A95)))</f>
        <v/>
      </c>
      <c r="AQ95" s="117" t="str">
        <f>IF($A95="","",IF($J95=0,"n.b.",SUMIFS(STG_ZPMW03!$CN$6:$CN$505,STG_ZPMW03!$B$6:$B$505,$A95)))</f>
        <v/>
      </c>
      <c r="AR95" s="117" t="str">
        <f>IF($A95="","",IF($J95=0,"n.b.",SUMIFS(STG_ZPMW03!$CP$6:$CP$505,STG_ZPMW03!$B$6:$B$505,$A95)))</f>
        <v/>
      </c>
      <c r="AS95" s="117" t="str">
        <f>IF($A95="","",IF($J95=0,"n.b.",SUMIFS(STG_ZPMW03!$CR$6:$CR$505,STG_ZPMW03!$B$6:$B$505,$A95)))</f>
        <v/>
      </c>
      <c r="AT95" s="117" t="str">
        <f>IF($A95="","",IF($K95=0,"n.b.",SUMIFS(STG_Woningetalage!$Q$6:$Q$505,STG_Woningetalage!$B$6:$B$505,$A95)))</f>
        <v/>
      </c>
      <c r="AU95" s="117" t="str">
        <f>IF($A95="","",IF($K95=0,"n.b.",SUMIFS(STG_Woningetalage!$R$6:$R$505,STG_Woningetalage!$B$6:$B$505,$A95)))</f>
        <v/>
      </c>
      <c r="AV95" s="117" t="str">
        <f>IF($A95="","",IF($K95=0,"n.b.",SUMIFS(STG_Woningetalage!$S$6:$S$505,STG_Woningetalage!$B$6:$B$505,$A95)))</f>
        <v/>
      </c>
      <c r="AW95" s="117" t="str">
        <f>IF($A95="","",IF($K95=0,"n.b.",SUMIFS(STG_Woningetalage!$T$6:$T$505,STG_Woningetalage!$B$6:$B$505,$A95)))</f>
        <v/>
      </c>
      <c r="AX95" s="117" t="str">
        <f>IF($A95="","",IF($K95=0,"n.b.",SUMIFS(STG_Woningetalage!$U$6:$U$505,STG_Woningetalage!$B$6:$B$505,$A95)))</f>
        <v/>
      </c>
      <c r="AY95" s="117" t="str">
        <f>IF($A95="","",IF($K95=0,"n.b.",SUMIFS(STG_Woningetalage!$V$6:$V$505,STG_Woningetalage!$B$6:$B$505,$A95)))</f>
        <v/>
      </c>
      <c r="AZ95" s="117" t="str">
        <f>IF($A95="","",IF($K95=0,"n.b.",SUMIFS(STG_Woningetalage!$W$6:$W$505,STG_Woningetalage!$B$6:$B$505,$A95)))</f>
        <v/>
      </c>
      <c r="BA95" s="117" t="str">
        <f>IF($A95="","",IF($K95=0,"n.b.",SUMIFS(STG_Woningetalage!$X$6:$X$505,STG_Woningetalage!$B$6:$B$505,$A95)))</f>
        <v/>
      </c>
      <c r="BB95" s="117" t="str">
        <f>IF($A95="","",IF($K95=0,"n.b.",SUMIFS(STG_Woningetalage!$Y$6:$Y$505,STG_Woningetalage!$B$6:$B$505,$A95)))</f>
        <v/>
      </c>
      <c r="BC95" s="117" t="str">
        <f>IF($A95="","",IF($K95=0,"n.b.",SUMIFS(STG_Woningetalage!$Z$6:$Z$505,STG_Woningetalage!$B$6:$B$505,$A95)))</f>
        <v/>
      </c>
      <c r="BD95" s="117" t="str">
        <f>IF($A95="","",IF($K95=0,"n.b.",SUMIFS(STG_Woningetalage!$AA$6:$AA$505,STG_Woningetalage!$B$6:$B$505,$A95)))</f>
        <v/>
      </c>
      <c r="BE95" s="117" t="str">
        <f>IF($A95="","",IF($K95=0,"n.b.",SUMIFS(STG_Woningetalage!$AB$6:$AB$505,STG_Woningetalage!$B$6:$B$505,$A95)))</f>
        <v/>
      </c>
      <c r="BF95" s="117" t="str">
        <f>IF($A95="","",IF($K95=0,"n.b.",SUMIFS(STG_Woningetalage!$AC$6:$AC$505,STG_Woningetalage!$B$6:$B$505,$A95)))</f>
        <v/>
      </c>
      <c r="BG95" s="117" t="str">
        <f>IF($A95="","",IF($K95=0,"n.b.",SUMIFS(STG_Woningetalage!$AD$6:$AD$505,STG_Woningetalage!$B$6:$B$505,$A95)))</f>
        <v/>
      </c>
      <c r="BH95" s="117" t="str">
        <f>IF($A95="","",IF($K95=0,"n.b.",SUMIFS(STG_Woningetalage!$AE$6:$AE$505,STG_Woningetalage!$B$6:$B$505,$A95)))</f>
        <v/>
      </c>
      <c r="BI95" s="117" t="str">
        <f>IF($A95="","",IF($K95=0,"n.b.",SUMIFS(STG_Woningetalage!$AF$6:$AF$505,STG_Woningetalage!$B$6:$B$505,$A95)))</f>
        <v/>
      </c>
      <c r="BJ95" s="117" t="str">
        <f>IF($A95="","",IF($K95=0,"n.b.",SUMIFS(STG_Woningetalage!$AG$6:$AG$505,STG_Woningetalage!$B$6:$B$505,$A95)))</f>
        <v/>
      </c>
      <c r="BK95" s="117" t="str">
        <f>IF($A95="","",IF($K95=0,"n.b.",SUMIFS(STG_Woningetalage!$AH$6:$AH$505,STG_Woningetalage!$B$6:$B$505,$A95)))</f>
        <v/>
      </c>
      <c r="BL95" s="117" t="str">
        <f>IF($A95="","",IF($K95=0,"n.b.",SUMIFS(STG_Woningetalage!$AI$6:$AI$505,STG_Woningetalage!$B$6:$B$505,$A95)))</f>
        <v/>
      </c>
      <c r="BM95" s="117" t="str">
        <f>IF($A95="","",IF($K95=0,"n.b.",SUMIFS(STG_Woningetalage!$AJ$6:$AJ$505,STG_Woningetalage!$B$6:$B$505,$A95)))</f>
        <v/>
      </c>
      <c r="BN95" s="117" t="str">
        <f>IF($A95="","",IF($K95=0,"n.b.",SUMIFS(STG_Woningetalage!$AK$6:$AK$505,STG_Woningetalage!$B$6:$B$505,$A95)))</f>
        <v/>
      </c>
      <c r="BO95" s="117" t="str">
        <f>IF($A95="","",IF($K95=0,"n.b.",SUMIFS(STG_Woningetalage!$AL$6:$AL$505,STG_Woningetalage!$B$6:$B$505,$A95)))</f>
        <v/>
      </c>
      <c r="BP95" s="117" t="str">
        <f>IF($A95="","",IF($K95=0,"n.b.",SUMIFS(STG_Woningetalage!$AM$6:$AM$505,STG_Woningetalage!$B$6:$B$505,$A95)))</f>
        <v/>
      </c>
      <c r="BQ95" s="117" t="str">
        <f>IF($A95="","",IF($K95=0,"n.b.",SUMIFS(STG_Woningetalage!$BE$6:$BE$505,STG_Woningetalage!$B$6:$B$505,$A95)))</f>
        <v/>
      </c>
      <c r="BR95" s="117" t="str">
        <f>IF($A95="","",IF($K95=0,"n.b.",SUMIFS(STG_Woningetalage!$BF$6:$BF$505,STG_Woningetalage!$B$6:$B$505,$A95)))</f>
        <v/>
      </c>
      <c r="BS95" s="117" t="str">
        <f>IF($A95="","",IF($K95=0,"n.b.",SUMIFS(STG_Woningetalage!$BG$6:$BG$505,STG_Woningetalage!$B$6:$B$505,$A95)))</f>
        <v/>
      </c>
      <c r="BT95" s="117" t="str">
        <f>IF($A95="","",IF($K95=0,"n.b.",SUMIFS(STG_Woningetalage!$BH$6:$BH$505,STG_Woningetalage!$B$6:$B$505,$A95)))</f>
        <v/>
      </c>
      <c r="BU95" s="117" t="str">
        <f>IF($A95="","",IF($K95=0,"n.b.",SUMIFS(STG_Woningetalage!$BI$6:$BI$505,STG_Woningetalage!$B$6:$B$505,$A95)))</f>
        <v/>
      </c>
      <c r="BV95" s="117" t="str">
        <f>IF($A95="","",IF($K95=0,"n.b.",SUMIFS(STG_Woningetalage!$BJ$6:$BJ$505,STG_Woningetalage!$B$6:$B$505,$A95)))</f>
        <v/>
      </c>
      <c r="BW95" s="117" t="str">
        <f>IF($A95="","",IF($K95=0,"n.b.",SUMIFS(STG_Woningetalage!$AR$6:$AR$505,STG_Woningetalage!$B$6:$B$505,$A95)))</f>
        <v/>
      </c>
      <c r="BX95" s="117" t="str">
        <f>IF($A95="","",IF($K95=0,"n.b.",SUMIFS(STG_Woningetalage!$AS$6:$AS$505,STG_Woningetalage!$B$6:$B$505,$A95)))</f>
        <v/>
      </c>
      <c r="BY95" s="117" t="str">
        <f>IF($A95="","",IF($K95=0,"n.b.",SUMIFS(STG_Woningetalage!$AN$6:$AN$505,STG_Woningetalage!$B$6:$B$505,$A95)))</f>
        <v/>
      </c>
      <c r="BZ95" s="117" t="str">
        <f>IF($A95="","",IF($K95=0,"n.b.",SUMIFS(STG_Woningetalage!$AO$6:$AO$505,STG_Woningetalage!$B$6:$B$505,$A95)))</f>
        <v/>
      </c>
      <c r="CA95" s="117" t="str">
        <f>IF($A95="","",IF($K95=0,"n.b.",SUMIFS(STG_Woningetalage!$AP$6:$AP$505,STG_Woningetalage!$B$6:$B$505,$A95)))</f>
        <v/>
      </c>
      <c r="CB95" s="117" t="str">
        <f>IF($A95="","",IF($K95=0,"n.b.",SUMIFS(STG_Woningetalage!$AQ$6:$AQ$505,STG_Woningetalage!$B$6:$B$505,$A95)))</f>
        <v/>
      </c>
      <c r="CC95" s="117" t="str">
        <f>IF($A95="","",IF($K95=0,"n.b.",SUMIFS(STG_Woningetalage!$AU$6:$AU$505,STG_Woningetalage!$B$6:$B$505,$A95)))</f>
        <v/>
      </c>
      <c r="CD95" s="92" t="str">
        <f>IF($A95="","",IFERROR(INDEX(STG_ZPMW03!$L$6:$L$505,MATCH($A95,STG_ZPMW03!$B$6:$B$505,0)),"n.b."))</f>
        <v/>
      </c>
      <c r="CE95" s="92" t="str">
        <f>IF($A95="","",IFERROR(INDEX(STG_ZPMW03!$K$6:$K$505,MATCH($A95,STG_ZPMW03!$B$6:$B$505,0)),"n.b."))</f>
        <v/>
      </c>
      <c r="CF95" s="92" t="str">
        <f>IF($A95="","",IFERROR(INDEX(STG_ZPMW03!$BH$6:$BH$505,MATCH($A95,STG_ZPMW03!$B$6:$B$505,0)),"n.b."))</f>
        <v/>
      </c>
      <c r="CG95" s="92" t="str">
        <f>IF($A95="","",IFERROR(INDEX(STG_ZPMW03!$BI$6:$BI$505,MATCH($A95,STG_ZPMW03!$B$6:$B$505,0)),"n.b."))</f>
        <v/>
      </c>
      <c r="CH95" s="92" t="str">
        <f>IF($A95="","",IFERROR(INDEX(STG_ZPMW03!$BJ$6:$BJ$505,MATCH($A95,STG_ZPMW03!$B$6:$B$505,0)),"n.b."))</f>
        <v/>
      </c>
      <c r="CI95" s="92" t="str">
        <f>IF($A95="","",IFERROR(INDEX(STG_ZPMW03!$BF$6:$BF$505,MATCH($A95,STG_ZPMW03!$B$6:$B$505,0)),"n.b."))</f>
        <v/>
      </c>
      <c r="CJ95" s="92" t="str">
        <f>IF($A95="","",IFERROR(INDEX(STG_ZPMW03!$BG$6:$BG$505,MATCH($A95,STG_ZPMW03!$B$6:$B$505,0)),"n.b."))</f>
        <v/>
      </c>
      <c r="CK95" s="92" t="str">
        <f>IF($A95="","",IFERROR(INDEX(STG_ZPMW03!$H$6:$H$505,MATCH($A95,STG_ZPMW03!$B$6:$B$505,0)),"n.b."))</f>
        <v/>
      </c>
      <c r="CL95" s="92" t="str">
        <f>IF($A95="","",IFERROR(INDEX(STG_ZPMW03!$E$6:$E$505,MATCH($A95,STG_ZPMW03!$B$6:$B$505,0)),"n.b."))</f>
        <v/>
      </c>
      <c r="CM95" s="92" t="str">
        <f>IF($A95="","",IFERROR(INDEX(STG_ZPMW03!$G$6:$G$505,MATCH($A95,STG_ZPMW03!$B$6:$B$505,0)),"n.b."))</f>
        <v/>
      </c>
      <c r="CN95" s="92" t="str">
        <f>IF($A95="","",IFERROR(INDEX(STG_Woningetalage!$N$6:$N$505,MATCH($A95,STG_Woningetalage!$B$6:$B$505,0)),"n.b."))</f>
        <v/>
      </c>
      <c r="CO95" s="92" t="str">
        <f>IF($A95="","",IFERROR(INDEX(STG_Woningetalage!$P$6:$P$505,MATCH($A95,STG_Woningetalage!$B$6:$B$505,0)),"n.b."))</f>
        <v/>
      </c>
      <c r="CP95" s="118" t="str">
        <f>IF($A95="","",IF(AND(ISNUMBER(AT95),ISNUMBER(F95)),IF(F95&gt;0,AT95/(F95/100),"n.b."),"n.b."))</f>
        <v/>
      </c>
      <c r="CQ95" s="116" t="str">
        <f>IF($A95="","",IF(ISNUMBER(Q95),IF(Q95&lt;0,1,0),0))</f>
        <v/>
      </c>
      <c r="CR95" s="116" t="str">
        <f>IF(CQ95=1,COUNTIF($CQ$6:CQ95,1),"")</f>
        <v/>
      </c>
      <c r="CS95" s="116" t="str">
        <f>IF(AND($A95&lt;&gt;"",$J95=0),COUNTIFS($A$6:$A95,"?*",$J$6:$J95,0),"")</f>
        <v/>
      </c>
      <c r="CT95" s="119" t="str">
        <f>IF($A95="","",IF(AND(ISNUMBER(Q95),ISNUMBER(P95)),IF(P95&lt;&gt;0,Q95/P95,"n.b."),"n.b."))</f>
        <v/>
      </c>
    </row>
    <row r="96">
      <c r="A96" s="92" t="str">
        <f>IF(Mapping!$A95="","",Mapping!$A95)</f>
        <v/>
      </c>
      <c r="B96" s="92" t="str">
        <f>IF(Mapping!$B95="","",Mapping!$B95)</f>
        <v/>
      </c>
      <c r="C96" s="92" t="str">
        <f>IF(Mapping!$C95="","",Mapping!$C95)</f>
        <v/>
      </c>
      <c r="D96" s="92" t="str">
        <f>IF(Mapping!$F95="","",Mapping!$F95)</f>
        <v/>
      </c>
      <c r="E96" s="92" t="str">
        <f>IF(Mapping!$H95="","",Mapping!$H95)</f>
        <v/>
      </c>
      <c r="F96" s="92" t="str">
        <f>IF(Mapping!$E95="","",Mapping!$E95)</f>
        <v/>
      </c>
      <c r="G96" s="92" t="str">
        <f>IF(Mapping!$G95="","",Mapping!$G95)</f>
        <v/>
      </c>
      <c r="H96" s="92" t="str">
        <f>IF(Mapping!$D95="","",Mapping!$D95)</f>
        <v/>
      </c>
      <c r="I96" s="92" t="str">
        <f>IF($A96="","",IFERROR(INDEX(STG_ZPMW03!$C$6:$C$505,MATCH($A96,STG_ZPMW03!$B$6:$B$505,0)),"n.b."))</f>
        <v/>
      </c>
      <c r="J96" s="116" t="str">
        <f>IF($A96="","",COUNTIF(STG_ZPMW03!$B$6:$B$505,$A96))</f>
        <v/>
      </c>
      <c r="K96" s="116" t="str">
        <f>IF($A96="","",COUNTIF(STG_Woningetalage!$B$6:$B$505,$A96))</f>
        <v/>
      </c>
      <c r="L96" s="117" t="str">
        <f>IF($A96="","",IF($J96=0,"n.b.",SUMIFS(STG_ZPMW03!$BK$6:$BK$505,STG_ZPMW03!$B$6:$B$505,$A96)))</f>
        <v/>
      </c>
      <c r="M96" s="117" t="str">
        <f>IF($A96="","",IF($J96=0,"n.b.",SUMIFS(STG_ZPMW03!$BL$6:$BL$505,STG_ZPMW03!$B$6:$B$505,$A96)))</f>
        <v/>
      </c>
      <c r="N96" s="117" t="str">
        <f>IF($A96="","",IF($J96=0,"n.b.",SUMIFS(STG_ZPMW03!$BM$6:$BM$505,STG_ZPMW03!$B$6:$B$505,$A96)))</f>
        <v/>
      </c>
      <c r="O96" s="117" t="str">
        <f>IF($A96="","",IF($J96=0,"n.b.",SUMIFS(STG_ZPMW03!$BN$6:$BN$505,STG_ZPMW03!$B$6:$B$505,$A96)))</f>
        <v/>
      </c>
      <c r="P96" s="117" t="str">
        <f>IF($A96="","",IF($J96=0,"n.b.",SUMIFS(STG_ZPMW03!$BO$6:$BO$505,STG_ZPMW03!$B$6:$B$505,$A96)))</f>
        <v/>
      </c>
      <c r="Q96" s="117" t="str">
        <f>IF($A96="","",IF($J96=0,"n.b.",SUMIFS(STG_ZPMW03!$BP$6:$BP$505,STG_ZPMW03!$B$6:$B$505,$A96)))</f>
        <v/>
      </c>
      <c r="R96" s="117" t="str">
        <f>IF($A96="","",IF($J96=0,"n.b.",SUMIFS(STG_ZPMW03!$BQ$6:$BQ$505,STG_ZPMW03!$B$6:$B$505,$A96)))</f>
        <v/>
      </c>
      <c r="S96" s="117" t="str">
        <f>IF($A96="","",IF($J96=0,"n.b.",SUMIFS(STG_ZPMW03!$BR$6:$BR$505,STG_ZPMW03!$B$6:$B$505,$A96)))</f>
        <v/>
      </c>
      <c r="T96" s="117" t="str">
        <f>IF($A96="","",IF($J96=0,"n.b.",SUMIFS(STG_ZPMW03!$BS$6:$BS$505,STG_ZPMW03!$B$6:$B$505,$A96)))</f>
        <v/>
      </c>
      <c r="U96" s="117" t="str">
        <f>IF($A96="","",IF($J96=0,"n.b.",SUMIFS(STG_ZPMW03!$BT$6:$BT$505,STG_ZPMW03!$B$6:$B$505,$A96)))</f>
        <v/>
      </c>
      <c r="V96" s="117" t="str">
        <f>IF($A96="","",IF($J96=0,"n.b.",SUMIFS(STG_ZPMW03!$BU$6:$BU$505,STG_ZPMW03!$B$6:$B$505,$A96)))</f>
        <v/>
      </c>
      <c r="W96" s="117" t="str">
        <f>IF($A96="","",IF($J96=0,"n.b.",SUMIFS(STG_ZPMW03!$BW$6:$BW$505,STG_ZPMW03!$B$6:$B$505,$A96)))</f>
        <v/>
      </c>
      <c r="X96" s="117" t="str">
        <f>IF($A96="","",IF($J96=0,"n.b.",SUMIFS(STG_ZPMW03!$BY$6:$BY$505,STG_ZPMW03!$B$6:$B$505,$A96)))</f>
        <v/>
      </c>
      <c r="Y96" s="117" t="str">
        <f>IF($A96="","",IF($J96=0,"n.b.",SUMIFS(STG_ZPMW03!$CA$6:$CA$505,STG_ZPMW03!$B$6:$B$505,$A96)))</f>
        <v/>
      </c>
      <c r="Z96" s="117" t="str">
        <f>IF($A96="","",IF($J96=0,"n.b.",SUMIFS(STG_ZPMW03!$BV$6:$BV$505,STG_ZPMW03!$B$6:$B$505,$A96)))</f>
        <v/>
      </c>
      <c r="AA96" s="117" t="str">
        <f>IF($A96="","",IF($J96=0,"n.b.",SUMIFS(STG_ZPMW03!$BX$6:$BX$505,STG_ZPMW03!$B$6:$B$505,$A96)))</f>
        <v/>
      </c>
      <c r="AB96" s="117" t="str">
        <f>IF($A96="","",IF($J96=0,"n.b.",SUMIFS(STG_ZPMW03!$BZ$6:$BZ$505,STG_ZPMW03!$B$6:$B$505,$A96)))</f>
        <v/>
      </c>
      <c r="AC96" s="117" t="str">
        <f>IF($A96="","",IF($J96=0,"n.b.",SUMIFS(STG_ZPMW03!$CB$6:$CB$505,STG_ZPMW03!$B$6:$B$505,$A96)))</f>
        <v/>
      </c>
      <c r="AD96" s="117" t="str">
        <f>IF($A96="","",IF($J96=0,"n.b.",SUMIFS(STG_ZPMW03!$CC$6:$CC$505,STG_ZPMW03!$B$6:$B$505,$A96)))</f>
        <v/>
      </c>
      <c r="AE96" s="117" t="str">
        <f>IF($A96="","",IF($J96=0,"n.b.",SUMIFS(STG_ZPMW03!$CE$6:$CE$505,STG_ZPMW03!$B$6:$B$505,$A96)))</f>
        <v/>
      </c>
      <c r="AF96" s="117" t="str">
        <f>IF($A96="","",IF($J96=0,"n.b.",SUMIFS(STG_ZPMW03!$CG$6:$CG$505,STG_ZPMW03!$B$6:$B$505,$A96)))</f>
        <v/>
      </c>
      <c r="AG96" s="117" t="str">
        <f>IF($A96="","",IF($J96=0,"n.b.",SUMIFS(STG_ZPMW03!$CI$6:$CI$505,STG_ZPMW03!$B$6:$B$505,$A96)))</f>
        <v/>
      </c>
      <c r="AH96" s="117" t="str">
        <f>IF($A96="","",IF($J96=0,"n.b.",SUMIFS(STG_ZPMW03!$CK$6:$CK$505,STG_ZPMW03!$B$6:$B$505,$A96)))</f>
        <v/>
      </c>
      <c r="AI96" s="117" t="str">
        <f>IF($A96="","",IF($J96=0,"n.b.",SUMIFS(STG_ZPMW03!$CM$6:$CM$505,STG_ZPMW03!$B$6:$B$505,$A96)))</f>
        <v/>
      </c>
      <c r="AJ96" s="117" t="str">
        <f>IF($A96="","",IF($J96=0,"n.b.",SUMIFS(STG_ZPMW03!$CO$6:$CO$505,STG_ZPMW03!$B$6:$B$505,$A96)))</f>
        <v/>
      </c>
      <c r="AK96" s="117" t="str">
        <f>IF($A96="","",IF($J96=0,"n.b.",SUMIFS(STG_ZPMW03!$CQ$6:$CQ$505,STG_ZPMW03!$B$6:$B$505,$A96)))</f>
        <v/>
      </c>
      <c r="AL96" s="117" t="str">
        <f>IF($A96="","",IF($J96=0,"n.b.",SUMIFS(STG_ZPMW03!$CD$6:$CD$505,STG_ZPMW03!$B$6:$B$505,$A96)))</f>
        <v/>
      </c>
      <c r="AM96" s="117" t="str">
        <f>IF($A96="","",IF($J96=0,"n.b.",SUMIFS(STG_ZPMW03!$CF$6:$CF$505,STG_ZPMW03!$B$6:$B$505,$A96)))</f>
        <v/>
      </c>
      <c r="AN96" s="117" t="str">
        <f>IF($A96="","",IF($J96=0,"n.b.",SUMIFS(STG_ZPMW03!$CH$6:$CH$505,STG_ZPMW03!$B$6:$B$505,$A96)))</f>
        <v/>
      </c>
      <c r="AO96" s="117" t="str">
        <f>IF($A96="","",IF($J96=0,"n.b.",SUMIFS(STG_ZPMW03!$CJ$6:$CJ$505,STG_ZPMW03!$B$6:$B$505,$A96)))</f>
        <v/>
      </c>
      <c r="AP96" s="117" t="str">
        <f>IF($A96="","",IF($J96=0,"n.b.",SUMIFS(STG_ZPMW03!$CL$6:$CL$505,STG_ZPMW03!$B$6:$B$505,$A96)))</f>
        <v/>
      </c>
      <c r="AQ96" s="117" t="str">
        <f>IF($A96="","",IF($J96=0,"n.b.",SUMIFS(STG_ZPMW03!$CN$6:$CN$505,STG_ZPMW03!$B$6:$B$505,$A96)))</f>
        <v/>
      </c>
      <c r="AR96" s="117" t="str">
        <f>IF($A96="","",IF($J96=0,"n.b.",SUMIFS(STG_ZPMW03!$CP$6:$CP$505,STG_ZPMW03!$B$6:$B$505,$A96)))</f>
        <v/>
      </c>
      <c r="AS96" s="117" t="str">
        <f>IF($A96="","",IF($J96=0,"n.b.",SUMIFS(STG_ZPMW03!$CR$6:$CR$505,STG_ZPMW03!$B$6:$B$505,$A96)))</f>
        <v/>
      </c>
      <c r="AT96" s="117" t="str">
        <f>IF($A96="","",IF($K96=0,"n.b.",SUMIFS(STG_Woningetalage!$Q$6:$Q$505,STG_Woningetalage!$B$6:$B$505,$A96)))</f>
        <v/>
      </c>
      <c r="AU96" s="117" t="str">
        <f>IF($A96="","",IF($K96=0,"n.b.",SUMIFS(STG_Woningetalage!$R$6:$R$505,STG_Woningetalage!$B$6:$B$505,$A96)))</f>
        <v/>
      </c>
      <c r="AV96" s="117" t="str">
        <f>IF($A96="","",IF($K96=0,"n.b.",SUMIFS(STG_Woningetalage!$S$6:$S$505,STG_Woningetalage!$B$6:$B$505,$A96)))</f>
        <v/>
      </c>
      <c r="AW96" s="117" t="str">
        <f>IF($A96="","",IF($K96=0,"n.b.",SUMIFS(STG_Woningetalage!$T$6:$T$505,STG_Woningetalage!$B$6:$B$505,$A96)))</f>
        <v/>
      </c>
      <c r="AX96" s="117" t="str">
        <f>IF($A96="","",IF($K96=0,"n.b.",SUMIFS(STG_Woningetalage!$U$6:$U$505,STG_Woningetalage!$B$6:$B$505,$A96)))</f>
        <v/>
      </c>
      <c r="AY96" s="117" t="str">
        <f>IF($A96="","",IF($K96=0,"n.b.",SUMIFS(STG_Woningetalage!$V$6:$V$505,STG_Woningetalage!$B$6:$B$505,$A96)))</f>
        <v/>
      </c>
      <c r="AZ96" s="117" t="str">
        <f>IF($A96="","",IF($K96=0,"n.b.",SUMIFS(STG_Woningetalage!$W$6:$W$505,STG_Woningetalage!$B$6:$B$505,$A96)))</f>
        <v/>
      </c>
      <c r="BA96" s="117" t="str">
        <f>IF($A96="","",IF($K96=0,"n.b.",SUMIFS(STG_Woningetalage!$X$6:$X$505,STG_Woningetalage!$B$6:$B$505,$A96)))</f>
        <v/>
      </c>
      <c r="BB96" s="117" t="str">
        <f>IF($A96="","",IF($K96=0,"n.b.",SUMIFS(STG_Woningetalage!$Y$6:$Y$505,STG_Woningetalage!$B$6:$B$505,$A96)))</f>
        <v/>
      </c>
      <c r="BC96" s="117" t="str">
        <f>IF($A96="","",IF($K96=0,"n.b.",SUMIFS(STG_Woningetalage!$Z$6:$Z$505,STG_Woningetalage!$B$6:$B$505,$A96)))</f>
        <v/>
      </c>
      <c r="BD96" s="117" t="str">
        <f>IF($A96="","",IF($K96=0,"n.b.",SUMIFS(STG_Woningetalage!$AA$6:$AA$505,STG_Woningetalage!$B$6:$B$505,$A96)))</f>
        <v/>
      </c>
      <c r="BE96" s="117" t="str">
        <f>IF($A96="","",IF($K96=0,"n.b.",SUMIFS(STG_Woningetalage!$AB$6:$AB$505,STG_Woningetalage!$B$6:$B$505,$A96)))</f>
        <v/>
      </c>
      <c r="BF96" s="117" t="str">
        <f>IF($A96="","",IF($K96=0,"n.b.",SUMIFS(STG_Woningetalage!$AC$6:$AC$505,STG_Woningetalage!$B$6:$B$505,$A96)))</f>
        <v/>
      </c>
      <c r="BG96" s="117" t="str">
        <f>IF($A96="","",IF($K96=0,"n.b.",SUMIFS(STG_Woningetalage!$AD$6:$AD$505,STG_Woningetalage!$B$6:$B$505,$A96)))</f>
        <v/>
      </c>
      <c r="BH96" s="117" t="str">
        <f>IF($A96="","",IF($K96=0,"n.b.",SUMIFS(STG_Woningetalage!$AE$6:$AE$505,STG_Woningetalage!$B$6:$B$505,$A96)))</f>
        <v/>
      </c>
      <c r="BI96" s="117" t="str">
        <f>IF($A96="","",IF($K96=0,"n.b.",SUMIFS(STG_Woningetalage!$AF$6:$AF$505,STG_Woningetalage!$B$6:$B$505,$A96)))</f>
        <v/>
      </c>
      <c r="BJ96" s="117" t="str">
        <f>IF($A96="","",IF($K96=0,"n.b.",SUMIFS(STG_Woningetalage!$AG$6:$AG$505,STG_Woningetalage!$B$6:$B$505,$A96)))</f>
        <v/>
      </c>
      <c r="BK96" s="117" t="str">
        <f>IF($A96="","",IF($K96=0,"n.b.",SUMIFS(STG_Woningetalage!$AH$6:$AH$505,STG_Woningetalage!$B$6:$B$505,$A96)))</f>
        <v/>
      </c>
      <c r="BL96" s="117" t="str">
        <f>IF($A96="","",IF($K96=0,"n.b.",SUMIFS(STG_Woningetalage!$AI$6:$AI$505,STG_Woningetalage!$B$6:$B$505,$A96)))</f>
        <v/>
      </c>
      <c r="BM96" s="117" t="str">
        <f>IF($A96="","",IF($K96=0,"n.b.",SUMIFS(STG_Woningetalage!$AJ$6:$AJ$505,STG_Woningetalage!$B$6:$B$505,$A96)))</f>
        <v/>
      </c>
      <c r="BN96" s="117" t="str">
        <f>IF($A96="","",IF($K96=0,"n.b.",SUMIFS(STG_Woningetalage!$AK$6:$AK$505,STG_Woningetalage!$B$6:$B$505,$A96)))</f>
        <v/>
      </c>
      <c r="BO96" s="117" t="str">
        <f>IF($A96="","",IF($K96=0,"n.b.",SUMIFS(STG_Woningetalage!$AL$6:$AL$505,STG_Woningetalage!$B$6:$B$505,$A96)))</f>
        <v/>
      </c>
      <c r="BP96" s="117" t="str">
        <f>IF($A96="","",IF($K96=0,"n.b.",SUMIFS(STG_Woningetalage!$AM$6:$AM$505,STG_Woningetalage!$B$6:$B$505,$A96)))</f>
        <v/>
      </c>
      <c r="BQ96" s="117" t="str">
        <f>IF($A96="","",IF($K96=0,"n.b.",SUMIFS(STG_Woningetalage!$BE$6:$BE$505,STG_Woningetalage!$B$6:$B$505,$A96)))</f>
        <v/>
      </c>
      <c r="BR96" s="117" t="str">
        <f>IF($A96="","",IF($K96=0,"n.b.",SUMIFS(STG_Woningetalage!$BF$6:$BF$505,STG_Woningetalage!$B$6:$B$505,$A96)))</f>
        <v/>
      </c>
      <c r="BS96" s="117" t="str">
        <f>IF($A96="","",IF($K96=0,"n.b.",SUMIFS(STG_Woningetalage!$BG$6:$BG$505,STG_Woningetalage!$B$6:$B$505,$A96)))</f>
        <v/>
      </c>
      <c r="BT96" s="117" t="str">
        <f>IF($A96="","",IF($K96=0,"n.b.",SUMIFS(STG_Woningetalage!$BH$6:$BH$505,STG_Woningetalage!$B$6:$B$505,$A96)))</f>
        <v/>
      </c>
      <c r="BU96" s="117" t="str">
        <f>IF($A96="","",IF($K96=0,"n.b.",SUMIFS(STG_Woningetalage!$BI$6:$BI$505,STG_Woningetalage!$B$6:$B$505,$A96)))</f>
        <v/>
      </c>
      <c r="BV96" s="117" t="str">
        <f>IF($A96="","",IF($K96=0,"n.b.",SUMIFS(STG_Woningetalage!$BJ$6:$BJ$505,STG_Woningetalage!$B$6:$B$505,$A96)))</f>
        <v/>
      </c>
      <c r="BW96" s="117" t="str">
        <f>IF($A96="","",IF($K96=0,"n.b.",SUMIFS(STG_Woningetalage!$AR$6:$AR$505,STG_Woningetalage!$B$6:$B$505,$A96)))</f>
        <v/>
      </c>
      <c r="BX96" s="117" t="str">
        <f>IF($A96="","",IF($K96=0,"n.b.",SUMIFS(STG_Woningetalage!$AS$6:$AS$505,STG_Woningetalage!$B$6:$B$505,$A96)))</f>
        <v/>
      </c>
      <c r="BY96" s="117" t="str">
        <f>IF($A96="","",IF($K96=0,"n.b.",SUMIFS(STG_Woningetalage!$AN$6:$AN$505,STG_Woningetalage!$B$6:$B$505,$A96)))</f>
        <v/>
      </c>
      <c r="BZ96" s="117" t="str">
        <f>IF($A96="","",IF($K96=0,"n.b.",SUMIFS(STG_Woningetalage!$AO$6:$AO$505,STG_Woningetalage!$B$6:$B$505,$A96)))</f>
        <v/>
      </c>
      <c r="CA96" s="117" t="str">
        <f>IF($A96="","",IF($K96=0,"n.b.",SUMIFS(STG_Woningetalage!$AP$6:$AP$505,STG_Woningetalage!$B$6:$B$505,$A96)))</f>
        <v/>
      </c>
      <c r="CB96" s="117" t="str">
        <f>IF($A96="","",IF($K96=0,"n.b.",SUMIFS(STG_Woningetalage!$AQ$6:$AQ$505,STG_Woningetalage!$B$6:$B$505,$A96)))</f>
        <v/>
      </c>
      <c r="CC96" s="117" t="str">
        <f>IF($A96="","",IF($K96=0,"n.b.",SUMIFS(STG_Woningetalage!$AU$6:$AU$505,STG_Woningetalage!$B$6:$B$505,$A96)))</f>
        <v/>
      </c>
      <c r="CD96" s="92" t="str">
        <f>IF($A96="","",IFERROR(INDEX(STG_ZPMW03!$L$6:$L$505,MATCH($A96,STG_ZPMW03!$B$6:$B$505,0)),"n.b."))</f>
        <v/>
      </c>
      <c r="CE96" s="92" t="str">
        <f>IF($A96="","",IFERROR(INDEX(STG_ZPMW03!$K$6:$K$505,MATCH($A96,STG_ZPMW03!$B$6:$B$505,0)),"n.b."))</f>
        <v/>
      </c>
      <c r="CF96" s="92" t="str">
        <f>IF($A96="","",IFERROR(INDEX(STG_ZPMW03!$BH$6:$BH$505,MATCH($A96,STG_ZPMW03!$B$6:$B$505,0)),"n.b."))</f>
        <v/>
      </c>
      <c r="CG96" s="92" t="str">
        <f>IF($A96="","",IFERROR(INDEX(STG_ZPMW03!$BI$6:$BI$505,MATCH($A96,STG_ZPMW03!$B$6:$B$505,0)),"n.b."))</f>
        <v/>
      </c>
      <c r="CH96" s="92" t="str">
        <f>IF($A96="","",IFERROR(INDEX(STG_ZPMW03!$BJ$6:$BJ$505,MATCH($A96,STG_ZPMW03!$B$6:$B$505,0)),"n.b."))</f>
        <v/>
      </c>
      <c r="CI96" s="92" t="str">
        <f>IF($A96="","",IFERROR(INDEX(STG_ZPMW03!$BF$6:$BF$505,MATCH($A96,STG_ZPMW03!$B$6:$B$505,0)),"n.b."))</f>
        <v/>
      </c>
      <c r="CJ96" s="92" t="str">
        <f>IF($A96="","",IFERROR(INDEX(STG_ZPMW03!$BG$6:$BG$505,MATCH($A96,STG_ZPMW03!$B$6:$B$505,0)),"n.b."))</f>
        <v/>
      </c>
      <c r="CK96" s="92" t="str">
        <f>IF($A96="","",IFERROR(INDEX(STG_ZPMW03!$H$6:$H$505,MATCH($A96,STG_ZPMW03!$B$6:$B$505,0)),"n.b."))</f>
        <v/>
      </c>
      <c r="CL96" s="92" t="str">
        <f>IF($A96="","",IFERROR(INDEX(STG_ZPMW03!$E$6:$E$505,MATCH($A96,STG_ZPMW03!$B$6:$B$505,0)),"n.b."))</f>
        <v/>
      </c>
      <c r="CM96" s="92" t="str">
        <f>IF($A96="","",IFERROR(INDEX(STG_ZPMW03!$G$6:$G$505,MATCH($A96,STG_ZPMW03!$B$6:$B$505,0)),"n.b."))</f>
        <v/>
      </c>
      <c r="CN96" s="92" t="str">
        <f>IF($A96="","",IFERROR(INDEX(STG_Woningetalage!$N$6:$N$505,MATCH($A96,STG_Woningetalage!$B$6:$B$505,0)),"n.b."))</f>
        <v/>
      </c>
      <c r="CO96" s="92" t="str">
        <f>IF($A96="","",IFERROR(INDEX(STG_Woningetalage!$P$6:$P$505,MATCH($A96,STG_Woningetalage!$B$6:$B$505,0)),"n.b."))</f>
        <v/>
      </c>
      <c r="CP96" s="118" t="str">
        <f>IF($A96="","",IF(AND(ISNUMBER(AT96),ISNUMBER(F96)),IF(F96&gt;0,AT96/(F96/100),"n.b."),"n.b."))</f>
        <v/>
      </c>
      <c r="CQ96" s="116" t="str">
        <f>IF($A96="","",IF(ISNUMBER(Q96),IF(Q96&lt;0,1,0),0))</f>
        <v/>
      </c>
      <c r="CR96" s="116" t="str">
        <f>IF(CQ96=1,COUNTIF($CQ$6:CQ96,1),"")</f>
        <v/>
      </c>
      <c r="CS96" s="116" t="str">
        <f>IF(AND($A96&lt;&gt;"",$J96=0),COUNTIFS($A$6:$A96,"?*",$J$6:$J96,0),"")</f>
        <v/>
      </c>
      <c r="CT96" s="119" t="str">
        <f>IF($A96="","",IF(AND(ISNUMBER(Q96),ISNUMBER(P96)),IF(P96&lt;&gt;0,Q96/P96,"n.b."),"n.b."))</f>
        <v/>
      </c>
    </row>
    <row r="97">
      <c r="A97" s="92" t="str">
        <f>IF(Mapping!$A96="","",Mapping!$A96)</f>
        <v/>
      </c>
      <c r="B97" s="92" t="str">
        <f>IF(Mapping!$B96="","",Mapping!$B96)</f>
        <v/>
      </c>
      <c r="C97" s="92" t="str">
        <f>IF(Mapping!$C96="","",Mapping!$C96)</f>
        <v/>
      </c>
      <c r="D97" s="92" t="str">
        <f>IF(Mapping!$F96="","",Mapping!$F96)</f>
        <v/>
      </c>
      <c r="E97" s="92" t="str">
        <f>IF(Mapping!$H96="","",Mapping!$H96)</f>
        <v/>
      </c>
      <c r="F97" s="92" t="str">
        <f>IF(Mapping!$E96="","",Mapping!$E96)</f>
        <v/>
      </c>
      <c r="G97" s="92" t="str">
        <f>IF(Mapping!$G96="","",Mapping!$G96)</f>
        <v/>
      </c>
      <c r="H97" s="92" t="str">
        <f>IF(Mapping!$D96="","",Mapping!$D96)</f>
        <v/>
      </c>
      <c r="I97" s="92" t="str">
        <f>IF($A97="","",IFERROR(INDEX(STG_ZPMW03!$C$6:$C$505,MATCH($A97,STG_ZPMW03!$B$6:$B$505,0)),"n.b."))</f>
        <v/>
      </c>
      <c r="J97" s="116" t="str">
        <f>IF($A97="","",COUNTIF(STG_ZPMW03!$B$6:$B$505,$A97))</f>
        <v/>
      </c>
      <c r="K97" s="116" t="str">
        <f>IF($A97="","",COUNTIF(STG_Woningetalage!$B$6:$B$505,$A97))</f>
        <v/>
      </c>
      <c r="L97" s="117" t="str">
        <f>IF($A97="","",IF($J97=0,"n.b.",SUMIFS(STG_ZPMW03!$BK$6:$BK$505,STG_ZPMW03!$B$6:$B$505,$A97)))</f>
        <v/>
      </c>
      <c r="M97" s="117" t="str">
        <f>IF($A97="","",IF($J97=0,"n.b.",SUMIFS(STG_ZPMW03!$BL$6:$BL$505,STG_ZPMW03!$B$6:$B$505,$A97)))</f>
        <v/>
      </c>
      <c r="N97" s="117" t="str">
        <f>IF($A97="","",IF($J97=0,"n.b.",SUMIFS(STG_ZPMW03!$BM$6:$BM$505,STG_ZPMW03!$B$6:$B$505,$A97)))</f>
        <v/>
      </c>
      <c r="O97" s="117" t="str">
        <f>IF($A97="","",IF($J97=0,"n.b.",SUMIFS(STG_ZPMW03!$BN$6:$BN$505,STG_ZPMW03!$B$6:$B$505,$A97)))</f>
        <v/>
      </c>
      <c r="P97" s="117" t="str">
        <f>IF($A97="","",IF($J97=0,"n.b.",SUMIFS(STG_ZPMW03!$BO$6:$BO$505,STG_ZPMW03!$B$6:$B$505,$A97)))</f>
        <v/>
      </c>
      <c r="Q97" s="117" t="str">
        <f>IF($A97="","",IF($J97=0,"n.b.",SUMIFS(STG_ZPMW03!$BP$6:$BP$505,STG_ZPMW03!$B$6:$B$505,$A97)))</f>
        <v/>
      </c>
      <c r="R97" s="117" t="str">
        <f>IF($A97="","",IF($J97=0,"n.b.",SUMIFS(STG_ZPMW03!$BQ$6:$BQ$505,STG_ZPMW03!$B$6:$B$505,$A97)))</f>
        <v/>
      </c>
      <c r="S97" s="117" t="str">
        <f>IF($A97="","",IF($J97=0,"n.b.",SUMIFS(STG_ZPMW03!$BR$6:$BR$505,STG_ZPMW03!$B$6:$B$505,$A97)))</f>
        <v/>
      </c>
      <c r="T97" s="117" t="str">
        <f>IF($A97="","",IF($J97=0,"n.b.",SUMIFS(STG_ZPMW03!$BS$6:$BS$505,STG_ZPMW03!$B$6:$B$505,$A97)))</f>
        <v/>
      </c>
      <c r="U97" s="117" t="str">
        <f>IF($A97="","",IF($J97=0,"n.b.",SUMIFS(STG_ZPMW03!$BT$6:$BT$505,STG_ZPMW03!$B$6:$B$505,$A97)))</f>
        <v/>
      </c>
      <c r="V97" s="117" t="str">
        <f>IF($A97="","",IF($J97=0,"n.b.",SUMIFS(STG_ZPMW03!$BU$6:$BU$505,STG_ZPMW03!$B$6:$B$505,$A97)))</f>
        <v/>
      </c>
      <c r="W97" s="117" t="str">
        <f>IF($A97="","",IF($J97=0,"n.b.",SUMIFS(STG_ZPMW03!$BW$6:$BW$505,STG_ZPMW03!$B$6:$B$505,$A97)))</f>
        <v/>
      </c>
      <c r="X97" s="117" t="str">
        <f>IF($A97="","",IF($J97=0,"n.b.",SUMIFS(STG_ZPMW03!$BY$6:$BY$505,STG_ZPMW03!$B$6:$B$505,$A97)))</f>
        <v/>
      </c>
      <c r="Y97" s="117" t="str">
        <f>IF($A97="","",IF($J97=0,"n.b.",SUMIFS(STG_ZPMW03!$CA$6:$CA$505,STG_ZPMW03!$B$6:$B$505,$A97)))</f>
        <v/>
      </c>
      <c r="Z97" s="117" t="str">
        <f>IF($A97="","",IF($J97=0,"n.b.",SUMIFS(STG_ZPMW03!$BV$6:$BV$505,STG_ZPMW03!$B$6:$B$505,$A97)))</f>
        <v/>
      </c>
      <c r="AA97" s="117" t="str">
        <f>IF($A97="","",IF($J97=0,"n.b.",SUMIFS(STG_ZPMW03!$BX$6:$BX$505,STG_ZPMW03!$B$6:$B$505,$A97)))</f>
        <v/>
      </c>
      <c r="AB97" s="117" t="str">
        <f>IF($A97="","",IF($J97=0,"n.b.",SUMIFS(STG_ZPMW03!$BZ$6:$BZ$505,STG_ZPMW03!$B$6:$B$505,$A97)))</f>
        <v/>
      </c>
      <c r="AC97" s="117" t="str">
        <f>IF($A97="","",IF($J97=0,"n.b.",SUMIFS(STG_ZPMW03!$CB$6:$CB$505,STG_ZPMW03!$B$6:$B$505,$A97)))</f>
        <v/>
      </c>
      <c r="AD97" s="117" t="str">
        <f>IF($A97="","",IF($J97=0,"n.b.",SUMIFS(STG_ZPMW03!$CC$6:$CC$505,STG_ZPMW03!$B$6:$B$505,$A97)))</f>
        <v/>
      </c>
      <c r="AE97" s="117" t="str">
        <f>IF($A97="","",IF($J97=0,"n.b.",SUMIFS(STG_ZPMW03!$CE$6:$CE$505,STG_ZPMW03!$B$6:$B$505,$A97)))</f>
        <v/>
      </c>
      <c r="AF97" s="117" t="str">
        <f>IF($A97="","",IF($J97=0,"n.b.",SUMIFS(STG_ZPMW03!$CG$6:$CG$505,STG_ZPMW03!$B$6:$B$505,$A97)))</f>
        <v/>
      </c>
      <c r="AG97" s="117" t="str">
        <f>IF($A97="","",IF($J97=0,"n.b.",SUMIFS(STG_ZPMW03!$CI$6:$CI$505,STG_ZPMW03!$B$6:$B$505,$A97)))</f>
        <v/>
      </c>
      <c r="AH97" s="117" t="str">
        <f>IF($A97="","",IF($J97=0,"n.b.",SUMIFS(STG_ZPMW03!$CK$6:$CK$505,STG_ZPMW03!$B$6:$B$505,$A97)))</f>
        <v/>
      </c>
      <c r="AI97" s="117" t="str">
        <f>IF($A97="","",IF($J97=0,"n.b.",SUMIFS(STG_ZPMW03!$CM$6:$CM$505,STG_ZPMW03!$B$6:$B$505,$A97)))</f>
        <v/>
      </c>
      <c r="AJ97" s="117" t="str">
        <f>IF($A97="","",IF($J97=0,"n.b.",SUMIFS(STG_ZPMW03!$CO$6:$CO$505,STG_ZPMW03!$B$6:$B$505,$A97)))</f>
        <v/>
      </c>
      <c r="AK97" s="117" t="str">
        <f>IF($A97="","",IF($J97=0,"n.b.",SUMIFS(STG_ZPMW03!$CQ$6:$CQ$505,STG_ZPMW03!$B$6:$B$505,$A97)))</f>
        <v/>
      </c>
      <c r="AL97" s="117" t="str">
        <f>IF($A97="","",IF($J97=0,"n.b.",SUMIFS(STG_ZPMW03!$CD$6:$CD$505,STG_ZPMW03!$B$6:$B$505,$A97)))</f>
        <v/>
      </c>
      <c r="AM97" s="117" t="str">
        <f>IF($A97="","",IF($J97=0,"n.b.",SUMIFS(STG_ZPMW03!$CF$6:$CF$505,STG_ZPMW03!$B$6:$B$505,$A97)))</f>
        <v/>
      </c>
      <c r="AN97" s="117" t="str">
        <f>IF($A97="","",IF($J97=0,"n.b.",SUMIFS(STG_ZPMW03!$CH$6:$CH$505,STG_ZPMW03!$B$6:$B$505,$A97)))</f>
        <v/>
      </c>
      <c r="AO97" s="117" t="str">
        <f>IF($A97="","",IF($J97=0,"n.b.",SUMIFS(STG_ZPMW03!$CJ$6:$CJ$505,STG_ZPMW03!$B$6:$B$505,$A97)))</f>
        <v/>
      </c>
      <c r="AP97" s="117" t="str">
        <f>IF($A97="","",IF($J97=0,"n.b.",SUMIFS(STG_ZPMW03!$CL$6:$CL$505,STG_ZPMW03!$B$6:$B$505,$A97)))</f>
        <v/>
      </c>
      <c r="AQ97" s="117" t="str">
        <f>IF($A97="","",IF($J97=0,"n.b.",SUMIFS(STG_ZPMW03!$CN$6:$CN$505,STG_ZPMW03!$B$6:$B$505,$A97)))</f>
        <v/>
      </c>
      <c r="AR97" s="117" t="str">
        <f>IF($A97="","",IF($J97=0,"n.b.",SUMIFS(STG_ZPMW03!$CP$6:$CP$505,STG_ZPMW03!$B$6:$B$505,$A97)))</f>
        <v/>
      </c>
      <c r="AS97" s="117" t="str">
        <f>IF($A97="","",IF($J97=0,"n.b.",SUMIFS(STG_ZPMW03!$CR$6:$CR$505,STG_ZPMW03!$B$6:$B$505,$A97)))</f>
        <v/>
      </c>
      <c r="AT97" s="117" t="str">
        <f>IF($A97="","",IF($K97=0,"n.b.",SUMIFS(STG_Woningetalage!$Q$6:$Q$505,STG_Woningetalage!$B$6:$B$505,$A97)))</f>
        <v/>
      </c>
      <c r="AU97" s="117" t="str">
        <f>IF($A97="","",IF($K97=0,"n.b.",SUMIFS(STG_Woningetalage!$R$6:$R$505,STG_Woningetalage!$B$6:$B$505,$A97)))</f>
        <v/>
      </c>
      <c r="AV97" s="117" t="str">
        <f>IF($A97="","",IF($K97=0,"n.b.",SUMIFS(STG_Woningetalage!$S$6:$S$505,STG_Woningetalage!$B$6:$B$505,$A97)))</f>
        <v/>
      </c>
      <c r="AW97" s="117" t="str">
        <f>IF($A97="","",IF($K97=0,"n.b.",SUMIFS(STG_Woningetalage!$T$6:$T$505,STG_Woningetalage!$B$6:$B$505,$A97)))</f>
        <v/>
      </c>
      <c r="AX97" s="117" t="str">
        <f>IF($A97="","",IF($K97=0,"n.b.",SUMIFS(STG_Woningetalage!$U$6:$U$505,STG_Woningetalage!$B$6:$B$505,$A97)))</f>
        <v/>
      </c>
      <c r="AY97" s="117" t="str">
        <f>IF($A97="","",IF($K97=0,"n.b.",SUMIFS(STG_Woningetalage!$V$6:$V$505,STG_Woningetalage!$B$6:$B$505,$A97)))</f>
        <v/>
      </c>
      <c r="AZ97" s="117" t="str">
        <f>IF($A97="","",IF($K97=0,"n.b.",SUMIFS(STG_Woningetalage!$W$6:$W$505,STG_Woningetalage!$B$6:$B$505,$A97)))</f>
        <v/>
      </c>
      <c r="BA97" s="117" t="str">
        <f>IF($A97="","",IF($K97=0,"n.b.",SUMIFS(STG_Woningetalage!$X$6:$X$505,STG_Woningetalage!$B$6:$B$505,$A97)))</f>
        <v/>
      </c>
      <c r="BB97" s="117" t="str">
        <f>IF($A97="","",IF($K97=0,"n.b.",SUMIFS(STG_Woningetalage!$Y$6:$Y$505,STG_Woningetalage!$B$6:$B$505,$A97)))</f>
        <v/>
      </c>
      <c r="BC97" s="117" t="str">
        <f>IF($A97="","",IF($K97=0,"n.b.",SUMIFS(STG_Woningetalage!$Z$6:$Z$505,STG_Woningetalage!$B$6:$B$505,$A97)))</f>
        <v/>
      </c>
      <c r="BD97" s="117" t="str">
        <f>IF($A97="","",IF($K97=0,"n.b.",SUMIFS(STG_Woningetalage!$AA$6:$AA$505,STG_Woningetalage!$B$6:$B$505,$A97)))</f>
        <v/>
      </c>
      <c r="BE97" s="117" t="str">
        <f>IF($A97="","",IF($K97=0,"n.b.",SUMIFS(STG_Woningetalage!$AB$6:$AB$505,STG_Woningetalage!$B$6:$B$505,$A97)))</f>
        <v/>
      </c>
      <c r="BF97" s="117" t="str">
        <f>IF($A97="","",IF($K97=0,"n.b.",SUMIFS(STG_Woningetalage!$AC$6:$AC$505,STG_Woningetalage!$B$6:$B$505,$A97)))</f>
        <v/>
      </c>
      <c r="BG97" s="117" t="str">
        <f>IF($A97="","",IF($K97=0,"n.b.",SUMIFS(STG_Woningetalage!$AD$6:$AD$505,STG_Woningetalage!$B$6:$B$505,$A97)))</f>
        <v/>
      </c>
      <c r="BH97" s="117" t="str">
        <f>IF($A97="","",IF($K97=0,"n.b.",SUMIFS(STG_Woningetalage!$AE$6:$AE$505,STG_Woningetalage!$B$6:$B$505,$A97)))</f>
        <v/>
      </c>
      <c r="BI97" s="117" t="str">
        <f>IF($A97="","",IF($K97=0,"n.b.",SUMIFS(STG_Woningetalage!$AF$6:$AF$505,STG_Woningetalage!$B$6:$B$505,$A97)))</f>
        <v/>
      </c>
      <c r="BJ97" s="117" t="str">
        <f>IF($A97="","",IF($K97=0,"n.b.",SUMIFS(STG_Woningetalage!$AG$6:$AG$505,STG_Woningetalage!$B$6:$B$505,$A97)))</f>
        <v/>
      </c>
      <c r="BK97" s="117" t="str">
        <f>IF($A97="","",IF($K97=0,"n.b.",SUMIFS(STG_Woningetalage!$AH$6:$AH$505,STG_Woningetalage!$B$6:$B$505,$A97)))</f>
        <v/>
      </c>
      <c r="BL97" s="117" t="str">
        <f>IF($A97="","",IF($K97=0,"n.b.",SUMIFS(STG_Woningetalage!$AI$6:$AI$505,STG_Woningetalage!$B$6:$B$505,$A97)))</f>
        <v/>
      </c>
      <c r="BM97" s="117" t="str">
        <f>IF($A97="","",IF($K97=0,"n.b.",SUMIFS(STG_Woningetalage!$AJ$6:$AJ$505,STG_Woningetalage!$B$6:$B$505,$A97)))</f>
        <v/>
      </c>
      <c r="BN97" s="117" t="str">
        <f>IF($A97="","",IF($K97=0,"n.b.",SUMIFS(STG_Woningetalage!$AK$6:$AK$505,STG_Woningetalage!$B$6:$B$505,$A97)))</f>
        <v/>
      </c>
      <c r="BO97" s="117" t="str">
        <f>IF($A97="","",IF($K97=0,"n.b.",SUMIFS(STG_Woningetalage!$AL$6:$AL$505,STG_Woningetalage!$B$6:$B$505,$A97)))</f>
        <v/>
      </c>
      <c r="BP97" s="117" t="str">
        <f>IF($A97="","",IF($K97=0,"n.b.",SUMIFS(STG_Woningetalage!$AM$6:$AM$505,STG_Woningetalage!$B$6:$B$505,$A97)))</f>
        <v/>
      </c>
      <c r="BQ97" s="117" t="str">
        <f>IF($A97="","",IF($K97=0,"n.b.",SUMIFS(STG_Woningetalage!$BE$6:$BE$505,STG_Woningetalage!$B$6:$B$505,$A97)))</f>
        <v/>
      </c>
      <c r="BR97" s="117" t="str">
        <f>IF($A97="","",IF($K97=0,"n.b.",SUMIFS(STG_Woningetalage!$BF$6:$BF$505,STG_Woningetalage!$B$6:$B$505,$A97)))</f>
        <v/>
      </c>
      <c r="BS97" s="117" t="str">
        <f>IF($A97="","",IF($K97=0,"n.b.",SUMIFS(STG_Woningetalage!$BG$6:$BG$505,STG_Woningetalage!$B$6:$B$505,$A97)))</f>
        <v/>
      </c>
      <c r="BT97" s="117" t="str">
        <f>IF($A97="","",IF($K97=0,"n.b.",SUMIFS(STG_Woningetalage!$BH$6:$BH$505,STG_Woningetalage!$B$6:$B$505,$A97)))</f>
        <v/>
      </c>
      <c r="BU97" s="117" t="str">
        <f>IF($A97="","",IF($K97=0,"n.b.",SUMIFS(STG_Woningetalage!$BI$6:$BI$505,STG_Woningetalage!$B$6:$B$505,$A97)))</f>
        <v/>
      </c>
      <c r="BV97" s="117" t="str">
        <f>IF($A97="","",IF($K97=0,"n.b.",SUMIFS(STG_Woningetalage!$BJ$6:$BJ$505,STG_Woningetalage!$B$6:$B$505,$A97)))</f>
        <v/>
      </c>
      <c r="BW97" s="117" t="str">
        <f>IF($A97="","",IF($K97=0,"n.b.",SUMIFS(STG_Woningetalage!$AR$6:$AR$505,STG_Woningetalage!$B$6:$B$505,$A97)))</f>
        <v/>
      </c>
      <c r="BX97" s="117" t="str">
        <f>IF($A97="","",IF($K97=0,"n.b.",SUMIFS(STG_Woningetalage!$AS$6:$AS$505,STG_Woningetalage!$B$6:$B$505,$A97)))</f>
        <v/>
      </c>
      <c r="BY97" s="117" t="str">
        <f>IF($A97="","",IF($K97=0,"n.b.",SUMIFS(STG_Woningetalage!$AN$6:$AN$505,STG_Woningetalage!$B$6:$B$505,$A97)))</f>
        <v/>
      </c>
      <c r="BZ97" s="117" t="str">
        <f>IF($A97="","",IF($K97=0,"n.b.",SUMIFS(STG_Woningetalage!$AO$6:$AO$505,STG_Woningetalage!$B$6:$B$505,$A97)))</f>
        <v/>
      </c>
      <c r="CA97" s="117" t="str">
        <f>IF($A97="","",IF($K97=0,"n.b.",SUMIFS(STG_Woningetalage!$AP$6:$AP$505,STG_Woningetalage!$B$6:$B$505,$A97)))</f>
        <v/>
      </c>
      <c r="CB97" s="117" t="str">
        <f>IF($A97="","",IF($K97=0,"n.b.",SUMIFS(STG_Woningetalage!$AQ$6:$AQ$505,STG_Woningetalage!$B$6:$B$505,$A97)))</f>
        <v/>
      </c>
      <c r="CC97" s="117" t="str">
        <f>IF($A97="","",IF($K97=0,"n.b.",SUMIFS(STG_Woningetalage!$AU$6:$AU$505,STG_Woningetalage!$B$6:$B$505,$A97)))</f>
        <v/>
      </c>
      <c r="CD97" s="92" t="str">
        <f>IF($A97="","",IFERROR(INDEX(STG_ZPMW03!$L$6:$L$505,MATCH($A97,STG_ZPMW03!$B$6:$B$505,0)),"n.b."))</f>
        <v/>
      </c>
      <c r="CE97" s="92" t="str">
        <f>IF($A97="","",IFERROR(INDEX(STG_ZPMW03!$K$6:$K$505,MATCH($A97,STG_ZPMW03!$B$6:$B$505,0)),"n.b."))</f>
        <v/>
      </c>
      <c r="CF97" s="92" t="str">
        <f>IF($A97="","",IFERROR(INDEX(STG_ZPMW03!$BH$6:$BH$505,MATCH($A97,STG_ZPMW03!$B$6:$B$505,0)),"n.b."))</f>
        <v/>
      </c>
      <c r="CG97" s="92" t="str">
        <f>IF($A97="","",IFERROR(INDEX(STG_ZPMW03!$BI$6:$BI$505,MATCH($A97,STG_ZPMW03!$B$6:$B$505,0)),"n.b."))</f>
        <v/>
      </c>
      <c r="CH97" s="92" t="str">
        <f>IF($A97="","",IFERROR(INDEX(STG_ZPMW03!$BJ$6:$BJ$505,MATCH($A97,STG_ZPMW03!$B$6:$B$505,0)),"n.b."))</f>
        <v/>
      </c>
      <c r="CI97" s="92" t="str">
        <f>IF($A97="","",IFERROR(INDEX(STG_ZPMW03!$BF$6:$BF$505,MATCH($A97,STG_ZPMW03!$B$6:$B$505,0)),"n.b."))</f>
        <v/>
      </c>
      <c r="CJ97" s="92" t="str">
        <f>IF($A97="","",IFERROR(INDEX(STG_ZPMW03!$BG$6:$BG$505,MATCH($A97,STG_ZPMW03!$B$6:$B$505,0)),"n.b."))</f>
        <v/>
      </c>
      <c r="CK97" s="92" t="str">
        <f>IF($A97="","",IFERROR(INDEX(STG_ZPMW03!$H$6:$H$505,MATCH($A97,STG_ZPMW03!$B$6:$B$505,0)),"n.b."))</f>
        <v/>
      </c>
      <c r="CL97" s="92" t="str">
        <f>IF($A97="","",IFERROR(INDEX(STG_ZPMW03!$E$6:$E$505,MATCH($A97,STG_ZPMW03!$B$6:$B$505,0)),"n.b."))</f>
        <v/>
      </c>
      <c r="CM97" s="92" t="str">
        <f>IF($A97="","",IFERROR(INDEX(STG_ZPMW03!$G$6:$G$505,MATCH($A97,STG_ZPMW03!$B$6:$B$505,0)),"n.b."))</f>
        <v/>
      </c>
      <c r="CN97" s="92" t="str">
        <f>IF($A97="","",IFERROR(INDEX(STG_Woningetalage!$N$6:$N$505,MATCH($A97,STG_Woningetalage!$B$6:$B$505,0)),"n.b."))</f>
        <v/>
      </c>
      <c r="CO97" s="92" t="str">
        <f>IF($A97="","",IFERROR(INDEX(STG_Woningetalage!$P$6:$P$505,MATCH($A97,STG_Woningetalage!$B$6:$B$505,0)),"n.b."))</f>
        <v/>
      </c>
      <c r="CP97" s="118" t="str">
        <f>IF($A97="","",IF(AND(ISNUMBER(AT97),ISNUMBER(F97)),IF(F97&gt;0,AT97/(F97/100),"n.b."),"n.b."))</f>
        <v/>
      </c>
      <c r="CQ97" s="116" t="str">
        <f>IF($A97="","",IF(ISNUMBER(Q97),IF(Q97&lt;0,1,0),0))</f>
        <v/>
      </c>
      <c r="CR97" s="116" t="str">
        <f>IF(CQ97=1,COUNTIF($CQ$6:CQ97,1),"")</f>
        <v/>
      </c>
      <c r="CS97" s="116" t="str">
        <f>IF(AND($A97&lt;&gt;"",$J97=0),COUNTIFS($A$6:$A97,"?*",$J$6:$J97,0),"")</f>
        <v/>
      </c>
      <c r="CT97" s="119" t="str">
        <f>IF($A97="","",IF(AND(ISNUMBER(Q97),ISNUMBER(P97)),IF(P97&lt;&gt;0,Q97/P97,"n.b."),"n.b."))</f>
        <v/>
      </c>
    </row>
    <row r="98">
      <c r="A98" s="92" t="str">
        <f>IF(Mapping!$A97="","",Mapping!$A97)</f>
        <v/>
      </c>
      <c r="B98" s="92" t="str">
        <f>IF(Mapping!$B97="","",Mapping!$B97)</f>
        <v/>
      </c>
      <c r="C98" s="92" t="str">
        <f>IF(Mapping!$C97="","",Mapping!$C97)</f>
        <v/>
      </c>
      <c r="D98" s="92" t="str">
        <f>IF(Mapping!$F97="","",Mapping!$F97)</f>
        <v/>
      </c>
      <c r="E98" s="92" t="str">
        <f>IF(Mapping!$H97="","",Mapping!$H97)</f>
        <v/>
      </c>
      <c r="F98" s="92" t="str">
        <f>IF(Mapping!$E97="","",Mapping!$E97)</f>
        <v/>
      </c>
      <c r="G98" s="92" t="str">
        <f>IF(Mapping!$G97="","",Mapping!$G97)</f>
        <v/>
      </c>
      <c r="H98" s="92" t="str">
        <f>IF(Mapping!$D97="","",Mapping!$D97)</f>
        <v/>
      </c>
      <c r="I98" s="92" t="str">
        <f>IF($A98="","",IFERROR(INDEX(STG_ZPMW03!$C$6:$C$505,MATCH($A98,STG_ZPMW03!$B$6:$B$505,0)),"n.b."))</f>
        <v/>
      </c>
      <c r="J98" s="116" t="str">
        <f>IF($A98="","",COUNTIF(STG_ZPMW03!$B$6:$B$505,$A98))</f>
        <v/>
      </c>
      <c r="K98" s="116" t="str">
        <f>IF($A98="","",COUNTIF(STG_Woningetalage!$B$6:$B$505,$A98))</f>
        <v/>
      </c>
      <c r="L98" s="117" t="str">
        <f>IF($A98="","",IF($J98=0,"n.b.",SUMIFS(STG_ZPMW03!$BK$6:$BK$505,STG_ZPMW03!$B$6:$B$505,$A98)))</f>
        <v/>
      </c>
      <c r="M98" s="117" t="str">
        <f>IF($A98="","",IF($J98=0,"n.b.",SUMIFS(STG_ZPMW03!$BL$6:$BL$505,STG_ZPMW03!$B$6:$B$505,$A98)))</f>
        <v/>
      </c>
      <c r="N98" s="117" t="str">
        <f>IF($A98="","",IF($J98=0,"n.b.",SUMIFS(STG_ZPMW03!$BM$6:$BM$505,STG_ZPMW03!$B$6:$B$505,$A98)))</f>
        <v/>
      </c>
      <c r="O98" s="117" t="str">
        <f>IF($A98="","",IF($J98=0,"n.b.",SUMIFS(STG_ZPMW03!$BN$6:$BN$505,STG_ZPMW03!$B$6:$B$505,$A98)))</f>
        <v/>
      </c>
      <c r="P98" s="117" t="str">
        <f>IF($A98="","",IF($J98=0,"n.b.",SUMIFS(STG_ZPMW03!$BO$6:$BO$505,STG_ZPMW03!$B$6:$B$505,$A98)))</f>
        <v/>
      </c>
      <c r="Q98" s="117" t="str">
        <f>IF($A98="","",IF($J98=0,"n.b.",SUMIFS(STG_ZPMW03!$BP$6:$BP$505,STG_ZPMW03!$B$6:$B$505,$A98)))</f>
        <v/>
      </c>
      <c r="R98" s="117" t="str">
        <f>IF($A98="","",IF($J98=0,"n.b.",SUMIFS(STG_ZPMW03!$BQ$6:$BQ$505,STG_ZPMW03!$B$6:$B$505,$A98)))</f>
        <v/>
      </c>
      <c r="S98" s="117" t="str">
        <f>IF($A98="","",IF($J98=0,"n.b.",SUMIFS(STG_ZPMW03!$BR$6:$BR$505,STG_ZPMW03!$B$6:$B$505,$A98)))</f>
        <v/>
      </c>
      <c r="T98" s="117" t="str">
        <f>IF($A98="","",IF($J98=0,"n.b.",SUMIFS(STG_ZPMW03!$BS$6:$BS$505,STG_ZPMW03!$B$6:$B$505,$A98)))</f>
        <v/>
      </c>
      <c r="U98" s="117" t="str">
        <f>IF($A98="","",IF($J98=0,"n.b.",SUMIFS(STG_ZPMW03!$BT$6:$BT$505,STG_ZPMW03!$B$6:$B$505,$A98)))</f>
        <v/>
      </c>
      <c r="V98" s="117" t="str">
        <f>IF($A98="","",IF($J98=0,"n.b.",SUMIFS(STG_ZPMW03!$BU$6:$BU$505,STG_ZPMW03!$B$6:$B$505,$A98)))</f>
        <v/>
      </c>
      <c r="W98" s="117" t="str">
        <f>IF($A98="","",IF($J98=0,"n.b.",SUMIFS(STG_ZPMW03!$BW$6:$BW$505,STG_ZPMW03!$B$6:$B$505,$A98)))</f>
        <v/>
      </c>
      <c r="X98" s="117" t="str">
        <f>IF($A98="","",IF($J98=0,"n.b.",SUMIFS(STG_ZPMW03!$BY$6:$BY$505,STG_ZPMW03!$B$6:$B$505,$A98)))</f>
        <v/>
      </c>
      <c r="Y98" s="117" t="str">
        <f>IF($A98="","",IF($J98=0,"n.b.",SUMIFS(STG_ZPMW03!$CA$6:$CA$505,STG_ZPMW03!$B$6:$B$505,$A98)))</f>
        <v/>
      </c>
      <c r="Z98" s="117" t="str">
        <f>IF($A98="","",IF($J98=0,"n.b.",SUMIFS(STG_ZPMW03!$BV$6:$BV$505,STG_ZPMW03!$B$6:$B$505,$A98)))</f>
        <v/>
      </c>
      <c r="AA98" s="117" t="str">
        <f>IF($A98="","",IF($J98=0,"n.b.",SUMIFS(STG_ZPMW03!$BX$6:$BX$505,STG_ZPMW03!$B$6:$B$505,$A98)))</f>
        <v/>
      </c>
      <c r="AB98" s="117" t="str">
        <f>IF($A98="","",IF($J98=0,"n.b.",SUMIFS(STG_ZPMW03!$BZ$6:$BZ$505,STG_ZPMW03!$B$6:$B$505,$A98)))</f>
        <v/>
      </c>
      <c r="AC98" s="117" t="str">
        <f>IF($A98="","",IF($J98=0,"n.b.",SUMIFS(STG_ZPMW03!$CB$6:$CB$505,STG_ZPMW03!$B$6:$B$505,$A98)))</f>
        <v/>
      </c>
      <c r="AD98" s="117" t="str">
        <f>IF($A98="","",IF($J98=0,"n.b.",SUMIFS(STG_ZPMW03!$CC$6:$CC$505,STG_ZPMW03!$B$6:$B$505,$A98)))</f>
        <v/>
      </c>
      <c r="AE98" s="117" t="str">
        <f>IF($A98="","",IF($J98=0,"n.b.",SUMIFS(STG_ZPMW03!$CE$6:$CE$505,STG_ZPMW03!$B$6:$B$505,$A98)))</f>
        <v/>
      </c>
      <c r="AF98" s="117" t="str">
        <f>IF($A98="","",IF($J98=0,"n.b.",SUMIFS(STG_ZPMW03!$CG$6:$CG$505,STG_ZPMW03!$B$6:$B$505,$A98)))</f>
        <v/>
      </c>
      <c r="AG98" s="117" t="str">
        <f>IF($A98="","",IF($J98=0,"n.b.",SUMIFS(STG_ZPMW03!$CI$6:$CI$505,STG_ZPMW03!$B$6:$B$505,$A98)))</f>
        <v/>
      </c>
      <c r="AH98" s="117" t="str">
        <f>IF($A98="","",IF($J98=0,"n.b.",SUMIFS(STG_ZPMW03!$CK$6:$CK$505,STG_ZPMW03!$B$6:$B$505,$A98)))</f>
        <v/>
      </c>
      <c r="AI98" s="117" t="str">
        <f>IF($A98="","",IF($J98=0,"n.b.",SUMIFS(STG_ZPMW03!$CM$6:$CM$505,STG_ZPMW03!$B$6:$B$505,$A98)))</f>
        <v/>
      </c>
      <c r="AJ98" s="117" t="str">
        <f>IF($A98="","",IF($J98=0,"n.b.",SUMIFS(STG_ZPMW03!$CO$6:$CO$505,STG_ZPMW03!$B$6:$B$505,$A98)))</f>
        <v/>
      </c>
      <c r="AK98" s="117" t="str">
        <f>IF($A98="","",IF($J98=0,"n.b.",SUMIFS(STG_ZPMW03!$CQ$6:$CQ$505,STG_ZPMW03!$B$6:$B$505,$A98)))</f>
        <v/>
      </c>
      <c r="AL98" s="117" t="str">
        <f>IF($A98="","",IF($J98=0,"n.b.",SUMIFS(STG_ZPMW03!$CD$6:$CD$505,STG_ZPMW03!$B$6:$B$505,$A98)))</f>
        <v/>
      </c>
      <c r="AM98" s="117" t="str">
        <f>IF($A98="","",IF($J98=0,"n.b.",SUMIFS(STG_ZPMW03!$CF$6:$CF$505,STG_ZPMW03!$B$6:$B$505,$A98)))</f>
        <v/>
      </c>
      <c r="AN98" s="117" t="str">
        <f>IF($A98="","",IF($J98=0,"n.b.",SUMIFS(STG_ZPMW03!$CH$6:$CH$505,STG_ZPMW03!$B$6:$B$505,$A98)))</f>
        <v/>
      </c>
      <c r="AO98" s="117" t="str">
        <f>IF($A98="","",IF($J98=0,"n.b.",SUMIFS(STG_ZPMW03!$CJ$6:$CJ$505,STG_ZPMW03!$B$6:$B$505,$A98)))</f>
        <v/>
      </c>
      <c r="AP98" s="117" t="str">
        <f>IF($A98="","",IF($J98=0,"n.b.",SUMIFS(STG_ZPMW03!$CL$6:$CL$505,STG_ZPMW03!$B$6:$B$505,$A98)))</f>
        <v/>
      </c>
      <c r="AQ98" s="117" t="str">
        <f>IF($A98="","",IF($J98=0,"n.b.",SUMIFS(STG_ZPMW03!$CN$6:$CN$505,STG_ZPMW03!$B$6:$B$505,$A98)))</f>
        <v/>
      </c>
      <c r="AR98" s="117" t="str">
        <f>IF($A98="","",IF($J98=0,"n.b.",SUMIFS(STG_ZPMW03!$CP$6:$CP$505,STG_ZPMW03!$B$6:$B$505,$A98)))</f>
        <v/>
      </c>
      <c r="AS98" s="117" t="str">
        <f>IF($A98="","",IF($J98=0,"n.b.",SUMIFS(STG_ZPMW03!$CR$6:$CR$505,STG_ZPMW03!$B$6:$B$505,$A98)))</f>
        <v/>
      </c>
      <c r="AT98" s="117" t="str">
        <f>IF($A98="","",IF($K98=0,"n.b.",SUMIFS(STG_Woningetalage!$Q$6:$Q$505,STG_Woningetalage!$B$6:$B$505,$A98)))</f>
        <v/>
      </c>
      <c r="AU98" s="117" t="str">
        <f>IF($A98="","",IF($K98=0,"n.b.",SUMIFS(STG_Woningetalage!$R$6:$R$505,STG_Woningetalage!$B$6:$B$505,$A98)))</f>
        <v/>
      </c>
      <c r="AV98" s="117" t="str">
        <f>IF($A98="","",IF($K98=0,"n.b.",SUMIFS(STG_Woningetalage!$S$6:$S$505,STG_Woningetalage!$B$6:$B$505,$A98)))</f>
        <v/>
      </c>
      <c r="AW98" s="117" t="str">
        <f>IF($A98="","",IF($K98=0,"n.b.",SUMIFS(STG_Woningetalage!$T$6:$T$505,STG_Woningetalage!$B$6:$B$505,$A98)))</f>
        <v/>
      </c>
      <c r="AX98" s="117" t="str">
        <f>IF($A98="","",IF($K98=0,"n.b.",SUMIFS(STG_Woningetalage!$U$6:$U$505,STG_Woningetalage!$B$6:$B$505,$A98)))</f>
        <v/>
      </c>
      <c r="AY98" s="117" t="str">
        <f>IF($A98="","",IF($K98=0,"n.b.",SUMIFS(STG_Woningetalage!$V$6:$V$505,STG_Woningetalage!$B$6:$B$505,$A98)))</f>
        <v/>
      </c>
      <c r="AZ98" s="117" t="str">
        <f>IF($A98="","",IF($K98=0,"n.b.",SUMIFS(STG_Woningetalage!$W$6:$W$505,STG_Woningetalage!$B$6:$B$505,$A98)))</f>
        <v/>
      </c>
      <c r="BA98" s="117" t="str">
        <f>IF($A98="","",IF($K98=0,"n.b.",SUMIFS(STG_Woningetalage!$X$6:$X$505,STG_Woningetalage!$B$6:$B$505,$A98)))</f>
        <v/>
      </c>
      <c r="BB98" s="117" t="str">
        <f>IF($A98="","",IF($K98=0,"n.b.",SUMIFS(STG_Woningetalage!$Y$6:$Y$505,STG_Woningetalage!$B$6:$B$505,$A98)))</f>
        <v/>
      </c>
      <c r="BC98" s="117" t="str">
        <f>IF($A98="","",IF($K98=0,"n.b.",SUMIFS(STG_Woningetalage!$Z$6:$Z$505,STG_Woningetalage!$B$6:$B$505,$A98)))</f>
        <v/>
      </c>
      <c r="BD98" s="117" t="str">
        <f>IF($A98="","",IF($K98=0,"n.b.",SUMIFS(STG_Woningetalage!$AA$6:$AA$505,STG_Woningetalage!$B$6:$B$505,$A98)))</f>
        <v/>
      </c>
      <c r="BE98" s="117" t="str">
        <f>IF($A98="","",IF($K98=0,"n.b.",SUMIFS(STG_Woningetalage!$AB$6:$AB$505,STG_Woningetalage!$B$6:$B$505,$A98)))</f>
        <v/>
      </c>
      <c r="BF98" s="117" t="str">
        <f>IF($A98="","",IF($K98=0,"n.b.",SUMIFS(STG_Woningetalage!$AC$6:$AC$505,STG_Woningetalage!$B$6:$B$505,$A98)))</f>
        <v/>
      </c>
      <c r="BG98" s="117" t="str">
        <f>IF($A98="","",IF($K98=0,"n.b.",SUMIFS(STG_Woningetalage!$AD$6:$AD$505,STG_Woningetalage!$B$6:$B$505,$A98)))</f>
        <v/>
      </c>
      <c r="BH98" s="117" t="str">
        <f>IF($A98="","",IF($K98=0,"n.b.",SUMIFS(STG_Woningetalage!$AE$6:$AE$505,STG_Woningetalage!$B$6:$B$505,$A98)))</f>
        <v/>
      </c>
      <c r="BI98" s="117" t="str">
        <f>IF($A98="","",IF($K98=0,"n.b.",SUMIFS(STG_Woningetalage!$AF$6:$AF$505,STG_Woningetalage!$B$6:$B$505,$A98)))</f>
        <v/>
      </c>
      <c r="BJ98" s="117" t="str">
        <f>IF($A98="","",IF($K98=0,"n.b.",SUMIFS(STG_Woningetalage!$AG$6:$AG$505,STG_Woningetalage!$B$6:$B$505,$A98)))</f>
        <v/>
      </c>
      <c r="BK98" s="117" t="str">
        <f>IF($A98="","",IF($K98=0,"n.b.",SUMIFS(STG_Woningetalage!$AH$6:$AH$505,STG_Woningetalage!$B$6:$B$505,$A98)))</f>
        <v/>
      </c>
      <c r="BL98" s="117" t="str">
        <f>IF($A98="","",IF($K98=0,"n.b.",SUMIFS(STG_Woningetalage!$AI$6:$AI$505,STG_Woningetalage!$B$6:$B$505,$A98)))</f>
        <v/>
      </c>
      <c r="BM98" s="117" t="str">
        <f>IF($A98="","",IF($K98=0,"n.b.",SUMIFS(STG_Woningetalage!$AJ$6:$AJ$505,STG_Woningetalage!$B$6:$B$505,$A98)))</f>
        <v/>
      </c>
      <c r="BN98" s="117" t="str">
        <f>IF($A98="","",IF($K98=0,"n.b.",SUMIFS(STG_Woningetalage!$AK$6:$AK$505,STG_Woningetalage!$B$6:$B$505,$A98)))</f>
        <v/>
      </c>
      <c r="BO98" s="117" t="str">
        <f>IF($A98="","",IF($K98=0,"n.b.",SUMIFS(STG_Woningetalage!$AL$6:$AL$505,STG_Woningetalage!$B$6:$B$505,$A98)))</f>
        <v/>
      </c>
      <c r="BP98" s="117" t="str">
        <f>IF($A98="","",IF($K98=0,"n.b.",SUMIFS(STG_Woningetalage!$AM$6:$AM$505,STG_Woningetalage!$B$6:$B$505,$A98)))</f>
        <v/>
      </c>
      <c r="BQ98" s="117" t="str">
        <f>IF($A98="","",IF($K98=0,"n.b.",SUMIFS(STG_Woningetalage!$BE$6:$BE$505,STG_Woningetalage!$B$6:$B$505,$A98)))</f>
        <v/>
      </c>
      <c r="BR98" s="117" t="str">
        <f>IF($A98="","",IF($K98=0,"n.b.",SUMIFS(STG_Woningetalage!$BF$6:$BF$505,STG_Woningetalage!$B$6:$B$505,$A98)))</f>
        <v/>
      </c>
      <c r="BS98" s="117" t="str">
        <f>IF($A98="","",IF($K98=0,"n.b.",SUMIFS(STG_Woningetalage!$BG$6:$BG$505,STG_Woningetalage!$B$6:$B$505,$A98)))</f>
        <v/>
      </c>
      <c r="BT98" s="117" t="str">
        <f>IF($A98="","",IF($K98=0,"n.b.",SUMIFS(STG_Woningetalage!$BH$6:$BH$505,STG_Woningetalage!$B$6:$B$505,$A98)))</f>
        <v/>
      </c>
      <c r="BU98" s="117" t="str">
        <f>IF($A98="","",IF($K98=0,"n.b.",SUMIFS(STG_Woningetalage!$BI$6:$BI$505,STG_Woningetalage!$B$6:$B$505,$A98)))</f>
        <v/>
      </c>
      <c r="BV98" s="117" t="str">
        <f>IF($A98="","",IF($K98=0,"n.b.",SUMIFS(STG_Woningetalage!$BJ$6:$BJ$505,STG_Woningetalage!$B$6:$B$505,$A98)))</f>
        <v/>
      </c>
      <c r="BW98" s="117" t="str">
        <f>IF($A98="","",IF($K98=0,"n.b.",SUMIFS(STG_Woningetalage!$AR$6:$AR$505,STG_Woningetalage!$B$6:$B$505,$A98)))</f>
        <v/>
      </c>
      <c r="BX98" s="117" t="str">
        <f>IF($A98="","",IF($K98=0,"n.b.",SUMIFS(STG_Woningetalage!$AS$6:$AS$505,STG_Woningetalage!$B$6:$B$505,$A98)))</f>
        <v/>
      </c>
      <c r="BY98" s="117" t="str">
        <f>IF($A98="","",IF($K98=0,"n.b.",SUMIFS(STG_Woningetalage!$AN$6:$AN$505,STG_Woningetalage!$B$6:$B$505,$A98)))</f>
        <v/>
      </c>
      <c r="BZ98" s="117" t="str">
        <f>IF($A98="","",IF($K98=0,"n.b.",SUMIFS(STG_Woningetalage!$AO$6:$AO$505,STG_Woningetalage!$B$6:$B$505,$A98)))</f>
        <v/>
      </c>
      <c r="CA98" s="117" t="str">
        <f>IF($A98="","",IF($K98=0,"n.b.",SUMIFS(STG_Woningetalage!$AP$6:$AP$505,STG_Woningetalage!$B$6:$B$505,$A98)))</f>
        <v/>
      </c>
      <c r="CB98" s="117" t="str">
        <f>IF($A98="","",IF($K98=0,"n.b.",SUMIFS(STG_Woningetalage!$AQ$6:$AQ$505,STG_Woningetalage!$B$6:$B$505,$A98)))</f>
        <v/>
      </c>
      <c r="CC98" s="117" t="str">
        <f>IF($A98="","",IF($K98=0,"n.b.",SUMIFS(STG_Woningetalage!$AU$6:$AU$505,STG_Woningetalage!$B$6:$B$505,$A98)))</f>
        <v/>
      </c>
      <c r="CD98" s="92" t="str">
        <f>IF($A98="","",IFERROR(INDEX(STG_ZPMW03!$L$6:$L$505,MATCH($A98,STG_ZPMW03!$B$6:$B$505,0)),"n.b."))</f>
        <v/>
      </c>
      <c r="CE98" s="92" t="str">
        <f>IF($A98="","",IFERROR(INDEX(STG_ZPMW03!$K$6:$K$505,MATCH($A98,STG_ZPMW03!$B$6:$B$505,0)),"n.b."))</f>
        <v/>
      </c>
      <c r="CF98" s="92" t="str">
        <f>IF($A98="","",IFERROR(INDEX(STG_ZPMW03!$BH$6:$BH$505,MATCH($A98,STG_ZPMW03!$B$6:$B$505,0)),"n.b."))</f>
        <v/>
      </c>
      <c r="CG98" s="92" t="str">
        <f>IF($A98="","",IFERROR(INDEX(STG_ZPMW03!$BI$6:$BI$505,MATCH($A98,STG_ZPMW03!$B$6:$B$505,0)),"n.b."))</f>
        <v/>
      </c>
      <c r="CH98" s="92" t="str">
        <f>IF($A98="","",IFERROR(INDEX(STG_ZPMW03!$BJ$6:$BJ$505,MATCH($A98,STG_ZPMW03!$B$6:$B$505,0)),"n.b."))</f>
        <v/>
      </c>
      <c r="CI98" s="92" t="str">
        <f>IF($A98="","",IFERROR(INDEX(STG_ZPMW03!$BF$6:$BF$505,MATCH($A98,STG_ZPMW03!$B$6:$B$505,0)),"n.b."))</f>
        <v/>
      </c>
      <c r="CJ98" s="92" t="str">
        <f>IF($A98="","",IFERROR(INDEX(STG_ZPMW03!$BG$6:$BG$505,MATCH($A98,STG_ZPMW03!$B$6:$B$505,0)),"n.b."))</f>
        <v/>
      </c>
      <c r="CK98" s="92" t="str">
        <f>IF($A98="","",IFERROR(INDEX(STG_ZPMW03!$H$6:$H$505,MATCH($A98,STG_ZPMW03!$B$6:$B$505,0)),"n.b."))</f>
        <v/>
      </c>
      <c r="CL98" s="92" t="str">
        <f>IF($A98="","",IFERROR(INDEX(STG_ZPMW03!$E$6:$E$505,MATCH($A98,STG_ZPMW03!$B$6:$B$505,0)),"n.b."))</f>
        <v/>
      </c>
      <c r="CM98" s="92" t="str">
        <f>IF($A98="","",IFERROR(INDEX(STG_ZPMW03!$G$6:$G$505,MATCH($A98,STG_ZPMW03!$B$6:$B$505,0)),"n.b."))</f>
        <v/>
      </c>
      <c r="CN98" s="92" t="str">
        <f>IF($A98="","",IFERROR(INDEX(STG_Woningetalage!$N$6:$N$505,MATCH($A98,STG_Woningetalage!$B$6:$B$505,0)),"n.b."))</f>
        <v/>
      </c>
      <c r="CO98" s="92" t="str">
        <f>IF($A98="","",IFERROR(INDEX(STG_Woningetalage!$P$6:$P$505,MATCH($A98,STG_Woningetalage!$B$6:$B$505,0)),"n.b."))</f>
        <v/>
      </c>
      <c r="CP98" s="118" t="str">
        <f>IF($A98="","",IF(AND(ISNUMBER(AT98),ISNUMBER(F98)),IF(F98&gt;0,AT98/(F98/100),"n.b."),"n.b."))</f>
        <v/>
      </c>
      <c r="CQ98" s="116" t="str">
        <f>IF($A98="","",IF(ISNUMBER(Q98),IF(Q98&lt;0,1,0),0))</f>
        <v/>
      </c>
      <c r="CR98" s="116" t="str">
        <f>IF(CQ98=1,COUNTIF($CQ$6:CQ98,1),"")</f>
        <v/>
      </c>
      <c r="CS98" s="116" t="str">
        <f>IF(AND($A98&lt;&gt;"",$J98=0),COUNTIFS($A$6:$A98,"?*",$J$6:$J98,0),"")</f>
        <v/>
      </c>
      <c r="CT98" s="119" t="str">
        <f>IF($A98="","",IF(AND(ISNUMBER(Q98),ISNUMBER(P98)),IF(P98&lt;&gt;0,Q98/P98,"n.b."),"n.b."))</f>
        <v/>
      </c>
    </row>
    <row r="99">
      <c r="A99" s="92" t="str">
        <f>IF(Mapping!$A98="","",Mapping!$A98)</f>
        <v/>
      </c>
      <c r="B99" s="92" t="str">
        <f>IF(Mapping!$B98="","",Mapping!$B98)</f>
        <v/>
      </c>
      <c r="C99" s="92" t="str">
        <f>IF(Mapping!$C98="","",Mapping!$C98)</f>
        <v/>
      </c>
      <c r="D99" s="92" t="str">
        <f>IF(Mapping!$F98="","",Mapping!$F98)</f>
        <v/>
      </c>
      <c r="E99" s="92" t="str">
        <f>IF(Mapping!$H98="","",Mapping!$H98)</f>
        <v/>
      </c>
      <c r="F99" s="92" t="str">
        <f>IF(Mapping!$E98="","",Mapping!$E98)</f>
        <v/>
      </c>
      <c r="G99" s="92" t="str">
        <f>IF(Mapping!$G98="","",Mapping!$G98)</f>
        <v/>
      </c>
      <c r="H99" s="92" t="str">
        <f>IF(Mapping!$D98="","",Mapping!$D98)</f>
        <v/>
      </c>
      <c r="I99" s="92" t="str">
        <f>IF($A99="","",IFERROR(INDEX(STG_ZPMW03!$C$6:$C$505,MATCH($A99,STG_ZPMW03!$B$6:$B$505,0)),"n.b."))</f>
        <v/>
      </c>
      <c r="J99" s="116" t="str">
        <f>IF($A99="","",COUNTIF(STG_ZPMW03!$B$6:$B$505,$A99))</f>
        <v/>
      </c>
      <c r="K99" s="116" t="str">
        <f>IF($A99="","",COUNTIF(STG_Woningetalage!$B$6:$B$505,$A99))</f>
        <v/>
      </c>
      <c r="L99" s="117" t="str">
        <f>IF($A99="","",IF($J99=0,"n.b.",SUMIFS(STG_ZPMW03!$BK$6:$BK$505,STG_ZPMW03!$B$6:$B$505,$A99)))</f>
        <v/>
      </c>
      <c r="M99" s="117" t="str">
        <f>IF($A99="","",IF($J99=0,"n.b.",SUMIFS(STG_ZPMW03!$BL$6:$BL$505,STG_ZPMW03!$B$6:$B$505,$A99)))</f>
        <v/>
      </c>
      <c r="N99" s="117" t="str">
        <f>IF($A99="","",IF($J99=0,"n.b.",SUMIFS(STG_ZPMW03!$BM$6:$BM$505,STG_ZPMW03!$B$6:$B$505,$A99)))</f>
        <v/>
      </c>
      <c r="O99" s="117" t="str">
        <f>IF($A99="","",IF($J99=0,"n.b.",SUMIFS(STG_ZPMW03!$BN$6:$BN$505,STG_ZPMW03!$B$6:$B$505,$A99)))</f>
        <v/>
      </c>
      <c r="P99" s="117" t="str">
        <f>IF($A99="","",IF($J99=0,"n.b.",SUMIFS(STG_ZPMW03!$BO$6:$BO$505,STG_ZPMW03!$B$6:$B$505,$A99)))</f>
        <v/>
      </c>
      <c r="Q99" s="117" t="str">
        <f>IF($A99="","",IF($J99=0,"n.b.",SUMIFS(STG_ZPMW03!$BP$6:$BP$505,STG_ZPMW03!$B$6:$B$505,$A99)))</f>
        <v/>
      </c>
      <c r="R99" s="117" t="str">
        <f>IF($A99="","",IF($J99=0,"n.b.",SUMIFS(STG_ZPMW03!$BQ$6:$BQ$505,STG_ZPMW03!$B$6:$B$505,$A99)))</f>
        <v/>
      </c>
      <c r="S99" s="117" t="str">
        <f>IF($A99="","",IF($J99=0,"n.b.",SUMIFS(STG_ZPMW03!$BR$6:$BR$505,STG_ZPMW03!$B$6:$B$505,$A99)))</f>
        <v/>
      </c>
      <c r="T99" s="117" t="str">
        <f>IF($A99="","",IF($J99=0,"n.b.",SUMIFS(STG_ZPMW03!$BS$6:$BS$505,STG_ZPMW03!$B$6:$B$505,$A99)))</f>
        <v/>
      </c>
      <c r="U99" s="117" t="str">
        <f>IF($A99="","",IF($J99=0,"n.b.",SUMIFS(STG_ZPMW03!$BT$6:$BT$505,STG_ZPMW03!$B$6:$B$505,$A99)))</f>
        <v/>
      </c>
      <c r="V99" s="117" t="str">
        <f>IF($A99="","",IF($J99=0,"n.b.",SUMIFS(STG_ZPMW03!$BU$6:$BU$505,STG_ZPMW03!$B$6:$B$505,$A99)))</f>
        <v/>
      </c>
      <c r="W99" s="117" t="str">
        <f>IF($A99="","",IF($J99=0,"n.b.",SUMIFS(STG_ZPMW03!$BW$6:$BW$505,STG_ZPMW03!$B$6:$B$505,$A99)))</f>
        <v/>
      </c>
      <c r="X99" s="117" t="str">
        <f>IF($A99="","",IF($J99=0,"n.b.",SUMIFS(STG_ZPMW03!$BY$6:$BY$505,STG_ZPMW03!$B$6:$B$505,$A99)))</f>
        <v/>
      </c>
      <c r="Y99" s="117" t="str">
        <f>IF($A99="","",IF($J99=0,"n.b.",SUMIFS(STG_ZPMW03!$CA$6:$CA$505,STG_ZPMW03!$B$6:$B$505,$A99)))</f>
        <v/>
      </c>
      <c r="Z99" s="117" t="str">
        <f>IF($A99="","",IF($J99=0,"n.b.",SUMIFS(STG_ZPMW03!$BV$6:$BV$505,STG_ZPMW03!$B$6:$B$505,$A99)))</f>
        <v/>
      </c>
      <c r="AA99" s="117" t="str">
        <f>IF($A99="","",IF($J99=0,"n.b.",SUMIFS(STG_ZPMW03!$BX$6:$BX$505,STG_ZPMW03!$B$6:$B$505,$A99)))</f>
        <v/>
      </c>
      <c r="AB99" s="117" t="str">
        <f>IF($A99="","",IF($J99=0,"n.b.",SUMIFS(STG_ZPMW03!$BZ$6:$BZ$505,STG_ZPMW03!$B$6:$B$505,$A99)))</f>
        <v/>
      </c>
      <c r="AC99" s="117" t="str">
        <f>IF($A99="","",IF($J99=0,"n.b.",SUMIFS(STG_ZPMW03!$CB$6:$CB$505,STG_ZPMW03!$B$6:$B$505,$A99)))</f>
        <v/>
      </c>
      <c r="AD99" s="117" t="str">
        <f>IF($A99="","",IF($J99=0,"n.b.",SUMIFS(STG_ZPMW03!$CC$6:$CC$505,STG_ZPMW03!$B$6:$B$505,$A99)))</f>
        <v/>
      </c>
      <c r="AE99" s="117" t="str">
        <f>IF($A99="","",IF($J99=0,"n.b.",SUMIFS(STG_ZPMW03!$CE$6:$CE$505,STG_ZPMW03!$B$6:$B$505,$A99)))</f>
        <v/>
      </c>
      <c r="AF99" s="117" t="str">
        <f>IF($A99="","",IF($J99=0,"n.b.",SUMIFS(STG_ZPMW03!$CG$6:$CG$505,STG_ZPMW03!$B$6:$B$505,$A99)))</f>
        <v/>
      </c>
      <c r="AG99" s="117" t="str">
        <f>IF($A99="","",IF($J99=0,"n.b.",SUMIFS(STG_ZPMW03!$CI$6:$CI$505,STG_ZPMW03!$B$6:$B$505,$A99)))</f>
        <v/>
      </c>
      <c r="AH99" s="117" t="str">
        <f>IF($A99="","",IF($J99=0,"n.b.",SUMIFS(STG_ZPMW03!$CK$6:$CK$505,STG_ZPMW03!$B$6:$B$505,$A99)))</f>
        <v/>
      </c>
      <c r="AI99" s="117" t="str">
        <f>IF($A99="","",IF($J99=0,"n.b.",SUMIFS(STG_ZPMW03!$CM$6:$CM$505,STG_ZPMW03!$B$6:$B$505,$A99)))</f>
        <v/>
      </c>
      <c r="AJ99" s="117" t="str">
        <f>IF($A99="","",IF($J99=0,"n.b.",SUMIFS(STG_ZPMW03!$CO$6:$CO$505,STG_ZPMW03!$B$6:$B$505,$A99)))</f>
        <v/>
      </c>
      <c r="AK99" s="117" t="str">
        <f>IF($A99="","",IF($J99=0,"n.b.",SUMIFS(STG_ZPMW03!$CQ$6:$CQ$505,STG_ZPMW03!$B$6:$B$505,$A99)))</f>
        <v/>
      </c>
      <c r="AL99" s="117" t="str">
        <f>IF($A99="","",IF($J99=0,"n.b.",SUMIFS(STG_ZPMW03!$CD$6:$CD$505,STG_ZPMW03!$B$6:$B$505,$A99)))</f>
        <v/>
      </c>
      <c r="AM99" s="117" t="str">
        <f>IF($A99="","",IF($J99=0,"n.b.",SUMIFS(STG_ZPMW03!$CF$6:$CF$505,STG_ZPMW03!$B$6:$B$505,$A99)))</f>
        <v/>
      </c>
      <c r="AN99" s="117" t="str">
        <f>IF($A99="","",IF($J99=0,"n.b.",SUMIFS(STG_ZPMW03!$CH$6:$CH$505,STG_ZPMW03!$B$6:$B$505,$A99)))</f>
        <v/>
      </c>
      <c r="AO99" s="117" t="str">
        <f>IF($A99="","",IF($J99=0,"n.b.",SUMIFS(STG_ZPMW03!$CJ$6:$CJ$505,STG_ZPMW03!$B$6:$B$505,$A99)))</f>
        <v/>
      </c>
      <c r="AP99" s="117" t="str">
        <f>IF($A99="","",IF($J99=0,"n.b.",SUMIFS(STG_ZPMW03!$CL$6:$CL$505,STG_ZPMW03!$B$6:$B$505,$A99)))</f>
        <v/>
      </c>
      <c r="AQ99" s="117" t="str">
        <f>IF($A99="","",IF($J99=0,"n.b.",SUMIFS(STG_ZPMW03!$CN$6:$CN$505,STG_ZPMW03!$B$6:$B$505,$A99)))</f>
        <v/>
      </c>
      <c r="AR99" s="117" t="str">
        <f>IF($A99="","",IF($J99=0,"n.b.",SUMIFS(STG_ZPMW03!$CP$6:$CP$505,STG_ZPMW03!$B$6:$B$505,$A99)))</f>
        <v/>
      </c>
      <c r="AS99" s="117" t="str">
        <f>IF($A99="","",IF($J99=0,"n.b.",SUMIFS(STG_ZPMW03!$CR$6:$CR$505,STG_ZPMW03!$B$6:$B$505,$A99)))</f>
        <v/>
      </c>
      <c r="AT99" s="117" t="str">
        <f>IF($A99="","",IF($K99=0,"n.b.",SUMIFS(STG_Woningetalage!$Q$6:$Q$505,STG_Woningetalage!$B$6:$B$505,$A99)))</f>
        <v/>
      </c>
      <c r="AU99" s="117" t="str">
        <f>IF($A99="","",IF($K99=0,"n.b.",SUMIFS(STG_Woningetalage!$R$6:$R$505,STG_Woningetalage!$B$6:$B$505,$A99)))</f>
        <v/>
      </c>
      <c r="AV99" s="117" t="str">
        <f>IF($A99="","",IF($K99=0,"n.b.",SUMIFS(STG_Woningetalage!$S$6:$S$505,STG_Woningetalage!$B$6:$B$505,$A99)))</f>
        <v/>
      </c>
      <c r="AW99" s="117" t="str">
        <f>IF($A99="","",IF($K99=0,"n.b.",SUMIFS(STG_Woningetalage!$T$6:$T$505,STG_Woningetalage!$B$6:$B$505,$A99)))</f>
        <v/>
      </c>
      <c r="AX99" s="117" t="str">
        <f>IF($A99="","",IF($K99=0,"n.b.",SUMIFS(STG_Woningetalage!$U$6:$U$505,STG_Woningetalage!$B$6:$B$505,$A99)))</f>
        <v/>
      </c>
      <c r="AY99" s="117" t="str">
        <f>IF($A99="","",IF($K99=0,"n.b.",SUMIFS(STG_Woningetalage!$V$6:$V$505,STG_Woningetalage!$B$6:$B$505,$A99)))</f>
        <v/>
      </c>
      <c r="AZ99" s="117" t="str">
        <f>IF($A99="","",IF($K99=0,"n.b.",SUMIFS(STG_Woningetalage!$W$6:$W$505,STG_Woningetalage!$B$6:$B$505,$A99)))</f>
        <v/>
      </c>
      <c r="BA99" s="117" t="str">
        <f>IF($A99="","",IF($K99=0,"n.b.",SUMIFS(STG_Woningetalage!$X$6:$X$505,STG_Woningetalage!$B$6:$B$505,$A99)))</f>
        <v/>
      </c>
      <c r="BB99" s="117" t="str">
        <f>IF($A99="","",IF($K99=0,"n.b.",SUMIFS(STG_Woningetalage!$Y$6:$Y$505,STG_Woningetalage!$B$6:$B$505,$A99)))</f>
        <v/>
      </c>
      <c r="BC99" s="117" t="str">
        <f>IF($A99="","",IF($K99=0,"n.b.",SUMIFS(STG_Woningetalage!$Z$6:$Z$505,STG_Woningetalage!$B$6:$B$505,$A99)))</f>
        <v/>
      </c>
      <c r="BD99" s="117" t="str">
        <f>IF($A99="","",IF($K99=0,"n.b.",SUMIFS(STG_Woningetalage!$AA$6:$AA$505,STG_Woningetalage!$B$6:$B$505,$A99)))</f>
        <v/>
      </c>
      <c r="BE99" s="117" t="str">
        <f>IF($A99="","",IF($K99=0,"n.b.",SUMIFS(STG_Woningetalage!$AB$6:$AB$505,STG_Woningetalage!$B$6:$B$505,$A99)))</f>
        <v/>
      </c>
      <c r="BF99" s="117" t="str">
        <f>IF($A99="","",IF($K99=0,"n.b.",SUMIFS(STG_Woningetalage!$AC$6:$AC$505,STG_Woningetalage!$B$6:$B$505,$A99)))</f>
        <v/>
      </c>
      <c r="BG99" s="117" t="str">
        <f>IF($A99="","",IF($K99=0,"n.b.",SUMIFS(STG_Woningetalage!$AD$6:$AD$505,STG_Woningetalage!$B$6:$B$505,$A99)))</f>
        <v/>
      </c>
      <c r="BH99" s="117" t="str">
        <f>IF($A99="","",IF($K99=0,"n.b.",SUMIFS(STG_Woningetalage!$AE$6:$AE$505,STG_Woningetalage!$B$6:$B$505,$A99)))</f>
        <v/>
      </c>
      <c r="BI99" s="117" t="str">
        <f>IF($A99="","",IF($K99=0,"n.b.",SUMIFS(STG_Woningetalage!$AF$6:$AF$505,STG_Woningetalage!$B$6:$B$505,$A99)))</f>
        <v/>
      </c>
      <c r="BJ99" s="117" t="str">
        <f>IF($A99="","",IF($K99=0,"n.b.",SUMIFS(STG_Woningetalage!$AG$6:$AG$505,STG_Woningetalage!$B$6:$B$505,$A99)))</f>
        <v/>
      </c>
      <c r="BK99" s="117" t="str">
        <f>IF($A99="","",IF($K99=0,"n.b.",SUMIFS(STG_Woningetalage!$AH$6:$AH$505,STG_Woningetalage!$B$6:$B$505,$A99)))</f>
        <v/>
      </c>
      <c r="BL99" s="117" t="str">
        <f>IF($A99="","",IF($K99=0,"n.b.",SUMIFS(STG_Woningetalage!$AI$6:$AI$505,STG_Woningetalage!$B$6:$B$505,$A99)))</f>
        <v/>
      </c>
      <c r="BM99" s="117" t="str">
        <f>IF($A99="","",IF($K99=0,"n.b.",SUMIFS(STG_Woningetalage!$AJ$6:$AJ$505,STG_Woningetalage!$B$6:$B$505,$A99)))</f>
        <v/>
      </c>
      <c r="BN99" s="117" t="str">
        <f>IF($A99="","",IF($K99=0,"n.b.",SUMIFS(STG_Woningetalage!$AK$6:$AK$505,STG_Woningetalage!$B$6:$B$505,$A99)))</f>
        <v/>
      </c>
      <c r="BO99" s="117" t="str">
        <f>IF($A99="","",IF($K99=0,"n.b.",SUMIFS(STG_Woningetalage!$AL$6:$AL$505,STG_Woningetalage!$B$6:$B$505,$A99)))</f>
        <v/>
      </c>
      <c r="BP99" s="117" t="str">
        <f>IF($A99="","",IF($K99=0,"n.b.",SUMIFS(STG_Woningetalage!$AM$6:$AM$505,STG_Woningetalage!$B$6:$B$505,$A99)))</f>
        <v/>
      </c>
      <c r="BQ99" s="117" t="str">
        <f>IF($A99="","",IF($K99=0,"n.b.",SUMIFS(STG_Woningetalage!$BE$6:$BE$505,STG_Woningetalage!$B$6:$B$505,$A99)))</f>
        <v/>
      </c>
      <c r="BR99" s="117" t="str">
        <f>IF($A99="","",IF($K99=0,"n.b.",SUMIFS(STG_Woningetalage!$BF$6:$BF$505,STG_Woningetalage!$B$6:$B$505,$A99)))</f>
        <v/>
      </c>
      <c r="BS99" s="117" t="str">
        <f>IF($A99="","",IF($K99=0,"n.b.",SUMIFS(STG_Woningetalage!$BG$6:$BG$505,STG_Woningetalage!$B$6:$B$505,$A99)))</f>
        <v/>
      </c>
      <c r="BT99" s="117" t="str">
        <f>IF($A99="","",IF($K99=0,"n.b.",SUMIFS(STG_Woningetalage!$BH$6:$BH$505,STG_Woningetalage!$B$6:$B$505,$A99)))</f>
        <v/>
      </c>
      <c r="BU99" s="117" t="str">
        <f>IF($A99="","",IF($K99=0,"n.b.",SUMIFS(STG_Woningetalage!$BI$6:$BI$505,STG_Woningetalage!$B$6:$B$505,$A99)))</f>
        <v/>
      </c>
      <c r="BV99" s="117" t="str">
        <f>IF($A99="","",IF($K99=0,"n.b.",SUMIFS(STG_Woningetalage!$BJ$6:$BJ$505,STG_Woningetalage!$B$6:$B$505,$A99)))</f>
        <v/>
      </c>
      <c r="BW99" s="117" t="str">
        <f>IF($A99="","",IF($K99=0,"n.b.",SUMIFS(STG_Woningetalage!$AR$6:$AR$505,STG_Woningetalage!$B$6:$B$505,$A99)))</f>
        <v/>
      </c>
      <c r="BX99" s="117" t="str">
        <f>IF($A99="","",IF($K99=0,"n.b.",SUMIFS(STG_Woningetalage!$AS$6:$AS$505,STG_Woningetalage!$B$6:$B$505,$A99)))</f>
        <v/>
      </c>
      <c r="BY99" s="117" t="str">
        <f>IF($A99="","",IF($K99=0,"n.b.",SUMIFS(STG_Woningetalage!$AN$6:$AN$505,STG_Woningetalage!$B$6:$B$505,$A99)))</f>
        <v/>
      </c>
      <c r="BZ99" s="117" t="str">
        <f>IF($A99="","",IF($K99=0,"n.b.",SUMIFS(STG_Woningetalage!$AO$6:$AO$505,STG_Woningetalage!$B$6:$B$505,$A99)))</f>
        <v/>
      </c>
      <c r="CA99" s="117" t="str">
        <f>IF($A99="","",IF($K99=0,"n.b.",SUMIFS(STG_Woningetalage!$AP$6:$AP$505,STG_Woningetalage!$B$6:$B$505,$A99)))</f>
        <v/>
      </c>
      <c r="CB99" s="117" t="str">
        <f>IF($A99="","",IF($K99=0,"n.b.",SUMIFS(STG_Woningetalage!$AQ$6:$AQ$505,STG_Woningetalage!$B$6:$B$505,$A99)))</f>
        <v/>
      </c>
      <c r="CC99" s="117" t="str">
        <f>IF($A99="","",IF($K99=0,"n.b.",SUMIFS(STG_Woningetalage!$AU$6:$AU$505,STG_Woningetalage!$B$6:$B$505,$A99)))</f>
        <v/>
      </c>
      <c r="CD99" s="92" t="str">
        <f>IF($A99="","",IFERROR(INDEX(STG_ZPMW03!$L$6:$L$505,MATCH($A99,STG_ZPMW03!$B$6:$B$505,0)),"n.b."))</f>
        <v/>
      </c>
      <c r="CE99" s="92" t="str">
        <f>IF($A99="","",IFERROR(INDEX(STG_ZPMW03!$K$6:$K$505,MATCH($A99,STG_ZPMW03!$B$6:$B$505,0)),"n.b."))</f>
        <v/>
      </c>
      <c r="CF99" s="92" t="str">
        <f>IF($A99="","",IFERROR(INDEX(STG_ZPMW03!$BH$6:$BH$505,MATCH($A99,STG_ZPMW03!$B$6:$B$505,0)),"n.b."))</f>
        <v/>
      </c>
      <c r="CG99" s="92" t="str">
        <f>IF($A99="","",IFERROR(INDEX(STG_ZPMW03!$BI$6:$BI$505,MATCH($A99,STG_ZPMW03!$B$6:$B$505,0)),"n.b."))</f>
        <v/>
      </c>
      <c r="CH99" s="92" t="str">
        <f>IF($A99="","",IFERROR(INDEX(STG_ZPMW03!$BJ$6:$BJ$505,MATCH($A99,STG_ZPMW03!$B$6:$B$505,0)),"n.b."))</f>
        <v/>
      </c>
      <c r="CI99" s="92" t="str">
        <f>IF($A99="","",IFERROR(INDEX(STG_ZPMW03!$BF$6:$BF$505,MATCH($A99,STG_ZPMW03!$B$6:$B$505,0)),"n.b."))</f>
        <v/>
      </c>
      <c r="CJ99" s="92" t="str">
        <f>IF($A99="","",IFERROR(INDEX(STG_ZPMW03!$BG$6:$BG$505,MATCH($A99,STG_ZPMW03!$B$6:$B$505,0)),"n.b."))</f>
        <v/>
      </c>
      <c r="CK99" s="92" t="str">
        <f>IF($A99="","",IFERROR(INDEX(STG_ZPMW03!$H$6:$H$505,MATCH($A99,STG_ZPMW03!$B$6:$B$505,0)),"n.b."))</f>
        <v/>
      </c>
      <c r="CL99" s="92" t="str">
        <f>IF($A99="","",IFERROR(INDEX(STG_ZPMW03!$E$6:$E$505,MATCH($A99,STG_ZPMW03!$B$6:$B$505,0)),"n.b."))</f>
        <v/>
      </c>
      <c r="CM99" s="92" t="str">
        <f>IF($A99="","",IFERROR(INDEX(STG_ZPMW03!$G$6:$G$505,MATCH($A99,STG_ZPMW03!$B$6:$B$505,0)),"n.b."))</f>
        <v/>
      </c>
      <c r="CN99" s="92" t="str">
        <f>IF($A99="","",IFERROR(INDEX(STG_Woningetalage!$N$6:$N$505,MATCH($A99,STG_Woningetalage!$B$6:$B$505,0)),"n.b."))</f>
        <v/>
      </c>
      <c r="CO99" s="92" t="str">
        <f>IF($A99="","",IFERROR(INDEX(STG_Woningetalage!$P$6:$P$505,MATCH($A99,STG_Woningetalage!$B$6:$B$505,0)),"n.b."))</f>
        <v/>
      </c>
      <c r="CP99" s="118" t="str">
        <f>IF($A99="","",IF(AND(ISNUMBER(AT99),ISNUMBER(F99)),IF(F99&gt;0,AT99/(F99/100),"n.b."),"n.b."))</f>
        <v/>
      </c>
      <c r="CQ99" s="116" t="str">
        <f>IF($A99="","",IF(ISNUMBER(Q99),IF(Q99&lt;0,1,0),0))</f>
        <v/>
      </c>
      <c r="CR99" s="116" t="str">
        <f>IF(CQ99=1,COUNTIF($CQ$6:CQ99,1),"")</f>
        <v/>
      </c>
      <c r="CS99" s="116" t="str">
        <f>IF(AND($A99&lt;&gt;"",$J99=0),COUNTIFS($A$6:$A99,"?*",$J$6:$J99,0),"")</f>
        <v/>
      </c>
      <c r="CT99" s="119" t="str">
        <f>IF($A99="","",IF(AND(ISNUMBER(Q99),ISNUMBER(P99)),IF(P99&lt;&gt;0,Q99/P99,"n.b."),"n.b."))</f>
        <v/>
      </c>
    </row>
    <row r="100">
      <c r="A100" s="92" t="str">
        <f>IF(Mapping!$A99="","",Mapping!$A99)</f>
        <v/>
      </c>
      <c r="B100" s="92" t="str">
        <f>IF(Mapping!$B99="","",Mapping!$B99)</f>
        <v/>
      </c>
      <c r="C100" s="92" t="str">
        <f>IF(Mapping!$C99="","",Mapping!$C99)</f>
        <v/>
      </c>
      <c r="D100" s="92" t="str">
        <f>IF(Mapping!$F99="","",Mapping!$F99)</f>
        <v/>
      </c>
      <c r="E100" s="92" t="str">
        <f>IF(Mapping!$H99="","",Mapping!$H99)</f>
        <v/>
      </c>
      <c r="F100" s="92" t="str">
        <f>IF(Mapping!$E99="","",Mapping!$E99)</f>
        <v/>
      </c>
      <c r="G100" s="92" t="str">
        <f>IF(Mapping!$G99="","",Mapping!$G99)</f>
        <v/>
      </c>
      <c r="H100" s="92" t="str">
        <f>IF(Mapping!$D99="","",Mapping!$D99)</f>
        <v/>
      </c>
      <c r="I100" s="92" t="str">
        <f>IF($A100="","",IFERROR(INDEX(STG_ZPMW03!$C$6:$C$505,MATCH($A100,STG_ZPMW03!$B$6:$B$505,0)),"n.b."))</f>
        <v/>
      </c>
      <c r="J100" s="116" t="str">
        <f>IF($A100="","",COUNTIF(STG_ZPMW03!$B$6:$B$505,$A100))</f>
        <v/>
      </c>
      <c r="K100" s="116" t="str">
        <f>IF($A100="","",COUNTIF(STG_Woningetalage!$B$6:$B$505,$A100))</f>
        <v/>
      </c>
      <c r="L100" s="117" t="str">
        <f>IF($A100="","",IF($J100=0,"n.b.",SUMIFS(STG_ZPMW03!$BK$6:$BK$505,STG_ZPMW03!$B$6:$B$505,$A100)))</f>
        <v/>
      </c>
      <c r="M100" s="117" t="str">
        <f>IF($A100="","",IF($J100=0,"n.b.",SUMIFS(STG_ZPMW03!$BL$6:$BL$505,STG_ZPMW03!$B$6:$B$505,$A100)))</f>
        <v/>
      </c>
      <c r="N100" s="117" t="str">
        <f>IF($A100="","",IF($J100=0,"n.b.",SUMIFS(STG_ZPMW03!$BM$6:$BM$505,STG_ZPMW03!$B$6:$B$505,$A100)))</f>
        <v/>
      </c>
      <c r="O100" s="117" t="str">
        <f>IF($A100="","",IF($J100=0,"n.b.",SUMIFS(STG_ZPMW03!$BN$6:$BN$505,STG_ZPMW03!$B$6:$B$505,$A100)))</f>
        <v/>
      </c>
      <c r="P100" s="117" t="str">
        <f>IF($A100="","",IF($J100=0,"n.b.",SUMIFS(STG_ZPMW03!$BO$6:$BO$505,STG_ZPMW03!$B$6:$B$505,$A100)))</f>
        <v/>
      </c>
      <c r="Q100" s="117" t="str">
        <f>IF($A100="","",IF($J100=0,"n.b.",SUMIFS(STG_ZPMW03!$BP$6:$BP$505,STG_ZPMW03!$B$6:$B$505,$A100)))</f>
        <v/>
      </c>
      <c r="R100" s="117" t="str">
        <f>IF($A100="","",IF($J100=0,"n.b.",SUMIFS(STG_ZPMW03!$BQ$6:$BQ$505,STG_ZPMW03!$B$6:$B$505,$A100)))</f>
        <v/>
      </c>
      <c r="S100" s="117" t="str">
        <f>IF($A100="","",IF($J100=0,"n.b.",SUMIFS(STG_ZPMW03!$BR$6:$BR$505,STG_ZPMW03!$B$6:$B$505,$A100)))</f>
        <v/>
      </c>
      <c r="T100" s="117" t="str">
        <f>IF($A100="","",IF($J100=0,"n.b.",SUMIFS(STG_ZPMW03!$BS$6:$BS$505,STG_ZPMW03!$B$6:$B$505,$A100)))</f>
        <v/>
      </c>
      <c r="U100" s="117" t="str">
        <f>IF($A100="","",IF($J100=0,"n.b.",SUMIFS(STG_ZPMW03!$BT$6:$BT$505,STG_ZPMW03!$B$6:$B$505,$A100)))</f>
        <v/>
      </c>
      <c r="V100" s="117" t="str">
        <f>IF($A100="","",IF($J100=0,"n.b.",SUMIFS(STG_ZPMW03!$BU$6:$BU$505,STG_ZPMW03!$B$6:$B$505,$A100)))</f>
        <v/>
      </c>
      <c r="W100" s="117" t="str">
        <f>IF($A100="","",IF($J100=0,"n.b.",SUMIFS(STG_ZPMW03!$BW$6:$BW$505,STG_ZPMW03!$B$6:$B$505,$A100)))</f>
        <v/>
      </c>
      <c r="X100" s="117" t="str">
        <f>IF($A100="","",IF($J100=0,"n.b.",SUMIFS(STG_ZPMW03!$BY$6:$BY$505,STG_ZPMW03!$B$6:$B$505,$A100)))</f>
        <v/>
      </c>
      <c r="Y100" s="117" t="str">
        <f>IF($A100="","",IF($J100=0,"n.b.",SUMIFS(STG_ZPMW03!$CA$6:$CA$505,STG_ZPMW03!$B$6:$B$505,$A100)))</f>
        <v/>
      </c>
      <c r="Z100" s="117" t="str">
        <f>IF($A100="","",IF($J100=0,"n.b.",SUMIFS(STG_ZPMW03!$BV$6:$BV$505,STG_ZPMW03!$B$6:$B$505,$A100)))</f>
        <v/>
      </c>
      <c r="AA100" s="117" t="str">
        <f>IF($A100="","",IF($J100=0,"n.b.",SUMIFS(STG_ZPMW03!$BX$6:$BX$505,STG_ZPMW03!$B$6:$B$505,$A100)))</f>
        <v/>
      </c>
      <c r="AB100" s="117" t="str">
        <f>IF($A100="","",IF($J100=0,"n.b.",SUMIFS(STG_ZPMW03!$BZ$6:$BZ$505,STG_ZPMW03!$B$6:$B$505,$A100)))</f>
        <v/>
      </c>
      <c r="AC100" s="117" t="str">
        <f>IF($A100="","",IF($J100=0,"n.b.",SUMIFS(STG_ZPMW03!$CB$6:$CB$505,STG_ZPMW03!$B$6:$B$505,$A100)))</f>
        <v/>
      </c>
      <c r="AD100" s="117" t="str">
        <f>IF($A100="","",IF($J100=0,"n.b.",SUMIFS(STG_ZPMW03!$CC$6:$CC$505,STG_ZPMW03!$B$6:$B$505,$A100)))</f>
        <v/>
      </c>
      <c r="AE100" s="117" t="str">
        <f>IF($A100="","",IF($J100=0,"n.b.",SUMIFS(STG_ZPMW03!$CE$6:$CE$505,STG_ZPMW03!$B$6:$B$505,$A100)))</f>
        <v/>
      </c>
      <c r="AF100" s="117" t="str">
        <f>IF($A100="","",IF($J100=0,"n.b.",SUMIFS(STG_ZPMW03!$CG$6:$CG$505,STG_ZPMW03!$B$6:$B$505,$A100)))</f>
        <v/>
      </c>
      <c r="AG100" s="117" t="str">
        <f>IF($A100="","",IF($J100=0,"n.b.",SUMIFS(STG_ZPMW03!$CI$6:$CI$505,STG_ZPMW03!$B$6:$B$505,$A100)))</f>
        <v/>
      </c>
      <c r="AH100" s="117" t="str">
        <f>IF($A100="","",IF($J100=0,"n.b.",SUMIFS(STG_ZPMW03!$CK$6:$CK$505,STG_ZPMW03!$B$6:$B$505,$A100)))</f>
        <v/>
      </c>
      <c r="AI100" s="117" t="str">
        <f>IF($A100="","",IF($J100=0,"n.b.",SUMIFS(STG_ZPMW03!$CM$6:$CM$505,STG_ZPMW03!$B$6:$B$505,$A100)))</f>
        <v/>
      </c>
      <c r="AJ100" s="117" t="str">
        <f>IF($A100="","",IF($J100=0,"n.b.",SUMIFS(STG_ZPMW03!$CO$6:$CO$505,STG_ZPMW03!$B$6:$B$505,$A100)))</f>
        <v/>
      </c>
      <c r="AK100" s="117" t="str">
        <f>IF($A100="","",IF($J100=0,"n.b.",SUMIFS(STG_ZPMW03!$CQ$6:$CQ$505,STG_ZPMW03!$B$6:$B$505,$A100)))</f>
        <v/>
      </c>
      <c r="AL100" s="117" t="str">
        <f>IF($A100="","",IF($J100=0,"n.b.",SUMIFS(STG_ZPMW03!$CD$6:$CD$505,STG_ZPMW03!$B$6:$B$505,$A100)))</f>
        <v/>
      </c>
      <c r="AM100" s="117" t="str">
        <f>IF($A100="","",IF($J100=0,"n.b.",SUMIFS(STG_ZPMW03!$CF$6:$CF$505,STG_ZPMW03!$B$6:$B$505,$A100)))</f>
        <v/>
      </c>
      <c r="AN100" s="117" t="str">
        <f>IF($A100="","",IF($J100=0,"n.b.",SUMIFS(STG_ZPMW03!$CH$6:$CH$505,STG_ZPMW03!$B$6:$B$505,$A100)))</f>
        <v/>
      </c>
      <c r="AO100" s="117" t="str">
        <f>IF($A100="","",IF($J100=0,"n.b.",SUMIFS(STG_ZPMW03!$CJ$6:$CJ$505,STG_ZPMW03!$B$6:$B$505,$A100)))</f>
        <v/>
      </c>
      <c r="AP100" s="117" t="str">
        <f>IF($A100="","",IF($J100=0,"n.b.",SUMIFS(STG_ZPMW03!$CL$6:$CL$505,STG_ZPMW03!$B$6:$B$505,$A100)))</f>
        <v/>
      </c>
      <c r="AQ100" s="117" t="str">
        <f>IF($A100="","",IF($J100=0,"n.b.",SUMIFS(STG_ZPMW03!$CN$6:$CN$505,STG_ZPMW03!$B$6:$B$505,$A100)))</f>
        <v/>
      </c>
      <c r="AR100" s="117" t="str">
        <f>IF($A100="","",IF($J100=0,"n.b.",SUMIFS(STG_ZPMW03!$CP$6:$CP$505,STG_ZPMW03!$B$6:$B$505,$A100)))</f>
        <v/>
      </c>
      <c r="AS100" s="117" t="str">
        <f>IF($A100="","",IF($J100=0,"n.b.",SUMIFS(STG_ZPMW03!$CR$6:$CR$505,STG_ZPMW03!$B$6:$B$505,$A100)))</f>
        <v/>
      </c>
      <c r="AT100" s="117" t="str">
        <f>IF($A100="","",IF($K100=0,"n.b.",SUMIFS(STG_Woningetalage!$Q$6:$Q$505,STG_Woningetalage!$B$6:$B$505,$A100)))</f>
        <v/>
      </c>
      <c r="AU100" s="117" t="str">
        <f>IF($A100="","",IF($K100=0,"n.b.",SUMIFS(STG_Woningetalage!$R$6:$R$505,STG_Woningetalage!$B$6:$B$505,$A100)))</f>
        <v/>
      </c>
      <c r="AV100" s="117" t="str">
        <f>IF($A100="","",IF($K100=0,"n.b.",SUMIFS(STG_Woningetalage!$S$6:$S$505,STG_Woningetalage!$B$6:$B$505,$A100)))</f>
        <v/>
      </c>
      <c r="AW100" s="117" t="str">
        <f>IF($A100="","",IF($K100=0,"n.b.",SUMIFS(STG_Woningetalage!$T$6:$T$505,STG_Woningetalage!$B$6:$B$505,$A100)))</f>
        <v/>
      </c>
      <c r="AX100" s="117" t="str">
        <f>IF($A100="","",IF($K100=0,"n.b.",SUMIFS(STG_Woningetalage!$U$6:$U$505,STG_Woningetalage!$B$6:$B$505,$A100)))</f>
        <v/>
      </c>
      <c r="AY100" s="117" t="str">
        <f>IF($A100="","",IF($K100=0,"n.b.",SUMIFS(STG_Woningetalage!$V$6:$V$505,STG_Woningetalage!$B$6:$B$505,$A100)))</f>
        <v/>
      </c>
      <c r="AZ100" s="117" t="str">
        <f>IF($A100="","",IF($K100=0,"n.b.",SUMIFS(STG_Woningetalage!$W$6:$W$505,STG_Woningetalage!$B$6:$B$505,$A100)))</f>
        <v/>
      </c>
      <c r="BA100" s="117" t="str">
        <f>IF($A100="","",IF($K100=0,"n.b.",SUMIFS(STG_Woningetalage!$X$6:$X$505,STG_Woningetalage!$B$6:$B$505,$A100)))</f>
        <v/>
      </c>
      <c r="BB100" s="117" t="str">
        <f>IF($A100="","",IF($K100=0,"n.b.",SUMIFS(STG_Woningetalage!$Y$6:$Y$505,STG_Woningetalage!$B$6:$B$505,$A100)))</f>
        <v/>
      </c>
      <c r="BC100" s="117" t="str">
        <f>IF($A100="","",IF($K100=0,"n.b.",SUMIFS(STG_Woningetalage!$Z$6:$Z$505,STG_Woningetalage!$B$6:$B$505,$A100)))</f>
        <v/>
      </c>
      <c r="BD100" s="117" t="str">
        <f>IF($A100="","",IF($K100=0,"n.b.",SUMIFS(STG_Woningetalage!$AA$6:$AA$505,STG_Woningetalage!$B$6:$B$505,$A100)))</f>
        <v/>
      </c>
      <c r="BE100" s="117" t="str">
        <f>IF($A100="","",IF($K100=0,"n.b.",SUMIFS(STG_Woningetalage!$AB$6:$AB$505,STG_Woningetalage!$B$6:$B$505,$A100)))</f>
        <v/>
      </c>
      <c r="BF100" s="117" t="str">
        <f>IF($A100="","",IF($K100=0,"n.b.",SUMIFS(STG_Woningetalage!$AC$6:$AC$505,STG_Woningetalage!$B$6:$B$505,$A100)))</f>
        <v/>
      </c>
      <c r="BG100" s="117" t="str">
        <f>IF($A100="","",IF($K100=0,"n.b.",SUMIFS(STG_Woningetalage!$AD$6:$AD$505,STG_Woningetalage!$B$6:$B$505,$A100)))</f>
        <v/>
      </c>
      <c r="BH100" s="117" t="str">
        <f>IF($A100="","",IF($K100=0,"n.b.",SUMIFS(STG_Woningetalage!$AE$6:$AE$505,STG_Woningetalage!$B$6:$B$505,$A100)))</f>
        <v/>
      </c>
      <c r="BI100" s="117" t="str">
        <f>IF($A100="","",IF($K100=0,"n.b.",SUMIFS(STG_Woningetalage!$AF$6:$AF$505,STG_Woningetalage!$B$6:$B$505,$A100)))</f>
        <v/>
      </c>
      <c r="BJ100" s="117" t="str">
        <f>IF($A100="","",IF($K100=0,"n.b.",SUMIFS(STG_Woningetalage!$AG$6:$AG$505,STG_Woningetalage!$B$6:$B$505,$A100)))</f>
        <v/>
      </c>
      <c r="BK100" s="117" t="str">
        <f>IF($A100="","",IF($K100=0,"n.b.",SUMIFS(STG_Woningetalage!$AH$6:$AH$505,STG_Woningetalage!$B$6:$B$505,$A100)))</f>
        <v/>
      </c>
      <c r="BL100" s="117" t="str">
        <f>IF($A100="","",IF($K100=0,"n.b.",SUMIFS(STG_Woningetalage!$AI$6:$AI$505,STG_Woningetalage!$B$6:$B$505,$A100)))</f>
        <v/>
      </c>
      <c r="BM100" s="117" t="str">
        <f>IF($A100="","",IF($K100=0,"n.b.",SUMIFS(STG_Woningetalage!$AJ$6:$AJ$505,STG_Woningetalage!$B$6:$B$505,$A100)))</f>
        <v/>
      </c>
      <c r="BN100" s="117" t="str">
        <f>IF($A100="","",IF($K100=0,"n.b.",SUMIFS(STG_Woningetalage!$AK$6:$AK$505,STG_Woningetalage!$B$6:$B$505,$A100)))</f>
        <v/>
      </c>
      <c r="BO100" s="117" t="str">
        <f>IF($A100="","",IF($K100=0,"n.b.",SUMIFS(STG_Woningetalage!$AL$6:$AL$505,STG_Woningetalage!$B$6:$B$505,$A100)))</f>
        <v/>
      </c>
      <c r="BP100" s="117" t="str">
        <f>IF($A100="","",IF($K100=0,"n.b.",SUMIFS(STG_Woningetalage!$AM$6:$AM$505,STG_Woningetalage!$B$6:$B$505,$A100)))</f>
        <v/>
      </c>
      <c r="BQ100" s="117" t="str">
        <f>IF($A100="","",IF($K100=0,"n.b.",SUMIFS(STG_Woningetalage!$BE$6:$BE$505,STG_Woningetalage!$B$6:$B$505,$A100)))</f>
        <v/>
      </c>
      <c r="BR100" s="117" t="str">
        <f>IF($A100="","",IF($K100=0,"n.b.",SUMIFS(STG_Woningetalage!$BF$6:$BF$505,STG_Woningetalage!$B$6:$B$505,$A100)))</f>
        <v/>
      </c>
      <c r="BS100" s="117" t="str">
        <f>IF($A100="","",IF($K100=0,"n.b.",SUMIFS(STG_Woningetalage!$BG$6:$BG$505,STG_Woningetalage!$B$6:$B$505,$A100)))</f>
        <v/>
      </c>
      <c r="BT100" s="117" t="str">
        <f>IF($A100="","",IF($K100=0,"n.b.",SUMIFS(STG_Woningetalage!$BH$6:$BH$505,STG_Woningetalage!$B$6:$B$505,$A100)))</f>
        <v/>
      </c>
      <c r="BU100" s="117" t="str">
        <f>IF($A100="","",IF($K100=0,"n.b.",SUMIFS(STG_Woningetalage!$BI$6:$BI$505,STG_Woningetalage!$B$6:$B$505,$A100)))</f>
        <v/>
      </c>
      <c r="BV100" s="117" t="str">
        <f>IF($A100="","",IF($K100=0,"n.b.",SUMIFS(STG_Woningetalage!$BJ$6:$BJ$505,STG_Woningetalage!$B$6:$B$505,$A100)))</f>
        <v/>
      </c>
      <c r="BW100" s="117" t="str">
        <f>IF($A100="","",IF($K100=0,"n.b.",SUMIFS(STG_Woningetalage!$AR$6:$AR$505,STG_Woningetalage!$B$6:$B$505,$A100)))</f>
        <v/>
      </c>
      <c r="BX100" s="117" t="str">
        <f>IF($A100="","",IF($K100=0,"n.b.",SUMIFS(STG_Woningetalage!$AS$6:$AS$505,STG_Woningetalage!$B$6:$B$505,$A100)))</f>
        <v/>
      </c>
      <c r="BY100" s="117" t="str">
        <f>IF($A100="","",IF($K100=0,"n.b.",SUMIFS(STG_Woningetalage!$AN$6:$AN$505,STG_Woningetalage!$B$6:$B$505,$A100)))</f>
        <v/>
      </c>
      <c r="BZ100" s="117" t="str">
        <f>IF($A100="","",IF($K100=0,"n.b.",SUMIFS(STG_Woningetalage!$AO$6:$AO$505,STG_Woningetalage!$B$6:$B$505,$A100)))</f>
        <v/>
      </c>
      <c r="CA100" s="117" t="str">
        <f>IF($A100="","",IF($K100=0,"n.b.",SUMIFS(STG_Woningetalage!$AP$6:$AP$505,STG_Woningetalage!$B$6:$B$505,$A100)))</f>
        <v/>
      </c>
      <c r="CB100" s="117" t="str">
        <f>IF($A100="","",IF($K100=0,"n.b.",SUMIFS(STG_Woningetalage!$AQ$6:$AQ$505,STG_Woningetalage!$B$6:$B$505,$A100)))</f>
        <v/>
      </c>
      <c r="CC100" s="117" t="str">
        <f>IF($A100="","",IF($K100=0,"n.b.",SUMIFS(STG_Woningetalage!$AU$6:$AU$505,STG_Woningetalage!$B$6:$B$505,$A100)))</f>
        <v/>
      </c>
      <c r="CD100" s="92" t="str">
        <f>IF($A100="","",IFERROR(INDEX(STG_ZPMW03!$L$6:$L$505,MATCH($A100,STG_ZPMW03!$B$6:$B$505,0)),"n.b."))</f>
        <v/>
      </c>
      <c r="CE100" s="92" t="str">
        <f>IF($A100="","",IFERROR(INDEX(STG_ZPMW03!$K$6:$K$505,MATCH($A100,STG_ZPMW03!$B$6:$B$505,0)),"n.b."))</f>
        <v/>
      </c>
      <c r="CF100" s="92" t="str">
        <f>IF($A100="","",IFERROR(INDEX(STG_ZPMW03!$BH$6:$BH$505,MATCH($A100,STG_ZPMW03!$B$6:$B$505,0)),"n.b."))</f>
        <v/>
      </c>
      <c r="CG100" s="92" t="str">
        <f>IF($A100="","",IFERROR(INDEX(STG_ZPMW03!$BI$6:$BI$505,MATCH($A100,STG_ZPMW03!$B$6:$B$505,0)),"n.b."))</f>
        <v/>
      </c>
      <c r="CH100" s="92" t="str">
        <f>IF($A100="","",IFERROR(INDEX(STG_ZPMW03!$BJ$6:$BJ$505,MATCH($A100,STG_ZPMW03!$B$6:$B$505,0)),"n.b."))</f>
        <v/>
      </c>
      <c r="CI100" s="92" t="str">
        <f>IF($A100="","",IFERROR(INDEX(STG_ZPMW03!$BF$6:$BF$505,MATCH($A100,STG_ZPMW03!$B$6:$B$505,0)),"n.b."))</f>
        <v/>
      </c>
      <c r="CJ100" s="92" t="str">
        <f>IF($A100="","",IFERROR(INDEX(STG_ZPMW03!$BG$6:$BG$505,MATCH($A100,STG_ZPMW03!$B$6:$B$505,0)),"n.b."))</f>
        <v/>
      </c>
      <c r="CK100" s="92" t="str">
        <f>IF($A100="","",IFERROR(INDEX(STG_ZPMW03!$H$6:$H$505,MATCH($A100,STG_ZPMW03!$B$6:$B$505,0)),"n.b."))</f>
        <v/>
      </c>
      <c r="CL100" s="92" t="str">
        <f>IF($A100="","",IFERROR(INDEX(STG_ZPMW03!$E$6:$E$505,MATCH($A100,STG_ZPMW03!$B$6:$B$505,0)),"n.b."))</f>
        <v/>
      </c>
      <c r="CM100" s="92" t="str">
        <f>IF($A100="","",IFERROR(INDEX(STG_ZPMW03!$G$6:$G$505,MATCH($A100,STG_ZPMW03!$B$6:$B$505,0)),"n.b."))</f>
        <v/>
      </c>
      <c r="CN100" s="92" t="str">
        <f>IF($A100="","",IFERROR(INDEX(STG_Woningetalage!$N$6:$N$505,MATCH($A100,STG_Woningetalage!$B$6:$B$505,0)),"n.b."))</f>
        <v/>
      </c>
      <c r="CO100" s="92" t="str">
        <f>IF($A100="","",IFERROR(INDEX(STG_Woningetalage!$P$6:$P$505,MATCH($A100,STG_Woningetalage!$B$6:$B$505,0)),"n.b."))</f>
        <v/>
      </c>
      <c r="CP100" s="118" t="str">
        <f>IF($A100="","",IF(AND(ISNUMBER(AT100),ISNUMBER(F100)),IF(F100&gt;0,AT100/(F100/100),"n.b."),"n.b."))</f>
        <v/>
      </c>
      <c r="CQ100" s="116" t="str">
        <f>IF($A100="","",IF(ISNUMBER(Q100),IF(Q100&lt;0,1,0),0))</f>
        <v/>
      </c>
      <c r="CR100" s="116" t="str">
        <f>IF(CQ100=1,COUNTIF($CQ$6:CQ100,1),"")</f>
        <v/>
      </c>
      <c r="CS100" s="116" t="str">
        <f>IF(AND($A100&lt;&gt;"",$J100=0),COUNTIFS($A$6:$A100,"?*",$J$6:$J100,0),"")</f>
        <v/>
      </c>
      <c r="CT100" s="119" t="str">
        <f>IF($A100="","",IF(AND(ISNUMBER(Q100),ISNUMBER(P100)),IF(P100&lt;&gt;0,Q100/P100,"n.b."),"n.b."))</f>
        <v/>
      </c>
    </row>
    <row r="101">
      <c r="A101" s="92" t="str">
        <f>IF(Mapping!$A100="","",Mapping!$A100)</f>
        <v/>
      </c>
      <c r="B101" s="92" t="str">
        <f>IF(Mapping!$B100="","",Mapping!$B100)</f>
        <v/>
      </c>
      <c r="C101" s="92" t="str">
        <f>IF(Mapping!$C100="","",Mapping!$C100)</f>
        <v/>
      </c>
      <c r="D101" s="92" t="str">
        <f>IF(Mapping!$F100="","",Mapping!$F100)</f>
        <v/>
      </c>
      <c r="E101" s="92" t="str">
        <f>IF(Mapping!$H100="","",Mapping!$H100)</f>
        <v/>
      </c>
      <c r="F101" s="92" t="str">
        <f>IF(Mapping!$E100="","",Mapping!$E100)</f>
        <v/>
      </c>
      <c r="G101" s="92" t="str">
        <f>IF(Mapping!$G100="","",Mapping!$G100)</f>
        <v/>
      </c>
      <c r="H101" s="92" t="str">
        <f>IF(Mapping!$D100="","",Mapping!$D100)</f>
        <v/>
      </c>
      <c r="I101" s="92" t="str">
        <f>IF($A101="","",IFERROR(INDEX(STG_ZPMW03!$C$6:$C$505,MATCH($A101,STG_ZPMW03!$B$6:$B$505,0)),"n.b."))</f>
        <v/>
      </c>
      <c r="J101" s="116" t="str">
        <f>IF($A101="","",COUNTIF(STG_ZPMW03!$B$6:$B$505,$A101))</f>
        <v/>
      </c>
      <c r="K101" s="116" t="str">
        <f>IF($A101="","",COUNTIF(STG_Woningetalage!$B$6:$B$505,$A101))</f>
        <v/>
      </c>
      <c r="L101" s="117" t="str">
        <f>IF($A101="","",IF($J101=0,"n.b.",SUMIFS(STG_ZPMW03!$BK$6:$BK$505,STG_ZPMW03!$B$6:$B$505,$A101)))</f>
        <v/>
      </c>
      <c r="M101" s="117" t="str">
        <f>IF($A101="","",IF($J101=0,"n.b.",SUMIFS(STG_ZPMW03!$BL$6:$BL$505,STG_ZPMW03!$B$6:$B$505,$A101)))</f>
        <v/>
      </c>
      <c r="N101" s="117" t="str">
        <f>IF($A101="","",IF($J101=0,"n.b.",SUMIFS(STG_ZPMW03!$BM$6:$BM$505,STG_ZPMW03!$B$6:$B$505,$A101)))</f>
        <v/>
      </c>
      <c r="O101" s="117" t="str">
        <f>IF($A101="","",IF($J101=0,"n.b.",SUMIFS(STG_ZPMW03!$BN$6:$BN$505,STG_ZPMW03!$B$6:$B$505,$A101)))</f>
        <v/>
      </c>
      <c r="P101" s="117" t="str">
        <f>IF($A101="","",IF($J101=0,"n.b.",SUMIFS(STG_ZPMW03!$BO$6:$BO$505,STG_ZPMW03!$B$6:$B$505,$A101)))</f>
        <v/>
      </c>
      <c r="Q101" s="117" t="str">
        <f>IF($A101="","",IF($J101=0,"n.b.",SUMIFS(STG_ZPMW03!$BP$6:$BP$505,STG_ZPMW03!$B$6:$B$505,$A101)))</f>
        <v/>
      </c>
      <c r="R101" s="117" t="str">
        <f>IF($A101="","",IF($J101=0,"n.b.",SUMIFS(STG_ZPMW03!$BQ$6:$BQ$505,STG_ZPMW03!$B$6:$B$505,$A101)))</f>
        <v/>
      </c>
      <c r="S101" s="117" t="str">
        <f>IF($A101="","",IF($J101=0,"n.b.",SUMIFS(STG_ZPMW03!$BR$6:$BR$505,STG_ZPMW03!$B$6:$B$505,$A101)))</f>
        <v/>
      </c>
      <c r="T101" s="117" t="str">
        <f>IF($A101="","",IF($J101=0,"n.b.",SUMIFS(STG_ZPMW03!$BS$6:$BS$505,STG_ZPMW03!$B$6:$B$505,$A101)))</f>
        <v/>
      </c>
      <c r="U101" s="117" t="str">
        <f>IF($A101="","",IF($J101=0,"n.b.",SUMIFS(STG_ZPMW03!$BT$6:$BT$505,STG_ZPMW03!$B$6:$B$505,$A101)))</f>
        <v/>
      </c>
      <c r="V101" s="117" t="str">
        <f>IF($A101="","",IF($J101=0,"n.b.",SUMIFS(STG_ZPMW03!$BU$6:$BU$505,STG_ZPMW03!$B$6:$B$505,$A101)))</f>
        <v/>
      </c>
      <c r="W101" s="117" t="str">
        <f>IF($A101="","",IF($J101=0,"n.b.",SUMIFS(STG_ZPMW03!$BW$6:$BW$505,STG_ZPMW03!$B$6:$B$505,$A101)))</f>
        <v/>
      </c>
      <c r="X101" s="117" t="str">
        <f>IF($A101="","",IF($J101=0,"n.b.",SUMIFS(STG_ZPMW03!$BY$6:$BY$505,STG_ZPMW03!$B$6:$B$505,$A101)))</f>
        <v/>
      </c>
      <c r="Y101" s="117" t="str">
        <f>IF($A101="","",IF($J101=0,"n.b.",SUMIFS(STG_ZPMW03!$CA$6:$CA$505,STG_ZPMW03!$B$6:$B$505,$A101)))</f>
        <v/>
      </c>
      <c r="Z101" s="117" t="str">
        <f>IF($A101="","",IF($J101=0,"n.b.",SUMIFS(STG_ZPMW03!$BV$6:$BV$505,STG_ZPMW03!$B$6:$B$505,$A101)))</f>
        <v/>
      </c>
      <c r="AA101" s="117" t="str">
        <f>IF($A101="","",IF($J101=0,"n.b.",SUMIFS(STG_ZPMW03!$BX$6:$BX$505,STG_ZPMW03!$B$6:$B$505,$A101)))</f>
        <v/>
      </c>
      <c r="AB101" s="117" t="str">
        <f>IF($A101="","",IF($J101=0,"n.b.",SUMIFS(STG_ZPMW03!$BZ$6:$BZ$505,STG_ZPMW03!$B$6:$B$505,$A101)))</f>
        <v/>
      </c>
      <c r="AC101" s="117" t="str">
        <f>IF($A101="","",IF($J101=0,"n.b.",SUMIFS(STG_ZPMW03!$CB$6:$CB$505,STG_ZPMW03!$B$6:$B$505,$A101)))</f>
        <v/>
      </c>
      <c r="AD101" s="117" t="str">
        <f>IF($A101="","",IF($J101=0,"n.b.",SUMIFS(STG_ZPMW03!$CC$6:$CC$505,STG_ZPMW03!$B$6:$B$505,$A101)))</f>
        <v/>
      </c>
      <c r="AE101" s="117" t="str">
        <f>IF($A101="","",IF($J101=0,"n.b.",SUMIFS(STG_ZPMW03!$CE$6:$CE$505,STG_ZPMW03!$B$6:$B$505,$A101)))</f>
        <v/>
      </c>
      <c r="AF101" s="117" t="str">
        <f>IF($A101="","",IF($J101=0,"n.b.",SUMIFS(STG_ZPMW03!$CG$6:$CG$505,STG_ZPMW03!$B$6:$B$505,$A101)))</f>
        <v/>
      </c>
      <c r="AG101" s="117" t="str">
        <f>IF($A101="","",IF($J101=0,"n.b.",SUMIFS(STG_ZPMW03!$CI$6:$CI$505,STG_ZPMW03!$B$6:$B$505,$A101)))</f>
        <v/>
      </c>
      <c r="AH101" s="117" t="str">
        <f>IF($A101="","",IF($J101=0,"n.b.",SUMIFS(STG_ZPMW03!$CK$6:$CK$505,STG_ZPMW03!$B$6:$B$505,$A101)))</f>
        <v/>
      </c>
      <c r="AI101" s="117" t="str">
        <f>IF($A101="","",IF($J101=0,"n.b.",SUMIFS(STG_ZPMW03!$CM$6:$CM$505,STG_ZPMW03!$B$6:$B$505,$A101)))</f>
        <v/>
      </c>
      <c r="AJ101" s="117" t="str">
        <f>IF($A101="","",IF($J101=0,"n.b.",SUMIFS(STG_ZPMW03!$CO$6:$CO$505,STG_ZPMW03!$B$6:$B$505,$A101)))</f>
        <v/>
      </c>
      <c r="AK101" s="117" t="str">
        <f>IF($A101="","",IF($J101=0,"n.b.",SUMIFS(STG_ZPMW03!$CQ$6:$CQ$505,STG_ZPMW03!$B$6:$B$505,$A101)))</f>
        <v/>
      </c>
      <c r="AL101" s="117" t="str">
        <f>IF($A101="","",IF($J101=0,"n.b.",SUMIFS(STG_ZPMW03!$CD$6:$CD$505,STG_ZPMW03!$B$6:$B$505,$A101)))</f>
        <v/>
      </c>
      <c r="AM101" s="117" t="str">
        <f>IF($A101="","",IF($J101=0,"n.b.",SUMIFS(STG_ZPMW03!$CF$6:$CF$505,STG_ZPMW03!$B$6:$B$505,$A101)))</f>
        <v/>
      </c>
      <c r="AN101" s="117" t="str">
        <f>IF($A101="","",IF($J101=0,"n.b.",SUMIFS(STG_ZPMW03!$CH$6:$CH$505,STG_ZPMW03!$B$6:$B$505,$A101)))</f>
        <v/>
      </c>
      <c r="AO101" s="117" t="str">
        <f>IF($A101="","",IF($J101=0,"n.b.",SUMIFS(STG_ZPMW03!$CJ$6:$CJ$505,STG_ZPMW03!$B$6:$B$505,$A101)))</f>
        <v/>
      </c>
      <c r="AP101" s="117" t="str">
        <f>IF($A101="","",IF($J101=0,"n.b.",SUMIFS(STG_ZPMW03!$CL$6:$CL$505,STG_ZPMW03!$B$6:$B$505,$A101)))</f>
        <v/>
      </c>
      <c r="AQ101" s="117" t="str">
        <f>IF($A101="","",IF($J101=0,"n.b.",SUMIFS(STG_ZPMW03!$CN$6:$CN$505,STG_ZPMW03!$B$6:$B$505,$A101)))</f>
        <v/>
      </c>
      <c r="AR101" s="117" t="str">
        <f>IF($A101="","",IF($J101=0,"n.b.",SUMIFS(STG_ZPMW03!$CP$6:$CP$505,STG_ZPMW03!$B$6:$B$505,$A101)))</f>
        <v/>
      </c>
      <c r="AS101" s="117" t="str">
        <f>IF($A101="","",IF($J101=0,"n.b.",SUMIFS(STG_ZPMW03!$CR$6:$CR$505,STG_ZPMW03!$B$6:$B$505,$A101)))</f>
        <v/>
      </c>
      <c r="AT101" s="117" t="str">
        <f>IF($A101="","",IF($K101=0,"n.b.",SUMIFS(STG_Woningetalage!$Q$6:$Q$505,STG_Woningetalage!$B$6:$B$505,$A101)))</f>
        <v/>
      </c>
      <c r="AU101" s="117" t="str">
        <f>IF($A101="","",IF($K101=0,"n.b.",SUMIFS(STG_Woningetalage!$R$6:$R$505,STG_Woningetalage!$B$6:$B$505,$A101)))</f>
        <v/>
      </c>
      <c r="AV101" s="117" t="str">
        <f>IF($A101="","",IF($K101=0,"n.b.",SUMIFS(STG_Woningetalage!$S$6:$S$505,STG_Woningetalage!$B$6:$B$505,$A101)))</f>
        <v/>
      </c>
      <c r="AW101" s="117" t="str">
        <f>IF($A101="","",IF($K101=0,"n.b.",SUMIFS(STG_Woningetalage!$T$6:$T$505,STG_Woningetalage!$B$6:$B$505,$A101)))</f>
        <v/>
      </c>
      <c r="AX101" s="117" t="str">
        <f>IF($A101="","",IF($K101=0,"n.b.",SUMIFS(STG_Woningetalage!$U$6:$U$505,STG_Woningetalage!$B$6:$B$505,$A101)))</f>
        <v/>
      </c>
      <c r="AY101" s="117" t="str">
        <f>IF($A101="","",IF($K101=0,"n.b.",SUMIFS(STG_Woningetalage!$V$6:$V$505,STG_Woningetalage!$B$6:$B$505,$A101)))</f>
        <v/>
      </c>
      <c r="AZ101" s="117" t="str">
        <f>IF($A101="","",IF($K101=0,"n.b.",SUMIFS(STG_Woningetalage!$W$6:$W$505,STG_Woningetalage!$B$6:$B$505,$A101)))</f>
        <v/>
      </c>
      <c r="BA101" s="117" t="str">
        <f>IF($A101="","",IF($K101=0,"n.b.",SUMIFS(STG_Woningetalage!$X$6:$X$505,STG_Woningetalage!$B$6:$B$505,$A101)))</f>
        <v/>
      </c>
      <c r="BB101" s="117" t="str">
        <f>IF($A101="","",IF($K101=0,"n.b.",SUMIFS(STG_Woningetalage!$Y$6:$Y$505,STG_Woningetalage!$B$6:$B$505,$A101)))</f>
        <v/>
      </c>
      <c r="BC101" s="117" t="str">
        <f>IF($A101="","",IF($K101=0,"n.b.",SUMIFS(STG_Woningetalage!$Z$6:$Z$505,STG_Woningetalage!$B$6:$B$505,$A101)))</f>
        <v/>
      </c>
      <c r="BD101" s="117" t="str">
        <f>IF($A101="","",IF($K101=0,"n.b.",SUMIFS(STG_Woningetalage!$AA$6:$AA$505,STG_Woningetalage!$B$6:$B$505,$A101)))</f>
        <v/>
      </c>
      <c r="BE101" s="117" t="str">
        <f>IF($A101="","",IF($K101=0,"n.b.",SUMIFS(STG_Woningetalage!$AB$6:$AB$505,STG_Woningetalage!$B$6:$B$505,$A101)))</f>
        <v/>
      </c>
      <c r="BF101" s="117" t="str">
        <f>IF($A101="","",IF($K101=0,"n.b.",SUMIFS(STG_Woningetalage!$AC$6:$AC$505,STG_Woningetalage!$B$6:$B$505,$A101)))</f>
        <v/>
      </c>
      <c r="BG101" s="117" t="str">
        <f>IF($A101="","",IF($K101=0,"n.b.",SUMIFS(STG_Woningetalage!$AD$6:$AD$505,STG_Woningetalage!$B$6:$B$505,$A101)))</f>
        <v/>
      </c>
      <c r="BH101" s="117" t="str">
        <f>IF($A101="","",IF($K101=0,"n.b.",SUMIFS(STG_Woningetalage!$AE$6:$AE$505,STG_Woningetalage!$B$6:$B$505,$A101)))</f>
        <v/>
      </c>
      <c r="BI101" s="117" t="str">
        <f>IF($A101="","",IF($K101=0,"n.b.",SUMIFS(STG_Woningetalage!$AF$6:$AF$505,STG_Woningetalage!$B$6:$B$505,$A101)))</f>
        <v/>
      </c>
      <c r="BJ101" s="117" t="str">
        <f>IF($A101="","",IF($K101=0,"n.b.",SUMIFS(STG_Woningetalage!$AG$6:$AG$505,STG_Woningetalage!$B$6:$B$505,$A101)))</f>
        <v/>
      </c>
      <c r="BK101" s="117" t="str">
        <f>IF($A101="","",IF($K101=0,"n.b.",SUMIFS(STG_Woningetalage!$AH$6:$AH$505,STG_Woningetalage!$B$6:$B$505,$A101)))</f>
        <v/>
      </c>
      <c r="BL101" s="117" t="str">
        <f>IF($A101="","",IF($K101=0,"n.b.",SUMIFS(STG_Woningetalage!$AI$6:$AI$505,STG_Woningetalage!$B$6:$B$505,$A101)))</f>
        <v/>
      </c>
      <c r="BM101" s="117" t="str">
        <f>IF($A101="","",IF($K101=0,"n.b.",SUMIFS(STG_Woningetalage!$AJ$6:$AJ$505,STG_Woningetalage!$B$6:$B$505,$A101)))</f>
        <v/>
      </c>
      <c r="BN101" s="117" t="str">
        <f>IF($A101="","",IF($K101=0,"n.b.",SUMIFS(STG_Woningetalage!$AK$6:$AK$505,STG_Woningetalage!$B$6:$B$505,$A101)))</f>
        <v/>
      </c>
      <c r="BO101" s="117" t="str">
        <f>IF($A101="","",IF($K101=0,"n.b.",SUMIFS(STG_Woningetalage!$AL$6:$AL$505,STG_Woningetalage!$B$6:$B$505,$A101)))</f>
        <v/>
      </c>
      <c r="BP101" s="117" t="str">
        <f>IF($A101="","",IF($K101=0,"n.b.",SUMIFS(STG_Woningetalage!$AM$6:$AM$505,STG_Woningetalage!$B$6:$B$505,$A101)))</f>
        <v/>
      </c>
      <c r="BQ101" s="117" t="str">
        <f>IF($A101="","",IF($K101=0,"n.b.",SUMIFS(STG_Woningetalage!$BE$6:$BE$505,STG_Woningetalage!$B$6:$B$505,$A101)))</f>
        <v/>
      </c>
      <c r="BR101" s="117" t="str">
        <f>IF($A101="","",IF($K101=0,"n.b.",SUMIFS(STG_Woningetalage!$BF$6:$BF$505,STG_Woningetalage!$B$6:$B$505,$A101)))</f>
        <v/>
      </c>
      <c r="BS101" s="117" t="str">
        <f>IF($A101="","",IF($K101=0,"n.b.",SUMIFS(STG_Woningetalage!$BG$6:$BG$505,STG_Woningetalage!$B$6:$B$505,$A101)))</f>
        <v/>
      </c>
      <c r="BT101" s="117" t="str">
        <f>IF($A101="","",IF($K101=0,"n.b.",SUMIFS(STG_Woningetalage!$BH$6:$BH$505,STG_Woningetalage!$B$6:$B$505,$A101)))</f>
        <v/>
      </c>
      <c r="BU101" s="117" t="str">
        <f>IF($A101="","",IF($K101=0,"n.b.",SUMIFS(STG_Woningetalage!$BI$6:$BI$505,STG_Woningetalage!$B$6:$B$505,$A101)))</f>
        <v/>
      </c>
      <c r="BV101" s="117" t="str">
        <f>IF($A101="","",IF($K101=0,"n.b.",SUMIFS(STG_Woningetalage!$BJ$6:$BJ$505,STG_Woningetalage!$B$6:$B$505,$A101)))</f>
        <v/>
      </c>
      <c r="BW101" s="117" t="str">
        <f>IF($A101="","",IF($K101=0,"n.b.",SUMIFS(STG_Woningetalage!$AR$6:$AR$505,STG_Woningetalage!$B$6:$B$505,$A101)))</f>
        <v/>
      </c>
      <c r="BX101" s="117" t="str">
        <f>IF($A101="","",IF($K101=0,"n.b.",SUMIFS(STG_Woningetalage!$AS$6:$AS$505,STG_Woningetalage!$B$6:$B$505,$A101)))</f>
        <v/>
      </c>
      <c r="BY101" s="117" t="str">
        <f>IF($A101="","",IF($K101=0,"n.b.",SUMIFS(STG_Woningetalage!$AN$6:$AN$505,STG_Woningetalage!$B$6:$B$505,$A101)))</f>
        <v/>
      </c>
      <c r="BZ101" s="117" t="str">
        <f>IF($A101="","",IF($K101=0,"n.b.",SUMIFS(STG_Woningetalage!$AO$6:$AO$505,STG_Woningetalage!$B$6:$B$505,$A101)))</f>
        <v/>
      </c>
      <c r="CA101" s="117" t="str">
        <f>IF($A101="","",IF($K101=0,"n.b.",SUMIFS(STG_Woningetalage!$AP$6:$AP$505,STG_Woningetalage!$B$6:$B$505,$A101)))</f>
        <v/>
      </c>
      <c r="CB101" s="117" t="str">
        <f>IF($A101="","",IF($K101=0,"n.b.",SUMIFS(STG_Woningetalage!$AQ$6:$AQ$505,STG_Woningetalage!$B$6:$B$505,$A101)))</f>
        <v/>
      </c>
      <c r="CC101" s="117" t="str">
        <f>IF($A101="","",IF($K101=0,"n.b.",SUMIFS(STG_Woningetalage!$AU$6:$AU$505,STG_Woningetalage!$B$6:$B$505,$A101)))</f>
        <v/>
      </c>
      <c r="CD101" s="92" t="str">
        <f>IF($A101="","",IFERROR(INDEX(STG_ZPMW03!$L$6:$L$505,MATCH($A101,STG_ZPMW03!$B$6:$B$505,0)),"n.b."))</f>
        <v/>
      </c>
      <c r="CE101" s="92" t="str">
        <f>IF($A101="","",IFERROR(INDEX(STG_ZPMW03!$K$6:$K$505,MATCH($A101,STG_ZPMW03!$B$6:$B$505,0)),"n.b."))</f>
        <v/>
      </c>
      <c r="CF101" s="92" t="str">
        <f>IF($A101="","",IFERROR(INDEX(STG_ZPMW03!$BH$6:$BH$505,MATCH($A101,STG_ZPMW03!$B$6:$B$505,0)),"n.b."))</f>
        <v/>
      </c>
      <c r="CG101" s="92" t="str">
        <f>IF($A101="","",IFERROR(INDEX(STG_ZPMW03!$BI$6:$BI$505,MATCH($A101,STG_ZPMW03!$B$6:$B$505,0)),"n.b."))</f>
        <v/>
      </c>
      <c r="CH101" s="92" t="str">
        <f>IF($A101="","",IFERROR(INDEX(STG_ZPMW03!$BJ$6:$BJ$505,MATCH($A101,STG_ZPMW03!$B$6:$B$505,0)),"n.b."))</f>
        <v/>
      </c>
      <c r="CI101" s="92" t="str">
        <f>IF($A101="","",IFERROR(INDEX(STG_ZPMW03!$BF$6:$BF$505,MATCH($A101,STG_ZPMW03!$B$6:$B$505,0)),"n.b."))</f>
        <v/>
      </c>
      <c r="CJ101" s="92" t="str">
        <f>IF($A101="","",IFERROR(INDEX(STG_ZPMW03!$BG$6:$BG$505,MATCH($A101,STG_ZPMW03!$B$6:$B$505,0)),"n.b."))</f>
        <v/>
      </c>
      <c r="CK101" s="92" t="str">
        <f>IF($A101="","",IFERROR(INDEX(STG_ZPMW03!$H$6:$H$505,MATCH($A101,STG_ZPMW03!$B$6:$B$505,0)),"n.b."))</f>
        <v/>
      </c>
      <c r="CL101" s="92" t="str">
        <f>IF($A101="","",IFERROR(INDEX(STG_ZPMW03!$E$6:$E$505,MATCH($A101,STG_ZPMW03!$B$6:$B$505,0)),"n.b."))</f>
        <v/>
      </c>
      <c r="CM101" s="92" t="str">
        <f>IF($A101="","",IFERROR(INDEX(STG_ZPMW03!$G$6:$G$505,MATCH($A101,STG_ZPMW03!$B$6:$B$505,0)),"n.b."))</f>
        <v/>
      </c>
      <c r="CN101" s="92" t="str">
        <f>IF($A101="","",IFERROR(INDEX(STG_Woningetalage!$N$6:$N$505,MATCH($A101,STG_Woningetalage!$B$6:$B$505,0)),"n.b."))</f>
        <v/>
      </c>
      <c r="CO101" s="92" t="str">
        <f>IF($A101="","",IFERROR(INDEX(STG_Woningetalage!$P$6:$P$505,MATCH($A101,STG_Woningetalage!$B$6:$B$505,0)),"n.b."))</f>
        <v/>
      </c>
      <c r="CP101" s="118" t="str">
        <f>IF($A101="","",IF(AND(ISNUMBER(AT101),ISNUMBER(F101)),IF(F101&gt;0,AT101/(F101/100),"n.b."),"n.b."))</f>
        <v/>
      </c>
      <c r="CQ101" s="116" t="str">
        <f>IF($A101="","",IF(ISNUMBER(Q101),IF(Q101&lt;0,1,0),0))</f>
        <v/>
      </c>
      <c r="CR101" s="116" t="str">
        <f>IF(CQ101=1,COUNTIF($CQ$6:CQ101,1),"")</f>
        <v/>
      </c>
      <c r="CS101" s="116" t="str">
        <f>IF(AND($A101&lt;&gt;"",$J101=0),COUNTIFS($A$6:$A101,"?*",$J$6:$J101,0),"")</f>
        <v/>
      </c>
      <c r="CT101" s="119" t="str">
        <f>IF($A101="","",IF(AND(ISNUMBER(Q101),ISNUMBER(P101)),IF(P101&lt;&gt;0,Q101/P101,"n.b."),"n.b."))</f>
        <v/>
      </c>
    </row>
    <row r="102">
      <c r="A102" s="92" t="str">
        <f>IF(Mapping!$A101="","",Mapping!$A101)</f>
        <v/>
      </c>
      <c r="B102" s="92" t="str">
        <f>IF(Mapping!$B101="","",Mapping!$B101)</f>
        <v/>
      </c>
      <c r="C102" s="92" t="str">
        <f>IF(Mapping!$C101="","",Mapping!$C101)</f>
        <v/>
      </c>
      <c r="D102" s="92" t="str">
        <f>IF(Mapping!$F101="","",Mapping!$F101)</f>
        <v/>
      </c>
      <c r="E102" s="92" t="str">
        <f>IF(Mapping!$H101="","",Mapping!$H101)</f>
        <v/>
      </c>
      <c r="F102" s="92" t="str">
        <f>IF(Mapping!$E101="","",Mapping!$E101)</f>
        <v/>
      </c>
      <c r="G102" s="92" t="str">
        <f>IF(Mapping!$G101="","",Mapping!$G101)</f>
        <v/>
      </c>
      <c r="H102" s="92" t="str">
        <f>IF(Mapping!$D101="","",Mapping!$D101)</f>
        <v/>
      </c>
      <c r="I102" s="92" t="str">
        <f>IF($A102="","",IFERROR(INDEX(STG_ZPMW03!$C$6:$C$505,MATCH($A102,STG_ZPMW03!$B$6:$B$505,0)),"n.b."))</f>
        <v/>
      </c>
      <c r="J102" s="116" t="str">
        <f>IF($A102="","",COUNTIF(STG_ZPMW03!$B$6:$B$505,$A102))</f>
        <v/>
      </c>
      <c r="K102" s="116" t="str">
        <f>IF($A102="","",COUNTIF(STG_Woningetalage!$B$6:$B$505,$A102))</f>
        <v/>
      </c>
      <c r="L102" s="117" t="str">
        <f>IF($A102="","",IF($J102=0,"n.b.",SUMIFS(STG_ZPMW03!$BK$6:$BK$505,STG_ZPMW03!$B$6:$B$505,$A102)))</f>
        <v/>
      </c>
      <c r="M102" s="117" t="str">
        <f>IF($A102="","",IF($J102=0,"n.b.",SUMIFS(STG_ZPMW03!$BL$6:$BL$505,STG_ZPMW03!$B$6:$B$505,$A102)))</f>
        <v/>
      </c>
      <c r="N102" s="117" t="str">
        <f>IF($A102="","",IF($J102=0,"n.b.",SUMIFS(STG_ZPMW03!$BM$6:$BM$505,STG_ZPMW03!$B$6:$B$505,$A102)))</f>
        <v/>
      </c>
      <c r="O102" s="117" t="str">
        <f>IF($A102="","",IF($J102=0,"n.b.",SUMIFS(STG_ZPMW03!$BN$6:$BN$505,STG_ZPMW03!$B$6:$B$505,$A102)))</f>
        <v/>
      </c>
      <c r="P102" s="117" t="str">
        <f>IF($A102="","",IF($J102=0,"n.b.",SUMIFS(STG_ZPMW03!$BO$6:$BO$505,STG_ZPMW03!$B$6:$B$505,$A102)))</f>
        <v/>
      </c>
      <c r="Q102" s="117" t="str">
        <f>IF($A102="","",IF($J102=0,"n.b.",SUMIFS(STG_ZPMW03!$BP$6:$BP$505,STG_ZPMW03!$B$6:$B$505,$A102)))</f>
        <v/>
      </c>
      <c r="R102" s="117" t="str">
        <f>IF($A102="","",IF($J102=0,"n.b.",SUMIFS(STG_ZPMW03!$BQ$6:$BQ$505,STG_ZPMW03!$B$6:$B$505,$A102)))</f>
        <v/>
      </c>
      <c r="S102" s="117" t="str">
        <f>IF($A102="","",IF($J102=0,"n.b.",SUMIFS(STG_ZPMW03!$BR$6:$BR$505,STG_ZPMW03!$B$6:$B$505,$A102)))</f>
        <v/>
      </c>
      <c r="T102" s="117" t="str">
        <f>IF($A102="","",IF($J102=0,"n.b.",SUMIFS(STG_ZPMW03!$BS$6:$BS$505,STG_ZPMW03!$B$6:$B$505,$A102)))</f>
        <v/>
      </c>
      <c r="U102" s="117" t="str">
        <f>IF($A102="","",IF($J102=0,"n.b.",SUMIFS(STG_ZPMW03!$BT$6:$BT$505,STG_ZPMW03!$B$6:$B$505,$A102)))</f>
        <v/>
      </c>
      <c r="V102" s="117" t="str">
        <f>IF($A102="","",IF($J102=0,"n.b.",SUMIFS(STG_ZPMW03!$BU$6:$BU$505,STG_ZPMW03!$B$6:$B$505,$A102)))</f>
        <v/>
      </c>
      <c r="W102" s="117" t="str">
        <f>IF($A102="","",IF($J102=0,"n.b.",SUMIFS(STG_ZPMW03!$BW$6:$BW$505,STG_ZPMW03!$B$6:$B$505,$A102)))</f>
        <v/>
      </c>
      <c r="X102" s="117" t="str">
        <f>IF($A102="","",IF($J102=0,"n.b.",SUMIFS(STG_ZPMW03!$BY$6:$BY$505,STG_ZPMW03!$B$6:$B$505,$A102)))</f>
        <v/>
      </c>
      <c r="Y102" s="117" t="str">
        <f>IF($A102="","",IF($J102=0,"n.b.",SUMIFS(STG_ZPMW03!$CA$6:$CA$505,STG_ZPMW03!$B$6:$B$505,$A102)))</f>
        <v/>
      </c>
      <c r="Z102" s="117" t="str">
        <f>IF($A102="","",IF($J102=0,"n.b.",SUMIFS(STG_ZPMW03!$BV$6:$BV$505,STG_ZPMW03!$B$6:$B$505,$A102)))</f>
        <v/>
      </c>
      <c r="AA102" s="117" t="str">
        <f>IF($A102="","",IF($J102=0,"n.b.",SUMIFS(STG_ZPMW03!$BX$6:$BX$505,STG_ZPMW03!$B$6:$B$505,$A102)))</f>
        <v/>
      </c>
      <c r="AB102" s="117" t="str">
        <f>IF($A102="","",IF($J102=0,"n.b.",SUMIFS(STG_ZPMW03!$BZ$6:$BZ$505,STG_ZPMW03!$B$6:$B$505,$A102)))</f>
        <v/>
      </c>
      <c r="AC102" s="117" t="str">
        <f>IF($A102="","",IF($J102=0,"n.b.",SUMIFS(STG_ZPMW03!$CB$6:$CB$505,STG_ZPMW03!$B$6:$B$505,$A102)))</f>
        <v/>
      </c>
      <c r="AD102" s="117" t="str">
        <f>IF($A102="","",IF($J102=0,"n.b.",SUMIFS(STG_ZPMW03!$CC$6:$CC$505,STG_ZPMW03!$B$6:$B$505,$A102)))</f>
        <v/>
      </c>
      <c r="AE102" s="117" t="str">
        <f>IF($A102="","",IF($J102=0,"n.b.",SUMIFS(STG_ZPMW03!$CE$6:$CE$505,STG_ZPMW03!$B$6:$B$505,$A102)))</f>
        <v/>
      </c>
      <c r="AF102" s="117" t="str">
        <f>IF($A102="","",IF($J102=0,"n.b.",SUMIFS(STG_ZPMW03!$CG$6:$CG$505,STG_ZPMW03!$B$6:$B$505,$A102)))</f>
        <v/>
      </c>
      <c r="AG102" s="117" t="str">
        <f>IF($A102="","",IF($J102=0,"n.b.",SUMIFS(STG_ZPMW03!$CI$6:$CI$505,STG_ZPMW03!$B$6:$B$505,$A102)))</f>
        <v/>
      </c>
      <c r="AH102" s="117" t="str">
        <f>IF($A102="","",IF($J102=0,"n.b.",SUMIFS(STG_ZPMW03!$CK$6:$CK$505,STG_ZPMW03!$B$6:$B$505,$A102)))</f>
        <v/>
      </c>
      <c r="AI102" s="117" t="str">
        <f>IF($A102="","",IF($J102=0,"n.b.",SUMIFS(STG_ZPMW03!$CM$6:$CM$505,STG_ZPMW03!$B$6:$B$505,$A102)))</f>
        <v/>
      </c>
      <c r="AJ102" s="117" t="str">
        <f>IF($A102="","",IF($J102=0,"n.b.",SUMIFS(STG_ZPMW03!$CO$6:$CO$505,STG_ZPMW03!$B$6:$B$505,$A102)))</f>
        <v/>
      </c>
      <c r="AK102" s="117" t="str">
        <f>IF($A102="","",IF($J102=0,"n.b.",SUMIFS(STG_ZPMW03!$CQ$6:$CQ$505,STG_ZPMW03!$B$6:$B$505,$A102)))</f>
        <v/>
      </c>
      <c r="AL102" s="117" t="str">
        <f>IF($A102="","",IF($J102=0,"n.b.",SUMIFS(STG_ZPMW03!$CD$6:$CD$505,STG_ZPMW03!$B$6:$B$505,$A102)))</f>
        <v/>
      </c>
      <c r="AM102" s="117" t="str">
        <f>IF($A102="","",IF($J102=0,"n.b.",SUMIFS(STG_ZPMW03!$CF$6:$CF$505,STG_ZPMW03!$B$6:$B$505,$A102)))</f>
        <v/>
      </c>
      <c r="AN102" s="117" t="str">
        <f>IF($A102="","",IF($J102=0,"n.b.",SUMIFS(STG_ZPMW03!$CH$6:$CH$505,STG_ZPMW03!$B$6:$B$505,$A102)))</f>
        <v/>
      </c>
      <c r="AO102" s="117" t="str">
        <f>IF($A102="","",IF($J102=0,"n.b.",SUMIFS(STG_ZPMW03!$CJ$6:$CJ$505,STG_ZPMW03!$B$6:$B$505,$A102)))</f>
        <v/>
      </c>
      <c r="AP102" s="117" t="str">
        <f>IF($A102="","",IF($J102=0,"n.b.",SUMIFS(STG_ZPMW03!$CL$6:$CL$505,STG_ZPMW03!$B$6:$B$505,$A102)))</f>
        <v/>
      </c>
      <c r="AQ102" s="117" t="str">
        <f>IF($A102="","",IF($J102=0,"n.b.",SUMIFS(STG_ZPMW03!$CN$6:$CN$505,STG_ZPMW03!$B$6:$B$505,$A102)))</f>
        <v/>
      </c>
      <c r="AR102" s="117" t="str">
        <f>IF($A102="","",IF($J102=0,"n.b.",SUMIFS(STG_ZPMW03!$CP$6:$CP$505,STG_ZPMW03!$B$6:$B$505,$A102)))</f>
        <v/>
      </c>
      <c r="AS102" s="117" t="str">
        <f>IF($A102="","",IF($J102=0,"n.b.",SUMIFS(STG_ZPMW03!$CR$6:$CR$505,STG_ZPMW03!$B$6:$B$505,$A102)))</f>
        <v/>
      </c>
      <c r="AT102" s="117" t="str">
        <f>IF($A102="","",IF($K102=0,"n.b.",SUMIFS(STG_Woningetalage!$Q$6:$Q$505,STG_Woningetalage!$B$6:$B$505,$A102)))</f>
        <v/>
      </c>
      <c r="AU102" s="117" t="str">
        <f>IF($A102="","",IF($K102=0,"n.b.",SUMIFS(STG_Woningetalage!$R$6:$R$505,STG_Woningetalage!$B$6:$B$505,$A102)))</f>
        <v/>
      </c>
      <c r="AV102" s="117" t="str">
        <f>IF($A102="","",IF($K102=0,"n.b.",SUMIFS(STG_Woningetalage!$S$6:$S$505,STG_Woningetalage!$B$6:$B$505,$A102)))</f>
        <v/>
      </c>
      <c r="AW102" s="117" t="str">
        <f>IF($A102="","",IF($K102=0,"n.b.",SUMIFS(STG_Woningetalage!$T$6:$T$505,STG_Woningetalage!$B$6:$B$505,$A102)))</f>
        <v/>
      </c>
      <c r="AX102" s="117" t="str">
        <f>IF($A102="","",IF($K102=0,"n.b.",SUMIFS(STG_Woningetalage!$U$6:$U$505,STG_Woningetalage!$B$6:$B$505,$A102)))</f>
        <v/>
      </c>
      <c r="AY102" s="117" t="str">
        <f>IF($A102="","",IF($K102=0,"n.b.",SUMIFS(STG_Woningetalage!$V$6:$V$505,STG_Woningetalage!$B$6:$B$505,$A102)))</f>
        <v/>
      </c>
      <c r="AZ102" s="117" t="str">
        <f>IF($A102="","",IF($K102=0,"n.b.",SUMIFS(STG_Woningetalage!$W$6:$W$505,STG_Woningetalage!$B$6:$B$505,$A102)))</f>
        <v/>
      </c>
      <c r="BA102" s="117" t="str">
        <f>IF($A102="","",IF($K102=0,"n.b.",SUMIFS(STG_Woningetalage!$X$6:$X$505,STG_Woningetalage!$B$6:$B$505,$A102)))</f>
        <v/>
      </c>
      <c r="BB102" s="117" t="str">
        <f>IF($A102="","",IF($K102=0,"n.b.",SUMIFS(STG_Woningetalage!$Y$6:$Y$505,STG_Woningetalage!$B$6:$B$505,$A102)))</f>
        <v/>
      </c>
      <c r="BC102" s="117" t="str">
        <f>IF($A102="","",IF($K102=0,"n.b.",SUMIFS(STG_Woningetalage!$Z$6:$Z$505,STG_Woningetalage!$B$6:$B$505,$A102)))</f>
        <v/>
      </c>
      <c r="BD102" s="117" t="str">
        <f>IF($A102="","",IF($K102=0,"n.b.",SUMIFS(STG_Woningetalage!$AA$6:$AA$505,STG_Woningetalage!$B$6:$B$505,$A102)))</f>
        <v/>
      </c>
      <c r="BE102" s="117" t="str">
        <f>IF($A102="","",IF($K102=0,"n.b.",SUMIFS(STG_Woningetalage!$AB$6:$AB$505,STG_Woningetalage!$B$6:$B$505,$A102)))</f>
        <v/>
      </c>
      <c r="BF102" s="117" t="str">
        <f>IF($A102="","",IF($K102=0,"n.b.",SUMIFS(STG_Woningetalage!$AC$6:$AC$505,STG_Woningetalage!$B$6:$B$505,$A102)))</f>
        <v/>
      </c>
      <c r="BG102" s="117" t="str">
        <f>IF($A102="","",IF($K102=0,"n.b.",SUMIFS(STG_Woningetalage!$AD$6:$AD$505,STG_Woningetalage!$B$6:$B$505,$A102)))</f>
        <v/>
      </c>
      <c r="BH102" s="117" t="str">
        <f>IF($A102="","",IF($K102=0,"n.b.",SUMIFS(STG_Woningetalage!$AE$6:$AE$505,STG_Woningetalage!$B$6:$B$505,$A102)))</f>
        <v/>
      </c>
      <c r="BI102" s="117" t="str">
        <f>IF($A102="","",IF($K102=0,"n.b.",SUMIFS(STG_Woningetalage!$AF$6:$AF$505,STG_Woningetalage!$B$6:$B$505,$A102)))</f>
        <v/>
      </c>
      <c r="BJ102" s="117" t="str">
        <f>IF($A102="","",IF($K102=0,"n.b.",SUMIFS(STG_Woningetalage!$AG$6:$AG$505,STG_Woningetalage!$B$6:$B$505,$A102)))</f>
        <v/>
      </c>
      <c r="BK102" s="117" t="str">
        <f>IF($A102="","",IF($K102=0,"n.b.",SUMIFS(STG_Woningetalage!$AH$6:$AH$505,STG_Woningetalage!$B$6:$B$505,$A102)))</f>
        <v/>
      </c>
      <c r="BL102" s="117" t="str">
        <f>IF($A102="","",IF($K102=0,"n.b.",SUMIFS(STG_Woningetalage!$AI$6:$AI$505,STG_Woningetalage!$B$6:$B$505,$A102)))</f>
        <v/>
      </c>
      <c r="BM102" s="117" t="str">
        <f>IF($A102="","",IF($K102=0,"n.b.",SUMIFS(STG_Woningetalage!$AJ$6:$AJ$505,STG_Woningetalage!$B$6:$B$505,$A102)))</f>
        <v/>
      </c>
      <c r="BN102" s="117" t="str">
        <f>IF($A102="","",IF($K102=0,"n.b.",SUMIFS(STG_Woningetalage!$AK$6:$AK$505,STG_Woningetalage!$B$6:$B$505,$A102)))</f>
        <v/>
      </c>
      <c r="BO102" s="117" t="str">
        <f>IF($A102="","",IF($K102=0,"n.b.",SUMIFS(STG_Woningetalage!$AL$6:$AL$505,STG_Woningetalage!$B$6:$B$505,$A102)))</f>
        <v/>
      </c>
      <c r="BP102" s="117" t="str">
        <f>IF($A102="","",IF($K102=0,"n.b.",SUMIFS(STG_Woningetalage!$AM$6:$AM$505,STG_Woningetalage!$B$6:$B$505,$A102)))</f>
        <v/>
      </c>
      <c r="BQ102" s="117" t="str">
        <f>IF($A102="","",IF($K102=0,"n.b.",SUMIFS(STG_Woningetalage!$BE$6:$BE$505,STG_Woningetalage!$B$6:$B$505,$A102)))</f>
        <v/>
      </c>
      <c r="BR102" s="117" t="str">
        <f>IF($A102="","",IF($K102=0,"n.b.",SUMIFS(STG_Woningetalage!$BF$6:$BF$505,STG_Woningetalage!$B$6:$B$505,$A102)))</f>
        <v/>
      </c>
      <c r="BS102" s="117" t="str">
        <f>IF($A102="","",IF($K102=0,"n.b.",SUMIFS(STG_Woningetalage!$BG$6:$BG$505,STG_Woningetalage!$B$6:$B$505,$A102)))</f>
        <v/>
      </c>
      <c r="BT102" s="117" t="str">
        <f>IF($A102="","",IF($K102=0,"n.b.",SUMIFS(STG_Woningetalage!$BH$6:$BH$505,STG_Woningetalage!$B$6:$B$505,$A102)))</f>
        <v/>
      </c>
      <c r="BU102" s="117" t="str">
        <f>IF($A102="","",IF($K102=0,"n.b.",SUMIFS(STG_Woningetalage!$BI$6:$BI$505,STG_Woningetalage!$B$6:$B$505,$A102)))</f>
        <v/>
      </c>
      <c r="BV102" s="117" t="str">
        <f>IF($A102="","",IF($K102=0,"n.b.",SUMIFS(STG_Woningetalage!$BJ$6:$BJ$505,STG_Woningetalage!$B$6:$B$505,$A102)))</f>
        <v/>
      </c>
      <c r="BW102" s="117" t="str">
        <f>IF($A102="","",IF($K102=0,"n.b.",SUMIFS(STG_Woningetalage!$AR$6:$AR$505,STG_Woningetalage!$B$6:$B$505,$A102)))</f>
        <v/>
      </c>
      <c r="BX102" s="117" t="str">
        <f>IF($A102="","",IF($K102=0,"n.b.",SUMIFS(STG_Woningetalage!$AS$6:$AS$505,STG_Woningetalage!$B$6:$B$505,$A102)))</f>
        <v/>
      </c>
      <c r="BY102" s="117" t="str">
        <f>IF($A102="","",IF($K102=0,"n.b.",SUMIFS(STG_Woningetalage!$AN$6:$AN$505,STG_Woningetalage!$B$6:$B$505,$A102)))</f>
        <v/>
      </c>
      <c r="BZ102" s="117" t="str">
        <f>IF($A102="","",IF($K102=0,"n.b.",SUMIFS(STG_Woningetalage!$AO$6:$AO$505,STG_Woningetalage!$B$6:$B$505,$A102)))</f>
        <v/>
      </c>
      <c r="CA102" s="117" t="str">
        <f>IF($A102="","",IF($K102=0,"n.b.",SUMIFS(STG_Woningetalage!$AP$6:$AP$505,STG_Woningetalage!$B$6:$B$505,$A102)))</f>
        <v/>
      </c>
      <c r="CB102" s="117" t="str">
        <f>IF($A102="","",IF($K102=0,"n.b.",SUMIFS(STG_Woningetalage!$AQ$6:$AQ$505,STG_Woningetalage!$B$6:$B$505,$A102)))</f>
        <v/>
      </c>
      <c r="CC102" s="117" t="str">
        <f>IF($A102="","",IF($K102=0,"n.b.",SUMIFS(STG_Woningetalage!$AU$6:$AU$505,STG_Woningetalage!$B$6:$B$505,$A102)))</f>
        <v/>
      </c>
      <c r="CD102" s="92" t="str">
        <f>IF($A102="","",IFERROR(INDEX(STG_ZPMW03!$L$6:$L$505,MATCH($A102,STG_ZPMW03!$B$6:$B$505,0)),"n.b."))</f>
        <v/>
      </c>
      <c r="CE102" s="92" t="str">
        <f>IF($A102="","",IFERROR(INDEX(STG_ZPMW03!$K$6:$K$505,MATCH($A102,STG_ZPMW03!$B$6:$B$505,0)),"n.b."))</f>
        <v/>
      </c>
      <c r="CF102" s="92" t="str">
        <f>IF($A102="","",IFERROR(INDEX(STG_ZPMW03!$BH$6:$BH$505,MATCH($A102,STG_ZPMW03!$B$6:$B$505,0)),"n.b."))</f>
        <v/>
      </c>
      <c r="CG102" s="92" t="str">
        <f>IF($A102="","",IFERROR(INDEX(STG_ZPMW03!$BI$6:$BI$505,MATCH($A102,STG_ZPMW03!$B$6:$B$505,0)),"n.b."))</f>
        <v/>
      </c>
      <c r="CH102" s="92" t="str">
        <f>IF($A102="","",IFERROR(INDEX(STG_ZPMW03!$BJ$6:$BJ$505,MATCH($A102,STG_ZPMW03!$B$6:$B$505,0)),"n.b."))</f>
        <v/>
      </c>
      <c r="CI102" s="92" t="str">
        <f>IF($A102="","",IFERROR(INDEX(STG_ZPMW03!$BF$6:$BF$505,MATCH($A102,STG_ZPMW03!$B$6:$B$505,0)),"n.b."))</f>
        <v/>
      </c>
      <c r="CJ102" s="92" t="str">
        <f>IF($A102="","",IFERROR(INDEX(STG_ZPMW03!$BG$6:$BG$505,MATCH($A102,STG_ZPMW03!$B$6:$B$505,0)),"n.b."))</f>
        <v/>
      </c>
      <c r="CK102" s="92" t="str">
        <f>IF($A102="","",IFERROR(INDEX(STG_ZPMW03!$H$6:$H$505,MATCH($A102,STG_ZPMW03!$B$6:$B$505,0)),"n.b."))</f>
        <v/>
      </c>
      <c r="CL102" s="92" t="str">
        <f>IF($A102="","",IFERROR(INDEX(STG_ZPMW03!$E$6:$E$505,MATCH($A102,STG_ZPMW03!$B$6:$B$505,0)),"n.b."))</f>
        <v/>
      </c>
      <c r="CM102" s="92" t="str">
        <f>IF($A102="","",IFERROR(INDEX(STG_ZPMW03!$G$6:$G$505,MATCH($A102,STG_ZPMW03!$B$6:$B$505,0)),"n.b."))</f>
        <v/>
      </c>
      <c r="CN102" s="92" t="str">
        <f>IF($A102="","",IFERROR(INDEX(STG_Woningetalage!$N$6:$N$505,MATCH($A102,STG_Woningetalage!$B$6:$B$505,0)),"n.b."))</f>
        <v/>
      </c>
      <c r="CO102" s="92" t="str">
        <f>IF($A102="","",IFERROR(INDEX(STG_Woningetalage!$P$6:$P$505,MATCH($A102,STG_Woningetalage!$B$6:$B$505,0)),"n.b."))</f>
        <v/>
      </c>
      <c r="CP102" s="118" t="str">
        <f>IF($A102="","",IF(AND(ISNUMBER(AT102),ISNUMBER(F102)),IF(F102&gt;0,AT102/(F102/100),"n.b."),"n.b."))</f>
        <v/>
      </c>
      <c r="CQ102" s="116" t="str">
        <f>IF($A102="","",IF(ISNUMBER(Q102),IF(Q102&lt;0,1,0),0))</f>
        <v/>
      </c>
      <c r="CR102" s="116" t="str">
        <f>IF(CQ102=1,COUNTIF($CQ$6:CQ102,1),"")</f>
        <v/>
      </c>
      <c r="CS102" s="116" t="str">
        <f>IF(AND($A102&lt;&gt;"",$J102=0),COUNTIFS($A$6:$A102,"?*",$J$6:$J102,0),"")</f>
        <v/>
      </c>
      <c r="CT102" s="119" t="str">
        <f>IF($A102="","",IF(AND(ISNUMBER(Q102),ISNUMBER(P102)),IF(P102&lt;&gt;0,Q102/P102,"n.b."),"n.b."))</f>
        <v/>
      </c>
    </row>
    <row r="103">
      <c r="A103" s="92" t="str">
        <f>IF(Mapping!$A102="","",Mapping!$A102)</f>
        <v/>
      </c>
      <c r="B103" s="92" t="str">
        <f>IF(Mapping!$B102="","",Mapping!$B102)</f>
        <v/>
      </c>
      <c r="C103" s="92" t="str">
        <f>IF(Mapping!$C102="","",Mapping!$C102)</f>
        <v/>
      </c>
      <c r="D103" s="92" t="str">
        <f>IF(Mapping!$F102="","",Mapping!$F102)</f>
        <v/>
      </c>
      <c r="E103" s="92" t="str">
        <f>IF(Mapping!$H102="","",Mapping!$H102)</f>
        <v/>
      </c>
      <c r="F103" s="92" t="str">
        <f>IF(Mapping!$E102="","",Mapping!$E102)</f>
        <v/>
      </c>
      <c r="G103" s="92" t="str">
        <f>IF(Mapping!$G102="","",Mapping!$G102)</f>
        <v/>
      </c>
      <c r="H103" s="92" t="str">
        <f>IF(Mapping!$D102="","",Mapping!$D102)</f>
        <v/>
      </c>
      <c r="I103" s="92" t="str">
        <f>IF($A103="","",IFERROR(INDEX(STG_ZPMW03!$C$6:$C$505,MATCH($A103,STG_ZPMW03!$B$6:$B$505,0)),"n.b."))</f>
        <v/>
      </c>
      <c r="J103" s="116" t="str">
        <f>IF($A103="","",COUNTIF(STG_ZPMW03!$B$6:$B$505,$A103))</f>
        <v/>
      </c>
      <c r="K103" s="116" t="str">
        <f>IF($A103="","",COUNTIF(STG_Woningetalage!$B$6:$B$505,$A103))</f>
        <v/>
      </c>
      <c r="L103" s="117" t="str">
        <f>IF($A103="","",IF($J103=0,"n.b.",SUMIFS(STG_ZPMW03!$BK$6:$BK$505,STG_ZPMW03!$B$6:$B$505,$A103)))</f>
        <v/>
      </c>
      <c r="M103" s="117" t="str">
        <f>IF($A103="","",IF($J103=0,"n.b.",SUMIFS(STG_ZPMW03!$BL$6:$BL$505,STG_ZPMW03!$B$6:$B$505,$A103)))</f>
        <v/>
      </c>
      <c r="N103" s="117" t="str">
        <f>IF($A103="","",IF($J103=0,"n.b.",SUMIFS(STG_ZPMW03!$BM$6:$BM$505,STG_ZPMW03!$B$6:$B$505,$A103)))</f>
        <v/>
      </c>
      <c r="O103" s="117" t="str">
        <f>IF($A103="","",IF($J103=0,"n.b.",SUMIFS(STG_ZPMW03!$BN$6:$BN$505,STG_ZPMW03!$B$6:$B$505,$A103)))</f>
        <v/>
      </c>
      <c r="P103" s="117" t="str">
        <f>IF($A103="","",IF($J103=0,"n.b.",SUMIFS(STG_ZPMW03!$BO$6:$BO$505,STG_ZPMW03!$B$6:$B$505,$A103)))</f>
        <v/>
      </c>
      <c r="Q103" s="117" t="str">
        <f>IF($A103="","",IF($J103=0,"n.b.",SUMIFS(STG_ZPMW03!$BP$6:$BP$505,STG_ZPMW03!$B$6:$B$505,$A103)))</f>
        <v/>
      </c>
      <c r="R103" s="117" t="str">
        <f>IF($A103="","",IF($J103=0,"n.b.",SUMIFS(STG_ZPMW03!$BQ$6:$BQ$505,STG_ZPMW03!$B$6:$B$505,$A103)))</f>
        <v/>
      </c>
      <c r="S103" s="117" t="str">
        <f>IF($A103="","",IF($J103=0,"n.b.",SUMIFS(STG_ZPMW03!$BR$6:$BR$505,STG_ZPMW03!$B$6:$B$505,$A103)))</f>
        <v/>
      </c>
      <c r="T103" s="117" t="str">
        <f>IF($A103="","",IF($J103=0,"n.b.",SUMIFS(STG_ZPMW03!$BS$6:$BS$505,STG_ZPMW03!$B$6:$B$505,$A103)))</f>
        <v/>
      </c>
      <c r="U103" s="117" t="str">
        <f>IF($A103="","",IF($J103=0,"n.b.",SUMIFS(STG_ZPMW03!$BT$6:$BT$505,STG_ZPMW03!$B$6:$B$505,$A103)))</f>
        <v/>
      </c>
      <c r="V103" s="117" t="str">
        <f>IF($A103="","",IF($J103=0,"n.b.",SUMIFS(STG_ZPMW03!$BU$6:$BU$505,STG_ZPMW03!$B$6:$B$505,$A103)))</f>
        <v/>
      </c>
      <c r="W103" s="117" t="str">
        <f>IF($A103="","",IF($J103=0,"n.b.",SUMIFS(STG_ZPMW03!$BW$6:$BW$505,STG_ZPMW03!$B$6:$B$505,$A103)))</f>
        <v/>
      </c>
      <c r="X103" s="117" t="str">
        <f>IF($A103="","",IF($J103=0,"n.b.",SUMIFS(STG_ZPMW03!$BY$6:$BY$505,STG_ZPMW03!$B$6:$B$505,$A103)))</f>
        <v/>
      </c>
      <c r="Y103" s="117" t="str">
        <f>IF($A103="","",IF($J103=0,"n.b.",SUMIFS(STG_ZPMW03!$CA$6:$CA$505,STG_ZPMW03!$B$6:$B$505,$A103)))</f>
        <v/>
      </c>
      <c r="Z103" s="117" t="str">
        <f>IF($A103="","",IF($J103=0,"n.b.",SUMIFS(STG_ZPMW03!$BV$6:$BV$505,STG_ZPMW03!$B$6:$B$505,$A103)))</f>
        <v/>
      </c>
      <c r="AA103" s="117" t="str">
        <f>IF($A103="","",IF($J103=0,"n.b.",SUMIFS(STG_ZPMW03!$BX$6:$BX$505,STG_ZPMW03!$B$6:$B$505,$A103)))</f>
        <v/>
      </c>
      <c r="AB103" s="117" t="str">
        <f>IF($A103="","",IF($J103=0,"n.b.",SUMIFS(STG_ZPMW03!$BZ$6:$BZ$505,STG_ZPMW03!$B$6:$B$505,$A103)))</f>
        <v/>
      </c>
      <c r="AC103" s="117" t="str">
        <f>IF($A103="","",IF($J103=0,"n.b.",SUMIFS(STG_ZPMW03!$CB$6:$CB$505,STG_ZPMW03!$B$6:$B$505,$A103)))</f>
        <v/>
      </c>
      <c r="AD103" s="117" t="str">
        <f>IF($A103="","",IF($J103=0,"n.b.",SUMIFS(STG_ZPMW03!$CC$6:$CC$505,STG_ZPMW03!$B$6:$B$505,$A103)))</f>
        <v/>
      </c>
      <c r="AE103" s="117" t="str">
        <f>IF($A103="","",IF($J103=0,"n.b.",SUMIFS(STG_ZPMW03!$CE$6:$CE$505,STG_ZPMW03!$B$6:$B$505,$A103)))</f>
        <v/>
      </c>
      <c r="AF103" s="117" t="str">
        <f>IF($A103="","",IF($J103=0,"n.b.",SUMIFS(STG_ZPMW03!$CG$6:$CG$505,STG_ZPMW03!$B$6:$B$505,$A103)))</f>
        <v/>
      </c>
      <c r="AG103" s="117" t="str">
        <f>IF($A103="","",IF($J103=0,"n.b.",SUMIFS(STG_ZPMW03!$CI$6:$CI$505,STG_ZPMW03!$B$6:$B$505,$A103)))</f>
        <v/>
      </c>
      <c r="AH103" s="117" t="str">
        <f>IF($A103="","",IF($J103=0,"n.b.",SUMIFS(STG_ZPMW03!$CK$6:$CK$505,STG_ZPMW03!$B$6:$B$505,$A103)))</f>
        <v/>
      </c>
      <c r="AI103" s="117" t="str">
        <f>IF($A103="","",IF($J103=0,"n.b.",SUMIFS(STG_ZPMW03!$CM$6:$CM$505,STG_ZPMW03!$B$6:$B$505,$A103)))</f>
        <v/>
      </c>
      <c r="AJ103" s="117" t="str">
        <f>IF($A103="","",IF($J103=0,"n.b.",SUMIFS(STG_ZPMW03!$CO$6:$CO$505,STG_ZPMW03!$B$6:$B$505,$A103)))</f>
        <v/>
      </c>
      <c r="AK103" s="117" t="str">
        <f>IF($A103="","",IF($J103=0,"n.b.",SUMIFS(STG_ZPMW03!$CQ$6:$CQ$505,STG_ZPMW03!$B$6:$B$505,$A103)))</f>
        <v/>
      </c>
      <c r="AL103" s="117" t="str">
        <f>IF($A103="","",IF($J103=0,"n.b.",SUMIFS(STG_ZPMW03!$CD$6:$CD$505,STG_ZPMW03!$B$6:$B$505,$A103)))</f>
        <v/>
      </c>
      <c r="AM103" s="117" t="str">
        <f>IF($A103="","",IF($J103=0,"n.b.",SUMIFS(STG_ZPMW03!$CF$6:$CF$505,STG_ZPMW03!$B$6:$B$505,$A103)))</f>
        <v/>
      </c>
      <c r="AN103" s="117" t="str">
        <f>IF($A103="","",IF($J103=0,"n.b.",SUMIFS(STG_ZPMW03!$CH$6:$CH$505,STG_ZPMW03!$B$6:$B$505,$A103)))</f>
        <v/>
      </c>
      <c r="AO103" s="117" t="str">
        <f>IF($A103="","",IF($J103=0,"n.b.",SUMIFS(STG_ZPMW03!$CJ$6:$CJ$505,STG_ZPMW03!$B$6:$B$505,$A103)))</f>
        <v/>
      </c>
      <c r="AP103" s="117" t="str">
        <f>IF($A103="","",IF($J103=0,"n.b.",SUMIFS(STG_ZPMW03!$CL$6:$CL$505,STG_ZPMW03!$B$6:$B$505,$A103)))</f>
        <v/>
      </c>
      <c r="AQ103" s="117" t="str">
        <f>IF($A103="","",IF($J103=0,"n.b.",SUMIFS(STG_ZPMW03!$CN$6:$CN$505,STG_ZPMW03!$B$6:$B$505,$A103)))</f>
        <v/>
      </c>
      <c r="AR103" s="117" t="str">
        <f>IF($A103="","",IF($J103=0,"n.b.",SUMIFS(STG_ZPMW03!$CP$6:$CP$505,STG_ZPMW03!$B$6:$B$505,$A103)))</f>
        <v/>
      </c>
      <c r="AS103" s="117" t="str">
        <f>IF($A103="","",IF($J103=0,"n.b.",SUMIFS(STG_ZPMW03!$CR$6:$CR$505,STG_ZPMW03!$B$6:$B$505,$A103)))</f>
        <v/>
      </c>
      <c r="AT103" s="117" t="str">
        <f>IF($A103="","",IF($K103=0,"n.b.",SUMIFS(STG_Woningetalage!$Q$6:$Q$505,STG_Woningetalage!$B$6:$B$505,$A103)))</f>
        <v/>
      </c>
      <c r="AU103" s="117" t="str">
        <f>IF($A103="","",IF($K103=0,"n.b.",SUMIFS(STG_Woningetalage!$R$6:$R$505,STG_Woningetalage!$B$6:$B$505,$A103)))</f>
        <v/>
      </c>
      <c r="AV103" s="117" t="str">
        <f>IF($A103="","",IF($K103=0,"n.b.",SUMIFS(STG_Woningetalage!$S$6:$S$505,STG_Woningetalage!$B$6:$B$505,$A103)))</f>
        <v/>
      </c>
      <c r="AW103" s="117" t="str">
        <f>IF($A103="","",IF($K103=0,"n.b.",SUMIFS(STG_Woningetalage!$T$6:$T$505,STG_Woningetalage!$B$6:$B$505,$A103)))</f>
        <v/>
      </c>
      <c r="AX103" s="117" t="str">
        <f>IF($A103="","",IF($K103=0,"n.b.",SUMIFS(STG_Woningetalage!$U$6:$U$505,STG_Woningetalage!$B$6:$B$505,$A103)))</f>
        <v/>
      </c>
      <c r="AY103" s="117" t="str">
        <f>IF($A103="","",IF($K103=0,"n.b.",SUMIFS(STG_Woningetalage!$V$6:$V$505,STG_Woningetalage!$B$6:$B$505,$A103)))</f>
        <v/>
      </c>
      <c r="AZ103" s="117" t="str">
        <f>IF($A103="","",IF($K103=0,"n.b.",SUMIFS(STG_Woningetalage!$W$6:$W$505,STG_Woningetalage!$B$6:$B$505,$A103)))</f>
        <v/>
      </c>
      <c r="BA103" s="117" t="str">
        <f>IF($A103="","",IF($K103=0,"n.b.",SUMIFS(STG_Woningetalage!$X$6:$X$505,STG_Woningetalage!$B$6:$B$505,$A103)))</f>
        <v/>
      </c>
      <c r="BB103" s="117" t="str">
        <f>IF($A103="","",IF($K103=0,"n.b.",SUMIFS(STG_Woningetalage!$Y$6:$Y$505,STG_Woningetalage!$B$6:$B$505,$A103)))</f>
        <v/>
      </c>
      <c r="BC103" s="117" t="str">
        <f>IF($A103="","",IF($K103=0,"n.b.",SUMIFS(STG_Woningetalage!$Z$6:$Z$505,STG_Woningetalage!$B$6:$B$505,$A103)))</f>
        <v/>
      </c>
      <c r="BD103" s="117" t="str">
        <f>IF($A103="","",IF($K103=0,"n.b.",SUMIFS(STG_Woningetalage!$AA$6:$AA$505,STG_Woningetalage!$B$6:$B$505,$A103)))</f>
        <v/>
      </c>
      <c r="BE103" s="117" t="str">
        <f>IF($A103="","",IF($K103=0,"n.b.",SUMIFS(STG_Woningetalage!$AB$6:$AB$505,STG_Woningetalage!$B$6:$B$505,$A103)))</f>
        <v/>
      </c>
      <c r="BF103" s="117" t="str">
        <f>IF($A103="","",IF($K103=0,"n.b.",SUMIFS(STG_Woningetalage!$AC$6:$AC$505,STG_Woningetalage!$B$6:$B$505,$A103)))</f>
        <v/>
      </c>
      <c r="BG103" s="117" t="str">
        <f>IF($A103="","",IF($K103=0,"n.b.",SUMIFS(STG_Woningetalage!$AD$6:$AD$505,STG_Woningetalage!$B$6:$B$505,$A103)))</f>
        <v/>
      </c>
      <c r="BH103" s="117" t="str">
        <f>IF($A103="","",IF($K103=0,"n.b.",SUMIFS(STG_Woningetalage!$AE$6:$AE$505,STG_Woningetalage!$B$6:$B$505,$A103)))</f>
        <v/>
      </c>
      <c r="BI103" s="117" t="str">
        <f>IF($A103="","",IF($K103=0,"n.b.",SUMIFS(STG_Woningetalage!$AF$6:$AF$505,STG_Woningetalage!$B$6:$B$505,$A103)))</f>
        <v/>
      </c>
      <c r="BJ103" s="117" t="str">
        <f>IF($A103="","",IF($K103=0,"n.b.",SUMIFS(STG_Woningetalage!$AG$6:$AG$505,STG_Woningetalage!$B$6:$B$505,$A103)))</f>
        <v/>
      </c>
      <c r="BK103" s="117" t="str">
        <f>IF($A103="","",IF($K103=0,"n.b.",SUMIFS(STG_Woningetalage!$AH$6:$AH$505,STG_Woningetalage!$B$6:$B$505,$A103)))</f>
        <v/>
      </c>
      <c r="BL103" s="117" t="str">
        <f>IF($A103="","",IF($K103=0,"n.b.",SUMIFS(STG_Woningetalage!$AI$6:$AI$505,STG_Woningetalage!$B$6:$B$505,$A103)))</f>
        <v/>
      </c>
      <c r="BM103" s="117" t="str">
        <f>IF($A103="","",IF($K103=0,"n.b.",SUMIFS(STG_Woningetalage!$AJ$6:$AJ$505,STG_Woningetalage!$B$6:$B$505,$A103)))</f>
        <v/>
      </c>
      <c r="BN103" s="117" t="str">
        <f>IF($A103="","",IF($K103=0,"n.b.",SUMIFS(STG_Woningetalage!$AK$6:$AK$505,STG_Woningetalage!$B$6:$B$505,$A103)))</f>
        <v/>
      </c>
      <c r="BO103" s="117" t="str">
        <f>IF($A103="","",IF($K103=0,"n.b.",SUMIFS(STG_Woningetalage!$AL$6:$AL$505,STG_Woningetalage!$B$6:$B$505,$A103)))</f>
        <v/>
      </c>
      <c r="BP103" s="117" t="str">
        <f>IF($A103="","",IF($K103=0,"n.b.",SUMIFS(STG_Woningetalage!$AM$6:$AM$505,STG_Woningetalage!$B$6:$B$505,$A103)))</f>
        <v/>
      </c>
      <c r="BQ103" s="117" t="str">
        <f>IF($A103="","",IF($K103=0,"n.b.",SUMIFS(STG_Woningetalage!$BE$6:$BE$505,STG_Woningetalage!$B$6:$B$505,$A103)))</f>
        <v/>
      </c>
      <c r="BR103" s="117" t="str">
        <f>IF($A103="","",IF($K103=0,"n.b.",SUMIFS(STG_Woningetalage!$BF$6:$BF$505,STG_Woningetalage!$B$6:$B$505,$A103)))</f>
        <v/>
      </c>
      <c r="BS103" s="117" t="str">
        <f>IF($A103="","",IF($K103=0,"n.b.",SUMIFS(STG_Woningetalage!$BG$6:$BG$505,STG_Woningetalage!$B$6:$B$505,$A103)))</f>
        <v/>
      </c>
      <c r="BT103" s="117" t="str">
        <f>IF($A103="","",IF($K103=0,"n.b.",SUMIFS(STG_Woningetalage!$BH$6:$BH$505,STG_Woningetalage!$B$6:$B$505,$A103)))</f>
        <v/>
      </c>
      <c r="BU103" s="117" t="str">
        <f>IF($A103="","",IF($K103=0,"n.b.",SUMIFS(STG_Woningetalage!$BI$6:$BI$505,STG_Woningetalage!$B$6:$B$505,$A103)))</f>
        <v/>
      </c>
      <c r="BV103" s="117" t="str">
        <f>IF($A103="","",IF($K103=0,"n.b.",SUMIFS(STG_Woningetalage!$BJ$6:$BJ$505,STG_Woningetalage!$B$6:$B$505,$A103)))</f>
        <v/>
      </c>
      <c r="BW103" s="117" t="str">
        <f>IF($A103="","",IF($K103=0,"n.b.",SUMIFS(STG_Woningetalage!$AR$6:$AR$505,STG_Woningetalage!$B$6:$B$505,$A103)))</f>
        <v/>
      </c>
      <c r="BX103" s="117" t="str">
        <f>IF($A103="","",IF($K103=0,"n.b.",SUMIFS(STG_Woningetalage!$AS$6:$AS$505,STG_Woningetalage!$B$6:$B$505,$A103)))</f>
        <v/>
      </c>
      <c r="BY103" s="117" t="str">
        <f>IF($A103="","",IF($K103=0,"n.b.",SUMIFS(STG_Woningetalage!$AN$6:$AN$505,STG_Woningetalage!$B$6:$B$505,$A103)))</f>
        <v/>
      </c>
      <c r="BZ103" s="117" t="str">
        <f>IF($A103="","",IF($K103=0,"n.b.",SUMIFS(STG_Woningetalage!$AO$6:$AO$505,STG_Woningetalage!$B$6:$B$505,$A103)))</f>
        <v/>
      </c>
      <c r="CA103" s="117" t="str">
        <f>IF($A103="","",IF($K103=0,"n.b.",SUMIFS(STG_Woningetalage!$AP$6:$AP$505,STG_Woningetalage!$B$6:$B$505,$A103)))</f>
        <v/>
      </c>
      <c r="CB103" s="117" t="str">
        <f>IF($A103="","",IF($K103=0,"n.b.",SUMIFS(STG_Woningetalage!$AQ$6:$AQ$505,STG_Woningetalage!$B$6:$B$505,$A103)))</f>
        <v/>
      </c>
      <c r="CC103" s="117" t="str">
        <f>IF($A103="","",IF($K103=0,"n.b.",SUMIFS(STG_Woningetalage!$AU$6:$AU$505,STG_Woningetalage!$B$6:$B$505,$A103)))</f>
        <v/>
      </c>
      <c r="CD103" s="92" t="str">
        <f>IF($A103="","",IFERROR(INDEX(STG_ZPMW03!$L$6:$L$505,MATCH($A103,STG_ZPMW03!$B$6:$B$505,0)),"n.b."))</f>
        <v/>
      </c>
      <c r="CE103" s="92" t="str">
        <f>IF($A103="","",IFERROR(INDEX(STG_ZPMW03!$K$6:$K$505,MATCH($A103,STG_ZPMW03!$B$6:$B$505,0)),"n.b."))</f>
        <v/>
      </c>
      <c r="CF103" s="92" t="str">
        <f>IF($A103="","",IFERROR(INDEX(STG_ZPMW03!$BH$6:$BH$505,MATCH($A103,STG_ZPMW03!$B$6:$B$505,0)),"n.b."))</f>
        <v/>
      </c>
      <c r="CG103" s="92" t="str">
        <f>IF($A103="","",IFERROR(INDEX(STG_ZPMW03!$BI$6:$BI$505,MATCH($A103,STG_ZPMW03!$B$6:$B$505,0)),"n.b."))</f>
        <v/>
      </c>
      <c r="CH103" s="92" t="str">
        <f>IF($A103="","",IFERROR(INDEX(STG_ZPMW03!$BJ$6:$BJ$505,MATCH($A103,STG_ZPMW03!$B$6:$B$505,0)),"n.b."))</f>
        <v/>
      </c>
      <c r="CI103" s="92" t="str">
        <f>IF($A103="","",IFERROR(INDEX(STG_ZPMW03!$BF$6:$BF$505,MATCH($A103,STG_ZPMW03!$B$6:$B$505,0)),"n.b."))</f>
        <v/>
      </c>
      <c r="CJ103" s="92" t="str">
        <f>IF($A103="","",IFERROR(INDEX(STG_ZPMW03!$BG$6:$BG$505,MATCH($A103,STG_ZPMW03!$B$6:$B$505,0)),"n.b."))</f>
        <v/>
      </c>
      <c r="CK103" s="92" t="str">
        <f>IF($A103="","",IFERROR(INDEX(STG_ZPMW03!$H$6:$H$505,MATCH($A103,STG_ZPMW03!$B$6:$B$505,0)),"n.b."))</f>
        <v/>
      </c>
      <c r="CL103" s="92" t="str">
        <f>IF($A103="","",IFERROR(INDEX(STG_ZPMW03!$E$6:$E$505,MATCH($A103,STG_ZPMW03!$B$6:$B$505,0)),"n.b."))</f>
        <v/>
      </c>
      <c r="CM103" s="92" t="str">
        <f>IF($A103="","",IFERROR(INDEX(STG_ZPMW03!$G$6:$G$505,MATCH($A103,STG_ZPMW03!$B$6:$B$505,0)),"n.b."))</f>
        <v/>
      </c>
      <c r="CN103" s="92" t="str">
        <f>IF($A103="","",IFERROR(INDEX(STG_Woningetalage!$N$6:$N$505,MATCH($A103,STG_Woningetalage!$B$6:$B$505,0)),"n.b."))</f>
        <v/>
      </c>
      <c r="CO103" s="92" t="str">
        <f>IF($A103="","",IFERROR(INDEX(STG_Woningetalage!$P$6:$P$505,MATCH($A103,STG_Woningetalage!$B$6:$B$505,0)),"n.b."))</f>
        <v/>
      </c>
      <c r="CP103" s="118" t="str">
        <f>IF($A103="","",IF(AND(ISNUMBER(AT103),ISNUMBER(F103)),IF(F103&gt;0,AT103/(F103/100),"n.b."),"n.b."))</f>
        <v/>
      </c>
      <c r="CQ103" s="116" t="str">
        <f>IF($A103="","",IF(ISNUMBER(Q103),IF(Q103&lt;0,1,0),0))</f>
        <v/>
      </c>
      <c r="CR103" s="116" t="str">
        <f>IF(CQ103=1,COUNTIF($CQ$6:CQ103,1),"")</f>
        <v/>
      </c>
      <c r="CS103" s="116" t="str">
        <f>IF(AND($A103&lt;&gt;"",$J103=0),COUNTIFS($A$6:$A103,"?*",$J$6:$J103,0),"")</f>
        <v/>
      </c>
      <c r="CT103" s="119" t="str">
        <f>IF($A103="","",IF(AND(ISNUMBER(Q103),ISNUMBER(P103)),IF(P103&lt;&gt;0,Q103/P103,"n.b."),"n.b."))</f>
        <v/>
      </c>
    </row>
    <row r="104">
      <c r="A104" s="92" t="str">
        <f>IF(Mapping!$A103="","",Mapping!$A103)</f>
        <v/>
      </c>
      <c r="B104" s="92" t="str">
        <f>IF(Mapping!$B103="","",Mapping!$B103)</f>
        <v/>
      </c>
      <c r="C104" s="92" t="str">
        <f>IF(Mapping!$C103="","",Mapping!$C103)</f>
        <v/>
      </c>
      <c r="D104" s="92" t="str">
        <f>IF(Mapping!$F103="","",Mapping!$F103)</f>
        <v/>
      </c>
      <c r="E104" s="92" t="str">
        <f>IF(Mapping!$H103="","",Mapping!$H103)</f>
        <v/>
      </c>
      <c r="F104" s="92" t="str">
        <f>IF(Mapping!$E103="","",Mapping!$E103)</f>
        <v/>
      </c>
      <c r="G104" s="92" t="str">
        <f>IF(Mapping!$G103="","",Mapping!$G103)</f>
        <v/>
      </c>
      <c r="H104" s="92" t="str">
        <f>IF(Mapping!$D103="","",Mapping!$D103)</f>
        <v/>
      </c>
      <c r="I104" s="92" t="str">
        <f>IF($A104="","",IFERROR(INDEX(STG_ZPMW03!$C$6:$C$505,MATCH($A104,STG_ZPMW03!$B$6:$B$505,0)),"n.b."))</f>
        <v/>
      </c>
      <c r="J104" s="116" t="str">
        <f>IF($A104="","",COUNTIF(STG_ZPMW03!$B$6:$B$505,$A104))</f>
        <v/>
      </c>
      <c r="K104" s="116" t="str">
        <f>IF($A104="","",COUNTIF(STG_Woningetalage!$B$6:$B$505,$A104))</f>
        <v/>
      </c>
      <c r="L104" s="117" t="str">
        <f>IF($A104="","",IF($J104=0,"n.b.",SUMIFS(STG_ZPMW03!$BK$6:$BK$505,STG_ZPMW03!$B$6:$B$505,$A104)))</f>
        <v/>
      </c>
      <c r="M104" s="117" t="str">
        <f>IF($A104="","",IF($J104=0,"n.b.",SUMIFS(STG_ZPMW03!$BL$6:$BL$505,STG_ZPMW03!$B$6:$B$505,$A104)))</f>
        <v/>
      </c>
      <c r="N104" s="117" t="str">
        <f>IF($A104="","",IF($J104=0,"n.b.",SUMIFS(STG_ZPMW03!$BM$6:$BM$505,STG_ZPMW03!$B$6:$B$505,$A104)))</f>
        <v/>
      </c>
      <c r="O104" s="117" t="str">
        <f>IF($A104="","",IF($J104=0,"n.b.",SUMIFS(STG_ZPMW03!$BN$6:$BN$505,STG_ZPMW03!$B$6:$B$505,$A104)))</f>
        <v/>
      </c>
      <c r="P104" s="117" t="str">
        <f>IF($A104="","",IF($J104=0,"n.b.",SUMIFS(STG_ZPMW03!$BO$6:$BO$505,STG_ZPMW03!$B$6:$B$505,$A104)))</f>
        <v/>
      </c>
      <c r="Q104" s="117" t="str">
        <f>IF($A104="","",IF($J104=0,"n.b.",SUMIFS(STG_ZPMW03!$BP$6:$BP$505,STG_ZPMW03!$B$6:$B$505,$A104)))</f>
        <v/>
      </c>
      <c r="R104" s="117" t="str">
        <f>IF($A104="","",IF($J104=0,"n.b.",SUMIFS(STG_ZPMW03!$BQ$6:$BQ$505,STG_ZPMW03!$B$6:$B$505,$A104)))</f>
        <v/>
      </c>
      <c r="S104" s="117" t="str">
        <f>IF($A104="","",IF($J104=0,"n.b.",SUMIFS(STG_ZPMW03!$BR$6:$BR$505,STG_ZPMW03!$B$6:$B$505,$A104)))</f>
        <v/>
      </c>
      <c r="T104" s="117" t="str">
        <f>IF($A104="","",IF($J104=0,"n.b.",SUMIFS(STG_ZPMW03!$BS$6:$BS$505,STG_ZPMW03!$B$6:$B$505,$A104)))</f>
        <v/>
      </c>
      <c r="U104" s="117" t="str">
        <f>IF($A104="","",IF($J104=0,"n.b.",SUMIFS(STG_ZPMW03!$BT$6:$BT$505,STG_ZPMW03!$B$6:$B$505,$A104)))</f>
        <v/>
      </c>
      <c r="V104" s="117" t="str">
        <f>IF($A104="","",IF($J104=0,"n.b.",SUMIFS(STG_ZPMW03!$BU$6:$BU$505,STG_ZPMW03!$B$6:$B$505,$A104)))</f>
        <v/>
      </c>
      <c r="W104" s="117" t="str">
        <f>IF($A104="","",IF($J104=0,"n.b.",SUMIFS(STG_ZPMW03!$BW$6:$BW$505,STG_ZPMW03!$B$6:$B$505,$A104)))</f>
        <v/>
      </c>
      <c r="X104" s="117" t="str">
        <f>IF($A104="","",IF($J104=0,"n.b.",SUMIFS(STG_ZPMW03!$BY$6:$BY$505,STG_ZPMW03!$B$6:$B$505,$A104)))</f>
        <v/>
      </c>
      <c r="Y104" s="117" t="str">
        <f>IF($A104="","",IF($J104=0,"n.b.",SUMIFS(STG_ZPMW03!$CA$6:$CA$505,STG_ZPMW03!$B$6:$B$505,$A104)))</f>
        <v/>
      </c>
      <c r="Z104" s="117" t="str">
        <f>IF($A104="","",IF($J104=0,"n.b.",SUMIFS(STG_ZPMW03!$BV$6:$BV$505,STG_ZPMW03!$B$6:$B$505,$A104)))</f>
        <v/>
      </c>
      <c r="AA104" s="117" t="str">
        <f>IF($A104="","",IF($J104=0,"n.b.",SUMIFS(STG_ZPMW03!$BX$6:$BX$505,STG_ZPMW03!$B$6:$B$505,$A104)))</f>
        <v/>
      </c>
      <c r="AB104" s="117" t="str">
        <f>IF($A104="","",IF($J104=0,"n.b.",SUMIFS(STG_ZPMW03!$BZ$6:$BZ$505,STG_ZPMW03!$B$6:$B$505,$A104)))</f>
        <v/>
      </c>
      <c r="AC104" s="117" t="str">
        <f>IF($A104="","",IF($J104=0,"n.b.",SUMIFS(STG_ZPMW03!$CB$6:$CB$505,STG_ZPMW03!$B$6:$B$505,$A104)))</f>
        <v/>
      </c>
      <c r="AD104" s="117" t="str">
        <f>IF($A104="","",IF($J104=0,"n.b.",SUMIFS(STG_ZPMW03!$CC$6:$CC$505,STG_ZPMW03!$B$6:$B$505,$A104)))</f>
        <v/>
      </c>
      <c r="AE104" s="117" t="str">
        <f>IF($A104="","",IF($J104=0,"n.b.",SUMIFS(STG_ZPMW03!$CE$6:$CE$505,STG_ZPMW03!$B$6:$B$505,$A104)))</f>
        <v/>
      </c>
      <c r="AF104" s="117" t="str">
        <f>IF($A104="","",IF($J104=0,"n.b.",SUMIFS(STG_ZPMW03!$CG$6:$CG$505,STG_ZPMW03!$B$6:$B$505,$A104)))</f>
        <v/>
      </c>
      <c r="AG104" s="117" t="str">
        <f>IF($A104="","",IF($J104=0,"n.b.",SUMIFS(STG_ZPMW03!$CI$6:$CI$505,STG_ZPMW03!$B$6:$B$505,$A104)))</f>
        <v/>
      </c>
      <c r="AH104" s="117" t="str">
        <f>IF($A104="","",IF($J104=0,"n.b.",SUMIFS(STG_ZPMW03!$CK$6:$CK$505,STG_ZPMW03!$B$6:$B$505,$A104)))</f>
        <v/>
      </c>
      <c r="AI104" s="117" t="str">
        <f>IF($A104="","",IF($J104=0,"n.b.",SUMIFS(STG_ZPMW03!$CM$6:$CM$505,STG_ZPMW03!$B$6:$B$505,$A104)))</f>
        <v/>
      </c>
      <c r="AJ104" s="117" t="str">
        <f>IF($A104="","",IF($J104=0,"n.b.",SUMIFS(STG_ZPMW03!$CO$6:$CO$505,STG_ZPMW03!$B$6:$B$505,$A104)))</f>
        <v/>
      </c>
      <c r="AK104" s="117" t="str">
        <f>IF($A104="","",IF($J104=0,"n.b.",SUMIFS(STG_ZPMW03!$CQ$6:$CQ$505,STG_ZPMW03!$B$6:$B$505,$A104)))</f>
        <v/>
      </c>
      <c r="AL104" s="117" t="str">
        <f>IF($A104="","",IF($J104=0,"n.b.",SUMIFS(STG_ZPMW03!$CD$6:$CD$505,STG_ZPMW03!$B$6:$B$505,$A104)))</f>
        <v/>
      </c>
      <c r="AM104" s="117" t="str">
        <f>IF($A104="","",IF($J104=0,"n.b.",SUMIFS(STG_ZPMW03!$CF$6:$CF$505,STG_ZPMW03!$B$6:$B$505,$A104)))</f>
        <v/>
      </c>
      <c r="AN104" s="117" t="str">
        <f>IF($A104="","",IF($J104=0,"n.b.",SUMIFS(STG_ZPMW03!$CH$6:$CH$505,STG_ZPMW03!$B$6:$B$505,$A104)))</f>
        <v/>
      </c>
      <c r="AO104" s="117" t="str">
        <f>IF($A104="","",IF($J104=0,"n.b.",SUMIFS(STG_ZPMW03!$CJ$6:$CJ$505,STG_ZPMW03!$B$6:$B$505,$A104)))</f>
        <v/>
      </c>
      <c r="AP104" s="117" t="str">
        <f>IF($A104="","",IF($J104=0,"n.b.",SUMIFS(STG_ZPMW03!$CL$6:$CL$505,STG_ZPMW03!$B$6:$B$505,$A104)))</f>
        <v/>
      </c>
      <c r="AQ104" s="117" t="str">
        <f>IF($A104="","",IF($J104=0,"n.b.",SUMIFS(STG_ZPMW03!$CN$6:$CN$505,STG_ZPMW03!$B$6:$B$505,$A104)))</f>
        <v/>
      </c>
      <c r="AR104" s="117" t="str">
        <f>IF($A104="","",IF($J104=0,"n.b.",SUMIFS(STG_ZPMW03!$CP$6:$CP$505,STG_ZPMW03!$B$6:$B$505,$A104)))</f>
        <v/>
      </c>
      <c r="AS104" s="117" t="str">
        <f>IF($A104="","",IF($J104=0,"n.b.",SUMIFS(STG_ZPMW03!$CR$6:$CR$505,STG_ZPMW03!$B$6:$B$505,$A104)))</f>
        <v/>
      </c>
      <c r="AT104" s="117" t="str">
        <f>IF($A104="","",IF($K104=0,"n.b.",SUMIFS(STG_Woningetalage!$Q$6:$Q$505,STG_Woningetalage!$B$6:$B$505,$A104)))</f>
        <v/>
      </c>
      <c r="AU104" s="117" t="str">
        <f>IF($A104="","",IF($K104=0,"n.b.",SUMIFS(STG_Woningetalage!$R$6:$R$505,STG_Woningetalage!$B$6:$B$505,$A104)))</f>
        <v/>
      </c>
      <c r="AV104" s="117" t="str">
        <f>IF($A104="","",IF($K104=0,"n.b.",SUMIFS(STG_Woningetalage!$S$6:$S$505,STG_Woningetalage!$B$6:$B$505,$A104)))</f>
        <v/>
      </c>
      <c r="AW104" s="117" t="str">
        <f>IF($A104="","",IF($K104=0,"n.b.",SUMIFS(STG_Woningetalage!$T$6:$T$505,STG_Woningetalage!$B$6:$B$505,$A104)))</f>
        <v/>
      </c>
      <c r="AX104" s="117" t="str">
        <f>IF($A104="","",IF($K104=0,"n.b.",SUMIFS(STG_Woningetalage!$U$6:$U$505,STG_Woningetalage!$B$6:$B$505,$A104)))</f>
        <v/>
      </c>
      <c r="AY104" s="117" t="str">
        <f>IF($A104="","",IF($K104=0,"n.b.",SUMIFS(STG_Woningetalage!$V$6:$V$505,STG_Woningetalage!$B$6:$B$505,$A104)))</f>
        <v/>
      </c>
      <c r="AZ104" s="117" t="str">
        <f>IF($A104="","",IF($K104=0,"n.b.",SUMIFS(STG_Woningetalage!$W$6:$W$505,STG_Woningetalage!$B$6:$B$505,$A104)))</f>
        <v/>
      </c>
      <c r="BA104" s="117" t="str">
        <f>IF($A104="","",IF($K104=0,"n.b.",SUMIFS(STG_Woningetalage!$X$6:$X$505,STG_Woningetalage!$B$6:$B$505,$A104)))</f>
        <v/>
      </c>
      <c r="BB104" s="117" t="str">
        <f>IF($A104="","",IF($K104=0,"n.b.",SUMIFS(STG_Woningetalage!$Y$6:$Y$505,STG_Woningetalage!$B$6:$B$505,$A104)))</f>
        <v/>
      </c>
      <c r="BC104" s="117" t="str">
        <f>IF($A104="","",IF($K104=0,"n.b.",SUMIFS(STG_Woningetalage!$Z$6:$Z$505,STG_Woningetalage!$B$6:$B$505,$A104)))</f>
        <v/>
      </c>
      <c r="BD104" s="117" t="str">
        <f>IF($A104="","",IF($K104=0,"n.b.",SUMIFS(STG_Woningetalage!$AA$6:$AA$505,STG_Woningetalage!$B$6:$B$505,$A104)))</f>
        <v/>
      </c>
      <c r="BE104" s="117" t="str">
        <f>IF($A104="","",IF($K104=0,"n.b.",SUMIFS(STG_Woningetalage!$AB$6:$AB$505,STG_Woningetalage!$B$6:$B$505,$A104)))</f>
        <v/>
      </c>
      <c r="BF104" s="117" t="str">
        <f>IF($A104="","",IF($K104=0,"n.b.",SUMIFS(STG_Woningetalage!$AC$6:$AC$505,STG_Woningetalage!$B$6:$B$505,$A104)))</f>
        <v/>
      </c>
      <c r="BG104" s="117" t="str">
        <f>IF($A104="","",IF($K104=0,"n.b.",SUMIFS(STG_Woningetalage!$AD$6:$AD$505,STG_Woningetalage!$B$6:$B$505,$A104)))</f>
        <v/>
      </c>
      <c r="BH104" s="117" t="str">
        <f>IF($A104="","",IF($K104=0,"n.b.",SUMIFS(STG_Woningetalage!$AE$6:$AE$505,STG_Woningetalage!$B$6:$B$505,$A104)))</f>
        <v/>
      </c>
      <c r="BI104" s="117" t="str">
        <f>IF($A104="","",IF($K104=0,"n.b.",SUMIFS(STG_Woningetalage!$AF$6:$AF$505,STG_Woningetalage!$B$6:$B$505,$A104)))</f>
        <v/>
      </c>
      <c r="BJ104" s="117" t="str">
        <f>IF($A104="","",IF($K104=0,"n.b.",SUMIFS(STG_Woningetalage!$AG$6:$AG$505,STG_Woningetalage!$B$6:$B$505,$A104)))</f>
        <v/>
      </c>
      <c r="BK104" s="117" t="str">
        <f>IF($A104="","",IF($K104=0,"n.b.",SUMIFS(STG_Woningetalage!$AH$6:$AH$505,STG_Woningetalage!$B$6:$B$505,$A104)))</f>
        <v/>
      </c>
      <c r="BL104" s="117" t="str">
        <f>IF($A104="","",IF($K104=0,"n.b.",SUMIFS(STG_Woningetalage!$AI$6:$AI$505,STG_Woningetalage!$B$6:$B$505,$A104)))</f>
        <v/>
      </c>
      <c r="BM104" s="117" t="str">
        <f>IF($A104="","",IF($K104=0,"n.b.",SUMIFS(STG_Woningetalage!$AJ$6:$AJ$505,STG_Woningetalage!$B$6:$B$505,$A104)))</f>
        <v/>
      </c>
      <c r="BN104" s="117" t="str">
        <f>IF($A104="","",IF($K104=0,"n.b.",SUMIFS(STG_Woningetalage!$AK$6:$AK$505,STG_Woningetalage!$B$6:$B$505,$A104)))</f>
        <v/>
      </c>
      <c r="BO104" s="117" t="str">
        <f>IF($A104="","",IF($K104=0,"n.b.",SUMIFS(STG_Woningetalage!$AL$6:$AL$505,STG_Woningetalage!$B$6:$B$505,$A104)))</f>
        <v/>
      </c>
      <c r="BP104" s="117" t="str">
        <f>IF($A104="","",IF($K104=0,"n.b.",SUMIFS(STG_Woningetalage!$AM$6:$AM$505,STG_Woningetalage!$B$6:$B$505,$A104)))</f>
        <v/>
      </c>
      <c r="BQ104" s="117" t="str">
        <f>IF($A104="","",IF($K104=0,"n.b.",SUMIFS(STG_Woningetalage!$BE$6:$BE$505,STG_Woningetalage!$B$6:$B$505,$A104)))</f>
        <v/>
      </c>
      <c r="BR104" s="117" t="str">
        <f>IF($A104="","",IF($K104=0,"n.b.",SUMIFS(STG_Woningetalage!$BF$6:$BF$505,STG_Woningetalage!$B$6:$B$505,$A104)))</f>
        <v/>
      </c>
      <c r="BS104" s="117" t="str">
        <f>IF($A104="","",IF($K104=0,"n.b.",SUMIFS(STG_Woningetalage!$BG$6:$BG$505,STG_Woningetalage!$B$6:$B$505,$A104)))</f>
        <v/>
      </c>
      <c r="BT104" s="117" t="str">
        <f>IF($A104="","",IF($K104=0,"n.b.",SUMIFS(STG_Woningetalage!$BH$6:$BH$505,STG_Woningetalage!$B$6:$B$505,$A104)))</f>
        <v/>
      </c>
      <c r="BU104" s="117" t="str">
        <f>IF($A104="","",IF($K104=0,"n.b.",SUMIFS(STG_Woningetalage!$BI$6:$BI$505,STG_Woningetalage!$B$6:$B$505,$A104)))</f>
        <v/>
      </c>
      <c r="BV104" s="117" t="str">
        <f>IF($A104="","",IF($K104=0,"n.b.",SUMIFS(STG_Woningetalage!$BJ$6:$BJ$505,STG_Woningetalage!$B$6:$B$505,$A104)))</f>
        <v/>
      </c>
      <c r="BW104" s="117" t="str">
        <f>IF($A104="","",IF($K104=0,"n.b.",SUMIFS(STG_Woningetalage!$AR$6:$AR$505,STG_Woningetalage!$B$6:$B$505,$A104)))</f>
        <v/>
      </c>
      <c r="BX104" s="117" t="str">
        <f>IF($A104="","",IF($K104=0,"n.b.",SUMIFS(STG_Woningetalage!$AS$6:$AS$505,STG_Woningetalage!$B$6:$B$505,$A104)))</f>
        <v/>
      </c>
      <c r="BY104" s="117" t="str">
        <f>IF($A104="","",IF($K104=0,"n.b.",SUMIFS(STG_Woningetalage!$AN$6:$AN$505,STG_Woningetalage!$B$6:$B$505,$A104)))</f>
        <v/>
      </c>
      <c r="BZ104" s="117" t="str">
        <f>IF($A104="","",IF($K104=0,"n.b.",SUMIFS(STG_Woningetalage!$AO$6:$AO$505,STG_Woningetalage!$B$6:$B$505,$A104)))</f>
        <v/>
      </c>
      <c r="CA104" s="117" t="str">
        <f>IF($A104="","",IF($K104=0,"n.b.",SUMIFS(STG_Woningetalage!$AP$6:$AP$505,STG_Woningetalage!$B$6:$B$505,$A104)))</f>
        <v/>
      </c>
      <c r="CB104" s="117" t="str">
        <f>IF($A104="","",IF($K104=0,"n.b.",SUMIFS(STG_Woningetalage!$AQ$6:$AQ$505,STG_Woningetalage!$B$6:$B$505,$A104)))</f>
        <v/>
      </c>
      <c r="CC104" s="117" t="str">
        <f>IF($A104="","",IF($K104=0,"n.b.",SUMIFS(STG_Woningetalage!$AU$6:$AU$505,STG_Woningetalage!$B$6:$B$505,$A104)))</f>
        <v/>
      </c>
      <c r="CD104" s="92" t="str">
        <f>IF($A104="","",IFERROR(INDEX(STG_ZPMW03!$L$6:$L$505,MATCH($A104,STG_ZPMW03!$B$6:$B$505,0)),"n.b."))</f>
        <v/>
      </c>
      <c r="CE104" s="92" t="str">
        <f>IF($A104="","",IFERROR(INDEX(STG_ZPMW03!$K$6:$K$505,MATCH($A104,STG_ZPMW03!$B$6:$B$505,0)),"n.b."))</f>
        <v/>
      </c>
      <c r="CF104" s="92" t="str">
        <f>IF($A104="","",IFERROR(INDEX(STG_ZPMW03!$BH$6:$BH$505,MATCH($A104,STG_ZPMW03!$B$6:$B$505,0)),"n.b."))</f>
        <v/>
      </c>
      <c r="CG104" s="92" t="str">
        <f>IF($A104="","",IFERROR(INDEX(STG_ZPMW03!$BI$6:$BI$505,MATCH($A104,STG_ZPMW03!$B$6:$B$505,0)),"n.b."))</f>
        <v/>
      </c>
      <c r="CH104" s="92" t="str">
        <f>IF($A104="","",IFERROR(INDEX(STG_ZPMW03!$BJ$6:$BJ$505,MATCH($A104,STG_ZPMW03!$B$6:$B$505,0)),"n.b."))</f>
        <v/>
      </c>
      <c r="CI104" s="92" t="str">
        <f>IF($A104="","",IFERROR(INDEX(STG_ZPMW03!$BF$6:$BF$505,MATCH($A104,STG_ZPMW03!$B$6:$B$505,0)),"n.b."))</f>
        <v/>
      </c>
      <c r="CJ104" s="92" t="str">
        <f>IF($A104="","",IFERROR(INDEX(STG_ZPMW03!$BG$6:$BG$505,MATCH($A104,STG_ZPMW03!$B$6:$B$505,0)),"n.b."))</f>
        <v/>
      </c>
      <c r="CK104" s="92" t="str">
        <f>IF($A104="","",IFERROR(INDEX(STG_ZPMW03!$H$6:$H$505,MATCH($A104,STG_ZPMW03!$B$6:$B$505,0)),"n.b."))</f>
        <v/>
      </c>
      <c r="CL104" s="92" t="str">
        <f>IF($A104="","",IFERROR(INDEX(STG_ZPMW03!$E$6:$E$505,MATCH($A104,STG_ZPMW03!$B$6:$B$505,0)),"n.b."))</f>
        <v/>
      </c>
      <c r="CM104" s="92" t="str">
        <f>IF($A104="","",IFERROR(INDEX(STG_ZPMW03!$G$6:$G$505,MATCH($A104,STG_ZPMW03!$B$6:$B$505,0)),"n.b."))</f>
        <v/>
      </c>
      <c r="CN104" s="92" t="str">
        <f>IF($A104="","",IFERROR(INDEX(STG_Woningetalage!$N$6:$N$505,MATCH($A104,STG_Woningetalage!$B$6:$B$505,0)),"n.b."))</f>
        <v/>
      </c>
      <c r="CO104" s="92" t="str">
        <f>IF($A104="","",IFERROR(INDEX(STG_Woningetalage!$P$6:$P$505,MATCH($A104,STG_Woningetalage!$B$6:$B$505,0)),"n.b."))</f>
        <v/>
      </c>
      <c r="CP104" s="118" t="str">
        <f>IF($A104="","",IF(AND(ISNUMBER(AT104),ISNUMBER(F104)),IF(F104&gt;0,AT104/(F104/100),"n.b."),"n.b."))</f>
        <v/>
      </c>
      <c r="CQ104" s="116" t="str">
        <f>IF($A104="","",IF(ISNUMBER(Q104),IF(Q104&lt;0,1,0),0))</f>
        <v/>
      </c>
      <c r="CR104" s="116" t="str">
        <f>IF(CQ104=1,COUNTIF($CQ$6:CQ104,1),"")</f>
        <v/>
      </c>
      <c r="CS104" s="116" t="str">
        <f>IF(AND($A104&lt;&gt;"",$J104=0),COUNTIFS($A$6:$A104,"?*",$J$6:$J104,0),"")</f>
        <v/>
      </c>
      <c r="CT104" s="119" t="str">
        <f>IF($A104="","",IF(AND(ISNUMBER(Q104),ISNUMBER(P104)),IF(P104&lt;&gt;0,Q104/P104,"n.b."),"n.b."))</f>
        <v/>
      </c>
    </row>
    <row r="105">
      <c r="A105" s="92" t="str">
        <f>IF(Mapping!$A104="","",Mapping!$A104)</f>
        <v/>
      </c>
      <c r="B105" s="92" t="str">
        <f>IF(Mapping!$B104="","",Mapping!$B104)</f>
        <v/>
      </c>
      <c r="C105" s="92" t="str">
        <f>IF(Mapping!$C104="","",Mapping!$C104)</f>
        <v/>
      </c>
      <c r="D105" s="92" t="str">
        <f>IF(Mapping!$F104="","",Mapping!$F104)</f>
        <v/>
      </c>
      <c r="E105" s="92" t="str">
        <f>IF(Mapping!$H104="","",Mapping!$H104)</f>
        <v/>
      </c>
      <c r="F105" s="92" t="str">
        <f>IF(Mapping!$E104="","",Mapping!$E104)</f>
        <v/>
      </c>
      <c r="G105" s="92" t="str">
        <f>IF(Mapping!$G104="","",Mapping!$G104)</f>
        <v/>
      </c>
      <c r="H105" s="92" t="str">
        <f>IF(Mapping!$D104="","",Mapping!$D104)</f>
        <v/>
      </c>
      <c r="I105" s="92" t="str">
        <f>IF($A105="","",IFERROR(INDEX(STG_ZPMW03!$C$6:$C$505,MATCH($A105,STG_ZPMW03!$B$6:$B$505,0)),"n.b."))</f>
        <v/>
      </c>
      <c r="J105" s="116" t="str">
        <f>IF($A105="","",COUNTIF(STG_ZPMW03!$B$6:$B$505,$A105))</f>
        <v/>
      </c>
      <c r="K105" s="116" t="str">
        <f>IF($A105="","",COUNTIF(STG_Woningetalage!$B$6:$B$505,$A105))</f>
        <v/>
      </c>
      <c r="L105" s="117" t="str">
        <f>IF($A105="","",IF($J105=0,"n.b.",SUMIFS(STG_ZPMW03!$BK$6:$BK$505,STG_ZPMW03!$B$6:$B$505,$A105)))</f>
        <v/>
      </c>
      <c r="M105" s="117" t="str">
        <f>IF($A105="","",IF($J105=0,"n.b.",SUMIFS(STG_ZPMW03!$BL$6:$BL$505,STG_ZPMW03!$B$6:$B$505,$A105)))</f>
        <v/>
      </c>
      <c r="N105" s="117" t="str">
        <f>IF($A105="","",IF($J105=0,"n.b.",SUMIFS(STG_ZPMW03!$BM$6:$BM$505,STG_ZPMW03!$B$6:$B$505,$A105)))</f>
        <v/>
      </c>
      <c r="O105" s="117" t="str">
        <f>IF($A105="","",IF($J105=0,"n.b.",SUMIFS(STG_ZPMW03!$BN$6:$BN$505,STG_ZPMW03!$B$6:$B$505,$A105)))</f>
        <v/>
      </c>
      <c r="P105" s="117" t="str">
        <f>IF($A105="","",IF($J105=0,"n.b.",SUMIFS(STG_ZPMW03!$BO$6:$BO$505,STG_ZPMW03!$B$6:$B$505,$A105)))</f>
        <v/>
      </c>
      <c r="Q105" s="117" t="str">
        <f>IF($A105="","",IF($J105=0,"n.b.",SUMIFS(STG_ZPMW03!$BP$6:$BP$505,STG_ZPMW03!$B$6:$B$505,$A105)))</f>
        <v/>
      </c>
      <c r="R105" s="117" t="str">
        <f>IF($A105="","",IF($J105=0,"n.b.",SUMIFS(STG_ZPMW03!$BQ$6:$BQ$505,STG_ZPMW03!$B$6:$B$505,$A105)))</f>
        <v/>
      </c>
      <c r="S105" s="117" t="str">
        <f>IF($A105="","",IF($J105=0,"n.b.",SUMIFS(STG_ZPMW03!$BR$6:$BR$505,STG_ZPMW03!$B$6:$B$505,$A105)))</f>
        <v/>
      </c>
      <c r="T105" s="117" t="str">
        <f>IF($A105="","",IF($J105=0,"n.b.",SUMIFS(STG_ZPMW03!$BS$6:$BS$505,STG_ZPMW03!$B$6:$B$505,$A105)))</f>
        <v/>
      </c>
      <c r="U105" s="117" t="str">
        <f>IF($A105="","",IF($J105=0,"n.b.",SUMIFS(STG_ZPMW03!$BT$6:$BT$505,STG_ZPMW03!$B$6:$B$505,$A105)))</f>
        <v/>
      </c>
      <c r="V105" s="117" t="str">
        <f>IF($A105="","",IF($J105=0,"n.b.",SUMIFS(STG_ZPMW03!$BU$6:$BU$505,STG_ZPMW03!$B$6:$B$505,$A105)))</f>
        <v/>
      </c>
      <c r="W105" s="117" t="str">
        <f>IF($A105="","",IF($J105=0,"n.b.",SUMIFS(STG_ZPMW03!$BW$6:$BW$505,STG_ZPMW03!$B$6:$B$505,$A105)))</f>
        <v/>
      </c>
      <c r="X105" s="117" t="str">
        <f>IF($A105="","",IF($J105=0,"n.b.",SUMIFS(STG_ZPMW03!$BY$6:$BY$505,STG_ZPMW03!$B$6:$B$505,$A105)))</f>
        <v/>
      </c>
      <c r="Y105" s="117" t="str">
        <f>IF($A105="","",IF($J105=0,"n.b.",SUMIFS(STG_ZPMW03!$CA$6:$CA$505,STG_ZPMW03!$B$6:$B$505,$A105)))</f>
        <v/>
      </c>
      <c r="Z105" s="117" t="str">
        <f>IF($A105="","",IF($J105=0,"n.b.",SUMIFS(STG_ZPMW03!$BV$6:$BV$505,STG_ZPMW03!$B$6:$B$505,$A105)))</f>
        <v/>
      </c>
      <c r="AA105" s="117" t="str">
        <f>IF($A105="","",IF($J105=0,"n.b.",SUMIFS(STG_ZPMW03!$BX$6:$BX$505,STG_ZPMW03!$B$6:$B$505,$A105)))</f>
        <v/>
      </c>
      <c r="AB105" s="117" t="str">
        <f>IF($A105="","",IF($J105=0,"n.b.",SUMIFS(STG_ZPMW03!$BZ$6:$BZ$505,STG_ZPMW03!$B$6:$B$505,$A105)))</f>
        <v/>
      </c>
      <c r="AC105" s="117" t="str">
        <f>IF($A105="","",IF($J105=0,"n.b.",SUMIFS(STG_ZPMW03!$CB$6:$CB$505,STG_ZPMW03!$B$6:$B$505,$A105)))</f>
        <v/>
      </c>
      <c r="AD105" s="117" t="str">
        <f>IF($A105="","",IF($J105=0,"n.b.",SUMIFS(STG_ZPMW03!$CC$6:$CC$505,STG_ZPMW03!$B$6:$B$505,$A105)))</f>
        <v/>
      </c>
      <c r="AE105" s="117" t="str">
        <f>IF($A105="","",IF($J105=0,"n.b.",SUMIFS(STG_ZPMW03!$CE$6:$CE$505,STG_ZPMW03!$B$6:$B$505,$A105)))</f>
        <v/>
      </c>
      <c r="AF105" s="117" t="str">
        <f>IF($A105="","",IF($J105=0,"n.b.",SUMIFS(STG_ZPMW03!$CG$6:$CG$505,STG_ZPMW03!$B$6:$B$505,$A105)))</f>
        <v/>
      </c>
      <c r="AG105" s="117" t="str">
        <f>IF($A105="","",IF($J105=0,"n.b.",SUMIFS(STG_ZPMW03!$CI$6:$CI$505,STG_ZPMW03!$B$6:$B$505,$A105)))</f>
        <v/>
      </c>
      <c r="AH105" s="117" t="str">
        <f>IF($A105="","",IF($J105=0,"n.b.",SUMIFS(STG_ZPMW03!$CK$6:$CK$505,STG_ZPMW03!$B$6:$B$505,$A105)))</f>
        <v/>
      </c>
      <c r="AI105" s="117" t="str">
        <f>IF($A105="","",IF($J105=0,"n.b.",SUMIFS(STG_ZPMW03!$CM$6:$CM$505,STG_ZPMW03!$B$6:$B$505,$A105)))</f>
        <v/>
      </c>
      <c r="AJ105" s="117" t="str">
        <f>IF($A105="","",IF($J105=0,"n.b.",SUMIFS(STG_ZPMW03!$CO$6:$CO$505,STG_ZPMW03!$B$6:$B$505,$A105)))</f>
        <v/>
      </c>
      <c r="AK105" s="117" t="str">
        <f>IF($A105="","",IF($J105=0,"n.b.",SUMIFS(STG_ZPMW03!$CQ$6:$CQ$505,STG_ZPMW03!$B$6:$B$505,$A105)))</f>
        <v/>
      </c>
      <c r="AL105" s="117" t="str">
        <f>IF($A105="","",IF($J105=0,"n.b.",SUMIFS(STG_ZPMW03!$CD$6:$CD$505,STG_ZPMW03!$B$6:$B$505,$A105)))</f>
        <v/>
      </c>
      <c r="AM105" s="117" t="str">
        <f>IF($A105="","",IF($J105=0,"n.b.",SUMIFS(STG_ZPMW03!$CF$6:$CF$505,STG_ZPMW03!$B$6:$B$505,$A105)))</f>
        <v/>
      </c>
      <c r="AN105" s="117" t="str">
        <f>IF($A105="","",IF($J105=0,"n.b.",SUMIFS(STG_ZPMW03!$CH$6:$CH$505,STG_ZPMW03!$B$6:$B$505,$A105)))</f>
        <v/>
      </c>
      <c r="AO105" s="117" t="str">
        <f>IF($A105="","",IF($J105=0,"n.b.",SUMIFS(STG_ZPMW03!$CJ$6:$CJ$505,STG_ZPMW03!$B$6:$B$505,$A105)))</f>
        <v/>
      </c>
      <c r="AP105" s="117" t="str">
        <f>IF($A105="","",IF($J105=0,"n.b.",SUMIFS(STG_ZPMW03!$CL$6:$CL$505,STG_ZPMW03!$B$6:$B$505,$A105)))</f>
        <v/>
      </c>
      <c r="AQ105" s="117" t="str">
        <f>IF($A105="","",IF($J105=0,"n.b.",SUMIFS(STG_ZPMW03!$CN$6:$CN$505,STG_ZPMW03!$B$6:$B$505,$A105)))</f>
        <v/>
      </c>
      <c r="AR105" s="117" t="str">
        <f>IF($A105="","",IF($J105=0,"n.b.",SUMIFS(STG_ZPMW03!$CP$6:$CP$505,STG_ZPMW03!$B$6:$B$505,$A105)))</f>
        <v/>
      </c>
      <c r="AS105" s="117" t="str">
        <f>IF($A105="","",IF($J105=0,"n.b.",SUMIFS(STG_ZPMW03!$CR$6:$CR$505,STG_ZPMW03!$B$6:$B$505,$A105)))</f>
        <v/>
      </c>
      <c r="AT105" s="117" t="str">
        <f>IF($A105="","",IF($K105=0,"n.b.",SUMIFS(STG_Woningetalage!$Q$6:$Q$505,STG_Woningetalage!$B$6:$B$505,$A105)))</f>
        <v/>
      </c>
      <c r="AU105" s="117" t="str">
        <f>IF($A105="","",IF($K105=0,"n.b.",SUMIFS(STG_Woningetalage!$R$6:$R$505,STG_Woningetalage!$B$6:$B$505,$A105)))</f>
        <v/>
      </c>
      <c r="AV105" s="117" t="str">
        <f>IF($A105="","",IF($K105=0,"n.b.",SUMIFS(STG_Woningetalage!$S$6:$S$505,STG_Woningetalage!$B$6:$B$505,$A105)))</f>
        <v/>
      </c>
      <c r="AW105" s="117" t="str">
        <f>IF($A105="","",IF($K105=0,"n.b.",SUMIFS(STG_Woningetalage!$T$6:$T$505,STG_Woningetalage!$B$6:$B$505,$A105)))</f>
        <v/>
      </c>
      <c r="AX105" s="117" t="str">
        <f>IF($A105="","",IF($K105=0,"n.b.",SUMIFS(STG_Woningetalage!$U$6:$U$505,STG_Woningetalage!$B$6:$B$505,$A105)))</f>
        <v/>
      </c>
      <c r="AY105" s="117" t="str">
        <f>IF($A105="","",IF($K105=0,"n.b.",SUMIFS(STG_Woningetalage!$V$6:$V$505,STG_Woningetalage!$B$6:$B$505,$A105)))</f>
        <v/>
      </c>
      <c r="AZ105" s="117" t="str">
        <f>IF($A105="","",IF($K105=0,"n.b.",SUMIFS(STG_Woningetalage!$W$6:$W$505,STG_Woningetalage!$B$6:$B$505,$A105)))</f>
        <v/>
      </c>
      <c r="BA105" s="117" t="str">
        <f>IF($A105="","",IF($K105=0,"n.b.",SUMIFS(STG_Woningetalage!$X$6:$X$505,STG_Woningetalage!$B$6:$B$505,$A105)))</f>
        <v/>
      </c>
      <c r="BB105" s="117" t="str">
        <f>IF($A105="","",IF($K105=0,"n.b.",SUMIFS(STG_Woningetalage!$Y$6:$Y$505,STG_Woningetalage!$B$6:$B$505,$A105)))</f>
        <v/>
      </c>
      <c r="BC105" s="117" t="str">
        <f>IF($A105="","",IF($K105=0,"n.b.",SUMIFS(STG_Woningetalage!$Z$6:$Z$505,STG_Woningetalage!$B$6:$B$505,$A105)))</f>
        <v/>
      </c>
      <c r="BD105" s="117" t="str">
        <f>IF($A105="","",IF($K105=0,"n.b.",SUMIFS(STG_Woningetalage!$AA$6:$AA$505,STG_Woningetalage!$B$6:$B$505,$A105)))</f>
        <v/>
      </c>
      <c r="BE105" s="117" t="str">
        <f>IF($A105="","",IF($K105=0,"n.b.",SUMIFS(STG_Woningetalage!$AB$6:$AB$505,STG_Woningetalage!$B$6:$B$505,$A105)))</f>
        <v/>
      </c>
      <c r="BF105" s="117" t="str">
        <f>IF($A105="","",IF($K105=0,"n.b.",SUMIFS(STG_Woningetalage!$AC$6:$AC$505,STG_Woningetalage!$B$6:$B$505,$A105)))</f>
        <v/>
      </c>
      <c r="BG105" s="117" t="str">
        <f>IF($A105="","",IF($K105=0,"n.b.",SUMIFS(STG_Woningetalage!$AD$6:$AD$505,STG_Woningetalage!$B$6:$B$505,$A105)))</f>
        <v/>
      </c>
      <c r="BH105" s="117" t="str">
        <f>IF($A105="","",IF($K105=0,"n.b.",SUMIFS(STG_Woningetalage!$AE$6:$AE$505,STG_Woningetalage!$B$6:$B$505,$A105)))</f>
        <v/>
      </c>
      <c r="BI105" s="117" t="str">
        <f>IF($A105="","",IF($K105=0,"n.b.",SUMIFS(STG_Woningetalage!$AF$6:$AF$505,STG_Woningetalage!$B$6:$B$505,$A105)))</f>
        <v/>
      </c>
      <c r="BJ105" s="117" t="str">
        <f>IF($A105="","",IF($K105=0,"n.b.",SUMIFS(STG_Woningetalage!$AG$6:$AG$505,STG_Woningetalage!$B$6:$B$505,$A105)))</f>
        <v/>
      </c>
      <c r="BK105" s="117" t="str">
        <f>IF($A105="","",IF($K105=0,"n.b.",SUMIFS(STG_Woningetalage!$AH$6:$AH$505,STG_Woningetalage!$B$6:$B$505,$A105)))</f>
        <v/>
      </c>
      <c r="BL105" s="117" t="str">
        <f>IF($A105="","",IF($K105=0,"n.b.",SUMIFS(STG_Woningetalage!$AI$6:$AI$505,STG_Woningetalage!$B$6:$B$505,$A105)))</f>
        <v/>
      </c>
      <c r="BM105" s="117" t="str">
        <f>IF($A105="","",IF($K105=0,"n.b.",SUMIFS(STG_Woningetalage!$AJ$6:$AJ$505,STG_Woningetalage!$B$6:$B$505,$A105)))</f>
        <v/>
      </c>
      <c r="BN105" s="117" t="str">
        <f>IF($A105="","",IF($K105=0,"n.b.",SUMIFS(STG_Woningetalage!$AK$6:$AK$505,STG_Woningetalage!$B$6:$B$505,$A105)))</f>
        <v/>
      </c>
      <c r="BO105" s="117" t="str">
        <f>IF($A105="","",IF($K105=0,"n.b.",SUMIFS(STG_Woningetalage!$AL$6:$AL$505,STG_Woningetalage!$B$6:$B$505,$A105)))</f>
        <v/>
      </c>
      <c r="BP105" s="117" t="str">
        <f>IF($A105="","",IF($K105=0,"n.b.",SUMIFS(STG_Woningetalage!$AM$6:$AM$505,STG_Woningetalage!$B$6:$B$505,$A105)))</f>
        <v/>
      </c>
      <c r="BQ105" s="117" t="str">
        <f>IF($A105="","",IF($K105=0,"n.b.",SUMIFS(STG_Woningetalage!$BE$6:$BE$505,STG_Woningetalage!$B$6:$B$505,$A105)))</f>
        <v/>
      </c>
      <c r="BR105" s="117" t="str">
        <f>IF($A105="","",IF($K105=0,"n.b.",SUMIFS(STG_Woningetalage!$BF$6:$BF$505,STG_Woningetalage!$B$6:$B$505,$A105)))</f>
        <v/>
      </c>
      <c r="BS105" s="117" t="str">
        <f>IF($A105="","",IF($K105=0,"n.b.",SUMIFS(STG_Woningetalage!$BG$6:$BG$505,STG_Woningetalage!$B$6:$B$505,$A105)))</f>
        <v/>
      </c>
      <c r="BT105" s="117" t="str">
        <f>IF($A105="","",IF($K105=0,"n.b.",SUMIFS(STG_Woningetalage!$BH$6:$BH$505,STG_Woningetalage!$B$6:$B$505,$A105)))</f>
        <v/>
      </c>
      <c r="BU105" s="117" t="str">
        <f>IF($A105="","",IF($K105=0,"n.b.",SUMIFS(STG_Woningetalage!$BI$6:$BI$505,STG_Woningetalage!$B$6:$B$505,$A105)))</f>
        <v/>
      </c>
      <c r="BV105" s="117" t="str">
        <f>IF($A105="","",IF($K105=0,"n.b.",SUMIFS(STG_Woningetalage!$BJ$6:$BJ$505,STG_Woningetalage!$B$6:$B$505,$A105)))</f>
        <v/>
      </c>
      <c r="BW105" s="117" t="str">
        <f>IF($A105="","",IF($K105=0,"n.b.",SUMIFS(STG_Woningetalage!$AR$6:$AR$505,STG_Woningetalage!$B$6:$B$505,$A105)))</f>
        <v/>
      </c>
      <c r="BX105" s="117" t="str">
        <f>IF($A105="","",IF($K105=0,"n.b.",SUMIFS(STG_Woningetalage!$AS$6:$AS$505,STG_Woningetalage!$B$6:$B$505,$A105)))</f>
        <v/>
      </c>
      <c r="BY105" s="117" t="str">
        <f>IF($A105="","",IF($K105=0,"n.b.",SUMIFS(STG_Woningetalage!$AN$6:$AN$505,STG_Woningetalage!$B$6:$B$505,$A105)))</f>
        <v/>
      </c>
      <c r="BZ105" s="117" t="str">
        <f>IF($A105="","",IF($K105=0,"n.b.",SUMIFS(STG_Woningetalage!$AO$6:$AO$505,STG_Woningetalage!$B$6:$B$505,$A105)))</f>
        <v/>
      </c>
      <c r="CA105" s="117" t="str">
        <f>IF($A105="","",IF($K105=0,"n.b.",SUMIFS(STG_Woningetalage!$AP$6:$AP$505,STG_Woningetalage!$B$6:$B$505,$A105)))</f>
        <v/>
      </c>
      <c r="CB105" s="117" t="str">
        <f>IF($A105="","",IF($K105=0,"n.b.",SUMIFS(STG_Woningetalage!$AQ$6:$AQ$505,STG_Woningetalage!$B$6:$B$505,$A105)))</f>
        <v/>
      </c>
      <c r="CC105" s="117" t="str">
        <f>IF($A105="","",IF($K105=0,"n.b.",SUMIFS(STG_Woningetalage!$AU$6:$AU$505,STG_Woningetalage!$B$6:$B$505,$A105)))</f>
        <v/>
      </c>
      <c r="CD105" s="92" t="str">
        <f>IF($A105="","",IFERROR(INDEX(STG_ZPMW03!$L$6:$L$505,MATCH($A105,STG_ZPMW03!$B$6:$B$505,0)),"n.b."))</f>
        <v/>
      </c>
      <c r="CE105" s="92" t="str">
        <f>IF($A105="","",IFERROR(INDEX(STG_ZPMW03!$K$6:$K$505,MATCH($A105,STG_ZPMW03!$B$6:$B$505,0)),"n.b."))</f>
        <v/>
      </c>
      <c r="CF105" s="92" t="str">
        <f>IF($A105="","",IFERROR(INDEX(STG_ZPMW03!$BH$6:$BH$505,MATCH($A105,STG_ZPMW03!$B$6:$B$505,0)),"n.b."))</f>
        <v/>
      </c>
      <c r="CG105" s="92" t="str">
        <f>IF($A105="","",IFERROR(INDEX(STG_ZPMW03!$BI$6:$BI$505,MATCH($A105,STG_ZPMW03!$B$6:$B$505,0)),"n.b."))</f>
        <v/>
      </c>
      <c r="CH105" s="92" t="str">
        <f>IF($A105="","",IFERROR(INDEX(STG_ZPMW03!$BJ$6:$BJ$505,MATCH($A105,STG_ZPMW03!$B$6:$B$505,0)),"n.b."))</f>
        <v/>
      </c>
      <c r="CI105" s="92" t="str">
        <f>IF($A105="","",IFERROR(INDEX(STG_ZPMW03!$BF$6:$BF$505,MATCH($A105,STG_ZPMW03!$B$6:$B$505,0)),"n.b."))</f>
        <v/>
      </c>
      <c r="CJ105" s="92" t="str">
        <f>IF($A105="","",IFERROR(INDEX(STG_ZPMW03!$BG$6:$BG$505,MATCH($A105,STG_ZPMW03!$B$6:$B$505,0)),"n.b."))</f>
        <v/>
      </c>
      <c r="CK105" s="92" t="str">
        <f>IF($A105="","",IFERROR(INDEX(STG_ZPMW03!$H$6:$H$505,MATCH($A105,STG_ZPMW03!$B$6:$B$505,0)),"n.b."))</f>
        <v/>
      </c>
      <c r="CL105" s="92" t="str">
        <f>IF($A105="","",IFERROR(INDEX(STG_ZPMW03!$E$6:$E$505,MATCH($A105,STG_ZPMW03!$B$6:$B$505,0)),"n.b."))</f>
        <v/>
      </c>
      <c r="CM105" s="92" t="str">
        <f>IF($A105="","",IFERROR(INDEX(STG_ZPMW03!$G$6:$G$505,MATCH($A105,STG_ZPMW03!$B$6:$B$505,0)),"n.b."))</f>
        <v/>
      </c>
      <c r="CN105" s="92" t="str">
        <f>IF($A105="","",IFERROR(INDEX(STG_Woningetalage!$N$6:$N$505,MATCH($A105,STG_Woningetalage!$B$6:$B$505,0)),"n.b."))</f>
        <v/>
      </c>
      <c r="CO105" s="92" t="str">
        <f>IF($A105="","",IFERROR(INDEX(STG_Woningetalage!$P$6:$P$505,MATCH($A105,STG_Woningetalage!$B$6:$B$505,0)),"n.b."))</f>
        <v/>
      </c>
      <c r="CP105" s="118" t="str">
        <f>IF($A105="","",IF(AND(ISNUMBER(AT105),ISNUMBER(F105)),IF(F105&gt;0,AT105/(F105/100),"n.b."),"n.b."))</f>
        <v/>
      </c>
      <c r="CQ105" s="116" t="str">
        <f>IF($A105="","",IF(ISNUMBER(Q105),IF(Q105&lt;0,1,0),0))</f>
        <v/>
      </c>
      <c r="CR105" s="116" t="str">
        <f>IF(CQ105=1,COUNTIF($CQ$6:CQ105,1),"")</f>
        <v/>
      </c>
      <c r="CS105" s="116" t="str">
        <f>IF(AND($A105&lt;&gt;"",$J105=0),COUNTIFS($A$6:$A105,"?*",$J$6:$J105,0),"")</f>
        <v/>
      </c>
      <c r="CT105" s="119" t="str">
        <f>IF($A105="","",IF(AND(ISNUMBER(Q105),ISNUMBER(P105)),IF(P105&lt;&gt;0,Q105/P105,"n.b."),"n.b."))</f>
        <v/>
      </c>
    </row>
  </sheetData>
  <pageMargins left="0.75" right="0.75" top="1" bottom="1" header="0.5" footer="0.5"/>
</worksheet>
</file>

<file path=xl/worksheets/sheet17.xml><?xml version="1.0" encoding="utf-8"?>
<worksheet xmlns="http://schemas.openxmlformats.org/spreadsheetml/2006/main">
  <sheetPr>
    <tabColor rgb="006B7385"/>
    <outlinePr summaryBelow="1" summaryRight="1"/>
    <pageSetUpPr/>
  </sheetPr>
  <dimension ref="A1:AL21"/>
  <sheetViews>
    <sheetView showGridLines="0" zoomScale="8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14" customWidth="1" min="2" max="2"/>
  </cols>
  <sheetData>
    <row r="1">
      <c r="A1" s="31" t="inlineStr">
        <is>
          <t>CALC_Versies — totalen per versie (niet invullen). Versierijen lezen uitsluitend actieve, vastgestelde regels uit Vastlegging; 'Upload' leest de huidige bron.</t>
        </is>
      </c>
    </row>
    <row r="2">
      <c r="A2" s="3" t="inlineStr">
        <is>
          <t>Selectie komt van het Dashboard (doeljaar, versie, type, project). Regio-kolommen negeren type/projectfilter; gefilterde kolommen niet.</t>
        </is>
      </c>
    </row>
    <row r="4" ht="44" customHeight="1">
      <c r="A4" s="32" t="inlineStr">
        <is>
          <t>Versie</t>
        </is>
      </c>
      <c r="B4" s="33" t="inlineStr">
        <is>
          <t>Bron</t>
        </is>
      </c>
      <c r="C4" s="33" t="inlineStr">
        <is>
          <t># regels omzet FY</t>
        </is>
      </c>
      <c r="D4" s="33" t="inlineStr">
        <is>
          <t># regels actual</t>
        </is>
      </c>
      <c r="E4" s="33" t="inlineStr">
        <is>
          <t># regels woningen</t>
        </is>
      </c>
      <c r="F4" s="33" t="inlineStr">
        <is>
          <t># correcties (rev&gt;0)</t>
        </is>
      </c>
      <c r="G4" s="33" t="inlineStr">
        <is>
          <t>Omzet opstal FY</t>
        </is>
      </c>
      <c r="H4" s="33" t="inlineStr">
        <is>
          <t>Omzet deelnemingen FY</t>
        </is>
      </c>
      <c r="I4" s="33" t="inlineStr">
        <is>
          <t>BOR opstal FY</t>
        </is>
      </c>
      <c r="J4" s="33" t="inlineStr">
        <is>
          <t>BOR deelnemingen FY</t>
        </is>
      </c>
      <c r="K4" s="33" t="inlineStr">
        <is>
          <t>Omzet opstal actual YTD</t>
        </is>
      </c>
      <c r="L4" s="33" t="inlineStr">
        <is>
          <t>Omzet deelnemingen actual YTD</t>
        </is>
      </c>
      <c r="M4" s="33" t="inlineStr">
        <is>
          <t>BOR opstal actual YTD</t>
        </is>
      </c>
      <c r="N4" s="33" t="inlineStr">
        <is>
          <t>BOR deelnemingen actual YTD</t>
        </is>
      </c>
      <c r="O4" s="33" t="inlineStr">
        <is>
          <t>Omzet projecten IFRS=N (memo)</t>
        </is>
      </c>
      <c r="P4" s="33" t="inlineStr">
        <is>
          <t>BOR projecten IFRS=N (memo)</t>
        </is>
      </c>
      <c r="Q4" s="33" t="inlineStr">
        <is>
          <t>Woningverkopen FY</t>
        </is>
      </c>
      <c r="R4" s="33" t="inlineStr">
        <is>
          <t>Woningverkopen actual YTD</t>
        </is>
      </c>
      <c r="S4" s="33" t="inlineStr">
        <is>
          <t>Omzet FY (filter)</t>
        </is>
      </c>
      <c r="T4" s="33" t="inlineStr">
        <is>
          <t>BOR FY (filter)</t>
        </is>
      </c>
      <c r="U4" s="33" t="inlineStr">
        <is>
          <t>Omzet actual YTD (filter)</t>
        </is>
      </c>
      <c r="V4" s="33" t="inlineStr">
        <is>
          <t>BOR actual YTD (filter)</t>
        </is>
      </c>
      <c r="W4" s="33" t="inlineStr">
        <is>
          <t>Woningverkopen FY (filter)</t>
        </is>
      </c>
      <c r="X4" s="33" t="inlineStr">
        <is>
          <t>Woningverkopen actual YTD (filter)</t>
        </is>
      </c>
      <c r="Y4" s="33" t="inlineStr">
        <is>
          <t>Taakstelling omzet FY (aanvullend)</t>
        </is>
      </c>
      <c r="Z4" s="33" t="inlineStr">
        <is>
          <t>Interne eliminaties FY (aanvullend)</t>
        </is>
      </c>
      <c r="AA4" s="33" t="inlineStr">
        <is>
          <t>IFRS-eliminaties FY (aanvullend)</t>
        </is>
      </c>
      <c r="AB4" s="33" t="inlineStr">
        <is>
          <t>AK-dekking FY (aanvullend)</t>
        </is>
      </c>
      <c r="AC4" s="33" t="inlineStr">
        <is>
          <t>Fees FY (aanvullend)</t>
        </is>
      </c>
      <c r="AD4" s="33" t="inlineStr">
        <is>
          <t>Overige resultaten FY (aanvullend)</t>
        </is>
      </c>
      <c r="AE4" s="33" t="inlineStr">
        <is>
          <t>Taakstelling EBIT FY (aanvullend)</t>
        </is>
      </c>
      <c r="AF4" s="33" t="inlineStr">
        <is>
          <t>Taakstelling omzet actual YTD (aanvullend)</t>
        </is>
      </c>
      <c r="AG4" s="33" t="inlineStr">
        <is>
          <t>Interne eliminaties actual YTD (aanvullend)</t>
        </is>
      </c>
      <c r="AH4" s="33" t="inlineStr">
        <is>
          <t>IFRS-eliminaties actual YTD (aanvullend)</t>
        </is>
      </c>
      <c r="AI4" s="33" t="inlineStr">
        <is>
          <t>AK-dekking actual YTD (aanvullend)</t>
        </is>
      </c>
      <c r="AJ4" s="33" t="inlineStr">
        <is>
          <t>Fees actual YTD (aanvullend)</t>
        </is>
      </c>
      <c r="AK4" s="33" t="inlineStr">
        <is>
          <t>Overige resultaten actual YTD (aanvullend)</t>
        </is>
      </c>
      <c r="AL4" s="33" t="inlineStr">
        <is>
          <t>Taakstelling EBIT actual YTD (aanvullend)</t>
        </is>
      </c>
    </row>
    <row r="5">
      <c r="A5" s="92" t="inlineStr">
        <is>
          <t>Budget</t>
        </is>
      </c>
      <c r="B5" s="92" t="str">
        <f>IF(C5&gt;0,"Vastgesteld","n.b.")</f>
        <v>Vastgesteld</v>
      </c>
      <c r="C5" s="117">
        <f>COUNTIFS(L_Actief,1,L_Doeljaar,Sel_Doeljaar,L_Versiejaar,P_VJ,L_Versie,$A5,L_Kengetal,"Omzet FY")</f>
        <v>20</v>
      </c>
      <c r="D5" s="117">
        <f>COUNTIFS(L_Actief,1,L_Doeljaar,Sel_Doeljaar,L_Versiejaar,P_VJ,L_Versie,$A5,L_Kengetal,"Omzet actual YTD")</f>
        <v>0</v>
      </c>
      <c r="E5" s="117">
        <f>COUNTIFS(L_Actief,1,L_Doeljaar,Sel_Doeljaar,L_Versiejaar,P_VJ,L_Versie,$A5,L_Kengetal,"Woningverkopen FY")</f>
        <v>20</v>
      </c>
      <c r="F5" s="117">
        <f>COUNTIFS(L_Actief,1,L_Doeljaar,Sel_Doeljaar,L_Versiejaar,P_VJ,L_Versie,$A5,L_Revisie,"&gt;0")</f>
        <v>0</v>
      </c>
      <c r="G5" s="117">
        <f>IF($C5=0,"n.b.",SUMIFS(L_Waarde,L_Actief,1,L_Doeljaar,Sel_Doeljaar,L_Versiejaar,P_VJ,L_Versie,$A5,L_Kengetal,"Omzet FY",L_Type,"Opstal"))</f>
        <v>113431260</v>
      </c>
      <c r="H5" s="117">
        <f>IF($C5=0,"n.b.",SUMIFS(L_Waarde,L_Actief,1,L_Doeljaar,Sel_Doeljaar,L_Versiejaar,P_VJ,L_Versie,$A5,L_Kengetal,"Omzet FY",L_Type,"Deelneming"))</f>
        <v>5094180</v>
      </c>
      <c r="I5" s="117">
        <f>IF($C5=0,"n.b.",SUMIFS(L_Waarde,L_Actief,1,L_Doeljaar,Sel_Doeljaar,L_Versiejaar,P_VJ,L_Versie,$A5,L_Kengetal,"BOR FY",L_Type,"Opstal"))</f>
        <v>10424156.2</v>
      </c>
      <c r="J5" s="117">
        <f>IF($C5=0,"n.b.",SUMIFS(L_Waarde,L_Actief,1,L_Doeljaar,Sel_Doeljaar,L_Versiejaar,P_VJ,L_Versie,$A5,L_Kengetal,"BOR FY",L_Type,"Deelneming"))</f>
        <v>345718.8</v>
      </c>
      <c r="K5" s="117" t="str">
        <f>IF(Sel_Doeljaar&gt;P_VJ,"n.v.t.",IF(COUNTIFS(L_Actief,1,L_Doeljaar,Sel_Doeljaar,L_Versiejaar,P_VJ,L_Versie,$A5,L_Kengetal,"Omzet actual YTD")=0,"n.b.",SUMIFS(L_Waarde,L_Actief,1,L_Doeljaar,Sel_Doeljaar,L_Versiejaar,P_VJ,L_Versie,$A5,L_Kengetal,"Omzet actual YTD",L_Type,"Opstal")))</f>
        <v>n.b.</v>
      </c>
      <c r="L5" s="117" t="str">
        <f>IF(Sel_Doeljaar&gt;P_VJ,"n.v.t.",IF(COUNTIFS(L_Actief,1,L_Doeljaar,Sel_Doeljaar,L_Versiejaar,P_VJ,L_Versie,$A5,L_Kengetal,"Omzet actual YTD")=0,"n.b.",SUMIFS(L_Waarde,L_Actief,1,L_Doeljaar,Sel_Doeljaar,L_Versiejaar,P_VJ,L_Versie,$A5,L_Kengetal,"Omzet actual YTD",L_Type,"Deelneming")))</f>
        <v>n.b.</v>
      </c>
      <c r="M5" s="117" t="str">
        <f>IF(Sel_Doeljaar&gt;P_VJ,"n.v.t.",IF(COUNTIFS(L_Actief,1,L_Doeljaar,Sel_Doeljaar,L_Versiejaar,P_VJ,L_Versie,$A5,L_Kengetal,"BOR actual YTD")=0,"n.b.",SUMIFS(L_Waarde,L_Actief,1,L_Doeljaar,Sel_Doeljaar,L_Versiejaar,P_VJ,L_Versie,$A5,L_Kengetal,"BOR actual YTD",L_Type,"Opstal")))</f>
        <v>n.b.</v>
      </c>
      <c r="N5" s="117" t="str">
        <f>IF(Sel_Doeljaar&gt;P_VJ,"n.v.t.",IF(COUNTIFS(L_Actief,1,L_Doeljaar,Sel_Doeljaar,L_Versiejaar,P_VJ,L_Versie,$A5,L_Kengetal,"BOR actual YTD")=0,"n.b.",SUMIFS(L_Waarde,L_Actief,1,L_Doeljaar,Sel_Doeljaar,L_Versiejaar,P_VJ,L_Versie,$A5,L_Kengetal,"BOR actual YTD",L_Type,"Deelneming")))</f>
        <v>n.b.</v>
      </c>
      <c r="O5" s="117">
        <f>IF($C5=0,"n.b.",SUMIFS(L_Waarde,L_Actief,1,L_Doeljaar,Sel_Doeljaar,L_Versiejaar,P_VJ,L_Versie,$A5,L_Kengetal,"Omzet FY",L_IFRS,"N"))</f>
        <v>5094180</v>
      </c>
      <c r="P5" s="117">
        <f>IF($C5=0,"n.b.",SUMIFS(L_Waarde,L_Actief,1,L_Doeljaar,Sel_Doeljaar,L_Versiejaar,P_VJ,L_Versie,$A5,L_Kengetal,"BOR FY",L_IFRS,"N"))</f>
        <v>345718.8</v>
      </c>
      <c r="Q5" s="117">
        <f>IF($E5=0,"n.b.",SUMIFS(L_Waarde,L_Actief,1,L_Doeljaar,Sel_Doeljaar,L_Versiejaar,P_VJ,L_Versie,$A5,L_Kengetal,"Woningverkopen FY"))</f>
        <v>372</v>
      </c>
      <c r="R5" s="117" t="str">
        <f>IF(Sel_Doeljaar&gt;P_VJ,"n.v.t.",IF(COUNTIFS(L_Actief,1,L_Doeljaar,Sel_Doeljaar,L_Versiejaar,P_VJ,L_Versie,$A5,L_Kengetal,"Woningverkopen actual YTD")=0,"n.b.",SUMIFS(L_Waarde,L_Actief,1,L_Doeljaar,Sel_Doeljaar,L_Versiejaar,P_VJ,L_Versie,$A5,L_Kengetal,"Woningverkopen actual YTD")))</f>
        <v>n.b.</v>
      </c>
      <c r="S5" s="117">
        <f>IF(COUNTIFS(L_Actief,1,L_Doeljaar,Sel_Doeljaar,L_Versiejaar,P_VJ,L_Versie,$A5,L_Kengetal,"Omzet FY",L_Type,Sel_TypeCrit,L_WBS,Sel_WBS)=0,"n.b.",SUMIFS(L_Waarde,L_Actief,1,L_Doeljaar,Sel_Doeljaar,L_Versiejaar,P_VJ,L_Versie,$A5,L_Kengetal,"Omzet FY",L_Type,Sel_TypeCrit,L_WBS,Sel_WBS))</f>
        <v>118525440</v>
      </c>
      <c r="T5" s="117">
        <f>IF(COUNTIFS(L_Actief,1,L_Doeljaar,Sel_Doeljaar,L_Versiejaar,P_VJ,L_Versie,$A5,L_Kengetal,"BOR FY",L_Type,Sel_TypeCrit,L_WBS,Sel_WBS)=0,"n.b.",SUMIFS(L_Waarde,L_Actief,1,L_Doeljaar,Sel_Doeljaar,L_Versiejaar,P_VJ,L_Versie,$A5,L_Kengetal,"BOR FY",L_Type,Sel_TypeCrit,L_WBS,Sel_WBS))</f>
        <v>10769875</v>
      </c>
      <c r="U5" s="117" t="str">
        <f>IF(Sel_Doeljaar&gt;P_VJ,"n.v.t.",IF(COUNTIFS(L_Actief,1,L_Doeljaar,Sel_Doeljaar,L_Versiejaar,P_VJ,L_Versie,$A5,L_Kengetal,"Omzet actual YTD",L_Type,Sel_TypeCrit,L_WBS,Sel_WBS)=0,"n.b.",SUMIFS(L_Waarde,L_Actief,1,L_Doeljaar,Sel_Doeljaar,L_Versiejaar,P_VJ,L_Versie,$A5,L_Kengetal,"Omzet actual YTD",L_Type,Sel_TypeCrit,L_WBS,Sel_WBS)))</f>
        <v>n.b.</v>
      </c>
      <c r="V5" s="117" t="str">
        <f>IF(Sel_Doeljaar&gt;P_VJ,"n.v.t.",IF(COUNTIFS(L_Actief,1,L_Doeljaar,Sel_Doeljaar,L_Versiejaar,P_VJ,L_Versie,$A5,L_Kengetal,"BOR actual YTD",L_Type,Sel_TypeCrit,L_WBS,Sel_WBS)=0,"n.b.",SUMIFS(L_Waarde,L_Actief,1,L_Doeljaar,Sel_Doeljaar,L_Versiejaar,P_VJ,L_Versie,$A5,L_Kengetal,"BOR actual YTD",L_Type,Sel_TypeCrit,L_WBS,Sel_WBS)))</f>
        <v>n.b.</v>
      </c>
      <c r="W5" s="117">
        <f>IF(COUNTIFS(L_Actief,1,L_Doeljaar,Sel_Doeljaar,L_Versiejaar,P_VJ,L_Versie,$A5,L_Kengetal,"Woningverkopen FY",L_Type,Sel_TypeCrit,L_WBS,Sel_WBS)=0,"n.b.",SUMIFS(L_Waarde,L_Actief,1,L_Doeljaar,Sel_Doeljaar,L_Versiejaar,P_VJ,L_Versie,$A5,L_Kengetal,"Woningverkopen FY",L_Type,Sel_TypeCrit,L_WBS,Sel_WBS))</f>
        <v>372</v>
      </c>
      <c r="X5" s="117" t="str">
        <f>IF(Sel_Doeljaar&gt;P_VJ,"n.v.t.",IF(COUNTIFS(L_Actief,1,L_Doeljaar,Sel_Doeljaar,L_Versiejaar,P_VJ,L_Versie,$A5,L_Kengetal,"Woningverkopen actual YTD",L_Type,Sel_TypeCrit,L_WBS,Sel_WBS)=0,"n.b.",SUMIFS(L_Waarde,L_Actief,1,L_Doeljaar,Sel_Doeljaar,L_Versiejaar,P_VJ,L_Versie,$A5,L_Kengetal,"Woningverkopen actual YTD",L_Type,Sel_TypeCrit,L_WBS,Sel_WBS)))</f>
        <v>n.b.</v>
      </c>
      <c r="Y5" s="117" t="str">
        <f>IF(COUNTIFS(A_Doel,Sel_Doeljaar,A_VJ,P_VJ,A_Versie,$A5,A_Rubriek,"Taakstelling omzet",A_Soort,"FY",A_TeltVast,1)=0,"n.b.",SUMIFS(A_Waarde,A_Doel,Sel_Doeljaar,A_VJ,P_VJ,A_Versie,$A5,A_Rubriek,"Taakstelling omzet",A_Soort,"FY",A_TeltVast,1))</f>
        <v>n.b.</v>
      </c>
      <c r="Z5" s="117" t="str">
        <f>IF(COUNTIFS(A_Doel,Sel_Doeljaar,A_VJ,P_VJ,A_Versie,$A5,A_Rubriek,"Interne eliminaties",A_Soort,"FY",A_TeltVast,1)=0,"n.b.",SUMIFS(A_Waarde,A_Doel,Sel_Doeljaar,A_VJ,P_VJ,A_Versie,$A5,A_Rubriek,"Interne eliminaties",A_Soort,"FY",A_TeltVast,1))</f>
        <v>n.b.</v>
      </c>
      <c r="AA5" s="117" t="str">
        <f>IF(COUNTIFS(A_Doel,Sel_Doeljaar,A_VJ,P_VJ,A_Versie,$A5,A_Rubriek,"IFRS-eliminaties",A_Soort,"FY",A_TeltVast,1)=0,"n.b.",SUMIFS(A_Waarde,A_Doel,Sel_Doeljaar,A_VJ,P_VJ,A_Versie,$A5,A_Rubriek,"IFRS-eliminaties",A_Soort,"FY",A_TeltVast,1))</f>
        <v>n.b.</v>
      </c>
      <c r="AB5" s="117" t="str">
        <f>IF(COUNTIFS(A_Doel,Sel_Doeljaar,A_VJ,P_VJ,A_Versie,$A5,A_Rubriek,"AK-dekking",A_Soort,"FY",A_TeltVast,1)=0,"n.b.",SUMIFS(A_Waarde,A_Doel,Sel_Doeljaar,A_VJ,P_VJ,A_Versie,$A5,A_Rubriek,"AK-dekking",A_Soort,"FY",A_TeltVast,1))</f>
        <v>n.b.</v>
      </c>
      <c r="AC5" s="117" t="str">
        <f>IF(COUNTIFS(A_Doel,Sel_Doeljaar,A_VJ,P_VJ,A_Versie,$A5,A_Rubriek,"Fees",A_Soort,"FY",A_TeltVast,1)=0,"n.b.",SUMIFS(A_Waarde,A_Doel,Sel_Doeljaar,A_VJ,P_VJ,A_Versie,$A5,A_Rubriek,"Fees",A_Soort,"FY",A_TeltVast,1))</f>
        <v>n.b.</v>
      </c>
      <c r="AD5" s="117" t="str">
        <f>IF(COUNTIFS(A_Doel,Sel_Doeljaar,A_VJ,P_VJ,A_Versie,$A5,A_Rubriek,"Overige resultaten",A_Soort,"FY",A_TeltVast,1)=0,"n.b.",SUMIFS(A_Waarde,A_Doel,Sel_Doeljaar,A_VJ,P_VJ,A_Versie,$A5,A_Rubriek,"Overige resultaten",A_Soort,"FY",A_TeltVast,1))</f>
        <v>n.b.</v>
      </c>
      <c r="AE5" s="117" t="str">
        <f>IF(COUNTIFS(A_Doel,Sel_Doeljaar,A_VJ,P_VJ,A_Versie,$A5,A_Rubriek,"Taakstelling EBIT",A_Soort,"FY",A_TeltVast,1)=0,"n.b.",SUMIFS(A_Waarde,A_Doel,Sel_Doeljaar,A_VJ,P_VJ,A_Versie,$A5,A_Rubriek,"Taakstelling EBIT",A_Soort,"FY",A_TeltVast,1))</f>
        <v>n.b.</v>
      </c>
      <c r="AF5" s="117" t="str">
        <f>IF(COUNTIFS(A_Doel,Sel_Doeljaar,A_VJ,P_VJ,A_Versie,$A5,A_Rubriek,"Taakstelling omzet",A_Soort,"Actual YTD",A_TeltVast,1)=0,"n.b.",SUMIFS(A_Waarde,A_Doel,Sel_Doeljaar,A_VJ,P_VJ,A_Versie,$A5,A_Rubriek,"Taakstelling omzet",A_Soort,"Actual YTD",A_TeltVast,1))</f>
        <v>n.b.</v>
      </c>
      <c r="AG5" s="117" t="str">
        <f>IF(COUNTIFS(A_Doel,Sel_Doeljaar,A_VJ,P_VJ,A_Versie,$A5,A_Rubriek,"Interne eliminaties",A_Soort,"Actual YTD",A_TeltVast,1)=0,"n.b.",SUMIFS(A_Waarde,A_Doel,Sel_Doeljaar,A_VJ,P_VJ,A_Versie,$A5,A_Rubriek,"Interne eliminaties",A_Soort,"Actual YTD",A_TeltVast,1))</f>
        <v>n.b.</v>
      </c>
      <c r="AH5" s="117" t="str">
        <f>IF(COUNTIFS(A_Doel,Sel_Doeljaar,A_VJ,P_VJ,A_Versie,$A5,A_Rubriek,"IFRS-eliminaties",A_Soort,"Actual YTD",A_TeltVast,1)=0,"n.b.",SUMIFS(A_Waarde,A_Doel,Sel_Doeljaar,A_VJ,P_VJ,A_Versie,$A5,A_Rubriek,"IFRS-eliminaties",A_Soort,"Actual YTD",A_TeltVast,1))</f>
        <v>n.b.</v>
      </c>
      <c r="AI5" s="117" t="str">
        <f>IF(COUNTIFS(A_Doel,Sel_Doeljaar,A_VJ,P_VJ,A_Versie,$A5,A_Rubriek,"AK-dekking",A_Soort,"Actual YTD",A_TeltVast,1)=0,"n.b.",SUMIFS(A_Waarde,A_Doel,Sel_Doeljaar,A_VJ,P_VJ,A_Versie,$A5,A_Rubriek,"AK-dekking",A_Soort,"Actual YTD",A_TeltVast,1))</f>
        <v>n.b.</v>
      </c>
      <c r="AJ5" s="117" t="str">
        <f>IF(COUNTIFS(A_Doel,Sel_Doeljaar,A_VJ,P_VJ,A_Versie,$A5,A_Rubriek,"Fees",A_Soort,"Actual YTD",A_TeltVast,1)=0,"n.b.",SUMIFS(A_Waarde,A_Doel,Sel_Doeljaar,A_VJ,P_VJ,A_Versie,$A5,A_Rubriek,"Fees",A_Soort,"Actual YTD",A_TeltVast,1))</f>
        <v>n.b.</v>
      </c>
      <c r="AK5" s="117" t="str">
        <f>IF(COUNTIFS(A_Doel,Sel_Doeljaar,A_VJ,P_VJ,A_Versie,$A5,A_Rubriek,"Overige resultaten",A_Soort,"Actual YTD",A_TeltVast,1)=0,"n.b.",SUMIFS(A_Waarde,A_Doel,Sel_Doeljaar,A_VJ,P_VJ,A_Versie,$A5,A_Rubriek,"Overige resultaten",A_Soort,"Actual YTD",A_TeltVast,1))</f>
        <v>n.b.</v>
      </c>
      <c r="AL5" s="117" t="str">
        <f>IF(COUNTIFS(A_Doel,Sel_Doeljaar,A_VJ,P_VJ,A_Versie,$A5,A_Rubriek,"Taakstelling EBIT",A_Soort,"Actual YTD",A_TeltVast,1)=0,"n.b.",SUMIFS(A_Waarde,A_Doel,Sel_Doeljaar,A_VJ,P_VJ,A_Versie,$A5,A_Rubriek,"Taakstelling EBIT",A_Soort,"Actual YTD",A_TeltVast,1))</f>
        <v>n.b.</v>
      </c>
    </row>
    <row r="6">
      <c r="A6" s="92" t="inlineStr">
        <is>
          <t>Q1</t>
        </is>
      </c>
      <c r="B6" s="92" t="str">
        <f>IF(C6&gt;0,"Vastgesteld","n.b.")</f>
        <v>Vastgesteld</v>
      </c>
      <c r="C6" s="117">
        <f>COUNTIFS(L_Actief,1,L_Doeljaar,Sel_Doeljaar,L_Versiejaar,P_VJ,L_Versie,$A6,L_Kengetal,"Omzet FY")</f>
        <v>20</v>
      </c>
      <c r="D6" s="117">
        <f>COUNTIFS(L_Actief,1,L_Doeljaar,Sel_Doeljaar,L_Versiejaar,P_VJ,L_Versie,$A6,L_Kengetal,"Omzet actual YTD")</f>
        <v>0</v>
      </c>
      <c r="E6" s="117">
        <f>COUNTIFS(L_Actief,1,L_Doeljaar,Sel_Doeljaar,L_Versiejaar,P_VJ,L_Versie,$A6,L_Kengetal,"Woningverkopen FY")</f>
        <v>20</v>
      </c>
      <c r="F6" s="117">
        <f>COUNTIFS(L_Actief,1,L_Doeljaar,Sel_Doeljaar,L_Versiejaar,P_VJ,L_Versie,$A6,L_Revisie,"&gt;0")</f>
        <v>0</v>
      </c>
      <c r="G6" s="117">
        <f>IF($C6=0,"n.b.",SUMIFS(L_Waarde,L_Actief,1,L_Doeljaar,Sel_Doeljaar,L_Versiejaar,P_VJ,L_Versie,$A6,L_Kengetal,"Omzet FY",L_Type,"Opstal"))</f>
        <v>111433396</v>
      </c>
      <c r="H6" s="117">
        <f>IF($C6=0,"n.b.",SUMIFS(L_Waarde,L_Actief,1,L_Doeljaar,Sel_Doeljaar,L_Versiejaar,P_VJ,L_Versie,$A6,L_Kengetal,"Omzet FY",L_Type,"Deelneming"))</f>
        <v>5320588</v>
      </c>
      <c r="I6" s="117">
        <f>IF($C6=0,"n.b.",SUMIFS(L_Waarde,L_Actief,1,L_Doeljaar,Sel_Doeljaar,L_Versiejaar,P_VJ,L_Versie,$A6,L_Kengetal,"BOR FY",L_Type,"Opstal"))</f>
        <v>10291720.12</v>
      </c>
      <c r="J6" s="117">
        <f>IF($C6=0,"n.b.",SUMIFS(L_Waarde,L_Actief,1,L_Doeljaar,Sel_Doeljaar,L_Versiejaar,P_VJ,L_Versie,$A6,L_Kengetal,"BOR FY",L_Type,"Deelneming"))</f>
        <v>361084.08</v>
      </c>
      <c r="K6" s="117" t="str">
        <f>IF(Sel_Doeljaar&gt;P_VJ,"n.v.t.",IF(COUNTIFS(L_Actief,1,L_Doeljaar,Sel_Doeljaar,L_Versiejaar,P_VJ,L_Versie,$A6,L_Kengetal,"Omzet actual YTD")=0,"n.b.",SUMIFS(L_Waarde,L_Actief,1,L_Doeljaar,Sel_Doeljaar,L_Versiejaar,P_VJ,L_Versie,$A6,L_Kengetal,"Omzet actual YTD",L_Type,"Opstal")))</f>
        <v>n.b.</v>
      </c>
      <c r="L6" s="117" t="str">
        <f>IF(Sel_Doeljaar&gt;P_VJ,"n.v.t.",IF(COUNTIFS(L_Actief,1,L_Doeljaar,Sel_Doeljaar,L_Versiejaar,P_VJ,L_Versie,$A6,L_Kengetal,"Omzet actual YTD")=0,"n.b.",SUMIFS(L_Waarde,L_Actief,1,L_Doeljaar,Sel_Doeljaar,L_Versiejaar,P_VJ,L_Versie,$A6,L_Kengetal,"Omzet actual YTD",L_Type,"Deelneming")))</f>
        <v>n.b.</v>
      </c>
      <c r="M6" s="117" t="str">
        <f>IF(Sel_Doeljaar&gt;P_VJ,"n.v.t.",IF(COUNTIFS(L_Actief,1,L_Doeljaar,Sel_Doeljaar,L_Versiejaar,P_VJ,L_Versie,$A6,L_Kengetal,"BOR actual YTD")=0,"n.b.",SUMIFS(L_Waarde,L_Actief,1,L_Doeljaar,Sel_Doeljaar,L_Versiejaar,P_VJ,L_Versie,$A6,L_Kengetal,"BOR actual YTD",L_Type,"Opstal")))</f>
        <v>n.b.</v>
      </c>
      <c r="N6" s="117" t="str">
        <f>IF(Sel_Doeljaar&gt;P_VJ,"n.v.t.",IF(COUNTIFS(L_Actief,1,L_Doeljaar,Sel_Doeljaar,L_Versiejaar,P_VJ,L_Versie,$A6,L_Kengetal,"BOR actual YTD")=0,"n.b.",SUMIFS(L_Waarde,L_Actief,1,L_Doeljaar,Sel_Doeljaar,L_Versiejaar,P_VJ,L_Versie,$A6,L_Kengetal,"BOR actual YTD",L_Type,"Deelneming")))</f>
        <v>n.b.</v>
      </c>
      <c r="O6" s="117">
        <f>IF($C6=0,"n.b.",SUMIFS(L_Waarde,L_Actief,1,L_Doeljaar,Sel_Doeljaar,L_Versiejaar,P_VJ,L_Versie,$A6,L_Kengetal,"Omzet FY",L_IFRS,"N"))</f>
        <v>5320588</v>
      </c>
      <c r="P6" s="117">
        <f>IF($C6=0,"n.b.",SUMIFS(L_Waarde,L_Actief,1,L_Doeljaar,Sel_Doeljaar,L_Versiejaar,P_VJ,L_Versie,$A6,L_Kengetal,"BOR FY",L_IFRS,"N"))</f>
        <v>361084.08</v>
      </c>
      <c r="Q6" s="117">
        <f>IF($E6=0,"n.b.",SUMIFS(L_Waarde,L_Actief,1,L_Doeljaar,Sel_Doeljaar,L_Versiejaar,P_VJ,L_Versie,$A6,L_Kengetal,"Woningverkopen FY"))</f>
        <v>366</v>
      </c>
      <c r="R6" s="117" t="str">
        <f>IF(Sel_Doeljaar&gt;P_VJ,"n.v.t.",IF(COUNTIFS(L_Actief,1,L_Doeljaar,Sel_Doeljaar,L_Versiejaar,P_VJ,L_Versie,$A6,L_Kengetal,"Woningverkopen actual YTD")=0,"n.b.",SUMIFS(L_Waarde,L_Actief,1,L_Doeljaar,Sel_Doeljaar,L_Versiejaar,P_VJ,L_Versie,$A6,L_Kengetal,"Woningverkopen actual YTD")))</f>
        <v>n.b.</v>
      </c>
      <c r="S6" s="117">
        <f>IF(COUNTIFS(L_Actief,1,L_Doeljaar,Sel_Doeljaar,L_Versiejaar,P_VJ,L_Versie,$A6,L_Kengetal,"Omzet FY",L_Type,Sel_TypeCrit,L_WBS,Sel_WBS)=0,"n.b.",SUMIFS(L_Waarde,L_Actief,1,L_Doeljaar,Sel_Doeljaar,L_Versiejaar,P_VJ,L_Versie,$A6,L_Kengetal,"Omzet FY",L_Type,Sel_TypeCrit,L_WBS,Sel_WBS))</f>
        <v>116753984</v>
      </c>
      <c r="T6" s="117">
        <f>IF(COUNTIFS(L_Actief,1,L_Doeljaar,Sel_Doeljaar,L_Versiejaar,P_VJ,L_Versie,$A6,L_Kengetal,"BOR FY",L_Type,Sel_TypeCrit,L_WBS,Sel_WBS)=0,"n.b.",SUMIFS(L_Waarde,L_Actief,1,L_Doeljaar,Sel_Doeljaar,L_Versiejaar,P_VJ,L_Versie,$A6,L_Kengetal,"BOR FY",L_Type,Sel_TypeCrit,L_WBS,Sel_WBS))</f>
        <v>10652804.2</v>
      </c>
      <c r="U6" s="117" t="str">
        <f>IF(Sel_Doeljaar&gt;P_VJ,"n.v.t.",IF(COUNTIFS(L_Actief,1,L_Doeljaar,Sel_Doeljaar,L_Versiejaar,P_VJ,L_Versie,$A6,L_Kengetal,"Omzet actual YTD",L_Type,Sel_TypeCrit,L_WBS,Sel_WBS)=0,"n.b.",SUMIFS(L_Waarde,L_Actief,1,L_Doeljaar,Sel_Doeljaar,L_Versiejaar,P_VJ,L_Versie,$A6,L_Kengetal,"Omzet actual YTD",L_Type,Sel_TypeCrit,L_WBS,Sel_WBS)))</f>
        <v>n.b.</v>
      </c>
      <c r="V6" s="117" t="str">
        <f>IF(Sel_Doeljaar&gt;P_VJ,"n.v.t.",IF(COUNTIFS(L_Actief,1,L_Doeljaar,Sel_Doeljaar,L_Versiejaar,P_VJ,L_Versie,$A6,L_Kengetal,"BOR actual YTD",L_Type,Sel_TypeCrit,L_WBS,Sel_WBS)=0,"n.b.",SUMIFS(L_Waarde,L_Actief,1,L_Doeljaar,Sel_Doeljaar,L_Versiejaar,P_VJ,L_Versie,$A6,L_Kengetal,"BOR actual YTD",L_Type,Sel_TypeCrit,L_WBS,Sel_WBS)))</f>
        <v>n.b.</v>
      </c>
      <c r="W6" s="117">
        <f>IF(COUNTIFS(L_Actief,1,L_Doeljaar,Sel_Doeljaar,L_Versiejaar,P_VJ,L_Versie,$A6,L_Kengetal,"Woningverkopen FY",L_Type,Sel_TypeCrit,L_WBS,Sel_WBS)=0,"n.b.",SUMIFS(L_Waarde,L_Actief,1,L_Doeljaar,Sel_Doeljaar,L_Versiejaar,P_VJ,L_Versie,$A6,L_Kengetal,"Woningverkopen FY",L_Type,Sel_TypeCrit,L_WBS,Sel_WBS))</f>
        <v>366</v>
      </c>
      <c r="X6" s="117" t="str">
        <f>IF(Sel_Doeljaar&gt;P_VJ,"n.v.t.",IF(COUNTIFS(L_Actief,1,L_Doeljaar,Sel_Doeljaar,L_Versiejaar,P_VJ,L_Versie,$A6,L_Kengetal,"Woningverkopen actual YTD",L_Type,Sel_TypeCrit,L_WBS,Sel_WBS)=0,"n.b.",SUMIFS(L_Waarde,L_Actief,1,L_Doeljaar,Sel_Doeljaar,L_Versiejaar,P_VJ,L_Versie,$A6,L_Kengetal,"Woningverkopen actual YTD",L_Type,Sel_TypeCrit,L_WBS,Sel_WBS)))</f>
        <v>n.b.</v>
      </c>
      <c r="Y6" s="117" t="str">
        <f>IF(COUNTIFS(A_Doel,Sel_Doeljaar,A_VJ,P_VJ,A_Versie,$A6,A_Rubriek,"Taakstelling omzet",A_Soort,"FY",A_TeltVast,1)=0,"n.b.",SUMIFS(A_Waarde,A_Doel,Sel_Doeljaar,A_VJ,P_VJ,A_Versie,$A6,A_Rubriek,"Taakstelling omzet",A_Soort,"FY",A_TeltVast,1))</f>
        <v>n.b.</v>
      </c>
      <c r="Z6" s="117" t="str">
        <f>IF(COUNTIFS(A_Doel,Sel_Doeljaar,A_VJ,P_VJ,A_Versie,$A6,A_Rubriek,"Interne eliminaties",A_Soort,"FY",A_TeltVast,1)=0,"n.b.",SUMIFS(A_Waarde,A_Doel,Sel_Doeljaar,A_VJ,P_VJ,A_Versie,$A6,A_Rubriek,"Interne eliminaties",A_Soort,"FY",A_TeltVast,1))</f>
        <v>n.b.</v>
      </c>
      <c r="AA6" s="117" t="str">
        <f>IF(COUNTIFS(A_Doel,Sel_Doeljaar,A_VJ,P_VJ,A_Versie,$A6,A_Rubriek,"IFRS-eliminaties",A_Soort,"FY",A_TeltVast,1)=0,"n.b.",SUMIFS(A_Waarde,A_Doel,Sel_Doeljaar,A_VJ,P_VJ,A_Versie,$A6,A_Rubriek,"IFRS-eliminaties",A_Soort,"FY",A_TeltVast,1))</f>
        <v>n.b.</v>
      </c>
      <c r="AB6" s="117" t="str">
        <f>IF(COUNTIFS(A_Doel,Sel_Doeljaar,A_VJ,P_VJ,A_Versie,$A6,A_Rubriek,"AK-dekking",A_Soort,"FY",A_TeltVast,1)=0,"n.b.",SUMIFS(A_Waarde,A_Doel,Sel_Doeljaar,A_VJ,P_VJ,A_Versie,$A6,A_Rubriek,"AK-dekking",A_Soort,"FY",A_TeltVast,1))</f>
        <v>n.b.</v>
      </c>
      <c r="AC6" s="117" t="str">
        <f>IF(COUNTIFS(A_Doel,Sel_Doeljaar,A_VJ,P_VJ,A_Versie,$A6,A_Rubriek,"Fees",A_Soort,"FY",A_TeltVast,1)=0,"n.b.",SUMIFS(A_Waarde,A_Doel,Sel_Doeljaar,A_VJ,P_VJ,A_Versie,$A6,A_Rubriek,"Fees",A_Soort,"FY",A_TeltVast,1))</f>
        <v>n.b.</v>
      </c>
      <c r="AD6" s="117" t="str">
        <f>IF(COUNTIFS(A_Doel,Sel_Doeljaar,A_VJ,P_VJ,A_Versie,$A6,A_Rubriek,"Overige resultaten",A_Soort,"FY",A_TeltVast,1)=0,"n.b.",SUMIFS(A_Waarde,A_Doel,Sel_Doeljaar,A_VJ,P_VJ,A_Versie,$A6,A_Rubriek,"Overige resultaten",A_Soort,"FY",A_TeltVast,1))</f>
        <v>n.b.</v>
      </c>
      <c r="AE6" s="117" t="str">
        <f>IF(COUNTIFS(A_Doel,Sel_Doeljaar,A_VJ,P_VJ,A_Versie,$A6,A_Rubriek,"Taakstelling EBIT",A_Soort,"FY",A_TeltVast,1)=0,"n.b.",SUMIFS(A_Waarde,A_Doel,Sel_Doeljaar,A_VJ,P_VJ,A_Versie,$A6,A_Rubriek,"Taakstelling EBIT",A_Soort,"FY",A_TeltVast,1))</f>
        <v>n.b.</v>
      </c>
      <c r="AF6" s="117" t="str">
        <f>IF(COUNTIFS(A_Doel,Sel_Doeljaar,A_VJ,P_VJ,A_Versie,$A6,A_Rubriek,"Taakstelling omzet",A_Soort,"Actual YTD",A_TeltVast,1)=0,"n.b.",SUMIFS(A_Waarde,A_Doel,Sel_Doeljaar,A_VJ,P_VJ,A_Versie,$A6,A_Rubriek,"Taakstelling omzet",A_Soort,"Actual YTD",A_TeltVast,1))</f>
        <v>n.b.</v>
      </c>
      <c r="AG6" s="117" t="str">
        <f>IF(COUNTIFS(A_Doel,Sel_Doeljaar,A_VJ,P_VJ,A_Versie,$A6,A_Rubriek,"Interne eliminaties",A_Soort,"Actual YTD",A_TeltVast,1)=0,"n.b.",SUMIFS(A_Waarde,A_Doel,Sel_Doeljaar,A_VJ,P_VJ,A_Versie,$A6,A_Rubriek,"Interne eliminaties",A_Soort,"Actual YTD",A_TeltVast,1))</f>
        <v>n.b.</v>
      </c>
      <c r="AH6" s="117" t="str">
        <f>IF(COUNTIFS(A_Doel,Sel_Doeljaar,A_VJ,P_VJ,A_Versie,$A6,A_Rubriek,"IFRS-eliminaties",A_Soort,"Actual YTD",A_TeltVast,1)=0,"n.b.",SUMIFS(A_Waarde,A_Doel,Sel_Doeljaar,A_VJ,P_VJ,A_Versie,$A6,A_Rubriek,"IFRS-eliminaties",A_Soort,"Actual YTD",A_TeltVast,1))</f>
        <v>n.b.</v>
      </c>
      <c r="AI6" s="117" t="str">
        <f>IF(COUNTIFS(A_Doel,Sel_Doeljaar,A_VJ,P_VJ,A_Versie,$A6,A_Rubriek,"AK-dekking",A_Soort,"Actual YTD",A_TeltVast,1)=0,"n.b.",SUMIFS(A_Waarde,A_Doel,Sel_Doeljaar,A_VJ,P_VJ,A_Versie,$A6,A_Rubriek,"AK-dekking",A_Soort,"Actual YTD",A_TeltVast,1))</f>
        <v>n.b.</v>
      </c>
      <c r="AJ6" s="117" t="str">
        <f>IF(COUNTIFS(A_Doel,Sel_Doeljaar,A_VJ,P_VJ,A_Versie,$A6,A_Rubriek,"Fees",A_Soort,"Actual YTD",A_TeltVast,1)=0,"n.b.",SUMIFS(A_Waarde,A_Doel,Sel_Doeljaar,A_VJ,P_VJ,A_Versie,$A6,A_Rubriek,"Fees",A_Soort,"Actual YTD",A_TeltVast,1))</f>
        <v>n.b.</v>
      </c>
      <c r="AK6" s="117" t="str">
        <f>IF(COUNTIFS(A_Doel,Sel_Doeljaar,A_VJ,P_VJ,A_Versie,$A6,A_Rubriek,"Overige resultaten",A_Soort,"Actual YTD",A_TeltVast,1)=0,"n.b.",SUMIFS(A_Waarde,A_Doel,Sel_Doeljaar,A_VJ,P_VJ,A_Versie,$A6,A_Rubriek,"Overige resultaten",A_Soort,"Actual YTD",A_TeltVast,1))</f>
        <v>n.b.</v>
      </c>
      <c r="AL6" s="117" t="str">
        <f>IF(COUNTIFS(A_Doel,Sel_Doeljaar,A_VJ,P_VJ,A_Versie,$A6,A_Rubriek,"Taakstelling EBIT",A_Soort,"Actual YTD",A_TeltVast,1)=0,"n.b.",SUMIFS(A_Waarde,A_Doel,Sel_Doeljaar,A_VJ,P_VJ,A_Versie,$A6,A_Rubriek,"Taakstelling EBIT",A_Soort,"Actual YTD",A_TeltVast,1))</f>
        <v>n.b.</v>
      </c>
    </row>
    <row r="7">
      <c r="A7" s="92" t="inlineStr">
        <is>
          <t>Q2</t>
        </is>
      </c>
      <c r="B7" s="92" t="str">
        <f>IF(C7&gt;0,"Vastgesteld","n.b.")</f>
        <v>Vastgesteld</v>
      </c>
      <c r="C7" s="117">
        <f>COUNTIFS(L_Actief,1,L_Doeljaar,Sel_Doeljaar,L_Versiejaar,P_VJ,L_Versie,$A7,L_Kengetal,"Omzet FY")</f>
        <v>20</v>
      </c>
      <c r="D7" s="117">
        <f>COUNTIFS(L_Actief,1,L_Doeljaar,Sel_Doeljaar,L_Versiejaar,P_VJ,L_Versie,$A7,L_Kengetal,"Omzet actual YTD")</f>
        <v>0</v>
      </c>
      <c r="E7" s="117">
        <f>COUNTIFS(L_Actief,1,L_Doeljaar,Sel_Doeljaar,L_Versiejaar,P_VJ,L_Versie,$A7,L_Kengetal,"Woningverkopen FY")</f>
        <v>20</v>
      </c>
      <c r="F7" s="117">
        <f>COUNTIFS(L_Actief,1,L_Doeljaar,Sel_Doeljaar,L_Versiejaar,P_VJ,L_Versie,$A7,L_Revisie,"&gt;0")</f>
        <v>0</v>
      </c>
      <c r="G7" s="117">
        <f>IF($C7=0,"n.b.",SUMIFS(L_Waarde,L_Actief,1,L_Doeljaar,Sel_Doeljaar,L_Versiejaar,P_VJ,L_Versie,$A7,L_Kengetal,"Omzet FY",L_Type,"Opstal"))</f>
        <v>106938202</v>
      </c>
      <c r="H7" s="117">
        <f>IF($C7=0,"n.b.",SUMIFS(L_Waarde,L_Actief,1,L_Doeljaar,Sel_Doeljaar,L_Versiejaar,P_VJ,L_Versie,$A7,L_Kengetal,"Omzet FY",L_Type,"Deelneming"))</f>
        <v>5830006</v>
      </c>
      <c r="I7" s="117">
        <f>IF($C7=0,"n.b.",SUMIFS(L_Waarde,L_Actief,1,L_Doeljaar,Sel_Doeljaar,L_Versiejaar,P_VJ,L_Versie,$A7,L_Kengetal,"BOR FY",L_Type,"Opstal"))</f>
        <v>9993738.94</v>
      </c>
      <c r="J7" s="117">
        <f>IF($C7=0,"n.b.",SUMIFS(L_Waarde,L_Actief,1,L_Doeljaar,Sel_Doeljaar,L_Versiejaar,P_VJ,L_Versie,$A7,L_Kengetal,"BOR FY",L_Type,"Deelneming"))</f>
        <v>395655.96</v>
      </c>
      <c r="K7" s="117" t="str">
        <f>IF(Sel_Doeljaar&gt;P_VJ,"n.v.t.",IF(COUNTIFS(L_Actief,1,L_Doeljaar,Sel_Doeljaar,L_Versiejaar,P_VJ,L_Versie,$A7,L_Kengetal,"Omzet actual YTD")=0,"n.b.",SUMIFS(L_Waarde,L_Actief,1,L_Doeljaar,Sel_Doeljaar,L_Versiejaar,P_VJ,L_Versie,$A7,L_Kengetal,"Omzet actual YTD",L_Type,"Opstal")))</f>
        <v>n.b.</v>
      </c>
      <c r="L7" s="117" t="str">
        <f>IF(Sel_Doeljaar&gt;P_VJ,"n.v.t.",IF(COUNTIFS(L_Actief,1,L_Doeljaar,Sel_Doeljaar,L_Versiejaar,P_VJ,L_Versie,$A7,L_Kengetal,"Omzet actual YTD")=0,"n.b.",SUMIFS(L_Waarde,L_Actief,1,L_Doeljaar,Sel_Doeljaar,L_Versiejaar,P_VJ,L_Versie,$A7,L_Kengetal,"Omzet actual YTD",L_Type,"Deelneming")))</f>
        <v>n.b.</v>
      </c>
      <c r="M7" s="117" t="str">
        <f>IF(Sel_Doeljaar&gt;P_VJ,"n.v.t.",IF(COUNTIFS(L_Actief,1,L_Doeljaar,Sel_Doeljaar,L_Versiejaar,P_VJ,L_Versie,$A7,L_Kengetal,"BOR actual YTD")=0,"n.b.",SUMIFS(L_Waarde,L_Actief,1,L_Doeljaar,Sel_Doeljaar,L_Versiejaar,P_VJ,L_Versie,$A7,L_Kengetal,"BOR actual YTD",L_Type,"Opstal")))</f>
        <v>n.b.</v>
      </c>
      <c r="N7" s="117" t="str">
        <f>IF(Sel_Doeljaar&gt;P_VJ,"n.v.t.",IF(COUNTIFS(L_Actief,1,L_Doeljaar,Sel_Doeljaar,L_Versiejaar,P_VJ,L_Versie,$A7,L_Kengetal,"BOR actual YTD")=0,"n.b.",SUMIFS(L_Waarde,L_Actief,1,L_Doeljaar,Sel_Doeljaar,L_Versiejaar,P_VJ,L_Versie,$A7,L_Kengetal,"BOR actual YTD",L_Type,"Deelneming")))</f>
        <v>n.b.</v>
      </c>
      <c r="O7" s="117">
        <f>IF($C7=0,"n.b.",SUMIFS(L_Waarde,L_Actief,1,L_Doeljaar,Sel_Doeljaar,L_Versiejaar,P_VJ,L_Versie,$A7,L_Kengetal,"Omzet FY",L_IFRS,"N"))</f>
        <v>5830006</v>
      </c>
      <c r="P7" s="117">
        <f>IF($C7=0,"n.b.",SUMIFS(L_Waarde,L_Actief,1,L_Doeljaar,Sel_Doeljaar,L_Versiejaar,P_VJ,L_Versie,$A7,L_Kengetal,"BOR FY",L_IFRS,"N"))</f>
        <v>395655.96</v>
      </c>
      <c r="Q7" s="117">
        <f>IF($E7=0,"n.b.",SUMIFS(L_Waarde,L_Actief,1,L_Doeljaar,Sel_Doeljaar,L_Versiejaar,P_VJ,L_Versie,$A7,L_Kengetal,"Woningverkopen FY"))</f>
        <v>355</v>
      </c>
      <c r="R7" s="117" t="str">
        <f>IF(Sel_Doeljaar&gt;P_VJ,"n.v.t.",IF(COUNTIFS(L_Actief,1,L_Doeljaar,Sel_Doeljaar,L_Versiejaar,P_VJ,L_Versie,$A7,L_Kengetal,"Woningverkopen actual YTD")=0,"n.b.",SUMIFS(L_Waarde,L_Actief,1,L_Doeljaar,Sel_Doeljaar,L_Versiejaar,P_VJ,L_Versie,$A7,L_Kengetal,"Woningverkopen actual YTD")))</f>
        <v>n.b.</v>
      </c>
      <c r="S7" s="117">
        <f>IF(COUNTIFS(L_Actief,1,L_Doeljaar,Sel_Doeljaar,L_Versiejaar,P_VJ,L_Versie,$A7,L_Kengetal,"Omzet FY",L_Type,Sel_TypeCrit,L_WBS,Sel_WBS)=0,"n.b.",SUMIFS(L_Waarde,L_Actief,1,L_Doeljaar,Sel_Doeljaar,L_Versiejaar,P_VJ,L_Versie,$A7,L_Kengetal,"Omzet FY",L_Type,Sel_TypeCrit,L_WBS,Sel_WBS))</f>
        <v>112768208</v>
      </c>
      <c r="T7" s="117">
        <f>IF(COUNTIFS(L_Actief,1,L_Doeljaar,Sel_Doeljaar,L_Versiejaar,P_VJ,L_Versie,$A7,L_Kengetal,"BOR FY",L_Type,Sel_TypeCrit,L_WBS,Sel_WBS)=0,"n.b.",SUMIFS(L_Waarde,L_Actief,1,L_Doeljaar,Sel_Doeljaar,L_Versiejaar,P_VJ,L_Versie,$A7,L_Kengetal,"BOR FY",L_Type,Sel_TypeCrit,L_WBS,Sel_WBS))</f>
        <v>10389394.9</v>
      </c>
      <c r="U7" s="117" t="str">
        <f>IF(Sel_Doeljaar&gt;P_VJ,"n.v.t.",IF(COUNTIFS(L_Actief,1,L_Doeljaar,Sel_Doeljaar,L_Versiejaar,P_VJ,L_Versie,$A7,L_Kengetal,"Omzet actual YTD",L_Type,Sel_TypeCrit,L_WBS,Sel_WBS)=0,"n.b.",SUMIFS(L_Waarde,L_Actief,1,L_Doeljaar,Sel_Doeljaar,L_Versiejaar,P_VJ,L_Versie,$A7,L_Kengetal,"Omzet actual YTD",L_Type,Sel_TypeCrit,L_WBS,Sel_WBS)))</f>
        <v>n.b.</v>
      </c>
      <c r="V7" s="117" t="str">
        <f>IF(Sel_Doeljaar&gt;P_VJ,"n.v.t.",IF(COUNTIFS(L_Actief,1,L_Doeljaar,Sel_Doeljaar,L_Versiejaar,P_VJ,L_Versie,$A7,L_Kengetal,"BOR actual YTD",L_Type,Sel_TypeCrit,L_WBS,Sel_WBS)=0,"n.b.",SUMIFS(L_Waarde,L_Actief,1,L_Doeljaar,Sel_Doeljaar,L_Versiejaar,P_VJ,L_Versie,$A7,L_Kengetal,"BOR actual YTD",L_Type,Sel_TypeCrit,L_WBS,Sel_WBS)))</f>
        <v>n.b.</v>
      </c>
      <c r="W7" s="117">
        <f>IF(COUNTIFS(L_Actief,1,L_Doeljaar,Sel_Doeljaar,L_Versiejaar,P_VJ,L_Versie,$A7,L_Kengetal,"Woningverkopen FY",L_Type,Sel_TypeCrit,L_WBS,Sel_WBS)=0,"n.b.",SUMIFS(L_Waarde,L_Actief,1,L_Doeljaar,Sel_Doeljaar,L_Versiejaar,P_VJ,L_Versie,$A7,L_Kengetal,"Woningverkopen FY",L_Type,Sel_TypeCrit,L_WBS,Sel_WBS))</f>
        <v>355</v>
      </c>
      <c r="X7" s="117" t="str">
        <f>IF(Sel_Doeljaar&gt;P_VJ,"n.v.t.",IF(COUNTIFS(L_Actief,1,L_Doeljaar,Sel_Doeljaar,L_Versiejaar,P_VJ,L_Versie,$A7,L_Kengetal,"Woningverkopen actual YTD",L_Type,Sel_TypeCrit,L_WBS,Sel_WBS)=0,"n.b.",SUMIFS(L_Waarde,L_Actief,1,L_Doeljaar,Sel_Doeljaar,L_Versiejaar,P_VJ,L_Versie,$A7,L_Kengetal,"Woningverkopen actual YTD",L_Type,Sel_TypeCrit,L_WBS,Sel_WBS)))</f>
        <v>n.b.</v>
      </c>
      <c r="Y7" s="117" t="str">
        <f>IF(COUNTIFS(A_Doel,Sel_Doeljaar,A_VJ,P_VJ,A_Versie,$A7,A_Rubriek,"Taakstelling omzet",A_Soort,"FY",A_TeltVast,1)=0,"n.b.",SUMIFS(A_Waarde,A_Doel,Sel_Doeljaar,A_VJ,P_VJ,A_Versie,$A7,A_Rubriek,"Taakstelling omzet",A_Soort,"FY",A_TeltVast,1))</f>
        <v>n.b.</v>
      </c>
      <c r="Z7" s="117" t="str">
        <f>IF(COUNTIFS(A_Doel,Sel_Doeljaar,A_VJ,P_VJ,A_Versie,$A7,A_Rubriek,"Interne eliminaties",A_Soort,"FY",A_TeltVast,1)=0,"n.b.",SUMIFS(A_Waarde,A_Doel,Sel_Doeljaar,A_VJ,P_VJ,A_Versie,$A7,A_Rubriek,"Interne eliminaties",A_Soort,"FY",A_TeltVast,1))</f>
        <v>n.b.</v>
      </c>
      <c r="AA7" s="117" t="str">
        <f>IF(COUNTIFS(A_Doel,Sel_Doeljaar,A_VJ,P_VJ,A_Versie,$A7,A_Rubriek,"IFRS-eliminaties",A_Soort,"FY",A_TeltVast,1)=0,"n.b.",SUMIFS(A_Waarde,A_Doel,Sel_Doeljaar,A_VJ,P_VJ,A_Versie,$A7,A_Rubriek,"IFRS-eliminaties",A_Soort,"FY",A_TeltVast,1))</f>
        <v>n.b.</v>
      </c>
      <c r="AB7" s="117" t="str">
        <f>IF(COUNTIFS(A_Doel,Sel_Doeljaar,A_VJ,P_VJ,A_Versie,$A7,A_Rubriek,"AK-dekking",A_Soort,"FY",A_TeltVast,1)=0,"n.b.",SUMIFS(A_Waarde,A_Doel,Sel_Doeljaar,A_VJ,P_VJ,A_Versie,$A7,A_Rubriek,"AK-dekking",A_Soort,"FY",A_TeltVast,1))</f>
        <v>n.b.</v>
      </c>
      <c r="AC7" s="117" t="str">
        <f>IF(COUNTIFS(A_Doel,Sel_Doeljaar,A_VJ,P_VJ,A_Versie,$A7,A_Rubriek,"Fees",A_Soort,"FY",A_TeltVast,1)=0,"n.b.",SUMIFS(A_Waarde,A_Doel,Sel_Doeljaar,A_VJ,P_VJ,A_Versie,$A7,A_Rubriek,"Fees",A_Soort,"FY",A_TeltVast,1))</f>
        <v>n.b.</v>
      </c>
      <c r="AD7" s="117" t="str">
        <f>IF(COUNTIFS(A_Doel,Sel_Doeljaar,A_VJ,P_VJ,A_Versie,$A7,A_Rubriek,"Overige resultaten",A_Soort,"FY",A_TeltVast,1)=0,"n.b.",SUMIFS(A_Waarde,A_Doel,Sel_Doeljaar,A_VJ,P_VJ,A_Versie,$A7,A_Rubriek,"Overige resultaten",A_Soort,"FY",A_TeltVast,1))</f>
        <v>n.b.</v>
      </c>
      <c r="AE7" s="117" t="str">
        <f>IF(COUNTIFS(A_Doel,Sel_Doeljaar,A_VJ,P_VJ,A_Versie,$A7,A_Rubriek,"Taakstelling EBIT",A_Soort,"FY",A_TeltVast,1)=0,"n.b.",SUMIFS(A_Waarde,A_Doel,Sel_Doeljaar,A_VJ,P_VJ,A_Versie,$A7,A_Rubriek,"Taakstelling EBIT",A_Soort,"FY",A_TeltVast,1))</f>
        <v>n.b.</v>
      </c>
      <c r="AF7" s="117" t="str">
        <f>IF(COUNTIFS(A_Doel,Sel_Doeljaar,A_VJ,P_VJ,A_Versie,$A7,A_Rubriek,"Taakstelling omzet",A_Soort,"Actual YTD",A_TeltVast,1)=0,"n.b.",SUMIFS(A_Waarde,A_Doel,Sel_Doeljaar,A_VJ,P_VJ,A_Versie,$A7,A_Rubriek,"Taakstelling omzet",A_Soort,"Actual YTD",A_TeltVast,1))</f>
        <v>n.b.</v>
      </c>
      <c r="AG7" s="117" t="str">
        <f>IF(COUNTIFS(A_Doel,Sel_Doeljaar,A_VJ,P_VJ,A_Versie,$A7,A_Rubriek,"Interne eliminaties",A_Soort,"Actual YTD",A_TeltVast,1)=0,"n.b.",SUMIFS(A_Waarde,A_Doel,Sel_Doeljaar,A_VJ,P_VJ,A_Versie,$A7,A_Rubriek,"Interne eliminaties",A_Soort,"Actual YTD",A_TeltVast,1))</f>
        <v>n.b.</v>
      </c>
      <c r="AH7" s="117" t="str">
        <f>IF(COUNTIFS(A_Doel,Sel_Doeljaar,A_VJ,P_VJ,A_Versie,$A7,A_Rubriek,"IFRS-eliminaties",A_Soort,"Actual YTD",A_TeltVast,1)=0,"n.b.",SUMIFS(A_Waarde,A_Doel,Sel_Doeljaar,A_VJ,P_VJ,A_Versie,$A7,A_Rubriek,"IFRS-eliminaties",A_Soort,"Actual YTD",A_TeltVast,1))</f>
        <v>n.b.</v>
      </c>
      <c r="AI7" s="117" t="str">
        <f>IF(COUNTIFS(A_Doel,Sel_Doeljaar,A_VJ,P_VJ,A_Versie,$A7,A_Rubriek,"AK-dekking",A_Soort,"Actual YTD",A_TeltVast,1)=0,"n.b.",SUMIFS(A_Waarde,A_Doel,Sel_Doeljaar,A_VJ,P_VJ,A_Versie,$A7,A_Rubriek,"AK-dekking",A_Soort,"Actual YTD",A_TeltVast,1))</f>
        <v>n.b.</v>
      </c>
      <c r="AJ7" s="117" t="str">
        <f>IF(COUNTIFS(A_Doel,Sel_Doeljaar,A_VJ,P_VJ,A_Versie,$A7,A_Rubriek,"Fees",A_Soort,"Actual YTD",A_TeltVast,1)=0,"n.b.",SUMIFS(A_Waarde,A_Doel,Sel_Doeljaar,A_VJ,P_VJ,A_Versie,$A7,A_Rubriek,"Fees",A_Soort,"Actual YTD",A_TeltVast,1))</f>
        <v>n.b.</v>
      </c>
      <c r="AK7" s="117" t="str">
        <f>IF(COUNTIFS(A_Doel,Sel_Doeljaar,A_VJ,P_VJ,A_Versie,$A7,A_Rubriek,"Overige resultaten",A_Soort,"Actual YTD",A_TeltVast,1)=0,"n.b.",SUMIFS(A_Waarde,A_Doel,Sel_Doeljaar,A_VJ,P_VJ,A_Versie,$A7,A_Rubriek,"Overige resultaten",A_Soort,"Actual YTD",A_TeltVast,1))</f>
        <v>n.b.</v>
      </c>
      <c r="AL7" s="117" t="str">
        <f>IF(COUNTIFS(A_Doel,Sel_Doeljaar,A_VJ,P_VJ,A_Versie,$A7,A_Rubriek,"Taakstelling EBIT",A_Soort,"Actual YTD",A_TeltVast,1)=0,"n.b.",SUMIFS(A_Waarde,A_Doel,Sel_Doeljaar,A_VJ,P_VJ,A_Versie,$A7,A_Rubriek,"Taakstelling EBIT",A_Soort,"Actual YTD",A_TeltVast,1))</f>
        <v>n.b.</v>
      </c>
    </row>
    <row r="8">
      <c r="A8" s="92" t="inlineStr">
        <is>
          <t>Q3</t>
        </is>
      </c>
      <c r="B8" s="92" t="str">
        <f>IF(C8&gt;0,"Vastgesteld","n.b.")</f>
        <v>Vastgesteld</v>
      </c>
      <c r="C8" s="117">
        <f>COUNTIFS(L_Actief,1,L_Doeljaar,Sel_Doeljaar,L_Versiejaar,P_VJ,L_Versie,$A8,L_Kengetal,"Omzet FY")</f>
        <v>20</v>
      </c>
      <c r="D8" s="117">
        <f>COUNTIFS(L_Actief,1,L_Doeljaar,Sel_Doeljaar,L_Versiejaar,P_VJ,L_Versie,$A8,L_Kengetal,"Omzet actual YTD")</f>
        <v>20</v>
      </c>
      <c r="E8" s="117">
        <f>COUNTIFS(L_Actief,1,L_Doeljaar,Sel_Doeljaar,L_Versiejaar,P_VJ,L_Versie,$A8,L_Kengetal,"Woningverkopen FY")</f>
        <v>20</v>
      </c>
      <c r="F8" s="117">
        <f>COUNTIFS(L_Actief,1,L_Doeljaar,Sel_Doeljaar,L_Versiejaar,P_VJ,L_Versie,$A8,L_Revisie,"&gt;0")</f>
        <v>0</v>
      </c>
      <c r="G8" s="117">
        <f>IF($C8=0,"n.b.",SUMIFS(L_Waarde,L_Actief,1,L_Doeljaar,Sel_Doeljaar,L_Versiejaar,P_VJ,L_Versie,$A8,L_Kengetal,"Omzet FY",L_Type,"Opstal"))</f>
        <v>108436600</v>
      </c>
      <c r="H8" s="117">
        <f>IF($C8=0,"n.b.",SUMIFS(L_Waarde,L_Actief,1,L_Doeljaar,Sel_Doeljaar,L_Versiejaar,P_VJ,L_Versie,$A8,L_Kengetal,"Omzet FY",L_Type,"Deelneming"))</f>
        <v>5660200</v>
      </c>
      <c r="I8" s="117">
        <f>IF($C8=0,"n.b.",SUMIFS(L_Waarde,L_Actief,1,L_Doeljaar,Sel_Doeljaar,L_Versiejaar,P_VJ,L_Versie,$A8,L_Kengetal,"BOR FY",L_Type,"Opstal"))</f>
        <v>10093066</v>
      </c>
      <c r="J8" s="117">
        <f>IF($C8=0,"n.b.",SUMIFS(L_Waarde,L_Actief,1,L_Doeljaar,Sel_Doeljaar,L_Versiejaar,P_VJ,L_Versie,$A8,L_Kengetal,"BOR FY",L_Type,"Deelneming"))</f>
        <v>384132</v>
      </c>
      <c r="K8" s="117">
        <f>IF(Sel_Doeljaar&gt;P_VJ,"n.v.t.",IF(COUNTIFS(L_Actief,1,L_Doeljaar,Sel_Doeljaar,L_Versiejaar,P_VJ,L_Versie,$A8,L_Kengetal,"Omzet actual YTD")=0,"n.b.",SUMIFS(L_Waarde,L_Actief,1,L_Doeljaar,Sel_Doeljaar,L_Versiejaar,P_VJ,L_Versie,$A8,L_Kengetal,"Omzet actual YTD",L_Type,"Opstal")))</f>
        <v>70483790</v>
      </c>
      <c r="L8" s="117">
        <f>IF(Sel_Doeljaar&gt;P_VJ,"n.v.t.",IF(COUNTIFS(L_Actief,1,L_Doeljaar,Sel_Doeljaar,L_Versiejaar,P_VJ,L_Versie,$A8,L_Kengetal,"Omzet actual YTD")=0,"n.b.",SUMIFS(L_Waarde,L_Actief,1,L_Doeljaar,Sel_Doeljaar,L_Versiejaar,P_VJ,L_Versie,$A8,L_Kengetal,"Omzet actual YTD",L_Type,"Deelneming")))</f>
        <v>3679130</v>
      </c>
      <c r="M8" s="117">
        <f>IF(Sel_Doeljaar&gt;P_VJ,"n.v.t.",IF(COUNTIFS(L_Actief,1,L_Doeljaar,Sel_Doeljaar,L_Versiejaar,P_VJ,L_Versie,$A8,L_Kengetal,"BOR actual YTD")=0,"n.b.",SUMIFS(L_Waarde,L_Actief,1,L_Doeljaar,Sel_Doeljaar,L_Versiejaar,P_VJ,L_Versie,$A8,L_Kengetal,"BOR actual YTD",L_Type,"Opstal")))</f>
        <v>6560492.9</v>
      </c>
      <c r="N8" s="117">
        <f>IF(Sel_Doeljaar&gt;P_VJ,"n.v.t.",IF(COUNTIFS(L_Actief,1,L_Doeljaar,Sel_Doeljaar,L_Versiejaar,P_VJ,L_Versie,$A8,L_Kengetal,"BOR actual YTD")=0,"n.b.",SUMIFS(L_Waarde,L_Actief,1,L_Doeljaar,Sel_Doeljaar,L_Versiejaar,P_VJ,L_Versie,$A8,L_Kengetal,"BOR actual YTD",L_Type,"Deelneming")))</f>
        <v>249685.8</v>
      </c>
      <c r="O8" s="117">
        <f>IF($C8=0,"n.b.",SUMIFS(L_Waarde,L_Actief,1,L_Doeljaar,Sel_Doeljaar,L_Versiejaar,P_VJ,L_Versie,$A8,L_Kengetal,"Omzet FY",L_IFRS,"N"))</f>
        <v>5660200</v>
      </c>
      <c r="P8" s="117">
        <f>IF($C8=0,"n.b.",SUMIFS(L_Waarde,L_Actief,1,L_Doeljaar,Sel_Doeljaar,L_Versiejaar,P_VJ,L_Versie,$A8,L_Kengetal,"BOR FY",L_IFRS,"N"))</f>
        <v>384132</v>
      </c>
      <c r="Q8" s="117">
        <f>IF($E8=0,"n.b.",SUMIFS(L_Waarde,L_Actief,1,L_Doeljaar,Sel_Doeljaar,L_Versiejaar,P_VJ,L_Versie,$A8,L_Kengetal,"Woningverkopen FY"))</f>
        <v>360</v>
      </c>
      <c r="R8" s="117">
        <f>IF(Sel_Doeljaar&gt;P_VJ,"n.v.t.",IF(COUNTIFS(L_Actief,1,L_Doeljaar,Sel_Doeljaar,L_Versiejaar,P_VJ,L_Versie,$A8,L_Kengetal,"Woningverkopen actual YTD")=0,"n.b.",SUMIFS(L_Waarde,L_Actief,1,L_Doeljaar,Sel_Doeljaar,L_Versiejaar,P_VJ,L_Versie,$A8,L_Kengetal,"Woningverkopen actual YTD")))</f>
        <v>193</v>
      </c>
      <c r="S8" s="117">
        <f>IF(COUNTIFS(L_Actief,1,L_Doeljaar,Sel_Doeljaar,L_Versiejaar,P_VJ,L_Versie,$A8,L_Kengetal,"Omzet FY",L_Type,Sel_TypeCrit,L_WBS,Sel_WBS)=0,"n.b.",SUMIFS(L_Waarde,L_Actief,1,L_Doeljaar,Sel_Doeljaar,L_Versiejaar,P_VJ,L_Versie,$A8,L_Kengetal,"Omzet FY",L_Type,Sel_TypeCrit,L_WBS,Sel_WBS))</f>
        <v>114096800</v>
      </c>
      <c r="T8" s="117">
        <f>IF(COUNTIFS(L_Actief,1,L_Doeljaar,Sel_Doeljaar,L_Versiejaar,P_VJ,L_Versie,$A8,L_Kengetal,"BOR FY",L_Type,Sel_TypeCrit,L_WBS,Sel_WBS)=0,"n.b.",SUMIFS(L_Waarde,L_Actief,1,L_Doeljaar,Sel_Doeljaar,L_Versiejaar,P_VJ,L_Versie,$A8,L_Kengetal,"BOR FY",L_Type,Sel_TypeCrit,L_WBS,Sel_WBS))</f>
        <v>10477198</v>
      </c>
      <c r="U8" s="117">
        <f>IF(Sel_Doeljaar&gt;P_VJ,"n.v.t.",IF(COUNTIFS(L_Actief,1,L_Doeljaar,Sel_Doeljaar,L_Versiejaar,P_VJ,L_Versie,$A8,L_Kengetal,"Omzet actual YTD",L_Type,Sel_TypeCrit,L_WBS,Sel_WBS)=0,"n.b.",SUMIFS(L_Waarde,L_Actief,1,L_Doeljaar,Sel_Doeljaar,L_Versiejaar,P_VJ,L_Versie,$A8,L_Kengetal,"Omzet actual YTD",L_Type,Sel_TypeCrit,L_WBS,Sel_WBS)))</f>
        <v>74162920</v>
      </c>
      <c r="V8" s="117">
        <f>IF(Sel_Doeljaar&gt;P_VJ,"n.v.t.",IF(COUNTIFS(L_Actief,1,L_Doeljaar,Sel_Doeljaar,L_Versiejaar,P_VJ,L_Versie,$A8,L_Kengetal,"BOR actual YTD",L_Type,Sel_TypeCrit,L_WBS,Sel_WBS)=0,"n.b.",SUMIFS(L_Waarde,L_Actief,1,L_Doeljaar,Sel_Doeljaar,L_Versiejaar,P_VJ,L_Versie,$A8,L_Kengetal,"BOR actual YTD",L_Type,Sel_TypeCrit,L_WBS,Sel_WBS)))</f>
        <v>6810178.7</v>
      </c>
      <c r="W8" s="117">
        <f>IF(COUNTIFS(L_Actief,1,L_Doeljaar,Sel_Doeljaar,L_Versiejaar,P_VJ,L_Versie,$A8,L_Kengetal,"Woningverkopen FY",L_Type,Sel_TypeCrit,L_WBS,Sel_WBS)=0,"n.b.",SUMIFS(L_Waarde,L_Actief,1,L_Doeljaar,Sel_Doeljaar,L_Versiejaar,P_VJ,L_Versie,$A8,L_Kengetal,"Woningverkopen FY",L_Type,Sel_TypeCrit,L_WBS,Sel_WBS))</f>
        <v>360</v>
      </c>
      <c r="X8" s="117">
        <f>IF(Sel_Doeljaar&gt;P_VJ,"n.v.t.",IF(COUNTIFS(L_Actief,1,L_Doeljaar,Sel_Doeljaar,L_Versiejaar,P_VJ,L_Versie,$A8,L_Kengetal,"Woningverkopen actual YTD",L_Type,Sel_TypeCrit,L_WBS,Sel_WBS)=0,"n.b.",SUMIFS(L_Waarde,L_Actief,1,L_Doeljaar,Sel_Doeljaar,L_Versiejaar,P_VJ,L_Versie,$A8,L_Kengetal,"Woningverkopen actual YTD",L_Type,Sel_TypeCrit,L_WBS,Sel_WBS)))</f>
        <v>193</v>
      </c>
      <c r="Y8" s="117" t="str">
        <f>IF(COUNTIFS(A_Doel,Sel_Doeljaar,A_VJ,P_VJ,A_Versie,$A8,A_Rubriek,"Taakstelling omzet",A_Soort,"FY",A_TeltVast,1)=0,"n.b.",SUMIFS(A_Waarde,A_Doel,Sel_Doeljaar,A_VJ,P_VJ,A_Versie,$A8,A_Rubriek,"Taakstelling omzet",A_Soort,"FY",A_TeltVast,1))</f>
        <v>n.b.</v>
      </c>
      <c r="Z8" s="117" t="str">
        <f>IF(COUNTIFS(A_Doel,Sel_Doeljaar,A_VJ,P_VJ,A_Versie,$A8,A_Rubriek,"Interne eliminaties",A_Soort,"FY",A_TeltVast,1)=0,"n.b.",SUMIFS(A_Waarde,A_Doel,Sel_Doeljaar,A_VJ,P_VJ,A_Versie,$A8,A_Rubriek,"Interne eliminaties",A_Soort,"FY",A_TeltVast,1))</f>
        <v>n.b.</v>
      </c>
      <c r="AA8" s="117" t="str">
        <f>IF(COUNTIFS(A_Doel,Sel_Doeljaar,A_VJ,P_VJ,A_Versie,$A8,A_Rubriek,"IFRS-eliminaties",A_Soort,"FY",A_TeltVast,1)=0,"n.b.",SUMIFS(A_Waarde,A_Doel,Sel_Doeljaar,A_VJ,P_VJ,A_Versie,$A8,A_Rubriek,"IFRS-eliminaties",A_Soort,"FY",A_TeltVast,1))</f>
        <v>n.b.</v>
      </c>
      <c r="AB8" s="117" t="str">
        <f>IF(COUNTIFS(A_Doel,Sel_Doeljaar,A_VJ,P_VJ,A_Versie,$A8,A_Rubriek,"AK-dekking",A_Soort,"FY",A_TeltVast,1)=0,"n.b.",SUMIFS(A_Waarde,A_Doel,Sel_Doeljaar,A_VJ,P_VJ,A_Versie,$A8,A_Rubriek,"AK-dekking",A_Soort,"FY",A_TeltVast,1))</f>
        <v>n.b.</v>
      </c>
      <c r="AC8" s="117" t="str">
        <f>IF(COUNTIFS(A_Doel,Sel_Doeljaar,A_VJ,P_VJ,A_Versie,$A8,A_Rubriek,"Fees",A_Soort,"FY",A_TeltVast,1)=0,"n.b.",SUMIFS(A_Waarde,A_Doel,Sel_Doeljaar,A_VJ,P_VJ,A_Versie,$A8,A_Rubriek,"Fees",A_Soort,"FY",A_TeltVast,1))</f>
        <v>n.b.</v>
      </c>
      <c r="AD8" s="117" t="str">
        <f>IF(COUNTIFS(A_Doel,Sel_Doeljaar,A_VJ,P_VJ,A_Versie,$A8,A_Rubriek,"Overige resultaten",A_Soort,"FY",A_TeltVast,1)=0,"n.b.",SUMIFS(A_Waarde,A_Doel,Sel_Doeljaar,A_VJ,P_VJ,A_Versie,$A8,A_Rubriek,"Overige resultaten",A_Soort,"FY",A_TeltVast,1))</f>
        <v>n.b.</v>
      </c>
      <c r="AE8" s="117" t="str">
        <f>IF(COUNTIFS(A_Doel,Sel_Doeljaar,A_VJ,P_VJ,A_Versie,$A8,A_Rubriek,"Taakstelling EBIT",A_Soort,"FY",A_TeltVast,1)=0,"n.b.",SUMIFS(A_Waarde,A_Doel,Sel_Doeljaar,A_VJ,P_VJ,A_Versie,$A8,A_Rubriek,"Taakstelling EBIT",A_Soort,"FY",A_TeltVast,1))</f>
        <v>n.b.</v>
      </c>
      <c r="AF8" s="117" t="str">
        <f>IF(COUNTIFS(A_Doel,Sel_Doeljaar,A_VJ,P_VJ,A_Versie,$A8,A_Rubriek,"Taakstelling omzet",A_Soort,"Actual YTD",A_TeltVast,1)=0,"n.b.",SUMIFS(A_Waarde,A_Doel,Sel_Doeljaar,A_VJ,P_VJ,A_Versie,$A8,A_Rubriek,"Taakstelling omzet",A_Soort,"Actual YTD",A_TeltVast,1))</f>
        <v>n.b.</v>
      </c>
      <c r="AG8" s="117" t="str">
        <f>IF(COUNTIFS(A_Doel,Sel_Doeljaar,A_VJ,P_VJ,A_Versie,$A8,A_Rubriek,"Interne eliminaties",A_Soort,"Actual YTD",A_TeltVast,1)=0,"n.b.",SUMIFS(A_Waarde,A_Doel,Sel_Doeljaar,A_VJ,P_VJ,A_Versie,$A8,A_Rubriek,"Interne eliminaties",A_Soort,"Actual YTD",A_TeltVast,1))</f>
        <v>n.b.</v>
      </c>
      <c r="AH8" s="117" t="str">
        <f>IF(COUNTIFS(A_Doel,Sel_Doeljaar,A_VJ,P_VJ,A_Versie,$A8,A_Rubriek,"IFRS-eliminaties",A_Soort,"Actual YTD",A_TeltVast,1)=0,"n.b.",SUMIFS(A_Waarde,A_Doel,Sel_Doeljaar,A_VJ,P_VJ,A_Versie,$A8,A_Rubriek,"IFRS-eliminaties",A_Soort,"Actual YTD",A_TeltVast,1))</f>
        <v>n.b.</v>
      </c>
      <c r="AI8" s="117" t="str">
        <f>IF(COUNTIFS(A_Doel,Sel_Doeljaar,A_VJ,P_VJ,A_Versie,$A8,A_Rubriek,"AK-dekking",A_Soort,"Actual YTD",A_TeltVast,1)=0,"n.b.",SUMIFS(A_Waarde,A_Doel,Sel_Doeljaar,A_VJ,P_VJ,A_Versie,$A8,A_Rubriek,"AK-dekking",A_Soort,"Actual YTD",A_TeltVast,1))</f>
        <v>n.b.</v>
      </c>
      <c r="AJ8" s="117" t="str">
        <f>IF(COUNTIFS(A_Doel,Sel_Doeljaar,A_VJ,P_VJ,A_Versie,$A8,A_Rubriek,"Fees",A_Soort,"Actual YTD",A_TeltVast,1)=0,"n.b.",SUMIFS(A_Waarde,A_Doel,Sel_Doeljaar,A_VJ,P_VJ,A_Versie,$A8,A_Rubriek,"Fees",A_Soort,"Actual YTD",A_TeltVast,1))</f>
        <v>n.b.</v>
      </c>
      <c r="AK8" s="117" t="str">
        <f>IF(COUNTIFS(A_Doel,Sel_Doeljaar,A_VJ,P_VJ,A_Versie,$A8,A_Rubriek,"Overige resultaten",A_Soort,"Actual YTD",A_TeltVast,1)=0,"n.b.",SUMIFS(A_Waarde,A_Doel,Sel_Doeljaar,A_VJ,P_VJ,A_Versie,$A8,A_Rubriek,"Overige resultaten",A_Soort,"Actual YTD",A_TeltVast,1))</f>
        <v>n.b.</v>
      </c>
      <c r="AL8" s="117" t="str">
        <f>IF(COUNTIFS(A_Doel,Sel_Doeljaar,A_VJ,P_VJ,A_Versie,$A8,A_Rubriek,"Taakstelling EBIT",A_Soort,"Actual YTD",A_TeltVast,1)=0,"n.b.",SUMIFS(A_Waarde,A_Doel,Sel_Doeljaar,A_VJ,P_VJ,A_Versie,$A8,A_Rubriek,"Taakstelling EBIT",A_Soort,"Actual YTD",A_TeltVast,1))</f>
        <v>n.b.</v>
      </c>
    </row>
    <row r="9">
      <c r="A9" s="92" t="inlineStr">
        <is>
          <t>Q4</t>
        </is>
      </c>
      <c r="B9" s="92" t="str">
        <f>IF(C9&gt;0,"Vastgesteld","n.b.")</f>
        <v>n.b.</v>
      </c>
      <c r="C9" s="117">
        <f>COUNTIFS(L_Actief,1,L_Doeljaar,Sel_Doeljaar,L_Versiejaar,P_VJ,L_Versie,$A9,L_Kengetal,"Omzet FY")</f>
        <v>0</v>
      </c>
      <c r="D9" s="117">
        <f>COUNTIFS(L_Actief,1,L_Doeljaar,Sel_Doeljaar,L_Versiejaar,P_VJ,L_Versie,$A9,L_Kengetal,"Omzet actual YTD")</f>
        <v>0</v>
      </c>
      <c r="E9" s="117">
        <f>COUNTIFS(L_Actief,1,L_Doeljaar,Sel_Doeljaar,L_Versiejaar,P_VJ,L_Versie,$A9,L_Kengetal,"Woningverkopen FY")</f>
        <v>0</v>
      </c>
      <c r="F9" s="117">
        <f>COUNTIFS(L_Actief,1,L_Doeljaar,Sel_Doeljaar,L_Versiejaar,P_VJ,L_Versie,$A9,L_Revisie,"&gt;0")</f>
        <v>0</v>
      </c>
      <c r="G9" s="117" t="str">
        <f>IF($C9=0,"n.b.",SUMIFS(L_Waarde,L_Actief,1,L_Doeljaar,Sel_Doeljaar,L_Versiejaar,P_VJ,L_Versie,$A9,L_Kengetal,"Omzet FY",L_Type,"Opstal"))</f>
        <v>n.b.</v>
      </c>
      <c r="H9" s="117" t="str">
        <f>IF($C9=0,"n.b.",SUMIFS(L_Waarde,L_Actief,1,L_Doeljaar,Sel_Doeljaar,L_Versiejaar,P_VJ,L_Versie,$A9,L_Kengetal,"Omzet FY",L_Type,"Deelneming"))</f>
        <v>n.b.</v>
      </c>
      <c r="I9" s="117" t="str">
        <f>IF($C9=0,"n.b.",SUMIFS(L_Waarde,L_Actief,1,L_Doeljaar,Sel_Doeljaar,L_Versiejaar,P_VJ,L_Versie,$A9,L_Kengetal,"BOR FY",L_Type,"Opstal"))</f>
        <v>n.b.</v>
      </c>
      <c r="J9" s="117" t="str">
        <f>IF($C9=0,"n.b.",SUMIFS(L_Waarde,L_Actief,1,L_Doeljaar,Sel_Doeljaar,L_Versiejaar,P_VJ,L_Versie,$A9,L_Kengetal,"BOR FY",L_Type,"Deelneming"))</f>
        <v>n.b.</v>
      </c>
      <c r="K9" s="117" t="str">
        <f>IF(Sel_Doeljaar&gt;P_VJ,"n.v.t.",IF(COUNTIFS(L_Actief,1,L_Doeljaar,Sel_Doeljaar,L_Versiejaar,P_VJ,L_Versie,$A9,L_Kengetal,"Omzet actual YTD")=0,"n.b.",SUMIFS(L_Waarde,L_Actief,1,L_Doeljaar,Sel_Doeljaar,L_Versiejaar,P_VJ,L_Versie,$A9,L_Kengetal,"Omzet actual YTD",L_Type,"Opstal")))</f>
        <v>n.b.</v>
      </c>
      <c r="L9" s="117" t="str">
        <f>IF(Sel_Doeljaar&gt;P_VJ,"n.v.t.",IF(COUNTIFS(L_Actief,1,L_Doeljaar,Sel_Doeljaar,L_Versiejaar,P_VJ,L_Versie,$A9,L_Kengetal,"Omzet actual YTD")=0,"n.b.",SUMIFS(L_Waarde,L_Actief,1,L_Doeljaar,Sel_Doeljaar,L_Versiejaar,P_VJ,L_Versie,$A9,L_Kengetal,"Omzet actual YTD",L_Type,"Deelneming")))</f>
        <v>n.b.</v>
      </c>
      <c r="M9" s="117" t="str">
        <f>IF(Sel_Doeljaar&gt;P_VJ,"n.v.t.",IF(COUNTIFS(L_Actief,1,L_Doeljaar,Sel_Doeljaar,L_Versiejaar,P_VJ,L_Versie,$A9,L_Kengetal,"BOR actual YTD")=0,"n.b.",SUMIFS(L_Waarde,L_Actief,1,L_Doeljaar,Sel_Doeljaar,L_Versiejaar,P_VJ,L_Versie,$A9,L_Kengetal,"BOR actual YTD",L_Type,"Opstal")))</f>
        <v>n.b.</v>
      </c>
      <c r="N9" s="117" t="str">
        <f>IF(Sel_Doeljaar&gt;P_VJ,"n.v.t.",IF(COUNTIFS(L_Actief,1,L_Doeljaar,Sel_Doeljaar,L_Versiejaar,P_VJ,L_Versie,$A9,L_Kengetal,"BOR actual YTD")=0,"n.b.",SUMIFS(L_Waarde,L_Actief,1,L_Doeljaar,Sel_Doeljaar,L_Versiejaar,P_VJ,L_Versie,$A9,L_Kengetal,"BOR actual YTD",L_Type,"Deelneming")))</f>
        <v>n.b.</v>
      </c>
      <c r="O9" s="117" t="str">
        <f>IF($C9=0,"n.b.",SUMIFS(L_Waarde,L_Actief,1,L_Doeljaar,Sel_Doeljaar,L_Versiejaar,P_VJ,L_Versie,$A9,L_Kengetal,"Omzet FY",L_IFRS,"N"))</f>
        <v>n.b.</v>
      </c>
      <c r="P9" s="117" t="str">
        <f>IF($C9=0,"n.b.",SUMIFS(L_Waarde,L_Actief,1,L_Doeljaar,Sel_Doeljaar,L_Versiejaar,P_VJ,L_Versie,$A9,L_Kengetal,"BOR FY",L_IFRS,"N"))</f>
        <v>n.b.</v>
      </c>
      <c r="Q9" s="117" t="str">
        <f>IF($E9=0,"n.b.",SUMIFS(L_Waarde,L_Actief,1,L_Doeljaar,Sel_Doeljaar,L_Versiejaar,P_VJ,L_Versie,$A9,L_Kengetal,"Woningverkopen FY"))</f>
        <v>n.b.</v>
      </c>
      <c r="R9" s="117" t="str">
        <f>IF(Sel_Doeljaar&gt;P_VJ,"n.v.t.",IF(COUNTIFS(L_Actief,1,L_Doeljaar,Sel_Doeljaar,L_Versiejaar,P_VJ,L_Versie,$A9,L_Kengetal,"Woningverkopen actual YTD")=0,"n.b.",SUMIFS(L_Waarde,L_Actief,1,L_Doeljaar,Sel_Doeljaar,L_Versiejaar,P_VJ,L_Versie,$A9,L_Kengetal,"Woningverkopen actual YTD")))</f>
        <v>n.b.</v>
      </c>
      <c r="S9" s="117" t="str">
        <f>IF(COUNTIFS(L_Actief,1,L_Doeljaar,Sel_Doeljaar,L_Versiejaar,P_VJ,L_Versie,$A9,L_Kengetal,"Omzet FY",L_Type,Sel_TypeCrit,L_WBS,Sel_WBS)=0,"n.b.",SUMIFS(L_Waarde,L_Actief,1,L_Doeljaar,Sel_Doeljaar,L_Versiejaar,P_VJ,L_Versie,$A9,L_Kengetal,"Omzet FY",L_Type,Sel_TypeCrit,L_WBS,Sel_WBS))</f>
        <v>n.b.</v>
      </c>
      <c r="T9" s="117" t="str">
        <f>IF(COUNTIFS(L_Actief,1,L_Doeljaar,Sel_Doeljaar,L_Versiejaar,P_VJ,L_Versie,$A9,L_Kengetal,"BOR FY",L_Type,Sel_TypeCrit,L_WBS,Sel_WBS)=0,"n.b.",SUMIFS(L_Waarde,L_Actief,1,L_Doeljaar,Sel_Doeljaar,L_Versiejaar,P_VJ,L_Versie,$A9,L_Kengetal,"BOR FY",L_Type,Sel_TypeCrit,L_WBS,Sel_WBS))</f>
        <v>n.b.</v>
      </c>
      <c r="U9" s="117" t="str">
        <f>IF(Sel_Doeljaar&gt;P_VJ,"n.v.t.",IF(COUNTIFS(L_Actief,1,L_Doeljaar,Sel_Doeljaar,L_Versiejaar,P_VJ,L_Versie,$A9,L_Kengetal,"Omzet actual YTD",L_Type,Sel_TypeCrit,L_WBS,Sel_WBS)=0,"n.b.",SUMIFS(L_Waarde,L_Actief,1,L_Doeljaar,Sel_Doeljaar,L_Versiejaar,P_VJ,L_Versie,$A9,L_Kengetal,"Omzet actual YTD",L_Type,Sel_TypeCrit,L_WBS,Sel_WBS)))</f>
        <v>n.b.</v>
      </c>
      <c r="V9" s="117" t="str">
        <f>IF(Sel_Doeljaar&gt;P_VJ,"n.v.t.",IF(COUNTIFS(L_Actief,1,L_Doeljaar,Sel_Doeljaar,L_Versiejaar,P_VJ,L_Versie,$A9,L_Kengetal,"BOR actual YTD",L_Type,Sel_TypeCrit,L_WBS,Sel_WBS)=0,"n.b.",SUMIFS(L_Waarde,L_Actief,1,L_Doeljaar,Sel_Doeljaar,L_Versiejaar,P_VJ,L_Versie,$A9,L_Kengetal,"BOR actual YTD",L_Type,Sel_TypeCrit,L_WBS,Sel_WBS)))</f>
        <v>n.b.</v>
      </c>
      <c r="W9" s="117" t="str">
        <f>IF(COUNTIFS(L_Actief,1,L_Doeljaar,Sel_Doeljaar,L_Versiejaar,P_VJ,L_Versie,$A9,L_Kengetal,"Woningverkopen FY",L_Type,Sel_TypeCrit,L_WBS,Sel_WBS)=0,"n.b.",SUMIFS(L_Waarde,L_Actief,1,L_Doeljaar,Sel_Doeljaar,L_Versiejaar,P_VJ,L_Versie,$A9,L_Kengetal,"Woningverkopen FY",L_Type,Sel_TypeCrit,L_WBS,Sel_WBS))</f>
        <v>n.b.</v>
      </c>
      <c r="X9" s="117" t="str">
        <f>IF(Sel_Doeljaar&gt;P_VJ,"n.v.t.",IF(COUNTIFS(L_Actief,1,L_Doeljaar,Sel_Doeljaar,L_Versiejaar,P_VJ,L_Versie,$A9,L_Kengetal,"Woningverkopen actual YTD",L_Type,Sel_TypeCrit,L_WBS,Sel_WBS)=0,"n.b.",SUMIFS(L_Waarde,L_Actief,1,L_Doeljaar,Sel_Doeljaar,L_Versiejaar,P_VJ,L_Versie,$A9,L_Kengetal,"Woningverkopen actual YTD",L_Type,Sel_TypeCrit,L_WBS,Sel_WBS)))</f>
        <v>n.b.</v>
      </c>
      <c r="Y9" s="117" t="str">
        <f>IF(COUNTIFS(A_Doel,Sel_Doeljaar,A_VJ,P_VJ,A_Versie,$A9,A_Rubriek,"Taakstelling omzet",A_Soort,"FY",A_TeltVast,1)=0,"n.b.",SUMIFS(A_Waarde,A_Doel,Sel_Doeljaar,A_VJ,P_VJ,A_Versie,$A9,A_Rubriek,"Taakstelling omzet",A_Soort,"FY",A_TeltVast,1))</f>
        <v>n.b.</v>
      </c>
      <c r="Z9" s="117" t="str">
        <f>IF(COUNTIFS(A_Doel,Sel_Doeljaar,A_VJ,P_VJ,A_Versie,$A9,A_Rubriek,"Interne eliminaties",A_Soort,"FY",A_TeltVast,1)=0,"n.b.",SUMIFS(A_Waarde,A_Doel,Sel_Doeljaar,A_VJ,P_VJ,A_Versie,$A9,A_Rubriek,"Interne eliminaties",A_Soort,"FY",A_TeltVast,1))</f>
        <v>n.b.</v>
      </c>
      <c r="AA9" s="117" t="str">
        <f>IF(COUNTIFS(A_Doel,Sel_Doeljaar,A_VJ,P_VJ,A_Versie,$A9,A_Rubriek,"IFRS-eliminaties",A_Soort,"FY",A_TeltVast,1)=0,"n.b.",SUMIFS(A_Waarde,A_Doel,Sel_Doeljaar,A_VJ,P_VJ,A_Versie,$A9,A_Rubriek,"IFRS-eliminaties",A_Soort,"FY",A_TeltVast,1))</f>
        <v>n.b.</v>
      </c>
      <c r="AB9" s="117" t="str">
        <f>IF(COUNTIFS(A_Doel,Sel_Doeljaar,A_VJ,P_VJ,A_Versie,$A9,A_Rubriek,"AK-dekking",A_Soort,"FY",A_TeltVast,1)=0,"n.b.",SUMIFS(A_Waarde,A_Doel,Sel_Doeljaar,A_VJ,P_VJ,A_Versie,$A9,A_Rubriek,"AK-dekking",A_Soort,"FY",A_TeltVast,1))</f>
        <v>n.b.</v>
      </c>
      <c r="AC9" s="117" t="str">
        <f>IF(COUNTIFS(A_Doel,Sel_Doeljaar,A_VJ,P_VJ,A_Versie,$A9,A_Rubriek,"Fees",A_Soort,"FY",A_TeltVast,1)=0,"n.b.",SUMIFS(A_Waarde,A_Doel,Sel_Doeljaar,A_VJ,P_VJ,A_Versie,$A9,A_Rubriek,"Fees",A_Soort,"FY",A_TeltVast,1))</f>
        <v>n.b.</v>
      </c>
      <c r="AD9" s="117" t="str">
        <f>IF(COUNTIFS(A_Doel,Sel_Doeljaar,A_VJ,P_VJ,A_Versie,$A9,A_Rubriek,"Overige resultaten",A_Soort,"FY",A_TeltVast,1)=0,"n.b.",SUMIFS(A_Waarde,A_Doel,Sel_Doeljaar,A_VJ,P_VJ,A_Versie,$A9,A_Rubriek,"Overige resultaten",A_Soort,"FY",A_TeltVast,1))</f>
        <v>n.b.</v>
      </c>
      <c r="AE9" s="117" t="str">
        <f>IF(COUNTIFS(A_Doel,Sel_Doeljaar,A_VJ,P_VJ,A_Versie,$A9,A_Rubriek,"Taakstelling EBIT",A_Soort,"FY",A_TeltVast,1)=0,"n.b.",SUMIFS(A_Waarde,A_Doel,Sel_Doeljaar,A_VJ,P_VJ,A_Versie,$A9,A_Rubriek,"Taakstelling EBIT",A_Soort,"FY",A_TeltVast,1))</f>
        <v>n.b.</v>
      </c>
      <c r="AF9" s="117" t="str">
        <f>IF(COUNTIFS(A_Doel,Sel_Doeljaar,A_VJ,P_VJ,A_Versie,$A9,A_Rubriek,"Taakstelling omzet",A_Soort,"Actual YTD",A_TeltVast,1)=0,"n.b.",SUMIFS(A_Waarde,A_Doel,Sel_Doeljaar,A_VJ,P_VJ,A_Versie,$A9,A_Rubriek,"Taakstelling omzet",A_Soort,"Actual YTD",A_TeltVast,1))</f>
        <v>n.b.</v>
      </c>
      <c r="AG9" s="117" t="str">
        <f>IF(COUNTIFS(A_Doel,Sel_Doeljaar,A_VJ,P_VJ,A_Versie,$A9,A_Rubriek,"Interne eliminaties",A_Soort,"Actual YTD",A_TeltVast,1)=0,"n.b.",SUMIFS(A_Waarde,A_Doel,Sel_Doeljaar,A_VJ,P_VJ,A_Versie,$A9,A_Rubriek,"Interne eliminaties",A_Soort,"Actual YTD",A_TeltVast,1))</f>
        <v>n.b.</v>
      </c>
      <c r="AH9" s="117" t="str">
        <f>IF(COUNTIFS(A_Doel,Sel_Doeljaar,A_VJ,P_VJ,A_Versie,$A9,A_Rubriek,"IFRS-eliminaties",A_Soort,"Actual YTD",A_TeltVast,1)=0,"n.b.",SUMIFS(A_Waarde,A_Doel,Sel_Doeljaar,A_VJ,P_VJ,A_Versie,$A9,A_Rubriek,"IFRS-eliminaties",A_Soort,"Actual YTD",A_TeltVast,1))</f>
        <v>n.b.</v>
      </c>
      <c r="AI9" s="117" t="str">
        <f>IF(COUNTIFS(A_Doel,Sel_Doeljaar,A_VJ,P_VJ,A_Versie,$A9,A_Rubriek,"AK-dekking",A_Soort,"Actual YTD",A_TeltVast,1)=0,"n.b.",SUMIFS(A_Waarde,A_Doel,Sel_Doeljaar,A_VJ,P_VJ,A_Versie,$A9,A_Rubriek,"AK-dekking",A_Soort,"Actual YTD",A_TeltVast,1))</f>
        <v>n.b.</v>
      </c>
      <c r="AJ9" s="117" t="str">
        <f>IF(COUNTIFS(A_Doel,Sel_Doeljaar,A_VJ,P_VJ,A_Versie,$A9,A_Rubriek,"Fees",A_Soort,"Actual YTD",A_TeltVast,1)=0,"n.b.",SUMIFS(A_Waarde,A_Doel,Sel_Doeljaar,A_VJ,P_VJ,A_Versie,$A9,A_Rubriek,"Fees",A_Soort,"Actual YTD",A_TeltVast,1))</f>
        <v>n.b.</v>
      </c>
      <c r="AK9" s="117" t="str">
        <f>IF(COUNTIFS(A_Doel,Sel_Doeljaar,A_VJ,P_VJ,A_Versie,$A9,A_Rubriek,"Overige resultaten",A_Soort,"Actual YTD",A_TeltVast,1)=0,"n.b.",SUMIFS(A_Waarde,A_Doel,Sel_Doeljaar,A_VJ,P_VJ,A_Versie,$A9,A_Rubriek,"Overige resultaten",A_Soort,"Actual YTD",A_TeltVast,1))</f>
        <v>n.b.</v>
      </c>
      <c r="AL9" s="117" t="str">
        <f>IF(COUNTIFS(A_Doel,Sel_Doeljaar,A_VJ,P_VJ,A_Versie,$A9,A_Rubriek,"Taakstelling EBIT",A_Soort,"Actual YTD",A_TeltVast,1)=0,"n.b.",SUMIFS(A_Waarde,A_Doel,Sel_Doeljaar,A_VJ,P_VJ,A_Versie,$A9,A_Rubriek,"Taakstelling EBIT",A_Soort,"Actual YTD",A_TeltVast,1))</f>
        <v>n.b.</v>
      </c>
    </row>
    <row r="10">
      <c r="A10" s="92" t="inlineStr">
        <is>
          <t>Upload</t>
        </is>
      </c>
      <c r="B10" s="92" t="str">
        <f>IF(C10&gt;0,"Concept","n.b.")</f>
        <v>Concept</v>
      </c>
      <c r="C10" s="117">
        <f>IF(OR(Sel_Doeljaar=P_RJ,Sel_Doeljaar=P_RJ+1),COUNT(V_OmzFY),0)</f>
        <v>20</v>
      </c>
      <c r="D10" s="117">
        <f>IF(Sel_Doeljaar=P_RJ,COUNT(V_OmzYTD),0)</f>
        <v>20</v>
      </c>
      <c r="E10" s="117">
        <f>IF(OR(Sel_Doeljaar=P_RJ,Sel_Doeljaar=P_RJ+1),COUNT(V_W_Aantal),0)</f>
        <v>20</v>
      </c>
      <c r="F10" s="117" t="n">
        <v>0</v>
      </c>
      <c r="G10" s="117">
        <f>IF($C10=0,"n.b.",IF(Sel_Doeljaar=P_RJ,SUMIFS(V_OmzFY,V_Type,"Opstal"),SUMIFS(V_OmzFY1,V_Type,"Opstal")))</f>
        <v>108436600</v>
      </c>
      <c r="H10" s="117">
        <f>IF($C10=0,"n.b.",IF(Sel_Doeljaar=P_RJ,SUMIFS(V_OmzFY,V_Type,"Deelneming"),SUMIFS(V_OmzFY1,V_Type,"Deelneming")))</f>
        <v>5660200</v>
      </c>
      <c r="I10" s="117">
        <f>IF($C10=0,"n.b.",IF(Sel_Doeljaar=P_RJ,SUMIFS(V_BorFY,V_Type,"Opstal"),SUMIFS(V_BorFY1,V_Type,"Opstal")))</f>
        <v>10093066</v>
      </c>
      <c r="J10" s="117">
        <f>IF($C10=0,"n.b.",IF(Sel_Doeljaar=P_RJ,SUMIFS(V_BorFY,V_Type,"Deelneming"),SUMIFS(V_BorFY1,V_Type,"Deelneming")))</f>
        <v>384132</v>
      </c>
      <c r="K10" s="117">
        <f>IF(Sel_Doeljaar&lt;&gt;P_RJ,"n.v.t.",IF($D10=0,"n.b.",SUMIFS(V_OmzYTD,V_Type,"Opstal")))</f>
        <v>70483790</v>
      </c>
      <c r="L10" s="117">
        <f>IF(Sel_Doeljaar&lt;&gt;P_RJ,"n.v.t.",IF($D10=0,"n.b.",SUMIFS(V_OmzYTD,V_Type,"Deelneming")))</f>
        <v>3679130</v>
      </c>
      <c r="M10" s="117">
        <f>IF(Sel_Doeljaar&lt;&gt;P_RJ,"n.v.t.",IF($D10=0,"n.b.",SUMIFS(V_BorYTD,V_Type,"Opstal")))</f>
        <v>6560492.9</v>
      </c>
      <c r="N10" s="117">
        <f>IF(Sel_Doeljaar&lt;&gt;P_RJ,"n.v.t.",IF($D10=0,"n.b.",SUMIFS(V_BorYTD,V_Type,"Deelneming")))</f>
        <v>249685.8</v>
      </c>
      <c r="O10" s="117">
        <f>IF($C10=0,"n.b.",IF(Sel_Doeljaar=P_RJ,SUMIFS(V_OmzFY,V_IFRS,"N"),SUMIFS(V_OmzFY1,V_IFRS,"N")))</f>
        <v>5660200</v>
      </c>
      <c r="P10" s="117">
        <f>IF($C10=0,"n.b.",IF(Sel_Doeljaar=P_RJ,SUMIFS(V_BorFY,V_IFRS,"N"),SUMIFS(V_BorFY1,V_IFRS,"N")))</f>
        <v>384132</v>
      </c>
      <c r="Q10" s="117">
        <f>IF($E10=0,"n.b.",IF(Sel_Doeljaar=P_RJ,SUMIFS(V_W_HuidigJaar,V_Meetellen,"Ja"),SUMIFS(V_W_VolgendJaar,V_Meetellen,"Ja")))</f>
        <v>360</v>
      </c>
      <c r="R10" s="117">
        <f>IF(Sel_Doeljaar&lt;&gt;P_RJ,"n.v.t.",IF($D10=0,"n.b.",SUMIFS(V_W_ActYTD,V_Meetellen,"Ja")))</f>
        <v>193</v>
      </c>
      <c r="S10" s="117">
        <f>IF($C10=0,"n.b.",IF(Sel_Doeljaar=P_RJ,SUMIFS(V_OmzFY,V_Type,Sel_TypeCrit,V_WBS,Sel_WBS),SUMIFS(V_OmzFY1,V_Type,Sel_TypeCrit,V_WBS,Sel_WBS)))</f>
        <v>114096800</v>
      </c>
      <c r="T10" s="117">
        <f>IF($C10=0,"n.b.",IF(Sel_Doeljaar=P_RJ,SUMIFS(V_BorFY,V_Type,Sel_TypeCrit,V_WBS,Sel_WBS),SUMIFS(V_BorFY1,V_Type,Sel_TypeCrit,V_WBS,Sel_WBS)))</f>
        <v>10477198</v>
      </c>
      <c r="U10" s="117">
        <f>IF(Sel_Doeljaar&lt;&gt;P_RJ,"n.v.t.",IF($D10=0,"n.b.",SUMIFS(V_OmzYTD,V_Type,Sel_TypeCrit,V_WBS,Sel_WBS)))</f>
        <v>74162920</v>
      </c>
      <c r="V10" s="117">
        <f>IF(Sel_Doeljaar&lt;&gt;P_RJ,"n.v.t.",IF($D10=0,"n.b.",SUMIFS(V_BorYTD,V_Type,Sel_TypeCrit,V_WBS,Sel_WBS)))</f>
        <v>6810178.7</v>
      </c>
      <c r="W10" s="117">
        <f>IF($E10=0,"n.b.",IF(Sel_Doeljaar=P_RJ,SUMIFS(V_W_HuidigJaar,V_Meetellen,"Ja",V_Type,Sel_TypeCrit,V_WBS,Sel_WBS),SUMIFS(V_W_VolgendJaar,V_Meetellen,"Ja",V_Type,Sel_TypeCrit,V_WBS,Sel_WBS)))</f>
        <v>360</v>
      </c>
      <c r="X10" s="117">
        <f>IF(Sel_Doeljaar&lt;&gt;P_RJ,"n.v.t.",IF($D10=0,"n.b.",SUMIFS(V_W_ActYTD,V_Meetellen,"Ja",V_Type,Sel_TypeCrit,V_WBS,Sel_WBS)))</f>
        <v>193</v>
      </c>
      <c r="Y10" s="117" t="str">
        <f>IF(COUNTIFS(A_Doel,Sel_Doeljaar,A_VJ,P_UploadVJ,A_Versie,P_UploadVersie,A_Rubriek,"Taakstelling omzet",A_Soort,"FY",A_TeltConcept,1)=0,"n.b.",SUMIFS(A_Waarde,A_Doel,Sel_Doeljaar,A_VJ,P_UploadVJ,A_Versie,P_UploadVersie,A_Rubriek,"Taakstelling omzet",A_Soort,"FY",A_TeltConcept,1))</f>
        <v>n.b.</v>
      </c>
      <c r="Z10" s="117" t="str">
        <f>IF(COUNTIFS(A_Doel,Sel_Doeljaar,A_VJ,P_UploadVJ,A_Versie,P_UploadVersie,A_Rubriek,"Interne eliminaties",A_Soort,"FY",A_TeltConcept,1)=0,"n.b.",SUMIFS(A_Waarde,A_Doel,Sel_Doeljaar,A_VJ,P_UploadVJ,A_Versie,P_UploadVersie,A_Rubriek,"Interne eliminaties",A_Soort,"FY",A_TeltConcept,1))</f>
        <v>n.b.</v>
      </c>
      <c r="AA10" s="117" t="str">
        <f>IF(COUNTIFS(A_Doel,Sel_Doeljaar,A_VJ,P_UploadVJ,A_Versie,P_UploadVersie,A_Rubriek,"IFRS-eliminaties",A_Soort,"FY",A_TeltConcept,1)=0,"n.b.",SUMIFS(A_Waarde,A_Doel,Sel_Doeljaar,A_VJ,P_UploadVJ,A_Versie,P_UploadVersie,A_Rubriek,"IFRS-eliminaties",A_Soort,"FY",A_TeltConcept,1))</f>
        <v>n.b.</v>
      </c>
      <c r="AB10" s="117" t="str">
        <f>IF(COUNTIFS(A_Doel,Sel_Doeljaar,A_VJ,P_UploadVJ,A_Versie,P_UploadVersie,A_Rubriek,"AK-dekking",A_Soort,"FY",A_TeltConcept,1)=0,"n.b.",SUMIFS(A_Waarde,A_Doel,Sel_Doeljaar,A_VJ,P_UploadVJ,A_Versie,P_UploadVersie,A_Rubriek,"AK-dekking",A_Soort,"FY",A_TeltConcept,1))</f>
        <v>n.b.</v>
      </c>
      <c r="AC10" s="117" t="str">
        <f>IF(COUNTIFS(A_Doel,Sel_Doeljaar,A_VJ,P_UploadVJ,A_Versie,P_UploadVersie,A_Rubriek,"Fees",A_Soort,"FY",A_TeltConcept,1)=0,"n.b.",SUMIFS(A_Waarde,A_Doel,Sel_Doeljaar,A_VJ,P_UploadVJ,A_Versie,P_UploadVersie,A_Rubriek,"Fees",A_Soort,"FY",A_TeltConcept,1))</f>
        <v>n.b.</v>
      </c>
      <c r="AD10" s="117" t="str">
        <f>IF(COUNTIFS(A_Doel,Sel_Doeljaar,A_VJ,P_UploadVJ,A_Versie,P_UploadVersie,A_Rubriek,"Overige resultaten",A_Soort,"FY",A_TeltConcept,1)=0,"n.b.",SUMIFS(A_Waarde,A_Doel,Sel_Doeljaar,A_VJ,P_UploadVJ,A_Versie,P_UploadVersie,A_Rubriek,"Overige resultaten",A_Soort,"FY",A_TeltConcept,1))</f>
        <v>n.b.</v>
      </c>
      <c r="AE10" s="117" t="str">
        <f>IF(COUNTIFS(A_Doel,Sel_Doeljaar,A_VJ,P_UploadVJ,A_Versie,P_UploadVersie,A_Rubriek,"Taakstelling EBIT",A_Soort,"FY",A_TeltConcept,1)=0,"n.b.",SUMIFS(A_Waarde,A_Doel,Sel_Doeljaar,A_VJ,P_UploadVJ,A_Versie,P_UploadVersie,A_Rubriek,"Taakstelling EBIT",A_Soort,"FY",A_TeltConcept,1))</f>
        <v>n.b.</v>
      </c>
      <c r="AF10" s="117" t="str">
        <f>IF(COUNTIFS(A_Doel,Sel_Doeljaar,A_VJ,P_UploadVJ,A_Versie,P_UploadVersie,A_Rubriek,"Taakstelling omzet",A_Soort,"Actual YTD",A_TeltConcept,1)=0,"n.b.",SUMIFS(A_Waarde,A_Doel,Sel_Doeljaar,A_VJ,P_UploadVJ,A_Versie,P_UploadVersie,A_Rubriek,"Taakstelling omzet",A_Soort,"Actual YTD",A_TeltConcept,1))</f>
        <v>n.b.</v>
      </c>
      <c r="AG10" s="117" t="str">
        <f>IF(COUNTIFS(A_Doel,Sel_Doeljaar,A_VJ,P_UploadVJ,A_Versie,P_UploadVersie,A_Rubriek,"Interne eliminaties",A_Soort,"Actual YTD",A_TeltConcept,1)=0,"n.b.",SUMIFS(A_Waarde,A_Doel,Sel_Doeljaar,A_VJ,P_UploadVJ,A_Versie,P_UploadVersie,A_Rubriek,"Interne eliminaties",A_Soort,"Actual YTD",A_TeltConcept,1))</f>
        <v>n.b.</v>
      </c>
      <c r="AH10" s="117" t="str">
        <f>IF(COUNTIFS(A_Doel,Sel_Doeljaar,A_VJ,P_UploadVJ,A_Versie,P_UploadVersie,A_Rubriek,"IFRS-eliminaties",A_Soort,"Actual YTD",A_TeltConcept,1)=0,"n.b.",SUMIFS(A_Waarde,A_Doel,Sel_Doeljaar,A_VJ,P_UploadVJ,A_Versie,P_UploadVersie,A_Rubriek,"IFRS-eliminaties",A_Soort,"Actual YTD",A_TeltConcept,1))</f>
        <v>n.b.</v>
      </c>
      <c r="AI10" s="117" t="str">
        <f>IF(COUNTIFS(A_Doel,Sel_Doeljaar,A_VJ,P_UploadVJ,A_Versie,P_UploadVersie,A_Rubriek,"AK-dekking",A_Soort,"Actual YTD",A_TeltConcept,1)=0,"n.b.",SUMIFS(A_Waarde,A_Doel,Sel_Doeljaar,A_VJ,P_UploadVJ,A_Versie,P_UploadVersie,A_Rubriek,"AK-dekking",A_Soort,"Actual YTD",A_TeltConcept,1))</f>
        <v>n.b.</v>
      </c>
      <c r="AJ10" s="117" t="str">
        <f>IF(COUNTIFS(A_Doel,Sel_Doeljaar,A_VJ,P_UploadVJ,A_Versie,P_UploadVersie,A_Rubriek,"Fees",A_Soort,"Actual YTD",A_TeltConcept,1)=0,"n.b.",SUMIFS(A_Waarde,A_Doel,Sel_Doeljaar,A_VJ,P_UploadVJ,A_Versie,P_UploadVersie,A_Rubriek,"Fees",A_Soort,"Actual YTD",A_TeltConcept,1))</f>
        <v>n.b.</v>
      </c>
      <c r="AK10" s="117" t="str">
        <f>IF(COUNTIFS(A_Doel,Sel_Doeljaar,A_VJ,P_UploadVJ,A_Versie,P_UploadVersie,A_Rubriek,"Overige resultaten",A_Soort,"Actual YTD",A_TeltConcept,1)=0,"n.b.",SUMIFS(A_Waarde,A_Doel,Sel_Doeljaar,A_VJ,P_UploadVJ,A_Versie,P_UploadVersie,A_Rubriek,"Overige resultaten",A_Soort,"Actual YTD",A_TeltConcept,1))</f>
        <v>n.b.</v>
      </c>
      <c r="AL10" s="117" t="str">
        <f>IF(COUNTIFS(A_Doel,Sel_Doeljaar,A_VJ,P_UploadVJ,A_Versie,P_UploadVersie,A_Rubriek,"Taakstelling EBIT",A_Soort,"Actual YTD",A_TeltConcept,1)=0,"n.b.",SUMIFS(A_Waarde,A_Doel,Sel_Doeljaar,A_VJ,P_UploadVJ,A_Versie,P_UploadVersie,A_Rubriek,"Taakstelling EBIT",A_Soort,"Actual YTD",A_TeltConcept,1))</f>
        <v>n.b.</v>
      </c>
    </row>
    <row r="11">
      <c r="A11" s="120" t="str">
        <f>Sel_Versie</f>
        <v>Q3</v>
      </c>
      <c r="B11" s="120" t="str">
        <f>IF(INDEX($C$5:$C$9,MATCH(Sel_Versie,$A$5:$A$9,0))&gt;0,"Vastgesteld",IF(AND(Sel_Versie=P_UploadVersie,P_VJ=P_UploadVJ,$C$10&gt;0),"Concept","n.b."))</f>
        <v>Vastgesteld</v>
      </c>
      <c r="C11" s="121">
        <f>IF($B$11="Vastgesteld",INDEX(C$5:C$9,MATCH(Sel_Versie,$A$5:$A$9,0)),IF($B$11="Concept",C$10,"n.b."))</f>
        <v>20</v>
      </c>
      <c r="D11" s="121">
        <f>IF($B$11="Vastgesteld",INDEX(D$5:D$9,MATCH(Sel_Versie,$A$5:$A$9,0)),IF($B$11="Concept",D$10,"n.b."))</f>
        <v>20</v>
      </c>
      <c r="E11" s="121">
        <f>IF($B$11="Vastgesteld",INDEX(E$5:E$9,MATCH(Sel_Versie,$A$5:$A$9,0)),IF($B$11="Concept",E$10,"n.b."))</f>
        <v>20</v>
      </c>
      <c r="F11" s="121">
        <f>IF($B$11="Vastgesteld",INDEX(F$5:F$9,MATCH(Sel_Versie,$A$5:$A$9,0)),IF($B$11="Concept",F$10,"n.b."))</f>
        <v>0</v>
      </c>
      <c r="G11" s="121">
        <f>IF($B$11="Vastgesteld",INDEX(G$5:G$9,MATCH(Sel_Versie,$A$5:$A$9,0)),IF($B$11="Concept",G$10,"n.b."))</f>
        <v>108436600</v>
      </c>
      <c r="H11" s="121">
        <f>IF($B$11="Vastgesteld",INDEX(H$5:H$9,MATCH(Sel_Versie,$A$5:$A$9,0)),IF($B$11="Concept",H$10,"n.b."))</f>
        <v>5660200</v>
      </c>
      <c r="I11" s="121">
        <f>IF($B$11="Vastgesteld",INDEX(I$5:I$9,MATCH(Sel_Versie,$A$5:$A$9,0)),IF($B$11="Concept",I$10,"n.b."))</f>
        <v>10093066</v>
      </c>
      <c r="J11" s="121">
        <f>IF($B$11="Vastgesteld",INDEX(J$5:J$9,MATCH(Sel_Versie,$A$5:$A$9,0)),IF($B$11="Concept",J$10,"n.b."))</f>
        <v>384132</v>
      </c>
      <c r="K11" s="121">
        <f>IF($B$11="Vastgesteld",INDEX(K$5:K$9,MATCH(Sel_Versie,$A$5:$A$9,0)),IF($B$11="Concept",K$10,"n.b."))</f>
        <v>70483790</v>
      </c>
      <c r="L11" s="121">
        <f>IF($B$11="Vastgesteld",INDEX(L$5:L$9,MATCH(Sel_Versie,$A$5:$A$9,0)),IF($B$11="Concept",L$10,"n.b."))</f>
        <v>3679130</v>
      </c>
      <c r="M11" s="121">
        <f>IF($B$11="Vastgesteld",INDEX(M$5:M$9,MATCH(Sel_Versie,$A$5:$A$9,0)),IF($B$11="Concept",M$10,"n.b."))</f>
        <v>6560492.9</v>
      </c>
      <c r="N11" s="121">
        <f>IF($B$11="Vastgesteld",INDEX(N$5:N$9,MATCH(Sel_Versie,$A$5:$A$9,0)),IF($B$11="Concept",N$10,"n.b."))</f>
        <v>249685.8</v>
      </c>
      <c r="O11" s="121">
        <f>IF($B$11="Vastgesteld",INDEX(O$5:O$9,MATCH(Sel_Versie,$A$5:$A$9,0)),IF($B$11="Concept",O$10,"n.b."))</f>
        <v>5660200</v>
      </c>
      <c r="P11" s="121">
        <f>IF($B$11="Vastgesteld",INDEX(P$5:P$9,MATCH(Sel_Versie,$A$5:$A$9,0)),IF($B$11="Concept",P$10,"n.b."))</f>
        <v>384132</v>
      </c>
      <c r="Q11" s="121">
        <f>IF($B$11="Vastgesteld",INDEX(Q$5:Q$9,MATCH(Sel_Versie,$A$5:$A$9,0)),IF($B$11="Concept",Q$10,"n.b."))</f>
        <v>360</v>
      </c>
      <c r="R11" s="121">
        <f>IF($B$11="Vastgesteld",INDEX(R$5:R$9,MATCH(Sel_Versie,$A$5:$A$9,0)),IF($B$11="Concept",R$10,"n.b."))</f>
        <v>193</v>
      </c>
      <c r="S11" s="121">
        <f>IF($B$11="Vastgesteld",INDEX(S$5:S$9,MATCH(Sel_Versie,$A$5:$A$9,0)),IF($B$11="Concept",S$10,"n.b."))</f>
        <v>114096800</v>
      </c>
      <c r="T11" s="121">
        <f>IF($B$11="Vastgesteld",INDEX(T$5:T$9,MATCH(Sel_Versie,$A$5:$A$9,0)),IF($B$11="Concept",T$10,"n.b."))</f>
        <v>10477198</v>
      </c>
      <c r="U11" s="121">
        <f>IF($B$11="Vastgesteld",INDEX(U$5:U$9,MATCH(Sel_Versie,$A$5:$A$9,0)),IF($B$11="Concept",U$10,"n.b."))</f>
        <v>74162920</v>
      </c>
      <c r="V11" s="121">
        <f>IF($B$11="Vastgesteld",INDEX(V$5:V$9,MATCH(Sel_Versie,$A$5:$A$9,0)),IF($B$11="Concept",V$10,"n.b."))</f>
        <v>6810178.7</v>
      </c>
      <c r="W11" s="121">
        <f>IF($B$11="Vastgesteld",INDEX(W$5:W$9,MATCH(Sel_Versie,$A$5:$A$9,0)),IF($B$11="Concept",W$10,"n.b."))</f>
        <v>360</v>
      </c>
      <c r="X11" s="121">
        <f>IF($B$11="Vastgesteld",INDEX(X$5:X$9,MATCH(Sel_Versie,$A$5:$A$9,0)),IF($B$11="Concept",X$10,"n.b."))</f>
        <v>193</v>
      </c>
      <c r="Y11" s="121" t="str">
        <f>IF($B$11="Vastgesteld",INDEX(Y$5:Y$9,MATCH(Sel_Versie,$A$5:$A$9,0)),IF($B$11="Concept",Y$10,"n.b."))</f>
        <v>n.b.</v>
      </c>
      <c r="Z11" s="121" t="str">
        <f>IF($B$11="Vastgesteld",INDEX(Z$5:Z$9,MATCH(Sel_Versie,$A$5:$A$9,0)),IF($B$11="Concept",Z$10,"n.b."))</f>
        <v>n.b.</v>
      </c>
      <c r="AA11" s="121" t="str">
        <f>IF($B$11="Vastgesteld",INDEX(AA$5:AA$9,MATCH(Sel_Versie,$A$5:$A$9,0)),IF($B$11="Concept",AA$10,"n.b."))</f>
        <v>n.b.</v>
      </c>
      <c r="AB11" s="121" t="str">
        <f>IF($B$11="Vastgesteld",INDEX(AB$5:AB$9,MATCH(Sel_Versie,$A$5:$A$9,0)),IF($B$11="Concept",AB$10,"n.b."))</f>
        <v>n.b.</v>
      </c>
      <c r="AC11" s="121" t="str">
        <f>IF($B$11="Vastgesteld",INDEX(AC$5:AC$9,MATCH(Sel_Versie,$A$5:$A$9,0)),IF($B$11="Concept",AC$10,"n.b."))</f>
        <v>n.b.</v>
      </c>
      <c r="AD11" s="121" t="str">
        <f>IF($B$11="Vastgesteld",INDEX(AD$5:AD$9,MATCH(Sel_Versie,$A$5:$A$9,0)),IF($B$11="Concept",AD$10,"n.b."))</f>
        <v>n.b.</v>
      </c>
      <c r="AE11" s="121" t="str">
        <f>IF($B$11="Vastgesteld",INDEX(AE$5:AE$9,MATCH(Sel_Versie,$A$5:$A$9,0)),IF($B$11="Concept",AE$10,"n.b."))</f>
        <v>n.b.</v>
      </c>
      <c r="AF11" s="121" t="str">
        <f>IF($B$11="Vastgesteld",INDEX(AF$5:AF$9,MATCH(Sel_Versie,$A$5:$A$9,0)),IF($B$11="Concept",AF$10,"n.b."))</f>
        <v>n.b.</v>
      </c>
      <c r="AG11" s="121" t="str">
        <f>IF($B$11="Vastgesteld",INDEX(AG$5:AG$9,MATCH(Sel_Versie,$A$5:$A$9,0)),IF($B$11="Concept",AG$10,"n.b."))</f>
        <v>n.b.</v>
      </c>
      <c r="AH11" s="121" t="str">
        <f>IF($B$11="Vastgesteld",INDEX(AH$5:AH$9,MATCH(Sel_Versie,$A$5:$A$9,0)),IF($B$11="Concept",AH$10,"n.b."))</f>
        <v>n.b.</v>
      </c>
      <c r="AI11" s="121" t="str">
        <f>IF($B$11="Vastgesteld",INDEX(AI$5:AI$9,MATCH(Sel_Versie,$A$5:$A$9,0)),IF($B$11="Concept",AI$10,"n.b."))</f>
        <v>n.b.</v>
      </c>
      <c r="AJ11" s="121" t="str">
        <f>IF($B$11="Vastgesteld",INDEX(AJ$5:AJ$9,MATCH(Sel_Versie,$A$5:$A$9,0)),IF($B$11="Concept",AJ$10,"n.b."))</f>
        <v>n.b.</v>
      </c>
      <c r="AK11" s="121" t="str">
        <f>IF($B$11="Vastgesteld",INDEX(AK$5:AK$9,MATCH(Sel_Versie,$A$5:$A$9,0)),IF($B$11="Concept",AK$10,"n.b."))</f>
        <v>n.b.</v>
      </c>
      <c r="AL11" s="121" t="str">
        <f>IF($B$11="Vastgesteld",INDEX(AL$5:AL$9,MATCH(Sel_Versie,$A$5:$A$9,0)),IF($B$11="Concept",AL$10,"n.b."))</f>
        <v>n.b.</v>
      </c>
    </row>
    <row r="12">
      <c r="A12" s="120" t="str">
        <f>IF(Sel_Prev="","(geen)",Sel_Prev)</f>
        <v>Q2</v>
      </c>
      <c r="B12" s="120" t="str">
        <f>IF(Sel_Prev="","n.b.",IF(INDEX($C$5:$C$9,MATCH(Sel_Prev,$A$5:$A$9,0))&gt;0,"Vastgesteld","n.b."))</f>
        <v>Vastgesteld</v>
      </c>
      <c r="C12" s="121">
        <f>IF($B$12="Vastgesteld",INDEX(C$5:C$9,MATCH(Sel_Prev,$A$5:$A$9,0)),"n.b.")</f>
        <v>20</v>
      </c>
      <c r="D12" s="121">
        <f>IF($B$12="Vastgesteld",INDEX(D$5:D$9,MATCH(Sel_Prev,$A$5:$A$9,0)),"n.b.")</f>
        <v>0</v>
      </c>
      <c r="E12" s="121">
        <f>IF($B$12="Vastgesteld",INDEX(E$5:E$9,MATCH(Sel_Prev,$A$5:$A$9,0)),"n.b.")</f>
        <v>20</v>
      </c>
      <c r="F12" s="121">
        <f>IF($B$12="Vastgesteld",INDEX(F$5:F$9,MATCH(Sel_Prev,$A$5:$A$9,0)),"n.b.")</f>
        <v>0</v>
      </c>
      <c r="G12" s="121">
        <f>IF($B$12="Vastgesteld",INDEX(G$5:G$9,MATCH(Sel_Prev,$A$5:$A$9,0)),"n.b.")</f>
        <v>106938202</v>
      </c>
      <c r="H12" s="121">
        <f>IF($B$12="Vastgesteld",INDEX(H$5:H$9,MATCH(Sel_Prev,$A$5:$A$9,0)),"n.b.")</f>
        <v>5830006</v>
      </c>
      <c r="I12" s="121">
        <f>IF($B$12="Vastgesteld",INDEX(I$5:I$9,MATCH(Sel_Prev,$A$5:$A$9,0)),"n.b.")</f>
        <v>9993738.94</v>
      </c>
      <c r="J12" s="121">
        <f>IF($B$12="Vastgesteld",INDEX(J$5:J$9,MATCH(Sel_Prev,$A$5:$A$9,0)),"n.b.")</f>
        <v>395655.96</v>
      </c>
      <c r="K12" s="121" t="str">
        <f>IF($B$12="Vastgesteld",INDEX(K$5:K$9,MATCH(Sel_Prev,$A$5:$A$9,0)),"n.b.")</f>
        <v>n.b.</v>
      </c>
      <c r="L12" s="121" t="str">
        <f>IF($B$12="Vastgesteld",INDEX(L$5:L$9,MATCH(Sel_Prev,$A$5:$A$9,0)),"n.b.")</f>
        <v>n.b.</v>
      </c>
      <c r="M12" s="121" t="str">
        <f>IF($B$12="Vastgesteld",INDEX(M$5:M$9,MATCH(Sel_Prev,$A$5:$A$9,0)),"n.b.")</f>
        <v>n.b.</v>
      </c>
      <c r="N12" s="121" t="str">
        <f>IF($B$12="Vastgesteld",INDEX(N$5:N$9,MATCH(Sel_Prev,$A$5:$A$9,0)),"n.b.")</f>
        <v>n.b.</v>
      </c>
      <c r="O12" s="121">
        <f>IF($B$12="Vastgesteld",INDEX(O$5:O$9,MATCH(Sel_Prev,$A$5:$A$9,0)),"n.b.")</f>
        <v>5830006</v>
      </c>
      <c r="P12" s="121">
        <f>IF($B$12="Vastgesteld",INDEX(P$5:P$9,MATCH(Sel_Prev,$A$5:$A$9,0)),"n.b.")</f>
        <v>395655.96</v>
      </c>
      <c r="Q12" s="121">
        <f>IF($B$12="Vastgesteld",INDEX(Q$5:Q$9,MATCH(Sel_Prev,$A$5:$A$9,0)),"n.b.")</f>
        <v>355</v>
      </c>
      <c r="R12" s="121" t="str">
        <f>IF($B$12="Vastgesteld",INDEX(R$5:R$9,MATCH(Sel_Prev,$A$5:$A$9,0)),"n.b.")</f>
        <v>n.b.</v>
      </c>
      <c r="S12" s="121">
        <f>IF($B$12="Vastgesteld",INDEX(S$5:S$9,MATCH(Sel_Prev,$A$5:$A$9,0)),"n.b.")</f>
        <v>112768208</v>
      </c>
      <c r="T12" s="121">
        <f>IF($B$12="Vastgesteld",INDEX(T$5:T$9,MATCH(Sel_Prev,$A$5:$A$9,0)),"n.b.")</f>
        <v>10389394.9</v>
      </c>
      <c r="U12" s="121" t="str">
        <f>IF($B$12="Vastgesteld",INDEX(U$5:U$9,MATCH(Sel_Prev,$A$5:$A$9,0)),"n.b.")</f>
        <v>n.b.</v>
      </c>
      <c r="V12" s="121" t="str">
        <f>IF($B$12="Vastgesteld",INDEX(V$5:V$9,MATCH(Sel_Prev,$A$5:$A$9,0)),"n.b.")</f>
        <v>n.b.</v>
      </c>
      <c r="W12" s="121">
        <f>IF($B$12="Vastgesteld",INDEX(W$5:W$9,MATCH(Sel_Prev,$A$5:$A$9,0)),"n.b.")</f>
        <v>355</v>
      </c>
      <c r="X12" s="121" t="str">
        <f>IF($B$12="Vastgesteld",INDEX(X$5:X$9,MATCH(Sel_Prev,$A$5:$A$9,0)),"n.b.")</f>
        <v>n.b.</v>
      </c>
      <c r="Y12" s="121" t="str">
        <f>IF($B$12="Vastgesteld",INDEX(Y$5:Y$9,MATCH(Sel_Prev,$A$5:$A$9,0)),"n.b.")</f>
        <v>n.b.</v>
      </c>
      <c r="Z12" s="121" t="str">
        <f>IF($B$12="Vastgesteld",INDEX(Z$5:Z$9,MATCH(Sel_Prev,$A$5:$A$9,0)),"n.b.")</f>
        <v>n.b.</v>
      </c>
      <c r="AA12" s="121" t="str">
        <f>IF($B$12="Vastgesteld",INDEX(AA$5:AA$9,MATCH(Sel_Prev,$A$5:$A$9,0)),"n.b.")</f>
        <v>n.b.</v>
      </c>
      <c r="AB12" s="121" t="str">
        <f>IF($B$12="Vastgesteld",INDEX(AB$5:AB$9,MATCH(Sel_Prev,$A$5:$A$9,0)),"n.b.")</f>
        <v>n.b.</v>
      </c>
      <c r="AC12" s="121" t="str">
        <f>IF($B$12="Vastgesteld",INDEX(AC$5:AC$9,MATCH(Sel_Prev,$A$5:$A$9,0)),"n.b.")</f>
        <v>n.b.</v>
      </c>
      <c r="AD12" s="121" t="str">
        <f>IF($B$12="Vastgesteld",INDEX(AD$5:AD$9,MATCH(Sel_Prev,$A$5:$A$9,0)),"n.b.")</f>
        <v>n.b.</v>
      </c>
      <c r="AE12" s="121" t="str">
        <f>IF($B$12="Vastgesteld",INDEX(AE$5:AE$9,MATCH(Sel_Prev,$A$5:$A$9,0)),"n.b.")</f>
        <v>n.b.</v>
      </c>
      <c r="AF12" s="121" t="str">
        <f>IF($B$12="Vastgesteld",INDEX(AF$5:AF$9,MATCH(Sel_Prev,$A$5:$A$9,0)),"n.b.")</f>
        <v>n.b.</v>
      </c>
      <c r="AG12" s="121" t="str">
        <f>IF($B$12="Vastgesteld",INDEX(AG$5:AG$9,MATCH(Sel_Prev,$A$5:$A$9,0)),"n.b.")</f>
        <v>n.b.</v>
      </c>
      <c r="AH12" s="121" t="str">
        <f>IF($B$12="Vastgesteld",INDEX(AH$5:AH$9,MATCH(Sel_Prev,$A$5:$A$9,0)),"n.b.")</f>
        <v>n.b.</v>
      </c>
      <c r="AI12" s="121" t="str">
        <f>IF($B$12="Vastgesteld",INDEX(AI$5:AI$9,MATCH(Sel_Prev,$A$5:$A$9,0)),"n.b.")</f>
        <v>n.b.</v>
      </c>
      <c r="AJ12" s="121" t="str">
        <f>IF($B$12="Vastgesteld",INDEX(AJ$5:AJ$9,MATCH(Sel_Prev,$A$5:$A$9,0)),"n.b.")</f>
        <v>n.b.</v>
      </c>
      <c r="AK12" s="121" t="str">
        <f>IF($B$12="Vastgesteld",INDEX(AK$5:AK$9,MATCH(Sel_Prev,$A$5:$A$9,0)),"n.b.")</f>
        <v>n.b.</v>
      </c>
      <c r="AL12" s="121" t="str">
        <f>IF($B$12="Vastgesteld",INDEX(AL$5:AL$9,MATCH(Sel_Prev,$A$5:$A$9,0)),"n.b.")</f>
        <v>n.b.</v>
      </c>
    </row>
    <row r="15">
      <c r="A15" s="31" t="inlineStr">
        <is>
          <t>Afgeleide selectie</t>
        </is>
      </c>
    </row>
    <row r="16">
      <c r="A16" s="34" t="inlineStr">
        <is>
          <t>Sel_WBS</t>
        </is>
      </c>
      <c r="B16" t="str">
        <f>IF(Sel_Project="Alle","*",IFERROR(INDEX(Map_WBS,MATCH(Sel_Project,Map_Naam,0)),"(onbekend)"))</f>
        <v>*</v>
      </c>
      <c r="C16" s="5" t="inlineStr">
        <is>
          <t>WBS-criterium (* = alle)</t>
        </is>
      </c>
    </row>
    <row r="17">
      <c r="A17" s="34" t="inlineStr">
        <is>
          <t>Sel_TypeCrit</t>
        </is>
      </c>
      <c r="B17" t="str">
        <f>IF(Sel_Type="Alle","*",Sel_Type)</f>
        <v>*</v>
      </c>
      <c r="C17" s="5" t="inlineStr">
        <is>
          <t>Type-criterium (* = alle)</t>
        </is>
      </c>
    </row>
    <row r="18">
      <c r="A18" s="34" t="inlineStr">
        <is>
          <t>Sel_Prev</t>
        </is>
      </c>
      <c r="B18" t="str">
        <f>IF(Sel_Versie="Budget","",INDEX(V_List,MATCH(Sel_Versie,V_List,0)-1))</f>
        <v>Q2</v>
      </c>
      <c r="C18" s="5" t="inlineStr">
        <is>
          <t>Vorige versie in de reeks</t>
        </is>
      </c>
    </row>
    <row r="19">
      <c r="A19" s="34" t="inlineStr">
        <is>
          <t>Sel_Bron</t>
        </is>
      </c>
      <c r="B19" t="str">
        <f>$B$11</f>
        <v>Vastgesteld</v>
      </c>
      <c r="C19" s="5" t="inlineStr">
        <is>
          <t>Bron geselecteerde versie</t>
        </is>
      </c>
    </row>
    <row r="20">
      <c r="A20" s="34" t="inlineStr">
        <is>
          <t>Sel_Label</t>
        </is>
      </c>
      <c r="B20" t="str">
        <f>Sel_Versie&amp;" "&amp;P_VJ&amp;" ("&amp;LOWER($B$11)&amp;")"</f>
        <v>Q3 2026 (vastgesteld)</v>
      </c>
      <c r="C20" s="5" t="inlineStr">
        <is>
          <t>Label voor titels</t>
        </is>
      </c>
    </row>
    <row r="21">
      <c r="A21" s="34" t="inlineStr">
        <is>
          <t>Sel_FiltLabel</t>
        </is>
      </c>
      <c r="B21" t="str">
        <f>IF(AND(Sel_Type="Alle",Sel_Project="Alle"),"geen filter",IF(Sel_Project&lt;&gt;"Alle",Sel_Project,Sel_Type))</f>
        <v>geen filter</v>
      </c>
      <c r="C21" s="5" t="inlineStr">
        <is>
          <t>Filterlabel</t>
        </is>
      </c>
    </row>
  </sheetData>
  <pageMargins left="0.75" right="0.75" top="1" bottom="1" header="0.5" footer="0.5"/>
</worksheet>
</file>

<file path=xl/worksheets/sheet18.xml><?xml version="1.0" encoding="utf-8"?>
<worksheet xmlns="http://schemas.openxmlformats.org/spreadsheetml/2006/main">
  <sheetPr>
    <tabColor rgb="006B7385"/>
    <outlinePr summaryBelow="1" summaryRight="1"/>
    <pageSetUpPr/>
  </sheetPr>
  <dimension ref="A1:CZ505"/>
  <sheetViews>
    <sheetView showGridLines="0" zoomScale="80" workbookViewId="0">
      <pane xSplit="2" ySplit="5" topLeftCell="C6" activePane="bottomRight" state="frozen"/>
      <selection pane="topRight"/>
      <selection pane="bottomLeft"/>
      <selection pane="bottomRight" activeCell="A1" sqref="A1"/>
    </sheetView>
  </sheetViews>
  <sheetFormatPr baseColWidth="8" defaultRowHeight="15"/>
  <cols>
    <col width="18" customWidth="1" min="1" max="1"/>
  </cols>
  <sheetData>
    <row r="1">
      <c r="A1" s="17" t="inlineStr">
        <is>
          <t>Intern veld</t>
        </is>
      </c>
      <c r="B1" s="122" t="inlineStr">
        <is>
          <t>WBS</t>
        </is>
      </c>
      <c r="C1" s="122" t="inlineStr">
        <is>
          <t>IFRS</t>
        </is>
      </c>
      <c r="D1" s="122" t="inlineStr">
        <is>
          <t>Bedrijfsnummer</t>
        </is>
      </c>
      <c r="E1" s="122" t="inlineStr">
        <is>
          <t>Bedrijfsnaam</t>
        </is>
      </c>
      <c r="F1" s="122" t="inlineStr">
        <is>
          <t>ProfitCenter</t>
        </is>
      </c>
      <c r="G1" s="122" t="inlineStr">
        <is>
          <t>ProfitCenterNaam</t>
        </is>
      </c>
      <c r="H1" s="122" t="inlineStr">
        <is>
          <t>Marktsegment</t>
        </is>
      </c>
      <c r="I1" s="122" t="inlineStr">
        <is>
          <t>Projectdefinitie</t>
        </is>
      </c>
      <c r="J1" s="122" t="inlineStr">
        <is>
          <t>Omschrijving</t>
        </is>
      </c>
      <c r="K1" s="122" t="inlineStr">
        <is>
          <t>StatusWBS</t>
        </is>
      </c>
      <c r="L1" s="122" t="inlineStr">
        <is>
          <t>Kans</t>
        </is>
      </c>
      <c r="M1" s="122" t="inlineStr">
        <is>
          <t>PEW_BOB</t>
        </is>
      </c>
      <c r="N1" s="122" t="inlineStr">
        <is>
          <t>BOB_VJ</t>
        </is>
      </c>
      <c r="O1" s="122" t="inlineStr">
        <is>
          <t>BOB_LJ</t>
        </is>
      </c>
      <c r="P1" s="122" t="inlineStr">
        <is>
          <t>Kosten_LJ</t>
        </is>
      </c>
      <c r="Q1" s="122" t="inlineStr">
        <is>
          <t>BOR_LJ</t>
        </is>
      </c>
      <c r="R1" s="122" t="inlineStr">
        <is>
          <t>Port_BOB</t>
        </is>
      </c>
      <c r="S1" s="122" t="inlineStr">
        <is>
          <t>Port_BOR</t>
        </is>
      </c>
      <c r="T1" s="122" t="inlineStr">
        <is>
          <t>BOB_RJ_Q1</t>
        </is>
      </c>
      <c r="U1" s="122" t="inlineStr">
        <is>
          <t>BOR_RJ_Q1</t>
        </is>
      </c>
      <c r="V1" s="122" t="inlineStr">
        <is>
          <t>BOB_RJ_Q2</t>
        </is>
      </c>
      <c r="W1" s="122" t="inlineStr">
        <is>
          <t>BOR_RJ_Q2</t>
        </is>
      </c>
      <c r="X1" s="122" t="inlineStr">
        <is>
          <t>BOB_RJ_Q3</t>
        </is>
      </c>
      <c r="Y1" s="122" t="inlineStr">
        <is>
          <t>BOR_RJ_Q3</t>
        </is>
      </c>
      <c r="Z1" s="122" t="inlineStr">
        <is>
          <t>BOB_RJ_Q4</t>
        </is>
      </c>
      <c r="AA1" s="122" t="inlineStr">
        <is>
          <t>BOR_RJ_Q4</t>
        </is>
      </c>
      <c r="AB1" s="122" t="inlineStr">
        <is>
          <t>BOB_RJ</t>
        </is>
      </c>
      <c r="AC1" s="122" t="inlineStr">
        <is>
          <t>Kosten_RJ</t>
        </is>
      </c>
      <c r="AD1" s="122" t="inlineStr">
        <is>
          <t>BOR_RJ</t>
        </is>
      </c>
      <c r="AE1" s="122" t="inlineStr">
        <is>
          <t>BOB_RJ1_Q1</t>
        </is>
      </c>
      <c r="AF1" s="122" t="inlineStr">
        <is>
          <t>BOR_RJ1_Q1</t>
        </is>
      </c>
      <c r="AG1" s="122" t="inlineStr">
        <is>
          <t>BOB_RJ1_Q2</t>
        </is>
      </c>
      <c r="AH1" s="122" t="inlineStr">
        <is>
          <t>BOR_RJ1_Q2</t>
        </is>
      </c>
      <c r="AI1" s="122" t="inlineStr">
        <is>
          <t>BOB_RJ1_Q3</t>
        </is>
      </c>
      <c r="AJ1" s="122" t="inlineStr">
        <is>
          <t>BOR_RJ1_Q3</t>
        </is>
      </c>
      <c r="AK1" s="122" t="inlineStr">
        <is>
          <t>BOB_RJ1_Q4</t>
        </is>
      </c>
      <c r="AL1" s="122" t="inlineStr">
        <is>
          <t>BOR_RJ1_Q4</t>
        </is>
      </c>
      <c r="AM1" s="122" t="inlineStr">
        <is>
          <t>BOB_RJ1</t>
        </is>
      </c>
      <c r="AN1" s="122" t="inlineStr">
        <is>
          <t>Kosten_RJ1</t>
        </is>
      </c>
      <c r="AO1" s="122" t="inlineStr">
        <is>
          <t>BOR_RJ1</t>
        </is>
      </c>
      <c r="AP1" s="122" t="inlineStr">
        <is>
          <t>BOB_RJ2</t>
        </is>
      </c>
      <c r="AQ1" s="122" t="inlineStr">
        <is>
          <t>BOR_RJ2</t>
        </is>
      </c>
      <c r="AR1" s="122" t="inlineStr">
        <is>
          <t>BOB_RJ3</t>
        </is>
      </c>
      <c r="AS1" s="122" t="inlineStr">
        <is>
          <t>BOR_RJ3</t>
        </is>
      </c>
      <c r="AT1" s="122" t="inlineStr">
        <is>
          <t>BOB_RJ4</t>
        </is>
      </c>
      <c r="AU1" s="122" t="inlineStr">
        <is>
          <t>BOR_RJ4</t>
        </is>
      </c>
      <c r="AV1" s="122" t="inlineStr">
        <is>
          <t>BOB_RJ5</t>
        </is>
      </c>
      <c r="AW1" s="122" t="inlineStr">
        <is>
          <t>BOR_RJ5</t>
        </is>
      </c>
      <c r="AX1" s="122" t="inlineStr">
        <is>
          <t>BOB_RJ6</t>
        </is>
      </c>
      <c r="AY1" s="122" t="inlineStr">
        <is>
          <t>BOR_RJ6</t>
        </is>
      </c>
      <c r="AZ1" s="122" t="inlineStr">
        <is>
          <t>BOB_RJ7</t>
        </is>
      </c>
      <c r="BA1" s="122" t="inlineStr">
        <is>
          <t>BOR_RJ7</t>
        </is>
      </c>
      <c r="BB1" s="122" t="inlineStr">
        <is>
          <t>BOB_RJ8</t>
        </is>
      </c>
      <c r="BC1" s="122" t="inlineStr">
        <is>
          <t>BOR_RJ8</t>
        </is>
      </c>
      <c r="BD1" s="122" t="inlineStr">
        <is>
          <t>BOB_ONV</t>
        </is>
      </c>
      <c r="BE1" s="122" t="inlineStr">
        <is>
          <t>BOR_ONV</t>
        </is>
      </c>
      <c r="BF1" s="122" t="inlineStr">
        <is>
          <t>POC</t>
        </is>
      </c>
      <c r="BG1" s="122" t="inlineStr">
        <is>
          <t>Orderintake</t>
        </is>
      </c>
      <c r="BH1" s="122" t="inlineStr">
        <is>
          <t>StartBouw</t>
        </is>
      </c>
      <c r="BI1" s="122" t="inlineStr">
        <is>
          <t>Oplevering</t>
        </is>
      </c>
      <c r="BJ1" s="122" t="inlineStr">
        <is>
          <t>Risico</t>
        </is>
      </c>
      <c r="BK1" s="123" t="inlineStr">
        <is>
          <t>M_OmzYTD</t>
        </is>
      </c>
      <c r="BL1" s="123" t="inlineStr">
        <is>
          <t>M_BorYTD</t>
        </is>
      </c>
      <c r="BM1" s="123" t="inlineStr">
        <is>
          <t>M_OmzRest</t>
        </is>
      </c>
      <c r="BN1" s="123" t="inlineStr">
        <is>
          <t>M_BorRest</t>
        </is>
      </c>
      <c r="BO1" s="123" t="inlineStr">
        <is>
          <t>M_OmzFY</t>
        </is>
      </c>
      <c r="BP1" s="123" t="inlineStr">
        <is>
          <t>M_BorFY</t>
        </is>
      </c>
      <c r="BQ1" s="123" t="inlineStr">
        <is>
          <t>M_OmzFY1</t>
        </is>
      </c>
      <c r="BR1" s="123" t="inlineStr">
        <is>
          <t>M_BorFY1</t>
        </is>
      </c>
      <c r="BS1" s="123" t="inlineStr">
        <is>
          <t>M_OmzQ4</t>
        </is>
      </c>
      <c r="BT1" s="123" t="inlineStr">
        <is>
          <t>M_BorQ4</t>
        </is>
      </c>
      <c r="BU1" s="123" t="inlineStr">
        <is>
          <t>M_OmzRJ1_Q1</t>
        </is>
      </c>
      <c r="BV1" s="123" t="inlineStr">
        <is>
          <t>M_BorRJ1_Q1</t>
        </is>
      </c>
      <c r="BW1" s="123" t="inlineStr">
        <is>
          <t>M_OmzRJ1_Q2</t>
        </is>
      </c>
      <c r="BX1" s="123" t="inlineStr">
        <is>
          <t>M_BorRJ1_Q2</t>
        </is>
      </c>
      <c r="BY1" s="123" t="inlineStr">
        <is>
          <t>M_OmzRJ1_Q3</t>
        </is>
      </c>
      <c r="BZ1" s="123" t="inlineStr">
        <is>
          <t>M_BorRJ1_Q3</t>
        </is>
      </c>
      <c r="CA1" s="123" t="inlineStr">
        <is>
          <t>M_OmzRJ1_Q4</t>
        </is>
      </c>
      <c r="CB1" s="123" t="inlineStr">
        <is>
          <t>M_BorRJ1_Q4</t>
        </is>
      </c>
      <c r="CC1" s="123" t="inlineStr">
        <is>
          <t>M_OmzRJ2</t>
        </is>
      </c>
      <c r="CD1" s="123" t="inlineStr">
        <is>
          <t>M_BorRJ2</t>
        </is>
      </c>
      <c r="CE1" s="123" t="inlineStr">
        <is>
          <t>M_OmzRJ3</t>
        </is>
      </c>
      <c r="CF1" s="123" t="inlineStr">
        <is>
          <t>M_BorRJ3</t>
        </is>
      </c>
      <c r="CG1" s="123" t="inlineStr">
        <is>
          <t>M_OmzRJ4</t>
        </is>
      </c>
      <c r="CH1" s="123" t="inlineStr">
        <is>
          <t>M_BorRJ4</t>
        </is>
      </c>
      <c r="CI1" s="123" t="inlineStr">
        <is>
          <t>M_OmzRJ5</t>
        </is>
      </c>
      <c r="CJ1" s="123" t="inlineStr">
        <is>
          <t>M_BorRJ5</t>
        </is>
      </c>
      <c r="CK1" s="123" t="inlineStr">
        <is>
          <t>M_OmzRJ6</t>
        </is>
      </c>
      <c r="CL1" s="123" t="inlineStr">
        <is>
          <t>M_BorRJ6</t>
        </is>
      </c>
      <c r="CM1" s="123" t="inlineStr">
        <is>
          <t>M_OmzRJ7</t>
        </is>
      </c>
      <c r="CN1" s="123" t="inlineStr">
        <is>
          <t>M_BorRJ7</t>
        </is>
      </c>
      <c r="CO1" s="123" t="inlineStr">
        <is>
          <t>M_OmzRJ8</t>
        </is>
      </c>
      <c r="CP1" s="123" t="inlineStr">
        <is>
          <t>M_BorRJ8</t>
        </is>
      </c>
      <c r="CQ1" s="123" t="inlineStr">
        <is>
          <t>M_OmzONV</t>
        </is>
      </c>
      <c r="CR1" s="123" t="inlineStr">
        <is>
          <t>M_BorONV</t>
        </is>
      </c>
      <c r="CS1" s="123" t="inlineStr">
        <is>
          <t>C_Kwartaal</t>
        </is>
      </c>
      <c r="CT1" s="123" t="inlineStr">
        <is>
          <t>C_BobKostBor</t>
        </is>
      </c>
      <c r="CU1" s="123" t="inlineStr">
        <is>
          <t>C_Portefeuille</t>
        </is>
      </c>
      <c r="CV1" s="123" t="inlineStr">
        <is>
          <t>C_PEW</t>
        </is>
      </c>
      <c r="CW1" s="123" t="inlineStr">
        <is>
          <t>InMapping</t>
        </is>
      </c>
      <c r="CX1" s="123" t="inlineStr">
        <is>
          <t>Dubbel</t>
        </is>
      </c>
      <c r="CY1" s="123" t="inlineStr">
        <is>
          <t>InEtalage</t>
        </is>
      </c>
      <c r="CZ1" s="123" t="inlineStr">
        <is>
          <t>NieuwNr</t>
        </is>
      </c>
    </row>
    <row r="2">
      <c r="A2" s="17" t="inlineStr">
        <is>
          <t>Gezochte bronheader</t>
        </is>
      </c>
      <c r="B2" s="15" t="inlineStr">
        <is>
          <t>WBS-element</t>
        </is>
      </c>
      <c r="C2" s="15" t="inlineStr">
        <is>
          <t>IFRS J/N</t>
        </is>
      </c>
      <c r="D2" s="15" t="inlineStr">
        <is>
          <t>Bedrijfsnummer</t>
        </is>
      </c>
      <c r="E2" s="15" t="inlineStr">
        <is>
          <t>Naam maatschappij | Bedrijfsnaam</t>
        </is>
      </c>
      <c r="F2" s="15" t="inlineStr">
        <is>
          <t>Profit center</t>
        </is>
      </c>
      <c r="G2" s="15" t="inlineStr">
        <is>
          <t>Profitcenter naam</t>
        </is>
      </c>
      <c r="H2" s="15" t="inlineStr">
        <is>
          <t>Marktsegment</t>
        </is>
      </c>
      <c r="I2" s="15" t="inlineStr">
        <is>
          <t>Projectdefinitie</t>
        </is>
      </c>
      <c r="J2" s="15" t="inlineStr">
        <is>
          <t>Omschrijving</t>
        </is>
      </c>
      <c r="K2" s="15" t="inlineStr">
        <is>
          <t>Status WBS</t>
        </is>
      </c>
      <c r="L2" s="15" t="inlineStr">
        <is>
          <t>Kans%</t>
        </is>
      </c>
      <c r="M2" s="15" t="inlineStr">
        <is>
          <t>PEW opbrengst</t>
        </is>
      </c>
      <c r="N2" s="15" t="inlineStr">
        <is>
          <t>Bedrijfsopbrengsten VJ</t>
        </is>
      </c>
      <c r="O2" s="15" t="inlineStr">
        <is>
          <t>Bedrijfsopbrengsten LJ</t>
        </is>
      </c>
      <c r="P2" s="15" t="inlineStr">
        <is>
          <t>Kosten LJ</t>
        </is>
      </c>
      <c r="Q2" s="15" t="inlineStr">
        <is>
          <t>Bruto (omzet) result. LJ</t>
        </is>
      </c>
      <c r="R2" s="15" t="inlineStr">
        <is>
          <t>Portefeuille BOB</t>
        </is>
      </c>
      <c r="S2" s="15" t="inlineStr">
        <is>
          <t>Portefeuille BOR</t>
        </is>
      </c>
      <c r="T2" s="15" t="str">
        <f>"OP.BOB "&amp;P_RJ&amp;"-Q1"</f>
        <v>OP.BOB 2026-Q1</v>
      </c>
      <c r="U2" s="15" t="str">
        <f>"OP.BOR "&amp;P_RJ&amp;"-Q1"</f>
        <v>OP.BOR 2026-Q1</v>
      </c>
      <c r="V2" s="15" t="str">
        <f>"OP.BOB "&amp;P_RJ&amp;"-Q2"</f>
        <v>OP.BOB 2026-Q2</v>
      </c>
      <c r="W2" s="15" t="str">
        <f>"OP.BOR "&amp;P_RJ&amp;"-Q2"</f>
        <v>OP.BOR 2026-Q2</v>
      </c>
      <c r="X2" s="15" t="str">
        <f>"OP.BOB "&amp;P_RJ&amp;"-Q3"</f>
        <v>OP.BOB 2026-Q3</v>
      </c>
      <c r="Y2" s="15" t="str">
        <f>"OP.BOR "&amp;P_RJ&amp;"-Q3"</f>
        <v>OP.BOR 2026-Q3</v>
      </c>
      <c r="Z2" s="15" t="str">
        <f>"OP.BOB "&amp;P_RJ&amp;"-Q4"</f>
        <v>OP.BOB 2026-Q4</v>
      </c>
      <c r="AA2" s="15" t="str">
        <f>"OP.BOR "&amp;P_RJ&amp;"-Q4"</f>
        <v>OP.BOR 2026-Q4</v>
      </c>
      <c r="AB2" s="15" t="str">
        <f>"OP.BOB "&amp;P_RJ</f>
        <v>OP.BOB 2026</v>
      </c>
      <c r="AC2" s="15" t="str">
        <f>"Kosten "&amp;P_RJ</f>
        <v>Kosten 2026</v>
      </c>
      <c r="AD2" s="15" t="str">
        <f>"OP.BOR "&amp;P_RJ</f>
        <v>OP.BOR 2026</v>
      </c>
      <c r="AE2" s="15" t="str">
        <f>"OP.BOB "&amp;(P_RJ+1)&amp;"-Q1"</f>
        <v>OP.BOB 2027-Q1</v>
      </c>
      <c r="AF2" s="15" t="str">
        <f>"OP.BOR "&amp;(P_RJ+1)&amp;"-Q1"</f>
        <v>OP.BOR 2027-Q1</v>
      </c>
      <c r="AG2" s="15" t="str">
        <f>"OP.BOB "&amp;(P_RJ+1)&amp;"-Q2"</f>
        <v>OP.BOB 2027-Q2</v>
      </c>
      <c r="AH2" s="15" t="str">
        <f>"OP.BOR "&amp;(P_RJ+1)&amp;"-Q2"</f>
        <v>OP.BOR 2027-Q2</v>
      </c>
      <c r="AI2" s="15" t="str">
        <f>"OP.BOB "&amp;(P_RJ+1)&amp;"-Q3"</f>
        <v>OP.BOB 2027-Q3</v>
      </c>
      <c r="AJ2" s="15" t="str">
        <f>"OP.BOR "&amp;(P_RJ+1)&amp;"-Q3"</f>
        <v>OP.BOR 2027-Q3</v>
      </c>
      <c r="AK2" s="15" t="str">
        <f>"OP.BOB "&amp;(P_RJ+1)&amp;"-Q4"</f>
        <v>OP.BOB 2027-Q4</v>
      </c>
      <c r="AL2" s="15" t="str">
        <f>"OP.BOR "&amp;(P_RJ+1)&amp;"-Q4"</f>
        <v>OP.BOR 2027-Q4</v>
      </c>
      <c r="AM2" s="15" t="str">
        <f>"OP.BOB "&amp;(P_RJ+1)</f>
        <v>OP.BOB 2027</v>
      </c>
      <c r="AN2" s="15" t="str">
        <f>"Kosten "&amp;(P_RJ+1)</f>
        <v>Kosten 2027</v>
      </c>
      <c r="AO2" s="15" t="str">
        <f>"OP.BOR "&amp;(P_RJ+1)</f>
        <v>OP.BOR 2027</v>
      </c>
      <c r="AP2" s="15" t="str">
        <f>"OP.BOB "&amp;(P_RJ+2)</f>
        <v>OP.BOB 2028</v>
      </c>
      <c r="AQ2" s="15" t="str">
        <f>"OP.BOR "&amp;(P_RJ+2)</f>
        <v>OP.BOR 2028</v>
      </c>
      <c r="AR2" s="15" t="str">
        <f>"OP.BOB "&amp;(P_RJ+3)</f>
        <v>OP.BOB 2029</v>
      </c>
      <c r="AS2" s="15" t="str">
        <f>"OP.BOR "&amp;(P_RJ+3)</f>
        <v>OP.BOR 2029</v>
      </c>
      <c r="AT2" s="15" t="str">
        <f>"OP.BOB "&amp;(P_RJ+4)</f>
        <v>OP.BOB 2030</v>
      </c>
      <c r="AU2" s="15" t="str">
        <f>"OP.BOR "&amp;(P_RJ+4)</f>
        <v>OP.BOR 2030</v>
      </c>
      <c r="AV2" s="15" t="str">
        <f>"OP.BOB "&amp;(P_RJ+5)</f>
        <v>OP.BOB 2031</v>
      </c>
      <c r="AW2" s="15" t="str">
        <f>"OP.BOR "&amp;(P_RJ+5)</f>
        <v>OP.BOR 2031</v>
      </c>
      <c r="AX2" s="15" t="str">
        <f>"OP.BOB "&amp;(P_RJ+6)</f>
        <v>OP.BOB 2032</v>
      </c>
      <c r="AY2" s="15" t="str">
        <f>"OP.BOR "&amp;(P_RJ+6)</f>
        <v>OP.BOR 2032</v>
      </c>
      <c r="AZ2" s="15" t="str">
        <f>"OP.BOB "&amp;(P_RJ+7)</f>
        <v>OP.BOB 2033</v>
      </c>
      <c r="BA2" s="15" t="str">
        <f>"OP.BOR "&amp;(P_RJ+7)</f>
        <v>OP.BOR 2033</v>
      </c>
      <c r="BB2" s="15" t="str">
        <f>"OP.BOB "&amp;(P_RJ+8)</f>
        <v>OP.BOB 2034</v>
      </c>
      <c r="BC2" s="15" t="str">
        <f>"OP.BOR "&amp;(P_RJ+8)</f>
        <v>OP.BOR 2034</v>
      </c>
      <c r="BD2" s="15" t="inlineStr">
        <is>
          <t>OP.BOB onverd.</t>
        </is>
      </c>
      <c r="BE2" s="15" t="inlineStr">
        <is>
          <t>OP.BOR onverd.</t>
        </is>
      </c>
      <c r="BF2" s="15" t="inlineStr">
        <is>
          <t>Huidige POC %</t>
        </is>
      </c>
      <c r="BG2" s="15" t="inlineStr">
        <is>
          <t>Orderintake</t>
        </is>
      </c>
      <c r="BH2" s="15" t="inlineStr">
        <is>
          <t>Start bouw</t>
        </is>
      </c>
      <c r="BI2" s="15" t="inlineStr">
        <is>
          <t>Maand oplevering</t>
        </is>
      </c>
      <c r="BJ2" s="15" t="inlineStr">
        <is>
          <t>Risicoklasse</t>
        </is>
      </c>
      <c r="BK2" s="15" t="inlineStr">
        <is>
          <t>Omzet actual YTD = -Bedrijfsopbrengsten LJ</t>
        </is>
      </c>
      <c r="BL2" s="15" t="inlineStr">
        <is>
          <t>BOR actual YTD = -Bruto (omzet) result. LJ</t>
        </is>
      </c>
      <c r="BM2" s="15" t="inlineStr">
        <is>
          <t>Omzet restant RJ = -OP.BOB RJ (demo: alleen Q4)</t>
        </is>
      </c>
      <c r="BN2" s="15" t="inlineStr">
        <is>
          <t>BOR restant RJ = -OP.BOR RJ</t>
        </is>
      </c>
      <c r="BO2" s="15" t="inlineStr">
        <is>
          <t>FY omzet RJ = -BOB LJ - OP.BOB RJ</t>
        </is>
      </c>
      <c r="BP2" s="15" t="inlineStr">
        <is>
          <t>FY BOR RJ = -BOR LJ - OP.BOR RJ</t>
        </is>
      </c>
      <c r="BQ2" s="15" t="inlineStr">
        <is>
          <t>FY omzet RJ+1 = -OP.BOB RJ+1 (volledig jaar)</t>
        </is>
      </c>
      <c r="BR2" s="15" t="inlineStr">
        <is>
          <t>FY BOR RJ+1 = -OP.BOR RJ+1</t>
        </is>
      </c>
      <c r="BS2" s="15" t="inlineStr">
        <is>
          <t>Omzet Q4 RJ</t>
        </is>
      </c>
      <c r="BT2" s="15" t="inlineStr">
        <is>
          <t>BOR Q4 RJ</t>
        </is>
      </c>
      <c r="BU2" s="15" t="inlineStr">
        <is>
          <t>Omzet RJ+1 Q1</t>
        </is>
      </c>
      <c r="BV2" s="15" t="inlineStr">
        <is>
          <t>BOR RJ+1 Q1</t>
        </is>
      </c>
      <c r="BW2" s="15" t="inlineStr">
        <is>
          <t>Omzet RJ+1 Q2</t>
        </is>
      </c>
      <c r="BX2" s="15" t="inlineStr">
        <is>
          <t>BOR RJ+1 Q2</t>
        </is>
      </c>
      <c r="BY2" s="15" t="inlineStr">
        <is>
          <t>Omzet RJ+1 Q3</t>
        </is>
      </c>
      <c r="BZ2" s="15" t="inlineStr">
        <is>
          <t>BOR RJ+1 Q3</t>
        </is>
      </c>
      <c r="CA2" s="15" t="inlineStr">
        <is>
          <t>Omzet RJ+1 Q4</t>
        </is>
      </c>
      <c r="CB2" s="15" t="inlineStr">
        <is>
          <t>BOR RJ+1 Q4</t>
        </is>
      </c>
      <c r="CC2" s="15" t="inlineStr">
        <is>
          <t>Omzet RJ+2</t>
        </is>
      </c>
      <c r="CD2" s="15" t="inlineStr">
        <is>
          <t>BOR RJ+2</t>
        </is>
      </c>
      <c r="CE2" s="15" t="inlineStr">
        <is>
          <t>Omzet RJ+3</t>
        </is>
      </c>
      <c r="CF2" s="15" t="inlineStr">
        <is>
          <t>BOR RJ+3</t>
        </is>
      </c>
      <c r="CG2" s="15" t="inlineStr">
        <is>
          <t>Omzet RJ+4</t>
        </is>
      </c>
      <c r="CH2" s="15" t="inlineStr">
        <is>
          <t>BOR RJ+4</t>
        </is>
      </c>
      <c r="CI2" s="15" t="inlineStr">
        <is>
          <t>Omzet RJ+5</t>
        </is>
      </c>
      <c r="CJ2" s="15" t="inlineStr">
        <is>
          <t>BOR RJ+5</t>
        </is>
      </c>
      <c r="CK2" s="15" t="inlineStr">
        <is>
          <t>Omzet RJ+6</t>
        </is>
      </c>
      <c r="CL2" s="15" t="inlineStr">
        <is>
          <t>BOR RJ+6</t>
        </is>
      </c>
      <c r="CM2" s="15" t="inlineStr">
        <is>
          <t>Omzet RJ+7</t>
        </is>
      </c>
      <c r="CN2" s="15" t="inlineStr">
        <is>
          <t>BOR RJ+7</t>
        </is>
      </c>
      <c r="CO2" s="15" t="inlineStr">
        <is>
          <t>Omzet RJ+8</t>
        </is>
      </c>
      <c r="CP2" s="15" t="inlineStr">
        <is>
          <t>BOR RJ+8</t>
        </is>
      </c>
      <c r="CQ2" s="15" t="inlineStr">
        <is>
          <t>Omzet onverdeeld</t>
        </is>
      </c>
      <c r="CR2" s="15" t="inlineStr">
        <is>
          <t>BOR onverdeeld</t>
        </is>
      </c>
      <c r="CS2" s="15" t="inlineStr">
        <is>
          <t>1 = som kwartalen wijkt af van jaartotaal (RJ of RJ+1)</t>
        </is>
      </c>
      <c r="CT2" s="15" t="inlineStr">
        <is>
          <t>1 = OP.BOB + Kosten &lt;&gt; OP.BOR</t>
        </is>
      </c>
      <c r="CU2" s="15" t="inlineStr">
        <is>
          <t>1 = Portefeuille BOB &lt;&gt; som OP.BOB RJ..RJ+8 + onverdeeld</t>
        </is>
      </c>
      <c r="CV2" s="15" t="inlineStr">
        <is>
          <t>1 = PEW opbrengst &lt;&gt; BOB VJ + BOB LJ + portefeuille</t>
        </is>
      </c>
      <c r="CW2" s="15" t="inlineStr">
        <is>
          <t>1 = WBS staat in Mapping</t>
        </is>
      </c>
      <c r="CX2" s="15" t="inlineStr">
        <is>
          <t>Aantal keer dat WBS voorkomt (&gt;1 = dubbel)</t>
        </is>
      </c>
      <c r="CY2" s="15" t="inlineStr">
        <is>
          <t>Aantal keer in Woningetalage</t>
        </is>
      </c>
      <c r="CZ2" s="15" t="inlineStr">
        <is>
          <t>Volgnummer niet-gemapt project</t>
        </is>
      </c>
    </row>
    <row r="3">
      <c r="A3" s="17" t="inlineStr">
        <is>
          <t>Kolomnr in bron</t>
        </is>
      </c>
      <c r="B3" s="15">
        <f>IFERROR(MATCH(B2,SRC_ZPMW03!$1:$1,0),0)</f>
        <v>10</v>
      </c>
      <c r="C3" s="15">
        <f>IFERROR(MATCH(C2,SRC_ZPMW03!$1:$1,0),0)</f>
        <v>1</v>
      </c>
      <c r="D3" s="15">
        <f>IFERROR(MATCH(D2,SRC_ZPMW03!$1:$1,0),0)</f>
        <v>2</v>
      </c>
      <c r="E3" s="15">
        <f>IFERROR(MATCH("Naam maatschappij",SRC_ZPMW03!$1:$1,0),IFERROR(MATCH("Bedrijfsnaam",SRC_ZPMW03!$1:$1,0),0))</f>
        <v>3</v>
      </c>
      <c r="F3" s="15">
        <f>IFERROR(MATCH(F2,SRC_ZPMW03!$1:$1,0),0)</f>
        <v>4</v>
      </c>
      <c r="G3" s="15">
        <f>IFERROR(MATCH(G2,SRC_ZPMW03!$1:$1,0),0)</f>
        <v>5</v>
      </c>
      <c r="H3" s="15">
        <f>IFERROR(MATCH(H2,SRC_ZPMW03!$1:$1,0),0)</f>
        <v>6</v>
      </c>
      <c r="I3" s="15">
        <f>IFERROR(MATCH(I2,SRC_ZPMW03!$1:$1,0),0)</f>
        <v>9</v>
      </c>
      <c r="J3" s="15">
        <f>IFERROR(MATCH(J2,SRC_ZPMW03!$1:$1,0),0)</f>
        <v>14</v>
      </c>
      <c r="K3" s="15">
        <f>IFERROR(MATCH(K2,SRC_ZPMW03!$1:$1,0),0)</f>
        <v>16</v>
      </c>
      <c r="L3" s="15">
        <f>IFERROR(MATCH(L2,SRC_ZPMW03!$1:$1,0),0)</f>
        <v>17</v>
      </c>
      <c r="M3" s="15">
        <f>IFERROR(MATCH(M2,SRC_ZPMW03!$1:$1,0),0)</f>
        <v>18</v>
      </c>
      <c r="N3" s="15">
        <f>IFERROR(MATCH(N2,SRC_ZPMW03!$1:$1,0),0)</f>
        <v>22</v>
      </c>
      <c r="O3" s="15">
        <f>IFERROR(MATCH(O2,SRC_ZPMW03!$1:$1,0),0)</f>
        <v>24</v>
      </c>
      <c r="P3" s="15">
        <f>IFERROR(MATCH(P2,SRC_ZPMW03!$1:$1,0),0)</f>
        <v>25</v>
      </c>
      <c r="Q3" s="15">
        <f>IFERROR(MATCH(Q2,SRC_ZPMW03!$1:$1,0),0)</f>
        <v>26</v>
      </c>
      <c r="R3" s="15">
        <f>IFERROR(MATCH(R2,SRC_ZPMW03!$1:$1,0),0)</f>
        <v>30</v>
      </c>
      <c r="S3" s="15">
        <f>IFERROR(MATCH(S2,SRC_ZPMW03!$1:$1,0),0)</f>
        <v>31</v>
      </c>
      <c r="T3" s="15">
        <f>IFERROR(MATCH(T2,SRC_ZPMW03!$1:$1,0),0)</f>
        <v>32</v>
      </c>
      <c r="U3" s="15">
        <f>IFERROR(MATCH(U2,SRC_ZPMW03!$1:$1,0),0)</f>
        <v>34</v>
      </c>
      <c r="V3" s="15">
        <f>IFERROR(MATCH(V2,SRC_ZPMW03!$1:$1,0),0)</f>
        <v>35</v>
      </c>
      <c r="W3" s="15">
        <f>IFERROR(MATCH(W2,SRC_ZPMW03!$1:$1,0),0)</f>
        <v>37</v>
      </c>
      <c r="X3" s="15">
        <f>IFERROR(MATCH(X2,SRC_ZPMW03!$1:$1,0),0)</f>
        <v>38</v>
      </c>
      <c r="Y3" s="15">
        <f>IFERROR(MATCH(Y2,SRC_ZPMW03!$1:$1,0),0)</f>
        <v>40</v>
      </c>
      <c r="Z3" s="15">
        <f>IFERROR(MATCH(Z2,SRC_ZPMW03!$1:$1,0),0)</f>
        <v>41</v>
      </c>
      <c r="AA3" s="15">
        <f>IFERROR(MATCH(AA2,SRC_ZPMW03!$1:$1,0),0)</f>
        <v>43</v>
      </c>
      <c r="AB3" s="15">
        <f>IFERROR(MATCH(AB2,SRC_ZPMW03!$1:$1,0),0)</f>
        <v>44</v>
      </c>
      <c r="AC3" s="15">
        <f>IFERROR(MATCH(AC2,SRC_ZPMW03!$1:$1,0),0)</f>
        <v>45</v>
      </c>
      <c r="AD3" s="15">
        <f>IFERROR(MATCH(AD2,SRC_ZPMW03!$1:$1,0),0)</f>
        <v>46</v>
      </c>
      <c r="AE3" s="15">
        <f>IFERROR(MATCH(AE2,SRC_ZPMW03!$1:$1,0),0)</f>
        <v>47</v>
      </c>
      <c r="AF3" s="15">
        <f>IFERROR(MATCH(AF2,SRC_ZPMW03!$1:$1,0),0)</f>
        <v>49</v>
      </c>
      <c r="AG3" s="15">
        <f>IFERROR(MATCH(AG2,SRC_ZPMW03!$1:$1,0),0)</f>
        <v>50</v>
      </c>
      <c r="AH3" s="15">
        <f>IFERROR(MATCH(AH2,SRC_ZPMW03!$1:$1,0),0)</f>
        <v>52</v>
      </c>
      <c r="AI3" s="15">
        <f>IFERROR(MATCH(AI2,SRC_ZPMW03!$1:$1,0),0)</f>
        <v>53</v>
      </c>
      <c r="AJ3" s="15">
        <f>IFERROR(MATCH(AJ2,SRC_ZPMW03!$1:$1,0),0)</f>
        <v>55</v>
      </c>
      <c r="AK3" s="15">
        <f>IFERROR(MATCH(AK2,SRC_ZPMW03!$1:$1,0),0)</f>
        <v>56</v>
      </c>
      <c r="AL3" s="15">
        <f>IFERROR(MATCH(AL2,SRC_ZPMW03!$1:$1,0),0)</f>
        <v>58</v>
      </c>
      <c r="AM3" s="15">
        <f>IFERROR(MATCH(AM2,SRC_ZPMW03!$1:$1,0),0)</f>
        <v>59</v>
      </c>
      <c r="AN3" s="15">
        <f>IFERROR(MATCH(AN2,SRC_ZPMW03!$1:$1,0),0)</f>
        <v>60</v>
      </c>
      <c r="AO3" s="15">
        <f>IFERROR(MATCH(AO2,SRC_ZPMW03!$1:$1,0),0)</f>
        <v>61</v>
      </c>
      <c r="AP3" s="15">
        <f>IFERROR(MATCH(AP2,SRC_ZPMW03!$1:$1,0),0)</f>
        <v>62</v>
      </c>
      <c r="AQ3" s="15">
        <f>IFERROR(MATCH(AQ2,SRC_ZPMW03!$1:$1,0),0)</f>
        <v>64</v>
      </c>
      <c r="AR3" s="15">
        <f>IFERROR(MATCH(AR2,SRC_ZPMW03!$1:$1,0),0)</f>
        <v>65</v>
      </c>
      <c r="AS3" s="15">
        <f>IFERROR(MATCH(AS2,SRC_ZPMW03!$1:$1,0),0)</f>
        <v>67</v>
      </c>
      <c r="AT3" s="15">
        <f>IFERROR(MATCH(AT2,SRC_ZPMW03!$1:$1,0),0)</f>
        <v>68</v>
      </c>
      <c r="AU3" s="15">
        <f>IFERROR(MATCH(AU2,SRC_ZPMW03!$1:$1,0),0)</f>
        <v>70</v>
      </c>
      <c r="AV3" s="15">
        <f>IFERROR(MATCH(AV2,SRC_ZPMW03!$1:$1,0),0)</f>
        <v>71</v>
      </c>
      <c r="AW3" s="15">
        <f>IFERROR(MATCH(AW2,SRC_ZPMW03!$1:$1,0),0)</f>
        <v>73</v>
      </c>
      <c r="AX3" s="15">
        <f>IFERROR(MATCH(AX2,SRC_ZPMW03!$1:$1,0),0)</f>
        <v>74</v>
      </c>
      <c r="AY3" s="15">
        <f>IFERROR(MATCH(AY2,SRC_ZPMW03!$1:$1,0),0)</f>
        <v>76</v>
      </c>
      <c r="AZ3" s="15">
        <f>IFERROR(MATCH(AZ2,SRC_ZPMW03!$1:$1,0),0)</f>
        <v>77</v>
      </c>
      <c r="BA3" s="15">
        <f>IFERROR(MATCH(BA2,SRC_ZPMW03!$1:$1,0),0)</f>
        <v>79</v>
      </c>
      <c r="BB3" s="15">
        <f>IFERROR(MATCH(BB2,SRC_ZPMW03!$1:$1,0),0)</f>
        <v>80</v>
      </c>
      <c r="BC3" s="15">
        <f>IFERROR(MATCH(BC2,SRC_ZPMW03!$1:$1,0),0)</f>
        <v>82</v>
      </c>
      <c r="BD3" s="15">
        <f>IFERROR(MATCH(BD2,SRC_ZPMW03!$1:$1,0),0)</f>
        <v>83</v>
      </c>
      <c r="BE3" s="15">
        <f>IFERROR(MATCH(BE2,SRC_ZPMW03!$1:$1,0),0)</f>
        <v>85</v>
      </c>
      <c r="BF3" s="15">
        <f>IFERROR(MATCH(BF2,SRC_ZPMW03!$1:$1,0),0)</f>
        <v>86</v>
      </c>
      <c r="BG3" s="15">
        <f>IFERROR(MATCH(BG2,SRC_ZPMW03!$1:$1,0),0)</f>
        <v>87</v>
      </c>
      <c r="BH3" s="15">
        <f>IFERROR(MATCH(BH2,SRC_ZPMW03!$1:$1,0),0)</f>
        <v>88</v>
      </c>
      <c r="BI3" s="15">
        <f>IFERROR(MATCH(BI2,SRC_ZPMW03!$1:$1,0),0)</f>
        <v>89</v>
      </c>
      <c r="BJ3" s="15">
        <f>IFERROR(MATCH(BJ2,SRC_ZPMW03!$1:$1,0),0)</f>
        <v>90</v>
      </c>
    </row>
    <row r="4">
      <c r="A4" s="17" t="inlineStr">
        <is>
          <t>Status</t>
        </is>
      </c>
      <c r="B4" s="15" t="str">
        <f>IF(B3=0,"ONTBREEKT","OK")</f>
        <v>OK</v>
      </c>
      <c r="C4" s="15" t="str">
        <f>IF(C3=0,"ONTBREEKT","OK")</f>
        <v>OK</v>
      </c>
      <c r="D4" s="15" t="str">
        <f>IF(D3=0,"ONTBREEKT","OK")</f>
        <v>OK</v>
      </c>
      <c r="E4" s="15" t="str">
        <f>IF(E3=0,"ONTBREEKT","OK")</f>
        <v>OK</v>
      </c>
      <c r="F4" s="15" t="str">
        <f>IF(F3=0,"ONTBREEKT","OK")</f>
        <v>OK</v>
      </c>
      <c r="G4" s="15" t="str">
        <f>IF(G3=0,"ONTBREEKT","OK")</f>
        <v>OK</v>
      </c>
      <c r="H4" s="15" t="str">
        <f>IF(H3=0,"ONTBREEKT","OK")</f>
        <v>OK</v>
      </c>
      <c r="I4" s="15" t="str">
        <f>IF(I3=0,"ONTBREEKT","OK")</f>
        <v>OK</v>
      </c>
      <c r="J4" s="15" t="str">
        <f>IF(J3=0,"ONTBREEKT","OK")</f>
        <v>OK</v>
      </c>
      <c r="K4" s="15" t="str">
        <f>IF(K3=0,"ONTBREEKT","OK")</f>
        <v>OK</v>
      </c>
      <c r="L4" s="15" t="str">
        <f>IF(L3=0,"ONTBREEKT","OK")</f>
        <v>OK</v>
      </c>
      <c r="M4" s="15" t="str">
        <f>IF(M3=0,"ONTBREEKT","OK")</f>
        <v>OK</v>
      </c>
      <c r="N4" s="15" t="str">
        <f>IF(N3=0,"ONTBREEKT","OK")</f>
        <v>OK</v>
      </c>
      <c r="O4" s="15" t="str">
        <f>IF(O3=0,"ONTBREEKT","OK")</f>
        <v>OK</v>
      </c>
      <c r="P4" s="15" t="str">
        <f>IF(P3=0,"ONTBREEKT","OK")</f>
        <v>OK</v>
      </c>
      <c r="Q4" s="15" t="str">
        <f>IF(Q3=0,"ONTBREEKT","OK")</f>
        <v>OK</v>
      </c>
      <c r="R4" s="15" t="str">
        <f>IF(R3=0,"ONTBREEKT","OK")</f>
        <v>OK</v>
      </c>
      <c r="S4" s="15" t="str">
        <f>IF(S3=0,"ONTBREEKT","OK")</f>
        <v>OK</v>
      </c>
      <c r="T4" s="15" t="str">
        <f>IF(T3=0,"ONTBREEKT","OK")</f>
        <v>OK</v>
      </c>
      <c r="U4" s="15" t="str">
        <f>IF(U3=0,"ONTBREEKT","OK")</f>
        <v>OK</v>
      </c>
      <c r="V4" s="15" t="str">
        <f>IF(V3=0,"ONTBREEKT","OK")</f>
        <v>OK</v>
      </c>
      <c r="W4" s="15" t="str">
        <f>IF(W3=0,"ONTBREEKT","OK")</f>
        <v>OK</v>
      </c>
      <c r="X4" s="15" t="str">
        <f>IF(X3=0,"ONTBREEKT","OK")</f>
        <v>OK</v>
      </c>
      <c r="Y4" s="15" t="str">
        <f>IF(Y3=0,"ONTBREEKT","OK")</f>
        <v>OK</v>
      </c>
      <c r="Z4" s="15" t="str">
        <f>IF(Z3=0,"ONTBREEKT","OK")</f>
        <v>OK</v>
      </c>
      <c r="AA4" s="15" t="str">
        <f>IF(AA3=0,"ONTBREEKT","OK")</f>
        <v>OK</v>
      </c>
      <c r="AB4" s="15" t="str">
        <f>IF(AB3=0,"ONTBREEKT","OK")</f>
        <v>OK</v>
      </c>
      <c r="AC4" s="15" t="str">
        <f>IF(AC3=0,"ONTBREEKT","OK")</f>
        <v>OK</v>
      </c>
      <c r="AD4" s="15" t="str">
        <f>IF(AD3=0,"ONTBREEKT","OK")</f>
        <v>OK</v>
      </c>
      <c r="AE4" s="15" t="str">
        <f>IF(AE3=0,"ONTBREEKT","OK")</f>
        <v>OK</v>
      </c>
      <c r="AF4" s="15" t="str">
        <f>IF(AF3=0,"ONTBREEKT","OK")</f>
        <v>OK</v>
      </c>
      <c r="AG4" s="15" t="str">
        <f>IF(AG3=0,"ONTBREEKT","OK")</f>
        <v>OK</v>
      </c>
      <c r="AH4" s="15" t="str">
        <f>IF(AH3=0,"ONTBREEKT","OK")</f>
        <v>OK</v>
      </c>
      <c r="AI4" s="15" t="str">
        <f>IF(AI3=0,"ONTBREEKT","OK")</f>
        <v>OK</v>
      </c>
      <c r="AJ4" s="15" t="str">
        <f>IF(AJ3=0,"ONTBREEKT","OK")</f>
        <v>OK</v>
      </c>
      <c r="AK4" s="15" t="str">
        <f>IF(AK3=0,"ONTBREEKT","OK")</f>
        <v>OK</v>
      </c>
      <c r="AL4" s="15" t="str">
        <f>IF(AL3=0,"ONTBREEKT","OK")</f>
        <v>OK</v>
      </c>
      <c r="AM4" s="15" t="str">
        <f>IF(AM3=0,"ONTBREEKT","OK")</f>
        <v>OK</v>
      </c>
      <c r="AN4" s="15" t="str">
        <f>IF(AN3=0,"ONTBREEKT","OK")</f>
        <v>OK</v>
      </c>
      <c r="AO4" s="15" t="str">
        <f>IF(AO3=0,"ONTBREEKT","OK")</f>
        <v>OK</v>
      </c>
      <c r="AP4" s="15" t="str">
        <f>IF(AP3=0,"ONTBREEKT","OK")</f>
        <v>OK</v>
      </c>
      <c r="AQ4" s="15" t="str">
        <f>IF(AQ3=0,"ONTBREEKT","OK")</f>
        <v>OK</v>
      </c>
      <c r="AR4" s="15" t="str">
        <f>IF(AR3=0,"ONTBREEKT","OK")</f>
        <v>OK</v>
      </c>
      <c r="AS4" s="15" t="str">
        <f>IF(AS3=0,"ONTBREEKT","OK")</f>
        <v>OK</v>
      </c>
      <c r="AT4" s="15" t="str">
        <f>IF(AT3=0,"ONTBREEKT","OK")</f>
        <v>OK</v>
      </c>
      <c r="AU4" s="15" t="str">
        <f>IF(AU3=0,"ONTBREEKT","OK")</f>
        <v>OK</v>
      </c>
      <c r="AV4" s="15" t="str">
        <f>IF(AV3=0,"ONTBREEKT","OK")</f>
        <v>OK</v>
      </c>
      <c r="AW4" s="15" t="str">
        <f>IF(AW3=0,"ONTBREEKT","OK")</f>
        <v>OK</v>
      </c>
      <c r="AX4" s="15" t="str">
        <f>IF(AX3=0,"ONTBREEKT","OK")</f>
        <v>OK</v>
      </c>
      <c r="AY4" s="15" t="str">
        <f>IF(AY3=0,"ONTBREEKT","OK")</f>
        <v>OK</v>
      </c>
      <c r="AZ4" s="15" t="str">
        <f>IF(AZ3=0,"ONTBREEKT","OK")</f>
        <v>OK</v>
      </c>
      <c r="BA4" s="15" t="str">
        <f>IF(BA3=0,"ONTBREEKT","OK")</f>
        <v>OK</v>
      </c>
      <c r="BB4" s="15" t="str">
        <f>IF(BB3=0,"ONTBREEKT","OK")</f>
        <v>OK</v>
      </c>
      <c r="BC4" s="15" t="str">
        <f>IF(BC3=0,"ONTBREEKT","OK")</f>
        <v>OK</v>
      </c>
      <c r="BD4" s="15" t="str">
        <f>IF(BD3=0,"ONTBREEKT","OK")</f>
        <v>OK</v>
      </c>
      <c r="BE4" s="15" t="str">
        <f>IF(BE3=0,"ONTBREEKT","OK")</f>
        <v>OK</v>
      </c>
      <c r="BF4" s="15" t="str">
        <f>IF(BF3=0,"ONTBREEKT","OK")</f>
        <v>OK</v>
      </c>
      <c r="BG4" s="15" t="str">
        <f>IF(BG3=0,"ONTBREEKT","OK")</f>
        <v>OK</v>
      </c>
      <c r="BH4" s="15" t="str">
        <f>IF(BH3=0,"ONTBREEKT","OK")</f>
        <v>OK</v>
      </c>
      <c r="BI4" s="15" t="str">
        <f>IF(BI3=0,"ONTBREEKT","OK")</f>
        <v>OK</v>
      </c>
      <c r="BJ4" s="15" t="str">
        <f>IF(BJ3=0,"ONTBREEKT","OK")</f>
        <v>OK</v>
      </c>
      <c r="BK4" s="15" t="inlineStr">
        <is>
          <t>afgeleid</t>
        </is>
      </c>
      <c r="BL4" s="15" t="inlineStr">
        <is>
          <t>afgeleid</t>
        </is>
      </c>
      <c r="BM4" s="15" t="inlineStr">
        <is>
          <t>afgeleid</t>
        </is>
      </c>
      <c r="BN4" s="15" t="inlineStr">
        <is>
          <t>afgeleid</t>
        </is>
      </c>
      <c r="BO4" s="15" t="inlineStr">
        <is>
          <t>afgeleid</t>
        </is>
      </c>
      <c r="BP4" s="15" t="inlineStr">
        <is>
          <t>afgeleid</t>
        </is>
      </c>
      <c r="BQ4" s="15" t="inlineStr">
        <is>
          <t>afgeleid</t>
        </is>
      </c>
      <c r="BR4" s="15" t="inlineStr">
        <is>
          <t>afgeleid</t>
        </is>
      </c>
      <c r="BS4" s="15" t="inlineStr">
        <is>
          <t>afgeleid</t>
        </is>
      </c>
      <c r="BT4" s="15" t="inlineStr">
        <is>
          <t>afgeleid</t>
        </is>
      </c>
      <c r="BU4" s="15" t="inlineStr">
        <is>
          <t>afgeleid</t>
        </is>
      </c>
      <c r="BV4" s="15" t="inlineStr">
        <is>
          <t>afgeleid</t>
        </is>
      </c>
      <c r="BW4" s="15" t="inlineStr">
        <is>
          <t>afgeleid</t>
        </is>
      </c>
      <c r="BX4" s="15" t="inlineStr">
        <is>
          <t>afgeleid</t>
        </is>
      </c>
      <c r="BY4" s="15" t="inlineStr">
        <is>
          <t>afgeleid</t>
        </is>
      </c>
      <c r="BZ4" s="15" t="inlineStr">
        <is>
          <t>afgeleid</t>
        </is>
      </c>
      <c r="CA4" s="15" t="inlineStr">
        <is>
          <t>afgeleid</t>
        </is>
      </c>
      <c r="CB4" s="15" t="inlineStr">
        <is>
          <t>afgeleid</t>
        </is>
      </c>
      <c r="CC4" s="15" t="inlineStr">
        <is>
          <t>afgeleid</t>
        </is>
      </c>
      <c r="CD4" s="15" t="inlineStr">
        <is>
          <t>afgeleid</t>
        </is>
      </c>
      <c r="CE4" s="15" t="inlineStr">
        <is>
          <t>afgeleid</t>
        </is>
      </c>
      <c r="CF4" s="15" t="inlineStr">
        <is>
          <t>afgeleid</t>
        </is>
      </c>
      <c r="CG4" s="15" t="inlineStr">
        <is>
          <t>afgeleid</t>
        </is>
      </c>
      <c r="CH4" s="15" t="inlineStr">
        <is>
          <t>afgeleid</t>
        </is>
      </c>
      <c r="CI4" s="15" t="inlineStr">
        <is>
          <t>afgeleid</t>
        </is>
      </c>
      <c r="CJ4" s="15" t="inlineStr">
        <is>
          <t>afgeleid</t>
        </is>
      </c>
      <c r="CK4" s="15" t="inlineStr">
        <is>
          <t>afgeleid</t>
        </is>
      </c>
      <c r="CL4" s="15" t="inlineStr">
        <is>
          <t>afgeleid</t>
        </is>
      </c>
      <c r="CM4" s="15" t="inlineStr">
        <is>
          <t>afgeleid</t>
        </is>
      </c>
      <c r="CN4" s="15" t="inlineStr">
        <is>
          <t>afgeleid</t>
        </is>
      </c>
      <c r="CO4" s="15" t="inlineStr">
        <is>
          <t>afgeleid</t>
        </is>
      </c>
      <c r="CP4" s="15" t="inlineStr">
        <is>
          <t>afgeleid</t>
        </is>
      </c>
      <c r="CQ4" s="15" t="inlineStr">
        <is>
          <t>afgeleid</t>
        </is>
      </c>
      <c r="CR4" s="15" t="inlineStr">
        <is>
          <t>afgeleid</t>
        </is>
      </c>
      <c r="CS4" s="15" t="inlineStr">
        <is>
          <t>afgeleid</t>
        </is>
      </c>
      <c r="CT4" s="15" t="inlineStr">
        <is>
          <t>afgeleid</t>
        </is>
      </c>
      <c r="CU4" s="15" t="inlineStr">
        <is>
          <t>afgeleid</t>
        </is>
      </c>
      <c r="CV4" s="15" t="inlineStr">
        <is>
          <t>afgeleid</t>
        </is>
      </c>
      <c r="CW4" s="15" t="inlineStr">
        <is>
          <t>afgeleid</t>
        </is>
      </c>
      <c r="CX4" s="15" t="inlineStr">
        <is>
          <t>afgeleid</t>
        </is>
      </c>
      <c r="CY4" s="15" t="inlineStr">
        <is>
          <t>afgeleid</t>
        </is>
      </c>
      <c r="CZ4" s="15" t="inlineStr">
        <is>
          <t>afgeleid</t>
        </is>
      </c>
    </row>
    <row r="5">
      <c r="A5" s="31" t="inlineStr">
        <is>
          <t>Staging ZPMW03 — niet invullen</t>
        </is>
      </c>
    </row>
    <row r="6">
      <c r="A6" s="15" t="n">
        <v>2</v>
      </c>
      <c r="B6" t="str">
        <f>IF(B$3=0,"",IF(INDEX(SRC_ZPMW03!$A$1:$ZZ$501,$A6,B$3)&amp;""="","",INDEX(SRC_ZPMW03!$A$1:$ZZ$501,$A6,B$3)&amp;""))</f>
        <v>G.900001.8.9090</v>
      </c>
      <c r="C6" t="str">
        <f>IF($B6="","",IF(C$3=0,"n.b.",INDEX(SRC_ZPMW03!$A$1:$ZZ$501,$A6,C$3)))</f>
        <v>J</v>
      </c>
      <c r="D6">
        <f>IF($B6="","",IF(D$3=0,"n.b.",INDEX(SRC_ZPMW03!$A$1:$ZZ$501,$A6,D$3)))</f>
        <v>9901</v>
      </c>
      <c r="E6" t="str">
        <f>IF($B6="","",IF(E$3=0,"n.b.",INDEX(SRC_ZPMW03!$A$1:$ZZ$501,$A6,E$3)))</f>
        <v>Demo Ontwikkeling BV</v>
      </c>
      <c r="F6">
        <f>IF($B6="","",IF(F$3=0,"n.b.",INDEX(SRC_ZPMW03!$A$1:$ZZ$501,$A6,F$3)))</f>
        <v>9090</v>
      </c>
      <c r="G6" t="str">
        <f>IF($B6="","",IF(G$3=0,"n.b.",INDEX(SRC_ZPMW03!$A$1:$ZZ$501,$A6,G$3)))</f>
        <v>Demo Regio</v>
      </c>
      <c r="H6" t="str">
        <f>IF($B6="","",IF(H$3=0,"n.b.",INDEX(SRC_ZPMW03!$A$1:$ZZ$501,$A6,H$3)))</f>
        <v>WO-Wonen</v>
      </c>
      <c r="I6" t="str">
        <f>IF($B6="","",IF(I$3=0,"n.b.",INDEX(SRC_ZPMW03!$A$1:$ZZ$501,$A6,I$3)))</f>
        <v>G.900001</v>
      </c>
      <c r="J6" t="str">
        <f>IF($B6="","",IF(J$3=0,"n.b.",INDEX(SRC_ZPMW03!$A$1:$ZZ$501,$A6,J$3)))</f>
        <v>Lindehaven, Parkzoom fase 1</v>
      </c>
      <c r="K6" t="str">
        <f>IF($B6="","",IF(K$3=0,"n.b.",INDEX(SRC_ZPMW03!$A$1:$ZZ$501,$A6,K$3)))</f>
        <v>VRIJ VEN3</v>
      </c>
      <c r="L6" s="124">
        <f>IF($B6="","",IF(L$3=0,"n.b.",INDEX(SRC_ZPMW03!$A$1:$ZZ$501,$A6,L$3)))</f>
        <v>100</v>
      </c>
      <c r="M6" s="124">
        <f>IF($B6="","",IF(M$3=0,"n.b.",INDEX(SRC_ZPMW03!$A$1:$ZZ$501,$A6,M$3)))</f>
        <v>-14720000</v>
      </c>
      <c r="N6" s="124">
        <f>IF($B6="","",IF(N$3=0,"n.b.",INDEX(SRC_ZPMW03!$A$1:$ZZ$501,$A6,N$3)))</f>
        <v>-2208000</v>
      </c>
      <c r="O6" s="124">
        <f>IF($B6="","",IF(O$3=0,"n.b.",INDEX(SRC_ZPMW03!$A$1:$ZZ$501,$A6,O$3)))</f>
        <v>-3635840</v>
      </c>
      <c r="P6" s="124">
        <f>IF($B6="","",IF(P$3=0,"n.b.",INDEX(SRC_ZPMW03!$A$1:$ZZ$501,$A6,P$3)))</f>
        <v>3308614.4</v>
      </c>
      <c r="Q6" s="124">
        <f>IF($B6="","",IF(Q$3=0,"n.b.",INDEX(SRC_ZPMW03!$A$1:$ZZ$501,$A6,Q$3)))</f>
        <v>-327225.6</v>
      </c>
      <c r="R6" s="124">
        <f>IF($B6="","",IF(R$3=0,"n.b.",INDEX(SRC_ZPMW03!$A$1:$ZZ$501,$A6,R$3)))</f>
        <v>-8876160</v>
      </c>
      <c r="S6" s="124">
        <f>IF($B6="","",IF(S$3=0,"n.b.",INDEX(SRC_ZPMW03!$A$1:$ZZ$501,$A6,S$3)))</f>
        <v>-798854.4</v>
      </c>
      <c r="T6" s="124">
        <f>IF($B6="","",IF(T$3=0,"n.b.",INDEX(SRC_ZPMW03!$A$1:$ZZ$501,$A6,T$3)))</f>
        <v>0</v>
      </c>
      <c r="U6" s="124">
        <f>IF($B6="","",IF(U$3=0,"n.b.",INDEX(SRC_ZPMW03!$A$1:$ZZ$501,$A6,U$3)))</f>
        <v>0</v>
      </c>
      <c r="V6" s="124">
        <f>IF($B6="","",IF(V$3=0,"n.b.",INDEX(SRC_ZPMW03!$A$1:$ZZ$501,$A6,V$3)))</f>
        <v>0</v>
      </c>
      <c r="W6" s="124">
        <f>IF($B6="","",IF(W$3=0,"n.b.",INDEX(SRC_ZPMW03!$A$1:$ZZ$501,$A6,W$3)))</f>
        <v>0</v>
      </c>
      <c r="X6" s="124">
        <f>IF($B6="","",IF(X$3=0,"n.b.",INDEX(SRC_ZPMW03!$A$1:$ZZ$501,$A6,X$3)))</f>
        <v>0</v>
      </c>
      <c r="Y6" s="124">
        <f>IF($B6="","",IF(Y$3=0,"n.b.",INDEX(SRC_ZPMW03!$A$1:$ZZ$501,$A6,Y$3)))</f>
        <v>0</v>
      </c>
      <c r="Z6" s="124">
        <f>IF($B6="","",IF(Z$3=0,"n.b.",INDEX(SRC_ZPMW03!$A$1:$ZZ$501,$A6,Z$3)))</f>
        <v>-1957760</v>
      </c>
      <c r="AA6" s="124">
        <f>IF($B6="","",IF(AA$3=0,"n.b.",INDEX(SRC_ZPMW03!$A$1:$ZZ$501,$A6,AA$3)))</f>
        <v>-176198.4</v>
      </c>
      <c r="AB6" s="124">
        <f>IF($B6="","",IF(AB$3=0,"n.b.",INDEX(SRC_ZPMW03!$A$1:$ZZ$501,$A6,AB$3)))</f>
        <v>-1957760</v>
      </c>
      <c r="AC6" s="124">
        <f>IF($B6="","",IF(AC$3=0,"n.b.",INDEX(SRC_ZPMW03!$A$1:$ZZ$501,$A6,AC$3)))</f>
        <v>1781561.6</v>
      </c>
      <c r="AD6" s="124">
        <f>IF($B6="","",IF(AD$3=0,"n.b.",INDEX(SRC_ZPMW03!$A$1:$ZZ$501,$A6,AD$3)))</f>
        <v>-176198.4</v>
      </c>
      <c r="AE6" s="124">
        <f>IF($B6="","",IF(AE$3=0,"n.b.",INDEX(SRC_ZPMW03!$A$1:$ZZ$501,$A6,AE$3)))</f>
        <v>-899392</v>
      </c>
      <c r="AF6" s="124">
        <f>IF($B6="","",IF(AF$3=0,"n.b.",INDEX(SRC_ZPMW03!$A$1:$ZZ$501,$A6,AF$3)))</f>
        <v>-80945.28</v>
      </c>
      <c r="AG6" s="124">
        <f>IF($B6="","",IF(AG$3=0,"n.b.",INDEX(SRC_ZPMW03!$A$1:$ZZ$501,$A6,AG$3)))</f>
        <v>-1124240</v>
      </c>
      <c r="AH6" s="124">
        <f>IF($B6="","",IF(AH$3=0,"n.b.",INDEX(SRC_ZPMW03!$A$1:$ZZ$501,$A6,AH$3)))</f>
        <v>-101181.6</v>
      </c>
      <c r="AI6" s="124">
        <f>IF($B6="","",IF(AI$3=0,"n.b.",INDEX(SRC_ZPMW03!$A$1:$ZZ$501,$A6,AI$3)))</f>
        <v>-1349088</v>
      </c>
      <c r="AJ6" s="124">
        <f>IF($B6="","",IF(AJ$3=0,"n.b.",INDEX(SRC_ZPMW03!$A$1:$ZZ$501,$A6,AJ$3)))</f>
        <v>-121417.92</v>
      </c>
      <c r="AK6" s="124">
        <f>IF($B6="","",IF(AK$3=0,"n.b.",INDEX(SRC_ZPMW03!$A$1:$ZZ$501,$A6,AK$3)))</f>
        <v>-1124240</v>
      </c>
      <c r="AL6" s="124">
        <f>IF($B6="","",IF(AL$3=0,"n.b.",INDEX(SRC_ZPMW03!$A$1:$ZZ$501,$A6,AL$3)))</f>
        <v>-101181.6</v>
      </c>
      <c r="AM6" s="124">
        <f>IF($B6="","",IF(AM$3=0,"n.b.",INDEX(SRC_ZPMW03!$A$1:$ZZ$501,$A6,AM$3)))</f>
        <v>-4496960</v>
      </c>
      <c r="AN6" s="124">
        <f>IF($B6="","",IF(AN$3=0,"n.b.",INDEX(SRC_ZPMW03!$A$1:$ZZ$501,$A6,AN$3)))</f>
        <v>4092233.6</v>
      </c>
      <c r="AO6" s="124">
        <f>IF($B6="","",IF(AO$3=0,"n.b.",INDEX(SRC_ZPMW03!$A$1:$ZZ$501,$A6,AO$3)))</f>
        <v>-404726.4</v>
      </c>
      <c r="AP6" s="124">
        <f>IF($B6="","",IF(AP$3=0,"n.b.",INDEX(SRC_ZPMW03!$A$1:$ZZ$501,$A6,AP$3)))</f>
        <v>-2421440</v>
      </c>
      <c r="AQ6" s="124">
        <f>IF($B6="","",IF(AQ$3=0,"n.b.",INDEX(SRC_ZPMW03!$A$1:$ZZ$501,$A6,AQ$3)))</f>
        <v>-217929.6</v>
      </c>
      <c r="AR6" s="124">
        <f>IF($B6="","",IF(AR$3=0,"n.b.",INDEX(SRC_ZPMW03!$A$1:$ZZ$501,$A6,AR$3)))</f>
        <v>0</v>
      </c>
      <c r="AS6" s="124">
        <f>IF($B6="","",IF(AS$3=0,"n.b.",INDEX(SRC_ZPMW03!$A$1:$ZZ$501,$A6,AS$3)))</f>
        <v>0</v>
      </c>
      <c r="AT6" s="124">
        <f>IF($B6="","",IF(AT$3=0,"n.b.",INDEX(SRC_ZPMW03!$A$1:$ZZ$501,$A6,AT$3)))</f>
        <v>0</v>
      </c>
      <c r="AU6" s="124">
        <f>IF($B6="","",IF(AU$3=0,"n.b.",INDEX(SRC_ZPMW03!$A$1:$ZZ$501,$A6,AU$3)))</f>
        <v>0</v>
      </c>
      <c r="AV6" s="124">
        <f>IF($B6="","",IF(AV$3=0,"n.b.",INDEX(SRC_ZPMW03!$A$1:$ZZ$501,$A6,AV$3)))</f>
        <v>0</v>
      </c>
      <c r="AW6" s="124">
        <f>IF($B6="","",IF(AW$3=0,"n.b.",INDEX(SRC_ZPMW03!$A$1:$ZZ$501,$A6,AW$3)))</f>
        <v>0</v>
      </c>
      <c r="AX6" s="124">
        <f>IF($B6="","",IF(AX$3=0,"n.b.",INDEX(SRC_ZPMW03!$A$1:$ZZ$501,$A6,AX$3)))</f>
        <v>0</v>
      </c>
      <c r="AY6" s="124">
        <f>IF($B6="","",IF(AY$3=0,"n.b.",INDEX(SRC_ZPMW03!$A$1:$ZZ$501,$A6,AY$3)))</f>
        <v>0</v>
      </c>
      <c r="AZ6" s="124">
        <f>IF($B6="","",IF(AZ$3=0,"n.b.",INDEX(SRC_ZPMW03!$A$1:$ZZ$501,$A6,AZ$3)))</f>
        <v>0</v>
      </c>
      <c r="BA6" s="124">
        <f>IF($B6="","",IF(BA$3=0,"n.b.",INDEX(SRC_ZPMW03!$A$1:$ZZ$501,$A6,BA$3)))</f>
        <v>0</v>
      </c>
      <c r="BB6" s="124">
        <f>IF($B6="","",IF(BB$3=0,"n.b.",INDEX(SRC_ZPMW03!$A$1:$ZZ$501,$A6,BB$3)))</f>
        <v>0</v>
      </c>
      <c r="BC6" s="124">
        <f>IF($B6="","",IF(BC$3=0,"n.b.",INDEX(SRC_ZPMW03!$A$1:$ZZ$501,$A6,BC$3)))</f>
        <v>0</v>
      </c>
      <c r="BD6" s="124">
        <f>IF($B6="","",IF(BD$3=0,"n.b.",INDEX(SRC_ZPMW03!$A$1:$ZZ$501,$A6,BD$3)))</f>
        <v>0</v>
      </c>
      <c r="BE6" s="124">
        <f>IF($B6="","",IF(BE$3=0,"n.b.",INDEX(SRC_ZPMW03!$A$1:$ZZ$501,$A6,BE$3)))</f>
        <v>0</v>
      </c>
      <c r="BF6" s="124">
        <f>IF($B6="","",IF(BF$3=0,"n.b.",INDEX(SRC_ZPMW03!$A$1:$ZZ$501,$A6,BF$3)))</f>
        <v>39.7</v>
      </c>
      <c r="BG6">
        <f>IF($B6="","",IF(BG$3=0,"n.b.",INDEX(SRC_ZPMW03!$A$1:$ZZ$501,$A6,BG$3)))</f>
        <v>45658.0</v>
      </c>
      <c r="BH6">
        <f>IF($B6="","",IF(BH$3=0,"n.b.",INDEX(SRC_ZPMW03!$A$1:$ZZ$501,$A6,BH$3)))</f>
        <v>46023.0</v>
      </c>
      <c r="BI6">
        <f>IF($B6="","",IF(BI$3=0,"n.b.",INDEX(SRC_ZPMW03!$A$1:$ZZ$501,$A6,BI$3)))</f>
        <v>202812</v>
      </c>
      <c r="BJ6">
        <f>IF($B6="","",IF(BJ$3=0,"n.b.",INDEX(SRC_ZPMW03!$A$1:$ZZ$501,$A6,BJ$3)))</f>
        <v>1</v>
      </c>
      <c r="BK6" s="124">
        <f>IF($B6="","",IFERROR(-O6,"n.b."))</f>
        <v>3635840</v>
      </c>
      <c r="BL6" s="124">
        <f>IF($B6="","",IFERROR(-Q6,"n.b."))</f>
        <v>327225.6</v>
      </c>
      <c r="BM6" s="124">
        <f>IF($B6="","",IFERROR(-AB6,"n.b."))</f>
        <v>1957760</v>
      </c>
      <c r="BN6" s="124">
        <f>IF($B6="","",IFERROR(-AD6,"n.b."))</f>
        <v>176198.4</v>
      </c>
      <c r="BO6" s="124">
        <f>IF($B6="","",IFERROR(BK6+BM6,"n.b."))</f>
        <v>5593600</v>
      </c>
      <c r="BP6" s="124">
        <f>IF($B6="","",IFERROR(BL6+BN6,"n.b."))</f>
        <v>503424</v>
      </c>
      <c r="BQ6" s="124">
        <f>IF($B6="","",IFERROR(-AM6,"n.b."))</f>
        <v>4496960</v>
      </c>
      <c r="BR6" s="124">
        <f>IF($B6="","",IFERROR(-AO6,"n.b."))</f>
        <v>404726.4</v>
      </c>
      <c r="BS6" s="124">
        <f>IF($B6="","",IFERROR(-Z6,"n.b."))</f>
        <v>1957760</v>
      </c>
      <c r="BT6" s="124">
        <f>IF($B6="","",IFERROR(-AA6,"n.b."))</f>
        <v>176198.4</v>
      </c>
      <c r="BU6" s="124">
        <f>IF($B6="","",IFERROR(-AE6,"n.b."))</f>
        <v>899392</v>
      </c>
      <c r="BV6" s="124">
        <f>IF($B6="","",IFERROR(-AF6,"n.b."))</f>
        <v>80945.28</v>
      </c>
      <c r="BW6" s="124">
        <f>IF($B6="","",IFERROR(-AG6,"n.b."))</f>
        <v>1124240</v>
      </c>
      <c r="BX6" s="124">
        <f>IF($B6="","",IFERROR(-AH6,"n.b."))</f>
        <v>101181.6</v>
      </c>
      <c r="BY6" s="124">
        <f>IF($B6="","",IFERROR(-AI6,"n.b."))</f>
        <v>1349088</v>
      </c>
      <c r="BZ6" s="124">
        <f>IF($B6="","",IFERROR(-AJ6,"n.b."))</f>
        <v>121417.92</v>
      </c>
      <c r="CA6" s="124">
        <f>IF($B6="","",IFERROR(-AK6,"n.b."))</f>
        <v>1124240</v>
      </c>
      <c r="CB6" s="124">
        <f>IF($B6="","",IFERROR(-AL6,"n.b."))</f>
        <v>101181.6</v>
      </c>
      <c r="CC6" s="124">
        <f>IF($B6="","",IFERROR(-AP6,"n.b."))</f>
        <v>2421440</v>
      </c>
      <c r="CD6" s="124">
        <f>IF($B6="","",IFERROR(-AQ6,"n.b."))</f>
        <v>217929.6</v>
      </c>
      <c r="CE6" s="124">
        <f>IF($B6="","",IFERROR(-AR6,"n.b."))</f>
        <v>0</v>
      </c>
      <c r="CF6" s="124">
        <f>IF($B6="","",IFERROR(-AS6,"n.b."))</f>
        <v>0</v>
      </c>
      <c r="CG6" s="124">
        <f>IF($B6="","",IFERROR(-AT6,"n.b."))</f>
        <v>0</v>
      </c>
      <c r="CH6" s="124">
        <f>IF($B6="","",IFERROR(-AU6,"n.b."))</f>
        <v>0</v>
      </c>
      <c r="CI6" s="124">
        <f>IF($B6="","",IFERROR(-AV6,"n.b."))</f>
        <v>0</v>
      </c>
      <c r="CJ6" s="124">
        <f>IF($B6="","",IFERROR(-AW6,"n.b."))</f>
        <v>0</v>
      </c>
      <c r="CK6" s="124">
        <f>IF($B6="","",IFERROR(-AX6,"n.b."))</f>
        <v>0</v>
      </c>
      <c r="CL6" s="124">
        <f>IF($B6="","",IFERROR(-AY6,"n.b."))</f>
        <v>0</v>
      </c>
      <c r="CM6" s="124">
        <f>IF($B6="","",IFERROR(-AZ6,"n.b."))</f>
        <v>0</v>
      </c>
      <c r="CN6" s="124">
        <f>IF($B6="","",IFERROR(-BA6,"n.b."))</f>
        <v>0</v>
      </c>
      <c r="CO6" s="124">
        <f>IF($B6="","",IFERROR(-BB6,"n.b."))</f>
        <v>0</v>
      </c>
      <c r="CP6" s="124">
        <f>IF($B6="","",IFERROR(-BC6,"n.b."))</f>
        <v>0</v>
      </c>
      <c r="CQ6" s="124">
        <f>IF($B6="","",IFERROR(-BD6,"n.b."))</f>
        <v>0</v>
      </c>
      <c r="CR6" s="124">
        <f>IF($B6="","",IFERROR(-BE6,"n.b."))</f>
        <v>0</v>
      </c>
      <c r="CS6" s="124">
        <f>IF($B6="","",IFERROR(IF(OR(ABS(T6+V6+X6+Z6-AB6)&gt;P_Tol,ABS(U6+W6+Y6+AA6-AD6)&gt;P_Tol,ABS(AE6+AG6+AI6+AK6-AM6)&gt;P_Tol,ABS(AF6+AH6+AJ6+AL6-AO6)&gt;P_Tol),1,0),1))</f>
        <v>0</v>
      </c>
      <c r="CT6" s="124">
        <f>IF($B6="","",IFERROR(IF(OR(ABS(AB6+AC6-AD6)&gt;P_Tol,ABS(AM6+AN6-AO6)&gt;P_Tol,ABS(O6+P6-Q6)&gt;P_Tol),1,0),1))</f>
        <v>0</v>
      </c>
      <c r="CU6" s="124">
        <f>IF($B6="","",IFERROR(IF(ABS(R6-(AB6+AM6+AP6+AR6+AT6+AV6+AX6+AZ6+BB6+BD6))&gt;P_Tol,1,0),1))</f>
        <v>0</v>
      </c>
      <c r="CV6" s="124">
        <f>IF($B6="","",IFERROR(IF(ABS(M6-(N6+O6+R6))&gt;P_Tol,1,0),1))</f>
        <v>0</v>
      </c>
      <c r="CW6" s="124">
        <f>IF($B6="","",IF(COUNTIF(Mapping!$A$5:$A$104,B6)&gt;0,1,0))</f>
        <v>1</v>
      </c>
      <c r="CX6" s="124">
        <f>IF($B6="","",COUNTIF($B$6:$B$505,B6))</f>
        <v>1</v>
      </c>
      <c r="CY6" s="124">
        <f>IF($B6="","",COUNTIF(STG_Woningetalage!$B$6:$B$505,B6))</f>
        <v>1</v>
      </c>
      <c r="CZ6" s="124" t="str">
        <f>IF($B6="","",IF(CW6=0,COUNTIF($CW$6:CW6,0),""))</f>
        <v/>
      </c>
    </row>
    <row r="7">
      <c r="A7" s="15" t="n">
        <v>3</v>
      </c>
      <c r="B7" t="str">
        <f>IF(B$3=0,"",IF(INDEX(SRC_ZPMW03!$A$1:$ZZ$501,$A7,B$3)&amp;""="","",INDEX(SRC_ZPMW03!$A$1:$ZZ$501,$A7,B$3)&amp;""))</f>
        <v>G.900002.8.9090</v>
      </c>
      <c r="C7" t="str">
        <f>IF($B7="","",IF(C$3=0,"n.b.",INDEX(SRC_ZPMW03!$A$1:$ZZ$501,$A7,C$3)))</f>
        <v>J</v>
      </c>
      <c r="D7">
        <f>IF($B7="","",IF(D$3=0,"n.b.",INDEX(SRC_ZPMW03!$A$1:$ZZ$501,$A7,D$3)))</f>
        <v>9901</v>
      </c>
      <c r="E7" t="str">
        <f>IF($B7="","",IF(E$3=0,"n.b.",INDEX(SRC_ZPMW03!$A$1:$ZZ$501,$A7,E$3)))</f>
        <v>Demo Ontwikkeling BV</v>
      </c>
      <c r="F7">
        <f>IF($B7="","",IF(F$3=0,"n.b.",INDEX(SRC_ZPMW03!$A$1:$ZZ$501,$A7,F$3)))</f>
        <v>9090</v>
      </c>
      <c r="G7" t="str">
        <f>IF($B7="","",IF(G$3=0,"n.b.",INDEX(SRC_ZPMW03!$A$1:$ZZ$501,$A7,G$3)))</f>
        <v>Demo Regio</v>
      </c>
      <c r="H7" t="str">
        <f>IF($B7="","",IF(H$3=0,"n.b.",INDEX(SRC_ZPMW03!$A$1:$ZZ$501,$A7,H$3)))</f>
        <v>WO-Wonen</v>
      </c>
      <c r="I7" t="str">
        <f>IF($B7="","",IF(I$3=0,"n.b.",INDEX(SRC_ZPMW03!$A$1:$ZZ$501,$A7,I$3)))</f>
        <v>G.900002</v>
      </c>
      <c r="J7" t="str">
        <f>IF($B7="","",IF(J$3=0,"n.b.",INDEX(SRC_ZPMW03!$A$1:$ZZ$501,$A7,J$3)))</f>
        <v>Duinwaard, De Watergaarde</v>
      </c>
      <c r="K7" t="str">
        <f>IF($B7="","",IF(K$3=0,"n.b.",INDEX(SRC_ZPMW03!$A$1:$ZZ$501,$A7,K$3)))</f>
        <v>VRIJ VEN3</v>
      </c>
      <c r="L7" s="124">
        <f>IF($B7="","",IF(L$3=0,"n.b.",INDEX(SRC_ZPMW03!$A$1:$ZZ$501,$A7,L$3)))</f>
        <v>80</v>
      </c>
      <c r="M7" s="124">
        <f>IF($B7="","",IF(M$3=0,"n.b.",INDEX(SRC_ZPMW03!$A$1:$ZZ$501,$A7,M$3)))</f>
        <v>-14880000</v>
      </c>
      <c r="N7" s="124">
        <f>IF($B7="","",IF(N$3=0,"n.b.",INDEX(SRC_ZPMW03!$A$1:$ZZ$501,$A7,N$3)))</f>
        <v>-2232000</v>
      </c>
      <c r="O7" s="124">
        <f>IF($B7="","",IF(O$3=0,"n.b.",INDEX(SRC_ZPMW03!$A$1:$ZZ$501,$A7,O$3)))</f>
        <v>-2418000</v>
      </c>
      <c r="P7" s="124">
        <f>IF($B7="","",IF(P$3=0,"n.b.",INDEX(SRC_ZPMW03!$A$1:$ZZ$501,$A7,P$3)))</f>
        <v>2127840</v>
      </c>
      <c r="Q7" s="124">
        <f>IF($B7="","",IF(Q$3=0,"n.b.",INDEX(SRC_ZPMW03!$A$1:$ZZ$501,$A7,Q$3)))</f>
        <v>-290160</v>
      </c>
      <c r="R7" s="124">
        <f>IF($B7="","",IF(R$3=0,"n.b.",INDEX(SRC_ZPMW03!$A$1:$ZZ$501,$A7,R$3)))</f>
        <v>-10230000</v>
      </c>
      <c r="S7" s="124">
        <f>IF($B7="","",IF(S$3=0,"n.b.",INDEX(SRC_ZPMW03!$A$1:$ZZ$501,$A7,S$3)))</f>
        <v>-1227600</v>
      </c>
      <c r="T7" s="124">
        <f>IF($B7="","",IF(T$3=0,"n.b.",INDEX(SRC_ZPMW03!$A$1:$ZZ$501,$A7,T$3)))</f>
        <v>0</v>
      </c>
      <c r="U7" s="124">
        <f>IF($B7="","",IF(U$3=0,"n.b.",INDEX(SRC_ZPMW03!$A$1:$ZZ$501,$A7,U$3)))</f>
        <v>0</v>
      </c>
      <c r="V7" s="124">
        <f>IF($B7="","",IF(V$3=0,"n.b.",INDEX(SRC_ZPMW03!$A$1:$ZZ$501,$A7,V$3)))</f>
        <v>0</v>
      </c>
      <c r="W7" s="124">
        <f>IF($B7="","",IF(W$3=0,"n.b.",INDEX(SRC_ZPMW03!$A$1:$ZZ$501,$A7,W$3)))</f>
        <v>0</v>
      </c>
      <c r="X7" s="124">
        <f>IF($B7="","",IF(X$3=0,"n.b.",INDEX(SRC_ZPMW03!$A$1:$ZZ$501,$A7,X$3)))</f>
        <v>0</v>
      </c>
      <c r="Y7" s="124">
        <f>IF($B7="","",IF(Y$3=0,"n.b.",INDEX(SRC_ZPMW03!$A$1:$ZZ$501,$A7,Y$3)))</f>
        <v>0</v>
      </c>
      <c r="Z7" s="124">
        <f>IF($B7="","",IF(Z$3=0,"n.b.",INDEX(SRC_ZPMW03!$A$1:$ZZ$501,$A7,Z$3)))</f>
        <v>-1302000</v>
      </c>
      <c r="AA7" s="124">
        <f>IF($B7="","",IF(AA$3=0,"n.b.",INDEX(SRC_ZPMW03!$A$1:$ZZ$501,$A7,AA$3)))</f>
        <v>-156240</v>
      </c>
      <c r="AB7" s="124">
        <f>IF($B7="","",IF(AB$3=0,"n.b.",INDEX(SRC_ZPMW03!$A$1:$ZZ$501,$A7,AB$3)))</f>
        <v>-1302000</v>
      </c>
      <c r="AC7" s="124">
        <f>IF($B7="","",IF(AC$3=0,"n.b.",INDEX(SRC_ZPMW03!$A$1:$ZZ$501,$A7,AC$3)))</f>
        <v>1145760</v>
      </c>
      <c r="AD7" s="124">
        <f>IF($B7="","",IF(AD$3=0,"n.b.",INDEX(SRC_ZPMW03!$A$1:$ZZ$501,$A7,AD$3)))</f>
        <v>-156240</v>
      </c>
      <c r="AE7" s="124">
        <f>IF($B7="","",IF(AE$3=0,"n.b.",INDEX(SRC_ZPMW03!$A$1:$ZZ$501,$A7,AE$3)))</f>
        <v>-1160640</v>
      </c>
      <c r="AF7" s="124">
        <f>IF($B7="","",IF(AF$3=0,"n.b.",INDEX(SRC_ZPMW03!$A$1:$ZZ$501,$A7,AF$3)))</f>
        <v>-139276.8</v>
      </c>
      <c r="AG7" s="124">
        <f>IF($B7="","",IF(AG$3=0,"n.b.",INDEX(SRC_ZPMW03!$A$1:$ZZ$501,$A7,AG$3)))</f>
        <v>-1450800</v>
      </c>
      <c r="AH7" s="124">
        <f>IF($B7="","",IF(AH$3=0,"n.b.",INDEX(SRC_ZPMW03!$A$1:$ZZ$501,$A7,AH$3)))</f>
        <v>-174096</v>
      </c>
      <c r="AI7" s="124">
        <f>IF($B7="","",IF(AI$3=0,"n.b.",INDEX(SRC_ZPMW03!$A$1:$ZZ$501,$A7,AI$3)))</f>
        <v>-1740960</v>
      </c>
      <c r="AJ7" s="124">
        <f>IF($B7="","",IF(AJ$3=0,"n.b.",INDEX(SRC_ZPMW03!$A$1:$ZZ$501,$A7,AJ$3)))</f>
        <v>-208915.2</v>
      </c>
      <c r="AK7" s="124">
        <f>IF($B7="","",IF(AK$3=0,"n.b.",INDEX(SRC_ZPMW03!$A$1:$ZZ$501,$A7,AK$3)))</f>
        <v>-1450800</v>
      </c>
      <c r="AL7" s="124">
        <f>IF($B7="","",IF(AL$3=0,"n.b.",INDEX(SRC_ZPMW03!$A$1:$ZZ$501,$A7,AL$3)))</f>
        <v>-174096</v>
      </c>
      <c r="AM7" s="124">
        <f>IF($B7="","",IF(AM$3=0,"n.b.",INDEX(SRC_ZPMW03!$A$1:$ZZ$501,$A7,AM$3)))</f>
        <v>-5803200</v>
      </c>
      <c r="AN7" s="124">
        <f>IF($B7="","",IF(AN$3=0,"n.b.",INDEX(SRC_ZPMW03!$A$1:$ZZ$501,$A7,AN$3)))</f>
        <v>5106816</v>
      </c>
      <c r="AO7" s="124">
        <f>IF($B7="","",IF(AO$3=0,"n.b.",INDEX(SRC_ZPMW03!$A$1:$ZZ$501,$A7,AO$3)))</f>
        <v>-696384</v>
      </c>
      <c r="AP7" s="124">
        <f>IF($B7="","",IF(AP$3=0,"n.b.",INDEX(SRC_ZPMW03!$A$1:$ZZ$501,$A7,AP$3)))</f>
        <v>-3124800</v>
      </c>
      <c r="AQ7" s="124">
        <f>IF($B7="","",IF(AQ$3=0,"n.b.",INDEX(SRC_ZPMW03!$A$1:$ZZ$501,$A7,AQ$3)))</f>
        <v>-374976</v>
      </c>
      <c r="AR7" s="124">
        <f>IF($B7="","",IF(AR$3=0,"n.b.",INDEX(SRC_ZPMW03!$A$1:$ZZ$501,$A7,AR$3)))</f>
        <v>0</v>
      </c>
      <c r="AS7" s="124">
        <f>IF($B7="","",IF(AS$3=0,"n.b.",INDEX(SRC_ZPMW03!$A$1:$ZZ$501,$A7,AS$3)))</f>
        <v>0</v>
      </c>
      <c r="AT7" s="124">
        <f>IF($B7="","",IF(AT$3=0,"n.b.",INDEX(SRC_ZPMW03!$A$1:$ZZ$501,$A7,AT$3)))</f>
        <v>0</v>
      </c>
      <c r="AU7" s="124">
        <f>IF($B7="","",IF(AU$3=0,"n.b.",INDEX(SRC_ZPMW03!$A$1:$ZZ$501,$A7,AU$3)))</f>
        <v>0</v>
      </c>
      <c r="AV7" s="124">
        <f>IF($B7="","",IF(AV$3=0,"n.b.",INDEX(SRC_ZPMW03!$A$1:$ZZ$501,$A7,AV$3)))</f>
        <v>0</v>
      </c>
      <c r="AW7" s="124">
        <f>IF($B7="","",IF(AW$3=0,"n.b.",INDEX(SRC_ZPMW03!$A$1:$ZZ$501,$A7,AW$3)))</f>
        <v>0</v>
      </c>
      <c r="AX7" s="124">
        <f>IF($B7="","",IF(AX$3=0,"n.b.",INDEX(SRC_ZPMW03!$A$1:$ZZ$501,$A7,AX$3)))</f>
        <v>0</v>
      </c>
      <c r="AY7" s="124">
        <f>IF($B7="","",IF(AY$3=0,"n.b.",INDEX(SRC_ZPMW03!$A$1:$ZZ$501,$A7,AY$3)))</f>
        <v>0</v>
      </c>
      <c r="AZ7" s="124">
        <f>IF($B7="","",IF(AZ$3=0,"n.b.",INDEX(SRC_ZPMW03!$A$1:$ZZ$501,$A7,AZ$3)))</f>
        <v>0</v>
      </c>
      <c r="BA7" s="124">
        <f>IF($B7="","",IF(BA$3=0,"n.b.",INDEX(SRC_ZPMW03!$A$1:$ZZ$501,$A7,BA$3)))</f>
        <v>0</v>
      </c>
      <c r="BB7" s="124">
        <f>IF($B7="","",IF(BB$3=0,"n.b.",INDEX(SRC_ZPMW03!$A$1:$ZZ$501,$A7,BB$3)))</f>
        <v>0</v>
      </c>
      <c r="BC7" s="124">
        <f>IF($B7="","",IF(BC$3=0,"n.b.",INDEX(SRC_ZPMW03!$A$1:$ZZ$501,$A7,BC$3)))</f>
        <v>0</v>
      </c>
      <c r="BD7" s="124">
        <f>IF($B7="","",IF(BD$3=0,"n.b.",INDEX(SRC_ZPMW03!$A$1:$ZZ$501,$A7,BD$3)))</f>
        <v>0</v>
      </c>
      <c r="BE7" s="124">
        <f>IF($B7="","",IF(BE$3=0,"n.b.",INDEX(SRC_ZPMW03!$A$1:$ZZ$501,$A7,BE$3)))</f>
        <v>0</v>
      </c>
      <c r="BF7" s="124">
        <f>IF($B7="","",IF(BF$3=0,"n.b.",INDEX(SRC_ZPMW03!$A$1:$ZZ$501,$A7,BF$3)))</f>
        <v>31.25</v>
      </c>
      <c r="BG7">
        <f>IF($B7="","",IF(BG$3=0,"n.b.",INDEX(SRC_ZPMW03!$A$1:$ZZ$501,$A7,BG$3)))</f>
        <v>45689.0</v>
      </c>
      <c r="BH7">
        <f>IF($B7="","",IF(BH$3=0,"n.b.",INDEX(SRC_ZPMW03!$A$1:$ZZ$501,$A7,BH$3)))</f>
        <v>46054.0</v>
      </c>
      <c r="BI7">
        <f>IF($B7="","",IF(BI$3=0,"n.b.",INDEX(SRC_ZPMW03!$A$1:$ZZ$501,$A7,BI$3)))</f>
        <v>202812</v>
      </c>
      <c r="BJ7">
        <f>IF($B7="","",IF(BJ$3=0,"n.b.",INDEX(SRC_ZPMW03!$A$1:$ZZ$501,$A7,BJ$3)))</f>
        <v>2</v>
      </c>
      <c r="BK7" s="124">
        <f>IF($B7="","",IFERROR(-O7,"n.b."))</f>
        <v>2418000</v>
      </c>
      <c r="BL7" s="124">
        <f>IF($B7="","",IFERROR(-Q7,"n.b."))</f>
        <v>290160</v>
      </c>
      <c r="BM7" s="124">
        <f>IF($B7="","",IFERROR(-AB7,"n.b."))</f>
        <v>1302000</v>
      </c>
      <c r="BN7" s="124">
        <f>IF($B7="","",IFERROR(-AD7,"n.b."))</f>
        <v>156240</v>
      </c>
      <c r="BO7" s="124">
        <f>IF($B7="","",IFERROR(BK7+BM7,"n.b."))</f>
        <v>3720000</v>
      </c>
      <c r="BP7" s="124">
        <f>IF($B7="","",IFERROR(BL7+BN7,"n.b."))</f>
        <v>446400</v>
      </c>
      <c r="BQ7" s="124">
        <f>IF($B7="","",IFERROR(-AM7,"n.b."))</f>
        <v>5803200</v>
      </c>
      <c r="BR7" s="124">
        <f>IF($B7="","",IFERROR(-AO7,"n.b."))</f>
        <v>696384</v>
      </c>
      <c r="BS7" s="124">
        <f>IF($B7="","",IFERROR(-Z7,"n.b."))</f>
        <v>1302000</v>
      </c>
      <c r="BT7" s="124">
        <f>IF($B7="","",IFERROR(-AA7,"n.b."))</f>
        <v>156240</v>
      </c>
      <c r="BU7" s="124">
        <f>IF($B7="","",IFERROR(-AE7,"n.b."))</f>
        <v>1160640</v>
      </c>
      <c r="BV7" s="124">
        <f>IF($B7="","",IFERROR(-AF7,"n.b."))</f>
        <v>139276.8</v>
      </c>
      <c r="BW7" s="124">
        <f>IF($B7="","",IFERROR(-AG7,"n.b."))</f>
        <v>1450800</v>
      </c>
      <c r="BX7" s="124">
        <f>IF($B7="","",IFERROR(-AH7,"n.b."))</f>
        <v>174096</v>
      </c>
      <c r="BY7" s="124">
        <f>IF($B7="","",IFERROR(-AI7,"n.b."))</f>
        <v>1740960</v>
      </c>
      <c r="BZ7" s="124">
        <f>IF($B7="","",IFERROR(-AJ7,"n.b."))</f>
        <v>208915.2</v>
      </c>
      <c r="CA7" s="124">
        <f>IF($B7="","",IFERROR(-AK7,"n.b."))</f>
        <v>1450800</v>
      </c>
      <c r="CB7" s="124">
        <f>IF($B7="","",IFERROR(-AL7,"n.b."))</f>
        <v>174096</v>
      </c>
      <c r="CC7" s="124">
        <f>IF($B7="","",IFERROR(-AP7,"n.b."))</f>
        <v>3124800</v>
      </c>
      <c r="CD7" s="124">
        <f>IF($B7="","",IFERROR(-AQ7,"n.b."))</f>
        <v>374976</v>
      </c>
      <c r="CE7" s="124">
        <f>IF($B7="","",IFERROR(-AR7,"n.b."))</f>
        <v>0</v>
      </c>
      <c r="CF7" s="124">
        <f>IF($B7="","",IFERROR(-AS7,"n.b."))</f>
        <v>0</v>
      </c>
      <c r="CG7" s="124">
        <f>IF($B7="","",IFERROR(-AT7,"n.b."))</f>
        <v>0</v>
      </c>
      <c r="CH7" s="124">
        <f>IF($B7="","",IFERROR(-AU7,"n.b."))</f>
        <v>0</v>
      </c>
      <c r="CI7" s="124">
        <f>IF($B7="","",IFERROR(-AV7,"n.b."))</f>
        <v>0</v>
      </c>
      <c r="CJ7" s="124">
        <f>IF($B7="","",IFERROR(-AW7,"n.b."))</f>
        <v>0</v>
      </c>
      <c r="CK7" s="124">
        <f>IF($B7="","",IFERROR(-AX7,"n.b."))</f>
        <v>0</v>
      </c>
      <c r="CL7" s="124">
        <f>IF($B7="","",IFERROR(-AY7,"n.b."))</f>
        <v>0</v>
      </c>
      <c r="CM7" s="124">
        <f>IF($B7="","",IFERROR(-AZ7,"n.b."))</f>
        <v>0</v>
      </c>
      <c r="CN7" s="124">
        <f>IF($B7="","",IFERROR(-BA7,"n.b."))</f>
        <v>0</v>
      </c>
      <c r="CO7" s="124">
        <f>IF($B7="","",IFERROR(-BB7,"n.b."))</f>
        <v>0</v>
      </c>
      <c r="CP7" s="124">
        <f>IF($B7="","",IFERROR(-BC7,"n.b."))</f>
        <v>0</v>
      </c>
      <c r="CQ7" s="124">
        <f>IF($B7="","",IFERROR(-BD7,"n.b."))</f>
        <v>0</v>
      </c>
      <c r="CR7" s="124">
        <f>IF($B7="","",IFERROR(-BE7,"n.b."))</f>
        <v>0</v>
      </c>
      <c r="CS7" s="124">
        <f>IF($B7="","",IFERROR(IF(OR(ABS(T7+V7+X7+Z7-AB7)&gt;P_Tol,ABS(U7+W7+Y7+AA7-AD7)&gt;P_Tol,ABS(AE7+AG7+AI7+AK7-AM7)&gt;P_Tol,ABS(AF7+AH7+AJ7+AL7-AO7)&gt;P_Tol),1,0),1))</f>
        <v>0</v>
      </c>
      <c r="CT7" s="124">
        <f>IF($B7="","",IFERROR(IF(OR(ABS(AB7+AC7-AD7)&gt;P_Tol,ABS(AM7+AN7-AO7)&gt;P_Tol,ABS(O7+P7-Q7)&gt;P_Tol),1,0),1))</f>
        <v>0</v>
      </c>
      <c r="CU7" s="124">
        <f>IF($B7="","",IFERROR(IF(ABS(R7-(AB7+AM7+AP7+AR7+AT7+AV7+AX7+AZ7+BB7+BD7))&gt;P_Tol,1,0),1))</f>
        <v>0</v>
      </c>
      <c r="CV7" s="124">
        <f>IF($B7="","",IFERROR(IF(ABS(M7-(N7+O7+R7))&gt;P_Tol,1,0),1))</f>
        <v>0</v>
      </c>
      <c r="CW7" s="124">
        <f>IF($B7="","",IF(COUNTIF(Mapping!$A$5:$A$104,B7)&gt;0,1,0))</f>
        <v>1</v>
      </c>
      <c r="CX7" s="124">
        <f>IF($B7="","",COUNTIF($B$6:$B$505,B7))</f>
        <v>1</v>
      </c>
      <c r="CY7" s="124">
        <f>IF($B7="","",COUNTIF(STG_Woningetalage!$B$6:$B$505,B7))</f>
        <v>1</v>
      </c>
      <c r="CZ7" s="124" t="str">
        <f>IF($B7="","",IF(CW7=0,COUNTIF($CW$6:CW7,0),""))</f>
        <v/>
      </c>
    </row>
    <row r="8">
      <c r="A8" s="15" t="n">
        <v>4</v>
      </c>
      <c r="B8" t="str">
        <f>IF(B$3=0,"",IF(INDEX(SRC_ZPMW03!$A$1:$ZZ$501,$A8,B$3)&amp;""="","",INDEX(SRC_ZPMW03!$A$1:$ZZ$501,$A8,B$3)&amp;""))</f>
        <v>G.900003.8.9090</v>
      </c>
      <c r="C8" t="str">
        <f>IF($B8="","",IF(C$3=0,"n.b.",INDEX(SRC_ZPMW03!$A$1:$ZZ$501,$A8,C$3)))</f>
        <v>J</v>
      </c>
      <c r="D8">
        <f>IF($B8="","",IF(D$3=0,"n.b.",INDEX(SRC_ZPMW03!$A$1:$ZZ$501,$A8,D$3)))</f>
        <v>9901</v>
      </c>
      <c r="E8" t="str">
        <f>IF($B8="","",IF(E$3=0,"n.b.",INDEX(SRC_ZPMW03!$A$1:$ZZ$501,$A8,E$3)))</f>
        <v>Demo Ontwikkeling BV</v>
      </c>
      <c r="F8">
        <f>IF($B8="","",IF(F$3=0,"n.b.",INDEX(SRC_ZPMW03!$A$1:$ZZ$501,$A8,F$3)))</f>
        <v>9090</v>
      </c>
      <c r="G8" t="str">
        <f>IF($B8="","",IF(G$3=0,"n.b.",INDEX(SRC_ZPMW03!$A$1:$ZZ$501,$A8,G$3)))</f>
        <v>Demo Regio</v>
      </c>
      <c r="H8" t="str">
        <f>IF($B8="","",IF(H$3=0,"n.b.",INDEX(SRC_ZPMW03!$A$1:$ZZ$501,$A8,H$3)))</f>
        <v>WO-Wonen</v>
      </c>
      <c r="I8" t="str">
        <f>IF($B8="","",IF(I$3=0,"n.b.",INDEX(SRC_ZPMW03!$A$1:$ZZ$501,$A8,I$3)))</f>
        <v>G.900003</v>
      </c>
      <c r="J8" t="str">
        <f>IF($B8="","",IF(J$3=0,"n.b.",INDEX(SRC_ZPMW03!$A$1:$ZZ$501,$A8,J$3)))</f>
        <v>Veldendam, Stationshof</v>
      </c>
      <c r="K8" t="str">
        <f>IF($B8="","",IF(K$3=0,"n.b.",INDEX(SRC_ZPMW03!$A$1:$ZZ$501,$A8,K$3)))</f>
        <v>VRIJ VEN3</v>
      </c>
      <c r="L8" s="124">
        <f>IF($B8="","",IF(L$3=0,"n.b.",INDEX(SRC_ZPMW03!$A$1:$ZZ$501,$A8,L$3)))</f>
        <v>60</v>
      </c>
      <c r="M8" s="124">
        <f>IF($B8="","",IF(M$3=0,"n.b.",INDEX(SRC_ZPMW03!$A$1:$ZZ$501,$A8,M$3)))</f>
        <v>-30400000</v>
      </c>
      <c r="N8" s="124">
        <f>IF($B8="","",IF(N$3=0,"n.b.",INDEX(SRC_ZPMW03!$A$1:$ZZ$501,$A8,N$3)))</f>
        <v>-4560000</v>
      </c>
      <c r="O8" s="124">
        <f>IF($B8="","",IF(O$3=0,"n.b.",INDEX(SRC_ZPMW03!$A$1:$ZZ$501,$A8,O$3)))</f>
        <v>-2964000</v>
      </c>
      <c r="P8" s="124">
        <f>IF($B8="","",IF(P$3=0,"n.b.",INDEX(SRC_ZPMW03!$A$1:$ZZ$501,$A8,P$3)))</f>
        <v>2741700</v>
      </c>
      <c r="Q8" s="124">
        <f>IF($B8="","",IF(Q$3=0,"n.b.",INDEX(SRC_ZPMW03!$A$1:$ZZ$501,$A8,Q$3)))</f>
        <v>-222300</v>
      </c>
      <c r="R8" s="124">
        <f>IF($B8="","",IF(R$3=0,"n.b.",INDEX(SRC_ZPMW03!$A$1:$ZZ$501,$A8,R$3)))</f>
        <v>-22876000</v>
      </c>
      <c r="S8" s="124">
        <f>IF($B8="","",IF(S$3=0,"n.b.",INDEX(SRC_ZPMW03!$A$1:$ZZ$501,$A8,S$3)))</f>
        <v>-1715700</v>
      </c>
      <c r="T8" s="124">
        <f>IF($B8="","",IF(T$3=0,"n.b.",INDEX(SRC_ZPMW03!$A$1:$ZZ$501,$A8,T$3)))</f>
        <v>0</v>
      </c>
      <c r="U8" s="124">
        <f>IF($B8="","",IF(U$3=0,"n.b.",INDEX(SRC_ZPMW03!$A$1:$ZZ$501,$A8,U$3)))</f>
        <v>0</v>
      </c>
      <c r="V8" s="124">
        <f>IF($B8="","",IF(V$3=0,"n.b.",INDEX(SRC_ZPMW03!$A$1:$ZZ$501,$A8,V$3)))</f>
        <v>0</v>
      </c>
      <c r="W8" s="124">
        <f>IF($B8="","",IF(W$3=0,"n.b.",INDEX(SRC_ZPMW03!$A$1:$ZZ$501,$A8,W$3)))</f>
        <v>0</v>
      </c>
      <c r="X8" s="124">
        <f>IF($B8="","",IF(X$3=0,"n.b.",INDEX(SRC_ZPMW03!$A$1:$ZZ$501,$A8,X$3)))</f>
        <v>0</v>
      </c>
      <c r="Y8" s="124">
        <f>IF($B8="","",IF(Y$3=0,"n.b.",INDEX(SRC_ZPMW03!$A$1:$ZZ$501,$A8,Y$3)))</f>
        <v>0</v>
      </c>
      <c r="Z8" s="124">
        <f>IF($B8="","",IF(Z$3=0,"n.b.",INDEX(SRC_ZPMW03!$A$1:$ZZ$501,$A8,Z$3)))</f>
        <v>-1596000</v>
      </c>
      <c r="AA8" s="124">
        <f>IF($B8="","",IF(AA$3=0,"n.b.",INDEX(SRC_ZPMW03!$A$1:$ZZ$501,$A8,AA$3)))</f>
        <v>-119700</v>
      </c>
      <c r="AB8" s="124">
        <f>IF($B8="","",IF(AB$3=0,"n.b.",INDEX(SRC_ZPMW03!$A$1:$ZZ$501,$A8,AB$3)))</f>
        <v>-1596000</v>
      </c>
      <c r="AC8" s="124">
        <f>IF($B8="","",IF(AC$3=0,"n.b.",INDEX(SRC_ZPMW03!$A$1:$ZZ$501,$A8,AC$3)))</f>
        <v>1476300</v>
      </c>
      <c r="AD8" s="124">
        <f>IF($B8="","",IF(AD$3=0,"n.b.",INDEX(SRC_ZPMW03!$A$1:$ZZ$501,$A8,AD$3)))</f>
        <v>-119700</v>
      </c>
      <c r="AE8" s="124">
        <f>IF($B8="","",IF(AE$3=0,"n.b.",INDEX(SRC_ZPMW03!$A$1:$ZZ$501,$A8,AE$3)))</f>
        <v>-2766400</v>
      </c>
      <c r="AF8" s="124">
        <f>IF($B8="","",IF(AF$3=0,"n.b.",INDEX(SRC_ZPMW03!$A$1:$ZZ$501,$A8,AF$3)))</f>
        <v>-207480</v>
      </c>
      <c r="AG8" s="124">
        <f>IF($B8="","",IF(AG$3=0,"n.b.",INDEX(SRC_ZPMW03!$A$1:$ZZ$501,$A8,AG$3)))</f>
        <v>-3458000</v>
      </c>
      <c r="AH8" s="124">
        <f>IF($B8="","",IF(AH$3=0,"n.b.",INDEX(SRC_ZPMW03!$A$1:$ZZ$501,$A8,AH$3)))</f>
        <v>-259350</v>
      </c>
      <c r="AI8" s="124">
        <f>IF($B8="","",IF(AI$3=0,"n.b.",INDEX(SRC_ZPMW03!$A$1:$ZZ$501,$A8,AI$3)))</f>
        <v>-4149600</v>
      </c>
      <c r="AJ8" s="124">
        <f>IF($B8="","",IF(AJ$3=0,"n.b.",INDEX(SRC_ZPMW03!$A$1:$ZZ$501,$A8,AJ$3)))</f>
        <v>-311220</v>
      </c>
      <c r="AK8" s="124">
        <f>IF($B8="","",IF(AK$3=0,"n.b.",INDEX(SRC_ZPMW03!$A$1:$ZZ$501,$A8,AK$3)))</f>
        <v>-3458000</v>
      </c>
      <c r="AL8" s="124">
        <f>IF($B8="","",IF(AL$3=0,"n.b.",INDEX(SRC_ZPMW03!$A$1:$ZZ$501,$A8,AL$3)))</f>
        <v>-259350</v>
      </c>
      <c r="AM8" s="124">
        <f>IF($B8="","",IF(AM$3=0,"n.b.",INDEX(SRC_ZPMW03!$A$1:$ZZ$501,$A8,AM$3)))</f>
        <v>-13832000</v>
      </c>
      <c r="AN8" s="124">
        <f>IF($B8="","",IF(AN$3=0,"n.b.",INDEX(SRC_ZPMW03!$A$1:$ZZ$501,$A8,AN$3)))</f>
        <v>12794600</v>
      </c>
      <c r="AO8" s="124">
        <f>IF($B8="","",IF(AO$3=0,"n.b.",INDEX(SRC_ZPMW03!$A$1:$ZZ$501,$A8,AO$3)))</f>
        <v>-1037400</v>
      </c>
      <c r="AP8" s="124">
        <f>IF($B8="","",IF(AP$3=0,"n.b.",INDEX(SRC_ZPMW03!$A$1:$ZZ$501,$A8,AP$3)))</f>
        <v>-7448000</v>
      </c>
      <c r="AQ8" s="124">
        <f>IF($B8="","",IF(AQ$3=0,"n.b.",INDEX(SRC_ZPMW03!$A$1:$ZZ$501,$A8,AQ$3)))</f>
        <v>-558600</v>
      </c>
      <c r="AR8" s="124">
        <f>IF($B8="","",IF(AR$3=0,"n.b.",INDEX(SRC_ZPMW03!$A$1:$ZZ$501,$A8,AR$3)))</f>
        <v>0</v>
      </c>
      <c r="AS8" s="124">
        <f>IF($B8="","",IF(AS$3=0,"n.b.",INDEX(SRC_ZPMW03!$A$1:$ZZ$501,$A8,AS$3)))</f>
        <v>0</v>
      </c>
      <c r="AT8" s="124">
        <f>IF($B8="","",IF(AT$3=0,"n.b.",INDEX(SRC_ZPMW03!$A$1:$ZZ$501,$A8,AT$3)))</f>
        <v>0</v>
      </c>
      <c r="AU8" s="124">
        <f>IF($B8="","",IF(AU$3=0,"n.b.",INDEX(SRC_ZPMW03!$A$1:$ZZ$501,$A8,AU$3)))</f>
        <v>0</v>
      </c>
      <c r="AV8" s="124">
        <f>IF($B8="","",IF(AV$3=0,"n.b.",INDEX(SRC_ZPMW03!$A$1:$ZZ$501,$A8,AV$3)))</f>
        <v>0</v>
      </c>
      <c r="AW8" s="124">
        <f>IF($B8="","",IF(AW$3=0,"n.b.",INDEX(SRC_ZPMW03!$A$1:$ZZ$501,$A8,AW$3)))</f>
        <v>0</v>
      </c>
      <c r="AX8" s="124">
        <f>IF($B8="","",IF(AX$3=0,"n.b.",INDEX(SRC_ZPMW03!$A$1:$ZZ$501,$A8,AX$3)))</f>
        <v>0</v>
      </c>
      <c r="AY8" s="124">
        <f>IF($B8="","",IF(AY$3=0,"n.b.",INDEX(SRC_ZPMW03!$A$1:$ZZ$501,$A8,AY$3)))</f>
        <v>0</v>
      </c>
      <c r="AZ8" s="124">
        <f>IF($B8="","",IF(AZ$3=0,"n.b.",INDEX(SRC_ZPMW03!$A$1:$ZZ$501,$A8,AZ$3)))</f>
        <v>0</v>
      </c>
      <c r="BA8" s="124">
        <f>IF($B8="","",IF(BA$3=0,"n.b.",INDEX(SRC_ZPMW03!$A$1:$ZZ$501,$A8,BA$3)))</f>
        <v>0</v>
      </c>
      <c r="BB8" s="124">
        <f>IF($B8="","",IF(BB$3=0,"n.b.",INDEX(SRC_ZPMW03!$A$1:$ZZ$501,$A8,BB$3)))</f>
        <v>0</v>
      </c>
      <c r="BC8" s="124">
        <f>IF($B8="","",IF(BC$3=0,"n.b.",INDEX(SRC_ZPMW03!$A$1:$ZZ$501,$A8,BC$3)))</f>
        <v>0</v>
      </c>
      <c r="BD8" s="124">
        <f>IF($B8="","",IF(BD$3=0,"n.b.",INDEX(SRC_ZPMW03!$A$1:$ZZ$501,$A8,BD$3)))</f>
        <v>0</v>
      </c>
      <c r="BE8" s="124">
        <f>IF($B8="","",IF(BE$3=0,"n.b.",INDEX(SRC_ZPMW03!$A$1:$ZZ$501,$A8,BE$3)))</f>
        <v>0</v>
      </c>
      <c r="BF8" s="124">
        <f>IF($B8="","",IF(BF$3=0,"n.b.",INDEX(SRC_ZPMW03!$A$1:$ZZ$501,$A8,BF$3)))</f>
        <v>24.75</v>
      </c>
      <c r="BG8">
        <f>IF($B8="","",IF(BG$3=0,"n.b.",INDEX(SRC_ZPMW03!$A$1:$ZZ$501,$A8,BG$3)))</f>
        <v>45717.0</v>
      </c>
      <c r="BH8">
        <f>IF($B8="","",IF(BH$3=0,"n.b.",INDEX(SRC_ZPMW03!$A$1:$ZZ$501,$A8,BH$3)))</f>
        <v>46082.0</v>
      </c>
      <c r="BI8">
        <f>IF($B8="","",IF(BI$3=0,"n.b.",INDEX(SRC_ZPMW03!$A$1:$ZZ$501,$A8,BI$3)))</f>
        <v>202812</v>
      </c>
      <c r="BJ8">
        <f>IF($B8="","",IF(BJ$3=0,"n.b.",INDEX(SRC_ZPMW03!$A$1:$ZZ$501,$A8,BJ$3)))</f>
        <v>3</v>
      </c>
      <c r="BK8" s="124">
        <f>IF($B8="","",IFERROR(-O8,"n.b."))</f>
        <v>2964000</v>
      </c>
      <c r="BL8" s="124">
        <f>IF($B8="","",IFERROR(-Q8,"n.b."))</f>
        <v>222300</v>
      </c>
      <c r="BM8" s="124">
        <f>IF($B8="","",IFERROR(-AB8,"n.b."))</f>
        <v>1596000</v>
      </c>
      <c r="BN8" s="124">
        <f>IF($B8="","",IFERROR(-AD8,"n.b."))</f>
        <v>119700</v>
      </c>
      <c r="BO8" s="124">
        <f>IF($B8="","",IFERROR(BK8+BM8,"n.b."))</f>
        <v>4560000</v>
      </c>
      <c r="BP8" s="124">
        <f>IF($B8="","",IFERROR(BL8+BN8,"n.b."))</f>
        <v>342000</v>
      </c>
      <c r="BQ8" s="124">
        <f>IF($B8="","",IFERROR(-AM8,"n.b."))</f>
        <v>13832000</v>
      </c>
      <c r="BR8" s="124">
        <f>IF($B8="","",IFERROR(-AO8,"n.b."))</f>
        <v>1037400</v>
      </c>
      <c r="BS8" s="124">
        <f>IF($B8="","",IFERROR(-Z8,"n.b."))</f>
        <v>1596000</v>
      </c>
      <c r="BT8" s="124">
        <f>IF($B8="","",IFERROR(-AA8,"n.b."))</f>
        <v>119700</v>
      </c>
      <c r="BU8" s="124">
        <f>IF($B8="","",IFERROR(-AE8,"n.b."))</f>
        <v>2766400</v>
      </c>
      <c r="BV8" s="124">
        <f>IF($B8="","",IFERROR(-AF8,"n.b."))</f>
        <v>207480</v>
      </c>
      <c r="BW8" s="124">
        <f>IF($B8="","",IFERROR(-AG8,"n.b."))</f>
        <v>3458000</v>
      </c>
      <c r="BX8" s="124">
        <f>IF($B8="","",IFERROR(-AH8,"n.b."))</f>
        <v>259350</v>
      </c>
      <c r="BY8" s="124">
        <f>IF($B8="","",IFERROR(-AI8,"n.b."))</f>
        <v>4149600</v>
      </c>
      <c r="BZ8" s="124">
        <f>IF($B8="","",IFERROR(-AJ8,"n.b."))</f>
        <v>311220</v>
      </c>
      <c r="CA8" s="124">
        <f>IF($B8="","",IFERROR(-AK8,"n.b."))</f>
        <v>3458000</v>
      </c>
      <c r="CB8" s="124">
        <f>IF($B8="","",IFERROR(-AL8,"n.b."))</f>
        <v>259350</v>
      </c>
      <c r="CC8" s="124">
        <f>IF($B8="","",IFERROR(-AP8,"n.b."))</f>
        <v>7448000</v>
      </c>
      <c r="CD8" s="124">
        <f>IF($B8="","",IFERROR(-AQ8,"n.b."))</f>
        <v>558600</v>
      </c>
      <c r="CE8" s="124">
        <f>IF($B8="","",IFERROR(-AR8,"n.b."))</f>
        <v>0</v>
      </c>
      <c r="CF8" s="124">
        <f>IF($B8="","",IFERROR(-AS8,"n.b."))</f>
        <v>0</v>
      </c>
      <c r="CG8" s="124">
        <f>IF($B8="","",IFERROR(-AT8,"n.b."))</f>
        <v>0</v>
      </c>
      <c r="CH8" s="124">
        <f>IF($B8="","",IFERROR(-AU8,"n.b."))</f>
        <v>0</v>
      </c>
      <c r="CI8" s="124">
        <f>IF($B8="","",IFERROR(-AV8,"n.b."))</f>
        <v>0</v>
      </c>
      <c r="CJ8" s="124">
        <f>IF($B8="","",IFERROR(-AW8,"n.b."))</f>
        <v>0</v>
      </c>
      <c r="CK8" s="124">
        <f>IF($B8="","",IFERROR(-AX8,"n.b."))</f>
        <v>0</v>
      </c>
      <c r="CL8" s="124">
        <f>IF($B8="","",IFERROR(-AY8,"n.b."))</f>
        <v>0</v>
      </c>
      <c r="CM8" s="124">
        <f>IF($B8="","",IFERROR(-AZ8,"n.b."))</f>
        <v>0</v>
      </c>
      <c r="CN8" s="124">
        <f>IF($B8="","",IFERROR(-BA8,"n.b."))</f>
        <v>0</v>
      </c>
      <c r="CO8" s="124">
        <f>IF($B8="","",IFERROR(-BB8,"n.b."))</f>
        <v>0</v>
      </c>
      <c r="CP8" s="124">
        <f>IF($B8="","",IFERROR(-BC8,"n.b."))</f>
        <v>0</v>
      </c>
      <c r="CQ8" s="124">
        <f>IF($B8="","",IFERROR(-BD8,"n.b."))</f>
        <v>0</v>
      </c>
      <c r="CR8" s="124">
        <f>IF($B8="","",IFERROR(-BE8,"n.b."))</f>
        <v>0</v>
      </c>
      <c r="CS8" s="124">
        <f>IF($B8="","",IFERROR(IF(OR(ABS(T8+V8+X8+Z8-AB8)&gt;P_Tol,ABS(U8+W8+Y8+AA8-AD8)&gt;P_Tol,ABS(AE8+AG8+AI8+AK8-AM8)&gt;P_Tol,ABS(AF8+AH8+AJ8+AL8-AO8)&gt;P_Tol),1,0),1))</f>
        <v>0</v>
      </c>
      <c r="CT8" s="124">
        <f>IF($B8="","",IFERROR(IF(OR(ABS(AB8+AC8-AD8)&gt;P_Tol,ABS(AM8+AN8-AO8)&gt;P_Tol,ABS(O8+P8-Q8)&gt;P_Tol),1,0),1))</f>
        <v>0</v>
      </c>
      <c r="CU8" s="124">
        <f>IF($B8="","",IFERROR(IF(ABS(R8-(AB8+AM8+AP8+AR8+AT8+AV8+AX8+AZ8+BB8+BD8))&gt;P_Tol,1,0),1))</f>
        <v>0</v>
      </c>
      <c r="CV8" s="124">
        <f>IF($B8="","",IFERROR(IF(ABS(M8-(N8+O8+R8))&gt;P_Tol,1,0),1))</f>
        <v>0</v>
      </c>
      <c r="CW8" s="124">
        <f>IF($B8="","",IF(COUNTIF(Mapping!$A$5:$A$104,B8)&gt;0,1,0))</f>
        <v>1</v>
      </c>
      <c r="CX8" s="124">
        <f>IF($B8="","",COUNTIF($B$6:$B$505,B8))</f>
        <v>1</v>
      </c>
      <c r="CY8" s="124">
        <f>IF($B8="","",COUNTIF(STG_Woningetalage!$B$6:$B$505,B8))</f>
        <v>1</v>
      </c>
      <c r="CZ8" s="124" t="str">
        <f>IF($B8="","",IF(CW8=0,COUNTIF($CW$6:CW8,0),""))</f>
        <v/>
      </c>
    </row>
    <row r="9">
      <c r="A9" s="15" t="n">
        <v>5</v>
      </c>
      <c r="B9" t="str">
        <f>IF(B$3=0,"",IF(INDEX(SRC_ZPMW03!$A$1:$ZZ$501,$A9,B$3)&amp;""="","",INDEX(SRC_ZPMW03!$A$1:$ZZ$501,$A9,B$3)&amp;""))</f>
        <v>G.900004.8.9090</v>
      </c>
      <c r="C9" t="str">
        <f>IF($B9="","",IF(C$3=0,"n.b.",INDEX(SRC_ZPMW03!$A$1:$ZZ$501,$A9,C$3)))</f>
        <v>N</v>
      </c>
      <c r="D9">
        <f>IF($B9="","",IF(D$3=0,"n.b.",INDEX(SRC_ZPMW03!$A$1:$ZZ$501,$A9,D$3)))</f>
        <v>9902</v>
      </c>
      <c r="E9" t="str">
        <f>IF($B9="","",IF(E$3=0,"n.b.",INDEX(SRC_ZPMW03!$A$1:$ZZ$501,$A9,E$3)))</f>
        <v>Demo Gebiedscombinatie BV</v>
      </c>
      <c r="F9">
        <f>IF($B9="","",IF(F$3=0,"n.b.",INDEX(SRC_ZPMW03!$A$1:$ZZ$501,$A9,F$3)))</f>
        <v>9090</v>
      </c>
      <c r="G9" t="str">
        <f>IF($B9="","",IF(G$3=0,"n.b.",INDEX(SRC_ZPMW03!$A$1:$ZZ$501,$A9,G$3)))</f>
        <v>Demo Regio</v>
      </c>
      <c r="H9" t="str">
        <f>IF($B9="","",IF(H$3=0,"n.b.",INDEX(SRC_ZPMW03!$A$1:$ZZ$501,$A9,H$3)))</f>
        <v>WO-Wonen</v>
      </c>
      <c r="I9" t="str">
        <f>IF($B9="","",IF(I$3=0,"n.b.",INDEX(SRC_ZPMW03!$A$1:$ZZ$501,$A9,I$3)))</f>
        <v>G.900004</v>
      </c>
      <c r="J9" t="str">
        <f>IF($B9="","",IF(J$3=0,"n.b.",INDEX(SRC_ZPMW03!$A$1:$ZZ$501,$A9,J$3)))</f>
        <v>Meerhovenstad, Het Kompas</v>
      </c>
      <c r="K9" t="str">
        <f>IF($B9="","",IF(K$3=0,"n.b.",INDEX(SRC_ZPMW03!$A$1:$ZZ$501,$A9,K$3)))</f>
        <v>VRIJ VEN3</v>
      </c>
      <c r="L9" s="124">
        <f>IF($B9="","",IF(L$3=0,"n.b.",INDEX(SRC_ZPMW03!$A$1:$ZZ$501,$A9,L$3)))</f>
        <v>40</v>
      </c>
      <c r="M9" s="124">
        <f>IF($B9="","",IF(M$3=0,"n.b.",INDEX(SRC_ZPMW03!$A$1:$ZZ$501,$A9,M$3)))</f>
        <v>-5760000</v>
      </c>
      <c r="N9" s="124">
        <f>IF($B9="","",IF(N$3=0,"n.b.",INDEX(SRC_ZPMW03!$A$1:$ZZ$501,$A9,N$3)))</f>
        <v>-864000</v>
      </c>
      <c r="O9" s="124">
        <f>IF($B9="","",IF(O$3=0,"n.b.",INDEX(SRC_ZPMW03!$A$1:$ZZ$501,$A9,O$3)))</f>
        <v>-1572480</v>
      </c>
      <c r="P9" s="124">
        <f>IF($B9="","",IF(P$3=0,"n.b.",INDEX(SRC_ZPMW03!$A$1:$ZZ$501,$A9,P$3)))</f>
        <v>1399507.2</v>
      </c>
      <c r="Q9" s="124">
        <f>IF($B9="","",IF(Q$3=0,"n.b.",INDEX(SRC_ZPMW03!$A$1:$ZZ$501,$A9,Q$3)))</f>
        <v>-172972.8</v>
      </c>
      <c r="R9" s="124">
        <f>IF($B9="","",IF(R$3=0,"n.b.",INDEX(SRC_ZPMW03!$A$1:$ZZ$501,$A9,R$3)))</f>
        <v>-3323520</v>
      </c>
      <c r="S9" s="124">
        <f>IF($B9="","",IF(S$3=0,"n.b.",INDEX(SRC_ZPMW03!$A$1:$ZZ$501,$A9,S$3)))</f>
        <v>-365587.2</v>
      </c>
      <c r="T9" s="124">
        <f>IF($B9="","",IF(T$3=0,"n.b.",INDEX(SRC_ZPMW03!$A$1:$ZZ$501,$A9,T$3)))</f>
        <v>0</v>
      </c>
      <c r="U9" s="124">
        <f>IF($B9="","",IF(U$3=0,"n.b.",INDEX(SRC_ZPMW03!$A$1:$ZZ$501,$A9,U$3)))</f>
        <v>0</v>
      </c>
      <c r="V9" s="124">
        <f>IF($B9="","",IF(V$3=0,"n.b.",INDEX(SRC_ZPMW03!$A$1:$ZZ$501,$A9,V$3)))</f>
        <v>0</v>
      </c>
      <c r="W9" s="124">
        <f>IF($B9="","",IF(W$3=0,"n.b.",INDEX(SRC_ZPMW03!$A$1:$ZZ$501,$A9,W$3)))</f>
        <v>0</v>
      </c>
      <c r="X9" s="124">
        <f>IF($B9="","",IF(X$3=0,"n.b.",INDEX(SRC_ZPMW03!$A$1:$ZZ$501,$A9,X$3)))</f>
        <v>0</v>
      </c>
      <c r="Y9" s="124">
        <f>IF($B9="","",IF(Y$3=0,"n.b.",INDEX(SRC_ZPMW03!$A$1:$ZZ$501,$A9,Y$3)))</f>
        <v>0</v>
      </c>
      <c r="Z9" s="124">
        <f>IF($B9="","",IF(Z$3=0,"n.b.",INDEX(SRC_ZPMW03!$A$1:$ZZ$501,$A9,Z$3)))</f>
        <v>-846720</v>
      </c>
      <c r="AA9" s="124">
        <f>IF($B9="","",IF(AA$3=0,"n.b.",INDEX(SRC_ZPMW03!$A$1:$ZZ$501,$A9,AA$3)))</f>
        <v>-93139.2</v>
      </c>
      <c r="AB9" s="124">
        <f>IF($B9="","",IF(AB$3=0,"n.b.",INDEX(SRC_ZPMW03!$A$1:$ZZ$501,$A9,AB$3)))</f>
        <v>-846720</v>
      </c>
      <c r="AC9" s="124">
        <f>IF($B9="","",IF(AC$3=0,"n.b.",INDEX(SRC_ZPMW03!$A$1:$ZZ$501,$A9,AC$3)))</f>
        <v>753580.8</v>
      </c>
      <c r="AD9" s="124">
        <f>IF($B9="","",IF(AD$3=0,"n.b.",INDEX(SRC_ZPMW03!$A$1:$ZZ$501,$A9,AD$3)))</f>
        <v>-93139.2</v>
      </c>
      <c r="AE9" s="124">
        <f>IF($B9="","",IF(AE$3=0,"n.b.",INDEX(SRC_ZPMW03!$A$1:$ZZ$501,$A9,AE$3)))</f>
        <v>-321984</v>
      </c>
      <c r="AF9" s="124">
        <f>IF($B9="","",IF(AF$3=0,"n.b.",INDEX(SRC_ZPMW03!$A$1:$ZZ$501,$A9,AF$3)))</f>
        <v>-35418.24</v>
      </c>
      <c r="AG9" s="124">
        <f>IF($B9="","",IF(AG$3=0,"n.b.",INDEX(SRC_ZPMW03!$A$1:$ZZ$501,$A9,AG$3)))</f>
        <v>-402480</v>
      </c>
      <c r="AH9" s="124">
        <f>IF($B9="","",IF(AH$3=0,"n.b.",INDEX(SRC_ZPMW03!$A$1:$ZZ$501,$A9,AH$3)))</f>
        <v>-44272.8</v>
      </c>
      <c r="AI9" s="124">
        <f>IF($B9="","",IF(AI$3=0,"n.b.",INDEX(SRC_ZPMW03!$A$1:$ZZ$501,$A9,AI$3)))</f>
        <v>-482976</v>
      </c>
      <c r="AJ9" s="124">
        <f>IF($B9="","",IF(AJ$3=0,"n.b.",INDEX(SRC_ZPMW03!$A$1:$ZZ$501,$A9,AJ$3)))</f>
        <v>-53127.36</v>
      </c>
      <c r="AK9" s="124">
        <f>IF($B9="","",IF(AK$3=0,"n.b.",INDEX(SRC_ZPMW03!$A$1:$ZZ$501,$A9,AK$3)))</f>
        <v>-402480</v>
      </c>
      <c r="AL9" s="124">
        <f>IF($B9="","",IF(AL$3=0,"n.b.",INDEX(SRC_ZPMW03!$A$1:$ZZ$501,$A9,AL$3)))</f>
        <v>-44272.8</v>
      </c>
      <c r="AM9" s="124">
        <f>IF($B9="","",IF(AM$3=0,"n.b.",INDEX(SRC_ZPMW03!$A$1:$ZZ$501,$A9,AM$3)))</f>
        <v>-1609920</v>
      </c>
      <c r="AN9" s="124">
        <f>IF($B9="","",IF(AN$3=0,"n.b.",INDEX(SRC_ZPMW03!$A$1:$ZZ$501,$A9,AN$3)))</f>
        <v>1432828.8</v>
      </c>
      <c r="AO9" s="124">
        <f>IF($B9="","",IF(AO$3=0,"n.b.",INDEX(SRC_ZPMW03!$A$1:$ZZ$501,$A9,AO$3)))</f>
        <v>-177091.2</v>
      </c>
      <c r="AP9" s="124">
        <f>IF($B9="","",IF(AP$3=0,"n.b.",INDEX(SRC_ZPMW03!$A$1:$ZZ$501,$A9,AP$3)))</f>
        <v>-866880</v>
      </c>
      <c r="AQ9" s="124">
        <f>IF($B9="","",IF(AQ$3=0,"n.b.",INDEX(SRC_ZPMW03!$A$1:$ZZ$501,$A9,AQ$3)))</f>
        <v>-95356.8</v>
      </c>
      <c r="AR9" s="124">
        <f>IF($B9="","",IF(AR$3=0,"n.b.",INDEX(SRC_ZPMW03!$A$1:$ZZ$501,$A9,AR$3)))</f>
        <v>0</v>
      </c>
      <c r="AS9" s="124">
        <f>IF($B9="","",IF(AS$3=0,"n.b.",INDEX(SRC_ZPMW03!$A$1:$ZZ$501,$A9,AS$3)))</f>
        <v>0</v>
      </c>
      <c r="AT9" s="124">
        <f>IF($B9="","",IF(AT$3=0,"n.b.",INDEX(SRC_ZPMW03!$A$1:$ZZ$501,$A9,AT$3)))</f>
        <v>0</v>
      </c>
      <c r="AU9" s="124">
        <f>IF($B9="","",IF(AU$3=0,"n.b.",INDEX(SRC_ZPMW03!$A$1:$ZZ$501,$A9,AU$3)))</f>
        <v>0</v>
      </c>
      <c r="AV9" s="124">
        <f>IF($B9="","",IF(AV$3=0,"n.b.",INDEX(SRC_ZPMW03!$A$1:$ZZ$501,$A9,AV$3)))</f>
        <v>0</v>
      </c>
      <c r="AW9" s="124">
        <f>IF($B9="","",IF(AW$3=0,"n.b.",INDEX(SRC_ZPMW03!$A$1:$ZZ$501,$A9,AW$3)))</f>
        <v>0</v>
      </c>
      <c r="AX9" s="124">
        <f>IF($B9="","",IF(AX$3=0,"n.b.",INDEX(SRC_ZPMW03!$A$1:$ZZ$501,$A9,AX$3)))</f>
        <v>0</v>
      </c>
      <c r="AY9" s="124">
        <f>IF($B9="","",IF(AY$3=0,"n.b.",INDEX(SRC_ZPMW03!$A$1:$ZZ$501,$A9,AY$3)))</f>
        <v>0</v>
      </c>
      <c r="AZ9" s="124">
        <f>IF($B9="","",IF(AZ$3=0,"n.b.",INDEX(SRC_ZPMW03!$A$1:$ZZ$501,$A9,AZ$3)))</f>
        <v>0</v>
      </c>
      <c r="BA9" s="124">
        <f>IF($B9="","",IF(BA$3=0,"n.b.",INDEX(SRC_ZPMW03!$A$1:$ZZ$501,$A9,BA$3)))</f>
        <v>0</v>
      </c>
      <c r="BB9" s="124">
        <f>IF($B9="","",IF(BB$3=0,"n.b.",INDEX(SRC_ZPMW03!$A$1:$ZZ$501,$A9,BB$3)))</f>
        <v>0</v>
      </c>
      <c r="BC9" s="124">
        <f>IF($B9="","",IF(BC$3=0,"n.b.",INDEX(SRC_ZPMW03!$A$1:$ZZ$501,$A9,BC$3)))</f>
        <v>0</v>
      </c>
      <c r="BD9" s="124">
        <f>IF($B9="","",IF(BD$3=0,"n.b.",INDEX(SRC_ZPMW03!$A$1:$ZZ$501,$A9,BD$3)))</f>
        <v>0</v>
      </c>
      <c r="BE9" s="124">
        <f>IF($B9="","",IF(BE$3=0,"n.b.",INDEX(SRC_ZPMW03!$A$1:$ZZ$501,$A9,BE$3)))</f>
        <v>0</v>
      </c>
      <c r="BF9" s="124">
        <f>IF($B9="","",IF(BF$3=0,"n.b.",INDEX(SRC_ZPMW03!$A$1:$ZZ$501,$A9,BF$3)))</f>
        <v>42.3</v>
      </c>
      <c r="BG9">
        <f>IF($B9="","",IF(BG$3=0,"n.b.",INDEX(SRC_ZPMW03!$A$1:$ZZ$501,$A9,BG$3)))</f>
        <v>45748.0</v>
      </c>
      <c r="BH9">
        <f>IF($B9="","",IF(BH$3=0,"n.b.",INDEX(SRC_ZPMW03!$A$1:$ZZ$501,$A9,BH$3)))</f>
        <v>46113.0</v>
      </c>
      <c r="BI9">
        <f>IF($B9="","",IF(BI$3=0,"n.b.",INDEX(SRC_ZPMW03!$A$1:$ZZ$501,$A9,BI$3)))</f>
        <v>202812</v>
      </c>
      <c r="BJ9">
        <f>IF($B9="","",IF(BJ$3=0,"n.b.",INDEX(SRC_ZPMW03!$A$1:$ZZ$501,$A9,BJ$3)))</f>
        <v>1</v>
      </c>
      <c r="BK9" s="124">
        <f>IF($B9="","",IFERROR(-O9,"n.b."))</f>
        <v>1572480</v>
      </c>
      <c r="BL9" s="124">
        <f>IF($B9="","",IFERROR(-Q9,"n.b."))</f>
        <v>172972.8</v>
      </c>
      <c r="BM9" s="124">
        <f>IF($B9="","",IFERROR(-AB9,"n.b."))</f>
        <v>846720</v>
      </c>
      <c r="BN9" s="124">
        <f>IF($B9="","",IFERROR(-AD9,"n.b."))</f>
        <v>93139.2</v>
      </c>
      <c r="BO9" s="124">
        <f>IF($B9="","",IFERROR(BK9+BM9,"n.b."))</f>
        <v>2419200</v>
      </c>
      <c r="BP9" s="124">
        <f>IF($B9="","",IFERROR(BL9+BN9,"n.b."))</f>
        <v>266112</v>
      </c>
      <c r="BQ9" s="124">
        <f>IF($B9="","",IFERROR(-AM9,"n.b."))</f>
        <v>1609920</v>
      </c>
      <c r="BR9" s="124">
        <f>IF($B9="","",IFERROR(-AO9,"n.b."))</f>
        <v>177091.2</v>
      </c>
      <c r="BS9" s="124">
        <f>IF($B9="","",IFERROR(-Z9,"n.b."))</f>
        <v>846720</v>
      </c>
      <c r="BT9" s="124">
        <f>IF($B9="","",IFERROR(-AA9,"n.b."))</f>
        <v>93139.2</v>
      </c>
      <c r="BU9" s="124">
        <f>IF($B9="","",IFERROR(-AE9,"n.b."))</f>
        <v>321984</v>
      </c>
      <c r="BV9" s="124">
        <f>IF($B9="","",IFERROR(-AF9,"n.b."))</f>
        <v>35418.24</v>
      </c>
      <c r="BW9" s="124">
        <f>IF($B9="","",IFERROR(-AG9,"n.b."))</f>
        <v>402480</v>
      </c>
      <c r="BX9" s="124">
        <f>IF($B9="","",IFERROR(-AH9,"n.b."))</f>
        <v>44272.8</v>
      </c>
      <c r="BY9" s="124">
        <f>IF($B9="","",IFERROR(-AI9,"n.b."))</f>
        <v>482976</v>
      </c>
      <c r="BZ9" s="124">
        <f>IF($B9="","",IFERROR(-AJ9,"n.b."))</f>
        <v>53127.36</v>
      </c>
      <c r="CA9" s="124">
        <f>IF($B9="","",IFERROR(-AK9,"n.b."))</f>
        <v>402480</v>
      </c>
      <c r="CB9" s="124">
        <f>IF($B9="","",IFERROR(-AL9,"n.b."))</f>
        <v>44272.8</v>
      </c>
      <c r="CC9" s="124">
        <f>IF($B9="","",IFERROR(-AP9,"n.b."))</f>
        <v>866880</v>
      </c>
      <c r="CD9" s="124">
        <f>IF($B9="","",IFERROR(-AQ9,"n.b."))</f>
        <v>95356.8</v>
      </c>
      <c r="CE9" s="124">
        <f>IF($B9="","",IFERROR(-AR9,"n.b."))</f>
        <v>0</v>
      </c>
      <c r="CF9" s="124">
        <f>IF($B9="","",IFERROR(-AS9,"n.b."))</f>
        <v>0</v>
      </c>
      <c r="CG9" s="124">
        <f>IF($B9="","",IFERROR(-AT9,"n.b."))</f>
        <v>0</v>
      </c>
      <c r="CH9" s="124">
        <f>IF($B9="","",IFERROR(-AU9,"n.b."))</f>
        <v>0</v>
      </c>
      <c r="CI9" s="124">
        <f>IF($B9="","",IFERROR(-AV9,"n.b."))</f>
        <v>0</v>
      </c>
      <c r="CJ9" s="124">
        <f>IF($B9="","",IFERROR(-AW9,"n.b."))</f>
        <v>0</v>
      </c>
      <c r="CK9" s="124">
        <f>IF($B9="","",IFERROR(-AX9,"n.b."))</f>
        <v>0</v>
      </c>
      <c r="CL9" s="124">
        <f>IF($B9="","",IFERROR(-AY9,"n.b."))</f>
        <v>0</v>
      </c>
      <c r="CM9" s="124">
        <f>IF($B9="","",IFERROR(-AZ9,"n.b."))</f>
        <v>0</v>
      </c>
      <c r="CN9" s="124">
        <f>IF($B9="","",IFERROR(-BA9,"n.b."))</f>
        <v>0</v>
      </c>
      <c r="CO9" s="124">
        <f>IF($B9="","",IFERROR(-BB9,"n.b."))</f>
        <v>0</v>
      </c>
      <c r="CP9" s="124">
        <f>IF($B9="","",IFERROR(-BC9,"n.b."))</f>
        <v>0</v>
      </c>
      <c r="CQ9" s="124">
        <f>IF($B9="","",IFERROR(-BD9,"n.b."))</f>
        <v>0</v>
      </c>
      <c r="CR9" s="124">
        <f>IF($B9="","",IFERROR(-BE9,"n.b."))</f>
        <v>0</v>
      </c>
      <c r="CS9" s="124">
        <f>IF($B9="","",IFERROR(IF(OR(ABS(T9+V9+X9+Z9-AB9)&gt;P_Tol,ABS(U9+W9+Y9+AA9-AD9)&gt;P_Tol,ABS(AE9+AG9+AI9+AK9-AM9)&gt;P_Tol,ABS(AF9+AH9+AJ9+AL9-AO9)&gt;P_Tol),1,0),1))</f>
        <v>0</v>
      </c>
      <c r="CT9" s="124">
        <f>IF($B9="","",IFERROR(IF(OR(ABS(AB9+AC9-AD9)&gt;P_Tol,ABS(AM9+AN9-AO9)&gt;P_Tol,ABS(O9+P9-Q9)&gt;P_Tol),1,0),1))</f>
        <v>0</v>
      </c>
      <c r="CU9" s="124">
        <f>IF($B9="","",IFERROR(IF(ABS(R9-(AB9+AM9+AP9+AR9+AT9+AV9+AX9+AZ9+BB9+BD9))&gt;P_Tol,1,0),1))</f>
        <v>0</v>
      </c>
      <c r="CV9" s="124">
        <f>IF($B9="","",IFERROR(IF(ABS(M9-(N9+O9+R9))&gt;P_Tol,1,0),1))</f>
        <v>0</v>
      </c>
      <c r="CW9" s="124">
        <f>IF($B9="","",IF(COUNTIF(Mapping!$A$5:$A$104,B9)&gt;0,1,0))</f>
        <v>1</v>
      </c>
      <c r="CX9" s="124">
        <f>IF($B9="","",COUNTIF($B$6:$B$505,B9))</f>
        <v>1</v>
      </c>
      <c r="CY9" s="124">
        <f>IF($B9="","",COUNTIF(STG_Woningetalage!$B$6:$B$505,B9))</f>
        <v>1</v>
      </c>
      <c r="CZ9" s="124" t="str">
        <f>IF($B9="","",IF(CW9=0,COUNTIF($CW$6:CW9,0),""))</f>
        <v/>
      </c>
    </row>
    <row r="10">
      <c r="A10" s="15" t="n">
        <v>6</v>
      </c>
      <c r="B10" t="str">
        <f>IF(B$3=0,"",IF(INDEX(SRC_ZPMW03!$A$1:$ZZ$501,$A10,B$3)&amp;""="","",INDEX(SRC_ZPMW03!$A$1:$ZZ$501,$A10,B$3)&amp;""))</f>
        <v>G.900005.8.9090</v>
      </c>
      <c r="C10" t="str">
        <f>IF($B10="","",IF(C$3=0,"n.b.",INDEX(SRC_ZPMW03!$A$1:$ZZ$501,$A10,C$3)))</f>
        <v>J</v>
      </c>
      <c r="D10">
        <f>IF($B10="","",IF(D$3=0,"n.b.",INDEX(SRC_ZPMW03!$A$1:$ZZ$501,$A10,D$3)))</f>
        <v>9901</v>
      </c>
      <c r="E10" t="str">
        <f>IF($B10="","",IF(E$3=0,"n.b.",INDEX(SRC_ZPMW03!$A$1:$ZZ$501,$A10,E$3)))</f>
        <v>Demo Ontwikkeling BV</v>
      </c>
      <c r="F10">
        <f>IF($B10="","",IF(F$3=0,"n.b.",INDEX(SRC_ZPMW03!$A$1:$ZZ$501,$A10,F$3)))</f>
        <v>9090</v>
      </c>
      <c r="G10" t="str">
        <f>IF($B10="","",IF(G$3=0,"n.b.",INDEX(SRC_ZPMW03!$A$1:$ZZ$501,$A10,G$3)))</f>
        <v>Demo Regio</v>
      </c>
      <c r="H10" t="str">
        <f>IF($B10="","",IF(H$3=0,"n.b.",INDEX(SRC_ZPMW03!$A$1:$ZZ$501,$A10,H$3)))</f>
        <v>WO-Wonen</v>
      </c>
      <c r="I10" t="str">
        <f>IF($B10="","",IF(I$3=0,"n.b.",INDEX(SRC_ZPMW03!$A$1:$ZZ$501,$A10,I$3)))</f>
        <v>G.900005</v>
      </c>
      <c r="J10" t="str">
        <f>IF($B10="","",IF(J$3=0,"n.b.",INDEX(SRC_ZPMW03!$A$1:$ZZ$501,$A10,J$3)))</f>
        <v>Zilverdam, Kadezicht</v>
      </c>
      <c r="K10" t="str">
        <f>IF($B10="","",IF(K$3=0,"n.b.",INDEX(SRC_ZPMW03!$A$1:$ZZ$501,$A10,K$3)))</f>
        <v>VRIJ VEN3</v>
      </c>
      <c r="L10" s="124">
        <f>IF($B10="","",IF(L$3=0,"n.b.",INDEX(SRC_ZPMW03!$A$1:$ZZ$501,$A10,L$3)))</f>
        <v>20</v>
      </c>
      <c r="M10" s="124">
        <f>IF($B10="","",IF(M$3=0,"n.b.",INDEX(SRC_ZPMW03!$A$1:$ZZ$501,$A10,M$3)))</f>
        <v>-67200000</v>
      </c>
      <c r="N10" s="124">
        <f>IF($B10="","",IF(N$3=0,"n.b.",INDEX(SRC_ZPMW03!$A$1:$ZZ$501,$A10,N$3)))</f>
        <v>-10080000</v>
      </c>
      <c r="O10" s="124">
        <f>IF($B10="","",IF(O$3=0,"n.b.",INDEX(SRC_ZPMW03!$A$1:$ZZ$501,$A10,O$3)))</f>
        <v>-4368000</v>
      </c>
      <c r="P10" s="124">
        <f>IF($B10="","",IF(P$3=0,"n.b.",INDEX(SRC_ZPMW03!$A$1:$ZZ$501,$A10,P$3)))</f>
        <v>4084080</v>
      </c>
      <c r="Q10" s="124">
        <f>IF($B10="","",IF(Q$3=0,"n.b.",INDEX(SRC_ZPMW03!$A$1:$ZZ$501,$A10,Q$3)))</f>
        <v>-283920</v>
      </c>
      <c r="R10" s="124">
        <f>IF($B10="","",IF(R$3=0,"n.b.",INDEX(SRC_ZPMW03!$A$1:$ZZ$501,$A10,R$3)))</f>
        <v>-52752000</v>
      </c>
      <c r="S10" s="124">
        <f>IF($B10="","",IF(S$3=0,"n.b.",INDEX(SRC_ZPMW03!$A$1:$ZZ$501,$A10,S$3)))</f>
        <v>-3428880</v>
      </c>
      <c r="T10" s="124">
        <f>IF($B10="","",IF(T$3=0,"n.b.",INDEX(SRC_ZPMW03!$A$1:$ZZ$501,$A10,T$3)))</f>
        <v>0</v>
      </c>
      <c r="U10" s="124">
        <f>IF($B10="","",IF(U$3=0,"n.b.",INDEX(SRC_ZPMW03!$A$1:$ZZ$501,$A10,U$3)))</f>
        <v>0</v>
      </c>
      <c r="V10" s="124">
        <f>IF($B10="","",IF(V$3=0,"n.b.",INDEX(SRC_ZPMW03!$A$1:$ZZ$501,$A10,V$3)))</f>
        <v>0</v>
      </c>
      <c r="W10" s="124">
        <f>IF($B10="","",IF(W$3=0,"n.b.",INDEX(SRC_ZPMW03!$A$1:$ZZ$501,$A10,W$3)))</f>
        <v>0</v>
      </c>
      <c r="X10" s="124">
        <f>IF($B10="","",IF(X$3=0,"n.b.",INDEX(SRC_ZPMW03!$A$1:$ZZ$501,$A10,X$3)))</f>
        <v>0</v>
      </c>
      <c r="Y10" s="124">
        <f>IF($B10="","",IF(Y$3=0,"n.b.",INDEX(SRC_ZPMW03!$A$1:$ZZ$501,$A10,Y$3)))</f>
        <v>0</v>
      </c>
      <c r="Z10" s="124">
        <f>IF($B10="","",IF(Z$3=0,"n.b.",INDEX(SRC_ZPMW03!$A$1:$ZZ$501,$A10,Z$3)))</f>
        <v>-2352000</v>
      </c>
      <c r="AA10" s="124">
        <f>IF($B10="","",IF(AA$3=0,"n.b.",INDEX(SRC_ZPMW03!$A$1:$ZZ$501,$A10,AA$3)))</f>
        <v>-152880</v>
      </c>
      <c r="AB10" s="124">
        <f>IF($B10="","",IF(AB$3=0,"n.b.",INDEX(SRC_ZPMW03!$A$1:$ZZ$501,$A10,AB$3)))</f>
        <v>-2352000</v>
      </c>
      <c r="AC10" s="124">
        <f>IF($B10="","",IF(AC$3=0,"n.b.",INDEX(SRC_ZPMW03!$A$1:$ZZ$501,$A10,AC$3)))</f>
        <v>2199120</v>
      </c>
      <c r="AD10" s="124">
        <f>IF($B10="","",IF(AD$3=0,"n.b.",INDEX(SRC_ZPMW03!$A$1:$ZZ$501,$A10,AD$3)))</f>
        <v>-152880</v>
      </c>
      <c r="AE10" s="124">
        <f>IF($B10="","",IF(AE$3=0,"n.b.",INDEX(SRC_ZPMW03!$A$1:$ZZ$501,$A10,AE$3)))</f>
        <v>-6552000</v>
      </c>
      <c r="AF10" s="124">
        <f>IF($B10="","",IF(AF$3=0,"n.b.",INDEX(SRC_ZPMW03!$A$1:$ZZ$501,$A10,AF$3)))</f>
        <v>-425880</v>
      </c>
      <c r="AG10" s="124">
        <f>IF($B10="","",IF(AG$3=0,"n.b.",INDEX(SRC_ZPMW03!$A$1:$ZZ$501,$A10,AG$3)))</f>
        <v>-8190000</v>
      </c>
      <c r="AH10" s="124">
        <f>IF($B10="","",IF(AH$3=0,"n.b.",INDEX(SRC_ZPMW03!$A$1:$ZZ$501,$A10,AH$3)))</f>
        <v>-532350</v>
      </c>
      <c r="AI10" s="124">
        <f>IF($B10="","",IF(AI$3=0,"n.b.",INDEX(SRC_ZPMW03!$A$1:$ZZ$501,$A10,AI$3)))</f>
        <v>-9828000</v>
      </c>
      <c r="AJ10" s="124">
        <f>IF($B10="","",IF(AJ$3=0,"n.b.",INDEX(SRC_ZPMW03!$A$1:$ZZ$501,$A10,AJ$3)))</f>
        <v>-638820</v>
      </c>
      <c r="AK10" s="124">
        <f>IF($B10="","",IF(AK$3=0,"n.b.",INDEX(SRC_ZPMW03!$A$1:$ZZ$501,$A10,AK$3)))</f>
        <v>-8190000</v>
      </c>
      <c r="AL10" s="124">
        <f>IF($B10="","",IF(AL$3=0,"n.b.",INDEX(SRC_ZPMW03!$A$1:$ZZ$501,$A10,AL$3)))</f>
        <v>-532350</v>
      </c>
      <c r="AM10" s="124">
        <f>IF($B10="","",IF(AM$3=0,"n.b.",INDEX(SRC_ZPMW03!$A$1:$ZZ$501,$A10,AM$3)))</f>
        <v>-32760000</v>
      </c>
      <c r="AN10" s="124">
        <f>IF($B10="","",IF(AN$3=0,"n.b.",INDEX(SRC_ZPMW03!$A$1:$ZZ$501,$A10,AN$3)))</f>
        <v>30630600</v>
      </c>
      <c r="AO10" s="124">
        <f>IF($B10="","",IF(AO$3=0,"n.b.",INDEX(SRC_ZPMW03!$A$1:$ZZ$501,$A10,AO$3)))</f>
        <v>-2129400</v>
      </c>
      <c r="AP10" s="124">
        <f>IF($B10="","",IF(AP$3=0,"n.b.",INDEX(SRC_ZPMW03!$A$1:$ZZ$501,$A10,AP$3)))</f>
        <v>-17640000</v>
      </c>
      <c r="AQ10" s="124">
        <f>IF($B10="","",IF(AQ$3=0,"n.b.",INDEX(SRC_ZPMW03!$A$1:$ZZ$501,$A10,AQ$3)))</f>
        <v>-1146600</v>
      </c>
      <c r="AR10" s="124">
        <f>IF($B10="","",IF(AR$3=0,"n.b.",INDEX(SRC_ZPMW03!$A$1:$ZZ$501,$A10,AR$3)))</f>
        <v>0</v>
      </c>
      <c r="AS10" s="124">
        <f>IF($B10="","",IF(AS$3=0,"n.b.",INDEX(SRC_ZPMW03!$A$1:$ZZ$501,$A10,AS$3)))</f>
        <v>0</v>
      </c>
      <c r="AT10" s="124">
        <f>IF($B10="","",IF(AT$3=0,"n.b.",INDEX(SRC_ZPMW03!$A$1:$ZZ$501,$A10,AT$3)))</f>
        <v>0</v>
      </c>
      <c r="AU10" s="124">
        <f>IF($B10="","",IF(AU$3=0,"n.b.",INDEX(SRC_ZPMW03!$A$1:$ZZ$501,$A10,AU$3)))</f>
        <v>0</v>
      </c>
      <c r="AV10" s="124">
        <f>IF($B10="","",IF(AV$3=0,"n.b.",INDEX(SRC_ZPMW03!$A$1:$ZZ$501,$A10,AV$3)))</f>
        <v>0</v>
      </c>
      <c r="AW10" s="124">
        <f>IF($B10="","",IF(AW$3=0,"n.b.",INDEX(SRC_ZPMW03!$A$1:$ZZ$501,$A10,AW$3)))</f>
        <v>0</v>
      </c>
      <c r="AX10" s="124">
        <f>IF($B10="","",IF(AX$3=0,"n.b.",INDEX(SRC_ZPMW03!$A$1:$ZZ$501,$A10,AX$3)))</f>
        <v>0</v>
      </c>
      <c r="AY10" s="124">
        <f>IF($B10="","",IF(AY$3=0,"n.b.",INDEX(SRC_ZPMW03!$A$1:$ZZ$501,$A10,AY$3)))</f>
        <v>0</v>
      </c>
      <c r="AZ10" s="124">
        <f>IF($B10="","",IF(AZ$3=0,"n.b.",INDEX(SRC_ZPMW03!$A$1:$ZZ$501,$A10,AZ$3)))</f>
        <v>0</v>
      </c>
      <c r="BA10" s="124">
        <f>IF($B10="","",IF(BA$3=0,"n.b.",INDEX(SRC_ZPMW03!$A$1:$ZZ$501,$A10,BA$3)))</f>
        <v>0</v>
      </c>
      <c r="BB10" s="124">
        <f>IF($B10="","",IF(BB$3=0,"n.b.",INDEX(SRC_ZPMW03!$A$1:$ZZ$501,$A10,BB$3)))</f>
        <v>0</v>
      </c>
      <c r="BC10" s="124">
        <f>IF($B10="","",IF(BC$3=0,"n.b.",INDEX(SRC_ZPMW03!$A$1:$ZZ$501,$A10,BC$3)))</f>
        <v>0</v>
      </c>
      <c r="BD10" s="124">
        <f>IF($B10="","",IF(BD$3=0,"n.b.",INDEX(SRC_ZPMW03!$A$1:$ZZ$501,$A10,BD$3)))</f>
        <v>0</v>
      </c>
      <c r="BE10" s="124">
        <f>IF($B10="","",IF(BE$3=0,"n.b.",INDEX(SRC_ZPMW03!$A$1:$ZZ$501,$A10,BE$3)))</f>
        <v>0</v>
      </c>
      <c r="BF10" s="124">
        <f>IF($B10="","",IF(BF$3=0,"n.b.",INDEX(SRC_ZPMW03!$A$1:$ZZ$501,$A10,BF$3)))</f>
        <v>21.5</v>
      </c>
      <c r="BG10">
        <f>IF($B10="","",IF(BG$3=0,"n.b.",INDEX(SRC_ZPMW03!$A$1:$ZZ$501,$A10,BG$3)))</f>
        <v>45778.0</v>
      </c>
      <c r="BH10">
        <f>IF($B10="","",IF(BH$3=0,"n.b.",INDEX(SRC_ZPMW03!$A$1:$ZZ$501,$A10,BH$3)))</f>
        <v>46143.0</v>
      </c>
      <c r="BI10">
        <f>IF($B10="","",IF(BI$3=0,"n.b.",INDEX(SRC_ZPMW03!$A$1:$ZZ$501,$A10,BI$3)))</f>
        <v>202812</v>
      </c>
      <c r="BJ10">
        <f>IF($B10="","",IF(BJ$3=0,"n.b.",INDEX(SRC_ZPMW03!$A$1:$ZZ$501,$A10,BJ$3)))</f>
        <v>2</v>
      </c>
      <c r="BK10" s="124">
        <f>IF($B10="","",IFERROR(-O10,"n.b."))</f>
        <v>4368000</v>
      </c>
      <c r="BL10" s="124">
        <f>IF($B10="","",IFERROR(-Q10,"n.b."))</f>
        <v>283920</v>
      </c>
      <c r="BM10" s="124">
        <f>IF($B10="","",IFERROR(-AB10,"n.b."))</f>
        <v>2352000</v>
      </c>
      <c r="BN10" s="124">
        <f>IF($B10="","",IFERROR(-AD10,"n.b."))</f>
        <v>152880</v>
      </c>
      <c r="BO10" s="124">
        <f>IF($B10="","",IFERROR(BK10+BM10,"n.b."))</f>
        <v>6720000</v>
      </c>
      <c r="BP10" s="124">
        <f>IF($B10="","",IFERROR(BL10+BN10,"n.b."))</f>
        <v>436800</v>
      </c>
      <c r="BQ10" s="124">
        <f>IF($B10="","",IFERROR(-AM10,"n.b."))</f>
        <v>32760000</v>
      </c>
      <c r="BR10" s="124">
        <f>IF($B10="","",IFERROR(-AO10,"n.b."))</f>
        <v>2129400</v>
      </c>
      <c r="BS10" s="124">
        <f>IF($B10="","",IFERROR(-Z10,"n.b."))</f>
        <v>2352000</v>
      </c>
      <c r="BT10" s="124">
        <f>IF($B10="","",IFERROR(-AA10,"n.b."))</f>
        <v>152880</v>
      </c>
      <c r="BU10" s="124">
        <f>IF($B10="","",IFERROR(-AE10,"n.b."))</f>
        <v>6552000</v>
      </c>
      <c r="BV10" s="124">
        <f>IF($B10="","",IFERROR(-AF10,"n.b."))</f>
        <v>425880</v>
      </c>
      <c r="BW10" s="124">
        <f>IF($B10="","",IFERROR(-AG10,"n.b."))</f>
        <v>8190000</v>
      </c>
      <c r="BX10" s="124">
        <f>IF($B10="","",IFERROR(-AH10,"n.b."))</f>
        <v>532350</v>
      </c>
      <c r="BY10" s="124">
        <f>IF($B10="","",IFERROR(-AI10,"n.b."))</f>
        <v>9828000</v>
      </c>
      <c r="BZ10" s="124">
        <f>IF($B10="","",IFERROR(-AJ10,"n.b."))</f>
        <v>638820</v>
      </c>
      <c r="CA10" s="124">
        <f>IF($B10="","",IFERROR(-AK10,"n.b."))</f>
        <v>8190000</v>
      </c>
      <c r="CB10" s="124">
        <f>IF($B10="","",IFERROR(-AL10,"n.b."))</f>
        <v>532350</v>
      </c>
      <c r="CC10" s="124">
        <f>IF($B10="","",IFERROR(-AP10,"n.b."))</f>
        <v>17640000</v>
      </c>
      <c r="CD10" s="124">
        <f>IF($B10="","",IFERROR(-AQ10,"n.b."))</f>
        <v>1146600</v>
      </c>
      <c r="CE10" s="124">
        <f>IF($B10="","",IFERROR(-AR10,"n.b."))</f>
        <v>0</v>
      </c>
      <c r="CF10" s="124">
        <f>IF($B10="","",IFERROR(-AS10,"n.b."))</f>
        <v>0</v>
      </c>
      <c r="CG10" s="124">
        <f>IF($B10="","",IFERROR(-AT10,"n.b."))</f>
        <v>0</v>
      </c>
      <c r="CH10" s="124">
        <f>IF($B10="","",IFERROR(-AU10,"n.b."))</f>
        <v>0</v>
      </c>
      <c r="CI10" s="124">
        <f>IF($B10="","",IFERROR(-AV10,"n.b."))</f>
        <v>0</v>
      </c>
      <c r="CJ10" s="124">
        <f>IF($B10="","",IFERROR(-AW10,"n.b."))</f>
        <v>0</v>
      </c>
      <c r="CK10" s="124">
        <f>IF($B10="","",IFERROR(-AX10,"n.b."))</f>
        <v>0</v>
      </c>
      <c r="CL10" s="124">
        <f>IF($B10="","",IFERROR(-AY10,"n.b."))</f>
        <v>0</v>
      </c>
      <c r="CM10" s="124">
        <f>IF($B10="","",IFERROR(-AZ10,"n.b."))</f>
        <v>0</v>
      </c>
      <c r="CN10" s="124">
        <f>IF($B10="","",IFERROR(-BA10,"n.b."))</f>
        <v>0</v>
      </c>
      <c r="CO10" s="124">
        <f>IF($B10="","",IFERROR(-BB10,"n.b."))</f>
        <v>0</v>
      </c>
      <c r="CP10" s="124">
        <f>IF($B10="","",IFERROR(-BC10,"n.b."))</f>
        <v>0</v>
      </c>
      <c r="CQ10" s="124">
        <f>IF($B10="","",IFERROR(-BD10,"n.b."))</f>
        <v>0</v>
      </c>
      <c r="CR10" s="124">
        <f>IF($B10="","",IFERROR(-BE10,"n.b."))</f>
        <v>0</v>
      </c>
      <c r="CS10" s="124">
        <f>IF($B10="","",IFERROR(IF(OR(ABS(T10+V10+X10+Z10-AB10)&gt;P_Tol,ABS(U10+W10+Y10+AA10-AD10)&gt;P_Tol,ABS(AE10+AG10+AI10+AK10-AM10)&gt;P_Tol,ABS(AF10+AH10+AJ10+AL10-AO10)&gt;P_Tol),1,0),1))</f>
        <v>0</v>
      </c>
      <c r="CT10" s="124">
        <f>IF($B10="","",IFERROR(IF(OR(ABS(AB10+AC10-AD10)&gt;P_Tol,ABS(AM10+AN10-AO10)&gt;P_Tol,ABS(O10+P10-Q10)&gt;P_Tol),1,0),1))</f>
        <v>0</v>
      </c>
      <c r="CU10" s="124">
        <f>IF($B10="","",IFERROR(IF(ABS(R10-(AB10+AM10+AP10+AR10+AT10+AV10+AX10+AZ10+BB10+BD10))&gt;P_Tol,1,0),1))</f>
        <v>0</v>
      </c>
      <c r="CV10" s="124">
        <f>IF($B10="","",IFERROR(IF(ABS(M10-(N10+O10+R10))&gt;P_Tol,1,0),1))</f>
        <v>0</v>
      </c>
      <c r="CW10" s="124">
        <f>IF($B10="","",IF(COUNTIF(Mapping!$A$5:$A$104,B10)&gt;0,1,0))</f>
        <v>1</v>
      </c>
      <c r="CX10" s="124">
        <f>IF($B10="","",COUNTIF($B$6:$B$505,B10))</f>
        <v>1</v>
      </c>
      <c r="CY10" s="124">
        <f>IF($B10="","",COUNTIF(STG_Woningetalage!$B$6:$B$505,B10))</f>
        <v>1</v>
      </c>
      <c r="CZ10" s="124" t="str">
        <f>IF($B10="","",IF(CW10=0,COUNTIF($CW$6:CW10,0),""))</f>
        <v/>
      </c>
    </row>
    <row r="11">
      <c r="A11" s="15" t="n">
        <v>7</v>
      </c>
      <c r="B11" t="str">
        <f>IF(B$3=0,"",IF(INDEX(SRC_ZPMW03!$A$1:$ZZ$501,$A11,B$3)&amp;""="","",INDEX(SRC_ZPMW03!$A$1:$ZZ$501,$A11,B$3)&amp;""))</f>
        <v>G.900006.8.9090</v>
      </c>
      <c r="C11" t="str">
        <f>IF($B11="","",IF(C$3=0,"n.b.",INDEX(SRC_ZPMW03!$A$1:$ZZ$501,$A11,C$3)))</f>
        <v>J</v>
      </c>
      <c r="D11">
        <f>IF($B11="","",IF(D$3=0,"n.b.",INDEX(SRC_ZPMW03!$A$1:$ZZ$501,$A11,D$3)))</f>
        <v>9901</v>
      </c>
      <c r="E11" t="str">
        <f>IF($B11="","",IF(E$3=0,"n.b.",INDEX(SRC_ZPMW03!$A$1:$ZZ$501,$A11,E$3)))</f>
        <v>Demo Ontwikkeling BV</v>
      </c>
      <c r="F11">
        <f>IF($B11="","",IF(F$3=0,"n.b.",INDEX(SRC_ZPMW03!$A$1:$ZZ$501,$A11,F$3)))</f>
        <v>9090</v>
      </c>
      <c r="G11" t="str">
        <f>IF($B11="","",IF(G$3=0,"n.b.",INDEX(SRC_ZPMW03!$A$1:$ZZ$501,$A11,G$3)))</f>
        <v>Demo Regio</v>
      </c>
      <c r="H11" t="str">
        <f>IF($B11="","",IF(H$3=0,"n.b.",INDEX(SRC_ZPMW03!$A$1:$ZZ$501,$A11,H$3)))</f>
        <v>WO-Wonen</v>
      </c>
      <c r="I11" t="str">
        <f>IF($B11="","",IF(I$3=0,"n.b.",INDEX(SRC_ZPMW03!$A$1:$ZZ$501,$A11,I$3)))</f>
        <v>G.900006</v>
      </c>
      <c r="J11" t="str">
        <f>IF($B11="","",IF(J$3=0,"n.b.",INDEX(SRC_ZPMW03!$A$1:$ZZ$501,$A11,J$3)))</f>
        <v>Boswaard, De Eiken</v>
      </c>
      <c r="K11" t="str">
        <f>IF($B11="","",IF(K$3=0,"n.b.",INDEX(SRC_ZPMW03!$A$1:$ZZ$501,$A11,K$3)))</f>
        <v>VRIJ VEN3</v>
      </c>
      <c r="L11" s="124">
        <f>IF($B11="","",IF(L$3=0,"n.b.",INDEX(SRC_ZPMW03!$A$1:$ZZ$501,$A11,L$3)))</f>
        <v>100</v>
      </c>
      <c r="M11" s="124">
        <f>IF($B11="","",IF(M$3=0,"n.b.",INDEX(SRC_ZPMW03!$A$1:$ZZ$501,$A11,M$3)))</f>
        <v>-17280000</v>
      </c>
      <c r="N11" s="124">
        <f>IF($B11="","",IF(N$3=0,"n.b.",INDEX(SRC_ZPMW03!$A$1:$ZZ$501,$A11,N$3)))</f>
        <v>0</v>
      </c>
      <c r="O11" s="124">
        <f>IF($B11="","",IF(O$3=0,"n.b.",INDEX(SRC_ZPMW03!$A$1:$ZZ$501,$A11,O$3)))</f>
        <v>-4268160</v>
      </c>
      <c r="P11" s="124">
        <f>IF($B11="","",IF(P$3=0,"n.b.",INDEX(SRC_ZPMW03!$A$1:$ZZ$501,$A11,P$3)))</f>
        <v>3670617.6</v>
      </c>
      <c r="Q11" s="124">
        <f>IF($B11="","",IF(Q$3=0,"n.b.",INDEX(SRC_ZPMW03!$A$1:$ZZ$501,$A11,Q$3)))</f>
        <v>-597542.4</v>
      </c>
      <c r="R11" s="124">
        <f>IF($B11="","",IF(R$3=0,"n.b.",INDEX(SRC_ZPMW03!$A$1:$ZZ$501,$A11,R$3)))</f>
        <v>-13011840</v>
      </c>
      <c r="S11" s="124">
        <f>IF($B11="","",IF(S$3=0,"n.b.",INDEX(SRC_ZPMW03!$A$1:$ZZ$501,$A11,S$3)))</f>
        <v>-1821657.6</v>
      </c>
      <c r="T11" s="124">
        <f>IF($B11="","",IF(T$3=0,"n.b.",INDEX(SRC_ZPMW03!$A$1:$ZZ$501,$A11,T$3)))</f>
        <v>0</v>
      </c>
      <c r="U11" s="124">
        <f>IF($B11="","",IF(U$3=0,"n.b.",INDEX(SRC_ZPMW03!$A$1:$ZZ$501,$A11,U$3)))</f>
        <v>0</v>
      </c>
      <c r="V11" s="124">
        <f>IF($B11="","",IF(V$3=0,"n.b.",INDEX(SRC_ZPMW03!$A$1:$ZZ$501,$A11,V$3)))</f>
        <v>0</v>
      </c>
      <c r="W11" s="124">
        <f>IF($B11="","",IF(W$3=0,"n.b.",INDEX(SRC_ZPMW03!$A$1:$ZZ$501,$A11,W$3)))</f>
        <v>0</v>
      </c>
      <c r="X11" s="124">
        <f>IF($B11="","",IF(X$3=0,"n.b.",INDEX(SRC_ZPMW03!$A$1:$ZZ$501,$A11,X$3)))</f>
        <v>0</v>
      </c>
      <c r="Y11" s="124">
        <f>IF($B11="","",IF(Y$3=0,"n.b.",INDEX(SRC_ZPMW03!$A$1:$ZZ$501,$A11,Y$3)))</f>
        <v>0</v>
      </c>
      <c r="Z11" s="124">
        <f>IF($B11="","",IF(Z$3=0,"n.b.",INDEX(SRC_ZPMW03!$A$1:$ZZ$501,$A11,Z$3)))</f>
        <v>-2298240</v>
      </c>
      <c r="AA11" s="124">
        <f>IF($B11="","",IF(AA$3=0,"n.b.",INDEX(SRC_ZPMW03!$A$1:$ZZ$501,$A11,AA$3)))</f>
        <v>-321753.6</v>
      </c>
      <c r="AB11" s="124">
        <f>IF($B11="","",IF(AB$3=0,"n.b.",INDEX(SRC_ZPMW03!$A$1:$ZZ$501,$A11,AB$3)))</f>
        <v>-2298240</v>
      </c>
      <c r="AC11" s="124">
        <f>IF($B11="","",IF(AC$3=0,"n.b.",INDEX(SRC_ZPMW03!$A$1:$ZZ$501,$A11,AC$3)))</f>
        <v>1976486.4</v>
      </c>
      <c r="AD11" s="124">
        <f>IF($B11="","",IF(AD$3=0,"n.b.",INDEX(SRC_ZPMW03!$A$1:$ZZ$501,$A11,AD$3)))</f>
        <v>-321753.6</v>
      </c>
      <c r="AE11" s="124">
        <f>IF($B11="","",IF(AE$3=0,"n.b.",INDEX(SRC_ZPMW03!$A$1:$ZZ$501,$A11,AE$3)))</f>
        <v>-1392768</v>
      </c>
      <c r="AF11" s="124">
        <f>IF($B11="","",IF(AF$3=0,"n.b.",INDEX(SRC_ZPMW03!$A$1:$ZZ$501,$A11,AF$3)))</f>
        <v>-194987.52</v>
      </c>
      <c r="AG11" s="124">
        <f>IF($B11="","",IF(AG$3=0,"n.b.",INDEX(SRC_ZPMW03!$A$1:$ZZ$501,$A11,AG$3)))</f>
        <v>-1740960</v>
      </c>
      <c r="AH11" s="124">
        <f>IF($B11="","",IF(AH$3=0,"n.b.",INDEX(SRC_ZPMW03!$A$1:$ZZ$501,$A11,AH$3)))</f>
        <v>-243734.4</v>
      </c>
      <c r="AI11" s="124">
        <f>IF($B11="","",IF(AI$3=0,"n.b.",INDEX(SRC_ZPMW03!$A$1:$ZZ$501,$A11,AI$3)))</f>
        <v>-2089152</v>
      </c>
      <c r="AJ11" s="124">
        <f>IF($B11="","",IF(AJ$3=0,"n.b.",INDEX(SRC_ZPMW03!$A$1:$ZZ$501,$A11,AJ$3)))</f>
        <v>-292481.28</v>
      </c>
      <c r="AK11" s="124">
        <f>IF($B11="","",IF(AK$3=0,"n.b.",INDEX(SRC_ZPMW03!$A$1:$ZZ$501,$A11,AK$3)))</f>
        <v>-1740960</v>
      </c>
      <c r="AL11" s="124">
        <f>IF($B11="","",IF(AL$3=0,"n.b.",INDEX(SRC_ZPMW03!$A$1:$ZZ$501,$A11,AL$3)))</f>
        <v>-243734.4</v>
      </c>
      <c r="AM11" s="124">
        <f>IF($B11="","",IF(AM$3=0,"n.b.",INDEX(SRC_ZPMW03!$A$1:$ZZ$501,$A11,AM$3)))</f>
        <v>-6963840</v>
      </c>
      <c r="AN11" s="124">
        <f>IF($B11="","",IF(AN$3=0,"n.b.",INDEX(SRC_ZPMW03!$A$1:$ZZ$501,$A11,AN$3)))</f>
        <v>5988902.4</v>
      </c>
      <c r="AO11" s="124">
        <f>IF($B11="","",IF(AO$3=0,"n.b.",INDEX(SRC_ZPMW03!$A$1:$ZZ$501,$A11,AO$3)))</f>
        <v>-974937.6</v>
      </c>
      <c r="AP11" s="124">
        <f>IF($B11="","",IF(AP$3=0,"n.b.",INDEX(SRC_ZPMW03!$A$1:$ZZ$501,$A11,AP$3)))</f>
        <v>-3749760</v>
      </c>
      <c r="AQ11" s="124">
        <f>IF($B11="","",IF(AQ$3=0,"n.b.",INDEX(SRC_ZPMW03!$A$1:$ZZ$501,$A11,AQ$3)))</f>
        <v>-524966.4</v>
      </c>
      <c r="AR11" s="124">
        <f>IF($B11="","",IF(AR$3=0,"n.b.",INDEX(SRC_ZPMW03!$A$1:$ZZ$501,$A11,AR$3)))</f>
        <v>0</v>
      </c>
      <c r="AS11" s="124">
        <f>IF($B11="","",IF(AS$3=0,"n.b.",INDEX(SRC_ZPMW03!$A$1:$ZZ$501,$A11,AS$3)))</f>
        <v>0</v>
      </c>
      <c r="AT11" s="124">
        <f>IF($B11="","",IF(AT$3=0,"n.b.",INDEX(SRC_ZPMW03!$A$1:$ZZ$501,$A11,AT$3)))</f>
        <v>0</v>
      </c>
      <c r="AU11" s="124">
        <f>IF($B11="","",IF(AU$3=0,"n.b.",INDEX(SRC_ZPMW03!$A$1:$ZZ$501,$A11,AU$3)))</f>
        <v>0</v>
      </c>
      <c r="AV11" s="124">
        <f>IF($B11="","",IF(AV$3=0,"n.b.",INDEX(SRC_ZPMW03!$A$1:$ZZ$501,$A11,AV$3)))</f>
        <v>0</v>
      </c>
      <c r="AW11" s="124">
        <f>IF($B11="","",IF(AW$3=0,"n.b.",INDEX(SRC_ZPMW03!$A$1:$ZZ$501,$A11,AW$3)))</f>
        <v>0</v>
      </c>
      <c r="AX11" s="124">
        <f>IF($B11="","",IF(AX$3=0,"n.b.",INDEX(SRC_ZPMW03!$A$1:$ZZ$501,$A11,AX$3)))</f>
        <v>0</v>
      </c>
      <c r="AY11" s="124">
        <f>IF($B11="","",IF(AY$3=0,"n.b.",INDEX(SRC_ZPMW03!$A$1:$ZZ$501,$A11,AY$3)))</f>
        <v>0</v>
      </c>
      <c r="AZ11" s="124">
        <f>IF($B11="","",IF(AZ$3=0,"n.b.",INDEX(SRC_ZPMW03!$A$1:$ZZ$501,$A11,AZ$3)))</f>
        <v>0</v>
      </c>
      <c r="BA11" s="124">
        <f>IF($B11="","",IF(BA$3=0,"n.b.",INDEX(SRC_ZPMW03!$A$1:$ZZ$501,$A11,BA$3)))</f>
        <v>0</v>
      </c>
      <c r="BB11" s="124">
        <f>IF($B11="","",IF(BB$3=0,"n.b.",INDEX(SRC_ZPMW03!$A$1:$ZZ$501,$A11,BB$3)))</f>
        <v>0</v>
      </c>
      <c r="BC11" s="124">
        <f>IF($B11="","",IF(BC$3=0,"n.b.",INDEX(SRC_ZPMW03!$A$1:$ZZ$501,$A11,BC$3)))</f>
        <v>0</v>
      </c>
      <c r="BD11" s="124">
        <f>IF($B11="","",IF(BD$3=0,"n.b.",INDEX(SRC_ZPMW03!$A$1:$ZZ$501,$A11,BD$3)))</f>
        <v>0</v>
      </c>
      <c r="BE11" s="124">
        <f>IF($B11="","",IF(BE$3=0,"n.b.",INDEX(SRC_ZPMW03!$A$1:$ZZ$501,$A11,BE$3)))</f>
        <v>0</v>
      </c>
      <c r="BF11" s="124">
        <f>IF($B11="","",IF(BF$3=0,"n.b.",INDEX(SRC_ZPMW03!$A$1:$ZZ$501,$A11,BF$3)))</f>
        <v>24.7</v>
      </c>
      <c r="BG11">
        <f>IF($B11="","",IF(BG$3=0,"n.b.",INDEX(SRC_ZPMW03!$A$1:$ZZ$501,$A11,BG$3)))</f>
        <v>46174.0</v>
      </c>
      <c r="BH11">
        <f>IF($B11="","",IF(BH$3=0,"n.b.",INDEX(SRC_ZPMW03!$A$1:$ZZ$501,$A11,BH$3)))</f>
        <v>46174.0</v>
      </c>
      <c r="BI11">
        <f>IF($B11="","",IF(BI$3=0,"n.b.",INDEX(SRC_ZPMW03!$A$1:$ZZ$501,$A11,BI$3)))</f>
        <v>202812</v>
      </c>
      <c r="BJ11">
        <f>IF($B11="","",IF(BJ$3=0,"n.b.",INDEX(SRC_ZPMW03!$A$1:$ZZ$501,$A11,BJ$3)))</f>
        <v>3</v>
      </c>
      <c r="BK11" s="124">
        <f>IF($B11="","",IFERROR(-O11,"n.b."))</f>
        <v>4268160</v>
      </c>
      <c r="BL11" s="124">
        <f>IF($B11="","",IFERROR(-Q11,"n.b."))</f>
        <v>597542.4</v>
      </c>
      <c r="BM11" s="124">
        <f>IF($B11="","",IFERROR(-AB11,"n.b."))</f>
        <v>2298240</v>
      </c>
      <c r="BN11" s="124">
        <f>IF($B11="","",IFERROR(-AD11,"n.b."))</f>
        <v>321753.6</v>
      </c>
      <c r="BO11" s="124">
        <f>IF($B11="","",IFERROR(BK11+BM11,"n.b."))</f>
        <v>6566400</v>
      </c>
      <c r="BP11" s="124">
        <f>IF($B11="","",IFERROR(BL11+BN11,"n.b."))</f>
        <v>919296</v>
      </c>
      <c r="BQ11" s="124">
        <f>IF($B11="","",IFERROR(-AM11,"n.b."))</f>
        <v>6963840</v>
      </c>
      <c r="BR11" s="124">
        <f>IF($B11="","",IFERROR(-AO11,"n.b."))</f>
        <v>974937.6</v>
      </c>
      <c r="BS11" s="124">
        <f>IF($B11="","",IFERROR(-Z11,"n.b."))</f>
        <v>2298240</v>
      </c>
      <c r="BT11" s="124">
        <f>IF($B11="","",IFERROR(-AA11,"n.b."))</f>
        <v>321753.6</v>
      </c>
      <c r="BU11" s="124">
        <f>IF($B11="","",IFERROR(-AE11,"n.b."))</f>
        <v>1392768</v>
      </c>
      <c r="BV11" s="124">
        <f>IF($B11="","",IFERROR(-AF11,"n.b."))</f>
        <v>194987.52</v>
      </c>
      <c r="BW11" s="124">
        <f>IF($B11="","",IFERROR(-AG11,"n.b."))</f>
        <v>1740960</v>
      </c>
      <c r="BX11" s="124">
        <f>IF($B11="","",IFERROR(-AH11,"n.b."))</f>
        <v>243734.4</v>
      </c>
      <c r="BY11" s="124">
        <f>IF($B11="","",IFERROR(-AI11,"n.b."))</f>
        <v>2089152</v>
      </c>
      <c r="BZ11" s="124">
        <f>IF($B11="","",IFERROR(-AJ11,"n.b."))</f>
        <v>292481.28</v>
      </c>
      <c r="CA11" s="124">
        <f>IF($B11="","",IFERROR(-AK11,"n.b."))</f>
        <v>1740960</v>
      </c>
      <c r="CB11" s="124">
        <f>IF($B11="","",IFERROR(-AL11,"n.b."))</f>
        <v>243734.4</v>
      </c>
      <c r="CC11" s="124">
        <f>IF($B11="","",IFERROR(-AP11,"n.b."))</f>
        <v>3749760</v>
      </c>
      <c r="CD11" s="124">
        <f>IF($B11="","",IFERROR(-AQ11,"n.b."))</f>
        <v>524966.4</v>
      </c>
      <c r="CE11" s="124">
        <f>IF($B11="","",IFERROR(-AR11,"n.b."))</f>
        <v>0</v>
      </c>
      <c r="CF11" s="124">
        <f>IF($B11="","",IFERROR(-AS11,"n.b."))</f>
        <v>0</v>
      </c>
      <c r="CG11" s="124">
        <f>IF($B11="","",IFERROR(-AT11,"n.b."))</f>
        <v>0</v>
      </c>
      <c r="CH11" s="124">
        <f>IF($B11="","",IFERROR(-AU11,"n.b."))</f>
        <v>0</v>
      </c>
      <c r="CI11" s="124">
        <f>IF($B11="","",IFERROR(-AV11,"n.b."))</f>
        <v>0</v>
      </c>
      <c r="CJ11" s="124">
        <f>IF($B11="","",IFERROR(-AW11,"n.b."))</f>
        <v>0</v>
      </c>
      <c r="CK11" s="124">
        <f>IF($B11="","",IFERROR(-AX11,"n.b."))</f>
        <v>0</v>
      </c>
      <c r="CL11" s="124">
        <f>IF($B11="","",IFERROR(-AY11,"n.b."))</f>
        <v>0</v>
      </c>
      <c r="CM11" s="124">
        <f>IF($B11="","",IFERROR(-AZ11,"n.b."))</f>
        <v>0</v>
      </c>
      <c r="CN11" s="124">
        <f>IF($B11="","",IFERROR(-BA11,"n.b."))</f>
        <v>0</v>
      </c>
      <c r="CO11" s="124">
        <f>IF($B11="","",IFERROR(-BB11,"n.b."))</f>
        <v>0</v>
      </c>
      <c r="CP11" s="124">
        <f>IF($B11="","",IFERROR(-BC11,"n.b."))</f>
        <v>0</v>
      </c>
      <c r="CQ11" s="124">
        <f>IF($B11="","",IFERROR(-BD11,"n.b."))</f>
        <v>0</v>
      </c>
      <c r="CR11" s="124">
        <f>IF($B11="","",IFERROR(-BE11,"n.b."))</f>
        <v>0</v>
      </c>
      <c r="CS11" s="124">
        <f>IF($B11="","",IFERROR(IF(OR(ABS(T11+V11+X11+Z11-AB11)&gt;P_Tol,ABS(U11+W11+Y11+AA11-AD11)&gt;P_Tol,ABS(AE11+AG11+AI11+AK11-AM11)&gt;P_Tol,ABS(AF11+AH11+AJ11+AL11-AO11)&gt;P_Tol),1,0),1))</f>
        <v>0</v>
      </c>
      <c r="CT11" s="124">
        <f>IF($B11="","",IFERROR(IF(OR(ABS(AB11+AC11-AD11)&gt;P_Tol,ABS(AM11+AN11-AO11)&gt;P_Tol,ABS(O11+P11-Q11)&gt;P_Tol),1,0),1))</f>
        <v>0</v>
      </c>
      <c r="CU11" s="124">
        <f>IF($B11="","",IFERROR(IF(ABS(R11-(AB11+AM11+AP11+AR11+AT11+AV11+AX11+AZ11+BB11+BD11))&gt;P_Tol,1,0),1))</f>
        <v>0</v>
      </c>
      <c r="CV11" s="124">
        <f>IF($B11="","",IFERROR(IF(ABS(M11-(N11+O11+R11))&gt;P_Tol,1,0),1))</f>
        <v>0</v>
      </c>
      <c r="CW11" s="124">
        <f>IF($B11="","",IF(COUNTIF(Mapping!$A$5:$A$104,B11)&gt;0,1,0))</f>
        <v>1</v>
      </c>
      <c r="CX11" s="124">
        <f>IF($B11="","",COUNTIF($B$6:$B$505,B11))</f>
        <v>1</v>
      </c>
      <c r="CY11" s="124">
        <f>IF($B11="","",COUNTIF(STG_Woningetalage!$B$6:$B$505,B11))</f>
        <v>1</v>
      </c>
      <c r="CZ11" s="124" t="str">
        <f>IF($B11="","",IF(CW11=0,COUNTIF($CW$6:CW11,0),""))</f>
        <v/>
      </c>
    </row>
    <row r="12">
      <c r="A12" s="15" t="n">
        <v>8</v>
      </c>
      <c r="B12" t="str">
        <f>IF(B$3=0,"",IF(INDEX(SRC_ZPMW03!$A$1:$ZZ$501,$A12,B$3)&amp;""="","",INDEX(SRC_ZPMW03!$A$1:$ZZ$501,$A12,B$3)&amp;""))</f>
        <v>G.900007.8.9090</v>
      </c>
      <c r="C12" t="str">
        <f>IF($B12="","",IF(C$3=0,"n.b.",INDEX(SRC_ZPMW03!$A$1:$ZZ$501,$A12,C$3)))</f>
        <v>J</v>
      </c>
      <c r="D12">
        <f>IF($B12="","",IF(D$3=0,"n.b.",INDEX(SRC_ZPMW03!$A$1:$ZZ$501,$A12,D$3)))</f>
        <v>9901</v>
      </c>
      <c r="E12" t="str">
        <f>IF($B12="","",IF(E$3=0,"n.b.",INDEX(SRC_ZPMW03!$A$1:$ZZ$501,$A12,E$3)))</f>
        <v>Demo Ontwikkeling BV</v>
      </c>
      <c r="F12">
        <f>IF($B12="","",IF(F$3=0,"n.b.",INDEX(SRC_ZPMW03!$A$1:$ZZ$501,$A12,F$3)))</f>
        <v>9090</v>
      </c>
      <c r="G12" t="str">
        <f>IF($B12="","",IF(G$3=0,"n.b.",INDEX(SRC_ZPMW03!$A$1:$ZZ$501,$A12,G$3)))</f>
        <v>Demo Regio</v>
      </c>
      <c r="H12" t="str">
        <f>IF($B12="","",IF(H$3=0,"n.b.",INDEX(SRC_ZPMW03!$A$1:$ZZ$501,$A12,H$3)))</f>
        <v>WO-Wonen</v>
      </c>
      <c r="I12" t="str">
        <f>IF($B12="","",IF(I$3=0,"n.b.",INDEX(SRC_ZPMW03!$A$1:$ZZ$501,$A12,I$3)))</f>
        <v>G.900007</v>
      </c>
      <c r="J12" t="str">
        <f>IF($B12="","",IF(J$3=0,"n.b.",INDEX(SRC_ZPMW03!$A$1:$ZZ$501,$A12,J$3)))</f>
        <v>Rietdam, Havenkwartier</v>
      </c>
      <c r="K12" t="str">
        <f>IF($B12="","",IF(K$3=0,"n.b.",INDEX(SRC_ZPMW03!$A$1:$ZZ$501,$A12,K$3)))</f>
        <v>VRIJ VEN3</v>
      </c>
      <c r="L12" s="124">
        <f>IF($B12="","",IF(L$3=0,"n.b.",INDEX(SRC_ZPMW03!$A$1:$ZZ$501,$A12,L$3)))</f>
        <v>80</v>
      </c>
      <c r="M12" s="124">
        <f>IF($B12="","",IF(M$3=0,"n.b.",INDEX(SRC_ZPMW03!$A$1:$ZZ$501,$A12,M$3)))</f>
        <v>-24320000</v>
      </c>
      <c r="N12" s="124">
        <f>IF($B12="","",IF(N$3=0,"n.b.",INDEX(SRC_ZPMW03!$A$1:$ZZ$501,$A12,N$3)))</f>
        <v>0</v>
      </c>
      <c r="O12" s="124">
        <f>IF($B12="","",IF(O$3=0,"n.b.",INDEX(SRC_ZPMW03!$A$1:$ZZ$501,$A12,O$3)))</f>
        <v>-3952000</v>
      </c>
      <c r="P12" s="124">
        <f>IF($B12="","",IF(P$3=0,"n.b.",INDEX(SRC_ZPMW03!$A$1:$ZZ$501,$A12,P$3)))</f>
        <v>3556800</v>
      </c>
      <c r="Q12" s="124">
        <f>IF($B12="","",IF(Q$3=0,"n.b.",INDEX(SRC_ZPMW03!$A$1:$ZZ$501,$A12,Q$3)))</f>
        <v>-395200</v>
      </c>
      <c r="R12" s="124">
        <f>IF($B12="","",IF(R$3=0,"n.b.",INDEX(SRC_ZPMW03!$A$1:$ZZ$501,$A12,R$3)))</f>
        <v>-20368000</v>
      </c>
      <c r="S12" s="124">
        <f>IF($B12="","",IF(S$3=0,"n.b.",INDEX(SRC_ZPMW03!$A$1:$ZZ$501,$A12,S$3)))</f>
        <v>-2036800</v>
      </c>
      <c r="T12" s="124">
        <f>IF($B12="","",IF(T$3=0,"n.b.",INDEX(SRC_ZPMW03!$A$1:$ZZ$501,$A12,T$3)))</f>
        <v>0</v>
      </c>
      <c r="U12" s="124">
        <f>IF($B12="","",IF(U$3=0,"n.b.",INDEX(SRC_ZPMW03!$A$1:$ZZ$501,$A12,U$3)))</f>
        <v>0</v>
      </c>
      <c r="V12" s="124">
        <f>IF($B12="","",IF(V$3=0,"n.b.",INDEX(SRC_ZPMW03!$A$1:$ZZ$501,$A12,V$3)))</f>
        <v>0</v>
      </c>
      <c r="W12" s="124">
        <f>IF($B12="","",IF(W$3=0,"n.b.",INDEX(SRC_ZPMW03!$A$1:$ZZ$501,$A12,W$3)))</f>
        <v>0</v>
      </c>
      <c r="X12" s="124">
        <f>IF($B12="","",IF(X$3=0,"n.b.",INDEX(SRC_ZPMW03!$A$1:$ZZ$501,$A12,X$3)))</f>
        <v>0</v>
      </c>
      <c r="Y12" s="124">
        <f>IF($B12="","",IF(Y$3=0,"n.b.",INDEX(SRC_ZPMW03!$A$1:$ZZ$501,$A12,Y$3)))</f>
        <v>0</v>
      </c>
      <c r="Z12" s="124">
        <f>IF($B12="","",IF(Z$3=0,"n.b.",INDEX(SRC_ZPMW03!$A$1:$ZZ$501,$A12,Z$3)))</f>
        <v>-2128000</v>
      </c>
      <c r="AA12" s="124">
        <f>IF($B12="","",IF(AA$3=0,"n.b.",INDEX(SRC_ZPMW03!$A$1:$ZZ$501,$A12,AA$3)))</f>
        <v>-212800</v>
      </c>
      <c r="AB12" s="124">
        <f>IF($B12="","",IF(AB$3=0,"n.b.",INDEX(SRC_ZPMW03!$A$1:$ZZ$501,$A12,AB$3)))</f>
        <v>-2128000</v>
      </c>
      <c r="AC12" s="124">
        <f>IF($B12="","",IF(AC$3=0,"n.b.",INDEX(SRC_ZPMW03!$A$1:$ZZ$501,$A12,AC$3)))</f>
        <v>1915200</v>
      </c>
      <c r="AD12" s="124">
        <f>IF($B12="","",IF(AD$3=0,"n.b.",INDEX(SRC_ZPMW03!$A$1:$ZZ$501,$A12,AD$3)))</f>
        <v>-212800</v>
      </c>
      <c r="AE12" s="124">
        <f>IF($B12="","",IF(AE$3=0,"n.b.",INDEX(SRC_ZPMW03!$A$1:$ZZ$501,$A12,AE$3)))</f>
        <v>-2371200</v>
      </c>
      <c r="AF12" s="124">
        <f>IF($B12="","",IF(AF$3=0,"n.b.",INDEX(SRC_ZPMW03!$A$1:$ZZ$501,$A12,AF$3)))</f>
        <v>-237120</v>
      </c>
      <c r="AG12" s="124">
        <f>IF($B12="","",IF(AG$3=0,"n.b.",INDEX(SRC_ZPMW03!$A$1:$ZZ$501,$A12,AG$3)))</f>
        <v>-2964000</v>
      </c>
      <c r="AH12" s="124">
        <f>IF($B12="","",IF(AH$3=0,"n.b.",INDEX(SRC_ZPMW03!$A$1:$ZZ$501,$A12,AH$3)))</f>
        <v>-296400</v>
      </c>
      <c r="AI12" s="124">
        <f>IF($B12="","",IF(AI$3=0,"n.b.",INDEX(SRC_ZPMW03!$A$1:$ZZ$501,$A12,AI$3)))</f>
        <v>-3556800</v>
      </c>
      <c r="AJ12" s="124">
        <f>IF($B12="","",IF(AJ$3=0,"n.b.",INDEX(SRC_ZPMW03!$A$1:$ZZ$501,$A12,AJ$3)))</f>
        <v>-355680</v>
      </c>
      <c r="AK12" s="124">
        <f>IF($B12="","",IF(AK$3=0,"n.b.",INDEX(SRC_ZPMW03!$A$1:$ZZ$501,$A12,AK$3)))</f>
        <v>-2964000</v>
      </c>
      <c r="AL12" s="124">
        <f>IF($B12="","",IF(AL$3=0,"n.b.",INDEX(SRC_ZPMW03!$A$1:$ZZ$501,$A12,AL$3)))</f>
        <v>-296400</v>
      </c>
      <c r="AM12" s="124">
        <f>IF($B12="","",IF(AM$3=0,"n.b.",INDEX(SRC_ZPMW03!$A$1:$ZZ$501,$A12,AM$3)))</f>
        <v>-11856000</v>
      </c>
      <c r="AN12" s="124">
        <f>IF($B12="","",IF(AN$3=0,"n.b.",INDEX(SRC_ZPMW03!$A$1:$ZZ$501,$A12,AN$3)))</f>
        <v>10670400</v>
      </c>
      <c r="AO12" s="124">
        <f>IF($B12="","",IF(AO$3=0,"n.b.",INDEX(SRC_ZPMW03!$A$1:$ZZ$501,$A12,AO$3)))</f>
        <v>-1185600</v>
      </c>
      <c r="AP12" s="124">
        <f>IF($B12="","",IF(AP$3=0,"n.b.",INDEX(SRC_ZPMW03!$A$1:$ZZ$501,$A12,AP$3)))</f>
        <v>-6384000</v>
      </c>
      <c r="AQ12" s="124">
        <f>IF($B12="","",IF(AQ$3=0,"n.b.",INDEX(SRC_ZPMW03!$A$1:$ZZ$501,$A12,AQ$3)))</f>
        <v>-638400</v>
      </c>
      <c r="AR12" s="124">
        <f>IF($B12="","",IF(AR$3=0,"n.b.",INDEX(SRC_ZPMW03!$A$1:$ZZ$501,$A12,AR$3)))</f>
        <v>0</v>
      </c>
      <c r="AS12" s="124">
        <f>IF($B12="","",IF(AS$3=0,"n.b.",INDEX(SRC_ZPMW03!$A$1:$ZZ$501,$A12,AS$3)))</f>
        <v>0</v>
      </c>
      <c r="AT12" s="124">
        <f>IF($B12="","",IF(AT$3=0,"n.b.",INDEX(SRC_ZPMW03!$A$1:$ZZ$501,$A12,AT$3)))</f>
        <v>0</v>
      </c>
      <c r="AU12" s="124">
        <f>IF($B12="","",IF(AU$3=0,"n.b.",INDEX(SRC_ZPMW03!$A$1:$ZZ$501,$A12,AU$3)))</f>
        <v>0</v>
      </c>
      <c r="AV12" s="124">
        <f>IF($B12="","",IF(AV$3=0,"n.b.",INDEX(SRC_ZPMW03!$A$1:$ZZ$501,$A12,AV$3)))</f>
        <v>0</v>
      </c>
      <c r="AW12" s="124">
        <f>IF($B12="","",IF(AW$3=0,"n.b.",INDEX(SRC_ZPMW03!$A$1:$ZZ$501,$A12,AW$3)))</f>
        <v>0</v>
      </c>
      <c r="AX12" s="124">
        <f>IF($B12="","",IF(AX$3=0,"n.b.",INDEX(SRC_ZPMW03!$A$1:$ZZ$501,$A12,AX$3)))</f>
        <v>0</v>
      </c>
      <c r="AY12" s="124">
        <f>IF($B12="","",IF(AY$3=0,"n.b.",INDEX(SRC_ZPMW03!$A$1:$ZZ$501,$A12,AY$3)))</f>
        <v>0</v>
      </c>
      <c r="AZ12" s="124">
        <f>IF($B12="","",IF(AZ$3=0,"n.b.",INDEX(SRC_ZPMW03!$A$1:$ZZ$501,$A12,AZ$3)))</f>
        <v>0</v>
      </c>
      <c r="BA12" s="124">
        <f>IF($B12="","",IF(BA$3=0,"n.b.",INDEX(SRC_ZPMW03!$A$1:$ZZ$501,$A12,BA$3)))</f>
        <v>0</v>
      </c>
      <c r="BB12" s="124">
        <f>IF($B12="","",IF(BB$3=0,"n.b.",INDEX(SRC_ZPMW03!$A$1:$ZZ$501,$A12,BB$3)))</f>
        <v>0</v>
      </c>
      <c r="BC12" s="124">
        <f>IF($B12="","",IF(BC$3=0,"n.b.",INDEX(SRC_ZPMW03!$A$1:$ZZ$501,$A12,BC$3)))</f>
        <v>0</v>
      </c>
      <c r="BD12" s="124">
        <f>IF($B12="","",IF(BD$3=0,"n.b.",INDEX(SRC_ZPMW03!$A$1:$ZZ$501,$A12,BD$3)))</f>
        <v>0</v>
      </c>
      <c r="BE12" s="124">
        <f>IF($B12="","",IF(BE$3=0,"n.b.",INDEX(SRC_ZPMW03!$A$1:$ZZ$501,$A12,BE$3)))</f>
        <v>0</v>
      </c>
      <c r="BF12" s="124">
        <f>IF($B12="","",IF(BF$3=0,"n.b.",INDEX(SRC_ZPMW03!$A$1:$ZZ$501,$A12,BF$3)))</f>
        <v>16.25</v>
      </c>
      <c r="BG12">
        <f>IF($B12="","",IF(BG$3=0,"n.b.",INDEX(SRC_ZPMW03!$A$1:$ZZ$501,$A12,BG$3)))</f>
        <v>46204.0</v>
      </c>
      <c r="BH12">
        <f>IF($B12="","",IF(BH$3=0,"n.b.",INDEX(SRC_ZPMW03!$A$1:$ZZ$501,$A12,BH$3)))</f>
        <v>46204.0</v>
      </c>
      <c r="BI12">
        <f>IF($B12="","",IF(BI$3=0,"n.b.",INDEX(SRC_ZPMW03!$A$1:$ZZ$501,$A12,BI$3)))</f>
        <v>202812</v>
      </c>
      <c r="BJ12">
        <f>IF($B12="","",IF(BJ$3=0,"n.b.",INDEX(SRC_ZPMW03!$A$1:$ZZ$501,$A12,BJ$3)))</f>
        <v>1</v>
      </c>
      <c r="BK12" s="124">
        <f>IF($B12="","",IFERROR(-O12,"n.b."))</f>
        <v>3952000</v>
      </c>
      <c r="BL12" s="124">
        <f>IF($B12="","",IFERROR(-Q12,"n.b."))</f>
        <v>395200</v>
      </c>
      <c r="BM12" s="124">
        <f>IF($B12="","",IFERROR(-AB12,"n.b."))</f>
        <v>2128000</v>
      </c>
      <c r="BN12" s="124">
        <f>IF($B12="","",IFERROR(-AD12,"n.b."))</f>
        <v>212800</v>
      </c>
      <c r="BO12" s="124">
        <f>IF($B12="","",IFERROR(BK12+BM12,"n.b."))</f>
        <v>6080000</v>
      </c>
      <c r="BP12" s="124">
        <f>IF($B12="","",IFERROR(BL12+BN12,"n.b."))</f>
        <v>608000</v>
      </c>
      <c r="BQ12" s="124">
        <f>IF($B12="","",IFERROR(-AM12,"n.b."))</f>
        <v>11856000</v>
      </c>
      <c r="BR12" s="124">
        <f>IF($B12="","",IFERROR(-AO12,"n.b."))</f>
        <v>1185600</v>
      </c>
      <c r="BS12" s="124">
        <f>IF($B12="","",IFERROR(-Z12,"n.b."))</f>
        <v>2128000</v>
      </c>
      <c r="BT12" s="124">
        <f>IF($B12="","",IFERROR(-AA12,"n.b."))</f>
        <v>212800</v>
      </c>
      <c r="BU12" s="124">
        <f>IF($B12="","",IFERROR(-AE12,"n.b."))</f>
        <v>2371200</v>
      </c>
      <c r="BV12" s="124">
        <f>IF($B12="","",IFERROR(-AF12,"n.b."))</f>
        <v>237120</v>
      </c>
      <c r="BW12" s="124">
        <f>IF($B12="","",IFERROR(-AG12,"n.b."))</f>
        <v>2964000</v>
      </c>
      <c r="BX12" s="124">
        <f>IF($B12="","",IFERROR(-AH12,"n.b."))</f>
        <v>296400</v>
      </c>
      <c r="BY12" s="124">
        <f>IF($B12="","",IFERROR(-AI12,"n.b."))</f>
        <v>3556800</v>
      </c>
      <c r="BZ12" s="124">
        <f>IF($B12="","",IFERROR(-AJ12,"n.b."))</f>
        <v>355680</v>
      </c>
      <c r="CA12" s="124">
        <f>IF($B12="","",IFERROR(-AK12,"n.b."))</f>
        <v>2964000</v>
      </c>
      <c r="CB12" s="124">
        <f>IF($B12="","",IFERROR(-AL12,"n.b."))</f>
        <v>296400</v>
      </c>
      <c r="CC12" s="124">
        <f>IF($B12="","",IFERROR(-AP12,"n.b."))</f>
        <v>6384000</v>
      </c>
      <c r="CD12" s="124">
        <f>IF($B12="","",IFERROR(-AQ12,"n.b."))</f>
        <v>638400</v>
      </c>
      <c r="CE12" s="124">
        <f>IF($B12="","",IFERROR(-AR12,"n.b."))</f>
        <v>0</v>
      </c>
      <c r="CF12" s="124">
        <f>IF($B12="","",IFERROR(-AS12,"n.b."))</f>
        <v>0</v>
      </c>
      <c r="CG12" s="124">
        <f>IF($B12="","",IFERROR(-AT12,"n.b."))</f>
        <v>0</v>
      </c>
      <c r="CH12" s="124">
        <f>IF($B12="","",IFERROR(-AU12,"n.b."))</f>
        <v>0</v>
      </c>
      <c r="CI12" s="124">
        <f>IF($B12="","",IFERROR(-AV12,"n.b."))</f>
        <v>0</v>
      </c>
      <c r="CJ12" s="124">
        <f>IF($B12="","",IFERROR(-AW12,"n.b."))</f>
        <v>0</v>
      </c>
      <c r="CK12" s="124">
        <f>IF($B12="","",IFERROR(-AX12,"n.b."))</f>
        <v>0</v>
      </c>
      <c r="CL12" s="124">
        <f>IF($B12="","",IFERROR(-AY12,"n.b."))</f>
        <v>0</v>
      </c>
      <c r="CM12" s="124">
        <f>IF($B12="","",IFERROR(-AZ12,"n.b."))</f>
        <v>0</v>
      </c>
      <c r="CN12" s="124">
        <f>IF($B12="","",IFERROR(-BA12,"n.b."))</f>
        <v>0</v>
      </c>
      <c r="CO12" s="124">
        <f>IF($B12="","",IFERROR(-BB12,"n.b."))</f>
        <v>0</v>
      </c>
      <c r="CP12" s="124">
        <f>IF($B12="","",IFERROR(-BC12,"n.b."))</f>
        <v>0</v>
      </c>
      <c r="CQ12" s="124">
        <f>IF($B12="","",IFERROR(-BD12,"n.b."))</f>
        <v>0</v>
      </c>
      <c r="CR12" s="124">
        <f>IF($B12="","",IFERROR(-BE12,"n.b."))</f>
        <v>0</v>
      </c>
      <c r="CS12" s="124">
        <f>IF($B12="","",IFERROR(IF(OR(ABS(T12+V12+X12+Z12-AB12)&gt;P_Tol,ABS(U12+W12+Y12+AA12-AD12)&gt;P_Tol,ABS(AE12+AG12+AI12+AK12-AM12)&gt;P_Tol,ABS(AF12+AH12+AJ12+AL12-AO12)&gt;P_Tol),1,0),1))</f>
        <v>0</v>
      </c>
      <c r="CT12" s="124">
        <f>IF($B12="","",IFERROR(IF(OR(ABS(AB12+AC12-AD12)&gt;P_Tol,ABS(AM12+AN12-AO12)&gt;P_Tol,ABS(O12+P12-Q12)&gt;P_Tol),1,0),1))</f>
        <v>0</v>
      </c>
      <c r="CU12" s="124">
        <f>IF($B12="","",IFERROR(IF(ABS(R12-(AB12+AM12+AP12+AR12+AT12+AV12+AX12+AZ12+BB12+BD12))&gt;P_Tol,1,0),1))</f>
        <v>0</v>
      </c>
      <c r="CV12" s="124">
        <f>IF($B12="","",IFERROR(IF(ABS(M12-(N12+O12+R12))&gt;P_Tol,1,0),1))</f>
        <v>0</v>
      </c>
      <c r="CW12" s="124">
        <f>IF($B12="","",IF(COUNTIF(Mapping!$A$5:$A$104,B12)&gt;0,1,0))</f>
        <v>1</v>
      </c>
      <c r="CX12" s="124">
        <f>IF($B12="","",COUNTIF($B$6:$B$505,B12))</f>
        <v>1</v>
      </c>
      <c r="CY12" s="124">
        <f>IF($B12="","",COUNTIF(STG_Woningetalage!$B$6:$B$505,B12))</f>
        <v>1</v>
      </c>
      <c r="CZ12" s="124" t="str">
        <f>IF($B12="","",IF(CW12=0,COUNTIF($CW$6:CW12,0),""))</f>
        <v/>
      </c>
    </row>
    <row r="13">
      <c r="A13" s="15" t="n">
        <v>9</v>
      </c>
      <c r="B13" t="str">
        <f>IF(B$3=0,"",IF(INDEX(SRC_ZPMW03!$A$1:$ZZ$501,$A13,B$3)&amp;""="","",INDEX(SRC_ZPMW03!$A$1:$ZZ$501,$A13,B$3)&amp;""))</f>
        <v>G.900008.8.9090</v>
      </c>
      <c r="C13" t="str">
        <f>IF($B13="","",IF(C$3=0,"n.b.",INDEX(SRC_ZPMW03!$A$1:$ZZ$501,$A13,C$3)))</f>
        <v>J</v>
      </c>
      <c r="D13">
        <f>IF($B13="","",IF(D$3=0,"n.b.",INDEX(SRC_ZPMW03!$A$1:$ZZ$501,$A13,D$3)))</f>
        <v>9901</v>
      </c>
      <c r="E13" t="str">
        <f>IF($B13="","",IF(E$3=0,"n.b.",INDEX(SRC_ZPMW03!$A$1:$ZZ$501,$A13,E$3)))</f>
        <v>Demo Ontwikkeling BV</v>
      </c>
      <c r="F13">
        <f>IF($B13="","",IF(F$3=0,"n.b.",INDEX(SRC_ZPMW03!$A$1:$ZZ$501,$A13,F$3)))</f>
        <v>9090</v>
      </c>
      <c r="G13" t="str">
        <f>IF($B13="","",IF(G$3=0,"n.b.",INDEX(SRC_ZPMW03!$A$1:$ZZ$501,$A13,G$3)))</f>
        <v>Demo Regio</v>
      </c>
      <c r="H13" t="str">
        <f>IF($B13="","",IF(H$3=0,"n.b.",INDEX(SRC_ZPMW03!$A$1:$ZZ$501,$A13,H$3)))</f>
        <v>WO-Wonen</v>
      </c>
      <c r="I13" t="str">
        <f>IF($B13="","",IF(I$3=0,"n.b.",INDEX(SRC_ZPMW03!$A$1:$ZZ$501,$A13,I$3)))</f>
        <v>G.900008</v>
      </c>
      <c r="J13" t="str">
        <f>IF($B13="","",IF(J$3=0,"n.b.",INDEX(SRC_ZPMW03!$A$1:$ZZ$501,$A13,J$3)))</f>
        <v>Lindehaven, De Brink</v>
      </c>
      <c r="K13" t="str">
        <f>IF($B13="","",IF(K$3=0,"n.b.",INDEX(SRC_ZPMW03!$A$1:$ZZ$501,$A13,K$3)))</f>
        <v>VRIJ BLOK</v>
      </c>
      <c r="L13" s="124">
        <f>IF($B13="","",IF(L$3=0,"n.b.",INDEX(SRC_ZPMW03!$A$1:$ZZ$501,$A13,L$3)))</f>
        <v>60</v>
      </c>
      <c r="M13" s="124">
        <f>IF($B13="","",IF(M$3=0,"n.b.",INDEX(SRC_ZPMW03!$A$1:$ZZ$501,$A13,M$3)))</f>
        <v>-13020000</v>
      </c>
      <c r="N13" s="124">
        <f>IF($B13="","",IF(N$3=0,"n.b.",INDEX(SRC_ZPMW03!$A$1:$ZZ$501,$A13,N$3)))</f>
        <v>0</v>
      </c>
      <c r="O13" s="124">
        <f>IF($B13="","",IF(O$3=0,"n.b.",INDEX(SRC_ZPMW03!$A$1:$ZZ$501,$A13,O$3)))</f>
        <v>-1269450</v>
      </c>
      <c r="P13" s="124">
        <f>IF($B13="","",IF(P$3=0,"n.b.",INDEX(SRC_ZPMW03!$A$1:$ZZ$501,$A13,P$3)))</f>
        <v>1307533.5</v>
      </c>
      <c r="Q13" s="124">
        <f>IF($B13="","",IF(Q$3=0,"n.b.",INDEX(SRC_ZPMW03!$A$1:$ZZ$501,$A13,Q$3)))</f>
        <v>38083.5</v>
      </c>
      <c r="R13" s="124">
        <f>IF($B13="","",IF(R$3=0,"n.b.",INDEX(SRC_ZPMW03!$A$1:$ZZ$501,$A13,R$3)))</f>
        <v>-11750550</v>
      </c>
      <c r="S13" s="124">
        <f>IF($B13="","",IF(S$3=0,"n.b.",INDEX(SRC_ZPMW03!$A$1:$ZZ$501,$A13,S$3)))</f>
        <v>352516.5</v>
      </c>
      <c r="T13" s="124">
        <f>IF($B13="","",IF(T$3=0,"n.b.",INDEX(SRC_ZPMW03!$A$1:$ZZ$501,$A13,T$3)))</f>
        <v>0</v>
      </c>
      <c r="U13" s="124">
        <f>IF($B13="","",IF(U$3=0,"n.b.",INDEX(SRC_ZPMW03!$A$1:$ZZ$501,$A13,U$3)))</f>
        <v>0</v>
      </c>
      <c r="V13" s="124">
        <f>IF($B13="","",IF(V$3=0,"n.b.",INDEX(SRC_ZPMW03!$A$1:$ZZ$501,$A13,V$3)))</f>
        <v>0</v>
      </c>
      <c r="W13" s="124">
        <f>IF($B13="","",IF(W$3=0,"n.b.",INDEX(SRC_ZPMW03!$A$1:$ZZ$501,$A13,W$3)))</f>
        <v>0</v>
      </c>
      <c r="X13" s="124">
        <f>IF($B13="","",IF(X$3=0,"n.b.",INDEX(SRC_ZPMW03!$A$1:$ZZ$501,$A13,X$3)))</f>
        <v>0</v>
      </c>
      <c r="Y13" s="124">
        <f>IF($B13="","",IF(Y$3=0,"n.b.",INDEX(SRC_ZPMW03!$A$1:$ZZ$501,$A13,Y$3)))</f>
        <v>0</v>
      </c>
      <c r="Z13" s="124">
        <f>IF($B13="","",IF(Z$3=0,"n.b.",INDEX(SRC_ZPMW03!$A$1:$ZZ$501,$A13,Z$3)))</f>
        <v>-683550</v>
      </c>
      <c r="AA13" s="124">
        <f>IF($B13="","",IF(AA$3=0,"n.b.",INDEX(SRC_ZPMW03!$A$1:$ZZ$501,$A13,AA$3)))</f>
        <v>20506.5</v>
      </c>
      <c r="AB13" s="124">
        <f>IF($B13="","",IF(AB$3=0,"n.b.",INDEX(SRC_ZPMW03!$A$1:$ZZ$501,$A13,AB$3)))</f>
        <v>-683550</v>
      </c>
      <c r="AC13" s="124">
        <f>IF($B13="","",IF(AC$3=0,"n.b.",INDEX(SRC_ZPMW03!$A$1:$ZZ$501,$A13,AC$3)))</f>
        <v>704056.5</v>
      </c>
      <c r="AD13" s="124">
        <f>IF($B13="","",IF(AD$3=0,"n.b.",INDEX(SRC_ZPMW03!$A$1:$ZZ$501,$A13,AD$3)))</f>
        <v>20506.5</v>
      </c>
      <c r="AE13" s="124">
        <f>IF($B13="","",IF(AE$3=0,"n.b.",INDEX(SRC_ZPMW03!$A$1:$ZZ$501,$A13,AE$3)))</f>
        <v>-1438710</v>
      </c>
      <c r="AF13" s="124">
        <f>IF($B13="","",IF(AF$3=0,"n.b.",INDEX(SRC_ZPMW03!$A$1:$ZZ$501,$A13,AF$3)))</f>
        <v>43161.3</v>
      </c>
      <c r="AG13" s="124">
        <f>IF($B13="","",IF(AG$3=0,"n.b.",INDEX(SRC_ZPMW03!$A$1:$ZZ$501,$A13,AG$3)))</f>
        <v>-1798387</v>
      </c>
      <c r="AH13" s="124">
        <f>IF($B13="","",IF(AH$3=0,"n.b.",INDEX(SRC_ZPMW03!$A$1:$ZZ$501,$A13,AH$3)))</f>
        <v>53951.61</v>
      </c>
      <c r="AI13" s="124">
        <f>IF($B13="","",IF(AI$3=0,"n.b.",INDEX(SRC_ZPMW03!$A$1:$ZZ$501,$A13,AI$3)))</f>
        <v>-2158065</v>
      </c>
      <c r="AJ13" s="124">
        <f>IF($B13="","",IF(AJ$3=0,"n.b.",INDEX(SRC_ZPMW03!$A$1:$ZZ$501,$A13,AJ$3)))</f>
        <v>64741.95</v>
      </c>
      <c r="AK13" s="124">
        <f>IF($B13="","",IF(AK$3=0,"n.b.",INDEX(SRC_ZPMW03!$A$1:$ZZ$501,$A13,AK$3)))</f>
        <v>-1798388</v>
      </c>
      <c r="AL13" s="124">
        <f>IF($B13="","",IF(AL$3=0,"n.b.",INDEX(SRC_ZPMW03!$A$1:$ZZ$501,$A13,AL$3)))</f>
        <v>53951.64</v>
      </c>
      <c r="AM13" s="124">
        <f>IF($B13="","",IF(AM$3=0,"n.b.",INDEX(SRC_ZPMW03!$A$1:$ZZ$501,$A13,AM$3)))</f>
        <v>-7193550</v>
      </c>
      <c r="AN13" s="124">
        <f>IF($B13="","",IF(AN$3=0,"n.b.",INDEX(SRC_ZPMW03!$A$1:$ZZ$501,$A13,AN$3)))</f>
        <v>7409356.5</v>
      </c>
      <c r="AO13" s="124">
        <f>IF($B13="","",IF(AO$3=0,"n.b.",INDEX(SRC_ZPMW03!$A$1:$ZZ$501,$A13,AO$3)))</f>
        <v>215806.5</v>
      </c>
      <c r="AP13" s="124">
        <f>IF($B13="","",IF(AP$3=0,"n.b.",INDEX(SRC_ZPMW03!$A$1:$ZZ$501,$A13,AP$3)))</f>
        <v>-3873450</v>
      </c>
      <c r="AQ13" s="124">
        <f>IF($B13="","",IF(AQ$3=0,"n.b.",INDEX(SRC_ZPMW03!$A$1:$ZZ$501,$A13,AQ$3)))</f>
        <v>116203.5</v>
      </c>
      <c r="AR13" s="124">
        <f>IF($B13="","",IF(AR$3=0,"n.b.",INDEX(SRC_ZPMW03!$A$1:$ZZ$501,$A13,AR$3)))</f>
        <v>0</v>
      </c>
      <c r="AS13" s="124">
        <f>IF($B13="","",IF(AS$3=0,"n.b.",INDEX(SRC_ZPMW03!$A$1:$ZZ$501,$A13,AS$3)))</f>
        <v>0</v>
      </c>
      <c r="AT13" s="124">
        <f>IF($B13="","",IF(AT$3=0,"n.b.",INDEX(SRC_ZPMW03!$A$1:$ZZ$501,$A13,AT$3)))</f>
        <v>0</v>
      </c>
      <c r="AU13" s="124">
        <f>IF($B13="","",IF(AU$3=0,"n.b.",INDEX(SRC_ZPMW03!$A$1:$ZZ$501,$A13,AU$3)))</f>
        <v>0</v>
      </c>
      <c r="AV13" s="124">
        <f>IF($B13="","",IF(AV$3=0,"n.b.",INDEX(SRC_ZPMW03!$A$1:$ZZ$501,$A13,AV$3)))</f>
        <v>0</v>
      </c>
      <c r="AW13" s="124">
        <f>IF($B13="","",IF(AW$3=0,"n.b.",INDEX(SRC_ZPMW03!$A$1:$ZZ$501,$A13,AW$3)))</f>
        <v>0</v>
      </c>
      <c r="AX13" s="124">
        <f>IF($B13="","",IF(AX$3=0,"n.b.",INDEX(SRC_ZPMW03!$A$1:$ZZ$501,$A13,AX$3)))</f>
        <v>0</v>
      </c>
      <c r="AY13" s="124">
        <f>IF($B13="","",IF(AY$3=0,"n.b.",INDEX(SRC_ZPMW03!$A$1:$ZZ$501,$A13,AY$3)))</f>
        <v>0</v>
      </c>
      <c r="AZ13" s="124">
        <f>IF($B13="","",IF(AZ$3=0,"n.b.",INDEX(SRC_ZPMW03!$A$1:$ZZ$501,$A13,AZ$3)))</f>
        <v>0</v>
      </c>
      <c r="BA13" s="124">
        <f>IF($B13="","",IF(BA$3=0,"n.b.",INDEX(SRC_ZPMW03!$A$1:$ZZ$501,$A13,BA$3)))</f>
        <v>0</v>
      </c>
      <c r="BB13" s="124">
        <f>IF($B13="","",IF(BB$3=0,"n.b.",INDEX(SRC_ZPMW03!$A$1:$ZZ$501,$A13,BB$3)))</f>
        <v>0</v>
      </c>
      <c r="BC13" s="124">
        <f>IF($B13="","",IF(BC$3=0,"n.b.",INDEX(SRC_ZPMW03!$A$1:$ZZ$501,$A13,BC$3)))</f>
        <v>0</v>
      </c>
      <c r="BD13" s="124">
        <f>IF($B13="","",IF(BD$3=0,"n.b.",INDEX(SRC_ZPMW03!$A$1:$ZZ$501,$A13,BD$3)))</f>
        <v>0</v>
      </c>
      <c r="BE13" s="124">
        <f>IF($B13="","",IF(BE$3=0,"n.b.",INDEX(SRC_ZPMW03!$A$1:$ZZ$501,$A13,BE$3)))</f>
        <v>0</v>
      </c>
      <c r="BF13" s="124">
        <f>IF($B13="","",IF(BF$3=0,"n.b.",INDEX(SRC_ZPMW03!$A$1:$ZZ$501,$A13,BF$3)))</f>
        <v>9.75</v>
      </c>
      <c r="BG13">
        <f>IF($B13="","",IF(BG$3=0,"n.b.",INDEX(SRC_ZPMW03!$A$1:$ZZ$501,$A13,BG$3)))</f>
        <v>46235.0</v>
      </c>
      <c r="BH13">
        <f>IF($B13="","",IF(BH$3=0,"n.b.",INDEX(SRC_ZPMW03!$A$1:$ZZ$501,$A13,BH$3)))</f>
        <v>46235.0</v>
      </c>
      <c r="BI13">
        <f>IF($B13="","",IF(BI$3=0,"n.b.",INDEX(SRC_ZPMW03!$A$1:$ZZ$501,$A13,BI$3)))</f>
        <v>202812</v>
      </c>
      <c r="BJ13">
        <f>IF($B13="","",IF(BJ$3=0,"n.b.",INDEX(SRC_ZPMW03!$A$1:$ZZ$501,$A13,BJ$3)))</f>
        <v>2</v>
      </c>
      <c r="BK13" s="124">
        <f>IF($B13="","",IFERROR(-O13,"n.b."))</f>
        <v>1269450</v>
      </c>
      <c r="BL13" s="124">
        <f>IF($B13="","",IFERROR(-Q13,"n.b."))</f>
        <v>-38083.5</v>
      </c>
      <c r="BM13" s="124">
        <f>IF($B13="","",IFERROR(-AB13,"n.b."))</f>
        <v>683550</v>
      </c>
      <c r="BN13" s="124">
        <f>IF($B13="","",IFERROR(-AD13,"n.b."))</f>
        <v>-20506.5</v>
      </c>
      <c r="BO13" s="124">
        <f>IF($B13="","",IFERROR(BK13+BM13,"n.b."))</f>
        <v>1953000</v>
      </c>
      <c r="BP13" s="124">
        <f>IF($B13="","",IFERROR(BL13+BN13,"n.b."))</f>
        <v>-58590</v>
      </c>
      <c r="BQ13" s="124">
        <f>IF($B13="","",IFERROR(-AM13,"n.b."))</f>
        <v>7193550</v>
      </c>
      <c r="BR13" s="124">
        <f>IF($B13="","",IFERROR(-AO13,"n.b."))</f>
        <v>-215806.5</v>
      </c>
      <c r="BS13" s="124">
        <f>IF($B13="","",IFERROR(-Z13,"n.b."))</f>
        <v>683550</v>
      </c>
      <c r="BT13" s="124">
        <f>IF($B13="","",IFERROR(-AA13,"n.b."))</f>
        <v>-20506.5</v>
      </c>
      <c r="BU13" s="124">
        <f>IF($B13="","",IFERROR(-AE13,"n.b."))</f>
        <v>1438710</v>
      </c>
      <c r="BV13" s="124">
        <f>IF($B13="","",IFERROR(-AF13,"n.b."))</f>
        <v>-43161.3</v>
      </c>
      <c r="BW13" s="124">
        <f>IF($B13="","",IFERROR(-AG13,"n.b."))</f>
        <v>1798387</v>
      </c>
      <c r="BX13" s="124">
        <f>IF($B13="","",IFERROR(-AH13,"n.b."))</f>
        <v>-53951.61</v>
      </c>
      <c r="BY13" s="124">
        <f>IF($B13="","",IFERROR(-AI13,"n.b."))</f>
        <v>2158065</v>
      </c>
      <c r="BZ13" s="124">
        <f>IF($B13="","",IFERROR(-AJ13,"n.b."))</f>
        <v>-64741.95</v>
      </c>
      <c r="CA13" s="124">
        <f>IF($B13="","",IFERROR(-AK13,"n.b."))</f>
        <v>1798388</v>
      </c>
      <c r="CB13" s="124">
        <f>IF($B13="","",IFERROR(-AL13,"n.b."))</f>
        <v>-53951.64</v>
      </c>
      <c r="CC13" s="124">
        <f>IF($B13="","",IFERROR(-AP13,"n.b."))</f>
        <v>3873450</v>
      </c>
      <c r="CD13" s="124">
        <f>IF($B13="","",IFERROR(-AQ13,"n.b."))</f>
        <v>-116203.5</v>
      </c>
      <c r="CE13" s="124">
        <f>IF($B13="","",IFERROR(-AR13,"n.b."))</f>
        <v>0</v>
      </c>
      <c r="CF13" s="124">
        <f>IF($B13="","",IFERROR(-AS13,"n.b."))</f>
        <v>0</v>
      </c>
      <c r="CG13" s="124">
        <f>IF($B13="","",IFERROR(-AT13,"n.b."))</f>
        <v>0</v>
      </c>
      <c r="CH13" s="124">
        <f>IF($B13="","",IFERROR(-AU13,"n.b."))</f>
        <v>0</v>
      </c>
      <c r="CI13" s="124">
        <f>IF($B13="","",IFERROR(-AV13,"n.b."))</f>
        <v>0</v>
      </c>
      <c r="CJ13" s="124">
        <f>IF($B13="","",IFERROR(-AW13,"n.b."))</f>
        <v>0</v>
      </c>
      <c r="CK13" s="124">
        <f>IF($B13="","",IFERROR(-AX13,"n.b."))</f>
        <v>0</v>
      </c>
      <c r="CL13" s="124">
        <f>IF($B13="","",IFERROR(-AY13,"n.b."))</f>
        <v>0</v>
      </c>
      <c r="CM13" s="124">
        <f>IF($B13="","",IFERROR(-AZ13,"n.b."))</f>
        <v>0</v>
      </c>
      <c r="CN13" s="124">
        <f>IF($B13="","",IFERROR(-BA13,"n.b."))</f>
        <v>0</v>
      </c>
      <c r="CO13" s="124">
        <f>IF($B13="","",IFERROR(-BB13,"n.b."))</f>
        <v>0</v>
      </c>
      <c r="CP13" s="124">
        <f>IF($B13="","",IFERROR(-BC13,"n.b."))</f>
        <v>0</v>
      </c>
      <c r="CQ13" s="124">
        <f>IF($B13="","",IFERROR(-BD13,"n.b."))</f>
        <v>0</v>
      </c>
      <c r="CR13" s="124">
        <f>IF($B13="","",IFERROR(-BE13,"n.b."))</f>
        <v>0</v>
      </c>
      <c r="CS13" s="124">
        <f>IF($B13="","",IFERROR(IF(OR(ABS(T13+V13+X13+Z13-AB13)&gt;P_Tol,ABS(U13+W13+Y13+AA13-AD13)&gt;P_Tol,ABS(AE13+AG13+AI13+AK13-AM13)&gt;P_Tol,ABS(AF13+AH13+AJ13+AL13-AO13)&gt;P_Tol),1,0),1))</f>
        <v>0</v>
      </c>
      <c r="CT13" s="124">
        <f>IF($B13="","",IFERROR(IF(OR(ABS(AB13+AC13-AD13)&gt;P_Tol,ABS(AM13+AN13-AO13)&gt;P_Tol,ABS(O13+P13-Q13)&gt;P_Tol),1,0),1))</f>
        <v>0</v>
      </c>
      <c r="CU13" s="124">
        <f>IF($B13="","",IFERROR(IF(ABS(R13-(AB13+AM13+AP13+AR13+AT13+AV13+AX13+AZ13+BB13+BD13))&gt;P_Tol,1,0),1))</f>
        <v>0</v>
      </c>
      <c r="CV13" s="124">
        <f>IF($B13="","",IFERROR(IF(ABS(M13-(N13+O13+R13))&gt;P_Tol,1,0),1))</f>
        <v>0</v>
      </c>
      <c r="CW13" s="124">
        <f>IF($B13="","",IF(COUNTIF(Mapping!$A$5:$A$104,B13)&gt;0,1,0))</f>
        <v>1</v>
      </c>
      <c r="CX13" s="124">
        <f>IF($B13="","",COUNTIF($B$6:$B$505,B13))</f>
        <v>1</v>
      </c>
      <c r="CY13" s="124">
        <f>IF($B13="","",COUNTIF(STG_Woningetalage!$B$6:$B$505,B13))</f>
        <v>1</v>
      </c>
      <c r="CZ13" s="124" t="str">
        <f>IF($B13="","",IF(CW13=0,COUNTIF($CW$6:CW13,0),""))</f>
        <v/>
      </c>
    </row>
    <row r="14">
      <c r="A14" s="15" t="n">
        <v>10</v>
      </c>
      <c r="B14" t="str">
        <f>IF(B$3=0,"",IF(INDEX(SRC_ZPMW03!$A$1:$ZZ$501,$A14,B$3)&amp;""="","",INDEX(SRC_ZPMW03!$A$1:$ZZ$501,$A14,B$3)&amp;""))</f>
        <v>G.900009.8.9090</v>
      </c>
      <c r="C14" t="str">
        <f>IF($B14="","",IF(C$3=0,"n.b.",INDEX(SRC_ZPMW03!$A$1:$ZZ$501,$A14,C$3)))</f>
        <v>J</v>
      </c>
      <c r="D14">
        <f>IF($B14="","",IF(D$3=0,"n.b.",INDEX(SRC_ZPMW03!$A$1:$ZZ$501,$A14,D$3)))</f>
        <v>9901</v>
      </c>
      <c r="E14" t="str">
        <f>IF($B14="","",IF(E$3=0,"n.b.",INDEX(SRC_ZPMW03!$A$1:$ZZ$501,$A14,E$3)))</f>
        <v>Demo Ontwikkeling BV</v>
      </c>
      <c r="F14">
        <f>IF($B14="","",IF(F$3=0,"n.b.",INDEX(SRC_ZPMW03!$A$1:$ZZ$501,$A14,F$3)))</f>
        <v>9090</v>
      </c>
      <c r="G14" t="str">
        <f>IF($B14="","",IF(G$3=0,"n.b.",INDEX(SRC_ZPMW03!$A$1:$ZZ$501,$A14,G$3)))</f>
        <v>Demo Regio</v>
      </c>
      <c r="H14" t="str">
        <f>IF($B14="","",IF(H$3=0,"n.b.",INDEX(SRC_ZPMW03!$A$1:$ZZ$501,$A14,H$3)))</f>
        <v>WO-Wonen</v>
      </c>
      <c r="I14" t="str">
        <f>IF($B14="","",IF(I$3=0,"n.b.",INDEX(SRC_ZPMW03!$A$1:$ZZ$501,$A14,I$3)))</f>
        <v>G.900009</v>
      </c>
      <c r="J14" t="str">
        <f>IF($B14="","",IF(J$3=0,"n.b.",INDEX(SRC_ZPMW03!$A$1:$ZZ$501,$A14,J$3)))</f>
        <v>Duinwaard, Duinrand</v>
      </c>
      <c r="K14" t="str">
        <f>IF($B14="","",IF(K$3=0,"n.b.",INDEX(SRC_ZPMW03!$A$1:$ZZ$501,$A14,K$3)))</f>
        <v>VRIJ BLOK</v>
      </c>
      <c r="L14" s="124">
        <f>IF($B14="","",IF(L$3=0,"n.b.",INDEX(SRC_ZPMW03!$A$1:$ZZ$501,$A14,L$3)))</f>
        <v>40</v>
      </c>
      <c r="M14" s="124">
        <f>IF($B14="","",IF(M$3=0,"n.b.",INDEX(SRC_ZPMW03!$A$1:$ZZ$501,$A14,M$3)))</f>
        <v>-39600000</v>
      </c>
      <c r="N14" s="124">
        <f>IF($B14="","",IF(N$3=0,"n.b.",INDEX(SRC_ZPMW03!$A$1:$ZZ$501,$A14,N$3)))</f>
        <v>0</v>
      </c>
      <c r="O14" s="124">
        <f>IF($B14="","",IF(O$3=0,"n.b.",INDEX(SRC_ZPMW03!$A$1:$ZZ$501,$A14,O$3)))</f>
        <v>-10810800</v>
      </c>
      <c r="P14" s="124">
        <f>IF($B14="","",IF(P$3=0,"n.b.",INDEX(SRC_ZPMW03!$A$1:$ZZ$501,$A14,P$3)))</f>
        <v>9945936</v>
      </c>
      <c r="Q14" s="124">
        <f>IF($B14="","",IF(Q$3=0,"n.b.",INDEX(SRC_ZPMW03!$A$1:$ZZ$501,$A14,Q$3)))</f>
        <v>-864864</v>
      </c>
      <c r="R14" s="124">
        <f>IF($B14="","",IF(R$3=0,"n.b.",INDEX(SRC_ZPMW03!$A$1:$ZZ$501,$A14,R$3)))</f>
        <v>-28789200</v>
      </c>
      <c r="S14" s="124">
        <f>IF($B14="","",IF(S$3=0,"n.b.",INDEX(SRC_ZPMW03!$A$1:$ZZ$501,$A14,S$3)))</f>
        <v>-2303136</v>
      </c>
      <c r="T14" s="124">
        <f>IF($B14="","",IF(T$3=0,"n.b.",INDEX(SRC_ZPMW03!$A$1:$ZZ$501,$A14,T$3)))</f>
        <v>0</v>
      </c>
      <c r="U14" s="124">
        <f>IF($B14="","",IF(U$3=0,"n.b.",INDEX(SRC_ZPMW03!$A$1:$ZZ$501,$A14,U$3)))</f>
        <v>0</v>
      </c>
      <c r="V14" s="124">
        <f>IF($B14="","",IF(V$3=0,"n.b.",INDEX(SRC_ZPMW03!$A$1:$ZZ$501,$A14,V$3)))</f>
        <v>0</v>
      </c>
      <c r="W14" s="124">
        <f>IF($B14="","",IF(W$3=0,"n.b.",INDEX(SRC_ZPMW03!$A$1:$ZZ$501,$A14,W$3)))</f>
        <v>0</v>
      </c>
      <c r="X14" s="124">
        <f>IF($B14="","",IF(X$3=0,"n.b.",INDEX(SRC_ZPMW03!$A$1:$ZZ$501,$A14,X$3)))</f>
        <v>0</v>
      </c>
      <c r="Y14" s="124">
        <f>IF($B14="","",IF(Y$3=0,"n.b.",INDEX(SRC_ZPMW03!$A$1:$ZZ$501,$A14,Y$3)))</f>
        <v>0</v>
      </c>
      <c r="Z14" s="124">
        <f>IF($B14="","",IF(Z$3=0,"n.b.",INDEX(SRC_ZPMW03!$A$1:$ZZ$501,$A14,Z$3)))</f>
        <v>-5821200</v>
      </c>
      <c r="AA14" s="124">
        <f>IF($B14="","",IF(AA$3=0,"n.b.",INDEX(SRC_ZPMW03!$A$1:$ZZ$501,$A14,AA$3)))</f>
        <v>-465696</v>
      </c>
      <c r="AB14" s="124">
        <f>IF($B14="","",IF(AB$3=0,"n.b.",INDEX(SRC_ZPMW03!$A$1:$ZZ$501,$A14,AB$3)))</f>
        <v>-5821200</v>
      </c>
      <c r="AC14" s="124">
        <f>IF($B14="","",IF(AC$3=0,"n.b.",INDEX(SRC_ZPMW03!$A$1:$ZZ$501,$A14,AC$3)))</f>
        <v>5355504</v>
      </c>
      <c r="AD14" s="124">
        <f>IF($B14="","",IF(AD$3=0,"n.b.",INDEX(SRC_ZPMW03!$A$1:$ZZ$501,$A14,AD$3)))</f>
        <v>-465696</v>
      </c>
      <c r="AE14" s="124">
        <f>IF($B14="","",IF(AE$3=0,"n.b.",INDEX(SRC_ZPMW03!$A$1:$ZZ$501,$A14,AE$3)))</f>
        <v>-2985840</v>
      </c>
      <c r="AF14" s="124">
        <f>IF($B14="","",IF(AF$3=0,"n.b.",INDEX(SRC_ZPMW03!$A$1:$ZZ$501,$A14,AF$3)))</f>
        <v>-238867.2</v>
      </c>
      <c r="AG14" s="124">
        <f>IF($B14="","",IF(AG$3=0,"n.b.",INDEX(SRC_ZPMW03!$A$1:$ZZ$501,$A14,AG$3)))</f>
        <v>-3732300</v>
      </c>
      <c r="AH14" s="124">
        <f>IF($B14="","",IF(AH$3=0,"n.b.",INDEX(SRC_ZPMW03!$A$1:$ZZ$501,$A14,AH$3)))</f>
        <v>-298584</v>
      </c>
      <c r="AI14" s="124">
        <f>IF($B14="","",IF(AI$3=0,"n.b.",INDEX(SRC_ZPMW03!$A$1:$ZZ$501,$A14,AI$3)))</f>
        <v>-4478760</v>
      </c>
      <c r="AJ14" s="124">
        <f>IF($B14="","",IF(AJ$3=0,"n.b.",INDEX(SRC_ZPMW03!$A$1:$ZZ$501,$A14,AJ$3)))</f>
        <v>-358300.8</v>
      </c>
      <c r="AK14" s="124">
        <f>IF($B14="","",IF(AK$3=0,"n.b.",INDEX(SRC_ZPMW03!$A$1:$ZZ$501,$A14,AK$3)))</f>
        <v>-3732300</v>
      </c>
      <c r="AL14" s="124">
        <f>IF($B14="","",IF(AL$3=0,"n.b.",INDEX(SRC_ZPMW03!$A$1:$ZZ$501,$A14,AL$3)))</f>
        <v>-298584</v>
      </c>
      <c r="AM14" s="124">
        <f>IF($B14="","",IF(AM$3=0,"n.b.",INDEX(SRC_ZPMW03!$A$1:$ZZ$501,$A14,AM$3)))</f>
        <v>-14929200</v>
      </c>
      <c r="AN14" s="124">
        <f>IF($B14="","",IF(AN$3=0,"n.b.",INDEX(SRC_ZPMW03!$A$1:$ZZ$501,$A14,AN$3)))</f>
        <v>13734864</v>
      </c>
      <c r="AO14" s="124">
        <f>IF($B14="","",IF(AO$3=0,"n.b.",INDEX(SRC_ZPMW03!$A$1:$ZZ$501,$A14,AO$3)))</f>
        <v>-1194336</v>
      </c>
      <c r="AP14" s="124">
        <f>IF($B14="","",IF(AP$3=0,"n.b.",INDEX(SRC_ZPMW03!$A$1:$ZZ$501,$A14,AP$3)))</f>
        <v>-8038800</v>
      </c>
      <c r="AQ14" s="124">
        <f>IF($B14="","",IF(AQ$3=0,"n.b.",INDEX(SRC_ZPMW03!$A$1:$ZZ$501,$A14,AQ$3)))</f>
        <v>-643104</v>
      </c>
      <c r="AR14" s="124">
        <f>IF($B14="","",IF(AR$3=0,"n.b.",INDEX(SRC_ZPMW03!$A$1:$ZZ$501,$A14,AR$3)))</f>
        <v>0</v>
      </c>
      <c r="AS14" s="124">
        <f>IF($B14="","",IF(AS$3=0,"n.b.",INDEX(SRC_ZPMW03!$A$1:$ZZ$501,$A14,AS$3)))</f>
        <v>0</v>
      </c>
      <c r="AT14" s="124">
        <f>IF($B14="","",IF(AT$3=0,"n.b.",INDEX(SRC_ZPMW03!$A$1:$ZZ$501,$A14,AT$3)))</f>
        <v>0</v>
      </c>
      <c r="AU14" s="124">
        <f>IF($B14="","",IF(AU$3=0,"n.b.",INDEX(SRC_ZPMW03!$A$1:$ZZ$501,$A14,AU$3)))</f>
        <v>0</v>
      </c>
      <c r="AV14" s="124">
        <f>IF($B14="","",IF(AV$3=0,"n.b.",INDEX(SRC_ZPMW03!$A$1:$ZZ$501,$A14,AV$3)))</f>
        <v>0</v>
      </c>
      <c r="AW14" s="124">
        <f>IF($B14="","",IF(AW$3=0,"n.b.",INDEX(SRC_ZPMW03!$A$1:$ZZ$501,$A14,AW$3)))</f>
        <v>0</v>
      </c>
      <c r="AX14" s="124">
        <f>IF($B14="","",IF(AX$3=0,"n.b.",INDEX(SRC_ZPMW03!$A$1:$ZZ$501,$A14,AX$3)))</f>
        <v>0</v>
      </c>
      <c r="AY14" s="124">
        <f>IF($B14="","",IF(AY$3=0,"n.b.",INDEX(SRC_ZPMW03!$A$1:$ZZ$501,$A14,AY$3)))</f>
        <v>0</v>
      </c>
      <c r="AZ14" s="124">
        <f>IF($B14="","",IF(AZ$3=0,"n.b.",INDEX(SRC_ZPMW03!$A$1:$ZZ$501,$A14,AZ$3)))</f>
        <v>0</v>
      </c>
      <c r="BA14" s="124">
        <f>IF($B14="","",IF(BA$3=0,"n.b.",INDEX(SRC_ZPMW03!$A$1:$ZZ$501,$A14,BA$3)))</f>
        <v>0</v>
      </c>
      <c r="BB14" s="124">
        <f>IF($B14="","",IF(BB$3=0,"n.b.",INDEX(SRC_ZPMW03!$A$1:$ZZ$501,$A14,BB$3)))</f>
        <v>0</v>
      </c>
      <c r="BC14" s="124">
        <f>IF($B14="","",IF(BC$3=0,"n.b.",INDEX(SRC_ZPMW03!$A$1:$ZZ$501,$A14,BC$3)))</f>
        <v>0</v>
      </c>
      <c r="BD14" s="124">
        <f>IF($B14="","",IF(BD$3=0,"n.b.",INDEX(SRC_ZPMW03!$A$1:$ZZ$501,$A14,BD$3)))</f>
        <v>0</v>
      </c>
      <c r="BE14" s="124">
        <f>IF($B14="","",IF(BE$3=0,"n.b.",INDEX(SRC_ZPMW03!$A$1:$ZZ$501,$A14,BE$3)))</f>
        <v>0</v>
      </c>
      <c r="BF14" s="124">
        <f>IF($B14="","",IF(BF$3=0,"n.b.",INDEX(SRC_ZPMW03!$A$1:$ZZ$501,$A14,BF$3)))</f>
        <v>27.3</v>
      </c>
      <c r="BG14">
        <f>IF($B14="","",IF(BG$3=0,"n.b.",INDEX(SRC_ZPMW03!$A$1:$ZZ$501,$A14,BG$3)))</f>
        <v>46266.0</v>
      </c>
      <c r="BH14">
        <f>IF($B14="","",IF(BH$3=0,"n.b.",INDEX(SRC_ZPMW03!$A$1:$ZZ$501,$A14,BH$3)))</f>
        <v>46266.0</v>
      </c>
      <c r="BI14">
        <f>IF($B14="","",IF(BI$3=0,"n.b.",INDEX(SRC_ZPMW03!$A$1:$ZZ$501,$A14,BI$3)))</f>
        <v>202812</v>
      </c>
      <c r="BJ14">
        <f>IF($B14="","",IF(BJ$3=0,"n.b.",INDEX(SRC_ZPMW03!$A$1:$ZZ$501,$A14,BJ$3)))</f>
        <v>3</v>
      </c>
      <c r="BK14" s="124">
        <f>IF($B14="","",IFERROR(-O14,"n.b."))</f>
        <v>10810800</v>
      </c>
      <c r="BL14" s="124">
        <f>IF($B14="","",IFERROR(-Q14,"n.b."))</f>
        <v>864864</v>
      </c>
      <c r="BM14" s="124">
        <f>IF($B14="","",IFERROR(-AB14,"n.b."))</f>
        <v>5821200</v>
      </c>
      <c r="BN14" s="124">
        <f>IF($B14="","",IFERROR(-AD14,"n.b."))</f>
        <v>465696</v>
      </c>
      <c r="BO14" s="124">
        <f>IF($B14="","",IFERROR(BK14+BM14,"n.b."))</f>
        <v>16632000</v>
      </c>
      <c r="BP14" s="124">
        <f>IF($B14="","",IFERROR(BL14+BN14,"n.b."))</f>
        <v>1330560</v>
      </c>
      <c r="BQ14" s="124">
        <f>IF($B14="","",IFERROR(-AM14,"n.b."))</f>
        <v>14929200</v>
      </c>
      <c r="BR14" s="124">
        <f>IF($B14="","",IFERROR(-AO14,"n.b."))</f>
        <v>1194336</v>
      </c>
      <c r="BS14" s="124">
        <f>IF($B14="","",IFERROR(-Z14,"n.b."))</f>
        <v>5821200</v>
      </c>
      <c r="BT14" s="124">
        <f>IF($B14="","",IFERROR(-AA14,"n.b."))</f>
        <v>465696</v>
      </c>
      <c r="BU14" s="124">
        <f>IF($B14="","",IFERROR(-AE14,"n.b."))</f>
        <v>2985840</v>
      </c>
      <c r="BV14" s="124">
        <f>IF($B14="","",IFERROR(-AF14,"n.b."))</f>
        <v>238867.2</v>
      </c>
      <c r="BW14" s="124">
        <f>IF($B14="","",IFERROR(-AG14,"n.b."))</f>
        <v>3732300</v>
      </c>
      <c r="BX14" s="124">
        <f>IF($B14="","",IFERROR(-AH14,"n.b."))</f>
        <v>298584</v>
      </c>
      <c r="BY14" s="124">
        <f>IF($B14="","",IFERROR(-AI14,"n.b."))</f>
        <v>4478760</v>
      </c>
      <c r="BZ14" s="124">
        <f>IF($B14="","",IFERROR(-AJ14,"n.b."))</f>
        <v>358300.8</v>
      </c>
      <c r="CA14" s="124">
        <f>IF($B14="","",IFERROR(-AK14,"n.b."))</f>
        <v>3732300</v>
      </c>
      <c r="CB14" s="124">
        <f>IF($B14="","",IFERROR(-AL14,"n.b."))</f>
        <v>298584</v>
      </c>
      <c r="CC14" s="124">
        <f>IF($B14="","",IFERROR(-AP14,"n.b."))</f>
        <v>8038800</v>
      </c>
      <c r="CD14" s="124">
        <f>IF($B14="","",IFERROR(-AQ14,"n.b."))</f>
        <v>643104</v>
      </c>
      <c r="CE14" s="124">
        <f>IF($B14="","",IFERROR(-AR14,"n.b."))</f>
        <v>0</v>
      </c>
      <c r="CF14" s="124">
        <f>IF($B14="","",IFERROR(-AS14,"n.b."))</f>
        <v>0</v>
      </c>
      <c r="CG14" s="124">
        <f>IF($B14="","",IFERROR(-AT14,"n.b."))</f>
        <v>0</v>
      </c>
      <c r="CH14" s="124">
        <f>IF($B14="","",IFERROR(-AU14,"n.b."))</f>
        <v>0</v>
      </c>
      <c r="CI14" s="124">
        <f>IF($B14="","",IFERROR(-AV14,"n.b."))</f>
        <v>0</v>
      </c>
      <c r="CJ14" s="124">
        <f>IF($B14="","",IFERROR(-AW14,"n.b."))</f>
        <v>0</v>
      </c>
      <c r="CK14" s="124">
        <f>IF($B14="","",IFERROR(-AX14,"n.b."))</f>
        <v>0</v>
      </c>
      <c r="CL14" s="124">
        <f>IF($B14="","",IFERROR(-AY14,"n.b."))</f>
        <v>0</v>
      </c>
      <c r="CM14" s="124">
        <f>IF($B14="","",IFERROR(-AZ14,"n.b."))</f>
        <v>0</v>
      </c>
      <c r="CN14" s="124">
        <f>IF($B14="","",IFERROR(-BA14,"n.b."))</f>
        <v>0</v>
      </c>
      <c r="CO14" s="124">
        <f>IF($B14="","",IFERROR(-BB14,"n.b."))</f>
        <v>0</v>
      </c>
      <c r="CP14" s="124">
        <f>IF($B14="","",IFERROR(-BC14,"n.b."))</f>
        <v>0</v>
      </c>
      <c r="CQ14" s="124">
        <f>IF($B14="","",IFERROR(-BD14,"n.b."))</f>
        <v>0</v>
      </c>
      <c r="CR14" s="124">
        <f>IF($B14="","",IFERROR(-BE14,"n.b."))</f>
        <v>0</v>
      </c>
      <c r="CS14" s="124">
        <f>IF($B14="","",IFERROR(IF(OR(ABS(T14+V14+X14+Z14-AB14)&gt;P_Tol,ABS(U14+W14+Y14+AA14-AD14)&gt;P_Tol,ABS(AE14+AG14+AI14+AK14-AM14)&gt;P_Tol,ABS(AF14+AH14+AJ14+AL14-AO14)&gt;P_Tol),1,0),1))</f>
        <v>0</v>
      </c>
      <c r="CT14" s="124">
        <f>IF($B14="","",IFERROR(IF(OR(ABS(AB14+AC14-AD14)&gt;P_Tol,ABS(AM14+AN14-AO14)&gt;P_Tol,ABS(O14+P14-Q14)&gt;P_Tol),1,0),1))</f>
        <v>0</v>
      </c>
      <c r="CU14" s="124">
        <f>IF($B14="","",IFERROR(IF(ABS(R14-(AB14+AM14+AP14+AR14+AT14+AV14+AX14+AZ14+BB14+BD14))&gt;P_Tol,1,0),1))</f>
        <v>0</v>
      </c>
      <c r="CV14" s="124">
        <f>IF($B14="","",IFERROR(IF(ABS(M14-(N14+O14+R14))&gt;P_Tol,1,0),1))</f>
        <v>0</v>
      </c>
      <c r="CW14" s="124">
        <f>IF($B14="","",IF(COUNTIF(Mapping!$A$5:$A$104,B14)&gt;0,1,0))</f>
        <v>1</v>
      </c>
      <c r="CX14" s="124">
        <f>IF($B14="","",COUNTIF($B$6:$B$505,B14))</f>
        <v>1</v>
      </c>
      <c r="CY14" s="124">
        <f>IF($B14="","",COUNTIF(STG_Woningetalage!$B$6:$B$505,B14))</f>
        <v>1</v>
      </c>
      <c r="CZ14" s="124" t="str">
        <f>IF($B14="","",IF(CW14=0,COUNTIF($CW$6:CW14,0),""))</f>
        <v/>
      </c>
    </row>
    <row r="15">
      <c r="A15" s="15" t="n">
        <v>11</v>
      </c>
      <c r="B15" t="str">
        <f>IF(B$3=0,"",IF(INDEX(SRC_ZPMW03!$A$1:$ZZ$501,$A15,B$3)&amp;""="","",INDEX(SRC_ZPMW03!$A$1:$ZZ$501,$A15,B$3)&amp;""))</f>
        <v>G.900010.8.9090</v>
      </c>
      <c r="C15" t="str">
        <f>IF($B15="","",IF(C$3=0,"n.b.",INDEX(SRC_ZPMW03!$A$1:$ZZ$501,$A15,C$3)))</f>
        <v>J</v>
      </c>
      <c r="D15">
        <f>IF($B15="","",IF(D$3=0,"n.b.",INDEX(SRC_ZPMW03!$A$1:$ZZ$501,$A15,D$3)))</f>
        <v>9901</v>
      </c>
      <c r="E15" t="str">
        <f>IF($B15="","",IF(E$3=0,"n.b.",INDEX(SRC_ZPMW03!$A$1:$ZZ$501,$A15,E$3)))</f>
        <v>Demo Ontwikkeling BV</v>
      </c>
      <c r="F15">
        <f>IF($B15="","",IF(F$3=0,"n.b.",INDEX(SRC_ZPMW03!$A$1:$ZZ$501,$A15,F$3)))</f>
        <v>9090</v>
      </c>
      <c r="G15" t="str">
        <f>IF($B15="","",IF(G$3=0,"n.b.",INDEX(SRC_ZPMW03!$A$1:$ZZ$501,$A15,G$3)))</f>
        <v>Demo Regio</v>
      </c>
      <c r="H15" t="str">
        <f>IF($B15="","",IF(H$3=0,"n.b.",INDEX(SRC_ZPMW03!$A$1:$ZZ$501,$A15,H$3)))</f>
        <v>WO-Wonen</v>
      </c>
      <c r="I15" t="str">
        <f>IF($B15="","",IF(I$3=0,"n.b.",INDEX(SRC_ZPMW03!$A$1:$ZZ$501,$A15,I$3)))</f>
        <v>G.900010</v>
      </c>
      <c r="J15" t="str">
        <f>IF($B15="","",IF(J$3=0,"n.b.",INDEX(SRC_ZPMW03!$A$1:$ZZ$501,$A15,J$3)))</f>
        <v>Veldendam, Groene Singel</v>
      </c>
      <c r="K15" t="str">
        <f>IF($B15="","",IF(K$3=0,"n.b.",INDEX(SRC_ZPMW03!$A$1:$ZZ$501,$A15,K$3)))</f>
        <v>VRIJ BLOK</v>
      </c>
      <c r="L15" s="124">
        <f>IF($B15="","",IF(L$3=0,"n.b.",INDEX(SRC_ZPMW03!$A$1:$ZZ$501,$A15,L$3)))</f>
        <v>20</v>
      </c>
      <c r="M15" s="124">
        <f>IF($B15="","",IF(M$3=0,"n.b.",INDEX(SRC_ZPMW03!$A$1:$ZZ$501,$A15,M$3)))</f>
        <v>-31320000</v>
      </c>
      <c r="N15" s="124">
        <f>IF($B15="","",IF(N$3=0,"n.b.",INDEX(SRC_ZPMW03!$A$1:$ZZ$501,$A15,N$3)))</f>
        <v>0</v>
      </c>
      <c r="O15" s="124">
        <f>IF($B15="","",IF(O$3=0,"n.b.",INDEX(SRC_ZPMW03!$A$1:$ZZ$501,$A15,O$3)))</f>
        <v>-2035800</v>
      </c>
      <c r="P15" s="124">
        <f>IF($B15="","",IF(P$3=0,"n.b.",INDEX(SRC_ZPMW03!$A$1:$ZZ$501,$A15,P$3)))</f>
        <v>1771146</v>
      </c>
      <c r="Q15" s="124">
        <f>IF($B15="","",IF(Q$3=0,"n.b.",INDEX(SRC_ZPMW03!$A$1:$ZZ$501,$A15,Q$3)))</f>
        <v>-264654</v>
      </c>
      <c r="R15" s="124">
        <f>IF($B15="","",IF(R$3=0,"n.b.",INDEX(SRC_ZPMW03!$A$1:$ZZ$501,$A15,R$3)))</f>
        <v>-29284200</v>
      </c>
      <c r="S15" s="124">
        <f>IF($B15="","",IF(S$3=0,"n.b.",INDEX(SRC_ZPMW03!$A$1:$ZZ$501,$A15,S$3)))</f>
        <v>-3806946</v>
      </c>
      <c r="T15" s="124">
        <f>IF($B15="","",IF(T$3=0,"n.b.",INDEX(SRC_ZPMW03!$A$1:$ZZ$501,$A15,T$3)))</f>
        <v>0</v>
      </c>
      <c r="U15" s="124">
        <f>IF($B15="","",IF(U$3=0,"n.b.",INDEX(SRC_ZPMW03!$A$1:$ZZ$501,$A15,U$3)))</f>
        <v>0</v>
      </c>
      <c r="V15" s="124">
        <f>IF($B15="","",IF(V$3=0,"n.b.",INDEX(SRC_ZPMW03!$A$1:$ZZ$501,$A15,V$3)))</f>
        <v>0</v>
      </c>
      <c r="W15" s="124">
        <f>IF($B15="","",IF(W$3=0,"n.b.",INDEX(SRC_ZPMW03!$A$1:$ZZ$501,$A15,W$3)))</f>
        <v>0</v>
      </c>
      <c r="X15" s="124">
        <f>IF($B15="","",IF(X$3=0,"n.b.",INDEX(SRC_ZPMW03!$A$1:$ZZ$501,$A15,X$3)))</f>
        <v>0</v>
      </c>
      <c r="Y15" s="124">
        <f>IF($B15="","",IF(Y$3=0,"n.b.",INDEX(SRC_ZPMW03!$A$1:$ZZ$501,$A15,Y$3)))</f>
        <v>0</v>
      </c>
      <c r="Z15" s="124">
        <f>IF($B15="","",IF(Z$3=0,"n.b.",INDEX(SRC_ZPMW03!$A$1:$ZZ$501,$A15,Z$3)))</f>
        <v>-1096200</v>
      </c>
      <c r="AA15" s="124">
        <f>IF($B15="","",IF(AA$3=0,"n.b.",INDEX(SRC_ZPMW03!$A$1:$ZZ$501,$A15,AA$3)))</f>
        <v>-142506</v>
      </c>
      <c r="AB15" s="124">
        <f>IF($B15="","",IF(AB$3=0,"n.b.",INDEX(SRC_ZPMW03!$A$1:$ZZ$501,$A15,AB$3)))</f>
        <v>-1096200</v>
      </c>
      <c r="AC15" s="124">
        <f>IF($B15="","",IF(AC$3=0,"n.b.",INDEX(SRC_ZPMW03!$A$1:$ZZ$501,$A15,AC$3)))</f>
        <v>953694</v>
      </c>
      <c r="AD15" s="124">
        <f>IF($B15="","",IF(AD$3=0,"n.b.",INDEX(SRC_ZPMW03!$A$1:$ZZ$501,$A15,AD$3)))</f>
        <v>-142506</v>
      </c>
      <c r="AE15" s="124">
        <f>IF($B15="","",IF(AE$3=0,"n.b.",INDEX(SRC_ZPMW03!$A$1:$ZZ$501,$A15,AE$3)))</f>
        <v>-3664440</v>
      </c>
      <c r="AF15" s="124">
        <f>IF($B15="","",IF(AF$3=0,"n.b.",INDEX(SRC_ZPMW03!$A$1:$ZZ$501,$A15,AF$3)))</f>
        <v>-476377.2</v>
      </c>
      <c r="AG15" s="124">
        <f>IF($B15="","",IF(AG$3=0,"n.b.",INDEX(SRC_ZPMW03!$A$1:$ZZ$501,$A15,AG$3)))</f>
        <v>-4580550</v>
      </c>
      <c r="AH15" s="124">
        <f>IF($B15="","",IF(AH$3=0,"n.b.",INDEX(SRC_ZPMW03!$A$1:$ZZ$501,$A15,AH$3)))</f>
        <v>-595471.5</v>
      </c>
      <c r="AI15" s="124">
        <f>IF($B15="","",IF(AI$3=0,"n.b.",INDEX(SRC_ZPMW03!$A$1:$ZZ$501,$A15,AI$3)))</f>
        <v>-5496660</v>
      </c>
      <c r="AJ15" s="124">
        <f>IF($B15="","",IF(AJ$3=0,"n.b.",INDEX(SRC_ZPMW03!$A$1:$ZZ$501,$A15,AJ$3)))</f>
        <v>-714565.8</v>
      </c>
      <c r="AK15" s="124">
        <f>IF($B15="","",IF(AK$3=0,"n.b.",INDEX(SRC_ZPMW03!$A$1:$ZZ$501,$A15,AK$3)))</f>
        <v>-4580550</v>
      </c>
      <c r="AL15" s="124">
        <f>IF($B15="","",IF(AL$3=0,"n.b.",INDEX(SRC_ZPMW03!$A$1:$ZZ$501,$A15,AL$3)))</f>
        <v>-595471.5</v>
      </c>
      <c r="AM15" s="124">
        <f>IF($B15="","",IF(AM$3=0,"n.b.",INDEX(SRC_ZPMW03!$A$1:$ZZ$501,$A15,AM$3)))</f>
        <v>-18322200</v>
      </c>
      <c r="AN15" s="124">
        <f>IF($B15="","",IF(AN$3=0,"n.b.",INDEX(SRC_ZPMW03!$A$1:$ZZ$501,$A15,AN$3)))</f>
        <v>15940314</v>
      </c>
      <c r="AO15" s="124">
        <f>IF($B15="","",IF(AO$3=0,"n.b.",INDEX(SRC_ZPMW03!$A$1:$ZZ$501,$A15,AO$3)))</f>
        <v>-2381886</v>
      </c>
      <c r="AP15" s="124">
        <f>IF($B15="","",IF(AP$3=0,"n.b.",INDEX(SRC_ZPMW03!$A$1:$ZZ$501,$A15,AP$3)))</f>
        <v>-9865800</v>
      </c>
      <c r="AQ15" s="124">
        <f>IF($B15="","",IF(AQ$3=0,"n.b.",INDEX(SRC_ZPMW03!$A$1:$ZZ$501,$A15,AQ$3)))</f>
        <v>-1282554</v>
      </c>
      <c r="AR15" s="124">
        <f>IF($B15="","",IF(AR$3=0,"n.b.",INDEX(SRC_ZPMW03!$A$1:$ZZ$501,$A15,AR$3)))</f>
        <v>0</v>
      </c>
      <c r="AS15" s="124">
        <f>IF($B15="","",IF(AS$3=0,"n.b.",INDEX(SRC_ZPMW03!$A$1:$ZZ$501,$A15,AS$3)))</f>
        <v>0</v>
      </c>
      <c r="AT15" s="124">
        <f>IF($B15="","",IF(AT$3=0,"n.b.",INDEX(SRC_ZPMW03!$A$1:$ZZ$501,$A15,AT$3)))</f>
        <v>0</v>
      </c>
      <c r="AU15" s="124">
        <f>IF($B15="","",IF(AU$3=0,"n.b.",INDEX(SRC_ZPMW03!$A$1:$ZZ$501,$A15,AU$3)))</f>
        <v>0</v>
      </c>
      <c r="AV15" s="124">
        <f>IF($B15="","",IF(AV$3=0,"n.b.",INDEX(SRC_ZPMW03!$A$1:$ZZ$501,$A15,AV$3)))</f>
        <v>0</v>
      </c>
      <c r="AW15" s="124">
        <f>IF($B15="","",IF(AW$3=0,"n.b.",INDEX(SRC_ZPMW03!$A$1:$ZZ$501,$A15,AW$3)))</f>
        <v>0</v>
      </c>
      <c r="AX15" s="124">
        <f>IF($B15="","",IF(AX$3=0,"n.b.",INDEX(SRC_ZPMW03!$A$1:$ZZ$501,$A15,AX$3)))</f>
        <v>0</v>
      </c>
      <c r="AY15" s="124">
        <f>IF($B15="","",IF(AY$3=0,"n.b.",INDEX(SRC_ZPMW03!$A$1:$ZZ$501,$A15,AY$3)))</f>
        <v>0</v>
      </c>
      <c r="AZ15" s="124">
        <f>IF($B15="","",IF(AZ$3=0,"n.b.",INDEX(SRC_ZPMW03!$A$1:$ZZ$501,$A15,AZ$3)))</f>
        <v>0</v>
      </c>
      <c r="BA15" s="124">
        <f>IF($B15="","",IF(BA$3=0,"n.b.",INDEX(SRC_ZPMW03!$A$1:$ZZ$501,$A15,BA$3)))</f>
        <v>0</v>
      </c>
      <c r="BB15" s="124">
        <f>IF($B15="","",IF(BB$3=0,"n.b.",INDEX(SRC_ZPMW03!$A$1:$ZZ$501,$A15,BB$3)))</f>
        <v>0</v>
      </c>
      <c r="BC15" s="124">
        <f>IF($B15="","",IF(BC$3=0,"n.b.",INDEX(SRC_ZPMW03!$A$1:$ZZ$501,$A15,BC$3)))</f>
        <v>0</v>
      </c>
      <c r="BD15" s="124">
        <f>IF($B15="","",IF(BD$3=0,"n.b.",INDEX(SRC_ZPMW03!$A$1:$ZZ$501,$A15,BD$3)))</f>
        <v>0</v>
      </c>
      <c r="BE15" s="124">
        <f>IF($B15="","",IF(BE$3=0,"n.b.",INDEX(SRC_ZPMW03!$A$1:$ZZ$501,$A15,BE$3)))</f>
        <v>0</v>
      </c>
      <c r="BF15" s="124">
        <f>IF($B15="","",IF(BF$3=0,"n.b.",INDEX(SRC_ZPMW03!$A$1:$ZZ$501,$A15,BF$3)))</f>
        <v>6.5</v>
      </c>
      <c r="BG15">
        <f>IF($B15="","",IF(BG$3=0,"n.b.",INDEX(SRC_ZPMW03!$A$1:$ZZ$501,$A15,BG$3)))</f>
        <v>46023.0</v>
      </c>
      <c r="BH15">
        <f>IF($B15="","",IF(BH$3=0,"n.b.",INDEX(SRC_ZPMW03!$A$1:$ZZ$501,$A15,BH$3)))</f>
        <v>46023.0</v>
      </c>
      <c r="BI15">
        <f>IF($B15="","",IF(BI$3=0,"n.b.",INDEX(SRC_ZPMW03!$A$1:$ZZ$501,$A15,BI$3)))</f>
        <v>202812</v>
      </c>
      <c r="BJ15">
        <f>IF($B15="","",IF(BJ$3=0,"n.b.",INDEX(SRC_ZPMW03!$A$1:$ZZ$501,$A15,BJ$3)))</f>
        <v>1</v>
      </c>
      <c r="BK15" s="124">
        <f>IF($B15="","",IFERROR(-O15,"n.b."))</f>
        <v>2035800</v>
      </c>
      <c r="BL15" s="124">
        <f>IF($B15="","",IFERROR(-Q15,"n.b."))</f>
        <v>264654</v>
      </c>
      <c r="BM15" s="124">
        <f>IF($B15="","",IFERROR(-AB15,"n.b."))</f>
        <v>1096200</v>
      </c>
      <c r="BN15" s="124">
        <f>IF($B15="","",IFERROR(-AD15,"n.b."))</f>
        <v>142506</v>
      </c>
      <c r="BO15" s="124">
        <f>IF($B15="","",IFERROR(BK15+BM15,"n.b."))</f>
        <v>3132000</v>
      </c>
      <c r="BP15" s="124">
        <f>IF($B15="","",IFERROR(BL15+BN15,"n.b."))</f>
        <v>407160</v>
      </c>
      <c r="BQ15" s="124">
        <f>IF($B15="","",IFERROR(-AM15,"n.b."))</f>
        <v>18322200</v>
      </c>
      <c r="BR15" s="124">
        <f>IF($B15="","",IFERROR(-AO15,"n.b."))</f>
        <v>2381886</v>
      </c>
      <c r="BS15" s="124">
        <f>IF($B15="","",IFERROR(-Z15,"n.b."))</f>
        <v>1096200</v>
      </c>
      <c r="BT15" s="124">
        <f>IF($B15="","",IFERROR(-AA15,"n.b."))</f>
        <v>142506</v>
      </c>
      <c r="BU15" s="124">
        <f>IF($B15="","",IFERROR(-AE15,"n.b."))</f>
        <v>3664440</v>
      </c>
      <c r="BV15" s="124">
        <f>IF($B15="","",IFERROR(-AF15,"n.b."))</f>
        <v>476377.2</v>
      </c>
      <c r="BW15" s="124">
        <f>IF($B15="","",IFERROR(-AG15,"n.b."))</f>
        <v>4580550</v>
      </c>
      <c r="BX15" s="124">
        <f>IF($B15="","",IFERROR(-AH15,"n.b."))</f>
        <v>595471.5</v>
      </c>
      <c r="BY15" s="124">
        <f>IF($B15="","",IFERROR(-AI15,"n.b."))</f>
        <v>5496660</v>
      </c>
      <c r="BZ15" s="124">
        <f>IF($B15="","",IFERROR(-AJ15,"n.b."))</f>
        <v>714565.8</v>
      </c>
      <c r="CA15" s="124">
        <f>IF($B15="","",IFERROR(-AK15,"n.b."))</f>
        <v>4580550</v>
      </c>
      <c r="CB15" s="124">
        <f>IF($B15="","",IFERROR(-AL15,"n.b."))</f>
        <v>595471.5</v>
      </c>
      <c r="CC15" s="124">
        <f>IF($B15="","",IFERROR(-AP15,"n.b."))</f>
        <v>9865800</v>
      </c>
      <c r="CD15" s="124">
        <f>IF($B15="","",IFERROR(-AQ15,"n.b."))</f>
        <v>1282554</v>
      </c>
      <c r="CE15" s="124">
        <f>IF($B15="","",IFERROR(-AR15,"n.b."))</f>
        <v>0</v>
      </c>
      <c r="CF15" s="124">
        <f>IF($B15="","",IFERROR(-AS15,"n.b."))</f>
        <v>0</v>
      </c>
      <c r="CG15" s="124">
        <f>IF($B15="","",IFERROR(-AT15,"n.b."))</f>
        <v>0</v>
      </c>
      <c r="CH15" s="124">
        <f>IF($B15="","",IFERROR(-AU15,"n.b."))</f>
        <v>0</v>
      </c>
      <c r="CI15" s="124">
        <f>IF($B15="","",IFERROR(-AV15,"n.b."))</f>
        <v>0</v>
      </c>
      <c r="CJ15" s="124">
        <f>IF($B15="","",IFERROR(-AW15,"n.b."))</f>
        <v>0</v>
      </c>
      <c r="CK15" s="124">
        <f>IF($B15="","",IFERROR(-AX15,"n.b."))</f>
        <v>0</v>
      </c>
      <c r="CL15" s="124">
        <f>IF($B15="","",IFERROR(-AY15,"n.b."))</f>
        <v>0</v>
      </c>
      <c r="CM15" s="124">
        <f>IF($B15="","",IFERROR(-AZ15,"n.b."))</f>
        <v>0</v>
      </c>
      <c r="CN15" s="124">
        <f>IF($B15="","",IFERROR(-BA15,"n.b."))</f>
        <v>0</v>
      </c>
      <c r="CO15" s="124">
        <f>IF($B15="","",IFERROR(-BB15,"n.b."))</f>
        <v>0</v>
      </c>
      <c r="CP15" s="124">
        <f>IF($B15="","",IFERROR(-BC15,"n.b."))</f>
        <v>0</v>
      </c>
      <c r="CQ15" s="124">
        <f>IF($B15="","",IFERROR(-BD15,"n.b."))</f>
        <v>0</v>
      </c>
      <c r="CR15" s="124">
        <f>IF($B15="","",IFERROR(-BE15,"n.b."))</f>
        <v>0</v>
      </c>
      <c r="CS15" s="124">
        <f>IF($B15="","",IFERROR(IF(OR(ABS(T15+V15+X15+Z15-AB15)&gt;P_Tol,ABS(U15+W15+Y15+AA15-AD15)&gt;P_Tol,ABS(AE15+AG15+AI15+AK15-AM15)&gt;P_Tol,ABS(AF15+AH15+AJ15+AL15-AO15)&gt;P_Tol),1,0),1))</f>
        <v>0</v>
      </c>
      <c r="CT15" s="124">
        <f>IF($B15="","",IFERROR(IF(OR(ABS(AB15+AC15-AD15)&gt;P_Tol,ABS(AM15+AN15-AO15)&gt;P_Tol,ABS(O15+P15-Q15)&gt;P_Tol),1,0),1))</f>
        <v>0</v>
      </c>
      <c r="CU15" s="124">
        <f>IF($B15="","",IFERROR(IF(ABS(R15-(AB15+AM15+AP15+AR15+AT15+AV15+AX15+AZ15+BB15+BD15))&gt;P_Tol,1,0),1))</f>
        <v>0</v>
      </c>
      <c r="CV15" s="124">
        <f>IF($B15="","",IFERROR(IF(ABS(M15-(N15+O15+R15))&gt;P_Tol,1,0),1))</f>
        <v>0</v>
      </c>
      <c r="CW15" s="124">
        <f>IF($B15="","",IF(COUNTIF(Mapping!$A$5:$A$104,B15)&gt;0,1,0))</f>
        <v>1</v>
      </c>
      <c r="CX15" s="124">
        <f>IF($B15="","",COUNTIF($B$6:$B$505,B15))</f>
        <v>1</v>
      </c>
      <c r="CY15" s="124">
        <f>IF($B15="","",COUNTIF(STG_Woningetalage!$B$6:$B$505,B15))</f>
        <v>1</v>
      </c>
      <c r="CZ15" s="124" t="str">
        <f>IF($B15="","",IF(CW15=0,COUNTIF($CW$6:CW15,0),""))</f>
        <v/>
      </c>
    </row>
    <row r="16">
      <c r="A16" s="15" t="n">
        <v>12</v>
      </c>
      <c r="B16" t="str">
        <f>IF(B$3=0,"",IF(INDEX(SRC_ZPMW03!$A$1:$ZZ$501,$A16,B$3)&amp;""="","",INDEX(SRC_ZPMW03!$A$1:$ZZ$501,$A16,B$3)&amp;""))</f>
        <v>G.900011.8.9090</v>
      </c>
      <c r="C16" t="str">
        <f>IF($B16="","",IF(C$3=0,"n.b.",INDEX(SRC_ZPMW03!$A$1:$ZZ$501,$A16,C$3)))</f>
        <v>J</v>
      </c>
      <c r="D16">
        <f>IF($B16="","",IF(D$3=0,"n.b.",INDEX(SRC_ZPMW03!$A$1:$ZZ$501,$A16,D$3)))</f>
        <v>9901</v>
      </c>
      <c r="E16" t="str">
        <f>IF($B16="","",IF(E$3=0,"n.b.",INDEX(SRC_ZPMW03!$A$1:$ZZ$501,$A16,E$3)))</f>
        <v>Demo Ontwikkeling BV</v>
      </c>
      <c r="F16">
        <f>IF($B16="","",IF(F$3=0,"n.b.",INDEX(SRC_ZPMW03!$A$1:$ZZ$501,$A16,F$3)))</f>
        <v>9090</v>
      </c>
      <c r="G16" t="str">
        <f>IF($B16="","",IF(G$3=0,"n.b.",INDEX(SRC_ZPMW03!$A$1:$ZZ$501,$A16,G$3)))</f>
        <v>Demo Regio</v>
      </c>
      <c r="H16" t="str">
        <f>IF($B16="","",IF(H$3=0,"n.b.",INDEX(SRC_ZPMW03!$A$1:$ZZ$501,$A16,H$3)))</f>
        <v>WO-Wonen</v>
      </c>
      <c r="I16" t="str">
        <f>IF($B16="","",IF(I$3=0,"n.b.",INDEX(SRC_ZPMW03!$A$1:$ZZ$501,$A16,I$3)))</f>
        <v>G.900011</v>
      </c>
      <c r="J16" t="str">
        <f>IF($B16="","",IF(J$3=0,"n.b.",INDEX(SRC_ZPMW03!$A$1:$ZZ$501,$A16,J$3)))</f>
        <v>Meerhovenstad, Hofstaete</v>
      </c>
      <c r="K16" t="str">
        <f>IF($B16="","",IF(K$3=0,"n.b.",INDEX(SRC_ZPMW03!$A$1:$ZZ$501,$A16,K$3)))</f>
        <v>VRIJ BLOK</v>
      </c>
      <c r="L16" s="124">
        <f>IF($B16="","",IF(L$3=0,"n.b.",INDEX(SRC_ZPMW03!$A$1:$ZZ$501,$A16,L$3)))</f>
        <v>100</v>
      </c>
      <c r="M16" s="124">
        <f>IF($B16="","",IF(M$3=0,"n.b.",INDEX(SRC_ZPMW03!$A$1:$ZZ$501,$A16,M$3)))</f>
        <v>-38400000</v>
      </c>
      <c r="N16" s="124">
        <f>IF($B16="","",IF(N$3=0,"n.b.",INDEX(SRC_ZPMW03!$A$1:$ZZ$501,$A16,N$3)))</f>
        <v>0</v>
      </c>
      <c r="O16" s="124">
        <f>IF($B16="","",IF(O$3=0,"n.b.",INDEX(SRC_ZPMW03!$A$1:$ZZ$501,$A16,O$3)))</f>
        <v>-9484800</v>
      </c>
      <c r="P16" s="124">
        <f>IF($B16="","",IF(P$3=0,"n.b.",INDEX(SRC_ZPMW03!$A$1:$ZZ$501,$A16,P$3)))</f>
        <v>8631168</v>
      </c>
      <c r="Q16" s="124">
        <f>IF($B16="","",IF(Q$3=0,"n.b.",INDEX(SRC_ZPMW03!$A$1:$ZZ$501,$A16,Q$3)))</f>
        <v>-853632</v>
      </c>
      <c r="R16" s="124">
        <f>IF($B16="","",IF(R$3=0,"n.b.",INDEX(SRC_ZPMW03!$A$1:$ZZ$501,$A16,R$3)))</f>
        <v>-28915200</v>
      </c>
      <c r="S16" s="124">
        <f>IF($B16="","",IF(S$3=0,"n.b.",INDEX(SRC_ZPMW03!$A$1:$ZZ$501,$A16,S$3)))</f>
        <v>-2602368</v>
      </c>
      <c r="T16" s="124">
        <f>IF($B16="","",IF(T$3=0,"n.b.",INDEX(SRC_ZPMW03!$A$1:$ZZ$501,$A16,T$3)))</f>
        <v>0</v>
      </c>
      <c r="U16" s="124">
        <f>IF($B16="","",IF(U$3=0,"n.b.",INDEX(SRC_ZPMW03!$A$1:$ZZ$501,$A16,U$3)))</f>
        <v>0</v>
      </c>
      <c r="V16" s="124">
        <f>IF($B16="","",IF(V$3=0,"n.b.",INDEX(SRC_ZPMW03!$A$1:$ZZ$501,$A16,V$3)))</f>
        <v>0</v>
      </c>
      <c r="W16" s="124">
        <f>IF($B16="","",IF(W$3=0,"n.b.",INDEX(SRC_ZPMW03!$A$1:$ZZ$501,$A16,W$3)))</f>
        <v>0</v>
      </c>
      <c r="X16" s="124">
        <f>IF($B16="","",IF(X$3=0,"n.b.",INDEX(SRC_ZPMW03!$A$1:$ZZ$501,$A16,X$3)))</f>
        <v>0</v>
      </c>
      <c r="Y16" s="124">
        <f>IF($B16="","",IF(Y$3=0,"n.b.",INDEX(SRC_ZPMW03!$A$1:$ZZ$501,$A16,Y$3)))</f>
        <v>0</v>
      </c>
      <c r="Z16" s="124">
        <f>IF($B16="","",IF(Z$3=0,"n.b.",INDEX(SRC_ZPMW03!$A$1:$ZZ$501,$A16,Z$3)))</f>
        <v>-5107200</v>
      </c>
      <c r="AA16" s="124">
        <f>IF($B16="","",IF(AA$3=0,"n.b.",INDEX(SRC_ZPMW03!$A$1:$ZZ$501,$A16,AA$3)))</f>
        <v>-459648</v>
      </c>
      <c r="AB16" s="124">
        <f>IF($B16="","",IF(AB$3=0,"n.b.",INDEX(SRC_ZPMW03!$A$1:$ZZ$501,$A16,AB$3)))</f>
        <v>-5107200</v>
      </c>
      <c r="AC16" s="124">
        <f>IF($B16="","",IF(AC$3=0,"n.b.",INDEX(SRC_ZPMW03!$A$1:$ZZ$501,$A16,AC$3)))</f>
        <v>4647552</v>
      </c>
      <c r="AD16" s="124">
        <f>IF($B16="","",IF(AD$3=0,"n.b.",INDEX(SRC_ZPMW03!$A$1:$ZZ$501,$A16,AD$3)))</f>
        <v>-459648</v>
      </c>
      <c r="AE16" s="124">
        <f>IF($B16="","",IF(AE$3=0,"n.b.",INDEX(SRC_ZPMW03!$A$1:$ZZ$501,$A16,AE$3)))</f>
        <v>-3095040</v>
      </c>
      <c r="AF16" s="124">
        <f>IF($B16="","",IF(AF$3=0,"n.b.",INDEX(SRC_ZPMW03!$A$1:$ZZ$501,$A16,AF$3)))</f>
        <v>-278553.6</v>
      </c>
      <c r="AG16" s="124">
        <f>IF($B16="","",IF(AG$3=0,"n.b.",INDEX(SRC_ZPMW03!$A$1:$ZZ$501,$A16,AG$3)))</f>
        <v>-3868800</v>
      </c>
      <c r="AH16" s="124">
        <f>IF($B16="","",IF(AH$3=0,"n.b.",INDEX(SRC_ZPMW03!$A$1:$ZZ$501,$A16,AH$3)))</f>
        <v>-348192</v>
      </c>
      <c r="AI16" s="124">
        <f>IF($B16="","",IF(AI$3=0,"n.b.",INDEX(SRC_ZPMW03!$A$1:$ZZ$501,$A16,AI$3)))</f>
        <v>-4642560</v>
      </c>
      <c r="AJ16" s="124">
        <f>IF($B16="","",IF(AJ$3=0,"n.b.",INDEX(SRC_ZPMW03!$A$1:$ZZ$501,$A16,AJ$3)))</f>
        <v>-417830.4</v>
      </c>
      <c r="AK16" s="124">
        <f>IF($B16="","",IF(AK$3=0,"n.b.",INDEX(SRC_ZPMW03!$A$1:$ZZ$501,$A16,AK$3)))</f>
        <v>-3868800</v>
      </c>
      <c r="AL16" s="124">
        <f>IF($B16="","",IF(AL$3=0,"n.b.",INDEX(SRC_ZPMW03!$A$1:$ZZ$501,$A16,AL$3)))</f>
        <v>-348192</v>
      </c>
      <c r="AM16" s="124">
        <f>IF($B16="","",IF(AM$3=0,"n.b.",INDEX(SRC_ZPMW03!$A$1:$ZZ$501,$A16,AM$3)))</f>
        <v>-15475200</v>
      </c>
      <c r="AN16" s="124">
        <f>IF($B16="","",IF(AN$3=0,"n.b.",INDEX(SRC_ZPMW03!$A$1:$ZZ$501,$A16,AN$3)))</f>
        <v>14082432</v>
      </c>
      <c r="AO16" s="124">
        <f>IF($B16="","",IF(AO$3=0,"n.b.",INDEX(SRC_ZPMW03!$A$1:$ZZ$501,$A16,AO$3)))</f>
        <v>-1392768</v>
      </c>
      <c r="AP16" s="124">
        <f>IF($B16="","",IF(AP$3=0,"n.b.",INDEX(SRC_ZPMW03!$A$1:$ZZ$501,$A16,AP$3)))</f>
        <v>-8332800</v>
      </c>
      <c r="AQ16" s="124">
        <f>IF($B16="","",IF(AQ$3=0,"n.b.",INDEX(SRC_ZPMW03!$A$1:$ZZ$501,$A16,AQ$3)))</f>
        <v>-749952</v>
      </c>
      <c r="AR16" s="124">
        <f>IF($B16="","",IF(AR$3=0,"n.b.",INDEX(SRC_ZPMW03!$A$1:$ZZ$501,$A16,AR$3)))</f>
        <v>0</v>
      </c>
      <c r="AS16" s="124">
        <f>IF($B16="","",IF(AS$3=0,"n.b.",INDEX(SRC_ZPMW03!$A$1:$ZZ$501,$A16,AS$3)))</f>
        <v>0</v>
      </c>
      <c r="AT16" s="124">
        <f>IF($B16="","",IF(AT$3=0,"n.b.",INDEX(SRC_ZPMW03!$A$1:$ZZ$501,$A16,AT$3)))</f>
        <v>0</v>
      </c>
      <c r="AU16" s="124">
        <f>IF($B16="","",IF(AU$3=0,"n.b.",INDEX(SRC_ZPMW03!$A$1:$ZZ$501,$A16,AU$3)))</f>
        <v>0</v>
      </c>
      <c r="AV16" s="124">
        <f>IF($B16="","",IF(AV$3=0,"n.b.",INDEX(SRC_ZPMW03!$A$1:$ZZ$501,$A16,AV$3)))</f>
        <v>0</v>
      </c>
      <c r="AW16" s="124">
        <f>IF($B16="","",IF(AW$3=0,"n.b.",INDEX(SRC_ZPMW03!$A$1:$ZZ$501,$A16,AW$3)))</f>
        <v>0</v>
      </c>
      <c r="AX16" s="124">
        <f>IF($B16="","",IF(AX$3=0,"n.b.",INDEX(SRC_ZPMW03!$A$1:$ZZ$501,$A16,AX$3)))</f>
        <v>0</v>
      </c>
      <c r="AY16" s="124">
        <f>IF($B16="","",IF(AY$3=0,"n.b.",INDEX(SRC_ZPMW03!$A$1:$ZZ$501,$A16,AY$3)))</f>
        <v>0</v>
      </c>
      <c r="AZ16" s="124">
        <f>IF($B16="","",IF(AZ$3=0,"n.b.",INDEX(SRC_ZPMW03!$A$1:$ZZ$501,$A16,AZ$3)))</f>
        <v>0</v>
      </c>
      <c r="BA16" s="124">
        <f>IF($B16="","",IF(BA$3=0,"n.b.",INDEX(SRC_ZPMW03!$A$1:$ZZ$501,$A16,BA$3)))</f>
        <v>0</v>
      </c>
      <c r="BB16" s="124">
        <f>IF($B16="","",IF(BB$3=0,"n.b.",INDEX(SRC_ZPMW03!$A$1:$ZZ$501,$A16,BB$3)))</f>
        <v>0</v>
      </c>
      <c r="BC16" s="124">
        <f>IF($B16="","",IF(BC$3=0,"n.b.",INDEX(SRC_ZPMW03!$A$1:$ZZ$501,$A16,BC$3)))</f>
        <v>0</v>
      </c>
      <c r="BD16" s="124">
        <f>IF($B16="","",IF(BD$3=0,"n.b.",INDEX(SRC_ZPMW03!$A$1:$ZZ$501,$A16,BD$3)))</f>
        <v>0</v>
      </c>
      <c r="BE16" s="124">
        <f>IF($B16="","",IF(BE$3=0,"n.b.",INDEX(SRC_ZPMW03!$A$1:$ZZ$501,$A16,BE$3)))</f>
        <v>0</v>
      </c>
      <c r="BF16" s="124">
        <f>IF($B16="","",IF(BF$3=0,"n.b.",INDEX(SRC_ZPMW03!$A$1:$ZZ$501,$A16,BF$3)))</f>
        <v>24.7</v>
      </c>
      <c r="BG16">
        <f>IF($B16="","",IF(BG$3=0,"n.b.",INDEX(SRC_ZPMW03!$A$1:$ZZ$501,$A16,BG$3)))</f>
        <v>46054.0</v>
      </c>
      <c r="BH16">
        <f>IF($B16="","",IF(BH$3=0,"n.b.",INDEX(SRC_ZPMW03!$A$1:$ZZ$501,$A16,BH$3)))</f>
        <v>46419.0</v>
      </c>
      <c r="BI16">
        <f>IF($B16="","",IF(BI$3=0,"n.b.",INDEX(SRC_ZPMW03!$A$1:$ZZ$501,$A16,BI$3)))</f>
        <v>202912</v>
      </c>
      <c r="BJ16">
        <f>IF($B16="","",IF(BJ$3=0,"n.b.",INDEX(SRC_ZPMW03!$A$1:$ZZ$501,$A16,BJ$3)))</f>
        <v>2</v>
      </c>
      <c r="BK16" s="124">
        <f>IF($B16="","",IFERROR(-O16,"n.b."))</f>
        <v>9484800</v>
      </c>
      <c r="BL16" s="124">
        <f>IF($B16="","",IFERROR(-Q16,"n.b."))</f>
        <v>853632</v>
      </c>
      <c r="BM16" s="124">
        <f>IF($B16="","",IFERROR(-AB16,"n.b."))</f>
        <v>5107200</v>
      </c>
      <c r="BN16" s="124">
        <f>IF($B16="","",IFERROR(-AD16,"n.b."))</f>
        <v>459648</v>
      </c>
      <c r="BO16" s="124">
        <f>IF($B16="","",IFERROR(BK16+BM16,"n.b."))</f>
        <v>14592000</v>
      </c>
      <c r="BP16" s="124">
        <f>IF($B16="","",IFERROR(BL16+BN16,"n.b."))</f>
        <v>1313280</v>
      </c>
      <c r="BQ16" s="124">
        <f>IF($B16="","",IFERROR(-AM16,"n.b."))</f>
        <v>15475200</v>
      </c>
      <c r="BR16" s="124">
        <f>IF($B16="","",IFERROR(-AO16,"n.b."))</f>
        <v>1392768</v>
      </c>
      <c r="BS16" s="124">
        <f>IF($B16="","",IFERROR(-Z16,"n.b."))</f>
        <v>5107200</v>
      </c>
      <c r="BT16" s="124">
        <f>IF($B16="","",IFERROR(-AA16,"n.b."))</f>
        <v>459648</v>
      </c>
      <c r="BU16" s="124">
        <f>IF($B16="","",IFERROR(-AE16,"n.b."))</f>
        <v>3095040</v>
      </c>
      <c r="BV16" s="124">
        <f>IF($B16="","",IFERROR(-AF16,"n.b."))</f>
        <v>278553.6</v>
      </c>
      <c r="BW16" s="124">
        <f>IF($B16="","",IFERROR(-AG16,"n.b."))</f>
        <v>3868800</v>
      </c>
      <c r="BX16" s="124">
        <f>IF($B16="","",IFERROR(-AH16,"n.b."))</f>
        <v>348192</v>
      </c>
      <c r="BY16" s="124">
        <f>IF($B16="","",IFERROR(-AI16,"n.b."))</f>
        <v>4642560</v>
      </c>
      <c r="BZ16" s="124">
        <f>IF($B16="","",IFERROR(-AJ16,"n.b."))</f>
        <v>417830.4</v>
      </c>
      <c r="CA16" s="124">
        <f>IF($B16="","",IFERROR(-AK16,"n.b."))</f>
        <v>3868800</v>
      </c>
      <c r="CB16" s="124">
        <f>IF($B16="","",IFERROR(-AL16,"n.b."))</f>
        <v>348192</v>
      </c>
      <c r="CC16" s="124">
        <f>IF($B16="","",IFERROR(-AP16,"n.b."))</f>
        <v>8332800</v>
      </c>
      <c r="CD16" s="124">
        <f>IF($B16="","",IFERROR(-AQ16,"n.b."))</f>
        <v>749952</v>
      </c>
      <c r="CE16" s="124">
        <f>IF($B16="","",IFERROR(-AR16,"n.b."))</f>
        <v>0</v>
      </c>
      <c r="CF16" s="124">
        <f>IF($B16="","",IFERROR(-AS16,"n.b."))</f>
        <v>0</v>
      </c>
      <c r="CG16" s="124">
        <f>IF($B16="","",IFERROR(-AT16,"n.b."))</f>
        <v>0</v>
      </c>
      <c r="CH16" s="124">
        <f>IF($B16="","",IFERROR(-AU16,"n.b."))</f>
        <v>0</v>
      </c>
      <c r="CI16" s="124">
        <f>IF($B16="","",IFERROR(-AV16,"n.b."))</f>
        <v>0</v>
      </c>
      <c r="CJ16" s="124">
        <f>IF($B16="","",IFERROR(-AW16,"n.b."))</f>
        <v>0</v>
      </c>
      <c r="CK16" s="124">
        <f>IF($B16="","",IFERROR(-AX16,"n.b."))</f>
        <v>0</v>
      </c>
      <c r="CL16" s="124">
        <f>IF($B16="","",IFERROR(-AY16,"n.b."))</f>
        <v>0</v>
      </c>
      <c r="CM16" s="124">
        <f>IF($B16="","",IFERROR(-AZ16,"n.b."))</f>
        <v>0</v>
      </c>
      <c r="CN16" s="124">
        <f>IF($B16="","",IFERROR(-BA16,"n.b."))</f>
        <v>0</v>
      </c>
      <c r="CO16" s="124">
        <f>IF($B16="","",IFERROR(-BB16,"n.b."))</f>
        <v>0</v>
      </c>
      <c r="CP16" s="124">
        <f>IF($B16="","",IFERROR(-BC16,"n.b."))</f>
        <v>0</v>
      </c>
      <c r="CQ16" s="124">
        <f>IF($B16="","",IFERROR(-BD16,"n.b."))</f>
        <v>0</v>
      </c>
      <c r="CR16" s="124">
        <f>IF($B16="","",IFERROR(-BE16,"n.b."))</f>
        <v>0</v>
      </c>
      <c r="CS16" s="124">
        <f>IF($B16="","",IFERROR(IF(OR(ABS(T16+V16+X16+Z16-AB16)&gt;P_Tol,ABS(U16+W16+Y16+AA16-AD16)&gt;P_Tol,ABS(AE16+AG16+AI16+AK16-AM16)&gt;P_Tol,ABS(AF16+AH16+AJ16+AL16-AO16)&gt;P_Tol),1,0),1))</f>
        <v>0</v>
      </c>
      <c r="CT16" s="124">
        <f>IF($B16="","",IFERROR(IF(OR(ABS(AB16+AC16-AD16)&gt;P_Tol,ABS(AM16+AN16-AO16)&gt;P_Tol,ABS(O16+P16-Q16)&gt;P_Tol),1,0),1))</f>
        <v>0</v>
      </c>
      <c r="CU16" s="124">
        <f>IF($B16="","",IFERROR(IF(ABS(R16-(AB16+AM16+AP16+AR16+AT16+AV16+AX16+AZ16+BB16+BD16))&gt;P_Tol,1,0),1))</f>
        <v>0</v>
      </c>
      <c r="CV16" s="124">
        <f>IF($B16="","",IFERROR(IF(ABS(M16-(N16+O16+R16))&gt;P_Tol,1,0),1))</f>
        <v>0</v>
      </c>
      <c r="CW16" s="124">
        <f>IF($B16="","",IF(COUNTIF(Mapping!$A$5:$A$104,B16)&gt;0,1,0))</f>
        <v>1</v>
      </c>
      <c r="CX16" s="124">
        <f>IF($B16="","",COUNTIF($B$6:$B$505,B16))</f>
        <v>1</v>
      </c>
      <c r="CY16" s="124">
        <f>IF($B16="","",COUNTIF(STG_Woningetalage!$B$6:$B$505,B16))</f>
        <v>1</v>
      </c>
      <c r="CZ16" s="124" t="str">
        <f>IF($B16="","",IF(CW16=0,COUNTIF($CW$6:CW16,0),""))</f>
        <v/>
      </c>
    </row>
    <row r="17">
      <c r="A17" s="15" t="n">
        <v>13</v>
      </c>
      <c r="B17" t="str">
        <f>IF(B$3=0,"",IF(INDEX(SRC_ZPMW03!$A$1:$ZZ$501,$A17,B$3)&amp;""="","",INDEX(SRC_ZPMW03!$A$1:$ZZ$501,$A17,B$3)&amp;""))</f>
        <v>G.900012.8.9090</v>
      </c>
      <c r="C17" t="str">
        <f>IF($B17="","",IF(C$3=0,"n.b.",INDEX(SRC_ZPMW03!$A$1:$ZZ$501,$A17,C$3)))</f>
        <v>N</v>
      </c>
      <c r="D17">
        <f>IF($B17="","",IF(D$3=0,"n.b.",INDEX(SRC_ZPMW03!$A$1:$ZZ$501,$A17,D$3)))</f>
        <v>9902</v>
      </c>
      <c r="E17" t="str">
        <f>IF($B17="","",IF(E$3=0,"n.b.",INDEX(SRC_ZPMW03!$A$1:$ZZ$501,$A17,E$3)))</f>
        <v>Demo Gebiedscombinatie BV</v>
      </c>
      <c r="F17">
        <f>IF($B17="","",IF(F$3=0,"n.b.",INDEX(SRC_ZPMW03!$A$1:$ZZ$501,$A17,F$3)))</f>
        <v>9090</v>
      </c>
      <c r="G17" t="str">
        <f>IF($B17="","",IF(G$3=0,"n.b.",INDEX(SRC_ZPMW03!$A$1:$ZZ$501,$A17,G$3)))</f>
        <v>Demo Regio</v>
      </c>
      <c r="H17" t="str">
        <f>IF($B17="","",IF(H$3=0,"n.b.",INDEX(SRC_ZPMW03!$A$1:$ZZ$501,$A17,H$3)))</f>
        <v>WO-Wonen</v>
      </c>
      <c r="I17" t="str">
        <f>IF($B17="","",IF(I$3=0,"n.b.",INDEX(SRC_ZPMW03!$A$1:$ZZ$501,$A17,I$3)))</f>
        <v>G.900012</v>
      </c>
      <c r="J17" t="str">
        <f>IF($B17="","",IF(J$3=0,"n.b.",INDEX(SRC_ZPMW03!$A$1:$ZZ$501,$A17,J$3)))</f>
        <v>Zilverdam, De Werf</v>
      </c>
      <c r="K17" t="str">
        <f>IF($B17="","",IF(K$3=0,"n.b.",INDEX(SRC_ZPMW03!$A$1:$ZZ$501,$A17,K$3)))</f>
        <v>VRIJ BLOK</v>
      </c>
      <c r="L17" s="124">
        <f>IF($B17="","",IF(L$3=0,"n.b.",INDEX(SRC_ZPMW03!$A$1:$ZZ$501,$A17,L$3)))</f>
        <v>80</v>
      </c>
      <c r="M17" s="124">
        <f>IF($B17="","",IF(M$3=0,"n.b.",INDEX(SRC_ZPMW03!$A$1:$ZZ$501,$A17,M$3)))</f>
        <v>-5740000</v>
      </c>
      <c r="N17" s="124">
        <f>IF($B17="","",IF(N$3=0,"n.b.",INDEX(SRC_ZPMW03!$A$1:$ZZ$501,$A17,N$3)))</f>
        <v>0</v>
      </c>
      <c r="O17" s="124">
        <f>IF($B17="","",IF(O$3=0,"n.b.",INDEX(SRC_ZPMW03!$A$1:$ZZ$501,$A17,O$3)))</f>
        <v>-932750</v>
      </c>
      <c r="P17" s="124">
        <f>IF($B17="","",IF(P$3=0,"n.b.",INDEX(SRC_ZPMW03!$A$1:$ZZ$501,$A17,P$3)))</f>
        <v>820820</v>
      </c>
      <c r="Q17" s="124">
        <f>IF($B17="","",IF(Q$3=0,"n.b.",INDEX(SRC_ZPMW03!$A$1:$ZZ$501,$A17,Q$3)))</f>
        <v>-111930</v>
      </c>
      <c r="R17" s="124">
        <f>IF($B17="","",IF(R$3=0,"n.b.",INDEX(SRC_ZPMW03!$A$1:$ZZ$501,$A17,R$3)))</f>
        <v>-4807250</v>
      </c>
      <c r="S17" s="124">
        <f>IF($B17="","",IF(S$3=0,"n.b.",INDEX(SRC_ZPMW03!$A$1:$ZZ$501,$A17,S$3)))</f>
        <v>-576870</v>
      </c>
      <c r="T17" s="124">
        <f>IF($B17="","",IF(T$3=0,"n.b.",INDEX(SRC_ZPMW03!$A$1:$ZZ$501,$A17,T$3)))</f>
        <v>0</v>
      </c>
      <c r="U17" s="124">
        <f>IF($B17="","",IF(U$3=0,"n.b.",INDEX(SRC_ZPMW03!$A$1:$ZZ$501,$A17,U$3)))</f>
        <v>0</v>
      </c>
      <c r="V17" s="124">
        <f>IF($B17="","",IF(V$3=0,"n.b.",INDEX(SRC_ZPMW03!$A$1:$ZZ$501,$A17,V$3)))</f>
        <v>0</v>
      </c>
      <c r="W17" s="124">
        <f>IF($B17="","",IF(W$3=0,"n.b.",INDEX(SRC_ZPMW03!$A$1:$ZZ$501,$A17,W$3)))</f>
        <v>0</v>
      </c>
      <c r="X17" s="124">
        <f>IF($B17="","",IF(X$3=0,"n.b.",INDEX(SRC_ZPMW03!$A$1:$ZZ$501,$A17,X$3)))</f>
        <v>0</v>
      </c>
      <c r="Y17" s="124">
        <f>IF($B17="","",IF(Y$3=0,"n.b.",INDEX(SRC_ZPMW03!$A$1:$ZZ$501,$A17,Y$3)))</f>
        <v>0</v>
      </c>
      <c r="Z17" s="124">
        <f>IF($B17="","",IF(Z$3=0,"n.b.",INDEX(SRC_ZPMW03!$A$1:$ZZ$501,$A17,Z$3)))</f>
        <v>-502250</v>
      </c>
      <c r="AA17" s="124">
        <f>IF($B17="","",IF(AA$3=0,"n.b.",INDEX(SRC_ZPMW03!$A$1:$ZZ$501,$A17,AA$3)))</f>
        <v>-60270</v>
      </c>
      <c r="AB17" s="124">
        <f>IF($B17="","",IF(AB$3=0,"n.b.",INDEX(SRC_ZPMW03!$A$1:$ZZ$501,$A17,AB$3)))</f>
        <v>-502250</v>
      </c>
      <c r="AC17" s="124">
        <f>IF($B17="","",IF(AC$3=0,"n.b.",INDEX(SRC_ZPMW03!$A$1:$ZZ$501,$A17,AC$3)))</f>
        <v>441980</v>
      </c>
      <c r="AD17" s="124">
        <f>IF($B17="","",IF(AD$3=0,"n.b.",INDEX(SRC_ZPMW03!$A$1:$ZZ$501,$A17,AD$3)))</f>
        <v>-60270</v>
      </c>
      <c r="AE17" s="124">
        <f>IF($B17="","",IF(AE$3=0,"n.b.",INDEX(SRC_ZPMW03!$A$1:$ZZ$501,$A17,AE$3)))</f>
        <v>-559650</v>
      </c>
      <c r="AF17" s="124">
        <f>IF($B17="","",IF(AF$3=0,"n.b.",INDEX(SRC_ZPMW03!$A$1:$ZZ$501,$A17,AF$3)))</f>
        <v>-67158</v>
      </c>
      <c r="AG17" s="124">
        <f>IF($B17="","",IF(AG$3=0,"n.b.",INDEX(SRC_ZPMW03!$A$1:$ZZ$501,$A17,AG$3)))</f>
        <v>-699562</v>
      </c>
      <c r="AH17" s="124">
        <f>IF($B17="","",IF(AH$3=0,"n.b.",INDEX(SRC_ZPMW03!$A$1:$ZZ$501,$A17,AH$3)))</f>
        <v>-83947.44</v>
      </c>
      <c r="AI17" s="124">
        <f>IF($B17="","",IF(AI$3=0,"n.b.",INDEX(SRC_ZPMW03!$A$1:$ZZ$501,$A17,AI$3)))</f>
        <v>-839475</v>
      </c>
      <c r="AJ17" s="124">
        <f>IF($B17="","",IF(AJ$3=0,"n.b.",INDEX(SRC_ZPMW03!$A$1:$ZZ$501,$A17,AJ$3)))</f>
        <v>-100737</v>
      </c>
      <c r="AK17" s="124">
        <f>IF($B17="","",IF(AK$3=0,"n.b.",INDEX(SRC_ZPMW03!$A$1:$ZZ$501,$A17,AK$3)))</f>
        <v>-699563</v>
      </c>
      <c r="AL17" s="124">
        <f>IF($B17="","",IF(AL$3=0,"n.b.",INDEX(SRC_ZPMW03!$A$1:$ZZ$501,$A17,AL$3)))</f>
        <v>-83947.56</v>
      </c>
      <c r="AM17" s="124">
        <f>IF($B17="","",IF(AM$3=0,"n.b.",INDEX(SRC_ZPMW03!$A$1:$ZZ$501,$A17,AM$3)))</f>
        <v>-2798250</v>
      </c>
      <c r="AN17" s="124">
        <f>IF($B17="","",IF(AN$3=0,"n.b.",INDEX(SRC_ZPMW03!$A$1:$ZZ$501,$A17,AN$3)))</f>
        <v>2462460</v>
      </c>
      <c r="AO17" s="124">
        <f>IF($B17="","",IF(AO$3=0,"n.b.",INDEX(SRC_ZPMW03!$A$1:$ZZ$501,$A17,AO$3)))</f>
        <v>-335790</v>
      </c>
      <c r="AP17" s="124">
        <f>IF($B17="","",IF(AP$3=0,"n.b.",INDEX(SRC_ZPMW03!$A$1:$ZZ$501,$A17,AP$3)))</f>
        <v>-1506750</v>
      </c>
      <c r="AQ17" s="124">
        <f>IF($B17="","",IF(AQ$3=0,"n.b.",INDEX(SRC_ZPMW03!$A$1:$ZZ$501,$A17,AQ$3)))</f>
        <v>-180810</v>
      </c>
      <c r="AR17" s="124">
        <f>IF($B17="","",IF(AR$3=0,"n.b.",INDEX(SRC_ZPMW03!$A$1:$ZZ$501,$A17,AR$3)))</f>
        <v>0</v>
      </c>
      <c r="AS17" s="124">
        <f>IF($B17="","",IF(AS$3=0,"n.b.",INDEX(SRC_ZPMW03!$A$1:$ZZ$501,$A17,AS$3)))</f>
        <v>0</v>
      </c>
      <c r="AT17" s="124">
        <f>IF($B17="","",IF(AT$3=0,"n.b.",INDEX(SRC_ZPMW03!$A$1:$ZZ$501,$A17,AT$3)))</f>
        <v>0</v>
      </c>
      <c r="AU17" s="124">
        <f>IF($B17="","",IF(AU$3=0,"n.b.",INDEX(SRC_ZPMW03!$A$1:$ZZ$501,$A17,AU$3)))</f>
        <v>0</v>
      </c>
      <c r="AV17" s="124">
        <f>IF($B17="","",IF(AV$3=0,"n.b.",INDEX(SRC_ZPMW03!$A$1:$ZZ$501,$A17,AV$3)))</f>
        <v>0</v>
      </c>
      <c r="AW17" s="124">
        <f>IF($B17="","",IF(AW$3=0,"n.b.",INDEX(SRC_ZPMW03!$A$1:$ZZ$501,$A17,AW$3)))</f>
        <v>0</v>
      </c>
      <c r="AX17" s="124">
        <f>IF($B17="","",IF(AX$3=0,"n.b.",INDEX(SRC_ZPMW03!$A$1:$ZZ$501,$A17,AX$3)))</f>
        <v>0</v>
      </c>
      <c r="AY17" s="124">
        <f>IF($B17="","",IF(AY$3=0,"n.b.",INDEX(SRC_ZPMW03!$A$1:$ZZ$501,$A17,AY$3)))</f>
        <v>0</v>
      </c>
      <c r="AZ17" s="124">
        <f>IF($B17="","",IF(AZ$3=0,"n.b.",INDEX(SRC_ZPMW03!$A$1:$ZZ$501,$A17,AZ$3)))</f>
        <v>0</v>
      </c>
      <c r="BA17" s="124">
        <f>IF($B17="","",IF(BA$3=0,"n.b.",INDEX(SRC_ZPMW03!$A$1:$ZZ$501,$A17,BA$3)))</f>
        <v>0</v>
      </c>
      <c r="BB17" s="124">
        <f>IF($B17="","",IF(BB$3=0,"n.b.",INDEX(SRC_ZPMW03!$A$1:$ZZ$501,$A17,BB$3)))</f>
        <v>0</v>
      </c>
      <c r="BC17" s="124">
        <f>IF($B17="","",IF(BC$3=0,"n.b.",INDEX(SRC_ZPMW03!$A$1:$ZZ$501,$A17,BC$3)))</f>
        <v>0</v>
      </c>
      <c r="BD17" s="124">
        <f>IF($B17="","",IF(BD$3=0,"n.b.",INDEX(SRC_ZPMW03!$A$1:$ZZ$501,$A17,BD$3)))</f>
        <v>0</v>
      </c>
      <c r="BE17" s="124">
        <f>IF($B17="","",IF(BE$3=0,"n.b.",INDEX(SRC_ZPMW03!$A$1:$ZZ$501,$A17,BE$3)))</f>
        <v>0</v>
      </c>
      <c r="BF17" s="124">
        <f>IF($B17="","",IF(BF$3=0,"n.b.",INDEX(SRC_ZPMW03!$A$1:$ZZ$501,$A17,BF$3)))</f>
        <v>16.25</v>
      </c>
      <c r="BG17">
        <f>IF($B17="","",IF(BG$3=0,"n.b.",INDEX(SRC_ZPMW03!$A$1:$ZZ$501,$A17,BG$3)))</f>
        <v>46082.0</v>
      </c>
      <c r="BH17">
        <f>IF($B17="","",IF(BH$3=0,"n.b.",INDEX(SRC_ZPMW03!$A$1:$ZZ$501,$A17,BH$3)))</f>
        <v>46447.0</v>
      </c>
      <c r="BI17">
        <f>IF($B17="","",IF(BI$3=0,"n.b.",INDEX(SRC_ZPMW03!$A$1:$ZZ$501,$A17,BI$3)))</f>
        <v>202912</v>
      </c>
      <c r="BJ17">
        <f>IF($B17="","",IF(BJ$3=0,"n.b.",INDEX(SRC_ZPMW03!$A$1:$ZZ$501,$A17,BJ$3)))</f>
        <v>3</v>
      </c>
      <c r="BK17" s="124">
        <f>IF($B17="","",IFERROR(-O17,"n.b."))</f>
        <v>932750</v>
      </c>
      <c r="BL17" s="124">
        <f>IF($B17="","",IFERROR(-Q17,"n.b."))</f>
        <v>111930</v>
      </c>
      <c r="BM17" s="124">
        <f>IF($B17="","",IFERROR(-AB17,"n.b."))</f>
        <v>502250</v>
      </c>
      <c r="BN17" s="124">
        <f>IF($B17="","",IFERROR(-AD17,"n.b."))</f>
        <v>60270</v>
      </c>
      <c r="BO17" s="124">
        <f>IF($B17="","",IFERROR(BK17+BM17,"n.b."))</f>
        <v>1435000</v>
      </c>
      <c r="BP17" s="124">
        <f>IF($B17="","",IFERROR(BL17+BN17,"n.b."))</f>
        <v>172200</v>
      </c>
      <c r="BQ17" s="124">
        <f>IF($B17="","",IFERROR(-AM17,"n.b."))</f>
        <v>2798250</v>
      </c>
      <c r="BR17" s="124">
        <f>IF($B17="","",IFERROR(-AO17,"n.b."))</f>
        <v>335790</v>
      </c>
      <c r="BS17" s="124">
        <f>IF($B17="","",IFERROR(-Z17,"n.b."))</f>
        <v>502250</v>
      </c>
      <c r="BT17" s="124">
        <f>IF($B17="","",IFERROR(-AA17,"n.b."))</f>
        <v>60270</v>
      </c>
      <c r="BU17" s="124">
        <f>IF($B17="","",IFERROR(-AE17,"n.b."))</f>
        <v>559650</v>
      </c>
      <c r="BV17" s="124">
        <f>IF($B17="","",IFERROR(-AF17,"n.b."))</f>
        <v>67158</v>
      </c>
      <c r="BW17" s="124">
        <f>IF($B17="","",IFERROR(-AG17,"n.b."))</f>
        <v>699562</v>
      </c>
      <c r="BX17" s="124">
        <f>IF($B17="","",IFERROR(-AH17,"n.b."))</f>
        <v>83947.44</v>
      </c>
      <c r="BY17" s="124">
        <f>IF($B17="","",IFERROR(-AI17,"n.b."))</f>
        <v>839475</v>
      </c>
      <c r="BZ17" s="124">
        <f>IF($B17="","",IFERROR(-AJ17,"n.b."))</f>
        <v>100737</v>
      </c>
      <c r="CA17" s="124">
        <f>IF($B17="","",IFERROR(-AK17,"n.b."))</f>
        <v>699563</v>
      </c>
      <c r="CB17" s="124">
        <f>IF($B17="","",IFERROR(-AL17,"n.b."))</f>
        <v>83947.56</v>
      </c>
      <c r="CC17" s="124">
        <f>IF($B17="","",IFERROR(-AP17,"n.b."))</f>
        <v>1506750</v>
      </c>
      <c r="CD17" s="124">
        <f>IF($B17="","",IFERROR(-AQ17,"n.b."))</f>
        <v>180810</v>
      </c>
      <c r="CE17" s="124">
        <f>IF($B17="","",IFERROR(-AR17,"n.b."))</f>
        <v>0</v>
      </c>
      <c r="CF17" s="124">
        <f>IF($B17="","",IFERROR(-AS17,"n.b."))</f>
        <v>0</v>
      </c>
      <c r="CG17" s="124">
        <f>IF($B17="","",IFERROR(-AT17,"n.b."))</f>
        <v>0</v>
      </c>
      <c r="CH17" s="124">
        <f>IF($B17="","",IFERROR(-AU17,"n.b."))</f>
        <v>0</v>
      </c>
      <c r="CI17" s="124">
        <f>IF($B17="","",IFERROR(-AV17,"n.b."))</f>
        <v>0</v>
      </c>
      <c r="CJ17" s="124">
        <f>IF($B17="","",IFERROR(-AW17,"n.b."))</f>
        <v>0</v>
      </c>
      <c r="CK17" s="124">
        <f>IF($B17="","",IFERROR(-AX17,"n.b."))</f>
        <v>0</v>
      </c>
      <c r="CL17" s="124">
        <f>IF($B17="","",IFERROR(-AY17,"n.b."))</f>
        <v>0</v>
      </c>
      <c r="CM17" s="124">
        <f>IF($B17="","",IFERROR(-AZ17,"n.b."))</f>
        <v>0</v>
      </c>
      <c r="CN17" s="124">
        <f>IF($B17="","",IFERROR(-BA17,"n.b."))</f>
        <v>0</v>
      </c>
      <c r="CO17" s="124">
        <f>IF($B17="","",IFERROR(-BB17,"n.b."))</f>
        <v>0</v>
      </c>
      <c r="CP17" s="124">
        <f>IF($B17="","",IFERROR(-BC17,"n.b."))</f>
        <v>0</v>
      </c>
      <c r="CQ17" s="124">
        <f>IF($B17="","",IFERROR(-BD17,"n.b."))</f>
        <v>0</v>
      </c>
      <c r="CR17" s="124">
        <f>IF($B17="","",IFERROR(-BE17,"n.b."))</f>
        <v>0</v>
      </c>
      <c r="CS17" s="124">
        <f>IF($B17="","",IFERROR(IF(OR(ABS(T17+V17+X17+Z17-AB17)&gt;P_Tol,ABS(U17+W17+Y17+AA17-AD17)&gt;P_Tol,ABS(AE17+AG17+AI17+AK17-AM17)&gt;P_Tol,ABS(AF17+AH17+AJ17+AL17-AO17)&gt;P_Tol),1,0),1))</f>
        <v>0</v>
      </c>
      <c r="CT17" s="124">
        <f>IF($B17="","",IFERROR(IF(OR(ABS(AB17+AC17-AD17)&gt;P_Tol,ABS(AM17+AN17-AO17)&gt;P_Tol,ABS(O17+P17-Q17)&gt;P_Tol),1,0),1))</f>
        <v>0</v>
      </c>
      <c r="CU17" s="124">
        <f>IF($B17="","",IFERROR(IF(ABS(R17-(AB17+AM17+AP17+AR17+AT17+AV17+AX17+AZ17+BB17+BD17))&gt;P_Tol,1,0),1))</f>
        <v>0</v>
      </c>
      <c r="CV17" s="124">
        <f>IF($B17="","",IFERROR(IF(ABS(M17-(N17+O17+R17))&gt;P_Tol,1,0),1))</f>
        <v>0</v>
      </c>
      <c r="CW17" s="124">
        <f>IF($B17="","",IF(COUNTIF(Mapping!$A$5:$A$104,B17)&gt;0,1,0))</f>
        <v>1</v>
      </c>
      <c r="CX17" s="124">
        <f>IF($B17="","",COUNTIF($B$6:$B$505,B17))</f>
        <v>1</v>
      </c>
      <c r="CY17" s="124">
        <f>IF($B17="","",COUNTIF(STG_Woningetalage!$B$6:$B$505,B17))</f>
        <v>1</v>
      </c>
      <c r="CZ17" s="124" t="str">
        <f>IF($B17="","",IF(CW17=0,COUNTIF($CW$6:CW17,0),""))</f>
        <v/>
      </c>
    </row>
    <row r="18">
      <c r="A18" s="15" t="n">
        <v>14</v>
      </c>
      <c r="B18" t="str">
        <f>IF(B$3=0,"",IF(INDEX(SRC_ZPMW03!$A$1:$ZZ$501,$A18,B$3)&amp;""="","",INDEX(SRC_ZPMW03!$A$1:$ZZ$501,$A18,B$3)&amp;""))</f>
        <v>G.900013.8.9090</v>
      </c>
      <c r="C18" t="str">
        <f>IF($B18="","",IF(C$3=0,"n.b.",INDEX(SRC_ZPMW03!$A$1:$ZZ$501,$A18,C$3)))</f>
        <v>J</v>
      </c>
      <c r="D18">
        <f>IF($B18="","",IF(D$3=0,"n.b.",INDEX(SRC_ZPMW03!$A$1:$ZZ$501,$A18,D$3)))</f>
        <v>9901</v>
      </c>
      <c r="E18" t="str">
        <f>IF($B18="","",IF(E$3=0,"n.b.",INDEX(SRC_ZPMW03!$A$1:$ZZ$501,$A18,E$3)))</f>
        <v>Demo Ontwikkeling BV</v>
      </c>
      <c r="F18">
        <f>IF($B18="","",IF(F$3=0,"n.b.",INDEX(SRC_ZPMW03!$A$1:$ZZ$501,$A18,F$3)))</f>
        <v>9090</v>
      </c>
      <c r="G18" t="str">
        <f>IF($B18="","",IF(G$3=0,"n.b.",INDEX(SRC_ZPMW03!$A$1:$ZZ$501,$A18,G$3)))</f>
        <v>Demo Regio</v>
      </c>
      <c r="H18" t="str">
        <f>IF($B18="","",IF(H$3=0,"n.b.",INDEX(SRC_ZPMW03!$A$1:$ZZ$501,$A18,H$3)))</f>
        <v>WO-Wonen</v>
      </c>
      <c r="I18" t="str">
        <f>IF($B18="","",IF(I$3=0,"n.b.",INDEX(SRC_ZPMW03!$A$1:$ZZ$501,$A18,I$3)))</f>
        <v>G.900013</v>
      </c>
      <c r="J18" t="str">
        <f>IF($B18="","",IF(J$3=0,"n.b.",INDEX(SRC_ZPMW03!$A$1:$ZZ$501,$A18,J$3)))</f>
        <v>Boswaard, Boskamers</v>
      </c>
      <c r="K18" t="str">
        <f>IF($B18="","",IF(K$3=0,"n.b.",INDEX(SRC_ZPMW03!$A$1:$ZZ$501,$A18,K$3)))</f>
        <v>VRIJ BLOK</v>
      </c>
      <c r="L18" s="124">
        <f>IF($B18="","",IF(L$3=0,"n.b.",INDEX(SRC_ZPMW03!$A$1:$ZZ$501,$A18,L$3)))</f>
        <v>60</v>
      </c>
      <c r="M18" s="124">
        <f>IF($B18="","",IF(M$3=0,"n.b.",INDEX(SRC_ZPMW03!$A$1:$ZZ$501,$A18,M$3)))</f>
        <v>-25200000</v>
      </c>
      <c r="N18" s="124">
        <f>IF($B18="","",IF(N$3=0,"n.b.",INDEX(SRC_ZPMW03!$A$1:$ZZ$501,$A18,N$3)))</f>
        <v>0</v>
      </c>
      <c r="O18" s="124">
        <f>IF($B18="","",IF(O$3=0,"n.b.",INDEX(SRC_ZPMW03!$A$1:$ZZ$501,$A18,O$3)))</f>
        <v>-2457000</v>
      </c>
      <c r="P18" s="124">
        <f>IF($B18="","",IF(P$3=0,"n.b.",INDEX(SRC_ZPMW03!$A$1:$ZZ$501,$A18,P$3)))</f>
        <v>2272725</v>
      </c>
      <c r="Q18" s="124">
        <f>IF($B18="","",IF(Q$3=0,"n.b.",INDEX(SRC_ZPMW03!$A$1:$ZZ$501,$A18,Q$3)))</f>
        <v>-184275</v>
      </c>
      <c r="R18" s="124">
        <f>IF($B18="","",IF(R$3=0,"n.b.",INDEX(SRC_ZPMW03!$A$1:$ZZ$501,$A18,R$3)))</f>
        <v>-22743000</v>
      </c>
      <c r="S18" s="124">
        <f>IF($B18="","",IF(S$3=0,"n.b.",INDEX(SRC_ZPMW03!$A$1:$ZZ$501,$A18,S$3)))</f>
        <v>-1705725</v>
      </c>
      <c r="T18" s="124">
        <f>IF($B18="","",IF(T$3=0,"n.b.",INDEX(SRC_ZPMW03!$A$1:$ZZ$501,$A18,T$3)))</f>
        <v>0</v>
      </c>
      <c r="U18" s="124">
        <f>IF($B18="","",IF(U$3=0,"n.b.",INDEX(SRC_ZPMW03!$A$1:$ZZ$501,$A18,U$3)))</f>
        <v>0</v>
      </c>
      <c r="V18" s="124">
        <f>IF($B18="","",IF(V$3=0,"n.b.",INDEX(SRC_ZPMW03!$A$1:$ZZ$501,$A18,V$3)))</f>
        <v>0</v>
      </c>
      <c r="W18" s="124">
        <f>IF($B18="","",IF(W$3=0,"n.b.",INDEX(SRC_ZPMW03!$A$1:$ZZ$501,$A18,W$3)))</f>
        <v>0</v>
      </c>
      <c r="X18" s="124">
        <f>IF($B18="","",IF(X$3=0,"n.b.",INDEX(SRC_ZPMW03!$A$1:$ZZ$501,$A18,X$3)))</f>
        <v>0</v>
      </c>
      <c r="Y18" s="124">
        <f>IF($B18="","",IF(Y$3=0,"n.b.",INDEX(SRC_ZPMW03!$A$1:$ZZ$501,$A18,Y$3)))</f>
        <v>0</v>
      </c>
      <c r="Z18" s="124">
        <f>IF($B18="","",IF(Z$3=0,"n.b.",INDEX(SRC_ZPMW03!$A$1:$ZZ$501,$A18,Z$3)))</f>
        <v>-1323000</v>
      </c>
      <c r="AA18" s="124">
        <f>IF($B18="","",IF(AA$3=0,"n.b.",INDEX(SRC_ZPMW03!$A$1:$ZZ$501,$A18,AA$3)))</f>
        <v>-99225</v>
      </c>
      <c r="AB18" s="124">
        <f>IF($B18="","",IF(AB$3=0,"n.b.",INDEX(SRC_ZPMW03!$A$1:$ZZ$501,$A18,AB$3)))</f>
        <v>-1323000</v>
      </c>
      <c r="AC18" s="124">
        <f>IF($B18="","",IF(AC$3=0,"n.b.",INDEX(SRC_ZPMW03!$A$1:$ZZ$501,$A18,AC$3)))</f>
        <v>1223775</v>
      </c>
      <c r="AD18" s="124">
        <f>IF($B18="","",IF(AD$3=0,"n.b.",INDEX(SRC_ZPMW03!$A$1:$ZZ$501,$A18,AD$3)))</f>
        <v>-99225</v>
      </c>
      <c r="AE18" s="124">
        <f>IF($B18="","",IF(AE$3=0,"n.b.",INDEX(SRC_ZPMW03!$A$1:$ZZ$501,$A18,AE$3)))</f>
        <v>-2784600</v>
      </c>
      <c r="AF18" s="124">
        <f>IF($B18="","",IF(AF$3=0,"n.b.",INDEX(SRC_ZPMW03!$A$1:$ZZ$501,$A18,AF$3)))</f>
        <v>-208845</v>
      </c>
      <c r="AG18" s="124">
        <f>IF($B18="","",IF(AG$3=0,"n.b.",INDEX(SRC_ZPMW03!$A$1:$ZZ$501,$A18,AG$3)))</f>
        <v>-3480750</v>
      </c>
      <c r="AH18" s="124">
        <f>IF($B18="","",IF(AH$3=0,"n.b.",INDEX(SRC_ZPMW03!$A$1:$ZZ$501,$A18,AH$3)))</f>
        <v>-261056.25</v>
      </c>
      <c r="AI18" s="124">
        <f>IF($B18="","",IF(AI$3=0,"n.b.",INDEX(SRC_ZPMW03!$A$1:$ZZ$501,$A18,AI$3)))</f>
        <v>-4176900</v>
      </c>
      <c r="AJ18" s="124">
        <f>IF($B18="","",IF(AJ$3=0,"n.b.",INDEX(SRC_ZPMW03!$A$1:$ZZ$501,$A18,AJ$3)))</f>
        <v>-313267.5</v>
      </c>
      <c r="AK18" s="124">
        <f>IF($B18="","",IF(AK$3=0,"n.b.",INDEX(SRC_ZPMW03!$A$1:$ZZ$501,$A18,AK$3)))</f>
        <v>-3480750</v>
      </c>
      <c r="AL18" s="124">
        <f>IF($B18="","",IF(AL$3=0,"n.b.",INDEX(SRC_ZPMW03!$A$1:$ZZ$501,$A18,AL$3)))</f>
        <v>-261056.25</v>
      </c>
      <c r="AM18" s="124">
        <f>IF($B18="","",IF(AM$3=0,"n.b.",INDEX(SRC_ZPMW03!$A$1:$ZZ$501,$A18,AM$3)))</f>
        <v>-13923000</v>
      </c>
      <c r="AN18" s="124">
        <f>IF($B18="","",IF(AN$3=0,"n.b.",INDEX(SRC_ZPMW03!$A$1:$ZZ$501,$A18,AN$3)))</f>
        <v>12878775</v>
      </c>
      <c r="AO18" s="124">
        <f>IF($B18="","",IF(AO$3=0,"n.b.",INDEX(SRC_ZPMW03!$A$1:$ZZ$501,$A18,AO$3)))</f>
        <v>-1044225</v>
      </c>
      <c r="AP18" s="124">
        <f>IF($B18="","",IF(AP$3=0,"n.b.",INDEX(SRC_ZPMW03!$A$1:$ZZ$501,$A18,AP$3)))</f>
        <v>-7497000</v>
      </c>
      <c r="AQ18" s="124">
        <f>IF($B18="","",IF(AQ$3=0,"n.b.",INDEX(SRC_ZPMW03!$A$1:$ZZ$501,$A18,AQ$3)))</f>
        <v>-562275</v>
      </c>
      <c r="AR18" s="124">
        <f>IF($B18="","",IF(AR$3=0,"n.b.",INDEX(SRC_ZPMW03!$A$1:$ZZ$501,$A18,AR$3)))</f>
        <v>0</v>
      </c>
      <c r="AS18" s="124">
        <f>IF($B18="","",IF(AS$3=0,"n.b.",INDEX(SRC_ZPMW03!$A$1:$ZZ$501,$A18,AS$3)))</f>
        <v>0</v>
      </c>
      <c r="AT18" s="124">
        <f>IF($B18="","",IF(AT$3=0,"n.b.",INDEX(SRC_ZPMW03!$A$1:$ZZ$501,$A18,AT$3)))</f>
        <v>0</v>
      </c>
      <c r="AU18" s="124">
        <f>IF($B18="","",IF(AU$3=0,"n.b.",INDEX(SRC_ZPMW03!$A$1:$ZZ$501,$A18,AU$3)))</f>
        <v>0</v>
      </c>
      <c r="AV18" s="124">
        <f>IF($B18="","",IF(AV$3=0,"n.b.",INDEX(SRC_ZPMW03!$A$1:$ZZ$501,$A18,AV$3)))</f>
        <v>0</v>
      </c>
      <c r="AW18" s="124">
        <f>IF($B18="","",IF(AW$3=0,"n.b.",INDEX(SRC_ZPMW03!$A$1:$ZZ$501,$A18,AW$3)))</f>
        <v>0</v>
      </c>
      <c r="AX18" s="124">
        <f>IF($B18="","",IF(AX$3=0,"n.b.",INDEX(SRC_ZPMW03!$A$1:$ZZ$501,$A18,AX$3)))</f>
        <v>0</v>
      </c>
      <c r="AY18" s="124">
        <f>IF($B18="","",IF(AY$3=0,"n.b.",INDEX(SRC_ZPMW03!$A$1:$ZZ$501,$A18,AY$3)))</f>
        <v>0</v>
      </c>
      <c r="AZ18" s="124">
        <f>IF($B18="","",IF(AZ$3=0,"n.b.",INDEX(SRC_ZPMW03!$A$1:$ZZ$501,$A18,AZ$3)))</f>
        <v>0</v>
      </c>
      <c r="BA18" s="124">
        <f>IF($B18="","",IF(BA$3=0,"n.b.",INDEX(SRC_ZPMW03!$A$1:$ZZ$501,$A18,BA$3)))</f>
        <v>0</v>
      </c>
      <c r="BB18" s="124">
        <f>IF($B18="","",IF(BB$3=0,"n.b.",INDEX(SRC_ZPMW03!$A$1:$ZZ$501,$A18,BB$3)))</f>
        <v>0</v>
      </c>
      <c r="BC18" s="124">
        <f>IF($B18="","",IF(BC$3=0,"n.b.",INDEX(SRC_ZPMW03!$A$1:$ZZ$501,$A18,BC$3)))</f>
        <v>0</v>
      </c>
      <c r="BD18" s="124">
        <f>IF($B18="","",IF(BD$3=0,"n.b.",INDEX(SRC_ZPMW03!$A$1:$ZZ$501,$A18,BD$3)))</f>
        <v>0</v>
      </c>
      <c r="BE18" s="124">
        <f>IF($B18="","",IF(BE$3=0,"n.b.",INDEX(SRC_ZPMW03!$A$1:$ZZ$501,$A18,BE$3)))</f>
        <v>0</v>
      </c>
      <c r="BF18" s="124">
        <f>IF($B18="","",IF(BF$3=0,"n.b.",INDEX(SRC_ZPMW03!$A$1:$ZZ$501,$A18,BF$3)))</f>
        <v>9.75</v>
      </c>
      <c r="BG18">
        <f>IF($B18="","",IF(BG$3=0,"n.b.",INDEX(SRC_ZPMW03!$A$1:$ZZ$501,$A18,BG$3)))</f>
        <v>46113.0</v>
      </c>
      <c r="BH18">
        <f>IF($B18="","",IF(BH$3=0,"n.b.",INDEX(SRC_ZPMW03!$A$1:$ZZ$501,$A18,BH$3)))</f>
        <v>46478.0</v>
      </c>
      <c r="BI18">
        <f>IF($B18="","",IF(BI$3=0,"n.b.",INDEX(SRC_ZPMW03!$A$1:$ZZ$501,$A18,BI$3)))</f>
        <v>202912</v>
      </c>
      <c r="BJ18">
        <f>IF($B18="","",IF(BJ$3=0,"n.b.",INDEX(SRC_ZPMW03!$A$1:$ZZ$501,$A18,BJ$3)))</f>
        <v>1</v>
      </c>
      <c r="BK18" s="124">
        <f>IF($B18="","",IFERROR(-O18,"n.b."))</f>
        <v>2457000</v>
      </c>
      <c r="BL18" s="124">
        <f>IF($B18="","",IFERROR(-Q18,"n.b."))</f>
        <v>184275</v>
      </c>
      <c r="BM18" s="124">
        <f>IF($B18="","",IFERROR(-AB18,"n.b."))</f>
        <v>1323000</v>
      </c>
      <c r="BN18" s="124">
        <f>IF($B18="","",IFERROR(-AD18,"n.b."))</f>
        <v>99225</v>
      </c>
      <c r="BO18" s="124">
        <f>IF($B18="","",IFERROR(BK18+BM18,"n.b."))</f>
        <v>3780000</v>
      </c>
      <c r="BP18" s="124">
        <f>IF($B18="","",IFERROR(BL18+BN18,"n.b."))</f>
        <v>283500</v>
      </c>
      <c r="BQ18" s="124">
        <f>IF($B18="","",IFERROR(-AM18,"n.b."))</f>
        <v>13923000</v>
      </c>
      <c r="BR18" s="124">
        <f>IF($B18="","",IFERROR(-AO18,"n.b."))</f>
        <v>1044225</v>
      </c>
      <c r="BS18" s="124">
        <f>IF($B18="","",IFERROR(-Z18,"n.b."))</f>
        <v>1323000</v>
      </c>
      <c r="BT18" s="124">
        <f>IF($B18="","",IFERROR(-AA18,"n.b."))</f>
        <v>99225</v>
      </c>
      <c r="BU18" s="124">
        <f>IF($B18="","",IFERROR(-AE18,"n.b."))</f>
        <v>2784600</v>
      </c>
      <c r="BV18" s="124">
        <f>IF($B18="","",IFERROR(-AF18,"n.b."))</f>
        <v>208845</v>
      </c>
      <c r="BW18" s="124">
        <f>IF($B18="","",IFERROR(-AG18,"n.b."))</f>
        <v>3480750</v>
      </c>
      <c r="BX18" s="124">
        <f>IF($B18="","",IFERROR(-AH18,"n.b."))</f>
        <v>261056.25</v>
      </c>
      <c r="BY18" s="124">
        <f>IF($B18="","",IFERROR(-AI18,"n.b."))</f>
        <v>4176900</v>
      </c>
      <c r="BZ18" s="124">
        <f>IF($B18="","",IFERROR(-AJ18,"n.b."))</f>
        <v>313267.5</v>
      </c>
      <c r="CA18" s="124">
        <f>IF($B18="","",IFERROR(-AK18,"n.b."))</f>
        <v>3480750</v>
      </c>
      <c r="CB18" s="124">
        <f>IF($B18="","",IFERROR(-AL18,"n.b."))</f>
        <v>261056.25</v>
      </c>
      <c r="CC18" s="124">
        <f>IF($B18="","",IFERROR(-AP18,"n.b."))</f>
        <v>7497000</v>
      </c>
      <c r="CD18" s="124">
        <f>IF($B18="","",IFERROR(-AQ18,"n.b."))</f>
        <v>562275</v>
      </c>
      <c r="CE18" s="124">
        <f>IF($B18="","",IFERROR(-AR18,"n.b."))</f>
        <v>0</v>
      </c>
      <c r="CF18" s="124">
        <f>IF($B18="","",IFERROR(-AS18,"n.b."))</f>
        <v>0</v>
      </c>
      <c r="CG18" s="124">
        <f>IF($B18="","",IFERROR(-AT18,"n.b."))</f>
        <v>0</v>
      </c>
      <c r="CH18" s="124">
        <f>IF($B18="","",IFERROR(-AU18,"n.b."))</f>
        <v>0</v>
      </c>
      <c r="CI18" s="124">
        <f>IF($B18="","",IFERROR(-AV18,"n.b."))</f>
        <v>0</v>
      </c>
      <c r="CJ18" s="124">
        <f>IF($B18="","",IFERROR(-AW18,"n.b."))</f>
        <v>0</v>
      </c>
      <c r="CK18" s="124">
        <f>IF($B18="","",IFERROR(-AX18,"n.b."))</f>
        <v>0</v>
      </c>
      <c r="CL18" s="124">
        <f>IF($B18="","",IFERROR(-AY18,"n.b."))</f>
        <v>0</v>
      </c>
      <c r="CM18" s="124">
        <f>IF($B18="","",IFERROR(-AZ18,"n.b."))</f>
        <v>0</v>
      </c>
      <c r="CN18" s="124">
        <f>IF($B18="","",IFERROR(-BA18,"n.b."))</f>
        <v>0</v>
      </c>
      <c r="CO18" s="124">
        <f>IF($B18="","",IFERROR(-BB18,"n.b."))</f>
        <v>0</v>
      </c>
      <c r="CP18" s="124">
        <f>IF($B18="","",IFERROR(-BC18,"n.b."))</f>
        <v>0</v>
      </c>
      <c r="CQ18" s="124">
        <f>IF($B18="","",IFERROR(-BD18,"n.b."))</f>
        <v>0</v>
      </c>
      <c r="CR18" s="124">
        <f>IF($B18="","",IFERROR(-BE18,"n.b."))</f>
        <v>0</v>
      </c>
      <c r="CS18" s="124">
        <f>IF($B18="","",IFERROR(IF(OR(ABS(T18+V18+X18+Z18-AB18)&gt;P_Tol,ABS(U18+W18+Y18+AA18-AD18)&gt;P_Tol,ABS(AE18+AG18+AI18+AK18-AM18)&gt;P_Tol,ABS(AF18+AH18+AJ18+AL18-AO18)&gt;P_Tol),1,0),1))</f>
        <v>0</v>
      </c>
      <c r="CT18" s="124">
        <f>IF($B18="","",IFERROR(IF(OR(ABS(AB18+AC18-AD18)&gt;P_Tol,ABS(AM18+AN18-AO18)&gt;P_Tol,ABS(O18+P18-Q18)&gt;P_Tol),1,0),1))</f>
        <v>0</v>
      </c>
      <c r="CU18" s="124">
        <f>IF($B18="","",IFERROR(IF(ABS(R18-(AB18+AM18+AP18+AR18+AT18+AV18+AX18+AZ18+BB18+BD18))&gt;P_Tol,1,0),1))</f>
        <v>0</v>
      </c>
      <c r="CV18" s="124">
        <f>IF($B18="","",IFERROR(IF(ABS(M18-(N18+O18+R18))&gt;P_Tol,1,0),1))</f>
        <v>0</v>
      </c>
      <c r="CW18" s="124">
        <f>IF($B18="","",IF(COUNTIF(Mapping!$A$5:$A$104,B18)&gt;0,1,0))</f>
        <v>1</v>
      </c>
      <c r="CX18" s="124">
        <f>IF($B18="","",COUNTIF($B$6:$B$505,B18))</f>
        <v>1</v>
      </c>
      <c r="CY18" s="124">
        <f>IF($B18="","",COUNTIF(STG_Woningetalage!$B$6:$B$505,B18))</f>
        <v>1</v>
      </c>
      <c r="CZ18" s="124" t="str">
        <f>IF($B18="","",IF(CW18=0,COUNTIF($CW$6:CW18,0),""))</f>
        <v/>
      </c>
    </row>
    <row r="19">
      <c r="A19" s="15" t="n">
        <v>15</v>
      </c>
      <c r="B19" t="str">
        <f>IF(B$3=0,"",IF(INDEX(SRC_ZPMW03!$A$1:$ZZ$501,$A19,B$3)&amp;""="","",INDEX(SRC_ZPMW03!$A$1:$ZZ$501,$A19,B$3)&amp;""))</f>
        <v>G.900014.8.9090</v>
      </c>
      <c r="C19" t="str">
        <f>IF($B19="","",IF(C$3=0,"n.b.",INDEX(SRC_ZPMW03!$A$1:$ZZ$501,$A19,C$3)))</f>
        <v>J</v>
      </c>
      <c r="D19">
        <f>IF($B19="","",IF(D$3=0,"n.b.",INDEX(SRC_ZPMW03!$A$1:$ZZ$501,$A19,D$3)))</f>
        <v>9901</v>
      </c>
      <c r="E19" t="str">
        <f>IF($B19="","",IF(E$3=0,"n.b.",INDEX(SRC_ZPMW03!$A$1:$ZZ$501,$A19,E$3)))</f>
        <v>Demo Ontwikkeling BV</v>
      </c>
      <c r="F19">
        <f>IF($B19="","",IF(F$3=0,"n.b.",INDEX(SRC_ZPMW03!$A$1:$ZZ$501,$A19,F$3)))</f>
        <v>9090</v>
      </c>
      <c r="G19" t="str">
        <f>IF($B19="","",IF(G$3=0,"n.b.",INDEX(SRC_ZPMW03!$A$1:$ZZ$501,$A19,G$3)))</f>
        <v>Demo Regio</v>
      </c>
      <c r="H19" t="str">
        <f>IF($B19="","",IF(H$3=0,"n.b.",INDEX(SRC_ZPMW03!$A$1:$ZZ$501,$A19,H$3)))</f>
        <v>WO-Wonen</v>
      </c>
      <c r="I19" t="str">
        <f>IF($B19="","",IF(I$3=0,"n.b.",INDEX(SRC_ZPMW03!$A$1:$ZZ$501,$A19,I$3)))</f>
        <v>G.900014</v>
      </c>
      <c r="J19" t="str">
        <f>IF($B19="","",IF(J$3=0,"n.b.",INDEX(SRC_ZPMW03!$A$1:$ZZ$501,$A19,J$3)))</f>
        <v>Rietdam, Rietoevers</v>
      </c>
      <c r="K19" t="str">
        <f>IF($B19="","",IF(K$3=0,"n.b.",INDEX(SRC_ZPMW03!$A$1:$ZZ$501,$A19,K$3)))</f>
        <v>VRIJ BLOK</v>
      </c>
      <c r="L19" s="124">
        <f>IF($B19="","",IF(L$3=0,"n.b.",INDEX(SRC_ZPMW03!$A$1:$ZZ$501,$A19,L$3)))</f>
        <v>40</v>
      </c>
      <c r="M19" s="124">
        <f>IF($B19="","",IF(M$3=0,"n.b.",INDEX(SRC_ZPMW03!$A$1:$ZZ$501,$A19,M$3)))</f>
        <v>-20880000</v>
      </c>
      <c r="N19" s="124">
        <f>IF($B19="","",IF(N$3=0,"n.b.",INDEX(SRC_ZPMW03!$A$1:$ZZ$501,$A19,N$3)))</f>
        <v>0</v>
      </c>
      <c r="O19" s="124">
        <f>IF($B19="","",IF(O$3=0,"n.b.",INDEX(SRC_ZPMW03!$A$1:$ZZ$501,$A19,O$3)))</f>
        <v>-5700240</v>
      </c>
      <c r="P19" s="124">
        <f>IF($B19="","",IF(P$3=0,"n.b.",INDEX(SRC_ZPMW03!$A$1:$ZZ$501,$A19,P$3)))</f>
        <v>5073213.6</v>
      </c>
      <c r="Q19" s="124">
        <f>IF($B19="","",IF(Q$3=0,"n.b.",INDEX(SRC_ZPMW03!$A$1:$ZZ$501,$A19,Q$3)))</f>
        <v>-627026.4</v>
      </c>
      <c r="R19" s="124">
        <f>IF($B19="","",IF(R$3=0,"n.b.",INDEX(SRC_ZPMW03!$A$1:$ZZ$501,$A19,R$3)))</f>
        <v>-15179760</v>
      </c>
      <c r="S19" s="124">
        <f>IF($B19="","",IF(S$3=0,"n.b.",INDEX(SRC_ZPMW03!$A$1:$ZZ$501,$A19,S$3)))</f>
        <v>-1669773.6</v>
      </c>
      <c r="T19" s="124">
        <f>IF($B19="","",IF(T$3=0,"n.b.",INDEX(SRC_ZPMW03!$A$1:$ZZ$501,$A19,T$3)))</f>
        <v>0</v>
      </c>
      <c r="U19" s="124">
        <f>IF($B19="","",IF(U$3=0,"n.b.",INDEX(SRC_ZPMW03!$A$1:$ZZ$501,$A19,U$3)))</f>
        <v>0</v>
      </c>
      <c r="V19" s="124">
        <f>IF($B19="","",IF(V$3=0,"n.b.",INDEX(SRC_ZPMW03!$A$1:$ZZ$501,$A19,V$3)))</f>
        <v>0</v>
      </c>
      <c r="W19" s="124">
        <f>IF($B19="","",IF(W$3=0,"n.b.",INDEX(SRC_ZPMW03!$A$1:$ZZ$501,$A19,W$3)))</f>
        <v>0</v>
      </c>
      <c r="X19" s="124">
        <f>IF($B19="","",IF(X$3=0,"n.b.",INDEX(SRC_ZPMW03!$A$1:$ZZ$501,$A19,X$3)))</f>
        <v>0</v>
      </c>
      <c r="Y19" s="124">
        <f>IF($B19="","",IF(Y$3=0,"n.b.",INDEX(SRC_ZPMW03!$A$1:$ZZ$501,$A19,Y$3)))</f>
        <v>0</v>
      </c>
      <c r="Z19" s="124">
        <f>IF($B19="","",IF(Z$3=0,"n.b.",INDEX(SRC_ZPMW03!$A$1:$ZZ$501,$A19,Z$3)))</f>
        <v>-3069360</v>
      </c>
      <c r="AA19" s="124">
        <f>IF($B19="","",IF(AA$3=0,"n.b.",INDEX(SRC_ZPMW03!$A$1:$ZZ$501,$A19,AA$3)))</f>
        <v>-337629.6</v>
      </c>
      <c r="AB19" s="124">
        <f>IF($B19="","",IF(AB$3=0,"n.b.",INDEX(SRC_ZPMW03!$A$1:$ZZ$501,$A19,AB$3)))</f>
        <v>-3069360</v>
      </c>
      <c r="AC19" s="124">
        <f>IF($B19="","",IF(AC$3=0,"n.b.",INDEX(SRC_ZPMW03!$A$1:$ZZ$501,$A19,AC$3)))</f>
        <v>2731730.4</v>
      </c>
      <c r="AD19" s="124">
        <f>IF($B19="","",IF(AD$3=0,"n.b.",INDEX(SRC_ZPMW03!$A$1:$ZZ$501,$A19,AD$3)))</f>
        <v>-337629.6</v>
      </c>
      <c r="AE19" s="124">
        <f>IF($B19="","",IF(AE$3=0,"n.b.",INDEX(SRC_ZPMW03!$A$1:$ZZ$501,$A19,AE$3)))</f>
        <v>-1574352</v>
      </c>
      <c r="AF19" s="124">
        <f>IF($B19="","",IF(AF$3=0,"n.b.",INDEX(SRC_ZPMW03!$A$1:$ZZ$501,$A19,AF$3)))</f>
        <v>-173178.72</v>
      </c>
      <c r="AG19" s="124">
        <f>IF($B19="","",IF(AG$3=0,"n.b.",INDEX(SRC_ZPMW03!$A$1:$ZZ$501,$A19,AG$3)))</f>
        <v>-1967940</v>
      </c>
      <c r="AH19" s="124">
        <f>IF($B19="","",IF(AH$3=0,"n.b.",INDEX(SRC_ZPMW03!$A$1:$ZZ$501,$A19,AH$3)))</f>
        <v>-216473.4</v>
      </c>
      <c r="AI19" s="124">
        <f>IF($B19="","",IF(AI$3=0,"n.b.",INDEX(SRC_ZPMW03!$A$1:$ZZ$501,$A19,AI$3)))</f>
        <v>-2361528</v>
      </c>
      <c r="AJ19" s="124">
        <f>IF($B19="","",IF(AJ$3=0,"n.b.",INDEX(SRC_ZPMW03!$A$1:$ZZ$501,$A19,AJ$3)))</f>
        <v>-259768.08</v>
      </c>
      <c r="AK19" s="124">
        <f>IF($B19="","",IF(AK$3=0,"n.b.",INDEX(SRC_ZPMW03!$A$1:$ZZ$501,$A19,AK$3)))</f>
        <v>-1967940</v>
      </c>
      <c r="AL19" s="124">
        <f>IF($B19="","",IF(AL$3=0,"n.b.",INDEX(SRC_ZPMW03!$A$1:$ZZ$501,$A19,AL$3)))</f>
        <v>-216473.4</v>
      </c>
      <c r="AM19" s="124">
        <f>IF($B19="","",IF(AM$3=0,"n.b.",INDEX(SRC_ZPMW03!$A$1:$ZZ$501,$A19,AM$3)))</f>
        <v>-7871760</v>
      </c>
      <c r="AN19" s="124">
        <f>IF($B19="","",IF(AN$3=0,"n.b.",INDEX(SRC_ZPMW03!$A$1:$ZZ$501,$A19,AN$3)))</f>
        <v>7005866.4</v>
      </c>
      <c r="AO19" s="124">
        <f>IF($B19="","",IF(AO$3=0,"n.b.",INDEX(SRC_ZPMW03!$A$1:$ZZ$501,$A19,AO$3)))</f>
        <v>-865893.6</v>
      </c>
      <c r="AP19" s="124">
        <f>IF($B19="","",IF(AP$3=0,"n.b.",INDEX(SRC_ZPMW03!$A$1:$ZZ$501,$A19,AP$3)))</f>
        <v>-4238640</v>
      </c>
      <c r="AQ19" s="124">
        <f>IF($B19="","",IF(AQ$3=0,"n.b.",INDEX(SRC_ZPMW03!$A$1:$ZZ$501,$A19,AQ$3)))</f>
        <v>-466250.4</v>
      </c>
      <c r="AR19" s="124">
        <f>IF($B19="","",IF(AR$3=0,"n.b.",INDEX(SRC_ZPMW03!$A$1:$ZZ$501,$A19,AR$3)))</f>
        <v>0</v>
      </c>
      <c r="AS19" s="124">
        <f>IF($B19="","",IF(AS$3=0,"n.b.",INDEX(SRC_ZPMW03!$A$1:$ZZ$501,$A19,AS$3)))</f>
        <v>0</v>
      </c>
      <c r="AT19" s="124">
        <f>IF($B19="","",IF(AT$3=0,"n.b.",INDEX(SRC_ZPMW03!$A$1:$ZZ$501,$A19,AT$3)))</f>
        <v>0</v>
      </c>
      <c r="AU19" s="124">
        <f>IF($B19="","",IF(AU$3=0,"n.b.",INDEX(SRC_ZPMW03!$A$1:$ZZ$501,$A19,AU$3)))</f>
        <v>0</v>
      </c>
      <c r="AV19" s="124">
        <f>IF($B19="","",IF(AV$3=0,"n.b.",INDEX(SRC_ZPMW03!$A$1:$ZZ$501,$A19,AV$3)))</f>
        <v>0</v>
      </c>
      <c r="AW19" s="124">
        <f>IF($B19="","",IF(AW$3=0,"n.b.",INDEX(SRC_ZPMW03!$A$1:$ZZ$501,$A19,AW$3)))</f>
        <v>0</v>
      </c>
      <c r="AX19" s="124">
        <f>IF($B19="","",IF(AX$3=0,"n.b.",INDEX(SRC_ZPMW03!$A$1:$ZZ$501,$A19,AX$3)))</f>
        <v>0</v>
      </c>
      <c r="AY19" s="124">
        <f>IF($B19="","",IF(AY$3=0,"n.b.",INDEX(SRC_ZPMW03!$A$1:$ZZ$501,$A19,AY$3)))</f>
        <v>0</v>
      </c>
      <c r="AZ19" s="124">
        <f>IF($B19="","",IF(AZ$3=0,"n.b.",INDEX(SRC_ZPMW03!$A$1:$ZZ$501,$A19,AZ$3)))</f>
        <v>0</v>
      </c>
      <c r="BA19" s="124">
        <f>IF($B19="","",IF(BA$3=0,"n.b.",INDEX(SRC_ZPMW03!$A$1:$ZZ$501,$A19,BA$3)))</f>
        <v>0</v>
      </c>
      <c r="BB19" s="124">
        <f>IF($B19="","",IF(BB$3=0,"n.b.",INDEX(SRC_ZPMW03!$A$1:$ZZ$501,$A19,BB$3)))</f>
        <v>0</v>
      </c>
      <c r="BC19" s="124">
        <f>IF($B19="","",IF(BC$3=0,"n.b.",INDEX(SRC_ZPMW03!$A$1:$ZZ$501,$A19,BC$3)))</f>
        <v>0</v>
      </c>
      <c r="BD19" s="124">
        <f>IF($B19="","",IF(BD$3=0,"n.b.",INDEX(SRC_ZPMW03!$A$1:$ZZ$501,$A19,BD$3)))</f>
        <v>0</v>
      </c>
      <c r="BE19" s="124">
        <f>IF($B19="","",IF(BE$3=0,"n.b.",INDEX(SRC_ZPMW03!$A$1:$ZZ$501,$A19,BE$3)))</f>
        <v>0</v>
      </c>
      <c r="BF19" s="124">
        <f>IF($B19="","",IF(BF$3=0,"n.b.",INDEX(SRC_ZPMW03!$A$1:$ZZ$501,$A19,BF$3)))</f>
        <v>27.3</v>
      </c>
      <c r="BG19">
        <f>IF($B19="","",IF(BG$3=0,"n.b.",INDEX(SRC_ZPMW03!$A$1:$ZZ$501,$A19,BG$3)))</f>
        <v>46143.0</v>
      </c>
      <c r="BH19">
        <f>IF($B19="","",IF(BH$3=0,"n.b.",INDEX(SRC_ZPMW03!$A$1:$ZZ$501,$A19,BH$3)))</f>
        <v>46508.0</v>
      </c>
      <c r="BI19">
        <f>IF($B19="","",IF(BI$3=0,"n.b.",INDEX(SRC_ZPMW03!$A$1:$ZZ$501,$A19,BI$3)))</f>
        <v>202912</v>
      </c>
      <c r="BJ19">
        <f>IF($B19="","",IF(BJ$3=0,"n.b.",INDEX(SRC_ZPMW03!$A$1:$ZZ$501,$A19,BJ$3)))</f>
        <v>2</v>
      </c>
      <c r="BK19" s="124">
        <f>IF($B19="","",IFERROR(-O19,"n.b."))</f>
        <v>5700240</v>
      </c>
      <c r="BL19" s="124">
        <f>IF($B19="","",IFERROR(-Q19,"n.b."))</f>
        <v>627026.4</v>
      </c>
      <c r="BM19" s="124">
        <f>IF($B19="","",IFERROR(-AB19,"n.b."))</f>
        <v>3069360</v>
      </c>
      <c r="BN19" s="124">
        <f>IF($B19="","",IFERROR(-AD19,"n.b."))</f>
        <v>337629.6</v>
      </c>
      <c r="BO19" s="124">
        <f>IF($B19="","",IFERROR(BK19+BM19,"n.b."))</f>
        <v>8769600</v>
      </c>
      <c r="BP19" s="124">
        <f>IF($B19="","",IFERROR(BL19+BN19,"n.b."))</f>
        <v>964656</v>
      </c>
      <c r="BQ19" s="124">
        <f>IF($B19="","",IFERROR(-AM19,"n.b."))</f>
        <v>7871760</v>
      </c>
      <c r="BR19" s="124">
        <f>IF($B19="","",IFERROR(-AO19,"n.b."))</f>
        <v>865893.6</v>
      </c>
      <c r="BS19" s="124">
        <f>IF($B19="","",IFERROR(-Z19,"n.b."))</f>
        <v>3069360</v>
      </c>
      <c r="BT19" s="124">
        <f>IF($B19="","",IFERROR(-AA19,"n.b."))</f>
        <v>337629.6</v>
      </c>
      <c r="BU19" s="124">
        <f>IF($B19="","",IFERROR(-AE19,"n.b."))</f>
        <v>1574352</v>
      </c>
      <c r="BV19" s="124">
        <f>IF($B19="","",IFERROR(-AF19,"n.b."))</f>
        <v>173178.72</v>
      </c>
      <c r="BW19" s="124">
        <f>IF($B19="","",IFERROR(-AG19,"n.b."))</f>
        <v>1967940</v>
      </c>
      <c r="BX19" s="124">
        <f>IF($B19="","",IFERROR(-AH19,"n.b."))</f>
        <v>216473.4</v>
      </c>
      <c r="BY19" s="124">
        <f>IF($B19="","",IFERROR(-AI19,"n.b."))</f>
        <v>2361528</v>
      </c>
      <c r="BZ19" s="124">
        <f>IF($B19="","",IFERROR(-AJ19,"n.b."))</f>
        <v>259768.08</v>
      </c>
      <c r="CA19" s="124">
        <f>IF($B19="","",IFERROR(-AK19,"n.b."))</f>
        <v>1967940</v>
      </c>
      <c r="CB19" s="124">
        <f>IF($B19="","",IFERROR(-AL19,"n.b."))</f>
        <v>216473.4</v>
      </c>
      <c r="CC19" s="124">
        <f>IF($B19="","",IFERROR(-AP19,"n.b."))</f>
        <v>4238640</v>
      </c>
      <c r="CD19" s="124">
        <f>IF($B19="","",IFERROR(-AQ19,"n.b."))</f>
        <v>466250.4</v>
      </c>
      <c r="CE19" s="124">
        <f>IF($B19="","",IFERROR(-AR19,"n.b."))</f>
        <v>0</v>
      </c>
      <c r="CF19" s="124">
        <f>IF($B19="","",IFERROR(-AS19,"n.b."))</f>
        <v>0</v>
      </c>
      <c r="CG19" s="124">
        <f>IF($B19="","",IFERROR(-AT19,"n.b."))</f>
        <v>0</v>
      </c>
      <c r="CH19" s="124">
        <f>IF($B19="","",IFERROR(-AU19,"n.b."))</f>
        <v>0</v>
      </c>
      <c r="CI19" s="124">
        <f>IF($B19="","",IFERROR(-AV19,"n.b."))</f>
        <v>0</v>
      </c>
      <c r="CJ19" s="124">
        <f>IF($B19="","",IFERROR(-AW19,"n.b."))</f>
        <v>0</v>
      </c>
      <c r="CK19" s="124">
        <f>IF($B19="","",IFERROR(-AX19,"n.b."))</f>
        <v>0</v>
      </c>
      <c r="CL19" s="124">
        <f>IF($B19="","",IFERROR(-AY19,"n.b."))</f>
        <v>0</v>
      </c>
      <c r="CM19" s="124">
        <f>IF($B19="","",IFERROR(-AZ19,"n.b."))</f>
        <v>0</v>
      </c>
      <c r="CN19" s="124">
        <f>IF($B19="","",IFERROR(-BA19,"n.b."))</f>
        <v>0</v>
      </c>
      <c r="CO19" s="124">
        <f>IF($B19="","",IFERROR(-BB19,"n.b."))</f>
        <v>0</v>
      </c>
      <c r="CP19" s="124">
        <f>IF($B19="","",IFERROR(-BC19,"n.b."))</f>
        <v>0</v>
      </c>
      <c r="CQ19" s="124">
        <f>IF($B19="","",IFERROR(-BD19,"n.b."))</f>
        <v>0</v>
      </c>
      <c r="CR19" s="124">
        <f>IF($B19="","",IFERROR(-BE19,"n.b."))</f>
        <v>0</v>
      </c>
      <c r="CS19" s="124">
        <f>IF($B19="","",IFERROR(IF(OR(ABS(T19+V19+X19+Z19-AB19)&gt;P_Tol,ABS(U19+W19+Y19+AA19-AD19)&gt;P_Tol,ABS(AE19+AG19+AI19+AK19-AM19)&gt;P_Tol,ABS(AF19+AH19+AJ19+AL19-AO19)&gt;P_Tol),1,0),1))</f>
        <v>0</v>
      </c>
      <c r="CT19" s="124">
        <f>IF($B19="","",IFERROR(IF(OR(ABS(AB19+AC19-AD19)&gt;P_Tol,ABS(AM19+AN19-AO19)&gt;P_Tol,ABS(O19+P19-Q19)&gt;P_Tol),1,0),1))</f>
        <v>0</v>
      </c>
      <c r="CU19" s="124">
        <f>IF($B19="","",IFERROR(IF(ABS(R19-(AB19+AM19+AP19+AR19+AT19+AV19+AX19+AZ19+BB19+BD19))&gt;P_Tol,1,0),1))</f>
        <v>0</v>
      </c>
      <c r="CV19" s="124">
        <f>IF($B19="","",IFERROR(IF(ABS(M19-(N19+O19+R19))&gt;P_Tol,1,0),1))</f>
        <v>0</v>
      </c>
      <c r="CW19" s="124">
        <f>IF($B19="","",IF(COUNTIF(Mapping!$A$5:$A$104,B19)&gt;0,1,0))</f>
        <v>1</v>
      </c>
      <c r="CX19" s="124">
        <f>IF($B19="","",COUNTIF($B$6:$B$505,B19))</f>
        <v>1</v>
      </c>
      <c r="CY19" s="124">
        <f>IF($B19="","",COUNTIF(STG_Woningetalage!$B$6:$B$505,B19))</f>
        <v>1</v>
      </c>
      <c r="CZ19" s="124" t="str">
        <f>IF($B19="","",IF(CW19=0,COUNTIF($CW$6:CW19,0),""))</f>
        <v/>
      </c>
    </row>
    <row r="20">
      <c r="A20" s="15" t="n">
        <v>16</v>
      </c>
      <c r="B20" t="str">
        <f>IF(B$3=0,"",IF(INDEX(SRC_ZPMW03!$A$1:$ZZ$501,$A20,B$3)&amp;""="","",INDEX(SRC_ZPMW03!$A$1:$ZZ$501,$A20,B$3)&amp;""))</f>
        <v>G.900015.8.9090</v>
      </c>
      <c r="C20" t="str">
        <f>IF($B20="","",IF(C$3=0,"n.b.",INDEX(SRC_ZPMW03!$A$1:$ZZ$501,$A20,C$3)))</f>
        <v>J</v>
      </c>
      <c r="D20">
        <f>IF($B20="","",IF(D$3=0,"n.b.",INDEX(SRC_ZPMW03!$A$1:$ZZ$501,$A20,D$3)))</f>
        <v>9901</v>
      </c>
      <c r="E20" t="str">
        <f>IF($B20="","",IF(E$3=0,"n.b.",INDEX(SRC_ZPMW03!$A$1:$ZZ$501,$A20,E$3)))</f>
        <v>Demo Ontwikkeling BV</v>
      </c>
      <c r="F20">
        <f>IF($B20="","",IF(F$3=0,"n.b.",INDEX(SRC_ZPMW03!$A$1:$ZZ$501,$A20,F$3)))</f>
        <v>9090</v>
      </c>
      <c r="G20" t="str">
        <f>IF($B20="","",IF(G$3=0,"n.b.",INDEX(SRC_ZPMW03!$A$1:$ZZ$501,$A20,G$3)))</f>
        <v>Demo Regio</v>
      </c>
      <c r="H20" t="str">
        <f>IF($B20="","",IF(H$3=0,"n.b.",INDEX(SRC_ZPMW03!$A$1:$ZZ$501,$A20,H$3)))</f>
        <v>WO-Wonen</v>
      </c>
      <c r="I20" t="str">
        <f>IF($B20="","",IF(I$3=0,"n.b.",INDEX(SRC_ZPMW03!$A$1:$ZZ$501,$A20,I$3)))</f>
        <v>G.900015</v>
      </c>
      <c r="J20" t="str">
        <f>IF($B20="","",IF(J$3=0,"n.b.",INDEX(SRC_ZPMW03!$A$1:$ZZ$501,$A20,J$3)))</f>
        <v>Lindehaven, Parkzoom fase 2</v>
      </c>
      <c r="K20" t="str">
        <f>IF($B20="","",IF(K$3=0,"n.b.",INDEX(SRC_ZPMW03!$A$1:$ZZ$501,$A20,K$3)))</f>
        <v>VRIJ BLOK</v>
      </c>
      <c r="L20" s="124">
        <f>IF($B20="","",IF(L$3=0,"n.b.",INDEX(SRC_ZPMW03!$A$1:$ZZ$501,$A20,L$3)))</f>
        <v>20</v>
      </c>
      <c r="M20" s="124">
        <f>IF($B20="","",IF(M$3=0,"n.b.",INDEX(SRC_ZPMW03!$A$1:$ZZ$501,$A20,M$3)))</f>
        <v>-33000000</v>
      </c>
      <c r="N20" s="124">
        <f>IF($B20="","",IF(N$3=0,"n.b.",INDEX(SRC_ZPMW03!$A$1:$ZZ$501,$A20,N$3)))</f>
        <v>0</v>
      </c>
      <c r="O20" s="124">
        <f>IF($B20="","",IF(O$3=0,"n.b.",INDEX(SRC_ZPMW03!$A$1:$ZZ$501,$A20,O$3)))</f>
        <v>-2145000</v>
      </c>
      <c r="P20" s="124">
        <f>IF($B20="","",IF(P$3=0,"n.b.",INDEX(SRC_ZPMW03!$A$1:$ZZ$501,$A20,P$3)))</f>
        <v>2005575</v>
      </c>
      <c r="Q20" s="124">
        <f>IF($B20="","",IF(Q$3=0,"n.b.",INDEX(SRC_ZPMW03!$A$1:$ZZ$501,$A20,Q$3)))</f>
        <v>-139425</v>
      </c>
      <c r="R20" s="124">
        <f>IF($B20="","",IF(R$3=0,"n.b.",INDEX(SRC_ZPMW03!$A$1:$ZZ$501,$A20,R$3)))</f>
        <v>-30855000</v>
      </c>
      <c r="S20" s="124">
        <f>IF($B20="","",IF(S$3=0,"n.b.",INDEX(SRC_ZPMW03!$A$1:$ZZ$501,$A20,S$3)))</f>
        <v>-2005575</v>
      </c>
      <c r="T20" s="124">
        <f>IF($B20="","",IF(T$3=0,"n.b.",INDEX(SRC_ZPMW03!$A$1:$ZZ$501,$A20,T$3)))</f>
        <v>0</v>
      </c>
      <c r="U20" s="124">
        <f>IF($B20="","",IF(U$3=0,"n.b.",INDEX(SRC_ZPMW03!$A$1:$ZZ$501,$A20,U$3)))</f>
        <v>0</v>
      </c>
      <c r="V20" s="124">
        <f>IF($B20="","",IF(V$3=0,"n.b.",INDEX(SRC_ZPMW03!$A$1:$ZZ$501,$A20,V$3)))</f>
        <v>0</v>
      </c>
      <c r="W20" s="124">
        <f>IF($B20="","",IF(W$3=0,"n.b.",INDEX(SRC_ZPMW03!$A$1:$ZZ$501,$A20,W$3)))</f>
        <v>0</v>
      </c>
      <c r="X20" s="124">
        <f>IF($B20="","",IF(X$3=0,"n.b.",INDEX(SRC_ZPMW03!$A$1:$ZZ$501,$A20,X$3)))</f>
        <v>0</v>
      </c>
      <c r="Y20" s="124">
        <f>IF($B20="","",IF(Y$3=0,"n.b.",INDEX(SRC_ZPMW03!$A$1:$ZZ$501,$A20,Y$3)))</f>
        <v>0</v>
      </c>
      <c r="Z20" s="124">
        <f>IF($B20="","",IF(Z$3=0,"n.b.",INDEX(SRC_ZPMW03!$A$1:$ZZ$501,$A20,Z$3)))</f>
        <v>-1155000</v>
      </c>
      <c r="AA20" s="124">
        <f>IF($B20="","",IF(AA$3=0,"n.b.",INDEX(SRC_ZPMW03!$A$1:$ZZ$501,$A20,AA$3)))</f>
        <v>-75075</v>
      </c>
      <c r="AB20" s="124">
        <f>IF($B20="","",IF(AB$3=0,"n.b.",INDEX(SRC_ZPMW03!$A$1:$ZZ$501,$A20,AB$3)))</f>
        <v>-1155000</v>
      </c>
      <c r="AC20" s="124">
        <f>IF($B20="","",IF(AC$3=0,"n.b.",INDEX(SRC_ZPMW03!$A$1:$ZZ$501,$A20,AC$3)))</f>
        <v>1079925</v>
      </c>
      <c r="AD20" s="124">
        <f>IF($B20="","",IF(AD$3=0,"n.b.",INDEX(SRC_ZPMW03!$A$1:$ZZ$501,$A20,AD$3)))</f>
        <v>-75075</v>
      </c>
      <c r="AE20" s="124">
        <f>IF($B20="","",IF(AE$3=0,"n.b.",INDEX(SRC_ZPMW03!$A$1:$ZZ$501,$A20,AE$3)))</f>
        <v>-3861000</v>
      </c>
      <c r="AF20" s="124">
        <f>IF($B20="","",IF(AF$3=0,"n.b.",INDEX(SRC_ZPMW03!$A$1:$ZZ$501,$A20,AF$3)))</f>
        <v>-250965</v>
      </c>
      <c r="AG20" s="124">
        <f>IF($B20="","",IF(AG$3=0,"n.b.",INDEX(SRC_ZPMW03!$A$1:$ZZ$501,$A20,AG$3)))</f>
        <v>-4826250</v>
      </c>
      <c r="AH20" s="124">
        <f>IF($B20="","",IF(AH$3=0,"n.b.",INDEX(SRC_ZPMW03!$A$1:$ZZ$501,$A20,AH$3)))</f>
        <v>-313706.25</v>
      </c>
      <c r="AI20" s="124">
        <f>IF($B20="","",IF(AI$3=0,"n.b.",INDEX(SRC_ZPMW03!$A$1:$ZZ$501,$A20,AI$3)))</f>
        <v>-5791500</v>
      </c>
      <c r="AJ20" s="124">
        <f>IF($B20="","",IF(AJ$3=0,"n.b.",INDEX(SRC_ZPMW03!$A$1:$ZZ$501,$A20,AJ$3)))</f>
        <v>-376447.5</v>
      </c>
      <c r="AK20" s="124">
        <f>IF($B20="","",IF(AK$3=0,"n.b.",INDEX(SRC_ZPMW03!$A$1:$ZZ$501,$A20,AK$3)))</f>
        <v>-4826250</v>
      </c>
      <c r="AL20" s="124">
        <f>IF($B20="","",IF(AL$3=0,"n.b.",INDEX(SRC_ZPMW03!$A$1:$ZZ$501,$A20,AL$3)))</f>
        <v>-313706.25</v>
      </c>
      <c r="AM20" s="124">
        <f>IF($B20="","",IF(AM$3=0,"n.b.",INDEX(SRC_ZPMW03!$A$1:$ZZ$501,$A20,AM$3)))</f>
        <v>-19305000</v>
      </c>
      <c r="AN20" s="124">
        <f>IF($B20="","",IF(AN$3=0,"n.b.",INDEX(SRC_ZPMW03!$A$1:$ZZ$501,$A20,AN$3)))</f>
        <v>18050175</v>
      </c>
      <c r="AO20" s="124">
        <f>IF($B20="","",IF(AO$3=0,"n.b.",INDEX(SRC_ZPMW03!$A$1:$ZZ$501,$A20,AO$3)))</f>
        <v>-1254825</v>
      </c>
      <c r="AP20" s="124">
        <f>IF($B20="","",IF(AP$3=0,"n.b.",INDEX(SRC_ZPMW03!$A$1:$ZZ$501,$A20,AP$3)))</f>
        <v>-10395000</v>
      </c>
      <c r="AQ20" s="124">
        <f>IF($B20="","",IF(AQ$3=0,"n.b.",INDEX(SRC_ZPMW03!$A$1:$ZZ$501,$A20,AQ$3)))</f>
        <v>-675675</v>
      </c>
      <c r="AR20" s="124">
        <f>IF($B20="","",IF(AR$3=0,"n.b.",INDEX(SRC_ZPMW03!$A$1:$ZZ$501,$A20,AR$3)))</f>
        <v>0</v>
      </c>
      <c r="AS20" s="124">
        <f>IF($B20="","",IF(AS$3=0,"n.b.",INDEX(SRC_ZPMW03!$A$1:$ZZ$501,$A20,AS$3)))</f>
        <v>0</v>
      </c>
      <c r="AT20" s="124">
        <f>IF($B20="","",IF(AT$3=0,"n.b.",INDEX(SRC_ZPMW03!$A$1:$ZZ$501,$A20,AT$3)))</f>
        <v>0</v>
      </c>
      <c r="AU20" s="124">
        <f>IF($B20="","",IF(AU$3=0,"n.b.",INDEX(SRC_ZPMW03!$A$1:$ZZ$501,$A20,AU$3)))</f>
        <v>0</v>
      </c>
      <c r="AV20" s="124">
        <f>IF($B20="","",IF(AV$3=0,"n.b.",INDEX(SRC_ZPMW03!$A$1:$ZZ$501,$A20,AV$3)))</f>
        <v>0</v>
      </c>
      <c r="AW20" s="124">
        <f>IF($B20="","",IF(AW$3=0,"n.b.",INDEX(SRC_ZPMW03!$A$1:$ZZ$501,$A20,AW$3)))</f>
        <v>0</v>
      </c>
      <c r="AX20" s="124">
        <f>IF($B20="","",IF(AX$3=0,"n.b.",INDEX(SRC_ZPMW03!$A$1:$ZZ$501,$A20,AX$3)))</f>
        <v>0</v>
      </c>
      <c r="AY20" s="124">
        <f>IF($B20="","",IF(AY$3=0,"n.b.",INDEX(SRC_ZPMW03!$A$1:$ZZ$501,$A20,AY$3)))</f>
        <v>0</v>
      </c>
      <c r="AZ20" s="124">
        <f>IF($B20="","",IF(AZ$3=0,"n.b.",INDEX(SRC_ZPMW03!$A$1:$ZZ$501,$A20,AZ$3)))</f>
        <v>0</v>
      </c>
      <c r="BA20" s="124">
        <f>IF($B20="","",IF(BA$3=0,"n.b.",INDEX(SRC_ZPMW03!$A$1:$ZZ$501,$A20,BA$3)))</f>
        <v>0</v>
      </c>
      <c r="BB20" s="124">
        <f>IF($B20="","",IF(BB$3=0,"n.b.",INDEX(SRC_ZPMW03!$A$1:$ZZ$501,$A20,BB$3)))</f>
        <v>0</v>
      </c>
      <c r="BC20" s="124">
        <f>IF($B20="","",IF(BC$3=0,"n.b.",INDEX(SRC_ZPMW03!$A$1:$ZZ$501,$A20,BC$3)))</f>
        <v>0</v>
      </c>
      <c r="BD20" s="124">
        <f>IF($B20="","",IF(BD$3=0,"n.b.",INDEX(SRC_ZPMW03!$A$1:$ZZ$501,$A20,BD$3)))</f>
        <v>0</v>
      </c>
      <c r="BE20" s="124">
        <f>IF($B20="","",IF(BE$3=0,"n.b.",INDEX(SRC_ZPMW03!$A$1:$ZZ$501,$A20,BE$3)))</f>
        <v>0</v>
      </c>
      <c r="BF20" s="124">
        <f>IF($B20="","",IF(BF$3=0,"n.b.",INDEX(SRC_ZPMW03!$A$1:$ZZ$501,$A20,BF$3)))</f>
        <v>6.5</v>
      </c>
      <c r="BG20">
        <f>IF($B20="","",IF(BG$3=0,"n.b.",INDEX(SRC_ZPMW03!$A$1:$ZZ$501,$A20,BG$3)))</f>
        <v>46174.0</v>
      </c>
      <c r="BH20">
        <f>IF($B20="","",IF(BH$3=0,"n.b.",INDEX(SRC_ZPMW03!$A$1:$ZZ$501,$A20,BH$3)))</f>
        <v>46539.0</v>
      </c>
      <c r="BI20">
        <f>IF($B20="","",IF(BI$3=0,"n.b.",INDEX(SRC_ZPMW03!$A$1:$ZZ$501,$A20,BI$3)))</f>
        <v>202912</v>
      </c>
      <c r="BJ20">
        <f>IF($B20="","",IF(BJ$3=0,"n.b.",INDEX(SRC_ZPMW03!$A$1:$ZZ$501,$A20,BJ$3)))</f>
        <v>3</v>
      </c>
      <c r="BK20" s="124">
        <f>IF($B20="","",IFERROR(-O20,"n.b."))</f>
        <v>2145000</v>
      </c>
      <c r="BL20" s="124">
        <f>IF($B20="","",IFERROR(-Q20,"n.b."))</f>
        <v>139425</v>
      </c>
      <c r="BM20" s="124">
        <f>IF($B20="","",IFERROR(-AB20,"n.b."))</f>
        <v>1155000</v>
      </c>
      <c r="BN20" s="124">
        <f>IF($B20="","",IFERROR(-AD20,"n.b."))</f>
        <v>75075</v>
      </c>
      <c r="BO20" s="124">
        <f>IF($B20="","",IFERROR(BK20+BM20,"n.b."))</f>
        <v>3300000</v>
      </c>
      <c r="BP20" s="124">
        <f>IF($B20="","",IFERROR(BL20+BN20,"n.b."))</f>
        <v>214500</v>
      </c>
      <c r="BQ20" s="124">
        <f>IF($B20="","",IFERROR(-AM20,"n.b."))</f>
        <v>19305000</v>
      </c>
      <c r="BR20" s="124">
        <f>IF($B20="","",IFERROR(-AO20,"n.b."))</f>
        <v>1254825</v>
      </c>
      <c r="BS20" s="124">
        <f>IF($B20="","",IFERROR(-Z20,"n.b."))</f>
        <v>1155000</v>
      </c>
      <c r="BT20" s="124">
        <f>IF($B20="","",IFERROR(-AA20,"n.b."))</f>
        <v>75075</v>
      </c>
      <c r="BU20" s="124">
        <f>IF($B20="","",IFERROR(-AE20,"n.b."))</f>
        <v>3861000</v>
      </c>
      <c r="BV20" s="124">
        <f>IF($B20="","",IFERROR(-AF20,"n.b."))</f>
        <v>250965</v>
      </c>
      <c r="BW20" s="124">
        <f>IF($B20="","",IFERROR(-AG20,"n.b."))</f>
        <v>4826250</v>
      </c>
      <c r="BX20" s="124">
        <f>IF($B20="","",IFERROR(-AH20,"n.b."))</f>
        <v>313706.25</v>
      </c>
      <c r="BY20" s="124">
        <f>IF($B20="","",IFERROR(-AI20,"n.b."))</f>
        <v>5791500</v>
      </c>
      <c r="BZ20" s="124">
        <f>IF($B20="","",IFERROR(-AJ20,"n.b."))</f>
        <v>376447.5</v>
      </c>
      <c r="CA20" s="124">
        <f>IF($B20="","",IFERROR(-AK20,"n.b."))</f>
        <v>4826250</v>
      </c>
      <c r="CB20" s="124">
        <f>IF($B20="","",IFERROR(-AL20,"n.b."))</f>
        <v>313706.25</v>
      </c>
      <c r="CC20" s="124">
        <f>IF($B20="","",IFERROR(-AP20,"n.b."))</f>
        <v>10395000</v>
      </c>
      <c r="CD20" s="124">
        <f>IF($B20="","",IFERROR(-AQ20,"n.b."))</f>
        <v>675675</v>
      </c>
      <c r="CE20" s="124">
        <f>IF($B20="","",IFERROR(-AR20,"n.b."))</f>
        <v>0</v>
      </c>
      <c r="CF20" s="124">
        <f>IF($B20="","",IFERROR(-AS20,"n.b."))</f>
        <v>0</v>
      </c>
      <c r="CG20" s="124">
        <f>IF($B20="","",IFERROR(-AT20,"n.b."))</f>
        <v>0</v>
      </c>
      <c r="CH20" s="124">
        <f>IF($B20="","",IFERROR(-AU20,"n.b."))</f>
        <v>0</v>
      </c>
      <c r="CI20" s="124">
        <f>IF($B20="","",IFERROR(-AV20,"n.b."))</f>
        <v>0</v>
      </c>
      <c r="CJ20" s="124">
        <f>IF($B20="","",IFERROR(-AW20,"n.b."))</f>
        <v>0</v>
      </c>
      <c r="CK20" s="124">
        <f>IF($B20="","",IFERROR(-AX20,"n.b."))</f>
        <v>0</v>
      </c>
      <c r="CL20" s="124">
        <f>IF($B20="","",IFERROR(-AY20,"n.b."))</f>
        <v>0</v>
      </c>
      <c r="CM20" s="124">
        <f>IF($B20="","",IFERROR(-AZ20,"n.b."))</f>
        <v>0</v>
      </c>
      <c r="CN20" s="124">
        <f>IF($B20="","",IFERROR(-BA20,"n.b."))</f>
        <v>0</v>
      </c>
      <c r="CO20" s="124">
        <f>IF($B20="","",IFERROR(-BB20,"n.b."))</f>
        <v>0</v>
      </c>
      <c r="CP20" s="124">
        <f>IF($B20="","",IFERROR(-BC20,"n.b."))</f>
        <v>0</v>
      </c>
      <c r="CQ20" s="124">
        <f>IF($B20="","",IFERROR(-BD20,"n.b."))</f>
        <v>0</v>
      </c>
      <c r="CR20" s="124">
        <f>IF($B20="","",IFERROR(-BE20,"n.b."))</f>
        <v>0</v>
      </c>
      <c r="CS20" s="124">
        <f>IF($B20="","",IFERROR(IF(OR(ABS(T20+V20+X20+Z20-AB20)&gt;P_Tol,ABS(U20+W20+Y20+AA20-AD20)&gt;P_Tol,ABS(AE20+AG20+AI20+AK20-AM20)&gt;P_Tol,ABS(AF20+AH20+AJ20+AL20-AO20)&gt;P_Tol),1,0),1))</f>
        <v>0</v>
      </c>
      <c r="CT20" s="124">
        <f>IF($B20="","",IFERROR(IF(OR(ABS(AB20+AC20-AD20)&gt;P_Tol,ABS(AM20+AN20-AO20)&gt;P_Tol,ABS(O20+P20-Q20)&gt;P_Tol),1,0),1))</f>
        <v>0</v>
      </c>
      <c r="CU20" s="124">
        <f>IF($B20="","",IFERROR(IF(ABS(R20-(AB20+AM20+AP20+AR20+AT20+AV20+AX20+AZ20+BB20+BD20))&gt;P_Tol,1,0),1))</f>
        <v>0</v>
      </c>
      <c r="CV20" s="124">
        <f>IF($B20="","",IFERROR(IF(ABS(M20-(N20+O20+R20))&gt;P_Tol,1,0),1))</f>
        <v>0</v>
      </c>
      <c r="CW20" s="124">
        <f>IF($B20="","",IF(COUNTIF(Mapping!$A$5:$A$104,B20)&gt;0,1,0))</f>
        <v>1</v>
      </c>
      <c r="CX20" s="124">
        <f>IF($B20="","",COUNTIF($B$6:$B$505,B20))</f>
        <v>1</v>
      </c>
      <c r="CY20" s="124">
        <f>IF($B20="","",COUNTIF(STG_Woningetalage!$B$6:$B$505,B20))</f>
        <v>1</v>
      </c>
      <c r="CZ20" s="124" t="str">
        <f>IF($B20="","",IF(CW20=0,COUNTIF($CW$6:CW20,0),""))</f>
        <v/>
      </c>
    </row>
    <row r="21">
      <c r="A21" s="15" t="n">
        <v>17</v>
      </c>
      <c r="B21" t="str">
        <f>IF(B$3=0,"",IF(INDEX(SRC_ZPMW03!$A$1:$ZZ$501,$A21,B$3)&amp;""="","",INDEX(SRC_ZPMW03!$A$1:$ZZ$501,$A21,B$3)&amp;""))</f>
        <v>G.900016.8.9090</v>
      </c>
      <c r="C21" t="str">
        <f>IF($B21="","",IF(C$3=0,"n.b.",INDEX(SRC_ZPMW03!$A$1:$ZZ$501,$A21,C$3)))</f>
        <v>J</v>
      </c>
      <c r="D21">
        <f>IF($B21="","",IF(D$3=0,"n.b.",INDEX(SRC_ZPMW03!$A$1:$ZZ$501,$A21,D$3)))</f>
        <v>9901</v>
      </c>
      <c r="E21" t="str">
        <f>IF($B21="","",IF(E$3=0,"n.b.",INDEX(SRC_ZPMW03!$A$1:$ZZ$501,$A21,E$3)))</f>
        <v>Demo Ontwikkeling BV</v>
      </c>
      <c r="F21">
        <f>IF($B21="","",IF(F$3=0,"n.b.",INDEX(SRC_ZPMW03!$A$1:$ZZ$501,$A21,F$3)))</f>
        <v>9090</v>
      </c>
      <c r="G21" t="str">
        <f>IF($B21="","",IF(G$3=0,"n.b.",INDEX(SRC_ZPMW03!$A$1:$ZZ$501,$A21,G$3)))</f>
        <v>Demo Regio</v>
      </c>
      <c r="H21" t="str">
        <f>IF($B21="","",IF(H$3=0,"n.b.",INDEX(SRC_ZPMW03!$A$1:$ZZ$501,$A21,H$3)))</f>
        <v>WO-Wonen</v>
      </c>
      <c r="I21" t="str">
        <f>IF($B21="","",IF(I$3=0,"n.b.",INDEX(SRC_ZPMW03!$A$1:$ZZ$501,$A21,I$3)))</f>
        <v>G.900016</v>
      </c>
      <c r="J21" t="str">
        <f>IF($B21="","",IF(J$3=0,"n.b.",INDEX(SRC_ZPMW03!$A$1:$ZZ$501,$A21,J$3)))</f>
        <v>Duinwaard, De Lantaarn</v>
      </c>
      <c r="K21" t="str">
        <f>IF($B21="","",IF(K$3=0,"n.b.",INDEX(SRC_ZPMW03!$A$1:$ZZ$501,$A21,K$3)))</f>
        <v>VRIJ BLOK</v>
      </c>
      <c r="L21" s="124">
        <f>IF($B21="","",IF(L$3=0,"n.b.",INDEX(SRC_ZPMW03!$A$1:$ZZ$501,$A21,L$3)))</f>
        <v>100</v>
      </c>
      <c r="M21" s="124">
        <f>IF($B21="","",IF(M$3=0,"n.b.",INDEX(SRC_ZPMW03!$A$1:$ZZ$501,$A21,M$3)))</f>
        <v>-12800000</v>
      </c>
      <c r="N21" s="124">
        <f>IF($B21="","",IF(N$3=0,"n.b.",INDEX(SRC_ZPMW03!$A$1:$ZZ$501,$A21,N$3)))</f>
        <v>0</v>
      </c>
      <c r="O21" s="124">
        <f>IF($B21="","",IF(O$3=0,"n.b.",INDEX(SRC_ZPMW03!$A$1:$ZZ$501,$A21,O$3)))</f>
        <v>-3161600</v>
      </c>
      <c r="P21" s="124">
        <f>IF($B21="","",IF(P$3=0,"n.b.",INDEX(SRC_ZPMW03!$A$1:$ZZ$501,$A21,P$3)))</f>
        <v>2718976</v>
      </c>
      <c r="Q21" s="124">
        <f>IF($B21="","",IF(Q$3=0,"n.b.",INDEX(SRC_ZPMW03!$A$1:$ZZ$501,$A21,Q$3)))</f>
        <v>-442624</v>
      </c>
      <c r="R21" s="124">
        <f>IF($B21="","",IF(R$3=0,"n.b.",INDEX(SRC_ZPMW03!$A$1:$ZZ$501,$A21,R$3)))</f>
        <v>-9638400</v>
      </c>
      <c r="S21" s="124">
        <f>IF($B21="","",IF(S$3=0,"n.b.",INDEX(SRC_ZPMW03!$A$1:$ZZ$501,$A21,S$3)))</f>
        <v>-1349376</v>
      </c>
      <c r="T21" s="124">
        <f>IF($B21="","",IF(T$3=0,"n.b.",INDEX(SRC_ZPMW03!$A$1:$ZZ$501,$A21,T$3)))</f>
        <v>0</v>
      </c>
      <c r="U21" s="124">
        <f>IF($B21="","",IF(U$3=0,"n.b.",INDEX(SRC_ZPMW03!$A$1:$ZZ$501,$A21,U$3)))</f>
        <v>0</v>
      </c>
      <c r="V21" s="124">
        <f>IF($B21="","",IF(V$3=0,"n.b.",INDEX(SRC_ZPMW03!$A$1:$ZZ$501,$A21,V$3)))</f>
        <v>0</v>
      </c>
      <c r="W21" s="124">
        <f>IF($B21="","",IF(W$3=0,"n.b.",INDEX(SRC_ZPMW03!$A$1:$ZZ$501,$A21,W$3)))</f>
        <v>0</v>
      </c>
      <c r="X21" s="124">
        <f>IF($B21="","",IF(X$3=0,"n.b.",INDEX(SRC_ZPMW03!$A$1:$ZZ$501,$A21,X$3)))</f>
        <v>0</v>
      </c>
      <c r="Y21" s="124">
        <f>IF($B21="","",IF(Y$3=0,"n.b.",INDEX(SRC_ZPMW03!$A$1:$ZZ$501,$A21,Y$3)))</f>
        <v>0</v>
      </c>
      <c r="Z21" s="124">
        <f>IF($B21="","",IF(Z$3=0,"n.b.",INDEX(SRC_ZPMW03!$A$1:$ZZ$501,$A21,Z$3)))</f>
        <v>-1702400</v>
      </c>
      <c r="AA21" s="124">
        <f>IF($B21="","",IF(AA$3=0,"n.b.",INDEX(SRC_ZPMW03!$A$1:$ZZ$501,$A21,AA$3)))</f>
        <v>-238336</v>
      </c>
      <c r="AB21" s="124">
        <f>IF($B21="","",IF(AB$3=0,"n.b.",INDEX(SRC_ZPMW03!$A$1:$ZZ$501,$A21,AB$3)))</f>
        <v>-1702400</v>
      </c>
      <c r="AC21" s="124">
        <f>IF($B21="","",IF(AC$3=0,"n.b.",INDEX(SRC_ZPMW03!$A$1:$ZZ$501,$A21,AC$3)))</f>
        <v>1464064</v>
      </c>
      <c r="AD21" s="124">
        <f>IF($B21="","",IF(AD$3=0,"n.b.",INDEX(SRC_ZPMW03!$A$1:$ZZ$501,$A21,AD$3)))</f>
        <v>-238336</v>
      </c>
      <c r="AE21" s="124">
        <f>IF($B21="","",IF(AE$3=0,"n.b.",INDEX(SRC_ZPMW03!$A$1:$ZZ$501,$A21,AE$3)))</f>
        <v>-1031680</v>
      </c>
      <c r="AF21" s="124">
        <f>IF($B21="","",IF(AF$3=0,"n.b.",INDEX(SRC_ZPMW03!$A$1:$ZZ$501,$A21,AF$3)))</f>
        <v>-144435.2</v>
      </c>
      <c r="AG21" s="124">
        <f>IF($B21="","",IF(AG$3=0,"n.b.",INDEX(SRC_ZPMW03!$A$1:$ZZ$501,$A21,AG$3)))</f>
        <v>-1289600</v>
      </c>
      <c r="AH21" s="124">
        <f>IF($B21="","",IF(AH$3=0,"n.b.",INDEX(SRC_ZPMW03!$A$1:$ZZ$501,$A21,AH$3)))</f>
        <v>-180544</v>
      </c>
      <c r="AI21" s="124">
        <f>IF($B21="","",IF(AI$3=0,"n.b.",INDEX(SRC_ZPMW03!$A$1:$ZZ$501,$A21,AI$3)))</f>
        <v>-1547520</v>
      </c>
      <c r="AJ21" s="124">
        <f>IF($B21="","",IF(AJ$3=0,"n.b.",INDEX(SRC_ZPMW03!$A$1:$ZZ$501,$A21,AJ$3)))</f>
        <v>-216652.8</v>
      </c>
      <c r="AK21" s="124">
        <f>IF($B21="","",IF(AK$3=0,"n.b.",INDEX(SRC_ZPMW03!$A$1:$ZZ$501,$A21,AK$3)))</f>
        <v>-1289600</v>
      </c>
      <c r="AL21" s="124">
        <f>IF($B21="","",IF(AL$3=0,"n.b.",INDEX(SRC_ZPMW03!$A$1:$ZZ$501,$A21,AL$3)))</f>
        <v>-180544</v>
      </c>
      <c r="AM21" s="124">
        <f>IF($B21="","",IF(AM$3=0,"n.b.",INDEX(SRC_ZPMW03!$A$1:$ZZ$501,$A21,AM$3)))</f>
        <v>-5158400</v>
      </c>
      <c r="AN21" s="124">
        <f>IF($B21="","",IF(AN$3=0,"n.b.",INDEX(SRC_ZPMW03!$A$1:$ZZ$501,$A21,AN$3)))</f>
        <v>4436224</v>
      </c>
      <c r="AO21" s="124">
        <f>IF($B21="","",IF(AO$3=0,"n.b.",INDEX(SRC_ZPMW03!$A$1:$ZZ$501,$A21,AO$3)))</f>
        <v>-722176</v>
      </c>
      <c r="AP21" s="124">
        <f>IF($B21="","",IF(AP$3=0,"n.b.",INDEX(SRC_ZPMW03!$A$1:$ZZ$501,$A21,AP$3)))</f>
        <v>-2777600</v>
      </c>
      <c r="AQ21" s="124">
        <f>IF($B21="","",IF(AQ$3=0,"n.b.",INDEX(SRC_ZPMW03!$A$1:$ZZ$501,$A21,AQ$3)))</f>
        <v>-388864</v>
      </c>
      <c r="AR21" s="124">
        <f>IF($B21="","",IF(AR$3=0,"n.b.",INDEX(SRC_ZPMW03!$A$1:$ZZ$501,$A21,AR$3)))</f>
        <v>0</v>
      </c>
      <c r="AS21" s="124">
        <f>IF($B21="","",IF(AS$3=0,"n.b.",INDEX(SRC_ZPMW03!$A$1:$ZZ$501,$A21,AS$3)))</f>
        <v>0</v>
      </c>
      <c r="AT21" s="124">
        <f>IF($B21="","",IF(AT$3=0,"n.b.",INDEX(SRC_ZPMW03!$A$1:$ZZ$501,$A21,AT$3)))</f>
        <v>0</v>
      </c>
      <c r="AU21" s="124">
        <f>IF($B21="","",IF(AU$3=0,"n.b.",INDEX(SRC_ZPMW03!$A$1:$ZZ$501,$A21,AU$3)))</f>
        <v>0</v>
      </c>
      <c r="AV21" s="124">
        <f>IF($B21="","",IF(AV$3=0,"n.b.",INDEX(SRC_ZPMW03!$A$1:$ZZ$501,$A21,AV$3)))</f>
        <v>0</v>
      </c>
      <c r="AW21" s="124">
        <f>IF($B21="","",IF(AW$3=0,"n.b.",INDEX(SRC_ZPMW03!$A$1:$ZZ$501,$A21,AW$3)))</f>
        <v>0</v>
      </c>
      <c r="AX21" s="124">
        <f>IF($B21="","",IF(AX$3=0,"n.b.",INDEX(SRC_ZPMW03!$A$1:$ZZ$501,$A21,AX$3)))</f>
        <v>0</v>
      </c>
      <c r="AY21" s="124">
        <f>IF($B21="","",IF(AY$3=0,"n.b.",INDEX(SRC_ZPMW03!$A$1:$ZZ$501,$A21,AY$3)))</f>
        <v>0</v>
      </c>
      <c r="AZ21" s="124">
        <f>IF($B21="","",IF(AZ$3=0,"n.b.",INDEX(SRC_ZPMW03!$A$1:$ZZ$501,$A21,AZ$3)))</f>
        <v>0</v>
      </c>
      <c r="BA21" s="124">
        <f>IF($B21="","",IF(BA$3=0,"n.b.",INDEX(SRC_ZPMW03!$A$1:$ZZ$501,$A21,BA$3)))</f>
        <v>0</v>
      </c>
      <c r="BB21" s="124">
        <f>IF($B21="","",IF(BB$3=0,"n.b.",INDEX(SRC_ZPMW03!$A$1:$ZZ$501,$A21,BB$3)))</f>
        <v>0</v>
      </c>
      <c r="BC21" s="124">
        <f>IF($B21="","",IF(BC$3=0,"n.b.",INDEX(SRC_ZPMW03!$A$1:$ZZ$501,$A21,BC$3)))</f>
        <v>0</v>
      </c>
      <c r="BD21" s="124">
        <f>IF($B21="","",IF(BD$3=0,"n.b.",INDEX(SRC_ZPMW03!$A$1:$ZZ$501,$A21,BD$3)))</f>
        <v>0</v>
      </c>
      <c r="BE21" s="124">
        <f>IF($B21="","",IF(BE$3=0,"n.b.",INDEX(SRC_ZPMW03!$A$1:$ZZ$501,$A21,BE$3)))</f>
        <v>0</v>
      </c>
      <c r="BF21" s="124">
        <f>IF($B21="","",IF(BF$3=0,"n.b.",INDEX(SRC_ZPMW03!$A$1:$ZZ$501,$A21,BF$3)))</f>
        <v>24.7</v>
      </c>
      <c r="BG21">
        <f>IF($B21="","",IF(BG$3=0,"n.b.",INDEX(SRC_ZPMW03!$A$1:$ZZ$501,$A21,BG$3)))</f>
        <v>46204.0</v>
      </c>
      <c r="BH21">
        <f>IF($B21="","",IF(BH$3=0,"n.b.",INDEX(SRC_ZPMW03!$A$1:$ZZ$501,$A21,BH$3)))</f>
        <v>46569.0</v>
      </c>
      <c r="BI21">
        <f>IF($B21="","",IF(BI$3=0,"n.b.",INDEX(SRC_ZPMW03!$A$1:$ZZ$501,$A21,BI$3)))</f>
        <v>202912</v>
      </c>
      <c r="BJ21">
        <f>IF($B21="","",IF(BJ$3=0,"n.b.",INDEX(SRC_ZPMW03!$A$1:$ZZ$501,$A21,BJ$3)))</f>
        <v>1</v>
      </c>
      <c r="BK21" s="124">
        <f>IF($B21="","",IFERROR(-O21,"n.b."))</f>
        <v>3161600</v>
      </c>
      <c r="BL21" s="124">
        <f>IF($B21="","",IFERROR(-Q21,"n.b."))</f>
        <v>442624</v>
      </c>
      <c r="BM21" s="124">
        <f>IF($B21="","",IFERROR(-AB21,"n.b."))</f>
        <v>1702400</v>
      </c>
      <c r="BN21" s="124">
        <f>IF($B21="","",IFERROR(-AD21,"n.b."))</f>
        <v>238336</v>
      </c>
      <c r="BO21" s="124">
        <f>IF($B21="","",IFERROR(BK21+BM21,"n.b."))</f>
        <v>4864000</v>
      </c>
      <c r="BP21" s="124">
        <f>IF($B21="","",IFERROR(BL21+BN21,"n.b."))</f>
        <v>680960</v>
      </c>
      <c r="BQ21" s="124">
        <f>IF($B21="","",IFERROR(-AM21,"n.b."))</f>
        <v>5158400</v>
      </c>
      <c r="BR21" s="124">
        <f>IF($B21="","",IFERROR(-AO21,"n.b."))</f>
        <v>722176</v>
      </c>
      <c r="BS21" s="124">
        <f>IF($B21="","",IFERROR(-Z21,"n.b."))</f>
        <v>1702400</v>
      </c>
      <c r="BT21" s="124">
        <f>IF($B21="","",IFERROR(-AA21,"n.b."))</f>
        <v>238336</v>
      </c>
      <c r="BU21" s="124">
        <f>IF($B21="","",IFERROR(-AE21,"n.b."))</f>
        <v>1031680</v>
      </c>
      <c r="BV21" s="124">
        <f>IF($B21="","",IFERROR(-AF21,"n.b."))</f>
        <v>144435.2</v>
      </c>
      <c r="BW21" s="124">
        <f>IF($B21="","",IFERROR(-AG21,"n.b."))</f>
        <v>1289600</v>
      </c>
      <c r="BX21" s="124">
        <f>IF($B21="","",IFERROR(-AH21,"n.b."))</f>
        <v>180544</v>
      </c>
      <c r="BY21" s="124">
        <f>IF($B21="","",IFERROR(-AI21,"n.b."))</f>
        <v>1547520</v>
      </c>
      <c r="BZ21" s="124">
        <f>IF($B21="","",IFERROR(-AJ21,"n.b."))</f>
        <v>216652.8</v>
      </c>
      <c r="CA21" s="124">
        <f>IF($B21="","",IFERROR(-AK21,"n.b."))</f>
        <v>1289600</v>
      </c>
      <c r="CB21" s="124">
        <f>IF($B21="","",IFERROR(-AL21,"n.b."))</f>
        <v>180544</v>
      </c>
      <c r="CC21" s="124">
        <f>IF($B21="","",IFERROR(-AP21,"n.b."))</f>
        <v>2777600</v>
      </c>
      <c r="CD21" s="124">
        <f>IF($B21="","",IFERROR(-AQ21,"n.b."))</f>
        <v>388864</v>
      </c>
      <c r="CE21" s="124">
        <f>IF($B21="","",IFERROR(-AR21,"n.b."))</f>
        <v>0</v>
      </c>
      <c r="CF21" s="124">
        <f>IF($B21="","",IFERROR(-AS21,"n.b."))</f>
        <v>0</v>
      </c>
      <c r="CG21" s="124">
        <f>IF($B21="","",IFERROR(-AT21,"n.b."))</f>
        <v>0</v>
      </c>
      <c r="CH21" s="124">
        <f>IF($B21="","",IFERROR(-AU21,"n.b."))</f>
        <v>0</v>
      </c>
      <c r="CI21" s="124">
        <f>IF($B21="","",IFERROR(-AV21,"n.b."))</f>
        <v>0</v>
      </c>
      <c r="CJ21" s="124">
        <f>IF($B21="","",IFERROR(-AW21,"n.b."))</f>
        <v>0</v>
      </c>
      <c r="CK21" s="124">
        <f>IF($B21="","",IFERROR(-AX21,"n.b."))</f>
        <v>0</v>
      </c>
      <c r="CL21" s="124">
        <f>IF($B21="","",IFERROR(-AY21,"n.b."))</f>
        <v>0</v>
      </c>
      <c r="CM21" s="124">
        <f>IF($B21="","",IFERROR(-AZ21,"n.b."))</f>
        <v>0</v>
      </c>
      <c r="CN21" s="124">
        <f>IF($B21="","",IFERROR(-BA21,"n.b."))</f>
        <v>0</v>
      </c>
      <c r="CO21" s="124">
        <f>IF($B21="","",IFERROR(-BB21,"n.b."))</f>
        <v>0</v>
      </c>
      <c r="CP21" s="124">
        <f>IF($B21="","",IFERROR(-BC21,"n.b."))</f>
        <v>0</v>
      </c>
      <c r="CQ21" s="124">
        <f>IF($B21="","",IFERROR(-BD21,"n.b."))</f>
        <v>0</v>
      </c>
      <c r="CR21" s="124">
        <f>IF($B21="","",IFERROR(-BE21,"n.b."))</f>
        <v>0</v>
      </c>
      <c r="CS21" s="124">
        <f>IF($B21="","",IFERROR(IF(OR(ABS(T21+V21+X21+Z21-AB21)&gt;P_Tol,ABS(U21+W21+Y21+AA21-AD21)&gt;P_Tol,ABS(AE21+AG21+AI21+AK21-AM21)&gt;P_Tol,ABS(AF21+AH21+AJ21+AL21-AO21)&gt;P_Tol),1,0),1))</f>
        <v>0</v>
      </c>
      <c r="CT21" s="124">
        <f>IF($B21="","",IFERROR(IF(OR(ABS(AB21+AC21-AD21)&gt;P_Tol,ABS(AM21+AN21-AO21)&gt;P_Tol,ABS(O21+P21-Q21)&gt;P_Tol),1,0),1))</f>
        <v>0</v>
      </c>
      <c r="CU21" s="124">
        <f>IF($B21="","",IFERROR(IF(ABS(R21-(AB21+AM21+AP21+AR21+AT21+AV21+AX21+AZ21+BB21+BD21))&gt;P_Tol,1,0),1))</f>
        <v>0</v>
      </c>
      <c r="CV21" s="124">
        <f>IF($B21="","",IFERROR(IF(ABS(M21-(N21+O21+R21))&gt;P_Tol,1,0),1))</f>
        <v>0</v>
      </c>
      <c r="CW21" s="124">
        <f>IF($B21="","",IF(COUNTIF(Mapping!$A$5:$A$104,B21)&gt;0,1,0))</f>
        <v>1</v>
      </c>
      <c r="CX21" s="124">
        <f>IF($B21="","",COUNTIF($B$6:$B$505,B21))</f>
        <v>1</v>
      </c>
      <c r="CY21" s="124">
        <f>IF($B21="","",COUNTIF(STG_Woningetalage!$B$6:$B$505,B21))</f>
        <v>1</v>
      </c>
      <c r="CZ21" s="124" t="str">
        <f>IF($B21="","",IF(CW21=0,COUNTIF($CW$6:CW21,0),""))</f>
        <v/>
      </c>
    </row>
    <row r="22">
      <c r="A22" s="15" t="n">
        <v>18</v>
      </c>
      <c r="B22" t="str">
        <f>IF(B$3=0,"",IF(INDEX(SRC_ZPMW03!$A$1:$ZZ$501,$A22,B$3)&amp;""="","",INDEX(SRC_ZPMW03!$A$1:$ZZ$501,$A22,B$3)&amp;""))</f>
        <v>G.900017.8.9090</v>
      </c>
      <c r="C22" t="str">
        <f>IF($B22="","",IF(C$3=0,"n.b.",INDEX(SRC_ZPMW03!$A$1:$ZZ$501,$A22,C$3)))</f>
        <v>J</v>
      </c>
      <c r="D22">
        <f>IF($B22="","",IF(D$3=0,"n.b.",INDEX(SRC_ZPMW03!$A$1:$ZZ$501,$A22,D$3)))</f>
        <v>9901</v>
      </c>
      <c r="E22" t="str">
        <f>IF($B22="","",IF(E$3=0,"n.b.",INDEX(SRC_ZPMW03!$A$1:$ZZ$501,$A22,E$3)))</f>
        <v>Demo Ontwikkeling BV</v>
      </c>
      <c r="F22">
        <f>IF($B22="","",IF(F$3=0,"n.b.",INDEX(SRC_ZPMW03!$A$1:$ZZ$501,$A22,F$3)))</f>
        <v>9090</v>
      </c>
      <c r="G22" t="str">
        <f>IF($B22="","",IF(G$3=0,"n.b.",INDEX(SRC_ZPMW03!$A$1:$ZZ$501,$A22,G$3)))</f>
        <v>Demo Regio</v>
      </c>
      <c r="H22" t="str">
        <f>IF($B22="","",IF(H$3=0,"n.b.",INDEX(SRC_ZPMW03!$A$1:$ZZ$501,$A22,H$3)))</f>
        <v>WO-Wonen</v>
      </c>
      <c r="I22" t="str">
        <f>IF($B22="","",IF(I$3=0,"n.b.",INDEX(SRC_ZPMW03!$A$1:$ZZ$501,$A22,I$3)))</f>
        <v>G.900017</v>
      </c>
      <c r="J22" t="str">
        <f>IF($B22="","",IF(J$3=0,"n.b.",INDEX(SRC_ZPMW03!$A$1:$ZZ$501,$A22,J$3)))</f>
        <v>Veldendam, Spoorpark</v>
      </c>
      <c r="K22" t="str">
        <f>IF($B22="","",IF(K$3=0,"n.b.",INDEX(SRC_ZPMW03!$A$1:$ZZ$501,$A22,K$3)))</f>
        <v>VRIJ BLOK</v>
      </c>
      <c r="L22" s="124">
        <f>IF($B22="","",IF(L$3=0,"n.b.",INDEX(SRC_ZPMW03!$A$1:$ZZ$501,$A22,L$3)))</f>
        <v>80</v>
      </c>
      <c r="M22" s="124">
        <f>IF($B22="","",IF(M$3=0,"n.b.",INDEX(SRC_ZPMW03!$A$1:$ZZ$501,$A22,M$3)))</f>
        <v>-47040000</v>
      </c>
      <c r="N22" s="124">
        <f>IF($B22="","",IF(N$3=0,"n.b.",INDEX(SRC_ZPMW03!$A$1:$ZZ$501,$A22,N$3)))</f>
        <v>0</v>
      </c>
      <c r="O22" s="124">
        <f>IF($B22="","",IF(O$3=0,"n.b.",INDEX(SRC_ZPMW03!$A$1:$ZZ$501,$A22,O$3)))</f>
        <v>-7644000</v>
      </c>
      <c r="P22" s="124">
        <f>IF($B22="","",IF(P$3=0,"n.b.",INDEX(SRC_ZPMW03!$A$1:$ZZ$501,$A22,P$3)))</f>
        <v>6879600</v>
      </c>
      <c r="Q22" s="124">
        <f>IF($B22="","",IF(Q$3=0,"n.b.",INDEX(SRC_ZPMW03!$A$1:$ZZ$501,$A22,Q$3)))</f>
        <v>-764400</v>
      </c>
      <c r="R22" s="124">
        <f>IF($B22="","",IF(R$3=0,"n.b.",INDEX(SRC_ZPMW03!$A$1:$ZZ$501,$A22,R$3)))</f>
        <v>-39396000</v>
      </c>
      <c r="S22" s="124">
        <f>IF($B22="","",IF(S$3=0,"n.b.",INDEX(SRC_ZPMW03!$A$1:$ZZ$501,$A22,S$3)))</f>
        <v>-3939600</v>
      </c>
      <c r="T22" s="124">
        <f>IF($B22="","",IF(T$3=0,"n.b.",INDEX(SRC_ZPMW03!$A$1:$ZZ$501,$A22,T$3)))</f>
        <v>0</v>
      </c>
      <c r="U22" s="124">
        <f>IF($B22="","",IF(U$3=0,"n.b.",INDEX(SRC_ZPMW03!$A$1:$ZZ$501,$A22,U$3)))</f>
        <v>0</v>
      </c>
      <c r="V22" s="124">
        <f>IF($B22="","",IF(V$3=0,"n.b.",INDEX(SRC_ZPMW03!$A$1:$ZZ$501,$A22,V$3)))</f>
        <v>0</v>
      </c>
      <c r="W22" s="124">
        <f>IF($B22="","",IF(W$3=0,"n.b.",INDEX(SRC_ZPMW03!$A$1:$ZZ$501,$A22,W$3)))</f>
        <v>0</v>
      </c>
      <c r="X22" s="124">
        <f>IF($B22="","",IF(X$3=0,"n.b.",INDEX(SRC_ZPMW03!$A$1:$ZZ$501,$A22,X$3)))</f>
        <v>0</v>
      </c>
      <c r="Y22" s="124">
        <f>IF($B22="","",IF(Y$3=0,"n.b.",INDEX(SRC_ZPMW03!$A$1:$ZZ$501,$A22,Y$3)))</f>
        <v>0</v>
      </c>
      <c r="Z22" s="124">
        <f>IF($B22="","",IF(Z$3=0,"n.b.",INDEX(SRC_ZPMW03!$A$1:$ZZ$501,$A22,Z$3)))</f>
        <v>-4116000</v>
      </c>
      <c r="AA22" s="124">
        <f>IF($B22="","",IF(AA$3=0,"n.b.",INDEX(SRC_ZPMW03!$A$1:$ZZ$501,$A22,AA$3)))</f>
        <v>-411600</v>
      </c>
      <c r="AB22" s="124">
        <f>IF($B22="","",IF(AB$3=0,"n.b.",INDEX(SRC_ZPMW03!$A$1:$ZZ$501,$A22,AB$3)))</f>
        <v>-4116000</v>
      </c>
      <c r="AC22" s="124">
        <f>IF($B22="","",IF(AC$3=0,"n.b.",INDEX(SRC_ZPMW03!$A$1:$ZZ$501,$A22,AC$3)))</f>
        <v>3704400</v>
      </c>
      <c r="AD22" s="124">
        <f>IF($B22="","",IF(AD$3=0,"n.b.",INDEX(SRC_ZPMW03!$A$1:$ZZ$501,$A22,AD$3)))</f>
        <v>-411600</v>
      </c>
      <c r="AE22" s="124">
        <f>IF($B22="","",IF(AE$3=0,"n.b.",INDEX(SRC_ZPMW03!$A$1:$ZZ$501,$A22,AE$3)))</f>
        <v>-4586400</v>
      </c>
      <c r="AF22" s="124">
        <f>IF($B22="","",IF(AF$3=0,"n.b.",INDEX(SRC_ZPMW03!$A$1:$ZZ$501,$A22,AF$3)))</f>
        <v>-458640</v>
      </c>
      <c r="AG22" s="124">
        <f>IF($B22="","",IF(AG$3=0,"n.b.",INDEX(SRC_ZPMW03!$A$1:$ZZ$501,$A22,AG$3)))</f>
        <v>-5733000</v>
      </c>
      <c r="AH22" s="124">
        <f>IF($B22="","",IF(AH$3=0,"n.b.",INDEX(SRC_ZPMW03!$A$1:$ZZ$501,$A22,AH$3)))</f>
        <v>-573300</v>
      </c>
      <c r="AI22" s="124">
        <f>IF($B22="","",IF(AI$3=0,"n.b.",INDEX(SRC_ZPMW03!$A$1:$ZZ$501,$A22,AI$3)))</f>
        <v>-6879600</v>
      </c>
      <c r="AJ22" s="124">
        <f>IF($B22="","",IF(AJ$3=0,"n.b.",INDEX(SRC_ZPMW03!$A$1:$ZZ$501,$A22,AJ$3)))</f>
        <v>-687960</v>
      </c>
      <c r="AK22" s="124">
        <f>IF($B22="","",IF(AK$3=0,"n.b.",INDEX(SRC_ZPMW03!$A$1:$ZZ$501,$A22,AK$3)))</f>
        <v>-5733000</v>
      </c>
      <c r="AL22" s="124">
        <f>IF($B22="","",IF(AL$3=0,"n.b.",INDEX(SRC_ZPMW03!$A$1:$ZZ$501,$A22,AL$3)))</f>
        <v>-573300</v>
      </c>
      <c r="AM22" s="124">
        <f>IF($B22="","",IF(AM$3=0,"n.b.",INDEX(SRC_ZPMW03!$A$1:$ZZ$501,$A22,AM$3)))</f>
        <v>-22932000</v>
      </c>
      <c r="AN22" s="124">
        <f>IF($B22="","",IF(AN$3=0,"n.b.",INDEX(SRC_ZPMW03!$A$1:$ZZ$501,$A22,AN$3)))</f>
        <v>20638800</v>
      </c>
      <c r="AO22" s="124">
        <f>IF($B22="","",IF(AO$3=0,"n.b.",INDEX(SRC_ZPMW03!$A$1:$ZZ$501,$A22,AO$3)))</f>
        <v>-2293200</v>
      </c>
      <c r="AP22" s="124">
        <f>IF($B22="","",IF(AP$3=0,"n.b.",INDEX(SRC_ZPMW03!$A$1:$ZZ$501,$A22,AP$3)))</f>
        <v>-12348000</v>
      </c>
      <c r="AQ22" s="124">
        <f>IF($B22="","",IF(AQ$3=0,"n.b.",INDEX(SRC_ZPMW03!$A$1:$ZZ$501,$A22,AQ$3)))</f>
        <v>-1234800</v>
      </c>
      <c r="AR22" s="124">
        <f>IF($B22="","",IF(AR$3=0,"n.b.",INDEX(SRC_ZPMW03!$A$1:$ZZ$501,$A22,AR$3)))</f>
        <v>0</v>
      </c>
      <c r="AS22" s="124">
        <f>IF($B22="","",IF(AS$3=0,"n.b.",INDEX(SRC_ZPMW03!$A$1:$ZZ$501,$A22,AS$3)))</f>
        <v>0</v>
      </c>
      <c r="AT22" s="124">
        <f>IF($B22="","",IF(AT$3=0,"n.b.",INDEX(SRC_ZPMW03!$A$1:$ZZ$501,$A22,AT$3)))</f>
        <v>0</v>
      </c>
      <c r="AU22" s="124">
        <f>IF($B22="","",IF(AU$3=0,"n.b.",INDEX(SRC_ZPMW03!$A$1:$ZZ$501,$A22,AU$3)))</f>
        <v>0</v>
      </c>
      <c r="AV22" s="124">
        <f>IF($B22="","",IF(AV$3=0,"n.b.",INDEX(SRC_ZPMW03!$A$1:$ZZ$501,$A22,AV$3)))</f>
        <v>0</v>
      </c>
      <c r="AW22" s="124">
        <f>IF($B22="","",IF(AW$3=0,"n.b.",INDEX(SRC_ZPMW03!$A$1:$ZZ$501,$A22,AW$3)))</f>
        <v>0</v>
      </c>
      <c r="AX22" s="124">
        <f>IF($B22="","",IF(AX$3=0,"n.b.",INDEX(SRC_ZPMW03!$A$1:$ZZ$501,$A22,AX$3)))</f>
        <v>0</v>
      </c>
      <c r="AY22" s="124">
        <f>IF($B22="","",IF(AY$3=0,"n.b.",INDEX(SRC_ZPMW03!$A$1:$ZZ$501,$A22,AY$3)))</f>
        <v>0</v>
      </c>
      <c r="AZ22" s="124">
        <f>IF($B22="","",IF(AZ$3=0,"n.b.",INDEX(SRC_ZPMW03!$A$1:$ZZ$501,$A22,AZ$3)))</f>
        <v>0</v>
      </c>
      <c r="BA22" s="124">
        <f>IF($B22="","",IF(BA$3=0,"n.b.",INDEX(SRC_ZPMW03!$A$1:$ZZ$501,$A22,BA$3)))</f>
        <v>0</v>
      </c>
      <c r="BB22" s="124">
        <f>IF($B22="","",IF(BB$3=0,"n.b.",INDEX(SRC_ZPMW03!$A$1:$ZZ$501,$A22,BB$3)))</f>
        <v>0</v>
      </c>
      <c r="BC22" s="124">
        <f>IF($B22="","",IF(BC$3=0,"n.b.",INDEX(SRC_ZPMW03!$A$1:$ZZ$501,$A22,BC$3)))</f>
        <v>0</v>
      </c>
      <c r="BD22" s="124">
        <f>IF($B22="","",IF(BD$3=0,"n.b.",INDEX(SRC_ZPMW03!$A$1:$ZZ$501,$A22,BD$3)))</f>
        <v>0</v>
      </c>
      <c r="BE22" s="124">
        <f>IF($B22="","",IF(BE$3=0,"n.b.",INDEX(SRC_ZPMW03!$A$1:$ZZ$501,$A22,BE$3)))</f>
        <v>0</v>
      </c>
      <c r="BF22" s="124">
        <f>IF($B22="","",IF(BF$3=0,"n.b.",INDEX(SRC_ZPMW03!$A$1:$ZZ$501,$A22,BF$3)))</f>
        <v>16.25</v>
      </c>
      <c r="BG22">
        <f>IF($B22="","",IF(BG$3=0,"n.b.",INDEX(SRC_ZPMW03!$A$1:$ZZ$501,$A22,BG$3)))</f>
        <v>46235.0</v>
      </c>
      <c r="BH22">
        <f>IF($B22="","",IF(BH$3=0,"n.b.",INDEX(SRC_ZPMW03!$A$1:$ZZ$501,$A22,BH$3)))</f>
        <v>46600.0</v>
      </c>
      <c r="BI22">
        <f>IF($B22="","",IF(BI$3=0,"n.b.",INDEX(SRC_ZPMW03!$A$1:$ZZ$501,$A22,BI$3)))</f>
        <v>202912</v>
      </c>
      <c r="BJ22">
        <f>IF($B22="","",IF(BJ$3=0,"n.b.",INDEX(SRC_ZPMW03!$A$1:$ZZ$501,$A22,BJ$3)))</f>
        <v>2</v>
      </c>
      <c r="BK22" s="124">
        <f>IF($B22="","",IFERROR(-O22,"n.b."))</f>
        <v>7644000</v>
      </c>
      <c r="BL22" s="124">
        <f>IF($B22="","",IFERROR(-Q22,"n.b."))</f>
        <v>764400</v>
      </c>
      <c r="BM22" s="124">
        <f>IF($B22="","",IFERROR(-AB22,"n.b."))</f>
        <v>4116000</v>
      </c>
      <c r="BN22" s="124">
        <f>IF($B22="","",IFERROR(-AD22,"n.b."))</f>
        <v>411600</v>
      </c>
      <c r="BO22" s="124">
        <f>IF($B22="","",IFERROR(BK22+BM22,"n.b."))</f>
        <v>11760000</v>
      </c>
      <c r="BP22" s="124">
        <f>IF($B22="","",IFERROR(BL22+BN22,"n.b."))</f>
        <v>1176000</v>
      </c>
      <c r="BQ22" s="124">
        <f>IF($B22="","",IFERROR(-AM22,"n.b."))</f>
        <v>22932000</v>
      </c>
      <c r="BR22" s="124">
        <f>IF($B22="","",IFERROR(-AO22,"n.b."))</f>
        <v>2293200</v>
      </c>
      <c r="BS22" s="124">
        <f>IF($B22="","",IFERROR(-Z22,"n.b."))</f>
        <v>4116000</v>
      </c>
      <c r="BT22" s="124">
        <f>IF($B22="","",IFERROR(-AA22,"n.b."))</f>
        <v>411600</v>
      </c>
      <c r="BU22" s="124">
        <f>IF($B22="","",IFERROR(-AE22,"n.b."))</f>
        <v>4586400</v>
      </c>
      <c r="BV22" s="124">
        <f>IF($B22="","",IFERROR(-AF22,"n.b."))</f>
        <v>458640</v>
      </c>
      <c r="BW22" s="124">
        <f>IF($B22="","",IFERROR(-AG22,"n.b."))</f>
        <v>5733000</v>
      </c>
      <c r="BX22" s="124">
        <f>IF($B22="","",IFERROR(-AH22,"n.b."))</f>
        <v>573300</v>
      </c>
      <c r="BY22" s="124">
        <f>IF($B22="","",IFERROR(-AI22,"n.b."))</f>
        <v>6879600</v>
      </c>
      <c r="BZ22" s="124">
        <f>IF($B22="","",IFERROR(-AJ22,"n.b."))</f>
        <v>687960</v>
      </c>
      <c r="CA22" s="124">
        <f>IF($B22="","",IFERROR(-AK22,"n.b."))</f>
        <v>5733000</v>
      </c>
      <c r="CB22" s="124">
        <f>IF($B22="","",IFERROR(-AL22,"n.b."))</f>
        <v>573300</v>
      </c>
      <c r="CC22" s="124">
        <f>IF($B22="","",IFERROR(-AP22,"n.b."))</f>
        <v>12348000</v>
      </c>
      <c r="CD22" s="124">
        <f>IF($B22="","",IFERROR(-AQ22,"n.b."))</f>
        <v>1234800</v>
      </c>
      <c r="CE22" s="124">
        <f>IF($B22="","",IFERROR(-AR22,"n.b."))</f>
        <v>0</v>
      </c>
      <c r="CF22" s="124">
        <f>IF($B22="","",IFERROR(-AS22,"n.b."))</f>
        <v>0</v>
      </c>
      <c r="CG22" s="124">
        <f>IF($B22="","",IFERROR(-AT22,"n.b."))</f>
        <v>0</v>
      </c>
      <c r="CH22" s="124">
        <f>IF($B22="","",IFERROR(-AU22,"n.b."))</f>
        <v>0</v>
      </c>
      <c r="CI22" s="124">
        <f>IF($B22="","",IFERROR(-AV22,"n.b."))</f>
        <v>0</v>
      </c>
      <c r="CJ22" s="124">
        <f>IF($B22="","",IFERROR(-AW22,"n.b."))</f>
        <v>0</v>
      </c>
      <c r="CK22" s="124">
        <f>IF($B22="","",IFERROR(-AX22,"n.b."))</f>
        <v>0</v>
      </c>
      <c r="CL22" s="124">
        <f>IF($B22="","",IFERROR(-AY22,"n.b."))</f>
        <v>0</v>
      </c>
      <c r="CM22" s="124">
        <f>IF($B22="","",IFERROR(-AZ22,"n.b."))</f>
        <v>0</v>
      </c>
      <c r="CN22" s="124">
        <f>IF($B22="","",IFERROR(-BA22,"n.b."))</f>
        <v>0</v>
      </c>
      <c r="CO22" s="124">
        <f>IF($B22="","",IFERROR(-BB22,"n.b."))</f>
        <v>0</v>
      </c>
      <c r="CP22" s="124">
        <f>IF($B22="","",IFERROR(-BC22,"n.b."))</f>
        <v>0</v>
      </c>
      <c r="CQ22" s="124">
        <f>IF($B22="","",IFERROR(-BD22,"n.b."))</f>
        <v>0</v>
      </c>
      <c r="CR22" s="124">
        <f>IF($B22="","",IFERROR(-BE22,"n.b."))</f>
        <v>0</v>
      </c>
      <c r="CS22" s="124">
        <f>IF($B22="","",IFERROR(IF(OR(ABS(T22+V22+X22+Z22-AB22)&gt;P_Tol,ABS(U22+W22+Y22+AA22-AD22)&gt;P_Tol,ABS(AE22+AG22+AI22+AK22-AM22)&gt;P_Tol,ABS(AF22+AH22+AJ22+AL22-AO22)&gt;P_Tol),1,0),1))</f>
        <v>0</v>
      </c>
      <c r="CT22" s="124">
        <f>IF($B22="","",IFERROR(IF(OR(ABS(AB22+AC22-AD22)&gt;P_Tol,ABS(AM22+AN22-AO22)&gt;P_Tol,ABS(O22+P22-Q22)&gt;P_Tol),1,0),1))</f>
        <v>0</v>
      </c>
      <c r="CU22" s="124">
        <f>IF($B22="","",IFERROR(IF(ABS(R22-(AB22+AM22+AP22+AR22+AT22+AV22+AX22+AZ22+BB22+BD22))&gt;P_Tol,1,0),1))</f>
        <v>0</v>
      </c>
      <c r="CV22" s="124">
        <f>IF($B22="","",IFERROR(IF(ABS(M22-(N22+O22+R22))&gt;P_Tol,1,0),1))</f>
        <v>0</v>
      </c>
      <c r="CW22" s="124">
        <f>IF($B22="","",IF(COUNTIF(Mapping!$A$5:$A$104,B22)&gt;0,1,0))</f>
        <v>1</v>
      </c>
      <c r="CX22" s="124">
        <f>IF($B22="","",COUNTIF($B$6:$B$505,B22))</f>
        <v>1</v>
      </c>
      <c r="CY22" s="124">
        <f>IF($B22="","",COUNTIF(STG_Woningetalage!$B$6:$B$505,B22))</f>
        <v>1</v>
      </c>
      <c r="CZ22" s="124" t="str">
        <f>IF($B22="","",IF(CW22=0,COUNTIF($CW$6:CW22,0),""))</f>
        <v/>
      </c>
    </row>
    <row r="23">
      <c r="A23" s="15" t="n">
        <v>19</v>
      </c>
      <c r="B23" t="str">
        <f>IF(B$3=0,"",IF(INDEX(SRC_ZPMW03!$A$1:$ZZ$501,$A23,B$3)&amp;""="","",INDEX(SRC_ZPMW03!$A$1:$ZZ$501,$A23,B$3)&amp;""))</f>
        <v>G.900018.8.9090</v>
      </c>
      <c r="C23" t="str">
        <f>IF($B23="","",IF(C$3=0,"n.b.",INDEX(SRC_ZPMW03!$A$1:$ZZ$501,$A23,C$3)))</f>
        <v>N</v>
      </c>
      <c r="D23">
        <f>IF($B23="","",IF(D$3=0,"n.b.",INDEX(SRC_ZPMW03!$A$1:$ZZ$501,$A23,D$3)))</f>
        <v>9902</v>
      </c>
      <c r="E23" t="str">
        <f>IF($B23="","",IF(E$3=0,"n.b.",INDEX(SRC_ZPMW03!$A$1:$ZZ$501,$A23,E$3)))</f>
        <v>Demo Gebiedscombinatie BV</v>
      </c>
      <c r="F23">
        <f>IF($B23="","",IF(F$3=0,"n.b.",INDEX(SRC_ZPMW03!$A$1:$ZZ$501,$A23,F$3)))</f>
        <v>9090</v>
      </c>
      <c r="G23" t="str">
        <f>IF($B23="","",IF(G$3=0,"n.b.",INDEX(SRC_ZPMW03!$A$1:$ZZ$501,$A23,G$3)))</f>
        <v>Demo Regio</v>
      </c>
      <c r="H23" t="str">
        <f>IF($B23="","",IF(H$3=0,"n.b.",INDEX(SRC_ZPMW03!$A$1:$ZZ$501,$A23,H$3)))</f>
        <v>WO-Wonen</v>
      </c>
      <c r="I23" t="str">
        <f>IF($B23="","",IF(I$3=0,"n.b.",INDEX(SRC_ZPMW03!$A$1:$ZZ$501,$A23,I$3)))</f>
        <v>G.900018</v>
      </c>
      <c r="J23" t="str">
        <f>IF($B23="","",IF(J$3=0,"n.b.",INDEX(SRC_ZPMW03!$A$1:$ZZ$501,$A23,J$3)))</f>
        <v>Meerhovenstad, De Boog</v>
      </c>
      <c r="K23" t="str">
        <f>IF($B23="","",IF(K$3=0,"n.b.",INDEX(SRC_ZPMW03!$A$1:$ZZ$501,$A23,K$3)))</f>
        <v>VRIJ BLOK</v>
      </c>
      <c r="L23" s="124">
        <f>IF($B23="","",IF(L$3=0,"n.b.",INDEX(SRC_ZPMW03!$A$1:$ZZ$501,$A23,L$3)))</f>
        <v>60</v>
      </c>
      <c r="M23" s="124">
        <f>IF($B23="","",IF(M$3=0,"n.b.",INDEX(SRC_ZPMW03!$A$1:$ZZ$501,$A23,M$3)))</f>
        <v>-12040000</v>
      </c>
      <c r="N23" s="124">
        <f>IF($B23="","",IF(N$3=0,"n.b.",INDEX(SRC_ZPMW03!$A$1:$ZZ$501,$A23,N$3)))</f>
        <v>0</v>
      </c>
      <c r="O23" s="124">
        <f>IF($B23="","",IF(O$3=0,"n.b.",INDEX(SRC_ZPMW03!$A$1:$ZZ$501,$A23,O$3)))</f>
        <v>-1173900</v>
      </c>
      <c r="P23" s="124">
        <f>IF($B23="","",IF(P$3=0,"n.b.",INDEX(SRC_ZPMW03!$A$1:$ZZ$501,$A23,P$3)))</f>
        <v>1209117</v>
      </c>
      <c r="Q23" s="124">
        <f>IF($B23="","",IF(Q$3=0,"n.b.",INDEX(SRC_ZPMW03!$A$1:$ZZ$501,$A23,Q$3)))</f>
        <v>35217</v>
      </c>
      <c r="R23" s="124">
        <f>IF($B23="","",IF(R$3=0,"n.b.",INDEX(SRC_ZPMW03!$A$1:$ZZ$501,$A23,R$3)))</f>
        <v>-10866100</v>
      </c>
      <c r="S23" s="124">
        <f>IF($B23="","",IF(S$3=0,"n.b.",INDEX(SRC_ZPMW03!$A$1:$ZZ$501,$A23,S$3)))</f>
        <v>325983</v>
      </c>
      <c r="T23" s="124">
        <f>IF($B23="","",IF(T$3=0,"n.b.",INDEX(SRC_ZPMW03!$A$1:$ZZ$501,$A23,T$3)))</f>
        <v>0</v>
      </c>
      <c r="U23" s="124">
        <f>IF($B23="","",IF(U$3=0,"n.b.",INDEX(SRC_ZPMW03!$A$1:$ZZ$501,$A23,U$3)))</f>
        <v>0</v>
      </c>
      <c r="V23" s="124">
        <f>IF($B23="","",IF(V$3=0,"n.b.",INDEX(SRC_ZPMW03!$A$1:$ZZ$501,$A23,V$3)))</f>
        <v>0</v>
      </c>
      <c r="W23" s="124">
        <f>IF($B23="","",IF(W$3=0,"n.b.",INDEX(SRC_ZPMW03!$A$1:$ZZ$501,$A23,W$3)))</f>
        <v>0</v>
      </c>
      <c r="X23" s="124">
        <f>IF($B23="","",IF(X$3=0,"n.b.",INDEX(SRC_ZPMW03!$A$1:$ZZ$501,$A23,X$3)))</f>
        <v>0</v>
      </c>
      <c r="Y23" s="124">
        <f>IF($B23="","",IF(Y$3=0,"n.b.",INDEX(SRC_ZPMW03!$A$1:$ZZ$501,$A23,Y$3)))</f>
        <v>0</v>
      </c>
      <c r="Z23" s="124">
        <f>IF($B23="","",IF(Z$3=0,"n.b.",INDEX(SRC_ZPMW03!$A$1:$ZZ$501,$A23,Z$3)))</f>
        <v>-632100</v>
      </c>
      <c r="AA23" s="124">
        <f>IF($B23="","",IF(AA$3=0,"n.b.",INDEX(SRC_ZPMW03!$A$1:$ZZ$501,$A23,AA$3)))</f>
        <v>18963</v>
      </c>
      <c r="AB23" s="124">
        <f>IF($B23="","",IF(AB$3=0,"n.b.",INDEX(SRC_ZPMW03!$A$1:$ZZ$501,$A23,AB$3)))</f>
        <v>-632100</v>
      </c>
      <c r="AC23" s="124">
        <f>IF($B23="","",IF(AC$3=0,"n.b.",INDEX(SRC_ZPMW03!$A$1:$ZZ$501,$A23,AC$3)))</f>
        <v>651063</v>
      </c>
      <c r="AD23" s="124">
        <f>IF($B23="","",IF(AD$3=0,"n.b.",INDEX(SRC_ZPMW03!$A$1:$ZZ$501,$A23,AD$3)))</f>
        <v>18963</v>
      </c>
      <c r="AE23" s="124">
        <f>IF($B23="","",IF(AE$3=0,"n.b.",INDEX(SRC_ZPMW03!$A$1:$ZZ$501,$A23,AE$3)))</f>
        <v>-1330420</v>
      </c>
      <c r="AF23" s="124">
        <f>IF($B23="","",IF(AF$3=0,"n.b.",INDEX(SRC_ZPMW03!$A$1:$ZZ$501,$A23,AF$3)))</f>
        <v>39912.6</v>
      </c>
      <c r="AG23" s="124">
        <f>IF($B23="","",IF(AG$3=0,"n.b.",INDEX(SRC_ZPMW03!$A$1:$ZZ$501,$A23,AG$3)))</f>
        <v>-1663025</v>
      </c>
      <c r="AH23" s="124">
        <f>IF($B23="","",IF(AH$3=0,"n.b.",INDEX(SRC_ZPMW03!$A$1:$ZZ$501,$A23,AH$3)))</f>
        <v>49890.75</v>
      </c>
      <c r="AI23" s="124">
        <f>IF($B23="","",IF(AI$3=0,"n.b.",INDEX(SRC_ZPMW03!$A$1:$ZZ$501,$A23,AI$3)))</f>
        <v>-1995630</v>
      </c>
      <c r="AJ23" s="124">
        <f>IF($B23="","",IF(AJ$3=0,"n.b.",INDEX(SRC_ZPMW03!$A$1:$ZZ$501,$A23,AJ$3)))</f>
        <v>59868.9</v>
      </c>
      <c r="AK23" s="124">
        <f>IF($B23="","",IF(AK$3=0,"n.b.",INDEX(SRC_ZPMW03!$A$1:$ZZ$501,$A23,AK$3)))</f>
        <v>-1663025</v>
      </c>
      <c r="AL23" s="124">
        <f>IF($B23="","",IF(AL$3=0,"n.b.",INDEX(SRC_ZPMW03!$A$1:$ZZ$501,$A23,AL$3)))</f>
        <v>49890.75</v>
      </c>
      <c r="AM23" s="124">
        <f>IF($B23="","",IF(AM$3=0,"n.b.",INDEX(SRC_ZPMW03!$A$1:$ZZ$501,$A23,AM$3)))</f>
        <v>-6652100</v>
      </c>
      <c r="AN23" s="124">
        <f>IF($B23="","",IF(AN$3=0,"n.b.",INDEX(SRC_ZPMW03!$A$1:$ZZ$501,$A23,AN$3)))</f>
        <v>6851663</v>
      </c>
      <c r="AO23" s="124">
        <f>IF($B23="","",IF(AO$3=0,"n.b.",INDEX(SRC_ZPMW03!$A$1:$ZZ$501,$A23,AO$3)))</f>
        <v>199563</v>
      </c>
      <c r="AP23" s="124">
        <f>IF($B23="","",IF(AP$3=0,"n.b.",INDEX(SRC_ZPMW03!$A$1:$ZZ$501,$A23,AP$3)))</f>
        <v>-3581900</v>
      </c>
      <c r="AQ23" s="124">
        <f>IF($B23="","",IF(AQ$3=0,"n.b.",INDEX(SRC_ZPMW03!$A$1:$ZZ$501,$A23,AQ$3)))</f>
        <v>107457</v>
      </c>
      <c r="AR23" s="124">
        <f>IF($B23="","",IF(AR$3=0,"n.b.",INDEX(SRC_ZPMW03!$A$1:$ZZ$501,$A23,AR$3)))</f>
        <v>0</v>
      </c>
      <c r="AS23" s="124">
        <f>IF($B23="","",IF(AS$3=0,"n.b.",INDEX(SRC_ZPMW03!$A$1:$ZZ$501,$A23,AS$3)))</f>
        <v>0</v>
      </c>
      <c r="AT23" s="124">
        <f>IF($B23="","",IF(AT$3=0,"n.b.",INDEX(SRC_ZPMW03!$A$1:$ZZ$501,$A23,AT$3)))</f>
        <v>0</v>
      </c>
      <c r="AU23" s="124">
        <f>IF($B23="","",IF(AU$3=0,"n.b.",INDEX(SRC_ZPMW03!$A$1:$ZZ$501,$A23,AU$3)))</f>
        <v>0</v>
      </c>
      <c r="AV23" s="124">
        <f>IF($B23="","",IF(AV$3=0,"n.b.",INDEX(SRC_ZPMW03!$A$1:$ZZ$501,$A23,AV$3)))</f>
        <v>0</v>
      </c>
      <c r="AW23" s="124">
        <f>IF($B23="","",IF(AW$3=0,"n.b.",INDEX(SRC_ZPMW03!$A$1:$ZZ$501,$A23,AW$3)))</f>
        <v>0</v>
      </c>
      <c r="AX23" s="124">
        <f>IF($B23="","",IF(AX$3=0,"n.b.",INDEX(SRC_ZPMW03!$A$1:$ZZ$501,$A23,AX$3)))</f>
        <v>0</v>
      </c>
      <c r="AY23" s="124">
        <f>IF($B23="","",IF(AY$3=0,"n.b.",INDEX(SRC_ZPMW03!$A$1:$ZZ$501,$A23,AY$3)))</f>
        <v>0</v>
      </c>
      <c r="AZ23" s="124">
        <f>IF($B23="","",IF(AZ$3=0,"n.b.",INDEX(SRC_ZPMW03!$A$1:$ZZ$501,$A23,AZ$3)))</f>
        <v>0</v>
      </c>
      <c r="BA23" s="124">
        <f>IF($B23="","",IF(BA$3=0,"n.b.",INDEX(SRC_ZPMW03!$A$1:$ZZ$501,$A23,BA$3)))</f>
        <v>0</v>
      </c>
      <c r="BB23" s="124">
        <f>IF($B23="","",IF(BB$3=0,"n.b.",INDEX(SRC_ZPMW03!$A$1:$ZZ$501,$A23,BB$3)))</f>
        <v>0</v>
      </c>
      <c r="BC23" s="124">
        <f>IF($B23="","",IF(BC$3=0,"n.b.",INDEX(SRC_ZPMW03!$A$1:$ZZ$501,$A23,BC$3)))</f>
        <v>0</v>
      </c>
      <c r="BD23" s="124">
        <f>IF($B23="","",IF(BD$3=0,"n.b.",INDEX(SRC_ZPMW03!$A$1:$ZZ$501,$A23,BD$3)))</f>
        <v>0</v>
      </c>
      <c r="BE23" s="124">
        <f>IF($B23="","",IF(BE$3=0,"n.b.",INDEX(SRC_ZPMW03!$A$1:$ZZ$501,$A23,BE$3)))</f>
        <v>0</v>
      </c>
      <c r="BF23" s="124">
        <f>IF($B23="","",IF(BF$3=0,"n.b.",INDEX(SRC_ZPMW03!$A$1:$ZZ$501,$A23,BF$3)))</f>
        <v>9.75</v>
      </c>
      <c r="BG23">
        <f>IF($B23="","",IF(BG$3=0,"n.b.",INDEX(SRC_ZPMW03!$A$1:$ZZ$501,$A23,BG$3)))</f>
        <v>46266.0</v>
      </c>
      <c r="BH23">
        <f>IF($B23="","",IF(BH$3=0,"n.b.",INDEX(SRC_ZPMW03!$A$1:$ZZ$501,$A23,BH$3)))</f>
        <v>46631.0</v>
      </c>
      <c r="BI23">
        <f>IF($B23="","",IF(BI$3=0,"n.b.",INDEX(SRC_ZPMW03!$A$1:$ZZ$501,$A23,BI$3)))</f>
        <v>202912</v>
      </c>
      <c r="BJ23">
        <f>IF($B23="","",IF(BJ$3=0,"n.b.",INDEX(SRC_ZPMW03!$A$1:$ZZ$501,$A23,BJ$3)))</f>
        <v>3</v>
      </c>
      <c r="BK23" s="124">
        <f>IF($B23="","",IFERROR(-O23,"n.b."))</f>
        <v>1173900</v>
      </c>
      <c r="BL23" s="124">
        <f>IF($B23="","",IFERROR(-Q23,"n.b."))</f>
        <v>-35217</v>
      </c>
      <c r="BM23" s="124">
        <f>IF($B23="","",IFERROR(-AB23,"n.b."))</f>
        <v>632100</v>
      </c>
      <c r="BN23" s="124">
        <f>IF($B23="","",IFERROR(-AD23,"n.b."))</f>
        <v>-18963</v>
      </c>
      <c r="BO23" s="124">
        <f>IF($B23="","",IFERROR(BK23+BM23,"n.b."))</f>
        <v>1806000</v>
      </c>
      <c r="BP23" s="124">
        <f>IF($B23="","",IFERROR(BL23+BN23,"n.b."))</f>
        <v>-54180</v>
      </c>
      <c r="BQ23" s="124">
        <f>IF($B23="","",IFERROR(-AM23,"n.b."))</f>
        <v>6652100</v>
      </c>
      <c r="BR23" s="124">
        <f>IF($B23="","",IFERROR(-AO23,"n.b."))</f>
        <v>-199563</v>
      </c>
      <c r="BS23" s="124">
        <f>IF($B23="","",IFERROR(-Z23,"n.b."))</f>
        <v>632100</v>
      </c>
      <c r="BT23" s="124">
        <f>IF($B23="","",IFERROR(-AA23,"n.b."))</f>
        <v>-18963</v>
      </c>
      <c r="BU23" s="124">
        <f>IF($B23="","",IFERROR(-AE23,"n.b."))</f>
        <v>1330420</v>
      </c>
      <c r="BV23" s="124">
        <f>IF($B23="","",IFERROR(-AF23,"n.b."))</f>
        <v>-39912.6</v>
      </c>
      <c r="BW23" s="124">
        <f>IF($B23="","",IFERROR(-AG23,"n.b."))</f>
        <v>1663025</v>
      </c>
      <c r="BX23" s="124">
        <f>IF($B23="","",IFERROR(-AH23,"n.b."))</f>
        <v>-49890.75</v>
      </c>
      <c r="BY23" s="124">
        <f>IF($B23="","",IFERROR(-AI23,"n.b."))</f>
        <v>1995630</v>
      </c>
      <c r="BZ23" s="124">
        <f>IF($B23="","",IFERROR(-AJ23,"n.b."))</f>
        <v>-59868.9</v>
      </c>
      <c r="CA23" s="124">
        <f>IF($B23="","",IFERROR(-AK23,"n.b."))</f>
        <v>1663025</v>
      </c>
      <c r="CB23" s="124">
        <f>IF($B23="","",IFERROR(-AL23,"n.b."))</f>
        <v>-49890.75</v>
      </c>
      <c r="CC23" s="124">
        <f>IF($B23="","",IFERROR(-AP23,"n.b."))</f>
        <v>3581900</v>
      </c>
      <c r="CD23" s="124">
        <f>IF($B23="","",IFERROR(-AQ23,"n.b."))</f>
        <v>-107457</v>
      </c>
      <c r="CE23" s="124">
        <f>IF($B23="","",IFERROR(-AR23,"n.b."))</f>
        <v>0</v>
      </c>
      <c r="CF23" s="124">
        <f>IF($B23="","",IFERROR(-AS23,"n.b."))</f>
        <v>0</v>
      </c>
      <c r="CG23" s="124">
        <f>IF($B23="","",IFERROR(-AT23,"n.b."))</f>
        <v>0</v>
      </c>
      <c r="CH23" s="124">
        <f>IF($B23="","",IFERROR(-AU23,"n.b."))</f>
        <v>0</v>
      </c>
      <c r="CI23" s="124">
        <f>IF($B23="","",IFERROR(-AV23,"n.b."))</f>
        <v>0</v>
      </c>
      <c r="CJ23" s="124">
        <f>IF($B23="","",IFERROR(-AW23,"n.b."))</f>
        <v>0</v>
      </c>
      <c r="CK23" s="124">
        <f>IF($B23="","",IFERROR(-AX23,"n.b."))</f>
        <v>0</v>
      </c>
      <c r="CL23" s="124">
        <f>IF($B23="","",IFERROR(-AY23,"n.b."))</f>
        <v>0</v>
      </c>
      <c r="CM23" s="124">
        <f>IF($B23="","",IFERROR(-AZ23,"n.b."))</f>
        <v>0</v>
      </c>
      <c r="CN23" s="124">
        <f>IF($B23="","",IFERROR(-BA23,"n.b."))</f>
        <v>0</v>
      </c>
      <c r="CO23" s="124">
        <f>IF($B23="","",IFERROR(-BB23,"n.b."))</f>
        <v>0</v>
      </c>
      <c r="CP23" s="124">
        <f>IF($B23="","",IFERROR(-BC23,"n.b."))</f>
        <v>0</v>
      </c>
      <c r="CQ23" s="124">
        <f>IF($B23="","",IFERROR(-BD23,"n.b."))</f>
        <v>0</v>
      </c>
      <c r="CR23" s="124">
        <f>IF($B23="","",IFERROR(-BE23,"n.b."))</f>
        <v>0</v>
      </c>
      <c r="CS23" s="124">
        <f>IF($B23="","",IFERROR(IF(OR(ABS(T23+V23+X23+Z23-AB23)&gt;P_Tol,ABS(U23+W23+Y23+AA23-AD23)&gt;P_Tol,ABS(AE23+AG23+AI23+AK23-AM23)&gt;P_Tol,ABS(AF23+AH23+AJ23+AL23-AO23)&gt;P_Tol),1,0),1))</f>
        <v>0</v>
      </c>
      <c r="CT23" s="124">
        <f>IF($B23="","",IFERROR(IF(OR(ABS(AB23+AC23-AD23)&gt;P_Tol,ABS(AM23+AN23-AO23)&gt;P_Tol,ABS(O23+P23-Q23)&gt;P_Tol),1,0),1))</f>
        <v>0</v>
      </c>
      <c r="CU23" s="124">
        <f>IF($B23="","",IFERROR(IF(ABS(R23-(AB23+AM23+AP23+AR23+AT23+AV23+AX23+AZ23+BB23+BD23))&gt;P_Tol,1,0),1))</f>
        <v>0</v>
      </c>
      <c r="CV23" s="124">
        <f>IF($B23="","",IFERROR(IF(ABS(M23-(N23+O23+R23))&gt;P_Tol,1,0),1))</f>
        <v>0</v>
      </c>
      <c r="CW23" s="124">
        <f>IF($B23="","",IF(COUNTIF(Mapping!$A$5:$A$104,B23)&gt;0,1,0))</f>
        <v>1</v>
      </c>
      <c r="CX23" s="124">
        <f>IF($B23="","",COUNTIF($B$6:$B$505,B23))</f>
        <v>1</v>
      </c>
      <c r="CY23" s="124">
        <f>IF($B23="","",COUNTIF(STG_Woningetalage!$B$6:$B$505,B23))</f>
        <v>1</v>
      </c>
      <c r="CZ23" s="124" t="str">
        <f>IF($B23="","",IF(CW23=0,COUNTIF($CW$6:CW23,0),""))</f>
        <v/>
      </c>
    </row>
    <row r="24">
      <c r="A24" s="15" t="n">
        <v>20</v>
      </c>
      <c r="B24" t="str">
        <f>IF(B$3=0,"",IF(INDEX(SRC_ZPMW03!$A$1:$ZZ$501,$A24,B$3)&amp;""="","",INDEX(SRC_ZPMW03!$A$1:$ZZ$501,$A24,B$3)&amp;""))</f>
        <v>G.900019.8.9090</v>
      </c>
      <c r="C24" t="str">
        <f>IF($B24="","",IF(C$3=0,"n.b.",INDEX(SRC_ZPMW03!$A$1:$ZZ$501,$A24,C$3)))</f>
        <v>J</v>
      </c>
      <c r="D24">
        <f>IF($B24="","",IF(D$3=0,"n.b.",INDEX(SRC_ZPMW03!$A$1:$ZZ$501,$A24,D$3)))</f>
        <v>9901</v>
      </c>
      <c r="E24" t="str">
        <f>IF($B24="","",IF(E$3=0,"n.b.",INDEX(SRC_ZPMW03!$A$1:$ZZ$501,$A24,E$3)))</f>
        <v>Demo Ontwikkeling BV</v>
      </c>
      <c r="F24">
        <f>IF($B24="","",IF(F$3=0,"n.b.",INDEX(SRC_ZPMW03!$A$1:$ZZ$501,$A24,F$3)))</f>
        <v>9090</v>
      </c>
      <c r="G24" t="str">
        <f>IF($B24="","",IF(G$3=0,"n.b.",INDEX(SRC_ZPMW03!$A$1:$ZZ$501,$A24,G$3)))</f>
        <v>Demo Regio</v>
      </c>
      <c r="H24" t="str">
        <f>IF($B24="","",IF(H$3=0,"n.b.",INDEX(SRC_ZPMW03!$A$1:$ZZ$501,$A24,H$3)))</f>
        <v>WO-Wonen</v>
      </c>
      <c r="I24" t="str">
        <f>IF($B24="","",IF(I$3=0,"n.b.",INDEX(SRC_ZPMW03!$A$1:$ZZ$501,$A24,I$3)))</f>
        <v>G.900019</v>
      </c>
      <c r="J24" t="str">
        <f>IF($B24="","",IF(J$3=0,"n.b.",INDEX(SRC_ZPMW03!$A$1:$ZZ$501,$A24,J$3)))</f>
        <v>Zilverdam, Havenlicht</v>
      </c>
      <c r="K24" t="str">
        <f>IF($B24="","",IF(K$3=0,"n.b.",INDEX(SRC_ZPMW03!$A$1:$ZZ$501,$A24,K$3)))</f>
        <v>VRIJ BLOK</v>
      </c>
      <c r="L24" s="124">
        <f>IF($B24="","",IF(L$3=0,"n.b.",INDEX(SRC_ZPMW03!$A$1:$ZZ$501,$A24,L$3)))</f>
        <v>40</v>
      </c>
      <c r="M24" s="124">
        <f>IF($B24="","",IF(M$3=0,"n.b.",INDEX(SRC_ZPMW03!$A$1:$ZZ$501,$A24,M$3)))</f>
        <v>-14700000</v>
      </c>
      <c r="N24" s="124">
        <f>IF($B24="","",IF(N$3=0,"n.b.",INDEX(SRC_ZPMW03!$A$1:$ZZ$501,$A24,N$3)))</f>
        <v>0</v>
      </c>
      <c r="O24" s="124">
        <f>IF($B24="","",IF(O$3=0,"n.b.",INDEX(SRC_ZPMW03!$A$1:$ZZ$501,$A24,O$3)))</f>
        <v>-4013100</v>
      </c>
      <c r="P24" s="124">
        <f>IF($B24="","",IF(P$3=0,"n.b.",INDEX(SRC_ZPMW03!$A$1:$ZZ$501,$A24,P$3)))</f>
        <v>3692052</v>
      </c>
      <c r="Q24" s="124">
        <f>IF($B24="","",IF(Q$3=0,"n.b.",INDEX(SRC_ZPMW03!$A$1:$ZZ$501,$A24,Q$3)))</f>
        <v>-321048</v>
      </c>
      <c r="R24" s="124">
        <f>IF($B24="","",IF(R$3=0,"n.b.",INDEX(SRC_ZPMW03!$A$1:$ZZ$501,$A24,R$3)))</f>
        <v>-10686900</v>
      </c>
      <c r="S24" s="124">
        <f>IF($B24="","",IF(S$3=0,"n.b.",INDEX(SRC_ZPMW03!$A$1:$ZZ$501,$A24,S$3)))</f>
        <v>-854952</v>
      </c>
      <c r="T24" s="124">
        <f>IF($B24="","",IF(T$3=0,"n.b.",INDEX(SRC_ZPMW03!$A$1:$ZZ$501,$A24,T$3)))</f>
        <v>0</v>
      </c>
      <c r="U24" s="124">
        <f>IF($B24="","",IF(U$3=0,"n.b.",INDEX(SRC_ZPMW03!$A$1:$ZZ$501,$A24,U$3)))</f>
        <v>0</v>
      </c>
      <c r="V24" s="124">
        <f>IF($B24="","",IF(V$3=0,"n.b.",INDEX(SRC_ZPMW03!$A$1:$ZZ$501,$A24,V$3)))</f>
        <v>0</v>
      </c>
      <c r="W24" s="124">
        <f>IF($B24="","",IF(W$3=0,"n.b.",INDEX(SRC_ZPMW03!$A$1:$ZZ$501,$A24,W$3)))</f>
        <v>0</v>
      </c>
      <c r="X24" s="124">
        <f>IF($B24="","",IF(X$3=0,"n.b.",INDEX(SRC_ZPMW03!$A$1:$ZZ$501,$A24,X$3)))</f>
        <v>0</v>
      </c>
      <c r="Y24" s="124">
        <f>IF($B24="","",IF(Y$3=0,"n.b.",INDEX(SRC_ZPMW03!$A$1:$ZZ$501,$A24,Y$3)))</f>
        <v>0</v>
      </c>
      <c r="Z24" s="124">
        <f>IF($B24="","",IF(Z$3=0,"n.b.",INDEX(SRC_ZPMW03!$A$1:$ZZ$501,$A24,Z$3)))</f>
        <v>-2160900</v>
      </c>
      <c r="AA24" s="124">
        <f>IF($B24="","",IF(AA$3=0,"n.b.",INDEX(SRC_ZPMW03!$A$1:$ZZ$501,$A24,AA$3)))</f>
        <v>-172872</v>
      </c>
      <c r="AB24" s="124">
        <f>IF($B24="","",IF(AB$3=0,"n.b.",INDEX(SRC_ZPMW03!$A$1:$ZZ$501,$A24,AB$3)))</f>
        <v>-2160900</v>
      </c>
      <c r="AC24" s="124">
        <f>IF($B24="","",IF(AC$3=0,"n.b.",INDEX(SRC_ZPMW03!$A$1:$ZZ$501,$A24,AC$3)))</f>
        <v>1988028</v>
      </c>
      <c r="AD24" s="124">
        <f>IF($B24="","",IF(AD$3=0,"n.b.",INDEX(SRC_ZPMW03!$A$1:$ZZ$501,$A24,AD$3)))</f>
        <v>-172872</v>
      </c>
      <c r="AE24" s="124">
        <f>IF($B24="","",IF(AE$3=0,"n.b.",INDEX(SRC_ZPMW03!$A$1:$ZZ$501,$A24,AE$3)))</f>
        <v>-1108380</v>
      </c>
      <c r="AF24" s="124">
        <f>IF($B24="","",IF(AF$3=0,"n.b.",INDEX(SRC_ZPMW03!$A$1:$ZZ$501,$A24,AF$3)))</f>
        <v>-88670.4</v>
      </c>
      <c r="AG24" s="124">
        <f>IF($B24="","",IF(AG$3=0,"n.b.",INDEX(SRC_ZPMW03!$A$1:$ZZ$501,$A24,AG$3)))</f>
        <v>-1385475</v>
      </c>
      <c r="AH24" s="124">
        <f>IF($B24="","",IF(AH$3=0,"n.b.",INDEX(SRC_ZPMW03!$A$1:$ZZ$501,$A24,AH$3)))</f>
        <v>-110838</v>
      </c>
      <c r="AI24" s="124">
        <f>IF($B24="","",IF(AI$3=0,"n.b.",INDEX(SRC_ZPMW03!$A$1:$ZZ$501,$A24,AI$3)))</f>
        <v>-1662570</v>
      </c>
      <c r="AJ24" s="124">
        <f>IF($B24="","",IF(AJ$3=0,"n.b.",INDEX(SRC_ZPMW03!$A$1:$ZZ$501,$A24,AJ$3)))</f>
        <v>-133005.6</v>
      </c>
      <c r="AK24" s="124">
        <f>IF($B24="","",IF(AK$3=0,"n.b.",INDEX(SRC_ZPMW03!$A$1:$ZZ$501,$A24,AK$3)))</f>
        <v>-1385475</v>
      </c>
      <c r="AL24" s="124">
        <f>IF($B24="","",IF(AL$3=0,"n.b.",INDEX(SRC_ZPMW03!$A$1:$ZZ$501,$A24,AL$3)))</f>
        <v>-110838</v>
      </c>
      <c r="AM24" s="124">
        <f>IF($B24="","",IF(AM$3=0,"n.b.",INDEX(SRC_ZPMW03!$A$1:$ZZ$501,$A24,AM$3)))</f>
        <v>-5541900</v>
      </c>
      <c r="AN24" s="124">
        <f>IF($B24="","",IF(AN$3=0,"n.b.",INDEX(SRC_ZPMW03!$A$1:$ZZ$501,$A24,AN$3)))</f>
        <v>5098548</v>
      </c>
      <c r="AO24" s="124">
        <f>IF($B24="","",IF(AO$3=0,"n.b.",INDEX(SRC_ZPMW03!$A$1:$ZZ$501,$A24,AO$3)))</f>
        <v>-443352</v>
      </c>
      <c r="AP24" s="124">
        <f>IF($B24="","",IF(AP$3=0,"n.b.",INDEX(SRC_ZPMW03!$A$1:$ZZ$501,$A24,AP$3)))</f>
        <v>-2984100</v>
      </c>
      <c r="AQ24" s="124">
        <f>IF($B24="","",IF(AQ$3=0,"n.b.",INDEX(SRC_ZPMW03!$A$1:$ZZ$501,$A24,AQ$3)))</f>
        <v>-238728</v>
      </c>
      <c r="AR24" s="124">
        <f>IF($B24="","",IF(AR$3=0,"n.b.",INDEX(SRC_ZPMW03!$A$1:$ZZ$501,$A24,AR$3)))</f>
        <v>0</v>
      </c>
      <c r="AS24" s="124">
        <f>IF($B24="","",IF(AS$3=0,"n.b.",INDEX(SRC_ZPMW03!$A$1:$ZZ$501,$A24,AS$3)))</f>
        <v>0</v>
      </c>
      <c r="AT24" s="124">
        <f>IF($B24="","",IF(AT$3=0,"n.b.",INDEX(SRC_ZPMW03!$A$1:$ZZ$501,$A24,AT$3)))</f>
        <v>0</v>
      </c>
      <c r="AU24" s="124">
        <f>IF($B24="","",IF(AU$3=0,"n.b.",INDEX(SRC_ZPMW03!$A$1:$ZZ$501,$A24,AU$3)))</f>
        <v>0</v>
      </c>
      <c r="AV24" s="124">
        <f>IF($B24="","",IF(AV$3=0,"n.b.",INDEX(SRC_ZPMW03!$A$1:$ZZ$501,$A24,AV$3)))</f>
        <v>0</v>
      </c>
      <c r="AW24" s="124">
        <f>IF($B24="","",IF(AW$3=0,"n.b.",INDEX(SRC_ZPMW03!$A$1:$ZZ$501,$A24,AW$3)))</f>
        <v>0</v>
      </c>
      <c r="AX24" s="124">
        <f>IF($B24="","",IF(AX$3=0,"n.b.",INDEX(SRC_ZPMW03!$A$1:$ZZ$501,$A24,AX$3)))</f>
        <v>0</v>
      </c>
      <c r="AY24" s="124">
        <f>IF($B24="","",IF(AY$3=0,"n.b.",INDEX(SRC_ZPMW03!$A$1:$ZZ$501,$A24,AY$3)))</f>
        <v>0</v>
      </c>
      <c r="AZ24" s="124">
        <f>IF($B24="","",IF(AZ$3=0,"n.b.",INDEX(SRC_ZPMW03!$A$1:$ZZ$501,$A24,AZ$3)))</f>
        <v>0</v>
      </c>
      <c r="BA24" s="124">
        <f>IF($B24="","",IF(BA$3=0,"n.b.",INDEX(SRC_ZPMW03!$A$1:$ZZ$501,$A24,BA$3)))</f>
        <v>0</v>
      </c>
      <c r="BB24" s="124">
        <f>IF($B24="","",IF(BB$3=0,"n.b.",INDEX(SRC_ZPMW03!$A$1:$ZZ$501,$A24,BB$3)))</f>
        <v>0</v>
      </c>
      <c r="BC24" s="124">
        <f>IF($B24="","",IF(BC$3=0,"n.b.",INDEX(SRC_ZPMW03!$A$1:$ZZ$501,$A24,BC$3)))</f>
        <v>0</v>
      </c>
      <c r="BD24" s="124">
        <f>IF($B24="","",IF(BD$3=0,"n.b.",INDEX(SRC_ZPMW03!$A$1:$ZZ$501,$A24,BD$3)))</f>
        <v>0</v>
      </c>
      <c r="BE24" s="124">
        <f>IF($B24="","",IF(BE$3=0,"n.b.",INDEX(SRC_ZPMW03!$A$1:$ZZ$501,$A24,BE$3)))</f>
        <v>0</v>
      </c>
      <c r="BF24" s="124">
        <f>IF($B24="","",IF(BF$3=0,"n.b.",INDEX(SRC_ZPMW03!$A$1:$ZZ$501,$A24,BF$3)))</f>
        <v>27.3</v>
      </c>
      <c r="BG24">
        <f>IF($B24="","",IF(BG$3=0,"n.b.",INDEX(SRC_ZPMW03!$A$1:$ZZ$501,$A24,BG$3)))</f>
        <v>46023.0</v>
      </c>
      <c r="BH24">
        <f>IF($B24="","",IF(BH$3=0,"n.b.",INDEX(SRC_ZPMW03!$A$1:$ZZ$501,$A24,BH$3)))</f>
        <v>46388.0</v>
      </c>
      <c r="BI24">
        <f>IF($B24="","",IF(BI$3=0,"n.b.",INDEX(SRC_ZPMW03!$A$1:$ZZ$501,$A24,BI$3)))</f>
        <v>202912</v>
      </c>
      <c r="BJ24">
        <f>IF($B24="","",IF(BJ$3=0,"n.b.",INDEX(SRC_ZPMW03!$A$1:$ZZ$501,$A24,BJ$3)))</f>
        <v>1</v>
      </c>
      <c r="BK24" s="124">
        <f>IF($B24="","",IFERROR(-O24,"n.b."))</f>
        <v>4013100</v>
      </c>
      <c r="BL24" s="124">
        <f>IF($B24="","",IFERROR(-Q24,"n.b."))</f>
        <v>321048</v>
      </c>
      <c r="BM24" s="124">
        <f>IF($B24="","",IFERROR(-AB24,"n.b."))</f>
        <v>2160900</v>
      </c>
      <c r="BN24" s="124">
        <f>IF($B24="","",IFERROR(-AD24,"n.b."))</f>
        <v>172872</v>
      </c>
      <c r="BO24" s="124">
        <f>IF($B24="","",IFERROR(BK24+BM24,"n.b."))</f>
        <v>6174000</v>
      </c>
      <c r="BP24" s="124">
        <f>IF($B24="","",IFERROR(BL24+BN24,"n.b."))</f>
        <v>493920</v>
      </c>
      <c r="BQ24" s="124">
        <f>IF($B24="","",IFERROR(-AM24,"n.b."))</f>
        <v>5541900</v>
      </c>
      <c r="BR24" s="124">
        <f>IF($B24="","",IFERROR(-AO24,"n.b."))</f>
        <v>443352</v>
      </c>
      <c r="BS24" s="124">
        <f>IF($B24="","",IFERROR(-Z24,"n.b."))</f>
        <v>2160900</v>
      </c>
      <c r="BT24" s="124">
        <f>IF($B24="","",IFERROR(-AA24,"n.b."))</f>
        <v>172872</v>
      </c>
      <c r="BU24" s="124">
        <f>IF($B24="","",IFERROR(-AE24,"n.b."))</f>
        <v>1108380</v>
      </c>
      <c r="BV24" s="124">
        <f>IF($B24="","",IFERROR(-AF24,"n.b."))</f>
        <v>88670.4</v>
      </c>
      <c r="BW24" s="124">
        <f>IF($B24="","",IFERROR(-AG24,"n.b."))</f>
        <v>1385475</v>
      </c>
      <c r="BX24" s="124">
        <f>IF($B24="","",IFERROR(-AH24,"n.b."))</f>
        <v>110838</v>
      </c>
      <c r="BY24" s="124">
        <f>IF($B24="","",IFERROR(-AI24,"n.b."))</f>
        <v>1662570</v>
      </c>
      <c r="BZ24" s="124">
        <f>IF($B24="","",IFERROR(-AJ24,"n.b."))</f>
        <v>133005.6</v>
      </c>
      <c r="CA24" s="124">
        <f>IF($B24="","",IFERROR(-AK24,"n.b."))</f>
        <v>1385475</v>
      </c>
      <c r="CB24" s="124">
        <f>IF($B24="","",IFERROR(-AL24,"n.b."))</f>
        <v>110838</v>
      </c>
      <c r="CC24" s="124">
        <f>IF($B24="","",IFERROR(-AP24,"n.b."))</f>
        <v>2984100</v>
      </c>
      <c r="CD24" s="124">
        <f>IF($B24="","",IFERROR(-AQ24,"n.b."))</f>
        <v>238728</v>
      </c>
      <c r="CE24" s="124">
        <f>IF($B24="","",IFERROR(-AR24,"n.b."))</f>
        <v>0</v>
      </c>
      <c r="CF24" s="124">
        <f>IF($B24="","",IFERROR(-AS24,"n.b."))</f>
        <v>0</v>
      </c>
      <c r="CG24" s="124">
        <f>IF($B24="","",IFERROR(-AT24,"n.b."))</f>
        <v>0</v>
      </c>
      <c r="CH24" s="124">
        <f>IF($B24="","",IFERROR(-AU24,"n.b."))</f>
        <v>0</v>
      </c>
      <c r="CI24" s="124">
        <f>IF($B24="","",IFERROR(-AV24,"n.b."))</f>
        <v>0</v>
      </c>
      <c r="CJ24" s="124">
        <f>IF($B24="","",IFERROR(-AW24,"n.b."))</f>
        <v>0</v>
      </c>
      <c r="CK24" s="124">
        <f>IF($B24="","",IFERROR(-AX24,"n.b."))</f>
        <v>0</v>
      </c>
      <c r="CL24" s="124">
        <f>IF($B24="","",IFERROR(-AY24,"n.b."))</f>
        <v>0</v>
      </c>
      <c r="CM24" s="124">
        <f>IF($B24="","",IFERROR(-AZ24,"n.b."))</f>
        <v>0</v>
      </c>
      <c r="CN24" s="124">
        <f>IF($B24="","",IFERROR(-BA24,"n.b."))</f>
        <v>0</v>
      </c>
      <c r="CO24" s="124">
        <f>IF($B24="","",IFERROR(-BB24,"n.b."))</f>
        <v>0</v>
      </c>
      <c r="CP24" s="124">
        <f>IF($B24="","",IFERROR(-BC24,"n.b."))</f>
        <v>0</v>
      </c>
      <c r="CQ24" s="124">
        <f>IF($B24="","",IFERROR(-BD24,"n.b."))</f>
        <v>0</v>
      </c>
      <c r="CR24" s="124">
        <f>IF($B24="","",IFERROR(-BE24,"n.b."))</f>
        <v>0</v>
      </c>
      <c r="CS24" s="124">
        <f>IF($B24="","",IFERROR(IF(OR(ABS(T24+V24+X24+Z24-AB24)&gt;P_Tol,ABS(U24+W24+Y24+AA24-AD24)&gt;P_Tol,ABS(AE24+AG24+AI24+AK24-AM24)&gt;P_Tol,ABS(AF24+AH24+AJ24+AL24-AO24)&gt;P_Tol),1,0),1))</f>
        <v>0</v>
      </c>
      <c r="CT24" s="124">
        <f>IF($B24="","",IFERROR(IF(OR(ABS(AB24+AC24-AD24)&gt;P_Tol,ABS(AM24+AN24-AO24)&gt;P_Tol,ABS(O24+P24-Q24)&gt;P_Tol),1,0),1))</f>
        <v>0</v>
      </c>
      <c r="CU24" s="124">
        <f>IF($B24="","",IFERROR(IF(ABS(R24-(AB24+AM24+AP24+AR24+AT24+AV24+AX24+AZ24+BB24+BD24))&gt;P_Tol,1,0),1))</f>
        <v>0</v>
      </c>
      <c r="CV24" s="124">
        <f>IF($B24="","",IFERROR(IF(ABS(M24-(N24+O24+R24))&gt;P_Tol,1,0),1))</f>
        <v>0</v>
      </c>
      <c r="CW24" s="124">
        <f>IF($B24="","",IF(COUNTIF(Mapping!$A$5:$A$104,B24)&gt;0,1,0))</f>
        <v>1</v>
      </c>
      <c r="CX24" s="124">
        <f>IF($B24="","",COUNTIF($B$6:$B$505,B24))</f>
        <v>1</v>
      </c>
      <c r="CY24" s="124">
        <f>IF($B24="","",COUNTIF(STG_Woningetalage!$B$6:$B$505,B24))</f>
        <v>1</v>
      </c>
      <c r="CZ24" s="124" t="str">
        <f>IF($B24="","",IF(CW24=0,COUNTIF($CW$6:CW24,0),""))</f>
        <v/>
      </c>
    </row>
    <row r="25">
      <c r="A25" s="15" t="n">
        <v>21</v>
      </c>
      <c r="B25" t="str">
        <f>IF(B$3=0,"",IF(INDEX(SRC_ZPMW03!$A$1:$ZZ$501,$A25,B$3)&amp;""="","",INDEX(SRC_ZPMW03!$A$1:$ZZ$501,$A25,B$3)&amp;""))</f>
        <v>G.900020.8.9090</v>
      </c>
      <c r="C25" t="str">
        <f>IF($B25="","",IF(C$3=0,"n.b.",INDEX(SRC_ZPMW03!$A$1:$ZZ$501,$A25,C$3)))</f>
        <v>J</v>
      </c>
      <c r="D25">
        <f>IF($B25="","",IF(D$3=0,"n.b.",INDEX(SRC_ZPMW03!$A$1:$ZZ$501,$A25,D$3)))</f>
        <v>9901</v>
      </c>
      <c r="E25" t="str">
        <f>IF($B25="","",IF(E$3=0,"n.b.",INDEX(SRC_ZPMW03!$A$1:$ZZ$501,$A25,E$3)))</f>
        <v>Demo Ontwikkeling BV</v>
      </c>
      <c r="F25">
        <f>IF($B25="","",IF(F$3=0,"n.b.",INDEX(SRC_ZPMW03!$A$1:$ZZ$501,$A25,F$3)))</f>
        <v>9090</v>
      </c>
      <c r="G25" t="str">
        <f>IF($B25="","",IF(G$3=0,"n.b.",INDEX(SRC_ZPMW03!$A$1:$ZZ$501,$A25,G$3)))</f>
        <v>Demo Regio</v>
      </c>
      <c r="H25" t="str">
        <f>IF($B25="","",IF(H$3=0,"n.b.",INDEX(SRC_ZPMW03!$A$1:$ZZ$501,$A25,H$3)))</f>
        <v>RH-Winkels &amp; Horeca</v>
      </c>
      <c r="I25" t="str">
        <f>IF($B25="","",IF(I$3=0,"n.b.",INDEX(SRC_ZPMW03!$A$1:$ZZ$501,$A25,I$3)))</f>
        <v>G.900020</v>
      </c>
      <c r="J25" t="str">
        <f>IF($B25="","",IF(J$3=0,"n.b.",INDEX(SRC_ZPMW03!$A$1:$ZZ$501,$A25,J$3)))</f>
        <v>Boswaard, Parkeergebouw</v>
      </c>
      <c r="K25" t="str">
        <f>IF($B25="","",IF(K$3=0,"n.b.",INDEX(SRC_ZPMW03!$A$1:$ZZ$501,$A25,K$3)))</f>
        <v>VRIJ BLOK</v>
      </c>
      <c r="L25" s="124">
        <f>IF($B25="","",IF(L$3=0,"n.b.",INDEX(SRC_ZPMW03!$A$1:$ZZ$501,$A25,L$3)))</f>
        <v>20</v>
      </c>
      <c r="M25" s="124">
        <f>IF($B25="","",IF(M$3=0,"n.b.",INDEX(SRC_ZPMW03!$A$1:$ZZ$501,$A25,M$3)))</f>
        <v>-2400000</v>
      </c>
      <c r="N25" s="124">
        <f>IF($B25="","",IF(N$3=0,"n.b.",INDEX(SRC_ZPMW03!$A$1:$ZZ$501,$A25,N$3)))</f>
        <v>0</v>
      </c>
      <c r="O25" s="124">
        <f>IF($B25="","",IF(O$3=0,"n.b.",INDEX(SRC_ZPMW03!$A$1:$ZZ$501,$A25,O$3)))</f>
        <v>-156000</v>
      </c>
      <c r="P25" s="124">
        <f>IF($B25="","",IF(P$3=0,"n.b.",INDEX(SRC_ZPMW03!$A$1:$ZZ$501,$A25,P$3)))</f>
        <v>135720</v>
      </c>
      <c r="Q25" s="124">
        <f>IF($B25="","",IF(Q$3=0,"n.b.",INDEX(SRC_ZPMW03!$A$1:$ZZ$501,$A25,Q$3)))</f>
        <v>-20280</v>
      </c>
      <c r="R25" s="124">
        <f>IF($B25="","",IF(R$3=0,"n.b.",INDEX(SRC_ZPMW03!$A$1:$ZZ$501,$A25,R$3)))</f>
        <v>-2244000</v>
      </c>
      <c r="S25" s="124">
        <f>IF($B25="","",IF(S$3=0,"n.b.",INDEX(SRC_ZPMW03!$A$1:$ZZ$501,$A25,S$3)))</f>
        <v>-291720</v>
      </c>
      <c r="T25" s="124">
        <f>IF($B25="","",IF(T$3=0,"n.b.",INDEX(SRC_ZPMW03!$A$1:$ZZ$501,$A25,T$3)))</f>
        <v>0</v>
      </c>
      <c r="U25" s="124">
        <f>IF($B25="","",IF(U$3=0,"n.b.",INDEX(SRC_ZPMW03!$A$1:$ZZ$501,$A25,U$3)))</f>
        <v>0</v>
      </c>
      <c r="V25" s="124">
        <f>IF($B25="","",IF(V$3=0,"n.b.",INDEX(SRC_ZPMW03!$A$1:$ZZ$501,$A25,V$3)))</f>
        <v>0</v>
      </c>
      <c r="W25" s="124">
        <f>IF($B25="","",IF(W$3=0,"n.b.",INDEX(SRC_ZPMW03!$A$1:$ZZ$501,$A25,W$3)))</f>
        <v>0</v>
      </c>
      <c r="X25" s="124">
        <f>IF($B25="","",IF(X$3=0,"n.b.",INDEX(SRC_ZPMW03!$A$1:$ZZ$501,$A25,X$3)))</f>
        <v>0</v>
      </c>
      <c r="Y25" s="124">
        <f>IF($B25="","",IF(Y$3=0,"n.b.",INDEX(SRC_ZPMW03!$A$1:$ZZ$501,$A25,Y$3)))</f>
        <v>0</v>
      </c>
      <c r="Z25" s="124">
        <f>IF($B25="","",IF(Z$3=0,"n.b.",INDEX(SRC_ZPMW03!$A$1:$ZZ$501,$A25,Z$3)))</f>
        <v>-84000</v>
      </c>
      <c r="AA25" s="124">
        <f>IF($B25="","",IF(AA$3=0,"n.b.",INDEX(SRC_ZPMW03!$A$1:$ZZ$501,$A25,AA$3)))</f>
        <v>-10920</v>
      </c>
      <c r="AB25" s="124">
        <f>IF($B25="","",IF(AB$3=0,"n.b.",INDEX(SRC_ZPMW03!$A$1:$ZZ$501,$A25,AB$3)))</f>
        <v>-84000</v>
      </c>
      <c r="AC25" s="124">
        <f>IF($B25="","",IF(AC$3=0,"n.b.",INDEX(SRC_ZPMW03!$A$1:$ZZ$501,$A25,AC$3)))</f>
        <v>73080</v>
      </c>
      <c r="AD25" s="124">
        <f>IF($B25="","",IF(AD$3=0,"n.b.",INDEX(SRC_ZPMW03!$A$1:$ZZ$501,$A25,AD$3)))</f>
        <v>-10920</v>
      </c>
      <c r="AE25" s="124">
        <f>IF($B25="","",IF(AE$3=0,"n.b.",INDEX(SRC_ZPMW03!$A$1:$ZZ$501,$A25,AE$3)))</f>
        <v>-280800</v>
      </c>
      <c r="AF25" s="124">
        <f>IF($B25="","",IF(AF$3=0,"n.b.",INDEX(SRC_ZPMW03!$A$1:$ZZ$501,$A25,AF$3)))</f>
        <v>-36504</v>
      </c>
      <c r="AG25" s="124">
        <f>IF($B25="","",IF(AG$3=0,"n.b.",INDEX(SRC_ZPMW03!$A$1:$ZZ$501,$A25,AG$3)))</f>
        <v>-351000</v>
      </c>
      <c r="AH25" s="124">
        <f>IF($B25="","",IF(AH$3=0,"n.b.",INDEX(SRC_ZPMW03!$A$1:$ZZ$501,$A25,AH$3)))</f>
        <v>-45630</v>
      </c>
      <c r="AI25" s="124">
        <f>IF($B25="","",IF(AI$3=0,"n.b.",INDEX(SRC_ZPMW03!$A$1:$ZZ$501,$A25,AI$3)))</f>
        <v>-421200</v>
      </c>
      <c r="AJ25" s="124">
        <f>IF($B25="","",IF(AJ$3=0,"n.b.",INDEX(SRC_ZPMW03!$A$1:$ZZ$501,$A25,AJ$3)))</f>
        <v>-54756</v>
      </c>
      <c r="AK25" s="124">
        <f>IF($B25="","",IF(AK$3=0,"n.b.",INDEX(SRC_ZPMW03!$A$1:$ZZ$501,$A25,AK$3)))</f>
        <v>-351000</v>
      </c>
      <c r="AL25" s="124">
        <f>IF($B25="","",IF(AL$3=0,"n.b.",INDEX(SRC_ZPMW03!$A$1:$ZZ$501,$A25,AL$3)))</f>
        <v>-45630</v>
      </c>
      <c r="AM25" s="124">
        <f>IF($B25="","",IF(AM$3=0,"n.b.",INDEX(SRC_ZPMW03!$A$1:$ZZ$501,$A25,AM$3)))</f>
        <v>-1404000</v>
      </c>
      <c r="AN25" s="124">
        <f>IF($B25="","",IF(AN$3=0,"n.b.",INDEX(SRC_ZPMW03!$A$1:$ZZ$501,$A25,AN$3)))</f>
        <v>1221480</v>
      </c>
      <c r="AO25" s="124">
        <f>IF($B25="","",IF(AO$3=0,"n.b.",INDEX(SRC_ZPMW03!$A$1:$ZZ$501,$A25,AO$3)))</f>
        <v>-182520</v>
      </c>
      <c r="AP25" s="124">
        <f>IF($B25="","",IF(AP$3=0,"n.b.",INDEX(SRC_ZPMW03!$A$1:$ZZ$501,$A25,AP$3)))</f>
        <v>-756000</v>
      </c>
      <c r="AQ25" s="124">
        <f>IF($B25="","",IF(AQ$3=0,"n.b.",INDEX(SRC_ZPMW03!$A$1:$ZZ$501,$A25,AQ$3)))</f>
        <v>-98280</v>
      </c>
      <c r="AR25" s="124">
        <f>IF($B25="","",IF(AR$3=0,"n.b.",INDEX(SRC_ZPMW03!$A$1:$ZZ$501,$A25,AR$3)))</f>
        <v>0</v>
      </c>
      <c r="AS25" s="124">
        <f>IF($B25="","",IF(AS$3=0,"n.b.",INDEX(SRC_ZPMW03!$A$1:$ZZ$501,$A25,AS$3)))</f>
        <v>0</v>
      </c>
      <c r="AT25" s="124">
        <f>IF($B25="","",IF(AT$3=0,"n.b.",INDEX(SRC_ZPMW03!$A$1:$ZZ$501,$A25,AT$3)))</f>
        <v>0</v>
      </c>
      <c r="AU25" s="124">
        <f>IF($B25="","",IF(AU$3=0,"n.b.",INDEX(SRC_ZPMW03!$A$1:$ZZ$501,$A25,AU$3)))</f>
        <v>0</v>
      </c>
      <c r="AV25" s="124">
        <f>IF($B25="","",IF(AV$3=0,"n.b.",INDEX(SRC_ZPMW03!$A$1:$ZZ$501,$A25,AV$3)))</f>
        <v>0</v>
      </c>
      <c r="AW25" s="124">
        <f>IF($B25="","",IF(AW$3=0,"n.b.",INDEX(SRC_ZPMW03!$A$1:$ZZ$501,$A25,AW$3)))</f>
        <v>0</v>
      </c>
      <c r="AX25" s="124">
        <f>IF($B25="","",IF(AX$3=0,"n.b.",INDEX(SRC_ZPMW03!$A$1:$ZZ$501,$A25,AX$3)))</f>
        <v>0</v>
      </c>
      <c r="AY25" s="124">
        <f>IF($B25="","",IF(AY$3=0,"n.b.",INDEX(SRC_ZPMW03!$A$1:$ZZ$501,$A25,AY$3)))</f>
        <v>0</v>
      </c>
      <c r="AZ25" s="124">
        <f>IF($B25="","",IF(AZ$3=0,"n.b.",INDEX(SRC_ZPMW03!$A$1:$ZZ$501,$A25,AZ$3)))</f>
        <v>0</v>
      </c>
      <c r="BA25" s="124">
        <f>IF($B25="","",IF(BA$3=0,"n.b.",INDEX(SRC_ZPMW03!$A$1:$ZZ$501,$A25,BA$3)))</f>
        <v>0</v>
      </c>
      <c r="BB25" s="124">
        <f>IF($B25="","",IF(BB$3=0,"n.b.",INDEX(SRC_ZPMW03!$A$1:$ZZ$501,$A25,BB$3)))</f>
        <v>0</v>
      </c>
      <c r="BC25" s="124">
        <f>IF($B25="","",IF(BC$3=0,"n.b.",INDEX(SRC_ZPMW03!$A$1:$ZZ$501,$A25,BC$3)))</f>
        <v>0</v>
      </c>
      <c r="BD25" s="124">
        <f>IF($B25="","",IF(BD$3=0,"n.b.",INDEX(SRC_ZPMW03!$A$1:$ZZ$501,$A25,BD$3)))</f>
        <v>0</v>
      </c>
      <c r="BE25" s="124">
        <f>IF($B25="","",IF(BE$3=0,"n.b.",INDEX(SRC_ZPMW03!$A$1:$ZZ$501,$A25,BE$3)))</f>
        <v>0</v>
      </c>
      <c r="BF25" s="124">
        <f>IF($B25="","",IF(BF$3=0,"n.b.",INDEX(SRC_ZPMW03!$A$1:$ZZ$501,$A25,BF$3)))</f>
        <v>6.5</v>
      </c>
      <c r="BG25">
        <f>IF($B25="","",IF(BG$3=0,"n.b.",INDEX(SRC_ZPMW03!$A$1:$ZZ$501,$A25,BG$3)))</f>
        <v>46054.0</v>
      </c>
      <c r="BH25">
        <f>IF($B25="","",IF(BH$3=0,"n.b.",INDEX(SRC_ZPMW03!$A$1:$ZZ$501,$A25,BH$3)))</f>
        <v>46419.0</v>
      </c>
      <c r="BI25">
        <f>IF($B25="","",IF(BI$3=0,"n.b.",INDEX(SRC_ZPMW03!$A$1:$ZZ$501,$A25,BI$3)))</f>
        <v>202912</v>
      </c>
      <c r="BJ25">
        <f>IF($B25="","",IF(BJ$3=0,"n.b.",INDEX(SRC_ZPMW03!$A$1:$ZZ$501,$A25,BJ$3)))</f>
        <v>2</v>
      </c>
      <c r="BK25" s="124">
        <f>IF($B25="","",IFERROR(-O25,"n.b."))</f>
        <v>156000</v>
      </c>
      <c r="BL25" s="124">
        <f>IF($B25="","",IFERROR(-Q25,"n.b."))</f>
        <v>20280</v>
      </c>
      <c r="BM25" s="124">
        <f>IF($B25="","",IFERROR(-AB25,"n.b."))</f>
        <v>84000</v>
      </c>
      <c r="BN25" s="124">
        <f>IF($B25="","",IFERROR(-AD25,"n.b."))</f>
        <v>10920</v>
      </c>
      <c r="BO25" s="124">
        <f>IF($B25="","",IFERROR(BK25+BM25,"n.b."))</f>
        <v>240000</v>
      </c>
      <c r="BP25" s="124">
        <f>IF($B25="","",IFERROR(BL25+BN25,"n.b."))</f>
        <v>31200</v>
      </c>
      <c r="BQ25" s="124">
        <f>IF($B25="","",IFERROR(-AM25,"n.b."))</f>
        <v>1404000</v>
      </c>
      <c r="BR25" s="124">
        <f>IF($B25="","",IFERROR(-AO25,"n.b."))</f>
        <v>182520</v>
      </c>
      <c r="BS25" s="124">
        <f>IF($B25="","",IFERROR(-Z25,"n.b."))</f>
        <v>84000</v>
      </c>
      <c r="BT25" s="124">
        <f>IF($B25="","",IFERROR(-AA25,"n.b."))</f>
        <v>10920</v>
      </c>
      <c r="BU25" s="124">
        <f>IF($B25="","",IFERROR(-AE25,"n.b."))</f>
        <v>280800</v>
      </c>
      <c r="BV25" s="124">
        <f>IF($B25="","",IFERROR(-AF25,"n.b."))</f>
        <v>36504</v>
      </c>
      <c r="BW25" s="124">
        <f>IF($B25="","",IFERROR(-AG25,"n.b."))</f>
        <v>351000</v>
      </c>
      <c r="BX25" s="124">
        <f>IF($B25="","",IFERROR(-AH25,"n.b."))</f>
        <v>45630</v>
      </c>
      <c r="BY25" s="124">
        <f>IF($B25="","",IFERROR(-AI25,"n.b."))</f>
        <v>421200</v>
      </c>
      <c r="BZ25" s="124">
        <f>IF($B25="","",IFERROR(-AJ25,"n.b."))</f>
        <v>54756</v>
      </c>
      <c r="CA25" s="124">
        <f>IF($B25="","",IFERROR(-AK25,"n.b."))</f>
        <v>351000</v>
      </c>
      <c r="CB25" s="124">
        <f>IF($B25="","",IFERROR(-AL25,"n.b."))</f>
        <v>45630</v>
      </c>
      <c r="CC25" s="124">
        <f>IF($B25="","",IFERROR(-AP25,"n.b."))</f>
        <v>756000</v>
      </c>
      <c r="CD25" s="124">
        <f>IF($B25="","",IFERROR(-AQ25,"n.b."))</f>
        <v>98280</v>
      </c>
      <c r="CE25" s="124">
        <f>IF($B25="","",IFERROR(-AR25,"n.b."))</f>
        <v>0</v>
      </c>
      <c r="CF25" s="124">
        <f>IF($B25="","",IFERROR(-AS25,"n.b."))</f>
        <v>0</v>
      </c>
      <c r="CG25" s="124">
        <f>IF($B25="","",IFERROR(-AT25,"n.b."))</f>
        <v>0</v>
      </c>
      <c r="CH25" s="124">
        <f>IF($B25="","",IFERROR(-AU25,"n.b."))</f>
        <v>0</v>
      </c>
      <c r="CI25" s="124">
        <f>IF($B25="","",IFERROR(-AV25,"n.b."))</f>
        <v>0</v>
      </c>
      <c r="CJ25" s="124">
        <f>IF($B25="","",IFERROR(-AW25,"n.b."))</f>
        <v>0</v>
      </c>
      <c r="CK25" s="124">
        <f>IF($B25="","",IFERROR(-AX25,"n.b."))</f>
        <v>0</v>
      </c>
      <c r="CL25" s="124">
        <f>IF($B25="","",IFERROR(-AY25,"n.b."))</f>
        <v>0</v>
      </c>
      <c r="CM25" s="124">
        <f>IF($B25="","",IFERROR(-AZ25,"n.b."))</f>
        <v>0</v>
      </c>
      <c r="CN25" s="124">
        <f>IF($B25="","",IFERROR(-BA25,"n.b."))</f>
        <v>0</v>
      </c>
      <c r="CO25" s="124">
        <f>IF($B25="","",IFERROR(-BB25,"n.b."))</f>
        <v>0</v>
      </c>
      <c r="CP25" s="124">
        <f>IF($B25="","",IFERROR(-BC25,"n.b."))</f>
        <v>0</v>
      </c>
      <c r="CQ25" s="124">
        <f>IF($B25="","",IFERROR(-BD25,"n.b."))</f>
        <v>0</v>
      </c>
      <c r="CR25" s="124">
        <f>IF($B25="","",IFERROR(-BE25,"n.b."))</f>
        <v>0</v>
      </c>
      <c r="CS25" s="124">
        <f>IF($B25="","",IFERROR(IF(OR(ABS(T25+V25+X25+Z25-AB25)&gt;P_Tol,ABS(U25+W25+Y25+AA25-AD25)&gt;P_Tol,ABS(AE25+AG25+AI25+AK25-AM25)&gt;P_Tol,ABS(AF25+AH25+AJ25+AL25-AO25)&gt;P_Tol),1,0),1))</f>
        <v>0</v>
      </c>
      <c r="CT25" s="124">
        <f>IF($B25="","",IFERROR(IF(OR(ABS(AB25+AC25-AD25)&gt;P_Tol,ABS(AM25+AN25-AO25)&gt;P_Tol,ABS(O25+P25-Q25)&gt;P_Tol),1,0),1))</f>
        <v>0</v>
      </c>
      <c r="CU25" s="124">
        <f>IF($B25="","",IFERROR(IF(ABS(R25-(AB25+AM25+AP25+AR25+AT25+AV25+AX25+AZ25+BB25+BD25))&gt;P_Tol,1,0),1))</f>
        <v>0</v>
      </c>
      <c r="CV25" s="124">
        <f>IF($B25="","",IFERROR(IF(ABS(M25-(N25+O25+R25))&gt;P_Tol,1,0),1))</f>
        <v>0</v>
      </c>
      <c r="CW25" s="124">
        <f>IF($B25="","",IF(COUNTIF(Mapping!$A$5:$A$104,B25)&gt;0,1,0))</f>
        <v>1</v>
      </c>
      <c r="CX25" s="124">
        <f>IF($B25="","",COUNTIF($B$6:$B$505,B25))</f>
        <v>1</v>
      </c>
      <c r="CY25" s="124">
        <f>IF($B25="","",COUNTIF(STG_Woningetalage!$B$6:$B$505,B25))</f>
        <v>1</v>
      </c>
      <c r="CZ25" s="124" t="str">
        <f>IF($B25="","",IF(CW25=0,COUNTIF($CW$6:CW25,0),""))</f>
        <v/>
      </c>
    </row>
    <row r="26">
      <c r="A26" s="15" t="n">
        <v>22</v>
      </c>
      <c r="B26" t="str">
        <f>IF(B$3=0,"",IF(INDEX(SRC_ZPMW03!$A$1:$ZZ$501,$A26,B$3)&amp;""="","",INDEX(SRC_ZPMW03!$A$1:$ZZ$501,$A26,B$3)&amp;""))</f>
        <v/>
      </c>
      <c r="C26" t="str">
        <f>IF($B26="","",IF(C$3=0,"n.b.",INDEX(SRC_ZPMW03!$A$1:$ZZ$501,$A26,C$3)))</f>
        <v/>
      </c>
      <c r="D26" t="str">
        <f>IF($B26="","",IF(D$3=0,"n.b.",INDEX(SRC_ZPMW03!$A$1:$ZZ$501,$A26,D$3)))</f>
        <v/>
      </c>
      <c r="E26" t="str">
        <f>IF($B26="","",IF(E$3=0,"n.b.",INDEX(SRC_ZPMW03!$A$1:$ZZ$501,$A26,E$3)))</f>
        <v/>
      </c>
      <c r="F26" t="str">
        <f>IF($B26="","",IF(F$3=0,"n.b.",INDEX(SRC_ZPMW03!$A$1:$ZZ$501,$A26,F$3)))</f>
        <v/>
      </c>
      <c r="G26" t="str">
        <f>IF($B26="","",IF(G$3=0,"n.b.",INDEX(SRC_ZPMW03!$A$1:$ZZ$501,$A26,G$3)))</f>
        <v/>
      </c>
      <c r="H26" t="str">
        <f>IF($B26="","",IF(H$3=0,"n.b.",INDEX(SRC_ZPMW03!$A$1:$ZZ$501,$A26,H$3)))</f>
        <v/>
      </c>
      <c r="I26" t="str">
        <f>IF($B26="","",IF(I$3=0,"n.b.",INDEX(SRC_ZPMW03!$A$1:$ZZ$501,$A26,I$3)))</f>
        <v/>
      </c>
      <c r="J26" t="str">
        <f>IF($B26="","",IF(J$3=0,"n.b.",INDEX(SRC_ZPMW03!$A$1:$ZZ$501,$A26,J$3)))</f>
        <v/>
      </c>
      <c r="K26" t="str">
        <f>IF($B26="","",IF(K$3=0,"n.b.",INDEX(SRC_ZPMW03!$A$1:$ZZ$501,$A26,K$3)))</f>
        <v/>
      </c>
      <c r="L26" s="124" t="str">
        <f>IF($B26="","",IF(L$3=0,"n.b.",INDEX(SRC_ZPMW03!$A$1:$ZZ$501,$A26,L$3)))</f>
        <v/>
      </c>
      <c r="M26" s="124" t="str">
        <f>IF($B26="","",IF(M$3=0,"n.b.",INDEX(SRC_ZPMW03!$A$1:$ZZ$501,$A26,M$3)))</f>
        <v/>
      </c>
      <c r="N26" s="124" t="str">
        <f>IF($B26="","",IF(N$3=0,"n.b.",INDEX(SRC_ZPMW03!$A$1:$ZZ$501,$A26,N$3)))</f>
        <v/>
      </c>
      <c r="O26" s="124" t="str">
        <f>IF($B26="","",IF(O$3=0,"n.b.",INDEX(SRC_ZPMW03!$A$1:$ZZ$501,$A26,O$3)))</f>
        <v/>
      </c>
      <c r="P26" s="124" t="str">
        <f>IF($B26="","",IF(P$3=0,"n.b.",INDEX(SRC_ZPMW03!$A$1:$ZZ$501,$A26,P$3)))</f>
        <v/>
      </c>
      <c r="Q26" s="124" t="str">
        <f>IF($B26="","",IF(Q$3=0,"n.b.",INDEX(SRC_ZPMW03!$A$1:$ZZ$501,$A26,Q$3)))</f>
        <v/>
      </c>
      <c r="R26" s="124" t="str">
        <f>IF($B26="","",IF(R$3=0,"n.b.",INDEX(SRC_ZPMW03!$A$1:$ZZ$501,$A26,R$3)))</f>
        <v/>
      </c>
      <c r="S26" s="124" t="str">
        <f>IF($B26="","",IF(S$3=0,"n.b.",INDEX(SRC_ZPMW03!$A$1:$ZZ$501,$A26,S$3)))</f>
        <v/>
      </c>
      <c r="T26" s="124" t="str">
        <f>IF($B26="","",IF(T$3=0,"n.b.",INDEX(SRC_ZPMW03!$A$1:$ZZ$501,$A26,T$3)))</f>
        <v/>
      </c>
      <c r="U26" s="124" t="str">
        <f>IF($B26="","",IF(U$3=0,"n.b.",INDEX(SRC_ZPMW03!$A$1:$ZZ$501,$A26,U$3)))</f>
        <v/>
      </c>
      <c r="V26" s="124" t="str">
        <f>IF($B26="","",IF(V$3=0,"n.b.",INDEX(SRC_ZPMW03!$A$1:$ZZ$501,$A26,V$3)))</f>
        <v/>
      </c>
      <c r="W26" s="124" t="str">
        <f>IF($B26="","",IF(W$3=0,"n.b.",INDEX(SRC_ZPMW03!$A$1:$ZZ$501,$A26,W$3)))</f>
        <v/>
      </c>
      <c r="X26" s="124" t="str">
        <f>IF($B26="","",IF(X$3=0,"n.b.",INDEX(SRC_ZPMW03!$A$1:$ZZ$501,$A26,X$3)))</f>
        <v/>
      </c>
      <c r="Y26" s="124" t="str">
        <f>IF($B26="","",IF(Y$3=0,"n.b.",INDEX(SRC_ZPMW03!$A$1:$ZZ$501,$A26,Y$3)))</f>
        <v/>
      </c>
      <c r="Z26" s="124" t="str">
        <f>IF($B26="","",IF(Z$3=0,"n.b.",INDEX(SRC_ZPMW03!$A$1:$ZZ$501,$A26,Z$3)))</f>
        <v/>
      </c>
      <c r="AA26" s="124" t="str">
        <f>IF($B26="","",IF(AA$3=0,"n.b.",INDEX(SRC_ZPMW03!$A$1:$ZZ$501,$A26,AA$3)))</f>
        <v/>
      </c>
      <c r="AB26" s="124" t="str">
        <f>IF($B26="","",IF(AB$3=0,"n.b.",INDEX(SRC_ZPMW03!$A$1:$ZZ$501,$A26,AB$3)))</f>
        <v/>
      </c>
      <c r="AC26" s="124" t="str">
        <f>IF($B26="","",IF(AC$3=0,"n.b.",INDEX(SRC_ZPMW03!$A$1:$ZZ$501,$A26,AC$3)))</f>
        <v/>
      </c>
      <c r="AD26" s="124" t="str">
        <f>IF($B26="","",IF(AD$3=0,"n.b.",INDEX(SRC_ZPMW03!$A$1:$ZZ$501,$A26,AD$3)))</f>
        <v/>
      </c>
      <c r="AE26" s="124" t="str">
        <f>IF($B26="","",IF(AE$3=0,"n.b.",INDEX(SRC_ZPMW03!$A$1:$ZZ$501,$A26,AE$3)))</f>
        <v/>
      </c>
      <c r="AF26" s="124" t="str">
        <f>IF($B26="","",IF(AF$3=0,"n.b.",INDEX(SRC_ZPMW03!$A$1:$ZZ$501,$A26,AF$3)))</f>
        <v/>
      </c>
      <c r="AG26" s="124" t="str">
        <f>IF($B26="","",IF(AG$3=0,"n.b.",INDEX(SRC_ZPMW03!$A$1:$ZZ$501,$A26,AG$3)))</f>
        <v/>
      </c>
      <c r="AH26" s="124" t="str">
        <f>IF($B26="","",IF(AH$3=0,"n.b.",INDEX(SRC_ZPMW03!$A$1:$ZZ$501,$A26,AH$3)))</f>
        <v/>
      </c>
      <c r="AI26" s="124" t="str">
        <f>IF($B26="","",IF(AI$3=0,"n.b.",INDEX(SRC_ZPMW03!$A$1:$ZZ$501,$A26,AI$3)))</f>
        <v/>
      </c>
      <c r="AJ26" s="124" t="str">
        <f>IF($B26="","",IF(AJ$3=0,"n.b.",INDEX(SRC_ZPMW03!$A$1:$ZZ$501,$A26,AJ$3)))</f>
        <v/>
      </c>
      <c r="AK26" s="124" t="str">
        <f>IF($B26="","",IF(AK$3=0,"n.b.",INDEX(SRC_ZPMW03!$A$1:$ZZ$501,$A26,AK$3)))</f>
        <v/>
      </c>
      <c r="AL26" s="124" t="str">
        <f>IF($B26="","",IF(AL$3=0,"n.b.",INDEX(SRC_ZPMW03!$A$1:$ZZ$501,$A26,AL$3)))</f>
        <v/>
      </c>
      <c r="AM26" s="124" t="str">
        <f>IF($B26="","",IF(AM$3=0,"n.b.",INDEX(SRC_ZPMW03!$A$1:$ZZ$501,$A26,AM$3)))</f>
        <v/>
      </c>
      <c r="AN26" s="124" t="str">
        <f>IF($B26="","",IF(AN$3=0,"n.b.",INDEX(SRC_ZPMW03!$A$1:$ZZ$501,$A26,AN$3)))</f>
        <v/>
      </c>
      <c r="AO26" s="124" t="str">
        <f>IF($B26="","",IF(AO$3=0,"n.b.",INDEX(SRC_ZPMW03!$A$1:$ZZ$501,$A26,AO$3)))</f>
        <v/>
      </c>
      <c r="AP26" s="124" t="str">
        <f>IF($B26="","",IF(AP$3=0,"n.b.",INDEX(SRC_ZPMW03!$A$1:$ZZ$501,$A26,AP$3)))</f>
        <v/>
      </c>
      <c r="AQ26" s="124" t="str">
        <f>IF($B26="","",IF(AQ$3=0,"n.b.",INDEX(SRC_ZPMW03!$A$1:$ZZ$501,$A26,AQ$3)))</f>
        <v/>
      </c>
      <c r="AR26" s="124" t="str">
        <f>IF($B26="","",IF(AR$3=0,"n.b.",INDEX(SRC_ZPMW03!$A$1:$ZZ$501,$A26,AR$3)))</f>
        <v/>
      </c>
      <c r="AS26" s="124" t="str">
        <f>IF($B26="","",IF(AS$3=0,"n.b.",INDEX(SRC_ZPMW03!$A$1:$ZZ$501,$A26,AS$3)))</f>
        <v/>
      </c>
      <c r="AT26" s="124" t="str">
        <f>IF($B26="","",IF(AT$3=0,"n.b.",INDEX(SRC_ZPMW03!$A$1:$ZZ$501,$A26,AT$3)))</f>
        <v/>
      </c>
      <c r="AU26" s="124" t="str">
        <f>IF($B26="","",IF(AU$3=0,"n.b.",INDEX(SRC_ZPMW03!$A$1:$ZZ$501,$A26,AU$3)))</f>
        <v/>
      </c>
      <c r="AV26" s="124" t="str">
        <f>IF($B26="","",IF(AV$3=0,"n.b.",INDEX(SRC_ZPMW03!$A$1:$ZZ$501,$A26,AV$3)))</f>
        <v/>
      </c>
      <c r="AW26" s="124" t="str">
        <f>IF($B26="","",IF(AW$3=0,"n.b.",INDEX(SRC_ZPMW03!$A$1:$ZZ$501,$A26,AW$3)))</f>
        <v/>
      </c>
      <c r="AX26" s="124" t="str">
        <f>IF($B26="","",IF(AX$3=0,"n.b.",INDEX(SRC_ZPMW03!$A$1:$ZZ$501,$A26,AX$3)))</f>
        <v/>
      </c>
      <c r="AY26" s="124" t="str">
        <f>IF($B26="","",IF(AY$3=0,"n.b.",INDEX(SRC_ZPMW03!$A$1:$ZZ$501,$A26,AY$3)))</f>
        <v/>
      </c>
      <c r="AZ26" s="124" t="str">
        <f>IF($B26="","",IF(AZ$3=0,"n.b.",INDEX(SRC_ZPMW03!$A$1:$ZZ$501,$A26,AZ$3)))</f>
        <v/>
      </c>
      <c r="BA26" s="124" t="str">
        <f>IF($B26="","",IF(BA$3=0,"n.b.",INDEX(SRC_ZPMW03!$A$1:$ZZ$501,$A26,BA$3)))</f>
        <v/>
      </c>
      <c r="BB26" s="124" t="str">
        <f>IF($B26="","",IF(BB$3=0,"n.b.",INDEX(SRC_ZPMW03!$A$1:$ZZ$501,$A26,BB$3)))</f>
        <v/>
      </c>
      <c r="BC26" s="124" t="str">
        <f>IF($B26="","",IF(BC$3=0,"n.b.",INDEX(SRC_ZPMW03!$A$1:$ZZ$501,$A26,BC$3)))</f>
        <v/>
      </c>
      <c r="BD26" s="124" t="str">
        <f>IF($B26="","",IF(BD$3=0,"n.b.",INDEX(SRC_ZPMW03!$A$1:$ZZ$501,$A26,BD$3)))</f>
        <v/>
      </c>
      <c r="BE26" s="124" t="str">
        <f>IF($B26="","",IF(BE$3=0,"n.b.",INDEX(SRC_ZPMW03!$A$1:$ZZ$501,$A26,BE$3)))</f>
        <v/>
      </c>
      <c r="BF26" s="124" t="str">
        <f>IF($B26="","",IF(BF$3=0,"n.b.",INDEX(SRC_ZPMW03!$A$1:$ZZ$501,$A26,BF$3)))</f>
        <v/>
      </c>
      <c r="BG26" t="str">
        <f>IF($B26="","",IF(BG$3=0,"n.b.",INDEX(SRC_ZPMW03!$A$1:$ZZ$501,$A26,BG$3)))</f>
        <v/>
      </c>
      <c r="BH26" t="str">
        <f>IF($B26="","",IF(BH$3=0,"n.b.",INDEX(SRC_ZPMW03!$A$1:$ZZ$501,$A26,BH$3)))</f>
        <v/>
      </c>
      <c r="BI26" t="str">
        <f>IF($B26="","",IF(BI$3=0,"n.b.",INDEX(SRC_ZPMW03!$A$1:$ZZ$501,$A26,BI$3)))</f>
        <v/>
      </c>
      <c r="BJ26" t="str">
        <f>IF($B26="","",IF(BJ$3=0,"n.b.",INDEX(SRC_ZPMW03!$A$1:$ZZ$501,$A26,BJ$3)))</f>
        <v/>
      </c>
      <c r="BK26" s="124" t="str">
        <f>IF($B26="","",IFERROR(-O26,"n.b."))</f>
        <v/>
      </c>
      <c r="BL26" s="124" t="str">
        <f>IF($B26="","",IFERROR(-Q26,"n.b."))</f>
        <v/>
      </c>
      <c r="BM26" s="124" t="str">
        <f>IF($B26="","",IFERROR(-AB26,"n.b."))</f>
        <v/>
      </c>
      <c r="BN26" s="124" t="str">
        <f>IF($B26="","",IFERROR(-AD26,"n.b."))</f>
        <v/>
      </c>
      <c r="BO26" s="124" t="str">
        <f>IF($B26="","",IFERROR(BK26+BM26,"n.b."))</f>
        <v/>
      </c>
      <c r="BP26" s="124" t="str">
        <f>IF($B26="","",IFERROR(BL26+BN26,"n.b."))</f>
        <v/>
      </c>
      <c r="BQ26" s="124" t="str">
        <f>IF($B26="","",IFERROR(-AM26,"n.b."))</f>
        <v/>
      </c>
      <c r="BR26" s="124" t="str">
        <f>IF($B26="","",IFERROR(-AO26,"n.b."))</f>
        <v/>
      </c>
      <c r="BS26" s="124" t="str">
        <f>IF($B26="","",IFERROR(-Z26,"n.b."))</f>
        <v/>
      </c>
      <c r="BT26" s="124" t="str">
        <f>IF($B26="","",IFERROR(-AA26,"n.b."))</f>
        <v/>
      </c>
      <c r="BU26" s="124" t="str">
        <f>IF($B26="","",IFERROR(-AE26,"n.b."))</f>
        <v/>
      </c>
      <c r="BV26" s="124" t="str">
        <f>IF($B26="","",IFERROR(-AF26,"n.b."))</f>
        <v/>
      </c>
      <c r="BW26" s="124" t="str">
        <f>IF($B26="","",IFERROR(-AG26,"n.b."))</f>
        <v/>
      </c>
      <c r="BX26" s="124" t="str">
        <f>IF($B26="","",IFERROR(-AH26,"n.b."))</f>
        <v/>
      </c>
      <c r="BY26" s="124" t="str">
        <f>IF($B26="","",IFERROR(-AI26,"n.b."))</f>
        <v/>
      </c>
      <c r="BZ26" s="124" t="str">
        <f>IF($B26="","",IFERROR(-AJ26,"n.b."))</f>
        <v/>
      </c>
      <c r="CA26" s="124" t="str">
        <f>IF($B26="","",IFERROR(-AK26,"n.b."))</f>
        <v/>
      </c>
      <c r="CB26" s="124" t="str">
        <f>IF($B26="","",IFERROR(-AL26,"n.b."))</f>
        <v/>
      </c>
      <c r="CC26" s="124" t="str">
        <f>IF($B26="","",IFERROR(-AP26,"n.b."))</f>
        <v/>
      </c>
      <c r="CD26" s="124" t="str">
        <f>IF($B26="","",IFERROR(-AQ26,"n.b."))</f>
        <v/>
      </c>
      <c r="CE26" s="124" t="str">
        <f>IF($B26="","",IFERROR(-AR26,"n.b."))</f>
        <v/>
      </c>
      <c r="CF26" s="124" t="str">
        <f>IF($B26="","",IFERROR(-AS26,"n.b."))</f>
        <v/>
      </c>
      <c r="CG26" s="124" t="str">
        <f>IF($B26="","",IFERROR(-AT26,"n.b."))</f>
        <v/>
      </c>
      <c r="CH26" s="124" t="str">
        <f>IF($B26="","",IFERROR(-AU26,"n.b."))</f>
        <v/>
      </c>
      <c r="CI26" s="124" t="str">
        <f>IF($B26="","",IFERROR(-AV26,"n.b."))</f>
        <v/>
      </c>
      <c r="CJ26" s="124" t="str">
        <f>IF($B26="","",IFERROR(-AW26,"n.b."))</f>
        <v/>
      </c>
      <c r="CK26" s="124" t="str">
        <f>IF($B26="","",IFERROR(-AX26,"n.b."))</f>
        <v/>
      </c>
      <c r="CL26" s="124" t="str">
        <f>IF($B26="","",IFERROR(-AY26,"n.b."))</f>
        <v/>
      </c>
      <c r="CM26" s="124" t="str">
        <f>IF($B26="","",IFERROR(-AZ26,"n.b."))</f>
        <v/>
      </c>
      <c r="CN26" s="124" t="str">
        <f>IF($B26="","",IFERROR(-BA26,"n.b."))</f>
        <v/>
      </c>
      <c r="CO26" s="124" t="str">
        <f>IF($B26="","",IFERROR(-BB26,"n.b."))</f>
        <v/>
      </c>
      <c r="CP26" s="124" t="str">
        <f>IF($B26="","",IFERROR(-BC26,"n.b."))</f>
        <v/>
      </c>
      <c r="CQ26" s="124" t="str">
        <f>IF($B26="","",IFERROR(-BD26,"n.b."))</f>
        <v/>
      </c>
      <c r="CR26" s="124" t="str">
        <f>IF($B26="","",IFERROR(-BE26,"n.b."))</f>
        <v/>
      </c>
      <c r="CS26" s="124" t="str">
        <f>IF($B26="","",IFERROR(IF(OR(ABS(T26+V26+X26+Z26-AB26)&gt;P_Tol,ABS(U26+W26+Y26+AA26-AD26)&gt;P_Tol,ABS(AE26+AG26+AI26+AK26-AM26)&gt;P_Tol,ABS(AF26+AH26+AJ26+AL26-AO26)&gt;P_Tol),1,0),1))</f>
        <v/>
      </c>
      <c r="CT26" s="124" t="str">
        <f>IF($B26="","",IFERROR(IF(OR(ABS(AB26+AC26-AD26)&gt;P_Tol,ABS(AM26+AN26-AO26)&gt;P_Tol,ABS(O26+P26-Q26)&gt;P_Tol),1,0),1))</f>
        <v/>
      </c>
      <c r="CU26" s="124" t="str">
        <f>IF($B26="","",IFERROR(IF(ABS(R26-(AB26+AM26+AP26+AR26+AT26+AV26+AX26+AZ26+BB26+BD26))&gt;P_Tol,1,0),1))</f>
        <v/>
      </c>
      <c r="CV26" s="124" t="str">
        <f>IF($B26="","",IFERROR(IF(ABS(M26-(N26+O26+R26))&gt;P_Tol,1,0),1))</f>
        <v/>
      </c>
      <c r="CW26" s="124" t="str">
        <f>IF($B26="","",IF(COUNTIF(Mapping!$A$5:$A$104,B26)&gt;0,1,0))</f>
        <v/>
      </c>
      <c r="CX26" s="124" t="str">
        <f>IF($B26="","",COUNTIF($B$6:$B$505,B26))</f>
        <v/>
      </c>
      <c r="CY26" s="124" t="str">
        <f>IF($B26="","",COUNTIF(STG_Woningetalage!$B$6:$B$505,B26))</f>
        <v/>
      </c>
      <c r="CZ26" s="124" t="str">
        <f>IF($B26="","",IF(CW26=0,COUNTIF($CW$6:CW26,0),""))</f>
        <v/>
      </c>
    </row>
    <row r="27">
      <c r="A27" s="15" t="n">
        <v>23</v>
      </c>
      <c r="B27" t="str">
        <f>IF(B$3=0,"",IF(INDEX(SRC_ZPMW03!$A$1:$ZZ$501,$A27,B$3)&amp;""="","",INDEX(SRC_ZPMW03!$A$1:$ZZ$501,$A27,B$3)&amp;""))</f>
        <v/>
      </c>
      <c r="C27" t="str">
        <f>IF($B27="","",IF(C$3=0,"n.b.",INDEX(SRC_ZPMW03!$A$1:$ZZ$501,$A27,C$3)))</f>
        <v/>
      </c>
      <c r="D27" t="str">
        <f>IF($B27="","",IF(D$3=0,"n.b.",INDEX(SRC_ZPMW03!$A$1:$ZZ$501,$A27,D$3)))</f>
        <v/>
      </c>
      <c r="E27" t="str">
        <f>IF($B27="","",IF(E$3=0,"n.b.",INDEX(SRC_ZPMW03!$A$1:$ZZ$501,$A27,E$3)))</f>
        <v/>
      </c>
      <c r="F27" t="str">
        <f>IF($B27="","",IF(F$3=0,"n.b.",INDEX(SRC_ZPMW03!$A$1:$ZZ$501,$A27,F$3)))</f>
        <v/>
      </c>
      <c r="G27" t="str">
        <f>IF($B27="","",IF(G$3=0,"n.b.",INDEX(SRC_ZPMW03!$A$1:$ZZ$501,$A27,G$3)))</f>
        <v/>
      </c>
      <c r="H27" t="str">
        <f>IF($B27="","",IF(H$3=0,"n.b.",INDEX(SRC_ZPMW03!$A$1:$ZZ$501,$A27,H$3)))</f>
        <v/>
      </c>
      <c r="I27" t="str">
        <f>IF($B27="","",IF(I$3=0,"n.b.",INDEX(SRC_ZPMW03!$A$1:$ZZ$501,$A27,I$3)))</f>
        <v/>
      </c>
      <c r="J27" t="str">
        <f>IF($B27="","",IF(J$3=0,"n.b.",INDEX(SRC_ZPMW03!$A$1:$ZZ$501,$A27,J$3)))</f>
        <v/>
      </c>
      <c r="K27" t="str">
        <f>IF($B27="","",IF(K$3=0,"n.b.",INDEX(SRC_ZPMW03!$A$1:$ZZ$501,$A27,K$3)))</f>
        <v/>
      </c>
      <c r="L27" s="124" t="str">
        <f>IF($B27="","",IF(L$3=0,"n.b.",INDEX(SRC_ZPMW03!$A$1:$ZZ$501,$A27,L$3)))</f>
        <v/>
      </c>
      <c r="M27" s="124" t="str">
        <f>IF($B27="","",IF(M$3=0,"n.b.",INDEX(SRC_ZPMW03!$A$1:$ZZ$501,$A27,M$3)))</f>
        <v/>
      </c>
      <c r="N27" s="124" t="str">
        <f>IF($B27="","",IF(N$3=0,"n.b.",INDEX(SRC_ZPMW03!$A$1:$ZZ$501,$A27,N$3)))</f>
        <v/>
      </c>
      <c r="O27" s="124" t="str">
        <f>IF($B27="","",IF(O$3=0,"n.b.",INDEX(SRC_ZPMW03!$A$1:$ZZ$501,$A27,O$3)))</f>
        <v/>
      </c>
      <c r="P27" s="124" t="str">
        <f>IF($B27="","",IF(P$3=0,"n.b.",INDEX(SRC_ZPMW03!$A$1:$ZZ$501,$A27,P$3)))</f>
        <v/>
      </c>
      <c r="Q27" s="124" t="str">
        <f>IF($B27="","",IF(Q$3=0,"n.b.",INDEX(SRC_ZPMW03!$A$1:$ZZ$501,$A27,Q$3)))</f>
        <v/>
      </c>
      <c r="R27" s="124" t="str">
        <f>IF($B27="","",IF(R$3=0,"n.b.",INDEX(SRC_ZPMW03!$A$1:$ZZ$501,$A27,R$3)))</f>
        <v/>
      </c>
      <c r="S27" s="124" t="str">
        <f>IF($B27="","",IF(S$3=0,"n.b.",INDEX(SRC_ZPMW03!$A$1:$ZZ$501,$A27,S$3)))</f>
        <v/>
      </c>
      <c r="T27" s="124" t="str">
        <f>IF($B27="","",IF(T$3=0,"n.b.",INDEX(SRC_ZPMW03!$A$1:$ZZ$501,$A27,T$3)))</f>
        <v/>
      </c>
      <c r="U27" s="124" t="str">
        <f>IF($B27="","",IF(U$3=0,"n.b.",INDEX(SRC_ZPMW03!$A$1:$ZZ$501,$A27,U$3)))</f>
        <v/>
      </c>
      <c r="V27" s="124" t="str">
        <f>IF($B27="","",IF(V$3=0,"n.b.",INDEX(SRC_ZPMW03!$A$1:$ZZ$501,$A27,V$3)))</f>
        <v/>
      </c>
      <c r="W27" s="124" t="str">
        <f>IF($B27="","",IF(W$3=0,"n.b.",INDEX(SRC_ZPMW03!$A$1:$ZZ$501,$A27,W$3)))</f>
        <v/>
      </c>
      <c r="X27" s="124" t="str">
        <f>IF($B27="","",IF(X$3=0,"n.b.",INDEX(SRC_ZPMW03!$A$1:$ZZ$501,$A27,X$3)))</f>
        <v/>
      </c>
      <c r="Y27" s="124" t="str">
        <f>IF($B27="","",IF(Y$3=0,"n.b.",INDEX(SRC_ZPMW03!$A$1:$ZZ$501,$A27,Y$3)))</f>
        <v/>
      </c>
      <c r="Z27" s="124" t="str">
        <f>IF($B27="","",IF(Z$3=0,"n.b.",INDEX(SRC_ZPMW03!$A$1:$ZZ$501,$A27,Z$3)))</f>
        <v/>
      </c>
      <c r="AA27" s="124" t="str">
        <f>IF($B27="","",IF(AA$3=0,"n.b.",INDEX(SRC_ZPMW03!$A$1:$ZZ$501,$A27,AA$3)))</f>
        <v/>
      </c>
      <c r="AB27" s="124" t="str">
        <f>IF($B27="","",IF(AB$3=0,"n.b.",INDEX(SRC_ZPMW03!$A$1:$ZZ$501,$A27,AB$3)))</f>
        <v/>
      </c>
      <c r="AC27" s="124" t="str">
        <f>IF($B27="","",IF(AC$3=0,"n.b.",INDEX(SRC_ZPMW03!$A$1:$ZZ$501,$A27,AC$3)))</f>
        <v/>
      </c>
      <c r="AD27" s="124" t="str">
        <f>IF($B27="","",IF(AD$3=0,"n.b.",INDEX(SRC_ZPMW03!$A$1:$ZZ$501,$A27,AD$3)))</f>
        <v/>
      </c>
      <c r="AE27" s="124" t="str">
        <f>IF($B27="","",IF(AE$3=0,"n.b.",INDEX(SRC_ZPMW03!$A$1:$ZZ$501,$A27,AE$3)))</f>
        <v/>
      </c>
      <c r="AF27" s="124" t="str">
        <f>IF($B27="","",IF(AF$3=0,"n.b.",INDEX(SRC_ZPMW03!$A$1:$ZZ$501,$A27,AF$3)))</f>
        <v/>
      </c>
      <c r="AG27" s="124" t="str">
        <f>IF($B27="","",IF(AG$3=0,"n.b.",INDEX(SRC_ZPMW03!$A$1:$ZZ$501,$A27,AG$3)))</f>
        <v/>
      </c>
      <c r="AH27" s="124" t="str">
        <f>IF($B27="","",IF(AH$3=0,"n.b.",INDEX(SRC_ZPMW03!$A$1:$ZZ$501,$A27,AH$3)))</f>
        <v/>
      </c>
      <c r="AI27" s="124" t="str">
        <f>IF($B27="","",IF(AI$3=0,"n.b.",INDEX(SRC_ZPMW03!$A$1:$ZZ$501,$A27,AI$3)))</f>
        <v/>
      </c>
      <c r="AJ27" s="124" t="str">
        <f>IF($B27="","",IF(AJ$3=0,"n.b.",INDEX(SRC_ZPMW03!$A$1:$ZZ$501,$A27,AJ$3)))</f>
        <v/>
      </c>
      <c r="AK27" s="124" t="str">
        <f>IF($B27="","",IF(AK$3=0,"n.b.",INDEX(SRC_ZPMW03!$A$1:$ZZ$501,$A27,AK$3)))</f>
        <v/>
      </c>
      <c r="AL27" s="124" t="str">
        <f>IF($B27="","",IF(AL$3=0,"n.b.",INDEX(SRC_ZPMW03!$A$1:$ZZ$501,$A27,AL$3)))</f>
        <v/>
      </c>
      <c r="AM27" s="124" t="str">
        <f>IF($B27="","",IF(AM$3=0,"n.b.",INDEX(SRC_ZPMW03!$A$1:$ZZ$501,$A27,AM$3)))</f>
        <v/>
      </c>
      <c r="AN27" s="124" t="str">
        <f>IF($B27="","",IF(AN$3=0,"n.b.",INDEX(SRC_ZPMW03!$A$1:$ZZ$501,$A27,AN$3)))</f>
        <v/>
      </c>
      <c r="AO27" s="124" t="str">
        <f>IF($B27="","",IF(AO$3=0,"n.b.",INDEX(SRC_ZPMW03!$A$1:$ZZ$501,$A27,AO$3)))</f>
        <v/>
      </c>
      <c r="AP27" s="124" t="str">
        <f>IF($B27="","",IF(AP$3=0,"n.b.",INDEX(SRC_ZPMW03!$A$1:$ZZ$501,$A27,AP$3)))</f>
        <v/>
      </c>
      <c r="AQ27" s="124" t="str">
        <f>IF($B27="","",IF(AQ$3=0,"n.b.",INDEX(SRC_ZPMW03!$A$1:$ZZ$501,$A27,AQ$3)))</f>
        <v/>
      </c>
      <c r="AR27" s="124" t="str">
        <f>IF($B27="","",IF(AR$3=0,"n.b.",INDEX(SRC_ZPMW03!$A$1:$ZZ$501,$A27,AR$3)))</f>
        <v/>
      </c>
      <c r="AS27" s="124" t="str">
        <f>IF($B27="","",IF(AS$3=0,"n.b.",INDEX(SRC_ZPMW03!$A$1:$ZZ$501,$A27,AS$3)))</f>
        <v/>
      </c>
      <c r="AT27" s="124" t="str">
        <f>IF($B27="","",IF(AT$3=0,"n.b.",INDEX(SRC_ZPMW03!$A$1:$ZZ$501,$A27,AT$3)))</f>
        <v/>
      </c>
      <c r="AU27" s="124" t="str">
        <f>IF($B27="","",IF(AU$3=0,"n.b.",INDEX(SRC_ZPMW03!$A$1:$ZZ$501,$A27,AU$3)))</f>
        <v/>
      </c>
      <c r="AV27" s="124" t="str">
        <f>IF($B27="","",IF(AV$3=0,"n.b.",INDEX(SRC_ZPMW03!$A$1:$ZZ$501,$A27,AV$3)))</f>
        <v/>
      </c>
      <c r="AW27" s="124" t="str">
        <f>IF($B27="","",IF(AW$3=0,"n.b.",INDEX(SRC_ZPMW03!$A$1:$ZZ$501,$A27,AW$3)))</f>
        <v/>
      </c>
      <c r="AX27" s="124" t="str">
        <f>IF($B27="","",IF(AX$3=0,"n.b.",INDEX(SRC_ZPMW03!$A$1:$ZZ$501,$A27,AX$3)))</f>
        <v/>
      </c>
      <c r="AY27" s="124" t="str">
        <f>IF($B27="","",IF(AY$3=0,"n.b.",INDEX(SRC_ZPMW03!$A$1:$ZZ$501,$A27,AY$3)))</f>
        <v/>
      </c>
      <c r="AZ27" s="124" t="str">
        <f>IF($B27="","",IF(AZ$3=0,"n.b.",INDEX(SRC_ZPMW03!$A$1:$ZZ$501,$A27,AZ$3)))</f>
        <v/>
      </c>
      <c r="BA27" s="124" t="str">
        <f>IF($B27="","",IF(BA$3=0,"n.b.",INDEX(SRC_ZPMW03!$A$1:$ZZ$501,$A27,BA$3)))</f>
        <v/>
      </c>
      <c r="BB27" s="124" t="str">
        <f>IF($B27="","",IF(BB$3=0,"n.b.",INDEX(SRC_ZPMW03!$A$1:$ZZ$501,$A27,BB$3)))</f>
        <v/>
      </c>
      <c r="BC27" s="124" t="str">
        <f>IF($B27="","",IF(BC$3=0,"n.b.",INDEX(SRC_ZPMW03!$A$1:$ZZ$501,$A27,BC$3)))</f>
        <v/>
      </c>
      <c r="BD27" s="124" t="str">
        <f>IF($B27="","",IF(BD$3=0,"n.b.",INDEX(SRC_ZPMW03!$A$1:$ZZ$501,$A27,BD$3)))</f>
        <v/>
      </c>
      <c r="BE27" s="124" t="str">
        <f>IF($B27="","",IF(BE$3=0,"n.b.",INDEX(SRC_ZPMW03!$A$1:$ZZ$501,$A27,BE$3)))</f>
        <v/>
      </c>
      <c r="BF27" s="124" t="str">
        <f>IF($B27="","",IF(BF$3=0,"n.b.",INDEX(SRC_ZPMW03!$A$1:$ZZ$501,$A27,BF$3)))</f>
        <v/>
      </c>
      <c r="BG27" t="str">
        <f>IF($B27="","",IF(BG$3=0,"n.b.",INDEX(SRC_ZPMW03!$A$1:$ZZ$501,$A27,BG$3)))</f>
        <v/>
      </c>
      <c r="BH27" t="str">
        <f>IF($B27="","",IF(BH$3=0,"n.b.",INDEX(SRC_ZPMW03!$A$1:$ZZ$501,$A27,BH$3)))</f>
        <v/>
      </c>
      <c r="BI27" t="str">
        <f>IF($B27="","",IF(BI$3=0,"n.b.",INDEX(SRC_ZPMW03!$A$1:$ZZ$501,$A27,BI$3)))</f>
        <v/>
      </c>
      <c r="BJ27" t="str">
        <f>IF($B27="","",IF(BJ$3=0,"n.b.",INDEX(SRC_ZPMW03!$A$1:$ZZ$501,$A27,BJ$3)))</f>
        <v/>
      </c>
      <c r="BK27" s="124" t="str">
        <f>IF($B27="","",IFERROR(-O27,"n.b."))</f>
        <v/>
      </c>
      <c r="BL27" s="124" t="str">
        <f>IF($B27="","",IFERROR(-Q27,"n.b."))</f>
        <v/>
      </c>
      <c r="BM27" s="124" t="str">
        <f>IF($B27="","",IFERROR(-AB27,"n.b."))</f>
        <v/>
      </c>
      <c r="BN27" s="124" t="str">
        <f>IF($B27="","",IFERROR(-AD27,"n.b."))</f>
        <v/>
      </c>
      <c r="BO27" s="124" t="str">
        <f>IF($B27="","",IFERROR(BK27+BM27,"n.b."))</f>
        <v/>
      </c>
      <c r="BP27" s="124" t="str">
        <f>IF($B27="","",IFERROR(BL27+BN27,"n.b."))</f>
        <v/>
      </c>
      <c r="BQ27" s="124" t="str">
        <f>IF($B27="","",IFERROR(-AM27,"n.b."))</f>
        <v/>
      </c>
      <c r="BR27" s="124" t="str">
        <f>IF($B27="","",IFERROR(-AO27,"n.b."))</f>
        <v/>
      </c>
      <c r="BS27" s="124" t="str">
        <f>IF($B27="","",IFERROR(-Z27,"n.b."))</f>
        <v/>
      </c>
      <c r="BT27" s="124" t="str">
        <f>IF($B27="","",IFERROR(-AA27,"n.b."))</f>
        <v/>
      </c>
      <c r="BU27" s="124" t="str">
        <f>IF($B27="","",IFERROR(-AE27,"n.b."))</f>
        <v/>
      </c>
      <c r="BV27" s="124" t="str">
        <f>IF($B27="","",IFERROR(-AF27,"n.b."))</f>
        <v/>
      </c>
      <c r="BW27" s="124" t="str">
        <f>IF($B27="","",IFERROR(-AG27,"n.b."))</f>
        <v/>
      </c>
      <c r="BX27" s="124" t="str">
        <f>IF($B27="","",IFERROR(-AH27,"n.b."))</f>
        <v/>
      </c>
      <c r="BY27" s="124" t="str">
        <f>IF($B27="","",IFERROR(-AI27,"n.b."))</f>
        <v/>
      </c>
      <c r="BZ27" s="124" t="str">
        <f>IF($B27="","",IFERROR(-AJ27,"n.b."))</f>
        <v/>
      </c>
      <c r="CA27" s="124" t="str">
        <f>IF($B27="","",IFERROR(-AK27,"n.b."))</f>
        <v/>
      </c>
      <c r="CB27" s="124" t="str">
        <f>IF($B27="","",IFERROR(-AL27,"n.b."))</f>
        <v/>
      </c>
      <c r="CC27" s="124" t="str">
        <f>IF($B27="","",IFERROR(-AP27,"n.b."))</f>
        <v/>
      </c>
      <c r="CD27" s="124" t="str">
        <f>IF($B27="","",IFERROR(-AQ27,"n.b."))</f>
        <v/>
      </c>
      <c r="CE27" s="124" t="str">
        <f>IF($B27="","",IFERROR(-AR27,"n.b."))</f>
        <v/>
      </c>
      <c r="CF27" s="124" t="str">
        <f>IF($B27="","",IFERROR(-AS27,"n.b."))</f>
        <v/>
      </c>
      <c r="CG27" s="124" t="str">
        <f>IF($B27="","",IFERROR(-AT27,"n.b."))</f>
        <v/>
      </c>
      <c r="CH27" s="124" t="str">
        <f>IF($B27="","",IFERROR(-AU27,"n.b."))</f>
        <v/>
      </c>
      <c r="CI27" s="124" t="str">
        <f>IF($B27="","",IFERROR(-AV27,"n.b."))</f>
        <v/>
      </c>
      <c r="CJ27" s="124" t="str">
        <f>IF($B27="","",IFERROR(-AW27,"n.b."))</f>
        <v/>
      </c>
      <c r="CK27" s="124" t="str">
        <f>IF($B27="","",IFERROR(-AX27,"n.b."))</f>
        <v/>
      </c>
      <c r="CL27" s="124" t="str">
        <f>IF($B27="","",IFERROR(-AY27,"n.b."))</f>
        <v/>
      </c>
      <c r="CM27" s="124" t="str">
        <f>IF($B27="","",IFERROR(-AZ27,"n.b."))</f>
        <v/>
      </c>
      <c r="CN27" s="124" t="str">
        <f>IF($B27="","",IFERROR(-BA27,"n.b."))</f>
        <v/>
      </c>
      <c r="CO27" s="124" t="str">
        <f>IF($B27="","",IFERROR(-BB27,"n.b."))</f>
        <v/>
      </c>
      <c r="CP27" s="124" t="str">
        <f>IF($B27="","",IFERROR(-BC27,"n.b."))</f>
        <v/>
      </c>
      <c r="CQ27" s="124" t="str">
        <f>IF($B27="","",IFERROR(-BD27,"n.b."))</f>
        <v/>
      </c>
      <c r="CR27" s="124" t="str">
        <f>IF($B27="","",IFERROR(-BE27,"n.b."))</f>
        <v/>
      </c>
      <c r="CS27" s="124" t="str">
        <f>IF($B27="","",IFERROR(IF(OR(ABS(T27+V27+X27+Z27-AB27)&gt;P_Tol,ABS(U27+W27+Y27+AA27-AD27)&gt;P_Tol,ABS(AE27+AG27+AI27+AK27-AM27)&gt;P_Tol,ABS(AF27+AH27+AJ27+AL27-AO27)&gt;P_Tol),1,0),1))</f>
        <v/>
      </c>
      <c r="CT27" s="124" t="str">
        <f>IF($B27="","",IFERROR(IF(OR(ABS(AB27+AC27-AD27)&gt;P_Tol,ABS(AM27+AN27-AO27)&gt;P_Tol,ABS(O27+P27-Q27)&gt;P_Tol),1,0),1))</f>
        <v/>
      </c>
      <c r="CU27" s="124" t="str">
        <f>IF($B27="","",IFERROR(IF(ABS(R27-(AB27+AM27+AP27+AR27+AT27+AV27+AX27+AZ27+BB27+BD27))&gt;P_Tol,1,0),1))</f>
        <v/>
      </c>
      <c r="CV27" s="124" t="str">
        <f>IF($B27="","",IFERROR(IF(ABS(M27-(N27+O27+R27))&gt;P_Tol,1,0),1))</f>
        <v/>
      </c>
      <c r="CW27" s="124" t="str">
        <f>IF($B27="","",IF(COUNTIF(Mapping!$A$5:$A$104,B27)&gt;0,1,0))</f>
        <v/>
      </c>
      <c r="CX27" s="124" t="str">
        <f>IF($B27="","",COUNTIF($B$6:$B$505,B27))</f>
        <v/>
      </c>
      <c r="CY27" s="124" t="str">
        <f>IF($B27="","",COUNTIF(STG_Woningetalage!$B$6:$B$505,B27))</f>
        <v/>
      </c>
      <c r="CZ27" s="124" t="str">
        <f>IF($B27="","",IF(CW27=0,COUNTIF($CW$6:CW27,0),""))</f>
        <v/>
      </c>
    </row>
    <row r="28">
      <c r="A28" s="15" t="n">
        <v>24</v>
      </c>
      <c r="B28" t="str">
        <f>IF(B$3=0,"",IF(INDEX(SRC_ZPMW03!$A$1:$ZZ$501,$A28,B$3)&amp;""="","",INDEX(SRC_ZPMW03!$A$1:$ZZ$501,$A28,B$3)&amp;""))</f>
        <v/>
      </c>
      <c r="C28" t="str">
        <f>IF($B28="","",IF(C$3=0,"n.b.",INDEX(SRC_ZPMW03!$A$1:$ZZ$501,$A28,C$3)))</f>
        <v/>
      </c>
      <c r="D28" t="str">
        <f>IF($B28="","",IF(D$3=0,"n.b.",INDEX(SRC_ZPMW03!$A$1:$ZZ$501,$A28,D$3)))</f>
        <v/>
      </c>
      <c r="E28" t="str">
        <f>IF($B28="","",IF(E$3=0,"n.b.",INDEX(SRC_ZPMW03!$A$1:$ZZ$501,$A28,E$3)))</f>
        <v/>
      </c>
      <c r="F28" t="str">
        <f>IF($B28="","",IF(F$3=0,"n.b.",INDEX(SRC_ZPMW03!$A$1:$ZZ$501,$A28,F$3)))</f>
        <v/>
      </c>
      <c r="G28" t="str">
        <f>IF($B28="","",IF(G$3=0,"n.b.",INDEX(SRC_ZPMW03!$A$1:$ZZ$501,$A28,G$3)))</f>
        <v/>
      </c>
      <c r="H28" t="str">
        <f>IF($B28="","",IF(H$3=0,"n.b.",INDEX(SRC_ZPMW03!$A$1:$ZZ$501,$A28,H$3)))</f>
        <v/>
      </c>
      <c r="I28" t="str">
        <f>IF($B28="","",IF(I$3=0,"n.b.",INDEX(SRC_ZPMW03!$A$1:$ZZ$501,$A28,I$3)))</f>
        <v/>
      </c>
      <c r="J28" t="str">
        <f>IF($B28="","",IF(J$3=0,"n.b.",INDEX(SRC_ZPMW03!$A$1:$ZZ$501,$A28,J$3)))</f>
        <v/>
      </c>
      <c r="K28" t="str">
        <f>IF($B28="","",IF(K$3=0,"n.b.",INDEX(SRC_ZPMW03!$A$1:$ZZ$501,$A28,K$3)))</f>
        <v/>
      </c>
      <c r="L28" s="124" t="str">
        <f>IF($B28="","",IF(L$3=0,"n.b.",INDEX(SRC_ZPMW03!$A$1:$ZZ$501,$A28,L$3)))</f>
        <v/>
      </c>
      <c r="M28" s="124" t="str">
        <f>IF($B28="","",IF(M$3=0,"n.b.",INDEX(SRC_ZPMW03!$A$1:$ZZ$501,$A28,M$3)))</f>
        <v/>
      </c>
      <c r="N28" s="124" t="str">
        <f>IF($B28="","",IF(N$3=0,"n.b.",INDEX(SRC_ZPMW03!$A$1:$ZZ$501,$A28,N$3)))</f>
        <v/>
      </c>
      <c r="O28" s="124" t="str">
        <f>IF($B28="","",IF(O$3=0,"n.b.",INDEX(SRC_ZPMW03!$A$1:$ZZ$501,$A28,O$3)))</f>
        <v/>
      </c>
      <c r="P28" s="124" t="str">
        <f>IF($B28="","",IF(P$3=0,"n.b.",INDEX(SRC_ZPMW03!$A$1:$ZZ$501,$A28,P$3)))</f>
        <v/>
      </c>
      <c r="Q28" s="124" t="str">
        <f>IF($B28="","",IF(Q$3=0,"n.b.",INDEX(SRC_ZPMW03!$A$1:$ZZ$501,$A28,Q$3)))</f>
        <v/>
      </c>
      <c r="R28" s="124" t="str">
        <f>IF($B28="","",IF(R$3=0,"n.b.",INDEX(SRC_ZPMW03!$A$1:$ZZ$501,$A28,R$3)))</f>
        <v/>
      </c>
      <c r="S28" s="124" t="str">
        <f>IF($B28="","",IF(S$3=0,"n.b.",INDEX(SRC_ZPMW03!$A$1:$ZZ$501,$A28,S$3)))</f>
        <v/>
      </c>
      <c r="T28" s="124" t="str">
        <f>IF($B28="","",IF(T$3=0,"n.b.",INDEX(SRC_ZPMW03!$A$1:$ZZ$501,$A28,T$3)))</f>
        <v/>
      </c>
      <c r="U28" s="124" t="str">
        <f>IF($B28="","",IF(U$3=0,"n.b.",INDEX(SRC_ZPMW03!$A$1:$ZZ$501,$A28,U$3)))</f>
        <v/>
      </c>
      <c r="V28" s="124" t="str">
        <f>IF($B28="","",IF(V$3=0,"n.b.",INDEX(SRC_ZPMW03!$A$1:$ZZ$501,$A28,V$3)))</f>
        <v/>
      </c>
      <c r="W28" s="124" t="str">
        <f>IF($B28="","",IF(W$3=0,"n.b.",INDEX(SRC_ZPMW03!$A$1:$ZZ$501,$A28,W$3)))</f>
        <v/>
      </c>
      <c r="X28" s="124" t="str">
        <f>IF($B28="","",IF(X$3=0,"n.b.",INDEX(SRC_ZPMW03!$A$1:$ZZ$501,$A28,X$3)))</f>
        <v/>
      </c>
      <c r="Y28" s="124" t="str">
        <f>IF($B28="","",IF(Y$3=0,"n.b.",INDEX(SRC_ZPMW03!$A$1:$ZZ$501,$A28,Y$3)))</f>
        <v/>
      </c>
      <c r="Z28" s="124" t="str">
        <f>IF($B28="","",IF(Z$3=0,"n.b.",INDEX(SRC_ZPMW03!$A$1:$ZZ$501,$A28,Z$3)))</f>
        <v/>
      </c>
      <c r="AA28" s="124" t="str">
        <f>IF($B28="","",IF(AA$3=0,"n.b.",INDEX(SRC_ZPMW03!$A$1:$ZZ$501,$A28,AA$3)))</f>
        <v/>
      </c>
      <c r="AB28" s="124" t="str">
        <f>IF($B28="","",IF(AB$3=0,"n.b.",INDEX(SRC_ZPMW03!$A$1:$ZZ$501,$A28,AB$3)))</f>
        <v/>
      </c>
      <c r="AC28" s="124" t="str">
        <f>IF($B28="","",IF(AC$3=0,"n.b.",INDEX(SRC_ZPMW03!$A$1:$ZZ$501,$A28,AC$3)))</f>
        <v/>
      </c>
      <c r="AD28" s="124" t="str">
        <f>IF($B28="","",IF(AD$3=0,"n.b.",INDEX(SRC_ZPMW03!$A$1:$ZZ$501,$A28,AD$3)))</f>
        <v/>
      </c>
      <c r="AE28" s="124" t="str">
        <f>IF($B28="","",IF(AE$3=0,"n.b.",INDEX(SRC_ZPMW03!$A$1:$ZZ$501,$A28,AE$3)))</f>
        <v/>
      </c>
      <c r="AF28" s="124" t="str">
        <f>IF($B28="","",IF(AF$3=0,"n.b.",INDEX(SRC_ZPMW03!$A$1:$ZZ$501,$A28,AF$3)))</f>
        <v/>
      </c>
      <c r="AG28" s="124" t="str">
        <f>IF($B28="","",IF(AG$3=0,"n.b.",INDEX(SRC_ZPMW03!$A$1:$ZZ$501,$A28,AG$3)))</f>
        <v/>
      </c>
      <c r="AH28" s="124" t="str">
        <f>IF($B28="","",IF(AH$3=0,"n.b.",INDEX(SRC_ZPMW03!$A$1:$ZZ$501,$A28,AH$3)))</f>
        <v/>
      </c>
      <c r="AI28" s="124" t="str">
        <f>IF($B28="","",IF(AI$3=0,"n.b.",INDEX(SRC_ZPMW03!$A$1:$ZZ$501,$A28,AI$3)))</f>
        <v/>
      </c>
      <c r="AJ28" s="124" t="str">
        <f>IF($B28="","",IF(AJ$3=0,"n.b.",INDEX(SRC_ZPMW03!$A$1:$ZZ$501,$A28,AJ$3)))</f>
        <v/>
      </c>
      <c r="AK28" s="124" t="str">
        <f>IF($B28="","",IF(AK$3=0,"n.b.",INDEX(SRC_ZPMW03!$A$1:$ZZ$501,$A28,AK$3)))</f>
        <v/>
      </c>
      <c r="AL28" s="124" t="str">
        <f>IF($B28="","",IF(AL$3=0,"n.b.",INDEX(SRC_ZPMW03!$A$1:$ZZ$501,$A28,AL$3)))</f>
        <v/>
      </c>
      <c r="AM28" s="124" t="str">
        <f>IF($B28="","",IF(AM$3=0,"n.b.",INDEX(SRC_ZPMW03!$A$1:$ZZ$501,$A28,AM$3)))</f>
        <v/>
      </c>
      <c r="AN28" s="124" t="str">
        <f>IF($B28="","",IF(AN$3=0,"n.b.",INDEX(SRC_ZPMW03!$A$1:$ZZ$501,$A28,AN$3)))</f>
        <v/>
      </c>
      <c r="AO28" s="124" t="str">
        <f>IF($B28="","",IF(AO$3=0,"n.b.",INDEX(SRC_ZPMW03!$A$1:$ZZ$501,$A28,AO$3)))</f>
        <v/>
      </c>
      <c r="AP28" s="124" t="str">
        <f>IF($B28="","",IF(AP$3=0,"n.b.",INDEX(SRC_ZPMW03!$A$1:$ZZ$501,$A28,AP$3)))</f>
        <v/>
      </c>
      <c r="AQ28" s="124" t="str">
        <f>IF($B28="","",IF(AQ$3=0,"n.b.",INDEX(SRC_ZPMW03!$A$1:$ZZ$501,$A28,AQ$3)))</f>
        <v/>
      </c>
      <c r="AR28" s="124" t="str">
        <f>IF($B28="","",IF(AR$3=0,"n.b.",INDEX(SRC_ZPMW03!$A$1:$ZZ$501,$A28,AR$3)))</f>
        <v/>
      </c>
      <c r="AS28" s="124" t="str">
        <f>IF($B28="","",IF(AS$3=0,"n.b.",INDEX(SRC_ZPMW03!$A$1:$ZZ$501,$A28,AS$3)))</f>
        <v/>
      </c>
      <c r="AT28" s="124" t="str">
        <f>IF($B28="","",IF(AT$3=0,"n.b.",INDEX(SRC_ZPMW03!$A$1:$ZZ$501,$A28,AT$3)))</f>
        <v/>
      </c>
      <c r="AU28" s="124" t="str">
        <f>IF($B28="","",IF(AU$3=0,"n.b.",INDEX(SRC_ZPMW03!$A$1:$ZZ$501,$A28,AU$3)))</f>
        <v/>
      </c>
      <c r="AV28" s="124" t="str">
        <f>IF($B28="","",IF(AV$3=0,"n.b.",INDEX(SRC_ZPMW03!$A$1:$ZZ$501,$A28,AV$3)))</f>
        <v/>
      </c>
      <c r="AW28" s="124" t="str">
        <f>IF($B28="","",IF(AW$3=0,"n.b.",INDEX(SRC_ZPMW03!$A$1:$ZZ$501,$A28,AW$3)))</f>
        <v/>
      </c>
      <c r="AX28" s="124" t="str">
        <f>IF($B28="","",IF(AX$3=0,"n.b.",INDEX(SRC_ZPMW03!$A$1:$ZZ$501,$A28,AX$3)))</f>
        <v/>
      </c>
      <c r="AY28" s="124" t="str">
        <f>IF($B28="","",IF(AY$3=0,"n.b.",INDEX(SRC_ZPMW03!$A$1:$ZZ$501,$A28,AY$3)))</f>
        <v/>
      </c>
      <c r="AZ28" s="124" t="str">
        <f>IF($B28="","",IF(AZ$3=0,"n.b.",INDEX(SRC_ZPMW03!$A$1:$ZZ$501,$A28,AZ$3)))</f>
        <v/>
      </c>
      <c r="BA28" s="124" t="str">
        <f>IF($B28="","",IF(BA$3=0,"n.b.",INDEX(SRC_ZPMW03!$A$1:$ZZ$501,$A28,BA$3)))</f>
        <v/>
      </c>
      <c r="BB28" s="124" t="str">
        <f>IF($B28="","",IF(BB$3=0,"n.b.",INDEX(SRC_ZPMW03!$A$1:$ZZ$501,$A28,BB$3)))</f>
        <v/>
      </c>
      <c r="BC28" s="124" t="str">
        <f>IF($B28="","",IF(BC$3=0,"n.b.",INDEX(SRC_ZPMW03!$A$1:$ZZ$501,$A28,BC$3)))</f>
        <v/>
      </c>
      <c r="BD28" s="124" t="str">
        <f>IF($B28="","",IF(BD$3=0,"n.b.",INDEX(SRC_ZPMW03!$A$1:$ZZ$501,$A28,BD$3)))</f>
        <v/>
      </c>
      <c r="BE28" s="124" t="str">
        <f>IF($B28="","",IF(BE$3=0,"n.b.",INDEX(SRC_ZPMW03!$A$1:$ZZ$501,$A28,BE$3)))</f>
        <v/>
      </c>
      <c r="BF28" s="124" t="str">
        <f>IF($B28="","",IF(BF$3=0,"n.b.",INDEX(SRC_ZPMW03!$A$1:$ZZ$501,$A28,BF$3)))</f>
        <v/>
      </c>
      <c r="BG28" t="str">
        <f>IF($B28="","",IF(BG$3=0,"n.b.",INDEX(SRC_ZPMW03!$A$1:$ZZ$501,$A28,BG$3)))</f>
        <v/>
      </c>
      <c r="BH28" t="str">
        <f>IF($B28="","",IF(BH$3=0,"n.b.",INDEX(SRC_ZPMW03!$A$1:$ZZ$501,$A28,BH$3)))</f>
        <v/>
      </c>
      <c r="BI28" t="str">
        <f>IF($B28="","",IF(BI$3=0,"n.b.",INDEX(SRC_ZPMW03!$A$1:$ZZ$501,$A28,BI$3)))</f>
        <v/>
      </c>
      <c r="BJ28" t="str">
        <f>IF($B28="","",IF(BJ$3=0,"n.b.",INDEX(SRC_ZPMW03!$A$1:$ZZ$501,$A28,BJ$3)))</f>
        <v/>
      </c>
      <c r="BK28" s="124" t="str">
        <f>IF($B28="","",IFERROR(-O28,"n.b."))</f>
        <v/>
      </c>
      <c r="BL28" s="124" t="str">
        <f>IF($B28="","",IFERROR(-Q28,"n.b."))</f>
        <v/>
      </c>
      <c r="BM28" s="124" t="str">
        <f>IF($B28="","",IFERROR(-AB28,"n.b."))</f>
        <v/>
      </c>
      <c r="BN28" s="124" t="str">
        <f>IF($B28="","",IFERROR(-AD28,"n.b."))</f>
        <v/>
      </c>
      <c r="BO28" s="124" t="str">
        <f>IF($B28="","",IFERROR(BK28+BM28,"n.b."))</f>
        <v/>
      </c>
      <c r="BP28" s="124" t="str">
        <f>IF($B28="","",IFERROR(BL28+BN28,"n.b."))</f>
        <v/>
      </c>
      <c r="BQ28" s="124" t="str">
        <f>IF($B28="","",IFERROR(-AM28,"n.b."))</f>
        <v/>
      </c>
      <c r="BR28" s="124" t="str">
        <f>IF($B28="","",IFERROR(-AO28,"n.b."))</f>
        <v/>
      </c>
      <c r="BS28" s="124" t="str">
        <f>IF($B28="","",IFERROR(-Z28,"n.b."))</f>
        <v/>
      </c>
      <c r="BT28" s="124" t="str">
        <f>IF($B28="","",IFERROR(-AA28,"n.b."))</f>
        <v/>
      </c>
      <c r="BU28" s="124" t="str">
        <f>IF($B28="","",IFERROR(-AE28,"n.b."))</f>
        <v/>
      </c>
      <c r="BV28" s="124" t="str">
        <f>IF($B28="","",IFERROR(-AF28,"n.b."))</f>
        <v/>
      </c>
      <c r="BW28" s="124" t="str">
        <f>IF($B28="","",IFERROR(-AG28,"n.b."))</f>
        <v/>
      </c>
      <c r="BX28" s="124" t="str">
        <f>IF($B28="","",IFERROR(-AH28,"n.b."))</f>
        <v/>
      </c>
      <c r="BY28" s="124" t="str">
        <f>IF($B28="","",IFERROR(-AI28,"n.b."))</f>
        <v/>
      </c>
      <c r="BZ28" s="124" t="str">
        <f>IF($B28="","",IFERROR(-AJ28,"n.b."))</f>
        <v/>
      </c>
      <c r="CA28" s="124" t="str">
        <f>IF($B28="","",IFERROR(-AK28,"n.b."))</f>
        <v/>
      </c>
      <c r="CB28" s="124" t="str">
        <f>IF($B28="","",IFERROR(-AL28,"n.b."))</f>
        <v/>
      </c>
      <c r="CC28" s="124" t="str">
        <f>IF($B28="","",IFERROR(-AP28,"n.b."))</f>
        <v/>
      </c>
      <c r="CD28" s="124" t="str">
        <f>IF($B28="","",IFERROR(-AQ28,"n.b."))</f>
        <v/>
      </c>
      <c r="CE28" s="124" t="str">
        <f>IF($B28="","",IFERROR(-AR28,"n.b."))</f>
        <v/>
      </c>
      <c r="CF28" s="124" t="str">
        <f>IF($B28="","",IFERROR(-AS28,"n.b."))</f>
        <v/>
      </c>
      <c r="CG28" s="124" t="str">
        <f>IF($B28="","",IFERROR(-AT28,"n.b."))</f>
        <v/>
      </c>
      <c r="CH28" s="124" t="str">
        <f>IF($B28="","",IFERROR(-AU28,"n.b."))</f>
        <v/>
      </c>
      <c r="CI28" s="124" t="str">
        <f>IF($B28="","",IFERROR(-AV28,"n.b."))</f>
        <v/>
      </c>
      <c r="CJ28" s="124" t="str">
        <f>IF($B28="","",IFERROR(-AW28,"n.b."))</f>
        <v/>
      </c>
      <c r="CK28" s="124" t="str">
        <f>IF($B28="","",IFERROR(-AX28,"n.b."))</f>
        <v/>
      </c>
      <c r="CL28" s="124" t="str">
        <f>IF($B28="","",IFERROR(-AY28,"n.b."))</f>
        <v/>
      </c>
      <c r="CM28" s="124" t="str">
        <f>IF($B28="","",IFERROR(-AZ28,"n.b."))</f>
        <v/>
      </c>
      <c r="CN28" s="124" t="str">
        <f>IF($B28="","",IFERROR(-BA28,"n.b."))</f>
        <v/>
      </c>
      <c r="CO28" s="124" t="str">
        <f>IF($B28="","",IFERROR(-BB28,"n.b."))</f>
        <v/>
      </c>
      <c r="CP28" s="124" t="str">
        <f>IF($B28="","",IFERROR(-BC28,"n.b."))</f>
        <v/>
      </c>
      <c r="CQ28" s="124" t="str">
        <f>IF($B28="","",IFERROR(-BD28,"n.b."))</f>
        <v/>
      </c>
      <c r="CR28" s="124" t="str">
        <f>IF($B28="","",IFERROR(-BE28,"n.b."))</f>
        <v/>
      </c>
      <c r="CS28" s="124" t="str">
        <f>IF($B28="","",IFERROR(IF(OR(ABS(T28+V28+X28+Z28-AB28)&gt;P_Tol,ABS(U28+W28+Y28+AA28-AD28)&gt;P_Tol,ABS(AE28+AG28+AI28+AK28-AM28)&gt;P_Tol,ABS(AF28+AH28+AJ28+AL28-AO28)&gt;P_Tol),1,0),1))</f>
        <v/>
      </c>
      <c r="CT28" s="124" t="str">
        <f>IF($B28="","",IFERROR(IF(OR(ABS(AB28+AC28-AD28)&gt;P_Tol,ABS(AM28+AN28-AO28)&gt;P_Tol,ABS(O28+P28-Q28)&gt;P_Tol),1,0),1))</f>
        <v/>
      </c>
      <c r="CU28" s="124" t="str">
        <f>IF($B28="","",IFERROR(IF(ABS(R28-(AB28+AM28+AP28+AR28+AT28+AV28+AX28+AZ28+BB28+BD28))&gt;P_Tol,1,0),1))</f>
        <v/>
      </c>
      <c r="CV28" s="124" t="str">
        <f>IF($B28="","",IFERROR(IF(ABS(M28-(N28+O28+R28))&gt;P_Tol,1,0),1))</f>
        <v/>
      </c>
      <c r="CW28" s="124" t="str">
        <f>IF($B28="","",IF(COUNTIF(Mapping!$A$5:$A$104,B28)&gt;0,1,0))</f>
        <v/>
      </c>
      <c r="CX28" s="124" t="str">
        <f>IF($B28="","",COUNTIF($B$6:$B$505,B28))</f>
        <v/>
      </c>
      <c r="CY28" s="124" t="str">
        <f>IF($B28="","",COUNTIF(STG_Woningetalage!$B$6:$B$505,B28))</f>
        <v/>
      </c>
      <c r="CZ28" s="124" t="str">
        <f>IF($B28="","",IF(CW28=0,COUNTIF($CW$6:CW28,0),""))</f>
        <v/>
      </c>
    </row>
    <row r="29">
      <c r="A29" s="15" t="n">
        <v>25</v>
      </c>
      <c r="B29" t="str">
        <f>IF(B$3=0,"",IF(INDEX(SRC_ZPMW03!$A$1:$ZZ$501,$A29,B$3)&amp;""="","",INDEX(SRC_ZPMW03!$A$1:$ZZ$501,$A29,B$3)&amp;""))</f>
        <v/>
      </c>
      <c r="C29" t="str">
        <f>IF($B29="","",IF(C$3=0,"n.b.",INDEX(SRC_ZPMW03!$A$1:$ZZ$501,$A29,C$3)))</f>
        <v/>
      </c>
      <c r="D29" t="str">
        <f>IF($B29="","",IF(D$3=0,"n.b.",INDEX(SRC_ZPMW03!$A$1:$ZZ$501,$A29,D$3)))</f>
        <v/>
      </c>
      <c r="E29" t="str">
        <f>IF($B29="","",IF(E$3=0,"n.b.",INDEX(SRC_ZPMW03!$A$1:$ZZ$501,$A29,E$3)))</f>
        <v/>
      </c>
      <c r="F29" t="str">
        <f>IF($B29="","",IF(F$3=0,"n.b.",INDEX(SRC_ZPMW03!$A$1:$ZZ$501,$A29,F$3)))</f>
        <v/>
      </c>
      <c r="G29" t="str">
        <f>IF($B29="","",IF(G$3=0,"n.b.",INDEX(SRC_ZPMW03!$A$1:$ZZ$501,$A29,G$3)))</f>
        <v/>
      </c>
      <c r="H29" t="str">
        <f>IF($B29="","",IF(H$3=0,"n.b.",INDEX(SRC_ZPMW03!$A$1:$ZZ$501,$A29,H$3)))</f>
        <v/>
      </c>
      <c r="I29" t="str">
        <f>IF($B29="","",IF(I$3=0,"n.b.",INDEX(SRC_ZPMW03!$A$1:$ZZ$501,$A29,I$3)))</f>
        <v/>
      </c>
      <c r="J29" t="str">
        <f>IF($B29="","",IF(J$3=0,"n.b.",INDEX(SRC_ZPMW03!$A$1:$ZZ$501,$A29,J$3)))</f>
        <v/>
      </c>
      <c r="K29" t="str">
        <f>IF($B29="","",IF(K$3=0,"n.b.",INDEX(SRC_ZPMW03!$A$1:$ZZ$501,$A29,K$3)))</f>
        <v/>
      </c>
      <c r="L29" s="124" t="str">
        <f>IF($B29="","",IF(L$3=0,"n.b.",INDEX(SRC_ZPMW03!$A$1:$ZZ$501,$A29,L$3)))</f>
        <v/>
      </c>
      <c r="M29" s="124" t="str">
        <f>IF($B29="","",IF(M$3=0,"n.b.",INDEX(SRC_ZPMW03!$A$1:$ZZ$501,$A29,M$3)))</f>
        <v/>
      </c>
      <c r="N29" s="124" t="str">
        <f>IF($B29="","",IF(N$3=0,"n.b.",INDEX(SRC_ZPMW03!$A$1:$ZZ$501,$A29,N$3)))</f>
        <v/>
      </c>
      <c r="O29" s="124" t="str">
        <f>IF($B29="","",IF(O$3=0,"n.b.",INDEX(SRC_ZPMW03!$A$1:$ZZ$501,$A29,O$3)))</f>
        <v/>
      </c>
      <c r="P29" s="124" t="str">
        <f>IF($B29="","",IF(P$3=0,"n.b.",INDEX(SRC_ZPMW03!$A$1:$ZZ$501,$A29,P$3)))</f>
        <v/>
      </c>
      <c r="Q29" s="124" t="str">
        <f>IF($B29="","",IF(Q$3=0,"n.b.",INDEX(SRC_ZPMW03!$A$1:$ZZ$501,$A29,Q$3)))</f>
        <v/>
      </c>
      <c r="R29" s="124" t="str">
        <f>IF($B29="","",IF(R$3=0,"n.b.",INDEX(SRC_ZPMW03!$A$1:$ZZ$501,$A29,R$3)))</f>
        <v/>
      </c>
      <c r="S29" s="124" t="str">
        <f>IF($B29="","",IF(S$3=0,"n.b.",INDEX(SRC_ZPMW03!$A$1:$ZZ$501,$A29,S$3)))</f>
        <v/>
      </c>
      <c r="T29" s="124" t="str">
        <f>IF($B29="","",IF(T$3=0,"n.b.",INDEX(SRC_ZPMW03!$A$1:$ZZ$501,$A29,T$3)))</f>
        <v/>
      </c>
      <c r="U29" s="124" t="str">
        <f>IF($B29="","",IF(U$3=0,"n.b.",INDEX(SRC_ZPMW03!$A$1:$ZZ$501,$A29,U$3)))</f>
        <v/>
      </c>
      <c r="V29" s="124" t="str">
        <f>IF($B29="","",IF(V$3=0,"n.b.",INDEX(SRC_ZPMW03!$A$1:$ZZ$501,$A29,V$3)))</f>
        <v/>
      </c>
      <c r="W29" s="124" t="str">
        <f>IF($B29="","",IF(W$3=0,"n.b.",INDEX(SRC_ZPMW03!$A$1:$ZZ$501,$A29,W$3)))</f>
        <v/>
      </c>
      <c r="X29" s="124" t="str">
        <f>IF($B29="","",IF(X$3=0,"n.b.",INDEX(SRC_ZPMW03!$A$1:$ZZ$501,$A29,X$3)))</f>
        <v/>
      </c>
      <c r="Y29" s="124" t="str">
        <f>IF($B29="","",IF(Y$3=0,"n.b.",INDEX(SRC_ZPMW03!$A$1:$ZZ$501,$A29,Y$3)))</f>
        <v/>
      </c>
      <c r="Z29" s="124" t="str">
        <f>IF($B29="","",IF(Z$3=0,"n.b.",INDEX(SRC_ZPMW03!$A$1:$ZZ$501,$A29,Z$3)))</f>
        <v/>
      </c>
      <c r="AA29" s="124" t="str">
        <f>IF($B29="","",IF(AA$3=0,"n.b.",INDEX(SRC_ZPMW03!$A$1:$ZZ$501,$A29,AA$3)))</f>
        <v/>
      </c>
      <c r="AB29" s="124" t="str">
        <f>IF($B29="","",IF(AB$3=0,"n.b.",INDEX(SRC_ZPMW03!$A$1:$ZZ$501,$A29,AB$3)))</f>
        <v/>
      </c>
      <c r="AC29" s="124" t="str">
        <f>IF($B29="","",IF(AC$3=0,"n.b.",INDEX(SRC_ZPMW03!$A$1:$ZZ$501,$A29,AC$3)))</f>
        <v/>
      </c>
      <c r="AD29" s="124" t="str">
        <f>IF($B29="","",IF(AD$3=0,"n.b.",INDEX(SRC_ZPMW03!$A$1:$ZZ$501,$A29,AD$3)))</f>
        <v/>
      </c>
      <c r="AE29" s="124" t="str">
        <f>IF($B29="","",IF(AE$3=0,"n.b.",INDEX(SRC_ZPMW03!$A$1:$ZZ$501,$A29,AE$3)))</f>
        <v/>
      </c>
      <c r="AF29" s="124" t="str">
        <f>IF($B29="","",IF(AF$3=0,"n.b.",INDEX(SRC_ZPMW03!$A$1:$ZZ$501,$A29,AF$3)))</f>
        <v/>
      </c>
      <c r="AG29" s="124" t="str">
        <f>IF($B29="","",IF(AG$3=0,"n.b.",INDEX(SRC_ZPMW03!$A$1:$ZZ$501,$A29,AG$3)))</f>
        <v/>
      </c>
      <c r="AH29" s="124" t="str">
        <f>IF($B29="","",IF(AH$3=0,"n.b.",INDEX(SRC_ZPMW03!$A$1:$ZZ$501,$A29,AH$3)))</f>
        <v/>
      </c>
      <c r="AI29" s="124" t="str">
        <f>IF($B29="","",IF(AI$3=0,"n.b.",INDEX(SRC_ZPMW03!$A$1:$ZZ$501,$A29,AI$3)))</f>
        <v/>
      </c>
      <c r="AJ29" s="124" t="str">
        <f>IF($B29="","",IF(AJ$3=0,"n.b.",INDEX(SRC_ZPMW03!$A$1:$ZZ$501,$A29,AJ$3)))</f>
        <v/>
      </c>
      <c r="AK29" s="124" t="str">
        <f>IF($B29="","",IF(AK$3=0,"n.b.",INDEX(SRC_ZPMW03!$A$1:$ZZ$501,$A29,AK$3)))</f>
        <v/>
      </c>
      <c r="AL29" s="124" t="str">
        <f>IF($B29="","",IF(AL$3=0,"n.b.",INDEX(SRC_ZPMW03!$A$1:$ZZ$501,$A29,AL$3)))</f>
        <v/>
      </c>
      <c r="AM29" s="124" t="str">
        <f>IF($B29="","",IF(AM$3=0,"n.b.",INDEX(SRC_ZPMW03!$A$1:$ZZ$501,$A29,AM$3)))</f>
        <v/>
      </c>
      <c r="AN29" s="124" t="str">
        <f>IF($B29="","",IF(AN$3=0,"n.b.",INDEX(SRC_ZPMW03!$A$1:$ZZ$501,$A29,AN$3)))</f>
        <v/>
      </c>
      <c r="AO29" s="124" t="str">
        <f>IF($B29="","",IF(AO$3=0,"n.b.",INDEX(SRC_ZPMW03!$A$1:$ZZ$501,$A29,AO$3)))</f>
        <v/>
      </c>
      <c r="AP29" s="124" t="str">
        <f>IF($B29="","",IF(AP$3=0,"n.b.",INDEX(SRC_ZPMW03!$A$1:$ZZ$501,$A29,AP$3)))</f>
        <v/>
      </c>
      <c r="AQ29" s="124" t="str">
        <f>IF($B29="","",IF(AQ$3=0,"n.b.",INDEX(SRC_ZPMW03!$A$1:$ZZ$501,$A29,AQ$3)))</f>
        <v/>
      </c>
      <c r="AR29" s="124" t="str">
        <f>IF($B29="","",IF(AR$3=0,"n.b.",INDEX(SRC_ZPMW03!$A$1:$ZZ$501,$A29,AR$3)))</f>
        <v/>
      </c>
      <c r="AS29" s="124" t="str">
        <f>IF($B29="","",IF(AS$3=0,"n.b.",INDEX(SRC_ZPMW03!$A$1:$ZZ$501,$A29,AS$3)))</f>
        <v/>
      </c>
      <c r="AT29" s="124" t="str">
        <f>IF($B29="","",IF(AT$3=0,"n.b.",INDEX(SRC_ZPMW03!$A$1:$ZZ$501,$A29,AT$3)))</f>
        <v/>
      </c>
      <c r="AU29" s="124" t="str">
        <f>IF($B29="","",IF(AU$3=0,"n.b.",INDEX(SRC_ZPMW03!$A$1:$ZZ$501,$A29,AU$3)))</f>
        <v/>
      </c>
      <c r="AV29" s="124" t="str">
        <f>IF($B29="","",IF(AV$3=0,"n.b.",INDEX(SRC_ZPMW03!$A$1:$ZZ$501,$A29,AV$3)))</f>
        <v/>
      </c>
      <c r="AW29" s="124" t="str">
        <f>IF($B29="","",IF(AW$3=0,"n.b.",INDEX(SRC_ZPMW03!$A$1:$ZZ$501,$A29,AW$3)))</f>
        <v/>
      </c>
      <c r="AX29" s="124" t="str">
        <f>IF($B29="","",IF(AX$3=0,"n.b.",INDEX(SRC_ZPMW03!$A$1:$ZZ$501,$A29,AX$3)))</f>
        <v/>
      </c>
      <c r="AY29" s="124" t="str">
        <f>IF($B29="","",IF(AY$3=0,"n.b.",INDEX(SRC_ZPMW03!$A$1:$ZZ$501,$A29,AY$3)))</f>
        <v/>
      </c>
      <c r="AZ29" s="124" t="str">
        <f>IF($B29="","",IF(AZ$3=0,"n.b.",INDEX(SRC_ZPMW03!$A$1:$ZZ$501,$A29,AZ$3)))</f>
        <v/>
      </c>
      <c r="BA29" s="124" t="str">
        <f>IF($B29="","",IF(BA$3=0,"n.b.",INDEX(SRC_ZPMW03!$A$1:$ZZ$501,$A29,BA$3)))</f>
        <v/>
      </c>
      <c r="BB29" s="124" t="str">
        <f>IF($B29="","",IF(BB$3=0,"n.b.",INDEX(SRC_ZPMW03!$A$1:$ZZ$501,$A29,BB$3)))</f>
        <v/>
      </c>
      <c r="BC29" s="124" t="str">
        <f>IF($B29="","",IF(BC$3=0,"n.b.",INDEX(SRC_ZPMW03!$A$1:$ZZ$501,$A29,BC$3)))</f>
        <v/>
      </c>
      <c r="BD29" s="124" t="str">
        <f>IF($B29="","",IF(BD$3=0,"n.b.",INDEX(SRC_ZPMW03!$A$1:$ZZ$501,$A29,BD$3)))</f>
        <v/>
      </c>
      <c r="BE29" s="124" t="str">
        <f>IF($B29="","",IF(BE$3=0,"n.b.",INDEX(SRC_ZPMW03!$A$1:$ZZ$501,$A29,BE$3)))</f>
        <v/>
      </c>
      <c r="BF29" s="124" t="str">
        <f>IF($B29="","",IF(BF$3=0,"n.b.",INDEX(SRC_ZPMW03!$A$1:$ZZ$501,$A29,BF$3)))</f>
        <v/>
      </c>
      <c r="BG29" t="str">
        <f>IF($B29="","",IF(BG$3=0,"n.b.",INDEX(SRC_ZPMW03!$A$1:$ZZ$501,$A29,BG$3)))</f>
        <v/>
      </c>
      <c r="BH29" t="str">
        <f>IF($B29="","",IF(BH$3=0,"n.b.",INDEX(SRC_ZPMW03!$A$1:$ZZ$501,$A29,BH$3)))</f>
        <v/>
      </c>
      <c r="BI29" t="str">
        <f>IF($B29="","",IF(BI$3=0,"n.b.",INDEX(SRC_ZPMW03!$A$1:$ZZ$501,$A29,BI$3)))</f>
        <v/>
      </c>
      <c r="BJ29" t="str">
        <f>IF($B29="","",IF(BJ$3=0,"n.b.",INDEX(SRC_ZPMW03!$A$1:$ZZ$501,$A29,BJ$3)))</f>
        <v/>
      </c>
      <c r="BK29" s="124" t="str">
        <f>IF($B29="","",IFERROR(-O29,"n.b."))</f>
        <v/>
      </c>
      <c r="BL29" s="124" t="str">
        <f>IF($B29="","",IFERROR(-Q29,"n.b."))</f>
        <v/>
      </c>
      <c r="BM29" s="124" t="str">
        <f>IF($B29="","",IFERROR(-AB29,"n.b."))</f>
        <v/>
      </c>
      <c r="BN29" s="124" t="str">
        <f>IF($B29="","",IFERROR(-AD29,"n.b."))</f>
        <v/>
      </c>
      <c r="BO29" s="124" t="str">
        <f>IF($B29="","",IFERROR(BK29+BM29,"n.b."))</f>
        <v/>
      </c>
      <c r="BP29" s="124" t="str">
        <f>IF($B29="","",IFERROR(BL29+BN29,"n.b."))</f>
        <v/>
      </c>
      <c r="BQ29" s="124" t="str">
        <f>IF($B29="","",IFERROR(-AM29,"n.b."))</f>
        <v/>
      </c>
      <c r="BR29" s="124" t="str">
        <f>IF($B29="","",IFERROR(-AO29,"n.b."))</f>
        <v/>
      </c>
      <c r="BS29" s="124" t="str">
        <f>IF($B29="","",IFERROR(-Z29,"n.b."))</f>
        <v/>
      </c>
      <c r="BT29" s="124" t="str">
        <f>IF($B29="","",IFERROR(-AA29,"n.b."))</f>
        <v/>
      </c>
      <c r="BU29" s="124" t="str">
        <f>IF($B29="","",IFERROR(-AE29,"n.b."))</f>
        <v/>
      </c>
      <c r="BV29" s="124" t="str">
        <f>IF($B29="","",IFERROR(-AF29,"n.b."))</f>
        <v/>
      </c>
      <c r="BW29" s="124" t="str">
        <f>IF($B29="","",IFERROR(-AG29,"n.b."))</f>
        <v/>
      </c>
      <c r="BX29" s="124" t="str">
        <f>IF($B29="","",IFERROR(-AH29,"n.b."))</f>
        <v/>
      </c>
      <c r="BY29" s="124" t="str">
        <f>IF($B29="","",IFERROR(-AI29,"n.b."))</f>
        <v/>
      </c>
      <c r="BZ29" s="124" t="str">
        <f>IF($B29="","",IFERROR(-AJ29,"n.b."))</f>
        <v/>
      </c>
      <c r="CA29" s="124" t="str">
        <f>IF($B29="","",IFERROR(-AK29,"n.b."))</f>
        <v/>
      </c>
      <c r="CB29" s="124" t="str">
        <f>IF($B29="","",IFERROR(-AL29,"n.b."))</f>
        <v/>
      </c>
      <c r="CC29" s="124" t="str">
        <f>IF($B29="","",IFERROR(-AP29,"n.b."))</f>
        <v/>
      </c>
      <c r="CD29" s="124" t="str">
        <f>IF($B29="","",IFERROR(-AQ29,"n.b."))</f>
        <v/>
      </c>
      <c r="CE29" s="124" t="str">
        <f>IF($B29="","",IFERROR(-AR29,"n.b."))</f>
        <v/>
      </c>
      <c r="CF29" s="124" t="str">
        <f>IF($B29="","",IFERROR(-AS29,"n.b."))</f>
        <v/>
      </c>
      <c r="CG29" s="124" t="str">
        <f>IF($B29="","",IFERROR(-AT29,"n.b."))</f>
        <v/>
      </c>
      <c r="CH29" s="124" t="str">
        <f>IF($B29="","",IFERROR(-AU29,"n.b."))</f>
        <v/>
      </c>
      <c r="CI29" s="124" t="str">
        <f>IF($B29="","",IFERROR(-AV29,"n.b."))</f>
        <v/>
      </c>
      <c r="CJ29" s="124" t="str">
        <f>IF($B29="","",IFERROR(-AW29,"n.b."))</f>
        <v/>
      </c>
      <c r="CK29" s="124" t="str">
        <f>IF($B29="","",IFERROR(-AX29,"n.b."))</f>
        <v/>
      </c>
      <c r="CL29" s="124" t="str">
        <f>IF($B29="","",IFERROR(-AY29,"n.b."))</f>
        <v/>
      </c>
      <c r="CM29" s="124" t="str">
        <f>IF($B29="","",IFERROR(-AZ29,"n.b."))</f>
        <v/>
      </c>
      <c r="CN29" s="124" t="str">
        <f>IF($B29="","",IFERROR(-BA29,"n.b."))</f>
        <v/>
      </c>
      <c r="CO29" s="124" t="str">
        <f>IF($B29="","",IFERROR(-BB29,"n.b."))</f>
        <v/>
      </c>
      <c r="CP29" s="124" t="str">
        <f>IF($B29="","",IFERROR(-BC29,"n.b."))</f>
        <v/>
      </c>
      <c r="CQ29" s="124" t="str">
        <f>IF($B29="","",IFERROR(-BD29,"n.b."))</f>
        <v/>
      </c>
      <c r="CR29" s="124" t="str">
        <f>IF($B29="","",IFERROR(-BE29,"n.b."))</f>
        <v/>
      </c>
      <c r="CS29" s="124" t="str">
        <f>IF($B29="","",IFERROR(IF(OR(ABS(T29+V29+X29+Z29-AB29)&gt;P_Tol,ABS(U29+W29+Y29+AA29-AD29)&gt;P_Tol,ABS(AE29+AG29+AI29+AK29-AM29)&gt;P_Tol,ABS(AF29+AH29+AJ29+AL29-AO29)&gt;P_Tol),1,0),1))</f>
        <v/>
      </c>
      <c r="CT29" s="124" t="str">
        <f>IF($B29="","",IFERROR(IF(OR(ABS(AB29+AC29-AD29)&gt;P_Tol,ABS(AM29+AN29-AO29)&gt;P_Tol,ABS(O29+P29-Q29)&gt;P_Tol),1,0),1))</f>
        <v/>
      </c>
      <c r="CU29" s="124" t="str">
        <f>IF($B29="","",IFERROR(IF(ABS(R29-(AB29+AM29+AP29+AR29+AT29+AV29+AX29+AZ29+BB29+BD29))&gt;P_Tol,1,0),1))</f>
        <v/>
      </c>
      <c r="CV29" s="124" t="str">
        <f>IF($B29="","",IFERROR(IF(ABS(M29-(N29+O29+R29))&gt;P_Tol,1,0),1))</f>
        <v/>
      </c>
      <c r="CW29" s="124" t="str">
        <f>IF($B29="","",IF(COUNTIF(Mapping!$A$5:$A$104,B29)&gt;0,1,0))</f>
        <v/>
      </c>
      <c r="CX29" s="124" t="str">
        <f>IF($B29="","",COUNTIF($B$6:$B$505,B29))</f>
        <v/>
      </c>
      <c r="CY29" s="124" t="str">
        <f>IF($B29="","",COUNTIF(STG_Woningetalage!$B$6:$B$505,B29))</f>
        <v/>
      </c>
      <c r="CZ29" s="124" t="str">
        <f>IF($B29="","",IF(CW29=0,COUNTIF($CW$6:CW29,0),""))</f>
        <v/>
      </c>
    </row>
    <row r="30">
      <c r="A30" s="15" t="n">
        <v>26</v>
      </c>
      <c r="B30" t="str">
        <f>IF(B$3=0,"",IF(INDEX(SRC_ZPMW03!$A$1:$ZZ$501,$A30,B$3)&amp;""="","",INDEX(SRC_ZPMW03!$A$1:$ZZ$501,$A30,B$3)&amp;""))</f>
        <v/>
      </c>
      <c r="C30" t="str">
        <f>IF($B30="","",IF(C$3=0,"n.b.",INDEX(SRC_ZPMW03!$A$1:$ZZ$501,$A30,C$3)))</f>
        <v/>
      </c>
      <c r="D30" t="str">
        <f>IF($B30="","",IF(D$3=0,"n.b.",INDEX(SRC_ZPMW03!$A$1:$ZZ$501,$A30,D$3)))</f>
        <v/>
      </c>
      <c r="E30" t="str">
        <f>IF($B30="","",IF(E$3=0,"n.b.",INDEX(SRC_ZPMW03!$A$1:$ZZ$501,$A30,E$3)))</f>
        <v/>
      </c>
      <c r="F30" t="str">
        <f>IF($B30="","",IF(F$3=0,"n.b.",INDEX(SRC_ZPMW03!$A$1:$ZZ$501,$A30,F$3)))</f>
        <v/>
      </c>
      <c r="G30" t="str">
        <f>IF($B30="","",IF(G$3=0,"n.b.",INDEX(SRC_ZPMW03!$A$1:$ZZ$501,$A30,G$3)))</f>
        <v/>
      </c>
      <c r="H30" t="str">
        <f>IF($B30="","",IF(H$3=0,"n.b.",INDEX(SRC_ZPMW03!$A$1:$ZZ$501,$A30,H$3)))</f>
        <v/>
      </c>
      <c r="I30" t="str">
        <f>IF($B30="","",IF(I$3=0,"n.b.",INDEX(SRC_ZPMW03!$A$1:$ZZ$501,$A30,I$3)))</f>
        <v/>
      </c>
      <c r="J30" t="str">
        <f>IF($B30="","",IF(J$3=0,"n.b.",INDEX(SRC_ZPMW03!$A$1:$ZZ$501,$A30,J$3)))</f>
        <v/>
      </c>
      <c r="K30" t="str">
        <f>IF($B30="","",IF(K$3=0,"n.b.",INDEX(SRC_ZPMW03!$A$1:$ZZ$501,$A30,K$3)))</f>
        <v/>
      </c>
      <c r="L30" s="124" t="str">
        <f>IF($B30="","",IF(L$3=0,"n.b.",INDEX(SRC_ZPMW03!$A$1:$ZZ$501,$A30,L$3)))</f>
        <v/>
      </c>
      <c r="M30" s="124" t="str">
        <f>IF($B30="","",IF(M$3=0,"n.b.",INDEX(SRC_ZPMW03!$A$1:$ZZ$501,$A30,M$3)))</f>
        <v/>
      </c>
      <c r="N30" s="124" t="str">
        <f>IF($B30="","",IF(N$3=0,"n.b.",INDEX(SRC_ZPMW03!$A$1:$ZZ$501,$A30,N$3)))</f>
        <v/>
      </c>
      <c r="O30" s="124" t="str">
        <f>IF($B30="","",IF(O$3=0,"n.b.",INDEX(SRC_ZPMW03!$A$1:$ZZ$501,$A30,O$3)))</f>
        <v/>
      </c>
      <c r="P30" s="124" t="str">
        <f>IF($B30="","",IF(P$3=0,"n.b.",INDEX(SRC_ZPMW03!$A$1:$ZZ$501,$A30,P$3)))</f>
        <v/>
      </c>
      <c r="Q30" s="124" t="str">
        <f>IF($B30="","",IF(Q$3=0,"n.b.",INDEX(SRC_ZPMW03!$A$1:$ZZ$501,$A30,Q$3)))</f>
        <v/>
      </c>
      <c r="R30" s="124" t="str">
        <f>IF($B30="","",IF(R$3=0,"n.b.",INDEX(SRC_ZPMW03!$A$1:$ZZ$501,$A30,R$3)))</f>
        <v/>
      </c>
      <c r="S30" s="124" t="str">
        <f>IF($B30="","",IF(S$3=0,"n.b.",INDEX(SRC_ZPMW03!$A$1:$ZZ$501,$A30,S$3)))</f>
        <v/>
      </c>
      <c r="T30" s="124" t="str">
        <f>IF($B30="","",IF(T$3=0,"n.b.",INDEX(SRC_ZPMW03!$A$1:$ZZ$501,$A30,T$3)))</f>
        <v/>
      </c>
      <c r="U30" s="124" t="str">
        <f>IF($B30="","",IF(U$3=0,"n.b.",INDEX(SRC_ZPMW03!$A$1:$ZZ$501,$A30,U$3)))</f>
        <v/>
      </c>
      <c r="V30" s="124" t="str">
        <f>IF($B30="","",IF(V$3=0,"n.b.",INDEX(SRC_ZPMW03!$A$1:$ZZ$501,$A30,V$3)))</f>
        <v/>
      </c>
      <c r="W30" s="124" t="str">
        <f>IF($B30="","",IF(W$3=0,"n.b.",INDEX(SRC_ZPMW03!$A$1:$ZZ$501,$A30,W$3)))</f>
        <v/>
      </c>
      <c r="X30" s="124" t="str">
        <f>IF($B30="","",IF(X$3=0,"n.b.",INDEX(SRC_ZPMW03!$A$1:$ZZ$501,$A30,X$3)))</f>
        <v/>
      </c>
      <c r="Y30" s="124" t="str">
        <f>IF($B30="","",IF(Y$3=0,"n.b.",INDEX(SRC_ZPMW03!$A$1:$ZZ$501,$A30,Y$3)))</f>
        <v/>
      </c>
      <c r="Z30" s="124" t="str">
        <f>IF($B30="","",IF(Z$3=0,"n.b.",INDEX(SRC_ZPMW03!$A$1:$ZZ$501,$A30,Z$3)))</f>
        <v/>
      </c>
      <c r="AA30" s="124" t="str">
        <f>IF($B30="","",IF(AA$3=0,"n.b.",INDEX(SRC_ZPMW03!$A$1:$ZZ$501,$A30,AA$3)))</f>
        <v/>
      </c>
      <c r="AB30" s="124" t="str">
        <f>IF($B30="","",IF(AB$3=0,"n.b.",INDEX(SRC_ZPMW03!$A$1:$ZZ$501,$A30,AB$3)))</f>
        <v/>
      </c>
      <c r="AC30" s="124" t="str">
        <f>IF($B30="","",IF(AC$3=0,"n.b.",INDEX(SRC_ZPMW03!$A$1:$ZZ$501,$A30,AC$3)))</f>
        <v/>
      </c>
      <c r="AD30" s="124" t="str">
        <f>IF($B30="","",IF(AD$3=0,"n.b.",INDEX(SRC_ZPMW03!$A$1:$ZZ$501,$A30,AD$3)))</f>
        <v/>
      </c>
      <c r="AE30" s="124" t="str">
        <f>IF($B30="","",IF(AE$3=0,"n.b.",INDEX(SRC_ZPMW03!$A$1:$ZZ$501,$A30,AE$3)))</f>
        <v/>
      </c>
      <c r="AF30" s="124" t="str">
        <f>IF($B30="","",IF(AF$3=0,"n.b.",INDEX(SRC_ZPMW03!$A$1:$ZZ$501,$A30,AF$3)))</f>
        <v/>
      </c>
      <c r="AG30" s="124" t="str">
        <f>IF($B30="","",IF(AG$3=0,"n.b.",INDEX(SRC_ZPMW03!$A$1:$ZZ$501,$A30,AG$3)))</f>
        <v/>
      </c>
      <c r="AH30" s="124" t="str">
        <f>IF($B30="","",IF(AH$3=0,"n.b.",INDEX(SRC_ZPMW03!$A$1:$ZZ$501,$A30,AH$3)))</f>
        <v/>
      </c>
      <c r="AI30" s="124" t="str">
        <f>IF($B30="","",IF(AI$3=0,"n.b.",INDEX(SRC_ZPMW03!$A$1:$ZZ$501,$A30,AI$3)))</f>
        <v/>
      </c>
      <c r="AJ30" s="124" t="str">
        <f>IF($B30="","",IF(AJ$3=0,"n.b.",INDEX(SRC_ZPMW03!$A$1:$ZZ$501,$A30,AJ$3)))</f>
        <v/>
      </c>
      <c r="AK30" s="124" t="str">
        <f>IF($B30="","",IF(AK$3=0,"n.b.",INDEX(SRC_ZPMW03!$A$1:$ZZ$501,$A30,AK$3)))</f>
        <v/>
      </c>
      <c r="AL30" s="124" t="str">
        <f>IF($B30="","",IF(AL$3=0,"n.b.",INDEX(SRC_ZPMW03!$A$1:$ZZ$501,$A30,AL$3)))</f>
        <v/>
      </c>
      <c r="AM30" s="124" t="str">
        <f>IF($B30="","",IF(AM$3=0,"n.b.",INDEX(SRC_ZPMW03!$A$1:$ZZ$501,$A30,AM$3)))</f>
        <v/>
      </c>
      <c r="AN30" s="124" t="str">
        <f>IF($B30="","",IF(AN$3=0,"n.b.",INDEX(SRC_ZPMW03!$A$1:$ZZ$501,$A30,AN$3)))</f>
        <v/>
      </c>
      <c r="AO30" s="124" t="str">
        <f>IF($B30="","",IF(AO$3=0,"n.b.",INDEX(SRC_ZPMW03!$A$1:$ZZ$501,$A30,AO$3)))</f>
        <v/>
      </c>
      <c r="AP30" s="124" t="str">
        <f>IF($B30="","",IF(AP$3=0,"n.b.",INDEX(SRC_ZPMW03!$A$1:$ZZ$501,$A30,AP$3)))</f>
        <v/>
      </c>
      <c r="AQ30" s="124" t="str">
        <f>IF($B30="","",IF(AQ$3=0,"n.b.",INDEX(SRC_ZPMW03!$A$1:$ZZ$501,$A30,AQ$3)))</f>
        <v/>
      </c>
      <c r="AR30" s="124" t="str">
        <f>IF($B30="","",IF(AR$3=0,"n.b.",INDEX(SRC_ZPMW03!$A$1:$ZZ$501,$A30,AR$3)))</f>
        <v/>
      </c>
      <c r="AS30" s="124" t="str">
        <f>IF($B30="","",IF(AS$3=0,"n.b.",INDEX(SRC_ZPMW03!$A$1:$ZZ$501,$A30,AS$3)))</f>
        <v/>
      </c>
      <c r="AT30" s="124" t="str">
        <f>IF($B30="","",IF(AT$3=0,"n.b.",INDEX(SRC_ZPMW03!$A$1:$ZZ$501,$A30,AT$3)))</f>
        <v/>
      </c>
      <c r="AU30" s="124" t="str">
        <f>IF($B30="","",IF(AU$3=0,"n.b.",INDEX(SRC_ZPMW03!$A$1:$ZZ$501,$A30,AU$3)))</f>
        <v/>
      </c>
      <c r="AV30" s="124" t="str">
        <f>IF($B30="","",IF(AV$3=0,"n.b.",INDEX(SRC_ZPMW03!$A$1:$ZZ$501,$A30,AV$3)))</f>
        <v/>
      </c>
      <c r="AW30" s="124" t="str">
        <f>IF($B30="","",IF(AW$3=0,"n.b.",INDEX(SRC_ZPMW03!$A$1:$ZZ$501,$A30,AW$3)))</f>
        <v/>
      </c>
      <c r="AX30" s="124" t="str">
        <f>IF($B30="","",IF(AX$3=0,"n.b.",INDEX(SRC_ZPMW03!$A$1:$ZZ$501,$A30,AX$3)))</f>
        <v/>
      </c>
      <c r="AY30" s="124" t="str">
        <f>IF($B30="","",IF(AY$3=0,"n.b.",INDEX(SRC_ZPMW03!$A$1:$ZZ$501,$A30,AY$3)))</f>
        <v/>
      </c>
      <c r="AZ30" s="124" t="str">
        <f>IF($B30="","",IF(AZ$3=0,"n.b.",INDEX(SRC_ZPMW03!$A$1:$ZZ$501,$A30,AZ$3)))</f>
        <v/>
      </c>
      <c r="BA30" s="124" t="str">
        <f>IF($B30="","",IF(BA$3=0,"n.b.",INDEX(SRC_ZPMW03!$A$1:$ZZ$501,$A30,BA$3)))</f>
        <v/>
      </c>
      <c r="BB30" s="124" t="str">
        <f>IF($B30="","",IF(BB$3=0,"n.b.",INDEX(SRC_ZPMW03!$A$1:$ZZ$501,$A30,BB$3)))</f>
        <v/>
      </c>
      <c r="BC30" s="124" t="str">
        <f>IF($B30="","",IF(BC$3=0,"n.b.",INDEX(SRC_ZPMW03!$A$1:$ZZ$501,$A30,BC$3)))</f>
        <v/>
      </c>
      <c r="BD30" s="124" t="str">
        <f>IF($B30="","",IF(BD$3=0,"n.b.",INDEX(SRC_ZPMW03!$A$1:$ZZ$501,$A30,BD$3)))</f>
        <v/>
      </c>
      <c r="BE30" s="124" t="str">
        <f>IF($B30="","",IF(BE$3=0,"n.b.",INDEX(SRC_ZPMW03!$A$1:$ZZ$501,$A30,BE$3)))</f>
        <v/>
      </c>
      <c r="BF30" s="124" t="str">
        <f>IF($B30="","",IF(BF$3=0,"n.b.",INDEX(SRC_ZPMW03!$A$1:$ZZ$501,$A30,BF$3)))</f>
        <v/>
      </c>
      <c r="BG30" t="str">
        <f>IF($B30="","",IF(BG$3=0,"n.b.",INDEX(SRC_ZPMW03!$A$1:$ZZ$501,$A30,BG$3)))</f>
        <v/>
      </c>
      <c r="BH30" t="str">
        <f>IF($B30="","",IF(BH$3=0,"n.b.",INDEX(SRC_ZPMW03!$A$1:$ZZ$501,$A30,BH$3)))</f>
        <v/>
      </c>
      <c r="BI30" t="str">
        <f>IF($B30="","",IF(BI$3=0,"n.b.",INDEX(SRC_ZPMW03!$A$1:$ZZ$501,$A30,BI$3)))</f>
        <v/>
      </c>
      <c r="BJ30" t="str">
        <f>IF($B30="","",IF(BJ$3=0,"n.b.",INDEX(SRC_ZPMW03!$A$1:$ZZ$501,$A30,BJ$3)))</f>
        <v/>
      </c>
      <c r="BK30" s="124" t="str">
        <f>IF($B30="","",IFERROR(-O30,"n.b."))</f>
        <v/>
      </c>
      <c r="BL30" s="124" t="str">
        <f>IF($B30="","",IFERROR(-Q30,"n.b."))</f>
        <v/>
      </c>
      <c r="BM30" s="124" t="str">
        <f>IF($B30="","",IFERROR(-AB30,"n.b."))</f>
        <v/>
      </c>
      <c r="BN30" s="124" t="str">
        <f>IF($B30="","",IFERROR(-AD30,"n.b."))</f>
        <v/>
      </c>
      <c r="BO30" s="124" t="str">
        <f>IF($B30="","",IFERROR(BK30+BM30,"n.b."))</f>
        <v/>
      </c>
      <c r="BP30" s="124" t="str">
        <f>IF($B30="","",IFERROR(BL30+BN30,"n.b."))</f>
        <v/>
      </c>
      <c r="BQ30" s="124" t="str">
        <f>IF($B30="","",IFERROR(-AM30,"n.b."))</f>
        <v/>
      </c>
      <c r="BR30" s="124" t="str">
        <f>IF($B30="","",IFERROR(-AO30,"n.b."))</f>
        <v/>
      </c>
      <c r="BS30" s="124" t="str">
        <f>IF($B30="","",IFERROR(-Z30,"n.b."))</f>
        <v/>
      </c>
      <c r="BT30" s="124" t="str">
        <f>IF($B30="","",IFERROR(-AA30,"n.b."))</f>
        <v/>
      </c>
      <c r="BU30" s="124" t="str">
        <f>IF($B30="","",IFERROR(-AE30,"n.b."))</f>
        <v/>
      </c>
      <c r="BV30" s="124" t="str">
        <f>IF($B30="","",IFERROR(-AF30,"n.b."))</f>
        <v/>
      </c>
      <c r="BW30" s="124" t="str">
        <f>IF($B30="","",IFERROR(-AG30,"n.b."))</f>
        <v/>
      </c>
      <c r="BX30" s="124" t="str">
        <f>IF($B30="","",IFERROR(-AH30,"n.b."))</f>
        <v/>
      </c>
      <c r="BY30" s="124" t="str">
        <f>IF($B30="","",IFERROR(-AI30,"n.b."))</f>
        <v/>
      </c>
      <c r="BZ30" s="124" t="str">
        <f>IF($B30="","",IFERROR(-AJ30,"n.b."))</f>
        <v/>
      </c>
      <c r="CA30" s="124" t="str">
        <f>IF($B30="","",IFERROR(-AK30,"n.b."))</f>
        <v/>
      </c>
      <c r="CB30" s="124" t="str">
        <f>IF($B30="","",IFERROR(-AL30,"n.b."))</f>
        <v/>
      </c>
      <c r="CC30" s="124" t="str">
        <f>IF($B30="","",IFERROR(-AP30,"n.b."))</f>
        <v/>
      </c>
      <c r="CD30" s="124" t="str">
        <f>IF($B30="","",IFERROR(-AQ30,"n.b."))</f>
        <v/>
      </c>
      <c r="CE30" s="124" t="str">
        <f>IF($B30="","",IFERROR(-AR30,"n.b."))</f>
        <v/>
      </c>
      <c r="CF30" s="124" t="str">
        <f>IF($B30="","",IFERROR(-AS30,"n.b."))</f>
        <v/>
      </c>
      <c r="CG30" s="124" t="str">
        <f>IF($B30="","",IFERROR(-AT30,"n.b."))</f>
        <v/>
      </c>
      <c r="CH30" s="124" t="str">
        <f>IF($B30="","",IFERROR(-AU30,"n.b."))</f>
        <v/>
      </c>
      <c r="CI30" s="124" t="str">
        <f>IF($B30="","",IFERROR(-AV30,"n.b."))</f>
        <v/>
      </c>
      <c r="CJ30" s="124" t="str">
        <f>IF($B30="","",IFERROR(-AW30,"n.b."))</f>
        <v/>
      </c>
      <c r="CK30" s="124" t="str">
        <f>IF($B30="","",IFERROR(-AX30,"n.b."))</f>
        <v/>
      </c>
      <c r="CL30" s="124" t="str">
        <f>IF($B30="","",IFERROR(-AY30,"n.b."))</f>
        <v/>
      </c>
      <c r="CM30" s="124" t="str">
        <f>IF($B30="","",IFERROR(-AZ30,"n.b."))</f>
        <v/>
      </c>
      <c r="CN30" s="124" t="str">
        <f>IF($B30="","",IFERROR(-BA30,"n.b."))</f>
        <v/>
      </c>
      <c r="CO30" s="124" t="str">
        <f>IF($B30="","",IFERROR(-BB30,"n.b."))</f>
        <v/>
      </c>
      <c r="CP30" s="124" t="str">
        <f>IF($B30="","",IFERROR(-BC30,"n.b."))</f>
        <v/>
      </c>
      <c r="CQ30" s="124" t="str">
        <f>IF($B30="","",IFERROR(-BD30,"n.b."))</f>
        <v/>
      </c>
      <c r="CR30" s="124" t="str">
        <f>IF($B30="","",IFERROR(-BE30,"n.b."))</f>
        <v/>
      </c>
      <c r="CS30" s="124" t="str">
        <f>IF($B30="","",IFERROR(IF(OR(ABS(T30+V30+X30+Z30-AB30)&gt;P_Tol,ABS(U30+W30+Y30+AA30-AD30)&gt;P_Tol,ABS(AE30+AG30+AI30+AK30-AM30)&gt;P_Tol,ABS(AF30+AH30+AJ30+AL30-AO30)&gt;P_Tol),1,0),1))</f>
        <v/>
      </c>
      <c r="CT30" s="124" t="str">
        <f>IF($B30="","",IFERROR(IF(OR(ABS(AB30+AC30-AD30)&gt;P_Tol,ABS(AM30+AN30-AO30)&gt;P_Tol,ABS(O30+P30-Q30)&gt;P_Tol),1,0),1))</f>
        <v/>
      </c>
      <c r="CU30" s="124" t="str">
        <f>IF($B30="","",IFERROR(IF(ABS(R30-(AB30+AM30+AP30+AR30+AT30+AV30+AX30+AZ30+BB30+BD30))&gt;P_Tol,1,0),1))</f>
        <v/>
      </c>
      <c r="CV30" s="124" t="str">
        <f>IF($B30="","",IFERROR(IF(ABS(M30-(N30+O30+R30))&gt;P_Tol,1,0),1))</f>
        <v/>
      </c>
      <c r="CW30" s="124" t="str">
        <f>IF($B30="","",IF(COUNTIF(Mapping!$A$5:$A$104,B30)&gt;0,1,0))</f>
        <v/>
      </c>
      <c r="CX30" s="124" t="str">
        <f>IF($B30="","",COUNTIF($B$6:$B$505,B30))</f>
        <v/>
      </c>
      <c r="CY30" s="124" t="str">
        <f>IF($B30="","",COUNTIF(STG_Woningetalage!$B$6:$B$505,B30))</f>
        <v/>
      </c>
      <c r="CZ30" s="124" t="str">
        <f>IF($B30="","",IF(CW30=0,COUNTIF($CW$6:CW30,0),""))</f>
        <v/>
      </c>
    </row>
    <row r="31">
      <c r="A31" s="15" t="n">
        <v>27</v>
      </c>
      <c r="B31" t="str">
        <f>IF(B$3=0,"",IF(INDEX(SRC_ZPMW03!$A$1:$ZZ$501,$A31,B$3)&amp;""="","",INDEX(SRC_ZPMW03!$A$1:$ZZ$501,$A31,B$3)&amp;""))</f>
        <v/>
      </c>
      <c r="C31" t="str">
        <f>IF($B31="","",IF(C$3=0,"n.b.",INDEX(SRC_ZPMW03!$A$1:$ZZ$501,$A31,C$3)))</f>
        <v/>
      </c>
      <c r="D31" t="str">
        <f>IF($B31="","",IF(D$3=0,"n.b.",INDEX(SRC_ZPMW03!$A$1:$ZZ$501,$A31,D$3)))</f>
        <v/>
      </c>
      <c r="E31" t="str">
        <f>IF($B31="","",IF(E$3=0,"n.b.",INDEX(SRC_ZPMW03!$A$1:$ZZ$501,$A31,E$3)))</f>
        <v/>
      </c>
      <c r="F31" t="str">
        <f>IF($B31="","",IF(F$3=0,"n.b.",INDEX(SRC_ZPMW03!$A$1:$ZZ$501,$A31,F$3)))</f>
        <v/>
      </c>
      <c r="G31" t="str">
        <f>IF($B31="","",IF(G$3=0,"n.b.",INDEX(SRC_ZPMW03!$A$1:$ZZ$501,$A31,G$3)))</f>
        <v/>
      </c>
      <c r="H31" t="str">
        <f>IF($B31="","",IF(H$3=0,"n.b.",INDEX(SRC_ZPMW03!$A$1:$ZZ$501,$A31,H$3)))</f>
        <v/>
      </c>
      <c r="I31" t="str">
        <f>IF($B31="","",IF(I$3=0,"n.b.",INDEX(SRC_ZPMW03!$A$1:$ZZ$501,$A31,I$3)))</f>
        <v/>
      </c>
      <c r="J31" t="str">
        <f>IF($B31="","",IF(J$3=0,"n.b.",INDEX(SRC_ZPMW03!$A$1:$ZZ$501,$A31,J$3)))</f>
        <v/>
      </c>
      <c r="K31" t="str">
        <f>IF($B31="","",IF(K$3=0,"n.b.",INDEX(SRC_ZPMW03!$A$1:$ZZ$501,$A31,K$3)))</f>
        <v/>
      </c>
      <c r="L31" s="124" t="str">
        <f>IF($B31="","",IF(L$3=0,"n.b.",INDEX(SRC_ZPMW03!$A$1:$ZZ$501,$A31,L$3)))</f>
        <v/>
      </c>
      <c r="M31" s="124" t="str">
        <f>IF($B31="","",IF(M$3=0,"n.b.",INDEX(SRC_ZPMW03!$A$1:$ZZ$501,$A31,M$3)))</f>
        <v/>
      </c>
      <c r="N31" s="124" t="str">
        <f>IF($B31="","",IF(N$3=0,"n.b.",INDEX(SRC_ZPMW03!$A$1:$ZZ$501,$A31,N$3)))</f>
        <v/>
      </c>
      <c r="O31" s="124" t="str">
        <f>IF($B31="","",IF(O$3=0,"n.b.",INDEX(SRC_ZPMW03!$A$1:$ZZ$501,$A31,O$3)))</f>
        <v/>
      </c>
      <c r="P31" s="124" t="str">
        <f>IF($B31="","",IF(P$3=0,"n.b.",INDEX(SRC_ZPMW03!$A$1:$ZZ$501,$A31,P$3)))</f>
        <v/>
      </c>
      <c r="Q31" s="124" t="str">
        <f>IF($B31="","",IF(Q$3=0,"n.b.",INDEX(SRC_ZPMW03!$A$1:$ZZ$501,$A31,Q$3)))</f>
        <v/>
      </c>
      <c r="R31" s="124" t="str">
        <f>IF($B31="","",IF(R$3=0,"n.b.",INDEX(SRC_ZPMW03!$A$1:$ZZ$501,$A31,R$3)))</f>
        <v/>
      </c>
      <c r="S31" s="124" t="str">
        <f>IF($B31="","",IF(S$3=0,"n.b.",INDEX(SRC_ZPMW03!$A$1:$ZZ$501,$A31,S$3)))</f>
        <v/>
      </c>
      <c r="T31" s="124" t="str">
        <f>IF($B31="","",IF(T$3=0,"n.b.",INDEX(SRC_ZPMW03!$A$1:$ZZ$501,$A31,T$3)))</f>
        <v/>
      </c>
      <c r="U31" s="124" t="str">
        <f>IF($B31="","",IF(U$3=0,"n.b.",INDEX(SRC_ZPMW03!$A$1:$ZZ$501,$A31,U$3)))</f>
        <v/>
      </c>
      <c r="V31" s="124" t="str">
        <f>IF($B31="","",IF(V$3=0,"n.b.",INDEX(SRC_ZPMW03!$A$1:$ZZ$501,$A31,V$3)))</f>
        <v/>
      </c>
      <c r="W31" s="124" t="str">
        <f>IF($B31="","",IF(W$3=0,"n.b.",INDEX(SRC_ZPMW03!$A$1:$ZZ$501,$A31,W$3)))</f>
        <v/>
      </c>
      <c r="X31" s="124" t="str">
        <f>IF($B31="","",IF(X$3=0,"n.b.",INDEX(SRC_ZPMW03!$A$1:$ZZ$501,$A31,X$3)))</f>
        <v/>
      </c>
      <c r="Y31" s="124" t="str">
        <f>IF($B31="","",IF(Y$3=0,"n.b.",INDEX(SRC_ZPMW03!$A$1:$ZZ$501,$A31,Y$3)))</f>
        <v/>
      </c>
      <c r="Z31" s="124" t="str">
        <f>IF($B31="","",IF(Z$3=0,"n.b.",INDEX(SRC_ZPMW03!$A$1:$ZZ$501,$A31,Z$3)))</f>
        <v/>
      </c>
      <c r="AA31" s="124" t="str">
        <f>IF($B31="","",IF(AA$3=0,"n.b.",INDEX(SRC_ZPMW03!$A$1:$ZZ$501,$A31,AA$3)))</f>
        <v/>
      </c>
      <c r="AB31" s="124" t="str">
        <f>IF($B31="","",IF(AB$3=0,"n.b.",INDEX(SRC_ZPMW03!$A$1:$ZZ$501,$A31,AB$3)))</f>
        <v/>
      </c>
      <c r="AC31" s="124" t="str">
        <f>IF($B31="","",IF(AC$3=0,"n.b.",INDEX(SRC_ZPMW03!$A$1:$ZZ$501,$A31,AC$3)))</f>
        <v/>
      </c>
      <c r="AD31" s="124" t="str">
        <f>IF($B31="","",IF(AD$3=0,"n.b.",INDEX(SRC_ZPMW03!$A$1:$ZZ$501,$A31,AD$3)))</f>
        <v/>
      </c>
      <c r="AE31" s="124" t="str">
        <f>IF($B31="","",IF(AE$3=0,"n.b.",INDEX(SRC_ZPMW03!$A$1:$ZZ$501,$A31,AE$3)))</f>
        <v/>
      </c>
      <c r="AF31" s="124" t="str">
        <f>IF($B31="","",IF(AF$3=0,"n.b.",INDEX(SRC_ZPMW03!$A$1:$ZZ$501,$A31,AF$3)))</f>
        <v/>
      </c>
      <c r="AG31" s="124" t="str">
        <f>IF($B31="","",IF(AG$3=0,"n.b.",INDEX(SRC_ZPMW03!$A$1:$ZZ$501,$A31,AG$3)))</f>
        <v/>
      </c>
      <c r="AH31" s="124" t="str">
        <f>IF($B31="","",IF(AH$3=0,"n.b.",INDEX(SRC_ZPMW03!$A$1:$ZZ$501,$A31,AH$3)))</f>
        <v/>
      </c>
      <c r="AI31" s="124" t="str">
        <f>IF($B31="","",IF(AI$3=0,"n.b.",INDEX(SRC_ZPMW03!$A$1:$ZZ$501,$A31,AI$3)))</f>
        <v/>
      </c>
      <c r="AJ31" s="124" t="str">
        <f>IF($B31="","",IF(AJ$3=0,"n.b.",INDEX(SRC_ZPMW03!$A$1:$ZZ$501,$A31,AJ$3)))</f>
        <v/>
      </c>
      <c r="AK31" s="124" t="str">
        <f>IF($B31="","",IF(AK$3=0,"n.b.",INDEX(SRC_ZPMW03!$A$1:$ZZ$501,$A31,AK$3)))</f>
        <v/>
      </c>
      <c r="AL31" s="124" t="str">
        <f>IF($B31="","",IF(AL$3=0,"n.b.",INDEX(SRC_ZPMW03!$A$1:$ZZ$501,$A31,AL$3)))</f>
        <v/>
      </c>
      <c r="AM31" s="124" t="str">
        <f>IF($B31="","",IF(AM$3=0,"n.b.",INDEX(SRC_ZPMW03!$A$1:$ZZ$501,$A31,AM$3)))</f>
        <v/>
      </c>
      <c r="AN31" s="124" t="str">
        <f>IF($B31="","",IF(AN$3=0,"n.b.",INDEX(SRC_ZPMW03!$A$1:$ZZ$501,$A31,AN$3)))</f>
        <v/>
      </c>
      <c r="AO31" s="124" t="str">
        <f>IF($B31="","",IF(AO$3=0,"n.b.",INDEX(SRC_ZPMW03!$A$1:$ZZ$501,$A31,AO$3)))</f>
        <v/>
      </c>
      <c r="AP31" s="124" t="str">
        <f>IF($B31="","",IF(AP$3=0,"n.b.",INDEX(SRC_ZPMW03!$A$1:$ZZ$501,$A31,AP$3)))</f>
        <v/>
      </c>
      <c r="AQ31" s="124" t="str">
        <f>IF($B31="","",IF(AQ$3=0,"n.b.",INDEX(SRC_ZPMW03!$A$1:$ZZ$501,$A31,AQ$3)))</f>
        <v/>
      </c>
      <c r="AR31" s="124" t="str">
        <f>IF($B31="","",IF(AR$3=0,"n.b.",INDEX(SRC_ZPMW03!$A$1:$ZZ$501,$A31,AR$3)))</f>
        <v/>
      </c>
      <c r="AS31" s="124" t="str">
        <f>IF($B31="","",IF(AS$3=0,"n.b.",INDEX(SRC_ZPMW03!$A$1:$ZZ$501,$A31,AS$3)))</f>
        <v/>
      </c>
      <c r="AT31" s="124" t="str">
        <f>IF($B31="","",IF(AT$3=0,"n.b.",INDEX(SRC_ZPMW03!$A$1:$ZZ$501,$A31,AT$3)))</f>
        <v/>
      </c>
      <c r="AU31" s="124" t="str">
        <f>IF($B31="","",IF(AU$3=0,"n.b.",INDEX(SRC_ZPMW03!$A$1:$ZZ$501,$A31,AU$3)))</f>
        <v/>
      </c>
      <c r="AV31" s="124" t="str">
        <f>IF($B31="","",IF(AV$3=0,"n.b.",INDEX(SRC_ZPMW03!$A$1:$ZZ$501,$A31,AV$3)))</f>
        <v/>
      </c>
      <c r="AW31" s="124" t="str">
        <f>IF($B31="","",IF(AW$3=0,"n.b.",INDEX(SRC_ZPMW03!$A$1:$ZZ$501,$A31,AW$3)))</f>
        <v/>
      </c>
      <c r="AX31" s="124" t="str">
        <f>IF($B31="","",IF(AX$3=0,"n.b.",INDEX(SRC_ZPMW03!$A$1:$ZZ$501,$A31,AX$3)))</f>
        <v/>
      </c>
      <c r="AY31" s="124" t="str">
        <f>IF($B31="","",IF(AY$3=0,"n.b.",INDEX(SRC_ZPMW03!$A$1:$ZZ$501,$A31,AY$3)))</f>
        <v/>
      </c>
      <c r="AZ31" s="124" t="str">
        <f>IF($B31="","",IF(AZ$3=0,"n.b.",INDEX(SRC_ZPMW03!$A$1:$ZZ$501,$A31,AZ$3)))</f>
        <v/>
      </c>
      <c r="BA31" s="124" t="str">
        <f>IF($B31="","",IF(BA$3=0,"n.b.",INDEX(SRC_ZPMW03!$A$1:$ZZ$501,$A31,BA$3)))</f>
        <v/>
      </c>
      <c r="BB31" s="124" t="str">
        <f>IF($B31="","",IF(BB$3=0,"n.b.",INDEX(SRC_ZPMW03!$A$1:$ZZ$501,$A31,BB$3)))</f>
        <v/>
      </c>
      <c r="BC31" s="124" t="str">
        <f>IF($B31="","",IF(BC$3=0,"n.b.",INDEX(SRC_ZPMW03!$A$1:$ZZ$501,$A31,BC$3)))</f>
        <v/>
      </c>
      <c r="BD31" s="124" t="str">
        <f>IF($B31="","",IF(BD$3=0,"n.b.",INDEX(SRC_ZPMW03!$A$1:$ZZ$501,$A31,BD$3)))</f>
        <v/>
      </c>
      <c r="BE31" s="124" t="str">
        <f>IF($B31="","",IF(BE$3=0,"n.b.",INDEX(SRC_ZPMW03!$A$1:$ZZ$501,$A31,BE$3)))</f>
        <v/>
      </c>
      <c r="BF31" s="124" t="str">
        <f>IF($B31="","",IF(BF$3=0,"n.b.",INDEX(SRC_ZPMW03!$A$1:$ZZ$501,$A31,BF$3)))</f>
        <v/>
      </c>
      <c r="BG31" t="str">
        <f>IF($B31="","",IF(BG$3=0,"n.b.",INDEX(SRC_ZPMW03!$A$1:$ZZ$501,$A31,BG$3)))</f>
        <v/>
      </c>
      <c r="BH31" t="str">
        <f>IF($B31="","",IF(BH$3=0,"n.b.",INDEX(SRC_ZPMW03!$A$1:$ZZ$501,$A31,BH$3)))</f>
        <v/>
      </c>
      <c r="BI31" t="str">
        <f>IF($B31="","",IF(BI$3=0,"n.b.",INDEX(SRC_ZPMW03!$A$1:$ZZ$501,$A31,BI$3)))</f>
        <v/>
      </c>
      <c r="BJ31" t="str">
        <f>IF($B31="","",IF(BJ$3=0,"n.b.",INDEX(SRC_ZPMW03!$A$1:$ZZ$501,$A31,BJ$3)))</f>
        <v/>
      </c>
      <c r="BK31" s="124" t="str">
        <f>IF($B31="","",IFERROR(-O31,"n.b."))</f>
        <v/>
      </c>
      <c r="BL31" s="124" t="str">
        <f>IF($B31="","",IFERROR(-Q31,"n.b."))</f>
        <v/>
      </c>
      <c r="BM31" s="124" t="str">
        <f>IF($B31="","",IFERROR(-AB31,"n.b."))</f>
        <v/>
      </c>
      <c r="BN31" s="124" t="str">
        <f>IF($B31="","",IFERROR(-AD31,"n.b."))</f>
        <v/>
      </c>
      <c r="BO31" s="124" t="str">
        <f>IF($B31="","",IFERROR(BK31+BM31,"n.b."))</f>
        <v/>
      </c>
      <c r="BP31" s="124" t="str">
        <f>IF($B31="","",IFERROR(BL31+BN31,"n.b."))</f>
        <v/>
      </c>
      <c r="BQ31" s="124" t="str">
        <f>IF($B31="","",IFERROR(-AM31,"n.b."))</f>
        <v/>
      </c>
      <c r="BR31" s="124" t="str">
        <f>IF($B31="","",IFERROR(-AO31,"n.b."))</f>
        <v/>
      </c>
      <c r="BS31" s="124" t="str">
        <f>IF($B31="","",IFERROR(-Z31,"n.b."))</f>
        <v/>
      </c>
      <c r="BT31" s="124" t="str">
        <f>IF($B31="","",IFERROR(-AA31,"n.b."))</f>
        <v/>
      </c>
      <c r="BU31" s="124" t="str">
        <f>IF($B31="","",IFERROR(-AE31,"n.b."))</f>
        <v/>
      </c>
      <c r="BV31" s="124" t="str">
        <f>IF($B31="","",IFERROR(-AF31,"n.b."))</f>
        <v/>
      </c>
      <c r="BW31" s="124" t="str">
        <f>IF($B31="","",IFERROR(-AG31,"n.b."))</f>
        <v/>
      </c>
      <c r="BX31" s="124" t="str">
        <f>IF($B31="","",IFERROR(-AH31,"n.b."))</f>
        <v/>
      </c>
      <c r="BY31" s="124" t="str">
        <f>IF($B31="","",IFERROR(-AI31,"n.b."))</f>
        <v/>
      </c>
      <c r="BZ31" s="124" t="str">
        <f>IF($B31="","",IFERROR(-AJ31,"n.b."))</f>
        <v/>
      </c>
      <c r="CA31" s="124" t="str">
        <f>IF($B31="","",IFERROR(-AK31,"n.b."))</f>
        <v/>
      </c>
      <c r="CB31" s="124" t="str">
        <f>IF($B31="","",IFERROR(-AL31,"n.b."))</f>
        <v/>
      </c>
      <c r="CC31" s="124" t="str">
        <f>IF($B31="","",IFERROR(-AP31,"n.b."))</f>
        <v/>
      </c>
      <c r="CD31" s="124" t="str">
        <f>IF($B31="","",IFERROR(-AQ31,"n.b."))</f>
        <v/>
      </c>
      <c r="CE31" s="124" t="str">
        <f>IF($B31="","",IFERROR(-AR31,"n.b."))</f>
        <v/>
      </c>
      <c r="CF31" s="124" t="str">
        <f>IF($B31="","",IFERROR(-AS31,"n.b."))</f>
        <v/>
      </c>
      <c r="CG31" s="124" t="str">
        <f>IF($B31="","",IFERROR(-AT31,"n.b."))</f>
        <v/>
      </c>
      <c r="CH31" s="124" t="str">
        <f>IF($B31="","",IFERROR(-AU31,"n.b."))</f>
        <v/>
      </c>
      <c r="CI31" s="124" t="str">
        <f>IF($B31="","",IFERROR(-AV31,"n.b."))</f>
        <v/>
      </c>
      <c r="CJ31" s="124" t="str">
        <f>IF($B31="","",IFERROR(-AW31,"n.b."))</f>
        <v/>
      </c>
      <c r="CK31" s="124" t="str">
        <f>IF($B31="","",IFERROR(-AX31,"n.b."))</f>
        <v/>
      </c>
      <c r="CL31" s="124" t="str">
        <f>IF($B31="","",IFERROR(-AY31,"n.b."))</f>
        <v/>
      </c>
      <c r="CM31" s="124" t="str">
        <f>IF($B31="","",IFERROR(-AZ31,"n.b."))</f>
        <v/>
      </c>
      <c r="CN31" s="124" t="str">
        <f>IF($B31="","",IFERROR(-BA31,"n.b."))</f>
        <v/>
      </c>
      <c r="CO31" s="124" t="str">
        <f>IF($B31="","",IFERROR(-BB31,"n.b."))</f>
        <v/>
      </c>
      <c r="CP31" s="124" t="str">
        <f>IF($B31="","",IFERROR(-BC31,"n.b."))</f>
        <v/>
      </c>
      <c r="CQ31" s="124" t="str">
        <f>IF($B31="","",IFERROR(-BD31,"n.b."))</f>
        <v/>
      </c>
      <c r="CR31" s="124" t="str">
        <f>IF($B31="","",IFERROR(-BE31,"n.b."))</f>
        <v/>
      </c>
      <c r="CS31" s="124" t="str">
        <f>IF($B31="","",IFERROR(IF(OR(ABS(T31+V31+X31+Z31-AB31)&gt;P_Tol,ABS(U31+W31+Y31+AA31-AD31)&gt;P_Tol,ABS(AE31+AG31+AI31+AK31-AM31)&gt;P_Tol,ABS(AF31+AH31+AJ31+AL31-AO31)&gt;P_Tol),1,0),1))</f>
        <v/>
      </c>
      <c r="CT31" s="124" t="str">
        <f>IF($B31="","",IFERROR(IF(OR(ABS(AB31+AC31-AD31)&gt;P_Tol,ABS(AM31+AN31-AO31)&gt;P_Tol,ABS(O31+P31-Q31)&gt;P_Tol),1,0),1))</f>
        <v/>
      </c>
      <c r="CU31" s="124" t="str">
        <f>IF($B31="","",IFERROR(IF(ABS(R31-(AB31+AM31+AP31+AR31+AT31+AV31+AX31+AZ31+BB31+BD31))&gt;P_Tol,1,0),1))</f>
        <v/>
      </c>
      <c r="CV31" s="124" t="str">
        <f>IF($B31="","",IFERROR(IF(ABS(M31-(N31+O31+R31))&gt;P_Tol,1,0),1))</f>
        <v/>
      </c>
      <c r="CW31" s="124" t="str">
        <f>IF($B31="","",IF(COUNTIF(Mapping!$A$5:$A$104,B31)&gt;0,1,0))</f>
        <v/>
      </c>
      <c r="CX31" s="124" t="str">
        <f>IF($B31="","",COUNTIF($B$6:$B$505,B31))</f>
        <v/>
      </c>
      <c r="CY31" s="124" t="str">
        <f>IF($B31="","",COUNTIF(STG_Woningetalage!$B$6:$B$505,B31))</f>
        <v/>
      </c>
      <c r="CZ31" s="124" t="str">
        <f>IF($B31="","",IF(CW31=0,COUNTIF($CW$6:CW31,0),""))</f>
        <v/>
      </c>
    </row>
    <row r="32">
      <c r="A32" s="15" t="n">
        <v>28</v>
      </c>
      <c r="B32" t="str">
        <f>IF(B$3=0,"",IF(INDEX(SRC_ZPMW03!$A$1:$ZZ$501,$A32,B$3)&amp;""="","",INDEX(SRC_ZPMW03!$A$1:$ZZ$501,$A32,B$3)&amp;""))</f>
        <v/>
      </c>
      <c r="C32" t="str">
        <f>IF($B32="","",IF(C$3=0,"n.b.",INDEX(SRC_ZPMW03!$A$1:$ZZ$501,$A32,C$3)))</f>
        <v/>
      </c>
      <c r="D32" t="str">
        <f>IF($B32="","",IF(D$3=0,"n.b.",INDEX(SRC_ZPMW03!$A$1:$ZZ$501,$A32,D$3)))</f>
        <v/>
      </c>
      <c r="E32" t="str">
        <f>IF($B32="","",IF(E$3=0,"n.b.",INDEX(SRC_ZPMW03!$A$1:$ZZ$501,$A32,E$3)))</f>
        <v/>
      </c>
      <c r="F32" t="str">
        <f>IF($B32="","",IF(F$3=0,"n.b.",INDEX(SRC_ZPMW03!$A$1:$ZZ$501,$A32,F$3)))</f>
        <v/>
      </c>
      <c r="G32" t="str">
        <f>IF($B32="","",IF(G$3=0,"n.b.",INDEX(SRC_ZPMW03!$A$1:$ZZ$501,$A32,G$3)))</f>
        <v/>
      </c>
      <c r="H32" t="str">
        <f>IF($B32="","",IF(H$3=0,"n.b.",INDEX(SRC_ZPMW03!$A$1:$ZZ$501,$A32,H$3)))</f>
        <v/>
      </c>
      <c r="I32" t="str">
        <f>IF($B32="","",IF(I$3=0,"n.b.",INDEX(SRC_ZPMW03!$A$1:$ZZ$501,$A32,I$3)))</f>
        <v/>
      </c>
      <c r="J32" t="str">
        <f>IF($B32="","",IF(J$3=0,"n.b.",INDEX(SRC_ZPMW03!$A$1:$ZZ$501,$A32,J$3)))</f>
        <v/>
      </c>
      <c r="K32" t="str">
        <f>IF($B32="","",IF(K$3=0,"n.b.",INDEX(SRC_ZPMW03!$A$1:$ZZ$501,$A32,K$3)))</f>
        <v/>
      </c>
      <c r="L32" s="124" t="str">
        <f>IF($B32="","",IF(L$3=0,"n.b.",INDEX(SRC_ZPMW03!$A$1:$ZZ$501,$A32,L$3)))</f>
        <v/>
      </c>
      <c r="M32" s="124" t="str">
        <f>IF($B32="","",IF(M$3=0,"n.b.",INDEX(SRC_ZPMW03!$A$1:$ZZ$501,$A32,M$3)))</f>
        <v/>
      </c>
      <c r="N32" s="124" t="str">
        <f>IF($B32="","",IF(N$3=0,"n.b.",INDEX(SRC_ZPMW03!$A$1:$ZZ$501,$A32,N$3)))</f>
        <v/>
      </c>
      <c r="O32" s="124" t="str">
        <f>IF($B32="","",IF(O$3=0,"n.b.",INDEX(SRC_ZPMW03!$A$1:$ZZ$501,$A32,O$3)))</f>
        <v/>
      </c>
      <c r="P32" s="124" t="str">
        <f>IF($B32="","",IF(P$3=0,"n.b.",INDEX(SRC_ZPMW03!$A$1:$ZZ$501,$A32,P$3)))</f>
        <v/>
      </c>
      <c r="Q32" s="124" t="str">
        <f>IF($B32="","",IF(Q$3=0,"n.b.",INDEX(SRC_ZPMW03!$A$1:$ZZ$501,$A32,Q$3)))</f>
        <v/>
      </c>
      <c r="R32" s="124" t="str">
        <f>IF($B32="","",IF(R$3=0,"n.b.",INDEX(SRC_ZPMW03!$A$1:$ZZ$501,$A32,R$3)))</f>
        <v/>
      </c>
      <c r="S32" s="124" t="str">
        <f>IF($B32="","",IF(S$3=0,"n.b.",INDEX(SRC_ZPMW03!$A$1:$ZZ$501,$A32,S$3)))</f>
        <v/>
      </c>
      <c r="T32" s="124" t="str">
        <f>IF($B32="","",IF(T$3=0,"n.b.",INDEX(SRC_ZPMW03!$A$1:$ZZ$501,$A32,T$3)))</f>
        <v/>
      </c>
      <c r="U32" s="124" t="str">
        <f>IF($B32="","",IF(U$3=0,"n.b.",INDEX(SRC_ZPMW03!$A$1:$ZZ$501,$A32,U$3)))</f>
        <v/>
      </c>
      <c r="V32" s="124" t="str">
        <f>IF($B32="","",IF(V$3=0,"n.b.",INDEX(SRC_ZPMW03!$A$1:$ZZ$501,$A32,V$3)))</f>
        <v/>
      </c>
      <c r="W32" s="124" t="str">
        <f>IF($B32="","",IF(W$3=0,"n.b.",INDEX(SRC_ZPMW03!$A$1:$ZZ$501,$A32,W$3)))</f>
        <v/>
      </c>
      <c r="X32" s="124" t="str">
        <f>IF($B32="","",IF(X$3=0,"n.b.",INDEX(SRC_ZPMW03!$A$1:$ZZ$501,$A32,X$3)))</f>
        <v/>
      </c>
      <c r="Y32" s="124" t="str">
        <f>IF($B32="","",IF(Y$3=0,"n.b.",INDEX(SRC_ZPMW03!$A$1:$ZZ$501,$A32,Y$3)))</f>
        <v/>
      </c>
      <c r="Z32" s="124" t="str">
        <f>IF($B32="","",IF(Z$3=0,"n.b.",INDEX(SRC_ZPMW03!$A$1:$ZZ$501,$A32,Z$3)))</f>
        <v/>
      </c>
      <c r="AA32" s="124" t="str">
        <f>IF($B32="","",IF(AA$3=0,"n.b.",INDEX(SRC_ZPMW03!$A$1:$ZZ$501,$A32,AA$3)))</f>
        <v/>
      </c>
      <c r="AB32" s="124" t="str">
        <f>IF($B32="","",IF(AB$3=0,"n.b.",INDEX(SRC_ZPMW03!$A$1:$ZZ$501,$A32,AB$3)))</f>
        <v/>
      </c>
      <c r="AC32" s="124" t="str">
        <f>IF($B32="","",IF(AC$3=0,"n.b.",INDEX(SRC_ZPMW03!$A$1:$ZZ$501,$A32,AC$3)))</f>
        <v/>
      </c>
      <c r="AD32" s="124" t="str">
        <f>IF($B32="","",IF(AD$3=0,"n.b.",INDEX(SRC_ZPMW03!$A$1:$ZZ$501,$A32,AD$3)))</f>
        <v/>
      </c>
      <c r="AE32" s="124" t="str">
        <f>IF($B32="","",IF(AE$3=0,"n.b.",INDEX(SRC_ZPMW03!$A$1:$ZZ$501,$A32,AE$3)))</f>
        <v/>
      </c>
      <c r="AF32" s="124" t="str">
        <f>IF($B32="","",IF(AF$3=0,"n.b.",INDEX(SRC_ZPMW03!$A$1:$ZZ$501,$A32,AF$3)))</f>
        <v/>
      </c>
      <c r="AG32" s="124" t="str">
        <f>IF($B32="","",IF(AG$3=0,"n.b.",INDEX(SRC_ZPMW03!$A$1:$ZZ$501,$A32,AG$3)))</f>
        <v/>
      </c>
      <c r="AH32" s="124" t="str">
        <f>IF($B32="","",IF(AH$3=0,"n.b.",INDEX(SRC_ZPMW03!$A$1:$ZZ$501,$A32,AH$3)))</f>
        <v/>
      </c>
      <c r="AI32" s="124" t="str">
        <f>IF($B32="","",IF(AI$3=0,"n.b.",INDEX(SRC_ZPMW03!$A$1:$ZZ$501,$A32,AI$3)))</f>
        <v/>
      </c>
      <c r="AJ32" s="124" t="str">
        <f>IF($B32="","",IF(AJ$3=0,"n.b.",INDEX(SRC_ZPMW03!$A$1:$ZZ$501,$A32,AJ$3)))</f>
        <v/>
      </c>
      <c r="AK32" s="124" t="str">
        <f>IF($B32="","",IF(AK$3=0,"n.b.",INDEX(SRC_ZPMW03!$A$1:$ZZ$501,$A32,AK$3)))</f>
        <v/>
      </c>
      <c r="AL32" s="124" t="str">
        <f>IF($B32="","",IF(AL$3=0,"n.b.",INDEX(SRC_ZPMW03!$A$1:$ZZ$501,$A32,AL$3)))</f>
        <v/>
      </c>
      <c r="AM32" s="124" t="str">
        <f>IF($B32="","",IF(AM$3=0,"n.b.",INDEX(SRC_ZPMW03!$A$1:$ZZ$501,$A32,AM$3)))</f>
        <v/>
      </c>
      <c r="AN32" s="124" t="str">
        <f>IF($B32="","",IF(AN$3=0,"n.b.",INDEX(SRC_ZPMW03!$A$1:$ZZ$501,$A32,AN$3)))</f>
        <v/>
      </c>
      <c r="AO32" s="124" t="str">
        <f>IF($B32="","",IF(AO$3=0,"n.b.",INDEX(SRC_ZPMW03!$A$1:$ZZ$501,$A32,AO$3)))</f>
        <v/>
      </c>
      <c r="AP32" s="124" t="str">
        <f>IF($B32="","",IF(AP$3=0,"n.b.",INDEX(SRC_ZPMW03!$A$1:$ZZ$501,$A32,AP$3)))</f>
        <v/>
      </c>
      <c r="AQ32" s="124" t="str">
        <f>IF($B32="","",IF(AQ$3=0,"n.b.",INDEX(SRC_ZPMW03!$A$1:$ZZ$501,$A32,AQ$3)))</f>
        <v/>
      </c>
      <c r="AR32" s="124" t="str">
        <f>IF($B32="","",IF(AR$3=0,"n.b.",INDEX(SRC_ZPMW03!$A$1:$ZZ$501,$A32,AR$3)))</f>
        <v/>
      </c>
      <c r="AS32" s="124" t="str">
        <f>IF($B32="","",IF(AS$3=0,"n.b.",INDEX(SRC_ZPMW03!$A$1:$ZZ$501,$A32,AS$3)))</f>
        <v/>
      </c>
      <c r="AT32" s="124" t="str">
        <f>IF($B32="","",IF(AT$3=0,"n.b.",INDEX(SRC_ZPMW03!$A$1:$ZZ$501,$A32,AT$3)))</f>
        <v/>
      </c>
      <c r="AU32" s="124" t="str">
        <f>IF($B32="","",IF(AU$3=0,"n.b.",INDEX(SRC_ZPMW03!$A$1:$ZZ$501,$A32,AU$3)))</f>
        <v/>
      </c>
      <c r="AV32" s="124" t="str">
        <f>IF($B32="","",IF(AV$3=0,"n.b.",INDEX(SRC_ZPMW03!$A$1:$ZZ$501,$A32,AV$3)))</f>
        <v/>
      </c>
      <c r="AW32" s="124" t="str">
        <f>IF($B32="","",IF(AW$3=0,"n.b.",INDEX(SRC_ZPMW03!$A$1:$ZZ$501,$A32,AW$3)))</f>
        <v/>
      </c>
      <c r="AX32" s="124" t="str">
        <f>IF($B32="","",IF(AX$3=0,"n.b.",INDEX(SRC_ZPMW03!$A$1:$ZZ$501,$A32,AX$3)))</f>
        <v/>
      </c>
      <c r="AY32" s="124" t="str">
        <f>IF($B32="","",IF(AY$3=0,"n.b.",INDEX(SRC_ZPMW03!$A$1:$ZZ$501,$A32,AY$3)))</f>
        <v/>
      </c>
      <c r="AZ32" s="124" t="str">
        <f>IF($B32="","",IF(AZ$3=0,"n.b.",INDEX(SRC_ZPMW03!$A$1:$ZZ$501,$A32,AZ$3)))</f>
        <v/>
      </c>
      <c r="BA32" s="124" t="str">
        <f>IF($B32="","",IF(BA$3=0,"n.b.",INDEX(SRC_ZPMW03!$A$1:$ZZ$501,$A32,BA$3)))</f>
        <v/>
      </c>
      <c r="BB32" s="124" t="str">
        <f>IF($B32="","",IF(BB$3=0,"n.b.",INDEX(SRC_ZPMW03!$A$1:$ZZ$501,$A32,BB$3)))</f>
        <v/>
      </c>
      <c r="BC32" s="124" t="str">
        <f>IF($B32="","",IF(BC$3=0,"n.b.",INDEX(SRC_ZPMW03!$A$1:$ZZ$501,$A32,BC$3)))</f>
        <v/>
      </c>
      <c r="BD32" s="124" t="str">
        <f>IF($B32="","",IF(BD$3=0,"n.b.",INDEX(SRC_ZPMW03!$A$1:$ZZ$501,$A32,BD$3)))</f>
        <v/>
      </c>
      <c r="BE32" s="124" t="str">
        <f>IF($B32="","",IF(BE$3=0,"n.b.",INDEX(SRC_ZPMW03!$A$1:$ZZ$501,$A32,BE$3)))</f>
        <v/>
      </c>
      <c r="BF32" s="124" t="str">
        <f>IF($B32="","",IF(BF$3=0,"n.b.",INDEX(SRC_ZPMW03!$A$1:$ZZ$501,$A32,BF$3)))</f>
        <v/>
      </c>
      <c r="BG32" t="str">
        <f>IF($B32="","",IF(BG$3=0,"n.b.",INDEX(SRC_ZPMW03!$A$1:$ZZ$501,$A32,BG$3)))</f>
        <v/>
      </c>
      <c r="BH32" t="str">
        <f>IF($B32="","",IF(BH$3=0,"n.b.",INDEX(SRC_ZPMW03!$A$1:$ZZ$501,$A32,BH$3)))</f>
        <v/>
      </c>
      <c r="BI32" t="str">
        <f>IF($B32="","",IF(BI$3=0,"n.b.",INDEX(SRC_ZPMW03!$A$1:$ZZ$501,$A32,BI$3)))</f>
        <v/>
      </c>
      <c r="BJ32" t="str">
        <f>IF($B32="","",IF(BJ$3=0,"n.b.",INDEX(SRC_ZPMW03!$A$1:$ZZ$501,$A32,BJ$3)))</f>
        <v/>
      </c>
      <c r="BK32" s="124" t="str">
        <f>IF($B32="","",IFERROR(-O32,"n.b."))</f>
        <v/>
      </c>
      <c r="BL32" s="124" t="str">
        <f>IF($B32="","",IFERROR(-Q32,"n.b."))</f>
        <v/>
      </c>
      <c r="BM32" s="124" t="str">
        <f>IF($B32="","",IFERROR(-AB32,"n.b."))</f>
        <v/>
      </c>
      <c r="BN32" s="124" t="str">
        <f>IF($B32="","",IFERROR(-AD32,"n.b."))</f>
        <v/>
      </c>
      <c r="BO32" s="124" t="str">
        <f>IF($B32="","",IFERROR(BK32+BM32,"n.b."))</f>
        <v/>
      </c>
      <c r="BP32" s="124" t="str">
        <f>IF($B32="","",IFERROR(BL32+BN32,"n.b."))</f>
        <v/>
      </c>
      <c r="BQ32" s="124" t="str">
        <f>IF($B32="","",IFERROR(-AM32,"n.b."))</f>
        <v/>
      </c>
      <c r="BR32" s="124" t="str">
        <f>IF($B32="","",IFERROR(-AO32,"n.b."))</f>
        <v/>
      </c>
      <c r="BS32" s="124" t="str">
        <f>IF($B32="","",IFERROR(-Z32,"n.b."))</f>
        <v/>
      </c>
      <c r="BT32" s="124" t="str">
        <f>IF($B32="","",IFERROR(-AA32,"n.b."))</f>
        <v/>
      </c>
      <c r="BU32" s="124" t="str">
        <f>IF($B32="","",IFERROR(-AE32,"n.b."))</f>
        <v/>
      </c>
      <c r="BV32" s="124" t="str">
        <f>IF($B32="","",IFERROR(-AF32,"n.b."))</f>
        <v/>
      </c>
      <c r="BW32" s="124" t="str">
        <f>IF($B32="","",IFERROR(-AG32,"n.b."))</f>
        <v/>
      </c>
      <c r="BX32" s="124" t="str">
        <f>IF($B32="","",IFERROR(-AH32,"n.b."))</f>
        <v/>
      </c>
      <c r="BY32" s="124" t="str">
        <f>IF($B32="","",IFERROR(-AI32,"n.b."))</f>
        <v/>
      </c>
      <c r="BZ32" s="124" t="str">
        <f>IF($B32="","",IFERROR(-AJ32,"n.b."))</f>
        <v/>
      </c>
      <c r="CA32" s="124" t="str">
        <f>IF($B32="","",IFERROR(-AK32,"n.b."))</f>
        <v/>
      </c>
      <c r="CB32" s="124" t="str">
        <f>IF($B32="","",IFERROR(-AL32,"n.b."))</f>
        <v/>
      </c>
      <c r="CC32" s="124" t="str">
        <f>IF($B32="","",IFERROR(-AP32,"n.b."))</f>
        <v/>
      </c>
      <c r="CD32" s="124" t="str">
        <f>IF($B32="","",IFERROR(-AQ32,"n.b."))</f>
        <v/>
      </c>
      <c r="CE32" s="124" t="str">
        <f>IF($B32="","",IFERROR(-AR32,"n.b."))</f>
        <v/>
      </c>
      <c r="CF32" s="124" t="str">
        <f>IF($B32="","",IFERROR(-AS32,"n.b."))</f>
        <v/>
      </c>
      <c r="CG32" s="124" t="str">
        <f>IF($B32="","",IFERROR(-AT32,"n.b."))</f>
        <v/>
      </c>
      <c r="CH32" s="124" t="str">
        <f>IF($B32="","",IFERROR(-AU32,"n.b."))</f>
        <v/>
      </c>
      <c r="CI32" s="124" t="str">
        <f>IF($B32="","",IFERROR(-AV32,"n.b."))</f>
        <v/>
      </c>
      <c r="CJ32" s="124" t="str">
        <f>IF($B32="","",IFERROR(-AW32,"n.b."))</f>
        <v/>
      </c>
      <c r="CK32" s="124" t="str">
        <f>IF($B32="","",IFERROR(-AX32,"n.b."))</f>
        <v/>
      </c>
      <c r="CL32" s="124" t="str">
        <f>IF($B32="","",IFERROR(-AY32,"n.b."))</f>
        <v/>
      </c>
      <c r="CM32" s="124" t="str">
        <f>IF($B32="","",IFERROR(-AZ32,"n.b."))</f>
        <v/>
      </c>
      <c r="CN32" s="124" t="str">
        <f>IF($B32="","",IFERROR(-BA32,"n.b."))</f>
        <v/>
      </c>
      <c r="CO32" s="124" t="str">
        <f>IF($B32="","",IFERROR(-BB32,"n.b."))</f>
        <v/>
      </c>
      <c r="CP32" s="124" t="str">
        <f>IF($B32="","",IFERROR(-BC32,"n.b."))</f>
        <v/>
      </c>
      <c r="CQ32" s="124" t="str">
        <f>IF($B32="","",IFERROR(-BD32,"n.b."))</f>
        <v/>
      </c>
      <c r="CR32" s="124" t="str">
        <f>IF($B32="","",IFERROR(-BE32,"n.b."))</f>
        <v/>
      </c>
      <c r="CS32" s="124" t="str">
        <f>IF($B32="","",IFERROR(IF(OR(ABS(T32+V32+X32+Z32-AB32)&gt;P_Tol,ABS(U32+W32+Y32+AA32-AD32)&gt;P_Tol,ABS(AE32+AG32+AI32+AK32-AM32)&gt;P_Tol,ABS(AF32+AH32+AJ32+AL32-AO32)&gt;P_Tol),1,0),1))</f>
        <v/>
      </c>
      <c r="CT32" s="124" t="str">
        <f>IF($B32="","",IFERROR(IF(OR(ABS(AB32+AC32-AD32)&gt;P_Tol,ABS(AM32+AN32-AO32)&gt;P_Tol,ABS(O32+P32-Q32)&gt;P_Tol),1,0),1))</f>
        <v/>
      </c>
      <c r="CU32" s="124" t="str">
        <f>IF($B32="","",IFERROR(IF(ABS(R32-(AB32+AM32+AP32+AR32+AT32+AV32+AX32+AZ32+BB32+BD32))&gt;P_Tol,1,0),1))</f>
        <v/>
      </c>
      <c r="CV32" s="124" t="str">
        <f>IF($B32="","",IFERROR(IF(ABS(M32-(N32+O32+R32))&gt;P_Tol,1,0),1))</f>
        <v/>
      </c>
      <c r="CW32" s="124" t="str">
        <f>IF($B32="","",IF(COUNTIF(Mapping!$A$5:$A$104,B32)&gt;0,1,0))</f>
        <v/>
      </c>
      <c r="CX32" s="124" t="str">
        <f>IF($B32="","",COUNTIF($B$6:$B$505,B32))</f>
        <v/>
      </c>
      <c r="CY32" s="124" t="str">
        <f>IF($B32="","",COUNTIF(STG_Woningetalage!$B$6:$B$505,B32))</f>
        <v/>
      </c>
      <c r="CZ32" s="124" t="str">
        <f>IF($B32="","",IF(CW32=0,COUNTIF($CW$6:CW32,0),""))</f>
        <v/>
      </c>
    </row>
    <row r="33">
      <c r="A33" s="15" t="n">
        <v>29</v>
      </c>
      <c r="B33" t="str">
        <f>IF(B$3=0,"",IF(INDEX(SRC_ZPMW03!$A$1:$ZZ$501,$A33,B$3)&amp;""="","",INDEX(SRC_ZPMW03!$A$1:$ZZ$501,$A33,B$3)&amp;""))</f>
        <v/>
      </c>
      <c r="C33" t="str">
        <f>IF($B33="","",IF(C$3=0,"n.b.",INDEX(SRC_ZPMW03!$A$1:$ZZ$501,$A33,C$3)))</f>
        <v/>
      </c>
      <c r="D33" t="str">
        <f>IF($B33="","",IF(D$3=0,"n.b.",INDEX(SRC_ZPMW03!$A$1:$ZZ$501,$A33,D$3)))</f>
        <v/>
      </c>
      <c r="E33" t="str">
        <f>IF($B33="","",IF(E$3=0,"n.b.",INDEX(SRC_ZPMW03!$A$1:$ZZ$501,$A33,E$3)))</f>
        <v/>
      </c>
      <c r="F33" t="str">
        <f>IF($B33="","",IF(F$3=0,"n.b.",INDEX(SRC_ZPMW03!$A$1:$ZZ$501,$A33,F$3)))</f>
        <v/>
      </c>
      <c r="G33" t="str">
        <f>IF($B33="","",IF(G$3=0,"n.b.",INDEX(SRC_ZPMW03!$A$1:$ZZ$501,$A33,G$3)))</f>
        <v/>
      </c>
      <c r="H33" t="str">
        <f>IF($B33="","",IF(H$3=0,"n.b.",INDEX(SRC_ZPMW03!$A$1:$ZZ$501,$A33,H$3)))</f>
        <v/>
      </c>
      <c r="I33" t="str">
        <f>IF($B33="","",IF(I$3=0,"n.b.",INDEX(SRC_ZPMW03!$A$1:$ZZ$501,$A33,I$3)))</f>
        <v/>
      </c>
      <c r="J33" t="str">
        <f>IF($B33="","",IF(J$3=0,"n.b.",INDEX(SRC_ZPMW03!$A$1:$ZZ$501,$A33,J$3)))</f>
        <v/>
      </c>
      <c r="K33" t="str">
        <f>IF($B33="","",IF(K$3=0,"n.b.",INDEX(SRC_ZPMW03!$A$1:$ZZ$501,$A33,K$3)))</f>
        <v/>
      </c>
      <c r="L33" s="124" t="str">
        <f>IF($B33="","",IF(L$3=0,"n.b.",INDEX(SRC_ZPMW03!$A$1:$ZZ$501,$A33,L$3)))</f>
        <v/>
      </c>
      <c r="M33" s="124" t="str">
        <f>IF($B33="","",IF(M$3=0,"n.b.",INDEX(SRC_ZPMW03!$A$1:$ZZ$501,$A33,M$3)))</f>
        <v/>
      </c>
      <c r="N33" s="124" t="str">
        <f>IF($B33="","",IF(N$3=0,"n.b.",INDEX(SRC_ZPMW03!$A$1:$ZZ$501,$A33,N$3)))</f>
        <v/>
      </c>
      <c r="O33" s="124" t="str">
        <f>IF($B33="","",IF(O$3=0,"n.b.",INDEX(SRC_ZPMW03!$A$1:$ZZ$501,$A33,O$3)))</f>
        <v/>
      </c>
      <c r="P33" s="124" t="str">
        <f>IF($B33="","",IF(P$3=0,"n.b.",INDEX(SRC_ZPMW03!$A$1:$ZZ$501,$A33,P$3)))</f>
        <v/>
      </c>
      <c r="Q33" s="124" t="str">
        <f>IF($B33="","",IF(Q$3=0,"n.b.",INDEX(SRC_ZPMW03!$A$1:$ZZ$501,$A33,Q$3)))</f>
        <v/>
      </c>
      <c r="R33" s="124" t="str">
        <f>IF($B33="","",IF(R$3=0,"n.b.",INDEX(SRC_ZPMW03!$A$1:$ZZ$501,$A33,R$3)))</f>
        <v/>
      </c>
      <c r="S33" s="124" t="str">
        <f>IF($B33="","",IF(S$3=0,"n.b.",INDEX(SRC_ZPMW03!$A$1:$ZZ$501,$A33,S$3)))</f>
        <v/>
      </c>
      <c r="T33" s="124" t="str">
        <f>IF($B33="","",IF(T$3=0,"n.b.",INDEX(SRC_ZPMW03!$A$1:$ZZ$501,$A33,T$3)))</f>
        <v/>
      </c>
      <c r="U33" s="124" t="str">
        <f>IF($B33="","",IF(U$3=0,"n.b.",INDEX(SRC_ZPMW03!$A$1:$ZZ$501,$A33,U$3)))</f>
        <v/>
      </c>
      <c r="V33" s="124" t="str">
        <f>IF($B33="","",IF(V$3=0,"n.b.",INDEX(SRC_ZPMW03!$A$1:$ZZ$501,$A33,V$3)))</f>
        <v/>
      </c>
      <c r="W33" s="124" t="str">
        <f>IF($B33="","",IF(W$3=0,"n.b.",INDEX(SRC_ZPMW03!$A$1:$ZZ$501,$A33,W$3)))</f>
        <v/>
      </c>
      <c r="X33" s="124" t="str">
        <f>IF($B33="","",IF(X$3=0,"n.b.",INDEX(SRC_ZPMW03!$A$1:$ZZ$501,$A33,X$3)))</f>
        <v/>
      </c>
      <c r="Y33" s="124" t="str">
        <f>IF($B33="","",IF(Y$3=0,"n.b.",INDEX(SRC_ZPMW03!$A$1:$ZZ$501,$A33,Y$3)))</f>
        <v/>
      </c>
      <c r="Z33" s="124" t="str">
        <f>IF($B33="","",IF(Z$3=0,"n.b.",INDEX(SRC_ZPMW03!$A$1:$ZZ$501,$A33,Z$3)))</f>
        <v/>
      </c>
      <c r="AA33" s="124" t="str">
        <f>IF($B33="","",IF(AA$3=0,"n.b.",INDEX(SRC_ZPMW03!$A$1:$ZZ$501,$A33,AA$3)))</f>
        <v/>
      </c>
      <c r="AB33" s="124" t="str">
        <f>IF($B33="","",IF(AB$3=0,"n.b.",INDEX(SRC_ZPMW03!$A$1:$ZZ$501,$A33,AB$3)))</f>
        <v/>
      </c>
      <c r="AC33" s="124" t="str">
        <f>IF($B33="","",IF(AC$3=0,"n.b.",INDEX(SRC_ZPMW03!$A$1:$ZZ$501,$A33,AC$3)))</f>
        <v/>
      </c>
      <c r="AD33" s="124" t="str">
        <f>IF($B33="","",IF(AD$3=0,"n.b.",INDEX(SRC_ZPMW03!$A$1:$ZZ$501,$A33,AD$3)))</f>
        <v/>
      </c>
      <c r="AE33" s="124" t="str">
        <f>IF($B33="","",IF(AE$3=0,"n.b.",INDEX(SRC_ZPMW03!$A$1:$ZZ$501,$A33,AE$3)))</f>
        <v/>
      </c>
      <c r="AF33" s="124" t="str">
        <f>IF($B33="","",IF(AF$3=0,"n.b.",INDEX(SRC_ZPMW03!$A$1:$ZZ$501,$A33,AF$3)))</f>
        <v/>
      </c>
      <c r="AG33" s="124" t="str">
        <f>IF($B33="","",IF(AG$3=0,"n.b.",INDEX(SRC_ZPMW03!$A$1:$ZZ$501,$A33,AG$3)))</f>
        <v/>
      </c>
      <c r="AH33" s="124" t="str">
        <f>IF($B33="","",IF(AH$3=0,"n.b.",INDEX(SRC_ZPMW03!$A$1:$ZZ$501,$A33,AH$3)))</f>
        <v/>
      </c>
      <c r="AI33" s="124" t="str">
        <f>IF($B33="","",IF(AI$3=0,"n.b.",INDEX(SRC_ZPMW03!$A$1:$ZZ$501,$A33,AI$3)))</f>
        <v/>
      </c>
      <c r="AJ33" s="124" t="str">
        <f>IF($B33="","",IF(AJ$3=0,"n.b.",INDEX(SRC_ZPMW03!$A$1:$ZZ$501,$A33,AJ$3)))</f>
        <v/>
      </c>
      <c r="AK33" s="124" t="str">
        <f>IF($B33="","",IF(AK$3=0,"n.b.",INDEX(SRC_ZPMW03!$A$1:$ZZ$501,$A33,AK$3)))</f>
        <v/>
      </c>
      <c r="AL33" s="124" t="str">
        <f>IF($B33="","",IF(AL$3=0,"n.b.",INDEX(SRC_ZPMW03!$A$1:$ZZ$501,$A33,AL$3)))</f>
        <v/>
      </c>
      <c r="AM33" s="124" t="str">
        <f>IF($B33="","",IF(AM$3=0,"n.b.",INDEX(SRC_ZPMW03!$A$1:$ZZ$501,$A33,AM$3)))</f>
        <v/>
      </c>
      <c r="AN33" s="124" t="str">
        <f>IF($B33="","",IF(AN$3=0,"n.b.",INDEX(SRC_ZPMW03!$A$1:$ZZ$501,$A33,AN$3)))</f>
        <v/>
      </c>
      <c r="AO33" s="124" t="str">
        <f>IF($B33="","",IF(AO$3=0,"n.b.",INDEX(SRC_ZPMW03!$A$1:$ZZ$501,$A33,AO$3)))</f>
        <v/>
      </c>
      <c r="AP33" s="124" t="str">
        <f>IF($B33="","",IF(AP$3=0,"n.b.",INDEX(SRC_ZPMW03!$A$1:$ZZ$501,$A33,AP$3)))</f>
        <v/>
      </c>
      <c r="AQ33" s="124" t="str">
        <f>IF($B33="","",IF(AQ$3=0,"n.b.",INDEX(SRC_ZPMW03!$A$1:$ZZ$501,$A33,AQ$3)))</f>
        <v/>
      </c>
      <c r="AR33" s="124" t="str">
        <f>IF($B33="","",IF(AR$3=0,"n.b.",INDEX(SRC_ZPMW03!$A$1:$ZZ$501,$A33,AR$3)))</f>
        <v/>
      </c>
      <c r="AS33" s="124" t="str">
        <f>IF($B33="","",IF(AS$3=0,"n.b.",INDEX(SRC_ZPMW03!$A$1:$ZZ$501,$A33,AS$3)))</f>
        <v/>
      </c>
      <c r="AT33" s="124" t="str">
        <f>IF($B33="","",IF(AT$3=0,"n.b.",INDEX(SRC_ZPMW03!$A$1:$ZZ$501,$A33,AT$3)))</f>
        <v/>
      </c>
      <c r="AU33" s="124" t="str">
        <f>IF($B33="","",IF(AU$3=0,"n.b.",INDEX(SRC_ZPMW03!$A$1:$ZZ$501,$A33,AU$3)))</f>
        <v/>
      </c>
      <c r="AV33" s="124" t="str">
        <f>IF($B33="","",IF(AV$3=0,"n.b.",INDEX(SRC_ZPMW03!$A$1:$ZZ$501,$A33,AV$3)))</f>
        <v/>
      </c>
      <c r="AW33" s="124" t="str">
        <f>IF($B33="","",IF(AW$3=0,"n.b.",INDEX(SRC_ZPMW03!$A$1:$ZZ$501,$A33,AW$3)))</f>
        <v/>
      </c>
      <c r="AX33" s="124" t="str">
        <f>IF($B33="","",IF(AX$3=0,"n.b.",INDEX(SRC_ZPMW03!$A$1:$ZZ$501,$A33,AX$3)))</f>
        <v/>
      </c>
      <c r="AY33" s="124" t="str">
        <f>IF($B33="","",IF(AY$3=0,"n.b.",INDEX(SRC_ZPMW03!$A$1:$ZZ$501,$A33,AY$3)))</f>
        <v/>
      </c>
      <c r="AZ33" s="124" t="str">
        <f>IF($B33="","",IF(AZ$3=0,"n.b.",INDEX(SRC_ZPMW03!$A$1:$ZZ$501,$A33,AZ$3)))</f>
        <v/>
      </c>
      <c r="BA33" s="124" t="str">
        <f>IF($B33="","",IF(BA$3=0,"n.b.",INDEX(SRC_ZPMW03!$A$1:$ZZ$501,$A33,BA$3)))</f>
        <v/>
      </c>
      <c r="BB33" s="124" t="str">
        <f>IF($B33="","",IF(BB$3=0,"n.b.",INDEX(SRC_ZPMW03!$A$1:$ZZ$501,$A33,BB$3)))</f>
        <v/>
      </c>
      <c r="BC33" s="124" t="str">
        <f>IF($B33="","",IF(BC$3=0,"n.b.",INDEX(SRC_ZPMW03!$A$1:$ZZ$501,$A33,BC$3)))</f>
        <v/>
      </c>
      <c r="BD33" s="124" t="str">
        <f>IF($B33="","",IF(BD$3=0,"n.b.",INDEX(SRC_ZPMW03!$A$1:$ZZ$501,$A33,BD$3)))</f>
        <v/>
      </c>
      <c r="BE33" s="124" t="str">
        <f>IF($B33="","",IF(BE$3=0,"n.b.",INDEX(SRC_ZPMW03!$A$1:$ZZ$501,$A33,BE$3)))</f>
        <v/>
      </c>
      <c r="BF33" s="124" t="str">
        <f>IF($B33="","",IF(BF$3=0,"n.b.",INDEX(SRC_ZPMW03!$A$1:$ZZ$501,$A33,BF$3)))</f>
        <v/>
      </c>
      <c r="BG33" t="str">
        <f>IF($B33="","",IF(BG$3=0,"n.b.",INDEX(SRC_ZPMW03!$A$1:$ZZ$501,$A33,BG$3)))</f>
        <v/>
      </c>
      <c r="BH33" t="str">
        <f>IF($B33="","",IF(BH$3=0,"n.b.",INDEX(SRC_ZPMW03!$A$1:$ZZ$501,$A33,BH$3)))</f>
        <v/>
      </c>
      <c r="BI33" t="str">
        <f>IF($B33="","",IF(BI$3=0,"n.b.",INDEX(SRC_ZPMW03!$A$1:$ZZ$501,$A33,BI$3)))</f>
        <v/>
      </c>
      <c r="BJ33" t="str">
        <f>IF($B33="","",IF(BJ$3=0,"n.b.",INDEX(SRC_ZPMW03!$A$1:$ZZ$501,$A33,BJ$3)))</f>
        <v/>
      </c>
      <c r="BK33" s="124" t="str">
        <f>IF($B33="","",IFERROR(-O33,"n.b."))</f>
        <v/>
      </c>
      <c r="BL33" s="124" t="str">
        <f>IF($B33="","",IFERROR(-Q33,"n.b."))</f>
        <v/>
      </c>
      <c r="BM33" s="124" t="str">
        <f>IF($B33="","",IFERROR(-AB33,"n.b."))</f>
        <v/>
      </c>
      <c r="BN33" s="124" t="str">
        <f>IF($B33="","",IFERROR(-AD33,"n.b."))</f>
        <v/>
      </c>
      <c r="BO33" s="124" t="str">
        <f>IF($B33="","",IFERROR(BK33+BM33,"n.b."))</f>
        <v/>
      </c>
      <c r="BP33" s="124" t="str">
        <f>IF($B33="","",IFERROR(BL33+BN33,"n.b."))</f>
        <v/>
      </c>
      <c r="BQ33" s="124" t="str">
        <f>IF($B33="","",IFERROR(-AM33,"n.b."))</f>
        <v/>
      </c>
      <c r="BR33" s="124" t="str">
        <f>IF($B33="","",IFERROR(-AO33,"n.b."))</f>
        <v/>
      </c>
      <c r="BS33" s="124" t="str">
        <f>IF($B33="","",IFERROR(-Z33,"n.b."))</f>
        <v/>
      </c>
      <c r="BT33" s="124" t="str">
        <f>IF($B33="","",IFERROR(-AA33,"n.b."))</f>
        <v/>
      </c>
      <c r="BU33" s="124" t="str">
        <f>IF($B33="","",IFERROR(-AE33,"n.b."))</f>
        <v/>
      </c>
      <c r="BV33" s="124" t="str">
        <f>IF($B33="","",IFERROR(-AF33,"n.b."))</f>
        <v/>
      </c>
      <c r="BW33" s="124" t="str">
        <f>IF($B33="","",IFERROR(-AG33,"n.b."))</f>
        <v/>
      </c>
      <c r="BX33" s="124" t="str">
        <f>IF($B33="","",IFERROR(-AH33,"n.b."))</f>
        <v/>
      </c>
      <c r="BY33" s="124" t="str">
        <f>IF($B33="","",IFERROR(-AI33,"n.b."))</f>
        <v/>
      </c>
      <c r="BZ33" s="124" t="str">
        <f>IF($B33="","",IFERROR(-AJ33,"n.b."))</f>
        <v/>
      </c>
      <c r="CA33" s="124" t="str">
        <f>IF($B33="","",IFERROR(-AK33,"n.b."))</f>
        <v/>
      </c>
      <c r="CB33" s="124" t="str">
        <f>IF($B33="","",IFERROR(-AL33,"n.b."))</f>
        <v/>
      </c>
      <c r="CC33" s="124" t="str">
        <f>IF($B33="","",IFERROR(-AP33,"n.b."))</f>
        <v/>
      </c>
      <c r="CD33" s="124" t="str">
        <f>IF($B33="","",IFERROR(-AQ33,"n.b."))</f>
        <v/>
      </c>
      <c r="CE33" s="124" t="str">
        <f>IF($B33="","",IFERROR(-AR33,"n.b."))</f>
        <v/>
      </c>
      <c r="CF33" s="124" t="str">
        <f>IF($B33="","",IFERROR(-AS33,"n.b."))</f>
        <v/>
      </c>
      <c r="CG33" s="124" t="str">
        <f>IF($B33="","",IFERROR(-AT33,"n.b."))</f>
        <v/>
      </c>
      <c r="CH33" s="124" t="str">
        <f>IF($B33="","",IFERROR(-AU33,"n.b."))</f>
        <v/>
      </c>
      <c r="CI33" s="124" t="str">
        <f>IF($B33="","",IFERROR(-AV33,"n.b."))</f>
        <v/>
      </c>
      <c r="CJ33" s="124" t="str">
        <f>IF($B33="","",IFERROR(-AW33,"n.b."))</f>
        <v/>
      </c>
      <c r="CK33" s="124" t="str">
        <f>IF($B33="","",IFERROR(-AX33,"n.b."))</f>
        <v/>
      </c>
      <c r="CL33" s="124" t="str">
        <f>IF($B33="","",IFERROR(-AY33,"n.b."))</f>
        <v/>
      </c>
      <c r="CM33" s="124" t="str">
        <f>IF($B33="","",IFERROR(-AZ33,"n.b."))</f>
        <v/>
      </c>
      <c r="CN33" s="124" t="str">
        <f>IF($B33="","",IFERROR(-BA33,"n.b."))</f>
        <v/>
      </c>
      <c r="CO33" s="124" t="str">
        <f>IF($B33="","",IFERROR(-BB33,"n.b."))</f>
        <v/>
      </c>
      <c r="CP33" s="124" t="str">
        <f>IF($B33="","",IFERROR(-BC33,"n.b."))</f>
        <v/>
      </c>
      <c r="CQ33" s="124" t="str">
        <f>IF($B33="","",IFERROR(-BD33,"n.b."))</f>
        <v/>
      </c>
      <c r="CR33" s="124" t="str">
        <f>IF($B33="","",IFERROR(-BE33,"n.b."))</f>
        <v/>
      </c>
      <c r="CS33" s="124" t="str">
        <f>IF($B33="","",IFERROR(IF(OR(ABS(T33+V33+X33+Z33-AB33)&gt;P_Tol,ABS(U33+W33+Y33+AA33-AD33)&gt;P_Tol,ABS(AE33+AG33+AI33+AK33-AM33)&gt;P_Tol,ABS(AF33+AH33+AJ33+AL33-AO33)&gt;P_Tol),1,0),1))</f>
        <v/>
      </c>
      <c r="CT33" s="124" t="str">
        <f>IF($B33="","",IFERROR(IF(OR(ABS(AB33+AC33-AD33)&gt;P_Tol,ABS(AM33+AN33-AO33)&gt;P_Tol,ABS(O33+P33-Q33)&gt;P_Tol),1,0),1))</f>
        <v/>
      </c>
      <c r="CU33" s="124" t="str">
        <f>IF($B33="","",IFERROR(IF(ABS(R33-(AB33+AM33+AP33+AR33+AT33+AV33+AX33+AZ33+BB33+BD33))&gt;P_Tol,1,0),1))</f>
        <v/>
      </c>
      <c r="CV33" s="124" t="str">
        <f>IF($B33="","",IFERROR(IF(ABS(M33-(N33+O33+R33))&gt;P_Tol,1,0),1))</f>
        <v/>
      </c>
      <c r="CW33" s="124" t="str">
        <f>IF($B33="","",IF(COUNTIF(Mapping!$A$5:$A$104,B33)&gt;0,1,0))</f>
        <v/>
      </c>
      <c r="CX33" s="124" t="str">
        <f>IF($B33="","",COUNTIF($B$6:$B$505,B33))</f>
        <v/>
      </c>
      <c r="CY33" s="124" t="str">
        <f>IF($B33="","",COUNTIF(STG_Woningetalage!$B$6:$B$505,B33))</f>
        <v/>
      </c>
      <c r="CZ33" s="124" t="str">
        <f>IF($B33="","",IF(CW33=0,COUNTIF($CW$6:CW33,0),""))</f>
        <v/>
      </c>
    </row>
    <row r="34">
      <c r="A34" s="15" t="n">
        <v>30</v>
      </c>
      <c r="B34" t="str">
        <f>IF(B$3=0,"",IF(INDEX(SRC_ZPMW03!$A$1:$ZZ$501,$A34,B$3)&amp;""="","",INDEX(SRC_ZPMW03!$A$1:$ZZ$501,$A34,B$3)&amp;""))</f>
        <v/>
      </c>
      <c r="C34" t="str">
        <f>IF($B34="","",IF(C$3=0,"n.b.",INDEX(SRC_ZPMW03!$A$1:$ZZ$501,$A34,C$3)))</f>
        <v/>
      </c>
      <c r="D34" t="str">
        <f>IF($B34="","",IF(D$3=0,"n.b.",INDEX(SRC_ZPMW03!$A$1:$ZZ$501,$A34,D$3)))</f>
        <v/>
      </c>
      <c r="E34" t="str">
        <f>IF($B34="","",IF(E$3=0,"n.b.",INDEX(SRC_ZPMW03!$A$1:$ZZ$501,$A34,E$3)))</f>
        <v/>
      </c>
      <c r="F34" t="str">
        <f>IF($B34="","",IF(F$3=0,"n.b.",INDEX(SRC_ZPMW03!$A$1:$ZZ$501,$A34,F$3)))</f>
        <v/>
      </c>
      <c r="G34" t="str">
        <f>IF($B34="","",IF(G$3=0,"n.b.",INDEX(SRC_ZPMW03!$A$1:$ZZ$501,$A34,G$3)))</f>
        <v/>
      </c>
      <c r="H34" t="str">
        <f>IF($B34="","",IF(H$3=0,"n.b.",INDEX(SRC_ZPMW03!$A$1:$ZZ$501,$A34,H$3)))</f>
        <v/>
      </c>
      <c r="I34" t="str">
        <f>IF($B34="","",IF(I$3=0,"n.b.",INDEX(SRC_ZPMW03!$A$1:$ZZ$501,$A34,I$3)))</f>
        <v/>
      </c>
      <c r="J34" t="str">
        <f>IF($B34="","",IF(J$3=0,"n.b.",INDEX(SRC_ZPMW03!$A$1:$ZZ$501,$A34,J$3)))</f>
        <v/>
      </c>
      <c r="K34" t="str">
        <f>IF($B34="","",IF(K$3=0,"n.b.",INDEX(SRC_ZPMW03!$A$1:$ZZ$501,$A34,K$3)))</f>
        <v/>
      </c>
      <c r="L34" s="124" t="str">
        <f>IF($B34="","",IF(L$3=0,"n.b.",INDEX(SRC_ZPMW03!$A$1:$ZZ$501,$A34,L$3)))</f>
        <v/>
      </c>
      <c r="M34" s="124" t="str">
        <f>IF($B34="","",IF(M$3=0,"n.b.",INDEX(SRC_ZPMW03!$A$1:$ZZ$501,$A34,M$3)))</f>
        <v/>
      </c>
      <c r="N34" s="124" t="str">
        <f>IF($B34="","",IF(N$3=0,"n.b.",INDEX(SRC_ZPMW03!$A$1:$ZZ$501,$A34,N$3)))</f>
        <v/>
      </c>
      <c r="O34" s="124" t="str">
        <f>IF($B34="","",IF(O$3=0,"n.b.",INDEX(SRC_ZPMW03!$A$1:$ZZ$501,$A34,O$3)))</f>
        <v/>
      </c>
      <c r="P34" s="124" t="str">
        <f>IF($B34="","",IF(P$3=0,"n.b.",INDEX(SRC_ZPMW03!$A$1:$ZZ$501,$A34,P$3)))</f>
        <v/>
      </c>
      <c r="Q34" s="124" t="str">
        <f>IF($B34="","",IF(Q$3=0,"n.b.",INDEX(SRC_ZPMW03!$A$1:$ZZ$501,$A34,Q$3)))</f>
        <v/>
      </c>
      <c r="R34" s="124" t="str">
        <f>IF($B34="","",IF(R$3=0,"n.b.",INDEX(SRC_ZPMW03!$A$1:$ZZ$501,$A34,R$3)))</f>
        <v/>
      </c>
      <c r="S34" s="124" t="str">
        <f>IF($B34="","",IF(S$3=0,"n.b.",INDEX(SRC_ZPMW03!$A$1:$ZZ$501,$A34,S$3)))</f>
        <v/>
      </c>
      <c r="T34" s="124" t="str">
        <f>IF($B34="","",IF(T$3=0,"n.b.",INDEX(SRC_ZPMW03!$A$1:$ZZ$501,$A34,T$3)))</f>
        <v/>
      </c>
      <c r="U34" s="124" t="str">
        <f>IF($B34="","",IF(U$3=0,"n.b.",INDEX(SRC_ZPMW03!$A$1:$ZZ$501,$A34,U$3)))</f>
        <v/>
      </c>
      <c r="V34" s="124" t="str">
        <f>IF($B34="","",IF(V$3=0,"n.b.",INDEX(SRC_ZPMW03!$A$1:$ZZ$501,$A34,V$3)))</f>
        <v/>
      </c>
      <c r="W34" s="124" t="str">
        <f>IF($B34="","",IF(W$3=0,"n.b.",INDEX(SRC_ZPMW03!$A$1:$ZZ$501,$A34,W$3)))</f>
        <v/>
      </c>
      <c r="X34" s="124" t="str">
        <f>IF($B34="","",IF(X$3=0,"n.b.",INDEX(SRC_ZPMW03!$A$1:$ZZ$501,$A34,X$3)))</f>
        <v/>
      </c>
      <c r="Y34" s="124" t="str">
        <f>IF($B34="","",IF(Y$3=0,"n.b.",INDEX(SRC_ZPMW03!$A$1:$ZZ$501,$A34,Y$3)))</f>
        <v/>
      </c>
      <c r="Z34" s="124" t="str">
        <f>IF($B34="","",IF(Z$3=0,"n.b.",INDEX(SRC_ZPMW03!$A$1:$ZZ$501,$A34,Z$3)))</f>
        <v/>
      </c>
      <c r="AA34" s="124" t="str">
        <f>IF($B34="","",IF(AA$3=0,"n.b.",INDEX(SRC_ZPMW03!$A$1:$ZZ$501,$A34,AA$3)))</f>
        <v/>
      </c>
      <c r="AB34" s="124" t="str">
        <f>IF($B34="","",IF(AB$3=0,"n.b.",INDEX(SRC_ZPMW03!$A$1:$ZZ$501,$A34,AB$3)))</f>
        <v/>
      </c>
      <c r="AC34" s="124" t="str">
        <f>IF($B34="","",IF(AC$3=0,"n.b.",INDEX(SRC_ZPMW03!$A$1:$ZZ$501,$A34,AC$3)))</f>
        <v/>
      </c>
      <c r="AD34" s="124" t="str">
        <f>IF($B34="","",IF(AD$3=0,"n.b.",INDEX(SRC_ZPMW03!$A$1:$ZZ$501,$A34,AD$3)))</f>
        <v/>
      </c>
      <c r="AE34" s="124" t="str">
        <f>IF($B34="","",IF(AE$3=0,"n.b.",INDEX(SRC_ZPMW03!$A$1:$ZZ$501,$A34,AE$3)))</f>
        <v/>
      </c>
      <c r="AF34" s="124" t="str">
        <f>IF($B34="","",IF(AF$3=0,"n.b.",INDEX(SRC_ZPMW03!$A$1:$ZZ$501,$A34,AF$3)))</f>
        <v/>
      </c>
      <c r="AG34" s="124" t="str">
        <f>IF($B34="","",IF(AG$3=0,"n.b.",INDEX(SRC_ZPMW03!$A$1:$ZZ$501,$A34,AG$3)))</f>
        <v/>
      </c>
      <c r="AH34" s="124" t="str">
        <f>IF($B34="","",IF(AH$3=0,"n.b.",INDEX(SRC_ZPMW03!$A$1:$ZZ$501,$A34,AH$3)))</f>
        <v/>
      </c>
      <c r="AI34" s="124" t="str">
        <f>IF($B34="","",IF(AI$3=0,"n.b.",INDEX(SRC_ZPMW03!$A$1:$ZZ$501,$A34,AI$3)))</f>
        <v/>
      </c>
      <c r="AJ34" s="124" t="str">
        <f>IF($B34="","",IF(AJ$3=0,"n.b.",INDEX(SRC_ZPMW03!$A$1:$ZZ$501,$A34,AJ$3)))</f>
        <v/>
      </c>
      <c r="AK34" s="124" t="str">
        <f>IF($B34="","",IF(AK$3=0,"n.b.",INDEX(SRC_ZPMW03!$A$1:$ZZ$501,$A34,AK$3)))</f>
        <v/>
      </c>
      <c r="AL34" s="124" t="str">
        <f>IF($B34="","",IF(AL$3=0,"n.b.",INDEX(SRC_ZPMW03!$A$1:$ZZ$501,$A34,AL$3)))</f>
        <v/>
      </c>
      <c r="AM34" s="124" t="str">
        <f>IF($B34="","",IF(AM$3=0,"n.b.",INDEX(SRC_ZPMW03!$A$1:$ZZ$501,$A34,AM$3)))</f>
        <v/>
      </c>
      <c r="AN34" s="124" t="str">
        <f>IF($B34="","",IF(AN$3=0,"n.b.",INDEX(SRC_ZPMW03!$A$1:$ZZ$501,$A34,AN$3)))</f>
        <v/>
      </c>
      <c r="AO34" s="124" t="str">
        <f>IF($B34="","",IF(AO$3=0,"n.b.",INDEX(SRC_ZPMW03!$A$1:$ZZ$501,$A34,AO$3)))</f>
        <v/>
      </c>
      <c r="AP34" s="124" t="str">
        <f>IF($B34="","",IF(AP$3=0,"n.b.",INDEX(SRC_ZPMW03!$A$1:$ZZ$501,$A34,AP$3)))</f>
        <v/>
      </c>
      <c r="AQ34" s="124" t="str">
        <f>IF($B34="","",IF(AQ$3=0,"n.b.",INDEX(SRC_ZPMW03!$A$1:$ZZ$501,$A34,AQ$3)))</f>
        <v/>
      </c>
      <c r="AR34" s="124" t="str">
        <f>IF($B34="","",IF(AR$3=0,"n.b.",INDEX(SRC_ZPMW03!$A$1:$ZZ$501,$A34,AR$3)))</f>
        <v/>
      </c>
      <c r="AS34" s="124" t="str">
        <f>IF($B34="","",IF(AS$3=0,"n.b.",INDEX(SRC_ZPMW03!$A$1:$ZZ$501,$A34,AS$3)))</f>
        <v/>
      </c>
      <c r="AT34" s="124" t="str">
        <f>IF($B34="","",IF(AT$3=0,"n.b.",INDEX(SRC_ZPMW03!$A$1:$ZZ$501,$A34,AT$3)))</f>
        <v/>
      </c>
      <c r="AU34" s="124" t="str">
        <f>IF($B34="","",IF(AU$3=0,"n.b.",INDEX(SRC_ZPMW03!$A$1:$ZZ$501,$A34,AU$3)))</f>
        <v/>
      </c>
      <c r="AV34" s="124" t="str">
        <f>IF($B34="","",IF(AV$3=0,"n.b.",INDEX(SRC_ZPMW03!$A$1:$ZZ$501,$A34,AV$3)))</f>
        <v/>
      </c>
      <c r="AW34" s="124" t="str">
        <f>IF($B34="","",IF(AW$3=0,"n.b.",INDEX(SRC_ZPMW03!$A$1:$ZZ$501,$A34,AW$3)))</f>
        <v/>
      </c>
      <c r="AX34" s="124" t="str">
        <f>IF($B34="","",IF(AX$3=0,"n.b.",INDEX(SRC_ZPMW03!$A$1:$ZZ$501,$A34,AX$3)))</f>
        <v/>
      </c>
      <c r="AY34" s="124" t="str">
        <f>IF($B34="","",IF(AY$3=0,"n.b.",INDEX(SRC_ZPMW03!$A$1:$ZZ$501,$A34,AY$3)))</f>
        <v/>
      </c>
      <c r="AZ34" s="124" t="str">
        <f>IF($B34="","",IF(AZ$3=0,"n.b.",INDEX(SRC_ZPMW03!$A$1:$ZZ$501,$A34,AZ$3)))</f>
        <v/>
      </c>
      <c r="BA34" s="124" t="str">
        <f>IF($B34="","",IF(BA$3=0,"n.b.",INDEX(SRC_ZPMW03!$A$1:$ZZ$501,$A34,BA$3)))</f>
        <v/>
      </c>
      <c r="BB34" s="124" t="str">
        <f>IF($B34="","",IF(BB$3=0,"n.b.",INDEX(SRC_ZPMW03!$A$1:$ZZ$501,$A34,BB$3)))</f>
        <v/>
      </c>
      <c r="BC34" s="124" t="str">
        <f>IF($B34="","",IF(BC$3=0,"n.b.",INDEX(SRC_ZPMW03!$A$1:$ZZ$501,$A34,BC$3)))</f>
        <v/>
      </c>
      <c r="BD34" s="124" t="str">
        <f>IF($B34="","",IF(BD$3=0,"n.b.",INDEX(SRC_ZPMW03!$A$1:$ZZ$501,$A34,BD$3)))</f>
        <v/>
      </c>
      <c r="BE34" s="124" t="str">
        <f>IF($B34="","",IF(BE$3=0,"n.b.",INDEX(SRC_ZPMW03!$A$1:$ZZ$501,$A34,BE$3)))</f>
        <v/>
      </c>
      <c r="BF34" s="124" t="str">
        <f>IF($B34="","",IF(BF$3=0,"n.b.",INDEX(SRC_ZPMW03!$A$1:$ZZ$501,$A34,BF$3)))</f>
        <v/>
      </c>
      <c r="BG34" t="str">
        <f>IF($B34="","",IF(BG$3=0,"n.b.",INDEX(SRC_ZPMW03!$A$1:$ZZ$501,$A34,BG$3)))</f>
        <v/>
      </c>
      <c r="BH34" t="str">
        <f>IF($B34="","",IF(BH$3=0,"n.b.",INDEX(SRC_ZPMW03!$A$1:$ZZ$501,$A34,BH$3)))</f>
        <v/>
      </c>
      <c r="BI34" t="str">
        <f>IF($B34="","",IF(BI$3=0,"n.b.",INDEX(SRC_ZPMW03!$A$1:$ZZ$501,$A34,BI$3)))</f>
        <v/>
      </c>
      <c r="BJ34" t="str">
        <f>IF($B34="","",IF(BJ$3=0,"n.b.",INDEX(SRC_ZPMW03!$A$1:$ZZ$501,$A34,BJ$3)))</f>
        <v/>
      </c>
      <c r="BK34" s="124" t="str">
        <f>IF($B34="","",IFERROR(-O34,"n.b."))</f>
        <v/>
      </c>
      <c r="BL34" s="124" t="str">
        <f>IF($B34="","",IFERROR(-Q34,"n.b."))</f>
        <v/>
      </c>
      <c r="BM34" s="124" t="str">
        <f>IF($B34="","",IFERROR(-AB34,"n.b."))</f>
        <v/>
      </c>
      <c r="BN34" s="124" t="str">
        <f>IF($B34="","",IFERROR(-AD34,"n.b."))</f>
        <v/>
      </c>
      <c r="BO34" s="124" t="str">
        <f>IF($B34="","",IFERROR(BK34+BM34,"n.b."))</f>
        <v/>
      </c>
      <c r="BP34" s="124" t="str">
        <f>IF($B34="","",IFERROR(BL34+BN34,"n.b."))</f>
        <v/>
      </c>
      <c r="BQ34" s="124" t="str">
        <f>IF($B34="","",IFERROR(-AM34,"n.b."))</f>
        <v/>
      </c>
      <c r="BR34" s="124" t="str">
        <f>IF($B34="","",IFERROR(-AO34,"n.b."))</f>
        <v/>
      </c>
      <c r="BS34" s="124" t="str">
        <f>IF($B34="","",IFERROR(-Z34,"n.b."))</f>
        <v/>
      </c>
      <c r="BT34" s="124" t="str">
        <f>IF($B34="","",IFERROR(-AA34,"n.b."))</f>
        <v/>
      </c>
      <c r="BU34" s="124" t="str">
        <f>IF($B34="","",IFERROR(-AE34,"n.b."))</f>
        <v/>
      </c>
      <c r="BV34" s="124" t="str">
        <f>IF($B34="","",IFERROR(-AF34,"n.b."))</f>
        <v/>
      </c>
      <c r="BW34" s="124" t="str">
        <f>IF($B34="","",IFERROR(-AG34,"n.b."))</f>
        <v/>
      </c>
      <c r="BX34" s="124" t="str">
        <f>IF($B34="","",IFERROR(-AH34,"n.b."))</f>
        <v/>
      </c>
      <c r="BY34" s="124" t="str">
        <f>IF($B34="","",IFERROR(-AI34,"n.b."))</f>
        <v/>
      </c>
      <c r="BZ34" s="124" t="str">
        <f>IF($B34="","",IFERROR(-AJ34,"n.b."))</f>
        <v/>
      </c>
      <c r="CA34" s="124" t="str">
        <f>IF($B34="","",IFERROR(-AK34,"n.b."))</f>
        <v/>
      </c>
      <c r="CB34" s="124" t="str">
        <f>IF($B34="","",IFERROR(-AL34,"n.b."))</f>
        <v/>
      </c>
      <c r="CC34" s="124" t="str">
        <f>IF($B34="","",IFERROR(-AP34,"n.b."))</f>
        <v/>
      </c>
      <c r="CD34" s="124" t="str">
        <f>IF($B34="","",IFERROR(-AQ34,"n.b."))</f>
        <v/>
      </c>
      <c r="CE34" s="124" t="str">
        <f>IF($B34="","",IFERROR(-AR34,"n.b."))</f>
        <v/>
      </c>
      <c r="CF34" s="124" t="str">
        <f>IF($B34="","",IFERROR(-AS34,"n.b."))</f>
        <v/>
      </c>
      <c r="CG34" s="124" t="str">
        <f>IF($B34="","",IFERROR(-AT34,"n.b."))</f>
        <v/>
      </c>
      <c r="CH34" s="124" t="str">
        <f>IF($B34="","",IFERROR(-AU34,"n.b."))</f>
        <v/>
      </c>
      <c r="CI34" s="124" t="str">
        <f>IF($B34="","",IFERROR(-AV34,"n.b."))</f>
        <v/>
      </c>
      <c r="CJ34" s="124" t="str">
        <f>IF($B34="","",IFERROR(-AW34,"n.b."))</f>
        <v/>
      </c>
      <c r="CK34" s="124" t="str">
        <f>IF($B34="","",IFERROR(-AX34,"n.b."))</f>
        <v/>
      </c>
      <c r="CL34" s="124" t="str">
        <f>IF($B34="","",IFERROR(-AY34,"n.b."))</f>
        <v/>
      </c>
      <c r="CM34" s="124" t="str">
        <f>IF($B34="","",IFERROR(-AZ34,"n.b."))</f>
        <v/>
      </c>
      <c r="CN34" s="124" t="str">
        <f>IF($B34="","",IFERROR(-BA34,"n.b."))</f>
        <v/>
      </c>
      <c r="CO34" s="124" t="str">
        <f>IF($B34="","",IFERROR(-BB34,"n.b."))</f>
        <v/>
      </c>
      <c r="CP34" s="124" t="str">
        <f>IF($B34="","",IFERROR(-BC34,"n.b."))</f>
        <v/>
      </c>
      <c r="CQ34" s="124" t="str">
        <f>IF($B34="","",IFERROR(-BD34,"n.b."))</f>
        <v/>
      </c>
      <c r="CR34" s="124" t="str">
        <f>IF($B34="","",IFERROR(-BE34,"n.b."))</f>
        <v/>
      </c>
      <c r="CS34" s="124" t="str">
        <f>IF($B34="","",IFERROR(IF(OR(ABS(T34+V34+X34+Z34-AB34)&gt;P_Tol,ABS(U34+W34+Y34+AA34-AD34)&gt;P_Tol,ABS(AE34+AG34+AI34+AK34-AM34)&gt;P_Tol,ABS(AF34+AH34+AJ34+AL34-AO34)&gt;P_Tol),1,0),1))</f>
        <v/>
      </c>
      <c r="CT34" s="124" t="str">
        <f>IF($B34="","",IFERROR(IF(OR(ABS(AB34+AC34-AD34)&gt;P_Tol,ABS(AM34+AN34-AO34)&gt;P_Tol,ABS(O34+P34-Q34)&gt;P_Tol),1,0),1))</f>
        <v/>
      </c>
      <c r="CU34" s="124" t="str">
        <f>IF($B34="","",IFERROR(IF(ABS(R34-(AB34+AM34+AP34+AR34+AT34+AV34+AX34+AZ34+BB34+BD34))&gt;P_Tol,1,0),1))</f>
        <v/>
      </c>
      <c r="CV34" s="124" t="str">
        <f>IF($B34="","",IFERROR(IF(ABS(M34-(N34+O34+R34))&gt;P_Tol,1,0),1))</f>
        <v/>
      </c>
      <c r="CW34" s="124" t="str">
        <f>IF($B34="","",IF(COUNTIF(Mapping!$A$5:$A$104,B34)&gt;0,1,0))</f>
        <v/>
      </c>
      <c r="CX34" s="124" t="str">
        <f>IF($B34="","",COUNTIF($B$6:$B$505,B34))</f>
        <v/>
      </c>
      <c r="CY34" s="124" t="str">
        <f>IF($B34="","",COUNTIF(STG_Woningetalage!$B$6:$B$505,B34))</f>
        <v/>
      </c>
      <c r="CZ34" s="124" t="str">
        <f>IF($B34="","",IF(CW34=0,COUNTIF($CW$6:CW34,0),""))</f>
        <v/>
      </c>
    </row>
    <row r="35">
      <c r="A35" s="15" t="n">
        <v>31</v>
      </c>
      <c r="B35" t="str">
        <f>IF(B$3=0,"",IF(INDEX(SRC_ZPMW03!$A$1:$ZZ$501,$A35,B$3)&amp;""="","",INDEX(SRC_ZPMW03!$A$1:$ZZ$501,$A35,B$3)&amp;""))</f>
        <v/>
      </c>
      <c r="C35" t="str">
        <f>IF($B35="","",IF(C$3=0,"n.b.",INDEX(SRC_ZPMW03!$A$1:$ZZ$501,$A35,C$3)))</f>
        <v/>
      </c>
      <c r="D35" t="str">
        <f>IF($B35="","",IF(D$3=0,"n.b.",INDEX(SRC_ZPMW03!$A$1:$ZZ$501,$A35,D$3)))</f>
        <v/>
      </c>
      <c r="E35" t="str">
        <f>IF($B35="","",IF(E$3=0,"n.b.",INDEX(SRC_ZPMW03!$A$1:$ZZ$501,$A35,E$3)))</f>
        <v/>
      </c>
      <c r="F35" t="str">
        <f>IF($B35="","",IF(F$3=0,"n.b.",INDEX(SRC_ZPMW03!$A$1:$ZZ$501,$A35,F$3)))</f>
        <v/>
      </c>
      <c r="G35" t="str">
        <f>IF($B35="","",IF(G$3=0,"n.b.",INDEX(SRC_ZPMW03!$A$1:$ZZ$501,$A35,G$3)))</f>
        <v/>
      </c>
      <c r="H35" t="str">
        <f>IF($B35="","",IF(H$3=0,"n.b.",INDEX(SRC_ZPMW03!$A$1:$ZZ$501,$A35,H$3)))</f>
        <v/>
      </c>
      <c r="I35" t="str">
        <f>IF($B35="","",IF(I$3=0,"n.b.",INDEX(SRC_ZPMW03!$A$1:$ZZ$501,$A35,I$3)))</f>
        <v/>
      </c>
      <c r="J35" t="str">
        <f>IF($B35="","",IF(J$3=0,"n.b.",INDEX(SRC_ZPMW03!$A$1:$ZZ$501,$A35,J$3)))</f>
        <v/>
      </c>
      <c r="K35" t="str">
        <f>IF($B35="","",IF(K$3=0,"n.b.",INDEX(SRC_ZPMW03!$A$1:$ZZ$501,$A35,K$3)))</f>
        <v/>
      </c>
      <c r="L35" s="124" t="str">
        <f>IF($B35="","",IF(L$3=0,"n.b.",INDEX(SRC_ZPMW03!$A$1:$ZZ$501,$A35,L$3)))</f>
        <v/>
      </c>
      <c r="M35" s="124" t="str">
        <f>IF($B35="","",IF(M$3=0,"n.b.",INDEX(SRC_ZPMW03!$A$1:$ZZ$501,$A35,M$3)))</f>
        <v/>
      </c>
      <c r="N35" s="124" t="str">
        <f>IF($B35="","",IF(N$3=0,"n.b.",INDEX(SRC_ZPMW03!$A$1:$ZZ$501,$A35,N$3)))</f>
        <v/>
      </c>
      <c r="O35" s="124" t="str">
        <f>IF($B35="","",IF(O$3=0,"n.b.",INDEX(SRC_ZPMW03!$A$1:$ZZ$501,$A35,O$3)))</f>
        <v/>
      </c>
      <c r="P35" s="124" t="str">
        <f>IF($B35="","",IF(P$3=0,"n.b.",INDEX(SRC_ZPMW03!$A$1:$ZZ$501,$A35,P$3)))</f>
        <v/>
      </c>
      <c r="Q35" s="124" t="str">
        <f>IF($B35="","",IF(Q$3=0,"n.b.",INDEX(SRC_ZPMW03!$A$1:$ZZ$501,$A35,Q$3)))</f>
        <v/>
      </c>
      <c r="R35" s="124" t="str">
        <f>IF($B35="","",IF(R$3=0,"n.b.",INDEX(SRC_ZPMW03!$A$1:$ZZ$501,$A35,R$3)))</f>
        <v/>
      </c>
      <c r="S35" s="124" t="str">
        <f>IF($B35="","",IF(S$3=0,"n.b.",INDEX(SRC_ZPMW03!$A$1:$ZZ$501,$A35,S$3)))</f>
        <v/>
      </c>
      <c r="T35" s="124" t="str">
        <f>IF($B35="","",IF(T$3=0,"n.b.",INDEX(SRC_ZPMW03!$A$1:$ZZ$501,$A35,T$3)))</f>
        <v/>
      </c>
      <c r="U35" s="124" t="str">
        <f>IF($B35="","",IF(U$3=0,"n.b.",INDEX(SRC_ZPMW03!$A$1:$ZZ$501,$A35,U$3)))</f>
        <v/>
      </c>
      <c r="V35" s="124" t="str">
        <f>IF($B35="","",IF(V$3=0,"n.b.",INDEX(SRC_ZPMW03!$A$1:$ZZ$501,$A35,V$3)))</f>
        <v/>
      </c>
      <c r="W35" s="124" t="str">
        <f>IF($B35="","",IF(W$3=0,"n.b.",INDEX(SRC_ZPMW03!$A$1:$ZZ$501,$A35,W$3)))</f>
        <v/>
      </c>
      <c r="X35" s="124" t="str">
        <f>IF($B35="","",IF(X$3=0,"n.b.",INDEX(SRC_ZPMW03!$A$1:$ZZ$501,$A35,X$3)))</f>
        <v/>
      </c>
      <c r="Y35" s="124" t="str">
        <f>IF($B35="","",IF(Y$3=0,"n.b.",INDEX(SRC_ZPMW03!$A$1:$ZZ$501,$A35,Y$3)))</f>
        <v/>
      </c>
      <c r="Z35" s="124" t="str">
        <f>IF($B35="","",IF(Z$3=0,"n.b.",INDEX(SRC_ZPMW03!$A$1:$ZZ$501,$A35,Z$3)))</f>
        <v/>
      </c>
      <c r="AA35" s="124" t="str">
        <f>IF($B35="","",IF(AA$3=0,"n.b.",INDEX(SRC_ZPMW03!$A$1:$ZZ$501,$A35,AA$3)))</f>
        <v/>
      </c>
      <c r="AB35" s="124" t="str">
        <f>IF($B35="","",IF(AB$3=0,"n.b.",INDEX(SRC_ZPMW03!$A$1:$ZZ$501,$A35,AB$3)))</f>
        <v/>
      </c>
      <c r="AC35" s="124" t="str">
        <f>IF($B35="","",IF(AC$3=0,"n.b.",INDEX(SRC_ZPMW03!$A$1:$ZZ$501,$A35,AC$3)))</f>
        <v/>
      </c>
      <c r="AD35" s="124" t="str">
        <f>IF($B35="","",IF(AD$3=0,"n.b.",INDEX(SRC_ZPMW03!$A$1:$ZZ$501,$A35,AD$3)))</f>
        <v/>
      </c>
      <c r="AE35" s="124" t="str">
        <f>IF($B35="","",IF(AE$3=0,"n.b.",INDEX(SRC_ZPMW03!$A$1:$ZZ$501,$A35,AE$3)))</f>
        <v/>
      </c>
      <c r="AF35" s="124" t="str">
        <f>IF($B35="","",IF(AF$3=0,"n.b.",INDEX(SRC_ZPMW03!$A$1:$ZZ$501,$A35,AF$3)))</f>
        <v/>
      </c>
      <c r="AG35" s="124" t="str">
        <f>IF($B35="","",IF(AG$3=0,"n.b.",INDEX(SRC_ZPMW03!$A$1:$ZZ$501,$A35,AG$3)))</f>
        <v/>
      </c>
      <c r="AH35" s="124" t="str">
        <f>IF($B35="","",IF(AH$3=0,"n.b.",INDEX(SRC_ZPMW03!$A$1:$ZZ$501,$A35,AH$3)))</f>
        <v/>
      </c>
      <c r="AI35" s="124" t="str">
        <f>IF($B35="","",IF(AI$3=0,"n.b.",INDEX(SRC_ZPMW03!$A$1:$ZZ$501,$A35,AI$3)))</f>
        <v/>
      </c>
      <c r="AJ35" s="124" t="str">
        <f>IF($B35="","",IF(AJ$3=0,"n.b.",INDEX(SRC_ZPMW03!$A$1:$ZZ$501,$A35,AJ$3)))</f>
        <v/>
      </c>
      <c r="AK35" s="124" t="str">
        <f>IF($B35="","",IF(AK$3=0,"n.b.",INDEX(SRC_ZPMW03!$A$1:$ZZ$501,$A35,AK$3)))</f>
        <v/>
      </c>
      <c r="AL35" s="124" t="str">
        <f>IF($B35="","",IF(AL$3=0,"n.b.",INDEX(SRC_ZPMW03!$A$1:$ZZ$501,$A35,AL$3)))</f>
        <v/>
      </c>
      <c r="AM35" s="124" t="str">
        <f>IF($B35="","",IF(AM$3=0,"n.b.",INDEX(SRC_ZPMW03!$A$1:$ZZ$501,$A35,AM$3)))</f>
        <v/>
      </c>
      <c r="AN35" s="124" t="str">
        <f>IF($B35="","",IF(AN$3=0,"n.b.",INDEX(SRC_ZPMW03!$A$1:$ZZ$501,$A35,AN$3)))</f>
        <v/>
      </c>
      <c r="AO35" s="124" t="str">
        <f>IF($B35="","",IF(AO$3=0,"n.b.",INDEX(SRC_ZPMW03!$A$1:$ZZ$501,$A35,AO$3)))</f>
        <v/>
      </c>
      <c r="AP35" s="124" t="str">
        <f>IF($B35="","",IF(AP$3=0,"n.b.",INDEX(SRC_ZPMW03!$A$1:$ZZ$501,$A35,AP$3)))</f>
        <v/>
      </c>
      <c r="AQ35" s="124" t="str">
        <f>IF($B35="","",IF(AQ$3=0,"n.b.",INDEX(SRC_ZPMW03!$A$1:$ZZ$501,$A35,AQ$3)))</f>
        <v/>
      </c>
      <c r="AR35" s="124" t="str">
        <f>IF($B35="","",IF(AR$3=0,"n.b.",INDEX(SRC_ZPMW03!$A$1:$ZZ$501,$A35,AR$3)))</f>
        <v/>
      </c>
      <c r="AS35" s="124" t="str">
        <f>IF($B35="","",IF(AS$3=0,"n.b.",INDEX(SRC_ZPMW03!$A$1:$ZZ$501,$A35,AS$3)))</f>
        <v/>
      </c>
      <c r="AT35" s="124" t="str">
        <f>IF($B35="","",IF(AT$3=0,"n.b.",INDEX(SRC_ZPMW03!$A$1:$ZZ$501,$A35,AT$3)))</f>
        <v/>
      </c>
      <c r="AU35" s="124" t="str">
        <f>IF($B35="","",IF(AU$3=0,"n.b.",INDEX(SRC_ZPMW03!$A$1:$ZZ$501,$A35,AU$3)))</f>
        <v/>
      </c>
      <c r="AV35" s="124" t="str">
        <f>IF($B35="","",IF(AV$3=0,"n.b.",INDEX(SRC_ZPMW03!$A$1:$ZZ$501,$A35,AV$3)))</f>
        <v/>
      </c>
      <c r="AW35" s="124" t="str">
        <f>IF($B35="","",IF(AW$3=0,"n.b.",INDEX(SRC_ZPMW03!$A$1:$ZZ$501,$A35,AW$3)))</f>
        <v/>
      </c>
      <c r="AX35" s="124" t="str">
        <f>IF($B35="","",IF(AX$3=0,"n.b.",INDEX(SRC_ZPMW03!$A$1:$ZZ$501,$A35,AX$3)))</f>
        <v/>
      </c>
      <c r="AY35" s="124" t="str">
        <f>IF($B35="","",IF(AY$3=0,"n.b.",INDEX(SRC_ZPMW03!$A$1:$ZZ$501,$A35,AY$3)))</f>
        <v/>
      </c>
      <c r="AZ35" s="124" t="str">
        <f>IF($B35="","",IF(AZ$3=0,"n.b.",INDEX(SRC_ZPMW03!$A$1:$ZZ$501,$A35,AZ$3)))</f>
        <v/>
      </c>
      <c r="BA35" s="124" t="str">
        <f>IF($B35="","",IF(BA$3=0,"n.b.",INDEX(SRC_ZPMW03!$A$1:$ZZ$501,$A35,BA$3)))</f>
        <v/>
      </c>
      <c r="BB35" s="124" t="str">
        <f>IF($B35="","",IF(BB$3=0,"n.b.",INDEX(SRC_ZPMW03!$A$1:$ZZ$501,$A35,BB$3)))</f>
        <v/>
      </c>
      <c r="BC35" s="124" t="str">
        <f>IF($B35="","",IF(BC$3=0,"n.b.",INDEX(SRC_ZPMW03!$A$1:$ZZ$501,$A35,BC$3)))</f>
        <v/>
      </c>
      <c r="BD35" s="124" t="str">
        <f>IF($B35="","",IF(BD$3=0,"n.b.",INDEX(SRC_ZPMW03!$A$1:$ZZ$501,$A35,BD$3)))</f>
        <v/>
      </c>
      <c r="BE35" s="124" t="str">
        <f>IF($B35="","",IF(BE$3=0,"n.b.",INDEX(SRC_ZPMW03!$A$1:$ZZ$501,$A35,BE$3)))</f>
        <v/>
      </c>
      <c r="BF35" s="124" t="str">
        <f>IF($B35="","",IF(BF$3=0,"n.b.",INDEX(SRC_ZPMW03!$A$1:$ZZ$501,$A35,BF$3)))</f>
        <v/>
      </c>
      <c r="BG35" t="str">
        <f>IF($B35="","",IF(BG$3=0,"n.b.",INDEX(SRC_ZPMW03!$A$1:$ZZ$501,$A35,BG$3)))</f>
        <v/>
      </c>
      <c r="BH35" t="str">
        <f>IF($B35="","",IF(BH$3=0,"n.b.",INDEX(SRC_ZPMW03!$A$1:$ZZ$501,$A35,BH$3)))</f>
        <v/>
      </c>
      <c r="BI35" t="str">
        <f>IF($B35="","",IF(BI$3=0,"n.b.",INDEX(SRC_ZPMW03!$A$1:$ZZ$501,$A35,BI$3)))</f>
        <v/>
      </c>
      <c r="BJ35" t="str">
        <f>IF($B35="","",IF(BJ$3=0,"n.b.",INDEX(SRC_ZPMW03!$A$1:$ZZ$501,$A35,BJ$3)))</f>
        <v/>
      </c>
      <c r="BK35" s="124" t="str">
        <f>IF($B35="","",IFERROR(-O35,"n.b."))</f>
        <v/>
      </c>
      <c r="BL35" s="124" t="str">
        <f>IF($B35="","",IFERROR(-Q35,"n.b."))</f>
        <v/>
      </c>
      <c r="BM35" s="124" t="str">
        <f>IF($B35="","",IFERROR(-AB35,"n.b."))</f>
        <v/>
      </c>
      <c r="BN35" s="124" t="str">
        <f>IF($B35="","",IFERROR(-AD35,"n.b."))</f>
        <v/>
      </c>
      <c r="BO35" s="124" t="str">
        <f>IF($B35="","",IFERROR(BK35+BM35,"n.b."))</f>
        <v/>
      </c>
      <c r="BP35" s="124" t="str">
        <f>IF($B35="","",IFERROR(BL35+BN35,"n.b."))</f>
        <v/>
      </c>
      <c r="BQ35" s="124" t="str">
        <f>IF($B35="","",IFERROR(-AM35,"n.b."))</f>
        <v/>
      </c>
      <c r="BR35" s="124" t="str">
        <f>IF($B35="","",IFERROR(-AO35,"n.b."))</f>
        <v/>
      </c>
      <c r="BS35" s="124" t="str">
        <f>IF($B35="","",IFERROR(-Z35,"n.b."))</f>
        <v/>
      </c>
      <c r="BT35" s="124" t="str">
        <f>IF($B35="","",IFERROR(-AA35,"n.b."))</f>
        <v/>
      </c>
      <c r="BU35" s="124" t="str">
        <f>IF($B35="","",IFERROR(-AE35,"n.b."))</f>
        <v/>
      </c>
      <c r="BV35" s="124" t="str">
        <f>IF($B35="","",IFERROR(-AF35,"n.b."))</f>
        <v/>
      </c>
      <c r="BW35" s="124" t="str">
        <f>IF($B35="","",IFERROR(-AG35,"n.b."))</f>
        <v/>
      </c>
      <c r="BX35" s="124" t="str">
        <f>IF($B35="","",IFERROR(-AH35,"n.b."))</f>
        <v/>
      </c>
      <c r="BY35" s="124" t="str">
        <f>IF($B35="","",IFERROR(-AI35,"n.b."))</f>
        <v/>
      </c>
      <c r="BZ35" s="124" t="str">
        <f>IF($B35="","",IFERROR(-AJ35,"n.b."))</f>
        <v/>
      </c>
      <c r="CA35" s="124" t="str">
        <f>IF($B35="","",IFERROR(-AK35,"n.b."))</f>
        <v/>
      </c>
      <c r="CB35" s="124" t="str">
        <f>IF($B35="","",IFERROR(-AL35,"n.b."))</f>
        <v/>
      </c>
      <c r="CC35" s="124" t="str">
        <f>IF($B35="","",IFERROR(-AP35,"n.b."))</f>
        <v/>
      </c>
      <c r="CD35" s="124" t="str">
        <f>IF($B35="","",IFERROR(-AQ35,"n.b."))</f>
        <v/>
      </c>
      <c r="CE35" s="124" t="str">
        <f>IF($B35="","",IFERROR(-AR35,"n.b."))</f>
        <v/>
      </c>
      <c r="CF35" s="124" t="str">
        <f>IF($B35="","",IFERROR(-AS35,"n.b."))</f>
        <v/>
      </c>
      <c r="CG35" s="124" t="str">
        <f>IF($B35="","",IFERROR(-AT35,"n.b."))</f>
        <v/>
      </c>
      <c r="CH35" s="124" t="str">
        <f>IF($B35="","",IFERROR(-AU35,"n.b."))</f>
        <v/>
      </c>
      <c r="CI35" s="124" t="str">
        <f>IF($B35="","",IFERROR(-AV35,"n.b."))</f>
        <v/>
      </c>
      <c r="CJ35" s="124" t="str">
        <f>IF($B35="","",IFERROR(-AW35,"n.b."))</f>
        <v/>
      </c>
      <c r="CK35" s="124" t="str">
        <f>IF($B35="","",IFERROR(-AX35,"n.b."))</f>
        <v/>
      </c>
      <c r="CL35" s="124" t="str">
        <f>IF($B35="","",IFERROR(-AY35,"n.b."))</f>
        <v/>
      </c>
      <c r="CM35" s="124" t="str">
        <f>IF($B35="","",IFERROR(-AZ35,"n.b."))</f>
        <v/>
      </c>
      <c r="CN35" s="124" t="str">
        <f>IF($B35="","",IFERROR(-BA35,"n.b."))</f>
        <v/>
      </c>
      <c r="CO35" s="124" t="str">
        <f>IF($B35="","",IFERROR(-BB35,"n.b."))</f>
        <v/>
      </c>
      <c r="CP35" s="124" t="str">
        <f>IF($B35="","",IFERROR(-BC35,"n.b."))</f>
        <v/>
      </c>
      <c r="CQ35" s="124" t="str">
        <f>IF($B35="","",IFERROR(-BD35,"n.b."))</f>
        <v/>
      </c>
      <c r="CR35" s="124" t="str">
        <f>IF($B35="","",IFERROR(-BE35,"n.b."))</f>
        <v/>
      </c>
      <c r="CS35" s="124" t="str">
        <f>IF($B35="","",IFERROR(IF(OR(ABS(T35+V35+X35+Z35-AB35)&gt;P_Tol,ABS(U35+W35+Y35+AA35-AD35)&gt;P_Tol,ABS(AE35+AG35+AI35+AK35-AM35)&gt;P_Tol,ABS(AF35+AH35+AJ35+AL35-AO35)&gt;P_Tol),1,0),1))</f>
        <v/>
      </c>
      <c r="CT35" s="124" t="str">
        <f>IF($B35="","",IFERROR(IF(OR(ABS(AB35+AC35-AD35)&gt;P_Tol,ABS(AM35+AN35-AO35)&gt;P_Tol,ABS(O35+P35-Q35)&gt;P_Tol),1,0),1))</f>
        <v/>
      </c>
      <c r="CU35" s="124" t="str">
        <f>IF($B35="","",IFERROR(IF(ABS(R35-(AB35+AM35+AP35+AR35+AT35+AV35+AX35+AZ35+BB35+BD35))&gt;P_Tol,1,0),1))</f>
        <v/>
      </c>
      <c r="CV35" s="124" t="str">
        <f>IF($B35="","",IFERROR(IF(ABS(M35-(N35+O35+R35))&gt;P_Tol,1,0),1))</f>
        <v/>
      </c>
      <c r="CW35" s="124" t="str">
        <f>IF($B35="","",IF(COUNTIF(Mapping!$A$5:$A$104,B35)&gt;0,1,0))</f>
        <v/>
      </c>
      <c r="CX35" s="124" t="str">
        <f>IF($B35="","",COUNTIF($B$6:$B$505,B35))</f>
        <v/>
      </c>
      <c r="CY35" s="124" t="str">
        <f>IF($B35="","",COUNTIF(STG_Woningetalage!$B$6:$B$505,B35))</f>
        <v/>
      </c>
      <c r="CZ35" s="124" t="str">
        <f>IF($B35="","",IF(CW35=0,COUNTIF($CW$6:CW35,0),""))</f>
        <v/>
      </c>
    </row>
    <row r="36">
      <c r="A36" s="15" t="n">
        <v>32</v>
      </c>
      <c r="B36" t="str">
        <f>IF(B$3=0,"",IF(INDEX(SRC_ZPMW03!$A$1:$ZZ$501,$A36,B$3)&amp;""="","",INDEX(SRC_ZPMW03!$A$1:$ZZ$501,$A36,B$3)&amp;""))</f>
        <v/>
      </c>
      <c r="C36" t="str">
        <f>IF($B36="","",IF(C$3=0,"n.b.",INDEX(SRC_ZPMW03!$A$1:$ZZ$501,$A36,C$3)))</f>
        <v/>
      </c>
      <c r="D36" t="str">
        <f>IF($B36="","",IF(D$3=0,"n.b.",INDEX(SRC_ZPMW03!$A$1:$ZZ$501,$A36,D$3)))</f>
        <v/>
      </c>
      <c r="E36" t="str">
        <f>IF($B36="","",IF(E$3=0,"n.b.",INDEX(SRC_ZPMW03!$A$1:$ZZ$501,$A36,E$3)))</f>
        <v/>
      </c>
      <c r="F36" t="str">
        <f>IF($B36="","",IF(F$3=0,"n.b.",INDEX(SRC_ZPMW03!$A$1:$ZZ$501,$A36,F$3)))</f>
        <v/>
      </c>
      <c r="G36" t="str">
        <f>IF($B36="","",IF(G$3=0,"n.b.",INDEX(SRC_ZPMW03!$A$1:$ZZ$501,$A36,G$3)))</f>
        <v/>
      </c>
      <c r="H36" t="str">
        <f>IF($B36="","",IF(H$3=0,"n.b.",INDEX(SRC_ZPMW03!$A$1:$ZZ$501,$A36,H$3)))</f>
        <v/>
      </c>
      <c r="I36" t="str">
        <f>IF($B36="","",IF(I$3=0,"n.b.",INDEX(SRC_ZPMW03!$A$1:$ZZ$501,$A36,I$3)))</f>
        <v/>
      </c>
      <c r="J36" t="str">
        <f>IF($B36="","",IF(J$3=0,"n.b.",INDEX(SRC_ZPMW03!$A$1:$ZZ$501,$A36,J$3)))</f>
        <v/>
      </c>
      <c r="K36" t="str">
        <f>IF($B36="","",IF(K$3=0,"n.b.",INDEX(SRC_ZPMW03!$A$1:$ZZ$501,$A36,K$3)))</f>
        <v/>
      </c>
      <c r="L36" s="124" t="str">
        <f>IF($B36="","",IF(L$3=0,"n.b.",INDEX(SRC_ZPMW03!$A$1:$ZZ$501,$A36,L$3)))</f>
        <v/>
      </c>
      <c r="M36" s="124" t="str">
        <f>IF($B36="","",IF(M$3=0,"n.b.",INDEX(SRC_ZPMW03!$A$1:$ZZ$501,$A36,M$3)))</f>
        <v/>
      </c>
      <c r="N36" s="124" t="str">
        <f>IF($B36="","",IF(N$3=0,"n.b.",INDEX(SRC_ZPMW03!$A$1:$ZZ$501,$A36,N$3)))</f>
        <v/>
      </c>
      <c r="O36" s="124" t="str">
        <f>IF($B36="","",IF(O$3=0,"n.b.",INDEX(SRC_ZPMW03!$A$1:$ZZ$501,$A36,O$3)))</f>
        <v/>
      </c>
      <c r="P36" s="124" t="str">
        <f>IF($B36="","",IF(P$3=0,"n.b.",INDEX(SRC_ZPMW03!$A$1:$ZZ$501,$A36,P$3)))</f>
        <v/>
      </c>
      <c r="Q36" s="124" t="str">
        <f>IF($B36="","",IF(Q$3=0,"n.b.",INDEX(SRC_ZPMW03!$A$1:$ZZ$501,$A36,Q$3)))</f>
        <v/>
      </c>
      <c r="R36" s="124" t="str">
        <f>IF($B36="","",IF(R$3=0,"n.b.",INDEX(SRC_ZPMW03!$A$1:$ZZ$501,$A36,R$3)))</f>
        <v/>
      </c>
      <c r="S36" s="124" t="str">
        <f>IF($B36="","",IF(S$3=0,"n.b.",INDEX(SRC_ZPMW03!$A$1:$ZZ$501,$A36,S$3)))</f>
        <v/>
      </c>
      <c r="T36" s="124" t="str">
        <f>IF($B36="","",IF(T$3=0,"n.b.",INDEX(SRC_ZPMW03!$A$1:$ZZ$501,$A36,T$3)))</f>
        <v/>
      </c>
      <c r="U36" s="124" t="str">
        <f>IF($B36="","",IF(U$3=0,"n.b.",INDEX(SRC_ZPMW03!$A$1:$ZZ$501,$A36,U$3)))</f>
        <v/>
      </c>
      <c r="V36" s="124" t="str">
        <f>IF($B36="","",IF(V$3=0,"n.b.",INDEX(SRC_ZPMW03!$A$1:$ZZ$501,$A36,V$3)))</f>
        <v/>
      </c>
      <c r="W36" s="124" t="str">
        <f>IF($B36="","",IF(W$3=0,"n.b.",INDEX(SRC_ZPMW03!$A$1:$ZZ$501,$A36,W$3)))</f>
        <v/>
      </c>
      <c r="X36" s="124" t="str">
        <f>IF($B36="","",IF(X$3=0,"n.b.",INDEX(SRC_ZPMW03!$A$1:$ZZ$501,$A36,X$3)))</f>
        <v/>
      </c>
      <c r="Y36" s="124" t="str">
        <f>IF($B36="","",IF(Y$3=0,"n.b.",INDEX(SRC_ZPMW03!$A$1:$ZZ$501,$A36,Y$3)))</f>
        <v/>
      </c>
      <c r="Z36" s="124" t="str">
        <f>IF($B36="","",IF(Z$3=0,"n.b.",INDEX(SRC_ZPMW03!$A$1:$ZZ$501,$A36,Z$3)))</f>
        <v/>
      </c>
      <c r="AA36" s="124" t="str">
        <f>IF($B36="","",IF(AA$3=0,"n.b.",INDEX(SRC_ZPMW03!$A$1:$ZZ$501,$A36,AA$3)))</f>
        <v/>
      </c>
      <c r="AB36" s="124" t="str">
        <f>IF($B36="","",IF(AB$3=0,"n.b.",INDEX(SRC_ZPMW03!$A$1:$ZZ$501,$A36,AB$3)))</f>
        <v/>
      </c>
      <c r="AC36" s="124" t="str">
        <f>IF($B36="","",IF(AC$3=0,"n.b.",INDEX(SRC_ZPMW03!$A$1:$ZZ$501,$A36,AC$3)))</f>
        <v/>
      </c>
      <c r="AD36" s="124" t="str">
        <f>IF($B36="","",IF(AD$3=0,"n.b.",INDEX(SRC_ZPMW03!$A$1:$ZZ$501,$A36,AD$3)))</f>
        <v/>
      </c>
      <c r="AE36" s="124" t="str">
        <f>IF($B36="","",IF(AE$3=0,"n.b.",INDEX(SRC_ZPMW03!$A$1:$ZZ$501,$A36,AE$3)))</f>
        <v/>
      </c>
      <c r="AF36" s="124" t="str">
        <f>IF($B36="","",IF(AF$3=0,"n.b.",INDEX(SRC_ZPMW03!$A$1:$ZZ$501,$A36,AF$3)))</f>
        <v/>
      </c>
      <c r="AG36" s="124" t="str">
        <f>IF($B36="","",IF(AG$3=0,"n.b.",INDEX(SRC_ZPMW03!$A$1:$ZZ$501,$A36,AG$3)))</f>
        <v/>
      </c>
      <c r="AH36" s="124" t="str">
        <f>IF($B36="","",IF(AH$3=0,"n.b.",INDEX(SRC_ZPMW03!$A$1:$ZZ$501,$A36,AH$3)))</f>
        <v/>
      </c>
      <c r="AI36" s="124" t="str">
        <f>IF($B36="","",IF(AI$3=0,"n.b.",INDEX(SRC_ZPMW03!$A$1:$ZZ$501,$A36,AI$3)))</f>
        <v/>
      </c>
      <c r="AJ36" s="124" t="str">
        <f>IF($B36="","",IF(AJ$3=0,"n.b.",INDEX(SRC_ZPMW03!$A$1:$ZZ$501,$A36,AJ$3)))</f>
        <v/>
      </c>
      <c r="AK36" s="124" t="str">
        <f>IF($B36="","",IF(AK$3=0,"n.b.",INDEX(SRC_ZPMW03!$A$1:$ZZ$501,$A36,AK$3)))</f>
        <v/>
      </c>
      <c r="AL36" s="124" t="str">
        <f>IF($B36="","",IF(AL$3=0,"n.b.",INDEX(SRC_ZPMW03!$A$1:$ZZ$501,$A36,AL$3)))</f>
        <v/>
      </c>
      <c r="AM36" s="124" t="str">
        <f>IF($B36="","",IF(AM$3=0,"n.b.",INDEX(SRC_ZPMW03!$A$1:$ZZ$501,$A36,AM$3)))</f>
        <v/>
      </c>
      <c r="AN36" s="124" t="str">
        <f>IF($B36="","",IF(AN$3=0,"n.b.",INDEX(SRC_ZPMW03!$A$1:$ZZ$501,$A36,AN$3)))</f>
        <v/>
      </c>
      <c r="AO36" s="124" t="str">
        <f>IF($B36="","",IF(AO$3=0,"n.b.",INDEX(SRC_ZPMW03!$A$1:$ZZ$501,$A36,AO$3)))</f>
        <v/>
      </c>
      <c r="AP36" s="124" t="str">
        <f>IF($B36="","",IF(AP$3=0,"n.b.",INDEX(SRC_ZPMW03!$A$1:$ZZ$501,$A36,AP$3)))</f>
        <v/>
      </c>
      <c r="AQ36" s="124" t="str">
        <f>IF($B36="","",IF(AQ$3=0,"n.b.",INDEX(SRC_ZPMW03!$A$1:$ZZ$501,$A36,AQ$3)))</f>
        <v/>
      </c>
      <c r="AR36" s="124" t="str">
        <f>IF($B36="","",IF(AR$3=0,"n.b.",INDEX(SRC_ZPMW03!$A$1:$ZZ$501,$A36,AR$3)))</f>
        <v/>
      </c>
      <c r="AS36" s="124" t="str">
        <f>IF($B36="","",IF(AS$3=0,"n.b.",INDEX(SRC_ZPMW03!$A$1:$ZZ$501,$A36,AS$3)))</f>
        <v/>
      </c>
      <c r="AT36" s="124" t="str">
        <f>IF($B36="","",IF(AT$3=0,"n.b.",INDEX(SRC_ZPMW03!$A$1:$ZZ$501,$A36,AT$3)))</f>
        <v/>
      </c>
      <c r="AU36" s="124" t="str">
        <f>IF($B36="","",IF(AU$3=0,"n.b.",INDEX(SRC_ZPMW03!$A$1:$ZZ$501,$A36,AU$3)))</f>
        <v/>
      </c>
      <c r="AV36" s="124" t="str">
        <f>IF($B36="","",IF(AV$3=0,"n.b.",INDEX(SRC_ZPMW03!$A$1:$ZZ$501,$A36,AV$3)))</f>
        <v/>
      </c>
      <c r="AW36" s="124" t="str">
        <f>IF($B36="","",IF(AW$3=0,"n.b.",INDEX(SRC_ZPMW03!$A$1:$ZZ$501,$A36,AW$3)))</f>
        <v/>
      </c>
      <c r="AX36" s="124" t="str">
        <f>IF($B36="","",IF(AX$3=0,"n.b.",INDEX(SRC_ZPMW03!$A$1:$ZZ$501,$A36,AX$3)))</f>
        <v/>
      </c>
      <c r="AY36" s="124" t="str">
        <f>IF($B36="","",IF(AY$3=0,"n.b.",INDEX(SRC_ZPMW03!$A$1:$ZZ$501,$A36,AY$3)))</f>
        <v/>
      </c>
      <c r="AZ36" s="124" t="str">
        <f>IF($B36="","",IF(AZ$3=0,"n.b.",INDEX(SRC_ZPMW03!$A$1:$ZZ$501,$A36,AZ$3)))</f>
        <v/>
      </c>
      <c r="BA36" s="124" t="str">
        <f>IF($B36="","",IF(BA$3=0,"n.b.",INDEX(SRC_ZPMW03!$A$1:$ZZ$501,$A36,BA$3)))</f>
        <v/>
      </c>
      <c r="BB36" s="124" t="str">
        <f>IF($B36="","",IF(BB$3=0,"n.b.",INDEX(SRC_ZPMW03!$A$1:$ZZ$501,$A36,BB$3)))</f>
        <v/>
      </c>
      <c r="BC36" s="124" t="str">
        <f>IF($B36="","",IF(BC$3=0,"n.b.",INDEX(SRC_ZPMW03!$A$1:$ZZ$501,$A36,BC$3)))</f>
        <v/>
      </c>
      <c r="BD36" s="124" t="str">
        <f>IF($B36="","",IF(BD$3=0,"n.b.",INDEX(SRC_ZPMW03!$A$1:$ZZ$501,$A36,BD$3)))</f>
        <v/>
      </c>
      <c r="BE36" s="124" t="str">
        <f>IF($B36="","",IF(BE$3=0,"n.b.",INDEX(SRC_ZPMW03!$A$1:$ZZ$501,$A36,BE$3)))</f>
        <v/>
      </c>
      <c r="BF36" s="124" t="str">
        <f>IF($B36="","",IF(BF$3=0,"n.b.",INDEX(SRC_ZPMW03!$A$1:$ZZ$501,$A36,BF$3)))</f>
        <v/>
      </c>
      <c r="BG36" t="str">
        <f>IF($B36="","",IF(BG$3=0,"n.b.",INDEX(SRC_ZPMW03!$A$1:$ZZ$501,$A36,BG$3)))</f>
        <v/>
      </c>
      <c r="BH36" t="str">
        <f>IF($B36="","",IF(BH$3=0,"n.b.",INDEX(SRC_ZPMW03!$A$1:$ZZ$501,$A36,BH$3)))</f>
        <v/>
      </c>
      <c r="BI36" t="str">
        <f>IF($B36="","",IF(BI$3=0,"n.b.",INDEX(SRC_ZPMW03!$A$1:$ZZ$501,$A36,BI$3)))</f>
        <v/>
      </c>
      <c r="BJ36" t="str">
        <f>IF($B36="","",IF(BJ$3=0,"n.b.",INDEX(SRC_ZPMW03!$A$1:$ZZ$501,$A36,BJ$3)))</f>
        <v/>
      </c>
      <c r="BK36" s="124" t="str">
        <f>IF($B36="","",IFERROR(-O36,"n.b."))</f>
        <v/>
      </c>
      <c r="BL36" s="124" t="str">
        <f>IF($B36="","",IFERROR(-Q36,"n.b."))</f>
        <v/>
      </c>
      <c r="BM36" s="124" t="str">
        <f>IF($B36="","",IFERROR(-AB36,"n.b."))</f>
        <v/>
      </c>
      <c r="BN36" s="124" t="str">
        <f>IF($B36="","",IFERROR(-AD36,"n.b."))</f>
        <v/>
      </c>
      <c r="BO36" s="124" t="str">
        <f>IF($B36="","",IFERROR(BK36+BM36,"n.b."))</f>
        <v/>
      </c>
      <c r="BP36" s="124" t="str">
        <f>IF($B36="","",IFERROR(BL36+BN36,"n.b."))</f>
        <v/>
      </c>
      <c r="BQ36" s="124" t="str">
        <f>IF($B36="","",IFERROR(-AM36,"n.b."))</f>
        <v/>
      </c>
      <c r="BR36" s="124" t="str">
        <f>IF($B36="","",IFERROR(-AO36,"n.b."))</f>
        <v/>
      </c>
      <c r="BS36" s="124" t="str">
        <f>IF($B36="","",IFERROR(-Z36,"n.b."))</f>
        <v/>
      </c>
      <c r="BT36" s="124" t="str">
        <f>IF($B36="","",IFERROR(-AA36,"n.b."))</f>
        <v/>
      </c>
      <c r="BU36" s="124" t="str">
        <f>IF($B36="","",IFERROR(-AE36,"n.b."))</f>
        <v/>
      </c>
      <c r="BV36" s="124" t="str">
        <f>IF($B36="","",IFERROR(-AF36,"n.b."))</f>
        <v/>
      </c>
      <c r="BW36" s="124" t="str">
        <f>IF($B36="","",IFERROR(-AG36,"n.b."))</f>
        <v/>
      </c>
      <c r="BX36" s="124" t="str">
        <f>IF($B36="","",IFERROR(-AH36,"n.b."))</f>
        <v/>
      </c>
      <c r="BY36" s="124" t="str">
        <f>IF($B36="","",IFERROR(-AI36,"n.b."))</f>
        <v/>
      </c>
      <c r="BZ36" s="124" t="str">
        <f>IF($B36="","",IFERROR(-AJ36,"n.b."))</f>
        <v/>
      </c>
      <c r="CA36" s="124" t="str">
        <f>IF($B36="","",IFERROR(-AK36,"n.b."))</f>
        <v/>
      </c>
      <c r="CB36" s="124" t="str">
        <f>IF($B36="","",IFERROR(-AL36,"n.b."))</f>
        <v/>
      </c>
      <c r="CC36" s="124" t="str">
        <f>IF($B36="","",IFERROR(-AP36,"n.b."))</f>
        <v/>
      </c>
      <c r="CD36" s="124" t="str">
        <f>IF($B36="","",IFERROR(-AQ36,"n.b."))</f>
        <v/>
      </c>
      <c r="CE36" s="124" t="str">
        <f>IF($B36="","",IFERROR(-AR36,"n.b."))</f>
        <v/>
      </c>
      <c r="CF36" s="124" t="str">
        <f>IF($B36="","",IFERROR(-AS36,"n.b."))</f>
        <v/>
      </c>
      <c r="CG36" s="124" t="str">
        <f>IF($B36="","",IFERROR(-AT36,"n.b."))</f>
        <v/>
      </c>
      <c r="CH36" s="124" t="str">
        <f>IF($B36="","",IFERROR(-AU36,"n.b."))</f>
        <v/>
      </c>
      <c r="CI36" s="124" t="str">
        <f>IF($B36="","",IFERROR(-AV36,"n.b."))</f>
        <v/>
      </c>
      <c r="CJ36" s="124" t="str">
        <f>IF($B36="","",IFERROR(-AW36,"n.b."))</f>
        <v/>
      </c>
      <c r="CK36" s="124" t="str">
        <f>IF($B36="","",IFERROR(-AX36,"n.b."))</f>
        <v/>
      </c>
      <c r="CL36" s="124" t="str">
        <f>IF($B36="","",IFERROR(-AY36,"n.b."))</f>
        <v/>
      </c>
      <c r="CM36" s="124" t="str">
        <f>IF($B36="","",IFERROR(-AZ36,"n.b."))</f>
        <v/>
      </c>
      <c r="CN36" s="124" t="str">
        <f>IF($B36="","",IFERROR(-BA36,"n.b."))</f>
        <v/>
      </c>
      <c r="CO36" s="124" t="str">
        <f>IF($B36="","",IFERROR(-BB36,"n.b."))</f>
        <v/>
      </c>
      <c r="CP36" s="124" t="str">
        <f>IF($B36="","",IFERROR(-BC36,"n.b."))</f>
        <v/>
      </c>
      <c r="CQ36" s="124" t="str">
        <f>IF($B36="","",IFERROR(-BD36,"n.b."))</f>
        <v/>
      </c>
      <c r="CR36" s="124" t="str">
        <f>IF($B36="","",IFERROR(-BE36,"n.b."))</f>
        <v/>
      </c>
      <c r="CS36" s="124" t="str">
        <f>IF($B36="","",IFERROR(IF(OR(ABS(T36+V36+X36+Z36-AB36)&gt;P_Tol,ABS(U36+W36+Y36+AA36-AD36)&gt;P_Tol,ABS(AE36+AG36+AI36+AK36-AM36)&gt;P_Tol,ABS(AF36+AH36+AJ36+AL36-AO36)&gt;P_Tol),1,0),1))</f>
        <v/>
      </c>
      <c r="CT36" s="124" t="str">
        <f>IF($B36="","",IFERROR(IF(OR(ABS(AB36+AC36-AD36)&gt;P_Tol,ABS(AM36+AN36-AO36)&gt;P_Tol,ABS(O36+P36-Q36)&gt;P_Tol),1,0),1))</f>
        <v/>
      </c>
      <c r="CU36" s="124" t="str">
        <f>IF($B36="","",IFERROR(IF(ABS(R36-(AB36+AM36+AP36+AR36+AT36+AV36+AX36+AZ36+BB36+BD36))&gt;P_Tol,1,0),1))</f>
        <v/>
      </c>
      <c r="CV36" s="124" t="str">
        <f>IF($B36="","",IFERROR(IF(ABS(M36-(N36+O36+R36))&gt;P_Tol,1,0),1))</f>
        <v/>
      </c>
      <c r="CW36" s="124" t="str">
        <f>IF($B36="","",IF(COUNTIF(Mapping!$A$5:$A$104,B36)&gt;0,1,0))</f>
        <v/>
      </c>
      <c r="CX36" s="124" t="str">
        <f>IF($B36="","",COUNTIF($B$6:$B$505,B36))</f>
        <v/>
      </c>
      <c r="CY36" s="124" t="str">
        <f>IF($B36="","",COUNTIF(STG_Woningetalage!$B$6:$B$505,B36))</f>
        <v/>
      </c>
      <c r="CZ36" s="124" t="str">
        <f>IF($B36="","",IF(CW36=0,COUNTIF($CW$6:CW36,0),""))</f>
        <v/>
      </c>
    </row>
    <row r="37">
      <c r="A37" s="15" t="n">
        <v>33</v>
      </c>
      <c r="B37" t="str">
        <f>IF(B$3=0,"",IF(INDEX(SRC_ZPMW03!$A$1:$ZZ$501,$A37,B$3)&amp;""="","",INDEX(SRC_ZPMW03!$A$1:$ZZ$501,$A37,B$3)&amp;""))</f>
        <v/>
      </c>
      <c r="C37" t="str">
        <f>IF($B37="","",IF(C$3=0,"n.b.",INDEX(SRC_ZPMW03!$A$1:$ZZ$501,$A37,C$3)))</f>
        <v/>
      </c>
      <c r="D37" t="str">
        <f>IF($B37="","",IF(D$3=0,"n.b.",INDEX(SRC_ZPMW03!$A$1:$ZZ$501,$A37,D$3)))</f>
        <v/>
      </c>
      <c r="E37" t="str">
        <f>IF($B37="","",IF(E$3=0,"n.b.",INDEX(SRC_ZPMW03!$A$1:$ZZ$501,$A37,E$3)))</f>
        <v/>
      </c>
      <c r="F37" t="str">
        <f>IF($B37="","",IF(F$3=0,"n.b.",INDEX(SRC_ZPMW03!$A$1:$ZZ$501,$A37,F$3)))</f>
        <v/>
      </c>
      <c r="G37" t="str">
        <f>IF($B37="","",IF(G$3=0,"n.b.",INDEX(SRC_ZPMW03!$A$1:$ZZ$501,$A37,G$3)))</f>
        <v/>
      </c>
      <c r="H37" t="str">
        <f>IF($B37="","",IF(H$3=0,"n.b.",INDEX(SRC_ZPMW03!$A$1:$ZZ$501,$A37,H$3)))</f>
        <v/>
      </c>
      <c r="I37" t="str">
        <f>IF($B37="","",IF(I$3=0,"n.b.",INDEX(SRC_ZPMW03!$A$1:$ZZ$501,$A37,I$3)))</f>
        <v/>
      </c>
      <c r="J37" t="str">
        <f>IF($B37="","",IF(J$3=0,"n.b.",INDEX(SRC_ZPMW03!$A$1:$ZZ$501,$A37,J$3)))</f>
        <v/>
      </c>
      <c r="K37" t="str">
        <f>IF($B37="","",IF(K$3=0,"n.b.",INDEX(SRC_ZPMW03!$A$1:$ZZ$501,$A37,K$3)))</f>
        <v/>
      </c>
      <c r="L37" s="124" t="str">
        <f>IF($B37="","",IF(L$3=0,"n.b.",INDEX(SRC_ZPMW03!$A$1:$ZZ$501,$A37,L$3)))</f>
        <v/>
      </c>
      <c r="M37" s="124" t="str">
        <f>IF($B37="","",IF(M$3=0,"n.b.",INDEX(SRC_ZPMW03!$A$1:$ZZ$501,$A37,M$3)))</f>
        <v/>
      </c>
      <c r="N37" s="124" t="str">
        <f>IF($B37="","",IF(N$3=0,"n.b.",INDEX(SRC_ZPMW03!$A$1:$ZZ$501,$A37,N$3)))</f>
        <v/>
      </c>
      <c r="O37" s="124" t="str">
        <f>IF($B37="","",IF(O$3=0,"n.b.",INDEX(SRC_ZPMW03!$A$1:$ZZ$501,$A37,O$3)))</f>
        <v/>
      </c>
      <c r="P37" s="124" t="str">
        <f>IF($B37="","",IF(P$3=0,"n.b.",INDEX(SRC_ZPMW03!$A$1:$ZZ$501,$A37,P$3)))</f>
        <v/>
      </c>
      <c r="Q37" s="124" t="str">
        <f>IF($B37="","",IF(Q$3=0,"n.b.",INDEX(SRC_ZPMW03!$A$1:$ZZ$501,$A37,Q$3)))</f>
        <v/>
      </c>
      <c r="R37" s="124" t="str">
        <f>IF($B37="","",IF(R$3=0,"n.b.",INDEX(SRC_ZPMW03!$A$1:$ZZ$501,$A37,R$3)))</f>
        <v/>
      </c>
      <c r="S37" s="124" t="str">
        <f>IF($B37="","",IF(S$3=0,"n.b.",INDEX(SRC_ZPMW03!$A$1:$ZZ$501,$A37,S$3)))</f>
        <v/>
      </c>
      <c r="T37" s="124" t="str">
        <f>IF($B37="","",IF(T$3=0,"n.b.",INDEX(SRC_ZPMW03!$A$1:$ZZ$501,$A37,T$3)))</f>
        <v/>
      </c>
      <c r="U37" s="124" t="str">
        <f>IF($B37="","",IF(U$3=0,"n.b.",INDEX(SRC_ZPMW03!$A$1:$ZZ$501,$A37,U$3)))</f>
        <v/>
      </c>
      <c r="V37" s="124" t="str">
        <f>IF($B37="","",IF(V$3=0,"n.b.",INDEX(SRC_ZPMW03!$A$1:$ZZ$501,$A37,V$3)))</f>
        <v/>
      </c>
      <c r="W37" s="124" t="str">
        <f>IF($B37="","",IF(W$3=0,"n.b.",INDEX(SRC_ZPMW03!$A$1:$ZZ$501,$A37,W$3)))</f>
        <v/>
      </c>
      <c r="X37" s="124" t="str">
        <f>IF($B37="","",IF(X$3=0,"n.b.",INDEX(SRC_ZPMW03!$A$1:$ZZ$501,$A37,X$3)))</f>
        <v/>
      </c>
      <c r="Y37" s="124" t="str">
        <f>IF($B37="","",IF(Y$3=0,"n.b.",INDEX(SRC_ZPMW03!$A$1:$ZZ$501,$A37,Y$3)))</f>
        <v/>
      </c>
      <c r="Z37" s="124" t="str">
        <f>IF($B37="","",IF(Z$3=0,"n.b.",INDEX(SRC_ZPMW03!$A$1:$ZZ$501,$A37,Z$3)))</f>
        <v/>
      </c>
      <c r="AA37" s="124" t="str">
        <f>IF($B37="","",IF(AA$3=0,"n.b.",INDEX(SRC_ZPMW03!$A$1:$ZZ$501,$A37,AA$3)))</f>
        <v/>
      </c>
      <c r="AB37" s="124" t="str">
        <f>IF($B37="","",IF(AB$3=0,"n.b.",INDEX(SRC_ZPMW03!$A$1:$ZZ$501,$A37,AB$3)))</f>
        <v/>
      </c>
      <c r="AC37" s="124" t="str">
        <f>IF($B37="","",IF(AC$3=0,"n.b.",INDEX(SRC_ZPMW03!$A$1:$ZZ$501,$A37,AC$3)))</f>
        <v/>
      </c>
      <c r="AD37" s="124" t="str">
        <f>IF($B37="","",IF(AD$3=0,"n.b.",INDEX(SRC_ZPMW03!$A$1:$ZZ$501,$A37,AD$3)))</f>
        <v/>
      </c>
      <c r="AE37" s="124" t="str">
        <f>IF($B37="","",IF(AE$3=0,"n.b.",INDEX(SRC_ZPMW03!$A$1:$ZZ$501,$A37,AE$3)))</f>
        <v/>
      </c>
      <c r="AF37" s="124" t="str">
        <f>IF($B37="","",IF(AF$3=0,"n.b.",INDEX(SRC_ZPMW03!$A$1:$ZZ$501,$A37,AF$3)))</f>
        <v/>
      </c>
      <c r="AG37" s="124" t="str">
        <f>IF($B37="","",IF(AG$3=0,"n.b.",INDEX(SRC_ZPMW03!$A$1:$ZZ$501,$A37,AG$3)))</f>
        <v/>
      </c>
      <c r="AH37" s="124" t="str">
        <f>IF($B37="","",IF(AH$3=0,"n.b.",INDEX(SRC_ZPMW03!$A$1:$ZZ$501,$A37,AH$3)))</f>
        <v/>
      </c>
      <c r="AI37" s="124" t="str">
        <f>IF($B37="","",IF(AI$3=0,"n.b.",INDEX(SRC_ZPMW03!$A$1:$ZZ$501,$A37,AI$3)))</f>
        <v/>
      </c>
      <c r="AJ37" s="124" t="str">
        <f>IF($B37="","",IF(AJ$3=0,"n.b.",INDEX(SRC_ZPMW03!$A$1:$ZZ$501,$A37,AJ$3)))</f>
        <v/>
      </c>
      <c r="AK37" s="124" t="str">
        <f>IF($B37="","",IF(AK$3=0,"n.b.",INDEX(SRC_ZPMW03!$A$1:$ZZ$501,$A37,AK$3)))</f>
        <v/>
      </c>
      <c r="AL37" s="124" t="str">
        <f>IF($B37="","",IF(AL$3=0,"n.b.",INDEX(SRC_ZPMW03!$A$1:$ZZ$501,$A37,AL$3)))</f>
        <v/>
      </c>
      <c r="AM37" s="124" t="str">
        <f>IF($B37="","",IF(AM$3=0,"n.b.",INDEX(SRC_ZPMW03!$A$1:$ZZ$501,$A37,AM$3)))</f>
        <v/>
      </c>
      <c r="AN37" s="124" t="str">
        <f>IF($B37="","",IF(AN$3=0,"n.b.",INDEX(SRC_ZPMW03!$A$1:$ZZ$501,$A37,AN$3)))</f>
        <v/>
      </c>
      <c r="AO37" s="124" t="str">
        <f>IF($B37="","",IF(AO$3=0,"n.b.",INDEX(SRC_ZPMW03!$A$1:$ZZ$501,$A37,AO$3)))</f>
        <v/>
      </c>
      <c r="AP37" s="124" t="str">
        <f>IF($B37="","",IF(AP$3=0,"n.b.",INDEX(SRC_ZPMW03!$A$1:$ZZ$501,$A37,AP$3)))</f>
        <v/>
      </c>
      <c r="AQ37" s="124" t="str">
        <f>IF($B37="","",IF(AQ$3=0,"n.b.",INDEX(SRC_ZPMW03!$A$1:$ZZ$501,$A37,AQ$3)))</f>
        <v/>
      </c>
      <c r="AR37" s="124" t="str">
        <f>IF($B37="","",IF(AR$3=0,"n.b.",INDEX(SRC_ZPMW03!$A$1:$ZZ$501,$A37,AR$3)))</f>
        <v/>
      </c>
      <c r="AS37" s="124" t="str">
        <f>IF($B37="","",IF(AS$3=0,"n.b.",INDEX(SRC_ZPMW03!$A$1:$ZZ$501,$A37,AS$3)))</f>
        <v/>
      </c>
      <c r="AT37" s="124" t="str">
        <f>IF($B37="","",IF(AT$3=0,"n.b.",INDEX(SRC_ZPMW03!$A$1:$ZZ$501,$A37,AT$3)))</f>
        <v/>
      </c>
      <c r="AU37" s="124" t="str">
        <f>IF($B37="","",IF(AU$3=0,"n.b.",INDEX(SRC_ZPMW03!$A$1:$ZZ$501,$A37,AU$3)))</f>
        <v/>
      </c>
      <c r="AV37" s="124" t="str">
        <f>IF($B37="","",IF(AV$3=0,"n.b.",INDEX(SRC_ZPMW03!$A$1:$ZZ$501,$A37,AV$3)))</f>
        <v/>
      </c>
      <c r="AW37" s="124" t="str">
        <f>IF($B37="","",IF(AW$3=0,"n.b.",INDEX(SRC_ZPMW03!$A$1:$ZZ$501,$A37,AW$3)))</f>
        <v/>
      </c>
      <c r="AX37" s="124" t="str">
        <f>IF($B37="","",IF(AX$3=0,"n.b.",INDEX(SRC_ZPMW03!$A$1:$ZZ$501,$A37,AX$3)))</f>
        <v/>
      </c>
      <c r="AY37" s="124" t="str">
        <f>IF($B37="","",IF(AY$3=0,"n.b.",INDEX(SRC_ZPMW03!$A$1:$ZZ$501,$A37,AY$3)))</f>
        <v/>
      </c>
      <c r="AZ37" s="124" t="str">
        <f>IF($B37="","",IF(AZ$3=0,"n.b.",INDEX(SRC_ZPMW03!$A$1:$ZZ$501,$A37,AZ$3)))</f>
        <v/>
      </c>
      <c r="BA37" s="124" t="str">
        <f>IF($B37="","",IF(BA$3=0,"n.b.",INDEX(SRC_ZPMW03!$A$1:$ZZ$501,$A37,BA$3)))</f>
        <v/>
      </c>
      <c r="BB37" s="124" t="str">
        <f>IF($B37="","",IF(BB$3=0,"n.b.",INDEX(SRC_ZPMW03!$A$1:$ZZ$501,$A37,BB$3)))</f>
        <v/>
      </c>
      <c r="BC37" s="124" t="str">
        <f>IF($B37="","",IF(BC$3=0,"n.b.",INDEX(SRC_ZPMW03!$A$1:$ZZ$501,$A37,BC$3)))</f>
        <v/>
      </c>
      <c r="BD37" s="124" t="str">
        <f>IF($B37="","",IF(BD$3=0,"n.b.",INDEX(SRC_ZPMW03!$A$1:$ZZ$501,$A37,BD$3)))</f>
        <v/>
      </c>
      <c r="BE37" s="124" t="str">
        <f>IF($B37="","",IF(BE$3=0,"n.b.",INDEX(SRC_ZPMW03!$A$1:$ZZ$501,$A37,BE$3)))</f>
        <v/>
      </c>
      <c r="BF37" s="124" t="str">
        <f>IF($B37="","",IF(BF$3=0,"n.b.",INDEX(SRC_ZPMW03!$A$1:$ZZ$501,$A37,BF$3)))</f>
        <v/>
      </c>
      <c r="BG37" t="str">
        <f>IF($B37="","",IF(BG$3=0,"n.b.",INDEX(SRC_ZPMW03!$A$1:$ZZ$501,$A37,BG$3)))</f>
        <v/>
      </c>
      <c r="BH37" t="str">
        <f>IF($B37="","",IF(BH$3=0,"n.b.",INDEX(SRC_ZPMW03!$A$1:$ZZ$501,$A37,BH$3)))</f>
        <v/>
      </c>
      <c r="BI37" t="str">
        <f>IF($B37="","",IF(BI$3=0,"n.b.",INDEX(SRC_ZPMW03!$A$1:$ZZ$501,$A37,BI$3)))</f>
        <v/>
      </c>
      <c r="BJ37" t="str">
        <f>IF($B37="","",IF(BJ$3=0,"n.b.",INDEX(SRC_ZPMW03!$A$1:$ZZ$501,$A37,BJ$3)))</f>
        <v/>
      </c>
      <c r="BK37" s="124" t="str">
        <f>IF($B37="","",IFERROR(-O37,"n.b."))</f>
        <v/>
      </c>
      <c r="BL37" s="124" t="str">
        <f>IF($B37="","",IFERROR(-Q37,"n.b."))</f>
        <v/>
      </c>
      <c r="BM37" s="124" t="str">
        <f>IF($B37="","",IFERROR(-AB37,"n.b."))</f>
        <v/>
      </c>
      <c r="BN37" s="124" t="str">
        <f>IF($B37="","",IFERROR(-AD37,"n.b."))</f>
        <v/>
      </c>
      <c r="BO37" s="124" t="str">
        <f>IF($B37="","",IFERROR(BK37+BM37,"n.b."))</f>
        <v/>
      </c>
      <c r="BP37" s="124" t="str">
        <f>IF($B37="","",IFERROR(BL37+BN37,"n.b."))</f>
        <v/>
      </c>
      <c r="BQ37" s="124" t="str">
        <f>IF($B37="","",IFERROR(-AM37,"n.b."))</f>
        <v/>
      </c>
      <c r="BR37" s="124" t="str">
        <f>IF($B37="","",IFERROR(-AO37,"n.b."))</f>
        <v/>
      </c>
      <c r="BS37" s="124" t="str">
        <f>IF($B37="","",IFERROR(-Z37,"n.b."))</f>
        <v/>
      </c>
      <c r="BT37" s="124" t="str">
        <f>IF($B37="","",IFERROR(-AA37,"n.b."))</f>
        <v/>
      </c>
      <c r="BU37" s="124" t="str">
        <f>IF($B37="","",IFERROR(-AE37,"n.b."))</f>
        <v/>
      </c>
      <c r="BV37" s="124" t="str">
        <f>IF($B37="","",IFERROR(-AF37,"n.b."))</f>
        <v/>
      </c>
      <c r="BW37" s="124" t="str">
        <f>IF($B37="","",IFERROR(-AG37,"n.b."))</f>
        <v/>
      </c>
      <c r="BX37" s="124" t="str">
        <f>IF($B37="","",IFERROR(-AH37,"n.b."))</f>
        <v/>
      </c>
      <c r="BY37" s="124" t="str">
        <f>IF($B37="","",IFERROR(-AI37,"n.b."))</f>
        <v/>
      </c>
      <c r="BZ37" s="124" t="str">
        <f>IF($B37="","",IFERROR(-AJ37,"n.b."))</f>
        <v/>
      </c>
      <c r="CA37" s="124" t="str">
        <f>IF($B37="","",IFERROR(-AK37,"n.b."))</f>
        <v/>
      </c>
      <c r="CB37" s="124" t="str">
        <f>IF($B37="","",IFERROR(-AL37,"n.b."))</f>
        <v/>
      </c>
      <c r="CC37" s="124" t="str">
        <f>IF($B37="","",IFERROR(-AP37,"n.b."))</f>
        <v/>
      </c>
      <c r="CD37" s="124" t="str">
        <f>IF($B37="","",IFERROR(-AQ37,"n.b."))</f>
        <v/>
      </c>
      <c r="CE37" s="124" t="str">
        <f>IF($B37="","",IFERROR(-AR37,"n.b."))</f>
        <v/>
      </c>
      <c r="CF37" s="124" t="str">
        <f>IF($B37="","",IFERROR(-AS37,"n.b."))</f>
        <v/>
      </c>
      <c r="CG37" s="124" t="str">
        <f>IF($B37="","",IFERROR(-AT37,"n.b."))</f>
        <v/>
      </c>
      <c r="CH37" s="124" t="str">
        <f>IF($B37="","",IFERROR(-AU37,"n.b."))</f>
        <v/>
      </c>
      <c r="CI37" s="124" t="str">
        <f>IF($B37="","",IFERROR(-AV37,"n.b."))</f>
        <v/>
      </c>
      <c r="CJ37" s="124" t="str">
        <f>IF($B37="","",IFERROR(-AW37,"n.b."))</f>
        <v/>
      </c>
      <c r="CK37" s="124" t="str">
        <f>IF($B37="","",IFERROR(-AX37,"n.b."))</f>
        <v/>
      </c>
      <c r="CL37" s="124" t="str">
        <f>IF($B37="","",IFERROR(-AY37,"n.b."))</f>
        <v/>
      </c>
      <c r="CM37" s="124" t="str">
        <f>IF($B37="","",IFERROR(-AZ37,"n.b."))</f>
        <v/>
      </c>
      <c r="CN37" s="124" t="str">
        <f>IF($B37="","",IFERROR(-BA37,"n.b."))</f>
        <v/>
      </c>
      <c r="CO37" s="124" t="str">
        <f>IF($B37="","",IFERROR(-BB37,"n.b."))</f>
        <v/>
      </c>
      <c r="CP37" s="124" t="str">
        <f>IF($B37="","",IFERROR(-BC37,"n.b."))</f>
        <v/>
      </c>
      <c r="CQ37" s="124" t="str">
        <f>IF($B37="","",IFERROR(-BD37,"n.b."))</f>
        <v/>
      </c>
      <c r="CR37" s="124" t="str">
        <f>IF($B37="","",IFERROR(-BE37,"n.b."))</f>
        <v/>
      </c>
      <c r="CS37" s="124" t="str">
        <f>IF($B37="","",IFERROR(IF(OR(ABS(T37+V37+X37+Z37-AB37)&gt;P_Tol,ABS(U37+W37+Y37+AA37-AD37)&gt;P_Tol,ABS(AE37+AG37+AI37+AK37-AM37)&gt;P_Tol,ABS(AF37+AH37+AJ37+AL37-AO37)&gt;P_Tol),1,0),1))</f>
        <v/>
      </c>
      <c r="CT37" s="124" t="str">
        <f>IF($B37="","",IFERROR(IF(OR(ABS(AB37+AC37-AD37)&gt;P_Tol,ABS(AM37+AN37-AO37)&gt;P_Tol,ABS(O37+P37-Q37)&gt;P_Tol),1,0),1))</f>
        <v/>
      </c>
      <c r="CU37" s="124" t="str">
        <f>IF($B37="","",IFERROR(IF(ABS(R37-(AB37+AM37+AP37+AR37+AT37+AV37+AX37+AZ37+BB37+BD37))&gt;P_Tol,1,0),1))</f>
        <v/>
      </c>
      <c r="CV37" s="124" t="str">
        <f>IF($B37="","",IFERROR(IF(ABS(M37-(N37+O37+R37))&gt;P_Tol,1,0),1))</f>
        <v/>
      </c>
      <c r="CW37" s="124" t="str">
        <f>IF($B37="","",IF(COUNTIF(Mapping!$A$5:$A$104,B37)&gt;0,1,0))</f>
        <v/>
      </c>
      <c r="CX37" s="124" t="str">
        <f>IF($B37="","",COUNTIF($B$6:$B$505,B37))</f>
        <v/>
      </c>
      <c r="CY37" s="124" t="str">
        <f>IF($B37="","",COUNTIF(STG_Woningetalage!$B$6:$B$505,B37))</f>
        <v/>
      </c>
      <c r="CZ37" s="124" t="str">
        <f>IF($B37="","",IF(CW37=0,COUNTIF($CW$6:CW37,0),""))</f>
        <v/>
      </c>
    </row>
    <row r="38">
      <c r="A38" s="15" t="n">
        <v>34</v>
      </c>
      <c r="B38" t="str">
        <f>IF(B$3=0,"",IF(INDEX(SRC_ZPMW03!$A$1:$ZZ$501,$A38,B$3)&amp;""="","",INDEX(SRC_ZPMW03!$A$1:$ZZ$501,$A38,B$3)&amp;""))</f>
        <v/>
      </c>
      <c r="C38" t="str">
        <f>IF($B38="","",IF(C$3=0,"n.b.",INDEX(SRC_ZPMW03!$A$1:$ZZ$501,$A38,C$3)))</f>
        <v/>
      </c>
      <c r="D38" t="str">
        <f>IF($B38="","",IF(D$3=0,"n.b.",INDEX(SRC_ZPMW03!$A$1:$ZZ$501,$A38,D$3)))</f>
        <v/>
      </c>
      <c r="E38" t="str">
        <f>IF($B38="","",IF(E$3=0,"n.b.",INDEX(SRC_ZPMW03!$A$1:$ZZ$501,$A38,E$3)))</f>
        <v/>
      </c>
      <c r="F38" t="str">
        <f>IF($B38="","",IF(F$3=0,"n.b.",INDEX(SRC_ZPMW03!$A$1:$ZZ$501,$A38,F$3)))</f>
        <v/>
      </c>
      <c r="G38" t="str">
        <f>IF($B38="","",IF(G$3=0,"n.b.",INDEX(SRC_ZPMW03!$A$1:$ZZ$501,$A38,G$3)))</f>
        <v/>
      </c>
      <c r="H38" t="str">
        <f>IF($B38="","",IF(H$3=0,"n.b.",INDEX(SRC_ZPMW03!$A$1:$ZZ$501,$A38,H$3)))</f>
        <v/>
      </c>
      <c r="I38" t="str">
        <f>IF($B38="","",IF(I$3=0,"n.b.",INDEX(SRC_ZPMW03!$A$1:$ZZ$501,$A38,I$3)))</f>
        <v/>
      </c>
      <c r="J38" t="str">
        <f>IF($B38="","",IF(J$3=0,"n.b.",INDEX(SRC_ZPMW03!$A$1:$ZZ$501,$A38,J$3)))</f>
        <v/>
      </c>
      <c r="K38" t="str">
        <f>IF($B38="","",IF(K$3=0,"n.b.",INDEX(SRC_ZPMW03!$A$1:$ZZ$501,$A38,K$3)))</f>
        <v/>
      </c>
      <c r="L38" s="124" t="str">
        <f>IF($B38="","",IF(L$3=0,"n.b.",INDEX(SRC_ZPMW03!$A$1:$ZZ$501,$A38,L$3)))</f>
        <v/>
      </c>
      <c r="M38" s="124" t="str">
        <f>IF($B38="","",IF(M$3=0,"n.b.",INDEX(SRC_ZPMW03!$A$1:$ZZ$501,$A38,M$3)))</f>
        <v/>
      </c>
      <c r="N38" s="124" t="str">
        <f>IF($B38="","",IF(N$3=0,"n.b.",INDEX(SRC_ZPMW03!$A$1:$ZZ$501,$A38,N$3)))</f>
        <v/>
      </c>
      <c r="O38" s="124" t="str">
        <f>IF($B38="","",IF(O$3=0,"n.b.",INDEX(SRC_ZPMW03!$A$1:$ZZ$501,$A38,O$3)))</f>
        <v/>
      </c>
      <c r="P38" s="124" t="str">
        <f>IF($B38="","",IF(P$3=0,"n.b.",INDEX(SRC_ZPMW03!$A$1:$ZZ$501,$A38,P$3)))</f>
        <v/>
      </c>
      <c r="Q38" s="124" t="str">
        <f>IF($B38="","",IF(Q$3=0,"n.b.",INDEX(SRC_ZPMW03!$A$1:$ZZ$501,$A38,Q$3)))</f>
        <v/>
      </c>
      <c r="R38" s="124" t="str">
        <f>IF($B38="","",IF(R$3=0,"n.b.",INDEX(SRC_ZPMW03!$A$1:$ZZ$501,$A38,R$3)))</f>
        <v/>
      </c>
      <c r="S38" s="124" t="str">
        <f>IF($B38="","",IF(S$3=0,"n.b.",INDEX(SRC_ZPMW03!$A$1:$ZZ$501,$A38,S$3)))</f>
        <v/>
      </c>
      <c r="T38" s="124" t="str">
        <f>IF($B38="","",IF(T$3=0,"n.b.",INDEX(SRC_ZPMW03!$A$1:$ZZ$501,$A38,T$3)))</f>
        <v/>
      </c>
      <c r="U38" s="124" t="str">
        <f>IF($B38="","",IF(U$3=0,"n.b.",INDEX(SRC_ZPMW03!$A$1:$ZZ$501,$A38,U$3)))</f>
        <v/>
      </c>
      <c r="V38" s="124" t="str">
        <f>IF($B38="","",IF(V$3=0,"n.b.",INDEX(SRC_ZPMW03!$A$1:$ZZ$501,$A38,V$3)))</f>
        <v/>
      </c>
      <c r="W38" s="124" t="str">
        <f>IF($B38="","",IF(W$3=0,"n.b.",INDEX(SRC_ZPMW03!$A$1:$ZZ$501,$A38,W$3)))</f>
        <v/>
      </c>
      <c r="X38" s="124" t="str">
        <f>IF($B38="","",IF(X$3=0,"n.b.",INDEX(SRC_ZPMW03!$A$1:$ZZ$501,$A38,X$3)))</f>
        <v/>
      </c>
      <c r="Y38" s="124" t="str">
        <f>IF($B38="","",IF(Y$3=0,"n.b.",INDEX(SRC_ZPMW03!$A$1:$ZZ$501,$A38,Y$3)))</f>
        <v/>
      </c>
      <c r="Z38" s="124" t="str">
        <f>IF($B38="","",IF(Z$3=0,"n.b.",INDEX(SRC_ZPMW03!$A$1:$ZZ$501,$A38,Z$3)))</f>
        <v/>
      </c>
      <c r="AA38" s="124" t="str">
        <f>IF($B38="","",IF(AA$3=0,"n.b.",INDEX(SRC_ZPMW03!$A$1:$ZZ$501,$A38,AA$3)))</f>
        <v/>
      </c>
      <c r="AB38" s="124" t="str">
        <f>IF($B38="","",IF(AB$3=0,"n.b.",INDEX(SRC_ZPMW03!$A$1:$ZZ$501,$A38,AB$3)))</f>
        <v/>
      </c>
      <c r="AC38" s="124" t="str">
        <f>IF($B38="","",IF(AC$3=0,"n.b.",INDEX(SRC_ZPMW03!$A$1:$ZZ$501,$A38,AC$3)))</f>
        <v/>
      </c>
      <c r="AD38" s="124" t="str">
        <f>IF($B38="","",IF(AD$3=0,"n.b.",INDEX(SRC_ZPMW03!$A$1:$ZZ$501,$A38,AD$3)))</f>
        <v/>
      </c>
      <c r="AE38" s="124" t="str">
        <f>IF($B38="","",IF(AE$3=0,"n.b.",INDEX(SRC_ZPMW03!$A$1:$ZZ$501,$A38,AE$3)))</f>
        <v/>
      </c>
      <c r="AF38" s="124" t="str">
        <f>IF($B38="","",IF(AF$3=0,"n.b.",INDEX(SRC_ZPMW03!$A$1:$ZZ$501,$A38,AF$3)))</f>
        <v/>
      </c>
      <c r="AG38" s="124" t="str">
        <f>IF($B38="","",IF(AG$3=0,"n.b.",INDEX(SRC_ZPMW03!$A$1:$ZZ$501,$A38,AG$3)))</f>
        <v/>
      </c>
      <c r="AH38" s="124" t="str">
        <f>IF($B38="","",IF(AH$3=0,"n.b.",INDEX(SRC_ZPMW03!$A$1:$ZZ$501,$A38,AH$3)))</f>
        <v/>
      </c>
      <c r="AI38" s="124" t="str">
        <f>IF($B38="","",IF(AI$3=0,"n.b.",INDEX(SRC_ZPMW03!$A$1:$ZZ$501,$A38,AI$3)))</f>
        <v/>
      </c>
      <c r="AJ38" s="124" t="str">
        <f>IF($B38="","",IF(AJ$3=0,"n.b.",INDEX(SRC_ZPMW03!$A$1:$ZZ$501,$A38,AJ$3)))</f>
        <v/>
      </c>
      <c r="AK38" s="124" t="str">
        <f>IF($B38="","",IF(AK$3=0,"n.b.",INDEX(SRC_ZPMW03!$A$1:$ZZ$501,$A38,AK$3)))</f>
        <v/>
      </c>
      <c r="AL38" s="124" t="str">
        <f>IF($B38="","",IF(AL$3=0,"n.b.",INDEX(SRC_ZPMW03!$A$1:$ZZ$501,$A38,AL$3)))</f>
        <v/>
      </c>
      <c r="AM38" s="124" t="str">
        <f>IF($B38="","",IF(AM$3=0,"n.b.",INDEX(SRC_ZPMW03!$A$1:$ZZ$501,$A38,AM$3)))</f>
        <v/>
      </c>
      <c r="AN38" s="124" t="str">
        <f>IF($B38="","",IF(AN$3=0,"n.b.",INDEX(SRC_ZPMW03!$A$1:$ZZ$501,$A38,AN$3)))</f>
        <v/>
      </c>
      <c r="AO38" s="124" t="str">
        <f>IF($B38="","",IF(AO$3=0,"n.b.",INDEX(SRC_ZPMW03!$A$1:$ZZ$501,$A38,AO$3)))</f>
        <v/>
      </c>
      <c r="AP38" s="124" t="str">
        <f>IF($B38="","",IF(AP$3=0,"n.b.",INDEX(SRC_ZPMW03!$A$1:$ZZ$501,$A38,AP$3)))</f>
        <v/>
      </c>
      <c r="AQ38" s="124" t="str">
        <f>IF($B38="","",IF(AQ$3=0,"n.b.",INDEX(SRC_ZPMW03!$A$1:$ZZ$501,$A38,AQ$3)))</f>
        <v/>
      </c>
      <c r="AR38" s="124" t="str">
        <f>IF($B38="","",IF(AR$3=0,"n.b.",INDEX(SRC_ZPMW03!$A$1:$ZZ$501,$A38,AR$3)))</f>
        <v/>
      </c>
      <c r="AS38" s="124" t="str">
        <f>IF($B38="","",IF(AS$3=0,"n.b.",INDEX(SRC_ZPMW03!$A$1:$ZZ$501,$A38,AS$3)))</f>
        <v/>
      </c>
      <c r="AT38" s="124" t="str">
        <f>IF($B38="","",IF(AT$3=0,"n.b.",INDEX(SRC_ZPMW03!$A$1:$ZZ$501,$A38,AT$3)))</f>
        <v/>
      </c>
      <c r="AU38" s="124" t="str">
        <f>IF($B38="","",IF(AU$3=0,"n.b.",INDEX(SRC_ZPMW03!$A$1:$ZZ$501,$A38,AU$3)))</f>
        <v/>
      </c>
      <c r="AV38" s="124" t="str">
        <f>IF($B38="","",IF(AV$3=0,"n.b.",INDEX(SRC_ZPMW03!$A$1:$ZZ$501,$A38,AV$3)))</f>
        <v/>
      </c>
      <c r="AW38" s="124" t="str">
        <f>IF($B38="","",IF(AW$3=0,"n.b.",INDEX(SRC_ZPMW03!$A$1:$ZZ$501,$A38,AW$3)))</f>
        <v/>
      </c>
      <c r="AX38" s="124" t="str">
        <f>IF($B38="","",IF(AX$3=0,"n.b.",INDEX(SRC_ZPMW03!$A$1:$ZZ$501,$A38,AX$3)))</f>
        <v/>
      </c>
      <c r="AY38" s="124" t="str">
        <f>IF($B38="","",IF(AY$3=0,"n.b.",INDEX(SRC_ZPMW03!$A$1:$ZZ$501,$A38,AY$3)))</f>
        <v/>
      </c>
      <c r="AZ38" s="124" t="str">
        <f>IF($B38="","",IF(AZ$3=0,"n.b.",INDEX(SRC_ZPMW03!$A$1:$ZZ$501,$A38,AZ$3)))</f>
        <v/>
      </c>
      <c r="BA38" s="124" t="str">
        <f>IF($B38="","",IF(BA$3=0,"n.b.",INDEX(SRC_ZPMW03!$A$1:$ZZ$501,$A38,BA$3)))</f>
        <v/>
      </c>
      <c r="BB38" s="124" t="str">
        <f>IF($B38="","",IF(BB$3=0,"n.b.",INDEX(SRC_ZPMW03!$A$1:$ZZ$501,$A38,BB$3)))</f>
        <v/>
      </c>
      <c r="BC38" s="124" t="str">
        <f>IF($B38="","",IF(BC$3=0,"n.b.",INDEX(SRC_ZPMW03!$A$1:$ZZ$501,$A38,BC$3)))</f>
        <v/>
      </c>
      <c r="BD38" s="124" t="str">
        <f>IF($B38="","",IF(BD$3=0,"n.b.",INDEX(SRC_ZPMW03!$A$1:$ZZ$501,$A38,BD$3)))</f>
        <v/>
      </c>
      <c r="BE38" s="124" t="str">
        <f>IF($B38="","",IF(BE$3=0,"n.b.",INDEX(SRC_ZPMW03!$A$1:$ZZ$501,$A38,BE$3)))</f>
        <v/>
      </c>
      <c r="BF38" s="124" t="str">
        <f>IF($B38="","",IF(BF$3=0,"n.b.",INDEX(SRC_ZPMW03!$A$1:$ZZ$501,$A38,BF$3)))</f>
        <v/>
      </c>
      <c r="BG38" t="str">
        <f>IF($B38="","",IF(BG$3=0,"n.b.",INDEX(SRC_ZPMW03!$A$1:$ZZ$501,$A38,BG$3)))</f>
        <v/>
      </c>
      <c r="BH38" t="str">
        <f>IF($B38="","",IF(BH$3=0,"n.b.",INDEX(SRC_ZPMW03!$A$1:$ZZ$501,$A38,BH$3)))</f>
        <v/>
      </c>
      <c r="BI38" t="str">
        <f>IF($B38="","",IF(BI$3=0,"n.b.",INDEX(SRC_ZPMW03!$A$1:$ZZ$501,$A38,BI$3)))</f>
        <v/>
      </c>
      <c r="BJ38" t="str">
        <f>IF($B38="","",IF(BJ$3=0,"n.b.",INDEX(SRC_ZPMW03!$A$1:$ZZ$501,$A38,BJ$3)))</f>
        <v/>
      </c>
      <c r="BK38" s="124" t="str">
        <f>IF($B38="","",IFERROR(-O38,"n.b."))</f>
        <v/>
      </c>
      <c r="BL38" s="124" t="str">
        <f>IF($B38="","",IFERROR(-Q38,"n.b."))</f>
        <v/>
      </c>
      <c r="BM38" s="124" t="str">
        <f>IF($B38="","",IFERROR(-AB38,"n.b."))</f>
        <v/>
      </c>
      <c r="BN38" s="124" t="str">
        <f>IF($B38="","",IFERROR(-AD38,"n.b."))</f>
        <v/>
      </c>
      <c r="BO38" s="124" t="str">
        <f>IF($B38="","",IFERROR(BK38+BM38,"n.b."))</f>
        <v/>
      </c>
      <c r="BP38" s="124" t="str">
        <f>IF($B38="","",IFERROR(BL38+BN38,"n.b."))</f>
        <v/>
      </c>
      <c r="BQ38" s="124" t="str">
        <f>IF($B38="","",IFERROR(-AM38,"n.b."))</f>
        <v/>
      </c>
      <c r="BR38" s="124" t="str">
        <f>IF($B38="","",IFERROR(-AO38,"n.b."))</f>
        <v/>
      </c>
      <c r="BS38" s="124" t="str">
        <f>IF($B38="","",IFERROR(-Z38,"n.b."))</f>
        <v/>
      </c>
      <c r="BT38" s="124" t="str">
        <f>IF($B38="","",IFERROR(-AA38,"n.b."))</f>
        <v/>
      </c>
      <c r="BU38" s="124" t="str">
        <f>IF($B38="","",IFERROR(-AE38,"n.b."))</f>
        <v/>
      </c>
      <c r="BV38" s="124" t="str">
        <f>IF($B38="","",IFERROR(-AF38,"n.b."))</f>
        <v/>
      </c>
      <c r="BW38" s="124" t="str">
        <f>IF($B38="","",IFERROR(-AG38,"n.b."))</f>
        <v/>
      </c>
      <c r="BX38" s="124" t="str">
        <f>IF($B38="","",IFERROR(-AH38,"n.b."))</f>
        <v/>
      </c>
      <c r="BY38" s="124" t="str">
        <f>IF($B38="","",IFERROR(-AI38,"n.b."))</f>
        <v/>
      </c>
      <c r="BZ38" s="124" t="str">
        <f>IF($B38="","",IFERROR(-AJ38,"n.b."))</f>
        <v/>
      </c>
      <c r="CA38" s="124" t="str">
        <f>IF($B38="","",IFERROR(-AK38,"n.b."))</f>
        <v/>
      </c>
      <c r="CB38" s="124" t="str">
        <f>IF($B38="","",IFERROR(-AL38,"n.b."))</f>
        <v/>
      </c>
      <c r="CC38" s="124" t="str">
        <f>IF($B38="","",IFERROR(-AP38,"n.b."))</f>
        <v/>
      </c>
      <c r="CD38" s="124" t="str">
        <f>IF($B38="","",IFERROR(-AQ38,"n.b."))</f>
        <v/>
      </c>
      <c r="CE38" s="124" t="str">
        <f>IF($B38="","",IFERROR(-AR38,"n.b."))</f>
        <v/>
      </c>
      <c r="CF38" s="124" t="str">
        <f>IF($B38="","",IFERROR(-AS38,"n.b."))</f>
        <v/>
      </c>
      <c r="CG38" s="124" t="str">
        <f>IF($B38="","",IFERROR(-AT38,"n.b."))</f>
        <v/>
      </c>
      <c r="CH38" s="124" t="str">
        <f>IF($B38="","",IFERROR(-AU38,"n.b."))</f>
        <v/>
      </c>
      <c r="CI38" s="124" t="str">
        <f>IF($B38="","",IFERROR(-AV38,"n.b."))</f>
        <v/>
      </c>
      <c r="CJ38" s="124" t="str">
        <f>IF($B38="","",IFERROR(-AW38,"n.b."))</f>
        <v/>
      </c>
      <c r="CK38" s="124" t="str">
        <f>IF($B38="","",IFERROR(-AX38,"n.b."))</f>
        <v/>
      </c>
      <c r="CL38" s="124" t="str">
        <f>IF($B38="","",IFERROR(-AY38,"n.b."))</f>
        <v/>
      </c>
      <c r="CM38" s="124" t="str">
        <f>IF($B38="","",IFERROR(-AZ38,"n.b."))</f>
        <v/>
      </c>
      <c r="CN38" s="124" t="str">
        <f>IF($B38="","",IFERROR(-BA38,"n.b."))</f>
        <v/>
      </c>
      <c r="CO38" s="124" t="str">
        <f>IF($B38="","",IFERROR(-BB38,"n.b."))</f>
        <v/>
      </c>
      <c r="CP38" s="124" t="str">
        <f>IF($B38="","",IFERROR(-BC38,"n.b."))</f>
        <v/>
      </c>
      <c r="CQ38" s="124" t="str">
        <f>IF($B38="","",IFERROR(-BD38,"n.b."))</f>
        <v/>
      </c>
      <c r="CR38" s="124" t="str">
        <f>IF($B38="","",IFERROR(-BE38,"n.b."))</f>
        <v/>
      </c>
      <c r="CS38" s="124" t="str">
        <f>IF($B38="","",IFERROR(IF(OR(ABS(T38+V38+X38+Z38-AB38)&gt;P_Tol,ABS(U38+W38+Y38+AA38-AD38)&gt;P_Tol,ABS(AE38+AG38+AI38+AK38-AM38)&gt;P_Tol,ABS(AF38+AH38+AJ38+AL38-AO38)&gt;P_Tol),1,0),1))</f>
        <v/>
      </c>
      <c r="CT38" s="124" t="str">
        <f>IF($B38="","",IFERROR(IF(OR(ABS(AB38+AC38-AD38)&gt;P_Tol,ABS(AM38+AN38-AO38)&gt;P_Tol,ABS(O38+P38-Q38)&gt;P_Tol),1,0),1))</f>
        <v/>
      </c>
      <c r="CU38" s="124" t="str">
        <f>IF($B38="","",IFERROR(IF(ABS(R38-(AB38+AM38+AP38+AR38+AT38+AV38+AX38+AZ38+BB38+BD38))&gt;P_Tol,1,0),1))</f>
        <v/>
      </c>
      <c r="CV38" s="124" t="str">
        <f>IF($B38="","",IFERROR(IF(ABS(M38-(N38+O38+R38))&gt;P_Tol,1,0),1))</f>
        <v/>
      </c>
      <c r="CW38" s="124" t="str">
        <f>IF($B38="","",IF(COUNTIF(Mapping!$A$5:$A$104,B38)&gt;0,1,0))</f>
        <v/>
      </c>
      <c r="CX38" s="124" t="str">
        <f>IF($B38="","",COUNTIF($B$6:$B$505,B38))</f>
        <v/>
      </c>
      <c r="CY38" s="124" t="str">
        <f>IF($B38="","",COUNTIF(STG_Woningetalage!$B$6:$B$505,B38))</f>
        <v/>
      </c>
      <c r="CZ38" s="124" t="str">
        <f>IF($B38="","",IF(CW38=0,COUNTIF($CW$6:CW38,0),""))</f>
        <v/>
      </c>
    </row>
    <row r="39">
      <c r="A39" s="15" t="n">
        <v>35</v>
      </c>
      <c r="B39" t="str">
        <f>IF(B$3=0,"",IF(INDEX(SRC_ZPMW03!$A$1:$ZZ$501,$A39,B$3)&amp;""="","",INDEX(SRC_ZPMW03!$A$1:$ZZ$501,$A39,B$3)&amp;""))</f>
        <v/>
      </c>
      <c r="C39" t="str">
        <f>IF($B39="","",IF(C$3=0,"n.b.",INDEX(SRC_ZPMW03!$A$1:$ZZ$501,$A39,C$3)))</f>
        <v/>
      </c>
      <c r="D39" t="str">
        <f>IF($B39="","",IF(D$3=0,"n.b.",INDEX(SRC_ZPMW03!$A$1:$ZZ$501,$A39,D$3)))</f>
        <v/>
      </c>
      <c r="E39" t="str">
        <f>IF($B39="","",IF(E$3=0,"n.b.",INDEX(SRC_ZPMW03!$A$1:$ZZ$501,$A39,E$3)))</f>
        <v/>
      </c>
      <c r="F39" t="str">
        <f>IF($B39="","",IF(F$3=0,"n.b.",INDEX(SRC_ZPMW03!$A$1:$ZZ$501,$A39,F$3)))</f>
        <v/>
      </c>
      <c r="G39" t="str">
        <f>IF($B39="","",IF(G$3=0,"n.b.",INDEX(SRC_ZPMW03!$A$1:$ZZ$501,$A39,G$3)))</f>
        <v/>
      </c>
      <c r="H39" t="str">
        <f>IF($B39="","",IF(H$3=0,"n.b.",INDEX(SRC_ZPMW03!$A$1:$ZZ$501,$A39,H$3)))</f>
        <v/>
      </c>
      <c r="I39" t="str">
        <f>IF($B39="","",IF(I$3=0,"n.b.",INDEX(SRC_ZPMW03!$A$1:$ZZ$501,$A39,I$3)))</f>
        <v/>
      </c>
      <c r="J39" t="str">
        <f>IF($B39="","",IF(J$3=0,"n.b.",INDEX(SRC_ZPMW03!$A$1:$ZZ$501,$A39,J$3)))</f>
        <v/>
      </c>
      <c r="K39" t="str">
        <f>IF($B39="","",IF(K$3=0,"n.b.",INDEX(SRC_ZPMW03!$A$1:$ZZ$501,$A39,K$3)))</f>
        <v/>
      </c>
      <c r="L39" s="124" t="str">
        <f>IF($B39="","",IF(L$3=0,"n.b.",INDEX(SRC_ZPMW03!$A$1:$ZZ$501,$A39,L$3)))</f>
        <v/>
      </c>
      <c r="M39" s="124" t="str">
        <f>IF($B39="","",IF(M$3=0,"n.b.",INDEX(SRC_ZPMW03!$A$1:$ZZ$501,$A39,M$3)))</f>
        <v/>
      </c>
      <c r="N39" s="124" t="str">
        <f>IF($B39="","",IF(N$3=0,"n.b.",INDEX(SRC_ZPMW03!$A$1:$ZZ$501,$A39,N$3)))</f>
        <v/>
      </c>
      <c r="O39" s="124" t="str">
        <f>IF($B39="","",IF(O$3=0,"n.b.",INDEX(SRC_ZPMW03!$A$1:$ZZ$501,$A39,O$3)))</f>
        <v/>
      </c>
      <c r="P39" s="124" t="str">
        <f>IF($B39="","",IF(P$3=0,"n.b.",INDEX(SRC_ZPMW03!$A$1:$ZZ$501,$A39,P$3)))</f>
        <v/>
      </c>
      <c r="Q39" s="124" t="str">
        <f>IF($B39="","",IF(Q$3=0,"n.b.",INDEX(SRC_ZPMW03!$A$1:$ZZ$501,$A39,Q$3)))</f>
        <v/>
      </c>
      <c r="R39" s="124" t="str">
        <f>IF($B39="","",IF(R$3=0,"n.b.",INDEX(SRC_ZPMW03!$A$1:$ZZ$501,$A39,R$3)))</f>
        <v/>
      </c>
      <c r="S39" s="124" t="str">
        <f>IF($B39="","",IF(S$3=0,"n.b.",INDEX(SRC_ZPMW03!$A$1:$ZZ$501,$A39,S$3)))</f>
        <v/>
      </c>
      <c r="T39" s="124" t="str">
        <f>IF($B39="","",IF(T$3=0,"n.b.",INDEX(SRC_ZPMW03!$A$1:$ZZ$501,$A39,T$3)))</f>
        <v/>
      </c>
      <c r="U39" s="124" t="str">
        <f>IF($B39="","",IF(U$3=0,"n.b.",INDEX(SRC_ZPMW03!$A$1:$ZZ$501,$A39,U$3)))</f>
        <v/>
      </c>
      <c r="V39" s="124" t="str">
        <f>IF($B39="","",IF(V$3=0,"n.b.",INDEX(SRC_ZPMW03!$A$1:$ZZ$501,$A39,V$3)))</f>
        <v/>
      </c>
      <c r="W39" s="124" t="str">
        <f>IF($B39="","",IF(W$3=0,"n.b.",INDEX(SRC_ZPMW03!$A$1:$ZZ$501,$A39,W$3)))</f>
        <v/>
      </c>
      <c r="X39" s="124" t="str">
        <f>IF($B39="","",IF(X$3=0,"n.b.",INDEX(SRC_ZPMW03!$A$1:$ZZ$501,$A39,X$3)))</f>
        <v/>
      </c>
      <c r="Y39" s="124" t="str">
        <f>IF($B39="","",IF(Y$3=0,"n.b.",INDEX(SRC_ZPMW03!$A$1:$ZZ$501,$A39,Y$3)))</f>
        <v/>
      </c>
      <c r="Z39" s="124" t="str">
        <f>IF($B39="","",IF(Z$3=0,"n.b.",INDEX(SRC_ZPMW03!$A$1:$ZZ$501,$A39,Z$3)))</f>
        <v/>
      </c>
      <c r="AA39" s="124" t="str">
        <f>IF($B39="","",IF(AA$3=0,"n.b.",INDEX(SRC_ZPMW03!$A$1:$ZZ$501,$A39,AA$3)))</f>
        <v/>
      </c>
      <c r="AB39" s="124" t="str">
        <f>IF($B39="","",IF(AB$3=0,"n.b.",INDEX(SRC_ZPMW03!$A$1:$ZZ$501,$A39,AB$3)))</f>
        <v/>
      </c>
      <c r="AC39" s="124" t="str">
        <f>IF($B39="","",IF(AC$3=0,"n.b.",INDEX(SRC_ZPMW03!$A$1:$ZZ$501,$A39,AC$3)))</f>
        <v/>
      </c>
      <c r="AD39" s="124" t="str">
        <f>IF($B39="","",IF(AD$3=0,"n.b.",INDEX(SRC_ZPMW03!$A$1:$ZZ$501,$A39,AD$3)))</f>
        <v/>
      </c>
      <c r="AE39" s="124" t="str">
        <f>IF($B39="","",IF(AE$3=0,"n.b.",INDEX(SRC_ZPMW03!$A$1:$ZZ$501,$A39,AE$3)))</f>
        <v/>
      </c>
      <c r="AF39" s="124" t="str">
        <f>IF($B39="","",IF(AF$3=0,"n.b.",INDEX(SRC_ZPMW03!$A$1:$ZZ$501,$A39,AF$3)))</f>
        <v/>
      </c>
      <c r="AG39" s="124" t="str">
        <f>IF($B39="","",IF(AG$3=0,"n.b.",INDEX(SRC_ZPMW03!$A$1:$ZZ$501,$A39,AG$3)))</f>
        <v/>
      </c>
      <c r="AH39" s="124" t="str">
        <f>IF($B39="","",IF(AH$3=0,"n.b.",INDEX(SRC_ZPMW03!$A$1:$ZZ$501,$A39,AH$3)))</f>
        <v/>
      </c>
      <c r="AI39" s="124" t="str">
        <f>IF($B39="","",IF(AI$3=0,"n.b.",INDEX(SRC_ZPMW03!$A$1:$ZZ$501,$A39,AI$3)))</f>
        <v/>
      </c>
      <c r="AJ39" s="124" t="str">
        <f>IF($B39="","",IF(AJ$3=0,"n.b.",INDEX(SRC_ZPMW03!$A$1:$ZZ$501,$A39,AJ$3)))</f>
        <v/>
      </c>
      <c r="AK39" s="124" t="str">
        <f>IF($B39="","",IF(AK$3=0,"n.b.",INDEX(SRC_ZPMW03!$A$1:$ZZ$501,$A39,AK$3)))</f>
        <v/>
      </c>
      <c r="AL39" s="124" t="str">
        <f>IF($B39="","",IF(AL$3=0,"n.b.",INDEX(SRC_ZPMW03!$A$1:$ZZ$501,$A39,AL$3)))</f>
        <v/>
      </c>
      <c r="AM39" s="124" t="str">
        <f>IF($B39="","",IF(AM$3=0,"n.b.",INDEX(SRC_ZPMW03!$A$1:$ZZ$501,$A39,AM$3)))</f>
        <v/>
      </c>
      <c r="AN39" s="124" t="str">
        <f>IF($B39="","",IF(AN$3=0,"n.b.",INDEX(SRC_ZPMW03!$A$1:$ZZ$501,$A39,AN$3)))</f>
        <v/>
      </c>
      <c r="AO39" s="124" t="str">
        <f>IF($B39="","",IF(AO$3=0,"n.b.",INDEX(SRC_ZPMW03!$A$1:$ZZ$501,$A39,AO$3)))</f>
        <v/>
      </c>
      <c r="AP39" s="124" t="str">
        <f>IF($B39="","",IF(AP$3=0,"n.b.",INDEX(SRC_ZPMW03!$A$1:$ZZ$501,$A39,AP$3)))</f>
        <v/>
      </c>
      <c r="AQ39" s="124" t="str">
        <f>IF($B39="","",IF(AQ$3=0,"n.b.",INDEX(SRC_ZPMW03!$A$1:$ZZ$501,$A39,AQ$3)))</f>
        <v/>
      </c>
      <c r="AR39" s="124" t="str">
        <f>IF($B39="","",IF(AR$3=0,"n.b.",INDEX(SRC_ZPMW03!$A$1:$ZZ$501,$A39,AR$3)))</f>
        <v/>
      </c>
      <c r="AS39" s="124" t="str">
        <f>IF($B39="","",IF(AS$3=0,"n.b.",INDEX(SRC_ZPMW03!$A$1:$ZZ$501,$A39,AS$3)))</f>
        <v/>
      </c>
      <c r="AT39" s="124" t="str">
        <f>IF($B39="","",IF(AT$3=0,"n.b.",INDEX(SRC_ZPMW03!$A$1:$ZZ$501,$A39,AT$3)))</f>
        <v/>
      </c>
      <c r="AU39" s="124" t="str">
        <f>IF($B39="","",IF(AU$3=0,"n.b.",INDEX(SRC_ZPMW03!$A$1:$ZZ$501,$A39,AU$3)))</f>
        <v/>
      </c>
      <c r="AV39" s="124" t="str">
        <f>IF($B39="","",IF(AV$3=0,"n.b.",INDEX(SRC_ZPMW03!$A$1:$ZZ$501,$A39,AV$3)))</f>
        <v/>
      </c>
      <c r="AW39" s="124" t="str">
        <f>IF($B39="","",IF(AW$3=0,"n.b.",INDEX(SRC_ZPMW03!$A$1:$ZZ$501,$A39,AW$3)))</f>
        <v/>
      </c>
      <c r="AX39" s="124" t="str">
        <f>IF($B39="","",IF(AX$3=0,"n.b.",INDEX(SRC_ZPMW03!$A$1:$ZZ$501,$A39,AX$3)))</f>
        <v/>
      </c>
      <c r="AY39" s="124" t="str">
        <f>IF($B39="","",IF(AY$3=0,"n.b.",INDEX(SRC_ZPMW03!$A$1:$ZZ$501,$A39,AY$3)))</f>
        <v/>
      </c>
      <c r="AZ39" s="124" t="str">
        <f>IF($B39="","",IF(AZ$3=0,"n.b.",INDEX(SRC_ZPMW03!$A$1:$ZZ$501,$A39,AZ$3)))</f>
        <v/>
      </c>
      <c r="BA39" s="124" t="str">
        <f>IF($B39="","",IF(BA$3=0,"n.b.",INDEX(SRC_ZPMW03!$A$1:$ZZ$501,$A39,BA$3)))</f>
        <v/>
      </c>
      <c r="BB39" s="124" t="str">
        <f>IF($B39="","",IF(BB$3=0,"n.b.",INDEX(SRC_ZPMW03!$A$1:$ZZ$501,$A39,BB$3)))</f>
        <v/>
      </c>
      <c r="BC39" s="124" t="str">
        <f>IF($B39="","",IF(BC$3=0,"n.b.",INDEX(SRC_ZPMW03!$A$1:$ZZ$501,$A39,BC$3)))</f>
        <v/>
      </c>
      <c r="BD39" s="124" t="str">
        <f>IF($B39="","",IF(BD$3=0,"n.b.",INDEX(SRC_ZPMW03!$A$1:$ZZ$501,$A39,BD$3)))</f>
        <v/>
      </c>
      <c r="BE39" s="124" t="str">
        <f>IF($B39="","",IF(BE$3=0,"n.b.",INDEX(SRC_ZPMW03!$A$1:$ZZ$501,$A39,BE$3)))</f>
        <v/>
      </c>
      <c r="BF39" s="124" t="str">
        <f>IF($B39="","",IF(BF$3=0,"n.b.",INDEX(SRC_ZPMW03!$A$1:$ZZ$501,$A39,BF$3)))</f>
        <v/>
      </c>
      <c r="BG39" t="str">
        <f>IF($B39="","",IF(BG$3=0,"n.b.",INDEX(SRC_ZPMW03!$A$1:$ZZ$501,$A39,BG$3)))</f>
        <v/>
      </c>
      <c r="BH39" t="str">
        <f>IF($B39="","",IF(BH$3=0,"n.b.",INDEX(SRC_ZPMW03!$A$1:$ZZ$501,$A39,BH$3)))</f>
        <v/>
      </c>
      <c r="BI39" t="str">
        <f>IF($B39="","",IF(BI$3=0,"n.b.",INDEX(SRC_ZPMW03!$A$1:$ZZ$501,$A39,BI$3)))</f>
        <v/>
      </c>
      <c r="BJ39" t="str">
        <f>IF($B39="","",IF(BJ$3=0,"n.b.",INDEX(SRC_ZPMW03!$A$1:$ZZ$501,$A39,BJ$3)))</f>
        <v/>
      </c>
      <c r="BK39" s="124" t="str">
        <f>IF($B39="","",IFERROR(-O39,"n.b."))</f>
        <v/>
      </c>
      <c r="BL39" s="124" t="str">
        <f>IF($B39="","",IFERROR(-Q39,"n.b."))</f>
        <v/>
      </c>
      <c r="BM39" s="124" t="str">
        <f>IF($B39="","",IFERROR(-AB39,"n.b."))</f>
        <v/>
      </c>
      <c r="BN39" s="124" t="str">
        <f>IF($B39="","",IFERROR(-AD39,"n.b."))</f>
        <v/>
      </c>
      <c r="BO39" s="124" t="str">
        <f>IF($B39="","",IFERROR(BK39+BM39,"n.b."))</f>
        <v/>
      </c>
      <c r="BP39" s="124" t="str">
        <f>IF($B39="","",IFERROR(BL39+BN39,"n.b."))</f>
        <v/>
      </c>
      <c r="BQ39" s="124" t="str">
        <f>IF($B39="","",IFERROR(-AM39,"n.b."))</f>
        <v/>
      </c>
      <c r="BR39" s="124" t="str">
        <f>IF($B39="","",IFERROR(-AO39,"n.b."))</f>
        <v/>
      </c>
      <c r="BS39" s="124" t="str">
        <f>IF($B39="","",IFERROR(-Z39,"n.b."))</f>
        <v/>
      </c>
      <c r="BT39" s="124" t="str">
        <f>IF($B39="","",IFERROR(-AA39,"n.b."))</f>
        <v/>
      </c>
      <c r="BU39" s="124" t="str">
        <f>IF($B39="","",IFERROR(-AE39,"n.b."))</f>
        <v/>
      </c>
      <c r="BV39" s="124" t="str">
        <f>IF($B39="","",IFERROR(-AF39,"n.b."))</f>
        <v/>
      </c>
      <c r="BW39" s="124" t="str">
        <f>IF($B39="","",IFERROR(-AG39,"n.b."))</f>
        <v/>
      </c>
      <c r="BX39" s="124" t="str">
        <f>IF($B39="","",IFERROR(-AH39,"n.b."))</f>
        <v/>
      </c>
      <c r="BY39" s="124" t="str">
        <f>IF($B39="","",IFERROR(-AI39,"n.b."))</f>
        <v/>
      </c>
      <c r="BZ39" s="124" t="str">
        <f>IF($B39="","",IFERROR(-AJ39,"n.b."))</f>
        <v/>
      </c>
      <c r="CA39" s="124" t="str">
        <f>IF($B39="","",IFERROR(-AK39,"n.b."))</f>
        <v/>
      </c>
      <c r="CB39" s="124" t="str">
        <f>IF($B39="","",IFERROR(-AL39,"n.b."))</f>
        <v/>
      </c>
      <c r="CC39" s="124" t="str">
        <f>IF($B39="","",IFERROR(-AP39,"n.b."))</f>
        <v/>
      </c>
      <c r="CD39" s="124" t="str">
        <f>IF($B39="","",IFERROR(-AQ39,"n.b."))</f>
        <v/>
      </c>
      <c r="CE39" s="124" t="str">
        <f>IF($B39="","",IFERROR(-AR39,"n.b."))</f>
        <v/>
      </c>
      <c r="CF39" s="124" t="str">
        <f>IF($B39="","",IFERROR(-AS39,"n.b."))</f>
        <v/>
      </c>
      <c r="CG39" s="124" t="str">
        <f>IF($B39="","",IFERROR(-AT39,"n.b."))</f>
        <v/>
      </c>
      <c r="CH39" s="124" t="str">
        <f>IF($B39="","",IFERROR(-AU39,"n.b."))</f>
        <v/>
      </c>
      <c r="CI39" s="124" t="str">
        <f>IF($B39="","",IFERROR(-AV39,"n.b."))</f>
        <v/>
      </c>
      <c r="CJ39" s="124" t="str">
        <f>IF($B39="","",IFERROR(-AW39,"n.b."))</f>
        <v/>
      </c>
      <c r="CK39" s="124" t="str">
        <f>IF($B39="","",IFERROR(-AX39,"n.b."))</f>
        <v/>
      </c>
      <c r="CL39" s="124" t="str">
        <f>IF($B39="","",IFERROR(-AY39,"n.b."))</f>
        <v/>
      </c>
      <c r="CM39" s="124" t="str">
        <f>IF($B39="","",IFERROR(-AZ39,"n.b."))</f>
        <v/>
      </c>
      <c r="CN39" s="124" t="str">
        <f>IF($B39="","",IFERROR(-BA39,"n.b."))</f>
        <v/>
      </c>
      <c r="CO39" s="124" t="str">
        <f>IF($B39="","",IFERROR(-BB39,"n.b."))</f>
        <v/>
      </c>
      <c r="CP39" s="124" t="str">
        <f>IF($B39="","",IFERROR(-BC39,"n.b."))</f>
        <v/>
      </c>
      <c r="CQ39" s="124" t="str">
        <f>IF($B39="","",IFERROR(-BD39,"n.b."))</f>
        <v/>
      </c>
      <c r="CR39" s="124" t="str">
        <f>IF($B39="","",IFERROR(-BE39,"n.b."))</f>
        <v/>
      </c>
      <c r="CS39" s="124" t="str">
        <f>IF($B39="","",IFERROR(IF(OR(ABS(T39+V39+X39+Z39-AB39)&gt;P_Tol,ABS(U39+W39+Y39+AA39-AD39)&gt;P_Tol,ABS(AE39+AG39+AI39+AK39-AM39)&gt;P_Tol,ABS(AF39+AH39+AJ39+AL39-AO39)&gt;P_Tol),1,0),1))</f>
        <v/>
      </c>
      <c r="CT39" s="124" t="str">
        <f>IF($B39="","",IFERROR(IF(OR(ABS(AB39+AC39-AD39)&gt;P_Tol,ABS(AM39+AN39-AO39)&gt;P_Tol,ABS(O39+P39-Q39)&gt;P_Tol),1,0),1))</f>
        <v/>
      </c>
      <c r="CU39" s="124" t="str">
        <f>IF($B39="","",IFERROR(IF(ABS(R39-(AB39+AM39+AP39+AR39+AT39+AV39+AX39+AZ39+BB39+BD39))&gt;P_Tol,1,0),1))</f>
        <v/>
      </c>
      <c r="CV39" s="124" t="str">
        <f>IF($B39="","",IFERROR(IF(ABS(M39-(N39+O39+R39))&gt;P_Tol,1,0),1))</f>
        <v/>
      </c>
      <c r="CW39" s="124" t="str">
        <f>IF($B39="","",IF(COUNTIF(Mapping!$A$5:$A$104,B39)&gt;0,1,0))</f>
        <v/>
      </c>
      <c r="CX39" s="124" t="str">
        <f>IF($B39="","",COUNTIF($B$6:$B$505,B39))</f>
        <v/>
      </c>
      <c r="CY39" s="124" t="str">
        <f>IF($B39="","",COUNTIF(STG_Woningetalage!$B$6:$B$505,B39))</f>
        <v/>
      </c>
      <c r="CZ39" s="124" t="str">
        <f>IF($B39="","",IF(CW39=0,COUNTIF($CW$6:CW39,0),""))</f>
        <v/>
      </c>
    </row>
    <row r="40">
      <c r="A40" s="15" t="n">
        <v>36</v>
      </c>
      <c r="B40" t="str">
        <f>IF(B$3=0,"",IF(INDEX(SRC_ZPMW03!$A$1:$ZZ$501,$A40,B$3)&amp;""="","",INDEX(SRC_ZPMW03!$A$1:$ZZ$501,$A40,B$3)&amp;""))</f>
        <v/>
      </c>
      <c r="C40" t="str">
        <f>IF($B40="","",IF(C$3=0,"n.b.",INDEX(SRC_ZPMW03!$A$1:$ZZ$501,$A40,C$3)))</f>
        <v/>
      </c>
      <c r="D40" t="str">
        <f>IF($B40="","",IF(D$3=0,"n.b.",INDEX(SRC_ZPMW03!$A$1:$ZZ$501,$A40,D$3)))</f>
        <v/>
      </c>
      <c r="E40" t="str">
        <f>IF($B40="","",IF(E$3=0,"n.b.",INDEX(SRC_ZPMW03!$A$1:$ZZ$501,$A40,E$3)))</f>
        <v/>
      </c>
      <c r="F40" t="str">
        <f>IF($B40="","",IF(F$3=0,"n.b.",INDEX(SRC_ZPMW03!$A$1:$ZZ$501,$A40,F$3)))</f>
        <v/>
      </c>
      <c r="G40" t="str">
        <f>IF($B40="","",IF(G$3=0,"n.b.",INDEX(SRC_ZPMW03!$A$1:$ZZ$501,$A40,G$3)))</f>
        <v/>
      </c>
      <c r="H40" t="str">
        <f>IF($B40="","",IF(H$3=0,"n.b.",INDEX(SRC_ZPMW03!$A$1:$ZZ$501,$A40,H$3)))</f>
        <v/>
      </c>
      <c r="I40" t="str">
        <f>IF($B40="","",IF(I$3=0,"n.b.",INDEX(SRC_ZPMW03!$A$1:$ZZ$501,$A40,I$3)))</f>
        <v/>
      </c>
      <c r="J40" t="str">
        <f>IF($B40="","",IF(J$3=0,"n.b.",INDEX(SRC_ZPMW03!$A$1:$ZZ$501,$A40,J$3)))</f>
        <v/>
      </c>
      <c r="K40" t="str">
        <f>IF($B40="","",IF(K$3=0,"n.b.",INDEX(SRC_ZPMW03!$A$1:$ZZ$501,$A40,K$3)))</f>
        <v/>
      </c>
      <c r="L40" s="124" t="str">
        <f>IF($B40="","",IF(L$3=0,"n.b.",INDEX(SRC_ZPMW03!$A$1:$ZZ$501,$A40,L$3)))</f>
        <v/>
      </c>
      <c r="M40" s="124" t="str">
        <f>IF($B40="","",IF(M$3=0,"n.b.",INDEX(SRC_ZPMW03!$A$1:$ZZ$501,$A40,M$3)))</f>
        <v/>
      </c>
      <c r="N40" s="124" t="str">
        <f>IF($B40="","",IF(N$3=0,"n.b.",INDEX(SRC_ZPMW03!$A$1:$ZZ$501,$A40,N$3)))</f>
        <v/>
      </c>
      <c r="O40" s="124" t="str">
        <f>IF($B40="","",IF(O$3=0,"n.b.",INDEX(SRC_ZPMW03!$A$1:$ZZ$501,$A40,O$3)))</f>
        <v/>
      </c>
      <c r="P40" s="124" t="str">
        <f>IF($B40="","",IF(P$3=0,"n.b.",INDEX(SRC_ZPMW03!$A$1:$ZZ$501,$A40,P$3)))</f>
        <v/>
      </c>
      <c r="Q40" s="124" t="str">
        <f>IF($B40="","",IF(Q$3=0,"n.b.",INDEX(SRC_ZPMW03!$A$1:$ZZ$501,$A40,Q$3)))</f>
        <v/>
      </c>
      <c r="R40" s="124" t="str">
        <f>IF($B40="","",IF(R$3=0,"n.b.",INDEX(SRC_ZPMW03!$A$1:$ZZ$501,$A40,R$3)))</f>
        <v/>
      </c>
      <c r="S40" s="124" t="str">
        <f>IF($B40="","",IF(S$3=0,"n.b.",INDEX(SRC_ZPMW03!$A$1:$ZZ$501,$A40,S$3)))</f>
        <v/>
      </c>
      <c r="T40" s="124" t="str">
        <f>IF($B40="","",IF(T$3=0,"n.b.",INDEX(SRC_ZPMW03!$A$1:$ZZ$501,$A40,T$3)))</f>
        <v/>
      </c>
      <c r="U40" s="124" t="str">
        <f>IF($B40="","",IF(U$3=0,"n.b.",INDEX(SRC_ZPMW03!$A$1:$ZZ$501,$A40,U$3)))</f>
        <v/>
      </c>
      <c r="V40" s="124" t="str">
        <f>IF($B40="","",IF(V$3=0,"n.b.",INDEX(SRC_ZPMW03!$A$1:$ZZ$501,$A40,V$3)))</f>
        <v/>
      </c>
      <c r="W40" s="124" t="str">
        <f>IF($B40="","",IF(W$3=0,"n.b.",INDEX(SRC_ZPMW03!$A$1:$ZZ$501,$A40,W$3)))</f>
        <v/>
      </c>
      <c r="X40" s="124" t="str">
        <f>IF($B40="","",IF(X$3=0,"n.b.",INDEX(SRC_ZPMW03!$A$1:$ZZ$501,$A40,X$3)))</f>
        <v/>
      </c>
      <c r="Y40" s="124" t="str">
        <f>IF($B40="","",IF(Y$3=0,"n.b.",INDEX(SRC_ZPMW03!$A$1:$ZZ$501,$A40,Y$3)))</f>
        <v/>
      </c>
      <c r="Z40" s="124" t="str">
        <f>IF($B40="","",IF(Z$3=0,"n.b.",INDEX(SRC_ZPMW03!$A$1:$ZZ$501,$A40,Z$3)))</f>
        <v/>
      </c>
      <c r="AA40" s="124" t="str">
        <f>IF($B40="","",IF(AA$3=0,"n.b.",INDEX(SRC_ZPMW03!$A$1:$ZZ$501,$A40,AA$3)))</f>
        <v/>
      </c>
      <c r="AB40" s="124" t="str">
        <f>IF($B40="","",IF(AB$3=0,"n.b.",INDEX(SRC_ZPMW03!$A$1:$ZZ$501,$A40,AB$3)))</f>
        <v/>
      </c>
      <c r="AC40" s="124" t="str">
        <f>IF($B40="","",IF(AC$3=0,"n.b.",INDEX(SRC_ZPMW03!$A$1:$ZZ$501,$A40,AC$3)))</f>
        <v/>
      </c>
      <c r="AD40" s="124" t="str">
        <f>IF($B40="","",IF(AD$3=0,"n.b.",INDEX(SRC_ZPMW03!$A$1:$ZZ$501,$A40,AD$3)))</f>
        <v/>
      </c>
      <c r="AE40" s="124" t="str">
        <f>IF($B40="","",IF(AE$3=0,"n.b.",INDEX(SRC_ZPMW03!$A$1:$ZZ$501,$A40,AE$3)))</f>
        <v/>
      </c>
      <c r="AF40" s="124" t="str">
        <f>IF($B40="","",IF(AF$3=0,"n.b.",INDEX(SRC_ZPMW03!$A$1:$ZZ$501,$A40,AF$3)))</f>
        <v/>
      </c>
      <c r="AG40" s="124" t="str">
        <f>IF($B40="","",IF(AG$3=0,"n.b.",INDEX(SRC_ZPMW03!$A$1:$ZZ$501,$A40,AG$3)))</f>
        <v/>
      </c>
      <c r="AH40" s="124" t="str">
        <f>IF($B40="","",IF(AH$3=0,"n.b.",INDEX(SRC_ZPMW03!$A$1:$ZZ$501,$A40,AH$3)))</f>
        <v/>
      </c>
      <c r="AI40" s="124" t="str">
        <f>IF($B40="","",IF(AI$3=0,"n.b.",INDEX(SRC_ZPMW03!$A$1:$ZZ$501,$A40,AI$3)))</f>
        <v/>
      </c>
      <c r="AJ40" s="124" t="str">
        <f>IF($B40="","",IF(AJ$3=0,"n.b.",INDEX(SRC_ZPMW03!$A$1:$ZZ$501,$A40,AJ$3)))</f>
        <v/>
      </c>
      <c r="AK40" s="124" t="str">
        <f>IF($B40="","",IF(AK$3=0,"n.b.",INDEX(SRC_ZPMW03!$A$1:$ZZ$501,$A40,AK$3)))</f>
        <v/>
      </c>
      <c r="AL40" s="124" t="str">
        <f>IF($B40="","",IF(AL$3=0,"n.b.",INDEX(SRC_ZPMW03!$A$1:$ZZ$501,$A40,AL$3)))</f>
        <v/>
      </c>
      <c r="AM40" s="124" t="str">
        <f>IF($B40="","",IF(AM$3=0,"n.b.",INDEX(SRC_ZPMW03!$A$1:$ZZ$501,$A40,AM$3)))</f>
        <v/>
      </c>
      <c r="AN40" s="124" t="str">
        <f>IF($B40="","",IF(AN$3=0,"n.b.",INDEX(SRC_ZPMW03!$A$1:$ZZ$501,$A40,AN$3)))</f>
        <v/>
      </c>
      <c r="AO40" s="124" t="str">
        <f>IF($B40="","",IF(AO$3=0,"n.b.",INDEX(SRC_ZPMW03!$A$1:$ZZ$501,$A40,AO$3)))</f>
        <v/>
      </c>
      <c r="AP40" s="124" t="str">
        <f>IF($B40="","",IF(AP$3=0,"n.b.",INDEX(SRC_ZPMW03!$A$1:$ZZ$501,$A40,AP$3)))</f>
        <v/>
      </c>
      <c r="AQ40" s="124" t="str">
        <f>IF($B40="","",IF(AQ$3=0,"n.b.",INDEX(SRC_ZPMW03!$A$1:$ZZ$501,$A40,AQ$3)))</f>
        <v/>
      </c>
      <c r="AR40" s="124" t="str">
        <f>IF($B40="","",IF(AR$3=0,"n.b.",INDEX(SRC_ZPMW03!$A$1:$ZZ$501,$A40,AR$3)))</f>
        <v/>
      </c>
      <c r="AS40" s="124" t="str">
        <f>IF($B40="","",IF(AS$3=0,"n.b.",INDEX(SRC_ZPMW03!$A$1:$ZZ$501,$A40,AS$3)))</f>
        <v/>
      </c>
      <c r="AT40" s="124" t="str">
        <f>IF($B40="","",IF(AT$3=0,"n.b.",INDEX(SRC_ZPMW03!$A$1:$ZZ$501,$A40,AT$3)))</f>
        <v/>
      </c>
      <c r="AU40" s="124" t="str">
        <f>IF($B40="","",IF(AU$3=0,"n.b.",INDEX(SRC_ZPMW03!$A$1:$ZZ$501,$A40,AU$3)))</f>
        <v/>
      </c>
      <c r="AV40" s="124" t="str">
        <f>IF($B40="","",IF(AV$3=0,"n.b.",INDEX(SRC_ZPMW03!$A$1:$ZZ$501,$A40,AV$3)))</f>
        <v/>
      </c>
      <c r="AW40" s="124" t="str">
        <f>IF($B40="","",IF(AW$3=0,"n.b.",INDEX(SRC_ZPMW03!$A$1:$ZZ$501,$A40,AW$3)))</f>
        <v/>
      </c>
      <c r="AX40" s="124" t="str">
        <f>IF($B40="","",IF(AX$3=0,"n.b.",INDEX(SRC_ZPMW03!$A$1:$ZZ$501,$A40,AX$3)))</f>
        <v/>
      </c>
      <c r="AY40" s="124" t="str">
        <f>IF($B40="","",IF(AY$3=0,"n.b.",INDEX(SRC_ZPMW03!$A$1:$ZZ$501,$A40,AY$3)))</f>
        <v/>
      </c>
      <c r="AZ40" s="124" t="str">
        <f>IF($B40="","",IF(AZ$3=0,"n.b.",INDEX(SRC_ZPMW03!$A$1:$ZZ$501,$A40,AZ$3)))</f>
        <v/>
      </c>
      <c r="BA40" s="124" t="str">
        <f>IF($B40="","",IF(BA$3=0,"n.b.",INDEX(SRC_ZPMW03!$A$1:$ZZ$501,$A40,BA$3)))</f>
        <v/>
      </c>
      <c r="BB40" s="124" t="str">
        <f>IF($B40="","",IF(BB$3=0,"n.b.",INDEX(SRC_ZPMW03!$A$1:$ZZ$501,$A40,BB$3)))</f>
        <v/>
      </c>
      <c r="BC40" s="124" t="str">
        <f>IF($B40="","",IF(BC$3=0,"n.b.",INDEX(SRC_ZPMW03!$A$1:$ZZ$501,$A40,BC$3)))</f>
        <v/>
      </c>
      <c r="BD40" s="124" t="str">
        <f>IF($B40="","",IF(BD$3=0,"n.b.",INDEX(SRC_ZPMW03!$A$1:$ZZ$501,$A40,BD$3)))</f>
        <v/>
      </c>
      <c r="BE40" s="124" t="str">
        <f>IF($B40="","",IF(BE$3=0,"n.b.",INDEX(SRC_ZPMW03!$A$1:$ZZ$501,$A40,BE$3)))</f>
        <v/>
      </c>
      <c r="BF40" s="124" t="str">
        <f>IF($B40="","",IF(BF$3=0,"n.b.",INDEX(SRC_ZPMW03!$A$1:$ZZ$501,$A40,BF$3)))</f>
        <v/>
      </c>
      <c r="BG40" t="str">
        <f>IF($B40="","",IF(BG$3=0,"n.b.",INDEX(SRC_ZPMW03!$A$1:$ZZ$501,$A40,BG$3)))</f>
        <v/>
      </c>
      <c r="BH40" t="str">
        <f>IF($B40="","",IF(BH$3=0,"n.b.",INDEX(SRC_ZPMW03!$A$1:$ZZ$501,$A40,BH$3)))</f>
        <v/>
      </c>
      <c r="BI40" t="str">
        <f>IF($B40="","",IF(BI$3=0,"n.b.",INDEX(SRC_ZPMW03!$A$1:$ZZ$501,$A40,BI$3)))</f>
        <v/>
      </c>
      <c r="BJ40" t="str">
        <f>IF($B40="","",IF(BJ$3=0,"n.b.",INDEX(SRC_ZPMW03!$A$1:$ZZ$501,$A40,BJ$3)))</f>
        <v/>
      </c>
      <c r="BK40" s="124" t="str">
        <f>IF($B40="","",IFERROR(-O40,"n.b."))</f>
        <v/>
      </c>
      <c r="BL40" s="124" t="str">
        <f>IF($B40="","",IFERROR(-Q40,"n.b."))</f>
        <v/>
      </c>
      <c r="BM40" s="124" t="str">
        <f>IF($B40="","",IFERROR(-AB40,"n.b."))</f>
        <v/>
      </c>
      <c r="BN40" s="124" t="str">
        <f>IF($B40="","",IFERROR(-AD40,"n.b."))</f>
        <v/>
      </c>
      <c r="BO40" s="124" t="str">
        <f>IF($B40="","",IFERROR(BK40+BM40,"n.b."))</f>
        <v/>
      </c>
      <c r="BP40" s="124" t="str">
        <f>IF($B40="","",IFERROR(BL40+BN40,"n.b."))</f>
        <v/>
      </c>
      <c r="BQ40" s="124" t="str">
        <f>IF($B40="","",IFERROR(-AM40,"n.b."))</f>
        <v/>
      </c>
      <c r="BR40" s="124" t="str">
        <f>IF($B40="","",IFERROR(-AO40,"n.b."))</f>
        <v/>
      </c>
      <c r="BS40" s="124" t="str">
        <f>IF($B40="","",IFERROR(-Z40,"n.b."))</f>
        <v/>
      </c>
      <c r="BT40" s="124" t="str">
        <f>IF($B40="","",IFERROR(-AA40,"n.b."))</f>
        <v/>
      </c>
      <c r="BU40" s="124" t="str">
        <f>IF($B40="","",IFERROR(-AE40,"n.b."))</f>
        <v/>
      </c>
      <c r="BV40" s="124" t="str">
        <f>IF($B40="","",IFERROR(-AF40,"n.b."))</f>
        <v/>
      </c>
      <c r="BW40" s="124" t="str">
        <f>IF($B40="","",IFERROR(-AG40,"n.b."))</f>
        <v/>
      </c>
      <c r="BX40" s="124" t="str">
        <f>IF($B40="","",IFERROR(-AH40,"n.b."))</f>
        <v/>
      </c>
      <c r="BY40" s="124" t="str">
        <f>IF($B40="","",IFERROR(-AI40,"n.b."))</f>
        <v/>
      </c>
      <c r="BZ40" s="124" t="str">
        <f>IF($B40="","",IFERROR(-AJ40,"n.b."))</f>
        <v/>
      </c>
      <c r="CA40" s="124" t="str">
        <f>IF($B40="","",IFERROR(-AK40,"n.b."))</f>
        <v/>
      </c>
      <c r="CB40" s="124" t="str">
        <f>IF($B40="","",IFERROR(-AL40,"n.b."))</f>
        <v/>
      </c>
      <c r="CC40" s="124" t="str">
        <f>IF($B40="","",IFERROR(-AP40,"n.b."))</f>
        <v/>
      </c>
      <c r="CD40" s="124" t="str">
        <f>IF($B40="","",IFERROR(-AQ40,"n.b."))</f>
        <v/>
      </c>
      <c r="CE40" s="124" t="str">
        <f>IF($B40="","",IFERROR(-AR40,"n.b."))</f>
        <v/>
      </c>
      <c r="CF40" s="124" t="str">
        <f>IF($B40="","",IFERROR(-AS40,"n.b."))</f>
        <v/>
      </c>
      <c r="CG40" s="124" t="str">
        <f>IF($B40="","",IFERROR(-AT40,"n.b."))</f>
        <v/>
      </c>
      <c r="CH40" s="124" t="str">
        <f>IF($B40="","",IFERROR(-AU40,"n.b."))</f>
        <v/>
      </c>
      <c r="CI40" s="124" t="str">
        <f>IF($B40="","",IFERROR(-AV40,"n.b."))</f>
        <v/>
      </c>
      <c r="CJ40" s="124" t="str">
        <f>IF($B40="","",IFERROR(-AW40,"n.b."))</f>
        <v/>
      </c>
      <c r="CK40" s="124" t="str">
        <f>IF($B40="","",IFERROR(-AX40,"n.b."))</f>
        <v/>
      </c>
      <c r="CL40" s="124" t="str">
        <f>IF($B40="","",IFERROR(-AY40,"n.b."))</f>
        <v/>
      </c>
      <c r="CM40" s="124" t="str">
        <f>IF($B40="","",IFERROR(-AZ40,"n.b."))</f>
        <v/>
      </c>
      <c r="CN40" s="124" t="str">
        <f>IF($B40="","",IFERROR(-BA40,"n.b."))</f>
        <v/>
      </c>
      <c r="CO40" s="124" t="str">
        <f>IF($B40="","",IFERROR(-BB40,"n.b."))</f>
        <v/>
      </c>
      <c r="CP40" s="124" t="str">
        <f>IF($B40="","",IFERROR(-BC40,"n.b."))</f>
        <v/>
      </c>
      <c r="CQ40" s="124" t="str">
        <f>IF($B40="","",IFERROR(-BD40,"n.b."))</f>
        <v/>
      </c>
      <c r="CR40" s="124" t="str">
        <f>IF($B40="","",IFERROR(-BE40,"n.b."))</f>
        <v/>
      </c>
      <c r="CS40" s="124" t="str">
        <f>IF($B40="","",IFERROR(IF(OR(ABS(T40+V40+X40+Z40-AB40)&gt;P_Tol,ABS(U40+W40+Y40+AA40-AD40)&gt;P_Tol,ABS(AE40+AG40+AI40+AK40-AM40)&gt;P_Tol,ABS(AF40+AH40+AJ40+AL40-AO40)&gt;P_Tol),1,0),1))</f>
        <v/>
      </c>
      <c r="CT40" s="124" t="str">
        <f>IF($B40="","",IFERROR(IF(OR(ABS(AB40+AC40-AD40)&gt;P_Tol,ABS(AM40+AN40-AO40)&gt;P_Tol,ABS(O40+P40-Q40)&gt;P_Tol),1,0),1))</f>
        <v/>
      </c>
      <c r="CU40" s="124" t="str">
        <f>IF($B40="","",IFERROR(IF(ABS(R40-(AB40+AM40+AP40+AR40+AT40+AV40+AX40+AZ40+BB40+BD40))&gt;P_Tol,1,0),1))</f>
        <v/>
      </c>
      <c r="CV40" s="124" t="str">
        <f>IF($B40="","",IFERROR(IF(ABS(M40-(N40+O40+R40))&gt;P_Tol,1,0),1))</f>
        <v/>
      </c>
      <c r="CW40" s="124" t="str">
        <f>IF($B40="","",IF(COUNTIF(Mapping!$A$5:$A$104,B40)&gt;0,1,0))</f>
        <v/>
      </c>
      <c r="CX40" s="124" t="str">
        <f>IF($B40="","",COUNTIF($B$6:$B$505,B40))</f>
        <v/>
      </c>
      <c r="CY40" s="124" t="str">
        <f>IF($B40="","",COUNTIF(STG_Woningetalage!$B$6:$B$505,B40))</f>
        <v/>
      </c>
      <c r="CZ40" s="124" t="str">
        <f>IF($B40="","",IF(CW40=0,COUNTIF($CW$6:CW40,0),""))</f>
        <v/>
      </c>
    </row>
    <row r="41">
      <c r="A41" s="15" t="n">
        <v>37</v>
      </c>
      <c r="B41" t="str">
        <f>IF(B$3=0,"",IF(INDEX(SRC_ZPMW03!$A$1:$ZZ$501,$A41,B$3)&amp;""="","",INDEX(SRC_ZPMW03!$A$1:$ZZ$501,$A41,B$3)&amp;""))</f>
        <v/>
      </c>
      <c r="C41" t="str">
        <f>IF($B41="","",IF(C$3=0,"n.b.",INDEX(SRC_ZPMW03!$A$1:$ZZ$501,$A41,C$3)))</f>
        <v/>
      </c>
      <c r="D41" t="str">
        <f>IF($B41="","",IF(D$3=0,"n.b.",INDEX(SRC_ZPMW03!$A$1:$ZZ$501,$A41,D$3)))</f>
        <v/>
      </c>
      <c r="E41" t="str">
        <f>IF($B41="","",IF(E$3=0,"n.b.",INDEX(SRC_ZPMW03!$A$1:$ZZ$501,$A41,E$3)))</f>
        <v/>
      </c>
      <c r="F41" t="str">
        <f>IF($B41="","",IF(F$3=0,"n.b.",INDEX(SRC_ZPMW03!$A$1:$ZZ$501,$A41,F$3)))</f>
        <v/>
      </c>
      <c r="G41" t="str">
        <f>IF($B41="","",IF(G$3=0,"n.b.",INDEX(SRC_ZPMW03!$A$1:$ZZ$501,$A41,G$3)))</f>
        <v/>
      </c>
      <c r="H41" t="str">
        <f>IF($B41="","",IF(H$3=0,"n.b.",INDEX(SRC_ZPMW03!$A$1:$ZZ$501,$A41,H$3)))</f>
        <v/>
      </c>
      <c r="I41" t="str">
        <f>IF($B41="","",IF(I$3=0,"n.b.",INDEX(SRC_ZPMW03!$A$1:$ZZ$501,$A41,I$3)))</f>
        <v/>
      </c>
      <c r="J41" t="str">
        <f>IF($B41="","",IF(J$3=0,"n.b.",INDEX(SRC_ZPMW03!$A$1:$ZZ$501,$A41,J$3)))</f>
        <v/>
      </c>
      <c r="K41" t="str">
        <f>IF($B41="","",IF(K$3=0,"n.b.",INDEX(SRC_ZPMW03!$A$1:$ZZ$501,$A41,K$3)))</f>
        <v/>
      </c>
      <c r="L41" s="124" t="str">
        <f>IF($B41="","",IF(L$3=0,"n.b.",INDEX(SRC_ZPMW03!$A$1:$ZZ$501,$A41,L$3)))</f>
        <v/>
      </c>
      <c r="M41" s="124" t="str">
        <f>IF($B41="","",IF(M$3=0,"n.b.",INDEX(SRC_ZPMW03!$A$1:$ZZ$501,$A41,M$3)))</f>
        <v/>
      </c>
      <c r="N41" s="124" t="str">
        <f>IF($B41="","",IF(N$3=0,"n.b.",INDEX(SRC_ZPMW03!$A$1:$ZZ$501,$A41,N$3)))</f>
        <v/>
      </c>
      <c r="O41" s="124" t="str">
        <f>IF($B41="","",IF(O$3=0,"n.b.",INDEX(SRC_ZPMW03!$A$1:$ZZ$501,$A41,O$3)))</f>
        <v/>
      </c>
      <c r="P41" s="124" t="str">
        <f>IF($B41="","",IF(P$3=0,"n.b.",INDEX(SRC_ZPMW03!$A$1:$ZZ$501,$A41,P$3)))</f>
        <v/>
      </c>
      <c r="Q41" s="124" t="str">
        <f>IF($B41="","",IF(Q$3=0,"n.b.",INDEX(SRC_ZPMW03!$A$1:$ZZ$501,$A41,Q$3)))</f>
        <v/>
      </c>
      <c r="R41" s="124" t="str">
        <f>IF($B41="","",IF(R$3=0,"n.b.",INDEX(SRC_ZPMW03!$A$1:$ZZ$501,$A41,R$3)))</f>
        <v/>
      </c>
      <c r="S41" s="124" t="str">
        <f>IF($B41="","",IF(S$3=0,"n.b.",INDEX(SRC_ZPMW03!$A$1:$ZZ$501,$A41,S$3)))</f>
        <v/>
      </c>
      <c r="T41" s="124" t="str">
        <f>IF($B41="","",IF(T$3=0,"n.b.",INDEX(SRC_ZPMW03!$A$1:$ZZ$501,$A41,T$3)))</f>
        <v/>
      </c>
      <c r="U41" s="124" t="str">
        <f>IF($B41="","",IF(U$3=0,"n.b.",INDEX(SRC_ZPMW03!$A$1:$ZZ$501,$A41,U$3)))</f>
        <v/>
      </c>
      <c r="V41" s="124" t="str">
        <f>IF($B41="","",IF(V$3=0,"n.b.",INDEX(SRC_ZPMW03!$A$1:$ZZ$501,$A41,V$3)))</f>
        <v/>
      </c>
      <c r="W41" s="124" t="str">
        <f>IF($B41="","",IF(W$3=0,"n.b.",INDEX(SRC_ZPMW03!$A$1:$ZZ$501,$A41,W$3)))</f>
        <v/>
      </c>
      <c r="X41" s="124" t="str">
        <f>IF($B41="","",IF(X$3=0,"n.b.",INDEX(SRC_ZPMW03!$A$1:$ZZ$501,$A41,X$3)))</f>
        <v/>
      </c>
      <c r="Y41" s="124" t="str">
        <f>IF($B41="","",IF(Y$3=0,"n.b.",INDEX(SRC_ZPMW03!$A$1:$ZZ$501,$A41,Y$3)))</f>
        <v/>
      </c>
      <c r="Z41" s="124" t="str">
        <f>IF($B41="","",IF(Z$3=0,"n.b.",INDEX(SRC_ZPMW03!$A$1:$ZZ$501,$A41,Z$3)))</f>
        <v/>
      </c>
      <c r="AA41" s="124" t="str">
        <f>IF($B41="","",IF(AA$3=0,"n.b.",INDEX(SRC_ZPMW03!$A$1:$ZZ$501,$A41,AA$3)))</f>
        <v/>
      </c>
      <c r="AB41" s="124" t="str">
        <f>IF($B41="","",IF(AB$3=0,"n.b.",INDEX(SRC_ZPMW03!$A$1:$ZZ$501,$A41,AB$3)))</f>
        <v/>
      </c>
      <c r="AC41" s="124" t="str">
        <f>IF($B41="","",IF(AC$3=0,"n.b.",INDEX(SRC_ZPMW03!$A$1:$ZZ$501,$A41,AC$3)))</f>
        <v/>
      </c>
      <c r="AD41" s="124" t="str">
        <f>IF($B41="","",IF(AD$3=0,"n.b.",INDEX(SRC_ZPMW03!$A$1:$ZZ$501,$A41,AD$3)))</f>
        <v/>
      </c>
      <c r="AE41" s="124" t="str">
        <f>IF($B41="","",IF(AE$3=0,"n.b.",INDEX(SRC_ZPMW03!$A$1:$ZZ$501,$A41,AE$3)))</f>
        <v/>
      </c>
      <c r="AF41" s="124" t="str">
        <f>IF($B41="","",IF(AF$3=0,"n.b.",INDEX(SRC_ZPMW03!$A$1:$ZZ$501,$A41,AF$3)))</f>
        <v/>
      </c>
      <c r="AG41" s="124" t="str">
        <f>IF($B41="","",IF(AG$3=0,"n.b.",INDEX(SRC_ZPMW03!$A$1:$ZZ$501,$A41,AG$3)))</f>
        <v/>
      </c>
      <c r="AH41" s="124" t="str">
        <f>IF($B41="","",IF(AH$3=0,"n.b.",INDEX(SRC_ZPMW03!$A$1:$ZZ$501,$A41,AH$3)))</f>
        <v/>
      </c>
      <c r="AI41" s="124" t="str">
        <f>IF($B41="","",IF(AI$3=0,"n.b.",INDEX(SRC_ZPMW03!$A$1:$ZZ$501,$A41,AI$3)))</f>
        <v/>
      </c>
      <c r="AJ41" s="124" t="str">
        <f>IF($B41="","",IF(AJ$3=0,"n.b.",INDEX(SRC_ZPMW03!$A$1:$ZZ$501,$A41,AJ$3)))</f>
        <v/>
      </c>
      <c r="AK41" s="124" t="str">
        <f>IF($B41="","",IF(AK$3=0,"n.b.",INDEX(SRC_ZPMW03!$A$1:$ZZ$501,$A41,AK$3)))</f>
        <v/>
      </c>
      <c r="AL41" s="124" t="str">
        <f>IF($B41="","",IF(AL$3=0,"n.b.",INDEX(SRC_ZPMW03!$A$1:$ZZ$501,$A41,AL$3)))</f>
        <v/>
      </c>
      <c r="AM41" s="124" t="str">
        <f>IF($B41="","",IF(AM$3=0,"n.b.",INDEX(SRC_ZPMW03!$A$1:$ZZ$501,$A41,AM$3)))</f>
        <v/>
      </c>
      <c r="AN41" s="124" t="str">
        <f>IF($B41="","",IF(AN$3=0,"n.b.",INDEX(SRC_ZPMW03!$A$1:$ZZ$501,$A41,AN$3)))</f>
        <v/>
      </c>
      <c r="AO41" s="124" t="str">
        <f>IF($B41="","",IF(AO$3=0,"n.b.",INDEX(SRC_ZPMW03!$A$1:$ZZ$501,$A41,AO$3)))</f>
        <v/>
      </c>
      <c r="AP41" s="124" t="str">
        <f>IF($B41="","",IF(AP$3=0,"n.b.",INDEX(SRC_ZPMW03!$A$1:$ZZ$501,$A41,AP$3)))</f>
        <v/>
      </c>
      <c r="AQ41" s="124" t="str">
        <f>IF($B41="","",IF(AQ$3=0,"n.b.",INDEX(SRC_ZPMW03!$A$1:$ZZ$501,$A41,AQ$3)))</f>
        <v/>
      </c>
      <c r="AR41" s="124" t="str">
        <f>IF($B41="","",IF(AR$3=0,"n.b.",INDEX(SRC_ZPMW03!$A$1:$ZZ$501,$A41,AR$3)))</f>
        <v/>
      </c>
      <c r="AS41" s="124" t="str">
        <f>IF($B41="","",IF(AS$3=0,"n.b.",INDEX(SRC_ZPMW03!$A$1:$ZZ$501,$A41,AS$3)))</f>
        <v/>
      </c>
      <c r="AT41" s="124" t="str">
        <f>IF($B41="","",IF(AT$3=0,"n.b.",INDEX(SRC_ZPMW03!$A$1:$ZZ$501,$A41,AT$3)))</f>
        <v/>
      </c>
      <c r="AU41" s="124" t="str">
        <f>IF($B41="","",IF(AU$3=0,"n.b.",INDEX(SRC_ZPMW03!$A$1:$ZZ$501,$A41,AU$3)))</f>
        <v/>
      </c>
      <c r="AV41" s="124" t="str">
        <f>IF($B41="","",IF(AV$3=0,"n.b.",INDEX(SRC_ZPMW03!$A$1:$ZZ$501,$A41,AV$3)))</f>
        <v/>
      </c>
      <c r="AW41" s="124" t="str">
        <f>IF($B41="","",IF(AW$3=0,"n.b.",INDEX(SRC_ZPMW03!$A$1:$ZZ$501,$A41,AW$3)))</f>
        <v/>
      </c>
      <c r="AX41" s="124" t="str">
        <f>IF($B41="","",IF(AX$3=0,"n.b.",INDEX(SRC_ZPMW03!$A$1:$ZZ$501,$A41,AX$3)))</f>
        <v/>
      </c>
      <c r="AY41" s="124" t="str">
        <f>IF($B41="","",IF(AY$3=0,"n.b.",INDEX(SRC_ZPMW03!$A$1:$ZZ$501,$A41,AY$3)))</f>
        <v/>
      </c>
      <c r="AZ41" s="124" t="str">
        <f>IF($B41="","",IF(AZ$3=0,"n.b.",INDEX(SRC_ZPMW03!$A$1:$ZZ$501,$A41,AZ$3)))</f>
        <v/>
      </c>
      <c r="BA41" s="124" t="str">
        <f>IF($B41="","",IF(BA$3=0,"n.b.",INDEX(SRC_ZPMW03!$A$1:$ZZ$501,$A41,BA$3)))</f>
        <v/>
      </c>
      <c r="BB41" s="124" t="str">
        <f>IF($B41="","",IF(BB$3=0,"n.b.",INDEX(SRC_ZPMW03!$A$1:$ZZ$501,$A41,BB$3)))</f>
        <v/>
      </c>
      <c r="BC41" s="124" t="str">
        <f>IF($B41="","",IF(BC$3=0,"n.b.",INDEX(SRC_ZPMW03!$A$1:$ZZ$501,$A41,BC$3)))</f>
        <v/>
      </c>
      <c r="BD41" s="124" t="str">
        <f>IF($B41="","",IF(BD$3=0,"n.b.",INDEX(SRC_ZPMW03!$A$1:$ZZ$501,$A41,BD$3)))</f>
        <v/>
      </c>
      <c r="BE41" s="124" t="str">
        <f>IF($B41="","",IF(BE$3=0,"n.b.",INDEX(SRC_ZPMW03!$A$1:$ZZ$501,$A41,BE$3)))</f>
        <v/>
      </c>
      <c r="BF41" s="124" t="str">
        <f>IF($B41="","",IF(BF$3=0,"n.b.",INDEX(SRC_ZPMW03!$A$1:$ZZ$501,$A41,BF$3)))</f>
        <v/>
      </c>
      <c r="BG41" t="str">
        <f>IF($B41="","",IF(BG$3=0,"n.b.",INDEX(SRC_ZPMW03!$A$1:$ZZ$501,$A41,BG$3)))</f>
        <v/>
      </c>
      <c r="BH41" t="str">
        <f>IF($B41="","",IF(BH$3=0,"n.b.",INDEX(SRC_ZPMW03!$A$1:$ZZ$501,$A41,BH$3)))</f>
        <v/>
      </c>
      <c r="BI41" t="str">
        <f>IF($B41="","",IF(BI$3=0,"n.b.",INDEX(SRC_ZPMW03!$A$1:$ZZ$501,$A41,BI$3)))</f>
        <v/>
      </c>
      <c r="BJ41" t="str">
        <f>IF($B41="","",IF(BJ$3=0,"n.b.",INDEX(SRC_ZPMW03!$A$1:$ZZ$501,$A41,BJ$3)))</f>
        <v/>
      </c>
      <c r="BK41" s="124" t="str">
        <f>IF($B41="","",IFERROR(-O41,"n.b."))</f>
        <v/>
      </c>
      <c r="BL41" s="124" t="str">
        <f>IF($B41="","",IFERROR(-Q41,"n.b."))</f>
        <v/>
      </c>
      <c r="BM41" s="124" t="str">
        <f>IF($B41="","",IFERROR(-AB41,"n.b."))</f>
        <v/>
      </c>
      <c r="BN41" s="124" t="str">
        <f>IF($B41="","",IFERROR(-AD41,"n.b."))</f>
        <v/>
      </c>
      <c r="BO41" s="124" t="str">
        <f>IF($B41="","",IFERROR(BK41+BM41,"n.b."))</f>
        <v/>
      </c>
      <c r="BP41" s="124" t="str">
        <f>IF($B41="","",IFERROR(BL41+BN41,"n.b."))</f>
        <v/>
      </c>
      <c r="BQ41" s="124" t="str">
        <f>IF($B41="","",IFERROR(-AM41,"n.b."))</f>
        <v/>
      </c>
      <c r="BR41" s="124" t="str">
        <f>IF($B41="","",IFERROR(-AO41,"n.b."))</f>
        <v/>
      </c>
      <c r="BS41" s="124" t="str">
        <f>IF($B41="","",IFERROR(-Z41,"n.b."))</f>
        <v/>
      </c>
      <c r="BT41" s="124" t="str">
        <f>IF($B41="","",IFERROR(-AA41,"n.b."))</f>
        <v/>
      </c>
      <c r="BU41" s="124" t="str">
        <f>IF($B41="","",IFERROR(-AE41,"n.b."))</f>
        <v/>
      </c>
      <c r="BV41" s="124" t="str">
        <f>IF($B41="","",IFERROR(-AF41,"n.b."))</f>
        <v/>
      </c>
      <c r="BW41" s="124" t="str">
        <f>IF($B41="","",IFERROR(-AG41,"n.b."))</f>
        <v/>
      </c>
      <c r="BX41" s="124" t="str">
        <f>IF($B41="","",IFERROR(-AH41,"n.b."))</f>
        <v/>
      </c>
      <c r="BY41" s="124" t="str">
        <f>IF($B41="","",IFERROR(-AI41,"n.b."))</f>
        <v/>
      </c>
      <c r="BZ41" s="124" t="str">
        <f>IF($B41="","",IFERROR(-AJ41,"n.b."))</f>
        <v/>
      </c>
      <c r="CA41" s="124" t="str">
        <f>IF($B41="","",IFERROR(-AK41,"n.b."))</f>
        <v/>
      </c>
      <c r="CB41" s="124" t="str">
        <f>IF($B41="","",IFERROR(-AL41,"n.b."))</f>
        <v/>
      </c>
      <c r="CC41" s="124" t="str">
        <f>IF($B41="","",IFERROR(-AP41,"n.b."))</f>
        <v/>
      </c>
      <c r="CD41" s="124" t="str">
        <f>IF($B41="","",IFERROR(-AQ41,"n.b."))</f>
        <v/>
      </c>
      <c r="CE41" s="124" t="str">
        <f>IF($B41="","",IFERROR(-AR41,"n.b."))</f>
        <v/>
      </c>
      <c r="CF41" s="124" t="str">
        <f>IF($B41="","",IFERROR(-AS41,"n.b."))</f>
        <v/>
      </c>
      <c r="CG41" s="124" t="str">
        <f>IF($B41="","",IFERROR(-AT41,"n.b."))</f>
        <v/>
      </c>
      <c r="CH41" s="124" t="str">
        <f>IF($B41="","",IFERROR(-AU41,"n.b."))</f>
        <v/>
      </c>
      <c r="CI41" s="124" t="str">
        <f>IF($B41="","",IFERROR(-AV41,"n.b."))</f>
        <v/>
      </c>
      <c r="CJ41" s="124" t="str">
        <f>IF($B41="","",IFERROR(-AW41,"n.b."))</f>
        <v/>
      </c>
      <c r="CK41" s="124" t="str">
        <f>IF($B41="","",IFERROR(-AX41,"n.b."))</f>
        <v/>
      </c>
      <c r="CL41" s="124" t="str">
        <f>IF($B41="","",IFERROR(-AY41,"n.b."))</f>
        <v/>
      </c>
      <c r="CM41" s="124" t="str">
        <f>IF($B41="","",IFERROR(-AZ41,"n.b."))</f>
        <v/>
      </c>
      <c r="CN41" s="124" t="str">
        <f>IF($B41="","",IFERROR(-BA41,"n.b."))</f>
        <v/>
      </c>
      <c r="CO41" s="124" t="str">
        <f>IF($B41="","",IFERROR(-BB41,"n.b."))</f>
        <v/>
      </c>
      <c r="CP41" s="124" t="str">
        <f>IF($B41="","",IFERROR(-BC41,"n.b."))</f>
        <v/>
      </c>
      <c r="CQ41" s="124" t="str">
        <f>IF($B41="","",IFERROR(-BD41,"n.b."))</f>
        <v/>
      </c>
      <c r="CR41" s="124" t="str">
        <f>IF($B41="","",IFERROR(-BE41,"n.b."))</f>
        <v/>
      </c>
      <c r="CS41" s="124" t="str">
        <f>IF($B41="","",IFERROR(IF(OR(ABS(T41+V41+X41+Z41-AB41)&gt;P_Tol,ABS(U41+W41+Y41+AA41-AD41)&gt;P_Tol,ABS(AE41+AG41+AI41+AK41-AM41)&gt;P_Tol,ABS(AF41+AH41+AJ41+AL41-AO41)&gt;P_Tol),1,0),1))</f>
        <v/>
      </c>
      <c r="CT41" s="124" t="str">
        <f>IF($B41="","",IFERROR(IF(OR(ABS(AB41+AC41-AD41)&gt;P_Tol,ABS(AM41+AN41-AO41)&gt;P_Tol,ABS(O41+P41-Q41)&gt;P_Tol),1,0),1))</f>
        <v/>
      </c>
      <c r="CU41" s="124" t="str">
        <f>IF($B41="","",IFERROR(IF(ABS(R41-(AB41+AM41+AP41+AR41+AT41+AV41+AX41+AZ41+BB41+BD41))&gt;P_Tol,1,0),1))</f>
        <v/>
      </c>
      <c r="CV41" s="124" t="str">
        <f>IF($B41="","",IFERROR(IF(ABS(M41-(N41+O41+R41))&gt;P_Tol,1,0),1))</f>
        <v/>
      </c>
      <c r="CW41" s="124" t="str">
        <f>IF($B41="","",IF(COUNTIF(Mapping!$A$5:$A$104,B41)&gt;0,1,0))</f>
        <v/>
      </c>
      <c r="CX41" s="124" t="str">
        <f>IF($B41="","",COUNTIF($B$6:$B$505,B41))</f>
        <v/>
      </c>
      <c r="CY41" s="124" t="str">
        <f>IF($B41="","",COUNTIF(STG_Woningetalage!$B$6:$B$505,B41))</f>
        <v/>
      </c>
      <c r="CZ41" s="124" t="str">
        <f>IF($B41="","",IF(CW41=0,COUNTIF($CW$6:CW41,0),""))</f>
        <v/>
      </c>
    </row>
    <row r="42">
      <c r="A42" s="15" t="n">
        <v>38</v>
      </c>
      <c r="B42" t="str">
        <f>IF(B$3=0,"",IF(INDEX(SRC_ZPMW03!$A$1:$ZZ$501,$A42,B$3)&amp;""="","",INDEX(SRC_ZPMW03!$A$1:$ZZ$501,$A42,B$3)&amp;""))</f>
        <v/>
      </c>
      <c r="C42" t="str">
        <f>IF($B42="","",IF(C$3=0,"n.b.",INDEX(SRC_ZPMW03!$A$1:$ZZ$501,$A42,C$3)))</f>
        <v/>
      </c>
      <c r="D42" t="str">
        <f>IF($B42="","",IF(D$3=0,"n.b.",INDEX(SRC_ZPMW03!$A$1:$ZZ$501,$A42,D$3)))</f>
        <v/>
      </c>
      <c r="E42" t="str">
        <f>IF($B42="","",IF(E$3=0,"n.b.",INDEX(SRC_ZPMW03!$A$1:$ZZ$501,$A42,E$3)))</f>
        <v/>
      </c>
      <c r="F42" t="str">
        <f>IF($B42="","",IF(F$3=0,"n.b.",INDEX(SRC_ZPMW03!$A$1:$ZZ$501,$A42,F$3)))</f>
        <v/>
      </c>
      <c r="G42" t="str">
        <f>IF($B42="","",IF(G$3=0,"n.b.",INDEX(SRC_ZPMW03!$A$1:$ZZ$501,$A42,G$3)))</f>
        <v/>
      </c>
      <c r="H42" t="str">
        <f>IF($B42="","",IF(H$3=0,"n.b.",INDEX(SRC_ZPMW03!$A$1:$ZZ$501,$A42,H$3)))</f>
        <v/>
      </c>
      <c r="I42" t="str">
        <f>IF($B42="","",IF(I$3=0,"n.b.",INDEX(SRC_ZPMW03!$A$1:$ZZ$501,$A42,I$3)))</f>
        <v/>
      </c>
      <c r="J42" t="str">
        <f>IF($B42="","",IF(J$3=0,"n.b.",INDEX(SRC_ZPMW03!$A$1:$ZZ$501,$A42,J$3)))</f>
        <v/>
      </c>
      <c r="K42" t="str">
        <f>IF($B42="","",IF(K$3=0,"n.b.",INDEX(SRC_ZPMW03!$A$1:$ZZ$501,$A42,K$3)))</f>
        <v/>
      </c>
      <c r="L42" s="124" t="str">
        <f>IF($B42="","",IF(L$3=0,"n.b.",INDEX(SRC_ZPMW03!$A$1:$ZZ$501,$A42,L$3)))</f>
        <v/>
      </c>
      <c r="M42" s="124" t="str">
        <f>IF($B42="","",IF(M$3=0,"n.b.",INDEX(SRC_ZPMW03!$A$1:$ZZ$501,$A42,M$3)))</f>
        <v/>
      </c>
      <c r="N42" s="124" t="str">
        <f>IF($B42="","",IF(N$3=0,"n.b.",INDEX(SRC_ZPMW03!$A$1:$ZZ$501,$A42,N$3)))</f>
        <v/>
      </c>
      <c r="O42" s="124" t="str">
        <f>IF($B42="","",IF(O$3=0,"n.b.",INDEX(SRC_ZPMW03!$A$1:$ZZ$501,$A42,O$3)))</f>
        <v/>
      </c>
      <c r="P42" s="124" t="str">
        <f>IF($B42="","",IF(P$3=0,"n.b.",INDEX(SRC_ZPMW03!$A$1:$ZZ$501,$A42,P$3)))</f>
        <v/>
      </c>
      <c r="Q42" s="124" t="str">
        <f>IF($B42="","",IF(Q$3=0,"n.b.",INDEX(SRC_ZPMW03!$A$1:$ZZ$501,$A42,Q$3)))</f>
        <v/>
      </c>
      <c r="R42" s="124" t="str">
        <f>IF($B42="","",IF(R$3=0,"n.b.",INDEX(SRC_ZPMW03!$A$1:$ZZ$501,$A42,R$3)))</f>
        <v/>
      </c>
      <c r="S42" s="124" t="str">
        <f>IF($B42="","",IF(S$3=0,"n.b.",INDEX(SRC_ZPMW03!$A$1:$ZZ$501,$A42,S$3)))</f>
        <v/>
      </c>
      <c r="T42" s="124" t="str">
        <f>IF($B42="","",IF(T$3=0,"n.b.",INDEX(SRC_ZPMW03!$A$1:$ZZ$501,$A42,T$3)))</f>
        <v/>
      </c>
      <c r="U42" s="124" t="str">
        <f>IF($B42="","",IF(U$3=0,"n.b.",INDEX(SRC_ZPMW03!$A$1:$ZZ$501,$A42,U$3)))</f>
        <v/>
      </c>
      <c r="V42" s="124" t="str">
        <f>IF($B42="","",IF(V$3=0,"n.b.",INDEX(SRC_ZPMW03!$A$1:$ZZ$501,$A42,V$3)))</f>
        <v/>
      </c>
      <c r="W42" s="124" t="str">
        <f>IF($B42="","",IF(W$3=0,"n.b.",INDEX(SRC_ZPMW03!$A$1:$ZZ$501,$A42,W$3)))</f>
        <v/>
      </c>
      <c r="X42" s="124" t="str">
        <f>IF($B42="","",IF(X$3=0,"n.b.",INDEX(SRC_ZPMW03!$A$1:$ZZ$501,$A42,X$3)))</f>
        <v/>
      </c>
      <c r="Y42" s="124" t="str">
        <f>IF($B42="","",IF(Y$3=0,"n.b.",INDEX(SRC_ZPMW03!$A$1:$ZZ$501,$A42,Y$3)))</f>
        <v/>
      </c>
      <c r="Z42" s="124" t="str">
        <f>IF($B42="","",IF(Z$3=0,"n.b.",INDEX(SRC_ZPMW03!$A$1:$ZZ$501,$A42,Z$3)))</f>
        <v/>
      </c>
      <c r="AA42" s="124" t="str">
        <f>IF($B42="","",IF(AA$3=0,"n.b.",INDEX(SRC_ZPMW03!$A$1:$ZZ$501,$A42,AA$3)))</f>
        <v/>
      </c>
      <c r="AB42" s="124" t="str">
        <f>IF($B42="","",IF(AB$3=0,"n.b.",INDEX(SRC_ZPMW03!$A$1:$ZZ$501,$A42,AB$3)))</f>
        <v/>
      </c>
      <c r="AC42" s="124" t="str">
        <f>IF($B42="","",IF(AC$3=0,"n.b.",INDEX(SRC_ZPMW03!$A$1:$ZZ$501,$A42,AC$3)))</f>
        <v/>
      </c>
      <c r="AD42" s="124" t="str">
        <f>IF($B42="","",IF(AD$3=0,"n.b.",INDEX(SRC_ZPMW03!$A$1:$ZZ$501,$A42,AD$3)))</f>
        <v/>
      </c>
      <c r="AE42" s="124" t="str">
        <f>IF($B42="","",IF(AE$3=0,"n.b.",INDEX(SRC_ZPMW03!$A$1:$ZZ$501,$A42,AE$3)))</f>
        <v/>
      </c>
      <c r="AF42" s="124" t="str">
        <f>IF($B42="","",IF(AF$3=0,"n.b.",INDEX(SRC_ZPMW03!$A$1:$ZZ$501,$A42,AF$3)))</f>
        <v/>
      </c>
      <c r="AG42" s="124" t="str">
        <f>IF($B42="","",IF(AG$3=0,"n.b.",INDEX(SRC_ZPMW03!$A$1:$ZZ$501,$A42,AG$3)))</f>
        <v/>
      </c>
      <c r="AH42" s="124" t="str">
        <f>IF($B42="","",IF(AH$3=0,"n.b.",INDEX(SRC_ZPMW03!$A$1:$ZZ$501,$A42,AH$3)))</f>
        <v/>
      </c>
      <c r="AI42" s="124" t="str">
        <f>IF($B42="","",IF(AI$3=0,"n.b.",INDEX(SRC_ZPMW03!$A$1:$ZZ$501,$A42,AI$3)))</f>
        <v/>
      </c>
      <c r="AJ42" s="124" t="str">
        <f>IF($B42="","",IF(AJ$3=0,"n.b.",INDEX(SRC_ZPMW03!$A$1:$ZZ$501,$A42,AJ$3)))</f>
        <v/>
      </c>
      <c r="AK42" s="124" t="str">
        <f>IF($B42="","",IF(AK$3=0,"n.b.",INDEX(SRC_ZPMW03!$A$1:$ZZ$501,$A42,AK$3)))</f>
        <v/>
      </c>
      <c r="AL42" s="124" t="str">
        <f>IF($B42="","",IF(AL$3=0,"n.b.",INDEX(SRC_ZPMW03!$A$1:$ZZ$501,$A42,AL$3)))</f>
        <v/>
      </c>
      <c r="AM42" s="124" t="str">
        <f>IF($B42="","",IF(AM$3=0,"n.b.",INDEX(SRC_ZPMW03!$A$1:$ZZ$501,$A42,AM$3)))</f>
        <v/>
      </c>
      <c r="AN42" s="124" t="str">
        <f>IF($B42="","",IF(AN$3=0,"n.b.",INDEX(SRC_ZPMW03!$A$1:$ZZ$501,$A42,AN$3)))</f>
        <v/>
      </c>
      <c r="AO42" s="124" t="str">
        <f>IF($B42="","",IF(AO$3=0,"n.b.",INDEX(SRC_ZPMW03!$A$1:$ZZ$501,$A42,AO$3)))</f>
        <v/>
      </c>
      <c r="AP42" s="124" t="str">
        <f>IF($B42="","",IF(AP$3=0,"n.b.",INDEX(SRC_ZPMW03!$A$1:$ZZ$501,$A42,AP$3)))</f>
        <v/>
      </c>
      <c r="AQ42" s="124" t="str">
        <f>IF($B42="","",IF(AQ$3=0,"n.b.",INDEX(SRC_ZPMW03!$A$1:$ZZ$501,$A42,AQ$3)))</f>
        <v/>
      </c>
      <c r="AR42" s="124" t="str">
        <f>IF($B42="","",IF(AR$3=0,"n.b.",INDEX(SRC_ZPMW03!$A$1:$ZZ$501,$A42,AR$3)))</f>
        <v/>
      </c>
      <c r="AS42" s="124" t="str">
        <f>IF($B42="","",IF(AS$3=0,"n.b.",INDEX(SRC_ZPMW03!$A$1:$ZZ$501,$A42,AS$3)))</f>
        <v/>
      </c>
      <c r="AT42" s="124" t="str">
        <f>IF($B42="","",IF(AT$3=0,"n.b.",INDEX(SRC_ZPMW03!$A$1:$ZZ$501,$A42,AT$3)))</f>
        <v/>
      </c>
      <c r="AU42" s="124" t="str">
        <f>IF($B42="","",IF(AU$3=0,"n.b.",INDEX(SRC_ZPMW03!$A$1:$ZZ$501,$A42,AU$3)))</f>
        <v/>
      </c>
      <c r="AV42" s="124" t="str">
        <f>IF($B42="","",IF(AV$3=0,"n.b.",INDEX(SRC_ZPMW03!$A$1:$ZZ$501,$A42,AV$3)))</f>
        <v/>
      </c>
      <c r="AW42" s="124" t="str">
        <f>IF($B42="","",IF(AW$3=0,"n.b.",INDEX(SRC_ZPMW03!$A$1:$ZZ$501,$A42,AW$3)))</f>
        <v/>
      </c>
      <c r="AX42" s="124" t="str">
        <f>IF($B42="","",IF(AX$3=0,"n.b.",INDEX(SRC_ZPMW03!$A$1:$ZZ$501,$A42,AX$3)))</f>
        <v/>
      </c>
      <c r="AY42" s="124" t="str">
        <f>IF($B42="","",IF(AY$3=0,"n.b.",INDEX(SRC_ZPMW03!$A$1:$ZZ$501,$A42,AY$3)))</f>
        <v/>
      </c>
      <c r="AZ42" s="124" t="str">
        <f>IF($B42="","",IF(AZ$3=0,"n.b.",INDEX(SRC_ZPMW03!$A$1:$ZZ$501,$A42,AZ$3)))</f>
        <v/>
      </c>
      <c r="BA42" s="124" t="str">
        <f>IF($B42="","",IF(BA$3=0,"n.b.",INDEX(SRC_ZPMW03!$A$1:$ZZ$501,$A42,BA$3)))</f>
        <v/>
      </c>
      <c r="BB42" s="124" t="str">
        <f>IF($B42="","",IF(BB$3=0,"n.b.",INDEX(SRC_ZPMW03!$A$1:$ZZ$501,$A42,BB$3)))</f>
        <v/>
      </c>
      <c r="BC42" s="124" t="str">
        <f>IF($B42="","",IF(BC$3=0,"n.b.",INDEX(SRC_ZPMW03!$A$1:$ZZ$501,$A42,BC$3)))</f>
        <v/>
      </c>
      <c r="BD42" s="124" t="str">
        <f>IF($B42="","",IF(BD$3=0,"n.b.",INDEX(SRC_ZPMW03!$A$1:$ZZ$501,$A42,BD$3)))</f>
        <v/>
      </c>
      <c r="BE42" s="124" t="str">
        <f>IF($B42="","",IF(BE$3=0,"n.b.",INDEX(SRC_ZPMW03!$A$1:$ZZ$501,$A42,BE$3)))</f>
        <v/>
      </c>
      <c r="BF42" s="124" t="str">
        <f>IF($B42="","",IF(BF$3=0,"n.b.",INDEX(SRC_ZPMW03!$A$1:$ZZ$501,$A42,BF$3)))</f>
        <v/>
      </c>
      <c r="BG42" t="str">
        <f>IF($B42="","",IF(BG$3=0,"n.b.",INDEX(SRC_ZPMW03!$A$1:$ZZ$501,$A42,BG$3)))</f>
        <v/>
      </c>
      <c r="BH42" t="str">
        <f>IF($B42="","",IF(BH$3=0,"n.b.",INDEX(SRC_ZPMW03!$A$1:$ZZ$501,$A42,BH$3)))</f>
        <v/>
      </c>
      <c r="BI42" t="str">
        <f>IF($B42="","",IF(BI$3=0,"n.b.",INDEX(SRC_ZPMW03!$A$1:$ZZ$501,$A42,BI$3)))</f>
        <v/>
      </c>
      <c r="BJ42" t="str">
        <f>IF($B42="","",IF(BJ$3=0,"n.b.",INDEX(SRC_ZPMW03!$A$1:$ZZ$501,$A42,BJ$3)))</f>
        <v/>
      </c>
      <c r="BK42" s="124" t="str">
        <f>IF($B42="","",IFERROR(-O42,"n.b."))</f>
        <v/>
      </c>
      <c r="BL42" s="124" t="str">
        <f>IF($B42="","",IFERROR(-Q42,"n.b."))</f>
        <v/>
      </c>
      <c r="BM42" s="124" t="str">
        <f>IF($B42="","",IFERROR(-AB42,"n.b."))</f>
        <v/>
      </c>
      <c r="BN42" s="124" t="str">
        <f>IF($B42="","",IFERROR(-AD42,"n.b."))</f>
        <v/>
      </c>
      <c r="BO42" s="124" t="str">
        <f>IF($B42="","",IFERROR(BK42+BM42,"n.b."))</f>
        <v/>
      </c>
      <c r="BP42" s="124" t="str">
        <f>IF($B42="","",IFERROR(BL42+BN42,"n.b."))</f>
        <v/>
      </c>
      <c r="BQ42" s="124" t="str">
        <f>IF($B42="","",IFERROR(-AM42,"n.b."))</f>
        <v/>
      </c>
      <c r="BR42" s="124" t="str">
        <f>IF($B42="","",IFERROR(-AO42,"n.b."))</f>
        <v/>
      </c>
      <c r="BS42" s="124" t="str">
        <f>IF($B42="","",IFERROR(-Z42,"n.b."))</f>
        <v/>
      </c>
      <c r="BT42" s="124" t="str">
        <f>IF($B42="","",IFERROR(-AA42,"n.b."))</f>
        <v/>
      </c>
      <c r="BU42" s="124" t="str">
        <f>IF($B42="","",IFERROR(-AE42,"n.b."))</f>
        <v/>
      </c>
      <c r="BV42" s="124" t="str">
        <f>IF($B42="","",IFERROR(-AF42,"n.b."))</f>
        <v/>
      </c>
      <c r="BW42" s="124" t="str">
        <f>IF($B42="","",IFERROR(-AG42,"n.b."))</f>
        <v/>
      </c>
      <c r="BX42" s="124" t="str">
        <f>IF($B42="","",IFERROR(-AH42,"n.b."))</f>
        <v/>
      </c>
      <c r="BY42" s="124" t="str">
        <f>IF($B42="","",IFERROR(-AI42,"n.b."))</f>
        <v/>
      </c>
      <c r="BZ42" s="124" t="str">
        <f>IF($B42="","",IFERROR(-AJ42,"n.b."))</f>
        <v/>
      </c>
      <c r="CA42" s="124" t="str">
        <f>IF($B42="","",IFERROR(-AK42,"n.b."))</f>
        <v/>
      </c>
      <c r="CB42" s="124" t="str">
        <f>IF($B42="","",IFERROR(-AL42,"n.b."))</f>
        <v/>
      </c>
      <c r="CC42" s="124" t="str">
        <f>IF($B42="","",IFERROR(-AP42,"n.b."))</f>
        <v/>
      </c>
      <c r="CD42" s="124" t="str">
        <f>IF($B42="","",IFERROR(-AQ42,"n.b."))</f>
        <v/>
      </c>
      <c r="CE42" s="124" t="str">
        <f>IF($B42="","",IFERROR(-AR42,"n.b."))</f>
        <v/>
      </c>
      <c r="CF42" s="124" t="str">
        <f>IF($B42="","",IFERROR(-AS42,"n.b."))</f>
        <v/>
      </c>
      <c r="CG42" s="124" t="str">
        <f>IF($B42="","",IFERROR(-AT42,"n.b."))</f>
        <v/>
      </c>
      <c r="CH42" s="124" t="str">
        <f>IF($B42="","",IFERROR(-AU42,"n.b."))</f>
        <v/>
      </c>
      <c r="CI42" s="124" t="str">
        <f>IF($B42="","",IFERROR(-AV42,"n.b."))</f>
        <v/>
      </c>
      <c r="CJ42" s="124" t="str">
        <f>IF($B42="","",IFERROR(-AW42,"n.b."))</f>
        <v/>
      </c>
      <c r="CK42" s="124" t="str">
        <f>IF($B42="","",IFERROR(-AX42,"n.b."))</f>
        <v/>
      </c>
      <c r="CL42" s="124" t="str">
        <f>IF($B42="","",IFERROR(-AY42,"n.b."))</f>
        <v/>
      </c>
      <c r="CM42" s="124" t="str">
        <f>IF($B42="","",IFERROR(-AZ42,"n.b."))</f>
        <v/>
      </c>
      <c r="CN42" s="124" t="str">
        <f>IF($B42="","",IFERROR(-BA42,"n.b."))</f>
        <v/>
      </c>
      <c r="CO42" s="124" t="str">
        <f>IF($B42="","",IFERROR(-BB42,"n.b."))</f>
        <v/>
      </c>
      <c r="CP42" s="124" t="str">
        <f>IF($B42="","",IFERROR(-BC42,"n.b."))</f>
        <v/>
      </c>
      <c r="CQ42" s="124" t="str">
        <f>IF($B42="","",IFERROR(-BD42,"n.b."))</f>
        <v/>
      </c>
      <c r="CR42" s="124" t="str">
        <f>IF($B42="","",IFERROR(-BE42,"n.b."))</f>
        <v/>
      </c>
      <c r="CS42" s="124" t="str">
        <f>IF($B42="","",IFERROR(IF(OR(ABS(T42+V42+X42+Z42-AB42)&gt;P_Tol,ABS(U42+W42+Y42+AA42-AD42)&gt;P_Tol,ABS(AE42+AG42+AI42+AK42-AM42)&gt;P_Tol,ABS(AF42+AH42+AJ42+AL42-AO42)&gt;P_Tol),1,0),1))</f>
        <v/>
      </c>
      <c r="CT42" s="124" t="str">
        <f>IF($B42="","",IFERROR(IF(OR(ABS(AB42+AC42-AD42)&gt;P_Tol,ABS(AM42+AN42-AO42)&gt;P_Tol,ABS(O42+P42-Q42)&gt;P_Tol),1,0),1))</f>
        <v/>
      </c>
      <c r="CU42" s="124" t="str">
        <f>IF($B42="","",IFERROR(IF(ABS(R42-(AB42+AM42+AP42+AR42+AT42+AV42+AX42+AZ42+BB42+BD42))&gt;P_Tol,1,0),1))</f>
        <v/>
      </c>
      <c r="CV42" s="124" t="str">
        <f>IF($B42="","",IFERROR(IF(ABS(M42-(N42+O42+R42))&gt;P_Tol,1,0),1))</f>
        <v/>
      </c>
      <c r="CW42" s="124" t="str">
        <f>IF($B42="","",IF(COUNTIF(Mapping!$A$5:$A$104,B42)&gt;0,1,0))</f>
        <v/>
      </c>
      <c r="CX42" s="124" t="str">
        <f>IF($B42="","",COUNTIF($B$6:$B$505,B42))</f>
        <v/>
      </c>
      <c r="CY42" s="124" t="str">
        <f>IF($B42="","",COUNTIF(STG_Woningetalage!$B$6:$B$505,B42))</f>
        <v/>
      </c>
      <c r="CZ42" s="124" t="str">
        <f>IF($B42="","",IF(CW42=0,COUNTIF($CW$6:CW42,0),""))</f>
        <v/>
      </c>
    </row>
    <row r="43">
      <c r="A43" s="15" t="n">
        <v>39</v>
      </c>
      <c r="B43" t="str">
        <f>IF(B$3=0,"",IF(INDEX(SRC_ZPMW03!$A$1:$ZZ$501,$A43,B$3)&amp;""="","",INDEX(SRC_ZPMW03!$A$1:$ZZ$501,$A43,B$3)&amp;""))</f>
        <v/>
      </c>
      <c r="C43" t="str">
        <f>IF($B43="","",IF(C$3=0,"n.b.",INDEX(SRC_ZPMW03!$A$1:$ZZ$501,$A43,C$3)))</f>
        <v/>
      </c>
      <c r="D43" t="str">
        <f>IF($B43="","",IF(D$3=0,"n.b.",INDEX(SRC_ZPMW03!$A$1:$ZZ$501,$A43,D$3)))</f>
        <v/>
      </c>
      <c r="E43" t="str">
        <f>IF($B43="","",IF(E$3=0,"n.b.",INDEX(SRC_ZPMW03!$A$1:$ZZ$501,$A43,E$3)))</f>
        <v/>
      </c>
      <c r="F43" t="str">
        <f>IF($B43="","",IF(F$3=0,"n.b.",INDEX(SRC_ZPMW03!$A$1:$ZZ$501,$A43,F$3)))</f>
        <v/>
      </c>
      <c r="G43" t="str">
        <f>IF($B43="","",IF(G$3=0,"n.b.",INDEX(SRC_ZPMW03!$A$1:$ZZ$501,$A43,G$3)))</f>
        <v/>
      </c>
      <c r="H43" t="str">
        <f>IF($B43="","",IF(H$3=0,"n.b.",INDEX(SRC_ZPMW03!$A$1:$ZZ$501,$A43,H$3)))</f>
        <v/>
      </c>
      <c r="I43" t="str">
        <f>IF($B43="","",IF(I$3=0,"n.b.",INDEX(SRC_ZPMW03!$A$1:$ZZ$501,$A43,I$3)))</f>
        <v/>
      </c>
      <c r="J43" t="str">
        <f>IF($B43="","",IF(J$3=0,"n.b.",INDEX(SRC_ZPMW03!$A$1:$ZZ$501,$A43,J$3)))</f>
        <v/>
      </c>
      <c r="K43" t="str">
        <f>IF($B43="","",IF(K$3=0,"n.b.",INDEX(SRC_ZPMW03!$A$1:$ZZ$501,$A43,K$3)))</f>
        <v/>
      </c>
      <c r="L43" s="124" t="str">
        <f>IF($B43="","",IF(L$3=0,"n.b.",INDEX(SRC_ZPMW03!$A$1:$ZZ$501,$A43,L$3)))</f>
        <v/>
      </c>
      <c r="M43" s="124" t="str">
        <f>IF($B43="","",IF(M$3=0,"n.b.",INDEX(SRC_ZPMW03!$A$1:$ZZ$501,$A43,M$3)))</f>
        <v/>
      </c>
      <c r="N43" s="124" t="str">
        <f>IF($B43="","",IF(N$3=0,"n.b.",INDEX(SRC_ZPMW03!$A$1:$ZZ$501,$A43,N$3)))</f>
        <v/>
      </c>
      <c r="O43" s="124" t="str">
        <f>IF($B43="","",IF(O$3=0,"n.b.",INDEX(SRC_ZPMW03!$A$1:$ZZ$501,$A43,O$3)))</f>
        <v/>
      </c>
      <c r="P43" s="124" t="str">
        <f>IF($B43="","",IF(P$3=0,"n.b.",INDEX(SRC_ZPMW03!$A$1:$ZZ$501,$A43,P$3)))</f>
        <v/>
      </c>
      <c r="Q43" s="124" t="str">
        <f>IF($B43="","",IF(Q$3=0,"n.b.",INDEX(SRC_ZPMW03!$A$1:$ZZ$501,$A43,Q$3)))</f>
        <v/>
      </c>
      <c r="R43" s="124" t="str">
        <f>IF($B43="","",IF(R$3=0,"n.b.",INDEX(SRC_ZPMW03!$A$1:$ZZ$501,$A43,R$3)))</f>
        <v/>
      </c>
      <c r="S43" s="124" t="str">
        <f>IF($B43="","",IF(S$3=0,"n.b.",INDEX(SRC_ZPMW03!$A$1:$ZZ$501,$A43,S$3)))</f>
        <v/>
      </c>
      <c r="T43" s="124" t="str">
        <f>IF($B43="","",IF(T$3=0,"n.b.",INDEX(SRC_ZPMW03!$A$1:$ZZ$501,$A43,T$3)))</f>
        <v/>
      </c>
      <c r="U43" s="124" t="str">
        <f>IF($B43="","",IF(U$3=0,"n.b.",INDEX(SRC_ZPMW03!$A$1:$ZZ$501,$A43,U$3)))</f>
        <v/>
      </c>
      <c r="V43" s="124" t="str">
        <f>IF($B43="","",IF(V$3=0,"n.b.",INDEX(SRC_ZPMW03!$A$1:$ZZ$501,$A43,V$3)))</f>
        <v/>
      </c>
      <c r="W43" s="124" t="str">
        <f>IF($B43="","",IF(W$3=0,"n.b.",INDEX(SRC_ZPMW03!$A$1:$ZZ$501,$A43,W$3)))</f>
        <v/>
      </c>
      <c r="X43" s="124" t="str">
        <f>IF($B43="","",IF(X$3=0,"n.b.",INDEX(SRC_ZPMW03!$A$1:$ZZ$501,$A43,X$3)))</f>
        <v/>
      </c>
      <c r="Y43" s="124" t="str">
        <f>IF($B43="","",IF(Y$3=0,"n.b.",INDEX(SRC_ZPMW03!$A$1:$ZZ$501,$A43,Y$3)))</f>
        <v/>
      </c>
      <c r="Z43" s="124" t="str">
        <f>IF($B43="","",IF(Z$3=0,"n.b.",INDEX(SRC_ZPMW03!$A$1:$ZZ$501,$A43,Z$3)))</f>
        <v/>
      </c>
      <c r="AA43" s="124" t="str">
        <f>IF($B43="","",IF(AA$3=0,"n.b.",INDEX(SRC_ZPMW03!$A$1:$ZZ$501,$A43,AA$3)))</f>
        <v/>
      </c>
      <c r="AB43" s="124" t="str">
        <f>IF($B43="","",IF(AB$3=0,"n.b.",INDEX(SRC_ZPMW03!$A$1:$ZZ$501,$A43,AB$3)))</f>
        <v/>
      </c>
      <c r="AC43" s="124" t="str">
        <f>IF($B43="","",IF(AC$3=0,"n.b.",INDEX(SRC_ZPMW03!$A$1:$ZZ$501,$A43,AC$3)))</f>
        <v/>
      </c>
      <c r="AD43" s="124" t="str">
        <f>IF($B43="","",IF(AD$3=0,"n.b.",INDEX(SRC_ZPMW03!$A$1:$ZZ$501,$A43,AD$3)))</f>
        <v/>
      </c>
      <c r="AE43" s="124" t="str">
        <f>IF($B43="","",IF(AE$3=0,"n.b.",INDEX(SRC_ZPMW03!$A$1:$ZZ$501,$A43,AE$3)))</f>
        <v/>
      </c>
      <c r="AF43" s="124" t="str">
        <f>IF($B43="","",IF(AF$3=0,"n.b.",INDEX(SRC_ZPMW03!$A$1:$ZZ$501,$A43,AF$3)))</f>
        <v/>
      </c>
      <c r="AG43" s="124" t="str">
        <f>IF($B43="","",IF(AG$3=0,"n.b.",INDEX(SRC_ZPMW03!$A$1:$ZZ$501,$A43,AG$3)))</f>
        <v/>
      </c>
      <c r="AH43" s="124" t="str">
        <f>IF($B43="","",IF(AH$3=0,"n.b.",INDEX(SRC_ZPMW03!$A$1:$ZZ$501,$A43,AH$3)))</f>
        <v/>
      </c>
      <c r="AI43" s="124" t="str">
        <f>IF($B43="","",IF(AI$3=0,"n.b.",INDEX(SRC_ZPMW03!$A$1:$ZZ$501,$A43,AI$3)))</f>
        <v/>
      </c>
      <c r="AJ43" s="124" t="str">
        <f>IF($B43="","",IF(AJ$3=0,"n.b.",INDEX(SRC_ZPMW03!$A$1:$ZZ$501,$A43,AJ$3)))</f>
        <v/>
      </c>
      <c r="AK43" s="124" t="str">
        <f>IF($B43="","",IF(AK$3=0,"n.b.",INDEX(SRC_ZPMW03!$A$1:$ZZ$501,$A43,AK$3)))</f>
        <v/>
      </c>
      <c r="AL43" s="124" t="str">
        <f>IF($B43="","",IF(AL$3=0,"n.b.",INDEX(SRC_ZPMW03!$A$1:$ZZ$501,$A43,AL$3)))</f>
        <v/>
      </c>
      <c r="AM43" s="124" t="str">
        <f>IF($B43="","",IF(AM$3=0,"n.b.",INDEX(SRC_ZPMW03!$A$1:$ZZ$501,$A43,AM$3)))</f>
        <v/>
      </c>
      <c r="AN43" s="124" t="str">
        <f>IF($B43="","",IF(AN$3=0,"n.b.",INDEX(SRC_ZPMW03!$A$1:$ZZ$501,$A43,AN$3)))</f>
        <v/>
      </c>
      <c r="AO43" s="124" t="str">
        <f>IF($B43="","",IF(AO$3=0,"n.b.",INDEX(SRC_ZPMW03!$A$1:$ZZ$501,$A43,AO$3)))</f>
        <v/>
      </c>
      <c r="AP43" s="124" t="str">
        <f>IF($B43="","",IF(AP$3=0,"n.b.",INDEX(SRC_ZPMW03!$A$1:$ZZ$501,$A43,AP$3)))</f>
        <v/>
      </c>
      <c r="AQ43" s="124" t="str">
        <f>IF($B43="","",IF(AQ$3=0,"n.b.",INDEX(SRC_ZPMW03!$A$1:$ZZ$501,$A43,AQ$3)))</f>
        <v/>
      </c>
      <c r="AR43" s="124" t="str">
        <f>IF($B43="","",IF(AR$3=0,"n.b.",INDEX(SRC_ZPMW03!$A$1:$ZZ$501,$A43,AR$3)))</f>
        <v/>
      </c>
      <c r="AS43" s="124" t="str">
        <f>IF($B43="","",IF(AS$3=0,"n.b.",INDEX(SRC_ZPMW03!$A$1:$ZZ$501,$A43,AS$3)))</f>
        <v/>
      </c>
      <c r="AT43" s="124" t="str">
        <f>IF($B43="","",IF(AT$3=0,"n.b.",INDEX(SRC_ZPMW03!$A$1:$ZZ$501,$A43,AT$3)))</f>
        <v/>
      </c>
      <c r="AU43" s="124" t="str">
        <f>IF($B43="","",IF(AU$3=0,"n.b.",INDEX(SRC_ZPMW03!$A$1:$ZZ$501,$A43,AU$3)))</f>
        <v/>
      </c>
      <c r="AV43" s="124" t="str">
        <f>IF($B43="","",IF(AV$3=0,"n.b.",INDEX(SRC_ZPMW03!$A$1:$ZZ$501,$A43,AV$3)))</f>
        <v/>
      </c>
      <c r="AW43" s="124" t="str">
        <f>IF($B43="","",IF(AW$3=0,"n.b.",INDEX(SRC_ZPMW03!$A$1:$ZZ$501,$A43,AW$3)))</f>
        <v/>
      </c>
      <c r="AX43" s="124" t="str">
        <f>IF($B43="","",IF(AX$3=0,"n.b.",INDEX(SRC_ZPMW03!$A$1:$ZZ$501,$A43,AX$3)))</f>
        <v/>
      </c>
      <c r="AY43" s="124" t="str">
        <f>IF($B43="","",IF(AY$3=0,"n.b.",INDEX(SRC_ZPMW03!$A$1:$ZZ$501,$A43,AY$3)))</f>
        <v/>
      </c>
      <c r="AZ43" s="124" t="str">
        <f>IF($B43="","",IF(AZ$3=0,"n.b.",INDEX(SRC_ZPMW03!$A$1:$ZZ$501,$A43,AZ$3)))</f>
        <v/>
      </c>
      <c r="BA43" s="124" t="str">
        <f>IF($B43="","",IF(BA$3=0,"n.b.",INDEX(SRC_ZPMW03!$A$1:$ZZ$501,$A43,BA$3)))</f>
        <v/>
      </c>
      <c r="BB43" s="124" t="str">
        <f>IF($B43="","",IF(BB$3=0,"n.b.",INDEX(SRC_ZPMW03!$A$1:$ZZ$501,$A43,BB$3)))</f>
        <v/>
      </c>
      <c r="BC43" s="124" t="str">
        <f>IF($B43="","",IF(BC$3=0,"n.b.",INDEX(SRC_ZPMW03!$A$1:$ZZ$501,$A43,BC$3)))</f>
        <v/>
      </c>
      <c r="BD43" s="124" t="str">
        <f>IF($B43="","",IF(BD$3=0,"n.b.",INDEX(SRC_ZPMW03!$A$1:$ZZ$501,$A43,BD$3)))</f>
        <v/>
      </c>
      <c r="BE43" s="124" t="str">
        <f>IF($B43="","",IF(BE$3=0,"n.b.",INDEX(SRC_ZPMW03!$A$1:$ZZ$501,$A43,BE$3)))</f>
        <v/>
      </c>
      <c r="BF43" s="124" t="str">
        <f>IF($B43="","",IF(BF$3=0,"n.b.",INDEX(SRC_ZPMW03!$A$1:$ZZ$501,$A43,BF$3)))</f>
        <v/>
      </c>
      <c r="BG43" t="str">
        <f>IF($B43="","",IF(BG$3=0,"n.b.",INDEX(SRC_ZPMW03!$A$1:$ZZ$501,$A43,BG$3)))</f>
        <v/>
      </c>
      <c r="BH43" t="str">
        <f>IF($B43="","",IF(BH$3=0,"n.b.",INDEX(SRC_ZPMW03!$A$1:$ZZ$501,$A43,BH$3)))</f>
        <v/>
      </c>
      <c r="BI43" t="str">
        <f>IF($B43="","",IF(BI$3=0,"n.b.",INDEX(SRC_ZPMW03!$A$1:$ZZ$501,$A43,BI$3)))</f>
        <v/>
      </c>
      <c r="BJ43" t="str">
        <f>IF($B43="","",IF(BJ$3=0,"n.b.",INDEX(SRC_ZPMW03!$A$1:$ZZ$501,$A43,BJ$3)))</f>
        <v/>
      </c>
      <c r="BK43" s="124" t="str">
        <f>IF($B43="","",IFERROR(-O43,"n.b."))</f>
        <v/>
      </c>
      <c r="BL43" s="124" t="str">
        <f>IF($B43="","",IFERROR(-Q43,"n.b."))</f>
        <v/>
      </c>
      <c r="BM43" s="124" t="str">
        <f>IF($B43="","",IFERROR(-AB43,"n.b."))</f>
        <v/>
      </c>
      <c r="BN43" s="124" t="str">
        <f>IF($B43="","",IFERROR(-AD43,"n.b."))</f>
        <v/>
      </c>
      <c r="BO43" s="124" t="str">
        <f>IF($B43="","",IFERROR(BK43+BM43,"n.b."))</f>
        <v/>
      </c>
      <c r="BP43" s="124" t="str">
        <f>IF($B43="","",IFERROR(BL43+BN43,"n.b."))</f>
        <v/>
      </c>
      <c r="BQ43" s="124" t="str">
        <f>IF($B43="","",IFERROR(-AM43,"n.b."))</f>
        <v/>
      </c>
      <c r="BR43" s="124" t="str">
        <f>IF($B43="","",IFERROR(-AO43,"n.b."))</f>
        <v/>
      </c>
      <c r="BS43" s="124" t="str">
        <f>IF($B43="","",IFERROR(-Z43,"n.b."))</f>
        <v/>
      </c>
      <c r="BT43" s="124" t="str">
        <f>IF($B43="","",IFERROR(-AA43,"n.b."))</f>
        <v/>
      </c>
      <c r="BU43" s="124" t="str">
        <f>IF($B43="","",IFERROR(-AE43,"n.b."))</f>
        <v/>
      </c>
      <c r="BV43" s="124" t="str">
        <f>IF($B43="","",IFERROR(-AF43,"n.b."))</f>
        <v/>
      </c>
      <c r="BW43" s="124" t="str">
        <f>IF($B43="","",IFERROR(-AG43,"n.b."))</f>
        <v/>
      </c>
      <c r="BX43" s="124" t="str">
        <f>IF($B43="","",IFERROR(-AH43,"n.b."))</f>
        <v/>
      </c>
      <c r="BY43" s="124" t="str">
        <f>IF($B43="","",IFERROR(-AI43,"n.b."))</f>
        <v/>
      </c>
      <c r="BZ43" s="124" t="str">
        <f>IF($B43="","",IFERROR(-AJ43,"n.b."))</f>
        <v/>
      </c>
      <c r="CA43" s="124" t="str">
        <f>IF($B43="","",IFERROR(-AK43,"n.b."))</f>
        <v/>
      </c>
      <c r="CB43" s="124" t="str">
        <f>IF($B43="","",IFERROR(-AL43,"n.b."))</f>
        <v/>
      </c>
      <c r="CC43" s="124" t="str">
        <f>IF($B43="","",IFERROR(-AP43,"n.b."))</f>
        <v/>
      </c>
      <c r="CD43" s="124" t="str">
        <f>IF($B43="","",IFERROR(-AQ43,"n.b."))</f>
        <v/>
      </c>
      <c r="CE43" s="124" t="str">
        <f>IF($B43="","",IFERROR(-AR43,"n.b."))</f>
        <v/>
      </c>
      <c r="CF43" s="124" t="str">
        <f>IF($B43="","",IFERROR(-AS43,"n.b."))</f>
        <v/>
      </c>
      <c r="CG43" s="124" t="str">
        <f>IF($B43="","",IFERROR(-AT43,"n.b."))</f>
        <v/>
      </c>
      <c r="CH43" s="124" t="str">
        <f>IF($B43="","",IFERROR(-AU43,"n.b."))</f>
        <v/>
      </c>
      <c r="CI43" s="124" t="str">
        <f>IF($B43="","",IFERROR(-AV43,"n.b."))</f>
        <v/>
      </c>
      <c r="CJ43" s="124" t="str">
        <f>IF($B43="","",IFERROR(-AW43,"n.b."))</f>
        <v/>
      </c>
      <c r="CK43" s="124" t="str">
        <f>IF($B43="","",IFERROR(-AX43,"n.b."))</f>
        <v/>
      </c>
      <c r="CL43" s="124" t="str">
        <f>IF($B43="","",IFERROR(-AY43,"n.b."))</f>
        <v/>
      </c>
      <c r="CM43" s="124" t="str">
        <f>IF($B43="","",IFERROR(-AZ43,"n.b."))</f>
        <v/>
      </c>
      <c r="CN43" s="124" t="str">
        <f>IF($B43="","",IFERROR(-BA43,"n.b."))</f>
        <v/>
      </c>
      <c r="CO43" s="124" t="str">
        <f>IF($B43="","",IFERROR(-BB43,"n.b."))</f>
        <v/>
      </c>
      <c r="CP43" s="124" t="str">
        <f>IF($B43="","",IFERROR(-BC43,"n.b."))</f>
        <v/>
      </c>
      <c r="CQ43" s="124" t="str">
        <f>IF($B43="","",IFERROR(-BD43,"n.b."))</f>
        <v/>
      </c>
      <c r="CR43" s="124" t="str">
        <f>IF($B43="","",IFERROR(-BE43,"n.b."))</f>
        <v/>
      </c>
      <c r="CS43" s="124" t="str">
        <f>IF($B43="","",IFERROR(IF(OR(ABS(T43+V43+X43+Z43-AB43)&gt;P_Tol,ABS(U43+W43+Y43+AA43-AD43)&gt;P_Tol,ABS(AE43+AG43+AI43+AK43-AM43)&gt;P_Tol,ABS(AF43+AH43+AJ43+AL43-AO43)&gt;P_Tol),1,0),1))</f>
        <v/>
      </c>
      <c r="CT43" s="124" t="str">
        <f>IF($B43="","",IFERROR(IF(OR(ABS(AB43+AC43-AD43)&gt;P_Tol,ABS(AM43+AN43-AO43)&gt;P_Tol,ABS(O43+P43-Q43)&gt;P_Tol),1,0),1))</f>
        <v/>
      </c>
      <c r="CU43" s="124" t="str">
        <f>IF($B43="","",IFERROR(IF(ABS(R43-(AB43+AM43+AP43+AR43+AT43+AV43+AX43+AZ43+BB43+BD43))&gt;P_Tol,1,0),1))</f>
        <v/>
      </c>
      <c r="CV43" s="124" t="str">
        <f>IF($B43="","",IFERROR(IF(ABS(M43-(N43+O43+R43))&gt;P_Tol,1,0),1))</f>
        <v/>
      </c>
      <c r="CW43" s="124" t="str">
        <f>IF($B43="","",IF(COUNTIF(Mapping!$A$5:$A$104,B43)&gt;0,1,0))</f>
        <v/>
      </c>
      <c r="CX43" s="124" t="str">
        <f>IF($B43="","",COUNTIF($B$6:$B$505,B43))</f>
        <v/>
      </c>
      <c r="CY43" s="124" t="str">
        <f>IF($B43="","",COUNTIF(STG_Woningetalage!$B$6:$B$505,B43))</f>
        <v/>
      </c>
      <c r="CZ43" s="124" t="str">
        <f>IF($B43="","",IF(CW43=0,COUNTIF($CW$6:CW43,0),""))</f>
        <v/>
      </c>
    </row>
    <row r="44">
      <c r="A44" s="15" t="n">
        <v>40</v>
      </c>
      <c r="B44" t="str">
        <f>IF(B$3=0,"",IF(INDEX(SRC_ZPMW03!$A$1:$ZZ$501,$A44,B$3)&amp;""="","",INDEX(SRC_ZPMW03!$A$1:$ZZ$501,$A44,B$3)&amp;""))</f>
        <v/>
      </c>
      <c r="C44" t="str">
        <f>IF($B44="","",IF(C$3=0,"n.b.",INDEX(SRC_ZPMW03!$A$1:$ZZ$501,$A44,C$3)))</f>
        <v/>
      </c>
      <c r="D44" t="str">
        <f>IF($B44="","",IF(D$3=0,"n.b.",INDEX(SRC_ZPMW03!$A$1:$ZZ$501,$A44,D$3)))</f>
        <v/>
      </c>
      <c r="E44" t="str">
        <f>IF($B44="","",IF(E$3=0,"n.b.",INDEX(SRC_ZPMW03!$A$1:$ZZ$501,$A44,E$3)))</f>
        <v/>
      </c>
      <c r="F44" t="str">
        <f>IF($B44="","",IF(F$3=0,"n.b.",INDEX(SRC_ZPMW03!$A$1:$ZZ$501,$A44,F$3)))</f>
        <v/>
      </c>
      <c r="G44" t="str">
        <f>IF($B44="","",IF(G$3=0,"n.b.",INDEX(SRC_ZPMW03!$A$1:$ZZ$501,$A44,G$3)))</f>
        <v/>
      </c>
      <c r="H44" t="str">
        <f>IF($B44="","",IF(H$3=0,"n.b.",INDEX(SRC_ZPMW03!$A$1:$ZZ$501,$A44,H$3)))</f>
        <v/>
      </c>
      <c r="I44" t="str">
        <f>IF($B44="","",IF(I$3=0,"n.b.",INDEX(SRC_ZPMW03!$A$1:$ZZ$501,$A44,I$3)))</f>
        <v/>
      </c>
      <c r="J44" t="str">
        <f>IF($B44="","",IF(J$3=0,"n.b.",INDEX(SRC_ZPMW03!$A$1:$ZZ$501,$A44,J$3)))</f>
        <v/>
      </c>
      <c r="K44" t="str">
        <f>IF($B44="","",IF(K$3=0,"n.b.",INDEX(SRC_ZPMW03!$A$1:$ZZ$501,$A44,K$3)))</f>
        <v/>
      </c>
      <c r="L44" s="124" t="str">
        <f>IF($B44="","",IF(L$3=0,"n.b.",INDEX(SRC_ZPMW03!$A$1:$ZZ$501,$A44,L$3)))</f>
        <v/>
      </c>
      <c r="M44" s="124" t="str">
        <f>IF($B44="","",IF(M$3=0,"n.b.",INDEX(SRC_ZPMW03!$A$1:$ZZ$501,$A44,M$3)))</f>
        <v/>
      </c>
      <c r="N44" s="124" t="str">
        <f>IF($B44="","",IF(N$3=0,"n.b.",INDEX(SRC_ZPMW03!$A$1:$ZZ$501,$A44,N$3)))</f>
        <v/>
      </c>
      <c r="O44" s="124" t="str">
        <f>IF($B44="","",IF(O$3=0,"n.b.",INDEX(SRC_ZPMW03!$A$1:$ZZ$501,$A44,O$3)))</f>
        <v/>
      </c>
      <c r="P44" s="124" t="str">
        <f>IF($B44="","",IF(P$3=0,"n.b.",INDEX(SRC_ZPMW03!$A$1:$ZZ$501,$A44,P$3)))</f>
        <v/>
      </c>
      <c r="Q44" s="124" t="str">
        <f>IF($B44="","",IF(Q$3=0,"n.b.",INDEX(SRC_ZPMW03!$A$1:$ZZ$501,$A44,Q$3)))</f>
        <v/>
      </c>
      <c r="R44" s="124" t="str">
        <f>IF($B44="","",IF(R$3=0,"n.b.",INDEX(SRC_ZPMW03!$A$1:$ZZ$501,$A44,R$3)))</f>
        <v/>
      </c>
      <c r="S44" s="124" t="str">
        <f>IF($B44="","",IF(S$3=0,"n.b.",INDEX(SRC_ZPMW03!$A$1:$ZZ$501,$A44,S$3)))</f>
        <v/>
      </c>
      <c r="T44" s="124" t="str">
        <f>IF($B44="","",IF(T$3=0,"n.b.",INDEX(SRC_ZPMW03!$A$1:$ZZ$501,$A44,T$3)))</f>
        <v/>
      </c>
      <c r="U44" s="124" t="str">
        <f>IF($B44="","",IF(U$3=0,"n.b.",INDEX(SRC_ZPMW03!$A$1:$ZZ$501,$A44,U$3)))</f>
        <v/>
      </c>
      <c r="V44" s="124" t="str">
        <f>IF($B44="","",IF(V$3=0,"n.b.",INDEX(SRC_ZPMW03!$A$1:$ZZ$501,$A44,V$3)))</f>
        <v/>
      </c>
      <c r="W44" s="124" t="str">
        <f>IF($B44="","",IF(W$3=0,"n.b.",INDEX(SRC_ZPMW03!$A$1:$ZZ$501,$A44,W$3)))</f>
        <v/>
      </c>
      <c r="X44" s="124" t="str">
        <f>IF($B44="","",IF(X$3=0,"n.b.",INDEX(SRC_ZPMW03!$A$1:$ZZ$501,$A44,X$3)))</f>
        <v/>
      </c>
      <c r="Y44" s="124" t="str">
        <f>IF($B44="","",IF(Y$3=0,"n.b.",INDEX(SRC_ZPMW03!$A$1:$ZZ$501,$A44,Y$3)))</f>
        <v/>
      </c>
      <c r="Z44" s="124" t="str">
        <f>IF($B44="","",IF(Z$3=0,"n.b.",INDEX(SRC_ZPMW03!$A$1:$ZZ$501,$A44,Z$3)))</f>
        <v/>
      </c>
      <c r="AA44" s="124" t="str">
        <f>IF($B44="","",IF(AA$3=0,"n.b.",INDEX(SRC_ZPMW03!$A$1:$ZZ$501,$A44,AA$3)))</f>
        <v/>
      </c>
      <c r="AB44" s="124" t="str">
        <f>IF($B44="","",IF(AB$3=0,"n.b.",INDEX(SRC_ZPMW03!$A$1:$ZZ$501,$A44,AB$3)))</f>
        <v/>
      </c>
      <c r="AC44" s="124" t="str">
        <f>IF($B44="","",IF(AC$3=0,"n.b.",INDEX(SRC_ZPMW03!$A$1:$ZZ$501,$A44,AC$3)))</f>
        <v/>
      </c>
      <c r="AD44" s="124" t="str">
        <f>IF($B44="","",IF(AD$3=0,"n.b.",INDEX(SRC_ZPMW03!$A$1:$ZZ$501,$A44,AD$3)))</f>
        <v/>
      </c>
      <c r="AE44" s="124" t="str">
        <f>IF($B44="","",IF(AE$3=0,"n.b.",INDEX(SRC_ZPMW03!$A$1:$ZZ$501,$A44,AE$3)))</f>
        <v/>
      </c>
      <c r="AF44" s="124" t="str">
        <f>IF($B44="","",IF(AF$3=0,"n.b.",INDEX(SRC_ZPMW03!$A$1:$ZZ$501,$A44,AF$3)))</f>
        <v/>
      </c>
      <c r="AG44" s="124" t="str">
        <f>IF($B44="","",IF(AG$3=0,"n.b.",INDEX(SRC_ZPMW03!$A$1:$ZZ$501,$A44,AG$3)))</f>
        <v/>
      </c>
      <c r="AH44" s="124" t="str">
        <f>IF($B44="","",IF(AH$3=0,"n.b.",INDEX(SRC_ZPMW03!$A$1:$ZZ$501,$A44,AH$3)))</f>
        <v/>
      </c>
      <c r="AI44" s="124" t="str">
        <f>IF($B44="","",IF(AI$3=0,"n.b.",INDEX(SRC_ZPMW03!$A$1:$ZZ$501,$A44,AI$3)))</f>
        <v/>
      </c>
      <c r="AJ44" s="124" t="str">
        <f>IF($B44="","",IF(AJ$3=0,"n.b.",INDEX(SRC_ZPMW03!$A$1:$ZZ$501,$A44,AJ$3)))</f>
        <v/>
      </c>
      <c r="AK44" s="124" t="str">
        <f>IF($B44="","",IF(AK$3=0,"n.b.",INDEX(SRC_ZPMW03!$A$1:$ZZ$501,$A44,AK$3)))</f>
        <v/>
      </c>
      <c r="AL44" s="124" t="str">
        <f>IF($B44="","",IF(AL$3=0,"n.b.",INDEX(SRC_ZPMW03!$A$1:$ZZ$501,$A44,AL$3)))</f>
        <v/>
      </c>
      <c r="AM44" s="124" t="str">
        <f>IF($B44="","",IF(AM$3=0,"n.b.",INDEX(SRC_ZPMW03!$A$1:$ZZ$501,$A44,AM$3)))</f>
        <v/>
      </c>
      <c r="AN44" s="124" t="str">
        <f>IF($B44="","",IF(AN$3=0,"n.b.",INDEX(SRC_ZPMW03!$A$1:$ZZ$501,$A44,AN$3)))</f>
        <v/>
      </c>
      <c r="AO44" s="124" t="str">
        <f>IF($B44="","",IF(AO$3=0,"n.b.",INDEX(SRC_ZPMW03!$A$1:$ZZ$501,$A44,AO$3)))</f>
        <v/>
      </c>
      <c r="AP44" s="124" t="str">
        <f>IF($B44="","",IF(AP$3=0,"n.b.",INDEX(SRC_ZPMW03!$A$1:$ZZ$501,$A44,AP$3)))</f>
        <v/>
      </c>
      <c r="AQ44" s="124" t="str">
        <f>IF($B44="","",IF(AQ$3=0,"n.b.",INDEX(SRC_ZPMW03!$A$1:$ZZ$501,$A44,AQ$3)))</f>
        <v/>
      </c>
      <c r="AR44" s="124" t="str">
        <f>IF($B44="","",IF(AR$3=0,"n.b.",INDEX(SRC_ZPMW03!$A$1:$ZZ$501,$A44,AR$3)))</f>
        <v/>
      </c>
      <c r="AS44" s="124" t="str">
        <f>IF($B44="","",IF(AS$3=0,"n.b.",INDEX(SRC_ZPMW03!$A$1:$ZZ$501,$A44,AS$3)))</f>
        <v/>
      </c>
      <c r="AT44" s="124" t="str">
        <f>IF($B44="","",IF(AT$3=0,"n.b.",INDEX(SRC_ZPMW03!$A$1:$ZZ$501,$A44,AT$3)))</f>
        <v/>
      </c>
      <c r="AU44" s="124" t="str">
        <f>IF($B44="","",IF(AU$3=0,"n.b.",INDEX(SRC_ZPMW03!$A$1:$ZZ$501,$A44,AU$3)))</f>
        <v/>
      </c>
      <c r="AV44" s="124" t="str">
        <f>IF($B44="","",IF(AV$3=0,"n.b.",INDEX(SRC_ZPMW03!$A$1:$ZZ$501,$A44,AV$3)))</f>
        <v/>
      </c>
      <c r="AW44" s="124" t="str">
        <f>IF($B44="","",IF(AW$3=0,"n.b.",INDEX(SRC_ZPMW03!$A$1:$ZZ$501,$A44,AW$3)))</f>
        <v/>
      </c>
      <c r="AX44" s="124" t="str">
        <f>IF($B44="","",IF(AX$3=0,"n.b.",INDEX(SRC_ZPMW03!$A$1:$ZZ$501,$A44,AX$3)))</f>
        <v/>
      </c>
      <c r="AY44" s="124" t="str">
        <f>IF($B44="","",IF(AY$3=0,"n.b.",INDEX(SRC_ZPMW03!$A$1:$ZZ$501,$A44,AY$3)))</f>
        <v/>
      </c>
      <c r="AZ44" s="124" t="str">
        <f>IF($B44="","",IF(AZ$3=0,"n.b.",INDEX(SRC_ZPMW03!$A$1:$ZZ$501,$A44,AZ$3)))</f>
        <v/>
      </c>
      <c r="BA44" s="124" t="str">
        <f>IF($B44="","",IF(BA$3=0,"n.b.",INDEX(SRC_ZPMW03!$A$1:$ZZ$501,$A44,BA$3)))</f>
        <v/>
      </c>
      <c r="BB44" s="124" t="str">
        <f>IF($B44="","",IF(BB$3=0,"n.b.",INDEX(SRC_ZPMW03!$A$1:$ZZ$501,$A44,BB$3)))</f>
        <v/>
      </c>
      <c r="BC44" s="124" t="str">
        <f>IF($B44="","",IF(BC$3=0,"n.b.",INDEX(SRC_ZPMW03!$A$1:$ZZ$501,$A44,BC$3)))</f>
        <v/>
      </c>
      <c r="BD44" s="124" t="str">
        <f>IF($B44="","",IF(BD$3=0,"n.b.",INDEX(SRC_ZPMW03!$A$1:$ZZ$501,$A44,BD$3)))</f>
        <v/>
      </c>
      <c r="BE44" s="124" t="str">
        <f>IF($B44="","",IF(BE$3=0,"n.b.",INDEX(SRC_ZPMW03!$A$1:$ZZ$501,$A44,BE$3)))</f>
        <v/>
      </c>
      <c r="BF44" s="124" t="str">
        <f>IF($B44="","",IF(BF$3=0,"n.b.",INDEX(SRC_ZPMW03!$A$1:$ZZ$501,$A44,BF$3)))</f>
        <v/>
      </c>
      <c r="BG44" t="str">
        <f>IF($B44="","",IF(BG$3=0,"n.b.",INDEX(SRC_ZPMW03!$A$1:$ZZ$501,$A44,BG$3)))</f>
        <v/>
      </c>
      <c r="BH44" t="str">
        <f>IF($B44="","",IF(BH$3=0,"n.b.",INDEX(SRC_ZPMW03!$A$1:$ZZ$501,$A44,BH$3)))</f>
        <v/>
      </c>
      <c r="BI44" t="str">
        <f>IF($B44="","",IF(BI$3=0,"n.b.",INDEX(SRC_ZPMW03!$A$1:$ZZ$501,$A44,BI$3)))</f>
        <v/>
      </c>
      <c r="BJ44" t="str">
        <f>IF($B44="","",IF(BJ$3=0,"n.b.",INDEX(SRC_ZPMW03!$A$1:$ZZ$501,$A44,BJ$3)))</f>
        <v/>
      </c>
      <c r="BK44" s="124" t="str">
        <f>IF($B44="","",IFERROR(-O44,"n.b."))</f>
        <v/>
      </c>
      <c r="BL44" s="124" t="str">
        <f>IF($B44="","",IFERROR(-Q44,"n.b."))</f>
        <v/>
      </c>
      <c r="BM44" s="124" t="str">
        <f>IF($B44="","",IFERROR(-AB44,"n.b."))</f>
        <v/>
      </c>
      <c r="BN44" s="124" t="str">
        <f>IF($B44="","",IFERROR(-AD44,"n.b."))</f>
        <v/>
      </c>
      <c r="BO44" s="124" t="str">
        <f>IF($B44="","",IFERROR(BK44+BM44,"n.b."))</f>
        <v/>
      </c>
      <c r="BP44" s="124" t="str">
        <f>IF($B44="","",IFERROR(BL44+BN44,"n.b."))</f>
        <v/>
      </c>
      <c r="BQ44" s="124" t="str">
        <f>IF($B44="","",IFERROR(-AM44,"n.b."))</f>
        <v/>
      </c>
      <c r="BR44" s="124" t="str">
        <f>IF($B44="","",IFERROR(-AO44,"n.b."))</f>
        <v/>
      </c>
      <c r="BS44" s="124" t="str">
        <f>IF($B44="","",IFERROR(-Z44,"n.b."))</f>
        <v/>
      </c>
      <c r="BT44" s="124" t="str">
        <f>IF($B44="","",IFERROR(-AA44,"n.b."))</f>
        <v/>
      </c>
      <c r="BU44" s="124" t="str">
        <f>IF($B44="","",IFERROR(-AE44,"n.b."))</f>
        <v/>
      </c>
      <c r="BV44" s="124" t="str">
        <f>IF($B44="","",IFERROR(-AF44,"n.b."))</f>
        <v/>
      </c>
      <c r="BW44" s="124" t="str">
        <f>IF($B44="","",IFERROR(-AG44,"n.b."))</f>
        <v/>
      </c>
      <c r="BX44" s="124" t="str">
        <f>IF($B44="","",IFERROR(-AH44,"n.b."))</f>
        <v/>
      </c>
      <c r="BY44" s="124" t="str">
        <f>IF($B44="","",IFERROR(-AI44,"n.b."))</f>
        <v/>
      </c>
      <c r="BZ44" s="124" t="str">
        <f>IF($B44="","",IFERROR(-AJ44,"n.b."))</f>
        <v/>
      </c>
      <c r="CA44" s="124" t="str">
        <f>IF($B44="","",IFERROR(-AK44,"n.b."))</f>
        <v/>
      </c>
      <c r="CB44" s="124" t="str">
        <f>IF($B44="","",IFERROR(-AL44,"n.b."))</f>
        <v/>
      </c>
      <c r="CC44" s="124" t="str">
        <f>IF($B44="","",IFERROR(-AP44,"n.b."))</f>
        <v/>
      </c>
      <c r="CD44" s="124" t="str">
        <f>IF($B44="","",IFERROR(-AQ44,"n.b."))</f>
        <v/>
      </c>
      <c r="CE44" s="124" t="str">
        <f>IF($B44="","",IFERROR(-AR44,"n.b."))</f>
        <v/>
      </c>
      <c r="CF44" s="124" t="str">
        <f>IF($B44="","",IFERROR(-AS44,"n.b."))</f>
        <v/>
      </c>
      <c r="CG44" s="124" t="str">
        <f>IF($B44="","",IFERROR(-AT44,"n.b."))</f>
        <v/>
      </c>
      <c r="CH44" s="124" t="str">
        <f>IF($B44="","",IFERROR(-AU44,"n.b."))</f>
        <v/>
      </c>
      <c r="CI44" s="124" t="str">
        <f>IF($B44="","",IFERROR(-AV44,"n.b."))</f>
        <v/>
      </c>
      <c r="CJ44" s="124" t="str">
        <f>IF($B44="","",IFERROR(-AW44,"n.b."))</f>
        <v/>
      </c>
      <c r="CK44" s="124" t="str">
        <f>IF($B44="","",IFERROR(-AX44,"n.b."))</f>
        <v/>
      </c>
      <c r="CL44" s="124" t="str">
        <f>IF($B44="","",IFERROR(-AY44,"n.b."))</f>
        <v/>
      </c>
      <c r="CM44" s="124" t="str">
        <f>IF($B44="","",IFERROR(-AZ44,"n.b."))</f>
        <v/>
      </c>
      <c r="CN44" s="124" t="str">
        <f>IF($B44="","",IFERROR(-BA44,"n.b."))</f>
        <v/>
      </c>
      <c r="CO44" s="124" t="str">
        <f>IF($B44="","",IFERROR(-BB44,"n.b."))</f>
        <v/>
      </c>
      <c r="CP44" s="124" t="str">
        <f>IF($B44="","",IFERROR(-BC44,"n.b."))</f>
        <v/>
      </c>
      <c r="CQ44" s="124" t="str">
        <f>IF($B44="","",IFERROR(-BD44,"n.b."))</f>
        <v/>
      </c>
      <c r="CR44" s="124" t="str">
        <f>IF($B44="","",IFERROR(-BE44,"n.b."))</f>
        <v/>
      </c>
      <c r="CS44" s="124" t="str">
        <f>IF($B44="","",IFERROR(IF(OR(ABS(T44+V44+X44+Z44-AB44)&gt;P_Tol,ABS(U44+W44+Y44+AA44-AD44)&gt;P_Tol,ABS(AE44+AG44+AI44+AK44-AM44)&gt;P_Tol,ABS(AF44+AH44+AJ44+AL44-AO44)&gt;P_Tol),1,0),1))</f>
        <v/>
      </c>
      <c r="CT44" s="124" t="str">
        <f>IF($B44="","",IFERROR(IF(OR(ABS(AB44+AC44-AD44)&gt;P_Tol,ABS(AM44+AN44-AO44)&gt;P_Tol,ABS(O44+P44-Q44)&gt;P_Tol),1,0),1))</f>
        <v/>
      </c>
      <c r="CU44" s="124" t="str">
        <f>IF($B44="","",IFERROR(IF(ABS(R44-(AB44+AM44+AP44+AR44+AT44+AV44+AX44+AZ44+BB44+BD44))&gt;P_Tol,1,0),1))</f>
        <v/>
      </c>
      <c r="CV44" s="124" t="str">
        <f>IF($B44="","",IFERROR(IF(ABS(M44-(N44+O44+R44))&gt;P_Tol,1,0),1))</f>
        <v/>
      </c>
      <c r="CW44" s="124" t="str">
        <f>IF($B44="","",IF(COUNTIF(Mapping!$A$5:$A$104,B44)&gt;0,1,0))</f>
        <v/>
      </c>
      <c r="CX44" s="124" t="str">
        <f>IF($B44="","",COUNTIF($B$6:$B$505,B44))</f>
        <v/>
      </c>
      <c r="CY44" s="124" t="str">
        <f>IF($B44="","",COUNTIF(STG_Woningetalage!$B$6:$B$505,B44))</f>
        <v/>
      </c>
      <c r="CZ44" s="124" t="str">
        <f>IF($B44="","",IF(CW44=0,COUNTIF($CW$6:CW44,0),""))</f>
        <v/>
      </c>
    </row>
    <row r="45">
      <c r="A45" s="15" t="n">
        <v>41</v>
      </c>
      <c r="B45" t="str">
        <f>IF(B$3=0,"",IF(INDEX(SRC_ZPMW03!$A$1:$ZZ$501,$A45,B$3)&amp;""="","",INDEX(SRC_ZPMW03!$A$1:$ZZ$501,$A45,B$3)&amp;""))</f>
        <v/>
      </c>
      <c r="C45" t="str">
        <f>IF($B45="","",IF(C$3=0,"n.b.",INDEX(SRC_ZPMW03!$A$1:$ZZ$501,$A45,C$3)))</f>
        <v/>
      </c>
      <c r="D45" t="str">
        <f>IF($B45="","",IF(D$3=0,"n.b.",INDEX(SRC_ZPMW03!$A$1:$ZZ$501,$A45,D$3)))</f>
        <v/>
      </c>
      <c r="E45" t="str">
        <f>IF($B45="","",IF(E$3=0,"n.b.",INDEX(SRC_ZPMW03!$A$1:$ZZ$501,$A45,E$3)))</f>
        <v/>
      </c>
      <c r="F45" t="str">
        <f>IF($B45="","",IF(F$3=0,"n.b.",INDEX(SRC_ZPMW03!$A$1:$ZZ$501,$A45,F$3)))</f>
        <v/>
      </c>
      <c r="G45" t="str">
        <f>IF($B45="","",IF(G$3=0,"n.b.",INDEX(SRC_ZPMW03!$A$1:$ZZ$501,$A45,G$3)))</f>
        <v/>
      </c>
      <c r="H45" t="str">
        <f>IF($B45="","",IF(H$3=0,"n.b.",INDEX(SRC_ZPMW03!$A$1:$ZZ$501,$A45,H$3)))</f>
        <v/>
      </c>
      <c r="I45" t="str">
        <f>IF($B45="","",IF(I$3=0,"n.b.",INDEX(SRC_ZPMW03!$A$1:$ZZ$501,$A45,I$3)))</f>
        <v/>
      </c>
      <c r="J45" t="str">
        <f>IF($B45="","",IF(J$3=0,"n.b.",INDEX(SRC_ZPMW03!$A$1:$ZZ$501,$A45,J$3)))</f>
        <v/>
      </c>
      <c r="K45" t="str">
        <f>IF($B45="","",IF(K$3=0,"n.b.",INDEX(SRC_ZPMW03!$A$1:$ZZ$501,$A45,K$3)))</f>
        <v/>
      </c>
      <c r="L45" s="124" t="str">
        <f>IF($B45="","",IF(L$3=0,"n.b.",INDEX(SRC_ZPMW03!$A$1:$ZZ$501,$A45,L$3)))</f>
        <v/>
      </c>
      <c r="M45" s="124" t="str">
        <f>IF($B45="","",IF(M$3=0,"n.b.",INDEX(SRC_ZPMW03!$A$1:$ZZ$501,$A45,M$3)))</f>
        <v/>
      </c>
      <c r="N45" s="124" t="str">
        <f>IF($B45="","",IF(N$3=0,"n.b.",INDEX(SRC_ZPMW03!$A$1:$ZZ$501,$A45,N$3)))</f>
        <v/>
      </c>
      <c r="O45" s="124" t="str">
        <f>IF($B45="","",IF(O$3=0,"n.b.",INDEX(SRC_ZPMW03!$A$1:$ZZ$501,$A45,O$3)))</f>
        <v/>
      </c>
      <c r="P45" s="124" t="str">
        <f>IF($B45="","",IF(P$3=0,"n.b.",INDEX(SRC_ZPMW03!$A$1:$ZZ$501,$A45,P$3)))</f>
        <v/>
      </c>
      <c r="Q45" s="124" t="str">
        <f>IF($B45="","",IF(Q$3=0,"n.b.",INDEX(SRC_ZPMW03!$A$1:$ZZ$501,$A45,Q$3)))</f>
        <v/>
      </c>
      <c r="R45" s="124" t="str">
        <f>IF($B45="","",IF(R$3=0,"n.b.",INDEX(SRC_ZPMW03!$A$1:$ZZ$501,$A45,R$3)))</f>
        <v/>
      </c>
      <c r="S45" s="124" t="str">
        <f>IF($B45="","",IF(S$3=0,"n.b.",INDEX(SRC_ZPMW03!$A$1:$ZZ$501,$A45,S$3)))</f>
        <v/>
      </c>
      <c r="T45" s="124" t="str">
        <f>IF($B45="","",IF(T$3=0,"n.b.",INDEX(SRC_ZPMW03!$A$1:$ZZ$501,$A45,T$3)))</f>
        <v/>
      </c>
      <c r="U45" s="124" t="str">
        <f>IF($B45="","",IF(U$3=0,"n.b.",INDEX(SRC_ZPMW03!$A$1:$ZZ$501,$A45,U$3)))</f>
        <v/>
      </c>
      <c r="V45" s="124" t="str">
        <f>IF($B45="","",IF(V$3=0,"n.b.",INDEX(SRC_ZPMW03!$A$1:$ZZ$501,$A45,V$3)))</f>
        <v/>
      </c>
      <c r="W45" s="124" t="str">
        <f>IF($B45="","",IF(W$3=0,"n.b.",INDEX(SRC_ZPMW03!$A$1:$ZZ$501,$A45,W$3)))</f>
        <v/>
      </c>
      <c r="X45" s="124" t="str">
        <f>IF($B45="","",IF(X$3=0,"n.b.",INDEX(SRC_ZPMW03!$A$1:$ZZ$501,$A45,X$3)))</f>
        <v/>
      </c>
      <c r="Y45" s="124" t="str">
        <f>IF($B45="","",IF(Y$3=0,"n.b.",INDEX(SRC_ZPMW03!$A$1:$ZZ$501,$A45,Y$3)))</f>
        <v/>
      </c>
      <c r="Z45" s="124" t="str">
        <f>IF($B45="","",IF(Z$3=0,"n.b.",INDEX(SRC_ZPMW03!$A$1:$ZZ$501,$A45,Z$3)))</f>
        <v/>
      </c>
      <c r="AA45" s="124" t="str">
        <f>IF($B45="","",IF(AA$3=0,"n.b.",INDEX(SRC_ZPMW03!$A$1:$ZZ$501,$A45,AA$3)))</f>
        <v/>
      </c>
      <c r="AB45" s="124" t="str">
        <f>IF($B45="","",IF(AB$3=0,"n.b.",INDEX(SRC_ZPMW03!$A$1:$ZZ$501,$A45,AB$3)))</f>
        <v/>
      </c>
      <c r="AC45" s="124" t="str">
        <f>IF($B45="","",IF(AC$3=0,"n.b.",INDEX(SRC_ZPMW03!$A$1:$ZZ$501,$A45,AC$3)))</f>
        <v/>
      </c>
      <c r="AD45" s="124" t="str">
        <f>IF($B45="","",IF(AD$3=0,"n.b.",INDEX(SRC_ZPMW03!$A$1:$ZZ$501,$A45,AD$3)))</f>
        <v/>
      </c>
      <c r="AE45" s="124" t="str">
        <f>IF($B45="","",IF(AE$3=0,"n.b.",INDEX(SRC_ZPMW03!$A$1:$ZZ$501,$A45,AE$3)))</f>
        <v/>
      </c>
      <c r="AF45" s="124" t="str">
        <f>IF($B45="","",IF(AF$3=0,"n.b.",INDEX(SRC_ZPMW03!$A$1:$ZZ$501,$A45,AF$3)))</f>
        <v/>
      </c>
      <c r="AG45" s="124" t="str">
        <f>IF($B45="","",IF(AG$3=0,"n.b.",INDEX(SRC_ZPMW03!$A$1:$ZZ$501,$A45,AG$3)))</f>
        <v/>
      </c>
      <c r="AH45" s="124" t="str">
        <f>IF($B45="","",IF(AH$3=0,"n.b.",INDEX(SRC_ZPMW03!$A$1:$ZZ$501,$A45,AH$3)))</f>
        <v/>
      </c>
      <c r="AI45" s="124" t="str">
        <f>IF($B45="","",IF(AI$3=0,"n.b.",INDEX(SRC_ZPMW03!$A$1:$ZZ$501,$A45,AI$3)))</f>
        <v/>
      </c>
      <c r="AJ45" s="124" t="str">
        <f>IF($B45="","",IF(AJ$3=0,"n.b.",INDEX(SRC_ZPMW03!$A$1:$ZZ$501,$A45,AJ$3)))</f>
        <v/>
      </c>
      <c r="AK45" s="124" t="str">
        <f>IF($B45="","",IF(AK$3=0,"n.b.",INDEX(SRC_ZPMW03!$A$1:$ZZ$501,$A45,AK$3)))</f>
        <v/>
      </c>
      <c r="AL45" s="124" t="str">
        <f>IF($B45="","",IF(AL$3=0,"n.b.",INDEX(SRC_ZPMW03!$A$1:$ZZ$501,$A45,AL$3)))</f>
        <v/>
      </c>
      <c r="AM45" s="124" t="str">
        <f>IF($B45="","",IF(AM$3=0,"n.b.",INDEX(SRC_ZPMW03!$A$1:$ZZ$501,$A45,AM$3)))</f>
        <v/>
      </c>
      <c r="AN45" s="124" t="str">
        <f>IF($B45="","",IF(AN$3=0,"n.b.",INDEX(SRC_ZPMW03!$A$1:$ZZ$501,$A45,AN$3)))</f>
        <v/>
      </c>
      <c r="AO45" s="124" t="str">
        <f>IF($B45="","",IF(AO$3=0,"n.b.",INDEX(SRC_ZPMW03!$A$1:$ZZ$501,$A45,AO$3)))</f>
        <v/>
      </c>
      <c r="AP45" s="124" t="str">
        <f>IF($B45="","",IF(AP$3=0,"n.b.",INDEX(SRC_ZPMW03!$A$1:$ZZ$501,$A45,AP$3)))</f>
        <v/>
      </c>
      <c r="AQ45" s="124" t="str">
        <f>IF($B45="","",IF(AQ$3=0,"n.b.",INDEX(SRC_ZPMW03!$A$1:$ZZ$501,$A45,AQ$3)))</f>
        <v/>
      </c>
      <c r="AR45" s="124" t="str">
        <f>IF($B45="","",IF(AR$3=0,"n.b.",INDEX(SRC_ZPMW03!$A$1:$ZZ$501,$A45,AR$3)))</f>
        <v/>
      </c>
      <c r="AS45" s="124" t="str">
        <f>IF($B45="","",IF(AS$3=0,"n.b.",INDEX(SRC_ZPMW03!$A$1:$ZZ$501,$A45,AS$3)))</f>
        <v/>
      </c>
      <c r="AT45" s="124" t="str">
        <f>IF($B45="","",IF(AT$3=0,"n.b.",INDEX(SRC_ZPMW03!$A$1:$ZZ$501,$A45,AT$3)))</f>
        <v/>
      </c>
      <c r="AU45" s="124" t="str">
        <f>IF($B45="","",IF(AU$3=0,"n.b.",INDEX(SRC_ZPMW03!$A$1:$ZZ$501,$A45,AU$3)))</f>
        <v/>
      </c>
      <c r="AV45" s="124" t="str">
        <f>IF($B45="","",IF(AV$3=0,"n.b.",INDEX(SRC_ZPMW03!$A$1:$ZZ$501,$A45,AV$3)))</f>
        <v/>
      </c>
      <c r="AW45" s="124" t="str">
        <f>IF($B45="","",IF(AW$3=0,"n.b.",INDEX(SRC_ZPMW03!$A$1:$ZZ$501,$A45,AW$3)))</f>
        <v/>
      </c>
      <c r="AX45" s="124" t="str">
        <f>IF($B45="","",IF(AX$3=0,"n.b.",INDEX(SRC_ZPMW03!$A$1:$ZZ$501,$A45,AX$3)))</f>
        <v/>
      </c>
      <c r="AY45" s="124" t="str">
        <f>IF($B45="","",IF(AY$3=0,"n.b.",INDEX(SRC_ZPMW03!$A$1:$ZZ$501,$A45,AY$3)))</f>
        <v/>
      </c>
      <c r="AZ45" s="124" t="str">
        <f>IF($B45="","",IF(AZ$3=0,"n.b.",INDEX(SRC_ZPMW03!$A$1:$ZZ$501,$A45,AZ$3)))</f>
        <v/>
      </c>
      <c r="BA45" s="124" t="str">
        <f>IF($B45="","",IF(BA$3=0,"n.b.",INDEX(SRC_ZPMW03!$A$1:$ZZ$501,$A45,BA$3)))</f>
        <v/>
      </c>
      <c r="BB45" s="124" t="str">
        <f>IF($B45="","",IF(BB$3=0,"n.b.",INDEX(SRC_ZPMW03!$A$1:$ZZ$501,$A45,BB$3)))</f>
        <v/>
      </c>
      <c r="BC45" s="124" t="str">
        <f>IF($B45="","",IF(BC$3=0,"n.b.",INDEX(SRC_ZPMW03!$A$1:$ZZ$501,$A45,BC$3)))</f>
        <v/>
      </c>
      <c r="BD45" s="124" t="str">
        <f>IF($B45="","",IF(BD$3=0,"n.b.",INDEX(SRC_ZPMW03!$A$1:$ZZ$501,$A45,BD$3)))</f>
        <v/>
      </c>
      <c r="BE45" s="124" t="str">
        <f>IF($B45="","",IF(BE$3=0,"n.b.",INDEX(SRC_ZPMW03!$A$1:$ZZ$501,$A45,BE$3)))</f>
        <v/>
      </c>
      <c r="BF45" s="124" t="str">
        <f>IF($B45="","",IF(BF$3=0,"n.b.",INDEX(SRC_ZPMW03!$A$1:$ZZ$501,$A45,BF$3)))</f>
        <v/>
      </c>
      <c r="BG45" t="str">
        <f>IF($B45="","",IF(BG$3=0,"n.b.",INDEX(SRC_ZPMW03!$A$1:$ZZ$501,$A45,BG$3)))</f>
        <v/>
      </c>
      <c r="BH45" t="str">
        <f>IF($B45="","",IF(BH$3=0,"n.b.",INDEX(SRC_ZPMW03!$A$1:$ZZ$501,$A45,BH$3)))</f>
        <v/>
      </c>
      <c r="BI45" t="str">
        <f>IF($B45="","",IF(BI$3=0,"n.b.",INDEX(SRC_ZPMW03!$A$1:$ZZ$501,$A45,BI$3)))</f>
        <v/>
      </c>
      <c r="BJ45" t="str">
        <f>IF($B45="","",IF(BJ$3=0,"n.b.",INDEX(SRC_ZPMW03!$A$1:$ZZ$501,$A45,BJ$3)))</f>
        <v/>
      </c>
      <c r="BK45" s="124" t="str">
        <f>IF($B45="","",IFERROR(-O45,"n.b."))</f>
        <v/>
      </c>
      <c r="BL45" s="124" t="str">
        <f>IF($B45="","",IFERROR(-Q45,"n.b."))</f>
        <v/>
      </c>
      <c r="BM45" s="124" t="str">
        <f>IF($B45="","",IFERROR(-AB45,"n.b."))</f>
        <v/>
      </c>
      <c r="BN45" s="124" t="str">
        <f>IF($B45="","",IFERROR(-AD45,"n.b."))</f>
        <v/>
      </c>
      <c r="BO45" s="124" t="str">
        <f>IF($B45="","",IFERROR(BK45+BM45,"n.b."))</f>
        <v/>
      </c>
      <c r="BP45" s="124" t="str">
        <f>IF($B45="","",IFERROR(BL45+BN45,"n.b."))</f>
        <v/>
      </c>
      <c r="BQ45" s="124" t="str">
        <f>IF($B45="","",IFERROR(-AM45,"n.b."))</f>
        <v/>
      </c>
      <c r="BR45" s="124" t="str">
        <f>IF($B45="","",IFERROR(-AO45,"n.b."))</f>
        <v/>
      </c>
      <c r="BS45" s="124" t="str">
        <f>IF($B45="","",IFERROR(-Z45,"n.b."))</f>
        <v/>
      </c>
      <c r="BT45" s="124" t="str">
        <f>IF($B45="","",IFERROR(-AA45,"n.b."))</f>
        <v/>
      </c>
      <c r="BU45" s="124" t="str">
        <f>IF($B45="","",IFERROR(-AE45,"n.b."))</f>
        <v/>
      </c>
      <c r="BV45" s="124" t="str">
        <f>IF($B45="","",IFERROR(-AF45,"n.b."))</f>
        <v/>
      </c>
      <c r="BW45" s="124" t="str">
        <f>IF($B45="","",IFERROR(-AG45,"n.b."))</f>
        <v/>
      </c>
      <c r="BX45" s="124" t="str">
        <f>IF($B45="","",IFERROR(-AH45,"n.b."))</f>
        <v/>
      </c>
      <c r="BY45" s="124" t="str">
        <f>IF($B45="","",IFERROR(-AI45,"n.b."))</f>
        <v/>
      </c>
      <c r="BZ45" s="124" t="str">
        <f>IF($B45="","",IFERROR(-AJ45,"n.b."))</f>
        <v/>
      </c>
      <c r="CA45" s="124" t="str">
        <f>IF($B45="","",IFERROR(-AK45,"n.b."))</f>
        <v/>
      </c>
      <c r="CB45" s="124" t="str">
        <f>IF($B45="","",IFERROR(-AL45,"n.b."))</f>
        <v/>
      </c>
      <c r="CC45" s="124" t="str">
        <f>IF($B45="","",IFERROR(-AP45,"n.b."))</f>
        <v/>
      </c>
      <c r="CD45" s="124" t="str">
        <f>IF($B45="","",IFERROR(-AQ45,"n.b."))</f>
        <v/>
      </c>
      <c r="CE45" s="124" t="str">
        <f>IF($B45="","",IFERROR(-AR45,"n.b."))</f>
        <v/>
      </c>
      <c r="CF45" s="124" t="str">
        <f>IF($B45="","",IFERROR(-AS45,"n.b."))</f>
        <v/>
      </c>
      <c r="CG45" s="124" t="str">
        <f>IF($B45="","",IFERROR(-AT45,"n.b."))</f>
        <v/>
      </c>
      <c r="CH45" s="124" t="str">
        <f>IF($B45="","",IFERROR(-AU45,"n.b."))</f>
        <v/>
      </c>
      <c r="CI45" s="124" t="str">
        <f>IF($B45="","",IFERROR(-AV45,"n.b."))</f>
        <v/>
      </c>
      <c r="CJ45" s="124" t="str">
        <f>IF($B45="","",IFERROR(-AW45,"n.b."))</f>
        <v/>
      </c>
      <c r="CK45" s="124" t="str">
        <f>IF($B45="","",IFERROR(-AX45,"n.b."))</f>
        <v/>
      </c>
      <c r="CL45" s="124" t="str">
        <f>IF($B45="","",IFERROR(-AY45,"n.b."))</f>
        <v/>
      </c>
      <c r="CM45" s="124" t="str">
        <f>IF($B45="","",IFERROR(-AZ45,"n.b."))</f>
        <v/>
      </c>
      <c r="CN45" s="124" t="str">
        <f>IF($B45="","",IFERROR(-BA45,"n.b."))</f>
        <v/>
      </c>
      <c r="CO45" s="124" t="str">
        <f>IF($B45="","",IFERROR(-BB45,"n.b."))</f>
        <v/>
      </c>
      <c r="CP45" s="124" t="str">
        <f>IF($B45="","",IFERROR(-BC45,"n.b."))</f>
        <v/>
      </c>
      <c r="CQ45" s="124" t="str">
        <f>IF($B45="","",IFERROR(-BD45,"n.b."))</f>
        <v/>
      </c>
      <c r="CR45" s="124" t="str">
        <f>IF($B45="","",IFERROR(-BE45,"n.b."))</f>
        <v/>
      </c>
      <c r="CS45" s="124" t="str">
        <f>IF($B45="","",IFERROR(IF(OR(ABS(T45+V45+X45+Z45-AB45)&gt;P_Tol,ABS(U45+W45+Y45+AA45-AD45)&gt;P_Tol,ABS(AE45+AG45+AI45+AK45-AM45)&gt;P_Tol,ABS(AF45+AH45+AJ45+AL45-AO45)&gt;P_Tol),1,0),1))</f>
        <v/>
      </c>
      <c r="CT45" s="124" t="str">
        <f>IF($B45="","",IFERROR(IF(OR(ABS(AB45+AC45-AD45)&gt;P_Tol,ABS(AM45+AN45-AO45)&gt;P_Tol,ABS(O45+P45-Q45)&gt;P_Tol),1,0),1))</f>
        <v/>
      </c>
      <c r="CU45" s="124" t="str">
        <f>IF($B45="","",IFERROR(IF(ABS(R45-(AB45+AM45+AP45+AR45+AT45+AV45+AX45+AZ45+BB45+BD45))&gt;P_Tol,1,0),1))</f>
        <v/>
      </c>
      <c r="CV45" s="124" t="str">
        <f>IF($B45="","",IFERROR(IF(ABS(M45-(N45+O45+R45))&gt;P_Tol,1,0),1))</f>
        <v/>
      </c>
      <c r="CW45" s="124" t="str">
        <f>IF($B45="","",IF(COUNTIF(Mapping!$A$5:$A$104,B45)&gt;0,1,0))</f>
        <v/>
      </c>
      <c r="CX45" s="124" t="str">
        <f>IF($B45="","",COUNTIF($B$6:$B$505,B45))</f>
        <v/>
      </c>
      <c r="CY45" s="124" t="str">
        <f>IF($B45="","",COUNTIF(STG_Woningetalage!$B$6:$B$505,B45))</f>
        <v/>
      </c>
      <c r="CZ45" s="124" t="str">
        <f>IF($B45="","",IF(CW45=0,COUNTIF($CW$6:CW45,0),""))</f>
        <v/>
      </c>
    </row>
    <row r="46">
      <c r="A46" s="15" t="n">
        <v>42</v>
      </c>
      <c r="B46" t="str">
        <f>IF(B$3=0,"",IF(INDEX(SRC_ZPMW03!$A$1:$ZZ$501,$A46,B$3)&amp;""="","",INDEX(SRC_ZPMW03!$A$1:$ZZ$501,$A46,B$3)&amp;""))</f>
        <v/>
      </c>
      <c r="C46" t="str">
        <f>IF($B46="","",IF(C$3=0,"n.b.",INDEX(SRC_ZPMW03!$A$1:$ZZ$501,$A46,C$3)))</f>
        <v/>
      </c>
      <c r="D46" t="str">
        <f>IF($B46="","",IF(D$3=0,"n.b.",INDEX(SRC_ZPMW03!$A$1:$ZZ$501,$A46,D$3)))</f>
        <v/>
      </c>
      <c r="E46" t="str">
        <f>IF($B46="","",IF(E$3=0,"n.b.",INDEX(SRC_ZPMW03!$A$1:$ZZ$501,$A46,E$3)))</f>
        <v/>
      </c>
      <c r="F46" t="str">
        <f>IF($B46="","",IF(F$3=0,"n.b.",INDEX(SRC_ZPMW03!$A$1:$ZZ$501,$A46,F$3)))</f>
        <v/>
      </c>
      <c r="G46" t="str">
        <f>IF($B46="","",IF(G$3=0,"n.b.",INDEX(SRC_ZPMW03!$A$1:$ZZ$501,$A46,G$3)))</f>
        <v/>
      </c>
      <c r="H46" t="str">
        <f>IF($B46="","",IF(H$3=0,"n.b.",INDEX(SRC_ZPMW03!$A$1:$ZZ$501,$A46,H$3)))</f>
        <v/>
      </c>
      <c r="I46" t="str">
        <f>IF($B46="","",IF(I$3=0,"n.b.",INDEX(SRC_ZPMW03!$A$1:$ZZ$501,$A46,I$3)))</f>
        <v/>
      </c>
      <c r="J46" t="str">
        <f>IF($B46="","",IF(J$3=0,"n.b.",INDEX(SRC_ZPMW03!$A$1:$ZZ$501,$A46,J$3)))</f>
        <v/>
      </c>
      <c r="K46" t="str">
        <f>IF($B46="","",IF(K$3=0,"n.b.",INDEX(SRC_ZPMW03!$A$1:$ZZ$501,$A46,K$3)))</f>
        <v/>
      </c>
      <c r="L46" s="124" t="str">
        <f>IF($B46="","",IF(L$3=0,"n.b.",INDEX(SRC_ZPMW03!$A$1:$ZZ$501,$A46,L$3)))</f>
        <v/>
      </c>
      <c r="M46" s="124" t="str">
        <f>IF($B46="","",IF(M$3=0,"n.b.",INDEX(SRC_ZPMW03!$A$1:$ZZ$501,$A46,M$3)))</f>
        <v/>
      </c>
      <c r="N46" s="124" t="str">
        <f>IF($B46="","",IF(N$3=0,"n.b.",INDEX(SRC_ZPMW03!$A$1:$ZZ$501,$A46,N$3)))</f>
        <v/>
      </c>
      <c r="O46" s="124" t="str">
        <f>IF($B46="","",IF(O$3=0,"n.b.",INDEX(SRC_ZPMW03!$A$1:$ZZ$501,$A46,O$3)))</f>
        <v/>
      </c>
      <c r="P46" s="124" t="str">
        <f>IF($B46="","",IF(P$3=0,"n.b.",INDEX(SRC_ZPMW03!$A$1:$ZZ$501,$A46,P$3)))</f>
        <v/>
      </c>
      <c r="Q46" s="124" t="str">
        <f>IF($B46="","",IF(Q$3=0,"n.b.",INDEX(SRC_ZPMW03!$A$1:$ZZ$501,$A46,Q$3)))</f>
        <v/>
      </c>
      <c r="R46" s="124" t="str">
        <f>IF($B46="","",IF(R$3=0,"n.b.",INDEX(SRC_ZPMW03!$A$1:$ZZ$501,$A46,R$3)))</f>
        <v/>
      </c>
      <c r="S46" s="124" t="str">
        <f>IF($B46="","",IF(S$3=0,"n.b.",INDEX(SRC_ZPMW03!$A$1:$ZZ$501,$A46,S$3)))</f>
        <v/>
      </c>
      <c r="T46" s="124" t="str">
        <f>IF($B46="","",IF(T$3=0,"n.b.",INDEX(SRC_ZPMW03!$A$1:$ZZ$501,$A46,T$3)))</f>
        <v/>
      </c>
      <c r="U46" s="124" t="str">
        <f>IF($B46="","",IF(U$3=0,"n.b.",INDEX(SRC_ZPMW03!$A$1:$ZZ$501,$A46,U$3)))</f>
        <v/>
      </c>
      <c r="V46" s="124" t="str">
        <f>IF($B46="","",IF(V$3=0,"n.b.",INDEX(SRC_ZPMW03!$A$1:$ZZ$501,$A46,V$3)))</f>
        <v/>
      </c>
      <c r="W46" s="124" t="str">
        <f>IF($B46="","",IF(W$3=0,"n.b.",INDEX(SRC_ZPMW03!$A$1:$ZZ$501,$A46,W$3)))</f>
        <v/>
      </c>
      <c r="X46" s="124" t="str">
        <f>IF($B46="","",IF(X$3=0,"n.b.",INDEX(SRC_ZPMW03!$A$1:$ZZ$501,$A46,X$3)))</f>
        <v/>
      </c>
      <c r="Y46" s="124" t="str">
        <f>IF($B46="","",IF(Y$3=0,"n.b.",INDEX(SRC_ZPMW03!$A$1:$ZZ$501,$A46,Y$3)))</f>
        <v/>
      </c>
      <c r="Z46" s="124" t="str">
        <f>IF($B46="","",IF(Z$3=0,"n.b.",INDEX(SRC_ZPMW03!$A$1:$ZZ$501,$A46,Z$3)))</f>
        <v/>
      </c>
      <c r="AA46" s="124" t="str">
        <f>IF($B46="","",IF(AA$3=0,"n.b.",INDEX(SRC_ZPMW03!$A$1:$ZZ$501,$A46,AA$3)))</f>
        <v/>
      </c>
      <c r="AB46" s="124" t="str">
        <f>IF($B46="","",IF(AB$3=0,"n.b.",INDEX(SRC_ZPMW03!$A$1:$ZZ$501,$A46,AB$3)))</f>
        <v/>
      </c>
      <c r="AC46" s="124" t="str">
        <f>IF($B46="","",IF(AC$3=0,"n.b.",INDEX(SRC_ZPMW03!$A$1:$ZZ$501,$A46,AC$3)))</f>
        <v/>
      </c>
      <c r="AD46" s="124" t="str">
        <f>IF($B46="","",IF(AD$3=0,"n.b.",INDEX(SRC_ZPMW03!$A$1:$ZZ$501,$A46,AD$3)))</f>
        <v/>
      </c>
      <c r="AE46" s="124" t="str">
        <f>IF($B46="","",IF(AE$3=0,"n.b.",INDEX(SRC_ZPMW03!$A$1:$ZZ$501,$A46,AE$3)))</f>
        <v/>
      </c>
      <c r="AF46" s="124" t="str">
        <f>IF($B46="","",IF(AF$3=0,"n.b.",INDEX(SRC_ZPMW03!$A$1:$ZZ$501,$A46,AF$3)))</f>
        <v/>
      </c>
      <c r="AG46" s="124" t="str">
        <f>IF($B46="","",IF(AG$3=0,"n.b.",INDEX(SRC_ZPMW03!$A$1:$ZZ$501,$A46,AG$3)))</f>
        <v/>
      </c>
      <c r="AH46" s="124" t="str">
        <f>IF($B46="","",IF(AH$3=0,"n.b.",INDEX(SRC_ZPMW03!$A$1:$ZZ$501,$A46,AH$3)))</f>
        <v/>
      </c>
      <c r="AI46" s="124" t="str">
        <f>IF($B46="","",IF(AI$3=0,"n.b.",INDEX(SRC_ZPMW03!$A$1:$ZZ$501,$A46,AI$3)))</f>
        <v/>
      </c>
      <c r="AJ46" s="124" t="str">
        <f>IF($B46="","",IF(AJ$3=0,"n.b.",INDEX(SRC_ZPMW03!$A$1:$ZZ$501,$A46,AJ$3)))</f>
        <v/>
      </c>
      <c r="AK46" s="124" t="str">
        <f>IF($B46="","",IF(AK$3=0,"n.b.",INDEX(SRC_ZPMW03!$A$1:$ZZ$501,$A46,AK$3)))</f>
        <v/>
      </c>
      <c r="AL46" s="124" t="str">
        <f>IF($B46="","",IF(AL$3=0,"n.b.",INDEX(SRC_ZPMW03!$A$1:$ZZ$501,$A46,AL$3)))</f>
        <v/>
      </c>
      <c r="AM46" s="124" t="str">
        <f>IF($B46="","",IF(AM$3=0,"n.b.",INDEX(SRC_ZPMW03!$A$1:$ZZ$501,$A46,AM$3)))</f>
        <v/>
      </c>
      <c r="AN46" s="124" t="str">
        <f>IF($B46="","",IF(AN$3=0,"n.b.",INDEX(SRC_ZPMW03!$A$1:$ZZ$501,$A46,AN$3)))</f>
        <v/>
      </c>
      <c r="AO46" s="124" t="str">
        <f>IF($B46="","",IF(AO$3=0,"n.b.",INDEX(SRC_ZPMW03!$A$1:$ZZ$501,$A46,AO$3)))</f>
        <v/>
      </c>
      <c r="AP46" s="124" t="str">
        <f>IF($B46="","",IF(AP$3=0,"n.b.",INDEX(SRC_ZPMW03!$A$1:$ZZ$501,$A46,AP$3)))</f>
        <v/>
      </c>
      <c r="AQ46" s="124" t="str">
        <f>IF($B46="","",IF(AQ$3=0,"n.b.",INDEX(SRC_ZPMW03!$A$1:$ZZ$501,$A46,AQ$3)))</f>
        <v/>
      </c>
      <c r="AR46" s="124" t="str">
        <f>IF($B46="","",IF(AR$3=0,"n.b.",INDEX(SRC_ZPMW03!$A$1:$ZZ$501,$A46,AR$3)))</f>
        <v/>
      </c>
      <c r="AS46" s="124" t="str">
        <f>IF($B46="","",IF(AS$3=0,"n.b.",INDEX(SRC_ZPMW03!$A$1:$ZZ$501,$A46,AS$3)))</f>
        <v/>
      </c>
      <c r="AT46" s="124" t="str">
        <f>IF($B46="","",IF(AT$3=0,"n.b.",INDEX(SRC_ZPMW03!$A$1:$ZZ$501,$A46,AT$3)))</f>
        <v/>
      </c>
      <c r="AU46" s="124" t="str">
        <f>IF($B46="","",IF(AU$3=0,"n.b.",INDEX(SRC_ZPMW03!$A$1:$ZZ$501,$A46,AU$3)))</f>
        <v/>
      </c>
      <c r="AV46" s="124" t="str">
        <f>IF($B46="","",IF(AV$3=0,"n.b.",INDEX(SRC_ZPMW03!$A$1:$ZZ$501,$A46,AV$3)))</f>
        <v/>
      </c>
      <c r="AW46" s="124" t="str">
        <f>IF($B46="","",IF(AW$3=0,"n.b.",INDEX(SRC_ZPMW03!$A$1:$ZZ$501,$A46,AW$3)))</f>
        <v/>
      </c>
      <c r="AX46" s="124" t="str">
        <f>IF($B46="","",IF(AX$3=0,"n.b.",INDEX(SRC_ZPMW03!$A$1:$ZZ$501,$A46,AX$3)))</f>
        <v/>
      </c>
      <c r="AY46" s="124" t="str">
        <f>IF($B46="","",IF(AY$3=0,"n.b.",INDEX(SRC_ZPMW03!$A$1:$ZZ$501,$A46,AY$3)))</f>
        <v/>
      </c>
      <c r="AZ46" s="124" t="str">
        <f>IF($B46="","",IF(AZ$3=0,"n.b.",INDEX(SRC_ZPMW03!$A$1:$ZZ$501,$A46,AZ$3)))</f>
        <v/>
      </c>
      <c r="BA46" s="124" t="str">
        <f>IF($B46="","",IF(BA$3=0,"n.b.",INDEX(SRC_ZPMW03!$A$1:$ZZ$501,$A46,BA$3)))</f>
        <v/>
      </c>
      <c r="BB46" s="124" t="str">
        <f>IF($B46="","",IF(BB$3=0,"n.b.",INDEX(SRC_ZPMW03!$A$1:$ZZ$501,$A46,BB$3)))</f>
        <v/>
      </c>
      <c r="BC46" s="124" t="str">
        <f>IF($B46="","",IF(BC$3=0,"n.b.",INDEX(SRC_ZPMW03!$A$1:$ZZ$501,$A46,BC$3)))</f>
        <v/>
      </c>
      <c r="BD46" s="124" t="str">
        <f>IF($B46="","",IF(BD$3=0,"n.b.",INDEX(SRC_ZPMW03!$A$1:$ZZ$501,$A46,BD$3)))</f>
        <v/>
      </c>
      <c r="BE46" s="124" t="str">
        <f>IF($B46="","",IF(BE$3=0,"n.b.",INDEX(SRC_ZPMW03!$A$1:$ZZ$501,$A46,BE$3)))</f>
        <v/>
      </c>
      <c r="BF46" s="124" t="str">
        <f>IF($B46="","",IF(BF$3=0,"n.b.",INDEX(SRC_ZPMW03!$A$1:$ZZ$501,$A46,BF$3)))</f>
        <v/>
      </c>
      <c r="BG46" t="str">
        <f>IF($B46="","",IF(BG$3=0,"n.b.",INDEX(SRC_ZPMW03!$A$1:$ZZ$501,$A46,BG$3)))</f>
        <v/>
      </c>
      <c r="BH46" t="str">
        <f>IF($B46="","",IF(BH$3=0,"n.b.",INDEX(SRC_ZPMW03!$A$1:$ZZ$501,$A46,BH$3)))</f>
        <v/>
      </c>
      <c r="BI46" t="str">
        <f>IF($B46="","",IF(BI$3=0,"n.b.",INDEX(SRC_ZPMW03!$A$1:$ZZ$501,$A46,BI$3)))</f>
        <v/>
      </c>
      <c r="BJ46" t="str">
        <f>IF($B46="","",IF(BJ$3=0,"n.b.",INDEX(SRC_ZPMW03!$A$1:$ZZ$501,$A46,BJ$3)))</f>
        <v/>
      </c>
      <c r="BK46" s="124" t="str">
        <f>IF($B46="","",IFERROR(-O46,"n.b."))</f>
        <v/>
      </c>
      <c r="BL46" s="124" t="str">
        <f>IF($B46="","",IFERROR(-Q46,"n.b."))</f>
        <v/>
      </c>
      <c r="BM46" s="124" t="str">
        <f>IF($B46="","",IFERROR(-AB46,"n.b."))</f>
        <v/>
      </c>
      <c r="BN46" s="124" t="str">
        <f>IF($B46="","",IFERROR(-AD46,"n.b."))</f>
        <v/>
      </c>
      <c r="BO46" s="124" t="str">
        <f>IF($B46="","",IFERROR(BK46+BM46,"n.b."))</f>
        <v/>
      </c>
      <c r="BP46" s="124" t="str">
        <f>IF($B46="","",IFERROR(BL46+BN46,"n.b."))</f>
        <v/>
      </c>
      <c r="BQ46" s="124" t="str">
        <f>IF($B46="","",IFERROR(-AM46,"n.b."))</f>
        <v/>
      </c>
      <c r="BR46" s="124" t="str">
        <f>IF($B46="","",IFERROR(-AO46,"n.b."))</f>
        <v/>
      </c>
      <c r="BS46" s="124" t="str">
        <f>IF($B46="","",IFERROR(-Z46,"n.b."))</f>
        <v/>
      </c>
      <c r="BT46" s="124" t="str">
        <f>IF($B46="","",IFERROR(-AA46,"n.b."))</f>
        <v/>
      </c>
      <c r="BU46" s="124" t="str">
        <f>IF($B46="","",IFERROR(-AE46,"n.b."))</f>
        <v/>
      </c>
      <c r="BV46" s="124" t="str">
        <f>IF($B46="","",IFERROR(-AF46,"n.b."))</f>
        <v/>
      </c>
      <c r="BW46" s="124" t="str">
        <f>IF($B46="","",IFERROR(-AG46,"n.b."))</f>
        <v/>
      </c>
      <c r="BX46" s="124" t="str">
        <f>IF($B46="","",IFERROR(-AH46,"n.b."))</f>
        <v/>
      </c>
      <c r="BY46" s="124" t="str">
        <f>IF($B46="","",IFERROR(-AI46,"n.b."))</f>
        <v/>
      </c>
      <c r="BZ46" s="124" t="str">
        <f>IF($B46="","",IFERROR(-AJ46,"n.b."))</f>
        <v/>
      </c>
      <c r="CA46" s="124" t="str">
        <f>IF($B46="","",IFERROR(-AK46,"n.b."))</f>
        <v/>
      </c>
      <c r="CB46" s="124" t="str">
        <f>IF($B46="","",IFERROR(-AL46,"n.b."))</f>
        <v/>
      </c>
      <c r="CC46" s="124" t="str">
        <f>IF($B46="","",IFERROR(-AP46,"n.b."))</f>
        <v/>
      </c>
      <c r="CD46" s="124" t="str">
        <f>IF($B46="","",IFERROR(-AQ46,"n.b."))</f>
        <v/>
      </c>
      <c r="CE46" s="124" t="str">
        <f>IF($B46="","",IFERROR(-AR46,"n.b."))</f>
        <v/>
      </c>
      <c r="CF46" s="124" t="str">
        <f>IF($B46="","",IFERROR(-AS46,"n.b."))</f>
        <v/>
      </c>
      <c r="CG46" s="124" t="str">
        <f>IF($B46="","",IFERROR(-AT46,"n.b."))</f>
        <v/>
      </c>
      <c r="CH46" s="124" t="str">
        <f>IF($B46="","",IFERROR(-AU46,"n.b."))</f>
        <v/>
      </c>
      <c r="CI46" s="124" t="str">
        <f>IF($B46="","",IFERROR(-AV46,"n.b."))</f>
        <v/>
      </c>
      <c r="CJ46" s="124" t="str">
        <f>IF($B46="","",IFERROR(-AW46,"n.b."))</f>
        <v/>
      </c>
      <c r="CK46" s="124" t="str">
        <f>IF($B46="","",IFERROR(-AX46,"n.b."))</f>
        <v/>
      </c>
      <c r="CL46" s="124" t="str">
        <f>IF($B46="","",IFERROR(-AY46,"n.b."))</f>
        <v/>
      </c>
      <c r="CM46" s="124" t="str">
        <f>IF($B46="","",IFERROR(-AZ46,"n.b."))</f>
        <v/>
      </c>
      <c r="CN46" s="124" t="str">
        <f>IF($B46="","",IFERROR(-BA46,"n.b."))</f>
        <v/>
      </c>
      <c r="CO46" s="124" t="str">
        <f>IF($B46="","",IFERROR(-BB46,"n.b."))</f>
        <v/>
      </c>
      <c r="CP46" s="124" t="str">
        <f>IF($B46="","",IFERROR(-BC46,"n.b."))</f>
        <v/>
      </c>
      <c r="CQ46" s="124" t="str">
        <f>IF($B46="","",IFERROR(-BD46,"n.b."))</f>
        <v/>
      </c>
      <c r="CR46" s="124" t="str">
        <f>IF($B46="","",IFERROR(-BE46,"n.b."))</f>
        <v/>
      </c>
      <c r="CS46" s="124" t="str">
        <f>IF($B46="","",IFERROR(IF(OR(ABS(T46+V46+X46+Z46-AB46)&gt;P_Tol,ABS(U46+W46+Y46+AA46-AD46)&gt;P_Tol,ABS(AE46+AG46+AI46+AK46-AM46)&gt;P_Tol,ABS(AF46+AH46+AJ46+AL46-AO46)&gt;P_Tol),1,0),1))</f>
        <v/>
      </c>
      <c r="CT46" s="124" t="str">
        <f>IF($B46="","",IFERROR(IF(OR(ABS(AB46+AC46-AD46)&gt;P_Tol,ABS(AM46+AN46-AO46)&gt;P_Tol,ABS(O46+P46-Q46)&gt;P_Tol),1,0),1))</f>
        <v/>
      </c>
      <c r="CU46" s="124" t="str">
        <f>IF($B46="","",IFERROR(IF(ABS(R46-(AB46+AM46+AP46+AR46+AT46+AV46+AX46+AZ46+BB46+BD46))&gt;P_Tol,1,0),1))</f>
        <v/>
      </c>
      <c r="CV46" s="124" t="str">
        <f>IF($B46="","",IFERROR(IF(ABS(M46-(N46+O46+R46))&gt;P_Tol,1,0),1))</f>
        <v/>
      </c>
      <c r="CW46" s="124" t="str">
        <f>IF($B46="","",IF(COUNTIF(Mapping!$A$5:$A$104,B46)&gt;0,1,0))</f>
        <v/>
      </c>
      <c r="CX46" s="124" t="str">
        <f>IF($B46="","",COUNTIF($B$6:$B$505,B46))</f>
        <v/>
      </c>
      <c r="CY46" s="124" t="str">
        <f>IF($B46="","",COUNTIF(STG_Woningetalage!$B$6:$B$505,B46))</f>
        <v/>
      </c>
      <c r="CZ46" s="124" t="str">
        <f>IF($B46="","",IF(CW46=0,COUNTIF($CW$6:CW46,0),""))</f>
        <v/>
      </c>
    </row>
    <row r="47">
      <c r="A47" s="15" t="n">
        <v>43</v>
      </c>
      <c r="B47" t="str">
        <f>IF(B$3=0,"",IF(INDEX(SRC_ZPMW03!$A$1:$ZZ$501,$A47,B$3)&amp;""="","",INDEX(SRC_ZPMW03!$A$1:$ZZ$501,$A47,B$3)&amp;""))</f>
        <v/>
      </c>
      <c r="C47" t="str">
        <f>IF($B47="","",IF(C$3=0,"n.b.",INDEX(SRC_ZPMW03!$A$1:$ZZ$501,$A47,C$3)))</f>
        <v/>
      </c>
      <c r="D47" t="str">
        <f>IF($B47="","",IF(D$3=0,"n.b.",INDEX(SRC_ZPMW03!$A$1:$ZZ$501,$A47,D$3)))</f>
        <v/>
      </c>
      <c r="E47" t="str">
        <f>IF($B47="","",IF(E$3=0,"n.b.",INDEX(SRC_ZPMW03!$A$1:$ZZ$501,$A47,E$3)))</f>
        <v/>
      </c>
      <c r="F47" t="str">
        <f>IF($B47="","",IF(F$3=0,"n.b.",INDEX(SRC_ZPMW03!$A$1:$ZZ$501,$A47,F$3)))</f>
        <v/>
      </c>
      <c r="G47" t="str">
        <f>IF($B47="","",IF(G$3=0,"n.b.",INDEX(SRC_ZPMW03!$A$1:$ZZ$501,$A47,G$3)))</f>
        <v/>
      </c>
      <c r="H47" t="str">
        <f>IF($B47="","",IF(H$3=0,"n.b.",INDEX(SRC_ZPMW03!$A$1:$ZZ$501,$A47,H$3)))</f>
        <v/>
      </c>
      <c r="I47" t="str">
        <f>IF($B47="","",IF(I$3=0,"n.b.",INDEX(SRC_ZPMW03!$A$1:$ZZ$501,$A47,I$3)))</f>
        <v/>
      </c>
      <c r="J47" t="str">
        <f>IF($B47="","",IF(J$3=0,"n.b.",INDEX(SRC_ZPMW03!$A$1:$ZZ$501,$A47,J$3)))</f>
        <v/>
      </c>
      <c r="K47" t="str">
        <f>IF($B47="","",IF(K$3=0,"n.b.",INDEX(SRC_ZPMW03!$A$1:$ZZ$501,$A47,K$3)))</f>
        <v/>
      </c>
      <c r="L47" s="124" t="str">
        <f>IF($B47="","",IF(L$3=0,"n.b.",INDEX(SRC_ZPMW03!$A$1:$ZZ$501,$A47,L$3)))</f>
        <v/>
      </c>
      <c r="M47" s="124" t="str">
        <f>IF($B47="","",IF(M$3=0,"n.b.",INDEX(SRC_ZPMW03!$A$1:$ZZ$501,$A47,M$3)))</f>
        <v/>
      </c>
      <c r="N47" s="124" t="str">
        <f>IF($B47="","",IF(N$3=0,"n.b.",INDEX(SRC_ZPMW03!$A$1:$ZZ$501,$A47,N$3)))</f>
        <v/>
      </c>
      <c r="O47" s="124" t="str">
        <f>IF($B47="","",IF(O$3=0,"n.b.",INDEX(SRC_ZPMW03!$A$1:$ZZ$501,$A47,O$3)))</f>
        <v/>
      </c>
      <c r="P47" s="124" t="str">
        <f>IF($B47="","",IF(P$3=0,"n.b.",INDEX(SRC_ZPMW03!$A$1:$ZZ$501,$A47,P$3)))</f>
        <v/>
      </c>
      <c r="Q47" s="124" t="str">
        <f>IF($B47="","",IF(Q$3=0,"n.b.",INDEX(SRC_ZPMW03!$A$1:$ZZ$501,$A47,Q$3)))</f>
        <v/>
      </c>
      <c r="R47" s="124" t="str">
        <f>IF($B47="","",IF(R$3=0,"n.b.",INDEX(SRC_ZPMW03!$A$1:$ZZ$501,$A47,R$3)))</f>
        <v/>
      </c>
      <c r="S47" s="124" t="str">
        <f>IF($B47="","",IF(S$3=0,"n.b.",INDEX(SRC_ZPMW03!$A$1:$ZZ$501,$A47,S$3)))</f>
        <v/>
      </c>
      <c r="T47" s="124" t="str">
        <f>IF($B47="","",IF(T$3=0,"n.b.",INDEX(SRC_ZPMW03!$A$1:$ZZ$501,$A47,T$3)))</f>
        <v/>
      </c>
      <c r="U47" s="124" t="str">
        <f>IF($B47="","",IF(U$3=0,"n.b.",INDEX(SRC_ZPMW03!$A$1:$ZZ$501,$A47,U$3)))</f>
        <v/>
      </c>
      <c r="V47" s="124" t="str">
        <f>IF($B47="","",IF(V$3=0,"n.b.",INDEX(SRC_ZPMW03!$A$1:$ZZ$501,$A47,V$3)))</f>
        <v/>
      </c>
      <c r="W47" s="124" t="str">
        <f>IF($B47="","",IF(W$3=0,"n.b.",INDEX(SRC_ZPMW03!$A$1:$ZZ$501,$A47,W$3)))</f>
        <v/>
      </c>
      <c r="X47" s="124" t="str">
        <f>IF($B47="","",IF(X$3=0,"n.b.",INDEX(SRC_ZPMW03!$A$1:$ZZ$501,$A47,X$3)))</f>
        <v/>
      </c>
      <c r="Y47" s="124" t="str">
        <f>IF($B47="","",IF(Y$3=0,"n.b.",INDEX(SRC_ZPMW03!$A$1:$ZZ$501,$A47,Y$3)))</f>
        <v/>
      </c>
      <c r="Z47" s="124" t="str">
        <f>IF($B47="","",IF(Z$3=0,"n.b.",INDEX(SRC_ZPMW03!$A$1:$ZZ$501,$A47,Z$3)))</f>
        <v/>
      </c>
      <c r="AA47" s="124" t="str">
        <f>IF($B47="","",IF(AA$3=0,"n.b.",INDEX(SRC_ZPMW03!$A$1:$ZZ$501,$A47,AA$3)))</f>
        <v/>
      </c>
      <c r="AB47" s="124" t="str">
        <f>IF($B47="","",IF(AB$3=0,"n.b.",INDEX(SRC_ZPMW03!$A$1:$ZZ$501,$A47,AB$3)))</f>
        <v/>
      </c>
      <c r="AC47" s="124" t="str">
        <f>IF($B47="","",IF(AC$3=0,"n.b.",INDEX(SRC_ZPMW03!$A$1:$ZZ$501,$A47,AC$3)))</f>
        <v/>
      </c>
      <c r="AD47" s="124" t="str">
        <f>IF($B47="","",IF(AD$3=0,"n.b.",INDEX(SRC_ZPMW03!$A$1:$ZZ$501,$A47,AD$3)))</f>
        <v/>
      </c>
      <c r="AE47" s="124" t="str">
        <f>IF($B47="","",IF(AE$3=0,"n.b.",INDEX(SRC_ZPMW03!$A$1:$ZZ$501,$A47,AE$3)))</f>
        <v/>
      </c>
      <c r="AF47" s="124" t="str">
        <f>IF($B47="","",IF(AF$3=0,"n.b.",INDEX(SRC_ZPMW03!$A$1:$ZZ$501,$A47,AF$3)))</f>
        <v/>
      </c>
      <c r="AG47" s="124" t="str">
        <f>IF($B47="","",IF(AG$3=0,"n.b.",INDEX(SRC_ZPMW03!$A$1:$ZZ$501,$A47,AG$3)))</f>
        <v/>
      </c>
      <c r="AH47" s="124" t="str">
        <f>IF($B47="","",IF(AH$3=0,"n.b.",INDEX(SRC_ZPMW03!$A$1:$ZZ$501,$A47,AH$3)))</f>
        <v/>
      </c>
      <c r="AI47" s="124" t="str">
        <f>IF($B47="","",IF(AI$3=0,"n.b.",INDEX(SRC_ZPMW03!$A$1:$ZZ$501,$A47,AI$3)))</f>
        <v/>
      </c>
      <c r="AJ47" s="124" t="str">
        <f>IF($B47="","",IF(AJ$3=0,"n.b.",INDEX(SRC_ZPMW03!$A$1:$ZZ$501,$A47,AJ$3)))</f>
        <v/>
      </c>
      <c r="AK47" s="124" t="str">
        <f>IF($B47="","",IF(AK$3=0,"n.b.",INDEX(SRC_ZPMW03!$A$1:$ZZ$501,$A47,AK$3)))</f>
        <v/>
      </c>
      <c r="AL47" s="124" t="str">
        <f>IF($B47="","",IF(AL$3=0,"n.b.",INDEX(SRC_ZPMW03!$A$1:$ZZ$501,$A47,AL$3)))</f>
        <v/>
      </c>
      <c r="AM47" s="124" t="str">
        <f>IF($B47="","",IF(AM$3=0,"n.b.",INDEX(SRC_ZPMW03!$A$1:$ZZ$501,$A47,AM$3)))</f>
        <v/>
      </c>
      <c r="AN47" s="124" t="str">
        <f>IF($B47="","",IF(AN$3=0,"n.b.",INDEX(SRC_ZPMW03!$A$1:$ZZ$501,$A47,AN$3)))</f>
        <v/>
      </c>
      <c r="AO47" s="124" t="str">
        <f>IF($B47="","",IF(AO$3=0,"n.b.",INDEX(SRC_ZPMW03!$A$1:$ZZ$501,$A47,AO$3)))</f>
        <v/>
      </c>
      <c r="AP47" s="124" t="str">
        <f>IF($B47="","",IF(AP$3=0,"n.b.",INDEX(SRC_ZPMW03!$A$1:$ZZ$501,$A47,AP$3)))</f>
        <v/>
      </c>
      <c r="AQ47" s="124" t="str">
        <f>IF($B47="","",IF(AQ$3=0,"n.b.",INDEX(SRC_ZPMW03!$A$1:$ZZ$501,$A47,AQ$3)))</f>
        <v/>
      </c>
      <c r="AR47" s="124" t="str">
        <f>IF($B47="","",IF(AR$3=0,"n.b.",INDEX(SRC_ZPMW03!$A$1:$ZZ$501,$A47,AR$3)))</f>
        <v/>
      </c>
      <c r="AS47" s="124" t="str">
        <f>IF($B47="","",IF(AS$3=0,"n.b.",INDEX(SRC_ZPMW03!$A$1:$ZZ$501,$A47,AS$3)))</f>
        <v/>
      </c>
      <c r="AT47" s="124" t="str">
        <f>IF($B47="","",IF(AT$3=0,"n.b.",INDEX(SRC_ZPMW03!$A$1:$ZZ$501,$A47,AT$3)))</f>
        <v/>
      </c>
      <c r="AU47" s="124" t="str">
        <f>IF($B47="","",IF(AU$3=0,"n.b.",INDEX(SRC_ZPMW03!$A$1:$ZZ$501,$A47,AU$3)))</f>
        <v/>
      </c>
      <c r="AV47" s="124" t="str">
        <f>IF($B47="","",IF(AV$3=0,"n.b.",INDEX(SRC_ZPMW03!$A$1:$ZZ$501,$A47,AV$3)))</f>
        <v/>
      </c>
      <c r="AW47" s="124" t="str">
        <f>IF($B47="","",IF(AW$3=0,"n.b.",INDEX(SRC_ZPMW03!$A$1:$ZZ$501,$A47,AW$3)))</f>
        <v/>
      </c>
      <c r="AX47" s="124" t="str">
        <f>IF($B47="","",IF(AX$3=0,"n.b.",INDEX(SRC_ZPMW03!$A$1:$ZZ$501,$A47,AX$3)))</f>
        <v/>
      </c>
      <c r="AY47" s="124" t="str">
        <f>IF($B47="","",IF(AY$3=0,"n.b.",INDEX(SRC_ZPMW03!$A$1:$ZZ$501,$A47,AY$3)))</f>
        <v/>
      </c>
      <c r="AZ47" s="124" t="str">
        <f>IF($B47="","",IF(AZ$3=0,"n.b.",INDEX(SRC_ZPMW03!$A$1:$ZZ$501,$A47,AZ$3)))</f>
        <v/>
      </c>
      <c r="BA47" s="124" t="str">
        <f>IF($B47="","",IF(BA$3=0,"n.b.",INDEX(SRC_ZPMW03!$A$1:$ZZ$501,$A47,BA$3)))</f>
        <v/>
      </c>
      <c r="BB47" s="124" t="str">
        <f>IF($B47="","",IF(BB$3=0,"n.b.",INDEX(SRC_ZPMW03!$A$1:$ZZ$501,$A47,BB$3)))</f>
        <v/>
      </c>
      <c r="BC47" s="124" t="str">
        <f>IF($B47="","",IF(BC$3=0,"n.b.",INDEX(SRC_ZPMW03!$A$1:$ZZ$501,$A47,BC$3)))</f>
        <v/>
      </c>
      <c r="BD47" s="124" t="str">
        <f>IF($B47="","",IF(BD$3=0,"n.b.",INDEX(SRC_ZPMW03!$A$1:$ZZ$501,$A47,BD$3)))</f>
        <v/>
      </c>
      <c r="BE47" s="124" t="str">
        <f>IF($B47="","",IF(BE$3=0,"n.b.",INDEX(SRC_ZPMW03!$A$1:$ZZ$501,$A47,BE$3)))</f>
        <v/>
      </c>
      <c r="BF47" s="124" t="str">
        <f>IF($B47="","",IF(BF$3=0,"n.b.",INDEX(SRC_ZPMW03!$A$1:$ZZ$501,$A47,BF$3)))</f>
        <v/>
      </c>
      <c r="BG47" t="str">
        <f>IF($B47="","",IF(BG$3=0,"n.b.",INDEX(SRC_ZPMW03!$A$1:$ZZ$501,$A47,BG$3)))</f>
        <v/>
      </c>
      <c r="BH47" t="str">
        <f>IF($B47="","",IF(BH$3=0,"n.b.",INDEX(SRC_ZPMW03!$A$1:$ZZ$501,$A47,BH$3)))</f>
        <v/>
      </c>
      <c r="BI47" t="str">
        <f>IF($B47="","",IF(BI$3=0,"n.b.",INDEX(SRC_ZPMW03!$A$1:$ZZ$501,$A47,BI$3)))</f>
        <v/>
      </c>
      <c r="BJ47" t="str">
        <f>IF($B47="","",IF(BJ$3=0,"n.b.",INDEX(SRC_ZPMW03!$A$1:$ZZ$501,$A47,BJ$3)))</f>
        <v/>
      </c>
      <c r="BK47" s="124" t="str">
        <f>IF($B47="","",IFERROR(-O47,"n.b."))</f>
        <v/>
      </c>
      <c r="BL47" s="124" t="str">
        <f>IF($B47="","",IFERROR(-Q47,"n.b."))</f>
        <v/>
      </c>
      <c r="BM47" s="124" t="str">
        <f>IF($B47="","",IFERROR(-AB47,"n.b."))</f>
        <v/>
      </c>
      <c r="BN47" s="124" t="str">
        <f>IF($B47="","",IFERROR(-AD47,"n.b."))</f>
        <v/>
      </c>
      <c r="BO47" s="124" t="str">
        <f>IF($B47="","",IFERROR(BK47+BM47,"n.b."))</f>
        <v/>
      </c>
      <c r="BP47" s="124" t="str">
        <f>IF($B47="","",IFERROR(BL47+BN47,"n.b."))</f>
        <v/>
      </c>
      <c r="BQ47" s="124" t="str">
        <f>IF($B47="","",IFERROR(-AM47,"n.b."))</f>
        <v/>
      </c>
      <c r="BR47" s="124" t="str">
        <f>IF($B47="","",IFERROR(-AO47,"n.b."))</f>
        <v/>
      </c>
      <c r="BS47" s="124" t="str">
        <f>IF($B47="","",IFERROR(-Z47,"n.b."))</f>
        <v/>
      </c>
      <c r="BT47" s="124" t="str">
        <f>IF($B47="","",IFERROR(-AA47,"n.b."))</f>
        <v/>
      </c>
      <c r="BU47" s="124" t="str">
        <f>IF($B47="","",IFERROR(-AE47,"n.b."))</f>
        <v/>
      </c>
      <c r="BV47" s="124" t="str">
        <f>IF($B47="","",IFERROR(-AF47,"n.b."))</f>
        <v/>
      </c>
      <c r="BW47" s="124" t="str">
        <f>IF($B47="","",IFERROR(-AG47,"n.b."))</f>
        <v/>
      </c>
      <c r="BX47" s="124" t="str">
        <f>IF($B47="","",IFERROR(-AH47,"n.b."))</f>
        <v/>
      </c>
      <c r="BY47" s="124" t="str">
        <f>IF($B47="","",IFERROR(-AI47,"n.b."))</f>
        <v/>
      </c>
      <c r="BZ47" s="124" t="str">
        <f>IF($B47="","",IFERROR(-AJ47,"n.b."))</f>
        <v/>
      </c>
      <c r="CA47" s="124" t="str">
        <f>IF($B47="","",IFERROR(-AK47,"n.b."))</f>
        <v/>
      </c>
      <c r="CB47" s="124" t="str">
        <f>IF($B47="","",IFERROR(-AL47,"n.b."))</f>
        <v/>
      </c>
      <c r="CC47" s="124" t="str">
        <f>IF($B47="","",IFERROR(-AP47,"n.b."))</f>
        <v/>
      </c>
      <c r="CD47" s="124" t="str">
        <f>IF($B47="","",IFERROR(-AQ47,"n.b."))</f>
        <v/>
      </c>
      <c r="CE47" s="124" t="str">
        <f>IF($B47="","",IFERROR(-AR47,"n.b."))</f>
        <v/>
      </c>
      <c r="CF47" s="124" t="str">
        <f>IF($B47="","",IFERROR(-AS47,"n.b."))</f>
        <v/>
      </c>
      <c r="CG47" s="124" t="str">
        <f>IF($B47="","",IFERROR(-AT47,"n.b."))</f>
        <v/>
      </c>
      <c r="CH47" s="124" t="str">
        <f>IF($B47="","",IFERROR(-AU47,"n.b."))</f>
        <v/>
      </c>
      <c r="CI47" s="124" t="str">
        <f>IF($B47="","",IFERROR(-AV47,"n.b."))</f>
        <v/>
      </c>
      <c r="CJ47" s="124" t="str">
        <f>IF($B47="","",IFERROR(-AW47,"n.b."))</f>
        <v/>
      </c>
      <c r="CK47" s="124" t="str">
        <f>IF($B47="","",IFERROR(-AX47,"n.b."))</f>
        <v/>
      </c>
      <c r="CL47" s="124" t="str">
        <f>IF($B47="","",IFERROR(-AY47,"n.b."))</f>
        <v/>
      </c>
      <c r="CM47" s="124" t="str">
        <f>IF($B47="","",IFERROR(-AZ47,"n.b."))</f>
        <v/>
      </c>
      <c r="CN47" s="124" t="str">
        <f>IF($B47="","",IFERROR(-BA47,"n.b."))</f>
        <v/>
      </c>
      <c r="CO47" s="124" t="str">
        <f>IF($B47="","",IFERROR(-BB47,"n.b."))</f>
        <v/>
      </c>
      <c r="CP47" s="124" t="str">
        <f>IF($B47="","",IFERROR(-BC47,"n.b."))</f>
        <v/>
      </c>
      <c r="CQ47" s="124" t="str">
        <f>IF($B47="","",IFERROR(-BD47,"n.b."))</f>
        <v/>
      </c>
      <c r="CR47" s="124" t="str">
        <f>IF($B47="","",IFERROR(-BE47,"n.b."))</f>
        <v/>
      </c>
      <c r="CS47" s="124" t="str">
        <f>IF($B47="","",IFERROR(IF(OR(ABS(T47+V47+X47+Z47-AB47)&gt;P_Tol,ABS(U47+W47+Y47+AA47-AD47)&gt;P_Tol,ABS(AE47+AG47+AI47+AK47-AM47)&gt;P_Tol,ABS(AF47+AH47+AJ47+AL47-AO47)&gt;P_Tol),1,0),1))</f>
        <v/>
      </c>
      <c r="CT47" s="124" t="str">
        <f>IF($B47="","",IFERROR(IF(OR(ABS(AB47+AC47-AD47)&gt;P_Tol,ABS(AM47+AN47-AO47)&gt;P_Tol,ABS(O47+P47-Q47)&gt;P_Tol),1,0),1))</f>
        <v/>
      </c>
      <c r="CU47" s="124" t="str">
        <f>IF($B47="","",IFERROR(IF(ABS(R47-(AB47+AM47+AP47+AR47+AT47+AV47+AX47+AZ47+BB47+BD47))&gt;P_Tol,1,0),1))</f>
        <v/>
      </c>
      <c r="CV47" s="124" t="str">
        <f>IF($B47="","",IFERROR(IF(ABS(M47-(N47+O47+R47))&gt;P_Tol,1,0),1))</f>
        <v/>
      </c>
      <c r="CW47" s="124" t="str">
        <f>IF($B47="","",IF(COUNTIF(Mapping!$A$5:$A$104,B47)&gt;0,1,0))</f>
        <v/>
      </c>
      <c r="CX47" s="124" t="str">
        <f>IF($B47="","",COUNTIF($B$6:$B$505,B47))</f>
        <v/>
      </c>
      <c r="CY47" s="124" t="str">
        <f>IF($B47="","",COUNTIF(STG_Woningetalage!$B$6:$B$505,B47))</f>
        <v/>
      </c>
      <c r="CZ47" s="124" t="str">
        <f>IF($B47="","",IF(CW47=0,COUNTIF($CW$6:CW47,0),""))</f>
        <v/>
      </c>
    </row>
    <row r="48">
      <c r="A48" s="15" t="n">
        <v>44</v>
      </c>
      <c r="B48" t="str">
        <f>IF(B$3=0,"",IF(INDEX(SRC_ZPMW03!$A$1:$ZZ$501,$A48,B$3)&amp;""="","",INDEX(SRC_ZPMW03!$A$1:$ZZ$501,$A48,B$3)&amp;""))</f>
        <v/>
      </c>
      <c r="C48" t="str">
        <f>IF($B48="","",IF(C$3=0,"n.b.",INDEX(SRC_ZPMW03!$A$1:$ZZ$501,$A48,C$3)))</f>
        <v/>
      </c>
      <c r="D48" t="str">
        <f>IF($B48="","",IF(D$3=0,"n.b.",INDEX(SRC_ZPMW03!$A$1:$ZZ$501,$A48,D$3)))</f>
        <v/>
      </c>
      <c r="E48" t="str">
        <f>IF($B48="","",IF(E$3=0,"n.b.",INDEX(SRC_ZPMW03!$A$1:$ZZ$501,$A48,E$3)))</f>
        <v/>
      </c>
      <c r="F48" t="str">
        <f>IF($B48="","",IF(F$3=0,"n.b.",INDEX(SRC_ZPMW03!$A$1:$ZZ$501,$A48,F$3)))</f>
        <v/>
      </c>
      <c r="G48" t="str">
        <f>IF($B48="","",IF(G$3=0,"n.b.",INDEX(SRC_ZPMW03!$A$1:$ZZ$501,$A48,G$3)))</f>
        <v/>
      </c>
      <c r="H48" t="str">
        <f>IF($B48="","",IF(H$3=0,"n.b.",INDEX(SRC_ZPMW03!$A$1:$ZZ$501,$A48,H$3)))</f>
        <v/>
      </c>
      <c r="I48" t="str">
        <f>IF($B48="","",IF(I$3=0,"n.b.",INDEX(SRC_ZPMW03!$A$1:$ZZ$501,$A48,I$3)))</f>
        <v/>
      </c>
      <c r="J48" t="str">
        <f>IF($B48="","",IF(J$3=0,"n.b.",INDEX(SRC_ZPMW03!$A$1:$ZZ$501,$A48,J$3)))</f>
        <v/>
      </c>
      <c r="K48" t="str">
        <f>IF($B48="","",IF(K$3=0,"n.b.",INDEX(SRC_ZPMW03!$A$1:$ZZ$501,$A48,K$3)))</f>
        <v/>
      </c>
      <c r="L48" s="124" t="str">
        <f>IF($B48="","",IF(L$3=0,"n.b.",INDEX(SRC_ZPMW03!$A$1:$ZZ$501,$A48,L$3)))</f>
        <v/>
      </c>
      <c r="M48" s="124" t="str">
        <f>IF($B48="","",IF(M$3=0,"n.b.",INDEX(SRC_ZPMW03!$A$1:$ZZ$501,$A48,M$3)))</f>
        <v/>
      </c>
      <c r="N48" s="124" t="str">
        <f>IF($B48="","",IF(N$3=0,"n.b.",INDEX(SRC_ZPMW03!$A$1:$ZZ$501,$A48,N$3)))</f>
        <v/>
      </c>
      <c r="O48" s="124" t="str">
        <f>IF($B48="","",IF(O$3=0,"n.b.",INDEX(SRC_ZPMW03!$A$1:$ZZ$501,$A48,O$3)))</f>
        <v/>
      </c>
      <c r="P48" s="124" t="str">
        <f>IF($B48="","",IF(P$3=0,"n.b.",INDEX(SRC_ZPMW03!$A$1:$ZZ$501,$A48,P$3)))</f>
        <v/>
      </c>
      <c r="Q48" s="124" t="str">
        <f>IF($B48="","",IF(Q$3=0,"n.b.",INDEX(SRC_ZPMW03!$A$1:$ZZ$501,$A48,Q$3)))</f>
        <v/>
      </c>
      <c r="R48" s="124" t="str">
        <f>IF($B48="","",IF(R$3=0,"n.b.",INDEX(SRC_ZPMW03!$A$1:$ZZ$501,$A48,R$3)))</f>
        <v/>
      </c>
      <c r="S48" s="124" t="str">
        <f>IF($B48="","",IF(S$3=0,"n.b.",INDEX(SRC_ZPMW03!$A$1:$ZZ$501,$A48,S$3)))</f>
        <v/>
      </c>
      <c r="T48" s="124" t="str">
        <f>IF($B48="","",IF(T$3=0,"n.b.",INDEX(SRC_ZPMW03!$A$1:$ZZ$501,$A48,T$3)))</f>
        <v/>
      </c>
      <c r="U48" s="124" t="str">
        <f>IF($B48="","",IF(U$3=0,"n.b.",INDEX(SRC_ZPMW03!$A$1:$ZZ$501,$A48,U$3)))</f>
        <v/>
      </c>
      <c r="V48" s="124" t="str">
        <f>IF($B48="","",IF(V$3=0,"n.b.",INDEX(SRC_ZPMW03!$A$1:$ZZ$501,$A48,V$3)))</f>
        <v/>
      </c>
      <c r="W48" s="124" t="str">
        <f>IF($B48="","",IF(W$3=0,"n.b.",INDEX(SRC_ZPMW03!$A$1:$ZZ$501,$A48,W$3)))</f>
        <v/>
      </c>
      <c r="X48" s="124" t="str">
        <f>IF($B48="","",IF(X$3=0,"n.b.",INDEX(SRC_ZPMW03!$A$1:$ZZ$501,$A48,X$3)))</f>
        <v/>
      </c>
      <c r="Y48" s="124" t="str">
        <f>IF($B48="","",IF(Y$3=0,"n.b.",INDEX(SRC_ZPMW03!$A$1:$ZZ$501,$A48,Y$3)))</f>
        <v/>
      </c>
      <c r="Z48" s="124" t="str">
        <f>IF($B48="","",IF(Z$3=0,"n.b.",INDEX(SRC_ZPMW03!$A$1:$ZZ$501,$A48,Z$3)))</f>
        <v/>
      </c>
      <c r="AA48" s="124" t="str">
        <f>IF($B48="","",IF(AA$3=0,"n.b.",INDEX(SRC_ZPMW03!$A$1:$ZZ$501,$A48,AA$3)))</f>
        <v/>
      </c>
      <c r="AB48" s="124" t="str">
        <f>IF($B48="","",IF(AB$3=0,"n.b.",INDEX(SRC_ZPMW03!$A$1:$ZZ$501,$A48,AB$3)))</f>
        <v/>
      </c>
      <c r="AC48" s="124" t="str">
        <f>IF($B48="","",IF(AC$3=0,"n.b.",INDEX(SRC_ZPMW03!$A$1:$ZZ$501,$A48,AC$3)))</f>
        <v/>
      </c>
      <c r="AD48" s="124" t="str">
        <f>IF($B48="","",IF(AD$3=0,"n.b.",INDEX(SRC_ZPMW03!$A$1:$ZZ$501,$A48,AD$3)))</f>
        <v/>
      </c>
      <c r="AE48" s="124" t="str">
        <f>IF($B48="","",IF(AE$3=0,"n.b.",INDEX(SRC_ZPMW03!$A$1:$ZZ$501,$A48,AE$3)))</f>
        <v/>
      </c>
      <c r="AF48" s="124" t="str">
        <f>IF($B48="","",IF(AF$3=0,"n.b.",INDEX(SRC_ZPMW03!$A$1:$ZZ$501,$A48,AF$3)))</f>
        <v/>
      </c>
      <c r="AG48" s="124" t="str">
        <f>IF($B48="","",IF(AG$3=0,"n.b.",INDEX(SRC_ZPMW03!$A$1:$ZZ$501,$A48,AG$3)))</f>
        <v/>
      </c>
      <c r="AH48" s="124" t="str">
        <f>IF($B48="","",IF(AH$3=0,"n.b.",INDEX(SRC_ZPMW03!$A$1:$ZZ$501,$A48,AH$3)))</f>
        <v/>
      </c>
      <c r="AI48" s="124" t="str">
        <f>IF($B48="","",IF(AI$3=0,"n.b.",INDEX(SRC_ZPMW03!$A$1:$ZZ$501,$A48,AI$3)))</f>
        <v/>
      </c>
      <c r="AJ48" s="124" t="str">
        <f>IF($B48="","",IF(AJ$3=0,"n.b.",INDEX(SRC_ZPMW03!$A$1:$ZZ$501,$A48,AJ$3)))</f>
        <v/>
      </c>
      <c r="AK48" s="124" t="str">
        <f>IF($B48="","",IF(AK$3=0,"n.b.",INDEX(SRC_ZPMW03!$A$1:$ZZ$501,$A48,AK$3)))</f>
        <v/>
      </c>
      <c r="AL48" s="124" t="str">
        <f>IF($B48="","",IF(AL$3=0,"n.b.",INDEX(SRC_ZPMW03!$A$1:$ZZ$501,$A48,AL$3)))</f>
        <v/>
      </c>
      <c r="AM48" s="124" t="str">
        <f>IF($B48="","",IF(AM$3=0,"n.b.",INDEX(SRC_ZPMW03!$A$1:$ZZ$501,$A48,AM$3)))</f>
        <v/>
      </c>
      <c r="AN48" s="124" t="str">
        <f>IF($B48="","",IF(AN$3=0,"n.b.",INDEX(SRC_ZPMW03!$A$1:$ZZ$501,$A48,AN$3)))</f>
        <v/>
      </c>
      <c r="AO48" s="124" t="str">
        <f>IF($B48="","",IF(AO$3=0,"n.b.",INDEX(SRC_ZPMW03!$A$1:$ZZ$501,$A48,AO$3)))</f>
        <v/>
      </c>
      <c r="AP48" s="124" t="str">
        <f>IF($B48="","",IF(AP$3=0,"n.b.",INDEX(SRC_ZPMW03!$A$1:$ZZ$501,$A48,AP$3)))</f>
        <v/>
      </c>
      <c r="AQ48" s="124" t="str">
        <f>IF($B48="","",IF(AQ$3=0,"n.b.",INDEX(SRC_ZPMW03!$A$1:$ZZ$501,$A48,AQ$3)))</f>
        <v/>
      </c>
      <c r="AR48" s="124" t="str">
        <f>IF($B48="","",IF(AR$3=0,"n.b.",INDEX(SRC_ZPMW03!$A$1:$ZZ$501,$A48,AR$3)))</f>
        <v/>
      </c>
      <c r="AS48" s="124" t="str">
        <f>IF($B48="","",IF(AS$3=0,"n.b.",INDEX(SRC_ZPMW03!$A$1:$ZZ$501,$A48,AS$3)))</f>
        <v/>
      </c>
      <c r="AT48" s="124" t="str">
        <f>IF($B48="","",IF(AT$3=0,"n.b.",INDEX(SRC_ZPMW03!$A$1:$ZZ$501,$A48,AT$3)))</f>
        <v/>
      </c>
      <c r="AU48" s="124" t="str">
        <f>IF($B48="","",IF(AU$3=0,"n.b.",INDEX(SRC_ZPMW03!$A$1:$ZZ$501,$A48,AU$3)))</f>
        <v/>
      </c>
      <c r="AV48" s="124" t="str">
        <f>IF($B48="","",IF(AV$3=0,"n.b.",INDEX(SRC_ZPMW03!$A$1:$ZZ$501,$A48,AV$3)))</f>
        <v/>
      </c>
      <c r="AW48" s="124" t="str">
        <f>IF($B48="","",IF(AW$3=0,"n.b.",INDEX(SRC_ZPMW03!$A$1:$ZZ$501,$A48,AW$3)))</f>
        <v/>
      </c>
      <c r="AX48" s="124" t="str">
        <f>IF($B48="","",IF(AX$3=0,"n.b.",INDEX(SRC_ZPMW03!$A$1:$ZZ$501,$A48,AX$3)))</f>
        <v/>
      </c>
      <c r="AY48" s="124" t="str">
        <f>IF($B48="","",IF(AY$3=0,"n.b.",INDEX(SRC_ZPMW03!$A$1:$ZZ$501,$A48,AY$3)))</f>
        <v/>
      </c>
      <c r="AZ48" s="124" t="str">
        <f>IF($B48="","",IF(AZ$3=0,"n.b.",INDEX(SRC_ZPMW03!$A$1:$ZZ$501,$A48,AZ$3)))</f>
        <v/>
      </c>
      <c r="BA48" s="124" t="str">
        <f>IF($B48="","",IF(BA$3=0,"n.b.",INDEX(SRC_ZPMW03!$A$1:$ZZ$501,$A48,BA$3)))</f>
        <v/>
      </c>
      <c r="BB48" s="124" t="str">
        <f>IF($B48="","",IF(BB$3=0,"n.b.",INDEX(SRC_ZPMW03!$A$1:$ZZ$501,$A48,BB$3)))</f>
        <v/>
      </c>
      <c r="BC48" s="124" t="str">
        <f>IF($B48="","",IF(BC$3=0,"n.b.",INDEX(SRC_ZPMW03!$A$1:$ZZ$501,$A48,BC$3)))</f>
        <v/>
      </c>
      <c r="BD48" s="124" t="str">
        <f>IF($B48="","",IF(BD$3=0,"n.b.",INDEX(SRC_ZPMW03!$A$1:$ZZ$501,$A48,BD$3)))</f>
        <v/>
      </c>
      <c r="BE48" s="124" t="str">
        <f>IF($B48="","",IF(BE$3=0,"n.b.",INDEX(SRC_ZPMW03!$A$1:$ZZ$501,$A48,BE$3)))</f>
        <v/>
      </c>
      <c r="BF48" s="124" t="str">
        <f>IF($B48="","",IF(BF$3=0,"n.b.",INDEX(SRC_ZPMW03!$A$1:$ZZ$501,$A48,BF$3)))</f>
        <v/>
      </c>
      <c r="BG48" t="str">
        <f>IF($B48="","",IF(BG$3=0,"n.b.",INDEX(SRC_ZPMW03!$A$1:$ZZ$501,$A48,BG$3)))</f>
        <v/>
      </c>
      <c r="BH48" t="str">
        <f>IF($B48="","",IF(BH$3=0,"n.b.",INDEX(SRC_ZPMW03!$A$1:$ZZ$501,$A48,BH$3)))</f>
        <v/>
      </c>
      <c r="BI48" t="str">
        <f>IF($B48="","",IF(BI$3=0,"n.b.",INDEX(SRC_ZPMW03!$A$1:$ZZ$501,$A48,BI$3)))</f>
        <v/>
      </c>
      <c r="BJ48" t="str">
        <f>IF($B48="","",IF(BJ$3=0,"n.b.",INDEX(SRC_ZPMW03!$A$1:$ZZ$501,$A48,BJ$3)))</f>
        <v/>
      </c>
      <c r="BK48" s="124" t="str">
        <f>IF($B48="","",IFERROR(-O48,"n.b."))</f>
        <v/>
      </c>
      <c r="BL48" s="124" t="str">
        <f>IF($B48="","",IFERROR(-Q48,"n.b."))</f>
        <v/>
      </c>
      <c r="BM48" s="124" t="str">
        <f>IF($B48="","",IFERROR(-AB48,"n.b."))</f>
        <v/>
      </c>
      <c r="BN48" s="124" t="str">
        <f>IF($B48="","",IFERROR(-AD48,"n.b."))</f>
        <v/>
      </c>
      <c r="BO48" s="124" t="str">
        <f>IF($B48="","",IFERROR(BK48+BM48,"n.b."))</f>
        <v/>
      </c>
      <c r="BP48" s="124" t="str">
        <f>IF($B48="","",IFERROR(BL48+BN48,"n.b."))</f>
        <v/>
      </c>
      <c r="BQ48" s="124" t="str">
        <f>IF($B48="","",IFERROR(-AM48,"n.b."))</f>
        <v/>
      </c>
      <c r="BR48" s="124" t="str">
        <f>IF($B48="","",IFERROR(-AO48,"n.b."))</f>
        <v/>
      </c>
      <c r="BS48" s="124" t="str">
        <f>IF($B48="","",IFERROR(-Z48,"n.b."))</f>
        <v/>
      </c>
      <c r="BT48" s="124" t="str">
        <f>IF($B48="","",IFERROR(-AA48,"n.b."))</f>
        <v/>
      </c>
      <c r="BU48" s="124" t="str">
        <f>IF($B48="","",IFERROR(-AE48,"n.b."))</f>
        <v/>
      </c>
      <c r="BV48" s="124" t="str">
        <f>IF($B48="","",IFERROR(-AF48,"n.b."))</f>
        <v/>
      </c>
      <c r="BW48" s="124" t="str">
        <f>IF($B48="","",IFERROR(-AG48,"n.b."))</f>
        <v/>
      </c>
      <c r="BX48" s="124" t="str">
        <f>IF($B48="","",IFERROR(-AH48,"n.b."))</f>
        <v/>
      </c>
      <c r="BY48" s="124" t="str">
        <f>IF($B48="","",IFERROR(-AI48,"n.b."))</f>
        <v/>
      </c>
      <c r="BZ48" s="124" t="str">
        <f>IF($B48="","",IFERROR(-AJ48,"n.b."))</f>
        <v/>
      </c>
      <c r="CA48" s="124" t="str">
        <f>IF($B48="","",IFERROR(-AK48,"n.b."))</f>
        <v/>
      </c>
      <c r="CB48" s="124" t="str">
        <f>IF($B48="","",IFERROR(-AL48,"n.b."))</f>
        <v/>
      </c>
      <c r="CC48" s="124" t="str">
        <f>IF($B48="","",IFERROR(-AP48,"n.b."))</f>
        <v/>
      </c>
      <c r="CD48" s="124" t="str">
        <f>IF($B48="","",IFERROR(-AQ48,"n.b."))</f>
        <v/>
      </c>
      <c r="CE48" s="124" t="str">
        <f>IF($B48="","",IFERROR(-AR48,"n.b."))</f>
        <v/>
      </c>
      <c r="CF48" s="124" t="str">
        <f>IF($B48="","",IFERROR(-AS48,"n.b."))</f>
        <v/>
      </c>
      <c r="CG48" s="124" t="str">
        <f>IF($B48="","",IFERROR(-AT48,"n.b."))</f>
        <v/>
      </c>
      <c r="CH48" s="124" t="str">
        <f>IF($B48="","",IFERROR(-AU48,"n.b."))</f>
        <v/>
      </c>
      <c r="CI48" s="124" t="str">
        <f>IF($B48="","",IFERROR(-AV48,"n.b."))</f>
        <v/>
      </c>
      <c r="CJ48" s="124" t="str">
        <f>IF($B48="","",IFERROR(-AW48,"n.b."))</f>
        <v/>
      </c>
      <c r="CK48" s="124" t="str">
        <f>IF($B48="","",IFERROR(-AX48,"n.b."))</f>
        <v/>
      </c>
      <c r="CL48" s="124" t="str">
        <f>IF($B48="","",IFERROR(-AY48,"n.b."))</f>
        <v/>
      </c>
      <c r="CM48" s="124" t="str">
        <f>IF($B48="","",IFERROR(-AZ48,"n.b."))</f>
        <v/>
      </c>
      <c r="CN48" s="124" t="str">
        <f>IF($B48="","",IFERROR(-BA48,"n.b."))</f>
        <v/>
      </c>
      <c r="CO48" s="124" t="str">
        <f>IF($B48="","",IFERROR(-BB48,"n.b."))</f>
        <v/>
      </c>
      <c r="CP48" s="124" t="str">
        <f>IF($B48="","",IFERROR(-BC48,"n.b."))</f>
        <v/>
      </c>
      <c r="CQ48" s="124" t="str">
        <f>IF($B48="","",IFERROR(-BD48,"n.b."))</f>
        <v/>
      </c>
      <c r="CR48" s="124" t="str">
        <f>IF($B48="","",IFERROR(-BE48,"n.b."))</f>
        <v/>
      </c>
      <c r="CS48" s="124" t="str">
        <f>IF($B48="","",IFERROR(IF(OR(ABS(T48+V48+X48+Z48-AB48)&gt;P_Tol,ABS(U48+W48+Y48+AA48-AD48)&gt;P_Tol,ABS(AE48+AG48+AI48+AK48-AM48)&gt;P_Tol,ABS(AF48+AH48+AJ48+AL48-AO48)&gt;P_Tol),1,0),1))</f>
        <v/>
      </c>
      <c r="CT48" s="124" t="str">
        <f>IF($B48="","",IFERROR(IF(OR(ABS(AB48+AC48-AD48)&gt;P_Tol,ABS(AM48+AN48-AO48)&gt;P_Tol,ABS(O48+P48-Q48)&gt;P_Tol),1,0),1))</f>
        <v/>
      </c>
      <c r="CU48" s="124" t="str">
        <f>IF($B48="","",IFERROR(IF(ABS(R48-(AB48+AM48+AP48+AR48+AT48+AV48+AX48+AZ48+BB48+BD48))&gt;P_Tol,1,0),1))</f>
        <v/>
      </c>
      <c r="CV48" s="124" t="str">
        <f>IF($B48="","",IFERROR(IF(ABS(M48-(N48+O48+R48))&gt;P_Tol,1,0),1))</f>
        <v/>
      </c>
      <c r="CW48" s="124" t="str">
        <f>IF($B48="","",IF(COUNTIF(Mapping!$A$5:$A$104,B48)&gt;0,1,0))</f>
        <v/>
      </c>
      <c r="CX48" s="124" t="str">
        <f>IF($B48="","",COUNTIF($B$6:$B$505,B48))</f>
        <v/>
      </c>
      <c r="CY48" s="124" t="str">
        <f>IF($B48="","",COUNTIF(STG_Woningetalage!$B$6:$B$505,B48))</f>
        <v/>
      </c>
      <c r="CZ48" s="124" t="str">
        <f>IF($B48="","",IF(CW48=0,COUNTIF($CW$6:CW48,0),""))</f>
        <v/>
      </c>
    </row>
    <row r="49">
      <c r="A49" s="15" t="n">
        <v>45</v>
      </c>
      <c r="B49" t="str">
        <f>IF(B$3=0,"",IF(INDEX(SRC_ZPMW03!$A$1:$ZZ$501,$A49,B$3)&amp;""="","",INDEX(SRC_ZPMW03!$A$1:$ZZ$501,$A49,B$3)&amp;""))</f>
        <v/>
      </c>
      <c r="C49" t="str">
        <f>IF($B49="","",IF(C$3=0,"n.b.",INDEX(SRC_ZPMW03!$A$1:$ZZ$501,$A49,C$3)))</f>
        <v/>
      </c>
      <c r="D49" t="str">
        <f>IF($B49="","",IF(D$3=0,"n.b.",INDEX(SRC_ZPMW03!$A$1:$ZZ$501,$A49,D$3)))</f>
        <v/>
      </c>
      <c r="E49" t="str">
        <f>IF($B49="","",IF(E$3=0,"n.b.",INDEX(SRC_ZPMW03!$A$1:$ZZ$501,$A49,E$3)))</f>
        <v/>
      </c>
      <c r="F49" t="str">
        <f>IF($B49="","",IF(F$3=0,"n.b.",INDEX(SRC_ZPMW03!$A$1:$ZZ$501,$A49,F$3)))</f>
        <v/>
      </c>
      <c r="G49" t="str">
        <f>IF($B49="","",IF(G$3=0,"n.b.",INDEX(SRC_ZPMW03!$A$1:$ZZ$501,$A49,G$3)))</f>
        <v/>
      </c>
      <c r="H49" t="str">
        <f>IF($B49="","",IF(H$3=0,"n.b.",INDEX(SRC_ZPMW03!$A$1:$ZZ$501,$A49,H$3)))</f>
        <v/>
      </c>
      <c r="I49" t="str">
        <f>IF($B49="","",IF(I$3=0,"n.b.",INDEX(SRC_ZPMW03!$A$1:$ZZ$501,$A49,I$3)))</f>
        <v/>
      </c>
      <c r="J49" t="str">
        <f>IF($B49="","",IF(J$3=0,"n.b.",INDEX(SRC_ZPMW03!$A$1:$ZZ$501,$A49,J$3)))</f>
        <v/>
      </c>
      <c r="K49" t="str">
        <f>IF($B49="","",IF(K$3=0,"n.b.",INDEX(SRC_ZPMW03!$A$1:$ZZ$501,$A49,K$3)))</f>
        <v/>
      </c>
      <c r="L49" s="124" t="str">
        <f>IF($B49="","",IF(L$3=0,"n.b.",INDEX(SRC_ZPMW03!$A$1:$ZZ$501,$A49,L$3)))</f>
        <v/>
      </c>
      <c r="M49" s="124" t="str">
        <f>IF($B49="","",IF(M$3=0,"n.b.",INDEX(SRC_ZPMW03!$A$1:$ZZ$501,$A49,M$3)))</f>
        <v/>
      </c>
      <c r="N49" s="124" t="str">
        <f>IF($B49="","",IF(N$3=0,"n.b.",INDEX(SRC_ZPMW03!$A$1:$ZZ$501,$A49,N$3)))</f>
        <v/>
      </c>
      <c r="O49" s="124" t="str">
        <f>IF($B49="","",IF(O$3=0,"n.b.",INDEX(SRC_ZPMW03!$A$1:$ZZ$501,$A49,O$3)))</f>
        <v/>
      </c>
      <c r="P49" s="124" t="str">
        <f>IF($B49="","",IF(P$3=0,"n.b.",INDEX(SRC_ZPMW03!$A$1:$ZZ$501,$A49,P$3)))</f>
        <v/>
      </c>
      <c r="Q49" s="124" t="str">
        <f>IF($B49="","",IF(Q$3=0,"n.b.",INDEX(SRC_ZPMW03!$A$1:$ZZ$501,$A49,Q$3)))</f>
        <v/>
      </c>
      <c r="R49" s="124" t="str">
        <f>IF($B49="","",IF(R$3=0,"n.b.",INDEX(SRC_ZPMW03!$A$1:$ZZ$501,$A49,R$3)))</f>
        <v/>
      </c>
      <c r="S49" s="124" t="str">
        <f>IF($B49="","",IF(S$3=0,"n.b.",INDEX(SRC_ZPMW03!$A$1:$ZZ$501,$A49,S$3)))</f>
        <v/>
      </c>
      <c r="T49" s="124" t="str">
        <f>IF($B49="","",IF(T$3=0,"n.b.",INDEX(SRC_ZPMW03!$A$1:$ZZ$501,$A49,T$3)))</f>
        <v/>
      </c>
      <c r="U49" s="124" t="str">
        <f>IF($B49="","",IF(U$3=0,"n.b.",INDEX(SRC_ZPMW03!$A$1:$ZZ$501,$A49,U$3)))</f>
        <v/>
      </c>
      <c r="V49" s="124" t="str">
        <f>IF($B49="","",IF(V$3=0,"n.b.",INDEX(SRC_ZPMW03!$A$1:$ZZ$501,$A49,V$3)))</f>
        <v/>
      </c>
      <c r="W49" s="124" t="str">
        <f>IF($B49="","",IF(W$3=0,"n.b.",INDEX(SRC_ZPMW03!$A$1:$ZZ$501,$A49,W$3)))</f>
        <v/>
      </c>
      <c r="X49" s="124" t="str">
        <f>IF($B49="","",IF(X$3=0,"n.b.",INDEX(SRC_ZPMW03!$A$1:$ZZ$501,$A49,X$3)))</f>
        <v/>
      </c>
      <c r="Y49" s="124" t="str">
        <f>IF($B49="","",IF(Y$3=0,"n.b.",INDEX(SRC_ZPMW03!$A$1:$ZZ$501,$A49,Y$3)))</f>
        <v/>
      </c>
      <c r="Z49" s="124" t="str">
        <f>IF($B49="","",IF(Z$3=0,"n.b.",INDEX(SRC_ZPMW03!$A$1:$ZZ$501,$A49,Z$3)))</f>
        <v/>
      </c>
      <c r="AA49" s="124" t="str">
        <f>IF($B49="","",IF(AA$3=0,"n.b.",INDEX(SRC_ZPMW03!$A$1:$ZZ$501,$A49,AA$3)))</f>
        <v/>
      </c>
      <c r="AB49" s="124" t="str">
        <f>IF($B49="","",IF(AB$3=0,"n.b.",INDEX(SRC_ZPMW03!$A$1:$ZZ$501,$A49,AB$3)))</f>
        <v/>
      </c>
      <c r="AC49" s="124" t="str">
        <f>IF($B49="","",IF(AC$3=0,"n.b.",INDEX(SRC_ZPMW03!$A$1:$ZZ$501,$A49,AC$3)))</f>
        <v/>
      </c>
      <c r="AD49" s="124" t="str">
        <f>IF($B49="","",IF(AD$3=0,"n.b.",INDEX(SRC_ZPMW03!$A$1:$ZZ$501,$A49,AD$3)))</f>
        <v/>
      </c>
      <c r="AE49" s="124" t="str">
        <f>IF($B49="","",IF(AE$3=0,"n.b.",INDEX(SRC_ZPMW03!$A$1:$ZZ$501,$A49,AE$3)))</f>
        <v/>
      </c>
      <c r="AF49" s="124" t="str">
        <f>IF($B49="","",IF(AF$3=0,"n.b.",INDEX(SRC_ZPMW03!$A$1:$ZZ$501,$A49,AF$3)))</f>
        <v/>
      </c>
      <c r="AG49" s="124" t="str">
        <f>IF($B49="","",IF(AG$3=0,"n.b.",INDEX(SRC_ZPMW03!$A$1:$ZZ$501,$A49,AG$3)))</f>
        <v/>
      </c>
      <c r="AH49" s="124" t="str">
        <f>IF($B49="","",IF(AH$3=0,"n.b.",INDEX(SRC_ZPMW03!$A$1:$ZZ$501,$A49,AH$3)))</f>
        <v/>
      </c>
      <c r="AI49" s="124" t="str">
        <f>IF($B49="","",IF(AI$3=0,"n.b.",INDEX(SRC_ZPMW03!$A$1:$ZZ$501,$A49,AI$3)))</f>
        <v/>
      </c>
      <c r="AJ49" s="124" t="str">
        <f>IF($B49="","",IF(AJ$3=0,"n.b.",INDEX(SRC_ZPMW03!$A$1:$ZZ$501,$A49,AJ$3)))</f>
        <v/>
      </c>
      <c r="AK49" s="124" t="str">
        <f>IF($B49="","",IF(AK$3=0,"n.b.",INDEX(SRC_ZPMW03!$A$1:$ZZ$501,$A49,AK$3)))</f>
        <v/>
      </c>
      <c r="AL49" s="124" t="str">
        <f>IF($B49="","",IF(AL$3=0,"n.b.",INDEX(SRC_ZPMW03!$A$1:$ZZ$501,$A49,AL$3)))</f>
        <v/>
      </c>
      <c r="AM49" s="124" t="str">
        <f>IF($B49="","",IF(AM$3=0,"n.b.",INDEX(SRC_ZPMW03!$A$1:$ZZ$501,$A49,AM$3)))</f>
        <v/>
      </c>
      <c r="AN49" s="124" t="str">
        <f>IF($B49="","",IF(AN$3=0,"n.b.",INDEX(SRC_ZPMW03!$A$1:$ZZ$501,$A49,AN$3)))</f>
        <v/>
      </c>
      <c r="AO49" s="124" t="str">
        <f>IF($B49="","",IF(AO$3=0,"n.b.",INDEX(SRC_ZPMW03!$A$1:$ZZ$501,$A49,AO$3)))</f>
        <v/>
      </c>
      <c r="AP49" s="124" t="str">
        <f>IF($B49="","",IF(AP$3=0,"n.b.",INDEX(SRC_ZPMW03!$A$1:$ZZ$501,$A49,AP$3)))</f>
        <v/>
      </c>
      <c r="AQ49" s="124" t="str">
        <f>IF($B49="","",IF(AQ$3=0,"n.b.",INDEX(SRC_ZPMW03!$A$1:$ZZ$501,$A49,AQ$3)))</f>
        <v/>
      </c>
      <c r="AR49" s="124" t="str">
        <f>IF($B49="","",IF(AR$3=0,"n.b.",INDEX(SRC_ZPMW03!$A$1:$ZZ$501,$A49,AR$3)))</f>
        <v/>
      </c>
      <c r="AS49" s="124" t="str">
        <f>IF($B49="","",IF(AS$3=0,"n.b.",INDEX(SRC_ZPMW03!$A$1:$ZZ$501,$A49,AS$3)))</f>
        <v/>
      </c>
      <c r="AT49" s="124" t="str">
        <f>IF($B49="","",IF(AT$3=0,"n.b.",INDEX(SRC_ZPMW03!$A$1:$ZZ$501,$A49,AT$3)))</f>
        <v/>
      </c>
      <c r="AU49" s="124" t="str">
        <f>IF($B49="","",IF(AU$3=0,"n.b.",INDEX(SRC_ZPMW03!$A$1:$ZZ$501,$A49,AU$3)))</f>
        <v/>
      </c>
      <c r="AV49" s="124" t="str">
        <f>IF($B49="","",IF(AV$3=0,"n.b.",INDEX(SRC_ZPMW03!$A$1:$ZZ$501,$A49,AV$3)))</f>
        <v/>
      </c>
      <c r="AW49" s="124" t="str">
        <f>IF($B49="","",IF(AW$3=0,"n.b.",INDEX(SRC_ZPMW03!$A$1:$ZZ$501,$A49,AW$3)))</f>
        <v/>
      </c>
      <c r="AX49" s="124" t="str">
        <f>IF($B49="","",IF(AX$3=0,"n.b.",INDEX(SRC_ZPMW03!$A$1:$ZZ$501,$A49,AX$3)))</f>
        <v/>
      </c>
      <c r="AY49" s="124" t="str">
        <f>IF($B49="","",IF(AY$3=0,"n.b.",INDEX(SRC_ZPMW03!$A$1:$ZZ$501,$A49,AY$3)))</f>
        <v/>
      </c>
      <c r="AZ49" s="124" t="str">
        <f>IF($B49="","",IF(AZ$3=0,"n.b.",INDEX(SRC_ZPMW03!$A$1:$ZZ$501,$A49,AZ$3)))</f>
        <v/>
      </c>
      <c r="BA49" s="124" t="str">
        <f>IF($B49="","",IF(BA$3=0,"n.b.",INDEX(SRC_ZPMW03!$A$1:$ZZ$501,$A49,BA$3)))</f>
        <v/>
      </c>
      <c r="BB49" s="124" t="str">
        <f>IF($B49="","",IF(BB$3=0,"n.b.",INDEX(SRC_ZPMW03!$A$1:$ZZ$501,$A49,BB$3)))</f>
        <v/>
      </c>
      <c r="BC49" s="124" t="str">
        <f>IF($B49="","",IF(BC$3=0,"n.b.",INDEX(SRC_ZPMW03!$A$1:$ZZ$501,$A49,BC$3)))</f>
        <v/>
      </c>
      <c r="BD49" s="124" t="str">
        <f>IF($B49="","",IF(BD$3=0,"n.b.",INDEX(SRC_ZPMW03!$A$1:$ZZ$501,$A49,BD$3)))</f>
        <v/>
      </c>
      <c r="BE49" s="124" t="str">
        <f>IF($B49="","",IF(BE$3=0,"n.b.",INDEX(SRC_ZPMW03!$A$1:$ZZ$501,$A49,BE$3)))</f>
        <v/>
      </c>
      <c r="BF49" s="124" t="str">
        <f>IF($B49="","",IF(BF$3=0,"n.b.",INDEX(SRC_ZPMW03!$A$1:$ZZ$501,$A49,BF$3)))</f>
        <v/>
      </c>
      <c r="BG49" t="str">
        <f>IF($B49="","",IF(BG$3=0,"n.b.",INDEX(SRC_ZPMW03!$A$1:$ZZ$501,$A49,BG$3)))</f>
        <v/>
      </c>
      <c r="BH49" t="str">
        <f>IF($B49="","",IF(BH$3=0,"n.b.",INDEX(SRC_ZPMW03!$A$1:$ZZ$501,$A49,BH$3)))</f>
        <v/>
      </c>
      <c r="BI49" t="str">
        <f>IF($B49="","",IF(BI$3=0,"n.b.",INDEX(SRC_ZPMW03!$A$1:$ZZ$501,$A49,BI$3)))</f>
        <v/>
      </c>
      <c r="BJ49" t="str">
        <f>IF($B49="","",IF(BJ$3=0,"n.b.",INDEX(SRC_ZPMW03!$A$1:$ZZ$501,$A49,BJ$3)))</f>
        <v/>
      </c>
      <c r="BK49" s="124" t="str">
        <f>IF($B49="","",IFERROR(-O49,"n.b."))</f>
        <v/>
      </c>
      <c r="BL49" s="124" t="str">
        <f>IF($B49="","",IFERROR(-Q49,"n.b."))</f>
        <v/>
      </c>
      <c r="BM49" s="124" t="str">
        <f>IF($B49="","",IFERROR(-AB49,"n.b."))</f>
        <v/>
      </c>
      <c r="BN49" s="124" t="str">
        <f>IF($B49="","",IFERROR(-AD49,"n.b."))</f>
        <v/>
      </c>
      <c r="BO49" s="124" t="str">
        <f>IF($B49="","",IFERROR(BK49+BM49,"n.b."))</f>
        <v/>
      </c>
      <c r="BP49" s="124" t="str">
        <f>IF($B49="","",IFERROR(BL49+BN49,"n.b."))</f>
        <v/>
      </c>
      <c r="BQ49" s="124" t="str">
        <f>IF($B49="","",IFERROR(-AM49,"n.b."))</f>
        <v/>
      </c>
      <c r="BR49" s="124" t="str">
        <f>IF($B49="","",IFERROR(-AO49,"n.b."))</f>
        <v/>
      </c>
      <c r="BS49" s="124" t="str">
        <f>IF($B49="","",IFERROR(-Z49,"n.b."))</f>
        <v/>
      </c>
      <c r="BT49" s="124" t="str">
        <f>IF($B49="","",IFERROR(-AA49,"n.b."))</f>
        <v/>
      </c>
      <c r="BU49" s="124" t="str">
        <f>IF($B49="","",IFERROR(-AE49,"n.b."))</f>
        <v/>
      </c>
      <c r="BV49" s="124" t="str">
        <f>IF($B49="","",IFERROR(-AF49,"n.b."))</f>
        <v/>
      </c>
      <c r="BW49" s="124" t="str">
        <f>IF($B49="","",IFERROR(-AG49,"n.b."))</f>
        <v/>
      </c>
      <c r="BX49" s="124" t="str">
        <f>IF($B49="","",IFERROR(-AH49,"n.b."))</f>
        <v/>
      </c>
      <c r="BY49" s="124" t="str">
        <f>IF($B49="","",IFERROR(-AI49,"n.b."))</f>
        <v/>
      </c>
      <c r="BZ49" s="124" t="str">
        <f>IF($B49="","",IFERROR(-AJ49,"n.b."))</f>
        <v/>
      </c>
      <c r="CA49" s="124" t="str">
        <f>IF($B49="","",IFERROR(-AK49,"n.b."))</f>
        <v/>
      </c>
      <c r="CB49" s="124" t="str">
        <f>IF($B49="","",IFERROR(-AL49,"n.b."))</f>
        <v/>
      </c>
      <c r="CC49" s="124" t="str">
        <f>IF($B49="","",IFERROR(-AP49,"n.b."))</f>
        <v/>
      </c>
      <c r="CD49" s="124" t="str">
        <f>IF($B49="","",IFERROR(-AQ49,"n.b."))</f>
        <v/>
      </c>
      <c r="CE49" s="124" t="str">
        <f>IF($B49="","",IFERROR(-AR49,"n.b."))</f>
        <v/>
      </c>
      <c r="CF49" s="124" t="str">
        <f>IF($B49="","",IFERROR(-AS49,"n.b."))</f>
        <v/>
      </c>
      <c r="CG49" s="124" t="str">
        <f>IF($B49="","",IFERROR(-AT49,"n.b."))</f>
        <v/>
      </c>
      <c r="CH49" s="124" t="str">
        <f>IF($B49="","",IFERROR(-AU49,"n.b."))</f>
        <v/>
      </c>
      <c r="CI49" s="124" t="str">
        <f>IF($B49="","",IFERROR(-AV49,"n.b."))</f>
        <v/>
      </c>
      <c r="CJ49" s="124" t="str">
        <f>IF($B49="","",IFERROR(-AW49,"n.b."))</f>
        <v/>
      </c>
      <c r="CK49" s="124" t="str">
        <f>IF($B49="","",IFERROR(-AX49,"n.b."))</f>
        <v/>
      </c>
      <c r="CL49" s="124" t="str">
        <f>IF($B49="","",IFERROR(-AY49,"n.b."))</f>
        <v/>
      </c>
      <c r="CM49" s="124" t="str">
        <f>IF($B49="","",IFERROR(-AZ49,"n.b."))</f>
        <v/>
      </c>
      <c r="CN49" s="124" t="str">
        <f>IF($B49="","",IFERROR(-BA49,"n.b."))</f>
        <v/>
      </c>
      <c r="CO49" s="124" t="str">
        <f>IF($B49="","",IFERROR(-BB49,"n.b."))</f>
        <v/>
      </c>
      <c r="CP49" s="124" t="str">
        <f>IF($B49="","",IFERROR(-BC49,"n.b."))</f>
        <v/>
      </c>
      <c r="CQ49" s="124" t="str">
        <f>IF($B49="","",IFERROR(-BD49,"n.b."))</f>
        <v/>
      </c>
      <c r="CR49" s="124" t="str">
        <f>IF($B49="","",IFERROR(-BE49,"n.b."))</f>
        <v/>
      </c>
      <c r="CS49" s="124" t="str">
        <f>IF($B49="","",IFERROR(IF(OR(ABS(T49+V49+X49+Z49-AB49)&gt;P_Tol,ABS(U49+W49+Y49+AA49-AD49)&gt;P_Tol,ABS(AE49+AG49+AI49+AK49-AM49)&gt;P_Tol,ABS(AF49+AH49+AJ49+AL49-AO49)&gt;P_Tol),1,0),1))</f>
        <v/>
      </c>
      <c r="CT49" s="124" t="str">
        <f>IF($B49="","",IFERROR(IF(OR(ABS(AB49+AC49-AD49)&gt;P_Tol,ABS(AM49+AN49-AO49)&gt;P_Tol,ABS(O49+P49-Q49)&gt;P_Tol),1,0),1))</f>
        <v/>
      </c>
      <c r="CU49" s="124" t="str">
        <f>IF($B49="","",IFERROR(IF(ABS(R49-(AB49+AM49+AP49+AR49+AT49+AV49+AX49+AZ49+BB49+BD49))&gt;P_Tol,1,0),1))</f>
        <v/>
      </c>
      <c r="CV49" s="124" t="str">
        <f>IF($B49="","",IFERROR(IF(ABS(M49-(N49+O49+R49))&gt;P_Tol,1,0),1))</f>
        <v/>
      </c>
      <c r="CW49" s="124" t="str">
        <f>IF($B49="","",IF(COUNTIF(Mapping!$A$5:$A$104,B49)&gt;0,1,0))</f>
        <v/>
      </c>
      <c r="CX49" s="124" t="str">
        <f>IF($B49="","",COUNTIF($B$6:$B$505,B49))</f>
        <v/>
      </c>
      <c r="CY49" s="124" t="str">
        <f>IF($B49="","",COUNTIF(STG_Woningetalage!$B$6:$B$505,B49))</f>
        <v/>
      </c>
      <c r="CZ49" s="124" t="str">
        <f>IF($B49="","",IF(CW49=0,COUNTIF($CW$6:CW49,0),""))</f>
        <v/>
      </c>
    </row>
    <row r="50">
      <c r="A50" s="15" t="n">
        <v>46</v>
      </c>
      <c r="B50" t="str">
        <f>IF(B$3=0,"",IF(INDEX(SRC_ZPMW03!$A$1:$ZZ$501,$A50,B$3)&amp;""="","",INDEX(SRC_ZPMW03!$A$1:$ZZ$501,$A50,B$3)&amp;""))</f>
        <v/>
      </c>
      <c r="C50" t="str">
        <f>IF($B50="","",IF(C$3=0,"n.b.",INDEX(SRC_ZPMW03!$A$1:$ZZ$501,$A50,C$3)))</f>
        <v/>
      </c>
      <c r="D50" t="str">
        <f>IF($B50="","",IF(D$3=0,"n.b.",INDEX(SRC_ZPMW03!$A$1:$ZZ$501,$A50,D$3)))</f>
        <v/>
      </c>
      <c r="E50" t="str">
        <f>IF($B50="","",IF(E$3=0,"n.b.",INDEX(SRC_ZPMW03!$A$1:$ZZ$501,$A50,E$3)))</f>
        <v/>
      </c>
      <c r="F50" t="str">
        <f>IF($B50="","",IF(F$3=0,"n.b.",INDEX(SRC_ZPMW03!$A$1:$ZZ$501,$A50,F$3)))</f>
        <v/>
      </c>
      <c r="G50" t="str">
        <f>IF($B50="","",IF(G$3=0,"n.b.",INDEX(SRC_ZPMW03!$A$1:$ZZ$501,$A50,G$3)))</f>
        <v/>
      </c>
      <c r="H50" t="str">
        <f>IF($B50="","",IF(H$3=0,"n.b.",INDEX(SRC_ZPMW03!$A$1:$ZZ$501,$A50,H$3)))</f>
        <v/>
      </c>
      <c r="I50" t="str">
        <f>IF($B50="","",IF(I$3=0,"n.b.",INDEX(SRC_ZPMW03!$A$1:$ZZ$501,$A50,I$3)))</f>
        <v/>
      </c>
      <c r="J50" t="str">
        <f>IF($B50="","",IF(J$3=0,"n.b.",INDEX(SRC_ZPMW03!$A$1:$ZZ$501,$A50,J$3)))</f>
        <v/>
      </c>
      <c r="K50" t="str">
        <f>IF($B50="","",IF(K$3=0,"n.b.",INDEX(SRC_ZPMW03!$A$1:$ZZ$501,$A50,K$3)))</f>
        <v/>
      </c>
      <c r="L50" s="124" t="str">
        <f>IF($B50="","",IF(L$3=0,"n.b.",INDEX(SRC_ZPMW03!$A$1:$ZZ$501,$A50,L$3)))</f>
        <v/>
      </c>
      <c r="M50" s="124" t="str">
        <f>IF($B50="","",IF(M$3=0,"n.b.",INDEX(SRC_ZPMW03!$A$1:$ZZ$501,$A50,M$3)))</f>
        <v/>
      </c>
      <c r="N50" s="124" t="str">
        <f>IF($B50="","",IF(N$3=0,"n.b.",INDEX(SRC_ZPMW03!$A$1:$ZZ$501,$A50,N$3)))</f>
        <v/>
      </c>
      <c r="O50" s="124" t="str">
        <f>IF($B50="","",IF(O$3=0,"n.b.",INDEX(SRC_ZPMW03!$A$1:$ZZ$501,$A50,O$3)))</f>
        <v/>
      </c>
      <c r="P50" s="124" t="str">
        <f>IF($B50="","",IF(P$3=0,"n.b.",INDEX(SRC_ZPMW03!$A$1:$ZZ$501,$A50,P$3)))</f>
        <v/>
      </c>
      <c r="Q50" s="124" t="str">
        <f>IF($B50="","",IF(Q$3=0,"n.b.",INDEX(SRC_ZPMW03!$A$1:$ZZ$501,$A50,Q$3)))</f>
        <v/>
      </c>
      <c r="R50" s="124" t="str">
        <f>IF($B50="","",IF(R$3=0,"n.b.",INDEX(SRC_ZPMW03!$A$1:$ZZ$501,$A50,R$3)))</f>
        <v/>
      </c>
      <c r="S50" s="124" t="str">
        <f>IF($B50="","",IF(S$3=0,"n.b.",INDEX(SRC_ZPMW03!$A$1:$ZZ$501,$A50,S$3)))</f>
        <v/>
      </c>
      <c r="T50" s="124" t="str">
        <f>IF($B50="","",IF(T$3=0,"n.b.",INDEX(SRC_ZPMW03!$A$1:$ZZ$501,$A50,T$3)))</f>
        <v/>
      </c>
      <c r="U50" s="124" t="str">
        <f>IF($B50="","",IF(U$3=0,"n.b.",INDEX(SRC_ZPMW03!$A$1:$ZZ$501,$A50,U$3)))</f>
        <v/>
      </c>
      <c r="V50" s="124" t="str">
        <f>IF($B50="","",IF(V$3=0,"n.b.",INDEX(SRC_ZPMW03!$A$1:$ZZ$501,$A50,V$3)))</f>
        <v/>
      </c>
      <c r="W50" s="124" t="str">
        <f>IF($B50="","",IF(W$3=0,"n.b.",INDEX(SRC_ZPMW03!$A$1:$ZZ$501,$A50,W$3)))</f>
        <v/>
      </c>
      <c r="X50" s="124" t="str">
        <f>IF($B50="","",IF(X$3=0,"n.b.",INDEX(SRC_ZPMW03!$A$1:$ZZ$501,$A50,X$3)))</f>
        <v/>
      </c>
      <c r="Y50" s="124" t="str">
        <f>IF($B50="","",IF(Y$3=0,"n.b.",INDEX(SRC_ZPMW03!$A$1:$ZZ$501,$A50,Y$3)))</f>
        <v/>
      </c>
      <c r="Z50" s="124" t="str">
        <f>IF($B50="","",IF(Z$3=0,"n.b.",INDEX(SRC_ZPMW03!$A$1:$ZZ$501,$A50,Z$3)))</f>
        <v/>
      </c>
      <c r="AA50" s="124" t="str">
        <f>IF($B50="","",IF(AA$3=0,"n.b.",INDEX(SRC_ZPMW03!$A$1:$ZZ$501,$A50,AA$3)))</f>
        <v/>
      </c>
      <c r="AB50" s="124" t="str">
        <f>IF($B50="","",IF(AB$3=0,"n.b.",INDEX(SRC_ZPMW03!$A$1:$ZZ$501,$A50,AB$3)))</f>
        <v/>
      </c>
      <c r="AC50" s="124" t="str">
        <f>IF($B50="","",IF(AC$3=0,"n.b.",INDEX(SRC_ZPMW03!$A$1:$ZZ$501,$A50,AC$3)))</f>
        <v/>
      </c>
      <c r="AD50" s="124" t="str">
        <f>IF($B50="","",IF(AD$3=0,"n.b.",INDEX(SRC_ZPMW03!$A$1:$ZZ$501,$A50,AD$3)))</f>
        <v/>
      </c>
      <c r="AE50" s="124" t="str">
        <f>IF($B50="","",IF(AE$3=0,"n.b.",INDEX(SRC_ZPMW03!$A$1:$ZZ$501,$A50,AE$3)))</f>
        <v/>
      </c>
      <c r="AF50" s="124" t="str">
        <f>IF($B50="","",IF(AF$3=0,"n.b.",INDEX(SRC_ZPMW03!$A$1:$ZZ$501,$A50,AF$3)))</f>
        <v/>
      </c>
      <c r="AG50" s="124" t="str">
        <f>IF($B50="","",IF(AG$3=0,"n.b.",INDEX(SRC_ZPMW03!$A$1:$ZZ$501,$A50,AG$3)))</f>
        <v/>
      </c>
      <c r="AH50" s="124" t="str">
        <f>IF($B50="","",IF(AH$3=0,"n.b.",INDEX(SRC_ZPMW03!$A$1:$ZZ$501,$A50,AH$3)))</f>
        <v/>
      </c>
      <c r="AI50" s="124" t="str">
        <f>IF($B50="","",IF(AI$3=0,"n.b.",INDEX(SRC_ZPMW03!$A$1:$ZZ$501,$A50,AI$3)))</f>
        <v/>
      </c>
      <c r="AJ50" s="124" t="str">
        <f>IF($B50="","",IF(AJ$3=0,"n.b.",INDEX(SRC_ZPMW03!$A$1:$ZZ$501,$A50,AJ$3)))</f>
        <v/>
      </c>
      <c r="AK50" s="124" t="str">
        <f>IF($B50="","",IF(AK$3=0,"n.b.",INDEX(SRC_ZPMW03!$A$1:$ZZ$501,$A50,AK$3)))</f>
        <v/>
      </c>
      <c r="AL50" s="124" t="str">
        <f>IF($B50="","",IF(AL$3=0,"n.b.",INDEX(SRC_ZPMW03!$A$1:$ZZ$501,$A50,AL$3)))</f>
        <v/>
      </c>
      <c r="AM50" s="124" t="str">
        <f>IF($B50="","",IF(AM$3=0,"n.b.",INDEX(SRC_ZPMW03!$A$1:$ZZ$501,$A50,AM$3)))</f>
        <v/>
      </c>
      <c r="AN50" s="124" t="str">
        <f>IF($B50="","",IF(AN$3=0,"n.b.",INDEX(SRC_ZPMW03!$A$1:$ZZ$501,$A50,AN$3)))</f>
        <v/>
      </c>
      <c r="AO50" s="124" t="str">
        <f>IF($B50="","",IF(AO$3=0,"n.b.",INDEX(SRC_ZPMW03!$A$1:$ZZ$501,$A50,AO$3)))</f>
        <v/>
      </c>
      <c r="AP50" s="124" t="str">
        <f>IF($B50="","",IF(AP$3=0,"n.b.",INDEX(SRC_ZPMW03!$A$1:$ZZ$501,$A50,AP$3)))</f>
        <v/>
      </c>
      <c r="AQ50" s="124" t="str">
        <f>IF($B50="","",IF(AQ$3=0,"n.b.",INDEX(SRC_ZPMW03!$A$1:$ZZ$501,$A50,AQ$3)))</f>
        <v/>
      </c>
      <c r="AR50" s="124" t="str">
        <f>IF($B50="","",IF(AR$3=0,"n.b.",INDEX(SRC_ZPMW03!$A$1:$ZZ$501,$A50,AR$3)))</f>
        <v/>
      </c>
      <c r="AS50" s="124" t="str">
        <f>IF($B50="","",IF(AS$3=0,"n.b.",INDEX(SRC_ZPMW03!$A$1:$ZZ$501,$A50,AS$3)))</f>
        <v/>
      </c>
      <c r="AT50" s="124" t="str">
        <f>IF($B50="","",IF(AT$3=0,"n.b.",INDEX(SRC_ZPMW03!$A$1:$ZZ$501,$A50,AT$3)))</f>
        <v/>
      </c>
      <c r="AU50" s="124" t="str">
        <f>IF($B50="","",IF(AU$3=0,"n.b.",INDEX(SRC_ZPMW03!$A$1:$ZZ$501,$A50,AU$3)))</f>
        <v/>
      </c>
      <c r="AV50" s="124" t="str">
        <f>IF($B50="","",IF(AV$3=0,"n.b.",INDEX(SRC_ZPMW03!$A$1:$ZZ$501,$A50,AV$3)))</f>
        <v/>
      </c>
      <c r="AW50" s="124" t="str">
        <f>IF($B50="","",IF(AW$3=0,"n.b.",INDEX(SRC_ZPMW03!$A$1:$ZZ$501,$A50,AW$3)))</f>
        <v/>
      </c>
      <c r="AX50" s="124" t="str">
        <f>IF($B50="","",IF(AX$3=0,"n.b.",INDEX(SRC_ZPMW03!$A$1:$ZZ$501,$A50,AX$3)))</f>
        <v/>
      </c>
      <c r="AY50" s="124" t="str">
        <f>IF($B50="","",IF(AY$3=0,"n.b.",INDEX(SRC_ZPMW03!$A$1:$ZZ$501,$A50,AY$3)))</f>
        <v/>
      </c>
      <c r="AZ50" s="124" t="str">
        <f>IF($B50="","",IF(AZ$3=0,"n.b.",INDEX(SRC_ZPMW03!$A$1:$ZZ$501,$A50,AZ$3)))</f>
        <v/>
      </c>
      <c r="BA50" s="124" t="str">
        <f>IF($B50="","",IF(BA$3=0,"n.b.",INDEX(SRC_ZPMW03!$A$1:$ZZ$501,$A50,BA$3)))</f>
        <v/>
      </c>
      <c r="BB50" s="124" t="str">
        <f>IF($B50="","",IF(BB$3=0,"n.b.",INDEX(SRC_ZPMW03!$A$1:$ZZ$501,$A50,BB$3)))</f>
        <v/>
      </c>
      <c r="BC50" s="124" t="str">
        <f>IF($B50="","",IF(BC$3=0,"n.b.",INDEX(SRC_ZPMW03!$A$1:$ZZ$501,$A50,BC$3)))</f>
        <v/>
      </c>
      <c r="BD50" s="124" t="str">
        <f>IF($B50="","",IF(BD$3=0,"n.b.",INDEX(SRC_ZPMW03!$A$1:$ZZ$501,$A50,BD$3)))</f>
        <v/>
      </c>
      <c r="BE50" s="124" t="str">
        <f>IF($B50="","",IF(BE$3=0,"n.b.",INDEX(SRC_ZPMW03!$A$1:$ZZ$501,$A50,BE$3)))</f>
        <v/>
      </c>
      <c r="BF50" s="124" t="str">
        <f>IF($B50="","",IF(BF$3=0,"n.b.",INDEX(SRC_ZPMW03!$A$1:$ZZ$501,$A50,BF$3)))</f>
        <v/>
      </c>
      <c r="BG50" t="str">
        <f>IF($B50="","",IF(BG$3=0,"n.b.",INDEX(SRC_ZPMW03!$A$1:$ZZ$501,$A50,BG$3)))</f>
        <v/>
      </c>
      <c r="BH50" t="str">
        <f>IF($B50="","",IF(BH$3=0,"n.b.",INDEX(SRC_ZPMW03!$A$1:$ZZ$501,$A50,BH$3)))</f>
        <v/>
      </c>
      <c r="BI50" t="str">
        <f>IF($B50="","",IF(BI$3=0,"n.b.",INDEX(SRC_ZPMW03!$A$1:$ZZ$501,$A50,BI$3)))</f>
        <v/>
      </c>
      <c r="BJ50" t="str">
        <f>IF($B50="","",IF(BJ$3=0,"n.b.",INDEX(SRC_ZPMW03!$A$1:$ZZ$501,$A50,BJ$3)))</f>
        <v/>
      </c>
      <c r="BK50" s="124" t="str">
        <f>IF($B50="","",IFERROR(-O50,"n.b."))</f>
        <v/>
      </c>
      <c r="BL50" s="124" t="str">
        <f>IF($B50="","",IFERROR(-Q50,"n.b."))</f>
        <v/>
      </c>
      <c r="BM50" s="124" t="str">
        <f>IF($B50="","",IFERROR(-AB50,"n.b."))</f>
        <v/>
      </c>
      <c r="BN50" s="124" t="str">
        <f>IF($B50="","",IFERROR(-AD50,"n.b."))</f>
        <v/>
      </c>
      <c r="BO50" s="124" t="str">
        <f>IF($B50="","",IFERROR(BK50+BM50,"n.b."))</f>
        <v/>
      </c>
      <c r="BP50" s="124" t="str">
        <f>IF($B50="","",IFERROR(BL50+BN50,"n.b."))</f>
        <v/>
      </c>
      <c r="BQ50" s="124" t="str">
        <f>IF($B50="","",IFERROR(-AM50,"n.b."))</f>
        <v/>
      </c>
      <c r="BR50" s="124" t="str">
        <f>IF($B50="","",IFERROR(-AO50,"n.b."))</f>
        <v/>
      </c>
      <c r="BS50" s="124" t="str">
        <f>IF($B50="","",IFERROR(-Z50,"n.b."))</f>
        <v/>
      </c>
      <c r="BT50" s="124" t="str">
        <f>IF($B50="","",IFERROR(-AA50,"n.b."))</f>
        <v/>
      </c>
      <c r="BU50" s="124" t="str">
        <f>IF($B50="","",IFERROR(-AE50,"n.b."))</f>
        <v/>
      </c>
      <c r="BV50" s="124" t="str">
        <f>IF($B50="","",IFERROR(-AF50,"n.b."))</f>
        <v/>
      </c>
      <c r="BW50" s="124" t="str">
        <f>IF($B50="","",IFERROR(-AG50,"n.b."))</f>
        <v/>
      </c>
      <c r="BX50" s="124" t="str">
        <f>IF($B50="","",IFERROR(-AH50,"n.b."))</f>
        <v/>
      </c>
      <c r="BY50" s="124" t="str">
        <f>IF($B50="","",IFERROR(-AI50,"n.b."))</f>
        <v/>
      </c>
      <c r="BZ50" s="124" t="str">
        <f>IF($B50="","",IFERROR(-AJ50,"n.b."))</f>
        <v/>
      </c>
      <c r="CA50" s="124" t="str">
        <f>IF($B50="","",IFERROR(-AK50,"n.b."))</f>
        <v/>
      </c>
      <c r="CB50" s="124" t="str">
        <f>IF($B50="","",IFERROR(-AL50,"n.b."))</f>
        <v/>
      </c>
      <c r="CC50" s="124" t="str">
        <f>IF($B50="","",IFERROR(-AP50,"n.b."))</f>
        <v/>
      </c>
      <c r="CD50" s="124" t="str">
        <f>IF($B50="","",IFERROR(-AQ50,"n.b."))</f>
        <v/>
      </c>
      <c r="CE50" s="124" t="str">
        <f>IF($B50="","",IFERROR(-AR50,"n.b."))</f>
        <v/>
      </c>
      <c r="CF50" s="124" t="str">
        <f>IF($B50="","",IFERROR(-AS50,"n.b."))</f>
        <v/>
      </c>
      <c r="CG50" s="124" t="str">
        <f>IF($B50="","",IFERROR(-AT50,"n.b."))</f>
        <v/>
      </c>
      <c r="CH50" s="124" t="str">
        <f>IF($B50="","",IFERROR(-AU50,"n.b."))</f>
        <v/>
      </c>
      <c r="CI50" s="124" t="str">
        <f>IF($B50="","",IFERROR(-AV50,"n.b."))</f>
        <v/>
      </c>
      <c r="CJ50" s="124" t="str">
        <f>IF($B50="","",IFERROR(-AW50,"n.b."))</f>
        <v/>
      </c>
      <c r="CK50" s="124" t="str">
        <f>IF($B50="","",IFERROR(-AX50,"n.b."))</f>
        <v/>
      </c>
      <c r="CL50" s="124" t="str">
        <f>IF($B50="","",IFERROR(-AY50,"n.b."))</f>
        <v/>
      </c>
      <c r="CM50" s="124" t="str">
        <f>IF($B50="","",IFERROR(-AZ50,"n.b."))</f>
        <v/>
      </c>
      <c r="CN50" s="124" t="str">
        <f>IF($B50="","",IFERROR(-BA50,"n.b."))</f>
        <v/>
      </c>
      <c r="CO50" s="124" t="str">
        <f>IF($B50="","",IFERROR(-BB50,"n.b."))</f>
        <v/>
      </c>
      <c r="CP50" s="124" t="str">
        <f>IF($B50="","",IFERROR(-BC50,"n.b."))</f>
        <v/>
      </c>
      <c r="CQ50" s="124" t="str">
        <f>IF($B50="","",IFERROR(-BD50,"n.b."))</f>
        <v/>
      </c>
      <c r="CR50" s="124" t="str">
        <f>IF($B50="","",IFERROR(-BE50,"n.b."))</f>
        <v/>
      </c>
      <c r="CS50" s="124" t="str">
        <f>IF($B50="","",IFERROR(IF(OR(ABS(T50+V50+X50+Z50-AB50)&gt;P_Tol,ABS(U50+W50+Y50+AA50-AD50)&gt;P_Tol,ABS(AE50+AG50+AI50+AK50-AM50)&gt;P_Tol,ABS(AF50+AH50+AJ50+AL50-AO50)&gt;P_Tol),1,0),1))</f>
        <v/>
      </c>
      <c r="CT50" s="124" t="str">
        <f>IF($B50="","",IFERROR(IF(OR(ABS(AB50+AC50-AD50)&gt;P_Tol,ABS(AM50+AN50-AO50)&gt;P_Tol,ABS(O50+P50-Q50)&gt;P_Tol),1,0),1))</f>
        <v/>
      </c>
      <c r="CU50" s="124" t="str">
        <f>IF($B50="","",IFERROR(IF(ABS(R50-(AB50+AM50+AP50+AR50+AT50+AV50+AX50+AZ50+BB50+BD50))&gt;P_Tol,1,0),1))</f>
        <v/>
      </c>
      <c r="CV50" s="124" t="str">
        <f>IF($B50="","",IFERROR(IF(ABS(M50-(N50+O50+R50))&gt;P_Tol,1,0),1))</f>
        <v/>
      </c>
      <c r="CW50" s="124" t="str">
        <f>IF($B50="","",IF(COUNTIF(Mapping!$A$5:$A$104,B50)&gt;0,1,0))</f>
        <v/>
      </c>
      <c r="CX50" s="124" t="str">
        <f>IF($B50="","",COUNTIF($B$6:$B$505,B50))</f>
        <v/>
      </c>
      <c r="CY50" s="124" t="str">
        <f>IF($B50="","",COUNTIF(STG_Woningetalage!$B$6:$B$505,B50))</f>
        <v/>
      </c>
      <c r="CZ50" s="124" t="str">
        <f>IF($B50="","",IF(CW50=0,COUNTIF($CW$6:CW50,0),""))</f>
        <v/>
      </c>
    </row>
    <row r="51">
      <c r="A51" s="15" t="n">
        <v>47</v>
      </c>
      <c r="B51" t="str">
        <f>IF(B$3=0,"",IF(INDEX(SRC_ZPMW03!$A$1:$ZZ$501,$A51,B$3)&amp;""="","",INDEX(SRC_ZPMW03!$A$1:$ZZ$501,$A51,B$3)&amp;""))</f>
        <v/>
      </c>
      <c r="C51" t="str">
        <f>IF($B51="","",IF(C$3=0,"n.b.",INDEX(SRC_ZPMW03!$A$1:$ZZ$501,$A51,C$3)))</f>
        <v/>
      </c>
      <c r="D51" t="str">
        <f>IF($B51="","",IF(D$3=0,"n.b.",INDEX(SRC_ZPMW03!$A$1:$ZZ$501,$A51,D$3)))</f>
        <v/>
      </c>
      <c r="E51" t="str">
        <f>IF($B51="","",IF(E$3=0,"n.b.",INDEX(SRC_ZPMW03!$A$1:$ZZ$501,$A51,E$3)))</f>
        <v/>
      </c>
      <c r="F51" t="str">
        <f>IF($B51="","",IF(F$3=0,"n.b.",INDEX(SRC_ZPMW03!$A$1:$ZZ$501,$A51,F$3)))</f>
        <v/>
      </c>
      <c r="G51" t="str">
        <f>IF($B51="","",IF(G$3=0,"n.b.",INDEX(SRC_ZPMW03!$A$1:$ZZ$501,$A51,G$3)))</f>
        <v/>
      </c>
      <c r="H51" t="str">
        <f>IF($B51="","",IF(H$3=0,"n.b.",INDEX(SRC_ZPMW03!$A$1:$ZZ$501,$A51,H$3)))</f>
        <v/>
      </c>
      <c r="I51" t="str">
        <f>IF($B51="","",IF(I$3=0,"n.b.",INDEX(SRC_ZPMW03!$A$1:$ZZ$501,$A51,I$3)))</f>
        <v/>
      </c>
      <c r="J51" t="str">
        <f>IF($B51="","",IF(J$3=0,"n.b.",INDEX(SRC_ZPMW03!$A$1:$ZZ$501,$A51,J$3)))</f>
        <v/>
      </c>
      <c r="K51" t="str">
        <f>IF($B51="","",IF(K$3=0,"n.b.",INDEX(SRC_ZPMW03!$A$1:$ZZ$501,$A51,K$3)))</f>
        <v/>
      </c>
      <c r="L51" s="124" t="str">
        <f>IF($B51="","",IF(L$3=0,"n.b.",INDEX(SRC_ZPMW03!$A$1:$ZZ$501,$A51,L$3)))</f>
        <v/>
      </c>
      <c r="M51" s="124" t="str">
        <f>IF($B51="","",IF(M$3=0,"n.b.",INDEX(SRC_ZPMW03!$A$1:$ZZ$501,$A51,M$3)))</f>
        <v/>
      </c>
      <c r="N51" s="124" t="str">
        <f>IF($B51="","",IF(N$3=0,"n.b.",INDEX(SRC_ZPMW03!$A$1:$ZZ$501,$A51,N$3)))</f>
        <v/>
      </c>
      <c r="O51" s="124" t="str">
        <f>IF($B51="","",IF(O$3=0,"n.b.",INDEX(SRC_ZPMW03!$A$1:$ZZ$501,$A51,O$3)))</f>
        <v/>
      </c>
      <c r="P51" s="124" t="str">
        <f>IF($B51="","",IF(P$3=0,"n.b.",INDEX(SRC_ZPMW03!$A$1:$ZZ$501,$A51,P$3)))</f>
        <v/>
      </c>
      <c r="Q51" s="124" t="str">
        <f>IF($B51="","",IF(Q$3=0,"n.b.",INDEX(SRC_ZPMW03!$A$1:$ZZ$501,$A51,Q$3)))</f>
        <v/>
      </c>
      <c r="R51" s="124" t="str">
        <f>IF($B51="","",IF(R$3=0,"n.b.",INDEX(SRC_ZPMW03!$A$1:$ZZ$501,$A51,R$3)))</f>
        <v/>
      </c>
      <c r="S51" s="124" t="str">
        <f>IF($B51="","",IF(S$3=0,"n.b.",INDEX(SRC_ZPMW03!$A$1:$ZZ$501,$A51,S$3)))</f>
        <v/>
      </c>
      <c r="T51" s="124" t="str">
        <f>IF($B51="","",IF(T$3=0,"n.b.",INDEX(SRC_ZPMW03!$A$1:$ZZ$501,$A51,T$3)))</f>
        <v/>
      </c>
      <c r="U51" s="124" t="str">
        <f>IF($B51="","",IF(U$3=0,"n.b.",INDEX(SRC_ZPMW03!$A$1:$ZZ$501,$A51,U$3)))</f>
        <v/>
      </c>
      <c r="V51" s="124" t="str">
        <f>IF($B51="","",IF(V$3=0,"n.b.",INDEX(SRC_ZPMW03!$A$1:$ZZ$501,$A51,V$3)))</f>
        <v/>
      </c>
      <c r="W51" s="124" t="str">
        <f>IF($B51="","",IF(W$3=0,"n.b.",INDEX(SRC_ZPMW03!$A$1:$ZZ$501,$A51,W$3)))</f>
        <v/>
      </c>
      <c r="X51" s="124" t="str">
        <f>IF($B51="","",IF(X$3=0,"n.b.",INDEX(SRC_ZPMW03!$A$1:$ZZ$501,$A51,X$3)))</f>
        <v/>
      </c>
      <c r="Y51" s="124" t="str">
        <f>IF($B51="","",IF(Y$3=0,"n.b.",INDEX(SRC_ZPMW03!$A$1:$ZZ$501,$A51,Y$3)))</f>
        <v/>
      </c>
      <c r="Z51" s="124" t="str">
        <f>IF($B51="","",IF(Z$3=0,"n.b.",INDEX(SRC_ZPMW03!$A$1:$ZZ$501,$A51,Z$3)))</f>
        <v/>
      </c>
      <c r="AA51" s="124" t="str">
        <f>IF($B51="","",IF(AA$3=0,"n.b.",INDEX(SRC_ZPMW03!$A$1:$ZZ$501,$A51,AA$3)))</f>
        <v/>
      </c>
      <c r="AB51" s="124" t="str">
        <f>IF($B51="","",IF(AB$3=0,"n.b.",INDEX(SRC_ZPMW03!$A$1:$ZZ$501,$A51,AB$3)))</f>
        <v/>
      </c>
      <c r="AC51" s="124" t="str">
        <f>IF($B51="","",IF(AC$3=0,"n.b.",INDEX(SRC_ZPMW03!$A$1:$ZZ$501,$A51,AC$3)))</f>
        <v/>
      </c>
      <c r="AD51" s="124" t="str">
        <f>IF($B51="","",IF(AD$3=0,"n.b.",INDEX(SRC_ZPMW03!$A$1:$ZZ$501,$A51,AD$3)))</f>
        <v/>
      </c>
      <c r="AE51" s="124" t="str">
        <f>IF($B51="","",IF(AE$3=0,"n.b.",INDEX(SRC_ZPMW03!$A$1:$ZZ$501,$A51,AE$3)))</f>
        <v/>
      </c>
      <c r="AF51" s="124" t="str">
        <f>IF($B51="","",IF(AF$3=0,"n.b.",INDEX(SRC_ZPMW03!$A$1:$ZZ$501,$A51,AF$3)))</f>
        <v/>
      </c>
      <c r="AG51" s="124" t="str">
        <f>IF($B51="","",IF(AG$3=0,"n.b.",INDEX(SRC_ZPMW03!$A$1:$ZZ$501,$A51,AG$3)))</f>
        <v/>
      </c>
      <c r="AH51" s="124" t="str">
        <f>IF($B51="","",IF(AH$3=0,"n.b.",INDEX(SRC_ZPMW03!$A$1:$ZZ$501,$A51,AH$3)))</f>
        <v/>
      </c>
      <c r="AI51" s="124" t="str">
        <f>IF($B51="","",IF(AI$3=0,"n.b.",INDEX(SRC_ZPMW03!$A$1:$ZZ$501,$A51,AI$3)))</f>
        <v/>
      </c>
      <c r="AJ51" s="124" t="str">
        <f>IF($B51="","",IF(AJ$3=0,"n.b.",INDEX(SRC_ZPMW03!$A$1:$ZZ$501,$A51,AJ$3)))</f>
        <v/>
      </c>
      <c r="AK51" s="124" t="str">
        <f>IF($B51="","",IF(AK$3=0,"n.b.",INDEX(SRC_ZPMW03!$A$1:$ZZ$501,$A51,AK$3)))</f>
        <v/>
      </c>
      <c r="AL51" s="124" t="str">
        <f>IF($B51="","",IF(AL$3=0,"n.b.",INDEX(SRC_ZPMW03!$A$1:$ZZ$501,$A51,AL$3)))</f>
        <v/>
      </c>
      <c r="AM51" s="124" t="str">
        <f>IF($B51="","",IF(AM$3=0,"n.b.",INDEX(SRC_ZPMW03!$A$1:$ZZ$501,$A51,AM$3)))</f>
        <v/>
      </c>
      <c r="AN51" s="124" t="str">
        <f>IF($B51="","",IF(AN$3=0,"n.b.",INDEX(SRC_ZPMW03!$A$1:$ZZ$501,$A51,AN$3)))</f>
        <v/>
      </c>
      <c r="AO51" s="124" t="str">
        <f>IF($B51="","",IF(AO$3=0,"n.b.",INDEX(SRC_ZPMW03!$A$1:$ZZ$501,$A51,AO$3)))</f>
        <v/>
      </c>
      <c r="AP51" s="124" t="str">
        <f>IF($B51="","",IF(AP$3=0,"n.b.",INDEX(SRC_ZPMW03!$A$1:$ZZ$501,$A51,AP$3)))</f>
        <v/>
      </c>
      <c r="AQ51" s="124" t="str">
        <f>IF($B51="","",IF(AQ$3=0,"n.b.",INDEX(SRC_ZPMW03!$A$1:$ZZ$501,$A51,AQ$3)))</f>
        <v/>
      </c>
      <c r="AR51" s="124" t="str">
        <f>IF($B51="","",IF(AR$3=0,"n.b.",INDEX(SRC_ZPMW03!$A$1:$ZZ$501,$A51,AR$3)))</f>
        <v/>
      </c>
      <c r="AS51" s="124" t="str">
        <f>IF($B51="","",IF(AS$3=0,"n.b.",INDEX(SRC_ZPMW03!$A$1:$ZZ$501,$A51,AS$3)))</f>
        <v/>
      </c>
      <c r="AT51" s="124" t="str">
        <f>IF($B51="","",IF(AT$3=0,"n.b.",INDEX(SRC_ZPMW03!$A$1:$ZZ$501,$A51,AT$3)))</f>
        <v/>
      </c>
      <c r="AU51" s="124" t="str">
        <f>IF($B51="","",IF(AU$3=0,"n.b.",INDEX(SRC_ZPMW03!$A$1:$ZZ$501,$A51,AU$3)))</f>
        <v/>
      </c>
      <c r="AV51" s="124" t="str">
        <f>IF($B51="","",IF(AV$3=0,"n.b.",INDEX(SRC_ZPMW03!$A$1:$ZZ$501,$A51,AV$3)))</f>
        <v/>
      </c>
      <c r="AW51" s="124" t="str">
        <f>IF($B51="","",IF(AW$3=0,"n.b.",INDEX(SRC_ZPMW03!$A$1:$ZZ$501,$A51,AW$3)))</f>
        <v/>
      </c>
      <c r="AX51" s="124" t="str">
        <f>IF($B51="","",IF(AX$3=0,"n.b.",INDEX(SRC_ZPMW03!$A$1:$ZZ$501,$A51,AX$3)))</f>
        <v/>
      </c>
      <c r="AY51" s="124" t="str">
        <f>IF($B51="","",IF(AY$3=0,"n.b.",INDEX(SRC_ZPMW03!$A$1:$ZZ$501,$A51,AY$3)))</f>
        <v/>
      </c>
      <c r="AZ51" s="124" t="str">
        <f>IF($B51="","",IF(AZ$3=0,"n.b.",INDEX(SRC_ZPMW03!$A$1:$ZZ$501,$A51,AZ$3)))</f>
        <v/>
      </c>
      <c r="BA51" s="124" t="str">
        <f>IF($B51="","",IF(BA$3=0,"n.b.",INDEX(SRC_ZPMW03!$A$1:$ZZ$501,$A51,BA$3)))</f>
        <v/>
      </c>
      <c r="BB51" s="124" t="str">
        <f>IF($B51="","",IF(BB$3=0,"n.b.",INDEX(SRC_ZPMW03!$A$1:$ZZ$501,$A51,BB$3)))</f>
        <v/>
      </c>
      <c r="BC51" s="124" t="str">
        <f>IF($B51="","",IF(BC$3=0,"n.b.",INDEX(SRC_ZPMW03!$A$1:$ZZ$501,$A51,BC$3)))</f>
        <v/>
      </c>
      <c r="BD51" s="124" t="str">
        <f>IF($B51="","",IF(BD$3=0,"n.b.",INDEX(SRC_ZPMW03!$A$1:$ZZ$501,$A51,BD$3)))</f>
        <v/>
      </c>
      <c r="BE51" s="124" t="str">
        <f>IF($B51="","",IF(BE$3=0,"n.b.",INDEX(SRC_ZPMW03!$A$1:$ZZ$501,$A51,BE$3)))</f>
        <v/>
      </c>
      <c r="BF51" s="124" t="str">
        <f>IF($B51="","",IF(BF$3=0,"n.b.",INDEX(SRC_ZPMW03!$A$1:$ZZ$501,$A51,BF$3)))</f>
        <v/>
      </c>
      <c r="BG51" t="str">
        <f>IF($B51="","",IF(BG$3=0,"n.b.",INDEX(SRC_ZPMW03!$A$1:$ZZ$501,$A51,BG$3)))</f>
        <v/>
      </c>
      <c r="BH51" t="str">
        <f>IF($B51="","",IF(BH$3=0,"n.b.",INDEX(SRC_ZPMW03!$A$1:$ZZ$501,$A51,BH$3)))</f>
        <v/>
      </c>
      <c r="BI51" t="str">
        <f>IF($B51="","",IF(BI$3=0,"n.b.",INDEX(SRC_ZPMW03!$A$1:$ZZ$501,$A51,BI$3)))</f>
        <v/>
      </c>
      <c r="BJ51" t="str">
        <f>IF($B51="","",IF(BJ$3=0,"n.b.",INDEX(SRC_ZPMW03!$A$1:$ZZ$501,$A51,BJ$3)))</f>
        <v/>
      </c>
      <c r="BK51" s="124" t="str">
        <f>IF($B51="","",IFERROR(-O51,"n.b."))</f>
        <v/>
      </c>
      <c r="BL51" s="124" t="str">
        <f>IF($B51="","",IFERROR(-Q51,"n.b."))</f>
        <v/>
      </c>
      <c r="BM51" s="124" t="str">
        <f>IF($B51="","",IFERROR(-AB51,"n.b."))</f>
        <v/>
      </c>
      <c r="BN51" s="124" t="str">
        <f>IF($B51="","",IFERROR(-AD51,"n.b."))</f>
        <v/>
      </c>
      <c r="BO51" s="124" t="str">
        <f>IF($B51="","",IFERROR(BK51+BM51,"n.b."))</f>
        <v/>
      </c>
      <c r="BP51" s="124" t="str">
        <f>IF($B51="","",IFERROR(BL51+BN51,"n.b."))</f>
        <v/>
      </c>
      <c r="BQ51" s="124" t="str">
        <f>IF($B51="","",IFERROR(-AM51,"n.b."))</f>
        <v/>
      </c>
      <c r="BR51" s="124" t="str">
        <f>IF($B51="","",IFERROR(-AO51,"n.b."))</f>
        <v/>
      </c>
      <c r="BS51" s="124" t="str">
        <f>IF($B51="","",IFERROR(-Z51,"n.b."))</f>
        <v/>
      </c>
      <c r="BT51" s="124" t="str">
        <f>IF($B51="","",IFERROR(-AA51,"n.b."))</f>
        <v/>
      </c>
      <c r="BU51" s="124" t="str">
        <f>IF($B51="","",IFERROR(-AE51,"n.b."))</f>
        <v/>
      </c>
      <c r="BV51" s="124" t="str">
        <f>IF($B51="","",IFERROR(-AF51,"n.b."))</f>
        <v/>
      </c>
      <c r="BW51" s="124" t="str">
        <f>IF($B51="","",IFERROR(-AG51,"n.b."))</f>
        <v/>
      </c>
      <c r="BX51" s="124" t="str">
        <f>IF($B51="","",IFERROR(-AH51,"n.b."))</f>
        <v/>
      </c>
      <c r="BY51" s="124" t="str">
        <f>IF($B51="","",IFERROR(-AI51,"n.b."))</f>
        <v/>
      </c>
      <c r="BZ51" s="124" t="str">
        <f>IF($B51="","",IFERROR(-AJ51,"n.b."))</f>
        <v/>
      </c>
      <c r="CA51" s="124" t="str">
        <f>IF($B51="","",IFERROR(-AK51,"n.b."))</f>
        <v/>
      </c>
      <c r="CB51" s="124" t="str">
        <f>IF($B51="","",IFERROR(-AL51,"n.b."))</f>
        <v/>
      </c>
      <c r="CC51" s="124" t="str">
        <f>IF($B51="","",IFERROR(-AP51,"n.b."))</f>
        <v/>
      </c>
      <c r="CD51" s="124" t="str">
        <f>IF($B51="","",IFERROR(-AQ51,"n.b."))</f>
        <v/>
      </c>
      <c r="CE51" s="124" t="str">
        <f>IF($B51="","",IFERROR(-AR51,"n.b."))</f>
        <v/>
      </c>
      <c r="CF51" s="124" t="str">
        <f>IF($B51="","",IFERROR(-AS51,"n.b."))</f>
        <v/>
      </c>
      <c r="CG51" s="124" t="str">
        <f>IF($B51="","",IFERROR(-AT51,"n.b."))</f>
        <v/>
      </c>
      <c r="CH51" s="124" t="str">
        <f>IF($B51="","",IFERROR(-AU51,"n.b."))</f>
        <v/>
      </c>
      <c r="CI51" s="124" t="str">
        <f>IF($B51="","",IFERROR(-AV51,"n.b."))</f>
        <v/>
      </c>
      <c r="CJ51" s="124" t="str">
        <f>IF($B51="","",IFERROR(-AW51,"n.b."))</f>
        <v/>
      </c>
      <c r="CK51" s="124" t="str">
        <f>IF($B51="","",IFERROR(-AX51,"n.b."))</f>
        <v/>
      </c>
      <c r="CL51" s="124" t="str">
        <f>IF($B51="","",IFERROR(-AY51,"n.b."))</f>
        <v/>
      </c>
      <c r="CM51" s="124" t="str">
        <f>IF($B51="","",IFERROR(-AZ51,"n.b."))</f>
        <v/>
      </c>
      <c r="CN51" s="124" t="str">
        <f>IF($B51="","",IFERROR(-BA51,"n.b."))</f>
        <v/>
      </c>
      <c r="CO51" s="124" t="str">
        <f>IF($B51="","",IFERROR(-BB51,"n.b."))</f>
        <v/>
      </c>
      <c r="CP51" s="124" t="str">
        <f>IF($B51="","",IFERROR(-BC51,"n.b."))</f>
        <v/>
      </c>
      <c r="CQ51" s="124" t="str">
        <f>IF($B51="","",IFERROR(-BD51,"n.b."))</f>
        <v/>
      </c>
      <c r="CR51" s="124" t="str">
        <f>IF($B51="","",IFERROR(-BE51,"n.b."))</f>
        <v/>
      </c>
      <c r="CS51" s="124" t="str">
        <f>IF($B51="","",IFERROR(IF(OR(ABS(T51+V51+X51+Z51-AB51)&gt;P_Tol,ABS(U51+W51+Y51+AA51-AD51)&gt;P_Tol,ABS(AE51+AG51+AI51+AK51-AM51)&gt;P_Tol,ABS(AF51+AH51+AJ51+AL51-AO51)&gt;P_Tol),1,0),1))</f>
        <v/>
      </c>
      <c r="CT51" s="124" t="str">
        <f>IF($B51="","",IFERROR(IF(OR(ABS(AB51+AC51-AD51)&gt;P_Tol,ABS(AM51+AN51-AO51)&gt;P_Tol,ABS(O51+P51-Q51)&gt;P_Tol),1,0),1))</f>
        <v/>
      </c>
      <c r="CU51" s="124" t="str">
        <f>IF($B51="","",IFERROR(IF(ABS(R51-(AB51+AM51+AP51+AR51+AT51+AV51+AX51+AZ51+BB51+BD51))&gt;P_Tol,1,0),1))</f>
        <v/>
      </c>
      <c r="CV51" s="124" t="str">
        <f>IF($B51="","",IFERROR(IF(ABS(M51-(N51+O51+R51))&gt;P_Tol,1,0),1))</f>
        <v/>
      </c>
      <c r="CW51" s="124" t="str">
        <f>IF($B51="","",IF(COUNTIF(Mapping!$A$5:$A$104,B51)&gt;0,1,0))</f>
        <v/>
      </c>
      <c r="CX51" s="124" t="str">
        <f>IF($B51="","",COUNTIF($B$6:$B$505,B51))</f>
        <v/>
      </c>
      <c r="CY51" s="124" t="str">
        <f>IF($B51="","",COUNTIF(STG_Woningetalage!$B$6:$B$505,B51))</f>
        <v/>
      </c>
      <c r="CZ51" s="124" t="str">
        <f>IF($B51="","",IF(CW51=0,COUNTIF($CW$6:CW51,0),""))</f>
        <v/>
      </c>
    </row>
    <row r="52">
      <c r="A52" s="15" t="n">
        <v>48</v>
      </c>
      <c r="B52" t="str">
        <f>IF(B$3=0,"",IF(INDEX(SRC_ZPMW03!$A$1:$ZZ$501,$A52,B$3)&amp;""="","",INDEX(SRC_ZPMW03!$A$1:$ZZ$501,$A52,B$3)&amp;""))</f>
        <v/>
      </c>
      <c r="C52" t="str">
        <f>IF($B52="","",IF(C$3=0,"n.b.",INDEX(SRC_ZPMW03!$A$1:$ZZ$501,$A52,C$3)))</f>
        <v/>
      </c>
      <c r="D52" t="str">
        <f>IF($B52="","",IF(D$3=0,"n.b.",INDEX(SRC_ZPMW03!$A$1:$ZZ$501,$A52,D$3)))</f>
        <v/>
      </c>
      <c r="E52" t="str">
        <f>IF($B52="","",IF(E$3=0,"n.b.",INDEX(SRC_ZPMW03!$A$1:$ZZ$501,$A52,E$3)))</f>
        <v/>
      </c>
      <c r="F52" t="str">
        <f>IF($B52="","",IF(F$3=0,"n.b.",INDEX(SRC_ZPMW03!$A$1:$ZZ$501,$A52,F$3)))</f>
        <v/>
      </c>
      <c r="G52" t="str">
        <f>IF($B52="","",IF(G$3=0,"n.b.",INDEX(SRC_ZPMW03!$A$1:$ZZ$501,$A52,G$3)))</f>
        <v/>
      </c>
      <c r="H52" t="str">
        <f>IF($B52="","",IF(H$3=0,"n.b.",INDEX(SRC_ZPMW03!$A$1:$ZZ$501,$A52,H$3)))</f>
        <v/>
      </c>
      <c r="I52" t="str">
        <f>IF($B52="","",IF(I$3=0,"n.b.",INDEX(SRC_ZPMW03!$A$1:$ZZ$501,$A52,I$3)))</f>
        <v/>
      </c>
      <c r="J52" t="str">
        <f>IF($B52="","",IF(J$3=0,"n.b.",INDEX(SRC_ZPMW03!$A$1:$ZZ$501,$A52,J$3)))</f>
        <v/>
      </c>
      <c r="K52" t="str">
        <f>IF($B52="","",IF(K$3=0,"n.b.",INDEX(SRC_ZPMW03!$A$1:$ZZ$501,$A52,K$3)))</f>
        <v/>
      </c>
      <c r="L52" s="124" t="str">
        <f>IF($B52="","",IF(L$3=0,"n.b.",INDEX(SRC_ZPMW03!$A$1:$ZZ$501,$A52,L$3)))</f>
        <v/>
      </c>
      <c r="M52" s="124" t="str">
        <f>IF($B52="","",IF(M$3=0,"n.b.",INDEX(SRC_ZPMW03!$A$1:$ZZ$501,$A52,M$3)))</f>
        <v/>
      </c>
      <c r="N52" s="124" t="str">
        <f>IF($B52="","",IF(N$3=0,"n.b.",INDEX(SRC_ZPMW03!$A$1:$ZZ$501,$A52,N$3)))</f>
        <v/>
      </c>
      <c r="O52" s="124" t="str">
        <f>IF($B52="","",IF(O$3=0,"n.b.",INDEX(SRC_ZPMW03!$A$1:$ZZ$501,$A52,O$3)))</f>
        <v/>
      </c>
      <c r="P52" s="124" t="str">
        <f>IF($B52="","",IF(P$3=0,"n.b.",INDEX(SRC_ZPMW03!$A$1:$ZZ$501,$A52,P$3)))</f>
        <v/>
      </c>
      <c r="Q52" s="124" t="str">
        <f>IF($B52="","",IF(Q$3=0,"n.b.",INDEX(SRC_ZPMW03!$A$1:$ZZ$501,$A52,Q$3)))</f>
        <v/>
      </c>
      <c r="R52" s="124" t="str">
        <f>IF($B52="","",IF(R$3=0,"n.b.",INDEX(SRC_ZPMW03!$A$1:$ZZ$501,$A52,R$3)))</f>
        <v/>
      </c>
      <c r="S52" s="124" t="str">
        <f>IF($B52="","",IF(S$3=0,"n.b.",INDEX(SRC_ZPMW03!$A$1:$ZZ$501,$A52,S$3)))</f>
        <v/>
      </c>
      <c r="T52" s="124" t="str">
        <f>IF($B52="","",IF(T$3=0,"n.b.",INDEX(SRC_ZPMW03!$A$1:$ZZ$501,$A52,T$3)))</f>
        <v/>
      </c>
      <c r="U52" s="124" t="str">
        <f>IF($B52="","",IF(U$3=0,"n.b.",INDEX(SRC_ZPMW03!$A$1:$ZZ$501,$A52,U$3)))</f>
        <v/>
      </c>
      <c r="V52" s="124" t="str">
        <f>IF($B52="","",IF(V$3=0,"n.b.",INDEX(SRC_ZPMW03!$A$1:$ZZ$501,$A52,V$3)))</f>
        <v/>
      </c>
      <c r="W52" s="124" t="str">
        <f>IF($B52="","",IF(W$3=0,"n.b.",INDEX(SRC_ZPMW03!$A$1:$ZZ$501,$A52,W$3)))</f>
        <v/>
      </c>
      <c r="X52" s="124" t="str">
        <f>IF($B52="","",IF(X$3=0,"n.b.",INDEX(SRC_ZPMW03!$A$1:$ZZ$501,$A52,X$3)))</f>
        <v/>
      </c>
      <c r="Y52" s="124" t="str">
        <f>IF($B52="","",IF(Y$3=0,"n.b.",INDEX(SRC_ZPMW03!$A$1:$ZZ$501,$A52,Y$3)))</f>
        <v/>
      </c>
      <c r="Z52" s="124" t="str">
        <f>IF($B52="","",IF(Z$3=0,"n.b.",INDEX(SRC_ZPMW03!$A$1:$ZZ$501,$A52,Z$3)))</f>
        <v/>
      </c>
      <c r="AA52" s="124" t="str">
        <f>IF($B52="","",IF(AA$3=0,"n.b.",INDEX(SRC_ZPMW03!$A$1:$ZZ$501,$A52,AA$3)))</f>
        <v/>
      </c>
      <c r="AB52" s="124" t="str">
        <f>IF($B52="","",IF(AB$3=0,"n.b.",INDEX(SRC_ZPMW03!$A$1:$ZZ$501,$A52,AB$3)))</f>
        <v/>
      </c>
      <c r="AC52" s="124" t="str">
        <f>IF($B52="","",IF(AC$3=0,"n.b.",INDEX(SRC_ZPMW03!$A$1:$ZZ$501,$A52,AC$3)))</f>
        <v/>
      </c>
      <c r="AD52" s="124" t="str">
        <f>IF($B52="","",IF(AD$3=0,"n.b.",INDEX(SRC_ZPMW03!$A$1:$ZZ$501,$A52,AD$3)))</f>
        <v/>
      </c>
      <c r="AE52" s="124" t="str">
        <f>IF($B52="","",IF(AE$3=0,"n.b.",INDEX(SRC_ZPMW03!$A$1:$ZZ$501,$A52,AE$3)))</f>
        <v/>
      </c>
      <c r="AF52" s="124" t="str">
        <f>IF($B52="","",IF(AF$3=0,"n.b.",INDEX(SRC_ZPMW03!$A$1:$ZZ$501,$A52,AF$3)))</f>
        <v/>
      </c>
      <c r="AG52" s="124" t="str">
        <f>IF($B52="","",IF(AG$3=0,"n.b.",INDEX(SRC_ZPMW03!$A$1:$ZZ$501,$A52,AG$3)))</f>
        <v/>
      </c>
      <c r="AH52" s="124" t="str">
        <f>IF($B52="","",IF(AH$3=0,"n.b.",INDEX(SRC_ZPMW03!$A$1:$ZZ$501,$A52,AH$3)))</f>
        <v/>
      </c>
      <c r="AI52" s="124" t="str">
        <f>IF($B52="","",IF(AI$3=0,"n.b.",INDEX(SRC_ZPMW03!$A$1:$ZZ$501,$A52,AI$3)))</f>
        <v/>
      </c>
      <c r="AJ52" s="124" t="str">
        <f>IF($B52="","",IF(AJ$3=0,"n.b.",INDEX(SRC_ZPMW03!$A$1:$ZZ$501,$A52,AJ$3)))</f>
        <v/>
      </c>
      <c r="AK52" s="124" t="str">
        <f>IF($B52="","",IF(AK$3=0,"n.b.",INDEX(SRC_ZPMW03!$A$1:$ZZ$501,$A52,AK$3)))</f>
        <v/>
      </c>
      <c r="AL52" s="124" t="str">
        <f>IF($B52="","",IF(AL$3=0,"n.b.",INDEX(SRC_ZPMW03!$A$1:$ZZ$501,$A52,AL$3)))</f>
        <v/>
      </c>
      <c r="AM52" s="124" t="str">
        <f>IF($B52="","",IF(AM$3=0,"n.b.",INDEX(SRC_ZPMW03!$A$1:$ZZ$501,$A52,AM$3)))</f>
        <v/>
      </c>
      <c r="AN52" s="124" t="str">
        <f>IF($B52="","",IF(AN$3=0,"n.b.",INDEX(SRC_ZPMW03!$A$1:$ZZ$501,$A52,AN$3)))</f>
        <v/>
      </c>
      <c r="AO52" s="124" t="str">
        <f>IF($B52="","",IF(AO$3=0,"n.b.",INDEX(SRC_ZPMW03!$A$1:$ZZ$501,$A52,AO$3)))</f>
        <v/>
      </c>
      <c r="AP52" s="124" t="str">
        <f>IF($B52="","",IF(AP$3=0,"n.b.",INDEX(SRC_ZPMW03!$A$1:$ZZ$501,$A52,AP$3)))</f>
        <v/>
      </c>
      <c r="AQ52" s="124" t="str">
        <f>IF($B52="","",IF(AQ$3=0,"n.b.",INDEX(SRC_ZPMW03!$A$1:$ZZ$501,$A52,AQ$3)))</f>
        <v/>
      </c>
      <c r="AR52" s="124" t="str">
        <f>IF($B52="","",IF(AR$3=0,"n.b.",INDEX(SRC_ZPMW03!$A$1:$ZZ$501,$A52,AR$3)))</f>
        <v/>
      </c>
      <c r="AS52" s="124" t="str">
        <f>IF($B52="","",IF(AS$3=0,"n.b.",INDEX(SRC_ZPMW03!$A$1:$ZZ$501,$A52,AS$3)))</f>
        <v/>
      </c>
      <c r="AT52" s="124" t="str">
        <f>IF($B52="","",IF(AT$3=0,"n.b.",INDEX(SRC_ZPMW03!$A$1:$ZZ$501,$A52,AT$3)))</f>
        <v/>
      </c>
      <c r="AU52" s="124" t="str">
        <f>IF($B52="","",IF(AU$3=0,"n.b.",INDEX(SRC_ZPMW03!$A$1:$ZZ$501,$A52,AU$3)))</f>
        <v/>
      </c>
      <c r="AV52" s="124" t="str">
        <f>IF($B52="","",IF(AV$3=0,"n.b.",INDEX(SRC_ZPMW03!$A$1:$ZZ$501,$A52,AV$3)))</f>
        <v/>
      </c>
      <c r="AW52" s="124" t="str">
        <f>IF($B52="","",IF(AW$3=0,"n.b.",INDEX(SRC_ZPMW03!$A$1:$ZZ$501,$A52,AW$3)))</f>
        <v/>
      </c>
      <c r="AX52" s="124" t="str">
        <f>IF($B52="","",IF(AX$3=0,"n.b.",INDEX(SRC_ZPMW03!$A$1:$ZZ$501,$A52,AX$3)))</f>
        <v/>
      </c>
      <c r="AY52" s="124" t="str">
        <f>IF($B52="","",IF(AY$3=0,"n.b.",INDEX(SRC_ZPMW03!$A$1:$ZZ$501,$A52,AY$3)))</f>
        <v/>
      </c>
      <c r="AZ52" s="124" t="str">
        <f>IF($B52="","",IF(AZ$3=0,"n.b.",INDEX(SRC_ZPMW03!$A$1:$ZZ$501,$A52,AZ$3)))</f>
        <v/>
      </c>
      <c r="BA52" s="124" t="str">
        <f>IF($B52="","",IF(BA$3=0,"n.b.",INDEX(SRC_ZPMW03!$A$1:$ZZ$501,$A52,BA$3)))</f>
        <v/>
      </c>
      <c r="BB52" s="124" t="str">
        <f>IF($B52="","",IF(BB$3=0,"n.b.",INDEX(SRC_ZPMW03!$A$1:$ZZ$501,$A52,BB$3)))</f>
        <v/>
      </c>
      <c r="BC52" s="124" t="str">
        <f>IF($B52="","",IF(BC$3=0,"n.b.",INDEX(SRC_ZPMW03!$A$1:$ZZ$501,$A52,BC$3)))</f>
        <v/>
      </c>
      <c r="BD52" s="124" t="str">
        <f>IF($B52="","",IF(BD$3=0,"n.b.",INDEX(SRC_ZPMW03!$A$1:$ZZ$501,$A52,BD$3)))</f>
        <v/>
      </c>
      <c r="BE52" s="124" t="str">
        <f>IF($B52="","",IF(BE$3=0,"n.b.",INDEX(SRC_ZPMW03!$A$1:$ZZ$501,$A52,BE$3)))</f>
        <v/>
      </c>
      <c r="BF52" s="124" t="str">
        <f>IF($B52="","",IF(BF$3=0,"n.b.",INDEX(SRC_ZPMW03!$A$1:$ZZ$501,$A52,BF$3)))</f>
        <v/>
      </c>
      <c r="BG52" t="str">
        <f>IF($B52="","",IF(BG$3=0,"n.b.",INDEX(SRC_ZPMW03!$A$1:$ZZ$501,$A52,BG$3)))</f>
        <v/>
      </c>
      <c r="BH52" t="str">
        <f>IF($B52="","",IF(BH$3=0,"n.b.",INDEX(SRC_ZPMW03!$A$1:$ZZ$501,$A52,BH$3)))</f>
        <v/>
      </c>
      <c r="BI52" t="str">
        <f>IF($B52="","",IF(BI$3=0,"n.b.",INDEX(SRC_ZPMW03!$A$1:$ZZ$501,$A52,BI$3)))</f>
        <v/>
      </c>
      <c r="BJ52" t="str">
        <f>IF($B52="","",IF(BJ$3=0,"n.b.",INDEX(SRC_ZPMW03!$A$1:$ZZ$501,$A52,BJ$3)))</f>
        <v/>
      </c>
      <c r="BK52" s="124" t="str">
        <f>IF($B52="","",IFERROR(-O52,"n.b."))</f>
        <v/>
      </c>
      <c r="BL52" s="124" t="str">
        <f>IF($B52="","",IFERROR(-Q52,"n.b."))</f>
        <v/>
      </c>
      <c r="BM52" s="124" t="str">
        <f>IF($B52="","",IFERROR(-AB52,"n.b."))</f>
        <v/>
      </c>
      <c r="BN52" s="124" t="str">
        <f>IF($B52="","",IFERROR(-AD52,"n.b."))</f>
        <v/>
      </c>
      <c r="BO52" s="124" t="str">
        <f>IF($B52="","",IFERROR(BK52+BM52,"n.b."))</f>
        <v/>
      </c>
      <c r="BP52" s="124" t="str">
        <f>IF($B52="","",IFERROR(BL52+BN52,"n.b."))</f>
        <v/>
      </c>
      <c r="BQ52" s="124" t="str">
        <f>IF($B52="","",IFERROR(-AM52,"n.b."))</f>
        <v/>
      </c>
      <c r="BR52" s="124" t="str">
        <f>IF($B52="","",IFERROR(-AO52,"n.b."))</f>
        <v/>
      </c>
      <c r="BS52" s="124" t="str">
        <f>IF($B52="","",IFERROR(-Z52,"n.b."))</f>
        <v/>
      </c>
      <c r="BT52" s="124" t="str">
        <f>IF($B52="","",IFERROR(-AA52,"n.b."))</f>
        <v/>
      </c>
      <c r="BU52" s="124" t="str">
        <f>IF($B52="","",IFERROR(-AE52,"n.b."))</f>
        <v/>
      </c>
      <c r="BV52" s="124" t="str">
        <f>IF($B52="","",IFERROR(-AF52,"n.b."))</f>
        <v/>
      </c>
      <c r="BW52" s="124" t="str">
        <f>IF($B52="","",IFERROR(-AG52,"n.b."))</f>
        <v/>
      </c>
      <c r="BX52" s="124" t="str">
        <f>IF($B52="","",IFERROR(-AH52,"n.b."))</f>
        <v/>
      </c>
      <c r="BY52" s="124" t="str">
        <f>IF($B52="","",IFERROR(-AI52,"n.b."))</f>
        <v/>
      </c>
      <c r="BZ52" s="124" t="str">
        <f>IF($B52="","",IFERROR(-AJ52,"n.b."))</f>
        <v/>
      </c>
      <c r="CA52" s="124" t="str">
        <f>IF($B52="","",IFERROR(-AK52,"n.b."))</f>
        <v/>
      </c>
      <c r="CB52" s="124" t="str">
        <f>IF($B52="","",IFERROR(-AL52,"n.b."))</f>
        <v/>
      </c>
      <c r="CC52" s="124" t="str">
        <f>IF($B52="","",IFERROR(-AP52,"n.b."))</f>
        <v/>
      </c>
      <c r="CD52" s="124" t="str">
        <f>IF($B52="","",IFERROR(-AQ52,"n.b."))</f>
        <v/>
      </c>
      <c r="CE52" s="124" t="str">
        <f>IF($B52="","",IFERROR(-AR52,"n.b."))</f>
        <v/>
      </c>
      <c r="CF52" s="124" t="str">
        <f>IF($B52="","",IFERROR(-AS52,"n.b."))</f>
        <v/>
      </c>
      <c r="CG52" s="124" t="str">
        <f>IF($B52="","",IFERROR(-AT52,"n.b."))</f>
        <v/>
      </c>
      <c r="CH52" s="124" t="str">
        <f>IF($B52="","",IFERROR(-AU52,"n.b."))</f>
        <v/>
      </c>
      <c r="CI52" s="124" t="str">
        <f>IF($B52="","",IFERROR(-AV52,"n.b."))</f>
        <v/>
      </c>
      <c r="CJ52" s="124" t="str">
        <f>IF($B52="","",IFERROR(-AW52,"n.b."))</f>
        <v/>
      </c>
      <c r="CK52" s="124" t="str">
        <f>IF($B52="","",IFERROR(-AX52,"n.b."))</f>
        <v/>
      </c>
      <c r="CL52" s="124" t="str">
        <f>IF($B52="","",IFERROR(-AY52,"n.b."))</f>
        <v/>
      </c>
      <c r="CM52" s="124" t="str">
        <f>IF($B52="","",IFERROR(-AZ52,"n.b."))</f>
        <v/>
      </c>
      <c r="CN52" s="124" t="str">
        <f>IF($B52="","",IFERROR(-BA52,"n.b."))</f>
        <v/>
      </c>
      <c r="CO52" s="124" t="str">
        <f>IF($B52="","",IFERROR(-BB52,"n.b."))</f>
        <v/>
      </c>
      <c r="CP52" s="124" t="str">
        <f>IF($B52="","",IFERROR(-BC52,"n.b."))</f>
        <v/>
      </c>
      <c r="CQ52" s="124" t="str">
        <f>IF($B52="","",IFERROR(-BD52,"n.b."))</f>
        <v/>
      </c>
      <c r="CR52" s="124" t="str">
        <f>IF($B52="","",IFERROR(-BE52,"n.b."))</f>
        <v/>
      </c>
      <c r="CS52" s="124" t="str">
        <f>IF($B52="","",IFERROR(IF(OR(ABS(T52+V52+X52+Z52-AB52)&gt;P_Tol,ABS(U52+W52+Y52+AA52-AD52)&gt;P_Tol,ABS(AE52+AG52+AI52+AK52-AM52)&gt;P_Tol,ABS(AF52+AH52+AJ52+AL52-AO52)&gt;P_Tol),1,0),1))</f>
        <v/>
      </c>
      <c r="CT52" s="124" t="str">
        <f>IF($B52="","",IFERROR(IF(OR(ABS(AB52+AC52-AD52)&gt;P_Tol,ABS(AM52+AN52-AO52)&gt;P_Tol,ABS(O52+P52-Q52)&gt;P_Tol),1,0),1))</f>
        <v/>
      </c>
      <c r="CU52" s="124" t="str">
        <f>IF($B52="","",IFERROR(IF(ABS(R52-(AB52+AM52+AP52+AR52+AT52+AV52+AX52+AZ52+BB52+BD52))&gt;P_Tol,1,0),1))</f>
        <v/>
      </c>
      <c r="CV52" s="124" t="str">
        <f>IF($B52="","",IFERROR(IF(ABS(M52-(N52+O52+R52))&gt;P_Tol,1,0),1))</f>
        <v/>
      </c>
      <c r="CW52" s="124" t="str">
        <f>IF($B52="","",IF(COUNTIF(Mapping!$A$5:$A$104,B52)&gt;0,1,0))</f>
        <v/>
      </c>
      <c r="CX52" s="124" t="str">
        <f>IF($B52="","",COUNTIF($B$6:$B$505,B52))</f>
        <v/>
      </c>
      <c r="CY52" s="124" t="str">
        <f>IF($B52="","",COUNTIF(STG_Woningetalage!$B$6:$B$505,B52))</f>
        <v/>
      </c>
      <c r="CZ52" s="124" t="str">
        <f>IF($B52="","",IF(CW52=0,COUNTIF($CW$6:CW52,0),""))</f>
        <v/>
      </c>
    </row>
    <row r="53">
      <c r="A53" s="15" t="n">
        <v>49</v>
      </c>
      <c r="B53" t="str">
        <f>IF(B$3=0,"",IF(INDEX(SRC_ZPMW03!$A$1:$ZZ$501,$A53,B$3)&amp;""="","",INDEX(SRC_ZPMW03!$A$1:$ZZ$501,$A53,B$3)&amp;""))</f>
        <v/>
      </c>
      <c r="C53" t="str">
        <f>IF($B53="","",IF(C$3=0,"n.b.",INDEX(SRC_ZPMW03!$A$1:$ZZ$501,$A53,C$3)))</f>
        <v/>
      </c>
      <c r="D53" t="str">
        <f>IF($B53="","",IF(D$3=0,"n.b.",INDEX(SRC_ZPMW03!$A$1:$ZZ$501,$A53,D$3)))</f>
        <v/>
      </c>
      <c r="E53" t="str">
        <f>IF($B53="","",IF(E$3=0,"n.b.",INDEX(SRC_ZPMW03!$A$1:$ZZ$501,$A53,E$3)))</f>
        <v/>
      </c>
      <c r="F53" t="str">
        <f>IF($B53="","",IF(F$3=0,"n.b.",INDEX(SRC_ZPMW03!$A$1:$ZZ$501,$A53,F$3)))</f>
        <v/>
      </c>
      <c r="G53" t="str">
        <f>IF($B53="","",IF(G$3=0,"n.b.",INDEX(SRC_ZPMW03!$A$1:$ZZ$501,$A53,G$3)))</f>
        <v/>
      </c>
      <c r="H53" t="str">
        <f>IF($B53="","",IF(H$3=0,"n.b.",INDEX(SRC_ZPMW03!$A$1:$ZZ$501,$A53,H$3)))</f>
        <v/>
      </c>
      <c r="I53" t="str">
        <f>IF($B53="","",IF(I$3=0,"n.b.",INDEX(SRC_ZPMW03!$A$1:$ZZ$501,$A53,I$3)))</f>
        <v/>
      </c>
      <c r="J53" t="str">
        <f>IF($B53="","",IF(J$3=0,"n.b.",INDEX(SRC_ZPMW03!$A$1:$ZZ$501,$A53,J$3)))</f>
        <v/>
      </c>
      <c r="K53" t="str">
        <f>IF($B53="","",IF(K$3=0,"n.b.",INDEX(SRC_ZPMW03!$A$1:$ZZ$501,$A53,K$3)))</f>
        <v/>
      </c>
      <c r="L53" s="124" t="str">
        <f>IF($B53="","",IF(L$3=0,"n.b.",INDEX(SRC_ZPMW03!$A$1:$ZZ$501,$A53,L$3)))</f>
        <v/>
      </c>
      <c r="M53" s="124" t="str">
        <f>IF($B53="","",IF(M$3=0,"n.b.",INDEX(SRC_ZPMW03!$A$1:$ZZ$501,$A53,M$3)))</f>
        <v/>
      </c>
      <c r="N53" s="124" t="str">
        <f>IF($B53="","",IF(N$3=0,"n.b.",INDEX(SRC_ZPMW03!$A$1:$ZZ$501,$A53,N$3)))</f>
        <v/>
      </c>
      <c r="O53" s="124" t="str">
        <f>IF($B53="","",IF(O$3=0,"n.b.",INDEX(SRC_ZPMW03!$A$1:$ZZ$501,$A53,O$3)))</f>
        <v/>
      </c>
      <c r="P53" s="124" t="str">
        <f>IF($B53="","",IF(P$3=0,"n.b.",INDEX(SRC_ZPMW03!$A$1:$ZZ$501,$A53,P$3)))</f>
        <v/>
      </c>
      <c r="Q53" s="124" t="str">
        <f>IF($B53="","",IF(Q$3=0,"n.b.",INDEX(SRC_ZPMW03!$A$1:$ZZ$501,$A53,Q$3)))</f>
        <v/>
      </c>
      <c r="R53" s="124" t="str">
        <f>IF($B53="","",IF(R$3=0,"n.b.",INDEX(SRC_ZPMW03!$A$1:$ZZ$501,$A53,R$3)))</f>
        <v/>
      </c>
      <c r="S53" s="124" t="str">
        <f>IF($B53="","",IF(S$3=0,"n.b.",INDEX(SRC_ZPMW03!$A$1:$ZZ$501,$A53,S$3)))</f>
        <v/>
      </c>
      <c r="T53" s="124" t="str">
        <f>IF($B53="","",IF(T$3=0,"n.b.",INDEX(SRC_ZPMW03!$A$1:$ZZ$501,$A53,T$3)))</f>
        <v/>
      </c>
      <c r="U53" s="124" t="str">
        <f>IF($B53="","",IF(U$3=0,"n.b.",INDEX(SRC_ZPMW03!$A$1:$ZZ$501,$A53,U$3)))</f>
        <v/>
      </c>
      <c r="V53" s="124" t="str">
        <f>IF($B53="","",IF(V$3=0,"n.b.",INDEX(SRC_ZPMW03!$A$1:$ZZ$501,$A53,V$3)))</f>
        <v/>
      </c>
      <c r="W53" s="124" t="str">
        <f>IF($B53="","",IF(W$3=0,"n.b.",INDEX(SRC_ZPMW03!$A$1:$ZZ$501,$A53,W$3)))</f>
        <v/>
      </c>
      <c r="X53" s="124" t="str">
        <f>IF($B53="","",IF(X$3=0,"n.b.",INDEX(SRC_ZPMW03!$A$1:$ZZ$501,$A53,X$3)))</f>
        <v/>
      </c>
      <c r="Y53" s="124" t="str">
        <f>IF($B53="","",IF(Y$3=0,"n.b.",INDEX(SRC_ZPMW03!$A$1:$ZZ$501,$A53,Y$3)))</f>
        <v/>
      </c>
      <c r="Z53" s="124" t="str">
        <f>IF($B53="","",IF(Z$3=0,"n.b.",INDEX(SRC_ZPMW03!$A$1:$ZZ$501,$A53,Z$3)))</f>
        <v/>
      </c>
      <c r="AA53" s="124" t="str">
        <f>IF($B53="","",IF(AA$3=0,"n.b.",INDEX(SRC_ZPMW03!$A$1:$ZZ$501,$A53,AA$3)))</f>
        <v/>
      </c>
      <c r="AB53" s="124" t="str">
        <f>IF($B53="","",IF(AB$3=0,"n.b.",INDEX(SRC_ZPMW03!$A$1:$ZZ$501,$A53,AB$3)))</f>
        <v/>
      </c>
      <c r="AC53" s="124" t="str">
        <f>IF($B53="","",IF(AC$3=0,"n.b.",INDEX(SRC_ZPMW03!$A$1:$ZZ$501,$A53,AC$3)))</f>
        <v/>
      </c>
      <c r="AD53" s="124" t="str">
        <f>IF($B53="","",IF(AD$3=0,"n.b.",INDEX(SRC_ZPMW03!$A$1:$ZZ$501,$A53,AD$3)))</f>
        <v/>
      </c>
      <c r="AE53" s="124" t="str">
        <f>IF($B53="","",IF(AE$3=0,"n.b.",INDEX(SRC_ZPMW03!$A$1:$ZZ$501,$A53,AE$3)))</f>
        <v/>
      </c>
      <c r="AF53" s="124" t="str">
        <f>IF($B53="","",IF(AF$3=0,"n.b.",INDEX(SRC_ZPMW03!$A$1:$ZZ$501,$A53,AF$3)))</f>
        <v/>
      </c>
      <c r="AG53" s="124" t="str">
        <f>IF($B53="","",IF(AG$3=0,"n.b.",INDEX(SRC_ZPMW03!$A$1:$ZZ$501,$A53,AG$3)))</f>
        <v/>
      </c>
      <c r="AH53" s="124" t="str">
        <f>IF($B53="","",IF(AH$3=0,"n.b.",INDEX(SRC_ZPMW03!$A$1:$ZZ$501,$A53,AH$3)))</f>
        <v/>
      </c>
      <c r="AI53" s="124" t="str">
        <f>IF($B53="","",IF(AI$3=0,"n.b.",INDEX(SRC_ZPMW03!$A$1:$ZZ$501,$A53,AI$3)))</f>
        <v/>
      </c>
      <c r="AJ53" s="124" t="str">
        <f>IF($B53="","",IF(AJ$3=0,"n.b.",INDEX(SRC_ZPMW03!$A$1:$ZZ$501,$A53,AJ$3)))</f>
        <v/>
      </c>
      <c r="AK53" s="124" t="str">
        <f>IF($B53="","",IF(AK$3=0,"n.b.",INDEX(SRC_ZPMW03!$A$1:$ZZ$501,$A53,AK$3)))</f>
        <v/>
      </c>
      <c r="AL53" s="124" t="str">
        <f>IF($B53="","",IF(AL$3=0,"n.b.",INDEX(SRC_ZPMW03!$A$1:$ZZ$501,$A53,AL$3)))</f>
        <v/>
      </c>
      <c r="AM53" s="124" t="str">
        <f>IF($B53="","",IF(AM$3=0,"n.b.",INDEX(SRC_ZPMW03!$A$1:$ZZ$501,$A53,AM$3)))</f>
        <v/>
      </c>
      <c r="AN53" s="124" t="str">
        <f>IF($B53="","",IF(AN$3=0,"n.b.",INDEX(SRC_ZPMW03!$A$1:$ZZ$501,$A53,AN$3)))</f>
        <v/>
      </c>
      <c r="AO53" s="124" t="str">
        <f>IF($B53="","",IF(AO$3=0,"n.b.",INDEX(SRC_ZPMW03!$A$1:$ZZ$501,$A53,AO$3)))</f>
        <v/>
      </c>
      <c r="AP53" s="124" t="str">
        <f>IF($B53="","",IF(AP$3=0,"n.b.",INDEX(SRC_ZPMW03!$A$1:$ZZ$501,$A53,AP$3)))</f>
        <v/>
      </c>
      <c r="AQ53" s="124" t="str">
        <f>IF($B53="","",IF(AQ$3=0,"n.b.",INDEX(SRC_ZPMW03!$A$1:$ZZ$501,$A53,AQ$3)))</f>
        <v/>
      </c>
      <c r="AR53" s="124" t="str">
        <f>IF($B53="","",IF(AR$3=0,"n.b.",INDEX(SRC_ZPMW03!$A$1:$ZZ$501,$A53,AR$3)))</f>
        <v/>
      </c>
      <c r="AS53" s="124" t="str">
        <f>IF($B53="","",IF(AS$3=0,"n.b.",INDEX(SRC_ZPMW03!$A$1:$ZZ$501,$A53,AS$3)))</f>
        <v/>
      </c>
      <c r="AT53" s="124" t="str">
        <f>IF($B53="","",IF(AT$3=0,"n.b.",INDEX(SRC_ZPMW03!$A$1:$ZZ$501,$A53,AT$3)))</f>
        <v/>
      </c>
      <c r="AU53" s="124" t="str">
        <f>IF($B53="","",IF(AU$3=0,"n.b.",INDEX(SRC_ZPMW03!$A$1:$ZZ$501,$A53,AU$3)))</f>
        <v/>
      </c>
      <c r="AV53" s="124" t="str">
        <f>IF($B53="","",IF(AV$3=0,"n.b.",INDEX(SRC_ZPMW03!$A$1:$ZZ$501,$A53,AV$3)))</f>
        <v/>
      </c>
      <c r="AW53" s="124" t="str">
        <f>IF($B53="","",IF(AW$3=0,"n.b.",INDEX(SRC_ZPMW03!$A$1:$ZZ$501,$A53,AW$3)))</f>
        <v/>
      </c>
      <c r="AX53" s="124" t="str">
        <f>IF($B53="","",IF(AX$3=0,"n.b.",INDEX(SRC_ZPMW03!$A$1:$ZZ$501,$A53,AX$3)))</f>
        <v/>
      </c>
      <c r="AY53" s="124" t="str">
        <f>IF($B53="","",IF(AY$3=0,"n.b.",INDEX(SRC_ZPMW03!$A$1:$ZZ$501,$A53,AY$3)))</f>
        <v/>
      </c>
      <c r="AZ53" s="124" t="str">
        <f>IF($B53="","",IF(AZ$3=0,"n.b.",INDEX(SRC_ZPMW03!$A$1:$ZZ$501,$A53,AZ$3)))</f>
        <v/>
      </c>
      <c r="BA53" s="124" t="str">
        <f>IF($B53="","",IF(BA$3=0,"n.b.",INDEX(SRC_ZPMW03!$A$1:$ZZ$501,$A53,BA$3)))</f>
        <v/>
      </c>
      <c r="BB53" s="124" t="str">
        <f>IF($B53="","",IF(BB$3=0,"n.b.",INDEX(SRC_ZPMW03!$A$1:$ZZ$501,$A53,BB$3)))</f>
        <v/>
      </c>
      <c r="BC53" s="124" t="str">
        <f>IF($B53="","",IF(BC$3=0,"n.b.",INDEX(SRC_ZPMW03!$A$1:$ZZ$501,$A53,BC$3)))</f>
        <v/>
      </c>
      <c r="BD53" s="124" t="str">
        <f>IF($B53="","",IF(BD$3=0,"n.b.",INDEX(SRC_ZPMW03!$A$1:$ZZ$501,$A53,BD$3)))</f>
        <v/>
      </c>
      <c r="BE53" s="124" t="str">
        <f>IF($B53="","",IF(BE$3=0,"n.b.",INDEX(SRC_ZPMW03!$A$1:$ZZ$501,$A53,BE$3)))</f>
        <v/>
      </c>
      <c r="BF53" s="124" t="str">
        <f>IF($B53="","",IF(BF$3=0,"n.b.",INDEX(SRC_ZPMW03!$A$1:$ZZ$501,$A53,BF$3)))</f>
        <v/>
      </c>
      <c r="BG53" t="str">
        <f>IF($B53="","",IF(BG$3=0,"n.b.",INDEX(SRC_ZPMW03!$A$1:$ZZ$501,$A53,BG$3)))</f>
        <v/>
      </c>
      <c r="BH53" t="str">
        <f>IF($B53="","",IF(BH$3=0,"n.b.",INDEX(SRC_ZPMW03!$A$1:$ZZ$501,$A53,BH$3)))</f>
        <v/>
      </c>
      <c r="BI53" t="str">
        <f>IF($B53="","",IF(BI$3=0,"n.b.",INDEX(SRC_ZPMW03!$A$1:$ZZ$501,$A53,BI$3)))</f>
        <v/>
      </c>
      <c r="BJ53" t="str">
        <f>IF($B53="","",IF(BJ$3=0,"n.b.",INDEX(SRC_ZPMW03!$A$1:$ZZ$501,$A53,BJ$3)))</f>
        <v/>
      </c>
      <c r="BK53" s="124" t="str">
        <f>IF($B53="","",IFERROR(-O53,"n.b."))</f>
        <v/>
      </c>
      <c r="BL53" s="124" t="str">
        <f>IF($B53="","",IFERROR(-Q53,"n.b."))</f>
        <v/>
      </c>
      <c r="BM53" s="124" t="str">
        <f>IF($B53="","",IFERROR(-AB53,"n.b."))</f>
        <v/>
      </c>
      <c r="BN53" s="124" t="str">
        <f>IF($B53="","",IFERROR(-AD53,"n.b."))</f>
        <v/>
      </c>
      <c r="BO53" s="124" t="str">
        <f>IF($B53="","",IFERROR(BK53+BM53,"n.b."))</f>
        <v/>
      </c>
      <c r="BP53" s="124" t="str">
        <f>IF($B53="","",IFERROR(BL53+BN53,"n.b."))</f>
        <v/>
      </c>
      <c r="BQ53" s="124" t="str">
        <f>IF($B53="","",IFERROR(-AM53,"n.b."))</f>
        <v/>
      </c>
      <c r="BR53" s="124" t="str">
        <f>IF($B53="","",IFERROR(-AO53,"n.b."))</f>
        <v/>
      </c>
      <c r="BS53" s="124" t="str">
        <f>IF($B53="","",IFERROR(-Z53,"n.b."))</f>
        <v/>
      </c>
      <c r="BT53" s="124" t="str">
        <f>IF($B53="","",IFERROR(-AA53,"n.b."))</f>
        <v/>
      </c>
      <c r="BU53" s="124" t="str">
        <f>IF($B53="","",IFERROR(-AE53,"n.b."))</f>
        <v/>
      </c>
      <c r="BV53" s="124" t="str">
        <f>IF($B53="","",IFERROR(-AF53,"n.b."))</f>
        <v/>
      </c>
      <c r="BW53" s="124" t="str">
        <f>IF($B53="","",IFERROR(-AG53,"n.b."))</f>
        <v/>
      </c>
      <c r="BX53" s="124" t="str">
        <f>IF($B53="","",IFERROR(-AH53,"n.b."))</f>
        <v/>
      </c>
      <c r="BY53" s="124" t="str">
        <f>IF($B53="","",IFERROR(-AI53,"n.b."))</f>
        <v/>
      </c>
      <c r="BZ53" s="124" t="str">
        <f>IF($B53="","",IFERROR(-AJ53,"n.b."))</f>
        <v/>
      </c>
      <c r="CA53" s="124" t="str">
        <f>IF($B53="","",IFERROR(-AK53,"n.b."))</f>
        <v/>
      </c>
      <c r="CB53" s="124" t="str">
        <f>IF($B53="","",IFERROR(-AL53,"n.b."))</f>
        <v/>
      </c>
      <c r="CC53" s="124" t="str">
        <f>IF($B53="","",IFERROR(-AP53,"n.b."))</f>
        <v/>
      </c>
      <c r="CD53" s="124" t="str">
        <f>IF($B53="","",IFERROR(-AQ53,"n.b."))</f>
        <v/>
      </c>
      <c r="CE53" s="124" t="str">
        <f>IF($B53="","",IFERROR(-AR53,"n.b."))</f>
        <v/>
      </c>
      <c r="CF53" s="124" t="str">
        <f>IF($B53="","",IFERROR(-AS53,"n.b."))</f>
        <v/>
      </c>
      <c r="CG53" s="124" t="str">
        <f>IF($B53="","",IFERROR(-AT53,"n.b."))</f>
        <v/>
      </c>
      <c r="CH53" s="124" t="str">
        <f>IF($B53="","",IFERROR(-AU53,"n.b."))</f>
        <v/>
      </c>
      <c r="CI53" s="124" t="str">
        <f>IF($B53="","",IFERROR(-AV53,"n.b."))</f>
        <v/>
      </c>
      <c r="CJ53" s="124" t="str">
        <f>IF($B53="","",IFERROR(-AW53,"n.b."))</f>
        <v/>
      </c>
      <c r="CK53" s="124" t="str">
        <f>IF($B53="","",IFERROR(-AX53,"n.b."))</f>
        <v/>
      </c>
      <c r="CL53" s="124" t="str">
        <f>IF($B53="","",IFERROR(-AY53,"n.b."))</f>
        <v/>
      </c>
      <c r="CM53" s="124" t="str">
        <f>IF($B53="","",IFERROR(-AZ53,"n.b."))</f>
        <v/>
      </c>
      <c r="CN53" s="124" t="str">
        <f>IF($B53="","",IFERROR(-BA53,"n.b."))</f>
        <v/>
      </c>
      <c r="CO53" s="124" t="str">
        <f>IF($B53="","",IFERROR(-BB53,"n.b."))</f>
        <v/>
      </c>
      <c r="CP53" s="124" t="str">
        <f>IF($B53="","",IFERROR(-BC53,"n.b."))</f>
        <v/>
      </c>
      <c r="CQ53" s="124" t="str">
        <f>IF($B53="","",IFERROR(-BD53,"n.b."))</f>
        <v/>
      </c>
      <c r="CR53" s="124" t="str">
        <f>IF($B53="","",IFERROR(-BE53,"n.b."))</f>
        <v/>
      </c>
      <c r="CS53" s="124" t="str">
        <f>IF($B53="","",IFERROR(IF(OR(ABS(T53+V53+X53+Z53-AB53)&gt;P_Tol,ABS(U53+W53+Y53+AA53-AD53)&gt;P_Tol,ABS(AE53+AG53+AI53+AK53-AM53)&gt;P_Tol,ABS(AF53+AH53+AJ53+AL53-AO53)&gt;P_Tol),1,0),1))</f>
        <v/>
      </c>
      <c r="CT53" s="124" t="str">
        <f>IF($B53="","",IFERROR(IF(OR(ABS(AB53+AC53-AD53)&gt;P_Tol,ABS(AM53+AN53-AO53)&gt;P_Tol,ABS(O53+P53-Q53)&gt;P_Tol),1,0),1))</f>
        <v/>
      </c>
      <c r="CU53" s="124" t="str">
        <f>IF($B53="","",IFERROR(IF(ABS(R53-(AB53+AM53+AP53+AR53+AT53+AV53+AX53+AZ53+BB53+BD53))&gt;P_Tol,1,0),1))</f>
        <v/>
      </c>
      <c r="CV53" s="124" t="str">
        <f>IF($B53="","",IFERROR(IF(ABS(M53-(N53+O53+R53))&gt;P_Tol,1,0),1))</f>
        <v/>
      </c>
      <c r="CW53" s="124" t="str">
        <f>IF($B53="","",IF(COUNTIF(Mapping!$A$5:$A$104,B53)&gt;0,1,0))</f>
        <v/>
      </c>
      <c r="CX53" s="124" t="str">
        <f>IF($B53="","",COUNTIF($B$6:$B$505,B53))</f>
        <v/>
      </c>
      <c r="CY53" s="124" t="str">
        <f>IF($B53="","",COUNTIF(STG_Woningetalage!$B$6:$B$505,B53))</f>
        <v/>
      </c>
      <c r="CZ53" s="124" t="str">
        <f>IF($B53="","",IF(CW53=0,COUNTIF($CW$6:CW53,0),""))</f>
        <v/>
      </c>
    </row>
    <row r="54">
      <c r="A54" s="15" t="n">
        <v>50</v>
      </c>
      <c r="B54" t="str">
        <f>IF(B$3=0,"",IF(INDEX(SRC_ZPMW03!$A$1:$ZZ$501,$A54,B$3)&amp;""="","",INDEX(SRC_ZPMW03!$A$1:$ZZ$501,$A54,B$3)&amp;""))</f>
        <v/>
      </c>
      <c r="C54" t="str">
        <f>IF($B54="","",IF(C$3=0,"n.b.",INDEX(SRC_ZPMW03!$A$1:$ZZ$501,$A54,C$3)))</f>
        <v/>
      </c>
      <c r="D54" t="str">
        <f>IF($B54="","",IF(D$3=0,"n.b.",INDEX(SRC_ZPMW03!$A$1:$ZZ$501,$A54,D$3)))</f>
        <v/>
      </c>
      <c r="E54" t="str">
        <f>IF($B54="","",IF(E$3=0,"n.b.",INDEX(SRC_ZPMW03!$A$1:$ZZ$501,$A54,E$3)))</f>
        <v/>
      </c>
      <c r="F54" t="str">
        <f>IF($B54="","",IF(F$3=0,"n.b.",INDEX(SRC_ZPMW03!$A$1:$ZZ$501,$A54,F$3)))</f>
        <v/>
      </c>
      <c r="G54" t="str">
        <f>IF($B54="","",IF(G$3=0,"n.b.",INDEX(SRC_ZPMW03!$A$1:$ZZ$501,$A54,G$3)))</f>
        <v/>
      </c>
      <c r="H54" t="str">
        <f>IF($B54="","",IF(H$3=0,"n.b.",INDEX(SRC_ZPMW03!$A$1:$ZZ$501,$A54,H$3)))</f>
        <v/>
      </c>
      <c r="I54" t="str">
        <f>IF($B54="","",IF(I$3=0,"n.b.",INDEX(SRC_ZPMW03!$A$1:$ZZ$501,$A54,I$3)))</f>
        <v/>
      </c>
      <c r="J54" t="str">
        <f>IF($B54="","",IF(J$3=0,"n.b.",INDEX(SRC_ZPMW03!$A$1:$ZZ$501,$A54,J$3)))</f>
        <v/>
      </c>
      <c r="K54" t="str">
        <f>IF($B54="","",IF(K$3=0,"n.b.",INDEX(SRC_ZPMW03!$A$1:$ZZ$501,$A54,K$3)))</f>
        <v/>
      </c>
      <c r="L54" s="124" t="str">
        <f>IF($B54="","",IF(L$3=0,"n.b.",INDEX(SRC_ZPMW03!$A$1:$ZZ$501,$A54,L$3)))</f>
        <v/>
      </c>
      <c r="M54" s="124" t="str">
        <f>IF($B54="","",IF(M$3=0,"n.b.",INDEX(SRC_ZPMW03!$A$1:$ZZ$501,$A54,M$3)))</f>
        <v/>
      </c>
      <c r="N54" s="124" t="str">
        <f>IF($B54="","",IF(N$3=0,"n.b.",INDEX(SRC_ZPMW03!$A$1:$ZZ$501,$A54,N$3)))</f>
        <v/>
      </c>
      <c r="O54" s="124" t="str">
        <f>IF($B54="","",IF(O$3=0,"n.b.",INDEX(SRC_ZPMW03!$A$1:$ZZ$501,$A54,O$3)))</f>
        <v/>
      </c>
      <c r="P54" s="124" t="str">
        <f>IF($B54="","",IF(P$3=0,"n.b.",INDEX(SRC_ZPMW03!$A$1:$ZZ$501,$A54,P$3)))</f>
        <v/>
      </c>
      <c r="Q54" s="124" t="str">
        <f>IF($B54="","",IF(Q$3=0,"n.b.",INDEX(SRC_ZPMW03!$A$1:$ZZ$501,$A54,Q$3)))</f>
        <v/>
      </c>
      <c r="R54" s="124" t="str">
        <f>IF($B54="","",IF(R$3=0,"n.b.",INDEX(SRC_ZPMW03!$A$1:$ZZ$501,$A54,R$3)))</f>
        <v/>
      </c>
      <c r="S54" s="124" t="str">
        <f>IF($B54="","",IF(S$3=0,"n.b.",INDEX(SRC_ZPMW03!$A$1:$ZZ$501,$A54,S$3)))</f>
        <v/>
      </c>
      <c r="T54" s="124" t="str">
        <f>IF($B54="","",IF(T$3=0,"n.b.",INDEX(SRC_ZPMW03!$A$1:$ZZ$501,$A54,T$3)))</f>
        <v/>
      </c>
      <c r="U54" s="124" t="str">
        <f>IF($B54="","",IF(U$3=0,"n.b.",INDEX(SRC_ZPMW03!$A$1:$ZZ$501,$A54,U$3)))</f>
        <v/>
      </c>
      <c r="V54" s="124" t="str">
        <f>IF($B54="","",IF(V$3=0,"n.b.",INDEX(SRC_ZPMW03!$A$1:$ZZ$501,$A54,V$3)))</f>
        <v/>
      </c>
      <c r="W54" s="124" t="str">
        <f>IF($B54="","",IF(W$3=0,"n.b.",INDEX(SRC_ZPMW03!$A$1:$ZZ$501,$A54,W$3)))</f>
        <v/>
      </c>
      <c r="X54" s="124" t="str">
        <f>IF($B54="","",IF(X$3=0,"n.b.",INDEX(SRC_ZPMW03!$A$1:$ZZ$501,$A54,X$3)))</f>
        <v/>
      </c>
      <c r="Y54" s="124" t="str">
        <f>IF($B54="","",IF(Y$3=0,"n.b.",INDEX(SRC_ZPMW03!$A$1:$ZZ$501,$A54,Y$3)))</f>
        <v/>
      </c>
      <c r="Z54" s="124" t="str">
        <f>IF($B54="","",IF(Z$3=0,"n.b.",INDEX(SRC_ZPMW03!$A$1:$ZZ$501,$A54,Z$3)))</f>
        <v/>
      </c>
      <c r="AA54" s="124" t="str">
        <f>IF($B54="","",IF(AA$3=0,"n.b.",INDEX(SRC_ZPMW03!$A$1:$ZZ$501,$A54,AA$3)))</f>
        <v/>
      </c>
      <c r="AB54" s="124" t="str">
        <f>IF($B54="","",IF(AB$3=0,"n.b.",INDEX(SRC_ZPMW03!$A$1:$ZZ$501,$A54,AB$3)))</f>
        <v/>
      </c>
      <c r="AC54" s="124" t="str">
        <f>IF($B54="","",IF(AC$3=0,"n.b.",INDEX(SRC_ZPMW03!$A$1:$ZZ$501,$A54,AC$3)))</f>
        <v/>
      </c>
      <c r="AD54" s="124" t="str">
        <f>IF($B54="","",IF(AD$3=0,"n.b.",INDEX(SRC_ZPMW03!$A$1:$ZZ$501,$A54,AD$3)))</f>
        <v/>
      </c>
      <c r="AE54" s="124" t="str">
        <f>IF($B54="","",IF(AE$3=0,"n.b.",INDEX(SRC_ZPMW03!$A$1:$ZZ$501,$A54,AE$3)))</f>
        <v/>
      </c>
      <c r="AF54" s="124" t="str">
        <f>IF($B54="","",IF(AF$3=0,"n.b.",INDEX(SRC_ZPMW03!$A$1:$ZZ$501,$A54,AF$3)))</f>
        <v/>
      </c>
      <c r="AG54" s="124" t="str">
        <f>IF($B54="","",IF(AG$3=0,"n.b.",INDEX(SRC_ZPMW03!$A$1:$ZZ$501,$A54,AG$3)))</f>
        <v/>
      </c>
      <c r="AH54" s="124" t="str">
        <f>IF($B54="","",IF(AH$3=0,"n.b.",INDEX(SRC_ZPMW03!$A$1:$ZZ$501,$A54,AH$3)))</f>
        <v/>
      </c>
      <c r="AI54" s="124" t="str">
        <f>IF($B54="","",IF(AI$3=0,"n.b.",INDEX(SRC_ZPMW03!$A$1:$ZZ$501,$A54,AI$3)))</f>
        <v/>
      </c>
      <c r="AJ54" s="124" t="str">
        <f>IF($B54="","",IF(AJ$3=0,"n.b.",INDEX(SRC_ZPMW03!$A$1:$ZZ$501,$A54,AJ$3)))</f>
        <v/>
      </c>
      <c r="AK54" s="124" t="str">
        <f>IF($B54="","",IF(AK$3=0,"n.b.",INDEX(SRC_ZPMW03!$A$1:$ZZ$501,$A54,AK$3)))</f>
        <v/>
      </c>
      <c r="AL54" s="124" t="str">
        <f>IF($B54="","",IF(AL$3=0,"n.b.",INDEX(SRC_ZPMW03!$A$1:$ZZ$501,$A54,AL$3)))</f>
        <v/>
      </c>
      <c r="AM54" s="124" t="str">
        <f>IF($B54="","",IF(AM$3=0,"n.b.",INDEX(SRC_ZPMW03!$A$1:$ZZ$501,$A54,AM$3)))</f>
        <v/>
      </c>
      <c r="AN54" s="124" t="str">
        <f>IF($B54="","",IF(AN$3=0,"n.b.",INDEX(SRC_ZPMW03!$A$1:$ZZ$501,$A54,AN$3)))</f>
        <v/>
      </c>
      <c r="AO54" s="124" t="str">
        <f>IF($B54="","",IF(AO$3=0,"n.b.",INDEX(SRC_ZPMW03!$A$1:$ZZ$501,$A54,AO$3)))</f>
        <v/>
      </c>
      <c r="AP54" s="124" t="str">
        <f>IF($B54="","",IF(AP$3=0,"n.b.",INDEX(SRC_ZPMW03!$A$1:$ZZ$501,$A54,AP$3)))</f>
        <v/>
      </c>
      <c r="AQ54" s="124" t="str">
        <f>IF($B54="","",IF(AQ$3=0,"n.b.",INDEX(SRC_ZPMW03!$A$1:$ZZ$501,$A54,AQ$3)))</f>
        <v/>
      </c>
      <c r="AR54" s="124" t="str">
        <f>IF($B54="","",IF(AR$3=0,"n.b.",INDEX(SRC_ZPMW03!$A$1:$ZZ$501,$A54,AR$3)))</f>
        <v/>
      </c>
      <c r="AS54" s="124" t="str">
        <f>IF($B54="","",IF(AS$3=0,"n.b.",INDEX(SRC_ZPMW03!$A$1:$ZZ$501,$A54,AS$3)))</f>
        <v/>
      </c>
      <c r="AT54" s="124" t="str">
        <f>IF($B54="","",IF(AT$3=0,"n.b.",INDEX(SRC_ZPMW03!$A$1:$ZZ$501,$A54,AT$3)))</f>
        <v/>
      </c>
      <c r="AU54" s="124" t="str">
        <f>IF($B54="","",IF(AU$3=0,"n.b.",INDEX(SRC_ZPMW03!$A$1:$ZZ$501,$A54,AU$3)))</f>
        <v/>
      </c>
      <c r="AV54" s="124" t="str">
        <f>IF($B54="","",IF(AV$3=0,"n.b.",INDEX(SRC_ZPMW03!$A$1:$ZZ$501,$A54,AV$3)))</f>
        <v/>
      </c>
      <c r="AW54" s="124" t="str">
        <f>IF($B54="","",IF(AW$3=0,"n.b.",INDEX(SRC_ZPMW03!$A$1:$ZZ$501,$A54,AW$3)))</f>
        <v/>
      </c>
      <c r="AX54" s="124" t="str">
        <f>IF($B54="","",IF(AX$3=0,"n.b.",INDEX(SRC_ZPMW03!$A$1:$ZZ$501,$A54,AX$3)))</f>
        <v/>
      </c>
      <c r="AY54" s="124" t="str">
        <f>IF($B54="","",IF(AY$3=0,"n.b.",INDEX(SRC_ZPMW03!$A$1:$ZZ$501,$A54,AY$3)))</f>
        <v/>
      </c>
      <c r="AZ54" s="124" t="str">
        <f>IF($B54="","",IF(AZ$3=0,"n.b.",INDEX(SRC_ZPMW03!$A$1:$ZZ$501,$A54,AZ$3)))</f>
        <v/>
      </c>
      <c r="BA54" s="124" t="str">
        <f>IF($B54="","",IF(BA$3=0,"n.b.",INDEX(SRC_ZPMW03!$A$1:$ZZ$501,$A54,BA$3)))</f>
        <v/>
      </c>
      <c r="BB54" s="124" t="str">
        <f>IF($B54="","",IF(BB$3=0,"n.b.",INDEX(SRC_ZPMW03!$A$1:$ZZ$501,$A54,BB$3)))</f>
        <v/>
      </c>
      <c r="BC54" s="124" t="str">
        <f>IF($B54="","",IF(BC$3=0,"n.b.",INDEX(SRC_ZPMW03!$A$1:$ZZ$501,$A54,BC$3)))</f>
        <v/>
      </c>
      <c r="BD54" s="124" t="str">
        <f>IF($B54="","",IF(BD$3=0,"n.b.",INDEX(SRC_ZPMW03!$A$1:$ZZ$501,$A54,BD$3)))</f>
        <v/>
      </c>
      <c r="BE54" s="124" t="str">
        <f>IF($B54="","",IF(BE$3=0,"n.b.",INDEX(SRC_ZPMW03!$A$1:$ZZ$501,$A54,BE$3)))</f>
        <v/>
      </c>
      <c r="BF54" s="124" t="str">
        <f>IF($B54="","",IF(BF$3=0,"n.b.",INDEX(SRC_ZPMW03!$A$1:$ZZ$501,$A54,BF$3)))</f>
        <v/>
      </c>
      <c r="BG54" t="str">
        <f>IF($B54="","",IF(BG$3=0,"n.b.",INDEX(SRC_ZPMW03!$A$1:$ZZ$501,$A54,BG$3)))</f>
        <v/>
      </c>
      <c r="BH54" t="str">
        <f>IF($B54="","",IF(BH$3=0,"n.b.",INDEX(SRC_ZPMW03!$A$1:$ZZ$501,$A54,BH$3)))</f>
        <v/>
      </c>
      <c r="BI54" t="str">
        <f>IF($B54="","",IF(BI$3=0,"n.b.",INDEX(SRC_ZPMW03!$A$1:$ZZ$501,$A54,BI$3)))</f>
        <v/>
      </c>
      <c r="BJ54" t="str">
        <f>IF($B54="","",IF(BJ$3=0,"n.b.",INDEX(SRC_ZPMW03!$A$1:$ZZ$501,$A54,BJ$3)))</f>
        <v/>
      </c>
      <c r="BK54" s="124" t="str">
        <f>IF($B54="","",IFERROR(-O54,"n.b."))</f>
        <v/>
      </c>
      <c r="BL54" s="124" t="str">
        <f>IF($B54="","",IFERROR(-Q54,"n.b."))</f>
        <v/>
      </c>
      <c r="BM54" s="124" t="str">
        <f>IF($B54="","",IFERROR(-AB54,"n.b."))</f>
        <v/>
      </c>
      <c r="BN54" s="124" t="str">
        <f>IF($B54="","",IFERROR(-AD54,"n.b."))</f>
        <v/>
      </c>
      <c r="BO54" s="124" t="str">
        <f>IF($B54="","",IFERROR(BK54+BM54,"n.b."))</f>
        <v/>
      </c>
      <c r="BP54" s="124" t="str">
        <f>IF($B54="","",IFERROR(BL54+BN54,"n.b."))</f>
        <v/>
      </c>
      <c r="BQ54" s="124" t="str">
        <f>IF($B54="","",IFERROR(-AM54,"n.b."))</f>
        <v/>
      </c>
      <c r="BR54" s="124" t="str">
        <f>IF($B54="","",IFERROR(-AO54,"n.b."))</f>
        <v/>
      </c>
      <c r="BS54" s="124" t="str">
        <f>IF($B54="","",IFERROR(-Z54,"n.b."))</f>
        <v/>
      </c>
      <c r="BT54" s="124" t="str">
        <f>IF($B54="","",IFERROR(-AA54,"n.b."))</f>
        <v/>
      </c>
      <c r="BU54" s="124" t="str">
        <f>IF($B54="","",IFERROR(-AE54,"n.b."))</f>
        <v/>
      </c>
      <c r="BV54" s="124" t="str">
        <f>IF($B54="","",IFERROR(-AF54,"n.b."))</f>
        <v/>
      </c>
      <c r="BW54" s="124" t="str">
        <f>IF($B54="","",IFERROR(-AG54,"n.b."))</f>
        <v/>
      </c>
      <c r="BX54" s="124" t="str">
        <f>IF($B54="","",IFERROR(-AH54,"n.b."))</f>
        <v/>
      </c>
      <c r="BY54" s="124" t="str">
        <f>IF($B54="","",IFERROR(-AI54,"n.b."))</f>
        <v/>
      </c>
      <c r="BZ54" s="124" t="str">
        <f>IF($B54="","",IFERROR(-AJ54,"n.b."))</f>
        <v/>
      </c>
      <c r="CA54" s="124" t="str">
        <f>IF($B54="","",IFERROR(-AK54,"n.b."))</f>
        <v/>
      </c>
      <c r="CB54" s="124" t="str">
        <f>IF($B54="","",IFERROR(-AL54,"n.b."))</f>
        <v/>
      </c>
      <c r="CC54" s="124" t="str">
        <f>IF($B54="","",IFERROR(-AP54,"n.b."))</f>
        <v/>
      </c>
      <c r="CD54" s="124" t="str">
        <f>IF($B54="","",IFERROR(-AQ54,"n.b."))</f>
        <v/>
      </c>
      <c r="CE54" s="124" t="str">
        <f>IF($B54="","",IFERROR(-AR54,"n.b."))</f>
        <v/>
      </c>
      <c r="CF54" s="124" t="str">
        <f>IF($B54="","",IFERROR(-AS54,"n.b."))</f>
        <v/>
      </c>
      <c r="CG54" s="124" t="str">
        <f>IF($B54="","",IFERROR(-AT54,"n.b."))</f>
        <v/>
      </c>
      <c r="CH54" s="124" t="str">
        <f>IF($B54="","",IFERROR(-AU54,"n.b."))</f>
        <v/>
      </c>
      <c r="CI54" s="124" t="str">
        <f>IF($B54="","",IFERROR(-AV54,"n.b."))</f>
        <v/>
      </c>
      <c r="CJ54" s="124" t="str">
        <f>IF($B54="","",IFERROR(-AW54,"n.b."))</f>
        <v/>
      </c>
      <c r="CK54" s="124" t="str">
        <f>IF($B54="","",IFERROR(-AX54,"n.b."))</f>
        <v/>
      </c>
      <c r="CL54" s="124" t="str">
        <f>IF($B54="","",IFERROR(-AY54,"n.b."))</f>
        <v/>
      </c>
      <c r="CM54" s="124" t="str">
        <f>IF($B54="","",IFERROR(-AZ54,"n.b."))</f>
        <v/>
      </c>
      <c r="CN54" s="124" t="str">
        <f>IF($B54="","",IFERROR(-BA54,"n.b."))</f>
        <v/>
      </c>
      <c r="CO54" s="124" t="str">
        <f>IF($B54="","",IFERROR(-BB54,"n.b."))</f>
        <v/>
      </c>
      <c r="CP54" s="124" t="str">
        <f>IF($B54="","",IFERROR(-BC54,"n.b."))</f>
        <v/>
      </c>
      <c r="CQ54" s="124" t="str">
        <f>IF($B54="","",IFERROR(-BD54,"n.b."))</f>
        <v/>
      </c>
      <c r="CR54" s="124" t="str">
        <f>IF($B54="","",IFERROR(-BE54,"n.b."))</f>
        <v/>
      </c>
      <c r="CS54" s="124" t="str">
        <f>IF($B54="","",IFERROR(IF(OR(ABS(T54+V54+X54+Z54-AB54)&gt;P_Tol,ABS(U54+W54+Y54+AA54-AD54)&gt;P_Tol,ABS(AE54+AG54+AI54+AK54-AM54)&gt;P_Tol,ABS(AF54+AH54+AJ54+AL54-AO54)&gt;P_Tol),1,0),1))</f>
        <v/>
      </c>
      <c r="CT54" s="124" t="str">
        <f>IF($B54="","",IFERROR(IF(OR(ABS(AB54+AC54-AD54)&gt;P_Tol,ABS(AM54+AN54-AO54)&gt;P_Tol,ABS(O54+P54-Q54)&gt;P_Tol),1,0),1))</f>
        <v/>
      </c>
      <c r="CU54" s="124" t="str">
        <f>IF($B54="","",IFERROR(IF(ABS(R54-(AB54+AM54+AP54+AR54+AT54+AV54+AX54+AZ54+BB54+BD54))&gt;P_Tol,1,0),1))</f>
        <v/>
      </c>
      <c r="CV54" s="124" t="str">
        <f>IF($B54="","",IFERROR(IF(ABS(M54-(N54+O54+R54))&gt;P_Tol,1,0),1))</f>
        <v/>
      </c>
      <c r="CW54" s="124" t="str">
        <f>IF($B54="","",IF(COUNTIF(Mapping!$A$5:$A$104,B54)&gt;0,1,0))</f>
        <v/>
      </c>
      <c r="CX54" s="124" t="str">
        <f>IF($B54="","",COUNTIF($B$6:$B$505,B54))</f>
        <v/>
      </c>
      <c r="CY54" s="124" t="str">
        <f>IF($B54="","",COUNTIF(STG_Woningetalage!$B$6:$B$505,B54))</f>
        <v/>
      </c>
      <c r="CZ54" s="124" t="str">
        <f>IF($B54="","",IF(CW54=0,COUNTIF($CW$6:CW54,0),""))</f>
        <v/>
      </c>
    </row>
    <row r="55">
      <c r="A55" s="15" t="n">
        <v>51</v>
      </c>
      <c r="B55" t="str">
        <f>IF(B$3=0,"",IF(INDEX(SRC_ZPMW03!$A$1:$ZZ$501,$A55,B$3)&amp;""="","",INDEX(SRC_ZPMW03!$A$1:$ZZ$501,$A55,B$3)&amp;""))</f>
        <v/>
      </c>
      <c r="C55" t="str">
        <f>IF($B55="","",IF(C$3=0,"n.b.",INDEX(SRC_ZPMW03!$A$1:$ZZ$501,$A55,C$3)))</f>
        <v/>
      </c>
      <c r="D55" t="str">
        <f>IF($B55="","",IF(D$3=0,"n.b.",INDEX(SRC_ZPMW03!$A$1:$ZZ$501,$A55,D$3)))</f>
        <v/>
      </c>
      <c r="E55" t="str">
        <f>IF($B55="","",IF(E$3=0,"n.b.",INDEX(SRC_ZPMW03!$A$1:$ZZ$501,$A55,E$3)))</f>
        <v/>
      </c>
      <c r="F55" t="str">
        <f>IF($B55="","",IF(F$3=0,"n.b.",INDEX(SRC_ZPMW03!$A$1:$ZZ$501,$A55,F$3)))</f>
        <v/>
      </c>
      <c r="G55" t="str">
        <f>IF($B55="","",IF(G$3=0,"n.b.",INDEX(SRC_ZPMW03!$A$1:$ZZ$501,$A55,G$3)))</f>
        <v/>
      </c>
      <c r="H55" t="str">
        <f>IF($B55="","",IF(H$3=0,"n.b.",INDEX(SRC_ZPMW03!$A$1:$ZZ$501,$A55,H$3)))</f>
        <v/>
      </c>
      <c r="I55" t="str">
        <f>IF($B55="","",IF(I$3=0,"n.b.",INDEX(SRC_ZPMW03!$A$1:$ZZ$501,$A55,I$3)))</f>
        <v/>
      </c>
      <c r="J55" t="str">
        <f>IF($B55="","",IF(J$3=0,"n.b.",INDEX(SRC_ZPMW03!$A$1:$ZZ$501,$A55,J$3)))</f>
        <v/>
      </c>
      <c r="K55" t="str">
        <f>IF($B55="","",IF(K$3=0,"n.b.",INDEX(SRC_ZPMW03!$A$1:$ZZ$501,$A55,K$3)))</f>
        <v/>
      </c>
      <c r="L55" s="124" t="str">
        <f>IF($B55="","",IF(L$3=0,"n.b.",INDEX(SRC_ZPMW03!$A$1:$ZZ$501,$A55,L$3)))</f>
        <v/>
      </c>
      <c r="M55" s="124" t="str">
        <f>IF($B55="","",IF(M$3=0,"n.b.",INDEX(SRC_ZPMW03!$A$1:$ZZ$501,$A55,M$3)))</f>
        <v/>
      </c>
      <c r="N55" s="124" t="str">
        <f>IF($B55="","",IF(N$3=0,"n.b.",INDEX(SRC_ZPMW03!$A$1:$ZZ$501,$A55,N$3)))</f>
        <v/>
      </c>
      <c r="O55" s="124" t="str">
        <f>IF($B55="","",IF(O$3=0,"n.b.",INDEX(SRC_ZPMW03!$A$1:$ZZ$501,$A55,O$3)))</f>
        <v/>
      </c>
      <c r="P55" s="124" t="str">
        <f>IF($B55="","",IF(P$3=0,"n.b.",INDEX(SRC_ZPMW03!$A$1:$ZZ$501,$A55,P$3)))</f>
        <v/>
      </c>
      <c r="Q55" s="124" t="str">
        <f>IF($B55="","",IF(Q$3=0,"n.b.",INDEX(SRC_ZPMW03!$A$1:$ZZ$501,$A55,Q$3)))</f>
        <v/>
      </c>
      <c r="R55" s="124" t="str">
        <f>IF($B55="","",IF(R$3=0,"n.b.",INDEX(SRC_ZPMW03!$A$1:$ZZ$501,$A55,R$3)))</f>
        <v/>
      </c>
      <c r="S55" s="124" t="str">
        <f>IF($B55="","",IF(S$3=0,"n.b.",INDEX(SRC_ZPMW03!$A$1:$ZZ$501,$A55,S$3)))</f>
        <v/>
      </c>
      <c r="T55" s="124" t="str">
        <f>IF($B55="","",IF(T$3=0,"n.b.",INDEX(SRC_ZPMW03!$A$1:$ZZ$501,$A55,T$3)))</f>
        <v/>
      </c>
      <c r="U55" s="124" t="str">
        <f>IF($B55="","",IF(U$3=0,"n.b.",INDEX(SRC_ZPMW03!$A$1:$ZZ$501,$A55,U$3)))</f>
        <v/>
      </c>
      <c r="V55" s="124" t="str">
        <f>IF($B55="","",IF(V$3=0,"n.b.",INDEX(SRC_ZPMW03!$A$1:$ZZ$501,$A55,V$3)))</f>
        <v/>
      </c>
      <c r="W55" s="124" t="str">
        <f>IF($B55="","",IF(W$3=0,"n.b.",INDEX(SRC_ZPMW03!$A$1:$ZZ$501,$A55,W$3)))</f>
        <v/>
      </c>
      <c r="X55" s="124" t="str">
        <f>IF($B55="","",IF(X$3=0,"n.b.",INDEX(SRC_ZPMW03!$A$1:$ZZ$501,$A55,X$3)))</f>
        <v/>
      </c>
      <c r="Y55" s="124" t="str">
        <f>IF($B55="","",IF(Y$3=0,"n.b.",INDEX(SRC_ZPMW03!$A$1:$ZZ$501,$A55,Y$3)))</f>
        <v/>
      </c>
      <c r="Z55" s="124" t="str">
        <f>IF($B55="","",IF(Z$3=0,"n.b.",INDEX(SRC_ZPMW03!$A$1:$ZZ$501,$A55,Z$3)))</f>
        <v/>
      </c>
      <c r="AA55" s="124" t="str">
        <f>IF($B55="","",IF(AA$3=0,"n.b.",INDEX(SRC_ZPMW03!$A$1:$ZZ$501,$A55,AA$3)))</f>
        <v/>
      </c>
      <c r="AB55" s="124" t="str">
        <f>IF($B55="","",IF(AB$3=0,"n.b.",INDEX(SRC_ZPMW03!$A$1:$ZZ$501,$A55,AB$3)))</f>
        <v/>
      </c>
      <c r="AC55" s="124" t="str">
        <f>IF($B55="","",IF(AC$3=0,"n.b.",INDEX(SRC_ZPMW03!$A$1:$ZZ$501,$A55,AC$3)))</f>
        <v/>
      </c>
      <c r="AD55" s="124" t="str">
        <f>IF($B55="","",IF(AD$3=0,"n.b.",INDEX(SRC_ZPMW03!$A$1:$ZZ$501,$A55,AD$3)))</f>
        <v/>
      </c>
      <c r="AE55" s="124" t="str">
        <f>IF($B55="","",IF(AE$3=0,"n.b.",INDEX(SRC_ZPMW03!$A$1:$ZZ$501,$A55,AE$3)))</f>
        <v/>
      </c>
      <c r="AF55" s="124" t="str">
        <f>IF($B55="","",IF(AF$3=0,"n.b.",INDEX(SRC_ZPMW03!$A$1:$ZZ$501,$A55,AF$3)))</f>
        <v/>
      </c>
      <c r="AG55" s="124" t="str">
        <f>IF($B55="","",IF(AG$3=0,"n.b.",INDEX(SRC_ZPMW03!$A$1:$ZZ$501,$A55,AG$3)))</f>
        <v/>
      </c>
      <c r="AH55" s="124" t="str">
        <f>IF($B55="","",IF(AH$3=0,"n.b.",INDEX(SRC_ZPMW03!$A$1:$ZZ$501,$A55,AH$3)))</f>
        <v/>
      </c>
      <c r="AI55" s="124" t="str">
        <f>IF($B55="","",IF(AI$3=0,"n.b.",INDEX(SRC_ZPMW03!$A$1:$ZZ$501,$A55,AI$3)))</f>
        <v/>
      </c>
      <c r="AJ55" s="124" t="str">
        <f>IF($B55="","",IF(AJ$3=0,"n.b.",INDEX(SRC_ZPMW03!$A$1:$ZZ$501,$A55,AJ$3)))</f>
        <v/>
      </c>
      <c r="AK55" s="124" t="str">
        <f>IF($B55="","",IF(AK$3=0,"n.b.",INDEX(SRC_ZPMW03!$A$1:$ZZ$501,$A55,AK$3)))</f>
        <v/>
      </c>
      <c r="AL55" s="124" t="str">
        <f>IF($B55="","",IF(AL$3=0,"n.b.",INDEX(SRC_ZPMW03!$A$1:$ZZ$501,$A55,AL$3)))</f>
        <v/>
      </c>
      <c r="AM55" s="124" t="str">
        <f>IF($B55="","",IF(AM$3=0,"n.b.",INDEX(SRC_ZPMW03!$A$1:$ZZ$501,$A55,AM$3)))</f>
        <v/>
      </c>
      <c r="AN55" s="124" t="str">
        <f>IF($B55="","",IF(AN$3=0,"n.b.",INDEX(SRC_ZPMW03!$A$1:$ZZ$501,$A55,AN$3)))</f>
        <v/>
      </c>
      <c r="AO55" s="124" t="str">
        <f>IF($B55="","",IF(AO$3=0,"n.b.",INDEX(SRC_ZPMW03!$A$1:$ZZ$501,$A55,AO$3)))</f>
        <v/>
      </c>
      <c r="AP55" s="124" t="str">
        <f>IF($B55="","",IF(AP$3=0,"n.b.",INDEX(SRC_ZPMW03!$A$1:$ZZ$501,$A55,AP$3)))</f>
        <v/>
      </c>
      <c r="AQ55" s="124" t="str">
        <f>IF($B55="","",IF(AQ$3=0,"n.b.",INDEX(SRC_ZPMW03!$A$1:$ZZ$501,$A55,AQ$3)))</f>
        <v/>
      </c>
      <c r="AR55" s="124" t="str">
        <f>IF($B55="","",IF(AR$3=0,"n.b.",INDEX(SRC_ZPMW03!$A$1:$ZZ$501,$A55,AR$3)))</f>
        <v/>
      </c>
      <c r="AS55" s="124" t="str">
        <f>IF($B55="","",IF(AS$3=0,"n.b.",INDEX(SRC_ZPMW03!$A$1:$ZZ$501,$A55,AS$3)))</f>
        <v/>
      </c>
      <c r="AT55" s="124" t="str">
        <f>IF($B55="","",IF(AT$3=0,"n.b.",INDEX(SRC_ZPMW03!$A$1:$ZZ$501,$A55,AT$3)))</f>
        <v/>
      </c>
      <c r="AU55" s="124" t="str">
        <f>IF($B55="","",IF(AU$3=0,"n.b.",INDEX(SRC_ZPMW03!$A$1:$ZZ$501,$A55,AU$3)))</f>
        <v/>
      </c>
      <c r="AV55" s="124" t="str">
        <f>IF($B55="","",IF(AV$3=0,"n.b.",INDEX(SRC_ZPMW03!$A$1:$ZZ$501,$A55,AV$3)))</f>
        <v/>
      </c>
      <c r="AW55" s="124" t="str">
        <f>IF($B55="","",IF(AW$3=0,"n.b.",INDEX(SRC_ZPMW03!$A$1:$ZZ$501,$A55,AW$3)))</f>
        <v/>
      </c>
      <c r="AX55" s="124" t="str">
        <f>IF($B55="","",IF(AX$3=0,"n.b.",INDEX(SRC_ZPMW03!$A$1:$ZZ$501,$A55,AX$3)))</f>
        <v/>
      </c>
      <c r="AY55" s="124" t="str">
        <f>IF($B55="","",IF(AY$3=0,"n.b.",INDEX(SRC_ZPMW03!$A$1:$ZZ$501,$A55,AY$3)))</f>
        <v/>
      </c>
      <c r="AZ55" s="124" t="str">
        <f>IF($B55="","",IF(AZ$3=0,"n.b.",INDEX(SRC_ZPMW03!$A$1:$ZZ$501,$A55,AZ$3)))</f>
        <v/>
      </c>
      <c r="BA55" s="124" t="str">
        <f>IF($B55="","",IF(BA$3=0,"n.b.",INDEX(SRC_ZPMW03!$A$1:$ZZ$501,$A55,BA$3)))</f>
        <v/>
      </c>
      <c r="BB55" s="124" t="str">
        <f>IF($B55="","",IF(BB$3=0,"n.b.",INDEX(SRC_ZPMW03!$A$1:$ZZ$501,$A55,BB$3)))</f>
        <v/>
      </c>
      <c r="BC55" s="124" t="str">
        <f>IF($B55="","",IF(BC$3=0,"n.b.",INDEX(SRC_ZPMW03!$A$1:$ZZ$501,$A55,BC$3)))</f>
        <v/>
      </c>
      <c r="BD55" s="124" t="str">
        <f>IF($B55="","",IF(BD$3=0,"n.b.",INDEX(SRC_ZPMW03!$A$1:$ZZ$501,$A55,BD$3)))</f>
        <v/>
      </c>
      <c r="BE55" s="124" t="str">
        <f>IF($B55="","",IF(BE$3=0,"n.b.",INDEX(SRC_ZPMW03!$A$1:$ZZ$501,$A55,BE$3)))</f>
        <v/>
      </c>
      <c r="BF55" s="124" t="str">
        <f>IF($B55="","",IF(BF$3=0,"n.b.",INDEX(SRC_ZPMW03!$A$1:$ZZ$501,$A55,BF$3)))</f>
        <v/>
      </c>
      <c r="BG55" t="str">
        <f>IF($B55="","",IF(BG$3=0,"n.b.",INDEX(SRC_ZPMW03!$A$1:$ZZ$501,$A55,BG$3)))</f>
        <v/>
      </c>
      <c r="BH55" t="str">
        <f>IF($B55="","",IF(BH$3=0,"n.b.",INDEX(SRC_ZPMW03!$A$1:$ZZ$501,$A55,BH$3)))</f>
        <v/>
      </c>
      <c r="BI55" t="str">
        <f>IF($B55="","",IF(BI$3=0,"n.b.",INDEX(SRC_ZPMW03!$A$1:$ZZ$501,$A55,BI$3)))</f>
        <v/>
      </c>
      <c r="BJ55" t="str">
        <f>IF($B55="","",IF(BJ$3=0,"n.b.",INDEX(SRC_ZPMW03!$A$1:$ZZ$501,$A55,BJ$3)))</f>
        <v/>
      </c>
      <c r="BK55" s="124" t="str">
        <f>IF($B55="","",IFERROR(-O55,"n.b."))</f>
        <v/>
      </c>
      <c r="BL55" s="124" t="str">
        <f>IF($B55="","",IFERROR(-Q55,"n.b."))</f>
        <v/>
      </c>
      <c r="BM55" s="124" t="str">
        <f>IF($B55="","",IFERROR(-AB55,"n.b."))</f>
        <v/>
      </c>
      <c r="BN55" s="124" t="str">
        <f>IF($B55="","",IFERROR(-AD55,"n.b."))</f>
        <v/>
      </c>
      <c r="BO55" s="124" t="str">
        <f>IF($B55="","",IFERROR(BK55+BM55,"n.b."))</f>
        <v/>
      </c>
      <c r="BP55" s="124" t="str">
        <f>IF($B55="","",IFERROR(BL55+BN55,"n.b."))</f>
        <v/>
      </c>
      <c r="BQ55" s="124" t="str">
        <f>IF($B55="","",IFERROR(-AM55,"n.b."))</f>
        <v/>
      </c>
      <c r="BR55" s="124" t="str">
        <f>IF($B55="","",IFERROR(-AO55,"n.b."))</f>
        <v/>
      </c>
      <c r="BS55" s="124" t="str">
        <f>IF($B55="","",IFERROR(-Z55,"n.b."))</f>
        <v/>
      </c>
      <c r="BT55" s="124" t="str">
        <f>IF($B55="","",IFERROR(-AA55,"n.b."))</f>
        <v/>
      </c>
      <c r="BU55" s="124" t="str">
        <f>IF($B55="","",IFERROR(-AE55,"n.b."))</f>
        <v/>
      </c>
      <c r="BV55" s="124" t="str">
        <f>IF($B55="","",IFERROR(-AF55,"n.b."))</f>
        <v/>
      </c>
      <c r="BW55" s="124" t="str">
        <f>IF($B55="","",IFERROR(-AG55,"n.b."))</f>
        <v/>
      </c>
      <c r="BX55" s="124" t="str">
        <f>IF($B55="","",IFERROR(-AH55,"n.b."))</f>
        <v/>
      </c>
      <c r="BY55" s="124" t="str">
        <f>IF($B55="","",IFERROR(-AI55,"n.b."))</f>
        <v/>
      </c>
      <c r="BZ55" s="124" t="str">
        <f>IF($B55="","",IFERROR(-AJ55,"n.b."))</f>
        <v/>
      </c>
      <c r="CA55" s="124" t="str">
        <f>IF($B55="","",IFERROR(-AK55,"n.b."))</f>
        <v/>
      </c>
      <c r="CB55" s="124" t="str">
        <f>IF($B55="","",IFERROR(-AL55,"n.b."))</f>
        <v/>
      </c>
      <c r="CC55" s="124" t="str">
        <f>IF($B55="","",IFERROR(-AP55,"n.b."))</f>
        <v/>
      </c>
      <c r="CD55" s="124" t="str">
        <f>IF($B55="","",IFERROR(-AQ55,"n.b."))</f>
        <v/>
      </c>
      <c r="CE55" s="124" t="str">
        <f>IF($B55="","",IFERROR(-AR55,"n.b."))</f>
        <v/>
      </c>
      <c r="CF55" s="124" t="str">
        <f>IF($B55="","",IFERROR(-AS55,"n.b."))</f>
        <v/>
      </c>
      <c r="CG55" s="124" t="str">
        <f>IF($B55="","",IFERROR(-AT55,"n.b."))</f>
        <v/>
      </c>
      <c r="CH55" s="124" t="str">
        <f>IF($B55="","",IFERROR(-AU55,"n.b."))</f>
        <v/>
      </c>
      <c r="CI55" s="124" t="str">
        <f>IF($B55="","",IFERROR(-AV55,"n.b."))</f>
        <v/>
      </c>
      <c r="CJ55" s="124" t="str">
        <f>IF($B55="","",IFERROR(-AW55,"n.b."))</f>
        <v/>
      </c>
      <c r="CK55" s="124" t="str">
        <f>IF($B55="","",IFERROR(-AX55,"n.b."))</f>
        <v/>
      </c>
      <c r="CL55" s="124" t="str">
        <f>IF($B55="","",IFERROR(-AY55,"n.b."))</f>
        <v/>
      </c>
      <c r="CM55" s="124" t="str">
        <f>IF($B55="","",IFERROR(-AZ55,"n.b."))</f>
        <v/>
      </c>
      <c r="CN55" s="124" t="str">
        <f>IF($B55="","",IFERROR(-BA55,"n.b."))</f>
        <v/>
      </c>
      <c r="CO55" s="124" t="str">
        <f>IF($B55="","",IFERROR(-BB55,"n.b."))</f>
        <v/>
      </c>
      <c r="CP55" s="124" t="str">
        <f>IF($B55="","",IFERROR(-BC55,"n.b."))</f>
        <v/>
      </c>
      <c r="CQ55" s="124" t="str">
        <f>IF($B55="","",IFERROR(-BD55,"n.b."))</f>
        <v/>
      </c>
      <c r="CR55" s="124" t="str">
        <f>IF($B55="","",IFERROR(-BE55,"n.b."))</f>
        <v/>
      </c>
      <c r="CS55" s="124" t="str">
        <f>IF($B55="","",IFERROR(IF(OR(ABS(T55+V55+X55+Z55-AB55)&gt;P_Tol,ABS(U55+W55+Y55+AA55-AD55)&gt;P_Tol,ABS(AE55+AG55+AI55+AK55-AM55)&gt;P_Tol,ABS(AF55+AH55+AJ55+AL55-AO55)&gt;P_Tol),1,0),1))</f>
        <v/>
      </c>
      <c r="CT55" s="124" t="str">
        <f>IF($B55="","",IFERROR(IF(OR(ABS(AB55+AC55-AD55)&gt;P_Tol,ABS(AM55+AN55-AO55)&gt;P_Tol,ABS(O55+P55-Q55)&gt;P_Tol),1,0),1))</f>
        <v/>
      </c>
      <c r="CU55" s="124" t="str">
        <f>IF($B55="","",IFERROR(IF(ABS(R55-(AB55+AM55+AP55+AR55+AT55+AV55+AX55+AZ55+BB55+BD55))&gt;P_Tol,1,0),1))</f>
        <v/>
      </c>
      <c r="CV55" s="124" t="str">
        <f>IF($B55="","",IFERROR(IF(ABS(M55-(N55+O55+R55))&gt;P_Tol,1,0),1))</f>
        <v/>
      </c>
      <c r="CW55" s="124" t="str">
        <f>IF($B55="","",IF(COUNTIF(Mapping!$A$5:$A$104,B55)&gt;0,1,0))</f>
        <v/>
      </c>
      <c r="CX55" s="124" t="str">
        <f>IF($B55="","",COUNTIF($B$6:$B$505,B55))</f>
        <v/>
      </c>
      <c r="CY55" s="124" t="str">
        <f>IF($B55="","",COUNTIF(STG_Woningetalage!$B$6:$B$505,B55))</f>
        <v/>
      </c>
      <c r="CZ55" s="124" t="str">
        <f>IF($B55="","",IF(CW55=0,COUNTIF($CW$6:CW55,0),""))</f>
        <v/>
      </c>
    </row>
    <row r="56">
      <c r="A56" s="15" t="n">
        <v>52</v>
      </c>
      <c r="B56" t="str">
        <f>IF(B$3=0,"",IF(INDEX(SRC_ZPMW03!$A$1:$ZZ$501,$A56,B$3)&amp;""="","",INDEX(SRC_ZPMW03!$A$1:$ZZ$501,$A56,B$3)&amp;""))</f>
        <v/>
      </c>
      <c r="C56" t="str">
        <f>IF($B56="","",IF(C$3=0,"n.b.",INDEX(SRC_ZPMW03!$A$1:$ZZ$501,$A56,C$3)))</f>
        <v/>
      </c>
      <c r="D56" t="str">
        <f>IF($B56="","",IF(D$3=0,"n.b.",INDEX(SRC_ZPMW03!$A$1:$ZZ$501,$A56,D$3)))</f>
        <v/>
      </c>
      <c r="E56" t="str">
        <f>IF($B56="","",IF(E$3=0,"n.b.",INDEX(SRC_ZPMW03!$A$1:$ZZ$501,$A56,E$3)))</f>
        <v/>
      </c>
      <c r="F56" t="str">
        <f>IF($B56="","",IF(F$3=0,"n.b.",INDEX(SRC_ZPMW03!$A$1:$ZZ$501,$A56,F$3)))</f>
        <v/>
      </c>
      <c r="G56" t="str">
        <f>IF($B56="","",IF(G$3=0,"n.b.",INDEX(SRC_ZPMW03!$A$1:$ZZ$501,$A56,G$3)))</f>
        <v/>
      </c>
      <c r="H56" t="str">
        <f>IF($B56="","",IF(H$3=0,"n.b.",INDEX(SRC_ZPMW03!$A$1:$ZZ$501,$A56,H$3)))</f>
        <v/>
      </c>
      <c r="I56" t="str">
        <f>IF($B56="","",IF(I$3=0,"n.b.",INDEX(SRC_ZPMW03!$A$1:$ZZ$501,$A56,I$3)))</f>
        <v/>
      </c>
      <c r="J56" t="str">
        <f>IF($B56="","",IF(J$3=0,"n.b.",INDEX(SRC_ZPMW03!$A$1:$ZZ$501,$A56,J$3)))</f>
        <v/>
      </c>
      <c r="K56" t="str">
        <f>IF($B56="","",IF(K$3=0,"n.b.",INDEX(SRC_ZPMW03!$A$1:$ZZ$501,$A56,K$3)))</f>
        <v/>
      </c>
      <c r="L56" s="124" t="str">
        <f>IF($B56="","",IF(L$3=0,"n.b.",INDEX(SRC_ZPMW03!$A$1:$ZZ$501,$A56,L$3)))</f>
        <v/>
      </c>
      <c r="M56" s="124" t="str">
        <f>IF($B56="","",IF(M$3=0,"n.b.",INDEX(SRC_ZPMW03!$A$1:$ZZ$501,$A56,M$3)))</f>
        <v/>
      </c>
      <c r="N56" s="124" t="str">
        <f>IF($B56="","",IF(N$3=0,"n.b.",INDEX(SRC_ZPMW03!$A$1:$ZZ$501,$A56,N$3)))</f>
        <v/>
      </c>
      <c r="O56" s="124" t="str">
        <f>IF($B56="","",IF(O$3=0,"n.b.",INDEX(SRC_ZPMW03!$A$1:$ZZ$501,$A56,O$3)))</f>
        <v/>
      </c>
      <c r="P56" s="124" t="str">
        <f>IF($B56="","",IF(P$3=0,"n.b.",INDEX(SRC_ZPMW03!$A$1:$ZZ$501,$A56,P$3)))</f>
        <v/>
      </c>
      <c r="Q56" s="124" t="str">
        <f>IF($B56="","",IF(Q$3=0,"n.b.",INDEX(SRC_ZPMW03!$A$1:$ZZ$501,$A56,Q$3)))</f>
        <v/>
      </c>
      <c r="R56" s="124" t="str">
        <f>IF($B56="","",IF(R$3=0,"n.b.",INDEX(SRC_ZPMW03!$A$1:$ZZ$501,$A56,R$3)))</f>
        <v/>
      </c>
      <c r="S56" s="124" t="str">
        <f>IF($B56="","",IF(S$3=0,"n.b.",INDEX(SRC_ZPMW03!$A$1:$ZZ$501,$A56,S$3)))</f>
        <v/>
      </c>
      <c r="T56" s="124" t="str">
        <f>IF($B56="","",IF(T$3=0,"n.b.",INDEX(SRC_ZPMW03!$A$1:$ZZ$501,$A56,T$3)))</f>
        <v/>
      </c>
      <c r="U56" s="124" t="str">
        <f>IF($B56="","",IF(U$3=0,"n.b.",INDEX(SRC_ZPMW03!$A$1:$ZZ$501,$A56,U$3)))</f>
        <v/>
      </c>
      <c r="V56" s="124" t="str">
        <f>IF($B56="","",IF(V$3=0,"n.b.",INDEX(SRC_ZPMW03!$A$1:$ZZ$501,$A56,V$3)))</f>
        <v/>
      </c>
      <c r="W56" s="124" t="str">
        <f>IF($B56="","",IF(W$3=0,"n.b.",INDEX(SRC_ZPMW03!$A$1:$ZZ$501,$A56,W$3)))</f>
        <v/>
      </c>
      <c r="X56" s="124" t="str">
        <f>IF($B56="","",IF(X$3=0,"n.b.",INDEX(SRC_ZPMW03!$A$1:$ZZ$501,$A56,X$3)))</f>
        <v/>
      </c>
      <c r="Y56" s="124" t="str">
        <f>IF($B56="","",IF(Y$3=0,"n.b.",INDEX(SRC_ZPMW03!$A$1:$ZZ$501,$A56,Y$3)))</f>
        <v/>
      </c>
      <c r="Z56" s="124" t="str">
        <f>IF($B56="","",IF(Z$3=0,"n.b.",INDEX(SRC_ZPMW03!$A$1:$ZZ$501,$A56,Z$3)))</f>
        <v/>
      </c>
      <c r="AA56" s="124" t="str">
        <f>IF($B56="","",IF(AA$3=0,"n.b.",INDEX(SRC_ZPMW03!$A$1:$ZZ$501,$A56,AA$3)))</f>
        <v/>
      </c>
      <c r="AB56" s="124" t="str">
        <f>IF($B56="","",IF(AB$3=0,"n.b.",INDEX(SRC_ZPMW03!$A$1:$ZZ$501,$A56,AB$3)))</f>
        <v/>
      </c>
      <c r="AC56" s="124" t="str">
        <f>IF($B56="","",IF(AC$3=0,"n.b.",INDEX(SRC_ZPMW03!$A$1:$ZZ$501,$A56,AC$3)))</f>
        <v/>
      </c>
      <c r="AD56" s="124" t="str">
        <f>IF($B56="","",IF(AD$3=0,"n.b.",INDEX(SRC_ZPMW03!$A$1:$ZZ$501,$A56,AD$3)))</f>
        <v/>
      </c>
      <c r="AE56" s="124" t="str">
        <f>IF($B56="","",IF(AE$3=0,"n.b.",INDEX(SRC_ZPMW03!$A$1:$ZZ$501,$A56,AE$3)))</f>
        <v/>
      </c>
      <c r="AF56" s="124" t="str">
        <f>IF($B56="","",IF(AF$3=0,"n.b.",INDEX(SRC_ZPMW03!$A$1:$ZZ$501,$A56,AF$3)))</f>
        <v/>
      </c>
      <c r="AG56" s="124" t="str">
        <f>IF($B56="","",IF(AG$3=0,"n.b.",INDEX(SRC_ZPMW03!$A$1:$ZZ$501,$A56,AG$3)))</f>
        <v/>
      </c>
      <c r="AH56" s="124" t="str">
        <f>IF($B56="","",IF(AH$3=0,"n.b.",INDEX(SRC_ZPMW03!$A$1:$ZZ$501,$A56,AH$3)))</f>
        <v/>
      </c>
      <c r="AI56" s="124" t="str">
        <f>IF($B56="","",IF(AI$3=0,"n.b.",INDEX(SRC_ZPMW03!$A$1:$ZZ$501,$A56,AI$3)))</f>
        <v/>
      </c>
      <c r="AJ56" s="124" t="str">
        <f>IF($B56="","",IF(AJ$3=0,"n.b.",INDEX(SRC_ZPMW03!$A$1:$ZZ$501,$A56,AJ$3)))</f>
        <v/>
      </c>
      <c r="AK56" s="124" t="str">
        <f>IF($B56="","",IF(AK$3=0,"n.b.",INDEX(SRC_ZPMW03!$A$1:$ZZ$501,$A56,AK$3)))</f>
        <v/>
      </c>
      <c r="AL56" s="124" t="str">
        <f>IF($B56="","",IF(AL$3=0,"n.b.",INDEX(SRC_ZPMW03!$A$1:$ZZ$501,$A56,AL$3)))</f>
        <v/>
      </c>
      <c r="AM56" s="124" t="str">
        <f>IF($B56="","",IF(AM$3=0,"n.b.",INDEX(SRC_ZPMW03!$A$1:$ZZ$501,$A56,AM$3)))</f>
        <v/>
      </c>
      <c r="AN56" s="124" t="str">
        <f>IF($B56="","",IF(AN$3=0,"n.b.",INDEX(SRC_ZPMW03!$A$1:$ZZ$501,$A56,AN$3)))</f>
        <v/>
      </c>
      <c r="AO56" s="124" t="str">
        <f>IF($B56="","",IF(AO$3=0,"n.b.",INDEX(SRC_ZPMW03!$A$1:$ZZ$501,$A56,AO$3)))</f>
        <v/>
      </c>
      <c r="AP56" s="124" t="str">
        <f>IF($B56="","",IF(AP$3=0,"n.b.",INDEX(SRC_ZPMW03!$A$1:$ZZ$501,$A56,AP$3)))</f>
        <v/>
      </c>
      <c r="AQ56" s="124" t="str">
        <f>IF($B56="","",IF(AQ$3=0,"n.b.",INDEX(SRC_ZPMW03!$A$1:$ZZ$501,$A56,AQ$3)))</f>
        <v/>
      </c>
      <c r="AR56" s="124" t="str">
        <f>IF($B56="","",IF(AR$3=0,"n.b.",INDEX(SRC_ZPMW03!$A$1:$ZZ$501,$A56,AR$3)))</f>
        <v/>
      </c>
      <c r="AS56" s="124" t="str">
        <f>IF($B56="","",IF(AS$3=0,"n.b.",INDEX(SRC_ZPMW03!$A$1:$ZZ$501,$A56,AS$3)))</f>
        <v/>
      </c>
      <c r="AT56" s="124" t="str">
        <f>IF($B56="","",IF(AT$3=0,"n.b.",INDEX(SRC_ZPMW03!$A$1:$ZZ$501,$A56,AT$3)))</f>
        <v/>
      </c>
      <c r="AU56" s="124" t="str">
        <f>IF($B56="","",IF(AU$3=0,"n.b.",INDEX(SRC_ZPMW03!$A$1:$ZZ$501,$A56,AU$3)))</f>
        <v/>
      </c>
      <c r="AV56" s="124" t="str">
        <f>IF($B56="","",IF(AV$3=0,"n.b.",INDEX(SRC_ZPMW03!$A$1:$ZZ$501,$A56,AV$3)))</f>
        <v/>
      </c>
      <c r="AW56" s="124" t="str">
        <f>IF($B56="","",IF(AW$3=0,"n.b.",INDEX(SRC_ZPMW03!$A$1:$ZZ$501,$A56,AW$3)))</f>
        <v/>
      </c>
      <c r="AX56" s="124" t="str">
        <f>IF($B56="","",IF(AX$3=0,"n.b.",INDEX(SRC_ZPMW03!$A$1:$ZZ$501,$A56,AX$3)))</f>
        <v/>
      </c>
      <c r="AY56" s="124" t="str">
        <f>IF($B56="","",IF(AY$3=0,"n.b.",INDEX(SRC_ZPMW03!$A$1:$ZZ$501,$A56,AY$3)))</f>
        <v/>
      </c>
      <c r="AZ56" s="124" t="str">
        <f>IF($B56="","",IF(AZ$3=0,"n.b.",INDEX(SRC_ZPMW03!$A$1:$ZZ$501,$A56,AZ$3)))</f>
        <v/>
      </c>
      <c r="BA56" s="124" t="str">
        <f>IF($B56="","",IF(BA$3=0,"n.b.",INDEX(SRC_ZPMW03!$A$1:$ZZ$501,$A56,BA$3)))</f>
        <v/>
      </c>
      <c r="BB56" s="124" t="str">
        <f>IF($B56="","",IF(BB$3=0,"n.b.",INDEX(SRC_ZPMW03!$A$1:$ZZ$501,$A56,BB$3)))</f>
        <v/>
      </c>
      <c r="BC56" s="124" t="str">
        <f>IF($B56="","",IF(BC$3=0,"n.b.",INDEX(SRC_ZPMW03!$A$1:$ZZ$501,$A56,BC$3)))</f>
        <v/>
      </c>
      <c r="BD56" s="124" t="str">
        <f>IF($B56="","",IF(BD$3=0,"n.b.",INDEX(SRC_ZPMW03!$A$1:$ZZ$501,$A56,BD$3)))</f>
        <v/>
      </c>
      <c r="BE56" s="124" t="str">
        <f>IF($B56="","",IF(BE$3=0,"n.b.",INDEX(SRC_ZPMW03!$A$1:$ZZ$501,$A56,BE$3)))</f>
        <v/>
      </c>
      <c r="BF56" s="124" t="str">
        <f>IF($B56="","",IF(BF$3=0,"n.b.",INDEX(SRC_ZPMW03!$A$1:$ZZ$501,$A56,BF$3)))</f>
        <v/>
      </c>
      <c r="BG56" t="str">
        <f>IF($B56="","",IF(BG$3=0,"n.b.",INDEX(SRC_ZPMW03!$A$1:$ZZ$501,$A56,BG$3)))</f>
        <v/>
      </c>
      <c r="BH56" t="str">
        <f>IF($B56="","",IF(BH$3=0,"n.b.",INDEX(SRC_ZPMW03!$A$1:$ZZ$501,$A56,BH$3)))</f>
        <v/>
      </c>
      <c r="BI56" t="str">
        <f>IF($B56="","",IF(BI$3=0,"n.b.",INDEX(SRC_ZPMW03!$A$1:$ZZ$501,$A56,BI$3)))</f>
        <v/>
      </c>
      <c r="BJ56" t="str">
        <f>IF($B56="","",IF(BJ$3=0,"n.b.",INDEX(SRC_ZPMW03!$A$1:$ZZ$501,$A56,BJ$3)))</f>
        <v/>
      </c>
      <c r="BK56" s="124" t="str">
        <f>IF($B56="","",IFERROR(-O56,"n.b."))</f>
        <v/>
      </c>
      <c r="BL56" s="124" t="str">
        <f>IF($B56="","",IFERROR(-Q56,"n.b."))</f>
        <v/>
      </c>
      <c r="BM56" s="124" t="str">
        <f>IF($B56="","",IFERROR(-AB56,"n.b."))</f>
        <v/>
      </c>
      <c r="BN56" s="124" t="str">
        <f>IF($B56="","",IFERROR(-AD56,"n.b."))</f>
        <v/>
      </c>
      <c r="BO56" s="124" t="str">
        <f>IF($B56="","",IFERROR(BK56+BM56,"n.b."))</f>
        <v/>
      </c>
      <c r="BP56" s="124" t="str">
        <f>IF($B56="","",IFERROR(BL56+BN56,"n.b."))</f>
        <v/>
      </c>
      <c r="BQ56" s="124" t="str">
        <f>IF($B56="","",IFERROR(-AM56,"n.b."))</f>
        <v/>
      </c>
      <c r="BR56" s="124" t="str">
        <f>IF($B56="","",IFERROR(-AO56,"n.b."))</f>
        <v/>
      </c>
      <c r="BS56" s="124" t="str">
        <f>IF($B56="","",IFERROR(-Z56,"n.b."))</f>
        <v/>
      </c>
      <c r="BT56" s="124" t="str">
        <f>IF($B56="","",IFERROR(-AA56,"n.b."))</f>
        <v/>
      </c>
      <c r="BU56" s="124" t="str">
        <f>IF($B56="","",IFERROR(-AE56,"n.b."))</f>
        <v/>
      </c>
      <c r="BV56" s="124" t="str">
        <f>IF($B56="","",IFERROR(-AF56,"n.b."))</f>
        <v/>
      </c>
      <c r="BW56" s="124" t="str">
        <f>IF($B56="","",IFERROR(-AG56,"n.b."))</f>
        <v/>
      </c>
      <c r="BX56" s="124" t="str">
        <f>IF($B56="","",IFERROR(-AH56,"n.b."))</f>
        <v/>
      </c>
      <c r="BY56" s="124" t="str">
        <f>IF($B56="","",IFERROR(-AI56,"n.b."))</f>
        <v/>
      </c>
      <c r="BZ56" s="124" t="str">
        <f>IF($B56="","",IFERROR(-AJ56,"n.b."))</f>
        <v/>
      </c>
      <c r="CA56" s="124" t="str">
        <f>IF($B56="","",IFERROR(-AK56,"n.b."))</f>
        <v/>
      </c>
      <c r="CB56" s="124" t="str">
        <f>IF($B56="","",IFERROR(-AL56,"n.b."))</f>
        <v/>
      </c>
      <c r="CC56" s="124" t="str">
        <f>IF($B56="","",IFERROR(-AP56,"n.b."))</f>
        <v/>
      </c>
      <c r="CD56" s="124" t="str">
        <f>IF($B56="","",IFERROR(-AQ56,"n.b."))</f>
        <v/>
      </c>
      <c r="CE56" s="124" t="str">
        <f>IF($B56="","",IFERROR(-AR56,"n.b."))</f>
        <v/>
      </c>
      <c r="CF56" s="124" t="str">
        <f>IF($B56="","",IFERROR(-AS56,"n.b."))</f>
        <v/>
      </c>
      <c r="CG56" s="124" t="str">
        <f>IF($B56="","",IFERROR(-AT56,"n.b."))</f>
        <v/>
      </c>
      <c r="CH56" s="124" t="str">
        <f>IF($B56="","",IFERROR(-AU56,"n.b."))</f>
        <v/>
      </c>
      <c r="CI56" s="124" t="str">
        <f>IF($B56="","",IFERROR(-AV56,"n.b."))</f>
        <v/>
      </c>
      <c r="CJ56" s="124" t="str">
        <f>IF($B56="","",IFERROR(-AW56,"n.b."))</f>
        <v/>
      </c>
      <c r="CK56" s="124" t="str">
        <f>IF($B56="","",IFERROR(-AX56,"n.b."))</f>
        <v/>
      </c>
      <c r="CL56" s="124" t="str">
        <f>IF($B56="","",IFERROR(-AY56,"n.b."))</f>
        <v/>
      </c>
      <c r="CM56" s="124" t="str">
        <f>IF($B56="","",IFERROR(-AZ56,"n.b."))</f>
        <v/>
      </c>
      <c r="CN56" s="124" t="str">
        <f>IF($B56="","",IFERROR(-BA56,"n.b."))</f>
        <v/>
      </c>
      <c r="CO56" s="124" t="str">
        <f>IF($B56="","",IFERROR(-BB56,"n.b."))</f>
        <v/>
      </c>
      <c r="CP56" s="124" t="str">
        <f>IF($B56="","",IFERROR(-BC56,"n.b."))</f>
        <v/>
      </c>
      <c r="CQ56" s="124" t="str">
        <f>IF($B56="","",IFERROR(-BD56,"n.b."))</f>
        <v/>
      </c>
      <c r="CR56" s="124" t="str">
        <f>IF($B56="","",IFERROR(-BE56,"n.b."))</f>
        <v/>
      </c>
      <c r="CS56" s="124" t="str">
        <f>IF($B56="","",IFERROR(IF(OR(ABS(T56+V56+X56+Z56-AB56)&gt;P_Tol,ABS(U56+W56+Y56+AA56-AD56)&gt;P_Tol,ABS(AE56+AG56+AI56+AK56-AM56)&gt;P_Tol,ABS(AF56+AH56+AJ56+AL56-AO56)&gt;P_Tol),1,0),1))</f>
        <v/>
      </c>
      <c r="CT56" s="124" t="str">
        <f>IF($B56="","",IFERROR(IF(OR(ABS(AB56+AC56-AD56)&gt;P_Tol,ABS(AM56+AN56-AO56)&gt;P_Tol,ABS(O56+P56-Q56)&gt;P_Tol),1,0),1))</f>
        <v/>
      </c>
      <c r="CU56" s="124" t="str">
        <f>IF($B56="","",IFERROR(IF(ABS(R56-(AB56+AM56+AP56+AR56+AT56+AV56+AX56+AZ56+BB56+BD56))&gt;P_Tol,1,0),1))</f>
        <v/>
      </c>
      <c r="CV56" s="124" t="str">
        <f>IF($B56="","",IFERROR(IF(ABS(M56-(N56+O56+R56))&gt;P_Tol,1,0),1))</f>
        <v/>
      </c>
      <c r="CW56" s="124" t="str">
        <f>IF($B56="","",IF(COUNTIF(Mapping!$A$5:$A$104,B56)&gt;0,1,0))</f>
        <v/>
      </c>
      <c r="CX56" s="124" t="str">
        <f>IF($B56="","",COUNTIF($B$6:$B$505,B56))</f>
        <v/>
      </c>
      <c r="CY56" s="124" t="str">
        <f>IF($B56="","",COUNTIF(STG_Woningetalage!$B$6:$B$505,B56))</f>
        <v/>
      </c>
      <c r="CZ56" s="124" t="str">
        <f>IF($B56="","",IF(CW56=0,COUNTIF($CW$6:CW56,0),""))</f>
        <v/>
      </c>
    </row>
    <row r="57">
      <c r="A57" s="15" t="n">
        <v>53</v>
      </c>
      <c r="B57" t="str">
        <f>IF(B$3=0,"",IF(INDEX(SRC_ZPMW03!$A$1:$ZZ$501,$A57,B$3)&amp;""="","",INDEX(SRC_ZPMW03!$A$1:$ZZ$501,$A57,B$3)&amp;""))</f>
        <v/>
      </c>
      <c r="C57" t="str">
        <f>IF($B57="","",IF(C$3=0,"n.b.",INDEX(SRC_ZPMW03!$A$1:$ZZ$501,$A57,C$3)))</f>
        <v/>
      </c>
      <c r="D57" t="str">
        <f>IF($B57="","",IF(D$3=0,"n.b.",INDEX(SRC_ZPMW03!$A$1:$ZZ$501,$A57,D$3)))</f>
        <v/>
      </c>
      <c r="E57" t="str">
        <f>IF($B57="","",IF(E$3=0,"n.b.",INDEX(SRC_ZPMW03!$A$1:$ZZ$501,$A57,E$3)))</f>
        <v/>
      </c>
      <c r="F57" t="str">
        <f>IF($B57="","",IF(F$3=0,"n.b.",INDEX(SRC_ZPMW03!$A$1:$ZZ$501,$A57,F$3)))</f>
        <v/>
      </c>
      <c r="G57" t="str">
        <f>IF($B57="","",IF(G$3=0,"n.b.",INDEX(SRC_ZPMW03!$A$1:$ZZ$501,$A57,G$3)))</f>
        <v/>
      </c>
      <c r="H57" t="str">
        <f>IF($B57="","",IF(H$3=0,"n.b.",INDEX(SRC_ZPMW03!$A$1:$ZZ$501,$A57,H$3)))</f>
        <v/>
      </c>
      <c r="I57" t="str">
        <f>IF($B57="","",IF(I$3=0,"n.b.",INDEX(SRC_ZPMW03!$A$1:$ZZ$501,$A57,I$3)))</f>
        <v/>
      </c>
      <c r="J57" t="str">
        <f>IF($B57="","",IF(J$3=0,"n.b.",INDEX(SRC_ZPMW03!$A$1:$ZZ$501,$A57,J$3)))</f>
        <v/>
      </c>
      <c r="K57" t="str">
        <f>IF($B57="","",IF(K$3=0,"n.b.",INDEX(SRC_ZPMW03!$A$1:$ZZ$501,$A57,K$3)))</f>
        <v/>
      </c>
      <c r="L57" s="124" t="str">
        <f>IF($B57="","",IF(L$3=0,"n.b.",INDEX(SRC_ZPMW03!$A$1:$ZZ$501,$A57,L$3)))</f>
        <v/>
      </c>
      <c r="M57" s="124" t="str">
        <f>IF($B57="","",IF(M$3=0,"n.b.",INDEX(SRC_ZPMW03!$A$1:$ZZ$501,$A57,M$3)))</f>
        <v/>
      </c>
      <c r="N57" s="124" t="str">
        <f>IF($B57="","",IF(N$3=0,"n.b.",INDEX(SRC_ZPMW03!$A$1:$ZZ$501,$A57,N$3)))</f>
        <v/>
      </c>
      <c r="O57" s="124" t="str">
        <f>IF($B57="","",IF(O$3=0,"n.b.",INDEX(SRC_ZPMW03!$A$1:$ZZ$501,$A57,O$3)))</f>
        <v/>
      </c>
      <c r="P57" s="124" t="str">
        <f>IF($B57="","",IF(P$3=0,"n.b.",INDEX(SRC_ZPMW03!$A$1:$ZZ$501,$A57,P$3)))</f>
        <v/>
      </c>
      <c r="Q57" s="124" t="str">
        <f>IF($B57="","",IF(Q$3=0,"n.b.",INDEX(SRC_ZPMW03!$A$1:$ZZ$501,$A57,Q$3)))</f>
        <v/>
      </c>
      <c r="R57" s="124" t="str">
        <f>IF($B57="","",IF(R$3=0,"n.b.",INDEX(SRC_ZPMW03!$A$1:$ZZ$501,$A57,R$3)))</f>
        <v/>
      </c>
      <c r="S57" s="124" t="str">
        <f>IF($B57="","",IF(S$3=0,"n.b.",INDEX(SRC_ZPMW03!$A$1:$ZZ$501,$A57,S$3)))</f>
        <v/>
      </c>
      <c r="T57" s="124" t="str">
        <f>IF($B57="","",IF(T$3=0,"n.b.",INDEX(SRC_ZPMW03!$A$1:$ZZ$501,$A57,T$3)))</f>
        <v/>
      </c>
      <c r="U57" s="124" t="str">
        <f>IF($B57="","",IF(U$3=0,"n.b.",INDEX(SRC_ZPMW03!$A$1:$ZZ$501,$A57,U$3)))</f>
        <v/>
      </c>
      <c r="V57" s="124" t="str">
        <f>IF($B57="","",IF(V$3=0,"n.b.",INDEX(SRC_ZPMW03!$A$1:$ZZ$501,$A57,V$3)))</f>
        <v/>
      </c>
      <c r="W57" s="124" t="str">
        <f>IF($B57="","",IF(W$3=0,"n.b.",INDEX(SRC_ZPMW03!$A$1:$ZZ$501,$A57,W$3)))</f>
        <v/>
      </c>
      <c r="X57" s="124" t="str">
        <f>IF($B57="","",IF(X$3=0,"n.b.",INDEX(SRC_ZPMW03!$A$1:$ZZ$501,$A57,X$3)))</f>
        <v/>
      </c>
      <c r="Y57" s="124" t="str">
        <f>IF($B57="","",IF(Y$3=0,"n.b.",INDEX(SRC_ZPMW03!$A$1:$ZZ$501,$A57,Y$3)))</f>
        <v/>
      </c>
      <c r="Z57" s="124" t="str">
        <f>IF($B57="","",IF(Z$3=0,"n.b.",INDEX(SRC_ZPMW03!$A$1:$ZZ$501,$A57,Z$3)))</f>
        <v/>
      </c>
      <c r="AA57" s="124" t="str">
        <f>IF($B57="","",IF(AA$3=0,"n.b.",INDEX(SRC_ZPMW03!$A$1:$ZZ$501,$A57,AA$3)))</f>
        <v/>
      </c>
      <c r="AB57" s="124" t="str">
        <f>IF($B57="","",IF(AB$3=0,"n.b.",INDEX(SRC_ZPMW03!$A$1:$ZZ$501,$A57,AB$3)))</f>
        <v/>
      </c>
      <c r="AC57" s="124" t="str">
        <f>IF($B57="","",IF(AC$3=0,"n.b.",INDEX(SRC_ZPMW03!$A$1:$ZZ$501,$A57,AC$3)))</f>
        <v/>
      </c>
      <c r="AD57" s="124" t="str">
        <f>IF($B57="","",IF(AD$3=0,"n.b.",INDEX(SRC_ZPMW03!$A$1:$ZZ$501,$A57,AD$3)))</f>
        <v/>
      </c>
      <c r="AE57" s="124" t="str">
        <f>IF($B57="","",IF(AE$3=0,"n.b.",INDEX(SRC_ZPMW03!$A$1:$ZZ$501,$A57,AE$3)))</f>
        <v/>
      </c>
      <c r="AF57" s="124" t="str">
        <f>IF($B57="","",IF(AF$3=0,"n.b.",INDEX(SRC_ZPMW03!$A$1:$ZZ$501,$A57,AF$3)))</f>
        <v/>
      </c>
      <c r="AG57" s="124" t="str">
        <f>IF($B57="","",IF(AG$3=0,"n.b.",INDEX(SRC_ZPMW03!$A$1:$ZZ$501,$A57,AG$3)))</f>
        <v/>
      </c>
      <c r="AH57" s="124" t="str">
        <f>IF($B57="","",IF(AH$3=0,"n.b.",INDEX(SRC_ZPMW03!$A$1:$ZZ$501,$A57,AH$3)))</f>
        <v/>
      </c>
      <c r="AI57" s="124" t="str">
        <f>IF($B57="","",IF(AI$3=0,"n.b.",INDEX(SRC_ZPMW03!$A$1:$ZZ$501,$A57,AI$3)))</f>
        <v/>
      </c>
      <c r="AJ57" s="124" t="str">
        <f>IF($B57="","",IF(AJ$3=0,"n.b.",INDEX(SRC_ZPMW03!$A$1:$ZZ$501,$A57,AJ$3)))</f>
        <v/>
      </c>
      <c r="AK57" s="124" t="str">
        <f>IF($B57="","",IF(AK$3=0,"n.b.",INDEX(SRC_ZPMW03!$A$1:$ZZ$501,$A57,AK$3)))</f>
        <v/>
      </c>
      <c r="AL57" s="124" t="str">
        <f>IF($B57="","",IF(AL$3=0,"n.b.",INDEX(SRC_ZPMW03!$A$1:$ZZ$501,$A57,AL$3)))</f>
        <v/>
      </c>
      <c r="AM57" s="124" t="str">
        <f>IF($B57="","",IF(AM$3=0,"n.b.",INDEX(SRC_ZPMW03!$A$1:$ZZ$501,$A57,AM$3)))</f>
        <v/>
      </c>
      <c r="AN57" s="124" t="str">
        <f>IF($B57="","",IF(AN$3=0,"n.b.",INDEX(SRC_ZPMW03!$A$1:$ZZ$501,$A57,AN$3)))</f>
        <v/>
      </c>
      <c r="AO57" s="124" t="str">
        <f>IF($B57="","",IF(AO$3=0,"n.b.",INDEX(SRC_ZPMW03!$A$1:$ZZ$501,$A57,AO$3)))</f>
        <v/>
      </c>
      <c r="AP57" s="124" t="str">
        <f>IF($B57="","",IF(AP$3=0,"n.b.",INDEX(SRC_ZPMW03!$A$1:$ZZ$501,$A57,AP$3)))</f>
        <v/>
      </c>
      <c r="AQ57" s="124" t="str">
        <f>IF($B57="","",IF(AQ$3=0,"n.b.",INDEX(SRC_ZPMW03!$A$1:$ZZ$501,$A57,AQ$3)))</f>
        <v/>
      </c>
      <c r="AR57" s="124" t="str">
        <f>IF($B57="","",IF(AR$3=0,"n.b.",INDEX(SRC_ZPMW03!$A$1:$ZZ$501,$A57,AR$3)))</f>
        <v/>
      </c>
      <c r="AS57" s="124" t="str">
        <f>IF($B57="","",IF(AS$3=0,"n.b.",INDEX(SRC_ZPMW03!$A$1:$ZZ$501,$A57,AS$3)))</f>
        <v/>
      </c>
      <c r="AT57" s="124" t="str">
        <f>IF($B57="","",IF(AT$3=0,"n.b.",INDEX(SRC_ZPMW03!$A$1:$ZZ$501,$A57,AT$3)))</f>
        <v/>
      </c>
      <c r="AU57" s="124" t="str">
        <f>IF($B57="","",IF(AU$3=0,"n.b.",INDEX(SRC_ZPMW03!$A$1:$ZZ$501,$A57,AU$3)))</f>
        <v/>
      </c>
      <c r="AV57" s="124" t="str">
        <f>IF($B57="","",IF(AV$3=0,"n.b.",INDEX(SRC_ZPMW03!$A$1:$ZZ$501,$A57,AV$3)))</f>
        <v/>
      </c>
      <c r="AW57" s="124" t="str">
        <f>IF($B57="","",IF(AW$3=0,"n.b.",INDEX(SRC_ZPMW03!$A$1:$ZZ$501,$A57,AW$3)))</f>
        <v/>
      </c>
      <c r="AX57" s="124" t="str">
        <f>IF($B57="","",IF(AX$3=0,"n.b.",INDEX(SRC_ZPMW03!$A$1:$ZZ$501,$A57,AX$3)))</f>
        <v/>
      </c>
      <c r="AY57" s="124" t="str">
        <f>IF($B57="","",IF(AY$3=0,"n.b.",INDEX(SRC_ZPMW03!$A$1:$ZZ$501,$A57,AY$3)))</f>
        <v/>
      </c>
      <c r="AZ57" s="124" t="str">
        <f>IF($B57="","",IF(AZ$3=0,"n.b.",INDEX(SRC_ZPMW03!$A$1:$ZZ$501,$A57,AZ$3)))</f>
        <v/>
      </c>
      <c r="BA57" s="124" t="str">
        <f>IF($B57="","",IF(BA$3=0,"n.b.",INDEX(SRC_ZPMW03!$A$1:$ZZ$501,$A57,BA$3)))</f>
        <v/>
      </c>
      <c r="BB57" s="124" t="str">
        <f>IF($B57="","",IF(BB$3=0,"n.b.",INDEX(SRC_ZPMW03!$A$1:$ZZ$501,$A57,BB$3)))</f>
        <v/>
      </c>
      <c r="BC57" s="124" t="str">
        <f>IF($B57="","",IF(BC$3=0,"n.b.",INDEX(SRC_ZPMW03!$A$1:$ZZ$501,$A57,BC$3)))</f>
        <v/>
      </c>
      <c r="BD57" s="124" t="str">
        <f>IF($B57="","",IF(BD$3=0,"n.b.",INDEX(SRC_ZPMW03!$A$1:$ZZ$501,$A57,BD$3)))</f>
        <v/>
      </c>
      <c r="BE57" s="124" t="str">
        <f>IF($B57="","",IF(BE$3=0,"n.b.",INDEX(SRC_ZPMW03!$A$1:$ZZ$501,$A57,BE$3)))</f>
        <v/>
      </c>
      <c r="BF57" s="124" t="str">
        <f>IF($B57="","",IF(BF$3=0,"n.b.",INDEX(SRC_ZPMW03!$A$1:$ZZ$501,$A57,BF$3)))</f>
        <v/>
      </c>
      <c r="BG57" t="str">
        <f>IF($B57="","",IF(BG$3=0,"n.b.",INDEX(SRC_ZPMW03!$A$1:$ZZ$501,$A57,BG$3)))</f>
        <v/>
      </c>
      <c r="BH57" t="str">
        <f>IF($B57="","",IF(BH$3=0,"n.b.",INDEX(SRC_ZPMW03!$A$1:$ZZ$501,$A57,BH$3)))</f>
        <v/>
      </c>
      <c r="BI57" t="str">
        <f>IF($B57="","",IF(BI$3=0,"n.b.",INDEX(SRC_ZPMW03!$A$1:$ZZ$501,$A57,BI$3)))</f>
        <v/>
      </c>
      <c r="BJ57" t="str">
        <f>IF($B57="","",IF(BJ$3=0,"n.b.",INDEX(SRC_ZPMW03!$A$1:$ZZ$501,$A57,BJ$3)))</f>
        <v/>
      </c>
      <c r="BK57" s="124" t="str">
        <f>IF($B57="","",IFERROR(-O57,"n.b."))</f>
        <v/>
      </c>
      <c r="BL57" s="124" t="str">
        <f>IF($B57="","",IFERROR(-Q57,"n.b."))</f>
        <v/>
      </c>
      <c r="BM57" s="124" t="str">
        <f>IF($B57="","",IFERROR(-AB57,"n.b."))</f>
        <v/>
      </c>
      <c r="BN57" s="124" t="str">
        <f>IF($B57="","",IFERROR(-AD57,"n.b."))</f>
        <v/>
      </c>
      <c r="BO57" s="124" t="str">
        <f>IF($B57="","",IFERROR(BK57+BM57,"n.b."))</f>
        <v/>
      </c>
      <c r="BP57" s="124" t="str">
        <f>IF($B57="","",IFERROR(BL57+BN57,"n.b."))</f>
        <v/>
      </c>
      <c r="BQ57" s="124" t="str">
        <f>IF($B57="","",IFERROR(-AM57,"n.b."))</f>
        <v/>
      </c>
      <c r="BR57" s="124" t="str">
        <f>IF($B57="","",IFERROR(-AO57,"n.b."))</f>
        <v/>
      </c>
      <c r="BS57" s="124" t="str">
        <f>IF($B57="","",IFERROR(-Z57,"n.b."))</f>
        <v/>
      </c>
      <c r="BT57" s="124" t="str">
        <f>IF($B57="","",IFERROR(-AA57,"n.b."))</f>
        <v/>
      </c>
      <c r="BU57" s="124" t="str">
        <f>IF($B57="","",IFERROR(-AE57,"n.b."))</f>
        <v/>
      </c>
      <c r="BV57" s="124" t="str">
        <f>IF($B57="","",IFERROR(-AF57,"n.b."))</f>
        <v/>
      </c>
      <c r="BW57" s="124" t="str">
        <f>IF($B57="","",IFERROR(-AG57,"n.b."))</f>
        <v/>
      </c>
      <c r="BX57" s="124" t="str">
        <f>IF($B57="","",IFERROR(-AH57,"n.b."))</f>
        <v/>
      </c>
      <c r="BY57" s="124" t="str">
        <f>IF($B57="","",IFERROR(-AI57,"n.b."))</f>
        <v/>
      </c>
      <c r="BZ57" s="124" t="str">
        <f>IF($B57="","",IFERROR(-AJ57,"n.b."))</f>
        <v/>
      </c>
      <c r="CA57" s="124" t="str">
        <f>IF($B57="","",IFERROR(-AK57,"n.b."))</f>
        <v/>
      </c>
      <c r="CB57" s="124" t="str">
        <f>IF($B57="","",IFERROR(-AL57,"n.b."))</f>
        <v/>
      </c>
      <c r="CC57" s="124" t="str">
        <f>IF($B57="","",IFERROR(-AP57,"n.b."))</f>
        <v/>
      </c>
      <c r="CD57" s="124" t="str">
        <f>IF($B57="","",IFERROR(-AQ57,"n.b."))</f>
        <v/>
      </c>
      <c r="CE57" s="124" t="str">
        <f>IF($B57="","",IFERROR(-AR57,"n.b."))</f>
        <v/>
      </c>
      <c r="CF57" s="124" t="str">
        <f>IF($B57="","",IFERROR(-AS57,"n.b."))</f>
        <v/>
      </c>
      <c r="CG57" s="124" t="str">
        <f>IF($B57="","",IFERROR(-AT57,"n.b."))</f>
        <v/>
      </c>
      <c r="CH57" s="124" t="str">
        <f>IF($B57="","",IFERROR(-AU57,"n.b."))</f>
        <v/>
      </c>
      <c r="CI57" s="124" t="str">
        <f>IF($B57="","",IFERROR(-AV57,"n.b."))</f>
        <v/>
      </c>
      <c r="CJ57" s="124" t="str">
        <f>IF($B57="","",IFERROR(-AW57,"n.b."))</f>
        <v/>
      </c>
      <c r="CK57" s="124" t="str">
        <f>IF($B57="","",IFERROR(-AX57,"n.b."))</f>
        <v/>
      </c>
      <c r="CL57" s="124" t="str">
        <f>IF($B57="","",IFERROR(-AY57,"n.b."))</f>
        <v/>
      </c>
      <c r="CM57" s="124" t="str">
        <f>IF($B57="","",IFERROR(-AZ57,"n.b."))</f>
        <v/>
      </c>
      <c r="CN57" s="124" t="str">
        <f>IF($B57="","",IFERROR(-BA57,"n.b."))</f>
        <v/>
      </c>
      <c r="CO57" s="124" t="str">
        <f>IF($B57="","",IFERROR(-BB57,"n.b."))</f>
        <v/>
      </c>
      <c r="CP57" s="124" t="str">
        <f>IF($B57="","",IFERROR(-BC57,"n.b."))</f>
        <v/>
      </c>
      <c r="CQ57" s="124" t="str">
        <f>IF($B57="","",IFERROR(-BD57,"n.b."))</f>
        <v/>
      </c>
      <c r="CR57" s="124" t="str">
        <f>IF($B57="","",IFERROR(-BE57,"n.b."))</f>
        <v/>
      </c>
      <c r="CS57" s="124" t="str">
        <f>IF($B57="","",IFERROR(IF(OR(ABS(T57+V57+X57+Z57-AB57)&gt;P_Tol,ABS(U57+W57+Y57+AA57-AD57)&gt;P_Tol,ABS(AE57+AG57+AI57+AK57-AM57)&gt;P_Tol,ABS(AF57+AH57+AJ57+AL57-AO57)&gt;P_Tol),1,0),1))</f>
        <v/>
      </c>
      <c r="CT57" s="124" t="str">
        <f>IF($B57="","",IFERROR(IF(OR(ABS(AB57+AC57-AD57)&gt;P_Tol,ABS(AM57+AN57-AO57)&gt;P_Tol,ABS(O57+P57-Q57)&gt;P_Tol),1,0),1))</f>
        <v/>
      </c>
      <c r="CU57" s="124" t="str">
        <f>IF($B57="","",IFERROR(IF(ABS(R57-(AB57+AM57+AP57+AR57+AT57+AV57+AX57+AZ57+BB57+BD57))&gt;P_Tol,1,0),1))</f>
        <v/>
      </c>
      <c r="CV57" s="124" t="str">
        <f>IF($B57="","",IFERROR(IF(ABS(M57-(N57+O57+R57))&gt;P_Tol,1,0),1))</f>
        <v/>
      </c>
      <c r="CW57" s="124" t="str">
        <f>IF($B57="","",IF(COUNTIF(Mapping!$A$5:$A$104,B57)&gt;0,1,0))</f>
        <v/>
      </c>
      <c r="CX57" s="124" t="str">
        <f>IF($B57="","",COUNTIF($B$6:$B$505,B57))</f>
        <v/>
      </c>
      <c r="CY57" s="124" t="str">
        <f>IF($B57="","",COUNTIF(STG_Woningetalage!$B$6:$B$505,B57))</f>
        <v/>
      </c>
      <c r="CZ57" s="124" t="str">
        <f>IF($B57="","",IF(CW57=0,COUNTIF($CW$6:CW57,0),""))</f>
        <v/>
      </c>
    </row>
    <row r="58">
      <c r="A58" s="15" t="n">
        <v>54</v>
      </c>
      <c r="B58" t="str">
        <f>IF(B$3=0,"",IF(INDEX(SRC_ZPMW03!$A$1:$ZZ$501,$A58,B$3)&amp;""="","",INDEX(SRC_ZPMW03!$A$1:$ZZ$501,$A58,B$3)&amp;""))</f>
        <v/>
      </c>
      <c r="C58" t="str">
        <f>IF($B58="","",IF(C$3=0,"n.b.",INDEX(SRC_ZPMW03!$A$1:$ZZ$501,$A58,C$3)))</f>
        <v/>
      </c>
      <c r="D58" t="str">
        <f>IF($B58="","",IF(D$3=0,"n.b.",INDEX(SRC_ZPMW03!$A$1:$ZZ$501,$A58,D$3)))</f>
        <v/>
      </c>
      <c r="E58" t="str">
        <f>IF($B58="","",IF(E$3=0,"n.b.",INDEX(SRC_ZPMW03!$A$1:$ZZ$501,$A58,E$3)))</f>
        <v/>
      </c>
      <c r="F58" t="str">
        <f>IF($B58="","",IF(F$3=0,"n.b.",INDEX(SRC_ZPMW03!$A$1:$ZZ$501,$A58,F$3)))</f>
        <v/>
      </c>
      <c r="G58" t="str">
        <f>IF($B58="","",IF(G$3=0,"n.b.",INDEX(SRC_ZPMW03!$A$1:$ZZ$501,$A58,G$3)))</f>
        <v/>
      </c>
      <c r="H58" t="str">
        <f>IF($B58="","",IF(H$3=0,"n.b.",INDEX(SRC_ZPMW03!$A$1:$ZZ$501,$A58,H$3)))</f>
        <v/>
      </c>
      <c r="I58" t="str">
        <f>IF($B58="","",IF(I$3=0,"n.b.",INDEX(SRC_ZPMW03!$A$1:$ZZ$501,$A58,I$3)))</f>
        <v/>
      </c>
      <c r="J58" t="str">
        <f>IF($B58="","",IF(J$3=0,"n.b.",INDEX(SRC_ZPMW03!$A$1:$ZZ$501,$A58,J$3)))</f>
        <v/>
      </c>
      <c r="K58" t="str">
        <f>IF($B58="","",IF(K$3=0,"n.b.",INDEX(SRC_ZPMW03!$A$1:$ZZ$501,$A58,K$3)))</f>
        <v/>
      </c>
      <c r="L58" s="124" t="str">
        <f>IF($B58="","",IF(L$3=0,"n.b.",INDEX(SRC_ZPMW03!$A$1:$ZZ$501,$A58,L$3)))</f>
        <v/>
      </c>
      <c r="M58" s="124" t="str">
        <f>IF($B58="","",IF(M$3=0,"n.b.",INDEX(SRC_ZPMW03!$A$1:$ZZ$501,$A58,M$3)))</f>
        <v/>
      </c>
      <c r="N58" s="124" t="str">
        <f>IF($B58="","",IF(N$3=0,"n.b.",INDEX(SRC_ZPMW03!$A$1:$ZZ$501,$A58,N$3)))</f>
        <v/>
      </c>
      <c r="O58" s="124" t="str">
        <f>IF($B58="","",IF(O$3=0,"n.b.",INDEX(SRC_ZPMW03!$A$1:$ZZ$501,$A58,O$3)))</f>
        <v/>
      </c>
      <c r="P58" s="124" t="str">
        <f>IF($B58="","",IF(P$3=0,"n.b.",INDEX(SRC_ZPMW03!$A$1:$ZZ$501,$A58,P$3)))</f>
        <v/>
      </c>
      <c r="Q58" s="124" t="str">
        <f>IF($B58="","",IF(Q$3=0,"n.b.",INDEX(SRC_ZPMW03!$A$1:$ZZ$501,$A58,Q$3)))</f>
        <v/>
      </c>
      <c r="R58" s="124" t="str">
        <f>IF($B58="","",IF(R$3=0,"n.b.",INDEX(SRC_ZPMW03!$A$1:$ZZ$501,$A58,R$3)))</f>
        <v/>
      </c>
      <c r="S58" s="124" t="str">
        <f>IF($B58="","",IF(S$3=0,"n.b.",INDEX(SRC_ZPMW03!$A$1:$ZZ$501,$A58,S$3)))</f>
        <v/>
      </c>
      <c r="T58" s="124" t="str">
        <f>IF($B58="","",IF(T$3=0,"n.b.",INDEX(SRC_ZPMW03!$A$1:$ZZ$501,$A58,T$3)))</f>
        <v/>
      </c>
      <c r="U58" s="124" t="str">
        <f>IF($B58="","",IF(U$3=0,"n.b.",INDEX(SRC_ZPMW03!$A$1:$ZZ$501,$A58,U$3)))</f>
        <v/>
      </c>
      <c r="V58" s="124" t="str">
        <f>IF($B58="","",IF(V$3=0,"n.b.",INDEX(SRC_ZPMW03!$A$1:$ZZ$501,$A58,V$3)))</f>
        <v/>
      </c>
      <c r="W58" s="124" t="str">
        <f>IF($B58="","",IF(W$3=0,"n.b.",INDEX(SRC_ZPMW03!$A$1:$ZZ$501,$A58,W$3)))</f>
        <v/>
      </c>
      <c r="X58" s="124" t="str">
        <f>IF($B58="","",IF(X$3=0,"n.b.",INDEX(SRC_ZPMW03!$A$1:$ZZ$501,$A58,X$3)))</f>
        <v/>
      </c>
      <c r="Y58" s="124" t="str">
        <f>IF($B58="","",IF(Y$3=0,"n.b.",INDEX(SRC_ZPMW03!$A$1:$ZZ$501,$A58,Y$3)))</f>
        <v/>
      </c>
      <c r="Z58" s="124" t="str">
        <f>IF($B58="","",IF(Z$3=0,"n.b.",INDEX(SRC_ZPMW03!$A$1:$ZZ$501,$A58,Z$3)))</f>
        <v/>
      </c>
      <c r="AA58" s="124" t="str">
        <f>IF($B58="","",IF(AA$3=0,"n.b.",INDEX(SRC_ZPMW03!$A$1:$ZZ$501,$A58,AA$3)))</f>
        <v/>
      </c>
      <c r="AB58" s="124" t="str">
        <f>IF($B58="","",IF(AB$3=0,"n.b.",INDEX(SRC_ZPMW03!$A$1:$ZZ$501,$A58,AB$3)))</f>
        <v/>
      </c>
      <c r="AC58" s="124" t="str">
        <f>IF($B58="","",IF(AC$3=0,"n.b.",INDEX(SRC_ZPMW03!$A$1:$ZZ$501,$A58,AC$3)))</f>
        <v/>
      </c>
      <c r="AD58" s="124" t="str">
        <f>IF($B58="","",IF(AD$3=0,"n.b.",INDEX(SRC_ZPMW03!$A$1:$ZZ$501,$A58,AD$3)))</f>
        <v/>
      </c>
      <c r="AE58" s="124" t="str">
        <f>IF($B58="","",IF(AE$3=0,"n.b.",INDEX(SRC_ZPMW03!$A$1:$ZZ$501,$A58,AE$3)))</f>
        <v/>
      </c>
      <c r="AF58" s="124" t="str">
        <f>IF($B58="","",IF(AF$3=0,"n.b.",INDEX(SRC_ZPMW03!$A$1:$ZZ$501,$A58,AF$3)))</f>
        <v/>
      </c>
      <c r="AG58" s="124" t="str">
        <f>IF($B58="","",IF(AG$3=0,"n.b.",INDEX(SRC_ZPMW03!$A$1:$ZZ$501,$A58,AG$3)))</f>
        <v/>
      </c>
      <c r="AH58" s="124" t="str">
        <f>IF($B58="","",IF(AH$3=0,"n.b.",INDEX(SRC_ZPMW03!$A$1:$ZZ$501,$A58,AH$3)))</f>
        <v/>
      </c>
      <c r="AI58" s="124" t="str">
        <f>IF($B58="","",IF(AI$3=0,"n.b.",INDEX(SRC_ZPMW03!$A$1:$ZZ$501,$A58,AI$3)))</f>
        <v/>
      </c>
      <c r="AJ58" s="124" t="str">
        <f>IF($B58="","",IF(AJ$3=0,"n.b.",INDEX(SRC_ZPMW03!$A$1:$ZZ$501,$A58,AJ$3)))</f>
        <v/>
      </c>
      <c r="AK58" s="124" t="str">
        <f>IF($B58="","",IF(AK$3=0,"n.b.",INDEX(SRC_ZPMW03!$A$1:$ZZ$501,$A58,AK$3)))</f>
        <v/>
      </c>
      <c r="AL58" s="124" t="str">
        <f>IF($B58="","",IF(AL$3=0,"n.b.",INDEX(SRC_ZPMW03!$A$1:$ZZ$501,$A58,AL$3)))</f>
        <v/>
      </c>
      <c r="AM58" s="124" t="str">
        <f>IF($B58="","",IF(AM$3=0,"n.b.",INDEX(SRC_ZPMW03!$A$1:$ZZ$501,$A58,AM$3)))</f>
        <v/>
      </c>
      <c r="AN58" s="124" t="str">
        <f>IF($B58="","",IF(AN$3=0,"n.b.",INDEX(SRC_ZPMW03!$A$1:$ZZ$501,$A58,AN$3)))</f>
        <v/>
      </c>
      <c r="AO58" s="124" t="str">
        <f>IF($B58="","",IF(AO$3=0,"n.b.",INDEX(SRC_ZPMW03!$A$1:$ZZ$501,$A58,AO$3)))</f>
        <v/>
      </c>
      <c r="AP58" s="124" t="str">
        <f>IF($B58="","",IF(AP$3=0,"n.b.",INDEX(SRC_ZPMW03!$A$1:$ZZ$501,$A58,AP$3)))</f>
        <v/>
      </c>
      <c r="AQ58" s="124" t="str">
        <f>IF($B58="","",IF(AQ$3=0,"n.b.",INDEX(SRC_ZPMW03!$A$1:$ZZ$501,$A58,AQ$3)))</f>
        <v/>
      </c>
      <c r="AR58" s="124" t="str">
        <f>IF($B58="","",IF(AR$3=0,"n.b.",INDEX(SRC_ZPMW03!$A$1:$ZZ$501,$A58,AR$3)))</f>
        <v/>
      </c>
      <c r="AS58" s="124" t="str">
        <f>IF($B58="","",IF(AS$3=0,"n.b.",INDEX(SRC_ZPMW03!$A$1:$ZZ$501,$A58,AS$3)))</f>
        <v/>
      </c>
      <c r="AT58" s="124" t="str">
        <f>IF($B58="","",IF(AT$3=0,"n.b.",INDEX(SRC_ZPMW03!$A$1:$ZZ$501,$A58,AT$3)))</f>
        <v/>
      </c>
      <c r="AU58" s="124" t="str">
        <f>IF($B58="","",IF(AU$3=0,"n.b.",INDEX(SRC_ZPMW03!$A$1:$ZZ$501,$A58,AU$3)))</f>
        <v/>
      </c>
      <c r="AV58" s="124" t="str">
        <f>IF($B58="","",IF(AV$3=0,"n.b.",INDEX(SRC_ZPMW03!$A$1:$ZZ$501,$A58,AV$3)))</f>
        <v/>
      </c>
      <c r="AW58" s="124" t="str">
        <f>IF($B58="","",IF(AW$3=0,"n.b.",INDEX(SRC_ZPMW03!$A$1:$ZZ$501,$A58,AW$3)))</f>
        <v/>
      </c>
      <c r="AX58" s="124" t="str">
        <f>IF($B58="","",IF(AX$3=0,"n.b.",INDEX(SRC_ZPMW03!$A$1:$ZZ$501,$A58,AX$3)))</f>
        <v/>
      </c>
      <c r="AY58" s="124" t="str">
        <f>IF($B58="","",IF(AY$3=0,"n.b.",INDEX(SRC_ZPMW03!$A$1:$ZZ$501,$A58,AY$3)))</f>
        <v/>
      </c>
      <c r="AZ58" s="124" t="str">
        <f>IF($B58="","",IF(AZ$3=0,"n.b.",INDEX(SRC_ZPMW03!$A$1:$ZZ$501,$A58,AZ$3)))</f>
        <v/>
      </c>
      <c r="BA58" s="124" t="str">
        <f>IF($B58="","",IF(BA$3=0,"n.b.",INDEX(SRC_ZPMW03!$A$1:$ZZ$501,$A58,BA$3)))</f>
        <v/>
      </c>
      <c r="BB58" s="124" t="str">
        <f>IF($B58="","",IF(BB$3=0,"n.b.",INDEX(SRC_ZPMW03!$A$1:$ZZ$501,$A58,BB$3)))</f>
        <v/>
      </c>
      <c r="BC58" s="124" t="str">
        <f>IF($B58="","",IF(BC$3=0,"n.b.",INDEX(SRC_ZPMW03!$A$1:$ZZ$501,$A58,BC$3)))</f>
        <v/>
      </c>
      <c r="BD58" s="124" t="str">
        <f>IF($B58="","",IF(BD$3=0,"n.b.",INDEX(SRC_ZPMW03!$A$1:$ZZ$501,$A58,BD$3)))</f>
        <v/>
      </c>
      <c r="BE58" s="124" t="str">
        <f>IF($B58="","",IF(BE$3=0,"n.b.",INDEX(SRC_ZPMW03!$A$1:$ZZ$501,$A58,BE$3)))</f>
        <v/>
      </c>
      <c r="BF58" s="124" t="str">
        <f>IF($B58="","",IF(BF$3=0,"n.b.",INDEX(SRC_ZPMW03!$A$1:$ZZ$501,$A58,BF$3)))</f>
        <v/>
      </c>
      <c r="BG58" t="str">
        <f>IF($B58="","",IF(BG$3=0,"n.b.",INDEX(SRC_ZPMW03!$A$1:$ZZ$501,$A58,BG$3)))</f>
        <v/>
      </c>
      <c r="BH58" t="str">
        <f>IF($B58="","",IF(BH$3=0,"n.b.",INDEX(SRC_ZPMW03!$A$1:$ZZ$501,$A58,BH$3)))</f>
        <v/>
      </c>
      <c r="BI58" t="str">
        <f>IF($B58="","",IF(BI$3=0,"n.b.",INDEX(SRC_ZPMW03!$A$1:$ZZ$501,$A58,BI$3)))</f>
        <v/>
      </c>
      <c r="BJ58" t="str">
        <f>IF($B58="","",IF(BJ$3=0,"n.b.",INDEX(SRC_ZPMW03!$A$1:$ZZ$501,$A58,BJ$3)))</f>
        <v/>
      </c>
      <c r="BK58" s="124" t="str">
        <f>IF($B58="","",IFERROR(-O58,"n.b."))</f>
        <v/>
      </c>
      <c r="BL58" s="124" t="str">
        <f>IF($B58="","",IFERROR(-Q58,"n.b."))</f>
        <v/>
      </c>
      <c r="BM58" s="124" t="str">
        <f>IF($B58="","",IFERROR(-AB58,"n.b."))</f>
        <v/>
      </c>
      <c r="BN58" s="124" t="str">
        <f>IF($B58="","",IFERROR(-AD58,"n.b."))</f>
        <v/>
      </c>
      <c r="BO58" s="124" t="str">
        <f>IF($B58="","",IFERROR(BK58+BM58,"n.b."))</f>
        <v/>
      </c>
      <c r="BP58" s="124" t="str">
        <f>IF($B58="","",IFERROR(BL58+BN58,"n.b."))</f>
        <v/>
      </c>
      <c r="BQ58" s="124" t="str">
        <f>IF($B58="","",IFERROR(-AM58,"n.b."))</f>
        <v/>
      </c>
      <c r="BR58" s="124" t="str">
        <f>IF($B58="","",IFERROR(-AO58,"n.b."))</f>
        <v/>
      </c>
      <c r="BS58" s="124" t="str">
        <f>IF($B58="","",IFERROR(-Z58,"n.b."))</f>
        <v/>
      </c>
      <c r="BT58" s="124" t="str">
        <f>IF($B58="","",IFERROR(-AA58,"n.b."))</f>
        <v/>
      </c>
      <c r="BU58" s="124" t="str">
        <f>IF($B58="","",IFERROR(-AE58,"n.b."))</f>
        <v/>
      </c>
      <c r="BV58" s="124" t="str">
        <f>IF($B58="","",IFERROR(-AF58,"n.b."))</f>
        <v/>
      </c>
      <c r="BW58" s="124" t="str">
        <f>IF($B58="","",IFERROR(-AG58,"n.b."))</f>
        <v/>
      </c>
      <c r="BX58" s="124" t="str">
        <f>IF($B58="","",IFERROR(-AH58,"n.b."))</f>
        <v/>
      </c>
      <c r="BY58" s="124" t="str">
        <f>IF($B58="","",IFERROR(-AI58,"n.b."))</f>
        <v/>
      </c>
      <c r="BZ58" s="124" t="str">
        <f>IF($B58="","",IFERROR(-AJ58,"n.b."))</f>
        <v/>
      </c>
      <c r="CA58" s="124" t="str">
        <f>IF($B58="","",IFERROR(-AK58,"n.b."))</f>
        <v/>
      </c>
      <c r="CB58" s="124" t="str">
        <f>IF($B58="","",IFERROR(-AL58,"n.b."))</f>
        <v/>
      </c>
      <c r="CC58" s="124" t="str">
        <f>IF($B58="","",IFERROR(-AP58,"n.b."))</f>
        <v/>
      </c>
      <c r="CD58" s="124" t="str">
        <f>IF($B58="","",IFERROR(-AQ58,"n.b."))</f>
        <v/>
      </c>
      <c r="CE58" s="124" t="str">
        <f>IF($B58="","",IFERROR(-AR58,"n.b."))</f>
        <v/>
      </c>
      <c r="CF58" s="124" t="str">
        <f>IF($B58="","",IFERROR(-AS58,"n.b."))</f>
        <v/>
      </c>
      <c r="CG58" s="124" t="str">
        <f>IF($B58="","",IFERROR(-AT58,"n.b."))</f>
        <v/>
      </c>
      <c r="CH58" s="124" t="str">
        <f>IF($B58="","",IFERROR(-AU58,"n.b."))</f>
        <v/>
      </c>
      <c r="CI58" s="124" t="str">
        <f>IF($B58="","",IFERROR(-AV58,"n.b."))</f>
        <v/>
      </c>
      <c r="CJ58" s="124" t="str">
        <f>IF($B58="","",IFERROR(-AW58,"n.b."))</f>
        <v/>
      </c>
      <c r="CK58" s="124" t="str">
        <f>IF($B58="","",IFERROR(-AX58,"n.b."))</f>
        <v/>
      </c>
      <c r="CL58" s="124" t="str">
        <f>IF($B58="","",IFERROR(-AY58,"n.b."))</f>
        <v/>
      </c>
      <c r="CM58" s="124" t="str">
        <f>IF($B58="","",IFERROR(-AZ58,"n.b."))</f>
        <v/>
      </c>
      <c r="CN58" s="124" t="str">
        <f>IF($B58="","",IFERROR(-BA58,"n.b."))</f>
        <v/>
      </c>
      <c r="CO58" s="124" t="str">
        <f>IF($B58="","",IFERROR(-BB58,"n.b."))</f>
        <v/>
      </c>
      <c r="CP58" s="124" t="str">
        <f>IF($B58="","",IFERROR(-BC58,"n.b."))</f>
        <v/>
      </c>
      <c r="CQ58" s="124" t="str">
        <f>IF($B58="","",IFERROR(-BD58,"n.b."))</f>
        <v/>
      </c>
      <c r="CR58" s="124" t="str">
        <f>IF($B58="","",IFERROR(-BE58,"n.b."))</f>
        <v/>
      </c>
      <c r="CS58" s="124" t="str">
        <f>IF($B58="","",IFERROR(IF(OR(ABS(T58+V58+X58+Z58-AB58)&gt;P_Tol,ABS(U58+W58+Y58+AA58-AD58)&gt;P_Tol,ABS(AE58+AG58+AI58+AK58-AM58)&gt;P_Tol,ABS(AF58+AH58+AJ58+AL58-AO58)&gt;P_Tol),1,0),1))</f>
        <v/>
      </c>
      <c r="CT58" s="124" t="str">
        <f>IF($B58="","",IFERROR(IF(OR(ABS(AB58+AC58-AD58)&gt;P_Tol,ABS(AM58+AN58-AO58)&gt;P_Tol,ABS(O58+P58-Q58)&gt;P_Tol),1,0),1))</f>
        <v/>
      </c>
      <c r="CU58" s="124" t="str">
        <f>IF($B58="","",IFERROR(IF(ABS(R58-(AB58+AM58+AP58+AR58+AT58+AV58+AX58+AZ58+BB58+BD58))&gt;P_Tol,1,0),1))</f>
        <v/>
      </c>
      <c r="CV58" s="124" t="str">
        <f>IF($B58="","",IFERROR(IF(ABS(M58-(N58+O58+R58))&gt;P_Tol,1,0),1))</f>
        <v/>
      </c>
      <c r="CW58" s="124" t="str">
        <f>IF($B58="","",IF(COUNTIF(Mapping!$A$5:$A$104,B58)&gt;0,1,0))</f>
        <v/>
      </c>
      <c r="CX58" s="124" t="str">
        <f>IF($B58="","",COUNTIF($B$6:$B$505,B58))</f>
        <v/>
      </c>
      <c r="CY58" s="124" t="str">
        <f>IF($B58="","",COUNTIF(STG_Woningetalage!$B$6:$B$505,B58))</f>
        <v/>
      </c>
      <c r="CZ58" s="124" t="str">
        <f>IF($B58="","",IF(CW58=0,COUNTIF($CW$6:CW58,0),""))</f>
        <v/>
      </c>
    </row>
    <row r="59">
      <c r="A59" s="15" t="n">
        <v>55</v>
      </c>
      <c r="B59" t="str">
        <f>IF(B$3=0,"",IF(INDEX(SRC_ZPMW03!$A$1:$ZZ$501,$A59,B$3)&amp;""="","",INDEX(SRC_ZPMW03!$A$1:$ZZ$501,$A59,B$3)&amp;""))</f>
        <v/>
      </c>
      <c r="C59" t="str">
        <f>IF($B59="","",IF(C$3=0,"n.b.",INDEX(SRC_ZPMW03!$A$1:$ZZ$501,$A59,C$3)))</f>
        <v/>
      </c>
      <c r="D59" t="str">
        <f>IF($B59="","",IF(D$3=0,"n.b.",INDEX(SRC_ZPMW03!$A$1:$ZZ$501,$A59,D$3)))</f>
        <v/>
      </c>
      <c r="E59" t="str">
        <f>IF($B59="","",IF(E$3=0,"n.b.",INDEX(SRC_ZPMW03!$A$1:$ZZ$501,$A59,E$3)))</f>
        <v/>
      </c>
      <c r="F59" t="str">
        <f>IF($B59="","",IF(F$3=0,"n.b.",INDEX(SRC_ZPMW03!$A$1:$ZZ$501,$A59,F$3)))</f>
        <v/>
      </c>
      <c r="G59" t="str">
        <f>IF($B59="","",IF(G$3=0,"n.b.",INDEX(SRC_ZPMW03!$A$1:$ZZ$501,$A59,G$3)))</f>
        <v/>
      </c>
      <c r="H59" t="str">
        <f>IF($B59="","",IF(H$3=0,"n.b.",INDEX(SRC_ZPMW03!$A$1:$ZZ$501,$A59,H$3)))</f>
        <v/>
      </c>
      <c r="I59" t="str">
        <f>IF($B59="","",IF(I$3=0,"n.b.",INDEX(SRC_ZPMW03!$A$1:$ZZ$501,$A59,I$3)))</f>
        <v/>
      </c>
      <c r="J59" t="str">
        <f>IF($B59="","",IF(J$3=0,"n.b.",INDEX(SRC_ZPMW03!$A$1:$ZZ$501,$A59,J$3)))</f>
        <v/>
      </c>
      <c r="K59" t="str">
        <f>IF($B59="","",IF(K$3=0,"n.b.",INDEX(SRC_ZPMW03!$A$1:$ZZ$501,$A59,K$3)))</f>
        <v/>
      </c>
      <c r="L59" s="124" t="str">
        <f>IF($B59="","",IF(L$3=0,"n.b.",INDEX(SRC_ZPMW03!$A$1:$ZZ$501,$A59,L$3)))</f>
        <v/>
      </c>
      <c r="M59" s="124" t="str">
        <f>IF($B59="","",IF(M$3=0,"n.b.",INDEX(SRC_ZPMW03!$A$1:$ZZ$501,$A59,M$3)))</f>
        <v/>
      </c>
      <c r="N59" s="124" t="str">
        <f>IF($B59="","",IF(N$3=0,"n.b.",INDEX(SRC_ZPMW03!$A$1:$ZZ$501,$A59,N$3)))</f>
        <v/>
      </c>
      <c r="O59" s="124" t="str">
        <f>IF($B59="","",IF(O$3=0,"n.b.",INDEX(SRC_ZPMW03!$A$1:$ZZ$501,$A59,O$3)))</f>
        <v/>
      </c>
      <c r="P59" s="124" t="str">
        <f>IF($B59="","",IF(P$3=0,"n.b.",INDEX(SRC_ZPMW03!$A$1:$ZZ$501,$A59,P$3)))</f>
        <v/>
      </c>
      <c r="Q59" s="124" t="str">
        <f>IF($B59="","",IF(Q$3=0,"n.b.",INDEX(SRC_ZPMW03!$A$1:$ZZ$501,$A59,Q$3)))</f>
        <v/>
      </c>
      <c r="R59" s="124" t="str">
        <f>IF($B59="","",IF(R$3=0,"n.b.",INDEX(SRC_ZPMW03!$A$1:$ZZ$501,$A59,R$3)))</f>
        <v/>
      </c>
      <c r="S59" s="124" t="str">
        <f>IF($B59="","",IF(S$3=0,"n.b.",INDEX(SRC_ZPMW03!$A$1:$ZZ$501,$A59,S$3)))</f>
        <v/>
      </c>
      <c r="T59" s="124" t="str">
        <f>IF($B59="","",IF(T$3=0,"n.b.",INDEX(SRC_ZPMW03!$A$1:$ZZ$501,$A59,T$3)))</f>
        <v/>
      </c>
      <c r="U59" s="124" t="str">
        <f>IF($B59="","",IF(U$3=0,"n.b.",INDEX(SRC_ZPMW03!$A$1:$ZZ$501,$A59,U$3)))</f>
        <v/>
      </c>
      <c r="V59" s="124" t="str">
        <f>IF($B59="","",IF(V$3=0,"n.b.",INDEX(SRC_ZPMW03!$A$1:$ZZ$501,$A59,V$3)))</f>
        <v/>
      </c>
      <c r="W59" s="124" t="str">
        <f>IF($B59="","",IF(W$3=0,"n.b.",INDEX(SRC_ZPMW03!$A$1:$ZZ$501,$A59,W$3)))</f>
        <v/>
      </c>
      <c r="X59" s="124" t="str">
        <f>IF($B59="","",IF(X$3=0,"n.b.",INDEX(SRC_ZPMW03!$A$1:$ZZ$501,$A59,X$3)))</f>
        <v/>
      </c>
      <c r="Y59" s="124" t="str">
        <f>IF($B59="","",IF(Y$3=0,"n.b.",INDEX(SRC_ZPMW03!$A$1:$ZZ$501,$A59,Y$3)))</f>
        <v/>
      </c>
      <c r="Z59" s="124" t="str">
        <f>IF($B59="","",IF(Z$3=0,"n.b.",INDEX(SRC_ZPMW03!$A$1:$ZZ$501,$A59,Z$3)))</f>
        <v/>
      </c>
      <c r="AA59" s="124" t="str">
        <f>IF($B59="","",IF(AA$3=0,"n.b.",INDEX(SRC_ZPMW03!$A$1:$ZZ$501,$A59,AA$3)))</f>
        <v/>
      </c>
      <c r="AB59" s="124" t="str">
        <f>IF($B59="","",IF(AB$3=0,"n.b.",INDEX(SRC_ZPMW03!$A$1:$ZZ$501,$A59,AB$3)))</f>
        <v/>
      </c>
      <c r="AC59" s="124" t="str">
        <f>IF($B59="","",IF(AC$3=0,"n.b.",INDEX(SRC_ZPMW03!$A$1:$ZZ$501,$A59,AC$3)))</f>
        <v/>
      </c>
      <c r="AD59" s="124" t="str">
        <f>IF($B59="","",IF(AD$3=0,"n.b.",INDEX(SRC_ZPMW03!$A$1:$ZZ$501,$A59,AD$3)))</f>
        <v/>
      </c>
      <c r="AE59" s="124" t="str">
        <f>IF($B59="","",IF(AE$3=0,"n.b.",INDEX(SRC_ZPMW03!$A$1:$ZZ$501,$A59,AE$3)))</f>
        <v/>
      </c>
      <c r="AF59" s="124" t="str">
        <f>IF($B59="","",IF(AF$3=0,"n.b.",INDEX(SRC_ZPMW03!$A$1:$ZZ$501,$A59,AF$3)))</f>
        <v/>
      </c>
      <c r="AG59" s="124" t="str">
        <f>IF($B59="","",IF(AG$3=0,"n.b.",INDEX(SRC_ZPMW03!$A$1:$ZZ$501,$A59,AG$3)))</f>
        <v/>
      </c>
      <c r="AH59" s="124" t="str">
        <f>IF($B59="","",IF(AH$3=0,"n.b.",INDEX(SRC_ZPMW03!$A$1:$ZZ$501,$A59,AH$3)))</f>
        <v/>
      </c>
      <c r="AI59" s="124" t="str">
        <f>IF($B59="","",IF(AI$3=0,"n.b.",INDEX(SRC_ZPMW03!$A$1:$ZZ$501,$A59,AI$3)))</f>
        <v/>
      </c>
      <c r="AJ59" s="124" t="str">
        <f>IF($B59="","",IF(AJ$3=0,"n.b.",INDEX(SRC_ZPMW03!$A$1:$ZZ$501,$A59,AJ$3)))</f>
        <v/>
      </c>
      <c r="AK59" s="124" t="str">
        <f>IF($B59="","",IF(AK$3=0,"n.b.",INDEX(SRC_ZPMW03!$A$1:$ZZ$501,$A59,AK$3)))</f>
        <v/>
      </c>
      <c r="AL59" s="124" t="str">
        <f>IF($B59="","",IF(AL$3=0,"n.b.",INDEX(SRC_ZPMW03!$A$1:$ZZ$501,$A59,AL$3)))</f>
        <v/>
      </c>
      <c r="AM59" s="124" t="str">
        <f>IF($B59="","",IF(AM$3=0,"n.b.",INDEX(SRC_ZPMW03!$A$1:$ZZ$501,$A59,AM$3)))</f>
        <v/>
      </c>
      <c r="AN59" s="124" t="str">
        <f>IF($B59="","",IF(AN$3=0,"n.b.",INDEX(SRC_ZPMW03!$A$1:$ZZ$501,$A59,AN$3)))</f>
        <v/>
      </c>
      <c r="AO59" s="124" t="str">
        <f>IF($B59="","",IF(AO$3=0,"n.b.",INDEX(SRC_ZPMW03!$A$1:$ZZ$501,$A59,AO$3)))</f>
        <v/>
      </c>
      <c r="AP59" s="124" t="str">
        <f>IF($B59="","",IF(AP$3=0,"n.b.",INDEX(SRC_ZPMW03!$A$1:$ZZ$501,$A59,AP$3)))</f>
        <v/>
      </c>
      <c r="AQ59" s="124" t="str">
        <f>IF($B59="","",IF(AQ$3=0,"n.b.",INDEX(SRC_ZPMW03!$A$1:$ZZ$501,$A59,AQ$3)))</f>
        <v/>
      </c>
      <c r="AR59" s="124" t="str">
        <f>IF($B59="","",IF(AR$3=0,"n.b.",INDEX(SRC_ZPMW03!$A$1:$ZZ$501,$A59,AR$3)))</f>
        <v/>
      </c>
      <c r="AS59" s="124" t="str">
        <f>IF($B59="","",IF(AS$3=0,"n.b.",INDEX(SRC_ZPMW03!$A$1:$ZZ$501,$A59,AS$3)))</f>
        <v/>
      </c>
      <c r="AT59" s="124" t="str">
        <f>IF($B59="","",IF(AT$3=0,"n.b.",INDEX(SRC_ZPMW03!$A$1:$ZZ$501,$A59,AT$3)))</f>
        <v/>
      </c>
      <c r="AU59" s="124" t="str">
        <f>IF($B59="","",IF(AU$3=0,"n.b.",INDEX(SRC_ZPMW03!$A$1:$ZZ$501,$A59,AU$3)))</f>
        <v/>
      </c>
      <c r="AV59" s="124" t="str">
        <f>IF($B59="","",IF(AV$3=0,"n.b.",INDEX(SRC_ZPMW03!$A$1:$ZZ$501,$A59,AV$3)))</f>
        <v/>
      </c>
      <c r="AW59" s="124" t="str">
        <f>IF($B59="","",IF(AW$3=0,"n.b.",INDEX(SRC_ZPMW03!$A$1:$ZZ$501,$A59,AW$3)))</f>
        <v/>
      </c>
      <c r="AX59" s="124" t="str">
        <f>IF($B59="","",IF(AX$3=0,"n.b.",INDEX(SRC_ZPMW03!$A$1:$ZZ$501,$A59,AX$3)))</f>
        <v/>
      </c>
      <c r="AY59" s="124" t="str">
        <f>IF($B59="","",IF(AY$3=0,"n.b.",INDEX(SRC_ZPMW03!$A$1:$ZZ$501,$A59,AY$3)))</f>
        <v/>
      </c>
      <c r="AZ59" s="124" t="str">
        <f>IF($B59="","",IF(AZ$3=0,"n.b.",INDEX(SRC_ZPMW03!$A$1:$ZZ$501,$A59,AZ$3)))</f>
        <v/>
      </c>
      <c r="BA59" s="124" t="str">
        <f>IF($B59="","",IF(BA$3=0,"n.b.",INDEX(SRC_ZPMW03!$A$1:$ZZ$501,$A59,BA$3)))</f>
        <v/>
      </c>
      <c r="BB59" s="124" t="str">
        <f>IF($B59="","",IF(BB$3=0,"n.b.",INDEX(SRC_ZPMW03!$A$1:$ZZ$501,$A59,BB$3)))</f>
        <v/>
      </c>
      <c r="BC59" s="124" t="str">
        <f>IF($B59="","",IF(BC$3=0,"n.b.",INDEX(SRC_ZPMW03!$A$1:$ZZ$501,$A59,BC$3)))</f>
        <v/>
      </c>
      <c r="BD59" s="124" t="str">
        <f>IF($B59="","",IF(BD$3=0,"n.b.",INDEX(SRC_ZPMW03!$A$1:$ZZ$501,$A59,BD$3)))</f>
        <v/>
      </c>
      <c r="BE59" s="124" t="str">
        <f>IF($B59="","",IF(BE$3=0,"n.b.",INDEX(SRC_ZPMW03!$A$1:$ZZ$501,$A59,BE$3)))</f>
        <v/>
      </c>
      <c r="BF59" s="124" t="str">
        <f>IF($B59="","",IF(BF$3=0,"n.b.",INDEX(SRC_ZPMW03!$A$1:$ZZ$501,$A59,BF$3)))</f>
        <v/>
      </c>
      <c r="BG59" t="str">
        <f>IF($B59="","",IF(BG$3=0,"n.b.",INDEX(SRC_ZPMW03!$A$1:$ZZ$501,$A59,BG$3)))</f>
        <v/>
      </c>
      <c r="BH59" t="str">
        <f>IF($B59="","",IF(BH$3=0,"n.b.",INDEX(SRC_ZPMW03!$A$1:$ZZ$501,$A59,BH$3)))</f>
        <v/>
      </c>
      <c r="BI59" t="str">
        <f>IF($B59="","",IF(BI$3=0,"n.b.",INDEX(SRC_ZPMW03!$A$1:$ZZ$501,$A59,BI$3)))</f>
        <v/>
      </c>
      <c r="BJ59" t="str">
        <f>IF($B59="","",IF(BJ$3=0,"n.b.",INDEX(SRC_ZPMW03!$A$1:$ZZ$501,$A59,BJ$3)))</f>
        <v/>
      </c>
      <c r="BK59" s="124" t="str">
        <f>IF($B59="","",IFERROR(-O59,"n.b."))</f>
        <v/>
      </c>
      <c r="BL59" s="124" t="str">
        <f>IF($B59="","",IFERROR(-Q59,"n.b."))</f>
        <v/>
      </c>
      <c r="BM59" s="124" t="str">
        <f>IF($B59="","",IFERROR(-AB59,"n.b."))</f>
        <v/>
      </c>
      <c r="BN59" s="124" t="str">
        <f>IF($B59="","",IFERROR(-AD59,"n.b."))</f>
        <v/>
      </c>
      <c r="BO59" s="124" t="str">
        <f>IF($B59="","",IFERROR(BK59+BM59,"n.b."))</f>
        <v/>
      </c>
      <c r="BP59" s="124" t="str">
        <f>IF($B59="","",IFERROR(BL59+BN59,"n.b."))</f>
        <v/>
      </c>
      <c r="BQ59" s="124" t="str">
        <f>IF($B59="","",IFERROR(-AM59,"n.b."))</f>
        <v/>
      </c>
      <c r="BR59" s="124" t="str">
        <f>IF($B59="","",IFERROR(-AO59,"n.b."))</f>
        <v/>
      </c>
      <c r="BS59" s="124" t="str">
        <f>IF($B59="","",IFERROR(-Z59,"n.b."))</f>
        <v/>
      </c>
      <c r="BT59" s="124" t="str">
        <f>IF($B59="","",IFERROR(-AA59,"n.b."))</f>
        <v/>
      </c>
      <c r="BU59" s="124" t="str">
        <f>IF($B59="","",IFERROR(-AE59,"n.b."))</f>
        <v/>
      </c>
      <c r="BV59" s="124" t="str">
        <f>IF($B59="","",IFERROR(-AF59,"n.b."))</f>
        <v/>
      </c>
      <c r="BW59" s="124" t="str">
        <f>IF($B59="","",IFERROR(-AG59,"n.b."))</f>
        <v/>
      </c>
      <c r="BX59" s="124" t="str">
        <f>IF($B59="","",IFERROR(-AH59,"n.b."))</f>
        <v/>
      </c>
      <c r="BY59" s="124" t="str">
        <f>IF($B59="","",IFERROR(-AI59,"n.b."))</f>
        <v/>
      </c>
      <c r="BZ59" s="124" t="str">
        <f>IF($B59="","",IFERROR(-AJ59,"n.b."))</f>
        <v/>
      </c>
      <c r="CA59" s="124" t="str">
        <f>IF($B59="","",IFERROR(-AK59,"n.b."))</f>
        <v/>
      </c>
      <c r="CB59" s="124" t="str">
        <f>IF($B59="","",IFERROR(-AL59,"n.b."))</f>
        <v/>
      </c>
      <c r="CC59" s="124" t="str">
        <f>IF($B59="","",IFERROR(-AP59,"n.b."))</f>
        <v/>
      </c>
      <c r="CD59" s="124" t="str">
        <f>IF($B59="","",IFERROR(-AQ59,"n.b."))</f>
        <v/>
      </c>
      <c r="CE59" s="124" t="str">
        <f>IF($B59="","",IFERROR(-AR59,"n.b."))</f>
        <v/>
      </c>
      <c r="CF59" s="124" t="str">
        <f>IF($B59="","",IFERROR(-AS59,"n.b."))</f>
        <v/>
      </c>
      <c r="CG59" s="124" t="str">
        <f>IF($B59="","",IFERROR(-AT59,"n.b."))</f>
        <v/>
      </c>
      <c r="CH59" s="124" t="str">
        <f>IF($B59="","",IFERROR(-AU59,"n.b."))</f>
        <v/>
      </c>
      <c r="CI59" s="124" t="str">
        <f>IF($B59="","",IFERROR(-AV59,"n.b."))</f>
        <v/>
      </c>
      <c r="CJ59" s="124" t="str">
        <f>IF($B59="","",IFERROR(-AW59,"n.b."))</f>
        <v/>
      </c>
      <c r="CK59" s="124" t="str">
        <f>IF($B59="","",IFERROR(-AX59,"n.b."))</f>
        <v/>
      </c>
      <c r="CL59" s="124" t="str">
        <f>IF($B59="","",IFERROR(-AY59,"n.b."))</f>
        <v/>
      </c>
      <c r="CM59" s="124" t="str">
        <f>IF($B59="","",IFERROR(-AZ59,"n.b."))</f>
        <v/>
      </c>
      <c r="CN59" s="124" t="str">
        <f>IF($B59="","",IFERROR(-BA59,"n.b."))</f>
        <v/>
      </c>
      <c r="CO59" s="124" t="str">
        <f>IF($B59="","",IFERROR(-BB59,"n.b."))</f>
        <v/>
      </c>
      <c r="CP59" s="124" t="str">
        <f>IF($B59="","",IFERROR(-BC59,"n.b."))</f>
        <v/>
      </c>
      <c r="CQ59" s="124" t="str">
        <f>IF($B59="","",IFERROR(-BD59,"n.b."))</f>
        <v/>
      </c>
      <c r="CR59" s="124" t="str">
        <f>IF($B59="","",IFERROR(-BE59,"n.b."))</f>
        <v/>
      </c>
      <c r="CS59" s="124" t="str">
        <f>IF($B59="","",IFERROR(IF(OR(ABS(T59+V59+X59+Z59-AB59)&gt;P_Tol,ABS(U59+W59+Y59+AA59-AD59)&gt;P_Tol,ABS(AE59+AG59+AI59+AK59-AM59)&gt;P_Tol,ABS(AF59+AH59+AJ59+AL59-AO59)&gt;P_Tol),1,0),1))</f>
        <v/>
      </c>
      <c r="CT59" s="124" t="str">
        <f>IF($B59="","",IFERROR(IF(OR(ABS(AB59+AC59-AD59)&gt;P_Tol,ABS(AM59+AN59-AO59)&gt;P_Tol,ABS(O59+P59-Q59)&gt;P_Tol),1,0),1))</f>
        <v/>
      </c>
      <c r="CU59" s="124" t="str">
        <f>IF($B59="","",IFERROR(IF(ABS(R59-(AB59+AM59+AP59+AR59+AT59+AV59+AX59+AZ59+BB59+BD59))&gt;P_Tol,1,0),1))</f>
        <v/>
      </c>
      <c r="CV59" s="124" t="str">
        <f>IF($B59="","",IFERROR(IF(ABS(M59-(N59+O59+R59))&gt;P_Tol,1,0),1))</f>
        <v/>
      </c>
      <c r="CW59" s="124" t="str">
        <f>IF($B59="","",IF(COUNTIF(Mapping!$A$5:$A$104,B59)&gt;0,1,0))</f>
        <v/>
      </c>
      <c r="CX59" s="124" t="str">
        <f>IF($B59="","",COUNTIF($B$6:$B$505,B59))</f>
        <v/>
      </c>
      <c r="CY59" s="124" t="str">
        <f>IF($B59="","",COUNTIF(STG_Woningetalage!$B$6:$B$505,B59))</f>
        <v/>
      </c>
      <c r="CZ59" s="124" t="str">
        <f>IF($B59="","",IF(CW59=0,COUNTIF($CW$6:CW59,0),""))</f>
        <v/>
      </c>
    </row>
    <row r="60">
      <c r="A60" s="15" t="n">
        <v>56</v>
      </c>
      <c r="B60" t="str">
        <f>IF(B$3=0,"",IF(INDEX(SRC_ZPMW03!$A$1:$ZZ$501,$A60,B$3)&amp;""="","",INDEX(SRC_ZPMW03!$A$1:$ZZ$501,$A60,B$3)&amp;""))</f>
        <v/>
      </c>
      <c r="C60" t="str">
        <f>IF($B60="","",IF(C$3=0,"n.b.",INDEX(SRC_ZPMW03!$A$1:$ZZ$501,$A60,C$3)))</f>
        <v/>
      </c>
      <c r="D60" t="str">
        <f>IF($B60="","",IF(D$3=0,"n.b.",INDEX(SRC_ZPMW03!$A$1:$ZZ$501,$A60,D$3)))</f>
        <v/>
      </c>
      <c r="E60" t="str">
        <f>IF($B60="","",IF(E$3=0,"n.b.",INDEX(SRC_ZPMW03!$A$1:$ZZ$501,$A60,E$3)))</f>
        <v/>
      </c>
      <c r="F60" t="str">
        <f>IF($B60="","",IF(F$3=0,"n.b.",INDEX(SRC_ZPMW03!$A$1:$ZZ$501,$A60,F$3)))</f>
        <v/>
      </c>
      <c r="G60" t="str">
        <f>IF($B60="","",IF(G$3=0,"n.b.",INDEX(SRC_ZPMW03!$A$1:$ZZ$501,$A60,G$3)))</f>
        <v/>
      </c>
      <c r="H60" t="str">
        <f>IF($B60="","",IF(H$3=0,"n.b.",INDEX(SRC_ZPMW03!$A$1:$ZZ$501,$A60,H$3)))</f>
        <v/>
      </c>
      <c r="I60" t="str">
        <f>IF($B60="","",IF(I$3=0,"n.b.",INDEX(SRC_ZPMW03!$A$1:$ZZ$501,$A60,I$3)))</f>
        <v/>
      </c>
      <c r="J60" t="str">
        <f>IF($B60="","",IF(J$3=0,"n.b.",INDEX(SRC_ZPMW03!$A$1:$ZZ$501,$A60,J$3)))</f>
        <v/>
      </c>
      <c r="K60" t="str">
        <f>IF($B60="","",IF(K$3=0,"n.b.",INDEX(SRC_ZPMW03!$A$1:$ZZ$501,$A60,K$3)))</f>
        <v/>
      </c>
      <c r="L60" s="124" t="str">
        <f>IF($B60="","",IF(L$3=0,"n.b.",INDEX(SRC_ZPMW03!$A$1:$ZZ$501,$A60,L$3)))</f>
        <v/>
      </c>
      <c r="M60" s="124" t="str">
        <f>IF($B60="","",IF(M$3=0,"n.b.",INDEX(SRC_ZPMW03!$A$1:$ZZ$501,$A60,M$3)))</f>
        <v/>
      </c>
      <c r="N60" s="124" t="str">
        <f>IF($B60="","",IF(N$3=0,"n.b.",INDEX(SRC_ZPMW03!$A$1:$ZZ$501,$A60,N$3)))</f>
        <v/>
      </c>
      <c r="O60" s="124" t="str">
        <f>IF($B60="","",IF(O$3=0,"n.b.",INDEX(SRC_ZPMW03!$A$1:$ZZ$501,$A60,O$3)))</f>
        <v/>
      </c>
      <c r="P60" s="124" t="str">
        <f>IF($B60="","",IF(P$3=0,"n.b.",INDEX(SRC_ZPMW03!$A$1:$ZZ$501,$A60,P$3)))</f>
        <v/>
      </c>
      <c r="Q60" s="124" t="str">
        <f>IF($B60="","",IF(Q$3=0,"n.b.",INDEX(SRC_ZPMW03!$A$1:$ZZ$501,$A60,Q$3)))</f>
        <v/>
      </c>
      <c r="R60" s="124" t="str">
        <f>IF($B60="","",IF(R$3=0,"n.b.",INDEX(SRC_ZPMW03!$A$1:$ZZ$501,$A60,R$3)))</f>
        <v/>
      </c>
      <c r="S60" s="124" t="str">
        <f>IF($B60="","",IF(S$3=0,"n.b.",INDEX(SRC_ZPMW03!$A$1:$ZZ$501,$A60,S$3)))</f>
        <v/>
      </c>
      <c r="T60" s="124" t="str">
        <f>IF($B60="","",IF(T$3=0,"n.b.",INDEX(SRC_ZPMW03!$A$1:$ZZ$501,$A60,T$3)))</f>
        <v/>
      </c>
      <c r="U60" s="124" t="str">
        <f>IF($B60="","",IF(U$3=0,"n.b.",INDEX(SRC_ZPMW03!$A$1:$ZZ$501,$A60,U$3)))</f>
        <v/>
      </c>
      <c r="V60" s="124" t="str">
        <f>IF($B60="","",IF(V$3=0,"n.b.",INDEX(SRC_ZPMW03!$A$1:$ZZ$501,$A60,V$3)))</f>
        <v/>
      </c>
      <c r="W60" s="124" t="str">
        <f>IF($B60="","",IF(W$3=0,"n.b.",INDEX(SRC_ZPMW03!$A$1:$ZZ$501,$A60,W$3)))</f>
        <v/>
      </c>
      <c r="X60" s="124" t="str">
        <f>IF($B60="","",IF(X$3=0,"n.b.",INDEX(SRC_ZPMW03!$A$1:$ZZ$501,$A60,X$3)))</f>
        <v/>
      </c>
      <c r="Y60" s="124" t="str">
        <f>IF($B60="","",IF(Y$3=0,"n.b.",INDEX(SRC_ZPMW03!$A$1:$ZZ$501,$A60,Y$3)))</f>
        <v/>
      </c>
      <c r="Z60" s="124" t="str">
        <f>IF($B60="","",IF(Z$3=0,"n.b.",INDEX(SRC_ZPMW03!$A$1:$ZZ$501,$A60,Z$3)))</f>
        <v/>
      </c>
      <c r="AA60" s="124" t="str">
        <f>IF($B60="","",IF(AA$3=0,"n.b.",INDEX(SRC_ZPMW03!$A$1:$ZZ$501,$A60,AA$3)))</f>
        <v/>
      </c>
      <c r="AB60" s="124" t="str">
        <f>IF($B60="","",IF(AB$3=0,"n.b.",INDEX(SRC_ZPMW03!$A$1:$ZZ$501,$A60,AB$3)))</f>
        <v/>
      </c>
      <c r="AC60" s="124" t="str">
        <f>IF($B60="","",IF(AC$3=0,"n.b.",INDEX(SRC_ZPMW03!$A$1:$ZZ$501,$A60,AC$3)))</f>
        <v/>
      </c>
      <c r="AD60" s="124" t="str">
        <f>IF($B60="","",IF(AD$3=0,"n.b.",INDEX(SRC_ZPMW03!$A$1:$ZZ$501,$A60,AD$3)))</f>
        <v/>
      </c>
      <c r="AE60" s="124" t="str">
        <f>IF($B60="","",IF(AE$3=0,"n.b.",INDEX(SRC_ZPMW03!$A$1:$ZZ$501,$A60,AE$3)))</f>
        <v/>
      </c>
      <c r="AF60" s="124" t="str">
        <f>IF($B60="","",IF(AF$3=0,"n.b.",INDEX(SRC_ZPMW03!$A$1:$ZZ$501,$A60,AF$3)))</f>
        <v/>
      </c>
      <c r="AG60" s="124" t="str">
        <f>IF($B60="","",IF(AG$3=0,"n.b.",INDEX(SRC_ZPMW03!$A$1:$ZZ$501,$A60,AG$3)))</f>
        <v/>
      </c>
      <c r="AH60" s="124" t="str">
        <f>IF($B60="","",IF(AH$3=0,"n.b.",INDEX(SRC_ZPMW03!$A$1:$ZZ$501,$A60,AH$3)))</f>
        <v/>
      </c>
      <c r="AI60" s="124" t="str">
        <f>IF($B60="","",IF(AI$3=0,"n.b.",INDEX(SRC_ZPMW03!$A$1:$ZZ$501,$A60,AI$3)))</f>
        <v/>
      </c>
      <c r="AJ60" s="124" t="str">
        <f>IF($B60="","",IF(AJ$3=0,"n.b.",INDEX(SRC_ZPMW03!$A$1:$ZZ$501,$A60,AJ$3)))</f>
        <v/>
      </c>
      <c r="AK60" s="124" t="str">
        <f>IF($B60="","",IF(AK$3=0,"n.b.",INDEX(SRC_ZPMW03!$A$1:$ZZ$501,$A60,AK$3)))</f>
        <v/>
      </c>
      <c r="AL60" s="124" t="str">
        <f>IF($B60="","",IF(AL$3=0,"n.b.",INDEX(SRC_ZPMW03!$A$1:$ZZ$501,$A60,AL$3)))</f>
        <v/>
      </c>
      <c r="AM60" s="124" t="str">
        <f>IF($B60="","",IF(AM$3=0,"n.b.",INDEX(SRC_ZPMW03!$A$1:$ZZ$501,$A60,AM$3)))</f>
        <v/>
      </c>
      <c r="AN60" s="124" t="str">
        <f>IF($B60="","",IF(AN$3=0,"n.b.",INDEX(SRC_ZPMW03!$A$1:$ZZ$501,$A60,AN$3)))</f>
        <v/>
      </c>
      <c r="AO60" s="124" t="str">
        <f>IF($B60="","",IF(AO$3=0,"n.b.",INDEX(SRC_ZPMW03!$A$1:$ZZ$501,$A60,AO$3)))</f>
        <v/>
      </c>
      <c r="AP60" s="124" t="str">
        <f>IF($B60="","",IF(AP$3=0,"n.b.",INDEX(SRC_ZPMW03!$A$1:$ZZ$501,$A60,AP$3)))</f>
        <v/>
      </c>
      <c r="AQ60" s="124" t="str">
        <f>IF($B60="","",IF(AQ$3=0,"n.b.",INDEX(SRC_ZPMW03!$A$1:$ZZ$501,$A60,AQ$3)))</f>
        <v/>
      </c>
      <c r="AR60" s="124" t="str">
        <f>IF($B60="","",IF(AR$3=0,"n.b.",INDEX(SRC_ZPMW03!$A$1:$ZZ$501,$A60,AR$3)))</f>
        <v/>
      </c>
      <c r="AS60" s="124" t="str">
        <f>IF($B60="","",IF(AS$3=0,"n.b.",INDEX(SRC_ZPMW03!$A$1:$ZZ$501,$A60,AS$3)))</f>
        <v/>
      </c>
      <c r="AT60" s="124" t="str">
        <f>IF($B60="","",IF(AT$3=0,"n.b.",INDEX(SRC_ZPMW03!$A$1:$ZZ$501,$A60,AT$3)))</f>
        <v/>
      </c>
      <c r="AU60" s="124" t="str">
        <f>IF($B60="","",IF(AU$3=0,"n.b.",INDEX(SRC_ZPMW03!$A$1:$ZZ$501,$A60,AU$3)))</f>
        <v/>
      </c>
      <c r="AV60" s="124" t="str">
        <f>IF($B60="","",IF(AV$3=0,"n.b.",INDEX(SRC_ZPMW03!$A$1:$ZZ$501,$A60,AV$3)))</f>
        <v/>
      </c>
      <c r="AW60" s="124" t="str">
        <f>IF($B60="","",IF(AW$3=0,"n.b.",INDEX(SRC_ZPMW03!$A$1:$ZZ$501,$A60,AW$3)))</f>
        <v/>
      </c>
      <c r="AX60" s="124" t="str">
        <f>IF($B60="","",IF(AX$3=0,"n.b.",INDEX(SRC_ZPMW03!$A$1:$ZZ$501,$A60,AX$3)))</f>
        <v/>
      </c>
      <c r="AY60" s="124" t="str">
        <f>IF($B60="","",IF(AY$3=0,"n.b.",INDEX(SRC_ZPMW03!$A$1:$ZZ$501,$A60,AY$3)))</f>
        <v/>
      </c>
      <c r="AZ60" s="124" t="str">
        <f>IF($B60="","",IF(AZ$3=0,"n.b.",INDEX(SRC_ZPMW03!$A$1:$ZZ$501,$A60,AZ$3)))</f>
        <v/>
      </c>
      <c r="BA60" s="124" t="str">
        <f>IF($B60="","",IF(BA$3=0,"n.b.",INDEX(SRC_ZPMW03!$A$1:$ZZ$501,$A60,BA$3)))</f>
        <v/>
      </c>
      <c r="BB60" s="124" t="str">
        <f>IF($B60="","",IF(BB$3=0,"n.b.",INDEX(SRC_ZPMW03!$A$1:$ZZ$501,$A60,BB$3)))</f>
        <v/>
      </c>
      <c r="BC60" s="124" t="str">
        <f>IF($B60="","",IF(BC$3=0,"n.b.",INDEX(SRC_ZPMW03!$A$1:$ZZ$501,$A60,BC$3)))</f>
        <v/>
      </c>
      <c r="BD60" s="124" t="str">
        <f>IF($B60="","",IF(BD$3=0,"n.b.",INDEX(SRC_ZPMW03!$A$1:$ZZ$501,$A60,BD$3)))</f>
        <v/>
      </c>
      <c r="BE60" s="124" t="str">
        <f>IF($B60="","",IF(BE$3=0,"n.b.",INDEX(SRC_ZPMW03!$A$1:$ZZ$501,$A60,BE$3)))</f>
        <v/>
      </c>
      <c r="BF60" s="124" t="str">
        <f>IF($B60="","",IF(BF$3=0,"n.b.",INDEX(SRC_ZPMW03!$A$1:$ZZ$501,$A60,BF$3)))</f>
        <v/>
      </c>
      <c r="BG60" t="str">
        <f>IF($B60="","",IF(BG$3=0,"n.b.",INDEX(SRC_ZPMW03!$A$1:$ZZ$501,$A60,BG$3)))</f>
        <v/>
      </c>
      <c r="BH60" t="str">
        <f>IF($B60="","",IF(BH$3=0,"n.b.",INDEX(SRC_ZPMW03!$A$1:$ZZ$501,$A60,BH$3)))</f>
        <v/>
      </c>
      <c r="BI60" t="str">
        <f>IF($B60="","",IF(BI$3=0,"n.b.",INDEX(SRC_ZPMW03!$A$1:$ZZ$501,$A60,BI$3)))</f>
        <v/>
      </c>
      <c r="BJ60" t="str">
        <f>IF($B60="","",IF(BJ$3=0,"n.b.",INDEX(SRC_ZPMW03!$A$1:$ZZ$501,$A60,BJ$3)))</f>
        <v/>
      </c>
      <c r="BK60" s="124" t="str">
        <f>IF($B60="","",IFERROR(-O60,"n.b."))</f>
        <v/>
      </c>
      <c r="BL60" s="124" t="str">
        <f>IF($B60="","",IFERROR(-Q60,"n.b."))</f>
        <v/>
      </c>
      <c r="BM60" s="124" t="str">
        <f>IF($B60="","",IFERROR(-AB60,"n.b."))</f>
        <v/>
      </c>
      <c r="BN60" s="124" t="str">
        <f>IF($B60="","",IFERROR(-AD60,"n.b."))</f>
        <v/>
      </c>
      <c r="BO60" s="124" t="str">
        <f>IF($B60="","",IFERROR(BK60+BM60,"n.b."))</f>
        <v/>
      </c>
      <c r="BP60" s="124" t="str">
        <f>IF($B60="","",IFERROR(BL60+BN60,"n.b."))</f>
        <v/>
      </c>
      <c r="BQ60" s="124" t="str">
        <f>IF($B60="","",IFERROR(-AM60,"n.b."))</f>
        <v/>
      </c>
      <c r="BR60" s="124" t="str">
        <f>IF($B60="","",IFERROR(-AO60,"n.b."))</f>
        <v/>
      </c>
      <c r="BS60" s="124" t="str">
        <f>IF($B60="","",IFERROR(-Z60,"n.b."))</f>
        <v/>
      </c>
      <c r="BT60" s="124" t="str">
        <f>IF($B60="","",IFERROR(-AA60,"n.b."))</f>
        <v/>
      </c>
      <c r="BU60" s="124" t="str">
        <f>IF($B60="","",IFERROR(-AE60,"n.b."))</f>
        <v/>
      </c>
      <c r="BV60" s="124" t="str">
        <f>IF($B60="","",IFERROR(-AF60,"n.b."))</f>
        <v/>
      </c>
      <c r="BW60" s="124" t="str">
        <f>IF($B60="","",IFERROR(-AG60,"n.b."))</f>
        <v/>
      </c>
      <c r="BX60" s="124" t="str">
        <f>IF($B60="","",IFERROR(-AH60,"n.b."))</f>
        <v/>
      </c>
      <c r="BY60" s="124" t="str">
        <f>IF($B60="","",IFERROR(-AI60,"n.b."))</f>
        <v/>
      </c>
      <c r="BZ60" s="124" t="str">
        <f>IF($B60="","",IFERROR(-AJ60,"n.b."))</f>
        <v/>
      </c>
      <c r="CA60" s="124" t="str">
        <f>IF($B60="","",IFERROR(-AK60,"n.b."))</f>
        <v/>
      </c>
      <c r="CB60" s="124" t="str">
        <f>IF($B60="","",IFERROR(-AL60,"n.b."))</f>
        <v/>
      </c>
      <c r="CC60" s="124" t="str">
        <f>IF($B60="","",IFERROR(-AP60,"n.b."))</f>
        <v/>
      </c>
      <c r="CD60" s="124" t="str">
        <f>IF($B60="","",IFERROR(-AQ60,"n.b."))</f>
        <v/>
      </c>
      <c r="CE60" s="124" t="str">
        <f>IF($B60="","",IFERROR(-AR60,"n.b."))</f>
        <v/>
      </c>
      <c r="CF60" s="124" t="str">
        <f>IF($B60="","",IFERROR(-AS60,"n.b."))</f>
        <v/>
      </c>
      <c r="CG60" s="124" t="str">
        <f>IF($B60="","",IFERROR(-AT60,"n.b."))</f>
        <v/>
      </c>
      <c r="CH60" s="124" t="str">
        <f>IF($B60="","",IFERROR(-AU60,"n.b."))</f>
        <v/>
      </c>
      <c r="CI60" s="124" t="str">
        <f>IF($B60="","",IFERROR(-AV60,"n.b."))</f>
        <v/>
      </c>
      <c r="CJ60" s="124" t="str">
        <f>IF($B60="","",IFERROR(-AW60,"n.b."))</f>
        <v/>
      </c>
      <c r="CK60" s="124" t="str">
        <f>IF($B60="","",IFERROR(-AX60,"n.b."))</f>
        <v/>
      </c>
      <c r="CL60" s="124" t="str">
        <f>IF($B60="","",IFERROR(-AY60,"n.b."))</f>
        <v/>
      </c>
      <c r="CM60" s="124" t="str">
        <f>IF($B60="","",IFERROR(-AZ60,"n.b."))</f>
        <v/>
      </c>
      <c r="CN60" s="124" t="str">
        <f>IF($B60="","",IFERROR(-BA60,"n.b."))</f>
        <v/>
      </c>
      <c r="CO60" s="124" t="str">
        <f>IF($B60="","",IFERROR(-BB60,"n.b."))</f>
        <v/>
      </c>
      <c r="CP60" s="124" t="str">
        <f>IF($B60="","",IFERROR(-BC60,"n.b."))</f>
        <v/>
      </c>
      <c r="CQ60" s="124" t="str">
        <f>IF($B60="","",IFERROR(-BD60,"n.b."))</f>
        <v/>
      </c>
      <c r="CR60" s="124" t="str">
        <f>IF($B60="","",IFERROR(-BE60,"n.b."))</f>
        <v/>
      </c>
      <c r="CS60" s="124" t="str">
        <f>IF($B60="","",IFERROR(IF(OR(ABS(T60+V60+X60+Z60-AB60)&gt;P_Tol,ABS(U60+W60+Y60+AA60-AD60)&gt;P_Tol,ABS(AE60+AG60+AI60+AK60-AM60)&gt;P_Tol,ABS(AF60+AH60+AJ60+AL60-AO60)&gt;P_Tol),1,0),1))</f>
        <v/>
      </c>
      <c r="CT60" s="124" t="str">
        <f>IF($B60="","",IFERROR(IF(OR(ABS(AB60+AC60-AD60)&gt;P_Tol,ABS(AM60+AN60-AO60)&gt;P_Tol,ABS(O60+P60-Q60)&gt;P_Tol),1,0),1))</f>
        <v/>
      </c>
      <c r="CU60" s="124" t="str">
        <f>IF($B60="","",IFERROR(IF(ABS(R60-(AB60+AM60+AP60+AR60+AT60+AV60+AX60+AZ60+BB60+BD60))&gt;P_Tol,1,0),1))</f>
        <v/>
      </c>
      <c r="CV60" s="124" t="str">
        <f>IF($B60="","",IFERROR(IF(ABS(M60-(N60+O60+R60))&gt;P_Tol,1,0),1))</f>
        <v/>
      </c>
      <c r="CW60" s="124" t="str">
        <f>IF($B60="","",IF(COUNTIF(Mapping!$A$5:$A$104,B60)&gt;0,1,0))</f>
        <v/>
      </c>
      <c r="CX60" s="124" t="str">
        <f>IF($B60="","",COUNTIF($B$6:$B$505,B60))</f>
        <v/>
      </c>
      <c r="CY60" s="124" t="str">
        <f>IF($B60="","",COUNTIF(STG_Woningetalage!$B$6:$B$505,B60))</f>
        <v/>
      </c>
      <c r="CZ60" s="124" t="str">
        <f>IF($B60="","",IF(CW60=0,COUNTIF($CW$6:CW60,0),""))</f>
        <v/>
      </c>
    </row>
    <row r="61">
      <c r="A61" s="15" t="n">
        <v>57</v>
      </c>
      <c r="B61" t="str">
        <f>IF(B$3=0,"",IF(INDEX(SRC_ZPMW03!$A$1:$ZZ$501,$A61,B$3)&amp;""="","",INDEX(SRC_ZPMW03!$A$1:$ZZ$501,$A61,B$3)&amp;""))</f>
        <v/>
      </c>
      <c r="C61" t="str">
        <f>IF($B61="","",IF(C$3=0,"n.b.",INDEX(SRC_ZPMW03!$A$1:$ZZ$501,$A61,C$3)))</f>
        <v/>
      </c>
      <c r="D61" t="str">
        <f>IF($B61="","",IF(D$3=0,"n.b.",INDEX(SRC_ZPMW03!$A$1:$ZZ$501,$A61,D$3)))</f>
        <v/>
      </c>
      <c r="E61" t="str">
        <f>IF($B61="","",IF(E$3=0,"n.b.",INDEX(SRC_ZPMW03!$A$1:$ZZ$501,$A61,E$3)))</f>
        <v/>
      </c>
      <c r="F61" t="str">
        <f>IF($B61="","",IF(F$3=0,"n.b.",INDEX(SRC_ZPMW03!$A$1:$ZZ$501,$A61,F$3)))</f>
        <v/>
      </c>
      <c r="G61" t="str">
        <f>IF($B61="","",IF(G$3=0,"n.b.",INDEX(SRC_ZPMW03!$A$1:$ZZ$501,$A61,G$3)))</f>
        <v/>
      </c>
      <c r="H61" t="str">
        <f>IF($B61="","",IF(H$3=0,"n.b.",INDEX(SRC_ZPMW03!$A$1:$ZZ$501,$A61,H$3)))</f>
        <v/>
      </c>
      <c r="I61" t="str">
        <f>IF($B61="","",IF(I$3=0,"n.b.",INDEX(SRC_ZPMW03!$A$1:$ZZ$501,$A61,I$3)))</f>
        <v/>
      </c>
      <c r="J61" t="str">
        <f>IF($B61="","",IF(J$3=0,"n.b.",INDEX(SRC_ZPMW03!$A$1:$ZZ$501,$A61,J$3)))</f>
        <v/>
      </c>
      <c r="K61" t="str">
        <f>IF($B61="","",IF(K$3=0,"n.b.",INDEX(SRC_ZPMW03!$A$1:$ZZ$501,$A61,K$3)))</f>
        <v/>
      </c>
      <c r="L61" s="124" t="str">
        <f>IF($B61="","",IF(L$3=0,"n.b.",INDEX(SRC_ZPMW03!$A$1:$ZZ$501,$A61,L$3)))</f>
        <v/>
      </c>
      <c r="M61" s="124" t="str">
        <f>IF($B61="","",IF(M$3=0,"n.b.",INDEX(SRC_ZPMW03!$A$1:$ZZ$501,$A61,M$3)))</f>
        <v/>
      </c>
      <c r="N61" s="124" t="str">
        <f>IF($B61="","",IF(N$3=0,"n.b.",INDEX(SRC_ZPMW03!$A$1:$ZZ$501,$A61,N$3)))</f>
        <v/>
      </c>
      <c r="O61" s="124" t="str">
        <f>IF($B61="","",IF(O$3=0,"n.b.",INDEX(SRC_ZPMW03!$A$1:$ZZ$501,$A61,O$3)))</f>
        <v/>
      </c>
      <c r="P61" s="124" t="str">
        <f>IF($B61="","",IF(P$3=0,"n.b.",INDEX(SRC_ZPMW03!$A$1:$ZZ$501,$A61,P$3)))</f>
        <v/>
      </c>
      <c r="Q61" s="124" t="str">
        <f>IF($B61="","",IF(Q$3=0,"n.b.",INDEX(SRC_ZPMW03!$A$1:$ZZ$501,$A61,Q$3)))</f>
        <v/>
      </c>
      <c r="R61" s="124" t="str">
        <f>IF($B61="","",IF(R$3=0,"n.b.",INDEX(SRC_ZPMW03!$A$1:$ZZ$501,$A61,R$3)))</f>
        <v/>
      </c>
      <c r="S61" s="124" t="str">
        <f>IF($B61="","",IF(S$3=0,"n.b.",INDEX(SRC_ZPMW03!$A$1:$ZZ$501,$A61,S$3)))</f>
        <v/>
      </c>
      <c r="T61" s="124" t="str">
        <f>IF($B61="","",IF(T$3=0,"n.b.",INDEX(SRC_ZPMW03!$A$1:$ZZ$501,$A61,T$3)))</f>
        <v/>
      </c>
      <c r="U61" s="124" t="str">
        <f>IF($B61="","",IF(U$3=0,"n.b.",INDEX(SRC_ZPMW03!$A$1:$ZZ$501,$A61,U$3)))</f>
        <v/>
      </c>
      <c r="V61" s="124" t="str">
        <f>IF($B61="","",IF(V$3=0,"n.b.",INDEX(SRC_ZPMW03!$A$1:$ZZ$501,$A61,V$3)))</f>
        <v/>
      </c>
      <c r="W61" s="124" t="str">
        <f>IF($B61="","",IF(W$3=0,"n.b.",INDEX(SRC_ZPMW03!$A$1:$ZZ$501,$A61,W$3)))</f>
        <v/>
      </c>
      <c r="X61" s="124" t="str">
        <f>IF($B61="","",IF(X$3=0,"n.b.",INDEX(SRC_ZPMW03!$A$1:$ZZ$501,$A61,X$3)))</f>
        <v/>
      </c>
      <c r="Y61" s="124" t="str">
        <f>IF($B61="","",IF(Y$3=0,"n.b.",INDEX(SRC_ZPMW03!$A$1:$ZZ$501,$A61,Y$3)))</f>
        <v/>
      </c>
      <c r="Z61" s="124" t="str">
        <f>IF($B61="","",IF(Z$3=0,"n.b.",INDEX(SRC_ZPMW03!$A$1:$ZZ$501,$A61,Z$3)))</f>
        <v/>
      </c>
      <c r="AA61" s="124" t="str">
        <f>IF($B61="","",IF(AA$3=0,"n.b.",INDEX(SRC_ZPMW03!$A$1:$ZZ$501,$A61,AA$3)))</f>
        <v/>
      </c>
      <c r="AB61" s="124" t="str">
        <f>IF($B61="","",IF(AB$3=0,"n.b.",INDEX(SRC_ZPMW03!$A$1:$ZZ$501,$A61,AB$3)))</f>
        <v/>
      </c>
      <c r="AC61" s="124" t="str">
        <f>IF($B61="","",IF(AC$3=0,"n.b.",INDEX(SRC_ZPMW03!$A$1:$ZZ$501,$A61,AC$3)))</f>
        <v/>
      </c>
      <c r="AD61" s="124" t="str">
        <f>IF($B61="","",IF(AD$3=0,"n.b.",INDEX(SRC_ZPMW03!$A$1:$ZZ$501,$A61,AD$3)))</f>
        <v/>
      </c>
      <c r="AE61" s="124" t="str">
        <f>IF($B61="","",IF(AE$3=0,"n.b.",INDEX(SRC_ZPMW03!$A$1:$ZZ$501,$A61,AE$3)))</f>
        <v/>
      </c>
      <c r="AF61" s="124" t="str">
        <f>IF($B61="","",IF(AF$3=0,"n.b.",INDEX(SRC_ZPMW03!$A$1:$ZZ$501,$A61,AF$3)))</f>
        <v/>
      </c>
      <c r="AG61" s="124" t="str">
        <f>IF($B61="","",IF(AG$3=0,"n.b.",INDEX(SRC_ZPMW03!$A$1:$ZZ$501,$A61,AG$3)))</f>
        <v/>
      </c>
      <c r="AH61" s="124" t="str">
        <f>IF($B61="","",IF(AH$3=0,"n.b.",INDEX(SRC_ZPMW03!$A$1:$ZZ$501,$A61,AH$3)))</f>
        <v/>
      </c>
      <c r="AI61" s="124" t="str">
        <f>IF($B61="","",IF(AI$3=0,"n.b.",INDEX(SRC_ZPMW03!$A$1:$ZZ$501,$A61,AI$3)))</f>
        <v/>
      </c>
      <c r="AJ61" s="124" t="str">
        <f>IF($B61="","",IF(AJ$3=0,"n.b.",INDEX(SRC_ZPMW03!$A$1:$ZZ$501,$A61,AJ$3)))</f>
        <v/>
      </c>
      <c r="AK61" s="124" t="str">
        <f>IF($B61="","",IF(AK$3=0,"n.b.",INDEX(SRC_ZPMW03!$A$1:$ZZ$501,$A61,AK$3)))</f>
        <v/>
      </c>
      <c r="AL61" s="124" t="str">
        <f>IF($B61="","",IF(AL$3=0,"n.b.",INDEX(SRC_ZPMW03!$A$1:$ZZ$501,$A61,AL$3)))</f>
        <v/>
      </c>
      <c r="AM61" s="124" t="str">
        <f>IF($B61="","",IF(AM$3=0,"n.b.",INDEX(SRC_ZPMW03!$A$1:$ZZ$501,$A61,AM$3)))</f>
        <v/>
      </c>
      <c r="AN61" s="124" t="str">
        <f>IF($B61="","",IF(AN$3=0,"n.b.",INDEX(SRC_ZPMW03!$A$1:$ZZ$501,$A61,AN$3)))</f>
        <v/>
      </c>
      <c r="AO61" s="124" t="str">
        <f>IF($B61="","",IF(AO$3=0,"n.b.",INDEX(SRC_ZPMW03!$A$1:$ZZ$501,$A61,AO$3)))</f>
        <v/>
      </c>
      <c r="AP61" s="124" t="str">
        <f>IF($B61="","",IF(AP$3=0,"n.b.",INDEX(SRC_ZPMW03!$A$1:$ZZ$501,$A61,AP$3)))</f>
        <v/>
      </c>
      <c r="AQ61" s="124" t="str">
        <f>IF($B61="","",IF(AQ$3=0,"n.b.",INDEX(SRC_ZPMW03!$A$1:$ZZ$501,$A61,AQ$3)))</f>
        <v/>
      </c>
      <c r="AR61" s="124" t="str">
        <f>IF($B61="","",IF(AR$3=0,"n.b.",INDEX(SRC_ZPMW03!$A$1:$ZZ$501,$A61,AR$3)))</f>
        <v/>
      </c>
      <c r="AS61" s="124" t="str">
        <f>IF($B61="","",IF(AS$3=0,"n.b.",INDEX(SRC_ZPMW03!$A$1:$ZZ$501,$A61,AS$3)))</f>
        <v/>
      </c>
      <c r="AT61" s="124" t="str">
        <f>IF($B61="","",IF(AT$3=0,"n.b.",INDEX(SRC_ZPMW03!$A$1:$ZZ$501,$A61,AT$3)))</f>
        <v/>
      </c>
      <c r="AU61" s="124" t="str">
        <f>IF($B61="","",IF(AU$3=0,"n.b.",INDEX(SRC_ZPMW03!$A$1:$ZZ$501,$A61,AU$3)))</f>
        <v/>
      </c>
      <c r="AV61" s="124" t="str">
        <f>IF($B61="","",IF(AV$3=0,"n.b.",INDEX(SRC_ZPMW03!$A$1:$ZZ$501,$A61,AV$3)))</f>
        <v/>
      </c>
      <c r="AW61" s="124" t="str">
        <f>IF($B61="","",IF(AW$3=0,"n.b.",INDEX(SRC_ZPMW03!$A$1:$ZZ$501,$A61,AW$3)))</f>
        <v/>
      </c>
      <c r="AX61" s="124" t="str">
        <f>IF($B61="","",IF(AX$3=0,"n.b.",INDEX(SRC_ZPMW03!$A$1:$ZZ$501,$A61,AX$3)))</f>
        <v/>
      </c>
      <c r="AY61" s="124" t="str">
        <f>IF($B61="","",IF(AY$3=0,"n.b.",INDEX(SRC_ZPMW03!$A$1:$ZZ$501,$A61,AY$3)))</f>
        <v/>
      </c>
      <c r="AZ61" s="124" t="str">
        <f>IF($B61="","",IF(AZ$3=0,"n.b.",INDEX(SRC_ZPMW03!$A$1:$ZZ$501,$A61,AZ$3)))</f>
        <v/>
      </c>
      <c r="BA61" s="124" t="str">
        <f>IF($B61="","",IF(BA$3=0,"n.b.",INDEX(SRC_ZPMW03!$A$1:$ZZ$501,$A61,BA$3)))</f>
        <v/>
      </c>
      <c r="BB61" s="124" t="str">
        <f>IF($B61="","",IF(BB$3=0,"n.b.",INDEX(SRC_ZPMW03!$A$1:$ZZ$501,$A61,BB$3)))</f>
        <v/>
      </c>
      <c r="BC61" s="124" t="str">
        <f>IF($B61="","",IF(BC$3=0,"n.b.",INDEX(SRC_ZPMW03!$A$1:$ZZ$501,$A61,BC$3)))</f>
        <v/>
      </c>
      <c r="BD61" s="124" t="str">
        <f>IF($B61="","",IF(BD$3=0,"n.b.",INDEX(SRC_ZPMW03!$A$1:$ZZ$501,$A61,BD$3)))</f>
        <v/>
      </c>
      <c r="BE61" s="124" t="str">
        <f>IF($B61="","",IF(BE$3=0,"n.b.",INDEX(SRC_ZPMW03!$A$1:$ZZ$501,$A61,BE$3)))</f>
        <v/>
      </c>
      <c r="BF61" s="124" t="str">
        <f>IF($B61="","",IF(BF$3=0,"n.b.",INDEX(SRC_ZPMW03!$A$1:$ZZ$501,$A61,BF$3)))</f>
        <v/>
      </c>
      <c r="BG61" t="str">
        <f>IF($B61="","",IF(BG$3=0,"n.b.",INDEX(SRC_ZPMW03!$A$1:$ZZ$501,$A61,BG$3)))</f>
        <v/>
      </c>
      <c r="BH61" t="str">
        <f>IF($B61="","",IF(BH$3=0,"n.b.",INDEX(SRC_ZPMW03!$A$1:$ZZ$501,$A61,BH$3)))</f>
        <v/>
      </c>
      <c r="BI61" t="str">
        <f>IF($B61="","",IF(BI$3=0,"n.b.",INDEX(SRC_ZPMW03!$A$1:$ZZ$501,$A61,BI$3)))</f>
        <v/>
      </c>
      <c r="BJ61" t="str">
        <f>IF($B61="","",IF(BJ$3=0,"n.b.",INDEX(SRC_ZPMW03!$A$1:$ZZ$501,$A61,BJ$3)))</f>
        <v/>
      </c>
      <c r="BK61" s="124" t="str">
        <f>IF($B61="","",IFERROR(-O61,"n.b."))</f>
        <v/>
      </c>
      <c r="BL61" s="124" t="str">
        <f>IF($B61="","",IFERROR(-Q61,"n.b."))</f>
        <v/>
      </c>
      <c r="BM61" s="124" t="str">
        <f>IF($B61="","",IFERROR(-AB61,"n.b."))</f>
        <v/>
      </c>
      <c r="BN61" s="124" t="str">
        <f>IF($B61="","",IFERROR(-AD61,"n.b."))</f>
        <v/>
      </c>
      <c r="BO61" s="124" t="str">
        <f>IF($B61="","",IFERROR(BK61+BM61,"n.b."))</f>
        <v/>
      </c>
      <c r="BP61" s="124" t="str">
        <f>IF($B61="","",IFERROR(BL61+BN61,"n.b."))</f>
        <v/>
      </c>
      <c r="BQ61" s="124" t="str">
        <f>IF($B61="","",IFERROR(-AM61,"n.b."))</f>
        <v/>
      </c>
      <c r="BR61" s="124" t="str">
        <f>IF($B61="","",IFERROR(-AO61,"n.b."))</f>
        <v/>
      </c>
      <c r="BS61" s="124" t="str">
        <f>IF($B61="","",IFERROR(-Z61,"n.b."))</f>
        <v/>
      </c>
      <c r="BT61" s="124" t="str">
        <f>IF($B61="","",IFERROR(-AA61,"n.b."))</f>
        <v/>
      </c>
      <c r="BU61" s="124" t="str">
        <f>IF($B61="","",IFERROR(-AE61,"n.b."))</f>
        <v/>
      </c>
      <c r="BV61" s="124" t="str">
        <f>IF($B61="","",IFERROR(-AF61,"n.b."))</f>
        <v/>
      </c>
      <c r="BW61" s="124" t="str">
        <f>IF($B61="","",IFERROR(-AG61,"n.b."))</f>
        <v/>
      </c>
      <c r="BX61" s="124" t="str">
        <f>IF($B61="","",IFERROR(-AH61,"n.b."))</f>
        <v/>
      </c>
      <c r="BY61" s="124" t="str">
        <f>IF($B61="","",IFERROR(-AI61,"n.b."))</f>
        <v/>
      </c>
      <c r="BZ61" s="124" t="str">
        <f>IF($B61="","",IFERROR(-AJ61,"n.b."))</f>
        <v/>
      </c>
      <c r="CA61" s="124" t="str">
        <f>IF($B61="","",IFERROR(-AK61,"n.b."))</f>
        <v/>
      </c>
      <c r="CB61" s="124" t="str">
        <f>IF($B61="","",IFERROR(-AL61,"n.b."))</f>
        <v/>
      </c>
      <c r="CC61" s="124" t="str">
        <f>IF($B61="","",IFERROR(-AP61,"n.b."))</f>
        <v/>
      </c>
      <c r="CD61" s="124" t="str">
        <f>IF($B61="","",IFERROR(-AQ61,"n.b."))</f>
        <v/>
      </c>
      <c r="CE61" s="124" t="str">
        <f>IF($B61="","",IFERROR(-AR61,"n.b."))</f>
        <v/>
      </c>
      <c r="CF61" s="124" t="str">
        <f>IF($B61="","",IFERROR(-AS61,"n.b."))</f>
        <v/>
      </c>
      <c r="CG61" s="124" t="str">
        <f>IF($B61="","",IFERROR(-AT61,"n.b."))</f>
        <v/>
      </c>
      <c r="CH61" s="124" t="str">
        <f>IF($B61="","",IFERROR(-AU61,"n.b."))</f>
        <v/>
      </c>
      <c r="CI61" s="124" t="str">
        <f>IF($B61="","",IFERROR(-AV61,"n.b."))</f>
        <v/>
      </c>
      <c r="CJ61" s="124" t="str">
        <f>IF($B61="","",IFERROR(-AW61,"n.b."))</f>
        <v/>
      </c>
      <c r="CK61" s="124" t="str">
        <f>IF($B61="","",IFERROR(-AX61,"n.b."))</f>
        <v/>
      </c>
      <c r="CL61" s="124" t="str">
        <f>IF($B61="","",IFERROR(-AY61,"n.b."))</f>
        <v/>
      </c>
      <c r="CM61" s="124" t="str">
        <f>IF($B61="","",IFERROR(-AZ61,"n.b."))</f>
        <v/>
      </c>
      <c r="CN61" s="124" t="str">
        <f>IF($B61="","",IFERROR(-BA61,"n.b."))</f>
        <v/>
      </c>
      <c r="CO61" s="124" t="str">
        <f>IF($B61="","",IFERROR(-BB61,"n.b."))</f>
        <v/>
      </c>
      <c r="CP61" s="124" t="str">
        <f>IF($B61="","",IFERROR(-BC61,"n.b."))</f>
        <v/>
      </c>
      <c r="CQ61" s="124" t="str">
        <f>IF($B61="","",IFERROR(-BD61,"n.b."))</f>
        <v/>
      </c>
      <c r="CR61" s="124" t="str">
        <f>IF($B61="","",IFERROR(-BE61,"n.b."))</f>
        <v/>
      </c>
      <c r="CS61" s="124" t="str">
        <f>IF($B61="","",IFERROR(IF(OR(ABS(T61+V61+X61+Z61-AB61)&gt;P_Tol,ABS(U61+W61+Y61+AA61-AD61)&gt;P_Tol,ABS(AE61+AG61+AI61+AK61-AM61)&gt;P_Tol,ABS(AF61+AH61+AJ61+AL61-AO61)&gt;P_Tol),1,0),1))</f>
        <v/>
      </c>
      <c r="CT61" s="124" t="str">
        <f>IF($B61="","",IFERROR(IF(OR(ABS(AB61+AC61-AD61)&gt;P_Tol,ABS(AM61+AN61-AO61)&gt;P_Tol,ABS(O61+P61-Q61)&gt;P_Tol),1,0),1))</f>
        <v/>
      </c>
      <c r="CU61" s="124" t="str">
        <f>IF($B61="","",IFERROR(IF(ABS(R61-(AB61+AM61+AP61+AR61+AT61+AV61+AX61+AZ61+BB61+BD61))&gt;P_Tol,1,0),1))</f>
        <v/>
      </c>
      <c r="CV61" s="124" t="str">
        <f>IF($B61="","",IFERROR(IF(ABS(M61-(N61+O61+R61))&gt;P_Tol,1,0),1))</f>
        <v/>
      </c>
      <c r="CW61" s="124" t="str">
        <f>IF($B61="","",IF(COUNTIF(Mapping!$A$5:$A$104,B61)&gt;0,1,0))</f>
        <v/>
      </c>
      <c r="CX61" s="124" t="str">
        <f>IF($B61="","",COUNTIF($B$6:$B$505,B61))</f>
        <v/>
      </c>
      <c r="CY61" s="124" t="str">
        <f>IF($B61="","",COUNTIF(STG_Woningetalage!$B$6:$B$505,B61))</f>
        <v/>
      </c>
      <c r="CZ61" s="124" t="str">
        <f>IF($B61="","",IF(CW61=0,COUNTIF($CW$6:CW61,0),""))</f>
        <v/>
      </c>
    </row>
    <row r="62">
      <c r="A62" s="15" t="n">
        <v>58</v>
      </c>
      <c r="B62" t="str">
        <f>IF(B$3=0,"",IF(INDEX(SRC_ZPMW03!$A$1:$ZZ$501,$A62,B$3)&amp;""="","",INDEX(SRC_ZPMW03!$A$1:$ZZ$501,$A62,B$3)&amp;""))</f>
        <v/>
      </c>
      <c r="C62" t="str">
        <f>IF($B62="","",IF(C$3=0,"n.b.",INDEX(SRC_ZPMW03!$A$1:$ZZ$501,$A62,C$3)))</f>
        <v/>
      </c>
      <c r="D62" t="str">
        <f>IF($B62="","",IF(D$3=0,"n.b.",INDEX(SRC_ZPMW03!$A$1:$ZZ$501,$A62,D$3)))</f>
        <v/>
      </c>
      <c r="E62" t="str">
        <f>IF($B62="","",IF(E$3=0,"n.b.",INDEX(SRC_ZPMW03!$A$1:$ZZ$501,$A62,E$3)))</f>
        <v/>
      </c>
      <c r="F62" t="str">
        <f>IF($B62="","",IF(F$3=0,"n.b.",INDEX(SRC_ZPMW03!$A$1:$ZZ$501,$A62,F$3)))</f>
        <v/>
      </c>
      <c r="G62" t="str">
        <f>IF($B62="","",IF(G$3=0,"n.b.",INDEX(SRC_ZPMW03!$A$1:$ZZ$501,$A62,G$3)))</f>
        <v/>
      </c>
      <c r="H62" t="str">
        <f>IF($B62="","",IF(H$3=0,"n.b.",INDEX(SRC_ZPMW03!$A$1:$ZZ$501,$A62,H$3)))</f>
        <v/>
      </c>
      <c r="I62" t="str">
        <f>IF($B62="","",IF(I$3=0,"n.b.",INDEX(SRC_ZPMW03!$A$1:$ZZ$501,$A62,I$3)))</f>
        <v/>
      </c>
      <c r="J62" t="str">
        <f>IF($B62="","",IF(J$3=0,"n.b.",INDEX(SRC_ZPMW03!$A$1:$ZZ$501,$A62,J$3)))</f>
        <v/>
      </c>
      <c r="K62" t="str">
        <f>IF($B62="","",IF(K$3=0,"n.b.",INDEX(SRC_ZPMW03!$A$1:$ZZ$501,$A62,K$3)))</f>
        <v/>
      </c>
      <c r="L62" s="124" t="str">
        <f>IF($B62="","",IF(L$3=0,"n.b.",INDEX(SRC_ZPMW03!$A$1:$ZZ$501,$A62,L$3)))</f>
        <v/>
      </c>
      <c r="M62" s="124" t="str">
        <f>IF($B62="","",IF(M$3=0,"n.b.",INDEX(SRC_ZPMW03!$A$1:$ZZ$501,$A62,M$3)))</f>
        <v/>
      </c>
      <c r="N62" s="124" t="str">
        <f>IF($B62="","",IF(N$3=0,"n.b.",INDEX(SRC_ZPMW03!$A$1:$ZZ$501,$A62,N$3)))</f>
        <v/>
      </c>
      <c r="O62" s="124" t="str">
        <f>IF($B62="","",IF(O$3=0,"n.b.",INDEX(SRC_ZPMW03!$A$1:$ZZ$501,$A62,O$3)))</f>
        <v/>
      </c>
      <c r="P62" s="124" t="str">
        <f>IF($B62="","",IF(P$3=0,"n.b.",INDEX(SRC_ZPMW03!$A$1:$ZZ$501,$A62,P$3)))</f>
        <v/>
      </c>
      <c r="Q62" s="124" t="str">
        <f>IF($B62="","",IF(Q$3=0,"n.b.",INDEX(SRC_ZPMW03!$A$1:$ZZ$501,$A62,Q$3)))</f>
        <v/>
      </c>
      <c r="R62" s="124" t="str">
        <f>IF($B62="","",IF(R$3=0,"n.b.",INDEX(SRC_ZPMW03!$A$1:$ZZ$501,$A62,R$3)))</f>
        <v/>
      </c>
      <c r="S62" s="124" t="str">
        <f>IF($B62="","",IF(S$3=0,"n.b.",INDEX(SRC_ZPMW03!$A$1:$ZZ$501,$A62,S$3)))</f>
        <v/>
      </c>
      <c r="T62" s="124" t="str">
        <f>IF($B62="","",IF(T$3=0,"n.b.",INDEX(SRC_ZPMW03!$A$1:$ZZ$501,$A62,T$3)))</f>
        <v/>
      </c>
      <c r="U62" s="124" t="str">
        <f>IF($B62="","",IF(U$3=0,"n.b.",INDEX(SRC_ZPMW03!$A$1:$ZZ$501,$A62,U$3)))</f>
        <v/>
      </c>
      <c r="V62" s="124" t="str">
        <f>IF($B62="","",IF(V$3=0,"n.b.",INDEX(SRC_ZPMW03!$A$1:$ZZ$501,$A62,V$3)))</f>
        <v/>
      </c>
      <c r="W62" s="124" t="str">
        <f>IF($B62="","",IF(W$3=0,"n.b.",INDEX(SRC_ZPMW03!$A$1:$ZZ$501,$A62,W$3)))</f>
        <v/>
      </c>
      <c r="X62" s="124" t="str">
        <f>IF($B62="","",IF(X$3=0,"n.b.",INDEX(SRC_ZPMW03!$A$1:$ZZ$501,$A62,X$3)))</f>
        <v/>
      </c>
      <c r="Y62" s="124" t="str">
        <f>IF($B62="","",IF(Y$3=0,"n.b.",INDEX(SRC_ZPMW03!$A$1:$ZZ$501,$A62,Y$3)))</f>
        <v/>
      </c>
      <c r="Z62" s="124" t="str">
        <f>IF($B62="","",IF(Z$3=0,"n.b.",INDEX(SRC_ZPMW03!$A$1:$ZZ$501,$A62,Z$3)))</f>
        <v/>
      </c>
      <c r="AA62" s="124" t="str">
        <f>IF($B62="","",IF(AA$3=0,"n.b.",INDEX(SRC_ZPMW03!$A$1:$ZZ$501,$A62,AA$3)))</f>
        <v/>
      </c>
      <c r="AB62" s="124" t="str">
        <f>IF($B62="","",IF(AB$3=0,"n.b.",INDEX(SRC_ZPMW03!$A$1:$ZZ$501,$A62,AB$3)))</f>
        <v/>
      </c>
      <c r="AC62" s="124" t="str">
        <f>IF($B62="","",IF(AC$3=0,"n.b.",INDEX(SRC_ZPMW03!$A$1:$ZZ$501,$A62,AC$3)))</f>
        <v/>
      </c>
      <c r="AD62" s="124" t="str">
        <f>IF($B62="","",IF(AD$3=0,"n.b.",INDEX(SRC_ZPMW03!$A$1:$ZZ$501,$A62,AD$3)))</f>
        <v/>
      </c>
      <c r="AE62" s="124" t="str">
        <f>IF($B62="","",IF(AE$3=0,"n.b.",INDEX(SRC_ZPMW03!$A$1:$ZZ$501,$A62,AE$3)))</f>
        <v/>
      </c>
      <c r="AF62" s="124" t="str">
        <f>IF($B62="","",IF(AF$3=0,"n.b.",INDEX(SRC_ZPMW03!$A$1:$ZZ$501,$A62,AF$3)))</f>
        <v/>
      </c>
      <c r="AG62" s="124" t="str">
        <f>IF($B62="","",IF(AG$3=0,"n.b.",INDEX(SRC_ZPMW03!$A$1:$ZZ$501,$A62,AG$3)))</f>
        <v/>
      </c>
      <c r="AH62" s="124" t="str">
        <f>IF($B62="","",IF(AH$3=0,"n.b.",INDEX(SRC_ZPMW03!$A$1:$ZZ$501,$A62,AH$3)))</f>
        <v/>
      </c>
      <c r="AI62" s="124" t="str">
        <f>IF($B62="","",IF(AI$3=0,"n.b.",INDEX(SRC_ZPMW03!$A$1:$ZZ$501,$A62,AI$3)))</f>
        <v/>
      </c>
      <c r="AJ62" s="124" t="str">
        <f>IF($B62="","",IF(AJ$3=0,"n.b.",INDEX(SRC_ZPMW03!$A$1:$ZZ$501,$A62,AJ$3)))</f>
        <v/>
      </c>
      <c r="AK62" s="124" t="str">
        <f>IF($B62="","",IF(AK$3=0,"n.b.",INDEX(SRC_ZPMW03!$A$1:$ZZ$501,$A62,AK$3)))</f>
        <v/>
      </c>
      <c r="AL62" s="124" t="str">
        <f>IF($B62="","",IF(AL$3=0,"n.b.",INDEX(SRC_ZPMW03!$A$1:$ZZ$501,$A62,AL$3)))</f>
        <v/>
      </c>
      <c r="AM62" s="124" t="str">
        <f>IF($B62="","",IF(AM$3=0,"n.b.",INDEX(SRC_ZPMW03!$A$1:$ZZ$501,$A62,AM$3)))</f>
        <v/>
      </c>
      <c r="AN62" s="124" t="str">
        <f>IF($B62="","",IF(AN$3=0,"n.b.",INDEX(SRC_ZPMW03!$A$1:$ZZ$501,$A62,AN$3)))</f>
        <v/>
      </c>
      <c r="AO62" s="124" t="str">
        <f>IF($B62="","",IF(AO$3=0,"n.b.",INDEX(SRC_ZPMW03!$A$1:$ZZ$501,$A62,AO$3)))</f>
        <v/>
      </c>
      <c r="AP62" s="124" t="str">
        <f>IF($B62="","",IF(AP$3=0,"n.b.",INDEX(SRC_ZPMW03!$A$1:$ZZ$501,$A62,AP$3)))</f>
        <v/>
      </c>
      <c r="AQ62" s="124" t="str">
        <f>IF($B62="","",IF(AQ$3=0,"n.b.",INDEX(SRC_ZPMW03!$A$1:$ZZ$501,$A62,AQ$3)))</f>
        <v/>
      </c>
      <c r="AR62" s="124" t="str">
        <f>IF($B62="","",IF(AR$3=0,"n.b.",INDEX(SRC_ZPMW03!$A$1:$ZZ$501,$A62,AR$3)))</f>
        <v/>
      </c>
      <c r="AS62" s="124" t="str">
        <f>IF($B62="","",IF(AS$3=0,"n.b.",INDEX(SRC_ZPMW03!$A$1:$ZZ$501,$A62,AS$3)))</f>
        <v/>
      </c>
      <c r="AT62" s="124" t="str">
        <f>IF($B62="","",IF(AT$3=0,"n.b.",INDEX(SRC_ZPMW03!$A$1:$ZZ$501,$A62,AT$3)))</f>
        <v/>
      </c>
      <c r="AU62" s="124" t="str">
        <f>IF($B62="","",IF(AU$3=0,"n.b.",INDEX(SRC_ZPMW03!$A$1:$ZZ$501,$A62,AU$3)))</f>
        <v/>
      </c>
      <c r="AV62" s="124" t="str">
        <f>IF($B62="","",IF(AV$3=0,"n.b.",INDEX(SRC_ZPMW03!$A$1:$ZZ$501,$A62,AV$3)))</f>
        <v/>
      </c>
      <c r="AW62" s="124" t="str">
        <f>IF($B62="","",IF(AW$3=0,"n.b.",INDEX(SRC_ZPMW03!$A$1:$ZZ$501,$A62,AW$3)))</f>
        <v/>
      </c>
      <c r="AX62" s="124" t="str">
        <f>IF($B62="","",IF(AX$3=0,"n.b.",INDEX(SRC_ZPMW03!$A$1:$ZZ$501,$A62,AX$3)))</f>
        <v/>
      </c>
      <c r="AY62" s="124" t="str">
        <f>IF($B62="","",IF(AY$3=0,"n.b.",INDEX(SRC_ZPMW03!$A$1:$ZZ$501,$A62,AY$3)))</f>
        <v/>
      </c>
      <c r="AZ62" s="124" t="str">
        <f>IF($B62="","",IF(AZ$3=0,"n.b.",INDEX(SRC_ZPMW03!$A$1:$ZZ$501,$A62,AZ$3)))</f>
        <v/>
      </c>
      <c r="BA62" s="124" t="str">
        <f>IF($B62="","",IF(BA$3=0,"n.b.",INDEX(SRC_ZPMW03!$A$1:$ZZ$501,$A62,BA$3)))</f>
        <v/>
      </c>
      <c r="BB62" s="124" t="str">
        <f>IF($B62="","",IF(BB$3=0,"n.b.",INDEX(SRC_ZPMW03!$A$1:$ZZ$501,$A62,BB$3)))</f>
        <v/>
      </c>
      <c r="BC62" s="124" t="str">
        <f>IF($B62="","",IF(BC$3=0,"n.b.",INDEX(SRC_ZPMW03!$A$1:$ZZ$501,$A62,BC$3)))</f>
        <v/>
      </c>
      <c r="BD62" s="124" t="str">
        <f>IF($B62="","",IF(BD$3=0,"n.b.",INDEX(SRC_ZPMW03!$A$1:$ZZ$501,$A62,BD$3)))</f>
        <v/>
      </c>
      <c r="BE62" s="124" t="str">
        <f>IF($B62="","",IF(BE$3=0,"n.b.",INDEX(SRC_ZPMW03!$A$1:$ZZ$501,$A62,BE$3)))</f>
        <v/>
      </c>
      <c r="BF62" s="124" t="str">
        <f>IF($B62="","",IF(BF$3=0,"n.b.",INDEX(SRC_ZPMW03!$A$1:$ZZ$501,$A62,BF$3)))</f>
        <v/>
      </c>
      <c r="BG62" t="str">
        <f>IF($B62="","",IF(BG$3=0,"n.b.",INDEX(SRC_ZPMW03!$A$1:$ZZ$501,$A62,BG$3)))</f>
        <v/>
      </c>
      <c r="BH62" t="str">
        <f>IF($B62="","",IF(BH$3=0,"n.b.",INDEX(SRC_ZPMW03!$A$1:$ZZ$501,$A62,BH$3)))</f>
        <v/>
      </c>
      <c r="BI62" t="str">
        <f>IF($B62="","",IF(BI$3=0,"n.b.",INDEX(SRC_ZPMW03!$A$1:$ZZ$501,$A62,BI$3)))</f>
        <v/>
      </c>
      <c r="BJ62" t="str">
        <f>IF($B62="","",IF(BJ$3=0,"n.b.",INDEX(SRC_ZPMW03!$A$1:$ZZ$501,$A62,BJ$3)))</f>
        <v/>
      </c>
      <c r="BK62" s="124" t="str">
        <f>IF($B62="","",IFERROR(-O62,"n.b."))</f>
        <v/>
      </c>
      <c r="BL62" s="124" t="str">
        <f>IF($B62="","",IFERROR(-Q62,"n.b."))</f>
        <v/>
      </c>
      <c r="BM62" s="124" t="str">
        <f>IF($B62="","",IFERROR(-AB62,"n.b."))</f>
        <v/>
      </c>
      <c r="BN62" s="124" t="str">
        <f>IF($B62="","",IFERROR(-AD62,"n.b."))</f>
        <v/>
      </c>
      <c r="BO62" s="124" t="str">
        <f>IF($B62="","",IFERROR(BK62+BM62,"n.b."))</f>
        <v/>
      </c>
      <c r="BP62" s="124" t="str">
        <f>IF($B62="","",IFERROR(BL62+BN62,"n.b."))</f>
        <v/>
      </c>
      <c r="BQ62" s="124" t="str">
        <f>IF($B62="","",IFERROR(-AM62,"n.b."))</f>
        <v/>
      </c>
      <c r="BR62" s="124" t="str">
        <f>IF($B62="","",IFERROR(-AO62,"n.b."))</f>
        <v/>
      </c>
      <c r="BS62" s="124" t="str">
        <f>IF($B62="","",IFERROR(-Z62,"n.b."))</f>
        <v/>
      </c>
      <c r="BT62" s="124" t="str">
        <f>IF($B62="","",IFERROR(-AA62,"n.b."))</f>
        <v/>
      </c>
      <c r="BU62" s="124" t="str">
        <f>IF($B62="","",IFERROR(-AE62,"n.b."))</f>
        <v/>
      </c>
      <c r="BV62" s="124" t="str">
        <f>IF($B62="","",IFERROR(-AF62,"n.b."))</f>
        <v/>
      </c>
      <c r="BW62" s="124" t="str">
        <f>IF($B62="","",IFERROR(-AG62,"n.b."))</f>
        <v/>
      </c>
      <c r="BX62" s="124" t="str">
        <f>IF($B62="","",IFERROR(-AH62,"n.b."))</f>
        <v/>
      </c>
      <c r="BY62" s="124" t="str">
        <f>IF($B62="","",IFERROR(-AI62,"n.b."))</f>
        <v/>
      </c>
      <c r="BZ62" s="124" t="str">
        <f>IF($B62="","",IFERROR(-AJ62,"n.b."))</f>
        <v/>
      </c>
      <c r="CA62" s="124" t="str">
        <f>IF($B62="","",IFERROR(-AK62,"n.b."))</f>
        <v/>
      </c>
      <c r="CB62" s="124" t="str">
        <f>IF($B62="","",IFERROR(-AL62,"n.b."))</f>
        <v/>
      </c>
      <c r="CC62" s="124" t="str">
        <f>IF($B62="","",IFERROR(-AP62,"n.b."))</f>
        <v/>
      </c>
      <c r="CD62" s="124" t="str">
        <f>IF($B62="","",IFERROR(-AQ62,"n.b."))</f>
        <v/>
      </c>
      <c r="CE62" s="124" t="str">
        <f>IF($B62="","",IFERROR(-AR62,"n.b."))</f>
        <v/>
      </c>
      <c r="CF62" s="124" t="str">
        <f>IF($B62="","",IFERROR(-AS62,"n.b."))</f>
        <v/>
      </c>
      <c r="CG62" s="124" t="str">
        <f>IF($B62="","",IFERROR(-AT62,"n.b."))</f>
        <v/>
      </c>
      <c r="CH62" s="124" t="str">
        <f>IF($B62="","",IFERROR(-AU62,"n.b."))</f>
        <v/>
      </c>
      <c r="CI62" s="124" t="str">
        <f>IF($B62="","",IFERROR(-AV62,"n.b."))</f>
        <v/>
      </c>
      <c r="CJ62" s="124" t="str">
        <f>IF($B62="","",IFERROR(-AW62,"n.b."))</f>
        <v/>
      </c>
      <c r="CK62" s="124" t="str">
        <f>IF($B62="","",IFERROR(-AX62,"n.b."))</f>
        <v/>
      </c>
      <c r="CL62" s="124" t="str">
        <f>IF($B62="","",IFERROR(-AY62,"n.b."))</f>
        <v/>
      </c>
      <c r="CM62" s="124" t="str">
        <f>IF($B62="","",IFERROR(-AZ62,"n.b."))</f>
        <v/>
      </c>
      <c r="CN62" s="124" t="str">
        <f>IF($B62="","",IFERROR(-BA62,"n.b."))</f>
        <v/>
      </c>
      <c r="CO62" s="124" t="str">
        <f>IF($B62="","",IFERROR(-BB62,"n.b."))</f>
        <v/>
      </c>
      <c r="CP62" s="124" t="str">
        <f>IF($B62="","",IFERROR(-BC62,"n.b."))</f>
        <v/>
      </c>
      <c r="CQ62" s="124" t="str">
        <f>IF($B62="","",IFERROR(-BD62,"n.b."))</f>
        <v/>
      </c>
      <c r="CR62" s="124" t="str">
        <f>IF($B62="","",IFERROR(-BE62,"n.b."))</f>
        <v/>
      </c>
      <c r="CS62" s="124" t="str">
        <f>IF($B62="","",IFERROR(IF(OR(ABS(T62+V62+X62+Z62-AB62)&gt;P_Tol,ABS(U62+W62+Y62+AA62-AD62)&gt;P_Tol,ABS(AE62+AG62+AI62+AK62-AM62)&gt;P_Tol,ABS(AF62+AH62+AJ62+AL62-AO62)&gt;P_Tol),1,0),1))</f>
        <v/>
      </c>
      <c r="CT62" s="124" t="str">
        <f>IF($B62="","",IFERROR(IF(OR(ABS(AB62+AC62-AD62)&gt;P_Tol,ABS(AM62+AN62-AO62)&gt;P_Tol,ABS(O62+P62-Q62)&gt;P_Tol),1,0),1))</f>
        <v/>
      </c>
      <c r="CU62" s="124" t="str">
        <f>IF($B62="","",IFERROR(IF(ABS(R62-(AB62+AM62+AP62+AR62+AT62+AV62+AX62+AZ62+BB62+BD62))&gt;P_Tol,1,0),1))</f>
        <v/>
      </c>
      <c r="CV62" s="124" t="str">
        <f>IF($B62="","",IFERROR(IF(ABS(M62-(N62+O62+R62))&gt;P_Tol,1,0),1))</f>
        <v/>
      </c>
      <c r="CW62" s="124" t="str">
        <f>IF($B62="","",IF(COUNTIF(Mapping!$A$5:$A$104,B62)&gt;0,1,0))</f>
        <v/>
      </c>
      <c r="CX62" s="124" t="str">
        <f>IF($B62="","",COUNTIF($B$6:$B$505,B62))</f>
        <v/>
      </c>
      <c r="CY62" s="124" t="str">
        <f>IF($B62="","",COUNTIF(STG_Woningetalage!$B$6:$B$505,B62))</f>
        <v/>
      </c>
      <c r="CZ62" s="124" t="str">
        <f>IF($B62="","",IF(CW62=0,COUNTIF($CW$6:CW62,0),""))</f>
        <v/>
      </c>
    </row>
    <row r="63">
      <c r="A63" s="15" t="n">
        <v>59</v>
      </c>
      <c r="B63" t="str">
        <f>IF(B$3=0,"",IF(INDEX(SRC_ZPMW03!$A$1:$ZZ$501,$A63,B$3)&amp;""="","",INDEX(SRC_ZPMW03!$A$1:$ZZ$501,$A63,B$3)&amp;""))</f>
        <v/>
      </c>
      <c r="C63" t="str">
        <f>IF($B63="","",IF(C$3=0,"n.b.",INDEX(SRC_ZPMW03!$A$1:$ZZ$501,$A63,C$3)))</f>
        <v/>
      </c>
      <c r="D63" t="str">
        <f>IF($B63="","",IF(D$3=0,"n.b.",INDEX(SRC_ZPMW03!$A$1:$ZZ$501,$A63,D$3)))</f>
        <v/>
      </c>
      <c r="E63" t="str">
        <f>IF($B63="","",IF(E$3=0,"n.b.",INDEX(SRC_ZPMW03!$A$1:$ZZ$501,$A63,E$3)))</f>
        <v/>
      </c>
      <c r="F63" t="str">
        <f>IF($B63="","",IF(F$3=0,"n.b.",INDEX(SRC_ZPMW03!$A$1:$ZZ$501,$A63,F$3)))</f>
        <v/>
      </c>
      <c r="G63" t="str">
        <f>IF($B63="","",IF(G$3=0,"n.b.",INDEX(SRC_ZPMW03!$A$1:$ZZ$501,$A63,G$3)))</f>
        <v/>
      </c>
      <c r="H63" t="str">
        <f>IF($B63="","",IF(H$3=0,"n.b.",INDEX(SRC_ZPMW03!$A$1:$ZZ$501,$A63,H$3)))</f>
        <v/>
      </c>
      <c r="I63" t="str">
        <f>IF($B63="","",IF(I$3=0,"n.b.",INDEX(SRC_ZPMW03!$A$1:$ZZ$501,$A63,I$3)))</f>
        <v/>
      </c>
      <c r="J63" t="str">
        <f>IF($B63="","",IF(J$3=0,"n.b.",INDEX(SRC_ZPMW03!$A$1:$ZZ$501,$A63,J$3)))</f>
        <v/>
      </c>
      <c r="K63" t="str">
        <f>IF($B63="","",IF(K$3=0,"n.b.",INDEX(SRC_ZPMW03!$A$1:$ZZ$501,$A63,K$3)))</f>
        <v/>
      </c>
      <c r="L63" s="124" t="str">
        <f>IF($B63="","",IF(L$3=0,"n.b.",INDEX(SRC_ZPMW03!$A$1:$ZZ$501,$A63,L$3)))</f>
        <v/>
      </c>
      <c r="M63" s="124" t="str">
        <f>IF($B63="","",IF(M$3=0,"n.b.",INDEX(SRC_ZPMW03!$A$1:$ZZ$501,$A63,M$3)))</f>
        <v/>
      </c>
      <c r="N63" s="124" t="str">
        <f>IF($B63="","",IF(N$3=0,"n.b.",INDEX(SRC_ZPMW03!$A$1:$ZZ$501,$A63,N$3)))</f>
        <v/>
      </c>
      <c r="O63" s="124" t="str">
        <f>IF($B63="","",IF(O$3=0,"n.b.",INDEX(SRC_ZPMW03!$A$1:$ZZ$501,$A63,O$3)))</f>
        <v/>
      </c>
      <c r="P63" s="124" t="str">
        <f>IF($B63="","",IF(P$3=0,"n.b.",INDEX(SRC_ZPMW03!$A$1:$ZZ$501,$A63,P$3)))</f>
        <v/>
      </c>
      <c r="Q63" s="124" t="str">
        <f>IF($B63="","",IF(Q$3=0,"n.b.",INDEX(SRC_ZPMW03!$A$1:$ZZ$501,$A63,Q$3)))</f>
        <v/>
      </c>
      <c r="R63" s="124" t="str">
        <f>IF($B63="","",IF(R$3=0,"n.b.",INDEX(SRC_ZPMW03!$A$1:$ZZ$501,$A63,R$3)))</f>
        <v/>
      </c>
      <c r="S63" s="124" t="str">
        <f>IF($B63="","",IF(S$3=0,"n.b.",INDEX(SRC_ZPMW03!$A$1:$ZZ$501,$A63,S$3)))</f>
        <v/>
      </c>
      <c r="T63" s="124" t="str">
        <f>IF($B63="","",IF(T$3=0,"n.b.",INDEX(SRC_ZPMW03!$A$1:$ZZ$501,$A63,T$3)))</f>
        <v/>
      </c>
      <c r="U63" s="124" t="str">
        <f>IF($B63="","",IF(U$3=0,"n.b.",INDEX(SRC_ZPMW03!$A$1:$ZZ$501,$A63,U$3)))</f>
        <v/>
      </c>
      <c r="V63" s="124" t="str">
        <f>IF($B63="","",IF(V$3=0,"n.b.",INDEX(SRC_ZPMW03!$A$1:$ZZ$501,$A63,V$3)))</f>
        <v/>
      </c>
      <c r="W63" s="124" t="str">
        <f>IF($B63="","",IF(W$3=0,"n.b.",INDEX(SRC_ZPMW03!$A$1:$ZZ$501,$A63,W$3)))</f>
        <v/>
      </c>
      <c r="X63" s="124" t="str">
        <f>IF($B63="","",IF(X$3=0,"n.b.",INDEX(SRC_ZPMW03!$A$1:$ZZ$501,$A63,X$3)))</f>
        <v/>
      </c>
      <c r="Y63" s="124" t="str">
        <f>IF($B63="","",IF(Y$3=0,"n.b.",INDEX(SRC_ZPMW03!$A$1:$ZZ$501,$A63,Y$3)))</f>
        <v/>
      </c>
      <c r="Z63" s="124" t="str">
        <f>IF($B63="","",IF(Z$3=0,"n.b.",INDEX(SRC_ZPMW03!$A$1:$ZZ$501,$A63,Z$3)))</f>
        <v/>
      </c>
      <c r="AA63" s="124" t="str">
        <f>IF($B63="","",IF(AA$3=0,"n.b.",INDEX(SRC_ZPMW03!$A$1:$ZZ$501,$A63,AA$3)))</f>
        <v/>
      </c>
      <c r="AB63" s="124" t="str">
        <f>IF($B63="","",IF(AB$3=0,"n.b.",INDEX(SRC_ZPMW03!$A$1:$ZZ$501,$A63,AB$3)))</f>
        <v/>
      </c>
      <c r="AC63" s="124" t="str">
        <f>IF($B63="","",IF(AC$3=0,"n.b.",INDEX(SRC_ZPMW03!$A$1:$ZZ$501,$A63,AC$3)))</f>
        <v/>
      </c>
      <c r="AD63" s="124" t="str">
        <f>IF($B63="","",IF(AD$3=0,"n.b.",INDEX(SRC_ZPMW03!$A$1:$ZZ$501,$A63,AD$3)))</f>
        <v/>
      </c>
      <c r="AE63" s="124" t="str">
        <f>IF($B63="","",IF(AE$3=0,"n.b.",INDEX(SRC_ZPMW03!$A$1:$ZZ$501,$A63,AE$3)))</f>
        <v/>
      </c>
      <c r="AF63" s="124" t="str">
        <f>IF($B63="","",IF(AF$3=0,"n.b.",INDEX(SRC_ZPMW03!$A$1:$ZZ$501,$A63,AF$3)))</f>
        <v/>
      </c>
      <c r="AG63" s="124" t="str">
        <f>IF($B63="","",IF(AG$3=0,"n.b.",INDEX(SRC_ZPMW03!$A$1:$ZZ$501,$A63,AG$3)))</f>
        <v/>
      </c>
      <c r="AH63" s="124" t="str">
        <f>IF($B63="","",IF(AH$3=0,"n.b.",INDEX(SRC_ZPMW03!$A$1:$ZZ$501,$A63,AH$3)))</f>
        <v/>
      </c>
      <c r="AI63" s="124" t="str">
        <f>IF($B63="","",IF(AI$3=0,"n.b.",INDEX(SRC_ZPMW03!$A$1:$ZZ$501,$A63,AI$3)))</f>
        <v/>
      </c>
      <c r="AJ63" s="124" t="str">
        <f>IF($B63="","",IF(AJ$3=0,"n.b.",INDEX(SRC_ZPMW03!$A$1:$ZZ$501,$A63,AJ$3)))</f>
        <v/>
      </c>
      <c r="AK63" s="124" t="str">
        <f>IF($B63="","",IF(AK$3=0,"n.b.",INDEX(SRC_ZPMW03!$A$1:$ZZ$501,$A63,AK$3)))</f>
        <v/>
      </c>
      <c r="AL63" s="124" t="str">
        <f>IF($B63="","",IF(AL$3=0,"n.b.",INDEX(SRC_ZPMW03!$A$1:$ZZ$501,$A63,AL$3)))</f>
        <v/>
      </c>
      <c r="AM63" s="124" t="str">
        <f>IF($B63="","",IF(AM$3=0,"n.b.",INDEX(SRC_ZPMW03!$A$1:$ZZ$501,$A63,AM$3)))</f>
        <v/>
      </c>
      <c r="AN63" s="124" t="str">
        <f>IF($B63="","",IF(AN$3=0,"n.b.",INDEX(SRC_ZPMW03!$A$1:$ZZ$501,$A63,AN$3)))</f>
        <v/>
      </c>
      <c r="AO63" s="124" t="str">
        <f>IF($B63="","",IF(AO$3=0,"n.b.",INDEX(SRC_ZPMW03!$A$1:$ZZ$501,$A63,AO$3)))</f>
        <v/>
      </c>
      <c r="AP63" s="124" t="str">
        <f>IF($B63="","",IF(AP$3=0,"n.b.",INDEX(SRC_ZPMW03!$A$1:$ZZ$501,$A63,AP$3)))</f>
        <v/>
      </c>
      <c r="AQ63" s="124" t="str">
        <f>IF($B63="","",IF(AQ$3=0,"n.b.",INDEX(SRC_ZPMW03!$A$1:$ZZ$501,$A63,AQ$3)))</f>
        <v/>
      </c>
      <c r="AR63" s="124" t="str">
        <f>IF($B63="","",IF(AR$3=0,"n.b.",INDEX(SRC_ZPMW03!$A$1:$ZZ$501,$A63,AR$3)))</f>
        <v/>
      </c>
      <c r="AS63" s="124" t="str">
        <f>IF($B63="","",IF(AS$3=0,"n.b.",INDEX(SRC_ZPMW03!$A$1:$ZZ$501,$A63,AS$3)))</f>
        <v/>
      </c>
      <c r="AT63" s="124" t="str">
        <f>IF($B63="","",IF(AT$3=0,"n.b.",INDEX(SRC_ZPMW03!$A$1:$ZZ$501,$A63,AT$3)))</f>
        <v/>
      </c>
      <c r="AU63" s="124" t="str">
        <f>IF($B63="","",IF(AU$3=0,"n.b.",INDEX(SRC_ZPMW03!$A$1:$ZZ$501,$A63,AU$3)))</f>
        <v/>
      </c>
      <c r="AV63" s="124" t="str">
        <f>IF($B63="","",IF(AV$3=0,"n.b.",INDEX(SRC_ZPMW03!$A$1:$ZZ$501,$A63,AV$3)))</f>
        <v/>
      </c>
      <c r="AW63" s="124" t="str">
        <f>IF($B63="","",IF(AW$3=0,"n.b.",INDEX(SRC_ZPMW03!$A$1:$ZZ$501,$A63,AW$3)))</f>
        <v/>
      </c>
      <c r="AX63" s="124" t="str">
        <f>IF($B63="","",IF(AX$3=0,"n.b.",INDEX(SRC_ZPMW03!$A$1:$ZZ$501,$A63,AX$3)))</f>
        <v/>
      </c>
      <c r="AY63" s="124" t="str">
        <f>IF($B63="","",IF(AY$3=0,"n.b.",INDEX(SRC_ZPMW03!$A$1:$ZZ$501,$A63,AY$3)))</f>
        <v/>
      </c>
      <c r="AZ63" s="124" t="str">
        <f>IF($B63="","",IF(AZ$3=0,"n.b.",INDEX(SRC_ZPMW03!$A$1:$ZZ$501,$A63,AZ$3)))</f>
        <v/>
      </c>
      <c r="BA63" s="124" t="str">
        <f>IF($B63="","",IF(BA$3=0,"n.b.",INDEX(SRC_ZPMW03!$A$1:$ZZ$501,$A63,BA$3)))</f>
        <v/>
      </c>
      <c r="BB63" s="124" t="str">
        <f>IF($B63="","",IF(BB$3=0,"n.b.",INDEX(SRC_ZPMW03!$A$1:$ZZ$501,$A63,BB$3)))</f>
        <v/>
      </c>
      <c r="BC63" s="124" t="str">
        <f>IF($B63="","",IF(BC$3=0,"n.b.",INDEX(SRC_ZPMW03!$A$1:$ZZ$501,$A63,BC$3)))</f>
        <v/>
      </c>
      <c r="BD63" s="124" t="str">
        <f>IF($B63="","",IF(BD$3=0,"n.b.",INDEX(SRC_ZPMW03!$A$1:$ZZ$501,$A63,BD$3)))</f>
        <v/>
      </c>
      <c r="BE63" s="124" t="str">
        <f>IF($B63="","",IF(BE$3=0,"n.b.",INDEX(SRC_ZPMW03!$A$1:$ZZ$501,$A63,BE$3)))</f>
        <v/>
      </c>
      <c r="BF63" s="124" t="str">
        <f>IF($B63="","",IF(BF$3=0,"n.b.",INDEX(SRC_ZPMW03!$A$1:$ZZ$501,$A63,BF$3)))</f>
        <v/>
      </c>
      <c r="BG63" t="str">
        <f>IF($B63="","",IF(BG$3=0,"n.b.",INDEX(SRC_ZPMW03!$A$1:$ZZ$501,$A63,BG$3)))</f>
        <v/>
      </c>
      <c r="BH63" t="str">
        <f>IF($B63="","",IF(BH$3=0,"n.b.",INDEX(SRC_ZPMW03!$A$1:$ZZ$501,$A63,BH$3)))</f>
        <v/>
      </c>
      <c r="BI63" t="str">
        <f>IF($B63="","",IF(BI$3=0,"n.b.",INDEX(SRC_ZPMW03!$A$1:$ZZ$501,$A63,BI$3)))</f>
        <v/>
      </c>
      <c r="BJ63" t="str">
        <f>IF($B63="","",IF(BJ$3=0,"n.b.",INDEX(SRC_ZPMW03!$A$1:$ZZ$501,$A63,BJ$3)))</f>
        <v/>
      </c>
      <c r="BK63" s="124" t="str">
        <f>IF($B63="","",IFERROR(-O63,"n.b."))</f>
        <v/>
      </c>
      <c r="BL63" s="124" t="str">
        <f>IF($B63="","",IFERROR(-Q63,"n.b."))</f>
        <v/>
      </c>
      <c r="BM63" s="124" t="str">
        <f>IF($B63="","",IFERROR(-AB63,"n.b."))</f>
        <v/>
      </c>
      <c r="BN63" s="124" t="str">
        <f>IF($B63="","",IFERROR(-AD63,"n.b."))</f>
        <v/>
      </c>
      <c r="BO63" s="124" t="str">
        <f>IF($B63="","",IFERROR(BK63+BM63,"n.b."))</f>
        <v/>
      </c>
      <c r="BP63" s="124" t="str">
        <f>IF($B63="","",IFERROR(BL63+BN63,"n.b."))</f>
        <v/>
      </c>
      <c r="BQ63" s="124" t="str">
        <f>IF($B63="","",IFERROR(-AM63,"n.b."))</f>
        <v/>
      </c>
      <c r="BR63" s="124" t="str">
        <f>IF($B63="","",IFERROR(-AO63,"n.b."))</f>
        <v/>
      </c>
      <c r="BS63" s="124" t="str">
        <f>IF($B63="","",IFERROR(-Z63,"n.b."))</f>
        <v/>
      </c>
      <c r="BT63" s="124" t="str">
        <f>IF($B63="","",IFERROR(-AA63,"n.b."))</f>
        <v/>
      </c>
      <c r="BU63" s="124" t="str">
        <f>IF($B63="","",IFERROR(-AE63,"n.b."))</f>
        <v/>
      </c>
      <c r="BV63" s="124" t="str">
        <f>IF($B63="","",IFERROR(-AF63,"n.b."))</f>
        <v/>
      </c>
      <c r="BW63" s="124" t="str">
        <f>IF($B63="","",IFERROR(-AG63,"n.b."))</f>
        <v/>
      </c>
      <c r="BX63" s="124" t="str">
        <f>IF($B63="","",IFERROR(-AH63,"n.b."))</f>
        <v/>
      </c>
      <c r="BY63" s="124" t="str">
        <f>IF($B63="","",IFERROR(-AI63,"n.b."))</f>
        <v/>
      </c>
      <c r="BZ63" s="124" t="str">
        <f>IF($B63="","",IFERROR(-AJ63,"n.b."))</f>
        <v/>
      </c>
      <c r="CA63" s="124" t="str">
        <f>IF($B63="","",IFERROR(-AK63,"n.b."))</f>
        <v/>
      </c>
      <c r="CB63" s="124" t="str">
        <f>IF($B63="","",IFERROR(-AL63,"n.b."))</f>
        <v/>
      </c>
      <c r="CC63" s="124" t="str">
        <f>IF($B63="","",IFERROR(-AP63,"n.b."))</f>
        <v/>
      </c>
      <c r="CD63" s="124" t="str">
        <f>IF($B63="","",IFERROR(-AQ63,"n.b."))</f>
        <v/>
      </c>
      <c r="CE63" s="124" t="str">
        <f>IF($B63="","",IFERROR(-AR63,"n.b."))</f>
        <v/>
      </c>
      <c r="CF63" s="124" t="str">
        <f>IF($B63="","",IFERROR(-AS63,"n.b."))</f>
        <v/>
      </c>
      <c r="CG63" s="124" t="str">
        <f>IF($B63="","",IFERROR(-AT63,"n.b."))</f>
        <v/>
      </c>
      <c r="CH63" s="124" t="str">
        <f>IF($B63="","",IFERROR(-AU63,"n.b."))</f>
        <v/>
      </c>
      <c r="CI63" s="124" t="str">
        <f>IF($B63="","",IFERROR(-AV63,"n.b."))</f>
        <v/>
      </c>
      <c r="CJ63" s="124" t="str">
        <f>IF($B63="","",IFERROR(-AW63,"n.b."))</f>
        <v/>
      </c>
      <c r="CK63" s="124" t="str">
        <f>IF($B63="","",IFERROR(-AX63,"n.b."))</f>
        <v/>
      </c>
      <c r="CL63" s="124" t="str">
        <f>IF($B63="","",IFERROR(-AY63,"n.b."))</f>
        <v/>
      </c>
      <c r="CM63" s="124" t="str">
        <f>IF($B63="","",IFERROR(-AZ63,"n.b."))</f>
        <v/>
      </c>
      <c r="CN63" s="124" t="str">
        <f>IF($B63="","",IFERROR(-BA63,"n.b."))</f>
        <v/>
      </c>
      <c r="CO63" s="124" t="str">
        <f>IF($B63="","",IFERROR(-BB63,"n.b."))</f>
        <v/>
      </c>
      <c r="CP63" s="124" t="str">
        <f>IF($B63="","",IFERROR(-BC63,"n.b."))</f>
        <v/>
      </c>
      <c r="CQ63" s="124" t="str">
        <f>IF($B63="","",IFERROR(-BD63,"n.b."))</f>
        <v/>
      </c>
      <c r="CR63" s="124" t="str">
        <f>IF($B63="","",IFERROR(-BE63,"n.b."))</f>
        <v/>
      </c>
      <c r="CS63" s="124" t="str">
        <f>IF($B63="","",IFERROR(IF(OR(ABS(T63+V63+X63+Z63-AB63)&gt;P_Tol,ABS(U63+W63+Y63+AA63-AD63)&gt;P_Tol,ABS(AE63+AG63+AI63+AK63-AM63)&gt;P_Tol,ABS(AF63+AH63+AJ63+AL63-AO63)&gt;P_Tol),1,0),1))</f>
        <v/>
      </c>
      <c r="CT63" s="124" t="str">
        <f>IF($B63="","",IFERROR(IF(OR(ABS(AB63+AC63-AD63)&gt;P_Tol,ABS(AM63+AN63-AO63)&gt;P_Tol,ABS(O63+P63-Q63)&gt;P_Tol),1,0),1))</f>
        <v/>
      </c>
      <c r="CU63" s="124" t="str">
        <f>IF($B63="","",IFERROR(IF(ABS(R63-(AB63+AM63+AP63+AR63+AT63+AV63+AX63+AZ63+BB63+BD63))&gt;P_Tol,1,0),1))</f>
        <v/>
      </c>
      <c r="CV63" s="124" t="str">
        <f>IF($B63="","",IFERROR(IF(ABS(M63-(N63+O63+R63))&gt;P_Tol,1,0),1))</f>
        <v/>
      </c>
      <c r="CW63" s="124" t="str">
        <f>IF($B63="","",IF(COUNTIF(Mapping!$A$5:$A$104,B63)&gt;0,1,0))</f>
        <v/>
      </c>
      <c r="CX63" s="124" t="str">
        <f>IF($B63="","",COUNTIF($B$6:$B$505,B63))</f>
        <v/>
      </c>
      <c r="CY63" s="124" t="str">
        <f>IF($B63="","",COUNTIF(STG_Woningetalage!$B$6:$B$505,B63))</f>
        <v/>
      </c>
      <c r="CZ63" s="124" t="str">
        <f>IF($B63="","",IF(CW63=0,COUNTIF($CW$6:CW63,0),""))</f>
        <v/>
      </c>
    </row>
    <row r="64">
      <c r="A64" s="15" t="n">
        <v>60</v>
      </c>
      <c r="B64" t="str">
        <f>IF(B$3=0,"",IF(INDEX(SRC_ZPMW03!$A$1:$ZZ$501,$A64,B$3)&amp;""="","",INDEX(SRC_ZPMW03!$A$1:$ZZ$501,$A64,B$3)&amp;""))</f>
        <v/>
      </c>
      <c r="C64" t="str">
        <f>IF($B64="","",IF(C$3=0,"n.b.",INDEX(SRC_ZPMW03!$A$1:$ZZ$501,$A64,C$3)))</f>
        <v/>
      </c>
      <c r="D64" t="str">
        <f>IF($B64="","",IF(D$3=0,"n.b.",INDEX(SRC_ZPMW03!$A$1:$ZZ$501,$A64,D$3)))</f>
        <v/>
      </c>
      <c r="E64" t="str">
        <f>IF($B64="","",IF(E$3=0,"n.b.",INDEX(SRC_ZPMW03!$A$1:$ZZ$501,$A64,E$3)))</f>
        <v/>
      </c>
      <c r="F64" t="str">
        <f>IF($B64="","",IF(F$3=0,"n.b.",INDEX(SRC_ZPMW03!$A$1:$ZZ$501,$A64,F$3)))</f>
        <v/>
      </c>
      <c r="G64" t="str">
        <f>IF($B64="","",IF(G$3=0,"n.b.",INDEX(SRC_ZPMW03!$A$1:$ZZ$501,$A64,G$3)))</f>
        <v/>
      </c>
      <c r="H64" t="str">
        <f>IF($B64="","",IF(H$3=0,"n.b.",INDEX(SRC_ZPMW03!$A$1:$ZZ$501,$A64,H$3)))</f>
        <v/>
      </c>
      <c r="I64" t="str">
        <f>IF($B64="","",IF(I$3=0,"n.b.",INDEX(SRC_ZPMW03!$A$1:$ZZ$501,$A64,I$3)))</f>
        <v/>
      </c>
      <c r="J64" t="str">
        <f>IF($B64="","",IF(J$3=0,"n.b.",INDEX(SRC_ZPMW03!$A$1:$ZZ$501,$A64,J$3)))</f>
        <v/>
      </c>
      <c r="K64" t="str">
        <f>IF($B64="","",IF(K$3=0,"n.b.",INDEX(SRC_ZPMW03!$A$1:$ZZ$501,$A64,K$3)))</f>
        <v/>
      </c>
      <c r="L64" s="124" t="str">
        <f>IF($B64="","",IF(L$3=0,"n.b.",INDEX(SRC_ZPMW03!$A$1:$ZZ$501,$A64,L$3)))</f>
        <v/>
      </c>
      <c r="M64" s="124" t="str">
        <f>IF($B64="","",IF(M$3=0,"n.b.",INDEX(SRC_ZPMW03!$A$1:$ZZ$501,$A64,M$3)))</f>
        <v/>
      </c>
      <c r="N64" s="124" t="str">
        <f>IF($B64="","",IF(N$3=0,"n.b.",INDEX(SRC_ZPMW03!$A$1:$ZZ$501,$A64,N$3)))</f>
        <v/>
      </c>
      <c r="O64" s="124" t="str">
        <f>IF($B64="","",IF(O$3=0,"n.b.",INDEX(SRC_ZPMW03!$A$1:$ZZ$501,$A64,O$3)))</f>
        <v/>
      </c>
      <c r="P64" s="124" t="str">
        <f>IF($B64="","",IF(P$3=0,"n.b.",INDEX(SRC_ZPMW03!$A$1:$ZZ$501,$A64,P$3)))</f>
        <v/>
      </c>
      <c r="Q64" s="124" t="str">
        <f>IF($B64="","",IF(Q$3=0,"n.b.",INDEX(SRC_ZPMW03!$A$1:$ZZ$501,$A64,Q$3)))</f>
        <v/>
      </c>
      <c r="R64" s="124" t="str">
        <f>IF($B64="","",IF(R$3=0,"n.b.",INDEX(SRC_ZPMW03!$A$1:$ZZ$501,$A64,R$3)))</f>
        <v/>
      </c>
      <c r="S64" s="124" t="str">
        <f>IF($B64="","",IF(S$3=0,"n.b.",INDEX(SRC_ZPMW03!$A$1:$ZZ$501,$A64,S$3)))</f>
        <v/>
      </c>
      <c r="T64" s="124" t="str">
        <f>IF($B64="","",IF(T$3=0,"n.b.",INDEX(SRC_ZPMW03!$A$1:$ZZ$501,$A64,T$3)))</f>
        <v/>
      </c>
      <c r="U64" s="124" t="str">
        <f>IF($B64="","",IF(U$3=0,"n.b.",INDEX(SRC_ZPMW03!$A$1:$ZZ$501,$A64,U$3)))</f>
        <v/>
      </c>
      <c r="V64" s="124" t="str">
        <f>IF($B64="","",IF(V$3=0,"n.b.",INDEX(SRC_ZPMW03!$A$1:$ZZ$501,$A64,V$3)))</f>
        <v/>
      </c>
      <c r="W64" s="124" t="str">
        <f>IF($B64="","",IF(W$3=0,"n.b.",INDEX(SRC_ZPMW03!$A$1:$ZZ$501,$A64,W$3)))</f>
        <v/>
      </c>
      <c r="X64" s="124" t="str">
        <f>IF($B64="","",IF(X$3=0,"n.b.",INDEX(SRC_ZPMW03!$A$1:$ZZ$501,$A64,X$3)))</f>
        <v/>
      </c>
      <c r="Y64" s="124" t="str">
        <f>IF($B64="","",IF(Y$3=0,"n.b.",INDEX(SRC_ZPMW03!$A$1:$ZZ$501,$A64,Y$3)))</f>
        <v/>
      </c>
      <c r="Z64" s="124" t="str">
        <f>IF($B64="","",IF(Z$3=0,"n.b.",INDEX(SRC_ZPMW03!$A$1:$ZZ$501,$A64,Z$3)))</f>
        <v/>
      </c>
      <c r="AA64" s="124" t="str">
        <f>IF($B64="","",IF(AA$3=0,"n.b.",INDEX(SRC_ZPMW03!$A$1:$ZZ$501,$A64,AA$3)))</f>
        <v/>
      </c>
      <c r="AB64" s="124" t="str">
        <f>IF($B64="","",IF(AB$3=0,"n.b.",INDEX(SRC_ZPMW03!$A$1:$ZZ$501,$A64,AB$3)))</f>
        <v/>
      </c>
      <c r="AC64" s="124" t="str">
        <f>IF($B64="","",IF(AC$3=0,"n.b.",INDEX(SRC_ZPMW03!$A$1:$ZZ$501,$A64,AC$3)))</f>
        <v/>
      </c>
      <c r="AD64" s="124" t="str">
        <f>IF($B64="","",IF(AD$3=0,"n.b.",INDEX(SRC_ZPMW03!$A$1:$ZZ$501,$A64,AD$3)))</f>
        <v/>
      </c>
      <c r="AE64" s="124" t="str">
        <f>IF($B64="","",IF(AE$3=0,"n.b.",INDEX(SRC_ZPMW03!$A$1:$ZZ$501,$A64,AE$3)))</f>
        <v/>
      </c>
      <c r="AF64" s="124" t="str">
        <f>IF($B64="","",IF(AF$3=0,"n.b.",INDEX(SRC_ZPMW03!$A$1:$ZZ$501,$A64,AF$3)))</f>
        <v/>
      </c>
      <c r="AG64" s="124" t="str">
        <f>IF($B64="","",IF(AG$3=0,"n.b.",INDEX(SRC_ZPMW03!$A$1:$ZZ$501,$A64,AG$3)))</f>
        <v/>
      </c>
      <c r="AH64" s="124" t="str">
        <f>IF($B64="","",IF(AH$3=0,"n.b.",INDEX(SRC_ZPMW03!$A$1:$ZZ$501,$A64,AH$3)))</f>
        <v/>
      </c>
      <c r="AI64" s="124" t="str">
        <f>IF($B64="","",IF(AI$3=0,"n.b.",INDEX(SRC_ZPMW03!$A$1:$ZZ$501,$A64,AI$3)))</f>
        <v/>
      </c>
      <c r="AJ64" s="124" t="str">
        <f>IF($B64="","",IF(AJ$3=0,"n.b.",INDEX(SRC_ZPMW03!$A$1:$ZZ$501,$A64,AJ$3)))</f>
        <v/>
      </c>
      <c r="AK64" s="124" t="str">
        <f>IF($B64="","",IF(AK$3=0,"n.b.",INDEX(SRC_ZPMW03!$A$1:$ZZ$501,$A64,AK$3)))</f>
        <v/>
      </c>
      <c r="AL64" s="124" t="str">
        <f>IF($B64="","",IF(AL$3=0,"n.b.",INDEX(SRC_ZPMW03!$A$1:$ZZ$501,$A64,AL$3)))</f>
        <v/>
      </c>
      <c r="AM64" s="124" t="str">
        <f>IF($B64="","",IF(AM$3=0,"n.b.",INDEX(SRC_ZPMW03!$A$1:$ZZ$501,$A64,AM$3)))</f>
        <v/>
      </c>
      <c r="AN64" s="124" t="str">
        <f>IF($B64="","",IF(AN$3=0,"n.b.",INDEX(SRC_ZPMW03!$A$1:$ZZ$501,$A64,AN$3)))</f>
        <v/>
      </c>
      <c r="AO64" s="124" t="str">
        <f>IF($B64="","",IF(AO$3=0,"n.b.",INDEX(SRC_ZPMW03!$A$1:$ZZ$501,$A64,AO$3)))</f>
        <v/>
      </c>
      <c r="AP64" s="124" t="str">
        <f>IF($B64="","",IF(AP$3=0,"n.b.",INDEX(SRC_ZPMW03!$A$1:$ZZ$501,$A64,AP$3)))</f>
        <v/>
      </c>
      <c r="AQ64" s="124" t="str">
        <f>IF($B64="","",IF(AQ$3=0,"n.b.",INDEX(SRC_ZPMW03!$A$1:$ZZ$501,$A64,AQ$3)))</f>
        <v/>
      </c>
      <c r="AR64" s="124" t="str">
        <f>IF($B64="","",IF(AR$3=0,"n.b.",INDEX(SRC_ZPMW03!$A$1:$ZZ$501,$A64,AR$3)))</f>
        <v/>
      </c>
      <c r="AS64" s="124" t="str">
        <f>IF($B64="","",IF(AS$3=0,"n.b.",INDEX(SRC_ZPMW03!$A$1:$ZZ$501,$A64,AS$3)))</f>
        <v/>
      </c>
      <c r="AT64" s="124" t="str">
        <f>IF($B64="","",IF(AT$3=0,"n.b.",INDEX(SRC_ZPMW03!$A$1:$ZZ$501,$A64,AT$3)))</f>
        <v/>
      </c>
      <c r="AU64" s="124" t="str">
        <f>IF($B64="","",IF(AU$3=0,"n.b.",INDEX(SRC_ZPMW03!$A$1:$ZZ$501,$A64,AU$3)))</f>
        <v/>
      </c>
      <c r="AV64" s="124" t="str">
        <f>IF($B64="","",IF(AV$3=0,"n.b.",INDEX(SRC_ZPMW03!$A$1:$ZZ$501,$A64,AV$3)))</f>
        <v/>
      </c>
      <c r="AW64" s="124" t="str">
        <f>IF($B64="","",IF(AW$3=0,"n.b.",INDEX(SRC_ZPMW03!$A$1:$ZZ$501,$A64,AW$3)))</f>
        <v/>
      </c>
      <c r="AX64" s="124" t="str">
        <f>IF($B64="","",IF(AX$3=0,"n.b.",INDEX(SRC_ZPMW03!$A$1:$ZZ$501,$A64,AX$3)))</f>
        <v/>
      </c>
      <c r="AY64" s="124" t="str">
        <f>IF($B64="","",IF(AY$3=0,"n.b.",INDEX(SRC_ZPMW03!$A$1:$ZZ$501,$A64,AY$3)))</f>
        <v/>
      </c>
      <c r="AZ64" s="124" t="str">
        <f>IF($B64="","",IF(AZ$3=0,"n.b.",INDEX(SRC_ZPMW03!$A$1:$ZZ$501,$A64,AZ$3)))</f>
        <v/>
      </c>
      <c r="BA64" s="124" t="str">
        <f>IF($B64="","",IF(BA$3=0,"n.b.",INDEX(SRC_ZPMW03!$A$1:$ZZ$501,$A64,BA$3)))</f>
        <v/>
      </c>
      <c r="BB64" s="124" t="str">
        <f>IF($B64="","",IF(BB$3=0,"n.b.",INDEX(SRC_ZPMW03!$A$1:$ZZ$501,$A64,BB$3)))</f>
        <v/>
      </c>
      <c r="BC64" s="124" t="str">
        <f>IF($B64="","",IF(BC$3=0,"n.b.",INDEX(SRC_ZPMW03!$A$1:$ZZ$501,$A64,BC$3)))</f>
        <v/>
      </c>
      <c r="BD64" s="124" t="str">
        <f>IF($B64="","",IF(BD$3=0,"n.b.",INDEX(SRC_ZPMW03!$A$1:$ZZ$501,$A64,BD$3)))</f>
        <v/>
      </c>
      <c r="BE64" s="124" t="str">
        <f>IF($B64="","",IF(BE$3=0,"n.b.",INDEX(SRC_ZPMW03!$A$1:$ZZ$501,$A64,BE$3)))</f>
        <v/>
      </c>
      <c r="BF64" s="124" t="str">
        <f>IF($B64="","",IF(BF$3=0,"n.b.",INDEX(SRC_ZPMW03!$A$1:$ZZ$501,$A64,BF$3)))</f>
        <v/>
      </c>
      <c r="BG64" t="str">
        <f>IF($B64="","",IF(BG$3=0,"n.b.",INDEX(SRC_ZPMW03!$A$1:$ZZ$501,$A64,BG$3)))</f>
        <v/>
      </c>
      <c r="BH64" t="str">
        <f>IF($B64="","",IF(BH$3=0,"n.b.",INDEX(SRC_ZPMW03!$A$1:$ZZ$501,$A64,BH$3)))</f>
        <v/>
      </c>
      <c r="BI64" t="str">
        <f>IF($B64="","",IF(BI$3=0,"n.b.",INDEX(SRC_ZPMW03!$A$1:$ZZ$501,$A64,BI$3)))</f>
        <v/>
      </c>
      <c r="BJ64" t="str">
        <f>IF($B64="","",IF(BJ$3=0,"n.b.",INDEX(SRC_ZPMW03!$A$1:$ZZ$501,$A64,BJ$3)))</f>
        <v/>
      </c>
      <c r="BK64" s="124" t="str">
        <f>IF($B64="","",IFERROR(-O64,"n.b."))</f>
        <v/>
      </c>
      <c r="BL64" s="124" t="str">
        <f>IF($B64="","",IFERROR(-Q64,"n.b."))</f>
        <v/>
      </c>
      <c r="BM64" s="124" t="str">
        <f>IF($B64="","",IFERROR(-AB64,"n.b."))</f>
        <v/>
      </c>
      <c r="BN64" s="124" t="str">
        <f>IF($B64="","",IFERROR(-AD64,"n.b."))</f>
        <v/>
      </c>
      <c r="BO64" s="124" t="str">
        <f>IF($B64="","",IFERROR(BK64+BM64,"n.b."))</f>
        <v/>
      </c>
      <c r="BP64" s="124" t="str">
        <f>IF($B64="","",IFERROR(BL64+BN64,"n.b."))</f>
        <v/>
      </c>
      <c r="BQ64" s="124" t="str">
        <f>IF($B64="","",IFERROR(-AM64,"n.b."))</f>
        <v/>
      </c>
      <c r="BR64" s="124" t="str">
        <f>IF($B64="","",IFERROR(-AO64,"n.b."))</f>
        <v/>
      </c>
      <c r="BS64" s="124" t="str">
        <f>IF($B64="","",IFERROR(-Z64,"n.b."))</f>
        <v/>
      </c>
      <c r="BT64" s="124" t="str">
        <f>IF($B64="","",IFERROR(-AA64,"n.b."))</f>
        <v/>
      </c>
      <c r="BU64" s="124" t="str">
        <f>IF($B64="","",IFERROR(-AE64,"n.b."))</f>
        <v/>
      </c>
      <c r="BV64" s="124" t="str">
        <f>IF($B64="","",IFERROR(-AF64,"n.b."))</f>
        <v/>
      </c>
      <c r="BW64" s="124" t="str">
        <f>IF($B64="","",IFERROR(-AG64,"n.b."))</f>
        <v/>
      </c>
      <c r="BX64" s="124" t="str">
        <f>IF($B64="","",IFERROR(-AH64,"n.b."))</f>
        <v/>
      </c>
      <c r="BY64" s="124" t="str">
        <f>IF($B64="","",IFERROR(-AI64,"n.b."))</f>
        <v/>
      </c>
      <c r="BZ64" s="124" t="str">
        <f>IF($B64="","",IFERROR(-AJ64,"n.b."))</f>
        <v/>
      </c>
      <c r="CA64" s="124" t="str">
        <f>IF($B64="","",IFERROR(-AK64,"n.b."))</f>
        <v/>
      </c>
      <c r="CB64" s="124" t="str">
        <f>IF($B64="","",IFERROR(-AL64,"n.b."))</f>
        <v/>
      </c>
      <c r="CC64" s="124" t="str">
        <f>IF($B64="","",IFERROR(-AP64,"n.b."))</f>
        <v/>
      </c>
      <c r="CD64" s="124" t="str">
        <f>IF($B64="","",IFERROR(-AQ64,"n.b."))</f>
        <v/>
      </c>
      <c r="CE64" s="124" t="str">
        <f>IF($B64="","",IFERROR(-AR64,"n.b."))</f>
        <v/>
      </c>
      <c r="CF64" s="124" t="str">
        <f>IF($B64="","",IFERROR(-AS64,"n.b."))</f>
        <v/>
      </c>
      <c r="CG64" s="124" t="str">
        <f>IF($B64="","",IFERROR(-AT64,"n.b."))</f>
        <v/>
      </c>
      <c r="CH64" s="124" t="str">
        <f>IF($B64="","",IFERROR(-AU64,"n.b."))</f>
        <v/>
      </c>
      <c r="CI64" s="124" t="str">
        <f>IF($B64="","",IFERROR(-AV64,"n.b."))</f>
        <v/>
      </c>
      <c r="CJ64" s="124" t="str">
        <f>IF($B64="","",IFERROR(-AW64,"n.b."))</f>
        <v/>
      </c>
      <c r="CK64" s="124" t="str">
        <f>IF($B64="","",IFERROR(-AX64,"n.b."))</f>
        <v/>
      </c>
      <c r="CL64" s="124" t="str">
        <f>IF($B64="","",IFERROR(-AY64,"n.b."))</f>
        <v/>
      </c>
      <c r="CM64" s="124" t="str">
        <f>IF($B64="","",IFERROR(-AZ64,"n.b."))</f>
        <v/>
      </c>
      <c r="CN64" s="124" t="str">
        <f>IF($B64="","",IFERROR(-BA64,"n.b."))</f>
        <v/>
      </c>
      <c r="CO64" s="124" t="str">
        <f>IF($B64="","",IFERROR(-BB64,"n.b."))</f>
        <v/>
      </c>
      <c r="CP64" s="124" t="str">
        <f>IF($B64="","",IFERROR(-BC64,"n.b."))</f>
        <v/>
      </c>
      <c r="CQ64" s="124" t="str">
        <f>IF($B64="","",IFERROR(-BD64,"n.b."))</f>
        <v/>
      </c>
      <c r="CR64" s="124" t="str">
        <f>IF($B64="","",IFERROR(-BE64,"n.b."))</f>
        <v/>
      </c>
      <c r="CS64" s="124" t="str">
        <f>IF($B64="","",IFERROR(IF(OR(ABS(T64+V64+X64+Z64-AB64)&gt;P_Tol,ABS(U64+W64+Y64+AA64-AD64)&gt;P_Tol,ABS(AE64+AG64+AI64+AK64-AM64)&gt;P_Tol,ABS(AF64+AH64+AJ64+AL64-AO64)&gt;P_Tol),1,0),1))</f>
        <v/>
      </c>
      <c r="CT64" s="124" t="str">
        <f>IF($B64="","",IFERROR(IF(OR(ABS(AB64+AC64-AD64)&gt;P_Tol,ABS(AM64+AN64-AO64)&gt;P_Tol,ABS(O64+P64-Q64)&gt;P_Tol),1,0),1))</f>
        <v/>
      </c>
      <c r="CU64" s="124" t="str">
        <f>IF($B64="","",IFERROR(IF(ABS(R64-(AB64+AM64+AP64+AR64+AT64+AV64+AX64+AZ64+BB64+BD64))&gt;P_Tol,1,0),1))</f>
        <v/>
      </c>
      <c r="CV64" s="124" t="str">
        <f>IF($B64="","",IFERROR(IF(ABS(M64-(N64+O64+R64))&gt;P_Tol,1,0),1))</f>
        <v/>
      </c>
      <c r="CW64" s="124" t="str">
        <f>IF($B64="","",IF(COUNTIF(Mapping!$A$5:$A$104,B64)&gt;0,1,0))</f>
        <v/>
      </c>
      <c r="CX64" s="124" t="str">
        <f>IF($B64="","",COUNTIF($B$6:$B$505,B64))</f>
        <v/>
      </c>
      <c r="CY64" s="124" t="str">
        <f>IF($B64="","",COUNTIF(STG_Woningetalage!$B$6:$B$505,B64))</f>
        <v/>
      </c>
      <c r="CZ64" s="124" t="str">
        <f>IF($B64="","",IF(CW64=0,COUNTIF($CW$6:CW64,0),""))</f>
        <v/>
      </c>
    </row>
    <row r="65">
      <c r="A65" s="15" t="n">
        <v>61</v>
      </c>
      <c r="B65" t="str">
        <f>IF(B$3=0,"",IF(INDEX(SRC_ZPMW03!$A$1:$ZZ$501,$A65,B$3)&amp;""="","",INDEX(SRC_ZPMW03!$A$1:$ZZ$501,$A65,B$3)&amp;""))</f>
        <v/>
      </c>
      <c r="C65" t="str">
        <f>IF($B65="","",IF(C$3=0,"n.b.",INDEX(SRC_ZPMW03!$A$1:$ZZ$501,$A65,C$3)))</f>
        <v/>
      </c>
      <c r="D65" t="str">
        <f>IF($B65="","",IF(D$3=0,"n.b.",INDEX(SRC_ZPMW03!$A$1:$ZZ$501,$A65,D$3)))</f>
        <v/>
      </c>
      <c r="E65" t="str">
        <f>IF($B65="","",IF(E$3=0,"n.b.",INDEX(SRC_ZPMW03!$A$1:$ZZ$501,$A65,E$3)))</f>
        <v/>
      </c>
      <c r="F65" t="str">
        <f>IF($B65="","",IF(F$3=0,"n.b.",INDEX(SRC_ZPMW03!$A$1:$ZZ$501,$A65,F$3)))</f>
        <v/>
      </c>
      <c r="G65" t="str">
        <f>IF($B65="","",IF(G$3=0,"n.b.",INDEX(SRC_ZPMW03!$A$1:$ZZ$501,$A65,G$3)))</f>
        <v/>
      </c>
      <c r="H65" t="str">
        <f>IF($B65="","",IF(H$3=0,"n.b.",INDEX(SRC_ZPMW03!$A$1:$ZZ$501,$A65,H$3)))</f>
        <v/>
      </c>
      <c r="I65" t="str">
        <f>IF($B65="","",IF(I$3=0,"n.b.",INDEX(SRC_ZPMW03!$A$1:$ZZ$501,$A65,I$3)))</f>
        <v/>
      </c>
      <c r="J65" t="str">
        <f>IF($B65="","",IF(J$3=0,"n.b.",INDEX(SRC_ZPMW03!$A$1:$ZZ$501,$A65,J$3)))</f>
        <v/>
      </c>
      <c r="K65" t="str">
        <f>IF($B65="","",IF(K$3=0,"n.b.",INDEX(SRC_ZPMW03!$A$1:$ZZ$501,$A65,K$3)))</f>
        <v/>
      </c>
      <c r="L65" s="124" t="str">
        <f>IF($B65="","",IF(L$3=0,"n.b.",INDEX(SRC_ZPMW03!$A$1:$ZZ$501,$A65,L$3)))</f>
        <v/>
      </c>
      <c r="M65" s="124" t="str">
        <f>IF($B65="","",IF(M$3=0,"n.b.",INDEX(SRC_ZPMW03!$A$1:$ZZ$501,$A65,M$3)))</f>
        <v/>
      </c>
      <c r="N65" s="124" t="str">
        <f>IF($B65="","",IF(N$3=0,"n.b.",INDEX(SRC_ZPMW03!$A$1:$ZZ$501,$A65,N$3)))</f>
        <v/>
      </c>
      <c r="O65" s="124" t="str">
        <f>IF($B65="","",IF(O$3=0,"n.b.",INDEX(SRC_ZPMW03!$A$1:$ZZ$501,$A65,O$3)))</f>
        <v/>
      </c>
      <c r="P65" s="124" t="str">
        <f>IF($B65="","",IF(P$3=0,"n.b.",INDEX(SRC_ZPMW03!$A$1:$ZZ$501,$A65,P$3)))</f>
        <v/>
      </c>
      <c r="Q65" s="124" t="str">
        <f>IF($B65="","",IF(Q$3=0,"n.b.",INDEX(SRC_ZPMW03!$A$1:$ZZ$501,$A65,Q$3)))</f>
        <v/>
      </c>
      <c r="R65" s="124" t="str">
        <f>IF($B65="","",IF(R$3=0,"n.b.",INDEX(SRC_ZPMW03!$A$1:$ZZ$501,$A65,R$3)))</f>
        <v/>
      </c>
      <c r="S65" s="124" t="str">
        <f>IF($B65="","",IF(S$3=0,"n.b.",INDEX(SRC_ZPMW03!$A$1:$ZZ$501,$A65,S$3)))</f>
        <v/>
      </c>
      <c r="T65" s="124" t="str">
        <f>IF($B65="","",IF(T$3=0,"n.b.",INDEX(SRC_ZPMW03!$A$1:$ZZ$501,$A65,T$3)))</f>
        <v/>
      </c>
      <c r="U65" s="124" t="str">
        <f>IF($B65="","",IF(U$3=0,"n.b.",INDEX(SRC_ZPMW03!$A$1:$ZZ$501,$A65,U$3)))</f>
        <v/>
      </c>
      <c r="V65" s="124" t="str">
        <f>IF($B65="","",IF(V$3=0,"n.b.",INDEX(SRC_ZPMW03!$A$1:$ZZ$501,$A65,V$3)))</f>
        <v/>
      </c>
      <c r="W65" s="124" t="str">
        <f>IF($B65="","",IF(W$3=0,"n.b.",INDEX(SRC_ZPMW03!$A$1:$ZZ$501,$A65,W$3)))</f>
        <v/>
      </c>
      <c r="X65" s="124" t="str">
        <f>IF($B65="","",IF(X$3=0,"n.b.",INDEX(SRC_ZPMW03!$A$1:$ZZ$501,$A65,X$3)))</f>
        <v/>
      </c>
      <c r="Y65" s="124" t="str">
        <f>IF($B65="","",IF(Y$3=0,"n.b.",INDEX(SRC_ZPMW03!$A$1:$ZZ$501,$A65,Y$3)))</f>
        <v/>
      </c>
      <c r="Z65" s="124" t="str">
        <f>IF($B65="","",IF(Z$3=0,"n.b.",INDEX(SRC_ZPMW03!$A$1:$ZZ$501,$A65,Z$3)))</f>
        <v/>
      </c>
      <c r="AA65" s="124" t="str">
        <f>IF($B65="","",IF(AA$3=0,"n.b.",INDEX(SRC_ZPMW03!$A$1:$ZZ$501,$A65,AA$3)))</f>
        <v/>
      </c>
      <c r="AB65" s="124" t="str">
        <f>IF($B65="","",IF(AB$3=0,"n.b.",INDEX(SRC_ZPMW03!$A$1:$ZZ$501,$A65,AB$3)))</f>
        <v/>
      </c>
      <c r="AC65" s="124" t="str">
        <f>IF($B65="","",IF(AC$3=0,"n.b.",INDEX(SRC_ZPMW03!$A$1:$ZZ$501,$A65,AC$3)))</f>
        <v/>
      </c>
      <c r="AD65" s="124" t="str">
        <f>IF($B65="","",IF(AD$3=0,"n.b.",INDEX(SRC_ZPMW03!$A$1:$ZZ$501,$A65,AD$3)))</f>
        <v/>
      </c>
      <c r="AE65" s="124" t="str">
        <f>IF($B65="","",IF(AE$3=0,"n.b.",INDEX(SRC_ZPMW03!$A$1:$ZZ$501,$A65,AE$3)))</f>
        <v/>
      </c>
      <c r="AF65" s="124" t="str">
        <f>IF($B65="","",IF(AF$3=0,"n.b.",INDEX(SRC_ZPMW03!$A$1:$ZZ$501,$A65,AF$3)))</f>
        <v/>
      </c>
      <c r="AG65" s="124" t="str">
        <f>IF($B65="","",IF(AG$3=0,"n.b.",INDEX(SRC_ZPMW03!$A$1:$ZZ$501,$A65,AG$3)))</f>
        <v/>
      </c>
      <c r="AH65" s="124" t="str">
        <f>IF($B65="","",IF(AH$3=0,"n.b.",INDEX(SRC_ZPMW03!$A$1:$ZZ$501,$A65,AH$3)))</f>
        <v/>
      </c>
      <c r="AI65" s="124" t="str">
        <f>IF($B65="","",IF(AI$3=0,"n.b.",INDEX(SRC_ZPMW03!$A$1:$ZZ$501,$A65,AI$3)))</f>
        <v/>
      </c>
      <c r="AJ65" s="124" t="str">
        <f>IF($B65="","",IF(AJ$3=0,"n.b.",INDEX(SRC_ZPMW03!$A$1:$ZZ$501,$A65,AJ$3)))</f>
        <v/>
      </c>
      <c r="AK65" s="124" t="str">
        <f>IF($B65="","",IF(AK$3=0,"n.b.",INDEX(SRC_ZPMW03!$A$1:$ZZ$501,$A65,AK$3)))</f>
        <v/>
      </c>
      <c r="AL65" s="124" t="str">
        <f>IF($B65="","",IF(AL$3=0,"n.b.",INDEX(SRC_ZPMW03!$A$1:$ZZ$501,$A65,AL$3)))</f>
        <v/>
      </c>
      <c r="AM65" s="124" t="str">
        <f>IF($B65="","",IF(AM$3=0,"n.b.",INDEX(SRC_ZPMW03!$A$1:$ZZ$501,$A65,AM$3)))</f>
        <v/>
      </c>
      <c r="AN65" s="124" t="str">
        <f>IF($B65="","",IF(AN$3=0,"n.b.",INDEX(SRC_ZPMW03!$A$1:$ZZ$501,$A65,AN$3)))</f>
        <v/>
      </c>
      <c r="AO65" s="124" t="str">
        <f>IF($B65="","",IF(AO$3=0,"n.b.",INDEX(SRC_ZPMW03!$A$1:$ZZ$501,$A65,AO$3)))</f>
        <v/>
      </c>
      <c r="AP65" s="124" t="str">
        <f>IF($B65="","",IF(AP$3=0,"n.b.",INDEX(SRC_ZPMW03!$A$1:$ZZ$501,$A65,AP$3)))</f>
        <v/>
      </c>
      <c r="AQ65" s="124" t="str">
        <f>IF($B65="","",IF(AQ$3=0,"n.b.",INDEX(SRC_ZPMW03!$A$1:$ZZ$501,$A65,AQ$3)))</f>
        <v/>
      </c>
      <c r="AR65" s="124" t="str">
        <f>IF($B65="","",IF(AR$3=0,"n.b.",INDEX(SRC_ZPMW03!$A$1:$ZZ$501,$A65,AR$3)))</f>
        <v/>
      </c>
      <c r="AS65" s="124" t="str">
        <f>IF($B65="","",IF(AS$3=0,"n.b.",INDEX(SRC_ZPMW03!$A$1:$ZZ$501,$A65,AS$3)))</f>
        <v/>
      </c>
      <c r="AT65" s="124" t="str">
        <f>IF($B65="","",IF(AT$3=0,"n.b.",INDEX(SRC_ZPMW03!$A$1:$ZZ$501,$A65,AT$3)))</f>
        <v/>
      </c>
      <c r="AU65" s="124" t="str">
        <f>IF($B65="","",IF(AU$3=0,"n.b.",INDEX(SRC_ZPMW03!$A$1:$ZZ$501,$A65,AU$3)))</f>
        <v/>
      </c>
      <c r="AV65" s="124" t="str">
        <f>IF($B65="","",IF(AV$3=0,"n.b.",INDEX(SRC_ZPMW03!$A$1:$ZZ$501,$A65,AV$3)))</f>
        <v/>
      </c>
      <c r="AW65" s="124" t="str">
        <f>IF($B65="","",IF(AW$3=0,"n.b.",INDEX(SRC_ZPMW03!$A$1:$ZZ$501,$A65,AW$3)))</f>
        <v/>
      </c>
      <c r="AX65" s="124" t="str">
        <f>IF($B65="","",IF(AX$3=0,"n.b.",INDEX(SRC_ZPMW03!$A$1:$ZZ$501,$A65,AX$3)))</f>
        <v/>
      </c>
      <c r="AY65" s="124" t="str">
        <f>IF($B65="","",IF(AY$3=0,"n.b.",INDEX(SRC_ZPMW03!$A$1:$ZZ$501,$A65,AY$3)))</f>
        <v/>
      </c>
      <c r="AZ65" s="124" t="str">
        <f>IF($B65="","",IF(AZ$3=0,"n.b.",INDEX(SRC_ZPMW03!$A$1:$ZZ$501,$A65,AZ$3)))</f>
        <v/>
      </c>
      <c r="BA65" s="124" t="str">
        <f>IF($B65="","",IF(BA$3=0,"n.b.",INDEX(SRC_ZPMW03!$A$1:$ZZ$501,$A65,BA$3)))</f>
        <v/>
      </c>
      <c r="BB65" s="124" t="str">
        <f>IF($B65="","",IF(BB$3=0,"n.b.",INDEX(SRC_ZPMW03!$A$1:$ZZ$501,$A65,BB$3)))</f>
        <v/>
      </c>
      <c r="BC65" s="124" t="str">
        <f>IF($B65="","",IF(BC$3=0,"n.b.",INDEX(SRC_ZPMW03!$A$1:$ZZ$501,$A65,BC$3)))</f>
        <v/>
      </c>
      <c r="BD65" s="124" t="str">
        <f>IF($B65="","",IF(BD$3=0,"n.b.",INDEX(SRC_ZPMW03!$A$1:$ZZ$501,$A65,BD$3)))</f>
        <v/>
      </c>
      <c r="BE65" s="124" t="str">
        <f>IF($B65="","",IF(BE$3=0,"n.b.",INDEX(SRC_ZPMW03!$A$1:$ZZ$501,$A65,BE$3)))</f>
        <v/>
      </c>
      <c r="BF65" s="124" t="str">
        <f>IF($B65="","",IF(BF$3=0,"n.b.",INDEX(SRC_ZPMW03!$A$1:$ZZ$501,$A65,BF$3)))</f>
        <v/>
      </c>
      <c r="BG65" t="str">
        <f>IF($B65="","",IF(BG$3=0,"n.b.",INDEX(SRC_ZPMW03!$A$1:$ZZ$501,$A65,BG$3)))</f>
        <v/>
      </c>
      <c r="BH65" t="str">
        <f>IF($B65="","",IF(BH$3=0,"n.b.",INDEX(SRC_ZPMW03!$A$1:$ZZ$501,$A65,BH$3)))</f>
        <v/>
      </c>
      <c r="BI65" t="str">
        <f>IF($B65="","",IF(BI$3=0,"n.b.",INDEX(SRC_ZPMW03!$A$1:$ZZ$501,$A65,BI$3)))</f>
        <v/>
      </c>
      <c r="BJ65" t="str">
        <f>IF($B65="","",IF(BJ$3=0,"n.b.",INDEX(SRC_ZPMW03!$A$1:$ZZ$501,$A65,BJ$3)))</f>
        <v/>
      </c>
      <c r="BK65" s="124" t="str">
        <f>IF($B65="","",IFERROR(-O65,"n.b."))</f>
        <v/>
      </c>
      <c r="BL65" s="124" t="str">
        <f>IF($B65="","",IFERROR(-Q65,"n.b."))</f>
        <v/>
      </c>
      <c r="BM65" s="124" t="str">
        <f>IF($B65="","",IFERROR(-AB65,"n.b."))</f>
        <v/>
      </c>
      <c r="BN65" s="124" t="str">
        <f>IF($B65="","",IFERROR(-AD65,"n.b."))</f>
        <v/>
      </c>
      <c r="BO65" s="124" t="str">
        <f>IF($B65="","",IFERROR(BK65+BM65,"n.b."))</f>
        <v/>
      </c>
      <c r="BP65" s="124" t="str">
        <f>IF($B65="","",IFERROR(BL65+BN65,"n.b."))</f>
        <v/>
      </c>
      <c r="BQ65" s="124" t="str">
        <f>IF($B65="","",IFERROR(-AM65,"n.b."))</f>
        <v/>
      </c>
      <c r="BR65" s="124" t="str">
        <f>IF($B65="","",IFERROR(-AO65,"n.b."))</f>
        <v/>
      </c>
      <c r="BS65" s="124" t="str">
        <f>IF($B65="","",IFERROR(-Z65,"n.b."))</f>
        <v/>
      </c>
      <c r="BT65" s="124" t="str">
        <f>IF($B65="","",IFERROR(-AA65,"n.b."))</f>
        <v/>
      </c>
      <c r="BU65" s="124" t="str">
        <f>IF($B65="","",IFERROR(-AE65,"n.b."))</f>
        <v/>
      </c>
      <c r="BV65" s="124" t="str">
        <f>IF($B65="","",IFERROR(-AF65,"n.b."))</f>
        <v/>
      </c>
      <c r="BW65" s="124" t="str">
        <f>IF($B65="","",IFERROR(-AG65,"n.b."))</f>
        <v/>
      </c>
      <c r="BX65" s="124" t="str">
        <f>IF($B65="","",IFERROR(-AH65,"n.b."))</f>
        <v/>
      </c>
      <c r="BY65" s="124" t="str">
        <f>IF($B65="","",IFERROR(-AI65,"n.b."))</f>
        <v/>
      </c>
      <c r="BZ65" s="124" t="str">
        <f>IF($B65="","",IFERROR(-AJ65,"n.b."))</f>
        <v/>
      </c>
      <c r="CA65" s="124" t="str">
        <f>IF($B65="","",IFERROR(-AK65,"n.b."))</f>
        <v/>
      </c>
      <c r="CB65" s="124" t="str">
        <f>IF($B65="","",IFERROR(-AL65,"n.b."))</f>
        <v/>
      </c>
      <c r="CC65" s="124" t="str">
        <f>IF($B65="","",IFERROR(-AP65,"n.b."))</f>
        <v/>
      </c>
      <c r="CD65" s="124" t="str">
        <f>IF($B65="","",IFERROR(-AQ65,"n.b."))</f>
        <v/>
      </c>
      <c r="CE65" s="124" t="str">
        <f>IF($B65="","",IFERROR(-AR65,"n.b."))</f>
        <v/>
      </c>
      <c r="CF65" s="124" t="str">
        <f>IF($B65="","",IFERROR(-AS65,"n.b."))</f>
        <v/>
      </c>
      <c r="CG65" s="124" t="str">
        <f>IF($B65="","",IFERROR(-AT65,"n.b."))</f>
        <v/>
      </c>
      <c r="CH65" s="124" t="str">
        <f>IF($B65="","",IFERROR(-AU65,"n.b."))</f>
        <v/>
      </c>
      <c r="CI65" s="124" t="str">
        <f>IF($B65="","",IFERROR(-AV65,"n.b."))</f>
        <v/>
      </c>
      <c r="CJ65" s="124" t="str">
        <f>IF($B65="","",IFERROR(-AW65,"n.b."))</f>
        <v/>
      </c>
      <c r="CK65" s="124" t="str">
        <f>IF($B65="","",IFERROR(-AX65,"n.b."))</f>
        <v/>
      </c>
      <c r="CL65" s="124" t="str">
        <f>IF($B65="","",IFERROR(-AY65,"n.b."))</f>
        <v/>
      </c>
      <c r="CM65" s="124" t="str">
        <f>IF($B65="","",IFERROR(-AZ65,"n.b."))</f>
        <v/>
      </c>
      <c r="CN65" s="124" t="str">
        <f>IF($B65="","",IFERROR(-BA65,"n.b."))</f>
        <v/>
      </c>
      <c r="CO65" s="124" t="str">
        <f>IF($B65="","",IFERROR(-BB65,"n.b."))</f>
        <v/>
      </c>
      <c r="CP65" s="124" t="str">
        <f>IF($B65="","",IFERROR(-BC65,"n.b."))</f>
        <v/>
      </c>
      <c r="CQ65" s="124" t="str">
        <f>IF($B65="","",IFERROR(-BD65,"n.b."))</f>
        <v/>
      </c>
      <c r="CR65" s="124" t="str">
        <f>IF($B65="","",IFERROR(-BE65,"n.b."))</f>
        <v/>
      </c>
      <c r="CS65" s="124" t="str">
        <f>IF($B65="","",IFERROR(IF(OR(ABS(T65+V65+X65+Z65-AB65)&gt;P_Tol,ABS(U65+W65+Y65+AA65-AD65)&gt;P_Tol,ABS(AE65+AG65+AI65+AK65-AM65)&gt;P_Tol,ABS(AF65+AH65+AJ65+AL65-AO65)&gt;P_Tol),1,0),1))</f>
        <v/>
      </c>
      <c r="CT65" s="124" t="str">
        <f>IF($B65="","",IFERROR(IF(OR(ABS(AB65+AC65-AD65)&gt;P_Tol,ABS(AM65+AN65-AO65)&gt;P_Tol,ABS(O65+P65-Q65)&gt;P_Tol),1,0),1))</f>
        <v/>
      </c>
      <c r="CU65" s="124" t="str">
        <f>IF($B65="","",IFERROR(IF(ABS(R65-(AB65+AM65+AP65+AR65+AT65+AV65+AX65+AZ65+BB65+BD65))&gt;P_Tol,1,0),1))</f>
        <v/>
      </c>
      <c r="CV65" s="124" t="str">
        <f>IF($B65="","",IFERROR(IF(ABS(M65-(N65+O65+R65))&gt;P_Tol,1,0),1))</f>
        <v/>
      </c>
      <c r="CW65" s="124" t="str">
        <f>IF($B65="","",IF(COUNTIF(Mapping!$A$5:$A$104,B65)&gt;0,1,0))</f>
        <v/>
      </c>
      <c r="CX65" s="124" t="str">
        <f>IF($B65="","",COUNTIF($B$6:$B$505,B65))</f>
        <v/>
      </c>
      <c r="CY65" s="124" t="str">
        <f>IF($B65="","",COUNTIF(STG_Woningetalage!$B$6:$B$505,B65))</f>
        <v/>
      </c>
      <c r="CZ65" s="124" t="str">
        <f>IF($B65="","",IF(CW65=0,COUNTIF($CW$6:CW65,0),""))</f>
        <v/>
      </c>
    </row>
    <row r="66">
      <c r="A66" s="15" t="n">
        <v>62</v>
      </c>
      <c r="B66" t="str">
        <f>IF(B$3=0,"",IF(INDEX(SRC_ZPMW03!$A$1:$ZZ$501,$A66,B$3)&amp;""="","",INDEX(SRC_ZPMW03!$A$1:$ZZ$501,$A66,B$3)&amp;""))</f>
        <v/>
      </c>
      <c r="C66" t="str">
        <f>IF($B66="","",IF(C$3=0,"n.b.",INDEX(SRC_ZPMW03!$A$1:$ZZ$501,$A66,C$3)))</f>
        <v/>
      </c>
      <c r="D66" t="str">
        <f>IF($B66="","",IF(D$3=0,"n.b.",INDEX(SRC_ZPMW03!$A$1:$ZZ$501,$A66,D$3)))</f>
        <v/>
      </c>
      <c r="E66" t="str">
        <f>IF($B66="","",IF(E$3=0,"n.b.",INDEX(SRC_ZPMW03!$A$1:$ZZ$501,$A66,E$3)))</f>
        <v/>
      </c>
      <c r="F66" t="str">
        <f>IF($B66="","",IF(F$3=0,"n.b.",INDEX(SRC_ZPMW03!$A$1:$ZZ$501,$A66,F$3)))</f>
        <v/>
      </c>
      <c r="G66" t="str">
        <f>IF($B66="","",IF(G$3=0,"n.b.",INDEX(SRC_ZPMW03!$A$1:$ZZ$501,$A66,G$3)))</f>
        <v/>
      </c>
      <c r="H66" t="str">
        <f>IF($B66="","",IF(H$3=0,"n.b.",INDEX(SRC_ZPMW03!$A$1:$ZZ$501,$A66,H$3)))</f>
        <v/>
      </c>
      <c r="I66" t="str">
        <f>IF($B66="","",IF(I$3=0,"n.b.",INDEX(SRC_ZPMW03!$A$1:$ZZ$501,$A66,I$3)))</f>
        <v/>
      </c>
      <c r="J66" t="str">
        <f>IF($B66="","",IF(J$3=0,"n.b.",INDEX(SRC_ZPMW03!$A$1:$ZZ$501,$A66,J$3)))</f>
        <v/>
      </c>
      <c r="K66" t="str">
        <f>IF($B66="","",IF(K$3=0,"n.b.",INDEX(SRC_ZPMW03!$A$1:$ZZ$501,$A66,K$3)))</f>
        <v/>
      </c>
      <c r="L66" s="124" t="str">
        <f>IF($B66="","",IF(L$3=0,"n.b.",INDEX(SRC_ZPMW03!$A$1:$ZZ$501,$A66,L$3)))</f>
        <v/>
      </c>
      <c r="M66" s="124" t="str">
        <f>IF($B66="","",IF(M$3=0,"n.b.",INDEX(SRC_ZPMW03!$A$1:$ZZ$501,$A66,M$3)))</f>
        <v/>
      </c>
      <c r="N66" s="124" t="str">
        <f>IF($B66="","",IF(N$3=0,"n.b.",INDEX(SRC_ZPMW03!$A$1:$ZZ$501,$A66,N$3)))</f>
        <v/>
      </c>
      <c r="O66" s="124" t="str">
        <f>IF($B66="","",IF(O$3=0,"n.b.",INDEX(SRC_ZPMW03!$A$1:$ZZ$501,$A66,O$3)))</f>
        <v/>
      </c>
      <c r="P66" s="124" t="str">
        <f>IF($B66="","",IF(P$3=0,"n.b.",INDEX(SRC_ZPMW03!$A$1:$ZZ$501,$A66,P$3)))</f>
        <v/>
      </c>
      <c r="Q66" s="124" t="str">
        <f>IF($B66="","",IF(Q$3=0,"n.b.",INDEX(SRC_ZPMW03!$A$1:$ZZ$501,$A66,Q$3)))</f>
        <v/>
      </c>
      <c r="R66" s="124" t="str">
        <f>IF($B66="","",IF(R$3=0,"n.b.",INDEX(SRC_ZPMW03!$A$1:$ZZ$501,$A66,R$3)))</f>
        <v/>
      </c>
      <c r="S66" s="124" t="str">
        <f>IF($B66="","",IF(S$3=0,"n.b.",INDEX(SRC_ZPMW03!$A$1:$ZZ$501,$A66,S$3)))</f>
        <v/>
      </c>
      <c r="T66" s="124" t="str">
        <f>IF($B66="","",IF(T$3=0,"n.b.",INDEX(SRC_ZPMW03!$A$1:$ZZ$501,$A66,T$3)))</f>
        <v/>
      </c>
      <c r="U66" s="124" t="str">
        <f>IF($B66="","",IF(U$3=0,"n.b.",INDEX(SRC_ZPMW03!$A$1:$ZZ$501,$A66,U$3)))</f>
        <v/>
      </c>
      <c r="V66" s="124" t="str">
        <f>IF($B66="","",IF(V$3=0,"n.b.",INDEX(SRC_ZPMW03!$A$1:$ZZ$501,$A66,V$3)))</f>
        <v/>
      </c>
      <c r="W66" s="124" t="str">
        <f>IF($B66="","",IF(W$3=0,"n.b.",INDEX(SRC_ZPMW03!$A$1:$ZZ$501,$A66,W$3)))</f>
        <v/>
      </c>
      <c r="X66" s="124" t="str">
        <f>IF($B66="","",IF(X$3=0,"n.b.",INDEX(SRC_ZPMW03!$A$1:$ZZ$501,$A66,X$3)))</f>
        <v/>
      </c>
      <c r="Y66" s="124" t="str">
        <f>IF($B66="","",IF(Y$3=0,"n.b.",INDEX(SRC_ZPMW03!$A$1:$ZZ$501,$A66,Y$3)))</f>
        <v/>
      </c>
      <c r="Z66" s="124" t="str">
        <f>IF($B66="","",IF(Z$3=0,"n.b.",INDEX(SRC_ZPMW03!$A$1:$ZZ$501,$A66,Z$3)))</f>
        <v/>
      </c>
      <c r="AA66" s="124" t="str">
        <f>IF($B66="","",IF(AA$3=0,"n.b.",INDEX(SRC_ZPMW03!$A$1:$ZZ$501,$A66,AA$3)))</f>
        <v/>
      </c>
      <c r="AB66" s="124" t="str">
        <f>IF($B66="","",IF(AB$3=0,"n.b.",INDEX(SRC_ZPMW03!$A$1:$ZZ$501,$A66,AB$3)))</f>
        <v/>
      </c>
      <c r="AC66" s="124" t="str">
        <f>IF($B66="","",IF(AC$3=0,"n.b.",INDEX(SRC_ZPMW03!$A$1:$ZZ$501,$A66,AC$3)))</f>
        <v/>
      </c>
      <c r="AD66" s="124" t="str">
        <f>IF($B66="","",IF(AD$3=0,"n.b.",INDEX(SRC_ZPMW03!$A$1:$ZZ$501,$A66,AD$3)))</f>
        <v/>
      </c>
      <c r="AE66" s="124" t="str">
        <f>IF($B66="","",IF(AE$3=0,"n.b.",INDEX(SRC_ZPMW03!$A$1:$ZZ$501,$A66,AE$3)))</f>
        <v/>
      </c>
      <c r="AF66" s="124" t="str">
        <f>IF($B66="","",IF(AF$3=0,"n.b.",INDEX(SRC_ZPMW03!$A$1:$ZZ$501,$A66,AF$3)))</f>
        <v/>
      </c>
      <c r="AG66" s="124" t="str">
        <f>IF($B66="","",IF(AG$3=0,"n.b.",INDEX(SRC_ZPMW03!$A$1:$ZZ$501,$A66,AG$3)))</f>
        <v/>
      </c>
      <c r="AH66" s="124" t="str">
        <f>IF($B66="","",IF(AH$3=0,"n.b.",INDEX(SRC_ZPMW03!$A$1:$ZZ$501,$A66,AH$3)))</f>
        <v/>
      </c>
      <c r="AI66" s="124" t="str">
        <f>IF($B66="","",IF(AI$3=0,"n.b.",INDEX(SRC_ZPMW03!$A$1:$ZZ$501,$A66,AI$3)))</f>
        <v/>
      </c>
      <c r="AJ66" s="124" t="str">
        <f>IF($B66="","",IF(AJ$3=0,"n.b.",INDEX(SRC_ZPMW03!$A$1:$ZZ$501,$A66,AJ$3)))</f>
        <v/>
      </c>
      <c r="AK66" s="124" t="str">
        <f>IF($B66="","",IF(AK$3=0,"n.b.",INDEX(SRC_ZPMW03!$A$1:$ZZ$501,$A66,AK$3)))</f>
        <v/>
      </c>
      <c r="AL66" s="124" t="str">
        <f>IF($B66="","",IF(AL$3=0,"n.b.",INDEX(SRC_ZPMW03!$A$1:$ZZ$501,$A66,AL$3)))</f>
        <v/>
      </c>
      <c r="AM66" s="124" t="str">
        <f>IF($B66="","",IF(AM$3=0,"n.b.",INDEX(SRC_ZPMW03!$A$1:$ZZ$501,$A66,AM$3)))</f>
        <v/>
      </c>
      <c r="AN66" s="124" t="str">
        <f>IF($B66="","",IF(AN$3=0,"n.b.",INDEX(SRC_ZPMW03!$A$1:$ZZ$501,$A66,AN$3)))</f>
        <v/>
      </c>
      <c r="AO66" s="124" t="str">
        <f>IF($B66="","",IF(AO$3=0,"n.b.",INDEX(SRC_ZPMW03!$A$1:$ZZ$501,$A66,AO$3)))</f>
        <v/>
      </c>
      <c r="AP66" s="124" t="str">
        <f>IF($B66="","",IF(AP$3=0,"n.b.",INDEX(SRC_ZPMW03!$A$1:$ZZ$501,$A66,AP$3)))</f>
        <v/>
      </c>
      <c r="AQ66" s="124" t="str">
        <f>IF($B66="","",IF(AQ$3=0,"n.b.",INDEX(SRC_ZPMW03!$A$1:$ZZ$501,$A66,AQ$3)))</f>
        <v/>
      </c>
      <c r="AR66" s="124" t="str">
        <f>IF($B66="","",IF(AR$3=0,"n.b.",INDEX(SRC_ZPMW03!$A$1:$ZZ$501,$A66,AR$3)))</f>
        <v/>
      </c>
      <c r="AS66" s="124" t="str">
        <f>IF($B66="","",IF(AS$3=0,"n.b.",INDEX(SRC_ZPMW03!$A$1:$ZZ$501,$A66,AS$3)))</f>
        <v/>
      </c>
      <c r="AT66" s="124" t="str">
        <f>IF($B66="","",IF(AT$3=0,"n.b.",INDEX(SRC_ZPMW03!$A$1:$ZZ$501,$A66,AT$3)))</f>
        <v/>
      </c>
      <c r="AU66" s="124" t="str">
        <f>IF($B66="","",IF(AU$3=0,"n.b.",INDEX(SRC_ZPMW03!$A$1:$ZZ$501,$A66,AU$3)))</f>
        <v/>
      </c>
      <c r="AV66" s="124" t="str">
        <f>IF($B66="","",IF(AV$3=0,"n.b.",INDEX(SRC_ZPMW03!$A$1:$ZZ$501,$A66,AV$3)))</f>
        <v/>
      </c>
      <c r="AW66" s="124" t="str">
        <f>IF($B66="","",IF(AW$3=0,"n.b.",INDEX(SRC_ZPMW03!$A$1:$ZZ$501,$A66,AW$3)))</f>
        <v/>
      </c>
      <c r="AX66" s="124" t="str">
        <f>IF($B66="","",IF(AX$3=0,"n.b.",INDEX(SRC_ZPMW03!$A$1:$ZZ$501,$A66,AX$3)))</f>
        <v/>
      </c>
      <c r="AY66" s="124" t="str">
        <f>IF($B66="","",IF(AY$3=0,"n.b.",INDEX(SRC_ZPMW03!$A$1:$ZZ$501,$A66,AY$3)))</f>
        <v/>
      </c>
      <c r="AZ66" s="124" t="str">
        <f>IF($B66="","",IF(AZ$3=0,"n.b.",INDEX(SRC_ZPMW03!$A$1:$ZZ$501,$A66,AZ$3)))</f>
        <v/>
      </c>
      <c r="BA66" s="124" t="str">
        <f>IF($B66="","",IF(BA$3=0,"n.b.",INDEX(SRC_ZPMW03!$A$1:$ZZ$501,$A66,BA$3)))</f>
        <v/>
      </c>
      <c r="BB66" s="124" t="str">
        <f>IF($B66="","",IF(BB$3=0,"n.b.",INDEX(SRC_ZPMW03!$A$1:$ZZ$501,$A66,BB$3)))</f>
        <v/>
      </c>
      <c r="BC66" s="124" t="str">
        <f>IF($B66="","",IF(BC$3=0,"n.b.",INDEX(SRC_ZPMW03!$A$1:$ZZ$501,$A66,BC$3)))</f>
        <v/>
      </c>
      <c r="BD66" s="124" t="str">
        <f>IF($B66="","",IF(BD$3=0,"n.b.",INDEX(SRC_ZPMW03!$A$1:$ZZ$501,$A66,BD$3)))</f>
        <v/>
      </c>
      <c r="BE66" s="124" t="str">
        <f>IF($B66="","",IF(BE$3=0,"n.b.",INDEX(SRC_ZPMW03!$A$1:$ZZ$501,$A66,BE$3)))</f>
        <v/>
      </c>
      <c r="BF66" s="124" t="str">
        <f>IF($B66="","",IF(BF$3=0,"n.b.",INDEX(SRC_ZPMW03!$A$1:$ZZ$501,$A66,BF$3)))</f>
        <v/>
      </c>
      <c r="BG66" t="str">
        <f>IF($B66="","",IF(BG$3=0,"n.b.",INDEX(SRC_ZPMW03!$A$1:$ZZ$501,$A66,BG$3)))</f>
        <v/>
      </c>
      <c r="BH66" t="str">
        <f>IF($B66="","",IF(BH$3=0,"n.b.",INDEX(SRC_ZPMW03!$A$1:$ZZ$501,$A66,BH$3)))</f>
        <v/>
      </c>
      <c r="BI66" t="str">
        <f>IF($B66="","",IF(BI$3=0,"n.b.",INDEX(SRC_ZPMW03!$A$1:$ZZ$501,$A66,BI$3)))</f>
        <v/>
      </c>
      <c r="BJ66" t="str">
        <f>IF($B66="","",IF(BJ$3=0,"n.b.",INDEX(SRC_ZPMW03!$A$1:$ZZ$501,$A66,BJ$3)))</f>
        <v/>
      </c>
      <c r="BK66" s="124" t="str">
        <f>IF($B66="","",IFERROR(-O66,"n.b."))</f>
        <v/>
      </c>
      <c r="BL66" s="124" t="str">
        <f>IF($B66="","",IFERROR(-Q66,"n.b."))</f>
        <v/>
      </c>
      <c r="BM66" s="124" t="str">
        <f>IF($B66="","",IFERROR(-AB66,"n.b."))</f>
        <v/>
      </c>
      <c r="BN66" s="124" t="str">
        <f>IF($B66="","",IFERROR(-AD66,"n.b."))</f>
        <v/>
      </c>
      <c r="BO66" s="124" t="str">
        <f>IF($B66="","",IFERROR(BK66+BM66,"n.b."))</f>
        <v/>
      </c>
      <c r="BP66" s="124" t="str">
        <f>IF($B66="","",IFERROR(BL66+BN66,"n.b."))</f>
        <v/>
      </c>
      <c r="BQ66" s="124" t="str">
        <f>IF($B66="","",IFERROR(-AM66,"n.b."))</f>
        <v/>
      </c>
      <c r="BR66" s="124" t="str">
        <f>IF($B66="","",IFERROR(-AO66,"n.b."))</f>
        <v/>
      </c>
      <c r="BS66" s="124" t="str">
        <f>IF($B66="","",IFERROR(-Z66,"n.b."))</f>
        <v/>
      </c>
      <c r="BT66" s="124" t="str">
        <f>IF($B66="","",IFERROR(-AA66,"n.b."))</f>
        <v/>
      </c>
      <c r="BU66" s="124" t="str">
        <f>IF($B66="","",IFERROR(-AE66,"n.b."))</f>
        <v/>
      </c>
      <c r="BV66" s="124" t="str">
        <f>IF($B66="","",IFERROR(-AF66,"n.b."))</f>
        <v/>
      </c>
      <c r="BW66" s="124" t="str">
        <f>IF($B66="","",IFERROR(-AG66,"n.b."))</f>
        <v/>
      </c>
      <c r="BX66" s="124" t="str">
        <f>IF($B66="","",IFERROR(-AH66,"n.b."))</f>
        <v/>
      </c>
      <c r="BY66" s="124" t="str">
        <f>IF($B66="","",IFERROR(-AI66,"n.b."))</f>
        <v/>
      </c>
      <c r="BZ66" s="124" t="str">
        <f>IF($B66="","",IFERROR(-AJ66,"n.b."))</f>
        <v/>
      </c>
      <c r="CA66" s="124" t="str">
        <f>IF($B66="","",IFERROR(-AK66,"n.b."))</f>
        <v/>
      </c>
      <c r="CB66" s="124" t="str">
        <f>IF($B66="","",IFERROR(-AL66,"n.b."))</f>
        <v/>
      </c>
      <c r="CC66" s="124" t="str">
        <f>IF($B66="","",IFERROR(-AP66,"n.b."))</f>
        <v/>
      </c>
      <c r="CD66" s="124" t="str">
        <f>IF($B66="","",IFERROR(-AQ66,"n.b."))</f>
        <v/>
      </c>
      <c r="CE66" s="124" t="str">
        <f>IF($B66="","",IFERROR(-AR66,"n.b."))</f>
        <v/>
      </c>
      <c r="CF66" s="124" t="str">
        <f>IF($B66="","",IFERROR(-AS66,"n.b."))</f>
        <v/>
      </c>
      <c r="CG66" s="124" t="str">
        <f>IF($B66="","",IFERROR(-AT66,"n.b."))</f>
        <v/>
      </c>
      <c r="CH66" s="124" t="str">
        <f>IF($B66="","",IFERROR(-AU66,"n.b."))</f>
        <v/>
      </c>
      <c r="CI66" s="124" t="str">
        <f>IF($B66="","",IFERROR(-AV66,"n.b."))</f>
        <v/>
      </c>
      <c r="CJ66" s="124" t="str">
        <f>IF($B66="","",IFERROR(-AW66,"n.b."))</f>
        <v/>
      </c>
      <c r="CK66" s="124" t="str">
        <f>IF($B66="","",IFERROR(-AX66,"n.b."))</f>
        <v/>
      </c>
      <c r="CL66" s="124" t="str">
        <f>IF($B66="","",IFERROR(-AY66,"n.b."))</f>
        <v/>
      </c>
      <c r="CM66" s="124" t="str">
        <f>IF($B66="","",IFERROR(-AZ66,"n.b."))</f>
        <v/>
      </c>
      <c r="CN66" s="124" t="str">
        <f>IF($B66="","",IFERROR(-BA66,"n.b."))</f>
        <v/>
      </c>
      <c r="CO66" s="124" t="str">
        <f>IF($B66="","",IFERROR(-BB66,"n.b."))</f>
        <v/>
      </c>
      <c r="CP66" s="124" t="str">
        <f>IF($B66="","",IFERROR(-BC66,"n.b."))</f>
        <v/>
      </c>
      <c r="CQ66" s="124" t="str">
        <f>IF($B66="","",IFERROR(-BD66,"n.b."))</f>
        <v/>
      </c>
      <c r="CR66" s="124" t="str">
        <f>IF($B66="","",IFERROR(-BE66,"n.b."))</f>
        <v/>
      </c>
      <c r="CS66" s="124" t="str">
        <f>IF($B66="","",IFERROR(IF(OR(ABS(T66+V66+X66+Z66-AB66)&gt;P_Tol,ABS(U66+W66+Y66+AA66-AD66)&gt;P_Tol,ABS(AE66+AG66+AI66+AK66-AM66)&gt;P_Tol,ABS(AF66+AH66+AJ66+AL66-AO66)&gt;P_Tol),1,0),1))</f>
        <v/>
      </c>
      <c r="CT66" s="124" t="str">
        <f>IF($B66="","",IFERROR(IF(OR(ABS(AB66+AC66-AD66)&gt;P_Tol,ABS(AM66+AN66-AO66)&gt;P_Tol,ABS(O66+P66-Q66)&gt;P_Tol),1,0),1))</f>
        <v/>
      </c>
      <c r="CU66" s="124" t="str">
        <f>IF($B66="","",IFERROR(IF(ABS(R66-(AB66+AM66+AP66+AR66+AT66+AV66+AX66+AZ66+BB66+BD66))&gt;P_Tol,1,0),1))</f>
        <v/>
      </c>
      <c r="CV66" s="124" t="str">
        <f>IF($B66="","",IFERROR(IF(ABS(M66-(N66+O66+R66))&gt;P_Tol,1,0),1))</f>
        <v/>
      </c>
      <c r="CW66" s="124" t="str">
        <f>IF($B66="","",IF(COUNTIF(Mapping!$A$5:$A$104,B66)&gt;0,1,0))</f>
        <v/>
      </c>
      <c r="CX66" s="124" t="str">
        <f>IF($B66="","",COUNTIF($B$6:$B$505,B66))</f>
        <v/>
      </c>
      <c r="CY66" s="124" t="str">
        <f>IF($B66="","",COUNTIF(STG_Woningetalage!$B$6:$B$505,B66))</f>
        <v/>
      </c>
      <c r="CZ66" s="124" t="str">
        <f>IF($B66="","",IF(CW66=0,COUNTIF($CW$6:CW66,0),""))</f>
        <v/>
      </c>
    </row>
    <row r="67">
      <c r="A67" s="15" t="n">
        <v>63</v>
      </c>
      <c r="B67" t="str">
        <f>IF(B$3=0,"",IF(INDEX(SRC_ZPMW03!$A$1:$ZZ$501,$A67,B$3)&amp;""="","",INDEX(SRC_ZPMW03!$A$1:$ZZ$501,$A67,B$3)&amp;""))</f>
        <v/>
      </c>
      <c r="C67" t="str">
        <f>IF($B67="","",IF(C$3=0,"n.b.",INDEX(SRC_ZPMW03!$A$1:$ZZ$501,$A67,C$3)))</f>
        <v/>
      </c>
      <c r="D67" t="str">
        <f>IF($B67="","",IF(D$3=0,"n.b.",INDEX(SRC_ZPMW03!$A$1:$ZZ$501,$A67,D$3)))</f>
        <v/>
      </c>
      <c r="E67" t="str">
        <f>IF($B67="","",IF(E$3=0,"n.b.",INDEX(SRC_ZPMW03!$A$1:$ZZ$501,$A67,E$3)))</f>
        <v/>
      </c>
      <c r="F67" t="str">
        <f>IF($B67="","",IF(F$3=0,"n.b.",INDEX(SRC_ZPMW03!$A$1:$ZZ$501,$A67,F$3)))</f>
        <v/>
      </c>
      <c r="G67" t="str">
        <f>IF($B67="","",IF(G$3=0,"n.b.",INDEX(SRC_ZPMW03!$A$1:$ZZ$501,$A67,G$3)))</f>
        <v/>
      </c>
      <c r="H67" t="str">
        <f>IF($B67="","",IF(H$3=0,"n.b.",INDEX(SRC_ZPMW03!$A$1:$ZZ$501,$A67,H$3)))</f>
        <v/>
      </c>
      <c r="I67" t="str">
        <f>IF($B67="","",IF(I$3=0,"n.b.",INDEX(SRC_ZPMW03!$A$1:$ZZ$501,$A67,I$3)))</f>
        <v/>
      </c>
      <c r="J67" t="str">
        <f>IF($B67="","",IF(J$3=0,"n.b.",INDEX(SRC_ZPMW03!$A$1:$ZZ$501,$A67,J$3)))</f>
        <v/>
      </c>
      <c r="K67" t="str">
        <f>IF($B67="","",IF(K$3=0,"n.b.",INDEX(SRC_ZPMW03!$A$1:$ZZ$501,$A67,K$3)))</f>
        <v/>
      </c>
      <c r="L67" s="124" t="str">
        <f>IF($B67="","",IF(L$3=0,"n.b.",INDEX(SRC_ZPMW03!$A$1:$ZZ$501,$A67,L$3)))</f>
        <v/>
      </c>
      <c r="M67" s="124" t="str">
        <f>IF($B67="","",IF(M$3=0,"n.b.",INDEX(SRC_ZPMW03!$A$1:$ZZ$501,$A67,M$3)))</f>
        <v/>
      </c>
      <c r="N67" s="124" t="str">
        <f>IF($B67="","",IF(N$3=0,"n.b.",INDEX(SRC_ZPMW03!$A$1:$ZZ$501,$A67,N$3)))</f>
        <v/>
      </c>
      <c r="O67" s="124" t="str">
        <f>IF($B67="","",IF(O$3=0,"n.b.",INDEX(SRC_ZPMW03!$A$1:$ZZ$501,$A67,O$3)))</f>
        <v/>
      </c>
      <c r="P67" s="124" t="str">
        <f>IF($B67="","",IF(P$3=0,"n.b.",INDEX(SRC_ZPMW03!$A$1:$ZZ$501,$A67,P$3)))</f>
        <v/>
      </c>
      <c r="Q67" s="124" t="str">
        <f>IF($B67="","",IF(Q$3=0,"n.b.",INDEX(SRC_ZPMW03!$A$1:$ZZ$501,$A67,Q$3)))</f>
        <v/>
      </c>
      <c r="R67" s="124" t="str">
        <f>IF($B67="","",IF(R$3=0,"n.b.",INDEX(SRC_ZPMW03!$A$1:$ZZ$501,$A67,R$3)))</f>
        <v/>
      </c>
      <c r="S67" s="124" t="str">
        <f>IF($B67="","",IF(S$3=0,"n.b.",INDEX(SRC_ZPMW03!$A$1:$ZZ$501,$A67,S$3)))</f>
        <v/>
      </c>
      <c r="T67" s="124" t="str">
        <f>IF($B67="","",IF(T$3=0,"n.b.",INDEX(SRC_ZPMW03!$A$1:$ZZ$501,$A67,T$3)))</f>
        <v/>
      </c>
      <c r="U67" s="124" t="str">
        <f>IF($B67="","",IF(U$3=0,"n.b.",INDEX(SRC_ZPMW03!$A$1:$ZZ$501,$A67,U$3)))</f>
        <v/>
      </c>
      <c r="V67" s="124" t="str">
        <f>IF($B67="","",IF(V$3=0,"n.b.",INDEX(SRC_ZPMW03!$A$1:$ZZ$501,$A67,V$3)))</f>
        <v/>
      </c>
      <c r="W67" s="124" t="str">
        <f>IF($B67="","",IF(W$3=0,"n.b.",INDEX(SRC_ZPMW03!$A$1:$ZZ$501,$A67,W$3)))</f>
        <v/>
      </c>
      <c r="X67" s="124" t="str">
        <f>IF($B67="","",IF(X$3=0,"n.b.",INDEX(SRC_ZPMW03!$A$1:$ZZ$501,$A67,X$3)))</f>
        <v/>
      </c>
      <c r="Y67" s="124" t="str">
        <f>IF($B67="","",IF(Y$3=0,"n.b.",INDEX(SRC_ZPMW03!$A$1:$ZZ$501,$A67,Y$3)))</f>
        <v/>
      </c>
      <c r="Z67" s="124" t="str">
        <f>IF($B67="","",IF(Z$3=0,"n.b.",INDEX(SRC_ZPMW03!$A$1:$ZZ$501,$A67,Z$3)))</f>
        <v/>
      </c>
      <c r="AA67" s="124" t="str">
        <f>IF($B67="","",IF(AA$3=0,"n.b.",INDEX(SRC_ZPMW03!$A$1:$ZZ$501,$A67,AA$3)))</f>
        <v/>
      </c>
      <c r="AB67" s="124" t="str">
        <f>IF($B67="","",IF(AB$3=0,"n.b.",INDEX(SRC_ZPMW03!$A$1:$ZZ$501,$A67,AB$3)))</f>
        <v/>
      </c>
      <c r="AC67" s="124" t="str">
        <f>IF($B67="","",IF(AC$3=0,"n.b.",INDEX(SRC_ZPMW03!$A$1:$ZZ$501,$A67,AC$3)))</f>
        <v/>
      </c>
      <c r="AD67" s="124" t="str">
        <f>IF($B67="","",IF(AD$3=0,"n.b.",INDEX(SRC_ZPMW03!$A$1:$ZZ$501,$A67,AD$3)))</f>
        <v/>
      </c>
      <c r="AE67" s="124" t="str">
        <f>IF($B67="","",IF(AE$3=0,"n.b.",INDEX(SRC_ZPMW03!$A$1:$ZZ$501,$A67,AE$3)))</f>
        <v/>
      </c>
      <c r="AF67" s="124" t="str">
        <f>IF($B67="","",IF(AF$3=0,"n.b.",INDEX(SRC_ZPMW03!$A$1:$ZZ$501,$A67,AF$3)))</f>
        <v/>
      </c>
      <c r="AG67" s="124" t="str">
        <f>IF($B67="","",IF(AG$3=0,"n.b.",INDEX(SRC_ZPMW03!$A$1:$ZZ$501,$A67,AG$3)))</f>
        <v/>
      </c>
      <c r="AH67" s="124" t="str">
        <f>IF($B67="","",IF(AH$3=0,"n.b.",INDEX(SRC_ZPMW03!$A$1:$ZZ$501,$A67,AH$3)))</f>
        <v/>
      </c>
      <c r="AI67" s="124" t="str">
        <f>IF($B67="","",IF(AI$3=0,"n.b.",INDEX(SRC_ZPMW03!$A$1:$ZZ$501,$A67,AI$3)))</f>
        <v/>
      </c>
      <c r="AJ67" s="124" t="str">
        <f>IF($B67="","",IF(AJ$3=0,"n.b.",INDEX(SRC_ZPMW03!$A$1:$ZZ$501,$A67,AJ$3)))</f>
        <v/>
      </c>
      <c r="AK67" s="124" t="str">
        <f>IF($B67="","",IF(AK$3=0,"n.b.",INDEX(SRC_ZPMW03!$A$1:$ZZ$501,$A67,AK$3)))</f>
        <v/>
      </c>
      <c r="AL67" s="124" t="str">
        <f>IF($B67="","",IF(AL$3=0,"n.b.",INDEX(SRC_ZPMW03!$A$1:$ZZ$501,$A67,AL$3)))</f>
        <v/>
      </c>
      <c r="AM67" s="124" t="str">
        <f>IF($B67="","",IF(AM$3=0,"n.b.",INDEX(SRC_ZPMW03!$A$1:$ZZ$501,$A67,AM$3)))</f>
        <v/>
      </c>
      <c r="AN67" s="124" t="str">
        <f>IF($B67="","",IF(AN$3=0,"n.b.",INDEX(SRC_ZPMW03!$A$1:$ZZ$501,$A67,AN$3)))</f>
        <v/>
      </c>
      <c r="AO67" s="124" t="str">
        <f>IF($B67="","",IF(AO$3=0,"n.b.",INDEX(SRC_ZPMW03!$A$1:$ZZ$501,$A67,AO$3)))</f>
        <v/>
      </c>
      <c r="AP67" s="124" t="str">
        <f>IF($B67="","",IF(AP$3=0,"n.b.",INDEX(SRC_ZPMW03!$A$1:$ZZ$501,$A67,AP$3)))</f>
        <v/>
      </c>
      <c r="AQ67" s="124" t="str">
        <f>IF($B67="","",IF(AQ$3=0,"n.b.",INDEX(SRC_ZPMW03!$A$1:$ZZ$501,$A67,AQ$3)))</f>
        <v/>
      </c>
      <c r="AR67" s="124" t="str">
        <f>IF($B67="","",IF(AR$3=0,"n.b.",INDEX(SRC_ZPMW03!$A$1:$ZZ$501,$A67,AR$3)))</f>
        <v/>
      </c>
      <c r="AS67" s="124" t="str">
        <f>IF($B67="","",IF(AS$3=0,"n.b.",INDEX(SRC_ZPMW03!$A$1:$ZZ$501,$A67,AS$3)))</f>
        <v/>
      </c>
      <c r="AT67" s="124" t="str">
        <f>IF($B67="","",IF(AT$3=0,"n.b.",INDEX(SRC_ZPMW03!$A$1:$ZZ$501,$A67,AT$3)))</f>
        <v/>
      </c>
      <c r="AU67" s="124" t="str">
        <f>IF($B67="","",IF(AU$3=0,"n.b.",INDEX(SRC_ZPMW03!$A$1:$ZZ$501,$A67,AU$3)))</f>
        <v/>
      </c>
      <c r="AV67" s="124" t="str">
        <f>IF($B67="","",IF(AV$3=0,"n.b.",INDEX(SRC_ZPMW03!$A$1:$ZZ$501,$A67,AV$3)))</f>
        <v/>
      </c>
      <c r="AW67" s="124" t="str">
        <f>IF($B67="","",IF(AW$3=0,"n.b.",INDEX(SRC_ZPMW03!$A$1:$ZZ$501,$A67,AW$3)))</f>
        <v/>
      </c>
      <c r="AX67" s="124" t="str">
        <f>IF($B67="","",IF(AX$3=0,"n.b.",INDEX(SRC_ZPMW03!$A$1:$ZZ$501,$A67,AX$3)))</f>
        <v/>
      </c>
      <c r="AY67" s="124" t="str">
        <f>IF($B67="","",IF(AY$3=0,"n.b.",INDEX(SRC_ZPMW03!$A$1:$ZZ$501,$A67,AY$3)))</f>
        <v/>
      </c>
      <c r="AZ67" s="124" t="str">
        <f>IF($B67="","",IF(AZ$3=0,"n.b.",INDEX(SRC_ZPMW03!$A$1:$ZZ$501,$A67,AZ$3)))</f>
        <v/>
      </c>
      <c r="BA67" s="124" t="str">
        <f>IF($B67="","",IF(BA$3=0,"n.b.",INDEX(SRC_ZPMW03!$A$1:$ZZ$501,$A67,BA$3)))</f>
        <v/>
      </c>
      <c r="BB67" s="124" t="str">
        <f>IF($B67="","",IF(BB$3=0,"n.b.",INDEX(SRC_ZPMW03!$A$1:$ZZ$501,$A67,BB$3)))</f>
        <v/>
      </c>
      <c r="BC67" s="124" t="str">
        <f>IF($B67="","",IF(BC$3=0,"n.b.",INDEX(SRC_ZPMW03!$A$1:$ZZ$501,$A67,BC$3)))</f>
        <v/>
      </c>
      <c r="BD67" s="124" t="str">
        <f>IF($B67="","",IF(BD$3=0,"n.b.",INDEX(SRC_ZPMW03!$A$1:$ZZ$501,$A67,BD$3)))</f>
        <v/>
      </c>
      <c r="BE67" s="124" t="str">
        <f>IF($B67="","",IF(BE$3=0,"n.b.",INDEX(SRC_ZPMW03!$A$1:$ZZ$501,$A67,BE$3)))</f>
        <v/>
      </c>
      <c r="BF67" s="124" t="str">
        <f>IF($B67="","",IF(BF$3=0,"n.b.",INDEX(SRC_ZPMW03!$A$1:$ZZ$501,$A67,BF$3)))</f>
        <v/>
      </c>
      <c r="BG67" t="str">
        <f>IF($B67="","",IF(BG$3=0,"n.b.",INDEX(SRC_ZPMW03!$A$1:$ZZ$501,$A67,BG$3)))</f>
        <v/>
      </c>
      <c r="BH67" t="str">
        <f>IF($B67="","",IF(BH$3=0,"n.b.",INDEX(SRC_ZPMW03!$A$1:$ZZ$501,$A67,BH$3)))</f>
        <v/>
      </c>
      <c r="BI67" t="str">
        <f>IF($B67="","",IF(BI$3=0,"n.b.",INDEX(SRC_ZPMW03!$A$1:$ZZ$501,$A67,BI$3)))</f>
        <v/>
      </c>
      <c r="BJ67" t="str">
        <f>IF($B67="","",IF(BJ$3=0,"n.b.",INDEX(SRC_ZPMW03!$A$1:$ZZ$501,$A67,BJ$3)))</f>
        <v/>
      </c>
      <c r="BK67" s="124" t="str">
        <f>IF($B67="","",IFERROR(-O67,"n.b."))</f>
        <v/>
      </c>
      <c r="BL67" s="124" t="str">
        <f>IF($B67="","",IFERROR(-Q67,"n.b."))</f>
        <v/>
      </c>
      <c r="BM67" s="124" t="str">
        <f>IF($B67="","",IFERROR(-AB67,"n.b."))</f>
        <v/>
      </c>
      <c r="BN67" s="124" t="str">
        <f>IF($B67="","",IFERROR(-AD67,"n.b."))</f>
        <v/>
      </c>
      <c r="BO67" s="124" t="str">
        <f>IF($B67="","",IFERROR(BK67+BM67,"n.b."))</f>
        <v/>
      </c>
      <c r="BP67" s="124" t="str">
        <f>IF($B67="","",IFERROR(BL67+BN67,"n.b."))</f>
        <v/>
      </c>
      <c r="BQ67" s="124" t="str">
        <f>IF($B67="","",IFERROR(-AM67,"n.b."))</f>
        <v/>
      </c>
      <c r="BR67" s="124" t="str">
        <f>IF($B67="","",IFERROR(-AO67,"n.b."))</f>
        <v/>
      </c>
      <c r="BS67" s="124" t="str">
        <f>IF($B67="","",IFERROR(-Z67,"n.b."))</f>
        <v/>
      </c>
      <c r="BT67" s="124" t="str">
        <f>IF($B67="","",IFERROR(-AA67,"n.b."))</f>
        <v/>
      </c>
      <c r="BU67" s="124" t="str">
        <f>IF($B67="","",IFERROR(-AE67,"n.b."))</f>
        <v/>
      </c>
      <c r="BV67" s="124" t="str">
        <f>IF($B67="","",IFERROR(-AF67,"n.b."))</f>
        <v/>
      </c>
      <c r="BW67" s="124" t="str">
        <f>IF($B67="","",IFERROR(-AG67,"n.b."))</f>
        <v/>
      </c>
      <c r="BX67" s="124" t="str">
        <f>IF($B67="","",IFERROR(-AH67,"n.b."))</f>
        <v/>
      </c>
      <c r="BY67" s="124" t="str">
        <f>IF($B67="","",IFERROR(-AI67,"n.b."))</f>
        <v/>
      </c>
      <c r="BZ67" s="124" t="str">
        <f>IF($B67="","",IFERROR(-AJ67,"n.b."))</f>
        <v/>
      </c>
      <c r="CA67" s="124" t="str">
        <f>IF($B67="","",IFERROR(-AK67,"n.b."))</f>
        <v/>
      </c>
      <c r="CB67" s="124" t="str">
        <f>IF($B67="","",IFERROR(-AL67,"n.b."))</f>
        <v/>
      </c>
      <c r="CC67" s="124" t="str">
        <f>IF($B67="","",IFERROR(-AP67,"n.b."))</f>
        <v/>
      </c>
      <c r="CD67" s="124" t="str">
        <f>IF($B67="","",IFERROR(-AQ67,"n.b."))</f>
        <v/>
      </c>
      <c r="CE67" s="124" t="str">
        <f>IF($B67="","",IFERROR(-AR67,"n.b."))</f>
        <v/>
      </c>
      <c r="CF67" s="124" t="str">
        <f>IF($B67="","",IFERROR(-AS67,"n.b."))</f>
        <v/>
      </c>
      <c r="CG67" s="124" t="str">
        <f>IF($B67="","",IFERROR(-AT67,"n.b."))</f>
        <v/>
      </c>
      <c r="CH67" s="124" t="str">
        <f>IF($B67="","",IFERROR(-AU67,"n.b."))</f>
        <v/>
      </c>
      <c r="CI67" s="124" t="str">
        <f>IF($B67="","",IFERROR(-AV67,"n.b."))</f>
        <v/>
      </c>
      <c r="CJ67" s="124" t="str">
        <f>IF($B67="","",IFERROR(-AW67,"n.b."))</f>
        <v/>
      </c>
      <c r="CK67" s="124" t="str">
        <f>IF($B67="","",IFERROR(-AX67,"n.b."))</f>
        <v/>
      </c>
      <c r="CL67" s="124" t="str">
        <f>IF($B67="","",IFERROR(-AY67,"n.b."))</f>
        <v/>
      </c>
      <c r="CM67" s="124" t="str">
        <f>IF($B67="","",IFERROR(-AZ67,"n.b."))</f>
        <v/>
      </c>
      <c r="CN67" s="124" t="str">
        <f>IF($B67="","",IFERROR(-BA67,"n.b."))</f>
        <v/>
      </c>
      <c r="CO67" s="124" t="str">
        <f>IF($B67="","",IFERROR(-BB67,"n.b."))</f>
        <v/>
      </c>
      <c r="CP67" s="124" t="str">
        <f>IF($B67="","",IFERROR(-BC67,"n.b."))</f>
        <v/>
      </c>
      <c r="CQ67" s="124" t="str">
        <f>IF($B67="","",IFERROR(-BD67,"n.b."))</f>
        <v/>
      </c>
      <c r="CR67" s="124" t="str">
        <f>IF($B67="","",IFERROR(-BE67,"n.b."))</f>
        <v/>
      </c>
      <c r="CS67" s="124" t="str">
        <f>IF($B67="","",IFERROR(IF(OR(ABS(T67+V67+X67+Z67-AB67)&gt;P_Tol,ABS(U67+W67+Y67+AA67-AD67)&gt;P_Tol,ABS(AE67+AG67+AI67+AK67-AM67)&gt;P_Tol,ABS(AF67+AH67+AJ67+AL67-AO67)&gt;P_Tol),1,0),1))</f>
        <v/>
      </c>
      <c r="CT67" s="124" t="str">
        <f>IF($B67="","",IFERROR(IF(OR(ABS(AB67+AC67-AD67)&gt;P_Tol,ABS(AM67+AN67-AO67)&gt;P_Tol,ABS(O67+P67-Q67)&gt;P_Tol),1,0),1))</f>
        <v/>
      </c>
      <c r="CU67" s="124" t="str">
        <f>IF($B67="","",IFERROR(IF(ABS(R67-(AB67+AM67+AP67+AR67+AT67+AV67+AX67+AZ67+BB67+BD67))&gt;P_Tol,1,0),1))</f>
        <v/>
      </c>
      <c r="CV67" s="124" t="str">
        <f>IF($B67="","",IFERROR(IF(ABS(M67-(N67+O67+R67))&gt;P_Tol,1,0),1))</f>
        <v/>
      </c>
      <c r="CW67" s="124" t="str">
        <f>IF($B67="","",IF(COUNTIF(Mapping!$A$5:$A$104,B67)&gt;0,1,0))</f>
        <v/>
      </c>
      <c r="CX67" s="124" t="str">
        <f>IF($B67="","",COUNTIF($B$6:$B$505,B67))</f>
        <v/>
      </c>
      <c r="CY67" s="124" t="str">
        <f>IF($B67="","",COUNTIF(STG_Woningetalage!$B$6:$B$505,B67))</f>
        <v/>
      </c>
      <c r="CZ67" s="124" t="str">
        <f>IF($B67="","",IF(CW67=0,COUNTIF($CW$6:CW67,0),""))</f>
        <v/>
      </c>
    </row>
    <row r="68">
      <c r="A68" s="15" t="n">
        <v>64</v>
      </c>
      <c r="B68" t="str">
        <f>IF(B$3=0,"",IF(INDEX(SRC_ZPMW03!$A$1:$ZZ$501,$A68,B$3)&amp;""="","",INDEX(SRC_ZPMW03!$A$1:$ZZ$501,$A68,B$3)&amp;""))</f>
        <v/>
      </c>
      <c r="C68" t="str">
        <f>IF($B68="","",IF(C$3=0,"n.b.",INDEX(SRC_ZPMW03!$A$1:$ZZ$501,$A68,C$3)))</f>
        <v/>
      </c>
      <c r="D68" t="str">
        <f>IF($B68="","",IF(D$3=0,"n.b.",INDEX(SRC_ZPMW03!$A$1:$ZZ$501,$A68,D$3)))</f>
        <v/>
      </c>
      <c r="E68" t="str">
        <f>IF($B68="","",IF(E$3=0,"n.b.",INDEX(SRC_ZPMW03!$A$1:$ZZ$501,$A68,E$3)))</f>
        <v/>
      </c>
      <c r="F68" t="str">
        <f>IF($B68="","",IF(F$3=0,"n.b.",INDEX(SRC_ZPMW03!$A$1:$ZZ$501,$A68,F$3)))</f>
        <v/>
      </c>
      <c r="G68" t="str">
        <f>IF($B68="","",IF(G$3=0,"n.b.",INDEX(SRC_ZPMW03!$A$1:$ZZ$501,$A68,G$3)))</f>
        <v/>
      </c>
      <c r="H68" t="str">
        <f>IF($B68="","",IF(H$3=0,"n.b.",INDEX(SRC_ZPMW03!$A$1:$ZZ$501,$A68,H$3)))</f>
        <v/>
      </c>
      <c r="I68" t="str">
        <f>IF($B68="","",IF(I$3=0,"n.b.",INDEX(SRC_ZPMW03!$A$1:$ZZ$501,$A68,I$3)))</f>
        <v/>
      </c>
      <c r="J68" t="str">
        <f>IF($B68="","",IF(J$3=0,"n.b.",INDEX(SRC_ZPMW03!$A$1:$ZZ$501,$A68,J$3)))</f>
        <v/>
      </c>
      <c r="K68" t="str">
        <f>IF($B68="","",IF(K$3=0,"n.b.",INDEX(SRC_ZPMW03!$A$1:$ZZ$501,$A68,K$3)))</f>
        <v/>
      </c>
      <c r="L68" s="124" t="str">
        <f>IF($B68="","",IF(L$3=0,"n.b.",INDEX(SRC_ZPMW03!$A$1:$ZZ$501,$A68,L$3)))</f>
        <v/>
      </c>
      <c r="M68" s="124" t="str">
        <f>IF($B68="","",IF(M$3=0,"n.b.",INDEX(SRC_ZPMW03!$A$1:$ZZ$501,$A68,M$3)))</f>
        <v/>
      </c>
      <c r="N68" s="124" t="str">
        <f>IF($B68="","",IF(N$3=0,"n.b.",INDEX(SRC_ZPMW03!$A$1:$ZZ$501,$A68,N$3)))</f>
        <v/>
      </c>
      <c r="O68" s="124" t="str">
        <f>IF($B68="","",IF(O$3=0,"n.b.",INDEX(SRC_ZPMW03!$A$1:$ZZ$501,$A68,O$3)))</f>
        <v/>
      </c>
      <c r="P68" s="124" t="str">
        <f>IF($B68="","",IF(P$3=0,"n.b.",INDEX(SRC_ZPMW03!$A$1:$ZZ$501,$A68,P$3)))</f>
        <v/>
      </c>
      <c r="Q68" s="124" t="str">
        <f>IF($B68="","",IF(Q$3=0,"n.b.",INDEX(SRC_ZPMW03!$A$1:$ZZ$501,$A68,Q$3)))</f>
        <v/>
      </c>
      <c r="R68" s="124" t="str">
        <f>IF($B68="","",IF(R$3=0,"n.b.",INDEX(SRC_ZPMW03!$A$1:$ZZ$501,$A68,R$3)))</f>
        <v/>
      </c>
      <c r="S68" s="124" t="str">
        <f>IF($B68="","",IF(S$3=0,"n.b.",INDEX(SRC_ZPMW03!$A$1:$ZZ$501,$A68,S$3)))</f>
        <v/>
      </c>
      <c r="T68" s="124" t="str">
        <f>IF($B68="","",IF(T$3=0,"n.b.",INDEX(SRC_ZPMW03!$A$1:$ZZ$501,$A68,T$3)))</f>
        <v/>
      </c>
      <c r="U68" s="124" t="str">
        <f>IF($B68="","",IF(U$3=0,"n.b.",INDEX(SRC_ZPMW03!$A$1:$ZZ$501,$A68,U$3)))</f>
        <v/>
      </c>
      <c r="V68" s="124" t="str">
        <f>IF($B68="","",IF(V$3=0,"n.b.",INDEX(SRC_ZPMW03!$A$1:$ZZ$501,$A68,V$3)))</f>
        <v/>
      </c>
      <c r="W68" s="124" t="str">
        <f>IF($B68="","",IF(W$3=0,"n.b.",INDEX(SRC_ZPMW03!$A$1:$ZZ$501,$A68,W$3)))</f>
        <v/>
      </c>
      <c r="X68" s="124" t="str">
        <f>IF($B68="","",IF(X$3=0,"n.b.",INDEX(SRC_ZPMW03!$A$1:$ZZ$501,$A68,X$3)))</f>
        <v/>
      </c>
      <c r="Y68" s="124" t="str">
        <f>IF($B68="","",IF(Y$3=0,"n.b.",INDEX(SRC_ZPMW03!$A$1:$ZZ$501,$A68,Y$3)))</f>
        <v/>
      </c>
      <c r="Z68" s="124" t="str">
        <f>IF($B68="","",IF(Z$3=0,"n.b.",INDEX(SRC_ZPMW03!$A$1:$ZZ$501,$A68,Z$3)))</f>
        <v/>
      </c>
      <c r="AA68" s="124" t="str">
        <f>IF($B68="","",IF(AA$3=0,"n.b.",INDEX(SRC_ZPMW03!$A$1:$ZZ$501,$A68,AA$3)))</f>
        <v/>
      </c>
      <c r="AB68" s="124" t="str">
        <f>IF($B68="","",IF(AB$3=0,"n.b.",INDEX(SRC_ZPMW03!$A$1:$ZZ$501,$A68,AB$3)))</f>
        <v/>
      </c>
      <c r="AC68" s="124" t="str">
        <f>IF($B68="","",IF(AC$3=0,"n.b.",INDEX(SRC_ZPMW03!$A$1:$ZZ$501,$A68,AC$3)))</f>
        <v/>
      </c>
      <c r="AD68" s="124" t="str">
        <f>IF($B68="","",IF(AD$3=0,"n.b.",INDEX(SRC_ZPMW03!$A$1:$ZZ$501,$A68,AD$3)))</f>
        <v/>
      </c>
      <c r="AE68" s="124" t="str">
        <f>IF($B68="","",IF(AE$3=0,"n.b.",INDEX(SRC_ZPMW03!$A$1:$ZZ$501,$A68,AE$3)))</f>
        <v/>
      </c>
      <c r="AF68" s="124" t="str">
        <f>IF($B68="","",IF(AF$3=0,"n.b.",INDEX(SRC_ZPMW03!$A$1:$ZZ$501,$A68,AF$3)))</f>
        <v/>
      </c>
      <c r="AG68" s="124" t="str">
        <f>IF($B68="","",IF(AG$3=0,"n.b.",INDEX(SRC_ZPMW03!$A$1:$ZZ$501,$A68,AG$3)))</f>
        <v/>
      </c>
      <c r="AH68" s="124" t="str">
        <f>IF($B68="","",IF(AH$3=0,"n.b.",INDEX(SRC_ZPMW03!$A$1:$ZZ$501,$A68,AH$3)))</f>
        <v/>
      </c>
      <c r="AI68" s="124" t="str">
        <f>IF($B68="","",IF(AI$3=0,"n.b.",INDEX(SRC_ZPMW03!$A$1:$ZZ$501,$A68,AI$3)))</f>
        <v/>
      </c>
      <c r="AJ68" s="124" t="str">
        <f>IF($B68="","",IF(AJ$3=0,"n.b.",INDEX(SRC_ZPMW03!$A$1:$ZZ$501,$A68,AJ$3)))</f>
        <v/>
      </c>
      <c r="AK68" s="124" t="str">
        <f>IF($B68="","",IF(AK$3=0,"n.b.",INDEX(SRC_ZPMW03!$A$1:$ZZ$501,$A68,AK$3)))</f>
        <v/>
      </c>
      <c r="AL68" s="124" t="str">
        <f>IF($B68="","",IF(AL$3=0,"n.b.",INDEX(SRC_ZPMW03!$A$1:$ZZ$501,$A68,AL$3)))</f>
        <v/>
      </c>
      <c r="AM68" s="124" t="str">
        <f>IF($B68="","",IF(AM$3=0,"n.b.",INDEX(SRC_ZPMW03!$A$1:$ZZ$501,$A68,AM$3)))</f>
        <v/>
      </c>
      <c r="AN68" s="124" t="str">
        <f>IF($B68="","",IF(AN$3=0,"n.b.",INDEX(SRC_ZPMW03!$A$1:$ZZ$501,$A68,AN$3)))</f>
        <v/>
      </c>
      <c r="AO68" s="124" t="str">
        <f>IF($B68="","",IF(AO$3=0,"n.b.",INDEX(SRC_ZPMW03!$A$1:$ZZ$501,$A68,AO$3)))</f>
        <v/>
      </c>
      <c r="AP68" s="124" t="str">
        <f>IF($B68="","",IF(AP$3=0,"n.b.",INDEX(SRC_ZPMW03!$A$1:$ZZ$501,$A68,AP$3)))</f>
        <v/>
      </c>
      <c r="AQ68" s="124" t="str">
        <f>IF($B68="","",IF(AQ$3=0,"n.b.",INDEX(SRC_ZPMW03!$A$1:$ZZ$501,$A68,AQ$3)))</f>
        <v/>
      </c>
      <c r="AR68" s="124" t="str">
        <f>IF($B68="","",IF(AR$3=0,"n.b.",INDEX(SRC_ZPMW03!$A$1:$ZZ$501,$A68,AR$3)))</f>
        <v/>
      </c>
      <c r="AS68" s="124" t="str">
        <f>IF($B68="","",IF(AS$3=0,"n.b.",INDEX(SRC_ZPMW03!$A$1:$ZZ$501,$A68,AS$3)))</f>
        <v/>
      </c>
      <c r="AT68" s="124" t="str">
        <f>IF($B68="","",IF(AT$3=0,"n.b.",INDEX(SRC_ZPMW03!$A$1:$ZZ$501,$A68,AT$3)))</f>
        <v/>
      </c>
      <c r="AU68" s="124" t="str">
        <f>IF($B68="","",IF(AU$3=0,"n.b.",INDEX(SRC_ZPMW03!$A$1:$ZZ$501,$A68,AU$3)))</f>
        <v/>
      </c>
      <c r="AV68" s="124" t="str">
        <f>IF($B68="","",IF(AV$3=0,"n.b.",INDEX(SRC_ZPMW03!$A$1:$ZZ$501,$A68,AV$3)))</f>
        <v/>
      </c>
      <c r="AW68" s="124" t="str">
        <f>IF($B68="","",IF(AW$3=0,"n.b.",INDEX(SRC_ZPMW03!$A$1:$ZZ$501,$A68,AW$3)))</f>
        <v/>
      </c>
      <c r="AX68" s="124" t="str">
        <f>IF($B68="","",IF(AX$3=0,"n.b.",INDEX(SRC_ZPMW03!$A$1:$ZZ$501,$A68,AX$3)))</f>
        <v/>
      </c>
      <c r="AY68" s="124" t="str">
        <f>IF($B68="","",IF(AY$3=0,"n.b.",INDEX(SRC_ZPMW03!$A$1:$ZZ$501,$A68,AY$3)))</f>
        <v/>
      </c>
      <c r="AZ68" s="124" t="str">
        <f>IF($B68="","",IF(AZ$3=0,"n.b.",INDEX(SRC_ZPMW03!$A$1:$ZZ$501,$A68,AZ$3)))</f>
        <v/>
      </c>
      <c r="BA68" s="124" t="str">
        <f>IF($B68="","",IF(BA$3=0,"n.b.",INDEX(SRC_ZPMW03!$A$1:$ZZ$501,$A68,BA$3)))</f>
        <v/>
      </c>
      <c r="BB68" s="124" t="str">
        <f>IF($B68="","",IF(BB$3=0,"n.b.",INDEX(SRC_ZPMW03!$A$1:$ZZ$501,$A68,BB$3)))</f>
        <v/>
      </c>
      <c r="BC68" s="124" t="str">
        <f>IF($B68="","",IF(BC$3=0,"n.b.",INDEX(SRC_ZPMW03!$A$1:$ZZ$501,$A68,BC$3)))</f>
        <v/>
      </c>
      <c r="BD68" s="124" t="str">
        <f>IF($B68="","",IF(BD$3=0,"n.b.",INDEX(SRC_ZPMW03!$A$1:$ZZ$501,$A68,BD$3)))</f>
        <v/>
      </c>
      <c r="BE68" s="124" t="str">
        <f>IF($B68="","",IF(BE$3=0,"n.b.",INDEX(SRC_ZPMW03!$A$1:$ZZ$501,$A68,BE$3)))</f>
        <v/>
      </c>
      <c r="BF68" s="124" t="str">
        <f>IF($B68="","",IF(BF$3=0,"n.b.",INDEX(SRC_ZPMW03!$A$1:$ZZ$501,$A68,BF$3)))</f>
        <v/>
      </c>
      <c r="BG68" t="str">
        <f>IF($B68="","",IF(BG$3=0,"n.b.",INDEX(SRC_ZPMW03!$A$1:$ZZ$501,$A68,BG$3)))</f>
        <v/>
      </c>
      <c r="BH68" t="str">
        <f>IF($B68="","",IF(BH$3=0,"n.b.",INDEX(SRC_ZPMW03!$A$1:$ZZ$501,$A68,BH$3)))</f>
        <v/>
      </c>
      <c r="BI68" t="str">
        <f>IF($B68="","",IF(BI$3=0,"n.b.",INDEX(SRC_ZPMW03!$A$1:$ZZ$501,$A68,BI$3)))</f>
        <v/>
      </c>
      <c r="BJ68" t="str">
        <f>IF($B68="","",IF(BJ$3=0,"n.b.",INDEX(SRC_ZPMW03!$A$1:$ZZ$501,$A68,BJ$3)))</f>
        <v/>
      </c>
      <c r="BK68" s="124" t="str">
        <f>IF($B68="","",IFERROR(-O68,"n.b."))</f>
        <v/>
      </c>
      <c r="BL68" s="124" t="str">
        <f>IF($B68="","",IFERROR(-Q68,"n.b."))</f>
        <v/>
      </c>
      <c r="BM68" s="124" t="str">
        <f>IF($B68="","",IFERROR(-AB68,"n.b."))</f>
        <v/>
      </c>
      <c r="BN68" s="124" t="str">
        <f>IF($B68="","",IFERROR(-AD68,"n.b."))</f>
        <v/>
      </c>
      <c r="BO68" s="124" t="str">
        <f>IF($B68="","",IFERROR(BK68+BM68,"n.b."))</f>
        <v/>
      </c>
      <c r="BP68" s="124" t="str">
        <f>IF($B68="","",IFERROR(BL68+BN68,"n.b."))</f>
        <v/>
      </c>
      <c r="BQ68" s="124" t="str">
        <f>IF($B68="","",IFERROR(-AM68,"n.b."))</f>
        <v/>
      </c>
      <c r="BR68" s="124" t="str">
        <f>IF($B68="","",IFERROR(-AO68,"n.b."))</f>
        <v/>
      </c>
      <c r="BS68" s="124" t="str">
        <f>IF($B68="","",IFERROR(-Z68,"n.b."))</f>
        <v/>
      </c>
      <c r="BT68" s="124" t="str">
        <f>IF($B68="","",IFERROR(-AA68,"n.b."))</f>
        <v/>
      </c>
      <c r="BU68" s="124" t="str">
        <f>IF($B68="","",IFERROR(-AE68,"n.b."))</f>
        <v/>
      </c>
      <c r="BV68" s="124" t="str">
        <f>IF($B68="","",IFERROR(-AF68,"n.b."))</f>
        <v/>
      </c>
      <c r="BW68" s="124" t="str">
        <f>IF($B68="","",IFERROR(-AG68,"n.b."))</f>
        <v/>
      </c>
      <c r="BX68" s="124" t="str">
        <f>IF($B68="","",IFERROR(-AH68,"n.b."))</f>
        <v/>
      </c>
      <c r="BY68" s="124" t="str">
        <f>IF($B68="","",IFERROR(-AI68,"n.b."))</f>
        <v/>
      </c>
      <c r="BZ68" s="124" t="str">
        <f>IF($B68="","",IFERROR(-AJ68,"n.b."))</f>
        <v/>
      </c>
      <c r="CA68" s="124" t="str">
        <f>IF($B68="","",IFERROR(-AK68,"n.b."))</f>
        <v/>
      </c>
      <c r="CB68" s="124" t="str">
        <f>IF($B68="","",IFERROR(-AL68,"n.b."))</f>
        <v/>
      </c>
      <c r="CC68" s="124" t="str">
        <f>IF($B68="","",IFERROR(-AP68,"n.b."))</f>
        <v/>
      </c>
      <c r="CD68" s="124" t="str">
        <f>IF($B68="","",IFERROR(-AQ68,"n.b."))</f>
        <v/>
      </c>
      <c r="CE68" s="124" t="str">
        <f>IF($B68="","",IFERROR(-AR68,"n.b."))</f>
        <v/>
      </c>
      <c r="CF68" s="124" t="str">
        <f>IF($B68="","",IFERROR(-AS68,"n.b."))</f>
        <v/>
      </c>
      <c r="CG68" s="124" t="str">
        <f>IF($B68="","",IFERROR(-AT68,"n.b."))</f>
        <v/>
      </c>
      <c r="CH68" s="124" t="str">
        <f>IF($B68="","",IFERROR(-AU68,"n.b."))</f>
        <v/>
      </c>
      <c r="CI68" s="124" t="str">
        <f>IF($B68="","",IFERROR(-AV68,"n.b."))</f>
        <v/>
      </c>
      <c r="CJ68" s="124" t="str">
        <f>IF($B68="","",IFERROR(-AW68,"n.b."))</f>
        <v/>
      </c>
      <c r="CK68" s="124" t="str">
        <f>IF($B68="","",IFERROR(-AX68,"n.b."))</f>
        <v/>
      </c>
      <c r="CL68" s="124" t="str">
        <f>IF($B68="","",IFERROR(-AY68,"n.b."))</f>
        <v/>
      </c>
      <c r="CM68" s="124" t="str">
        <f>IF($B68="","",IFERROR(-AZ68,"n.b."))</f>
        <v/>
      </c>
      <c r="CN68" s="124" t="str">
        <f>IF($B68="","",IFERROR(-BA68,"n.b."))</f>
        <v/>
      </c>
      <c r="CO68" s="124" t="str">
        <f>IF($B68="","",IFERROR(-BB68,"n.b."))</f>
        <v/>
      </c>
      <c r="CP68" s="124" t="str">
        <f>IF($B68="","",IFERROR(-BC68,"n.b."))</f>
        <v/>
      </c>
      <c r="CQ68" s="124" t="str">
        <f>IF($B68="","",IFERROR(-BD68,"n.b."))</f>
        <v/>
      </c>
      <c r="CR68" s="124" t="str">
        <f>IF($B68="","",IFERROR(-BE68,"n.b."))</f>
        <v/>
      </c>
      <c r="CS68" s="124" t="str">
        <f>IF($B68="","",IFERROR(IF(OR(ABS(T68+V68+X68+Z68-AB68)&gt;P_Tol,ABS(U68+W68+Y68+AA68-AD68)&gt;P_Tol,ABS(AE68+AG68+AI68+AK68-AM68)&gt;P_Tol,ABS(AF68+AH68+AJ68+AL68-AO68)&gt;P_Tol),1,0),1))</f>
        <v/>
      </c>
      <c r="CT68" s="124" t="str">
        <f>IF($B68="","",IFERROR(IF(OR(ABS(AB68+AC68-AD68)&gt;P_Tol,ABS(AM68+AN68-AO68)&gt;P_Tol,ABS(O68+P68-Q68)&gt;P_Tol),1,0),1))</f>
        <v/>
      </c>
      <c r="CU68" s="124" t="str">
        <f>IF($B68="","",IFERROR(IF(ABS(R68-(AB68+AM68+AP68+AR68+AT68+AV68+AX68+AZ68+BB68+BD68))&gt;P_Tol,1,0),1))</f>
        <v/>
      </c>
      <c r="CV68" s="124" t="str">
        <f>IF($B68="","",IFERROR(IF(ABS(M68-(N68+O68+R68))&gt;P_Tol,1,0),1))</f>
        <v/>
      </c>
      <c r="CW68" s="124" t="str">
        <f>IF($B68="","",IF(COUNTIF(Mapping!$A$5:$A$104,B68)&gt;0,1,0))</f>
        <v/>
      </c>
      <c r="CX68" s="124" t="str">
        <f>IF($B68="","",COUNTIF($B$6:$B$505,B68))</f>
        <v/>
      </c>
      <c r="CY68" s="124" t="str">
        <f>IF($B68="","",COUNTIF(STG_Woningetalage!$B$6:$B$505,B68))</f>
        <v/>
      </c>
      <c r="CZ68" s="124" t="str">
        <f>IF($B68="","",IF(CW68=0,COUNTIF($CW$6:CW68,0),""))</f>
        <v/>
      </c>
    </row>
    <row r="69">
      <c r="A69" s="15" t="n">
        <v>65</v>
      </c>
      <c r="B69" t="str">
        <f>IF(B$3=0,"",IF(INDEX(SRC_ZPMW03!$A$1:$ZZ$501,$A69,B$3)&amp;""="","",INDEX(SRC_ZPMW03!$A$1:$ZZ$501,$A69,B$3)&amp;""))</f>
        <v/>
      </c>
      <c r="C69" t="str">
        <f>IF($B69="","",IF(C$3=0,"n.b.",INDEX(SRC_ZPMW03!$A$1:$ZZ$501,$A69,C$3)))</f>
        <v/>
      </c>
      <c r="D69" t="str">
        <f>IF($B69="","",IF(D$3=0,"n.b.",INDEX(SRC_ZPMW03!$A$1:$ZZ$501,$A69,D$3)))</f>
        <v/>
      </c>
      <c r="E69" t="str">
        <f>IF($B69="","",IF(E$3=0,"n.b.",INDEX(SRC_ZPMW03!$A$1:$ZZ$501,$A69,E$3)))</f>
        <v/>
      </c>
      <c r="F69" t="str">
        <f>IF($B69="","",IF(F$3=0,"n.b.",INDEX(SRC_ZPMW03!$A$1:$ZZ$501,$A69,F$3)))</f>
        <v/>
      </c>
      <c r="G69" t="str">
        <f>IF($B69="","",IF(G$3=0,"n.b.",INDEX(SRC_ZPMW03!$A$1:$ZZ$501,$A69,G$3)))</f>
        <v/>
      </c>
      <c r="H69" t="str">
        <f>IF($B69="","",IF(H$3=0,"n.b.",INDEX(SRC_ZPMW03!$A$1:$ZZ$501,$A69,H$3)))</f>
        <v/>
      </c>
      <c r="I69" t="str">
        <f>IF($B69="","",IF(I$3=0,"n.b.",INDEX(SRC_ZPMW03!$A$1:$ZZ$501,$A69,I$3)))</f>
        <v/>
      </c>
      <c r="J69" t="str">
        <f>IF($B69="","",IF(J$3=0,"n.b.",INDEX(SRC_ZPMW03!$A$1:$ZZ$501,$A69,J$3)))</f>
        <v/>
      </c>
      <c r="K69" t="str">
        <f>IF($B69="","",IF(K$3=0,"n.b.",INDEX(SRC_ZPMW03!$A$1:$ZZ$501,$A69,K$3)))</f>
        <v/>
      </c>
      <c r="L69" s="124" t="str">
        <f>IF($B69="","",IF(L$3=0,"n.b.",INDEX(SRC_ZPMW03!$A$1:$ZZ$501,$A69,L$3)))</f>
        <v/>
      </c>
      <c r="M69" s="124" t="str">
        <f>IF($B69="","",IF(M$3=0,"n.b.",INDEX(SRC_ZPMW03!$A$1:$ZZ$501,$A69,M$3)))</f>
        <v/>
      </c>
      <c r="N69" s="124" t="str">
        <f>IF($B69="","",IF(N$3=0,"n.b.",INDEX(SRC_ZPMW03!$A$1:$ZZ$501,$A69,N$3)))</f>
        <v/>
      </c>
      <c r="O69" s="124" t="str">
        <f>IF($B69="","",IF(O$3=0,"n.b.",INDEX(SRC_ZPMW03!$A$1:$ZZ$501,$A69,O$3)))</f>
        <v/>
      </c>
      <c r="P69" s="124" t="str">
        <f>IF($B69="","",IF(P$3=0,"n.b.",INDEX(SRC_ZPMW03!$A$1:$ZZ$501,$A69,P$3)))</f>
        <v/>
      </c>
      <c r="Q69" s="124" t="str">
        <f>IF($B69="","",IF(Q$3=0,"n.b.",INDEX(SRC_ZPMW03!$A$1:$ZZ$501,$A69,Q$3)))</f>
        <v/>
      </c>
      <c r="R69" s="124" t="str">
        <f>IF($B69="","",IF(R$3=0,"n.b.",INDEX(SRC_ZPMW03!$A$1:$ZZ$501,$A69,R$3)))</f>
        <v/>
      </c>
      <c r="S69" s="124" t="str">
        <f>IF($B69="","",IF(S$3=0,"n.b.",INDEX(SRC_ZPMW03!$A$1:$ZZ$501,$A69,S$3)))</f>
        <v/>
      </c>
      <c r="T69" s="124" t="str">
        <f>IF($B69="","",IF(T$3=0,"n.b.",INDEX(SRC_ZPMW03!$A$1:$ZZ$501,$A69,T$3)))</f>
        <v/>
      </c>
      <c r="U69" s="124" t="str">
        <f>IF($B69="","",IF(U$3=0,"n.b.",INDEX(SRC_ZPMW03!$A$1:$ZZ$501,$A69,U$3)))</f>
        <v/>
      </c>
      <c r="V69" s="124" t="str">
        <f>IF($B69="","",IF(V$3=0,"n.b.",INDEX(SRC_ZPMW03!$A$1:$ZZ$501,$A69,V$3)))</f>
        <v/>
      </c>
      <c r="W69" s="124" t="str">
        <f>IF($B69="","",IF(W$3=0,"n.b.",INDEX(SRC_ZPMW03!$A$1:$ZZ$501,$A69,W$3)))</f>
        <v/>
      </c>
      <c r="X69" s="124" t="str">
        <f>IF($B69="","",IF(X$3=0,"n.b.",INDEX(SRC_ZPMW03!$A$1:$ZZ$501,$A69,X$3)))</f>
        <v/>
      </c>
      <c r="Y69" s="124" t="str">
        <f>IF($B69="","",IF(Y$3=0,"n.b.",INDEX(SRC_ZPMW03!$A$1:$ZZ$501,$A69,Y$3)))</f>
        <v/>
      </c>
      <c r="Z69" s="124" t="str">
        <f>IF($B69="","",IF(Z$3=0,"n.b.",INDEX(SRC_ZPMW03!$A$1:$ZZ$501,$A69,Z$3)))</f>
        <v/>
      </c>
      <c r="AA69" s="124" t="str">
        <f>IF($B69="","",IF(AA$3=0,"n.b.",INDEX(SRC_ZPMW03!$A$1:$ZZ$501,$A69,AA$3)))</f>
        <v/>
      </c>
      <c r="AB69" s="124" t="str">
        <f>IF($B69="","",IF(AB$3=0,"n.b.",INDEX(SRC_ZPMW03!$A$1:$ZZ$501,$A69,AB$3)))</f>
        <v/>
      </c>
      <c r="AC69" s="124" t="str">
        <f>IF($B69="","",IF(AC$3=0,"n.b.",INDEX(SRC_ZPMW03!$A$1:$ZZ$501,$A69,AC$3)))</f>
        <v/>
      </c>
      <c r="AD69" s="124" t="str">
        <f>IF($B69="","",IF(AD$3=0,"n.b.",INDEX(SRC_ZPMW03!$A$1:$ZZ$501,$A69,AD$3)))</f>
        <v/>
      </c>
      <c r="AE69" s="124" t="str">
        <f>IF($B69="","",IF(AE$3=0,"n.b.",INDEX(SRC_ZPMW03!$A$1:$ZZ$501,$A69,AE$3)))</f>
        <v/>
      </c>
      <c r="AF69" s="124" t="str">
        <f>IF($B69="","",IF(AF$3=0,"n.b.",INDEX(SRC_ZPMW03!$A$1:$ZZ$501,$A69,AF$3)))</f>
        <v/>
      </c>
      <c r="AG69" s="124" t="str">
        <f>IF($B69="","",IF(AG$3=0,"n.b.",INDEX(SRC_ZPMW03!$A$1:$ZZ$501,$A69,AG$3)))</f>
        <v/>
      </c>
      <c r="AH69" s="124" t="str">
        <f>IF($B69="","",IF(AH$3=0,"n.b.",INDEX(SRC_ZPMW03!$A$1:$ZZ$501,$A69,AH$3)))</f>
        <v/>
      </c>
      <c r="AI69" s="124" t="str">
        <f>IF($B69="","",IF(AI$3=0,"n.b.",INDEX(SRC_ZPMW03!$A$1:$ZZ$501,$A69,AI$3)))</f>
        <v/>
      </c>
      <c r="AJ69" s="124" t="str">
        <f>IF($B69="","",IF(AJ$3=0,"n.b.",INDEX(SRC_ZPMW03!$A$1:$ZZ$501,$A69,AJ$3)))</f>
        <v/>
      </c>
      <c r="AK69" s="124" t="str">
        <f>IF($B69="","",IF(AK$3=0,"n.b.",INDEX(SRC_ZPMW03!$A$1:$ZZ$501,$A69,AK$3)))</f>
        <v/>
      </c>
      <c r="AL69" s="124" t="str">
        <f>IF($B69="","",IF(AL$3=0,"n.b.",INDEX(SRC_ZPMW03!$A$1:$ZZ$501,$A69,AL$3)))</f>
        <v/>
      </c>
      <c r="AM69" s="124" t="str">
        <f>IF($B69="","",IF(AM$3=0,"n.b.",INDEX(SRC_ZPMW03!$A$1:$ZZ$501,$A69,AM$3)))</f>
        <v/>
      </c>
      <c r="AN69" s="124" t="str">
        <f>IF($B69="","",IF(AN$3=0,"n.b.",INDEX(SRC_ZPMW03!$A$1:$ZZ$501,$A69,AN$3)))</f>
        <v/>
      </c>
      <c r="AO69" s="124" t="str">
        <f>IF($B69="","",IF(AO$3=0,"n.b.",INDEX(SRC_ZPMW03!$A$1:$ZZ$501,$A69,AO$3)))</f>
        <v/>
      </c>
      <c r="AP69" s="124" t="str">
        <f>IF($B69="","",IF(AP$3=0,"n.b.",INDEX(SRC_ZPMW03!$A$1:$ZZ$501,$A69,AP$3)))</f>
        <v/>
      </c>
      <c r="AQ69" s="124" t="str">
        <f>IF($B69="","",IF(AQ$3=0,"n.b.",INDEX(SRC_ZPMW03!$A$1:$ZZ$501,$A69,AQ$3)))</f>
        <v/>
      </c>
      <c r="AR69" s="124" t="str">
        <f>IF($B69="","",IF(AR$3=0,"n.b.",INDEX(SRC_ZPMW03!$A$1:$ZZ$501,$A69,AR$3)))</f>
        <v/>
      </c>
      <c r="AS69" s="124" t="str">
        <f>IF($B69="","",IF(AS$3=0,"n.b.",INDEX(SRC_ZPMW03!$A$1:$ZZ$501,$A69,AS$3)))</f>
        <v/>
      </c>
      <c r="AT69" s="124" t="str">
        <f>IF($B69="","",IF(AT$3=0,"n.b.",INDEX(SRC_ZPMW03!$A$1:$ZZ$501,$A69,AT$3)))</f>
        <v/>
      </c>
      <c r="AU69" s="124" t="str">
        <f>IF($B69="","",IF(AU$3=0,"n.b.",INDEX(SRC_ZPMW03!$A$1:$ZZ$501,$A69,AU$3)))</f>
        <v/>
      </c>
      <c r="AV69" s="124" t="str">
        <f>IF($B69="","",IF(AV$3=0,"n.b.",INDEX(SRC_ZPMW03!$A$1:$ZZ$501,$A69,AV$3)))</f>
        <v/>
      </c>
      <c r="AW69" s="124" t="str">
        <f>IF($B69="","",IF(AW$3=0,"n.b.",INDEX(SRC_ZPMW03!$A$1:$ZZ$501,$A69,AW$3)))</f>
        <v/>
      </c>
      <c r="AX69" s="124" t="str">
        <f>IF($B69="","",IF(AX$3=0,"n.b.",INDEX(SRC_ZPMW03!$A$1:$ZZ$501,$A69,AX$3)))</f>
        <v/>
      </c>
      <c r="AY69" s="124" t="str">
        <f>IF($B69="","",IF(AY$3=0,"n.b.",INDEX(SRC_ZPMW03!$A$1:$ZZ$501,$A69,AY$3)))</f>
        <v/>
      </c>
      <c r="AZ69" s="124" t="str">
        <f>IF($B69="","",IF(AZ$3=0,"n.b.",INDEX(SRC_ZPMW03!$A$1:$ZZ$501,$A69,AZ$3)))</f>
        <v/>
      </c>
      <c r="BA69" s="124" t="str">
        <f>IF($B69="","",IF(BA$3=0,"n.b.",INDEX(SRC_ZPMW03!$A$1:$ZZ$501,$A69,BA$3)))</f>
        <v/>
      </c>
      <c r="BB69" s="124" t="str">
        <f>IF($B69="","",IF(BB$3=0,"n.b.",INDEX(SRC_ZPMW03!$A$1:$ZZ$501,$A69,BB$3)))</f>
        <v/>
      </c>
      <c r="BC69" s="124" t="str">
        <f>IF($B69="","",IF(BC$3=0,"n.b.",INDEX(SRC_ZPMW03!$A$1:$ZZ$501,$A69,BC$3)))</f>
        <v/>
      </c>
      <c r="BD69" s="124" t="str">
        <f>IF($B69="","",IF(BD$3=0,"n.b.",INDEX(SRC_ZPMW03!$A$1:$ZZ$501,$A69,BD$3)))</f>
        <v/>
      </c>
      <c r="BE69" s="124" t="str">
        <f>IF($B69="","",IF(BE$3=0,"n.b.",INDEX(SRC_ZPMW03!$A$1:$ZZ$501,$A69,BE$3)))</f>
        <v/>
      </c>
      <c r="BF69" s="124" t="str">
        <f>IF($B69="","",IF(BF$3=0,"n.b.",INDEX(SRC_ZPMW03!$A$1:$ZZ$501,$A69,BF$3)))</f>
        <v/>
      </c>
      <c r="BG69" t="str">
        <f>IF($B69="","",IF(BG$3=0,"n.b.",INDEX(SRC_ZPMW03!$A$1:$ZZ$501,$A69,BG$3)))</f>
        <v/>
      </c>
      <c r="BH69" t="str">
        <f>IF($B69="","",IF(BH$3=0,"n.b.",INDEX(SRC_ZPMW03!$A$1:$ZZ$501,$A69,BH$3)))</f>
        <v/>
      </c>
      <c r="BI69" t="str">
        <f>IF($B69="","",IF(BI$3=0,"n.b.",INDEX(SRC_ZPMW03!$A$1:$ZZ$501,$A69,BI$3)))</f>
        <v/>
      </c>
      <c r="BJ69" t="str">
        <f>IF($B69="","",IF(BJ$3=0,"n.b.",INDEX(SRC_ZPMW03!$A$1:$ZZ$501,$A69,BJ$3)))</f>
        <v/>
      </c>
      <c r="BK69" s="124" t="str">
        <f>IF($B69="","",IFERROR(-O69,"n.b."))</f>
        <v/>
      </c>
      <c r="BL69" s="124" t="str">
        <f>IF($B69="","",IFERROR(-Q69,"n.b."))</f>
        <v/>
      </c>
      <c r="BM69" s="124" t="str">
        <f>IF($B69="","",IFERROR(-AB69,"n.b."))</f>
        <v/>
      </c>
      <c r="BN69" s="124" t="str">
        <f>IF($B69="","",IFERROR(-AD69,"n.b."))</f>
        <v/>
      </c>
      <c r="BO69" s="124" t="str">
        <f>IF($B69="","",IFERROR(BK69+BM69,"n.b."))</f>
        <v/>
      </c>
      <c r="BP69" s="124" t="str">
        <f>IF($B69="","",IFERROR(BL69+BN69,"n.b."))</f>
        <v/>
      </c>
      <c r="BQ69" s="124" t="str">
        <f>IF($B69="","",IFERROR(-AM69,"n.b."))</f>
        <v/>
      </c>
      <c r="BR69" s="124" t="str">
        <f>IF($B69="","",IFERROR(-AO69,"n.b."))</f>
        <v/>
      </c>
      <c r="BS69" s="124" t="str">
        <f>IF($B69="","",IFERROR(-Z69,"n.b."))</f>
        <v/>
      </c>
      <c r="BT69" s="124" t="str">
        <f>IF($B69="","",IFERROR(-AA69,"n.b."))</f>
        <v/>
      </c>
      <c r="BU69" s="124" t="str">
        <f>IF($B69="","",IFERROR(-AE69,"n.b."))</f>
        <v/>
      </c>
      <c r="BV69" s="124" t="str">
        <f>IF($B69="","",IFERROR(-AF69,"n.b."))</f>
        <v/>
      </c>
      <c r="BW69" s="124" t="str">
        <f>IF($B69="","",IFERROR(-AG69,"n.b."))</f>
        <v/>
      </c>
      <c r="BX69" s="124" t="str">
        <f>IF($B69="","",IFERROR(-AH69,"n.b."))</f>
        <v/>
      </c>
      <c r="BY69" s="124" t="str">
        <f>IF($B69="","",IFERROR(-AI69,"n.b."))</f>
        <v/>
      </c>
      <c r="BZ69" s="124" t="str">
        <f>IF($B69="","",IFERROR(-AJ69,"n.b."))</f>
        <v/>
      </c>
      <c r="CA69" s="124" t="str">
        <f>IF($B69="","",IFERROR(-AK69,"n.b."))</f>
        <v/>
      </c>
      <c r="CB69" s="124" t="str">
        <f>IF($B69="","",IFERROR(-AL69,"n.b."))</f>
        <v/>
      </c>
      <c r="CC69" s="124" t="str">
        <f>IF($B69="","",IFERROR(-AP69,"n.b."))</f>
        <v/>
      </c>
      <c r="CD69" s="124" t="str">
        <f>IF($B69="","",IFERROR(-AQ69,"n.b."))</f>
        <v/>
      </c>
      <c r="CE69" s="124" t="str">
        <f>IF($B69="","",IFERROR(-AR69,"n.b."))</f>
        <v/>
      </c>
      <c r="CF69" s="124" t="str">
        <f>IF($B69="","",IFERROR(-AS69,"n.b."))</f>
        <v/>
      </c>
      <c r="CG69" s="124" t="str">
        <f>IF($B69="","",IFERROR(-AT69,"n.b."))</f>
        <v/>
      </c>
      <c r="CH69" s="124" t="str">
        <f>IF($B69="","",IFERROR(-AU69,"n.b."))</f>
        <v/>
      </c>
      <c r="CI69" s="124" t="str">
        <f>IF($B69="","",IFERROR(-AV69,"n.b."))</f>
        <v/>
      </c>
      <c r="CJ69" s="124" t="str">
        <f>IF($B69="","",IFERROR(-AW69,"n.b."))</f>
        <v/>
      </c>
      <c r="CK69" s="124" t="str">
        <f>IF($B69="","",IFERROR(-AX69,"n.b."))</f>
        <v/>
      </c>
      <c r="CL69" s="124" t="str">
        <f>IF($B69="","",IFERROR(-AY69,"n.b."))</f>
        <v/>
      </c>
      <c r="CM69" s="124" t="str">
        <f>IF($B69="","",IFERROR(-AZ69,"n.b."))</f>
        <v/>
      </c>
      <c r="CN69" s="124" t="str">
        <f>IF($B69="","",IFERROR(-BA69,"n.b."))</f>
        <v/>
      </c>
      <c r="CO69" s="124" t="str">
        <f>IF($B69="","",IFERROR(-BB69,"n.b."))</f>
        <v/>
      </c>
      <c r="CP69" s="124" t="str">
        <f>IF($B69="","",IFERROR(-BC69,"n.b."))</f>
        <v/>
      </c>
      <c r="CQ69" s="124" t="str">
        <f>IF($B69="","",IFERROR(-BD69,"n.b."))</f>
        <v/>
      </c>
      <c r="CR69" s="124" t="str">
        <f>IF($B69="","",IFERROR(-BE69,"n.b."))</f>
        <v/>
      </c>
      <c r="CS69" s="124" t="str">
        <f>IF($B69="","",IFERROR(IF(OR(ABS(T69+V69+X69+Z69-AB69)&gt;P_Tol,ABS(U69+W69+Y69+AA69-AD69)&gt;P_Tol,ABS(AE69+AG69+AI69+AK69-AM69)&gt;P_Tol,ABS(AF69+AH69+AJ69+AL69-AO69)&gt;P_Tol),1,0),1))</f>
        <v/>
      </c>
      <c r="CT69" s="124" t="str">
        <f>IF($B69="","",IFERROR(IF(OR(ABS(AB69+AC69-AD69)&gt;P_Tol,ABS(AM69+AN69-AO69)&gt;P_Tol,ABS(O69+P69-Q69)&gt;P_Tol),1,0),1))</f>
        <v/>
      </c>
      <c r="CU69" s="124" t="str">
        <f>IF($B69="","",IFERROR(IF(ABS(R69-(AB69+AM69+AP69+AR69+AT69+AV69+AX69+AZ69+BB69+BD69))&gt;P_Tol,1,0),1))</f>
        <v/>
      </c>
      <c r="CV69" s="124" t="str">
        <f>IF($B69="","",IFERROR(IF(ABS(M69-(N69+O69+R69))&gt;P_Tol,1,0),1))</f>
        <v/>
      </c>
      <c r="CW69" s="124" t="str">
        <f>IF($B69="","",IF(COUNTIF(Mapping!$A$5:$A$104,B69)&gt;0,1,0))</f>
        <v/>
      </c>
      <c r="CX69" s="124" t="str">
        <f>IF($B69="","",COUNTIF($B$6:$B$505,B69))</f>
        <v/>
      </c>
      <c r="CY69" s="124" t="str">
        <f>IF($B69="","",COUNTIF(STG_Woningetalage!$B$6:$B$505,B69))</f>
        <v/>
      </c>
      <c r="CZ69" s="124" t="str">
        <f>IF($B69="","",IF(CW69=0,COUNTIF($CW$6:CW69,0),""))</f>
        <v/>
      </c>
    </row>
    <row r="70">
      <c r="A70" s="15" t="n">
        <v>66</v>
      </c>
      <c r="B70" t="str">
        <f>IF(B$3=0,"",IF(INDEX(SRC_ZPMW03!$A$1:$ZZ$501,$A70,B$3)&amp;""="","",INDEX(SRC_ZPMW03!$A$1:$ZZ$501,$A70,B$3)&amp;""))</f>
        <v/>
      </c>
      <c r="C70" t="str">
        <f>IF($B70="","",IF(C$3=0,"n.b.",INDEX(SRC_ZPMW03!$A$1:$ZZ$501,$A70,C$3)))</f>
        <v/>
      </c>
      <c r="D70" t="str">
        <f>IF($B70="","",IF(D$3=0,"n.b.",INDEX(SRC_ZPMW03!$A$1:$ZZ$501,$A70,D$3)))</f>
        <v/>
      </c>
      <c r="E70" t="str">
        <f>IF($B70="","",IF(E$3=0,"n.b.",INDEX(SRC_ZPMW03!$A$1:$ZZ$501,$A70,E$3)))</f>
        <v/>
      </c>
      <c r="F70" t="str">
        <f>IF($B70="","",IF(F$3=0,"n.b.",INDEX(SRC_ZPMW03!$A$1:$ZZ$501,$A70,F$3)))</f>
        <v/>
      </c>
      <c r="G70" t="str">
        <f>IF($B70="","",IF(G$3=0,"n.b.",INDEX(SRC_ZPMW03!$A$1:$ZZ$501,$A70,G$3)))</f>
        <v/>
      </c>
      <c r="H70" t="str">
        <f>IF($B70="","",IF(H$3=0,"n.b.",INDEX(SRC_ZPMW03!$A$1:$ZZ$501,$A70,H$3)))</f>
        <v/>
      </c>
      <c r="I70" t="str">
        <f>IF($B70="","",IF(I$3=0,"n.b.",INDEX(SRC_ZPMW03!$A$1:$ZZ$501,$A70,I$3)))</f>
        <v/>
      </c>
      <c r="J70" t="str">
        <f>IF($B70="","",IF(J$3=0,"n.b.",INDEX(SRC_ZPMW03!$A$1:$ZZ$501,$A70,J$3)))</f>
        <v/>
      </c>
      <c r="K70" t="str">
        <f>IF($B70="","",IF(K$3=0,"n.b.",INDEX(SRC_ZPMW03!$A$1:$ZZ$501,$A70,K$3)))</f>
        <v/>
      </c>
      <c r="L70" s="124" t="str">
        <f>IF($B70="","",IF(L$3=0,"n.b.",INDEX(SRC_ZPMW03!$A$1:$ZZ$501,$A70,L$3)))</f>
        <v/>
      </c>
      <c r="M70" s="124" t="str">
        <f>IF($B70="","",IF(M$3=0,"n.b.",INDEX(SRC_ZPMW03!$A$1:$ZZ$501,$A70,M$3)))</f>
        <v/>
      </c>
      <c r="N70" s="124" t="str">
        <f>IF($B70="","",IF(N$3=0,"n.b.",INDEX(SRC_ZPMW03!$A$1:$ZZ$501,$A70,N$3)))</f>
        <v/>
      </c>
      <c r="O70" s="124" t="str">
        <f>IF($B70="","",IF(O$3=0,"n.b.",INDEX(SRC_ZPMW03!$A$1:$ZZ$501,$A70,O$3)))</f>
        <v/>
      </c>
      <c r="P70" s="124" t="str">
        <f>IF($B70="","",IF(P$3=0,"n.b.",INDEX(SRC_ZPMW03!$A$1:$ZZ$501,$A70,P$3)))</f>
        <v/>
      </c>
      <c r="Q70" s="124" t="str">
        <f>IF($B70="","",IF(Q$3=0,"n.b.",INDEX(SRC_ZPMW03!$A$1:$ZZ$501,$A70,Q$3)))</f>
        <v/>
      </c>
      <c r="R70" s="124" t="str">
        <f>IF($B70="","",IF(R$3=0,"n.b.",INDEX(SRC_ZPMW03!$A$1:$ZZ$501,$A70,R$3)))</f>
        <v/>
      </c>
      <c r="S70" s="124" t="str">
        <f>IF($B70="","",IF(S$3=0,"n.b.",INDEX(SRC_ZPMW03!$A$1:$ZZ$501,$A70,S$3)))</f>
        <v/>
      </c>
      <c r="T70" s="124" t="str">
        <f>IF($B70="","",IF(T$3=0,"n.b.",INDEX(SRC_ZPMW03!$A$1:$ZZ$501,$A70,T$3)))</f>
        <v/>
      </c>
      <c r="U70" s="124" t="str">
        <f>IF($B70="","",IF(U$3=0,"n.b.",INDEX(SRC_ZPMW03!$A$1:$ZZ$501,$A70,U$3)))</f>
        <v/>
      </c>
      <c r="V70" s="124" t="str">
        <f>IF($B70="","",IF(V$3=0,"n.b.",INDEX(SRC_ZPMW03!$A$1:$ZZ$501,$A70,V$3)))</f>
        <v/>
      </c>
      <c r="W70" s="124" t="str">
        <f>IF($B70="","",IF(W$3=0,"n.b.",INDEX(SRC_ZPMW03!$A$1:$ZZ$501,$A70,W$3)))</f>
        <v/>
      </c>
      <c r="X70" s="124" t="str">
        <f>IF($B70="","",IF(X$3=0,"n.b.",INDEX(SRC_ZPMW03!$A$1:$ZZ$501,$A70,X$3)))</f>
        <v/>
      </c>
      <c r="Y70" s="124" t="str">
        <f>IF($B70="","",IF(Y$3=0,"n.b.",INDEX(SRC_ZPMW03!$A$1:$ZZ$501,$A70,Y$3)))</f>
        <v/>
      </c>
      <c r="Z70" s="124" t="str">
        <f>IF($B70="","",IF(Z$3=0,"n.b.",INDEX(SRC_ZPMW03!$A$1:$ZZ$501,$A70,Z$3)))</f>
        <v/>
      </c>
      <c r="AA70" s="124" t="str">
        <f>IF($B70="","",IF(AA$3=0,"n.b.",INDEX(SRC_ZPMW03!$A$1:$ZZ$501,$A70,AA$3)))</f>
        <v/>
      </c>
      <c r="AB70" s="124" t="str">
        <f>IF($B70="","",IF(AB$3=0,"n.b.",INDEX(SRC_ZPMW03!$A$1:$ZZ$501,$A70,AB$3)))</f>
        <v/>
      </c>
      <c r="AC70" s="124" t="str">
        <f>IF($B70="","",IF(AC$3=0,"n.b.",INDEX(SRC_ZPMW03!$A$1:$ZZ$501,$A70,AC$3)))</f>
        <v/>
      </c>
      <c r="AD70" s="124" t="str">
        <f>IF($B70="","",IF(AD$3=0,"n.b.",INDEX(SRC_ZPMW03!$A$1:$ZZ$501,$A70,AD$3)))</f>
        <v/>
      </c>
      <c r="AE70" s="124" t="str">
        <f>IF($B70="","",IF(AE$3=0,"n.b.",INDEX(SRC_ZPMW03!$A$1:$ZZ$501,$A70,AE$3)))</f>
        <v/>
      </c>
      <c r="AF70" s="124" t="str">
        <f>IF($B70="","",IF(AF$3=0,"n.b.",INDEX(SRC_ZPMW03!$A$1:$ZZ$501,$A70,AF$3)))</f>
        <v/>
      </c>
      <c r="AG70" s="124" t="str">
        <f>IF($B70="","",IF(AG$3=0,"n.b.",INDEX(SRC_ZPMW03!$A$1:$ZZ$501,$A70,AG$3)))</f>
        <v/>
      </c>
      <c r="AH70" s="124" t="str">
        <f>IF($B70="","",IF(AH$3=0,"n.b.",INDEX(SRC_ZPMW03!$A$1:$ZZ$501,$A70,AH$3)))</f>
        <v/>
      </c>
      <c r="AI70" s="124" t="str">
        <f>IF($B70="","",IF(AI$3=0,"n.b.",INDEX(SRC_ZPMW03!$A$1:$ZZ$501,$A70,AI$3)))</f>
        <v/>
      </c>
      <c r="AJ70" s="124" t="str">
        <f>IF($B70="","",IF(AJ$3=0,"n.b.",INDEX(SRC_ZPMW03!$A$1:$ZZ$501,$A70,AJ$3)))</f>
        <v/>
      </c>
      <c r="AK70" s="124" t="str">
        <f>IF($B70="","",IF(AK$3=0,"n.b.",INDEX(SRC_ZPMW03!$A$1:$ZZ$501,$A70,AK$3)))</f>
        <v/>
      </c>
      <c r="AL70" s="124" t="str">
        <f>IF($B70="","",IF(AL$3=0,"n.b.",INDEX(SRC_ZPMW03!$A$1:$ZZ$501,$A70,AL$3)))</f>
        <v/>
      </c>
      <c r="AM70" s="124" t="str">
        <f>IF($B70="","",IF(AM$3=0,"n.b.",INDEX(SRC_ZPMW03!$A$1:$ZZ$501,$A70,AM$3)))</f>
        <v/>
      </c>
      <c r="AN70" s="124" t="str">
        <f>IF($B70="","",IF(AN$3=0,"n.b.",INDEX(SRC_ZPMW03!$A$1:$ZZ$501,$A70,AN$3)))</f>
        <v/>
      </c>
      <c r="AO70" s="124" t="str">
        <f>IF($B70="","",IF(AO$3=0,"n.b.",INDEX(SRC_ZPMW03!$A$1:$ZZ$501,$A70,AO$3)))</f>
        <v/>
      </c>
      <c r="AP70" s="124" t="str">
        <f>IF($B70="","",IF(AP$3=0,"n.b.",INDEX(SRC_ZPMW03!$A$1:$ZZ$501,$A70,AP$3)))</f>
        <v/>
      </c>
      <c r="AQ70" s="124" t="str">
        <f>IF($B70="","",IF(AQ$3=0,"n.b.",INDEX(SRC_ZPMW03!$A$1:$ZZ$501,$A70,AQ$3)))</f>
        <v/>
      </c>
      <c r="AR70" s="124" t="str">
        <f>IF($B70="","",IF(AR$3=0,"n.b.",INDEX(SRC_ZPMW03!$A$1:$ZZ$501,$A70,AR$3)))</f>
        <v/>
      </c>
      <c r="AS70" s="124" t="str">
        <f>IF($B70="","",IF(AS$3=0,"n.b.",INDEX(SRC_ZPMW03!$A$1:$ZZ$501,$A70,AS$3)))</f>
        <v/>
      </c>
      <c r="AT70" s="124" t="str">
        <f>IF($B70="","",IF(AT$3=0,"n.b.",INDEX(SRC_ZPMW03!$A$1:$ZZ$501,$A70,AT$3)))</f>
        <v/>
      </c>
      <c r="AU70" s="124" t="str">
        <f>IF($B70="","",IF(AU$3=0,"n.b.",INDEX(SRC_ZPMW03!$A$1:$ZZ$501,$A70,AU$3)))</f>
        <v/>
      </c>
      <c r="AV70" s="124" t="str">
        <f>IF($B70="","",IF(AV$3=0,"n.b.",INDEX(SRC_ZPMW03!$A$1:$ZZ$501,$A70,AV$3)))</f>
        <v/>
      </c>
      <c r="AW70" s="124" t="str">
        <f>IF($B70="","",IF(AW$3=0,"n.b.",INDEX(SRC_ZPMW03!$A$1:$ZZ$501,$A70,AW$3)))</f>
        <v/>
      </c>
      <c r="AX70" s="124" t="str">
        <f>IF($B70="","",IF(AX$3=0,"n.b.",INDEX(SRC_ZPMW03!$A$1:$ZZ$501,$A70,AX$3)))</f>
        <v/>
      </c>
      <c r="AY70" s="124" t="str">
        <f>IF($B70="","",IF(AY$3=0,"n.b.",INDEX(SRC_ZPMW03!$A$1:$ZZ$501,$A70,AY$3)))</f>
        <v/>
      </c>
      <c r="AZ70" s="124" t="str">
        <f>IF($B70="","",IF(AZ$3=0,"n.b.",INDEX(SRC_ZPMW03!$A$1:$ZZ$501,$A70,AZ$3)))</f>
        <v/>
      </c>
      <c r="BA70" s="124" t="str">
        <f>IF($B70="","",IF(BA$3=0,"n.b.",INDEX(SRC_ZPMW03!$A$1:$ZZ$501,$A70,BA$3)))</f>
        <v/>
      </c>
      <c r="BB70" s="124" t="str">
        <f>IF($B70="","",IF(BB$3=0,"n.b.",INDEX(SRC_ZPMW03!$A$1:$ZZ$501,$A70,BB$3)))</f>
        <v/>
      </c>
      <c r="BC70" s="124" t="str">
        <f>IF($B70="","",IF(BC$3=0,"n.b.",INDEX(SRC_ZPMW03!$A$1:$ZZ$501,$A70,BC$3)))</f>
        <v/>
      </c>
      <c r="BD70" s="124" t="str">
        <f>IF($B70="","",IF(BD$3=0,"n.b.",INDEX(SRC_ZPMW03!$A$1:$ZZ$501,$A70,BD$3)))</f>
        <v/>
      </c>
      <c r="BE70" s="124" t="str">
        <f>IF($B70="","",IF(BE$3=0,"n.b.",INDEX(SRC_ZPMW03!$A$1:$ZZ$501,$A70,BE$3)))</f>
        <v/>
      </c>
      <c r="BF70" s="124" t="str">
        <f>IF($B70="","",IF(BF$3=0,"n.b.",INDEX(SRC_ZPMW03!$A$1:$ZZ$501,$A70,BF$3)))</f>
        <v/>
      </c>
      <c r="BG70" t="str">
        <f>IF($B70="","",IF(BG$3=0,"n.b.",INDEX(SRC_ZPMW03!$A$1:$ZZ$501,$A70,BG$3)))</f>
        <v/>
      </c>
      <c r="BH70" t="str">
        <f>IF($B70="","",IF(BH$3=0,"n.b.",INDEX(SRC_ZPMW03!$A$1:$ZZ$501,$A70,BH$3)))</f>
        <v/>
      </c>
      <c r="BI70" t="str">
        <f>IF($B70="","",IF(BI$3=0,"n.b.",INDEX(SRC_ZPMW03!$A$1:$ZZ$501,$A70,BI$3)))</f>
        <v/>
      </c>
      <c r="BJ70" t="str">
        <f>IF($B70="","",IF(BJ$3=0,"n.b.",INDEX(SRC_ZPMW03!$A$1:$ZZ$501,$A70,BJ$3)))</f>
        <v/>
      </c>
      <c r="BK70" s="124" t="str">
        <f>IF($B70="","",IFERROR(-O70,"n.b."))</f>
        <v/>
      </c>
      <c r="BL70" s="124" t="str">
        <f>IF($B70="","",IFERROR(-Q70,"n.b."))</f>
        <v/>
      </c>
      <c r="BM70" s="124" t="str">
        <f>IF($B70="","",IFERROR(-AB70,"n.b."))</f>
        <v/>
      </c>
      <c r="BN70" s="124" t="str">
        <f>IF($B70="","",IFERROR(-AD70,"n.b."))</f>
        <v/>
      </c>
      <c r="BO70" s="124" t="str">
        <f>IF($B70="","",IFERROR(BK70+BM70,"n.b."))</f>
        <v/>
      </c>
      <c r="BP70" s="124" t="str">
        <f>IF($B70="","",IFERROR(BL70+BN70,"n.b."))</f>
        <v/>
      </c>
      <c r="BQ70" s="124" t="str">
        <f>IF($B70="","",IFERROR(-AM70,"n.b."))</f>
        <v/>
      </c>
      <c r="BR70" s="124" t="str">
        <f>IF($B70="","",IFERROR(-AO70,"n.b."))</f>
        <v/>
      </c>
      <c r="BS70" s="124" t="str">
        <f>IF($B70="","",IFERROR(-Z70,"n.b."))</f>
        <v/>
      </c>
      <c r="BT70" s="124" t="str">
        <f>IF($B70="","",IFERROR(-AA70,"n.b."))</f>
        <v/>
      </c>
      <c r="BU70" s="124" t="str">
        <f>IF($B70="","",IFERROR(-AE70,"n.b."))</f>
        <v/>
      </c>
      <c r="BV70" s="124" t="str">
        <f>IF($B70="","",IFERROR(-AF70,"n.b."))</f>
        <v/>
      </c>
      <c r="BW70" s="124" t="str">
        <f>IF($B70="","",IFERROR(-AG70,"n.b."))</f>
        <v/>
      </c>
      <c r="BX70" s="124" t="str">
        <f>IF($B70="","",IFERROR(-AH70,"n.b."))</f>
        <v/>
      </c>
      <c r="BY70" s="124" t="str">
        <f>IF($B70="","",IFERROR(-AI70,"n.b."))</f>
        <v/>
      </c>
      <c r="BZ70" s="124" t="str">
        <f>IF($B70="","",IFERROR(-AJ70,"n.b."))</f>
        <v/>
      </c>
      <c r="CA70" s="124" t="str">
        <f>IF($B70="","",IFERROR(-AK70,"n.b."))</f>
        <v/>
      </c>
      <c r="CB70" s="124" t="str">
        <f>IF($B70="","",IFERROR(-AL70,"n.b."))</f>
        <v/>
      </c>
      <c r="CC70" s="124" t="str">
        <f>IF($B70="","",IFERROR(-AP70,"n.b."))</f>
        <v/>
      </c>
      <c r="CD70" s="124" t="str">
        <f>IF($B70="","",IFERROR(-AQ70,"n.b."))</f>
        <v/>
      </c>
      <c r="CE70" s="124" t="str">
        <f>IF($B70="","",IFERROR(-AR70,"n.b."))</f>
        <v/>
      </c>
      <c r="CF70" s="124" t="str">
        <f>IF($B70="","",IFERROR(-AS70,"n.b."))</f>
        <v/>
      </c>
      <c r="CG70" s="124" t="str">
        <f>IF($B70="","",IFERROR(-AT70,"n.b."))</f>
        <v/>
      </c>
      <c r="CH70" s="124" t="str">
        <f>IF($B70="","",IFERROR(-AU70,"n.b."))</f>
        <v/>
      </c>
      <c r="CI70" s="124" t="str">
        <f>IF($B70="","",IFERROR(-AV70,"n.b."))</f>
        <v/>
      </c>
      <c r="CJ70" s="124" t="str">
        <f>IF($B70="","",IFERROR(-AW70,"n.b."))</f>
        <v/>
      </c>
      <c r="CK70" s="124" t="str">
        <f>IF($B70="","",IFERROR(-AX70,"n.b."))</f>
        <v/>
      </c>
      <c r="CL70" s="124" t="str">
        <f>IF($B70="","",IFERROR(-AY70,"n.b."))</f>
        <v/>
      </c>
      <c r="CM70" s="124" t="str">
        <f>IF($B70="","",IFERROR(-AZ70,"n.b."))</f>
        <v/>
      </c>
      <c r="CN70" s="124" t="str">
        <f>IF($B70="","",IFERROR(-BA70,"n.b."))</f>
        <v/>
      </c>
      <c r="CO70" s="124" t="str">
        <f>IF($B70="","",IFERROR(-BB70,"n.b."))</f>
        <v/>
      </c>
      <c r="CP70" s="124" t="str">
        <f>IF($B70="","",IFERROR(-BC70,"n.b."))</f>
        <v/>
      </c>
      <c r="CQ70" s="124" t="str">
        <f>IF($B70="","",IFERROR(-BD70,"n.b."))</f>
        <v/>
      </c>
      <c r="CR70" s="124" t="str">
        <f>IF($B70="","",IFERROR(-BE70,"n.b."))</f>
        <v/>
      </c>
      <c r="CS70" s="124" t="str">
        <f>IF($B70="","",IFERROR(IF(OR(ABS(T70+V70+X70+Z70-AB70)&gt;P_Tol,ABS(U70+W70+Y70+AA70-AD70)&gt;P_Tol,ABS(AE70+AG70+AI70+AK70-AM70)&gt;P_Tol,ABS(AF70+AH70+AJ70+AL70-AO70)&gt;P_Tol),1,0),1))</f>
        <v/>
      </c>
      <c r="CT70" s="124" t="str">
        <f>IF($B70="","",IFERROR(IF(OR(ABS(AB70+AC70-AD70)&gt;P_Tol,ABS(AM70+AN70-AO70)&gt;P_Tol,ABS(O70+P70-Q70)&gt;P_Tol),1,0),1))</f>
        <v/>
      </c>
      <c r="CU70" s="124" t="str">
        <f>IF($B70="","",IFERROR(IF(ABS(R70-(AB70+AM70+AP70+AR70+AT70+AV70+AX70+AZ70+BB70+BD70))&gt;P_Tol,1,0),1))</f>
        <v/>
      </c>
      <c r="CV70" s="124" t="str">
        <f>IF($B70="","",IFERROR(IF(ABS(M70-(N70+O70+R70))&gt;P_Tol,1,0),1))</f>
        <v/>
      </c>
      <c r="CW70" s="124" t="str">
        <f>IF($B70="","",IF(COUNTIF(Mapping!$A$5:$A$104,B70)&gt;0,1,0))</f>
        <v/>
      </c>
      <c r="CX70" s="124" t="str">
        <f>IF($B70="","",COUNTIF($B$6:$B$505,B70))</f>
        <v/>
      </c>
      <c r="CY70" s="124" t="str">
        <f>IF($B70="","",COUNTIF(STG_Woningetalage!$B$6:$B$505,B70))</f>
        <v/>
      </c>
      <c r="CZ70" s="124" t="str">
        <f>IF($B70="","",IF(CW70=0,COUNTIF($CW$6:CW70,0),""))</f>
        <v/>
      </c>
    </row>
    <row r="71">
      <c r="A71" s="15" t="n">
        <v>67</v>
      </c>
      <c r="B71" t="str">
        <f>IF(B$3=0,"",IF(INDEX(SRC_ZPMW03!$A$1:$ZZ$501,$A71,B$3)&amp;""="","",INDEX(SRC_ZPMW03!$A$1:$ZZ$501,$A71,B$3)&amp;""))</f>
        <v/>
      </c>
      <c r="C71" t="str">
        <f>IF($B71="","",IF(C$3=0,"n.b.",INDEX(SRC_ZPMW03!$A$1:$ZZ$501,$A71,C$3)))</f>
        <v/>
      </c>
      <c r="D71" t="str">
        <f>IF($B71="","",IF(D$3=0,"n.b.",INDEX(SRC_ZPMW03!$A$1:$ZZ$501,$A71,D$3)))</f>
        <v/>
      </c>
      <c r="E71" t="str">
        <f>IF($B71="","",IF(E$3=0,"n.b.",INDEX(SRC_ZPMW03!$A$1:$ZZ$501,$A71,E$3)))</f>
        <v/>
      </c>
      <c r="F71" t="str">
        <f>IF($B71="","",IF(F$3=0,"n.b.",INDEX(SRC_ZPMW03!$A$1:$ZZ$501,$A71,F$3)))</f>
        <v/>
      </c>
      <c r="G71" t="str">
        <f>IF($B71="","",IF(G$3=0,"n.b.",INDEX(SRC_ZPMW03!$A$1:$ZZ$501,$A71,G$3)))</f>
        <v/>
      </c>
      <c r="H71" t="str">
        <f>IF($B71="","",IF(H$3=0,"n.b.",INDEX(SRC_ZPMW03!$A$1:$ZZ$501,$A71,H$3)))</f>
        <v/>
      </c>
      <c r="I71" t="str">
        <f>IF($B71="","",IF(I$3=0,"n.b.",INDEX(SRC_ZPMW03!$A$1:$ZZ$501,$A71,I$3)))</f>
        <v/>
      </c>
      <c r="J71" t="str">
        <f>IF($B71="","",IF(J$3=0,"n.b.",INDEX(SRC_ZPMW03!$A$1:$ZZ$501,$A71,J$3)))</f>
        <v/>
      </c>
      <c r="K71" t="str">
        <f>IF($B71="","",IF(K$3=0,"n.b.",INDEX(SRC_ZPMW03!$A$1:$ZZ$501,$A71,K$3)))</f>
        <v/>
      </c>
      <c r="L71" s="124" t="str">
        <f>IF($B71="","",IF(L$3=0,"n.b.",INDEX(SRC_ZPMW03!$A$1:$ZZ$501,$A71,L$3)))</f>
        <v/>
      </c>
      <c r="M71" s="124" t="str">
        <f>IF($B71="","",IF(M$3=0,"n.b.",INDEX(SRC_ZPMW03!$A$1:$ZZ$501,$A71,M$3)))</f>
        <v/>
      </c>
      <c r="N71" s="124" t="str">
        <f>IF($B71="","",IF(N$3=0,"n.b.",INDEX(SRC_ZPMW03!$A$1:$ZZ$501,$A71,N$3)))</f>
        <v/>
      </c>
      <c r="O71" s="124" t="str">
        <f>IF($B71="","",IF(O$3=0,"n.b.",INDEX(SRC_ZPMW03!$A$1:$ZZ$501,$A71,O$3)))</f>
        <v/>
      </c>
      <c r="P71" s="124" t="str">
        <f>IF($B71="","",IF(P$3=0,"n.b.",INDEX(SRC_ZPMW03!$A$1:$ZZ$501,$A71,P$3)))</f>
        <v/>
      </c>
      <c r="Q71" s="124" t="str">
        <f>IF($B71="","",IF(Q$3=0,"n.b.",INDEX(SRC_ZPMW03!$A$1:$ZZ$501,$A71,Q$3)))</f>
        <v/>
      </c>
      <c r="R71" s="124" t="str">
        <f>IF($B71="","",IF(R$3=0,"n.b.",INDEX(SRC_ZPMW03!$A$1:$ZZ$501,$A71,R$3)))</f>
        <v/>
      </c>
      <c r="S71" s="124" t="str">
        <f>IF($B71="","",IF(S$3=0,"n.b.",INDEX(SRC_ZPMW03!$A$1:$ZZ$501,$A71,S$3)))</f>
        <v/>
      </c>
      <c r="T71" s="124" t="str">
        <f>IF($B71="","",IF(T$3=0,"n.b.",INDEX(SRC_ZPMW03!$A$1:$ZZ$501,$A71,T$3)))</f>
        <v/>
      </c>
      <c r="U71" s="124" t="str">
        <f>IF($B71="","",IF(U$3=0,"n.b.",INDEX(SRC_ZPMW03!$A$1:$ZZ$501,$A71,U$3)))</f>
        <v/>
      </c>
      <c r="V71" s="124" t="str">
        <f>IF($B71="","",IF(V$3=0,"n.b.",INDEX(SRC_ZPMW03!$A$1:$ZZ$501,$A71,V$3)))</f>
        <v/>
      </c>
      <c r="W71" s="124" t="str">
        <f>IF($B71="","",IF(W$3=0,"n.b.",INDEX(SRC_ZPMW03!$A$1:$ZZ$501,$A71,W$3)))</f>
        <v/>
      </c>
      <c r="X71" s="124" t="str">
        <f>IF($B71="","",IF(X$3=0,"n.b.",INDEX(SRC_ZPMW03!$A$1:$ZZ$501,$A71,X$3)))</f>
        <v/>
      </c>
      <c r="Y71" s="124" t="str">
        <f>IF($B71="","",IF(Y$3=0,"n.b.",INDEX(SRC_ZPMW03!$A$1:$ZZ$501,$A71,Y$3)))</f>
        <v/>
      </c>
      <c r="Z71" s="124" t="str">
        <f>IF($B71="","",IF(Z$3=0,"n.b.",INDEX(SRC_ZPMW03!$A$1:$ZZ$501,$A71,Z$3)))</f>
        <v/>
      </c>
      <c r="AA71" s="124" t="str">
        <f>IF($B71="","",IF(AA$3=0,"n.b.",INDEX(SRC_ZPMW03!$A$1:$ZZ$501,$A71,AA$3)))</f>
        <v/>
      </c>
      <c r="AB71" s="124" t="str">
        <f>IF($B71="","",IF(AB$3=0,"n.b.",INDEX(SRC_ZPMW03!$A$1:$ZZ$501,$A71,AB$3)))</f>
        <v/>
      </c>
      <c r="AC71" s="124" t="str">
        <f>IF($B71="","",IF(AC$3=0,"n.b.",INDEX(SRC_ZPMW03!$A$1:$ZZ$501,$A71,AC$3)))</f>
        <v/>
      </c>
      <c r="AD71" s="124" t="str">
        <f>IF($B71="","",IF(AD$3=0,"n.b.",INDEX(SRC_ZPMW03!$A$1:$ZZ$501,$A71,AD$3)))</f>
        <v/>
      </c>
      <c r="AE71" s="124" t="str">
        <f>IF($B71="","",IF(AE$3=0,"n.b.",INDEX(SRC_ZPMW03!$A$1:$ZZ$501,$A71,AE$3)))</f>
        <v/>
      </c>
      <c r="AF71" s="124" t="str">
        <f>IF($B71="","",IF(AF$3=0,"n.b.",INDEX(SRC_ZPMW03!$A$1:$ZZ$501,$A71,AF$3)))</f>
        <v/>
      </c>
      <c r="AG71" s="124" t="str">
        <f>IF($B71="","",IF(AG$3=0,"n.b.",INDEX(SRC_ZPMW03!$A$1:$ZZ$501,$A71,AG$3)))</f>
        <v/>
      </c>
      <c r="AH71" s="124" t="str">
        <f>IF($B71="","",IF(AH$3=0,"n.b.",INDEX(SRC_ZPMW03!$A$1:$ZZ$501,$A71,AH$3)))</f>
        <v/>
      </c>
      <c r="AI71" s="124" t="str">
        <f>IF($B71="","",IF(AI$3=0,"n.b.",INDEX(SRC_ZPMW03!$A$1:$ZZ$501,$A71,AI$3)))</f>
        <v/>
      </c>
      <c r="AJ71" s="124" t="str">
        <f>IF($B71="","",IF(AJ$3=0,"n.b.",INDEX(SRC_ZPMW03!$A$1:$ZZ$501,$A71,AJ$3)))</f>
        <v/>
      </c>
      <c r="AK71" s="124" t="str">
        <f>IF($B71="","",IF(AK$3=0,"n.b.",INDEX(SRC_ZPMW03!$A$1:$ZZ$501,$A71,AK$3)))</f>
        <v/>
      </c>
      <c r="AL71" s="124" t="str">
        <f>IF($B71="","",IF(AL$3=0,"n.b.",INDEX(SRC_ZPMW03!$A$1:$ZZ$501,$A71,AL$3)))</f>
        <v/>
      </c>
      <c r="AM71" s="124" t="str">
        <f>IF($B71="","",IF(AM$3=0,"n.b.",INDEX(SRC_ZPMW03!$A$1:$ZZ$501,$A71,AM$3)))</f>
        <v/>
      </c>
      <c r="AN71" s="124" t="str">
        <f>IF($B71="","",IF(AN$3=0,"n.b.",INDEX(SRC_ZPMW03!$A$1:$ZZ$501,$A71,AN$3)))</f>
        <v/>
      </c>
      <c r="AO71" s="124" t="str">
        <f>IF($B71="","",IF(AO$3=0,"n.b.",INDEX(SRC_ZPMW03!$A$1:$ZZ$501,$A71,AO$3)))</f>
        <v/>
      </c>
      <c r="AP71" s="124" t="str">
        <f>IF($B71="","",IF(AP$3=0,"n.b.",INDEX(SRC_ZPMW03!$A$1:$ZZ$501,$A71,AP$3)))</f>
        <v/>
      </c>
      <c r="AQ71" s="124" t="str">
        <f>IF($B71="","",IF(AQ$3=0,"n.b.",INDEX(SRC_ZPMW03!$A$1:$ZZ$501,$A71,AQ$3)))</f>
        <v/>
      </c>
      <c r="AR71" s="124" t="str">
        <f>IF($B71="","",IF(AR$3=0,"n.b.",INDEX(SRC_ZPMW03!$A$1:$ZZ$501,$A71,AR$3)))</f>
        <v/>
      </c>
      <c r="AS71" s="124" t="str">
        <f>IF($B71="","",IF(AS$3=0,"n.b.",INDEX(SRC_ZPMW03!$A$1:$ZZ$501,$A71,AS$3)))</f>
        <v/>
      </c>
      <c r="AT71" s="124" t="str">
        <f>IF($B71="","",IF(AT$3=0,"n.b.",INDEX(SRC_ZPMW03!$A$1:$ZZ$501,$A71,AT$3)))</f>
        <v/>
      </c>
      <c r="AU71" s="124" t="str">
        <f>IF($B71="","",IF(AU$3=0,"n.b.",INDEX(SRC_ZPMW03!$A$1:$ZZ$501,$A71,AU$3)))</f>
        <v/>
      </c>
      <c r="AV71" s="124" t="str">
        <f>IF($B71="","",IF(AV$3=0,"n.b.",INDEX(SRC_ZPMW03!$A$1:$ZZ$501,$A71,AV$3)))</f>
        <v/>
      </c>
      <c r="AW71" s="124" t="str">
        <f>IF($B71="","",IF(AW$3=0,"n.b.",INDEX(SRC_ZPMW03!$A$1:$ZZ$501,$A71,AW$3)))</f>
        <v/>
      </c>
      <c r="AX71" s="124" t="str">
        <f>IF($B71="","",IF(AX$3=0,"n.b.",INDEX(SRC_ZPMW03!$A$1:$ZZ$501,$A71,AX$3)))</f>
        <v/>
      </c>
      <c r="AY71" s="124" t="str">
        <f>IF($B71="","",IF(AY$3=0,"n.b.",INDEX(SRC_ZPMW03!$A$1:$ZZ$501,$A71,AY$3)))</f>
        <v/>
      </c>
      <c r="AZ71" s="124" t="str">
        <f>IF($B71="","",IF(AZ$3=0,"n.b.",INDEX(SRC_ZPMW03!$A$1:$ZZ$501,$A71,AZ$3)))</f>
        <v/>
      </c>
      <c r="BA71" s="124" t="str">
        <f>IF($B71="","",IF(BA$3=0,"n.b.",INDEX(SRC_ZPMW03!$A$1:$ZZ$501,$A71,BA$3)))</f>
        <v/>
      </c>
      <c r="BB71" s="124" t="str">
        <f>IF($B71="","",IF(BB$3=0,"n.b.",INDEX(SRC_ZPMW03!$A$1:$ZZ$501,$A71,BB$3)))</f>
        <v/>
      </c>
      <c r="BC71" s="124" t="str">
        <f>IF($B71="","",IF(BC$3=0,"n.b.",INDEX(SRC_ZPMW03!$A$1:$ZZ$501,$A71,BC$3)))</f>
        <v/>
      </c>
      <c r="BD71" s="124" t="str">
        <f>IF($B71="","",IF(BD$3=0,"n.b.",INDEX(SRC_ZPMW03!$A$1:$ZZ$501,$A71,BD$3)))</f>
        <v/>
      </c>
      <c r="BE71" s="124" t="str">
        <f>IF($B71="","",IF(BE$3=0,"n.b.",INDEX(SRC_ZPMW03!$A$1:$ZZ$501,$A71,BE$3)))</f>
        <v/>
      </c>
      <c r="BF71" s="124" t="str">
        <f>IF($B71="","",IF(BF$3=0,"n.b.",INDEX(SRC_ZPMW03!$A$1:$ZZ$501,$A71,BF$3)))</f>
        <v/>
      </c>
      <c r="BG71" t="str">
        <f>IF($B71="","",IF(BG$3=0,"n.b.",INDEX(SRC_ZPMW03!$A$1:$ZZ$501,$A71,BG$3)))</f>
        <v/>
      </c>
      <c r="BH71" t="str">
        <f>IF($B71="","",IF(BH$3=0,"n.b.",INDEX(SRC_ZPMW03!$A$1:$ZZ$501,$A71,BH$3)))</f>
        <v/>
      </c>
      <c r="BI71" t="str">
        <f>IF($B71="","",IF(BI$3=0,"n.b.",INDEX(SRC_ZPMW03!$A$1:$ZZ$501,$A71,BI$3)))</f>
        <v/>
      </c>
      <c r="BJ71" t="str">
        <f>IF($B71="","",IF(BJ$3=0,"n.b.",INDEX(SRC_ZPMW03!$A$1:$ZZ$501,$A71,BJ$3)))</f>
        <v/>
      </c>
      <c r="BK71" s="124" t="str">
        <f>IF($B71="","",IFERROR(-O71,"n.b."))</f>
        <v/>
      </c>
      <c r="BL71" s="124" t="str">
        <f>IF($B71="","",IFERROR(-Q71,"n.b."))</f>
        <v/>
      </c>
      <c r="BM71" s="124" t="str">
        <f>IF($B71="","",IFERROR(-AB71,"n.b."))</f>
        <v/>
      </c>
      <c r="BN71" s="124" t="str">
        <f>IF($B71="","",IFERROR(-AD71,"n.b."))</f>
        <v/>
      </c>
      <c r="BO71" s="124" t="str">
        <f>IF($B71="","",IFERROR(BK71+BM71,"n.b."))</f>
        <v/>
      </c>
      <c r="BP71" s="124" t="str">
        <f>IF($B71="","",IFERROR(BL71+BN71,"n.b."))</f>
        <v/>
      </c>
      <c r="BQ71" s="124" t="str">
        <f>IF($B71="","",IFERROR(-AM71,"n.b."))</f>
        <v/>
      </c>
      <c r="BR71" s="124" t="str">
        <f>IF($B71="","",IFERROR(-AO71,"n.b."))</f>
        <v/>
      </c>
      <c r="BS71" s="124" t="str">
        <f>IF($B71="","",IFERROR(-Z71,"n.b."))</f>
        <v/>
      </c>
      <c r="BT71" s="124" t="str">
        <f>IF($B71="","",IFERROR(-AA71,"n.b."))</f>
        <v/>
      </c>
      <c r="BU71" s="124" t="str">
        <f>IF($B71="","",IFERROR(-AE71,"n.b."))</f>
        <v/>
      </c>
      <c r="BV71" s="124" t="str">
        <f>IF($B71="","",IFERROR(-AF71,"n.b."))</f>
        <v/>
      </c>
      <c r="BW71" s="124" t="str">
        <f>IF($B71="","",IFERROR(-AG71,"n.b."))</f>
        <v/>
      </c>
      <c r="BX71" s="124" t="str">
        <f>IF($B71="","",IFERROR(-AH71,"n.b."))</f>
        <v/>
      </c>
      <c r="BY71" s="124" t="str">
        <f>IF($B71="","",IFERROR(-AI71,"n.b."))</f>
        <v/>
      </c>
      <c r="BZ71" s="124" t="str">
        <f>IF($B71="","",IFERROR(-AJ71,"n.b."))</f>
        <v/>
      </c>
      <c r="CA71" s="124" t="str">
        <f>IF($B71="","",IFERROR(-AK71,"n.b."))</f>
        <v/>
      </c>
      <c r="CB71" s="124" t="str">
        <f>IF($B71="","",IFERROR(-AL71,"n.b."))</f>
        <v/>
      </c>
      <c r="CC71" s="124" t="str">
        <f>IF($B71="","",IFERROR(-AP71,"n.b."))</f>
        <v/>
      </c>
      <c r="CD71" s="124" t="str">
        <f>IF($B71="","",IFERROR(-AQ71,"n.b."))</f>
        <v/>
      </c>
      <c r="CE71" s="124" t="str">
        <f>IF($B71="","",IFERROR(-AR71,"n.b."))</f>
        <v/>
      </c>
      <c r="CF71" s="124" t="str">
        <f>IF($B71="","",IFERROR(-AS71,"n.b."))</f>
        <v/>
      </c>
      <c r="CG71" s="124" t="str">
        <f>IF($B71="","",IFERROR(-AT71,"n.b."))</f>
        <v/>
      </c>
      <c r="CH71" s="124" t="str">
        <f>IF($B71="","",IFERROR(-AU71,"n.b."))</f>
        <v/>
      </c>
      <c r="CI71" s="124" t="str">
        <f>IF($B71="","",IFERROR(-AV71,"n.b."))</f>
        <v/>
      </c>
      <c r="CJ71" s="124" t="str">
        <f>IF($B71="","",IFERROR(-AW71,"n.b."))</f>
        <v/>
      </c>
      <c r="CK71" s="124" t="str">
        <f>IF($B71="","",IFERROR(-AX71,"n.b."))</f>
        <v/>
      </c>
      <c r="CL71" s="124" t="str">
        <f>IF($B71="","",IFERROR(-AY71,"n.b."))</f>
        <v/>
      </c>
      <c r="CM71" s="124" t="str">
        <f>IF($B71="","",IFERROR(-AZ71,"n.b."))</f>
        <v/>
      </c>
      <c r="CN71" s="124" t="str">
        <f>IF($B71="","",IFERROR(-BA71,"n.b."))</f>
        <v/>
      </c>
      <c r="CO71" s="124" t="str">
        <f>IF($B71="","",IFERROR(-BB71,"n.b."))</f>
        <v/>
      </c>
      <c r="CP71" s="124" t="str">
        <f>IF($B71="","",IFERROR(-BC71,"n.b."))</f>
        <v/>
      </c>
      <c r="CQ71" s="124" t="str">
        <f>IF($B71="","",IFERROR(-BD71,"n.b."))</f>
        <v/>
      </c>
      <c r="CR71" s="124" t="str">
        <f>IF($B71="","",IFERROR(-BE71,"n.b."))</f>
        <v/>
      </c>
      <c r="CS71" s="124" t="str">
        <f>IF($B71="","",IFERROR(IF(OR(ABS(T71+V71+X71+Z71-AB71)&gt;P_Tol,ABS(U71+W71+Y71+AA71-AD71)&gt;P_Tol,ABS(AE71+AG71+AI71+AK71-AM71)&gt;P_Tol,ABS(AF71+AH71+AJ71+AL71-AO71)&gt;P_Tol),1,0),1))</f>
        <v/>
      </c>
      <c r="CT71" s="124" t="str">
        <f>IF($B71="","",IFERROR(IF(OR(ABS(AB71+AC71-AD71)&gt;P_Tol,ABS(AM71+AN71-AO71)&gt;P_Tol,ABS(O71+P71-Q71)&gt;P_Tol),1,0),1))</f>
        <v/>
      </c>
      <c r="CU71" s="124" t="str">
        <f>IF($B71="","",IFERROR(IF(ABS(R71-(AB71+AM71+AP71+AR71+AT71+AV71+AX71+AZ71+BB71+BD71))&gt;P_Tol,1,0),1))</f>
        <v/>
      </c>
      <c r="CV71" s="124" t="str">
        <f>IF($B71="","",IFERROR(IF(ABS(M71-(N71+O71+R71))&gt;P_Tol,1,0),1))</f>
        <v/>
      </c>
      <c r="CW71" s="124" t="str">
        <f>IF($B71="","",IF(COUNTIF(Mapping!$A$5:$A$104,B71)&gt;0,1,0))</f>
        <v/>
      </c>
      <c r="CX71" s="124" t="str">
        <f>IF($B71="","",COUNTIF($B$6:$B$505,B71))</f>
        <v/>
      </c>
      <c r="CY71" s="124" t="str">
        <f>IF($B71="","",COUNTIF(STG_Woningetalage!$B$6:$B$505,B71))</f>
        <v/>
      </c>
      <c r="CZ71" s="124" t="str">
        <f>IF($B71="","",IF(CW71=0,COUNTIF($CW$6:CW71,0),""))</f>
        <v/>
      </c>
    </row>
    <row r="72">
      <c r="A72" s="15" t="n">
        <v>68</v>
      </c>
      <c r="B72" t="str">
        <f>IF(B$3=0,"",IF(INDEX(SRC_ZPMW03!$A$1:$ZZ$501,$A72,B$3)&amp;""="","",INDEX(SRC_ZPMW03!$A$1:$ZZ$501,$A72,B$3)&amp;""))</f>
        <v/>
      </c>
      <c r="C72" t="str">
        <f>IF($B72="","",IF(C$3=0,"n.b.",INDEX(SRC_ZPMW03!$A$1:$ZZ$501,$A72,C$3)))</f>
        <v/>
      </c>
      <c r="D72" t="str">
        <f>IF($B72="","",IF(D$3=0,"n.b.",INDEX(SRC_ZPMW03!$A$1:$ZZ$501,$A72,D$3)))</f>
        <v/>
      </c>
      <c r="E72" t="str">
        <f>IF($B72="","",IF(E$3=0,"n.b.",INDEX(SRC_ZPMW03!$A$1:$ZZ$501,$A72,E$3)))</f>
        <v/>
      </c>
      <c r="F72" t="str">
        <f>IF($B72="","",IF(F$3=0,"n.b.",INDEX(SRC_ZPMW03!$A$1:$ZZ$501,$A72,F$3)))</f>
        <v/>
      </c>
      <c r="G72" t="str">
        <f>IF($B72="","",IF(G$3=0,"n.b.",INDEX(SRC_ZPMW03!$A$1:$ZZ$501,$A72,G$3)))</f>
        <v/>
      </c>
      <c r="H72" t="str">
        <f>IF($B72="","",IF(H$3=0,"n.b.",INDEX(SRC_ZPMW03!$A$1:$ZZ$501,$A72,H$3)))</f>
        <v/>
      </c>
      <c r="I72" t="str">
        <f>IF($B72="","",IF(I$3=0,"n.b.",INDEX(SRC_ZPMW03!$A$1:$ZZ$501,$A72,I$3)))</f>
        <v/>
      </c>
      <c r="J72" t="str">
        <f>IF($B72="","",IF(J$3=0,"n.b.",INDEX(SRC_ZPMW03!$A$1:$ZZ$501,$A72,J$3)))</f>
        <v/>
      </c>
      <c r="K72" t="str">
        <f>IF($B72="","",IF(K$3=0,"n.b.",INDEX(SRC_ZPMW03!$A$1:$ZZ$501,$A72,K$3)))</f>
        <v/>
      </c>
      <c r="L72" s="124" t="str">
        <f>IF($B72="","",IF(L$3=0,"n.b.",INDEX(SRC_ZPMW03!$A$1:$ZZ$501,$A72,L$3)))</f>
        <v/>
      </c>
      <c r="M72" s="124" t="str">
        <f>IF($B72="","",IF(M$3=0,"n.b.",INDEX(SRC_ZPMW03!$A$1:$ZZ$501,$A72,M$3)))</f>
        <v/>
      </c>
      <c r="N72" s="124" t="str">
        <f>IF($B72="","",IF(N$3=0,"n.b.",INDEX(SRC_ZPMW03!$A$1:$ZZ$501,$A72,N$3)))</f>
        <v/>
      </c>
      <c r="O72" s="124" t="str">
        <f>IF($B72="","",IF(O$3=0,"n.b.",INDEX(SRC_ZPMW03!$A$1:$ZZ$501,$A72,O$3)))</f>
        <v/>
      </c>
      <c r="P72" s="124" t="str">
        <f>IF($B72="","",IF(P$3=0,"n.b.",INDEX(SRC_ZPMW03!$A$1:$ZZ$501,$A72,P$3)))</f>
        <v/>
      </c>
      <c r="Q72" s="124" t="str">
        <f>IF($B72="","",IF(Q$3=0,"n.b.",INDEX(SRC_ZPMW03!$A$1:$ZZ$501,$A72,Q$3)))</f>
        <v/>
      </c>
      <c r="R72" s="124" t="str">
        <f>IF($B72="","",IF(R$3=0,"n.b.",INDEX(SRC_ZPMW03!$A$1:$ZZ$501,$A72,R$3)))</f>
        <v/>
      </c>
      <c r="S72" s="124" t="str">
        <f>IF($B72="","",IF(S$3=0,"n.b.",INDEX(SRC_ZPMW03!$A$1:$ZZ$501,$A72,S$3)))</f>
        <v/>
      </c>
      <c r="T72" s="124" t="str">
        <f>IF($B72="","",IF(T$3=0,"n.b.",INDEX(SRC_ZPMW03!$A$1:$ZZ$501,$A72,T$3)))</f>
        <v/>
      </c>
      <c r="U72" s="124" t="str">
        <f>IF($B72="","",IF(U$3=0,"n.b.",INDEX(SRC_ZPMW03!$A$1:$ZZ$501,$A72,U$3)))</f>
        <v/>
      </c>
      <c r="V72" s="124" t="str">
        <f>IF($B72="","",IF(V$3=0,"n.b.",INDEX(SRC_ZPMW03!$A$1:$ZZ$501,$A72,V$3)))</f>
        <v/>
      </c>
      <c r="W72" s="124" t="str">
        <f>IF($B72="","",IF(W$3=0,"n.b.",INDEX(SRC_ZPMW03!$A$1:$ZZ$501,$A72,W$3)))</f>
        <v/>
      </c>
      <c r="X72" s="124" t="str">
        <f>IF($B72="","",IF(X$3=0,"n.b.",INDEX(SRC_ZPMW03!$A$1:$ZZ$501,$A72,X$3)))</f>
        <v/>
      </c>
      <c r="Y72" s="124" t="str">
        <f>IF($B72="","",IF(Y$3=0,"n.b.",INDEX(SRC_ZPMW03!$A$1:$ZZ$501,$A72,Y$3)))</f>
        <v/>
      </c>
      <c r="Z72" s="124" t="str">
        <f>IF($B72="","",IF(Z$3=0,"n.b.",INDEX(SRC_ZPMW03!$A$1:$ZZ$501,$A72,Z$3)))</f>
        <v/>
      </c>
      <c r="AA72" s="124" t="str">
        <f>IF($B72="","",IF(AA$3=0,"n.b.",INDEX(SRC_ZPMW03!$A$1:$ZZ$501,$A72,AA$3)))</f>
        <v/>
      </c>
      <c r="AB72" s="124" t="str">
        <f>IF($B72="","",IF(AB$3=0,"n.b.",INDEX(SRC_ZPMW03!$A$1:$ZZ$501,$A72,AB$3)))</f>
        <v/>
      </c>
      <c r="AC72" s="124" t="str">
        <f>IF($B72="","",IF(AC$3=0,"n.b.",INDEX(SRC_ZPMW03!$A$1:$ZZ$501,$A72,AC$3)))</f>
        <v/>
      </c>
      <c r="AD72" s="124" t="str">
        <f>IF($B72="","",IF(AD$3=0,"n.b.",INDEX(SRC_ZPMW03!$A$1:$ZZ$501,$A72,AD$3)))</f>
        <v/>
      </c>
      <c r="AE72" s="124" t="str">
        <f>IF($B72="","",IF(AE$3=0,"n.b.",INDEX(SRC_ZPMW03!$A$1:$ZZ$501,$A72,AE$3)))</f>
        <v/>
      </c>
      <c r="AF72" s="124" t="str">
        <f>IF($B72="","",IF(AF$3=0,"n.b.",INDEX(SRC_ZPMW03!$A$1:$ZZ$501,$A72,AF$3)))</f>
        <v/>
      </c>
      <c r="AG72" s="124" t="str">
        <f>IF($B72="","",IF(AG$3=0,"n.b.",INDEX(SRC_ZPMW03!$A$1:$ZZ$501,$A72,AG$3)))</f>
        <v/>
      </c>
      <c r="AH72" s="124" t="str">
        <f>IF($B72="","",IF(AH$3=0,"n.b.",INDEX(SRC_ZPMW03!$A$1:$ZZ$501,$A72,AH$3)))</f>
        <v/>
      </c>
      <c r="AI72" s="124" t="str">
        <f>IF($B72="","",IF(AI$3=0,"n.b.",INDEX(SRC_ZPMW03!$A$1:$ZZ$501,$A72,AI$3)))</f>
        <v/>
      </c>
      <c r="AJ72" s="124" t="str">
        <f>IF($B72="","",IF(AJ$3=0,"n.b.",INDEX(SRC_ZPMW03!$A$1:$ZZ$501,$A72,AJ$3)))</f>
        <v/>
      </c>
      <c r="AK72" s="124" t="str">
        <f>IF($B72="","",IF(AK$3=0,"n.b.",INDEX(SRC_ZPMW03!$A$1:$ZZ$501,$A72,AK$3)))</f>
        <v/>
      </c>
      <c r="AL72" s="124" t="str">
        <f>IF($B72="","",IF(AL$3=0,"n.b.",INDEX(SRC_ZPMW03!$A$1:$ZZ$501,$A72,AL$3)))</f>
        <v/>
      </c>
      <c r="AM72" s="124" t="str">
        <f>IF($B72="","",IF(AM$3=0,"n.b.",INDEX(SRC_ZPMW03!$A$1:$ZZ$501,$A72,AM$3)))</f>
        <v/>
      </c>
      <c r="AN72" s="124" t="str">
        <f>IF($B72="","",IF(AN$3=0,"n.b.",INDEX(SRC_ZPMW03!$A$1:$ZZ$501,$A72,AN$3)))</f>
        <v/>
      </c>
      <c r="AO72" s="124" t="str">
        <f>IF($B72="","",IF(AO$3=0,"n.b.",INDEX(SRC_ZPMW03!$A$1:$ZZ$501,$A72,AO$3)))</f>
        <v/>
      </c>
      <c r="AP72" s="124" t="str">
        <f>IF($B72="","",IF(AP$3=0,"n.b.",INDEX(SRC_ZPMW03!$A$1:$ZZ$501,$A72,AP$3)))</f>
        <v/>
      </c>
      <c r="AQ72" s="124" t="str">
        <f>IF($B72="","",IF(AQ$3=0,"n.b.",INDEX(SRC_ZPMW03!$A$1:$ZZ$501,$A72,AQ$3)))</f>
        <v/>
      </c>
      <c r="AR72" s="124" t="str">
        <f>IF($B72="","",IF(AR$3=0,"n.b.",INDEX(SRC_ZPMW03!$A$1:$ZZ$501,$A72,AR$3)))</f>
        <v/>
      </c>
      <c r="AS72" s="124" t="str">
        <f>IF($B72="","",IF(AS$3=0,"n.b.",INDEX(SRC_ZPMW03!$A$1:$ZZ$501,$A72,AS$3)))</f>
        <v/>
      </c>
      <c r="AT72" s="124" t="str">
        <f>IF($B72="","",IF(AT$3=0,"n.b.",INDEX(SRC_ZPMW03!$A$1:$ZZ$501,$A72,AT$3)))</f>
        <v/>
      </c>
      <c r="AU72" s="124" t="str">
        <f>IF($B72="","",IF(AU$3=0,"n.b.",INDEX(SRC_ZPMW03!$A$1:$ZZ$501,$A72,AU$3)))</f>
        <v/>
      </c>
      <c r="AV72" s="124" t="str">
        <f>IF($B72="","",IF(AV$3=0,"n.b.",INDEX(SRC_ZPMW03!$A$1:$ZZ$501,$A72,AV$3)))</f>
        <v/>
      </c>
      <c r="AW72" s="124" t="str">
        <f>IF($B72="","",IF(AW$3=0,"n.b.",INDEX(SRC_ZPMW03!$A$1:$ZZ$501,$A72,AW$3)))</f>
        <v/>
      </c>
      <c r="AX72" s="124" t="str">
        <f>IF($B72="","",IF(AX$3=0,"n.b.",INDEX(SRC_ZPMW03!$A$1:$ZZ$501,$A72,AX$3)))</f>
        <v/>
      </c>
      <c r="AY72" s="124" t="str">
        <f>IF($B72="","",IF(AY$3=0,"n.b.",INDEX(SRC_ZPMW03!$A$1:$ZZ$501,$A72,AY$3)))</f>
        <v/>
      </c>
      <c r="AZ72" s="124" t="str">
        <f>IF($B72="","",IF(AZ$3=0,"n.b.",INDEX(SRC_ZPMW03!$A$1:$ZZ$501,$A72,AZ$3)))</f>
        <v/>
      </c>
      <c r="BA72" s="124" t="str">
        <f>IF($B72="","",IF(BA$3=0,"n.b.",INDEX(SRC_ZPMW03!$A$1:$ZZ$501,$A72,BA$3)))</f>
        <v/>
      </c>
      <c r="BB72" s="124" t="str">
        <f>IF($B72="","",IF(BB$3=0,"n.b.",INDEX(SRC_ZPMW03!$A$1:$ZZ$501,$A72,BB$3)))</f>
        <v/>
      </c>
      <c r="BC72" s="124" t="str">
        <f>IF($B72="","",IF(BC$3=0,"n.b.",INDEX(SRC_ZPMW03!$A$1:$ZZ$501,$A72,BC$3)))</f>
        <v/>
      </c>
      <c r="BD72" s="124" t="str">
        <f>IF($B72="","",IF(BD$3=0,"n.b.",INDEX(SRC_ZPMW03!$A$1:$ZZ$501,$A72,BD$3)))</f>
        <v/>
      </c>
      <c r="BE72" s="124" t="str">
        <f>IF($B72="","",IF(BE$3=0,"n.b.",INDEX(SRC_ZPMW03!$A$1:$ZZ$501,$A72,BE$3)))</f>
        <v/>
      </c>
      <c r="BF72" s="124" t="str">
        <f>IF($B72="","",IF(BF$3=0,"n.b.",INDEX(SRC_ZPMW03!$A$1:$ZZ$501,$A72,BF$3)))</f>
        <v/>
      </c>
      <c r="BG72" t="str">
        <f>IF($B72="","",IF(BG$3=0,"n.b.",INDEX(SRC_ZPMW03!$A$1:$ZZ$501,$A72,BG$3)))</f>
        <v/>
      </c>
      <c r="BH72" t="str">
        <f>IF($B72="","",IF(BH$3=0,"n.b.",INDEX(SRC_ZPMW03!$A$1:$ZZ$501,$A72,BH$3)))</f>
        <v/>
      </c>
      <c r="BI72" t="str">
        <f>IF($B72="","",IF(BI$3=0,"n.b.",INDEX(SRC_ZPMW03!$A$1:$ZZ$501,$A72,BI$3)))</f>
        <v/>
      </c>
      <c r="BJ72" t="str">
        <f>IF($B72="","",IF(BJ$3=0,"n.b.",INDEX(SRC_ZPMW03!$A$1:$ZZ$501,$A72,BJ$3)))</f>
        <v/>
      </c>
      <c r="BK72" s="124" t="str">
        <f>IF($B72="","",IFERROR(-O72,"n.b."))</f>
        <v/>
      </c>
      <c r="BL72" s="124" t="str">
        <f>IF($B72="","",IFERROR(-Q72,"n.b."))</f>
        <v/>
      </c>
      <c r="BM72" s="124" t="str">
        <f>IF($B72="","",IFERROR(-AB72,"n.b."))</f>
        <v/>
      </c>
      <c r="BN72" s="124" t="str">
        <f>IF($B72="","",IFERROR(-AD72,"n.b."))</f>
        <v/>
      </c>
      <c r="BO72" s="124" t="str">
        <f>IF($B72="","",IFERROR(BK72+BM72,"n.b."))</f>
        <v/>
      </c>
      <c r="BP72" s="124" t="str">
        <f>IF($B72="","",IFERROR(BL72+BN72,"n.b."))</f>
        <v/>
      </c>
      <c r="BQ72" s="124" t="str">
        <f>IF($B72="","",IFERROR(-AM72,"n.b."))</f>
        <v/>
      </c>
      <c r="BR72" s="124" t="str">
        <f>IF($B72="","",IFERROR(-AO72,"n.b."))</f>
        <v/>
      </c>
      <c r="BS72" s="124" t="str">
        <f>IF($B72="","",IFERROR(-Z72,"n.b."))</f>
        <v/>
      </c>
      <c r="BT72" s="124" t="str">
        <f>IF($B72="","",IFERROR(-AA72,"n.b."))</f>
        <v/>
      </c>
      <c r="BU72" s="124" t="str">
        <f>IF($B72="","",IFERROR(-AE72,"n.b."))</f>
        <v/>
      </c>
      <c r="BV72" s="124" t="str">
        <f>IF($B72="","",IFERROR(-AF72,"n.b."))</f>
        <v/>
      </c>
      <c r="BW72" s="124" t="str">
        <f>IF($B72="","",IFERROR(-AG72,"n.b."))</f>
        <v/>
      </c>
      <c r="BX72" s="124" t="str">
        <f>IF($B72="","",IFERROR(-AH72,"n.b."))</f>
        <v/>
      </c>
      <c r="BY72" s="124" t="str">
        <f>IF($B72="","",IFERROR(-AI72,"n.b."))</f>
        <v/>
      </c>
      <c r="BZ72" s="124" t="str">
        <f>IF($B72="","",IFERROR(-AJ72,"n.b."))</f>
        <v/>
      </c>
      <c r="CA72" s="124" t="str">
        <f>IF($B72="","",IFERROR(-AK72,"n.b."))</f>
        <v/>
      </c>
      <c r="CB72" s="124" t="str">
        <f>IF($B72="","",IFERROR(-AL72,"n.b."))</f>
        <v/>
      </c>
      <c r="CC72" s="124" t="str">
        <f>IF($B72="","",IFERROR(-AP72,"n.b."))</f>
        <v/>
      </c>
      <c r="CD72" s="124" t="str">
        <f>IF($B72="","",IFERROR(-AQ72,"n.b."))</f>
        <v/>
      </c>
      <c r="CE72" s="124" t="str">
        <f>IF($B72="","",IFERROR(-AR72,"n.b."))</f>
        <v/>
      </c>
      <c r="CF72" s="124" t="str">
        <f>IF($B72="","",IFERROR(-AS72,"n.b."))</f>
        <v/>
      </c>
      <c r="CG72" s="124" t="str">
        <f>IF($B72="","",IFERROR(-AT72,"n.b."))</f>
        <v/>
      </c>
      <c r="CH72" s="124" t="str">
        <f>IF($B72="","",IFERROR(-AU72,"n.b."))</f>
        <v/>
      </c>
      <c r="CI72" s="124" t="str">
        <f>IF($B72="","",IFERROR(-AV72,"n.b."))</f>
        <v/>
      </c>
      <c r="CJ72" s="124" t="str">
        <f>IF($B72="","",IFERROR(-AW72,"n.b."))</f>
        <v/>
      </c>
      <c r="CK72" s="124" t="str">
        <f>IF($B72="","",IFERROR(-AX72,"n.b."))</f>
        <v/>
      </c>
      <c r="CL72" s="124" t="str">
        <f>IF($B72="","",IFERROR(-AY72,"n.b."))</f>
        <v/>
      </c>
      <c r="CM72" s="124" t="str">
        <f>IF($B72="","",IFERROR(-AZ72,"n.b."))</f>
        <v/>
      </c>
      <c r="CN72" s="124" t="str">
        <f>IF($B72="","",IFERROR(-BA72,"n.b."))</f>
        <v/>
      </c>
      <c r="CO72" s="124" t="str">
        <f>IF($B72="","",IFERROR(-BB72,"n.b."))</f>
        <v/>
      </c>
      <c r="CP72" s="124" t="str">
        <f>IF($B72="","",IFERROR(-BC72,"n.b."))</f>
        <v/>
      </c>
      <c r="CQ72" s="124" t="str">
        <f>IF($B72="","",IFERROR(-BD72,"n.b."))</f>
        <v/>
      </c>
      <c r="CR72" s="124" t="str">
        <f>IF($B72="","",IFERROR(-BE72,"n.b."))</f>
        <v/>
      </c>
      <c r="CS72" s="124" t="str">
        <f>IF($B72="","",IFERROR(IF(OR(ABS(T72+V72+X72+Z72-AB72)&gt;P_Tol,ABS(U72+W72+Y72+AA72-AD72)&gt;P_Tol,ABS(AE72+AG72+AI72+AK72-AM72)&gt;P_Tol,ABS(AF72+AH72+AJ72+AL72-AO72)&gt;P_Tol),1,0),1))</f>
        <v/>
      </c>
      <c r="CT72" s="124" t="str">
        <f>IF($B72="","",IFERROR(IF(OR(ABS(AB72+AC72-AD72)&gt;P_Tol,ABS(AM72+AN72-AO72)&gt;P_Tol,ABS(O72+P72-Q72)&gt;P_Tol),1,0),1))</f>
        <v/>
      </c>
      <c r="CU72" s="124" t="str">
        <f>IF($B72="","",IFERROR(IF(ABS(R72-(AB72+AM72+AP72+AR72+AT72+AV72+AX72+AZ72+BB72+BD72))&gt;P_Tol,1,0),1))</f>
        <v/>
      </c>
      <c r="CV72" s="124" t="str">
        <f>IF($B72="","",IFERROR(IF(ABS(M72-(N72+O72+R72))&gt;P_Tol,1,0),1))</f>
        <v/>
      </c>
      <c r="CW72" s="124" t="str">
        <f>IF($B72="","",IF(COUNTIF(Mapping!$A$5:$A$104,B72)&gt;0,1,0))</f>
        <v/>
      </c>
      <c r="CX72" s="124" t="str">
        <f>IF($B72="","",COUNTIF($B$6:$B$505,B72))</f>
        <v/>
      </c>
      <c r="CY72" s="124" t="str">
        <f>IF($B72="","",COUNTIF(STG_Woningetalage!$B$6:$B$505,B72))</f>
        <v/>
      </c>
      <c r="CZ72" s="124" t="str">
        <f>IF($B72="","",IF(CW72=0,COUNTIF($CW$6:CW72,0),""))</f>
        <v/>
      </c>
    </row>
    <row r="73">
      <c r="A73" s="15" t="n">
        <v>69</v>
      </c>
      <c r="B73" t="str">
        <f>IF(B$3=0,"",IF(INDEX(SRC_ZPMW03!$A$1:$ZZ$501,$A73,B$3)&amp;""="","",INDEX(SRC_ZPMW03!$A$1:$ZZ$501,$A73,B$3)&amp;""))</f>
        <v/>
      </c>
      <c r="C73" t="str">
        <f>IF($B73="","",IF(C$3=0,"n.b.",INDEX(SRC_ZPMW03!$A$1:$ZZ$501,$A73,C$3)))</f>
        <v/>
      </c>
      <c r="D73" t="str">
        <f>IF($B73="","",IF(D$3=0,"n.b.",INDEX(SRC_ZPMW03!$A$1:$ZZ$501,$A73,D$3)))</f>
        <v/>
      </c>
      <c r="E73" t="str">
        <f>IF($B73="","",IF(E$3=0,"n.b.",INDEX(SRC_ZPMW03!$A$1:$ZZ$501,$A73,E$3)))</f>
        <v/>
      </c>
      <c r="F73" t="str">
        <f>IF($B73="","",IF(F$3=0,"n.b.",INDEX(SRC_ZPMW03!$A$1:$ZZ$501,$A73,F$3)))</f>
        <v/>
      </c>
      <c r="G73" t="str">
        <f>IF($B73="","",IF(G$3=0,"n.b.",INDEX(SRC_ZPMW03!$A$1:$ZZ$501,$A73,G$3)))</f>
        <v/>
      </c>
      <c r="H73" t="str">
        <f>IF($B73="","",IF(H$3=0,"n.b.",INDEX(SRC_ZPMW03!$A$1:$ZZ$501,$A73,H$3)))</f>
        <v/>
      </c>
      <c r="I73" t="str">
        <f>IF($B73="","",IF(I$3=0,"n.b.",INDEX(SRC_ZPMW03!$A$1:$ZZ$501,$A73,I$3)))</f>
        <v/>
      </c>
      <c r="J73" t="str">
        <f>IF($B73="","",IF(J$3=0,"n.b.",INDEX(SRC_ZPMW03!$A$1:$ZZ$501,$A73,J$3)))</f>
        <v/>
      </c>
      <c r="K73" t="str">
        <f>IF($B73="","",IF(K$3=0,"n.b.",INDEX(SRC_ZPMW03!$A$1:$ZZ$501,$A73,K$3)))</f>
        <v/>
      </c>
      <c r="L73" s="124" t="str">
        <f>IF($B73="","",IF(L$3=0,"n.b.",INDEX(SRC_ZPMW03!$A$1:$ZZ$501,$A73,L$3)))</f>
        <v/>
      </c>
      <c r="M73" s="124" t="str">
        <f>IF($B73="","",IF(M$3=0,"n.b.",INDEX(SRC_ZPMW03!$A$1:$ZZ$501,$A73,M$3)))</f>
        <v/>
      </c>
      <c r="N73" s="124" t="str">
        <f>IF($B73="","",IF(N$3=0,"n.b.",INDEX(SRC_ZPMW03!$A$1:$ZZ$501,$A73,N$3)))</f>
        <v/>
      </c>
      <c r="O73" s="124" t="str">
        <f>IF($B73="","",IF(O$3=0,"n.b.",INDEX(SRC_ZPMW03!$A$1:$ZZ$501,$A73,O$3)))</f>
        <v/>
      </c>
      <c r="P73" s="124" t="str">
        <f>IF($B73="","",IF(P$3=0,"n.b.",INDEX(SRC_ZPMW03!$A$1:$ZZ$501,$A73,P$3)))</f>
        <v/>
      </c>
      <c r="Q73" s="124" t="str">
        <f>IF($B73="","",IF(Q$3=0,"n.b.",INDEX(SRC_ZPMW03!$A$1:$ZZ$501,$A73,Q$3)))</f>
        <v/>
      </c>
      <c r="R73" s="124" t="str">
        <f>IF($B73="","",IF(R$3=0,"n.b.",INDEX(SRC_ZPMW03!$A$1:$ZZ$501,$A73,R$3)))</f>
        <v/>
      </c>
      <c r="S73" s="124" t="str">
        <f>IF($B73="","",IF(S$3=0,"n.b.",INDEX(SRC_ZPMW03!$A$1:$ZZ$501,$A73,S$3)))</f>
        <v/>
      </c>
      <c r="T73" s="124" t="str">
        <f>IF($B73="","",IF(T$3=0,"n.b.",INDEX(SRC_ZPMW03!$A$1:$ZZ$501,$A73,T$3)))</f>
        <v/>
      </c>
      <c r="U73" s="124" t="str">
        <f>IF($B73="","",IF(U$3=0,"n.b.",INDEX(SRC_ZPMW03!$A$1:$ZZ$501,$A73,U$3)))</f>
        <v/>
      </c>
      <c r="V73" s="124" t="str">
        <f>IF($B73="","",IF(V$3=0,"n.b.",INDEX(SRC_ZPMW03!$A$1:$ZZ$501,$A73,V$3)))</f>
        <v/>
      </c>
      <c r="W73" s="124" t="str">
        <f>IF($B73="","",IF(W$3=0,"n.b.",INDEX(SRC_ZPMW03!$A$1:$ZZ$501,$A73,W$3)))</f>
        <v/>
      </c>
      <c r="X73" s="124" t="str">
        <f>IF($B73="","",IF(X$3=0,"n.b.",INDEX(SRC_ZPMW03!$A$1:$ZZ$501,$A73,X$3)))</f>
        <v/>
      </c>
      <c r="Y73" s="124" t="str">
        <f>IF($B73="","",IF(Y$3=0,"n.b.",INDEX(SRC_ZPMW03!$A$1:$ZZ$501,$A73,Y$3)))</f>
        <v/>
      </c>
      <c r="Z73" s="124" t="str">
        <f>IF($B73="","",IF(Z$3=0,"n.b.",INDEX(SRC_ZPMW03!$A$1:$ZZ$501,$A73,Z$3)))</f>
        <v/>
      </c>
      <c r="AA73" s="124" t="str">
        <f>IF($B73="","",IF(AA$3=0,"n.b.",INDEX(SRC_ZPMW03!$A$1:$ZZ$501,$A73,AA$3)))</f>
        <v/>
      </c>
      <c r="AB73" s="124" t="str">
        <f>IF($B73="","",IF(AB$3=0,"n.b.",INDEX(SRC_ZPMW03!$A$1:$ZZ$501,$A73,AB$3)))</f>
        <v/>
      </c>
      <c r="AC73" s="124" t="str">
        <f>IF($B73="","",IF(AC$3=0,"n.b.",INDEX(SRC_ZPMW03!$A$1:$ZZ$501,$A73,AC$3)))</f>
        <v/>
      </c>
      <c r="AD73" s="124" t="str">
        <f>IF($B73="","",IF(AD$3=0,"n.b.",INDEX(SRC_ZPMW03!$A$1:$ZZ$501,$A73,AD$3)))</f>
        <v/>
      </c>
      <c r="AE73" s="124" t="str">
        <f>IF($B73="","",IF(AE$3=0,"n.b.",INDEX(SRC_ZPMW03!$A$1:$ZZ$501,$A73,AE$3)))</f>
        <v/>
      </c>
      <c r="AF73" s="124" t="str">
        <f>IF($B73="","",IF(AF$3=0,"n.b.",INDEX(SRC_ZPMW03!$A$1:$ZZ$501,$A73,AF$3)))</f>
        <v/>
      </c>
      <c r="AG73" s="124" t="str">
        <f>IF($B73="","",IF(AG$3=0,"n.b.",INDEX(SRC_ZPMW03!$A$1:$ZZ$501,$A73,AG$3)))</f>
        <v/>
      </c>
      <c r="AH73" s="124" t="str">
        <f>IF($B73="","",IF(AH$3=0,"n.b.",INDEX(SRC_ZPMW03!$A$1:$ZZ$501,$A73,AH$3)))</f>
        <v/>
      </c>
      <c r="AI73" s="124" t="str">
        <f>IF($B73="","",IF(AI$3=0,"n.b.",INDEX(SRC_ZPMW03!$A$1:$ZZ$501,$A73,AI$3)))</f>
        <v/>
      </c>
      <c r="AJ73" s="124" t="str">
        <f>IF($B73="","",IF(AJ$3=0,"n.b.",INDEX(SRC_ZPMW03!$A$1:$ZZ$501,$A73,AJ$3)))</f>
        <v/>
      </c>
      <c r="AK73" s="124" t="str">
        <f>IF($B73="","",IF(AK$3=0,"n.b.",INDEX(SRC_ZPMW03!$A$1:$ZZ$501,$A73,AK$3)))</f>
        <v/>
      </c>
      <c r="AL73" s="124" t="str">
        <f>IF($B73="","",IF(AL$3=0,"n.b.",INDEX(SRC_ZPMW03!$A$1:$ZZ$501,$A73,AL$3)))</f>
        <v/>
      </c>
      <c r="AM73" s="124" t="str">
        <f>IF($B73="","",IF(AM$3=0,"n.b.",INDEX(SRC_ZPMW03!$A$1:$ZZ$501,$A73,AM$3)))</f>
        <v/>
      </c>
      <c r="AN73" s="124" t="str">
        <f>IF($B73="","",IF(AN$3=0,"n.b.",INDEX(SRC_ZPMW03!$A$1:$ZZ$501,$A73,AN$3)))</f>
        <v/>
      </c>
      <c r="AO73" s="124" t="str">
        <f>IF($B73="","",IF(AO$3=0,"n.b.",INDEX(SRC_ZPMW03!$A$1:$ZZ$501,$A73,AO$3)))</f>
        <v/>
      </c>
      <c r="AP73" s="124" t="str">
        <f>IF($B73="","",IF(AP$3=0,"n.b.",INDEX(SRC_ZPMW03!$A$1:$ZZ$501,$A73,AP$3)))</f>
        <v/>
      </c>
      <c r="AQ73" s="124" t="str">
        <f>IF($B73="","",IF(AQ$3=0,"n.b.",INDEX(SRC_ZPMW03!$A$1:$ZZ$501,$A73,AQ$3)))</f>
        <v/>
      </c>
      <c r="AR73" s="124" t="str">
        <f>IF($B73="","",IF(AR$3=0,"n.b.",INDEX(SRC_ZPMW03!$A$1:$ZZ$501,$A73,AR$3)))</f>
        <v/>
      </c>
      <c r="AS73" s="124" t="str">
        <f>IF($B73="","",IF(AS$3=0,"n.b.",INDEX(SRC_ZPMW03!$A$1:$ZZ$501,$A73,AS$3)))</f>
        <v/>
      </c>
      <c r="AT73" s="124" t="str">
        <f>IF($B73="","",IF(AT$3=0,"n.b.",INDEX(SRC_ZPMW03!$A$1:$ZZ$501,$A73,AT$3)))</f>
        <v/>
      </c>
      <c r="AU73" s="124" t="str">
        <f>IF($B73="","",IF(AU$3=0,"n.b.",INDEX(SRC_ZPMW03!$A$1:$ZZ$501,$A73,AU$3)))</f>
        <v/>
      </c>
      <c r="AV73" s="124" t="str">
        <f>IF($B73="","",IF(AV$3=0,"n.b.",INDEX(SRC_ZPMW03!$A$1:$ZZ$501,$A73,AV$3)))</f>
        <v/>
      </c>
      <c r="AW73" s="124" t="str">
        <f>IF($B73="","",IF(AW$3=0,"n.b.",INDEX(SRC_ZPMW03!$A$1:$ZZ$501,$A73,AW$3)))</f>
        <v/>
      </c>
      <c r="AX73" s="124" t="str">
        <f>IF($B73="","",IF(AX$3=0,"n.b.",INDEX(SRC_ZPMW03!$A$1:$ZZ$501,$A73,AX$3)))</f>
        <v/>
      </c>
      <c r="AY73" s="124" t="str">
        <f>IF($B73="","",IF(AY$3=0,"n.b.",INDEX(SRC_ZPMW03!$A$1:$ZZ$501,$A73,AY$3)))</f>
        <v/>
      </c>
      <c r="AZ73" s="124" t="str">
        <f>IF($B73="","",IF(AZ$3=0,"n.b.",INDEX(SRC_ZPMW03!$A$1:$ZZ$501,$A73,AZ$3)))</f>
        <v/>
      </c>
      <c r="BA73" s="124" t="str">
        <f>IF($B73="","",IF(BA$3=0,"n.b.",INDEX(SRC_ZPMW03!$A$1:$ZZ$501,$A73,BA$3)))</f>
        <v/>
      </c>
      <c r="BB73" s="124" t="str">
        <f>IF($B73="","",IF(BB$3=0,"n.b.",INDEX(SRC_ZPMW03!$A$1:$ZZ$501,$A73,BB$3)))</f>
        <v/>
      </c>
      <c r="BC73" s="124" t="str">
        <f>IF($B73="","",IF(BC$3=0,"n.b.",INDEX(SRC_ZPMW03!$A$1:$ZZ$501,$A73,BC$3)))</f>
        <v/>
      </c>
      <c r="BD73" s="124" t="str">
        <f>IF($B73="","",IF(BD$3=0,"n.b.",INDEX(SRC_ZPMW03!$A$1:$ZZ$501,$A73,BD$3)))</f>
        <v/>
      </c>
      <c r="BE73" s="124" t="str">
        <f>IF($B73="","",IF(BE$3=0,"n.b.",INDEX(SRC_ZPMW03!$A$1:$ZZ$501,$A73,BE$3)))</f>
        <v/>
      </c>
      <c r="BF73" s="124" t="str">
        <f>IF($B73="","",IF(BF$3=0,"n.b.",INDEX(SRC_ZPMW03!$A$1:$ZZ$501,$A73,BF$3)))</f>
        <v/>
      </c>
      <c r="BG73" t="str">
        <f>IF($B73="","",IF(BG$3=0,"n.b.",INDEX(SRC_ZPMW03!$A$1:$ZZ$501,$A73,BG$3)))</f>
        <v/>
      </c>
      <c r="BH73" t="str">
        <f>IF($B73="","",IF(BH$3=0,"n.b.",INDEX(SRC_ZPMW03!$A$1:$ZZ$501,$A73,BH$3)))</f>
        <v/>
      </c>
      <c r="BI73" t="str">
        <f>IF($B73="","",IF(BI$3=0,"n.b.",INDEX(SRC_ZPMW03!$A$1:$ZZ$501,$A73,BI$3)))</f>
        <v/>
      </c>
      <c r="BJ73" t="str">
        <f>IF($B73="","",IF(BJ$3=0,"n.b.",INDEX(SRC_ZPMW03!$A$1:$ZZ$501,$A73,BJ$3)))</f>
        <v/>
      </c>
      <c r="BK73" s="124" t="str">
        <f>IF($B73="","",IFERROR(-O73,"n.b."))</f>
        <v/>
      </c>
      <c r="BL73" s="124" t="str">
        <f>IF($B73="","",IFERROR(-Q73,"n.b."))</f>
        <v/>
      </c>
      <c r="BM73" s="124" t="str">
        <f>IF($B73="","",IFERROR(-AB73,"n.b."))</f>
        <v/>
      </c>
      <c r="BN73" s="124" t="str">
        <f>IF($B73="","",IFERROR(-AD73,"n.b."))</f>
        <v/>
      </c>
      <c r="BO73" s="124" t="str">
        <f>IF($B73="","",IFERROR(BK73+BM73,"n.b."))</f>
        <v/>
      </c>
      <c r="BP73" s="124" t="str">
        <f>IF($B73="","",IFERROR(BL73+BN73,"n.b."))</f>
        <v/>
      </c>
      <c r="BQ73" s="124" t="str">
        <f>IF($B73="","",IFERROR(-AM73,"n.b."))</f>
        <v/>
      </c>
      <c r="BR73" s="124" t="str">
        <f>IF($B73="","",IFERROR(-AO73,"n.b."))</f>
        <v/>
      </c>
      <c r="BS73" s="124" t="str">
        <f>IF($B73="","",IFERROR(-Z73,"n.b."))</f>
        <v/>
      </c>
      <c r="BT73" s="124" t="str">
        <f>IF($B73="","",IFERROR(-AA73,"n.b."))</f>
        <v/>
      </c>
      <c r="BU73" s="124" t="str">
        <f>IF($B73="","",IFERROR(-AE73,"n.b."))</f>
        <v/>
      </c>
      <c r="BV73" s="124" t="str">
        <f>IF($B73="","",IFERROR(-AF73,"n.b."))</f>
        <v/>
      </c>
      <c r="BW73" s="124" t="str">
        <f>IF($B73="","",IFERROR(-AG73,"n.b."))</f>
        <v/>
      </c>
      <c r="BX73" s="124" t="str">
        <f>IF($B73="","",IFERROR(-AH73,"n.b."))</f>
        <v/>
      </c>
      <c r="BY73" s="124" t="str">
        <f>IF($B73="","",IFERROR(-AI73,"n.b."))</f>
        <v/>
      </c>
      <c r="BZ73" s="124" t="str">
        <f>IF($B73="","",IFERROR(-AJ73,"n.b."))</f>
        <v/>
      </c>
      <c r="CA73" s="124" t="str">
        <f>IF($B73="","",IFERROR(-AK73,"n.b."))</f>
        <v/>
      </c>
      <c r="CB73" s="124" t="str">
        <f>IF($B73="","",IFERROR(-AL73,"n.b."))</f>
        <v/>
      </c>
      <c r="CC73" s="124" t="str">
        <f>IF($B73="","",IFERROR(-AP73,"n.b."))</f>
        <v/>
      </c>
      <c r="CD73" s="124" t="str">
        <f>IF($B73="","",IFERROR(-AQ73,"n.b."))</f>
        <v/>
      </c>
      <c r="CE73" s="124" t="str">
        <f>IF($B73="","",IFERROR(-AR73,"n.b."))</f>
        <v/>
      </c>
      <c r="CF73" s="124" t="str">
        <f>IF($B73="","",IFERROR(-AS73,"n.b."))</f>
        <v/>
      </c>
      <c r="CG73" s="124" t="str">
        <f>IF($B73="","",IFERROR(-AT73,"n.b."))</f>
        <v/>
      </c>
      <c r="CH73" s="124" t="str">
        <f>IF($B73="","",IFERROR(-AU73,"n.b."))</f>
        <v/>
      </c>
      <c r="CI73" s="124" t="str">
        <f>IF($B73="","",IFERROR(-AV73,"n.b."))</f>
        <v/>
      </c>
      <c r="CJ73" s="124" t="str">
        <f>IF($B73="","",IFERROR(-AW73,"n.b."))</f>
        <v/>
      </c>
      <c r="CK73" s="124" t="str">
        <f>IF($B73="","",IFERROR(-AX73,"n.b."))</f>
        <v/>
      </c>
      <c r="CL73" s="124" t="str">
        <f>IF($B73="","",IFERROR(-AY73,"n.b."))</f>
        <v/>
      </c>
      <c r="CM73" s="124" t="str">
        <f>IF($B73="","",IFERROR(-AZ73,"n.b."))</f>
        <v/>
      </c>
      <c r="CN73" s="124" t="str">
        <f>IF($B73="","",IFERROR(-BA73,"n.b."))</f>
        <v/>
      </c>
      <c r="CO73" s="124" t="str">
        <f>IF($B73="","",IFERROR(-BB73,"n.b."))</f>
        <v/>
      </c>
      <c r="CP73" s="124" t="str">
        <f>IF($B73="","",IFERROR(-BC73,"n.b."))</f>
        <v/>
      </c>
      <c r="CQ73" s="124" t="str">
        <f>IF($B73="","",IFERROR(-BD73,"n.b."))</f>
        <v/>
      </c>
      <c r="CR73" s="124" t="str">
        <f>IF($B73="","",IFERROR(-BE73,"n.b."))</f>
        <v/>
      </c>
      <c r="CS73" s="124" t="str">
        <f>IF($B73="","",IFERROR(IF(OR(ABS(T73+V73+X73+Z73-AB73)&gt;P_Tol,ABS(U73+W73+Y73+AA73-AD73)&gt;P_Tol,ABS(AE73+AG73+AI73+AK73-AM73)&gt;P_Tol,ABS(AF73+AH73+AJ73+AL73-AO73)&gt;P_Tol),1,0),1))</f>
        <v/>
      </c>
      <c r="CT73" s="124" t="str">
        <f>IF($B73="","",IFERROR(IF(OR(ABS(AB73+AC73-AD73)&gt;P_Tol,ABS(AM73+AN73-AO73)&gt;P_Tol,ABS(O73+P73-Q73)&gt;P_Tol),1,0),1))</f>
        <v/>
      </c>
      <c r="CU73" s="124" t="str">
        <f>IF($B73="","",IFERROR(IF(ABS(R73-(AB73+AM73+AP73+AR73+AT73+AV73+AX73+AZ73+BB73+BD73))&gt;P_Tol,1,0),1))</f>
        <v/>
      </c>
      <c r="CV73" s="124" t="str">
        <f>IF($B73="","",IFERROR(IF(ABS(M73-(N73+O73+R73))&gt;P_Tol,1,0),1))</f>
        <v/>
      </c>
      <c r="CW73" s="124" t="str">
        <f>IF($B73="","",IF(COUNTIF(Mapping!$A$5:$A$104,B73)&gt;0,1,0))</f>
        <v/>
      </c>
      <c r="CX73" s="124" t="str">
        <f>IF($B73="","",COUNTIF($B$6:$B$505,B73))</f>
        <v/>
      </c>
      <c r="CY73" s="124" t="str">
        <f>IF($B73="","",COUNTIF(STG_Woningetalage!$B$6:$B$505,B73))</f>
        <v/>
      </c>
      <c r="CZ73" s="124" t="str">
        <f>IF($B73="","",IF(CW73=0,COUNTIF($CW$6:CW73,0),""))</f>
        <v/>
      </c>
    </row>
    <row r="74">
      <c r="A74" s="15" t="n">
        <v>70</v>
      </c>
      <c r="B74" t="str">
        <f>IF(B$3=0,"",IF(INDEX(SRC_ZPMW03!$A$1:$ZZ$501,$A74,B$3)&amp;""="","",INDEX(SRC_ZPMW03!$A$1:$ZZ$501,$A74,B$3)&amp;""))</f>
        <v/>
      </c>
      <c r="C74" t="str">
        <f>IF($B74="","",IF(C$3=0,"n.b.",INDEX(SRC_ZPMW03!$A$1:$ZZ$501,$A74,C$3)))</f>
        <v/>
      </c>
      <c r="D74" t="str">
        <f>IF($B74="","",IF(D$3=0,"n.b.",INDEX(SRC_ZPMW03!$A$1:$ZZ$501,$A74,D$3)))</f>
        <v/>
      </c>
      <c r="E74" t="str">
        <f>IF($B74="","",IF(E$3=0,"n.b.",INDEX(SRC_ZPMW03!$A$1:$ZZ$501,$A74,E$3)))</f>
        <v/>
      </c>
      <c r="F74" t="str">
        <f>IF($B74="","",IF(F$3=0,"n.b.",INDEX(SRC_ZPMW03!$A$1:$ZZ$501,$A74,F$3)))</f>
        <v/>
      </c>
      <c r="G74" t="str">
        <f>IF($B74="","",IF(G$3=0,"n.b.",INDEX(SRC_ZPMW03!$A$1:$ZZ$501,$A74,G$3)))</f>
        <v/>
      </c>
      <c r="H74" t="str">
        <f>IF($B74="","",IF(H$3=0,"n.b.",INDEX(SRC_ZPMW03!$A$1:$ZZ$501,$A74,H$3)))</f>
        <v/>
      </c>
      <c r="I74" t="str">
        <f>IF($B74="","",IF(I$3=0,"n.b.",INDEX(SRC_ZPMW03!$A$1:$ZZ$501,$A74,I$3)))</f>
        <v/>
      </c>
      <c r="J74" t="str">
        <f>IF($B74="","",IF(J$3=0,"n.b.",INDEX(SRC_ZPMW03!$A$1:$ZZ$501,$A74,J$3)))</f>
        <v/>
      </c>
      <c r="K74" t="str">
        <f>IF($B74="","",IF(K$3=0,"n.b.",INDEX(SRC_ZPMW03!$A$1:$ZZ$501,$A74,K$3)))</f>
        <v/>
      </c>
      <c r="L74" s="124" t="str">
        <f>IF($B74="","",IF(L$3=0,"n.b.",INDEX(SRC_ZPMW03!$A$1:$ZZ$501,$A74,L$3)))</f>
        <v/>
      </c>
      <c r="M74" s="124" t="str">
        <f>IF($B74="","",IF(M$3=0,"n.b.",INDEX(SRC_ZPMW03!$A$1:$ZZ$501,$A74,M$3)))</f>
        <v/>
      </c>
      <c r="N74" s="124" t="str">
        <f>IF($B74="","",IF(N$3=0,"n.b.",INDEX(SRC_ZPMW03!$A$1:$ZZ$501,$A74,N$3)))</f>
        <v/>
      </c>
      <c r="O74" s="124" t="str">
        <f>IF($B74="","",IF(O$3=0,"n.b.",INDEX(SRC_ZPMW03!$A$1:$ZZ$501,$A74,O$3)))</f>
        <v/>
      </c>
      <c r="P74" s="124" t="str">
        <f>IF($B74="","",IF(P$3=0,"n.b.",INDEX(SRC_ZPMW03!$A$1:$ZZ$501,$A74,P$3)))</f>
        <v/>
      </c>
      <c r="Q74" s="124" t="str">
        <f>IF($B74="","",IF(Q$3=0,"n.b.",INDEX(SRC_ZPMW03!$A$1:$ZZ$501,$A74,Q$3)))</f>
        <v/>
      </c>
      <c r="R74" s="124" t="str">
        <f>IF($B74="","",IF(R$3=0,"n.b.",INDEX(SRC_ZPMW03!$A$1:$ZZ$501,$A74,R$3)))</f>
        <v/>
      </c>
      <c r="S74" s="124" t="str">
        <f>IF($B74="","",IF(S$3=0,"n.b.",INDEX(SRC_ZPMW03!$A$1:$ZZ$501,$A74,S$3)))</f>
        <v/>
      </c>
      <c r="T74" s="124" t="str">
        <f>IF($B74="","",IF(T$3=0,"n.b.",INDEX(SRC_ZPMW03!$A$1:$ZZ$501,$A74,T$3)))</f>
        <v/>
      </c>
      <c r="U74" s="124" t="str">
        <f>IF($B74="","",IF(U$3=0,"n.b.",INDEX(SRC_ZPMW03!$A$1:$ZZ$501,$A74,U$3)))</f>
        <v/>
      </c>
      <c r="V74" s="124" t="str">
        <f>IF($B74="","",IF(V$3=0,"n.b.",INDEX(SRC_ZPMW03!$A$1:$ZZ$501,$A74,V$3)))</f>
        <v/>
      </c>
      <c r="W74" s="124" t="str">
        <f>IF($B74="","",IF(W$3=0,"n.b.",INDEX(SRC_ZPMW03!$A$1:$ZZ$501,$A74,W$3)))</f>
        <v/>
      </c>
      <c r="X74" s="124" t="str">
        <f>IF($B74="","",IF(X$3=0,"n.b.",INDEX(SRC_ZPMW03!$A$1:$ZZ$501,$A74,X$3)))</f>
        <v/>
      </c>
      <c r="Y74" s="124" t="str">
        <f>IF($B74="","",IF(Y$3=0,"n.b.",INDEX(SRC_ZPMW03!$A$1:$ZZ$501,$A74,Y$3)))</f>
        <v/>
      </c>
      <c r="Z74" s="124" t="str">
        <f>IF($B74="","",IF(Z$3=0,"n.b.",INDEX(SRC_ZPMW03!$A$1:$ZZ$501,$A74,Z$3)))</f>
        <v/>
      </c>
      <c r="AA74" s="124" t="str">
        <f>IF($B74="","",IF(AA$3=0,"n.b.",INDEX(SRC_ZPMW03!$A$1:$ZZ$501,$A74,AA$3)))</f>
        <v/>
      </c>
      <c r="AB74" s="124" t="str">
        <f>IF($B74="","",IF(AB$3=0,"n.b.",INDEX(SRC_ZPMW03!$A$1:$ZZ$501,$A74,AB$3)))</f>
        <v/>
      </c>
      <c r="AC74" s="124" t="str">
        <f>IF($B74="","",IF(AC$3=0,"n.b.",INDEX(SRC_ZPMW03!$A$1:$ZZ$501,$A74,AC$3)))</f>
        <v/>
      </c>
      <c r="AD74" s="124" t="str">
        <f>IF($B74="","",IF(AD$3=0,"n.b.",INDEX(SRC_ZPMW03!$A$1:$ZZ$501,$A74,AD$3)))</f>
        <v/>
      </c>
      <c r="AE74" s="124" t="str">
        <f>IF($B74="","",IF(AE$3=0,"n.b.",INDEX(SRC_ZPMW03!$A$1:$ZZ$501,$A74,AE$3)))</f>
        <v/>
      </c>
      <c r="AF74" s="124" t="str">
        <f>IF($B74="","",IF(AF$3=0,"n.b.",INDEX(SRC_ZPMW03!$A$1:$ZZ$501,$A74,AF$3)))</f>
        <v/>
      </c>
      <c r="AG74" s="124" t="str">
        <f>IF($B74="","",IF(AG$3=0,"n.b.",INDEX(SRC_ZPMW03!$A$1:$ZZ$501,$A74,AG$3)))</f>
        <v/>
      </c>
      <c r="AH74" s="124" t="str">
        <f>IF($B74="","",IF(AH$3=0,"n.b.",INDEX(SRC_ZPMW03!$A$1:$ZZ$501,$A74,AH$3)))</f>
        <v/>
      </c>
      <c r="AI74" s="124" t="str">
        <f>IF($B74="","",IF(AI$3=0,"n.b.",INDEX(SRC_ZPMW03!$A$1:$ZZ$501,$A74,AI$3)))</f>
        <v/>
      </c>
      <c r="AJ74" s="124" t="str">
        <f>IF($B74="","",IF(AJ$3=0,"n.b.",INDEX(SRC_ZPMW03!$A$1:$ZZ$501,$A74,AJ$3)))</f>
        <v/>
      </c>
      <c r="AK74" s="124" t="str">
        <f>IF($B74="","",IF(AK$3=0,"n.b.",INDEX(SRC_ZPMW03!$A$1:$ZZ$501,$A74,AK$3)))</f>
        <v/>
      </c>
      <c r="AL74" s="124" t="str">
        <f>IF($B74="","",IF(AL$3=0,"n.b.",INDEX(SRC_ZPMW03!$A$1:$ZZ$501,$A74,AL$3)))</f>
        <v/>
      </c>
      <c r="AM74" s="124" t="str">
        <f>IF($B74="","",IF(AM$3=0,"n.b.",INDEX(SRC_ZPMW03!$A$1:$ZZ$501,$A74,AM$3)))</f>
        <v/>
      </c>
      <c r="AN74" s="124" t="str">
        <f>IF($B74="","",IF(AN$3=0,"n.b.",INDEX(SRC_ZPMW03!$A$1:$ZZ$501,$A74,AN$3)))</f>
        <v/>
      </c>
      <c r="AO74" s="124" t="str">
        <f>IF($B74="","",IF(AO$3=0,"n.b.",INDEX(SRC_ZPMW03!$A$1:$ZZ$501,$A74,AO$3)))</f>
        <v/>
      </c>
      <c r="AP74" s="124" t="str">
        <f>IF($B74="","",IF(AP$3=0,"n.b.",INDEX(SRC_ZPMW03!$A$1:$ZZ$501,$A74,AP$3)))</f>
        <v/>
      </c>
      <c r="AQ74" s="124" t="str">
        <f>IF($B74="","",IF(AQ$3=0,"n.b.",INDEX(SRC_ZPMW03!$A$1:$ZZ$501,$A74,AQ$3)))</f>
        <v/>
      </c>
      <c r="AR74" s="124" t="str">
        <f>IF($B74="","",IF(AR$3=0,"n.b.",INDEX(SRC_ZPMW03!$A$1:$ZZ$501,$A74,AR$3)))</f>
        <v/>
      </c>
      <c r="AS74" s="124" t="str">
        <f>IF($B74="","",IF(AS$3=0,"n.b.",INDEX(SRC_ZPMW03!$A$1:$ZZ$501,$A74,AS$3)))</f>
        <v/>
      </c>
      <c r="AT74" s="124" t="str">
        <f>IF($B74="","",IF(AT$3=0,"n.b.",INDEX(SRC_ZPMW03!$A$1:$ZZ$501,$A74,AT$3)))</f>
        <v/>
      </c>
      <c r="AU74" s="124" t="str">
        <f>IF($B74="","",IF(AU$3=0,"n.b.",INDEX(SRC_ZPMW03!$A$1:$ZZ$501,$A74,AU$3)))</f>
        <v/>
      </c>
      <c r="AV74" s="124" t="str">
        <f>IF($B74="","",IF(AV$3=0,"n.b.",INDEX(SRC_ZPMW03!$A$1:$ZZ$501,$A74,AV$3)))</f>
        <v/>
      </c>
      <c r="AW74" s="124" t="str">
        <f>IF($B74="","",IF(AW$3=0,"n.b.",INDEX(SRC_ZPMW03!$A$1:$ZZ$501,$A74,AW$3)))</f>
        <v/>
      </c>
      <c r="AX74" s="124" t="str">
        <f>IF($B74="","",IF(AX$3=0,"n.b.",INDEX(SRC_ZPMW03!$A$1:$ZZ$501,$A74,AX$3)))</f>
        <v/>
      </c>
      <c r="AY74" s="124" t="str">
        <f>IF($B74="","",IF(AY$3=0,"n.b.",INDEX(SRC_ZPMW03!$A$1:$ZZ$501,$A74,AY$3)))</f>
        <v/>
      </c>
      <c r="AZ74" s="124" t="str">
        <f>IF($B74="","",IF(AZ$3=0,"n.b.",INDEX(SRC_ZPMW03!$A$1:$ZZ$501,$A74,AZ$3)))</f>
        <v/>
      </c>
      <c r="BA74" s="124" t="str">
        <f>IF($B74="","",IF(BA$3=0,"n.b.",INDEX(SRC_ZPMW03!$A$1:$ZZ$501,$A74,BA$3)))</f>
        <v/>
      </c>
      <c r="BB74" s="124" t="str">
        <f>IF($B74="","",IF(BB$3=0,"n.b.",INDEX(SRC_ZPMW03!$A$1:$ZZ$501,$A74,BB$3)))</f>
        <v/>
      </c>
      <c r="BC74" s="124" t="str">
        <f>IF($B74="","",IF(BC$3=0,"n.b.",INDEX(SRC_ZPMW03!$A$1:$ZZ$501,$A74,BC$3)))</f>
        <v/>
      </c>
      <c r="BD74" s="124" t="str">
        <f>IF($B74="","",IF(BD$3=0,"n.b.",INDEX(SRC_ZPMW03!$A$1:$ZZ$501,$A74,BD$3)))</f>
        <v/>
      </c>
      <c r="BE74" s="124" t="str">
        <f>IF($B74="","",IF(BE$3=0,"n.b.",INDEX(SRC_ZPMW03!$A$1:$ZZ$501,$A74,BE$3)))</f>
        <v/>
      </c>
      <c r="BF74" s="124" t="str">
        <f>IF($B74="","",IF(BF$3=0,"n.b.",INDEX(SRC_ZPMW03!$A$1:$ZZ$501,$A74,BF$3)))</f>
        <v/>
      </c>
      <c r="BG74" t="str">
        <f>IF($B74="","",IF(BG$3=0,"n.b.",INDEX(SRC_ZPMW03!$A$1:$ZZ$501,$A74,BG$3)))</f>
        <v/>
      </c>
      <c r="BH74" t="str">
        <f>IF($B74="","",IF(BH$3=0,"n.b.",INDEX(SRC_ZPMW03!$A$1:$ZZ$501,$A74,BH$3)))</f>
        <v/>
      </c>
      <c r="BI74" t="str">
        <f>IF($B74="","",IF(BI$3=0,"n.b.",INDEX(SRC_ZPMW03!$A$1:$ZZ$501,$A74,BI$3)))</f>
        <v/>
      </c>
      <c r="BJ74" t="str">
        <f>IF($B74="","",IF(BJ$3=0,"n.b.",INDEX(SRC_ZPMW03!$A$1:$ZZ$501,$A74,BJ$3)))</f>
        <v/>
      </c>
      <c r="BK74" s="124" t="str">
        <f>IF($B74="","",IFERROR(-O74,"n.b."))</f>
        <v/>
      </c>
      <c r="BL74" s="124" t="str">
        <f>IF($B74="","",IFERROR(-Q74,"n.b."))</f>
        <v/>
      </c>
      <c r="BM74" s="124" t="str">
        <f>IF($B74="","",IFERROR(-AB74,"n.b."))</f>
        <v/>
      </c>
      <c r="BN74" s="124" t="str">
        <f>IF($B74="","",IFERROR(-AD74,"n.b."))</f>
        <v/>
      </c>
      <c r="BO74" s="124" t="str">
        <f>IF($B74="","",IFERROR(BK74+BM74,"n.b."))</f>
        <v/>
      </c>
      <c r="BP74" s="124" t="str">
        <f>IF($B74="","",IFERROR(BL74+BN74,"n.b."))</f>
        <v/>
      </c>
      <c r="BQ74" s="124" t="str">
        <f>IF($B74="","",IFERROR(-AM74,"n.b."))</f>
        <v/>
      </c>
      <c r="BR74" s="124" t="str">
        <f>IF($B74="","",IFERROR(-AO74,"n.b."))</f>
        <v/>
      </c>
      <c r="BS74" s="124" t="str">
        <f>IF($B74="","",IFERROR(-Z74,"n.b."))</f>
        <v/>
      </c>
      <c r="BT74" s="124" t="str">
        <f>IF($B74="","",IFERROR(-AA74,"n.b."))</f>
        <v/>
      </c>
      <c r="BU74" s="124" t="str">
        <f>IF($B74="","",IFERROR(-AE74,"n.b."))</f>
        <v/>
      </c>
      <c r="BV74" s="124" t="str">
        <f>IF($B74="","",IFERROR(-AF74,"n.b."))</f>
        <v/>
      </c>
      <c r="BW74" s="124" t="str">
        <f>IF($B74="","",IFERROR(-AG74,"n.b."))</f>
        <v/>
      </c>
      <c r="BX74" s="124" t="str">
        <f>IF($B74="","",IFERROR(-AH74,"n.b."))</f>
        <v/>
      </c>
      <c r="BY74" s="124" t="str">
        <f>IF($B74="","",IFERROR(-AI74,"n.b."))</f>
        <v/>
      </c>
      <c r="BZ74" s="124" t="str">
        <f>IF($B74="","",IFERROR(-AJ74,"n.b."))</f>
        <v/>
      </c>
      <c r="CA74" s="124" t="str">
        <f>IF($B74="","",IFERROR(-AK74,"n.b."))</f>
        <v/>
      </c>
      <c r="CB74" s="124" t="str">
        <f>IF($B74="","",IFERROR(-AL74,"n.b."))</f>
        <v/>
      </c>
      <c r="CC74" s="124" t="str">
        <f>IF($B74="","",IFERROR(-AP74,"n.b."))</f>
        <v/>
      </c>
      <c r="CD74" s="124" t="str">
        <f>IF($B74="","",IFERROR(-AQ74,"n.b."))</f>
        <v/>
      </c>
      <c r="CE74" s="124" t="str">
        <f>IF($B74="","",IFERROR(-AR74,"n.b."))</f>
        <v/>
      </c>
      <c r="CF74" s="124" t="str">
        <f>IF($B74="","",IFERROR(-AS74,"n.b."))</f>
        <v/>
      </c>
      <c r="CG74" s="124" t="str">
        <f>IF($B74="","",IFERROR(-AT74,"n.b."))</f>
        <v/>
      </c>
      <c r="CH74" s="124" t="str">
        <f>IF($B74="","",IFERROR(-AU74,"n.b."))</f>
        <v/>
      </c>
      <c r="CI74" s="124" t="str">
        <f>IF($B74="","",IFERROR(-AV74,"n.b."))</f>
        <v/>
      </c>
      <c r="CJ74" s="124" t="str">
        <f>IF($B74="","",IFERROR(-AW74,"n.b."))</f>
        <v/>
      </c>
      <c r="CK74" s="124" t="str">
        <f>IF($B74="","",IFERROR(-AX74,"n.b."))</f>
        <v/>
      </c>
      <c r="CL74" s="124" t="str">
        <f>IF($B74="","",IFERROR(-AY74,"n.b."))</f>
        <v/>
      </c>
      <c r="CM74" s="124" t="str">
        <f>IF($B74="","",IFERROR(-AZ74,"n.b."))</f>
        <v/>
      </c>
      <c r="CN74" s="124" t="str">
        <f>IF($B74="","",IFERROR(-BA74,"n.b."))</f>
        <v/>
      </c>
      <c r="CO74" s="124" t="str">
        <f>IF($B74="","",IFERROR(-BB74,"n.b."))</f>
        <v/>
      </c>
      <c r="CP74" s="124" t="str">
        <f>IF($B74="","",IFERROR(-BC74,"n.b."))</f>
        <v/>
      </c>
      <c r="CQ74" s="124" t="str">
        <f>IF($B74="","",IFERROR(-BD74,"n.b."))</f>
        <v/>
      </c>
      <c r="CR74" s="124" t="str">
        <f>IF($B74="","",IFERROR(-BE74,"n.b."))</f>
        <v/>
      </c>
      <c r="CS74" s="124" t="str">
        <f>IF($B74="","",IFERROR(IF(OR(ABS(T74+V74+X74+Z74-AB74)&gt;P_Tol,ABS(U74+W74+Y74+AA74-AD74)&gt;P_Tol,ABS(AE74+AG74+AI74+AK74-AM74)&gt;P_Tol,ABS(AF74+AH74+AJ74+AL74-AO74)&gt;P_Tol),1,0),1))</f>
        <v/>
      </c>
      <c r="CT74" s="124" t="str">
        <f>IF($B74="","",IFERROR(IF(OR(ABS(AB74+AC74-AD74)&gt;P_Tol,ABS(AM74+AN74-AO74)&gt;P_Tol,ABS(O74+P74-Q74)&gt;P_Tol),1,0),1))</f>
        <v/>
      </c>
      <c r="CU74" s="124" t="str">
        <f>IF($B74="","",IFERROR(IF(ABS(R74-(AB74+AM74+AP74+AR74+AT74+AV74+AX74+AZ74+BB74+BD74))&gt;P_Tol,1,0),1))</f>
        <v/>
      </c>
      <c r="CV74" s="124" t="str">
        <f>IF($B74="","",IFERROR(IF(ABS(M74-(N74+O74+R74))&gt;P_Tol,1,0),1))</f>
        <v/>
      </c>
      <c r="CW74" s="124" t="str">
        <f>IF($B74="","",IF(COUNTIF(Mapping!$A$5:$A$104,B74)&gt;0,1,0))</f>
        <v/>
      </c>
      <c r="CX74" s="124" t="str">
        <f>IF($B74="","",COUNTIF($B$6:$B$505,B74))</f>
        <v/>
      </c>
      <c r="CY74" s="124" t="str">
        <f>IF($B74="","",COUNTIF(STG_Woningetalage!$B$6:$B$505,B74))</f>
        <v/>
      </c>
      <c r="CZ74" s="124" t="str">
        <f>IF($B74="","",IF(CW74=0,COUNTIF($CW$6:CW74,0),""))</f>
        <v/>
      </c>
    </row>
    <row r="75">
      <c r="A75" s="15" t="n">
        <v>71</v>
      </c>
      <c r="B75" t="str">
        <f>IF(B$3=0,"",IF(INDEX(SRC_ZPMW03!$A$1:$ZZ$501,$A75,B$3)&amp;""="","",INDEX(SRC_ZPMW03!$A$1:$ZZ$501,$A75,B$3)&amp;""))</f>
        <v/>
      </c>
      <c r="C75" t="str">
        <f>IF($B75="","",IF(C$3=0,"n.b.",INDEX(SRC_ZPMW03!$A$1:$ZZ$501,$A75,C$3)))</f>
        <v/>
      </c>
      <c r="D75" t="str">
        <f>IF($B75="","",IF(D$3=0,"n.b.",INDEX(SRC_ZPMW03!$A$1:$ZZ$501,$A75,D$3)))</f>
        <v/>
      </c>
      <c r="E75" t="str">
        <f>IF($B75="","",IF(E$3=0,"n.b.",INDEX(SRC_ZPMW03!$A$1:$ZZ$501,$A75,E$3)))</f>
        <v/>
      </c>
      <c r="F75" t="str">
        <f>IF($B75="","",IF(F$3=0,"n.b.",INDEX(SRC_ZPMW03!$A$1:$ZZ$501,$A75,F$3)))</f>
        <v/>
      </c>
      <c r="G75" t="str">
        <f>IF($B75="","",IF(G$3=0,"n.b.",INDEX(SRC_ZPMW03!$A$1:$ZZ$501,$A75,G$3)))</f>
        <v/>
      </c>
      <c r="H75" t="str">
        <f>IF($B75="","",IF(H$3=0,"n.b.",INDEX(SRC_ZPMW03!$A$1:$ZZ$501,$A75,H$3)))</f>
        <v/>
      </c>
      <c r="I75" t="str">
        <f>IF($B75="","",IF(I$3=0,"n.b.",INDEX(SRC_ZPMW03!$A$1:$ZZ$501,$A75,I$3)))</f>
        <v/>
      </c>
      <c r="J75" t="str">
        <f>IF($B75="","",IF(J$3=0,"n.b.",INDEX(SRC_ZPMW03!$A$1:$ZZ$501,$A75,J$3)))</f>
        <v/>
      </c>
      <c r="K75" t="str">
        <f>IF($B75="","",IF(K$3=0,"n.b.",INDEX(SRC_ZPMW03!$A$1:$ZZ$501,$A75,K$3)))</f>
        <v/>
      </c>
      <c r="L75" s="124" t="str">
        <f>IF($B75="","",IF(L$3=0,"n.b.",INDEX(SRC_ZPMW03!$A$1:$ZZ$501,$A75,L$3)))</f>
        <v/>
      </c>
      <c r="M75" s="124" t="str">
        <f>IF($B75="","",IF(M$3=0,"n.b.",INDEX(SRC_ZPMW03!$A$1:$ZZ$501,$A75,M$3)))</f>
        <v/>
      </c>
      <c r="N75" s="124" t="str">
        <f>IF($B75="","",IF(N$3=0,"n.b.",INDEX(SRC_ZPMW03!$A$1:$ZZ$501,$A75,N$3)))</f>
        <v/>
      </c>
      <c r="O75" s="124" t="str">
        <f>IF($B75="","",IF(O$3=0,"n.b.",INDEX(SRC_ZPMW03!$A$1:$ZZ$501,$A75,O$3)))</f>
        <v/>
      </c>
      <c r="P75" s="124" t="str">
        <f>IF($B75="","",IF(P$3=0,"n.b.",INDEX(SRC_ZPMW03!$A$1:$ZZ$501,$A75,P$3)))</f>
        <v/>
      </c>
      <c r="Q75" s="124" t="str">
        <f>IF($B75="","",IF(Q$3=0,"n.b.",INDEX(SRC_ZPMW03!$A$1:$ZZ$501,$A75,Q$3)))</f>
        <v/>
      </c>
      <c r="R75" s="124" t="str">
        <f>IF($B75="","",IF(R$3=0,"n.b.",INDEX(SRC_ZPMW03!$A$1:$ZZ$501,$A75,R$3)))</f>
        <v/>
      </c>
      <c r="S75" s="124" t="str">
        <f>IF($B75="","",IF(S$3=0,"n.b.",INDEX(SRC_ZPMW03!$A$1:$ZZ$501,$A75,S$3)))</f>
        <v/>
      </c>
      <c r="T75" s="124" t="str">
        <f>IF($B75="","",IF(T$3=0,"n.b.",INDEX(SRC_ZPMW03!$A$1:$ZZ$501,$A75,T$3)))</f>
        <v/>
      </c>
      <c r="U75" s="124" t="str">
        <f>IF($B75="","",IF(U$3=0,"n.b.",INDEX(SRC_ZPMW03!$A$1:$ZZ$501,$A75,U$3)))</f>
        <v/>
      </c>
      <c r="V75" s="124" t="str">
        <f>IF($B75="","",IF(V$3=0,"n.b.",INDEX(SRC_ZPMW03!$A$1:$ZZ$501,$A75,V$3)))</f>
        <v/>
      </c>
      <c r="W75" s="124" t="str">
        <f>IF($B75="","",IF(W$3=0,"n.b.",INDEX(SRC_ZPMW03!$A$1:$ZZ$501,$A75,W$3)))</f>
        <v/>
      </c>
      <c r="X75" s="124" t="str">
        <f>IF($B75="","",IF(X$3=0,"n.b.",INDEX(SRC_ZPMW03!$A$1:$ZZ$501,$A75,X$3)))</f>
        <v/>
      </c>
      <c r="Y75" s="124" t="str">
        <f>IF($B75="","",IF(Y$3=0,"n.b.",INDEX(SRC_ZPMW03!$A$1:$ZZ$501,$A75,Y$3)))</f>
        <v/>
      </c>
      <c r="Z75" s="124" t="str">
        <f>IF($B75="","",IF(Z$3=0,"n.b.",INDEX(SRC_ZPMW03!$A$1:$ZZ$501,$A75,Z$3)))</f>
        <v/>
      </c>
      <c r="AA75" s="124" t="str">
        <f>IF($B75="","",IF(AA$3=0,"n.b.",INDEX(SRC_ZPMW03!$A$1:$ZZ$501,$A75,AA$3)))</f>
        <v/>
      </c>
      <c r="AB75" s="124" t="str">
        <f>IF($B75="","",IF(AB$3=0,"n.b.",INDEX(SRC_ZPMW03!$A$1:$ZZ$501,$A75,AB$3)))</f>
        <v/>
      </c>
      <c r="AC75" s="124" t="str">
        <f>IF($B75="","",IF(AC$3=0,"n.b.",INDEX(SRC_ZPMW03!$A$1:$ZZ$501,$A75,AC$3)))</f>
        <v/>
      </c>
      <c r="AD75" s="124" t="str">
        <f>IF($B75="","",IF(AD$3=0,"n.b.",INDEX(SRC_ZPMW03!$A$1:$ZZ$501,$A75,AD$3)))</f>
        <v/>
      </c>
      <c r="AE75" s="124" t="str">
        <f>IF($B75="","",IF(AE$3=0,"n.b.",INDEX(SRC_ZPMW03!$A$1:$ZZ$501,$A75,AE$3)))</f>
        <v/>
      </c>
      <c r="AF75" s="124" t="str">
        <f>IF($B75="","",IF(AF$3=0,"n.b.",INDEX(SRC_ZPMW03!$A$1:$ZZ$501,$A75,AF$3)))</f>
        <v/>
      </c>
      <c r="AG75" s="124" t="str">
        <f>IF($B75="","",IF(AG$3=0,"n.b.",INDEX(SRC_ZPMW03!$A$1:$ZZ$501,$A75,AG$3)))</f>
        <v/>
      </c>
      <c r="AH75" s="124" t="str">
        <f>IF($B75="","",IF(AH$3=0,"n.b.",INDEX(SRC_ZPMW03!$A$1:$ZZ$501,$A75,AH$3)))</f>
        <v/>
      </c>
      <c r="AI75" s="124" t="str">
        <f>IF($B75="","",IF(AI$3=0,"n.b.",INDEX(SRC_ZPMW03!$A$1:$ZZ$501,$A75,AI$3)))</f>
        <v/>
      </c>
      <c r="AJ75" s="124" t="str">
        <f>IF($B75="","",IF(AJ$3=0,"n.b.",INDEX(SRC_ZPMW03!$A$1:$ZZ$501,$A75,AJ$3)))</f>
        <v/>
      </c>
      <c r="AK75" s="124" t="str">
        <f>IF($B75="","",IF(AK$3=0,"n.b.",INDEX(SRC_ZPMW03!$A$1:$ZZ$501,$A75,AK$3)))</f>
        <v/>
      </c>
      <c r="AL75" s="124" t="str">
        <f>IF($B75="","",IF(AL$3=0,"n.b.",INDEX(SRC_ZPMW03!$A$1:$ZZ$501,$A75,AL$3)))</f>
        <v/>
      </c>
      <c r="AM75" s="124" t="str">
        <f>IF($B75="","",IF(AM$3=0,"n.b.",INDEX(SRC_ZPMW03!$A$1:$ZZ$501,$A75,AM$3)))</f>
        <v/>
      </c>
      <c r="AN75" s="124" t="str">
        <f>IF($B75="","",IF(AN$3=0,"n.b.",INDEX(SRC_ZPMW03!$A$1:$ZZ$501,$A75,AN$3)))</f>
        <v/>
      </c>
      <c r="AO75" s="124" t="str">
        <f>IF($B75="","",IF(AO$3=0,"n.b.",INDEX(SRC_ZPMW03!$A$1:$ZZ$501,$A75,AO$3)))</f>
        <v/>
      </c>
      <c r="AP75" s="124" t="str">
        <f>IF($B75="","",IF(AP$3=0,"n.b.",INDEX(SRC_ZPMW03!$A$1:$ZZ$501,$A75,AP$3)))</f>
        <v/>
      </c>
      <c r="AQ75" s="124" t="str">
        <f>IF($B75="","",IF(AQ$3=0,"n.b.",INDEX(SRC_ZPMW03!$A$1:$ZZ$501,$A75,AQ$3)))</f>
        <v/>
      </c>
      <c r="AR75" s="124" t="str">
        <f>IF($B75="","",IF(AR$3=0,"n.b.",INDEX(SRC_ZPMW03!$A$1:$ZZ$501,$A75,AR$3)))</f>
        <v/>
      </c>
      <c r="AS75" s="124" t="str">
        <f>IF($B75="","",IF(AS$3=0,"n.b.",INDEX(SRC_ZPMW03!$A$1:$ZZ$501,$A75,AS$3)))</f>
        <v/>
      </c>
      <c r="AT75" s="124" t="str">
        <f>IF($B75="","",IF(AT$3=0,"n.b.",INDEX(SRC_ZPMW03!$A$1:$ZZ$501,$A75,AT$3)))</f>
        <v/>
      </c>
      <c r="AU75" s="124" t="str">
        <f>IF($B75="","",IF(AU$3=0,"n.b.",INDEX(SRC_ZPMW03!$A$1:$ZZ$501,$A75,AU$3)))</f>
        <v/>
      </c>
      <c r="AV75" s="124" t="str">
        <f>IF($B75="","",IF(AV$3=0,"n.b.",INDEX(SRC_ZPMW03!$A$1:$ZZ$501,$A75,AV$3)))</f>
        <v/>
      </c>
      <c r="AW75" s="124" t="str">
        <f>IF($B75="","",IF(AW$3=0,"n.b.",INDEX(SRC_ZPMW03!$A$1:$ZZ$501,$A75,AW$3)))</f>
        <v/>
      </c>
      <c r="AX75" s="124" t="str">
        <f>IF($B75="","",IF(AX$3=0,"n.b.",INDEX(SRC_ZPMW03!$A$1:$ZZ$501,$A75,AX$3)))</f>
        <v/>
      </c>
      <c r="AY75" s="124" t="str">
        <f>IF($B75="","",IF(AY$3=0,"n.b.",INDEX(SRC_ZPMW03!$A$1:$ZZ$501,$A75,AY$3)))</f>
        <v/>
      </c>
      <c r="AZ75" s="124" t="str">
        <f>IF($B75="","",IF(AZ$3=0,"n.b.",INDEX(SRC_ZPMW03!$A$1:$ZZ$501,$A75,AZ$3)))</f>
        <v/>
      </c>
      <c r="BA75" s="124" t="str">
        <f>IF($B75="","",IF(BA$3=0,"n.b.",INDEX(SRC_ZPMW03!$A$1:$ZZ$501,$A75,BA$3)))</f>
        <v/>
      </c>
      <c r="BB75" s="124" t="str">
        <f>IF($B75="","",IF(BB$3=0,"n.b.",INDEX(SRC_ZPMW03!$A$1:$ZZ$501,$A75,BB$3)))</f>
        <v/>
      </c>
      <c r="BC75" s="124" t="str">
        <f>IF($B75="","",IF(BC$3=0,"n.b.",INDEX(SRC_ZPMW03!$A$1:$ZZ$501,$A75,BC$3)))</f>
        <v/>
      </c>
      <c r="BD75" s="124" t="str">
        <f>IF($B75="","",IF(BD$3=0,"n.b.",INDEX(SRC_ZPMW03!$A$1:$ZZ$501,$A75,BD$3)))</f>
        <v/>
      </c>
      <c r="BE75" s="124" t="str">
        <f>IF($B75="","",IF(BE$3=0,"n.b.",INDEX(SRC_ZPMW03!$A$1:$ZZ$501,$A75,BE$3)))</f>
        <v/>
      </c>
      <c r="BF75" s="124" t="str">
        <f>IF($B75="","",IF(BF$3=0,"n.b.",INDEX(SRC_ZPMW03!$A$1:$ZZ$501,$A75,BF$3)))</f>
        <v/>
      </c>
      <c r="BG75" t="str">
        <f>IF($B75="","",IF(BG$3=0,"n.b.",INDEX(SRC_ZPMW03!$A$1:$ZZ$501,$A75,BG$3)))</f>
        <v/>
      </c>
      <c r="BH75" t="str">
        <f>IF($B75="","",IF(BH$3=0,"n.b.",INDEX(SRC_ZPMW03!$A$1:$ZZ$501,$A75,BH$3)))</f>
        <v/>
      </c>
      <c r="BI75" t="str">
        <f>IF($B75="","",IF(BI$3=0,"n.b.",INDEX(SRC_ZPMW03!$A$1:$ZZ$501,$A75,BI$3)))</f>
        <v/>
      </c>
      <c r="BJ75" t="str">
        <f>IF($B75="","",IF(BJ$3=0,"n.b.",INDEX(SRC_ZPMW03!$A$1:$ZZ$501,$A75,BJ$3)))</f>
        <v/>
      </c>
      <c r="BK75" s="124" t="str">
        <f>IF($B75="","",IFERROR(-O75,"n.b."))</f>
        <v/>
      </c>
      <c r="BL75" s="124" t="str">
        <f>IF($B75="","",IFERROR(-Q75,"n.b."))</f>
        <v/>
      </c>
      <c r="BM75" s="124" t="str">
        <f>IF($B75="","",IFERROR(-AB75,"n.b."))</f>
        <v/>
      </c>
      <c r="BN75" s="124" t="str">
        <f>IF($B75="","",IFERROR(-AD75,"n.b."))</f>
        <v/>
      </c>
      <c r="BO75" s="124" t="str">
        <f>IF($B75="","",IFERROR(BK75+BM75,"n.b."))</f>
        <v/>
      </c>
      <c r="BP75" s="124" t="str">
        <f>IF($B75="","",IFERROR(BL75+BN75,"n.b."))</f>
        <v/>
      </c>
      <c r="BQ75" s="124" t="str">
        <f>IF($B75="","",IFERROR(-AM75,"n.b."))</f>
        <v/>
      </c>
      <c r="BR75" s="124" t="str">
        <f>IF($B75="","",IFERROR(-AO75,"n.b."))</f>
        <v/>
      </c>
      <c r="BS75" s="124" t="str">
        <f>IF($B75="","",IFERROR(-Z75,"n.b."))</f>
        <v/>
      </c>
      <c r="BT75" s="124" t="str">
        <f>IF($B75="","",IFERROR(-AA75,"n.b."))</f>
        <v/>
      </c>
      <c r="BU75" s="124" t="str">
        <f>IF($B75="","",IFERROR(-AE75,"n.b."))</f>
        <v/>
      </c>
      <c r="BV75" s="124" t="str">
        <f>IF($B75="","",IFERROR(-AF75,"n.b."))</f>
        <v/>
      </c>
      <c r="BW75" s="124" t="str">
        <f>IF($B75="","",IFERROR(-AG75,"n.b."))</f>
        <v/>
      </c>
      <c r="BX75" s="124" t="str">
        <f>IF($B75="","",IFERROR(-AH75,"n.b."))</f>
        <v/>
      </c>
      <c r="BY75" s="124" t="str">
        <f>IF($B75="","",IFERROR(-AI75,"n.b."))</f>
        <v/>
      </c>
      <c r="BZ75" s="124" t="str">
        <f>IF($B75="","",IFERROR(-AJ75,"n.b."))</f>
        <v/>
      </c>
      <c r="CA75" s="124" t="str">
        <f>IF($B75="","",IFERROR(-AK75,"n.b."))</f>
        <v/>
      </c>
      <c r="CB75" s="124" t="str">
        <f>IF($B75="","",IFERROR(-AL75,"n.b."))</f>
        <v/>
      </c>
      <c r="CC75" s="124" t="str">
        <f>IF($B75="","",IFERROR(-AP75,"n.b."))</f>
        <v/>
      </c>
      <c r="CD75" s="124" t="str">
        <f>IF($B75="","",IFERROR(-AQ75,"n.b."))</f>
        <v/>
      </c>
      <c r="CE75" s="124" t="str">
        <f>IF($B75="","",IFERROR(-AR75,"n.b."))</f>
        <v/>
      </c>
      <c r="CF75" s="124" t="str">
        <f>IF($B75="","",IFERROR(-AS75,"n.b."))</f>
        <v/>
      </c>
      <c r="CG75" s="124" t="str">
        <f>IF($B75="","",IFERROR(-AT75,"n.b."))</f>
        <v/>
      </c>
      <c r="CH75" s="124" t="str">
        <f>IF($B75="","",IFERROR(-AU75,"n.b."))</f>
        <v/>
      </c>
      <c r="CI75" s="124" t="str">
        <f>IF($B75="","",IFERROR(-AV75,"n.b."))</f>
        <v/>
      </c>
      <c r="CJ75" s="124" t="str">
        <f>IF($B75="","",IFERROR(-AW75,"n.b."))</f>
        <v/>
      </c>
      <c r="CK75" s="124" t="str">
        <f>IF($B75="","",IFERROR(-AX75,"n.b."))</f>
        <v/>
      </c>
      <c r="CL75" s="124" t="str">
        <f>IF($B75="","",IFERROR(-AY75,"n.b."))</f>
        <v/>
      </c>
      <c r="CM75" s="124" t="str">
        <f>IF($B75="","",IFERROR(-AZ75,"n.b."))</f>
        <v/>
      </c>
      <c r="CN75" s="124" t="str">
        <f>IF($B75="","",IFERROR(-BA75,"n.b."))</f>
        <v/>
      </c>
      <c r="CO75" s="124" t="str">
        <f>IF($B75="","",IFERROR(-BB75,"n.b."))</f>
        <v/>
      </c>
      <c r="CP75" s="124" t="str">
        <f>IF($B75="","",IFERROR(-BC75,"n.b."))</f>
        <v/>
      </c>
      <c r="CQ75" s="124" t="str">
        <f>IF($B75="","",IFERROR(-BD75,"n.b."))</f>
        <v/>
      </c>
      <c r="CR75" s="124" t="str">
        <f>IF($B75="","",IFERROR(-BE75,"n.b."))</f>
        <v/>
      </c>
      <c r="CS75" s="124" t="str">
        <f>IF($B75="","",IFERROR(IF(OR(ABS(T75+V75+X75+Z75-AB75)&gt;P_Tol,ABS(U75+W75+Y75+AA75-AD75)&gt;P_Tol,ABS(AE75+AG75+AI75+AK75-AM75)&gt;P_Tol,ABS(AF75+AH75+AJ75+AL75-AO75)&gt;P_Tol),1,0),1))</f>
        <v/>
      </c>
      <c r="CT75" s="124" t="str">
        <f>IF($B75="","",IFERROR(IF(OR(ABS(AB75+AC75-AD75)&gt;P_Tol,ABS(AM75+AN75-AO75)&gt;P_Tol,ABS(O75+P75-Q75)&gt;P_Tol),1,0),1))</f>
        <v/>
      </c>
      <c r="CU75" s="124" t="str">
        <f>IF($B75="","",IFERROR(IF(ABS(R75-(AB75+AM75+AP75+AR75+AT75+AV75+AX75+AZ75+BB75+BD75))&gt;P_Tol,1,0),1))</f>
        <v/>
      </c>
      <c r="CV75" s="124" t="str">
        <f>IF($B75="","",IFERROR(IF(ABS(M75-(N75+O75+R75))&gt;P_Tol,1,0),1))</f>
        <v/>
      </c>
      <c r="CW75" s="124" t="str">
        <f>IF($B75="","",IF(COUNTIF(Mapping!$A$5:$A$104,B75)&gt;0,1,0))</f>
        <v/>
      </c>
      <c r="CX75" s="124" t="str">
        <f>IF($B75="","",COUNTIF($B$6:$B$505,B75))</f>
        <v/>
      </c>
      <c r="CY75" s="124" t="str">
        <f>IF($B75="","",COUNTIF(STG_Woningetalage!$B$6:$B$505,B75))</f>
        <v/>
      </c>
      <c r="CZ75" s="124" t="str">
        <f>IF($B75="","",IF(CW75=0,COUNTIF($CW$6:CW75,0),""))</f>
        <v/>
      </c>
    </row>
    <row r="76">
      <c r="A76" s="15" t="n">
        <v>72</v>
      </c>
      <c r="B76" t="str">
        <f>IF(B$3=0,"",IF(INDEX(SRC_ZPMW03!$A$1:$ZZ$501,$A76,B$3)&amp;""="","",INDEX(SRC_ZPMW03!$A$1:$ZZ$501,$A76,B$3)&amp;""))</f>
        <v/>
      </c>
      <c r="C76" t="str">
        <f>IF($B76="","",IF(C$3=0,"n.b.",INDEX(SRC_ZPMW03!$A$1:$ZZ$501,$A76,C$3)))</f>
        <v/>
      </c>
      <c r="D76" t="str">
        <f>IF($B76="","",IF(D$3=0,"n.b.",INDEX(SRC_ZPMW03!$A$1:$ZZ$501,$A76,D$3)))</f>
        <v/>
      </c>
      <c r="E76" t="str">
        <f>IF($B76="","",IF(E$3=0,"n.b.",INDEX(SRC_ZPMW03!$A$1:$ZZ$501,$A76,E$3)))</f>
        <v/>
      </c>
      <c r="F76" t="str">
        <f>IF($B76="","",IF(F$3=0,"n.b.",INDEX(SRC_ZPMW03!$A$1:$ZZ$501,$A76,F$3)))</f>
        <v/>
      </c>
      <c r="G76" t="str">
        <f>IF($B76="","",IF(G$3=0,"n.b.",INDEX(SRC_ZPMW03!$A$1:$ZZ$501,$A76,G$3)))</f>
        <v/>
      </c>
      <c r="H76" t="str">
        <f>IF($B76="","",IF(H$3=0,"n.b.",INDEX(SRC_ZPMW03!$A$1:$ZZ$501,$A76,H$3)))</f>
        <v/>
      </c>
      <c r="I76" t="str">
        <f>IF($B76="","",IF(I$3=0,"n.b.",INDEX(SRC_ZPMW03!$A$1:$ZZ$501,$A76,I$3)))</f>
        <v/>
      </c>
      <c r="J76" t="str">
        <f>IF($B76="","",IF(J$3=0,"n.b.",INDEX(SRC_ZPMW03!$A$1:$ZZ$501,$A76,J$3)))</f>
        <v/>
      </c>
      <c r="K76" t="str">
        <f>IF($B76="","",IF(K$3=0,"n.b.",INDEX(SRC_ZPMW03!$A$1:$ZZ$501,$A76,K$3)))</f>
        <v/>
      </c>
      <c r="L76" s="124" t="str">
        <f>IF($B76="","",IF(L$3=0,"n.b.",INDEX(SRC_ZPMW03!$A$1:$ZZ$501,$A76,L$3)))</f>
        <v/>
      </c>
      <c r="M76" s="124" t="str">
        <f>IF($B76="","",IF(M$3=0,"n.b.",INDEX(SRC_ZPMW03!$A$1:$ZZ$501,$A76,M$3)))</f>
        <v/>
      </c>
      <c r="N76" s="124" t="str">
        <f>IF($B76="","",IF(N$3=0,"n.b.",INDEX(SRC_ZPMW03!$A$1:$ZZ$501,$A76,N$3)))</f>
        <v/>
      </c>
      <c r="O76" s="124" t="str">
        <f>IF($B76="","",IF(O$3=0,"n.b.",INDEX(SRC_ZPMW03!$A$1:$ZZ$501,$A76,O$3)))</f>
        <v/>
      </c>
      <c r="P76" s="124" t="str">
        <f>IF($B76="","",IF(P$3=0,"n.b.",INDEX(SRC_ZPMW03!$A$1:$ZZ$501,$A76,P$3)))</f>
        <v/>
      </c>
      <c r="Q76" s="124" t="str">
        <f>IF($B76="","",IF(Q$3=0,"n.b.",INDEX(SRC_ZPMW03!$A$1:$ZZ$501,$A76,Q$3)))</f>
        <v/>
      </c>
      <c r="R76" s="124" t="str">
        <f>IF($B76="","",IF(R$3=0,"n.b.",INDEX(SRC_ZPMW03!$A$1:$ZZ$501,$A76,R$3)))</f>
        <v/>
      </c>
      <c r="S76" s="124" t="str">
        <f>IF($B76="","",IF(S$3=0,"n.b.",INDEX(SRC_ZPMW03!$A$1:$ZZ$501,$A76,S$3)))</f>
        <v/>
      </c>
      <c r="T76" s="124" t="str">
        <f>IF($B76="","",IF(T$3=0,"n.b.",INDEX(SRC_ZPMW03!$A$1:$ZZ$501,$A76,T$3)))</f>
        <v/>
      </c>
      <c r="U76" s="124" t="str">
        <f>IF($B76="","",IF(U$3=0,"n.b.",INDEX(SRC_ZPMW03!$A$1:$ZZ$501,$A76,U$3)))</f>
        <v/>
      </c>
      <c r="V76" s="124" t="str">
        <f>IF($B76="","",IF(V$3=0,"n.b.",INDEX(SRC_ZPMW03!$A$1:$ZZ$501,$A76,V$3)))</f>
        <v/>
      </c>
      <c r="W76" s="124" t="str">
        <f>IF($B76="","",IF(W$3=0,"n.b.",INDEX(SRC_ZPMW03!$A$1:$ZZ$501,$A76,W$3)))</f>
        <v/>
      </c>
      <c r="X76" s="124" t="str">
        <f>IF($B76="","",IF(X$3=0,"n.b.",INDEX(SRC_ZPMW03!$A$1:$ZZ$501,$A76,X$3)))</f>
        <v/>
      </c>
      <c r="Y76" s="124" t="str">
        <f>IF($B76="","",IF(Y$3=0,"n.b.",INDEX(SRC_ZPMW03!$A$1:$ZZ$501,$A76,Y$3)))</f>
        <v/>
      </c>
      <c r="Z76" s="124" t="str">
        <f>IF($B76="","",IF(Z$3=0,"n.b.",INDEX(SRC_ZPMW03!$A$1:$ZZ$501,$A76,Z$3)))</f>
        <v/>
      </c>
      <c r="AA76" s="124" t="str">
        <f>IF($B76="","",IF(AA$3=0,"n.b.",INDEX(SRC_ZPMW03!$A$1:$ZZ$501,$A76,AA$3)))</f>
        <v/>
      </c>
      <c r="AB76" s="124" t="str">
        <f>IF($B76="","",IF(AB$3=0,"n.b.",INDEX(SRC_ZPMW03!$A$1:$ZZ$501,$A76,AB$3)))</f>
        <v/>
      </c>
      <c r="AC76" s="124" t="str">
        <f>IF($B76="","",IF(AC$3=0,"n.b.",INDEX(SRC_ZPMW03!$A$1:$ZZ$501,$A76,AC$3)))</f>
        <v/>
      </c>
      <c r="AD76" s="124" t="str">
        <f>IF($B76="","",IF(AD$3=0,"n.b.",INDEX(SRC_ZPMW03!$A$1:$ZZ$501,$A76,AD$3)))</f>
        <v/>
      </c>
      <c r="AE76" s="124" t="str">
        <f>IF($B76="","",IF(AE$3=0,"n.b.",INDEX(SRC_ZPMW03!$A$1:$ZZ$501,$A76,AE$3)))</f>
        <v/>
      </c>
      <c r="AF76" s="124" t="str">
        <f>IF($B76="","",IF(AF$3=0,"n.b.",INDEX(SRC_ZPMW03!$A$1:$ZZ$501,$A76,AF$3)))</f>
        <v/>
      </c>
      <c r="AG76" s="124" t="str">
        <f>IF($B76="","",IF(AG$3=0,"n.b.",INDEX(SRC_ZPMW03!$A$1:$ZZ$501,$A76,AG$3)))</f>
        <v/>
      </c>
      <c r="AH76" s="124" t="str">
        <f>IF($B76="","",IF(AH$3=0,"n.b.",INDEX(SRC_ZPMW03!$A$1:$ZZ$501,$A76,AH$3)))</f>
        <v/>
      </c>
      <c r="AI76" s="124" t="str">
        <f>IF($B76="","",IF(AI$3=0,"n.b.",INDEX(SRC_ZPMW03!$A$1:$ZZ$501,$A76,AI$3)))</f>
        <v/>
      </c>
      <c r="AJ76" s="124" t="str">
        <f>IF($B76="","",IF(AJ$3=0,"n.b.",INDEX(SRC_ZPMW03!$A$1:$ZZ$501,$A76,AJ$3)))</f>
        <v/>
      </c>
      <c r="AK76" s="124" t="str">
        <f>IF($B76="","",IF(AK$3=0,"n.b.",INDEX(SRC_ZPMW03!$A$1:$ZZ$501,$A76,AK$3)))</f>
        <v/>
      </c>
      <c r="AL76" s="124" t="str">
        <f>IF($B76="","",IF(AL$3=0,"n.b.",INDEX(SRC_ZPMW03!$A$1:$ZZ$501,$A76,AL$3)))</f>
        <v/>
      </c>
      <c r="AM76" s="124" t="str">
        <f>IF($B76="","",IF(AM$3=0,"n.b.",INDEX(SRC_ZPMW03!$A$1:$ZZ$501,$A76,AM$3)))</f>
        <v/>
      </c>
      <c r="AN76" s="124" t="str">
        <f>IF($B76="","",IF(AN$3=0,"n.b.",INDEX(SRC_ZPMW03!$A$1:$ZZ$501,$A76,AN$3)))</f>
        <v/>
      </c>
      <c r="AO76" s="124" t="str">
        <f>IF($B76="","",IF(AO$3=0,"n.b.",INDEX(SRC_ZPMW03!$A$1:$ZZ$501,$A76,AO$3)))</f>
        <v/>
      </c>
      <c r="AP76" s="124" t="str">
        <f>IF($B76="","",IF(AP$3=0,"n.b.",INDEX(SRC_ZPMW03!$A$1:$ZZ$501,$A76,AP$3)))</f>
        <v/>
      </c>
      <c r="AQ76" s="124" t="str">
        <f>IF($B76="","",IF(AQ$3=0,"n.b.",INDEX(SRC_ZPMW03!$A$1:$ZZ$501,$A76,AQ$3)))</f>
        <v/>
      </c>
      <c r="AR76" s="124" t="str">
        <f>IF($B76="","",IF(AR$3=0,"n.b.",INDEX(SRC_ZPMW03!$A$1:$ZZ$501,$A76,AR$3)))</f>
        <v/>
      </c>
      <c r="AS76" s="124" t="str">
        <f>IF($B76="","",IF(AS$3=0,"n.b.",INDEX(SRC_ZPMW03!$A$1:$ZZ$501,$A76,AS$3)))</f>
        <v/>
      </c>
      <c r="AT76" s="124" t="str">
        <f>IF($B76="","",IF(AT$3=0,"n.b.",INDEX(SRC_ZPMW03!$A$1:$ZZ$501,$A76,AT$3)))</f>
        <v/>
      </c>
      <c r="AU76" s="124" t="str">
        <f>IF($B76="","",IF(AU$3=0,"n.b.",INDEX(SRC_ZPMW03!$A$1:$ZZ$501,$A76,AU$3)))</f>
        <v/>
      </c>
      <c r="AV76" s="124" t="str">
        <f>IF($B76="","",IF(AV$3=0,"n.b.",INDEX(SRC_ZPMW03!$A$1:$ZZ$501,$A76,AV$3)))</f>
        <v/>
      </c>
      <c r="AW76" s="124" t="str">
        <f>IF($B76="","",IF(AW$3=0,"n.b.",INDEX(SRC_ZPMW03!$A$1:$ZZ$501,$A76,AW$3)))</f>
        <v/>
      </c>
      <c r="AX76" s="124" t="str">
        <f>IF($B76="","",IF(AX$3=0,"n.b.",INDEX(SRC_ZPMW03!$A$1:$ZZ$501,$A76,AX$3)))</f>
        <v/>
      </c>
      <c r="AY76" s="124" t="str">
        <f>IF($B76="","",IF(AY$3=0,"n.b.",INDEX(SRC_ZPMW03!$A$1:$ZZ$501,$A76,AY$3)))</f>
        <v/>
      </c>
      <c r="AZ76" s="124" t="str">
        <f>IF($B76="","",IF(AZ$3=0,"n.b.",INDEX(SRC_ZPMW03!$A$1:$ZZ$501,$A76,AZ$3)))</f>
        <v/>
      </c>
      <c r="BA76" s="124" t="str">
        <f>IF($B76="","",IF(BA$3=0,"n.b.",INDEX(SRC_ZPMW03!$A$1:$ZZ$501,$A76,BA$3)))</f>
        <v/>
      </c>
      <c r="BB76" s="124" t="str">
        <f>IF($B76="","",IF(BB$3=0,"n.b.",INDEX(SRC_ZPMW03!$A$1:$ZZ$501,$A76,BB$3)))</f>
        <v/>
      </c>
      <c r="BC76" s="124" t="str">
        <f>IF($B76="","",IF(BC$3=0,"n.b.",INDEX(SRC_ZPMW03!$A$1:$ZZ$501,$A76,BC$3)))</f>
        <v/>
      </c>
      <c r="BD76" s="124" t="str">
        <f>IF($B76="","",IF(BD$3=0,"n.b.",INDEX(SRC_ZPMW03!$A$1:$ZZ$501,$A76,BD$3)))</f>
        <v/>
      </c>
      <c r="BE76" s="124" t="str">
        <f>IF($B76="","",IF(BE$3=0,"n.b.",INDEX(SRC_ZPMW03!$A$1:$ZZ$501,$A76,BE$3)))</f>
        <v/>
      </c>
      <c r="BF76" s="124" t="str">
        <f>IF($B76="","",IF(BF$3=0,"n.b.",INDEX(SRC_ZPMW03!$A$1:$ZZ$501,$A76,BF$3)))</f>
        <v/>
      </c>
      <c r="BG76" t="str">
        <f>IF($B76="","",IF(BG$3=0,"n.b.",INDEX(SRC_ZPMW03!$A$1:$ZZ$501,$A76,BG$3)))</f>
        <v/>
      </c>
      <c r="BH76" t="str">
        <f>IF($B76="","",IF(BH$3=0,"n.b.",INDEX(SRC_ZPMW03!$A$1:$ZZ$501,$A76,BH$3)))</f>
        <v/>
      </c>
      <c r="BI76" t="str">
        <f>IF($B76="","",IF(BI$3=0,"n.b.",INDEX(SRC_ZPMW03!$A$1:$ZZ$501,$A76,BI$3)))</f>
        <v/>
      </c>
      <c r="BJ76" t="str">
        <f>IF($B76="","",IF(BJ$3=0,"n.b.",INDEX(SRC_ZPMW03!$A$1:$ZZ$501,$A76,BJ$3)))</f>
        <v/>
      </c>
      <c r="BK76" s="124" t="str">
        <f>IF($B76="","",IFERROR(-O76,"n.b."))</f>
        <v/>
      </c>
      <c r="BL76" s="124" t="str">
        <f>IF($B76="","",IFERROR(-Q76,"n.b."))</f>
        <v/>
      </c>
      <c r="BM76" s="124" t="str">
        <f>IF($B76="","",IFERROR(-AB76,"n.b."))</f>
        <v/>
      </c>
      <c r="BN76" s="124" t="str">
        <f>IF($B76="","",IFERROR(-AD76,"n.b."))</f>
        <v/>
      </c>
      <c r="BO76" s="124" t="str">
        <f>IF($B76="","",IFERROR(BK76+BM76,"n.b."))</f>
        <v/>
      </c>
      <c r="BP76" s="124" t="str">
        <f>IF($B76="","",IFERROR(BL76+BN76,"n.b."))</f>
        <v/>
      </c>
      <c r="BQ76" s="124" t="str">
        <f>IF($B76="","",IFERROR(-AM76,"n.b."))</f>
        <v/>
      </c>
      <c r="BR76" s="124" t="str">
        <f>IF($B76="","",IFERROR(-AO76,"n.b."))</f>
        <v/>
      </c>
      <c r="BS76" s="124" t="str">
        <f>IF($B76="","",IFERROR(-Z76,"n.b."))</f>
        <v/>
      </c>
      <c r="BT76" s="124" t="str">
        <f>IF($B76="","",IFERROR(-AA76,"n.b."))</f>
        <v/>
      </c>
      <c r="BU76" s="124" t="str">
        <f>IF($B76="","",IFERROR(-AE76,"n.b."))</f>
        <v/>
      </c>
      <c r="BV76" s="124" t="str">
        <f>IF($B76="","",IFERROR(-AF76,"n.b."))</f>
        <v/>
      </c>
      <c r="BW76" s="124" t="str">
        <f>IF($B76="","",IFERROR(-AG76,"n.b."))</f>
        <v/>
      </c>
      <c r="BX76" s="124" t="str">
        <f>IF($B76="","",IFERROR(-AH76,"n.b."))</f>
        <v/>
      </c>
      <c r="BY76" s="124" t="str">
        <f>IF($B76="","",IFERROR(-AI76,"n.b."))</f>
        <v/>
      </c>
      <c r="BZ76" s="124" t="str">
        <f>IF($B76="","",IFERROR(-AJ76,"n.b."))</f>
        <v/>
      </c>
      <c r="CA76" s="124" t="str">
        <f>IF($B76="","",IFERROR(-AK76,"n.b."))</f>
        <v/>
      </c>
      <c r="CB76" s="124" t="str">
        <f>IF($B76="","",IFERROR(-AL76,"n.b."))</f>
        <v/>
      </c>
      <c r="CC76" s="124" t="str">
        <f>IF($B76="","",IFERROR(-AP76,"n.b."))</f>
        <v/>
      </c>
      <c r="CD76" s="124" t="str">
        <f>IF($B76="","",IFERROR(-AQ76,"n.b."))</f>
        <v/>
      </c>
      <c r="CE76" s="124" t="str">
        <f>IF($B76="","",IFERROR(-AR76,"n.b."))</f>
        <v/>
      </c>
      <c r="CF76" s="124" t="str">
        <f>IF($B76="","",IFERROR(-AS76,"n.b."))</f>
        <v/>
      </c>
      <c r="CG76" s="124" t="str">
        <f>IF($B76="","",IFERROR(-AT76,"n.b."))</f>
        <v/>
      </c>
      <c r="CH76" s="124" t="str">
        <f>IF($B76="","",IFERROR(-AU76,"n.b."))</f>
        <v/>
      </c>
      <c r="CI76" s="124" t="str">
        <f>IF($B76="","",IFERROR(-AV76,"n.b."))</f>
        <v/>
      </c>
      <c r="CJ76" s="124" t="str">
        <f>IF($B76="","",IFERROR(-AW76,"n.b."))</f>
        <v/>
      </c>
      <c r="CK76" s="124" t="str">
        <f>IF($B76="","",IFERROR(-AX76,"n.b."))</f>
        <v/>
      </c>
      <c r="CL76" s="124" t="str">
        <f>IF($B76="","",IFERROR(-AY76,"n.b."))</f>
        <v/>
      </c>
      <c r="CM76" s="124" t="str">
        <f>IF($B76="","",IFERROR(-AZ76,"n.b."))</f>
        <v/>
      </c>
      <c r="CN76" s="124" t="str">
        <f>IF($B76="","",IFERROR(-BA76,"n.b."))</f>
        <v/>
      </c>
      <c r="CO76" s="124" t="str">
        <f>IF($B76="","",IFERROR(-BB76,"n.b."))</f>
        <v/>
      </c>
      <c r="CP76" s="124" t="str">
        <f>IF($B76="","",IFERROR(-BC76,"n.b."))</f>
        <v/>
      </c>
      <c r="CQ76" s="124" t="str">
        <f>IF($B76="","",IFERROR(-BD76,"n.b."))</f>
        <v/>
      </c>
      <c r="CR76" s="124" t="str">
        <f>IF($B76="","",IFERROR(-BE76,"n.b."))</f>
        <v/>
      </c>
      <c r="CS76" s="124" t="str">
        <f>IF($B76="","",IFERROR(IF(OR(ABS(T76+V76+X76+Z76-AB76)&gt;P_Tol,ABS(U76+W76+Y76+AA76-AD76)&gt;P_Tol,ABS(AE76+AG76+AI76+AK76-AM76)&gt;P_Tol,ABS(AF76+AH76+AJ76+AL76-AO76)&gt;P_Tol),1,0),1))</f>
        <v/>
      </c>
      <c r="CT76" s="124" t="str">
        <f>IF($B76="","",IFERROR(IF(OR(ABS(AB76+AC76-AD76)&gt;P_Tol,ABS(AM76+AN76-AO76)&gt;P_Tol,ABS(O76+P76-Q76)&gt;P_Tol),1,0),1))</f>
        <v/>
      </c>
      <c r="CU76" s="124" t="str">
        <f>IF($B76="","",IFERROR(IF(ABS(R76-(AB76+AM76+AP76+AR76+AT76+AV76+AX76+AZ76+BB76+BD76))&gt;P_Tol,1,0),1))</f>
        <v/>
      </c>
      <c r="CV76" s="124" t="str">
        <f>IF($B76="","",IFERROR(IF(ABS(M76-(N76+O76+R76))&gt;P_Tol,1,0),1))</f>
        <v/>
      </c>
      <c r="CW76" s="124" t="str">
        <f>IF($B76="","",IF(COUNTIF(Mapping!$A$5:$A$104,B76)&gt;0,1,0))</f>
        <v/>
      </c>
      <c r="CX76" s="124" t="str">
        <f>IF($B76="","",COUNTIF($B$6:$B$505,B76))</f>
        <v/>
      </c>
      <c r="CY76" s="124" t="str">
        <f>IF($B76="","",COUNTIF(STG_Woningetalage!$B$6:$B$505,B76))</f>
        <v/>
      </c>
      <c r="CZ76" s="124" t="str">
        <f>IF($B76="","",IF(CW76=0,COUNTIF($CW$6:CW76,0),""))</f>
        <v/>
      </c>
    </row>
    <row r="77">
      <c r="A77" s="15" t="n">
        <v>73</v>
      </c>
      <c r="B77" t="str">
        <f>IF(B$3=0,"",IF(INDEX(SRC_ZPMW03!$A$1:$ZZ$501,$A77,B$3)&amp;""="","",INDEX(SRC_ZPMW03!$A$1:$ZZ$501,$A77,B$3)&amp;""))</f>
        <v/>
      </c>
      <c r="C77" t="str">
        <f>IF($B77="","",IF(C$3=0,"n.b.",INDEX(SRC_ZPMW03!$A$1:$ZZ$501,$A77,C$3)))</f>
        <v/>
      </c>
      <c r="D77" t="str">
        <f>IF($B77="","",IF(D$3=0,"n.b.",INDEX(SRC_ZPMW03!$A$1:$ZZ$501,$A77,D$3)))</f>
        <v/>
      </c>
      <c r="E77" t="str">
        <f>IF($B77="","",IF(E$3=0,"n.b.",INDEX(SRC_ZPMW03!$A$1:$ZZ$501,$A77,E$3)))</f>
        <v/>
      </c>
      <c r="F77" t="str">
        <f>IF($B77="","",IF(F$3=0,"n.b.",INDEX(SRC_ZPMW03!$A$1:$ZZ$501,$A77,F$3)))</f>
        <v/>
      </c>
      <c r="G77" t="str">
        <f>IF($B77="","",IF(G$3=0,"n.b.",INDEX(SRC_ZPMW03!$A$1:$ZZ$501,$A77,G$3)))</f>
        <v/>
      </c>
      <c r="H77" t="str">
        <f>IF($B77="","",IF(H$3=0,"n.b.",INDEX(SRC_ZPMW03!$A$1:$ZZ$501,$A77,H$3)))</f>
        <v/>
      </c>
      <c r="I77" t="str">
        <f>IF($B77="","",IF(I$3=0,"n.b.",INDEX(SRC_ZPMW03!$A$1:$ZZ$501,$A77,I$3)))</f>
        <v/>
      </c>
      <c r="J77" t="str">
        <f>IF($B77="","",IF(J$3=0,"n.b.",INDEX(SRC_ZPMW03!$A$1:$ZZ$501,$A77,J$3)))</f>
        <v/>
      </c>
      <c r="K77" t="str">
        <f>IF($B77="","",IF(K$3=0,"n.b.",INDEX(SRC_ZPMW03!$A$1:$ZZ$501,$A77,K$3)))</f>
        <v/>
      </c>
      <c r="L77" s="124" t="str">
        <f>IF($B77="","",IF(L$3=0,"n.b.",INDEX(SRC_ZPMW03!$A$1:$ZZ$501,$A77,L$3)))</f>
        <v/>
      </c>
      <c r="M77" s="124" t="str">
        <f>IF($B77="","",IF(M$3=0,"n.b.",INDEX(SRC_ZPMW03!$A$1:$ZZ$501,$A77,M$3)))</f>
        <v/>
      </c>
      <c r="N77" s="124" t="str">
        <f>IF($B77="","",IF(N$3=0,"n.b.",INDEX(SRC_ZPMW03!$A$1:$ZZ$501,$A77,N$3)))</f>
        <v/>
      </c>
      <c r="O77" s="124" t="str">
        <f>IF($B77="","",IF(O$3=0,"n.b.",INDEX(SRC_ZPMW03!$A$1:$ZZ$501,$A77,O$3)))</f>
        <v/>
      </c>
      <c r="P77" s="124" t="str">
        <f>IF($B77="","",IF(P$3=0,"n.b.",INDEX(SRC_ZPMW03!$A$1:$ZZ$501,$A77,P$3)))</f>
        <v/>
      </c>
      <c r="Q77" s="124" t="str">
        <f>IF($B77="","",IF(Q$3=0,"n.b.",INDEX(SRC_ZPMW03!$A$1:$ZZ$501,$A77,Q$3)))</f>
        <v/>
      </c>
      <c r="R77" s="124" t="str">
        <f>IF($B77="","",IF(R$3=0,"n.b.",INDEX(SRC_ZPMW03!$A$1:$ZZ$501,$A77,R$3)))</f>
        <v/>
      </c>
      <c r="S77" s="124" t="str">
        <f>IF($B77="","",IF(S$3=0,"n.b.",INDEX(SRC_ZPMW03!$A$1:$ZZ$501,$A77,S$3)))</f>
        <v/>
      </c>
      <c r="T77" s="124" t="str">
        <f>IF($B77="","",IF(T$3=0,"n.b.",INDEX(SRC_ZPMW03!$A$1:$ZZ$501,$A77,T$3)))</f>
        <v/>
      </c>
      <c r="U77" s="124" t="str">
        <f>IF($B77="","",IF(U$3=0,"n.b.",INDEX(SRC_ZPMW03!$A$1:$ZZ$501,$A77,U$3)))</f>
        <v/>
      </c>
      <c r="V77" s="124" t="str">
        <f>IF($B77="","",IF(V$3=0,"n.b.",INDEX(SRC_ZPMW03!$A$1:$ZZ$501,$A77,V$3)))</f>
        <v/>
      </c>
      <c r="W77" s="124" t="str">
        <f>IF($B77="","",IF(W$3=0,"n.b.",INDEX(SRC_ZPMW03!$A$1:$ZZ$501,$A77,W$3)))</f>
        <v/>
      </c>
      <c r="X77" s="124" t="str">
        <f>IF($B77="","",IF(X$3=0,"n.b.",INDEX(SRC_ZPMW03!$A$1:$ZZ$501,$A77,X$3)))</f>
        <v/>
      </c>
      <c r="Y77" s="124" t="str">
        <f>IF($B77="","",IF(Y$3=0,"n.b.",INDEX(SRC_ZPMW03!$A$1:$ZZ$501,$A77,Y$3)))</f>
        <v/>
      </c>
      <c r="Z77" s="124" t="str">
        <f>IF($B77="","",IF(Z$3=0,"n.b.",INDEX(SRC_ZPMW03!$A$1:$ZZ$501,$A77,Z$3)))</f>
        <v/>
      </c>
      <c r="AA77" s="124" t="str">
        <f>IF($B77="","",IF(AA$3=0,"n.b.",INDEX(SRC_ZPMW03!$A$1:$ZZ$501,$A77,AA$3)))</f>
        <v/>
      </c>
      <c r="AB77" s="124" t="str">
        <f>IF($B77="","",IF(AB$3=0,"n.b.",INDEX(SRC_ZPMW03!$A$1:$ZZ$501,$A77,AB$3)))</f>
        <v/>
      </c>
      <c r="AC77" s="124" t="str">
        <f>IF($B77="","",IF(AC$3=0,"n.b.",INDEX(SRC_ZPMW03!$A$1:$ZZ$501,$A77,AC$3)))</f>
        <v/>
      </c>
      <c r="AD77" s="124" t="str">
        <f>IF($B77="","",IF(AD$3=0,"n.b.",INDEX(SRC_ZPMW03!$A$1:$ZZ$501,$A77,AD$3)))</f>
        <v/>
      </c>
      <c r="AE77" s="124" t="str">
        <f>IF($B77="","",IF(AE$3=0,"n.b.",INDEX(SRC_ZPMW03!$A$1:$ZZ$501,$A77,AE$3)))</f>
        <v/>
      </c>
      <c r="AF77" s="124" t="str">
        <f>IF($B77="","",IF(AF$3=0,"n.b.",INDEX(SRC_ZPMW03!$A$1:$ZZ$501,$A77,AF$3)))</f>
        <v/>
      </c>
      <c r="AG77" s="124" t="str">
        <f>IF($B77="","",IF(AG$3=0,"n.b.",INDEX(SRC_ZPMW03!$A$1:$ZZ$501,$A77,AG$3)))</f>
        <v/>
      </c>
      <c r="AH77" s="124" t="str">
        <f>IF($B77="","",IF(AH$3=0,"n.b.",INDEX(SRC_ZPMW03!$A$1:$ZZ$501,$A77,AH$3)))</f>
        <v/>
      </c>
      <c r="AI77" s="124" t="str">
        <f>IF($B77="","",IF(AI$3=0,"n.b.",INDEX(SRC_ZPMW03!$A$1:$ZZ$501,$A77,AI$3)))</f>
        <v/>
      </c>
      <c r="AJ77" s="124" t="str">
        <f>IF($B77="","",IF(AJ$3=0,"n.b.",INDEX(SRC_ZPMW03!$A$1:$ZZ$501,$A77,AJ$3)))</f>
        <v/>
      </c>
      <c r="AK77" s="124" t="str">
        <f>IF($B77="","",IF(AK$3=0,"n.b.",INDEX(SRC_ZPMW03!$A$1:$ZZ$501,$A77,AK$3)))</f>
        <v/>
      </c>
      <c r="AL77" s="124" t="str">
        <f>IF($B77="","",IF(AL$3=0,"n.b.",INDEX(SRC_ZPMW03!$A$1:$ZZ$501,$A77,AL$3)))</f>
        <v/>
      </c>
      <c r="AM77" s="124" t="str">
        <f>IF($B77="","",IF(AM$3=0,"n.b.",INDEX(SRC_ZPMW03!$A$1:$ZZ$501,$A77,AM$3)))</f>
        <v/>
      </c>
      <c r="AN77" s="124" t="str">
        <f>IF($B77="","",IF(AN$3=0,"n.b.",INDEX(SRC_ZPMW03!$A$1:$ZZ$501,$A77,AN$3)))</f>
        <v/>
      </c>
      <c r="AO77" s="124" t="str">
        <f>IF($B77="","",IF(AO$3=0,"n.b.",INDEX(SRC_ZPMW03!$A$1:$ZZ$501,$A77,AO$3)))</f>
        <v/>
      </c>
      <c r="AP77" s="124" t="str">
        <f>IF($B77="","",IF(AP$3=0,"n.b.",INDEX(SRC_ZPMW03!$A$1:$ZZ$501,$A77,AP$3)))</f>
        <v/>
      </c>
      <c r="AQ77" s="124" t="str">
        <f>IF($B77="","",IF(AQ$3=0,"n.b.",INDEX(SRC_ZPMW03!$A$1:$ZZ$501,$A77,AQ$3)))</f>
        <v/>
      </c>
      <c r="AR77" s="124" t="str">
        <f>IF($B77="","",IF(AR$3=0,"n.b.",INDEX(SRC_ZPMW03!$A$1:$ZZ$501,$A77,AR$3)))</f>
        <v/>
      </c>
      <c r="AS77" s="124" t="str">
        <f>IF($B77="","",IF(AS$3=0,"n.b.",INDEX(SRC_ZPMW03!$A$1:$ZZ$501,$A77,AS$3)))</f>
        <v/>
      </c>
      <c r="AT77" s="124" t="str">
        <f>IF($B77="","",IF(AT$3=0,"n.b.",INDEX(SRC_ZPMW03!$A$1:$ZZ$501,$A77,AT$3)))</f>
        <v/>
      </c>
      <c r="AU77" s="124" t="str">
        <f>IF($B77="","",IF(AU$3=0,"n.b.",INDEX(SRC_ZPMW03!$A$1:$ZZ$501,$A77,AU$3)))</f>
        <v/>
      </c>
      <c r="AV77" s="124" t="str">
        <f>IF($B77="","",IF(AV$3=0,"n.b.",INDEX(SRC_ZPMW03!$A$1:$ZZ$501,$A77,AV$3)))</f>
        <v/>
      </c>
      <c r="AW77" s="124" t="str">
        <f>IF($B77="","",IF(AW$3=0,"n.b.",INDEX(SRC_ZPMW03!$A$1:$ZZ$501,$A77,AW$3)))</f>
        <v/>
      </c>
      <c r="AX77" s="124" t="str">
        <f>IF($B77="","",IF(AX$3=0,"n.b.",INDEX(SRC_ZPMW03!$A$1:$ZZ$501,$A77,AX$3)))</f>
        <v/>
      </c>
      <c r="AY77" s="124" t="str">
        <f>IF($B77="","",IF(AY$3=0,"n.b.",INDEX(SRC_ZPMW03!$A$1:$ZZ$501,$A77,AY$3)))</f>
        <v/>
      </c>
      <c r="AZ77" s="124" t="str">
        <f>IF($B77="","",IF(AZ$3=0,"n.b.",INDEX(SRC_ZPMW03!$A$1:$ZZ$501,$A77,AZ$3)))</f>
        <v/>
      </c>
      <c r="BA77" s="124" t="str">
        <f>IF($B77="","",IF(BA$3=0,"n.b.",INDEX(SRC_ZPMW03!$A$1:$ZZ$501,$A77,BA$3)))</f>
        <v/>
      </c>
      <c r="BB77" s="124" t="str">
        <f>IF($B77="","",IF(BB$3=0,"n.b.",INDEX(SRC_ZPMW03!$A$1:$ZZ$501,$A77,BB$3)))</f>
        <v/>
      </c>
      <c r="BC77" s="124" t="str">
        <f>IF($B77="","",IF(BC$3=0,"n.b.",INDEX(SRC_ZPMW03!$A$1:$ZZ$501,$A77,BC$3)))</f>
        <v/>
      </c>
      <c r="BD77" s="124" t="str">
        <f>IF($B77="","",IF(BD$3=0,"n.b.",INDEX(SRC_ZPMW03!$A$1:$ZZ$501,$A77,BD$3)))</f>
        <v/>
      </c>
      <c r="BE77" s="124" t="str">
        <f>IF($B77="","",IF(BE$3=0,"n.b.",INDEX(SRC_ZPMW03!$A$1:$ZZ$501,$A77,BE$3)))</f>
        <v/>
      </c>
      <c r="BF77" s="124" t="str">
        <f>IF($B77="","",IF(BF$3=0,"n.b.",INDEX(SRC_ZPMW03!$A$1:$ZZ$501,$A77,BF$3)))</f>
        <v/>
      </c>
      <c r="BG77" t="str">
        <f>IF($B77="","",IF(BG$3=0,"n.b.",INDEX(SRC_ZPMW03!$A$1:$ZZ$501,$A77,BG$3)))</f>
        <v/>
      </c>
      <c r="BH77" t="str">
        <f>IF($B77="","",IF(BH$3=0,"n.b.",INDEX(SRC_ZPMW03!$A$1:$ZZ$501,$A77,BH$3)))</f>
        <v/>
      </c>
      <c r="BI77" t="str">
        <f>IF($B77="","",IF(BI$3=0,"n.b.",INDEX(SRC_ZPMW03!$A$1:$ZZ$501,$A77,BI$3)))</f>
        <v/>
      </c>
      <c r="BJ77" t="str">
        <f>IF($B77="","",IF(BJ$3=0,"n.b.",INDEX(SRC_ZPMW03!$A$1:$ZZ$501,$A77,BJ$3)))</f>
        <v/>
      </c>
      <c r="BK77" s="124" t="str">
        <f>IF($B77="","",IFERROR(-O77,"n.b."))</f>
        <v/>
      </c>
      <c r="BL77" s="124" t="str">
        <f>IF($B77="","",IFERROR(-Q77,"n.b."))</f>
        <v/>
      </c>
      <c r="BM77" s="124" t="str">
        <f>IF($B77="","",IFERROR(-AB77,"n.b."))</f>
        <v/>
      </c>
      <c r="BN77" s="124" t="str">
        <f>IF($B77="","",IFERROR(-AD77,"n.b."))</f>
        <v/>
      </c>
      <c r="BO77" s="124" t="str">
        <f>IF($B77="","",IFERROR(BK77+BM77,"n.b."))</f>
        <v/>
      </c>
      <c r="BP77" s="124" t="str">
        <f>IF($B77="","",IFERROR(BL77+BN77,"n.b."))</f>
        <v/>
      </c>
      <c r="BQ77" s="124" t="str">
        <f>IF($B77="","",IFERROR(-AM77,"n.b."))</f>
        <v/>
      </c>
      <c r="BR77" s="124" t="str">
        <f>IF($B77="","",IFERROR(-AO77,"n.b."))</f>
        <v/>
      </c>
      <c r="BS77" s="124" t="str">
        <f>IF($B77="","",IFERROR(-Z77,"n.b."))</f>
        <v/>
      </c>
      <c r="BT77" s="124" t="str">
        <f>IF($B77="","",IFERROR(-AA77,"n.b."))</f>
        <v/>
      </c>
      <c r="BU77" s="124" t="str">
        <f>IF($B77="","",IFERROR(-AE77,"n.b."))</f>
        <v/>
      </c>
      <c r="BV77" s="124" t="str">
        <f>IF($B77="","",IFERROR(-AF77,"n.b."))</f>
        <v/>
      </c>
      <c r="BW77" s="124" t="str">
        <f>IF($B77="","",IFERROR(-AG77,"n.b."))</f>
        <v/>
      </c>
      <c r="BX77" s="124" t="str">
        <f>IF($B77="","",IFERROR(-AH77,"n.b."))</f>
        <v/>
      </c>
      <c r="BY77" s="124" t="str">
        <f>IF($B77="","",IFERROR(-AI77,"n.b."))</f>
        <v/>
      </c>
      <c r="BZ77" s="124" t="str">
        <f>IF($B77="","",IFERROR(-AJ77,"n.b."))</f>
        <v/>
      </c>
      <c r="CA77" s="124" t="str">
        <f>IF($B77="","",IFERROR(-AK77,"n.b."))</f>
        <v/>
      </c>
      <c r="CB77" s="124" t="str">
        <f>IF($B77="","",IFERROR(-AL77,"n.b."))</f>
        <v/>
      </c>
      <c r="CC77" s="124" t="str">
        <f>IF($B77="","",IFERROR(-AP77,"n.b."))</f>
        <v/>
      </c>
      <c r="CD77" s="124" t="str">
        <f>IF($B77="","",IFERROR(-AQ77,"n.b."))</f>
        <v/>
      </c>
      <c r="CE77" s="124" t="str">
        <f>IF($B77="","",IFERROR(-AR77,"n.b."))</f>
        <v/>
      </c>
      <c r="CF77" s="124" t="str">
        <f>IF($B77="","",IFERROR(-AS77,"n.b."))</f>
        <v/>
      </c>
      <c r="CG77" s="124" t="str">
        <f>IF($B77="","",IFERROR(-AT77,"n.b."))</f>
        <v/>
      </c>
      <c r="CH77" s="124" t="str">
        <f>IF($B77="","",IFERROR(-AU77,"n.b."))</f>
        <v/>
      </c>
      <c r="CI77" s="124" t="str">
        <f>IF($B77="","",IFERROR(-AV77,"n.b."))</f>
        <v/>
      </c>
      <c r="CJ77" s="124" t="str">
        <f>IF($B77="","",IFERROR(-AW77,"n.b."))</f>
        <v/>
      </c>
      <c r="CK77" s="124" t="str">
        <f>IF($B77="","",IFERROR(-AX77,"n.b."))</f>
        <v/>
      </c>
      <c r="CL77" s="124" t="str">
        <f>IF($B77="","",IFERROR(-AY77,"n.b."))</f>
        <v/>
      </c>
      <c r="CM77" s="124" t="str">
        <f>IF($B77="","",IFERROR(-AZ77,"n.b."))</f>
        <v/>
      </c>
      <c r="CN77" s="124" t="str">
        <f>IF($B77="","",IFERROR(-BA77,"n.b."))</f>
        <v/>
      </c>
      <c r="CO77" s="124" t="str">
        <f>IF($B77="","",IFERROR(-BB77,"n.b."))</f>
        <v/>
      </c>
      <c r="CP77" s="124" t="str">
        <f>IF($B77="","",IFERROR(-BC77,"n.b."))</f>
        <v/>
      </c>
      <c r="CQ77" s="124" t="str">
        <f>IF($B77="","",IFERROR(-BD77,"n.b."))</f>
        <v/>
      </c>
      <c r="CR77" s="124" t="str">
        <f>IF($B77="","",IFERROR(-BE77,"n.b."))</f>
        <v/>
      </c>
      <c r="CS77" s="124" t="str">
        <f>IF($B77="","",IFERROR(IF(OR(ABS(T77+V77+X77+Z77-AB77)&gt;P_Tol,ABS(U77+W77+Y77+AA77-AD77)&gt;P_Tol,ABS(AE77+AG77+AI77+AK77-AM77)&gt;P_Tol,ABS(AF77+AH77+AJ77+AL77-AO77)&gt;P_Tol),1,0),1))</f>
        <v/>
      </c>
      <c r="CT77" s="124" t="str">
        <f>IF($B77="","",IFERROR(IF(OR(ABS(AB77+AC77-AD77)&gt;P_Tol,ABS(AM77+AN77-AO77)&gt;P_Tol,ABS(O77+P77-Q77)&gt;P_Tol),1,0),1))</f>
        <v/>
      </c>
      <c r="CU77" s="124" t="str">
        <f>IF($B77="","",IFERROR(IF(ABS(R77-(AB77+AM77+AP77+AR77+AT77+AV77+AX77+AZ77+BB77+BD77))&gt;P_Tol,1,0),1))</f>
        <v/>
      </c>
      <c r="CV77" s="124" t="str">
        <f>IF($B77="","",IFERROR(IF(ABS(M77-(N77+O77+R77))&gt;P_Tol,1,0),1))</f>
        <v/>
      </c>
      <c r="CW77" s="124" t="str">
        <f>IF($B77="","",IF(COUNTIF(Mapping!$A$5:$A$104,B77)&gt;0,1,0))</f>
        <v/>
      </c>
      <c r="CX77" s="124" t="str">
        <f>IF($B77="","",COUNTIF($B$6:$B$505,B77))</f>
        <v/>
      </c>
      <c r="CY77" s="124" t="str">
        <f>IF($B77="","",COUNTIF(STG_Woningetalage!$B$6:$B$505,B77))</f>
        <v/>
      </c>
      <c r="CZ77" s="124" t="str">
        <f>IF($B77="","",IF(CW77=0,COUNTIF($CW$6:CW77,0),""))</f>
        <v/>
      </c>
    </row>
    <row r="78">
      <c r="A78" s="15" t="n">
        <v>74</v>
      </c>
      <c r="B78" t="str">
        <f>IF(B$3=0,"",IF(INDEX(SRC_ZPMW03!$A$1:$ZZ$501,$A78,B$3)&amp;""="","",INDEX(SRC_ZPMW03!$A$1:$ZZ$501,$A78,B$3)&amp;""))</f>
        <v/>
      </c>
      <c r="C78" t="str">
        <f>IF($B78="","",IF(C$3=0,"n.b.",INDEX(SRC_ZPMW03!$A$1:$ZZ$501,$A78,C$3)))</f>
        <v/>
      </c>
      <c r="D78" t="str">
        <f>IF($B78="","",IF(D$3=0,"n.b.",INDEX(SRC_ZPMW03!$A$1:$ZZ$501,$A78,D$3)))</f>
        <v/>
      </c>
      <c r="E78" t="str">
        <f>IF($B78="","",IF(E$3=0,"n.b.",INDEX(SRC_ZPMW03!$A$1:$ZZ$501,$A78,E$3)))</f>
        <v/>
      </c>
      <c r="F78" t="str">
        <f>IF($B78="","",IF(F$3=0,"n.b.",INDEX(SRC_ZPMW03!$A$1:$ZZ$501,$A78,F$3)))</f>
        <v/>
      </c>
      <c r="G78" t="str">
        <f>IF($B78="","",IF(G$3=0,"n.b.",INDEX(SRC_ZPMW03!$A$1:$ZZ$501,$A78,G$3)))</f>
        <v/>
      </c>
      <c r="H78" t="str">
        <f>IF($B78="","",IF(H$3=0,"n.b.",INDEX(SRC_ZPMW03!$A$1:$ZZ$501,$A78,H$3)))</f>
        <v/>
      </c>
      <c r="I78" t="str">
        <f>IF($B78="","",IF(I$3=0,"n.b.",INDEX(SRC_ZPMW03!$A$1:$ZZ$501,$A78,I$3)))</f>
        <v/>
      </c>
      <c r="J78" t="str">
        <f>IF($B78="","",IF(J$3=0,"n.b.",INDEX(SRC_ZPMW03!$A$1:$ZZ$501,$A78,J$3)))</f>
        <v/>
      </c>
      <c r="K78" t="str">
        <f>IF($B78="","",IF(K$3=0,"n.b.",INDEX(SRC_ZPMW03!$A$1:$ZZ$501,$A78,K$3)))</f>
        <v/>
      </c>
      <c r="L78" s="124" t="str">
        <f>IF($B78="","",IF(L$3=0,"n.b.",INDEX(SRC_ZPMW03!$A$1:$ZZ$501,$A78,L$3)))</f>
        <v/>
      </c>
      <c r="M78" s="124" t="str">
        <f>IF($B78="","",IF(M$3=0,"n.b.",INDEX(SRC_ZPMW03!$A$1:$ZZ$501,$A78,M$3)))</f>
        <v/>
      </c>
      <c r="N78" s="124" t="str">
        <f>IF($B78="","",IF(N$3=0,"n.b.",INDEX(SRC_ZPMW03!$A$1:$ZZ$501,$A78,N$3)))</f>
        <v/>
      </c>
      <c r="O78" s="124" t="str">
        <f>IF($B78="","",IF(O$3=0,"n.b.",INDEX(SRC_ZPMW03!$A$1:$ZZ$501,$A78,O$3)))</f>
        <v/>
      </c>
      <c r="P78" s="124" t="str">
        <f>IF($B78="","",IF(P$3=0,"n.b.",INDEX(SRC_ZPMW03!$A$1:$ZZ$501,$A78,P$3)))</f>
        <v/>
      </c>
      <c r="Q78" s="124" t="str">
        <f>IF($B78="","",IF(Q$3=0,"n.b.",INDEX(SRC_ZPMW03!$A$1:$ZZ$501,$A78,Q$3)))</f>
        <v/>
      </c>
      <c r="R78" s="124" t="str">
        <f>IF($B78="","",IF(R$3=0,"n.b.",INDEX(SRC_ZPMW03!$A$1:$ZZ$501,$A78,R$3)))</f>
        <v/>
      </c>
      <c r="S78" s="124" t="str">
        <f>IF($B78="","",IF(S$3=0,"n.b.",INDEX(SRC_ZPMW03!$A$1:$ZZ$501,$A78,S$3)))</f>
        <v/>
      </c>
      <c r="T78" s="124" t="str">
        <f>IF($B78="","",IF(T$3=0,"n.b.",INDEX(SRC_ZPMW03!$A$1:$ZZ$501,$A78,T$3)))</f>
        <v/>
      </c>
      <c r="U78" s="124" t="str">
        <f>IF($B78="","",IF(U$3=0,"n.b.",INDEX(SRC_ZPMW03!$A$1:$ZZ$501,$A78,U$3)))</f>
        <v/>
      </c>
      <c r="V78" s="124" t="str">
        <f>IF($B78="","",IF(V$3=0,"n.b.",INDEX(SRC_ZPMW03!$A$1:$ZZ$501,$A78,V$3)))</f>
        <v/>
      </c>
      <c r="W78" s="124" t="str">
        <f>IF($B78="","",IF(W$3=0,"n.b.",INDEX(SRC_ZPMW03!$A$1:$ZZ$501,$A78,W$3)))</f>
        <v/>
      </c>
      <c r="X78" s="124" t="str">
        <f>IF($B78="","",IF(X$3=0,"n.b.",INDEX(SRC_ZPMW03!$A$1:$ZZ$501,$A78,X$3)))</f>
        <v/>
      </c>
      <c r="Y78" s="124" t="str">
        <f>IF($B78="","",IF(Y$3=0,"n.b.",INDEX(SRC_ZPMW03!$A$1:$ZZ$501,$A78,Y$3)))</f>
        <v/>
      </c>
      <c r="Z78" s="124" t="str">
        <f>IF($B78="","",IF(Z$3=0,"n.b.",INDEX(SRC_ZPMW03!$A$1:$ZZ$501,$A78,Z$3)))</f>
        <v/>
      </c>
      <c r="AA78" s="124" t="str">
        <f>IF($B78="","",IF(AA$3=0,"n.b.",INDEX(SRC_ZPMW03!$A$1:$ZZ$501,$A78,AA$3)))</f>
        <v/>
      </c>
      <c r="AB78" s="124" t="str">
        <f>IF($B78="","",IF(AB$3=0,"n.b.",INDEX(SRC_ZPMW03!$A$1:$ZZ$501,$A78,AB$3)))</f>
        <v/>
      </c>
      <c r="AC78" s="124" t="str">
        <f>IF($B78="","",IF(AC$3=0,"n.b.",INDEX(SRC_ZPMW03!$A$1:$ZZ$501,$A78,AC$3)))</f>
        <v/>
      </c>
      <c r="AD78" s="124" t="str">
        <f>IF($B78="","",IF(AD$3=0,"n.b.",INDEX(SRC_ZPMW03!$A$1:$ZZ$501,$A78,AD$3)))</f>
        <v/>
      </c>
      <c r="AE78" s="124" t="str">
        <f>IF($B78="","",IF(AE$3=0,"n.b.",INDEX(SRC_ZPMW03!$A$1:$ZZ$501,$A78,AE$3)))</f>
        <v/>
      </c>
      <c r="AF78" s="124" t="str">
        <f>IF($B78="","",IF(AF$3=0,"n.b.",INDEX(SRC_ZPMW03!$A$1:$ZZ$501,$A78,AF$3)))</f>
        <v/>
      </c>
      <c r="AG78" s="124" t="str">
        <f>IF($B78="","",IF(AG$3=0,"n.b.",INDEX(SRC_ZPMW03!$A$1:$ZZ$501,$A78,AG$3)))</f>
        <v/>
      </c>
      <c r="AH78" s="124" t="str">
        <f>IF($B78="","",IF(AH$3=0,"n.b.",INDEX(SRC_ZPMW03!$A$1:$ZZ$501,$A78,AH$3)))</f>
        <v/>
      </c>
      <c r="AI78" s="124" t="str">
        <f>IF($B78="","",IF(AI$3=0,"n.b.",INDEX(SRC_ZPMW03!$A$1:$ZZ$501,$A78,AI$3)))</f>
        <v/>
      </c>
      <c r="AJ78" s="124" t="str">
        <f>IF($B78="","",IF(AJ$3=0,"n.b.",INDEX(SRC_ZPMW03!$A$1:$ZZ$501,$A78,AJ$3)))</f>
        <v/>
      </c>
      <c r="AK78" s="124" t="str">
        <f>IF($B78="","",IF(AK$3=0,"n.b.",INDEX(SRC_ZPMW03!$A$1:$ZZ$501,$A78,AK$3)))</f>
        <v/>
      </c>
      <c r="AL78" s="124" t="str">
        <f>IF($B78="","",IF(AL$3=0,"n.b.",INDEX(SRC_ZPMW03!$A$1:$ZZ$501,$A78,AL$3)))</f>
        <v/>
      </c>
      <c r="AM78" s="124" t="str">
        <f>IF($B78="","",IF(AM$3=0,"n.b.",INDEX(SRC_ZPMW03!$A$1:$ZZ$501,$A78,AM$3)))</f>
        <v/>
      </c>
      <c r="AN78" s="124" t="str">
        <f>IF($B78="","",IF(AN$3=0,"n.b.",INDEX(SRC_ZPMW03!$A$1:$ZZ$501,$A78,AN$3)))</f>
        <v/>
      </c>
      <c r="AO78" s="124" t="str">
        <f>IF($B78="","",IF(AO$3=0,"n.b.",INDEX(SRC_ZPMW03!$A$1:$ZZ$501,$A78,AO$3)))</f>
        <v/>
      </c>
      <c r="AP78" s="124" t="str">
        <f>IF($B78="","",IF(AP$3=0,"n.b.",INDEX(SRC_ZPMW03!$A$1:$ZZ$501,$A78,AP$3)))</f>
        <v/>
      </c>
      <c r="AQ78" s="124" t="str">
        <f>IF($B78="","",IF(AQ$3=0,"n.b.",INDEX(SRC_ZPMW03!$A$1:$ZZ$501,$A78,AQ$3)))</f>
        <v/>
      </c>
      <c r="AR78" s="124" t="str">
        <f>IF($B78="","",IF(AR$3=0,"n.b.",INDEX(SRC_ZPMW03!$A$1:$ZZ$501,$A78,AR$3)))</f>
        <v/>
      </c>
      <c r="AS78" s="124" t="str">
        <f>IF($B78="","",IF(AS$3=0,"n.b.",INDEX(SRC_ZPMW03!$A$1:$ZZ$501,$A78,AS$3)))</f>
        <v/>
      </c>
      <c r="AT78" s="124" t="str">
        <f>IF($B78="","",IF(AT$3=0,"n.b.",INDEX(SRC_ZPMW03!$A$1:$ZZ$501,$A78,AT$3)))</f>
        <v/>
      </c>
      <c r="AU78" s="124" t="str">
        <f>IF($B78="","",IF(AU$3=0,"n.b.",INDEX(SRC_ZPMW03!$A$1:$ZZ$501,$A78,AU$3)))</f>
        <v/>
      </c>
      <c r="AV78" s="124" t="str">
        <f>IF($B78="","",IF(AV$3=0,"n.b.",INDEX(SRC_ZPMW03!$A$1:$ZZ$501,$A78,AV$3)))</f>
        <v/>
      </c>
      <c r="AW78" s="124" t="str">
        <f>IF($B78="","",IF(AW$3=0,"n.b.",INDEX(SRC_ZPMW03!$A$1:$ZZ$501,$A78,AW$3)))</f>
        <v/>
      </c>
      <c r="AX78" s="124" t="str">
        <f>IF($B78="","",IF(AX$3=0,"n.b.",INDEX(SRC_ZPMW03!$A$1:$ZZ$501,$A78,AX$3)))</f>
        <v/>
      </c>
      <c r="AY78" s="124" t="str">
        <f>IF($B78="","",IF(AY$3=0,"n.b.",INDEX(SRC_ZPMW03!$A$1:$ZZ$501,$A78,AY$3)))</f>
        <v/>
      </c>
      <c r="AZ78" s="124" t="str">
        <f>IF($B78="","",IF(AZ$3=0,"n.b.",INDEX(SRC_ZPMW03!$A$1:$ZZ$501,$A78,AZ$3)))</f>
        <v/>
      </c>
      <c r="BA78" s="124" t="str">
        <f>IF($B78="","",IF(BA$3=0,"n.b.",INDEX(SRC_ZPMW03!$A$1:$ZZ$501,$A78,BA$3)))</f>
        <v/>
      </c>
      <c r="BB78" s="124" t="str">
        <f>IF($B78="","",IF(BB$3=0,"n.b.",INDEX(SRC_ZPMW03!$A$1:$ZZ$501,$A78,BB$3)))</f>
        <v/>
      </c>
      <c r="BC78" s="124" t="str">
        <f>IF($B78="","",IF(BC$3=0,"n.b.",INDEX(SRC_ZPMW03!$A$1:$ZZ$501,$A78,BC$3)))</f>
        <v/>
      </c>
      <c r="BD78" s="124" t="str">
        <f>IF($B78="","",IF(BD$3=0,"n.b.",INDEX(SRC_ZPMW03!$A$1:$ZZ$501,$A78,BD$3)))</f>
        <v/>
      </c>
      <c r="BE78" s="124" t="str">
        <f>IF($B78="","",IF(BE$3=0,"n.b.",INDEX(SRC_ZPMW03!$A$1:$ZZ$501,$A78,BE$3)))</f>
        <v/>
      </c>
      <c r="BF78" s="124" t="str">
        <f>IF($B78="","",IF(BF$3=0,"n.b.",INDEX(SRC_ZPMW03!$A$1:$ZZ$501,$A78,BF$3)))</f>
        <v/>
      </c>
      <c r="BG78" t="str">
        <f>IF($B78="","",IF(BG$3=0,"n.b.",INDEX(SRC_ZPMW03!$A$1:$ZZ$501,$A78,BG$3)))</f>
        <v/>
      </c>
      <c r="BH78" t="str">
        <f>IF($B78="","",IF(BH$3=0,"n.b.",INDEX(SRC_ZPMW03!$A$1:$ZZ$501,$A78,BH$3)))</f>
        <v/>
      </c>
      <c r="BI78" t="str">
        <f>IF($B78="","",IF(BI$3=0,"n.b.",INDEX(SRC_ZPMW03!$A$1:$ZZ$501,$A78,BI$3)))</f>
        <v/>
      </c>
      <c r="BJ78" t="str">
        <f>IF($B78="","",IF(BJ$3=0,"n.b.",INDEX(SRC_ZPMW03!$A$1:$ZZ$501,$A78,BJ$3)))</f>
        <v/>
      </c>
      <c r="BK78" s="124" t="str">
        <f>IF($B78="","",IFERROR(-O78,"n.b."))</f>
        <v/>
      </c>
      <c r="BL78" s="124" t="str">
        <f>IF($B78="","",IFERROR(-Q78,"n.b."))</f>
        <v/>
      </c>
      <c r="BM78" s="124" t="str">
        <f>IF($B78="","",IFERROR(-AB78,"n.b."))</f>
        <v/>
      </c>
      <c r="BN78" s="124" t="str">
        <f>IF($B78="","",IFERROR(-AD78,"n.b."))</f>
        <v/>
      </c>
      <c r="BO78" s="124" t="str">
        <f>IF($B78="","",IFERROR(BK78+BM78,"n.b."))</f>
        <v/>
      </c>
      <c r="BP78" s="124" t="str">
        <f>IF($B78="","",IFERROR(BL78+BN78,"n.b."))</f>
        <v/>
      </c>
      <c r="BQ78" s="124" t="str">
        <f>IF($B78="","",IFERROR(-AM78,"n.b."))</f>
        <v/>
      </c>
      <c r="BR78" s="124" t="str">
        <f>IF($B78="","",IFERROR(-AO78,"n.b."))</f>
        <v/>
      </c>
      <c r="BS78" s="124" t="str">
        <f>IF($B78="","",IFERROR(-Z78,"n.b."))</f>
        <v/>
      </c>
      <c r="BT78" s="124" t="str">
        <f>IF($B78="","",IFERROR(-AA78,"n.b."))</f>
        <v/>
      </c>
      <c r="BU78" s="124" t="str">
        <f>IF($B78="","",IFERROR(-AE78,"n.b."))</f>
        <v/>
      </c>
      <c r="BV78" s="124" t="str">
        <f>IF($B78="","",IFERROR(-AF78,"n.b."))</f>
        <v/>
      </c>
      <c r="BW78" s="124" t="str">
        <f>IF($B78="","",IFERROR(-AG78,"n.b."))</f>
        <v/>
      </c>
      <c r="BX78" s="124" t="str">
        <f>IF($B78="","",IFERROR(-AH78,"n.b."))</f>
        <v/>
      </c>
      <c r="BY78" s="124" t="str">
        <f>IF($B78="","",IFERROR(-AI78,"n.b."))</f>
        <v/>
      </c>
      <c r="BZ78" s="124" t="str">
        <f>IF($B78="","",IFERROR(-AJ78,"n.b."))</f>
        <v/>
      </c>
      <c r="CA78" s="124" t="str">
        <f>IF($B78="","",IFERROR(-AK78,"n.b."))</f>
        <v/>
      </c>
      <c r="CB78" s="124" t="str">
        <f>IF($B78="","",IFERROR(-AL78,"n.b."))</f>
        <v/>
      </c>
      <c r="CC78" s="124" t="str">
        <f>IF($B78="","",IFERROR(-AP78,"n.b."))</f>
        <v/>
      </c>
      <c r="CD78" s="124" t="str">
        <f>IF($B78="","",IFERROR(-AQ78,"n.b."))</f>
        <v/>
      </c>
      <c r="CE78" s="124" t="str">
        <f>IF($B78="","",IFERROR(-AR78,"n.b."))</f>
        <v/>
      </c>
      <c r="CF78" s="124" t="str">
        <f>IF($B78="","",IFERROR(-AS78,"n.b."))</f>
        <v/>
      </c>
      <c r="CG78" s="124" t="str">
        <f>IF($B78="","",IFERROR(-AT78,"n.b."))</f>
        <v/>
      </c>
      <c r="CH78" s="124" t="str">
        <f>IF($B78="","",IFERROR(-AU78,"n.b."))</f>
        <v/>
      </c>
      <c r="CI78" s="124" t="str">
        <f>IF($B78="","",IFERROR(-AV78,"n.b."))</f>
        <v/>
      </c>
      <c r="CJ78" s="124" t="str">
        <f>IF($B78="","",IFERROR(-AW78,"n.b."))</f>
        <v/>
      </c>
      <c r="CK78" s="124" t="str">
        <f>IF($B78="","",IFERROR(-AX78,"n.b."))</f>
        <v/>
      </c>
      <c r="CL78" s="124" t="str">
        <f>IF($B78="","",IFERROR(-AY78,"n.b."))</f>
        <v/>
      </c>
      <c r="CM78" s="124" t="str">
        <f>IF($B78="","",IFERROR(-AZ78,"n.b."))</f>
        <v/>
      </c>
      <c r="CN78" s="124" t="str">
        <f>IF($B78="","",IFERROR(-BA78,"n.b."))</f>
        <v/>
      </c>
      <c r="CO78" s="124" t="str">
        <f>IF($B78="","",IFERROR(-BB78,"n.b."))</f>
        <v/>
      </c>
      <c r="CP78" s="124" t="str">
        <f>IF($B78="","",IFERROR(-BC78,"n.b."))</f>
        <v/>
      </c>
      <c r="CQ78" s="124" t="str">
        <f>IF($B78="","",IFERROR(-BD78,"n.b."))</f>
        <v/>
      </c>
      <c r="CR78" s="124" t="str">
        <f>IF($B78="","",IFERROR(-BE78,"n.b."))</f>
        <v/>
      </c>
      <c r="CS78" s="124" t="str">
        <f>IF($B78="","",IFERROR(IF(OR(ABS(T78+V78+X78+Z78-AB78)&gt;P_Tol,ABS(U78+W78+Y78+AA78-AD78)&gt;P_Tol,ABS(AE78+AG78+AI78+AK78-AM78)&gt;P_Tol,ABS(AF78+AH78+AJ78+AL78-AO78)&gt;P_Tol),1,0),1))</f>
        <v/>
      </c>
      <c r="CT78" s="124" t="str">
        <f>IF($B78="","",IFERROR(IF(OR(ABS(AB78+AC78-AD78)&gt;P_Tol,ABS(AM78+AN78-AO78)&gt;P_Tol,ABS(O78+P78-Q78)&gt;P_Tol),1,0),1))</f>
        <v/>
      </c>
      <c r="CU78" s="124" t="str">
        <f>IF($B78="","",IFERROR(IF(ABS(R78-(AB78+AM78+AP78+AR78+AT78+AV78+AX78+AZ78+BB78+BD78))&gt;P_Tol,1,0),1))</f>
        <v/>
      </c>
      <c r="CV78" s="124" t="str">
        <f>IF($B78="","",IFERROR(IF(ABS(M78-(N78+O78+R78))&gt;P_Tol,1,0),1))</f>
        <v/>
      </c>
      <c r="CW78" s="124" t="str">
        <f>IF($B78="","",IF(COUNTIF(Mapping!$A$5:$A$104,B78)&gt;0,1,0))</f>
        <v/>
      </c>
      <c r="CX78" s="124" t="str">
        <f>IF($B78="","",COUNTIF($B$6:$B$505,B78))</f>
        <v/>
      </c>
      <c r="CY78" s="124" t="str">
        <f>IF($B78="","",COUNTIF(STG_Woningetalage!$B$6:$B$505,B78))</f>
        <v/>
      </c>
      <c r="CZ78" s="124" t="str">
        <f>IF($B78="","",IF(CW78=0,COUNTIF($CW$6:CW78,0),""))</f>
        <v/>
      </c>
    </row>
    <row r="79">
      <c r="A79" s="15" t="n">
        <v>75</v>
      </c>
      <c r="B79" t="str">
        <f>IF(B$3=0,"",IF(INDEX(SRC_ZPMW03!$A$1:$ZZ$501,$A79,B$3)&amp;""="","",INDEX(SRC_ZPMW03!$A$1:$ZZ$501,$A79,B$3)&amp;""))</f>
        <v/>
      </c>
      <c r="C79" t="str">
        <f>IF($B79="","",IF(C$3=0,"n.b.",INDEX(SRC_ZPMW03!$A$1:$ZZ$501,$A79,C$3)))</f>
        <v/>
      </c>
      <c r="D79" t="str">
        <f>IF($B79="","",IF(D$3=0,"n.b.",INDEX(SRC_ZPMW03!$A$1:$ZZ$501,$A79,D$3)))</f>
        <v/>
      </c>
      <c r="E79" t="str">
        <f>IF($B79="","",IF(E$3=0,"n.b.",INDEX(SRC_ZPMW03!$A$1:$ZZ$501,$A79,E$3)))</f>
        <v/>
      </c>
      <c r="F79" t="str">
        <f>IF($B79="","",IF(F$3=0,"n.b.",INDEX(SRC_ZPMW03!$A$1:$ZZ$501,$A79,F$3)))</f>
        <v/>
      </c>
      <c r="G79" t="str">
        <f>IF($B79="","",IF(G$3=0,"n.b.",INDEX(SRC_ZPMW03!$A$1:$ZZ$501,$A79,G$3)))</f>
        <v/>
      </c>
      <c r="H79" t="str">
        <f>IF($B79="","",IF(H$3=0,"n.b.",INDEX(SRC_ZPMW03!$A$1:$ZZ$501,$A79,H$3)))</f>
        <v/>
      </c>
      <c r="I79" t="str">
        <f>IF($B79="","",IF(I$3=0,"n.b.",INDEX(SRC_ZPMW03!$A$1:$ZZ$501,$A79,I$3)))</f>
        <v/>
      </c>
      <c r="J79" t="str">
        <f>IF($B79="","",IF(J$3=0,"n.b.",INDEX(SRC_ZPMW03!$A$1:$ZZ$501,$A79,J$3)))</f>
        <v/>
      </c>
      <c r="K79" t="str">
        <f>IF($B79="","",IF(K$3=0,"n.b.",INDEX(SRC_ZPMW03!$A$1:$ZZ$501,$A79,K$3)))</f>
        <v/>
      </c>
      <c r="L79" s="124" t="str">
        <f>IF($B79="","",IF(L$3=0,"n.b.",INDEX(SRC_ZPMW03!$A$1:$ZZ$501,$A79,L$3)))</f>
        <v/>
      </c>
      <c r="M79" s="124" t="str">
        <f>IF($B79="","",IF(M$3=0,"n.b.",INDEX(SRC_ZPMW03!$A$1:$ZZ$501,$A79,M$3)))</f>
        <v/>
      </c>
      <c r="N79" s="124" t="str">
        <f>IF($B79="","",IF(N$3=0,"n.b.",INDEX(SRC_ZPMW03!$A$1:$ZZ$501,$A79,N$3)))</f>
        <v/>
      </c>
      <c r="O79" s="124" t="str">
        <f>IF($B79="","",IF(O$3=0,"n.b.",INDEX(SRC_ZPMW03!$A$1:$ZZ$501,$A79,O$3)))</f>
        <v/>
      </c>
      <c r="P79" s="124" t="str">
        <f>IF($B79="","",IF(P$3=0,"n.b.",INDEX(SRC_ZPMW03!$A$1:$ZZ$501,$A79,P$3)))</f>
        <v/>
      </c>
      <c r="Q79" s="124" t="str">
        <f>IF($B79="","",IF(Q$3=0,"n.b.",INDEX(SRC_ZPMW03!$A$1:$ZZ$501,$A79,Q$3)))</f>
        <v/>
      </c>
      <c r="R79" s="124" t="str">
        <f>IF($B79="","",IF(R$3=0,"n.b.",INDEX(SRC_ZPMW03!$A$1:$ZZ$501,$A79,R$3)))</f>
        <v/>
      </c>
      <c r="S79" s="124" t="str">
        <f>IF($B79="","",IF(S$3=0,"n.b.",INDEX(SRC_ZPMW03!$A$1:$ZZ$501,$A79,S$3)))</f>
        <v/>
      </c>
      <c r="T79" s="124" t="str">
        <f>IF($B79="","",IF(T$3=0,"n.b.",INDEX(SRC_ZPMW03!$A$1:$ZZ$501,$A79,T$3)))</f>
        <v/>
      </c>
      <c r="U79" s="124" t="str">
        <f>IF($B79="","",IF(U$3=0,"n.b.",INDEX(SRC_ZPMW03!$A$1:$ZZ$501,$A79,U$3)))</f>
        <v/>
      </c>
      <c r="V79" s="124" t="str">
        <f>IF($B79="","",IF(V$3=0,"n.b.",INDEX(SRC_ZPMW03!$A$1:$ZZ$501,$A79,V$3)))</f>
        <v/>
      </c>
      <c r="W79" s="124" t="str">
        <f>IF($B79="","",IF(W$3=0,"n.b.",INDEX(SRC_ZPMW03!$A$1:$ZZ$501,$A79,W$3)))</f>
        <v/>
      </c>
      <c r="X79" s="124" t="str">
        <f>IF($B79="","",IF(X$3=0,"n.b.",INDEX(SRC_ZPMW03!$A$1:$ZZ$501,$A79,X$3)))</f>
        <v/>
      </c>
      <c r="Y79" s="124" t="str">
        <f>IF($B79="","",IF(Y$3=0,"n.b.",INDEX(SRC_ZPMW03!$A$1:$ZZ$501,$A79,Y$3)))</f>
        <v/>
      </c>
      <c r="Z79" s="124" t="str">
        <f>IF($B79="","",IF(Z$3=0,"n.b.",INDEX(SRC_ZPMW03!$A$1:$ZZ$501,$A79,Z$3)))</f>
        <v/>
      </c>
      <c r="AA79" s="124" t="str">
        <f>IF($B79="","",IF(AA$3=0,"n.b.",INDEX(SRC_ZPMW03!$A$1:$ZZ$501,$A79,AA$3)))</f>
        <v/>
      </c>
      <c r="AB79" s="124" t="str">
        <f>IF($B79="","",IF(AB$3=0,"n.b.",INDEX(SRC_ZPMW03!$A$1:$ZZ$501,$A79,AB$3)))</f>
        <v/>
      </c>
      <c r="AC79" s="124" t="str">
        <f>IF($B79="","",IF(AC$3=0,"n.b.",INDEX(SRC_ZPMW03!$A$1:$ZZ$501,$A79,AC$3)))</f>
        <v/>
      </c>
      <c r="AD79" s="124" t="str">
        <f>IF($B79="","",IF(AD$3=0,"n.b.",INDEX(SRC_ZPMW03!$A$1:$ZZ$501,$A79,AD$3)))</f>
        <v/>
      </c>
      <c r="AE79" s="124" t="str">
        <f>IF($B79="","",IF(AE$3=0,"n.b.",INDEX(SRC_ZPMW03!$A$1:$ZZ$501,$A79,AE$3)))</f>
        <v/>
      </c>
      <c r="AF79" s="124" t="str">
        <f>IF($B79="","",IF(AF$3=0,"n.b.",INDEX(SRC_ZPMW03!$A$1:$ZZ$501,$A79,AF$3)))</f>
        <v/>
      </c>
      <c r="AG79" s="124" t="str">
        <f>IF($B79="","",IF(AG$3=0,"n.b.",INDEX(SRC_ZPMW03!$A$1:$ZZ$501,$A79,AG$3)))</f>
        <v/>
      </c>
      <c r="AH79" s="124" t="str">
        <f>IF($B79="","",IF(AH$3=0,"n.b.",INDEX(SRC_ZPMW03!$A$1:$ZZ$501,$A79,AH$3)))</f>
        <v/>
      </c>
      <c r="AI79" s="124" t="str">
        <f>IF($B79="","",IF(AI$3=0,"n.b.",INDEX(SRC_ZPMW03!$A$1:$ZZ$501,$A79,AI$3)))</f>
        <v/>
      </c>
      <c r="AJ79" s="124" t="str">
        <f>IF($B79="","",IF(AJ$3=0,"n.b.",INDEX(SRC_ZPMW03!$A$1:$ZZ$501,$A79,AJ$3)))</f>
        <v/>
      </c>
      <c r="AK79" s="124" t="str">
        <f>IF($B79="","",IF(AK$3=0,"n.b.",INDEX(SRC_ZPMW03!$A$1:$ZZ$501,$A79,AK$3)))</f>
        <v/>
      </c>
      <c r="AL79" s="124" t="str">
        <f>IF($B79="","",IF(AL$3=0,"n.b.",INDEX(SRC_ZPMW03!$A$1:$ZZ$501,$A79,AL$3)))</f>
        <v/>
      </c>
      <c r="AM79" s="124" t="str">
        <f>IF($B79="","",IF(AM$3=0,"n.b.",INDEX(SRC_ZPMW03!$A$1:$ZZ$501,$A79,AM$3)))</f>
        <v/>
      </c>
      <c r="AN79" s="124" t="str">
        <f>IF($B79="","",IF(AN$3=0,"n.b.",INDEX(SRC_ZPMW03!$A$1:$ZZ$501,$A79,AN$3)))</f>
        <v/>
      </c>
      <c r="AO79" s="124" t="str">
        <f>IF($B79="","",IF(AO$3=0,"n.b.",INDEX(SRC_ZPMW03!$A$1:$ZZ$501,$A79,AO$3)))</f>
        <v/>
      </c>
      <c r="AP79" s="124" t="str">
        <f>IF($B79="","",IF(AP$3=0,"n.b.",INDEX(SRC_ZPMW03!$A$1:$ZZ$501,$A79,AP$3)))</f>
        <v/>
      </c>
      <c r="AQ79" s="124" t="str">
        <f>IF($B79="","",IF(AQ$3=0,"n.b.",INDEX(SRC_ZPMW03!$A$1:$ZZ$501,$A79,AQ$3)))</f>
        <v/>
      </c>
      <c r="AR79" s="124" t="str">
        <f>IF($B79="","",IF(AR$3=0,"n.b.",INDEX(SRC_ZPMW03!$A$1:$ZZ$501,$A79,AR$3)))</f>
        <v/>
      </c>
      <c r="AS79" s="124" t="str">
        <f>IF($B79="","",IF(AS$3=0,"n.b.",INDEX(SRC_ZPMW03!$A$1:$ZZ$501,$A79,AS$3)))</f>
        <v/>
      </c>
      <c r="AT79" s="124" t="str">
        <f>IF($B79="","",IF(AT$3=0,"n.b.",INDEX(SRC_ZPMW03!$A$1:$ZZ$501,$A79,AT$3)))</f>
        <v/>
      </c>
      <c r="AU79" s="124" t="str">
        <f>IF($B79="","",IF(AU$3=0,"n.b.",INDEX(SRC_ZPMW03!$A$1:$ZZ$501,$A79,AU$3)))</f>
        <v/>
      </c>
      <c r="AV79" s="124" t="str">
        <f>IF($B79="","",IF(AV$3=0,"n.b.",INDEX(SRC_ZPMW03!$A$1:$ZZ$501,$A79,AV$3)))</f>
        <v/>
      </c>
      <c r="AW79" s="124" t="str">
        <f>IF($B79="","",IF(AW$3=0,"n.b.",INDEX(SRC_ZPMW03!$A$1:$ZZ$501,$A79,AW$3)))</f>
        <v/>
      </c>
      <c r="AX79" s="124" t="str">
        <f>IF($B79="","",IF(AX$3=0,"n.b.",INDEX(SRC_ZPMW03!$A$1:$ZZ$501,$A79,AX$3)))</f>
        <v/>
      </c>
      <c r="AY79" s="124" t="str">
        <f>IF($B79="","",IF(AY$3=0,"n.b.",INDEX(SRC_ZPMW03!$A$1:$ZZ$501,$A79,AY$3)))</f>
        <v/>
      </c>
      <c r="AZ79" s="124" t="str">
        <f>IF($B79="","",IF(AZ$3=0,"n.b.",INDEX(SRC_ZPMW03!$A$1:$ZZ$501,$A79,AZ$3)))</f>
        <v/>
      </c>
      <c r="BA79" s="124" t="str">
        <f>IF($B79="","",IF(BA$3=0,"n.b.",INDEX(SRC_ZPMW03!$A$1:$ZZ$501,$A79,BA$3)))</f>
        <v/>
      </c>
      <c r="BB79" s="124" t="str">
        <f>IF($B79="","",IF(BB$3=0,"n.b.",INDEX(SRC_ZPMW03!$A$1:$ZZ$501,$A79,BB$3)))</f>
        <v/>
      </c>
      <c r="BC79" s="124" t="str">
        <f>IF($B79="","",IF(BC$3=0,"n.b.",INDEX(SRC_ZPMW03!$A$1:$ZZ$501,$A79,BC$3)))</f>
        <v/>
      </c>
      <c r="BD79" s="124" t="str">
        <f>IF($B79="","",IF(BD$3=0,"n.b.",INDEX(SRC_ZPMW03!$A$1:$ZZ$501,$A79,BD$3)))</f>
        <v/>
      </c>
      <c r="BE79" s="124" t="str">
        <f>IF($B79="","",IF(BE$3=0,"n.b.",INDEX(SRC_ZPMW03!$A$1:$ZZ$501,$A79,BE$3)))</f>
        <v/>
      </c>
      <c r="BF79" s="124" t="str">
        <f>IF($B79="","",IF(BF$3=0,"n.b.",INDEX(SRC_ZPMW03!$A$1:$ZZ$501,$A79,BF$3)))</f>
        <v/>
      </c>
      <c r="BG79" t="str">
        <f>IF($B79="","",IF(BG$3=0,"n.b.",INDEX(SRC_ZPMW03!$A$1:$ZZ$501,$A79,BG$3)))</f>
        <v/>
      </c>
      <c r="BH79" t="str">
        <f>IF($B79="","",IF(BH$3=0,"n.b.",INDEX(SRC_ZPMW03!$A$1:$ZZ$501,$A79,BH$3)))</f>
        <v/>
      </c>
      <c r="BI79" t="str">
        <f>IF($B79="","",IF(BI$3=0,"n.b.",INDEX(SRC_ZPMW03!$A$1:$ZZ$501,$A79,BI$3)))</f>
        <v/>
      </c>
      <c r="BJ79" t="str">
        <f>IF($B79="","",IF(BJ$3=0,"n.b.",INDEX(SRC_ZPMW03!$A$1:$ZZ$501,$A79,BJ$3)))</f>
        <v/>
      </c>
      <c r="BK79" s="124" t="str">
        <f>IF($B79="","",IFERROR(-O79,"n.b."))</f>
        <v/>
      </c>
      <c r="BL79" s="124" t="str">
        <f>IF($B79="","",IFERROR(-Q79,"n.b."))</f>
        <v/>
      </c>
      <c r="BM79" s="124" t="str">
        <f>IF($B79="","",IFERROR(-AB79,"n.b."))</f>
        <v/>
      </c>
      <c r="BN79" s="124" t="str">
        <f>IF($B79="","",IFERROR(-AD79,"n.b."))</f>
        <v/>
      </c>
      <c r="BO79" s="124" t="str">
        <f>IF($B79="","",IFERROR(BK79+BM79,"n.b."))</f>
        <v/>
      </c>
      <c r="BP79" s="124" t="str">
        <f>IF($B79="","",IFERROR(BL79+BN79,"n.b."))</f>
        <v/>
      </c>
      <c r="BQ79" s="124" t="str">
        <f>IF($B79="","",IFERROR(-AM79,"n.b."))</f>
        <v/>
      </c>
      <c r="BR79" s="124" t="str">
        <f>IF($B79="","",IFERROR(-AO79,"n.b."))</f>
        <v/>
      </c>
      <c r="BS79" s="124" t="str">
        <f>IF($B79="","",IFERROR(-Z79,"n.b."))</f>
        <v/>
      </c>
      <c r="BT79" s="124" t="str">
        <f>IF($B79="","",IFERROR(-AA79,"n.b."))</f>
        <v/>
      </c>
      <c r="BU79" s="124" t="str">
        <f>IF($B79="","",IFERROR(-AE79,"n.b."))</f>
        <v/>
      </c>
      <c r="BV79" s="124" t="str">
        <f>IF($B79="","",IFERROR(-AF79,"n.b."))</f>
        <v/>
      </c>
      <c r="BW79" s="124" t="str">
        <f>IF($B79="","",IFERROR(-AG79,"n.b."))</f>
        <v/>
      </c>
      <c r="BX79" s="124" t="str">
        <f>IF($B79="","",IFERROR(-AH79,"n.b."))</f>
        <v/>
      </c>
      <c r="BY79" s="124" t="str">
        <f>IF($B79="","",IFERROR(-AI79,"n.b."))</f>
        <v/>
      </c>
      <c r="BZ79" s="124" t="str">
        <f>IF($B79="","",IFERROR(-AJ79,"n.b."))</f>
        <v/>
      </c>
      <c r="CA79" s="124" t="str">
        <f>IF($B79="","",IFERROR(-AK79,"n.b."))</f>
        <v/>
      </c>
      <c r="CB79" s="124" t="str">
        <f>IF($B79="","",IFERROR(-AL79,"n.b."))</f>
        <v/>
      </c>
      <c r="CC79" s="124" t="str">
        <f>IF($B79="","",IFERROR(-AP79,"n.b."))</f>
        <v/>
      </c>
      <c r="CD79" s="124" t="str">
        <f>IF($B79="","",IFERROR(-AQ79,"n.b."))</f>
        <v/>
      </c>
      <c r="CE79" s="124" t="str">
        <f>IF($B79="","",IFERROR(-AR79,"n.b."))</f>
        <v/>
      </c>
      <c r="CF79" s="124" t="str">
        <f>IF($B79="","",IFERROR(-AS79,"n.b."))</f>
        <v/>
      </c>
      <c r="CG79" s="124" t="str">
        <f>IF($B79="","",IFERROR(-AT79,"n.b."))</f>
        <v/>
      </c>
      <c r="CH79" s="124" t="str">
        <f>IF($B79="","",IFERROR(-AU79,"n.b."))</f>
        <v/>
      </c>
      <c r="CI79" s="124" t="str">
        <f>IF($B79="","",IFERROR(-AV79,"n.b."))</f>
        <v/>
      </c>
      <c r="CJ79" s="124" t="str">
        <f>IF($B79="","",IFERROR(-AW79,"n.b."))</f>
        <v/>
      </c>
      <c r="CK79" s="124" t="str">
        <f>IF($B79="","",IFERROR(-AX79,"n.b."))</f>
        <v/>
      </c>
      <c r="CL79" s="124" t="str">
        <f>IF($B79="","",IFERROR(-AY79,"n.b."))</f>
        <v/>
      </c>
      <c r="CM79" s="124" t="str">
        <f>IF($B79="","",IFERROR(-AZ79,"n.b."))</f>
        <v/>
      </c>
      <c r="CN79" s="124" t="str">
        <f>IF($B79="","",IFERROR(-BA79,"n.b."))</f>
        <v/>
      </c>
      <c r="CO79" s="124" t="str">
        <f>IF($B79="","",IFERROR(-BB79,"n.b."))</f>
        <v/>
      </c>
      <c r="CP79" s="124" t="str">
        <f>IF($B79="","",IFERROR(-BC79,"n.b."))</f>
        <v/>
      </c>
      <c r="CQ79" s="124" t="str">
        <f>IF($B79="","",IFERROR(-BD79,"n.b."))</f>
        <v/>
      </c>
      <c r="CR79" s="124" t="str">
        <f>IF($B79="","",IFERROR(-BE79,"n.b."))</f>
        <v/>
      </c>
      <c r="CS79" s="124" t="str">
        <f>IF($B79="","",IFERROR(IF(OR(ABS(T79+V79+X79+Z79-AB79)&gt;P_Tol,ABS(U79+W79+Y79+AA79-AD79)&gt;P_Tol,ABS(AE79+AG79+AI79+AK79-AM79)&gt;P_Tol,ABS(AF79+AH79+AJ79+AL79-AO79)&gt;P_Tol),1,0),1))</f>
        <v/>
      </c>
      <c r="CT79" s="124" t="str">
        <f>IF($B79="","",IFERROR(IF(OR(ABS(AB79+AC79-AD79)&gt;P_Tol,ABS(AM79+AN79-AO79)&gt;P_Tol,ABS(O79+P79-Q79)&gt;P_Tol),1,0),1))</f>
        <v/>
      </c>
      <c r="CU79" s="124" t="str">
        <f>IF($B79="","",IFERROR(IF(ABS(R79-(AB79+AM79+AP79+AR79+AT79+AV79+AX79+AZ79+BB79+BD79))&gt;P_Tol,1,0),1))</f>
        <v/>
      </c>
      <c r="CV79" s="124" t="str">
        <f>IF($B79="","",IFERROR(IF(ABS(M79-(N79+O79+R79))&gt;P_Tol,1,0),1))</f>
        <v/>
      </c>
      <c r="CW79" s="124" t="str">
        <f>IF($B79="","",IF(COUNTIF(Mapping!$A$5:$A$104,B79)&gt;0,1,0))</f>
        <v/>
      </c>
      <c r="CX79" s="124" t="str">
        <f>IF($B79="","",COUNTIF($B$6:$B$505,B79))</f>
        <v/>
      </c>
      <c r="CY79" s="124" t="str">
        <f>IF($B79="","",COUNTIF(STG_Woningetalage!$B$6:$B$505,B79))</f>
        <v/>
      </c>
      <c r="CZ79" s="124" t="str">
        <f>IF($B79="","",IF(CW79=0,COUNTIF($CW$6:CW79,0),""))</f>
        <v/>
      </c>
    </row>
    <row r="80">
      <c r="A80" s="15" t="n">
        <v>76</v>
      </c>
      <c r="B80" t="str">
        <f>IF(B$3=0,"",IF(INDEX(SRC_ZPMW03!$A$1:$ZZ$501,$A80,B$3)&amp;""="","",INDEX(SRC_ZPMW03!$A$1:$ZZ$501,$A80,B$3)&amp;""))</f>
        <v/>
      </c>
      <c r="C80" t="str">
        <f>IF($B80="","",IF(C$3=0,"n.b.",INDEX(SRC_ZPMW03!$A$1:$ZZ$501,$A80,C$3)))</f>
        <v/>
      </c>
      <c r="D80" t="str">
        <f>IF($B80="","",IF(D$3=0,"n.b.",INDEX(SRC_ZPMW03!$A$1:$ZZ$501,$A80,D$3)))</f>
        <v/>
      </c>
      <c r="E80" t="str">
        <f>IF($B80="","",IF(E$3=0,"n.b.",INDEX(SRC_ZPMW03!$A$1:$ZZ$501,$A80,E$3)))</f>
        <v/>
      </c>
      <c r="F80" t="str">
        <f>IF($B80="","",IF(F$3=0,"n.b.",INDEX(SRC_ZPMW03!$A$1:$ZZ$501,$A80,F$3)))</f>
        <v/>
      </c>
      <c r="G80" t="str">
        <f>IF($B80="","",IF(G$3=0,"n.b.",INDEX(SRC_ZPMW03!$A$1:$ZZ$501,$A80,G$3)))</f>
        <v/>
      </c>
      <c r="H80" t="str">
        <f>IF($B80="","",IF(H$3=0,"n.b.",INDEX(SRC_ZPMW03!$A$1:$ZZ$501,$A80,H$3)))</f>
        <v/>
      </c>
      <c r="I80" t="str">
        <f>IF($B80="","",IF(I$3=0,"n.b.",INDEX(SRC_ZPMW03!$A$1:$ZZ$501,$A80,I$3)))</f>
        <v/>
      </c>
      <c r="J80" t="str">
        <f>IF($B80="","",IF(J$3=0,"n.b.",INDEX(SRC_ZPMW03!$A$1:$ZZ$501,$A80,J$3)))</f>
        <v/>
      </c>
      <c r="K80" t="str">
        <f>IF($B80="","",IF(K$3=0,"n.b.",INDEX(SRC_ZPMW03!$A$1:$ZZ$501,$A80,K$3)))</f>
        <v/>
      </c>
      <c r="L80" s="124" t="str">
        <f>IF($B80="","",IF(L$3=0,"n.b.",INDEX(SRC_ZPMW03!$A$1:$ZZ$501,$A80,L$3)))</f>
        <v/>
      </c>
      <c r="M80" s="124" t="str">
        <f>IF($B80="","",IF(M$3=0,"n.b.",INDEX(SRC_ZPMW03!$A$1:$ZZ$501,$A80,M$3)))</f>
        <v/>
      </c>
      <c r="N80" s="124" t="str">
        <f>IF($B80="","",IF(N$3=0,"n.b.",INDEX(SRC_ZPMW03!$A$1:$ZZ$501,$A80,N$3)))</f>
        <v/>
      </c>
      <c r="O80" s="124" t="str">
        <f>IF($B80="","",IF(O$3=0,"n.b.",INDEX(SRC_ZPMW03!$A$1:$ZZ$501,$A80,O$3)))</f>
        <v/>
      </c>
      <c r="P80" s="124" t="str">
        <f>IF($B80="","",IF(P$3=0,"n.b.",INDEX(SRC_ZPMW03!$A$1:$ZZ$501,$A80,P$3)))</f>
        <v/>
      </c>
      <c r="Q80" s="124" t="str">
        <f>IF($B80="","",IF(Q$3=0,"n.b.",INDEX(SRC_ZPMW03!$A$1:$ZZ$501,$A80,Q$3)))</f>
        <v/>
      </c>
      <c r="R80" s="124" t="str">
        <f>IF($B80="","",IF(R$3=0,"n.b.",INDEX(SRC_ZPMW03!$A$1:$ZZ$501,$A80,R$3)))</f>
        <v/>
      </c>
      <c r="S80" s="124" t="str">
        <f>IF($B80="","",IF(S$3=0,"n.b.",INDEX(SRC_ZPMW03!$A$1:$ZZ$501,$A80,S$3)))</f>
        <v/>
      </c>
      <c r="T80" s="124" t="str">
        <f>IF($B80="","",IF(T$3=0,"n.b.",INDEX(SRC_ZPMW03!$A$1:$ZZ$501,$A80,T$3)))</f>
        <v/>
      </c>
      <c r="U80" s="124" t="str">
        <f>IF($B80="","",IF(U$3=0,"n.b.",INDEX(SRC_ZPMW03!$A$1:$ZZ$501,$A80,U$3)))</f>
        <v/>
      </c>
      <c r="V80" s="124" t="str">
        <f>IF($B80="","",IF(V$3=0,"n.b.",INDEX(SRC_ZPMW03!$A$1:$ZZ$501,$A80,V$3)))</f>
        <v/>
      </c>
      <c r="W80" s="124" t="str">
        <f>IF($B80="","",IF(W$3=0,"n.b.",INDEX(SRC_ZPMW03!$A$1:$ZZ$501,$A80,W$3)))</f>
        <v/>
      </c>
      <c r="X80" s="124" t="str">
        <f>IF($B80="","",IF(X$3=0,"n.b.",INDEX(SRC_ZPMW03!$A$1:$ZZ$501,$A80,X$3)))</f>
        <v/>
      </c>
      <c r="Y80" s="124" t="str">
        <f>IF($B80="","",IF(Y$3=0,"n.b.",INDEX(SRC_ZPMW03!$A$1:$ZZ$501,$A80,Y$3)))</f>
        <v/>
      </c>
      <c r="Z80" s="124" t="str">
        <f>IF($B80="","",IF(Z$3=0,"n.b.",INDEX(SRC_ZPMW03!$A$1:$ZZ$501,$A80,Z$3)))</f>
        <v/>
      </c>
      <c r="AA80" s="124" t="str">
        <f>IF($B80="","",IF(AA$3=0,"n.b.",INDEX(SRC_ZPMW03!$A$1:$ZZ$501,$A80,AA$3)))</f>
        <v/>
      </c>
      <c r="AB80" s="124" t="str">
        <f>IF($B80="","",IF(AB$3=0,"n.b.",INDEX(SRC_ZPMW03!$A$1:$ZZ$501,$A80,AB$3)))</f>
        <v/>
      </c>
      <c r="AC80" s="124" t="str">
        <f>IF($B80="","",IF(AC$3=0,"n.b.",INDEX(SRC_ZPMW03!$A$1:$ZZ$501,$A80,AC$3)))</f>
        <v/>
      </c>
      <c r="AD80" s="124" t="str">
        <f>IF($B80="","",IF(AD$3=0,"n.b.",INDEX(SRC_ZPMW03!$A$1:$ZZ$501,$A80,AD$3)))</f>
        <v/>
      </c>
      <c r="AE80" s="124" t="str">
        <f>IF($B80="","",IF(AE$3=0,"n.b.",INDEX(SRC_ZPMW03!$A$1:$ZZ$501,$A80,AE$3)))</f>
        <v/>
      </c>
      <c r="AF80" s="124" t="str">
        <f>IF($B80="","",IF(AF$3=0,"n.b.",INDEX(SRC_ZPMW03!$A$1:$ZZ$501,$A80,AF$3)))</f>
        <v/>
      </c>
      <c r="AG80" s="124" t="str">
        <f>IF($B80="","",IF(AG$3=0,"n.b.",INDEX(SRC_ZPMW03!$A$1:$ZZ$501,$A80,AG$3)))</f>
        <v/>
      </c>
      <c r="AH80" s="124" t="str">
        <f>IF($B80="","",IF(AH$3=0,"n.b.",INDEX(SRC_ZPMW03!$A$1:$ZZ$501,$A80,AH$3)))</f>
        <v/>
      </c>
      <c r="AI80" s="124" t="str">
        <f>IF($B80="","",IF(AI$3=0,"n.b.",INDEX(SRC_ZPMW03!$A$1:$ZZ$501,$A80,AI$3)))</f>
        <v/>
      </c>
      <c r="AJ80" s="124" t="str">
        <f>IF($B80="","",IF(AJ$3=0,"n.b.",INDEX(SRC_ZPMW03!$A$1:$ZZ$501,$A80,AJ$3)))</f>
        <v/>
      </c>
      <c r="AK80" s="124" t="str">
        <f>IF($B80="","",IF(AK$3=0,"n.b.",INDEX(SRC_ZPMW03!$A$1:$ZZ$501,$A80,AK$3)))</f>
        <v/>
      </c>
      <c r="AL80" s="124" t="str">
        <f>IF($B80="","",IF(AL$3=0,"n.b.",INDEX(SRC_ZPMW03!$A$1:$ZZ$501,$A80,AL$3)))</f>
        <v/>
      </c>
      <c r="AM80" s="124" t="str">
        <f>IF($B80="","",IF(AM$3=0,"n.b.",INDEX(SRC_ZPMW03!$A$1:$ZZ$501,$A80,AM$3)))</f>
        <v/>
      </c>
      <c r="AN80" s="124" t="str">
        <f>IF($B80="","",IF(AN$3=0,"n.b.",INDEX(SRC_ZPMW03!$A$1:$ZZ$501,$A80,AN$3)))</f>
        <v/>
      </c>
      <c r="AO80" s="124" t="str">
        <f>IF($B80="","",IF(AO$3=0,"n.b.",INDEX(SRC_ZPMW03!$A$1:$ZZ$501,$A80,AO$3)))</f>
        <v/>
      </c>
      <c r="AP80" s="124" t="str">
        <f>IF($B80="","",IF(AP$3=0,"n.b.",INDEX(SRC_ZPMW03!$A$1:$ZZ$501,$A80,AP$3)))</f>
        <v/>
      </c>
      <c r="AQ80" s="124" t="str">
        <f>IF($B80="","",IF(AQ$3=0,"n.b.",INDEX(SRC_ZPMW03!$A$1:$ZZ$501,$A80,AQ$3)))</f>
        <v/>
      </c>
      <c r="AR80" s="124" t="str">
        <f>IF($B80="","",IF(AR$3=0,"n.b.",INDEX(SRC_ZPMW03!$A$1:$ZZ$501,$A80,AR$3)))</f>
        <v/>
      </c>
      <c r="AS80" s="124" t="str">
        <f>IF($B80="","",IF(AS$3=0,"n.b.",INDEX(SRC_ZPMW03!$A$1:$ZZ$501,$A80,AS$3)))</f>
        <v/>
      </c>
      <c r="AT80" s="124" t="str">
        <f>IF($B80="","",IF(AT$3=0,"n.b.",INDEX(SRC_ZPMW03!$A$1:$ZZ$501,$A80,AT$3)))</f>
        <v/>
      </c>
      <c r="AU80" s="124" t="str">
        <f>IF($B80="","",IF(AU$3=0,"n.b.",INDEX(SRC_ZPMW03!$A$1:$ZZ$501,$A80,AU$3)))</f>
        <v/>
      </c>
      <c r="AV80" s="124" t="str">
        <f>IF($B80="","",IF(AV$3=0,"n.b.",INDEX(SRC_ZPMW03!$A$1:$ZZ$501,$A80,AV$3)))</f>
        <v/>
      </c>
      <c r="AW80" s="124" t="str">
        <f>IF($B80="","",IF(AW$3=0,"n.b.",INDEX(SRC_ZPMW03!$A$1:$ZZ$501,$A80,AW$3)))</f>
        <v/>
      </c>
      <c r="AX80" s="124" t="str">
        <f>IF($B80="","",IF(AX$3=0,"n.b.",INDEX(SRC_ZPMW03!$A$1:$ZZ$501,$A80,AX$3)))</f>
        <v/>
      </c>
      <c r="AY80" s="124" t="str">
        <f>IF($B80="","",IF(AY$3=0,"n.b.",INDEX(SRC_ZPMW03!$A$1:$ZZ$501,$A80,AY$3)))</f>
        <v/>
      </c>
      <c r="AZ80" s="124" t="str">
        <f>IF($B80="","",IF(AZ$3=0,"n.b.",INDEX(SRC_ZPMW03!$A$1:$ZZ$501,$A80,AZ$3)))</f>
        <v/>
      </c>
      <c r="BA80" s="124" t="str">
        <f>IF($B80="","",IF(BA$3=0,"n.b.",INDEX(SRC_ZPMW03!$A$1:$ZZ$501,$A80,BA$3)))</f>
        <v/>
      </c>
      <c r="BB80" s="124" t="str">
        <f>IF($B80="","",IF(BB$3=0,"n.b.",INDEX(SRC_ZPMW03!$A$1:$ZZ$501,$A80,BB$3)))</f>
        <v/>
      </c>
      <c r="BC80" s="124" t="str">
        <f>IF($B80="","",IF(BC$3=0,"n.b.",INDEX(SRC_ZPMW03!$A$1:$ZZ$501,$A80,BC$3)))</f>
        <v/>
      </c>
      <c r="BD80" s="124" t="str">
        <f>IF($B80="","",IF(BD$3=0,"n.b.",INDEX(SRC_ZPMW03!$A$1:$ZZ$501,$A80,BD$3)))</f>
        <v/>
      </c>
      <c r="BE80" s="124" t="str">
        <f>IF($B80="","",IF(BE$3=0,"n.b.",INDEX(SRC_ZPMW03!$A$1:$ZZ$501,$A80,BE$3)))</f>
        <v/>
      </c>
      <c r="BF80" s="124" t="str">
        <f>IF($B80="","",IF(BF$3=0,"n.b.",INDEX(SRC_ZPMW03!$A$1:$ZZ$501,$A80,BF$3)))</f>
        <v/>
      </c>
      <c r="BG80" t="str">
        <f>IF($B80="","",IF(BG$3=0,"n.b.",INDEX(SRC_ZPMW03!$A$1:$ZZ$501,$A80,BG$3)))</f>
        <v/>
      </c>
      <c r="BH80" t="str">
        <f>IF($B80="","",IF(BH$3=0,"n.b.",INDEX(SRC_ZPMW03!$A$1:$ZZ$501,$A80,BH$3)))</f>
        <v/>
      </c>
      <c r="BI80" t="str">
        <f>IF($B80="","",IF(BI$3=0,"n.b.",INDEX(SRC_ZPMW03!$A$1:$ZZ$501,$A80,BI$3)))</f>
        <v/>
      </c>
      <c r="BJ80" t="str">
        <f>IF($B80="","",IF(BJ$3=0,"n.b.",INDEX(SRC_ZPMW03!$A$1:$ZZ$501,$A80,BJ$3)))</f>
        <v/>
      </c>
      <c r="BK80" s="124" t="str">
        <f>IF($B80="","",IFERROR(-O80,"n.b."))</f>
        <v/>
      </c>
      <c r="BL80" s="124" t="str">
        <f>IF($B80="","",IFERROR(-Q80,"n.b."))</f>
        <v/>
      </c>
      <c r="BM80" s="124" t="str">
        <f>IF($B80="","",IFERROR(-AB80,"n.b."))</f>
        <v/>
      </c>
      <c r="BN80" s="124" t="str">
        <f>IF($B80="","",IFERROR(-AD80,"n.b."))</f>
        <v/>
      </c>
      <c r="BO80" s="124" t="str">
        <f>IF($B80="","",IFERROR(BK80+BM80,"n.b."))</f>
        <v/>
      </c>
      <c r="BP80" s="124" t="str">
        <f>IF($B80="","",IFERROR(BL80+BN80,"n.b."))</f>
        <v/>
      </c>
      <c r="BQ80" s="124" t="str">
        <f>IF($B80="","",IFERROR(-AM80,"n.b."))</f>
        <v/>
      </c>
      <c r="BR80" s="124" t="str">
        <f>IF($B80="","",IFERROR(-AO80,"n.b."))</f>
        <v/>
      </c>
      <c r="BS80" s="124" t="str">
        <f>IF($B80="","",IFERROR(-Z80,"n.b."))</f>
        <v/>
      </c>
      <c r="BT80" s="124" t="str">
        <f>IF($B80="","",IFERROR(-AA80,"n.b."))</f>
        <v/>
      </c>
      <c r="BU80" s="124" t="str">
        <f>IF($B80="","",IFERROR(-AE80,"n.b."))</f>
        <v/>
      </c>
      <c r="BV80" s="124" t="str">
        <f>IF($B80="","",IFERROR(-AF80,"n.b."))</f>
        <v/>
      </c>
      <c r="BW80" s="124" t="str">
        <f>IF($B80="","",IFERROR(-AG80,"n.b."))</f>
        <v/>
      </c>
      <c r="BX80" s="124" t="str">
        <f>IF($B80="","",IFERROR(-AH80,"n.b."))</f>
        <v/>
      </c>
      <c r="BY80" s="124" t="str">
        <f>IF($B80="","",IFERROR(-AI80,"n.b."))</f>
        <v/>
      </c>
      <c r="BZ80" s="124" t="str">
        <f>IF($B80="","",IFERROR(-AJ80,"n.b."))</f>
        <v/>
      </c>
      <c r="CA80" s="124" t="str">
        <f>IF($B80="","",IFERROR(-AK80,"n.b."))</f>
        <v/>
      </c>
      <c r="CB80" s="124" t="str">
        <f>IF($B80="","",IFERROR(-AL80,"n.b."))</f>
        <v/>
      </c>
      <c r="CC80" s="124" t="str">
        <f>IF($B80="","",IFERROR(-AP80,"n.b."))</f>
        <v/>
      </c>
      <c r="CD80" s="124" t="str">
        <f>IF($B80="","",IFERROR(-AQ80,"n.b."))</f>
        <v/>
      </c>
      <c r="CE80" s="124" t="str">
        <f>IF($B80="","",IFERROR(-AR80,"n.b."))</f>
        <v/>
      </c>
      <c r="CF80" s="124" t="str">
        <f>IF($B80="","",IFERROR(-AS80,"n.b."))</f>
        <v/>
      </c>
      <c r="CG80" s="124" t="str">
        <f>IF($B80="","",IFERROR(-AT80,"n.b."))</f>
        <v/>
      </c>
      <c r="CH80" s="124" t="str">
        <f>IF($B80="","",IFERROR(-AU80,"n.b."))</f>
        <v/>
      </c>
      <c r="CI80" s="124" t="str">
        <f>IF($B80="","",IFERROR(-AV80,"n.b."))</f>
        <v/>
      </c>
      <c r="CJ80" s="124" t="str">
        <f>IF($B80="","",IFERROR(-AW80,"n.b."))</f>
        <v/>
      </c>
      <c r="CK80" s="124" t="str">
        <f>IF($B80="","",IFERROR(-AX80,"n.b."))</f>
        <v/>
      </c>
      <c r="CL80" s="124" t="str">
        <f>IF($B80="","",IFERROR(-AY80,"n.b."))</f>
        <v/>
      </c>
      <c r="CM80" s="124" t="str">
        <f>IF($B80="","",IFERROR(-AZ80,"n.b."))</f>
        <v/>
      </c>
      <c r="CN80" s="124" t="str">
        <f>IF($B80="","",IFERROR(-BA80,"n.b."))</f>
        <v/>
      </c>
      <c r="CO80" s="124" t="str">
        <f>IF($B80="","",IFERROR(-BB80,"n.b."))</f>
        <v/>
      </c>
      <c r="CP80" s="124" t="str">
        <f>IF($B80="","",IFERROR(-BC80,"n.b."))</f>
        <v/>
      </c>
      <c r="CQ80" s="124" t="str">
        <f>IF($B80="","",IFERROR(-BD80,"n.b."))</f>
        <v/>
      </c>
      <c r="CR80" s="124" t="str">
        <f>IF($B80="","",IFERROR(-BE80,"n.b."))</f>
        <v/>
      </c>
      <c r="CS80" s="124" t="str">
        <f>IF($B80="","",IFERROR(IF(OR(ABS(T80+V80+X80+Z80-AB80)&gt;P_Tol,ABS(U80+W80+Y80+AA80-AD80)&gt;P_Tol,ABS(AE80+AG80+AI80+AK80-AM80)&gt;P_Tol,ABS(AF80+AH80+AJ80+AL80-AO80)&gt;P_Tol),1,0),1))</f>
        <v/>
      </c>
      <c r="CT80" s="124" t="str">
        <f>IF($B80="","",IFERROR(IF(OR(ABS(AB80+AC80-AD80)&gt;P_Tol,ABS(AM80+AN80-AO80)&gt;P_Tol,ABS(O80+P80-Q80)&gt;P_Tol),1,0),1))</f>
        <v/>
      </c>
      <c r="CU80" s="124" t="str">
        <f>IF($B80="","",IFERROR(IF(ABS(R80-(AB80+AM80+AP80+AR80+AT80+AV80+AX80+AZ80+BB80+BD80))&gt;P_Tol,1,0),1))</f>
        <v/>
      </c>
      <c r="CV80" s="124" t="str">
        <f>IF($B80="","",IFERROR(IF(ABS(M80-(N80+O80+R80))&gt;P_Tol,1,0),1))</f>
        <v/>
      </c>
      <c r="CW80" s="124" t="str">
        <f>IF($B80="","",IF(COUNTIF(Mapping!$A$5:$A$104,B80)&gt;0,1,0))</f>
        <v/>
      </c>
      <c r="CX80" s="124" t="str">
        <f>IF($B80="","",COUNTIF($B$6:$B$505,B80))</f>
        <v/>
      </c>
      <c r="CY80" s="124" t="str">
        <f>IF($B80="","",COUNTIF(STG_Woningetalage!$B$6:$B$505,B80))</f>
        <v/>
      </c>
      <c r="CZ80" s="124" t="str">
        <f>IF($B80="","",IF(CW80=0,COUNTIF($CW$6:CW80,0),""))</f>
        <v/>
      </c>
    </row>
    <row r="81">
      <c r="A81" s="15" t="n">
        <v>77</v>
      </c>
      <c r="B81" t="str">
        <f>IF(B$3=0,"",IF(INDEX(SRC_ZPMW03!$A$1:$ZZ$501,$A81,B$3)&amp;""="","",INDEX(SRC_ZPMW03!$A$1:$ZZ$501,$A81,B$3)&amp;""))</f>
        <v/>
      </c>
      <c r="C81" t="str">
        <f>IF($B81="","",IF(C$3=0,"n.b.",INDEX(SRC_ZPMW03!$A$1:$ZZ$501,$A81,C$3)))</f>
        <v/>
      </c>
      <c r="D81" t="str">
        <f>IF($B81="","",IF(D$3=0,"n.b.",INDEX(SRC_ZPMW03!$A$1:$ZZ$501,$A81,D$3)))</f>
        <v/>
      </c>
      <c r="E81" t="str">
        <f>IF($B81="","",IF(E$3=0,"n.b.",INDEX(SRC_ZPMW03!$A$1:$ZZ$501,$A81,E$3)))</f>
        <v/>
      </c>
      <c r="F81" t="str">
        <f>IF($B81="","",IF(F$3=0,"n.b.",INDEX(SRC_ZPMW03!$A$1:$ZZ$501,$A81,F$3)))</f>
        <v/>
      </c>
      <c r="G81" t="str">
        <f>IF($B81="","",IF(G$3=0,"n.b.",INDEX(SRC_ZPMW03!$A$1:$ZZ$501,$A81,G$3)))</f>
        <v/>
      </c>
      <c r="H81" t="str">
        <f>IF($B81="","",IF(H$3=0,"n.b.",INDEX(SRC_ZPMW03!$A$1:$ZZ$501,$A81,H$3)))</f>
        <v/>
      </c>
      <c r="I81" t="str">
        <f>IF($B81="","",IF(I$3=0,"n.b.",INDEX(SRC_ZPMW03!$A$1:$ZZ$501,$A81,I$3)))</f>
        <v/>
      </c>
      <c r="J81" t="str">
        <f>IF($B81="","",IF(J$3=0,"n.b.",INDEX(SRC_ZPMW03!$A$1:$ZZ$501,$A81,J$3)))</f>
        <v/>
      </c>
      <c r="K81" t="str">
        <f>IF($B81="","",IF(K$3=0,"n.b.",INDEX(SRC_ZPMW03!$A$1:$ZZ$501,$A81,K$3)))</f>
        <v/>
      </c>
      <c r="L81" s="124" t="str">
        <f>IF($B81="","",IF(L$3=0,"n.b.",INDEX(SRC_ZPMW03!$A$1:$ZZ$501,$A81,L$3)))</f>
        <v/>
      </c>
      <c r="M81" s="124" t="str">
        <f>IF($B81="","",IF(M$3=0,"n.b.",INDEX(SRC_ZPMW03!$A$1:$ZZ$501,$A81,M$3)))</f>
        <v/>
      </c>
      <c r="N81" s="124" t="str">
        <f>IF($B81="","",IF(N$3=0,"n.b.",INDEX(SRC_ZPMW03!$A$1:$ZZ$501,$A81,N$3)))</f>
        <v/>
      </c>
      <c r="O81" s="124" t="str">
        <f>IF($B81="","",IF(O$3=0,"n.b.",INDEX(SRC_ZPMW03!$A$1:$ZZ$501,$A81,O$3)))</f>
        <v/>
      </c>
      <c r="P81" s="124" t="str">
        <f>IF($B81="","",IF(P$3=0,"n.b.",INDEX(SRC_ZPMW03!$A$1:$ZZ$501,$A81,P$3)))</f>
        <v/>
      </c>
      <c r="Q81" s="124" t="str">
        <f>IF($B81="","",IF(Q$3=0,"n.b.",INDEX(SRC_ZPMW03!$A$1:$ZZ$501,$A81,Q$3)))</f>
        <v/>
      </c>
      <c r="R81" s="124" t="str">
        <f>IF($B81="","",IF(R$3=0,"n.b.",INDEX(SRC_ZPMW03!$A$1:$ZZ$501,$A81,R$3)))</f>
        <v/>
      </c>
      <c r="S81" s="124" t="str">
        <f>IF($B81="","",IF(S$3=0,"n.b.",INDEX(SRC_ZPMW03!$A$1:$ZZ$501,$A81,S$3)))</f>
        <v/>
      </c>
      <c r="T81" s="124" t="str">
        <f>IF($B81="","",IF(T$3=0,"n.b.",INDEX(SRC_ZPMW03!$A$1:$ZZ$501,$A81,T$3)))</f>
        <v/>
      </c>
      <c r="U81" s="124" t="str">
        <f>IF($B81="","",IF(U$3=0,"n.b.",INDEX(SRC_ZPMW03!$A$1:$ZZ$501,$A81,U$3)))</f>
        <v/>
      </c>
      <c r="V81" s="124" t="str">
        <f>IF($B81="","",IF(V$3=0,"n.b.",INDEX(SRC_ZPMW03!$A$1:$ZZ$501,$A81,V$3)))</f>
        <v/>
      </c>
      <c r="W81" s="124" t="str">
        <f>IF($B81="","",IF(W$3=0,"n.b.",INDEX(SRC_ZPMW03!$A$1:$ZZ$501,$A81,W$3)))</f>
        <v/>
      </c>
      <c r="X81" s="124" t="str">
        <f>IF($B81="","",IF(X$3=0,"n.b.",INDEX(SRC_ZPMW03!$A$1:$ZZ$501,$A81,X$3)))</f>
        <v/>
      </c>
      <c r="Y81" s="124" t="str">
        <f>IF($B81="","",IF(Y$3=0,"n.b.",INDEX(SRC_ZPMW03!$A$1:$ZZ$501,$A81,Y$3)))</f>
        <v/>
      </c>
      <c r="Z81" s="124" t="str">
        <f>IF($B81="","",IF(Z$3=0,"n.b.",INDEX(SRC_ZPMW03!$A$1:$ZZ$501,$A81,Z$3)))</f>
        <v/>
      </c>
      <c r="AA81" s="124" t="str">
        <f>IF($B81="","",IF(AA$3=0,"n.b.",INDEX(SRC_ZPMW03!$A$1:$ZZ$501,$A81,AA$3)))</f>
        <v/>
      </c>
      <c r="AB81" s="124" t="str">
        <f>IF($B81="","",IF(AB$3=0,"n.b.",INDEX(SRC_ZPMW03!$A$1:$ZZ$501,$A81,AB$3)))</f>
        <v/>
      </c>
      <c r="AC81" s="124" t="str">
        <f>IF($B81="","",IF(AC$3=0,"n.b.",INDEX(SRC_ZPMW03!$A$1:$ZZ$501,$A81,AC$3)))</f>
        <v/>
      </c>
      <c r="AD81" s="124" t="str">
        <f>IF($B81="","",IF(AD$3=0,"n.b.",INDEX(SRC_ZPMW03!$A$1:$ZZ$501,$A81,AD$3)))</f>
        <v/>
      </c>
      <c r="AE81" s="124" t="str">
        <f>IF($B81="","",IF(AE$3=0,"n.b.",INDEX(SRC_ZPMW03!$A$1:$ZZ$501,$A81,AE$3)))</f>
        <v/>
      </c>
      <c r="AF81" s="124" t="str">
        <f>IF($B81="","",IF(AF$3=0,"n.b.",INDEX(SRC_ZPMW03!$A$1:$ZZ$501,$A81,AF$3)))</f>
        <v/>
      </c>
      <c r="AG81" s="124" t="str">
        <f>IF($B81="","",IF(AG$3=0,"n.b.",INDEX(SRC_ZPMW03!$A$1:$ZZ$501,$A81,AG$3)))</f>
        <v/>
      </c>
      <c r="AH81" s="124" t="str">
        <f>IF($B81="","",IF(AH$3=0,"n.b.",INDEX(SRC_ZPMW03!$A$1:$ZZ$501,$A81,AH$3)))</f>
        <v/>
      </c>
      <c r="AI81" s="124" t="str">
        <f>IF($B81="","",IF(AI$3=0,"n.b.",INDEX(SRC_ZPMW03!$A$1:$ZZ$501,$A81,AI$3)))</f>
        <v/>
      </c>
      <c r="AJ81" s="124" t="str">
        <f>IF($B81="","",IF(AJ$3=0,"n.b.",INDEX(SRC_ZPMW03!$A$1:$ZZ$501,$A81,AJ$3)))</f>
        <v/>
      </c>
      <c r="AK81" s="124" t="str">
        <f>IF($B81="","",IF(AK$3=0,"n.b.",INDEX(SRC_ZPMW03!$A$1:$ZZ$501,$A81,AK$3)))</f>
        <v/>
      </c>
      <c r="AL81" s="124" t="str">
        <f>IF($B81="","",IF(AL$3=0,"n.b.",INDEX(SRC_ZPMW03!$A$1:$ZZ$501,$A81,AL$3)))</f>
        <v/>
      </c>
      <c r="AM81" s="124" t="str">
        <f>IF($B81="","",IF(AM$3=0,"n.b.",INDEX(SRC_ZPMW03!$A$1:$ZZ$501,$A81,AM$3)))</f>
        <v/>
      </c>
      <c r="AN81" s="124" t="str">
        <f>IF($B81="","",IF(AN$3=0,"n.b.",INDEX(SRC_ZPMW03!$A$1:$ZZ$501,$A81,AN$3)))</f>
        <v/>
      </c>
      <c r="AO81" s="124" t="str">
        <f>IF($B81="","",IF(AO$3=0,"n.b.",INDEX(SRC_ZPMW03!$A$1:$ZZ$501,$A81,AO$3)))</f>
        <v/>
      </c>
      <c r="AP81" s="124" t="str">
        <f>IF($B81="","",IF(AP$3=0,"n.b.",INDEX(SRC_ZPMW03!$A$1:$ZZ$501,$A81,AP$3)))</f>
        <v/>
      </c>
      <c r="AQ81" s="124" t="str">
        <f>IF($B81="","",IF(AQ$3=0,"n.b.",INDEX(SRC_ZPMW03!$A$1:$ZZ$501,$A81,AQ$3)))</f>
        <v/>
      </c>
      <c r="AR81" s="124" t="str">
        <f>IF($B81="","",IF(AR$3=0,"n.b.",INDEX(SRC_ZPMW03!$A$1:$ZZ$501,$A81,AR$3)))</f>
        <v/>
      </c>
      <c r="AS81" s="124" t="str">
        <f>IF($B81="","",IF(AS$3=0,"n.b.",INDEX(SRC_ZPMW03!$A$1:$ZZ$501,$A81,AS$3)))</f>
        <v/>
      </c>
      <c r="AT81" s="124" t="str">
        <f>IF($B81="","",IF(AT$3=0,"n.b.",INDEX(SRC_ZPMW03!$A$1:$ZZ$501,$A81,AT$3)))</f>
        <v/>
      </c>
      <c r="AU81" s="124" t="str">
        <f>IF($B81="","",IF(AU$3=0,"n.b.",INDEX(SRC_ZPMW03!$A$1:$ZZ$501,$A81,AU$3)))</f>
        <v/>
      </c>
      <c r="AV81" s="124" t="str">
        <f>IF($B81="","",IF(AV$3=0,"n.b.",INDEX(SRC_ZPMW03!$A$1:$ZZ$501,$A81,AV$3)))</f>
        <v/>
      </c>
      <c r="AW81" s="124" t="str">
        <f>IF($B81="","",IF(AW$3=0,"n.b.",INDEX(SRC_ZPMW03!$A$1:$ZZ$501,$A81,AW$3)))</f>
        <v/>
      </c>
      <c r="AX81" s="124" t="str">
        <f>IF($B81="","",IF(AX$3=0,"n.b.",INDEX(SRC_ZPMW03!$A$1:$ZZ$501,$A81,AX$3)))</f>
        <v/>
      </c>
      <c r="AY81" s="124" t="str">
        <f>IF($B81="","",IF(AY$3=0,"n.b.",INDEX(SRC_ZPMW03!$A$1:$ZZ$501,$A81,AY$3)))</f>
        <v/>
      </c>
      <c r="AZ81" s="124" t="str">
        <f>IF($B81="","",IF(AZ$3=0,"n.b.",INDEX(SRC_ZPMW03!$A$1:$ZZ$501,$A81,AZ$3)))</f>
        <v/>
      </c>
      <c r="BA81" s="124" t="str">
        <f>IF($B81="","",IF(BA$3=0,"n.b.",INDEX(SRC_ZPMW03!$A$1:$ZZ$501,$A81,BA$3)))</f>
        <v/>
      </c>
      <c r="BB81" s="124" t="str">
        <f>IF($B81="","",IF(BB$3=0,"n.b.",INDEX(SRC_ZPMW03!$A$1:$ZZ$501,$A81,BB$3)))</f>
        <v/>
      </c>
      <c r="BC81" s="124" t="str">
        <f>IF($B81="","",IF(BC$3=0,"n.b.",INDEX(SRC_ZPMW03!$A$1:$ZZ$501,$A81,BC$3)))</f>
        <v/>
      </c>
      <c r="BD81" s="124" t="str">
        <f>IF($B81="","",IF(BD$3=0,"n.b.",INDEX(SRC_ZPMW03!$A$1:$ZZ$501,$A81,BD$3)))</f>
        <v/>
      </c>
      <c r="BE81" s="124" t="str">
        <f>IF($B81="","",IF(BE$3=0,"n.b.",INDEX(SRC_ZPMW03!$A$1:$ZZ$501,$A81,BE$3)))</f>
        <v/>
      </c>
      <c r="BF81" s="124" t="str">
        <f>IF($B81="","",IF(BF$3=0,"n.b.",INDEX(SRC_ZPMW03!$A$1:$ZZ$501,$A81,BF$3)))</f>
        <v/>
      </c>
      <c r="BG81" t="str">
        <f>IF($B81="","",IF(BG$3=0,"n.b.",INDEX(SRC_ZPMW03!$A$1:$ZZ$501,$A81,BG$3)))</f>
        <v/>
      </c>
      <c r="BH81" t="str">
        <f>IF($B81="","",IF(BH$3=0,"n.b.",INDEX(SRC_ZPMW03!$A$1:$ZZ$501,$A81,BH$3)))</f>
        <v/>
      </c>
      <c r="BI81" t="str">
        <f>IF($B81="","",IF(BI$3=0,"n.b.",INDEX(SRC_ZPMW03!$A$1:$ZZ$501,$A81,BI$3)))</f>
        <v/>
      </c>
      <c r="BJ81" t="str">
        <f>IF($B81="","",IF(BJ$3=0,"n.b.",INDEX(SRC_ZPMW03!$A$1:$ZZ$501,$A81,BJ$3)))</f>
        <v/>
      </c>
      <c r="BK81" s="124" t="str">
        <f>IF($B81="","",IFERROR(-O81,"n.b."))</f>
        <v/>
      </c>
      <c r="BL81" s="124" t="str">
        <f>IF($B81="","",IFERROR(-Q81,"n.b."))</f>
        <v/>
      </c>
      <c r="BM81" s="124" t="str">
        <f>IF($B81="","",IFERROR(-AB81,"n.b."))</f>
        <v/>
      </c>
      <c r="BN81" s="124" t="str">
        <f>IF($B81="","",IFERROR(-AD81,"n.b."))</f>
        <v/>
      </c>
      <c r="BO81" s="124" t="str">
        <f>IF($B81="","",IFERROR(BK81+BM81,"n.b."))</f>
        <v/>
      </c>
      <c r="BP81" s="124" t="str">
        <f>IF($B81="","",IFERROR(BL81+BN81,"n.b."))</f>
        <v/>
      </c>
      <c r="BQ81" s="124" t="str">
        <f>IF($B81="","",IFERROR(-AM81,"n.b."))</f>
        <v/>
      </c>
      <c r="BR81" s="124" t="str">
        <f>IF($B81="","",IFERROR(-AO81,"n.b."))</f>
        <v/>
      </c>
      <c r="BS81" s="124" t="str">
        <f>IF($B81="","",IFERROR(-Z81,"n.b."))</f>
        <v/>
      </c>
      <c r="BT81" s="124" t="str">
        <f>IF($B81="","",IFERROR(-AA81,"n.b."))</f>
        <v/>
      </c>
      <c r="BU81" s="124" t="str">
        <f>IF($B81="","",IFERROR(-AE81,"n.b."))</f>
        <v/>
      </c>
      <c r="BV81" s="124" t="str">
        <f>IF($B81="","",IFERROR(-AF81,"n.b."))</f>
        <v/>
      </c>
      <c r="BW81" s="124" t="str">
        <f>IF($B81="","",IFERROR(-AG81,"n.b."))</f>
        <v/>
      </c>
      <c r="BX81" s="124" t="str">
        <f>IF($B81="","",IFERROR(-AH81,"n.b."))</f>
        <v/>
      </c>
      <c r="BY81" s="124" t="str">
        <f>IF($B81="","",IFERROR(-AI81,"n.b."))</f>
        <v/>
      </c>
      <c r="BZ81" s="124" t="str">
        <f>IF($B81="","",IFERROR(-AJ81,"n.b."))</f>
        <v/>
      </c>
      <c r="CA81" s="124" t="str">
        <f>IF($B81="","",IFERROR(-AK81,"n.b."))</f>
        <v/>
      </c>
      <c r="CB81" s="124" t="str">
        <f>IF($B81="","",IFERROR(-AL81,"n.b."))</f>
        <v/>
      </c>
      <c r="CC81" s="124" t="str">
        <f>IF($B81="","",IFERROR(-AP81,"n.b."))</f>
        <v/>
      </c>
      <c r="CD81" s="124" t="str">
        <f>IF($B81="","",IFERROR(-AQ81,"n.b."))</f>
        <v/>
      </c>
      <c r="CE81" s="124" t="str">
        <f>IF($B81="","",IFERROR(-AR81,"n.b."))</f>
        <v/>
      </c>
      <c r="CF81" s="124" t="str">
        <f>IF($B81="","",IFERROR(-AS81,"n.b."))</f>
        <v/>
      </c>
      <c r="CG81" s="124" t="str">
        <f>IF($B81="","",IFERROR(-AT81,"n.b."))</f>
        <v/>
      </c>
      <c r="CH81" s="124" t="str">
        <f>IF($B81="","",IFERROR(-AU81,"n.b."))</f>
        <v/>
      </c>
      <c r="CI81" s="124" t="str">
        <f>IF($B81="","",IFERROR(-AV81,"n.b."))</f>
        <v/>
      </c>
      <c r="CJ81" s="124" t="str">
        <f>IF($B81="","",IFERROR(-AW81,"n.b."))</f>
        <v/>
      </c>
      <c r="CK81" s="124" t="str">
        <f>IF($B81="","",IFERROR(-AX81,"n.b."))</f>
        <v/>
      </c>
      <c r="CL81" s="124" t="str">
        <f>IF($B81="","",IFERROR(-AY81,"n.b."))</f>
        <v/>
      </c>
      <c r="CM81" s="124" t="str">
        <f>IF($B81="","",IFERROR(-AZ81,"n.b."))</f>
        <v/>
      </c>
      <c r="CN81" s="124" t="str">
        <f>IF($B81="","",IFERROR(-BA81,"n.b."))</f>
        <v/>
      </c>
      <c r="CO81" s="124" t="str">
        <f>IF($B81="","",IFERROR(-BB81,"n.b."))</f>
        <v/>
      </c>
      <c r="CP81" s="124" t="str">
        <f>IF($B81="","",IFERROR(-BC81,"n.b."))</f>
        <v/>
      </c>
      <c r="CQ81" s="124" t="str">
        <f>IF($B81="","",IFERROR(-BD81,"n.b."))</f>
        <v/>
      </c>
      <c r="CR81" s="124" t="str">
        <f>IF($B81="","",IFERROR(-BE81,"n.b."))</f>
        <v/>
      </c>
      <c r="CS81" s="124" t="str">
        <f>IF($B81="","",IFERROR(IF(OR(ABS(T81+V81+X81+Z81-AB81)&gt;P_Tol,ABS(U81+W81+Y81+AA81-AD81)&gt;P_Tol,ABS(AE81+AG81+AI81+AK81-AM81)&gt;P_Tol,ABS(AF81+AH81+AJ81+AL81-AO81)&gt;P_Tol),1,0),1))</f>
        <v/>
      </c>
      <c r="CT81" s="124" t="str">
        <f>IF($B81="","",IFERROR(IF(OR(ABS(AB81+AC81-AD81)&gt;P_Tol,ABS(AM81+AN81-AO81)&gt;P_Tol,ABS(O81+P81-Q81)&gt;P_Tol),1,0),1))</f>
        <v/>
      </c>
      <c r="CU81" s="124" t="str">
        <f>IF($B81="","",IFERROR(IF(ABS(R81-(AB81+AM81+AP81+AR81+AT81+AV81+AX81+AZ81+BB81+BD81))&gt;P_Tol,1,0),1))</f>
        <v/>
      </c>
      <c r="CV81" s="124" t="str">
        <f>IF($B81="","",IFERROR(IF(ABS(M81-(N81+O81+R81))&gt;P_Tol,1,0),1))</f>
        <v/>
      </c>
      <c r="CW81" s="124" t="str">
        <f>IF($B81="","",IF(COUNTIF(Mapping!$A$5:$A$104,B81)&gt;0,1,0))</f>
        <v/>
      </c>
      <c r="CX81" s="124" t="str">
        <f>IF($B81="","",COUNTIF($B$6:$B$505,B81))</f>
        <v/>
      </c>
      <c r="CY81" s="124" t="str">
        <f>IF($B81="","",COUNTIF(STG_Woningetalage!$B$6:$B$505,B81))</f>
        <v/>
      </c>
      <c r="CZ81" s="124" t="str">
        <f>IF($B81="","",IF(CW81=0,COUNTIF($CW$6:CW81,0),""))</f>
        <v/>
      </c>
    </row>
    <row r="82">
      <c r="A82" s="15" t="n">
        <v>78</v>
      </c>
      <c r="B82" t="str">
        <f>IF(B$3=0,"",IF(INDEX(SRC_ZPMW03!$A$1:$ZZ$501,$A82,B$3)&amp;""="","",INDEX(SRC_ZPMW03!$A$1:$ZZ$501,$A82,B$3)&amp;""))</f>
        <v/>
      </c>
      <c r="C82" t="str">
        <f>IF($B82="","",IF(C$3=0,"n.b.",INDEX(SRC_ZPMW03!$A$1:$ZZ$501,$A82,C$3)))</f>
        <v/>
      </c>
      <c r="D82" t="str">
        <f>IF($B82="","",IF(D$3=0,"n.b.",INDEX(SRC_ZPMW03!$A$1:$ZZ$501,$A82,D$3)))</f>
        <v/>
      </c>
      <c r="E82" t="str">
        <f>IF($B82="","",IF(E$3=0,"n.b.",INDEX(SRC_ZPMW03!$A$1:$ZZ$501,$A82,E$3)))</f>
        <v/>
      </c>
      <c r="F82" t="str">
        <f>IF($B82="","",IF(F$3=0,"n.b.",INDEX(SRC_ZPMW03!$A$1:$ZZ$501,$A82,F$3)))</f>
        <v/>
      </c>
      <c r="G82" t="str">
        <f>IF($B82="","",IF(G$3=0,"n.b.",INDEX(SRC_ZPMW03!$A$1:$ZZ$501,$A82,G$3)))</f>
        <v/>
      </c>
      <c r="H82" t="str">
        <f>IF($B82="","",IF(H$3=0,"n.b.",INDEX(SRC_ZPMW03!$A$1:$ZZ$501,$A82,H$3)))</f>
        <v/>
      </c>
      <c r="I82" t="str">
        <f>IF($B82="","",IF(I$3=0,"n.b.",INDEX(SRC_ZPMW03!$A$1:$ZZ$501,$A82,I$3)))</f>
        <v/>
      </c>
      <c r="J82" t="str">
        <f>IF($B82="","",IF(J$3=0,"n.b.",INDEX(SRC_ZPMW03!$A$1:$ZZ$501,$A82,J$3)))</f>
        <v/>
      </c>
      <c r="K82" t="str">
        <f>IF($B82="","",IF(K$3=0,"n.b.",INDEX(SRC_ZPMW03!$A$1:$ZZ$501,$A82,K$3)))</f>
        <v/>
      </c>
      <c r="L82" s="124" t="str">
        <f>IF($B82="","",IF(L$3=0,"n.b.",INDEX(SRC_ZPMW03!$A$1:$ZZ$501,$A82,L$3)))</f>
        <v/>
      </c>
      <c r="M82" s="124" t="str">
        <f>IF($B82="","",IF(M$3=0,"n.b.",INDEX(SRC_ZPMW03!$A$1:$ZZ$501,$A82,M$3)))</f>
        <v/>
      </c>
      <c r="N82" s="124" t="str">
        <f>IF($B82="","",IF(N$3=0,"n.b.",INDEX(SRC_ZPMW03!$A$1:$ZZ$501,$A82,N$3)))</f>
        <v/>
      </c>
      <c r="O82" s="124" t="str">
        <f>IF($B82="","",IF(O$3=0,"n.b.",INDEX(SRC_ZPMW03!$A$1:$ZZ$501,$A82,O$3)))</f>
        <v/>
      </c>
      <c r="P82" s="124" t="str">
        <f>IF($B82="","",IF(P$3=0,"n.b.",INDEX(SRC_ZPMW03!$A$1:$ZZ$501,$A82,P$3)))</f>
        <v/>
      </c>
      <c r="Q82" s="124" t="str">
        <f>IF($B82="","",IF(Q$3=0,"n.b.",INDEX(SRC_ZPMW03!$A$1:$ZZ$501,$A82,Q$3)))</f>
        <v/>
      </c>
      <c r="R82" s="124" t="str">
        <f>IF($B82="","",IF(R$3=0,"n.b.",INDEX(SRC_ZPMW03!$A$1:$ZZ$501,$A82,R$3)))</f>
        <v/>
      </c>
      <c r="S82" s="124" t="str">
        <f>IF($B82="","",IF(S$3=0,"n.b.",INDEX(SRC_ZPMW03!$A$1:$ZZ$501,$A82,S$3)))</f>
        <v/>
      </c>
      <c r="T82" s="124" t="str">
        <f>IF($B82="","",IF(T$3=0,"n.b.",INDEX(SRC_ZPMW03!$A$1:$ZZ$501,$A82,T$3)))</f>
        <v/>
      </c>
      <c r="U82" s="124" t="str">
        <f>IF($B82="","",IF(U$3=0,"n.b.",INDEX(SRC_ZPMW03!$A$1:$ZZ$501,$A82,U$3)))</f>
        <v/>
      </c>
      <c r="V82" s="124" t="str">
        <f>IF($B82="","",IF(V$3=0,"n.b.",INDEX(SRC_ZPMW03!$A$1:$ZZ$501,$A82,V$3)))</f>
        <v/>
      </c>
      <c r="W82" s="124" t="str">
        <f>IF($B82="","",IF(W$3=0,"n.b.",INDEX(SRC_ZPMW03!$A$1:$ZZ$501,$A82,W$3)))</f>
        <v/>
      </c>
      <c r="X82" s="124" t="str">
        <f>IF($B82="","",IF(X$3=0,"n.b.",INDEX(SRC_ZPMW03!$A$1:$ZZ$501,$A82,X$3)))</f>
        <v/>
      </c>
      <c r="Y82" s="124" t="str">
        <f>IF($B82="","",IF(Y$3=0,"n.b.",INDEX(SRC_ZPMW03!$A$1:$ZZ$501,$A82,Y$3)))</f>
        <v/>
      </c>
      <c r="Z82" s="124" t="str">
        <f>IF($B82="","",IF(Z$3=0,"n.b.",INDEX(SRC_ZPMW03!$A$1:$ZZ$501,$A82,Z$3)))</f>
        <v/>
      </c>
      <c r="AA82" s="124" t="str">
        <f>IF($B82="","",IF(AA$3=0,"n.b.",INDEX(SRC_ZPMW03!$A$1:$ZZ$501,$A82,AA$3)))</f>
        <v/>
      </c>
      <c r="AB82" s="124" t="str">
        <f>IF($B82="","",IF(AB$3=0,"n.b.",INDEX(SRC_ZPMW03!$A$1:$ZZ$501,$A82,AB$3)))</f>
        <v/>
      </c>
      <c r="AC82" s="124" t="str">
        <f>IF($B82="","",IF(AC$3=0,"n.b.",INDEX(SRC_ZPMW03!$A$1:$ZZ$501,$A82,AC$3)))</f>
        <v/>
      </c>
      <c r="AD82" s="124" t="str">
        <f>IF($B82="","",IF(AD$3=0,"n.b.",INDEX(SRC_ZPMW03!$A$1:$ZZ$501,$A82,AD$3)))</f>
        <v/>
      </c>
      <c r="AE82" s="124" t="str">
        <f>IF($B82="","",IF(AE$3=0,"n.b.",INDEX(SRC_ZPMW03!$A$1:$ZZ$501,$A82,AE$3)))</f>
        <v/>
      </c>
      <c r="AF82" s="124" t="str">
        <f>IF($B82="","",IF(AF$3=0,"n.b.",INDEX(SRC_ZPMW03!$A$1:$ZZ$501,$A82,AF$3)))</f>
        <v/>
      </c>
      <c r="AG82" s="124" t="str">
        <f>IF($B82="","",IF(AG$3=0,"n.b.",INDEX(SRC_ZPMW03!$A$1:$ZZ$501,$A82,AG$3)))</f>
        <v/>
      </c>
      <c r="AH82" s="124" t="str">
        <f>IF($B82="","",IF(AH$3=0,"n.b.",INDEX(SRC_ZPMW03!$A$1:$ZZ$501,$A82,AH$3)))</f>
        <v/>
      </c>
      <c r="AI82" s="124" t="str">
        <f>IF($B82="","",IF(AI$3=0,"n.b.",INDEX(SRC_ZPMW03!$A$1:$ZZ$501,$A82,AI$3)))</f>
        <v/>
      </c>
      <c r="AJ82" s="124" t="str">
        <f>IF($B82="","",IF(AJ$3=0,"n.b.",INDEX(SRC_ZPMW03!$A$1:$ZZ$501,$A82,AJ$3)))</f>
        <v/>
      </c>
      <c r="AK82" s="124" t="str">
        <f>IF($B82="","",IF(AK$3=0,"n.b.",INDEX(SRC_ZPMW03!$A$1:$ZZ$501,$A82,AK$3)))</f>
        <v/>
      </c>
      <c r="AL82" s="124" t="str">
        <f>IF($B82="","",IF(AL$3=0,"n.b.",INDEX(SRC_ZPMW03!$A$1:$ZZ$501,$A82,AL$3)))</f>
        <v/>
      </c>
      <c r="AM82" s="124" t="str">
        <f>IF($B82="","",IF(AM$3=0,"n.b.",INDEX(SRC_ZPMW03!$A$1:$ZZ$501,$A82,AM$3)))</f>
        <v/>
      </c>
      <c r="AN82" s="124" t="str">
        <f>IF($B82="","",IF(AN$3=0,"n.b.",INDEX(SRC_ZPMW03!$A$1:$ZZ$501,$A82,AN$3)))</f>
        <v/>
      </c>
      <c r="AO82" s="124" t="str">
        <f>IF($B82="","",IF(AO$3=0,"n.b.",INDEX(SRC_ZPMW03!$A$1:$ZZ$501,$A82,AO$3)))</f>
        <v/>
      </c>
      <c r="AP82" s="124" t="str">
        <f>IF($B82="","",IF(AP$3=0,"n.b.",INDEX(SRC_ZPMW03!$A$1:$ZZ$501,$A82,AP$3)))</f>
        <v/>
      </c>
      <c r="AQ82" s="124" t="str">
        <f>IF($B82="","",IF(AQ$3=0,"n.b.",INDEX(SRC_ZPMW03!$A$1:$ZZ$501,$A82,AQ$3)))</f>
        <v/>
      </c>
      <c r="AR82" s="124" t="str">
        <f>IF($B82="","",IF(AR$3=0,"n.b.",INDEX(SRC_ZPMW03!$A$1:$ZZ$501,$A82,AR$3)))</f>
        <v/>
      </c>
      <c r="AS82" s="124" t="str">
        <f>IF($B82="","",IF(AS$3=0,"n.b.",INDEX(SRC_ZPMW03!$A$1:$ZZ$501,$A82,AS$3)))</f>
        <v/>
      </c>
      <c r="AT82" s="124" t="str">
        <f>IF($B82="","",IF(AT$3=0,"n.b.",INDEX(SRC_ZPMW03!$A$1:$ZZ$501,$A82,AT$3)))</f>
        <v/>
      </c>
      <c r="AU82" s="124" t="str">
        <f>IF($B82="","",IF(AU$3=0,"n.b.",INDEX(SRC_ZPMW03!$A$1:$ZZ$501,$A82,AU$3)))</f>
        <v/>
      </c>
      <c r="AV82" s="124" t="str">
        <f>IF($B82="","",IF(AV$3=0,"n.b.",INDEX(SRC_ZPMW03!$A$1:$ZZ$501,$A82,AV$3)))</f>
        <v/>
      </c>
      <c r="AW82" s="124" t="str">
        <f>IF($B82="","",IF(AW$3=0,"n.b.",INDEX(SRC_ZPMW03!$A$1:$ZZ$501,$A82,AW$3)))</f>
        <v/>
      </c>
      <c r="AX82" s="124" t="str">
        <f>IF($B82="","",IF(AX$3=0,"n.b.",INDEX(SRC_ZPMW03!$A$1:$ZZ$501,$A82,AX$3)))</f>
        <v/>
      </c>
      <c r="AY82" s="124" t="str">
        <f>IF($B82="","",IF(AY$3=0,"n.b.",INDEX(SRC_ZPMW03!$A$1:$ZZ$501,$A82,AY$3)))</f>
        <v/>
      </c>
      <c r="AZ82" s="124" t="str">
        <f>IF($B82="","",IF(AZ$3=0,"n.b.",INDEX(SRC_ZPMW03!$A$1:$ZZ$501,$A82,AZ$3)))</f>
        <v/>
      </c>
      <c r="BA82" s="124" t="str">
        <f>IF($B82="","",IF(BA$3=0,"n.b.",INDEX(SRC_ZPMW03!$A$1:$ZZ$501,$A82,BA$3)))</f>
        <v/>
      </c>
      <c r="BB82" s="124" t="str">
        <f>IF($B82="","",IF(BB$3=0,"n.b.",INDEX(SRC_ZPMW03!$A$1:$ZZ$501,$A82,BB$3)))</f>
        <v/>
      </c>
      <c r="BC82" s="124" t="str">
        <f>IF($B82="","",IF(BC$3=0,"n.b.",INDEX(SRC_ZPMW03!$A$1:$ZZ$501,$A82,BC$3)))</f>
        <v/>
      </c>
      <c r="BD82" s="124" t="str">
        <f>IF($B82="","",IF(BD$3=0,"n.b.",INDEX(SRC_ZPMW03!$A$1:$ZZ$501,$A82,BD$3)))</f>
        <v/>
      </c>
      <c r="BE82" s="124" t="str">
        <f>IF($B82="","",IF(BE$3=0,"n.b.",INDEX(SRC_ZPMW03!$A$1:$ZZ$501,$A82,BE$3)))</f>
        <v/>
      </c>
      <c r="BF82" s="124" t="str">
        <f>IF($B82="","",IF(BF$3=0,"n.b.",INDEX(SRC_ZPMW03!$A$1:$ZZ$501,$A82,BF$3)))</f>
        <v/>
      </c>
      <c r="BG82" t="str">
        <f>IF($B82="","",IF(BG$3=0,"n.b.",INDEX(SRC_ZPMW03!$A$1:$ZZ$501,$A82,BG$3)))</f>
        <v/>
      </c>
      <c r="BH82" t="str">
        <f>IF($B82="","",IF(BH$3=0,"n.b.",INDEX(SRC_ZPMW03!$A$1:$ZZ$501,$A82,BH$3)))</f>
        <v/>
      </c>
      <c r="BI82" t="str">
        <f>IF($B82="","",IF(BI$3=0,"n.b.",INDEX(SRC_ZPMW03!$A$1:$ZZ$501,$A82,BI$3)))</f>
        <v/>
      </c>
      <c r="BJ82" t="str">
        <f>IF($B82="","",IF(BJ$3=0,"n.b.",INDEX(SRC_ZPMW03!$A$1:$ZZ$501,$A82,BJ$3)))</f>
        <v/>
      </c>
      <c r="BK82" s="124" t="str">
        <f>IF($B82="","",IFERROR(-O82,"n.b."))</f>
        <v/>
      </c>
      <c r="BL82" s="124" t="str">
        <f>IF($B82="","",IFERROR(-Q82,"n.b."))</f>
        <v/>
      </c>
      <c r="BM82" s="124" t="str">
        <f>IF($B82="","",IFERROR(-AB82,"n.b."))</f>
        <v/>
      </c>
      <c r="BN82" s="124" t="str">
        <f>IF($B82="","",IFERROR(-AD82,"n.b."))</f>
        <v/>
      </c>
      <c r="BO82" s="124" t="str">
        <f>IF($B82="","",IFERROR(BK82+BM82,"n.b."))</f>
        <v/>
      </c>
      <c r="BP82" s="124" t="str">
        <f>IF($B82="","",IFERROR(BL82+BN82,"n.b."))</f>
        <v/>
      </c>
      <c r="BQ82" s="124" t="str">
        <f>IF($B82="","",IFERROR(-AM82,"n.b."))</f>
        <v/>
      </c>
      <c r="BR82" s="124" t="str">
        <f>IF($B82="","",IFERROR(-AO82,"n.b."))</f>
        <v/>
      </c>
      <c r="BS82" s="124" t="str">
        <f>IF($B82="","",IFERROR(-Z82,"n.b."))</f>
        <v/>
      </c>
      <c r="BT82" s="124" t="str">
        <f>IF($B82="","",IFERROR(-AA82,"n.b."))</f>
        <v/>
      </c>
      <c r="BU82" s="124" t="str">
        <f>IF($B82="","",IFERROR(-AE82,"n.b."))</f>
        <v/>
      </c>
      <c r="BV82" s="124" t="str">
        <f>IF($B82="","",IFERROR(-AF82,"n.b."))</f>
        <v/>
      </c>
      <c r="BW82" s="124" t="str">
        <f>IF($B82="","",IFERROR(-AG82,"n.b."))</f>
        <v/>
      </c>
      <c r="BX82" s="124" t="str">
        <f>IF($B82="","",IFERROR(-AH82,"n.b."))</f>
        <v/>
      </c>
      <c r="BY82" s="124" t="str">
        <f>IF($B82="","",IFERROR(-AI82,"n.b."))</f>
        <v/>
      </c>
      <c r="BZ82" s="124" t="str">
        <f>IF($B82="","",IFERROR(-AJ82,"n.b."))</f>
        <v/>
      </c>
      <c r="CA82" s="124" t="str">
        <f>IF($B82="","",IFERROR(-AK82,"n.b."))</f>
        <v/>
      </c>
      <c r="CB82" s="124" t="str">
        <f>IF($B82="","",IFERROR(-AL82,"n.b."))</f>
        <v/>
      </c>
      <c r="CC82" s="124" t="str">
        <f>IF($B82="","",IFERROR(-AP82,"n.b."))</f>
        <v/>
      </c>
      <c r="CD82" s="124" t="str">
        <f>IF($B82="","",IFERROR(-AQ82,"n.b."))</f>
        <v/>
      </c>
      <c r="CE82" s="124" t="str">
        <f>IF($B82="","",IFERROR(-AR82,"n.b."))</f>
        <v/>
      </c>
      <c r="CF82" s="124" t="str">
        <f>IF($B82="","",IFERROR(-AS82,"n.b."))</f>
        <v/>
      </c>
      <c r="CG82" s="124" t="str">
        <f>IF($B82="","",IFERROR(-AT82,"n.b."))</f>
        <v/>
      </c>
      <c r="CH82" s="124" t="str">
        <f>IF($B82="","",IFERROR(-AU82,"n.b."))</f>
        <v/>
      </c>
      <c r="CI82" s="124" t="str">
        <f>IF($B82="","",IFERROR(-AV82,"n.b."))</f>
        <v/>
      </c>
      <c r="CJ82" s="124" t="str">
        <f>IF($B82="","",IFERROR(-AW82,"n.b."))</f>
        <v/>
      </c>
      <c r="CK82" s="124" t="str">
        <f>IF($B82="","",IFERROR(-AX82,"n.b."))</f>
        <v/>
      </c>
      <c r="CL82" s="124" t="str">
        <f>IF($B82="","",IFERROR(-AY82,"n.b."))</f>
        <v/>
      </c>
      <c r="CM82" s="124" t="str">
        <f>IF($B82="","",IFERROR(-AZ82,"n.b."))</f>
        <v/>
      </c>
      <c r="CN82" s="124" t="str">
        <f>IF($B82="","",IFERROR(-BA82,"n.b."))</f>
        <v/>
      </c>
      <c r="CO82" s="124" t="str">
        <f>IF($B82="","",IFERROR(-BB82,"n.b."))</f>
        <v/>
      </c>
      <c r="CP82" s="124" t="str">
        <f>IF($B82="","",IFERROR(-BC82,"n.b."))</f>
        <v/>
      </c>
      <c r="CQ82" s="124" t="str">
        <f>IF($B82="","",IFERROR(-BD82,"n.b."))</f>
        <v/>
      </c>
      <c r="CR82" s="124" t="str">
        <f>IF($B82="","",IFERROR(-BE82,"n.b."))</f>
        <v/>
      </c>
      <c r="CS82" s="124" t="str">
        <f>IF($B82="","",IFERROR(IF(OR(ABS(T82+V82+X82+Z82-AB82)&gt;P_Tol,ABS(U82+W82+Y82+AA82-AD82)&gt;P_Tol,ABS(AE82+AG82+AI82+AK82-AM82)&gt;P_Tol,ABS(AF82+AH82+AJ82+AL82-AO82)&gt;P_Tol),1,0),1))</f>
        <v/>
      </c>
      <c r="CT82" s="124" t="str">
        <f>IF($B82="","",IFERROR(IF(OR(ABS(AB82+AC82-AD82)&gt;P_Tol,ABS(AM82+AN82-AO82)&gt;P_Tol,ABS(O82+P82-Q82)&gt;P_Tol),1,0),1))</f>
        <v/>
      </c>
      <c r="CU82" s="124" t="str">
        <f>IF($B82="","",IFERROR(IF(ABS(R82-(AB82+AM82+AP82+AR82+AT82+AV82+AX82+AZ82+BB82+BD82))&gt;P_Tol,1,0),1))</f>
        <v/>
      </c>
      <c r="CV82" s="124" t="str">
        <f>IF($B82="","",IFERROR(IF(ABS(M82-(N82+O82+R82))&gt;P_Tol,1,0),1))</f>
        <v/>
      </c>
      <c r="CW82" s="124" t="str">
        <f>IF($B82="","",IF(COUNTIF(Mapping!$A$5:$A$104,B82)&gt;0,1,0))</f>
        <v/>
      </c>
      <c r="CX82" s="124" t="str">
        <f>IF($B82="","",COUNTIF($B$6:$B$505,B82))</f>
        <v/>
      </c>
      <c r="CY82" s="124" t="str">
        <f>IF($B82="","",COUNTIF(STG_Woningetalage!$B$6:$B$505,B82))</f>
        <v/>
      </c>
      <c r="CZ82" s="124" t="str">
        <f>IF($B82="","",IF(CW82=0,COUNTIF($CW$6:CW82,0),""))</f>
        <v/>
      </c>
    </row>
    <row r="83">
      <c r="A83" s="15" t="n">
        <v>79</v>
      </c>
      <c r="B83" t="str">
        <f>IF(B$3=0,"",IF(INDEX(SRC_ZPMW03!$A$1:$ZZ$501,$A83,B$3)&amp;""="","",INDEX(SRC_ZPMW03!$A$1:$ZZ$501,$A83,B$3)&amp;""))</f>
        <v/>
      </c>
      <c r="C83" t="str">
        <f>IF($B83="","",IF(C$3=0,"n.b.",INDEX(SRC_ZPMW03!$A$1:$ZZ$501,$A83,C$3)))</f>
        <v/>
      </c>
      <c r="D83" t="str">
        <f>IF($B83="","",IF(D$3=0,"n.b.",INDEX(SRC_ZPMW03!$A$1:$ZZ$501,$A83,D$3)))</f>
        <v/>
      </c>
      <c r="E83" t="str">
        <f>IF($B83="","",IF(E$3=0,"n.b.",INDEX(SRC_ZPMW03!$A$1:$ZZ$501,$A83,E$3)))</f>
        <v/>
      </c>
      <c r="F83" t="str">
        <f>IF($B83="","",IF(F$3=0,"n.b.",INDEX(SRC_ZPMW03!$A$1:$ZZ$501,$A83,F$3)))</f>
        <v/>
      </c>
      <c r="G83" t="str">
        <f>IF($B83="","",IF(G$3=0,"n.b.",INDEX(SRC_ZPMW03!$A$1:$ZZ$501,$A83,G$3)))</f>
        <v/>
      </c>
      <c r="H83" t="str">
        <f>IF($B83="","",IF(H$3=0,"n.b.",INDEX(SRC_ZPMW03!$A$1:$ZZ$501,$A83,H$3)))</f>
        <v/>
      </c>
      <c r="I83" t="str">
        <f>IF($B83="","",IF(I$3=0,"n.b.",INDEX(SRC_ZPMW03!$A$1:$ZZ$501,$A83,I$3)))</f>
        <v/>
      </c>
      <c r="J83" t="str">
        <f>IF($B83="","",IF(J$3=0,"n.b.",INDEX(SRC_ZPMW03!$A$1:$ZZ$501,$A83,J$3)))</f>
        <v/>
      </c>
      <c r="K83" t="str">
        <f>IF($B83="","",IF(K$3=0,"n.b.",INDEX(SRC_ZPMW03!$A$1:$ZZ$501,$A83,K$3)))</f>
        <v/>
      </c>
      <c r="L83" s="124" t="str">
        <f>IF($B83="","",IF(L$3=0,"n.b.",INDEX(SRC_ZPMW03!$A$1:$ZZ$501,$A83,L$3)))</f>
        <v/>
      </c>
      <c r="M83" s="124" t="str">
        <f>IF($B83="","",IF(M$3=0,"n.b.",INDEX(SRC_ZPMW03!$A$1:$ZZ$501,$A83,M$3)))</f>
        <v/>
      </c>
      <c r="N83" s="124" t="str">
        <f>IF($B83="","",IF(N$3=0,"n.b.",INDEX(SRC_ZPMW03!$A$1:$ZZ$501,$A83,N$3)))</f>
        <v/>
      </c>
      <c r="O83" s="124" t="str">
        <f>IF($B83="","",IF(O$3=0,"n.b.",INDEX(SRC_ZPMW03!$A$1:$ZZ$501,$A83,O$3)))</f>
        <v/>
      </c>
      <c r="P83" s="124" t="str">
        <f>IF($B83="","",IF(P$3=0,"n.b.",INDEX(SRC_ZPMW03!$A$1:$ZZ$501,$A83,P$3)))</f>
        <v/>
      </c>
      <c r="Q83" s="124" t="str">
        <f>IF($B83="","",IF(Q$3=0,"n.b.",INDEX(SRC_ZPMW03!$A$1:$ZZ$501,$A83,Q$3)))</f>
        <v/>
      </c>
      <c r="R83" s="124" t="str">
        <f>IF($B83="","",IF(R$3=0,"n.b.",INDEX(SRC_ZPMW03!$A$1:$ZZ$501,$A83,R$3)))</f>
        <v/>
      </c>
      <c r="S83" s="124" t="str">
        <f>IF($B83="","",IF(S$3=0,"n.b.",INDEX(SRC_ZPMW03!$A$1:$ZZ$501,$A83,S$3)))</f>
        <v/>
      </c>
      <c r="T83" s="124" t="str">
        <f>IF($B83="","",IF(T$3=0,"n.b.",INDEX(SRC_ZPMW03!$A$1:$ZZ$501,$A83,T$3)))</f>
        <v/>
      </c>
      <c r="U83" s="124" t="str">
        <f>IF($B83="","",IF(U$3=0,"n.b.",INDEX(SRC_ZPMW03!$A$1:$ZZ$501,$A83,U$3)))</f>
        <v/>
      </c>
      <c r="V83" s="124" t="str">
        <f>IF($B83="","",IF(V$3=0,"n.b.",INDEX(SRC_ZPMW03!$A$1:$ZZ$501,$A83,V$3)))</f>
        <v/>
      </c>
      <c r="W83" s="124" t="str">
        <f>IF($B83="","",IF(W$3=0,"n.b.",INDEX(SRC_ZPMW03!$A$1:$ZZ$501,$A83,W$3)))</f>
        <v/>
      </c>
      <c r="X83" s="124" t="str">
        <f>IF($B83="","",IF(X$3=0,"n.b.",INDEX(SRC_ZPMW03!$A$1:$ZZ$501,$A83,X$3)))</f>
        <v/>
      </c>
      <c r="Y83" s="124" t="str">
        <f>IF($B83="","",IF(Y$3=0,"n.b.",INDEX(SRC_ZPMW03!$A$1:$ZZ$501,$A83,Y$3)))</f>
        <v/>
      </c>
      <c r="Z83" s="124" t="str">
        <f>IF($B83="","",IF(Z$3=0,"n.b.",INDEX(SRC_ZPMW03!$A$1:$ZZ$501,$A83,Z$3)))</f>
        <v/>
      </c>
      <c r="AA83" s="124" t="str">
        <f>IF($B83="","",IF(AA$3=0,"n.b.",INDEX(SRC_ZPMW03!$A$1:$ZZ$501,$A83,AA$3)))</f>
        <v/>
      </c>
      <c r="AB83" s="124" t="str">
        <f>IF($B83="","",IF(AB$3=0,"n.b.",INDEX(SRC_ZPMW03!$A$1:$ZZ$501,$A83,AB$3)))</f>
        <v/>
      </c>
      <c r="AC83" s="124" t="str">
        <f>IF($B83="","",IF(AC$3=0,"n.b.",INDEX(SRC_ZPMW03!$A$1:$ZZ$501,$A83,AC$3)))</f>
        <v/>
      </c>
      <c r="AD83" s="124" t="str">
        <f>IF($B83="","",IF(AD$3=0,"n.b.",INDEX(SRC_ZPMW03!$A$1:$ZZ$501,$A83,AD$3)))</f>
        <v/>
      </c>
      <c r="AE83" s="124" t="str">
        <f>IF($B83="","",IF(AE$3=0,"n.b.",INDEX(SRC_ZPMW03!$A$1:$ZZ$501,$A83,AE$3)))</f>
        <v/>
      </c>
      <c r="AF83" s="124" t="str">
        <f>IF($B83="","",IF(AF$3=0,"n.b.",INDEX(SRC_ZPMW03!$A$1:$ZZ$501,$A83,AF$3)))</f>
        <v/>
      </c>
      <c r="AG83" s="124" t="str">
        <f>IF($B83="","",IF(AG$3=0,"n.b.",INDEX(SRC_ZPMW03!$A$1:$ZZ$501,$A83,AG$3)))</f>
        <v/>
      </c>
      <c r="AH83" s="124" t="str">
        <f>IF($B83="","",IF(AH$3=0,"n.b.",INDEX(SRC_ZPMW03!$A$1:$ZZ$501,$A83,AH$3)))</f>
        <v/>
      </c>
      <c r="AI83" s="124" t="str">
        <f>IF($B83="","",IF(AI$3=0,"n.b.",INDEX(SRC_ZPMW03!$A$1:$ZZ$501,$A83,AI$3)))</f>
        <v/>
      </c>
      <c r="AJ83" s="124" t="str">
        <f>IF($B83="","",IF(AJ$3=0,"n.b.",INDEX(SRC_ZPMW03!$A$1:$ZZ$501,$A83,AJ$3)))</f>
        <v/>
      </c>
      <c r="AK83" s="124" t="str">
        <f>IF($B83="","",IF(AK$3=0,"n.b.",INDEX(SRC_ZPMW03!$A$1:$ZZ$501,$A83,AK$3)))</f>
        <v/>
      </c>
      <c r="AL83" s="124" t="str">
        <f>IF($B83="","",IF(AL$3=0,"n.b.",INDEX(SRC_ZPMW03!$A$1:$ZZ$501,$A83,AL$3)))</f>
        <v/>
      </c>
      <c r="AM83" s="124" t="str">
        <f>IF($B83="","",IF(AM$3=0,"n.b.",INDEX(SRC_ZPMW03!$A$1:$ZZ$501,$A83,AM$3)))</f>
        <v/>
      </c>
      <c r="AN83" s="124" t="str">
        <f>IF($B83="","",IF(AN$3=0,"n.b.",INDEX(SRC_ZPMW03!$A$1:$ZZ$501,$A83,AN$3)))</f>
        <v/>
      </c>
      <c r="AO83" s="124" t="str">
        <f>IF($B83="","",IF(AO$3=0,"n.b.",INDEX(SRC_ZPMW03!$A$1:$ZZ$501,$A83,AO$3)))</f>
        <v/>
      </c>
      <c r="AP83" s="124" t="str">
        <f>IF($B83="","",IF(AP$3=0,"n.b.",INDEX(SRC_ZPMW03!$A$1:$ZZ$501,$A83,AP$3)))</f>
        <v/>
      </c>
      <c r="AQ83" s="124" t="str">
        <f>IF($B83="","",IF(AQ$3=0,"n.b.",INDEX(SRC_ZPMW03!$A$1:$ZZ$501,$A83,AQ$3)))</f>
        <v/>
      </c>
      <c r="AR83" s="124" t="str">
        <f>IF($B83="","",IF(AR$3=0,"n.b.",INDEX(SRC_ZPMW03!$A$1:$ZZ$501,$A83,AR$3)))</f>
        <v/>
      </c>
      <c r="AS83" s="124" t="str">
        <f>IF($B83="","",IF(AS$3=0,"n.b.",INDEX(SRC_ZPMW03!$A$1:$ZZ$501,$A83,AS$3)))</f>
        <v/>
      </c>
      <c r="AT83" s="124" t="str">
        <f>IF($B83="","",IF(AT$3=0,"n.b.",INDEX(SRC_ZPMW03!$A$1:$ZZ$501,$A83,AT$3)))</f>
        <v/>
      </c>
      <c r="AU83" s="124" t="str">
        <f>IF($B83="","",IF(AU$3=0,"n.b.",INDEX(SRC_ZPMW03!$A$1:$ZZ$501,$A83,AU$3)))</f>
        <v/>
      </c>
      <c r="AV83" s="124" t="str">
        <f>IF($B83="","",IF(AV$3=0,"n.b.",INDEX(SRC_ZPMW03!$A$1:$ZZ$501,$A83,AV$3)))</f>
        <v/>
      </c>
      <c r="AW83" s="124" t="str">
        <f>IF($B83="","",IF(AW$3=0,"n.b.",INDEX(SRC_ZPMW03!$A$1:$ZZ$501,$A83,AW$3)))</f>
        <v/>
      </c>
      <c r="AX83" s="124" t="str">
        <f>IF($B83="","",IF(AX$3=0,"n.b.",INDEX(SRC_ZPMW03!$A$1:$ZZ$501,$A83,AX$3)))</f>
        <v/>
      </c>
      <c r="AY83" s="124" t="str">
        <f>IF($B83="","",IF(AY$3=0,"n.b.",INDEX(SRC_ZPMW03!$A$1:$ZZ$501,$A83,AY$3)))</f>
        <v/>
      </c>
      <c r="AZ83" s="124" t="str">
        <f>IF($B83="","",IF(AZ$3=0,"n.b.",INDEX(SRC_ZPMW03!$A$1:$ZZ$501,$A83,AZ$3)))</f>
        <v/>
      </c>
      <c r="BA83" s="124" t="str">
        <f>IF($B83="","",IF(BA$3=0,"n.b.",INDEX(SRC_ZPMW03!$A$1:$ZZ$501,$A83,BA$3)))</f>
        <v/>
      </c>
      <c r="BB83" s="124" t="str">
        <f>IF($B83="","",IF(BB$3=0,"n.b.",INDEX(SRC_ZPMW03!$A$1:$ZZ$501,$A83,BB$3)))</f>
        <v/>
      </c>
      <c r="BC83" s="124" t="str">
        <f>IF($B83="","",IF(BC$3=0,"n.b.",INDEX(SRC_ZPMW03!$A$1:$ZZ$501,$A83,BC$3)))</f>
        <v/>
      </c>
      <c r="BD83" s="124" t="str">
        <f>IF($B83="","",IF(BD$3=0,"n.b.",INDEX(SRC_ZPMW03!$A$1:$ZZ$501,$A83,BD$3)))</f>
        <v/>
      </c>
      <c r="BE83" s="124" t="str">
        <f>IF($B83="","",IF(BE$3=0,"n.b.",INDEX(SRC_ZPMW03!$A$1:$ZZ$501,$A83,BE$3)))</f>
        <v/>
      </c>
      <c r="BF83" s="124" t="str">
        <f>IF($B83="","",IF(BF$3=0,"n.b.",INDEX(SRC_ZPMW03!$A$1:$ZZ$501,$A83,BF$3)))</f>
        <v/>
      </c>
      <c r="BG83" t="str">
        <f>IF($B83="","",IF(BG$3=0,"n.b.",INDEX(SRC_ZPMW03!$A$1:$ZZ$501,$A83,BG$3)))</f>
        <v/>
      </c>
      <c r="BH83" t="str">
        <f>IF($B83="","",IF(BH$3=0,"n.b.",INDEX(SRC_ZPMW03!$A$1:$ZZ$501,$A83,BH$3)))</f>
        <v/>
      </c>
      <c r="BI83" t="str">
        <f>IF($B83="","",IF(BI$3=0,"n.b.",INDEX(SRC_ZPMW03!$A$1:$ZZ$501,$A83,BI$3)))</f>
        <v/>
      </c>
      <c r="BJ83" t="str">
        <f>IF($B83="","",IF(BJ$3=0,"n.b.",INDEX(SRC_ZPMW03!$A$1:$ZZ$501,$A83,BJ$3)))</f>
        <v/>
      </c>
      <c r="BK83" s="124" t="str">
        <f>IF($B83="","",IFERROR(-O83,"n.b."))</f>
        <v/>
      </c>
      <c r="BL83" s="124" t="str">
        <f>IF($B83="","",IFERROR(-Q83,"n.b."))</f>
        <v/>
      </c>
      <c r="BM83" s="124" t="str">
        <f>IF($B83="","",IFERROR(-AB83,"n.b."))</f>
        <v/>
      </c>
      <c r="BN83" s="124" t="str">
        <f>IF($B83="","",IFERROR(-AD83,"n.b."))</f>
        <v/>
      </c>
      <c r="BO83" s="124" t="str">
        <f>IF($B83="","",IFERROR(BK83+BM83,"n.b."))</f>
        <v/>
      </c>
      <c r="BP83" s="124" t="str">
        <f>IF($B83="","",IFERROR(BL83+BN83,"n.b."))</f>
        <v/>
      </c>
      <c r="BQ83" s="124" t="str">
        <f>IF($B83="","",IFERROR(-AM83,"n.b."))</f>
        <v/>
      </c>
      <c r="BR83" s="124" t="str">
        <f>IF($B83="","",IFERROR(-AO83,"n.b."))</f>
        <v/>
      </c>
      <c r="BS83" s="124" t="str">
        <f>IF($B83="","",IFERROR(-Z83,"n.b."))</f>
        <v/>
      </c>
      <c r="BT83" s="124" t="str">
        <f>IF($B83="","",IFERROR(-AA83,"n.b."))</f>
        <v/>
      </c>
      <c r="BU83" s="124" t="str">
        <f>IF($B83="","",IFERROR(-AE83,"n.b."))</f>
        <v/>
      </c>
      <c r="BV83" s="124" t="str">
        <f>IF($B83="","",IFERROR(-AF83,"n.b."))</f>
        <v/>
      </c>
      <c r="BW83" s="124" t="str">
        <f>IF($B83="","",IFERROR(-AG83,"n.b."))</f>
        <v/>
      </c>
      <c r="BX83" s="124" t="str">
        <f>IF($B83="","",IFERROR(-AH83,"n.b."))</f>
        <v/>
      </c>
      <c r="BY83" s="124" t="str">
        <f>IF($B83="","",IFERROR(-AI83,"n.b."))</f>
        <v/>
      </c>
      <c r="BZ83" s="124" t="str">
        <f>IF($B83="","",IFERROR(-AJ83,"n.b."))</f>
        <v/>
      </c>
      <c r="CA83" s="124" t="str">
        <f>IF($B83="","",IFERROR(-AK83,"n.b."))</f>
        <v/>
      </c>
      <c r="CB83" s="124" t="str">
        <f>IF($B83="","",IFERROR(-AL83,"n.b."))</f>
        <v/>
      </c>
      <c r="CC83" s="124" t="str">
        <f>IF($B83="","",IFERROR(-AP83,"n.b."))</f>
        <v/>
      </c>
      <c r="CD83" s="124" t="str">
        <f>IF($B83="","",IFERROR(-AQ83,"n.b."))</f>
        <v/>
      </c>
      <c r="CE83" s="124" t="str">
        <f>IF($B83="","",IFERROR(-AR83,"n.b."))</f>
        <v/>
      </c>
      <c r="CF83" s="124" t="str">
        <f>IF($B83="","",IFERROR(-AS83,"n.b."))</f>
        <v/>
      </c>
      <c r="CG83" s="124" t="str">
        <f>IF($B83="","",IFERROR(-AT83,"n.b."))</f>
        <v/>
      </c>
      <c r="CH83" s="124" t="str">
        <f>IF($B83="","",IFERROR(-AU83,"n.b."))</f>
        <v/>
      </c>
      <c r="CI83" s="124" t="str">
        <f>IF($B83="","",IFERROR(-AV83,"n.b."))</f>
        <v/>
      </c>
      <c r="CJ83" s="124" t="str">
        <f>IF($B83="","",IFERROR(-AW83,"n.b."))</f>
        <v/>
      </c>
      <c r="CK83" s="124" t="str">
        <f>IF($B83="","",IFERROR(-AX83,"n.b."))</f>
        <v/>
      </c>
      <c r="CL83" s="124" t="str">
        <f>IF($B83="","",IFERROR(-AY83,"n.b."))</f>
        <v/>
      </c>
      <c r="CM83" s="124" t="str">
        <f>IF($B83="","",IFERROR(-AZ83,"n.b."))</f>
        <v/>
      </c>
      <c r="CN83" s="124" t="str">
        <f>IF($B83="","",IFERROR(-BA83,"n.b."))</f>
        <v/>
      </c>
      <c r="CO83" s="124" t="str">
        <f>IF($B83="","",IFERROR(-BB83,"n.b."))</f>
        <v/>
      </c>
      <c r="CP83" s="124" t="str">
        <f>IF($B83="","",IFERROR(-BC83,"n.b."))</f>
        <v/>
      </c>
      <c r="CQ83" s="124" t="str">
        <f>IF($B83="","",IFERROR(-BD83,"n.b."))</f>
        <v/>
      </c>
      <c r="CR83" s="124" t="str">
        <f>IF($B83="","",IFERROR(-BE83,"n.b."))</f>
        <v/>
      </c>
      <c r="CS83" s="124" t="str">
        <f>IF($B83="","",IFERROR(IF(OR(ABS(T83+V83+X83+Z83-AB83)&gt;P_Tol,ABS(U83+W83+Y83+AA83-AD83)&gt;P_Tol,ABS(AE83+AG83+AI83+AK83-AM83)&gt;P_Tol,ABS(AF83+AH83+AJ83+AL83-AO83)&gt;P_Tol),1,0),1))</f>
        <v/>
      </c>
      <c r="CT83" s="124" t="str">
        <f>IF($B83="","",IFERROR(IF(OR(ABS(AB83+AC83-AD83)&gt;P_Tol,ABS(AM83+AN83-AO83)&gt;P_Tol,ABS(O83+P83-Q83)&gt;P_Tol),1,0),1))</f>
        <v/>
      </c>
      <c r="CU83" s="124" t="str">
        <f>IF($B83="","",IFERROR(IF(ABS(R83-(AB83+AM83+AP83+AR83+AT83+AV83+AX83+AZ83+BB83+BD83))&gt;P_Tol,1,0),1))</f>
        <v/>
      </c>
      <c r="CV83" s="124" t="str">
        <f>IF($B83="","",IFERROR(IF(ABS(M83-(N83+O83+R83))&gt;P_Tol,1,0),1))</f>
        <v/>
      </c>
      <c r="CW83" s="124" t="str">
        <f>IF($B83="","",IF(COUNTIF(Mapping!$A$5:$A$104,B83)&gt;0,1,0))</f>
        <v/>
      </c>
      <c r="CX83" s="124" t="str">
        <f>IF($B83="","",COUNTIF($B$6:$B$505,B83))</f>
        <v/>
      </c>
      <c r="CY83" s="124" t="str">
        <f>IF($B83="","",COUNTIF(STG_Woningetalage!$B$6:$B$505,B83))</f>
        <v/>
      </c>
      <c r="CZ83" s="124" t="str">
        <f>IF($B83="","",IF(CW83=0,COUNTIF($CW$6:CW83,0),""))</f>
        <v/>
      </c>
    </row>
    <row r="84">
      <c r="A84" s="15" t="n">
        <v>80</v>
      </c>
      <c r="B84" t="str">
        <f>IF(B$3=0,"",IF(INDEX(SRC_ZPMW03!$A$1:$ZZ$501,$A84,B$3)&amp;""="","",INDEX(SRC_ZPMW03!$A$1:$ZZ$501,$A84,B$3)&amp;""))</f>
        <v/>
      </c>
      <c r="C84" t="str">
        <f>IF($B84="","",IF(C$3=0,"n.b.",INDEX(SRC_ZPMW03!$A$1:$ZZ$501,$A84,C$3)))</f>
        <v/>
      </c>
      <c r="D84" t="str">
        <f>IF($B84="","",IF(D$3=0,"n.b.",INDEX(SRC_ZPMW03!$A$1:$ZZ$501,$A84,D$3)))</f>
        <v/>
      </c>
      <c r="E84" t="str">
        <f>IF($B84="","",IF(E$3=0,"n.b.",INDEX(SRC_ZPMW03!$A$1:$ZZ$501,$A84,E$3)))</f>
        <v/>
      </c>
      <c r="F84" t="str">
        <f>IF($B84="","",IF(F$3=0,"n.b.",INDEX(SRC_ZPMW03!$A$1:$ZZ$501,$A84,F$3)))</f>
        <v/>
      </c>
      <c r="G84" t="str">
        <f>IF($B84="","",IF(G$3=0,"n.b.",INDEX(SRC_ZPMW03!$A$1:$ZZ$501,$A84,G$3)))</f>
        <v/>
      </c>
      <c r="H84" t="str">
        <f>IF($B84="","",IF(H$3=0,"n.b.",INDEX(SRC_ZPMW03!$A$1:$ZZ$501,$A84,H$3)))</f>
        <v/>
      </c>
      <c r="I84" t="str">
        <f>IF($B84="","",IF(I$3=0,"n.b.",INDEX(SRC_ZPMW03!$A$1:$ZZ$501,$A84,I$3)))</f>
        <v/>
      </c>
      <c r="J84" t="str">
        <f>IF($B84="","",IF(J$3=0,"n.b.",INDEX(SRC_ZPMW03!$A$1:$ZZ$501,$A84,J$3)))</f>
        <v/>
      </c>
      <c r="K84" t="str">
        <f>IF($B84="","",IF(K$3=0,"n.b.",INDEX(SRC_ZPMW03!$A$1:$ZZ$501,$A84,K$3)))</f>
        <v/>
      </c>
      <c r="L84" s="124" t="str">
        <f>IF($B84="","",IF(L$3=0,"n.b.",INDEX(SRC_ZPMW03!$A$1:$ZZ$501,$A84,L$3)))</f>
        <v/>
      </c>
      <c r="M84" s="124" t="str">
        <f>IF($B84="","",IF(M$3=0,"n.b.",INDEX(SRC_ZPMW03!$A$1:$ZZ$501,$A84,M$3)))</f>
        <v/>
      </c>
      <c r="N84" s="124" t="str">
        <f>IF($B84="","",IF(N$3=0,"n.b.",INDEX(SRC_ZPMW03!$A$1:$ZZ$501,$A84,N$3)))</f>
        <v/>
      </c>
      <c r="O84" s="124" t="str">
        <f>IF($B84="","",IF(O$3=0,"n.b.",INDEX(SRC_ZPMW03!$A$1:$ZZ$501,$A84,O$3)))</f>
        <v/>
      </c>
      <c r="P84" s="124" t="str">
        <f>IF($B84="","",IF(P$3=0,"n.b.",INDEX(SRC_ZPMW03!$A$1:$ZZ$501,$A84,P$3)))</f>
        <v/>
      </c>
      <c r="Q84" s="124" t="str">
        <f>IF($B84="","",IF(Q$3=0,"n.b.",INDEX(SRC_ZPMW03!$A$1:$ZZ$501,$A84,Q$3)))</f>
        <v/>
      </c>
      <c r="R84" s="124" t="str">
        <f>IF($B84="","",IF(R$3=0,"n.b.",INDEX(SRC_ZPMW03!$A$1:$ZZ$501,$A84,R$3)))</f>
        <v/>
      </c>
      <c r="S84" s="124" t="str">
        <f>IF($B84="","",IF(S$3=0,"n.b.",INDEX(SRC_ZPMW03!$A$1:$ZZ$501,$A84,S$3)))</f>
        <v/>
      </c>
      <c r="T84" s="124" t="str">
        <f>IF($B84="","",IF(T$3=0,"n.b.",INDEX(SRC_ZPMW03!$A$1:$ZZ$501,$A84,T$3)))</f>
        <v/>
      </c>
      <c r="U84" s="124" t="str">
        <f>IF($B84="","",IF(U$3=0,"n.b.",INDEX(SRC_ZPMW03!$A$1:$ZZ$501,$A84,U$3)))</f>
        <v/>
      </c>
      <c r="V84" s="124" t="str">
        <f>IF($B84="","",IF(V$3=0,"n.b.",INDEX(SRC_ZPMW03!$A$1:$ZZ$501,$A84,V$3)))</f>
        <v/>
      </c>
      <c r="W84" s="124" t="str">
        <f>IF($B84="","",IF(W$3=0,"n.b.",INDEX(SRC_ZPMW03!$A$1:$ZZ$501,$A84,W$3)))</f>
        <v/>
      </c>
      <c r="X84" s="124" t="str">
        <f>IF($B84="","",IF(X$3=0,"n.b.",INDEX(SRC_ZPMW03!$A$1:$ZZ$501,$A84,X$3)))</f>
        <v/>
      </c>
      <c r="Y84" s="124" t="str">
        <f>IF($B84="","",IF(Y$3=0,"n.b.",INDEX(SRC_ZPMW03!$A$1:$ZZ$501,$A84,Y$3)))</f>
        <v/>
      </c>
      <c r="Z84" s="124" t="str">
        <f>IF($B84="","",IF(Z$3=0,"n.b.",INDEX(SRC_ZPMW03!$A$1:$ZZ$501,$A84,Z$3)))</f>
        <v/>
      </c>
      <c r="AA84" s="124" t="str">
        <f>IF($B84="","",IF(AA$3=0,"n.b.",INDEX(SRC_ZPMW03!$A$1:$ZZ$501,$A84,AA$3)))</f>
        <v/>
      </c>
      <c r="AB84" s="124" t="str">
        <f>IF($B84="","",IF(AB$3=0,"n.b.",INDEX(SRC_ZPMW03!$A$1:$ZZ$501,$A84,AB$3)))</f>
        <v/>
      </c>
      <c r="AC84" s="124" t="str">
        <f>IF($B84="","",IF(AC$3=0,"n.b.",INDEX(SRC_ZPMW03!$A$1:$ZZ$501,$A84,AC$3)))</f>
        <v/>
      </c>
      <c r="AD84" s="124" t="str">
        <f>IF($B84="","",IF(AD$3=0,"n.b.",INDEX(SRC_ZPMW03!$A$1:$ZZ$501,$A84,AD$3)))</f>
        <v/>
      </c>
      <c r="AE84" s="124" t="str">
        <f>IF($B84="","",IF(AE$3=0,"n.b.",INDEX(SRC_ZPMW03!$A$1:$ZZ$501,$A84,AE$3)))</f>
        <v/>
      </c>
      <c r="AF84" s="124" t="str">
        <f>IF($B84="","",IF(AF$3=0,"n.b.",INDEX(SRC_ZPMW03!$A$1:$ZZ$501,$A84,AF$3)))</f>
        <v/>
      </c>
      <c r="AG84" s="124" t="str">
        <f>IF($B84="","",IF(AG$3=0,"n.b.",INDEX(SRC_ZPMW03!$A$1:$ZZ$501,$A84,AG$3)))</f>
        <v/>
      </c>
      <c r="AH84" s="124" t="str">
        <f>IF($B84="","",IF(AH$3=0,"n.b.",INDEX(SRC_ZPMW03!$A$1:$ZZ$501,$A84,AH$3)))</f>
        <v/>
      </c>
      <c r="AI84" s="124" t="str">
        <f>IF($B84="","",IF(AI$3=0,"n.b.",INDEX(SRC_ZPMW03!$A$1:$ZZ$501,$A84,AI$3)))</f>
        <v/>
      </c>
      <c r="AJ84" s="124" t="str">
        <f>IF($B84="","",IF(AJ$3=0,"n.b.",INDEX(SRC_ZPMW03!$A$1:$ZZ$501,$A84,AJ$3)))</f>
        <v/>
      </c>
      <c r="AK84" s="124" t="str">
        <f>IF($B84="","",IF(AK$3=0,"n.b.",INDEX(SRC_ZPMW03!$A$1:$ZZ$501,$A84,AK$3)))</f>
        <v/>
      </c>
      <c r="AL84" s="124" t="str">
        <f>IF($B84="","",IF(AL$3=0,"n.b.",INDEX(SRC_ZPMW03!$A$1:$ZZ$501,$A84,AL$3)))</f>
        <v/>
      </c>
      <c r="AM84" s="124" t="str">
        <f>IF($B84="","",IF(AM$3=0,"n.b.",INDEX(SRC_ZPMW03!$A$1:$ZZ$501,$A84,AM$3)))</f>
        <v/>
      </c>
      <c r="AN84" s="124" t="str">
        <f>IF($B84="","",IF(AN$3=0,"n.b.",INDEX(SRC_ZPMW03!$A$1:$ZZ$501,$A84,AN$3)))</f>
        <v/>
      </c>
      <c r="AO84" s="124" t="str">
        <f>IF($B84="","",IF(AO$3=0,"n.b.",INDEX(SRC_ZPMW03!$A$1:$ZZ$501,$A84,AO$3)))</f>
        <v/>
      </c>
      <c r="AP84" s="124" t="str">
        <f>IF($B84="","",IF(AP$3=0,"n.b.",INDEX(SRC_ZPMW03!$A$1:$ZZ$501,$A84,AP$3)))</f>
        <v/>
      </c>
      <c r="AQ84" s="124" t="str">
        <f>IF($B84="","",IF(AQ$3=0,"n.b.",INDEX(SRC_ZPMW03!$A$1:$ZZ$501,$A84,AQ$3)))</f>
        <v/>
      </c>
      <c r="AR84" s="124" t="str">
        <f>IF($B84="","",IF(AR$3=0,"n.b.",INDEX(SRC_ZPMW03!$A$1:$ZZ$501,$A84,AR$3)))</f>
        <v/>
      </c>
      <c r="AS84" s="124" t="str">
        <f>IF($B84="","",IF(AS$3=0,"n.b.",INDEX(SRC_ZPMW03!$A$1:$ZZ$501,$A84,AS$3)))</f>
        <v/>
      </c>
      <c r="AT84" s="124" t="str">
        <f>IF($B84="","",IF(AT$3=0,"n.b.",INDEX(SRC_ZPMW03!$A$1:$ZZ$501,$A84,AT$3)))</f>
        <v/>
      </c>
      <c r="AU84" s="124" t="str">
        <f>IF($B84="","",IF(AU$3=0,"n.b.",INDEX(SRC_ZPMW03!$A$1:$ZZ$501,$A84,AU$3)))</f>
        <v/>
      </c>
      <c r="AV84" s="124" t="str">
        <f>IF($B84="","",IF(AV$3=0,"n.b.",INDEX(SRC_ZPMW03!$A$1:$ZZ$501,$A84,AV$3)))</f>
        <v/>
      </c>
      <c r="AW84" s="124" t="str">
        <f>IF($B84="","",IF(AW$3=0,"n.b.",INDEX(SRC_ZPMW03!$A$1:$ZZ$501,$A84,AW$3)))</f>
        <v/>
      </c>
      <c r="AX84" s="124" t="str">
        <f>IF($B84="","",IF(AX$3=0,"n.b.",INDEX(SRC_ZPMW03!$A$1:$ZZ$501,$A84,AX$3)))</f>
        <v/>
      </c>
      <c r="AY84" s="124" t="str">
        <f>IF($B84="","",IF(AY$3=0,"n.b.",INDEX(SRC_ZPMW03!$A$1:$ZZ$501,$A84,AY$3)))</f>
        <v/>
      </c>
      <c r="AZ84" s="124" t="str">
        <f>IF($B84="","",IF(AZ$3=0,"n.b.",INDEX(SRC_ZPMW03!$A$1:$ZZ$501,$A84,AZ$3)))</f>
        <v/>
      </c>
      <c r="BA84" s="124" t="str">
        <f>IF($B84="","",IF(BA$3=0,"n.b.",INDEX(SRC_ZPMW03!$A$1:$ZZ$501,$A84,BA$3)))</f>
        <v/>
      </c>
      <c r="BB84" s="124" t="str">
        <f>IF($B84="","",IF(BB$3=0,"n.b.",INDEX(SRC_ZPMW03!$A$1:$ZZ$501,$A84,BB$3)))</f>
        <v/>
      </c>
      <c r="BC84" s="124" t="str">
        <f>IF($B84="","",IF(BC$3=0,"n.b.",INDEX(SRC_ZPMW03!$A$1:$ZZ$501,$A84,BC$3)))</f>
        <v/>
      </c>
      <c r="BD84" s="124" t="str">
        <f>IF($B84="","",IF(BD$3=0,"n.b.",INDEX(SRC_ZPMW03!$A$1:$ZZ$501,$A84,BD$3)))</f>
        <v/>
      </c>
      <c r="BE84" s="124" t="str">
        <f>IF($B84="","",IF(BE$3=0,"n.b.",INDEX(SRC_ZPMW03!$A$1:$ZZ$501,$A84,BE$3)))</f>
        <v/>
      </c>
      <c r="BF84" s="124" t="str">
        <f>IF($B84="","",IF(BF$3=0,"n.b.",INDEX(SRC_ZPMW03!$A$1:$ZZ$501,$A84,BF$3)))</f>
        <v/>
      </c>
      <c r="BG84" t="str">
        <f>IF($B84="","",IF(BG$3=0,"n.b.",INDEX(SRC_ZPMW03!$A$1:$ZZ$501,$A84,BG$3)))</f>
        <v/>
      </c>
      <c r="BH84" t="str">
        <f>IF($B84="","",IF(BH$3=0,"n.b.",INDEX(SRC_ZPMW03!$A$1:$ZZ$501,$A84,BH$3)))</f>
        <v/>
      </c>
      <c r="BI84" t="str">
        <f>IF($B84="","",IF(BI$3=0,"n.b.",INDEX(SRC_ZPMW03!$A$1:$ZZ$501,$A84,BI$3)))</f>
        <v/>
      </c>
      <c r="BJ84" t="str">
        <f>IF($B84="","",IF(BJ$3=0,"n.b.",INDEX(SRC_ZPMW03!$A$1:$ZZ$501,$A84,BJ$3)))</f>
        <v/>
      </c>
      <c r="BK84" s="124" t="str">
        <f>IF($B84="","",IFERROR(-O84,"n.b."))</f>
        <v/>
      </c>
      <c r="BL84" s="124" t="str">
        <f>IF($B84="","",IFERROR(-Q84,"n.b."))</f>
        <v/>
      </c>
      <c r="BM84" s="124" t="str">
        <f>IF($B84="","",IFERROR(-AB84,"n.b."))</f>
        <v/>
      </c>
      <c r="BN84" s="124" t="str">
        <f>IF($B84="","",IFERROR(-AD84,"n.b."))</f>
        <v/>
      </c>
      <c r="BO84" s="124" t="str">
        <f>IF($B84="","",IFERROR(BK84+BM84,"n.b."))</f>
        <v/>
      </c>
      <c r="BP84" s="124" t="str">
        <f>IF($B84="","",IFERROR(BL84+BN84,"n.b."))</f>
        <v/>
      </c>
      <c r="BQ84" s="124" t="str">
        <f>IF($B84="","",IFERROR(-AM84,"n.b."))</f>
        <v/>
      </c>
      <c r="BR84" s="124" t="str">
        <f>IF($B84="","",IFERROR(-AO84,"n.b."))</f>
        <v/>
      </c>
      <c r="BS84" s="124" t="str">
        <f>IF($B84="","",IFERROR(-Z84,"n.b."))</f>
        <v/>
      </c>
      <c r="BT84" s="124" t="str">
        <f>IF($B84="","",IFERROR(-AA84,"n.b."))</f>
        <v/>
      </c>
      <c r="BU84" s="124" t="str">
        <f>IF($B84="","",IFERROR(-AE84,"n.b."))</f>
        <v/>
      </c>
      <c r="BV84" s="124" t="str">
        <f>IF($B84="","",IFERROR(-AF84,"n.b."))</f>
        <v/>
      </c>
      <c r="BW84" s="124" t="str">
        <f>IF($B84="","",IFERROR(-AG84,"n.b."))</f>
        <v/>
      </c>
      <c r="BX84" s="124" t="str">
        <f>IF($B84="","",IFERROR(-AH84,"n.b."))</f>
        <v/>
      </c>
      <c r="BY84" s="124" t="str">
        <f>IF($B84="","",IFERROR(-AI84,"n.b."))</f>
        <v/>
      </c>
      <c r="BZ84" s="124" t="str">
        <f>IF($B84="","",IFERROR(-AJ84,"n.b."))</f>
        <v/>
      </c>
      <c r="CA84" s="124" t="str">
        <f>IF($B84="","",IFERROR(-AK84,"n.b."))</f>
        <v/>
      </c>
      <c r="CB84" s="124" t="str">
        <f>IF($B84="","",IFERROR(-AL84,"n.b."))</f>
        <v/>
      </c>
      <c r="CC84" s="124" t="str">
        <f>IF($B84="","",IFERROR(-AP84,"n.b."))</f>
        <v/>
      </c>
      <c r="CD84" s="124" t="str">
        <f>IF($B84="","",IFERROR(-AQ84,"n.b."))</f>
        <v/>
      </c>
      <c r="CE84" s="124" t="str">
        <f>IF($B84="","",IFERROR(-AR84,"n.b."))</f>
        <v/>
      </c>
      <c r="CF84" s="124" t="str">
        <f>IF($B84="","",IFERROR(-AS84,"n.b."))</f>
        <v/>
      </c>
      <c r="CG84" s="124" t="str">
        <f>IF($B84="","",IFERROR(-AT84,"n.b."))</f>
        <v/>
      </c>
      <c r="CH84" s="124" t="str">
        <f>IF($B84="","",IFERROR(-AU84,"n.b."))</f>
        <v/>
      </c>
      <c r="CI84" s="124" t="str">
        <f>IF($B84="","",IFERROR(-AV84,"n.b."))</f>
        <v/>
      </c>
      <c r="CJ84" s="124" t="str">
        <f>IF($B84="","",IFERROR(-AW84,"n.b."))</f>
        <v/>
      </c>
      <c r="CK84" s="124" t="str">
        <f>IF($B84="","",IFERROR(-AX84,"n.b."))</f>
        <v/>
      </c>
      <c r="CL84" s="124" t="str">
        <f>IF($B84="","",IFERROR(-AY84,"n.b."))</f>
        <v/>
      </c>
      <c r="CM84" s="124" t="str">
        <f>IF($B84="","",IFERROR(-AZ84,"n.b."))</f>
        <v/>
      </c>
      <c r="CN84" s="124" t="str">
        <f>IF($B84="","",IFERROR(-BA84,"n.b."))</f>
        <v/>
      </c>
      <c r="CO84" s="124" t="str">
        <f>IF($B84="","",IFERROR(-BB84,"n.b."))</f>
        <v/>
      </c>
      <c r="CP84" s="124" t="str">
        <f>IF($B84="","",IFERROR(-BC84,"n.b."))</f>
        <v/>
      </c>
      <c r="CQ84" s="124" t="str">
        <f>IF($B84="","",IFERROR(-BD84,"n.b."))</f>
        <v/>
      </c>
      <c r="CR84" s="124" t="str">
        <f>IF($B84="","",IFERROR(-BE84,"n.b."))</f>
        <v/>
      </c>
      <c r="CS84" s="124" t="str">
        <f>IF($B84="","",IFERROR(IF(OR(ABS(T84+V84+X84+Z84-AB84)&gt;P_Tol,ABS(U84+W84+Y84+AA84-AD84)&gt;P_Tol,ABS(AE84+AG84+AI84+AK84-AM84)&gt;P_Tol,ABS(AF84+AH84+AJ84+AL84-AO84)&gt;P_Tol),1,0),1))</f>
        <v/>
      </c>
      <c r="CT84" s="124" t="str">
        <f>IF($B84="","",IFERROR(IF(OR(ABS(AB84+AC84-AD84)&gt;P_Tol,ABS(AM84+AN84-AO84)&gt;P_Tol,ABS(O84+P84-Q84)&gt;P_Tol),1,0),1))</f>
        <v/>
      </c>
      <c r="CU84" s="124" t="str">
        <f>IF($B84="","",IFERROR(IF(ABS(R84-(AB84+AM84+AP84+AR84+AT84+AV84+AX84+AZ84+BB84+BD84))&gt;P_Tol,1,0),1))</f>
        <v/>
      </c>
      <c r="CV84" s="124" t="str">
        <f>IF($B84="","",IFERROR(IF(ABS(M84-(N84+O84+R84))&gt;P_Tol,1,0),1))</f>
        <v/>
      </c>
      <c r="CW84" s="124" t="str">
        <f>IF($B84="","",IF(COUNTIF(Mapping!$A$5:$A$104,B84)&gt;0,1,0))</f>
        <v/>
      </c>
      <c r="CX84" s="124" t="str">
        <f>IF($B84="","",COUNTIF($B$6:$B$505,B84))</f>
        <v/>
      </c>
      <c r="CY84" s="124" t="str">
        <f>IF($B84="","",COUNTIF(STG_Woningetalage!$B$6:$B$505,B84))</f>
        <v/>
      </c>
      <c r="CZ84" s="124" t="str">
        <f>IF($B84="","",IF(CW84=0,COUNTIF($CW$6:CW84,0),""))</f>
        <v/>
      </c>
    </row>
    <row r="85">
      <c r="A85" s="15" t="n">
        <v>81</v>
      </c>
      <c r="B85" t="str">
        <f>IF(B$3=0,"",IF(INDEX(SRC_ZPMW03!$A$1:$ZZ$501,$A85,B$3)&amp;""="","",INDEX(SRC_ZPMW03!$A$1:$ZZ$501,$A85,B$3)&amp;""))</f>
        <v/>
      </c>
      <c r="C85" t="str">
        <f>IF($B85="","",IF(C$3=0,"n.b.",INDEX(SRC_ZPMW03!$A$1:$ZZ$501,$A85,C$3)))</f>
        <v/>
      </c>
      <c r="D85" t="str">
        <f>IF($B85="","",IF(D$3=0,"n.b.",INDEX(SRC_ZPMW03!$A$1:$ZZ$501,$A85,D$3)))</f>
        <v/>
      </c>
      <c r="E85" t="str">
        <f>IF($B85="","",IF(E$3=0,"n.b.",INDEX(SRC_ZPMW03!$A$1:$ZZ$501,$A85,E$3)))</f>
        <v/>
      </c>
      <c r="F85" t="str">
        <f>IF($B85="","",IF(F$3=0,"n.b.",INDEX(SRC_ZPMW03!$A$1:$ZZ$501,$A85,F$3)))</f>
        <v/>
      </c>
      <c r="G85" t="str">
        <f>IF($B85="","",IF(G$3=0,"n.b.",INDEX(SRC_ZPMW03!$A$1:$ZZ$501,$A85,G$3)))</f>
        <v/>
      </c>
      <c r="H85" t="str">
        <f>IF($B85="","",IF(H$3=0,"n.b.",INDEX(SRC_ZPMW03!$A$1:$ZZ$501,$A85,H$3)))</f>
        <v/>
      </c>
      <c r="I85" t="str">
        <f>IF($B85="","",IF(I$3=0,"n.b.",INDEX(SRC_ZPMW03!$A$1:$ZZ$501,$A85,I$3)))</f>
        <v/>
      </c>
      <c r="J85" t="str">
        <f>IF($B85="","",IF(J$3=0,"n.b.",INDEX(SRC_ZPMW03!$A$1:$ZZ$501,$A85,J$3)))</f>
        <v/>
      </c>
      <c r="K85" t="str">
        <f>IF($B85="","",IF(K$3=0,"n.b.",INDEX(SRC_ZPMW03!$A$1:$ZZ$501,$A85,K$3)))</f>
        <v/>
      </c>
      <c r="L85" s="124" t="str">
        <f>IF($B85="","",IF(L$3=0,"n.b.",INDEX(SRC_ZPMW03!$A$1:$ZZ$501,$A85,L$3)))</f>
        <v/>
      </c>
      <c r="M85" s="124" t="str">
        <f>IF($B85="","",IF(M$3=0,"n.b.",INDEX(SRC_ZPMW03!$A$1:$ZZ$501,$A85,M$3)))</f>
        <v/>
      </c>
      <c r="N85" s="124" t="str">
        <f>IF($B85="","",IF(N$3=0,"n.b.",INDEX(SRC_ZPMW03!$A$1:$ZZ$501,$A85,N$3)))</f>
        <v/>
      </c>
      <c r="O85" s="124" t="str">
        <f>IF($B85="","",IF(O$3=0,"n.b.",INDEX(SRC_ZPMW03!$A$1:$ZZ$501,$A85,O$3)))</f>
        <v/>
      </c>
      <c r="P85" s="124" t="str">
        <f>IF($B85="","",IF(P$3=0,"n.b.",INDEX(SRC_ZPMW03!$A$1:$ZZ$501,$A85,P$3)))</f>
        <v/>
      </c>
      <c r="Q85" s="124" t="str">
        <f>IF($B85="","",IF(Q$3=0,"n.b.",INDEX(SRC_ZPMW03!$A$1:$ZZ$501,$A85,Q$3)))</f>
        <v/>
      </c>
      <c r="R85" s="124" t="str">
        <f>IF($B85="","",IF(R$3=0,"n.b.",INDEX(SRC_ZPMW03!$A$1:$ZZ$501,$A85,R$3)))</f>
        <v/>
      </c>
      <c r="S85" s="124" t="str">
        <f>IF($B85="","",IF(S$3=0,"n.b.",INDEX(SRC_ZPMW03!$A$1:$ZZ$501,$A85,S$3)))</f>
        <v/>
      </c>
      <c r="T85" s="124" t="str">
        <f>IF($B85="","",IF(T$3=0,"n.b.",INDEX(SRC_ZPMW03!$A$1:$ZZ$501,$A85,T$3)))</f>
        <v/>
      </c>
      <c r="U85" s="124" t="str">
        <f>IF($B85="","",IF(U$3=0,"n.b.",INDEX(SRC_ZPMW03!$A$1:$ZZ$501,$A85,U$3)))</f>
        <v/>
      </c>
      <c r="V85" s="124" t="str">
        <f>IF($B85="","",IF(V$3=0,"n.b.",INDEX(SRC_ZPMW03!$A$1:$ZZ$501,$A85,V$3)))</f>
        <v/>
      </c>
      <c r="W85" s="124" t="str">
        <f>IF($B85="","",IF(W$3=0,"n.b.",INDEX(SRC_ZPMW03!$A$1:$ZZ$501,$A85,W$3)))</f>
        <v/>
      </c>
      <c r="X85" s="124" t="str">
        <f>IF($B85="","",IF(X$3=0,"n.b.",INDEX(SRC_ZPMW03!$A$1:$ZZ$501,$A85,X$3)))</f>
        <v/>
      </c>
      <c r="Y85" s="124" t="str">
        <f>IF($B85="","",IF(Y$3=0,"n.b.",INDEX(SRC_ZPMW03!$A$1:$ZZ$501,$A85,Y$3)))</f>
        <v/>
      </c>
      <c r="Z85" s="124" t="str">
        <f>IF($B85="","",IF(Z$3=0,"n.b.",INDEX(SRC_ZPMW03!$A$1:$ZZ$501,$A85,Z$3)))</f>
        <v/>
      </c>
      <c r="AA85" s="124" t="str">
        <f>IF($B85="","",IF(AA$3=0,"n.b.",INDEX(SRC_ZPMW03!$A$1:$ZZ$501,$A85,AA$3)))</f>
        <v/>
      </c>
      <c r="AB85" s="124" t="str">
        <f>IF($B85="","",IF(AB$3=0,"n.b.",INDEX(SRC_ZPMW03!$A$1:$ZZ$501,$A85,AB$3)))</f>
        <v/>
      </c>
      <c r="AC85" s="124" t="str">
        <f>IF($B85="","",IF(AC$3=0,"n.b.",INDEX(SRC_ZPMW03!$A$1:$ZZ$501,$A85,AC$3)))</f>
        <v/>
      </c>
      <c r="AD85" s="124" t="str">
        <f>IF($B85="","",IF(AD$3=0,"n.b.",INDEX(SRC_ZPMW03!$A$1:$ZZ$501,$A85,AD$3)))</f>
        <v/>
      </c>
      <c r="AE85" s="124" t="str">
        <f>IF($B85="","",IF(AE$3=0,"n.b.",INDEX(SRC_ZPMW03!$A$1:$ZZ$501,$A85,AE$3)))</f>
        <v/>
      </c>
      <c r="AF85" s="124" t="str">
        <f>IF($B85="","",IF(AF$3=0,"n.b.",INDEX(SRC_ZPMW03!$A$1:$ZZ$501,$A85,AF$3)))</f>
        <v/>
      </c>
      <c r="AG85" s="124" t="str">
        <f>IF($B85="","",IF(AG$3=0,"n.b.",INDEX(SRC_ZPMW03!$A$1:$ZZ$501,$A85,AG$3)))</f>
        <v/>
      </c>
      <c r="AH85" s="124" t="str">
        <f>IF($B85="","",IF(AH$3=0,"n.b.",INDEX(SRC_ZPMW03!$A$1:$ZZ$501,$A85,AH$3)))</f>
        <v/>
      </c>
      <c r="AI85" s="124" t="str">
        <f>IF($B85="","",IF(AI$3=0,"n.b.",INDEX(SRC_ZPMW03!$A$1:$ZZ$501,$A85,AI$3)))</f>
        <v/>
      </c>
      <c r="AJ85" s="124" t="str">
        <f>IF($B85="","",IF(AJ$3=0,"n.b.",INDEX(SRC_ZPMW03!$A$1:$ZZ$501,$A85,AJ$3)))</f>
        <v/>
      </c>
      <c r="AK85" s="124" t="str">
        <f>IF($B85="","",IF(AK$3=0,"n.b.",INDEX(SRC_ZPMW03!$A$1:$ZZ$501,$A85,AK$3)))</f>
        <v/>
      </c>
      <c r="AL85" s="124" t="str">
        <f>IF($B85="","",IF(AL$3=0,"n.b.",INDEX(SRC_ZPMW03!$A$1:$ZZ$501,$A85,AL$3)))</f>
        <v/>
      </c>
      <c r="AM85" s="124" t="str">
        <f>IF($B85="","",IF(AM$3=0,"n.b.",INDEX(SRC_ZPMW03!$A$1:$ZZ$501,$A85,AM$3)))</f>
        <v/>
      </c>
      <c r="AN85" s="124" t="str">
        <f>IF($B85="","",IF(AN$3=0,"n.b.",INDEX(SRC_ZPMW03!$A$1:$ZZ$501,$A85,AN$3)))</f>
        <v/>
      </c>
      <c r="AO85" s="124" t="str">
        <f>IF($B85="","",IF(AO$3=0,"n.b.",INDEX(SRC_ZPMW03!$A$1:$ZZ$501,$A85,AO$3)))</f>
        <v/>
      </c>
      <c r="AP85" s="124" t="str">
        <f>IF($B85="","",IF(AP$3=0,"n.b.",INDEX(SRC_ZPMW03!$A$1:$ZZ$501,$A85,AP$3)))</f>
        <v/>
      </c>
      <c r="AQ85" s="124" t="str">
        <f>IF($B85="","",IF(AQ$3=0,"n.b.",INDEX(SRC_ZPMW03!$A$1:$ZZ$501,$A85,AQ$3)))</f>
        <v/>
      </c>
      <c r="AR85" s="124" t="str">
        <f>IF($B85="","",IF(AR$3=0,"n.b.",INDEX(SRC_ZPMW03!$A$1:$ZZ$501,$A85,AR$3)))</f>
        <v/>
      </c>
      <c r="AS85" s="124" t="str">
        <f>IF($B85="","",IF(AS$3=0,"n.b.",INDEX(SRC_ZPMW03!$A$1:$ZZ$501,$A85,AS$3)))</f>
        <v/>
      </c>
      <c r="AT85" s="124" t="str">
        <f>IF($B85="","",IF(AT$3=0,"n.b.",INDEX(SRC_ZPMW03!$A$1:$ZZ$501,$A85,AT$3)))</f>
        <v/>
      </c>
      <c r="AU85" s="124" t="str">
        <f>IF($B85="","",IF(AU$3=0,"n.b.",INDEX(SRC_ZPMW03!$A$1:$ZZ$501,$A85,AU$3)))</f>
        <v/>
      </c>
      <c r="AV85" s="124" t="str">
        <f>IF($B85="","",IF(AV$3=0,"n.b.",INDEX(SRC_ZPMW03!$A$1:$ZZ$501,$A85,AV$3)))</f>
        <v/>
      </c>
      <c r="AW85" s="124" t="str">
        <f>IF($B85="","",IF(AW$3=0,"n.b.",INDEX(SRC_ZPMW03!$A$1:$ZZ$501,$A85,AW$3)))</f>
        <v/>
      </c>
      <c r="AX85" s="124" t="str">
        <f>IF($B85="","",IF(AX$3=0,"n.b.",INDEX(SRC_ZPMW03!$A$1:$ZZ$501,$A85,AX$3)))</f>
        <v/>
      </c>
      <c r="AY85" s="124" t="str">
        <f>IF($B85="","",IF(AY$3=0,"n.b.",INDEX(SRC_ZPMW03!$A$1:$ZZ$501,$A85,AY$3)))</f>
        <v/>
      </c>
      <c r="AZ85" s="124" t="str">
        <f>IF($B85="","",IF(AZ$3=0,"n.b.",INDEX(SRC_ZPMW03!$A$1:$ZZ$501,$A85,AZ$3)))</f>
        <v/>
      </c>
      <c r="BA85" s="124" t="str">
        <f>IF($B85="","",IF(BA$3=0,"n.b.",INDEX(SRC_ZPMW03!$A$1:$ZZ$501,$A85,BA$3)))</f>
        <v/>
      </c>
      <c r="BB85" s="124" t="str">
        <f>IF($B85="","",IF(BB$3=0,"n.b.",INDEX(SRC_ZPMW03!$A$1:$ZZ$501,$A85,BB$3)))</f>
        <v/>
      </c>
      <c r="BC85" s="124" t="str">
        <f>IF($B85="","",IF(BC$3=0,"n.b.",INDEX(SRC_ZPMW03!$A$1:$ZZ$501,$A85,BC$3)))</f>
        <v/>
      </c>
      <c r="BD85" s="124" t="str">
        <f>IF($B85="","",IF(BD$3=0,"n.b.",INDEX(SRC_ZPMW03!$A$1:$ZZ$501,$A85,BD$3)))</f>
        <v/>
      </c>
      <c r="BE85" s="124" t="str">
        <f>IF($B85="","",IF(BE$3=0,"n.b.",INDEX(SRC_ZPMW03!$A$1:$ZZ$501,$A85,BE$3)))</f>
        <v/>
      </c>
      <c r="BF85" s="124" t="str">
        <f>IF($B85="","",IF(BF$3=0,"n.b.",INDEX(SRC_ZPMW03!$A$1:$ZZ$501,$A85,BF$3)))</f>
        <v/>
      </c>
      <c r="BG85" t="str">
        <f>IF($B85="","",IF(BG$3=0,"n.b.",INDEX(SRC_ZPMW03!$A$1:$ZZ$501,$A85,BG$3)))</f>
        <v/>
      </c>
      <c r="BH85" t="str">
        <f>IF($B85="","",IF(BH$3=0,"n.b.",INDEX(SRC_ZPMW03!$A$1:$ZZ$501,$A85,BH$3)))</f>
        <v/>
      </c>
      <c r="BI85" t="str">
        <f>IF($B85="","",IF(BI$3=0,"n.b.",INDEX(SRC_ZPMW03!$A$1:$ZZ$501,$A85,BI$3)))</f>
        <v/>
      </c>
      <c r="BJ85" t="str">
        <f>IF($B85="","",IF(BJ$3=0,"n.b.",INDEX(SRC_ZPMW03!$A$1:$ZZ$501,$A85,BJ$3)))</f>
        <v/>
      </c>
      <c r="BK85" s="124" t="str">
        <f>IF($B85="","",IFERROR(-O85,"n.b."))</f>
        <v/>
      </c>
      <c r="BL85" s="124" t="str">
        <f>IF($B85="","",IFERROR(-Q85,"n.b."))</f>
        <v/>
      </c>
      <c r="BM85" s="124" t="str">
        <f>IF($B85="","",IFERROR(-AB85,"n.b."))</f>
        <v/>
      </c>
      <c r="BN85" s="124" t="str">
        <f>IF($B85="","",IFERROR(-AD85,"n.b."))</f>
        <v/>
      </c>
      <c r="BO85" s="124" t="str">
        <f>IF($B85="","",IFERROR(BK85+BM85,"n.b."))</f>
        <v/>
      </c>
      <c r="BP85" s="124" t="str">
        <f>IF($B85="","",IFERROR(BL85+BN85,"n.b."))</f>
        <v/>
      </c>
      <c r="BQ85" s="124" t="str">
        <f>IF($B85="","",IFERROR(-AM85,"n.b."))</f>
        <v/>
      </c>
      <c r="BR85" s="124" t="str">
        <f>IF($B85="","",IFERROR(-AO85,"n.b."))</f>
        <v/>
      </c>
      <c r="BS85" s="124" t="str">
        <f>IF($B85="","",IFERROR(-Z85,"n.b."))</f>
        <v/>
      </c>
      <c r="BT85" s="124" t="str">
        <f>IF($B85="","",IFERROR(-AA85,"n.b."))</f>
        <v/>
      </c>
      <c r="BU85" s="124" t="str">
        <f>IF($B85="","",IFERROR(-AE85,"n.b."))</f>
        <v/>
      </c>
      <c r="BV85" s="124" t="str">
        <f>IF($B85="","",IFERROR(-AF85,"n.b."))</f>
        <v/>
      </c>
      <c r="BW85" s="124" t="str">
        <f>IF($B85="","",IFERROR(-AG85,"n.b."))</f>
        <v/>
      </c>
      <c r="BX85" s="124" t="str">
        <f>IF($B85="","",IFERROR(-AH85,"n.b."))</f>
        <v/>
      </c>
      <c r="BY85" s="124" t="str">
        <f>IF($B85="","",IFERROR(-AI85,"n.b."))</f>
        <v/>
      </c>
      <c r="BZ85" s="124" t="str">
        <f>IF($B85="","",IFERROR(-AJ85,"n.b."))</f>
        <v/>
      </c>
      <c r="CA85" s="124" t="str">
        <f>IF($B85="","",IFERROR(-AK85,"n.b."))</f>
        <v/>
      </c>
      <c r="CB85" s="124" t="str">
        <f>IF($B85="","",IFERROR(-AL85,"n.b."))</f>
        <v/>
      </c>
      <c r="CC85" s="124" t="str">
        <f>IF($B85="","",IFERROR(-AP85,"n.b."))</f>
        <v/>
      </c>
      <c r="CD85" s="124" t="str">
        <f>IF($B85="","",IFERROR(-AQ85,"n.b."))</f>
        <v/>
      </c>
      <c r="CE85" s="124" t="str">
        <f>IF($B85="","",IFERROR(-AR85,"n.b."))</f>
        <v/>
      </c>
      <c r="CF85" s="124" t="str">
        <f>IF($B85="","",IFERROR(-AS85,"n.b."))</f>
        <v/>
      </c>
      <c r="CG85" s="124" t="str">
        <f>IF($B85="","",IFERROR(-AT85,"n.b."))</f>
        <v/>
      </c>
      <c r="CH85" s="124" t="str">
        <f>IF($B85="","",IFERROR(-AU85,"n.b."))</f>
        <v/>
      </c>
      <c r="CI85" s="124" t="str">
        <f>IF($B85="","",IFERROR(-AV85,"n.b."))</f>
        <v/>
      </c>
      <c r="CJ85" s="124" t="str">
        <f>IF($B85="","",IFERROR(-AW85,"n.b."))</f>
        <v/>
      </c>
      <c r="CK85" s="124" t="str">
        <f>IF($B85="","",IFERROR(-AX85,"n.b."))</f>
        <v/>
      </c>
      <c r="CL85" s="124" t="str">
        <f>IF($B85="","",IFERROR(-AY85,"n.b."))</f>
        <v/>
      </c>
      <c r="CM85" s="124" t="str">
        <f>IF($B85="","",IFERROR(-AZ85,"n.b."))</f>
        <v/>
      </c>
      <c r="CN85" s="124" t="str">
        <f>IF($B85="","",IFERROR(-BA85,"n.b."))</f>
        <v/>
      </c>
      <c r="CO85" s="124" t="str">
        <f>IF($B85="","",IFERROR(-BB85,"n.b."))</f>
        <v/>
      </c>
      <c r="CP85" s="124" t="str">
        <f>IF($B85="","",IFERROR(-BC85,"n.b."))</f>
        <v/>
      </c>
      <c r="CQ85" s="124" t="str">
        <f>IF($B85="","",IFERROR(-BD85,"n.b."))</f>
        <v/>
      </c>
      <c r="CR85" s="124" t="str">
        <f>IF($B85="","",IFERROR(-BE85,"n.b."))</f>
        <v/>
      </c>
      <c r="CS85" s="124" t="str">
        <f>IF($B85="","",IFERROR(IF(OR(ABS(T85+V85+X85+Z85-AB85)&gt;P_Tol,ABS(U85+W85+Y85+AA85-AD85)&gt;P_Tol,ABS(AE85+AG85+AI85+AK85-AM85)&gt;P_Tol,ABS(AF85+AH85+AJ85+AL85-AO85)&gt;P_Tol),1,0),1))</f>
        <v/>
      </c>
      <c r="CT85" s="124" t="str">
        <f>IF($B85="","",IFERROR(IF(OR(ABS(AB85+AC85-AD85)&gt;P_Tol,ABS(AM85+AN85-AO85)&gt;P_Tol,ABS(O85+P85-Q85)&gt;P_Tol),1,0),1))</f>
        <v/>
      </c>
      <c r="CU85" s="124" t="str">
        <f>IF($B85="","",IFERROR(IF(ABS(R85-(AB85+AM85+AP85+AR85+AT85+AV85+AX85+AZ85+BB85+BD85))&gt;P_Tol,1,0),1))</f>
        <v/>
      </c>
      <c r="CV85" s="124" t="str">
        <f>IF($B85="","",IFERROR(IF(ABS(M85-(N85+O85+R85))&gt;P_Tol,1,0),1))</f>
        <v/>
      </c>
      <c r="CW85" s="124" t="str">
        <f>IF($B85="","",IF(COUNTIF(Mapping!$A$5:$A$104,B85)&gt;0,1,0))</f>
        <v/>
      </c>
      <c r="CX85" s="124" t="str">
        <f>IF($B85="","",COUNTIF($B$6:$B$505,B85))</f>
        <v/>
      </c>
      <c r="CY85" s="124" t="str">
        <f>IF($B85="","",COUNTIF(STG_Woningetalage!$B$6:$B$505,B85))</f>
        <v/>
      </c>
      <c r="CZ85" s="124" t="str">
        <f>IF($B85="","",IF(CW85=0,COUNTIF($CW$6:CW85,0),""))</f>
        <v/>
      </c>
    </row>
    <row r="86">
      <c r="A86" s="15" t="n">
        <v>82</v>
      </c>
      <c r="B86" t="str">
        <f>IF(B$3=0,"",IF(INDEX(SRC_ZPMW03!$A$1:$ZZ$501,$A86,B$3)&amp;""="","",INDEX(SRC_ZPMW03!$A$1:$ZZ$501,$A86,B$3)&amp;""))</f>
        <v/>
      </c>
      <c r="C86" t="str">
        <f>IF($B86="","",IF(C$3=0,"n.b.",INDEX(SRC_ZPMW03!$A$1:$ZZ$501,$A86,C$3)))</f>
        <v/>
      </c>
      <c r="D86" t="str">
        <f>IF($B86="","",IF(D$3=0,"n.b.",INDEX(SRC_ZPMW03!$A$1:$ZZ$501,$A86,D$3)))</f>
        <v/>
      </c>
      <c r="E86" t="str">
        <f>IF($B86="","",IF(E$3=0,"n.b.",INDEX(SRC_ZPMW03!$A$1:$ZZ$501,$A86,E$3)))</f>
        <v/>
      </c>
      <c r="F86" t="str">
        <f>IF($B86="","",IF(F$3=0,"n.b.",INDEX(SRC_ZPMW03!$A$1:$ZZ$501,$A86,F$3)))</f>
        <v/>
      </c>
      <c r="G86" t="str">
        <f>IF($B86="","",IF(G$3=0,"n.b.",INDEX(SRC_ZPMW03!$A$1:$ZZ$501,$A86,G$3)))</f>
        <v/>
      </c>
      <c r="H86" t="str">
        <f>IF($B86="","",IF(H$3=0,"n.b.",INDEX(SRC_ZPMW03!$A$1:$ZZ$501,$A86,H$3)))</f>
        <v/>
      </c>
      <c r="I86" t="str">
        <f>IF($B86="","",IF(I$3=0,"n.b.",INDEX(SRC_ZPMW03!$A$1:$ZZ$501,$A86,I$3)))</f>
        <v/>
      </c>
      <c r="J86" t="str">
        <f>IF($B86="","",IF(J$3=0,"n.b.",INDEX(SRC_ZPMW03!$A$1:$ZZ$501,$A86,J$3)))</f>
        <v/>
      </c>
      <c r="K86" t="str">
        <f>IF($B86="","",IF(K$3=0,"n.b.",INDEX(SRC_ZPMW03!$A$1:$ZZ$501,$A86,K$3)))</f>
        <v/>
      </c>
      <c r="L86" s="124" t="str">
        <f>IF($B86="","",IF(L$3=0,"n.b.",INDEX(SRC_ZPMW03!$A$1:$ZZ$501,$A86,L$3)))</f>
        <v/>
      </c>
      <c r="M86" s="124" t="str">
        <f>IF($B86="","",IF(M$3=0,"n.b.",INDEX(SRC_ZPMW03!$A$1:$ZZ$501,$A86,M$3)))</f>
        <v/>
      </c>
      <c r="N86" s="124" t="str">
        <f>IF($B86="","",IF(N$3=0,"n.b.",INDEX(SRC_ZPMW03!$A$1:$ZZ$501,$A86,N$3)))</f>
        <v/>
      </c>
      <c r="O86" s="124" t="str">
        <f>IF($B86="","",IF(O$3=0,"n.b.",INDEX(SRC_ZPMW03!$A$1:$ZZ$501,$A86,O$3)))</f>
        <v/>
      </c>
      <c r="P86" s="124" t="str">
        <f>IF($B86="","",IF(P$3=0,"n.b.",INDEX(SRC_ZPMW03!$A$1:$ZZ$501,$A86,P$3)))</f>
        <v/>
      </c>
      <c r="Q86" s="124" t="str">
        <f>IF($B86="","",IF(Q$3=0,"n.b.",INDEX(SRC_ZPMW03!$A$1:$ZZ$501,$A86,Q$3)))</f>
        <v/>
      </c>
      <c r="R86" s="124" t="str">
        <f>IF($B86="","",IF(R$3=0,"n.b.",INDEX(SRC_ZPMW03!$A$1:$ZZ$501,$A86,R$3)))</f>
        <v/>
      </c>
      <c r="S86" s="124" t="str">
        <f>IF($B86="","",IF(S$3=0,"n.b.",INDEX(SRC_ZPMW03!$A$1:$ZZ$501,$A86,S$3)))</f>
        <v/>
      </c>
      <c r="T86" s="124" t="str">
        <f>IF($B86="","",IF(T$3=0,"n.b.",INDEX(SRC_ZPMW03!$A$1:$ZZ$501,$A86,T$3)))</f>
        <v/>
      </c>
      <c r="U86" s="124" t="str">
        <f>IF($B86="","",IF(U$3=0,"n.b.",INDEX(SRC_ZPMW03!$A$1:$ZZ$501,$A86,U$3)))</f>
        <v/>
      </c>
      <c r="V86" s="124" t="str">
        <f>IF($B86="","",IF(V$3=0,"n.b.",INDEX(SRC_ZPMW03!$A$1:$ZZ$501,$A86,V$3)))</f>
        <v/>
      </c>
      <c r="W86" s="124" t="str">
        <f>IF($B86="","",IF(W$3=0,"n.b.",INDEX(SRC_ZPMW03!$A$1:$ZZ$501,$A86,W$3)))</f>
        <v/>
      </c>
      <c r="X86" s="124" t="str">
        <f>IF($B86="","",IF(X$3=0,"n.b.",INDEX(SRC_ZPMW03!$A$1:$ZZ$501,$A86,X$3)))</f>
        <v/>
      </c>
      <c r="Y86" s="124" t="str">
        <f>IF($B86="","",IF(Y$3=0,"n.b.",INDEX(SRC_ZPMW03!$A$1:$ZZ$501,$A86,Y$3)))</f>
        <v/>
      </c>
      <c r="Z86" s="124" t="str">
        <f>IF($B86="","",IF(Z$3=0,"n.b.",INDEX(SRC_ZPMW03!$A$1:$ZZ$501,$A86,Z$3)))</f>
        <v/>
      </c>
      <c r="AA86" s="124" t="str">
        <f>IF($B86="","",IF(AA$3=0,"n.b.",INDEX(SRC_ZPMW03!$A$1:$ZZ$501,$A86,AA$3)))</f>
        <v/>
      </c>
      <c r="AB86" s="124" t="str">
        <f>IF($B86="","",IF(AB$3=0,"n.b.",INDEX(SRC_ZPMW03!$A$1:$ZZ$501,$A86,AB$3)))</f>
        <v/>
      </c>
      <c r="AC86" s="124" t="str">
        <f>IF($B86="","",IF(AC$3=0,"n.b.",INDEX(SRC_ZPMW03!$A$1:$ZZ$501,$A86,AC$3)))</f>
        <v/>
      </c>
      <c r="AD86" s="124" t="str">
        <f>IF($B86="","",IF(AD$3=0,"n.b.",INDEX(SRC_ZPMW03!$A$1:$ZZ$501,$A86,AD$3)))</f>
        <v/>
      </c>
      <c r="AE86" s="124" t="str">
        <f>IF($B86="","",IF(AE$3=0,"n.b.",INDEX(SRC_ZPMW03!$A$1:$ZZ$501,$A86,AE$3)))</f>
        <v/>
      </c>
      <c r="AF86" s="124" t="str">
        <f>IF($B86="","",IF(AF$3=0,"n.b.",INDEX(SRC_ZPMW03!$A$1:$ZZ$501,$A86,AF$3)))</f>
        <v/>
      </c>
      <c r="AG86" s="124" t="str">
        <f>IF($B86="","",IF(AG$3=0,"n.b.",INDEX(SRC_ZPMW03!$A$1:$ZZ$501,$A86,AG$3)))</f>
        <v/>
      </c>
      <c r="AH86" s="124" t="str">
        <f>IF($B86="","",IF(AH$3=0,"n.b.",INDEX(SRC_ZPMW03!$A$1:$ZZ$501,$A86,AH$3)))</f>
        <v/>
      </c>
      <c r="AI86" s="124" t="str">
        <f>IF($B86="","",IF(AI$3=0,"n.b.",INDEX(SRC_ZPMW03!$A$1:$ZZ$501,$A86,AI$3)))</f>
        <v/>
      </c>
      <c r="AJ86" s="124" t="str">
        <f>IF($B86="","",IF(AJ$3=0,"n.b.",INDEX(SRC_ZPMW03!$A$1:$ZZ$501,$A86,AJ$3)))</f>
        <v/>
      </c>
      <c r="AK86" s="124" t="str">
        <f>IF($B86="","",IF(AK$3=0,"n.b.",INDEX(SRC_ZPMW03!$A$1:$ZZ$501,$A86,AK$3)))</f>
        <v/>
      </c>
      <c r="AL86" s="124" t="str">
        <f>IF($B86="","",IF(AL$3=0,"n.b.",INDEX(SRC_ZPMW03!$A$1:$ZZ$501,$A86,AL$3)))</f>
        <v/>
      </c>
      <c r="AM86" s="124" t="str">
        <f>IF($B86="","",IF(AM$3=0,"n.b.",INDEX(SRC_ZPMW03!$A$1:$ZZ$501,$A86,AM$3)))</f>
        <v/>
      </c>
      <c r="AN86" s="124" t="str">
        <f>IF($B86="","",IF(AN$3=0,"n.b.",INDEX(SRC_ZPMW03!$A$1:$ZZ$501,$A86,AN$3)))</f>
        <v/>
      </c>
      <c r="AO86" s="124" t="str">
        <f>IF($B86="","",IF(AO$3=0,"n.b.",INDEX(SRC_ZPMW03!$A$1:$ZZ$501,$A86,AO$3)))</f>
        <v/>
      </c>
      <c r="AP86" s="124" t="str">
        <f>IF($B86="","",IF(AP$3=0,"n.b.",INDEX(SRC_ZPMW03!$A$1:$ZZ$501,$A86,AP$3)))</f>
        <v/>
      </c>
      <c r="AQ86" s="124" t="str">
        <f>IF($B86="","",IF(AQ$3=0,"n.b.",INDEX(SRC_ZPMW03!$A$1:$ZZ$501,$A86,AQ$3)))</f>
        <v/>
      </c>
      <c r="AR86" s="124" t="str">
        <f>IF($B86="","",IF(AR$3=0,"n.b.",INDEX(SRC_ZPMW03!$A$1:$ZZ$501,$A86,AR$3)))</f>
        <v/>
      </c>
      <c r="AS86" s="124" t="str">
        <f>IF($B86="","",IF(AS$3=0,"n.b.",INDEX(SRC_ZPMW03!$A$1:$ZZ$501,$A86,AS$3)))</f>
        <v/>
      </c>
      <c r="AT86" s="124" t="str">
        <f>IF($B86="","",IF(AT$3=0,"n.b.",INDEX(SRC_ZPMW03!$A$1:$ZZ$501,$A86,AT$3)))</f>
        <v/>
      </c>
      <c r="AU86" s="124" t="str">
        <f>IF($B86="","",IF(AU$3=0,"n.b.",INDEX(SRC_ZPMW03!$A$1:$ZZ$501,$A86,AU$3)))</f>
        <v/>
      </c>
      <c r="AV86" s="124" t="str">
        <f>IF($B86="","",IF(AV$3=0,"n.b.",INDEX(SRC_ZPMW03!$A$1:$ZZ$501,$A86,AV$3)))</f>
        <v/>
      </c>
      <c r="AW86" s="124" t="str">
        <f>IF($B86="","",IF(AW$3=0,"n.b.",INDEX(SRC_ZPMW03!$A$1:$ZZ$501,$A86,AW$3)))</f>
        <v/>
      </c>
      <c r="AX86" s="124" t="str">
        <f>IF($B86="","",IF(AX$3=0,"n.b.",INDEX(SRC_ZPMW03!$A$1:$ZZ$501,$A86,AX$3)))</f>
        <v/>
      </c>
      <c r="AY86" s="124" t="str">
        <f>IF($B86="","",IF(AY$3=0,"n.b.",INDEX(SRC_ZPMW03!$A$1:$ZZ$501,$A86,AY$3)))</f>
        <v/>
      </c>
      <c r="AZ86" s="124" t="str">
        <f>IF($B86="","",IF(AZ$3=0,"n.b.",INDEX(SRC_ZPMW03!$A$1:$ZZ$501,$A86,AZ$3)))</f>
        <v/>
      </c>
      <c r="BA86" s="124" t="str">
        <f>IF($B86="","",IF(BA$3=0,"n.b.",INDEX(SRC_ZPMW03!$A$1:$ZZ$501,$A86,BA$3)))</f>
        <v/>
      </c>
      <c r="BB86" s="124" t="str">
        <f>IF($B86="","",IF(BB$3=0,"n.b.",INDEX(SRC_ZPMW03!$A$1:$ZZ$501,$A86,BB$3)))</f>
        <v/>
      </c>
      <c r="BC86" s="124" t="str">
        <f>IF($B86="","",IF(BC$3=0,"n.b.",INDEX(SRC_ZPMW03!$A$1:$ZZ$501,$A86,BC$3)))</f>
        <v/>
      </c>
      <c r="BD86" s="124" t="str">
        <f>IF($B86="","",IF(BD$3=0,"n.b.",INDEX(SRC_ZPMW03!$A$1:$ZZ$501,$A86,BD$3)))</f>
        <v/>
      </c>
      <c r="BE86" s="124" t="str">
        <f>IF($B86="","",IF(BE$3=0,"n.b.",INDEX(SRC_ZPMW03!$A$1:$ZZ$501,$A86,BE$3)))</f>
        <v/>
      </c>
      <c r="BF86" s="124" t="str">
        <f>IF($B86="","",IF(BF$3=0,"n.b.",INDEX(SRC_ZPMW03!$A$1:$ZZ$501,$A86,BF$3)))</f>
        <v/>
      </c>
      <c r="BG86" t="str">
        <f>IF($B86="","",IF(BG$3=0,"n.b.",INDEX(SRC_ZPMW03!$A$1:$ZZ$501,$A86,BG$3)))</f>
        <v/>
      </c>
      <c r="BH86" t="str">
        <f>IF($B86="","",IF(BH$3=0,"n.b.",INDEX(SRC_ZPMW03!$A$1:$ZZ$501,$A86,BH$3)))</f>
        <v/>
      </c>
      <c r="BI86" t="str">
        <f>IF($B86="","",IF(BI$3=0,"n.b.",INDEX(SRC_ZPMW03!$A$1:$ZZ$501,$A86,BI$3)))</f>
        <v/>
      </c>
      <c r="BJ86" t="str">
        <f>IF($B86="","",IF(BJ$3=0,"n.b.",INDEX(SRC_ZPMW03!$A$1:$ZZ$501,$A86,BJ$3)))</f>
        <v/>
      </c>
      <c r="BK86" s="124" t="str">
        <f>IF($B86="","",IFERROR(-O86,"n.b."))</f>
        <v/>
      </c>
      <c r="BL86" s="124" t="str">
        <f>IF($B86="","",IFERROR(-Q86,"n.b."))</f>
        <v/>
      </c>
      <c r="BM86" s="124" t="str">
        <f>IF($B86="","",IFERROR(-AB86,"n.b."))</f>
        <v/>
      </c>
      <c r="BN86" s="124" t="str">
        <f>IF($B86="","",IFERROR(-AD86,"n.b."))</f>
        <v/>
      </c>
      <c r="BO86" s="124" t="str">
        <f>IF($B86="","",IFERROR(BK86+BM86,"n.b."))</f>
        <v/>
      </c>
      <c r="BP86" s="124" t="str">
        <f>IF($B86="","",IFERROR(BL86+BN86,"n.b."))</f>
        <v/>
      </c>
      <c r="BQ86" s="124" t="str">
        <f>IF($B86="","",IFERROR(-AM86,"n.b."))</f>
        <v/>
      </c>
      <c r="BR86" s="124" t="str">
        <f>IF($B86="","",IFERROR(-AO86,"n.b."))</f>
        <v/>
      </c>
      <c r="BS86" s="124" t="str">
        <f>IF($B86="","",IFERROR(-Z86,"n.b."))</f>
        <v/>
      </c>
      <c r="BT86" s="124" t="str">
        <f>IF($B86="","",IFERROR(-AA86,"n.b."))</f>
        <v/>
      </c>
      <c r="BU86" s="124" t="str">
        <f>IF($B86="","",IFERROR(-AE86,"n.b."))</f>
        <v/>
      </c>
      <c r="BV86" s="124" t="str">
        <f>IF($B86="","",IFERROR(-AF86,"n.b."))</f>
        <v/>
      </c>
      <c r="BW86" s="124" t="str">
        <f>IF($B86="","",IFERROR(-AG86,"n.b."))</f>
        <v/>
      </c>
      <c r="BX86" s="124" t="str">
        <f>IF($B86="","",IFERROR(-AH86,"n.b."))</f>
        <v/>
      </c>
      <c r="BY86" s="124" t="str">
        <f>IF($B86="","",IFERROR(-AI86,"n.b."))</f>
        <v/>
      </c>
      <c r="BZ86" s="124" t="str">
        <f>IF($B86="","",IFERROR(-AJ86,"n.b."))</f>
        <v/>
      </c>
      <c r="CA86" s="124" t="str">
        <f>IF($B86="","",IFERROR(-AK86,"n.b."))</f>
        <v/>
      </c>
      <c r="CB86" s="124" t="str">
        <f>IF($B86="","",IFERROR(-AL86,"n.b."))</f>
        <v/>
      </c>
      <c r="CC86" s="124" t="str">
        <f>IF($B86="","",IFERROR(-AP86,"n.b."))</f>
        <v/>
      </c>
      <c r="CD86" s="124" t="str">
        <f>IF($B86="","",IFERROR(-AQ86,"n.b."))</f>
        <v/>
      </c>
      <c r="CE86" s="124" t="str">
        <f>IF($B86="","",IFERROR(-AR86,"n.b."))</f>
        <v/>
      </c>
      <c r="CF86" s="124" t="str">
        <f>IF($B86="","",IFERROR(-AS86,"n.b."))</f>
        <v/>
      </c>
      <c r="CG86" s="124" t="str">
        <f>IF($B86="","",IFERROR(-AT86,"n.b."))</f>
        <v/>
      </c>
      <c r="CH86" s="124" t="str">
        <f>IF($B86="","",IFERROR(-AU86,"n.b."))</f>
        <v/>
      </c>
      <c r="CI86" s="124" t="str">
        <f>IF($B86="","",IFERROR(-AV86,"n.b."))</f>
        <v/>
      </c>
      <c r="CJ86" s="124" t="str">
        <f>IF($B86="","",IFERROR(-AW86,"n.b."))</f>
        <v/>
      </c>
      <c r="CK86" s="124" t="str">
        <f>IF($B86="","",IFERROR(-AX86,"n.b."))</f>
        <v/>
      </c>
      <c r="CL86" s="124" t="str">
        <f>IF($B86="","",IFERROR(-AY86,"n.b."))</f>
        <v/>
      </c>
      <c r="CM86" s="124" t="str">
        <f>IF($B86="","",IFERROR(-AZ86,"n.b."))</f>
        <v/>
      </c>
      <c r="CN86" s="124" t="str">
        <f>IF($B86="","",IFERROR(-BA86,"n.b."))</f>
        <v/>
      </c>
      <c r="CO86" s="124" t="str">
        <f>IF($B86="","",IFERROR(-BB86,"n.b."))</f>
        <v/>
      </c>
      <c r="CP86" s="124" t="str">
        <f>IF($B86="","",IFERROR(-BC86,"n.b."))</f>
        <v/>
      </c>
      <c r="CQ86" s="124" t="str">
        <f>IF($B86="","",IFERROR(-BD86,"n.b."))</f>
        <v/>
      </c>
      <c r="CR86" s="124" t="str">
        <f>IF($B86="","",IFERROR(-BE86,"n.b."))</f>
        <v/>
      </c>
      <c r="CS86" s="124" t="str">
        <f>IF($B86="","",IFERROR(IF(OR(ABS(T86+V86+X86+Z86-AB86)&gt;P_Tol,ABS(U86+W86+Y86+AA86-AD86)&gt;P_Tol,ABS(AE86+AG86+AI86+AK86-AM86)&gt;P_Tol,ABS(AF86+AH86+AJ86+AL86-AO86)&gt;P_Tol),1,0),1))</f>
        <v/>
      </c>
      <c r="CT86" s="124" t="str">
        <f>IF($B86="","",IFERROR(IF(OR(ABS(AB86+AC86-AD86)&gt;P_Tol,ABS(AM86+AN86-AO86)&gt;P_Tol,ABS(O86+P86-Q86)&gt;P_Tol),1,0),1))</f>
        <v/>
      </c>
      <c r="CU86" s="124" t="str">
        <f>IF($B86="","",IFERROR(IF(ABS(R86-(AB86+AM86+AP86+AR86+AT86+AV86+AX86+AZ86+BB86+BD86))&gt;P_Tol,1,0),1))</f>
        <v/>
      </c>
      <c r="CV86" s="124" t="str">
        <f>IF($B86="","",IFERROR(IF(ABS(M86-(N86+O86+R86))&gt;P_Tol,1,0),1))</f>
        <v/>
      </c>
      <c r="CW86" s="124" t="str">
        <f>IF($B86="","",IF(COUNTIF(Mapping!$A$5:$A$104,B86)&gt;0,1,0))</f>
        <v/>
      </c>
      <c r="CX86" s="124" t="str">
        <f>IF($B86="","",COUNTIF($B$6:$B$505,B86))</f>
        <v/>
      </c>
      <c r="CY86" s="124" t="str">
        <f>IF($B86="","",COUNTIF(STG_Woningetalage!$B$6:$B$505,B86))</f>
        <v/>
      </c>
      <c r="CZ86" s="124" t="str">
        <f>IF($B86="","",IF(CW86=0,COUNTIF($CW$6:CW86,0),""))</f>
        <v/>
      </c>
    </row>
    <row r="87">
      <c r="A87" s="15" t="n">
        <v>83</v>
      </c>
      <c r="B87" t="str">
        <f>IF(B$3=0,"",IF(INDEX(SRC_ZPMW03!$A$1:$ZZ$501,$A87,B$3)&amp;""="","",INDEX(SRC_ZPMW03!$A$1:$ZZ$501,$A87,B$3)&amp;""))</f>
        <v/>
      </c>
      <c r="C87" t="str">
        <f>IF($B87="","",IF(C$3=0,"n.b.",INDEX(SRC_ZPMW03!$A$1:$ZZ$501,$A87,C$3)))</f>
        <v/>
      </c>
      <c r="D87" t="str">
        <f>IF($B87="","",IF(D$3=0,"n.b.",INDEX(SRC_ZPMW03!$A$1:$ZZ$501,$A87,D$3)))</f>
        <v/>
      </c>
      <c r="E87" t="str">
        <f>IF($B87="","",IF(E$3=0,"n.b.",INDEX(SRC_ZPMW03!$A$1:$ZZ$501,$A87,E$3)))</f>
        <v/>
      </c>
      <c r="F87" t="str">
        <f>IF($B87="","",IF(F$3=0,"n.b.",INDEX(SRC_ZPMW03!$A$1:$ZZ$501,$A87,F$3)))</f>
        <v/>
      </c>
      <c r="G87" t="str">
        <f>IF($B87="","",IF(G$3=0,"n.b.",INDEX(SRC_ZPMW03!$A$1:$ZZ$501,$A87,G$3)))</f>
        <v/>
      </c>
      <c r="H87" t="str">
        <f>IF($B87="","",IF(H$3=0,"n.b.",INDEX(SRC_ZPMW03!$A$1:$ZZ$501,$A87,H$3)))</f>
        <v/>
      </c>
      <c r="I87" t="str">
        <f>IF($B87="","",IF(I$3=0,"n.b.",INDEX(SRC_ZPMW03!$A$1:$ZZ$501,$A87,I$3)))</f>
        <v/>
      </c>
      <c r="J87" t="str">
        <f>IF($B87="","",IF(J$3=0,"n.b.",INDEX(SRC_ZPMW03!$A$1:$ZZ$501,$A87,J$3)))</f>
        <v/>
      </c>
      <c r="K87" t="str">
        <f>IF($B87="","",IF(K$3=0,"n.b.",INDEX(SRC_ZPMW03!$A$1:$ZZ$501,$A87,K$3)))</f>
        <v/>
      </c>
      <c r="L87" s="124" t="str">
        <f>IF($B87="","",IF(L$3=0,"n.b.",INDEX(SRC_ZPMW03!$A$1:$ZZ$501,$A87,L$3)))</f>
        <v/>
      </c>
      <c r="M87" s="124" t="str">
        <f>IF($B87="","",IF(M$3=0,"n.b.",INDEX(SRC_ZPMW03!$A$1:$ZZ$501,$A87,M$3)))</f>
        <v/>
      </c>
      <c r="N87" s="124" t="str">
        <f>IF($B87="","",IF(N$3=0,"n.b.",INDEX(SRC_ZPMW03!$A$1:$ZZ$501,$A87,N$3)))</f>
        <v/>
      </c>
      <c r="O87" s="124" t="str">
        <f>IF($B87="","",IF(O$3=0,"n.b.",INDEX(SRC_ZPMW03!$A$1:$ZZ$501,$A87,O$3)))</f>
        <v/>
      </c>
      <c r="P87" s="124" t="str">
        <f>IF($B87="","",IF(P$3=0,"n.b.",INDEX(SRC_ZPMW03!$A$1:$ZZ$501,$A87,P$3)))</f>
        <v/>
      </c>
      <c r="Q87" s="124" t="str">
        <f>IF($B87="","",IF(Q$3=0,"n.b.",INDEX(SRC_ZPMW03!$A$1:$ZZ$501,$A87,Q$3)))</f>
        <v/>
      </c>
      <c r="R87" s="124" t="str">
        <f>IF($B87="","",IF(R$3=0,"n.b.",INDEX(SRC_ZPMW03!$A$1:$ZZ$501,$A87,R$3)))</f>
        <v/>
      </c>
      <c r="S87" s="124" t="str">
        <f>IF($B87="","",IF(S$3=0,"n.b.",INDEX(SRC_ZPMW03!$A$1:$ZZ$501,$A87,S$3)))</f>
        <v/>
      </c>
      <c r="T87" s="124" t="str">
        <f>IF($B87="","",IF(T$3=0,"n.b.",INDEX(SRC_ZPMW03!$A$1:$ZZ$501,$A87,T$3)))</f>
        <v/>
      </c>
      <c r="U87" s="124" t="str">
        <f>IF($B87="","",IF(U$3=0,"n.b.",INDEX(SRC_ZPMW03!$A$1:$ZZ$501,$A87,U$3)))</f>
        <v/>
      </c>
      <c r="V87" s="124" t="str">
        <f>IF($B87="","",IF(V$3=0,"n.b.",INDEX(SRC_ZPMW03!$A$1:$ZZ$501,$A87,V$3)))</f>
        <v/>
      </c>
      <c r="W87" s="124" t="str">
        <f>IF($B87="","",IF(W$3=0,"n.b.",INDEX(SRC_ZPMW03!$A$1:$ZZ$501,$A87,W$3)))</f>
        <v/>
      </c>
      <c r="X87" s="124" t="str">
        <f>IF($B87="","",IF(X$3=0,"n.b.",INDEX(SRC_ZPMW03!$A$1:$ZZ$501,$A87,X$3)))</f>
        <v/>
      </c>
      <c r="Y87" s="124" t="str">
        <f>IF($B87="","",IF(Y$3=0,"n.b.",INDEX(SRC_ZPMW03!$A$1:$ZZ$501,$A87,Y$3)))</f>
        <v/>
      </c>
      <c r="Z87" s="124" t="str">
        <f>IF($B87="","",IF(Z$3=0,"n.b.",INDEX(SRC_ZPMW03!$A$1:$ZZ$501,$A87,Z$3)))</f>
        <v/>
      </c>
      <c r="AA87" s="124" t="str">
        <f>IF($B87="","",IF(AA$3=0,"n.b.",INDEX(SRC_ZPMW03!$A$1:$ZZ$501,$A87,AA$3)))</f>
        <v/>
      </c>
      <c r="AB87" s="124" t="str">
        <f>IF($B87="","",IF(AB$3=0,"n.b.",INDEX(SRC_ZPMW03!$A$1:$ZZ$501,$A87,AB$3)))</f>
        <v/>
      </c>
      <c r="AC87" s="124" t="str">
        <f>IF($B87="","",IF(AC$3=0,"n.b.",INDEX(SRC_ZPMW03!$A$1:$ZZ$501,$A87,AC$3)))</f>
        <v/>
      </c>
      <c r="AD87" s="124" t="str">
        <f>IF($B87="","",IF(AD$3=0,"n.b.",INDEX(SRC_ZPMW03!$A$1:$ZZ$501,$A87,AD$3)))</f>
        <v/>
      </c>
      <c r="AE87" s="124" t="str">
        <f>IF($B87="","",IF(AE$3=0,"n.b.",INDEX(SRC_ZPMW03!$A$1:$ZZ$501,$A87,AE$3)))</f>
        <v/>
      </c>
      <c r="AF87" s="124" t="str">
        <f>IF($B87="","",IF(AF$3=0,"n.b.",INDEX(SRC_ZPMW03!$A$1:$ZZ$501,$A87,AF$3)))</f>
        <v/>
      </c>
      <c r="AG87" s="124" t="str">
        <f>IF($B87="","",IF(AG$3=0,"n.b.",INDEX(SRC_ZPMW03!$A$1:$ZZ$501,$A87,AG$3)))</f>
        <v/>
      </c>
      <c r="AH87" s="124" t="str">
        <f>IF($B87="","",IF(AH$3=0,"n.b.",INDEX(SRC_ZPMW03!$A$1:$ZZ$501,$A87,AH$3)))</f>
        <v/>
      </c>
      <c r="AI87" s="124" t="str">
        <f>IF($B87="","",IF(AI$3=0,"n.b.",INDEX(SRC_ZPMW03!$A$1:$ZZ$501,$A87,AI$3)))</f>
        <v/>
      </c>
      <c r="AJ87" s="124" t="str">
        <f>IF($B87="","",IF(AJ$3=0,"n.b.",INDEX(SRC_ZPMW03!$A$1:$ZZ$501,$A87,AJ$3)))</f>
        <v/>
      </c>
      <c r="AK87" s="124" t="str">
        <f>IF($B87="","",IF(AK$3=0,"n.b.",INDEX(SRC_ZPMW03!$A$1:$ZZ$501,$A87,AK$3)))</f>
        <v/>
      </c>
      <c r="AL87" s="124" t="str">
        <f>IF($B87="","",IF(AL$3=0,"n.b.",INDEX(SRC_ZPMW03!$A$1:$ZZ$501,$A87,AL$3)))</f>
        <v/>
      </c>
      <c r="AM87" s="124" t="str">
        <f>IF($B87="","",IF(AM$3=0,"n.b.",INDEX(SRC_ZPMW03!$A$1:$ZZ$501,$A87,AM$3)))</f>
        <v/>
      </c>
      <c r="AN87" s="124" t="str">
        <f>IF($B87="","",IF(AN$3=0,"n.b.",INDEX(SRC_ZPMW03!$A$1:$ZZ$501,$A87,AN$3)))</f>
        <v/>
      </c>
      <c r="AO87" s="124" t="str">
        <f>IF($B87="","",IF(AO$3=0,"n.b.",INDEX(SRC_ZPMW03!$A$1:$ZZ$501,$A87,AO$3)))</f>
        <v/>
      </c>
      <c r="AP87" s="124" t="str">
        <f>IF($B87="","",IF(AP$3=0,"n.b.",INDEX(SRC_ZPMW03!$A$1:$ZZ$501,$A87,AP$3)))</f>
        <v/>
      </c>
      <c r="AQ87" s="124" t="str">
        <f>IF($B87="","",IF(AQ$3=0,"n.b.",INDEX(SRC_ZPMW03!$A$1:$ZZ$501,$A87,AQ$3)))</f>
        <v/>
      </c>
      <c r="AR87" s="124" t="str">
        <f>IF($B87="","",IF(AR$3=0,"n.b.",INDEX(SRC_ZPMW03!$A$1:$ZZ$501,$A87,AR$3)))</f>
        <v/>
      </c>
      <c r="AS87" s="124" t="str">
        <f>IF($B87="","",IF(AS$3=0,"n.b.",INDEX(SRC_ZPMW03!$A$1:$ZZ$501,$A87,AS$3)))</f>
        <v/>
      </c>
      <c r="AT87" s="124" t="str">
        <f>IF($B87="","",IF(AT$3=0,"n.b.",INDEX(SRC_ZPMW03!$A$1:$ZZ$501,$A87,AT$3)))</f>
        <v/>
      </c>
      <c r="AU87" s="124" t="str">
        <f>IF($B87="","",IF(AU$3=0,"n.b.",INDEX(SRC_ZPMW03!$A$1:$ZZ$501,$A87,AU$3)))</f>
        <v/>
      </c>
      <c r="AV87" s="124" t="str">
        <f>IF($B87="","",IF(AV$3=0,"n.b.",INDEX(SRC_ZPMW03!$A$1:$ZZ$501,$A87,AV$3)))</f>
        <v/>
      </c>
      <c r="AW87" s="124" t="str">
        <f>IF($B87="","",IF(AW$3=0,"n.b.",INDEX(SRC_ZPMW03!$A$1:$ZZ$501,$A87,AW$3)))</f>
        <v/>
      </c>
      <c r="AX87" s="124" t="str">
        <f>IF($B87="","",IF(AX$3=0,"n.b.",INDEX(SRC_ZPMW03!$A$1:$ZZ$501,$A87,AX$3)))</f>
        <v/>
      </c>
      <c r="AY87" s="124" t="str">
        <f>IF($B87="","",IF(AY$3=0,"n.b.",INDEX(SRC_ZPMW03!$A$1:$ZZ$501,$A87,AY$3)))</f>
        <v/>
      </c>
      <c r="AZ87" s="124" t="str">
        <f>IF($B87="","",IF(AZ$3=0,"n.b.",INDEX(SRC_ZPMW03!$A$1:$ZZ$501,$A87,AZ$3)))</f>
        <v/>
      </c>
      <c r="BA87" s="124" t="str">
        <f>IF($B87="","",IF(BA$3=0,"n.b.",INDEX(SRC_ZPMW03!$A$1:$ZZ$501,$A87,BA$3)))</f>
        <v/>
      </c>
      <c r="BB87" s="124" t="str">
        <f>IF($B87="","",IF(BB$3=0,"n.b.",INDEX(SRC_ZPMW03!$A$1:$ZZ$501,$A87,BB$3)))</f>
        <v/>
      </c>
      <c r="BC87" s="124" t="str">
        <f>IF($B87="","",IF(BC$3=0,"n.b.",INDEX(SRC_ZPMW03!$A$1:$ZZ$501,$A87,BC$3)))</f>
        <v/>
      </c>
      <c r="BD87" s="124" t="str">
        <f>IF($B87="","",IF(BD$3=0,"n.b.",INDEX(SRC_ZPMW03!$A$1:$ZZ$501,$A87,BD$3)))</f>
        <v/>
      </c>
      <c r="BE87" s="124" t="str">
        <f>IF($B87="","",IF(BE$3=0,"n.b.",INDEX(SRC_ZPMW03!$A$1:$ZZ$501,$A87,BE$3)))</f>
        <v/>
      </c>
      <c r="BF87" s="124" t="str">
        <f>IF($B87="","",IF(BF$3=0,"n.b.",INDEX(SRC_ZPMW03!$A$1:$ZZ$501,$A87,BF$3)))</f>
        <v/>
      </c>
      <c r="BG87" t="str">
        <f>IF($B87="","",IF(BG$3=0,"n.b.",INDEX(SRC_ZPMW03!$A$1:$ZZ$501,$A87,BG$3)))</f>
        <v/>
      </c>
      <c r="BH87" t="str">
        <f>IF($B87="","",IF(BH$3=0,"n.b.",INDEX(SRC_ZPMW03!$A$1:$ZZ$501,$A87,BH$3)))</f>
        <v/>
      </c>
      <c r="BI87" t="str">
        <f>IF($B87="","",IF(BI$3=0,"n.b.",INDEX(SRC_ZPMW03!$A$1:$ZZ$501,$A87,BI$3)))</f>
        <v/>
      </c>
      <c r="BJ87" t="str">
        <f>IF($B87="","",IF(BJ$3=0,"n.b.",INDEX(SRC_ZPMW03!$A$1:$ZZ$501,$A87,BJ$3)))</f>
        <v/>
      </c>
      <c r="BK87" s="124" t="str">
        <f>IF($B87="","",IFERROR(-O87,"n.b."))</f>
        <v/>
      </c>
      <c r="BL87" s="124" t="str">
        <f>IF($B87="","",IFERROR(-Q87,"n.b."))</f>
        <v/>
      </c>
      <c r="BM87" s="124" t="str">
        <f>IF($B87="","",IFERROR(-AB87,"n.b."))</f>
        <v/>
      </c>
      <c r="BN87" s="124" t="str">
        <f>IF($B87="","",IFERROR(-AD87,"n.b."))</f>
        <v/>
      </c>
      <c r="BO87" s="124" t="str">
        <f>IF($B87="","",IFERROR(BK87+BM87,"n.b."))</f>
        <v/>
      </c>
      <c r="BP87" s="124" t="str">
        <f>IF($B87="","",IFERROR(BL87+BN87,"n.b."))</f>
        <v/>
      </c>
      <c r="BQ87" s="124" t="str">
        <f>IF($B87="","",IFERROR(-AM87,"n.b."))</f>
        <v/>
      </c>
      <c r="BR87" s="124" t="str">
        <f>IF($B87="","",IFERROR(-AO87,"n.b."))</f>
        <v/>
      </c>
      <c r="BS87" s="124" t="str">
        <f>IF($B87="","",IFERROR(-Z87,"n.b."))</f>
        <v/>
      </c>
      <c r="BT87" s="124" t="str">
        <f>IF($B87="","",IFERROR(-AA87,"n.b."))</f>
        <v/>
      </c>
      <c r="BU87" s="124" t="str">
        <f>IF($B87="","",IFERROR(-AE87,"n.b."))</f>
        <v/>
      </c>
      <c r="BV87" s="124" t="str">
        <f>IF($B87="","",IFERROR(-AF87,"n.b."))</f>
        <v/>
      </c>
      <c r="BW87" s="124" t="str">
        <f>IF($B87="","",IFERROR(-AG87,"n.b."))</f>
        <v/>
      </c>
      <c r="BX87" s="124" t="str">
        <f>IF($B87="","",IFERROR(-AH87,"n.b."))</f>
        <v/>
      </c>
      <c r="BY87" s="124" t="str">
        <f>IF($B87="","",IFERROR(-AI87,"n.b."))</f>
        <v/>
      </c>
      <c r="BZ87" s="124" t="str">
        <f>IF($B87="","",IFERROR(-AJ87,"n.b."))</f>
        <v/>
      </c>
      <c r="CA87" s="124" t="str">
        <f>IF($B87="","",IFERROR(-AK87,"n.b."))</f>
        <v/>
      </c>
      <c r="CB87" s="124" t="str">
        <f>IF($B87="","",IFERROR(-AL87,"n.b."))</f>
        <v/>
      </c>
      <c r="CC87" s="124" t="str">
        <f>IF($B87="","",IFERROR(-AP87,"n.b."))</f>
        <v/>
      </c>
      <c r="CD87" s="124" t="str">
        <f>IF($B87="","",IFERROR(-AQ87,"n.b."))</f>
        <v/>
      </c>
      <c r="CE87" s="124" t="str">
        <f>IF($B87="","",IFERROR(-AR87,"n.b."))</f>
        <v/>
      </c>
      <c r="CF87" s="124" t="str">
        <f>IF($B87="","",IFERROR(-AS87,"n.b."))</f>
        <v/>
      </c>
      <c r="CG87" s="124" t="str">
        <f>IF($B87="","",IFERROR(-AT87,"n.b."))</f>
        <v/>
      </c>
      <c r="CH87" s="124" t="str">
        <f>IF($B87="","",IFERROR(-AU87,"n.b."))</f>
        <v/>
      </c>
      <c r="CI87" s="124" t="str">
        <f>IF($B87="","",IFERROR(-AV87,"n.b."))</f>
        <v/>
      </c>
      <c r="CJ87" s="124" t="str">
        <f>IF($B87="","",IFERROR(-AW87,"n.b."))</f>
        <v/>
      </c>
      <c r="CK87" s="124" t="str">
        <f>IF($B87="","",IFERROR(-AX87,"n.b."))</f>
        <v/>
      </c>
      <c r="CL87" s="124" t="str">
        <f>IF($B87="","",IFERROR(-AY87,"n.b."))</f>
        <v/>
      </c>
      <c r="CM87" s="124" t="str">
        <f>IF($B87="","",IFERROR(-AZ87,"n.b."))</f>
        <v/>
      </c>
      <c r="CN87" s="124" t="str">
        <f>IF($B87="","",IFERROR(-BA87,"n.b."))</f>
        <v/>
      </c>
      <c r="CO87" s="124" t="str">
        <f>IF($B87="","",IFERROR(-BB87,"n.b."))</f>
        <v/>
      </c>
      <c r="CP87" s="124" t="str">
        <f>IF($B87="","",IFERROR(-BC87,"n.b."))</f>
        <v/>
      </c>
      <c r="CQ87" s="124" t="str">
        <f>IF($B87="","",IFERROR(-BD87,"n.b."))</f>
        <v/>
      </c>
      <c r="CR87" s="124" t="str">
        <f>IF($B87="","",IFERROR(-BE87,"n.b."))</f>
        <v/>
      </c>
      <c r="CS87" s="124" t="str">
        <f>IF($B87="","",IFERROR(IF(OR(ABS(T87+V87+X87+Z87-AB87)&gt;P_Tol,ABS(U87+W87+Y87+AA87-AD87)&gt;P_Tol,ABS(AE87+AG87+AI87+AK87-AM87)&gt;P_Tol,ABS(AF87+AH87+AJ87+AL87-AO87)&gt;P_Tol),1,0),1))</f>
        <v/>
      </c>
      <c r="CT87" s="124" t="str">
        <f>IF($B87="","",IFERROR(IF(OR(ABS(AB87+AC87-AD87)&gt;P_Tol,ABS(AM87+AN87-AO87)&gt;P_Tol,ABS(O87+P87-Q87)&gt;P_Tol),1,0),1))</f>
        <v/>
      </c>
      <c r="CU87" s="124" t="str">
        <f>IF($B87="","",IFERROR(IF(ABS(R87-(AB87+AM87+AP87+AR87+AT87+AV87+AX87+AZ87+BB87+BD87))&gt;P_Tol,1,0),1))</f>
        <v/>
      </c>
      <c r="CV87" s="124" t="str">
        <f>IF($B87="","",IFERROR(IF(ABS(M87-(N87+O87+R87))&gt;P_Tol,1,0),1))</f>
        <v/>
      </c>
      <c r="CW87" s="124" t="str">
        <f>IF($B87="","",IF(COUNTIF(Mapping!$A$5:$A$104,B87)&gt;0,1,0))</f>
        <v/>
      </c>
      <c r="CX87" s="124" t="str">
        <f>IF($B87="","",COUNTIF($B$6:$B$505,B87))</f>
        <v/>
      </c>
      <c r="CY87" s="124" t="str">
        <f>IF($B87="","",COUNTIF(STG_Woningetalage!$B$6:$B$505,B87))</f>
        <v/>
      </c>
      <c r="CZ87" s="124" t="str">
        <f>IF($B87="","",IF(CW87=0,COUNTIF($CW$6:CW87,0),""))</f>
        <v/>
      </c>
    </row>
    <row r="88">
      <c r="A88" s="15" t="n">
        <v>84</v>
      </c>
      <c r="B88" t="str">
        <f>IF(B$3=0,"",IF(INDEX(SRC_ZPMW03!$A$1:$ZZ$501,$A88,B$3)&amp;""="","",INDEX(SRC_ZPMW03!$A$1:$ZZ$501,$A88,B$3)&amp;""))</f>
        <v/>
      </c>
      <c r="C88" t="str">
        <f>IF($B88="","",IF(C$3=0,"n.b.",INDEX(SRC_ZPMW03!$A$1:$ZZ$501,$A88,C$3)))</f>
        <v/>
      </c>
      <c r="D88" t="str">
        <f>IF($B88="","",IF(D$3=0,"n.b.",INDEX(SRC_ZPMW03!$A$1:$ZZ$501,$A88,D$3)))</f>
        <v/>
      </c>
      <c r="E88" t="str">
        <f>IF($B88="","",IF(E$3=0,"n.b.",INDEX(SRC_ZPMW03!$A$1:$ZZ$501,$A88,E$3)))</f>
        <v/>
      </c>
      <c r="F88" t="str">
        <f>IF($B88="","",IF(F$3=0,"n.b.",INDEX(SRC_ZPMW03!$A$1:$ZZ$501,$A88,F$3)))</f>
        <v/>
      </c>
      <c r="G88" t="str">
        <f>IF($B88="","",IF(G$3=0,"n.b.",INDEX(SRC_ZPMW03!$A$1:$ZZ$501,$A88,G$3)))</f>
        <v/>
      </c>
      <c r="H88" t="str">
        <f>IF($B88="","",IF(H$3=0,"n.b.",INDEX(SRC_ZPMW03!$A$1:$ZZ$501,$A88,H$3)))</f>
        <v/>
      </c>
      <c r="I88" t="str">
        <f>IF($B88="","",IF(I$3=0,"n.b.",INDEX(SRC_ZPMW03!$A$1:$ZZ$501,$A88,I$3)))</f>
        <v/>
      </c>
      <c r="J88" t="str">
        <f>IF($B88="","",IF(J$3=0,"n.b.",INDEX(SRC_ZPMW03!$A$1:$ZZ$501,$A88,J$3)))</f>
        <v/>
      </c>
      <c r="K88" t="str">
        <f>IF($B88="","",IF(K$3=0,"n.b.",INDEX(SRC_ZPMW03!$A$1:$ZZ$501,$A88,K$3)))</f>
        <v/>
      </c>
      <c r="L88" s="124" t="str">
        <f>IF($B88="","",IF(L$3=0,"n.b.",INDEX(SRC_ZPMW03!$A$1:$ZZ$501,$A88,L$3)))</f>
        <v/>
      </c>
      <c r="M88" s="124" t="str">
        <f>IF($B88="","",IF(M$3=0,"n.b.",INDEX(SRC_ZPMW03!$A$1:$ZZ$501,$A88,M$3)))</f>
        <v/>
      </c>
      <c r="N88" s="124" t="str">
        <f>IF($B88="","",IF(N$3=0,"n.b.",INDEX(SRC_ZPMW03!$A$1:$ZZ$501,$A88,N$3)))</f>
        <v/>
      </c>
      <c r="O88" s="124" t="str">
        <f>IF($B88="","",IF(O$3=0,"n.b.",INDEX(SRC_ZPMW03!$A$1:$ZZ$501,$A88,O$3)))</f>
        <v/>
      </c>
      <c r="P88" s="124" t="str">
        <f>IF($B88="","",IF(P$3=0,"n.b.",INDEX(SRC_ZPMW03!$A$1:$ZZ$501,$A88,P$3)))</f>
        <v/>
      </c>
      <c r="Q88" s="124" t="str">
        <f>IF($B88="","",IF(Q$3=0,"n.b.",INDEX(SRC_ZPMW03!$A$1:$ZZ$501,$A88,Q$3)))</f>
        <v/>
      </c>
      <c r="R88" s="124" t="str">
        <f>IF($B88="","",IF(R$3=0,"n.b.",INDEX(SRC_ZPMW03!$A$1:$ZZ$501,$A88,R$3)))</f>
        <v/>
      </c>
      <c r="S88" s="124" t="str">
        <f>IF($B88="","",IF(S$3=0,"n.b.",INDEX(SRC_ZPMW03!$A$1:$ZZ$501,$A88,S$3)))</f>
        <v/>
      </c>
      <c r="T88" s="124" t="str">
        <f>IF($B88="","",IF(T$3=0,"n.b.",INDEX(SRC_ZPMW03!$A$1:$ZZ$501,$A88,T$3)))</f>
        <v/>
      </c>
      <c r="U88" s="124" t="str">
        <f>IF($B88="","",IF(U$3=0,"n.b.",INDEX(SRC_ZPMW03!$A$1:$ZZ$501,$A88,U$3)))</f>
        <v/>
      </c>
      <c r="V88" s="124" t="str">
        <f>IF($B88="","",IF(V$3=0,"n.b.",INDEX(SRC_ZPMW03!$A$1:$ZZ$501,$A88,V$3)))</f>
        <v/>
      </c>
      <c r="W88" s="124" t="str">
        <f>IF($B88="","",IF(W$3=0,"n.b.",INDEX(SRC_ZPMW03!$A$1:$ZZ$501,$A88,W$3)))</f>
        <v/>
      </c>
      <c r="X88" s="124" t="str">
        <f>IF($B88="","",IF(X$3=0,"n.b.",INDEX(SRC_ZPMW03!$A$1:$ZZ$501,$A88,X$3)))</f>
        <v/>
      </c>
      <c r="Y88" s="124" t="str">
        <f>IF($B88="","",IF(Y$3=0,"n.b.",INDEX(SRC_ZPMW03!$A$1:$ZZ$501,$A88,Y$3)))</f>
        <v/>
      </c>
      <c r="Z88" s="124" t="str">
        <f>IF($B88="","",IF(Z$3=0,"n.b.",INDEX(SRC_ZPMW03!$A$1:$ZZ$501,$A88,Z$3)))</f>
        <v/>
      </c>
      <c r="AA88" s="124" t="str">
        <f>IF($B88="","",IF(AA$3=0,"n.b.",INDEX(SRC_ZPMW03!$A$1:$ZZ$501,$A88,AA$3)))</f>
        <v/>
      </c>
      <c r="AB88" s="124" t="str">
        <f>IF($B88="","",IF(AB$3=0,"n.b.",INDEX(SRC_ZPMW03!$A$1:$ZZ$501,$A88,AB$3)))</f>
        <v/>
      </c>
      <c r="AC88" s="124" t="str">
        <f>IF($B88="","",IF(AC$3=0,"n.b.",INDEX(SRC_ZPMW03!$A$1:$ZZ$501,$A88,AC$3)))</f>
        <v/>
      </c>
      <c r="AD88" s="124" t="str">
        <f>IF($B88="","",IF(AD$3=0,"n.b.",INDEX(SRC_ZPMW03!$A$1:$ZZ$501,$A88,AD$3)))</f>
        <v/>
      </c>
      <c r="AE88" s="124" t="str">
        <f>IF($B88="","",IF(AE$3=0,"n.b.",INDEX(SRC_ZPMW03!$A$1:$ZZ$501,$A88,AE$3)))</f>
        <v/>
      </c>
      <c r="AF88" s="124" t="str">
        <f>IF($B88="","",IF(AF$3=0,"n.b.",INDEX(SRC_ZPMW03!$A$1:$ZZ$501,$A88,AF$3)))</f>
        <v/>
      </c>
      <c r="AG88" s="124" t="str">
        <f>IF($B88="","",IF(AG$3=0,"n.b.",INDEX(SRC_ZPMW03!$A$1:$ZZ$501,$A88,AG$3)))</f>
        <v/>
      </c>
      <c r="AH88" s="124" t="str">
        <f>IF($B88="","",IF(AH$3=0,"n.b.",INDEX(SRC_ZPMW03!$A$1:$ZZ$501,$A88,AH$3)))</f>
        <v/>
      </c>
      <c r="AI88" s="124" t="str">
        <f>IF($B88="","",IF(AI$3=0,"n.b.",INDEX(SRC_ZPMW03!$A$1:$ZZ$501,$A88,AI$3)))</f>
        <v/>
      </c>
      <c r="AJ88" s="124" t="str">
        <f>IF($B88="","",IF(AJ$3=0,"n.b.",INDEX(SRC_ZPMW03!$A$1:$ZZ$501,$A88,AJ$3)))</f>
        <v/>
      </c>
      <c r="AK88" s="124" t="str">
        <f>IF($B88="","",IF(AK$3=0,"n.b.",INDEX(SRC_ZPMW03!$A$1:$ZZ$501,$A88,AK$3)))</f>
        <v/>
      </c>
      <c r="AL88" s="124" t="str">
        <f>IF($B88="","",IF(AL$3=0,"n.b.",INDEX(SRC_ZPMW03!$A$1:$ZZ$501,$A88,AL$3)))</f>
        <v/>
      </c>
      <c r="AM88" s="124" t="str">
        <f>IF($B88="","",IF(AM$3=0,"n.b.",INDEX(SRC_ZPMW03!$A$1:$ZZ$501,$A88,AM$3)))</f>
        <v/>
      </c>
      <c r="AN88" s="124" t="str">
        <f>IF($B88="","",IF(AN$3=0,"n.b.",INDEX(SRC_ZPMW03!$A$1:$ZZ$501,$A88,AN$3)))</f>
        <v/>
      </c>
      <c r="AO88" s="124" t="str">
        <f>IF($B88="","",IF(AO$3=0,"n.b.",INDEX(SRC_ZPMW03!$A$1:$ZZ$501,$A88,AO$3)))</f>
        <v/>
      </c>
      <c r="AP88" s="124" t="str">
        <f>IF($B88="","",IF(AP$3=0,"n.b.",INDEX(SRC_ZPMW03!$A$1:$ZZ$501,$A88,AP$3)))</f>
        <v/>
      </c>
      <c r="AQ88" s="124" t="str">
        <f>IF($B88="","",IF(AQ$3=0,"n.b.",INDEX(SRC_ZPMW03!$A$1:$ZZ$501,$A88,AQ$3)))</f>
        <v/>
      </c>
      <c r="AR88" s="124" t="str">
        <f>IF($B88="","",IF(AR$3=0,"n.b.",INDEX(SRC_ZPMW03!$A$1:$ZZ$501,$A88,AR$3)))</f>
        <v/>
      </c>
      <c r="AS88" s="124" t="str">
        <f>IF($B88="","",IF(AS$3=0,"n.b.",INDEX(SRC_ZPMW03!$A$1:$ZZ$501,$A88,AS$3)))</f>
        <v/>
      </c>
      <c r="AT88" s="124" t="str">
        <f>IF($B88="","",IF(AT$3=0,"n.b.",INDEX(SRC_ZPMW03!$A$1:$ZZ$501,$A88,AT$3)))</f>
        <v/>
      </c>
      <c r="AU88" s="124" t="str">
        <f>IF($B88="","",IF(AU$3=0,"n.b.",INDEX(SRC_ZPMW03!$A$1:$ZZ$501,$A88,AU$3)))</f>
        <v/>
      </c>
      <c r="AV88" s="124" t="str">
        <f>IF($B88="","",IF(AV$3=0,"n.b.",INDEX(SRC_ZPMW03!$A$1:$ZZ$501,$A88,AV$3)))</f>
        <v/>
      </c>
      <c r="AW88" s="124" t="str">
        <f>IF($B88="","",IF(AW$3=0,"n.b.",INDEX(SRC_ZPMW03!$A$1:$ZZ$501,$A88,AW$3)))</f>
        <v/>
      </c>
      <c r="AX88" s="124" t="str">
        <f>IF($B88="","",IF(AX$3=0,"n.b.",INDEX(SRC_ZPMW03!$A$1:$ZZ$501,$A88,AX$3)))</f>
        <v/>
      </c>
      <c r="AY88" s="124" t="str">
        <f>IF($B88="","",IF(AY$3=0,"n.b.",INDEX(SRC_ZPMW03!$A$1:$ZZ$501,$A88,AY$3)))</f>
        <v/>
      </c>
      <c r="AZ88" s="124" t="str">
        <f>IF($B88="","",IF(AZ$3=0,"n.b.",INDEX(SRC_ZPMW03!$A$1:$ZZ$501,$A88,AZ$3)))</f>
        <v/>
      </c>
      <c r="BA88" s="124" t="str">
        <f>IF($B88="","",IF(BA$3=0,"n.b.",INDEX(SRC_ZPMW03!$A$1:$ZZ$501,$A88,BA$3)))</f>
        <v/>
      </c>
      <c r="BB88" s="124" t="str">
        <f>IF($B88="","",IF(BB$3=0,"n.b.",INDEX(SRC_ZPMW03!$A$1:$ZZ$501,$A88,BB$3)))</f>
        <v/>
      </c>
      <c r="BC88" s="124" t="str">
        <f>IF($B88="","",IF(BC$3=0,"n.b.",INDEX(SRC_ZPMW03!$A$1:$ZZ$501,$A88,BC$3)))</f>
        <v/>
      </c>
      <c r="BD88" s="124" t="str">
        <f>IF($B88="","",IF(BD$3=0,"n.b.",INDEX(SRC_ZPMW03!$A$1:$ZZ$501,$A88,BD$3)))</f>
        <v/>
      </c>
      <c r="BE88" s="124" t="str">
        <f>IF($B88="","",IF(BE$3=0,"n.b.",INDEX(SRC_ZPMW03!$A$1:$ZZ$501,$A88,BE$3)))</f>
        <v/>
      </c>
      <c r="BF88" s="124" t="str">
        <f>IF($B88="","",IF(BF$3=0,"n.b.",INDEX(SRC_ZPMW03!$A$1:$ZZ$501,$A88,BF$3)))</f>
        <v/>
      </c>
      <c r="BG88" t="str">
        <f>IF($B88="","",IF(BG$3=0,"n.b.",INDEX(SRC_ZPMW03!$A$1:$ZZ$501,$A88,BG$3)))</f>
        <v/>
      </c>
      <c r="BH88" t="str">
        <f>IF($B88="","",IF(BH$3=0,"n.b.",INDEX(SRC_ZPMW03!$A$1:$ZZ$501,$A88,BH$3)))</f>
        <v/>
      </c>
      <c r="BI88" t="str">
        <f>IF($B88="","",IF(BI$3=0,"n.b.",INDEX(SRC_ZPMW03!$A$1:$ZZ$501,$A88,BI$3)))</f>
        <v/>
      </c>
      <c r="BJ88" t="str">
        <f>IF($B88="","",IF(BJ$3=0,"n.b.",INDEX(SRC_ZPMW03!$A$1:$ZZ$501,$A88,BJ$3)))</f>
        <v/>
      </c>
      <c r="BK88" s="124" t="str">
        <f>IF($B88="","",IFERROR(-O88,"n.b."))</f>
        <v/>
      </c>
      <c r="BL88" s="124" t="str">
        <f>IF($B88="","",IFERROR(-Q88,"n.b."))</f>
        <v/>
      </c>
      <c r="BM88" s="124" t="str">
        <f>IF($B88="","",IFERROR(-AB88,"n.b."))</f>
        <v/>
      </c>
      <c r="BN88" s="124" t="str">
        <f>IF($B88="","",IFERROR(-AD88,"n.b."))</f>
        <v/>
      </c>
      <c r="BO88" s="124" t="str">
        <f>IF($B88="","",IFERROR(BK88+BM88,"n.b."))</f>
        <v/>
      </c>
      <c r="BP88" s="124" t="str">
        <f>IF($B88="","",IFERROR(BL88+BN88,"n.b."))</f>
        <v/>
      </c>
      <c r="BQ88" s="124" t="str">
        <f>IF($B88="","",IFERROR(-AM88,"n.b."))</f>
        <v/>
      </c>
      <c r="BR88" s="124" t="str">
        <f>IF($B88="","",IFERROR(-AO88,"n.b."))</f>
        <v/>
      </c>
      <c r="BS88" s="124" t="str">
        <f>IF($B88="","",IFERROR(-Z88,"n.b."))</f>
        <v/>
      </c>
      <c r="BT88" s="124" t="str">
        <f>IF($B88="","",IFERROR(-AA88,"n.b."))</f>
        <v/>
      </c>
      <c r="BU88" s="124" t="str">
        <f>IF($B88="","",IFERROR(-AE88,"n.b."))</f>
        <v/>
      </c>
      <c r="BV88" s="124" t="str">
        <f>IF($B88="","",IFERROR(-AF88,"n.b."))</f>
        <v/>
      </c>
      <c r="BW88" s="124" t="str">
        <f>IF($B88="","",IFERROR(-AG88,"n.b."))</f>
        <v/>
      </c>
      <c r="BX88" s="124" t="str">
        <f>IF($B88="","",IFERROR(-AH88,"n.b."))</f>
        <v/>
      </c>
      <c r="BY88" s="124" t="str">
        <f>IF($B88="","",IFERROR(-AI88,"n.b."))</f>
        <v/>
      </c>
      <c r="BZ88" s="124" t="str">
        <f>IF($B88="","",IFERROR(-AJ88,"n.b."))</f>
        <v/>
      </c>
      <c r="CA88" s="124" t="str">
        <f>IF($B88="","",IFERROR(-AK88,"n.b."))</f>
        <v/>
      </c>
      <c r="CB88" s="124" t="str">
        <f>IF($B88="","",IFERROR(-AL88,"n.b."))</f>
        <v/>
      </c>
      <c r="CC88" s="124" t="str">
        <f>IF($B88="","",IFERROR(-AP88,"n.b."))</f>
        <v/>
      </c>
      <c r="CD88" s="124" t="str">
        <f>IF($B88="","",IFERROR(-AQ88,"n.b."))</f>
        <v/>
      </c>
      <c r="CE88" s="124" t="str">
        <f>IF($B88="","",IFERROR(-AR88,"n.b."))</f>
        <v/>
      </c>
      <c r="CF88" s="124" t="str">
        <f>IF($B88="","",IFERROR(-AS88,"n.b."))</f>
        <v/>
      </c>
      <c r="CG88" s="124" t="str">
        <f>IF($B88="","",IFERROR(-AT88,"n.b."))</f>
        <v/>
      </c>
      <c r="CH88" s="124" t="str">
        <f>IF($B88="","",IFERROR(-AU88,"n.b."))</f>
        <v/>
      </c>
      <c r="CI88" s="124" t="str">
        <f>IF($B88="","",IFERROR(-AV88,"n.b."))</f>
        <v/>
      </c>
      <c r="CJ88" s="124" t="str">
        <f>IF($B88="","",IFERROR(-AW88,"n.b."))</f>
        <v/>
      </c>
      <c r="CK88" s="124" t="str">
        <f>IF($B88="","",IFERROR(-AX88,"n.b."))</f>
        <v/>
      </c>
      <c r="CL88" s="124" t="str">
        <f>IF($B88="","",IFERROR(-AY88,"n.b."))</f>
        <v/>
      </c>
      <c r="CM88" s="124" t="str">
        <f>IF($B88="","",IFERROR(-AZ88,"n.b."))</f>
        <v/>
      </c>
      <c r="CN88" s="124" t="str">
        <f>IF($B88="","",IFERROR(-BA88,"n.b."))</f>
        <v/>
      </c>
      <c r="CO88" s="124" t="str">
        <f>IF($B88="","",IFERROR(-BB88,"n.b."))</f>
        <v/>
      </c>
      <c r="CP88" s="124" t="str">
        <f>IF($B88="","",IFERROR(-BC88,"n.b."))</f>
        <v/>
      </c>
      <c r="CQ88" s="124" t="str">
        <f>IF($B88="","",IFERROR(-BD88,"n.b."))</f>
        <v/>
      </c>
      <c r="CR88" s="124" t="str">
        <f>IF($B88="","",IFERROR(-BE88,"n.b."))</f>
        <v/>
      </c>
      <c r="CS88" s="124" t="str">
        <f>IF($B88="","",IFERROR(IF(OR(ABS(T88+V88+X88+Z88-AB88)&gt;P_Tol,ABS(U88+W88+Y88+AA88-AD88)&gt;P_Tol,ABS(AE88+AG88+AI88+AK88-AM88)&gt;P_Tol,ABS(AF88+AH88+AJ88+AL88-AO88)&gt;P_Tol),1,0),1))</f>
        <v/>
      </c>
      <c r="CT88" s="124" t="str">
        <f>IF($B88="","",IFERROR(IF(OR(ABS(AB88+AC88-AD88)&gt;P_Tol,ABS(AM88+AN88-AO88)&gt;P_Tol,ABS(O88+P88-Q88)&gt;P_Tol),1,0),1))</f>
        <v/>
      </c>
      <c r="CU88" s="124" t="str">
        <f>IF($B88="","",IFERROR(IF(ABS(R88-(AB88+AM88+AP88+AR88+AT88+AV88+AX88+AZ88+BB88+BD88))&gt;P_Tol,1,0),1))</f>
        <v/>
      </c>
      <c r="CV88" s="124" t="str">
        <f>IF($B88="","",IFERROR(IF(ABS(M88-(N88+O88+R88))&gt;P_Tol,1,0),1))</f>
        <v/>
      </c>
      <c r="CW88" s="124" t="str">
        <f>IF($B88="","",IF(COUNTIF(Mapping!$A$5:$A$104,B88)&gt;0,1,0))</f>
        <v/>
      </c>
      <c r="CX88" s="124" t="str">
        <f>IF($B88="","",COUNTIF($B$6:$B$505,B88))</f>
        <v/>
      </c>
      <c r="CY88" s="124" t="str">
        <f>IF($B88="","",COUNTIF(STG_Woningetalage!$B$6:$B$505,B88))</f>
        <v/>
      </c>
      <c r="CZ88" s="124" t="str">
        <f>IF($B88="","",IF(CW88=0,COUNTIF($CW$6:CW88,0),""))</f>
        <v/>
      </c>
    </row>
    <row r="89">
      <c r="A89" s="15" t="n">
        <v>85</v>
      </c>
      <c r="B89" t="str">
        <f>IF(B$3=0,"",IF(INDEX(SRC_ZPMW03!$A$1:$ZZ$501,$A89,B$3)&amp;""="","",INDEX(SRC_ZPMW03!$A$1:$ZZ$501,$A89,B$3)&amp;""))</f>
        <v/>
      </c>
      <c r="C89" t="str">
        <f>IF($B89="","",IF(C$3=0,"n.b.",INDEX(SRC_ZPMW03!$A$1:$ZZ$501,$A89,C$3)))</f>
        <v/>
      </c>
      <c r="D89" t="str">
        <f>IF($B89="","",IF(D$3=0,"n.b.",INDEX(SRC_ZPMW03!$A$1:$ZZ$501,$A89,D$3)))</f>
        <v/>
      </c>
      <c r="E89" t="str">
        <f>IF($B89="","",IF(E$3=0,"n.b.",INDEX(SRC_ZPMW03!$A$1:$ZZ$501,$A89,E$3)))</f>
        <v/>
      </c>
      <c r="F89" t="str">
        <f>IF($B89="","",IF(F$3=0,"n.b.",INDEX(SRC_ZPMW03!$A$1:$ZZ$501,$A89,F$3)))</f>
        <v/>
      </c>
      <c r="G89" t="str">
        <f>IF($B89="","",IF(G$3=0,"n.b.",INDEX(SRC_ZPMW03!$A$1:$ZZ$501,$A89,G$3)))</f>
        <v/>
      </c>
      <c r="H89" t="str">
        <f>IF($B89="","",IF(H$3=0,"n.b.",INDEX(SRC_ZPMW03!$A$1:$ZZ$501,$A89,H$3)))</f>
        <v/>
      </c>
      <c r="I89" t="str">
        <f>IF($B89="","",IF(I$3=0,"n.b.",INDEX(SRC_ZPMW03!$A$1:$ZZ$501,$A89,I$3)))</f>
        <v/>
      </c>
      <c r="J89" t="str">
        <f>IF($B89="","",IF(J$3=0,"n.b.",INDEX(SRC_ZPMW03!$A$1:$ZZ$501,$A89,J$3)))</f>
        <v/>
      </c>
      <c r="K89" t="str">
        <f>IF($B89="","",IF(K$3=0,"n.b.",INDEX(SRC_ZPMW03!$A$1:$ZZ$501,$A89,K$3)))</f>
        <v/>
      </c>
      <c r="L89" s="124" t="str">
        <f>IF($B89="","",IF(L$3=0,"n.b.",INDEX(SRC_ZPMW03!$A$1:$ZZ$501,$A89,L$3)))</f>
        <v/>
      </c>
      <c r="M89" s="124" t="str">
        <f>IF($B89="","",IF(M$3=0,"n.b.",INDEX(SRC_ZPMW03!$A$1:$ZZ$501,$A89,M$3)))</f>
        <v/>
      </c>
      <c r="N89" s="124" t="str">
        <f>IF($B89="","",IF(N$3=0,"n.b.",INDEX(SRC_ZPMW03!$A$1:$ZZ$501,$A89,N$3)))</f>
        <v/>
      </c>
      <c r="O89" s="124" t="str">
        <f>IF($B89="","",IF(O$3=0,"n.b.",INDEX(SRC_ZPMW03!$A$1:$ZZ$501,$A89,O$3)))</f>
        <v/>
      </c>
      <c r="P89" s="124" t="str">
        <f>IF($B89="","",IF(P$3=0,"n.b.",INDEX(SRC_ZPMW03!$A$1:$ZZ$501,$A89,P$3)))</f>
        <v/>
      </c>
      <c r="Q89" s="124" t="str">
        <f>IF($B89="","",IF(Q$3=0,"n.b.",INDEX(SRC_ZPMW03!$A$1:$ZZ$501,$A89,Q$3)))</f>
        <v/>
      </c>
      <c r="R89" s="124" t="str">
        <f>IF($B89="","",IF(R$3=0,"n.b.",INDEX(SRC_ZPMW03!$A$1:$ZZ$501,$A89,R$3)))</f>
        <v/>
      </c>
      <c r="S89" s="124" t="str">
        <f>IF($B89="","",IF(S$3=0,"n.b.",INDEX(SRC_ZPMW03!$A$1:$ZZ$501,$A89,S$3)))</f>
        <v/>
      </c>
      <c r="T89" s="124" t="str">
        <f>IF($B89="","",IF(T$3=0,"n.b.",INDEX(SRC_ZPMW03!$A$1:$ZZ$501,$A89,T$3)))</f>
        <v/>
      </c>
      <c r="U89" s="124" t="str">
        <f>IF($B89="","",IF(U$3=0,"n.b.",INDEX(SRC_ZPMW03!$A$1:$ZZ$501,$A89,U$3)))</f>
        <v/>
      </c>
      <c r="V89" s="124" t="str">
        <f>IF($B89="","",IF(V$3=0,"n.b.",INDEX(SRC_ZPMW03!$A$1:$ZZ$501,$A89,V$3)))</f>
        <v/>
      </c>
      <c r="W89" s="124" t="str">
        <f>IF($B89="","",IF(W$3=0,"n.b.",INDEX(SRC_ZPMW03!$A$1:$ZZ$501,$A89,W$3)))</f>
        <v/>
      </c>
      <c r="X89" s="124" t="str">
        <f>IF($B89="","",IF(X$3=0,"n.b.",INDEX(SRC_ZPMW03!$A$1:$ZZ$501,$A89,X$3)))</f>
        <v/>
      </c>
      <c r="Y89" s="124" t="str">
        <f>IF($B89="","",IF(Y$3=0,"n.b.",INDEX(SRC_ZPMW03!$A$1:$ZZ$501,$A89,Y$3)))</f>
        <v/>
      </c>
      <c r="Z89" s="124" t="str">
        <f>IF($B89="","",IF(Z$3=0,"n.b.",INDEX(SRC_ZPMW03!$A$1:$ZZ$501,$A89,Z$3)))</f>
        <v/>
      </c>
      <c r="AA89" s="124" t="str">
        <f>IF($B89="","",IF(AA$3=0,"n.b.",INDEX(SRC_ZPMW03!$A$1:$ZZ$501,$A89,AA$3)))</f>
        <v/>
      </c>
      <c r="AB89" s="124" t="str">
        <f>IF($B89="","",IF(AB$3=0,"n.b.",INDEX(SRC_ZPMW03!$A$1:$ZZ$501,$A89,AB$3)))</f>
        <v/>
      </c>
      <c r="AC89" s="124" t="str">
        <f>IF($B89="","",IF(AC$3=0,"n.b.",INDEX(SRC_ZPMW03!$A$1:$ZZ$501,$A89,AC$3)))</f>
        <v/>
      </c>
      <c r="AD89" s="124" t="str">
        <f>IF($B89="","",IF(AD$3=0,"n.b.",INDEX(SRC_ZPMW03!$A$1:$ZZ$501,$A89,AD$3)))</f>
        <v/>
      </c>
      <c r="AE89" s="124" t="str">
        <f>IF($B89="","",IF(AE$3=0,"n.b.",INDEX(SRC_ZPMW03!$A$1:$ZZ$501,$A89,AE$3)))</f>
        <v/>
      </c>
      <c r="AF89" s="124" t="str">
        <f>IF($B89="","",IF(AF$3=0,"n.b.",INDEX(SRC_ZPMW03!$A$1:$ZZ$501,$A89,AF$3)))</f>
        <v/>
      </c>
      <c r="AG89" s="124" t="str">
        <f>IF($B89="","",IF(AG$3=0,"n.b.",INDEX(SRC_ZPMW03!$A$1:$ZZ$501,$A89,AG$3)))</f>
        <v/>
      </c>
      <c r="AH89" s="124" t="str">
        <f>IF($B89="","",IF(AH$3=0,"n.b.",INDEX(SRC_ZPMW03!$A$1:$ZZ$501,$A89,AH$3)))</f>
        <v/>
      </c>
      <c r="AI89" s="124" t="str">
        <f>IF($B89="","",IF(AI$3=0,"n.b.",INDEX(SRC_ZPMW03!$A$1:$ZZ$501,$A89,AI$3)))</f>
        <v/>
      </c>
      <c r="AJ89" s="124" t="str">
        <f>IF($B89="","",IF(AJ$3=0,"n.b.",INDEX(SRC_ZPMW03!$A$1:$ZZ$501,$A89,AJ$3)))</f>
        <v/>
      </c>
      <c r="AK89" s="124" t="str">
        <f>IF($B89="","",IF(AK$3=0,"n.b.",INDEX(SRC_ZPMW03!$A$1:$ZZ$501,$A89,AK$3)))</f>
        <v/>
      </c>
      <c r="AL89" s="124" t="str">
        <f>IF($B89="","",IF(AL$3=0,"n.b.",INDEX(SRC_ZPMW03!$A$1:$ZZ$501,$A89,AL$3)))</f>
        <v/>
      </c>
      <c r="AM89" s="124" t="str">
        <f>IF($B89="","",IF(AM$3=0,"n.b.",INDEX(SRC_ZPMW03!$A$1:$ZZ$501,$A89,AM$3)))</f>
        <v/>
      </c>
      <c r="AN89" s="124" t="str">
        <f>IF($B89="","",IF(AN$3=0,"n.b.",INDEX(SRC_ZPMW03!$A$1:$ZZ$501,$A89,AN$3)))</f>
        <v/>
      </c>
      <c r="AO89" s="124" t="str">
        <f>IF($B89="","",IF(AO$3=0,"n.b.",INDEX(SRC_ZPMW03!$A$1:$ZZ$501,$A89,AO$3)))</f>
        <v/>
      </c>
      <c r="AP89" s="124" t="str">
        <f>IF($B89="","",IF(AP$3=0,"n.b.",INDEX(SRC_ZPMW03!$A$1:$ZZ$501,$A89,AP$3)))</f>
        <v/>
      </c>
      <c r="AQ89" s="124" t="str">
        <f>IF($B89="","",IF(AQ$3=0,"n.b.",INDEX(SRC_ZPMW03!$A$1:$ZZ$501,$A89,AQ$3)))</f>
        <v/>
      </c>
      <c r="AR89" s="124" t="str">
        <f>IF($B89="","",IF(AR$3=0,"n.b.",INDEX(SRC_ZPMW03!$A$1:$ZZ$501,$A89,AR$3)))</f>
        <v/>
      </c>
      <c r="AS89" s="124" t="str">
        <f>IF($B89="","",IF(AS$3=0,"n.b.",INDEX(SRC_ZPMW03!$A$1:$ZZ$501,$A89,AS$3)))</f>
        <v/>
      </c>
      <c r="AT89" s="124" t="str">
        <f>IF($B89="","",IF(AT$3=0,"n.b.",INDEX(SRC_ZPMW03!$A$1:$ZZ$501,$A89,AT$3)))</f>
        <v/>
      </c>
      <c r="AU89" s="124" t="str">
        <f>IF($B89="","",IF(AU$3=0,"n.b.",INDEX(SRC_ZPMW03!$A$1:$ZZ$501,$A89,AU$3)))</f>
        <v/>
      </c>
      <c r="AV89" s="124" t="str">
        <f>IF($B89="","",IF(AV$3=0,"n.b.",INDEX(SRC_ZPMW03!$A$1:$ZZ$501,$A89,AV$3)))</f>
        <v/>
      </c>
      <c r="AW89" s="124" t="str">
        <f>IF($B89="","",IF(AW$3=0,"n.b.",INDEX(SRC_ZPMW03!$A$1:$ZZ$501,$A89,AW$3)))</f>
        <v/>
      </c>
      <c r="AX89" s="124" t="str">
        <f>IF($B89="","",IF(AX$3=0,"n.b.",INDEX(SRC_ZPMW03!$A$1:$ZZ$501,$A89,AX$3)))</f>
        <v/>
      </c>
      <c r="AY89" s="124" t="str">
        <f>IF($B89="","",IF(AY$3=0,"n.b.",INDEX(SRC_ZPMW03!$A$1:$ZZ$501,$A89,AY$3)))</f>
        <v/>
      </c>
      <c r="AZ89" s="124" t="str">
        <f>IF($B89="","",IF(AZ$3=0,"n.b.",INDEX(SRC_ZPMW03!$A$1:$ZZ$501,$A89,AZ$3)))</f>
        <v/>
      </c>
      <c r="BA89" s="124" t="str">
        <f>IF($B89="","",IF(BA$3=0,"n.b.",INDEX(SRC_ZPMW03!$A$1:$ZZ$501,$A89,BA$3)))</f>
        <v/>
      </c>
      <c r="BB89" s="124" t="str">
        <f>IF($B89="","",IF(BB$3=0,"n.b.",INDEX(SRC_ZPMW03!$A$1:$ZZ$501,$A89,BB$3)))</f>
        <v/>
      </c>
      <c r="BC89" s="124" t="str">
        <f>IF($B89="","",IF(BC$3=0,"n.b.",INDEX(SRC_ZPMW03!$A$1:$ZZ$501,$A89,BC$3)))</f>
        <v/>
      </c>
      <c r="BD89" s="124" t="str">
        <f>IF($B89="","",IF(BD$3=0,"n.b.",INDEX(SRC_ZPMW03!$A$1:$ZZ$501,$A89,BD$3)))</f>
        <v/>
      </c>
      <c r="BE89" s="124" t="str">
        <f>IF($B89="","",IF(BE$3=0,"n.b.",INDEX(SRC_ZPMW03!$A$1:$ZZ$501,$A89,BE$3)))</f>
        <v/>
      </c>
      <c r="BF89" s="124" t="str">
        <f>IF($B89="","",IF(BF$3=0,"n.b.",INDEX(SRC_ZPMW03!$A$1:$ZZ$501,$A89,BF$3)))</f>
        <v/>
      </c>
      <c r="BG89" t="str">
        <f>IF($B89="","",IF(BG$3=0,"n.b.",INDEX(SRC_ZPMW03!$A$1:$ZZ$501,$A89,BG$3)))</f>
        <v/>
      </c>
      <c r="BH89" t="str">
        <f>IF($B89="","",IF(BH$3=0,"n.b.",INDEX(SRC_ZPMW03!$A$1:$ZZ$501,$A89,BH$3)))</f>
        <v/>
      </c>
      <c r="BI89" t="str">
        <f>IF($B89="","",IF(BI$3=0,"n.b.",INDEX(SRC_ZPMW03!$A$1:$ZZ$501,$A89,BI$3)))</f>
        <v/>
      </c>
      <c r="BJ89" t="str">
        <f>IF($B89="","",IF(BJ$3=0,"n.b.",INDEX(SRC_ZPMW03!$A$1:$ZZ$501,$A89,BJ$3)))</f>
        <v/>
      </c>
      <c r="BK89" s="124" t="str">
        <f>IF($B89="","",IFERROR(-O89,"n.b."))</f>
        <v/>
      </c>
      <c r="BL89" s="124" t="str">
        <f>IF($B89="","",IFERROR(-Q89,"n.b."))</f>
        <v/>
      </c>
      <c r="BM89" s="124" t="str">
        <f>IF($B89="","",IFERROR(-AB89,"n.b."))</f>
        <v/>
      </c>
      <c r="BN89" s="124" t="str">
        <f>IF($B89="","",IFERROR(-AD89,"n.b."))</f>
        <v/>
      </c>
      <c r="BO89" s="124" t="str">
        <f>IF($B89="","",IFERROR(BK89+BM89,"n.b."))</f>
        <v/>
      </c>
      <c r="BP89" s="124" t="str">
        <f>IF($B89="","",IFERROR(BL89+BN89,"n.b."))</f>
        <v/>
      </c>
      <c r="BQ89" s="124" t="str">
        <f>IF($B89="","",IFERROR(-AM89,"n.b."))</f>
        <v/>
      </c>
      <c r="BR89" s="124" t="str">
        <f>IF($B89="","",IFERROR(-AO89,"n.b."))</f>
        <v/>
      </c>
      <c r="BS89" s="124" t="str">
        <f>IF($B89="","",IFERROR(-Z89,"n.b."))</f>
        <v/>
      </c>
      <c r="BT89" s="124" t="str">
        <f>IF($B89="","",IFERROR(-AA89,"n.b."))</f>
        <v/>
      </c>
      <c r="BU89" s="124" t="str">
        <f>IF($B89="","",IFERROR(-AE89,"n.b."))</f>
        <v/>
      </c>
      <c r="BV89" s="124" t="str">
        <f>IF($B89="","",IFERROR(-AF89,"n.b."))</f>
        <v/>
      </c>
      <c r="BW89" s="124" t="str">
        <f>IF($B89="","",IFERROR(-AG89,"n.b."))</f>
        <v/>
      </c>
      <c r="BX89" s="124" t="str">
        <f>IF($B89="","",IFERROR(-AH89,"n.b."))</f>
        <v/>
      </c>
      <c r="BY89" s="124" t="str">
        <f>IF($B89="","",IFERROR(-AI89,"n.b."))</f>
        <v/>
      </c>
      <c r="BZ89" s="124" t="str">
        <f>IF($B89="","",IFERROR(-AJ89,"n.b."))</f>
        <v/>
      </c>
      <c r="CA89" s="124" t="str">
        <f>IF($B89="","",IFERROR(-AK89,"n.b."))</f>
        <v/>
      </c>
      <c r="CB89" s="124" t="str">
        <f>IF($B89="","",IFERROR(-AL89,"n.b."))</f>
        <v/>
      </c>
      <c r="CC89" s="124" t="str">
        <f>IF($B89="","",IFERROR(-AP89,"n.b."))</f>
        <v/>
      </c>
      <c r="CD89" s="124" t="str">
        <f>IF($B89="","",IFERROR(-AQ89,"n.b."))</f>
        <v/>
      </c>
      <c r="CE89" s="124" t="str">
        <f>IF($B89="","",IFERROR(-AR89,"n.b."))</f>
        <v/>
      </c>
      <c r="CF89" s="124" t="str">
        <f>IF($B89="","",IFERROR(-AS89,"n.b."))</f>
        <v/>
      </c>
      <c r="CG89" s="124" t="str">
        <f>IF($B89="","",IFERROR(-AT89,"n.b."))</f>
        <v/>
      </c>
      <c r="CH89" s="124" t="str">
        <f>IF($B89="","",IFERROR(-AU89,"n.b."))</f>
        <v/>
      </c>
      <c r="CI89" s="124" t="str">
        <f>IF($B89="","",IFERROR(-AV89,"n.b."))</f>
        <v/>
      </c>
      <c r="CJ89" s="124" t="str">
        <f>IF($B89="","",IFERROR(-AW89,"n.b."))</f>
        <v/>
      </c>
      <c r="CK89" s="124" t="str">
        <f>IF($B89="","",IFERROR(-AX89,"n.b."))</f>
        <v/>
      </c>
      <c r="CL89" s="124" t="str">
        <f>IF($B89="","",IFERROR(-AY89,"n.b."))</f>
        <v/>
      </c>
      <c r="CM89" s="124" t="str">
        <f>IF($B89="","",IFERROR(-AZ89,"n.b."))</f>
        <v/>
      </c>
      <c r="CN89" s="124" t="str">
        <f>IF($B89="","",IFERROR(-BA89,"n.b."))</f>
        <v/>
      </c>
      <c r="CO89" s="124" t="str">
        <f>IF($B89="","",IFERROR(-BB89,"n.b."))</f>
        <v/>
      </c>
      <c r="CP89" s="124" t="str">
        <f>IF($B89="","",IFERROR(-BC89,"n.b."))</f>
        <v/>
      </c>
      <c r="CQ89" s="124" t="str">
        <f>IF($B89="","",IFERROR(-BD89,"n.b."))</f>
        <v/>
      </c>
      <c r="CR89" s="124" t="str">
        <f>IF($B89="","",IFERROR(-BE89,"n.b."))</f>
        <v/>
      </c>
      <c r="CS89" s="124" t="str">
        <f>IF($B89="","",IFERROR(IF(OR(ABS(T89+V89+X89+Z89-AB89)&gt;P_Tol,ABS(U89+W89+Y89+AA89-AD89)&gt;P_Tol,ABS(AE89+AG89+AI89+AK89-AM89)&gt;P_Tol,ABS(AF89+AH89+AJ89+AL89-AO89)&gt;P_Tol),1,0),1))</f>
        <v/>
      </c>
      <c r="CT89" s="124" t="str">
        <f>IF($B89="","",IFERROR(IF(OR(ABS(AB89+AC89-AD89)&gt;P_Tol,ABS(AM89+AN89-AO89)&gt;P_Tol,ABS(O89+P89-Q89)&gt;P_Tol),1,0),1))</f>
        <v/>
      </c>
      <c r="CU89" s="124" t="str">
        <f>IF($B89="","",IFERROR(IF(ABS(R89-(AB89+AM89+AP89+AR89+AT89+AV89+AX89+AZ89+BB89+BD89))&gt;P_Tol,1,0),1))</f>
        <v/>
      </c>
      <c r="CV89" s="124" t="str">
        <f>IF($B89="","",IFERROR(IF(ABS(M89-(N89+O89+R89))&gt;P_Tol,1,0),1))</f>
        <v/>
      </c>
      <c r="CW89" s="124" t="str">
        <f>IF($B89="","",IF(COUNTIF(Mapping!$A$5:$A$104,B89)&gt;0,1,0))</f>
        <v/>
      </c>
      <c r="CX89" s="124" t="str">
        <f>IF($B89="","",COUNTIF($B$6:$B$505,B89))</f>
        <v/>
      </c>
      <c r="CY89" s="124" t="str">
        <f>IF($B89="","",COUNTIF(STG_Woningetalage!$B$6:$B$505,B89))</f>
        <v/>
      </c>
      <c r="CZ89" s="124" t="str">
        <f>IF($B89="","",IF(CW89=0,COUNTIF($CW$6:CW89,0),""))</f>
        <v/>
      </c>
    </row>
    <row r="90">
      <c r="A90" s="15" t="n">
        <v>86</v>
      </c>
      <c r="B90" t="str">
        <f>IF(B$3=0,"",IF(INDEX(SRC_ZPMW03!$A$1:$ZZ$501,$A90,B$3)&amp;""="","",INDEX(SRC_ZPMW03!$A$1:$ZZ$501,$A90,B$3)&amp;""))</f>
        <v/>
      </c>
      <c r="C90" t="str">
        <f>IF($B90="","",IF(C$3=0,"n.b.",INDEX(SRC_ZPMW03!$A$1:$ZZ$501,$A90,C$3)))</f>
        <v/>
      </c>
      <c r="D90" t="str">
        <f>IF($B90="","",IF(D$3=0,"n.b.",INDEX(SRC_ZPMW03!$A$1:$ZZ$501,$A90,D$3)))</f>
        <v/>
      </c>
      <c r="E90" t="str">
        <f>IF($B90="","",IF(E$3=0,"n.b.",INDEX(SRC_ZPMW03!$A$1:$ZZ$501,$A90,E$3)))</f>
        <v/>
      </c>
      <c r="F90" t="str">
        <f>IF($B90="","",IF(F$3=0,"n.b.",INDEX(SRC_ZPMW03!$A$1:$ZZ$501,$A90,F$3)))</f>
        <v/>
      </c>
      <c r="G90" t="str">
        <f>IF($B90="","",IF(G$3=0,"n.b.",INDEX(SRC_ZPMW03!$A$1:$ZZ$501,$A90,G$3)))</f>
        <v/>
      </c>
      <c r="H90" t="str">
        <f>IF($B90="","",IF(H$3=0,"n.b.",INDEX(SRC_ZPMW03!$A$1:$ZZ$501,$A90,H$3)))</f>
        <v/>
      </c>
      <c r="I90" t="str">
        <f>IF($B90="","",IF(I$3=0,"n.b.",INDEX(SRC_ZPMW03!$A$1:$ZZ$501,$A90,I$3)))</f>
        <v/>
      </c>
      <c r="J90" t="str">
        <f>IF($B90="","",IF(J$3=0,"n.b.",INDEX(SRC_ZPMW03!$A$1:$ZZ$501,$A90,J$3)))</f>
        <v/>
      </c>
      <c r="K90" t="str">
        <f>IF($B90="","",IF(K$3=0,"n.b.",INDEX(SRC_ZPMW03!$A$1:$ZZ$501,$A90,K$3)))</f>
        <v/>
      </c>
      <c r="L90" s="124" t="str">
        <f>IF($B90="","",IF(L$3=0,"n.b.",INDEX(SRC_ZPMW03!$A$1:$ZZ$501,$A90,L$3)))</f>
        <v/>
      </c>
      <c r="M90" s="124" t="str">
        <f>IF($B90="","",IF(M$3=0,"n.b.",INDEX(SRC_ZPMW03!$A$1:$ZZ$501,$A90,M$3)))</f>
        <v/>
      </c>
      <c r="N90" s="124" t="str">
        <f>IF($B90="","",IF(N$3=0,"n.b.",INDEX(SRC_ZPMW03!$A$1:$ZZ$501,$A90,N$3)))</f>
        <v/>
      </c>
      <c r="O90" s="124" t="str">
        <f>IF($B90="","",IF(O$3=0,"n.b.",INDEX(SRC_ZPMW03!$A$1:$ZZ$501,$A90,O$3)))</f>
        <v/>
      </c>
      <c r="P90" s="124" t="str">
        <f>IF($B90="","",IF(P$3=0,"n.b.",INDEX(SRC_ZPMW03!$A$1:$ZZ$501,$A90,P$3)))</f>
        <v/>
      </c>
      <c r="Q90" s="124" t="str">
        <f>IF($B90="","",IF(Q$3=0,"n.b.",INDEX(SRC_ZPMW03!$A$1:$ZZ$501,$A90,Q$3)))</f>
        <v/>
      </c>
      <c r="R90" s="124" t="str">
        <f>IF($B90="","",IF(R$3=0,"n.b.",INDEX(SRC_ZPMW03!$A$1:$ZZ$501,$A90,R$3)))</f>
        <v/>
      </c>
      <c r="S90" s="124" t="str">
        <f>IF($B90="","",IF(S$3=0,"n.b.",INDEX(SRC_ZPMW03!$A$1:$ZZ$501,$A90,S$3)))</f>
        <v/>
      </c>
      <c r="T90" s="124" t="str">
        <f>IF($B90="","",IF(T$3=0,"n.b.",INDEX(SRC_ZPMW03!$A$1:$ZZ$501,$A90,T$3)))</f>
        <v/>
      </c>
      <c r="U90" s="124" t="str">
        <f>IF($B90="","",IF(U$3=0,"n.b.",INDEX(SRC_ZPMW03!$A$1:$ZZ$501,$A90,U$3)))</f>
        <v/>
      </c>
      <c r="V90" s="124" t="str">
        <f>IF($B90="","",IF(V$3=0,"n.b.",INDEX(SRC_ZPMW03!$A$1:$ZZ$501,$A90,V$3)))</f>
        <v/>
      </c>
      <c r="W90" s="124" t="str">
        <f>IF($B90="","",IF(W$3=0,"n.b.",INDEX(SRC_ZPMW03!$A$1:$ZZ$501,$A90,W$3)))</f>
        <v/>
      </c>
      <c r="X90" s="124" t="str">
        <f>IF($B90="","",IF(X$3=0,"n.b.",INDEX(SRC_ZPMW03!$A$1:$ZZ$501,$A90,X$3)))</f>
        <v/>
      </c>
      <c r="Y90" s="124" t="str">
        <f>IF($B90="","",IF(Y$3=0,"n.b.",INDEX(SRC_ZPMW03!$A$1:$ZZ$501,$A90,Y$3)))</f>
        <v/>
      </c>
      <c r="Z90" s="124" t="str">
        <f>IF($B90="","",IF(Z$3=0,"n.b.",INDEX(SRC_ZPMW03!$A$1:$ZZ$501,$A90,Z$3)))</f>
        <v/>
      </c>
      <c r="AA90" s="124" t="str">
        <f>IF($B90="","",IF(AA$3=0,"n.b.",INDEX(SRC_ZPMW03!$A$1:$ZZ$501,$A90,AA$3)))</f>
        <v/>
      </c>
      <c r="AB90" s="124" t="str">
        <f>IF($B90="","",IF(AB$3=0,"n.b.",INDEX(SRC_ZPMW03!$A$1:$ZZ$501,$A90,AB$3)))</f>
        <v/>
      </c>
      <c r="AC90" s="124" t="str">
        <f>IF($B90="","",IF(AC$3=0,"n.b.",INDEX(SRC_ZPMW03!$A$1:$ZZ$501,$A90,AC$3)))</f>
        <v/>
      </c>
      <c r="AD90" s="124" t="str">
        <f>IF($B90="","",IF(AD$3=0,"n.b.",INDEX(SRC_ZPMW03!$A$1:$ZZ$501,$A90,AD$3)))</f>
        <v/>
      </c>
      <c r="AE90" s="124" t="str">
        <f>IF($B90="","",IF(AE$3=0,"n.b.",INDEX(SRC_ZPMW03!$A$1:$ZZ$501,$A90,AE$3)))</f>
        <v/>
      </c>
      <c r="AF90" s="124" t="str">
        <f>IF($B90="","",IF(AF$3=0,"n.b.",INDEX(SRC_ZPMW03!$A$1:$ZZ$501,$A90,AF$3)))</f>
        <v/>
      </c>
      <c r="AG90" s="124" t="str">
        <f>IF($B90="","",IF(AG$3=0,"n.b.",INDEX(SRC_ZPMW03!$A$1:$ZZ$501,$A90,AG$3)))</f>
        <v/>
      </c>
      <c r="AH90" s="124" t="str">
        <f>IF($B90="","",IF(AH$3=0,"n.b.",INDEX(SRC_ZPMW03!$A$1:$ZZ$501,$A90,AH$3)))</f>
        <v/>
      </c>
      <c r="AI90" s="124" t="str">
        <f>IF($B90="","",IF(AI$3=0,"n.b.",INDEX(SRC_ZPMW03!$A$1:$ZZ$501,$A90,AI$3)))</f>
        <v/>
      </c>
      <c r="AJ90" s="124" t="str">
        <f>IF($B90="","",IF(AJ$3=0,"n.b.",INDEX(SRC_ZPMW03!$A$1:$ZZ$501,$A90,AJ$3)))</f>
        <v/>
      </c>
      <c r="AK90" s="124" t="str">
        <f>IF($B90="","",IF(AK$3=0,"n.b.",INDEX(SRC_ZPMW03!$A$1:$ZZ$501,$A90,AK$3)))</f>
        <v/>
      </c>
      <c r="AL90" s="124" t="str">
        <f>IF($B90="","",IF(AL$3=0,"n.b.",INDEX(SRC_ZPMW03!$A$1:$ZZ$501,$A90,AL$3)))</f>
        <v/>
      </c>
      <c r="AM90" s="124" t="str">
        <f>IF($B90="","",IF(AM$3=0,"n.b.",INDEX(SRC_ZPMW03!$A$1:$ZZ$501,$A90,AM$3)))</f>
        <v/>
      </c>
      <c r="AN90" s="124" t="str">
        <f>IF($B90="","",IF(AN$3=0,"n.b.",INDEX(SRC_ZPMW03!$A$1:$ZZ$501,$A90,AN$3)))</f>
        <v/>
      </c>
      <c r="AO90" s="124" t="str">
        <f>IF($B90="","",IF(AO$3=0,"n.b.",INDEX(SRC_ZPMW03!$A$1:$ZZ$501,$A90,AO$3)))</f>
        <v/>
      </c>
      <c r="AP90" s="124" t="str">
        <f>IF($B90="","",IF(AP$3=0,"n.b.",INDEX(SRC_ZPMW03!$A$1:$ZZ$501,$A90,AP$3)))</f>
        <v/>
      </c>
      <c r="AQ90" s="124" t="str">
        <f>IF($B90="","",IF(AQ$3=0,"n.b.",INDEX(SRC_ZPMW03!$A$1:$ZZ$501,$A90,AQ$3)))</f>
        <v/>
      </c>
      <c r="AR90" s="124" t="str">
        <f>IF($B90="","",IF(AR$3=0,"n.b.",INDEX(SRC_ZPMW03!$A$1:$ZZ$501,$A90,AR$3)))</f>
        <v/>
      </c>
      <c r="AS90" s="124" t="str">
        <f>IF($B90="","",IF(AS$3=0,"n.b.",INDEX(SRC_ZPMW03!$A$1:$ZZ$501,$A90,AS$3)))</f>
        <v/>
      </c>
      <c r="AT90" s="124" t="str">
        <f>IF($B90="","",IF(AT$3=0,"n.b.",INDEX(SRC_ZPMW03!$A$1:$ZZ$501,$A90,AT$3)))</f>
        <v/>
      </c>
      <c r="AU90" s="124" t="str">
        <f>IF($B90="","",IF(AU$3=0,"n.b.",INDEX(SRC_ZPMW03!$A$1:$ZZ$501,$A90,AU$3)))</f>
        <v/>
      </c>
      <c r="AV90" s="124" t="str">
        <f>IF($B90="","",IF(AV$3=0,"n.b.",INDEX(SRC_ZPMW03!$A$1:$ZZ$501,$A90,AV$3)))</f>
        <v/>
      </c>
      <c r="AW90" s="124" t="str">
        <f>IF($B90="","",IF(AW$3=0,"n.b.",INDEX(SRC_ZPMW03!$A$1:$ZZ$501,$A90,AW$3)))</f>
        <v/>
      </c>
      <c r="AX90" s="124" t="str">
        <f>IF($B90="","",IF(AX$3=0,"n.b.",INDEX(SRC_ZPMW03!$A$1:$ZZ$501,$A90,AX$3)))</f>
        <v/>
      </c>
      <c r="AY90" s="124" t="str">
        <f>IF($B90="","",IF(AY$3=0,"n.b.",INDEX(SRC_ZPMW03!$A$1:$ZZ$501,$A90,AY$3)))</f>
        <v/>
      </c>
      <c r="AZ90" s="124" t="str">
        <f>IF($B90="","",IF(AZ$3=0,"n.b.",INDEX(SRC_ZPMW03!$A$1:$ZZ$501,$A90,AZ$3)))</f>
        <v/>
      </c>
      <c r="BA90" s="124" t="str">
        <f>IF($B90="","",IF(BA$3=0,"n.b.",INDEX(SRC_ZPMW03!$A$1:$ZZ$501,$A90,BA$3)))</f>
        <v/>
      </c>
      <c r="BB90" s="124" t="str">
        <f>IF($B90="","",IF(BB$3=0,"n.b.",INDEX(SRC_ZPMW03!$A$1:$ZZ$501,$A90,BB$3)))</f>
        <v/>
      </c>
      <c r="BC90" s="124" t="str">
        <f>IF($B90="","",IF(BC$3=0,"n.b.",INDEX(SRC_ZPMW03!$A$1:$ZZ$501,$A90,BC$3)))</f>
        <v/>
      </c>
      <c r="BD90" s="124" t="str">
        <f>IF($B90="","",IF(BD$3=0,"n.b.",INDEX(SRC_ZPMW03!$A$1:$ZZ$501,$A90,BD$3)))</f>
        <v/>
      </c>
      <c r="BE90" s="124" t="str">
        <f>IF($B90="","",IF(BE$3=0,"n.b.",INDEX(SRC_ZPMW03!$A$1:$ZZ$501,$A90,BE$3)))</f>
        <v/>
      </c>
      <c r="BF90" s="124" t="str">
        <f>IF($B90="","",IF(BF$3=0,"n.b.",INDEX(SRC_ZPMW03!$A$1:$ZZ$501,$A90,BF$3)))</f>
        <v/>
      </c>
      <c r="BG90" t="str">
        <f>IF($B90="","",IF(BG$3=0,"n.b.",INDEX(SRC_ZPMW03!$A$1:$ZZ$501,$A90,BG$3)))</f>
        <v/>
      </c>
      <c r="BH90" t="str">
        <f>IF($B90="","",IF(BH$3=0,"n.b.",INDEX(SRC_ZPMW03!$A$1:$ZZ$501,$A90,BH$3)))</f>
        <v/>
      </c>
      <c r="BI90" t="str">
        <f>IF($B90="","",IF(BI$3=0,"n.b.",INDEX(SRC_ZPMW03!$A$1:$ZZ$501,$A90,BI$3)))</f>
        <v/>
      </c>
      <c r="BJ90" t="str">
        <f>IF($B90="","",IF(BJ$3=0,"n.b.",INDEX(SRC_ZPMW03!$A$1:$ZZ$501,$A90,BJ$3)))</f>
        <v/>
      </c>
      <c r="BK90" s="124" t="str">
        <f>IF($B90="","",IFERROR(-O90,"n.b."))</f>
        <v/>
      </c>
      <c r="BL90" s="124" t="str">
        <f>IF($B90="","",IFERROR(-Q90,"n.b."))</f>
        <v/>
      </c>
      <c r="BM90" s="124" t="str">
        <f>IF($B90="","",IFERROR(-AB90,"n.b."))</f>
        <v/>
      </c>
      <c r="BN90" s="124" t="str">
        <f>IF($B90="","",IFERROR(-AD90,"n.b."))</f>
        <v/>
      </c>
      <c r="BO90" s="124" t="str">
        <f>IF($B90="","",IFERROR(BK90+BM90,"n.b."))</f>
        <v/>
      </c>
      <c r="BP90" s="124" t="str">
        <f>IF($B90="","",IFERROR(BL90+BN90,"n.b."))</f>
        <v/>
      </c>
      <c r="BQ90" s="124" t="str">
        <f>IF($B90="","",IFERROR(-AM90,"n.b."))</f>
        <v/>
      </c>
      <c r="BR90" s="124" t="str">
        <f>IF($B90="","",IFERROR(-AO90,"n.b."))</f>
        <v/>
      </c>
      <c r="BS90" s="124" t="str">
        <f>IF($B90="","",IFERROR(-Z90,"n.b."))</f>
        <v/>
      </c>
      <c r="BT90" s="124" t="str">
        <f>IF($B90="","",IFERROR(-AA90,"n.b."))</f>
        <v/>
      </c>
      <c r="BU90" s="124" t="str">
        <f>IF($B90="","",IFERROR(-AE90,"n.b."))</f>
        <v/>
      </c>
      <c r="BV90" s="124" t="str">
        <f>IF($B90="","",IFERROR(-AF90,"n.b."))</f>
        <v/>
      </c>
      <c r="BW90" s="124" t="str">
        <f>IF($B90="","",IFERROR(-AG90,"n.b."))</f>
        <v/>
      </c>
      <c r="BX90" s="124" t="str">
        <f>IF($B90="","",IFERROR(-AH90,"n.b."))</f>
        <v/>
      </c>
      <c r="BY90" s="124" t="str">
        <f>IF($B90="","",IFERROR(-AI90,"n.b."))</f>
        <v/>
      </c>
      <c r="BZ90" s="124" t="str">
        <f>IF($B90="","",IFERROR(-AJ90,"n.b."))</f>
        <v/>
      </c>
      <c r="CA90" s="124" t="str">
        <f>IF($B90="","",IFERROR(-AK90,"n.b."))</f>
        <v/>
      </c>
      <c r="CB90" s="124" t="str">
        <f>IF($B90="","",IFERROR(-AL90,"n.b."))</f>
        <v/>
      </c>
      <c r="CC90" s="124" t="str">
        <f>IF($B90="","",IFERROR(-AP90,"n.b."))</f>
        <v/>
      </c>
      <c r="CD90" s="124" t="str">
        <f>IF($B90="","",IFERROR(-AQ90,"n.b."))</f>
        <v/>
      </c>
      <c r="CE90" s="124" t="str">
        <f>IF($B90="","",IFERROR(-AR90,"n.b."))</f>
        <v/>
      </c>
      <c r="CF90" s="124" t="str">
        <f>IF($B90="","",IFERROR(-AS90,"n.b."))</f>
        <v/>
      </c>
      <c r="CG90" s="124" t="str">
        <f>IF($B90="","",IFERROR(-AT90,"n.b."))</f>
        <v/>
      </c>
      <c r="CH90" s="124" t="str">
        <f>IF($B90="","",IFERROR(-AU90,"n.b."))</f>
        <v/>
      </c>
      <c r="CI90" s="124" t="str">
        <f>IF($B90="","",IFERROR(-AV90,"n.b."))</f>
        <v/>
      </c>
      <c r="CJ90" s="124" t="str">
        <f>IF($B90="","",IFERROR(-AW90,"n.b."))</f>
        <v/>
      </c>
      <c r="CK90" s="124" t="str">
        <f>IF($B90="","",IFERROR(-AX90,"n.b."))</f>
        <v/>
      </c>
      <c r="CL90" s="124" t="str">
        <f>IF($B90="","",IFERROR(-AY90,"n.b."))</f>
        <v/>
      </c>
      <c r="CM90" s="124" t="str">
        <f>IF($B90="","",IFERROR(-AZ90,"n.b."))</f>
        <v/>
      </c>
      <c r="CN90" s="124" t="str">
        <f>IF($B90="","",IFERROR(-BA90,"n.b."))</f>
        <v/>
      </c>
      <c r="CO90" s="124" t="str">
        <f>IF($B90="","",IFERROR(-BB90,"n.b."))</f>
        <v/>
      </c>
      <c r="CP90" s="124" t="str">
        <f>IF($B90="","",IFERROR(-BC90,"n.b."))</f>
        <v/>
      </c>
      <c r="CQ90" s="124" t="str">
        <f>IF($B90="","",IFERROR(-BD90,"n.b."))</f>
        <v/>
      </c>
      <c r="CR90" s="124" t="str">
        <f>IF($B90="","",IFERROR(-BE90,"n.b."))</f>
        <v/>
      </c>
      <c r="CS90" s="124" t="str">
        <f>IF($B90="","",IFERROR(IF(OR(ABS(T90+V90+X90+Z90-AB90)&gt;P_Tol,ABS(U90+W90+Y90+AA90-AD90)&gt;P_Tol,ABS(AE90+AG90+AI90+AK90-AM90)&gt;P_Tol,ABS(AF90+AH90+AJ90+AL90-AO90)&gt;P_Tol),1,0),1))</f>
        <v/>
      </c>
      <c r="CT90" s="124" t="str">
        <f>IF($B90="","",IFERROR(IF(OR(ABS(AB90+AC90-AD90)&gt;P_Tol,ABS(AM90+AN90-AO90)&gt;P_Tol,ABS(O90+P90-Q90)&gt;P_Tol),1,0),1))</f>
        <v/>
      </c>
      <c r="CU90" s="124" t="str">
        <f>IF($B90="","",IFERROR(IF(ABS(R90-(AB90+AM90+AP90+AR90+AT90+AV90+AX90+AZ90+BB90+BD90))&gt;P_Tol,1,0),1))</f>
        <v/>
      </c>
      <c r="CV90" s="124" t="str">
        <f>IF($B90="","",IFERROR(IF(ABS(M90-(N90+O90+R90))&gt;P_Tol,1,0),1))</f>
        <v/>
      </c>
      <c r="CW90" s="124" t="str">
        <f>IF($B90="","",IF(COUNTIF(Mapping!$A$5:$A$104,B90)&gt;0,1,0))</f>
        <v/>
      </c>
      <c r="CX90" s="124" t="str">
        <f>IF($B90="","",COUNTIF($B$6:$B$505,B90))</f>
        <v/>
      </c>
      <c r="CY90" s="124" t="str">
        <f>IF($B90="","",COUNTIF(STG_Woningetalage!$B$6:$B$505,B90))</f>
        <v/>
      </c>
      <c r="CZ90" s="124" t="str">
        <f>IF($B90="","",IF(CW90=0,COUNTIF($CW$6:CW90,0),""))</f>
        <v/>
      </c>
    </row>
    <row r="91">
      <c r="A91" s="15" t="n">
        <v>87</v>
      </c>
      <c r="B91" t="str">
        <f>IF(B$3=0,"",IF(INDEX(SRC_ZPMW03!$A$1:$ZZ$501,$A91,B$3)&amp;""="","",INDEX(SRC_ZPMW03!$A$1:$ZZ$501,$A91,B$3)&amp;""))</f>
        <v/>
      </c>
      <c r="C91" t="str">
        <f>IF($B91="","",IF(C$3=0,"n.b.",INDEX(SRC_ZPMW03!$A$1:$ZZ$501,$A91,C$3)))</f>
        <v/>
      </c>
      <c r="D91" t="str">
        <f>IF($B91="","",IF(D$3=0,"n.b.",INDEX(SRC_ZPMW03!$A$1:$ZZ$501,$A91,D$3)))</f>
        <v/>
      </c>
      <c r="E91" t="str">
        <f>IF($B91="","",IF(E$3=0,"n.b.",INDEX(SRC_ZPMW03!$A$1:$ZZ$501,$A91,E$3)))</f>
        <v/>
      </c>
      <c r="F91" t="str">
        <f>IF($B91="","",IF(F$3=0,"n.b.",INDEX(SRC_ZPMW03!$A$1:$ZZ$501,$A91,F$3)))</f>
        <v/>
      </c>
      <c r="G91" t="str">
        <f>IF($B91="","",IF(G$3=0,"n.b.",INDEX(SRC_ZPMW03!$A$1:$ZZ$501,$A91,G$3)))</f>
        <v/>
      </c>
      <c r="H91" t="str">
        <f>IF($B91="","",IF(H$3=0,"n.b.",INDEX(SRC_ZPMW03!$A$1:$ZZ$501,$A91,H$3)))</f>
        <v/>
      </c>
      <c r="I91" t="str">
        <f>IF($B91="","",IF(I$3=0,"n.b.",INDEX(SRC_ZPMW03!$A$1:$ZZ$501,$A91,I$3)))</f>
        <v/>
      </c>
      <c r="J91" t="str">
        <f>IF($B91="","",IF(J$3=0,"n.b.",INDEX(SRC_ZPMW03!$A$1:$ZZ$501,$A91,J$3)))</f>
        <v/>
      </c>
      <c r="K91" t="str">
        <f>IF($B91="","",IF(K$3=0,"n.b.",INDEX(SRC_ZPMW03!$A$1:$ZZ$501,$A91,K$3)))</f>
        <v/>
      </c>
      <c r="L91" s="124" t="str">
        <f>IF($B91="","",IF(L$3=0,"n.b.",INDEX(SRC_ZPMW03!$A$1:$ZZ$501,$A91,L$3)))</f>
        <v/>
      </c>
      <c r="M91" s="124" t="str">
        <f>IF($B91="","",IF(M$3=0,"n.b.",INDEX(SRC_ZPMW03!$A$1:$ZZ$501,$A91,M$3)))</f>
        <v/>
      </c>
      <c r="N91" s="124" t="str">
        <f>IF($B91="","",IF(N$3=0,"n.b.",INDEX(SRC_ZPMW03!$A$1:$ZZ$501,$A91,N$3)))</f>
        <v/>
      </c>
      <c r="O91" s="124" t="str">
        <f>IF($B91="","",IF(O$3=0,"n.b.",INDEX(SRC_ZPMW03!$A$1:$ZZ$501,$A91,O$3)))</f>
        <v/>
      </c>
      <c r="P91" s="124" t="str">
        <f>IF($B91="","",IF(P$3=0,"n.b.",INDEX(SRC_ZPMW03!$A$1:$ZZ$501,$A91,P$3)))</f>
        <v/>
      </c>
      <c r="Q91" s="124" t="str">
        <f>IF($B91="","",IF(Q$3=0,"n.b.",INDEX(SRC_ZPMW03!$A$1:$ZZ$501,$A91,Q$3)))</f>
        <v/>
      </c>
      <c r="R91" s="124" t="str">
        <f>IF($B91="","",IF(R$3=0,"n.b.",INDEX(SRC_ZPMW03!$A$1:$ZZ$501,$A91,R$3)))</f>
        <v/>
      </c>
      <c r="S91" s="124" t="str">
        <f>IF($B91="","",IF(S$3=0,"n.b.",INDEX(SRC_ZPMW03!$A$1:$ZZ$501,$A91,S$3)))</f>
        <v/>
      </c>
      <c r="T91" s="124" t="str">
        <f>IF($B91="","",IF(T$3=0,"n.b.",INDEX(SRC_ZPMW03!$A$1:$ZZ$501,$A91,T$3)))</f>
        <v/>
      </c>
      <c r="U91" s="124" t="str">
        <f>IF($B91="","",IF(U$3=0,"n.b.",INDEX(SRC_ZPMW03!$A$1:$ZZ$501,$A91,U$3)))</f>
        <v/>
      </c>
      <c r="V91" s="124" t="str">
        <f>IF($B91="","",IF(V$3=0,"n.b.",INDEX(SRC_ZPMW03!$A$1:$ZZ$501,$A91,V$3)))</f>
        <v/>
      </c>
      <c r="W91" s="124" t="str">
        <f>IF($B91="","",IF(W$3=0,"n.b.",INDEX(SRC_ZPMW03!$A$1:$ZZ$501,$A91,W$3)))</f>
        <v/>
      </c>
      <c r="X91" s="124" t="str">
        <f>IF($B91="","",IF(X$3=0,"n.b.",INDEX(SRC_ZPMW03!$A$1:$ZZ$501,$A91,X$3)))</f>
        <v/>
      </c>
      <c r="Y91" s="124" t="str">
        <f>IF($B91="","",IF(Y$3=0,"n.b.",INDEX(SRC_ZPMW03!$A$1:$ZZ$501,$A91,Y$3)))</f>
        <v/>
      </c>
      <c r="Z91" s="124" t="str">
        <f>IF($B91="","",IF(Z$3=0,"n.b.",INDEX(SRC_ZPMW03!$A$1:$ZZ$501,$A91,Z$3)))</f>
        <v/>
      </c>
      <c r="AA91" s="124" t="str">
        <f>IF($B91="","",IF(AA$3=0,"n.b.",INDEX(SRC_ZPMW03!$A$1:$ZZ$501,$A91,AA$3)))</f>
        <v/>
      </c>
      <c r="AB91" s="124" t="str">
        <f>IF($B91="","",IF(AB$3=0,"n.b.",INDEX(SRC_ZPMW03!$A$1:$ZZ$501,$A91,AB$3)))</f>
        <v/>
      </c>
      <c r="AC91" s="124" t="str">
        <f>IF($B91="","",IF(AC$3=0,"n.b.",INDEX(SRC_ZPMW03!$A$1:$ZZ$501,$A91,AC$3)))</f>
        <v/>
      </c>
      <c r="AD91" s="124" t="str">
        <f>IF($B91="","",IF(AD$3=0,"n.b.",INDEX(SRC_ZPMW03!$A$1:$ZZ$501,$A91,AD$3)))</f>
        <v/>
      </c>
      <c r="AE91" s="124" t="str">
        <f>IF($B91="","",IF(AE$3=0,"n.b.",INDEX(SRC_ZPMW03!$A$1:$ZZ$501,$A91,AE$3)))</f>
        <v/>
      </c>
      <c r="AF91" s="124" t="str">
        <f>IF($B91="","",IF(AF$3=0,"n.b.",INDEX(SRC_ZPMW03!$A$1:$ZZ$501,$A91,AF$3)))</f>
        <v/>
      </c>
      <c r="AG91" s="124" t="str">
        <f>IF($B91="","",IF(AG$3=0,"n.b.",INDEX(SRC_ZPMW03!$A$1:$ZZ$501,$A91,AG$3)))</f>
        <v/>
      </c>
      <c r="AH91" s="124" t="str">
        <f>IF($B91="","",IF(AH$3=0,"n.b.",INDEX(SRC_ZPMW03!$A$1:$ZZ$501,$A91,AH$3)))</f>
        <v/>
      </c>
      <c r="AI91" s="124" t="str">
        <f>IF($B91="","",IF(AI$3=0,"n.b.",INDEX(SRC_ZPMW03!$A$1:$ZZ$501,$A91,AI$3)))</f>
        <v/>
      </c>
      <c r="AJ91" s="124" t="str">
        <f>IF($B91="","",IF(AJ$3=0,"n.b.",INDEX(SRC_ZPMW03!$A$1:$ZZ$501,$A91,AJ$3)))</f>
        <v/>
      </c>
      <c r="AK91" s="124" t="str">
        <f>IF($B91="","",IF(AK$3=0,"n.b.",INDEX(SRC_ZPMW03!$A$1:$ZZ$501,$A91,AK$3)))</f>
        <v/>
      </c>
      <c r="AL91" s="124" t="str">
        <f>IF($B91="","",IF(AL$3=0,"n.b.",INDEX(SRC_ZPMW03!$A$1:$ZZ$501,$A91,AL$3)))</f>
        <v/>
      </c>
      <c r="AM91" s="124" t="str">
        <f>IF($B91="","",IF(AM$3=0,"n.b.",INDEX(SRC_ZPMW03!$A$1:$ZZ$501,$A91,AM$3)))</f>
        <v/>
      </c>
      <c r="AN91" s="124" t="str">
        <f>IF($B91="","",IF(AN$3=0,"n.b.",INDEX(SRC_ZPMW03!$A$1:$ZZ$501,$A91,AN$3)))</f>
        <v/>
      </c>
      <c r="AO91" s="124" t="str">
        <f>IF($B91="","",IF(AO$3=0,"n.b.",INDEX(SRC_ZPMW03!$A$1:$ZZ$501,$A91,AO$3)))</f>
        <v/>
      </c>
      <c r="AP91" s="124" t="str">
        <f>IF($B91="","",IF(AP$3=0,"n.b.",INDEX(SRC_ZPMW03!$A$1:$ZZ$501,$A91,AP$3)))</f>
        <v/>
      </c>
      <c r="AQ91" s="124" t="str">
        <f>IF($B91="","",IF(AQ$3=0,"n.b.",INDEX(SRC_ZPMW03!$A$1:$ZZ$501,$A91,AQ$3)))</f>
        <v/>
      </c>
      <c r="AR91" s="124" t="str">
        <f>IF($B91="","",IF(AR$3=0,"n.b.",INDEX(SRC_ZPMW03!$A$1:$ZZ$501,$A91,AR$3)))</f>
        <v/>
      </c>
      <c r="AS91" s="124" t="str">
        <f>IF($B91="","",IF(AS$3=0,"n.b.",INDEX(SRC_ZPMW03!$A$1:$ZZ$501,$A91,AS$3)))</f>
        <v/>
      </c>
      <c r="AT91" s="124" t="str">
        <f>IF($B91="","",IF(AT$3=0,"n.b.",INDEX(SRC_ZPMW03!$A$1:$ZZ$501,$A91,AT$3)))</f>
        <v/>
      </c>
      <c r="AU91" s="124" t="str">
        <f>IF($B91="","",IF(AU$3=0,"n.b.",INDEX(SRC_ZPMW03!$A$1:$ZZ$501,$A91,AU$3)))</f>
        <v/>
      </c>
      <c r="AV91" s="124" t="str">
        <f>IF($B91="","",IF(AV$3=0,"n.b.",INDEX(SRC_ZPMW03!$A$1:$ZZ$501,$A91,AV$3)))</f>
        <v/>
      </c>
      <c r="AW91" s="124" t="str">
        <f>IF($B91="","",IF(AW$3=0,"n.b.",INDEX(SRC_ZPMW03!$A$1:$ZZ$501,$A91,AW$3)))</f>
        <v/>
      </c>
      <c r="AX91" s="124" t="str">
        <f>IF($B91="","",IF(AX$3=0,"n.b.",INDEX(SRC_ZPMW03!$A$1:$ZZ$501,$A91,AX$3)))</f>
        <v/>
      </c>
      <c r="AY91" s="124" t="str">
        <f>IF($B91="","",IF(AY$3=0,"n.b.",INDEX(SRC_ZPMW03!$A$1:$ZZ$501,$A91,AY$3)))</f>
        <v/>
      </c>
      <c r="AZ91" s="124" t="str">
        <f>IF($B91="","",IF(AZ$3=0,"n.b.",INDEX(SRC_ZPMW03!$A$1:$ZZ$501,$A91,AZ$3)))</f>
        <v/>
      </c>
      <c r="BA91" s="124" t="str">
        <f>IF($B91="","",IF(BA$3=0,"n.b.",INDEX(SRC_ZPMW03!$A$1:$ZZ$501,$A91,BA$3)))</f>
        <v/>
      </c>
      <c r="BB91" s="124" t="str">
        <f>IF($B91="","",IF(BB$3=0,"n.b.",INDEX(SRC_ZPMW03!$A$1:$ZZ$501,$A91,BB$3)))</f>
        <v/>
      </c>
      <c r="BC91" s="124" t="str">
        <f>IF($B91="","",IF(BC$3=0,"n.b.",INDEX(SRC_ZPMW03!$A$1:$ZZ$501,$A91,BC$3)))</f>
        <v/>
      </c>
      <c r="BD91" s="124" t="str">
        <f>IF($B91="","",IF(BD$3=0,"n.b.",INDEX(SRC_ZPMW03!$A$1:$ZZ$501,$A91,BD$3)))</f>
        <v/>
      </c>
      <c r="BE91" s="124" t="str">
        <f>IF($B91="","",IF(BE$3=0,"n.b.",INDEX(SRC_ZPMW03!$A$1:$ZZ$501,$A91,BE$3)))</f>
        <v/>
      </c>
      <c r="BF91" s="124" t="str">
        <f>IF($B91="","",IF(BF$3=0,"n.b.",INDEX(SRC_ZPMW03!$A$1:$ZZ$501,$A91,BF$3)))</f>
        <v/>
      </c>
      <c r="BG91" t="str">
        <f>IF($B91="","",IF(BG$3=0,"n.b.",INDEX(SRC_ZPMW03!$A$1:$ZZ$501,$A91,BG$3)))</f>
        <v/>
      </c>
      <c r="BH91" t="str">
        <f>IF($B91="","",IF(BH$3=0,"n.b.",INDEX(SRC_ZPMW03!$A$1:$ZZ$501,$A91,BH$3)))</f>
        <v/>
      </c>
      <c r="BI91" t="str">
        <f>IF($B91="","",IF(BI$3=0,"n.b.",INDEX(SRC_ZPMW03!$A$1:$ZZ$501,$A91,BI$3)))</f>
        <v/>
      </c>
      <c r="BJ91" t="str">
        <f>IF($B91="","",IF(BJ$3=0,"n.b.",INDEX(SRC_ZPMW03!$A$1:$ZZ$501,$A91,BJ$3)))</f>
        <v/>
      </c>
      <c r="BK91" s="124" t="str">
        <f>IF($B91="","",IFERROR(-O91,"n.b."))</f>
        <v/>
      </c>
      <c r="BL91" s="124" t="str">
        <f>IF($B91="","",IFERROR(-Q91,"n.b."))</f>
        <v/>
      </c>
      <c r="BM91" s="124" t="str">
        <f>IF($B91="","",IFERROR(-AB91,"n.b."))</f>
        <v/>
      </c>
      <c r="BN91" s="124" t="str">
        <f>IF($B91="","",IFERROR(-AD91,"n.b."))</f>
        <v/>
      </c>
      <c r="BO91" s="124" t="str">
        <f>IF($B91="","",IFERROR(BK91+BM91,"n.b."))</f>
        <v/>
      </c>
      <c r="BP91" s="124" t="str">
        <f>IF($B91="","",IFERROR(BL91+BN91,"n.b."))</f>
        <v/>
      </c>
      <c r="BQ91" s="124" t="str">
        <f>IF($B91="","",IFERROR(-AM91,"n.b."))</f>
        <v/>
      </c>
      <c r="BR91" s="124" t="str">
        <f>IF($B91="","",IFERROR(-AO91,"n.b."))</f>
        <v/>
      </c>
      <c r="BS91" s="124" t="str">
        <f>IF($B91="","",IFERROR(-Z91,"n.b."))</f>
        <v/>
      </c>
      <c r="BT91" s="124" t="str">
        <f>IF($B91="","",IFERROR(-AA91,"n.b."))</f>
        <v/>
      </c>
      <c r="BU91" s="124" t="str">
        <f>IF($B91="","",IFERROR(-AE91,"n.b."))</f>
        <v/>
      </c>
      <c r="BV91" s="124" t="str">
        <f>IF($B91="","",IFERROR(-AF91,"n.b."))</f>
        <v/>
      </c>
      <c r="BW91" s="124" t="str">
        <f>IF($B91="","",IFERROR(-AG91,"n.b."))</f>
        <v/>
      </c>
      <c r="BX91" s="124" t="str">
        <f>IF($B91="","",IFERROR(-AH91,"n.b."))</f>
        <v/>
      </c>
      <c r="BY91" s="124" t="str">
        <f>IF($B91="","",IFERROR(-AI91,"n.b."))</f>
        <v/>
      </c>
      <c r="BZ91" s="124" t="str">
        <f>IF($B91="","",IFERROR(-AJ91,"n.b."))</f>
        <v/>
      </c>
      <c r="CA91" s="124" t="str">
        <f>IF($B91="","",IFERROR(-AK91,"n.b."))</f>
        <v/>
      </c>
      <c r="CB91" s="124" t="str">
        <f>IF($B91="","",IFERROR(-AL91,"n.b."))</f>
        <v/>
      </c>
      <c r="CC91" s="124" t="str">
        <f>IF($B91="","",IFERROR(-AP91,"n.b."))</f>
        <v/>
      </c>
      <c r="CD91" s="124" t="str">
        <f>IF($B91="","",IFERROR(-AQ91,"n.b."))</f>
        <v/>
      </c>
      <c r="CE91" s="124" t="str">
        <f>IF($B91="","",IFERROR(-AR91,"n.b."))</f>
        <v/>
      </c>
      <c r="CF91" s="124" t="str">
        <f>IF($B91="","",IFERROR(-AS91,"n.b."))</f>
        <v/>
      </c>
      <c r="CG91" s="124" t="str">
        <f>IF($B91="","",IFERROR(-AT91,"n.b."))</f>
        <v/>
      </c>
      <c r="CH91" s="124" t="str">
        <f>IF($B91="","",IFERROR(-AU91,"n.b."))</f>
        <v/>
      </c>
      <c r="CI91" s="124" t="str">
        <f>IF($B91="","",IFERROR(-AV91,"n.b."))</f>
        <v/>
      </c>
      <c r="CJ91" s="124" t="str">
        <f>IF($B91="","",IFERROR(-AW91,"n.b."))</f>
        <v/>
      </c>
      <c r="CK91" s="124" t="str">
        <f>IF($B91="","",IFERROR(-AX91,"n.b."))</f>
        <v/>
      </c>
      <c r="CL91" s="124" t="str">
        <f>IF($B91="","",IFERROR(-AY91,"n.b."))</f>
        <v/>
      </c>
      <c r="CM91" s="124" t="str">
        <f>IF($B91="","",IFERROR(-AZ91,"n.b."))</f>
        <v/>
      </c>
      <c r="CN91" s="124" t="str">
        <f>IF($B91="","",IFERROR(-BA91,"n.b."))</f>
        <v/>
      </c>
      <c r="CO91" s="124" t="str">
        <f>IF($B91="","",IFERROR(-BB91,"n.b."))</f>
        <v/>
      </c>
      <c r="CP91" s="124" t="str">
        <f>IF($B91="","",IFERROR(-BC91,"n.b."))</f>
        <v/>
      </c>
      <c r="CQ91" s="124" t="str">
        <f>IF($B91="","",IFERROR(-BD91,"n.b."))</f>
        <v/>
      </c>
      <c r="CR91" s="124" t="str">
        <f>IF($B91="","",IFERROR(-BE91,"n.b."))</f>
        <v/>
      </c>
      <c r="CS91" s="124" t="str">
        <f>IF($B91="","",IFERROR(IF(OR(ABS(T91+V91+X91+Z91-AB91)&gt;P_Tol,ABS(U91+W91+Y91+AA91-AD91)&gt;P_Tol,ABS(AE91+AG91+AI91+AK91-AM91)&gt;P_Tol,ABS(AF91+AH91+AJ91+AL91-AO91)&gt;P_Tol),1,0),1))</f>
        <v/>
      </c>
      <c r="CT91" s="124" t="str">
        <f>IF($B91="","",IFERROR(IF(OR(ABS(AB91+AC91-AD91)&gt;P_Tol,ABS(AM91+AN91-AO91)&gt;P_Tol,ABS(O91+P91-Q91)&gt;P_Tol),1,0),1))</f>
        <v/>
      </c>
      <c r="CU91" s="124" t="str">
        <f>IF($B91="","",IFERROR(IF(ABS(R91-(AB91+AM91+AP91+AR91+AT91+AV91+AX91+AZ91+BB91+BD91))&gt;P_Tol,1,0),1))</f>
        <v/>
      </c>
      <c r="CV91" s="124" t="str">
        <f>IF($B91="","",IFERROR(IF(ABS(M91-(N91+O91+R91))&gt;P_Tol,1,0),1))</f>
        <v/>
      </c>
      <c r="CW91" s="124" t="str">
        <f>IF($B91="","",IF(COUNTIF(Mapping!$A$5:$A$104,B91)&gt;0,1,0))</f>
        <v/>
      </c>
      <c r="CX91" s="124" t="str">
        <f>IF($B91="","",COUNTIF($B$6:$B$505,B91))</f>
        <v/>
      </c>
      <c r="CY91" s="124" t="str">
        <f>IF($B91="","",COUNTIF(STG_Woningetalage!$B$6:$B$505,B91))</f>
        <v/>
      </c>
      <c r="CZ91" s="124" t="str">
        <f>IF($B91="","",IF(CW91=0,COUNTIF($CW$6:CW91,0),""))</f>
        <v/>
      </c>
    </row>
    <row r="92">
      <c r="A92" s="15" t="n">
        <v>88</v>
      </c>
      <c r="B92" t="str">
        <f>IF(B$3=0,"",IF(INDEX(SRC_ZPMW03!$A$1:$ZZ$501,$A92,B$3)&amp;""="","",INDEX(SRC_ZPMW03!$A$1:$ZZ$501,$A92,B$3)&amp;""))</f>
        <v/>
      </c>
      <c r="C92" t="str">
        <f>IF($B92="","",IF(C$3=0,"n.b.",INDEX(SRC_ZPMW03!$A$1:$ZZ$501,$A92,C$3)))</f>
        <v/>
      </c>
      <c r="D92" t="str">
        <f>IF($B92="","",IF(D$3=0,"n.b.",INDEX(SRC_ZPMW03!$A$1:$ZZ$501,$A92,D$3)))</f>
        <v/>
      </c>
      <c r="E92" t="str">
        <f>IF($B92="","",IF(E$3=0,"n.b.",INDEX(SRC_ZPMW03!$A$1:$ZZ$501,$A92,E$3)))</f>
        <v/>
      </c>
      <c r="F92" t="str">
        <f>IF($B92="","",IF(F$3=0,"n.b.",INDEX(SRC_ZPMW03!$A$1:$ZZ$501,$A92,F$3)))</f>
        <v/>
      </c>
      <c r="G92" t="str">
        <f>IF($B92="","",IF(G$3=0,"n.b.",INDEX(SRC_ZPMW03!$A$1:$ZZ$501,$A92,G$3)))</f>
        <v/>
      </c>
      <c r="H92" t="str">
        <f>IF($B92="","",IF(H$3=0,"n.b.",INDEX(SRC_ZPMW03!$A$1:$ZZ$501,$A92,H$3)))</f>
        <v/>
      </c>
      <c r="I92" t="str">
        <f>IF($B92="","",IF(I$3=0,"n.b.",INDEX(SRC_ZPMW03!$A$1:$ZZ$501,$A92,I$3)))</f>
        <v/>
      </c>
      <c r="J92" t="str">
        <f>IF($B92="","",IF(J$3=0,"n.b.",INDEX(SRC_ZPMW03!$A$1:$ZZ$501,$A92,J$3)))</f>
        <v/>
      </c>
      <c r="K92" t="str">
        <f>IF($B92="","",IF(K$3=0,"n.b.",INDEX(SRC_ZPMW03!$A$1:$ZZ$501,$A92,K$3)))</f>
        <v/>
      </c>
      <c r="L92" s="124" t="str">
        <f>IF($B92="","",IF(L$3=0,"n.b.",INDEX(SRC_ZPMW03!$A$1:$ZZ$501,$A92,L$3)))</f>
        <v/>
      </c>
      <c r="M92" s="124" t="str">
        <f>IF($B92="","",IF(M$3=0,"n.b.",INDEX(SRC_ZPMW03!$A$1:$ZZ$501,$A92,M$3)))</f>
        <v/>
      </c>
      <c r="N92" s="124" t="str">
        <f>IF($B92="","",IF(N$3=0,"n.b.",INDEX(SRC_ZPMW03!$A$1:$ZZ$501,$A92,N$3)))</f>
        <v/>
      </c>
      <c r="O92" s="124" t="str">
        <f>IF($B92="","",IF(O$3=0,"n.b.",INDEX(SRC_ZPMW03!$A$1:$ZZ$501,$A92,O$3)))</f>
        <v/>
      </c>
      <c r="P92" s="124" t="str">
        <f>IF($B92="","",IF(P$3=0,"n.b.",INDEX(SRC_ZPMW03!$A$1:$ZZ$501,$A92,P$3)))</f>
        <v/>
      </c>
      <c r="Q92" s="124" t="str">
        <f>IF($B92="","",IF(Q$3=0,"n.b.",INDEX(SRC_ZPMW03!$A$1:$ZZ$501,$A92,Q$3)))</f>
        <v/>
      </c>
      <c r="R92" s="124" t="str">
        <f>IF($B92="","",IF(R$3=0,"n.b.",INDEX(SRC_ZPMW03!$A$1:$ZZ$501,$A92,R$3)))</f>
        <v/>
      </c>
      <c r="S92" s="124" t="str">
        <f>IF($B92="","",IF(S$3=0,"n.b.",INDEX(SRC_ZPMW03!$A$1:$ZZ$501,$A92,S$3)))</f>
        <v/>
      </c>
      <c r="T92" s="124" t="str">
        <f>IF($B92="","",IF(T$3=0,"n.b.",INDEX(SRC_ZPMW03!$A$1:$ZZ$501,$A92,T$3)))</f>
        <v/>
      </c>
      <c r="U92" s="124" t="str">
        <f>IF($B92="","",IF(U$3=0,"n.b.",INDEX(SRC_ZPMW03!$A$1:$ZZ$501,$A92,U$3)))</f>
        <v/>
      </c>
      <c r="V92" s="124" t="str">
        <f>IF($B92="","",IF(V$3=0,"n.b.",INDEX(SRC_ZPMW03!$A$1:$ZZ$501,$A92,V$3)))</f>
        <v/>
      </c>
      <c r="W92" s="124" t="str">
        <f>IF($B92="","",IF(W$3=0,"n.b.",INDEX(SRC_ZPMW03!$A$1:$ZZ$501,$A92,W$3)))</f>
        <v/>
      </c>
      <c r="X92" s="124" t="str">
        <f>IF($B92="","",IF(X$3=0,"n.b.",INDEX(SRC_ZPMW03!$A$1:$ZZ$501,$A92,X$3)))</f>
        <v/>
      </c>
      <c r="Y92" s="124" t="str">
        <f>IF($B92="","",IF(Y$3=0,"n.b.",INDEX(SRC_ZPMW03!$A$1:$ZZ$501,$A92,Y$3)))</f>
        <v/>
      </c>
      <c r="Z92" s="124" t="str">
        <f>IF($B92="","",IF(Z$3=0,"n.b.",INDEX(SRC_ZPMW03!$A$1:$ZZ$501,$A92,Z$3)))</f>
        <v/>
      </c>
      <c r="AA92" s="124" t="str">
        <f>IF($B92="","",IF(AA$3=0,"n.b.",INDEX(SRC_ZPMW03!$A$1:$ZZ$501,$A92,AA$3)))</f>
        <v/>
      </c>
      <c r="AB92" s="124" t="str">
        <f>IF($B92="","",IF(AB$3=0,"n.b.",INDEX(SRC_ZPMW03!$A$1:$ZZ$501,$A92,AB$3)))</f>
        <v/>
      </c>
      <c r="AC92" s="124" t="str">
        <f>IF($B92="","",IF(AC$3=0,"n.b.",INDEX(SRC_ZPMW03!$A$1:$ZZ$501,$A92,AC$3)))</f>
        <v/>
      </c>
      <c r="AD92" s="124" t="str">
        <f>IF($B92="","",IF(AD$3=0,"n.b.",INDEX(SRC_ZPMW03!$A$1:$ZZ$501,$A92,AD$3)))</f>
        <v/>
      </c>
      <c r="AE92" s="124" t="str">
        <f>IF($B92="","",IF(AE$3=0,"n.b.",INDEX(SRC_ZPMW03!$A$1:$ZZ$501,$A92,AE$3)))</f>
        <v/>
      </c>
      <c r="AF92" s="124" t="str">
        <f>IF($B92="","",IF(AF$3=0,"n.b.",INDEX(SRC_ZPMW03!$A$1:$ZZ$501,$A92,AF$3)))</f>
        <v/>
      </c>
      <c r="AG92" s="124" t="str">
        <f>IF($B92="","",IF(AG$3=0,"n.b.",INDEX(SRC_ZPMW03!$A$1:$ZZ$501,$A92,AG$3)))</f>
        <v/>
      </c>
      <c r="AH92" s="124" t="str">
        <f>IF($B92="","",IF(AH$3=0,"n.b.",INDEX(SRC_ZPMW03!$A$1:$ZZ$501,$A92,AH$3)))</f>
        <v/>
      </c>
      <c r="AI92" s="124" t="str">
        <f>IF($B92="","",IF(AI$3=0,"n.b.",INDEX(SRC_ZPMW03!$A$1:$ZZ$501,$A92,AI$3)))</f>
        <v/>
      </c>
      <c r="AJ92" s="124" t="str">
        <f>IF($B92="","",IF(AJ$3=0,"n.b.",INDEX(SRC_ZPMW03!$A$1:$ZZ$501,$A92,AJ$3)))</f>
        <v/>
      </c>
      <c r="AK92" s="124" t="str">
        <f>IF($B92="","",IF(AK$3=0,"n.b.",INDEX(SRC_ZPMW03!$A$1:$ZZ$501,$A92,AK$3)))</f>
        <v/>
      </c>
      <c r="AL92" s="124" t="str">
        <f>IF($B92="","",IF(AL$3=0,"n.b.",INDEX(SRC_ZPMW03!$A$1:$ZZ$501,$A92,AL$3)))</f>
        <v/>
      </c>
      <c r="AM92" s="124" t="str">
        <f>IF($B92="","",IF(AM$3=0,"n.b.",INDEX(SRC_ZPMW03!$A$1:$ZZ$501,$A92,AM$3)))</f>
        <v/>
      </c>
      <c r="AN92" s="124" t="str">
        <f>IF($B92="","",IF(AN$3=0,"n.b.",INDEX(SRC_ZPMW03!$A$1:$ZZ$501,$A92,AN$3)))</f>
        <v/>
      </c>
      <c r="AO92" s="124" t="str">
        <f>IF($B92="","",IF(AO$3=0,"n.b.",INDEX(SRC_ZPMW03!$A$1:$ZZ$501,$A92,AO$3)))</f>
        <v/>
      </c>
      <c r="AP92" s="124" t="str">
        <f>IF($B92="","",IF(AP$3=0,"n.b.",INDEX(SRC_ZPMW03!$A$1:$ZZ$501,$A92,AP$3)))</f>
        <v/>
      </c>
      <c r="AQ92" s="124" t="str">
        <f>IF($B92="","",IF(AQ$3=0,"n.b.",INDEX(SRC_ZPMW03!$A$1:$ZZ$501,$A92,AQ$3)))</f>
        <v/>
      </c>
      <c r="AR92" s="124" t="str">
        <f>IF($B92="","",IF(AR$3=0,"n.b.",INDEX(SRC_ZPMW03!$A$1:$ZZ$501,$A92,AR$3)))</f>
        <v/>
      </c>
      <c r="AS92" s="124" t="str">
        <f>IF($B92="","",IF(AS$3=0,"n.b.",INDEX(SRC_ZPMW03!$A$1:$ZZ$501,$A92,AS$3)))</f>
        <v/>
      </c>
      <c r="AT92" s="124" t="str">
        <f>IF($B92="","",IF(AT$3=0,"n.b.",INDEX(SRC_ZPMW03!$A$1:$ZZ$501,$A92,AT$3)))</f>
        <v/>
      </c>
      <c r="AU92" s="124" t="str">
        <f>IF($B92="","",IF(AU$3=0,"n.b.",INDEX(SRC_ZPMW03!$A$1:$ZZ$501,$A92,AU$3)))</f>
        <v/>
      </c>
      <c r="AV92" s="124" t="str">
        <f>IF($B92="","",IF(AV$3=0,"n.b.",INDEX(SRC_ZPMW03!$A$1:$ZZ$501,$A92,AV$3)))</f>
        <v/>
      </c>
      <c r="AW92" s="124" t="str">
        <f>IF($B92="","",IF(AW$3=0,"n.b.",INDEX(SRC_ZPMW03!$A$1:$ZZ$501,$A92,AW$3)))</f>
        <v/>
      </c>
      <c r="AX92" s="124" t="str">
        <f>IF($B92="","",IF(AX$3=0,"n.b.",INDEX(SRC_ZPMW03!$A$1:$ZZ$501,$A92,AX$3)))</f>
        <v/>
      </c>
      <c r="AY92" s="124" t="str">
        <f>IF($B92="","",IF(AY$3=0,"n.b.",INDEX(SRC_ZPMW03!$A$1:$ZZ$501,$A92,AY$3)))</f>
        <v/>
      </c>
      <c r="AZ92" s="124" t="str">
        <f>IF($B92="","",IF(AZ$3=0,"n.b.",INDEX(SRC_ZPMW03!$A$1:$ZZ$501,$A92,AZ$3)))</f>
        <v/>
      </c>
      <c r="BA92" s="124" t="str">
        <f>IF($B92="","",IF(BA$3=0,"n.b.",INDEX(SRC_ZPMW03!$A$1:$ZZ$501,$A92,BA$3)))</f>
        <v/>
      </c>
      <c r="BB92" s="124" t="str">
        <f>IF($B92="","",IF(BB$3=0,"n.b.",INDEX(SRC_ZPMW03!$A$1:$ZZ$501,$A92,BB$3)))</f>
        <v/>
      </c>
      <c r="BC92" s="124" t="str">
        <f>IF($B92="","",IF(BC$3=0,"n.b.",INDEX(SRC_ZPMW03!$A$1:$ZZ$501,$A92,BC$3)))</f>
        <v/>
      </c>
      <c r="BD92" s="124" t="str">
        <f>IF($B92="","",IF(BD$3=0,"n.b.",INDEX(SRC_ZPMW03!$A$1:$ZZ$501,$A92,BD$3)))</f>
        <v/>
      </c>
      <c r="BE92" s="124" t="str">
        <f>IF($B92="","",IF(BE$3=0,"n.b.",INDEX(SRC_ZPMW03!$A$1:$ZZ$501,$A92,BE$3)))</f>
        <v/>
      </c>
      <c r="BF92" s="124" t="str">
        <f>IF($B92="","",IF(BF$3=0,"n.b.",INDEX(SRC_ZPMW03!$A$1:$ZZ$501,$A92,BF$3)))</f>
        <v/>
      </c>
      <c r="BG92" t="str">
        <f>IF($B92="","",IF(BG$3=0,"n.b.",INDEX(SRC_ZPMW03!$A$1:$ZZ$501,$A92,BG$3)))</f>
        <v/>
      </c>
      <c r="BH92" t="str">
        <f>IF($B92="","",IF(BH$3=0,"n.b.",INDEX(SRC_ZPMW03!$A$1:$ZZ$501,$A92,BH$3)))</f>
        <v/>
      </c>
      <c r="BI92" t="str">
        <f>IF($B92="","",IF(BI$3=0,"n.b.",INDEX(SRC_ZPMW03!$A$1:$ZZ$501,$A92,BI$3)))</f>
        <v/>
      </c>
      <c r="BJ92" t="str">
        <f>IF($B92="","",IF(BJ$3=0,"n.b.",INDEX(SRC_ZPMW03!$A$1:$ZZ$501,$A92,BJ$3)))</f>
        <v/>
      </c>
      <c r="BK92" s="124" t="str">
        <f>IF($B92="","",IFERROR(-O92,"n.b."))</f>
        <v/>
      </c>
      <c r="BL92" s="124" t="str">
        <f>IF($B92="","",IFERROR(-Q92,"n.b."))</f>
        <v/>
      </c>
      <c r="BM92" s="124" t="str">
        <f>IF($B92="","",IFERROR(-AB92,"n.b."))</f>
        <v/>
      </c>
      <c r="BN92" s="124" t="str">
        <f>IF($B92="","",IFERROR(-AD92,"n.b."))</f>
        <v/>
      </c>
      <c r="BO92" s="124" t="str">
        <f>IF($B92="","",IFERROR(BK92+BM92,"n.b."))</f>
        <v/>
      </c>
      <c r="BP92" s="124" t="str">
        <f>IF($B92="","",IFERROR(BL92+BN92,"n.b."))</f>
        <v/>
      </c>
      <c r="BQ92" s="124" t="str">
        <f>IF($B92="","",IFERROR(-AM92,"n.b."))</f>
        <v/>
      </c>
      <c r="BR92" s="124" t="str">
        <f>IF($B92="","",IFERROR(-AO92,"n.b."))</f>
        <v/>
      </c>
      <c r="BS92" s="124" t="str">
        <f>IF($B92="","",IFERROR(-Z92,"n.b."))</f>
        <v/>
      </c>
      <c r="BT92" s="124" t="str">
        <f>IF($B92="","",IFERROR(-AA92,"n.b."))</f>
        <v/>
      </c>
      <c r="BU92" s="124" t="str">
        <f>IF($B92="","",IFERROR(-AE92,"n.b."))</f>
        <v/>
      </c>
      <c r="BV92" s="124" t="str">
        <f>IF($B92="","",IFERROR(-AF92,"n.b."))</f>
        <v/>
      </c>
      <c r="BW92" s="124" t="str">
        <f>IF($B92="","",IFERROR(-AG92,"n.b."))</f>
        <v/>
      </c>
      <c r="BX92" s="124" t="str">
        <f>IF($B92="","",IFERROR(-AH92,"n.b."))</f>
        <v/>
      </c>
      <c r="BY92" s="124" t="str">
        <f>IF($B92="","",IFERROR(-AI92,"n.b."))</f>
        <v/>
      </c>
      <c r="BZ92" s="124" t="str">
        <f>IF($B92="","",IFERROR(-AJ92,"n.b."))</f>
        <v/>
      </c>
      <c r="CA92" s="124" t="str">
        <f>IF($B92="","",IFERROR(-AK92,"n.b."))</f>
        <v/>
      </c>
      <c r="CB92" s="124" t="str">
        <f>IF($B92="","",IFERROR(-AL92,"n.b."))</f>
        <v/>
      </c>
      <c r="CC92" s="124" t="str">
        <f>IF($B92="","",IFERROR(-AP92,"n.b."))</f>
        <v/>
      </c>
      <c r="CD92" s="124" t="str">
        <f>IF($B92="","",IFERROR(-AQ92,"n.b."))</f>
        <v/>
      </c>
      <c r="CE92" s="124" t="str">
        <f>IF($B92="","",IFERROR(-AR92,"n.b."))</f>
        <v/>
      </c>
      <c r="CF92" s="124" t="str">
        <f>IF($B92="","",IFERROR(-AS92,"n.b."))</f>
        <v/>
      </c>
      <c r="CG92" s="124" t="str">
        <f>IF($B92="","",IFERROR(-AT92,"n.b."))</f>
        <v/>
      </c>
      <c r="CH92" s="124" t="str">
        <f>IF($B92="","",IFERROR(-AU92,"n.b."))</f>
        <v/>
      </c>
      <c r="CI92" s="124" t="str">
        <f>IF($B92="","",IFERROR(-AV92,"n.b."))</f>
        <v/>
      </c>
      <c r="CJ92" s="124" t="str">
        <f>IF($B92="","",IFERROR(-AW92,"n.b."))</f>
        <v/>
      </c>
      <c r="CK92" s="124" t="str">
        <f>IF($B92="","",IFERROR(-AX92,"n.b."))</f>
        <v/>
      </c>
      <c r="CL92" s="124" t="str">
        <f>IF($B92="","",IFERROR(-AY92,"n.b."))</f>
        <v/>
      </c>
      <c r="CM92" s="124" t="str">
        <f>IF($B92="","",IFERROR(-AZ92,"n.b."))</f>
        <v/>
      </c>
      <c r="CN92" s="124" t="str">
        <f>IF($B92="","",IFERROR(-BA92,"n.b."))</f>
        <v/>
      </c>
      <c r="CO92" s="124" t="str">
        <f>IF($B92="","",IFERROR(-BB92,"n.b."))</f>
        <v/>
      </c>
      <c r="CP92" s="124" t="str">
        <f>IF($B92="","",IFERROR(-BC92,"n.b."))</f>
        <v/>
      </c>
      <c r="CQ92" s="124" t="str">
        <f>IF($B92="","",IFERROR(-BD92,"n.b."))</f>
        <v/>
      </c>
      <c r="CR92" s="124" t="str">
        <f>IF($B92="","",IFERROR(-BE92,"n.b."))</f>
        <v/>
      </c>
      <c r="CS92" s="124" t="str">
        <f>IF($B92="","",IFERROR(IF(OR(ABS(T92+V92+X92+Z92-AB92)&gt;P_Tol,ABS(U92+W92+Y92+AA92-AD92)&gt;P_Tol,ABS(AE92+AG92+AI92+AK92-AM92)&gt;P_Tol,ABS(AF92+AH92+AJ92+AL92-AO92)&gt;P_Tol),1,0),1))</f>
        <v/>
      </c>
      <c r="CT92" s="124" t="str">
        <f>IF($B92="","",IFERROR(IF(OR(ABS(AB92+AC92-AD92)&gt;P_Tol,ABS(AM92+AN92-AO92)&gt;P_Tol,ABS(O92+P92-Q92)&gt;P_Tol),1,0),1))</f>
        <v/>
      </c>
      <c r="CU92" s="124" t="str">
        <f>IF($B92="","",IFERROR(IF(ABS(R92-(AB92+AM92+AP92+AR92+AT92+AV92+AX92+AZ92+BB92+BD92))&gt;P_Tol,1,0),1))</f>
        <v/>
      </c>
      <c r="CV92" s="124" t="str">
        <f>IF($B92="","",IFERROR(IF(ABS(M92-(N92+O92+R92))&gt;P_Tol,1,0),1))</f>
        <v/>
      </c>
      <c r="CW92" s="124" t="str">
        <f>IF($B92="","",IF(COUNTIF(Mapping!$A$5:$A$104,B92)&gt;0,1,0))</f>
        <v/>
      </c>
      <c r="CX92" s="124" t="str">
        <f>IF($B92="","",COUNTIF($B$6:$B$505,B92))</f>
        <v/>
      </c>
      <c r="CY92" s="124" t="str">
        <f>IF($B92="","",COUNTIF(STG_Woningetalage!$B$6:$B$505,B92))</f>
        <v/>
      </c>
      <c r="CZ92" s="124" t="str">
        <f>IF($B92="","",IF(CW92=0,COUNTIF($CW$6:CW92,0),""))</f>
        <v/>
      </c>
    </row>
    <row r="93">
      <c r="A93" s="15" t="n">
        <v>89</v>
      </c>
      <c r="B93" t="str">
        <f>IF(B$3=0,"",IF(INDEX(SRC_ZPMW03!$A$1:$ZZ$501,$A93,B$3)&amp;""="","",INDEX(SRC_ZPMW03!$A$1:$ZZ$501,$A93,B$3)&amp;""))</f>
        <v/>
      </c>
      <c r="C93" t="str">
        <f>IF($B93="","",IF(C$3=0,"n.b.",INDEX(SRC_ZPMW03!$A$1:$ZZ$501,$A93,C$3)))</f>
        <v/>
      </c>
      <c r="D93" t="str">
        <f>IF($B93="","",IF(D$3=0,"n.b.",INDEX(SRC_ZPMW03!$A$1:$ZZ$501,$A93,D$3)))</f>
        <v/>
      </c>
      <c r="E93" t="str">
        <f>IF($B93="","",IF(E$3=0,"n.b.",INDEX(SRC_ZPMW03!$A$1:$ZZ$501,$A93,E$3)))</f>
        <v/>
      </c>
      <c r="F93" t="str">
        <f>IF($B93="","",IF(F$3=0,"n.b.",INDEX(SRC_ZPMW03!$A$1:$ZZ$501,$A93,F$3)))</f>
        <v/>
      </c>
      <c r="G93" t="str">
        <f>IF($B93="","",IF(G$3=0,"n.b.",INDEX(SRC_ZPMW03!$A$1:$ZZ$501,$A93,G$3)))</f>
        <v/>
      </c>
      <c r="H93" t="str">
        <f>IF($B93="","",IF(H$3=0,"n.b.",INDEX(SRC_ZPMW03!$A$1:$ZZ$501,$A93,H$3)))</f>
        <v/>
      </c>
      <c r="I93" t="str">
        <f>IF($B93="","",IF(I$3=0,"n.b.",INDEX(SRC_ZPMW03!$A$1:$ZZ$501,$A93,I$3)))</f>
        <v/>
      </c>
      <c r="J93" t="str">
        <f>IF($B93="","",IF(J$3=0,"n.b.",INDEX(SRC_ZPMW03!$A$1:$ZZ$501,$A93,J$3)))</f>
        <v/>
      </c>
      <c r="K93" t="str">
        <f>IF($B93="","",IF(K$3=0,"n.b.",INDEX(SRC_ZPMW03!$A$1:$ZZ$501,$A93,K$3)))</f>
        <v/>
      </c>
      <c r="L93" s="124" t="str">
        <f>IF($B93="","",IF(L$3=0,"n.b.",INDEX(SRC_ZPMW03!$A$1:$ZZ$501,$A93,L$3)))</f>
        <v/>
      </c>
      <c r="M93" s="124" t="str">
        <f>IF($B93="","",IF(M$3=0,"n.b.",INDEX(SRC_ZPMW03!$A$1:$ZZ$501,$A93,M$3)))</f>
        <v/>
      </c>
      <c r="N93" s="124" t="str">
        <f>IF($B93="","",IF(N$3=0,"n.b.",INDEX(SRC_ZPMW03!$A$1:$ZZ$501,$A93,N$3)))</f>
        <v/>
      </c>
      <c r="O93" s="124" t="str">
        <f>IF($B93="","",IF(O$3=0,"n.b.",INDEX(SRC_ZPMW03!$A$1:$ZZ$501,$A93,O$3)))</f>
        <v/>
      </c>
      <c r="P93" s="124" t="str">
        <f>IF($B93="","",IF(P$3=0,"n.b.",INDEX(SRC_ZPMW03!$A$1:$ZZ$501,$A93,P$3)))</f>
        <v/>
      </c>
      <c r="Q93" s="124" t="str">
        <f>IF($B93="","",IF(Q$3=0,"n.b.",INDEX(SRC_ZPMW03!$A$1:$ZZ$501,$A93,Q$3)))</f>
        <v/>
      </c>
      <c r="R93" s="124" t="str">
        <f>IF($B93="","",IF(R$3=0,"n.b.",INDEX(SRC_ZPMW03!$A$1:$ZZ$501,$A93,R$3)))</f>
        <v/>
      </c>
      <c r="S93" s="124" t="str">
        <f>IF($B93="","",IF(S$3=0,"n.b.",INDEX(SRC_ZPMW03!$A$1:$ZZ$501,$A93,S$3)))</f>
        <v/>
      </c>
      <c r="T93" s="124" t="str">
        <f>IF($B93="","",IF(T$3=0,"n.b.",INDEX(SRC_ZPMW03!$A$1:$ZZ$501,$A93,T$3)))</f>
        <v/>
      </c>
      <c r="U93" s="124" t="str">
        <f>IF($B93="","",IF(U$3=0,"n.b.",INDEX(SRC_ZPMW03!$A$1:$ZZ$501,$A93,U$3)))</f>
        <v/>
      </c>
      <c r="V93" s="124" t="str">
        <f>IF($B93="","",IF(V$3=0,"n.b.",INDEX(SRC_ZPMW03!$A$1:$ZZ$501,$A93,V$3)))</f>
        <v/>
      </c>
      <c r="W93" s="124" t="str">
        <f>IF($B93="","",IF(W$3=0,"n.b.",INDEX(SRC_ZPMW03!$A$1:$ZZ$501,$A93,W$3)))</f>
        <v/>
      </c>
      <c r="X93" s="124" t="str">
        <f>IF($B93="","",IF(X$3=0,"n.b.",INDEX(SRC_ZPMW03!$A$1:$ZZ$501,$A93,X$3)))</f>
        <v/>
      </c>
      <c r="Y93" s="124" t="str">
        <f>IF($B93="","",IF(Y$3=0,"n.b.",INDEX(SRC_ZPMW03!$A$1:$ZZ$501,$A93,Y$3)))</f>
        <v/>
      </c>
      <c r="Z93" s="124" t="str">
        <f>IF($B93="","",IF(Z$3=0,"n.b.",INDEX(SRC_ZPMW03!$A$1:$ZZ$501,$A93,Z$3)))</f>
        <v/>
      </c>
      <c r="AA93" s="124" t="str">
        <f>IF($B93="","",IF(AA$3=0,"n.b.",INDEX(SRC_ZPMW03!$A$1:$ZZ$501,$A93,AA$3)))</f>
        <v/>
      </c>
      <c r="AB93" s="124" t="str">
        <f>IF($B93="","",IF(AB$3=0,"n.b.",INDEX(SRC_ZPMW03!$A$1:$ZZ$501,$A93,AB$3)))</f>
        <v/>
      </c>
      <c r="AC93" s="124" t="str">
        <f>IF($B93="","",IF(AC$3=0,"n.b.",INDEX(SRC_ZPMW03!$A$1:$ZZ$501,$A93,AC$3)))</f>
        <v/>
      </c>
      <c r="AD93" s="124" t="str">
        <f>IF($B93="","",IF(AD$3=0,"n.b.",INDEX(SRC_ZPMW03!$A$1:$ZZ$501,$A93,AD$3)))</f>
        <v/>
      </c>
      <c r="AE93" s="124" t="str">
        <f>IF($B93="","",IF(AE$3=0,"n.b.",INDEX(SRC_ZPMW03!$A$1:$ZZ$501,$A93,AE$3)))</f>
        <v/>
      </c>
      <c r="AF93" s="124" t="str">
        <f>IF($B93="","",IF(AF$3=0,"n.b.",INDEX(SRC_ZPMW03!$A$1:$ZZ$501,$A93,AF$3)))</f>
        <v/>
      </c>
      <c r="AG93" s="124" t="str">
        <f>IF($B93="","",IF(AG$3=0,"n.b.",INDEX(SRC_ZPMW03!$A$1:$ZZ$501,$A93,AG$3)))</f>
        <v/>
      </c>
      <c r="AH93" s="124" t="str">
        <f>IF($B93="","",IF(AH$3=0,"n.b.",INDEX(SRC_ZPMW03!$A$1:$ZZ$501,$A93,AH$3)))</f>
        <v/>
      </c>
      <c r="AI93" s="124" t="str">
        <f>IF($B93="","",IF(AI$3=0,"n.b.",INDEX(SRC_ZPMW03!$A$1:$ZZ$501,$A93,AI$3)))</f>
        <v/>
      </c>
      <c r="AJ93" s="124" t="str">
        <f>IF($B93="","",IF(AJ$3=0,"n.b.",INDEX(SRC_ZPMW03!$A$1:$ZZ$501,$A93,AJ$3)))</f>
        <v/>
      </c>
      <c r="AK93" s="124" t="str">
        <f>IF($B93="","",IF(AK$3=0,"n.b.",INDEX(SRC_ZPMW03!$A$1:$ZZ$501,$A93,AK$3)))</f>
        <v/>
      </c>
      <c r="AL93" s="124" t="str">
        <f>IF($B93="","",IF(AL$3=0,"n.b.",INDEX(SRC_ZPMW03!$A$1:$ZZ$501,$A93,AL$3)))</f>
        <v/>
      </c>
      <c r="AM93" s="124" t="str">
        <f>IF($B93="","",IF(AM$3=0,"n.b.",INDEX(SRC_ZPMW03!$A$1:$ZZ$501,$A93,AM$3)))</f>
        <v/>
      </c>
      <c r="AN93" s="124" t="str">
        <f>IF($B93="","",IF(AN$3=0,"n.b.",INDEX(SRC_ZPMW03!$A$1:$ZZ$501,$A93,AN$3)))</f>
        <v/>
      </c>
      <c r="AO93" s="124" t="str">
        <f>IF($B93="","",IF(AO$3=0,"n.b.",INDEX(SRC_ZPMW03!$A$1:$ZZ$501,$A93,AO$3)))</f>
        <v/>
      </c>
      <c r="AP93" s="124" t="str">
        <f>IF($B93="","",IF(AP$3=0,"n.b.",INDEX(SRC_ZPMW03!$A$1:$ZZ$501,$A93,AP$3)))</f>
        <v/>
      </c>
      <c r="AQ93" s="124" t="str">
        <f>IF($B93="","",IF(AQ$3=0,"n.b.",INDEX(SRC_ZPMW03!$A$1:$ZZ$501,$A93,AQ$3)))</f>
        <v/>
      </c>
      <c r="AR93" s="124" t="str">
        <f>IF($B93="","",IF(AR$3=0,"n.b.",INDEX(SRC_ZPMW03!$A$1:$ZZ$501,$A93,AR$3)))</f>
        <v/>
      </c>
      <c r="AS93" s="124" t="str">
        <f>IF($B93="","",IF(AS$3=0,"n.b.",INDEX(SRC_ZPMW03!$A$1:$ZZ$501,$A93,AS$3)))</f>
        <v/>
      </c>
      <c r="AT93" s="124" t="str">
        <f>IF($B93="","",IF(AT$3=0,"n.b.",INDEX(SRC_ZPMW03!$A$1:$ZZ$501,$A93,AT$3)))</f>
        <v/>
      </c>
      <c r="AU93" s="124" t="str">
        <f>IF($B93="","",IF(AU$3=0,"n.b.",INDEX(SRC_ZPMW03!$A$1:$ZZ$501,$A93,AU$3)))</f>
        <v/>
      </c>
      <c r="AV93" s="124" t="str">
        <f>IF($B93="","",IF(AV$3=0,"n.b.",INDEX(SRC_ZPMW03!$A$1:$ZZ$501,$A93,AV$3)))</f>
        <v/>
      </c>
      <c r="AW93" s="124" t="str">
        <f>IF($B93="","",IF(AW$3=0,"n.b.",INDEX(SRC_ZPMW03!$A$1:$ZZ$501,$A93,AW$3)))</f>
        <v/>
      </c>
      <c r="AX93" s="124" t="str">
        <f>IF($B93="","",IF(AX$3=0,"n.b.",INDEX(SRC_ZPMW03!$A$1:$ZZ$501,$A93,AX$3)))</f>
        <v/>
      </c>
      <c r="AY93" s="124" t="str">
        <f>IF($B93="","",IF(AY$3=0,"n.b.",INDEX(SRC_ZPMW03!$A$1:$ZZ$501,$A93,AY$3)))</f>
        <v/>
      </c>
      <c r="AZ93" s="124" t="str">
        <f>IF($B93="","",IF(AZ$3=0,"n.b.",INDEX(SRC_ZPMW03!$A$1:$ZZ$501,$A93,AZ$3)))</f>
        <v/>
      </c>
      <c r="BA93" s="124" t="str">
        <f>IF($B93="","",IF(BA$3=0,"n.b.",INDEX(SRC_ZPMW03!$A$1:$ZZ$501,$A93,BA$3)))</f>
        <v/>
      </c>
      <c r="BB93" s="124" t="str">
        <f>IF($B93="","",IF(BB$3=0,"n.b.",INDEX(SRC_ZPMW03!$A$1:$ZZ$501,$A93,BB$3)))</f>
        <v/>
      </c>
      <c r="BC93" s="124" t="str">
        <f>IF($B93="","",IF(BC$3=0,"n.b.",INDEX(SRC_ZPMW03!$A$1:$ZZ$501,$A93,BC$3)))</f>
        <v/>
      </c>
      <c r="BD93" s="124" t="str">
        <f>IF($B93="","",IF(BD$3=0,"n.b.",INDEX(SRC_ZPMW03!$A$1:$ZZ$501,$A93,BD$3)))</f>
        <v/>
      </c>
      <c r="BE93" s="124" t="str">
        <f>IF($B93="","",IF(BE$3=0,"n.b.",INDEX(SRC_ZPMW03!$A$1:$ZZ$501,$A93,BE$3)))</f>
        <v/>
      </c>
      <c r="BF93" s="124" t="str">
        <f>IF($B93="","",IF(BF$3=0,"n.b.",INDEX(SRC_ZPMW03!$A$1:$ZZ$501,$A93,BF$3)))</f>
        <v/>
      </c>
      <c r="BG93" t="str">
        <f>IF($B93="","",IF(BG$3=0,"n.b.",INDEX(SRC_ZPMW03!$A$1:$ZZ$501,$A93,BG$3)))</f>
        <v/>
      </c>
      <c r="BH93" t="str">
        <f>IF($B93="","",IF(BH$3=0,"n.b.",INDEX(SRC_ZPMW03!$A$1:$ZZ$501,$A93,BH$3)))</f>
        <v/>
      </c>
      <c r="BI93" t="str">
        <f>IF($B93="","",IF(BI$3=0,"n.b.",INDEX(SRC_ZPMW03!$A$1:$ZZ$501,$A93,BI$3)))</f>
        <v/>
      </c>
      <c r="BJ93" t="str">
        <f>IF($B93="","",IF(BJ$3=0,"n.b.",INDEX(SRC_ZPMW03!$A$1:$ZZ$501,$A93,BJ$3)))</f>
        <v/>
      </c>
      <c r="BK93" s="124" t="str">
        <f>IF($B93="","",IFERROR(-O93,"n.b."))</f>
        <v/>
      </c>
      <c r="BL93" s="124" t="str">
        <f>IF($B93="","",IFERROR(-Q93,"n.b."))</f>
        <v/>
      </c>
      <c r="BM93" s="124" t="str">
        <f>IF($B93="","",IFERROR(-AB93,"n.b."))</f>
        <v/>
      </c>
      <c r="BN93" s="124" t="str">
        <f>IF($B93="","",IFERROR(-AD93,"n.b."))</f>
        <v/>
      </c>
      <c r="BO93" s="124" t="str">
        <f>IF($B93="","",IFERROR(BK93+BM93,"n.b."))</f>
        <v/>
      </c>
      <c r="BP93" s="124" t="str">
        <f>IF($B93="","",IFERROR(BL93+BN93,"n.b."))</f>
        <v/>
      </c>
      <c r="BQ93" s="124" t="str">
        <f>IF($B93="","",IFERROR(-AM93,"n.b."))</f>
        <v/>
      </c>
      <c r="BR93" s="124" t="str">
        <f>IF($B93="","",IFERROR(-AO93,"n.b."))</f>
        <v/>
      </c>
      <c r="BS93" s="124" t="str">
        <f>IF($B93="","",IFERROR(-Z93,"n.b."))</f>
        <v/>
      </c>
      <c r="BT93" s="124" t="str">
        <f>IF($B93="","",IFERROR(-AA93,"n.b."))</f>
        <v/>
      </c>
      <c r="BU93" s="124" t="str">
        <f>IF($B93="","",IFERROR(-AE93,"n.b."))</f>
        <v/>
      </c>
      <c r="BV93" s="124" t="str">
        <f>IF($B93="","",IFERROR(-AF93,"n.b."))</f>
        <v/>
      </c>
      <c r="BW93" s="124" t="str">
        <f>IF($B93="","",IFERROR(-AG93,"n.b."))</f>
        <v/>
      </c>
      <c r="BX93" s="124" t="str">
        <f>IF($B93="","",IFERROR(-AH93,"n.b."))</f>
        <v/>
      </c>
      <c r="BY93" s="124" t="str">
        <f>IF($B93="","",IFERROR(-AI93,"n.b."))</f>
        <v/>
      </c>
      <c r="BZ93" s="124" t="str">
        <f>IF($B93="","",IFERROR(-AJ93,"n.b."))</f>
        <v/>
      </c>
      <c r="CA93" s="124" t="str">
        <f>IF($B93="","",IFERROR(-AK93,"n.b."))</f>
        <v/>
      </c>
      <c r="CB93" s="124" t="str">
        <f>IF($B93="","",IFERROR(-AL93,"n.b."))</f>
        <v/>
      </c>
      <c r="CC93" s="124" t="str">
        <f>IF($B93="","",IFERROR(-AP93,"n.b."))</f>
        <v/>
      </c>
      <c r="CD93" s="124" t="str">
        <f>IF($B93="","",IFERROR(-AQ93,"n.b."))</f>
        <v/>
      </c>
      <c r="CE93" s="124" t="str">
        <f>IF($B93="","",IFERROR(-AR93,"n.b."))</f>
        <v/>
      </c>
      <c r="CF93" s="124" t="str">
        <f>IF($B93="","",IFERROR(-AS93,"n.b."))</f>
        <v/>
      </c>
      <c r="CG93" s="124" t="str">
        <f>IF($B93="","",IFERROR(-AT93,"n.b."))</f>
        <v/>
      </c>
      <c r="CH93" s="124" t="str">
        <f>IF($B93="","",IFERROR(-AU93,"n.b."))</f>
        <v/>
      </c>
      <c r="CI93" s="124" t="str">
        <f>IF($B93="","",IFERROR(-AV93,"n.b."))</f>
        <v/>
      </c>
      <c r="CJ93" s="124" t="str">
        <f>IF($B93="","",IFERROR(-AW93,"n.b."))</f>
        <v/>
      </c>
      <c r="CK93" s="124" t="str">
        <f>IF($B93="","",IFERROR(-AX93,"n.b."))</f>
        <v/>
      </c>
      <c r="CL93" s="124" t="str">
        <f>IF($B93="","",IFERROR(-AY93,"n.b."))</f>
        <v/>
      </c>
      <c r="CM93" s="124" t="str">
        <f>IF($B93="","",IFERROR(-AZ93,"n.b."))</f>
        <v/>
      </c>
      <c r="CN93" s="124" t="str">
        <f>IF($B93="","",IFERROR(-BA93,"n.b."))</f>
        <v/>
      </c>
      <c r="CO93" s="124" t="str">
        <f>IF($B93="","",IFERROR(-BB93,"n.b."))</f>
        <v/>
      </c>
      <c r="CP93" s="124" t="str">
        <f>IF($B93="","",IFERROR(-BC93,"n.b."))</f>
        <v/>
      </c>
      <c r="CQ93" s="124" t="str">
        <f>IF($B93="","",IFERROR(-BD93,"n.b."))</f>
        <v/>
      </c>
      <c r="CR93" s="124" t="str">
        <f>IF($B93="","",IFERROR(-BE93,"n.b."))</f>
        <v/>
      </c>
      <c r="CS93" s="124" t="str">
        <f>IF($B93="","",IFERROR(IF(OR(ABS(T93+V93+X93+Z93-AB93)&gt;P_Tol,ABS(U93+W93+Y93+AA93-AD93)&gt;P_Tol,ABS(AE93+AG93+AI93+AK93-AM93)&gt;P_Tol,ABS(AF93+AH93+AJ93+AL93-AO93)&gt;P_Tol),1,0),1))</f>
        <v/>
      </c>
      <c r="CT93" s="124" t="str">
        <f>IF($B93="","",IFERROR(IF(OR(ABS(AB93+AC93-AD93)&gt;P_Tol,ABS(AM93+AN93-AO93)&gt;P_Tol,ABS(O93+P93-Q93)&gt;P_Tol),1,0),1))</f>
        <v/>
      </c>
      <c r="CU93" s="124" t="str">
        <f>IF($B93="","",IFERROR(IF(ABS(R93-(AB93+AM93+AP93+AR93+AT93+AV93+AX93+AZ93+BB93+BD93))&gt;P_Tol,1,0),1))</f>
        <v/>
      </c>
      <c r="CV93" s="124" t="str">
        <f>IF($B93="","",IFERROR(IF(ABS(M93-(N93+O93+R93))&gt;P_Tol,1,0),1))</f>
        <v/>
      </c>
      <c r="CW93" s="124" t="str">
        <f>IF($B93="","",IF(COUNTIF(Mapping!$A$5:$A$104,B93)&gt;0,1,0))</f>
        <v/>
      </c>
      <c r="CX93" s="124" t="str">
        <f>IF($B93="","",COUNTIF($B$6:$B$505,B93))</f>
        <v/>
      </c>
      <c r="CY93" s="124" t="str">
        <f>IF($B93="","",COUNTIF(STG_Woningetalage!$B$6:$B$505,B93))</f>
        <v/>
      </c>
      <c r="CZ93" s="124" t="str">
        <f>IF($B93="","",IF(CW93=0,COUNTIF($CW$6:CW93,0),""))</f>
        <v/>
      </c>
    </row>
    <row r="94">
      <c r="A94" s="15" t="n">
        <v>90</v>
      </c>
      <c r="B94" t="str">
        <f>IF(B$3=0,"",IF(INDEX(SRC_ZPMW03!$A$1:$ZZ$501,$A94,B$3)&amp;""="","",INDEX(SRC_ZPMW03!$A$1:$ZZ$501,$A94,B$3)&amp;""))</f>
        <v/>
      </c>
      <c r="C94" t="str">
        <f>IF($B94="","",IF(C$3=0,"n.b.",INDEX(SRC_ZPMW03!$A$1:$ZZ$501,$A94,C$3)))</f>
        <v/>
      </c>
      <c r="D94" t="str">
        <f>IF($B94="","",IF(D$3=0,"n.b.",INDEX(SRC_ZPMW03!$A$1:$ZZ$501,$A94,D$3)))</f>
        <v/>
      </c>
      <c r="E94" t="str">
        <f>IF($B94="","",IF(E$3=0,"n.b.",INDEX(SRC_ZPMW03!$A$1:$ZZ$501,$A94,E$3)))</f>
        <v/>
      </c>
      <c r="F94" t="str">
        <f>IF($B94="","",IF(F$3=0,"n.b.",INDEX(SRC_ZPMW03!$A$1:$ZZ$501,$A94,F$3)))</f>
        <v/>
      </c>
      <c r="G94" t="str">
        <f>IF($B94="","",IF(G$3=0,"n.b.",INDEX(SRC_ZPMW03!$A$1:$ZZ$501,$A94,G$3)))</f>
        <v/>
      </c>
      <c r="H94" t="str">
        <f>IF($B94="","",IF(H$3=0,"n.b.",INDEX(SRC_ZPMW03!$A$1:$ZZ$501,$A94,H$3)))</f>
        <v/>
      </c>
      <c r="I94" t="str">
        <f>IF($B94="","",IF(I$3=0,"n.b.",INDEX(SRC_ZPMW03!$A$1:$ZZ$501,$A94,I$3)))</f>
        <v/>
      </c>
      <c r="J94" t="str">
        <f>IF($B94="","",IF(J$3=0,"n.b.",INDEX(SRC_ZPMW03!$A$1:$ZZ$501,$A94,J$3)))</f>
        <v/>
      </c>
      <c r="K94" t="str">
        <f>IF($B94="","",IF(K$3=0,"n.b.",INDEX(SRC_ZPMW03!$A$1:$ZZ$501,$A94,K$3)))</f>
        <v/>
      </c>
      <c r="L94" s="124" t="str">
        <f>IF($B94="","",IF(L$3=0,"n.b.",INDEX(SRC_ZPMW03!$A$1:$ZZ$501,$A94,L$3)))</f>
        <v/>
      </c>
      <c r="M94" s="124" t="str">
        <f>IF($B94="","",IF(M$3=0,"n.b.",INDEX(SRC_ZPMW03!$A$1:$ZZ$501,$A94,M$3)))</f>
        <v/>
      </c>
      <c r="N94" s="124" t="str">
        <f>IF($B94="","",IF(N$3=0,"n.b.",INDEX(SRC_ZPMW03!$A$1:$ZZ$501,$A94,N$3)))</f>
        <v/>
      </c>
      <c r="O94" s="124" t="str">
        <f>IF($B94="","",IF(O$3=0,"n.b.",INDEX(SRC_ZPMW03!$A$1:$ZZ$501,$A94,O$3)))</f>
        <v/>
      </c>
      <c r="P94" s="124" t="str">
        <f>IF($B94="","",IF(P$3=0,"n.b.",INDEX(SRC_ZPMW03!$A$1:$ZZ$501,$A94,P$3)))</f>
        <v/>
      </c>
      <c r="Q94" s="124" t="str">
        <f>IF($B94="","",IF(Q$3=0,"n.b.",INDEX(SRC_ZPMW03!$A$1:$ZZ$501,$A94,Q$3)))</f>
        <v/>
      </c>
      <c r="R94" s="124" t="str">
        <f>IF($B94="","",IF(R$3=0,"n.b.",INDEX(SRC_ZPMW03!$A$1:$ZZ$501,$A94,R$3)))</f>
        <v/>
      </c>
      <c r="S94" s="124" t="str">
        <f>IF($B94="","",IF(S$3=0,"n.b.",INDEX(SRC_ZPMW03!$A$1:$ZZ$501,$A94,S$3)))</f>
        <v/>
      </c>
      <c r="T94" s="124" t="str">
        <f>IF($B94="","",IF(T$3=0,"n.b.",INDEX(SRC_ZPMW03!$A$1:$ZZ$501,$A94,T$3)))</f>
        <v/>
      </c>
      <c r="U94" s="124" t="str">
        <f>IF($B94="","",IF(U$3=0,"n.b.",INDEX(SRC_ZPMW03!$A$1:$ZZ$501,$A94,U$3)))</f>
        <v/>
      </c>
      <c r="V94" s="124" t="str">
        <f>IF($B94="","",IF(V$3=0,"n.b.",INDEX(SRC_ZPMW03!$A$1:$ZZ$501,$A94,V$3)))</f>
        <v/>
      </c>
      <c r="W94" s="124" t="str">
        <f>IF($B94="","",IF(W$3=0,"n.b.",INDEX(SRC_ZPMW03!$A$1:$ZZ$501,$A94,W$3)))</f>
        <v/>
      </c>
      <c r="X94" s="124" t="str">
        <f>IF($B94="","",IF(X$3=0,"n.b.",INDEX(SRC_ZPMW03!$A$1:$ZZ$501,$A94,X$3)))</f>
        <v/>
      </c>
      <c r="Y94" s="124" t="str">
        <f>IF($B94="","",IF(Y$3=0,"n.b.",INDEX(SRC_ZPMW03!$A$1:$ZZ$501,$A94,Y$3)))</f>
        <v/>
      </c>
      <c r="Z94" s="124" t="str">
        <f>IF($B94="","",IF(Z$3=0,"n.b.",INDEX(SRC_ZPMW03!$A$1:$ZZ$501,$A94,Z$3)))</f>
        <v/>
      </c>
      <c r="AA94" s="124" t="str">
        <f>IF($B94="","",IF(AA$3=0,"n.b.",INDEX(SRC_ZPMW03!$A$1:$ZZ$501,$A94,AA$3)))</f>
        <v/>
      </c>
      <c r="AB94" s="124" t="str">
        <f>IF($B94="","",IF(AB$3=0,"n.b.",INDEX(SRC_ZPMW03!$A$1:$ZZ$501,$A94,AB$3)))</f>
        <v/>
      </c>
      <c r="AC94" s="124" t="str">
        <f>IF($B94="","",IF(AC$3=0,"n.b.",INDEX(SRC_ZPMW03!$A$1:$ZZ$501,$A94,AC$3)))</f>
        <v/>
      </c>
      <c r="AD94" s="124" t="str">
        <f>IF($B94="","",IF(AD$3=0,"n.b.",INDEX(SRC_ZPMW03!$A$1:$ZZ$501,$A94,AD$3)))</f>
        <v/>
      </c>
      <c r="AE94" s="124" t="str">
        <f>IF($B94="","",IF(AE$3=0,"n.b.",INDEX(SRC_ZPMW03!$A$1:$ZZ$501,$A94,AE$3)))</f>
        <v/>
      </c>
      <c r="AF94" s="124" t="str">
        <f>IF($B94="","",IF(AF$3=0,"n.b.",INDEX(SRC_ZPMW03!$A$1:$ZZ$501,$A94,AF$3)))</f>
        <v/>
      </c>
      <c r="AG94" s="124" t="str">
        <f>IF($B94="","",IF(AG$3=0,"n.b.",INDEX(SRC_ZPMW03!$A$1:$ZZ$501,$A94,AG$3)))</f>
        <v/>
      </c>
      <c r="AH94" s="124" t="str">
        <f>IF($B94="","",IF(AH$3=0,"n.b.",INDEX(SRC_ZPMW03!$A$1:$ZZ$501,$A94,AH$3)))</f>
        <v/>
      </c>
      <c r="AI94" s="124" t="str">
        <f>IF($B94="","",IF(AI$3=0,"n.b.",INDEX(SRC_ZPMW03!$A$1:$ZZ$501,$A94,AI$3)))</f>
        <v/>
      </c>
      <c r="AJ94" s="124" t="str">
        <f>IF($B94="","",IF(AJ$3=0,"n.b.",INDEX(SRC_ZPMW03!$A$1:$ZZ$501,$A94,AJ$3)))</f>
        <v/>
      </c>
      <c r="AK94" s="124" t="str">
        <f>IF($B94="","",IF(AK$3=0,"n.b.",INDEX(SRC_ZPMW03!$A$1:$ZZ$501,$A94,AK$3)))</f>
        <v/>
      </c>
      <c r="AL94" s="124" t="str">
        <f>IF($B94="","",IF(AL$3=0,"n.b.",INDEX(SRC_ZPMW03!$A$1:$ZZ$501,$A94,AL$3)))</f>
        <v/>
      </c>
      <c r="AM94" s="124" t="str">
        <f>IF($B94="","",IF(AM$3=0,"n.b.",INDEX(SRC_ZPMW03!$A$1:$ZZ$501,$A94,AM$3)))</f>
        <v/>
      </c>
      <c r="AN94" s="124" t="str">
        <f>IF($B94="","",IF(AN$3=0,"n.b.",INDEX(SRC_ZPMW03!$A$1:$ZZ$501,$A94,AN$3)))</f>
        <v/>
      </c>
      <c r="AO94" s="124" t="str">
        <f>IF($B94="","",IF(AO$3=0,"n.b.",INDEX(SRC_ZPMW03!$A$1:$ZZ$501,$A94,AO$3)))</f>
        <v/>
      </c>
      <c r="AP94" s="124" t="str">
        <f>IF($B94="","",IF(AP$3=0,"n.b.",INDEX(SRC_ZPMW03!$A$1:$ZZ$501,$A94,AP$3)))</f>
        <v/>
      </c>
      <c r="AQ94" s="124" t="str">
        <f>IF($B94="","",IF(AQ$3=0,"n.b.",INDEX(SRC_ZPMW03!$A$1:$ZZ$501,$A94,AQ$3)))</f>
        <v/>
      </c>
      <c r="AR94" s="124" t="str">
        <f>IF($B94="","",IF(AR$3=0,"n.b.",INDEX(SRC_ZPMW03!$A$1:$ZZ$501,$A94,AR$3)))</f>
        <v/>
      </c>
      <c r="AS94" s="124" t="str">
        <f>IF($B94="","",IF(AS$3=0,"n.b.",INDEX(SRC_ZPMW03!$A$1:$ZZ$501,$A94,AS$3)))</f>
        <v/>
      </c>
      <c r="AT94" s="124" t="str">
        <f>IF($B94="","",IF(AT$3=0,"n.b.",INDEX(SRC_ZPMW03!$A$1:$ZZ$501,$A94,AT$3)))</f>
        <v/>
      </c>
      <c r="AU94" s="124" t="str">
        <f>IF($B94="","",IF(AU$3=0,"n.b.",INDEX(SRC_ZPMW03!$A$1:$ZZ$501,$A94,AU$3)))</f>
        <v/>
      </c>
      <c r="AV94" s="124" t="str">
        <f>IF($B94="","",IF(AV$3=0,"n.b.",INDEX(SRC_ZPMW03!$A$1:$ZZ$501,$A94,AV$3)))</f>
        <v/>
      </c>
      <c r="AW94" s="124" t="str">
        <f>IF($B94="","",IF(AW$3=0,"n.b.",INDEX(SRC_ZPMW03!$A$1:$ZZ$501,$A94,AW$3)))</f>
        <v/>
      </c>
      <c r="AX94" s="124" t="str">
        <f>IF($B94="","",IF(AX$3=0,"n.b.",INDEX(SRC_ZPMW03!$A$1:$ZZ$501,$A94,AX$3)))</f>
        <v/>
      </c>
      <c r="AY94" s="124" t="str">
        <f>IF($B94="","",IF(AY$3=0,"n.b.",INDEX(SRC_ZPMW03!$A$1:$ZZ$501,$A94,AY$3)))</f>
        <v/>
      </c>
      <c r="AZ94" s="124" t="str">
        <f>IF($B94="","",IF(AZ$3=0,"n.b.",INDEX(SRC_ZPMW03!$A$1:$ZZ$501,$A94,AZ$3)))</f>
        <v/>
      </c>
      <c r="BA94" s="124" t="str">
        <f>IF($B94="","",IF(BA$3=0,"n.b.",INDEX(SRC_ZPMW03!$A$1:$ZZ$501,$A94,BA$3)))</f>
        <v/>
      </c>
      <c r="BB94" s="124" t="str">
        <f>IF($B94="","",IF(BB$3=0,"n.b.",INDEX(SRC_ZPMW03!$A$1:$ZZ$501,$A94,BB$3)))</f>
        <v/>
      </c>
      <c r="BC94" s="124" t="str">
        <f>IF($B94="","",IF(BC$3=0,"n.b.",INDEX(SRC_ZPMW03!$A$1:$ZZ$501,$A94,BC$3)))</f>
        <v/>
      </c>
      <c r="BD94" s="124" t="str">
        <f>IF($B94="","",IF(BD$3=0,"n.b.",INDEX(SRC_ZPMW03!$A$1:$ZZ$501,$A94,BD$3)))</f>
        <v/>
      </c>
      <c r="BE94" s="124" t="str">
        <f>IF($B94="","",IF(BE$3=0,"n.b.",INDEX(SRC_ZPMW03!$A$1:$ZZ$501,$A94,BE$3)))</f>
        <v/>
      </c>
      <c r="BF94" s="124" t="str">
        <f>IF($B94="","",IF(BF$3=0,"n.b.",INDEX(SRC_ZPMW03!$A$1:$ZZ$501,$A94,BF$3)))</f>
        <v/>
      </c>
      <c r="BG94" t="str">
        <f>IF($B94="","",IF(BG$3=0,"n.b.",INDEX(SRC_ZPMW03!$A$1:$ZZ$501,$A94,BG$3)))</f>
        <v/>
      </c>
      <c r="BH94" t="str">
        <f>IF($B94="","",IF(BH$3=0,"n.b.",INDEX(SRC_ZPMW03!$A$1:$ZZ$501,$A94,BH$3)))</f>
        <v/>
      </c>
      <c r="BI94" t="str">
        <f>IF($B94="","",IF(BI$3=0,"n.b.",INDEX(SRC_ZPMW03!$A$1:$ZZ$501,$A94,BI$3)))</f>
        <v/>
      </c>
      <c r="BJ94" t="str">
        <f>IF($B94="","",IF(BJ$3=0,"n.b.",INDEX(SRC_ZPMW03!$A$1:$ZZ$501,$A94,BJ$3)))</f>
        <v/>
      </c>
      <c r="BK94" s="124" t="str">
        <f>IF($B94="","",IFERROR(-O94,"n.b."))</f>
        <v/>
      </c>
      <c r="BL94" s="124" t="str">
        <f>IF($B94="","",IFERROR(-Q94,"n.b."))</f>
        <v/>
      </c>
      <c r="BM94" s="124" t="str">
        <f>IF($B94="","",IFERROR(-AB94,"n.b."))</f>
        <v/>
      </c>
      <c r="BN94" s="124" t="str">
        <f>IF($B94="","",IFERROR(-AD94,"n.b."))</f>
        <v/>
      </c>
      <c r="BO94" s="124" t="str">
        <f>IF($B94="","",IFERROR(BK94+BM94,"n.b."))</f>
        <v/>
      </c>
      <c r="BP94" s="124" t="str">
        <f>IF($B94="","",IFERROR(BL94+BN94,"n.b."))</f>
        <v/>
      </c>
      <c r="BQ94" s="124" t="str">
        <f>IF($B94="","",IFERROR(-AM94,"n.b."))</f>
        <v/>
      </c>
      <c r="BR94" s="124" t="str">
        <f>IF($B94="","",IFERROR(-AO94,"n.b."))</f>
        <v/>
      </c>
      <c r="BS94" s="124" t="str">
        <f>IF($B94="","",IFERROR(-Z94,"n.b."))</f>
        <v/>
      </c>
      <c r="BT94" s="124" t="str">
        <f>IF($B94="","",IFERROR(-AA94,"n.b."))</f>
        <v/>
      </c>
      <c r="BU94" s="124" t="str">
        <f>IF($B94="","",IFERROR(-AE94,"n.b."))</f>
        <v/>
      </c>
      <c r="BV94" s="124" t="str">
        <f>IF($B94="","",IFERROR(-AF94,"n.b."))</f>
        <v/>
      </c>
      <c r="BW94" s="124" t="str">
        <f>IF($B94="","",IFERROR(-AG94,"n.b."))</f>
        <v/>
      </c>
      <c r="BX94" s="124" t="str">
        <f>IF($B94="","",IFERROR(-AH94,"n.b."))</f>
        <v/>
      </c>
      <c r="BY94" s="124" t="str">
        <f>IF($B94="","",IFERROR(-AI94,"n.b."))</f>
        <v/>
      </c>
      <c r="BZ94" s="124" t="str">
        <f>IF($B94="","",IFERROR(-AJ94,"n.b."))</f>
        <v/>
      </c>
      <c r="CA94" s="124" t="str">
        <f>IF($B94="","",IFERROR(-AK94,"n.b."))</f>
        <v/>
      </c>
      <c r="CB94" s="124" t="str">
        <f>IF($B94="","",IFERROR(-AL94,"n.b."))</f>
        <v/>
      </c>
      <c r="CC94" s="124" t="str">
        <f>IF($B94="","",IFERROR(-AP94,"n.b."))</f>
        <v/>
      </c>
      <c r="CD94" s="124" t="str">
        <f>IF($B94="","",IFERROR(-AQ94,"n.b."))</f>
        <v/>
      </c>
      <c r="CE94" s="124" t="str">
        <f>IF($B94="","",IFERROR(-AR94,"n.b."))</f>
        <v/>
      </c>
      <c r="CF94" s="124" t="str">
        <f>IF($B94="","",IFERROR(-AS94,"n.b."))</f>
        <v/>
      </c>
      <c r="CG94" s="124" t="str">
        <f>IF($B94="","",IFERROR(-AT94,"n.b."))</f>
        <v/>
      </c>
      <c r="CH94" s="124" t="str">
        <f>IF($B94="","",IFERROR(-AU94,"n.b."))</f>
        <v/>
      </c>
      <c r="CI94" s="124" t="str">
        <f>IF($B94="","",IFERROR(-AV94,"n.b."))</f>
        <v/>
      </c>
      <c r="CJ94" s="124" t="str">
        <f>IF($B94="","",IFERROR(-AW94,"n.b."))</f>
        <v/>
      </c>
      <c r="CK94" s="124" t="str">
        <f>IF($B94="","",IFERROR(-AX94,"n.b."))</f>
        <v/>
      </c>
      <c r="CL94" s="124" t="str">
        <f>IF($B94="","",IFERROR(-AY94,"n.b."))</f>
        <v/>
      </c>
      <c r="CM94" s="124" t="str">
        <f>IF($B94="","",IFERROR(-AZ94,"n.b."))</f>
        <v/>
      </c>
      <c r="CN94" s="124" t="str">
        <f>IF($B94="","",IFERROR(-BA94,"n.b."))</f>
        <v/>
      </c>
      <c r="CO94" s="124" t="str">
        <f>IF($B94="","",IFERROR(-BB94,"n.b."))</f>
        <v/>
      </c>
      <c r="CP94" s="124" t="str">
        <f>IF($B94="","",IFERROR(-BC94,"n.b."))</f>
        <v/>
      </c>
      <c r="CQ94" s="124" t="str">
        <f>IF($B94="","",IFERROR(-BD94,"n.b."))</f>
        <v/>
      </c>
      <c r="CR94" s="124" t="str">
        <f>IF($B94="","",IFERROR(-BE94,"n.b."))</f>
        <v/>
      </c>
      <c r="CS94" s="124" t="str">
        <f>IF($B94="","",IFERROR(IF(OR(ABS(T94+V94+X94+Z94-AB94)&gt;P_Tol,ABS(U94+W94+Y94+AA94-AD94)&gt;P_Tol,ABS(AE94+AG94+AI94+AK94-AM94)&gt;P_Tol,ABS(AF94+AH94+AJ94+AL94-AO94)&gt;P_Tol),1,0),1))</f>
        <v/>
      </c>
      <c r="CT94" s="124" t="str">
        <f>IF($B94="","",IFERROR(IF(OR(ABS(AB94+AC94-AD94)&gt;P_Tol,ABS(AM94+AN94-AO94)&gt;P_Tol,ABS(O94+P94-Q94)&gt;P_Tol),1,0),1))</f>
        <v/>
      </c>
      <c r="CU94" s="124" t="str">
        <f>IF($B94="","",IFERROR(IF(ABS(R94-(AB94+AM94+AP94+AR94+AT94+AV94+AX94+AZ94+BB94+BD94))&gt;P_Tol,1,0),1))</f>
        <v/>
      </c>
      <c r="CV94" s="124" t="str">
        <f>IF($B94="","",IFERROR(IF(ABS(M94-(N94+O94+R94))&gt;P_Tol,1,0),1))</f>
        <v/>
      </c>
      <c r="CW94" s="124" t="str">
        <f>IF($B94="","",IF(COUNTIF(Mapping!$A$5:$A$104,B94)&gt;0,1,0))</f>
        <v/>
      </c>
      <c r="CX94" s="124" t="str">
        <f>IF($B94="","",COUNTIF($B$6:$B$505,B94))</f>
        <v/>
      </c>
      <c r="CY94" s="124" t="str">
        <f>IF($B94="","",COUNTIF(STG_Woningetalage!$B$6:$B$505,B94))</f>
        <v/>
      </c>
      <c r="CZ94" s="124" t="str">
        <f>IF($B94="","",IF(CW94=0,COUNTIF($CW$6:CW94,0),""))</f>
        <v/>
      </c>
    </row>
    <row r="95">
      <c r="A95" s="15" t="n">
        <v>91</v>
      </c>
      <c r="B95" t="str">
        <f>IF(B$3=0,"",IF(INDEX(SRC_ZPMW03!$A$1:$ZZ$501,$A95,B$3)&amp;""="","",INDEX(SRC_ZPMW03!$A$1:$ZZ$501,$A95,B$3)&amp;""))</f>
        <v/>
      </c>
      <c r="C95" t="str">
        <f>IF($B95="","",IF(C$3=0,"n.b.",INDEX(SRC_ZPMW03!$A$1:$ZZ$501,$A95,C$3)))</f>
        <v/>
      </c>
      <c r="D95" t="str">
        <f>IF($B95="","",IF(D$3=0,"n.b.",INDEX(SRC_ZPMW03!$A$1:$ZZ$501,$A95,D$3)))</f>
        <v/>
      </c>
      <c r="E95" t="str">
        <f>IF($B95="","",IF(E$3=0,"n.b.",INDEX(SRC_ZPMW03!$A$1:$ZZ$501,$A95,E$3)))</f>
        <v/>
      </c>
      <c r="F95" t="str">
        <f>IF($B95="","",IF(F$3=0,"n.b.",INDEX(SRC_ZPMW03!$A$1:$ZZ$501,$A95,F$3)))</f>
        <v/>
      </c>
      <c r="G95" t="str">
        <f>IF($B95="","",IF(G$3=0,"n.b.",INDEX(SRC_ZPMW03!$A$1:$ZZ$501,$A95,G$3)))</f>
        <v/>
      </c>
      <c r="H95" t="str">
        <f>IF($B95="","",IF(H$3=0,"n.b.",INDEX(SRC_ZPMW03!$A$1:$ZZ$501,$A95,H$3)))</f>
        <v/>
      </c>
      <c r="I95" t="str">
        <f>IF($B95="","",IF(I$3=0,"n.b.",INDEX(SRC_ZPMW03!$A$1:$ZZ$501,$A95,I$3)))</f>
        <v/>
      </c>
      <c r="J95" t="str">
        <f>IF($B95="","",IF(J$3=0,"n.b.",INDEX(SRC_ZPMW03!$A$1:$ZZ$501,$A95,J$3)))</f>
        <v/>
      </c>
      <c r="K95" t="str">
        <f>IF($B95="","",IF(K$3=0,"n.b.",INDEX(SRC_ZPMW03!$A$1:$ZZ$501,$A95,K$3)))</f>
        <v/>
      </c>
      <c r="L95" s="124" t="str">
        <f>IF($B95="","",IF(L$3=0,"n.b.",INDEX(SRC_ZPMW03!$A$1:$ZZ$501,$A95,L$3)))</f>
        <v/>
      </c>
      <c r="M95" s="124" t="str">
        <f>IF($B95="","",IF(M$3=0,"n.b.",INDEX(SRC_ZPMW03!$A$1:$ZZ$501,$A95,M$3)))</f>
        <v/>
      </c>
      <c r="N95" s="124" t="str">
        <f>IF($B95="","",IF(N$3=0,"n.b.",INDEX(SRC_ZPMW03!$A$1:$ZZ$501,$A95,N$3)))</f>
        <v/>
      </c>
      <c r="O95" s="124" t="str">
        <f>IF($B95="","",IF(O$3=0,"n.b.",INDEX(SRC_ZPMW03!$A$1:$ZZ$501,$A95,O$3)))</f>
        <v/>
      </c>
      <c r="P95" s="124" t="str">
        <f>IF($B95="","",IF(P$3=0,"n.b.",INDEX(SRC_ZPMW03!$A$1:$ZZ$501,$A95,P$3)))</f>
        <v/>
      </c>
      <c r="Q95" s="124" t="str">
        <f>IF($B95="","",IF(Q$3=0,"n.b.",INDEX(SRC_ZPMW03!$A$1:$ZZ$501,$A95,Q$3)))</f>
        <v/>
      </c>
      <c r="R95" s="124" t="str">
        <f>IF($B95="","",IF(R$3=0,"n.b.",INDEX(SRC_ZPMW03!$A$1:$ZZ$501,$A95,R$3)))</f>
        <v/>
      </c>
      <c r="S95" s="124" t="str">
        <f>IF($B95="","",IF(S$3=0,"n.b.",INDEX(SRC_ZPMW03!$A$1:$ZZ$501,$A95,S$3)))</f>
        <v/>
      </c>
      <c r="T95" s="124" t="str">
        <f>IF($B95="","",IF(T$3=0,"n.b.",INDEX(SRC_ZPMW03!$A$1:$ZZ$501,$A95,T$3)))</f>
        <v/>
      </c>
      <c r="U95" s="124" t="str">
        <f>IF($B95="","",IF(U$3=0,"n.b.",INDEX(SRC_ZPMW03!$A$1:$ZZ$501,$A95,U$3)))</f>
        <v/>
      </c>
      <c r="V95" s="124" t="str">
        <f>IF($B95="","",IF(V$3=0,"n.b.",INDEX(SRC_ZPMW03!$A$1:$ZZ$501,$A95,V$3)))</f>
        <v/>
      </c>
      <c r="W95" s="124" t="str">
        <f>IF($B95="","",IF(W$3=0,"n.b.",INDEX(SRC_ZPMW03!$A$1:$ZZ$501,$A95,W$3)))</f>
        <v/>
      </c>
      <c r="X95" s="124" t="str">
        <f>IF($B95="","",IF(X$3=0,"n.b.",INDEX(SRC_ZPMW03!$A$1:$ZZ$501,$A95,X$3)))</f>
        <v/>
      </c>
      <c r="Y95" s="124" t="str">
        <f>IF($B95="","",IF(Y$3=0,"n.b.",INDEX(SRC_ZPMW03!$A$1:$ZZ$501,$A95,Y$3)))</f>
        <v/>
      </c>
      <c r="Z95" s="124" t="str">
        <f>IF($B95="","",IF(Z$3=0,"n.b.",INDEX(SRC_ZPMW03!$A$1:$ZZ$501,$A95,Z$3)))</f>
        <v/>
      </c>
      <c r="AA95" s="124" t="str">
        <f>IF($B95="","",IF(AA$3=0,"n.b.",INDEX(SRC_ZPMW03!$A$1:$ZZ$501,$A95,AA$3)))</f>
        <v/>
      </c>
      <c r="AB95" s="124" t="str">
        <f>IF($B95="","",IF(AB$3=0,"n.b.",INDEX(SRC_ZPMW03!$A$1:$ZZ$501,$A95,AB$3)))</f>
        <v/>
      </c>
      <c r="AC95" s="124" t="str">
        <f>IF($B95="","",IF(AC$3=0,"n.b.",INDEX(SRC_ZPMW03!$A$1:$ZZ$501,$A95,AC$3)))</f>
        <v/>
      </c>
      <c r="AD95" s="124" t="str">
        <f>IF($B95="","",IF(AD$3=0,"n.b.",INDEX(SRC_ZPMW03!$A$1:$ZZ$501,$A95,AD$3)))</f>
        <v/>
      </c>
      <c r="AE95" s="124" t="str">
        <f>IF($B95="","",IF(AE$3=0,"n.b.",INDEX(SRC_ZPMW03!$A$1:$ZZ$501,$A95,AE$3)))</f>
        <v/>
      </c>
      <c r="AF95" s="124" t="str">
        <f>IF($B95="","",IF(AF$3=0,"n.b.",INDEX(SRC_ZPMW03!$A$1:$ZZ$501,$A95,AF$3)))</f>
        <v/>
      </c>
      <c r="AG95" s="124" t="str">
        <f>IF($B95="","",IF(AG$3=0,"n.b.",INDEX(SRC_ZPMW03!$A$1:$ZZ$501,$A95,AG$3)))</f>
        <v/>
      </c>
      <c r="AH95" s="124" t="str">
        <f>IF($B95="","",IF(AH$3=0,"n.b.",INDEX(SRC_ZPMW03!$A$1:$ZZ$501,$A95,AH$3)))</f>
        <v/>
      </c>
      <c r="AI95" s="124" t="str">
        <f>IF($B95="","",IF(AI$3=0,"n.b.",INDEX(SRC_ZPMW03!$A$1:$ZZ$501,$A95,AI$3)))</f>
        <v/>
      </c>
      <c r="AJ95" s="124" t="str">
        <f>IF($B95="","",IF(AJ$3=0,"n.b.",INDEX(SRC_ZPMW03!$A$1:$ZZ$501,$A95,AJ$3)))</f>
        <v/>
      </c>
      <c r="AK95" s="124" t="str">
        <f>IF($B95="","",IF(AK$3=0,"n.b.",INDEX(SRC_ZPMW03!$A$1:$ZZ$501,$A95,AK$3)))</f>
        <v/>
      </c>
      <c r="AL95" s="124" t="str">
        <f>IF($B95="","",IF(AL$3=0,"n.b.",INDEX(SRC_ZPMW03!$A$1:$ZZ$501,$A95,AL$3)))</f>
        <v/>
      </c>
      <c r="AM95" s="124" t="str">
        <f>IF($B95="","",IF(AM$3=0,"n.b.",INDEX(SRC_ZPMW03!$A$1:$ZZ$501,$A95,AM$3)))</f>
        <v/>
      </c>
      <c r="AN95" s="124" t="str">
        <f>IF($B95="","",IF(AN$3=0,"n.b.",INDEX(SRC_ZPMW03!$A$1:$ZZ$501,$A95,AN$3)))</f>
        <v/>
      </c>
      <c r="AO95" s="124" t="str">
        <f>IF($B95="","",IF(AO$3=0,"n.b.",INDEX(SRC_ZPMW03!$A$1:$ZZ$501,$A95,AO$3)))</f>
        <v/>
      </c>
      <c r="AP95" s="124" t="str">
        <f>IF($B95="","",IF(AP$3=0,"n.b.",INDEX(SRC_ZPMW03!$A$1:$ZZ$501,$A95,AP$3)))</f>
        <v/>
      </c>
      <c r="AQ95" s="124" t="str">
        <f>IF($B95="","",IF(AQ$3=0,"n.b.",INDEX(SRC_ZPMW03!$A$1:$ZZ$501,$A95,AQ$3)))</f>
        <v/>
      </c>
      <c r="AR95" s="124" t="str">
        <f>IF($B95="","",IF(AR$3=0,"n.b.",INDEX(SRC_ZPMW03!$A$1:$ZZ$501,$A95,AR$3)))</f>
        <v/>
      </c>
      <c r="AS95" s="124" t="str">
        <f>IF($B95="","",IF(AS$3=0,"n.b.",INDEX(SRC_ZPMW03!$A$1:$ZZ$501,$A95,AS$3)))</f>
        <v/>
      </c>
      <c r="AT95" s="124" t="str">
        <f>IF($B95="","",IF(AT$3=0,"n.b.",INDEX(SRC_ZPMW03!$A$1:$ZZ$501,$A95,AT$3)))</f>
        <v/>
      </c>
      <c r="AU95" s="124" t="str">
        <f>IF($B95="","",IF(AU$3=0,"n.b.",INDEX(SRC_ZPMW03!$A$1:$ZZ$501,$A95,AU$3)))</f>
        <v/>
      </c>
      <c r="AV95" s="124" t="str">
        <f>IF($B95="","",IF(AV$3=0,"n.b.",INDEX(SRC_ZPMW03!$A$1:$ZZ$501,$A95,AV$3)))</f>
        <v/>
      </c>
      <c r="AW95" s="124" t="str">
        <f>IF($B95="","",IF(AW$3=0,"n.b.",INDEX(SRC_ZPMW03!$A$1:$ZZ$501,$A95,AW$3)))</f>
        <v/>
      </c>
      <c r="AX95" s="124" t="str">
        <f>IF($B95="","",IF(AX$3=0,"n.b.",INDEX(SRC_ZPMW03!$A$1:$ZZ$501,$A95,AX$3)))</f>
        <v/>
      </c>
      <c r="AY95" s="124" t="str">
        <f>IF($B95="","",IF(AY$3=0,"n.b.",INDEX(SRC_ZPMW03!$A$1:$ZZ$501,$A95,AY$3)))</f>
        <v/>
      </c>
      <c r="AZ95" s="124" t="str">
        <f>IF($B95="","",IF(AZ$3=0,"n.b.",INDEX(SRC_ZPMW03!$A$1:$ZZ$501,$A95,AZ$3)))</f>
        <v/>
      </c>
      <c r="BA95" s="124" t="str">
        <f>IF($B95="","",IF(BA$3=0,"n.b.",INDEX(SRC_ZPMW03!$A$1:$ZZ$501,$A95,BA$3)))</f>
        <v/>
      </c>
      <c r="BB95" s="124" t="str">
        <f>IF($B95="","",IF(BB$3=0,"n.b.",INDEX(SRC_ZPMW03!$A$1:$ZZ$501,$A95,BB$3)))</f>
        <v/>
      </c>
      <c r="BC95" s="124" t="str">
        <f>IF($B95="","",IF(BC$3=0,"n.b.",INDEX(SRC_ZPMW03!$A$1:$ZZ$501,$A95,BC$3)))</f>
        <v/>
      </c>
      <c r="BD95" s="124" t="str">
        <f>IF($B95="","",IF(BD$3=0,"n.b.",INDEX(SRC_ZPMW03!$A$1:$ZZ$501,$A95,BD$3)))</f>
        <v/>
      </c>
      <c r="BE95" s="124" t="str">
        <f>IF($B95="","",IF(BE$3=0,"n.b.",INDEX(SRC_ZPMW03!$A$1:$ZZ$501,$A95,BE$3)))</f>
        <v/>
      </c>
      <c r="BF95" s="124" t="str">
        <f>IF($B95="","",IF(BF$3=0,"n.b.",INDEX(SRC_ZPMW03!$A$1:$ZZ$501,$A95,BF$3)))</f>
        <v/>
      </c>
      <c r="BG95" t="str">
        <f>IF($B95="","",IF(BG$3=0,"n.b.",INDEX(SRC_ZPMW03!$A$1:$ZZ$501,$A95,BG$3)))</f>
        <v/>
      </c>
      <c r="BH95" t="str">
        <f>IF($B95="","",IF(BH$3=0,"n.b.",INDEX(SRC_ZPMW03!$A$1:$ZZ$501,$A95,BH$3)))</f>
        <v/>
      </c>
      <c r="BI95" t="str">
        <f>IF($B95="","",IF(BI$3=0,"n.b.",INDEX(SRC_ZPMW03!$A$1:$ZZ$501,$A95,BI$3)))</f>
        <v/>
      </c>
      <c r="BJ95" t="str">
        <f>IF($B95="","",IF(BJ$3=0,"n.b.",INDEX(SRC_ZPMW03!$A$1:$ZZ$501,$A95,BJ$3)))</f>
        <v/>
      </c>
      <c r="BK95" s="124" t="str">
        <f>IF($B95="","",IFERROR(-O95,"n.b."))</f>
        <v/>
      </c>
      <c r="BL95" s="124" t="str">
        <f>IF($B95="","",IFERROR(-Q95,"n.b."))</f>
        <v/>
      </c>
      <c r="BM95" s="124" t="str">
        <f>IF($B95="","",IFERROR(-AB95,"n.b."))</f>
        <v/>
      </c>
      <c r="BN95" s="124" t="str">
        <f>IF($B95="","",IFERROR(-AD95,"n.b."))</f>
        <v/>
      </c>
      <c r="BO95" s="124" t="str">
        <f>IF($B95="","",IFERROR(BK95+BM95,"n.b."))</f>
        <v/>
      </c>
      <c r="BP95" s="124" t="str">
        <f>IF($B95="","",IFERROR(BL95+BN95,"n.b."))</f>
        <v/>
      </c>
      <c r="BQ95" s="124" t="str">
        <f>IF($B95="","",IFERROR(-AM95,"n.b."))</f>
        <v/>
      </c>
      <c r="BR95" s="124" t="str">
        <f>IF($B95="","",IFERROR(-AO95,"n.b."))</f>
        <v/>
      </c>
      <c r="BS95" s="124" t="str">
        <f>IF($B95="","",IFERROR(-Z95,"n.b."))</f>
        <v/>
      </c>
      <c r="BT95" s="124" t="str">
        <f>IF($B95="","",IFERROR(-AA95,"n.b."))</f>
        <v/>
      </c>
      <c r="BU95" s="124" t="str">
        <f>IF($B95="","",IFERROR(-AE95,"n.b."))</f>
        <v/>
      </c>
      <c r="BV95" s="124" t="str">
        <f>IF($B95="","",IFERROR(-AF95,"n.b."))</f>
        <v/>
      </c>
      <c r="BW95" s="124" t="str">
        <f>IF($B95="","",IFERROR(-AG95,"n.b."))</f>
        <v/>
      </c>
      <c r="BX95" s="124" t="str">
        <f>IF($B95="","",IFERROR(-AH95,"n.b."))</f>
        <v/>
      </c>
      <c r="BY95" s="124" t="str">
        <f>IF($B95="","",IFERROR(-AI95,"n.b."))</f>
        <v/>
      </c>
      <c r="BZ95" s="124" t="str">
        <f>IF($B95="","",IFERROR(-AJ95,"n.b."))</f>
        <v/>
      </c>
      <c r="CA95" s="124" t="str">
        <f>IF($B95="","",IFERROR(-AK95,"n.b."))</f>
        <v/>
      </c>
      <c r="CB95" s="124" t="str">
        <f>IF($B95="","",IFERROR(-AL95,"n.b."))</f>
        <v/>
      </c>
      <c r="CC95" s="124" t="str">
        <f>IF($B95="","",IFERROR(-AP95,"n.b."))</f>
        <v/>
      </c>
      <c r="CD95" s="124" t="str">
        <f>IF($B95="","",IFERROR(-AQ95,"n.b."))</f>
        <v/>
      </c>
      <c r="CE95" s="124" t="str">
        <f>IF($B95="","",IFERROR(-AR95,"n.b."))</f>
        <v/>
      </c>
      <c r="CF95" s="124" t="str">
        <f>IF($B95="","",IFERROR(-AS95,"n.b."))</f>
        <v/>
      </c>
      <c r="CG95" s="124" t="str">
        <f>IF($B95="","",IFERROR(-AT95,"n.b."))</f>
        <v/>
      </c>
      <c r="CH95" s="124" t="str">
        <f>IF($B95="","",IFERROR(-AU95,"n.b."))</f>
        <v/>
      </c>
      <c r="CI95" s="124" t="str">
        <f>IF($B95="","",IFERROR(-AV95,"n.b."))</f>
        <v/>
      </c>
      <c r="CJ95" s="124" t="str">
        <f>IF($B95="","",IFERROR(-AW95,"n.b."))</f>
        <v/>
      </c>
      <c r="CK95" s="124" t="str">
        <f>IF($B95="","",IFERROR(-AX95,"n.b."))</f>
        <v/>
      </c>
      <c r="CL95" s="124" t="str">
        <f>IF($B95="","",IFERROR(-AY95,"n.b."))</f>
        <v/>
      </c>
      <c r="CM95" s="124" t="str">
        <f>IF($B95="","",IFERROR(-AZ95,"n.b."))</f>
        <v/>
      </c>
      <c r="CN95" s="124" t="str">
        <f>IF($B95="","",IFERROR(-BA95,"n.b."))</f>
        <v/>
      </c>
      <c r="CO95" s="124" t="str">
        <f>IF($B95="","",IFERROR(-BB95,"n.b."))</f>
        <v/>
      </c>
      <c r="CP95" s="124" t="str">
        <f>IF($B95="","",IFERROR(-BC95,"n.b."))</f>
        <v/>
      </c>
      <c r="CQ95" s="124" t="str">
        <f>IF($B95="","",IFERROR(-BD95,"n.b."))</f>
        <v/>
      </c>
      <c r="CR95" s="124" t="str">
        <f>IF($B95="","",IFERROR(-BE95,"n.b."))</f>
        <v/>
      </c>
      <c r="CS95" s="124" t="str">
        <f>IF($B95="","",IFERROR(IF(OR(ABS(T95+V95+X95+Z95-AB95)&gt;P_Tol,ABS(U95+W95+Y95+AA95-AD95)&gt;P_Tol,ABS(AE95+AG95+AI95+AK95-AM95)&gt;P_Tol,ABS(AF95+AH95+AJ95+AL95-AO95)&gt;P_Tol),1,0),1))</f>
        <v/>
      </c>
      <c r="CT95" s="124" t="str">
        <f>IF($B95="","",IFERROR(IF(OR(ABS(AB95+AC95-AD95)&gt;P_Tol,ABS(AM95+AN95-AO95)&gt;P_Tol,ABS(O95+P95-Q95)&gt;P_Tol),1,0),1))</f>
        <v/>
      </c>
      <c r="CU95" s="124" t="str">
        <f>IF($B95="","",IFERROR(IF(ABS(R95-(AB95+AM95+AP95+AR95+AT95+AV95+AX95+AZ95+BB95+BD95))&gt;P_Tol,1,0),1))</f>
        <v/>
      </c>
      <c r="CV95" s="124" t="str">
        <f>IF($B95="","",IFERROR(IF(ABS(M95-(N95+O95+R95))&gt;P_Tol,1,0),1))</f>
        <v/>
      </c>
      <c r="CW95" s="124" t="str">
        <f>IF($B95="","",IF(COUNTIF(Mapping!$A$5:$A$104,B95)&gt;0,1,0))</f>
        <v/>
      </c>
      <c r="CX95" s="124" t="str">
        <f>IF($B95="","",COUNTIF($B$6:$B$505,B95))</f>
        <v/>
      </c>
      <c r="CY95" s="124" t="str">
        <f>IF($B95="","",COUNTIF(STG_Woningetalage!$B$6:$B$505,B95))</f>
        <v/>
      </c>
      <c r="CZ95" s="124" t="str">
        <f>IF($B95="","",IF(CW95=0,COUNTIF($CW$6:CW95,0),""))</f>
        <v/>
      </c>
    </row>
    <row r="96">
      <c r="A96" s="15" t="n">
        <v>92</v>
      </c>
      <c r="B96" t="str">
        <f>IF(B$3=0,"",IF(INDEX(SRC_ZPMW03!$A$1:$ZZ$501,$A96,B$3)&amp;""="","",INDEX(SRC_ZPMW03!$A$1:$ZZ$501,$A96,B$3)&amp;""))</f>
        <v/>
      </c>
      <c r="C96" t="str">
        <f>IF($B96="","",IF(C$3=0,"n.b.",INDEX(SRC_ZPMW03!$A$1:$ZZ$501,$A96,C$3)))</f>
        <v/>
      </c>
      <c r="D96" t="str">
        <f>IF($B96="","",IF(D$3=0,"n.b.",INDEX(SRC_ZPMW03!$A$1:$ZZ$501,$A96,D$3)))</f>
        <v/>
      </c>
      <c r="E96" t="str">
        <f>IF($B96="","",IF(E$3=0,"n.b.",INDEX(SRC_ZPMW03!$A$1:$ZZ$501,$A96,E$3)))</f>
        <v/>
      </c>
      <c r="F96" t="str">
        <f>IF($B96="","",IF(F$3=0,"n.b.",INDEX(SRC_ZPMW03!$A$1:$ZZ$501,$A96,F$3)))</f>
        <v/>
      </c>
      <c r="G96" t="str">
        <f>IF($B96="","",IF(G$3=0,"n.b.",INDEX(SRC_ZPMW03!$A$1:$ZZ$501,$A96,G$3)))</f>
        <v/>
      </c>
      <c r="H96" t="str">
        <f>IF($B96="","",IF(H$3=0,"n.b.",INDEX(SRC_ZPMW03!$A$1:$ZZ$501,$A96,H$3)))</f>
        <v/>
      </c>
      <c r="I96" t="str">
        <f>IF($B96="","",IF(I$3=0,"n.b.",INDEX(SRC_ZPMW03!$A$1:$ZZ$501,$A96,I$3)))</f>
        <v/>
      </c>
      <c r="J96" t="str">
        <f>IF($B96="","",IF(J$3=0,"n.b.",INDEX(SRC_ZPMW03!$A$1:$ZZ$501,$A96,J$3)))</f>
        <v/>
      </c>
      <c r="K96" t="str">
        <f>IF($B96="","",IF(K$3=0,"n.b.",INDEX(SRC_ZPMW03!$A$1:$ZZ$501,$A96,K$3)))</f>
        <v/>
      </c>
      <c r="L96" s="124" t="str">
        <f>IF($B96="","",IF(L$3=0,"n.b.",INDEX(SRC_ZPMW03!$A$1:$ZZ$501,$A96,L$3)))</f>
        <v/>
      </c>
      <c r="M96" s="124" t="str">
        <f>IF($B96="","",IF(M$3=0,"n.b.",INDEX(SRC_ZPMW03!$A$1:$ZZ$501,$A96,M$3)))</f>
        <v/>
      </c>
      <c r="N96" s="124" t="str">
        <f>IF($B96="","",IF(N$3=0,"n.b.",INDEX(SRC_ZPMW03!$A$1:$ZZ$501,$A96,N$3)))</f>
        <v/>
      </c>
      <c r="O96" s="124" t="str">
        <f>IF($B96="","",IF(O$3=0,"n.b.",INDEX(SRC_ZPMW03!$A$1:$ZZ$501,$A96,O$3)))</f>
        <v/>
      </c>
      <c r="P96" s="124" t="str">
        <f>IF($B96="","",IF(P$3=0,"n.b.",INDEX(SRC_ZPMW03!$A$1:$ZZ$501,$A96,P$3)))</f>
        <v/>
      </c>
      <c r="Q96" s="124" t="str">
        <f>IF($B96="","",IF(Q$3=0,"n.b.",INDEX(SRC_ZPMW03!$A$1:$ZZ$501,$A96,Q$3)))</f>
        <v/>
      </c>
      <c r="R96" s="124" t="str">
        <f>IF($B96="","",IF(R$3=0,"n.b.",INDEX(SRC_ZPMW03!$A$1:$ZZ$501,$A96,R$3)))</f>
        <v/>
      </c>
      <c r="S96" s="124" t="str">
        <f>IF($B96="","",IF(S$3=0,"n.b.",INDEX(SRC_ZPMW03!$A$1:$ZZ$501,$A96,S$3)))</f>
        <v/>
      </c>
      <c r="T96" s="124" t="str">
        <f>IF($B96="","",IF(T$3=0,"n.b.",INDEX(SRC_ZPMW03!$A$1:$ZZ$501,$A96,T$3)))</f>
        <v/>
      </c>
      <c r="U96" s="124" t="str">
        <f>IF($B96="","",IF(U$3=0,"n.b.",INDEX(SRC_ZPMW03!$A$1:$ZZ$501,$A96,U$3)))</f>
        <v/>
      </c>
      <c r="V96" s="124" t="str">
        <f>IF($B96="","",IF(V$3=0,"n.b.",INDEX(SRC_ZPMW03!$A$1:$ZZ$501,$A96,V$3)))</f>
        <v/>
      </c>
      <c r="W96" s="124" t="str">
        <f>IF($B96="","",IF(W$3=0,"n.b.",INDEX(SRC_ZPMW03!$A$1:$ZZ$501,$A96,W$3)))</f>
        <v/>
      </c>
      <c r="X96" s="124" t="str">
        <f>IF($B96="","",IF(X$3=0,"n.b.",INDEX(SRC_ZPMW03!$A$1:$ZZ$501,$A96,X$3)))</f>
        <v/>
      </c>
      <c r="Y96" s="124" t="str">
        <f>IF($B96="","",IF(Y$3=0,"n.b.",INDEX(SRC_ZPMW03!$A$1:$ZZ$501,$A96,Y$3)))</f>
        <v/>
      </c>
      <c r="Z96" s="124" t="str">
        <f>IF($B96="","",IF(Z$3=0,"n.b.",INDEX(SRC_ZPMW03!$A$1:$ZZ$501,$A96,Z$3)))</f>
        <v/>
      </c>
      <c r="AA96" s="124" t="str">
        <f>IF($B96="","",IF(AA$3=0,"n.b.",INDEX(SRC_ZPMW03!$A$1:$ZZ$501,$A96,AA$3)))</f>
        <v/>
      </c>
      <c r="AB96" s="124" t="str">
        <f>IF($B96="","",IF(AB$3=0,"n.b.",INDEX(SRC_ZPMW03!$A$1:$ZZ$501,$A96,AB$3)))</f>
        <v/>
      </c>
      <c r="AC96" s="124" t="str">
        <f>IF($B96="","",IF(AC$3=0,"n.b.",INDEX(SRC_ZPMW03!$A$1:$ZZ$501,$A96,AC$3)))</f>
        <v/>
      </c>
      <c r="AD96" s="124" t="str">
        <f>IF($B96="","",IF(AD$3=0,"n.b.",INDEX(SRC_ZPMW03!$A$1:$ZZ$501,$A96,AD$3)))</f>
        <v/>
      </c>
      <c r="AE96" s="124" t="str">
        <f>IF($B96="","",IF(AE$3=0,"n.b.",INDEX(SRC_ZPMW03!$A$1:$ZZ$501,$A96,AE$3)))</f>
        <v/>
      </c>
      <c r="AF96" s="124" t="str">
        <f>IF($B96="","",IF(AF$3=0,"n.b.",INDEX(SRC_ZPMW03!$A$1:$ZZ$501,$A96,AF$3)))</f>
        <v/>
      </c>
      <c r="AG96" s="124" t="str">
        <f>IF($B96="","",IF(AG$3=0,"n.b.",INDEX(SRC_ZPMW03!$A$1:$ZZ$501,$A96,AG$3)))</f>
        <v/>
      </c>
      <c r="AH96" s="124" t="str">
        <f>IF($B96="","",IF(AH$3=0,"n.b.",INDEX(SRC_ZPMW03!$A$1:$ZZ$501,$A96,AH$3)))</f>
        <v/>
      </c>
      <c r="AI96" s="124" t="str">
        <f>IF($B96="","",IF(AI$3=0,"n.b.",INDEX(SRC_ZPMW03!$A$1:$ZZ$501,$A96,AI$3)))</f>
        <v/>
      </c>
      <c r="AJ96" s="124" t="str">
        <f>IF($B96="","",IF(AJ$3=0,"n.b.",INDEX(SRC_ZPMW03!$A$1:$ZZ$501,$A96,AJ$3)))</f>
        <v/>
      </c>
      <c r="AK96" s="124" t="str">
        <f>IF($B96="","",IF(AK$3=0,"n.b.",INDEX(SRC_ZPMW03!$A$1:$ZZ$501,$A96,AK$3)))</f>
        <v/>
      </c>
      <c r="AL96" s="124" t="str">
        <f>IF($B96="","",IF(AL$3=0,"n.b.",INDEX(SRC_ZPMW03!$A$1:$ZZ$501,$A96,AL$3)))</f>
        <v/>
      </c>
      <c r="AM96" s="124" t="str">
        <f>IF($B96="","",IF(AM$3=0,"n.b.",INDEX(SRC_ZPMW03!$A$1:$ZZ$501,$A96,AM$3)))</f>
        <v/>
      </c>
      <c r="AN96" s="124" t="str">
        <f>IF($B96="","",IF(AN$3=0,"n.b.",INDEX(SRC_ZPMW03!$A$1:$ZZ$501,$A96,AN$3)))</f>
        <v/>
      </c>
      <c r="AO96" s="124" t="str">
        <f>IF($B96="","",IF(AO$3=0,"n.b.",INDEX(SRC_ZPMW03!$A$1:$ZZ$501,$A96,AO$3)))</f>
        <v/>
      </c>
      <c r="AP96" s="124" t="str">
        <f>IF($B96="","",IF(AP$3=0,"n.b.",INDEX(SRC_ZPMW03!$A$1:$ZZ$501,$A96,AP$3)))</f>
        <v/>
      </c>
      <c r="AQ96" s="124" t="str">
        <f>IF($B96="","",IF(AQ$3=0,"n.b.",INDEX(SRC_ZPMW03!$A$1:$ZZ$501,$A96,AQ$3)))</f>
        <v/>
      </c>
      <c r="AR96" s="124" t="str">
        <f>IF($B96="","",IF(AR$3=0,"n.b.",INDEX(SRC_ZPMW03!$A$1:$ZZ$501,$A96,AR$3)))</f>
        <v/>
      </c>
      <c r="AS96" s="124" t="str">
        <f>IF($B96="","",IF(AS$3=0,"n.b.",INDEX(SRC_ZPMW03!$A$1:$ZZ$501,$A96,AS$3)))</f>
        <v/>
      </c>
      <c r="AT96" s="124" t="str">
        <f>IF($B96="","",IF(AT$3=0,"n.b.",INDEX(SRC_ZPMW03!$A$1:$ZZ$501,$A96,AT$3)))</f>
        <v/>
      </c>
      <c r="AU96" s="124" t="str">
        <f>IF($B96="","",IF(AU$3=0,"n.b.",INDEX(SRC_ZPMW03!$A$1:$ZZ$501,$A96,AU$3)))</f>
        <v/>
      </c>
      <c r="AV96" s="124" t="str">
        <f>IF($B96="","",IF(AV$3=0,"n.b.",INDEX(SRC_ZPMW03!$A$1:$ZZ$501,$A96,AV$3)))</f>
        <v/>
      </c>
      <c r="AW96" s="124" t="str">
        <f>IF($B96="","",IF(AW$3=0,"n.b.",INDEX(SRC_ZPMW03!$A$1:$ZZ$501,$A96,AW$3)))</f>
        <v/>
      </c>
      <c r="AX96" s="124" t="str">
        <f>IF($B96="","",IF(AX$3=0,"n.b.",INDEX(SRC_ZPMW03!$A$1:$ZZ$501,$A96,AX$3)))</f>
        <v/>
      </c>
      <c r="AY96" s="124" t="str">
        <f>IF($B96="","",IF(AY$3=0,"n.b.",INDEX(SRC_ZPMW03!$A$1:$ZZ$501,$A96,AY$3)))</f>
        <v/>
      </c>
      <c r="AZ96" s="124" t="str">
        <f>IF($B96="","",IF(AZ$3=0,"n.b.",INDEX(SRC_ZPMW03!$A$1:$ZZ$501,$A96,AZ$3)))</f>
        <v/>
      </c>
      <c r="BA96" s="124" t="str">
        <f>IF($B96="","",IF(BA$3=0,"n.b.",INDEX(SRC_ZPMW03!$A$1:$ZZ$501,$A96,BA$3)))</f>
        <v/>
      </c>
      <c r="BB96" s="124" t="str">
        <f>IF($B96="","",IF(BB$3=0,"n.b.",INDEX(SRC_ZPMW03!$A$1:$ZZ$501,$A96,BB$3)))</f>
        <v/>
      </c>
      <c r="BC96" s="124" t="str">
        <f>IF($B96="","",IF(BC$3=0,"n.b.",INDEX(SRC_ZPMW03!$A$1:$ZZ$501,$A96,BC$3)))</f>
        <v/>
      </c>
      <c r="BD96" s="124" t="str">
        <f>IF($B96="","",IF(BD$3=0,"n.b.",INDEX(SRC_ZPMW03!$A$1:$ZZ$501,$A96,BD$3)))</f>
        <v/>
      </c>
      <c r="BE96" s="124" t="str">
        <f>IF($B96="","",IF(BE$3=0,"n.b.",INDEX(SRC_ZPMW03!$A$1:$ZZ$501,$A96,BE$3)))</f>
        <v/>
      </c>
      <c r="BF96" s="124" t="str">
        <f>IF($B96="","",IF(BF$3=0,"n.b.",INDEX(SRC_ZPMW03!$A$1:$ZZ$501,$A96,BF$3)))</f>
        <v/>
      </c>
      <c r="BG96" t="str">
        <f>IF($B96="","",IF(BG$3=0,"n.b.",INDEX(SRC_ZPMW03!$A$1:$ZZ$501,$A96,BG$3)))</f>
        <v/>
      </c>
      <c r="BH96" t="str">
        <f>IF($B96="","",IF(BH$3=0,"n.b.",INDEX(SRC_ZPMW03!$A$1:$ZZ$501,$A96,BH$3)))</f>
        <v/>
      </c>
      <c r="BI96" t="str">
        <f>IF($B96="","",IF(BI$3=0,"n.b.",INDEX(SRC_ZPMW03!$A$1:$ZZ$501,$A96,BI$3)))</f>
        <v/>
      </c>
      <c r="BJ96" t="str">
        <f>IF($B96="","",IF(BJ$3=0,"n.b.",INDEX(SRC_ZPMW03!$A$1:$ZZ$501,$A96,BJ$3)))</f>
        <v/>
      </c>
      <c r="BK96" s="124" t="str">
        <f>IF($B96="","",IFERROR(-O96,"n.b."))</f>
        <v/>
      </c>
      <c r="BL96" s="124" t="str">
        <f>IF($B96="","",IFERROR(-Q96,"n.b."))</f>
        <v/>
      </c>
      <c r="BM96" s="124" t="str">
        <f>IF($B96="","",IFERROR(-AB96,"n.b."))</f>
        <v/>
      </c>
      <c r="BN96" s="124" t="str">
        <f>IF($B96="","",IFERROR(-AD96,"n.b."))</f>
        <v/>
      </c>
      <c r="BO96" s="124" t="str">
        <f>IF($B96="","",IFERROR(BK96+BM96,"n.b."))</f>
        <v/>
      </c>
      <c r="BP96" s="124" t="str">
        <f>IF($B96="","",IFERROR(BL96+BN96,"n.b."))</f>
        <v/>
      </c>
      <c r="BQ96" s="124" t="str">
        <f>IF($B96="","",IFERROR(-AM96,"n.b."))</f>
        <v/>
      </c>
      <c r="BR96" s="124" t="str">
        <f>IF($B96="","",IFERROR(-AO96,"n.b."))</f>
        <v/>
      </c>
      <c r="BS96" s="124" t="str">
        <f>IF($B96="","",IFERROR(-Z96,"n.b."))</f>
        <v/>
      </c>
      <c r="BT96" s="124" t="str">
        <f>IF($B96="","",IFERROR(-AA96,"n.b."))</f>
        <v/>
      </c>
      <c r="BU96" s="124" t="str">
        <f>IF($B96="","",IFERROR(-AE96,"n.b."))</f>
        <v/>
      </c>
      <c r="BV96" s="124" t="str">
        <f>IF($B96="","",IFERROR(-AF96,"n.b."))</f>
        <v/>
      </c>
      <c r="BW96" s="124" t="str">
        <f>IF($B96="","",IFERROR(-AG96,"n.b."))</f>
        <v/>
      </c>
      <c r="BX96" s="124" t="str">
        <f>IF($B96="","",IFERROR(-AH96,"n.b."))</f>
        <v/>
      </c>
      <c r="BY96" s="124" t="str">
        <f>IF($B96="","",IFERROR(-AI96,"n.b."))</f>
        <v/>
      </c>
      <c r="BZ96" s="124" t="str">
        <f>IF($B96="","",IFERROR(-AJ96,"n.b."))</f>
        <v/>
      </c>
      <c r="CA96" s="124" t="str">
        <f>IF($B96="","",IFERROR(-AK96,"n.b."))</f>
        <v/>
      </c>
      <c r="CB96" s="124" t="str">
        <f>IF($B96="","",IFERROR(-AL96,"n.b."))</f>
        <v/>
      </c>
      <c r="CC96" s="124" t="str">
        <f>IF($B96="","",IFERROR(-AP96,"n.b."))</f>
        <v/>
      </c>
      <c r="CD96" s="124" t="str">
        <f>IF($B96="","",IFERROR(-AQ96,"n.b."))</f>
        <v/>
      </c>
      <c r="CE96" s="124" t="str">
        <f>IF($B96="","",IFERROR(-AR96,"n.b."))</f>
        <v/>
      </c>
      <c r="CF96" s="124" t="str">
        <f>IF($B96="","",IFERROR(-AS96,"n.b."))</f>
        <v/>
      </c>
      <c r="CG96" s="124" t="str">
        <f>IF($B96="","",IFERROR(-AT96,"n.b."))</f>
        <v/>
      </c>
      <c r="CH96" s="124" t="str">
        <f>IF($B96="","",IFERROR(-AU96,"n.b."))</f>
        <v/>
      </c>
      <c r="CI96" s="124" t="str">
        <f>IF($B96="","",IFERROR(-AV96,"n.b."))</f>
        <v/>
      </c>
      <c r="CJ96" s="124" t="str">
        <f>IF($B96="","",IFERROR(-AW96,"n.b."))</f>
        <v/>
      </c>
      <c r="CK96" s="124" t="str">
        <f>IF($B96="","",IFERROR(-AX96,"n.b."))</f>
        <v/>
      </c>
      <c r="CL96" s="124" t="str">
        <f>IF($B96="","",IFERROR(-AY96,"n.b."))</f>
        <v/>
      </c>
      <c r="CM96" s="124" t="str">
        <f>IF($B96="","",IFERROR(-AZ96,"n.b."))</f>
        <v/>
      </c>
      <c r="CN96" s="124" t="str">
        <f>IF($B96="","",IFERROR(-BA96,"n.b."))</f>
        <v/>
      </c>
      <c r="CO96" s="124" t="str">
        <f>IF($B96="","",IFERROR(-BB96,"n.b."))</f>
        <v/>
      </c>
      <c r="CP96" s="124" t="str">
        <f>IF($B96="","",IFERROR(-BC96,"n.b."))</f>
        <v/>
      </c>
      <c r="CQ96" s="124" t="str">
        <f>IF($B96="","",IFERROR(-BD96,"n.b."))</f>
        <v/>
      </c>
      <c r="CR96" s="124" t="str">
        <f>IF($B96="","",IFERROR(-BE96,"n.b."))</f>
        <v/>
      </c>
      <c r="CS96" s="124" t="str">
        <f>IF($B96="","",IFERROR(IF(OR(ABS(T96+V96+X96+Z96-AB96)&gt;P_Tol,ABS(U96+W96+Y96+AA96-AD96)&gt;P_Tol,ABS(AE96+AG96+AI96+AK96-AM96)&gt;P_Tol,ABS(AF96+AH96+AJ96+AL96-AO96)&gt;P_Tol),1,0),1))</f>
        <v/>
      </c>
      <c r="CT96" s="124" t="str">
        <f>IF($B96="","",IFERROR(IF(OR(ABS(AB96+AC96-AD96)&gt;P_Tol,ABS(AM96+AN96-AO96)&gt;P_Tol,ABS(O96+P96-Q96)&gt;P_Tol),1,0),1))</f>
        <v/>
      </c>
      <c r="CU96" s="124" t="str">
        <f>IF($B96="","",IFERROR(IF(ABS(R96-(AB96+AM96+AP96+AR96+AT96+AV96+AX96+AZ96+BB96+BD96))&gt;P_Tol,1,0),1))</f>
        <v/>
      </c>
      <c r="CV96" s="124" t="str">
        <f>IF($B96="","",IFERROR(IF(ABS(M96-(N96+O96+R96))&gt;P_Tol,1,0),1))</f>
        <v/>
      </c>
      <c r="CW96" s="124" t="str">
        <f>IF($B96="","",IF(COUNTIF(Mapping!$A$5:$A$104,B96)&gt;0,1,0))</f>
        <v/>
      </c>
      <c r="CX96" s="124" t="str">
        <f>IF($B96="","",COUNTIF($B$6:$B$505,B96))</f>
        <v/>
      </c>
      <c r="CY96" s="124" t="str">
        <f>IF($B96="","",COUNTIF(STG_Woningetalage!$B$6:$B$505,B96))</f>
        <v/>
      </c>
      <c r="CZ96" s="124" t="str">
        <f>IF($B96="","",IF(CW96=0,COUNTIF($CW$6:CW96,0),""))</f>
        <v/>
      </c>
    </row>
    <row r="97">
      <c r="A97" s="15" t="n">
        <v>93</v>
      </c>
      <c r="B97" t="str">
        <f>IF(B$3=0,"",IF(INDEX(SRC_ZPMW03!$A$1:$ZZ$501,$A97,B$3)&amp;""="","",INDEX(SRC_ZPMW03!$A$1:$ZZ$501,$A97,B$3)&amp;""))</f>
        <v/>
      </c>
      <c r="C97" t="str">
        <f>IF($B97="","",IF(C$3=0,"n.b.",INDEX(SRC_ZPMW03!$A$1:$ZZ$501,$A97,C$3)))</f>
        <v/>
      </c>
      <c r="D97" t="str">
        <f>IF($B97="","",IF(D$3=0,"n.b.",INDEX(SRC_ZPMW03!$A$1:$ZZ$501,$A97,D$3)))</f>
        <v/>
      </c>
      <c r="E97" t="str">
        <f>IF($B97="","",IF(E$3=0,"n.b.",INDEX(SRC_ZPMW03!$A$1:$ZZ$501,$A97,E$3)))</f>
        <v/>
      </c>
      <c r="F97" t="str">
        <f>IF($B97="","",IF(F$3=0,"n.b.",INDEX(SRC_ZPMW03!$A$1:$ZZ$501,$A97,F$3)))</f>
        <v/>
      </c>
      <c r="G97" t="str">
        <f>IF($B97="","",IF(G$3=0,"n.b.",INDEX(SRC_ZPMW03!$A$1:$ZZ$501,$A97,G$3)))</f>
        <v/>
      </c>
      <c r="H97" t="str">
        <f>IF($B97="","",IF(H$3=0,"n.b.",INDEX(SRC_ZPMW03!$A$1:$ZZ$501,$A97,H$3)))</f>
        <v/>
      </c>
      <c r="I97" t="str">
        <f>IF($B97="","",IF(I$3=0,"n.b.",INDEX(SRC_ZPMW03!$A$1:$ZZ$501,$A97,I$3)))</f>
        <v/>
      </c>
      <c r="J97" t="str">
        <f>IF($B97="","",IF(J$3=0,"n.b.",INDEX(SRC_ZPMW03!$A$1:$ZZ$501,$A97,J$3)))</f>
        <v/>
      </c>
      <c r="K97" t="str">
        <f>IF($B97="","",IF(K$3=0,"n.b.",INDEX(SRC_ZPMW03!$A$1:$ZZ$501,$A97,K$3)))</f>
        <v/>
      </c>
      <c r="L97" s="124" t="str">
        <f>IF($B97="","",IF(L$3=0,"n.b.",INDEX(SRC_ZPMW03!$A$1:$ZZ$501,$A97,L$3)))</f>
        <v/>
      </c>
      <c r="M97" s="124" t="str">
        <f>IF($B97="","",IF(M$3=0,"n.b.",INDEX(SRC_ZPMW03!$A$1:$ZZ$501,$A97,M$3)))</f>
        <v/>
      </c>
      <c r="N97" s="124" t="str">
        <f>IF($B97="","",IF(N$3=0,"n.b.",INDEX(SRC_ZPMW03!$A$1:$ZZ$501,$A97,N$3)))</f>
        <v/>
      </c>
      <c r="O97" s="124" t="str">
        <f>IF($B97="","",IF(O$3=0,"n.b.",INDEX(SRC_ZPMW03!$A$1:$ZZ$501,$A97,O$3)))</f>
        <v/>
      </c>
      <c r="P97" s="124" t="str">
        <f>IF($B97="","",IF(P$3=0,"n.b.",INDEX(SRC_ZPMW03!$A$1:$ZZ$501,$A97,P$3)))</f>
        <v/>
      </c>
      <c r="Q97" s="124" t="str">
        <f>IF($B97="","",IF(Q$3=0,"n.b.",INDEX(SRC_ZPMW03!$A$1:$ZZ$501,$A97,Q$3)))</f>
        <v/>
      </c>
      <c r="R97" s="124" t="str">
        <f>IF($B97="","",IF(R$3=0,"n.b.",INDEX(SRC_ZPMW03!$A$1:$ZZ$501,$A97,R$3)))</f>
        <v/>
      </c>
      <c r="S97" s="124" t="str">
        <f>IF($B97="","",IF(S$3=0,"n.b.",INDEX(SRC_ZPMW03!$A$1:$ZZ$501,$A97,S$3)))</f>
        <v/>
      </c>
      <c r="T97" s="124" t="str">
        <f>IF($B97="","",IF(T$3=0,"n.b.",INDEX(SRC_ZPMW03!$A$1:$ZZ$501,$A97,T$3)))</f>
        <v/>
      </c>
      <c r="U97" s="124" t="str">
        <f>IF($B97="","",IF(U$3=0,"n.b.",INDEX(SRC_ZPMW03!$A$1:$ZZ$501,$A97,U$3)))</f>
        <v/>
      </c>
      <c r="V97" s="124" t="str">
        <f>IF($B97="","",IF(V$3=0,"n.b.",INDEX(SRC_ZPMW03!$A$1:$ZZ$501,$A97,V$3)))</f>
        <v/>
      </c>
      <c r="W97" s="124" t="str">
        <f>IF($B97="","",IF(W$3=0,"n.b.",INDEX(SRC_ZPMW03!$A$1:$ZZ$501,$A97,W$3)))</f>
        <v/>
      </c>
      <c r="X97" s="124" t="str">
        <f>IF($B97="","",IF(X$3=0,"n.b.",INDEX(SRC_ZPMW03!$A$1:$ZZ$501,$A97,X$3)))</f>
        <v/>
      </c>
      <c r="Y97" s="124" t="str">
        <f>IF($B97="","",IF(Y$3=0,"n.b.",INDEX(SRC_ZPMW03!$A$1:$ZZ$501,$A97,Y$3)))</f>
        <v/>
      </c>
      <c r="Z97" s="124" t="str">
        <f>IF($B97="","",IF(Z$3=0,"n.b.",INDEX(SRC_ZPMW03!$A$1:$ZZ$501,$A97,Z$3)))</f>
        <v/>
      </c>
      <c r="AA97" s="124" t="str">
        <f>IF($B97="","",IF(AA$3=0,"n.b.",INDEX(SRC_ZPMW03!$A$1:$ZZ$501,$A97,AA$3)))</f>
        <v/>
      </c>
      <c r="AB97" s="124" t="str">
        <f>IF($B97="","",IF(AB$3=0,"n.b.",INDEX(SRC_ZPMW03!$A$1:$ZZ$501,$A97,AB$3)))</f>
        <v/>
      </c>
      <c r="AC97" s="124" t="str">
        <f>IF($B97="","",IF(AC$3=0,"n.b.",INDEX(SRC_ZPMW03!$A$1:$ZZ$501,$A97,AC$3)))</f>
        <v/>
      </c>
      <c r="AD97" s="124" t="str">
        <f>IF($B97="","",IF(AD$3=0,"n.b.",INDEX(SRC_ZPMW03!$A$1:$ZZ$501,$A97,AD$3)))</f>
        <v/>
      </c>
      <c r="AE97" s="124" t="str">
        <f>IF($B97="","",IF(AE$3=0,"n.b.",INDEX(SRC_ZPMW03!$A$1:$ZZ$501,$A97,AE$3)))</f>
        <v/>
      </c>
      <c r="AF97" s="124" t="str">
        <f>IF($B97="","",IF(AF$3=0,"n.b.",INDEX(SRC_ZPMW03!$A$1:$ZZ$501,$A97,AF$3)))</f>
        <v/>
      </c>
      <c r="AG97" s="124" t="str">
        <f>IF($B97="","",IF(AG$3=0,"n.b.",INDEX(SRC_ZPMW03!$A$1:$ZZ$501,$A97,AG$3)))</f>
        <v/>
      </c>
      <c r="AH97" s="124" t="str">
        <f>IF($B97="","",IF(AH$3=0,"n.b.",INDEX(SRC_ZPMW03!$A$1:$ZZ$501,$A97,AH$3)))</f>
        <v/>
      </c>
      <c r="AI97" s="124" t="str">
        <f>IF($B97="","",IF(AI$3=0,"n.b.",INDEX(SRC_ZPMW03!$A$1:$ZZ$501,$A97,AI$3)))</f>
        <v/>
      </c>
      <c r="AJ97" s="124" t="str">
        <f>IF($B97="","",IF(AJ$3=0,"n.b.",INDEX(SRC_ZPMW03!$A$1:$ZZ$501,$A97,AJ$3)))</f>
        <v/>
      </c>
      <c r="AK97" s="124" t="str">
        <f>IF($B97="","",IF(AK$3=0,"n.b.",INDEX(SRC_ZPMW03!$A$1:$ZZ$501,$A97,AK$3)))</f>
        <v/>
      </c>
      <c r="AL97" s="124" t="str">
        <f>IF($B97="","",IF(AL$3=0,"n.b.",INDEX(SRC_ZPMW03!$A$1:$ZZ$501,$A97,AL$3)))</f>
        <v/>
      </c>
      <c r="AM97" s="124" t="str">
        <f>IF($B97="","",IF(AM$3=0,"n.b.",INDEX(SRC_ZPMW03!$A$1:$ZZ$501,$A97,AM$3)))</f>
        <v/>
      </c>
      <c r="AN97" s="124" t="str">
        <f>IF($B97="","",IF(AN$3=0,"n.b.",INDEX(SRC_ZPMW03!$A$1:$ZZ$501,$A97,AN$3)))</f>
        <v/>
      </c>
      <c r="AO97" s="124" t="str">
        <f>IF($B97="","",IF(AO$3=0,"n.b.",INDEX(SRC_ZPMW03!$A$1:$ZZ$501,$A97,AO$3)))</f>
        <v/>
      </c>
      <c r="AP97" s="124" t="str">
        <f>IF($B97="","",IF(AP$3=0,"n.b.",INDEX(SRC_ZPMW03!$A$1:$ZZ$501,$A97,AP$3)))</f>
        <v/>
      </c>
      <c r="AQ97" s="124" t="str">
        <f>IF($B97="","",IF(AQ$3=0,"n.b.",INDEX(SRC_ZPMW03!$A$1:$ZZ$501,$A97,AQ$3)))</f>
        <v/>
      </c>
      <c r="AR97" s="124" t="str">
        <f>IF($B97="","",IF(AR$3=0,"n.b.",INDEX(SRC_ZPMW03!$A$1:$ZZ$501,$A97,AR$3)))</f>
        <v/>
      </c>
      <c r="AS97" s="124" t="str">
        <f>IF($B97="","",IF(AS$3=0,"n.b.",INDEX(SRC_ZPMW03!$A$1:$ZZ$501,$A97,AS$3)))</f>
        <v/>
      </c>
      <c r="AT97" s="124" t="str">
        <f>IF($B97="","",IF(AT$3=0,"n.b.",INDEX(SRC_ZPMW03!$A$1:$ZZ$501,$A97,AT$3)))</f>
        <v/>
      </c>
      <c r="AU97" s="124" t="str">
        <f>IF($B97="","",IF(AU$3=0,"n.b.",INDEX(SRC_ZPMW03!$A$1:$ZZ$501,$A97,AU$3)))</f>
        <v/>
      </c>
      <c r="AV97" s="124" t="str">
        <f>IF($B97="","",IF(AV$3=0,"n.b.",INDEX(SRC_ZPMW03!$A$1:$ZZ$501,$A97,AV$3)))</f>
        <v/>
      </c>
      <c r="AW97" s="124" t="str">
        <f>IF($B97="","",IF(AW$3=0,"n.b.",INDEX(SRC_ZPMW03!$A$1:$ZZ$501,$A97,AW$3)))</f>
        <v/>
      </c>
      <c r="AX97" s="124" t="str">
        <f>IF($B97="","",IF(AX$3=0,"n.b.",INDEX(SRC_ZPMW03!$A$1:$ZZ$501,$A97,AX$3)))</f>
        <v/>
      </c>
      <c r="AY97" s="124" t="str">
        <f>IF($B97="","",IF(AY$3=0,"n.b.",INDEX(SRC_ZPMW03!$A$1:$ZZ$501,$A97,AY$3)))</f>
        <v/>
      </c>
      <c r="AZ97" s="124" t="str">
        <f>IF($B97="","",IF(AZ$3=0,"n.b.",INDEX(SRC_ZPMW03!$A$1:$ZZ$501,$A97,AZ$3)))</f>
        <v/>
      </c>
      <c r="BA97" s="124" t="str">
        <f>IF($B97="","",IF(BA$3=0,"n.b.",INDEX(SRC_ZPMW03!$A$1:$ZZ$501,$A97,BA$3)))</f>
        <v/>
      </c>
      <c r="BB97" s="124" t="str">
        <f>IF($B97="","",IF(BB$3=0,"n.b.",INDEX(SRC_ZPMW03!$A$1:$ZZ$501,$A97,BB$3)))</f>
        <v/>
      </c>
      <c r="BC97" s="124" t="str">
        <f>IF($B97="","",IF(BC$3=0,"n.b.",INDEX(SRC_ZPMW03!$A$1:$ZZ$501,$A97,BC$3)))</f>
        <v/>
      </c>
      <c r="BD97" s="124" t="str">
        <f>IF($B97="","",IF(BD$3=0,"n.b.",INDEX(SRC_ZPMW03!$A$1:$ZZ$501,$A97,BD$3)))</f>
        <v/>
      </c>
      <c r="BE97" s="124" t="str">
        <f>IF($B97="","",IF(BE$3=0,"n.b.",INDEX(SRC_ZPMW03!$A$1:$ZZ$501,$A97,BE$3)))</f>
        <v/>
      </c>
      <c r="BF97" s="124" t="str">
        <f>IF($B97="","",IF(BF$3=0,"n.b.",INDEX(SRC_ZPMW03!$A$1:$ZZ$501,$A97,BF$3)))</f>
        <v/>
      </c>
      <c r="BG97" t="str">
        <f>IF($B97="","",IF(BG$3=0,"n.b.",INDEX(SRC_ZPMW03!$A$1:$ZZ$501,$A97,BG$3)))</f>
        <v/>
      </c>
      <c r="BH97" t="str">
        <f>IF($B97="","",IF(BH$3=0,"n.b.",INDEX(SRC_ZPMW03!$A$1:$ZZ$501,$A97,BH$3)))</f>
        <v/>
      </c>
      <c r="BI97" t="str">
        <f>IF($B97="","",IF(BI$3=0,"n.b.",INDEX(SRC_ZPMW03!$A$1:$ZZ$501,$A97,BI$3)))</f>
        <v/>
      </c>
      <c r="BJ97" t="str">
        <f>IF($B97="","",IF(BJ$3=0,"n.b.",INDEX(SRC_ZPMW03!$A$1:$ZZ$501,$A97,BJ$3)))</f>
        <v/>
      </c>
      <c r="BK97" s="124" t="str">
        <f>IF($B97="","",IFERROR(-O97,"n.b."))</f>
        <v/>
      </c>
      <c r="BL97" s="124" t="str">
        <f>IF($B97="","",IFERROR(-Q97,"n.b."))</f>
        <v/>
      </c>
      <c r="BM97" s="124" t="str">
        <f>IF($B97="","",IFERROR(-AB97,"n.b."))</f>
        <v/>
      </c>
      <c r="BN97" s="124" t="str">
        <f>IF($B97="","",IFERROR(-AD97,"n.b."))</f>
        <v/>
      </c>
      <c r="BO97" s="124" t="str">
        <f>IF($B97="","",IFERROR(BK97+BM97,"n.b."))</f>
        <v/>
      </c>
      <c r="BP97" s="124" t="str">
        <f>IF($B97="","",IFERROR(BL97+BN97,"n.b."))</f>
        <v/>
      </c>
      <c r="BQ97" s="124" t="str">
        <f>IF($B97="","",IFERROR(-AM97,"n.b."))</f>
        <v/>
      </c>
      <c r="BR97" s="124" t="str">
        <f>IF($B97="","",IFERROR(-AO97,"n.b."))</f>
        <v/>
      </c>
      <c r="BS97" s="124" t="str">
        <f>IF($B97="","",IFERROR(-Z97,"n.b."))</f>
        <v/>
      </c>
      <c r="BT97" s="124" t="str">
        <f>IF($B97="","",IFERROR(-AA97,"n.b."))</f>
        <v/>
      </c>
      <c r="BU97" s="124" t="str">
        <f>IF($B97="","",IFERROR(-AE97,"n.b."))</f>
        <v/>
      </c>
      <c r="BV97" s="124" t="str">
        <f>IF($B97="","",IFERROR(-AF97,"n.b."))</f>
        <v/>
      </c>
      <c r="BW97" s="124" t="str">
        <f>IF($B97="","",IFERROR(-AG97,"n.b."))</f>
        <v/>
      </c>
      <c r="BX97" s="124" t="str">
        <f>IF($B97="","",IFERROR(-AH97,"n.b."))</f>
        <v/>
      </c>
      <c r="BY97" s="124" t="str">
        <f>IF($B97="","",IFERROR(-AI97,"n.b."))</f>
        <v/>
      </c>
      <c r="BZ97" s="124" t="str">
        <f>IF($B97="","",IFERROR(-AJ97,"n.b."))</f>
        <v/>
      </c>
      <c r="CA97" s="124" t="str">
        <f>IF($B97="","",IFERROR(-AK97,"n.b."))</f>
        <v/>
      </c>
      <c r="CB97" s="124" t="str">
        <f>IF($B97="","",IFERROR(-AL97,"n.b."))</f>
        <v/>
      </c>
      <c r="CC97" s="124" t="str">
        <f>IF($B97="","",IFERROR(-AP97,"n.b."))</f>
        <v/>
      </c>
      <c r="CD97" s="124" t="str">
        <f>IF($B97="","",IFERROR(-AQ97,"n.b."))</f>
        <v/>
      </c>
      <c r="CE97" s="124" t="str">
        <f>IF($B97="","",IFERROR(-AR97,"n.b."))</f>
        <v/>
      </c>
      <c r="CF97" s="124" t="str">
        <f>IF($B97="","",IFERROR(-AS97,"n.b."))</f>
        <v/>
      </c>
      <c r="CG97" s="124" t="str">
        <f>IF($B97="","",IFERROR(-AT97,"n.b."))</f>
        <v/>
      </c>
      <c r="CH97" s="124" t="str">
        <f>IF($B97="","",IFERROR(-AU97,"n.b."))</f>
        <v/>
      </c>
      <c r="CI97" s="124" t="str">
        <f>IF($B97="","",IFERROR(-AV97,"n.b."))</f>
        <v/>
      </c>
      <c r="CJ97" s="124" t="str">
        <f>IF($B97="","",IFERROR(-AW97,"n.b."))</f>
        <v/>
      </c>
      <c r="CK97" s="124" t="str">
        <f>IF($B97="","",IFERROR(-AX97,"n.b."))</f>
        <v/>
      </c>
      <c r="CL97" s="124" t="str">
        <f>IF($B97="","",IFERROR(-AY97,"n.b."))</f>
        <v/>
      </c>
      <c r="CM97" s="124" t="str">
        <f>IF($B97="","",IFERROR(-AZ97,"n.b."))</f>
        <v/>
      </c>
      <c r="CN97" s="124" t="str">
        <f>IF($B97="","",IFERROR(-BA97,"n.b."))</f>
        <v/>
      </c>
      <c r="CO97" s="124" t="str">
        <f>IF($B97="","",IFERROR(-BB97,"n.b."))</f>
        <v/>
      </c>
      <c r="CP97" s="124" t="str">
        <f>IF($B97="","",IFERROR(-BC97,"n.b."))</f>
        <v/>
      </c>
      <c r="CQ97" s="124" t="str">
        <f>IF($B97="","",IFERROR(-BD97,"n.b."))</f>
        <v/>
      </c>
      <c r="CR97" s="124" t="str">
        <f>IF($B97="","",IFERROR(-BE97,"n.b."))</f>
        <v/>
      </c>
      <c r="CS97" s="124" t="str">
        <f>IF($B97="","",IFERROR(IF(OR(ABS(T97+V97+X97+Z97-AB97)&gt;P_Tol,ABS(U97+W97+Y97+AA97-AD97)&gt;P_Tol,ABS(AE97+AG97+AI97+AK97-AM97)&gt;P_Tol,ABS(AF97+AH97+AJ97+AL97-AO97)&gt;P_Tol),1,0),1))</f>
        <v/>
      </c>
      <c r="CT97" s="124" t="str">
        <f>IF($B97="","",IFERROR(IF(OR(ABS(AB97+AC97-AD97)&gt;P_Tol,ABS(AM97+AN97-AO97)&gt;P_Tol,ABS(O97+P97-Q97)&gt;P_Tol),1,0),1))</f>
        <v/>
      </c>
      <c r="CU97" s="124" t="str">
        <f>IF($B97="","",IFERROR(IF(ABS(R97-(AB97+AM97+AP97+AR97+AT97+AV97+AX97+AZ97+BB97+BD97))&gt;P_Tol,1,0),1))</f>
        <v/>
      </c>
      <c r="CV97" s="124" t="str">
        <f>IF($B97="","",IFERROR(IF(ABS(M97-(N97+O97+R97))&gt;P_Tol,1,0),1))</f>
        <v/>
      </c>
      <c r="CW97" s="124" t="str">
        <f>IF($B97="","",IF(COUNTIF(Mapping!$A$5:$A$104,B97)&gt;0,1,0))</f>
        <v/>
      </c>
      <c r="CX97" s="124" t="str">
        <f>IF($B97="","",COUNTIF($B$6:$B$505,B97))</f>
        <v/>
      </c>
      <c r="CY97" s="124" t="str">
        <f>IF($B97="","",COUNTIF(STG_Woningetalage!$B$6:$B$505,B97))</f>
        <v/>
      </c>
      <c r="CZ97" s="124" t="str">
        <f>IF($B97="","",IF(CW97=0,COUNTIF($CW$6:CW97,0),""))</f>
        <v/>
      </c>
    </row>
    <row r="98">
      <c r="A98" s="15" t="n">
        <v>94</v>
      </c>
      <c r="B98" t="str">
        <f>IF(B$3=0,"",IF(INDEX(SRC_ZPMW03!$A$1:$ZZ$501,$A98,B$3)&amp;""="","",INDEX(SRC_ZPMW03!$A$1:$ZZ$501,$A98,B$3)&amp;""))</f>
        <v/>
      </c>
      <c r="C98" t="str">
        <f>IF($B98="","",IF(C$3=0,"n.b.",INDEX(SRC_ZPMW03!$A$1:$ZZ$501,$A98,C$3)))</f>
        <v/>
      </c>
      <c r="D98" t="str">
        <f>IF($B98="","",IF(D$3=0,"n.b.",INDEX(SRC_ZPMW03!$A$1:$ZZ$501,$A98,D$3)))</f>
        <v/>
      </c>
      <c r="E98" t="str">
        <f>IF($B98="","",IF(E$3=0,"n.b.",INDEX(SRC_ZPMW03!$A$1:$ZZ$501,$A98,E$3)))</f>
        <v/>
      </c>
      <c r="F98" t="str">
        <f>IF($B98="","",IF(F$3=0,"n.b.",INDEX(SRC_ZPMW03!$A$1:$ZZ$501,$A98,F$3)))</f>
        <v/>
      </c>
      <c r="G98" t="str">
        <f>IF($B98="","",IF(G$3=0,"n.b.",INDEX(SRC_ZPMW03!$A$1:$ZZ$501,$A98,G$3)))</f>
        <v/>
      </c>
      <c r="H98" t="str">
        <f>IF($B98="","",IF(H$3=0,"n.b.",INDEX(SRC_ZPMW03!$A$1:$ZZ$501,$A98,H$3)))</f>
        <v/>
      </c>
      <c r="I98" t="str">
        <f>IF($B98="","",IF(I$3=0,"n.b.",INDEX(SRC_ZPMW03!$A$1:$ZZ$501,$A98,I$3)))</f>
        <v/>
      </c>
      <c r="J98" t="str">
        <f>IF($B98="","",IF(J$3=0,"n.b.",INDEX(SRC_ZPMW03!$A$1:$ZZ$501,$A98,J$3)))</f>
        <v/>
      </c>
      <c r="K98" t="str">
        <f>IF($B98="","",IF(K$3=0,"n.b.",INDEX(SRC_ZPMW03!$A$1:$ZZ$501,$A98,K$3)))</f>
        <v/>
      </c>
      <c r="L98" s="124" t="str">
        <f>IF($B98="","",IF(L$3=0,"n.b.",INDEX(SRC_ZPMW03!$A$1:$ZZ$501,$A98,L$3)))</f>
        <v/>
      </c>
      <c r="M98" s="124" t="str">
        <f>IF($B98="","",IF(M$3=0,"n.b.",INDEX(SRC_ZPMW03!$A$1:$ZZ$501,$A98,M$3)))</f>
        <v/>
      </c>
      <c r="N98" s="124" t="str">
        <f>IF($B98="","",IF(N$3=0,"n.b.",INDEX(SRC_ZPMW03!$A$1:$ZZ$501,$A98,N$3)))</f>
        <v/>
      </c>
      <c r="O98" s="124" t="str">
        <f>IF($B98="","",IF(O$3=0,"n.b.",INDEX(SRC_ZPMW03!$A$1:$ZZ$501,$A98,O$3)))</f>
        <v/>
      </c>
      <c r="P98" s="124" t="str">
        <f>IF($B98="","",IF(P$3=0,"n.b.",INDEX(SRC_ZPMW03!$A$1:$ZZ$501,$A98,P$3)))</f>
        <v/>
      </c>
      <c r="Q98" s="124" t="str">
        <f>IF($B98="","",IF(Q$3=0,"n.b.",INDEX(SRC_ZPMW03!$A$1:$ZZ$501,$A98,Q$3)))</f>
        <v/>
      </c>
      <c r="R98" s="124" t="str">
        <f>IF($B98="","",IF(R$3=0,"n.b.",INDEX(SRC_ZPMW03!$A$1:$ZZ$501,$A98,R$3)))</f>
        <v/>
      </c>
      <c r="S98" s="124" t="str">
        <f>IF($B98="","",IF(S$3=0,"n.b.",INDEX(SRC_ZPMW03!$A$1:$ZZ$501,$A98,S$3)))</f>
        <v/>
      </c>
      <c r="T98" s="124" t="str">
        <f>IF($B98="","",IF(T$3=0,"n.b.",INDEX(SRC_ZPMW03!$A$1:$ZZ$501,$A98,T$3)))</f>
        <v/>
      </c>
      <c r="U98" s="124" t="str">
        <f>IF($B98="","",IF(U$3=0,"n.b.",INDEX(SRC_ZPMW03!$A$1:$ZZ$501,$A98,U$3)))</f>
        <v/>
      </c>
      <c r="V98" s="124" t="str">
        <f>IF($B98="","",IF(V$3=0,"n.b.",INDEX(SRC_ZPMW03!$A$1:$ZZ$501,$A98,V$3)))</f>
        <v/>
      </c>
      <c r="W98" s="124" t="str">
        <f>IF($B98="","",IF(W$3=0,"n.b.",INDEX(SRC_ZPMW03!$A$1:$ZZ$501,$A98,W$3)))</f>
        <v/>
      </c>
      <c r="X98" s="124" t="str">
        <f>IF($B98="","",IF(X$3=0,"n.b.",INDEX(SRC_ZPMW03!$A$1:$ZZ$501,$A98,X$3)))</f>
        <v/>
      </c>
      <c r="Y98" s="124" t="str">
        <f>IF($B98="","",IF(Y$3=0,"n.b.",INDEX(SRC_ZPMW03!$A$1:$ZZ$501,$A98,Y$3)))</f>
        <v/>
      </c>
      <c r="Z98" s="124" t="str">
        <f>IF($B98="","",IF(Z$3=0,"n.b.",INDEX(SRC_ZPMW03!$A$1:$ZZ$501,$A98,Z$3)))</f>
        <v/>
      </c>
      <c r="AA98" s="124" t="str">
        <f>IF($B98="","",IF(AA$3=0,"n.b.",INDEX(SRC_ZPMW03!$A$1:$ZZ$501,$A98,AA$3)))</f>
        <v/>
      </c>
      <c r="AB98" s="124" t="str">
        <f>IF($B98="","",IF(AB$3=0,"n.b.",INDEX(SRC_ZPMW03!$A$1:$ZZ$501,$A98,AB$3)))</f>
        <v/>
      </c>
      <c r="AC98" s="124" t="str">
        <f>IF($B98="","",IF(AC$3=0,"n.b.",INDEX(SRC_ZPMW03!$A$1:$ZZ$501,$A98,AC$3)))</f>
        <v/>
      </c>
      <c r="AD98" s="124" t="str">
        <f>IF($B98="","",IF(AD$3=0,"n.b.",INDEX(SRC_ZPMW03!$A$1:$ZZ$501,$A98,AD$3)))</f>
        <v/>
      </c>
      <c r="AE98" s="124" t="str">
        <f>IF($B98="","",IF(AE$3=0,"n.b.",INDEX(SRC_ZPMW03!$A$1:$ZZ$501,$A98,AE$3)))</f>
        <v/>
      </c>
      <c r="AF98" s="124" t="str">
        <f>IF($B98="","",IF(AF$3=0,"n.b.",INDEX(SRC_ZPMW03!$A$1:$ZZ$501,$A98,AF$3)))</f>
        <v/>
      </c>
      <c r="AG98" s="124" t="str">
        <f>IF($B98="","",IF(AG$3=0,"n.b.",INDEX(SRC_ZPMW03!$A$1:$ZZ$501,$A98,AG$3)))</f>
        <v/>
      </c>
      <c r="AH98" s="124" t="str">
        <f>IF($B98="","",IF(AH$3=0,"n.b.",INDEX(SRC_ZPMW03!$A$1:$ZZ$501,$A98,AH$3)))</f>
        <v/>
      </c>
      <c r="AI98" s="124" t="str">
        <f>IF($B98="","",IF(AI$3=0,"n.b.",INDEX(SRC_ZPMW03!$A$1:$ZZ$501,$A98,AI$3)))</f>
        <v/>
      </c>
      <c r="AJ98" s="124" t="str">
        <f>IF($B98="","",IF(AJ$3=0,"n.b.",INDEX(SRC_ZPMW03!$A$1:$ZZ$501,$A98,AJ$3)))</f>
        <v/>
      </c>
      <c r="AK98" s="124" t="str">
        <f>IF($B98="","",IF(AK$3=0,"n.b.",INDEX(SRC_ZPMW03!$A$1:$ZZ$501,$A98,AK$3)))</f>
        <v/>
      </c>
      <c r="AL98" s="124" t="str">
        <f>IF($B98="","",IF(AL$3=0,"n.b.",INDEX(SRC_ZPMW03!$A$1:$ZZ$501,$A98,AL$3)))</f>
        <v/>
      </c>
      <c r="AM98" s="124" t="str">
        <f>IF($B98="","",IF(AM$3=0,"n.b.",INDEX(SRC_ZPMW03!$A$1:$ZZ$501,$A98,AM$3)))</f>
        <v/>
      </c>
      <c r="AN98" s="124" t="str">
        <f>IF($B98="","",IF(AN$3=0,"n.b.",INDEX(SRC_ZPMW03!$A$1:$ZZ$501,$A98,AN$3)))</f>
        <v/>
      </c>
      <c r="AO98" s="124" t="str">
        <f>IF($B98="","",IF(AO$3=0,"n.b.",INDEX(SRC_ZPMW03!$A$1:$ZZ$501,$A98,AO$3)))</f>
        <v/>
      </c>
      <c r="AP98" s="124" t="str">
        <f>IF($B98="","",IF(AP$3=0,"n.b.",INDEX(SRC_ZPMW03!$A$1:$ZZ$501,$A98,AP$3)))</f>
        <v/>
      </c>
      <c r="AQ98" s="124" t="str">
        <f>IF($B98="","",IF(AQ$3=0,"n.b.",INDEX(SRC_ZPMW03!$A$1:$ZZ$501,$A98,AQ$3)))</f>
        <v/>
      </c>
      <c r="AR98" s="124" t="str">
        <f>IF($B98="","",IF(AR$3=0,"n.b.",INDEX(SRC_ZPMW03!$A$1:$ZZ$501,$A98,AR$3)))</f>
        <v/>
      </c>
      <c r="AS98" s="124" t="str">
        <f>IF($B98="","",IF(AS$3=0,"n.b.",INDEX(SRC_ZPMW03!$A$1:$ZZ$501,$A98,AS$3)))</f>
        <v/>
      </c>
      <c r="AT98" s="124" t="str">
        <f>IF($B98="","",IF(AT$3=0,"n.b.",INDEX(SRC_ZPMW03!$A$1:$ZZ$501,$A98,AT$3)))</f>
        <v/>
      </c>
      <c r="AU98" s="124" t="str">
        <f>IF($B98="","",IF(AU$3=0,"n.b.",INDEX(SRC_ZPMW03!$A$1:$ZZ$501,$A98,AU$3)))</f>
        <v/>
      </c>
      <c r="AV98" s="124" t="str">
        <f>IF($B98="","",IF(AV$3=0,"n.b.",INDEX(SRC_ZPMW03!$A$1:$ZZ$501,$A98,AV$3)))</f>
        <v/>
      </c>
      <c r="AW98" s="124" t="str">
        <f>IF($B98="","",IF(AW$3=0,"n.b.",INDEX(SRC_ZPMW03!$A$1:$ZZ$501,$A98,AW$3)))</f>
        <v/>
      </c>
      <c r="AX98" s="124" t="str">
        <f>IF($B98="","",IF(AX$3=0,"n.b.",INDEX(SRC_ZPMW03!$A$1:$ZZ$501,$A98,AX$3)))</f>
        <v/>
      </c>
      <c r="AY98" s="124" t="str">
        <f>IF($B98="","",IF(AY$3=0,"n.b.",INDEX(SRC_ZPMW03!$A$1:$ZZ$501,$A98,AY$3)))</f>
        <v/>
      </c>
      <c r="AZ98" s="124" t="str">
        <f>IF($B98="","",IF(AZ$3=0,"n.b.",INDEX(SRC_ZPMW03!$A$1:$ZZ$501,$A98,AZ$3)))</f>
        <v/>
      </c>
      <c r="BA98" s="124" t="str">
        <f>IF($B98="","",IF(BA$3=0,"n.b.",INDEX(SRC_ZPMW03!$A$1:$ZZ$501,$A98,BA$3)))</f>
        <v/>
      </c>
      <c r="BB98" s="124" t="str">
        <f>IF($B98="","",IF(BB$3=0,"n.b.",INDEX(SRC_ZPMW03!$A$1:$ZZ$501,$A98,BB$3)))</f>
        <v/>
      </c>
      <c r="BC98" s="124" t="str">
        <f>IF($B98="","",IF(BC$3=0,"n.b.",INDEX(SRC_ZPMW03!$A$1:$ZZ$501,$A98,BC$3)))</f>
        <v/>
      </c>
      <c r="BD98" s="124" t="str">
        <f>IF($B98="","",IF(BD$3=0,"n.b.",INDEX(SRC_ZPMW03!$A$1:$ZZ$501,$A98,BD$3)))</f>
        <v/>
      </c>
      <c r="BE98" s="124" t="str">
        <f>IF($B98="","",IF(BE$3=0,"n.b.",INDEX(SRC_ZPMW03!$A$1:$ZZ$501,$A98,BE$3)))</f>
        <v/>
      </c>
      <c r="BF98" s="124" t="str">
        <f>IF($B98="","",IF(BF$3=0,"n.b.",INDEX(SRC_ZPMW03!$A$1:$ZZ$501,$A98,BF$3)))</f>
        <v/>
      </c>
      <c r="BG98" t="str">
        <f>IF($B98="","",IF(BG$3=0,"n.b.",INDEX(SRC_ZPMW03!$A$1:$ZZ$501,$A98,BG$3)))</f>
        <v/>
      </c>
      <c r="BH98" t="str">
        <f>IF($B98="","",IF(BH$3=0,"n.b.",INDEX(SRC_ZPMW03!$A$1:$ZZ$501,$A98,BH$3)))</f>
        <v/>
      </c>
      <c r="BI98" t="str">
        <f>IF($B98="","",IF(BI$3=0,"n.b.",INDEX(SRC_ZPMW03!$A$1:$ZZ$501,$A98,BI$3)))</f>
        <v/>
      </c>
      <c r="BJ98" t="str">
        <f>IF($B98="","",IF(BJ$3=0,"n.b.",INDEX(SRC_ZPMW03!$A$1:$ZZ$501,$A98,BJ$3)))</f>
        <v/>
      </c>
      <c r="BK98" s="124" t="str">
        <f>IF($B98="","",IFERROR(-O98,"n.b."))</f>
        <v/>
      </c>
      <c r="BL98" s="124" t="str">
        <f>IF($B98="","",IFERROR(-Q98,"n.b."))</f>
        <v/>
      </c>
      <c r="BM98" s="124" t="str">
        <f>IF($B98="","",IFERROR(-AB98,"n.b."))</f>
        <v/>
      </c>
      <c r="BN98" s="124" t="str">
        <f>IF($B98="","",IFERROR(-AD98,"n.b."))</f>
        <v/>
      </c>
      <c r="BO98" s="124" t="str">
        <f>IF($B98="","",IFERROR(BK98+BM98,"n.b."))</f>
        <v/>
      </c>
      <c r="BP98" s="124" t="str">
        <f>IF($B98="","",IFERROR(BL98+BN98,"n.b."))</f>
        <v/>
      </c>
      <c r="BQ98" s="124" t="str">
        <f>IF($B98="","",IFERROR(-AM98,"n.b."))</f>
        <v/>
      </c>
      <c r="BR98" s="124" t="str">
        <f>IF($B98="","",IFERROR(-AO98,"n.b."))</f>
        <v/>
      </c>
      <c r="BS98" s="124" t="str">
        <f>IF($B98="","",IFERROR(-Z98,"n.b."))</f>
        <v/>
      </c>
      <c r="BT98" s="124" t="str">
        <f>IF($B98="","",IFERROR(-AA98,"n.b."))</f>
        <v/>
      </c>
      <c r="BU98" s="124" t="str">
        <f>IF($B98="","",IFERROR(-AE98,"n.b."))</f>
        <v/>
      </c>
      <c r="BV98" s="124" t="str">
        <f>IF($B98="","",IFERROR(-AF98,"n.b."))</f>
        <v/>
      </c>
      <c r="BW98" s="124" t="str">
        <f>IF($B98="","",IFERROR(-AG98,"n.b."))</f>
        <v/>
      </c>
      <c r="BX98" s="124" t="str">
        <f>IF($B98="","",IFERROR(-AH98,"n.b."))</f>
        <v/>
      </c>
      <c r="BY98" s="124" t="str">
        <f>IF($B98="","",IFERROR(-AI98,"n.b."))</f>
        <v/>
      </c>
      <c r="BZ98" s="124" t="str">
        <f>IF($B98="","",IFERROR(-AJ98,"n.b."))</f>
        <v/>
      </c>
      <c r="CA98" s="124" t="str">
        <f>IF($B98="","",IFERROR(-AK98,"n.b."))</f>
        <v/>
      </c>
      <c r="CB98" s="124" t="str">
        <f>IF($B98="","",IFERROR(-AL98,"n.b."))</f>
        <v/>
      </c>
      <c r="CC98" s="124" t="str">
        <f>IF($B98="","",IFERROR(-AP98,"n.b."))</f>
        <v/>
      </c>
      <c r="CD98" s="124" t="str">
        <f>IF($B98="","",IFERROR(-AQ98,"n.b."))</f>
        <v/>
      </c>
      <c r="CE98" s="124" t="str">
        <f>IF($B98="","",IFERROR(-AR98,"n.b."))</f>
        <v/>
      </c>
      <c r="CF98" s="124" t="str">
        <f>IF($B98="","",IFERROR(-AS98,"n.b."))</f>
        <v/>
      </c>
      <c r="CG98" s="124" t="str">
        <f>IF($B98="","",IFERROR(-AT98,"n.b."))</f>
        <v/>
      </c>
      <c r="CH98" s="124" t="str">
        <f>IF($B98="","",IFERROR(-AU98,"n.b."))</f>
        <v/>
      </c>
      <c r="CI98" s="124" t="str">
        <f>IF($B98="","",IFERROR(-AV98,"n.b."))</f>
        <v/>
      </c>
      <c r="CJ98" s="124" t="str">
        <f>IF($B98="","",IFERROR(-AW98,"n.b."))</f>
        <v/>
      </c>
      <c r="CK98" s="124" t="str">
        <f>IF($B98="","",IFERROR(-AX98,"n.b."))</f>
        <v/>
      </c>
      <c r="CL98" s="124" t="str">
        <f>IF($B98="","",IFERROR(-AY98,"n.b."))</f>
        <v/>
      </c>
      <c r="CM98" s="124" t="str">
        <f>IF($B98="","",IFERROR(-AZ98,"n.b."))</f>
        <v/>
      </c>
      <c r="CN98" s="124" t="str">
        <f>IF($B98="","",IFERROR(-BA98,"n.b."))</f>
        <v/>
      </c>
      <c r="CO98" s="124" t="str">
        <f>IF($B98="","",IFERROR(-BB98,"n.b."))</f>
        <v/>
      </c>
      <c r="CP98" s="124" t="str">
        <f>IF($B98="","",IFERROR(-BC98,"n.b."))</f>
        <v/>
      </c>
      <c r="CQ98" s="124" t="str">
        <f>IF($B98="","",IFERROR(-BD98,"n.b."))</f>
        <v/>
      </c>
      <c r="CR98" s="124" t="str">
        <f>IF($B98="","",IFERROR(-BE98,"n.b."))</f>
        <v/>
      </c>
      <c r="CS98" s="124" t="str">
        <f>IF($B98="","",IFERROR(IF(OR(ABS(T98+V98+X98+Z98-AB98)&gt;P_Tol,ABS(U98+W98+Y98+AA98-AD98)&gt;P_Tol,ABS(AE98+AG98+AI98+AK98-AM98)&gt;P_Tol,ABS(AF98+AH98+AJ98+AL98-AO98)&gt;P_Tol),1,0),1))</f>
        <v/>
      </c>
      <c r="CT98" s="124" t="str">
        <f>IF($B98="","",IFERROR(IF(OR(ABS(AB98+AC98-AD98)&gt;P_Tol,ABS(AM98+AN98-AO98)&gt;P_Tol,ABS(O98+P98-Q98)&gt;P_Tol),1,0),1))</f>
        <v/>
      </c>
      <c r="CU98" s="124" t="str">
        <f>IF($B98="","",IFERROR(IF(ABS(R98-(AB98+AM98+AP98+AR98+AT98+AV98+AX98+AZ98+BB98+BD98))&gt;P_Tol,1,0),1))</f>
        <v/>
      </c>
      <c r="CV98" s="124" t="str">
        <f>IF($B98="","",IFERROR(IF(ABS(M98-(N98+O98+R98))&gt;P_Tol,1,0),1))</f>
        <v/>
      </c>
      <c r="CW98" s="124" t="str">
        <f>IF($B98="","",IF(COUNTIF(Mapping!$A$5:$A$104,B98)&gt;0,1,0))</f>
        <v/>
      </c>
      <c r="CX98" s="124" t="str">
        <f>IF($B98="","",COUNTIF($B$6:$B$505,B98))</f>
        <v/>
      </c>
      <c r="CY98" s="124" t="str">
        <f>IF($B98="","",COUNTIF(STG_Woningetalage!$B$6:$B$505,B98))</f>
        <v/>
      </c>
      <c r="CZ98" s="124" t="str">
        <f>IF($B98="","",IF(CW98=0,COUNTIF($CW$6:CW98,0),""))</f>
        <v/>
      </c>
    </row>
    <row r="99">
      <c r="A99" s="15" t="n">
        <v>95</v>
      </c>
      <c r="B99" t="str">
        <f>IF(B$3=0,"",IF(INDEX(SRC_ZPMW03!$A$1:$ZZ$501,$A99,B$3)&amp;""="","",INDEX(SRC_ZPMW03!$A$1:$ZZ$501,$A99,B$3)&amp;""))</f>
        <v/>
      </c>
      <c r="C99" t="str">
        <f>IF($B99="","",IF(C$3=0,"n.b.",INDEX(SRC_ZPMW03!$A$1:$ZZ$501,$A99,C$3)))</f>
        <v/>
      </c>
      <c r="D99" t="str">
        <f>IF($B99="","",IF(D$3=0,"n.b.",INDEX(SRC_ZPMW03!$A$1:$ZZ$501,$A99,D$3)))</f>
        <v/>
      </c>
      <c r="E99" t="str">
        <f>IF($B99="","",IF(E$3=0,"n.b.",INDEX(SRC_ZPMW03!$A$1:$ZZ$501,$A99,E$3)))</f>
        <v/>
      </c>
      <c r="F99" t="str">
        <f>IF($B99="","",IF(F$3=0,"n.b.",INDEX(SRC_ZPMW03!$A$1:$ZZ$501,$A99,F$3)))</f>
        <v/>
      </c>
      <c r="G99" t="str">
        <f>IF($B99="","",IF(G$3=0,"n.b.",INDEX(SRC_ZPMW03!$A$1:$ZZ$501,$A99,G$3)))</f>
        <v/>
      </c>
      <c r="H99" t="str">
        <f>IF($B99="","",IF(H$3=0,"n.b.",INDEX(SRC_ZPMW03!$A$1:$ZZ$501,$A99,H$3)))</f>
        <v/>
      </c>
      <c r="I99" t="str">
        <f>IF($B99="","",IF(I$3=0,"n.b.",INDEX(SRC_ZPMW03!$A$1:$ZZ$501,$A99,I$3)))</f>
        <v/>
      </c>
      <c r="J99" t="str">
        <f>IF($B99="","",IF(J$3=0,"n.b.",INDEX(SRC_ZPMW03!$A$1:$ZZ$501,$A99,J$3)))</f>
        <v/>
      </c>
      <c r="K99" t="str">
        <f>IF($B99="","",IF(K$3=0,"n.b.",INDEX(SRC_ZPMW03!$A$1:$ZZ$501,$A99,K$3)))</f>
        <v/>
      </c>
      <c r="L99" s="124" t="str">
        <f>IF($B99="","",IF(L$3=0,"n.b.",INDEX(SRC_ZPMW03!$A$1:$ZZ$501,$A99,L$3)))</f>
        <v/>
      </c>
      <c r="M99" s="124" t="str">
        <f>IF($B99="","",IF(M$3=0,"n.b.",INDEX(SRC_ZPMW03!$A$1:$ZZ$501,$A99,M$3)))</f>
        <v/>
      </c>
      <c r="N99" s="124" t="str">
        <f>IF($B99="","",IF(N$3=0,"n.b.",INDEX(SRC_ZPMW03!$A$1:$ZZ$501,$A99,N$3)))</f>
        <v/>
      </c>
      <c r="O99" s="124" t="str">
        <f>IF($B99="","",IF(O$3=0,"n.b.",INDEX(SRC_ZPMW03!$A$1:$ZZ$501,$A99,O$3)))</f>
        <v/>
      </c>
      <c r="P99" s="124" t="str">
        <f>IF($B99="","",IF(P$3=0,"n.b.",INDEX(SRC_ZPMW03!$A$1:$ZZ$501,$A99,P$3)))</f>
        <v/>
      </c>
      <c r="Q99" s="124" t="str">
        <f>IF($B99="","",IF(Q$3=0,"n.b.",INDEX(SRC_ZPMW03!$A$1:$ZZ$501,$A99,Q$3)))</f>
        <v/>
      </c>
      <c r="R99" s="124" t="str">
        <f>IF($B99="","",IF(R$3=0,"n.b.",INDEX(SRC_ZPMW03!$A$1:$ZZ$501,$A99,R$3)))</f>
        <v/>
      </c>
      <c r="S99" s="124" t="str">
        <f>IF($B99="","",IF(S$3=0,"n.b.",INDEX(SRC_ZPMW03!$A$1:$ZZ$501,$A99,S$3)))</f>
        <v/>
      </c>
      <c r="T99" s="124" t="str">
        <f>IF($B99="","",IF(T$3=0,"n.b.",INDEX(SRC_ZPMW03!$A$1:$ZZ$501,$A99,T$3)))</f>
        <v/>
      </c>
      <c r="U99" s="124" t="str">
        <f>IF($B99="","",IF(U$3=0,"n.b.",INDEX(SRC_ZPMW03!$A$1:$ZZ$501,$A99,U$3)))</f>
        <v/>
      </c>
      <c r="V99" s="124" t="str">
        <f>IF($B99="","",IF(V$3=0,"n.b.",INDEX(SRC_ZPMW03!$A$1:$ZZ$501,$A99,V$3)))</f>
        <v/>
      </c>
      <c r="W99" s="124" t="str">
        <f>IF($B99="","",IF(W$3=0,"n.b.",INDEX(SRC_ZPMW03!$A$1:$ZZ$501,$A99,W$3)))</f>
        <v/>
      </c>
      <c r="X99" s="124" t="str">
        <f>IF($B99="","",IF(X$3=0,"n.b.",INDEX(SRC_ZPMW03!$A$1:$ZZ$501,$A99,X$3)))</f>
        <v/>
      </c>
      <c r="Y99" s="124" t="str">
        <f>IF($B99="","",IF(Y$3=0,"n.b.",INDEX(SRC_ZPMW03!$A$1:$ZZ$501,$A99,Y$3)))</f>
        <v/>
      </c>
      <c r="Z99" s="124" t="str">
        <f>IF($B99="","",IF(Z$3=0,"n.b.",INDEX(SRC_ZPMW03!$A$1:$ZZ$501,$A99,Z$3)))</f>
        <v/>
      </c>
      <c r="AA99" s="124" t="str">
        <f>IF($B99="","",IF(AA$3=0,"n.b.",INDEX(SRC_ZPMW03!$A$1:$ZZ$501,$A99,AA$3)))</f>
        <v/>
      </c>
      <c r="AB99" s="124" t="str">
        <f>IF($B99="","",IF(AB$3=0,"n.b.",INDEX(SRC_ZPMW03!$A$1:$ZZ$501,$A99,AB$3)))</f>
        <v/>
      </c>
      <c r="AC99" s="124" t="str">
        <f>IF($B99="","",IF(AC$3=0,"n.b.",INDEX(SRC_ZPMW03!$A$1:$ZZ$501,$A99,AC$3)))</f>
        <v/>
      </c>
      <c r="AD99" s="124" t="str">
        <f>IF($B99="","",IF(AD$3=0,"n.b.",INDEX(SRC_ZPMW03!$A$1:$ZZ$501,$A99,AD$3)))</f>
        <v/>
      </c>
      <c r="AE99" s="124" t="str">
        <f>IF($B99="","",IF(AE$3=0,"n.b.",INDEX(SRC_ZPMW03!$A$1:$ZZ$501,$A99,AE$3)))</f>
        <v/>
      </c>
      <c r="AF99" s="124" t="str">
        <f>IF($B99="","",IF(AF$3=0,"n.b.",INDEX(SRC_ZPMW03!$A$1:$ZZ$501,$A99,AF$3)))</f>
        <v/>
      </c>
      <c r="AG99" s="124" t="str">
        <f>IF($B99="","",IF(AG$3=0,"n.b.",INDEX(SRC_ZPMW03!$A$1:$ZZ$501,$A99,AG$3)))</f>
        <v/>
      </c>
      <c r="AH99" s="124" t="str">
        <f>IF($B99="","",IF(AH$3=0,"n.b.",INDEX(SRC_ZPMW03!$A$1:$ZZ$501,$A99,AH$3)))</f>
        <v/>
      </c>
      <c r="AI99" s="124" t="str">
        <f>IF($B99="","",IF(AI$3=0,"n.b.",INDEX(SRC_ZPMW03!$A$1:$ZZ$501,$A99,AI$3)))</f>
        <v/>
      </c>
      <c r="AJ99" s="124" t="str">
        <f>IF($B99="","",IF(AJ$3=0,"n.b.",INDEX(SRC_ZPMW03!$A$1:$ZZ$501,$A99,AJ$3)))</f>
        <v/>
      </c>
      <c r="AK99" s="124" t="str">
        <f>IF($B99="","",IF(AK$3=0,"n.b.",INDEX(SRC_ZPMW03!$A$1:$ZZ$501,$A99,AK$3)))</f>
        <v/>
      </c>
      <c r="AL99" s="124" t="str">
        <f>IF($B99="","",IF(AL$3=0,"n.b.",INDEX(SRC_ZPMW03!$A$1:$ZZ$501,$A99,AL$3)))</f>
        <v/>
      </c>
      <c r="AM99" s="124" t="str">
        <f>IF($B99="","",IF(AM$3=0,"n.b.",INDEX(SRC_ZPMW03!$A$1:$ZZ$501,$A99,AM$3)))</f>
        <v/>
      </c>
      <c r="AN99" s="124" t="str">
        <f>IF($B99="","",IF(AN$3=0,"n.b.",INDEX(SRC_ZPMW03!$A$1:$ZZ$501,$A99,AN$3)))</f>
        <v/>
      </c>
      <c r="AO99" s="124" t="str">
        <f>IF($B99="","",IF(AO$3=0,"n.b.",INDEX(SRC_ZPMW03!$A$1:$ZZ$501,$A99,AO$3)))</f>
        <v/>
      </c>
      <c r="AP99" s="124" t="str">
        <f>IF($B99="","",IF(AP$3=0,"n.b.",INDEX(SRC_ZPMW03!$A$1:$ZZ$501,$A99,AP$3)))</f>
        <v/>
      </c>
      <c r="AQ99" s="124" t="str">
        <f>IF($B99="","",IF(AQ$3=0,"n.b.",INDEX(SRC_ZPMW03!$A$1:$ZZ$501,$A99,AQ$3)))</f>
        <v/>
      </c>
      <c r="AR99" s="124" t="str">
        <f>IF($B99="","",IF(AR$3=0,"n.b.",INDEX(SRC_ZPMW03!$A$1:$ZZ$501,$A99,AR$3)))</f>
        <v/>
      </c>
      <c r="AS99" s="124" t="str">
        <f>IF($B99="","",IF(AS$3=0,"n.b.",INDEX(SRC_ZPMW03!$A$1:$ZZ$501,$A99,AS$3)))</f>
        <v/>
      </c>
      <c r="AT99" s="124" t="str">
        <f>IF($B99="","",IF(AT$3=0,"n.b.",INDEX(SRC_ZPMW03!$A$1:$ZZ$501,$A99,AT$3)))</f>
        <v/>
      </c>
      <c r="AU99" s="124" t="str">
        <f>IF($B99="","",IF(AU$3=0,"n.b.",INDEX(SRC_ZPMW03!$A$1:$ZZ$501,$A99,AU$3)))</f>
        <v/>
      </c>
      <c r="AV99" s="124" t="str">
        <f>IF($B99="","",IF(AV$3=0,"n.b.",INDEX(SRC_ZPMW03!$A$1:$ZZ$501,$A99,AV$3)))</f>
        <v/>
      </c>
      <c r="AW99" s="124" t="str">
        <f>IF($B99="","",IF(AW$3=0,"n.b.",INDEX(SRC_ZPMW03!$A$1:$ZZ$501,$A99,AW$3)))</f>
        <v/>
      </c>
      <c r="AX99" s="124" t="str">
        <f>IF($B99="","",IF(AX$3=0,"n.b.",INDEX(SRC_ZPMW03!$A$1:$ZZ$501,$A99,AX$3)))</f>
        <v/>
      </c>
      <c r="AY99" s="124" t="str">
        <f>IF($B99="","",IF(AY$3=0,"n.b.",INDEX(SRC_ZPMW03!$A$1:$ZZ$501,$A99,AY$3)))</f>
        <v/>
      </c>
      <c r="AZ99" s="124" t="str">
        <f>IF($B99="","",IF(AZ$3=0,"n.b.",INDEX(SRC_ZPMW03!$A$1:$ZZ$501,$A99,AZ$3)))</f>
        <v/>
      </c>
      <c r="BA99" s="124" t="str">
        <f>IF($B99="","",IF(BA$3=0,"n.b.",INDEX(SRC_ZPMW03!$A$1:$ZZ$501,$A99,BA$3)))</f>
        <v/>
      </c>
      <c r="BB99" s="124" t="str">
        <f>IF($B99="","",IF(BB$3=0,"n.b.",INDEX(SRC_ZPMW03!$A$1:$ZZ$501,$A99,BB$3)))</f>
        <v/>
      </c>
      <c r="BC99" s="124" t="str">
        <f>IF($B99="","",IF(BC$3=0,"n.b.",INDEX(SRC_ZPMW03!$A$1:$ZZ$501,$A99,BC$3)))</f>
        <v/>
      </c>
      <c r="BD99" s="124" t="str">
        <f>IF($B99="","",IF(BD$3=0,"n.b.",INDEX(SRC_ZPMW03!$A$1:$ZZ$501,$A99,BD$3)))</f>
        <v/>
      </c>
      <c r="BE99" s="124" t="str">
        <f>IF($B99="","",IF(BE$3=0,"n.b.",INDEX(SRC_ZPMW03!$A$1:$ZZ$501,$A99,BE$3)))</f>
        <v/>
      </c>
      <c r="BF99" s="124" t="str">
        <f>IF($B99="","",IF(BF$3=0,"n.b.",INDEX(SRC_ZPMW03!$A$1:$ZZ$501,$A99,BF$3)))</f>
        <v/>
      </c>
      <c r="BG99" t="str">
        <f>IF($B99="","",IF(BG$3=0,"n.b.",INDEX(SRC_ZPMW03!$A$1:$ZZ$501,$A99,BG$3)))</f>
        <v/>
      </c>
      <c r="BH99" t="str">
        <f>IF($B99="","",IF(BH$3=0,"n.b.",INDEX(SRC_ZPMW03!$A$1:$ZZ$501,$A99,BH$3)))</f>
        <v/>
      </c>
      <c r="BI99" t="str">
        <f>IF($B99="","",IF(BI$3=0,"n.b.",INDEX(SRC_ZPMW03!$A$1:$ZZ$501,$A99,BI$3)))</f>
        <v/>
      </c>
      <c r="BJ99" t="str">
        <f>IF($B99="","",IF(BJ$3=0,"n.b.",INDEX(SRC_ZPMW03!$A$1:$ZZ$501,$A99,BJ$3)))</f>
        <v/>
      </c>
      <c r="BK99" s="124" t="str">
        <f>IF($B99="","",IFERROR(-O99,"n.b."))</f>
        <v/>
      </c>
      <c r="BL99" s="124" t="str">
        <f>IF($B99="","",IFERROR(-Q99,"n.b."))</f>
        <v/>
      </c>
      <c r="BM99" s="124" t="str">
        <f>IF($B99="","",IFERROR(-AB99,"n.b."))</f>
        <v/>
      </c>
      <c r="BN99" s="124" t="str">
        <f>IF($B99="","",IFERROR(-AD99,"n.b."))</f>
        <v/>
      </c>
      <c r="BO99" s="124" t="str">
        <f>IF($B99="","",IFERROR(BK99+BM99,"n.b."))</f>
        <v/>
      </c>
      <c r="BP99" s="124" t="str">
        <f>IF($B99="","",IFERROR(BL99+BN99,"n.b."))</f>
        <v/>
      </c>
      <c r="BQ99" s="124" t="str">
        <f>IF($B99="","",IFERROR(-AM99,"n.b."))</f>
        <v/>
      </c>
      <c r="BR99" s="124" t="str">
        <f>IF($B99="","",IFERROR(-AO99,"n.b."))</f>
        <v/>
      </c>
      <c r="BS99" s="124" t="str">
        <f>IF($B99="","",IFERROR(-Z99,"n.b."))</f>
        <v/>
      </c>
      <c r="BT99" s="124" t="str">
        <f>IF($B99="","",IFERROR(-AA99,"n.b."))</f>
        <v/>
      </c>
      <c r="BU99" s="124" t="str">
        <f>IF($B99="","",IFERROR(-AE99,"n.b."))</f>
        <v/>
      </c>
      <c r="BV99" s="124" t="str">
        <f>IF($B99="","",IFERROR(-AF99,"n.b."))</f>
        <v/>
      </c>
      <c r="BW99" s="124" t="str">
        <f>IF($B99="","",IFERROR(-AG99,"n.b."))</f>
        <v/>
      </c>
      <c r="BX99" s="124" t="str">
        <f>IF($B99="","",IFERROR(-AH99,"n.b."))</f>
        <v/>
      </c>
      <c r="BY99" s="124" t="str">
        <f>IF($B99="","",IFERROR(-AI99,"n.b."))</f>
        <v/>
      </c>
      <c r="BZ99" s="124" t="str">
        <f>IF($B99="","",IFERROR(-AJ99,"n.b."))</f>
        <v/>
      </c>
      <c r="CA99" s="124" t="str">
        <f>IF($B99="","",IFERROR(-AK99,"n.b."))</f>
        <v/>
      </c>
      <c r="CB99" s="124" t="str">
        <f>IF($B99="","",IFERROR(-AL99,"n.b."))</f>
        <v/>
      </c>
      <c r="CC99" s="124" t="str">
        <f>IF($B99="","",IFERROR(-AP99,"n.b."))</f>
        <v/>
      </c>
      <c r="CD99" s="124" t="str">
        <f>IF($B99="","",IFERROR(-AQ99,"n.b."))</f>
        <v/>
      </c>
      <c r="CE99" s="124" t="str">
        <f>IF($B99="","",IFERROR(-AR99,"n.b."))</f>
        <v/>
      </c>
      <c r="CF99" s="124" t="str">
        <f>IF($B99="","",IFERROR(-AS99,"n.b."))</f>
        <v/>
      </c>
      <c r="CG99" s="124" t="str">
        <f>IF($B99="","",IFERROR(-AT99,"n.b."))</f>
        <v/>
      </c>
      <c r="CH99" s="124" t="str">
        <f>IF($B99="","",IFERROR(-AU99,"n.b."))</f>
        <v/>
      </c>
      <c r="CI99" s="124" t="str">
        <f>IF($B99="","",IFERROR(-AV99,"n.b."))</f>
        <v/>
      </c>
      <c r="CJ99" s="124" t="str">
        <f>IF($B99="","",IFERROR(-AW99,"n.b."))</f>
        <v/>
      </c>
      <c r="CK99" s="124" t="str">
        <f>IF($B99="","",IFERROR(-AX99,"n.b."))</f>
        <v/>
      </c>
      <c r="CL99" s="124" t="str">
        <f>IF($B99="","",IFERROR(-AY99,"n.b."))</f>
        <v/>
      </c>
      <c r="CM99" s="124" t="str">
        <f>IF($B99="","",IFERROR(-AZ99,"n.b."))</f>
        <v/>
      </c>
      <c r="CN99" s="124" t="str">
        <f>IF($B99="","",IFERROR(-BA99,"n.b."))</f>
        <v/>
      </c>
      <c r="CO99" s="124" t="str">
        <f>IF($B99="","",IFERROR(-BB99,"n.b."))</f>
        <v/>
      </c>
      <c r="CP99" s="124" t="str">
        <f>IF($B99="","",IFERROR(-BC99,"n.b."))</f>
        <v/>
      </c>
      <c r="CQ99" s="124" t="str">
        <f>IF($B99="","",IFERROR(-BD99,"n.b."))</f>
        <v/>
      </c>
      <c r="CR99" s="124" t="str">
        <f>IF($B99="","",IFERROR(-BE99,"n.b."))</f>
        <v/>
      </c>
      <c r="CS99" s="124" t="str">
        <f>IF($B99="","",IFERROR(IF(OR(ABS(T99+V99+X99+Z99-AB99)&gt;P_Tol,ABS(U99+W99+Y99+AA99-AD99)&gt;P_Tol,ABS(AE99+AG99+AI99+AK99-AM99)&gt;P_Tol,ABS(AF99+AH99+AJ99+AL99-AO99)&gt;P_Tol),1,0),1))</f>
        <v/>
      </c>
      <c r="CT99" s="124" t="str">
        <f>IF($B99="","",IFERROR(IF(OR(ABS(AB99+AC99-AD99)&gt;P_Tol,ABS(AM99+AN99-AO99)&gt;P_Tol,ABS(O99+P99-Q99)&gt;P_Tol),1,0),1))</f>
        <v/>
      </c>
      <c r="CU99" s="124" t="str">
        <f>IF($B99="","",IFERROR(IF(ABS(R99-(AB99+AM99+AP99+AR99+AT99+AV99+AX99+AZ99+BB99+BD99))&gt;P_Tol,1,0),1))</f>
        <v/>
      </c>
      <c r="CV99" s="124" t="str">
        <f>IF($B99="","",IFERROR(IF(ABS(M99-(N99+O99+R99))&gt;P_Tol,1,0),1))</f>
        <v/>
      </c>
      <c r="CW99" s="124" t="str">
        <f>IF($B99="","",IF(COUNTIF(Mapping!$A$5:$A$104,B99)&gt;0,1,0))</f>
        <v/>
      </c>
      <c r="CX99" s="124" t="str">
        <f>IF($B99="","",COUNTIF($B$6:$B$505,B99))</f>
        <v/>
      </c>
      <c r="CY99" s="124" t="str">
        <f>IF($B99="","",COUNTIF(STG_Woningetalage!$B$6:$B$505,B99))</f>
        <v/>
      </c>
      <c r="CZ99" s="124" t="str">
        <f>IF($B99="","",IF(CW99=0,COUNTIF($CW$6:CW99,0),""))</f>
        <v/>
      </c>
    </row>
    <row r="100">
      <c r="A100" s="15" t="n">
        <v>96</v>
      </c>
      <c r="B100" t="str">
        <f>IF(B$3=0,"",IF(INDEX(SRC_ZPMW03!$A$1:$ZZ$501,$A100,B$3)&amp;""="","",INDEX(SRC_ZPMW03!$A$1:$ZZ$501,$A100,B$3)&amp;""))</f>
        <v/>
      </c>
      <c r="C100" t="str">
        <f>IF($B100="","",IF(C$3=0,"n.b.",INDEX(SRC_ZPMW03!$A$1:$ZZ$501,$A100,C$3)))</f>
        <v/>
      </c>
      <c r="D100" t="str">
        <f>IF($B100="","",IF(D$3=0,"n.b.",INDEX(SRC_ZPMW03!$A$1:$ZZ$501,$A100,D$3)))</f>
        <v/>
      </c>
      <c r="E100" t="str">
        <f>IF($B100="","",IF(E$3=0,"n.b.",INDEX(SRC_ZPMW03!$A$1:$ZZ$501,$A100,E$3)))</f>
        <v/>
      </c>
      <c r="F100" t="str">
        <f>IF($B100="","",IF(F$3=0,"n.b.",INDEX(SRC_ZPMW03!$A$1:$ZZ$501,$A100,F$3)))</f>
        <v/>
      </c>
      <c r="G100" t="str">
        <f>IF($B100="","",IF(G$3=0,"n.b.",INDEX(SRC_ZPMW03!$A$1:$ZZ$501,$A100,G$3)))</f>
        <v/>
      </c>
      <c r="H100" t="str">
        <f>IF($B100="","",IF(H$3=0,"n.b.",INDEX(SRC_ZPMW03!$A$1:$ZZ$501,$A100,H$3)))</f>
        <v/>
      </c>
      <c r="I100" t="str">
        <f>IF($B100="","",IF(I$3=0,"n.b.",INDEX(SRC_ZPMW03!$A$1:$ZZ$501,$A100,I$3)))</f>
        <v/>
      </c>
      <c r="J100" t="str">
        <f>IF($B100="","",IF(J$3=0,"n.b.",INDEX(SRC_ZPMW03!$A$1:$ZZ$501,$A100,J$3)))</f>
        <v/>
      </c>
      <c r="K100" t="str">
        <f>IF($B100="","",IF(K$3=0,"n.b.",INDEX(SRC_ZPMW03!$A$1:$ZZ$501,$A100,K$3)))</f>
        <v/>
      </c>
      <c r="L100" s="124" t="str">
        <f>IF($B100="","",IF(L$3=0,"n.b.",INDEX(SRC_ZPMW03!$A$1:$ZZ$501,$A100,L$3)))</f>
        <v/>
      </c>
      <c r="M100" s="124" t="str">
        <f>IF($B100="","",IF(M$3=0,"n.b.",INDEX(SRC_ZPMW03!$A$1:$ZZ$501,$A100,M$3)))</f>
        <v/>
      </c>
      <c r="N100" s="124" t="str">
        <f>IF($B100="","",IF(N$3=0,"n.b.",INDEX(SRC_ZPMW03!$A$1:$ZZ$501,$A100,N$3)))</f>
        <v/>
      </c>
      <c r="O100" s="124" t="str">
        <f>IF($B100="","",IF(O$3=0,"n.b.",INDEX(SRC_ZPMW03!$A$1:$ZZ$501,$A100,O$3)))</f>
        <v/>
      </c>
      <c r="P100" s="124" t="str">
        <f>IF($B100="","",IF(P$3=0,"n.b.",INDEX(SRC_ZPMW03!$A$1:$ZZ$501,$A100,P$3)))</f>
        <v/>
      </c>
      <c r="Q100" s="124" t="str">
        <f>IF($B100="","",IF(Q$3=0,"n.b.",INDEX(SRC_ZPMW03!$A$1:$ZZ$501,$A100,Q$3)))</f>
        <v/>
      </c>
      <c r="R100" s="124" t="str">
        <f>IF($B100="","",IF(R$3=0,"n.b.",INDEX(SRC_ZPMW03!$A$1:$ZZ$501,$A100,R$3)))</f>
        <v/>
      </c>
      <c r="S100" s="124" t="str">
        <f>IF($B100="","",IF(S$3=0,"n.b.",INDEX(SRC_ZPMW03!$A$1:$ZZ$501,$A100,S$3)))</f>
        <v/>
      </c>
      <c r="T100" s="124" t="str">
        <f>IF($B100="","",IF(T$3=0,"n.b.",INDEX(SRC_ZPMW03!$A$1:$ZZ$501,$A100,T$3)))</f>
        <v/>
      </c>
      <c r="U100" s="124" t="str">
        <f>IF($B100="","",IF(U$3=0,"n.b.",INDEX(SRC_ZPMW03!$A$1:$ZZ$501,$A100,U$3)))</f>
        <v/>
      </c>
      <c r="V100" s="124" t="str">
        <f>IF($B100="","",IF(V$3=0,"n.b.",INDEX(SRC_ZPMW03!$A$1:$ZZ$501,$A100,V$3)))</f>
        <v/>
      </c>
      <c r="W100" s="124" t="str">
        <f>IF($B100="","",IF(W$3=0,"n.b.",INDEX(SRC_ZPMW03!$A$1:$ZZ$501,$A100,W$3)))</f>
        <v/>
      </c>
      <c r="X100" s="124" t="str">
        <f>IF($B100="","",IF(X$3=0,"n.b.",INDEX(SRC_ZPMW03!$A$1:$ZZ$501,$A100,X$3)))</f>
        <v/>
      </c>
      <c r="Y100" s="124" t="str">
        <f>IF($B100="","",IF(Y$3=0,"n.b.",INDEX(SRC_ZPMW03!$A$1:$ZZ$501,$A100,Y$3)))</f>
        <v/>
      </c>
      <c r="Z100" s="124" t="str">
        <f>IF($B100="","",IF(Z$3=0,"n.b.",INDEX(SRC_ZPMW03!$A$1:$ZZ$501,$A100,Z$3)))</f>
        <v/>
      </c>
      <c r="AA100" s="124" t="str">
        <f>IF($B100="","",IF(AA$3=0,"n.b.",INDEX(SRC_ZPMW03!$A$1:$ZZ$501,$A100,AA$3)))</f>
        <v/>
      </c>
      <c r="AB100" s="124" t="str">
        <f>IF($B100="","",IF(AB$3=0,"n.b.",INDEX(SRC_ZPMW03!$A$1:$ZZ$501,$A100,AB$3)))</f>
        <v/>
      </c>
      <c r="AC100" s="124" t="str">
        <f>IF($B100="","",IF(AC$3=0,"n.b.",INDEX(SRC_ZPMW03!$A$1:$ZZ$501,$A100,AC$3)))</f>
        <v/>
      </c>
      <c r="AD100" s="124" t="str">
        <f>IF($B100="","",IF(AD$3=0,"n.b.",INDEX(SRC_ZPMW03!$A$1:$ZZ$501,$A100,AD$3)))</f>
        <v/>
      </c>
      <c r="AE100" s="124" t="str">
        <f>IF($B100="","",IF(AE$3=0,"n.b.",INDEX(SRC_ZPMW03!$A$1:$ZZ$501,$A100,AE$3)))</f>
        <v/>
      </c>
      <c r="AF100" s="124" t="str">
        <f>IF($B100="","",IF(AF$3=0,"n.b.",INDEX(SRC_ZPMW03!$A$1:$ZZ$501,$A100,AF$3)))</f>
        <v/>
      </c>
      <c r="AG100" s="124" t="str">
        <f>IF($B100="","",IF(AG$3=0,"n.b.",INDEX(SRC_ZPMW03!$A$1:$ZZ$501,$A100,AG$3)))</f>
        <v/>
      </c>
      <c r="AH100" s="124" t="str">
        <f>IF($B100="","",IF(AH$3=0,"n.b.",INDEX(SRC_ZPMW03!$A$1:$ZZ$501,$A100,AH$3)))</f>
        <v/>
      </c>
      <c r="AI100" s="124" t="str">
        <f>IF($B100="","",IF(AI$3=0,"n.b.",INDEX(SRC_ZPMW03!$A$1:$ZZ$501,$A100,AI$3)))</f>
        <v/>
      </c>
      <c r="AJ100" s="124" t="str">
        <f>IF($B100="","",IF(AJ$3=0,"n.b.",INDEX(SRC_ZPMW03!$A$1:$ZZ$501,$A100,AJ$3)))</f>
        <v/>
      </c>
      <c r="AK100" s="124" t="str">
        <f>IF($B100="","",IF(AK$3=0,"n.b.",INDEX(SRC_ZPMW03!$A$1:$ZZ$501,$A100,AK$3)))</f>
        <v/>
      </c>
      <c r="AL100" s="124" t="str">
        <f>IF($B100="","",IF(AL$3=0,"n.b.",INDEX(SRC_ZPMW03!$A$1:$ZZ$501,$A100,AL$3)))</f>
        <v/>
      </c>
      <c r="AM100" s="124" t="str">
        <f>IF($B100="","",IF(AM$3=0,"n.b.",INDEX(SRC_ZPMW03!$A$1:$ZZ$501,$A100,AM$3)))</f>
        <v/>
      </c>
      <c r="AN100" s="124" t="str">
        <f>IF($B100="","",IF(AN$3=0,"n.b.",INDEX(SRC_ZPMW03!$A$1:$ZZ$501,$A100,AN$3)))</f>
        <v/>
      </c>
      <c r="AO100" s="124" t="str">
        <f>IF($B100="","",IF(AO$3=0,"n.b.",INDEX(SRC_ZPMW03!$A$1:$ZZ$501,$A100,AO$3)))</f>
        <v/>
      </c>
      <c r="AP100" s="124" t="str">
        <f>IF($B100="","",IF(AP$3=0,"n.b.",INDEX(SRC_ZPMW03!$A$1:$ZZ$501,$A100,AP$3)))</f>
        <v/>
      </c>
      <c r="AQ100" s="124" t="str">
        <f>IF($B100="","",IF(AQ$3=0,"n.b.",INDEX(SRC_ZPMW03!$A$1:$ZZ$501,$A100,AQ$3)))</f>
        <v/>
      </c>
      <c r="AR100" s="124" t="str">
        <f>IF($B100="","",IF(AR$3=0,"n.b.",INDEX(SRC_ZPMW03!$A$1:$ZZ$501,$A100,AR$3)))</f>
        <v/>
      </c>
      <c r="AS100" s="124" t="str">
        <f>IF($B100="","",IF(AS$3=0,"n.b.",INDEX(SRC_ZPMW03!$A$1:$ZZ$501,$A100,AS$3)))</f>
        <v/>
      </c>
      <c r="AT100" s="124" t="str">
        <f>IF($B100="","",IF(AT$3=0,"n.b.",INDEX(SRC_ZPMW03!$A$1:$ZZ$501,$A100,AT$3)))</f>
        <v/>
      </c>
      <c r="AU100" s="124" t="str">
        <f>IF($B100="","",IF(AU$3=0,"n.b.",INDEX(SRC_ZPMW03!$A$1:$ZZ$501,$A100,AU$3)))</f>
        <v/>
      </c>
      <c r="AV100" s="124" t="str">
        <f>IF($B100="","",IF(AV$3=0,"n.b.",INDEX(SRC_ZPMW03!$A$1:$ZZ$501,$A100,AV$3)))</f>
        <v/>
      </c>
      <c r="AW100" s="124" t="str">
        <f>IF($B100="","",IF(AW$3=0,"n.b.",INDEX(SRC_ZPMW03!$A$1:$ZZ$501,$A100,AW$3)))</f>
        <v/>
      </c>
      <c r="AX100" s="124" t="str">
        <f>IF($B100="","",IF(AX$3=0,"n.b.",INDEX(SRC_ZPMW03!$A$1:$ZZ$501,$A100,AX$3)))</f>
        <v/>
      </c>
      <c r="AY100" s="124" t="str">
        <f>IF($B100="","",IF(AY$3=0,"n.b.",INDEX(SRC_ZPMW03!$A$1:$ZZ$501,$A100,AY$3)))</f>
        <v/>
      </c>
      <c r="AZ100" s="124" t="str">
        <f>IF($B100="","",IF(AZ$3=0,"n.b.",INDEX(SRC_ZPMW03!$A$1:$ZZ$501,$A100,AZ$3)))</f>
        <v/>
      </c>
      <c r="BA100" s="124" t="str">
        <f>IF($B100="","",IF(BA$3=0,"n.b.",INDEX(SRC_ZPMW03!$A$1:$ZZ$501,$A100,BA$3)))</f>
        <v/>
      </c>
      <c r="BB100" s="124" t="str">
        <f>IF($B100="","",IF(BB$3=0,"n.b.",INDEX(SRC_ZPMW03!$A$1:$ZZ$501,$A100,BB$3)))</f>
        <v/>
      </c>
      <c r="BC100" s="124" t="str">
        <f>IF($B100="","",IF(BC$3=0,"n.b.",INDEX(SRC_ZPMW03!$A$1:$ZZ$501,$A100,BC$3)))</f>
        <v/>
      </c>
      <c r="BD100" s="124" t="str">
        <f>IF($B100="","",IF(BD$3=0,"n.b.",INDEX(SRC_ZPMW03!$A$1:$ZZ$501,$A100,BD$3)))</f>
        <v/>
      </c>
      <c r="BE100" s="124" t="str">
        <f>IF($B100="","",IF(BE$3=0,"n.b.",INDEX(SRC_ZPMW03!$A$1:$ZZ$501,$A100,BE$3)))</f>
        <v/>
      </c>
      <c r="BF100" s="124" t="str">
        <f>IF($B100="","",IF(BF$3=0,"n.b.",INDEX(SRC_ZPMW03!$A$1:$ZZ$501,$A100,BF$3)))</f>
        <v/>
      </c>
      <c r="BG100" t="str">
        <f>IF($B100="","",IF(BG$3=0,"n.b.",INDEX(SRC_ZPMW03!$A$1:$ZZ$501,$A100,BG$3)))</f>
        <v/>
      </c>
      <c r="BH100" t="str">
        <f>IF($B100="","",IF(BH$3=0,"n.b.",INDEX(SRC_ZPMW03!$A$1:$ZZ$501,$A100,BH$3)))</f>
        <v/>
      </c>
      <c r="BI100" t="str">
        <f>IF($B100="","",IF(BI$3=0,"n.b.",INDEX(SRC_ZPMW03!$A$1:$ZZ$501,$A100,BI$3)))</f>
        <v/>
      </c>
      <c r="BJ100" t="str">
        <f>IF($B100="","",IF(BJ$3=0,"n.b.",INDEX(SRC_ZPMW03!$A$1:$ZZ$501,$A100,BJ$3)))</f>
        <v/>
      </c>
      <c r="BK100" s="124" t="str">
        <f>IF($B100="","",IFERROR(-O100,"n.b."))</f>
        <v/>
      </c>
      <c r="BL100" s="124" t="str">
        <f>IF($B100="","",IFERROR(-Q100,"n.b."))</f>
        <v/>
      </c>
      <c r="BM100" s="124" t="str">
        <f>IF($B100="","",IFERROR(-AB100,"n.b."))</f>
        <v/>
      </c>
      <c r="BN100" s="124" t="str">
        <f>IF($B100="","",IFERROR(-AD100,"n.b."))</f>
        <v/>
      </c>
      <c r="BO100" s="124" t="str">
        <f>IF($B100="","",IFERROR(BK100+BM100,"n.b."))</f>
        <v/>
      </c>
      <c r="BP100" s="124" t="str">
        <f>IF($B100="","",IFERROR(BL100+BN100,"n.b."))</f>
        <v/>
      </c>
      <c r="BQ100" s="124" t="str">
        <f>IF($B100="","",IFERROR(-AM100,"n.b."))</f>
        <v/>
      </c>
      <c r="BR100" s="124" t="str">
        <f>IF($B100="","",IFERROR(-AO100,"n.b."))</f>
        <v/>
      </c>
      <c r="BS100" s="124" t="str">
        <f>IF($B100="","",IFERROR(-Z100,"n.b."))</f>
        <v/>
      </c>
      <c r="BT100" s="124" t="str">
        <f>IF($B100="","",IFERROR(-AA100,"n.b."))</f>
        <v/>
      </c>
      <c r="BU100" s="124" t="str">
        <f>IF($B100="","",IFERROR(-AE100,"n.b."))</f>
        <v/>
      </c>
      <c r="BV100" s="124" t="str">
        <f>IF($B100="","",IFERROR(-AF100,"n.b."))</f>
        <v/>
      </c>
      <c r="BW100" s="124" t="str">
        <f>IF($B100="","",IFERROR(-AG100,"n.b."))</f>
        <v/>
      </c>
      <c r="BX100" s="124" t="str">
        <f>IF($B100="","",IFERROR(-AH100,"n.b."))</f>
        <v/>
      </c>
      <c r="BY100" s="124" t="str">
        <f>IF($B100="","",IFERROR(-AI100,"n.b."))</f>
        <v/>
      </c>
      <c r="BZ100" s="124" t="str">
        <f>IF($B100="","",IFERROR(-AJ100,"n.b."))</f>
        <v/>
      </c>
      <c r="CA100" s="124" t="str">
        <f>IF($B100="","",IFERROR(-AK100,"n.b."))</f>
        <v/>
      </c>
      <c r="CB100" s="124" t="str">
        <f>IF($B100="","",IFERROR(-AL100,"n.b."))</f>
        <v/>
      </c>
      <c r="CC100" s="124" t="str">
        <f>IF($B100="","",IFERROR(-AP100,"n.b."))</f>
        <v/>
      </c>
      <c r="CD100" s="124" t="str">
        <f>IF($B100="","",IFERROR(-AQ100,"n.b."))</f>
        <v/>
      </c>
      <c r="CE100" s="124" t="str">
        <f>IF($B100="","",IFERROR(-AR100,"n.b."))</f>
        <v/>
      </c>
      <c r="CF100" s="124" t="str">
        <f>IF($B100="","",IFERROR(-AS100,"n.b."))</f>
        <v/>
      </c>
      <c r="CG100" s="124" t="str">
        <f>IF($B100="","",IFERROR(-AT100,"n.b."))</f>
        <v/>
      </c>
      <c r="CH100" s="124" t="str">
        <f>IF($B100="","",IFERROR(-AU100,"n.b."))</f>
        <v/>
      </c>
      <c r="CI100" s="124" t="str">
        <f>IF($B100="","",IFERROR(-AV100,"n.b."))</f>
        <v/>
      </c>
      <c r="CJ100" s="124" t="str">
        <f>IF($B100="","",IFERROR(-AW100,"n.b."))</f>
        <v/>
      </c>
      <c r="CK100" s="124" t="str">
        <f>IF($B100="","",IFERROR(-AX100,"n.b."))</f>
        <v/>
      </c>
      <c r="CL100" s="124" t="str">
        <f>IF($B100="","",IFERROR(-AY100,"n.b."))</f>
        <v/>
      </c>
      <c r="CM100" s="124" t="str">
        <f>IF($B100="","",IFERROR(-AZ100,"n.b."))</f>
        <v/>
      </c>
      <c r="CN100" s="124" t="str">
        <f>IF($B100="","",IFERROR(-BA100,"n.b."))</f>
        <v/>
      </c>
      <c r="CO100" s="124" t="str">
        <f>IF($B100="","",IFERROR(-BB100,"n.b."))</f>
        <v/>
      </c>
      <c r="CP100" s="124" t="str">
        <f>IF($B100="","",IFERROR(-BC100,"n.b."))</f>
        <v/>
      </c>
      <c r="CQ100" s="124" t="str">
        <f>IF($B100="","",IFERROR(-BD100,"n.b."))</f>
        <v/>
      </c>
      <c r="CR100" s="124" t="str">
        <f>IF($B100="","",IFERROR(-BE100,"n.b."))</f>
        <v/>
      </c>
      <c r="CS100" s="124" t="str">
        <f>IF($B100="","",IFERROR(IF(OR(ABS(T100+V100+X100+Z100-AB100)&gt;P_Tol,ABS(U100+W100+Y100+AA100-AD100)&gt;P_Tol,ABS(AE100+AG100+AI100+AK100-AM100)&gt;P_Tol,ABS(AF100+AH100+AJ100+AL100-AO100)&gt;P_Tol),1,0),1))</f>
        <v/>
      </c>
      <c r="CT100" s="124" t="str">
        <f>IF($B100="","",IFERROR(IF(OR(ABS(AB100+AC100-AD100)&gt;P_Tol,ABS(AM100+AN100-AO100)&gt;P_Tol,ABS(O100+P100-Q100)&gt;P_Tol),1,0),1))</f>
        <v/>
      </c>
      <c r="CU100" s="124" t="str">
        <f>IF($B100="","",IFERROR(IF(ABS(R100-(AB100+AM100+AP100+AR100+AT100+AV100+AX100+AZ100+BB100+BD100))&gt;P_Tol,1,0),1))</f>
        <v/>
      </c>
      <c r="CV100" s="124" t="str">
        <f>IF($B100="","",IFERROR(IF(ABS(M100-(N100+O100+R100))&gt;P_Tol,1,0),1))</f>
        <v/>
      </c>
      <c r="CW100" s="124" t="str">
        <f>IF($B100="","",IF(COUNTIF(Mapping!$A$5:$A$104,B100)&gt;0,1,0))</f>
        <v/>
      </c>
      <c r="CX100" s="124" t="str">
        <f>IF($B100="","",COUNTIF($B$6:$B$505,B100))</f>
        <v/>
      </c>
      <c r="CY100" s="124" t="str">
        <f>IF($B100="","",COUNTIF(STG_Woningetalage!$B$6:$B$505,B100))</f>
        <v/>
      </c>
      <c r="CZ100" s="124" t="str">
        <f>IF($B100="","",IF(CW100=0,COUNTIF($CW$6:CW100,0),""))</f>
        <v/>
      </c>
    </row>
    <row r="101">
      <c r="A101" s="15" t="n">
        <v>97</v>
      </c>
      <c r="B101" t="str">
        <f>IF(B$3=0,"",IF(INDEX(SRC_ZPMW03!$A$1:$ZZ$501,$A101,B$3)&amp;""="","",INDEX(SRC_ZPMW03!$A$1:$ZZ$501,$A101,B$3)&amp;""))</f>
        <v/>
      </c>
      <c r="C101" t="str">
        <f>IF($B101="","",IF(C$3=0,"n.b.",INDEX(SRC_ZPMW03!$A$1:$ZZ$501,$A101,C$3)))</f>
        <v/>
      </c>
      <c r="D101" t="str">
        <f>IF($B101="","",IF(D$3=0,"n.b.",INDEX(SRC_ZPMW03!$A$1:$ZZ$501,$A101,D$3)))</f>
        <v/>
      </c>
      <c r="E101" t="str">
        <f>IF($B101="","",IF(E$3=0,"n.b.",INDEX(SRC_ZPMW03!$A$1:$ZZ$501,$A101,E$3)))</f>
        <v/>
      </c>
      <c r="F101" t="str">
        <f>IF($B101="","",IF(F$3=0,"n.b.",INDEX(SRC_ZPMW03!$A$1:$ZZ$501,$A101,F$3)))</f>
        <v/>
      </c>
      <c r="G101" t="str">
        <f>IF($B101="","",IF(G$3=0,"n.b.",INDEX(SRC_ZPMW03!$A$1:$ZZ$501,$A101,G$3)))</f>
        <v/>
      </c>
      <c r="H101" t="str">
        <f>IF($B101="","",IF(H$3=0,"n.b.",INDEX(SRC_ZPMW03!$A$1:$ZZ$501,$A101,H$3)))</f>
        <v/>
      </c>
      <c r="I101" t="str">
        <f>IF($B101="","",IF(I$3=0,"n.b.",INDEX(SRC_ZPMW03!$A$1:$ZZ$501,$A101,I$3)))</f>
        <v/>
      </c>
      <c r="J101" t="str">
        <f>IF($B101="","",IF(J$3=0,"n.b.",INDEX(SRC_ZPMW03!$A$1:$ZZ$501,$A101,J$3)))</f>
        <v/>
      </c>
      <c r="K101" t="str">
        <f>IF($B101="","",IF(K$3=0,"n.b.",INDEX(SRC_ZPMW03!$A$1:$ZZ$501,$A101,K$3)))</f>
        <v/>
      </c>
      <c r="L101" s="124" t="str">
        <f>IF($B101="","",IF(L$3=0,"n.b.",INDEX(SRC_ZPMW03!$A$1:$ZZ$501,$A101,L$3)))</f>
        <v/>
      </c>
      <c r="M101" s="124" t="str">
        <f>IF($B101="","",IF(M$3=0,"n.b.",INDEX(SRC_ZPMW03!$A$1:$ZZ$501,$A101,M$3)))</f>
        <v/>
      </c>
      <c r="N101" s="124" t="str">
        <f>IF($B101="","",IF(N$3=0,"n.b.",INDEX(SRC_ZPMW03!$A$1:$ZZ$501,$A101,N$3)))</f>
        <v/>
      </c>
      <c r="O101" s="124" t="str">
        <f>IF($B101="","",IF(O$3=0,"n.b.",INDEX(SRC_ZPMW03!$A$1:$ZZ$501,$A101,O$3)))</f>
        <v/>
      </c>
      <c r="P101" s="124" t="str">
        <f>IF($B101="","",IF(P$3=0,"n.b.",INDEX(SRC_ZPMW03!$A$1:$ZZ$501,$A101,P$3)))</f>
        <v/>
      </c>
      <c r="Q101" s="124" t="str">
        <f>IF($B101="","",IF(Q$3=0,"n.b.",INDEX(SRC_ZPMW03!$A$1:$ZZ$501,$A101,Q$3)))</f>
        <v/>
      </c>
      <c r="R101" s="124" t="str">
        <f>IF($B101="","",IF(R$3=0,"n.b.",INDEX(SRC_ZPMW03!$A$1:$ZZ$501,$A101,R$3)))</f>
        <v/>
      </c>
      <c r="S101" s="124" t="str">
        <f>IF($B101="","",IF(S$3=0,"n.b.",INDEX(SRC_ZPMW03!$A$1:$ZZ$501,$A101,S$3)))</f>
        <v/>
      </c>
      <c r="T101" s="124" t="str">
        <f>IF($B101="","",IF(T$3=0,"n.b.",INDEX(SRC_ZPMW03!$A$1:$ZZ$501,$A101,T$3)))</f>
        <v/>
      </c>
      <c r="U101" s="124" t="str">
        <f>IF($B101="","",IF(U$3=0,"n.b.",INDEX(SRC_ZPMW03!$A$1:$ZZ$501,$A101,U$3)))</f>
        <v/>
      </c>
      <c r="V101" s="124" t="str">
        <f>IF($B101="","",IF(V$3=0,"n.b.",INDEX(SRC_ZPMW03!$A$1:$ZZ$501,$A101,V$3)))</f>
        <v/>
      </c>
      <c r="W101" s="124" t="str">
        <f>IF($B101="","",IF(W$3=0,"n.b.",INDEX(SRC_ZPMW03!$A$1:$ZZ$501,$A101,W$3)))</f>
        <v/>
      </c>
      <c r="X101" s="124" t="str">
        <f>IF($B101="","",IF(X$3=0,"n.b.",INDEX(SRC_ZPMW03!$A$1:$ZZ$501,$A101,X$3)))</f>
        <v/>
      </c>
      <c r="Y101" s="124" t="str">
        <f>IF($B101="","",IF(Y$3=0,"n.b.",INDEX(SRC_ZPMW03!$A$1:$ZZ$501,$A101,Y$3)))</f>
        <v/>
      </c>
      <c r="Z101" s="124" t="str">
        <f>IF($B101="","",IF(Z$3=0,"n.b.",INDEX(SRC_ZPMW03!$A$1:$ZZ$501,$A101,Z$3)))</f>
        <v/>
      </c>
      <c r="AA101" s="124" t="str">
        <f>IF($B101="","",IF(AA$3=0,"n.b.",INDEX(SRC_ZPMW03!$A$1:$ZZ$501,$A101,AA$3)))</f>
        <v/>
      </c>
      <c r="AB101" s="124" t="str">
        <f>IF($B101="","",IF(AB$3=0,"n.b.",INDEX(SRC_ZPMW03!$A$1:$ZZ$501,$A101,AB$3)))</f>
        <v/>
      </c>
      <c r="AC101" s="124" t="str">
        <f>IF($B101="","",IF(AC$3=0,"n.b.",INDEX(SRC_ZPMW03!$A$1:$ZZ$501,$A101,AC$3)))</f>
        <v/>
      </c>
      <c r="AD101" s="124" t="str">
        <f>IF($B101="","",IF(AD$3=0,"n.b.",INDEX(SRC_ZPMW03!$A$1:$ZZ$501,$A101,AD$3)))</f>
        <v/>
      </c>
      <c r="AE101" s="124" t="str">
        <f>IF($B101="","",IF(AE$3=0,"n.b.",INDEX(SRC_ZPMW03!$A$1:$ZZ$501,$A101,AE$3)))</f>
        <v/>
      </c>
      <c r="AF101" s="124" t="str">
        <f>IF($B101="","",IF(AF$3=0,"n.b.",INDEX(SRC_ZPMW03!$A$1:$ZZ$501,$A101,AF$3)))</f>
        <v/>
      </c>
      <c r="AG101" s="124" t="str">
        <f>IF($B101="","",IF(AG$3=0,"n.b.",INDEX(SRC_ZPMW03!$A$1:$ZZ$501,$A101,AG$3)))</f>
        <v/>
      </c>
      <c r="AH101" s="124" t="str">
        <f>IF($B101="","",IF(AH$3=0,"n.b.",INDEX(SRC_ZPMW03!$A$1:$ZZ$501,$A101,AH$3)))</f>
        <v/>
      </c>
      <c r="AI101" s="124" t="str">
        <f>IF($B101="","",IF(AI$3=0,"n.b.",INDEX(SRC_ZPMW03!$A$1:$ZZ$501,$A101,AI$3)))</f>
        <v/>
      </c>
      <c r="AJ101" s="124" t="str">
        <f>IF($B101="","",IF(AJ$3=0,"n.b.",INDEX(SRC_ZPMW03!$A$1:$ZZ$501,$A101,AJ$3)))</f>
        <v/>
      </c>
      <c r="AK101" s="124" t="str">
        <f>IF($B101="","",IF(AK$3=0,"n.b.",INDEX(SRC_ZPMW03!$A$1:$ZZ$501,$A101,AK$3)))</f>
        <v/>
      </c>
      <c r="AL101" s="124" t="str">
        <f>IF($B101="","",IF(AL$3=0,"n.b.",INDEX(SRC_ZPMW03!$A$1:$ZZ$501,$A101,AL$3)))</f>
        <v/>
      </c>
      <c r="AM101" s="124" t="str">
        <f>IF($B101="","",IF(AM$3=0,"n.b.",INDEX(SRC_ZPMW03!$A$1:$ZZ$501,$A101,AM$3)))</f>
        <v/>
      </c>
      <c r="AN101" s="124" t="str">
        <f>IF($B101="","",IF(AN$3=0,"n.b.",INDEX(SRC_ZPMW03!$A$1:$ZZ$501,$A101,AN$3)))</f>
        <v/>
      </c>
      <c r="AO101" s="124" t="str">
        <f>IF($B101="","",IF(AO$3=0,"n.b.",INDEX(SRC_ZPMW03!$A$1:$ZZ$501,$A101,AO$3)))</f>
        <v/>
      </c>
      <c r="AP101" s="124" t="str">
        <f>IF($B101="","",IF(AP$3=0,"n.b.",INDEX(SRC_ZPMW03!$A$1:$ZZ$501,$A101,AP$3)))</f>
        <v/>
      </c>
      <c r="AQ101" s="124" t="str">
        <f>IF($B101="","",IF(AQ$3=0,"n.b.",INDEX(SRC_ZPMW03!$A$1:$ZZ$501,$A101,AQ$3)))</f>
        <v/>
      </c>
      <c r="AR101" s="124" t="str">
        <f>IF($B101="","",IF(AR$3=0,"n.b.",INDEX(SRC_ZPMW03!$A$1:$ZZ$501,$A101,AR$3)))</f>
        <v/>
      </c>
      <c r="AS101" s="124" t="str">
        <f>IF($B101="","",IF(AS$3=0,"n.b.",INDEX(SRC_ZPMW03!$A$1:$ZZ$501,$A101,AS$3)))</f>
        <v/>
      </c>
      <c r="AT101" s="124" t="str">
        <f>IF($B101="","",IF(AT$3=0,"n.b.",INDEX(SRC_ZPMW03!$A$1:$ZZ$501,$A101,AT$3)))</f>
        <v/>
      </c>
      <c r="AU101" s="124" t="str">
        <f>IF($B101="","",IF(AU$3=0,"n.b.",INDEX(SRC_ZPMW03!$A$1:$ZZ$501,$A101,AU$3)))</f>
        <v/>
      </c>
      <c r="AV101" s="124" t="str">
        <f>IF($B101="","",IF(AV$3=0,"n.b.",INDEX(SRC_ZPMW03!$A$1:$ZZ$501,$A101,AV$3)))</f>
        <v/>
      </c>
      <c r="AW101" s="124" t="str">
        <f>IF($B101="","",IF(AW$3=0,"n.b.",INDEX(SRC_ZPMW03!$A$1:$ZZ$501,$A101,AW$3)))</f>
        <v/>
      </c>
      <c r="AX101" s="124" t="str">
        <f>IF($B101="","",IF(AX$3=0,"n.b.",INDEX(SRC_ZPMW03!$A$1:$ZZ$501,$A101,AX$3)))</f>
        <v/>
      </c>
      <c r="AY101" s="124" t="str">
        <f>IF($B101="","",IF(AY$3=0,"n.b.",INDEX(SRC_ZPMW03!$A$1:$ZZ$501,$A101,AY$3)))</f>
        <v/>
      </c>
      <c r="AZ101" s="124" t="str">
        <f>IF($B101="","",IF(AZ$3=0,"n.b.",INDEX(SRC_ZPMW03!$A$1:$ZZ$501,$A101,AZ$3)))</f>
        <v/>
      </c>
      <c r="BA101" s="124" t="str">
        <f>IF($B101="","",IF(BA$3=0,"n.b.",INDEX(SRC_ZPMW03!$A$1:$ZZ$501,$A101,BA$3)))</f>
        <v/>
      </c>
      <c r="BB101" s="124" t="str">
        <f>IF($B101="","",IF(BB$3=0,"n.b.",INDEX(SRC_ZPMW03!$A$1:$ZZ$501,$A101,BB$3)))</f>
        <v/>
      </c>
      <c r="BC101" s="124" t="str">
        <f>IF($B101="","",IF(BC$3=0,"n.b.",INDEX(SRC_ZPMW03!$A$1:$ZZ$501,$A101,BC$3)))</f>
        <v/>
      </c>
      <c r="BD101" s="124" t="str">
        <f>IF($B101="","",IF(BD$3=0,"n.b.",INDEX(SRC_ZPMW03!$A$1:$ZZ$501,$A101,BD$3)))</f>
        <v/>
      </c>
      <c r="BE101" s="124" t="str">
        <f>IF($B101="","",IF(BE$3=0,"n.b.",INDEX(SRC_ZPMW03!$A$1:$ZZ$501,$A101,BE$3)))</f>
        <v/>
      </c>
      <c r="BF101" s="124" t="str">
        <f>IF($B101="","",IF(BF$3=0,"n.b.",INDEX(SRC_ZPMW03!$A$1:$ZZ$501,$A101,BF$3)))</f>
        <v/>
      </c>
      <c r="BG101" t="str">
        <f>IF($B101="","",IF(BG$3=0,"n.b.",INDEX(SRC_ZPMW03!$A$1:$ZZ$501,$A101,BG$3)))</f>
        <v/>
      </c>
      <c r="BH101" t="str">
        <f>IF($B101="","",IF(BH$3=0,"n.b.",INDEX(SRC_ZPMW03!$A$1:$ZZ$501,$A101,BH$3)))</f>
        <v/>
      </c>
      <c r="BI101" t="str">
        <f>IF($B101="","",IF(BI$3=0,"n.b.",INDEX(SRC_ZPMW03!$A$1:$ZZ$501,$A101,BI$3)))</f>
        <v/>
      </c>
      <c r="BJ101" t="str">
        <f>IF($B101="","",IF(BJ$3=0,"n.b.",INDEX(SRC_ZPMW03!$A$1:$ZZ$501,$A101,BJ$3)))</f>
        <v/>
      </c>
      <c r="BK101" s="124" t="str">
        <f>IF($B101="","",IFERROR(-O101,"n.b."))</f>
        <v/>
      </c>
      <c r="BL101" s="124" t="str">
        <f>IF($B101="","",IFERROR(-Q101,"n.b."))</f>
        <v/>
      </c>
      <c r="BM101" s="124" t="str">
        <f>IF($B101="","",IFERROR(-AB101,"n.b."))</f>
        <v/>
      </c>
      <c r="BN101" s="124" t="str">
        <f>IF($B101="","",IFERROR(-AD101,"n.b."))</f>
        <v/>
      </c>
      <c r="BO101" s="124" t="str">
        <f>IF($B101="","",IFERROR(BK101+BM101,"n.b."))</f>
        <v/>
      </c>
      <c r="BP101" s="124" t="str">
        <f>IF($B101="","",IFERROR(BL101+BN101,"n.b."))</f>
        <v/>
      </c>
      <c r="BQ101" s="124" t="str">
        <f>IF($B101="","",IFERROR(-AM101,"n.b."))</f>
        <v/>
      </c>
      <c r="BR101" s="124" t="str">
        <f>IF($B101="","",IFERROR(-AO101,"n.b."))</f>
        <v/>
      </c>
      <c r="BS101" s="124" t="str">
        <f>IF($B101="","",IFERROR(-Z101,"n.b."))</f>
        <v/>
      </c>
      <c r="BT101" s="124" t="str">
        <f>IF($B101="","",IFERROR(-AA101,"n.b."))</f>
        <v/>
      </c>
      <c r="BU101" s="124" t="str">
        <f>IF($B101="","",IFERROR(-AE101,"n.b."))</f>
        <v/>
      </c>
      <c r="BV101" s="124" t="str">
        <f>IF($B101="","",IFERROR(-AF101,"n.b."))</f>
        <v/>
      </c>
      <c r="BW101" s="124" t="str">
        <f>IF($B101="","",IFERROR(-AG101,"n.b."))</f>
        <v/>
      </c>
      <c r="BX101" s="124" t="str">
        <f>IF($B101="","",IFERROR(-AH101,"n.b."))</f>
        <v/>
      </c>
      <c r="BY101" s="124" t="str">
        <f>IF($B101="","",IFERROR(-AI101,"n.b."))</f>
        <v/>
      </c>
      <c r="BZ101" s="124" t="str">
        <f>IF($B101="","",IFERROR(-AJ101,"n.b."))</f>
        <v/>
      </c>
      <c r="CA101" s="124" t="str">
        <f>IF($B101="","",IFERROR(-AK101,"n.b."))</f>
        <v/>
      </c>
      <c r="CB101" s="124" t="str">
        <f>IF($B101="","",IFERROR(-AL101,"n.b."))</f>
        <v/>
      </c>
      <c r="CC101" s="124" t="str">
        <f>IF($B101="","",IFERROR(-AP101,"n.b."))</f>
        <v/>
      </c>
      <c r="CD101" s="124" t="str">
        <f>IF($B101="","",IFERROR(-AQ101,"n.b."))</f>
        <v/>
      </c>
      <c r="CE101" s="124" t="str">
        <f>IF($B101="","",IFERROR(-AR101,"n.b."))</f>
        <v/>
      </c>
      <c r="CF101" s="124" t="str">
        <f>IF($B101="","",IFERROR(-AS101,"n.b."))</f>
        <v/>
      </c>
      <c r="CG101" s="124" t="str">
        <f>IF($B101="","",IFERROR(-AT101,"n.b."))</f>
        <v/>
      </c>
      <c r="CH101" s="124" t="str">
        <f>IF($B101="","",IFERROR(-AU101,"n.b."))</f>
        <v/>
      </c>
      <c r="CI101" s="124" t="str">
        <f>IF($B101="","",IFERROR(-AV101,"n.b."))</f>
        <v/>
      </c>
      <c r="CJ101" s="124" t="str">
        <f>IF($B101="","",IFERROR(-AW101,"n.b."))</f>
        <v/>
      </c>
      <c r="CK101" s="124" t="str">
        <f>IF($B101="","",IFERROR(-AX101,"n.b."))</f>
        <v/>
      </c>
      <c r="CL101" s="124" t="str">
        <f>IF($B101="","",IFERROR(-AY101,"n.b."))</f>
        <v/>
      </c>
      <c r="CM101" s="124" t="str">
        <f>IF($B101="","",IFERROR(-AZ101,"n.b."))</f>
        <v/>
      </c>
      <c r="CN101" s="124" t="str">
        <f>IF($B101="","",IFERROR(-BA101,"n.b."))</f>
        <v/>
      </c>
      <c r="CO101" s="124" t="str">
        <f>IF($B101="","",IFERROR(-BB101,"n.b."))</f>
        <v/>
      </c>
      <c r="CP101" s="124" t="str">
        <f>IF($B101="","",IFERROR(-BC101,"n.b."))</f>
        <v/>
      </c>
      <c r="CQ101" s="124" t="str">
        <f>IF($B101="","",IFERROR(-BD101,"n.b."))</f>
        <v/>
      </c>
      <c r="CR101" s="124" t="str">
        <f>IF($B101="","",IFERROR(-BE101,"n.b."))</f>
        <v/>
      </c>
      <c r="CS101" s="124" t="str">
        <f>IF($B101="","",IFERROR(IF(OR(ABS(T101+V101+X101+Z101-AB101)&gt;P_Tol,ABS(U101+W101+Y101+AA101-AD101)&gt;P_Tol,ABS(AE101+AG101+AI101+AK101-AM101)&gt;P_Tol,ABS(AF101+AH101+AJ101+AL101-AO101)&gt;P_Tol),1,0),1))</f>
        <v/>
      </c>
      <c r="CT101" s="124" t="str">
        <f>IF($B101="","",IFERROR(IF(OR(ABS(AB101+AC101-AD101)&gt;P_Tol,ABS(AM101+AN101-AO101)&gt;P_Tol,ABS(O101+P101-Q101)&gt;P_Tol),1,0),1))</f>
        <v/>
      </c>
      <c r="CU101" s="124" t="str">
        <f>IF($B101="","",IFERROR(IF(ABS(R101-(AB101+AM101+AP101+AR101+AT101+AV101+AX101+AZ101+BB101+BD101))&gt;P_Tol,1,0),1))</f>
        <v/>
      </c>
      <c r="CV101" s="124" t="str">
        <f>IF($B101="","",IFERROR(IF(ABS(M101-(N101+O101+R101))&gt;P_Tol,1,0),1))</f>
        <v/>
      </c>
      <c r="CW101" s="124" t="str">
        <f>IF($B101="","",IF(COUNTIF(Mapping!$A$5:$A$104,B101)&gt;0,1,0))</f>
        <v/>
      </c>
      <c r="CX101" s="124" t="str">
        <f>IF($B101="","",COUNTIF($B$6:$B$505,B101))</f>
        <v/>
      </c>
      <c r="CY101" s="124" t="str">
        <f>IF($B101="","",COUNTIF(STG_Woningetalage!$B$6:$B$505,B101))</f>
        <v/>
      </c>
      <c r="CZ101" s="124" t="str">
        <f>IF($B101="","",IF(CW101=0,COUNTIF($CW$6:CW101,0),""))</f>
        <v/>
      </c>
    </row>
    <row r="102">
      <c r="A102" s="15" t="n">
        <v>98</v>
      </c>
      <c r="B102" t="str">
        <f>IF(B$3=0,"",IF(INDEX(SRC_ZPMW03!$A$1:$ZZ$501,$A102,B$3)&amp;""="","",INDEX(SRC_ZPMW03!$A$1:$ZZ$501,$A102,B$3)&amp;""))</f>
        <v/>
      </c>
      <c r="C102" t="str">
        <f>IF($B102="","",IF(C$3=0,"n.b.",INDEX(SRC_ZPMW03!$A$1:$ZZ$501,$A102,C$3)))</f>
        <v/>
      </c>
      <c r="D102" t="str">
        <f>IF($B102="","",IF(D$3=0,"n.b.",INDEX(SRC_ZPMW03!$A$1:$ZZ$501,$A102,D$3)))</f>
        <v/>
      </c>
      <c r="E102" t="str">
        <f>IF($B102="","",IF(E$3=0,"n.b.",INDEX(SRC_ZPMW03!$A$1:$ZZ$501,$A102,E$3)))</f>
        <v/>
      </c>
      <c r="F102" t="str">
        <f>IF($B102="","",IF(F$3=0,"n.b.",INDEX(SRC_ZPMW03!$A$1:$ZZ$501,$A102,F$3)))</f>
        <v/>
      </c>
      <c r="G102" t="str">
        <f>IF($B102="","",IF(G$3=0,"n.b.",INDEX(SRC_ZPMW03!$A$1:$ZZ$501,$A102,G$3)))</f>
        <v/>
      </c>
      <c r="H102" t="str">
        <f>IF($B102="","",IF(H$3=0,"n.b.",INDEX(SRC_ZPMW03!$A$1:$ZZ$501,$A102,H$3)))</f>
        <v/>
      </c>
      <c r="I102" t="str">
        <f>IF($B102="","",IF(I$3=0,"n.b.",INDEX(SRC_ZPMW03!$A$1:$ZZ$501,$A102,I$3)))</f>
        <v/>
      </c>
      <c r="J102" t="str">
        <f>IF($B102="","",IF(J$3=0,"n.b.",INDEX(SRC_ZPMW03!$A$1:$ZZ$501,$A102,J$3)))</f>
        <v/>
      </c>
      <c r="K102" t="str">
        <f>IF($B102="","",IF(K$3=0,"n.b.",INDEX(SRC_ZPMW03!$A$1:$ZZ$501,$A102,K$3)))</f>
        <v/>
      </c>
      <c r="L102" s="124" t="str">
        <f>IF($B102="","",IF(L$3=0,"n.b.",INDEX(SRC_ZPMW03!$A$1:$ZZ$501,$A102,L$3)))</f>
        <v/>
      </c>
      <c r="M102" s="124" t="str">
        <f>IF($B102="","",IF(M$3=0,"n.b.",INDEX(SRC_ZPMW03!$A$1:$ZZ$501,$A102,M$3)))</f>
        <v/>
      </c>
      <c r="N102" s="124" t="str">
        <f>IF($B102="","",IF(N$3=0,"n.b.",INDEX(SRC_ZPMW03!$A$1:$ZZ$501,$A102,N$3)))</f>
        <v/>
      </c>
      <c r="O102" s="124" t="str">
        <f>IF($B102="","",IF(O$3=0,"n.b.",INDEX(SRC_ZPMW03!$A$1:$ZZ$501,$A102,O$3)))</f>
        <v/>
      </c>
      <c r="P102" s="124" t="str">
        <f>IF($B102="","",IF(P$3=0,"n.b.",INDEX(SRC_ZPMW03!$A$1:$ZZ$501,$A102,P$3)))</f>
        <v/>
      </c>
      <c r="Q102" s="124" t="str">
        <f>IF($B102="","",IF(Q$3=0,"n.b.",INDEX(SRC_ZPMW03!$A$1:$ZZ$501,$A102,Q$3)))</f>
        <v/>
      </c>
      <c r="R102" s="124" t="str">
        <f>IF($B102="","",IF(R$3=0,"n.b.",INDEX(SRC_ZPMW03!$A$1:$ZZ$501,$A102,R$3)))</f>
        <v/>
      </c>
      <c r="S102" s="124" t="str">
        <f>IF($B102="","",IF(S$3=0,"n.b.",INDEX(SRC_ZPMW03!$A$1:$ZZ$501,$A102,S$3)))</f>
        <v/>
      </c>
      <c r="T102" s="124" t="str">
        <f>IF($B102="","",IF(T$3=0,"n.b.",INDEX(SRC_ZPMW03!$A$1:$ZZ$501,$A102,T$3)))</f>
        <v/>
      </c>
      <c r="U102" s="124" t="str">
        <f>IF($B102="","",IF(U$3=0,"n.b.",INDEX(SRC_ZPMW03!$A$1:$ZZ$501,$A102,U$3)))</f>
        <v/>
      </c>
      <c r="V102" s="124" t="str">
        <f>IF($B102="","",IF(V$3=0,"n.b.",INDEX(SRC_ZPMW03!$A$1:$ZZ$501,$A102,V$3)))</f>
        <v/>
      </c>
      <c r="W102" s="124" t="str">
        <f>IF($B102="","",IF(W$3=0,"n.b.",INDEX(SRC_ZPMW03!$A$1:$ZZ$501,$A102,W$3)))</f>
        <v/>
      </c>
      <c r="X102" s="124" t="str">
        <f>IF($B102="","",IF(X$3=0,"n.b.",INDEX(SRC_ZPMW03!$A$1:$ZZ$501,$A102,X$3)))</f>
        <v/>
      </c>
      <c r="Y102" s="124" t="str">
        <f>IF($B102="","",IF(Y$3=0,"n.b.",INDEX(SRC_ZPMW03!$A$1:$ZZ$501,$A102,Y$3)))</f>
        <v/>
      </c>
      <c r="Z102" s="124" t="str">
        <f>IF($B102="","",IF(Z$3=0,"n.b.",INDEX(SRC_ZPMW03!$A$1:$ZZ$501,$A102,Z$3)))</f>
        <v/>
      </c>
      <c r="AA102" s="124" t="str">
        <f>IF($B102="","",IF(AA$3=0,"n.b.",INDEX(SRC_ZPMW03!$A$1:$ZZ$501,$A102,AA$3)))</f>
        <v/>
      </c>
      <c r="AB102" s="124" t="str">
        <f>IF($B102="","",IF(AB$3=0,"n.b.",INDEX(SRC_ZPMW03!$A$1:$ZZ$501,$A102,AB$3)))</f>
        <v/>
      </c>
      <c r="AC102" s="124" t="str">
        <f>IF($B102="","",IF(AC$3=0,"n.b.",INDEX(SRC_ZPMW03!$A$1:$ZZ$501,$A102,AC$3)))</f>
        <v/>
      </c>
      <c r="AD102" s="124" t="str">
        <f>IF($B102="","",IF(AD$3=0,"n.b.",INDEX(SRC_ZPMW03!$A$1:$ZZ$501,$A102,AD$3)))</f>
        <v/>
      </c>
      <c r="AE102" s="124" t="str">
        <f>IF($B102="","",IF(AE$3=0,"n.b.",INDEX(SRC_ZPMW03!$A$1:$ZZ$501,$A102,AE$3)))</f>
        <v/>
      </c>
      <c r="AF102" s="124" t="str">
        <f>IF($B102="","",IF(AF$3=0,"n.b.",INDEX(SRC_ZPMW03!$A$1:$ZZ$501,$A102,AF$3)))</f>
        <v/>
      </c>
      <c r="AG102" s="124" t="str">
        <f>IF($B102="","",IF(AG$3=0,"n.b.",INDEX(SRC_ZPMW03!$A$1:$ZZ$501,$A102,AG$3)))</f>
        <v/>
      </c>
      <c r="AH102" s="124" t="str">
        <f>IF($B102="","",IF(AH$3=0,"n.b.",INDEX(SRC_ZPMW03!$A$1:$ZZ$501,$A102,AH$3)))</f>
        <v/>
      </c>
      <c r="AI102" s="124" t="str">
        <f>IF($B102="","",IF(AI$3=0,"n.b.",INDEX(SRC_ZPMW03!$A$1:$ZZ$501,$A102,AI$3)))</f>
        <v/>
      </c>
      <c r="AJ102" s="124" t="str">
        <f>IF($B102="","",IF(AJ$3=0,"n.b.",INDEX(SRC_ZPMW03!$A$1:$ZZ$501,$A102,AJ$3)))</f>
        <v/>
      </c>
      <c r="AK102" s="124" t="str">
        <f>IF($B102="","",IF(AK$3=0,"n.b.",INDEX(SRC_ZPMW03!$A$1:$ZZ$501,$A102,AK$3)))</f>
        <v/>
      </c>
      <c r="AL102" s="124" t="str">
        <f>IF($B102="","",IF(AL$3=0,"n.b.",INDEX(SRC_ZPMW03!$A$1:$ZZ$501,$A102,AL$3)))</f>
        <v/>
      </c>
      <c r="AM102" s="124" t="str">
        <f>IF($B102="","",IF(AM$3=0,"n.b.",INDEX(SRC_ZPMW03!$A$1:$ZZ$501,$A102,AM$3)))</f>
        <v/>
      </c>
      <c r="AN102" s="124" t="str">
        <f>IF($B102="","",IF(AN$3=0,"n.b.",INDEX(SRC_ZPMW03!$A$1:$ZZ$501,$A102,AN$3)))</f>
        <v/>
      </c>
      <c r="AO102" s="124" t="str">
        <f>IF($B102="","",IF(AO$3=0,"n.b.",INDEX(SRC_ZPMW03!$A$1:$ZZ$501,$A102,AO$3)))</f>
        <v/>
      </c>
      <c r="AP102" s="124" t="str">
        <f>IF($B102="","",IF(AP$3=0,"n.b.",INDEX(SRC_ZPMW03!$A$1:$ZZ$501,$A102,AP$3)))</f>
        <v/>
      </c>
      <c r="AQ102" s="124" t="str">
        <f>IF($B102="","",IF(AQ$3=0,"n.b.",INDEX(SRC_ZPMW03!$A$1:$ZZ$501,$A102,AQ$3)))</f>
        <v/>
      </c>
      <c r="AR102" s="124" t="str">
        <f>IF($B102="","",IF(AR$3=0,"n.b.",INDEX(SRC_ZPMW03!$A$1:$ZZ$501,$A102,AR$3)))</f>
        <v/>
      </c>
      <c r="AS102" s="124" t="str">
        <f>IF($B102="","",IF(AS$3=0,"n.b.",INDEX(SRC_ZPMW03!$A$1:$ZZ$501,$A102,AS$3)))</f>
        <v/>
      </c>
      <c r="AT102" s="124" t="str">
        <f>IF($B102="","",IF(AT$3=0,"n.b.",INDEX(SRC_ZPMW03!$A$1:$ZZ$501,$A102,AT$3)))</f>
        <v/>
      </c>
      <c r="AU102" s="124" t="str">
        <f>IF($B102="","",IF(AU$3=0,"n.b.",INDEX(SRC_ZPMW03!$A$1:$ZZ$501,$A102,AU$3)))</f>
        <v/>
      </c>
      <c r="AV102" s="124" t="str">
        <f>IF($B102="","",IF(AV$3=0,"n.b.",INDEX(SRC_ZPMW03!$A$1:$ZZ$501,$A102,AV$3)))</f>
        <v/>
      </c>
      <c r="AW102" s="124" t="str">
        <f>IF($B102="","",IF(AW$3=0,"n.b.",INDEX(SRC_ZPMW03!$A$1:$ZZ$501,$A102,AW$3)))</f>
        <v/>
      </c>
      <c r="AX102" s="124" t="str">
        <f>IF($B102="","",IF(AX$3=0,"n.b.",INDEX(SRC_ZPMW03!$A$1:$ZZ$501,$A102,AX$3)))</f>
        <v/>
      </c>
      <c r="AY102" s="124" t="str">
        <f>IF($B102="","",IF(AY$3=0,"n.b.",INDEX(SRC_ZPMW03!$A$1:$ZZ$501,$A102,AY$3)))</f>
        <v/>
      </c>
      <c r="AZ102" s="124" t="str">
        <f>IF($B102="","",IF(AZ$3=0,"n.b.",INDEX(SRC_ZPMW03!$A$1:$ZZ$501,$A102,AZ$3)))</f>
        <v/>
      </c>
      <c r="BA102" s="124" t="str">
        <f>IF($B102="","",IF(BA$3=0,"n.b.",INDEX(SRC_ZPMW03!$A$1:$ZZ$501,$A102,BA$3)))</f>
        <v/>
      </c>
      <c r="BB102" s="124" t="str">
        <f>IF($B102="","",IF(BB$3=0,"n.b.",INDEX(SRC_ZPMW03!$A$1:$ZZ$501,$A102,BB$3)))</f>
        <v/>
      </c>
      <c r="BC102" s="124" t="str">
        <f>IF($B102="","",IF(BC$3=0,"n.b.",INDEX(SRC_ZPMW03!$A$1:$ZZ$501,$A102,BC$3)))</f>
        <v/>
      </c>
      <c r="BD102" s="124" t="str">
        <f>IF($B102="","",IF(BD$3=0,"n.b.",INDEX(SRC_ZPMW03!$A$1:$ZZ$501,$A102,BD$3)))</f>
        <v/>
      </c>
      <c r="BE102" s="124" t="str">
        <f>IF($B102="","",IF(BE$3=0,"n.b.",INDEX(SRC_ZPMW03!$A$1:$ZZ$501,$A102,BE$3)))</f>
        <v/>
      </c>
      <c r="BF102" s="124" t="str">
        <f>IF($B102="","",IF(BF$3=0,"n.b.",INDEX(SRC_ZPMW03!$A$1:$ZZ$501,$A102,BF$3)))</f>
        <v/>
      </c>
      <c r="BG102" t="str">
        <f>IF($B102="","",IF(BG$3=0,"n.b.",INDEX(SRC_ZPMW03!$A$1:$ZZ$501,$A102,BG$3)))</f>
        <v/>
      </c>
      <c r="BH102" t="str">
        <f>IF($B102="","",IF(BH$3=0,"n.b.",INDEX(SRC_ZPMW03!$A$1:$ZZ$501,$A102,BH$3)))</f>
        <v/>
      </c>
      <c r="BI102" t="str">
        <f>IF($B102="","",IF(BI$3=0,"n.b.",INDEX(SRC_ZPMW03!$A$1:$ZZ$501,$A102,BI$3)))</f>
        <v/>
      </c>
      <c r="BJ102" t="str">
        <f>IF($B102="","",IF(BJ$3=0,"n.b.",INDEX(SRC_ZPMW03!$A$1:$ZZ$501,$A102,BJ$3)))</f>
        <v/>
      </c>
      <c r="BK102" s="124" t="str">
        <f>IF($B102="","",IFERROR(-O102,"n.b."))</f>
        <v/>
      </c>
      <c r="BL102" s="124" t="str">
        <f>IF($B102="","",IFERROR(-Q102,"n.b."))</f>
        <v/>
      </c>
      <c r="BM102" s="124" t="str">
        <f>IF($B102="","",IFERROR(-AB102,"n.b."))</f>
        <v/>
      </c>
      <c r="BN102" s="124" t="str">
        <f>IF($B102="","",IFERROR(-AD102,"n.b."))</f>
        <v/>
      </c>
      <c r="BO102" s="124" t="str">
        <f>IF($B102="","",IFERROR(BK102+BM102,"n.b."))</f>
        <v/>
      </c>
      <c r="BP102" s="124" t="str">
        <f>IF($B102="","",IFERROR(BL102+BN102,"n.b."))</f>
        <v/>
      </c>
      <c r="BQ102" s="124" t="str">
        <f>IF($B102="","",IFERROR(-AM102,"n.b."))</f>
        <v/>
      </c>
      <c r="BR102" s="124" t="str">
        <f>IF($B102="","",IFERROR(-AO102,"n.b."))</f>
        <v/>
      </c>
      <c r="BS102" s="124" t="str">
        <f>IF($B102="","",IFERROR(-Z102,"n.b."))</f>
        <v/>
      </c>
      <c r="BT102" s="124" t="str">
        <f>IF($B102="","",IFERROR(-AA102,"n.b."))</f>
        <v/>
      </c>
      <c r="BU102" s="124" t="str">
        <f>IF($B102="","",IFERROR(-AE102,"n.b."))</f>
        <v/>
      </c>
      <c r="BV102" s="124" t="str">
        <f>IF($B102="","",IFERROR(-AF102,"n.b."))</f>
        <v/>
      </c>
      <c r="BW102" s="124" t="str">
        <f>IF($B102="","",IFERROR(-AG102,"n.b."))</f>
        <v/>
      </c>
      <c r="BX102" s="124" t="str">
        <f>IF($B102="","",IFERROR(-AH102,"n.b."))</f>
        <v/>
      </c>
      <c r="BY102" s="124" t="str">
        <f>IF($B102="","",IFERROR(-AI102,"n.b."))</f>
        <v/>
      </c>
      <c r="BZ102" s="124" t="str">
        <f>IF($B102="","",IFERROR(-AJ102,"n.b."))</f>
        <v/>
      </c>
      <c r="CA102" s="124" t="str">
        <f>IF($B102="","",IFERROR(-AK102,"n.b."))</f>
        <v/>
      </c>
      <c r="CB102" s="124" t="str">
        <f>IF($B102="","",IFERROR(-AL102,"n.b."))</f>
        <v/>
      </c>
      <c r="CC102" s="124" t="str">
        <f>IF($B102="","",IFERROR(-AP102,"n.b."))</f>
        <v/>
      </c>
      <c r="CD102" s="124" t="str">
        <f>IF($B102="","",IFERROR(-AQ102,"n.b."))</f>
        <v/>
      </c>
      <c r="CE102" s="124" t="str">
        <f>IF($B102="","",IFERROR(-AR102,"n.b."))</f>
        <v/>
      </c>
      <c r="CF102" s="124" t="str">
        <f>IF($B102="","",IFERROR(-AS102,"n.b."))</f>
        <v/>
      </c>
      <c r="CG102" s="124" t="str">
        <f>IF($B102="","",IFERROR(-AT102,"n.b."))</f>
        <v/>
      </c>
      <c r="CH102" s="124" t="str">
        <f>IF($B102="","",IFERROR(-AU102,"n.b."))</f>
        <v/>
      </c>
      <c r="CI102" s="124" t="str">
        <f>IF($B102="","",IFERROR(-AV102,"n.b."))</f>
        <v/>
      </c>
      <c r="CJ102" s="124" t="str">
        <f>IF($B102="","",IFERROR(-AW102,"n.b."))</f>
        <v/>
      </c>
      <c r="CK102" s="124" t="str">
        <f>IF($B102="","",IFERROR(-AX102,"n.b."))</f>
        <v/>
      </c>
      <c r="CL102" s="124" t="str">
        <f>IF($B102="","",IFERROR(-AY102,"n.b."))</f>
        <v/>
      </c>
      <c r="CM102" s="124" t="str">
        <f>IF($B102="","",IFERROR(-AZ102,"n.b."))</f>
        <v/>
      </c>
      <c r="CN102" s="124" t="str">
        <f>IF($B102="","",IFERROR(-BA102,"n.b."))</f>
        <v/>
      </c>
      <c r="CO102" s="124" t="str">
        <f>IF($B102="","",IFERROR(-BB102,"n.b."))</f>
        <v/>
      </c>
      <c r="CP102" s="124" t="str">
        <f>IF($B102="","",IFERROR(-BC102,"n.b."))</f>
        <v/>
      </c>
      <c r="CQ102" s="124" t="str">
        <f>IF($B102="","",IFERROR(-BD102,"n.b."))</f>
        <v/>
      </c>
      <c r="CR102" s="124" t="str">
        <f>IF($B102="","",IFERROR(-BE102,"n.b."))</f>
        <v/>
      </c>
      <c r="CS102" s="124" t="str">
        <f>IF($B102="","",IFERROR(IF(OR(ABS(T102+V102+X102+Z102-AB102)&gt;P_Tol,ABS(U102+W102+Y102+AA102-AD102)&gt;P_Tol,ABS(AE102+AG102+AI102+AK102-AM102)&gt;P_Tol,ABS(AF102+AH102+AJ102+AL102-AO102)&gt;P_Tol),1,0),1))</f>
        <v/>
      </c>
      <c r="CT102" s="124" t="str">
        <f>IF($B102="","",IFERROR(IF(OR(ABS(AB102+AC102-AD102)&gt;P_Tol,ABS(AM102+AN102-AO102)&gt;P_Tol,ABS(O102+P102-Q102)&gt;P_Tol),1,0),1))</f>
        <v/>
      </c>
      <c r="CU102" s="124" t="str">
        <f>IF($B102="","",IFERROR(IF(ABS(R102-(AB102+AM102+AP102+AR102+AT102+AV102+AX102+AZ102+BB102+BD102))&gt;P_Tol,1,0),1))</f>
        <v/>
      </c>
      <c r="CV102" s="124" t="str">
        <f>IF($B102="","",IFERROR(IF(ABS(M102-(N102+O102+R102))&gt;P_Tol,1,0),1))</f>
        <v/>
      </c>
      <c r="CW102" s="124" t="str">
        <f>IF($B102="","",IF(COUNTIF(Mapping!$A$5:$A$104,B102)&gt;0,1,0))</f>
        <v/>
      </c>
      <c r="CX102" s="124" t="str">
        <f>IF($B102="","",COUNTIF($B$6:$B$505,B102))</f>
        <v/>
      </c>
      <c r="CY102" s="124" t="str">
        <f>IF($B102="","",COUNTIF(STG_Woningetalage!$B$6:$B$505,B102))</f>
        <v/>
      </c>
      <c r="CZ102" s="124" t="str">
        <f>IF($B102="","",IF(CW102=0,COUNTIF($CW$6:CW102,0),""))</f>
        <v/>
      </c>
    </row>
    <row r="103">
      <c r="A103" s="15" t="n">
        <v>99</v>
      </c>
      <c r="B103" t="str">
        <f>IF(B$3=0,"",IF(INDEX(SRC_ZPMW03!$A$1:$ZZ$501,$A103,B$3)&amp;""="","",INDEX(SRC_ZPMW03!$A$1:$ZZ$501,$A103,B$3)&amp;""))</f>
        <v/>
      </c>
      <c r="C103" t="str">
        <f>IF($B103="","",IF(C$3=0,"n.b.",INDEX(SRC_ZPMW03!$A$1:$ZZ$501,$A103,C$3)))</f>
        <v/>
      </c>
      <c r="D103" t="str">
        <f>IF($B103="","",IF(D$3=0,"n.b.",INDEX(SRC_ZPMW03!$A$1:$ZZ$501,$A103,D$3)))</f>
        <v/>
      </c>
      <c r="E103" t="str">
        <f>IF($B103="","",IF(E$3=0,"n.b.",INDEX(SRC_ZPMW03!$A$1:$ZZ$501,$A103,E$3)))</f>
        <v/>
      </c>
      <c r="F103" t="str">
        <f>IF($B103="","",IF(F$3=0,"n.b.",INDEX(SRC_ZPMW03!$A$1:$ZZ$501,$A103,F$3)))</f>
        <v/>
      </c>
      <c r="G103" t="str">
        <f>IF($B103="","",IF(G$3=0,"n.b.",INDEX(SRC_ZPMW03!$A$1:$ZZ$501,$A103,G$3)))</f>
        <v/>
      </c>
      <c r="H103" t="str">
        <f>IF($B103="","",IF(H$3=0,"n.b.",INDEX(SRC_ZPMW03!$A$1:$ZZ$501,$A103,H$3)))</f>
        <v/>
      </c>
      <c r="I103" t="str">
        <f>IF($B103="","",IF(I$3=0,"n.b.",INDEX(SRC_ZPMW03!$A$1:$ZZ$501,$A103,I$3)))</f>
        <v/>
      </c>
      <c r="J103" t="str">
        <f>IF($B103="","",IF(J$3=0,"n.b.",INDEX(SRC_ZPMW03!$A$1:$ZZ$501,$A103,J$3)))</f>
        <v/>
      </c>
      <c r="K103" t="str">
        <f>IF($B103="","",IF(K$3=0,"n.b.",INDEX(SRC_ZPMW03!$A$1:$ZZ$501,$A103,K$3)))</f>
        <v/>
      </c>
      <c r="L103" s="124" t="str">
        <f>IF($B103="","",IF(L$3=0,"n.b.",INDEX(SRC_ZPMW03!$A$1:$ZZ$501,$A103,L$3)))</f>
        <v/>
      </c>
      <c r="M103" s="124" t="str">
        <f>IF($B103="","",IF(M$3=0,"n.b.",INDEX(SRC_ZPMW03!$A$1:$ZZ$501,$A103,M$3)))</f>
        <v/>
      </c>
      <c r="N103" s="124" t="str">
        <f>IF($B103="","",IF(N$3=0,"n.b.",INDEX(SRC_ZPMW03!$A$1:$ZZ$501,$A103,N$3)))</f>
        <v/>
      </c>
      <c r="O103" s="124" t="str">
        <f>IF($B103="","",IF(O$3=0,"n.b.",INDEX(SRC_ZPMW03!$A$1:$ZZ$501,$A103,O$3)))</f>
        <v/>
      </c>
      <c r="P103" s="124" t="str">
        <f>IF($B103="","",IF(P$3=0,"n.b.",INDEX(SRC_ZPMW03!$A$1:$ZZ$501,$A103,P$3)))</f>
        <v/>
      </c>
      <c r="Q103" s="124" t="str">
        <f>IF($B103="","",IF(Q$3=0,"n.b.",INDEX(SRC_ZPMW03!$A$1:$ZZ$501,$A103,Q$3)))</f>
        <v/>
      </c>
      <c r="R103" s="124" t="str">
        <f>IF($B103="","",IF(R$3=0,"n.b.",INDEX(SRC_ZPMW03!$A$1:$ZZ$501,$A103,R$3)))</f>
        <v/>
      </c>
      <c r="S103" s="124" t="str">
        <f>IF($B103="","",IF(S$3=0,"n.b.",INDEX(SRC_ZPMW03!$A$1:$ZZ$501,$A103,S$3)))</f>
        <v/>
      </c>
      <c r="T103" s="124" t="str">
        <f>IF($B103="","",IF(T$3=0,"n.b.",INDEX(SRC_ZPMW03!$A$1:$ZZ$501,$A103,T$3)))</f>
        <v/>
      </c>
      <c r="U103" s="124" t="str">
        <f>IF($B103="","",IF(U$3=0,"n.b.",INDEX(SRC_ZPMW03!$A$1:$ZZ$501,$A103,U$3)))</f>
        <v/>
      </c>
      <c r="V103" s="124" t="str">
        <f>IF($B103="","",IF(V$3=0,"n.b.",INDEX(SRC_ZPMW03!$A$1:$ZZ$501,$A103,V$3)))</f>
        <v/>
      </c>
      <c r="W103" s="124" t="str">
        <f>IF($B103="","",IF(W$3=0,"n.b.",INDEX(SRC_ZPMW03!$A$1:$ZZ$501,$A103,W$3)))</f>
        <v/>
      </c>
      <c r="X103" s="124" t="str">
        <f>IF($B103="","",IF(X$3=0,"n.b.",INDEX(SRC_ZPMW03!$A$1:$ZZ$501,$A103,X$3)))</f>
        <v/>
      </c>
      <c r="Y103" s="124" t="str">
        <f>IF($B103="","",IF(Y$3=0,"n.b.",INDEX(SRC_ZPMW03!$A$1:$ZZ$501,$A103,Y$3)))</f>
        <v/>
      </c>
      <c r="Z103" s="124" t="str">
        <f>IF($B103="","",IF(Z$3=0,"n.b.",INDEX(SRC_ZPMW03!$A$1:$ZZ$501,$A103,Z$3)))</f>
        <v/>
      </c>
      <c r="AA103" s="124" t="str">
        <f>IF($B103="","",IF(AA$3=0,"n.b.",INDEX(SRC_ZPMW03!$A$1:$ZZ$501,$A103,AA$3)))</f>
        <v/>
      </c>
      <c r="AB103" s="124" t="str">
        <f>IF($B103="","",IF(AB$3=0,"n.b.",INDEX(SRC_ZPMW03!$A$1:$ZZ$501,$A103,AB$3)))</f>
        <v/>
      </c>
      <c r="AC103" s="124" t="str">
        <f>IF($B103="","",IF(AC$3=0,"n.b.",INDEX(SRC_ZPMW03!$A$1:$ZZ$501,$A103,AC$3)))</f>
        <v/>
      </c>
      <c r="AD103" s="124" t="str">
        <f>IF($B103="","",IF(AD$3=0,"n.b.",INDEX(SRC_ZPMW03!$A$1:$ZZ$501,$A103,AD$3)))</f>
        <v/>
      </c>
      <c r="AE103" s="124" t="str">
        <f>IF($B103="","",IF(AE$3=0,"n.b.",INDEX(SRC_ZPMW03!$A$1:$ZZ$501,$A103,AE$3)))</f>
        <v/>
      </c>
      <c r="AF103" s="124" t="str">
        <f>IF($B103="","",IF(AF$3=0,"n.b.",INDEX(SRC_ZPMW03!$A$1:$ZZ$501,$A103,AF$3)))</f>
        <v/>
      </c>
      <c r="AG103" s="124" t="str">
        <f>IF($B103="","",IF(AG$3=0,"n.b.",INDEX(SRC_ZPMW03!$A$1:$ZZ$501,$A103,AG$3)))</f>
        <v/>
      </c>
      <c r="AH103" s="124" t="str">
        <f>IF($B103="","",IF(AH$3=0,"n.b.",INDEX(SRC_ZPMW03!$A$1:$ZZ$501,$A103,AH$3)))</f>
        <v/>
      </c>
      <c r="AI103" s="124" t="str">
        <f>IF($B103="","",IF(AI$3=0,"n.b.",INDEX(SRC_ZPMW03!$A$1:$ZZ$501,$A103,AI$3)))</f>
        <v/>
      </c>
      <c r="AJ103" s="124" t="str">
        <f>IF($B103="","",IF(AJ$3=0,"n.b.",INDEX(SRC_ZPMW03!$A$1:$ZZ$501,$A103,AJ$3)))</f>
        <v/>
      </c>
      <c r="AK103" s="124" t="str">
        <f>IF($B103="","",IF(AK$3=0,"n.b.",INDEX(SRC_ZPMW03!$A$1:$ZZ$501,$A103,AK$3)))</f>
        <v/>
      </c>
      <c r="AL103" s="124" t="str">
        <f>IF($B103="","",IF(AL$3=0,"n.b.",INDEX(SRC_ZPMW03!$A$1:$ZZ$501,$A103,AL$3)))</f>
        <v/>
      </c>
      <c r="AM103" s="124" t="str">
        <f>IF($B103="","",IF(AM$3=0,"n.b.",INDEX(SRC_ZPMW03!$A$1:$ZZ$501,$A103,AM$3)))</f>
        <v/>
      </c>
      <c r="AN103" s="124" t="str">
        <f>IF($B103="","",IF(AN$3=0,"n.b.",INDEX(SRC_ZPMW03!$A$1:$ZZ$501,$A103,AN$3)))</f>
        <v/>
      </c>
      <c r="AO103" s="124" t="str">
        <f>IF($B103="","",IF(AO$3=0,"n.b.",INDEX(SRC_ZPMW03!$A$1:$ZZ$501,$A103,AO$3)))</f>
        <v/>
      </c>
      <c r="AP103" s="124" t="str">
        <f>IF($B103="","",IF(AP$3=0,"n.b.",INDEX(SRC_ZPMW03!$A$1:$ZZ$501,$A103,AP$3)))</f>
        <v/>
      </c>
      <c r="AQ103" s="124" t="str">
        <f>IF($B103="","",IF(AQ$3=0,"n.b.",INDEX(SRC_ZPMW03!$A$1:$ZZ$501,$A103,AQ$3)))</f>
        <v/>
      </c>
      <c r="AR103" s="124" t="str">
        <f>IF($B103="","",IF(AR$3=0,"n.b.",INDEX(SRC_ZPMW03!$A$1:$ZZ$501,$A103,AR$3)))</f>
        <v/>
      </c>
      <c r="AS103" s="124" t="str">
        <f>IF($B103="","",IF(AS$3=0,"n.b.",INDEX(SRC_ZPMW03!$A$1:$ZZ$501,$A103,AS$3)))</f>
        <v/>
      </c>
      <c r="AT103" s="124" t="str">
        <f>IF($B103="","",IF(AT$3=0,"n.b.",INDEX(SRC_ZPMW03!$A$1:$ZZ$501,$A103,AT$3)))</f>
        <v/>
      </c>
      <c r="AU103" s="124" t="str">
        <f>IF($B103="","",IF(AU$3=0,"n.b.",INDEX(SRC_ZPMW03!$A$1:$ZZ$501,$A103,AU$3)))</f>
        <v/>
      </c>
      <c r="AV103" s="124" t="str">
        <f>IF($B103="","",IF(AV$3=0,"n.b.",INDEX(SRC_ZPMW03!$A$1:$ZZ$501,$A103,AV$3)))</f>
        <v/>
      </c>
      <c r="AW103" s="124" t="str">
        <f>IF($B103="","",IF(AW$3=0,"n.b.",INDEX(SRC_ZPMW03!$A$1:$ZZ$501,$A103,AW$3)))</f>
        <v/>
      </c>
      <c r="AX103" s="124" t="str">
        <f>IF($B103="","",IF(AX$3=0,"n.b.",INDEX(SRC_ZPMW03!$A$1:$ZZ$501,$A103,AX$3)))</f>
        <v/>
      </c>
      <c r="AY103" s="124" t="str">
        <f>IF($B103="","",IF(AY$3=0,"n.b.",INDEX(SRC_ZPMW03!$A$1:$ZZ$501,$A103,AY$3)))</f>
        <v/>
      </c>
      <c r="AZ103" s="124" t="str">
        <f>IF($B103="","",IF(AZ$3=0,"n.b.",INDEX(SRC_ZPMW03!$A$1:$ZZ$501,$A103,AZ$3)))</f>
        <v/>
      </c>
      <c r="BA103" s="124" t="str">
        <f>IF($B103="","",IF(BA$3=0,"n.b.",INDEX(SRC_ZPMW03!$A$1:$ZZ$501,$A103,BA$3)))</f>
        <v/>
      </c>
      <c r="BB103" s="124" t="str">
        <f>IF($B103="","",IF(BB$3=0,"n.b.",INDEX(SRC_ZPMW03!$A$1:$ZZ$501,$A103,BB$3)))</f>
        <v/>
      </c>
      <c r="BC103" s="124" t="str">
        <f>IF($B103="","",IF(BC$3=0,"n.b.",INDEX(SRC_ZPMW03!$A$1:$ZZ$501,$A103,BC$3)))</f>
        <v/>
      </c>
      <c r="BD103" s="124" t="str">
        <f>IF($B103="","",IF(BD$3=0,"n.b.",INDEX(SRC_ZPMW03!$A$1:$ZZ$501,$A103,BD$3)))</f>
        <v/>
      </c>
      <c r="BE103" s="124" t="str">
        <f>IF($B103="","",IF(BE$3=0,"n.b.",INDEX(SRC_ZPMW03!$A$1:$ZZ$501,$A103,BE$3)))</f>
        <v/>
      </c>
      <c r="BF103" s="124" t="str">
        <f>IF($B103="","",IF(BF$3=0,"n.b.",INDEX(SRC_ZPMW03!$A$1:$ZZ$501,$A103,BF$3)))</f>
        <v/>
      </c>
      <c r="BG103" t="str">
        <f>IF($B103="","",IF(BG$3=0,"n.b.",INDEX(SRC_ZPMW03!$A$1:$ZZ$501,$A103,BG$3)))</f>
        <v/>
      </c>
      <c r="BH103" t="str">
        <f>IF($B103="","",IF(BH$3=0,"n.b.",INDEX(SRC_ZPMW03!$A$1:$ZZ$501,$A103,BH$3)))</f>
        <v/>
      </c>
      <c r="BI103" t="str">
        <f>IF($B103="","",IF(BI$3=0,"n.b.",INDEX(SRC_ZPMW03!$A$1:$ZZ$501,$A103,BI$3)))</f>
        <v/>
      </c>
      <c r="BJ103" t="str">
        <f>IF($B103="","",IF(BJ$3=0,"n.b.",INDEX(SRC_ZPMW03!$A$1:$ZZ$501,$A103,BJ$3)))</f>
        <v/>
      </c>
      <c r="BK103" s="124" t="str">
        <f>IF($B103="","",IFERROR(-O103,"n.b."))</f>
        <v/>
      </c>
      <c r="BL103" s="124" t="str">
        <f>IF($B103="","",IFERROR(-Q103,"n.b."))</f>
        <v/>
      </c>
      <c r="BM103" s="124" t="str">
        <f>IF($B103="","",IFERROR(-AB103,"n.b."))</f>
        <v/>
      </c>
      <c r="BN103" s="124" t="str">
        <f>IF($B103="","",IFERROR(-AD103,"n.b."))</f>
        <v/>
      </c>
      <c r="BO103" s="124" t="str">
        <f>IF($B103="","",IFERROR(BK103+BM103,"n.b."))</f>
        <v/>
      </c>
      <c r="BP103" s="124" t="str">
        <f>IF($B103="","",IFERROR(BL103+BN103,"n.b."))</f>
        <v/>
      </c>
      <c r="BQ103" s="124" t="str">
        <f>IF($B103="","",IFERROR(-AM103,"n.b."))</f>
        <v/>
      </c>
      <c r="BR103" s="124" t="str">
        <f>IF($B103="","",IFERROR(-AO103,"n.b."))</f>
        <v/>
      </c>
      <c r="BS103" s="124" t="str">
        <f>IF($B103="","",IFERROR(-Z103,"n.b."))</f>
        <v/>
      </c>
      <c r="BT103" s="124" t="str">
        <f>IF($B103="","",IFERROR(-AA103,"n.b."))</f>
        <v/>
      </c>
      <c r="BU103" s="124" t="str">
        <f>IF($B103="","",IFERROR(-AE103,"n.b."))</f>
        <v/>
      </c>
      <c r="BV103" s="124" t="str">
        <f>IF($B103="","",IFERROR(-AF103,"n.b."))</f>
        <v/>
      </c>
      <c r="BW103" s="124" t="str">
        <f>IF($B103="","",IFERROR(-AG103,"n.b."))</f>
        <v/>
      </c>
      <c r="BX103" s="124" t="str">
        <f>IF($B103="","",IFERROR(-AH103,"n.b."))</f>
        <v/>
      </c>
      <c r="BY103" s="124" t="str">
        <f>IF($B103="","",IFERROR(-AI103,"n.b."))</f>
        <v/>
      </c>
      <c r="BZ103" s="124" t="str">
        <f>IF($B103="","",IFERROR(-AJ103,"n.b."))</f>
        <v/>
      </c>
      <c r="CA103" s="124" t="str">
        <f>IF($B103="","",IFERROR(-AK103,"n.b."))</f>
        <v/>
      </c>
      <c r="CB103" s="124" t="str">
        <f>IF($B103="","",IFERROR(-AL103,"n.b."))</f>
        <v/>
      </c>
      <c r="CC103" s="124" t="str">
        <f>IF($B103="","",IFERROR(-AP103,"n.b."))</f>
        <v/>
      </c>
      <c r="CD103" s="124" t="str">
        <f>IF($B103="","",IFERROR(-AQ103,"n.b."))</f>
        <v/>
      </c>
      <c r="CE103" s="124" t="str">
        <f>IF($B103="","",IFERROR(-AR103,"n.b."))</f>
        <v/>
      </c>
      <c r="CF103" s="124" t="str">
        <f>IF($B103="","",IFERROR(-AS103,"n.b."))</f>
        <v/>
      </c>
      <c r="CG103" s="124" t="str">
        <f>IF($B103="","",IFERROR(-AT103,"n.b."))</f>
        <v/>
      </c>
      <c r="CH103" s="124" t="str">
        <f>IF($B103="","",IFERROR(-AU103,"n.b."))</f>
        <v/>
      </c>
      <c r="CI103" s="124" t="str">
        <f>IF($B103="","",IFERROR(-AV103,"n.b."))</f>
        <v/>
      </c>
      <c r="CJ103" s="124" t="str">
        <f>IF($B103="","",IFERROR(-AW103,"n.b."))</f>
        <v/>
      </c>
      <c r="CK103" s="124" t="str">
        <f>IF($B103="","",IFERROR(-AX103,"n.b."))</f>
        <v/>
      </c>
      <c r="CL103" s="124" t="str">
        <f>IF($B103="","",IFERROR(-AY103,"n.b."))</f>
        <v/>
      </c>
      <c r="CM103" s="124" t="str">
        <f>IF($B103="","",IFERROR(-AZ103,"n.b."))</f>
        <v/>
      </c>
      <c r="CN103" s="124" t="str">
        <f>IF($B103="","",IFERROR(-BA103,"n.b."))</f>
        <v/>
      </c>
      <c r="CO103" s="124" t="str">
        <f>IF($B103="","",IFERROR(-BB103,"n.b."))</f>
        <v/>
      </c>
      <c r="CP103" s="124" t="str">
        <f>IF($B103="","",IFERROR(-BC103,"n.b."))</f>
        <v/>
      </c>
      <c r="CQ103" s="124" t="str">
        <f>IF($B103="","",IFERROR(-BD103,"n.b."))</f>
        <v/>
      </c>
      <c r="CR103" s="124" t="str">
        <f>IF($B103="","",IFERROR(-BE103,"n.b."))</f>
        <v/>
      </c>
      <c r="CS103" s="124" t="str">
        <f>IF($B103="","",IFERROR(IF(OR(ABS(T103+V103+X103+Z103-AB103)&gt;P_Tol,ABS(U103+W103+Y103+AA103-AD103)&gt;P_Tol,ABS(AE103+AG103+AI103+AK103-AM103)&gt;P_Tol,ABS(AF103+AH103+AJ103+AL103-AO103)&gt;P_Tol),1,0),1))</f>
        <v/>
      </c>
      <c r="CT103" s="124" t="str">
        <f>IF($B103="","",IFERROR(IF(OR(ABS(AB103+AC103-AD103)&gt;P_Tol,ABS(AM103+AN103-AO103)&gt;P_Tol,ABS(O103+P103-Q103)&gt;P_Tol),1,0),1))</f>
        <v/>
      </c>
      <c r="CU103" s="124" t="str">
        <f>IF($B103="","",IFERROR(IF(ABS(R103-(AB103+AM103+AP103+AR103+AT103+AV103+AX103+AZ103+BB103+BD103))&gt;P_Tol,1,0),1))</f>
        <v/>
      </c>
      <c r="CV103" s="124" t="str">
        <f>IF($B103="","",IFERROR(IF(ABS(M103-(N103+O103+R103))&gt;P_Tol,1,0),1))</f>
        <v/>
      </c>
      <c r="CW103" s="124" t="str">
        <f>IF($B103="","",IF(COUNTIF(Mapping!$A$5:$A$104,B103)&gt;0,1,0))</f>
        <v/>
      </c>
      <c r="CX103" s="124" t="str">
        <f>IF($B103="","",COUNTIF($B$6:$B$505,B103))</f>
        <v/>
      </c>
      <c r="CY103" s="124" t="str">
        <f>IF($B103="","",COUNTIF(STG_Woningetalage!$B$6:$B$505,B103))</f>
        <v/>
      </c>
      <c r="CZ103" s="124" t="str">
        <f>IF($B103="","",IF(CW103=0,COUNTIF($CW$6:CW103,0),""))</f>
        <v/>
      </c>
    </row>
    <row r="104">
      <c r="A104" s="15" t="n">
        <v>100</v>
      </c>
      <c r="B104" t="str">
        <f>IF(B$3=0,"",IF(INDEX(SRC_ZPMW03!$A$1:$ZZ$501,$A104,B$3)&amp;""="","",INDEX(SRC_ZPMW03!$A$1:$ZZ$501,$A104,B$3)&amp;""))</f>
        <v/>
      </c>
      <c r="C104" t="str">
        <f>IF($B104="","",IF(C$3=0,"n.b.",INDEX(SRC_ZPMW03!$A$1:$ZZ$501,$A104,C$3)))</f>
        <v/>
      </c>
      <c r="D104" t="str">
        <f>IF($B104="","",IF(D$3=0,"n.b.",INDEX(SRC_ZPMW03!$A$1:$ZZ$501,$A104,D$3)))</f>
        <v/>
      </c>
      <c r="E104" t="str">
        <f>IF($B104="","",IF(E$3=0,"n.b.",INDEX(SRC_ZPMW03!$A$1:$ZZ$501,$A104,E$3)))</f>
        <v/>
      </c>
      <c r="F104" t="str">
        <f>IF($B104="","",IF(F$3=0,"n.b.",INDEX(SRC_ZPMW03!$A$1:$ZZ$501,$A104,F$3)))</f>
        <v/>
      </c>
      <c r="G104" t="str">
        <f>IF($B104="","",IF(G$3=0,"n.b.",INDEX(SRC_ZPMW03!$A$1:$ZZ$501,$A104,G$3)))</f>
        <v/>
      </c>
      <c r="H104" t="str">
        <f>IF($B104="","",IF(H$3=0,"n.b.",INDEX(SRC_ZPMW03!$A$1:$ZZ$501,$A104,H$3)))</f>
        <v/>
      </c>
      <c r="I104" t="str">
        <f>IF($B104="","",IF(I$3=0,"n.b.",INDEX(SRC_ZPMW03!$A$1:$ZZ$501,$A104,I$3)))</f>
        <v/>
      </c>
      <c r="J104" t="str">
        <f>IF($B104="","",IF(J$3=0,"n.b.",INDEX(SRC_ZPMW03!$A$1:$ZZ$501,$A104,J$3)))</f>
        <v/>
      </c>
      <c r="K104" t="str">
        <f>IF($B104="","",IF(K$3=0,"n.b.",INDEX(SRC_ZPMW03!$A$1:$ZZ$501,$A104,K$3)))</f>
        <v/>
      </c>
      <c r="L104" s="124" t="str">
        <f>IF($B104="","",IF(L$3=0,"n.b.",INDEX(SRC_ZPMW03!$A$1:$ZZ$501,$A104,L$3)))</f>
        <v/>
      </c>
      <c r="M104" s="124" t="str">
        <f>IF($B104="","",IF(M$3=0,"n.b.",INDEX(SRC_ZPMW03!$A$1:$ZZ$501,$A104,M$3)))</f>
        <v/>
      </c>
      <c r="N104" s="124" t="str">
        <f>IF($B104="","",IF(N$3=0,"n.b.",INDEX(SRC_ZPMW03!$A$1:$ZZ$501,$A104,N$3)))</f>
        <v/>
      </c>
      <c r="O104" s="124" t="str">
        <f>IF($B104="","",IF(O$3=0,"n.b.",INDEX(SRC_ZPMW03!$A$1:$ZZ$501,$A104,O$3)))</f>
        <v/>
      </c>
      <c r="P104" s="124" t="str">
        <f>IF($B104="","",IF(P$3=0,"n.b.",INDEX(SRC_ZPMW03!$A$1:$ZZ$501,$A104,P$3)))</f>
        <v/>
      </c>
      <c r="Q104" s="124" t="str">
        <f>IF($B104="","",IF(Q$3=0,"n.b.",INDEX(SRC_ZPMW03!$A$1:$ZZ$501,$A104,Q$3)))</f>
        <v/>
      </c>
      <c r="R104" s="124" t="str">
        <f>IF($B104="","",IF(R$3=0,"n.b.",INDEX(SRC_ZPMW03!$A$1:$ZZ$501,$A104,R$3)))</f>
        <v/>
      </c>
      <c r="S104" s="124" t="str">
        <f>IF($B104="","",IF(S$3=0,"n.b.",INDEX(SRC_ZPMW03!$A$1:$ZZ$501,$A104,S$3)))</f>
        <v/>
      </c>
      <c r="T104" s="124" t="str">
        <f>IF($B104="","",IF(T$3=0,"n.b.",INDEX(SRC_ZPMW03!$A$1:$ZZ$501,$A104,T$3)))</f>
        <v/>
      </c>
      <c r="U104" s="124" t="str">
        <f>IF($B104="","",IF(U$3=0,"n.b.",INDEX(SRC_ZPMW03!$A$1:$ZZ$501,$A104,U$3)))</f>
        <v/>
      </c>
      <c r="V104" s="124" t="str">
        <f>IF($B104="","",IF(V$3=0,"n.b.",INDEX(SRC_ZPMW03!$A$1:$ZZ$501,$A104,V$3)))</f>
        <v/>
      </c>
      <c r="W104" s="124" t="str">
        <f>IF($B104="","",IF(W$3=0,"n.b.",INDEX(SRC_ZPMW03!$A$1:$ZZ$501,$A104,W$3)))</f>
        <v/>
      </c>
      <c r="X104" s="124" t="str">
        <f>IF($B104="","",IF(X$3=0,"n.b.",INDEX(SRC_ZPMW03!$A$1:$ZZ$501,$A104,X$3)))</f>
        <v/>
      </c>
      <c r="Y104" s="124" t="str">
        <f>IF($B104="","",IF(Y$3=0,"n.b.",INDEX(SRC_ZPMW03!$A$1:$ZZ$501,$A104,Y$3)))</f>
        <v/>
      </c>
      <c r="Z104" s="124" t="str">
        <f>IF($B104="","",IF(Z$3=0,"n.b.",INDEX(SRC_ZPMW03!$A$1:$ZZ$501,$A104,Z$3)))</f>
        <v/>
      </c>
      <c r="AA104" s="124" t="str">
        <f>IF($B104="","",IF(AA$3=0,"n.b.",INDEX(SRC_ZPMW03!$A$1:$ZZ$501,$A104,AA$3)))</f>
        <v/>
      </c>
      <c r="AB104" s="124" t="str">
        <f>IF($B104="","",IF(AB$3=0,"n.b.",INDEX(SRC_ZPMW03!$A$1:$ZZ$501,$A104,AB$3)))</f>
        <v/>
      </c>
      <c r="AC104" s="124" t="str">
        <f>IF($B104="","",IF(AC$3=0,"n.b.",INDEX(SRC_ZPMW03!$A$1:$ZZ$501,$A104,AC$3)))</f>
        <v/>
      </c>
      <c r="AD104" s="124" t="str">
        <f>IF($B104="","",IF(AD$3=0,"n.b.",INDEX(SRC_ZPMW03!$A$1:$ZZ$501,$A104,AD$3)))</f>
        <v/>
      </c>
      <c r="AE104" s="124" t="str">
        <f>IF($B104="","",IF(AE$3=0,"n.b.",INDEX(SRC_ZPMW03!$A$1:$ZZ$501,$A104,AE$3)))</f>
        <v/>
      </c>
      <c r="AF104" s="124" t="str">
        <f>IF($B104="","",IF(AF$3=0,"n.b.",INDEX(SRC_ZPMW03!$A$1:$ZZ$501,$A104,AF$3)))</f>
        <v/>
      </c>
      <c r="AG104" s="124" t="str">
        <f>IF($B104="","",IF(AG$3=0,"n.b.",INDEX(SRC_ZPMW03!$A$1:$ZZ$501,$A104,AG$3)))</f>
        <v/>
      </c>
      <c r="AH104" s="124" t="str">
        <f>IF($B104="","",IF(AH$3=0,"n.b.",INDEX(SRC_ZPMW03!$A$1:$ZZ$501,$A104,AH$3)))</f>
        <v/>
      </c>
      <c r="AI104" s="124" t="str">
        <f>IF($B104="","",IF(AI$3=0,"n.b.",INDEX(SRC_ZPMW03!$A$1:$ZZ$501,$A104,AI$3)))</f>
        <v/>
      </c>
      <c r="AJ104" s="124" t="str">
        <f>IF($B104="","",IF(AJ$3=0,"n.b.",INDEX(SRC_ZPMW03!$A$1:$ZZ$501,$A104,AJ$3)))</f>
        <v/>
      </c>
      <c r="AK104" s="124" t="str">
        <f>IF($B104="","",IF(AK$3=0,"n.b.",INDEX(SRC_ZPMW03!$A$1:$ZZ$501,$A104,AK$3)))</f>
        <v/>
      </c>
      <c r="AL104" s="124" t="str">
        <f>IF($B104="","",IF(AL$3=0,"n.b.",INDEX(SRC_ZPMW03!$A$1:$ZZ$501,$A104,AL$3)))</f>
        <v/>
      </c>
      <c r="AM104" s="124" t="str">
        <f>IF($B104="","",IF(AM$3=0,"n.b.",INDEX(SRC_ZPMW03!$A$1:$ZZ$501,$A104,AM$3)))</f>
        <v/>
      </c>
      <c r="AN104" s="124" t="str">
        <f>IF($B104="","",IF(AN$3=0,"n.b.",INDEX(SRC_ZPMW03!$A$1:$ZZ$501,$A104,AN$3)))</f>
        <v/>
      </c>
      <c r="AO104" s="124" t="str">
        <f>IF($B104="","",IF(AO$3=0,"n.b.",INDEX(SRC_ZPMW03!$A$1:$ZZ$501,$A104,AO$3)))</f>
        <v/>
      </c>
      <c r="AP104" s="124" t="str">
        <f>IF($B104="","",IF(AP$3=0,"n.b.",INDEX(SRC_ZPMW03!$A$1:$ZZ$501,$A104,AP$3)))</f>
        <v/>
      </c>
      <c r="AQ104" s="124" t="str">
        <f>IF($B104="","",IF(AQ$3=0,"n.b.",INDEX(SRC_ZPMW03!$A$1:$ZZ$501,$A104,AQ$3)))</f>
        <v/>
      </c>
      <c r="AR104" s="124" t="str">
        <f>IF($B104="","",IF(AR$3=0,"n.b.",INDEX(SRC_ZPMW03!$A$1:$ZZ$501,$A104,AR$3)))</f>
        <v/>
      </c>
      <c r="AS104" s="124" t="str">
        <f>IF($B104="","",IF(AS$3=0,"n.b.",INDEX(SRC_ZPMW03!$A$1:$ZZ$501,$A104,AS$3)))</f>
        <v/>
      </c>
      <c r="AT104" s="124" t="str">
        <f>IF($B104="","",IF(AT$3=0,"n.b.",INDEX(SRC_ZPMW03!$A$1:$ZZ$501,$A104,AT$3)))</f>
        <v/>
      </c>
      <c r="AU104" s="124" t="str">
        <f>IF($B104="","",IF(AU$3=0,"n.b.",INDEX(SRC_ZPMW03!$A$1:$ZZ$501,$A104,AU$3)))</f>
        <v/>
      </c>
      <c r="AV104" s="124" t="str">
        <f>IF($B104="","",IF(AV$3=0,"n.b.",INDEX(SRC_ZPMW03!$A$1:$ZZ$501,$A104,AV$3)))</f>
        <v/>
      </c>
      <c r="AW104" s="124" t="str">
        <f>IF($B104="","",IF(AW$3=0,"n.b.",INDEX(SRC_ZPMW03!$A$1:$ZZ$501,$A104,AW$3)))</f>
        <v/>
      </c>
      <c r="AX104" s="124" t="str">
        <f>IF($B104="","",IF(AX$3=0,"n.b.",INDEX(SRC_ZPMW03!$A$1:$ZZ$501,$A104,AX$3)))</f>
        <v/>
      </c>
      <c r="AY104" s="124" t="str">
        <f>IF($B104="","",IF(AY$3=0,"n.b.",INDEX(SRC_ZPMW03!$A$1:$ZZ$501,$A104,AY$3)))</f>
        <v/>
      </c>
      <c r="AZ104" s="124" t="str">
        <f>IF($B104="","",IF(AZ$3=0,"n.b.",INDEX(SRC_ZPMW03!$A$1:$ZZ$501,$A104,AZ$3)))</f>
        <v/>
      </c>
      <c r="BA104" s="124" t="str">
        <f>IF($B104="","",IF(BA$3=0,"n.b.",INDEX(SRC_ZPMW03!$A$1:$ZZ$501,$A104,BA$3)))</f>
        <v/>
      </c>
      <c r="BB104" s="124" t="str">
        <f>IF($B104="","",IF(BB$3=0,"n.b.",INDEX(SRC_ZPMW03!$A$1:$ZZ$501,$A104,BB$3)))</f>
        <v/>
      </c>
      <c r="BC104" s="124" t="str">
        <f>IF($B104="","",IF(BC$3=0,"n.b.",INDEX(SRC_ZPMW03!$A$1:$ZZ$501,$A104,BC$3)))</f>
        <v/>
      </c>
      <c r="BD104" s="124" t="str">
        <f>IF($B104="","",IF(BD$3=0,"n.b.",INDEX(SRC_ZPMW03!$A$1:$ZZ$501,$A104,BD$3)))</f>
        <v/>
      </c>
      <c r="BE104" s="124" t="str">
        <f>IF($B104="","",IF(BE$3=0,"n.b.",INDEX(SRC_ZPMW03!$A$1:$ZZ$501,$A104,BE$3)))</f>
        <v/>
      </c>
      <c r="BF104" s="124" t="str">
        <f>IF($B104="","",IF(BF$3=0,"n.b.",INDEX(SRC_ZPMW03!$A$1:$ZZ$501,$A104,BF$3)))</f>
        <v/>
      </c>
      <c r="BG104" t="str">
        <f>IF($B104="","",IF(BG$3=0,"n.b.",INDEX(SRC_ZPMW03!$A$1:$ZZ$501,$A104,BG$3)))</f>
        <v/>
      </c>
      <c r="BH104" t="str">
        <f>IF($B104="","",IF(BH$3=0,"n.b.",INDEX(SRC_ZPMW03!$A$1:$ZZ$501,$A104,BH$3)))</f>
        <v/>
      </c>
      <c r="BI104" t="str">
        <f>IF($B104="","",IF(BI$3=0,"n.b.",INDEX(SRC_ZPMW03!$A$1:$ZZ$501,$A104,BI$3)))</f>
        <v/>
      </c>
      <c r="BJ104" t="str">
        <f>IF($B104="","",IF(BJ$3=0,"n.b.",INDEX(SRC_ZPMW03!$A$1:$ZZ$501,$A104,BJ$3)))</f>
        <v/>
      </c>
      <c r="BK104" s="124" t="str">
        <f>IF($B104="","",IFERROR(-O104,"n.b."))</f>
        <v/>
      </c>
      <c r="BL104" s="124" t="str">
        <f>IF($B104="","",IFERROR(-Q104,"n.b."))</f>
        <v/>
      </c>
      <c r="BM104" s="124" t="str">
        <f>IF($B104="","",IFERROR(-AB104,"n.b."))</f>
        <v/>
      </c>
      <c r="BN104" s="124" t="str">
        <f>IF($B104="","",IFERROR(-AD104,"n.b."))</f>
        <v/>
      </c>
      <c r="BO104" s="124" t="str">
        <f>IF($B104="","",IFERROR(BK104+BM104,"n.b."))</f>
        <v/>
      </c>
      <c r="BP104" s="124" t="str">
        <f>IF($B104="","",IFERROR(BL104+BN104,"n.b."))</f>
        <v/>
      </c>
      <c r="BQ104" s="124" t="str">
        <f>IF($B104="","",IFERROR(-AM104,"n.b."))</f>
        <v/>
      </c>
      <c r="BR104" s="124" t="str">
        <f>IF($B104="","",IFERROR(-AO104,"n.b."))</f>
        <v/>
      </c>
      <c r="BS104" s="124" t="str">
        <f>IF($B104="","",IFERROR(-Z104,"n.b."))</f>
        <v/>
      </c>
      <c r="BT104" s="124" t="str">
        <f>IF($B104="","",IFERROR(-AA104,"n.b."))</f>
        <v/>
      </c>
      <c r="BU104" s="124" t="str">
        <f>IF($B104="","",IFERROR(-AE104,"n.b."))</f>
        <v/>
      </c>
      <c r="BV104" s="124" t="str">
        <f>IF($B104="","",IFERROR(-AF104,"n.b."))</f>
        <v/>
      </c>
      <c r="BW104" s="124" t="str">
        <f>IF($B104="","",IFERROR(-AG104,"n.b."))</f>
        <v/>
      </c>
      <c r="BX104" s="124" t="str">
        <f>IF($B104="","",IFERROR(-AH104,"n.b."))</f>
        <v/>
      </c>
      <c r="BY104" s="124" t="str">
        <f>IF($B104="","",IFERROR(-AI104,"n.b."))</f>
        <v/>
      </c>
      <c r="BZ104" s="124" t="str">
        <f>IF($B104="","",IFERROR(-AJ104,"n.b."))</f>
        <v/>
      </c>
      <c r="CA104" s="124" t="str">
        <f>IF($B104="","",IFERROR(-AK104,"n.b."))</f>
        <v/>
      </c>
      <c r="CB104" s="124" t="str">
        <f>IF($B104="","",IFERROR(-AL104,"n.b."))</f>
        <v/>
      </c>
      <c r="CC104" s="124" t="str">
        <f>IF($B104="","",IFERROR(-AP104,"n.b."))</f>
        <v/>
      </c>
      <c r="CD104" s="124" t="str">
        <f>IF($B104="","",IFERROR(-AQ104,"n.b."))</f>
        <v/>
      </c>
      <c r="CE104" s="124" t="str">
        <f>IF($B104="","",IFERROR(-AR104,"n.b."))</f>
        <v/>
      </c>
      <c r="CF104" s="124" t="str">
        <f>IF($B104="","",IFERROR(-AS104,"n.b."))</f>
        <v/>
      </c>
      <c r="CG104" s="124" t="str">
        <f>IF($B104="","",IFERROR(-AT104,"n.b."))</f>
        <v/>
      </c>
      <c r="CH104" s="124" t="str">
        <f>IF($B104="","",IFERROR(-AU104,"n.b."))</f>
        <v/>
      </c>
      <c r="CI104" s="124" t="str">
        <f>IF($B104="","",IFERROR(-AV104,"n.b."))</f>
        <v/>
      </c>
      <c r="CJ104" s="124" t="str">
        <f>IF($B104="","",IFERROR(-AW104,"n.b."))</f>
        <v/>
      </c>
      <c r="CK104" s="124" t="str">
        <f>IF($B104="","",IFERROR(-AX104,"n.b."))</f>
        <v/>
      </c>
      <c r="CL104" s="124" t="str">
        <f>IF($B104="","",IFERROR(-AY104,"n.b."))</f>
        <v/>
      </c>
      <c r="CM104" s="124" t="str">
        <f>IF($B104="","",IFERROR(-AZ104,"n.b."))</f>
        <v/>
      </c>
      <c r="CN104" s="124" t="str">
        <f>IF($B104="","",IFERROR(-BA104,"n.b."))</f>
        <v/>
      </c>
      <c r="CO104" s="124" t="str">
        <f>IF($B104="","",IFERROR(-BB104,"n.b."))</f>
        <v/>
      </c>
      <c r="CP104" s="124" t="str">
        <f>IF($B104="","",IFERROR(-BC104,"n.b."))</f>
        <v/>
      </c>
      <c r="CQ104" s="124" t="str">
        <f>IF($B104="","",IFERROR(-BD104,"n.b."))</f>
        <v/>
      </c>
      <c r="CR104" s="124" t="str">
        <f>IF($B104="","",IFERROR(-BE104,"n.b."))</f>
        <v/>
      </c>
      <c r="CS104" s="124" t="str">
        <f>IF($B104="","",IFERROR(IF(OR(ABS(T104+V104+X104+Z104-AB104)&gt;P_Tol,ABS(U104+W104+Y104+AA104-AD104)&gt;P_Tol,ABS(AE104+AG104+AI104+AK104-AM104)&gt;P_Tol,ABS(AF104+AH104+AJ104+AL104-AO104)&gt;P_Tol),1,0),1))</f>
        <v/>
      </c>
      <c r="CT104" s="124" t="str">
        <f>IF($B104="","",IFERROR(IF(OR(ABS(AB104+AC104-AD104)&gt;P_Tol,ABS(AM104+AN104-AO104)&gt;P_Tol,ABS(O104+P104-Q104)&gt;P_Tol),1,0),1))</f>
        <v/>
      </c>
      <c r="CU104" s="124" t="str">
        <f>IF($B104="","",IFERROR(IF(ABS(R104-(AB104+AM104+AP104+AR104+AT104+AV104+AX104+AZ104+BB104+BD104))&gt;P_Tol,1,0),1))</f>
        <v/>
      </c>
      <c r="CV104" s="124" t="str">
        <f>IF($B104="","",IFERROR(IF(ABS(M104-(N104+O104+R104))&gt;P_Tol,1,0),1))</f>
        <v/>
      </c>
      <c r="CW104" s="124" t="str">
        <f>IF($B104="","",IF(COUNTIF(Mapping!$A$5:$A$104,B104)&gt;0,1,0))</f>
        <v/>
      </c>
      <c r="CX104" s="124" t="str">
        <f>IF($B104="","",COUNTIF($B$6:$B$505,B104))</f>
        <v/>
      </c>
      <c r="CY104" s="124" t="str">
        <f>IF($B104="","",COUNTIF(STG_Woningetalage!$B$6:$B$505,B104))</f>
        <v/>
      </c>
      <c r="CZ104" s="124" t="str">
        <f>IF($B104="","",IF(CW104=0,COUNTIF($CW$6:CW104,0),""))</f>
        <v/>
      </c>
    </row>
    <row r="105">
      <c r="A105" s="15" t="n">
        <v>101</v>
      </c>
      <c r="B105" t="str">
        <f>IF(B$3=0,"",IF(INDEX(SRC_ZPMW03!$A$1:$ZZ$501,$A105,B$3)&amp;""="","",INDEX(SRC_ZPMW03!$A$1:$ZZ$501,$A105,B$3)&amp;""))</f>
        <v/>
      </c>
      <c r="C105" t="str">
        <f>IF($B105="","",IF(C$3=0,"n.b.",INDEX(SRC_ZPMW03!$A$1:$ZZ$501,$A105,C$3)))</f>
        <v/>
      </c>
      <c r="D105" t="str">
        <f>IF($B105="","",IF(D$3=0,"n.b.",INDEX(SRC_ZPMW03!$A$1:$ZZ$501,$A105,D$3)))</f>
        <v/>
      </c>
      <c r="E105" t="str">
        <f>IF($B105="","",IF(E$3=0,"n.b.",INDEX(SRC_ZPMW03!$A$1:$ZZ$501,$A105,E$3)))</f>
        <v/>
      </c>
      <c r="F105" t="str">
        <f>IF($B105="","",IF(F$3=0,"n.b.",INDEX(SRC_ZPMW03!$A$1:$ZZ$501,$A105,F$3)))</f>
        <v/>
      </c>
      <c r="G105" t="str">
        <f>IF($B105="","",IF(G$3=0,"n.b.",INDEX(SRC_ZPMW03!$A$1:$ZZ$501,$A105,G$3)))</f>
        <v/>
      </c>
      <c r="H105" t="str">
        <f>IF($B105="","",IF(H$3=0,"n.b.",INDEX(SRC_ZPMW03!$A$1:$ZZ$501,$A105,H$3)))</f>
        <v/>
      </c>
      <c r="I105" t="str">
        <f>IF($B105="","",IF(I$3=0,"n.b.",INDEX(SRC_ZPMW03!$A$1:$ZZ$501,$A105,I$3)))</f>
        <v/>
      </c>
      <c r="J105" t="str">
        <f>IF($B105="","",IF(J$3=0,"n.b.",INDEX(SRC_ZPMW03!$A$1:$ZZ$501,$A105,J$3)))</f>
        <v/>
      </c>
      <c r="K105" t="str">
        <f>IF($B105="","",IF(K$3=0,"n.b.",INDEX(SRC_ZPMW03!$A$1:$ZZ$501,$A105,K$3)))</f>
        <v/>
      </c>
      <c r="L105" s="124" t="str">
        <f>IF($B105="","",IF(L$3=0,"n.b.",INDEX(SRC_ZPMW03!$A$1:$ZZ$501,$A105,L$3)))</f>
        <v/>
      </c>
      <c r="M105" s="124" t="str">
        <f>IF($B105="","",IF(M$3=0,"n.b.",INDEX(SRC_ZPMW03!$A$1:$ZZ$501,$A105,M$3)))</f>
        <v/>
      </c>
      <c r="N105" s="124" t="str">
        <f>IF($B105="","",IF(N$3=0,"n.b.",INDEX(SRC_ZPMW03!$A$1:$ZZ$501,$A105,N$3)))</f>
        <v/>
      </c>
      <c r="O105" s="124" t="str">
        <f>IF($B105="","",IF(O$3=0,"n.b.",INDEX(SRC_ZPMW03!$A$1:$ZZ$501,$A105,O$3)))</f>
        <v/>
      </c>
      <c r="P105" s="124" t="str">
        <f>IF($B105="","",IF(P$3=0,"n.b.",INDEX(SRC_ZPMW03!$A$1:$ZZ$501,$A105,P$3)))</f>
        <v/>
      </c>
      <c r="Q105" s="124" t="str">
        <f>IF($B105="","",IF(Q$3=0,"n.b.",INDEX(SRC_ZPMW03!$A$1:$ZZ$501,$A105,Q$3)))</f>
        <v/>
      </c>
      <c r="R105" s="124" t="str">
        <f>IF($B105="","",IF(R$3=0,"n.b.",INDEX(SRC_ZPMW03!$A$1:$ZZ$501,$A105,R$3)))</f>
        <v/>
      </c>
      <c r="S105" s="124" t="str">
        <f>IF($B105="","",IF(S$3=0,"n.b.",INDEX(SRC_ZPMW03!$A$1:$ZZ$501,$A105,S$3)))</f>
        <v/>
      </c>
      <c r="T105" s="124" t="str">
        <f>IF($B105="","",IF(T$3=0,"n.b.",INDEX(SRC_ZPMW03!$A$1:$ZZ$501,$A105,T$3)))</f>
        <v/>
      </c>
      <c r="U105" s="124" t="str">
        <f>IF($B105="","",IF(U$3=0,"n.b.",INDEX(SRC_ZPMW03!$A$1:$ZZ$501,$A105,U$3)))</f>
        <v/>
      </c>
      <c r="V105" s="124" t="str">
        <f>IF($B105="","",IF(V$3=0,"n.b.",INDEX(SRC_ZPMW03!$A$1:$ZZ$501,$A105,V$3)))</f>
        <v/>
      </c>
      <c r="W105" s="124" t="str">
        <f>IF($B105="","",IF(W$3=0,"n.b.",INDEX(SRC_ZPMW03!$A$1:$ZZ$501,$A105,W$3)))</f>
        <v/>
      </c>
      <c r="X105" s="124" t="str">
        <f>IF($B105="","",IF(X$3=0,"n.b.",INDEX(SRC_ZPMW03!$A$1:$ZZ$501,$A105,X$3)))</f>
        <v/>
      </c>
      <c r="Y105" s="124" t="str">
        <f>IF($B105="","",IF(Y$3=0,"n.b.",INDEX(SRC_ZPMW03!$A$1:$ZZ$501,$A105,Y$3)))</f>
        <v/>
      </c>
      <c r="Z105" s="124" t="str">
        <f>IF($B105="","",IF(Z$3=0,"n.b.",INDEX(SRC_ZPMW03!$A$1:$ZZ$501,$A105,Z$3)))</f>
        <v/>
      </c>
      <c r="AA105" s="124" t="str">
        <f>IF($B105="","",IF(AA$3=0,"n.b.",INDEX(SRC_ZPMW03!$A$1:$ZZ$501,$A105,AA$3)))</f>
        <v/>
      </c>
      <c r="AB105" s="124" t="str">
        <f>IF($B105="","",IF(AB$3=0,"n.b.",INDEX(SRC_ZPMW03!$A$1:$ZZ$501,$A105,AB$3)))</f>
        <v/>
      </c>
      <c r="AC105" s="124" t="str">
        <f>IF($B105="","",IF(AC$3=0,"n.b.",INDEX(SRC_ZPMW03!$A$1:$ZZ$501,$A105,AC$3)))</f>
        <v/>
      </c>
      <c r="AD105" s="124" t="str">
        <f>IF($B105="","",IF(AD$3=0,"n.b.",INDEX(SRC_ZPMW03!$A$1:$ZZ$501,$A105,AD$3)))</f>
        <v/>
      </c>
      <c r="AE105" s="124" t="str">
        <f>IF($B105="","",IF(AE$3=0,"n.b.",INDEX(SRC_ZPMW03!$A$1:$ZZ$501,$A105,AE$3)))</f>
        <v/>
      </c>
      <c r="AF105" s="124" t="str">
        <f>IF($B105="","",IF(AF$3=0,"n.b.",INDEX(SRC_ZPMW03!$A$1:$ZZ$501,$A105,AF$3)))</f>
        <v/>
      </c>
      <c r="AG105" s="124" t="str">
        <f>IF($B105="","",IF(AG$3=0,"n.b.",INDEX(SRC_ZPMW03!$A$1:$ZZ$501,$A105,AG$3)))</f>
        <v/>
      </c>
      <c r="AH105" s="124" t="str">
        <f>IF($B105="","",IF(AH$3=0,"n.b.",INDEX(SRC_ZPMW03!$A$1:$ZZ$501,$A105,AH$3)))</f>
        <v/>
      </c>
      <c r="AI105" s="124" t="str">
        <f>IF($B105="","",IF(AI$3=0,"n.b.",INDEX(SRC_ZPMW03!$A$1:$ZZ$501,$A105,AI$3)))</f>
        <v/>
      </c>
      <c r="AJ105" s="124" t="str">
        <f>IF($B105="","",IF(AJ$3=0,"n.b.",INDEX(SRC_ZPMW03!$A$1:$ZZ$501,$A105,AJ$3)))</f>
        <v/>
      </c>
      <c r="AK105" s="124" t="str">
        <f>IF($B105="","",IF(AK$3=0,"n.b.",INDEX(SRC_ZPMW03!$A$1:$ZZ$501,$A105,AK$3)))</f>
        <v/>
      </c>
      <c r="AL105" s="124" t="str">
        <f>IF($B105="","",IF(AL$3=0,"n.b.",INDEX(SRC_ZPMW03!$A$1:$ZZ$501,$A105,AL$3)))</f>
        <v/>
      </c>
      <c r="AM105" s="124" t="str">
        <f>IF($B105="","",IF(AM$3=0,"n.b.",INDEX(SRC_ZPMW03!$A$1:$ZZ$501,$A105,AM$3)))</f>
        <v/>
      </c>
      <c r="AN105" s="124" t="str">
        <f>IF($B105="","",IF(AN$3=0,"n.b.",INDEX(SRC_ZPMW03!$A$1:$ZZ$501,$A105,AN$3)))</f>
        <v/>
      </c>
      <c r="AO105" s="124" t="str">
        <f>IF($B105="","",IF(AO$3=0,"n.b.",INDEX(SRC_ZPMW03!$A$1:$ZZ$501,$A105,AO$3)))</f>
        <v/>
      </c>
      <c r="AP105" s="124" t="str">
        <f>IF($B105="","",IF(AP$3=0,"n.b.",INDEX(SRC_ZPMW03!$A$1:$ZZ$501,$A105,AP$3)))</f>
        <v/>
      </c>
      <c r="AQ105" s="124" t="str">
        <f>IF($B105="","",IF(AQ$3=0,"n.b.",INDEX(SRC_ZPMW03!$A$1:$ZZ$501,$A105,AQ$3)))</f>
        <v/>
      </c>
      <c r="AR105" s="124" t="str">
        <f>IF($B105="","",IF(AR$3=0,"n.b.",INDEX(SRC_ZPMW03!$A$1:$ZZ$501,$A105,AR$3)))</f>
        <v/>
      </c>
      <c r="AS105" s="124" t="str">
        <f>IF($B105="","",IF(AS$3=0,"n.b.",INDEX(SRC_ZPMW03!$A$1:$ZZ$501,$A105,AS$3)))</f>
        <v/>
      </c>
      <c r="AT105" s="124" t="str">
        <f>IF($B105="","",IF(AT$3=0,"n.b.",INDEX(SRC_ZPMW03!$A$1:$ZZ$501,$A105,AT$3)))</f>
        <v/>
      </c>
      <c r="AU105" s="124" t="str">
        <f>IF($B105="","",IF(AU$3=0,"n.b.",INDEX(SRC_ZPMW03!$A$1:$ZZ$501,$A105,AU$3)))</f>
        <v/>
      </c>
      <c r="AV105" s="124" t="str">
        <f>IF($B105="","",IF(AV$3=0,"n.b.",INDEX(SRC_ZPMW03!$A$1:$ZZ$501,$A105,AV$3)))</f>
        <v/>
      </c>
      <c r="AW105" s="124" t="str">
        <f>IF($B105="","",IF(AW$3=0,"n.b.",INDEX(SRC_ZPMW03!$A$1:$ZZ$501,$A105,AW$3)))</f>
        <v/>
      </c>
      <c r="AX105" s="124" t="str">
        <f>IF($B105="","",IF(AX$3=0,"n.b.",INDEX(SRC_ZPMW03!$A$1:$ZZ$501,$A105,AX$3)))</f>
        <v/>
      </c>
      <c r="AY105" s="124" t="str">
        <f>IF($B105="","",IF(AY$3=0,"n.b.",INDEX(SRC_ZPMW03!$A$1:$ZZ$501,$A105,AY$3)))</f>
        <v/>
      </c>
      <c r="AZ105" s="124" t="str">
        <f>IF($B105="","",IF(AZ$3=0,"n.b.",INDEX(SRC_ZPMW03!$A$1:$ZZ$501,$A105,AZ$3)))</f>
        <v/>
      </c>
      <c r="BA105" s="124" t="str">
        <f>IF($B105="","",IF(BA$3=0,"n.b.",INDEX(SRC_ZPMW03!$A$1:$ZZ$501,$A105,BA$3)))</f>
        <v/>
      </c>
      <c r="BB105" s="124" t="str">
        <f>IF($B105="","",IF(BB$3=0,"n.b.",INDEX(SRC_ZPMW03!$A$1:$ZZ$501,$A105,BB$3)))</f>
        <v/>
      </c>
      <c r="BC105" s="124" t="str">
        <f>IF($B105="","",IF(BC$3=0,"n.b.",INDEX(SRC_ZPMW03!$A$1:$ZZ$501,$A105,BC$3)))</f>
        <v/>
      </c>
      <c r="BD105" s="124" t="str">
        <f>IF($B105="","",IF(BD$3=0,"n.b.",INDEX(SRC_ZPMW03!$A$1:$ZZ$501,$A105,BD$3)))</f>
        <v/>
      </c>
      <c r="BE105" s="124" t="str">
        <f>IF($B105="","",IF(BE$3=0,"n.b.",INDEX(SRC_ZPMW03!$A$1:$ZZ$501,$A105,BE$3)))</f>
        <v/>
      </c>
      <c r="BF105" s="124" t="str">
        <f>IF($B105="","",IF(BF$3=0,"n.b.",INDEX(SRC_ZPMW03!$A$1:$ZZ$501,$A105,BF$3)))</f>
        <v/>
      </c>
      <c r="BG105" t="str">
        <f>IF($B105="","",IF(BG$3=0,"n.b.",INDEX(SRC_ZPMW03!$A$1:$ZZ$501,$A105,BG$3)))</f>
        <v/>
      </c>
      <c r="BH105" t="str">
        <f>IF($B105="","",IF(BH$3=0,"n.b.",INDEX(SRC_ZPMW03!$A$1:$ZZ$501,$A105,BH$3)))</f>
        <v/>
      </c>
      <c r="BI105" t="str">
        <f>IF($B105="","",IF(BI$3=0,"n.b.",INDEX(SRC_ZPMW03!$A$1:$ZZ$501,$A105,BI$3)))</f>
        <v/>
      </c>
      <c r="BJ105" t="str">
        <f>IF($B105="","",IF(BJ$3=0,"n.b.",INDEX(SRC_ZPMW03!$A$1:$ZZ$501,$A105,BJ$3)))</f>
        <v/>
      </c>
      <c r="BK105" s="124" t="str">
        <f>IF($B105="","",IFERROR(-O105,"n.b."))</f>
        <v/>
      </c>
      <c r="BL105" s="124" t="str">
        <f>IF($B105="","",IFERROR(-Q105,"n.b."))</f>
        <v/>
      </c>
      <c r="BM105" s="124" t="str">
        <f>IF($B105="","",IFERROR(-AB105,"n.b."))</f>
        <v/>
      </c>
      <c r="BN105" s="124" t="str">
        <f>IF($B105="","",IFERROR(-AD105,"n.b."))</f>
        <v/>
      </c>
      <c r="BO105" s="124" t="str">
        <f>IF($B105="","",IFERROR(BK105+BM105,"n.b."))</f>
        <v/>
      </c>
      <c r="BP105" s="124" t="str">
        <f>IF($B105="","",IFERROR(BL105+BN105,"n.b."))</f>
        <v/>
      </c>
      <c r="BQ105" s="124" t="str">
        <f>IF($B105="","",IFERROR(-AM105,"n.b."))</f>
        <v/>
      </c>
      <c r="BR105" s="124" t="str">
        <f>IF($B105="","",IFERROR(-AO105,"n.b."))</f>
        <v/>
      </c>
      <c r="BS105" s="124" t="str">
        <f>IF($B105="","",IFERROR(-Z105,"n.b."))</f>
        <v/>
      </c>
      <c r="BT105" s="124" t="str">
        <f>IF($B105="","",IFERROR(-AA105,"n.b."))</f>
        <v/>
      </c>
      <c r="BU105" s="124" t="str">
        <f>IF($B105="","",IFERROR(-AE105,"n.b."))</f>
        <v/>
      </c>
      <c r="BV105" s="124" t="str">
        <f>IF($B105="","",IFERROR(-AF105,"n.b."))</f>
        <v/>
      </c>
      <c r="BW105" s="124" t="str">
        <f>IF($B105="","",IFERROR(-AG105,"n.b."))</f>
        <v/>
      </c>
      <c r="BX105" s="124" t="str">
        <f>IF($B105="","",IFERROR(-AH105,"n.b."))</f>
        <v/>
      </c>
      <c r="BY105" s="124" t="str">
        <f>IF($B105="","",IFERROR(-AI105,"n.b."))</f>
        <v/>
      </c>
      <c r="BZ105" s="124" t="str">
        <f>IF($B105="","",IFERROR(-AJ105,"n.b."))</f>
        <v/>
      </c>
      <c r="CA105" s="124" t="str">
        <f>IF($B105="","",IFERROR(-AK105,"n.b."))</f>
        <v/>
      </c>
      <c r="CB105" s="124" t="str">
        <f>IF($B105="","",IFERROR(-AL105,"n.b."))</f>
        <v/>
      </c>
      <c r="CC105" s="124" t="str">
        <f>IF($B105="","",IFERROR(-AP105,"n.b."))</f>
        <v/>
      </c>
      <c r="CD105" s="124" t="str">
        <f>IF($B105="","",IFERROR(-AQ105,"n.b."))</f>
        <v/>
      </c>
      <c r="CE105" s="124" t="str">
        <f>IF($B105="","",IFERROR(-AR105,"n.b."))</f>
        <v/>
      </c>
      <c r="CF105" s="124" t="str">
        <f>IF($B105="","",IFERROR(-AS105,"n.b."))</f>
        <v/>
      </c>
      <c r="CG105" s="124" t="str">
        <f>IF($B105="","",IFERROR(-AT105,"n.b."))</f>
        <v/>
      </c>
      <c r="CH105" s="124" t="str">
        <f>IF($B105="","",IFERROR(-AU105,"n.b."))</f>
        <v/>
      </c>
      <c r="CI105" s="124" t="str">
        <f>IF($B105="","",IFERROR(-AV105,"n.b."))</f>
        <v/>
      </c>
      <c r="CJ105" s="124" t="str">
        <f>IF($B105="","",IFERROR(-AW105,"n.b."))</f>
        <v/>
      </c>
      <c r="CK105" s="124" t="str">
        <f>IF($B105="","",IFERROR(-AX105,"n.b."))</f>
        <v/>
      </c>
      <c r="CL105" s="124" t="str">
        <f>IF($B105="","",IFERROR(-AY105,"n.b."))</f>
        <v/>
      </c>
      <c r="CM105" s="124" t="str">
        <f>IF($B105="","",IFERROR(-AZ105,"n.b."))</f>
        <v/>
      </c>
      <c r="CN105" s="124" t="str">
        <f>IF($B105="","",IFERROR(-BA105,"n.b."))</f>
        <v/>
      </c>
      <c r="CO105" s="124" t="str">
        <f>IF($B105="","",IFERROR(-BB105,"n.b."))</f>
        <v/>
      </c>
      <c r="CP105" s="124" t="str">
        <f>IF($B105="","",IFERROR(-BC105,"n.b."))</f>
        <v/>
      </c>
      <c r="CQ105" s="124" t="str">
        <f>IF($B105="","",IFERROR(-BD105,"n.b."))</f>
        <v/>
      </c>
      <c r="CR105" s="124" t="str">
        <f>IF($B105="","",IFERROR(-BE105,"n.b."))</f>
        <v/>
      </c>
      <c r="CS105" s="124" t="str">
        <f>IF($B105="","",IFERROR(IF(OR(ABS(T105+V105+X105+Z105-AB105)&gt;P_Tol,ABS(U105+W105+Y105+AA105-AD105)&gt;P_Tol,ABS(AE105+AG105+AI105+AK105-AM105)&gt;P_Tol,ABS(AF105+AH105+AJ105+AL105-AO105)&gt;P_Tol),1,0),1))</f>
        <v/>
      </c>
      <c r="CT105" s="124" t="str">
        <f>IF($B105="","",IFERROR(IF(OR(ABS(AB105+AC105-AD105)&gt;P_Tol,ABS(AM105+AN105-AO105)&gt;P_Tol,ABS(O105+P105-Q105)&gt;P_Tol),1,0),1))</f>
        <v/>
      </c>
      <c r="CU105" s="124" t="str">
        <f>IF($B105="","",IFERROR(IF(ABS(R105-(AB105+AM105+AP105+AR105+AT105+AV105+AX105+AZ105+BB105+BD105))&gt;P_Tol,1,0),1))</f>
        <v/>
      </c>
      <c r="CV105" s="124" t="str">
        <f>IF($B105="","",IFERROR(IF(ABS(M105-(N105+O105+R105))&gt;P_Tol,1,0),1))</f>
        <v/>
      </c>
      <c r="CW105" s="124" t="str">
        <f>IF($B105="","",IF(COUNTIF(Mapping!$A$5:$A$104,B105)&gt;0,1,0))</f>
        <v/>
      </c>
      <c r="CX105" s="124" t="str">
        <f>IF($B105="","",COUNTIF($B$6:$B$505,B105))</f>
        <v/>
      </c>
      <c r="CY105" s="124" t="str">
        <f>IF($B105="","",COUNTIF(STG_Woningetalage!$B$6:$B$505,B105))</f>
        <v/>
      </c>
      <c r="CZ105" s="124" t="str">
        <f>IF($B105="","",IF(CW105=0,COUNTIF($CW$6:CW105,0),""))</f>
        <v/>
      </c>
    </row>
    <row r="106">
      <c r="A106" s="15" t="n">
        <v>102</v>
      </c>
      <c r="B106" t="str">
        <f>IF(B$3=0,"",IF(INDEX(SRC_ZPMW03!$A$1:$ZZ$501,$A106,B$3)&amp;""="","",INDEX(SRC_ZPMW03!$A$1:$ZZ$501,$A106,B$3)&amp;""))</f>
        <v/>
      </c>
      <c r="C106" t="str">
        <f>IF($B106="","",IF(C$3=0,"n.b.",INDEX(SRC_ZPMW03!$A$1:$ZZ$501,$A106,C$3)))</f>
        <v/>
      </c>
      <c r="D106" t="str">
        <f>IF($B106="","",IF(D$3=0,"n.b.",INDEX(SRC_ZPMW03!$A$1:$ZZ$501,$A106,D$3)))</f>
        <v/>
      </c>
      <c r="E106" t="str">
        <f>IF($B106="","",IF(E$3=0,"n.b.",INDEX(SRC_ZPMW03!$A$1:$ZZ$501,$A106,E$3)))</f>
        <v/>
      </c>
      <c r="F106" t="str">
        <f>IF($B106="","",IF(F$3=0,"n.b.",INDEX(SRC_ZPMW03!$A$1:$ZZ$501,$A106,F$3)))</f>
        <v/>
      </c>
      <c r="G106" t="str">
        <f>IF($B106="","",IF(G$3=0,"n.b.",INDEX(SRC_ZPMW03!$A$1:$ZZ$501,$A106,G$3)))</f>
        <v/>
      </c>
      <c r="H106" t="str">
        <f>IF($B106="","",IF(H$3=0,"n.b.",INDEX(SRC_ZPMW03!$A$1:$ZZ$501,$A106,H$3)))</f>
        <v/>
      </c>
      <c r="I106" t="str">
        <f>IF($B106="","",IF(I$3=0,"n.b.",INDEX(SRC_ZPMW03!$A$1:$ZZ$501,$A106,I$3)))</f>
        <v/>
      </c>
      <c r="J106" t="str">
        <f>IF($B106="","",IF(J$3=0,"n.b.",INDEX(SRC_ZPMW03!$A$1:$ZZ$501,$A106,J$3)))</f>
        <v/>
      </c>
      <c r="K106" t="str">
        <f>IF($B106="","",IF(K$3=0,"n.b.",INDEX(SRC_ZPMW03!$A$1:$ZZ$501,$A106,K$3)))</f>
        <v/>
      </c>
      <c r="L106" s="124" t="str">
        <f>IF($B106="","",IF(L$3=0,"n.b.",INDEX(SRC_ZPMW03!$A$1:$ZZ$501,$A106,L$3)))</f>
        <v/>
      </c>
      <c r="M106" s="124" t="str">
        <f>IF($B106="","",IF(M$3=0,"n.b.",INDEX(SRC_ZPMW03!$A$1:$ZZ$501,$A106,M$3)))</f>
        <v/>
      </c>
      <c r="N106" s="124" t="str">
        <f>IF($B106="","",IF(N$3=0,"n.b.",INDEX(SRC_ZPMW03!$A$1:$ZZ$501,$A106,N$3)))</f>
        <v/>
      </c>
      <c r="O106" s="124" t="str">
        <f>IF($B106="","",IF(O$3=0,"n.b.",INDEX(SRC_ZPMW03!$A$1:$ZZ$501,$A106,O$3)))</f>
        <v/>
      </c>
      <c r="P106" s="124" t="str">
        <f>IF($B106="","",IF(P$3=0,"n.b.",INDEX(SRC_ZPMW03!$A$1:$ZZ$501,$A106,P$3)))</f>
        <v/>
      </c>
      <c r="Q106" s="124" t="str">
        <f>IF($B106="","",IF(Q$3=0,"n.b.",INDEX(SRC_ZPMW03!$A$1:$ZZ$501,$A106,Q$3)))</f>
        <v/>
      </c>
      <c r="R106" s="124" t="str">
        <f>IF($B106="","",IF(R$3=0,"n.b.",INDEX(SRC_ZPMW03!$A$1:$ZZ$501,$A106,R$3)))</f>
        <v/>
      </c>
      <c r="S106" s="124" t="str">
        <f>IF($B106="","",IF(S$3=0,"n.b.",INDEX(SRC_ZPMW03!$A$1:$ZZ$501,$A106,S$3)))</f>
        <v/>
      </c>
      <c r="T106" s="124" t="str">
        <f>IF($B106="","",IF(T$3=0,"n.b.",INDEX(SRC_ZPMW03!$A$1:$ZZ$501,$A106,T$3)))</f>
        <v/>
      </c>
      <c r="U106" s="124" t="str">
        <f>IF($B106="","",IF(U$3=0,"n.b.",INDEX(SRC_ZPMW03!$A$1:$ZZ$501,$A106,U$3)))</f>
        <v/>
      </c>
      <c r="V106" s="124" t="str">
        <f>IF($B106="","",IF(V$3=0,"n.b.",INDEX(SRC_ZPMW03!$A$1:$ZZ$501,$A106,V$3)))</f>
        <v/>
      </c>
      <c r="W106" s="124" t="str">
        <f>IF($B106="","",IF(W$3=0,"n.b.",INDEX(SRC_ZPMW03!$A$1:$ZZ$501,$A106,W$3)))</f>
        <v/>
      </c>
      <c r="X106" s="124" t="str">
        <f>IF($B106="","",IF(X$3=0,"n.b.",INDEX(SRC_ZPMW03!$A$1:$ZZ$501,$A106,X$3)))</f>
        <v/>
      </c>
      <c r="Y106" s="124" t="str">
        <f>IF($B106="","",IF(Y$3=0,"n.b.",INDEX(SRC_ZPMW03!$A$1:$ZZ$501,$A106,Y$3)))</f>
        <v/>
      </c>
      <c r="Z106" s="124" t="str">
        <f>IF($B106="","",IF(Z$3=0,"n.b.",INDEX(SRC_ZPMW03!$A$1:$ZZ$501,$A106,Z$3)))</f>
        <v/>
      </c>
      <c r="AA106" s="124" t="str">
        <f>IF($B106="","",IF(AA$3=0,"n.b.",INDEX(SRC_ZPMW03!$A$1:$ZZ$501,$A106,AA$3)))</f>
        <v/>
      </c>
      <c r="AB106" s="124" t="str">
        <f>IF($B106="","",IF(AB$3=0,"n.b.",INDEX(SRC_ZPMW03!$A$1:$ZZ$501,$A106,AB$3)))</f>
        <v/>
      </c>
      <c r="AC106" s="124" t="str">
        <f>IF($B106="","",IF(AC$3=0,"n.b.",INDEX(SRC_ZPMW03!$A$1:$ZZ$501,$A106,AC$3)))</f>
        <v/>
      </c>
      <c r="AD106" s="124" t="str">
        <f>IF($B106="","",IF(AD$3=0,"n.b.",INDEX(SRC_ZPMW03!$A$1:$ZZ$501,$A106,AD$3)))</f>
        <v/>
      </c>
      <c r="AE106" s="124" t="str">
        <f>IF($B106="","",IF(AE$3=0,"n.b.",INDEX(SRC_ZPMW03!$A$1:$ZZ$501,$A106,AE$3)))</f>
        <v/>
      </c>
      <c r="AF106" s="124" t="str">
        <f>IF($B106="","",IF(AF$3=0,"n.b.",INDEX(SRC_ZPMW03!$A$1:$ZZ$501,$A106,AF$3)))</f>
        <v/>
      </c>
      <c r="AG106" s="124" t="str">
        <f>IF($B106="","",IF(AG$3=0,"n.b.",INDEX(SRC_ZPMW03!$A$1:$ZZ$501,$A106,AG$3)))</f>
        <v/>
      </c>
      <c r="AH106" s="124" t="str">
        <f>IF($B106="","",IF(AH$3=0,"n.b.",INDEX(SRC_ZPMW03!$A$1:$ZZ$501,$A106,AH$3)))</f>
        <v/>
      </c>
      <c r="AI106" s="124" t="str">
        <f>IF($B106="","",IF(AI$3=0,"n.b.",INDEX(SRC_ZPMW03!$A$1:$ZZ$501,$A106,AI$3)))</f>
        <v/>
      </c>
      <c r="AJ106" s="124" t="str">
        <f>IF($B106="","",IF(AJ$3=0,"n.b.",INDEX(SRC_ZPMW03!$A$1:$ZZ$501,$A106,AJ$3)))</f>
        <v/>
      </c>
      <c r="AK106" s="124" t="str">
        <f>IF($B106="","",IF(AK$3=0,"n.b.",INDEX(SRC_ZPMW03!$A$1:$ZZ$501,$A106,AK$3)))</f>
        <v/>
      </c>
      <c r="AL106" s="124" t="str">
        <f>IF($B106="","",IF(AL$3=0,"n.b.",INDEX(SRC_ZPMW03!$A$1:$ZZ$501,$A106,AL$3)))</f>
        <v/>
      </c>
      <c r="AM106" s="124" t="str">
        <f>IF($B106="","",IF(AM$3=0,"n.b.",INDEX(SRC_ZPMW03!$A$1:$ZZ$501,$A106,AM$3)))</f>
        <v/>
      </c>
      <c r="AN106" s="124" t="str">
        <f>IF($B106="","",IF(AN$3=0,"n.b.",INDEX(SRC_ZPMW03!$A$1:$ZZ$501,$A106,AN$3)))</f>
        <v/>
      </c>
      <c r="AO106" s="124" t="str">
        <f>IF($B106="","",IF(AO$3=0,"n.b.",INDEX(SRC_ZPMW03!$A$1:$ZZ$501,$A106,AO$3)))</f>
        <v/>
      </c>
      <c r="AP106" s="124" t="str">
        <f>IF($B106="","",IF(AP$3=0,"n.b.",INDEX(SRC_ZPMW03!$A$1:$ZZ$501,$A106,AP$3)))</f>
        <v/>
      </c>
      <c r="AQ106" s="124" t="str">
        <f>IF($B106="","",IF(AQ$3=0,"n.b.",INDEX(SRC_ZPMW03!$A$1:$ZZ$501,$A106,AQ$3)))</f>
        <v/>
      </c>
      <c r="AR106" s="124" t="str">
        <f>IF($B106="","",IF(AR$3=0,"n.b.",INDEX(SRC_ZPMW03!$A$1:$ZZ$501,$A106,AR$3)))</f>
        <v/>
      </c>
      <c r="AS106" s="124" t="str">
        <f>IF($B106="","",IF(AS$3=0,"n.b.",INDEX(SRC_ZPMW03!$A$1:$ZZ$501,$A106,AS$3)))</f>
        <v/>
      </c>
      <c r="AT106" s="124" t="str">
        <f>IF($B106="","",IF(AT$3=0,"n.b.",INDEX(SRC_ZPMW03!$A$1:$ZZ$501,$A106,AT$3)))</f>
        <v/>
      </c>
      <c r="AU106" s="124" t="str">
        <f>IF($B106="","",IF(AU$3=0,"n.b.",INDEX(SRC_ZPMW03!$A$1:$ZZ$501,$A106,AU$3)))</f>
        <v/>
      </c>
      <c r="AV106" s="124" t="str">
        <f>IF($B106="","",IF(AV$3=0,"n.b.",INDEX(SRC_ZPMW03!$A$1:$ZZ$501,$A106,AV$3)))</f>
        <v/>
      </c>
      <c r="AW106" s="124" t="str">
        <f>IF($B106="","",IF(AW$3=0,"n.b.",INDEX(SRC_ZPMW03!$A$1:$ZZ$501,$A106,AW$3)))</f>
        <v/>
      </c>
      <c r="AX106" s="124" t="str">
        <f>IF($B106="","",IF(AX$3=0,"n.b.",INDEX(SRC_ZPMW03!$A$1:$ZZ$501,$A106,AX$3)))</f>
        <v/>
      </c>
      <c r="AY106" s="124" t="str">
        <f>IF($B106="","",IF(AY$3=0,"n.b.",INDEX(SRC_ZPMW03!$A$1:$ZZ$501,$A106,AY$3)))</f>
        <v/>
      </c>
      <c r="AZ106" s="124" t="str">
        <f>IF($B106="","",IF(AZ$3=0,"n.b.",INDEX(SRC_ZPMW03!$A$1:$ZZ$501,$A106,AZ$3)))</f>
        <v/>
      </c>
      <c r="BA106" s="124" t="str">
        <f>IF($B106="","",IF(BA$3=0,"n.b.",INDEX(SRC_ZPMW03!$A$1:$ZZ$501,$A106,BA$3)))</f>
        <v/>
      </c>
      <c r="BB106" s="124" t="str">
        <f>IF($B106="","",IF(BB$3=0,"n.b.",INDEX(SRC_ZPMW03!$A$1:$ZZ$501,$A106,BB$3)))</f>
        <v/>
      </c>
      <c r="BC106" s="124" t="str">
        <f>IF($B106="","",IF(BC$3=0,"n.b.",INDEX(SRC_ZPMW03!$A$1:$ZZ$501,$A106,BC$3)))</f>
        <v/>
      </c>
      <c r="BD106" s="124" t="str">
        <f>IF($B106="","",IF(BD$3=0,"n.b.",INDEX(SRC_ZPMW03!$A$1:$ZZ$501,$A106,BD$3)))</f>
        <v/>
      </c>
      <c r="BE106" s="124" t="str">
        <f>IF($B106="","",IF(BE$3=0,"n.b.",INDEX(SRC_ZPMW03!$A$1:$ZZ$501,$A106,BE$3)))</f>
        <v/>
      </c>
      <c r="BF106" s="124" t="str">
        <f>IF($B106="","",IF(BF$3=0,"n.b.",INDEX(SRC_ZPMW03!$A$1:$ZZ$501,$A106,BF$3)))</f>
        <v/>
      </c>
      <c r="BG106" t="str">
        <f>IF($B106="","",IF(BG$3=0,"n.b.",INDEX(SRC_ZPMW03!$A$1:$ZZ$501,$A106,BG$3)))</f>
        <v/>
      </c>
      <c r="BH106" t="str">
        <f>IF($B106="","",IF(BH$3=0,"n.b.",INDEX(SRC_ZPMW03!$A$1:$ZZ$501,$A106,BH$3)))</f>
        <v/>
      </c>
      <c r="BI106" t="str">
        <f>IF($B106="","",IF(BI$3=0,"n.b.",INDEX(SRC_ZPMW03!$A$1:$ZZ$501,$A106,BI$3)))</f>
        <v/>
      </c>
      <c r="BJ106" t="str">
        <f>IF($B106="","",IF(BJ$3=0,"n.b.",INDEX(SRC_ZPMW03!$A$1:$ZZ$501,$A106,BJ$3)))</f>
        <v/>
      </c>
      <c r="BK106" s="124" t="str">
        <f>IF($B106="","",IFERROR(-O106,"n.b."))</f>
        <v/>
      </c>
      <c r="BL106" s="124" t="str">
        <f>IF($B106="","",IFERROR(-Q106,"n.b."))</f>
        <v/>
      </c>
      <c r="BM106" s="124" t="str">
        <f>IF($B106="","",IFERROR(-AB106,"n.b."))</f>
        <v/>
      </c>
      <c r="BN106" s="124" t="str">
        <f>IF($B106="","",IFERROR(-AD106,"n.b."))</f>
        <v/>
      </c>
      <c r="BO106" s="124" t="str">
        <f>IF($B106="","",IFERROR(BK106+BM106,"n.b."))</f>
        <v/>
      </c>
      <c r="BP106" s="124" t="str">
        <f>IF($B106="","",IFERROR(BL106+BN106,"n.b."))</f>
        <v/>
      </c>
      <c r="BQ106" s="124" t="str">
        <f>IF($B106="","",IFERROR(-AM106,"n.b."))</f>
        <v/>
      </c>
      <c r="BR106" s="124" t="str">
        <f>IF($B106="","",IFERROR(-AO106,"n.b."))</f>
        <v/>
      </c>
      <c r="BS106" s="124" t="str">
        <f>IF($B106="","",IFERROR(-Z106,"n.b."))</f>
        <v/>
      </c>
      <c r="BT106" s="124" t="str">
        <f>IF($B106="","",IFERROR(-AA106,"n.b."))</f>
        <v/>
      </c>
      <c r="BU106" s="124" t="str">
        <f>IF($B106="","",IFERROR(-AE106,"n.b."))</f>
        <v/>
      </c>
      <c r="BV106" s="124" t="str">
        <f>IF($B106="","",IFERROR(-AF106,"n.b."))</f>
        <v/>
      </c>
      <c r="BW106" s="124" t="str">
        <f>IF($B106="","",IFERROR(-AG106,"n.b."))</f>
        <v/>
      </c>
      <c r="BX106" s="124" t="str">
        <f>IF($B106="","",IFERROR(-AH106,"n.b."))</f>
        <v/>
      </c>
      <c r="BY106" s="124" t="str">
        <f>IF($B106="","",IFERROR(-AI106,"n.b."))</f>
        <v/>
      </c>
      <c r="BZ106" s="124" t="str">
        <f>IF($B106="","",IFERROR(-AJ106,"n.b."))</f>
        <v/>
      </c>
      <c r="CA106" s="124" t="str">
        <f>IF($B106="","",IFERROR(-AK106,"n.b."))</f>
        <v/>
      </c>
      <c r="CB106" s="124" t="str">
        <f>IF($B106="","",IFERROR(-AL106,"n.b."))</f>
        <v/>
      </c>
      <c r="CC106" s="124" t="str">
        <f>IF($B106="","",IFERROR(-AP106,"n.b."))</f>
        <v/>
      </c>
      <c r="CD106" s="124" t="str">
        <f>IF($B106="","",IFERROR(-AQ106,"n.b."))</f>
        <v/>
      </c>
      <c r="CE106" s="124" t="str">
        <f>IF($B106="","",IFERROR(-AR106,"n.b."))</f>
        <v/>
      </c>
      <c r="CF106" s="124" t="str">
        <f>IF($B106="","",IFERROR(-AS106,"n.b."))</f>
        <v/>
      </c>
      <c r="CG106" s="124" t="str">
        <f>IF($B106="","",IFERROR(-AT106,"n.b."))</f>
        <v/>
      </c>
      <c r="CH106" s="124" t="str">
        <f>IF($B106="","",IFERROR(-AU106,"n.b."))</f>
        <v/>
      </c>
      <c r="CI106" s="124" t="str">
        <f>IF($B106="","",IFERROR(-AV106,"n.b."))</f>
        <v/>
      </c>
      <c r="CJ106" s="124" t="str">
        <f>IF($B106="","",IFERROR(-AW106,"n.b."))</f>
        <v/>
      </c>
      <c r="CK106" s="124" t="str">
        <f>IF($B106="","",IFERROR(-AX106,"n.b."))</f>
        <v/>
      </c>
      <c r="CL106" s="124" t="str">
        <f>IF($B106="","",IFERROR(-AY106,"n.b."))</f>
        <v/>
      </c>
      <c r="CM106" s="124" t="str">
        <f>IF($B106="","",IFERROR(-AZ106,"n.b."))</f>
        <v/>
      </c>
      <c r="CN106" s="124" t="str">
        <f>IF($B106="","",IFERROR(-BA106,"n.b."))</f>
        <v/>
      </c>
      <c r="CO106" s="124" t="str">
        <f>IF($B106="","",IFERROR(-BB106,"n.b."))</f>
        <v/>
      </c>
      <c r="CP106" s="124" t="str">
        <f>IF($B106="","",IFERROR(-BC106,"n.b."))</f>
        <v/>
      </c>
      <c r="CQ106" s="124" t="str">
        <f>IF($B106="","",IFERROR(-BD106,"n.b."))</f>
        <v/>
      </c>
      <c r="CR106" s="124" t="str">
        <f>IF($B106="","",IFERROR(-BE106,"n.b."))</f>
        <v/>
      </c>
      <c r="CS106" s="124" t="str">
        <f>IF($B106="","",IFERROR(IF(OR(ABS(T106+V106+X106+Z106-AB106)&gt;P_Tol,ABS(U106+W106+Y106+AA106-AD106)&gt;P_Tol,ABS(AE106+AG106+AI106+AK106-AM106)&gt;P_Tol,ABS(AF106+AH106+AJ106+AL106-AO106)&gt;P_Tol),1,0),1))</f>
        <v/>
      </c>
      <c r="CT106" s="124" t="str">
        <f>IF($B106="","",IFERROR(IF(OR(ABS(AB106+AC106-AD106)&gt;P_Tol,ABS(AM106+AN106-AO106)&gt;P_Tol,ABS(O106+P106-Q106)&gt;P_Tol),1,0),1))</f>
        <v/>
      </c>
      <c r="CU106" s="124" t="str">
        <f>IF($B106="","",IFERROR(IF(ABS(R106-(AB106+AM106+AP106+AR106+AT106+AV106+AX106+AZ106+BB106+BD106))&gt;P_Tol,1,0),1))</f>
        <v/>
      </c>
      <c r="CV106" s="124" t="str">
        <f>IF($B106="","",IFERROR(IF(ABS(M106-(N106+O106+R106))&gt;P_Tol,1,0),1))</f>
        <v/>
      </c>
      <c r="CW106" s="124" t="str">
        <f>IF($B106="","",IF(COUNTIF(Mapping!$A$5:$A$104,B106)&gt;0,1,0))</f>
        <v/>
      </c>
      <c r="CX106" s="124" t="str">
        <f>IF($B106="","",COUNTIF($B$6:$B$505,B106))</f>
        <v/>
      </c>
      <c r="CY106" s="124" t="str">
        <f>IF($B106="","",COUNTIF(STG_Woningetalage!$B$6:$B$505,B106))</f>
        <v/>
      </c>
      <c r="CZ106" s="124" t="str">
        <f>IF($B106="","",IF(CW106=0,COUNTIF($CW$6:CW106,0),""))</f>
        <v/>
      </c>
    </row>
    <row r="107">
      <c r="A107" s="15" t="n">
        <v>103</v>
      </c>
      <c r="B107" t="str">
        <f>IF(B$3=0,"",IF(INDEX(SRC_ZPMW03!$A$1:$ZZ$501,$A107,B$3)&amp;""="","",INDEX(SRC_ZPMW03!$A$1:$ZZ$501,$A107,B$3)&amp;""))</f>
        <v/>
      </c>
      <c r="C107" t="str">
        <f>IF($B107="","",IF(C$3=0,"n.b.",INDEX(SRC_ZPMW03!$A$1:$ZZ$501,$A107,C$3)))</f>
        <v/>
      </c>
      <c r="D107" t="str">
        <f>IF($B107="","",IF(D$3=0,"n.b.",INDEX(SRC_ZPMW03!$A$1:$ZZ$501,$A107,D$3)))</f>
        <v/>
      </c>
      <c r="E107" t="str">
        <f>IF($B107="","",IF(E$3=0,"n.b.",INDEX(SRC_ZPMW03!$A$1:$ZZ$501,$A107,E$3)))</f>
        <v/>
      </c>
      <c r="F107" t="str">
        <f>IF($B107="","",IF(F$3=0,"n.b.",INDEX(SRC_ZPMW03!$A$1:$ZZ$501,$A107,F$3)))</f>
        <v/>
      </c>
      <c r="G107" t="str">
        <f>IF($B107="","",IF(G$3=0,"n.b.",INDEX(SRC_ZPMW03!$A$1:$ZZ$501,$A107,G$3)))</f>
        <v/>
      </c>
      <c r="H107" t="str">
        <f>IF($B107="","",IF(H$3=0,"n.b.",INDEX(SRC_ZPMW03!$A$1:$ZZ$501,$A107,H$3)))</f>
        <v/>
      </c>
      <c r="I107" t="str">
        <f>IF($B107="","",IF(I$3=0,"n.b.",INDEX(SRC_ZPMW03!$A$1:$ZZ$501,$A107,I$3)))</f>
        <v/>
      </c>
      <c r="J107" t="str">
        <f>IF($B107="","",IF(J$3=0,"n.b.",INDEX(SRC_ZPMW03!$A$1:$ZZ$501,$A107,J$3)))</f>
        <v/>
      </c>
      <c r="K107" t="str">
        <f>IF($B107="","",IF(K$3=0,"n.b.",INDEX(SRC_ZPMW03!$A$1:$ZZ$501,$A107,K$3)))</f>
        <v/>
      </c>
      <c r="L107" s="124" t="str">
        <f>IF($B107="","",IF(L$3=0,"n.b.",INDEX(SRC_ZPMW03!$A$1:$ZZ$501,$A107,L$3)))</f>
        <v/>
      </c>
      <c r="M107" s="124" t="str">
        <f>IF($B107="","",IF(M$3=0,"n.b.",INDEX(SRC_ZPMW03!$A$1:$ZZ$501,$A107,M$3)))</f>
        <v/>
      </c>
      <c r="N107" s="124" t="str">
        <f>IF($B107="","",IF(N$3=0,"n.b.",INDEX(SRC_ZPMW03!$A$1:$ZZ$501,$A107,N$3)))</f>
        <v/>
      </c>
      <c r="O107" s="124" t="str">
        <f>IF($B107="","",IF(O$3=0,"n.b.",INDEX(SRC_ZPMW03!$A$1:$ZZ$501,$A107,O$3)))</f>
        <v/>
      </c>
      <c r="P107" s="124" t="str">
        <f>IF($B107="","",IF(P$3=0,"n.b.",INDEX(SRC_ZPMW03!$A$1:$ZZ$501,$A107,P$3)))</f>
        <v/>
      </c>
      <c r="Q107" s="124" t="str">
        <f>IF($B107="","",IF(Q$3=0,"n.b.",INDEX(SRC_ZPMW03!$A$1:$ZZ$501,$A107,Q$3)))</f>
        <v/>
      </c>
      <c r="R107" s="124" t="str">
        <f>IF($B107="","",IF(R$3=0,"n.b.",INDEX(SRC_ZPMW03!$A$1:$ZZ$501,$A107,R$3)))</f>
        <v/>
      </c>
      <c r="S107" s="124" t="str">
        <f>IF($B107="","",IF(S$3=0,"n.b.",INDEX(SRC_ZPMW03!$A$1:$ZZ$501,$A107,S$3)))</f>
        <v/>
      </c>
      <c r="T107" s="124" t="str">
        <f>IF($B107="","",IF(T$3=0,"n.b.",INDEX(SRC_ZPMW03!$A$1:$ZZ$501,$A107,T$3)))</f>
        <v/>
      </c>
      <c r="U107" s="124" t="str">
        <f>IF($B107="","",IF(U$3=0,"n.b.",INDEX(SRC_ZPMW03!$A$1:$ZZ$501,$A107,U$3)))</f>
        <v/>
      </c>
      <c r="V107" s="124" t="str">
        <f>IF($B107="","",IF(V$3=0,"n.b.",INDEX(SRC_ZPMW03!$A$1:$ZZ$501,$A107,V$3)))</f>
        <v/>
      </c>
      <c r="W107" s="124" t="str">
        <f>IF($B107="","",IF(W$3=0,"n.b.",INDEX(SRC_ZPMW03!$A$1:$ZZ$501,$A107,W$3)))</f>
        <v/>
      </c>
      <c r="X107" s="124" t="str">
        <f>IF($B107="","",IF(X$3=0,"n.b.",INDEX(SRC_ZPMW03!$A$1:$ZZ$501,$A107,X$3)))</f>
        <v/>
      </c>
      <c r="Y107" s="124" t="str">
        <f>IF($B107="","",IF(Y$3=0,"n.b.",INDEX(SRC_ZPMW03!$A$1:$ZZ$501,$A107,Y$3)))</f>
        <v/>
      </c>
      <c r="Z107" s="124" t="str">
        <f>IF($B107="","",IF(Z$3=0,"n.b.",INDEX(SRC_ZPMW03!$A$1:$ZZ$501,$A107,Z$3)))</f>
        <v/>
      </c>
      <c r="AA107" s="124" t="str">
        <f>IF($B107="","",IF(AA$3=0,"n.b.",INDEX(SRC_ZPMW03!$A$1:$ZZ$501,$A107,AA$3)))</f>
        <v/>
      </c>
      <c r="AB107" s="124" t="str">
        <f>IF($B107="","",IF(AB$3=0,"n.b.",INDEX(SRC_ZPMW03!$A$1:$ZZ$501,$A107,AB$3)))</f>
        <v/>
      </c>
      <c r="AC107" s="124" t="str">
        <f>IF($B107="","",IF(AC$3=0,"n.b.",INDEX(SRC_ZPMW03!$A$1:$ZZ$501,$A107,AC$3)))</f>
        <v/>
      </c>
      <c r="AD107" s="124" t="str">
        <f>IF($B107="","",IF(AD$3=0,"n.b.",INDEX(SRC_ZPMW03!$A$1:$ZZ$501,$A107,AD$3)))</f>
        <v/>
      </c>
      <c r="AE107" s="124" t="str">
        <f>IF($B107="","",IF(AE$3=0,"n.b.",INDEX(SRC_ZPMW03!$A$1:$ZZ$501,$A107,AE$3)))</f>
        <v/>
      </c>
      <c r="AF107" s="124" t="str">
        <f>IF($B107="","",IF(AF$3=0,"n.b.",INDEX(SRC_ZPMW03!$A$1:$ZZ$501,$A107,AF$3)))</f>
        <v/>
      </c>
      <c r="AG107" s="124" t="str">
        <f>IF($B107="","",IF(AG$3=0,"n.b.",INDEX(SRC_ZPMW03!$A$1:$ZZ$501,$A107,AG$3)))</f>
        <v/>
      </c>
      <c r="AH107" s="124" t="str">
        <f>IF($B107="","",IF(AH$3=0,"n.b.",INDEX(SRC_ZPMW03!$A$1:$ZZ$501,$A107,AH$3)))</f>
        <v/>
      </c>
      <c r="AI107" s="124" t="str">
        <f>IF($B107="","",IF(AI$3=0,"n.b.",INDEX(SRC_ZPMW03!$A$1:$ZZ$501,$A107,AI$3)))</f>
        <v/>
      </c>
      <c r="AJ107" s="124" t="str">
        <f>IF($B107="","",IF(AJ$3=0,"n.b.",INDEX(SRC_ZPMW03!$A$1:$ZZ$501,$A107,AJ$3)))</f>
        <v/>
      </c>
      <c r="AK107" s="124" t="str">
        <f>IF($B107="","",IF(AK$3=0,"n.b.",INDEX(SRC_ZPMW03!$A$1:$ZZ$501,$A107,AK$3)))</f>
        <v/>
      </c>
      <c r="AL107" s="124" t="str">
        <f>IF($B107="","",IF(AL$3=0,"n.b.",INDEX(SRC_ZPMW03!$A$1:$ZZ$501,$A107,AL$3)))</f>
        <v/>
      </c>
      <c r="AM107" s="124" t="str">
        <f>IF($B107="","",IF(AM$3=0,"n.b.",INDEX(SRC_ZPMW03!$A$1:$ZZ$501,$A107,AM$3)))</f>
        <v/>
      </c>
      <c r="AN107" s="124" t="str">
        <f>IF($B107="","",IF(AN$3=0,"n.b.",INDEX(SRC_ZPMW03!$A$1:$ZZ$501,$A107,AN$3)))</f>
        <v/>
      </c>
      <c r="AO107" s="124" t="str">
        <f>IF($B107="","",IF(AO$3=0,"n.b.",INDEX(SRC_ZPMW03!$A$1:$ZZ$501,$A107,AO$3)))</f>
        <v/>
      </c>
      <c r="AP107" s="124" t="str">
        <f>IF($B107="","",IF(AP$3=0,"n.b.",INDEX(SRC_ZPMW03!$A$1:$ZZ$501,$A107,AP$3)))</f>
        <v/>
      </c>
      <c r="AQ107" s="124" t="str">
        <f>IF($B107="","",IF(AQ$3=0,"n.b.",INDEX(SRC_ZPMW03!$A$1:$ZZ$501,$A107,AQ$3)))</f>
        <v/>
      </c>
      <c r="AR107" s="124" t="str">
        <f>IF($B107="","",IF(AR$3=0,"n.b.",INDEX(SRC_ZPMW03!$A$1:$ZZ$501,$A107,AR$3)))</f>
        <v/>
      </c>
      <c r="AS107" s="124" t="str">
        <f>IF($B107="","",IF(AS$3=0,"n.b.",INDEX(SRC_ZPMW03!$A$1:$ZZ$501,$A107,AS$3)))</f>
        <v/>
      </c>
      <c r="AT107" s="124" t="str">
        <f>IF($B107="","",IF(AT$3=0,"n.b.",INDEX(SRC_ZPMW03!$A$1:$ZZ$501,$A107,AT$3)))</f>
        <v/>
      </c>
      <c r="AU107" s="124" t="str">
        <f>IF($B107="","",IF(AU$3=0,"n.b.",INDEX(SRC_ZPMW03!$A$1:$ZZ$501,$A107,AU$3)))</f>
        <v/>
      </c>
      <c r="AV107" s="124" t="str">
        <f>IF($B107="","",IF(AV$3=0,"n.b.",INDEX(SRC_ZPMW03!$A$1:$ZZ$501,$A107,AV$3)))</f>
        <v/>
      </c>
      <c r="AW107" s="124" t="str">
        <f>IF($B107="","",IF(AW$3=0,"n.b.",INDEX(SRC_ZPMW03!$A$1:$ZZ$501,$A107,AW$3)))</f>
        <v/>
      </c>
      <c r="AX107" s="124" t="str">
        <f>IF($B107="","",IF(AX$3=0,"n.b.",INDEX(SRC_ZPMW03!$A$1:$ZZ$501,$A107,AX$3)))</f>
        <v/>
      </c>
      <c r="AY107" s="124" t="str">
        <f>IF($B107="","",IF(AY$3=0,"n.b.",INDEX(SRC_ZPMW03!$A$1:$ZZ$501,$A107,AY$3)))</f>
        <v/>
      </c>
      <c r="AZ107" s="124" t="str">
        <f>IF($B107="","",IF(AZ$3=0,"n.b.",INDEX(SRC_ZPMW03!$A$1:$ZZ$501,$A107,AZ$3)))</f>
        <v/>
      </c>
      <c r="BA107" s="124" t="str">
        <f>IF($B107="","",IF(BA$3=0,"n.b.",INDEX(SRC_ZPMW03!$A$1:$ZZ$501,$A107,BA$3)))</f>
        <v/>
      </c>
      <c r="BB107" s="124" t="str">
        <f>IF($B107="","",IF(BB$3=0,"n.b.",INDEX(SRC_ZPMW03!$A$1:$ZZ$501,$A107,BB$3)))</f>
        <v/>
      </c>
      <c r="BC107" s="124" t="str">
        <f>IF($B107="","",IF(BC$3=0,"n.b.",INDEX(SRC_ZPMW03!$A$1:$ZZ$501,$A107,BC$3)))</f>
        <v/>
      </c>
      <c r="BD107" s="124" t="str">
        <f>IF($B107="","",IF(BD$3=0,"n.b.",INDEX(SRC_ZPMW03!$A$1:$ZZ$501,$A107,BD$3)))</f>
        <v/>
      </c>
      <c r="BE107" s="124" t="str">
        <f>IF($B107="","",IF(BE$3=0,"n.b.",INDEX(SRC_ZPMW03!$A$1:$ZZ$501,$A107,BE$3)))</f>
        <v/>
      </c>
      <c r="BF107" s="124" t="str">
        <f>IF($B107="","",IF(BF$3=0,"n.b.",INDEX(SRC_ZPMW03!$A$1:$ZZ$501,$A107,BF$3)))</f>
        <v/>
      </c>
      <c r="BG107" t="str">
        <f>IF($B107="","",IF(BG$3=0,"n.b.",INDEX(SRC_ZPMW03!$A$1:$ZZ$501,$A107,BG$3)))</f>
        <v/>
      </c>
      <c r="BH107" t="str">
        <f>IF($B107="","",IF(BH$3=0,"n.b.",INDEX(SRC_ZPMW03!$A$1:$ZZ$501,$A107,BH$3)))</f>
        <v/>
      </c>
      <c r="BI107" t="str">
        <f>IF($B107="","",IF(BI$3=0,"n.b.",INDEX(SRC_ZPMW03!$A$1:$ZZ$501,$A107,BI$3)))</f>
        <v/>
      </c>
      <c r="BJ107" t="str">
        <f>IF($B107="","",IF(BJ$3=0,"n.b.",INDEX(SRC_ZPMW03!$A$1:$ZZ$501,$A107,BJ$3)))</f>
        <v/>
      </c>
      <c r="BK107" s="124" t="str">
        <f>IF($B107="","",IFERROR(-O107,"n.b."))</f>
        <v/>
      </c>
      <c r="BL107" s="124" t="str">
        <f>IF($B107="","",IFERROR(-Q107,"n.b."))</f>
        <v/>
      </c>
      <c r="BM107" s="124" t="str">
        <f>IF($B107="","",IFERROR(-AB107,"n.b."))</f>
        <v/>
      </c>
      <c r="BN107" s="124" t="str">
        <f>IF($B107="","",IFERROR(-AD107,"n.b."))</f>
        <v/>
      </c>
      <c r="BO107" s="124" t="str">
        <f>IF($B107="","",IFERROR(BK107+BM107,"n.b."))</f>
        <v/>
      </c>
      <c r="BP107" s="124" t="str">
        <f>IF($B107="","",IFERROR(BL107+BN107,"n.b."))</f>
        <v/>
      </c>
      <c r="BQ107" s="124" t="str">
        <f>IF($B107="","",IFERROR(-AM107,"n.b."))</f>
        <v/>
      </c>
      <c r="BR107" s="124" t="str">
        <f>IF($B107="","",IFERROR(-AO107,"n.b."))</f>
        <v/>
      </c>
      <c r="BS107" s="124" t="str">
        <f>IF($B107="","",IFERROR(-Z107,"n.b."))</f>
        <v/>
      </c>
      <c r="BT107" s="124" t="str">
        <f>IF($B107="","",IFERROR(-AA107,"n.b."))</f>
        <v/>
      </c>
      <c r="BU107" s="124" t="str">
        <f>IF($B107="","",IFERROR(-AE107,"n.b."))</f>
        <v/>
      </c>
      <c r="BV107" s="124" t="str">
        <f>IF($B107="","",IFERROR(-AF107,"n.b."))</f>
        <v/>
      </c>
      <c r="BW107" s="124" t="str">
        <f>IF($B107="","",IFERROR(-AG107,"n.b."))</f>
        <v/>
      </c>
      <c r="BX107" s="124" t="str">
        <f>IF($B107="","",IFERROR(-AH107,"n.b."))</f>
        <v/>
      </c>
      <c r="BY107" s="124" t="str">
        <f>IF($B107="","",IFERROR(-AI107,"n.b."))</f>
        <v/>
      </c>
      <c r="BZ107" s="124" t="str">
        <f>IF($B107="","",IFERROR(-AJ107,"n.b."))</f>
        <v/>
      </c>
      <c r="CA107" s="124" t="str">
        <f>IF($B107="","",IFERROR(-AK107,"n.b."))</f>
        <v/>
      </c>
      <c r="CB107" s="124" t="str">
        <f>IF($B107="","",IFERROR(-AL107,"n.b."))</f>
        <v/>
      </c>
      <c r="CC107" s="124" t="str">
        <f>IF($B107="","",IFERROR(-AP107,"n.b."))</f>
        <v/>
      </c>
      <c r="CD107" s="124" t="str">
        <f>IF($B107="","",IFERROR(-AQ107,"n.b."))</f>
        <v/>
      </c>
      <c r="CE107" s="124" t="str">
        <f>IF($B107="","",IFERROR(-AR107,"n.b."))</f>
        <v/>
      </c>
      <c r="CF107" s="124" t="str">
        <f>IF($B107="","",IFERROR(-AS107,"n.b."))</f>
        <v/>
      </c>
      <c r="CG107" s="124" t="str">
        <f>IF($B107="","",IFERROR(-AT107,"n.b."))</f>
        <v/>
      </c>
      <c r="CH107" s="124" t="str">
        <f>IF($B107="","",IFERROR(-AU107,"n.b."))</f>
        <v/>
      </c>
      <c r="CI107" s="124" t="str">
        <f>IF($B107="","",IFERROR(-AV107,"n.b."))</f>
        <v/>
      </c>
      <c r="CJ107" s="124" t="str">
        <f>IF($B107="","",IFERROR(-AW107,"n.b."))</f>
        <v/>
      </c>
      <c r="CK107" s="124" t="str">
        <f>IF($B107="","",IFERROR(-AX107,"n.b."))</f>
        <v/>
      </c>
      <c r="CL107" s="124" t="str">
        <f>IF($B107="","",IFERROR(-AY107,"n.b."))</f>
        <v/>
      </c>
      <c r="CM107" s="124" t="str">
        <f>IF($B107="","",IFERROR(-AZ107,"n.b."))</f>
        <v/>
      </c>
      <c r="CN107" s="124" t="str">
        <f>IF($B107="","",IFERROR(-BA107,"n.b."))</f>
        <v/>
      </c>
      <c r="CO107" s="124" t="str">
        <f>IF($B107="","",IFERROR(-BB107,"n.b."))</f>
        <v/>
      </c>
      <c r="CP107" s="124" t="str">
        <f>IF($B107="","",IFERROR(-BC107,"n.b."))</f>
        <v/>
      </c>
      <c r="CQ107" s="124" t="str">
        <f>IF($B107="","",IFERROR(-BD107,"n.b."))</f>
        <v/>
      </c>
      <c r="CR107" s="124" t="str">
        <f>IF($B107="","",IFERROR(-BE107,"n.b."))</f>
        <v/>
      </c>
      <c r="CS107" s="124" t="str">
        <f>IF($B107="","",IFERROR(IF(OR(ABS(T107+V107+X107+Z107-AB107)&gt;P_Tol,ABS(U107+W107+Y107+AA107-AD107)&gt;P_Tol,ABS(AE107+AG107+AI107+AK107-AM107)&gt;P_Tol,ABS(AF107+AH107+AJ107+AL107-AO107)&gt;P_Tol),1,0),1))</f>
        <v/>
      </c>
      <c r="CT107" s="124" t="str">
        <f>IF($B107="","",IFERROR(IF(OR(ABS(AB107+AC107-AD107)&gt;P_Tol,ABS(AM107+AN107-AO107)&gt;P_Tol,ABS(O107+P107-Q107)&gt;P_Tol),1,0),1))</f>
        <v/>
      </c>
      <c r="CU107" s="124" t="str">
        <f>IF($B107="","",IFERROR(IF(ABS(R107-(AB107+AM107+AP107+AR107+AT107+AV107+AX107+AZ107+BB107+BD107))&gt;P_Tol,1,0),1))</f>
        <v/>
      </c>
      <c r="CV107" s="124" t="str">
        <f>IF($B107="","",IFERROR(IF(ABS(M107-(N107+O107+R107))&gt;P_Tol,1,0),1))</f>
        <v/>
      </c>
      <c r="CW107" s="124" t="str">
        <f>IF($B107="","",IF(COUNTIF(Mapping!$A$5:$A$104,B107)&gt;0,1,0))</f>
        <v/>
      </c>
      <c r="CX107" s="124" t="str">
        <f>IF($B107="","",COUNTIF($B$6:$B$505,B107))</f>
        <v/>
      </c>
      <c r="CY107" s="124" t="str">
        <f>IF($B107="","",COUNTIF(STG_Woningetalage!$B$6:$B$505,B107))</f>
        <v/>
      </c>
      <c r="CZ107" s="124" t="str">
        <f>IF($B107="","",IF(CW107=0,COUNTIF($CW$6:CW107,0),""))</f>
        <v/>
      </c>
    </row>
    <row r="108">
      <c r="A108" s="15" t="n">
        <v>104</v>
      </c>
      <c r="B108" t="str">
        <f>IF(B$3=0,"",IF(INDEX(SRC_ZPMW03!$A$1:$ZZ$501,$A108,B$3)&amp;""="","",INDEX(SRC_ZPMW03!$A$1:$ZZ$501,$A108,B$3)&amp;""))</f>
        <v/>
      </c>
      <c r="C108" t="str">
        <f>IF($B108="","",IF(C$3=0,"n.b.",INDEX(SRC_ZPMW03!$A$1:$ZZ$501,$A108,C$3)))</f>
        <v/>
      </c>
      <c r="D108" t="str">
        <f>IF($B108="","",IF(D$3=0,"n.b.",INDEX(SRC_ZPMW03!$A$1:$ZZ$501,$A108,D$3)))</f>
        <v/>
      </c>
      <c r="E108" t="str">
        <f>IF($B108="","",IF(E$3=0,"n.b.",INDEX(SRC_ZPMW03!$A$1:$ZZ$501,$A108,E$3)))</f>
        <v/>
      </c>
      <c r="F108" t="str">
        <f>IF($B108="","",IF(F$3=0,"n.b.",INDEX(SRC_ZPMW03!$A$1:$ZZ$501,$A108,F$3)))</f>
        <v/>
      </c>
      <c r="G108" t="str">
        <f>IF($B108="","",IF(G$3=0,"n.b.",INDEX(SRC_ZPMW03!$A$1:$ZZ$501,$A108,G$3)))</f>
        <v/>
      </c>
      <c r="H108" t="str">
        <f>IF($B108="","",IF(H$3=0,"n.b.",INDEX(SRC_ZPMW03!$A$1:$ZZ$501,$A108,H$3)))</f>
        <v/>
      </c>
      <c r="I108" t="str">
        <f>IF($B108="","",IF(I$3=0,"n.b.",INDEX(SRC_ZPMW03!$A$1:$ZZ$501,$A108,I$3)))</f>
        <v/>
      </c>
      <c r="J108" t="str">
        <f>IF($B108="","",IF(J$3=0,"n.b.",INDEX(SRC_ZPMW03!$A$1:$ZZ$501,$A108,J$3)))</f>
        <v/>
      </c>
      <c r="K108" t="str">
        <f>IF($B108="","",IF(K$3=0,"n.b.",INDEX(SRC_ZPMW03!$A$1:$ZZ$501,$A108,K$3)))</f>
        <v/>
      </c>
      <c r="L108" s="124" t="str">
        <f>IF($B108="","",IF(L$3=0,"n.b.",INDEX(SRC_ZPMW03!$A$1:$ZZ$501,$A108,L$3)))</f>
        <v/>
      </c>
      <c r="M108" s="124" t="str">
        <f>IF($B108="","",IF(M$3=0,"n.b.",INDEX(SRC_ZPMW03!$A$1:$ZZ$501,$A108,M$3)))</f>
        <v/>
      </c>
      <c r="N108" s="124" t="str">
        <f>IF($B108="","",IF(N$3=0,"n.b.",INDEX(SRC_ZPMW03!$A$1:$ZZ$501,$A108,N$3)))</f>
        <v/>
      </c>
      <c r="O108" s="124" t="str">
        <f>IF($B108="","",IF(O$3=0,"n.b.",INDEX(SRC_ZPMW03!$A$1:$ZZ$501,$A108,O$3)))</f>
        <v/>
      </c>
      <c r="P108" s="124" t="str">
        <f>IF($B108="","",IF(P$3=0,"n.b.",INDEX(SRC_ZPMW03!$A$1:$ZZ$501,$A108,P$3)))</f>
        <v/>
      </c>
      <c r="Q108" s="124" t="str">
        <f>IF($B108="","",IF(Q$3=0,"n.b.",INDEX(SRC_ZPMW03!$A$1:$ZZ$501,$A108,Q$3)))</f>
        <v/>
      </c>
      <c r="R108" s="124" t="str">
        <f>IF($B108="","",IF(R$3=0,"n.b.",INDEX(SRC_ZPMW03!$A$1:$ZZ$501,$A108,R$3)))</f>
        <v/>
      </c>
      <c r="S108" s="124" t="str">
        <f>IF($B108="","",IF(S$3=0,"n.b.",INDEX(SRC_ZPMW03!$A$1:$ZZ$501,$A108,S$3)))</f>
        <v/>
      </c>
      <c r="T108" s="124" t="str">
        <f>IF($B108="","",IF(T$3=0,"n.b.",INDEX(SRC_ZPMW03!$A$1:$ZZ$501,$A108,T$3)))</f>
        <v/>
      </c>
      <c r="U108" s="124" t="str">
        <f>IF($B108="","",IF(U$3=0,"n.b.",INDEX(SRC_ZPMW03!$A$1:$ZZ$501,$A108,U$3)))</f>
        <v/>
      </c>
      <c r="V108" s="124" t="str">
        <f>IF($B108="","",IF(V$3=0,"n.b.",INDEX(SRC_ZPMW03!$A$1:$ZZ$501,$A108,V$3)))</f>
        <v/>
      </c>
      <c r="W108" s="124" t="str">
        <f>IF($B108="","",IF(W$3=0,"n.b.",INDEX(SRC_ZPMW03!$A$1:$ZZ$501,$A108,W$3)))</f>
        <v/>
      </c>
      <c r="X108" s="124" t="str">
        <f>IF($B108="","",IF(X$3=0,"n.b.",INDEX(SRC_ZPMW03!$A$1:$ZZ$501,$A108,X$3)))</f>
        <v/>
      </c>
      <c r="Y108" s="124" t="str">
        <f>IF($B108="","",IF(Y$3=0,"n.b.",INDEX(SRC_ZPMW03!$A$1:$ZZ$501,$A108,Y$3)))</f>
        <v/>
      </c>
      <c r="Z108" s="124" t="str">
        <f>IF($B108="","",IF(Z$3=0,"n.b.",INDEX(SRC_ZPMW03!$A$1:$ZZ$501,$A108,Z$3)))</f>
        <v/>
      </c>
      <c r="AA108" s="124" t="str">
        <f>IF($B108="","",IF(AA$3=0,"n.b.",INDEX(SRC_ZPMW03!$A$1:$ZZ$501,$A108,AA$3)))</f>
        <v/>
      </c>
      <c r="AB108" s="124" t="str">
        <f>IF($B108="","",IF(AB$3=0,"n.b.",INDEX(SRC_ZPMW03!$A$1:$ZZ$501,$A108,AB$3)))</f>
        <v/>
      </c>
      <c r="AC108" s="124" t="str">
        <f>IF($B108="","",IF(AC$3=0,"n.b.",INDEX(SRC_ZPMW03!$A$1:$ZZ$501,$A108,AC$3)))</f>
        <v/>
      </c>
      <c r="AD108" s="124" t="str">
        <f>IF($B108="","",IF(AD$3=0,"n.b.",INDEX(SRC_ZPMW03!$A$1:$ZZ$501,$A108,AD$3)))</f>
        <v/>
      </c>
      <c r="AE108" s="124" t="str">
        <f>IF($B108="","",IF(AE$3=0,"n.b.",INDEX(SRC_ZPMW03!$A$1:$ZZ$501,$A108,AE$3)))</f>
        <v/>
      </c>
      <c r="AF108" s="124" t="str">
        <f>IF($B108="","",IF(AF$3=0,"n.b.",INDEX(SRC_ZPMW03!$A$1:$ZZ$501,$A108,AF$3)))</f>
        <v/>
      </c>
      <c r="AG108" s="124" t="str">
        <f>IF($B108="","",IF(AG$3=0,"n.b.",INDEX(SRC_ZPMW03!$A$1:$ZZ$501,$A108,AG$3)))</f>
        <v/>
      </c>
      <c r="AH108" s="124" t="str">
        <f>IF($B108="","",IF(AH$3=0,"n.b.",INDEX(SRC_ZPMW03!$A$1:$ZZ$501,$A108,AH$3)))</f>
        <v/>
      </c>
      <c r="AI108" s="124" t="str">
        <f>IF($B108="","",IF(AI$3=0,"n.b.",INDEX(SRC_ZPMW03!$A$1:$ZZ$501,$A108,AI$3)))</f>
        <v/>
      </c>
      <c r="AJ108" s="124" t="str">
        <f>IF($B108="","",IF(AJ$3=0,"n.b.",INDEX(SRC_ZPMW03!$A$1:$ZZ$501,$A108,AJ$3)))</f>
        <v/>
      </c>
      <c r="AK108" s="124" t="str">
        <f>IF($B108="","",IF(AK$3=0,"n.b.",INDEX(SRC_ZPMW03!$A$1:$ZZ$501,$A108,AK$3)))</f>
        <v/>
      </c>
      <c r="AL108" s="124" t="str">
        <f>IF($B108="","",IF(AL$3=0,"n.b.",INDEX(SRC_ZPMW03!$A$1:$ZZ$501,$A108,AL$3)))</f>
        <v/>
      </c>
      <c r="AM108" s="124" t="str">
        <f>IF($B108="","",IF(AM$3=0,"n.b.",INDEX(SRC_ZPMW03!$A$1:$ZZ$501,$A108,AM$3)))</f>
        <v/>
      </c>
      <c r="AN108" s="124" t="str">
        <f>IF($B108="","",IF(AN$3=0,"n.b.",INDEX(SRC_ZPMW03!$A$1:$ZZ$501,$A108,AN$3)))</f>
        <v/>
      </c>
      <c r="AO108" s="124" t="str">
        <f>IF($B108="","",IF(AO$3=0,"n.b.",INDEX(SRC_ZPMW03!$A$1:$ZZ$501,$A108,AO$3)))</f>
        <v/>
      </c>
      <c r="AP108" s="124" t="str">
        <f>IF($B108="","",IF(AP$3=0,"n.b.",INDEX(SRC_ZPMW03!$A$1:$ZZ$501,$A108,AP$3)))</f>
        <v/>
      </c>
      <c r="AQ108" s="124" t="str">
        <f>IF($B108="","",IF(AQ$3=0,"n.b.",INDEX(SRC_ZPMW03!$A$1:$ZZ$501,$A108,AQ$3)))</f>
        <v/>
      </c>
      <c r="AR108" s="124" t="str">
        <f>IF($B108="","",IF(AR$3=0,"n.b.",INDEX(SRC_ZPMW03!$A$1:$ZZ$501,$A108,AR$3)))</f>
        <v/>
      </c>
      <c r="AS108" s="124" t="str">
        <f>IF($B108="","",IF(AS$3=0,"n.b.",INDEX(SRC_ZPMW03!$A$1:$ZZ$501,$A108,AS$3)))</f>
        <v/>
      </c>
      <c r="AT108" s="124" t="str">
        <f>IF($B108="","",IF(AT$3=0,"n.b.",INDEX(SRC_ZPMW03!$A$1:$ZZ$501,$A108,AT$3)))</f>
        <v/>
      </c>
      <c r="AU108" s="124" t="str">
        <f>IF($B108="","",IF(AU$3=0,"n.b.",INDEX(SRC_ZPMW03!$A$1:$ZZ$501,$A108,AU$3)))</f>
        <v/>
      </c>
      <c r="AV108" s="124" t="str">
        <f>IF($B108="","",IF(AV$3=0,"n.b.",INDEX(SRC_ZPMW03!$A$1:$ZZ$501,$A108,AV$3)))</f>
        <v/>
      </c>
      <c r="AW108" s="124" t="str">
        <f>IF($B108="","",IF(AW$3=0,"n.b.",INDEX(SRC_ZPMW03!$A$1:$ZZ$501,$A108,AW$3)))</f>
        <v/>
      </c>
      <c r="AX108" s="124" t="str">
        <f>IF($B108="","",IF(AX$3=0,"n.b.",INDEX(SRC_ZPMW03!$A$1:$ZZ$501,$A108,AX$3)))</f>
        <v/>
      </c>
      <c r="AY108" s="124" t="str">
        <f>IF($B108="","",IF(AY$3=0,"n.b.",INDEX(SRC_ZPMW03!$A$1:$ZZ$501,$A108,AY$3)))</f>
        <v/>
      </c>
      <c r="AZ108" s="124" t="str">
        <f>IF($B108="","",IF(AZ$3=0,"n.b.",INDEX(SRC_ZPMW03!$A$1:$ZZ$501,$A108,AZ$3)))</f>
        <v/>
      </c>
      <c r="BA108" s="124" t="str">
        <f>IF($B108="","",IF(BA$3=0,"n.b.",INDEX(SRC_ZPMW03!$A$1:$ZZ$501,$A108,BA$3)))</f>
        <v/>
      </c>
      <c r="BB108" s="124" t="str">
        <f>IF($B108="","",IF(BB$3=0,"n.b.",INDEX(SRC_ZPMW03!$A$1:$ZZ$501,$A108,BB$3)))</f>
        <v/>
      </c>
      <c r="BC108" s="124" t="str">
        <f>IF($B108="","",IF(BC$3=0,"n.b.",INDEX(SRC_ZPMW03!$A$1:$ZZ$501,$A108,BC$3)))</f>
        <v/>
      </c>
      <c r="BD108" s="124" t="str">
        <f>IF($B108="","",IF(BD$3=0,"n.b.",INDEX(SRC_ZPMW03!$A$1:$ZZ$501,$A108,BD$3)))</f>
        <v/>
      </c>
      <c r="BE108" s="124" t="str">
        <f>IF($B108="","",IF(BE$3=0,"n.b.",INDEX(SRC_ZPMW03!$A$1:$ZZ$501,$A108,BE$3)))</f>
        <v/>
      </c>
      <c r="BF108" s="124" t="str">
        <f>IF($B108="","",IF(BF$3=0,"n.b.",INDEX(SRC_ZPMW03!$A$1:$ZZ$501,$A108,BF$3)))</f>
        <v/>
      </c>
      <c r="BG108" t="str">
        <f>IF($B108="","",IF(BG$3=0,"n.b.",INDEX(SRC_ZPMW03!$A$1:$ZZ$501,$A108,BG$3)))</f>
        <v/>
      </c>
      <c r="BH108" t="str">
        <f>IF($B108="","",IF(BH$3=0,"n.b.",INDEX(SRC_ZPMW03!$A$1:$ZZ$501,$A108,BH$3)))</f>
        <v/>
      </c>
      <c r="BI108" t="str">
        <f>IF($B108="","",IF(BI$3=0,"n.b.",INDEX(SRC_ZPMW03!$A$1:$ZZ$501,$A108,BI$3)))</f>
        <v/>
      </c>
      <c r="BJ108" t="str">
        <f>IF($B108="","",IF(BJ$3=0,"n.b.",INDEX(SRC_ZPMW03!$A$1:$ZZ$501,$A108,BJ$3)))</f>
        <v/>
      </c>
      <c r="BK108" s="124" t="str">
        <f>IF($B108="","",IFERROR(-O108,"n.b."))</f>
        <v/>
      </c>
      <c r="BL108" s="124" t="str">
        <f>IF($B108="","",IFERROR(-Q108,"n.b."))</f>
        <v/>
      </c>
      <c r="BM108" s="124" t="str">
        <f>IF($B108="","",IFERROR(-AB108,"n.b."))</f>
        <v/>
      </c>
      <c r="BN108" s="124" t="str">
        <f>IF($B108="","",IFERROR(-AD108,"n.b."))</f>
        <v/>
      </c>
      <c r="BO108" s="124" t="str">
        <f>IF($B108="","",IFERROR(BK108+BM108,"n.b."))</f>
        <v/>
      </c>
      <c r="BP108" s="124" t="str">
        <f>IF($B108="","",IFERROR(BL108+BN108,"n.b."))</f>
        <v/>
      </c>
      <c r="BQ108" s="124" t="str">
        <f>IF($B108="","",IFERROR(-AM108,"n.b."))</f>
        <v/>
      </c>
      <c r="BR108" s="124" t="str">
        <f>IF($B108="","",IFERROR(-AO108,"n.b."))</f>
        <v/>
      </c>
      <c r="BS108" s="124" t="str">
        <f>IF($B108="","",IFERROR(-Z108,"n.b."))</f>
        <v/>
      </c>
      <c r="BT108" s="124" t="str">
        <f>IF($B108="","",IFERROR(-AA108,"n.b."))</f>
        <v/>
      </c>
      <c r="BU108" s="124" t="str">
        <f>IF($B108="","",IFERROR(-AE108,"n.b."))</f>
        <v/>
      </c>
      <c r="BV108" s="124" t="str">
        <f>IF($B108="","",IFERROR(-AF108,"n.b."))</f>
        <v/>
      </c>
      <c r="BW108" s="124" t="str">
        <f>IF($B108="","",IFERROR(-AG108,"n.b."))</f>
        <v/>
      </c>
      <c r="BX108" s="124" t="str">
        <f>IF($B108="","",IFERROR(-AH108,"n.b."))</f>
        <v/>
      </c>
      <c r="BY108" s="124" t="str">
        <f>IF($B108="","",IFERROR(-AI108,"n.b."))</f>
        <v/>
      </c>
      <c r="BZ108" s="124" t="str">
        <f>IF($B108="","",IFERROR(-AJ108,"n.b."))</f>
        <v/>
      </c>
      <c r="CA108" s="124" t="str">
        <f>IF($B108="","",IFERROR(-AK108,"n.b."))</f>
        <v/>
      </c>
      <c r="CB108" s="124" t="str">
        <f>IF($B108="","",IFERROR(-AL108,"n.b."))</f>
        <v/>
      </c>
      <c r="CC108" s="124" t="str">
        <f>IF($B108="","",IFERROR(-AP108,"n.b."))</f>
        <v/>
      </c>
      <c r="CD108" s="124" t="str">
        <f>IF($B108="","",IFERROR(-AQ108,"n.b."))</f>
        <v/>
      </c>
      <c r="CE108" s="124" t="str">
        <f>IF($B108="","",IFERROR(-AR108,"n.b."))</f>
        <v/>
      </c>
      <c r="CF108" s="124" t="str">
        <f>IF($B108="","",IFERROR(-AS108,"n.b."))</f>
        <v/>
      </c>
      <c r="CG108" s="124" t="str">
        <f>IF($B108="","",IFERROR(-AT108,"n.b."))</f>
        <v/>
      </c>
      <c r="CH108" s="124" t="str">
        <f>IF($B108="","",IFERROR(-AU108,"n.b."))</f>
        <v/>
      </c>
      <c r="CI108" s="124" t="str">
        <f>IF($B108="","",IFERROR(-AV108,"n.b."))</f>
        <v/>
      </c>
      <c r="CJ108" s="124" t="str">
        <f>IF($B108="","",IFERROR(-AW108,"n.b."))</f>
        <v/>
      </c>
      <c r="CK108" s="124" t="str">
        <f>IF($B108="","",IFERROR(-AX108,"n.b."))</f>
        <v/>
      </c>
      <c r="CL108" s="124" t="str">
        <f>IF($B108="","",IFERROR(-AY108,"n.b."))</f>
        <v/>
      </c>
      <c r="CM108" s="124" t="str">
        <f>IF($B108="","",IFERROR(-AZ108,"n.b."))</f>
        <v/>
      </c>
      <c r="CN108" s="124" t="str">
        <f>IF($B108="","",IFERROR(-BA108,"n.b."))</f>
        <v/>
      </c>
      <c r="CO108" s="124" t="str">
        <f>IF($B108="","",IFERROR(-BB108,"n.b."))</f>
        <v/>
      </c>
      <c r="CP108" s="124" t="str">
        <f>IF($B108="","",IFERROR(-BC108,"n.b."))</f>
        <v/>
      </c>
      <c r="CQ108" s="124" t="str">
        <f>IF($B108="","",IFERROR(-BD108,"n.b."))</f>
        <v/>
      </c>
      <c r="CR108" s="124" t="str">
        <f>IF($B108="","",IFERROR(-BE108,"n.b."))</f>
        <v/>
      </c>
      <c r="CS108" s="124" t="str">
        <f>IF($B108="","",IFERROR(IF(OR(ABS(T108+V108+X108+Z108-AB108)&gt;P_Tol,ABS(U108+W108+Y108+AA108-AD108)&gt;P_Tol,ABS(AE108+AG108+AI108+AK108-AM108)&gt;P_Tol,ABS(AF108+AH108+AJ108+AL108-AO108)&gt;P_Tol),1,0),1))</f>
        <v/>
      </c>
      <c r="CT108" s="124" t="str">
        <f>IF($B108="","",IFERROR(IF(OR(ABS(AB108+AC108-AD108)&gt;P_Tol,ABS(AM108+AN108-AO108)&gt;P_Tol,ABS(O108+P108-Q108)&gt;P_Tol),1,0),1))</f>
        <v/>
      </c>
      <c r="CU108" s="124" t="str">
        <f>IF($B108="","",IFERROR(IF(ABS(R108-(AB108+AM108+AP108+AR108+AT108+AV108+AX108+AZ108+BB108+BD108))&gt;P_Tol,1,0),1))</f>
        <v/>
      </c>
      <c r="CV108" s="124" t="str">
        <f>IF($B108="","",IFERROR(IF(ABS(M108-(N108+O108+R108))&gt;P_Tol,1,0),1))</f>
        <v/>
      </c>
      <c r="CW108" s="124" t="str">
        <f>IF($B108="","",IF(COUNTIF(Mapping!$A$5:$A$104,B108)&gt;0,1,0))</f>
        <v/>
      </c>
      <c r="CX108" s="124" t="str">
        <f>IF($B108="","",COUNTIF($B$6:$B$505,B108))</f>
        <v/>
      </c>
      <c r="CY108" s="124" t="str">
        <f>IF($B108="","",COUNTIF(STG_Woningetalage!$B$6:$B$505,B108))</f>
        <v/>
      </c>
      <c r="CZ108" s="124" t="str">
        <f>IF($B108="","",IF(CW108=0,COUNTIF($CW$6:CW108,0),""))</f>
        <v/>
      </c>
    </row>
    <row r="109">
      <c r="A109" s="15" t="n">
        <v>105</v>
      </c>
      <c r="B109" t="str">
        <f>IF(B$3=0,"",IF(INDEX(SRC_ZPMW03!$A$1:$ZZ$501,$A109,B$3)&amp;""="","",INDEX(SRC_ZPMW03!$A$1:$ZZ$501,$A109,B$3)&amp;""))</f>
        <v/>
      </c>
      <c r="C109" t="str">
        <f>IF($B109="","",IF(C$3=0,"n.b.",INDEX(SRC_ZPMW03!$A$1:$ZZ$501,$A109,C$3)))</f>
        <v/>
      </c>
      <c r="D109" t="str">
        <f>IF($B109="","",IF(D$3=0,"n.b.",INDEX(SRC_ZPMW03!$A$1:$ZZ$501,$A109,D$3)))</f>
        <v/>
      </c>
      <c r="E109" t="str">
        <f>IF($B109="","",IF(E$3=0,"n.b.",INDEX(SRC_ZPMW03!$A$1:$ZZ$501,$A109,E$3)))</f>
        <v/>
      </c>
      <c r="F109" t="str">
        <f>IF($B109="","",IF(F$3=0,"n.b.",INDEX(SRC_ZPMW03!$A$1:$ZZ$501,$A109,F$3)))</f>
        <v/>
      </c>
      <c r="G109" t="str">
        <f>IF($B109="","",IF(G$3=0,"n.b.",INDEX(SRC_ZPMW03!$A$1:$ZZ$501,$A109,G$3)))</f>
        <v/>
      </c>
      <c r="H109" t="str">
        <f>IF($B109="","",IF(H$3=0,"n.b.",INDEX(SRC_ZPMW03!$A$1:$ZZ$501,$A109,H$3)))</f>
        <v/>
      </c>
      <c r="I109" t="str">
        <f>IF($B109="","",IF(I$3=0,"n.b.",INDEX(SRC_ZPMW03!$A$1:$ZZ$501,$A109,I$3)))</f>
        <v/>
      </c>
      <c r="J109" t="str">
        <f>IF($B109="","",IF(J$3=0,"n.b.",INDEX(SRC_ZPMW03!$A$1:$ZZ$501,$A109,J$3)))</f>
        <v/>
      </c>
      <c r="K109" t="str">
        <f>IF($B109="","",IF(K$3=0,"n.b.",INDEX(SRC_ZPMW03!$A$1:$ZZ$501,$A109,K$3)))</f>
        <v/>
      </c>
      <c r="L109" s="124" t="str">
        <f>IF($B109="","",IF(L$3=0,"n.b.",INDEX(SRC_ZPMW03!$A$1:$ZZ$501,$A109,L$3)))</f>
        <v/>
      </c>
      <c r="M109" s="124" t="str">
        <f>IF($B109="","",IF(M$3=0,"n.b.",INDEX(SRC_ZPMW03!$A$1:$ZZ$501,$A109,M$3)))</f>
        <v/>
      </c>
      <c r="N109" s="124" t="str">
        <f>IF($B109="","",IF(N$3=0,"n.b.",INDEX(SRC_ZPMW03!$A$1:$ZZ$501,$A109,N$3)))</f>
        <v/>
      </c>
      <c r="O109" s="124" t="str">
        <f>IF($B109="","",IF(O$3=0,"n.b.",INDEX(SRC_ZPMW03!$A$1:$ZZ$501,$A109,O$3)))</f>
        <v/>
      </c>
      <c r="P109" s="124" t="str">
        <f>IF($B109="","",IF(P$3=0,"n.b.",INDEX(SRC_ZPMW03!$A$1:$ZZ$501,$A109,P$3)))</f>
        <v/>
      </c>
      <c r="Q109" s="124" t="str">
        <f>IF($B109="","",IF(Q$3=0,"n.b.",INDEX(SRC_ZPMW03!$A$1:$ZZ$501,$A109,Q$3)))</f>
        <v/>
      </c>
      <c r="R109" s="124" t="str">
        <f>IF($B109="","",IF(R$3=0,"n.b.",INDEX(SRC_ZPMW03!$A$1:$ZZ$501,$A109,R$3)))</f>
        <v/>
      </c>
      <c r="S109" s="124" t="str">
        <f>IF($B109="","",IF(S$3=0,"n.b.",INDEX(SRC_ZPMW03!$A$1:$ZZ$501,$A109,S$3)))</f>
        <v/>
      </c>
      <c r="T109" s="124" t="str">
        <f>IF($B109="","",IF(T$3=0,"n.b.",INDEX(SRC_ZPMW03!$A$1:$ZZ$501,$A109,T$3)))</f>
        <v/>
      </c>
      <c r="U109" s="124" t="str">
        <f>IF($B109="","",IF(U$3=0,"n.b.",INDEX(SRC_ZPMW03!$A$1:$ZZ$501,$A109,U$3)))</f>
        <v/>
      </c>
      <c r="V109" s="124" t="str">
        <f>IF($B109="","",IF(V$3=0,"n.b.",INDEX(SRC_ZPMW03!$A$1:$ZZ$501,$A109,V$3)))</f>
        <v/>
      </c>
      <c r="W109" s="124" t="str">
        <f>IF($B109="","",IF(W$3=0,"n.b.",INDEX(SRC_ZPMW03!$A$1:$ZZ$501,$A109,W$3)))</f>
        <v/>
      </c>
      <c r="X109" s="124" t="str">
        <f>IF($B109="","",IF(X$3=0,"n.b.",INDEX(SRC_ZPMW03!$A$1:$ZZ$501,$A109,X$3)))</f>
        <v/>
      </c>
      <c r="Y109" s="124" t="str">
        <f>IF($B109="","",IF(Y$3=0,"n.b.",INDEX(SRC_ZPMW03!$A$1:$ZZ$501,$A109,Y$3)))</f>
        <v/>
      </c>
      <c r="Z109" s="124" t="str">
        <f>IF($B109="","",IF(Z$3=0,"n.b.",INDEX(SRC_ZPMW03!$A$1:$ZZ$501,$A109,Z$3)))</f>
        <v/>
      </c>
      <c r="AA109" s="124" t="str">
        <f>IF($B109="","",IF(AA$3=0,"n.b.",INDEX(SRC_ZPMW03!$A$1:$ZZ$501,$A109,AA$3)))</f>
        <v/>
      </c>
      <c r="AB109" s="124" t="str">
        <f>IF($B109="","",IF(AB$3=0,"n.b.",INDEX(SRC_ZPMW03!$A$1:$ZZ$501,$A109,AB$3)))</f>
        <v/>
      </c>
      <c r="AC109" s="124" t="str">
        <f>IF($B109="","",IF(AC$3=0,"n.b.",INDEX(SRC_ZPMW03!$A$1:$ZZ$501,$A109,AC$3)))</f>
        <v/>
      </c>
      <c r="AD109" s="124" t="str">
        <f>IF($B109="","",IF(AD$3=0,"n.b.",INDEX(SRC_ZPMW03!$A$1:$ZZ$501,$A109,AD$3)))</f>
        <v/>
      </c>
      <c r="AE109" s="124" t="str">
        <f>IF($B109="","",IF(AE$3=0,"n.b.",INDEX(SRC_ZPMW03!$A$1:$ZZ$501,$A109,AE$3)))</f>
        <v/>
      </c>
      <c r="AF109" s="124" t="str">
        <f>IF($B109="","",IF(AF$3=0,"n.b.",INDEX(SRC_ZPMW03!$A$1:$ZZ$501,$A109,AF$3)))</f>
        <v/>
      </c>
      <c r="AG109" s="124" t="str">
        <f>IF($B109="","",IF(AG$3=0,"n.b.",INDEX(SRC_ZPMW03!$A$1:$ZZ$501,$A109,AG$3)))</f>
        <v/>
      </c>
      <c r="AH109" s="124" t="str">
        <f>IF($B109="","",IF(AH$3=0,"n.b.",INDEX(SRC_ZPMW03!$A$1:$ZZ$501,$A109,AH$3)))</f>
        <v/>
      </c>
      <c r="AI109" s="124" t="str">
        <f>IF($B109="","",IF(AI$3=0,"n.b.",INDEX(SRC_ZPMW03!$A$1:$ZZ$501,$A109,AI$3)))</f>
        <v/>
      </c>
      <c r="AJ109" s="124" t="str">
        <f>IF($B109="","",IF(AJ$3=0,"n.b.",INDEX(SRC_ZPMW03!$A$1:$ZZ$501,$A109,AJ$3)))</f>
        <v/>
      </c>
      <c r="AK109" s="124" t="str">
        <f>IF($B109="","",IF(AK$3=0,"n.b.",INDEX(SRC_ZPMW03!$A$1:$ZZ$501,$A109,AK$3)))</f>
        <v/>
      </c>
      <c r="AL109" s="124" t="str">
        <f>IF($B109="","",IF(AL$3=0,"n.b.",INDEX(SRC_ZPMW03!$A$1:$ZZ$501,$A109,AL$3)))</f>
        <v/>
      </c>
      <c r="AM109" s="124" t="str">
        <f>IF($B109="","",IF(AM$3=0,"n.b.",INDEX(SRC_ZPMW03!$A$1:$ZZ$501,$A109,AM$3)))</f>
        <v/>
      </c>
      <c r="AN109" s="124" t="str">
        <f>IF($B109="","",IF(AN$3=0,"n.b.",INDEX(SRC_ZPMW03!$A$1:$ZZ$501,$A109,AN$3)))</f>
        <v/>
      </c>
      <c r="AO109" s="124" t="str">
        <f>IF($B109="","",IF(AO$3=0,"n.b.",INDEX(SRC_ZPMW03!$A$1:$ZZ$501,$A109,AO$3)))</f>
        <v/>
      </c>
      <c r="AP109" s="124" t="str">
        <f>IF($B109="","",IF(AP$3=0,"n.b.",INDEX(SRC_ZPMW03!$A$1:$ZZ$501,$A109,AP$3)))</f>
        <v/>
      </c>
      <c r="AQ109" s="124" t="str">
        <f>IF($B109="","",IF(AQ$3=0,"n.b.",INDEX(SRC_ZPMW03!$A$1:$ZZ$501,$A109,AQ$3)))</f>
        <v/>
      </c>
      <c r="AR109" s="124" t="str">
        <f>IF($B109="","",IF(AR$3=0,"n.b.",INDEX(SRC_ZPMW03!$A$1:$ZZ$501,$A109,AR$3)))</f>
        <v/>
      </c>
      <c r="AS109" s="124" t="str">
        <f>IF($B109="","",IF(AS$3=0,"n.b.",INDEX(SRC_ZPMW03!$A$1:$ZZ$501,$A109,AS$3)))</f>
        <v/>
      </c>
      <c r="AT109" s="124" t="str">
        <f>IF($B109="","",IF(AT$3=0,"n.b.",INDEX(SRC_ZPMW03!$A$1:$ZZ$501,$A109,AT$3)))</f>
        <v/>
      </c>
      <c r="AU109" s="124" t="str">
        <f>IF($B109="","",IF(AU$3=0,"n.b.",INDEX(SRC_ZPMW03!$A$1:$ZZ$501,$A109,AU$3)))</f>
        <v/>
      </c>
      <c r="AV109" s="124" t="str">
        <f>IF($B109="","",IF(AV$3=0,"n.b.",INDEX(SRC_ZPMW03!$A$1:$ZZ$501,$A109,AV$3)))</f>
        <v/>
      </c>
      <c r="AW109" s="124" t="str">
        <f>IF($B109="","",IF(AW$3=0,"n.b.",INDEX(SRC_ZPMW03!$A$1:$ZZ$501,$A109,AW$3)))</f>
        <v/>
      </c>
      <c r="AX109" s="124" t="str">
        <f>IF($B109="","",IF(AX$3=0,"n.b.",INDEX(SRC_ZPMW03!$A$1:$ZZ$501,$A109,AX$3)))</f>
        <v/>
      </c>
      <c r="AY109" s="124" t="str">
        <f>IF($B109="","",IF(AY$3=0,"n.b.",INDEX(SRC_ZPMW03!$A$1:$ZZ$501,$A109,AY$3)))</f>
        <v/>
      </c>
      <c r="AZ109" s="124" t="str">
        <f>IF($B109="","",IF(AZ$3=0,"n.b.",INDEX(SRC_ZPMW03!$A$1:$ZZ$501,$A109,AZ$3)))</f>
        <v/>
      </c>
      <c r="BA109" s="124" t="str">
        <f>IF($B109="","",IF(BA$3=0,"n.b.",INDEX(SRC_ZPMW03!$A$1:$ZZ$501,$A109,BA$3)))</f>
        <v/>
      </c>
      <c r="BB109" s="124" t="str">
        <f>IF($B109="","",IF(BB$3=0,"n.b.",INDEX(SRC_ZPMW03!$A$1:$ZZ$501,$A109,BB$3)))</f>
        <v/>
      </c>
      <c r="BC109" s="124" t="str">
        <f>IF($B109="","",IF(BC$3=0,"n.b.",INDEX(SRC_ZPMW03!$A$1:$ZZ$501,$A109,BC$3)))</f>
        <v/>
      </c>
      <c r="BD109" s="124" t="str">
        <f>IF($B109="","",IF(BD$3=0,"n.b.",INDEX(SRC_ZPMW03!$A$1:$ZZ$501,$A109,BD$3)))</f>
        <v/>
      </c>
      <c r="BE109" s="124" t="str">
        <f>IF($B109="","",IF(BE$3=0,"n.b.",INDEX(SRC_ZPMW03!$A$1:$ZZ$501,$A109,BE$3)))</f>
        <v/>
      </c>
      <c r="BF109" s="124" t="str">
        <f>IF($B109="","",IF(BF$3=0,"n.b.",INDEX(SRC_ZPMW03!$A$1:$ZZ$501,$A109,BF$3)))</f>
        <v/>
      </c>
      <c r="BG109" t="str">
        <f>IF($B109="","",IF(BG$3=0,"n.b.",INDEX(SRC_ZPMW03!$A$1:$ZZ$501,$A109,BG$3)))</f>
        <v/>
      </c>
      <c r="BH109" t="str">
        <f>IF($B109="","",IF(BH$3=0,"n.b.",INDEX(SRC_ZPMW03!$A$1:$ZZ$501,$A109,BH$3)))</f>
        <v/>
      </c>
      <c r="BI109" t="str">
        <f>IF($B109="","",IF(BI$3=0,"n.b.",INDEX(SRC_ZPMW03!$A$1:$ZZ$501,$A109,BI$3)))</f>
        <v/>
      </c>
      <c r="BJ109" t="str">
        <f>IF($B109="","",IF(BJ$3=0,"n.b.",INDEX(SRC_ZPMW03!$A$1:$ZZ$501,$A109,BJ$3)))</f>
        <v/>
      </c>
      <c r="BK109" s="124" t="str">
        <f>IF($B109="","",IFERROR(-O109,"n.b."))</f>
        <v/>
      </c>
      <c r="BL109" s="124" t="str">
        <f>IF($B109="","",IFERROR(-Q109,"n.b."))</f>
        <v/>
      </c>
      <c r="BM109" s="124" t="str">
        <f>IF($B109="","",IFERROR(-AB109,"n.b."))</f>
        <v/>
      </c>
      <c r="BN109" s="124" t="str">
        <f>IF($B109="","",IFERROR(-AD109,"n.b."))</f>
        <v/>
      </c>
      <c r="BO109" s="124" t="str">
        <f>IF($B109="","",IFERROR(BK109+BM109,"n.b."))</f>
        <v/>
      </c>
      <c r="BP109" s="124" t="str">
        <f>IF($B109="","",IFERROR(BL109+BN109,"n.b."))</f>
        <v/>
      </c>
      <c r="BQ109" s="124" t="str">
        <f>IF($B109="","",IFERROR(-AM109,"n.b."))</f>
        <v/>
      </c>
      <c r="BR109" s="124" t="str">
        <f>IF($B109="","",IFERROR(-AO109,"n.b."))</f>
        <v/>
      </c>
      <c r="BS109" s="124" t="str">
        <f>IF($B109="","",IFERROR(-Z109,"n.b."))</f>
        <v/>
      </c>
      <c r="BT109" s="124" t="str">
        <f>IF($B109="","",IFERROR(-AA109,"n.b."))</f>
        <v/>
      </c>
      <c r="BU109" s="124" t="str">
        <f>IF($B109="","",IFERROR(-AE109,"n.b."))</f>
        <v/>
      </c>
      <c r="BV109" s="124" t="str">
        <f>IF($B109="","",IFERROR(-AF109,"n.b."))</f>
        <v/>
      </c>
      <c r="BW109" s="124" t="str">
        <f>IF($B109="","",IFERROR(-AG109,"n.b."))</f>
        <v/>
      </c>
      <c r="BX109" s="124" t="str">
        <f>IF($B109="","",IFERROR(-AH109,"n.b."))</f>
        <v/>
      </c>
      <c r="BY109" s="124" t="str">
        <f>IF($B109="","",IFERROR(-AI109,"n.b."))</f>
        <v/>
      </c>
      <c r="BZ109" s="124" t="str">
        <f>IF($B109="","",IFERROR(-AJ109,"n.b."))</f>
        <v/>
      </c>
      <c r="CA109" s="124" t="str">
        <f>IF($B109="","",IFERROR(-AK109,"n.b."))</f>
        <v/>
      </c>
      <c r="CB109" s="124" t="str">
        <f>IF($B109="","",IFERROR(-AL109,"n.b."))</f>
        <v/>
      </c>
      <c r="CC109" s="124" t="str">
        <f>IF($B109="","",IFERROR(-AP109,"n.b."))</f>
        <v/>
      </c>
      <c r="CD109" s="124" t="str">
        <f>IF($B109="","",IFERROR(-AQ109,"n.b."))</f>
        <v/>
      </c>
      <c r="CE109" s="124" t="str">
        <f>IF($B109="","",IFERROR(-AR109,"n.b."))</f>
        <v/>
      </c>
      <c r="CF109" s="124" t="str">
        <f>IF($B109="","",IFERROR(-AS109,"n.b."))</f>
        <v/>
      </c>
      <c r="CG109" s="124" t="str">
        <f>IF($B109="","",IFERROR(-AT109,"n.b."))</f>
        <v/>
      </c>
      <c r="CH109" s="124" t="str">
        <f>IF($B109="","",IFERROR(-AU109,"n.b."))</f>
        <v/>
      </c>
      <c r="CI109" s="124" t="str">
        <f>IF($B109="","",IFERROR(-AV109,"n.b."))</f>
        <v/>
      </c>
      <c r="CJ109" s="124" t="str">
        <f>IF($B109="","",IFERROR(-AW109,"n.b."))</f>
        <v/>
      </c>
      <c r="CK109" s="124" t="str">
        <f>IF($B109="","",IFERROR(-AX109,"n.b."))</f>
        <v/>
      </c>
      <c r="CL109" s="124" t="str">
        <f>IF($B109="","",IFERROR(-AY109,"n.b."))</f>
        <v/>
      </c>
      <c r="CM109" s="124" t="str">
        <f>IF($B109="","",IFERROR(-AZ109,"n.b."))</f>
        <v/>
      </c>
      <c r="CN109" s="124" t="str">
        <f>IF($B109="","",IFERROR(-BA109,"n.b."))</f>
        <v/>
      </c>
      <c r="CO109" s="124" t="str">
        <f>IF($B109="","",IFERROR(-BB109,"n.b."))</f>
        <v/>
      </c>
      <c r="CP109" s="124" t="str">
        <f>IF($B109="","",IFERROR(-BC109,"n.b."))</f>
        <v/>
      </c>
      <c r="CQ109" s="124" t="str">
        <f>IF($B109="","",IFERROR(-BD109,"n.b."))</f>
        <v/>
      </c>
      <c r="CR109" s="124" t="str">
        <f>IF($B109="","",IFERROR(-BE109,"n.b."))</f>
        <v/>
      </c>
      <c r="CS109" s="124" t="str">
        <f>IF($B109="","",IFERROR(IF(OR(ABS(T109+V109+X109+Z109-AB109)&gt;P_Tol,ABS(U109+W109+Y109+AA109-AD109)&gt;P_Tol,ABS(AE109+AG109+AI109+AK109-AM109)&gt;P_Tol,ABS(AF109+AH109+AJ109+AL109-AO109)&gt;P_Tol),1,0),1))</f>
        <v/>
      </c>
      <c r="CT109" s="124" t="str">
        <f>IF($B109="","",IFERROR(IF(OR(ABS(AB109+AC109-AD109)&gt;P_Tol,ABS(AM109+AN109-AO109)&gt;P_Tol,ABS(O109+P109-Q109)&gt;P_Tol),1,0),1))</f>
        <v/>
      </c>
      <c r="CU109" s="124" t="str">
        <f>IF($B109="","",IFERROR(IF(ABS(R109-(AB109+AM109+AP109+AR109+AT109+AV109+AX109+AZ109+BB109+BD109))&gt;P_Tol,1,0),1))</f>
        <v/>
      </c>
      <c r="CV109" s="124" t="str">
        <f>IF($B109="","",IFERROR(IF(ABS(M109-(N109+O109+R109))&gt;P_Tol,1,0),1))</f>
        <v/>
      </c>
      <c r="CW109" s="124" t="str">
        <f>IF($B109="","",IF(COUNTIF(Mapping!$A$5:$A$104,B109)&gt;0,1,0))</f>
        <v/>
      </c>
      <c r="CX109" s="124" t="str">
        <f>IF($B109="","",COUNTIF($B$6:$B$505,B109))</f>
        <v/>
      </c>
      <c r="CY109" s="124" t="str">
        <f>IF($B109="","",COUNTIF(STG_Woningetalage!$B$6:$B$505,B109))</f>
        <v/>
      </c>
      <c r="CZ109" s="124" t="str">
        <f>IF($B109="","",IF(CW109=0,COUNTIF($CW$6:CW109,0),""))</f>
        <v/>
      </c>
    </row>
    <row r="110">
      <c r="A110" s="15" t="n">
        <v>106</v>
      </c>
      <c r="B110" t="str">
        <f>IF(B$3=0,"",IF(INDEX(SRC_ZPMW03!$A$1:$ZZ$501,$A110,B$3)&amp;""="","",INDEX(SRC_ZPMW03!$A$1:$ZZ$501,$A110,B$3)&amp;""))</f>
        <v/>
      </c>
      <c r="C110" t="str">
        <f>IF($B110="","",IF(C$3=0,"n.b.",INDEX(SRC_ZPMW03!$A$1:$ZZ$501,$A110,C$3)))</f>
        <v/>
      </c>
      <c r="D110" t="str">
        <f>IF($B110="","",IF(D$3=0,"n.b.",INDEX(SRC_ZPMW03!$A$1:$ZZ$501,$A110,D$3)))</f>
        <v/>
      </c>
      <c r="E110" t="str">
        <f>IF($B110="","",IF(E$3=0,"n.b.",INDEX(SRC_ZPMW03!$A$1:$ZZ$501,$A110,E$3)))</f>
        <v/>
      </c>
      <c r="F110" t="str">
        <f>IF($B110="","",IF(F$3=0,"n.b.",INDEX(SRC_ZPMW03!$A$1:$ZZ$501,$A110,F$3)))</f>
        <v/>
      </c>
      <c r="G110" t="str">
        <f>IF($B110="","",IF(G$3=0,"n.b.",INDEX(SRC_ZPMW03!$A$1:$ZZ$501,$A110,G$3)))</f>
        <v/>
      </c>
      <c r="H110" t="str">
        <f>IF($B110="","",IF(H$3=0,"n.b.",INDEX(SRC_ZPMW03!$A$1:$ZZ$501,$A110,H$3)))</f>
        <v/>
      </c>
      <c r="I110" t="str">
        <f>IF($B110="","",IF(I$3=0,"n.b.",INDEX(SRC_ZPMW03!$A$1:$ZZ$501,$A110,I$3)))</f>
        <v/>
      </c>
      <c r="J110" t="str">
        <f>IF($B110="","",IF(J$3=0,"n.b.",INDEX(SRC_ZPMW03!$A$1:$ZZ$501,$A110,J$3)))</f>
        <v/>
      </c>
      <c r="K110" t="str">
        <f>IF($B110="","",IF(K$3=0,"n.b.",INDEX(SRC_ZPMW03!$A$1:$ZZ$501,$A110,K$3)))</f>
        <v/>
      </c>
      <c r="L110" s="124" t="str">
        <f>IF($B110="","",IF(L$3=0,"n.b.",INDEX(SRC_ZPMW03!$A$1:$ZZ$501,$A110,L$3)))</f>
        <v/>
      </c>
      <c r="M110" s="124" t="str">
        <f>IF($B110="","",IF(M$3=0,"n.b.",INDEX(SRC_ZPMW03!$A$1:$ZZ$501,$A110,M$3)))</f>
        <v/>
      </c>
      <c r="N110" s="124" t="str">
        <f>IF($B110="","",IF(N$3=0,"n.b.",INDEX(SRC_ZPMW03!$A$1:$ZZ$501,$A110,N$3)))</f>
        <v/>
      </c>
      <c r="O110" s="124" t="str">
        <f>IF($B110="","",IF(O$3=0,"n.b.",INDEX(SRC_ZPMW03!$A$1:$ZZ$501,$A110,O$3)))</f>
        <v/>
      </c>
      <c r="P110" s="124" t="str">
        <f>IF($B110="","",IF(P$3=0,"n.b.",INDEX(SRC_ZPMW03!$A$1:$ZZ$501,$A110,P$3)))</f>
        <v/>
      </c>
      <c r="Q110" s="124" t="str">
        <f>IF($B110="","",IF(Q$3=0,"n.b.",INDEX(SRC_ZPMW03!$A$1:$ZZ$501,$A110,Q$3)))</f>
        <v/>
      </c>
      <c r="R110" s="124" t="str">
        <f>IF($B110="","",IF(R$3=0,"n.b.",INDEX(SRC_ZPMW03!$A$1:$ZZ$501,$A110,R$3)))</f>
        <v/>
      </c>
      <c r="S110" s="124" t="str">
        <f>IF($B110="","",IF(S$3=0,"n.b.",INDEX(SRC_ZPMW03!$A$1:$ZZ$501,$A110,S$3)))</f>
        <v/>
      </c>
      <c r="T110" s="124" t="str">
        <f>IF($B110="","",IF(T$3=0,"n.b.",INDEX(SRC_ZPMW03!$A$1:$ZZ$501,$A110,T$3)))</f>
        <v/>
      </c>
      <c r="U110" s="124" t="str">
        <f>IF($B110="","",IF(U$3=0,"n.b.",INDEX(SRC_ZPMW03!$A$1:$ZZ$501,$A110,U$3)))</f>
        <v/>
      </c>
      <c r="V110" s="124" t="str">
        <f>IF($B110="","",IF(V$3=0,"n.b.",INDEX(SRC_ZPMW03!$A$1:$ZZ$501,$A110,V$3)))</f>
        <v/>
      </c>
      <c r="W110" s="124" t="str">
        <f>IF($B110="","",IF(W$3=0,"n.b.",INDEX(SRC_ZPMW03!$A$1:$ZZ$501,$A110,W$3)))</f>
        <v/>
      </c>
      <c r="X110" s="124" t="str">
        <f>IF($B110="","",IF(X$3=0,"n.b.",INDEX(SRC_ZPMW03!$A$1:$ZZ$501,$A110,X$3)))</f>
        <v/>
      </c>
      <c r="Y110" s="124" t="str">
        <f>IF($B110="","",IF(Y$3=0,"n.b.",INDEX(SRC_ZPMW03!$A$1:$ZZ$501,$A110,Y$3)))</f>
        <v/>
      </c>
      <c r="Z110" s="124" t="str">
        <f>IF($B110="","",IF(Z$3=0,"n.b.",INDEX(SRC_ZPMW03!$A$1:$ZZ$501,$A110,Z$3)))</f>
        <v/>
      </c>
      <c r="AA110" s="124" t="str">
        <f>IF($B110="","",IF(AA$3=0,"n.b.",INDEX(SRC_ZPMW03!$A$1:$ZZ$501,$A110,AA$3)))</f>
        <v/>
      </c>
      <c r="AB110" s="124" t="str">
        <f>IF($B110="","",IF(AB$3=0,"n.b.",INDEX(SRC_ZPMW03!$A$1:$ZZ$501,$A110,AB$3)))</f>
        <v/>
      </c>
      <c r="AC110" s="124" t="str">
        <f>IF($B110="","",IF(AC$3=0,"n.b.",INDEX(SRC_ZPMW03!$A$1:$ZZ$501,$A110,AC$3)))</f>
        <v/>
      </c>
      <c r="AD110" s="124" t="str">
        <f>IF($B110="","",IF(AD$3=0,"n.b.",INDEX(SRC_ZPMW03!$A$1:$ZZ$501,$A110,AD$3)))</f>
        <v/>
      </c>
      <c r="AE110" s="124" t="str">
        <f>IF($B110="","",IF(AE$3=0,"n.b.",INDEX(SRC_ZPMW03!$A$1:$ZZ$501,$A110,AE$3)))</f>
        <v/>
      </c>
      <c r="AF110" s="124" t="str">
        <f>IF($B110="","",IF(AF$3=0,"n.b.",INDEX(SRC_ZPMW03!$A$1:$ZZ$501,$A110,AF$3)))</f>
        <v/>
      </c>
      <c r="AG110" s="124" t="str">
        <f>IF($B110="","",IF(AG$3=0,"n.b.",INDEX(SRC_ZPMW03!$A$1:$ZZ$501,$A110,AG$3)))</f>
        <v/>
      </c>
      <c r="AH110" s="124" t="str">
        <f>IF($B110="","",IF(AH$3=0,"n.b.",INDEX(SRC_ZPMW03!$A$1:$ZZ$501,$A110,AH$3)))</f>
        <v/>
      </c>
      <c r="AI110" s="124" t="str">
        <f>IF($B110="","",IF(AI$3=0,"n.b.",INDEX(SRC_ZPMW03!$A$1:$ZZ$501,$A110,AI$3)))</f>
        <v/>
      </c>
      <c r="AJ110" s="124" t="str">
        <f>IF($B110="","",IF(AJ$3=0,"n.b.",INDEX(SRC_ZPMW03!$A$1:$ZZ$501,$A110,AJ$3)))</f>
        <v/>
      </c>
      <c r="AK110" s="124" t="str">
        <f>IF($B110="","",IF(AK$3=0,"n.b.",INDEX(SRC_ZPMW03!$A$1:$ZZ$501,$A110,AK$3)))</f>
        <v/>
      </c>
      <c r="AL110" s="124" t="str">
        <f>IF($B110="","",IF(AL$3=0,"n.b.",INDEX(SRC_ZPMW03!$A$1:$ZZ$501,$A110,AL$3)))</f>
        <v/>
      </c>
      <c r="AM110" s="124" t="str">
        <f>IF($B110="","",IF(AM$3=0,"n.b.",INDEX(SRC_ZPMW03!$A$1:$ZZ$501,$A110,AM$3)))</f>
        <v/>
      </c>
      <c r="AN110" s="124" t="str">
        <f>IF($B110="","",IF(AN$3=0,"n.b.",INDEX(SRC_ZPMW03!$A$1:$ZZ$501,$A110,AN$3)))</f>
        <v/>
      </c>
      <c r="AO110" s="124" t="str">
        <f>IF($B110="","",IF(AO$3=0,"n.b.",INDEX(SRC_ZPMW03!$A$1:$ZZ$501,$A110,AO$3)))</f>
        <v/>
      </c>
      <c r="AP110" s="124" t="str">
        <f>IF($B110="","",IF(AP$3=0,"n.b.",INDEX(SRC_ZPMW03!$A$1:$ZZ$501,$A110,AP$3)))</f>
        <v/>
      </c>
      <c r="AQ110" s="124" t="str">
        <f>IF($B110="","",IF(AQ$3=0,"n.b.",INDEX(SRC_ZPMW03!$A$1:$ZZ$501,$A110,AQ$3)))</f>
        <v/>
      </c>
      <c r="AR110" s="124" t="str">
        <f>IF($B110="","",IF(AR$3=0,"n.b.",INDEX(SRC_ZPMW03!$A$1:$ZZ$501,$A110,AR$3)))</f>
        <v/>
      </c>
      <c r="AS110" s="124" t="str">
        <f>IF($B110="","",IF(AS$3=0,"n.b.",INDEX(SRC_ZPMW03!$A$1:$ZZ$501,$A110,AS$3)))</f>
        <v/>
      </c>
      <c r="AT110" s="124" t="str">
        <f>IF($B110="","",IF(AT$3=0,"n.b.",INDEX(SRC_ZPMW03!$A$1:$ZZ$501,$A110,AT$3)))</f>
        <v/>
      </c>
      <c r="AU110" s="124" t="str">
        <f>IF($B110="","",IF(AU$3=0,"n.b.",INDEX(SRC_ZPMW03!$A$1:$ZZ$501,$A110,AU$3)))</f>
        <v/>
      </c>
      <c r="AV110" s="124" t="str">
        <f>IF($B110="","",IF(AV$3=0,"n.b.",INDEX(SRC_ZPMW03!$A$1:$ZZ$501,$A110,AV$3)))</f>
        <v/>
      </c>
      <c r="AW110" s="124" t="str">
        <f>IF($B110="","",IF(AW$3=0,"n.b.",INDEX(SRC_ZPMW03!$A$1:$ZZ$501,$A110,AW$3)))</f>
        <v/>
      </c>
      <c r="AX110" s="124" t="str">
        <f>IF($B110="","",IF(AX$3=0,"n.b.",INDEX(SRC_ZPMW03!$A$1:$ZZ$501,$A110,AX$3)))</f>
        <v/>
      </c>
      <c r="AY110" s="124" t="str">
        <f>IF($B110="","",IF(AY$3=0,"n.b.",INDEX(SRC_ZPMW03!$A$1:$ZZ$501,$A110,AY$3)))</f>
        <v/>
      </c>
      <c r="AZ110" s="124" t="str">
        <f>IF($B110="","",IF(AZ$3=0,"n.b.",INDEX(SRC_ZPMW03!$A$1:$ZZ$501,$A110,AZ$3)))</f>
        <v/>
      </c>
      <c r="BA110" s="124" t="str">
        <f>IF($B110="","",IF(BA$3=0,"n.b.",INDEX(SRC_ZPMW03!$A$1:$ZZ$501,$A110,BA$3)))</f>
        <v/>
      </c>
      <c r="BB110" s="124" t="str">
        <f>IF($B110="","",IF(BB$3=0,"n.b.",INDEX(SRC_ZPMW03!$A$1:$ZZ$501,$A110,BB$3)))</f>
        <v/>
      </c>
      <c r="BC110" s="124" t="str">
        <f>IF($B110="","",IF(BC$3=0,"n.b.",INDEX(SRC_ZPMW03!$A$1:$ZZ$501,$A110,BC$3)))</f>
        <v/>
      </c>
      <c r="BD110" s="124" t="str">
        <f>IF($B110="","",IF(BD$3=0,"n.b.",INDEX(SRC_ZPMW03!$A$1:$ZZ$501,$A110,BD$3)))</f>
        <v/>
      </c>
      <c r="BE110" s="124" t="str">
        <f>IF($B110="","",IF(BE$3=0,"n.b.",INDEX(SRC_ZPMW03!$A$1:$ZZ$501,$A110,BE$3)))</f>
        <v/>
      </c>
      <c r="BF110" s="124" t="str">
        <f>IF($B110="","",IF(BF$3=0,"n.b.",INDEX(SRC_ZPMW03!$A$1:$ZZ$501,$A110,BF$3)))</f>
        <v/>
      </c>
      <c r="BG110" t="str">
        <f>IF($B110="","",IF(BG$3=0,"n.b.",INDEX(SRC_ZPMW03!$A$1:$ZZ$501,$A110,BG$3)))</f>
        <v/>
      </c>
      <c r="BH110" t="str">
        <f>IF($B110="","",IF(BH$3=0,"n.b.",INDEX(SRC_ZPMW03!$A$1:$ZZ$501,$A110,BH$3)))</f>
        <v/>
      </c>
      <c r="BI110" t="str">
        <f>IF($B110="","",IF(BI$3=0,"n.b.",INDEX(SRC_ZPMW03!$A$1:$ZZ$501,$A110,BI$3)))</f>
        <v/>
      </c>
      <c r="BJ110" t="str">
        <f>IF($B110="","",IF(BJ$3=0,"n.b.",INDEX(SRC_ZPMW03!$A$1:$ZZ$501,$A110,BJ$3)))</f>
        <v/>
      </c>
      <c r="BK110" s="124" t="str">
        <f>IF($B110="","",IFERROR(-O110,"n.b."))</f>
        <v/>
      </c>
      <c r="BL110" s="124" t="str">
        <f>IF($B110="","",IFERROR(-Q110,"n.b."))</f>
        <v/>
      </c>
      <c r="BM110" s="124" t="str">
        <f>IF($B110="","",IFERROR(-AB110,"n.b."))</f>
        <v/>
      </c>
      <c r="BN110" s="124" t="str">
        <f>IF($B110="","",IFERROR(-AD110,"n.b."))</f>
        <v/>
      </c>
      <c r="BO110" s="124" t="str">
        <f>IF($B110="","",IFERROR(BK110+BM110,"n.b."))</f>
        <v/>
      </c>
      <c r="BP110" s="124" t="str">
        <f>IF($B110="","",IFERROR(BL110+BN110,"n.b."))</f>
        <v/>
      </c>
      <c r="BQ110" s="124" t="str">
        <f>IF($B110="","",IFERROR(-AM110,"n.b."))</f>
        <v/>
      </c>
      <c r="BR110" s="124" t="str">
        <f>IF($B110="","",IFERROR(-AO110,"n.b."))</f>
        <v/>
      </c>
      <c r="BS110" s="124" t="str">
        <f>IF($B110="","",IFERROR(-Z110,"n.b."))</f>
        <v/>
      </c>
      <c r="BT110" s="124" t="str">
        <f>IF($B110="","",IFERROR(-AA110,"n.b."))</f>
        <v/>
      </c>
      <c r="BU110" s="124" t="str">
        <f>IF($B110="","",IFERROR(-AE110,"n.b."))</f>
        <v/>
      </c>
      <c r="BV110" s="124" t="str">
        <f>IF($B110="","",IFERROR(-AF110,"n.b."))</f>
        <v/>
      </c>
      <c r="BW110" s="124" t="str">
        <f>IF($B110="","",IFERROR(-AG110,"n.b."))</f>
        <v/>
      </c>
      <c r="BX110" s="124" t="str">
        <f>IF($B110="","",IFERROR(-AH110,"n.b."))</f>
        <v/>
      </c>
      <c r="BY110" s="124" t="str">
        <f>IF($B110="","",IFERROR(-AI110,"n.b."))</f>
        <v/>
      </c>
      <c r="BZ110" s="124" t="str">
        <f>IF($B110="","",IFERROR(-AJ110,"n.b."))</f>
        <v/>
      </c>
      <c r="CA110" s="124" t="str">
        <f>IF($B110="","",IFERROR(-AK110,"n.b."))</f>
        <v/>
      </c>
      <c r="CB110" s="124" t="str">
        <f>IF($B110="","",IFERROR(-AL110,"n.b."))</f>
        <v/>
      </c>
      <c r="CC110" s="124" t="str">
        <f>IF($B110="","",IFERROR(-AP110,"n.b."))</f>
        <v/>
      </c>
      <c r="CD110" s="124" t="str">
        <f>IF($B110="","",IFERROR(-AQ110,"n.b."))</f>
        <v/>
      </c>
      <c r="CE110" s="124" t="str">
        <f>IF($B110="","",IFERROR(-AR110,"n.b."))</f>
        <v/>
      </c>
      <c r="CF110" s="124" t="str">
        <f>IF($B110="","",IFERROR(-AS110,"n.b."))</f>
        <v/>
      </c>
      <c r="CG110" s="124" t="str">
        <f>IF($B110="","",IFERROR(-AT110,"n.b."))</f>
        <v/>
      </c>
      <c r="CH110" s="124" t="str">
        <f>IF($B110="","",IFERROR(-AU110,"n.b."))</f>
        <v/>
      </c>
      <c r="CI110" s="124" t="str">
        <f>IF($B110="","",IFERROR(-AV110,"n.b."))</f>
        <v/>
      </c>
      <c r="CJ110" s="124" t="str">
        <f>IF($B110="","",IFERROR(-AW110,"n.b."))</f>
        <v/>
      </c>
      <c r="CK110" s="124" t="str">
        <f>IF($B110="","",IFERROR(-AX110,"n.b."))</f>
        <v/>
      </c>
      <c r="CL110" s="124" t="str">
        <f>IF($B110="","",IFERROR(-AY110,"n.b."))</f>
        <v/>
      </c>
      <c r="CM110" s="124" t="str">
        <f>IF($B110="","",IFERROR(-AZ110,"n.b."))</f>
        <v/>
      </c>
      <c r="CN110" s="124" t="str">
        <f>IF($B110="","",IFERROR(-BA110,"n.b."))</f>
        <v/>
      </c>
      <c r="CO110" s="124" t="str">
        <f>IF($B110="","",IFERROR(-BB110,"n.b."))</f>
        <v/>
      </c>
      <c r="CP110" s="124" t="str">
        <f>IF($B110="","",IFERROR(-BC110,"n.b."))</f>
        <v/>
      </c>
      <c r="CQ110" s="124" t="str">
        <f>IF($B110="","",IFERROR(-BD110,"n.b."))</f>
        <v/>
      </c>
      <c r="CR110" s="124" t="str">
        <f>IF($B110="","",IFERROR(-BE110,"n.b."))</f>
        <v/>
      </c>
      <c r="CS110" s="124" t="str">
        <f>IF($B110="","",IFERROR(IF(OR(ABS(T110+V110+X110+Z110-AB110)&gt;P_Tol,ABS(U110+W110+Y110+AA110-AD110)&gt;P_Tol,ABS(AE110+AG110+AI110+AK110-AM110)&gt;P_Tol,ABS(AF110+AH110+AJ110+AL110-AO110)&gt;P_Tol),1,0),1))</f>
        <v/>
      </c>
      <c r="CT110" s="124" t="str">
        <f>IF($B110="","",IFERROR(IF(OR(ABS(AB110+AC110-AD110)&gt;P_Tol,ABS(AM110+AN110-AO110)&gt;P_Tol,ABS(O110+P110-Q110)&gt;P_Tol),1,0),1))</f>
        <v/>
      </c>
      <c r="CU110" s="124" t="str">
        <f>IF($B110="","",IFERROR(IF(ABS(R110-(AB110+AM110+AP110+AR110+AT110+AV110+AX110+AZ110+BB110+BD110))&gt;P_Tol,1,0),1))</f>
        <v/>
      </c>
      <c r="CV110" s="124" t="str">
        <f>IF($B110="","",IFERROR(IF(ABS(M110-(N110+O110+R110))&gt;P_Tol,1,0),1))</f>
        <v/>
      </c>
      <c r="CW110" s="124" t="str">
        <f>IF($B110="","",IF(COUNTIF(Mapping!$A$5:$A$104,B110)&gt;0,1,0))</f>
        <v/>
      </c>
      <c r="CX110" s="124" t="str">
        <f>IF($B110="","",COUNTIF($B$6:$B$505,B110))</f>
        <v/>
      </c>
      <c r="CY110" s="124" t="str">
        <f>IF($B110="","",COUNTIF(STG_Woningetalage!$B$6:$B$505,B110))</f>
        <v/>
      </c>
      <c r="CZ110" s="124" t="str">
        <f>IF($B110="","",IF(CW110=0,COUNTIF($CW$6:CW110,0),""))</f>
        <v/>
      </c>
    </row>
    <row r="111">
      <c r="A111" s="15" t="n">
        <v>107</v>
      </c>
      <c r="B111" t="str">
        <f>IF(B$3=0,"",IF(INDEX(SRC_ZPMW03!$A$1:$ZZ$501,$A111,B$3)&amp;""="","",INDEX(SRC_ZPMW03!$A$1:$ZZ$501,$A111,B$3)&amp;""))</f>
        <v/>
      </c>
      <c r="C111" t="str">
        <f>IF($B111="","",IF(C$3=0,"n.b.",INDEX(SRC_ZPMW03!$A$1:$ZZ$501,$A111,C$3)))</f>
        <v/>
      </c>
      <c r="D111" t="str">
        <f>IF($B111="","",IF(D$3=0,"n.b.",INDEX(SRC_ZPMW03!$A$1:$ZZ$501,$A111,D$3)))</f>
        <v/>
      </c>
      <c r="E111" t="str">
        <f>IF($B111="","",IF(E$3=0,"n.b.",INDEX(SRC_ZPMW03!$A$1:$ZZ$501,$A111,E$3)))</f>
        <v/>
      </c>
      <c r="F111" t="str">
        <f>IF($B111="","",IF(F$3=0,"n.b.",INDEX(SRC_ZPMW03!$A$1:$ZZ$501,$A111,F$3)))</f>
        <v/>
      </c>
      <c r="G111" t="str">
        <f>IF($B111="","",IF(G$3=0,"n.b.",INDEX(SRC_ZPMW03!$A$1:$ZZ$501,$A111,G$3)))</f>
        <v/>
      </c>
      <c r="H111" t="str">
        <f>IF($B111="","",IF(H$3=0,"n.b.",INDEX(SRC_ZPMW03!$A$1:$ZZ$501,$A111,H$3)))</f>
        <v/>
      </c>
      <c r="I111" t="str">
        <f>IF($B111="","",IF(I$3=0,"n.b.",INDEX(SRC_ZPMW03!$A$1:$ZZ$501,$A111,I$3)))</f>
        <v/>
      </c>
      <c r="J111" t="str">
        <f>IF($B111="","",IF(J$3=0,"n.b.",INDEX(SRC_ZPMW03!$A$1:$ZZ$501,$A111,J$3)))</f>
        <v/>
      </c>
      <c r="K111" t="str">
        <f>IF($B111="","",IF(K$3=0,"n.b.",INDEX(SRC_ZPMW03!$A$1:$ZZ$501,$A111,K$3)))</f>
        <v/>
      </c>
      <c r="L111" s="124" t="str">
        <f>IF($B111="","",IF(L$3=0,"n.b.",INDEX(SRC_ZPMW03!$A$1:$ZZ$501,$A111,L$3)))</f>
        <v/>
      </c>
      <c r="M111" s="124" t="str">
        <f>IF($B111="","",IF(M$3=0,"n.b.",INDEX(SRC_ZPMW03!$A$1:$ZZ$501,$A111,M$3)))</f>
        <v/>
      </c>
      <c r="N111" s="124" t="str">
        <f>IF($B111="","",IF(N$3=0,"n.b.",INDEX(SRC_ZPMW03!$A$1:$ZZ$501,$A111,N$3)))</f>
        <v/>
      </c>
      <c r="O111" s="124" t="str">
        <f>IF($B111="","",IF(O$3=0,"n.b.",INDEX(SRC_ZPMW03!$A$1:$ZZ$501,$A111,O$3)))</f>
        <v/>
      </c>
      <c r="P111" s="124" t="str">
        <f>IF($B111="","",IF(P$3=0,"n.b.",INDEX(SRC_ZPMW03!$A$1:$ZZ$501,$A111,P$3)))</f>
        <v/>
      </c>
      <c r="Q111" s="124" t="str">
        <f>IF($B111="","",IF(Q$3=0,"n.b.",INDEX(SRC_ZPMW03!$A$1:$ZZ$501,$A111,Q$3)))</f>
        <v/>
      </c>
      <c r="R111" s="124" t="str">
        <f>IF($B111="","",IF(R$3=0,"n.b.",INDEX(SRC_ZPMW03!$A$1:$ZZ$501,$A111,R$3)))</f>
        <v/>
      </c>
      <c r="S111" s="124" t="str">
        <f>IF($B111="","",IF(S$3=0,"n.b.",INDEX(SRC_ZPMW03!$A$1:$ZZ$501,$A111,S$3)))</f>
        <v/>
      </c>
      <c r="T111" s="124" t="str">
        <f>IF($B111="","",IF(T$3=0,"n.b.",INDEX(SRC_ZPMW03!$A$1:$ZZ$501,$A111,T$3)))</f>
        <v/>
      </c>
      <c r="U111" s="124" t="str">
        <f>IF($B111="","",IF(U$3=0,"n.b.",INDEX(SRC_ZPMW03!$A$1:$ZZ$501,$A111,U$3)))</f>
        <v/>
      </c>
      <c r="V111" s="124" t="str">
        <f>IF($B111="","",IF(V$3=0,"n.b.",INDEX(SRC_ZPMW03!$A$1:$ZZ$501,$A111,V$3)))</f>
        <v/>
      </c>
      <c r="W111" s="124" t="str">
        <f>IF($B111="","",IF(W$3=0,"n.b.",INDEX(SRC_ZPMW03!$A$1:$ZZ$501,$A111,W$3)))</f>
        <v/>
      </c>
      <c r="X111" s="124" t="str">
        <f>IF($B111="","",IF(X$3=0,"n.b.",INDEX(SRC_ZPMW03!$A$1:$ZZ$501,$A111,X$3)))</f>
        <v/>
      </c>
      <c r="Y111" s="124" t="str">
        <f>IF($B111="","",IF(Y$3=0,"n.b.",INDEX(SRC_ZPMW03!$A$1:$ZZ$501,$A111,Y$3)))</f>
        <v/>
      </c>
      <c r="Z111" s="124" t="str">
        <f>IF($B111="","",IF(Z$3=0,"n.b.",INDEX(SRC_ZPMW03!$A$1:$ZZ$501,$A111,Z$3)))</f>
        <v/>
      </c>
      <c r="AA111" s="124" t="str">
        <f>IF($B111="","",IF(AA$3=0,"n.b.",INDEX(SRC_ZPMW03!$A$1:$ZZ$501,$A111,AA$3)))</f>
        <v/>
      </c>
      <c r="AB111" s="124" t="str">
        <f>IF($B111="","",IF(AB$3=0,"n.b.",INDEX(SRC_ZPMW03!$A$1:$ZZ$501,$A111,AB$3)))</f>
        <v/>
      </c>
      <c r="AC111" s="124" t="str">
        <f>IF($B111="","",IF(AC$3=0,"n.b.",INDEX(SRC_ZPMW03!$A$1:$ZZ$501,$A111,AC$3)))</f>
        <v/>
      </c>
      <c r="AD111" s="124" t="str">
        <f>IF($B111="","",IF(AD$3=0,"n.b.",INDEX(SRC_ZPMW03!$A$1:$ZZ$501,$A111,AD$3)))</f>
        <v/>
      </c>
      <c r="AE111" s="124" t="str">
        <f>IF($B111="","",IF(AE$3=0,"n.b.",INDEX(SRC_ZPMW03!$A$1:$ZZ$501,$A111,AE$3)))</f>
        <v/>
      </c>
      <c r="AF111" s="124" t="str">
        <f>IF($B111="","",IF(AF$3=0,"n.b.",INDEX(SRC_ZPMW03!$A$1:$ZZ$501,$A111,AF$3)))</f>
        <v/>
      </c>
      <c r="AG111" s="124" t="str">
        <f>IF($B111="","",IF(AG$3=0,"n.b.",INDEX(SRC_ZPMW03!$A$1:$ZZ$501,$A111,AG$3)))</f>
        <v/>
      </c>
      <c r="AH111" s="124" t="str">
        <f>IF($B111="","",IF(AH$3=0,"n.b.",INDEX(SRC_ZPMW03!$A$1:$ZZ$501,$A111,AH$3)))</f>
        <v/>
      </c>
      <c r="AI111" s="124" t="str">
        <f>IF($B111="","",IF(AI$3=0,"n.b.",INDEX(SRC_ZPMW03!$A$1:$ZZ$501,$A111,AI$3)))</f>
        <v/>
      </c>
      <c r="AJ111" s="124" t="str">
        <f>IF($B111="","",IF(AJ$3=0,"n.b.",INDEX(SRC_ZPMW03!$A$1:$ZZ$501,$A111,AJ$3)))</f>
        <v/>
      </c>
      <c r="AK111" s="124" t="str">
        <f>IF($B111="","",IF(AK$3=0,"n.b.",INDEX(SRC_ZPMW03!$A$1:$ZZ$501,$A111,AK$3)))</f>
        <v/>
      </c>
      <c r="AL111" s="124" t="str">
        <f>IF($B111="","",IF(AL$3=0,"n.b.",INDEX(SRC_ZPMW03!$A$1:$ZZ$501,$A111,AL$3)))</f>
        <v/>
      </c>
      <c r="AM111" s="124" t="str">
        <f>IF($B111="","",IF(AM$3=0,"n.b.",INDEX(SRC_ZPMW03!$A$1:$ZZ$501,$A111,AM$3)))</f>
        <v/>
      </c>
      <c r="AN111" s="124" t="str">
        <f>IF($B111="","",IF(AN$3=0,"n.b.",INDEX(SRC_ZPMW03!$A$1:$ZZ$501,$A111,AN$3)))</f>
        <v/>
      </c>
      <c r="AO111" s="124" t="str">
        <f>IF($B111="","",IF(AO$3=0,"n.b.",INDEX(SRC_ZPMW03!$A$1:$ZZ$501,$A111,AO$3)))</f>
        <v/>
      </c>
      <c r="AP111" s="124" t="str">
        <f>IF($B111="","",IF(AP$3=0,"n.b.",INDEX(SRC_ZPMW03!$A$1:$ZZ$501,$A111,AP$3)))</f>
        <v/>
      </c>
      <c r="AQ111" s="124" t="str">
        <f>IF($B111="","",IF(AQ$3=0,"n.b.",INDEX(SRC_ZPMW03!$A$1:$ZZ$501,$A111,AQ$3)))</f>
        <v/>
      </c>
      <c r="AR111" s="124" t="str">
        <f>IF($B111="","",IF(AR$3=0,"n.b.",INDEX(SRC_ZPMW03!$A$1:$ZZ$501,$A111,AR$3)))</f>
        <v/>
      </c>
      <c r="AS111" s="124" t="str">
        <f>IF($B111="","",IF(AS$3=0,"n.b.",INDEX(SRC_ZPMW03!$A$1:$ZZ$501,$A111,AS$3)))</f>
        <v/>
      </c>
      <c r="AT111" s="124" t="str">
        <f>IF($B111="","",IF(AT$3=0,"n.b.",INDEX(SRC_ZPMW03!$A$1:$ZZ$501,$A111,AT$3)))</f>
        <v/>
      </c>
      <c r="AU111" s="124" t="str">
        <f>IF($B111="","",IF(AU$3=0,"n.b.",INDEX(SRC_ZPMW03!$A$1:$ZZ$501,$A111,AU$3)))</f>
        <v/>
      </c>
      <c r="AV111" s="124" t="str">
        <f>IF($B111="","",IF(AV$3=0,"n.b.",INDEX(SRC_ZPMW03!$A$1:$ZZ$501,$A111,AV$3)))</f>
        <v/>
      </c>
      <c r="AW111" s="124" t="str">
        <f>IF($B111="","",IF(AW$3=0,"n.b.",INDEX(SRC_ZPMW03!$A$1:$ZZ$501,$A111,AW$3)))</f>
        <v/>
      </c>
      <c r="AX111" s="124" t="str">
        <f>IF($B111="","",IF(AX$3=0,"n.b.",INDEX(SRC_ZPMW03!$A$1:$ZZ$501,$A111,AX$3)))</f>
        <v/>
      </c>
      <c r="AY111" s="124" t="str">
        <f>IF($B111="","",IF(AY$3=0,"n.b.",INDEX(SRC_ZPMW03!$A$1:$ZZ$501,$A111,AY$3)))</f>
        <v/>
      </c>
      <c r="AZ111" s="124" t="str">
        <f>IF($B111="","",IF(AZ$3=0,"n.b.",INDEX(SRC_ZPMW03!$A$1:$ZZ$501,$A111,AZ$3)))</f>
        <v/>
      </c>
      <c r="BA111" s="124" t="str">
        <f>IF($B111="","",IF(BA$3=0,"n.b.",INDEX(SRC_ZPMW03!$A$1:$ZZ$501,$A111,BA$3)))</f>
        <v/>
      </c>
      <c r="BB111" s="124" t="str">
        <f>IF($B111="","",IF(BB$3=0,"n.b.",INDEX(SRC_ZPMW03!$A$1:$ZZ$501,$A111,BB$3)))</f>
        <v/>
      </c>
      <c r="BC111" s="124" t="str">
        <f>IF($B111="","",IF(BC$3=0,"n.b.",INDEX(SRC_ZPMW03!$A$1:$ZZ$501,$A111,BC$3)))</f>
        <v/>
      </c>
      <c r="BD111" s="124" t="str">
        <f>IF($B111="","",IF(BD$3=0,"n.b.",INDEX(SRC_ZPMW03!$A$1:$ZZ$501,$A111,BD$3)))</f>
        <v/>
      </c>
      <c r="BE111" s="124" t="str">
        <f>IF($B111="","",IF(BE$3=0,"n.b.",INDEX(SRC_ZPMW03!$A$1:$ZZ$501,$A111,BE$3)))</f>
        <v/>
      </c>
      <c r="BF111" s="124" t="str">
        <f>IF($B111="","",IF(BF$3=0,"n.b.",INDEX(SRC_ZPMW03!$A$1:$ZZ$501,$A111,BF$3)))</f>
        <v/>
      </c>
      <c r="BG111" t="str">
        <f>IF($B111="","",IF(BG$3=0,"n.b.",INDEX(SRC_ZPMW03!$A$1:$ZZ$501,$A111,BG$3)))</f>
        <v/>
      </c>
      <c r="BH111" t="str">
        <f>IF($B111="","",IF(BH$3=0,"n.b.",INDEX(SRC_ZPMW03!$A$1:$ZZ$501,$A111,BH$3)))</f>
        <v/>
      </c>
      <c r="BI111" t="str">
        <f>IF($B111="","",IF(BI$3=0,"n.b.",INDEX(SRC_ZPMW03!$A$1:$ZZ$501,$A111,BI$3)))</f>
        <v/>
      </c>
      <c r="BJ111" t="str">
        <f>IF($B111="","",IF(BJ$3=0,"n.b.",INDEX(SRC_ZPMW03!$A$1:$ZZ$501,$A111,BJ$3)))</f>
        <v/>
      </c>
      <c r="BK111" s="124" t="str">
        <f>IF($B111="","",IFERROR(-O111,"n.b."))</f>
        <v/>
      </c>
      <c r="BL111" s="124" t="str">
        <f>IF($B111="","",IFERROR(-Q111,"n.b."))</f>
        <v/>
      </c>
      <c r="BM111" s="124" t="str">
        <f>IF($B111="","",IFERROR(-AB111,"n.b."))</f>
        <v/>
      </c>
      <c r="BN111" s="124" t="str">
        <f>IF($B111="","",IFERROR(-AD111,"n.b."))</f>
        <v/>
      </c>
      <c r="BO111" s="124" t="str">
        <f>IF($B111="","",IFERROR(BK111+BM111,"n.b."))</f>
        <v/>
      </c>
      <c r="BP111" s="124" t="str">
        <f>IF($B111="","",IFERROR(BL111+BN111,"n.b."))</f>
        <v/>
      </c>
      <c r="BQ111" s="124" t="str">
        <f>IF($B111="","",IFERROR(-AM111,"n.b."))</f>
        <v/>
      </c>
      <c r="BR111" s="124" t="str">
        <f>IF($B111="","",IFERROR(-AO111,"n.b."))</f>
        <v/>
      </c>
      <c r="BS111" s="124" t="str">
        <f>IF($B111="","",IFERROR(-Z111,"n.b."))</f>
        <v/>
      </c>
      <c r="BT111" s="124" t="str">
        <f>IF($B111="","",IFERROR(-AA111,"n.b."))</f>
        <v/>
      </c>
      <c r="BU111" s="124" t="str">
        <f>IF($B111="","",IFERROR(-AE111,"n.b."))</f>
        <v/>
      </c>
      <c r="BV111" s="124" t="str">
        <f>IF($B111="","",IFERROR(-AF111,"n.b."))</f>
        <v/>
      </c>
      <c r="BW111" s="124" t="str">
        <f>IF($B111="","",IFERROR(-AG111,"n.b."))</f>
        <v/>
      </c>
      <c r="BX111" s="124" t="str">
        <f>IF($B111="","",IFERROR(-AH111,"n.b."))</f>
        <v/>
      </c>
      <c r="BY111" s="124" t="str">
        <f>IF($B111="","",IFERROR(-AI111,"n.b."))</f>
        <v/>
      </c>
      <c r="BZ111" s="124" t="str">
        <f>IF($B111="","",IFERROR(-AJ111,"n.b."))</f>
        <v/>
      </c>
      <c r="CA111" s="124" t="str">
        <f>IF($B111="","",IFERROR(-AK111,"n.b."))</f>
        <v/>
      </c>
      <c r="CB111" s="124" t="str">
        <f>IF($B111="","",IFERROR(-AL111,"n.b."))</f>
        <v/>
      </c>
      <c r="CC111" s="124" t="str">
        <f>IF($B111="","",IFERROR(-AP111,"n.b."))</f>
        <v/>
      </c>
      <c r="CD111" s="124" t="str">
        <f>IF($B111="","",IFERROR(-AQ111,"n.b."))</f>
        <v/>
      </c>
      <c r="CE111" s="124" t="str">
        <f>IF($B111="","",IFERROR(-AR111,"n.b."))</f>
        <v/>
      </c>
      <c r="CF111" s="124" t="str">
        <f>IF($B111="","",IFERROR(-AS111,"n.b."))</f>
        <v/>
      </c>
      <c r="CG111" s="124" t="str">
        <f>IF($B111="","",IFERROR(-AT111,"n.b."))</f>
        <v/>
      </c>
      <c r="CH111" s="124" t="str">
        <f>IF($B111="","",IFERROR(-AU111,"n.b."))</f>
        <v/>
      </c>
      <c r="CI111" s="124" t="str">
        <f>IF($B111="","",IFERROR(-AV111,"n.b."))</f>
        <v/>
      </c>
      <c r="CJ111" s="124" t="str">
        <f>IF($B111="","",IFERROR(-AW111,"n.b."))</f>
        <v/>
      </c>
      <c r="CK111" s="124" t="str">
        <f>IF($B111="","",IFERROR(-AX111,"n.b."))</f>
        <v/>
      </c>
      <c r="CL111" s="124" t="str">
        <f>IF($B111="","",IFERROR(-AY111,"n.b."))</f>
        <v/>
      </c>
      <c r="CM111" s="124" t="str">
        <f>IF($B111="","",IFERROR(-AZ111,"n.b."))</f>
        <v/>
      </c>
      <c r="CN111" s="124" t="str">
        <f>IF($B111="","",IFERROR(-BA111,"n.b."))</f>
        <v/>
      </c>
      <c r="CO111" s="124" t="str">
        <f>IF($B111="","",IFERROR(-BB111,"n.b."))</f>
        <v/>
      </c>
      <c r="CP111" s="124" t="str">
        <f>IF($B111="","",IFERROR(-BC111,"n.b."))</f>
        <v/>
      </c>
      <c r="CQ111" s="124" t="str">
        <f>IF($B111="","",IFERROR(-BD111,"n.b."))</f>
        <v/>
      </c>
      <c r="CR111" s="124" t="str">
        <f>IF($B111="","",IFERROR(-BE111,"n.b."))</f>
        <v/>
      </c>
      <c r="CS111" s="124" t="str">
        <f>IF($B111="","",IFERROR(IF(OR(ABS(T111+V111+X111+Z111-AB111)&gt;P_Tol,ABS(U111+W111+Y111+AA111-AD111)&gt;P_Tol,ABS(AE111+AG111+AI111+AK111-AM111)&gt;P_Tol,ABS(AF111+AH111+AJ111+AL111-AO111)&gt;P_Tol),1,0),1))</f>
        <v/>
      </c>
      <c r="CT111" s="124" t="str">
        <f>IF($B111="","",IFERROR(IF(OR(ABS(AB111+AC111-AD111)&gt;P_Tol,ABS(AM111+AN111-AO111)&gt;P_Tol,ABS(O111+P111-Q111)&gt;P_Tol),1,0),1))</f>
        <v/>
      </c>
      <c r="CU111" s="124" t="str">
        <f>IF($B111="","",IFERROR(IF(ABS(R111-(AB111+AM111+AP111+AR111+AT111+AV111+AX111+AZ111+BB111+BD111))&gt;P_Tol,1,0),1))</f>
        <v/>
      </c>
      <c r="CV111" s="124" t="str">
        <f>IF($B111="","",IFERROR(IF(ABS(M111-(N111+O111+R111))&gt;P_Tol,1,0),1))</f>
        <v/>
      </c>
      <c r="CW111" s="124" t="str">
        <f>IF($B111="","",IF(COUNTIF(Mapping!$A$5:$A$104,B111)&gt;0,1,0))</f>
        <v/>
      </c>
      <c r="CX111" s="124" t="str">
        <f>IF($B111="","",COUNTIF($B$6:$B$505,B111))</f>
        <v/>
      </c>
      <c r="CY111" s="124" t="str">
        <f>IF($B111="","",COUNTIF(STG_Woningetalage!$B$6:$B$505,B111))</f>
        <v/>
      </c>
      <c r="CZ111" s="124" t="str">
        <f>IF($B111="","",IF(CW111=0,COUNTIF($CW$6:CW111,0),""))</f>
        <v/>
      </c>
    </row>
    <row r="112">
      <c r="A112" s="15" t="n">
        <v>108</v>
      </c>
      <c r="B112" t="str">
        <f>IF(B$3=0,"",IF(INDEX(SRC_ZPMW03!$A$1:$ZZ$501,$A112,B$3)&amp;""="","",INDEX(SRC_ZPMW03!$A$1:$ZZ$501,$A112,B$3)&amp;""))</f>
        <v/>
      </c>
      <c r="C112" t="str">
        <f>IF($B112="","",IF(C$3=0,"n.b.",INDEX(SRC_ZPMW03!$A$1:$ZZ$501,$A112,C$3)))</f>
        <v/>
      </c>
      <c r="D112" t="str">
        <f>IF($B112="","",IF(D$3=0,"n.b.",INDEX(SRC_ZPMW03!$A$1:$ZZ$501,$A112,D$3)))</f>
        <v/>
      </c>
      <c r="E112" t="str">
        <f>IF($B112="","",IF(E$3=0,"n.b.",INDEX(SRC_ZPMW03!$A$1:$ZZ$501,$A112,E$3)))</f>
        <v/>
      </c>
      <c r="F112" t="str">
        <f>IF($B112="","",IF(F$3=0,"n.b.",INDEX(SRC_ZPMW03!$A$1:$ZZ$501,$A112,F$3)))</f>
        <v/>
      </c>
      <c r="G112" t="str">
        <f>IF($B112="","",IF(G$3=0,"n.b.",INDEX(SRC_ZPMW03!$A$1:$ZZ$501,$A112,G$3)))</f>
        <v/>
      </c>
      <c r="H112" t="str">
        <f>IF($B112="","",IF(H$3=0,"n.b.",INDEX(SRC_ZPMW03!$A$1:$ZZ$501,$A112,H$3)))</f>
        <v/>
      </c>
      <c r="I112" t="str">
        <f>IF($B112="","",IF(I$3=0,"n.b.",INDEX(SRC_ZPMW03!$A$1:$ZZ$501,$A112,I$3)))</f>
        <v/>
      </c>
      <c r="J112" t="str">
        <f>IF($B112="","",IF(J$3=0,"n.b.",INDEX(SRC_ZPMW03!$A$1:$ZZ$501,$A112,J$3)))</f>
        <v/>
      </c>
      <c r="K112" t="str">
        <f>IF($B112="","",IF(K$3=0,"n.b.",INDEX(SRC_ZPMW03!$A$1:$ZZ$501,$A112,K$3)))</f>
        <v/>
      </c>
      <c r="L112" s="124" t="str">
        <f>IF($B112="","",IF(L$3=0,"n.b.",INDEX(SRC_ZPMW03!$A$1:$ZZ$501,$A112,L$3)))</f>
        <v/>
      </c>
      <c r="M112" s="124" t="str">
        <f>IF($B112="","",IF(M$3=0,"n.b.",INDEX(SRC_ZPMW03!$A$1:$ZZ$501,$A112,M$3)))</f>
        <v/>
      </c>
      <c r="N112" s="124" t="str">
        <f>IF($B112="","",IF(N$3=0,"n.b.",INDEX(SRC_ZPMW03!$A$1:$ZZ$501,$A112,N$3)))</f>
        <v/>
      </c>
      <c r="O112" s="124" t="str">
        <f>IF($B112="","",IF(O$3=0,"n.b.",INDEX(SRC_ZPMW03!$A$1:$ZZ$501,$A112,O$3)))</f>
        <v/>
      </c>
      <c r="P112" s="124" t="str">
        <f>IF($B112="","",IF(P$3=0,"n.b.",INDEX(SRC_ZPMW03!$A$1:$ZZ$501,$A112,P$3)))</f>
        <v/>
      </c>
      <c r="Q112" s="124" t="str">
        <f>IF($B112="","",IF(Q$3=0,"n.b.",INDEX(SRC_ZPMW03!$A$1:$ZZ$501,$A112,Q$3)))</f>
        <v/>
      </c>
      <c r="R112" s="124" t="str">
        <f>IF($B112="","",IF(R$3=0,"n.b.",INDEX(SRC_ZPMW03!$A$1:$ZZ$501,$A112,R$3)))</f>
        <v/>
      </c>
      <c r="S112" s="124" t="str">
        <f>IF($B112="","",IF(S$3=0,"n.b.",INDEX(SRC_ZPMW03!$A$1:$ZZ$501,$A112,S$3)))</f>
        <v/>
      </c>
      <c r="T112" s="124" t="str">
        <f>IF($B112="","",IF(T$3=0,"n.b.",INDEX(SRC_ZPMW03!$A$1:$ZZ$501,$A112,T$3)))</f>
        <v/>
      </c>
      <c r="U112" s="124" t="str">
        <f>IF($B112="","",IF(U$3=0,"n.b.",INDEX(SRC_ZPMW03!$A$1:$ZZ$501,$A112,U$3)))</f>
        <v/>
      </c>
      <c r="V112" s="124" t="str">
        <f>IF($B112="","",IF(V$3=0,"n.b.",INDEX(SRC_ZPMW03!$A$1:$ZZ$501,$A112,V$3)))</f>
        <v/>
      </c>
      <c r="W112" s="124" t="str">
        <f>IF($B112="","",IF(W$3=0,"n.b.",INDEX(SRC_ZPMW03!$A$1:$ZZ$501,$A112,W$3)))</f>
        <v/>
      </c>
      <c r="X112" s="124" t="str">
        <f>IF($B112="","",IF(X$3=0,"n.b.",INDEX(SRC_ZPMW03!$A$1:$ZZ$501,$A112,X$3)))</f>
        <v/>
      </c>
      <c r="Y112" s="124" t="str">
        <f>IF($B112="","",IF(Y$3=0,"n.b.",INDEX(SRC_ZPMW03!$A$1:$ZZ$501,$A112,Y$3)))</f>
        <v/>
      </c>
      <c r="Z112" s="124" t="str">
        <f>IF($B112="","",IF(Z$3=0,"n.b.",INDEX(SRC_ZPMW03!$A$1:$ZZ$501,$A112,Z$3)))</f>
        <v/>
      </c>
      <c r="AA112" s="124" t="str">
        <f>IF($B112="","",IF(AA$3=0,"n.b.",INDEX(SRC_ZPMW03!$A$1:$ZZ$501,$A112,AA$3)))</f>
        <v/>
      </c>
      <c r="AB112" s="124" t="str">
        <f>IF($B112="","",IF(AB$3=0,"n.b.",INDEX(SRC_ZPMW03!$A$1:$ZZ$501,$A112,AB$3)))</f>
        <v/>
      </c>
      <c r="AC112" s="124" t="str">
        <f>IF($B112="","",IF(AC$3=0,"n.b.",INDEX(SRC_ZPMW03!$A$1:$ZZ$501,$A112,AC$3)))</f>
        <v/>
      </c>
      <c r="AD112" s="124" t="str">
        <f>IF($B112="","",IF(AD$3=0,"n.b.",INDEX(SRC_ZPMW03!$A$1:$ZZ$501,$A112,AD$3)))</f>
        <v/>
      </c>
      <c r="AE112" s="124" t="str">
        <f>IF($B112="","",IF(AE$3=0,"n.b.",INDEX(SRC_ZPMW03!$A$1:$ZZ$501,$A112,AE$3)))</f>
        <v/>
      </c>
      <c r="AF112" s="124" t="str">
        <f>IF($B112="","",IF(AF$3=0,"n.b.",INDEX(SRC_ZPMW03!$A$1:$ZZ$501,$A112,AF$3)))</f>
        <v/>
      </c>
      <c r="AG112" s="124" t="str">
        <f>IF($B112="","",IF(AG$3=0,"n.b.",INDEX(SRC_ZPMW03!$A$1:$ZZ$501,$A112,AG$3)))</f>
        <v/>
      </c>
      <c r="AH112" s="124" t="str">
        <f>IF($B112="","",IF(AH$3=0,"n.b.",INDEX(SRC_ZPMW03!$A$1:$ZZ$501,$A112,AH$3)))</f>
        <v/>
      </c>
      <c r="AI112" s="124" t="str">
        <f>IF($B112="","",IF(AI$3=0,"n.b.",INDEX(SRC_ZPMW03!$A$1:$ZZ$501,$A112,AI$3)))</f>
        <v/>
      </c>
      <c r="AJ112" s="124" t="str">
        <f>IF($B112="","",IF(AJ$3=0,"n.b.",INDEX(SRC_ZPMW03!$A$1:$ZZ$501,$A112,AJ$3)))</f>
        <v/>
      </c>
      <c r="AK112" s="124" t="str">
        <f>IF($B112="","",IF(AK$3=0,"n.b.",INDEX(SRC_ZPMW03!$A$1:$ZZ$501,$A112,AK$3)))</f>
        <v/>
      </c>
      <c r="AL112" s="124" t="str">
        <f>IF($B112="","",IF(AL$3=0,"n.b.",INDEX(SRC_ZPMW03!$A$1:$ZZ$501,$A112,AL$3)))</f>
        <v/>
      </c>
      <c r="AM112" s="124" t="str">
        <f>IF($B112="","",IF(AM$3=0,"n.b.",INDEX(SRC_ZPMW03!$A$1:$ZZ$501,$A112,AM$3)))</f>
        <v/>
      </c>
      <c r="AN112" s="124" t="str">
        <f>IF($B112="","",IF(AN$3=0,"n.b.",INDEX(SRC_ZPMW03!$A$1:$ZZ$501,$A112,AN$3)))</f>
        <v/>
      </c>
      <c r="AO112" s="124" t="str">
        <f>IF($B112="","",IF(AO$3=0,"n.b.",INDEX(SRC_ZPMW03!$A$1:$ZZ$501,$A112,AO$3)))</f>
        <v/>
      </c>
      <c r="AP112" s="124" t="str">
        <f>IF($B112="","",IF(AP$3=0,"n.b.",INDEX(SRC_ZPMW03!$A$1:$ZZ$501,$A112,AP$3)))</f>
        <v/>
      </c>
      <c r="AQ112" s="124" t="str">
        <f>IF($B112="","",IF(AQ$3=0,"n.b.",INDEX(SRC_ZPMW03!$A$1:$ZZ$501,$A112,AQ$3)))</f>
        <v/>
      </c>
      <c r="AR112" s="124" t="str">
        <f>IF($B112="","",IF(AR$3=0,"n.b.",INDEX(SRC_ZPMW03!$A$1:$ZZ$501,$A112,AR$3)))</f>
        <v/>
      </c>
      <c r="AS112" s="124" t="str">
        <f>IF($B112="","",IF(AS$3=0,"n.b.",INDEX(SRC_ZPMW03!$A$1:$ZZ$501,$A112,AS$3)))</f>
        <v/>
      </c>
      <c r="AT112" s="124" t="str">
        <f>IF($B112="","",IF(AT$3=0,"n.b.",INDEX(SRC_ZPMW03!$A$1:$ZZ$501,$A112,AT$3)))</f>
        <v/>
      </c>
      <c r="AU112" s="124" t="str">
        <f>IF($B112="","",IF(AU$3=0,"n.b.",INDEX(SRC_ZPMW03!$A$1:$ZZ$501,$A112,AU$3)))</f>
        <v/>
      </c>
      <c r="AV112" s="124" t="str">
        <f>IF($B112="","",IF(AV$3=0,"n.b.",INDEX(SRC_ZPMW03!$A$1:$ZZ$501,$A112,AV$3)))</f>
        <v/>
      </c>
      <c r="AW112" s="124" t="str">
        <f>IF($B112="","",IF(AW$3=0,"n.b.",INDEX(SRC_ZPMW03!$A$1:$ZZ$501,$A112,AW$3)))</f>
        <v/>
      </c>
      <c r="AX112" s="124" t="str">
        <f>IF($B112="","",IF(AX$3=0,"n.b.",INDEX(SRC_ZPMW03!$A$1:$ZZ$501,$A112,AX$3)))</f>
        <v/>
      </c>
      <c r="AY112" s="124" t="str">
        <f>IF($B112="","",IF(AY$3=0,"n.b.",INDEX(SRC_ZPMW03!$A$1:$ZZ$501,$A112,AY$3)))</f>
        <v/>
      </c>
      <c r="AZ112" s="124" t="str">
        <f>IF($B112="","",IF(AZ$3=0,"n.b.",INDEX(SRC_ZPMW03!$A$1:$ZZ$501,$A112,AZ$3)))</f>
        <v/>
      </c>
      <c r="BA112" s="124" t="str">
        <f>IF($B112="","",IF(BA$3=0,"n.b.",INDEX(SRC_ZPMW03!$A$1:$ZZ$501,$A112,BA$3)))</f>
        <v/>
      </c>
      <c r="BB112" s="124" t="str">
        <f>IF($B112="","",IF(BB$3=0,"n.b.",INDEX(SRC_ZPMW03!$A$1:$ZZ$501,$A112,BB$3)))</f>
        <v/>
      </c>
      <c r="BC112" s="124" t="str">
        <f>IF($B112="","",IF(BC$3=0,"n.b.",INDEX(SRC_ZPMW03!$A$1:$ZZ$501,$A112,BC$3)))</f>
        <v/>
      </c>
      <c r="BD112" s="124" t="str">
        <f>IF($B112="","",IF(BD$3=0,"n.b.",INDEX(SRC_ZPMW03!$A$1:$ZZ$501,$A112,BD$3)))</f>
        <v/>
      </c>
      <c r="BE112" s="124" t="str">
        <f>IF($B112="","",IF(BE$3=0,"n.b.",INDEX(SRC_ZPMW03!$A$1:$ZZ$501,$A112,BE$3)))</f>
        <v/>
      </c>
      <c r="BF112" s="124" t="str">
        <f>IF($B112="","",IF(BF$3=0,"n.b.",INDEX(SRC_ZPMW03!$A$1:$ZZ$501,$A112,BF$3)))</f>
        <v/>
      </c>
      <c r="BG112" t="str">
        <f>IF($B112="","",IF(BG$3=0,"n.b.",INDEX(SRC_ZPMW03!$A$1:$ZZ$501,$A112,BG$3)))</f>
        <v/>
      </c>
      <c r="BH112" t="str">
        <f>IF($B112="","",IF(BH$3=0,"n.b.",INDEX(SRC_ZPMW03!$A$1:$ZZ$501,$A112,BH$3)))</f>
        <v/>
      </c>
      <c r="BI112" t="str">
        <f>IF($B112="","",IF(BI$3=0,"n.b.",INDEX(SRC_ZPMW03!$A$1:$ZZ$501,$A112,BI$3)))</f>
        <v/>
      </c>
      <c r="BJ112" t="str">
        <f>IF($B112="","",IF(BJ$3=0,"n.b.",INDEX(SRC_ZPMW03!$A$1:$ZZ$501,$A112,BJ$3)))</f>
        <v/>
      </c>
      <c r="BK112" s="124" t="str">
        <f>IF($B112="","",IFERROR(-O112,"n.b."))</f>
        <v/>
      </c>
      <c r="BL112" s="124" t="str">
        <f>IF($B112="","",IFERROR(-Q112,"n.b."))</f>
        <v/>
      </c>
      <c r="BM112" s="124" t="str">
        <f>IF($B112="","",IFERROR(-AB112,"n.b."))</f>
        <v/>
      </c>
      <c r="BN112" s="124" t="str">
        <f>IF($B112="","",IFERROR(-AD112,"n.b."))</f>
        <v/>
      </c>
      <c r="BO112" s="124" t="str">
        <f>IF($B112="","",IFERROR(BK112+BM112,"n.b."))</f>
        <v/>
      </c>
      <c r="BP112" s="124" t="str">
        <f>IF($B112="","",IFERROR(BL112+BN112,"n.b."))</f>
        <v/>
      </c>
      <c r="BQ112" s="124" t="str">
        <f>IF($B112="","",IFERROR(-AM112,"n.b."))</f>
        <v/>
      </c>
      <c r="BR112" s="124" t="str">
        <f>IF($B112="","",IFERROR(-AO112,"n.b."))</f>
        <v/>
      </c>
      <c r="BS112" s="124" t="str">
        <f>IF($B112="","",IFERROR(-Z112,"n.b."))</f>
        <v/>
      </c>
      <c r="BT112" s="124" t="str">
        <f>IF($B112="","",IFERROR(-AA112,"n.b."))</f>
        <v/>
      </c>
      <c r="BU112" s="124" t="str">
        <f>IF($B112="","",IFERROR(-AE112,"n.b."))</f>
        <v/>
      </c>
      <c r="BV112" s="124" t="str">
        <f>IF($B112="","",IFERROR(-AF112,"n.b."))</f>
        <v/>
      </c>
      <c r="BW112" s="124" t="str">
        <f>IF($B112="","",IFERROR(-AG112,"n.b."))</f>
        <v/>
      </c>
      <c r="BX112" s="124" t="str">
        <f>IF($B112="","",IFERROR(-AH112,"n.b."))</f>
        <v/>
      </c>
      <c r="BY112" s="124" t="str">
        <f>IF($B112="","",IFERROR(-AI112,"n.b."))</f>
        <v/>
      </c>
      <c r="BZ112" s="124" t="str">
        <f>IF($B112="","",IFERROR(-AJ112,"n.b."))</f>
        <v/>
      </c>
      <c r="CA112" s="124" t="str">
        <f>IF($B112="","",IFERROR(-AK112,"n.b."))</f>
        <v/>
      </c>
      <c r="CB112" s="124" t="str">
        <f>IF($B112="","",IFERROR(-AL112,"n.b."))</f>
        <v/>
      </c>
      <c r="CC112" s="124" t="str">
        <f>IF($B112="","",IFERROR(-AP112,"n.b."))</f>
        <v/>
      </c>
      <c r="CD112" s="124" t="str">
        <f>IF($B112="","",IFERROR(-AQ112,"n.b."))</f>
        <v/>
      </c>
      <c r="CE112" s="124" t="str">
        <f>IF($B112="","",IFERROR(-AR112,"n.b."))</f>
        <v/>
      </c>
      <c r="CF112" s="124" t="str">
        <f>IF($B112="","",IFERROR(-AS112,"n.b."))</f>
        <v/>
      </c>
      <c r="CG112" s="124" t="str">
        <f>IF($B112="","",IFERROR(-AT112,"n.b."))</f>
        <v/>
      </c>
      <c r="CH112" s="124" t="str">
        <f>IF($B112="","",IFERROR(-AU112,"n.b."))</f>
        <v/>
      </c>
      <c r="CI112" s="124" t="str">
        <f>IF($B112="","",IFERROR(-AV112,"n.b."))</f>
        <v/>
      </c>
      <c r="CJ112" s="124" t="str">
        <f>IF($B112="","",IFERROR(-AW112,"n.b."))</f>
        <v/>
      </c>
      <c r="CK112" s="124" t="str">
        <f>IF($B112="","",IFERROR(-AX112,"n.b."))</f>
        <v/>
      </c>
      <c r="CL112" s="124" t="str">
        <f>IF($B112="","",IFERROR(-AY112,"n.b."))</f>
        <v/>
      </c>
      <c r="CM112" s="124" t="str">
        <f>IF($B112="","",IFERROR(-AZ112,"n.b."))</f>
        <v/>
      </c>
      <c r="CN112" s="124" t="str">
        <f>IF($B112="","",IFERROR(-BA112,"n.b."))</f>
        <v/>
      </c>
      <c r="CO112" s="124" t="str">
        <f>IF($B112="","",IFERROR(-BB112,"n.b."))</f>
        <v/>
      </c>
      <c r="CP112" s="124" t="str">
        <f>IF($B112="","",IFERROR(-BC112,"n.b."))</f>
        <v/>
      </c>
      <c r="CQ112" s="124" t="str">
        <f>IF($B112="","",IFERROR(-BD112,"n.b."))</f>
        <v/>
      </c>
      <c r="CR112" s="124" t="str">
        <f>IF($B112="","",IFERROR(-BE112,"n.b."))</f>
        <v/>
      </c>
      <c r="CS112" s="124" t="str">
        <f>IF($B112="","",IFERROR(IF(OR(ABS(T112+V112+X112+Z112-AB112)&gt;P_Tol,ABS(U112+W112+Y112+AA112-AD112)&gt;P_Tol,ABS(AE112+AG112+AI112+AK112-AM112)&gt;P_Tol,ABS(AF112+AH112+AJ112+AL112-AO112)&gt;P_Tol),1,0),1))</f>
        <v/>
      </c>
      <c r="CT112" s="124" t="str">
        <f>IF($B112="","",IFERROR(IF(OR(ABS(AB112+AC112-AD112)&gt;P_Tol,ABS(AM112+AN112-AO112)&gt;P_Tol,ABS(O112+P112-Q112)&gt;P_Tol),1,0),1))</f>
        <v/>
      </c>
      <c r="CU112" s="124" t="str">
        <f>IF($B112="","",IFERROR(IF(ABS(R112-(AB112+AM112+AP112+AR112+AT112+AV112+AX112+AZ112+BB112+BD112))&gt;P_Tol,1,0),1))</f>
        <v/>
      </c>
      <c r="CV112" s="124" t="str">
        <f>IF($B112="","",IFERROR(IF(ABS(M112-(N112+O112+R112))&gt;P_Tol,1,0),1))</f>
        <v/>
      </c>
      <c r="CW112" s="124" t="str">
        <f>IF($B112="","",IF(COUNTIF(Mapping!$A$5:$A$104,B112)&gt;0,1,0))</f>
        <v/>
      </c>
      <c r="CX112" s="124" t="str">
        <f>IF($B112="","",COUNTIF($B$6:$B$505,B112))</f>
        <v/>
      </c>
      <c r="CY112" s="124" t="str">
        <f>IF($B112="","",COUNTIF(STG_Woningetalage!$B$6:$B$505,B112))</f>
        <v/>
      </c>
      <c r="CZ112" s="124" t="str">
        <f>IF($B112="","",IF(CW112=0,COUNTIF($CW$6:CW112,0),""))</f>
        <v/>
      </c>
    </row>
    <row r="113">
      <c r="A113" s="15" t="n">
        <v>109</v>
      </c>
      <c r="B113" t="str">
        <f>IF(B$3=0,"",IF(INDEX(SRC_ZPMW03!$A$1:$ZZ$501,$A113,B$3)&amp;""="","",INDEX(SRC_ZPMW03!$A$1:$ZZ$501,$A113,B$3)&amp;""))</f>
        <v/>
      </c>
      <c r="C113" t="str">
        <f>IF($B113="","",IF(C$3=0,"n.b.",INDEX(SRC_ZPMW03!$A$1:$ZZ$501,$A113,C$3)))</f>
        <v/>
      </c>
      <c r="D113" t="str">
        <f>IF($B113="","",IF(D$3=0,"n.b.",INDEX(SRC_ZPMW03!$A$1:$ZZ$501,$A113,D$3)))</f>
        <v/>
      </c>
      <c r="E113" t="str">
        <f>IF($B113="","",IF(E$3=0,"n.b.",INDEX(SRC_ZPMW03!$A$1:$ZZ$501,$A113,E$3)))</f>
        <v/>
      </c>
      <c r="F113" t="str">
        <f>IF($B113="","",IF(F$3=0,"n.b.",INDEX(SRC_ZPMW03!$A$1:$ZZ$501,$A113,F$3)))</f>
        <v/>
      </c>
      <c r="G113" t="str">
        <f>IF($B113="","",IF(G$3=0,"n.b.",INDEX(SRC_ZPMW03!$A$1:$ZZ$501,$A113,G$3)))</f>
        <v/>
      </c>
      <c r="H113" t="str">
        <f>IF($B113="","",IF(H$3=0,"n.b.",INDEX(SRC_ZPMW03!$A$1:$ZZ$501,$A113,H$3)))</f>
        <v/>
      </c>
      <c r="I113" t="str">
        <f>IF($B113="","",IF(I$3=0,"n.b.",INDEX(SRC_ZPMW03!$A$1:$ZZ$501,$A113,I$3)))</f>
        <v/>
      </c>
      <c r="J113" t="str">
        <f>IF($B113="","",IF(J$3=0,"n.b.",INDEX(SRC_ZPMW03!$A$1:$ZZ$501,$A113,J$3)))</f>
        <v/>
      </c>
      <c r="K113" t="str">
        <f>IF($B113="","",IF(K$3=0,"n.b.",INDEX(SRC_ZPMW03!$A$1:$ZZ$501,$A113,K$3)))</f>
        <v/>
      </c>
      <c r="L113" s="124" t="str">
        <f>IF($B113="","",IF(L$3=0,"n.b.",INDEX(SRC_ZPMW03!$A$1:$ZZ$501,$A113,L$3)))</f>
        <v/>
      </c>
      <c r="M113" s="124" t="str">
        <f>IF($B113="","",IF(M$3=0,"n.b.",INDEX(SRC_ZPMW03!$A$1:$ZZ$501,$A113,M$3)))</f>
        <v/>
      </c>
      <c r="N113" s="124" t="str">
        <f>IF($B113="","",IF(N$3=0,"n.b.",INDEX(SRC_ZPMW03!$A$1:$ZZ$501,$A113,N$3)))</f>
        <v/>
      </c>
      <c r="O113" s="124" t="str">
        <f>IF($B113="","",IF(O$3=0,"n.b.",INDEX(SRC_ZPMW03!$A$1:$ZZ$501,$A113,O$3)))</f>
        <v/>
      </c>
      <c r="P113" s="124" t="str">
        <f>IF($B113="","",IF(P$3=0,"n.b.",INDEX(SRC_ZPMW03!$A$1:$ZZ$501,$A113,P$3)))</f>
        <v/>
      </c>
      <c r="Q113" s="124" t="str">
        <f>IF($B113="","",IF(Q$3=0,"n.b.",INDEX(SRC_ZPMW03!$A$1:$ZZ$501,$A113,Q$3)))</f>
        <v/>
      </c>
      <c r="R113" s="124" t="str">
        <f>IF($B113="","",IF(R$3=0,"n.b.",INDEX(SRC_ZPMW03!$A$1:$ZZ$501,$A113,R$3)))</f>
        <v/>
      </c>
      <c r="S113" s="124" t="str">
        <f>IF($B113="","",IF(S$3=0,"n.b.",INDEX(SRC_ZPMW03!$A$1:$ZZ$501,$A113,S$3)))</f>
        <v/>
      </c>
      <c r="T113" s="124" t="str">
        <f>IF($B113="","",IF(T$3=0,"n.b.",INDEX(SRC_ZPMW03!$A$1:$ZZ$501,$A113,T$3)))</f>
        <v/>
      </c>
      <c r="U113" s="124" t="str">
        <f>IF($B113="","",IF(U$3=0,"n.b.",INDEX(SRC_ZPMW03!$A$1:$ZZ$501,$A113,U$3)))</f>
        <v/>
      </c>
      <c r="V113" s="124" t="str">
        <f>IF($B113="","",IF(V$3=0,"n.b.",INDEX(SRC_ZPMW03!$A$1:$ZZ$501,$A113,V$3)))</f>
        <v/>
      </c>
      <c r="W113" s="124" t="str">
        <f>IF($B113="","",IF(W$3=0,"n.b.",INDEX(SRC_ZPMW03!$A$1:$ZZ$501,$A113,W$3)))</f>
        <v/>
      </c>
      <c r="X113" s="124" t="str">
        <f>IF($B113="","",IF(X$3=0,"n.b.",INDEX(SRC_ZPMW03!$A$1:$ZZ$501,$A113,X$3)))</f>
        <v/>
      </c>
      <c r="Y113" s="124" t="str">
        <f>IF($B113="","",IF(Y$3=0,"n.b.",INDEX(SRC_ZPMW03!$A$1:$ZZ$501,$A113,Y$3)))</f>
        <v/>
      </c>
      <c r="Z113" s="124" t="str">
        <f>IF($B113="","",IF(Z$3=0,"n.b.",INDEX(SRC_ZPMW03!$A$1:$ZZ$501,$A113,Z$3)))</f>
        <v/>
      </c>
      <c r="AA113" s="124" t="str">
        <f>IF($B113="","",IF(AA$3=0,"n.b.",INDEX(SRC_ZPMW03!$A$1:$ZZ$501,$A113,AA$3)))</f>
        <v/>
      </c>
      <c r="AB113" s="124" t="str">
        <f>IF($B113="","",IF(AB$3=0,"n.b.",INDEX(SRC_ZPMW03!$A$1:$ZZ$501,$A113,AB$3)))</f>
        <v/>
      </c>
      <c r="AC113" s="124" t="str">
        <f>IF($B113="","",IF(AC$3=0,"n.b.",INDEX(SRC_ZPMW03!$A$1:$ZZ$501,$A113,AC$3)))</f>
        <v/>
      </c>
      <c r="AD113" s="124" t="str">
        <f>IF($B113="","",IF(AD$3=0,"n.b.",INDEX(SRC_ZPMW03!$A$1:$ZZ$501,$A113,AD$3)))</f>
        <v/>
      </c>
      <c r="AE113" s="124" t="str">
        <f>IF($B113="","",IF(AE$3=0,"n.b.",INDEX(SRC_ZPMW03!$A$1:$ZZ$501,$A113,AE$3)))</f>
        <v/>
      </c>
      <c r="AF113" s="124" t="str">
        <f>IF($B113="","",IF(AF$3=0,"n.b.",INDEX(SRC_ZPMW03!$A$1:$ZZ$501,$A113,AF$3)))</f>
        <v/>
      </c>
      <c r="AG113" s="124" t="str">
        <f>IF($B113="","",IF(AG$3=0,"n.b.",INDEX(SRC_ZPMW03!$A$1:$ZZ$501,$A113,AG$3)))</f>
        <v/>
      </c>
      <c r="AH113" s="124" t="str">
        <f>IF($B113="","",IF(AH$3=0,"n.b.",INDEX(SRC_ZPMW03!$A$1:$ZZ$501,$A113,AH$3)))</f>
        <v/>
      </c>
      <c r="AI113" s="124" t="str">
        <f>IF($B113="","",IF(AI$3=0,"n.b.",INDEX(SRC_ZPMW03!$A$1:$ZZ$501,$A113,AI$3)))</f>
        <v/>
      </c>
      <c r="AJ113" s="124" t="str">
        <f>IF($B113="","",IF(AJ$3=0,"n.b.",INDEX(SRC_ZPMW03!$A$1:$ZZ$501,$A113,AJ$3)))</f>
        <v/>
      </c>
      <c r="AK113" s="124" t="str">
        <f>IF($B113="","",IF(AK$3=0,"n.b.",INDEX(SRC_ZPMW03!$A$1:$ZZ$501,$A113,AK$3)))</f>
        <v/>
      </c>
      <c r="AL113" s="124" t="str">
        <f>IF($B113="","",IF(AL$3=0,"n.b.",INDEX(SRC_ZPMW03!$A$1:$ZZ$501,$A113,AL$3)))</f>
        <v/>
      </c>
      <c r="AM113" s="124" t="str">
        <f>IF($B113="","",IF(AM$3=0,"n.b.",INDEX(SRC_ZPMW03!$A$1:$ZZ$501,$A113,AM$3)))</f>
        <v/>
      </c>
      <c r="AN113" s="124" t="str">
        <f>IF($B113="","",IF(AN$3=0,"n.b.",INDEX(SRC_ZPMW03!$A$1:$ZZ$501,$A113,AN$3)))</f>
        <v/>
      </c>
      <c r="AO113" s="124" t="str">
        <f>IF($B113="","",IF(AO$3=0,"n.b.",INDEX(SRC_ZPMW03!$A$1:$ZZ$501,$A113,AO$3)))</f>
        <v/>
      </c>
      <c r="AP113" s="124" t="str">
        <f>IF($B113="","",IF(AP$3=0,"n.b.",INDEX(SRC_ZPMW03!$A$1:$ZZ$501,$A113,AP$3)))</f>
        <v/>
      </c>
      <c r="AQ113" s="124" t="str">
        <f>IF($B113="","",IF(AQ$3=0,"n.b.",INDEX(SRC_ZPMW03!$A$1:$ZZ$501,$A113,AQ$3)))</f>
        <v/>
      </c>
      <c r="AR113" s="124" t="str">
        <f>IF($B113="","",IF(AR$3=0,"n.b.",INDEX(SRC_ZPMW03!$A$1:$ZZ$501,$A113,AR$3)))</f>
        <v/>
      </c>
      <c r="AS113" s="124" t="str">
        <f>IF($B113="","",IF(AS$3=0,"n.b.",INDEX(SRC_ZPMW03!$A$1:$ZZ$501,$A113,AS$3)))</f>
        <v/>
      </c>
      <c r="AT113" s="124" t="str">
        <f>IF($B113="","",IF(AT$3=0,"n.b.",INDEX(SRC_ZPMW03!$A$1:$ZZ$501,$A113,AT$3)))</f>
        <v/>
      </c>
      <c r="AU113" s="124" t="str">
        <f>IF($B113="","",IF(AU$3=0,"n.b.",INDEX(SRC_ZPMW03!$A$1:$ZZ$501,$A113,AU$3)))</f>
        <v/>
      </c>
      <c r="AV113" s="124" t="str">
        <f>IF($B113="","",IF(AV$3=0,"n.b.",INDEX(SRC_ZPMW03!$A$1:$ZZ$501,$A113,AV$3)))</f>
        <v/>
      </c>
      <c r="AW113" s="124" t="str">
        <f>IF($B113="","",IF(AW$3=0,"n.b.",INDEX(SRC_ZPMW03!$A$1:$ZZ$501,$A113,AW$3)))</f>
        <v/>
      </c>
      <c r="AX113" s="124" t="str">
        <f>IF($B113="","",IF(AX$3=0,"n.b.",INDEX(SRC_ZPMW03!$A$1:$ZZ$501,$A113,AX$3)))</f>
        <v/>
      </c>
      <c r="AY113" s="124" t="str">
        <f>IF($B113="","",IF(AY$3=0,"n.b.",INDEX(SRC_ZPMW03!$A$1:$ZZ$501,$A113,AY$3)))</f>
        <v/>
      </c>
      <c r="AZ113" s="124" t="str">
        <f>IF($B113="","",IF(AZ$3=0,"n.b.",INDEX(SRC_ZPMW03!$A$1:$ZZ$501,$A113,AZ$3)))</f>
        <v/>
      </c>
      <c r="BA113" s="124" t="str">
        <f>IF($B113="","",IF(BA$3=0,"n.b.",INDEX(SRC_ZPMW03!$A$1:$ZZ$501,$A113,BA$3)))</f>
        <v/>
      </c>
      <c r="BB113" s="124" t="str">
        <f>IF($B113="","",IF(BB$3=0,"n.b.",INDEX(SRC_ZPMW03!$A$1:$ZZ$501,$A113,BB$3)))</f>
        <v/>
      </c>
      <c r="BC113" s="124" t="str">
        <f>IF($B113="","",IF(BC$3=0,"n.b.",INDEX(SRC_ZPMW03!$A$1:$ZZ$501,$A113,BC$3)))</f>
        <v/>
      </c>
      <c r="BD113" s="124" t="str">
        <f>IF($B113="","",IF(BD$3=0,"n.b.",INDEX(SRC_ZPMW03!$A$1:$ZZ$501,$A113,BD$3)))</f>
        <v/>
      </c>
      <c r="BE113" s="124" t="str">
        <f>IF($B113="","",IF(BE$3=0,"n.b.",INDEX(SRC_ZPMW03!$A$1:$ZZ$501,$A113,BE$3)))</f>
        <v/>
      </c>
      <c r="BF113" s="124" t="str">
        <f>IF($B113="","",IF(BF$3=0,"n.b.",INDEX(SRC_ZPMW03!$A$1:$ZZ$501,$A113,BF$3)))</f>
        <v/>
      </c>
      <c r="BG113" t="str">
        <f>IF($B113="","",IF(BG$3=0,"n.b.",INDEX(SRC_ZPMW03!$A$1:$ZZ$501,$A113,BG$3)))</f>
        <v/>
      </c>
      <c r="BH113" t="str">
        <f>IF($B113="","",IF(BH$3=0,"n.b.",INDEX(SRC_ZPMW03!$A$1:$ZZ$501,$A113,BH$3)))</f>
        <v/>
      </c>
      <c r="BI113" t="str">
        <f>IF($B113="","",IF(BI$3=0,"n.b.",INDEX(SRC_ZPMW03!$A$1:$ZZ$501,$A113,BI$3)))</f>
        <v/>
      </c>
      <c r="BJ113" t="str">
        <f>IF($B113="","",IF(BJ$3=0,"n.b.",INDEX(SRC_ZPMW03!$A$1:$ZZ$501,$A113,BJ$3)))</f>
        <v/>
      </c>
      <c r="BK113" s="124" t="str">
        <f>IF($B113="","",IFERROR(-O113,"n.b."))</f>
        <v/>
      </c>
      <c r="BL113" s="124" t="str">
        <f>IF($B113="","",IFERROR(-Q113,"n.b."))</f>
        <v/>
      </c>
      <c r="BM113" s="124" t="str">
        <f>IF($B113="","",IFERROR(-AB113,"n.b."))</f>
        <v/>
      </c>
      <c r="BN113" s="124" t="str">
        <f>IF($B113="","",IFERROR(-AD113,"n.b."))</f>
        <v/>
      </c>
      <c r="BO113" s="124" t="str">
        <f>IF($B113="","",IFERROR(BK113+BM113,"n.b."))</f>
        <v/>
      </c>
      <c r="BP113" s="124" t="str">
        <f>IF($B113="","",IFERROR(BL113+BN113,"n.b."))</f>
        <v/>
      </c>
      <c r="BQ113" s="124" t="str">
        <f>IF($B113="","",IFERROR(-AM113,"n.b."))</f>
        <v/>
      </c>
      <c r="BR113" s="124" t="str">
        <f>IF($B113="","",IFERROR(-AO113,"n.b."))</f>
        <v/>
      </c>
      <c r="BS113" s="124" t="str">
        <f>IF($B113="","",IFERROR(-Z113,"n.b."))</f>
        <v/>
      </c>
      <c r="BT113" s="124" t="str">
        <f>IF($B113="","",IFERROR(-AA113,"n.b."))</f>
        <v/>
      </c>
      <c r="BU113" s="124" t="str">
        <f>IF($B113="","",IFERROR(-AE113,"n.b."))</f>
        <v/>
      </c>
      <c r="BV113" s="124" t="str">
        <f>IF($B113="","",IFERROR(-AF113,"n.b."))</f>
        <v/>
      </c>
      <c r="BW113" s="124" t="str">
        <f>IF($B113="","",IFERROR(-AG113,"n.b."))</f>
        <v/>
      </c>
      <c r="BX113" s="124" t="str">
        <f>IF($B113="","",IFERROR(-AH113,"n.b."))</f>
        <v/>
      </c>
      <c r="BY113" s="124" t="str">
        <f>IF($B113="","",IFERROR(-AI113,"n.b."))</f>
        <v/>
      </c>
      <c r="BZ113" s="124" t="str">
        <f>IF($B113="","",IFERROR(-AJ113,"n.b."))</f>
        <v/>
      </c>
      <c r="CA113" s="124" t="str">
        <f>IF($B113="","",IFERROR(-AK113,"n.b."))</f>
        <v/>
      </c>
      <c r="CB113" s="124" t="str">
        <f>IF($B113="","",IFERROR(-AL113,"n.b."))</f>
        <v/>
      </c>
      <c r="CC113" s="124" t="str">
        <f>IF($B113="","",IFERROR(-AP113,"n.b."))</f>
        <v/>
      </c>
      <c r="CD113" s="124" t="str">
        <f>IF($B113="","",IFERROR(-AQ113,"n.b."))</f>
        <v/>
      </c>
      <c r="CE113" s="124" t="str">
        <f>IF($B113="","",IFERROR(-AR113,"n.b."))</f>
        <v/>
      </c>
      <c r="CF113" s="124" t="str">
        <f>IF($B113="","",IFERROR(-AS113,"n.b."))</f>
        <v/>
      </c>
      <c r="CG113" s="124" t="str">
        <f>IF($B113="","",IFERROR(-AT113,"n.b."))</f>
        <v/>
      </c>
      <c r="CH113" s="124" t="str">
        <f>IF($B113="","",IFERROR(-AU113,"n.b."))</f>
        <v/>
      </c>
      <c r="CI113" s="124" t="str">
        <f>IF($B113="","",IFERROR(-AV113,"n.b."))</f>
        <v/>
      </c>
      <c r="CJ113" s="124" t="str">
        <f>IF($B113="","",IFERROR(-AW113,"n.b."))</f>
        <v/>
      </c>
      <c r="CK113" s="124" t="str">
        <f>IF($B113="","",IFERROR(-AX113,"n.b."))</f>
        <v/>
      </c>
      <c r="CL113" s="124" t="str">
        <f>IF($B113="","",IFERROR(-AY113,"n.b."))</f>
        <v/>
      </c>
      <c r="CM113" s="124" t="str">
        <f>IF($B113="","",IFERROR(-AZ113,"n.b."))</f>
        <v/>
      </c>
      <c r="CN113" s="124" t="str">
        <f>IF($B113="","",IFERROR(-BA113,"n.b."))</f>
        <v/>
      </c>
      <c r="CO113" s="124" t="str">
        <f>IF($B113="","",IFERROR(-BB113,"n.b."))</f>
        <v/>
      </c>
      <c r="CP113" s="124" t="str">
        <f>IF($B113="","",IFERROR(-BC113,"n.b."))</f>
        <v/>
      </c>
      <c r="CQ113" s="124" t="str">
        <f>IF($B113="","",IFERROR(-BD113,"n.b."))</f>
        <v/>
      </c>
      <c r="CR113" s="124" t="str">
        <f>IF($B113="","",IFERROR(-BE113,"n.b."))</f>
        <v/>
      </c>
      <c r="CS113" s="124" t="str">
        <f>IF($B113="","",IFERROR(IF(OR(ABS(T113+V113+X113+Z113-AB113)&gt;P_Tol,ABS(U113+W113+Y113+AA113-AD113)&gt;P_Tol,ABS(AE113+AG113+AI113+AK113-AM113)&gt;P_Tol,ABS(AF113+AH113+AJ113+AL113-AO113)&gt;P_Tol),1,0),1))</f>
        <v/>
      </c>
      <c r="CT113" s="124" t="str">
        <f>IF($B113="","",IFERROR(IF(OR(ABS(AB113+AC113-AD113)&gt;P_Tol,ABS(AM113+AN113-AO113)&gt;P_Tol,ABS(O113+P113-Q113)&gt;P_Tol),1,0),1))</f>
        <v/>
      </c>
      <c r="CU113" s="124" t="str">
        <f>IF($B113="","",IFERROR(IF(ABS(R113-(AB113+AM113+AP113+AR113+AT113+AV113+AX113+AZ113+BB113+BD113))&gt;P_Tol,1,0),1))</f>
        <v/>
      </c>
      <c r="CV113" s="124" t="str">
        <f>IF($B113="","",IFERROR(IF(ABS(M113-(N113+O113+R113))&gt;P_Tol,1,0),1))</f>
        <v/>
      </c>
      <c r="CW113" s="124" t="str">
        <f>IF($B113="","",IF(COUNTIF(Mapping!$A$5:$A$104,B113)&gt;0,1,0))</f>
        <v/>
      </c>
      <c r="CX113" s="124" t="str">
        <f>IF($B113="","",COUNTIF($B$6:$B$505,B113))</f>
        <v/>
      </c>
      <c r="CY113" s="124" t="str">
        <f>IF($B113="","",COUNTIF(STG_Woningetalage!$B$6:$B$505,B113))</f>
        <v/>
      </c>
      <c r="CZ113" s="124" t="str">
        <f>IF($B113="","",IF(CW113=0,COUNTIF($CW$6:CW113,0),""))</f>
        <v/>
      </c>
    </row>
    <row r="114">
      <c r="A114" s="15" t="n">
        <v>110</v>
      </c>
      <c r="B114" t="str">
        <f>IF(B$3=0,"",IF(INDEX(SRC_ZPMW03!$A$1:$ZZ$501,$A114,B$3)&amp;""="","",INDEX(SRC_ZPMW03!$A$1:$ZZ$501,$A114,B$3)&amp;""))</f>
        <v/>
      </c>
      <c r="C114" t="str">
        <f>IF($B114="","",IF(C$3=0,"n.b.",INDEX(SRC_ZPMW03!$A$1:$ZZ$501,$A114,C$3)))</f>
        <v/>
      </c>
      <c r="D114" t="str">
        <f>IF($B114="","",IF(D$3=0,"n.b.",INDEX(SRC_ZPMW03!$A$1:$ZZ$501,$A114,D$3)))</f>
        <v/>
      </c>
      <c r="E114" t="str">
        <f>IF($B114="","",IF(E$3=0,"n.b.",INDEX(SRC_ZPMW03!$A$1:$ZZ$501,$A114,E$3)))</f>
        <v/>
      </c>
      <c r="F114" t="str">
        <f>IF($B114="","",IF(F$3=0,"n.b.",INDEX(SRC_ZPMW03!$A$1:$ZZ$501,$A114,F$3)))</f>
        <v/>
      </c>
      <c r="G114" t="str">
        <f>IF($B114="","",IF(G$3=0,"n.b.",INDEX(SRC_ZPMW03!$A$1:$ZZ$501,$A114,G$3)))</f>
        <v/>
      </c>
      <c r="H114" t="str">
        <f>IF($B114="","",IF(H$3=0,"n.b.",INDEX(SRC_ZPMW03!$A$1:$ZZ$501,$A114,H$3)))</f>
        <v/>
      </c>
      <c r="I114" t="str">
        <f>IF($B114="","",IF(I$3=0,"n.b.",INDEX(SRC_ZPMW03!$A$1:$ZZ$501,$A114,I$3)))</f>
        <v/>
      </c>
      <c r="J114" t="str">
        <f>IF($B114="","",IF(J$3=0,"n.b.",INDEX(SRC_ZPMW03!$A$1:$ZZ$501,$A114,J$3)))</f>
        <v/>
      </c>
      <c r="K114" t="str">
        <f>IF($B114="","",IF(K$3=0,"n.b.",INDEX(SRC_ZPMW03!$A$1:$ZZ$501,$A114,K$3)))</f>
        <v/>
      </c>
      <c r="L114" s="124" t="str">
        <f>IF($B114="","",IF(L$3=0,"n.b.",INDEX(SRC_ZPMW03!$A$1:$ZZ$501,$A114,L$3)))</f>
        <v/>
      </c>
      <c r="M114" s="124" t="str">
        <f>IF($B114="","",IF(M$3=0,"n.b.",INDEX(SRC_ZPMW03!$A$1:$ZZ$501,$A114,M$3)))</f>
        <v/>
      </c>
      <c r="N114" s="124" t="str">
        <f>IF($B114="","",IF(N$3=0,"n.b.",INDEX(SRC_ZPMW03!$A$1:$ZZ$501,$A114,N$3)))</f>
        <v/>
      </c>
      <c r="O114" s="124" t="str">
        <f>IF($B114="","",IF(O$3=0,"n.b.",INDEX(SRC_ZPMW03!$A$1:$ZZ$501,$A114,O$3)))</f>
        <v/>
      </c>
      <c r="P114" s="124" t="str">
        <f>IF($B114="","",IF(P$3=0,"n.b.",INDEX(SRC_ZPMW03!$A$1:$ZZ$501,$A114,P$3)))</f>
        <v/>
      </c>
      <c r="Q114" s="124" t="str">
        <f>IF($B114="","",IF(Q$3=0,"n.b.",INDEX(SRC_ZPMW03!$A$1:$ZZ$501,$A114,Q$3)))</f>
        <v/>
      </c>
      <c r="R114" s="124" t="str">
        <f>IF($B114="","",IF(R$3=0,"n.b.",INDEX(SRC_ZPMW03!$A$1:$ZZ$501,$A114,R$3)))</f>
        <v/>
      </c>
      <c r="S114" s="124" t="str">
        <f>IF($B114="","",IF(S$3=0,"n.b.",INDEX(SRC_ZPMW03!$A$1:$ZZ$501,$A114,S$3)))</f>
        <v/>
      </c>
      <c r="T114" s="124" t="str">
        <f>IF($B114="","",IF(T$3=0,"n.b.",INDEX(SRC_ZPMW03!$A$1:$ZZ$501,$A114,T$3)))</f>
        <v/>
      </c>
      <c r="U114" s="124" t="str">
        <f>IF($B114="","",IF(U$3=0,"n.b.",INDEX(SRC_ZPMW03!$A$1:$ZZ$501,$A114,U$3)))</f>
        <v/>
      </c>
      <c r="V114" s="124" t="str">
        <f>IF($B114="","",IF(V$3=0,"n.b.",INDEX(SRC_ZPMW03!$A$1:$ZZ$501,$A114,V$3)))</f>
        <v/>
      </c>
      <c r="W114" s="124" t="str">
        <f>IF($B114="","",IF(W$3=0,"n.b.",INDEX(SRC_ZPMW03!$A$1:$ZZ$501,$A114,W$3)))</f>
        <v/>
      </c>
      <c r="X114" s="124" t="str">
        <f>IF($B114="","",IF(X$3=0,"n.b.",INDEX(SRC_ZPMW03!$A$1:$ZZ$501,$A114,X$3)))</f>
        <v/>
      </c>
      <c r="Y114" s="124" t="str">
        <f>IF($B114="","",IF(Y$3=0,"n.b.",INDEX(SRC_ZPMW03!$A$1:$ZZ$501,$A114,Y$3)))</f>
        <v/>
      </c>
      <c r="Z114" s="124" t="str">
        <f>IF($B114="","",IF(Z$3=0,"n.b.",INDEX(SRC_ZPMW03!$A$1:$ZZ$501,$A114,Z$3)))</f>
        <v/>
      </c>
      <c r="AA114" s="124" t="str">
        <f>IF($B114="","",IF(AA$3=0,"n.b.",INDEX(SRC_ZPMW03!$A$1:$ZZ$501,$A114,AA$3)))</f>
        <v/>
      </c>
      <c r="AB114" s="124" t="str">
        <f>IF($B114="","",IF(AB$3=0,"n.b.",INDEX(SRC_ZPMW03!$A$1:$ZZ$501,$A114,AB$3)))</f>
        <v/>
      </c>
      <c r="AC114" s="124" t="str">
        <f>IF($B114="","",IF(AC$3=0,"n.b.",INDEX(SRC_ZPMW03!$A$1:$ZZ$501,$A114,AC$3)))</f>
        <v/>
      </c>
      <c r="AD114" s="124" t="str">
        <f>IF($B114="","",IF(AD$3=0,"n.b.",INDEX(SRC_ZPMW03!$A$1:$ZZ$501,$A114,AD$3)))</f>
        <v/>
      </c>
      <c r="AE114" s="124" t="str">
        <f>IF($B114="","",IF(AE$3=0,"n.b.",INDEX(SRC_ZPMW03!$A$1:$ZZ$501,$A114,AE$3)))</f>
        <v/>
      </c>
      <c r="AF114" s="124" t="str">
        <f>IF($B114="","",IF(AF$3=0,"n.b.",INDEX(SRC_ZPMW03!$A$1:$ZZ$501,$A114,AF$3)))</f>
        <v/>
      </c>
      <c r="AG114" s="124" t="str">
        <f>IF($B114="","",IF(AG$3=0,"n.b.",INDEX(SRC_ZPMW03!$A$1:$ZZ$501,$A114,AG$3)))</f>
        <v/>
      </c>
      <c r="AH114" s="124" t="str">
        <f>IF($B114="","",IF(AH$3=0,"n.b.",INDEX(SRC_ZPMW03!$A$1:$ZZ$501,$A114,AH$3)))</f>
        <v/>
      </c>
      <c r="AI114" s="124" t="str">
        <f>IF($B114="","",IF(AI$3=0,"n.b.",INDEX(SRC_ZPMW03!$A$1:$ZZ$501,$A114,AI$3)))</f>
        <v/>
      </c>
      <c r="AJ114" s="124" t="str">
        <f>IF($B114="","",IF(AJ$3=0,"n.b.",INDEX(SRC_ZPMW03!$A$1:$ZZ$501,$A114,AJ$3)))</f>
        <v/>
      </c>
      <c r="AK114" s="124" t="str">
        <f>IF($B114="","",IF(AK$3=0,"n.b.",INDEX(SRC_ZPMW03!$A$1:$ZZ$501,$A114,AK$3)))</f>
        <v/>
      </c>
      <c r="AL114" s="124" t="str">
        <f>IF($B114="","",IF(AL$3=0,"n.b.",INDEX(SRC_ZPMW03!$A$1:$ZZ$501,$A114,AL$3)))</f>
        <v/>
      </c>
      <c r="AM114" s="124" t="str">
        <f>IF($B114="","",IF(AM$3=0,"n.b.",INDEX(SRC_ZPMW03!$A$1:$ZZ$501,$A114,AM$3)))</f>
        <v/>
      </c>
      <c r="AN114" s="124" t="str">
        <f>IF($B114="","",IF(AN$3=0,"n.b.",INDEX(SRC_ZPMW03!$A$1:$ZZ$501,$A114,AN$3)))</f>
        <v/>
      </c>
      <c r="AO114" s="124" t="str">
        <f>IF($B114="","",IF(AO$3=0,"n.b.",INDEX(SRC_ZPMW03!$A$1:$ZZ$501,$A114,AO$3)))</f>
        <v/>
      </c>
      <c r="AP114" s="124" t="str">
        <f>IF($B114="","",IF(AP$3=0,"n.b.",INDEX(SRC_ZPMW03!$A$1:$ZZ$501,$A114,AP$3)))</f>
        <v/>
      </c>
      <c r="AQ114" s="124" t="str">
        <f>IF($B114="","",IF(AQ$3=0,"n.b.",INDEX(SRC_ZPMW03!$A$1:$ZZ$501,$A114,AQ$3)))</f>
        <v/>
      </c>
      <c r="AR114" s="124" t="str">
        <f>IF($B114="","",IF(AR$3=0,"n.b.",INDEX(SRC_ZPMW03!$A$1:$ZZ$501,$A114,AR$3)))</f>
        <v/>
      </c>
      <c r="AS114" s="124" t="str">
        <f>IF($B114="","",IF(AS$3=0,"n.b.",INDEX(SRC_ZPMW03!$A$1:$ZZ$501,$A114,AS$3)))</f>
        <v/>
      </c>
      <c r="AT114" s="124" t="str">
        <f>IF($B114="","",IF(AT$3=0,"n.b.",INDEX(SRC_ZPMW03!$A$1:$ZZ$501,$A114,AT$3)))</f>
        <v/>
      </c>
      <c r="AU114" s="124" t="str">
        <f>IF($B114="","",IF(AU$3=0,"n.b.",INDEX(SRC_ZPMW03!$A$1:$ZZ$501,$A114,AU$3)))</f>
        <v/>
      </c>
      <c r="AV114" s="124" t="str">
        <f>IF($B114="","",IF(AV$3=0,"n.b.",INDEX(SRC_ZPMW03!$A$1:$ZZ$501,$A114,AV$3)))</f>
        <v/>
      </c>
      <c r="AW114" s="124" t="str">
        <f>IF($B114="","",IF(AW$3=0,"n.b.",INDEX(SRC_ZPMW03!$A$1:$ZZ$501,$A114,AW$3)))</f>
        <v/>
      </c>
      <c r="AX114" s="124" t="str">
        <f>IF($B114="","",IF(AX$3=0,"n.b.",INDEX(SRC_ZPMW03!$A$1:$ZZ$501,$A114,AX$3)))</f>
        <v/>
      </c>
      <c r="AY114" s="124" t="str">
        <f>IF($B114="","",IF(AY$3=0,"n.b.",INDEX(SRC_ZPMW03!$A$1:$ZZ$501,$A114,AY$3)))</f>
        <v/>
      </c>
      <c r="AZ114" s="124" t="str">
        <f>IF($B114="","",IF(AZ$3=0,"n.b.",INDEX(SRC_ZPMW03!$A$1:$ZZ$501,$A114,AZ$3)))</f>
        <v/>
      </c>
      <c r="BA114" s="124" t="str">
        <f>IF($B114="","",IF(BA$3=0,"n.b.",INDEX(SRC_ZPMW03!$A$1:$ZZ$501,$A114,BA$3)))</f>
        <v/>
      </c>
      <c r="BB114" s="124" t="str">
        <f>IF($B114="","",IF(BB$3=0,"n.b.",INDEX(SRC_ZPMW03!$A$1:$ZZ$501,$A114,BB$3)))</f>
        <v/>
      </c>
      <c r="BC114" s="124" t="str">
        <f>IF($B114="","",IF(BC$3=0,"n.b.",INDEX(SRC_ZPMW03!$A$1:$ZZ$501,$A114,BC$3)))</f>
        <v/>
      </c>
      <c r="BD114" s="124" t="str">
        <f>IF($B114="","",IF(BD$3=0,"n.b.",INDEX(SRC_ZPMW03!$A$1:$ZZ$501,$A114,BD$3)))</f>
        <v/>
      </c>
      <c r="BE114" s="124" t="str">
        <f>IF($B114="","",IF(BE$3=0,"n.b.",INDEX(SRC_ZPMW03!$A$1:$ZZ$501,$A114,BE$3)))</f>
        <v/>
      </c>
      <c r="BF114" s="124" t="str">
        <f>IF($B114="","",IF(BF$3=0,"n.b.",INDEX(SRC_ZPMW03!$A$1:$ZZ$501,$A114,BF$3)))</f>
        <v/>
      </c>
      <c r="BG114" t="str">
        <f>IF($B114="","",IF(BG$3=0,"n.b.",INDEX(SRC_ZPMW03!$A$1:$ZZ$501,$A114,BG$3)))</f>
        <v/>
      </c>
      <c r="BH114" t="str">
        <f>IF($B114="","",IF(BH$3=0,"n.b.",INDEX(SRC_ZPMW03!$A$1:$ZZ$501,$A114,BH$3)))</f>
        <v/>
      </c>
      <c r="BI114" t="str">
        <f>IF($B114="","",IF(BI$3=0,"n.b.",INDEX(SRC_ZPMW03!$A$1:$ZZ$501,$A114,BI$3)))</f>
        <v/>
      </c>
      <c r="BJ114" t="str">
        <f>IF($B114="","",IF(BJ$3=0,"n.b.",INDEX(SRC_ZPMW03!$A$1:$ZZ$501,$A114,BJ$3)))</f>
        <v/>
      </c>
      <c r="BK114" s="124" t="str">
        <f>IF($B114="","",IFERROR(-O114,"n.b."))</f>
        <v/>
      </c>
      <c r="BL114" s="124" t="str">
        <f>IF($B114="","",IFERROR(-Q114,"n.b."))</f>
        <v/>
      </c>
      <c r="BM114" s="124" t="str">
        <f>IF($B114="","",IFERROR(-AB114,"n.b."))</f>
        <v/>
      </c>
      <c r="BN114" s="124" t="str">
        <f>IF($B114="","",IFERROR(-AD114,"n.b."))</f>
        <v/>
      </c>
      <c r="BO114" s="124" t="str">
        <f>IF($B114="","",IFERROR(BK114+BM114,"n.b."))</f>
        <v/>
      </c>
      <c r="BP114" s="124" t="str">
        <f>IF($B114="","",IFERROR(BL114+BN114,"n.b."))</f>
        <v/>
      </c>
      <c r="BQ114" s="124" t="str">
        <f>IF($B114="","",IFERROR(-AM114,"n.b."))</f>
        <v/>
      </c>
      <c r="BR114" s="124" t="str">
        <f>IF($B114="","",IFERROR(-AO114,"n.b."))</f>
        <v/>
      </c>
      <c r="BS114" s="124" t="str">
        <f>IF($B114="","",IFERROR(-Z114,"n.b."))</f>
        <v/>
      </c>
      <c r="BT114" s="124" t="str">
        <f>IF($B114="","",IFERROR(-AA114,"n.b."))</f>
        <v/>
      </c>
      <c r="BU114" s="124" t="str">
        <f>IF($B114="","",IFERROR(-AE114,"n.b."))</f>
        <v/>
      </c>
      <c r="BV114" s="124" t="str">
        <f>IF($B114="","",IFERROR(-AF114,"n.b."))</f>
        <v/>
      </c>
      <c r="BW114" s="124" t="str">
        <f>IF($B114="","",IFERROR(-AG114,"n.b."))</f>
        <v/>
      </c>
      <c r="BX114" s="124" t="str">
        <f>IF($B114="","",IFERROR(-AH114,"n.b."))</f>
        <v/>
      </c>
      <c r="BY114" s="124" t="str">
        <f>IF($B114="","",IFERROR(-AI114,"n.b."))</f>
        <v/>
      </c>
      <c r="BZ114" s="124" t="str">
        <f>IF($B114="","",IFERROR(-AJ114,"n.b."))</f>
        <v/>
      </c>
      <c r="CA114" s="124" t="str">
        <f>IF($B114="","",IFERROR(-AK114,"n.b."))</f>
        <v/>
      </c>
      <c r="CB114" s="124" t="str">
        <f>IF($B114="","",IFERROR(-AL114,"n.b."))</f>
        <v/>
      </c>
      <c r="CC114" s="124" t="str">
        <f>IF($B114="","",IFERROR(-AP114,"n.b."))</f>
        <v/>
      </c>
      <c r="CD114" s="124" t="str">
        <f>IF($B114="","",IFERROR(-AQ114,"n.b."))</f>
        <v/>
      </c>
      <c r="CE114" s="124" t="str">
        <f>IF($B114="","",IFERROR(-AR114,"n.b."))</f>
        <v/>
      </c>
      <c r="CF114" s="124" t="str">
        <f>IF($B114="","",IFERROR(-AS114,"n.b."))</f>
        <v/>
      </c>
      <c r="CG114" s="124" t="str">
        <f>IF($B114="","",IFERROR(-AT114,"n.b."))</f>
        <v/>
      </c>
      <c r="CH114" s="124" t="str">
        <f>IF($B114="","",IFERROR(-AU114,"n.b."))</f>
        <v/>
      </c>
      <c r="CI114" s="124" t="str">
        <f>IF($B114="","",IFERROR(-AV114,"n.b."))</f>
        <v/>
      </c>
      <c r="CJ114" s="124" t="str">
        <f>IF($B114="","",IFERROR(-AW114,"n.b."))</f>
        <v/>
      </c>
      <c r="CK114" s="124" t="str">
        <f>IF($B114="","",IFERROR(-AX114,"n.b."))</f>
        <v/>
      </c>
      <c r="CL114" s="124" t="str">
        <f>IF($B114="","",IFERROR(-AY114,"n.b."))</f>
        <v/>
      </c>
      <c r="CM114" s="124" t="str">
        <f>IF($B114="","",IFERROR(-AZ114,"n.b."))</f>
        <v/>
      </c>
      <c r="CN114" s="124" t="str">
        <f>IF($B114="","",IFERROR(-BA114,"n.b."))</f>
        <v/>
      </c>
      <c r="CO114" s="124" t="str">
        <f>IF($B114="","",IFERROR(-BB114,"n.b."))</f>
        <v/>
      </c>
      <c r="CP114" s="124" t="str">
        <f>IF($B114="","",IFERROR(-BC114,"n.b."))</f>
        <v/>
      </c>
      <c r="CQ114" s="124" t="str">
        <f>IF($B114="","",IFERROR(-BD114,"n.b."))</f>
        <v/>
      </c>
      <c r="CR114" s="124" t="str">
        <f>IF($B114="","",IFERROR(-BE114,"n.b."))</f>
        <v/>
      </c>
      <c r="CS114" s="124" t="str">
        <f>IF($B114="","",IFERROR(IF(OR(ABS(T114+V114+X114+Z114-AB114)&gt;P_Tol,ABS(U114+W114+Y114+AA114-AD114)&gt;P_Tol,ABS(AE114+AG114+AI114+AK114-AM114)&gt;P_Tol,ABS(AF114+AH114+AJ114+AL114-AO114)&gt;P_Tol),1,0),1))</f>
        <v/>
      </c>
      <c r="CT114" s="124" t="str">
        <f>IF($B114="","",IFERROR(IF(OR(ABS(AB114+AC114-AD114)&gt;P_Tol,ABS(AM114+AN114-AO114)&gt;P_Tol,ABS(O114+P114-Q114)&gt;P_Tol),1,0),1))</f>
        <v/>
      </c>
      <c r="CU114" s="124" t="str">
        <f>IF($B114="","",IFERROR(IF(ABS(R114-(AB114+AM114+AP114+AR114+AT114+AV114+AX114+AZ114+BB114+BD114))&gt;P_Tol,1,0),1))</f>
        <v/>
      </c>
      <c r="CV114" s="124" t="str">
        <f>IF($B114="","",IFERROR(IF(ABS(M114-(N114+O114+R114))&gt;P_Tol,1,0),1))</f>
        <v/>
      </c>
      <c r="CW114" s="124" t="str">
        <f>IF($B114="","",IF(COUNTIF(Mapping!$A$5:$A$104,B114)&gt;0,1,0))</f>
        <v/>
      </c>
      <c r="CX114" s="124" t="str">
        <f>IF($B114="","",COUNTIF($B$6:$B$505,B114))</f>
        <v/>
      </c>
      <c r="CY114" s="124" t="str">
        <f>IF($B114="","",COUNTIF(STG_Woningetalage!$B$6:$B$505,B114))</f>
        <v/>
      </c>
      <c r="CZ114" s="124" t="str">
        <f>IF($B114="","",IF(CW114=0,COUNTIF($CW$6:CW114,0),""))</f>
        <v/>
      </c>
    </row>
    <row r="115">
      <c r="A115" s="15" t="n">
        <v>111</v>
      </c>
      <c r="B115" t="str">
        <f>IF(B$3=0,"",IF(INDEX(SRC_ZPMW03!$A$1:$ZZ$501,$A115,B$3)&amp;""="","",INDEX(SRC_ZPMW03!$A$1:$ZZ$501,$A115,B$3)&amp;""))</f>
        <v/>
      </c>
      <c r="C115" t="str">
        <f>IF($B115="","",IF(C$3=0,"n.b.",INDEX(SRC_ZPMW03!$A$1:$ZZ$501,$A115,C$3)))</f>
        <v/>
      </c>
      <c r="D115" t="str">
        <f>IF($B115="","",IF(D$3=0,"n.b.",INDEX(SRC_ZPMW03!$A$1:$ZZ$501,$A115,D$3)))</f>
        <v/>
      </c>
      <c r="E115" t="str">
        <f>IF($B115="","",IF(E$3=0,"n.b.",INDEX(SRC_ZPMW03!$A$1:$ZZ$501,$A115,E$3)))</f>
        <v/>
      </c>
      <c r="F115" t="str">
        <f>IF($B115="","",IF(F$3=0,"n.b.",INDEX(SRC_ZPMW03!$A$1:$ZZ$501,$A115,F$3)))</f>
        <v/>
      </c>
      <c r="G115" t="str">
        <f>IF($B115="","",IF(G$3=0,"n.b.",INDEX(SRC_ZPMW03!$A$1:$ZZ$501,$A115,G$3)))</f>
        <v/>
      </c>
      <c r="H115" t="str">
        <f>IF($B115="","",IF(H$3=0,"n.b.",INDEX(SRC_ZPMW03!$A$1:$ZZ$501,$A115,H$3)))</f>
        <v/>
      </c>
      <c r="I115" t="str">
        <f>IF($B115="","",IF(I$3=0,"n.b.",INDEX(SRC_ZPMW03!$A$1:$ZZ$501,$A115,I$3)))</f>
        <v/>
      </c>
      <c r="J115" t="str">
        <f>IF($B115="","",IF(J$3=0,"n.b.",INDEX(SRC_ZPMW03!$A$1:$ZZ$501,$A115,J$3)))</f>
        <v/>
      </c>
      <c r="K115" t="str">
        <f>IF($B115="","",IF(K$3=0,"n.b.",INDEX(SRC_ZPMW03!$A$1:$ZZ$501,$A115,K$3)))</f>
        <v/>
      </c>
      <c r="L115" s="124" t="str">
        <f>IF($B115="","",IF(L$3=0,"n.b.",INDEX(SRC_ZPMW03!$A$1:$ZZ$501,$A115,L$3)))</f>
        <v/>
      </c>
      <c r="M115" s="124" t="str">
        <f>IF($B115="","",IF(M$3=0,"n.b.",INDEX(SRC_ZPMW03!$A$1:$ZZ$501,$A115,M$3)))</f>
        <v/>
      </c>
      <c r="N115" s="124" t="str">
        <f>IF($B115="","",IF(N$3=0,"n.b.",INDEX(SRC_ZPMW03!$A$1:$ZZ$501,$A115,N$3)))</f>
        <v/>
      </c>
      <c r="O115" s="124" t="str">
        <f>IF($B115="","",IF(O$3=0,"n.b.",INDEX(SRC_ZPMW03!$A$1:$ZZ$501,$A115,O$3)))</f>
        <v/>
      </c>
      <c r="P115" s="124" t="str">
        <f>IF($B115="","",IF(P$3=0,"n.b.",INDEX(SRC_ZPMW03!$A$1:$ZZ$501,$A115,P$3)))</f>
        <v/>
      </c>
      <c r="Q115" s="124" t="str">
        <f>IF($B115="","",IF(Q$3=0,"n.b.",INDEX(SRC_ZPMW03!$A$1:$ZZ$501,$A115,Q$3)))</f>
        <v/>
      </c>
      <c r="R115" s="124" t="str">
        <f>IF($B115="","",IF(R$3=0,"n.b.",INDEX(SRC_ZPMW03!$A$1:$ZZ$501,$A115,R$3)))</f>
        <v/>
      </c>
      <c r="S115" s="124" t="str">
        <f>IF($B115="","",IF(S$3=0,"n.b.",INDEX(SRC_ZPMW03!$A$1:$ZZ$501,$A115,S$3)))</f>
        <v/>
      </c>
      <c r="T115" s="124" t="str">
        <f>IF($B115="","",IF(T$3=0,"n.b.",INDEX(SRC_ZPMW03!$A$1:$ZZ$501,$A115,T$3)))</f>
        <v/>
      </c>
      <c r="U115" s="124" t="str">
        <f>IF($B115="","",IF(U$3=0,"n.b.",INDEX(SRC_ZPMW03!$A$1:$ZZ$501,$A115,U$3)))</f>
        <v/>
      </c>
      <c r="V115" s="124" t="str">
        <f>IF($B115="","",IF(V$3=0,"n.b.",INDEX(SRC_ZPMW03!$A$1:$ZZ$501,$A115,V$3)))</f>
        <v/>
      </c>
      <c r="W115" s="124" t="str">
        <f>IF($B115="","",IF(W$3=0,"n.b.",INDEX(SRC_ZPMW03!$A$1:$ZZ$501,$A115,W$3)))</f>
        <v/>
      </c>
      <c r="X115" s="124" t="str">
        <f>IF($B115="","",IF(X$3=0,"n.b.",INDEX(SRC_ZPMW03!$A$1:$ZZ$501,$A115,X$3)))</f>
        <v/>
      </c>
      <c r="Y115" s="124" t="str">
        <f>IF($B115="","",IF(Y$3=0,"n.b.",INDEX(SRC_ZPMW03!$A$1:$ZZ$501,$A115,Y$3)))</f>
        <v/>
      </c>
      <c r="Z115" s="124" t="str">
        <f>IF($B115="","",IF(Z$3=0,"n.b.",INDEX(SRC_ZPMW03!$A$1:$ZZ$501,$A115,Z$3)))</f>
        <v/>
      </c>
      <c r="AA115" s="124" t="str">
        <f>IF($B115="","",IF(AA$3=0,"n.b.",INDEX(SRC_ZPMW03!$A$1:$ZZ$501,$A115,AA$3)))</f>
        <v/>
      </c>
      <c r="AB115" s="124" t="str">
        <f>IF($B115="","",IF(AB$3=0,"n.b.",INDEX(SRC_ZPMW03!$A$1:$ZZ$501,$A115,AB$3)))</f>
        <v/>
      </c>
      <c r="AC115" s="124" t="str">
        <f>IF($B115="","",IF(AC$3=0,"n.b.",INDEX(SRC_ZPMW03!$A$1:$ZZ$501,$A115,AC$3)))</f>
        <v/>
      </c>
      <c r="AD115" s="124" t="str">
        <f>IF($B115="","",IF(AD$3=0,"n.b.",INDEX(SRC_ZPMW03!$A$1:$ZZ$501,$A115,AD$3)))</f>
        <v/>
      </c>
      <c r="AE115" s="124" t="str">
        <f>IF($B115="","",IF(AE$3=0,"n.b.",INDEX(SRC_ZPMW03!$A$1:$ZZ$501,$A115,AE$3)))</f>
        <v/>
      </c>
      <c r="AF115" s="124" t="str">
        <f>IF($B115="","",IF(AF$3=0,"n.b.",INDEX(SRC_ZPMW03!$A$1:$ZZ$501,$A115,AF$3)))</f>
        <v/>
      </c>
      <c r="AG115" s="124" t="str">
        <f>IF($B115="","",IF(AG$3=0,"n.b.",INDEX(SRC_ZPMW03!$A$1:$ZZ$501,$A115,AG$3)))</f>
        <v/>
      </c>
      <c r="AH115" s="124" t="str">
        <f>IF($B115="","",IF(AH$3=0,"n.b.",INDEX(SRC_ZPMW03!$A$1:$ZZ$501,$A115,AH$3)))</f>
        <v/>
      </c>
      <c r="AI115" s="124" t="str">
        <f>IF($B115="","",IF(AI$3=0,"n.b.",INDEX(SRC_ZPMW03!$A$1:$ZZ$501,$A115,AI$3)))</f>
        <v/>
      </c>
      <c r="AJ115" s="124" t="str">
        <f>IF($B115="","",IF(AJ$3=0,"n.b.",INDEX(SRC_ZPMW03!$A$1:$ZZ$501,$A115,AJ$3)))</f>
        <v/>
      </c>
      <c r="AK115" s="124" t="str">
        <f>IF($B115="","",IF(AK$3=0,"n.b.",INDEX(SRC_ZPMW03!$A$1:$ZZ$501,$A115,AK$3)))</f>
        <v/>
      </c>
      <c r="AL115" s="124" t="str">
        <f>IF($B115="","",IF(AL$3=0,"n.b.",INDEX(SRC_ZPMW03!$A$1:$ZZ$501,$A115,AL$3)))</f>
        <v/>
      </c>
      <c r="AM115" s="124" t="str">
        <f>IF($B115="","",IF(AM$3=0,"n.b.",INDEX(SRC_ZPMW03!$A$1:$ZZ$501,$A115,AM$3)))</f>
        <v/>
      </c>
      <c r="AN115" s="124" t="str">
        <f>IF($B115="","",IF(AN$3=0,"n.b.",INDEX(SRC_ZPMW03!$A$1:$ZZ$501,$A115,AN$3)))</f>
        <v/>
      </c>
      <c r="AO115" s="124" t="str">
        <f>IF($B115="","",IF(AO$3=0,"n.b.",INDEX(SRC_ZPMW03!$A$1:$ZZ$501,$A115,AO$3)))</f>
        <v/>
      </c>
      <c r="AP115" s="124" t="str">
        <f>IF($B115="","",IF(AP$3=0,"n.b.",INDEX(SRC_ZPMW03!$A$1:$ZZ$501,$A115,AP$3)))</f>
        <v/>
      </c>
      <c r="AQ115" s="124" t="str">
        <f>IF($B115="","",IF(AQ$3=0,"n.b.",INDEX(SRC_ZPMW03!$A$1:$ZZ$501,$A115,AQ$3)))</f>
        <v/>
      </c>
      <c r="AR115" s="124" t="str">
        <f>IF($B115="","",IF(AR$3=0,"n.b.",INDEX(SRC_ZPMW03!$A$1:$ZZ$501,$A115,AR$3)))</f>
        <v/>
      </c>
      <c r="AS115" s="124" t="str">
        <f>IF($B115="","",IF(AS$3=0,"n.b.",INDEX(SRC_ZPMW03!$A$1:$ZZ$501,$A115,AS$3)))</f>
        <v/>
      </c>
      <c r="AT115" s="124" t="str">
        <f>IF($B115="","",IF(AT$3=0,"n.b.",INDEX(SRC_ZPMW03!$A$1:$ZZ$501,$A115,AT$3)))</f>
        <v/>
      </c>
      <c r="AU115" s="124" t="str">
        <f>IF($B115="","",IF(AU$3=0,"n.b.",INDEX(SRC_ZPMW03!$A$1:$ZZ$501,$A115,AU$3)))</f>
        <v/>
      </c>
      <c r="AV115" s="124" t="str">
        <f>IF($B115="","",IF(AV$3=0,"n.b.",INDEX(SRC_ZPMW03!$A$1:$ZZ$501,$A115,AV$3)))</f>
        <v/>
      </c>
      <c r="AW115" s="124" t="str">
        <f>IF($B115="","",IF(AW$3=0,"n.b.",INDEX(SRC_ZPMW03!$A$1:$ZZ$501,$A115,AW$3)))</f>
        <v/>
      </c>
      <c r="AX115" s="124" t="str">
        <f>IF($B115="","",IF(AX$3=0,"n.b.",INDEX(SRC_ZPMW03!$A$1:$ZZ$501,$A115,AX$3)))</f>
        <v/>
      </c>
      <c r="AY115" s="124" t="str">
        <f>IF($B115="","",IF(AY$3=0,"n.b.",INDEX(SRC_ZPMW03!$A$1:$ZZ$501,$A115,AY$3)))</f>
        <v/>
      </c>
      <c r="AZ115" s="124" t="str">
        <f>IF($B115="","",IF(AZ$3=0,"n.b.",INDEX(SRC_ZPMW03!$A$1:$ZZ$501,$A115,AZ$3)))</f>
        <v/>
      </c>
      <c r="BA115" s="124" t="str">
        <f>IF($B115="","",IF(BA$3=0,"n.b.",INDEX(SRC_ZPMW03!$A$1:$ZZ$501,$A115,BA$3)))</f>
        <v/>
      </c>
      <c r="BB115" s="124" t="str">
        <f>IF($B115="","",IF(BB$3=0,"n.b.",INDEX(SRC_ZPMW03!$A$1:$ZZ$501,$A115,BB$3)))</f>
        <v/>
      </c>
      <c r="BC115" s="124" t="str">
        <f>IF($B115="","",IF(BC$3=0,"n.b.",INDEX(SRC_ZPMW03!$A$1:$ZZ$501,$A115,BC$3)))</f>
        <v/>
      </c>
      <c r="BD115" s="124" t="str">
        <f>IF($B115="","",IF(BD$3=0,"n.b.",INDEX(SRC_ZPMW03!$A$1:$ZZ$501,$A115,BD$3)))</f>
        <v/>
      </c>
      <c r="BE115" s="124" t="str">
        <f>IF($B115="","",IF(BE$3=0,"n.b.",INDEX(SRC_ZPMW03!$A$1:$ZZ$501,$A115,BE$3)))</f>
        <v/>
      </c>
      <c r="BF115" s="124" t="str">
        <f>IF($B115="","",IF(BF$3=0,"n.b.",INDEX(SRC_ZPMW03!$A$1:$ZZ$501,$A115,BF$3)))</f>
        <v/>
      </c>
      <c r="BG115" t="str">
        <f>IF($B115="","",IF(BG$3=0,"n.b.",INDEX(SRC_ZPMW03!$A$1:$ZZ$501,$A115,BG$3)))</f>
        <v/>
      </c>
      <c r="BH115" t="str">
        <f>IF($B115="","",IF(BH$3=0,"n.b.",INDEX(SRC_ZPMW03!$A$1:$ZZ$501,$A115,BH$3)))</f>
        <v/>
      </c>
      <c r="BI115" t="str">
        <f>IF($B115="","",IF(BI$3=0,"n.b.",INDEX(SRC_ZPMW03!$A$1:$ZZ$501,$A115,BI$3)))</f>
        <v/>
      </c>
      <c r="BJ115" t="str">
        <f>IF($B115="","",IF(BJ$3=0,"n.b.",INDEX(SRC_ZPMW03!$A$1:$ZZ$501,$A115,BJ$3)))</f>
        <v/>
      </c>
      <c r="BK115" s="124" t="str">
        <f>IF($B115="","",IFERROR(-O115,"n.b."))</f>
        <v/>
      </c>
      <c r="BL115" s="124" t="str">
        <f>IF($B115="","",IFERROR(-Q115,"n.b."))</f>
        <v/>
      </c>
      <c r="BM115" s="124" t="str">
        <f>IF($B115="","",IFERROR(-AB115,"n.b."))</f>
        <v/>
      </c>
      <c r="BN115" s="124" t="str">
        <f>IF($B115="","",IFERROR(-AD115,"n.b."))</f>
        <v/>
      </c>
      <c r="BO115" s="124" t="str">
        <f>IF($B115="","",IFERROR(BK115+BM115,"n.b."))</f>
        <v/>
      </c>
      <c r="BP115" s="124" t="str">
        <f>IF($B115="","",IFERROR(BL115+BN115,"n.b."))</f>
        <v/>
      </c>
      <c r="BQ115" s="124" t="str">
        <f>IF($B115="","",IFERROR(-AM115,"n.b."))</f>
        <v/>
      </c>
      <c r="BR115" s="124" t="str">
        <f>IF($B115="","",IFERROR(-AO115,"n.b."))</f>
        <v/>
      </c>
      <c r="BS115" s="124" t="str">
        <f>IF($B115="","",IFERROR(-Z115,"n.b."))</f>
        <v/>
      </c>
      <c r="BT115" s="124" t="str">
        <f>IF($B115="","",IFERROR(-AA115,"n.b."))</f>
        <v/>
      </c>
      <c r="BU115" s="124" t="str">
        <f>IF($B115="","",IFERROR(-AE115,"n.b."))</f>
        <v/>
      </c>
      <c r="BV115" s="124" t="str">
        <f>IF($B115="","",IFERROR(-AF115,"n.b."))</f>
        <v/>
      </c>
      <c r="BW115" s="124" t="str">
        <f>IF($B115="","",IFERROR(-AG115,"n.b."))</f>
        <v/>
      </c>
      <c r="BX115" s="124" t="str">
        <f>IF($B115="","",IFERROR(-AH115,"n.b."))</f>
        <v/>
      </c>
      <c r="BY115" s="124" t="str">
        <f>IF($B115="","",IFERROR(-AI115,"n.b."))</f>
        <v/>
      </c>
      <c r="BZ115" s="124" t="str">
        <f>IF($B115="","",IFERROR(-AJ115,"n.b."))</f>
        <v/>
      </c>
      <c r="CA115" s="124" t="str">
        <f>IF($B115="","",IFERROR(-AK115,"n.b."))</f>
        <v/>
      </c>
      <c r="CB115" s="124" t="str">
        <f>IF($B115="","",IFERROR(-AL115,"n.b."))</f>
        <v/>
      </c>
      <c r="CC115" s="124" t="str">
        <f>IF($B115="","",IFERROR(-AP115,"n.b."))</f>
        <v/>
      </c>
      <c r="CD115" s="124" t="str">
        <f>IF($B115="","",IFERROR(-AQ115,"n.b."))</f>
        <v/>
      </c>
      <c r="CE115" s="124" t="str">
        <f>IF($B115="","",IFERROR(-AR115,"n.b."))</f>
        <v/>
      </c>
      <c r="CF115" s="124" t="str">
        <f>IF($B115="","",IFERROR(-AS115,"n.b."))</f>
        <v/>
      </c>
      <c r="CG115" s="124" t="str">
        <f>IF($B115="","",IFERROR(-AT115,"n.b."))</f>
        <v/>
      </c>
      <c r="CH115" s="124" t="str">
        <f>IF($B115="","",IFERROR(-AU115,"n.b."))</f>
        <v/>
      </c>
      <c r="CI115" s="124" t="str">
        <f>IF($B115="","",IFERROR(-AV115,"n.b."))</f>
        <v/>
      </c>
      <c r="CJ115" s="124" t="str">
        <f>IF($B115="","",IFERROR(-AW115,"n.b."))</f>
        <v/>
      </c>
      <c r="CK115" s="124" t="str">
        <f>IF($B115="","",IFERROR(-AX115,"n.b."))</f>
        <v/>
      </c>
      <c r="CL115" s="124" t="str">
        <f>IF($B115="","",IFERROR(-AY115,"n.b."))</f>
        <v/>
      </c>
      <c r="CM115" s="124" t="str">
        <f>IF($B115="","",IFERROR(-AZ115,"n.b."))</f>
        <v/>
      </c>
      <c r="CN115" s="124" t="str">
        <f>IF($B115="","",IFERROR(-BA115,"n.b."))</f>
        <v/>
      </c>
      <c r="CO115" s="124" t="str">
        <f>IF($B115="","",IFERROR(-BB115,"n.b."))</f>
        <v/>
      </c>
      <c r="CP115" s="124" t="str">
        <f>IF($B115="","",IFERROR(-BC115,"n.b."))</f>
        <v/>
      </c>
      <c r="CQ115" s="124" t="str">
        <f>IF($B115="","",IFERROR(-BD115,"n.b."))</f>
        <v/>
      </c>
      <c r="CR115" s="124" t="str">
        <f>IF($B115="","",IFERROR(-BE115,"n.b."))</f>
        <v/>
      </c>
      <c r="CS115" s="124" t="str">
        <f>IF($B115="","",IFERROR(IF(OR(ABS(T115+V115+X115+Z115-AB115)&gt;P_Tol,ABS(U115+W115+Y115+AA115-AD115)&gt;P_Tol,ABS(AE115+AG115+AI115+AK115-AM115)&gt;P_Tol,ABS(AF115+AH115+AJ115+AL115-AO115)&gt;P_Tol),1,0),1))</f>
        <v/>
      </c>
      <c r="CT115" s="124" t="str">
        <f>IF($B115="","",IFERROR(IF(OR(ABS(AB115+AC115-AD115)&gt;P_Tol,ABS(AM115+AN115-AO115)&gt;P_Tol,ABS(O115+P115-Q115)&gt;P_Tol),1,0),1))</f>
        <v/>
      </c>
      <c r="CU115" s="124" t="str">
        <f>IF($B115="","",IFERROR(IF(ABS(R115-(AB115+AM115+AP115+AR115+AT115+AV115+AX115+AZ115+BB115+BD115))&gt;P_Tol,1,0),1))</f>
        <v/>
      </c>
      <c r="CV115" s="124" t="str">
        <f>IF($B115="","",IFERROR(IF(ABS(M115-(N115+O115+R115))&gt;P_Tol,1,0),1))</f>
        <v/>
      </c>
      <c r="CW115" s="124" t="str">
        <f>IF($B115="","",IF(COUNTIF(Mapping!$A$5:$A$104,B115)&gt;0,1,0))</f>
        <v/>
      </c>
      <c r="CX115" s="124" t="str">
        <f>IF($B115="","",COUNTIF($B$6:$B$505,B115))</f>
        <v/>
      </c>
      <c r="CY115" s="124" t="str">
        <f>IF($B115="","",COUNTIF(STG_Woningetalage!$B$6:$B$505,B115))</f>
        <v/>
      </c>
      <c r="CZ115" s="124" t="str">
        <f>IF($B115="","",IF(CW115=0,COUNTIF($CW$6:CW115,0),""))</f>
        <v/>
      </c>
    </row>
    <row r="116">
      <c r="A116" s="15" t="n">
        <v>112</v>
      </c>
      <c r="B116" t="str">
        <f>IF(B$3=0,"",IF(INDEX(SRC_ZPMW03!$A$1:$ZZ$501,$A116,B$3)&amp;""="","",INDEX(SRC_ZPMW03!$A$1:$ZZ$501,$A116,B$3)&amp;""))</f>
        <v/>
      </c>
      <c r="C116" t="str">
        <f>IF($B116="","",IF(C$3=0,"n.b.",INDEX(SRC_ZPMW03!$A$1:$ZZ$501,$A116,C$3)))</f>
        <v/>
      </c>
      <c r="D116" t="str">
        <f>IF($B116="","",IF(D$3=0,"n.b.",INDEX(SRC_ZPMW03!$A$1:$ZZ$501,$A116,D$3)))</f>
        <v/>
      </c>
      <c r="E116" t="str">
        <f>IF($B116="","",IF(E$3=0,"n.b.",INDEX(SRC_ZPMW03!$A$1:$ZZ$501,$A116,E$3)))</f>
        <v/>
      </c>
      <c r="F116" t="str">
        <f>IF($B116="","",IF(F$3=0,"n.b.",INDEX(SRC_ZPMW03!$A$1:$ZZ$501,$A116,F$3)))</f>
        <v/>
      </c>
      <c r="G116" t="str">
        <f>IF($B116="","",IF(G$3=0,"n.b.",INDEX(SRC_ZPMW03!$A$1:$ZZ$501,$A116,G$3)))</f>
        <v/>
      </c>
      <c r="H116" t="str">
        <f>IF($B116="","",IF(H$3=0,"n.b.",INDEX(SRC_ZPMW03!$A$1:$ZZ$501,$A116,H$3)))</f>
        <v/>
      </c>
      <c r="I116" t="str">
        <f>IF($B116="","",IF(I$3=0,"n.b.",INDEX(SRC_ZPMW03!$A$1:$ZZ$501,$A116,I$3)))</f>
        <v/>
      </c>
      <c r="J116" t="str">
        <f>IF($B116="","",IF(J$3=0,"n.b.",INDEX(SRC_ZPMW03!$A$1:$ZZ$501,$A116,J$3)))</f>
        <v/>
      </c>
      <c r="K116" t="str">
        <f>IF($B116="","",IF(K$3=0,"n.b.",INDEX(SRC_ZPMW03!$A$1:$ZZ$501,$A116,K$3)))</f>
        <v/>
      </c>
      <c r="L116" s="124" t="str">
        <f>IF($B116="","",IF(L$3=0,"n.b.",INDEX(SRC_ZPMW03!$A$1:$ZZ$501,$A116,L$3)))</f>
        <v/>
      </c>
      <c r="M116" s="124" t="str">
        <f>IF($B116="","",IF(M$3=0,"n.b.",INDEX(SRC_ZPMW03!$A$1:$ZZ$501,$A116,M$3)))</f>
        <v/>
      </c>
      <c r="N116" s="124" t="str">
        <f>IF($B116="","",IF(N$3=0,"n.b.",INDEX(SRC_ZPMW03!$A$1:$ZZ$501,$A116,N$3)))</f>
        <v/>
      </c>
      <c r="O116" s="124" t="str">
        <f>IF($B116="","",IF(O$3=0,"n.b.",INDEX(SRC_ZPMW03!$A$1:$ZZ$501,$A116,O$3)))</f>
        <v/>
      </c>
      <c r="P116" s="124" t="str">
        <f>IF($B116="","",IF(P$3=0,"n.b.",INDEX(SRC_ZPMW03!$A$1:$ZZ$501,$A116,P$3)))</f>
        <v/>
      </c>
      <c r="Q116" s="124" t="str">
        <f>IF($B116="","",IF(Q$3=0,"n.b.",INDEX(SRC_ZPMW03!$A$1:$ZZ$501,$A116,Q$3)))</f>
        <v/>
      </c>
      <c r="R116" s="124" t="str">
        <f>IF($B116="","",IF(R$3=0,"n.b.",INDEX(SRC_ZPMW03!$A$1:$ZZ$501,$A116,R$3)))</f>
        <v/>
      </c>
      <c r="S116" s="124" t="str">
        <f>IF($B116="","",IF(S$3=0,"n.b.",INDEX(SRC_ZPMW03!$A$1:$ZZ$501,$A116,S$3)))</f>
        <v/>
      </c>
      <c r="T116" s="124" t="str">
        <f>IF($B116="","",IF(T$3=0,"n.b.",INDEX(SRC_ZPMW03!$A$1:$ZZ$501,$A116,T$3)))</f>
        <v/>
      </c>
      <c r="U116" s="124" t="str">
        <f>IF($B116="","",IF(U$3=0,"n.b.",INDEX(SRC_ZPMW03!$A$1:$ZZ$501,$A116,U$3)))</f>
        <v/>
      </c>
      <c r="V116" s="124" t="str">
        <f>IF($B116="","",IF(V$3=0,"n.b.",INDEX(SRC_ZPMW03!$A$1:$ZZ$501,$A116,V$3)))</f>
        <v/>
      </c>
      <c r="W116" s="124" t="str">
        <f>IF($B116="","",IF(W$3=0,"n.b.",INDEX(SRC_ZPMW03!$A$1:$ZZ$501,$A116,W$3)))</f>
        <v/>
      </c>
      <c r="X116" s="124" t="str">
        <f>IF($B116="","",IF(X$3=0,"n.b.",INDEX(SRC_ZPMW03!$A$1:$ZZ$501,$A116,X$3)))</f>
        <v/>
      </c>
      <c r="Y116" s="124" t="str">
        <f>IF($B116="","",IF(Y$3=0,"n.b.",INDEX(SRC_ZPMW03!$A$1:$ZZ$501,$A116,Y$3)))</f>
        <v/>
      </c>
      <c r="Z116" s="124" t="str">
        <f>IF($B116="","",IF(Z$3=0,"n.b.",INDEX(SRC_ZPMW03!$A$1:$ZZ$501,$A116,Z$3)))</f>
        <v/>
      </c>
      <c r="AA116" s="124" t="str">
        <f>IF($B116="","",IF(AA$3=0,"n.b.",INDEX(SRC_ZPMW03!$A$1:$ZZ$501,$A116,AA$3)))</f>
        <v/>
      </c>
      <c r="AB116" s="124" t="str">
        <f>IF($B116="","",IF(AB$3=0,"n.b.",INDEX(SRC_ZPMW03!$A$1:$ZZ$501,$A116,AB$3)))</f>
        <v/>
      </c>
      <c r="AC116" s="124" t="str">
        <f>IF($B116="","",IF(AC$3=0,"n.b.",INDEX(SRC_ZPMW03!$A$1:$ZZ$501,$A116,AC$3)))</f>
        <v/>
      </c>
      <c r="AD116" s="124" t="str">
        <f>IF($B116="","",IF(AD$3=0,"n.b.",INDEX(SRC_ZPMW03!$A$1:$ZZ$501,$A116,AD$3)))</f>
        <v/>
      </c>
      <c r="AE116" s="124" t="str">
        <f>IF($B116="","",IF(AE$3=0,"n.b.",INDEX(SRC_ZPMW03!$A$1:$ZZ$501,$A116,AE$3)))</f>
        <v/>
      </c>
      <c r="AF116" s="124" t="str">
        <f>IF($B116="","",IF(AF$3=0,"n.b.",INDEX(SRC_ZPMW03!$A$1:$ZZ$501,$A116,AF$3)))</f>
        <v/>
      </c>
      <c r="AG116" s="124" t="str">
        <f>IF($B116="","",IF(AG$3=0,"n.b.",INDEX(SRC_ZPMW03!$A$1:$ZZ$501,$A116,AG$3)))</f>
        <v/>
      </c>
      <c r="AH116" s="124" t="str">
        <f>IF($B116="","",IF(AH$3=0,"n.b.",INDEX(SRC_ZPMW03!$A$1:$ZZ$501,$A116,AH$3)))</f>
        <v/>
      </c>
      <c r="AI116" s="124" t="str">
        <f>IF($B116="","",IF(AI$3=0,"n.b.",INDEX(SRC_ZPMW03!$A$1:$ZZ$501,$A116,AI$3)))</f>
        <v/>
      </c>
      <c r="AJ116" s="124" t="str">
        <f>IF($B116="","",IF(AJ$3=0,"n.b.",INDEX(SRC_ZPMW03!$A$1:$ZZ$501,$A116,AJ$3)))</f>
        <v/>
      </c>
      <c r="AK116" s="124" t="str">
        <f>IF($B116="","",IF(AK$3=0,"n.b.",INDEX(SRC_ZPMW03!$A$1:$ZZ$501,$A116,AK$3)))</f>
        <v/>
      </c>
      <c r="AL116" s="124" t="str">
        <f>IF($B116="","",IF(AL$3=0,"n.b.",INDEX(SRC_ZPMW03!$A$1:$ZZ$501,$A116,AL$3)))</f>
        <v/>
      </c>
      <c r="AM116" s="124" t="str">
        <f>IF($B116="","",IF(AM$3=0,"n.b.",INDEX(SRC_ZPMW03!$A$1:$ZZ$501,$A116,AM$3)))</f>
        <v/>
      </c>
      <c r="AN116" s="124" t="str">
        <f>IF($B116="","",IF(AN$3=0,"n.b.",INDEX(SRC_ZPMW03!$A$1:$ZZ$501,$A116,AN$3)))</f>
        <v/>
      </c>
      <c r="AO116" s="124" t="str">
        <f>IF($B116="","",IF(AO$3=0,"n.b.",INDEX(SRC_ZPMW03!$A$1:$ZZ$501,$A116,AO$3)))</f>
        <v/>
      </c>
      <c r="AP116" s="124" t="str">
        <f>IF($B116="","",IF(AP$3=0,"n.b.",INDEX(SRC_ZPMW03!$A$1:$ZZ$501,$A116,AP$3)))</f>
        <v/>
      </c>
      <c r="AQ116" s="124" t="str">
        <f>IF($B116="","",IF(AQ$3=0,"n.b.",INDEX(SRC_ZPMW03!$A$1:$ZZ$501,$A116,AQ$3)))</f>
        <v/>
      </c>
      <c r="AR116" s="124" t="str">
        <f>IF($B116="","",IF(AR$3=0,"n.b.",INDEX(SRC_ZPMW03!$A$1:$ZZ$501,$A116,AR$3)))</f>
        <v/>
      </c>
      <c r="AS116" s="124" t="str">
        <f>IF($B116="","",IF(AS$3=0,"n.b.",INDEX(SRC_ZPMW03!$A$1:$ZZ$501,$A116,AS$3)))</f>
        <v/>
      </c>
      <c r="AT116" s="124" t="str">
        <f>IF($B116="","",IF(AT$3=0,"n.b.",INDEX(SRC_ZPMW03!$A$1:$ZZ$501,$A116,AT$3)))</f>
        <v/>
      </c>
      <c r="AU116" s="124" t="str">
        <f>IF($B116="","",IF(AU$3=0,"n.b.",INDEX(SRC_ZPMW03!$A$1:$ZZ$501,$A116,AU$3)))</f>
        <v/>
      </c>
      <c r="AV116" s="124" t="str">
        <f>IF($B116="","",IF(AV$3=0,"n.b.",INDEX(SRC_ZPMW03!$A$1:$ZZ$501,$A116,AV$3)))</f>
        <v/>
      </c>
      <c r="AW116" s="124" t="str">
        <f>IF($B116="","",IF(AW$3=0,"n.b.",INDEX(SRC_ZPMW03!$A$1:$ZZ$501,$A116,AW$3)))</f>
        <v/>
      </c>
      <c r="AX116" s="124" t="str">
        <f>IF($B116="","",IF(AX$3=0,"n.b.",INDEX(SRC_ZPMW03!$A$1:$ZZ$501,$A116,AX$3)))</f>
        <v/>
      </c>
      <c r="AY116" s="124" t="str">
        <f>IF($B116="","",IF(AY$3=0,"n.b.",INDEX(SRC_ZPMW03!$A$1:$ZZ$501,$A116,AY$3)))</f>
        <v/>
      </c>
      <c r="AZ116" s="124" t="str">
        <f>IF($B116="","",IF(AZ$3=0,"n.b.",INDEX(SRC_ZPMW03!$A$1:$ZZ$501,$A116,AZ$3)))</f>
        <v/>
      </c>
      <c r="BA116" s="124" t="str">
        <f>IF($B116="","",IF(BA$3=0,"n.b.",INDEX(SRC_ZPMW03!$A$1:$ZZ$501,$A116,BA$3)))</f>
        <v/>
      </c>
      <c r="BB116" s="124" t="str">
        <f>IF($B116="","",IF(BB$3=0,"n.b.",INDEX(SRC_ZPMW03!$A$1:$ZZ$501,$A116,BB$3)))</f>
        <v/>
      </c>
      <c r="BC116" s="124" t="str">
        <f>IF($B116="","",IF(BC$3=0,"n.b.",INDEX(SRC_ZPMW03!$A$1:$ZZ$501,$A116,BC$3)))</f>
        <v/>
      </c>
      <c r="BD116" s="124" t="str">
        <f>IF($B116="","",IF(BD$3=0,"n.b.",INDEX(SRC_ZPMW03!$A$1:$ZZ$501,$A116,BD$3)))</f>
        <v/>
      </c>
      <c r="BE116" s="124" t="str">
        <f>IF($B116="","",IF(BE$3=0,"n.b.",INDEX(SRC_ZPMW03!$A$1:$ZZ$501,$A116,BE$3)))</f>
        <v/>
      </c>
      <c r="BF116" s="124" t="str">
        <f>IF($B116="","",IF(BF$3=0,"n.b.",INDEX(SRC_ZPMW03!$A$1:$ZZ$501,$A116,BF$3)))</f>
        <v/>
      </c>
      <c r="BG116" t="str">
        <f>IF($B116="","",IF(BG$3=0,"n.b.",INDEX(SRC_ZPMW03!$A$1:$ZZ$501,$A116,BG$3)))</f>
        <v/>
      </c>
      <c r="BH116" t="str">
        <f>IF($B116="","",IF(BH$3=0,"n.b.",INDEX(SRC_ZPMW03!$A$1:$ZZ$501,$A116,BH$3)))</f>
        <v/>
      </c>
      <c r="BI116" t="str">
        <f>IF($B116="","",IF(BI$3=0,"n.b.",INDEX(SRC_ZPMW03!$A$1:$ZZ$501,$A116,BI$3)))</f>
        <v/>
      </c>
      <c r="BJ116" t="str">
        <f>IF($B116="","",IF(BJ$3=0,"n.b.",INDEX(SRC_ZPMW03!$A$1:$ZZ$501,$A116,BJ$3)))</f>
        <v/>
      </c>
      <c r="BK116" s="124" t="str">
        <f>IF($B116="","",IFERROR(-O116,"n.b."))</f>
        <v/>
      </c>
      <c r="BL116" s="124" t="str">
        <f>IF($B116="","",IFERROR(-Q116,"n.b."))</f>
        <v/>
      </c>
      <c r="BM116" s="124" t="str">
        <f>IF($B116="","",IFERROR(-AB116,"n.b."))</f>
        <v/>
      </c>
      <c r="BN116" s="124" t="str">
        <f>IF($B116="","",IFERROR(-AD116,"n.b."))</f>
        <v/>
      </c>
      <c r="BO116" s="124" t="str">
        <f>IF($B116="","",IFERROR(BK116+BM116,"n.b."))</f>
        <v/>
      </c>
      <c r="BP116" s="124" t="str">
        <f>IF($B116="","",IFERROR(BL116+BN116,"n.b."))</f>
        <v/>
      </c>
      <c r="BQ116" s="124" t="str">
        <f>IF($B116="","",IFERROR(-AM116,"n.b."))</f>
        <v/>
      </c>
      <c r="BR116" s="124" t="str">
        <f>IF($B116="","",IFERROR(-AO116,"n.b."))</f>
        <v/>
      </c>
      <c r="BS116" s="124" t="str">
        <f>IF($B116="","",IFERROR(-Z116,"n.b."))</f>
        <v/>
      </c>
      <c r="BT116" s="124" t="str">
        <f>IF($B116="","",IFERROR(-AA116,"n.b."))</f>
        <v/>
      </c>
      <c r="BU116" s="124" t="str">
        <f>IF($B116="","",IFERROR(-AE116,"n.b."))</f>
        <v/>
      </c>
      <c r="BV116" s="124" t="str">
        <f>IF($B116="","",IFERROR(-AF116,"n.b."))</f>
        <v/>
      </c>
      <c r="BW116" s="124" t="str">
        <f>IF($B116="","",IFERROR(-AG116,"n.b."))</f>
        <v/>
      </c>
      <c r="BX116" s="124" t="str">
        <f>IF($B116="","",IFERROR(-AH116,"n.b."))</f>
        <v/>
      </c>
      <c r="BY116" s="124" t="str">
        <f>IF($B116="","",IFERROR(-AI116,"n.b."))</f>
        <v/>
      </c>
      <c r="BZ116" s="124" t="str">
        <f>IF($B116="","",IFERROR(-AJ116,"n.b."))</f>
        <v/>
      </c>
      <c r="CA116" s="124" t="str">
        <f>IF($B116="","",IFERROR(-AK116,"n.b."))</f>
        <v/>
      </c>
      <c r="CB116" s="124" t="str">
        <f>IF($B116="","",IFERROR(-AL116,"n.b."))</f>
        <v/>
      </c>
      <c r="CC116" s="124" t="str">
        <f>IF($B116="","",IFERROR(-AP116,"n.b."))</f>
        <v/>
      </c>
      <c r="CD116" s="124" t="str">
        <f>IF($B116="","",IFERROR(-AQ116,"n.b."))</f>
        <v/>
      </c>
      <c r="CE116" s="124" t="str">
        <f>IF($B116="","",IFERROR(-AR116,"n.b."))</f>
        <v/>
      </c>
      <c r="CF116" s="124" t="str">
        <f>IF($B116="","",IFERROR(-AS116,"n.b."))</f>
        <v/>
      </c>
      <c r="CG116" s="124" t="str">
        <f>IF($B116="","",IFERROR(-AT116,"n.b."))</f>
        <v/>
      </c>
      <c r="CH116" s="124" t="str">
        <f>IF($B116="","",IFERROR(-AU116,"n.b."))</f>
        <v/>
      </c>
      <c r="CI116" s="124" t="str">
        <f>IF($B116="","",IFERROR(-AV116,"n.b."))</f>
        <v/>
      </c>
      <c r="CJ116" s="124" t="str">
        <f>IF($B116="","",IFERROR(-AW116,"n.b."))</f>
        <v/>
      </c>
      <c r="CK116" s="124" t="str">
        <f>IF($B116="","",IFERROR(-AX116,"n.b."))</f>
        <v/>
      </c>
      <c r="CL116" s="124" t="str">
        <f>IF($B116="","",IFERROR(-AY116,"n.b."))</f>
        <v/>
      </c>
      <c r="CM116" s="124" t="str">
        <f>IF($B116="","",IFERROR(-AZ116,"n.b."))</f>
        <v/>
      </c>
      <c r="CN116" s="124" t="str">
        <f>IF($B116="","",IFERROR(-BA116,"n.b."))</f>
        <v/>
      </c>
      <c r="CO116" s="124" t="str">
        <f>IF($B116="","",IFERROR(-BB116,"n.b."))</f>
        <v/>
      </c>
      <c r="CP116" s="124" t="str">
        <f>IF($B116="","",IFERROR(-BC116,"n.b."))</f>
        <v/>
      </c>
      <c r="CQ116" s="124" t="str">
        <f>IF($B116="","",IFERROR(-BD116,"n.b."))</f>
        <v/>
      </c>
      <c r="CR116" s="124" t="str">
        <f>IF($B116="","",IFERROR(-BE116,"n.b."))</f>
        <v/>
      </c>
      <c r="CS116" s="124" t="str">
        <f>IF($B116="","",IFERROR(IF(OR(ABS(T116+V116+X116+Z116-AB116)&gt;P_Tol,ABS(U116+W116+Y116+AA116-AD116)&gt;P_Tol,ABS(AE116+AG116+AI116+AK116-AM116)&gt;P_Tol,ABS(AF116+AH116+AJ116+AL116-AO116)&gt;P_Tol),1,0),1))</f>
        <v/>
      </c>
      <c r="CT116" s="124" t="str">
        <f>IF($B116="","",IFERROR(IF(OR(ABS(AB116+AC116-AD116)&gt;P_Tol,ABS(AM116+AN116-AO116)&gt;P_Tol,ABS(O116+P116-Q116)&gt;P_Tol),1,0),1))</f>
        <v/>
      </c>
      <c r="CU116" s="124" t="str">
        <f>IF($B116="","",IFERROR(IF(ABS(R116-(AB116+AM116+AP116+AR116+AT116+AV116+AX116+AZ116+BB116+BD116))&gt;P_Tol,1,0),1))</f>
        <v/>
      </c>
      <c r="CV116" s="124" t="str">
        <f>IF($B116="","",IFERROR(IF(ABS(M116-(N116+O116+R116))&gt;P_Tol,1,0),1))</f>
        <v/>
      </c>
      <c r="CW116" s="124" t="str">
        <f>IF($B116="","",IF(COUNTIF(Mapping!$A$5:$A$104,B116)&gt;0,1,0))</f>
        <v/>
      </c>
      <c r="CX116" s="124" t="str">
        <f>IF($B116="","",COUNTIF($B$6:$B$505,B116))</f>
        <v/>
      </c>
      <c r="CY116" s="124" t="str">
        <f>IF($B116="","",COUNTIF(STG_Woningetalage!$B$6:$B$505,B116))</f>
        <v/>
      </c>
      <c r="CZ116" s="124" t="str">
        <f>IF($B116="","",IF(CW116=0,COUNTIF($CW$6:CW116,0),""))</f>
        <v/>
      </c>
    </row>
    <row r="117">
      <c r="A117" s="15" t="n">
        <v>113</v>
      </c>
      <c r="B117" t="str">
        <f>IF(B$3=0,"",IF(INDEX(SRC_ZPMW03!$A$1:$ZZ$501,$A117,B$3)&amp;""="","",INDEX(SRC_ZPMW03!$A$1:$ZZ$501,$A117,B$3)&amp;""))</f>
        <v/>
      </c>
      <c r="C117" t="str">
        <f>IF($B117="","",IF(C$3=0,"n.b.",INDEX(SRC_ZPMW03!$A$1:$ZZ$501,$A117,C$3)))</f>
        <v/>
      </c>
      <c r="D117" t="str">
        <f>IF($B117="","",IF(D$3=0,"n.b.",INDEX(SRC_ZPMW03!$A$1:$ZZ$501,$A117,D$3)))</f>
        <v/>
      </c>
      <c r="E117" t="str">
        <f>IF($B117="","",IF(E$3=0,"n.b.",INDEX(SRC_ZPMW03!$A$1:$ZZ$501,$A117,E$3)))</f>
        <v/>
      </c>
      <c r="F117" t="str">
        <f>IF($B117="","",IF(F$3=0,"n.b.",INDEX(SRC_ZPMW03!$A$1:$ZZ$501,$A117,F$3)))</f>
        <v/>
      </c>
      <c r="G117" t="str">
        <f>IF($B117="","",IF(G$3=0,"n.b.",INDEX(SRC_ZPMW03!$A$1:$ZZ$501,$A117,G$3)))</f>
        <v/>
      </c>
      <c r="H117" t="str">
        <f>IF($B117="","",IF(H$3=0,"n.b.",INDEX(SRC_ZPMW03!$A$1:$ZZ$501,$A117,H$3)))</f>
        <v/>
      </c>
      <c r="I117" t="str">
        <f>IF($B117="","",IF(I$3=0,"n.b.",INDEX(SRC_ZPMW03!$A$1:$ZZ$501,$A117,I$3)))</f>
        <v/>
      </c>
      <c r="J117" t="str">
        <f>IF($B117="","",IF(J$3=0,"n.b.",INDEX(SRC_ZPMW03!$A$1:$ZZ$501,$A117,J$3)))</f>
        <v/>
      </c>
      <c r="K117" t="str">
        <f>IF($B117="","",IF(K$3=0,"n.b.",INDEX(SRC_ZPMW03!$A$1:$ZZ$501,$A117,K$3)))</f>
        <v/>
      </c>
      <c r="L117" s="124" t="str">
        <f>IF($B117="","",IF(L$3=0,"n.b.",INDEX(SRC_ZPMW03!$A$1:$ZZ$501,$A117,L$3)))</f>
        <v/>
      </c>
      <c r="M117" s="124" t="str">
        <f>IF($B117="","",IF(M$3=0,"n.b.",INDEX(SRC_ZPMW03!$A$1:$ZZ$501,$A117,M$3)))</f>
        <v/>
      </c>
      <c r="N117" s="124" t="str">
        <f>IF($B117="","",IF(N$3=0,"n.b.",INDEX(SRC_ZPMW03!$A$1:$ZZ$501,$A117,N$3)))</f>
        <v/>
      </c>
      <c r="O117" s="124" t="str">
        <f>IF($B117="","",IF(O$3=0,"n.b.",INDEX(SRC_ZPMW03!$A$1:$ZZ$501,$A117,O$3)))</f>
        <v/>
      </c>
      <c r="P117" s="124" t="str">
        <f>IF($B117="","",IF(P$3=0,"n.b.",INDEX(SRC_ZPMW03!$A$1:$ZZ$501,$A117,P$3)))</f>
        <v/>
      </c>
      <c r="Q117" s="124" t="str">
        <f>IF($B117="","",IF(Q$3=0,"n.b.",INDEX(SRC_ZPMW03!$A$1:$ZZ$501,$A117,Q$3)))</f>
        <v/>
      </c>
      <c r="R117" s="124" t="str">
        <f>IF($B117="","",IF(R$3=0,"n.b.",INDEX(SRC_ZPMW03!$A$1:$ZZ$501,$A117,R$3)))</f>
        <v/>
      </c>
      <c r="S117" s="124" t="str">
        <f>IF($B117="","",IF(S$3=0,"n.b.",INDEX(SRC_ZPMW03!$A$1:$ZZ$501,$A117,S$3)))</f>
        <v/>
      </c>
      <c r="T117" s="124" t="str">
        <f>IF($B117="","",IF(T$3=0,"n.b.",INDEX(SRC_ZPMW03!$A$1:$ZZ$501,$A117,T$3)))</f>
        <v/>
      </c>
      <c r="U117" s="124" t="str">
        <f>IF($B117="","",IF(U$3=0,"n.b.",INDEX(SRC_ZPMW03!$A$1:$ZZ$501,$A117,U$3)))</f>
        <v/>
      </c>
      <c r="V117" s="124" t="str">
        <f>IF($B117="","",IF(V$3=0,"n.b.",INDEX(SRC_ZPMW03!$A$1:$ZZ$501,$A117,V$3)))</f>
        <v/>
      </c>
      <c r="W117" s="124" t="str">
        <f>IF($B117="","",IF(W$3=0,"n.b.",INDEX(SRC_ZPMW03!$A$1:$ZZ$501,$A117,W$3)))</f>
        <v/>
      </c>
      <c r="X117" s="124" t="str">
        <f>IF($B117="","",IF(X$3=0,"n.b.",INDEX(SRC_ZPMW03!$A$1:$ZZ$501,$A117,X$3)))</f>
        <v/>
      </c>
      <c r="Y117" s="124" t="str">
        <f>IF($B117="","",IF(Y$3=0,"n.b.",INDEX(SRC_ZPMW03!$A$1:$ZZ$501,$A117,Y$3)))</f>
        <v/>
      </c>
      <c r="Z117" s="124" t="str">
        <f>IF($B117="","",IF(Z$3=0,"n.b.",INDEX(SRC_ZPMW03!$A$1:$ZZ$501,$A117,Z$3)))</f>
        <v/>
      </c>
      <c r="AA117" s="124" t="str">
        <f>IF($B117="","",IF(AA$3=0,"n.b.",INDEX(SRC_ZPMW03!$A$1:$ZZ$501,$A117,AA$3)))</f>
        <v/>
      </c>
      <c r="AB117" s="124" t="str">
        <f>IF($B117="","",IF(AB$3=0,"n.b.",INDEX(SRC_ZPMW03!$A$1:$ZZ$501,$A117,AB$3)))</f>
        <v/>
      </c>
      <c r="AC117" s="124" t="str">
        <f>IF($B117="","",IF(AC$3=0,"n.b.",INDEX(SRC_ZPMW03!$A$1:$ZZ$501,$A117,AC$3)))</f>
        <v/>
      </c>
      <c r="AD117" s="124" t="str">
        <f>IF($B117="","",IF(AD$3=0,"n.b.",INDEX(SRC_ZPMW03!$A$1:$ZZ$501,$A117,AD$3)))</f>
        <v/>
      </c>
      <c r="AE117" s="124" t="str">
        <f>IF($B117="","",IF(AE$3=0,"n.b.",INDEX(SRC_ZPMW03!$A$1:$ZZ$501,$A117,AE$3)))</f>
        <v/>
      </c>
      <c r="AF117" s="124" t="str">
        <f>IF($B117="","",IF(AF$3=0,"n.b.",INDEX(SRC_ZPMW03!$A$1:$ZZ$501,$A117,AF$3)))</f>
        <v/>
      </c>
      <c r="AG117" s="124" t="str">
        <f>IF($B117="","",IF(AG$3=0,"n.b.",INDEX(SRC_ZPMW03!$A$1:$ZZ$501,$A117,AG$3)))</f>
        <v/>
      </c>
      <c r="AH117" s="124" t="str">
        <f>IF($B117="","",IF(AH$3=0,"n.b.",INDEX(SRC_ZPMW03!$A$1:$ZZ$501,$A117,AH$3)))</f>
        <v/>
      </c>
      <c r="AI117" s="124" t="str">
        <f>IF($B117="","",IF(AI$3=0,"n.b.",INDEX(SRC_ZPMW03!$A$1:$ZZ$501,$A117,AI$3)))</f>
        <v/>
      </c>
      <c r="AJ117" s="124" t="str">
        <f>IF($B117="","",IF(AJ$3=0,"n.b.",INDEX(SRC_ZPMW03!$A$1:$ZZ$501,$A117,AJ$3)))</f>
        <v/>
      </c>
      <c r="AK117" s="124" t="str">
        <f>IF($B117="","",IF(AK$3=0,"n.b.",INDEX(SRC_ZPMW03!$A$1:$ZZ$501,$A117,AK$3)))</f>
        <v/>
      </c>
      <c r="AL117" s="124" t="str">
        <f>IF($B117="","",IF(AL$3=0,"n.b.",INDEX(SRC_ZPMW03!$A$1:$ZZ$501,$A117,AL$3)))</f>
        <v/>
      </c>
      <c r="AM117" s="124" t="str">
        <f>IF($B117="","",IF(AM$3=0,"n.b.",INDEX(SRC_ZPMW03!$A$1:$ZZ$501,$A117,AM$3)))</f>
        <v/>
      </c>
      <c r="AN117" s="124" t="str">
        <f>IF($B117="","",IF(AN$3=0,"n.b.",INDEX(SRC_ZPMW03!$A$1:$ZZ$501,$A117,AN$3)))</f>
        <v/>
      </c>
      <c r="AO117" s="124" t="str">
        <f>IF($B117="","",IF(AO$3=0,"n.b.",INDEX(SRC_ZPMW03!$A$1:$ZZ$501,$A117,AO$3)))</f>
        <v/>
      </c>
      <c r="AP117" s="124" t="str">
        <f>IF($B117="","",IF(AP$3=0,"n.b.",INDEX(SRC_ZPMW03!$A$1:$ZZ$501,$A117,AP$3)))</f>
        <v/>
      </c>
      <c r="AQ117" s="124" t="str">
        <f>IF($B117="","",IF(AQ$3=0,"n.b.",INDEX(SRC_ZPMW03!$A$1:$ZZ$501,$A117,AQ$3)))</f>
        <v/>
      </c>
      <c r="AR117" s="124" t="str">
        <f>IF($B117="","",IF(AR$3=0,"n.b.",INDEX(SRC_ZPMW03!$A$1:$ZZ$501,$A117,AR$3)))</f>
        <v/>
      </c>
      <c r="AS117" s="124" t="str">
        <f>IF($B117="","",IF(AS$3=0,"n.b.",INDEX(SRC_ZPMW03!$A$1:$ZZ$501,$A117,AS$3)))</f>
        <v/>
      </c>
      <c r="AT117" s="124" t="str">
        <f>IF($B117="","",IF(AT$3=0,"n.b.",INDEX(SRC_ZPMW03!$A$1:$ZZ$501,$A117,AT$3)))</f>
        <v/>
      </c>
      <c r="AU117" s="124" t="str">
        <f>IF($B117="","",IF(AU$3=0,"n.b.",INDEX(SRC_ZPMW03!$A$1:$ZZ$501,$A117,AU$3)))</f>
        <v/>
      </c>
      <c r="AV117" s="124" t="str">
        <f>IF($B117="","",IF(AV$3=0,"n.b.",INDEX(SRC_ZPMW03!$A$1:$ZZ$501,$A117,AV$3)))</f>
        <v/>
      </c>
      <c r="AW117" s="124" t="str">
        <f>IF($B117="","",IF(AW$3=0,"n.b.",INDEX(SRC_ZPMW03!$A$1:$ZZ$501,$A117,AW$3)))</f>
        <v/>
      </c>
      <c r="AX117" s="124" t="str">
        <f>IF($B117="","",IF(AX$3=0,"n.b.",INDEX(SRC_ZPMW03!$A$1:$ZZ$501,$A117,AX$3)))</f>
        <v/>
      </c>
      <c r="AY117" s="124" t="str">
        <f>IF($B117="","",IF(AY$3=0,"n.b.",INDEX(SRC_ZPMW03!$A$1:$ZZ$501,$A117,AY$3)))</f>
        <v/>
      </c>
      <c r="AZ117" s="124" t="str">
        <f>IF($B117="","",IF(AZ$3=0,"n.b.",INDEX(SRC_ZPMW03!$A$1:$ZZ$501,$A117,AZ$3)))</f>
        <v/>
      </c>
      <c r="BA117" s="124" t="str">
        <f>IF($B117="","",IF(BA$3=0,"n.b.",INDEX(SRC_ZPMW03!$A$1:$ZZ$501,$A117,BA$3)))</f>
        <v/>
      </c>
      <c r="BB117" s="124" t="str">
        <f>IF($B117="","",IF(BB$3=0,"n.b.",INDEX(SRC_ZPMW03!$A$1:$ZZ$501,$A117,BB$3)))</f>
        <v/>
      </c>
      <c r="BC117" s="124" t="str">
        <f>IF($B117="","",IF(BC$3=0,"n.b.",INDEX(SRC_ZPMW03!$A$1:$ZZ$501,$A117,BC$3)))</f>
        <v/>
      </c>
      <c r="BD117" s="124" t="str">
        <f>IF($B117="","",IF(BD$3=0,"n.b.",INDEX(SRC_ZPMW03!$A$1:$ZZ$501,$A117,BD$3)))</f>
        <v/>
      </c>
      <c r="BE117" s="124" t="str">
        <f>IF($B117="","",IF(BE$3=0,"n.b.",INDEX(SRC_ZPMW03!$A$1:$ZZ$501,$A117,BE$3)))</f>
        <v/>
      </c>
      <c r="BF117" s="124" t="str">
        <f>IF($B117="","",IF(BF$3=0,"n.b.",INDEX(SRC_ZPMW03!$A$1:$ZZ$501,$A117,BF$3)))</f>
        <v/>
      </c>
      <c r="BG117" t="str">
        <f>IF($B117="","",IF(BG$3=0,"n.b.",INDEX(SRC_ZPMW03!$A$1:$ZZ$501,$A117,BG$3)))</f>
        <v/>
      </c>
      <c r="BH117" t="str">
        <f>IF($B117="","",IF(BH$3=0,"n.b.",INDEX(SRC_ZPMW03!$A$1:$ZZ$501,$A117,BH$3)))</f>
        <v/>
      </c>
      <c r="BI117" t="str">
        <f>IF($B117="","",IF(BI$3=0,"n.b.",INDEX(SRC_ZPMW03!$A$1:$ZZ$501,$A117,BI$3)))</f>
        <v/>
      </c>
      <c r="BJ117" t="str">
        <f>IF($B117="","",IF(BJ$3=0,"n.b.",INDEX(SRC_ZPMW03!$A$1:$ZZ$501,$A117,BJ$3)))</f>
        <v/>
      </c>
      <c r="BK117" s="124" t="str">
        <f>IF($B117="","",IFERROR(-O117,"n.b."))</f>
        <v/>
      </c>
      <c r="BL117" s="124" t="str">
        <f>IF($B117="","",IFERROR(-Q117,"n.b."))</f>
        <v/>
      </c>
      <c r="BM117" s="124" t="str">
        <f>IF($B117="","",IFERROR(-AB117,"n.b."))</f>
        <v/>
      </c>
      <c r="BN117" s="124" t="str">
        <f>IF($B117="","",IFERROR(-AD117,"n.b."))</f>
        <v/>
      </c>
      <c r="BO117" s="124" t="str">
        <f>IF($B117="","",IFERROR(BK117+BM117,"n.b."))</f>
        <v/>
      </c>
      <c r="BP117" s="124" t="str">
        <f>IF($B117="","",IFERROR(BL117+BN117,"n.b."))</f>
        <v/>
      </c>
      <c r="BQ117" s="124" t="str">
        <f>IF($B117="","",IFERROR(-AM117,"n.b."))</f>
        <v/>
      </c>
      <c r="BR117" s="124" t="str">
        <f>IF($B117="","",IFERROR(-AO117,"n.b."))</f>
        <v/>
      </c>
      <c r="BS117" s="124" t="str">
        <f>IF($B117="","",IFERROR(-Z117,"n.b."))</f>
        <v/>
      </c>
      <c r="BT117" s="124" t="str">
        <f>IF($B117="","",IFERROR(-AA117,"n.b."))</f>
        <v/>
      </c>
      <c r="BU117" s="124" t="str">
        <f>IF($B117="","",IFERROR(-AE117,"n.b."))</f>
        <v/>
      </c>
      <c r="BV117" s="124" t="str">
        <f>IF($B117="","",IFERROR(-AF117,"n.b."))</f>
        <v/>
      </c>
      <c r="BW117" s="124" t="str">
        <f>IF($B117="","",IFERROR(-AG117,"n.b."))</f>
        <v/>
      </c>
      <c r="BX117" s="124" t="str">
        <f>IF($B117="","",IFERROR(-AH117,"n.b."))</f>
        <v/>
      </c>
      <c r="BY117" s="124" t="str">
        <f>IF($B117="","",IFERROR(-AI117,"n.b."))</f>
        <v/>
      </c>
      <c r="BZ117" s="124" t="str">
        <f>IF($B117="","",IFERROR(-AJ117,"n.b."))</f>
        <v/>
      </c>
      <c r="CA117" s="124" t="str">
        <f>IF($B117="","",IFERROR(-AK117,"n.b."))</f>
        <v/>
      </c>
      <c r="CB117" s="124" t="str">
        <f>IF($B117="","",IFERROR(-AL117,"n.b."))</f>
        <v/>
      </c>
      <c r="CC117" s="124" t="str">
        <f>IF($B117="","",IFERROR(-AP117,"n.b."))</f>
        <v/>
      </c>
      <c r="CD117" s="124" t="str">
        <f>IF($B117="","",IFERROR(-AQ117,"n.b."))</f>
        <v/>
      </c>
      <c r="CE117" s="124" t="str">
        <f>IF($B117="","",IFERROR(-AR117,"n.b."))</f>
        <v/>
      </c>
      <c r="CF117" s="124" t="str">
        <f>IF($B117="","",IFERROR(-AS117,"n.b."))</f>
        <v/>
      </c>
      <c r="CG117" s="124" t="str">
        <f>IF($B117="","",IFERROR(-AT117,"n.b."))</f>
        <v/>
      </c>
      <c r="CH117" s="124" t="str">
        <f>IF($B117="","",IFERROR(-AU117,"n.b."))</f>
        <v/>
      </c>
      <c r="CI117" s="124" t="str">
        <f>IF($B117="","",IFERROR(-AV117,"n.b."))</f>
        <v/>
      </c>
      <c r="CJ117" s="124" t="str">
        <f>IF($B117="","",IFERROR(-AW117,"n.b."))</f>
        <v/>
      </c>
      <c r="CK117" s="124" t="str">
        <f>IF($B117="","",IFERROR(-AX117,"n.b."))</f>
        <v/>
      </c>
      <c r="CL117" s="124" t="str">
        <f>IF($B117="","",IFERROR(-AY117,"n.b."))</f>
        <v/>
      </c>
      <c r="CM117" s="124" t="str">
        <f>IF($B117="","",IFERROR(-AZ117,"n.b."))</f>
        <v/>
      </c>
      <c r="CN117" s="124" t="str">
        <f>IF($B117="","",IFERROR(-BA117,"n.b."))</f>
        <v/>
      </c>
      <c r="CO117" s="124" t="str">
        <f>IF($B117="","",IFERROR(-BB117,"n.b."))</f>
        <v/>
      </c>
      <c r="CP117" s="124" t="str">
        <f>IF($B117="","",IFERROR(-BC117,"n.b."))</f>
        <v/>
      </c>
      <c r="CQ117" s="124" t="str">
        <f>IF($B117="","",IFERROR(-BD117,"n.b."))</f>
        <v/>
      </c>
      <c r="CR117" s="124" t="str">
        <f>IF($B117="","",IFERROR(-BE117,"n.b."))</f>
        <v/>
      </c>
      <c r="CS117" s="124" t="str">
        <f>IF($B117="","",IFERROR(IF(OR(ABS(T117+V117+X117+Z117-AB117)&gt;P_Tol,ABS(U117+W117+Y117+AA117-AD117)&gt;P_Tol,ABS(AE117+AG117+AI117+AK117-AM117)&gt;P_Tol,ABS(AF117+AH117+AJ117+AL117-AO117)&gt;P_Tol),1,0),1))</f>
        <v/>
      </c>
      <c r="CT117" s="124" t="str">
        <f>IF($B117="","",IFERROR(IF(OR(ABS(AB117+AC117-AD117)&gt;P_Tol,ABS(AM117+AN117-AO117)&gt;P_Tol,ABS(O117+P117-Q117)&gt;P_Tol),1,0),1))</f>
        <v/>
      </c>
      <c r="CU117" s="124" t="str">
        <f>IF($B117="","",IFERROR(IF(ABS(R117-(AB117+AM117+AP117+AR117+AT117+AV117+AX117+AZ117+BB117+BD117))&gt;P_Tol,1,0),1))</f>
        <v/>
      </c>
      <c r="CV117" s="124" t="str">
        <f>IF($B117="","",IFERROR(IF(ABS(M117-(N117+O117+R117))&gt;P_Tol,1,0),1))</f>
        <v/>
      </c>
      <c r="CW117" s="124" t="str">
        <f>IF($B117="","",IF(COUNTIF(Mapping!$A$5:$A$104,B117)&gt;0,1,0))</f>
        <v/>
      </c>
      <c r="CX117" s="124" t="str">
        <f>IF($B117="","",COUNTIF($B$6:$B$505,B117))</f>
        <v/>
      </c>
      <c r="CY117" s="124" t="str">
        <f>IF($B117="","",COUNTIF(STG_Woningetalage!$B$6:$B$505,B117))</f>
        <v/>
      </c>
      <c r="CZ117" s="124" t="str">
        <f>IF($B117="","",IF(CW117=0,COUNTIF($CW$6:CW117,0),""))</f>
        <v/>
      </c>
    </row>
    <row r="118">
      <c r="A118" s="15" t="n">
        <v>114</v>
      </c>
      <c r="B118" t="str">
        <f>IF(B$3=0,"",IF(INDEX(SRC_ZPMW03!$A$1:$ZZ$501,$A118,B$3)&amp;""="","",INDEX(SRC_ZPMW03!$A$1:$ZZ$501,$A118,B$3)&amp;""))</f>
        <v/>
      </c>
      <c r="C118" t="str">
        <f>IF($B118="","",IF(C$3=0,"n.b.",INDEX(SRC_ZPMW03!$A$1:$ZZ$501,$A118,C$3)))</f>
        <v/>
      </c>
      <c r="D118" t="str">
        <f>IF($B118="","",IF(D$3=0,"n.b.",INDEX(SRC_ZPMW03!$A$1:$ZZ$501,$A118,D$3)))</f>
        <v/>
      </c>
      <c r="E118" t="str">
        <f>IF($B118="","",IF(E$3=0,"n.b.",INDEX(SRC_ZPMW03!$A$1:$ZZ$501,$A118,E$3)))</f>
        <v/>
      </c>
      <c r="F118" t="str">
        <f>IF($B118="","",IF(F$3=0,"n.b.",INDEX(SRC_ZPMW03!$A$1:$ZZ$501,$A118,F$3)))</f>
        <v/>
      </c>
      <c r="G118" t="str">
        <f>IF($B118="","",IF(G$3=0,"n.b.",INDEX(SRC_ZPMW03!$A$1:$ZZ$501,$A118,G$3)))</f>
        <v/>
      </c>
      <c r="H118" t="str">
        <f>IF($B118="","",IF(H$3=0,"n.b.",INDEX(SRC_ZPMW03!$A$1:$ZZ$501,$A118,H$3)))</f>
        <v/>
      </c>
      <c r="I118" t="str">
        <f>IF($B118="","",IF(I$3=0,"n.b.",INDEX(SRC_ZPMW03!$A$1:$ZZ$501,$A118,I$3)))</f>
        <v/>
      </c>
      <c r="J118" t="str">
        <f>IF($B118="","",IF(J$3=0,"n.b.",INDEX(SRC_ZPMW03!$A$1:$ZZ$501,$A118,J$3)))</f>
        <v/>
      </c>
      <c r="K118" t="str">
        <f>IF($B118="","",IF(K$3=0,"n.b.",INDEX(SRC_ZPMW03!$A$1:$ZZ$501,$A118,K$3)))</f>
        <v/>
      </c>
      <c r="L118" s="124" t="str">
        <f>IF($B118="","",IF(L$3=0,"n.b.",INDEX(SRC_ZPMW03!$A$1:$ZZ$501,$A118,L$3)))</f>
        <v/>
      </c>
      <c r="M118" s="124" t="str">
        <f>IF($B118="","",IF(M$3=0,"n.b.",INDEX(SRC_ZPMW03!$A$1:$ZZ$501,$A118,M$3)))</f>
        <v/>
      </c>
      <c r="N118" s="124" t="str">
        <f>IF($B118="","",IF(N$3=0,"n.b.",INDEX(SRC_ZPMW03!$A$1:$ZZ$501,$A118,N$3)))</f>
        <v/>
      </c>
      <c r="O118" s="124" t="str">
        <f>IF($B118="","",IF(O$3=0,"n.b.",INDEX(SRC_ZPMW03!$A$1:$ZZ$501,$A118,O$3)))</f>
        <v/>
      </c>
      <c r="P118" s="124" t="str">
        <f>IF($B118="","",IF(P$3=0,"n.b.",INDEX(SRC_ZPMW03!$A$1:$ZZ$501,$A118,P$3)))</f>
        <v/>
      </c>
      <c r="Q118" s="124" t="str">
        <f>IF($B118="","",IF(Q$3=0,"n.b.",INDEX(SRC_ZPMW03!$A$1:$ZZ$501,$A118,Q$3)))</f>
        <v/>
      </c>
      <c r="R118" s="124" t="str">
        <f>IF($B118="","",IF(R$3=0,"n.b.",INDEX(SRC_ZPMW03!$A$1:$ZZ$501,$A118,R$3)))</f>
        <v/>
      </c>
      <c r="S118" s="124" t="str">
        <f>IF($B118="","",IF(S$3=0,"n.b.",INDEX(SRC_ZPMW03!$A$1:$ZZ$501,$A118,S$3)))</f>
        <v/>
      </c>
      <c r="T118" s="124" t="str">
        <f>IF($B118="","",IF(T$3=0,"n.b.",INDEX(SRC_ZPMW03!$A$1:$ZZ$501,$A118,T$3)))</f>
        <v/>
      </c>
      <c r="U118" s="124" t="str">
        <f>IF($B118="","",IF(U$3=0,"n.b.",INDEX(SRC_ZPMW03!$A$1:$ZZ$501,$A118,U$3)))</f>
        <v/>
      </c>
      <c r="V118" s="124" t="str">
        <f>IF($B118="","",IF(V$3=0,"n.b.",INDEX(SRC_ZPMW03!$A$1:$ZZ$501,$A118,V$3)))</f>
        <v/>
      </c>
      <c r="W118" s="124" t="str">
        <f>IF($B118="","",IF(W$3=0,"n.b.",INDEX(SRC_ZPMW03!$A$1:$ZZ$501,$A118,W$3)))</f>
        <v/>
      </c>
      <c r="X118" s="124" t="str">
        <f>IF($B118="","",IF(X$3=0,"n.b.",INDEX(SRC_ZPMW03!$A$1:$ZZ$501,$A118,X$3)))</f>
        <v/>
      </c>
      <c r="Y118" s="124" t="str">
        <f>IF($B118="","",IF(Y$3=0,"n.b.",INDEX(SRC_ZPMW03!$A$1:$ZZ$501,$A118,Y$3)))</f>
        <v/>
      </c>
      <c r="Z118" s="124" t="str">
        <f>IF($B118="","",IF(Z$3=0,"n.b.",INDEX(SRC_ZPMW03!$A$1:$ZZ$501,$A118,Z$3)))</f>
        <v/>
      </c>
      <c r="AA118" s="124" t="str">
        <f>IF($B118="","",IF(AA$3=0,"n.b.",INDEX(SRC_ZPMW03!$A$1:$ZZ$501,$A118,AA$3)))</f>
        <v/>
      </c>
      <c r="AB118" s="124" t="str">
        <f>IF($B118="","",IF(AB$3=0,"n.b.",INDEX(SRC_ZPMW03!$A$1:$ZZ$501,$A118,AB$3)))</f>
        <v/>
      </c>
      <c r="AC118" s="124" t="str">
        <f>IF($B118="","",IF(AC$3=0,"n.b.",INDEX(SRC_ZPMW03!$A$1:$ZZ$501,$A118,AC$3)))</f>
        <v/>
      </c>
      <c r="AD118" s="124" t="str">
        <f>IF($B118="","",IF(AD$3=0,"n.b.",INDEX(SRC_ZPMW03!$A$1:$ZZ$501,$A118,AD$3)))</f>
        <v/>
      </c>
      <c r="AE118" s="124" t="str">
        <f>IF($B118="","",IF(AE$3=0,"n.b.",INDEX(SRC_ZPMW03!$A$1:$ZZ$501,$A118,AE$3)))</f>
        <v/>
      </c>
      <c r="AF118" s="124" t="str">
        <f>IF($B118="","",IF(AF$3=0,"n.b.",INDEX(SRC_ZPMW03!$A$1:$ZZ$501,$A118,AF$3)))</f>
        <v/>
      </c>
      <c r="AG118" s="124" t="str">
        <f>IF($B118="","",IF(AG$3=0,"n.b.",INDEX(SRC_ZPMW03!$A$1:$ZZ$501,$A118,AG$3)))</f>
        <v/>
      </c>
      <c r="AH118" s="124" t="str">
        <f>IF($B118="","",IF(AH$3=0,"n.b.",INDEX(SRC_ZPMW03!$A$1:$ZZ$501,$A118,AH$3)))</f>
        <v/>
      </c>
      <c r="AI118" s="124" t="str">
        <f>IF($B118="","",IF(AI$3=0,"n.b.",INDEX(SRC_ZPMW03!$A$1:$ZZ$501,$A118,AI$3)))</f>
        <v/>
      </c>
      <c r="AJ118" s="124" t="str">
        <f>IF($B118="","",IF(AJ$3=0,"n.b.",INDEX(SRC_ZPMW03!$A$1:$ZZ$501,$A118,AJ$3)))</f>
        <v/>
      </c>
      <c r="AK118" s="124" t="str">
        <f>IF($B118="","",IF(AK$3=0,"n.b.",INDEX(SRC_ZPMW03!$A$1:$ZZ$501,$A118,AK$3)))</f>
        <v/>
      </c>
      <c r="AL118" s="124" t="str">
        <f>IF($B118="","",IF(AL$3=0,"n.b.",INDEX(SRC_ZPMW03!$A$1:$ZZ$501,$A118,AL$3)))</f>
        <v/>
      </c>
      <c r="AM118" s="124" t="str">
        <f>IF($B118="","",IF(AM$3=0,"n.b.",INDEX(SRC_ZPMW03!$A$1:$ZZ$501,$A118,AM$3)))</f>
        <v/>
      </c>
      <c r="AN118" s="124" t="str">
        <f>IF($B118="","",IF(AN$3=0,"n.b.",INDEX(SRC_ZPMW03!$A$1:$ZZ$501,$A118,AN$3)))</f>
        <v/>
      </c>
      <c r="AO118" s="124" t="str">
        <f>IF($B118="","",IF(AO$3=0,"n.b.",INDEX(SRC_ZPMW03!$A$1:$ZZ$501,$A118,AO$3)))</f>
        <v/>
      </c>
      <c r="AP118" s="124" t="str">
        <f>IF($B118="","",IF(AP$3=0,"n.b.",INDEX(SRC_ZPMW03!$A$1:$ZZ$501,$A118,AP$3)))</f>
        <v/>
      </c>
      <c r="AQ118" s="124" t="str">
        <f>IF($B118="","",IF(AQ$3=0,"n.b.",INDEX(SRC_ZPMW03!$A$1:$ZZ$501,$A118,AQ$3)))</f>
        <v/>
      </c>
      <c r="AR118" s="124" t="str">
        <f>IF($B118="","",IF(AR$3=0,"n.b.",INDEX(SRC_ZPMW03!$A$1:$ZZ$501,$A118,AR$3)))</f>
        <v/>
      </c>
      <c r="AS118" s="124" t="str">
        <f>IF($B118="","",IF(AS$3=0,"n.b.",INDEX(SRC_ZPMW03!$A$1:$ZZ$501,$A118,AS$3)))</f>
        <v/>
      </c>
      <c r="AT118" s="124" t="str">
        <f>IF($B118="","",IF(AT$3=0,"n.b.",INDEX(SRC_ZPMW03!$A$1:$ZZ$501,$A118,AT$3)))</f>
        <v/>
      </c>
      <c r="AU118" s="124" t="str">
        <f>IF($B118="","",IF(AU$3=0,"n.b.",INDEX(SRC_ZPMW03!$A$1:$ZZ$501,$A118,AU$3)))</f>
        <v/>
      </c>
      <c r="AV118" s="124" t="str">
        <f>IF($B118="","",IF(AV$3=0,"n.b.",INDEX(SRC_ZPMW03!$A$1:$ZZ$501,$A118,AV$3)))</f>
        <v/>
      </c>
      <c r="AW118" s="124" t="str">
        <f>IF($B118="","",IF(AW$3=0,"n.b.",INDEX(SRC_ZPMW03!$A$1:$ZZ$501,$A118,AW$3)))</f>
        <v/>
      </c>
      <c r="AX118" s="124" t="str">
        <f>IF($B118="","",IF(AX$3=0,"n.b.",INDEX(SRC_ZPMW03!$A$1:$ZZ$501,$A118,AX$3)))</f>
        <v/>
      </c>
      <c r="AY118" s="124" t="str">
        <f>IF($B118="","",IF(AY$3=0,"n.b.",INDEX(SRC_ZPMW03!$A$1:$ZZ$501,$A118,AY$3)))</f>
        <v/>
      </c>
      <c r="AZ118" s="124" t="str">
        <f>IF($B118="","",IF(AZ$3=0,"n.b.",INDEX(SRC_ZPMW03!$A$1:$ZZ$501,$A118,AZ$3)))</f>
        <v/>
      </c>
      <c r="BA118" s="124" t="str">
        <f>IF($B118="","",IF(BA$3=0,"n.b.",INDEX(SRC_ZPMW03!$A$1:$ZZ$501,$A118,BA$3)))</f>
        <v/>
      </c>
      <c r="BB118" s="124" t="str">
        <f>IF($B118="","",IF(BB$3=0,"n.b.",INDEX(SRC_ZPMW03!$A$1:$ZZ$501,$A118,BB$3)))</f>
        <v/>
      </c>
      <c r="BC118" s="124" t="str">
        <f>IF($B118="","",IF(BC$3=0,"n.b.",INDEX(SRC_ZPMW03!$A$1:$ZZ$501,$A118,BC$3)))</f>
        <v/>
      </c>
      <c r="BD118" s="124" t="str">
        <f>IF($B118="","",IF(BD$3=0,"n.b.",INDEX(SRC_ZPMW03!$A$1:$ZZ$501,$A118,BD$3)))</f>
        <v/>
      </c>
      <c r="BE118" s="124" t="str">
        <f>IF($B118="","",IF(BE$3=0,"n.b.",INDEX(SRC_ZPMW03!$A$1:$ZZ$501,$A118,BE$3)))</f>
        <v/>
      </c>
      <c r="BF118" s="124" t="str">
        <f>IF($B118="","",IF(BF$3=0,"n.b.",INDEX(SRC_ZPMW03!$A$1:$ZZ$501,$A118,BF$3)))</f>
        <v/>
      </c>
      <c r="BG118" t="str">
        <f>IF($B118="","",IF(BG$3=0,"n.b.",INDEX(SRC_ZPMW03!$A$1:$ZZ$501,$A118,BG$3)))</f>
        <v/>
      </c>
      <c r="BH118" t="str">
        <f>IF($B118="","",IF(BH$3=0,"n.b.",INDEX(SRC_ZPMW03!$A$1:$ZZ$501,$A118,BH$3)))</f>
        <v/>
      </c>
      <c r="BI118" t="str">
        <f>IF($B118="","",IF(BI$3=0,"n.b.",INDEX(SRC_ZPMW03!$A$1:$ZZ$501,$A118,BI$3)))</f>
        <v/>
      </c>
      <c r="BJ118" t="str">
        <f>IF($B118="","",IF(BJ$3=0,"n.b.",INDEX(SRC_ZPMW03!$A$1:$ZZ$501,$A118,BJ$3)))</f>
        <v/>
      </c>
      <c r="BK118" s="124" t="str">
        <f>IF($B118="","",IFERROR(-O118,"n.b."))</f>
        <v/>
      </c>
      <c r="BL118" s="124" t="str">
        <f>IF($B118="","",IFERROR(-Q118,"n.b."))</f>
        <v/>
      </c>
      <c r="BM118" s="124" t="str">
        <f>IF($B118="","",IFERROR(-AB118,"n.b."))</f>
        <v/>
      </c>
      <c r="BN118" s="124" t="str">
        <f>IF($B118="","",IFERROR(-AD118,"n.b."))</f>
        <v/>
      </c>
      <c r="BO118" s="124" t="str">
        <f>IF($B118="","",IFERROR(BK118+BM118,"n.b."))</f>
        <v/>
      </c>
      <c r="BP118" s="124" t="str">
        <f>IF($B118="","",IFERROR(BL118+BN118,"n.b."))</f>
        <v/>
      </c>
      <c r="BQ118" s="124" t="str">
        <f>IF($B118="","",IFERROR(-AM118,"n.b."))</f>
        <v/>
      </c>
      <c r="BR118" s="124" t="str">
        <f>IF($B118="","",IFERROR(-AO118,"n.b."))</f>
        <v/>
      </c>
      <c r="BS118" s="124" t="str">
        <f>IF($B118="","",IFERROR(-Z118,"n.b."))</f>
        <v/>
      </c>
      <c r="BT118" s="124" t="str">
        <f>IF($B118="","",IFERROR(-AA118,"n.b."))</f>
        <v/>
      </c>
      <c r="BU118" s="124" t="str">
        <f>IF($B118="","",IFERROR(-AE118,"n.b."))</f>
        <v/>
      </c>
      <c r="BV118" s="124" t="str">
        <f>IF($B118="","",IFERROR(-AF118,"n.b."))</f>
        <v/>
      </c>
      <c r="BW118" s="124" t="str">
        <f>IF($B118="","",IFERROR(-AG118,"n.b."))</f>
        <v/>
      </c>
      <c r="BX118" s="124" t="str">
        <f>IF($B118="","",IFERROR(-AH118,"n.b."))</f>
        <v/>
      </c>
      <c r="BY118" s="124" t="str">
        <f>IF($B118="","",IFERROR(-AI118,"n.b."))</f>
        <v/>
      </c>
      <c r="BZ118" s="124" t="str">
        <f>IF($B118="","",IFERROR(-AJ118,"n.b."))</f>
        <v/>
      </c>
      <c r="CA118" s="124" t="str">
        <f>IF($B118="","",IFERROR(-AK118,"n.b."))</f>
        <v/>
      </c>
      <c r="CB118" s="124" t="str">
        <f>IF($B118="","",IFERROR(-AL118,"n.b."))</f>
        <v/>
      </c>
      <c r="CC118" s="124" t="str">
        <f>IF($B118="","",IFERROR(-AP118,"n.b."))</f>
        <v/>
      </c>
      <c r="CD118" s="124" t="str">
        <f>IF($B118="","",IFERROR(-AQ118,"n.b."))</f>
        <v/>
      </c>
      <c r="CE118" s="124" t="str">
        <f>IF($B118="","",IFERROR(-AR118,"n.b."))</f>
        <v/>
      </c>
      <c r="CF118" s="124" t="str">
        <f>IF($B118="","",IFERROR(-AS118,"n.b."))</f>
        <v/>
      </c>
      <c r="CG118" s="124" t="str">
        <f>IF($B118="","",IFERROR(-AT118,"n.b."))</f>
        <v/>
      </c>
      <c r="CH118" s="124" t="str">
        <f>IF($B118="","",IFERROR(-AU118,"n.b."))</f>
        <v/>
      </c>
      <c r="CI118" s="124" t="str">
        <f>IF($B118="","",IFERROR(-AV118,"n.b."))</f>
        <v/>
      </c>
      <c r="CJ118" s="124" t="str">
        <f>IF($B118="","",IFERROR(-AW118,"n.b."))</f>
        <v/>
      </c>
      <c r="CK118" s="124" t="str">
        <f>IF($B118="","",IFERROR(-AX118,"n.b."))</f>
        <v/>
      </c>
      <c r="CL118" s="124" t="str">
        <f>IF($B118="","",IFERROR(-AY118,"n.b."))</f>
        <v/>
      </c>
      <c r="CM118" s="124" t="str">
        <f>IF($B118="","",IFERROR(-AZ118,"n.b."))</f>
        <v/>
      </c>
      <c r="CN118" s="124" t="str">
        <f>IF($B118="","",IFERROR(-BA118,"n.b."))</f>
        <v/>
      </c>
      <c r="CO118" s="124" t="str">
        <f>IF($B118="","",IFERROR(-BB118,"n.b."))</f>
        <v/>
      </c>
      <c r="CP118" s="124" t="str">
        <f>IF($B118="","",IFERROR(-BC118,"n.b."))</f>
        <v/>
      </c>
      <c r="CQ118" s="124" t="str">
        <f>IF($B118="","",IFERROR(-BD118,"n.b."))</f>
        <v/>
      </c>
      <c r="CR118" s="124" t="str">
        <f>IF($B118="","",IFERROR(-BE118,"n.b."))</f>
        <v/>
      </c>
      <c r="CS118" s="124" t="str">
        <f>IF($B118="","",IFERROR(IF(OR(ABS(T118+V118+X118+Z118-AB118)&gt;P_Tol,ABS(U118+W118+Y118+AA118-AD118)&gt;P_Tol,ABS(AE118+AG118+AI118+AK118-AM118)&gt;P_Tol,ABS(AF118+AH118+AJ118+AL118-AO118)&gt;P_Tol),1,0),1))</f>
        <v/>
      </c>
      <c r="CT118" s="124" t="str">
        <f>IF($B118="","",IFERROR(IF(OR(ABS(AB118+AC118-AD118)&gt;P_Tol,ABS(AM118+AN118-AO118)&gt;P_Tol,ABS(O118+P118-Q118)&gt;P_Tol),1,0),1))</f>
        <v/>
      </c>
      <c r="CU118" s="124" t="str">
        <f>IF($B118="","",IFERROR(IF(ABS(R118-(AB118+AM118+AP118+AR118+AT118+AV118+AX118+AZ118+BB118+BD118))&gt;P_Tol,1,0),1))</f>
        <v/>
      </c>
      <c r="CV118" s="124" t="str">
        <f>IF($B118="","",IFERROR(IF(ABS(M118-(N118+O118+R118))&gt;P_Tol,1,0),1))</f>
        <v/>
      </c>
      <c r="CW118" s="124" t="str">
        <f>IF($B118="","",IF(COUNTIF(Mapping!$A$5:$A$104,B118)&gt;0,1,0))</f>
        <v/>
      </c>
      <c r="CX118" s="124" t="str">
        <f>IF($B118="","",COUNTIF($B$6:$B$505,B118))</f>
        <v/>
      </c>
      <c r="CY118" s="124" t="str">
        <f>IF($B118="","",COUNTIF(STG_Woningetalage!$B$6:$B$505,B118))</f>
        <v/>
      </c>
      <c r="CZ118" s="124" t="str">
        <f>IF($B118="","",IF(CW118=0,COUNTIF($CW$6:CW118,0),""))</f>
        <v/>
      </c>
    </row>
    <row r="119">
      <c r="A119" s="15" t="n">
        <v>115</v>
      </c>
      <c r="B119" t="str">
        <f>IF(B$3=0,"",IF(INDEX(SRC_ZPMW03!$A$1:$ZZ$501,$A119,B$3)&amp;""="","",INDEX(SRC_ZPMW03!$A$1:$ZZ$501,$A119,B$3)&amp;""))</f>
        <v/>
      </c>
      <c r="C119" t="str">
        <f>IF($B119="","",IF(C$3=0,"n.b.",INDEX(SRC_ZPMW03!$A$1:$ZZ$501,$A119,C$3)))</f>
        <v/>
      </c>
      <c r="D119" t="str">
        <f>IF($B119="","",IF(D$3=0,"n.b.",INDEX(SRC_ZPMW03!$A$1:$ZZ$501,$A119,D$3)))</f>
        <v/>
      </c>
      <c r="E119" t="str">
        <f>IF($B119="","",IF(E$3=0,"n.b.",INDEX(SRC_ZPMW03!$A$1:$ZZ$501,$A119,E$3)))</f>
        <v/>
      </c>
      <c r="F119" t="str">
        <f>IF($B119="","",IF(F$3=0,"n.b.",INDEX(SRC_ZPMW03!$A$1:$ZZ$501,$A119,F$3)))</f>
        <v/>
      </c>
      <c r="G119" t="str">
        <f>IF($B119="","",IF(G$3=0,"n.b.",INDEX(SRC_ZPMW03!$A$1:$ZZ$501,$A119,G$3)))</f>
        <v/>
      </c>
      <c r="H119" t="str">
        <f>IF($B119="","",IF(H$3=0,"n.b.",INDEX(SRC_ZPMW03!$A$1:$ZZ$501,$A119,H$3)))</f>
        <v/>
      </c>
      <c r="I119" t="str">
        <f>IF($B119="","",IF(I$3=0,"n.b.",INDEX(SRC_ZPMW03!$A$1:$ZZ$501,$A119,I$3)))</f>
        <v/>
      </c>
      <c r="J119" t="str">
        <f>IF($B119="","",IF(J$3=0,"n.b.",INDEX(SRC_ZPMW03!$A$1:$ZZ$501,$A119,J$3)))</f>
        <v/>
      </c>
      <c r="K119" t="str">
        <f>IF($B119="","",IF(K$3=0,"n.b.",INDEX(SRC_ZPMW03!$A$1:$ZZ$501,$A119,K$3)))</f>
        <v/>
      </c>
      <c r="L119" s="124" t="str">
        <f>IF($B119="","",IF(L$3=0,"n.b.",INDEX(SRC_ZPMW03!$A$1:$ZZ$501,$A119,L$3)))</f>
        <v/>
      </c>
      <c r="M119" s="124" t="str">
        <f>IF($B119="","",IF(M$3=0,"n.b.",INDEX(SRC_ZPMW03!$A$1:$ZZ$501,$A119,M$3)))</f>
        <v/>
      </c>
      <c r="N119" s="124" t="str">
        <f>IF($B119="","",IF(N$3=0,"n.b.",INDEX(SRC_ZPMW03!$A$1:$ZZ$501,$A119,N$3)))</f>
        <v/>
      </c>
      <c r="O119" s="124" t="str">
        <f>IF($B119="","",IF(O$3=0,"n.b.",INDEX(SRC_ZPMW03!$A$1:$ZZ$501,$A119,O$3)))</f>
        <v/>
      </c>
      <c r="P119" s="124" t="str">
        <f>IF($B119="","",IF(P$3=0,"n.b.",INDEX(SRC_ZPMW03!$A$1:$ZZ$501,$A119,P$3)))</f>
        <v/>
      </c>
      <c r="Q119" s="124" t="str">
        <f>IF($B119="","",IF(Q$3=0,"n.b.",INDEX(SRC_ZPMW03!$A$1:$ZZ$501,$A119,Q$3)))</f>
        <v/>
      </c>
      <c r="R119" s="124" t="str">
        <f>IF($B119="","",IF(R$3=0,"n.b.",INDEX(SRC_ZPMW03!$A$1:$ZZ$501,$A119,R$3)))</f>
        <v/>
      </c>
      <c r="S119" s="124" t="str">
        <f>IF($B119="","",IF(S$3=0,"n.b.",INDEX(SRC_ZPMW03!$A$1:$ZZ$501,$A119,S$3)))</f>
        <v/>
      </c>
      <c r="T119" s="124" t="str">
        <f>IF($B119="","",IF(T$3=0,"n.b.",INDEX(SRC_ZPMW03!$A$1:$ZZ$501,$A119,T$3)))</f>
        <v/>
      </c>
      <c r="U119" s="124" t="str">
        <f>IF($B119="","",IF(U$3=0,"n.b.",INDEX(SRC_ZPMW03!$A$1:$ZZ$501,$A119,U$3)))</f>
        <v/>
      </c>
      <c r="V119" s="124" t="str">
        <f>IF($B119="","",IF(V$3=0,"n.b.",INDEX(SRC_ZPMW03!$A$1:$ZZ$501,$A119,V$3)))</f>
        <v/>
      </c>
      <c r="W119" s="124" t="str">
        <f>IF($B119="","",IF(W$3=0,"n.b.",INDEX(SRC_ZPMW03!$A$1:$ZZ$501,$A119,W$3)))</f>
        <v/>
      </c>
      <c r="X119" s="124" t="str">
        <f>IF($B119="","",IF(X$3=0,"n.b.",INDEX(SRC_ZPMW03!$A$1:$ZZ$501,$A119,X$3)))</f>
        <v/>
      </c>
      <c r="Y119" s="124" t="str">
        <f>IF($B119="","",IF(Y$3=0,"n.b.",INDEX(SRC_ZPMW03!$A$1:$ZZ$501,$A119,Y$3)))</f>
        <v/>
      </c>
      <c r="Z119" s="124" t="str">
        <f>IF($B119="","",IF(Z$3=0,"n.b.",INDEX(SRC_ZPMW03!$A$1:$ZZ$501,$A119,Z$3)))</f>
        <v/>
      </c>
      <c r="AA119" s="124" t="str">
        <f>IF($B119="","",IF(AA$3=0,"n.b.",INDEX(SRC_ZPMW03!$A$1:$ZZ$501,$A119,AA$3)))</f>
        <v/>
      </c>
      <c r="AB119" s="124" t="str">
        <f>IF($B119="","",IF(AB$3=0,"n.b.",INDEX(SRC_ZPMW03!$A$1:$ZZ$501,$A119,AB$3)))</f>
        <v/>
      </c>
      <c r="AC119" s="124" t="str">
        <f>IF($B119="","",IF(AC$3=0,"n.b.",INDEX(SRC_ZPMW03!$A$1:$ZZ$501,$A119,AC$3)))</f>
        <v/>
      </c>
      <c r="AD119" s="124" t="str">
        <f>IF($B119="","",IF(AD$3=0,"n.b.",INDEX(SRC_ZPMW03!$A$1:$ZZ$501,$A119,AD$3)))</f>
        <v/>
      </c>
      <c r="AE119" s="124" t="str">
        <f>IF($B119="","",IF(AE$3=0,"n.b.",INDEX(SRC_ZPMW03!$A$1:$ZZ$501,$A119,AE$3)))</f>
        <v/>
      </c>
      <c r="AF119" s="124" t="str">
        <f>IF($B119="","",IF(AF$3=0,"n.b.",INDEX(SRC_ZPMW03!$A$1:$ZZ$501,$A119,AF$3)))</f>
        <v/>
      </c>
      <c r="AG119" s="124" t="str">
        <f>IF($B119="","",IF(AG$3=0,"n.b.",INDEX(SRC_ZPMW03!$A$1:$ZZ$501,$A119,AG$3)))</f>
        <v/>
      </c>
      <c r="AH119" s="124" t="str">
        <f>IF($B119="","",IF(AH$3=0,"n.b.",INDEX(SRC_ZPMW03!$A$1:$ZZ$501,$A119,AH$3)))</f>
        <v/>
      </c>
      <c r="AI119" s="124" t="str">
        <f>IF($B119="","",IF(AI$3=0,"n.b.",INDEX(SRC_ZPMW03!$A$1:$ZZ$501,$A119,AI$3)))</f>
        <v/>
      </c>
      <c r="AJ119" s="124" t="str">
        <f>IF($B119="","",IF(AJ$3=0,"n.b.",INDEX(SRC_ZPMW03!$A$1:$ZZ$501,$A119,AJ$3)))</f>
        <v/>
      </c>
      <c r="AK119" s="124" t="str">
        <f>IF($B119="","",IF(AK$3=0,"n.b.",INDEX(SRC_ZPMW03!$A$1:$ZZ$501,$A119,AK$3)))</f>
        <v/>
      </c>
      <c r="AL119" s="124" t="str">
        <f>IF($B119="","",IF(AL$3=0,"n.b.",INDEX(SRC_ZPMW03!$A$1:$ZZ$501,$A119,AL$3)))</f>
        <v/>
      </c>
      <c r="AM119" s="124" t="str">
        <f>IF($B119="","",IF(AM$3=0,"n.b.",INDEX(SRC_ZPMW03!$A$1:$ZZ$501,$A119,AM$3)))</f>
        <v/>
      </c>
      <c r="AN119" s="124" t="str">
        <f>IF($B119="","",IF(AN$3=0,"n.b.",INDEX(SRC_ZPMW03!$A$1:$ZZ$501,$A119,AN$3)))</f>
        <v/>
      </c>
      <c r="AO119" s="124" t="str">
        <f>IF($B119="","",IF(AO$3=0,"n.b.",INDEX(SRC_ZPMW03!$A$1:$ZZ$501,$A119,AO$3)))</f>
        <v/>
      </c>
      <c r="AP119" s="124" t="str">
        <f>IF($B119="","",IF(AP$3=0,"n.b.",INDEX(SRC_ZPMW03!$A$1:$ZZ$501,$A119,AP$3)))</f>
        <v/>
      </c>
      <c r="AQ119" s="124" t="str">
        <f>IF($B119="","",IF(AQ$3=0,"n.b.",INDEX(SRC_ZPMW03!$A$1:$ZZ$501,$A119,AQ$3)))</f>
        <v/>
      </c>
      <c r="AR119" s="124" t="str">
        <f>IF($B119="","",IF(AR$3=0,"n.b.",INDEX(SRC_ZPMW03!$A$1:$ZZ$501,$A119,AR$3)))</f>
        <v/>
      </c>
      <c r="AS119" s="124" t="str">
        <f>IF($B119="","",IF(AS$3=0,"n.b.",INDEX(SRC_ZPMW03!$A$1:$ZZ$501,$A119,AS$3)))</f>
        <v/>
      </c>
      <c r="AT119" s="124" t="str">
        <f>IF($B119="","",IF(AT$3=0,"n.b.",INDEX(SRC_ZPMW03!$A$1:$ZZ$501,$A119,AT$3)))</f>
        <v/>
      </c>
      <c r="AU119" s="124" t="str">
        <f>IF($B119="","",IF(AU$3=0,"n.b.",INDEX(SRC_ZPMW03!$A$1:$ZZ$501,$A119,AU$3)))</f>
        <v/>
      </c>
      <c r="AV119" s="124" t="str">
        <f>IF($B119="","",IF(AV$3=0,"n.b.",INDEX(SRC_ZPMW03!$A$1:$ZZ$501,$A119,AV$3)))</f>
        <v/>
      </c>
      <c r="AW119" s="124" t="str">
        <f>IF($B119="","",IF(AW$3=0,"n.b.",INDEX(SRC_ZPMW03!$A$1:$ZZ$501,$A119,AW$3)))</f>
        <v/>
      </c>
      <c r="AX119" s="124" t="str">
        <f>IF($B119="","",IF(AX$3=0,"n.b.",INDEX(SRC_ZPMW03!$A$1:$ZZ$501,$A119,AX$3)))</f>
        <v/>
      </c>
      <c r="AY119" s="124" t="str">
        <f>IF($B119="","",IF(AY$3=0,"n.b.",INDEX(SRC_ZPMW03!$A$1:$ZZ$501,$A119,AY$3)))</f>
        <v/>
      </c>
      <c r="AZ119" s="124" t="str">
        <f>IF($B119="","",IF(AZ$3=0,"n.b.",INDEX(SRC_ZPMW03!$A$1:$ZZ$501,$A119,AZ$3)))</f>
        <v/>
      </c>
      <c r="BA119" s="124" t="str">
        <f>IF($B119="","",IF(BA$3=0,"n.b.",INDEX(SRC_ZPMW03!$A$1:$ZZ$501,$A119,BA$3)))</f>
        <v/>
      </c>
      <c r="BB119" s="124" t="str">
        <f>IF($B119="","",IF(BB$3=0,"n.b.",INDEX(SRC_ZPMW03!$A$1:$ZZ$501,$A119,BB$3)))</f>
        <v/>
      </c>
      <c r="BC119" s="124" t="str">
        <f>IF($B119="","",IF(BC$3=0,"n.b.",INDEX(SRC_ZPMW03!$A$1:$ZZ$501,$A119,BC$3)))</f>
        <v/>
      </c>
      <c r="BD119" s="124" t="str">
        <f>IF($B119="","",IF(BD$3=0,"n.b.",INDEX(SRC_ZPMW03!$A$1:$ZZ$501,$A119,BD$3)))</f>
        <v/>
      </c>
      <c r="BE119" s="124" t="str">
        <f>IF($B119="","",IF(BE$3=0,"n.b.",INDEX(SRC_ZPMW03!$A$1:$ZZ$501,$A119,BE$3)))</f>
        <v/>
      </c>
      <c r="BF119" s="124" t="str">
        <f>IF($B119="","",IF(BF$3=0,"n.b.",INDEX(SRC_ZPMW03!$A$1:$ZZ$501,$A119,BF$3)))</f>
        <v/>
      </c>
      <c r="BG119" t="str">
        <f>IF($B119="","",IF(BG$3=0,"n.b.",INDEX(SRC_ZPMW03!$A$1:$ZZ$501,$A119,BG$3)))</f>
        <v/>
      </c>
      <c r="BH119" t="str">
        <f>IF($B119="","",IF(BH$3=0,"n.b.",INDEX(SRC_ZPMW03!$A$1:$ZZ$501,$A119,BH$3)))</f>
        <v/>
      </c>
      <c r="BI119" t="str">
        <f>IF($B119="","",IF(BI$3=0,"n.b.",INDEX(SRC_ZPMW03!$A$1:$ZZ$501,$A119,BI$3)))</f>
        <v/>
      </c>
      <c r="BJ119" t="str">
        <f>IF($B119="","",IF(BJ$3=0,"n.b.",INDEX(SRC_ZPMW03!$A$1:$ZZ$501,$A119,BJ$3)))</f>
        <v/>
      </c>
      <c r="BK119" s="124" t="str">
        <f>IF($B119="","",IFERROR(-O119,"n.b."))</f>
        <v/>
      </c>
      <c r="BL119" s="124" t="str">
        <f>IF($B119="","",IFERROR(-Q119,"n.b."))</f>
        <v/>
      </c>
      <c r="BM119" s="124" t="str">
        <f>IF($B119="","",IFERROR(-AB119,"n.b."))</f>
        <v/>
      </c>
      <c r="BN119" s="124" t="str">
        <f>IF($B119="","",IFERROR(-AD119,"n.b."))</f>
        <v/>
      </c>
      <c r="BO119" s="124" t="str">
        <f>IF($B119="","",IFERROR(BK119+BM119,"n.b."))</f>
        <v/>
      </c>
      <c r="BP119" s="124" t="str">
        <f>IF($B119="","",IFERROR(BL119+BN119,"n.b."))</f>
        <v/>
      </c>
      <c r="BQ119" s="124" t="str">
        <f>IF($B119="","",IFERROR(-AM119,"n.b."))</f>
        <v/>
      </c>
      <c r="BR119" s="124" t="str">
        <f>IF($B119="","",IFERROR(-AO119,"n.b."))</f>
        <v/>
      </c>
      <c r="BS119" s="124" t="str">
        <f>IF($B119="","",IFERROR(-Z119,"n.b."))</f>
        <v/>
      </c>
      <c r="BT119" s="124" t="str">
        <f>IF($B119="","",IFERROR(-AA119,"n.b."))</f>
        <v/>
      </c>
      <c r="BU119" s="124" t="str">
        <f>IF($B119="","",IFERROR(-AE119,"n.b."))</f>
        <v/>
      </c>
      <c r="BV119" s="124" t="str">
        <f>IF($B119="","",IFERROR(-AF119,"n.b."))</f>
        <v/>
      </c>
      <c r="BW119" s="124" t="str">
        <f>IF($B119="","",IFERROR(-AG119,"n.b."))</f>
        <v/>
      </c>
      <c r="BX119" s="124" t="str">
        <f>IF($B119="","",IFERROR(-AH119,"n.b."))</f>
        <v/>
      </c>
      <c r="BY119" s="124" t="str">
        <f>IF($B119="","",IFERROR(-AI119,"n.b."))</f>
        <v/>
      </c>
      <c r="BZ119" s="124" t="str">
        <f>IF($B119="","",IFERROR(-AJ119,"n.b."))</f>
        <v/>
      </c>
      <c r="CA119" s="124" t="str">
        <f>IF($B119="","",IFERROR(-AK119,"n.b."))</f>
        <v/>
      </c>
      <c r="CB119" s="124" t="str">
        <f>IF($B119="","",IFERROR(-AL119,"n.b."))</f>
        <v/>
      </c>
      <c r="CC119" s="124" t="str">
        <f>IF($B119="","",IFERROR(-AP119,"n.b."))</f>
        <v/>
      </c>
      <c r="CD119" s="124" t="str">
        <f>IF($B119="","",IFERROR(-AQ119,"n.b."))</f>
        <v/>
      </c>
      <c r="CE119" s="124" t="str">
        <f>IF($B119="","",IFERROR(-AR119,"n.b."))</f>
        <v/>
      </c>
      <c r="CF119" s="124" t="str">
        <f>IF($B119="","",IFERROR(-AS119,"n.b."))</f>
        <v/>
      </c>
      <c r="CG119" s="124" t="str">
        <f>IF($B119="","",IFERROR(-AT119,"n.b."))</f>
        <v/>
      </c>
      <c r="CH119" s="124" t="str">
        <f>IF($B119="","",IFERROR(-AU119,"n.b."))</f>
        <v/>
      </c>
      <c r="CI119" s="124" t="str">
        <f>IF($B119="","",IFERROR(-AV119,"n.b."))</f>
        <v/>
      </c>
      <c r="CJ119" s="124" t="str">
        <f>IF($B119="","",IFERROR(-AW119,"n.b."))</f>
        <v/>
      </c>
      <c r="CK119" s="124" t="str">
        <f>IF($B119="","",IFERROR(-AX119,"n.b."))</f>
        <v/>
      </c>
      <c r="CL119" s="124" t="str">
        <f>IF($B119="","",IFERROR(-AY119,"n.b."))</f>
        <v/>
      </c>
      <c r="CM119" s="124" t="str">
        <f>IF($B119="","",IFERROR(-AZ119,"n.b."))</f>
        <v/>
      </c>
      <c r="CN119" s="124" t="str">
        <f>IF($B119="","",IFERROR(-BA119,"n.b."))</f>
        <v/>
      </c>
      <c r="CO119" s="124" t="str">
        <f>IF($B119="","",IFERROR(-BB119,"n.b."))</f>
        <v/>
      </c>
      <c r="CP119" s="124" t="str">
        <f>IF($B119="","",IFERROR(-BC119,"n.b."))</f>
        <v/>
      </c>
      <c r="CQ119" s="124" t="str">
        <f>IF($B119="","",IFERROR(-BD119,"n.b."))</f>
        <v/>
      </c>
      <c r="CR119" s="124" t="str">
        <f>IF($B119="","",IFERROR(-BE119,"n.b."))</f>
        <v/>
      </c>
      <c r="CS119" s="124" t="str">
        <f>IF($B119="","",IFERROR(IF(OR(ABS(T119+V119+X119+Z119-AB119)&gt;P_Tol,ABS(U119+W119+Y119+AA119-AD119)&gt;P_Tol,ABS(AE119+AG119+AI119+AK119-AM119)&gt;P_Tol,ABS(AF119+AH119+AJ119+AL119-AO119)&gt;P_Tol),1,0),1))</f>
        <v/>
      </c>
      <c r="CT119" s="124" t="str">
        <f>IF($B119="","",IFERROR(IF(OR(ABS(AB119+AC119-AD119)&gt;P_Tol,ABS(AM119+AN119-AO119)&gt;P_Tol,ABS(O119+P119-Q119)&gt;P_Tol),1,0),1))</f>
        <v/>
      </c>
      <c r="CU119" s="124" t="str">
        <f>IF($B119="","",IFERROR(IF(ABS(R119-(AB119+AM119+AP119+AR119+AT119+AV119+AX119+AZ119+BB119+BD119))&gt;P_Tol,1,0),1))</f>
        <v/>
      </c>
      <c r="CV119" s="124" t="str">
        <f>IF($B119="","",IFERROR(IF(ABS(M119-(N119+O119+R119))&gt;P_Tol,1,0),1))</f>
        <v/>
      </c>
      <c r="CW119" s="124" t="str">
        <f>IF($B119="","",IF(COUNTIF(Mapping!$A$5:$A$104,B119)&gt;0,1,0))</f>
        <v/>
      </c>
      <c r="CX119" s="124" t="str">
        <f>IF($B119="","",COUNTIF($B$6:$B$505,B119))</f>
        <v/>
      </c>
      <c r="CY119" s="124" t="str">
        <f>IF($B119="","",COUNTIF(STG_Woningetalage!$B$6:$B$505,B119))</f>
        <v/>
      </c>
      <c r="CZ119" s="124" t="str">
        <f>IF($B119="","",IF(CW119=0,COUNTIF($CW$6:CW119,0),""))</f>
        <v/>
      </c>
    </row>
    <row r="120">
      <c r="A120" s="15" t="n">
        <v>116</v>
      </c>
      <c r="B120" t="str">
        <f>IF(B$3=0,"",IF(INDEX(SRC_ZPMW03!$A$1:$ZZ$501,$A120,B$3)&amp;""="","",INDEX(SRC_ZPMW03!$A$1:$ZZ$501,$A120,B$3)&amp;""))</f>
        <v/>
      </c>
      <c r="C120" t="str">
        <f>IF($B120="","",IF(C$3=0,"n.b.",INDEX(SRC_ZPMW03!$A$1:$ZZ$501,$A120,C$3)))</f>
        <v/>
      </c>
      <c r="D120" t="str">
        <f>IF($B120="","",IF(D$3=0,"n.b.",INDEX(SRC_ZPMW03!$A$1:$ZZ$501,$A120,D$3)))</f>
        <v/>
      </c>
      <c r="E120" t="str">
        <f>IF($B120="","",IF(E$3=0,"n.b.",INDEX(SRC_ZPMW03!$A$1:$ZZ$501,$A120,E$3)))</f>
        <v/>
      </c>
      <c r="F120" t="str">
        <f>IF($B120="","",IF(F$3=0,"n.b.",INDEX(SRC_ZPMW03!$A$1:$ZZ$501,$A120,F$3)))</f>
        <v/>
      </c>
      <c r="G120" t="str">
        <f>IF($B120="","",IF(G$3=0,"n.b.",INDEX(SRC_ZPMW03!$A$1:$ZZ$501,$A120,G$3)))</f>
        <v/>
      </c>
      <c r="H120" t="str">
        <f>IF($B120="","",IF(H$3=0,"n.b.",INDEX(SRC_ZPMW03!$A$1:$ZZ$501,$A120,H$3)))</f>
        <v/>
      </c>
      <c r="I120" t="str">
        <f>IF($B120="","",IF(I$3=0,"n.b.",INDEX(SRC_ZPMW03!$A$1:$ZZ$501,$A120,I$3)))</f>
        <v/>
      </c>
      <c r="J120" t="str">
        <f>IF($B120="","",IF(J$3=0,"n.b.",INDEX(SRC_ZPMW03!$A$1:$ZZ$501,$A120,J$3)))</f>
        <v/>
      </c>
      <c r="K120" t="str">
        <f>IF($B120="","",IF(K$3=0,"n.b.",INDEX(SRC_ZPMW03!$A$1:$ZZ$501,$A120,K$3)))</f>
        <v/>
      </c>
      <c r="L120" s="124" t="str">
        <f>IF($B120="","",IF(L$3=0,"n.b.",INDEX(SRC_ZPMW03!$A$1:$ZZ$501,$A120,L$3)))</f>
        <v/>
      </c>
      <c r="M120" s="124" t="str">
        <f>IF($B120="","",IF(M$3=0,"n.b.",INDEX(SRC_ZPMW03!$A$1:$ZZ$501,$A120,M$3)))</f>
        <v/>
      </c>
      <c r="N120" s="124" t="str">
        <f>IF($B120="","",IF(N$3=0,"n.b.",INDEX(SRC_ZPMW03!$A$1:$ZZ$501,$A120,N$3)))</f>
        <v/>
      </c>
      <c r="O120" s="124" t="str">
        <f>IF($B120="","",IF(O$3=0,"n.b.",INDEX(SRC_ZPMW03!$A$1:$ZZ$501,$A120,O$3)))</f>
        <v/>
      </c>
      <c r="P120" s="124" t="str">
        <f>IF($B120="","",IF(P$3=0,"n.b.",INDEX(SRC_ZPMW03!$A$1:$ZZ$501,$A120,P$3)))</f>
        <v/>
      </c>
      <c r="Q120" s="124" t="str">
        <f>IF($B120="","",IF(Q$3=0,"n.b.",INDEX(SRC_ZPMW03!$A$1:$ZZ$501,$A120,Q$3)))</f>
        <v/>
      </c>
      <c r="R120" s="124" t="str">
        <f>IF($B120="","",IF(R$3=0,"n.b.",INDEX(SRC_ZPMW03!$A$1:$ZZ$501,$A120,R$3)))</f>
        <v/>
      </c>
      <c r="S120" s="124" t="str">
        <f>IF($B120="","",IF(S$3=0,"n.b.",INDEX(SRC_ZPMW03!$A$1:$ZZ$501,$A120,S$3)))</f>
        <v/>
      </c>
      <c r="T120" s="124" t="str">
        <f>IF($B120="","",IF(T$3=0,"n.b.",INDEX(SRC_ZPMW03!$A$1:$ZZ$501,$A120,T$3)))</f>
        <v/>
      </c>
      <c r="U120" s="124" t="str">
        <f>IF($B120="","",IF(U$3=0,"n.b.",INDEX(SRC_ZPMW03!$A$1:$ZZ$501,$A120,U$3)))</f>
        <v/>
      </c>
      <c r="V120" s="124" t="str">
        <f>IF($B120="","",IF(V$3=0,"n.b.",INDEX(SRC_ZPMW03!$A$1:$ZZ$501,$A120,V$3)))</f>
        <v/>
      </c>
      <c r="W120" s="124" t="str">
        <f>IF($B120="","",IF(W$3=0,"n.b.",INDEX(SRC_ZPMW03!$A$1:$ZZ$501,$A120,W$3)))</f>
        <v/>
      </c>
      <c r="X120" s="124" t="str">
        <f>IF($B120="","",IF(X$3=0,"n.b.",INDEX(SRC_ZPMW03!$A$1:$ZZ$501,$A120,X$3)))</f>
        <v/>
      </c>
      <c r="Y120" s="124" t="str">
        <f>IF($B120="","",IF(Y$3=0,"n.b.",INDEX(SRC_ZPMW03!$A$1:$ZZ$501,$A120,Y$3)))</f>
        <v/>
      </c>
      <c r="Z120" s="124" t="str">
        <f>IF($B120="","",IF(Z$3=0,"n.b.",INDEX(SRC_ZPMW03!$A$1:$ZZ$501,$A120,Z$3)))</f>
        <v/>
      </c>
      <c r="AA120" s="124" t="str">
        <f>IF($B120="","",IF(AA$3=0,"n.b.",INDEX(SRC_ZPMW03!$A$1:$ZZ$501,$A120,AA$3)))</f>
        <v/>
      </c>
      <c r="AB120" s="124" t="str">
        <f>IF($B120="","",IF(AB$3=0,"n.b.",INDEX(SRC_ZPMW03!$A$1:$ZZ$501,$A120,AB$3)))</f>
        <v/>
      </c>
      <c r="AC120" s="124" t="str">
        <f>IF($B120="","",IF(AC$3=0,"n.b.",INDEX(SRC_ZPMW03!$A$1:$ZZ$501,$A120,AC$3)))</f>
        <v/>
      </c>
      <c r="AD120" s="124" t="str">
        <f>IF($B120="","",IF(AD$3=0,"n.b.",INDEX(SRC_ZPMW03!$A$1:$ZZ$501,$A120,AD$3)))</f>
        <v/>
      </c>
      <c r="AE120" s="124" t="str">
        <f>IF($B120="","",IF(AE$3=0,"n.b.",INDEX(SRC_ZPMW03!$A$1:$ZZ$501,$A120,AE$3)))</f>
        <v/>
      </c>
      <c r="AF120" s="124" t="str">
        <f>IF($B120="","",IF(AF$3=0,"n.b.",INDEX(SRC_ZPMW03!$A$1:$ZZ$501,$A120,AF$3)))</f>
        <v/>
      </c>
      <c r="AG120" s="124" t="str">
        <f>IF($B120="","",IF(AG$3=0,"n.b.",INDEX(SRC_ZPMW03!$A$1:$ZZ$501,$A120,AG$3)))</f>
        <v/>
      </c>
      <c r="AH120" s="124" t="str">
        <f>IF($B120="","",IF(AH$3=0,"n.b.",INDEX(SRC_ZPMW03!$A$1:$ZZ$501,$A120,AH$3)))</f>
        <v/>
      </c>
      <c r="AI120" s="124" t="str">
        <f>IF($B120="","",IF(AI$3=0,"n.b.",INDEX(SRC_ZPMW03!$A$1:$ZZ$501,$A120,AI$3)))</f>
        <v/>
      </c>
      <c r="AJ120" s="124" t="str">
        <f>IF($B120="","",IF(AJ$3=0,"n.b.",INDEX(SRC_ZPMW03!$A$1:$ZZ$501,$A120,AJ$3)))</f>
        <v/>
      </c>
      <c r="AK120" s="124" t="str">
        <f>IF($B120="","",IF(AK$3=0,"n.b.",INDEX(SRC_ZPMW03!$A$1:$ZZ$501,$A120,AK$3)))</f>
        <v/>
      </c>
      <c r="AL120" s="124" t="str">
        <f>IF($B120="","",IF(AL$3=0,"n.b.",INDEX(SRC_ZPMW03!$A$1:$ZZ$501,$A120,AL$3)))</f>
        <v/>
      </c>
      <c r="AM120" s="124" t="str">
        <f>IF($B120="","",IF(AM$3=0,"n.b.",INDEX(SRC_ZPMW03!$A$1:$ZZ$501,$A120,AM$3)))</f>
        <v/>
      </c>
      <c r="AN120" s="124" t="str">
        <f>IF($B120="","",IF(AN$3=0,"n.b.",INDEX(SRC_ZPMW03!$A$1:$ZZ$501,$A120,AN$3)))</f>
        <v/>
      </c>
      <c r="AO120" s="124" t="str">
        <f>IF($B120="","",IF(AO$3=0,"n.b.",INDEX(SRC_ZPMW03!$A$1:$ZZ$501,$A120,AO$3)))</f>
        <v/>
      </c>
      <c r="AP120" s="124" t="str">
        <f>IF($B120="","",IF(AP$3=0,"n.b.",INDEX(SRC_ZPMW03!$A$1:$ZZ$501,$A120,AP$3)))</f>
        <v/>
      </c>
      <c r="AQ120" s="124" t="str">
        <f>IF($B120="","",IF(AQ$3=0,"n.b.",INDEX(SRC_ZPMW03!$A$1:$ZZ$501,$A120,AQ$3)))</f>
        <v/>
      </c>
      <c r="AR120" s="124" t="str">
        <f>IF($B120="","",IF(AR$3=0,"n.b.",INDEX(SRC_ZPMW03!$A$1:$ZZ$501,$A120,AR$3)))</f>
        <v/>
      </c>
      <c r="AS120" s="124" t="str">
        <f>IF($B120="","",IF(AS$3=0,"n.b.",INDEX(SRC_ZPMW03!$A$1:$ZZ$501,$A120,AS$3)))</f>
        <v/>
      </c>
      <c r="AT120" s="124" t="str">
        <f>IF($B120="","",IF(AT$3=0,"n.b.",INDEX(SRC_ZPMW03!$A$1:$ZZ$501,$A120,AT$3)))</f>
        <v/>
      </c>
      <c r="AU120" s="124" t="str">
        <f>IF($B120="","",IF(AU$3=0,"n.b.",INDEX(SRC_ZPMW03!$A$1:$ZZ$501,$A120,AU$3)))</f>
        <v/>
      </c>
      <c r="AV120" s="124" t="str">
        <f>IF($B120="","",IF(AV$3=0,"n.b.",INDEX(SRC_ZPMW03!$A$1:$ZZ$501,$A120,AV$3)))</f>
        <v/>
      </c>
      <c r="AW120" s="124" t="str">
        <f>IF($B120="","",IF(AW$3=0,"n.b.",INDEX(SRC_ZPMW03!$A$1:$ZZ$501,$A120,AW$3)))</f>
        <v/>
      </c>
      <c r="AX120" s="124" t="str">
        <f>IF($B120="","",IF(AX$3=0,"n.b.",INDEX(SRC_ZPMW03!$A$1:$ZZ$501,$A120,AX$3)))</f>
        <v/>
      </c>
      <c r="AY120" s="124" t="str">
        <f>IF($B120="","",IF(AY$3=0,"n.b.",INDEX(SRC_ZPMW03!$A$1:$ZZ$501,$A120,AY$3)))</f>
        <v/>
      </c>
      <c r="AZ120" s="124" t="str">
        <f>IF($B120="","",IF(AZ$3=0,"n.b.",INDEX(SRC_ZPMW03!$A$1:$ZZ$501,$A120,AZ$3)))</f>
        <v/>
      </c>
      <c r="BA120" s="124" t="str">
        <f>IF($B120="","",IF(BA$3=0,"n.b.",INDEX(SRC_ZPMW03!$A$1:$ZZ$501,$A120,BA$3)))</f>
        <v/>
      </c>
      <c r="BB120" s="124" t="str">
        <f>IF($B120="","",IF(BB$3=0,"n.b.",INDEX(SRC_ZPMW03!$A$1:$ZZ$501,$A120,BB$3)))</f>
        <v/>
      </c>
      <c r="BC120" s="124" t="str">
        <f>IF($B120="","",IF(BC$3=0,"n.b.",INDEX(SRC_ZPMW03!$A$1:$ZZ$501,$A120,BC$3)))</f>
        <v/>
      </c>
      <c r="BD120" s="124" t="str">
        <f>IF($B120="","",IF(BD$3=0,"n.b.",INDEX(SRC_ZPMW03!$A$1:$ZZ$501,$A120,BD$3)))</f>
        <v/>
      </c>
      <c r="BE120" s="124" t="str">
        <f>IF($B120="","",IF(BE$3=0,"n.b.",INDEX(SRC_ZPMW03!$A$1:$ZZ$501,$A120,BE$3)))</f>
        <v/>
      </c>
      <c r="BF120" s="124" t="str">
        <f>IF($B120="","",IF(BF$3=0,"n.b.",INDEX(SRC_ZPMW03!$A$1:$ZZ$501,$A120,BF$3)))</f>
        <v/>
      </c>
      <c r="BG120" t="str">
        <f>IF($B120="","",IF(BG$3=0,"n.b.",INDEX(SRC_ZPMW03!$A$1:$ZZ$501,$A120,BG$3)))</f>
        <v/>
      </c>
      <c r="BH120" t="str">
        <f>IF($B120="","",IF(BH$3=0,"n.b.",INDEX(SRC_ZPMW03!$A$1:$ZZ$501,$A120,BH$3)))</f>
        <v/>
      </c>
      <c r="BI120" t="str">
        <f>IF($B120="","",IF(BI$3=0,"n.b.",INDEX(SRC_ZPMW03!$A$1:$ZZ$501,$A120,BI$3)))</f>
        <v/>
      </c>
      <c r="BJ120" t="str">
        <f>IF($B120="","",IF(BJ$3=0,"n.b.",INDEX(SRC_ZPMW03!$A$1:$ZZ$501,$A120,BJ$3)))</f>
        <v/>
      </c>
      <c r="BK120" s="124" t="str">
        <f>IF($B120="","",IFERROR(-O120,"n.b."))</f>
        <v/>
      </c>
      <c r="BL120" s="124" t="str">
        <f>IF($B120="","",IFERROR(-Q120,"n.b."))</f>
        <v/>
      </c>
      <c r="BM120" s="124" t="str">
        <f>IF($B120="","",IFERROR(-AB120,"n.b."))</f>
        <v/>
      </c>
      <c r="BN120" s="124" t="str">
        <f>IF($B120="","",IFERROR(-AD120,"n.b."))</f>
        <v/>
      </c>
      <c r="BO120" s="124" t="str">
        <f>IF($B120="","",IFERROR(BK120+BM120,"n.b."))</f>
        <v/>
      </c>
      <c r="BP120" s="124" t="str">
        <f>IF($B120="","",IFERROR(BL120+BN120,"n.b."))</f>
        <v/>
      </c>
      <c r="BQ120" s="124" t="str">
        <f>IF($B120="","",IFERROR(-AM120,"n.b."))</f>
        <v/>
      </c>
      <c r="BR120" s="124" t="str">
        <f>IF($B120="","",IFERROR(-AO120,"n.b."))</f>
        <v/>
      </c>
      <c r="BS120" s="124" t="str">
        <f>IF($B120="","",IFERROR(-Z120,"n.b."))</f>
        <v/>
      </c>
      <c r="BT120" s="124" t="str">
        <f>IF($B120="","",IFERROR(-AA120,"n.b."))</f>
        <v/>
      </c>
      <c r="BU120" s="124" t="str">
        <f>IF($B120="","",IFERROR(-AE120,"n.b."))</f>
        <v/>
      </c>
      <c r="BV120" s="124" t="str">
        <f>IF($B120="","",IFERROR(-AF120,"n.b."))</f>
        <v/>
      </c>
      <c r="BW120" s="124" t="str">
        <f>IF($B120="","",IFERROR(-AG120,"n.b."))</f>
        <v/>
      </c>
      <c r="BX120" s="124" t="str">
        <f>IF($B120="","",IFERROR(-AH120,"n.b."))</f>
        <v/>
      </c>
      <c r="BY120" s="124" t="str">
        <f>IF($B120="","",IFERROR(-AI120,"n.b."))</f>
        <v/>
      </c>
      <c r="BZ120" s="124" t="str">
        <f>IF($B120="","",IFERROR(-AJ120,"n.b."))</f>
        <v/>
      </c>
      <c r="CA120" s="124" t="str">
        <f>IF($B120="","",IFERROR(-AK120,"n.b."))</f>
        <v/>
      </c>
      <c r="CB120" s="124" t="str">
        <f>IF($B120="","",IFERROR(-AL120,"n.b."))</f>
        <v/>
      </c>
      <c r="CC120" s="124" t="str">
        <f>IF($B120="","",IFERROR(-AP120,"n.b."))</f>
        <v/>
      </c>
      <c r="CD120" s="124" t="str">
        <f>IF($B120="","",IFERROR(-AQ120,"n.b."))</f>
        <v/>
      </c>
      <c r="CE120" s="124" t="str">
        <f>IF($B120="","",IFERROR(-AR120,"n.b."))</f>
        <v/>
      </c>
      <c r="CF120" s="124" t="str">
        <f>IF($B120="","",IFERROR(-AS120,"n.b."))</f>
        <v/>
      </c>
      <c r="CG120" s="124" t="str">
        <f>IF($B120="","",IFERROR(-AT120,"n.b."))</f>
        <v/>
      </c>
      <c r="CH120" s="124" t="str">
        <f>IF($B120="","",IFERROR(-AU120,"n.b."))</f>
        <v/>
      </c>
      <c r="CI120" s="124" t="str">
        <f>IF($B120="","",IFERROR(-AV120,"n.b."))</f>
        <v/>
      </c>
      <c r="CJ120" s="124" t="str">
        <f>IF($B120="","",IFERROR(-AW120,"n.b."))</f>
        <v/>
      </c>
      <c r="CK120" s="124" t="str">
        <f>IF($B120="","",IFERROR(-AX120,"n.b."))</f>
        <v/>
      </c>
      <c r="CL120" s="124" t="str">
        <f>IF($B120="","",IFERROR(-AY120,"n.b."))</f>
        <v/>
      </c>
      <c r="CM120" s="124" t="str">
        <f>IF($B120="","",IFERROR(-AZ120,"n.b."))</f>
        <v/>
      </c>
      <c r="CN120" s="124" t="str">
        <f>IF($B120="","",IFERROR(-BA120,"n.b."))</f>
        <v/>
      </c>
      <c r="CO120" s="124" t="str">
        <f>IF($B120="","",IFERROR(-BB120,"n.b."))</f>
        <v/>
      </c>
      <c r="CP120" s="124" t="str">
        <f>IF($B120="","",IFERROR(-BC120,"n.b."))</f>
        <v/>
      </c>
      <c r="CQ120" s="124" t="str">
        <f>IF($B120="","",IFERROR(-BD120,"n.b."))</f>
        <v/>
      </c>
      <c r="CR120" s="124" t="str">
        <f>IF($B120="","",IFERROR(-BE120,"n.b."))</f>
        <v/>
      </c>
      <c r="CS120" s="124" t="str">
        <f>IF($B120="","",IFERROR(IF(OR(ABS(T120+V120+X120+Z120-AB120)&gt;P_Tol,ABS(U120+W120+Y120+AA120-AD120)&gt;P_Tol,ABS(AE120+AG120+AI120+AK120-AM120)&gt;P_Tol,ABS(AF120+AH120+AJ120+AL120-AO120)&gt;P_Tol),1,0),1))</f>
        <v/>
      </c>
      <c r="CT120" s="124" t="str">
        <f>IF($B120="","",IFERROR(IF(OR(ABS(AB120+AC120-AD120)&gt;P_Tol,ABS(AM120+AN120-AO120)&gt;P_Tol,ABS(O120+P120-Q120)&gt;P_Tol),1,0),1))</f>
        <v/>
      </c>
      <c r="CU120" s="124" t="str">
        <f>IF($B120="","",IFERROR(IF(ABS(R120-(AB120+AM120+AP120+AR120+AT120+AV120+AX120+AZ120+BB120+BD120))&gt;P_Tol,1,0),1))</f>
        <v/>
      </c>
      <c r="CV120" s="124" t="str">
        <f>IF($B120="","",IFERROR(IF(ABS(M120-(N120+O120+R120))&gt;P_Tol,1,0),1))</f>
        <v/>
      </c>
      <c r="CW120" s="124" t="str">
        <f>IF($B120="","",IF(COUNTIF(Mapping!$A$5:$A$104,B120)&gt;0,1,0))</f>
        <v/>
      </c>
      <c r="CX120" s="124" t="str">
        <f>IF($B120="","",COUNTIF($B$6:$B$505,B120))</f>
        <v/>
      </c>
      <c r="CY120" s="124" t="str">
        <f>IF($B120="","",COUNTIF(STG_Woningetalage!$B$6:$B$505,B120))</f>
        <v/>
      </c>
      <c r="CZ120" s="124" t="str">
        <f>IF($B120="","",IF(CW120=0,COUNTIF($CW$6:CW120,0),""))</f>
        <v/>
      </c>
    </row>
    <row r="121">
      <c r="A121" s="15" t="n">
        <v>117</v>
      </c>
      <c r="B121" t="str">
        <f>IF(B$3=0,"",IF(INDEX(SRC_ZPMW03!$A$1:$ZZ$501,$A121,B$3)&amp;""="","",INDEX(SRC_ZPMW03!$A$1:$ZZ$501,$A121,B$3)&amp;""))</f>
        <v/>
      </c>
      <c r="C121" t="str">
        <f>IF($B121="","",IF(C$3=0,"n.b.",INDEX(SRC_ZPMW03!$A$1:$ZZ$501,$A121,C$3)))</f>
        <v/>
      </c>
      <c r="D121" t="str">
        <f>IF($B121="","",IF(D$3=0,"n.b.",INDEX(SRC_ZPMW03!$A$1:$ZZ$501,$A121,D$3)))</f>
        <v/>
      </c>
      <c r="E121" t="str">
        <f>IF($B121="","",IF(E$3=0,"n.b.",INDEX(SRC_ZPMW03!$A$1:$ZZ$501,$A121,E$3)))</f>
        <v/>
      </c>
      <c r="F121" t="str">
        <f>IF($B121="","",IF(F$3=0,"n.b.",INDEX(SRC_ZPMW03!$A$1:$ZZ$501,$A121,F$3)))</f>
        <v/>
      </c>
      <c r="G121" t="str">
        <f>IF($B121="","",IF(G$3=0,"n.b.",INDEX(SRC_ZPMW03!$A$1:$ZZ$501,$A121,G$3)))</f>
        <v/>
      </c>
      <c r="H121" t="str">
        <f>IF($B121="","",IF(H$3=0,"n.b.",INDEX(SRC_ZPMW03!$A$1:$ZZ$501,$A121,H$3)))</f>
        <v/>
      </c>
      <c r="I121" t="str">
        <f>IF($B121="","",IF(I$3=0,"n.b.",INDEX(SRC_ZPMW03!$A$1:$ZZ$501,$A121,I$3)))</f>
        <v/>
      </c>
      <c r="J121" t="str">
        <f>IF($B121="","",IF(J$3=0,"n.b.",INDEX(SRC_ZPMW03!$A$1:$ZZ$501,$A121,J$3)))</f>
        <v/>
      </c>
      <c r="K121" t="str">
        <f>IF($B121="","",IF(K$3=0,"n.b.",INDEX(SRC_ZPMW03!$A$1:$ZZ$501,$A121,K$3)))</f>
        <v/>
      </c>
      <c r="L121" s="124" t="str">
        <f>IF($B121="","",IF(L$3=0,"n.b.",INDEX(SRC_ZPMW03!$A$1:$ZZ$501,$A121,L$3)))</f>
        <v/>
      </c>
      <c r="M121" s="124" t="str">
        <f>IF($B121="","",IF(M$3=0,"n.b.",INDEX(SRC_ZPMW03!$A$1:$ZZ$501,$A121,M$3)))</f>
        <v/>
      </c>
      <c r="N121" s="124" t="str">
        <f>IF($B121="","",IF(N$3=0,"n.b.",INDEX(SRC_ZPMW03!$A$1:$ZZ$501,$A121,N$3)))</f>
        <v/>
      </c>
      <c r="O121" s="124" t="str">
        <f>IF($B121="","",IF(O$3=0,"n.b.",INDEX(SRC_ZPMW03!$A$1:$ZZ$501,$A121,O$3)))</f>
        <v/>
      </c>
      <c r="P121" s="124" t="str">
        <f>IF($B121="","",IF(P$3=0,"n.b.",INDEX(SRC_ZPMW03!$A$1:$ZZ$501,$A121,P$3)))</f>
        <v/>
      </c>
      <c r="Q121" s="124" t="str">
        <f>IF($B121="","",IF(Q$3=0,"n.b.",INDEX(SRC_ZPMW03!$A$1:$ZZ$501,$A121,Q$3)))</f>
        <v/>
      </c>
      <c r="R121" s="124" t="str">
        <f>IF($B121="","",IF(R$3=0,"n.b.",INDEX(SRC_ZPMW03!$A$1:$ZZ$501,$A121,R$3)))</f>
        <v/>
      </c>
      <c r="S121" s="124" t="str">
        <f>IF($B121="","",IF(S$3=0,"n.b.",INDEX(SRC_ZPMW03!$A$1:$ZZ$501,$A121,S$3)))</f>
        <v/>
      </c>
      <c r="T121" s="124" t="str">
        <f>IF($B121="","",IF(T$3=0,"n.b.",INDEX(SRC_ZPMW03!$A$1:$ZZ$501,$A121,T$3)))</f>
        <v/>
      </c>
      <c r="U121" s="124" t="str">
        <f>IF($B121="","",IF(U$3=0,"n.b.",INDEX(SRC_ZPMW03!$A$1:$ZZ$501,$A121,U$3)))</f>
        <v/>
      </c>
      <c r="V121" s="124" t="str">
        <f>IF($B121="","",IF(V$3=0,"n.b.",INDEX(SRC_ZPMW03!$A$1:$ZZ$501,$A121,V$3)))</f>
        <v/>
      </c>
      <c r="W121" s="124" t="str">
        <f>IF($B121="","",IF(W$3=0,"n.b.",INDEX(SRC_ZPMW03!$A$1:$ZZ$501,$A121,W$3)))</f>
        <v/>
      </c>
      <c r="X121" s="124" t="str">
        <f>IF($B121="","",IF(X$3=0,"n.b.",INDEX(SRC_ZPMW03!$A$1:$ZZ$501,$A121,X$3)))</f>
        <v/>
      </c>
      <c r="Y121" s="124" t="str">
        <f>IF($B121="","",IF(Y$3=0,"n.b.",INDEX(SRC_ZPMW03!$A$1:$ZZ$501,$A121,Y$3)))</f>
        <v/>
      </c>
      <c r="Z121" s="124" t="str">
        <f>IF($B121="","",IF(Z$3=0,"n.b.",INDEX(SRC_ZPMW03!$A$1:$ZZ$501,$A121,Z$3)))</f>
        <v/>
      </c>
      <c r="AA121" s="124" t="str">
        <f>IF($B121="","",IF(AA$3=0,"n.b.",INDEX(SRC_ZPMW03!$A$1:$ZZ$501,$A121,AA$3)))</f>
        <v/>
      </c>
      <c r="AB121" s="124" t="str">
        <f>IF($B121="","",IF(AB$3=0,"n.b.",INDEX(SRC_ZPMW03!$A$1:$ZZ$501,$A121,AB$3)))</f>
        <v/>
      </c>
      <c r="AC121" s="124" t="str">
        <f>IF($B121="","",IF(AC$3=0,"n.b.",INDEX(SRC_ZPMW03!$A$1:$ZZ$501,$A121,AC$3)))</f>
        <v/>
      </c>
      <c r="AD121" s="124" t="str">
        <f>IF($B121="","",IF(AD$3=0,"n.b.",INDEX(SRC_ZPMW03!$A$1:$ZZ$501,$A121,AD$3)))</f>
        <v/>
      </c>
      <c r="AE121" s="124" t="str">
        <f>IF($B121="","",IF(AE$3=0,"n.b.",INDEX(SRC_ZPMW03!$A$1:$ZZ$501,$A121,AE$3)))</f>
        <v/>
      </c>
      <c r="AF121" s="124" t="str">
        <f>IF($B121="","",IF(AF$3=0,"n.b.",INDEX(SRC_ZPMW03!$A$1:$ZZ$501,$A121,AF$3)))</f>
        <v/>
      </c>
      <c r="AG121" s="124" t="str">
        <f>IF($B121="","",IF(AG$3=0,"n.b.",INDEX(SRC_ZPMW03!$A$1:$ZZ$501,$A121,AG$3)))</f>
        <v/>
      </c>
      <c r="AH121" s="124" t="str">
        <f>IF($B121="","",IF(AH$3=0,"n.b.",INDEX(SRC_ZPMW03!$A$1:$ZZ$501,$A121,AH$3)))</f>
        <v/>
      </c>
      <c r="AI121" s="124" t="str">
        <f>IF($B121="","",IF(AI$3=0,"n.b.",INDEX(SRC_ZPMW03!$A$1:$ZZ$501,$A121,AI$3)))</f>
        <v/>
      </c>
      <c r="AJ121" s="124" t="str">
        <f>IF($B121="","",IF(AJ$3=0,"n.b.",INDEX(SRC_ZPMW03!$A$1:$ZZ$501,$A121,AJ$3)))</f>
        <v/>
      </c>
      <c r="AK121" s="124" t="str">
        <f>IF($B121="","",IF(AK$3=0,"n.b.",INDEX(SRC_ZPMW03!$A$1:$ZZ$501,$A121,AK$3)))</f>
        <v/>
      </c>
      <c r="AL121" s="124" t="str">
        <f>IF($B121="","",IF(AL$3=0,"n.b.",INDEX(SRC_ZPMW03!$A$1:$ZZ$501,$A121,AL$3)))</f>
        <v/>
      </c>
      <c r="AM121" s="124" t="str">
        <f>IF($B121="","",IF(AM$3=0,"n.b.",INDEX(SRC_ZPMW03!$A$1:$ZZ$501,$A121,AM$3)))</f>
        <v/>
      </c>
      <c r="AN121" s="124" t="str">
        <f>IF($B121="","",IF(AN$3=0,"n.b.",INDEX(SRC_ZPMW03!$A$1:$ZZ$501,$A121,AN$3)))</f>
        <v/>
      </c>
      <c r="AO121" s="124" t="str">
        <f>IF($B121="","",IF(AO$3=0,"n.b.",INDEX(SRC_ZPMW03!$A$1:$ZZ$501,$A121,AO$3)))</f>
        <v/>
      </c>
      <c r="AP121" s="124" t="str">
        <f>IF($B121="","",IF(AP$3=0,"n.b.",INDEX(SRC_ZPMW03!$A$1:$ZZ$501,$A121,AP$3)))</f>
        <v/>
      </c>
      <c r="AQ121" s="124" t="str">
        <f>IF($B121="","",IF(AQ$3=0,"n.b.",INDEX(SRC_ZPMW03!$A$1:$ZZ$501,$A121,AQ$3)))</f>
        <v/>
      </c>
      <c r="AR121" s="124" t="str">
        <f>IF($B121="","",IF(AR$3=0,"n.b.",INDEX(SRC_ZPMW03!$A$1:$ZZ$501,$A121,AR$3)))</f>
        <v/>
      </c>
      <c r="AS121" s="124" t="str">
        <f>IF($B121="","",IF(AS$3=0,"n.b.",INDEX(SRC_ZPMW03!$A$1:$ZZ$501,$A121,AS$3)))</f>
        <v/>
      </c>
      <c r="AT121" s="124" t="str">
        <f>IF($B121="","",IF(AT$3=0,"n.b.",INDEX(SRC_ZPMW03!$A$1:$ZZ$501,$A121,AT$3)))</f>
        <v/>
      </c>
      <c r="AU121" s="124" t="str">
        <f>IF($B121="","",IF(AU$3=0,"n.b.",INDEX(SRC_ZPMW03!$A$1:$ZZ$501,$A121,AU$3)))</f>
        <v/>
      </c>
      <c r="AV121" s="124" t="str">
        <f>IF($B121="","",IF(AV$3=0,"n.b.",INDEX(SRC_ZPMW03!$A$1:$ZZ$501,$A121,AV$3)))</f>
        <v/>
      </c>
      <c r="AW121" s="124" t="str">
        <f>IF($B121="","",IF(AW$3=0,"n.b.",INDEX(SRC_ZPMW03!$A$1:$ZZ$501,$A121,AW$3)))</f>
        <v/>
      </c>
      <c r="AX121" s="124" t="str">
        <f>IF($B121="","",IF(AX$3=0,"n.b.",INDEX(SRC_ZPMW03!$A$1:$ZZ$501,$A121,AX$3)))</f>
        <v/>
      </c>
      <c r="AY121" s="124" t="str">
        <f>IF($B121="","",IF(AY$3=0,"n.b.",INDEX(SRC_ZPMW03!$A$1:$ZZ$501,$A121,AY$3)))</f>
        <v/>
      </c>
      <c r="AZ121" s="124" t="str">
        <f>IF($B121="","",IF(AZ$3=0,"n.b.",INDEX(SRC_ZPMW03!$A$1:$ZZ$501,$A121,AZ$3)))</f>
        <v/>
      </c>
      <c r="BA121" s="124" t="str">
        <f>IF($B121="","",IF(BA$3=0,"n.b.",INDEX(SRC_ZPMW03!$A$1:$ZZ$501,$A121,BA$3)))</f>
        <v/>
      </c>
      <c r="BB121" s="124" t="str">
        <f>IF($B121="","",IF(BB$3=0,"n.b.",INDEX(SRC_ZPMW03!$A$1:$ZZ$501,$A121,BB$3)))</f>
        <v/>
      </c>
      <c r="BC121" s="124" t="str">
        <f>IF($B121="","",IF(BC$3=0,"n.b.",INDEX(SRC_ZPMW03!$A$1:$ZZ$501,$A121,BC$3)))</f>
        <v/>
      </c>
      <c r="BD121" s="124" t="str">
        <f>IF($B121="","",IF(BD$3=0,"n.b.",INDEX(SRC_ZPMW03!$A$1:$ZZ$501,$A121,BD$3)))</f>
        <v/>
      </c>
      <c r="BE121" s="124" t="str">
        <f>IF($B121="","",IF(BE$3=0,"n.b.",INDEX(SRC_ZPMW03!$A$1:$ZZ$501,$A121,BE$3)))</f>
        <v/>
      </c>
      <c r="BF121" s="124" t="str">
        <f>IF($B121="","",IF(BF$3=0,"n.b.",INDEX(SRC_ZPMW03!$A$1:$ZZ$501,$A121,BF$3)))</f>
        <v/>
      </c>
      <c r="BG121" t="str">
        <f>IF($B121="","",IF(BG$3=0,"n.b.",INDEX(SRC_ZPMW03!$A$1:$ZZ$501,$A121,BG$3)))</f>
        <v/>
      </c>
      <c r="BH121" t="str">
        <f>IF($B121="","",IF(BH$3=0,"n.b.",INDEX(SRC_ZPMW03!$A$1:$ZZ$501,$A121,BH$3)))</f>
        <v/>
      </c>
      <c r="BI121" t="str">
        <f>IF($B121="","",IF(BI$3=0,"n.b.",INDEX(SRC_ZPMW03!$A$1:$ZZ$501,$A121,BI$3)))</f>
        <v/>
      </c>
      <c r="BJ121" t="str">
        <f>IF($B121="","",IF(BJ$3=0,"n.b.",INDEX(SRC_ZPMW03!$A$1:$ZZ$501,$A121,BJ$3)))</f>
        <v/>
      </c>
      <c r="BK121" s="124" t="str">
        <f>IF($B121="","",IFERROR(-O121,"n.b."))</f>
        <v/>
      </c>
      <c r="BL121" s="124" t="str">
        <f>IF($B121="","",IFERROR(-Q121,"n.b."))</f>
        <v/>
      </c>
      <c r="BM121" s="124" t="str">
        <f>IF($B121="","",IFERROR(-AB121,"n.b."))</f>
        <v/>
      </c>
      <c r="BN121" s="124" t="str">
        <f>IF($B121="","",IFERROR(-AD121,"n.b."))</f>
        <v/>
      </c>
      <c r="BO121" s="124" t="str">
        <f>IF($B121="","",IFERROR(BK121+BM121,"n.b."))</f>
        <v/>
      </c>
      <c r="BP121" s="124" t="str">
        <f>IF($B121="","",IFERROR(BL121+BN121,"n.b."))</f>
        <v/>
      </c>
      <c r="BQ121" s="124" t="str">
        <f>IF($B121="","",IFERROR(-AM121,"n.b."))</f>
        <v/>
      </c>
      <c r="BR121" s="124" t="str">
        <f>IF($B121="","",IFERROR(-AO121,"n.b."))</f>
        <v/>
      </c>
      <c r="BS121" s="124" t="str">
        <f>IF($B121="","",IFERROR(-Z121,"n.b."))</f>
        <v/>
      </c>
      <c r="BT121" s="124" t="str">
        <f>IF($B121="","",IFERROR(-AA121,"n.b."))</f>
        <v/>
      </c>
      <c r="BU121" s="124" t="str">
        <f>IF($B121="","",IFERROR(-AE121,"n.b."))</f>
        <v/>
      </c>
      <c r="BV121" s="124" t="str">
        <f>IF($B121="","",IFERROR(-AF121,"n.b."))</f>
        <v/>
      </c>
      <c r="BW121" s="124" t="str">
        <f>IF($B121="","",IFERROR(-AG121,"n.b."))</f>
        <v/>
      </c>
      <c r="BX121" s="124" t="str">
        <f>IF($B121="","",IFERROR(-AH121,"n.b."))</f>
        <v/>
      </c>
      <c r="BY121" s="124" t="str">
        <f>IF($B121="","",IFERROR(-AI121,"n.b."))</f>
        <v/>
      </c>
      <c r="BZ121" s="124" t="str">
        <f>IF($B121="","",IFERROR(-AJ121,"n.b."))</f>
        <v/>
      </c>
      <c r="CA121" s="124" t="str">
        <f>IF($B121="","",IFERROR(-AK121,"n.b."))</f>
        <v/>
      </c>
      <c r="CB121" s="124" t="str">
        <f>IF($B121="","",IFERROR(-AL121,"n.b."))</f>
        <v/>
      </c>
      <c r="CC121" s="124" t="str">
        <f>IF($B121="","",IFERROR(-AP121,"n.b."))</f>
        <v/>
      </c>
      <c r="CD121" s="124" t="str">
        <f>IF($B121="","",IFERROR(-AQ121,"n.b."))</f>
        <v/>
      </c>
      <c r="CE121" s="124" t="str">
        <f>IF($B121="","",IFERROR(-AR121,"n.b."))</f>
        <v/>
      </c>
      <c r="CF121" s="124" t="str">
        <f>IF($B121="","",IFERROR(-AS121,"n.b."))</f>
        <v/>
      </c>
      <c r="CG121" s="124" t="str">
        <f>IF($B121="","",IFERROR(-AT121,"n.b."))</f>
        <v/>
      </c>
      <c r="CH121" s="124" t="str">
        <f>IF($B121="","",IFERROR(-AU121,"n.b."))</f>
        <v/>
      </c>
      <c r="CI121" s="124" t="str">
        <f>IF($B121="","",IFERROR(-AV121,"n.b."))</f>
        <v/>
      </c>
      <c r="CJ121" s="124" t="str">
        <f>IF($B121="","",IFERROR(-AW121,"n.b."))</f>
        <v/>
      </c>
      <c r="CK121" s="124" t="str">
        <f>IF($B121="","",IFERROR(-AX121,"n.b."))</f>
        <v/>
      </c>
      <c r="CL121" s="124" t="str">
        <f>IF($B121="","",IFERROR(-AY121,"n.b."))</f>
        <v/>
      </c>
      <c r="CM121" s="124" t="str">
        <f>IF($B121="","",IFERROR(-AZ121,"n.b."))</f>
        <v/>
      </c>
      <c r="CN121" s="124" t="str">
        <f>IF($B121="","",IFERROR(-BA121,"n.b."))</f>
        <v/>
      </c>
      <c r="CO121" s="124" t="str">
        <f>IF($B121="","",IFERROR(-BB121,"n.b."))</f>
        <v/>
      </c>
      <c r="CP121" s="124" t="str">
        <f>IF($B121="","",IFERROR(-BC121,"n.b."))</f>
        <v/>
      </c>
      <c r="CQ121" s="124" t="str">
        <f>IF($B121="","",IFERROR(-BD121,"n.b."))</f>
        <v/>
      </c>
      <c r="CR121" s="124" t="str">
        <f>IF($B121="","",IFERROR(-BE121,"n.b."))</f>
        <v/>
      </c>
      <c r="CS121" s="124" t="str">
        <f>IF($B121="","",IFERROR(IF(OR(ABS(T121+V121+X121+Z121-AB121)&gt;P_Tol,ABS(U121+W121+Y121+AA121-AD121)&gt;P_Tol,ABS(AE121+AG121+AI121+AK121-AM121)&gt;P_Tol,ABS(AF121+AH121+AJ121+AL121-AO121)&gt;P_Tol),1,0),1))</f>
        <v/>
      </c>
      <c r="CT121" s="124" t="str">
        <f>IF($B121="","",IFERROR(IF(OR(ABS(AB121+AC121-AD121)&gt;P_Tol,ABS(AM121+AN121-AO121)&gt;P_Tol,ABS(O121+P121-Q121)&gt;P_Tol),1,0),1))</f>
        <v/>
      </c>
      <c r="CU121" s="124" t="str">
        <f>IF($B121="","",IFERROR(IF(ABS(R121-(AB121+AM121+AP121+AR121+AT121+AV121+AX121+AZ121+BB121+BD121))&gt;P_Tol,1,0),1))</f>
        <v/>
      </c>
      <c r="CV121" s="124" t="str">
        <f>IF($B121="","",IFERROR(IF(ABS(M121-(N121+O121+R121))&gt;P_Tol,1,0),1))</f>
        <v/>
      </c>
      <c r="CW121" s="124" t="str">
        <f>IF($B121="","",IF(COUNTIF(Mapping!$A$5:$A$104,B121)&gt;0,1,0))</f>
        <v/>
      </c>
      <c r="CX121" s="124" t="str">
        <f>IF($B121="","",COUNTIF($B$6:$B$505,B121))</f>
        <v/>
      </c>
      <c r="CY121" s="124" t="str">
        <f>IF($B121="","",COUNTIF(STG_Woningetalage!$B$6:$B$505,B121))</f>
        <v/>
      </c>
      <c r="CZ121" s="124" t="str">
        <f>IF($B121="","",IF(CW121=0,COUNTIF($CW$6:CW121,0),""))</f>
        <v/>
      </c>
    </row>
    <row r="122">
      <c r="A122" s="15" t="n">
        <v>118</v>
      </c>
      <c r="B122" t="str">
        <f>IF(B$3=0,"",IF(INDEX(SRC_ZPMW03!$A$1:$ZZ$501,$A122,B$3)&amp;""="","",INDEX(SRC_ZPMW03!$A$1:$ZZ$501,$A122,B$3)&amp;""))</f>
        <v/>
      </c>
      <c r="C122" t="str">
        <f>IF($B122="","",IF(C$3=0,"n.b.",INDEX(SRC_ZPMW03!$A$1:$ZZ$501,$A122,C$3)))</f>
        <v/>
      </c>
      <c r="D122" t="str">
        <f>IF($B122="","",IF(D$3=0,"n.b.",INDEX(SRC_ZPMW03!$A$1:$ZZ$501,$A122,D$3)))</f>
        <v/>
      </c>
      <c r="E122" t="str">
        <f>IF($B122="","",IF(E$3=0,"n.b.",INDEX(SRC_ZPMW03!$A$1:$ZZ$501,$A122,E$3)))</f>
        <v/>
      </c>
      <c r="F122" t="str">
        <f>IF($B122="","",IF(F$3=0,"n.b.",INDEX(SRC_ZPMW03!$A$1:$ZZ$501,$A122,F$3)))</f>
        <v/>
      </c>
      <c r="G122" t="str">
        <f>IF($B122="","",IF(G$3=0,"n.b.",INDEX(SRC_ZPMW03!$A$1:$ZZ$501,$A122,G$3)))</f>
        <v/>
      </c>
      <c r="H122" t="str">
        <f>IF($B122="","",IF(H$3=0,"n.b.",INDEX(SRC_ZPMW03!$A$1:$ZZ$501,$A122,H$3)))</f>
        <v/>
      </c>
      <c r="I122" t="str">
        <f>IF($B122="","",IF(I$3=0,"n.b.",INDEX(SRC_ZPMW03!$A$1:$ZZ$501,$A122,I$3)))</f>
        <v/>
      </c>
      <c r="J122" t="str">
        <f>IF($B122="","",IF(J$3=0,"n.b.",INDEX(SRC_ZPMW03!$A$1:$ZZ$501,$A122,J$3)))</f>
        <v/>
      </c>
      <c r="K122" t="str">
        <f>IF($B122="","",IF(K$3=0,"n.b.",INDEX(SRC_ZPMW03!$A$1:$ZZ$501,$A122,K$3)))</f>
        <v/>
      </c>
      <c r="L122" s="124" t="str">
        <f>IF($B122="","",IF(L$3=0,"n.b.",INDEX(SRC_ZPMW03!$A$1:$ZZ$501,$A122,L$3)))</f>
        <v/>
      </c>
      <c r="M122" s="124" t="str">
        <f>IF($B122="","",IF(M$3=0,"n.b.",INDEX(SRC_ZPMW03!$A$1:$ZZ$501,$A122,M$3)))</f>
        <v/>
      </c>
      <c r="N122" s="124" t="str">
        <f>IF($B122="","",IF(N$3=0,"n.b.",INDEX(SRC_ZPMW03!$A$1:$ZZ$501,$A122,N$3)))</f>
        <v/>
      </c>
      <c r="O122" s="124" t="str">
        <f>IF($B122="","",IF(O$3=0,"n.b.",INDEX(SRC_ZPMW03!$A$1:$ZZ$501,$A122,O$3)))</f>
        <v/>
      </c>
      <c r="P122" s="124" t="str">
        <f>IF($B122="","",IF(P$3=0,"n.b.",INDEX(SRC_ZPMW03!$A$1:$ZZ$501,$A122,P$3)))</f>
        <v/>
      </c>
      <c r="Q122" s="124" t="str">
        <f>IF($B122="","",IF(Q$3=0,"n.b.",INDEX(SRC_ZPMW03!$A$1:$ZZ$501,$A122,Q$3)))</f>
        <v/>
      </c>
      <c r="R122" s="124" t="str">
        <f>IF($B122="","",IF(R$3=0,"n.b.",INDEX(SRC_ZPMW03!$A$1:$ZZ$501,$A122,R$3)))</f>
        <v/>
      </c>
      <c r="S122" s="124" t="str">
        <f>IF($B122="","",IF(S$3=0,"n.b.",INDEX(SRC_ZPMW03!$A$1:$ZZ$501,$A122,S$3)))</f>
        <v/>
      </c>
      <c r="T122" s="124" t="str">
        <f>IF($B122="","",IF(T$3=0,"n.b.",INDEX(SRC_ZPMW03!$A$1:$ZZ$501,$A122,T$3)))</f>
        <v/>
      </c>
      <c r="U122" s="124" t="str">
        <f>IF($B122="","",IF(U$3=0,"n.b.",INDEX(SRC_ZPMW03!$A$1:$ZZ$501,$A122,U$3)))</f>
        <v/>
      </c>
      <c r="V122" s="124" t="str">
        <f>IF($B122="","",IF(V$3=0,"n.b.",INDEX(SRC_ZPMW03!$A$1:$ZZ$501,$A122,V$3)))</f>
        <v/>
      </c>
      <c r="W122" s="124" t="str">
        <f>IF($B122="","",IF(W$3=0,"n.b.",INDEX(SRC_ZPMW03!$A$1:$ZZ$501,$A122,W$3)))</f>
        <v/>
      </c>
      <c r="X122" s="124" t="str">
        <f>IF($B122="","",IF(X$3=0,"n.b.",INDEX(SRC_ZPMW03!$A$1:$ZZ$501,$A122,X$3)))</f>
        <v/>
      </c>
      <c r="Y122" s="124" t="str">
        <f>IF($B122="","",IF(Y$3=0,"n.b.",INDEX(SRC_ZPMW03!$A$1:$ZZ$501,$A122,Y$3)))</f>
        <v/>
      </c>
      <c r="Z122" s="124" t="str">
        <f>IF($B122="","",IF(Z$3=0,"n.b.",INDEX(SRC_ZPMW03!$A$1:$ZZ$501,$A122,Z$3)))</f>
        <v/>
      </c>
      <c r="AA122" s="124" t="str">
        <f>IF($B122="","",IF(AA$3=0,"n.b.",INDEX(SRC_ZPMW03!$A$1:$ZZ$501,$A122,AA$3)))</f>
        <v/>
      </c>
      <c r="AB122" s="124" t="str">
        <f>IF($B122="","",IF(AB$3=0,"n.b.",INDEX(SRC_ZPMW03!$A$1:$ZZ$501,$A122,AB$3)))</f>
        <v/>
      </c>
      <c r="AC122" s="124" t="str">
        <f>IF($B122="","",IF(AC$3=0,"n.b.",INDEX(SRC_ZPMW03!$A$1:$ZZ$501,$A122,AC$3)))</f>
        <v/>
      </c>
      <c r="AD122" s="124" t="str">
        <f>IF($B122="","",IF(AD$3=0,"n.b.",INDEX(SRC_ZPMW03!$A$1:$ZZ$501,$A122,AD$3)))</f>
        <v/>
      </c>
      <c r="AE122" s="124" t="str">
        <f>IF($B122="","",IF(AE$3=0,"n.b.",INDEX(SRC_ZPMW03!$A$1:$ZZ$501,$A122,AE$3)))</f>
        <v/>
      </c>
      <c r="AF122" s="124" t="str">
        <f>IF($B122="","",IF(AF$3=0,"n.b.",INDEX(SRC_ZPMW03!$A$1:$ZZ$501,$A122,AF$3)))</f>
        <v/>
      </c>
      <c r="AG122" s="124" t="str">
        <f>IF($B122="","",IF(AG$3=0,"n.b.",INDEX(SRC_ZPMW03!$A$1:$ZZ$501,$A122,AG$3)))</f>
        <v/>
      </c>
      <c r="AH122" s="124" t="str">
        <f>IF($B122="","",IF(AH$3=0,"n.b.",INDEX(SRC_ZPMW03!$A$1:$ZZ$501,$A122,AH$3)))</f>
        <v/>
      </c>
      <c r="AI122" s="124" t="str">
        <f>IF($B122="","",IF(AI$3=0,"n.b.",INDEX(SRC_ZPMW03!$A$1:$ZZ$501,$A122,AI$3)))</f>
        <v/>
      </c>
      <c r="AJ122" s="124" t="str">
        <f>IF($B122="","",IF(AJ$3=0,"n.b.",INDEX(SRC_ZPMW03!$A$1:$ZZ$501,$A122,AJ$3)))</f>
        <v/>
      </c>
      <c r="AK122" s="124" t="str">
        <f>IF($B122="","",IF(AK$3=0,"n.b.",INDEX(SRC_ZPMW03!$A$1:$ZZ$501,$A122,AK$3)))</f>
        <v/>
      </c>
      <c r="AL122" s="124" t="str">
        <f>IF($B122="","",IF(AL$3=0,"n.b.",INDEX(SRC_ZPMW03!$A$1:$ZZ$501,$A122,AL$3)))</f>
        <v/>
      </c>
      <c r="AM122" s="124" t="str">
        <f>IF($B122="","",IF(AM$3=0,"n.b.",INDEX(SRC_ZPMW03!$A$1:$ZZ$501,$A122,AM$3)))</f>
        <v/>
      </c>
      <c r="AN122" s="124" t="str">
        <f>IF($B122="","",IF(AN$3=0,"n.b.",INDEX(SRC_ZPMW03!$A$1:$ZZ$501,$A122,AN$3)))</f>
        <v/>
      </c>
      <c r="AO122" s="124" t="str">
        <f>IF($B122="","",IF(AO$3=0,"n.b.",INDEX(SRC_ZPMW03!$A$1:$ZZ$501,$A122,AO$3)))</f>
        <v/>
      </c>
      <c r="AP122" s="124" t="str">
        <f>IF($B122="","",IF(AP$3=0,"n.b.",INDEX(SRC_ZPMW03!$A$1:$ZZ$501,$A122,AP$3)))</f>
        <v/>
      </c>
      <c r="AQ122" s="124" t="str">
        <f>IF($B122="","",IF(AQ$3=0,"n.b.",INDEX(SRC_ZPMW03!$A$1:$ZZ$501,$A122,AQ$3)))</f>
        <v/>
      </c>
      <c r="AR122" s="124" t="str">
        <f>IF($B122="","",IF(AR$3=0,"n.b.",INDEX(SRC_ZPMW03!$A$1:$ZZ$501,$A122,AR$3)))</f>
        <v/>
      </c>
      <c r="AS122" s="124" t="str">
        <f>IF($B122="","",IF(AS$3=0,"n.b.",INDEX(SRC_ZPMW03!$A$1:$ZZ$501,$A122,AS$3)))</f>
        <v/>
      </c>
      <c r="AT122" s="124" t="str">
        <f>IF($B122="","",IF(AT$3=0,"n.b.",INDEX(SRC_ZPMW03!$A$1:$ZZ$501,$A122,AT$3)))</f>
        <v/>
      </c>
      <c r="AU122" s="124" t="str">
        <f>IF($B122="","",IF(AU$3=0,"n.b.",INDEX(SRC_ZPMW03!$A$1:$ZZ$501,$A122,AU$3)))</f>
        <v/>
      </c>
      <c r="AV122" s="124" t="str">
        <f>IF($B122="","",IF(AV$3=0,"n.b.",INDEX(SRC_ZPMW03!$A$1:$ZZ$501,$A122,AV$3)))</f>
        <v/>
      </c>
      <c r="AW122" s="124" t="str">
        <f>IF($B122="","",IF(AW$3=0,"n.b.",INDEX(SRC_ZPMW03!$A$1:$ZZ$501,$A122,AW$3)))</f>
        <v/>
      </c>
      <c r="AX122" s="124" t="str">
        <f>IF($B122="","",IF(AX$3=0,"n.b.",INDEX(SRC_ZPMW03!$A$1:$ZZ$501,$A122,AX$3)))</f>
        <v/>
      </c>
      <c r="AY122" s="124" t="str">
        <f>IF($B122="","",IF(AY$3=0,"n.b.",INDEX(SRC_ZPMW03!$A$1:$ZZ$501,$A122,AY$3)))</f>
        <v/>
      </c>
      <c r="AZ122" s="124" t="str">
        <f>IF($B122="","",IF(AZ$3=0,"n.b.",INDEX(SRC_ZPMW03!$A$1:$ZZ$501,$A122,AZ$3)))</f>
        <v/>
      </c>
      <c r="BA122" s="124" t="str">
        <f>IF($B122="","",IF(BA$3=0,"n.b.",INDEX(SRC_ZPMW03!$A$1:$ZZ$501,$A122,BA$3)))</f>
        <v/>
      </c>
      <c r="BB122" s="124" t="str">
        <f>IF($B122="","",IF(BB$3=0,"n.b.",INDEX(SRC_ZPMW03!$A$1:$ZZ$501,$A122,BB$3)))</f>
        <v/>
      </c>
      <c r="BC122" s="124" t="str">
        <f>IF($B122="","",IF(BC$3=0,"n.b.",INDEX(SRC_ZPMW03!$A$1:$ZZ$501,$A122,BC$3)))</f>
        <v/>
      </c>
      <c r="BD122" s="124" t="str">
        <f>IF($B122="","",IF(BD$3=0,"n.b.",INDEX(SRC_ZPMW03!$A$1:$ZZ$501,$A122,BD$3)))</f>
        <v/>
      </c>
      <c r="BE122" s="124" t="str">
        <f>IF($B122="","",IF(BE$3=0,"n.b.",INDEX(SRC_ZPMW03!$A$1:$ZZ$501,$A122,BE$3)))</f>
        <v/>
      </c>
      <c r="BF122" s="124" t="str">
        <f>IF($B122="","",IF(BF$3=0,"n.b.",INDEX(SRC_ZPMW03!$A$1:$ZZ$501,$A122,BF$3)))</f>
        <v/>
      </c>
      <c r="BG122" t="str">
        <f>IF($B122="","",IF(BG$3=0,"n.b.",INDEX(SRC_ZPMW03!$A$1:$ZZ$501,$A122,BG$3)))</f>
        <v/>
      </c>
      <c r="BH122" t="str">
        <f>IF($B122="","",IF(BH$3=0,"n.b.",INDEX(SRC_ZPMW03!$A$1:$ZZ$501,$A122,BH$3)))</f>
        <v/>
      </c>
      <c r="BI122" t="str">
        <f>IF($B122="","",IF(BI$3=0,"n.b.",INDEX(SRC_ZPMW03!$A$1:$ZZ$501,$A122,BI$3)))</f>
        <v/>
      </c>
      <c r="BJ122" t="str">
        <f>IF($B122="","",IF(BJ$3=0,"n.b.",INDEX(SRC_ZPMW03!$A$1:$ZZ$501,$A122,BJ$3)))</f>
        <v/>
      </c>
      <c r="BK122" s="124" t="str">
        <f>IF($B122="","",IFERROR(-O122,"n.b."))</f>
        <v/>
      </c>
      <c r="BL122" s="124" t="str">
        <f>IF($B122="","",IFERROR(-Q122,"n.b."))</f>
        <v/>
      </c>
      <c r="BM122" s="124" t="str">
        <f>IF($B122="","",IFERROR(-AB122,"n.b."))</f>
        <v/>
      </c>
      <c r="BN122" s="124" t="str">
        <f>IF($B122="","",IFERROR(-AD122,"n.b."))</f>
        <v/>
      </c>
      <c r="BO122" s="124" t="str">
        <f>IF($B122="","",IFERROR(BK122+BM122,"n.b."))</f>
        <v/>
      </c>
      <c r="BP122" s="124" t="str">
        <f>IF($B122="","",IFERROR(BL122+BN122,"n.b."))</f>
        <v/>
      </c>
      <c r="BQ122" s="124" t="str">
        <f>IF($B122="","",IFERROR(-AM122,"n.b."))</f>
        <v/>
      </c>
      <c r="BR122" s="124" t="str">
        <f>IF($B122="","",IFERROR(-AO122,"n.b."))</f>
        <v/>
      </c>
      <c r="BS122" s="124" t="str">
        <f>IF($B122="","",IFERROR(-Z122,"n.b."))</f>
        <v/>
      </c>
      <c r="BT122" s="124" t="str">
        <f>IF($B122="","",IFERROR(-AA122,"n.b."))</f>
        <v/>
      </c>
      <c r="BU122" s="124" t="str">
        <f>IF($B122="","",IFERROR(-AE122,"n.b."))</f>
        <v/>
      </c>
      <c r="BV122" s="124" t="str">
        <f>IF($B122="","",IFERROR(-AF122,"n.b."))</f>
        <v/>
      </c>
      <c r="BW122" s="124" t="str">
        <f>IF($B122="","",IFERROR(-AG122,"n.b."))</f>
        <v/>
      </c>
      <c r="BX122" s="124" t="str">
        <f>IF($B122="","",IFERROR(-AH122,"n.b."))</f>
        <v/>
      </c>
      <c r="BY122" s="124" t="str">
        <f>IF($B122="","",IFERROR(-AI122,"n.b."))</f>
        <v/>
      </c>
      <c r="BZ122" s="124" t="str">
        <f>IF($B122="","",IFERROR(-AJ122,"n.b."))</f>
        <v/>
      </c>
      <c r="CA122" s="124" t="str">
        <f>IF($B122="","",IFERROR(-AK122,"n.b."))</f>
        <v/>
      </c>
      <c r="CB122" s="124" t="str">
        <f>IF($B122="","",IFERROR(-AL122,"n.b."))</f>
        <v/>
      </c>
      <c r="CC122" s="124" t="str">
        <f>IF($B122="","",IFERROR(-AP122,"n.b."))</f>
        <v/>
      </c>
      <c r="CD122" s="124" t="str">
        <f>IF($B122="","",IFERROR(-AQ122,"n.b."))</f>
        <v/>
      </c>
      <c r="CE122" s="124" t="str">
        <f>IF($B122="","",IFERROR(-AR122,"n.b."))</f>
        <v/>
      </c>
      <c r="CF122" s="124" t="str">
        <f>IF($B122="","",IFERROR(-AS122,"n.b."))</f>
        <v/>
      </c>
      <c r="CG122" s="124" t="str">
        <f>IF($B122="","",IFERROR(-AT122,"n.b."))</f>
        <v/>
      </c>
      <c r="CH122" s="124" t="str">
        <f>IF($B122="","",IFERROR(-AU122,"n.b."))</f>
        <v/>
      </c>
      <c r="CI122" s="124" t="str">
        <f>IF($B122="","",IFERROR(-AV122,"n.b."))</f>
        <v/>
      </c>
      <c r="CJ122" s="124" t="str">
        <f>IF($B122="","",IFERROR(-AW122,"n.b."))</f>
        <v/>
      </c>
      <c r="CK122" s="124" t="str">
        <f>IF($B122="","",IFERROR(-AX122,"n.b."))</f>
        <v/>
      </c>
      <c r="CL122" s="124" t="str">
        <f>IF($B122="","",IFERROR(-AY122,"n.b."))</f>
        <v/>
      </c>
      <c r="CM122" s="124" t="str">
        <f>IF($B122="","",IFERROR(-AZ122,"n.b."))</f>
        <v/>
      </c>
      <c r="CN122" s="124" t="str">
        <f>IF($B122="","",IFERROR(-BA122,"n.b."))</f>
        <v/>
      </c>
      <c r="CO122" s="124" t="str">
        <f>IF($B122="","",IFERROR(-BB122,"n.b."))</f>
        <v/>
      </c>
      <c r="CP122" s="124" t="str">
        <f>IF($B122="","",IFERROR(-BC122,"n.b."))</f>
        <v/>
      </c>
      <c r="CQ122" s="124" t="str">
        <f>IF($B122="","",IFERROR(-BD122,"n.b."))</f>
        <v/>
      </c>
      <c r="CR122" s="124" t="str">
        <f>IF($B122="","",IFERROR(-BE122,"n.b."))</f>
        <v/>
      </c>
      <c r="CS122" s="124" t="str">
        <f>IF($B122="","",IFERROR(IF(OR(ABS(T122+V122+X122+Z122-AB122)&gt;P_Tol,ABS(U122+W122+Y122+AA122-AD122)&gt;P_Tol,ABS(AE122+AG122+AI122+AK122-AM122)&gt;P_Tol,ABS(AF122+AH122+AJ122+AL122-AO122)&gt;P_Tol),1,0),1))</f>
        <v/>
      </c>
      <c r="CT122" s="124" t="str">
        <f>IF($B122="","",IFERROR(IF(OR(ABS(AB122+AC122-AD122)&gt;P_Tol,ABS(AM122+AN122-AO122)&gt;P_Tol,ABS(O122+P122-Q122)&gt;P_Tol),1,0),1))</f>
        <v/>
      </c>
      <c r="CU122" s="124" t="str">
        <f>IF($B122="","",IFERROR(IF(ABS(R122-(AB122+AM122+AP122+AR122+AT122+AV122+AX122+AZ122+BB122+BD122))&gt;P_Tol,1,0),1))</f>
        <v/>
      </c>
      <c r="CV122" s="124" t="str">
        <f>IF($B122="","",IFERROR(IF(ABS(M122-(N122+O122+R122))&gt;P_Tol,1,0),1))</f>
        <v/>
      </c>
      <c r="CW122" s="124" t="str">
        <f>IF($B122="","",IF(COUNTIF(Mapping!$A$5:$A$104,B122)&gt;0,1,0))</f>
        <v/>
      </c>
      <c r="CX122" s="124" t="str">
        <f>IF($B122="","",COUNTIF($B$6:$B$505,B122))</f>
        <v/>
      </c>
      <c r="CY122" s="124" t="str">
        <f>IF($B122="","",COUNTIF(STG_Woningetalage!$B$6:$B$505,B122))</f>
        <v/>
      </c>
      <c r="CZ122" s="124" t="str">
        <f>IF($B122="","",IF(CW122=0,COUNTIF($CW$6:CW122,0),""))</f>
        <v/>
      </c>
    </row>
    <row r="123">
      <c r="A123" s="15" t="n">
        <v>119</v>
      </c>
      <c r="B123" t="str">
        <f>IF(B$3=0,"",IF(INDEX(SRC_ZPMW03!$A$1:$ZZ$501,$A123,B$3)&amp;""="","",INDEX(SRC_ZPMW03!$A$1:$ZZ$501,$A123,B$3)&amp;""))</f>
        <v/>
      </c>
      <c r="C123" t="str">
        <f>IF($B123="","",IF(C$3=0,"n.b.",INDEX(SRC_ZPMW03!$A$1:$ZZ$501,$A123,C$3)))</f>
        <v/>
      </c>
      <c r="D123" t="str">
        <f>IF($B123="","",IF(D$3=0,"n.b.",INDEX(SRC_ZPMW03!$A$1:$ZZ$501,$A123,D$3)))</f>
        <v/>
      </c>
      <c r="E123" t="str">
        <f>IF($B123="","",IF(E$3=0,"n.b.",INDEX(SRC_ZPMW03!$A$1:$ZZ$501,$A123,E$3)))</f>
        <v/>
      </c>
      <c r="F123" t="str">
        <f>IF($B123="","",IF(F$3=0,"n.b.",INDEX(SRC_ZPMW03!$A$1:$ZZ$501,$A123,F$3)))</f>
        <v/>
      </c>
      <c r="G123" t="str">
        <f>IF($B123="","",IF(G$3=0,"n.b.",INDEX(SRC_ZPMW03!$A$1:$ZZ$501,$A123,G$3)))</f>
        <v/>
      </c>
      <c r="H123" t="str">
        <f>IF($B123="","",IF(H$3=0,"n.b.",INDEX(SRC_ZPMW03!$A$1:$ZZ$501,$A123,H$3)))</f>
        <v/>
      </c>
      <c r="I123" t="str">
        <f>IF($B123="","",IF(I$3=0,"n.b.",INDEX(SRC_ZPMW03!$A$1:$ZZ$501,$A123,I$3)))</f>
        <v/>
      </c>
      <c r="J123" t="str">
        <f>IF($B123="","",IF(J$3=0,"n.b.",INDEX(SRC_ZPMW03!$A$1:$ZZ$501,$A123,J$3)))</f>
        <v/>
      </c>
      <c r="K123" t="str">
        <f>IF($B123="","",IF(K$3=0,"n.b.",INDEX(SRC_ZPMW03!$A$1:$ZZ$501,$A123,K$3)))</f>
        <v/>
      </c>
      <c r="L123" s="124" t="str">
        <f>IF($B123="","",IF(L$3=0,"n.b.",INDEX(SRC_ZPMW03!$A$1:$ZZ$501,$A123,L$3)))</f>
        <v/>
      </c>
      <c r="M123" s="124" t="str">
        <f>IF($B123="","",IF(M$3=0,"n.b.",INDEX(SRC_ZPMW03!$A$1:$ZZ$501,$A123,M$3)))</f>
        <v/>
      </c>
      <c r="N123" s="124" t="str">
        <f>IF($B123="","",IF(N$3=0,"n.b.",INDEX(SRC_ZPMW03!$A$1:$ZZ$501,$A123,N$3)))</f>
        <v/>
      </c>
      <c r="O123" s="124" t="str">
        <f>IF($B123="","",IF(O$3=0,"n.b.",INDEX(SRC_ZPMW03!$A$1:$ZZ$501,$A123,O$3)))</f>
        <v/>
      </c>
      <c r="P123" s="124" t="str">
        <f>IF($B123="","",IF(P$3=0,"n.b.",INDEX(SRC_ZPMW03!$A$1:$ZZ$501,$A123,P$3)))</f>
        <v/>
      </c>
      <c r="Q123" s="124" t="str">
        <f>IF($B123="","",IF(Q$3=0,"n.b.",INDEX(SRC_ZPMW03!$A$1:$ZZ$501,$A123,Q$3)))</f>
        <v/>
      </c>
      <c r="R123" s="124" t="str">
        <f>IF($B123="","",IF(R$3=0,"n.b.",INDEX(SRC_ZPMW03!$A$1:$ZZ$501,$A123,R$3)))</f>
        <v/>
      </c>
      <c r="S123" s="124" t="str">
        <f>IF($B123="","",IF(S$3=0,"n.b.",INDEX(SRC_ZPMW03!$A$1:$ZZ$501,$A123,S$3)))</f>
        <v/>
      </c>
      <c r="T123" s="124" t="str">
        <f>IF($B123="","",IF(T$3=0,"n.b.",INDEX(SRC_ZPMW03!$A$1:$ZZ$501,$A123,T$3)))</f>
        <v/>
      </c>
      <c r="U123" s="124" t="str">
        <f>IF($B123="","",IF(U$3=0,"n.b.",INDEX(SRC_ZPMW03!$A$1:$ZZ$501,$A123,U$3)))</f>
        <v/>
      </c>
      <c r="V123" s="124" t="str">
        <f>IF($B123="","",IF(V$3=0,"n.b.",INDEX(SRC_ZPMW03!$A$1:$ZZ$501,$A123,V$3)))</f>
        <v/>
      </c>
      <c r="W123" s="124" t="str">
        <f>IF($B123="","",IF(W$3=0,"n.b.",INDEX(SRC_ZPMW03!$A$1:$ZZ$501,$A123,W$3)))</f>
        <v/>
      </c>
      <c r="X123" s="124" t="str">
        <f>IF($B123="","",IF(X$3=0,"n.b.",INDEX(SRC_ZPMW03!$A$1:$ZZ$501,$A123,X$3)))</f>
        <v/>
      </c>
      <c r="Y123" s="124" t="str">
        <f>IF($B123="","",IF(Y$3=0,"n.b.",INDEX(SRC_ZPMW03!$A$1:$ZZ$501,$A123,Y$3)))</f>
        <v/>
      </c>
      <c r="Z123" s="124" t="str">
        <f>IF($B123="","",IF(Z$3=0,"n.b.",INDEX(SRC_ZPMW03!$A$1:$ZZ$501,$A123,Z$3)))</f>
        <v/>
      </c>
      <c r="AA123" s="124" t="str">
        <f>IF($B123="","",IF(AA$3=0,"n.b.",INDEX(SRC_ZPMW03!$A$1:$ZZ$501,$A123,AA$3)))</f>
        <v/>
      </c>
      <c r="AB123" s="124" t="str">
        <f>IF($B123="","",IF(AB$3=0,"n.b.",INDEX(SRC_ZPMW03!$A$1:$ZZ$501,$A123,AB$3)))</f>
        <v/>
      </c>
      <c r="AC123" s="124" t="str">
        <f>IF($B123="","",IF(AC$3=0,"n.b.",INDEX(SRC_ZPMW03!$A$1:$ZZ$501,$A123,AC$3)))</f>
        <v/>
      </c>
      <c r="AD123" s="124" t="str">
        <f>IF($B123="","",IF(AD$3=0,"n.b.",INDEX(SRC_ZPMW03!$A$1:$ZZ$501,$A123,AD$3)))</f>
        <v/>
      </c>
      <c r="AE123" s="124" t="str">
        <f>IF($B123="","",IF(AE$3=0,"n.b.",INDEX(SRC_ZPMW03!$A$1:$ZZ$501,$A123,AE$3)))</f>
        <v/>
      </c>
      <c r="AF123" s="124" t="str">
        <f>IF($B123="","",IF(AF$3=0,"n.b.",INDEX(SRC_ZPMW03!$A$1:$ZZ$501,$A123,AF$3)))</f>
        <v/>
      </c>
      <c r="AG123" s="124" t="str">
        <f>IF($B123="","",IF(AG$3=0,"n.b.",INDEX(SRC_ZPMW03!$A$1:$ZZ$501,$A123,AG$3)))</f>
        <v/>
      </c>
      <c r="AH123" s="124" t="str">
        <f>IF($B123="","",IF(AH$3=0,"n.b.",INDEX(SRC_ZPMW03!$A$1:$ZZ$501,$A123,AH$3)))</f>
        <v/>
      </c>
      <c r="AI123" s="124" t="str">
        <f>IF($B123="","",IF(AI$3=0,"n.b.",INDEX(SRC_ZPMW03!$A$1:$ZZ$501,$A123,AI$3)))</f>
        <v/>
      </c>
      <c r="AJ123" s="124" t="str">
        <f>IF($B123="","",IF(AJ$3=0,"n.b.",INDEX(SRC_ZPMW03!$A$1:$ZZ$501,$A123,AJ$3)))</f>
        <v/>
      </c>
      <c r="AK123" s="124" t="str">
        <f>IF($B123="","",IF(AK$3=0,"n.b.",INDEX(SRC_ZPMW03!$A$1:$ZZ$501,$A123,AK$3)))</f>
        <v/>
      </c>
      <c r="AL123" s="124" t="str">
        <f>IF($B123="","",IF(AL$3=0,"n.b.",INDEX(SRC_ZPMW03!$A$1:$ZZ$501,$A123,AL$3)))</f>
        <v/>
      </c>
      <c r="AM123" s="124" t="str">
        <f>IF($B123="","",IF(AM$3=0,"n.b.",INDEX(SRC_ZPMW03!$A$1:$ZZ$501,$A123,AM$3)))</f>
        <v/>
      </c>
      <c r="AN123" s="124" t="str">
        <f>IF($B123="","",IF(AN$3=0,"n.b.",INDEX(SRC_ZPMW03!$A$1:$ZZ$501,$A123,AN$3)))</f>
        <v/>
      </c>
      <c r="AO123" s="124" t="str">
        <f>IF($B123="","",IF(AO$3=0,"n.b.",INDEX(SRC_ZPMW03!$A$1:$ZZ$501,$A123,AO$3)))</f>
        <v/>
      </c>
      <c r="AP123" s="124" t="str">
        <f>IF($B123="","",IF(AP$3=0,"n.b.",INDEX(SRC_ZPMW03!$A$1:$ZZ$501,$A123,AP$3)))</f>
        <v/>
      </c>
      <c r="AQ123" s="124" t="str">
        <f>IF($B123="","",IF(AQ$3=0,"n.b.",INDEX(SRC_ZPMW03!$A$1:$ZZ$501,$A123,AQ$3)))</f>
        <v/>
      </c>
      <c r="AR123" s="124" t="str">
        <f>IF($B123="","",IF(AR$3=0,"n.b.",INDEX(SRC_ZPMW03!$A$1:$ZZ$501,$A123,AR$3)))</f>
        <v/>
      </c>
      <c r="AS123" s="124" t="str">
        <f>IF($B123="","",IF(AS$3=0,"n.b.",INDEX(SRC_ZPMW03!$A$1:$ZZ$501,$A123,AS$3)))</f>
        <v/>
      </c>
      <c r="AT123" s="124" t="str">
        <f>IF($B123="","",IF(AT$3=0,"n.b.",INDEX(SRC_ZPMW03!$A$1:$ZZ$501,$A123,AT$3)))</f>
        <v/>
      </c>
      <c r="AU123" s="124" t="str">
        <f>IF($B123="","",IF(AU$3=0,"n.b.",INDEX(SRC_ZPMW03!$A$1:$ZZ$501,$A123,AU$3)))</f>
        <v/>
      </c>
      <c r="AV123" s="124" t="str">
        <f>IF($B123="","",IF(AV$3=0,"n.b.",INDEX(SRC_ZPMW03!$A$1:$ZZ$501,$A123,AV$3)))</f>
        <v/>
      </c>
      <c r="AW123" s="124" t="str">
        <f>IF($B123="","",IF(AW$3=0,"n.b.",INDEX(SRC_ZPMW03!$A$1:$ZZ$501,$A123,AW$3)))</f>
        <v/>
      </c>
      <c r="AX123" s="124" t="str">
        <f>IF($B123="","",IF(AX$3=0,"n.b.",INDEX(SRC_ZPMW03!$A$1:$ZZ$501,$A123,AX$3)))</f>
        <v/>
      </c>
      <c r="AY123" s="124" t="str">
        <f>IF($B123="","",IF(AY$3=0,"n.b.",INDEX(SRC_ZPMW03!$A$1:$ZZ$501,$A123,AY$3)))</f>
        <v/>
      </c>
      <c r="AZ123" s="124" t="str">
        <f>IF($B123="","",IF(AZ$3=0,"n.b.",INDEX(SRC_ZPMW03!$A$1:$ZZ$501,$A123,AZ$3)))</f>
        <v/>
      </c>
      <c r="BA123" s="124" t="str">
        <f>IF($B123="","",IF(BA$3=0,"n.b.",INDEX(SRC_ZPMW03!$A$1:$ZZ$501,$A123,BA$3)))</f>
        <v/>
      </c>
      <c r="BB123" s="124" t="str">
        <f>IF($B123="","",IF(BB$3=0,"n.b.",INDEX(SRC_ZPMW03!$A$1:$ZZ$501,$A123,BB$3)))</f>
        <v/>
      </c>
      <c r="BC123" s="124" t="str">
        <f>IF($B123="","",IF(BC$3=0,"n.b.",INDEX(SRC_ZPMW03!$A$1:$ZZ$501,$A123,BC$3)))</f>
        <v/>
      </c>
      <c r="BD123" s="124" t="str">
        <f>IF($B123="","",IF(BD$3=0,"n.b.",INDEX(SRC_ZPMW03!$A$1:$ZZ$501,$A123,BD$3)))</f>
        <v/>
      </c>
      <c r="BE123" s="124" t="str">
        <f>IF($B123="","",IF(BE$3=0,"n.b.",INDEX(SRC_ZPMW03!$A$1:$ZZ$501,$A123,BE$3)))</f>
        <v/>
      </c>
      <c r="BF123" s="124" t="str">
        <f>IF($B123="","",IF(BF$3=0,"n.b.",INDEX(SRC_ZPMW03!$A$1:$ZZ$501,$A123,BF$3)))</f>
        <v/>
      </c>
      <c r="BG123" t="str">
        <f>IF($B123="","",IF(BG$3=0,"n.b.",INDEX(SRC_ZPMW03!$A$1:$ZZ$501,$A123,BG$3)))</f>
        <v/>
      </c>
      <c r="BH123" t="str">
        <f>IF($B123="","",IF(BH$3=0,"n.b.",INDEX(SRC_ZPMW03!$A$1:$ZZ$501,$A123,BH$3)))</f>
        <v/>
      </c>
      <c r="BI123" t="str">
        <f>IF($B123="","",IF(BI$3=0,"n.b.",INDEX(SRC_ZPMW03!$A$1:$ZZ$501,$A123,BI$3)))</f>
        <v/>
      </c>
      <c r="BJ123" t="str">
        <f>IF($B123="","",IF(BJ$3=0,"n.b.",INDEX(SRC_ZPMW03!$A$1:$ZZ$501,$A123,BJ$3)))</f>
        <v/>
      </c>
      <c r="BK123" s="124" t="str">
        <f>IF($B123="","",IFERROR(-O123,"n.b."))</f>
        <v/>
      </c>
      <c r="BL123" s="124" t="str">
        <f>IF($B123="","",IFERROR(-Q123,"n.b."))</f>
        <v/>
      </c>
      <c r="BM123" s="124" t="str">
        <f>IF($B123="","",IFERROR(-AB123,"n.b."))</f>
        <v/>
      </c>
      <c r="BN123" s="124" t="str">
        <f>IF($B123="","",IFERROR(-AD123,"n.b."))</f>
        <v/>
      </c>
      <c r="BO123" s="124" t="str">
        <f>IF($B123="","",IFERROR(BK123+BM123,"n.b."))</f>
        <v/>
      </c>
      <c r="BP123" s="124" t="str">
        <f>IF($B123="","",IFERROR(BL123+BN123,"n.b."))</f>
        <v/>
      </c>
      <c r="BQ123" s="124" t="str">
        <f>IF($B123="","",IFERROR(-AM123,"n.b."))</f>
        <v/>
      </c>
      <c r="BR123" s="124" t="str">
        <f>IF($B123="","",IFERROR(-AO123,"n.b."))</f>
        <v/>
      </c>
      <c r="BS123" s="124" t="str">
        <f>IF($B123="","",IFERROR(-Z123,"n.b."))</f>
        <v/>
      </c>
      <c r="BT123" s="124" t="str">
        <f>IF($B123="","",IFERROR(-AA123,"n.b."))</f>
        <v/>
      </c>
      <c r="BU123" s="124" t="str">
        <f>IF($B123="","",IFERROR(-AE123,"n.b."))</f>
        <v/>
      </c>
      <c r="BV123" s="124" t="str">
        <f>IF($B123="","",IFERROR(-AF123,"n.b."))</f>
        <v/>
      </c>
      <c r="BW123" s="124" t="str">
        <f>IF($B123="","",IFERROR(-AG123,"n.b."))</f>
        <v/>
      </c>
      <c r="BX123" s="124" t="str">
        <f>IF($B123="","",IFERROR(-AH123,"n.b."))</f>
        <v/>
      </c>
      <c r="BY123" s="124" t="str">
        <f>IF($B123="","",IFERROR(-AI123,"n.b."))</f>
        <v/>
      </c>
      <c r="BZ123" s="124" t="str">
        <f>IF($B123="","",IFERROR(-AJ123,"n.b."))</f>
        <v/>
      </c>
      <c r="CA123" s="124" t="str">
        <f>IF($B123="","",IFERROR(-AK123,"n.b."))</f>
        <v/>
      </c>
      <c r="CB123" s="124" t="str">
        <f>IF($B123="","",IFERROR(-AL123,"n.b."))</f>
        <v/>
      </c>
      <c r="CC123" s="124" t="str">
        <f>IF($B123="","",IFERROR(-AP123,"n.b."))</f>
        <v/>
      </c>
      <c r="CD123" s="124" t="str">
        <f>IF($B123="","",IFERROR(-AQ123,"n.b."))</f>
        <v/>
      </c>
      <c r="CE123" s="124" t="str">
        <f>IF($B123="","",IFERROR(-AR123,"n.b."))</f>
        <v/>
      </c>
      <c r="CF123" s="124" t="str">
        <f>IF($B123="","",IFERROR(-AS123,"n.b."))</f>
        <v/>
      </c>
      <c r="CG123" s="124" t="str">
        <f>IF($B123="","",IFERROR(-AT123,"n.b."))</f>
        <v/>
      </c>
      <c r="CH123" s="124" t="str">
        <f>IF($B123="","",IFERROR(-AU123,"n.b."))</f>
        <v/>
      </c>
      <c r="CI123" s="124" t="str">
        <f>IF($B123="","",IFERROR(-AV123,"n.b."))</f>
        <v/>
      </c>
      <c r="CJ123" s="124" t="str">
        <f>IF($B123="","",IFERROR(-AW123,"n.b."))</f>
        <v/>
      </c>
      <c r="CK123" s="124" t="str">
        <f>IF($B123="","",IFERROR(-AX123,"n.b."))</f>
        <v/>
      </c>
      <c r="CL123" s="124" t="str">
        <f>IF($B123="","",IFERROR(-AY123,"n.b."))</f>
        <v/>
      </c>
      <c r="CM123" s="124" t="str">
        <f>IF($B123="","",IFERROR(-AZ123,"n.b."))</f>
        <v/>
      </c>
      <c r="CN123" s="124" t="str">
        <f>IF($B123="","",IFERROR(-BA123,"n.b."))</f>
        <v/>
      </c>
      <c r="CO123" s="124" t="str">
        <f>IF($B123="","",IFERROR(-BB123,"n.b."))</f>
        <v/>
      </c>
      <c r="CP123" s="124" t="str">
        <f>IF($B123="","",IFERROR(-BC123,"n.b."))</f>
        <v/>
      </c>
      <c r="CQ123" s="124" t="str">
        <f>IF($B123="","",IFERROR(-BD123,"n.b."))</f>
        <v/>
      </c>
      <c r="CR123" s="124" t="str">
        <f>IF($B123="","",IFERROR(-BE123,"n.b."))</f>
        <v/>
      </c>
      <c r="CS123" s="124" t="str">
        <f>IF($B123="","",IFERROR(IF(OR(ABS(T123+V123+X123+Z123-AB123)&gt;P_Tol,ABS(U123+W123+Y123+AA123-AD123)&gt;P_Tol,ABS(AE123+AG123+AI123+AK123-AM123)&gt;P_Tol,ABS(AF123+AH123+AJ123+AL123-AO123)&gt;P_Tol),1,0),1))</f>
        <v/>
      </c>
      <c r="CT123" s="124" t="str">
        <f>IF($B123="","",IFERROR(IF(OR(ABS(AB123+AC123-AD123)&gt;P_Tol,ABS(AM123+AN123-AO123)&gt;P_Tol,ABS(O123+P123-Q123)&gt;P_Tol),1,0),1))</f>
        <v/>
      </c>
      <c r="CU123" s="124" t="str">
        <f>IF($B123="","",IFERROR(IF(ABS(R123-(AB123+AM123+AP123+AR123+AT123+AV123+AX123+AZ123+BB123+BD123))&gt;P_Tol,1,0),1))</f>
        <v/>
      </c>
      <c r="CV123" s="124" t="str">
        <f>IF($B123="","",IFERROR(IF(ABS(M123-(N123+O123+R123))&gt;P_Tol,1,0),1))</f>
        <v/>
      </c>
      <c r="CW123" s="124" t="str">
        <f>IF($B123="","",IF(COUNTIF(Mapping!$A$5:$A$104,B123)&gt;0,1,0))</f>
        <v/>
      </c>
      <c r="CX123" s="124" t="str">
        <f>IF($B123="","",COUNTIF($B$6:$B$505,B123))</f>
        <v/>
      </c>
      <c r="CY123" s="124" t="str">
        <f>IF($B123="","",COUNTIF(STG_Woningetalage!$B$6:$B$505,B123))</f>
        <v/>
      </c>
      <c r="CZ123" s="124" t="str">
        <f>IF($B123="","",IF(CW123=0,COUNTIF($CW$6:CW123,0),""))</f>
        <v/>
      </c>
    </row>
    <row r="124">
      <c r="A124" s="15" t="n">
        <v>120</v>
      </c>
      <c r="B124" t="str">
        <f>IF(B$3=0,"",IF(INDEX(SRC_ZPMW03!$A$1:$ZZ$501,$A124,B$3)&amp;""="","",INDEX(SRC_ZPMW03!$A$1:$ZZ$501,$A124,B$3)&amp;""))</f>
        <v/>
      </c>
      <c r="C124" t="str">
        <f>IF($B124="","",IF(C$3=0,"n.b.",INDEX(SRC_ZPMW03!$A$1:$ZZ$501,$A124,C$3)))</f>
        <v/>
      </c>
      <c r="D124" t="str">
        <f>IF($B124="","",IF(D$3=0,"n.b.",INDEX(SRC_ZPMW03!$A$1:$ZZ$501,$A124,D$3)))</f>
        <v/>
      </c>
      <c r="E124" t="str">
        <f>IF($B124="","",IF(E$3=0,"n.b.",INDEX(SRC_ZPMW03!$A$1:$ZZ$501,$A124,E$3)))</f>
        <v/>
      </c>
      <c r="F124" t="str">
        <f>IF($B124="","",IF(F$3=0,"n.b.",INDEX(SRC_ZPMW03!$A$1:$ZZ$501,$A124,F$3)))</f>
        <v/>
      </c>
      <c r="G124" t="str">
        <f>IF($B124="","",IF(G$3=0,"n.b.",INDEX(SRC_ZPMW03!$A$1:$ZZ$501,$A124,G$3)))</f>
        <v/>
      </c>
      <c r="H124" t="str">
        <f>IF($B124="","",IF(H$3=0,"n.b.",INDEX(SRC_ZPMW03!$A$1:$ZZ$501,$A124,H$3)))</f>
        <v/>
      </c>
      <c r="I124" t="str">
        <f>IF($B124="","",IF(I$3=0,"n.b.",INDEX(SRC_ZPMW03!$A$1:$ZZ$501,$A124,I$3)))</f>
        <v/>
      </c>
      <c r="J124" t="str">
        <f>IF($B124="","",IF(J$3=0,"n.b.",INDEX(SRC_ZPMW03!$A$1:$ZZ$501,$A124,J$3)))</f>
        <v/>
      </c>
      <c r="K124" t="str">
        <f>IF($B124="","",IF(K$3=0,"n.b.",INDEX(SRC_ZPMW03!$A$1:$ZZ$501,$A124,K$3)))</f>
        <v/>
      </c>
      <c r="L124" s="124" t="str">
        <f>IF($B124="","",IF(L$3=0,"n.b.",INDEX(SRC_ZPMW03!$A$1:$ZZ$501,$A124,L$3)))</f>
        <v/>
      </c>
      <c r="M124" s="124" t="str">
        <f>IF($B124="","",IF(M$3=0,"n.b.",INDEX(SRC_ZPMW03!$A$1:$ZZ$501,$A124,M$3)))</f>
        <v/>
      </c>
      <c r="N124" s="124" t="str">
        <f>IF($B124="","",IF(N$3=0,"n.b.",INDEX(SRC_ZPMW03!$A$1:$ZZ$501,$A124,N$3)))</f>
        <v/>
      </c>
      <c r="O124" s="124" t="str">
        <f>IF($B124="","",IF(O$3=0,"n.b.",INDEX(SRC_ZPMW03!$A$1:$ZZ$501,$A124,O$3)))</f>
        <v/>
      </c>
      <c r="P124" s="124" t="str">
        <f>IF($B124="","",IF(P$3=0,"n.b.",INDEX(SRC_ZPMW03!$A$1:$ZZ$501,$A124,P$3)))</f>
        <v/>
      </c>
      <c r="Q124" s="124" t="str">
        <f>IF($B124="","",IF(Q$3=0,"n.b.",INDEX(SRC_ZPMW03!$A$1:$ZZ$501,$A124,Q$3)))</f>
        <v/>
      </c>
      <c r="R124" s="124" t="str">
        <f>IF($B124="","",IF(R$3=0,"n.b.",INDEX(SRC_ZPMW03!$A$1:$ZZ$501,$A124,R$3)))</f>
        <v/>
      </c>
      <c r="S124" s="124" t="str">
        <f>IF($B124="","",IF(S$3=0,"n.b.",INDEX(SRC_ZPMW03!$A$1:$ZZ$501,$A124,S$3)))</f>
        <v/>
      </c>
      <c r="T124" s="124" t="str">
        <f>IF($B124="","",IF(T$3=0,"n.b.",INDEX(SRC_ZPMW03!$A$1:$ZZ$501,$A124,T$3)))</f>
        <v/>
      </c>
      <c r="U124" s="124" t="str">
        <f>IF($B124="","",IF(U$3=0,"n.b.",INDEX(SRC_ZPMW03!$A$1:$ZZ$501,$A124,U$3)))</f>
        <v/>
      </c>
      <c r="V124" s="124" t="str">
        <f>IF($B124="","",IF(V$3=0,"n.b.",INDEX(SRC_ZPMW03!$A$1:$ZZ$501,$A124,V$3)))</f>
        <v/>
      </c>
      <c r="W124" s="124" t="str">
        <f>IF($B124="","",IF(W$3=0,"n.b.",INDEX(SRC_ZPMW03!$A$1:$ZZ$501,$A124,W$3)))</f>
        <v/>
      </c>
      <c r="X124" s="124" t="str">
        <f>IF($B124="","",IF(X$3=0,"n.b.",INDEX(SRC_ZPMW03!$A$1:$ZZ$501,$A124,X$3)))</f>
        <v/>
      </c>
      <c r="Y124" s="124" t="str">
        <f>IF($B124="","",IF(Y$3=0,"n.b.",INDEX(SRC_ZPMW03!$A$1:$ZZ$501,$A124,Y$3)))</f>
        <v/>
      </c>
      <c r="Z124" s="124" t="str">
        <f>IF($B124="","",IF(Z$3=0,"n.b.",INDEX(SRC_ZPMW03!$A$1:$ZZ$501,$A124,Z$3)))</f>
        <v/>
      </c>
      <c r="AA124" s="124" t="str">
        <f>IF($B124="","",IF(AA$3=0,"n.b.",INDEX(SRC_ZPMW03!$A$1:$ZZ$501,$A124,AA$3)))</f>
        <v/>
      </c>
      <c r="AB124" s="124" t="str">
        <f>IF($B124="","",IF(AB$3=0,"n.b.",INDEX(SRC_ZPMW03!$A$1:$ZZ$501,$A124,AB$3)))</f>
        <v/>
      </c>
      <c r="AC124" s="124" t="str">
        <f>IF($B124="","",IF(AC$3=0,"n.b.",INDEX(SRC_ZPMW03!$A$1:$ZZ$501,$A124,AC$3)))</f>
        <v/>
      </c>
      <c r="AD124" s="124" t="str">
        <f>IF($B124="","",IF(AD$3=0,"n.b.",INDEX(SRC_ZPMW03!$A$1:$ZZ$501,$A124,AD$3)))</f>
        <v/>
      </c>
      <c r="AE124" s="124" t="str">
        <f>IF($B124="","",IF(AE$3=0,"n.b.",INDEX(SRC_ZPMW03!$A$1:$ZZ$501,$A124,AE$3)))</f>
        <v/>
      </c>
      <c r="AF124" s="124" t="str">
        <f>IF($B124="","",IF(AF$3=0,"n.b.",INDEX(SRC_ZPMW03!$A$1:$ZZ$501,$A124,AF$3)))</f>
        <v/>
      </c>
      <c r="AG124" s="124" t="str">
        <f>IF($B124="","",IF(AG$3=0,"n.b.",INDEX(SRC_ZPMW03!$A$1:$ZZ$501,$A124,AG$3)))</f>
        <v/>
      </c>
      <c r="AH124" s="124" t="str">
        <f>IF($B124="","",IF(AH$3=0,"n.b.",INDEX(SRC_ZPMW03!$A$1:$ZZ$501,$A124,AH$3)))</f>
        <v/>
      </c>
      <c r="AI124" s="124" t="str">
        <f>IF($B124="","",IF(AI$3=0,"n.b.",INDEX(SRC_ZPMW03!$A$1:$ZZ$501,$A124,AI$3)))</f>
        <v/>
      </c>
      <c r="AJ124" s="124" t="str">
        <f>IF($B124="","",IF(AJ$3=0,"n.b.",INDEX(SRC_ZPMW03!$A$1:$ZZ$501,$A124,AJ$3)))</f>
        <v/>
      </c>
      <c r="AK124" s="124" t="str">
        <f>IF($B124="","",IF(AK$3=0,"n.b.",INDEX(SRC_ZPMW03!$A$1:$ZZ$501,$A124,AK$3)))</f>
        <v/>
      </c>
      <c r="AL124" s="124" t="str">
        <f>IF($B124="","",IF(AL$3=0,"n.b.",INDEX(SRC_ZPMW03!$A$1:$ZZ$501,$A124,AL$3)))</f>
        <v/>
      </c>
      <c r="AM124" s="124" t="str">
        <f>IF($B124="","",IF(AM$3=0,"n.b.",INDEX(SRC_ZPMW03!$A$1:$ZZ$501,$A124,AM$3)))</f>
        <v/>
      </c>
      <c r="AN124" s="124" t="str">
        <f>IF($B124="","",IF(AN$3=0,"n.b.",INDEX(SRC_ZPMW03!$A$1:$ZZ$501,$A124,AN$3)))</f>
        <v/>
      </c>
      <c r="AO124" s="124" t="str">
        <f>IF($B124="","",IF(AO$3=0,"n.b.",INDEX(SRC_ZPMW03!$A$1:$ZZ$501,$A124,AO$3)))</f>
        <v/>
      </c>
      <c r="AP124" s="124" t="str">
        <f>IF($B124="","",IF(AP$3=0,"n.b.",INDEX(SRC_ZPMW03!$A$1:$ZZ$501,$A124,AP$3)))</f>
        <v/>
      </c>
      <c r="AQ124" s="124" t="str">
        <f>IF($B124="","",IF(AQ$3=0,"n.b.",INDEX(SRC_ZPMW03!$A$1:$ZZ$501,$A124,AQ$3)))</f>
        <v/>
      </c>
      <c r="AR124" s="124" t="str">
        <f>IF($B124="","",IF(AR$3=0,"n.b.",INDEX(SRC_ZPMW03!$A$1:$ZZ$501,$A124,AR$3)))</f>
        <v/>
      </c>
      <c r="AS124" s="124" t="str">
        <f>IF($B124="","",IF(AS$3=0,"n.b.",INDEX(SRC_ZPMW03!$A$1:$ZZ$501,$A124,AS$3)))</f>
        <v/>
      </c>
      <c r="AT124" s="124" t="str">
        <f>IF($B124="","",IF(AT$3=0,"n.b.",INDEX(SRC_ZPMW03!$A$1:$ZZ$501,$A124,AT$3)))</f>
        <v/>
      </c>
      <c r="AU124" s="124" t="str">
        <f>IF($B124="","",IF(AU$3=0,"n.b.",INDEX(SRC_ZPMW03!$A$1:$ZZ$501,$A124,AU$3)))</f>
        <v/>
      </c>
      <c r="AV124" s="124" t="str">
        <f>IF($B124="","",IF(AV$3=0,"n.b.",INDEX(SRC_ZPMW03!$A$1:$ZZ$501,$A124,AV$3)))</f>
        <v/>
      </c>
      <c r="AW124" s="124" t="str">
        <f>IF($B124="","",IF(AW$3=0,"n.b.",INDEX(SRC_ZPMW03!$A$1:$ZZ$501,$A124,AW$3)))</f>
        <v/>
      </c>
      <c r="AX124" s="124" t="str">
        <f>IF($B124="","",IF(AX$3=0,"n.b.",INDEX(SRC_ZPMW03!$A$1:$ZZ$501,$A124,AX$3)))</f>
        <v/>
      </c>
      <c r="AY124" s="124" t="str">
        <f>IF($B124="","",IF(AY$3=0,"n.b.",INDEX(SRC_ZPMW03!$A$1:$ZZ$501,$A124,AY$3)))</f>
        <v/>
      </c>
      <c r="AZ124" s="124" t="str">
        <f>IF($B124="","",IF(AZ$3=0,"n.b.",INDEX(SRC_ZPMW03!$A$1:$ZZ$501,$A124,AZ$3)))</f>
        <v/>
      </c>
      <c r="BA124" s="124" t="str">
        <f>IF($B124="","",IF(BA$3=0,"n.b.",INDEX(SRC_ZPMW03!$A$1:$ZZ$501,$A124,BA$3)))</f>
        <v/>
      </c>
      <c r="BB124" s="124" t="str">
        <f>IF($B124="","",IF(BB$3=0,"n.b.",INDEX(SRC_ZPMW03!$A$1:$ZZ$501,$A124,BB$3)))</f>
        <v/>
      </c>
      <c r="BC124" s="124" t="str">
        <f>IF($B124="","",IF(BC$3=0,"n.b.",INDEX(SRC_ZPMW03!$A$1:$ZZ$501,$A124,BC$3)))</f>
        <v/>
      </c>
      <c r="BD124" s="124" t="str">
        <f>IF($B124="","",IF(BD$3=0,"n.b.",INDEX(SRC_ZPMW03!$A$1:$ZZ$501,$A124,BD$3)))</f>
        <v/>
      </c>
      <c r="BE124" s="124" t="str">
        <f>IF($B124="","",IF(BE$3=0,"n.b.",INDEX(SRC_ZPMW03!$A$1:$ZZ$501,$A124,BE$3)))</f>
        <v/>
      </c>
      <c r="BF124" s="124" t="str">
        <f>IF($B124="","",IF(BF$3=0,"n.b.",INDEX(SRC_ZPMW03!$A$1:$ZZ$501,$A124,BF$3)))</f>
        <v/>
      </c>
      <c r="BG124" t="str">
        <f>IF($B124="","",IF(BG$3=0,"n.b.",INDEX(SRC_ZPMW03!$A$1:$ZZ$501,$A124,BG$3)))</f>
        <v/>
      </c>
      <c r="BH124" t="str">
        <f>IF($B124="","",IF(BH$3=0,"n.b.",INDEX(SRC_ZPMW03!$A$1:$ZZ$501,$A124,BH$3)))</f>
        <v/>
      </c>
      <c r="BI124" t="str">
        <f>IF($B124="","",IF(BI$3=0,"n.b.",INDEX(SRC_ZPMW03!$A$1:$ZZ$501,$A124,BI$3)))</f>
        <v/>
      </c>
      <c r="BJ124" t="str">
        <f>IF($B124="","",IF(BJ$3=0,"n.b.",INDEX(SRC_ZPMW03!$A$1:$ZZ$501,$A124,BJ$3)))</f>
        <v/>
      </c>
      <c r="BK124" s="124" t="str">
        <f>IF($B124="","",IFERROR(-O124,"n.b."))</f>
        <v/>
      </c>
      <c r="BL124" s="124" t="str">
        <f>IF($B124="","",IFERROR(-Q124,"n.b."))</f>
        <v/>
      </c>
      <c r="BM124" s="124" t="str">
        <f>IF($B124="","",IFERROR(-AB124,"n.b."))</f>
        <v/>
      </c>
      <c r="BN124" s="124" t="str">
        <f>IF($B124="","",IFERROR(-AD124,"n.b."))</f>
        <v/>
      </c>
      <c r="BO124" s="124" t="str">
        <f>IF($B124="","",IFERROR(BK124+BM124,"n.b."))</f>
        <v/>
      </c>
      <c r="BP124" s="124" t="str">
        <f>IF($B124="","",IFERROR(BL124+BN124,"n.b."))</f>
        <v/>
      </c>
      <c r="BQ124" s="124" t="str">
        <f>IF($B124="","",IFERROR(-AM124,"n.b."))</f>
        <v/>
      </c>
      <c r="BR124" s="124" t="str">
        <f>IF($B124="","",IFERROR(-AO124,"n.b."))</f>
        <v/>
      </c>
      <c r="BS124" s="124" t="str">
        <f>IF($B124="","",IFERROR(-Z124,"n.b."))</f>
        <v/>
      </c>
      <c r="BT124" s="124" t="str">
        <f>IF($B124="","",IFERROR(-AA124,"n.b."))</f>
        <v/>
      </c>
      <c r="BU124" s="124" t="str">
        <f>IF($B124="","",IFERROR(-AE124,"n.b."))</f>
        <v/>
      </c>
      <c r="BV124" s="124" t="str">
        <f>IF($B124="","",IFERROR(-AF124,"n.b."))</f>
        <v/>
      </c>
      <c r="BW124" s="124" t="str">
        <f>IF($B124="","",IFERROR(-AG124,"n.b."))</f>
        <v/>
      </c>
      <c r="BX124" s="124" t="str">
        <f>IF($B124="","",IFERROR(-AH124,"n.b."))</f>
        <v/>
      </c>
      <c r="BY124" s="124" t="str">
        <f>IF($B124="","",IFERROR(-AI124,"n.b."))</f>
        <v/>
      </c>
      <c r="BZ124" s="124" t="str">
        <f>IF($B124="","",IFERROR(-AJ124,"n.b."))</f>
        <v/>
      </c>
      <c r="CA124" s="124" t="str">
        <f>IF($B124="","",IFERROR(-AK124,"n.b."))</f>
        <v/>
      </c>
      <c r="CB124" s="124" t="str">
        <f>IF($B124="","",IFERROR(-AL124,"n.b."))</f>
        <v/>
      </c>
      <c r="CC124" s="124" t="str">
        <f>IF($B124="","",IFERROR(-AP124,"n.b."))</f>
        <v/>
      </c>
      <c r="CD124" s="124" t="str">
        <f>IF($B124="","",IFERROR(-AQ124,"n.b."))</f>
        <v/>
      </c>
      <c r="CE124" s="124" t="str">
        <f>IF($B124="","",IFERROR(-AR124,"n.b."))</f>
        <v/>
      </c>
      <c r="CF124" s="124" t="str">
        <f>IF($B124="","",IFERROR(-AS124,"n.b."))</f>
        <v/>
      </c>
      <c r="CG124" s="124" t="str">
        <f>IF($B124="","",IFERROR(-AT124,"n.b."))</f>
        <v/>
      </c>
      <c r="CH124" s="124" t="str">
        <f>IF($B124="","",IFERROR(-AU124,"n.b."))</f>
        <v/>
      </c>
      <c r="CI124" s="124" t="str">
        <f>IF($B124="","",IFERROR(-AV124,"n.b."))</f>
        <v/>
      </c>
      <c r="CJ124" s="124" t="str">
        <f>IF($B124="","",IFERROR(-AW124,"n.b."))</f>
        <v/>
      </c>
      <c r="CK124" s="124" t="str">
        <f>IF($B124="","",IFERROR(-AX124,"n.b."))</f>
        <v/>
      </c>
      <c r="CL124" s="124" t="str">
        <f>IF($B124="","",IFERROR(-AY124,"n.b."))</f>
        <v/>
      </c>
      <c r="CM124" s="124" t="str">
        <f>IF($B124="","",IFERROR(-AZ124,"n.b."))</f>
        <v/>
      </c>
      <c r="CN124" s="124" t="str">
        <f>IF($B124="","",IFERROR(-BA124,"n.b."))</f>
        <v/>
      </c>
      <c r="CO124" s="124" t="str">
        <f>IF($B124="","",IFERROR(-BB124,"n.b."))</f>
        <v/>
      </c>
      <c r="CP124" s="124" t="str">
        <f>IF($B124="","",IFERROR(-BC124,"n.b."))</f>
        <v/>
      </c>
      <c r="CQ124" s="124" t="str">
        <f>IF($B124="","",IFERROR(-BD124,"n.b."))</f>
        <v/>
      </c>
      <c r="CR124" s="124" t="str">
        <f>IF($B124="","",IFERROR(-BE124,"n.b."))</f>
        <v/>
      </c>
      <c r="CS124" s="124" t="str">
        <f>IF($B124="","",IFERROR(IF(OR(ABS(T124+V124+X124+Z124-AB124)&gt;P_Tol,ABS(U124+W124+Y124+AA124-AD124)&gt;P_Tol,ABS(AE124+AG124+AI124+AK124-AM124)&gt;P_Tol,ABS(AF124+AH124+AJ124+AL124-AO124)&gt;P_Tol),1,0),1))</f>
        <v/>
      </c>
      <c r="CT124" s="124" t="str">
        <f>IF($B124="","",IFERROR(IF(OR(ABS(AB124+AC124-AD124)&gt;P_Tol,ABS(AM124+AN124-AO124)&gt;P_Tol,ABS(O124+P124-Q124)&gt;P_Tol),1,0),1))</f>
        <v/>
      </c>
      <c r="CU124" s="124" t="str">
        <f>IF($B124="","",IFERROR(IF(ABS(R124-(AB124+AM124+AP124+AR124+AT124+AV124+AX124+AZ124+BB124+BD124))&gt;P_Tol,1,0),1))</f>
        <v/>
      </c>
      <c r="CV124" s="124" t="str">
        <f>IF($B124="","",IFERROR(IF(ABS(M124-(N124+O124+R124))&gt;P_Tol,1,0),1))</f>
        <v/>
      </c>
      <c r="CW124" s="124" t="str">
        <f>IF($B124="","",IF(COUNTIF(Mapping!$A$5:$A$104,B124)&gt;0,1,0))</f>
        <v/>
      </c>
      <c r="CX124" s="124" t="str">
        <f>IF($B124="","",COUNTIF($B$6:$B$505,B124))</f>
        <v/>
      </c>
      <c r="CY124" s="124" t="str">
        <f>IF($B124="","",COUNTIF(STG_Woningetalage!$B$6:$B$505,B124))</f>
        <v/>
      </c>
      <c r="CZ124" s="124" t="str">
        <f>IF($B124="","",IF(CW124=0,COUNTIF($CW$6:CW124,0),""))</f>
        <v/>
      </c>
    </row>
    <row r="125">
      <c r="A125" s="15" t="n">
        <v>121</v>
      </c>
      <c r="B125" t="str">
        <f>IF(B$3=0,"",IF(INDEX(SRC_ZPMW03!$A$1:$ZZ$501,$A125,B$3)&amp;""="","",INDEX(SRC_ZPMW03!$A$1:$ZZ$501,$A125,B$3)&amp;""))</f>
        <v/>
      </c>
      <c r="C125" t="str">
        <f>IF($B125="","",IF(C$3=0,"n.b.",INDEX(SRC_ZPMW03!$A$1:$ZZ$501,$A125,C$3)))</f>
        <v/>
      </c>
      <c r="D125" t="str">
        <f>IF($B125="","",IF(D$3=0,"n.b.",INDEX(SRC_ZPMW03!$A$1:$ZZ$501,$A125,D$3)))</f>
        <v/>
      </c>
      <c r="E125" t="str">
        <f>IF($B125="","",IF(E$3=0,"n.b.",INDEX(SRC_ZPMW03!$A$1:$ZZ$501,$A125,E$3)))</f>
        <v/>
      </c>
      <c r="F125" t="str">
        <f>IF($B125="","",IF(F$3=0,"n.b.",INDEX(SRC_ZPMW03!$A$1:$ZZ$501,$A125,F$3)))</f>
        <v/>
      </c>
      <c r="G125" t="str">
        <f>IF($B125="","",IF(G$3=0,"n.b.",INDEX(SRC_ZPMW03!$A$1:$ZZ$501,$A125,G$3)))</f>
        <v/>
      </c>
      <c r="H125" t="str">
        <f>IF($B125="","",IF(H$3=0,"n.b.",INDEX(SRC_ZPMW03!$A$1:$ZZ$501,$A125,H$3)))</f>
        <v/>
      </c>
      <c r="I125" t="str">
        <f>IF($B125="","",IF(I$3=0,"n.b.",INDEX(SRC_ZPMW03!$A$1:$ZZ$501,$A125,I$3)))</f>
        <v/>
      </c>
      <c r="J125" t="str">
        <f>IF($B125="","",IF(J$3=0,"n.b.",INDEX(SRC_ZPMW03!$A$1:$ZZ$501,$A125,J$3)))</f>
        <v/>
      </c>
      <c r="K125" t="str">
        <f>IF($B125="","",IF(K$3=0,"n.b.",INDEX(SRC_ZPMW03!$A$1:$ZZ$501,$A125,K$3)))</f>
        <v/>
      </c>
      <c r="L125" s="124" t="str">
        <f>IF($B125="","",IF(L$3=0,"n.b.",INDEX(SRC_ZPMW03!$A$1:$ZZ$501,$A125,L$3)))</f>
        <v/>
      </c>
      <c r="M125" s="124" t="str">
        <f>IF($B125="","",IF(M$3=0,"n.b.",INDEX(SRC_ZPMW03!$A$1:$ZZ$501,$A125,M$3)))</f>
        <v/>
      </c>
      <c r="N125" s="124" t="str">
        <f>IF($B125="","",IF(N$3=0,"n.b.",INDEX(SRC_ZPMW03!$A$1:$ZZ$501,$A125,N$3)))</f>
        <v/>
      </c>
      <c r="O125" s="124" t="str">
        <f>IF($B125="","",IF(O$3=0,"n.b.",INDEX(SRC_ZPMW03!$A$1:$ZZ$501,$A125,O$3)))</f>
        <v/>
      </c>
      <c r="P125" s="124" t="str">
        <f>IF($B125="","",IF(P$3=0,"n.b.",INDEX(SRC_ZPMW03!$A$1:$ZZ$501,$A125,P$3)))</f>
        <v/>
      </c>
      <c r="Q125" s="124" t="str">
        <f>IF($B125="","",IF(Q$3=0,"n.b.",INDEX(SRC_ZPMW03!$A$1:$ZZ$501,$A125,Q$3)))</f>
        <v/>
      </c>
      <c r="R125" s="124" t="str">
        <f>IF($B125="","",IF(R$3=0,"n.b.",INDEX(SRC_ZPMW03!$A$1:$ZZ$501,$A125,R$3)))</f>
        <v/>
      </c>
      <c r="S125" s="124" t="str">
        <f>IF($B125="","",IF(S$3=0,"n.b.",INDEX(SRC_ZPMW03!$A$1:$ZZ$501,$A125,S$3)))</f>
        <v/>
      </c>
      <c r="T125" s="124" t="str">
        <f>IF($B125="","",IF(T$3=0,"n.b.",INDEX(SRC_ZPMW03!$A$1:$ZZ$501,$A125,T$3)))</f>
        <v/>
      </c>
      <c r="U125" s="124" t="str">
        <f>IF($B125="","",IF(U$3=0,"n.b.",INDEX(SRC_ZPMW03!$A$1:$ZZ$501,$A125,U$3)))</f>
        <v/>
      </c>
      <c r="V125" s="124" t="str">
        <f>IF($B125="","",IF(V$3=0,"n.b.",INDEX(SRC_ZPMW03!$A$1:$ZZ$501,$A125,V$3)))</f>
        <v/>
      </c>
      <c r="W125" s="124" t="str">
        <f>IF($B125="","",IF(W$3=0,"n.b.",INDEX(SRC_ZPMW03!$A$1:$ZZ$501,$A125,W$3)))</f>
        <v/>
      </c>
      <c r="X125" s="124" t="str">
        <f>IF($B125="","",IF(X$3=0,"n.b.",INDEX(SRC_ZPMW03!$A$1:$ZZ$501,$A125,X$3)))</f>
        <v/>
      </c>
      <c r="Y125" s="124" t="str">
        <f>IF($B125="","",IF(Y$3=0,"n.b.",INDEX(SRC_ZPMW03!$A$1:$ZZ$501,$A125,Y$3)))</f>
        <v/>
      </c>
      <c r="Z125" s="124" t="str">
        <f>IF($B125="","",IF(Z$3=0,"n.b.",INDEX(SRC_ZPMW03!$A$1:$ZZ$501,$A125,Z$3)))</f>
        <v/>
      </c>
      <c r="AA125" s="124" t="str">
        <f>IF($B125="","",IF(AA$3=0,"n.b.",INDEX(SRC_ZPMW03!$A$1:$ZZ$501,$A125,AA$3)))</f>
        <v/>
      </c>
      <c r="AB125" s="124" t="str">
        <f>IF($B125="","",IF(AB$3=0,"n.b.",INDEX(SRC_ZPMW03!$A$1:$ZZ$501,$A125,AB$3)))</f>
        <v/>
      </c>
      <c r="AC125" s="124" t="str">
        <f>IF($B125="","",IF(AC$3=0,"n.b.",INDEX(SRC_ZPMW03!$A$1:$ZZ$501,$A125,AC$3)))</f>
        <v/>
      </c>
      <c r="AD125" s="124" t="str">
        <f>IF($B125="","",IF(AD$3=0,"n.b.",INDEX(SRC_ZPMW03!$A$1:$ZZ$501,$A125,AD$3)))</f>
        <v/>
      </c>
      <c r="AE125" s="124" t="str">
        <f>IF($B125="","",IF(AE$3=0,"n.b.",INDEX(SRC_ZPMW03!$A$1:$ZZ$501,$A125,AE$3)))</f>
        <v/>
      </c>
      <c r="AF125" s="124" t="str">
        <f>IF($B125="","",IF(AF$3=0,"n.b.",INDEX(SRC_ZPMW03!$A$1:$ZZ$501,$A125,AF$3)))</f>
        <v/>
      </c>
      <c r="AG125" s="124" t="str">
        <f>IF($B125="","",IF(AG$3=0,"n.b.",INDEX(SRC_ZPMW03!$A$1:$ZZ$501,$A125,AG$3)))</f>
        <v/>
      </c>
      <c r="AH125" s="124" t="str">
        <f>IF($B125="","",IF(AH$3=0,"n.b.",INDEX(SRC_ZPMW03!$A$1:$ZZ$501,$A125,AH$3)))</f>
        <v/>
      </c>
      <c r="AI125" s="124" t="str">
        <f>IF($B125="","",IF(AI$3=0,"n.b.",INDEX(SRC_ZPMW03!$A$1:$ZZ$501,$A125,AI$3)))</f>
        <v/>
      </c>
      <c r="AJ125" s="124" t="str">
        <f>IF($B125="","",IF(AJ$3=0,"n.b.",INDEX(SRC_ZPMW03!$A$1:$ZZ$501,$A125,AJ$3)))</f>
        <v/>
      </c>
      <c r="AK125" s="124" t="str">
        <f>IF($B125="","",IF(AK$3=0,"n.b.",INDEX(SRC_ZPMW03!$A$1:$ZZ$501,$A125,AK$3)))</f>
        <v/>
      </c>
      <c r="AL125" s="124" t="str">
        <f>IF($B125="","",IF(AL$3=0,"n.b.",INDEX(SRC_ZPMW03!$A$1:$ZZ$501,$A125,AL$3)))</f>
        <v/>
      </c>
      <c r="AM125" s="124" t="str">
        <f>IF($B125="","",IF(AM$3=0,"n.b.",INDEX(SRC_ZPMW03!$A$1:$ZZ$501,$A125,AM$3)))</f>
        <v/>
      </c>
      <c r="AN125" s="124" t="str">
        <f>IF($B125="","",IF(AN$3=0,"n.b.",INDEX(SRC_ZPMW03!$A$1:$ZZ$501,$A125,AN$3)))</f>
        <v/>
      </c>
      <c r="AO125" s="124" t="str">
        <f>IF($B125="","",IF(AO$3=0,"n.b.",INDEX(SRC_ZPMW03!$A$1:$ZZ$501,$A125,AO$3)))</f>
        <v/>
      </c>
      <c r="AP125" s="124" t="str">
        <f>IF($B125="","",IF(AP$3=0,"n.b.",INDEX(SRC_ZPMW03!$A$1:$ZZ$501,$A125,AP$3)))</f>
        <v/>
      </c>
      <c r="AQ125" s="124" t="str">
        <f>IF($B125="","",IF(AQ$3=0,"n.b.",INDEX(SRC_ZPMW03!$A$1:$ZZ$501,$A125,AQ$3)))</f>
        <v/>
      </c>
      <c r="AR125" s="124" t="str">
        <f>IF($B125="","",IF(AR$3=0,"n.b.",INDEX(SRC_ZPMW03!$A$1:$ZZ$501,$A125,AR$3)))</f>
        <v/>
      </c>
      <c r="AS125" s="124" t="str">
        <f>IF($B125="","",IF(AS$3=0,"n.b.",INDEX(SRC_ZPMW03!$A$1:$ZZ$501,$A125,AS$3)))</f>
        <v/>
      </c>
      <c r="AT125" s="124" t="str">
        <f>IF($B125="","",IF(AT$3=0,"n.b.",INDEX(SRC_ZPMW03!$A$1:$ZZ$501,$A125,AT$3)))</f>
        <v/>
      </c>
      <c r="AU125" s="124" t="str">
        <f>IF($B125="","",IF(AU$3=0,"n.b.",INDEX(SRC_ZPMW03!$A$1:$ZZ$501,$A125,AU$3)))</f>
        <v/>
      </c>
      <c r="AV125" s="124" t="str">
        <f>IF($B125="","",IF(AV$3=0,"n.b.",INDEX(SRC_ZPMW03!$A$1:$ZZ$501,$A125,AV$3)))</f>
        <v/>
      </c>
      <c r="AW125" s="124" t="str">
        <f>IF($B125="","",IF(AW$3=0,"n.b.",INDEX(SRC_ZPMW03!$A$1:$ZZ$501,$A125,AW$3)))</f>
        <v/>
      </c>
      <c r="AX125" s="124" t="str">
        <f>IF($B125="","",IF(AX$3=0,"n.b.",INDEX(SRC_ZPMW03!$A$1:$ZZ$501,$A125,AX$3)))</f>
        <v/>
      </c>
      <c r="AY125" s="124" t="str">
        <f>IF($B125="","",IF(AY$3=0,"n.b.",INDEX(SRC_ZPMW03!$A$1:$ZZ$501,$A125,AY$3)))</f>
        <v/>
      </c>
      <c r="AZ125" s="124" t="str">
        <f>IF($B125="","",IF(AZ$3=0,"n.b.",INDEX(SRC_ZPMW03!$A$1:$ZZ$501,$A125,AZ$3)))</f>
        <v/>
      </c>
      <c r="BA125" s="124" t="str">
        <f>IF($B125="","",IF(BA$3=0,"n.b.",INDEX(SRC_ZPMW03!$A$1:$ZZ$501,$A125,BA$3)))</f>
        <v/>
      </c>
      <c r="BB125" s="124" t="str">
        <f>IF($B125="","",IF(BB$3=0,"n.b.",INDEX(SRC_ZPMW03!$A$1:$ZZ$501,$A125,BB$3)))</f>
        <v/>
      </c>
      <c r="BC125" s="124" t="str">
        <f>IF($B125="","",IF(BC$3=0,"n.b.",INDEX(SRC_ZPMW03!$A$1:$ZZ$501,$A125,BC$3)))</f>
        <v/>
      </c>
      <c r="BD125" s="124" t="str">
        <f>IF($B125="","",IF(BD$3=0,"n.b.",INDEX(SRC_ZPMW03!$A$1:$ZZ$501,$A125,BD$3)))</f>
        <v/>
      </c>
      <c r="BE125" s="124" t="str">
        <f>IF($B125="","",IF(BE$3=0,"n.b.",INDEX(SRC_ZPMW03!$A$1:$ZZ$501,$A125,BE$3)))</f>
        <v/>
      </c>
      <c r="BF125" s="124" t="str">
        <f>IF($B125="","",IF(BF$3=0,"n.b.",INDEX(SRC_ZPMW03!$A$1:$ZZ$501,$A125,BF$3)))</f>
        <v/>
      </c>
      <c r="BG125" t="str">
        <f>IF($B125="","",IF(BG$3=0,"n.b.",INDEX(SRC_ZPMW03!$A$1:$ZZ$501,$A125,BG$3)))</f>
        <v/>
      </c>
      <c r="BH125" t="str">
        <f>IF($B125="","",IF(BH$3=0,"n.b.",INDEX(SRC_ZPMW03!$A$1:$ZZ$501,$A125,BH$3)))</f>
        <v/>
      </c>
      <c r="BI125" t="str">
        <f>IF($B125="","",IF(BI$3=0,"n.b.",INDEX(SRC_ZPMW03!$A$1:$ZZ$501,$A125,BI$3)))</f>
        <v/>
      </c>
      <c r="BJ125" t="str">
        <f>IF($B125="","",IF(BJ$3=0,"n.b.",INDEX(SRC_ZPMW03!$A$1:$ZZ$501,$A125,BJ$3)))</f>
        <v/>
      </c>
      <c r="BK125" s="124" t="str">
        <f>IF($B125="","",IFERROR(-O125,"n.b."))</f>
        <v/>
      </c>
      <c r="BL125" s="124" t="str">
        <f>IF($B125="","",IFERROR(-Q125,"n.b."))</f>
        <v/>
      </c>
      <c r="BM125" s="124" t="str">
        <f>IF($B125="","",IFERROR(-AB125,"n.b."))</f>
        <v/>
      </c>
      <c r="BN125" s="124" t="str">
        <f>IF($B125="","",IFERROR(-AD125,"n.b."))</f>
        <v/>
      </c>
      <c r="BO125" s="124" t="str">
        <f>IF($B125="","",IFERROR(BK125+BM125,"n.b."))</f>
        <v/>
      </c>
      <c r="BP125" s="124" t="str">
        <f>IF($B125="","",IFERROR(BL125+BN125,"n.b."))</f>
        <v/>
      </c>
      <c r="BQ125" s="124" t="str">
        <f>IF($B125="","",IFERROR(-AM125,"n.b."))</f>
        <v/>
      </c>
      <c r="BR125" s="124" t="str">
        <f>IF($B125="","",IFERROR(-AO125,"n.b."))</f>
        <v/>
      </c>
      <c r="BS125" s="124" t="str">
        <f>IF($B125="","",IFERROR(-Z125,"n.b."))</f>
        <v/>
      </c>
      <c r="BT125" s="124" t="str">
        <f>IF($B125="","",IFERROR(-AA125,"n.b."))</f>
        <v/>
      </c>
      <c r="BU125" s="124" t="str">
        <f>IF($B125="","",IFERROR(-AE125,"n.b."))</f>
        <v/>
      </c>
      <c r="BV125" s="124" t="str">
        <f>IF($B125="","",IFERROR(-AF125,"n.b."))</f>
        <v/>
      </c>
      <c r="BW125" s="124" t="str">
        <f>IF($B125="","",IFERROR(-AG125,"n.b."))</f>
        <v/>
      </c>
      <c r="BX125" s="124" t="str">
        <f>IF($B125="","",IFERROR(-AH125,"n.b."))</f>
        <v/>
      </c>
      <c r="BY125" s="124" t="str">
        <f>IF($B125="","",IFERROR(-AI125,"n.b."))</f>
        <v/>
      </c>
      <c r="BZ125" s="124" t="str">
        <f>IF($B125="","",IFERROR(-AJ125,"n.b."))</f>
        <v/>
      </c>
      <c r="CA125" s="124" t="str">
        <f>IF($B125="","",IFERROR(-AK125,"n.b."))</f>
        <v/>
      </c>
      <c r="CB125" s="124" t="str">
        <f>IF($B125="","",IFERROR(-AL125,"n.b."))</f>
        <v/>
      </c>
      <c r="CC125" s="124" t="str">
        <f>IF($B125="","",IFERROR(-AP125,"n.b."))</f>
        <v/>
      </c>
      <c r="CD125" s="124" t="str">
        <f>IF($B125="","",IFERROR(-AQ125,"n.b."))</f>
        <v/>
      </c>
      <c r="CE125" s="124" t="str">
        <f>IF($B125="","",IFERROR(-AR125,"n.b."))</f>
        <v/>
      </c>
      <c r="CF125" s="124" t="str">
        <f>IF($B125="","",IFERROR(-AS125,"n.b."))</f>
        <v/>
      </c>
      <c r="CG125" s="124" t="str">
        <f>IF($B125="","",IFERROR(-AT125,"n.b."))</f>
        <v/>
      </c>
      <c r="CH125" s="124" t="str">
        <f>IF($B125="","",IFERROR(-AU125,"n.b."))</f>
        <v/>
      </c>
      <c r="CI125" s="124" t="str">
        <f>IF($B125="","",IFERROR(-AV125,"n.b."))</f>
        <v/>
      </c>
      <c r="CJ125" s="124" t="str">
        <f>IF($B125="","",IFERROR(-AW125,"n.b."))</f>
        <v/>
      </c>
      <c r="CK125" s="124" t="str">
        <f>IF($B125="","",IFERROR(-AX125,"n.b."))</f>
        <v/>
      </c>
      <c r="CL125" s="124" t="str">
        <f>IF($B125="","",IFERROR(-AY125,"n.b."))</f>
        <v/>
      </c>
      <c r="CM125" s="124" t="str">
        <f>IF($B125="","",IFERROR(-AZ125,"n.b."))</f>
        <v/>
      </c>
      <c r="CN125" s="124" t="str">
        <f>IF($B125="","",IFERROR(-BA125,"n.b."))</f>
        <v/>
      </c>
      <c r="CO125" s="124" t="str">
        <f>IF($B125="","",IFERROR(-BB125,"n.b."))</f>
        <v/>
      </c>
      <c r="CP125" s="124" t="str">
        <f>IF($B125="","",IFERROR(-BC125,"n.b."))</f>
        <v/>
      </c>
      <c r="CQ125" s="124" t="str">
        <f>IF($B125="","",IFERROR(-BD125,"n.b."))</f>
        <v/>
      </c>
      <c r="CR125" s="124" t="str">
        <f>IF($B125="","",IFERROR(-BE125,"n.b."))</f>
        <v/>
      </c>
      <c r="CS125" s="124" t="str">
        <f>IF($B125="","",IFERROR(IF(OR(ABS(T125+V125+X125+Z125-AB125)&gt;P_Tol,ABS(U125+W125+Y125+AA125-AD125)&gt;P_Tol,ABS(AE125+AG125+AI125+AK125-AM125)&gt;P_Tol,ABS(AF125+AH125+AJ125+AL125-AO125)&gt;P_Tol),1,0),1))</f>
        <v/>
      </c>
      <c r="CT125" s="124" t="str">
        <f>IF($B125="","",IFERROR(IF(OR(ABS(AB125+AC125-AD125)&gt;P_Tol,ABS(AM125+AN125-AO125)&gt;P_Tol,ABS(O125+P125-Q125)&gt;P_Tol),1,0),1))</f>
        <v/>
      </c>
      <c r="CU125" s="124" t="str">
        <f>IF($B125="","",IFERROR(IF(ABS(R125-(AB125+AM125+AP125+AR125+AT125+AV125+AX125+AZ125+BB125+BD125))&gt;P_Tol,1,0),1))</f>
        <v/>
      </c>
      <c r="CV125" s="124" t="str">
        <f>IF($B125="","",IFERROR(IF(ABS(M125-(N125+O125+R125))&gt;P_Tol,1,0),1))</f>
        <v/>
      </c>
      <c r="CW125" s="124" t="str">
        <f>IF($B125="","",IF(COUNTIF(Mapping!$A$5:$A$104,B125)&gt;0,1,0))</f>
        <v/>
      </c>
      <c r="CX125" s="124" t="str">
        <f>IF($B125="","",COUNTIF($B$6:$B$505,B125))</f>
        <v/>
      </c>
      <c r="CY125" s="124" t="str">
        <f>IF($B125="","",COUNTIF(STG_Woningetalage!$B$6:$B$505,B125))</f>
        <v/>
      </c>
      <c r="CZ125" s="124" t="str">
        <f>IF($B125="","",IF(CW125=0,COUNTIF($CW$6:CW125,0),""))</f>
        <v/>
      </c>
    </row>
    <row r="126">
      <c r="A126" s="15" t="n">
        <v>122</v>
      </c>
      <c r="B126" t="str">
        <f>IF(B$3=0,"",IF(INDEX(SRC_ZPMW03!$A$1:$ZZ$501,$A126,B$3)&amp;""="","",INDEX(SRC_ZPMW03!$A$1:$ZZ$501,$A126,B$3)&amp;""))</f>
        <v/>
      </c>
      <c r="C126" t="str">
        <f>IF($B126="","",IF(C$3=0,"n.b.",INDEX(SRC_ZPMW03!$A$1:$ZZ$501,$A126,C$3)))</f>
        <v/>
      </c>
      <c r="D126" t="str">
        <f>IF($B126="","",IF(D$3=0,"n.b.",INDEX(SRC_ZPMW03!$A$1:$ZZ$501,$A126,D$3)))</f>
        <v/>
      </c>
      <c r="E126" t="str">
        <f>IF($B126="","",IF(E$3=0,"n.b.",INDEX(SRC_ZPMW03!$A$1:$ZZ$501,$A126,E$3)))</f>
        <v/>
      </c>
      <c r="F126" t="str">
        <f>IF($B126="","",IF(F$3=0,"n.b.",INDEX(SRC_ZPMW03!$A$1:$ZZ$501,$A126,F$3)))</f>
        <v/>
      </c>
      <c r="G126" t="str">
        <f>IF($B126="","",IF(G$3=0,"n.b.",INDEX(SRC_ZPMW03!$A$1:$ZZ$501,$A126,G$3)))</f>
        <v/>
      </c>
      <c r="H126" t="str">
        <f>IF($B126="","",IF(H$3=0,"n.b.",INDEX(SRC_ZPMW03!$A$1:$ZZ$501,$A126,H$3)))</f>
        <v/>
      </c>
      <c r="I126" t="str">
        <f>IF($B126="","",IF(I$3=0,"n.b.",INDEX(SRC_ZPMW03!$A$1:$ZZ$501,$A126,I$3)))</f>
        <v/>
      </c>
      <c r="J126" t="str">
        <f>IF($B126="","",IF(J$3=0,"n.b.",INDEX(SRC_ZPMW03!$A$1:$ZZ$501,$A126,J$3)))</f>
        <v/>
      </c>
      <c r="K126" t="str">
        <f>IF($B126="","",IF(K$3=0,"n.b.",INDEX(SRC_ZPMW03!$A$1:$ZZ$501,$A126,K$3)))</f>
        <v/>
      </c>
      <c r="L126" s="124" t="str">
        <f>IF($B126="","",IF(L$3=0,"n.b.",INDEX(SRC_ZPMW03!$A$1:$ZZ$501,$A126,L$3)))</f>
        <v/>
      </c>
      <c r="M126" s="124" t="str">
        <f>IF($B126="","",IF(M$3=0,"n.b.",INDEX(SRC_ZPMW03!$A$1:$ZZ$501,$A126,M$3)))</f>
        <v/>
      </c>
      <c r="N126" s="124" t="str">
        <f>IF($B126="","",IF(N$3=0,"n.b.",INDEX(SRC_ZPMW03!$A$1:$ZZ$501,$A126,N$3)))</f>
        <v/>
      </c>
      <c r="O126" s="124" t="str">
        <f>IF($B126="","",IF(O$3=0,"n.b.",INDEX(SRC_ZPMW03!$A$1:$ZZ$501,$A126,O$3)))</f>
        <v/>
      </c>
      <c r="P126" s="124" t="str">
        <f>IF($B126="","",IF(P$3=0,"n.b.",INDEX(SRC_ZPMW03!$A$1:$ZZ$501,$A126,P$3)))</f>
        <v/>
      </c>
      <c r="Q126" s="124" t="str">
        <f>IF($B126="","",IF(Q$3=0,"n.b.",INDEX(SRC_ZPMW03!$A$1:$ZZ$501,$A126,Q$3)))</f>
        <v/>
      </c>
      <c r="R126" s="124" t="str">
        <f>IF($B126="","",IF(R$3=0,"n.b.",INDEX(SRC_ZPMW03!$A$1:$ZZ$501,$A126,R$3)))</f>
        <v/>
      </c>
      <c r="S126" s="124" t="str">
        <f>IF($B126="","",IF(S$3=0,"n.b.",INDEX(SRC_ZPMW03!$A$1:$ZZ$501,$A126,S$3)))</f>
        <v/>
      </c>
      <c r="T126" s="124" t="str">
        <f>IF($B126="","",IF(T$3=0,"n.b.",INDEX(SRC_ZPMW03!$A$1:$ZZ$501,$A126,T$3)))</f>
        <v/>
      </c>
      <c r="U126" s="124" t="str">
        <f>IF($B126="","",IF(U$3=0,"n.b.",INDEX(SRC_ZPMW03!$A$1:$ZZ$501,$A126,U$3)))</f>
        <v/>
      </c>
      <c r="V126" s="124" t="str">
        <f>IF($B126="","",IF(V$3=0,"n.b.",INDEX(SRC_ZPMW03!$A$1:$ZZ$501,$A126,V$3)))</f>
        <v/>
      </c>
      <c r="W126" s="124" t="str">
        <f>IF($B126="","",IF(W$3=0,"n.b.",INDEX(SRC_ZPMW03!$A$1:$ZZ$501,$A126,W$3)))</f>
        <v/>
      </c>
      <c r="X126" s="124" t="str">
        <f>IF($B126="","",IF(X$3=0,"n.b.",INDEX(SRC_ZPMW03!$A$1:$ZZ$501,$A126,X$3)))</f>
        <v/>
      </c>
      <c r="Y126" s="124" t="str">
        <f>IF($B126="","",IF(Y$3=0,"n.b.",INDEX(SRC_ZPMW03!$A$1:$ZZ$501,$A126,Y$3)))</f>
        <v/>
      </c>
      <c r="Z126" s="124" t="str">
        <f>IF($B126="","",IF(Z$3=0,"n.b.",INDEX(SRC_ZPMW03!$A$1:$ZZ$501,$A126,Z$3)))</f>
        <v/>
      </c>
      <c r="AA126" s="124" t="str">
        <f>IF($B126="","",IF(AA$3=0,"n.b.",INDEX(SRC_ZPMW03!$A$1:$ZZ$501,$A126,AA$3)))</f>
        <v/>
      </c>
      <c r="AB126" s="124" t="str">
        <f>IF($B126="","",IF(AB$3=0,"n.b.",INDEX(SRC_ZPMW03!$A$1:$ZZ$501,$A126,AB$3)))</f>
        <v/>
      </c>
      <c r="AC126" s="124" t="str">
        <f>IF($B126="","",IF(AC$3=0,"n.b.",INDEX(SRC_ZPMW03!$A$1:$ZZ$501,$A126,AC$3)))</f>
        <v/>
      </c>
      <c r="AD126" s="124" t="str">
        <f>IF($B126="","",IF(AD$3=0,"n.b.",INDEX(SRC_ZPMW03!$A$1:$ZZ$501,$A126,AD$3)))</f>
        <v/>
      </c>
      <c r="AE126" s="124" t="str">
        <f>IF($B126="","",IF(AE$3=0,"n.b.",INDEX(SRC_ZPMW03!$A$1:$ZZ$501,$A126,AE$3)))</f>
        <v/>
      </c>
      <c r="AF126" s="124" t="str">
        <f>IF($B126="","",IF(AF$3=0,"n.b.",INDEX(SRC_ZPMW03!$A$1:$ZZ$501,$A126,AF$3)))</f>
        <v/>
      </c>
      <c r="AG126" s="124" t="str">
        <f>IF($B126="","",IF(AG$3=0,"n.b.",INDEX(SRC_ZPMW03!$A$1:$ZZ$501,$A126,AG$3)))</f>
        <v/>
      </c>
      <c r="AH126" s="124" t="str">
        <f>IF($B126="","",IF(AH$3=0,"n.b.",INDEX(SRC_ZPMW03!$A$1:$ZZ$501,$A126,AH$3)))</f>
        <v/>
      </c>
      <c r="AI126" s="124" t="str">
        <f>IF($B126="","",IF(AI$3=0,"n.b.",INDEX(SRC_ZPMW03!$A$1:$ZZ$501,$A126,AI$3)))</f>
        <v/>
      </c>
      <c r="AJ126" s="124" t="str">
        <f>IF($B126="","",IF(AJ$3=0,"n.b.",INDEX(SRC_ZPMW03!$A$1:$ZZ$501,$A126,AJ$3)))</f>
        <v/>
      </c>
      <c r="AK126" s="124" t="str">
        <f>IF($B126="","",IF(AK$3=0,"n.b.",INDEX(SRC_ZPMW03!$A$1:$ZZ$501,$A126,AK$3)))</f>
        <v/>
      </c>
      <c r="AL126" s="124" t="str">
        <f>IF($B126="","",IF(AL$3=0,"n.b.",INDEX(SRC_ZPMW03!$A$1:$ZZ$501,$A126,AL$3)))</f>
        <v/>
      </c>
      <c r="AM126" s="124" t="str">
        <f>IF($B126="","",IF(AM$3=0,"n.b.",INDEX(SRC_ZPMW03!$A$1:$ZZ$501,$A126,AM$3)))</f>
        <v/>
      </c>
      <c r="AN126" s="124" t="str">
        <f>IF($B126="","",IF(AN$3=0,"n.b.",INDEX(SRC_ZPMW03!$A$1:$ZZ$501,$A126,AN$3)))</f>
        <v/>
      </c>
      <c r="AO126" s="124" t="str">
        <f>IF($B126="","",IF(AO$3=0,"n.b.",INDEX(SRC_ZPMW03!$A$1:$ZZ$501,$A126,AO$3)))</f>
        <v/>
      </c>
      <c r="AP126" s="124" t="str">
        <f>IF($B126="","",IF(AP$3=0,"n.b.",INDEX(SRC_ZPMW03!$A$1:$ZZ$501,$A126,AP$3)))</f>
        <v/>
      </c>
      <c r="AQ126" s="124" t="str">
        <f>IF($B126="","",IF(AQ$3=0,"n.b.",INDEX(SRC_ZPMW03!$A$1:$ZZ$501,$A126,AQ$3)))</f>
        <v/>
      </c>
      <c r="AR126" s="124" t="str">
        <f>IF($B126="","",IF(AR$3=0,"n.b.",INDEX(SRC_ZPMW03!$A$1:$ZZ$501,$A126,AR$3)))</f>
        <v/>
      </c>
      <c r="AS126" s="124" t="str">
        <f>IF($B126="","",IF(AS$3=0,"n.b.",INDEX(SRC_ZPMW03!$A$1:$ZZ$501,$A126,AS$3)))</f>
        <v/>
      </c>
      <c r="AT126" s="124" t="str">
        <f>IF($B126="","",IF(AT$3=0,"n.b.",INDEX(SRC_ZPMW03!$A$1:$ZZ$501,$A126,AT$3)))</f>
        <v/>
      </c>
      <c r="AU126" s="124" t="str">
        <f>IF($B126="","",IF(AU$3=0,"n.b.",INDEX(SRC_ZPMW03!$A$1:$ZZ$501,$A126,AU$3)))</f>
        <v/>
      </c>
      <c r="AV126" s="124" t="str">
        <f>IF($B126="","",IF(AV$3=0,"n.b.",INDEX(SRC_ZPMW03!$A$1:$ZZ$501,$A126,AV$3)))</f>
        <v/>
      </c>
      <c r="AW126" s="124" t="str">
        <f>IF($B126="","",IF(AW$3=0,"n.b.",INDEX(SRC_ZPMW03!$A$1:$ZZ$501,$A126,AW$3)))</f>
        <v/>
      </c>
      <c r="AX126" s="124" t="str">
        <f>IF($B126="","",IF(AX$3=0,"n.b.",INDEX(SRC_ZPMW03!$A$1:$ZZ$501,$A126,AX$3)))</f>
        <v/>
      </c>
      <c r="AY126" s="124" t="str">
        <f>IF($B126="","",IF(AY$3=0,"n.b.",INDEX(SRC_ZPMW03!$A$1:$ZZ$501,$A126,AY$3)))</f>
        <v/>
      </c>
      <c r="AZ126" s="124" t="str">
        <f>IF($B126="","",IF(AZ$3=0,"n.b.",INDEX(SRC_ZPMW03!$A$1:$ZZ$501,$A126,AZ$3)))</f>
        <v/>
      </c>
      <c r="BA126" s="124" t="str">
        <f>IF($B126="","",IF(BA$3=0,"n.b.",INDEX(SRC_ZPMW03!$A$1:$ZZ$501,$A126,BA$3)))</f>
        <v/>
      </c>
      <c r="BB126" s="124" t="str">
        <f>IF($B126="","",IF(BB$3=0,"n.b.",INDEX(SRC_ZPMW03!$A$1:$ZZ$501,$A126,BB$3)))</f>
        <v/>
      </c>
      <c r="BC126" s="124" t="str">
        <f>IF($B126="","",IF(BC$3=0,"n.b.",INDEX(SRC_ZPMW03!$A$1:$ZZ$501,$A126,BC$3)))</f>
        <v/>
      </c>
      <c r="BD126" s="124" t="str">
        <f>IF($B126="","",IF(BD$3=0,"n.b.",INDEX(SRC_ZPMW03!$A$1:$ZZ$501,$A126,BD$3)))</f>
        <v/>
      </c>
      <c r="BE126" s="124" t="str">
        <f>IF($B126="","",IF(BE$3=0,"n.b.",INDEX(SRC_ZPMW03!$A$1:$ZZ$501,$A126,BE$3)))</f>
        <v/>
      </c>
      <c r="BF126" s="124" t="str">
        <f>IF($B126="","",IF(BF$3=0,"n.b.",INDEX(SRC_ZPMW03!$A$1:$ZZ$501,$A126,BF$3)))</f>
        <v/>
      </c>
      <c r="BG126" t="str">
        <f>IF($B126="","",IF(BG$3=0,"n.b.",INDEX(SRC_ZPMW03!$A$1:$ZZ$501,$A126,BG$3)))</f>
        <v/>
      </c>
      <c r="BH126" t="str">
        <f>IF($B126="","",IF(BH$3=0,"n.b.",INDEX(SRC_ZPMW03!$A$1:$ZZ$501,$A126,BH$3)))</f>
        <v/>
      </c>
      <c r="BI126" t="str">
        <f>IF($B126="","",IF(BI$3=0,"n.b.",INDEX(SRC_ZPMW03!$A$1:$ZZ$501,$A126,BI$3)))</f>
        <v/>
      </c>
      <c r="BJ126" t="str">
        <f>IF($B126="","",IF(BJ$3=0,"n.b.",INDEX(SRC_ZPMW03!$A$1:$ZZ$501,$A126,BJ$3)))</f>
        <v/>
      </c>
      <c r="BK126" s="124" t="str">
        <f>IF($B126="","",IFERROR(-O126,"n.b."))</f>
        <v/>
      </c>
      <c r="BL126" s="124" t="str">
        <f>IF($B126="","",IFERROR(-Q126,"n.b."))</f>
        <v/>
      </c>
      <c r="BM126" s="124" t="str">
        <f>IF($B126="","",IFERROR(-AB126,"n.b."))</f>
        <v/>
      </c>
      <c r="BN126" s="124" t="str">
        <f>IF($B126="","",IFERROR(-AD126,"n.b."))</f>
        <v/>
      </c>
      <c r="BO126" s="124" t="str">
        <f>IF($B126="","",IFERROR(BK126+BM126,"n.b."))</f>
        <v/>
      </c>
      <c r="BP126" s="124" t="str">
        <f>IF($B126="","",IFERROR(BL126+BN126,"n.b."))</f>
        <v/>
      </c>
      <c r="BQ126" s="124" t="str">
        <f>IF($B126="","",IFERROR(-AM126,"n.b."))</f>
        <v/>
      </c>
      <c r="BR126" s="124" t="str">
        <f>IF($B126="","",IFERROR(-AO126,"n.b."))</f>
        <v/>
      </c>
      <c r="BS126" s="124" t="str">
        <f>IF($B126="","",IFERROR(-Z126,"n.b."))</f>
        <v/>
      </c>
      <c r="BT126" s="124" t="str">
        <f>IF($B126="","",IFERROR(-AA126,"n.b."))</f>
        <v/>
      </c>
      <c r="BU126" s="124" t="str">
        <f>IF($B126="","",IFERROR(-AE126,"n.b."))</f>
        <v/>
      </c>
      <c r="BV126" s="124" t="str">
        <f>IF($B126="","",IFERROR(-AF126,"n.b."))</f>
        <v/>
      </c>
      <c r="BW126" s="124" t="str">
        <f>IF($B126="","",IFERROR(-AG126,"n.b."))</f>
        <v/>
      </c>
      <c r="BX126" s="124" t="str">
        <f>IF($B126="","",IFERROR(-AH126,"n.b."))</f>
        <v/>
      </c>
      <c r="BY126" s="124" t="str">
        <f>IF($B126="","",IFERROR(-AI126,"n.b."))</f>
        <v/>
      </c>
      <c r="BZ126" s="124" t="str">
        <f>IF($B126="","",IFERROR(-AJ126,"n.b."))</f>
        <v/>
      </c>
      <c r="CA126" s="124" t="str">
        <f>IF($B126="","",IFERROR(-AK126,"n.b."))</f>
        <v/>
      </c>
      <c r="CB126" s="124" t="str">
        <f>IF($B126="","",IFERROR(-AL126,"n.b."))</f>
        <v/>
      </c>
      <c r="CC126" s="124" t="str">
        <f>IF($B126="","",IFERROR(-AP126,"n.b."))</f>
        <v/>
      </c>
      <c r="CD126" s="124" t="str">
        <f>IF($B126="","",IFERROR(-AQ126,"n.b."))</f>
        <v/>
      </c>
      <c r="CE126" s="124" t="str">
        <f>IF($B126="","",IFERROR(-AR126,"n.b."))</f>
        <v/>
      </c>
      <c r="CF126" s="124" t="str">
        <f>IF($B126="","",IFERROR(-AS126,"n.b."))</f>
        <v/>
      </c>
      <c r="CG126" s="124" t="str">
        <f>IF($B126="","",IFERROR(-AT126,"n.b."))</f>
        <v/>
      </c>
      <c r="CH126" s="124" t="str">
        <f>IF($B126="","",IFERROR(-AU126,"n.b."))</f>
        <v/>
      </c>
      <c r="CI126" s="124" t="str">
        <f>IF($B126="","",IFERROR(-AV126,"n.b."))</f>
        <v/>
      </c>
      <c r="CJ126" s="124" t="str">
        <f>IF($B126="","",IFERROR(-AW126,"n.b."))</f>
        <v/>
      </c>
      <c r="CK126" s="124" t="str">
        <f>IF($B126="","",IFERROR(-AX126,"n.b."))</f>
        <v/>
      </c>
      <c r="CL126" s="124" t="str">
        <f>IF($B126="","",IFERROR(-AY126,"n.b."))</f>
        <v/>
      </c>
      <c r="CM126" s="124" t="str">
        <f>IF($B126="","",IFERROR(-AZ126,"n.b."))</f>
        <v/>
      </c>
      <c r="CN126" s="124" t="str">
        <f>IF($B126="","",IFERROR(-BA126,"n.b."))</f>
        <v/>
      </c>
      <c r="CO126" s="124" t="str">
        <f>IF($B126="","",IFERROR(-BB126,"n.b."))</f>
        <v/>
      </c>
      <c r="CP126" s="124" t="str">
        <f>IF($B126="","",IFERROR(-BC126,"n.b."))</f>
        <v/>
      </c>
      <c r="CQ126" s="124" t="str">
        <f>IF($B126="","",IFERROR(-BD126,"n.b."))</f>
        <v/>
      </c>
      <c r="CR126" s="124" t="str">
        <f>IF($B126="","",IFERROR(-BE126,"n.b."))</f>
        <v/>
      </c>
      <c r="CS126" s="124" t="str">
        <f>IF($B126="","",IFERROR(IF(OR(ABS(T126+V126+X126+Z126-AB126)&gt;P_Tol,ABS(U126+W126+Y126+AA126-AD126)&gt;P_Tol,ABS(AE126+AG126+AI126+AK126-AM126)&gt;P_Tol,ABS(AF126+AH126+AJ126+AL126-AO126)&gt;P_Tol),1,0),1))</f>
        <v/>
      </c>
      <c r="CT126" s="124" t="str">
        <f>IF($B126="","",IFERROR(IF(OR(ABS(AB126+AC126-AD126)&gt;P_Tol,ABS(AM126+AN126-AO126)&gt;P_Tol,ABS(O126+P126-Q126)&gt;P_Tol),1,0),1))</f>
        <v/>
      </c>
      <c r="CU126" s="124" t="str">
        <f>IF($B126="","",IFERROR(IF(ABS(R126-(AB126+AM126+AP126+AR126+AT126+AV126+AX126+AZ126+BB126+BD126))&gt;P_Tol,1,0),1))</f>
        <v/>
      </c>
      <c r="CV126" s="124" t="str">
        <f>IF($B126="","",IFERROR(IF(ABS(M126-(N126+O126+R126))&gt;P_Tol,1,0),1))</f>
        <v/>
      </c>
      <c r="CW126" s="124" t="str">
        <f>IF($B126="","",IF(COUNTIF(Mapping!$A$5:$A$104,B126)&gt;0,1,0))</f>
        <v/>
      </c>
      <c r="CX126" s="124" t="str">
        <f>IF($B126="","",COUNTIF($B$6:$B$505,B126))</f>
        <v/>
      </c>
      <c r="CY126" s="124" t="str">
        <f>IF($B126="","",COUNTIF(STG_Woningetalage!$B$6:$B$505,B126))</f>
        <v/>
      </c>
      <c r="CZ126" s="124" t="str">
        <f>IF($B126="","",IF(CW126=0,COUNTIF($CW$6:CW126,0),""))</f>
        <v/>
      </c>
    </row>
    <row r="127">
      <c r="A127" s="15" t="n">
        <v>123</v>
      </c>
      <c r="B127" t="str">
        <f>IF(B$3=0,"",IF(INDEX(SRC_ZPMW03!$A$1:$ZZ$501,$A127,B$3)&amp;""="","",INDEX(SRC_ZPMW03!$A$1:$ZZ$501,$A127,B$3)&amp;""))</f>
        <v/>
      </c>
      <c r="C127" t="str">
        <f>IF($B127="","",IF(C$3=0,"n.b.",INDEX(SRC_ZPMW03!$A$1:$ZZ$501,$A127,C$3)))</f>
        <v/>
      </c>
      <c r="D127" t="str">
        <f>IF($B127="","",IF(D$3=0,"n.b.",INDEX(SRC_ZPMW03!$A$1:$ZZ$501,$A127,D$3)))</f>
        <v/>
      </c>
      <c r="E127" t="str">
        <f>IF($B127="","",IF(E$3=0,"n.b.",INDEX(SRC_ZPMW03!$A$1:$ZZ$501,$A127,E$3)))</f>
        <v/>
      </c>
      <c r="F127" t="str">
        <f>IF($B127="","",IF(F$3=0,"n.b.",INDEX(SRC_ZPMW03!$A$1:$ZZ$501,$A127,F$3)))</f>
        <v/>
      </c>
      <c r="G127" t="str">
        <f>IF($B127="","",IF(G$3=0,"n.b.",INDEX(SRC_ZPMW03!$A$1:$ZZ$501,$A127,G$3)))</f>
        <v/>
      </c>
      <c r="H127" t="str">
        <f>IF($B127="","",IF(H$3=0,"n.b.",INDEX(SRC_ZPMW03!$A$1:$ZZ$501,$A127,H$3)))</f>
        <v/>
      </c>
      <c r="I127" t="str">
        <f>IF($B127="","",IF(I$3=0,"n.b.",INDEX(SRC_ZPMW03!$A$1:$ZZ$501,$A127,I$3)))</f>
        <v/>
      </c>
      <c r="J127" t="str">
        <f>IF($B127="","",IF(J$3=0,"n.b.",INDEX(SRC_ZPMW03!$A$1:$ZZ$501,$A127,J$3)))</f>
        <v/>
      </c>
      <c r="K127" t="str">
        <f>IF($B127="","",IF(K$3=0,"n.b.",INDEX(SRC_ZPMW03!$A$1:$ZZ$501,$A127,K$3)))</f>
        <v/>
      </c>
      <c r="L127" s="124" t="str">
        <f>IF($B127="","",IF(L$3=0,"n.b.",INDEX(SRC_ZPMW03!$A$1:$ZZ$501,$A127,L$3)))</f>
        <v/>
      </c>
      <c r="M127" s="124" t="str">
        <f>IF($B127="","",IF(M$3=0,"n.b.",INDEX(SRC_ZPMW03!$A$1:$ZZ$501,$A127,M$3)))</f>
        <v/>
      </c>
      <c r="N127" s="124" t="str">
        <f>IF($B127="","",IF(N$3=0,"n.b.",INDEX(SRC_ZPMW03!$A$1:$ZZ$501,$A127,N$3)))</f>
        <v/>
      </c>
      <c r="O127" s="124" t="str">
        <f>IF($B127="","",IF(O$3=0,"n.b.",INDEX(SRC_ZPMW03!$A$1:$ZZ$501,$A127,O$3)))</f>
        <v/>
      </c>
      <c r="P127" s="124" t="str">
        <f>IF($B127="","",IF(P$3=0,"n.b.",INDEX(SRC_ZPMW03!$A$1:$ZZ$501,$A127,P$3)))</f>
        <v/>
      </c>
      <c r="Q127" s="124" t="str">
        <f>IF($B127="","",IF(Q$3=0,"n.b.",INDEX(SRC_ZPMW03!$A$1:$ZZ$501,$A127,Q$3)))</f>
        <v/>
      </c>
      <c r="R127" s="124" t="str">
        <f>IF($B127="","",IF(R$3=0,"n.b.",INDEX(SRC_ZPMW03!$A$1:$ZZ$501,$A127,R$3)))</f>
        <v/>
      </c>
      <c r="S127" s="124" t="str">
        <f>IF($B127="","",IF(S$3=0,"n.b.",INDEX(SRC_ZPMW03!$A$1:$ZZ$501,$A127,S$3)))</f>
        <v/>
      </c>
      <c r="T127" s="124" t="str">
        <f>IF($B127="","",IF(T$3=0,"n.b.",INDEX(SRC_ZPMW03!$A$1:$ZZ$501,$A127,T$3)))</f>
        <v/>
      </c>
      <c r="U127" s="124" t="str">
        <f>IF($B127="","",IF(U$3=0,"n.b.",INDEX(SRC_ZPMW03!$A$1:$ZZ$501,$A127,U$3)))</f>
        <v/>
      </c>
      <c r="V127" s="124" t="str">
        <f>IF($B127="","",IF(V$3=0,"n.b.",INDEX(SRC_ZPMW03!$A$1:$ZZ$501,$A127,V$3)))</f>
        <v/>
      </c>
      <c r="W127" s="124" t="str">
        <f>IF($B127="","",IF(W$3=0,"n.b.",INDEX(SRC_ZPMW03!$A$1:$ZZ$501,$A127,W$3)))</f>
        <v/>
      </c>
      <c r="X127" s="124" t="str">
        <f>IF($B127="","",IF(X$3=0,"n.b.",INDEX(SRC_ZPMW03!$A$1:$ZZ$501,$A127,X$3)))</f>
        <v/>
      </c>
      <c r="Y127" s="124" t="str">
        <f>IF($B127="","",IF(Y$3=0,"n.b.",INDEX(SRC_ZPMW03!$A$1:$ZZ$501,$A127,Y$3)))</f>
        <v/>
      </c>
      <c r="Z127" s="124" t="str">
        <f>IF($B127="","",IF(Z$3=0,"n.b.",INDEX(SRC_ZPMW03!$A$1:$ZZ$501,$A127,Z$3)))</f>
        <v/>
      </c>
      <c r="AA127" s="124" t="str">
        <f>IF($B127="","",IF(AA$3=0,"n.b.",INDEX(SRC_ZPMW03!$A$1:$ZZ$501,$A127,AA$3)))</f>
        <v/>
      </c>
      <c r="AB127" s="124" t="str">
        <f>IF($B127="","",IF(AB$3=0,"n.b.",INDEX(SRC_ZPMW03!$A$1:$ZZ$501,$A127,AB$3)))</f>
        <v/>
      </c>
      <c r="AC127" s="124" t="str">
        <f>IF($B127="","",IF(AC$3=0,"n.b.",INDEX(SRC_ZPMW03!$A$1:$ZZ$501,$A127,AC$3)))</f>
        <v/>
      </c>
      <c r="AD127" s="124" t="str">
        <f>IF($B127="","",IF(AD$3=0,"n.b.",INDEX(SRC_ZPMW03!$A$1:$ZZ$501,$A127,AD$3)))</f>
        <v/>
      </c>
      <c r="AE127" s="124" t="str">
        <f>IF($B127="","",IF(AE$3=0,"n.b.",INDEX(SRC_ZPMW03!$A$1:$ZZ$501,$A127,AE$3)))</f>
        <v/>
      </c>
      <c r="AF127" s="124" t="str">
        <f>IF($B127="","",IF(AF$3=0,"n.b.",INDEX(SRC_ZPMW03!$A$1:$ZZ$501,$A127,AF$3)))</f>
        <v/>
      </c>
      <c r="AG127" s="124" t="str">
        <f>IF($B127="","",IF(AG$3=0,"n.b.",INDEX(SRC_ZPMW03!$A$1:$ZZ$501,$A127,AG$3)))</f>
        <v/>
      </c>
      <c r="AH127" s="124" t="str">
        <f>IF($B127="","",IF(AH$3=0,"n.b.",INDEX(SRC_ZPMW03!$A$1:$ZZ$501,$A127,AH$3)))</f>
        <v/>
      </c>
      <c r="AI127" s="124" t="str">
        <f>IF($B127="","",IF(AI$3=0,"n.b.",INDEX(SRC_ZPMW03!$A$1:$ZZ$501,$A127,AI$3)))</f>
        <v/>
      </c>
      <c r="AJ127" s="124" t="str">
        <f>IF($B127="","",IF(AJ$3=0,"n.b.",INDEX(SRC_ZPMW03!$A$1:$ZZ$501,$A127,AJ$3)))</f>
        <v/>
      </c>
      <c r="AK127" s="124" t="str">
        <f>IF($B127="","",IF(AK$3=0,"n.b.",INDEX(SRC_ZPMW03!$A$1:$ZZ$501,$A127,AK$3)))</f>
        <v/>
      </c>
      <c r="AL127" s="124" t="str">
        <f>IF($B127="","",IF(AL$3=0,"n.b.",INDEX(SRC_ZPMW03!$A$1:$ZZ$501,$A127,AL$3)))</f>
        <v/>
      </c>
      <c r="AM127" s="124" t="str">
        <f>IF($B127="","",IF(AM$3=0,"n.b.",INDEX(SRC_ZPMW03!$A$1:$ZZ$501,$A127,AM$3)))</f>
        <v/>
      </c>
      <c r="AN127" s="124" t="str">
        <f>IF($B127="","",IF(AN$3=0,"n.b.",INDEX(SRC_ZPMW03!$A$1:$ZZ$501,$A127,AN$3)))</f>
        <v/>
      </c>
      <c r="AO127" s="124" t="str">
        <f>IF($B127="","",IF(AO$3=0,"n.b.",INDEX(SRC_ZPMW03!$A$1:$ZZ$501,$A127,AO$3)))</f>
        <v/>
      </c>
      <c r="AP127" s="124" t="str">
        <f>IF($B127="","",IF(AP$3=0,"n.b.",INDEX(SRC_ZPMW03!$A$1:$ZZ$501,$A127,AP$3)))</f>
        <v/>
      </c>
      <c r="AQ127" s="124" t="str">
        <f>IF($B127="","",IF(AQ$3=0,"n.b.",INDEX(SRC_ZPMW03!$A$1:$ZZ$501,$A127,AQ$3)))</f>
        <v/>
      </c>
      <c r="AR127" s="124" t="str">
        <f>IF($B127="","",IF(AR$3=0,"n.b.",INDEX(SRC_ZPMW03!$A$1:$ZZ$501,$A127,AR$3)))</f>
        <v/>
      </c>
      <c r="AS127" s="124" t="str">
        <f>IF($B127="","",IF(AS$3=0,"n.b.",INDEX(SRC_ZPMW03!$A$1:$ZZ$501,$A127,AS$3)))</f>
        <v/>
      </c>
      <c r="AT127" s="124" t="str">
        <f>IF($B127="","",IF(AT$3=0,"n.b.",INDEX(SRC_ZPMW03!$A$1:$ZZ$501,$A127,AT$3)))</f>
        <v/>
      </c>
      <c r="AU127" s="124" t="str">
        <f>IF($B127="","",IF(AU$3=0,"n.b.",INDEX(SRC_ZPMW03!$A$1:$ZZ$501,$A127,AU$3)))</f>
        <v/>
      </c>
      <c r="AV127" s="124" t="str">
        <f>IF($B127="","",IF(AV$3=0,"n.b.",INDEX(SRC_ZPMW03!$A$1:$ZZ$501,$A127,AV$3)))</f>
        <v/>
      </c>
      <c r="AW127" s="124" t="str">
        <f>IF($B127="","",IF(AW$3=0,"n.b.",INDEX(SRC_ZPMW03!$A$1:$ZZ$501,$A127,AW$3)))</f>
        <v/>
      </c>
      <c r="AX127" s="124" t="str">
        <f>IF($B127="","",IF(AX$3=0,"n.b.",INDEX(SRC_ZPMW03!$A$1:$ZZ$501,$A127,AX$3)))</f>
        <v/>
      </c>
      <c r="AY127" s="124" t="str">
        <f>IF($B127="","",IF(AY$3=0,"n.b.",INDEX(SRC_ZPMW03!$A$1:$ZZ$501,$A127,AY$3)))</f>
        <v/>
      </c>
      <c r="AZ127" s="124" t="str">
        <f>IF($B127="","",IF(AZ$3=0,"n.b.",INDEX(SRC_ZPMW03!$A$1:$ZZ$501,$A127,AZ$3)))</f>
        <v/>
      </c>
      <c r="BA127" s="124" t="str">
        <f>IF($B127="","",IF(BA$3=0,"n.b.",INDEX(SRC_ZPMW03!$A$1:$ZZ$501,$A127,BA$3)))</f>
        <v/>
      </c>
      <c r="BB127" s="124" t="str">
        <f>IF($B127="","",IF(BB$3=0,"n.b.",INDEX(SRC_ZPMW03!$A$1:$ZZ$501,$A127,BB$3)))</f>
        <v/>
      </c>
      <c r="BC127" s="124" t="str">
        <f>IF($B127="","",IF(BC$3=0,"n.b.",INDEX(SRC_ZPMW03!$A$1:$ZZ$501,$A127,BC$3)))</f>
        <v/>
      </c>
      <c r="BD127" s="124" t="str">
        <f>IF($B127="","",IF(BD$3=0,"n.b.",INDEX(SRC_ZPMW03!$A$1:$ZZ$501,$A127,BD$3)))</f>
        <v/>
      </c>
      <c r="BE127" s="124" t="str">
        <f>IF($B127="","",IF(BE$3=0,"n.b.",INDEX(SRC_ZPMW03!$A$1:$ZZ$501,$A127,BE$3)))</f>
        <v/>
      </c>
      <c r="BF127" s="124" t="str">
        <f>IF($B127="","",IF(BF$3=0,"n.b.",INDEX(SRC_ZPMW03!$A$1:$ZZ$501,$A127,BF$3)))</f>
        <v/>
      </c>
      <c r="BG127" t="str">
        <f>IF($B127="","",IF(BG$3=0,"n.b.",INDEX(SRC_ZPMW03!$A$1:$ZZ$501,$A127,BG$3)))</f>
        <v/>
      </c>
      <c r="BH127" t="str">
        <f>IF($B127="","",IF(BH$3=0,"n.b.",INDEX(SRC_ZPMW03!$A$1:$ZZ$501,$A127,BH$3)))</f>
        <v/>
      </c>
      <c r="BI127" t="str">
        <f>IF($B127="","",IF(BI$3=0,"n.b.",INDEX(SRC_ZPMW03!$A$1:$ZZ$501,$A127,BI$3)))</f>
        <v/>
      </c>
      <c r="BJ127" t="str">
        <f>IF($B127="","",IF(BJ$3=0,"n.b.",INDEX(SRC_ZPMW03!$A$1:$ZZ$501,$A127,BJ$3)))</f>
        <v/>
      </c>
      <c r="BK127" s="124" t="str">
        <f>IF($B127="","",IFERROR(-O127,"n.b."))</f>
        <v/>
      </c>
      <c r="BL127" s="124" t="str">
        <f>IF($B127="","",IFERROR(-Q127,"n.b."))</f>
        <v/>
      </c>
      <c r="BM127" s="124" t="str">
        <f>IF($B127="","",IFERROR(-AB127,"n.b."))</f>
        <v/>
      </c>
      <c r="BN127" s="124" t="str">
        <f>IF($B127="","",IFERROR(-AD127,"n.b."))</f>
        <v/>
      </c>
      <c r="BO127" s="124" t="str">
        <f>IF($B127="","",IFERROR(BK127+BM127,"n.b."))</f>
        <v/>
      </c>
      <c r="BP127" s="124" t="str">
        <f>IF($B127="","",IFERROR(BL127+BN127,"n.b."))</f>
        <v/>
      </c>
      <c r="BQ127" s="124" t="str">
        <f>IF($B127="","",IFERROR(-AM127,"n.b."))</f>
        <v/>
      </c>
      <c r="BR127" s="124" t="str">
        <f>IF($B127="","",IFERROR(-AO127,"n.b."))</f>
        <v/>
      </c>
      <c r="BS127" s="124" t="str">
        <f>IF($B127="","",IFERROR(-Z127,"n.b."))</f>
        <v/>
      </c>
      <c r="BT127" s="124" t="str">
        <f>IF($B127="","",IFERROR(-AA127,"n.b."))</f>
        <v/>
      </c>
      <c r="BU127" s="124" t="str">
        <f>IF($B127="","",IFERROR(-AE127,"n.b."))</f>
        <v/>
      </c>
      <c r="BV127" s="124" t="str">
        <f>IF($B127="","",IFERROR(-AF127,"n.b."))</f>
        <v/>
      </c>
      <c r="BW127" s="124" t="str">
        <f>IF($B127="","",IFERROR(-AG127,"n.b."))</f>
        <v/>
      </c>
      <c r="BX127" s="124" t="str">
        <f>IF($B127="","",IFERROR(-AH127,"n.b."))</f>
        <v/>
      </c>
      <c r="BY127" s="124" t="str">
        <f>IF($B127="","",IFERROR(-AI127,"n.b."))</f>
        <v/>
      </c>
      <c r="BZ127" s="124" t="str">
        <f>IF($B127="","",IFERROR(-AJ127,"n.b."))</f>
        <v/>
      </c>
      <c r="CA127" s="124" t="str">
        <f>IF($B127="","",IFERROR(-AK127,"n.b."))</f>
        <v/>
      </c>
      <c r="CB127" s="124" t="str">
        <f>IF($B127="","",IFERROR(-AL127,"n.b."))</f>
        <v/>
      </c>
      <c r="CC127" s="124" t="str">
        <f>IF($B127="","",IFERROR(-AP127,"n.b."))</f>
        <v/>
      </c>
      <c r="CD127" s="124" t="str">
        <f>IF($B127="","",IFERROR(-AQ127,"n.b."))</f>
        <v/>
      </c>
      <c r="CE127" s="124" t="str">
        <f>IF($B127="","",IFERROR(-AR127,"n.b."))</f>
        <v/>
      </c>
      <c r="CF127" s="124" t="str">
        <f>IF($B127="","",IFERROR(-AS127,"n.b."))</f>
        <v/>
      </c>
      <c r="CG127" s="124" t="str">
        <f>IF($B127="","",IFERROR(-AT127,"n.b."))</f>
        <v/>
      </c>
      <c r="CH127" s="124" t="str">
        <f>IF($B127="","",IFERROR(-AU127,"n.b."))</f>
        <v/>
      </c>
      <c r="CI127" s="124" t="str">
        <f>IF($B127="","",IFERROR(-AV127,"n.b."))</f>
        <v/>
      </c>
      <c r="CJ127" s="124" t="str">
        <f>IF($B127="","",IFERROR(-AW127,"n.b."))</f>
        <v/>
      </c>
      <c r="CK127" s="124" t="str">
        <f>IF($B127="","",IFERROR(-AX127,"n.b."))</f>
        <v/>
      </c>
      <c r="CL127" s="124" t="str">
        <f>IF($B127="","",IFERROR(-AY127,"n.b."))</f>
        <v/>
      </c>
      <c r="CM127" s="124" t="str">
        <f>IF($B127="","",IFERROR(-AZ127,"n.b."))</f>
        <v/>
      </c>
      <c r="CN127" s="124" t="str">
        <f>IF($B127="","",IFERROR(-BA127,"n.b."))</f>
        <v/>
      </c>
      <c r="CO127" s="124" t="str">
        <f>IF($B127="","",IFERROR(-BB127,"n.b."))</f>
        <v/>
      </c>
      <c r="CP127" s="124" t="str">
        <f>IF($B127="","",IFERROR(-BC127,"n.b."))</f>
        <v/>
      </c>
      <c r="CQ127" s="124" t="str">
        <f>IF($B127="","",IFERROR(-BD127,"n.b."))</f>
        <v/>
      </c>
      <c r="CR127" s="124" t="str">
        <f>IF($B127="","",IFERROR(-BE127,"n.b."))</f>
        <v/>
      </c>
      <c r="CS127" s="124" t="str">
        <f>IF($B127="","",IFERROR(IF(OR(ABS(T127+V127+X127+Z127-AB127)&gt;P_Tol,ABS(U127+W127+Y127+AA127-AD127)&gt;P_Tol,ABS(AE127+AG127+AI127+AK127-AM127)&gt;P_Tol,ABS(AF127+AH127+AJ127+AL127-AO127)&gt;P_Tol),1,0),1))</f>
        <v/>
      </c>
      <c r="CT127" s="124" t="str">
        <f>IF($B127="","",IFERROR(IF(OR(ABS(AB127+AC127-AD127)&gt;P_Tol,ABS(AM127+AN127-AO127)&gt;P_Tol,ABS(O127+P127-Q127)&gt;P_Tol),1,0),1))</f>
        <v/>
      </c>
      <c r="CU127" s="124" t="str">
        <f>IF($B127="","",IFERROR(IF(ABS(R127-(AB127+AM127+AP127+AR127+AT127+AV127+AX127+AZ127+BB127+BD127))&gt;P_Tol,1,0),1))</f>
        <v/>
      </c>
      <c r="CV127" s="124" t="str">
        <f>IF($B127="","",IFERROR(IF(ABS(M127-(N127+O127+R127))&gt;P_Tol,1,0),1))</f>
        <v/>
      </c>
      <c r="CW127" s="124" t="str">
        <f>IF($B127="","",IF(COUNTIF(Mapping!$A$5:$A$104,B127)&gt;0,1,0))</f>
        <v/>
      </c>
      <c r="CX127" s="124" t="str">
        <f>IF($B127="","",COUNTIF($B$6:$B$505,B127))</f>
        <v/>
      </c>
      <c r="CY127" s="124" t="str">
        <f>IF($B127="","",COUNTIF(STG_Woningetalage!$B$6:$B$505,B127))</f>
        <v/>
      </c>
      <c r="CZ127" s="124" t="str">
        <f>IF($B127="","",IF(CW127=0,COUNTIF($CW$6:CW127,0),""))</f>
        <v/>
      </c>
    </row>
    <row r="128">
      <c r="A128" s="15" t="n">
        <v>124</v>
      </c>
      <c r="B128" t="str">
        <f>IF(B$3=0,"",IF(INDEX(SRC_ZPMW03!$A$1:$ZZ$501,$A128,B$3)&amp;""="","",INDEX(SRC_ZPMW03!$A$1:$ZZ$501,$A128,B$3)&amp;""))</f>
        <v/>
      </c>
      <c r="C128" t="str">
        <f>IF($B128="","",IF(C$3=0,"n.b.",INDEX(SRC_ZPMW03!$A$1:$ZZ$501,$A128,C$3)))</f>
        <v/>
      </c>
      <c r="D128" t="str">
        <f>IF($B128="","",IF(D$3=0,"n.b.",INDEX(SRC_ZPMW03!$A$1:$ZZ$501,$A128,D$3)))</f>
        <v/>
      </c>
      <c r="E128" t="str">
        <f>IF($B128="","",IF(E$3=0,"n.b.",INDEX(SRC_ZPMW03!$A$1:$ZZ$501,$A128,E$3)))</f>
        <v/>
      </c>
      <c r="F128" t="str">
        <f>IF($B128="","",IF(F$3=0,"n.b.",INDEX(SRC_ZPMW03!$A$1:$ZZ$501,$A128,F$3)))</f>
        <v/>
      </c>
      <c r="G128" t="str">
        <f>IF($B128="","",IF(G$3=0,"n.b.",INDEX(SRC_ZPMW03!$A$1:$ZZ$501,$A128,G$3)))</f>
        <v/>
      </c>
      <c r="H128" t="str">
        <f>IF($B128="","",IF(H$3=0,"n.b.",INDEX(SRC_ZPMW03!$A$1:$ZZ$501,$A128,H$3)))</f>
        <v/>
      </c>
      <c r="I128" t="str">
        <f>IF($B128="","",IF(I$3=0,"n.b.",INDEX(SRC_ZPMW03!$A$1:$ZZ$501,$A128,I$3)))</f>
        <v/>
      </c>
      <c r="J128" t="str">
        <f>IF($B128="","",IF(J$3=0,"n.b.",INDEX(SRC_ZPMW03!$A$1:$ZZ$501,$A128,J$3)))</f>
        <v/>
      </c>
      <c r="K128" t="str">
        <f>IF($B128="","",IF(K$3=0,"n.b.",INDEX(SRC_ZPMW03!$A$1:$ZZ$501,$A128,K$3)))</f>
        <v/>
      </c>
      <c r="L128" s="124" t="str">
        <f>IF($B128="","",IF(L$3=0,"n.b.",INDEX(SRC_ZPMW03!$A$1:$ZZ$501,$A128,L$3)))</f>
        <v/>
      </c>
      <c r="M128" s="124" t="str">
        <f>IF($B128="","",IF(M$3=0,"n.b.",INDEX(SRC_ZPMW03!$A$1:$ZZ$501,$A128,M$3)))</f>
        <v/>
      </c>
      <c r="N128" s="124" t="str">
        <f>IF($B128="","",IF(N$3=0,"n.b.",INDEX(SRC_ZPMW03!$A$1:$ZZ$501,$A128,N$3)))</f>
        <v/>
      </c>
      <c r="O128" s="124" t="str">
        <f>IF($B128="","",IF(O$3=0,"n.b.",INDEX(SRC_ZPMW03!$A$1:$ZZ$501,$A128,O$3)))</f>
        <v/>
      </c>
      <c r="P128" s="124" t="str">
        <f>IF($B128="","",IF(P$3=0,"n.b.",INDEX(SRC_ZPMW03!$A$1:$ZZ$501,$A128,P$3)))</f>
        <v/>
      </c>
      <c r="Q128" s="124" t="str">
        <f>IF($B128="","",IF(Q$3=0,"n.b.",INDEX(SRC_ZPMW03!$A$1:$ZZ$501,$A128,Q$3)))</f>
        <v/>
      </c>
      <c r="R128" s="124" t="str">
        <f>IF($B128="","",IF(R$3=0,"n.b.",INDEX(SRC_ZPMW03!$A$1:$ZZ$501,$A128,R$3)))</f>
        <v/>
      </c>
      <c r="S128" s="124" t="str">
        <f>IF($B128="","",IF(S$3=0,"n.b.",INDEX(SRC_ZPMW03!$A$1:$ZZ$501,$A128,S$3)))</f>
        <v/>
      </c>
      <c r="T128" s="124" t="str">
        <f>IF($B128="","",IF(T$3=0,"n.b.",INDEX(SRC_ZPMW03!$A$1:$ZZ$501,$A128,T$3)))</f>
        <v/>
      </c>
      <c r="U128" s="124" t="str">
        <f>IF($B128="","",IF(U$3=0,"n.b.",INDEX(SRC_ZPMW03!$A$1:$ZZ$501,$A128,U$3)))</f>
        <v/>
      </c>
      <c r="V128" s="124" t="str">
        <f>IF($B128="","",IF(V$3=0,"n.b.",INDEX(SRC_ZPMW03!$A$1:$ZZ$501,$A128,V$3)))</f>
        <v/>
      </c>
      <c r="W128" s="124" t="str">
        <f>IF($B128="","",IF(W$3=0,"n.b.",INDEX(SRC_ZPMW03!$A$1:$ZZ$501,$A128,W$3)))</f>
        <v/>
      </c>
      <c r="X128" s="124" t="str">
        <f>IF($B128="","",IF(X$3=0,"n.b.",INDEX(SRC_ZPMW03!$A$1:$ZZ$501,$A128,X$3)))</f>
        <v/>
      </c>
      <c r="Y128" s="124" t="str">
        <f>IF($B128="","",IF(Y$3=0,"n.b.",INDEX(SRC_ZPMW03!$A$1:$ZZ$501,$A128,Y$3)))</f>
        <v/>
      </c>
      <c r="Z128" s="124" t="str">
        <f>IF($B128="","",IF(Z$3=0,"n.b.",INDEX(SRC_ZPMW03!$A$1:$ZZ$501,$A128,Z$3)))</f>
        <v/>
      </c>
      <c r="AA128" s="124" t="str">
        <f>IF($B128="","",IF(AA$3=0,"n.b.",INDEX(SRC_ZPMW03!$A$1:$ZZ$501,$A128,AA$3)))</f>
        <v/>
      </c>
      <c r="AB128" s="124" t="str">
        <f>IF($B128="","",IF(AB$3=0,"n.b.",INDEX(SRC_ZPMW03!$A$1:$ZZ$501,$A128,AB$3)))</f>
        <v/>
      </c>
      <c r="AC128" s="124" t="str">
        <f>IF($B128="","",IF(AC$3=0,"n.b.",INDEX(SRC_ZPMW03!$A$1:$ZZ$501,$A128,AC$3)))</f>
        <v/>
      </c>
      <c r="AD128" s="124" t="str">
        <f>IF($B128="","",IF(AD$3=0,"n.b.",INDEX(SRC_ZPMW03!$A$1:$ZZ$501,$A128,AD$3)))</f>
        <v/>
      </c>
      <c r="AE128" s="124" t="str">
        <f>IF($B128="","",IF(AE$3=0,"n.b.",INDEX(SRC_ZPMW03!$A$1:$ZZ$501,$A128,AE$3)))</f>
        <v/>
      </c>
      <c r="AF128" s="124" t="str">
        <f>IF($B128="","",IF(AF$3=0,"n.b.",INDEX(SRC_ZPMW03!$A$1:$ZZ$501,$A128,AF$3)))</f>
        <v/>
      </c>
      <c r="AG128" s="124" t="str">
        <f>IF($B128="","",IF(AG$3=0,"n.b.",INDEX(SRC_ZPMW03!$A$1:$ZZ$501,$A128,AG$3)))</f>
        <v/>
      </c>
      <c r="AH128" s="124" t="str">
        <f>IF($B128="","",IF(AH$3=0,"n.b.",INDEX(SRC_ZPMW03!$A$1:$ZZ$501,$A128,AH$3)))</f>
        <v/>
      </c>
      <c r="AI128" s="124" t="str">
        <f>IF($B128="","",IF(AI$3=0,"n.b.",INDEX(SRC_ZPMW03!$A$1:$ZZ$501,$A128,AI$3)))</f>
        <v/>
      </c>
      <c r="AJ128" s="124" t="str">
        <f>IF($B128="","",IF(AJ$3=0,"n.b.",INDEX(SRC_ZPMW03!$A$1:$ZZ$501,$A128,AJ$3)))</f>
        <v/>
      </c>
      <c r="AK128" s="124" t="str">
        <f>IF($B128="","",IF(AK$3=0,"n.b.",INDEX(SRC_ZPMW03!$A$1:$ZZ$501,$A128,AK$3)))</f>
        <v/>
      </c>
      <c r="AL128" s="124" t="str">
        <f>IF($B128="","",IF(AL$3=0,"n.b.",INDEX(SRC_ZPMW03!$A$1:$ZZ$501,$A128,AL$3)))</f>
        <v/>
      </c>
      <c r="AM128" s="124" t="str">
        <f>IF($B128="","",IF(AM$3=0,"n.b.",INDEX(SRC_ZPMW03!$A$1:$ZZ$501,$A128,AM$3)))</f>
        <v/>
      </c>
      <c r="AN128" s="124" t="str">
        <f>IF($B128="","",IF(AN$3=0,"n.b.",INDEX(SRC_ZPMW03!$A$1:$ZZ$501,$A128,AN$3)))</f>
        <v/>
      </c>
      <c r="AO128" s="124" t="str">
        <f>IF($B128="","",IF(AO$3=0,"n.b.",INDEX(SRC_ZPMW03!$A$1:$ZZ$501,$A128,AO$3)))</f>
        <v/>
      </c>
      <c r="AP128" s="124" t="str">
        <f>IF($B128="","",IF(AP$3=0,"n.b.",INDEX(SRC_ZPMW03!$A$1:$ZZ$501,$A128,AP$3)))</f>
        <v/>
      </c>
      <c r="AQ128" s="124" t="str">
        <f>IF($B128="","",IF(AQ$3=0,"n.b.",INDEX(SRC_ZPMW03!$A$1:$ZZ$501,$A128,AQ$3)))</f>
        <v/>
      </c>
      <c r="AR128" s="124" t="str">
        <f>IF($B128="","",IF(AR$3=0,"n.b.",INDEX(SRC_ZPMW03!$A$1:$ZZ$501,$A128,AR$3)))</f>
        <v/>
      </c>
      <c r="AS128" s="124" t="str">
        <f>IF($B128="","",IF(AS$3=0,"n.b.",INDEX(SRC_ZPMW03!$A$1:$ZZ$501,$A128,AS$3)))</f>
        <v/>
      </c>
      <c r="AT128" s="124" t="str">
        <f>IF($B128="","",IF(AT$3=0,"n.b.",INDEX(SRC_ZPMW03!$A$1:$ZZ$501,$A128,AT$3)))</f>
        <v/>
      </c>
      <c r="AU128" s="124" t="str">
        <f>IF($B128="","",IF(AU$3=0,"n.b.",INDEX(SRC_ZPMW03!$A$1:$ZZ$501,$A128,AU$3)))</f>
        <v/>
      </c>
      <c r="AV128" s="124" t="str">
        <f>IF($B128="","",IF(AV$3=0,"n.b.",INDEX(SRC_ZPMW03!$A$1:$ZZ$501,$A128,AV$3)))</f>
        <v/>
      </c>
      <c r="AW128" s="124" t="str">
        <f>IF($B128="","",IF(AW$3=0,"n.b.",INDEX(SRC_ZPMW03!$A$1:$ZZ$501,$A128,AW$3)))</f>
        <v/>
      </c>
      <c r="AX128" s="124" t="str">
        <f>IF($B128="","",IF(AX$3=0,"n.b.",INDEX(SRC_ZPMW03!$A$1:$ZZ$501,$A128,AX$3)))</f>
        <v/>
      </c>
      <c r="AY128" s="124" t="str">
        <f>IF($B128="","",IF(AY$3=0,"n.b.",INDEX(SRC_ZPMW03!$A$1:$ZZ$501,$A128,AY$3)))</f>
        <v/>
      </c>
      <c r="AZ128" s="124" t="str">
        <f>IF($B128="","",IF(AZ$3=0,"n.b.",INDEX(SRC_ZPMW03!$A$1:$ZZ$501,$A128,AZ$3)))</f>
        <v/>
      </c>
      <c r="BA128" s="124" t="str">
        <f>IF($B128="","",IF(BA$3=0,"n.b.",INDEX(SRC_ZPMW03!$A$1:$ZZ$501,$A128,BA$3)))</f>
        <v/>
      </c>
      <c r="BB128" s="124" t="str">
        <f>IF($B128="","",IF(BB$3=0,"n.b.",INDEX(SRC_ZPMW03!$A$1:$ZZ$501,$A128,BB$3)))</f>
        <v/>
      </c>
      <c r="BC128" s="124" t="str">
        <f>IF($B128="","",IF(BC$3=0,"n.b.",INDEX(SRC_ZPMW03!$A$1:$ZZ$501,$A128,BC$3)))</f>
        <v/>
      </c>
      <c r="BD128" s="124" t="str">
        <f>IF($B128="","",IF(BD$3=0,"n.b.",INDEX(SRC_ZPMW03!$A$1:$ZZ$501,$A128,BD$3)))</f>
        <v/>
      </c>
      <c r="BE128" s="124" t="str">
        <f>IF($B128="","",IF(BE$3=0,"n.b.",INDEX(SRC_ZPMW03!$A$1:$ZZ$501,$A128,BE$3)))</f>
        <v/>
      </c>
      <c r="BF128" s="124" t="str">
        <f>IF($B128="","",IF(BF$3=0,"n.b.",INDEX(SRC_ZPMW03!$A$1:$ZZ$501,$A128,BF$3)))</f>
        <v/>
      </c>
      <c r="BG128" t="str">
        <f>IF($B128="","",IF(BG$3=0,"n.b.",INDEX(SRC_ZPMW03!$A$1:$ZZ$501,$A128,BG$3)))</f>
        <v/>
      </c>
      <c r="BH128" t="str">
        <f>IF($B128="","",IF(BH$3=0,"n.b.",INDEX(SRC_ZPMW03!$A$1:$ZZ$501,$A128,BH$3)))</f>
        <v/>
      </c>
      <c r="BI128" t="str">
        <f>IF($B128="","",IF(BI$3=0,"n.b.",INDEX(SRC_ZPMW03!$A$1:$ZZ$501,$A128,BI$3)))</f>
        <v/>
      </c>
      <c r="BJ128" t="str">
        <f>IF($B128="","",IF(BJ$3=0,"n.b.",INDEX(SRC_ZPMW03!$A$1:$ZZ$501,$A128,BJ$3)))</f>
        <v/>
      </c>
      <c r="BK128" s="124" t="str">
        <f>IF($B128="","",IFERROR(-O128,"n.b."))</f>
        <v/>
      </c>
      <c r="BL128" s="124" t="str">
        <f>IF($B128="","",IFERROR(-Q128,"n.b."))</f>
        <v/>
      </c>
      <c r="BM128" s="124" t="str">
        <f>IF($B128="","",IFERROR(-AB128,"n.b."))</f>
        <v/>
      </c>
      <c r="BN128" s="124" t="str">
        <f>IF($B128="","",IFERROR(-AD128,"n.b."))</f>
        <v/>
      </c>
      <c r="BO128" s="124" t="str">
        <f>IF($B128="","",IFERROR(BK128+BM128,"n.b."))</f>
        <v/>
      </c>
      <c r="BP128" s="124" t="str">
        <f>IF($B128="","",IFERROR(BL128+BN128,"n.b."))</f>
        <v/>
      </c>
      <c r="BQ128" s="124" t="str">
        <f>IF($B128="","",IFERROR(-AM128,"n.b."))</f>
        <v/>
      </c>
      <c r="BR128" s="124" t="str">
        <f>IF($B128="","",IFERROR(-AO128,"n.b."))</f>
        <v/>
      </c>
      <c r="BS128" s="124" t="str">
        <f>IF($B128="","",IFERROR(-Z128,"n.b."))</f>
        <v/>
      </c>
      <c r="BT128" s="124" t="str">
        <f>IF($B128="","",IFERROR(-AA128,"n.b."))</f>
        <v/>
      </c>
      <c r="BU128" s="124" t="str">
        <f>IF($B128="","",IFERROR(-AE128,"n.b."))</f>
        <v/>
      </c>
      <c r="BV128" s="124" t="str">
        <f>IF($B128="","",IFERROR(-AF128,"n.b."))</f>
        <v/>
      </c>
      <c r="BW128" s="124" t="str">
        <f>IF($B128="","",IFERROR(-AG128,"n.b."))</f>
        <v/>
      </c>
      <c r="BX128" s="124" t="str">
        <f>IF($B128="","",IFERROR(-AH128,"n.b."))</f>
        <v/>
      </c>
      <c r="BY128" s="124" t="str">
        <f>IF($B128="","",IFERROR(-AI128,"n.b."))</f>
        <v/>
      </c>
      <c r="BZ128" s="124" t="str">
        <f>IF($B128="","",IFERROR(-AJ128,"n.b."))</f>
        <v/>
      </c>
      <c r="CA128" s="124" t="str">
        <f>IF($B128="","",IFERROR(-AK128,"n.b."))</f>
        <v/>
      </c>
      <c r="CB128" s="124" t="str">
        <f>IF($B128="","",IFERROR(-AL128,"n.b."))</f>
        <v/>
      </c>
      <c r="CC128" s="124" t="str">
        <f>IF($B128="","",IFERROR(-AP128,"n.b."))</f>
        <v/>
      </c>
      <c r="CD128" s="124" t="str">
        <f>IF($B128="","",IFERROR(-AQ128,"n.b."))</f>
        <v/>
      </c>
      <c r="CE128" s="124" t="str">
        <f>IF($B128="","",IFERROR(-AR128,"n.b."))</f>
        <v/>
      </c>
      <c r="CF128" s="124" t="str">
        <f>IF($B128="","",IFERROR(-AS128,"n.b."))</f>
        <v/>
      </c>
      <c r="CG128" s="124" t="str">
        <f>IF($B128="","",IFERROR(-AT128,"n.b."))</f>
        <v/>
      </c>
      <c r="CH128" s="124" t="str">
        <f>IF($B128="","",IFERROR(-AU128,"n.b."))</f>
        <v/>
      </c>
      <c r="CI128" s="124" t="str">
        <f>IF($B128="","",IFERROR(-AV128,"n.b."))</f>
        <v/>
      </c>
      <c r="CJ128" s="124" t="str">
        <f>IF($B128="","",IFERROR(-AW128,"n.b."))</f>
        <v/>
      </c>
      <c r="CK128" s="124" t="str">
        <f>IF($B128="","",IFERROR(-AX128,"n.b."))</f>
        <v/>
      </c>
      <c r="CL128" s="124" t="str">
        <f>IF($B128="","",IFERROR(-AY128,"n.b."))</f>
        <v/>
      </c>
      <c r="CM128" s="124" t="str">
        <f>IF($B128="","",IFERROR(-AZ128,"n.b."))</f>
        <v/>
      </c>
      <c r="CN128" s="124" t="str">
        <f>IF($B128="","",IFERROR(-BA128,"n.b."))</f>
        <v/>
      </c>
      <c r="CO128" s="124" t="str">
        <f>IF($B128="","",IFERROR(-BB128,"n.b."))</f>
        <v/>
      </c>
      <c r="CP128" s="124" t="str">
        <f>IF($B128="","",IFERROR(-BC128,"n.b."))</f>
        <v/>
      </c>
      <c r="CQ128" s="124" t="str">
        <f>IF($B128="","",IFERROR(-BD128,"n.b."))</f>
        <v/>
      </c>
      <c r="CR128" s="124" t="str">
        <f>IF($B128="","",IFERROR(-BE128,"n.b."))</f>
        <v/>
      </c>
      <c r="CS128" s="124" t="str">
        <f>IF($B128="","",IFERROR(IF(OR(ABS(T128+V128+X128+Z128-AB128)&gt;P_Tol,ABS(U128+W128+Y128+AA128-AD128)&gt;P_Tol,ABS(AE128+AG128+AI128+AK128-AM128)&gt;P_Tol,ABS(AF128+AH128+AJ128+AL128-AO128)&gt;P_Tol),1,0),1))</f>
        <v/>
      </c>
      <c r="CT128" s="124" t="str">
        <f>IF($B128="","",IFERROR(IF(OR(ABS(AB128+AC128-AD128)&gt;P_Tol,ABS(AM128+AN128-AO128)&gt;P_Tol,ABS(O128+P128-Q128)&gt;P_Tol),1,0),1))</f>
        <v/>
      </c>
      <c r="CU128" s="124" t="str">
        <f>IF($B128="","",IFERROR(IF(ABS(R128-(AB128+AM128+AP128+AR128+AT128+AV128+AX128+AZ128+BB128+BD128))&gt;P_Tol,1,0),1))</f>
        <v/>
      </c>
      <c r="CV128" s="124" t="str">
        <f>IF($B128="","",IFERROR(IF(ABS(M128-(N128+O128+R128))&gt;P_Tol,1,0),1))</f>
        <v/>
      </c>
      <c r="CW128" s="124" t="str">
        <f>IF($B128="","",IF(COUNTIF(Mapping!$A$5:$A$104,B128)&gt;0,1,0))</f>
        <v/>
      </c>
      <c r="CX128" s="124" t="str">
        <f>IF($B128="","",COUNTIF($B$6:$B$505,B128))</f>
        <v/>
      </c>
      <c r="CY128" s="124" t="str">
        <f>IF($B128="","",COUNTIF(STG_Woningetalage!$B$6:$B$505,B128))</f>
        <v/>
      </c>
      <c r="CZ128" s="124" t="str">
        <f>IF($B128="","",IF(CW128=0,COUNTIF($CW$6:CW128,0),""))</f>
        <v/>
      </c>
    </row>
    <row r="129">
      <c r="A129" s="15" t="n">
        <v>125</v>
      </c>
      <c r="B129" t="str">
        <f>IF(B$3=0,"",IF(INDEX(SRC_ZPMW03!$A$1:$ZZ$501,$A129,B$3)&amp;""="","",INDEX(SRC_ZPMW03!$A$1:$ZZ$501,$A129,B$3)&amp;""))</f>
        <v/>
      </c>
      <c r="C129" t="str">
        <f>IF($B129="","",IF(C$3=0,"n.b.",INDEX(SRC_ZPMW03!$A$1:$ZZ$501,$A129,C$3)))</f>
        <v/>
      </c>
      <c r="D129" t="str">
        <f>IF($B129="","",IF(D$3=0,"n.b.",INDEX(SRC_ZPMW03!$A$1:$ZZ$501,$A129,D$3)))</f>
        <v/>
      </c>
      <c r="E129" t="str">
        <f>IF($B129="","",IF(E$3=0,"n.b.",INDEX(SRC_ZPMW03!$A$1:$ZZ$501,$A129,E$3)))</f>
        <v/>
      </c>
      <c r="F129" t="str">
        <f>IF($B129="","",IF(F$3=0,"n.b.",INDEX(SRC_ZPMW03!$A$1:$ZZ$501,$A129,F$3)))</f>
        <v/>
      </c>
      <c r="G129" t="str">
        <f>IF($B129="","",IF(G$3=0,"n.b.",INDEX(SRC_ZPMW03!$A$1:$ZZ$501,$A129,G$3)))</f>
        <v/>
      </c>
      <c r="H129" t="str">
        <f>IF($B129="","",IF(H$3=0,"n.b.",INDEX(SRC_ZPMW03!$A$1:$ZZ$501,$A129,H$3)))</f>
        <v/>
      </c>
      <c r="I129" t="str">
        <f>IF($B129="","",IF(I$3=0,"n.b.",INDEX(SRC_ZPMW03!$A$1:$ZZ$501,$A129,I$3)))</f>
        <v/>
      </c>
      <c r="J129" t="str">
        <f>IF($B129="","",IF(J$3=0,"n.b.",INDEX(SRC_ZPMW03!$A$1:$ZZ$501,$A129,J$3)))</f>
        <v/>
      </c>
      <c r="K129" t="str">
        <f>IF($B129="","",IF(K$3=0,"n.b.",INDEX(SRC_ZPMW03!$A$1:$ZZ$501,$A129,K$3)))</f>
        <v/>
      </c>
      <c r="L129" s="124" t="str">
        <f>IF($B129="","",IF(L$3=0,"n.b.",INDEX(SRC_ZPMW03!$A$1:$ZZ$501,$A129,L$3)))</f>
        <v/>
      </c>
      <c r="M129" s="124" t="str">
        <f>IF($B129="","",IF(M$3=0,"n.b.",INDEX(SRC_ZPMW03!$A$1:$ZZ$501,$A129,M$3)))</f>
        <v/>
      </c>
      <c r="N129" s="124" t="str">
        <f>IF($B129="","",IF(N$3=0,"n.b.",INDEX(SRC_ZPMW03!$A$1:$ZZ$501,$A129,N$3)))</f>
        <v/>
      </c>
      <c r="O129" s="124" t="str">
        <f>IF($B129="","",IF(O$3=0,"n.b.",INDEX(SRC_ZPMW03!$A$1:$ZZ$501,$A129,O$3)))</f>
        <v/>
      </c>
      <c r="P129" s="124" t="str">
        <f>IF($B129="","",IF(P$3=0,"n.b.",INDEX(SRC_ZPMW03!$A$1:$ZZ$501,$A129,P$3)))</f>
        <v/>
      </c>
      <c r="Q129" s="124" t="str">
        <f>IF($B129="","",IF(Q$3=0,"n.b.",INDEX(SRC_ZPMW03!$A$1:$ZZ$501,$A129,Q$3)))</f>
        <v/>
      </c>
      <c r="R129" s="124" t="str">
        <f>IF($B129="","",IF(R$3=0,"n.b.",INDEX(SRC_ZPMW03!$A$1:$ZZ$501,$A129,R$3)))</f>
        <v/>
      </c>
      <c r="S129" s="124" t="str">
        <f>IF($B129="","",IF(S$3=0,"n.b.",INDEX(SRC_ZPMW03!$A$1:$ZZ$501,$A129,S$3)))</f>
        <v/>
      </c>
      <c r="T129" s="124" t="str">
        <f>IF($B129="","",IF(T$3=0,"n.b.",INDEX(SRC_ZPMW03!$A$1:$ZZ$501,$A129,T$3)))</f>
        <v/>
      </c>
      <c r="U129" s="124" t="str">
        <f>IF($B129="","",IF(U$3=0,"n.b.",INDEX(SRC_ZPMW03!$A$1:$ZZ$501,$A129,U$3)))</f>
        <v/>
      </c>
      <c r="V129" s="124" t="str">
        <f>IF($B129="","",IF(V$3=0,"n.b.",INDEX(SRC_ZPMW03!$A$1:$ZZ$501,$A129,V$3)))</f>
        <v/>
      </c>
      <c r="W129" s="124" t="str">
        <f>IF($B129="","",IF(W$3=0,"n.b.",INDEX(SRC_ZPMW03!$A$1:$ZZ$501,$A129,W$3)))</f>
        <v/>
      </c>
      <c r="X129" s="124" t="str">
        <f>IF($B129="","",IF(X$3=0,"n.b.",INDEX(SRC_ZPMW03!$A$1:$ZZ$501,$A129,X$3)))</f>
        <v/>
      </c>
      <c r="Y129" s="124" t="str">
        <f>IF($B129="","",IF(Y$3=0,"n.b.",INDEX(SRC_ZPMW03!$A$1:$ZZ$501,$A129,Y$3)))</f>
        <v/>
      </c>
      <c r="Z129" s="124" t="str">
        <f>IF($B129="","",IF(Z$3=0,"n.b.",INDEX(SRC_ZPMW03!$A$1:$ZZ$501,$A129,Z$3)))</f>
        <v/>
      </c>
      <c r="AA129" s="124" t="str">
        <f>IF($B129="","",IF(AA$3=0,"n.b.",INDEX(SRC_ZPMW03!$A$1:$ZZ$501,$A129,AA$3)))</f>
        <v/>
      </c>
      <c r="AB129" s="124" t="str">
        <f>IF($B129="","",IF(AB$3=0,"n.b.",INDEX(SRC_ZPMW03!$A$1:$ZZ$501,$A129,AB$3)))</f>
        <v/>
      </c>
      <c r="AC129" s="124" t="str">
        <f>IF($B129="","",IF(AC$3=0,"n.b.",INDEX(SRC_ZPMW03!$A$1:$ZZ$501,$A129,AC$3)))</f>
        <v/>
      </c>
      <c r="AD129" s="124" t="str">
        <f>IF($B129="","",IF(AD$3=0,"n.b.",INDEX(SRC_ZPMW03!$A$1:$ZZ$501,$A129,AD$3)))</f>
        <v/>
      </c>
      <c r="AE129" s="124" t="str">
        <f>IF($B129="","",IF(AE$3=0,"n.b.",INDEX(SRC_ZPMW03!$A$1:$ZZ$501,$A129,AE$3)))</f>
        <v/>
      </c>
      <c r="AF129" s="124" t="str">
        <f>IF($B129="","",IF(AF$3=0,"n.b.",INDEX(SRC_ZPMW03!$A$1:$ZZ$501,$A129,AF$3)))</f>
        <v/>
      </c>
      <c r="AG129" s="124" t="str">
        <f>IF($B129="","",IF(AG$3=0,"n.b.",INDEX(SRC_ZPMW03!$A$1:$ZZ$501,$A129,AG$3)))</f>
        <v/>
      </c>
      <c r="AH129" s="124" t="str">
        <f>IF($B129="","",IF(AH$3=0,"n.b.",INDEX(SRC_ZPMW03!$A$1:$ZZ$501,$A129,AH$3)))</f>
        <v/>
      </c>
      <c r="AI129" s="124" t="str">
        <f>IF($B129="","",IF(AI$3=0,"n.b.",INDEX(SRC_ZPMW03!$A$1:$ZZ$501,$A129,AI$3)))</f>
        <v/>
      </c>
      <c r="AJ129" s="124" t="str">
        <f>IF($B129="","",IF(AJ$3=0,"n.b.",INDEX(SRC_ZPMW03!$A$1:$ZZ$501,$A129,AJ$3)))</f>
        <v/>
      </c>
      <c r="AK129" s="124" t="str">
        <f>IF($B129="","",IF(AK$3=0,"n.b.",INDEX(SRC_ZPMW03!$A$1:$ZZ$501,$A129,AK$3)))</f>
        <v/>
      </c>
      <c r="AL129" s="124" t="str">
        <f>IF($B129="","",IF(AL$3=0,"n.b.",INDEX(SRC_ZPMW03!$A$1:$ZZ$501,$A129,AL$3)))</f>
        <v/>
      </c>
      <c r="AM129" s="124" t="str">
        <f>IF($B129="","",IF(AM$3=0,"n.b.",INDEX(SRC_ZPMW03!$A$1:$ZZ$501,$A129,AM$3)))</f>
        <v/>
      </c>
      <c r="AN129" s="124" t="str">
        <f>IF($B129="","",IF(AN$3=0,"n.b.",INDEX(SRC_ZPMW03!$A$1:$ZZ$501,$A129,AN$3)))</f>
        <v/>
      </c>
      <c r="AO129" s="124" t="str">
        <f>IF($B129="","",IF(AO$3=0,"n.b.",INDEX(SRC_ZPMW03!$A$1:$ZZ$501,$A129,AO$3)))</f>
        <v/>
      </c>
      <c r="AP129" s="124" t="str">
        <f>IF($B129="","",IF(AP$3=0,"n.b.",INDEX(SRC_ZPMW03!$A$1:$ZZ$501,$A129,AP$3)))</f>
        <v/>
      </c>
      <c r="AQ129" s="124" t="str">
        <f>IF($B129="","",IF(AQ$3=0,"n.b.",INDEX(SRC_ZPMW03!$A$1:$ZZ$501,$A129,AQ$3)))</f>
        <v/>
      </c>
      <c r="AR129" s="124" t="str">
        <f>IF($B129="","",IF(AR$3=0,"n.b.",INDEX(SRC_ZPMW03!$A$1:$ZZ$501,$A129,AR$3)))</f>
        <v/>
      </c>
      <c r="AS129" s="124" t="str">
        <f>IF($B129="","",IF(AS$3=0,"n.b.",INDEX(SRC_ZPMW03!$A$1:$ZZ$501,$A129,AS$3)))</f>
        <v/>
      </c>
      <c r="AT129" s="124" t="str">
        <f>IF($B129="","",IF(AT$3=0,"n.b.",INDEX(SRC_ZPMW03!$A$1:$ZZ$501,$A129,AT$3)))</f>
        <v/>
      </c>
      <c r="AU129" s="124" t="str">
        <f>IF($B129="","",IF(AU$3=0,"n.b.",INDEX(SRC_ZPMW03!$A$1:$ZZ$501,$A129,AU$3)))</f>
        <v/>
      </c>
      <c r="AV129" s="124" t="str">
        <f>IF($B129="","",IF(AV$3=0,"n.b.",INDEX(SRC_ZPMW03!$A$1:$ZZ$501,$A129,AV$3)))</f>
        <v/>
      </c>
      <c r="AW129" s="124" t="str">
        <f>IF($B129="","",IF(AW$3=0,"n.b.",INDEX(SRC_ZPMW03!$A$1:$ZZ$501,$A129,AW$3)))</f>
        <v/>
      </c>
      <c r="AX129" s="124" t="str">
        <f>IF($B129="","",IF(AX$3=0,"n.b.",INDEX(SRC_ZPMW03!$A$1:$ZZ$501,$A129,AX$3)))</f>
        <v/>
      </c>
      <c r="AY129" s="124" t="str">
        <f>IF($B129="","",IF(AY$3=0,"n.b.",INDEX(SRC_ZPMW03!$A$1:$ZZ$501,$A129,AY$3)))</f>
        <v/>
      </c>
      <c r="AZ129" s="124" t="str">
        <f>IF($B129="","",IF(AZ$3=0,"n.b.",INDEX(SRC_ZPMW03!$A$1:$ZZ$501,$A129,AZ$3)))</f>
        <v/>
      </c>
      <c r="BA129" s="124" t="str">
        <f>IF($B129="","",IF(BA$3=0,"n.b.",INDEX(SRC_ZPMW03!$A$1:$ZZ$501,$A129,BA$3)))</f>
        <v/>
      </c>
      <c r="BB129" s="124" t="str">
        <f>IF($B129="","",IF(BB$3=0,"n.b.",INDEX(SRC_ZPMW03!$A$1:$ZZ$501,$A129,BB$3)))</f>
        <v/>
      </c>
      <c r="BC129" s="124" t="str">
        <f>IF($B129="","",IF(BC$3=0,"n.b.",INDEX(SRC_ZPMW03!$A$1:$ZZ$501,$A129,BC$3)))</f>
        <v/>
      </c>
      <c r="BD129" s="124" t="str">
        <f>IF($B129="","",IF(BD$3=0,"n.b.",INDEX(SRC_ZPMW03!$A$1:$ZZ$501,$A129,BD$3)))</f>
        <v/>
      </c>
      <c r="BE129" s="124" t="str">
        <f>IF($B129="","",IF(BE$3=0,"n.b.",INDEX(SRC_ZPMW03!$A$1:$ZZ$501,$A129,BE$3)))</f>
        <v/>
      </c>
      <c r="BF129" s="124" t="str">
        <f>IF($B129="","",IF(BF$3=0,"n.b.",INDEX(SRC_ZPMW03!$A$1:$ZZ$501,$A129,BF$3)))</f>
        <v/>
      </c>
      <c r="BG129" t="str">
        <f>IF($B129="","",IF(BG$3=0,"n.b.",INDEX(SRC_ZPMW03!$A$1:$ZZ$501,$A129,BG$3)))</f>
        <v/>
      </c>
      <c r="BH129" t="str">
        <f>IF($B129="","",IF(BH$3=0,"n.b.",INDEX(SRC_ZPMW03!$A$1:$ZZ$501,$A129,BH$3)))</f>
        <v/>
      </c>
      <c r="BI129" t="str">
        <f>IF($B129="","",IF(BI$3=0,"n.b.",INDEX(SRC_ZPMW03!$A$1:$ZZ$501,$A129,BI$3)))</f>
        <v/>
      </c>
      <c r="BJ129" t="str">
        <f>IF($B129="","",IF(BJ$3=0,"n.b.",INDEX(SRC_ZPMW03!$A$1:$ZZ$501,$A129,BJ$3)))</f>
        <v/>
      </c>
      <c r="BK129" s="124" t="str">
        <f>IF($B129="","",IFERROR(-O129,"n.b."))</f>
        <v/>
      </c>
      <c r="BL129" s="124" t="str">
        <f>IF($B129="","",IFERROR(-Q129,"n.b."))</f>
        <v/>
      </c>
      <c r="BM129" s="124" t="str">
        <f>IF($B129="","",IFERROR(-AB129,"n.b."))</f>
        <v/>
      </c>
      <c r="BN129" s="124" t="str">
        <f>IF($B129="","",IFERROR(-AD129,"n.b."))</f>
        <v/>
      </c>
      <c r="BO129" s="124" t="str">
        <f>IF($B129="","",IFERROR(BK129+BM129,"n.b."))</f>
        <v/>
      </c>
      <c r="BP129" s="124" t="str">
        <f>IF($B129="","",IFERROR(BL129+BN129,"n.b."))</f>
        <v/>
      </c>
      <c r="BQ129" s="124" t="str">
        <f>IF($B129="","",IFERROR(-AM129,"n.b."))</f>
        <v/>
      </c>
      <c r="BR129" s="124" t="str">
        <f>IF($B129="","",IFERROR(-AO129,"n.b."))</f>
        <v/>
      </c>
      <c r="BS129" s="124" t="str">
        <f>IF($B129="","",IFERROR(-Z129,"n.b."))</f>
        <v/>
      </c>
      <c r="BT129" s="124" t="str">
        <f>IF($B129="","",IFERROR(-AA129,"n.b."))</f>
        <v/>
      </c>
      <c r="BU129" s="124" t="str">
        <f>IF($B129="","",IFERROR(-AE129,"n.b."))</f>
        <v/>
      </c>
      <c r="BV129" s="124" t="str">
        <f>IF($B129="","",IFERROR(-AF129,"n.b."))</f>
        <v/>
      </c>
      <c r="BW129" s="124" t="str">
        <f>IF($B129="","",IFERROR(-AG129,"n.b."))</f>
        <v/>
      </c>
      <c r="BX129" s="124" t="str">
        <f>IF($B129="","",IFERROR(-AH129,"n.b."))</f>
        <v/>
      </c>
      <c r="BY129" s="124" t="str">
        <f>IF($B129="","",IFERROR(-AI129,"n.b."))</f>
        <v/>
      </c>
      <c r="BZ129" s="124" t="str">
        <f>IF($B129="","",IFERROR(-AJ129,"n.b."))</f>
        <v/>
      </c>
      <c r="CA129" s="124" t="str">
        <f>IF($B129="","",IFERROR(-AK129,"n.b."))</f>
        <v/>
      </c>
      <c r="CB129" s="124" t="str">
        <f>IF($B129="","",IFERROR(-AL129,"n.b."))</f>
        <v/>
      </c>
      <c r="CC129" s="124" t="str">
        <f>IF($B129="","",IFERROR(-AP129,"n.b."))</f>
        <v/>
      </c>
      <c r="CD129" s="124" t="str">
        <f>IF($B129="","",IFERROR(-AQ129,"n.b."))</f>
        <v/>
      </c>
      <c r="CE129" s="124" t="str">
        <f>IF($B129="","",IFERROR(-AR129,"n.b."))</f>
        <v/>
      </c>
      <c r="CF129" s="124" t="str">
        <f>IF($B129="","",IFERROR(-AS129,"n.b."))</f>
        <v/>
      </c>
      <c r="CG129" s="124" t="str">
        <f>IF($B129="","",IFERROR(-AT129,"n.b."))</f>
        <v/>
      </c>
      <c r="CH129" s="124" t="str">
        <f>IF($B129="","",IFERROR(-AU129,"n.b."))</f>
        <v/>
      </c>
      <c r="CI129" s="124" t="str">
        <f>IF($B129="","",IFERROR(-AV129,"n.b."))</f>
        <v/>
      </c>
      <c r="CJ129" s="124" t="str">
        <f>IF($B129="","",IFERROR(-AW129,"n.b."))</f>
        <v/>
      </c>
      <c r="CK129" s="124" t="str">
        <f>IF($B129="","",IFERROR(-AX129,"n.b."))</f>
        <v/>
      </c>
      <c r="CL129" s="124" t="str">
        <f>IF($B129="","",IFERROR(-AY129,"n.b."))</f>
        <v/>
      </c>
      <c r="CM129" s="124" t="str">
        <f>IF($B129="","",IFERROR(-AZ129,"n.b."))</f>
        <v/>
      </c>
      <c r="CN129" s="124" t="str">
        <f>IF($B129="","",IFERROR(-BA129,"n.b."))</f>
        <v/>
      </c>
      <c r="CO129" s="124" t="str">
        <f>IF($B129="","",IFERROR(-BB129,"n.b."))</f>
        <v/>
      </c>
      <c r="CP129" s="124" t="str">
        <f>IF($B129="","",IFERROR(-BC129,"n.b."))</f>
        <v/>
      </c>
      <c r="CQ129" s="124" t="str">
        <f>IF($B129="","",IFERROR(-BD129,"n.b."))</f>
        <v/>
      </c>
      <c r="CR129" s="124" t="str">
        <f>IF($B129="","",IFERROR(-BE129,"n.b."))</f>
        <v/>
      </c>
      <c r="CS129" s="124" t="str">
        <f>IF($B129="","",IFERROR(IF(OR(ABS(T129+V129+X129+Z129-AB129)&gt;P_Tol,ABS(U129+W129+Y129+AA129-AD129)&gt;P_Tol,ABS(AE129+AG129+AI129+AK129-AM129)&gt;P_Tol,ABS(AF129+AH129+AJ129+AL129-AO129)&gt;P_Tol),1,0),1))</f>
        <v/>
      </c>
      <c r="CT129" s="124" t="str">
        <f>IF($B129="","",IFERROR(IF(OR(ABS(AB129+AC129-AD129)&gt;P_Tol,ABS(AM129+AN129-AO129)&gt;P_Tol,ABS(O129+P129-Q129)&gt;P_Tol),1,0),1))</f>
        <v/>
      </c>
      <c r="CU129" s="124" t="str">
        <f>IF($B129="","",IFERROR(IF(ABS(R129-(AB129+AM129+AP129+AR129+AT129+AV129+AX129+AZ129+BB129+BD129))&gt;P_Tol,1,0),1))</f>
        <v/>
      </c>
      <c r="CV129" s="124" t="str">
        <f>IF($B129="","",IFERROR(IF(ABS(M129-(N129+O129+R129))&gt;P_Tol,1,0),1))</f>
        <v/>
      </c>
      <c r="CW129" s="124" t="str">
        <f>IF($B129="","",IF(COUNTIF(Mapping!$A$5:$A$104,B129)&gt;0,1,0))</f>
        <v/>
      </c>
      <c r="CX129" s="124" t="str">
        <f>IF($B129="","",COUNTIF($B$6:$B$505,B129))</f>
        <v/>
      </c>
      <c r="CY129" s="124" t="str">
        <f>IF($B129="","",COUNTIF(STG_Woningetalage!$B$6:$B$505,B129))</f>
        <v/>
      </c>
      <c r="CZ129" s="124" t="str">
        <f>IF($B129="","",IF(CW129=0,COUNTIF($CW$6:CW129,0),""))</f>
        <v/>
      </c>
    </row>
    <row r="130">
      <c r="A130" s="15" t="n">
        <v>126</v>
      </c>
      <c r="B130" t="str">
        <f>IF(B$3=0,"",IF(INDEX(SRC_ZPMW03!$A$1:$ZZ$501,$A130,B$3)&amp;""="","",INDEX(SRC_ZPMW03!$A$1:$ZZ$501,$A130,B$3)&amp;""))</f>
        <v/>
      </c>
      <c r="C130" t="str">
        <f>IF($B130="","",IF(C$3=0,"n.b.",INDEX(SRC_ZPMW03!$A$1:$ZZ$501,$A130,C$3)))</f>
        <v/>
      </c>
      <c r="D130" t="str">
        <f>IF($B130="","",IF(D$3=0,"n.b.",INDEX(SRC_ZPMW03!$A$1:$ZZ$501,$A130,D$3)))</f>
        <v/>
      </c>
      <c r="E130" t="str">
        <f>IF($B130="","",IF(E$3=0,"n.b.",INDEX(SRC_ZPMW03!$A$1:$ZZ$501,$A130,E$3)))</f>
        <v/>
      </c>
      <c r="F130" t="str">
        <f>IF($B130="","",IF(F$3=0,"n.b.",INDEX(SRC_ZPMW03!$A$1:$ZZ$501,$A130,F$3)))</f>
        <v/>
      </c>
      <c r="G130" t="str">
        <f>IF($B130="","",IF(G$3=0,"n.b.",INDEX(SRC_ZPMW03!$A$1:$ZZ$501,$A130,G$3)))</f>
        <v/>
      </c>
      <c r="H130" t="str">
        <f>IF($B130="","",IF(H$3=0,"n.b.",INDEX(SRC_ZPMW03!$A$1:$ZZ$501,$A130,H$3)))</f>
        <v/>
      </c>
      <c r="I130" t="str">
        <f>IF($B130="","",IF(I$3=0,"n.b.",INDEX(SRC_ZPMW03!$A$1:$ZZ$501,$A130,I$3)))</f>
        <v/>
      </c>
      <c r="J130" t="str">
        <f>IF($B130="","",IF(J$3=0,"n.b.",INDEX(SRC_ZPMW03!$A$1:$ZZ$501,$A130,J$3)))</f>
        <v/>
      </c>
      <c r="K130" t="str">
        <f>IF($B130="","",IF(K$3=0,"n.b.",INDEX(SRC_ZPMW03!$A$1:$ZZ$501,$A130,K$3)))</f>
        <v/>
      </c>
      <c r="L130" s="124" t="str">
        <f>IF($B130="","",IF(L$3=0,"n.b.",INDEX(SRC_ZPMW03!$A$1:$ZZ$501,$A130,L$3)))</f>
        <v/>
      </c>
      <c r="M130" s="124" t="str">
        <f>IF($B130="","",IF(M$3=0,"n.b.",INDEX(SRC_ZPMW03!$A$1:$ZZ$501,$A130,M$3)))</f>
        <v/>
      </c>
      <c r="N130" s="124" t="str">
        <f>IF($B130="","",IF(N$3=0,"n.b.",INDEX(SRC_ZPMW03!$A$1:$ZZ$501,$A130,N$3)))</f>
        <v/>
      </c>
      <c r="O130" s="124" t="str">
        <f>IF($B130="","",IF(O$3=0,"n.b.",INDEX(SRC_ZPMW03!$A$1:$ZZ$501,$A130,O$3)))</f>
        <v/>
      </c>
      <c r="P130" s="124" t="str">
        <f>IF($B130="","",IF(P$3=0,"n.b.",INDEX(SRC_ZPMW03!$A$1:$ZZ$501,$A130,P$3)))</f>
        <v/>
      </c>
      <c r="Q130" s="124" t="str">
        <f>IF($B130="","",IF(Q$3=0,"n.b.",INDEX(SRC_ZPMW03!$A$1:$ZZ$501,$A130,Q$3)))</f>
        <v/>
      </c>
      <c r="R130" s="124" t="str">
        <f>IF($B130="","",IF(R$3=0,"n.b.",INDEX(SRC_ZPMW03!$A$1:$ZZ$501,$A130,R$3)))</f>
        <v/>
      </c>
      <c r="S130" s="124" t="str">
        <f>IF($B130="","",IF(S$3=0,"n.b.",INDEX(SRC_ZPMW03!$A$1:$ZZ$501,$A130,S$3)))</f>
        <v/>
      </c>
      <c r="T130" s="124" t="str">
        <f>IF($B130="","",IF(T$3=0,"n.b.",INDEX(SRC_ZPMW03!$A$1:$ZZ$501,$A130,T$3)))</f>
        <v/>
      </c>
      <c r="U130" s="124" t="str">
        <f>IF($B130="","",IF(U$3=0,"n.b.",INDEX(SRC_ZPMW03!$A$1:$ZZ$501,$A130,U$3)))</f>
        <v/>
      </c>
      <c r="V130" s="124" t="str">
        <f>IF($B130="","",IF(V$3=0,"n.b.",INDEX(SRC_ZPMW03!$A$1:$ZZ$501,$A130,V$3)))</f>
        <v/>
      </c>
      <c r="W130" s="124" t="str">
        <f>IF($B130="","",IF(W$3=0,"n.b.",INDEX(SRC_ZPMW03!$A$1:$ZZ$501,$A130,W$3)))</f>
        <v/>
      </c>
      <c r="X130" s="124" t="str">
        <f>IF($B130="","",IF(X$3=0,"n.b.",INDEX(SRC_ZPMW03!$A$1:$ZZ$501,$A130,X$3)))</f>
        <v/>
      </c>
      <c r="Y130" s="124" t="str">
        <f>IF($B130="","",IF(Y$3=0,"n.b.",INDEX(SRC_ZPMW03!$A$1:$ZZ$501,$A130,Y$3)))</f>
        <v/>
      </c>
      <c r="Z130" s="124" t="str">
        <f>IF($B130="","",IF(Z$3=0,"n.b.",INDEX(SRC_ZPMW03!$A$1:$ZZ$501,$A130,Z$3)))</f>
        <v/>
      </c>
      <c r="AA130" s="124" t="str">
        <f>IF($B130="","",IF(AA$3=0,"n.b.",INDEX(SRC_ZPMW03!$A$1:$ZZ$501,$A130,AA$3)))</f>
        <v/>
      </c>
      <c r="AB130" s="124" t="str">
        <f>IF($B130="","",IF(AB$3=0,"n.b.",INDEX(SRC_ZPMW03!$A$1:$ZZ$501,$A130,AB$3)))</f>
        <v/>
      </c>
      <c r="AC130" s="124" t="str">
        <f>IF($B130="","",IF(AC$3=0,"n.b.",INDEX(SRC_ZPMW03!$A$1:$ZZ$501,$A130,AC$3)))</f>
        <v/>
      </c>
      <c r="AD130" s="124" t="str">
        <f>IF($B130="","",IF(AD$3=0,"n.b.",INDEX(SRC_ZPMW03!$A$1:$ZZ$501,$A130,AD$3)))</f>
        <v/>
      </c>
      <c r="AE130" s="124" t="str">
        <f>IF($B130="","",IF(AE$3=0,"n.b.",INDEX(SRC_ZPMW03!$A$1:$ZZ$501,$A130,AE$3)))</f>
        <v/>
      </c>
      <c r="AF130" s="124" t="str">
        <f>IF($B130="","",IF(AF$3=0,"n.b.",INDEX(SRC_ZPMW03!$A$1:$ZZ$501,$A130,AF$3)))</f>
        <v/>
      </c>
      <c r="AG130" s="124" t="str">
        <f>IF($B130="","",IF(AG$3=0,"n.b.",INDEX(SRC_ZPMW03!$A$1:$ZZ$501,$A130,AG$3)))</f>
        <v/>
      </c>
      <c r="AH130" s="124" t="str">
        <f>IF($B130="","",IF(AH$3=0,"n.b.",INDEX(SRC_ZPMW03!$A$1:$ZZ$501,$A130,AH$3)))</f>
        <v/>
      </c>
      <c r="AI130" s="124" t="str">
        <f>IF($B130="","",IF(AI$3=0,"n.b.",INDEX(SRC_ZPMW03!$A$1:$ZZ$501,$A130,AI$3)))</f>
        <v/>
      </c>
      <c r="AJ130" s="124" t="str">
        <f>IF($B130="","",IF(AJ$3=0,"n.b.",INDEX(SRC_ZPMW03!$A$1:$ZZ$501,$A130,AJ$3)))</f>
        <v/>
      </c>
      <c r="AK130" s="124" t="str">
        <f>IF($B130="","",IF(AK$3=0,"n.b.",INDEX(SRC_ZPMW03!$A$1:$ZZ$501,$A130,AK$3)))</f>
        <v/>
      </c>
      <c r="AL130" s="124" t="str">
        <f>IF($B130="","",IF(AL$3=0,"n.b.",INDEX(SRC_ZPMW03!$A$1:$ZZ$501,$A130,AL$3)))</f>
        <v/>
      </c>
      <c r="AM130" s="124" t="str">
        <f>IF($B130="","",IF(AM$3=0,"n.b.",INDEX(SRC_ZPMW03!$A$1:$ZZ$501,$A130,AM$3)))</f>
        <v/>
      </c>
      <c r="AN130" s="124" t="str">
        <f>IF($B130="","",IF(AN$3=0,"n.b.",INDEX(SRC_ZPMW03!$A$1:$ZZ$501,$A130,AN$3)))</f>
        <v/>
      </c>
      <c r="AO130" s="124" t="str">
        <f>IF($B130="","",IF(AO$3=0,"n.b.",INDEX(SRC_ZPMW03!$A$1:$ZZ$501,$A130,AO$3)))</f>
        <v/>
      </c>
      <c r="AP130" s="124" t="str">
        <f>IF($B130="","",IF(AP$3=0,"n.b.",INDEX(SRC_ZPMW03!$A$1:$ZZ$501,$A130,AP$3)))</f>
        <v/>
      </c>
      <c r="AQ130" s="124" t="str">
        <f>IF($B130="","",IF(AQ$3=0,"n.b.",INDEX(SRC_ZPMW03!$A$1:$ZZ$501,$A130,AQ$3)))</f>
        <v/>
      </c>
      <c r="AR130" s="124" t="str">
        <f>IF($B130="","",IF(AR$3=0,"n.b.",INDEX(SRC_ZPMW03!$A$1:$ZZ$501,$A130,AR$3)))</f>
        <v/>
      </c>
      <c r="AS130" s="124" t="str">
        <f>IF($B130="","",IF(AS$3=0,"n.b.",INDEX(SRC_ZPMW03!$A$1:$ZZ$501,$A130,AS$3)))</f>
        <v/>
      </c>
      <c r="AT130" s="124" t="str">
        <f>IF($B130="","",IF(AT$3=0,"n.b.",INDEX(SRC_ZPMW03!$A$1:$ZZ$501,$A130,AT$3)))</f>
        <v/>
      </c>
      <c r="AU130" s="124" t="str">
        <f>IF($B130="","",IF(AU$3=0,"n.b.",INDEX(SRC_ZPMW03!$A$1:$ZZ$501,$A130,AU$3)))</f>
        <v/>
      </c>
      <c r="AV130" s="124" t="str">
        <f>IF($B130="","",IF(AV$3=0,"n.b.",INDEX(SRC_ZPMW03!$A$1:$ZZ$501,$A130,AV$3)))</f>
        <v/>
      </c>
      <c r="AW130" s="124" t="str">
        <f>IF($B130="","",IF(AW$3=0,"n.b.",INDEX(SRC_ZPMW03!$A$1:$ZZ$501,$A130,AW$3)))</f>
        <v/>
      </c>
      <c r="AX130" s="124" t="str">
        <f>IF($B130="","",IF(AX$3=0,"n.b.",INDEX(SRC_ZPMW03!$A$1:$ZZ$501,$A130,AX$3)))</f>
        <v/>
      </c>
      <c r="AY130" s="124" t="str">
        <f>IF($B130="","",IF(AY$3=0,"n.b.",INDEX(SRC_ZPMW03!$A$1:$ZZ$501,$A130,AY$3)))</f>
        <v/>
      </c>
      <c r="AZ130" s="124" t="str">
        <f>IF($B130="","",IF(AZ$3=0,"n.b.",INDEX(SRC_ZPMW03!$A$1:$ZZ$501,$A130,AZ$3)))</f>
        <v/>
      </c>
      <c r="BA130" s="124" t="str">
        <f>IF($B130="","",IF(BA$3=0,"n.b.",INDEX(SRC_ZPMW03!$A$1:$ZZ$501,$A130,BA$3)))</f>
        <v/>
      </c>
      <c r="BB130" s="124" t="str">
        <f>IF($B130="","",IF(BB$3=0,"n.b.",INDEX(SRC_ZPMW03!$A$1:$ZZ$501,$A130,BB$3)))</f>
        <v/>
      </c>
      <c r="BC130" s="124" t="str">
        <f>IF($B130="","",IF(BC$3=0,"n.b.",INDEX(SRC_ZPMW03!$A$1:$ZZ$501,$A130,BC$3)))</f>
        <v/>
      </c>
      <c r="BD130" s="124" t="str">
        <f>IF($B130="","",IF(BD$3=0,"n.b.",INDEX(SRC_ZPMW03!$A$1:$ZZ$501,$A130,BD$3)))</f>
        <v/>
      </c>
      <c r="BE130" s="124" t="str">
        <f>IF($B130="","",IF(BE$3=0,"n.b.",INDEX(SRC_ZPMW03!$A$1:$ZZ$501,$A130,BE$3)))</f>
        <v/>
      </c>
      <c r="BF130" s="124" t="str">
        <f>IF($B130="","",IF(BF$3=0,"n.b.",INDEX(SRC_ZPMW03!$A$1:$ZZ$501,$A130,BF$3)))</f>
        <v/>
      </c>
      <c r="BG130" t="str">
        <f>IF($B130="","",IF(BG$3=0,"n.b.",INDEX(SRC_ZPMW03!$A$1:$ZZ$501,$A130,BG$3)))</f>
        <v/>
      </c>
      <c r="BH130" t="str">
        <f>IF($B130="","",IF(BH$3=0,"n.b.",INDEX(SRC_ZPMW03!$A$1:$ZZ$501,$A130,BH$3)))</f>
        <v/>
      </c>
      <c r="BI130" t="str">
        <f>IF($B130="","",IF(BI$3=0,"n.b.",INDEX(SRC_ZPMW03!$A$1:$ZZ$501,$A130,BI$3)))</f>
        <v/>
      </c>
      <c r="BJ130" t="str">
        <f>IF($B130="","",IF(BJ$3=0,"n.b.",INDEX(SRC_ZPMW03!$A$1:$ZZ$501,$A130,BJ$3)))</f>
        <v/>
      </c>
      <c r="BK130" s="124" t="str">
        <f>IF($B130="","",IFERROR(-O130,"n.b."))</f>
        <v/>
      </c>
      <c r="BL130" s="124" t="str">
        <f>IF($B130="","",IFERROR(-Q130,"n.b."))</f>
        <v/>
      </c>
      <c r="BM130" s="124" t="str">
        <f>IF($B130="","",IFERROR(-AB130,"n.b."))</f>
        <v/>
      </c>
      <c r="BN130" s="124" t="str">
        <f>IF($B130="","",IFERROR(-AD130,"n.b."))</f>
        <v/>
      </c>
      <c r="BO130" s="124" t="str">
        <f>IF($B130="","",IFERROR(BK130+BM130,"n.b."))</f>
        <v/>
      </c>
      <c r="BP130" s="124" t="str">
        <f>IF($B130="","",IFERROR(BL130+BN130,"n.b."))</f>
        <v/>
      </c>
      <c r="BQ130" s="124" t="str">
        <f>IF($B130="","",IFERROR(-AM130,"n.b."))</f>
        <v/>
      </c>
      <c r="BR130" s="124" t="str">
        <f>IF($B130="","",IFERROR(-AO130,"n.b."))</f>
        <v/>
      </c>
      <c r="BS130" s="124" t="str">
        <f>IF($B130="","",IFERROR(-Z130,"n.b."))</f>
        <v/>
      </c>
      <c r="BT130" s="124" t="str">
        <f>IF($B130="","",IFERROR(-AA130,"n.b."))</f>
        <v/>
      </c>
      <c r="BU130" s="124" t="str">
        <f>IF($B130="","",IFERROR(-AE130,"n.b."))</f>
        <v/>
      </c>
      <c r="BV130" s="124" t="str">
        <f>IF($B130="","",IFERROR(-AF130,"n.b."))</f>
        <v/>
      </c>
      <c r="BW130" s="124" t="str">
        <f>IF($B130="","",IFERROR(-AG130,"n.b."))</f>
        <v/>
      </c>
      <c r="BX130" s="124" t="str">
        <f>IF($B130="","",IFERROR(-AH130,"n.b."))</f>
        <v/>
      </c>
      <c r="BY130" s="124" t="str">
        <f>IF($B130="","",IFERROR(-AI130,"n.b."))</f>
        <v/>
      </c>
      <c r="BZ130" s="124" t="str">
        <f>IF($B130="","",IFERROR(-AJ130,"n.b."))</f>
        <v/>
      </c>
      <c r="CA130" s="124" t="str">
        <f>IF($B130="","",IFERROR(-AK130,"n.b."))</f>
        <v/>
      </c>
      <c r="CB130" s="124" t="str">
        <f>IF($B130="","",IFERROR(-AL130,"n.b."))</f>
        <v/>
      </c>
      <c r="CC130" s="124" t="str">
        <f>IF($B130="","",IFERROR(-AP130,"n.b."))</f>
        <v/>
      </c>
      <c r="CD130" s="124" t="str">
        <f>IF($B130="","",IFERROR(-AQ130,"n.b."))</f>
        <v/>
      </c>
      <c r="CE130" s="124" t="str">
        <f>IF($B130="","",IFERROR(-AR130,"n.b."))</f>
        <v/>
      </c>
      <c r="CF130" s="124" t="str">
        <f>IF($B130="","",IFERROR(-AS130,"n.b."))</f>
        <v/>
      </c>
      <c r="CG130" s="124" t="str">
        <f>IF($B130="","",IFERROR(-AT130,"n.b."))</f>
        <v/>
      </c>
      <c r="CH130" s="124" t="str">
        <f>IF($B130="","",IFERROR(-AU130,"n.b."))</f>
        <v/>
      </c>
      <c r="CI130" s="124" t="str">
        <f>IF($B130="","",IFERROR(-AV130,"n.b."))</f>
        <v/>
      </c>
      <c r="CJ130" s="124" t="str">
        <f>IF($B130="","",IFERROR(-AW130,"n.b."))</f>
        <v/>
      </c>
      <c r="CK130" s="124" t="str">
        <f>IF($B130="","",IFERROR(-AX130,"n.b."))</f>
        <v/>
      </c>
      <c r="CL130" s="124" t="str">
        <f>IF($B130="","",IFERROR(-AY130,"n.b."))</f>
        <v/>
      </c>
      <c r="CM130" s="124" t="str">
        <f>IF($B130="","",IFERROR(-AZ130,"n.b."))</f>
        <v/>
      </c>
      <c r="CN130" s="124" t="str">
        <f>IF($B130="","",IFERROR(-BA130,"n.b."))</f>
        <v/>
      </c>
      <c r="CO130" s="124" t="str">
        <f>IF($B130="","",IFERROR(-BB130,"n.b."))</f>
        <v/>
      </c>
      <c r="CP130" s="124" t="str">
        <f>IF($B130="","",IFERROR(-BC130,"n.b."))</f>
        <v/>
      </c>
      <c r="CQ130" s="124" t="str">
        <f>IF($B130="","",IFERROR(-BD130,"n.b."))</f>
        <v/>
      </c>
      <c r="CR130" s="124" t="str">
        <f>IF($B130="","",IFERROR(-BE130,"n.b."))</f>
        <v/>
      </c>
      <c r="CS130" s="124" t="str">
        <f>IF($B130="","",IFERROR(IF(OR(ABS(T130+V130+X130+Z130-AB130)&gt;P_Tol,ABS(U130+W130+Y130+AA130-AD130)&gt;P_Tol,ABS(AE130+AG130+AI130+AK130-AM130)&gt;P_Tol,ABS(AF130+AH130+AJ130+AL130-AO130)&gt;P_Tol),1,0),1))</f>
        <v/>
      </c>
      <c r="CT130" s="124" t="str">
        <f>IF($B130="","",IFERROR(IF(OR(ABS(AB130+AC130-AD130)&gt;P_Tol,ABS(AM130+AN130-AO130)&gt;P_Tol,ABS(O130+P130-Q130)&gt;P_Tol),1,0),1))</f>
        <v/>
      </c>
      <c r="CU130" s="124" t="str">
        <f>IF($B130="","",IFERROR(IF(ABS(R130-(AB130+AM130+AP130+AR130+AT130+AV130+AX130+AZ130+BB130+BD130))&gt;P_Tol,1,0),1))</f>
        <v/>
      </c>
      <c r="CV130" s="124" t="str">
        <f>IF($B130="","",IFERROR(IF(ABS(M130-(N130+O130+R130))&gt;P_Tol,1,0),1))</f>
        <v/>
      </c>
      <c r="CW130" s="124" t="str">
        <f>IF($B130="","",IF(COUNTIF(Mapping!$A$5:$A$104,B130)&gt;0,1,0))</f>
        <v/>
      </c>
      <c r="CX130" s="124" t="str">
        <f>IF($B130="","",COUNTIF($B$6:$B$505,B130))</f>
        <v/>
      </c>
      <c r="CY130" s="124" t="str">
        <f>IF($B130="","",COUNTIF(STG_Woningetalage!$B$6:$B$505,B130))</f>
        <v/>
      </c>
      <c r="CZ130" s="124" t="str">
        <f>IF($B130="","",IF(CW130=0,COUNTIF($CW$6:CW130,0),""))</f>
        <v/>
      </c>
    </row>
    <row r="131">
      <c r="A131" s="15" t="n">
        <v>127</v>
      </c>
      <c r="B131" t="str">
        <f>IF(B$3=0,"",IF(INDEX(SRC_ZPMW03!$A$1:$ZZ$501,$A131,B$3)&amp;""="","",INDEX(SRC_ZPMW03!$A$1:$ZZ$501,$A131,B$3)&amp;""))</f>
        <v/>
      </c>
      <c r="C131" t="str">
        <f>IF($B131="","",IF(C$3=0,"n.b.",INDEX(SRC_ZPMW03!$A$1:$ZZ$501,$A131,C$3)))</f>
        <v/>
      </c>
      <c r="D131" t="str">
        <f>IF($B131="","",IF(D$3=0,"n.b.",INDEX(SRC_ZPMW03!$A$1:$ZZ$501,$A131,D$3)))</f>
        <v/>
      </c>
      <c r="E131" t="str">
        <f>IF($B131="","",IF(E$3=0,"n.b.",INDEX(SRC_ZPMW03!$A$1:$ZZ$501,$A131,E$3)))</f>
        <v/>
      </c>
      <c r="F131" t="str">
        <f>IF($B131="","",IF(F$3=0,"n.b.",INDEX(SRC_ZPMW03!$A$1:$ZZ$501,$A131,F$3)))</f>
        <v/>
      </c>
      <c r="G131" t="str">
        <f>IF($B131="","",IF(G$3=0,"n.b.",INDEX(SRC_ZPMW03!$A$1:$ZZ$501,$A131,G$3)))</f>
        <v/>
      </c>
      <c r="H131" t="str">
        <f>IF($B131="","",IF(H$3=0,"n.b.",INDEX(SRC_ZPMW03!$A$1:$ZZ$501,$A131,H$3)))</f>
        <v/>
      </c>
      <c r="I131" t="str">
        <f>IF($B131="","",IF(I$3=0,"n.b.",INDEX(SRC_ZPMW03!$A$1:$ZZ$501,$A131,I$3)))</f>
        <v/>
      </c>
      <c r="J131" t="str">
        <f>IF($B131="","",IF(J$3=0,"n.b.",INDEX(SRC_ZPMW03!$A$1:$ZZ$501,$A131,J$3)))</f>
        <v/>
      </c>
      <c r="K131" t="str">
        <f>IF($B131="","",IF(K$3=0,"n.b.",INDEX(SRC_ZPMW03!$A$1:$ZZ$501,$A131,K$3)))</f>
        <v/>
      </c>
      <c r="L131" s="124" t="str">
        <f>IF($B131="","",IF(L$3=0,"n.b.",INDEX(SRC_ZPMW03!$A$1:$ZZ$501,$A131,L$3)))</f>
        <v/>
      </c>
      <c r="M131" s="124" t="str">
        <f>IF($B131="","",IF(M$3=0,"n.b.",INDEX(SRC_ZPMW03!$A$1:$ZZ$501,$A131,M$3)))</f>
        <v/>
      </c>
      <c r="N131" s="124" t="str">
        <f>IF($B131="","",IF(N$3=0,"n.b.",INDEX(SRC_ZPMW03!$A$1:$ZZ$501,$A131,N$3)))</f>
        <v/>
      </c>
      <c r="O131" s="124" t="str">
        <f>IF($B131="","",IF(O$3=0,"n.b.",INDEX(SRC_ZPMW03!$A$1:$ZZ$501,$A131,O$3)))</f>
        <v/>
      </c>
      <c r="P131" s="124" t="str">
        <f>IF($B131="","",IF(P$3=0,"n.b.",INDEX(SRC_ZPMW03!$A$1:$ZZ$501,$A131,P$3)))</f>
        <v/>
      </c>
      <c r="Q131" s="124" t="str">
        <f>IF($B131="","",IF(Q$3=0,"n.b.",INDEX(SRC_ZPMW03!$A$1:$ZZ$501,$A131,Q$3)))</f>
        <v/>
      </c>
      <c r="R131" s="124" t="str">
        <f>IF($B131="","",IF(R$3=0,"n.b.",INDEX(SRC_ZPMW03!$A$1:$ZZ$501,$A131,R$3)))</f>
        <v/>
      </c>
      <c r="S131" s="124" t="str">
        <f>IF($B131="","",IF(S$3=0,"n.b.",INDEX(SRC_ZPMW03!$A$1:$ZZ$501,$A131,S$3)))</f>
        <v/>
      </c>
      <c r="T131" s="124" t="str">
        <f>IF($B131="","",IF(T$3=0,"n.b.",INDEX(SRC_ZPMW03!$A$1:$ZZ$501,$A131,T$3)))</f>
        <v/>
      </c>
      <c r="U131" s="124" t="str">
        <f>IF($B131="","",IF(U$3=0,"n.b.",INDEX(SRC_ZPMW03!$A$1:$ZZ$501,$A131,U$3)))</f>
        <v/>
      </c>
      <c r="V131" s="124" t="str">
        <f>IF($B131="","",IF(V$3=0,"n.b.",INDEX(SRC_ZPMW03!$A$1:$ZZ$501,$A131,V$3)))</f>
        <v/>
      </c>
      <c r="W131" s="124" t="str">
        <f>IF($B131="","",IF(W$3=0,"n.b.",INDEX(SRC_ZPMW03!$A$1:$ZZ$501,$A131,W$3)))</f>
        <v/>
      </c>
      <c r="X131" s="124" t="str">
        <f>IF($B131="","",IF(X$3=0,"n.b.",INDEX(SRC_ZPMW03!$A$1:$ZZ$501,$A131,X$3)))</f>
        <v/>
      </c>
      <c r="Y131" s="124" t="str">
        <f>IF($B131="","",IF(Y$3=0,"n.b.",INDEX(SRC_ZPMW03!$A$1:$ZZ$501,$A131,Y$3)))</f>
        <v/>
      </c>
      <c r="Z131" s="124" t="str">
        <f>IF($B131="","",IF(Z$3=0,"n.b.",INDEX(SRC_ZPMW03!$A$1:$ZZ$501,$A131,Z$3)))</f>
        <v/>
      </c>
      <c r="AA131" s="124" t="str">
        <f>IF($B131="","",IF(AA$3=0,"n.b.",INDEX(SRC_ZPMW03!$A$1:$ZZ$501,$A131,AA$3)))</f>
        <v/>
      </c>
      <c r="AB131" s="124" t="str">
        <f>IF($B131="","",IF(AB$3=0,"n.b.",INDEX(SRC_ZPMW03!$A$1:$ZZ$501,$A131,AB$3)))</f>
        <v/>
      </c>
      <c r="AC131" s="124" t="str">
        <f>IF($B131="","",IF(AC$3=0,"n.b.",INDEX(SRC_ZPMW03!$A$1:$ZZ$501,$A131,AC$3)))</f>
        <v/>
      </c>
      <c r="AD131" s="124" t="str">
        <f>IF($B131="","",IF(AD$3=0,"n.b.",INDEX(SRC_ZPMW03!$A$1:$ZZ$501,$A131,AD$3)))</f>
        <v/>
      </c>
      <c r="AE131" s="124" t="str">
        <f>IF($B131="","",IF(AE$3=0,"n.b.",INDEX(SRC_ZPMW03!$A$1:$ZZ$501,$A131,AE$3)))</f>
        <v/>
      </c>
      <c r="AF131" s="124" t="str">
        <f>IF($B131="","",IF(AF$3=0,"n.b.",INDEX(SRC_ZPMW03!$A$1:$ZZ$501,$A131,AF$3)))</f>
        <v/>
      </c>
      <c r="AG131" s="124" t="str">
        <f>IF($B131="","",IF(AG$3=0,"n.b.",INDEX(SRC_ZPMW03!$A$1:$ZZ$501,$A131,AG$3)))</f>
        <v/>
      </c>
      <c r="AH131" s="124" t="str">
        <f>IF($B131="","",IF(AH$3=0,"n.b.",INDEX(SRC_ZPMW03!$A$1:$ZZ$501,$A131,AH$3)))</f>
        <v/>
      </c>
      <c r="AI131" s="124" t="str">
        <f>IF($B131="","",IF(AI$3=0,"n.b.",INDEX(SRC_ZPMW03!$A$1:$ZZ$501,$A131,AI$3)))</f>
        <v/>
      </c>
      <c r="AJ131" s="124" t="str">
        <f>IF($B131="","",IF(AJ$3=0,"n.b.",INDEX(SRC_ZPMW03!$A$1:$ZZ$501,$A131,AJ$3)))</f>
        <v/>
      </c>
      <c r="AK131" s="124" t="str">
        <f>IF($B131="","",IF(AK$3=0,"n.b.",INDEX(SRC_ZPMW03!$A$1:$ZZ$501,$A131,AK$3)))</f>
        <v/>
      </c>
      <c r="AL131" s="124" t="str">
        <f>IF($B131="","",IF(AL$3=0,"n.b.",INDEX(SRC_ZPMW03!$A$1:$ZZ$501,$A131,AL$3)))</f>
        <v/>
      </c>
      <c r="AM131" s="124" t="str">
        <f>IF($B131="","",IF(AM$3=0,"n.b.",INDEX(SRC_ZPMW03!$A$1:$ZZ$501,$A131,AM$3)))</f>
        <v/>
      </c>
      <c r="AN131" s="124" t="str">
        <f>IF($B131="","",IF(AN$3=0,"n.b.",INDEX(SRC_ZPMW03!$A$1:$ZZ$501,$A131,AN$3)))</f>
        <v/>
      </c>
      <c r="AO131" s="124" t="str">
        <f>IF($B131="","",IF(AO$3=0,"n.b.",INDEX(SRC_ZPMW03!$A$1:$ZZ$501,$A131,AO$3)))</f>
        <v/>
      </c>
      <c r="AP131" s="124" t="str">
        <f>IF($B131="","",IF(AP$3=0,"n.b.",INDEX(SRC_ZPMW03!$A$1:$ZZ$501,$A131,AP$3)))</f>
        <v/>
      </c>
      <c r="AQ131" s="124" t="str">
        <f>IF($B131="","",IF(AQ$3=0,"n.b.",INDEX(SRC_ZPMW03!$A$1:$ZZ$501,$A131,AQ$3)))</f>
        <v/>
      </c>
      <c r="AR131" s="124" t="str">
        <f>IF($B131="","",IF(AR$3=0,"n.b.",INDEX(SRC_ZPMW03!$A$1:$ZZ$501,$A131,AR$3)))</f>
        <v/>
      </c>
      <c r="AS131" s="124" t="str">
        <f>IF($B131="","",IF(AS$3=0,"n.b.",INDEX(SRC_ZPMW03!$A$1:$ZZ$501,$A131,AS$3)))</f>
        <v/>
      </c>
      <c r="AT131" s="124" t="str">
        <f>IF($B131="","",IF(AT$3=0,"n.b.",INDEX(SRC_ZPMW03!$A$1:$ZZ$501,$A131,AT$3)))</f>
        <v/>
      </c>
      <c r="AU131" s="124" t="str">
        <f>IF($B131="","",IF(AU$3=0,"n.b.",INDEX(SRC_ZPMW03!$A$1:$ZZ$501,$A131,AU$3)))</f>
        <v/>
      </c>
      <c r="AV131" s="124" t="str">
        <f>IF($B131="","",IF(AV$3=0,"n.b.",INDEX(SRC_ZPMW03!$A$1:$ZZ$501,$A131,AV$3)))</f>
        <v/>
      </c>
      <c r="AW131" s="124" t="str">
        <f>IF($B131="","",IF(AW$3=0,"n.b.",INDEX(SRC_ZPMW03!$A$1:$ZZ$501,$A131,AW$3)))</f>
        <v/>
      </c>
      <c r="AX131" s="124" t="str">
        <f>IF($B131="","",IF(AX$3=0,"n.b.",INDEX(SRC_ZPMW03!$A$1:$ZZ$501,$A131,AX$3)))</f>
        <v/>
      </c>
      <c r="AY131" s="124" t="str">
        <f>IF($B131="","",IF(AY$3=0,"n.b.",INDEX(SRC_ZPMW03!$A$1:$ZZ$501,$A131,AY$3)))</f>
        <v/>
      </c>
      <c r="AZ131" s="124" t="str">
        <f>IF($B131="","",IF(AZ$3=0,"n.b.",INDEX(SRC_ZPMW03!$A$1:$ZZ$501,$A131,AZ$3)))</f>
        <v/>
      </c>
      <c r="BA131" s="124" t="str">
        <f>IF($B131="","",IF(BA$3=0,"n.b.",INDEX(SRC_ZPMW03!$A$1:$ZZ$501,$A131,BA$3)))</f>
        <v/>
      </c>
      <c r="BB131" s="124" t="str">
        <f>IF($B131="","",IF(BB$3=0,"n.b.",INDEX(SRC_ZPMW03!$A$1:$ZZ$501,$A131,BB$3)))</f>
        <v/>
      </c>
      <c r="BC131" s="124" t="str">
        <f>IF($B131="","",IF(BC$3=0,"n.b.",INDEX(SRC_ZPMW03!$A$1:$ZZ$501,$A131,BC$3)))</f>
        <v/>
      </c>
      <c r="BD131" s="124" t="str">
        <f>IF($B131="","",IF(BD$3=0,"n.b.",INDEX(SRC_ZPMW03!$A$1:$ZZ$501,$A131,BD$3)))</f>
        <v/>
      </c>
      <c r="BE131" s="124" t="str">
        <f>IF($B131="","",IF(BE$3=0,"n.b.",INDEX(SRC_ZPMW03!$A$1:$ZZ$501,$A131,BE$3)))</f>
        <v/>
      </c>
      <c r="BF131" s="124" t="str">
        <f>IF($B131="","",IF(BF$3=0,"n.b.",INDEX(SRC_ZPMW03!$A$1:$ZZ$501,$A131,BF$3)))</f>
        <v/>
      </c>
      <c r="BG131" t="str">
        <f>IF($B131="","",IF(BG$3=0,"n.b.",INDEX(SRC_ZPMW03!$A$1:$ZZ$501,$A131,BG$3)))</f>
        <v/>
      </c>
      <c r="BH131" t="str">
        <f>IF($B131="","",IF(BH$3=0,"n.b.",INDEX(SRC_ZPMW03!$A$1:$ZZ$501,$A131,BH$3)))</f>
        <v/>
      </c>
      <c r="BI131" t="str">
        <f>IF($B131="","",IF(BI$3=0,"n.b.",INDEX(SRC_ZPMW03!$A$1:$ZZ$501,$A131,BI$3)))</f>
        <v/>
      </c>
      <c r="BJ131" t="str">
        <f>IF($B131="","",IF(BJ$3=0,"n.b.",INDEX(SRC_ZPMW03!$A$1:$ZZ$501,$A131,BJ$3)))</f>
        <v/>
      </c>
      <c r="BK131" s="124" t="str">
        <f>IF($B131="","",IFERROR(-O131,"n.b."))</f>
        <v/>
      </c>
      <c r="BL131" s="124" t="str">
        <f>IF($B131="","",IFERROR(-Q131,"n.b."))</f>
        <v/>
      </c>
      <c r="BM131" s="124" t="str">
        <f>IF($B131="","",IFERROR(-AB131,"n.b."))</f>
        <v/>
      </c>
      <c r="BN131" s="124" t="str">
        <f>IF($B131="","",IFERROR(-AD131,"n.b."))</f>
        <v/>
      </c>
      <c r="BO131" s="124" t="str">
        <f>IF($B131="","",IFERROR(BK131+BM131,"n.b."))</f>
        <v/>
      </c>
      <c r="BP131" s="124" t="str">
        <f>IF($B131="","",IFERROR(BL131+BN131,"n.b."))</f>
        <v/>
      </c>
      <c r="BQ131" s="124" t="str">
        <f>IF($B131="","",IFERROR(-AM131,"n.b."))</f>
        <v/>
      </c>
      <c r="BR131" s="124" t="str">
        <f>IF($B131="","",IFERROR(-AO131,"n.b."))</f>
        <v/>
      </c>
      <c r="BS131" s="124" t="str">
        <f>IF($B131="","",IFERROR(-Z131,"n.b."))</f>
        <v/>
      </c>
      <c r="BT131" s="124" t="str">
        <f>IF($B131="","",IFERROR(-AA131,"n.b."))</f>
        <v/>
      </c>
      <c r="BU131" s="124" t="str">
        <f>IF($B131="","",IFERROR(-AE131,"n.b."))</f>
        <v/>
      </c>
      <c r="BV131" s="124" t="str">
        <f>IF($B131="","",IFERROR(-AF131,"n.b."))</f>
        <v/>
      </c>
      <c r="BW131" s="124" t="str">
        <f>IF($B131="","",IFERROR(-AG131,"n.b."))</f>
        <v/>
      </c>
      <c r="BX131" s="124" t="str">
        <f>IF($B131="","",IFERROR(-AH131,"n.b."))</f>
        <v/>
      </c>
      <c r="BY131" s="124" t="str">
        <f>IF($B131="","",IFERROR(-AI131,"n.b."))</f>
        <v/>
      </c>
      <c r="BZ131" s="124" t="str">
        <f>IF($B131="","",IFERROR(-AJ131,"n.b."))</f>
        <v/>
      </c>
      <c r="CA131" s="124" t="str">
        <f>IF($B131="","",IFERROR(-AK131,"n.b."))</f>
        <v/>
      </c>
      <c r="CB131" s="124" t="str">
        <f>IF($B131="","",IFERROR(-AL131,"n.b."))</f>
        <v/>
      </c>
      <c r="CC131" s="124" t="str">
        <f>IF($B131="","",IFERROR(-AP131,"n.b."))</f>
        <v/>
      </c>
      <c r="CD131" s="124" t="str">
        <f>IF($B131="","",IFERROR(-AQ131,"n.b."))</f>
        <v/>
      </c>
      <c r="CE131" s="124" t="str">
        <f>IF($B131="","",IFERROR(-AR131,"n.b."))</f>
        <v/>
      </c>
      <c r="CF131" s="124" t="str">
        <f>IF($B131="","",IFERROR(-AS131,"n.b."))</f>
        <v/>
      </c>
      <c r="CG131" s="124" t="str">
        <f>IF($B131="","",IFERROR(-AT131,"n.b."))</f>
        <v/>
      </c>
      <c r="CH131" s="124" t="str">
        <f>IF($B131="","",IFERROR(-AU131,"n.b."))</f>
        <v/>
      </c>
      <c r="CI131" s="124" t="str">
        <f>IF($B131="","",IFERROR(-AV131,"n.b."))</f>
        <v/>
      </c>
      <c r="CJ131" s="124" t="str">
        <f>IF($B131="","",IFERROR(-AW131,"n.b."))</f>
        <v/>
      </c>
      <c r="CK131" s="124" t="str">
        <f>IF($B131="","",IFERROR(-AX131,"n.b."))</f>
        <v/>
      </c>
      <c r="CL131" s="124" t="str">
        <f>IF($B131="","",IFERROR(-AY131,"n.b."))</f>
        <v/>
      </c>
      <c r="CM131" s="124" t="str">
        <f>IF($B131="","",IFERROR(-AZ131,"n.b."))</f>
        <v/>
      </c>
      <c r="CN131" s="124" t="str">
        <f>IF($B131="","",IFERROR(-BA131,"n.b."))</f>
        <v/>
      </c>
      <c r="CO131" s="124" t="str">
        <f>IF($B131="","",IFERROR(-BB131,"n.b."))</f>
        <v/>
      </c>
      <c r="CP131" s="124" t="str">
        <f>IF($B131="","",IFERROR(-BC131,"n.b."))</f>
        <v/>
      </c>
      <c r="CQ131" s="124" t="str">
        <f>IF($B131="","",IFERROR(-BD131,"n.b."))</f>
        <v/>
      </c>
      <c r="CR131" s="124" t="str">
        <f>IF($B131="","",IFERROR(-BE131,"n.b."))</f>
        <v/>
      </c>
      <c r="CS131" s="124" t="str">
        <f>IF($B131="","",IFERROR(IF(OR(ABS(T131+V131+X131+Z131-AB131)&gt;P_Tol,ABS(U131+W131+Y131+AA131-AD131)&gt;P_Tol,ABS(AE131+AG131+AI131+AK131-AM131)&gt;P_Tol,ABS(AF131+AH131+AJ131+AL131-AO131)&gt;P_Tol),1,0),1))</f>
        <v/>
      </c>
      <c r="CT131" s="124" t="str">
        <f>IF($B131="","",IFERROR(IF(OR(ABS(AB131+AC131-AD131)&gt;P_Tol,ABS(AM131+AN131-AO131)&gt;P_Tol,ABS(O131+P131-Q131)&gt;P_Tol),1,0),1))</f>
        <v/>
      </c>
      <c r="CU131" s="124" t="str">
        <f>IF($B131="","",IFERROR(IF(ABS(R131-(AB131+AM131+AP131+AR131+AT131+AV131+AX131+AZ131+BB131+BD131))&gt;P_Tol,1,0),1))</f>
        <v/>
      </c>
      <c r="CV131" s="124" t="str">
        <f>IF($B131="","",IFERROR(IF(ABS(M131-(N131+O131+R131))&gt;P_Tol,1,0),1))</f>
        <v/>
      </c>
      <c r="CW131" s="124" t="str">
        <f>IF($B131="","",IF(COUNTIF(Mapping!$A$5:$A$104,B131)&gt;0,1,0))</f>
        <v/>
      </c>
      <c r="CX131" s="124" t="str">
        <f>IF($B131="","",COUNTIF($B$6:$B$505,B131))</f>
        <v/>
      </c>
      <c r="CY131" s="124" t="str">
        <f>IF($B131="","",COUNTIF(STG_Woningetalage!$B$6:$B$505,B131))</f>
        <v/>
      </c>
      <c r="CZ131" s="124" t="str">
        <f>IF($B131="","",IF(CW131=0,COUNTIF($CW$6:CW131,0),""))</f>
        <v/>
      </c>
    </row>
    <row r="132">
      <c r="A132" s="15" t="n">
        <v>128</v>
      </c>
      <c r="B132" t="str">
        <f>IF(B$3=0,"",IF(INDEX(SRC_ZPMW03!$A$1:$ZZ$501,$A132,B$3)&amp;""="","",INDEX(SRC_ZPMW03!$A$1:$ZZ$501,$A132,B$3)&amp;""))</f>
        <v/>
      </c>
      <c r="C132" t="str">
        <f>IF($B132="","",IF(C$3=0,"n.b.",INDEX(SRC_ZPMW03!$A$1:$ZZ$501,$A132,C$3)))</f>
        <v/>
      </c>
      <c r="D132" t="str">
        <f>IF($B132="","",IF(D$3=0,"n.b.",INDEX(SRC_ZPMW03!$A$1:$ZZ$501,$A132,D$3)))</f>
        <v/>
      </c>
      <c r="E132" t="str">
        <f>IF($B132="","",IF(E$3=0,"n.b.",INDEX(SRC_ZPMW03!$A$1:$ZZ$501,$A132,E$3)))</f>
        <v/>
      </c>
      <c r="F132" t="str">
        <f>IF($B132="","",IF(F$3=0,"n.b.",INDEX(SRC_ZPMW03!$A$1:$ZZ$501,$A132,F$3)))</f>
        <v/>
      </c>
      <c r="G132" t="str">
        <f>IF($B132="","",IF(G$3=0,"n.b.",INDEX(SRC_ZPMW03!$A$1:$ZZ$501,$A132,G$3)))</f>
        <v/>
      </c>
      <c r="H132" t="str">
        <f>IF($B132="","",IF(H$3=0,"n.b.",INDEX(SRC_ZPMW03!$A$1:$ZZ$501,$A132,H$3)))</f>
        <v/>
      </c>
      <c r="I132" t="str">
        <f>IF($B132="","",IF(I$3=0,"n.b.",INDEX(SRC_ZPMW03!$A$1:$ZZ$501,$A132,I$3)))</f>
        <v/>
      </c>
      <c r="J132" t="str">
        <f>IF($B132="","",IF(J$3=0,"n.b.",INDEX(SRC_ZPMW03!$A$1:$ZZ$501,$A132,J$3)))</f>
        <v/>
      </c>
      <c r="K132" t="str">
        <f>IF($B132="","",IF(K$3=0,"n.b.",INDEX(SRC_ZPMW03!$A$1:$ZZ$501,$A132,K$3)))</f>
        <v/>
      </c>
      <c r="L132" s="124" t="str">
        <f>IF($B132="","",IF(L$3=0,"n.b.",INDEX(SRC_ZPMW03!$A$1:$ZZ$501,$A132,L$3)))</f>
        <v/>
      </c>
      <c r="M132" s="124" t="str">
        <f>IF($B132="","",IF(M$3=0,"n.b.",INDEX(SRC_ZPMW03!$A$1:$ZZ$501,$A132,M$3)))</f>
        <v/>
      </c>
      <c r="N132" s="124" t="str">
        <f>IF($B132="","",IF(N$3=0,"n.b.",INDEX(SRC_ZPMW03!$A$1:$ZZ$501,$A132,N$3)))</f>
        <v/>
      </c>
      <c r="O132" s="124" t="str">
        <f>IF($B132="","",IF(O$3=0,"n.b.",INDEX(SRC_ZPMW03!$A$1:$ZZ$501,$A132,O$3)))</f>
        <v/>
      </c>
      <c r="P132" s="124" t="str">
        <f>IF($B132="","",IF(P$3=0,"n.b.",INDEX(SRC_ZPMW03!$A$1:$ZZ$501,$A132,P$3)))</f>
        <v/>
      </c>
      <c r="Q132" s="124" t="str">
        <f>IF($B132="","",IF(Q$3=0,"n.b.",INDEX(SRC_ZPMW03!$A$1:$ZZ$501,$A132,Q$3)))</f>
        <v/>
      </c>
      <c r="R132" s="124" t="str">
        <f>IF($B132="","",IF(R$3=0,"n.b.",INDEX(SRC_ZPMW03!$A$1:$ZZ$501,$A132,R$3)))</f>
        <v/>
      </c>
      <c r="S132" s="124" t="str">
        <f>IF($B132="","",IF(S$3=0,"n.b.",INDEX(SRC_ZPMW03!$A$1:$ZZ$501,$A132,S$3)))</f>
        <v/>
      </c>
      <c r="T132" s="124" t="str">
        <f>IF($B132="","",IF(T$3=0,"n.b.",INDEX(SRC_ZPMW03!$A$1:$ZZ$501,$A132,T$3)))</f>
        <v/>
      </c>
      <c r="U132" s="124" t="str">
        <f>IF($B132="","",IF(U$3=0,"n.b.",INDEX(SRC_ZPMW03!$A$1:$ZZ$501,$A132,U$3)))</f>
        <v/>
      </c>
      <c r="V132" s="124" t="str">
        <f>IF($B132="","",IF(V$3=0,"n.b.",INDEX(SRC_ZPMW03!$A$1:$ZZ$501,$A132,V$3)))</f>
        <v/>
      </c>
      <c r="W132" s="124" t="str">
        <f>IF($B132="","",IF(W$3=0,"n.b.",INDEX(SRC_ZPMW03!$A$1:$ZZ$501,$A132,W$3)))</f>
        <v/>
      </c>
      <c r="X132" s="124" t="str">
        <f>IF($B132="","",IF(X$3=0,"n.b.",INDEX(SRC_ZPMW03!$A$1:$ZZ$501,$A132,X$3)))</f>
        <v/>
      </c>
      <c r="Y132" s="124" t="str">
        <f>IF($B132="","",IF(Y$3=0,"n.b.",INDEX(SRC_ZPMW03!$A$1:$ZZ$501,$A132,Y$3)))</f>
        <v/>
      </c>
      <c r="Z132" s="124" t="str">
        <f>IF($B132="","",IF(Z$3=0,"n.b.",INDEX(SRC_ZPMW03!$A$1:$ZZ$501,$A132,Z$3)))</f>
        <v/>
      </c>
      <c r="AA132" s="124" t="str">
        <f>IF($B132="","",IF(AA$3=0,"n.b.",INDEX(SRC_ZPMW03!$A$1:$ZZ$501,$A132,AA$3)))</f>
        <v/>
      </c>
      <c r="AB132" s="124" t="str">
        <f>IF($B132="","",IF(AB$3=0,"n.b.",INDEX(SRC_ZPMW03!$A$1:$ZZ$501,$A132,AB$3)))</f>
        <v/>
      </c>
      <c r="AC132" s="124" t="str">
        <f>IF($B132="","",IF(AC$3=0,"n.b.",INDEX(SRC_ZPMW03!$A$1:$ZZ$501,$A132,AC$3)))</f>
        <v/>
      </c>
      <c r="AD132" s="124" t="str">
        <f>IF($B132="","",IF(AD$3=0,"n.b.",INDEX(SRC_ZPMW03!$A$1:$ZZ$501,$A132,AD$3)))</f>
        <v/>
      </c>
      <c r="AE132" s="124" t="str">
        <f>IF($B132="","",IF(AE$3=0,"n.b.",INDEX(SRC_ZPMW03!$A$1:$ZZ$501,$A132,AE$3)))</f>
        <v/>
      </c>
      <c r="AF132" s="124" t="str">
        <f>IF($B132="","",IF(AF$3=0,"n.b.",INDEX(SRC_ZPMW03!$A$1:$ZZ$501,$A132,AF$3)))</f>
        <v/>
      </c>
      <c r="AG132" s="124" t="str">
        <f>IF($B132="","",IF(AG$3=0,"n.b.",INDEX(SRC_ZPMW03!$A$1:$ZZ$501,$A132,AG$3)))</f>
        <v/>
      </c>
      <c r="AH132" s="124" t="str">
        <f>IF($B132="","",IF(AH$3=0,"n.b.",INDEX(SRC_ZPMW03!$A$1:$ZZ$501,$A132,AH$3)))</f>
        <v/>
      </c>
      <c r="AI132" s="124" t="str">
        <f>IF($B132="","",IF(AI$3=0,"n.b.",INDEX(SRC_ZPMW03!$A$1:$ZZ$501,$A132,AI$3)))</f>
        <v/>
      </c>
      <c r="AJ132" s="124" t="str">
        <f>IF($B132="","",IF(AJ$3=0,"n.b.",INDEX(SRC_ZPMW03!$A$1:$ZZ$501,$A132,AJ$3)))</f>
        <v/>
      </c>
      <c r="AK132" s="124" t="str">
        <f>IF($B132="","",IF(AK$3=0,"n.b.",INDEX(SRC_ZPMW03!$A$1:$ZZ$501,$A132,AK$3)))</f>
        <v/>
      </c>
      <c r="AL132" s="124" t="str">
        <f>IF($B132="","",IF(AL$3=0,"n.b.",INDEX(SRC_ZPMW03!$A$1:$ZZ$501,$A132,AL$3)))</f>
        <v/>
      </c>
      <c r="AM132" s="124" t="str">
        <f>IF($B132="","",IF(AM$3=0,"n.b.",INDEX(SRC_ZPMW03!$A$1:$ZZ$501,$A132,AM$3)))</f>
        <v/>
      </c>
      <c r="AN132" s="124" t="str">
        <f>IF($B132="","",IF(AN$3=0,"n.b.",INDEX(SRC_ZPMW03!$A$1:$ZZ$501,$A132,AN$3)))</f>
        <v/>
      </c>
      <c r="AO132" s="124" t="str">
        <f>IF($B132="","",IF(AO$3=0,"n.b.",INDEX(SRC_ZPMW03!$A$1:$ZZ$501,$A132,AO$3)))</f>
        <v/>
      </c>
      <c r="AP132" s="124" t="str">
        <f>IF($B132="","",IF(AP$3=0,"n.b.",INDEX(SRC_ZPMW03!$A$1:$ZZ$501,$A132,AP$3)))</f>
        <v/>
      </c>
      <c r="AQ132" s="124" t="str">
        <f>IF($B132="","",IF(AQ$3=0,"n.b.",INDEX(SRC_ZPMW03!$A$1:$ZZ$501,$A132,AQ$3)))</f>
        <v/>
      </c>
      <c r="AR132" s="124" t="str">
        <f>IF($B132="","",IF(AR$3=0,"n.b.",INDEX(SRC_ZPMW03!$A$1:$ZZ$501,$A132,AR$3)))</f>
        <v/>
      </c>
      <c r="AS132" s="124" t="str">
        <f>IF($B132="","",IF(AS$3=0,"n.b.",INDEX(SRC_ZPMW03!$A$1:$ZZ$501,$A132,AS$3)))</f>
        <v/>
      </c>
      <c r="AT132" s="124" t="str">
        <f>IF($B132="","",IF(AT$3=0,"n.b.",INDEX(SRC_ZPMW03!$A$1:$ZZ$501,$A132,AT$3)))</f>
        <v/>
      </c>
      <c r="AU132" s="124" t="str">
        <f>IF($B132="","",IF(AU$3=0,"n.b.",INDEX(SRC_ZPMW03!$A$1:$ZZ$501,$A132,AU$3)))</f>
        <v/>
      </c>
      <c r="AV132" s="124" t="str">
        <f>IF($B132="","",IF(AV$3=0,"n.b.",INDEX(SRC_ZPMW03!$A$1:$ZZ$501,$A132,AV$3)))</f>
        <v/>
      </c>
      <c r="AW132" s="124" t="str">
        <f>IF($B132="","",IF(AW$3=0,"n.b.",INDEX(SRC_ZPMW03!$A$1:$ZZ$501,$A132,AW$3)))</f>
        <v/>
      </c>
      <c r="AX132" s="124" t="str">
        <f>IF($B132="","",IF(AX$3=0,"n.b.",INDEX(SRC_ZPMW03!$A$1:$ZZ$501,$A132,AX$3)))</f>
        <v/>
      </c>
      <c r="AY132" s="124" t="str">
        <f>IF($B132="","",IF(AY$3=0,"n.b.",INDEX(SRC_ZPMW03!$A$1:$ZZ$501,$A132,AY$3)))</f>
        <v/>
      </c>
      <c r="AZ132" s="124" t="str">
        <f>IF($B132="","",IF(AZ$3=0,"n.b.",INDEX(SRC_ZPMW03!$A$1:$ZZ$501,$A132,AZ$3)))</f>
        <v/>
      </c>
      <c r="BA132" s="124" t="str">
        <f>IF($B132="","",IF(BA$3=0,"n.b.",INDEX(SRC_ZPMW03!$A$1:$ZZ$501,$A132,BA$3)))</f>
        <v/>
      </c>
      <c r="BB132" s="124" t="str">
        <f>IF($B132="","",IF(BB$3=0,"n.b.",INDEX(SRC_ZPMW03!$A$1:$ZZ$501,$A132,BB$3)))</f>
        <v/>
      </c>
      <c r="BC132" s="124" t="str">
        <f>IF($B132="","",IF(BC$3=0,"n.b.",INDEX(SRC_ZPMW03!$A$1:$ZZ$501,$A132,BC$3)))</f>
        <v/>
      </c>
      <c r="BD132" s="124" t="str">
        <f>IF($B132="","",IF(BD$3=0,"n.b.",INDEX(SRC_ZPMW03!$A$1:$ZZ$501,$A132,BD$3)))</f>
        <v/>
      </c>
      <c r="BE132" s="124" t="str">
        <f>IF($B132="","",IF(BE$3=0,"n.b.",INDEX(SRC_ZPMW03!$A$1:$ZZ$501,$A132,BE$3)))</f>
        <v/>
      </c>
      <c r="BF132" s="124" t="str">
        <f>IF($B132="","",IF(BF$3=0,"n.b.",INDEX(SRC_ZPMW03!$A$1:$ZZ$501,$A132,BF$3)))</f>
        <v/>
      </c>
      <c r="BG132" t="str">
        <f>IF($B132="","",IF(BG$3=0,"n.b.",INDEX(SRC_ZPMW03!$A$1:$ZZ$501,$A132,BG$3)))</f>
        <v/>
      </c>
      <c r="BH132" t="str">
        <f>IF($B132="","",IF(BH$3=0,"n.b.",INDEX(SRC_ZPMW03!$A$1:$ZZ$501,$A132,BH$3)))</f>
        <v/>
      </c>
      <c r="BI132" t="str">
        <f>IF($B132="","",IF(BI$3=0,"n.b.",INDEX(SRC_ZPMW03!$A$1:$ZZ$501,$A132,BI$3)))</f>
        <v/>
      </c>
      <c r="BJ132" t="str">
        <f>IF($B132="","",IF(BJ$3=0,"n.b.",INDEX(SRC_ZPMW03!$A$1:$ZZ$501,$A132,BJ$3)))</f>
        <v/>
      </c>
      <c r="BK132" s="124" t="str">
        <f>IF($B132="","",IFERROR(-O132,"n.b."))</f>
        <v/>
      </c>
      <c r="BL132" s="124" t="str">
        <f>IF($B132="","",IFERROR(-Q132,"n.b."))</f>
        <v/>
      </c>
      <c r="BM132" s="124" t="str">
        <f>IF($B132="","",IFERROR(-AB132,"n.b."))</f>
        <v/>
      </c>
      <c r="BN132" s="124" t="str">
        <f>IF($B132="","",IFERROR(-AD132,"n.b."))</f>
        <v/>
      </c>
      <c r="BO132" s="124" t="str">
        <f>IF($B132="","",IFERROR(BK132+BM132,"n.b."))</f>
        <v/>
      </c>
      <c r="BP132" s="124" t="str">
        <f>IF($B132="","",IFERROR(BL132+BN132,"n.b."))</f>
        <v/>
      </c>
      <c r="BQ132" s="124" t="str">
        <f>IF($B132="","",IFERROR(-AM132,"n.b."))</f>
        <v/>
      </c>
      <c r="BR132" s="124" t="str">
        <f>IF($B132="","",IFERROR(-AO132,"n.b."))</f>
        <v/>
      </c>
      <c r="BS132" s="124" t="str">
        <f>IF($B132="","",IFERROR(-Z132,"n.b."))</f>
        <v/>
      </c>
      <c r="BT132" s="124" t="str">
        <f>IF($B132="","",IFERROR(-AA132,"n.b."))</f>
        <v/>
      </c>
      <c r="BU132" s="124" t="str">
        <f>IF($B132="","",IFERROR(-AE132,"n.b."))</f>
        <v/>
      </c>
      <c r="BV132" s="124" t="str">
        <f>IF($B132="","",IFERROR(-AF132,"n.b."))</f>
        <v/>
      </c>
      <c r="BW132" s="124" t="str">
        <f>IF($B132="","",IFERROR(-AG132,"n.b."))</f>
        <v/>
      </c>
      <c r="BX132" s="124" t="str">
        <f>IF($B132="","",IFERROR(-AH132,"n.b."))</f>
        <v/>
      </c>
      <c r="BY132" s="124" t="str">
        <f>IF($B132="","",IFERROR(-AI132,"n.b."))</f>
        <v/>
      </c>
      <c r="BZ132" s="124" t="str">
        <f>IF($B132="","",IFERROR(-AJ132,"n.b."))</f>
        <v/>
      </c>
      <c r="CA132" s="124" t="str">
        <f>IF($B132="","",IFERROR(-AK132,"n.b."))</f>
        <v/>
      </c>
      <c r="CB132" s="124" t="str">
        <f>IF($B132="","",IFERROR(-AL132,"n.b."))</f>
        <v/>
      </c>
      <c r="CC132" s="124" t="str">
        <f>IF($B132="","",IFERROR(-AP132,"n.b."))</f>
        <v/>
      </c>
      <c r="CD132" s="124" t="str">
        <f>IF($B132="","",IFERROR(-AQ132,"n.b."))</f>
        <v/>
      </c>
      <c r="CE132" s="124" t="str">
        <f>IF($B132="","",IFERROR(-AR132,"n.b."))</f>
        <v/>
      </c>
      <c r="CF132" s="124" t="str">
        <f>IF($B132="","",IFERROR(-AS132,"n.b."))</f>
        <v/>
      </c>
      <c r="CG132" s="124" t="str">
        <f>IF($B132="","",IFERROR(-AT132,"n.b."))</f>
        <v/>
      </c>
      <c r="CH132" s="124" t="str">
        <f>IF($B132="","",IFERROR(-AU132,"n.b."))</f>
        <v/>
      </c>
      <c r="CI132" s="124" t="str">
        <f>IF($B132="","",IFERROR(-AV132,"n.b."))</f>
        <v/>
      </c>
      <c r="CJ132" s="124" t="str">
        <f>IF($B132="","",IFERROR(-AW132,"n.b."))</f>
        <v/>
      </c>
      <c r="CK132" s="124" t="str">
        <f>IF($B132="","",IFERROR(-AX132,"n.b."))</f>
        <v/>
      </c>
      <c r="CL132" s="124" t="str">
        <f>IF($B132="","",IFERROR(-AY132,"n.b."))</f>
        <v/>
      </c>
      <c r="CM132" s="124" t="str">
        <f>IF($B132="","",IFERROR(-AZ132,"n.b."))</f>
        <v/>
      </c>
      <c r="CN132" s="124" t="str">
        <f>IF($B132="","",IFERROR(-BA132,"n.b."))</f>
        <v/>
      </c>
      <c r="CO132" s="124" t="str">
        <f>IF($B132="","",IFERROR(-BB132,"n.b."))</f>
        <v/>
      </c>
      <c r="CP132" s="124" t="str">
        <f>IF($B132="","",IFERROR(-BC132,"n.b."))</f>
        <v/>
      </c>
      <c r="CQ132" s="124" t="str">
        <f>IF($B132="","",IFERROR(-BD132,"n.b."))</f>
        <v/>
      </c>
      <c r="CR132" s="124" t="str">
        <f>IF($B132="","",IFERROR(-BE132,"n.b."))</f>
        <v/>
      </c>
      <c r="CS132" s="124" t="str">
        <f>IF($B132="","",IFERROR(IF(OR(ABS(T132+V132+X132+Z132-AB132)&gt;P_Tol,ABS(U132+W132+Y132+AA132-AD132)&gt;P_Tol,ABS(AE132+AG132+AI132+AK132-AM132)&gt;P_Tol,ABS(AF132+AH132+AJ132+AL132-AO132)&gt;P_Tol),1,0),1))</f>
        <v/>
      </c>
      <c r="CT132" s="124" t="str">
        <f>IF($B132="","",IFERROR(IF(OR(ABS(AB132+AC132-AD132)&gt;P_Tol,ABS(AM132+AN132-AO132)&gt;P_Tol,ABS(O132+P132-Q132)&gt;P_Tol),1,0),1))</f>
        <v/>
      </c>
      <c r="CU132" s="124" t="str">
        <f>IF($B132="","",IFERROR(IF(ABS(R132-(AB132+AM132+AP132+AR132+AT132+AV132+AX132+AZ132+BB132+BD132))&gt;P_Tol,1,0),1))</f>
        <v/>
      </c>
      <c r="CV132" s="124" t="str">
        <f>IF($B132="","",IFERROR(IF(ABS(M132-(N132+O132+R132))&gt;P_Tol,1,0),1))</f>
        <v/>
      </c>
      <c r="CW132" s="124" t="str">
        <f>IF($B132="","",IF(COUNTIF(Mapping!$A$5:$A$104,B132)&gt;0,1,0))</f>
        <v/>
      </c>
      <c r="CX132" s="124" t="str">
        <f>IF($B132="","",COUNTIF($B$6:$B$505,B132))</f>
        <v/>
      </c>
      <c r="CY132" s="124" t="str">
        <f>IF($B132="","",COUNTIF(STG_Woningetalage!$B$6:$B$505,B132))</f>
        <v/>
      </c>
      <c r="CZ132" s="124" t="str">
        <f>IF($B132="","",IF(CW132=0,COUNTIF($CW$6:CW132,0),""))</f>
        <v/>
      </c>
    </row>
    <row r="133">
      <c r="A133" s="15" t="n">
        <v>129</v>
      </c>
      <c r="B133" t="str">
        <f>IF(B$3=0,"",IF(INDEX(SRC_ZPMW03!$A$1:$ZZ$501,$A133,B$3)&amp;""="","",INDEX(SRC_ZPMW03!$A$1:$ZZ$501,$A133,B$3)&amp;""))</f>
        <v/>
      </c>
      <c r="C133" t="str">
        <f>IF($B133="","",IF(C$3=0,"n.b.",INDEX(SRC_ZPMW03!$A$1:$ZZ$501,$A133,C$3)))</f>
        <v/>
      </c>
      <c r="D133" t="str">
        <f>IF($B133="","",IF(D$3=0,"n.b.",INDEX(SRC_ZPMW03!$A$1:$ZZ$501,$A133,D$3)))</f>
        <v/>
      </c>
      <c r="E133" t="str">
        <f>IF($B133="","",IF(E$3=0,"n.b.",INDEX(SRC_ZPMW03!$A$1:$ZZ$501,$A133,E$3)))</f>
        <v/>
      </c>
      <c r="F133" t="str">
        <f>IF($B133="","",IF(F$3=0,"n.b.",INDEX(SRC_ZPMW03!$A$1:$ZZ$501,$A133,F$3)))</f>
        <v/>
      </c>
      <c r="G133" t="str">
        <f>IF($B133="","",IF(G$3=0,"n.b.",INDEX(SRC_ZPMW03!$A$1:$ZZ$501,$A133,G$3)))</f>
        <v/>
      </c>
      <c r="H133" t="str">
        <f>IF($B133="","",IF(H$3=0,"n.b.",INDEX(SRC_ZPMW03!$A$1:$ZZ$501,$A133,H$3)))</f>
        <v/>
      </c>
      <c r="I133" t="str">
        <f>IF($B133="","",IF(I$3=0,"n.b.",INDEX(SRC_ZPMW03!$A$1:$ZZ$501,$A133,I$3)))</f>
        <v/>
      </c>
      <c r="J133" t="str">
        <f>IF($B133="","",IF(J$3=0,"n.b.",INDEX(SRC_ZPMW03!$A$1:$ZZ$501,$A133,J$3)))</f>
        <v/>
      </c>
      <c r="K133" t="str">
        <f>IF($B133="","",IF(K$3=0,"n.b.",INDEX(SRC_ZPMW03!$A$1:$ZZ$501,$A133,K$3)))</f>
        <v/>
      </c>
      <c r="L133" s="124" t="str">
        <f>IF($B133="","",IF(L$3=0,"n.b.",INDEX(SRC_ZPMW03!$A$1:$ZZ$501,$A133,L$3)))</f>
        <v/>
      </c>
      <c r="M133" s="124" t="str">
        <f>IF($B133="","",IF(M$3=0,"n.b.",INDEX(SRC_ZPMW03!$A$1:$ZZ$501,$A133,M$3)))</f>
        <v/>
      </c>
      <c r="N133" s="124" t="str">
        <f>IF($B133="","",IF(N$3=0,"n.b.",INDEX(SRC_ZPMW03!$A$1:$ZZ$501,$A133,N$3)))</f>
        <v/>
      </c>
      <c r="O133" s="124" t="str">
        <f>IF($B133="","",IF(O$3=0,"n.b.",INDEX(SRC_ZPMW03!$A$1:$ZZ$501,$A133,O$3)))</f>
        <v/>
      </c>
      <c r="P133" s="124" t="str">
        <f>IF($B133="","",IF(P$3=0,"n.b.",INDEX(SRC_ZPMW03!$A$1:$ZZ$501,$A133,P$3)))</f>
        <v/>
      </c>
      <c r="Q133" s="124" t="str">
        <f>IF($B133="","",IF(Q$3=0,"n.b.",INDEX(SRC_ZPMW03!$A$1:$ZZ$501,$A133,Q$3)))</f>
        <v/>
      </c>
      <c r="R133" s="124" t="str">
        <f>IF($B133="","",IF(R$3=0,"n.b.",INDEX(SRC_ZPMW03!$A$1:$ZZ$501,$A133,R$3)))</f>
        <v/>
      </c>
      <c r="S133" s="124" t="str">
        <f>IF($B133="","",IF(S$3=0,"n.b.",INDEX(SRC_ZPMW03!$A$1:$ZZ$501,$A133,S$3)))</f>
        <v/>
      </c>
      <c r="T133" s="124" t="str">
        <f>IF($B133="","",IF(T$3=0,"n.b.",INDEX(SRC_ZPMW03!$A$1:$ZZ$501,$A133,T$3)))</f>
        <v/>
      </c>
      <c r="U133" s="124" t="str">
        <f>IF($B133="","",IF(U$3=0,"n.b.",INDEX(SRC_ZPMW03!$A$1:$ZZ$501,$A133,U$3)))</f>
        <v/>
      </c>
      <c r="V133" s="124" t="str">
        <f>IF($B133="","",IF(V$3=0,"n.b.",INDEX(SRC_ZPMW03!$A$1:$ZZ$501,$A133,V$3)))</f>
        <v/>
      </c>
      <c r="W133" s="124" t="str">
        <f>IF($B133="","",IF(W$3=0,"n.b.",INDEX(SRC_ZPMW03!$A$1:$ZZ$501,$A133,W$3)))</f>
        <v/>
      </c>
      <c r="X133" s="124" t="str">
        <f>IF($B133="","",IF(X$3=0,"n.b.",INDEX(SRC_ZPMW03!$A$1:$ZZ$501,$A133,X$3)))</f>
        <v/>
      </c>
      <c r="Y133" s="124" t="str">
        <f>IF($B133="","",IF(Y$3=0,"n.b.",INDEX(SRC_ZPMW03!$A$1:$ZZ$501,$A133,Y$3)))</f>
        <v/>
      </c>
      <c r="Z133" s="124" t="str">
        <f>IF($B133="","",IF(Z$3=0,"n.b.",INDEX(SRC_ZPMW03!$A$1:$ZZ$501,$A133,Z$3)))</f>
        <v/>
      </c>
      <c r="AA133" s="124" t="str">
        <f>IF($B133="","",IF(AA$3=0,"n.b.",INDEX(SRC_ZPMW03!$A$1:$ZZ$501,$A133,AA$3)))</f>
        <v/>
      </c>
      <c r="AB133" s="124" t="str">
        <f>IF($B133="","",IF(AB$3=0,"n.b.",INDEX(SRC_ZPMW03!$A$1:$ZZ$501,$A133,AB$3)))</f>
        <v/>
      </c>
      <c r="AC133" s="124" t="str">
        <f>IF($B133="","",IF(AC$3=0,"n.b.",INDEX(SRC_ZPMW03!$A$1:$ZZ$501,$A133,AC$3)))</f>
        <v/>
      </c>
      <c r="AD133" s="124" t="str">
        <f>IF($B133="","",IF(AD$3=0,"n.b.",INDEX(SRC_ZPMW03!$A$1:$ZZ$501,$A133,AD$3)))</f>
        <v/>
      </c>
      <c r="AE133" s="124" t="str">
        <f>IF($B133="","",IF(AE$3=0,"n.b.",INDEX(SRC_ZPMW03!$A$1:$ZZ$501,$A133,AE$3)))</f>
        <v/>
      </c>
      <c r="AF133" s="124" t="str">
        <f>IF($B133="","",IF(AF$3=0,"n.b.",INDEX(SRC_ZPMW03!$A$1:$ZZ$501,$A133,AF$3)))</f>
        <v/>
      </c>
      <c r="AG133" s="124" t="str">
        <f>IF($B133="","",IF(AG$3=0,"n.b.",INDEX(SRC_ZPMW03!$A$1:$ZZ$501,$A133,AG$3)))</f>
        <v/>
      </c>
      <c r="AH133" s="124" t="str">
        <f>IF($B133="","",IF(AH$3=0,"n.b.",INDEX(SRC_ZPMW03!$A$1:$ZZ$501,$A133,AH$3)))</f>
        <v/>
      </c>
      <c r="AI133" s="124" t="str">
        <f>IF($B133="","",IF(AI$3=0,"n.b.",INDEX(SRC_ZPMW03!$A$1:$ZZ$501,$A133,AI$3)))</f>
        <v/>
      </c>
      <c r="AJ133" s="124" t="str">
        <f>IF($B133="","",IF(AJ$3=0,"n.b.",INDEX(SRC_ZPMW03!$A$1:$ZZ$501,$A133,AJ$3)))</f>
        <v/>
      </c>
      <c r="AK133" s="124" t="str">
        <f>IF($B133="","",IF(AK$3=0,"n.b.",INDEX(SRC_ZPMW03!$A$1:$ZZ$501,$A133,AK$3)))</f>
        <v/>
      </c>
      <c r="AL133" s="124" t="str">
        <f>IF($B133="","",IF(AL$3=0,"n.b.",INDEX(SRC_ZPMW03!$A$1:$ZZ$501,$A133,AL$3)))</f>
        <v/>
      </c>
      <c r="AM133" s="124" t="str">
        <f>IF($B133="","",IF(AM$3=0,"n.b.",INDEX(SRC_ZPMW03!$A$1:$ZZ$501,$A133,AM$3)))</f>
        <v/>
      </c>
      <c r="AN133" s="124" t="str">
        <f>IF($B133="","",IF(AN$3=0,"n.b.",INDEX(SRC_ZPMW03!$A$1:$ZZ$501,$A133,AN$3)))</f>
        <v/>
      </c>
      <c r="AO133" s="124" t="str">
        <f>IF($B133="","",IF(AO$3=0,"n.b.",INDEX(SRC_ZPMW03!$A$1:$ZZ$501,$A133,AO$3)))</f>
        <v/>
      </c>
      <c r="AP133" s="124" t="str">
        <f>IF($B133="","",IF(AP$3=0,"n.b.",INDEX(SRC_ZPMW03!$A$1:$ZZ$501,$A133,AP$3)))</f>
        <v/>
      </c>
      <c r="AQ133" s="124" t="str">
        <f>IF($B133="","",IF(AQ$3=0,"n.b.",INDEX(SRC_ZPMW03!$A$1:$ZZ$501,$A133,AQ$3)))</f>
        <v/>
      </c>
      <c r="AR133" s="124" t="str">
        <f>IF($B133="","",IF(AR$3=0,"n.b.",INDEX(SRC_ZPMW03!$A$1:$ZZ$501,$A133,AR$3)))</f>
        <v/>
      </c>
      <c r="AS133" s="124" t="str">
        <f>IF($B133="","",IF(AS$3=0,"n.b.",INDEX(SRC_ZPMW03!$A$1:$ZZ$501,$A133,AS$3)))</f>
        <v/>
      </c>
      <c r="AT133" s="124" t="str">
        <f>IF($B133="","",IF(AT$3=0,"n.b.",INDEX(SRC_ZPMW03!$A$1:$ZZ$501,$A133,AT$3)))</f>
        <v/>
      </c>
      <c r="AU133" s="124" t="str">
        <f>IF($B133="","",IF(AU$3=0,"n.b.",INDEX(SRC_ZPMW03!$A$1:$ZZ$501,$A133,AU$3)))</f>
        <v/>
      </c>
      <c r="AV133" s="124" t="str">
        <f>IF($B133="","",IF(AV$3=0,"n.b.",INDEX(SRC_ZPMW03!$A$1:$ZZ$501,$A133,AV$3)))</f>
        <v/>
      </c>
      <c r="AW133" s="124" t="str">
        <f>IF($B133="","",IF(AW$3=0,"n.b.",INDEX(SRC_ZPMW03!$A$1:$ZZ$501,$A133,AW$3)))</f>
        <v/>
      </c>
      <c r="AX133" s="124" t="str">
        <f>IF($B133="","",IF(AX$3=0,"n.b.",INDEX(SRC_ZPMW03!$A$1:$ZZ$501,$A133,AX$3)))</f>
        <v/>
      </c>
      <c r="AY133" s="124" t="str">
        <f>IF($B133="","",IF(AY$3=0,"n.b.",INDEX(SRC_ZPMW03!$A$1:$ZZ$501,$A133,AY$3)))</f>
        <v/>
      </c>
      <c r="AZ133" s="124" t="str">
        <f>IF($B133="","",IF(AZ$3=0,"n.b.",INDEX(SRC_ZPMW03!$A$1:$ZZ$501,$A133,AZ$3)))</f>
        <v/>
      </c>
      <c r="BA133" s="124" t="str">
        <f>IF($B133="","",IF(BA$3=0,"n.b.",INDEX(SRC_ZPMW03!$A$1:$ZZ$501,$A133,BA$3)))</f>
        <v/>
      </c>
      <c r="BB133" s="124" t="str">
        <f>IF($B133="","",IF(BB$3=0,"n.b.",INDEX(SRC_ZPMW03!$A$1:$ZZ$501,$A133,BB$3)))</f>
        <v/>
      </c>
      <c r="BC133" s="124" t="str">
        <f>IF($B133="","",IF(BC$3=0,"n.b.",INDEX(SRC_ZPMW03!$A$1:$ZZ$501,$A133,BC$3)))</f>
        <v/>
      </c>
      <c r="BD133" s="124" t="str">
        <f>IF($B133="","",IF(BD$3=0,"n.b.",INDEX(SRC_ZPMW03!$A$1:$ZZ$501,$A133,BD$3)))</f>
        <v/>
      </c>
      <c r="BE133" s="124" t="str">
        <f>IF($B133="","",IF(BE$3=0,"n.b.",INDEX(SRC_ZPMW03!$A$1:$ZZ$501,$A133,BE$3)))</f>
        <v/>
      </c>
      <c r="BF133" s="124" t="str">
        <f>IF($B133="","",IF(BF$3=0,"n.b.",INDEX(SRC_ZPMW03!$A$1:$ZZ$501,$A133,BF$3)))</f>
        <v/>
      </c>
      <c r="BG133" t="str">
        <f>IF($B133="","",IF(BG$3=0,"n.b.",INDEX(SRC_ZPMW03!$A$1:$ZZ$501,$A133,BG$3)))</f>
        <v/>
      </c>
      <c r="BH133" t="str">
        <f>IF($B133="","",IF(BH$3=0,"n.b.",INDEX(SRC_ZPMW03!$A$1:$ZZ$501,$A133,BH$3)))</f>
        <v/>
      </c>
      <c r="BI133" t="str">
        <f>IF($B133="","",IF(BI$3=0,"n.b.",INDEX(SRC_ZPMW03!$A$1:$ZZ$501,$A133,BI$3)))</f>
        <v/>
      </c>
      <c r="BJ133" t="str">
        <f>IF($B133="","",IF(BJ$3=0,"n.b.",INDEX(SRC_ZPMW03!$A$1:$ZZ$501,$A133,BJ$3)))</f>
        <v/>
      </c>
      <c r="BK133" s="124" t="str">
        <f>IF($B133="","",IFERROR(-O133,"n.b."))</f>
        <v/>
      </c>
      <c r="BL133" s="124" t="str">
        <f>IF($B133="","",IFERROR(-Q133,"n.b."))</f>
        <v/>
      </c>
      <c r="BM133" s="124" t="str">
        <f>IF($B133="","",IFERROR(-AB133,"n.b."))</f>
        <v/>
      </c>
      <c r="BN133" s="124" t="str">
        <f>IF($B133="","",IFERROR(-AD133,"n.b."))</f>
        <v/>
      </c>
      <c r="BO133" s="124" t="str">
        <f>IF($B133="","",IFERROR(BK133+BM133,"n.b."))</f>
        <v/>
      </c>
      <c r="BP133" s="124" t="str">
        <f>IF($B133="","",IFERROR(BL133+BN133,"n.b."))</f>
        <v/>
      </c>
      <c r="BQ133" s="124" t="str">
        <f>IF($B133="","",IFERROR(-AM133,"n.b."))</f>
        <v/>
      </c>
      <c r="BR133" s="124" t="str">
        <f>IF($B133="","",IFERROR(-AO133,"n.b."))</f>
        <v/>
      </c>
      <c r="BS133" s="124" t="str">
        <f>IF($B133="","",IFERROR(-Z133,"n.b."))</f>
        <v/>
      </c>
      <c r="BT133" s="124" t="str">
        <f>IF($B133="","",IFERROR(-AA133,"n.b."))</f>
        <v/>
      </c>
      <c r="BU133" s="124" t="str">
        <f>IF($B133="","",IFERROR(-AE133,"n.b."))</f>
        <v/>
      </c>
      <c r="BV133" s="124" t="str">
        <f>IF($B133="","",IFERROR(-AF133,"n.b."))</f>
        <v/>
      </c>
      <c r="BW133" s="124" t="str">
        <f>IF($B133="","",IFERROR(-AG133,"n.b."))</f>
        <v/>
      </c>
      <c r="BX133" s="124" t="str">
        <f>IF($B133="","",IFERROR(-AH133,"n.b."))</f>
        <v/>
      </c>
      <c r="BY133" s="124" t="str">
        <f>IF($B133="","",IFERROR(-AI133,"n.b."))</f>
        <v/>
      </c>
      <c r="BZ133" s="124" t="str">
        <f>IF($B133="","",IFERROR(-AJ133,"n.b."))</f>
        <v/>
      </c>
      <c r="CA133" s="124" t="str">
        <f>IF($B133="","",IFERROR(-AK133,"n.b."))</f>
        <v/>
      </c>
      <c r="CB133" s="124" t="str">
        <f>IF($B133="","",IFERROR(-AL133,"n.b."))</f>
        <v/>
      </c>
      <c r="CC133" s="124" t="str">
        <f>IF($B133="","",IFERROR(-AP133,"n.b."))</f>
        <v/>
      </c>
      <c r="CD133" s="124" t="str">
        <f>IF($B133="","",IFERROR(-AQ133,"n.b."))</f>
        <v/>
      </c>
      <c r="CE133" s="124" t="str">
        <f>IF($B133="","",IFERROR(-AR133,"n.b."))</f>
        <v/>
      </c>
      <c r="CF133" s="124" t="str">
        <f>IF($B133="","",IFERROR(-AS133,"n.b."))</f>
        <v/>
      </c>
      <c r="CG133" s="124" t="str">
        <f>IF($B133="","",IFERROR(-AT133,"n.b."))</f>
        <v/>
      </c>
      <c r="CH133" s="124" t="str">
        <f>IF($B133="","",IFERROR(-AU133,"n.b."))</f>
        <v/>
      </c>
      <c r="CI133" s="124" t="str">
        <f>IF($B133="","",IFERROR(-AV133,"n.b."))</f>
        <v/>
      </c>
      <c r="CJ133" s="124" t="str">
        <f>IF($B133="","",IFERROR(-AW133,"n.b."))</f>
        <v/>
      </c>
      <c r="CK133" s="124" t="str">
        <f>IF($B133="","",IFERROR(-AX133,"n.b."))</f>
        <v/>
      </c>
      <c r="CL133" s="124" t="str">
        <f>IF($B133="","",IFERROR(-AY133,"n.b."))</f>
        <v/>
      </c>
      <c r="CM133" s="124" t="str">
        <f>IF($B133="","",IFERROR(-AZ133,"n.b."))</f>
        <v/>
      </c>
      <c r="CN133" s="124" t="str">
        <f>IF($B133="","",IFERROR(-BA133,"n.b."))</f>
        <v/>
      </c>
      <c r="CO133" s="124" t="str">
        <f>IF($B133="","",IFERROR(-BB133,"n.b."))</f>
        <v/>
      </c>
      <c r="CP133" s="124" t="str">
        <f>IF($B133="","",IFERROR(-BC133,"n.b."))</f>
        <v/>
      </c>
      <c r="CQ133" s="124" t="str">
        <f>IF($B133="","",IFERROR(-BD133,"n.b."))</f>
        <v/>
      </c>
      <c r="CR133" s="124" t="str">
        <f>IF($B133="","",IFERROR(-BE133,"n.b."))</f>
        <v/>
      </c>
      <c r="CS133" s="124" t="str">
        <f>IF($B133="","",IFERROR(IF(OR(ABS(T133+V133+X133+Z133-AB133)&gt;P_Tol,ABS(U133+W133+Y133+AA133-AD133)&gt;P_Tol,ABS(AE133+AG133+AI133+AK133-AM133)&gt;P_Tol,ABS(AF133+AH133+AJ133+AL133-AO133)&gt;P_Tol),1,0),1))</f>
        <v/>
      </c>
      <c r="CT133" s="124" t="str">
        <f>IF($B133="","",IFERROR(IF(OR(ABS(AB133+AC133-AD133)&gt;P_Tol,ABS(AM133+AN133-AO133)&gt;P_Tol,ABS(O133+P133-Q133)&gt;P_Tol),1,0),1))</f>
        <v/>
      </c>
      <c r="CU133" s="124" t="str">
        <f>IF($B133="","",IFERROR(IF(ABS(R133-(AB133+AM133+AP133+AR133+AT133+AV133+AX133+AZ133+BB133+BD133))&gt;P_Tol,1,0),1))</f>
        <v/>
      </c>
      <c r="CV133" s="124" t="str">
        <f>IF($B133="","",IFERROR(IF(ABS(M133-(N133+O133+R133))&gt;P_Tol,1,0),1))</f>
        <v/>
      </c>
      <c r="CW133" s="124" t="str">
        <f>IF($B133="","",IF(COUNTIF(Mapping!$A$5:$A$104,B133)&gt;0,1,0))</f>
        <v/>
      </c>
      <c r="CX133" s="124" t="str">
        <f>IF($B133="","",COUNTIF($B$6:$B$505,B133))</f>
        <v/>
      </c>
      <c r="CY133" s="124" t="str">
        <f>IF($B133="","",COUNTIF(STG_Woningetalage!$B$6:$B$505,B133))</f>
        <v/>
      </c>
      <c r="CZ133" s="124" t="str">
        <f>IF($B133="","",IF(CW133=0,COUNTIF($CW$6:CW133,0),""))</f>
        <v/>
      </c>
    </row>
    <row r="134">
      <c r="A134" s="15" t="n">
        <v>130</v>
      </c>
      <c r="B134" t="str">
        <f>IF(B$3=0,"",IF(INDEX(SRC_ZPMW03!$A$1:$ZZ$501,$A134,B$3)&amp;""="","",INDEX(SRC_ZPMW03!$A$1:$ZZ$501,$A134,B$3)&amp;""))</f>
        <v/>
      </c>
      <c r="C134" t="str">
        <f>IF($B134="","",IF(C$3=0,"n.b.",INDEX(SRC_ZPMW03!$A$1:$ZZ$501,$A134,C$3)))</f>
        <v/>
      </c>
      <c r="D134" t="str">
        <f>IF($B134="","",IF(D$3=0,"n.b.",INDEX(SRC_ZPMW03!$A$1:$ZZ$501,$A134,D$3)))</f>
        <v/>
      </c>
      <c r="E134" t="str">
        <f>IF($B134="","",IF(E$3=0,"n.b.",INDEX(SRC_ZPMW03!$A$1:$ZZ$501,$A134,E$3)))</f>
        <v/>
      </c>
      <c r="F134" t="str">
        <f>IF($B134="","",IF(F$3=0,"n.b.",INDEX(SRC_ZPMW03!$A$1:$ZZ$501,$A134,F$3)))</f>
        <v/>
      </c>
      <c r="G134" t="str">
        <f>IF($B134="","",IF(G$3=0,"n.b.",INDEX(SRC_ZPMW03!$A$1:$ZZ$501,$A134,G$3)))</f>
        <v/>
      </c>
      <c r="H134" t="str">
        <f>IF($B134="","",IF(H$3=0,"n.b.",INDEX(SRC_ZPMW03!$A$1:$ZZ$501,$A134,H$3)))</f>
        <v/>
      </c>
      <c r="I134" t="str">
        <f>IF($B134="","",IF(I$3=0,"n.b.",INDEX(SRC_ZPMW03!$A$1:$ZZ$501,$A134,I$3)))</f>
        <v/>
      </c>
      <c r="J134" t="str">
        <f>IF($B134="","",IF(J$3=0,"n.b.",INDEX(SRC_ZPMW03!$A$1:$ZZ$501,$A134,J$3)))</f>
        <v/>
      </c>
      <c r="K134" t="str">
        <f>IF($B134="","",IF(K$3=0,"n.b.",INDEX(SRC_ZPMW03!$A$1:$ZZ$501,$A134,K$3)))</f>
        <v/>
      </c>
      <c r="L134" s="124" t="str">
        <f>IF($B134="","",IF(L$3=0,"n.b.",INDEX(SRC_ZPMW03!$A$1:$ZZ$501,$A134,L$3)))</f>
        <v/>
      </c>
      <c r="M134" s="124" t="str">
        <f>IF($B134="","",IF(M$3=0,"n.b.",INDEX(SRC_ZPMW03!$A$1:$ZZ$501,$A134,M$3)))</f>
        <v/>
      </c>
      <c r="N134" s="124" t="str">
        <f>IF($B134="","",IF(N$3=0,"n.b.",INDEX(SRC_ZPMW03!$A$1:$ZZ$501,$A134,N$3)))</f>
        <v/>
      </c>
      <c r="O134" s="124" t="str">
        <f>IF($B134="","",IF(O$3=0,"n.b.",INDEX(SRC_ZPMW03!$A$1:$ZZ$501,$A134,O$3)))</f>
        <v/>
      </c>
      <c r="P134" s="124" t="str">
        <f>IF($B134="","",IF(P$3=0,"n.b.",INDEX(SRC_ZPMW03!$A$1:$ZZ$501,$A134,P$3)))</f>
        <v/>
      </c>
      <c r="Q134" s="124" t="str">
        <f>IF($B134="","",IF(Q$3=0,"n.b.",INDEX(SRC_ZPMW03!$A$1:$ZZ$501,$A134,Q$3)))</f>
        <v/>
      </c>
      <c r="R134" s="124" t="str">
        <f>IF($B134="","",IF(R$3=0,"n.b.",INDEX(SRC_ZPMW03!$A$1:$ZZ$501,$A134,R$3)))</f>
        <v/>
      </c>
      <c r="S134" s="124" t="str">
        <f>IF($B134="","",IF(S$3=0,"n.b.",INDEX(SRC_ZPMW03!$A$1:$ZZ$501,$A134,S$3)))</f>
        <v/>
      </c>
      <c r="T134" s="124" t="str">
        <f>IF($B134="","",IF(T$3=0,"n.b.",INDEX(SRC_ZPMW03!$A$1:$ZZ$501,$A134,T$3)))</f>
        <v/>
      </c>
      <c r="U134" s="124" t="str">
        <f>IF($B134="","",IF(U$3=0,"n.b.",INDEX(SRC_ZPMW03!$A$1:$ZZ$501,$A134,U$3)))</f>
        <v/>
      </c>
      <c r="V134" s="124" t="str">
        <f>IF($B134="","",IF(V$3=0,"n.b.",INDEX(SRC_ZPMW03!$A$1:$ZZ$501,$A134,V$3)))</f>
        <v/>
      </c>
      <c r="W134" s="124" t="str">
        <f>IF($B134="","",IF(W$3=0,"n.b.",INDEX(SRC_ZPMW03!$A$1:$ZZ$501,$A134,W$3)))</f>
        <v/>
      </c>
      <c r="X134" s="124" t="str">
        <f>IF($B134="","",IF(X$3=0,"n.b.",INDEX(SRC_ZPMW03!$A$1:$ZZ$501,$A134,X$3)))</f>
        <v/>
      </c>
      <c r="Y134" s="124" t="str">
        <f>IF($B134="","",IF(Y$3=0,"n.b.",INDEX(SRC_ZPMW03!$A$1:$ZZ$501,$A134,Y$3)))</f>
        <v/>
      </c>
      <c r="Z134" s="124" t="str">
        <f>IF($B134="","",IF(Z$3=0,"n.b.",INDEX(SRC_ZPMW03!$A$1:$ZZ$501,$A134,Z$3)))</f>
        <v/>
      </c>
      <c r="AA134" s="124" t="str">
        <f>IF($B134="","",IF(AA$3=0,"n.b.",INDEX(SRC_ZPMW03!$A$1:$ZZ$501,$A134,AA$3)))</f>
        <v/>
      </c>
      <c r="AB134" s="124" t="str">
        <f>IF($B134="","",IF(AB$3=0,"n.b.",INDEX(SRC_ZPMW03!$A$1:$ZZ$501,$A134,AB$3)))</f>
        <v/>
      </c>
      <c r="AC134" s="124" t="str">
        <f>IF($B134="","",IF(AC$3=0,"n.b.",INDEX(SRC_ZPMW03!$A$1:$ZZ$501,$A134,AC$3)))</f>
        <v/>
      </c>
      <c r="AD134" s="124" t="str">
        <f>IF($B134="","",IF(AD$3=0,"n.b.",INDEX(SRC_ZPMW03!$A$1:$ZZ$501,$A134,AD$3)))</f>
        <v/>
      </c>
      <c r="AE134" s="124" t="str">
        <f>IF($B134="","",IF(AE$3=0,"n.b.",INDEX(SRC_ZPMW03!$A$1:$ZZ$501,$A134,AE$3)))</f>
        <v/>
      </c>
      <c r="AF134" s="124" t="str">
        <f>IF($B134="","",IF(AF$3=0,"n.b.",INDEX(SRC_ZPMW03!$A$1:$ZZ$501,$A134,AF$3)))</f>
        <v/>
      </c>
      <c r="AG134" s="124" t="str">
        <f>IF($B134="","",IF(AG$3=0,"n.b.",INDEX(SRC_ZPMW03!$A$1:$ZZ$501,$A134,AG$3)))</f>
        <v/>
      </c>
      <c r="AH134" s="124" t="str">
        <f>IF($B134="","",IF(AH$3=0,"n.b.",INDEX(SRC_ZPMW03!$A$1:$ZZ$501,$A134,AH$3)))</f>
        <v/>
      </c>
      <c r="AI134" s="124" t="str">
        <f>IF($B134="","",IF(AI$3=0,"n.b.",INDEX(SRC_ZPMW03!$A$1:$ZZ$501,$A134,AI$3)))</f>
        <v/>
      </c>
      <c r="AJ134" s="124" t="str">
        <f>IF($B134="","",IF(AJ$3=0,"n.b.",INDEX(SRC_ZPMW03!$A$1:$ZZ$501,$A134,AJ$3)))</f>
        <v/>
      </c>
      <c r="AK134" s="124" t="str">
        <f>IF($B134="","",IF(AK$3=0,"n.b.",INDEX(SRC_ZPMW03!$A$1:$ZZ$501,$A134,AK$3)))</f>
        <v/>
      </c>
      <c r="AL134" s="124" t="str">
        <f>IF($B134="","",IF(AL$3=0,"n.b.",INDEX(SRC_ZPMW03!$A$1:$ZZ$501,$A134,AL$3)))</f>
        <v/>
      </c>
      <c r="AM134" s="124" t="str">
        <f>IF($B134="","",IF(AM$3=0,"n.b.",INDEX(SRC_ZPMW03!$A$1:$ZZ$501,$A134,AM$3)))</f>
        <v/>
      </c>
      <c r="AN134" s="124" t="str">
        <f>IF($B134="","",IF(AN$3=0,"n.b.",INDEX(SRC_ZPMW03!$A$1:$ZZ$501,$A134,AN$3)))</f>
        <v/>
      </c>
      <c r="AO134" s="124" t="str">
        <f>IF($B134="","",IF(AO$3=0,"n.b.",INDEX(SRC_ZPMW03!$A$1:$ZZ$501,$A134,AO$3)))</f>
        <v/>
      </c>
      <c r="AP134" s="124" t="str">
        <f>IF($B134="","",IF(AP$3=0,"n.b.",INDEX(SRC_ZPMW03!$A$1:$ZZ$501,$A134,AP$3)))</f>
        <v/>
      </c>
      <c r="AQ134" s="124" t="str">
        <f>IF($B134="","",IF(AQ$3=0,"n.b.",INDEX(SRC_ZPMW03!$A$1:$ZZ$501,$A134,AQ$3)))</f>
        <v/>
      </c>
      <c r="AR134" s="124" t="str">
        <f>IF($B134="","",IF(AR$3=0,"n.b.",INDEX(SRC_ZPMW03!$A$1:$ZZ$501,$A134,AR$3)))</f>
        <v/>
      </c>
      <c r="AS134" s="124" t="str">
        <f>IF($B134="","",IF(AS$3=0,"n.b.",INDEX(SRC_ZPMW03!$A$1:$ZZ$501,$A134,AS$3)))</f>
        <v/>
      </c>
      <c r="AT134" s="124" t="str">
        <f>IF($B134="","",IF(AT$3=0,"n.b.",INDEX(SRC_ZPMW03!$A$1:$ZZ$501,$A134,AT$3)))</f>
        <v/>
      </c>
      <c r="AU134" s="124" t="str">
        <f>IF($B134="","",IF(AU$3=0,"n.b.",INDEX(SRC_ZPMW03!$A$1:$ZZ$501,$A134,AU$3)))</f>
        <v/>
      </c>
      <c r="AV134" s="124" t="str">
        <f>IF($B134="","",IF(AV$3=0,"n.b.",INDEX(SRC_ZPMW03!$A$1:$ZZ$501,$A134,AV$3)))</f>
        <v/>
      </c>
      <c r="AW134" s="124" t="str">
        <f>IF($B134="","",IF(AW$3=0,"n.b.",INDEX(SRC_ZPMW03!$A$1:$ZZ$501,$A134,AW$3)))</f>
        <v/>
      </c>
      <c r="AX134" s="124" t="str">
        <f>IF($B134="","",IF(AX$3=0,"n.b.",INDEX(SRC_ZPMW03!$A$1:$ZZ$501,$A134,AX$3)))</f>
        <v/>
      </c>
      <c r="AY134" s="124" t="str">
        <f>IF($B134="","",IF(AY$3=0,"n.b.",INDEX(SRC_ZPMW03!$A$1:$ZZ$501,$A134,AY$3)))</f>
        <v/>
      </c>
      <c r="AZ134" s="124" t="str">
        <f>IF($B134="","",IF(AZ$3=0,"n.b.",INDEX(SRC_ZPMW03!$A$1:$ZZ$501,$A134,AZ$3)))</f>
        <v/>
      </c>
      <c r="BA134" s="124" t="str">
        <f>IF($B134="","",IF(BA$3=0,"n.b.",INDEX(SRC_ZPMW03!$A$1:$ZZ$501,$A134,BA$3)))</f>
        <v/>
      </c>
      <c r="BB134" s="124" t="str">
        <f>IF($B134="","",IF(BB$3=0,"n.b.",INDEX(SRC_ZPMW03!$A$1:$ZZ$501,$A134,BB$3)))</f>
        <v/>
      </c>
      <c r="BC134" s="124" t="str">
        <f>IF($B134="","",IF(BC$3=0,"n.b.",INDEX(SRC_ZPMW03!$A$1:$ZZ$501,$A134,BC$3)))</f>
        <v/>
      </c>
      <c r="BD134" s="124" t="str">
        <f>IF($B134="","",IF(BD$3=0,"n.b.",INDEX(SRC_ZPMW03!$A$1:$ZZ$501,$A134,BD$3)))</f>
        <v/>
      </c>
      <c r="BE134" s="124" t="str">
        <f>IF($B134="","",IF(BE$3=0,"n.b.",INDEX(SRC_ZPMW03!$A$1:$ZZ$501,$A134,BE$3)))</f>
        <v/>
      </c>
      <c r="BF134" s="124" t="str">
        <f>IF($B134="","",IF(BF$3=0,"n.b.",INDEX(SRC_ZPMW03!$A$1:$ZZ$501,$A134,BF$3)))</f>
        <v/>
      </c>
      <c r="BG134" t="str">
        <f>IF($B134="","",IF(BG$3=0,"n.b.",INDEX(SRC_ZPMW03!$A$1:$ZZ$501,$A134,BG$3)))</f>
        <v/>
      </c>
      <c r="BH134" t="str">
        <f>IF($B134="","",IF(BH$3=0,"n.b.",INDEX(SRC_ZPMW03!$A$1:$ZZ$501,$A134,BH$3)))</f>
        <v/>
      </c>
      <c r="BI134" t="str">
        <f>IF($B134="","",IF(BI$3=0,"n.b.",INDEX(SRC_ZPMW03!$A$1:$ZZ$501,$A134,BI$3)))</f>
        <v/>
      </c>
      <c r="BJ134" t="str">
        <f>IF($B134="","",IF(BJ$3=0,"n.b.",INDEX(SRC_ZPMW03!$A$1:$ZZ$501,$A134,BJ$3)))</f>
        <v/>
      </c>
      <c r="BK134" s="124" t="str">
        <f>IF($B134="","",IFERROR(-O134,"n.b."))</f>
        <v/>
      </c>
      <c r="BL134" s="124" t="str">
        <f>IF($B134="","",IFERROR(-Q134,"n.b."))</f>
        <v/>
      </c>
      <c r="BM134" s="124" t="str">
        <f>IF($B134="","",IFERROR(-AB134,"n.b."))</f>
        <v/>
      </c>
      <c r="BN134" s="124" t="str">
        <f>IF($B134="","",IFERROR(-AD134,"n.b."))</f>
        <v/>
      </c>
      <c r="BO134" s="124" t="str">
        <f>IF($B134="","",IFERROR(BK134+BM134,"n.b."))</f>
        <v/>
      </c>
      <c r="BP134" s="124" t="str">
        <f>IF($B134="","",IFERROR(BL134+BN134,"n.b."))</f>
        <v/>
      </c>
      <c r="BQ134" s="124" t="str">
        <f>IF($B134="","",IFERROR(-AM134,"n.b."))</f>
        <v/>
      </c>
      <c r="BR134" s="124" t="str">
        <f>IF($B134="","",IFERROR(-AO134,"n.b."))</f>
        <v/>
      </c>
      <c r="BS134" s="124" t="str">
        <f>IF($B134="","",IFERROR(-Z134,"n.b."))</f>
        <v/>
      </c>
      <c r="BT134" s="124" t="str">
        <f>IF($B134="","",IFERROR(-AA134,"n.b."))</f>
        <v/>
      </c>
      <c r="BU134" s="124" t="str">
        <f>IF($B134="","",IFERROR(-AE134,"n.b."))</f>
        <v/>
      </c>
      <c r="BV134" s="124" t="str">
        <f>IF($B134="","",IFERROR(-AF134,"n.b."))</f>
        <v/>
      </c>
      <c r="BW134" s="124" t="str">
        <f>IF($B134="","",IFERROR(-AG134,"n.b."))</f>
        <v/>
      </c>
      <c r="BX134" s="124" t="str">
        <f>IF($B134="","",IFERROR(-AH134,"n.b."))</f>
        <v/>
      </c>
      <c r="BY134" s="124" t="str">
        <f>IF($B134="","",IFERROR(-AI134,"n.b."))</f>
        <v/>
      </c>
      <c r="BZ134" s="124" t="str">
        <f>IF($B134="","",IFERROR(-AJ134,"n.b."))</f>
        <v/>
      </c>
      <c r="CA134" s="124" t="str">
        <f>IF($B134="","",IFERROR(-AK134,"n.b."))</f>
        <v/>
      </c>
      <c r="CB134" s="124" t="str">
        <f>IF($B134="","",IFERROR(-AL134,"n.b."))</f>
        <v/>
      </c>
      <c r="CC134" s="124" t="str">
        <f>IF($B134="","",IFERROR(-AP134,"n.b."))</f>
        <v/>
      </c>
      <c r="CD134" s="124" t="str">
        <f>IF($B134="","",IFERROR(-AQ134,"n.b."))</f>
        <v/>
      </c>
      <c r="CE134" s="124" t="str">
        <f>IF($B134="","",IFERROR(-AR134,"n.b."))</f>
        <v/>
      </c>
      <c r="CF134" s="124" t="str">
        <f>IF($B134="","",IFERROR(-AS134,"n.b."))</f>
        <v/>
      </c>
      <c r="CG134" s="124" t="str">
        <f>IF($B134="","",IFERROR(-AT134,"n.b."))</f>
        <v/>
      </c>
      <c r="CH134" s="124" t="str">
        <f>IF($B134="","",IFERROR(-AU134,"n.b."))</f>
        <v/>
      </c>
      <c r="CI134" s="124" t="str">
        <f>IF($B134="","",IFERROR(-AV134,"n.b."))</f>
        <v/>
      </c>
      <c r="CJ134" s="124" t="str">
        <f>IF($B134="","",IFERROR(-AW134,"n.b."))</f>
        <v/>
      </c>
      <c r="CK134" s="124" t="str">
        <f>IF($B134="","",IFERROR(-AX134,"n.b."))</f>
        <v/>
      </c>
      <c r="CL134" s="124" t="str">
        <f>IF($B134="","",IFERROR(-AY134,"n.b."))</f>
        <v/>
      </c>
      <c r="CM134" s="124" t="str">
        <f>IF($B134="","",IFERROR(-AZ134,"n.b."))</f>
        <v/>
      </c>
      <c r="CN134" s="124" t="str">
        <f>IF($B134="","",IFERROR(-BA134,"n.b."))</f>
        <v/>
      </c>
      <c r="CO134" s="124" t="str">
        <f>IF($B134="","",IFERROR(-BB134,"n.b."))</f>
        <v/>
      </c>
      <c r="CP134" s="124" t="str">
        <f>IF($B134="","",IFERROR(-BC134,"n.b."))</f>
        <v/>
      </c>
      <c r="CQ134" s="124" t="str">
        <f>IF($B134="","",IFERROR(-BD134,"n.b."))</f>
        <v/>
      </c>
      <c r="CR134" s="124" t="str">
        <f>IF($B134="","",IFERROR(-BE134,"n.b."))</f>
        <v/>
      </c>
      <c r="CS134" s="124" t="str">
        <f>IF($B134="","",IFERROR(IF(OR(ABS(T134+V134+X134+Z134-AB134)&gt;P_Tol,ABS(U134+W134+Y134+AA134-AD134)&gt;P_Tol,ABS(AE134+AG134+AI134+AK134-AM134)&gt;P_Tol,ABS(AF134+AH134+AJ134+AL134-AO134)&gt;P_Tol),1,0),1))</f>
        <v/>
      </c>
      <c r="CT134" s="124" t="str">
        <f>IF($B134="","",IFERROR(IF(OR(ABS(AB134+AC134-AD134)&gt;P_Tol,ABS(AM134+AN134-AO134)&gt;P_Tol,ABS(O134+P134-Q134)&gt;P_Tol),1,0),1))</f>
        <v/>
      </c>
      <c r="CU134" s="124" t="str">
        <f>IF($B134="","",IFERROR(IF(ABS(R134-(AB134+AM134+AP134+AR134+AT134+AV134+AX134+AZ134+BB134+BD134))&gt;P_Tol,1,0),1))</f>
        <v/>
      </c>
      <c r="CV134" s="124" t="str">
        <f>IF($B134="","",IFERROR(IF(ABS(M134-(N134+O134+R134))&gt;P_Tol,1,0),1))</f>
        <v/>
      </c>
      <c r="CW134" s="124" t="str">
        <f>IF($B134="","",IF(COUNTIF(Mapping!$A$5:$A$104,B134)&gt;0,1,0))</f>
        <v/>
      </c>
      <c r="CX134" s="124" t="str">
        <f>IF($B134="","",COUNTIF($B$6:$B$505,B134))</f>
        <v/>
      </c>
      <c r="CY134" s="124" t="str">
        <f>IF($B134="","",COUNTIF(STG_Woningetalage!$B$6:$B$505,B134))</f>
        <v/>
      </c>
      <c r="CZ134" s="124" t="str">
        <f>IF($B134="","",IF(CW134=0,COUNTIF($CW$6:CW134,0),""))</f>
        <v/>
      </c>
    </row>
    <row r="135">
      <c r="A135" s="15" t="n">
        <v>131</v>
      </c>
      <c r="B135" t="str">
        <f>IF(B$3=0,"",IF(INDEX(SRC_ZPMW03!$A$1:$ZZ$501,$A135,B$3)&amp;""="","",INDEX(SRC_ZPMW03!$A$1:$ZZ$501,$A135,B$3)&amp;""))</f>
        <v/>
      </c>
      <c r="C135" t="str">
        <f>IF($B135="","",IF(C$3=0,"n.b.",INDEX(SRC_ZPMW03!$A$1:$ZZ$501,$A135,C$3)))</f>
        <v/>
      </c>
      <c r="D135" t="str">
        <f>IF($B135="","",IF(D$3=0,"n.b.",INDEX(SRC_ZPMW03!$A$1:$ZZ$501,$A135,D$3)))</f>
        <v/>
      </c>
      <c r="E135" t="str">
        <f>IF($B135="","",IF(E$3=0,"n.b.",INDEX(SRC_ZPMW03!$A$1:$ZZ$501,$A135,E$3)))</f>
        <v/>
      </c>
      <c r="F135" t="str">
        <f>IF($B135="","",IF(F$3=0,"n.b.",INDEX(SRC_ZPMW03!$A$1:$ZZ$501,$A135,F$3)))</f>
        <v/>
      </c>
      <c r="G135" t="str">
        <f>IF($B135="","",IF(G$3=0,"n.b.",INDEX(SRC_ZPMW03!$A$1:$ZZ$501,$A135,G$3)))</f>
        <v/>
      </c>
      <c r="H135" t="str">
        <f>IF($B135="","",IF(H$3=0,"n.b.",INDEX(SRC_ZPMW03!$A$1:$ZZ$501,$A135,H$3)))</f>
        <v/>
      </c>
      <c r="I135" t="str">
        <f>IF($B135="","",IF(I$3=0,"n.b.",INDEX(SRC_ZPMW03!$A$1:$ZZ$501,$A135,I$3)))</f>
        <v/>
      </c>
      <c r="J135" t="str">
        <f>IF($B135="","",IF(J$3=0,"n.b.",INDEX(SRC_ZPMW03!$A$1:$ZZ$501,$A135,J$3)))</f>
        <v/>
      </c>
      <c r="K135" t="str">
        <f>IF($B135="","",IF(K$3=0,"n.b.",INDEX(SRC_ZPMW03!$A$1:$ZZ$501,$A135,K$3)))</f>
        <v/>
      </c>
      <c r="L135" s="124" t="str">
        <f>IF($B135="","",IF(L$3=0,"n.b.",INDEX(SRC_ZPMW03!$A$1:$ZZ$501,$A135,L$3)))</f>
        <v/>
      </c>
      <c r="M135" s="124" t="str">
        <f>IF($B135="","",IF(M$3=0,"n.b.",INDEX(SRC_ZPMW03!$A$1:$ZZ$501,$A135,M$3)))</f>
        <v/>
      </c>
      <c r="N135" s="124" t="str">
        <f>IF($B135="","",IF(N$3=0,"n.b.",INDEX(SRC_ZPMW03!$A$1:$ZZ$501,$A135,N$3)))</f>
        <v/>
      </c>
      <c r="O135" s="124" t="str">
        <f>IF($B135="","",IF(O$3=0,"n.b.",INDEX(SRC_ZPMW03!$A$1:$ZZ$501,$A135,O$3)))</f>
        <v/>
      </c>
      <c r="P135" s="124" t="str">
        <f>IF($B135="","",IF(P$3=0,"n.b.",INDEX(SRC_ZPMW03!$A$1:$ZZ$501,$A135,P$3)))</f>
        <v/>
      </c>
      <c r="Q135" s="124" t="str">
        <f>IF($B135="","",IF(Q$3=0,"n.b.",INDEX(SRC_ZPMW03!$A$1:$ZZ$501,$A135,Q$3)))</f>
        <v/>
      </c>
      <c r="R135" s="124" t="str">
        <f>IF($B135="","",IF(R$3=0,"n.b.",INDEX(SRC_ZPMW03!$A$1:$ZZ$501,$A135,R$3)))</f>
        <v/>
      </c>
      <c r="S135" s="124" t="str">
        <f>IF($B135="","",IF(S$3=0,"n.b.",INDEX(SRC_ZPMW03!$A$1:$ZZ$501,$A135,S$3)))</f>
        <v/>
      </c>
      <c r="T135" s="124" t="str">
        <f>IF($B135="","",IF(T$3=0,"n.b.",INDEX(SRC_ZPMW03!$A$1:$ZZ$501,$A135,T$3)))</f>
        <v/>
      </c>
      <c r="U135" s="124" t="str">
        <f>IF($B135="","",IF(U$3=0,"n.b.",INDEX(SRC_ZPMW03!$A$1:$ZZ$501,$A135,U$3)))</f>
        <v/>
      </c>
      <c r="V135" s="124" t="str">
        <f>IF($B135="","",IF(V$3=0,"n.b.",INDEX(SRC_ZPMW03!$A$1:$ZZ$501,$A135,V$3)))</f>
        <v/>
      </c>
      <c r="W135" s="124" t="str">
        <f>IF($B135="","",IF(W$3=0,"n.b.",INDEX(SRC_ZPMW03!$A$1:$ZZ$501,$A135,W$3)))</f>
        <v/>
      </c>
      <c r="X135" s="124" t="str">
        <f>IF($B135="","",IF(X$3=0,"n.b.",INDEX(SRC_ZPMW03!$A$1:$ZZ$501,$A135,X$3)))</f>
        <v/>
      </c>
      <c r="Y135" s="124" t="str">
        <f>IF($B135="","",IF(Y$3=0,"n.b.",INDEX(SRC_ZPMW03!$A$1:$ZZ$501,$A135,Y$3)))</f>
        <v/>
      </c>
      <c r="Z135" s="124" t="str">
        <f>IF($B135="","",IF(Z$3=0,"n.b.",INDEX(SRC_ZPMW03!$A$1:$ZZ$501,$A135,Z$3)))</f>
        <v/>
      </c>
      <c r="AA135" s="124" t="str">
        <f>IF($B135="","",IF(AA$3=0,"n.b.",INDEX(SRC_ZPMW03!$A$1:$ZZ$501,$A135,AA$3)))</f>
        <v/>
      </c>
      <c r="AB135" s="124" t="str">
        <f>IF($B135="","",IF(AB$3=0,"n.b.",INDEX(SRC_ZPMW03!$A$1:$ZZ$501,$A135,AB$3)))</f>
        <v/>
      </c>
      <c r="AC135" s="124" t="str">
        <f>IF($B135="","",IF(AC$3=0,"n.b.",INDEX(SRC_ZPMW03!$A$1:$ZZ$501,$A135,AC$3)))</f>
        <v/>
      </c>
      <c r="AD135" s="124" t="str">
        <f>IF($B135="","",IF(AD$3=0,"n.b.",INDEX(SRC_ZPMW03!$A$1:$ZZ$501,$A135,AD$3)))</f>
        <v/>
      </c>
      <c r="AE135" s="124" t="str">
        <f>IF($B135="","",IF(AE$3=0,"n.b.",INDEX(SRC_ZPMW03!$A$1:$ZZ$501,$A135,AE$3)))</f>
        <v/>
      </c>
      <c r="AF135" s="124" t="str">
        <f>IF($B135="","",IF(AF$3=0,"n.b.",INDEX(SRC_ZPMW03!$A$1:$ZZ$501,$A135,AF$3)))</f>
        <v/>
      </c>
      <c r="AG135" s="124" t="str">
        <f>IF($B135="","",IF(AG$3=0,"n.b.",INDEX(SRC_ZPMW03!$A$1:$ZZ$501,$A135,AG$3)))</f>
        <v/>
      </c>
      <c r="AH135" s="124" t="str">
        <f>IF($B135="","",IF(AH$3=0,"n.b.",INDEX(SRC_ZPMW03!$A$1:$ZZ$501,$A135,AH$3)))</f>
        <v/>
      </c>
      <c r="AI135" s="124" t="str">
        <f>IF($B135="","",IF(AI$3=0,"n.b.",INDEX(SRC_ZPMW03!$A$1:$ZZ$501,$A135,AI$3)))</f>
        <v/>
      </c>
      <c r="AJ135" s="124" t="str">
        <f>IF($B135="","",IF(AJ$3=0,"n.b.",INDEX(SRC_ZPMW03!$A$1:$ZZ$501,$A135,AJ$3)))</f>
        <v/>
      </c>
      <c r="AK135" s="124" t="str">
        <f>IF($B135="","",IF(AK$3=0,"n.b.",INDEX(SRC_ZPMW03!$A$1:$ZZ$501,$A135,AK$3)))</f>
        <v/>
      </c>
      <c r="AL135" s="124" t="str">
        <f>IF($B135="","",IF(AL$3=0,"n.b.",INDEX(SRC_ZPMW03!$A$1:$ZZ$501,$A135,AL$3)))</f>
        <v/>
      </c>
      <c r="AM135" s="124" t="str">
        <f>IF($B135="","",IF(AM$3=0,"n.b.",INDEX(SRC_ZPMW03!$A$1:$ZZ$501,$A135,AM$3)))</f>
        <v/>
      </c>
      <c r="AN135" s="124" t="str">
        <f>IF($B135="","",IF(AN$3=0,"n.b.",INDEX(SRC_ZPMW03!$A$1:$ZZ$501,$A135,AN$3)))</f>
        <v/>
      </c>
      <c r="AO135" s="124" t="str">
        <f>IF($B135="","",IF(AO$3=0,"n.b.",INDEX(SRC_ZPMW03!$A$1:$ZZ$501,$A135,AO$3)))</f>
        <v/>
      </c>
      <c r="AP135" s="124" t="str">
        <f>IF($B135="","",IF(AP$3=0,"n.b.",INDEX(SRC_ZPMW03!$A$1:$ZZ$501,$A135,AP$3)))</f>
        <v/>
      </c>
      <c r="AQ135" s="124" t="str">
        <f>IF($B135="","",IF(AQ$3=0,"n.b.",INDEX(SRC_ZPMW03!$A$1:$ZZ$501,$A135,AQ$3)))</f>
        <v/>
      </c>
      <c r="AR135" s="124" t="str">
        <f>IF($B135="","",IF(AR$3=0,"n.b.",INDEX(SRC_ZPMW03!$A$1:$ZZ$501,$A135,AR$3)))</f>
        <v/>
      </c>
      <c r="AS135" s="124" t="str">
        <f>IF($B135="","",IF(AS$3=0,"n.b.",INDEX(SRC_ZPMW03!$A$1:$ZZ$501,$A135,AS$3)))</f>
        <v/>
      </c>
      <c r="AT135" s="124" t="str">
        <f>IF($B135="","",IF(AT$3=0,"n.b.",INDEX(SRC_ZPMW03!$A$1:$ZZ$501,$A135,AT$3)))</f>
        <v/>
      </c>
      <c r="AU135" s="124" t="str">
        <f>IF($B135="","",IF(AU$3=0,"n.b.",INDEX(SRC_ZPMW03!$A$1:$ZZ$501,$A135,AU$3)))</f>
        <v/>
      </c>
      <c r="AV135" s="124" t="str">
        <f>IF($B135="","",IF(AV$3=0,"n.b.",INDEX(SRC_ZPMW03!$A$1:$ZZ$501,$A135,AV$3)))</f>
        <v/>
      </c>
      <c r="AW135" s="124" t="str">
        <f>IF($B135="","",IF(AW$3=0,"n.b.",INDEX(SRC_ZPMW03!$A$1:$ZZ$501,$A135,AW$3)))</f>
        <v/>
      </c>
      <c r="AX135" s="124" t="str">
        <f>IF($B135="","",IF(AX$3=0,"n.b.",INDEX(SRC_ZPMW03!$A$1:$ZZ$501,$A135,AX$3)))</f>
        <v/>
      </c>
      <c r="AY135" s="124" t="str">
        <f>IF($B135="","",IF(AY$3=0,"n.b.",INDEX(SRC_ZPMW03!$A$1:$ZZ$501,$A135,AY$3)))</f>
        <v/>
      </c>
      <c r="AZ135" s="124" t="str">
        <f>IF($B135="","",IF(AZ$3=0,"n.b.",INDEX(SRC_ZPMW03!$A$1:$ZZ$501,$A135,AZ$3)))</f>
        <v/>
      </c>
      <c r="BA135" s="124" t="str">
        <f>IF($B135="","",IF(BA$3=0,"n.b.",INDEX(SRC_ZPMW03!$A$1:$ZZ$501,$A135,BA$3)))</f>
        <v/>
      </c>
      <c r="BB135" s="124" t="str">
        <f>IF($B135="","",IF(BB$3=0,"n.b.",INDEX(SRC_ZPMW03!$A$1:$ZZ$501,$A135,BB$3)))</f>
        <v/>
      </c>
      <c r="BC135" s="124" t="str">
        <f>IF($B135="","",IF(BC$3=0,"n.b.",INDEX(SRC_ZPMW03!$A$1:$ZZ$501,$A135,BC$3)))</f>
        <v/>
      </c>
      <c r="BD135" s="124" t="str">
        <f>IF($B135="","",IF(BD$3=0,"n.b.",INDEX(SRC_ZPMW03!$A$1:$ZZ$501,$A135,BD$3)))</f>
        <v/>
      </c>
      <c r="BE135" s="124" t="str">
        <f>IF($B135="","",IF(BE$3=0,"n.b.",INDEX(SRC_ZPMW03!$A$1:$ZZ$501,$A135,BE$3)))</f>
        <v/>
      </c>
      <c r="BF135" s="124" t="str">
        <f>IF($B135="","",IF(BF$3=0,"n.b.",INDEX(SRC_ZPMW03!$A$1:$ZZ$501,$A135,BF$3)))</f>
        <v/>
      </c>
      <c r="BG135" t="str">
        <f>IF($B135="","",IF(BG$3=0,"n.b.",INDEX(SRC_ZPMW03!$A$1:$ZZ$501,$A135,BG$3)))</f>
        <v/>
      </c>
      <c r="BH135" t="str">
        <f>IF($B135="","",IF(BH$3=0,"n.b.",INDEX(SRC_ZPMW03!$A$1:$ZZ$501,$A135,BH$3)))</f>
        <v/>
      </c>
      <c r="BI135" t="str">
        <f>IF($B135="","",IF(BI$3=0,"n.b.",INDEX(SRC_ZPMW03!$A$1:$ZZ$501,$A135,BI$3)))</f>
        <v/>
      </c>
      <c r="BJ135" t="str">
        <f>IF($B135="","",IF(BJ$3=0,"n.b.",INDEX(SRC_ZPMW03!$A$1:$ZZ$501,$A135,BJ$3)))</f>
        <v/>
      </c>
      <c r="BK135" s="124" t="str">
        <f>IF($B135="","",IFERROR(-O135,"n.b."))</f>
        <v/>
      </c>
      <c r="BL135" s="124" t="str">
        <f>IF($B135="","",IFERROR(-Q135,"n.b."))</f>
        <v/>
      </c>
      <c r="BM135" s="124" t="str">
        <f>IF($B135="","",IFERROR(-AB135,"n.b."))</f>
        <v/>
      </c>
      <c r="BN135" s="124" t="str">
        <f>IF($B135="","",IFERROR(-AD135,"n.b."))</f>
        <v/>
      </c>
      <c r="BO135" s="124" t="str">
        <f>IF($B135="","",IFERROR(BK135+BM135,"n.b."))</f>
        <v/>
      </c>
      <c r="BP135" s="124" t="str">
        <f>IF($B135="","",IFERROR(BL135+BN135,"n.b."))</f>
        <v/>
      </c>
      <c r="BQ135" s="124" t="str">
        <f>IF($B135="","",IFERROR(-AM135,"n.b."))</f>
        <v/>
      </c>
      <c r="BR135" s="124" t="str">
        <f>IF($B135="","",IFERROR(-AO135,"n.b."))</f>
        <v/>
      </c>
      <c r="BS135" s="124" t="str">
        <f>IF($B135="","",IFERROR(-Z135,"n.b."))</f>
        <v/>
      </c>
      <c r="BT135" s="124" t="str">
        <f>IF($B135="","",IFERROR(-AA135,"n.b."))</f>
        <v/>
      </c>
      <c r="BU135" s="124" t="str">
        <f>IF($B135="","",IFERROR(-AE135,"n.b."))</f>
        <v/>
      </c>
      <c r="BV135" s="124" t="str">
        <f>IF($B135="","",IFERROR(-AF135,"n.b."))</f>
        <v/>
      </c>
      <c r="BW135" s="124" t="str">
        <f>IF($B135="","",IFERROR(-AG135,"n.b."))</f>
        <v/>
      </c>
      <c r="BX135" s="124" t="str">
        <f>IF($B135="","",IFERROR(-AH135,"n.b."))</f>
        <v/>
      </c>
      <c r="BY135" s="124" t="str">
        <f>IF($B135="","",IFERROR(-AI135,"n.b."))</f>
        <v/>
      </c>
      <c r="BZ135" s="124" t="str">
        <f>IF($B135="","",IFERROR(-AJ135,"n.b."))</f>
        <v/>
      </c>
      <c r="CA135" s="124" t="str">
        <f>IF($B135="","",IFERROR(-AK135,"n.b."))</f>
        <v/>
      </c>
      <c r="CB135" s="124" t="str">
        <f>IF($B135="","",IFERROR(-AL135,"n.b."))</f>
        <v/>
      </c>
      <c r="CC135" s="124" t="str">
        <f>IF($B135="","",IFERROR(-AP135,"n.b."))</f>
        <v/>
      </c>
      <c r="CD135" s="124" t="str">
        <f>IF($B135="","",IFERROR(-AQ135,"n.b."))</f>
        <v/>
      </c>
      <c r="CE135" s="124" t="str">
        <f>IF($B135="","",IFERROR(-AR135,"n.b."))</f>
        <v/>
      </c>
      <c r="CF135" s="124" t="str">
        <f>IF($B135="","",IFERROR(-AS135,"n.b."))</f>
        <v/>
      </c>
      <c r="CG135" s="124" t="str">
        <f>IF($B135="","",IFERROR(-AT135,"n.b."))</f>
        <v/>
      </c>
      <c r="CH135" s="124" t="str">
        <f>IF($B135="","",IFERROR(-AU135,"n.b."))</f>
        <v/>
      </c>
      <c r="CI135" s="124" t="str">
        <f>IF($B135="","",IFERROR(-AV135,"n.b."))</f>
        <v/>
      </c>
      <c r="CJ135" s="124" t="str">
        <f>IF($B135="","",IFERROR(-AW135,"n.b."))</f>
        <v/>
      </c>
      <c r="CK135" s="124" t="str">
        <f>IF($B135="","",IFERROR(-AX135,"n.b."))</f>
        <v/>
      </c>
      <c r="CL135" s="124" t="str">
        <f>IF($B135="","",IFERROR(-AY135,"n.b."))</f>
        <v/>
      </c>
      <c r="CM135" s="124" t="str">
        <f>IF($B135="","",IFERROR(-AZ135,"n.b."))</f>
        <v/>
      </c>
      <c r="CN135" s="124" t="str">
        <f>IF($B135="","",IFERROR(-BA135,"n.b."))</f>
        <v/>
      </c>
      <c r="CO135" s="124" t="str">
        <f>IF($B135="","",IFERROR(-BB135,"n.b."))</f>
        <v/>
      </c>
      <c r="CP135" s="124" t="str">
        <f>IF($B135="","",IFERROR(-BC135,"n.b."))</f>
        <v/>
      </c>
      <c r="CQ135" s="124" t="str">
        <f>IF($B135="","",IFERROR(-BD135,"n.b."))</f>
        <v/>
      </c>
      <c r="CR135" s="124" t="str">
        <f>IF($B135="","",IFERROR(-BE135,"n.b."))</f>
        <v/>
      </c>
      <c r="CS135" s="124" t="str">
        <f>IF($B135="","",IFERROR(IF(OR(ABS(T135+V135+X135+Z135-AB135)&gt;P_Tol,ABS(U135+W135+Y135+AA135-AD135)&gt;P_Tol,ABS(AE135+AG135+AI135+AK135-AM135)&gt;P_Tol,ABS(AF135+AH135+AJ135+AL135-AO135)&gt;P_Tol),1,0),1))</f>
        <v/>
      </c>
      <c r="CT135" s="124" t="str">
        <f>IF($B135="","",IFERROR(IF(OR(ABS(AB135+AC135-AD135)&gt;P_Tol,ABS(AM135+AN135-AO135)&gt;P_Tol,ABS(O135+P135-Q135)&gt;P_Tol),1,0),1))</f>
        <v/>
      </c>
      <c r="CU135" s="124" t="str">
        <f>IF($B135="","",IFERROR(IF(ABS(R135-(AB135+AM135+AP135+AR135+AT135+AV135+AX135+AZ135+BB135+BD135))&gt;P_Tol,1,0),1))</f>
        <v/>
      </c>
      <c r="CV135" s="124" t="str">
        <f>IF($B135="","",IFERROR(IF(ABS(M135-(N135+O135+R135))&gt;P_Tol,1,0),1))</f>
        <v/>
      </c>
      <c r="CW135" s="124" t="str">
        <f>IF($B135="","",IF(COUNTIF(Mapping!$A$5:$A$104,B135)&gt;0,1,0))</f>
        <v/>
      </c>
      <c r="CX135" s="124" t="str">
        <f>IF($B135="","",COUNTIF($B$6:$B$505,B135))</f>
        <v/>
      </c>
      <c r="CY135" s="124" t="str">
        <f>IF($B135="","",COUNTIF(STG_Woningetalage!$B$6:$B$505,B135))</f>
        <v/>
      </c>
      <c r="CZ135" s="124" t="str">
        <f>IF($B135="","",IF(CW135=0,COUNTIF($CW$6:CW135,0),""))</f>
        <v/>
      </c>
    </row>
    <row r="136">
      <c r="A136" s="15" t="n">
        <v>132</v>
      </c>
      <c r="B136" t="str">
        <f>IF(B$3=0,"",IF(INDEX(SRC_ZPMW03!$A$1:$ZZ$501,$A136,B$3)&amp;""="","",INDEX(SRC_ZPMW03!$A$1:$ZZ$501,$A136,B$3)&amp;""))</f>
        <v/>
      </c>
      <c r="C136" t="str">
        <f>IF($B136="","",IF(C$3=0,"n.b.",INDEX(SRC_ZPMW03!$A$1:$ZZ$501,$A136,C$3)))</f>
        <v/>
      </c>
      <c r="D136" t="str">
        <f>IF($B136="","",IF(D$3=0,"n.b.",INDEX(SRC_ZPMW03!$A$1:$ZZ$501,$A136,D$3)))</f>
        <v/>
      </c>
      <c r="E136" t="str">
        <f>IF($B136="","",IF(E$3=0,"n.b.",INDEX(SRC_ZPMW03!$A$1:$ZZ$501,$A136,E$3)))</f>
        <v/>
      </c>
      <c r="F136" t="str">
        <f>IF($B136="","",IF(F$3=0,"n.b.",INDEX(SRC_ZPMW03!$A$1:$ZZ$501,$A136,F$3)))</f>
        <v/>
      </c>
      <c r="G136" t="str">
        <f>IF($B136="","",IF(G$3=0,"n.b.",INDEX(SRC_ZPMW03!$A$1:$ZZ$501,$A136,G$3)))</f>
        <v/>
      </c>
      <c r="H136" t="str">
        <f>IF($B136="","",IF(H$3=0,"n.b.",INDEX(SRC_ZPMW03!$A$1:$ZZ$501,$A136,H$3)))</f>
        <v/>
      </c>
      <c r="I136" t="str">
        <f>IF($B136="","",IF(I$3=0,"n.b.",INDEX(SRC_ZPMW03!$A$1:$ZZ$501,$A136,I$3)))</f>
        <v/>
      </c>
      <c r="J136" t="str">
        <f>IF($B136="","",IF(J$3=0,"n.b.",INDEX(SRC_ZPMW03!$A$1:$ZZ$501,$A136,J$3)))</f>
        <v/>
      </c>
      <c r="K136" t="str">
        <f>IF($B136="","",IF(K$3=0,"n.b.",INDEX(SRC_ZPMW03!$A$1:$ZZ$501,$A136,K$3)))</f>
        <v/>
      </c>
      <c r="L136" s="124" t="str">
        <f>IF($B136="","",IF(L$3=0,"n.b.",INDEX(SRC_ZPMW03!$A$1:$ZZ$501,$A136,L$3)))</f>
        <v/>
      </c>
      <c r="M136" s="124" t="str">
        <f>IF($B136="","",IF(M$3=0,"n.b.",INDEX(SRC_ZPMW03!$A$1:$ZZ$501,$A136,M$3)))</f>
        <v/>
      </c>
      <c r="N136" s="124" t="str">
        <f>IF($B136="","",IF(N$3=0,"n.b.",INDEX(SRC_ZPMW03!$A$1:$ZZ$501,$A136,N$3)))</f>
        <v/>
      </c>
      <c r="O136" s="124" t="str">
        <f>IF($B136="","",IF(O$3=0,"n.b.",INDEX(SRC_ZPMW03!$A$1:$ZZ$501,$A136,O$3)))</f>
        <v/>
      </c>
      <c r="P136" s="124" t="str">
        <f>IF($B136="","",IF(P$3=0,"n.b.",INDEX(SRC_ZPMW03!$A$1:$ZZ$501,$A136,P$3)))</f>
        <v/>
      </c>
      <c r="Q136" s="124" t="str">
        <f>IF($B136="","",IF(Q$3=0,"n.b.",INDEX(SRC_ZPMW03!$A$1:$ZZ$501,$A136,Q$3)))</f>
        <v/>
      </c>
      <c r="R136" s="124" t="str">
        <f>IF($B136="","",IF(R$3=0,"n.b.",INDEX(SRC_ZPMW03!$A$1:$ZZ$501,$A136,R$3)))</f>
        <v/>
      </c>
      <c r="S136" s="124" t="str">
        <f>IF($B136="","",IF(S$3=0,"n.b.",INDEX(SRC_ZPMW03!$A$1:$ZZ$501,$A136,S$3)))</f>
        <v/>
      </c>
      <c r="T136" s="124" t="str">
        <f>IF($B136="","",IF(T$3=0,"n.b.",INDEX(SRC_ZPMW03!$A$1:$ZZ$501,$A136,T$3)))</f>
        <v/>
      </c>
      <c r="U136" s="124" t="str">
        <f>IF($B136="","",IF(U$3=0,"n.b.",INDEX(SRC_ZPMW03!$A$1:$ZZ$501,$A136,U$3)))</f>
        <v/>
      </c>
      <c r="V136" s="124" t="str">
        <f>IF($B136="","",IF(V$3=0,"n.b.",INDEX(SRC_ZPMW03!$A$1:$ZZ$501,$A136,V$3)))</f>
        <v/>
      </c>
      <c r="W136" s="124" t="str">
        <f>IF($B136="","",IF(W$3=0,"n.b.",INDEX(SRC_ZPMW03!$A$1:$ZZ$501,$A136,W$3)))</f>
        <v/>
      </c>
      <c r="X136" s="124" t="str">
        <f>IF($B136="","",IF(X$3=0,"n.b.",INDEX(SRC_ZPMW03!$A$1:$ZZ$501,$A136,X$3)))</f>
        <v/>
      </c>
      <c r="Y136" s="124" t="str">
        <f>IF($B136="","",IF(Y$3=0,"n.b.",INDEX(SRC_ZPMW03!$A$1:$ZZ$501,$A136,Y$3)))</f>
        <v/>
      </c>
      <c r="Z136" s="124" t="str">
        <f>IF($B136="","",IF(Z$3=0,"n.b.",INDEX(SRC_ZPMW03!$A$1:$ZZ$501,$A136,Z$3)))</f>
        <v/>
      </c>
      <c r="AA136" s="124" t="str">
        <f>IF($B136="","",IF(AA$3=0,"n.b.",INDEX(SRC_ZPMW03!$A$1:$ZZ$501,$A136,AA$3)))</f>
        <v/>
      </c>
      <c r="AB136" s="124" t="str">
        <f>IF($B136="","",IF(AB$3=0,"n.b.",INDEX(SRC_ZPMW03!$A$1:$ZZ$501,$A136,AB$3)))</f>
        <v/>
      </c>
      <c r="AC136" s="124" t="str">
        <f>IF($B136="","",IF(AC$3=0,"n.b.",INDEX(SRC_ZPMW03!$A$1:$ZZ$501,$A136,AC$3)))</f>
        <v/>
      </c>
      <c r="AD136" s="124" t="str">
        <f>IF($B136="","",IF(AD$3=0,"n.b.",INDEX(SRC_ZPMW03!$A$1:$ZZ$501,$A136,AD$3)))</f>
        <v/>
      </c>
      <c r="AE136" s="124" t="str">
        <f>IF($B136="","",IF(AE$3=0,"n.b.",INDEX(SRC_ZPMW03!$A$1:$ZZ$501,$A136,AE$3)))</f>
        <v/>
      </c>
      <c r="AF136" s="124" t="str">
        <f>IF($B136="","",IF(AF$3=0,"n.b.",INDEX(SRC_ZPMW03!$A$1:$ZZ$501,$A136,AF$3)))</f>
        <v/>
      </c>
      <c r="AG136" s="124" t="str">
        <f>IF($B136="","",IF(AG$3=0,"n.b.",INDEX(SRC_ZPMW03!$A$1:$ZZ$501,$A136,AG$3)))</f>
        <v/>
      </c>
      <c r="AH136" s="124" t="str">
        <f>IF($B136="","",IF(AH$3=0,"n.b.",INDEX(SRC_ZPMW03!$A$1:$ZZ$501,$A136,AH$3)))</f>
        <v/>
      </c>
      <c r="AI136" s="124" t="str">
        <f>IF($B136="","",IF(AI$3=0,"n.b.",INDEX(SRC_ZPMW03!$A$1:$ZZ$501,$A136,AI$3)))</f>
        <v/>
      </c>
      <c r="AJ136" s="124" t="str">
        <f>IF($B136="","",IF(AJ$3=0,"n.b.",INDEX(SRC_ZPMW03!$A$1:$ZZ$501,$A136,AJ$3)))</f>
        <v/>
      </c>
      <c r="AK136" s="124" t="str">
        <f>IF($B136="","",IF(AK$3=0,"n.b.",INDEX(SRC_ZPMW03!$A$1:$ZZ$501,$A136,AK$3)))</f>
        <v/>
      </c>
      <c r="AL136" s="124" t="str">
        <f>IF($B136="","",IF(AL$3=0,"n.b.",INDEX(SRC_ZPMW03!$A$1:$ZZ$501,$A136,AL$3)))</f>
        <v/>
      </c>
      <c r="AM136" s="124" t="str">
        <f>IF($B136="","",IF(AM$3=0,"n.b.",INDEX(SRC_ZPMW03!$A$1:$ZZ$501,$A136,AM$3)))</f>
        <v/>
      </c>
      <c r="AN136" s="124" t="str">
        <f>IF($B136="","",IF(AN$3=0,"n.b.",INDEX(SRC_ZPMW03!$A$1:$ZZ$501,$A136,AN$3)))</f>
        <v/>
      </c>
      <c r="AO136" s="124" t="str">
        <f>IF($B136="","",IF(AO$3=0,"n.b.",INDEX(SRC_ZPMW03!$A$1:$ZZ$501,$A136,AO$3)))</f>
        <v/>
      </c>
      <c r="AP136" s="124" t="str">
        <f>IF($B136="","",IF(AP$3=0,"n.b.",INDEX(SRC_ZPMW03!$A$1:$ZZ$501,$A136,AP$3)))</f>
        <v/>
      </c>
      <c r="AQ136" s="124" t="str">
        <f>IF($B136="","",IF(AQ$3=0,"n.b.",INDEX(SRC_ZPMW03!$A$1:$ZZ$501,$A136,AQ$3)))</f>
        <v/>
      </c>
      <c r="AR136" s="124" t="str">
        <f>IF($B136="","",IF(AR$3=0,"n.b.",INDEX(SRC_ZPMW03!$A$1:$ZZ$501,$A136,AR$3)))</f>
        <v/>
      </c>
      <c r="AS136" s="124" t="str">
        <f>IF($B136="","",IF(AS$3=0,"n.b.",INDEX(SRC_ZPMW03!$A$1:$ZZ$501,$A136,AS$3)))</f>
        <v/>
      </c>
      <c r="AT136" s="124" t="str">
        <f>IF($B136="","",IF(AT$3=0,"n.b.",INDEX(SRC_ZPMW03!$A$1:$ZZ$501,$A136,AT$3)))</f>
        <v/>
      </c>
      <c r="AU136" s="124" t="str">
        <f>IF($B136="","",IF(AU$3=0,"n.b.",INDEX(SRC_ZPMW03!$A$1:$ZZ$501,$A136,AU$3)))</f>
        <v/>
      </c>
      <c r="AV136" s="124" t="str">
        <f>IF($B136="","",IF(AV$3=0,"n.b.",INDEX(SRC_ZPMW03!$A$1:$ZZ$501,$A136,AV$3)))</f>
        <v/>
      </c>
      <c r="AW136" s="124" t="str">
        <f>IF($B136="","",IF(AW$3=0,"n.b.",INDEX(SRC_ZPMW03!$A$1:$ZZ$501,$A136,AW$3)))</f>
        <v/>
      </c>
      <c r="AX136" s="124" t="str">
        <f>IF($B136="","",IF(AX$3=0,"n.b.",INDEX(SRC_ZPMW03!$A$1:$ZZ$501,$A136,AX$3)))</f>
        <v/>
      </c>
      <c r="AY136" s="124" t="str">
        <f>IF($B136="","",IF(AY$3=0,"n.b.",INDEX(SRC_ZPMW03!$A$1:$ZZ$501,$A136,AY$3)))</f>
        <v/>
      </c>
      <c r="AZ136" s="124" t="str">
        <f>IF($B136="","",IF(AZ$3=0,"n.b.",INDEX(SRC_ZPMW03!$A$1:$ZZ$501,$A136,AZ$3)))</f>
        <v/>
      </c>
      <c r="BA136" s="124" t="str">
        <f>IF($B136="","",IF(BA$3=0,"n.b.",INDEX(SRC_ZPMW03!$A$1:$ZZ$501,$A136,BA$3)))</f>
        <v/>
      </c>
      <c r="BB136" s="124" t="str">
        <f>IF($B136="","",IF(BB$3=0,"n.b.",INDEX(SRC_ZPMW03!$A$1:$ZZ$501,$A136,BB$3)))</f>
        <v/>
      </c>
      <c r="BC136" s="124" t="str">
        <f>IF($B136="","",IF(BC$3=0,"n.b.",INDEX(SRC_ZPMW03!$A$1:$ZZ$501,$A136,BC$3)))</f>
        <v/>
      </c>
      <c r="BD136" s="124" t="str">
        <f>IF($B136="","",IF(BD$3=0,"n.b.",INDEX(SRC_ZPMW03!$A$1:$ZZ$501,$A136,BD$3)))</f>
        <v/>
      </c>
      <c r="BE136" s="124" t="str">
        <f>IF($B136="","",IF(BE$3=0,"n.b.",INDEX(SRC_ZPMW03!$A$1:$ZZ$501,$A136,BE$3)))</f>
        <v/>
      </c>
      <c r="BF136" s="124" t="str">
        <f>IF($B136="","",IF(BF$3=0,"n.b.",INDEX(SRC_ZPMW03!$A$1:$ZZ$501,$A136,BF$3)))</f>
        <v/>
      </c>
      <c r="BG136" t="str">
        <f>IF($B136="","",IF(BG$3=0,"n.b.",INDEX(SRC_ZPMW03!$A$1:$ZZ$501,$A136,BG$3)))</f>
        <v/>
      </c>
      <c r="BH136" t="str">
        <f>IF($B136="","",IF(BH$3=0,"n.b.",INDEX(SRC_ZPMW03!$A$1:$ZZ$501,$A136,BH$3)))</f>
        <v/>
      </c>
      <c r="BI136" t="str">
        <f>IF($B136="","",IF(BI$3=0,"n.b.",INDEX(SRC_ZPMW03!$A$1:$ZZ$501,$A136,BI$3)))</f>
        <v/>
      </c>
      <c r="BJ136" t="str">
        <f>IF($B136="","",IF(BJ$3=0,"n.b.",INDEX(SRC_ZPMW03!$A$1:$ZZ$501,$A136,BJ$3)))</f>
        <v/>
      </c>
      <c r="BK136" s="124" t="str">
        <f>IF($B136="","",IFERROR(-O136,"n.b."))</f>
        <v/>
      </c>
      <c r="BL136" s="124" t="str">
        <f>IF($B136="","",IFERROR(-Q136,"n.b."))</f>
        <v/>
      </c>
      <c r="BM136" s="124" t="str">
        <f>IF($B136="","",IFERROR(-AB136,"n.b."))</f>
        <v/>
      </c>
      <c r="BN136" s="124" t="str">
        <f>IF($B136="","",IFERROR(-AD136,"n.b."))</f>
        <v/>
      </c>
      <c r="BO136" s="124" t="str">
        <f>IF($B136="","",IFERROR(BK136+BM136,"n.b."))</f>
        <v/>
      </c>
      <c r="BP136" s="124" t="str">
        <f>IF($B136="","",IFERROR(BL136+BN136,"n.b."))</f>
        <v/>
      </c>
      <c r="BQ136" s="124" t="str">
        <f>IF($B136="","",IFERROR(-AM136,"n.b."))</f>
        <v/>
      </c>
      <c r="BR136" s="124" t="str">
        <f>IF($B136="","",IFERROR(-AO136,"n.b."))</f>
        <v/>
      </c>
      <c r="BS136" s="124" t="str">
        <f>IF($B136="","",IFERROR(-Z136,"n.b."))</f>
        <v/>
      </c>
      <c r="BT136" s="124" t="str">
        <f>IF($B136="","",IFERROR(-AA136,"n.b."))</f>
        <v/>
      </c>
      <c r="BU136" s="124" t="str">
        <f>IF($B136="","",IFERROR(-AE136,"n.b."))</f>
        <v/>
      </c>
      <c r="BV136" s="124" t="str">
        <f>IF($B136="","",IFERROR(-AF136,"n.b."))</f>
        <v/>
      </c>
      <c r="BW136" s="124" t="str">
        <f>IF($B136="","",IFERROR(-AG136,"n.b."))</f>
        <v/>
      </c>
      <c r="BX136" s="124" t="str">
        <f>IF($B136="","",IFERROR(-AH136,"n.b."))</f>
        <v/>
      </c>
      <c r="BY136" s="124" t="str">
        <f>IF($B136="","",IFERROR(-AI136,"n.b."))</f>
        <v/>
      </c>
      <c r="BZ136" s="124" t="str">
        <f>IF($B136="","",IFERROR(-AJ136,"n.b."))</f>
        <v/>
      </c>
      <c r="CA136" s="124" t="str">
        <f>IF($B136="","",IFERROR(-AK136,"n.b."))</f>
        <v/>
      </c>
      <c r="CB136" s="124" t="str">
        <f>IF($B136="","",IFERROR(-AL136,"n.b."))</f>
        <v/>
      </c>
      <c r="CC136" s="124" t="str">
        <f>IF($B136="","",IFERROR(-AP136,"n.b."))</f>
        <v/>
      </c>
      <c r="CD136" s="124" t="str">
        <f>IF($B136="","",IFERROR(-AQ136,"n.b."))</f>
        <v/>
      </c>
      <c r="CE136" s="124" t="str">
        <f>IF($B136="","",IFERROR(-AR136,"n.b."))</f>
        <v/>
      </c>
      <c r="CF136" s="124" t="str">
        <f>IF($B136="","",IFERROR(-AS136,"n.b."))</f>
        <v/>
      </c>
      <c r="CG136" s="124" t="str">
        <f>IF($B136="","",IFERROR(-AT136,"n.b."))</f>
        <v/>
      </c>
      <c r="CH136" s="124" t="str">
        <f>IF($B136="","",IFERROR(-AU136,"n.b."))</f>
        <v/>
      </c>
      <c r="CI136" s="124" t="str">
        <f>IF($B136="","",IFERROR(-AV136,"n.b."))</f>
        <v/>
      </c>
      <c r="CJ136" s="124" t="str">
        <f>IF($B136="","",IFERROR(-AW136,"n.b."))</f>
        <v/>
      </c>
      <c r="CK136" s="124" t="str">
        <f>IF($B136="","",IFERROR(-AX136,"n.b."))</f>
        <v/>
      </c>
      <c r="CL136" s="124" t="str">
        <f>IF($B136="","",IFERROR(-AY136,"n.b."))</f>
        <v/>
      </c>
      <c r="CM136" s="124" t="str">
        <f>IF($B136="","",IFERROR(-AZ136,"n.b."))</f>
        <v/>
      </c>
      <c r="CN136" s="124" t="str">
        <f>IF($B136="","",IFERROR(-BA136,"n.b."))</f>
        <v/>
      </c>
      <c r="CO136" s="124" t="str">
        <f>IF($B136="","",IFERROR(-BB136,"n.b."))</f>
        <v/>
      </c>
      <c r="CP136" s="124" t="str">
        <f>IF($B136="","",IFERROR(-BC136,"n.b."))</f>
        <v/>
      </c>
      <c r="CQ136" s="124" t="str">
        <f>IF($B136="","",IFERROR(-BD136,"n.b."))</f>
        <v/>
      </c>
      <c r="CR136" s="124" t="str">
        <f>IF($B136="","",IFERROR(-BE136,"n.b."))</f>
        <v/>
      </c>
      <c r="CS136" s="124" t="str">
        <f>IF($B136="","",IFERROR(IF(OR(ABS(T136+V136+X136+Z136-AB136)&gt;P_Tol,ABS(U136+W136+Y136+AA136-AD136)&gt;P_Tol,ABS(AE136+AG136+AI136+AK136-AM136)&gt;P_Tol,ABS(AF136+AH136+AJ136+AL136-AO136)&gt;P_Tol),1,0),1))</f>
        <v/>
      </c>
      <c r="CT136" s="124" t="str">
        <f>IF($B136="","",IFERROR(IF(OR(ABS(AB136+AC136-AD136)&gt;P_Tol,ABS(AM136+AN136-AO136)&gt;P_Tol,ABS(O136+P136-Q136)&gt;P_Tol),1,0),1))</f>
        <v/>
      </c>
      <c r="CU136" s="124" t="str">
        <f>IF($B136="","",IFERROR(IF(ABS(R136-(AB136+AM136+AP136+AR136+AT136+AV136+AX136+AZ136+BB136+BD136))&gt;P_Tol,1,0),1))</f>
        <v/>
      </c>
      <c r="CV136" s="124" t="str">
        <f>IF($B136="","",IFERROR(IF(ABS(M136-(N136+O136+R136))&gt;P_Tol,1,0),1))</f>
        <v/>
      </c>
      <c r="CW136" s="124" t="str">
        <f>IF($B136="","",IF(COUNTIF(Mapping!$A$5:$A$104,B136)&gt;0,1,0))</f>
        <v/>
      </c>
      <c r="CX136" s="124" t="str">
        <f>IF($B136="","",COUNTIF($B$6:$B$505,B136))</f>
        <v/>
      </c>
      <c r="CY136" s="124" t="str">
        <f>IF($B136="","",COUNTIF(STG_Woningetalage!$B$6:$B$505,B136))</f>
        <v/>
      </c>
      <c r="CZ136" s="124" t="str">
        <f>IF($B136="","",IF(CW136=0,COUNTIF($CW$6:CW136,0),""))</f>
        <v/>
      </c>
    </row>
    <row r="137">
      <c r="A137" s="15" t="n">
        <v>133</v>
      </c>
      <c r="B137" t="str">
        <f>IF(B$3=0,"",IF(INDEX(SRC_ZPMW03!$A$1:$ZZ$501,$A137,B$3)&amp;""="","",INDEX(SRC_ZPMW03!$A$1:$ZZ$501,$A137,B$3)&amp;""))</f>
        <v/>
      </c>
      <c r="C137" t="str">
        <f>IF($B137="","",IF(C$3=0,"n.b.",INDEX(SRC_ZPMW03!$A$1:$ZZ$501,$A137,C$3)))</f>
        <v/>
      </c>
      <c r="D137" t="str">
        <f>IF($B137="","",IF(D$3=0,"n.b.",INDEX(SRC_ZPMW03!$A$1:$ZZ$501,$A137,D$3)))</f>
        <v/>
      </c>
      <c r="E137" t="str">
        <f>IF($B137="","",IF(E$3=0,"n.b.",INDEX(SRC_ZPMW03!$A$1:$ZZ$501,$A137,E$3)))</f>
        <v/>
      </c>
      <c r="F137" t="str">
        <f>IF($B137="","",IF(F$3=0,"n.b.",INDEX(SRC_ZPMW03!$A$1:$ZZ$501,$A137,F$3)))</f>
        <v/>
      </c>
      <c r="G137" t="str">
        <f>IF($B137="","",IF(G$3=0,"n.b.",INDEX(SRC_ZPMW03!$A$1:$ZZ$501,$A137,G$3)))</f>
        <v/>
      </c>
      <c r="H137" t="str">
        <f>IF($B137="","",IF(H$3=0,"n.b.",INDEX(SRC_ZPMW03!$A$1:$ZZ$501,$A137,H$3)))</f>
        <v/>
      </c>
      <c r="I137" t="str">
        <f>IF($B137="","",IF(I$3=0,"n.b.",INDEX(SRC_ZPMW03!$A$1:$ZZ$501,$A137,I$3)))</f>
        <v/>
      </c>
      <c r="J137" t="str">
        <f>IF($B137="","",IF(J$3=0,"n.b.",INDEX(SRC_ZPMW03!$A$1:$ZZ$501,$A137,J$3)))</f>
        <v/>
      </c>
      <c r="K137" t="str">
        <f>IF($B137="","",IF(K$3=0,"n.b.",INDEX(SRC_ZPMW03!$A$1:$ZZ$501,$A137,K$3)))</f>
        <v/>
      </c>
      <c r="L137" s="124" t="str">
        <f>IF($B137="","",IF(L$3=0,"n.b.",INDEX(SRC_ZPMW03!$A$1:$ZZ$501,$A137,L$3)))</f>
        <v/>
      </c>
      <c r="M137" s="124" t="str">
        <f>IF($B137="","",IF(M$3=0,"n.b.",INDEX(SRC_ZPMW03!$A$1:$ZZ$501,$A137,M$3)))</f>
        <v/>
      </c>
      <c r="N137" s="124" t="str">
        <f>IF($B137="","",IF(N$3=0,"n.b.",INDEX(SRC_ZPMW03!$A$1:$ZZ$501,$A137,N$3)))</f>
        <v/>
      </c>
      <c r="O137" s="124" t="str">
        <f>IF($B137="","",IF(O$3=0,"n.b.",INDEX(SRC_ZPMW03!$A$1:$ZZ$501,$A137,O$3)))</f>
        <v/>
      </c>
      <c r="P137" s="124" t="str">
        <f>IF($B137="","",IF(P$3=0,"n.b.",INDEX(SRC_ZPMW03!$A$1:$ZZ$501,$A137,P$3)))</f>
        <v/>
      </c>
      <c r="Q137" s="124" t="str">
        <f>IF($B137="","",IF(Q$3=0,"n.b.",INDEX(SRC_ZPMW03!$A$1:$ZZ$501,$A137,Q$3)))</f>
        <v/>
      </c>
      <c r="R137" s="124" t="str">
        <f>IF($B137="","",IF(R$3=0,"n.b.",INDEX(SRC_ZPMW03!$A$1:$ZZ$501,$A137,R$3)))</f>
        <v/>
      </c>
      <c r="S137" s="124" t="str">
        <f>IF($B137="","",IF(S$3=0,"n.b.",INDEX(SRC_ZPMW03!$A$1:$ZZ$501,$A137,S$3)))</f>
        <v/>
      </c>
      <c r="T137" s="124" t="str">
        <f>IF($B137="","",IF(T$3=0,"n.b.",INDEX(SRC_ZPMW03!$A$1:$ZZ$501,$A137,T$3)))</f>
        <v/>
      </c>
      <c r="U137" s="124" t="str">
        <f>IF($B137="","",IF(U$3=0,"n.b.",INDEX(SRC_ZPMW03!$A$1:$ZZ$501,$A137,U$3)))</f>
        <v/>
      </c>
      <c r="V137" s="124" t="str">
        <f>IF($B137="","",IF(V$3=0,"n.b.",INDEX(SRC_ZPMW03!$A$1:$ZZ$501,$A137,V$3)))</f>
        <v/>
      </c>
      <c r="W137" s="124" t="str">
        <f>IF($B137="","",IF(W$3=0,"n.b.",INDEX(SRC_ZPMW03!$A$1:$ZZ$501,$A137,W$3)))</f>
        <v/>
      </c>
      <c r="X137" s="124" t="str">
        <f>IF($B137="","",IF(X$3=0,"n.b.",INDEX(SRC_ZPMW03!$A$1:$ZZ$501,$A137,X$3)))</f>
        <v/>
      </c>
      <c r="Y137" s="124" t="str">
        <f>IF($B137="","",IF(Y$3=0,"n.b.",INDEX(SRC_ZPMW03!$A$1:$ZZ$501,$A137,Y$3)))</f>
        <v/>
      </c>
      <c r="Z137" s="124" t="str">
        <f>IF($B137="","",IF(Z$3=0,"n.b.",INDEX(SRC_ZPMW03!$A$1:$ZZ$501,$A137,Z$3)))</f>
        <v/>
      </c>
      <c r="AA137" s="124" t="str">
        <f>IF($B137="","",IF(AA$3=0,"n.b.",INDEX(SRC_ZPMW03!$A$1:$ZZ$501,$A137,AA$3)))</f>
        <v/>
      </c>
      <c r="AB137" s="124" t="str">
        <f>IF($B137="","",IF(AB$3=0,"n.b.",INDEX(SRC_ZPMW03!$A$1:$ZZ$501,$A137,AB$3)))</f>
        <v/>
      </c>
      <c r="AC137" s="124" t="str">
        <f>IF($B137="","",IF(AC$3=0,"n.b.",INDEX(SRC_ZPMW03!$A$1:$ZZ$501,$A137,AC$3)))</f>
        <v/>
      </c>
      <c r="AD137" s="124" t="str">
        <f>IF($B137="","",IF(AD$3=0,"n.b.",INDEX(SRC_ZPMW03!$A$1:$ZZ$501,$A137,AD$3)))</f>
        <v/>
      </c>
      <c r="AE137" s="124" t="str">
        <f>IF($B137="","",IF(AE$3=0,"n.b.",INDEX(SRC_ZPMW03!$A$1:$ZZ$501,$A137,AE$3)))</f>
        <v/>
      </c>
      <c r="AF137" s="124" t="str">
        <f>IF($B137="","",IF(AF$3=0,"n.b.",INDEX(SRC_ZPMW03!$A$1:$ZZ$501,$A137,AF$3)))</f>
        <v/>
      </c>
      <c r="AG137" s="124" t="str">
        <f>IF($B137="","",IF(AG$3=0,"n.b.",INDEX(SRC_ZPMW03!$A$1:$ZZ$501,$A137,AG$3)))</f>
        <v/>
      </c>
      <c r="AH137" s="124" t="str">
        <f>IF($B137="","",IF(AH$3=0,"n.b.",INDEX(SRC_ZPMW03!$A$1:$ZZ$501,$A137,AH$3)))</f>
        <v/>
      </c>
      <c r="AI137" s="124" t="str">
        <f>IF($B137="","",IF(AI$3=0,"n.b.",INDEX(SRC_ZPMW03!$A$1:$ZZ$501,$A137,AI$3)))</f>
        <v/>
      </c>
      <c r="AJ137" s="124" t="str">
        <f>IF($B137="","",IF(AJ$3=0,"n.b.",INDEX(SRC_ZPMW03!$A$1:$ZZ$501,$A137,AJ$3)))</f>
        <v/>
      </c>
      <c r="AK137" s="124" t="str">
        <f>IF($B137="","",IF(AK$3=0,"n.b.",INDEX(SRC_ZPMW03!$A$1:$ZZ$501,$A137,AK$3)))</f>
        <v/>
      </c>
      <c r="AL137" s="124" t="str">
        <f>IF($B137="","",IF(AL$3=0,"n.b.",INDEX(SRC_ZPMW03!$A$1:$ZZ$501,$A137,AL$3)))</f>
        <v/>
      </c>
      <c r="AM137" s="124" t="str">
        <f>IF($B137="","",IF(AM$3=0,"n.b.",INDEX(SRC_ZPMW03!$A$1:$ZZ$501,$A137,AM$3)))</f>
        <v/>
      </c>
      <c r="AN137" s="124" t="str">
        <f>IF($B137="","",IF(AN$3=0,"n.b.",INDEX(SRC_ZPMW03!$A$1:$ZZ$501,$A137,AN$3)))</f>
        <v/>
      </c>
      <c r="AO137" s="124" t="str">
        <f>IF($B137="","",IF(AO$3=0,"n.b.",INDEX(SRC_ZPMW03!$A$1:$ZZ$501,$A137,AO$3)))</f>
        <v/>
      </c>
      <c r="AP137" s="124" t="str">
        <f>IF($B137="","",IF(AP$3=0,"n.b.",INDEX(SRC_ZPMW03!$A$1:$ZZ$501,$A137,AP$3)))</f>
        <v/>
      </c>
      <c r="AQ137" s="124" t="str">
        <f>IF($B137="","",IF(AQ$3=0,"n.b.",INDEX(SRC_ZPMW03!$A$1:$ZZ$501,$A137,AQ$3)))</f>
        <v/>
      </c>
      <c r="AR137" s="124" t="str">
        <f>IF($B137="","",IF(AR$3=0,"n.b.",INDEX(SRC_ZPMW03!$A$1:$ZZ$501,$A137,AR$3)))</f>
        <v/>
      </c>
      <c r="AS137" s="124" t="str">
        <f>IF($B137="","",IF(AS$3=0,"n.b.",INDEX(SRC_ZPMW03!$A$1:$ZZ$501,$A137,AS$3)))</f>
        <v/>
      </c>
      <c r="AT137" s="124" t="str">
        <f>IF($B137="","",IF(AT$3=0,"n.b.",INDEX(SRC_ZPMW03!$A$1:$ZZ$501,$A137,AT$3)))</f>
        <v/>
      </c>
      <c r="AU137" s="124" t="str">
        <f>IF($B137="","",IF(AU$3=0,"n.b.",INDEX(SRC_ZPMW03!$A$1:$ZZ$501,$A137,AU$3)))</f>
        <v/>
      </c>
      <c r="AV137" s="124" t="str">
        <f>IF($B137="","",IF(AV$3=0,"n.b.",INDEX(SRC_ZPMW03!$A$1:$ZZ$501,$A137,AV$3)))</f>
        <v/>
      </c>
      <c r="AW137" s="124" t="str">
        <f>IF($B137="","",IF(AW$3=0,"n.b.",INDEX(SRC_ZPMW03!$A$1:$ZZ$501,$A137,AW$3)))</f>
        <v/>
      </c>
      <c r="AX137" s="124" t="str">
        <f>IF($B137="","",IF(AX$3=0,"n.b.",INDEX(SRC_ZPMW03!$A$1:$ZZ$501,$A137,AX$3)))</f>
        <v/>
      </c>
      <c r="AY137" s="124" t="str">
        <f>IF($B137="","",IF(AY$3=0,"n.b.",INDEX(SRC_ZPMW03!$A$1:$ZZ$501,$A137,AY$3)))</f>
        <v/>
      </c>
      <c r="AZ137" s="124" t="str">
        <f>IF($B137="","",IF(AZ$3=0,"n.b.",INDEX(SRC_ZPMW03!$A$1:$ZZ$501,$A137,AZ$3)))</f>
        <v/>
      </c>
      <c r="BA137" s="124" t="str">
        <f>IF($B137="","",IF(BA$3=0,"n.b.",INDEX(SRC_ZPMW03!$A$1:$ZZ$501,$A137,BA$3)))</f>
        <v/>
      </c>
      <c r="BB137" s="124" t="str">
        <f>IF($B137="","",IF(BB$3=0,"n.b.",INDEX(SRC_ZPMW03!$A$1:$ZZ$501,$A137,BB$3)))</f>
        <v/>
      </c>
      <c r="BC137" s="124" t="str">
        <f>IF($B137="","",IF(BC$3=0,"n.b.",INDEX(SRC_ZPMW03!$A$1:$ZZ$501,$A137,BC$3)))</f>
        <v/>
      </c>
      <c r="BD137" s="124" t="str">
        <f>IF($B137="","",IF(BD$3=0,"n.b.",INDEX(SRC_ZPMW03!$A$1:$ZZ$501,$A137,BD$3)))</f>
        <v/>
      </c>
      <c r="BE137" s="124" t="str">
        <f>IF($B137="","",IF(BE$3=0,"n.b.",INDEX(SRC_ZPMW03!$A$1:$ZZ$501,$A137,BE$3)))</f>
        <v/>
      </c>
      <c r="BF137" s="124" t="str">
        <f>IF($B137="","",IF(BF$3=0,"n.b.",INDEX(SRC_ZPMW03!$A$1:$ZZ$501,$A137,BF$3)))</f>
        <v/>
      </c>
      <c r="BG137" t="str">
        <f>IF($B137="","",IF(BG$3=0,"n.b.",INDEX(SRC_ZPMW03!$A$1:$ZZ$501,$A137,BG$3)))</f>
        <v/>
      </c>
      <c r="BH137" t="str">
        <f>IF($B137="","",IF(BH$3=0,"n.b.",INDEX(SRC_ZPMW03!$A$1:$ZZ$501,$A137,BH$3)))</f>
        <v/>
      </c>
      <c r="BI137" t="str">
        <f>IF($B137="","",IF(BI$3=0,"n.b.",INDEX(SRC_ZPMW03!$A$1:$ZZ$501,$A137,BI$3)))</f>
        <v/>
      </c>
      <c r="BJ137" t="str">
        <f>IF($B137="","",IF(BJ$3=0,"n.b.",INDEX(SRC_ZPMW03!$A$1:$ZZ$501,$A137,BJ$3)))</f>
        <v/>
      </c>
      <c r="BK137" s="124" t="str">
        <f>IF($B137="","",IFERROR(-O137,"n.b."))</f>
        <v/>
      </c>
      <c r="BL137" s="124" t="str">
        <f>IF($B137="","",IFERROR(-Q137,"n.b."))</f>
        <v/>
      </c>
      <c r="BM137" s="124" t="str">
        <f>IF($B137="","",IFERROR(-AB137,"n.b."))</f>
        <v/>
      </c>
      <c r="BN137" s="124" t="str">
        <f>IF($B137="","",IFERROR(-AD137,"n.b."))</f>
        <v/>
      </c>
      <c r="BO137" s="124" t="str">
        <f>IF($B137="","",IFERROR(BK137+BM137,"n.b."))</f>
        <v/>
      </c>
      <c r="BP137" s="124" t="str">
        <f>IF($B137="","",IFERROR(BL137+BN137,"n.b."))</f>
        <v/>
      </c>
      <c r="BQ137" s="124" t="str">
        <f>IF($B137="","",IFERROR(-AM137,"n.b."))</f>
        <v/>
      </c>
      <c r="BR137" s="124" t="str">
        <f>IF($B137="","",IFERROR(-AO137,"n.b."))</f>
        <v/>
      </c>
      <c r="BS137" s="124" t="str">
        <f>IF($B137="","",IFERROR(-Z137,"n.b."))</f>
        <v/>
      </c>
      <c r="BT137" s="124" t="str">
        <f>IF($B137="","",IFERROR(-AA137,"n.b."))</f>
        <v/>
      </c>
      <c r="BU137" s="124" t="str">
        <f>IF($B137="","",IFERROR(-AE137,"n.b."))</f>
        <v/>
      </c>
      <c r="BV137" s="124" t="str">
        <f>IF($B137="","",IFERROR(-AF137,"n.b."))</f>
        <v/>
      </c>
      <c r="BW137" s="124" t="str">
        <f>IF($B137="","",IFERROR(-AG137,"n.b."))</f>
        <v/>
      </c>
      <c r="BX137" s="124" t="str">
        <f>IF($B137="","",IFERROR(-AH137,"n.b."))</f>
        <v/>
      </c>
      <c r="BY137" s="124" t="str">
        <f>IF($B137="","",IFERROR(-AI137,"n.b."))</f>
        <v/>
      </c>
      <c r="BZ137" s="124" t="str">
        <f>IF($B137="","",IFERROR(-AJ137,"n.b."))</f>
        <v/>
      </c>
      <c r="CA137" s="124" t="str">
        <f>IF($B137="","",IFERROR(-AK137,"n.b."))</f>
        <v/>
      </c>
      <c r="CB137" s="124" t="str">
        <f>IF($B137="","",IFERROR(-AL137,"n.b."))</f>
        <v/>
      </c>
      <c r="CC137" s="124" t="str">
        <f>IF($B137="","",IFERROR(-AP137,"n.b."))</f>
        <v/>
      </c>
      <c r="CD137" s="124" t="str">
        <f>IF($B137="","",IFERROR(-AQ137,"n.b."))</f>
        <v/>
      </c>
      <c r="CE137" s="124" t="str">
        <f>IF($B137="","",IFERROR(-AR137,"n.b."))</f>
        <v/>
      </c>
      <c r="CF137" s="124" t="str">
        <f>IF($B137="","",IFERROR(-AS137,"n.b."))</f>
        <v/>
      </c>
      <c r="CG137" s="124" t="str">
        <f>IF($B137="","",IFERROR(-AT137,"n.b."))</f>
        <v/>
      </c>
      <c r="CH137" s="124" t="str">
        <f>IF($B137="","",IFERROR(-AU137,"n.b."))</f>
        <v/>
      </c>
      <c r="CI137" s="124" t="str">
        <f>IF($B137="","",IFERROR(-AV137,"n.b."))</f>
        <v/>
      </c>
      <c r="CJ137" s="124" t="str">
        <f>IF($B137="","",IFERROR(-AW137,"n.b."))</f>
        <v/>
      </c>
      <c r="CK137" s="124" t="str">
        <f>IF($B137="","",IFERROR(-AX137,"n.b."))</f>
        <v/>
      </c>
      <c r="CL137" s="124" t="str">
        <f>IF($B137="","",IFERROR(-AY137,"n.b."))</f>
        <v/>
      </c>
      <c r="CM137" s="124" t="str">
        <f>IF($B137="","",IFERROR(-AZ137,"n.b."))</f>
        <v/>
      </c>
      <c r="CN137" s="124" t="str">
        <f>IF($B137="","",IFERROR(-BA137,"n.b."))</f>
        <v/>
      </c>
      <c r="CO137" s="124" t="str">
        <f>IF($B137="","",IFERROR(-BB137,"n.b."))</f>
        <v/>
      </c>
      <c r="CP137" s="124" t="str">
        <f>IF($B137="","",IFERROR(-BC137,"n.b."))</f>
        <v/>
      </c>
      <c r="CQ137" s="124" t="str">
        <f>IF($B137="","",IFERROR(-BD137,"n.b."))</f>
        <v/>
      </c>
      <c r="CR137" s="124" t="str">
        <f>IF($B137="","",IFERROR(-BE137,"n.b."))</f>
        <v/>
      </c>
      <c r="CS137" s="124" t="str">
        <f>IF($B137="","",IFERROR(IF(OR(ABS(T137+V137+X137+Z137-AB137)&gt;P_Tol,ABS(U137+W137+Y137+AA137-AD137)&gt;P_Tol,ABS(AE137+AG137+AI137+AK137-AM137)&gt;P_Tol,ABS(AF137+AH137+AJ137+AL137-AO137)&gt;P_Tol),1,0),1))</f>
        <v/>
      </c>
      <c r="CT137" s="124" t="str">
        <f>IF($B137="","",IFERROR(IF(OR(ABS(AB137+AC137-AD137)&gt;P_Tol,ABS(AM137+AN137-AO137)&gt;P_Tol,ABS(O137+P137-Q137)&gt;P_Tol),1,0),1))</f>
        <v/>
      </c>
      <c r="CU137" s="124" t="str">
        <f>IF($B137="","",IFERROR(IF(ABS(R137-(AB137+AM137+AP137+AR137+AT137+AV137+AX137+AZ137+BB137+BD137))&gt;P_Tol,1,0),1))</f>
        <v/>
      </c>
      <c r="CV137" s="124" t="str">
        <f>IF($B137="","",IFERROR(IF(ABS(M137-(N137+O137+R137))&gt;P_Tol,1,0),1))</f>
        <v/>
      </c>
      <c r="CW137" s="124" t="str">
        <f>IF($B137="","",IF(COUNTIF(Mapping!$A$5:$A$104,B137)&gt;0,1,0))</f>
        <v/>
      </c>
      <c r="CX137" s="124" t="str">
        <f>IF($B137="","",COUNTIF($B$6:$B$505,B137))</f>
        <v/>
      </c>
      <c r="CY137" s="124" t="str">
        <f>IF($B137="","",COUNTIF(STG_Woningetalage!$B$6:$B$505,B137))</f>
        <v/>
      </c>
      <c r="CZ137" s="124" t="str">
        <f>IF($B137="","",IF(CW137=0,COUNTIF($CW$6:CW137,0),""))</f>
        <v/>
      </c>
    </row>
    <row r="138">
      <c r="A138" s="15" t="n">
        <v>134</v>
      </c>
      <c r="B138" t="str">
        <f>IF(B$3=0,"",IF(INDEX(SRC_ZPMW03!$A$1:$ZZ$501,$A138,B$3)&amp;""="","",INDEX(SRC_ZPMW03!$A$1:$ZZ$501,$A138,B$3)&amp;""))</f>
        <v/>
      </c>
      <c r="C138" t="str">
        <f>IF($B138="","",IF(C$3=0,"n.b.",INDEX(SRC_ZPMW03!$A$1:$ZZ$501,$A138,C$3)))</f>
        <v/>
      </c>
      <c r="D138" t="str">
        <f>IF($B138="","",IF(D$3=0,"n.b.",INDEX(SRC_ZPMW03!$A$1:$ZZ$501,$A138,D$3)))</f>
        <v/>
      </c>
      <c r="E138" t="str">
        <f>IF($B138="","",IF(E$3=0,"n.b.",INDEX(SRC_ZPMW03!$A$1:$ZZ$501,$A138,E$3)))</f>
        <v/>
      </c>
      <c r="F138" t="str">
        <f>IF($B138="","",IF(F$3=0,"n.b.",INDEX(SRC_ZPMW03!$A$1:$ZZ$501,$A138,F$3)))</f>
        <v/>
      </c>
      <c r="G138" t="str">
        <f>IF($B138="","",IF(G$3=0,"n.b.",INDEX(SRC_ZPMW03!$A$1:$ZZ$501,$A138,G$3)))</f>
        <v/>
      </c>
      <c r="H138" t="str">
        <f>IF($B138="","",IF(H$3=0,"n.b.",INDEX(SRC_ZPMW03!$A$1:$ZZ$501,$A138,H$3)))</f>
        <v/>
      </c>
      <c r="I138" t="str">
        <f>IF($B138="","",IF(I$3=0,"n.b.",INDEX(SRC_ZPMW03!$A$1:$ZZ$501,$A138,I$3)))</f>
        <v/>
      </c>
      <c r="J138" t="str">
        <f>IF($B138="","",IF(J$3=0,"n.b.",INDEX(SRC_ZPMW03!$A$1:$ZZ$501,$A138,J$3)))</f>
        <v/>
      </c>
      <c r="K138" t="str">
        <f>IF($B138="","",IF(K$3=0,"n.b.",INDEX(SRC_ZPMW03!$A$1:$ZZ$501,$A138,K$3)))</f>
        <v/>
      </c>
      <c r="L138" s="124" t="str">
        <f>IF($B138="","",IF(L$3=0,"n.b.",INDEX(SRC_ZPMW03!$A$1:$ZZ$501,$A138,L$3)))</f>
        <v/>
      </c>
      <c r="M138" s="124" t="str">
        <f>IF($B138="","",IF(M$3=0,"n.b.",INDEX(SRC_ZPMW03!$A$1:$ZZ$501,$A138,M$3)))</f>
        <v/>
      </c>
      <c r="N138" s="124" t="str">
        <f>IF($B138="","",IF(N$3=0,"n.b.",INDEX(SRC_ZPMW03!$A$1:$ZZ$501,$A138,N$3)))</f>
        <v/>
      </c>
      <c r="O138" s="124" t="str">
        <f>IF($B138="","",IF(O$3=0,"n.b.",INDEX(SRC_ZPMW03!$A$1:$ZZ$501,$A138,O$3)))</f>
        <v/>
      </c>
      <c r="P138" s="124" t="str">
        <f>IF($B138="","",IF(P$3=0,"n.b.",INDEX(SRC_ZPMW03!$A$1:$ZZ$501,$A138,P$3)))</f>
        <v/>
      </c>
      <c r="Q138" s="124" t="str">
        <f>IF($B138="","",IF(Q$3=0,"n.b.",INDEX(SRC_ZPMW03!$A$1:$ZZ$501,$A138,Q$3)))</f>
        <v/>
      </c>
      <c r="R138" s="124" t="str">
        <f>IF($B138="","",IF(R$3=0,"n.b.",INDEX(SRC_ZPMW03!$A$1:$ZZ$501,$A138,R$3)))</f>
        <v/>
      </c>
      <c r="S138" s="124" t="str">
        <f>IF($B138="","",IF(S$3=0,"n.b.",INDEX(SRC_ZPMW03!$A$1:$ZZ$501,$A138,S$3)))</f>
        <v/>
      </c>
      <c r="T138" s="124" t="str">
        <f>IF($B138="","",IF(T$3=0,"n.b.",INDEX(SRC_ZPMW03!$A$1:$ZZ$501,$A138,T$3)))</f>
        <v/>
      </c>
      <c r="U138" s="124" t="str">
        <f>IF($B138="","",IF(U$3=0,"n.b.",INDEX(SRC_ZPMW03!$A$1:$ZZ$501,$A138,U$3)))</f>
        <v/>
      </c>
      <c r="V138" s="124" t="str">
        <f>IF($B138="","",IF(V$3=0,"n.b.",INDEX(SRC_ZPMW03!$A$1:$ZZ$501,$A138,V$3)))</f>
        <v/>
      </c>
      <c r="W138" s="124" t="str">
        <f>IF($B138="","",IF(W$3=0,"n.b.",INDEX(SRC_ZPMW03!$A$1:$ZZ$501,$A138,W$3)))</f>
        <v/>
      </c>
      <c r="X138" s="124" t="str">
        <f>IF($B138="","",IF(X$3=0,"n.b.",INDEX(SRC_ZPMW03!$A$1:$ZZ$501,$A138,X$3)))</f>
        <v/>
      </c>
      <c r="Y138" s="124" t="str">
        <f>IF($B138="","",IF(Y$3=0,"n.b.",INDEX(SRC_ZPMW03!$A$1:$ZZ$501,$A138,Y$3)))</f>
        <v/>
      </c>
      <c r="Z138" s="124" t="str">
        <f>IF($B138="","",IF(Z$3=0,"n.b.",INDEX(SRC_ZPMW03!$A$1:$ZZ$501,$A138,Z$3)))</f>
        <v/>
      </c>
      <c r="AA138" s="124" t="str">
        <f>IF($B138="","",IF(AA$3=0,"n.b.",INDEX(SRC_ZPMW03!$A$1:$ZZ$501,$A138,AA$3)))</f>
        <v/>
      </c>
      <c r="AB138" s="124" t="str">
        <f>IF($B138="","",IF(AB$3=0,"n.b.",INDEX(SRC_ZPMW03!$A$1:$ZZ$501,$A138,AB$3)))</f>
        <v/>
      </c>
      <c r="AC138" s="124" t="str">
        <f>IF($B138="","",IF(AC$3=0,"n.b.",INDEX(SRC_ZPMW03!$A$1:$ZZ$501,$A138,AC$3)))</f>
        <v/>
      </c>
      <c r="AD138" s="124" t="str">
        <f>IF($B138="","",IF(AD$3=0,"n.b.",INDEX(SRC_ZPMW03!$A$1:$ZZ$501,$A138,AD$3)))</f>
        <v/>
      </c>
      <c r="AE138" s="124" t="str">
        <f>IF($B138="","",IF(AE$3=0,"n.b.",INDEX(SRC_ZPMW03!$A$1:$ZZ$501,$A138,AE$3)))</f>
        <v/>
      </c>
      <c r="AF138" s="124" t="str">
        <f>IF($B138="","",IF(AF$3=0,"n.b.",INDEX(SRC_ZPMW03!$A$1:$ZZ$501,$A138,AF$3)))</f>
        <v/>
      </c>
      <c r="AG138" s="124" t="str">
        <f>IF($B138="","",IF(AG$3=0,"n.b.",INDEX(SRC_ZPMW03!$A$1:$ZZ$501,$A138,AG$3)))</f>
        <v/>
      </c>
      <c r="AH138" s="124" t="str">
        <f>IF($B138="","",IF(AH$3=0,"n.b.",INDEX(SRC_ZPMW03!$A$1:$ZZ$501,$A138,AH$3)))</f>
        <v/>
      </c>
      <c r="AI138" s="124" t="str">
        <f>IF($B138="","",IF(AI$3=0,"n.b.",INDEX(SRC_ZPMW03!$A$1:$ZZ$501,$A138,AI$3)))</f>
        <v/>
      </c>
      <c r="AJ138" s="124" t="str">
        <f>IF($B138="","",IF(AJ$3=0,"n.b.",INDEX(SRC_ZPMW03!$A$1:$ZZ$501,$A138,AJ$3)))</f>
        <v/>
      </c>
      <c r="AK138" s="124" t="str">
        <f>IF($B138="","",IF(AK$3=0,"n.b.",INDEX(SRC_ZPMW03!$A$1:$ZZ$501,$A138,AK$3)))</f>
        <v/>
      </c>
      <c r="AL138" s="124" t="str">
        <f>IF($B138="","",IF(AL$3=0,"n.b.",INDEX(SRC_ZPMW03!$A$1:$ZZ$501,$A138,AL$3)))</f>
        <v/>
      </c>
      <c r="AM138" s="124" t="str">
        <f>IF($B138="","",IF(AM$3=0,"n.b.",INDEX(SRC_ZPMW03!$A$1:$ZZ$501,$A138,AM$3)))</f>
        <v/>
      </c>
      <c r="AN138" s="124" t="str">
        <f>IF($B138="","",IF(AN$3=0,"n.b.",INDEX(SRC_ZPMW03!$A$1:$ZZ$501,$A138,AN$3)))</f>
        <v/>
      </c>
      <c r="AO138" s="124" t="str">
        <f>IF($B138="","",IF(AO$3=0,"n.b.",INDEX(SRC_ZPMW03!$A$1:$ZZ$501,$A138,AO$3)))</f>
        <v/>
      </c>
      <c r="AP138" s="124" t="str">
        <f>IF($B138="","",IF(AP$3=0,"n.b.",INDEX(SRC_ZPMW03!$A$1:$ZZ$501,$A138,AP$3)))</f>
        <v/>
      </c>
      <c r="AQ138" s="124" t="str">
        <f>IF($B138="","",IF(AQ$3=0,"n.b.",INDEX(SRC_ZPMW03!$A$1:$ZZ$501,$A138,AQ$3)))</f>
        <v/>
      </c>
      <c r="AR138" s="124" t="str">
        <f>IF($B138="","",IF(AR$3=0,"n.b.",INDEX(SRC_ZPMW03!$A$1:$ZZ$501,$A138,AR$3)))</f>
        <v/>
      </c>
      <c r="AS138" s="124" t="str">
        <f>IF($B138="","",IF(AS$3=0,"n.b.",INDEX(SRC_ZPMW03!$A$1:$ZZ$501,$A138,AS$3)))</f>
        <v/>
      </c>
      <c r="AT138" s="124" t="str">
        <f>IF($B138="","",IF(AT$3=0,"n.b.",INDEX(SRC_ZPMW03!$A$1:$ZZ$501,$A138,AT$3)))</f>
        <v/>
      </c>
      <c r="AU138" s="124" t="str">
        <f>IF($B138="","",IF(AU$3=0,"n.b.",INDEX(SRC_ZPMW03!$A$1:$ZZ$501,$A138,AU$3)))</f>
        <v/>
      </c>
      <c r="AV138" s="124" t="str">
        <f>IF($B138="","",IF(AV$3=0,"n.b.",INDEX(SRC_ZPMW03!$A$1:$ZZ$501,$A138,AV$3)))</f>
        <v/>
      </c>
      <c r="AW138" s="124" t="str">
        <f>IF($B138="","",IF(AW$3=0,"n.b.",INDEX(SRC_ZPMW03!$A$1:$ZZ$501,$A138,AW$3)))</f>
        <v/>
      </c>
      <c r="AX138" s="124" t="str">
        <f>IF($B138="","",IF(AX$3=0,"n.b.",INDEX(SRC_ZPMW03!$A$1:$ZZ$501,$A138,AX$3)))</f>
        <v/>
      </c>
      <c r="AY138" s="124" t="str">
        <f>IF($B138="","",IF(AY$3=0,"n.b.",INDEX(SRC_ZPMW03!$A$1:$ZZ$501,$A138,AY$3)))</f>
        <v/>
      </c>
      <c r="AZ138" s="124" t="str">
        <f>IF($B138="","",IF(AZ$3=0,"n.b.",INDEX(SRC_ZPMW03!$A$1:$ZZ$501,$A138,AZ$3)))</f>
        <v/>
      </c>
      <c r="BA138" s="124" t="str">
        <f>IF($B138="","",IF(BA$3=0,"n.b.",INDEX(SRC_ZPMW03!$A$1:$ZZ$501,$A138,BA$3)))</f>
        <v/>
      </c>
      <c r="BB138" s="124" t="str">
        <f>IF($B138="","",IF(BB$3=0,"n.b.",INDEX(SRC_ZPMW03!$A$1:$ZZ$501,$A138,BB$3)))</f>
        <v/>
      </c>
      <c r="BC138" s="124" t="str">
        <f>IF($B138="","",IF(BC$3=0,"n.b.",INDEX(SRC_ZPMW03!$A$1:$ZZ$501,$A138,BC$3)))</f>
        <v/>
      </c>
      <c r="BD138" s="124" t="str">
        <f>IF($B138="","",IF(BD$3=0,"n.b.",INDEX(SRC_ZPMW03!$A$1:$ZZ$501,$A138,BD$3)))</f>
        <v/>
      </c>
      <c r="BE138" s="124" t="str">
        <f>IF($B138="","",IF(BE$3=0,"n.b.",INDEX(SRC_ZPMW03!$A$1:$ZZ$501,$A138,BE$3)))</f>
        <v/>
      </c>
      <c r="BF138" s="124" t="str">
        <f>IF($B138="","",IF(BF$3=0,"n.b.",INDEX(SRC_ZPMW03!$A$1:$ZZ$501,$A138,BF$3)))</f>
        <v/>
      </c>
      <c r="BG138" t="str">
        <f>IF($B138="","",IF(BG$3=0,"n.b.",INDEX(SRC_ZPMW03!$A$1:$ZZ$501,$A138,BG$3)))</f>
        <v/>
      </c>
      <c r="BH138" t="str">
        <f>IF($B138="","",IF(BH$3=0,"n.b.",INDEX(SRC_ZPMW03!$A$1:$ZZ$501,$A138,BH$3)))</f>
        <v/>
      </c>
      <c r="BI138" t="str">
        <f>IF($B138="","",IF(BI$3=0,"n.b.",INDEX(SRC_ZPMW03!$A$1:$ZZ$501,$A138,BI$3)))</f>
        <v/>
      </c>
      <c r="BJ138" t="str">
        <f>IF($B138="","",IF(BJ$3=0,"n.b.",INDEX(SRC_ZPMW03!$A$1:$ZZ$501,$A138,BJ$3)))</f>
        <v/>
      </c>
      <c r="BK138" s="124" t="str">
        <f>IF($B138="","",IFERROR(-O138,"n.b."))</f>
        <v/>
      </c>
      <c r="BL138" s="124" t="str">
        <f>IF($B138="","",IFERROR(-Q138,"n.b."))</f>
        <v/>
      </c>
      <c r="BM138" s="124" t="str">
        <f>IF($B138="","",IFERROR(-AB138,"n.b."))</f>
        <v/>
      </c>
      <c r="BN138" s="124" t="str">
        <f>IF($B138="","",IFERROR(-AD138,"n.b."))</f>
        <v/>
      </c>
      <c r="BO138" s="124" t="str">
        <f>IF($B138="","",IFERROR(BK138+BM138,"n.b."))</f>
        <v/>
      </c>
      <c r="BP138" s="124" t="str">
        <f>IF($B138="","",IFERROR(BL138+BN138,"n.b."))</f>
        <v/>
      </c>
      <c r="BQ138" s="124" t="str">
        <f>IF($B138="","",IFERROR(-AM138,"n.b."))</f>
        <v/>
      </c>
      <c r="BR138" s="124" t="str">
        <f>IF($B138="","",IFERROR(-AO138,"n.b."))</f>
        <v/>
      </c>
      <c r="BS138" s="124" t="str">
        <f>IF($B138="","",IFERROR(-Z138,"n.b."))</f>
        <v/>
      </c>
      <c r="BT138" s="124" t="str">
        <f>IF($B138="","",IFERROR(-AA138,"n.b."))</f>
        <v/>
      </c>
      <c r="BU138" s="124" t="str">
        <f>IF($B138="","",IFERROR(-AE138,"n.b."))</f>
        <v/>
      </c>
      <c r="BV138" s="124" t="str">
        <f>IF($B138="","",IFERROR(-AF138,"n.b."))</f>
        <v/>
      </c>
      <c r="BW138" s="124" t="str">
        <f>IF($B138="","",IFERROR(-AG138,"n.b."))</f>
        <v/>
      </c>
      <c r="BX138" s="124" t="str">
        <f>IF($B138="","",IFERROR(-AH138,"n.b."))</f>
        <v/>
      </c>
      <c r="BY138" s="124" t="str">
        <f>IF($B138="","",IFERROR(-AI138,"n.b."))</f>
        <v/>
      </c>
      <c r="BZ138" s="124" t="str">
        <f>IF($B138="","",IFERROR(-AJ138,"n.b."))</f>
        <v/>
      </c>
      <c r="CA138" s="124" t="str">
        <f>IF($B138="","",IFERROR(-AK138,"n.b."))</f>
        <v/>
      </c>
      <c r="CB138" s="124" t="str">
        <f>IF($B138="","",IFERROR(-AL138,"n.b."))</f>
        <v/>
      </c>
      <c r="CC138" s="124" t="str">
        <f>IF($B138="","",IFERROR(-AP138,"n.b."))</f>
        <v/>
      </c>
      <c r="CD138" s="124" t="str">
        <f>IF($B138="","",IFERROR(-AQ138,"n.b."))</f>
        <v/>
      </c>
      <c r="CE138" s="124" t="str">
        <f>IF($B138="","",IFERROR(-AR138,"n.b."))</f>
        <v/>
      </c>
      <c r="CF138" s="124" t="str">
        <f>IF($B138="","",IFERROR(-AS138,"n.b."))</f>
        <v/>
      </c>
      <c r="CG138" s="124" t="str">
        <f>IF($B138="","",IFERROR(-AT138,"n.b."))</f>
        <v/>
      </c>
      <c r="CH138" s="124" t="str">
        <f>IF($B138="","",IFERROR(-AU138,"n.b."))</f>
        <v/>
      </c>
      <c r="CI138" s="124" t="str">
        <f>IF($B138="","",IFERROR(-AV138,"n.b."))</f>
        <v/>
      </c>
      <c r="CJ138" s="124" t="str">
        <f>IF($B138="","",IFERROR(-AW138,"n.b."))</f>
        <v/>
      </c>
      <c r="CK138" s="124" t="str">
        <f>IF($B138="","",IFERROR(-AX138,"n.b."))</f>
        <v/>
      </c>
      <c r="CL138" s="124" t="str">
        <f>IF($B138="","",IFERROR(-AY138,"n.b."))</f>
        <v/>
      </c>
      <c r="CM138" s="124" t="str">
        <f>IF($B138="","",IFERROR(-AZ138,"n.b."))</f>
        <v/>
      </c>
      <c r="CN138" s="124" t="str">
        <f>IF($B138="","",IFERROR(-BA138,"n.b."))</f>
        <v/>
      </c>
      <c r="CO138" s="124" t="str">
        <f>IF($B138="","",IFERROR(-BB138,"n.b."))</f>
        <v/>
      </c>
      <c r="CP138" s="124" t="str">
        <f>IF($B138="","",IFERROR(-BC138,"n.b."))</f>
        <v/>
      </c>
      <c r="CQ138" s="124" t="str">
        <f>IF($B138="","",IFERROR(-BD138,"n.b."))</f>
        <v/>
      </c>
      <c r="CR138" s="124" t="str">
        <f>IF($B138="","",IFERROR(-BE138,"n.b."))</f>
        <v/>
      </c>
      <c r="CS138" s="124" t="str">
        <f>IF($B138="","",IFERROR(IF(OR(ABS(T138+V138+X138+Z138-AB138)&gt;P_Tol,ABS(U138+W138+Y138+AA138-AD138)&gt;P_Tol,ABS(AE138+AG138+AI138+AK138-AM138)&gt;P_Tol,ABS(AF138+AH138+AJ138+AL138-AO138)&gt;P_Tol),1,0),1))</f>
        <v/>
      </c>
      <c r="CT138" s="124" t="str">
        <f>IF($B138="","",IFERROR(IF(OR(ABS(AB138+AC138-AD138)&gt;P_Tol,ABS(AM138+AN138-AO138)&gt;P_Tol,ABS(O138+P138-Q138)&gt;P_Tol),1,0),1))</f>
        <v/>
      </c>
      <c r="CU138" s="124" t="str">
        <f>IF($B138="","",IFERROR(IF(ABS(R138-(AB138+AM138+AP138+AR138+AT138+AV138+AX138+AZ138+BB138+BD138))&gt;P_Tol,1,0),1))</f>
        <v/>
      </c>
      <c r="CV138" s="124" t="str">
        <f>IF($B138="","",IFERROR(IF(ABS(M138-(N138+O138+R138))&gt;P_Tol,1,0),1))</f>
        <v/>
      </c>
      <c r="CW138" s="124" t="str">
        <f>IF($B138="","",IF(COUNTIF(Mapping!$A$5:$A$104,B138)&gt;0,1,0))</f>
        <v/>
      </c>
      <c r="CX138" s="124" t="str">
        <f>IF($B138="","",COUNTIF($B$6:$B$505,B138))</f>
        <v/>
      </c>
      <c r="CY138" s="124" t="str">
        <f>IF($B138="","",COUNTIF(STG_Woningetalage!$B$6:$B$505,B138))</f>
        <v/>
      </c>
      <c r="CZ138" s="124" t="str">
        <f>IF($B138="","",IF(CW138=0,COUNTIF($CW$6:CW138,0),""))</f>
        <v/>
      </c>
    </row>
    <row r="139">
      <c r="A139" s="15" t="n">
        <v>135</v>
      </c>
      <c r="B139" t="str">
        <f>IF(B$3=0,"",IF(INDEX(SRC_ZPMW03!$A$1:$ZZ$501,$A139,B$3)&amp;""="","",INDEX(SRC_ZPMW03!$A$1:$ZZ$501,$A139,B$3)&amp;""))</f>
        <v/>
      </c>
      <c r="C139" t="str">
        <f>IF($B139="","",IF(C$3=0,"n.b.",INDEX(SRC_ZPMW03!$A$1:$ZZ$501,$A139,C$3)))</f>
        <v/>
      </c>
      <c r="D139" t="str">
        <f>IF($B139="","",IF(D$3=0,"n.b.",INDEX(SRC_ZPMW03!$A$1:$ZZ$501,$A139,D$3)))</f>
        <v/>
      </c>
      <c r="E139" t="str">
        <f>IF($B139="","",IF(E$3=0,"n.b.",INDEX(SRC_ZPMW03!$A$1:$ZZ$501,$A139,E$3)))</f>
        <v/>
      </c>
      <c r="F139" t="str">
        <f>IF($B139="","",IF(F$3=0,"n.b.",INDEX(SRC_ZPMW03!$A$1:$ZZ$501,$A139,F$3)))</f>
        <v/>
      </c>
      <c r="G139" t="str">
        <f>IF($B139="","",IF(G$3=0,"n.b.",INDEX(SRC_ZPMW03!$A$1:$ZZ$501,$A139,G$3)))</f>
        <v/>
      </c>
      <c r="H139" t="str">
        <f>IF($B139="","",IF(H$3=0,"n.b.",INDEX(SRC_ZPMW03!$A$1:$ZZ$501,$A139,H$3)))</f>
        <v/>
      </c>
      <c r="I139" t="str">
        <f>IF($B139="","",IF(I$3=0,"n.b.",INDEX(SRC_ZPMW03!$A$1:$ZZ$501,$A139,I$3)))</f>
        <v/>
      </c>
      <c r="J139" t="str">
        <f>IF($B139="","",IF(J$3=0,"n.b.",INDEX(SRC_ZPMW03!$A$1:$ZZ$501,$A139,J$3)))</f>
        <v/>
      </c>
      <c r="K139" t="str">
        <f>IF($B139="","",IF(K$3=0,"n.b.",INDEX(SRC_ZPMW03!$A$1:$ZZ$501,$A139,K$3)))</f>
        <v/>
      </c>
      <c r="L139" s="124" t="str">
        <f>IF($B139="","",IF(L$3=0,"n.b.",INDEX(SRC_ZPMW03!$A$1:$ZZ$501,$A139,L$3)))</f>
        <v/>
      </c>
      <c r="M139" s="124" t="str">
        <f>IF($B139="","",IF(M$3=0,"n.b.",INDEX(SRC_ZPMW03!$A$1:$ZZ$501,$A139,M$3)))</f>
        <v/>
      </c>
      <c r="N139" s="124" t="str">
        <f>IF($B139="","",IF(N$3=0,"n.b.",INDEX(SRC_ZPMW03!$A$1:$ZZ$501,$A139,N$3)))</f>
        <v/>
      </c>
      <c r="O139" s="124" t="str">
        <f>IF($B139="","",IF(O$3=0,"n.b.",INDEX(SRC_ZPMW03!$A$1:$ZZ$501,$A139,O$3)))</f>
        <v/>
      </c>
      <c r="P139" s="124" t="str">
        <f>IF($B139="","",IF(P$3=0,"n.b.",INDEX(SRC_ZPMW03!$A$1:$ZZ$501,$A139,P$3)))</f>
        <v/>
      </c>
      <c r="Q139" s="124" t="str">
        <f>IF($B139="","",IF(Q$3=0,"n.b.",INDEX(SRC_ZPMW03!$A$1:$ZZ$501,$A139,Q$3)))</f>
        <v/>
      </c>
      <c r="R139" s="124" t="str">
        <f>IF($B139="","",IF(R$3=0,"n.b.",INDEX(SRC_ZPMW03!$A$1:$ZZ$501,$A139,R$3)))</f>
        <v/>
      </c>
      <c r="S139" s="124" t="str">
        <f>IF($B139="","",IF(S$3=0,"n.b.",INDEX(SRC_ZPMW03!$A$1:$ZZ$501,$A139,S$3)))</f>
        <v/>
      </c>
      <c r="T139" s="124" t="str">
        <f>IF($B139="","",IF(T$3=0,"n.b.",INDEX(SRC_ZPMW03!$A$1:$ZZ$501,$A139,T$3)))</f>
        <v/>
      </c>
      <c r="U139" s="124" t="str">
        <f>IF($B139="","",IF(U$3=0,"n.b.",INDEX(SRC_ZPMW03!$A$1:$ZZ$501,$A139,U$3)))</f>
        <v/>
      </c>
      <c r="V139" s="124" t="str">
        <f>IF($B139="","",IF(V$3=0,"n.b.",INDEX(SRC_ZPMW03!$A$1:$ZZ$501,$A139,V$3)))</f>
        <v/>
      </c>
      <c r="W139" s="124" t="str">
        <f>IF($B139="","",IF(W$3=0,"n.b.",INDEX(SRC_ZPMW03!$A$1:$ZZ$501,$A139,W$3)))</f>
        <v/>
      </c>
      <c r="X139" s="124" t="str">
        <f>IF($B139="","",IF(X$3=0,"n.b.",INDEX(SRC_ZPMW03!$A$1:$ZZ$501,$A139,X$3)))</f>
        <v/>
      </c>
      <c r="Y139" s="124" t="str">
        <f>IF($B139="","",IF(Y$3=0,"n.b.",INDEX(SRC_ZPMW03!$A$1:$ZZ$501,$A139,Y$3)))</f>
        <v/>
      </c>
      <c r="Z139" s="124" t="str">
        <f>IF($B139="","",IF(Z$3=0,"n.b.",INDEX(SRC_ZPMW03!$A$1:$ZZ$501,$A139,Z$3)))</f>
        <v/>
      </c>
      <c r="AA139" s="124" t="str">
        <f>IF($B139="","",IF(AA$3=0,"n.b.",INDEX(SRC_ZPMW03!$A$1:$ZZ$501,$A139,AA$3)))</f>
        <v/>
      </c>
      <c r="AB139" s="124" t="str">
        <f>IF($B139="","",IF(AB$3=0,"n.b.",INDEX(SRC_ZPMW03!$A$1:$ZZ$501,$A139,AB$3)))</f>
        <v/>
      </c>
      <c r="AC139" s="124" t="str">
        <f>IF($B139="","",IF(AC$3=0,"n.b.",INDEX(SRC_ZPMW03!$A$1:$ZZ$501,$A139,AC$3)))</f>
        <v/>
      </c>
      <c r="AD139" s="124" t="str">
        <f>IF($B139="","",IF(AD$3=0,"n.b.",INDEX(SRC_ZPMW03!$A$1:$ZZ$501,$A139,AD$3)))</f>
        <v/>
      </c>
      <c r="AE139" s="124" t="str">
        <f>IF($B139="","",IF(AE$3=0,"n.b.",INDEX(SRC_ZPMW03!$A$1:$ZZ$501,$A139,AE$3)))</f>
        <v/>
      </c>
      <c r="AF139" s="124" t="str">
        <f>IF($B139="","",IF(AF$3=0,"n.b.",INDEX(SRC_ZPMW03!$A$1:$ZZ$501,$A139,AF$3)))</f>
        <v/>
      </c>
      <c r="AG139" s="124" t="str">
        <f>IF($B139="","",IF(AG$3=0,"n.b.",INDEX(SRC_ZPMW03!$A$1:$ZZ$501,$A139,AG$3)))</f>
        <v/>
      </c>
      <c r="AH139" s="124" t="str">
        <f>IF($B139="","",IF(AH$3=0,"n.b.",INDEX(SRC_ZPMW03!$A$1:$ZZ$501,$A139,AH$3)))</f>
        <v/>
      </c>
      <c r="AI139" s="124" t="str">
        <f>IF($B139="","",IF(AI$3=0,"n.b.",INDEX(SRC_ZPMW03!$A$1:$ZZ$501,$A139,AI$3)))</f>
        <v/>
      </c>
      <c r="AJ139" s="124" t="str">
        <f>IF($B139="","",IF(AJ$3=0,"n.b.",INDEX(SRC_ZPMW03!$A$1:$ZZ$501,$A139,AJ$3)))</f>
        <v/>
      </c>
      <c r="AK139" s="124" t="str">
        <f>IF($B139="","",IF(AK$3=0,"n.b.",INDEX(SRC_ZPMW03!$A$1:$ZZ$501,$A139,AK$3)))</f>
        <v/>
      </c>
      <c r="AL139" s="124" t="str">
        <f>IF($B139="","",IF(AL$3=0,"n.b.",INDEX(SRC_ZPMW03!$A$1:$ZZ$501,$A139,AL$3)))</f>
        <v/>
      </c>
      <c r="AM139" s="124" t="str">
        <f>IF($B139="","",IF(AM$3=0,"n.b.",INDEX(SRC_ZPMW03!$A$1:$ZZ$501,$A139,AM$3)))</f>
        <v/>
      </c>
      <c r="AN139" s="124" t="str">
        <f>IF($B139="","",IF(AN$3=0,"n.b.",INDEX(SRC_ZPMW03!$A$1:$ZZ$501,$A139,AN$3)))</f>
        <v/>
      </c>
      <c r="AO139" s="124" t="str">
        <f>IF($B139="","",IF(AO$3=0,"n.b.",INDEX(SRC_ZPMW03!$A$1:$ZZ$501,$A139,AO$3)))</f>
        <v/>
      </c>
      <c r="AP139" s="124" t="str">
        <f>IF($B139="","",IF(AP$3=0,"n.b.",INDEX(SRC_ZPMW03!$A$1:$ZZ$501,$A139,AP$3)))</f>
        <v/>
      </c>
      <c r="AQ139" s="124" t="str">
        <f>IF($B139="","",IF(AQ$3=0,"n.b.",INDEX(SRC_ZPMW03!$A$1:$ZZ$501,$A139,AQ$3)))</f>
        <v/>
      </c>
      <c r="AR139" s="124" t="str">
        <f>IF($B139="","",IF(AR$3=0,"n.b.",INDEX(SRC_ZPMW03!$A$1:$ZZ$501,$A139,AR$3)))</f>
        <v/>
      </c>
      <c r="AS139" s="124" t="str">
        <f>IF($B139="","",IF(AS$3=0,"n.b.",INDEX(SRC_ZPMW03!$A$1:$ZZ$501,$A139,AS$3)))</f>
        <v/>
      </c>
      <c r="AT139" s="124" t="str">
        <f>IF($B139="","",IF(AT$3=0,"n.b.",INDEX(SRC_ZPMW03!$A$1:$ZZ$501,$A139,AT$3)))</f>
        <v/>
      </c>
      <c r="AU139" s="124" t="str">
        <f>IF($B139="","",IF(AU$3=0,"n.b.",INDEX(SRC_ZPMW03!$A$1:$ZZ$501,$A139,AU$3)))</f>
        <v/>
      </c>
      <c r="AV139" s="124" t="str">
        <f>IF($B139="","",IF(AV$3=0,"n.b.",INDEX(SRC_ZPMW03!$A$1:$ZZ$501,$A139,AV$3)))</f>
        <v/>
      </c>
      <c r="AW139" s="124" t="str">
        <f>IF($B139="","",IF(AW$3=0,"n.b.",INDEX(SRC_ZPMW03!$A$1:$ZZ$501,$A139,AW$3)))</f>
        <v/>
      </c>
      <c r="AX139" s="124" t="str">
        <f>IF($B139="","",IF(AX$3=0,"n.b.",INDEX(SRC_ZPMW03!$A$1:$ZZ$501,$A139,AX$3)))</f>
        <v/>
      </c>
      <c r="AY139" s="124" t="str">
        <f>IF($B139="","",IF(AY$3=0,"n.b.",INDEX(SRC_ZPMW03!$A$1:$ZZ$501,$A139,AY$3)))</f>
        <v/>
      </c>
      <c r="AZ139" s="124" t="str">
        <f>IF($B139="","",IF(AZ$3=0,"n.b.",INDEX(SRC_ZPMW03!$A$1:$ZZ$501,$A139,AZ$3)))</f>
        <v/>
      </c>
      <c r="BA139" s="124" t="str">
        <f>IF($B139="","",IF(BA$3=0,"n.b.",INDEX(SRC_ZPMW03!$A$1:$ZZ$501,$A139,BA$3)))</f>
        <v/>
      </c>
      <c r="BB139" s="124" t="str">
        <f>IF($B139="","",IF(BB$3=0,"n.b.",INDEX(SRC_ZPMW03!$A$1:$ZZ$501,$A139,BB$3)))</f>
        <v/>
      </c>
      <c r="BC139" s="124" t="str">
        <f>IF($B139="","",IF(BC$3=0,"n.b.",INDEX(SRC_ZPMW03!$A$1:$ZZ$501,$A139,BC$3)))</f>
        <v/>
      </c>
      <c r="BD139" s="124" t="str">
        <f>IF($B139="","",IF(BD$3=0,"n.b.",INDEX(SRC_ZPMW03!$A$1:$ZZ$501,$A139,BD$3)))</f>
        <v/>
      </c>
      <c r="BE139" s="124" t="str">
        <f>IF($B139="","",IF(BE$3=0,"n.b.",INDEX(SRC_ZPMW03!$A$1:$ZZ$501,$A139,BE$3)))</f>
        <v/>
      </c>
      <c r="BF139" s="124" t="str">
        <f>IF($B139="","",IF(BF$3=0,"n.b.",INDEX(SRC_ZPMW03!$A$1:$ZZ$501,$A139,BF$3)))</f>
        <v/>
      </c>
      <c r="BG139" t="str">
        <f>IF($B139="","",IF(BG$3=0,"n.b.",INDEX(SRC_ZPMW03!$A$1:$ZZ$501,$A139,BG$3)))</f>
        <v/>
      </c>
      <c r="BH139" t="str">
        <f>IF($B139="","",IF(BH$3=0,"n.b.",INDEX(SRC_ZPMW03!$A$1:$ZZ$501,$A139,BH$3)))</f>
        <v/>
      </c>
      <c r="BI139" t="str">
        <f>IF($B139="","",IF(BI$3=0,"n.b.",INDEX(SRC_ZPMW03!$A$1:$ZZ$501,$A139,BI$3)))</f>
        <v/>
      </c>
      <c r="BJ139" t="str">
        <f>IF($B139="","",IF(BJ$3=0,"n.b.",INDEX(SRC_ZPMW03!$A$1:$ZZ$501,$A139,BJ$3)))</f>
        <v/>
      </c>
      <c r="BK139" s="124" t="str">
        <f>IF($B139="","",IFERROR(-O139,"n.b."))</f>
        <v/>
      </c>
      <c r="BL139" s="124" t="str">
        <f>IF($B139="","",IFERROR(-Q139,"n.b."))</f>
        <v/>
      </c>
      <c r="BM139" s="124" t="str">
        <f>IF($B139="","",IFERROR(-AB139,"n.b."))</f>
        <v/>
      </c>
      <c r="BN139" s="124" t="str">
        <f>IF($B139="","",IFERROR(-AD139,"n.b."))</f>
        <v/>
      </c>
      <c r="BO139" s="124" t="str">
        <f>IF($B139="","",IFERROR(BK139+BM139,"n.b."))</f>
        <v/>
      </c>
      <c r="BP139" s="124" t="str">
        <f>IF($B139="","",IFERROR(BL139+BN139,"n.b."))</f>
        <v/>
      </c>
      <c r="BQ139" s="124" t="str">
        <f>IF($B139="","",IFERROR(-AM139,"n.b."))</f>
        <v/>
      </c>
      <c r="BR139" s="124" t="str">
        <f>IF($B139="","",IFERROR(-AO139,"n.b."))</f>
        <v/>
      </c>
      <c r="BS139" s="124" t="str">
        <f>IF($B139="","",IFERROR(-Z139,"n.b."))</f>
        <v/>
      </c>
      <c r="BT139" s="124" t="str">
        <f>IF($B139="","",IFERROR(-AA139,"n.b."))</f>
        <v/>
      </c>
      <c r="BU139" s="124" t="str">
        <f>IF($B139="","",IFERROR(-AE139,"n.b."))</f>
        <v/>
      </c>
      <c r="BV139" s="124" t="str">
        <f>IF($B139="","",IFERROR(-AF139,"n.b."))</f>
        <v/>
      </c>
      <c r="BW139" s="124" t="str">
        <f>IF($B139="","",IFERROR(-AG139,"n.b."))</f>
        <v/>
      </c>
      <c r="BX139" s="124" t="str">
        <f>IF($B139="","",IFERROR(-AH139,"n.b."))</f>
        <v/>
      </c>
      <c r="BY139" s="124" t="str">
        <f>IF($B139="","",IFERROR(-AI139,"n.b."))</f>
        <v/>
      </c>
      <c r="BZ139" s="124" t="str">
        <f>IF($B139="","",IFERROR(-AJ139,"n.b."))</f>
        <v/>
      </c>
      <c r="CA139" s="124" t="str">
        <f>IF($B139="","",IFERROR(-AK139,"n.b."))</f>
        <v/>
      </c>
      <c r="CB139" s="124" t="str">
        <f>IF($B139="","",IFERROR(-AL139,"n.b."))</f>
        <v/>
      </c>
      <c r="CC139" s="124" t="str">
        <f>IF($B139="","",IFERROR(-AP139,"n.b."))</f>
        <v/>
      </c>
      <c r="CD139" s="124" t="str">
        <f>IF($B139="","",IFERROR(-AQ139,"n.b."))</f>
        <v/>
      </c>
      <c r="CE139" s="124" t="str">
        <f>IF($B139="","",IFERROR(-AR139,"n.b."))</f>
        <v/>
      </c>
      <c r="CF139" s="124" t="str">
        <f>IF($B139="","",IFERROR(-AS139,"n.b."))</f>
        <v/>
      </c>
      <c r="CG139" s="124" t="str">
        <f>IF($B139="","",IFERROR(-AT139,"n.b."))</f>
        <v/>
      </c>
      <c r="CH139" s="124" t="str">
        <f>IF($B139="","",IFERROR(-AU139,"n.b."))</f>
        <v/>
      </c>
      <c r="CI139" s="124" t="str">
        <f>IF($B139="","",IFERROR(-AV139,"n.b."))</f>
        <v/>
      </c>
      <c r="CJ139" s="124" t="str">
        <f>IF($B139="","",IFERROR(-AW139,"n.b."))</f>
        <v/>
      </c>
      <c r="CK139" s="124" t="str">
        <f>IF($B139="","",IFERROR(-AX139,"n.b."))</f>
        <v/>
      </c>
      <c r="CL139" s="124" t="str">
        <f>IF($B139="","",IFERROR(-AY139,"n.b."))</f>
        <v/>
      </c>
      <c r="CM139" s="124" t="str">
        <f>IF($B139="","",IFERROR(-AZ139,"n.b."))</f>
        <v/>
      </c>
      <c r="CN139" s="124" t="str">
        <f>IF($B139="","",IFERROR(-BA139,"n.b."))</f>
        <v/>
      </c>
      <c r="CO139" s="124" t="str">
        <f>IF($B139="","",IFERROR(-BB139,"n.b."))</f>
        <v/>
      </c>
      <c r="CP139" s="124" t="str">
        <f>IF($B139="","",IFERROR(-BC139,"n.b."))</f>
        <v/>
      </c>
      <c r="CQ139" s="124" t="str">
        <f>IF($B139="","",IFERROR(-BD139,"n.b."))</f>
        <v/>
      </c>
      <c r="CR139" s="124" t="str">
        <f>IF($B139="","",IFERROR(-BE139,"n.b."))</f>
        <v/>
      </c>
      <c r="CS139" s="124" t="str">
        <f>IF($B139="","",IFERROR(IF(OR(ABS(T139+V139+X139+Z139-AB139)&gt;P_Tol,ABS(U139+W139+Y139+AA139-AD139)&gt;P_Tol,ABS(AE139+AG139+AI139+AK139-AM139)&gt;P_Tol,ABS(AF139+AH139+AJ139+AL139-AO139)&gt;P_Tol),1,0),1))</f>
        <v/>
      </c>
      <c r="CT139" s="124" t="str">
        <f>IF($B139="","",IFERROR(IF(OR(ABS(AB139+AC139-AD139)&gt;P_Tol,ABS(AM139+AN139-AO139)&gt;P_Tol,ABS(O139+P139-Q139)&gt;P_Tol),1,0),1))</f>
        <v/>
      </c>
      <c r="CU139" s="124" t="str">
        <f>IF($B139="","",IFERROR(IF(ABS(R139-(AB139+AM139+AP139+AR139+AT139+AV139+AX139+AZ139+BB139+BD139))&gt;P_Tol,1,0),1))</f>
        <v/>
      </c>
      <c r="CV139" s="124" t="str">
        <f>IF($B139="","",IFERROR(IF(ABS(M139-(N139+O139+R139))&gt;P_Tol,1,0),1))</f>
        <v/>
      </c>
      <c r="CW139" s="124" t="str">
        <f>IF($B139="","",IF(COUNTIF(Mapping!$A$5:$A$104,B139)&gt;0,1,0))</f>
        <v/>
      </c>
      <c r="CX139" s="124" t="str">
        <f>IF($B139="","",COUNTIF($B$6:$B$505,B139))</f>
        <v/>
      </c>
      <c r="CY139" s="124" t="str">
        <f>IF($B139="","",COUNTIF(STG_Woningetalage!$B$6:$B$505,B139))</f>
        <v/>
      </c>
      <c r="CZ139" s="124" t="str">
        <f>IF($B139="","",IF(CW139=0,COUNTIF($CW$6:CW139,0),""))</f>
        <v/>
      </c>
    </row>
    <row r="140">
      <c r="A140" s="15" t="n">
        <v>136</v>
      </c>
      <c r="B140" t="str">
        <f>IF(B$3=0,"",IF(INDEX(SRC_ZPMW03!$A$1:$ZZ$501,$A140,B$3)&amp;""="","",INDEX(SRC_ZPMW03!$A$1:$ZZ$501,$A140,B$3)&amp;""))</f>
        <v/>
      </c>
      <c r="C140" t="str">
        <f>IF($B140="","",IF(C$3=0,"n.b.",INDEX(SRC_ZPMW03!$A$1:$ZZ$501,$A140,C$3)))</f>
        <v/>
      </c>
      <c r="D140" t="str">
        <f>IF($B140="","",IF(D$3=0,"n.b.",INDEX(SRC_ZPMW03!$A$1:$ZZ$501,$A140,D$3)))</f>
        <v/>
      </c>
      <c r="E140" t="str">
        <f>IF($B140="","",IF(E$3=0,"n.b.",INDEX(SRC_ZPMW03!$A$1:$ZZ$501,$A140,E$3)))</f>
        <v/>
      </c>
      <c r="F140" t="str">
        <f>IF($B140="","",IF(F$3=0,"n.b.",INDEX(SRC_ZPMW03!$A$1:$ZZ$501,$A140,F$3)))</f>
        <v/>
      </c>
      <c r="G140" t="str">
        <f>IF($B140="","",IF(G$3=0,"n.b.",INDEX(SRC_ZPMW03!$A$1:$ZZ$501,$A140,G$3)))</f>
        <v/>
      </c>
      <c r="H140" t="str">
        <f>IF($B140="","",IF(H$3=0,"n.b.",INDEX(SRC_ZPMW03!$A$1:$ZZ$501,$A140,H$3)))</f>
        <v/>
      </c>
      <c r="I140" t="str">
        <f>IF($B140="","",IF(I$3=0,"n.b.",INDEX(SRC_ZPMW03!$A$1:$ZZ$501,$A140,I$3)))</f>
        <v/>
      </c>
      <c r="J140" t="str">
        <f>IF($B140="","",IF(J$3=0,"n.b.",INDEX(SRC_ZPMW03!$A$1:$ZZ$501,$A140,J$3)))</f>
        <v/>
      </c>
      <c r="K140" t="str">
        <f>IF($B140="","",IF(K$3=0,"n.b.",INDEX(SRC_ZPMW03!$A$1:$ZZ$501,$A140,K$3)))</f>
        <v/>
      </c>
      <c r="L140" s="124" t="str">
        <f>IF($B140="","",IF(L$3=0,"n.b.",INDEX(SRC_ZPMW03!$A$1:$ZZ$501,$A140,L$3)))</f>
        <v/>
      </c>
      <c r="M140" s="124" t="str">
        <f>IF($B140="","",IF(M$3=0,"n.b.",INDEX(SRC_ZPMW03!$A$1:$ZZ$501,$A140,M$3)))</f>
        <v/>
      </c>
      <c r="N140" s="124" t="str">
        <f>IF($B140="","",IF(N$3=0,"n.b.",INDEX(SRC_ZPMW03!$A$1:$ZZ$501,$A140,N$3)))</f>
        <v/>
      </c>
      <c r="O140" s="124" t="str">
        <f>IF($B140="","",IF(O$3=0,"n.b.",INDEX(SRC_ZPMW03!$A$1:$ZZ$501,$A140,O$3)))</f>
        <v/>
      </c>
      <c r="P140" s="124" t="str">
        <f>IF($B140="","",IF(P$3=0,"n.b.",INDEX(SRC_ZPMW03!$A$1:$ZZ$501,$A140,P$3)))</f>
        <v/>
      </c>
      <c r="Q140" s="124" t="str">
        <f>IF($B140="","",IF(Q$3=0,"n.b.",INDEX(SRC_ZPMW03!$A$1:$ZZ$501,$A140,Q$3)))</f>
        <v/>
      </c>
      <c r="R140" s="124" t="str">
        <f>IF($B140="","",IF(R$3=0,"n.b.",INDEX(SRC_ZPMW03!$A$1:$ZZ$501,$A140,R$3)))</f>
        <v/>
      </c>
      <c r="S140" s="124" t="str">
        <f>IF($B140="","",IF(S$3=0,"n.b.",INDEX(SRC_ZPMW03!$A$1:$ZZ$501,$A140,S$3)))</f>
        <v/>
      </c>
      <c r="T140" s="124" t="str">
        <f>IF($B140="","",IF(T$3=0,"n.b.",INDEX(SRC_ZPMW03!$A$1:$ZZ$501,$A140,T$3)))</f>
        <v/>
      </c>
      <c r="U140" s="124" t="str">
        <f>IF($B140="","",IF(U$3=0,"n.b.",INDEX(SRC_ZPMW03!$A$1:$ZZ$501,$A140,U$3)))</f>
        <v/>
      </c>
      <c r="V140" s="124" t="str">
        <f>IF($B140="","",IF(V$3=0,"n.b.",INDEX(SRC_ZPMW03!$A$1:$ZZ$501,$A140,V$3)))</f>
        <v/>
      </c>
      <c r="W140" s="124" t="str">
        <f>IF($B140="","",IF(W$3=0,"n.b.",INDEX(SRC_ZPMW03!$A$1:$ZZ$501,$A140,W$3)))</f>
        <v/>
      </c>
      <c r="X140" s="124" t="str">
        <f>IF($B140="","",IF(X$3=0,"n.b.",INDEX(SRC_ZPMW03!$A$1:$ZZ$501,$A140,X$3)))</f>
        <v/>
      </c>
      <c r="Y140" s="124" t="str">
        <f>IF($B140="","",IF(Y$3=0,"n.b.",INDEX(SRC_ZPMW03!$A$1:$ZZ$501,$A140,Y$3)))</f>
        <v/>
      </c>
      <c r="Z140" s="124" t="str">
        <f>IF($B140="","",IF(Z$3=0,"n.b.",INDEX(SRC_ZPMW03!$A$1:$ZZ$501,$A140,Z$3)))</f>
        <v/>
      </c>
      <c r="AA140" s="124" t="str">
        <f>IF($B140="","",IF(AA$3=0,"n.b.",INDEX(SRC_ZPMW03!$A$1:$ZZ$501,$A140,AA$3)))</f>
        <v/>
      </c>
      <c r="AB140" s="124" t="str">
        <f>IF($B140="","",IF(AB$3=0,"n.b.",INDEX(SRC_ZPMW03!$A$1:$ZZ$501,$A140,AB$3)))</f>
        <v/>
      </c>
      <c r="AC140" s="124" t="str">
        <f>IF($B140="","",IF(AC$3=0,"n.b.",INDEX(SRC_ZPMW03!$A$1:$ZZ$501,$A140,AC$3)))</f>
        <v/>
      </c>
      <c r="AD140" s="124" t="str">
        <f>IF($B140="","",IF(AD$3=0,"n.b.",INDEX(SRC_ZPMW03!$A$1:$ZZ$501,$A140,AD$3)))</f>
        <v/>
      </c>
      <c r="AE140" s="124" t="str">
        <f>IF($B140="","",IF(AE$3=0,"n.b.",INDEX(SRC_ZPMW03!$A$1:$ZZ$501,$A140,AE$3)))</f>
        <v/>
      </c>
      <c r="AF140" s="124" t="str">
        <f>IF($B140="","",IF(AF$3=0,"n.b.",INDEX(SRC_ZPMW03!$A$1:$ZZ$501,$A140,AF$3)))</f>
        <v/>
      </c>
      <c r="AG140" s="124" t="str">
        <f>IF($B140="","",IF(AG$3=0,"n.b.",INDEX(SRC_ZPMW03!$A$1:$ZZ$501,$A140,AG$3)))</f>
        <v/>
      </c>
      <c r="AH140" s="124" t="str">
        <f>IF($B140="","",IF(AH$3=0,"n.b.",INDEX(SRC_ZPMW03!$A$1:$ZZ$501,$A140,AH$3)))</f>
        <v/>
      </c>
      <c r="AI140" s="124" t="str">
        <f>IF($B140="","",IF(AI$3=0,"n.b.",INDEX(SRC_ZPMW03!$A$1:$ZZ$501,$A140,AI$3)))</f>
        <v/>
      </c>
      <c r="AJ140" s="124" t="str">
        <f>IF($B140="","",IF(AJ$3=0,"n.b.",INDEX(SRC_ZPMW03!$A$1:$ZZ$501,$A140,AJ$3)))</f>
        <v/>
      </c>
      <c r="AK140" s="124" t="str">
        <f>IF($B140="","",IF(AK$3=0,"n.b.",INDEX(SRC_ZPMW03!$A$1:$ZZ$501,$A140,AK$3)))</f>
        <v/>
      </c>
      <c r="AL140" s="124" t="str">
        <f>IF($B140="","",IF(AL$3=0,"n.b.",INDEX(SRC_ZPMW03!$A$1:$ZZ$501,$A140,AL$3)))</f>
        <v/>
      </c>
      <c r="AM140" s="124" t="str">
        <f>IF($B140="","",IF(AM$3=0,"n.b.",INDEX(SRC_ZPMW03!$A$1:$ZZ$501,$A140,AM$3)))</f>
        <v/>
      </c>
      <c r="AN140" s="124" t="str">
        <f>IF($B140="","",IF(AN$3=0,"n.b.",INDEX(SRC_ZPMW03!$A$1:$ZZ$501,$A140,AN$3)))</f>
        <v/>
      </c>
      <c r="AO140" s="124" t="str">
        <f>IF($B140="","",IF(AO$3=0,"n.b.",INDEX(SRC_ZPMW03!$A$1:$ZZ$501,$A140,AO$3)))</f>
        <v/>
      </c>
      <c r="AP140" s="124" t="str">
        <f>IF($B140="","",IF(AP$3=0,"n.b.",INDEX(SRC_ZPMW03!$A$1:$ZZ$501,$A140,AP$3)))</f>
        <v/>
      </c>
      <c r="AQ140" s="124" t="str">
        <f>IF($B140="","",IF(AQ$3=0,"n.b.",INDEX(SRC_ZPMW03!$A$1:$ZZ$501,$A140,AQ$3)))</f>
        <v/>
      </c>
      <c r="AR140" s="124" t="str">
        <f>IF($B140="","",IF(AR$3=0,"n.b.",INDEX(SRC_ZPMW03!$A$1:$ZZ$501,$A140,AR$3)))</f>
        <v/>
      </c>
      <c r="AS140" s="124" t="str">
        <f>IF($B140="","",IF(AS$3=0,"n.b.",INDEX(SRC_ZPMW03!$A$1:$ZZ$501,$A140,AS$3)))</f>
        <v/>
      </c>
      <c r="AT140" s="124" t="str">
        <f>IF($B140="","",IF(AT$3=0,"n.b.",INDEX(SRC_ZPMW03!$A$1:$ZZ$501,$A140,AT$3)))</f>
        <v/>
      </c>
      <c r="AU140" s="124" t="str">
        <f>IF($B140="","",IF(AU$3=0,"n.b.",INDEX(SRC_ZPMW03!$A$1:$ZZ$501,$A140,AU$3)))</f>
        <v/>
      </c>
      <c r="AV140" s="124" t="str">
        <f>IF($B140="","",IF(AV$3=0,"n.b.",INDEX(SRC_ZPMW03!$A$1:$ZZ$501,$A140,AV$3)))</f>
        <v/>
      </c>
      <c r="AW140" s="124" t="str">
        <f>IF($B140="","",IF(AW$3=0,"n.b.",INDEX(SRC_ZPMW03!$A$1:$ZZ$501,$A140,AW$3)))</f>
        <v/>
      </c>
      <c r="AX140" s="124" t="str">
        <f>IF($B140="","",IF(AX$3=0,"n.b.",INDEX(SRC_ZPMW03!$A$1:$ZZ$501,$A140,AX$3)))</f>
        <v/>
      </c>
      <c r="AY140" s="124" t="str">
        <f>IF($B140="","",IF(AY$3=0,"n.b.",INDEX(SRC_ZPMW03!$A$1:$ZZ$501,$A140,AY$3)))</f>
        <v/>
      </c>
      <c r="AZ140" s="124" t="str">
        <f>IF($B140="","",IF(AZ$3=0,"n.b.",INDEX(SRC_ZPMW03!$A$1:$ZZ$501,$A140,AZ$3)))</f>
        <v/>
      </c>
      <c r="BA140" s="124" t="str">
        <f>IF($B140="","",IF(BA$3=0,"n.b.",INDEX(SRC_ZPMW03!$A$1:$ZZ$501,$A140,BA$3)))</f>
        <v/>
      </c>
      <c r="BB140" s="124" t="str">
        <f>IF($B140="","",IF(BB$3=0,"n.b.",INDEX(SRC_ZPMW03!$A$1:$ZZ$501,$A140,BB$3)))</f>
        <v/>
      </c>
      <c r="BC140" s="124" t="str">
        <f>IF($B140="","",IF(BC$3=0,"n.b.",INDEX(SRC_ZPMW03!$A$1:$ZZ$501,$A140,BC$3)))</f>
        <v/>
      </c>
      <c r="BD140" s="124" t="str">
        <f>IF($B140="","",IF(BD$3=0,"n.b.",INDEX(SRC_ZPMW03!$A$1:$ZZ$501,$A140,BD$3)))</f>
        <v/>
      </c>
      <c r="BE140" s="124" t="str">
        <f>IF($B140="","",IF(BE$3=0,"n.b.",INDEX(SRC_ZPMW03!$A$1:$ZZ$501,$A140,BE$3)))</f>
        <v/>
      </c>
      <c r="BF140" s="124" t="str">
        <f>IF($B140="","",IF(BF$3=0,"n.b.",INDEX(SRC_ZPMW03!$A$1:$ZZ$501,$A140,BF$3)))</f>
        <v/>
      </c>
      <c r="BG140" t="str">
        <f>IF($B140="","",IF(BG$3=0,"n.b.",INDEX(SRC_ZPMW03!$A$1:$ZZ$501,$A140,BG$3)))</f>
        <v/>
      </c>
      <c r="BH140" t="str">
        <f>IF($B140="","",IF(BH$3=0,"n.b.",INDEX(SRC_ZPMW03!$A$1:$ZZ$501,$A140,BH$3)))</f>
        <v/>
      </c>
      <c r="BI140" t="str">
        <f>IF($B140="","",IF(BI$3=0,"n.b.",INDEX(SRC_ZPMW03!$A$1:$ZZ$501,$A140,BI$3)))</f>
        <v/>
      </c>
      <c r="BJ140" t="str">
        <f>IF($B140="","",IF(BJ$3=0,"n.b.",INDEX(SRC_ZPMW03!$A$1:$ZZ$501,$A140,BJ$3)))</f>
        <v/>
      </c>
      <c r="BK140" s="124" t="str">
        <f>IF($B140="","",IFERROR(-O140,"n.b."))</f>
        <v/>
      </c>
      <c r="BL140" s="124" t="str">
        <f>IF($B140="","",IFERROR(-Q140,"n.b."))</f>
        <v/>
      </c>
      <c r="BM140" s="124" t="str">
        <f>IF($B140="","",IFERROR(-AB140,"n.b."))</f>
        <v/>
      </c>
      <c r="BN140" s="124" t="str">
        <f>IF($B140="","",IFERROR(-AD140,"n.b."))</f>
        <v/>
      </c>
      <c r="BO140" s="124" t="str">
        <f>IF($B140="","",IFERROR(BK140+BM140,"n.b."))</f>
        <v/>
      </c>
      <c r="BP140" s="124" t="str">
        <f>IF($B140="","",IFERROR(BL140+BN140,"n.b."))</f>
        <v/>
      </c>
      <c r="BQ140" s="124" t="str">
        <f>IF($B140="","",IFERROR(-AM140,"n.b."))</f>
        <v/>
      </c>
      <c r="BR140" s="124" t="str">
        <f>IF($B140="","",IFERROR(-AO140,"n.b."))</f>
        <v/>
      </c>
      <c r="BS140" s="124" t="str">
        <f>IF($B140="","",IFERROR(-Z140,"n.b."))</f>
        <v/>
      </c>
      <c r="BT140" s="124" t="str">
        <f>IF($B140="","",IFERROR(-AA140,"n.b."))</f>
        <v/>
      </c>
      <c r="BU140" s="124" t="str">
        <f>IF($B140="","",IFERROR(-AE140,"n.b."))</f>
        <v/>
      </c>
      <c r="BV140" s="124" t="str">
        <f>IF($B140="","",IFERROR(-AF140,"n.b."))</f>
        <v/>
      </c>
      <c r="BW140" s="124" t="str">
        <f>IF($B140="","",IFERROR(-AG140,"n.b."))</f>
        <v/>
      </c>
      <c r="BX140" s="124" t="str">
        <f>IF($B140="","",IFERROR(-AH140,"n.b."))</f>
        <v/>
      </c>
      <c r="BY140" s="124" t="str">
        <f>IF($B140="","",IFERROR(-AI140,"n.b."))</f>
        <v/>
      </c>
      <c r="BZ140" s="124" t="str">
        <f>IF($B140="","",IFERROR(-AJ140,"n.b."))</f>
        <v/>
      </c>
      <c r="CA140" s="124" t="str">
        <f>IF($B140="","",IFERROR(-AK140,"n.b."))</f>
        <v/>
      </c>
      <c r="CB140" s="124" t="str">
        <f>IF($B140="","",IFERROR(-AL140,"n.b."))</f>
        <v/>
      </c>
      <c r="CC140" s="124" t="str">
        <f>IF($B140="","",IFERROR(-AP140,"n.b."))</f>
        <v/>
      </c>
      <c r="CD140" s="124" t="str">
        <f>IF($B140="","",IFERROR(-AQ140,"n.b."))</f>
        <v/>
      </c>
      <c r="CE140" s="124" t="str">
        <f>IF($B140="","",IFERROR(-AR140,"n.b."))</f>
        <v/>
      </c>
      <c r="CF140" s="124" t="str">
        <f>IF($B140="","",IFERROR(-AS140,"n.b."))</f>
        <v/>
      </c>
      <c r="CG140" s="124" t="str">
        <f>IF($B140="","",IFERROR(-AT140,"n.b."))</f>
        <v/>
      </c>
      <c r="CH140" s="124" t="str">
        <f>IF($B140="","",IFERROR(-AU140,"n.b."))</f>
        <v/>
      </c>
      <c r="CI140" s="124" t="str">
        <f>IF($B140="","",IFERROR(-AV140,"n.b."))</f>
        <v/>
      </c>
      <c r="CJ140" s="124" t="str">
        <f>IF($B140="","",IFERROR(-AW140,"n.b."))</f>
        <v/>
      </c>
      <c r="CK140" s="124" t="str">
        <f>IF($B140="","",IFERROR(-AX140,"n.b."))</f>
        <v/>
      </c>
      <c r="CL140" s="124" t="str">
        <f>IF($B140="","",IFERROR(-AY140,"n.b."))</f>
        <v/>
      </c>
      <c r="CM140" s="124" t="str">
        <f>IF($B140="","",IFERROR(-AZ140,"n.b."))</f>
        <v/>
      </c>
      <c r="CN140" s="124" t="str">
        <f>IF($B140="","",IFERROR(-BA140,"n.b."))</f>
        <v/>
      </c>
      <c r="CO140" s="124" t="str">
        <f>IF($B140="","",IFERROR(-BB140,"n.b."))</f>
        <v/>
      </c>
      <c r="CP140" s="124" t="str">
        <f>IF($B140="","",IFERROR(-BC140,"n.b."))</f>
        <v/>
      </c>
      <c r="CQ140" s="124" t="str">
        <f>IF($B140="","",IFERROR(-BD140,"n.b."))</f>
        <v/>
      </c>
      <c r="CR140" s="124" t="str">
        <f>IF($B140="","",IFERROR(-BE140,"n.b."))</f>
        <v/>
      </c>
      <c r="CS140" s="124" t="str">
        <f>IF($B140="","",IFERROR(IF(OR(ABS(T140+V140+X140+Z140-AB140)&gt;P_Tol,ABS(U140+W140+Y140+AA140-AD140)&gt;P_Tol,ABS(AE140+AG140+AI140+AK140-AM140)&gt;P_Tol,ABS(AF140+AH140+AJ140+AL140-AO140)&gt;P_Tol),1,0),1))</f>
        <v/>
      </c>
      <c r="CT140" s="124" t="str">
        <f>IF($B140="","",IFERROR(IF(OR(ABS(AB140+AC140-AD140)&gt;P_Tol,ABS(AM140+AN140-AO140)&gt;P_Tol,ABS(O140+P140-Q140)&gt;P_Tol),1,0),1))</f>
        <v/>
      </c>
      <c r="CU140" s="124" t="str">
        <f>IF($B140="","",IFERROR(IF(ABS(R140-(AB140+AM140+AP140+AR140+AT140+AV140+AX140+AZ140+BB140+BD140))&gt;P_Tol,1,0),1))</f>
        <v/>
      </c>
      <c r="CV140" s="124" t="str">
        <f>IF($B140="","",IFERROR(IF(ABS(M140-(N140+O140+R140))&gt;P_Tol,1,0),1))</f>
        <v/>
      </c>
      <c r="CW140" s="124" t="str">
        <f>IF($B140="","",IF(COUNTIF(Mapping!$A$5:$A$104,B140)&gt;0,1,0))</f>
        <v/>
      </c>
      <c r="CX140" s="124" t="str">
        <f>IF($B140="","",COUNTIF($B$6:$B$505,B140))</f>
        <v/>
      </c>
      <c r="CY140" s="124" t="str">
        <f>IF($B140="","",COUNTIF(STG_Woningetalage!$B$6:$B$505,B140))</f>
        <v/>
      </c>
      <c r="CZ140" s="124" t="str">
        <f>IF($B140="","",IF(CW140=0,COUNTIF($CW$6:CW140,0),""))</f>
        <v/>
      </c>
    </row>
    <row r="141">
      <c r="A141" s="15" t="n">
        <v>137</v>
      </c>
      <c r="B141" t="str">
        <f>IF(B$3=0,"",IF(INDEX(SRC_ZPMW03!$A$1:$ZZ$501,$A141,B$3)&amp;""="","",INDEX(SRC_ZPMW03!$A$1:$ZZ$501,$A141,B$3)&amp;""))</f>
        <v/>
      </c>
      <c r="C141" t="str">
        <f>IF($B141="","",IF(C$3=0,"n.b.",INDEX(SRC_ZPMW03!$A$1:$ZZ$501,$A141,C$3)))</f>
        <v/>
      </c>
      <c r="D141" t="str">
        <f>IF($B141="","",IF(D$3=0,"n.b.",INDEX(SRC_ZPMW03!$A$1:$ZZ$501,$A141,D$3)))</f>
        <v/>
      </c>
      <c r="E141" t="str">
        <f>IF($B141="","",IF(E$3=0,"n.b.",INDEX(SRC_ZPMW03!$A$1:$ZZ$501,$A141,E$3)))</f>
        <v/>
      </c>
      <c r="F141" t="str">
        <f>IF($B141="","",IF(F$3=0,"n.b.",INDEX(SRC_ZPMW03!$A$1:$ZZ$501,$A141,F$3)))</f>
        <v/>
      </c>
      <c r="G141" t="str">
        <f>IF($B141="","",IF(G$3=0,"n.b.",INDEX(SRC_ZPMW03!$A$1:$ZZ$501,$A141,G$3)))</f>
        <v/>
      </c>
      <c r="H141" t="str">
        <f>IF($B141="","",IF(H$3=0,"n.b.",INDEX(SRC_ZPMW03!$A$1:$ZZ$501,$A141,H$3)))</f>
        <v/>
      </c>
      <c r="I141" t="str">
        <f>IF($B141="","",IF(I$3=0,"n.b.",INDEX(SRC_ZPMW03!$A$1:$ZZ$501,$A141,I$3)))</f>
        <v/>
      </c>
      <c r="J141" t="str">
        <f>IF($B141="","",IF(J$3=0,"n.b.",INDEX(SRC_ZPMW03!$A$1:$ZZ$501,$A141,J$3)))</f>
        <v/>
      </c>
      <c r="K141" t="str">
        <f>IF($B141="","",IF(K$3=0,"n.b.",INDEX(SRC_ZPMW03!$A$1:$ZZ$501,$A141,K$3)))</f>
        <v/>
      </c>
      <c r="L141" s="124" t="str">
        <f>IF($B141="","",IF(L$3=0,"n.b.",INDEX(SRC_ZPMW03!$A$1:$ZZ$501,$A141,L$3)))</f>
        <v/>
      </c>
      <c r="M141" s="124" t="str">
        <f>IF($B141="","",IF(M$3=0,"n.b.",INDEX(SRC_ZPMW03!$A$1:$ZZ$501,$A141,M$3)))</f>
        <v/>
      </c>
      <c r="N141" s="124" t="str">
        <f>IF($B141="","",IF(N$3=0,"n.b.",INDEX(SRC_ZPMW03!$A$1:$ZZ$501,$A141,N$3)))</f>
        <v/>
      </c>
      <c r="O141" s="124" t="str">
        <f>IF($B141="","",IF(O$3=0,"n.b.",INDEX(SRC_ZPMW03!$A$1:$ZZ$501,$A141,O$3)))</f>
        <v/>
      </c>
      <c r="P141" s="124" t="str">
        <f>IF($B141="","",IF(P$3=0,"n.b.",INDEX(SRC_ZPMW03!$A$1:$ZZ$501,$A141,P$3)))</f>
        <v/>
      </c>
      <c r="Q141" s="124" t="str">
        <f>IF($B141="","",IF(Q$3=0,"n.b.",INDEX(SRC_ZPMW03!$A$1:$ZZ$501,$A141,Q$3)))</f>
        <v/>
      </c>
      <c r="R141" s="124" t="str">
        <f>IF($B141="","",IF(R$3=0,"n.b.",INDEX(SRC_ZPMW03!$A$1:$ZZ$501,$A141,R$3)))</f>
        <v/>
      </c>
      <c r="S141" s="124" t="str">
        <f>IF($B141="","",IF(S$3=0,"n.b.",INDEX(SRC_ZPMW03!$A$1:$ZZ$501,$A141,S$3)))</f>
        <v/>
      </c>
      <c r="T141" s="124" t="str">
        <f>IF($B141="","",IF(T$3=0,"n.b.",INDEX(SRC_ZPMW03!$A$1:$ZZ$501,$A141,T$3)))</f>
        <v/>
      </c>
      <c r="U141" s="124" t="str">
        <f>IF($B141="","",IF(U$3=0,"n.b.",INDEX(SRC_ZPMW03!$A$1:$ZZ$501,$A141,U$3)))</f>
        <v/>
      </c>
      <c r="V141" s="124" t="str">
        <f>IF($B141="","",IF(V$3=0,"n.b.",INDEX(SRC_ZPMW03!$A$1:$ZZ$501,$A141,V$3)))</f>
        <v/>
      </c>
      <c r="W141" s="124" t="str">
        <f>IF($B141="","",IF(W$3=0,"n.b.",INDEX(SRC_ZPMW03!$A$1:$ZZ$501,$A141,W$3)))</f>
        <v/>
      </c>
      <c r="X141" s="124" t="str">
        <f>IF($B141="","",IF(X$3=0,"n.b.",INDEX(SRC_ZPMW03!$A$1:$ZZ$501,$A141,X$3)))</f>
        <v/>
      </c>
      <c r="Y141" s="124" t="str">
        <f>IF($B141="","",IF(Y$3=0,"n.b.",INDEX(SRC_ZPMW03!$A$1:$ZZ$501,$A141,Y$3)))</f>
        <v/>
      </c>
      <c r="Z141" s="124" t="str">
        <f>IF($B141="","",IF(Z$3=0,"n.b.",INDEX(SRC_ZPMW03!$A$1:$ZZ$501,$A141,Z$3)))</f>
        <v/>
      </c>
      <c r="AA141" s="124" t="str">
        <f>IF($B141="","",IF(AA$3=0,"n.b.",INDEX(SRC_ZPMW03!$A$1:$ZZ$501,$A141,AA$3)))</f>
        <v/>
      </c>
      <c r="AB141" s="124" t="str">
        <f>IF($B141="","",IF(AB$3=0,"n.b.",INDEX(SRC_ZPMW03!$A$1:$ZZ$501,$A141,AB$3)))</f>
        <v/>
      </c>
      <c r="AC141" s="124" t="str">
        <f>IF($B141="","",IF(AC$3=0,"n.b.",INDEX(SRC_ZPMW03!$A$1:$ZZ$501,$A141,AC$3)))</f>
        <v/>
      </c>
      <c r="AD141" s="124" t="str">
        <f>IF($B141="","",IF(AD$3=0,"n.b.",INDEX(SRC_ZPMW03!$A$1:$ZZ$501,$A141,AD$3)))</f>
        <v/>
      </c>
      <c r="AE141" s="124" t="str">
        <f>IF($B141="","",IF(AE$3=0,"n.b.",INDEX(SRC_ZPMW03!$A$1:$ZZ$501,$A141,AE$3)))</f>
        <v/>
      </c>
      <c r="AF141" s="124" t="str">
        <f>IF($B141="","",IF(AF$3=0,"n.b.",INDEX(SRC_ZPMW03!$A$1:$ZZ$501,$A141,AF$3)))</f>
        <v/>
      </c>
      <c r="AG141" s="124" t="str">
        <f>IF($B141="","",IF(AG$3=0,"n.b.",INDEX(SRC_ZPMW03!$A$1:$ZZ$501,$A141,AG$3)))</f>
        <v/>
      </c>
      <c r="AH141" s="124" t="str">
        <f>IF($B141="","",IF(AH$3=0,"n.b.",INDEX(SRC_ZPMW03!$A$1:$ZZ$501,$A141,AH$3)))</f>
        <v/>
      </c>
      <c r="AI141" s="124" t="str">
        <f>IF($B141="","",IF(AI$3=0,"n.b.",INDEX(SRC_ZPMW03!$A$1:$ZZ$501,$A141,AI$3)))</f>
        <v/>
      </c>
      <c r="AJ141" s="124" t="str">
        <f>IF($B141="","",IF(AJ$3=0,"n.b.",INDEX(SRC_ZPMW03!$A$1:$ZZ$501,$A141,AJ$3)))</f>
        <v/>
      </c>
      <c r="AK141" s="124" t="str">
        <f>IF($B141="","",IF(AK$3=0,"n.b.",INDEX(SRC_ZPMW03!$A$1:$ZZ$501,$A141,AK$3)))</f>
        <v/>
      </c>
      <c r="AL141" s="124" t="str">
        <f>IF($B141="","",IF(AL$3=0,"n.b.",INDEX(SRC_ZPMW03!$A$1:$ZZ$501,$A141,AL$3)))</f>
        <v/>
      </c>
      <c r="AM141" s="124" t="str">
        <f>IF($B141="","",IF(AM$3=0,"n.b.",INDEX(SRC_ZPMW03!$A$1:$ZZ$501,$A141,AM$3)))</f>
        <v/>
      </c>
      <c r="AN141" s="124" t="str">
        <f>IF($B141="","",IF(AN$3=0,"n.b.",INDEX(SRC_ZPMW03!$A$1:$ZZ$501,$A141,AN$3)))</f>
        <v/>
      </c>
      <c r="AO141" s="124" t="str">
        <f>IF($B141="","",IF(AO$3=0,"n.b.",INDEX(SRC_ZPMW03!$A$1:$ZZ$501,$A141,AO$3)))</f>
        <v/>
      </c>
      <c r="AP141" s="124" t="str">
        <f>IF($B141="","",IF(AP$3=0,"n.b.",INDEX(SRC_ZPMW03!$A$1:$ZZ$501,$A141,AP$3)))</f>
        <v/>
      </c>
      <c r="AQ141" s="124" t="str">
        <f>IF($B141="","",IF(AQ$3=0,"n.b.",INDEX(SRC_ZPMW03!$A$1:$ZZ$501,$A141,AQ$3)))</f>
        <v/>
      </c>
      <c r="AR141" s="124" t="str">
        <f>IF($B141="","",IF(AR$3=0,"n.b.",INDEX(SRC_ZPMW03!$A$1:$ZZ$501,$A141,AR$3)))</f>
        <v/>
      </c>
      <c r="AS141" s="124" t="str">
        <f>IF($B141="","",IF(AS$3=0,"n.b.",INDEX(SRC_ZPMW03!$A$1:$ZZ$501,$A141,AS$3)))</f>
        <v/>
      </c>
      <c r="AT141" s="124" t="str">
        <f>IF($B141="","",IF(AT$3=0,"n.b.",INDEX(SRC_ZPMW03!$A$1:$ZZ$501,$A141,AT$3)))</f>
        <v/>
      </c>
      <c r="AU141" s="124" t="str">
        <f>IF($B141="","",IF(AU$3=0,"n.b.",INDEX(SRC_ZPMW03!$A$1:$ZZ$501,$A141,AU$3)))</f>
        <v/>
      </c>
      <c r="AV141" s="124" t="str">
        <f>IF($B141="","",IF(AV$3=0,"n.b.",INDEX(SRC_ZPMW03!$A$1:$ZZ$501,$A141,AV$3)))</f>
        <v/>
      </c>
      <c r="AW141" s="124" t="str">
        <f>IF($B141="","",IF(AW$3=0,"n.b.",INDEX(SRC_ZPMW03!$A$1:$ZZ$501,$A141,AW$3)))</f>
        <v/>
      </c>
      <c r="AX141" s="124" t="str">
        <f>IF($B141="","",IF(AX$3=0,"n.b.",INDEX(SRC_ZPMW03!$A$1:$ZZ$501,$A141,AX$3)))</f>
        <v/>
      </c>
      <c r="AY141" s="124" t="str">
        <f>IF($B141="","",IF(AY$3=0,"n.b.",INDEX(SRC_ZPMW03!$A$1:$ZZ$501,$A141,AY$3)))</f>
        <v/>
      </c>
      <c r="AZ141" s="124" t="str">
        <f>IF($B141="","",IF(AZ$3=0,"n.b.",INDEX(SRC_ZPMW03!$A$1:$ZZ$501,$A141,AZ$3)))</f>
        <v/>
      </c>
      <c r="BA141" s="124" t="str">
        <f>IF($B141="","",IF(BA$3=0,"n.b.",INDEX(SRC_ZPMW03!$A$1:$ZZ$501,$A141,BA$3)))</f>
        <v/>
      </c>
      <c r="BB141" s="124" t="str">
        <f>IF($B141="","",IF(BB$3=0,"n.b.",INDEX(SRC_ZPMW03!$A$1:$ZZ$501,$A141,BB$3)))</f>
        <v/>
      </c>
      <c r="BC141" s="124" t="str">
        <f>IF($B141="","",IF(BC$3=0,"n.b.",INDEX(SRC_ZPMW03!$A$1:$ZZ$501,$A141,BC$3)))</f>
        <v/>
      </c>
      <c r="BD141" s="124" t="str">
        <f>IF($B141="","",IF(BD$3=0,"n.b.",INDEX(SRC_ZPMW03!$A$1:$ZZ$501,$A141,BD$3)))</f>
        <v/>
      </c>
      <c r="BE141" s="124" t="str">
        <f>IF($B141="","",IF(BE$3=0,"n.b.",INDEX(SRC_ZPMW03!$A$1:$ZZ$501,$A141,BE$3)))</f>
        <v/>
      </c>
      <c r="BF141" s="124" t="str">
        <f>IF($B141="","",IF(BF$3=0,"n.b.",INDEX(SRC_ZPMW03!$A$1:$ZZ$501,$A141,BF$3)))</f>
        <v/>
      </c>
      <c r="BG141" t="str">
        <f>IF($B141="","",IF(BG$3=0,"n.b.",INDEX(SRC_ZPMW03!$A$1:$ZZ$501,$A141,BG$3)))</f>
        <v/>
      </c>
      <c r="BH141" t="str">
        <f>IF($B141="","",IF(BH$3=0,"n.b.",INDEX(SRC_ZPMW03!$A$1:$ZZ$501,$A141,BH$3)))</f>
        <v/>
      </c>
      <c r="BI141" t="str">
        <f>IF($B141="","",IF(BI$3=0,"n.b.",INDEX(SRC_ZPMW03!$A$1:$ZZ$501,$A141,BI$3)))</f>
        <v/>
      </c>
      <c r="BJ141" t="str">
        <f>IF($B141="","",IF(BJ$3=0,"n.b.",INDEX(SRC_ZPMW03!$A$1:$ZZ$501,$A141,BJ$3)))</f>
        <v/>
      </c>
      <c r="BK141" s="124" t="str">
        <f>IF($B141="","",IFERROR(-O141,"n.b."))</f>
        <v/>
      </c>
      <c r="BL141" s="124" t="str">
        <f>IF($B141="","",IFERROR(-Q141,"n.b."))</f>
        <v/>
      </c>
      <c r="BM141" s="124" t="str">
        <f>IF($B141="","",IFERROR(-AB141,"n.b."))</f>
        <v/>
      </c>
      <c r="BN141" s="124" t="str">
        <f>IF($B141="","",IFERROR(-AD141,"n.b."))</f>
        <v/>
      </c>
      <c r="BO141" s="124" t="str">
        <f>IF($B141="","",IFERROR(BK141+BM141,"n.b."))</f>
        <v/>
      </c>
      <c r="BP141" s="124" t="str">
        <f>IF($B141="","",IFERROR(BL141+BN141,"n.b."))</f>
        <v/>
      </c>
      <c r="BQ141" s="124" t="str">
        <f>IF($B141="","",IFERROR(-AM141,"n.b."))</f>
        <v/>
      </c>
      <c r="BR141" s="124" t="str">
        <f>IF($B141="","",IFERROR(-AO141,"n.b."))</f>
        <v/>
      </c>
      <c r="BS141" s="124" t="str">
        <f>IF($B141="","",IFERROR(-Z141,"n.b."))</f>
        <v/>
      </c>
      <c r="BT141" s="124" t="str">
        <f>IF($B141="","",IFERROR(-AA141,"n.b."))</f>
        <v/>
      </c>
      <c r="BU141" s="124" t="str">
        <f>IF($B141="","",IFERROR(-AE141,"n.b."))</f>
        <v/>
      </c>
      <c r="BV141" s="124" t="str">
        <f>IF($B141="","",IFERROR(-AF141,"n.b."))</f>
        <v/>
      </c>
      <c r="BW141" s="124" t="str">
        <f>IF($B141="","",IFERROR(-AG141,"n.b."))</f>
        <v/>
      </c>
      <c r="BX141" s="124" t="str">
        <f>IF($B141="","",IFERROR(-AH141,"n.b."))</f>
        <v/>
      </c>
      <c r="BY141" s="124" t="str">
        <f>IF($B141="","",IFERROR(-AI141,"n.b."))</f>
        <v/>
      </c>
      <c r="BZ141" s="124" t="str">
        <f>IF($B141="","",IFERROR(-AJ141,"n.b."))</f>
        <v/>
      </c>
      <c r="CA141" s="124" t="str">
        <f>IF($B141="","",IFERROR(-AK141,"n.b."))</f>
        <v/>
      </c>
      <c r="CB141" s="124" t="str">
        <f>IF($B141="","",IFERROR(-AL141,"n.b."))</f>
        <v/>
      </c>
      <c r="CC141" s="124" t="str">
        <f>IF($B141="","",IFERROR(-AP141,"n.b."))</f>
        <v/>
      </c>
      <c r="CD141" s="124" t="str">
        <f>IF($B141="","",IFERROR(-AQ141,"n.b."))</f>
        <v/>
      </c>
      <c r="CE141" s="124" t="str">
        <f>IF($B141="","",IFERROR(-AR141,"n.b."))</f>
        <v/>
      </c>
      <c r="CF141" s="124" t="str">
        <f>IF($B141="","",IFERROR(-AS141,"n.b."))</f>
        <v/>
      </c>
      <c r="CG141" s="124" t="str">
        <f>IF($B141="","",IFERROR(-AT141,"n.b."))</f>
        <v/>
      </c>
      <c r="CH141" s="124" t="str">
        <f>IF($B141="","",IFERROR(-AU141,"n.b."))</f>
        <v/>
      </c>
      <c r="CI141" s="124" t="str">
        <f>IF($B141="","",IFERROR(-AV141,"n.b."))</f>
        <v/>
      </c>
      <c r="CJ141" s="124" t="str">
        <f>IF($B141="","",IFERROR(-AW141,"n.b."))</f>
        <v/>
      </c>
      <c r="CK141" s="124" t="str">
        <f>IF($B141="","",IFERROR(-AX141,"n.b."))</f>
        <v/>
      </c>
      <c r="CL141" s="124" t="str">
        <f>IF($B141="","",IFERROR(-AY141,"n.b."))</f>
        <v/>
      </c>
      <c r="CM141" s="124" t="str">
        <f>IF($B141="","",IFERROR(-AZ141,"n.b."))</f>
        <v/>
      </c>
      <c r="CN141" s="124" t="str">
        <f>IF($B141="","",IFERROR(-BA141,"n.b."))</f>
        <v/>
      </c>
      <c r="CO141" s="124" t="str">
        <f>IF($B141="","",IFERROR(-BB141,"n.b."))</f>
        <v/>
      </c>
      <c r="CP141" s="124" t="str">
        <f>IF($B141="","",IFERROR(-BC141,"n.b."))</f>
        <v/>
      </c>
      <c r="CQ141" s="124" t="str">
        <f>IF($B141="","",IFERROR(-BD141,"n.b."))</f>
        <v/>
      </c>
      <c r="CR141" s="124" t="str">
        <f>IF($B141="","",IFERROR(-BE141,"n.b."))</f>
        <v/>
      </c>
      <c r="CS141" s="124" t="str">
        <f>IF($B141="","",IFERROR(IF(OR(ABS(T141+V141+X141+Z141-AB141)&gt;P_Tol,ABS(U141+W141+Y141+AA141-AD141)&gt;P_Tol,ABS(AE141+AG141+AI141+AK141-AM141)&gt;P_Tol,ABS(AF141+AH141+AJ141+AL141-AO141)&gt;P_Tol),1,0),1))</f>
        <v/>
      </c>
      <c r="CT141" s="124" t="str">
        <f>IF($B141="","",IFERROR(IF(OR(ABS(AB141+AC141-AD141)&gt;P_Tol,ABS(AM141+AN141-AO141)&gt;P_Tol,ABS(O141+P141-Q141)&gt;P_Tol),1,0),1))</f>
        <v/>
      </c>
      <c r="CU141" s="124" t="str">
        <f>IF($B141="","",IFERROR(IF(ABS(R141-(AB141+AM141+AP141+AR141+AT141+AV141+AX141+AZ141+BB141+BD141))&gt;P_Tol,1,0),1))</f>
        <v/>
      </c>
      <c r="CV141" s="124" t="str">
        <f>IF($B141="","",IFERROR(IF(ABS(M141-(N141+O141+R141))&gt;P_Tol,1,0),1))</f>
        <v/>
      </c>
      <c r="CW141" s="124" t="str">
        <f>IF($B141="","",IF(COUNTIF(Mapping!$A$5:$A$104,B141)&gt;0,1,0))</f>
        <v/>
      </c>
      <c r="CX141" s="124" t="str">
        <f>IF($B141="","",COUNTIF($B$6:$B$505,B141))</f>
        <v/>
      </c>
      <c r="CY141" s="124" t="str">
        <f>IF($B141="","",COUNTIF(STG_Woningetalage!$B$6:$B$505,B141))</f>
        <v/>
      </c>
      <c r="CZ141" s="124" t="str">
        <f>IF($B141="","",IF(CW141=0,COUNTIF($CW$6:CW141,0),""))</f>
        <v/>
      </c>
    </row>
    <row r="142">
      <c r="A142" s="15" t="n">
        <v>138</v>
      </c>
      <c r="B142" t="str">
        <f>IF(B$3=0,"",IF(INDEX(SRC_ZPMW03!$A$1:$ZZ$501,$A142,B$3)&amp;""="","",INDEX(SRC_ZPMW03!$A$1:$ZZ$501,$A142,B$3)&amp;""))</f>
        <v/>
      </c>
      <c r="C142" t="str">
        <f>IF($B142="","",IF(C$3=0,"n.b.",INDEX(SRC_ZPMW03!$A$1:$ZZ$501,$A142,C$3)))</f>
        <v/>
      </c>
      <c r="D142" t="str">
        <f>IF($B142="","",IF(D$3=0,"n.b.",INDEX(SRC_ZPMW03!$A$1:$ZZ$501,$A142,D$3)))</f>
        <v/>
      </c>
      <c r="E142" t="str">
        <f>IF($B142="","",IF(E$3=0,"n.b.",INDEX(SRC_ZPMW03!$A$1:$ZZ$501,$A142,E$3)))</f>
        <v/>
      </c>
      <c r="F142" t="str">
        <f>IF($B142="","",IF(F$3=0,"n.b.",INDEX(SRC_ZPMW03!$A$1:$ZZ$501,$A142,F$3)))</f>
        <v/>
      </c>
      <c r="G142" t="str">
        <f>IF($B142="","",IF(G$3=0,"n.b.",INDEX(SRC_ZPMW03!$A$1:$ZZ$501,$A142,G$3)))</f>
        <v/>
      </c>
      <c r="H142" t="str">
        <f>IF($B142="","",IF(H$3=0,"n.b.",INDEX(SRC_ZPMW03!$A$1:$ZZ$501,$A142,H$3)))</f>
        <v/>
      </c>
      <c r="I142" t="str">
        <f>IF($B142="","",IF(I$3=0,"n.b.",INDEX(SRC_ZPMW03!$A$1:$ZZ$501,$A142,I$3)))</f>
        <v/>
      </c>
      <c r="J142" t="str">
        <f>IF($B142="","",IF(J$3=0,"n.b.",INDEX(SRC_ZPMW03!$A$1:$ZZ$501,$A142,J$3)))</f>
        <v/>
      </c>
      <c r="K142" t="str">
        <f>IF($B142="","",IF(K$3=0,"n.b.",INDEX(SRC_ZPMW03!$A$1:$ZZ$501,$A142,K$3)))</f>
        <v/>
      </c>
      <c r="L142" s="124" t="str">
        <f>IF($B142="","",IF(L$3=0,"n.b.",INDEX(SRC_ZPMW03!$A$1:$ZZ$501,$A142,L$3)))</f>
        <v/>
      </c>
      <c r="M142" s="124" t="str">
        <f>IF($B142="","",IF(M$3=0,"n.b.",INDEX(SRC_ZPMW03!$A$1:$ZZ$501,$A142,M$3)))</f>
        <v/>
      </c>
      <c r="N142" s="124" t="str">
        <f>IF($B142="","",IF(N$3=0,"n.b.",INDEX(SRC_ZPMW03!$A$1:$ZZ$501,$A142,N$3)))</f>
        <v/>
      </c>
      <c r="O142" s="124" t="str">
        <f>IF($B142="","",IF(O$3=0,"n.b.",INDEX(SRC_ZPMW03!$A$1:$ZZ$501,$A142,O$3)))</f>
        <v/>
      </c>
      <c r="P142" s="124" t="str">
        <f>IF($B142="","",IF(P$3=0,"n.b.",INDEX(SRC_ZPMW03!$A$1:$ZZ$501,$A142,P$3)))</f>
        <v/>
      </c>
      <c r="Q142" s="124" t="str">
        <f>IF($B142="","",IF(Q$3=0,"n.b.",INDEX(SRC_ZPMW03!$A$1:$ZZ$501,$A142,Q$3)))</f>
        <v/>
      </c>
      <c r="R142" s="124" t="str">
        <f>IF($B142="","",IF(R$3=0,"n.b.",INDEX(SRC_ZPMW03!$A$1:$ZZ$501,$A142,R$3)))</f>
        <v/>
      </c>
      <c r="S142" s="124" t="str">
        <f>IF($B142="","",IF(S$3=0,"n.b.",INDEX(SRC_ZPMW03!$A$1:$ZZ$501,$A142,S$3)))</f>
        <v/>
      </c>
      <c r="T142" s="124" t="str">
        <f>IF($B142="","",IF(T$3=0,"n.b.",INDEX(SRC_ZPMW03!$A$1:$ZZ$501,$A142,T$3)))</f>
        <v/>
      </c>
      <c r="U142" s="124" t="str">
        <f>IF($B142="","",IF(U$3=0,"n.b.",INDEX(SRC_ZPMW03!$A$1:$ZZ$501,$A142,U$3)))</f>
        <v/>
      </c>
      <c r="V142" s="124" t="str">
        <f>IF($B142="","",IF(V$3=0,"n.b.",INDEX(SRC_ZPMW03!$A$1:$ZZ$501,$A142,V$3)))</f>
        <v/>
      </c>
      <c r="W142" s="124" t="str">
        <f>IF($B142="","",IF(W$3=0,"n.b.",INDEX(SRC_ZPMW03!$A$1:$ZZ$501,$A142,W$3)))</f>
        <v/>
      </c>
      <c r="X142" s="124" t="str">
        <f>IF($B142="","",IF(X$3=0,"n.b.",INDEX(SRC_ZPMW03!$A$1:$ZZ$501,$A142,X$3)))</f>
        <v/>
      </c>
      <c r="Y142" s="124" t="str">
        <f>IF($B142="","",IF(Y$3=0,"n.b.",INDEX(SRC_ZPMW03!$A$1:$ZZ$501,$A142,Y$3)))</f>
        <v/>
      </c>
      <c r="Z142" s="124" t="str">
        <f>IF($B142="","",IF(Z$3=0,"n.b.",INDEX(SRC_ZPMW03!$A$1:$ZZ$501,$A142,Z$3)))</f>
        <v/>
      </c>
      <c r="AA142" s="124" t="str">
        <f>IF($B142="","",IF(AA$3=0,"n.b.",INDEX(SRC_ZPMW03!$A$1:$ZZ$501,$A142,AA$3)))</f>
        <v/>
      </c>
      <c r="AB142" s="124" t="str">
        <f>IF($B142="","",IF(AB$3=0,"n.b.",INDEX(SRC_ZPMW03!$A$1:$ZZ$501,$A142,AB$3)))</f>
        <v/>
      </c>
      <c r="AC142" s="124" t="str">
        <f>IF($B142="","",IF(AC$3=0,"n.b.",INDEX(SRC_ZPMW03!$A$1:$ZZ$501,$A142,AC$3)))</f>
        <v/>
      </c>
      <c r="AD142" s="124" t="str">
        <f>IF($B142="","",IF(AD$3=0,"n.b.",INDEX(SRC_ZPMW03!$A$1:$ZZ$501,$A142,AD$3)))</f>
        <v/>
      </c>
      <c r="AE142" s="124" t="str">
        <f>IF($B142="","",IF(AE$3=0,"n.b.",INDEX(SRC_ZPMW03!$A$1:$ZZ$501,$A142,AE$3)))</f>
        <v/>
      </c>
      <c r="AF142" s="124" t="str">
        <f>IF($B142="","",IF(AF$3=0,"n.b.",INDEX(SRC_ZPMW03!$A$1:$ZZ$501,$A142,AF$3)))</f>
        <v/>
      </c>
      <c r="AG142" s="124" t="str">
        <f>IF($B142="","",IF(AG$3=0,"n.b.",INDEX(SRC_ZPMW03!$A$1:$ZZ$501,$A142,AG$3)))</f>
        <v/>
      </c>
      <c r="AH142" s="124" t="str">
        <f>IF($B142="","",IF(AH$3=0,"n.b.",INDEX(SRC_ZPMW03!$A$1:$ZZ$501,$A142,AH$3)))</f>
        <v/>
      </c>
      <c r="AI142" s="124" t="str">
        <f>IF($B142="","",IF(AI$3=0,"n.b.",INDEX(SRC_ZPMW03!$A$1:$ZZ$501,$A142,AI$3)))</f>
        <v/>
      </c>
      <c r="AJ142" s="124" t="str">
        <f>IF($B142="","",IF(AJ$3=0,"n.b.",INDEX(SRC_ZPMW03!$A$1:$ZZ$501,$A142,AJ$3)))</f>
        <v/>
      </c>
      <c r="AK142" s="124" t="str">
        <f>IF($B142="","",IF(AK$3=0,"n.b.",INDEX(SRC_ZPMW03!$A$1:$ZZ$501,$A142,AK$3)))</f>
        <v/>
      </c>
      <c r="AL142" s="124" t="str">
        <f>IF($B142="","",IF(AL$3=0,"n.b.",INDEX(SRC_ZPMW03!$A$1:$ZZ$501,$A142,AL$3)))</f>
        <v/>
      </c>
      <c r="AM142" s="124" t="str">
        <f>IF($B142="","",IF(AM$3=0,"n.b.",INDEX(SRC_ZPMW03!$A$1:$ZZ$501,$A142,AM$3)))</f>
        <v/>
      </c>
      <c r="AN142" s="124" t="str">
        <f>IF($B142="","",IF(AN$3=0,"n.b.",INDEX(SRC_ZPMW03!$A$1:$ZZ$501,$A142,AN$3)))</f>
        <v/>
      </c>
      <c r="AO142" s="124" t="str">
        <f>IF($B142="","",IF(AO$3=0,"n.b.",INDEX(SRC_ZPMW03!$A$1:$ZZ$501,$A142,AO$3)))</f>
        <v/>
      </c>
      <c r="AP142" s="124" t="str">
        <f>IF($B142="","",IF(AP$3=0,"n.b.",INDEX(SRC_ZPMW03!$A$1:$ZZ$501,$A142,AP$3)))</f>
        <v/>
      </c>
      <c r="AQ142" s="124" t="str">
        <f>IF($B142="","",IF(AQ$3=0,"n.b.",INDEX(SRC_ZPMW03!$A$1:$ZZ$501,$A142,AQ$3)))</f>
        <v/>
      </c>
      <c r="AR142" s="124" t="str">
        <f>IF($B142="","",IF(AR$3=0,"n.b.",INDEX(SRC_ZPMW03!$A$1:$ZZ$501,$A142,AR$3)))</f>
        <v/>
      </c>
      <c r="AS142" s="124" t="str">
        <f>IF($B142="","",IF(AS$3=0,"n.b.",INDEX(SRC_ZPMW03!$A$1:$ZZ$501,$A142,AS$3)))</f>
        <v/>
      </c>
      <c r="AT142" s="124" t="str">
        <f>IF($B142="","",IF(AT$3=0,"n.b.",INDEX(SRC_ZPMW03!$A$1:$ZZ$501,$A142,AT$3)))</f>
        <v/>
      </c>
      <c r="AU142" s="124" t="str">
        <f>IF($B142="","",IF(AU$3=0,"n.b.",INDEX(SRC_ZPMW03!$A$1:$ZZ$501,$A142,AU$3)))</f>
        <v/>
      </c>
      <c r="AV142" s="124" t="str">
        <f>IF($B142="","",IF(AV$3=0,"n.b.",INDEX(SRC_ZPMW03!$A$1:$ZZ$501,$A142,AV$3)))</f>
        <v/>
      </c>
      <c r="AW142" s="124" t="str">
        <f>IF($B142="","",IF(AW$3=0,"n.b.",INDEX(SRC_ZPMW03!$A$1:$ZZ$501,$A142,AW$3)))</f>
        <v/>
      </c>
      <c r="AX142" s="124" t="str">
        <f>IF($B142="","",IF(AX$3=0,"n.b.",INDEX(SRC_ZPMW03!$A$1:$ZZ$501,$A142,AX$3)))</f>
        <v/>
      </c>
      <c r="AY142" s="124" t="str">
        <f>IF($B142="","",IF(AY$3=0,"n.b.",INDEX(SRC_ZPMW03!$A$1:$ZZ$501,$A142,AY$3)))</f>
        <v/>
      </c>
      <c r="AZ142" s="124" t="str">
        <f>IF($B142="","",IF(AZ$3=0,"n.b.",INDEX(SRC_ZPMW03!$A$1:$ZZ$501,$A142,AZ$3)))</f>
        <v/>
      </c>
      <c r="BA142" s="124" t="str">
        <f>IF($B142="","",IF(BA$3=0,"n.b.",INDEX(SRC_ZPMW03!$A$1:$ZZ$501,$A142,BA$3)))</f>
        <v/>
      </c>
      <c r="BB142" s="124" t="str">
        <f>IF($B142="","",IF(BB$3=0,"n.b.",INDEX(SRC_ZPMW03!$A$1:$ZZ$501,$A142,BB$3)))</f>
        <v/>
      </c>
      <c r="BC142" s="124" t="str">
        <f>IF($B142="","",IF(BC$3=0,"n.b.",INDEX(SRC_ZPMW03!$A$1:$ZZ$501,$A142,BC$3)))</f>
        <v/>
      </c>
      <c r="BD142" s="124" t="str">
        <f>IF($B142="","",IF(BD$3=0,"n.b.",INDEX(SRC_ZPMW03!$A$1:$ZZ$501,$A142,BD$3)))</f>
        <v/>
      </c>
      <c r="BE142" s="124" t="str">
        <f>IF($B142="","",IF(BE$3=0,"n.b.",INDEX(SRC_ZPMW03!$A$1:$ZZ$501,$A142,BE$3)))</f>
        <v/>
      </c>
      <c r="BF142" s="124" t="str">
        <f>IF($B142="","",IF(BF$3=0,"n.b.",INDEX(SRC_ZPMW03!$A$1:$ZZ$501,$A142,BF$3)))</f>
        <v/>
      </c>
      <c r="BG142" t="str">
        <f>IF($B142="","",IF(BG$3=0,"n.b.",INDEX(SRC_ZPMW03!$A$1:$ZZ$501,$A142,BG$3)))</f>
        <v/>
      </c>
      <c r="BH142" t="str">
        <f>IF($B142="","",IF(BH$3=0,"n.b.",INDEX(SRC_ZPMW03!$A$1:$ZZ$501,$A142,BH$3)))</f>
        <v/>
      </c>
      <c r="BI142" t="str">
        <f>IF($B142="","",IF(BI$3=0,"n.b.",INDEX(SRC_ZPMW03!$A$1:$ZZ$501,$A142,BI$3)))</f>
        <v/>
      </c>
      <c r="BJ142" t="str">
        <f>IF($B142="","",IF(BJ$3=0,"n.b.",INDEX(SRC_ZPMW03!$A$1:$ZZ$501,$A142,BJ$3)))</f>
        <v/>
      </c>
      <c r="BK142" s="124" t="str">
        <f>IF($B142="","",IFERROR(-O142,"n.b."))</f>
        <v/>
      </c>
      <c r="BL142" s="124" t="str">
        <f>IF($B142="","",IFERROR(-Q142,"n.b."))</f>
        <v/>
      </c>
      <c r="BM142" s="124" t="str">
        <f>IF($B142="","",IFERROR(-AB142,"n.b."))</f>
        <v/>
      </c>
      <c r="BN142" s="124" t="str">
        <f>IF($B142="","",IFERROR(-AD142,"n.b."))</f>
        <v/>
      </c>
      <c r="BO142" s="124" t="str">
        <f>IF($B142="","",IFERROR(BK142+BM142,"n.b."))</f>
        <v/>
      </c>
      <c r="BP142" s="124" t="str">
        <f>IF($B142="","",IFERROR(BL142+BN142,"n.b."))</f>
        <v/>
      </c>
      <c r="BQ142" s="124" t="str">
        <f>IF($B142="","",IFERROR(-AM142,"n.b."))</f>
        <v/>
      </c>
      <c r="BR142" s="124" t="str">
        <f>IF($B142="","",IFERROR(-AO142,"n.b."))</f>
        <v/>
      </c>
      <c r="BS142" s="124" t="str">
        <f>IF($B142="","",IFERROR(-Z142,"n.b."))</f>
        <v/>
      </c>
      <c r="BT142" s="124" t="str">
        <f>IF($B142="","",IFERROR(-AA142,"n.b."))</f>
        <v/>
      </c>
      <c r="BU142" s="124" t="str">
        <f>IF($B142="","",IFERROR(-AE142,"n.b."))</f>
        <v/>
      </c>
      <c r="BV142" s="124" t="str">
        <f>IF($B142="","",IFERROR(-AF142,"n.b."))</f>
        <v/>
      </c>
      <c r="BW142" s="124" t="str">
        <f>IF($B142="","",IFERROR(-AG142,"n.b."))</f>
        <v/>
      </c>
      <c r="BX142" s="124" t="str">
        <f>IF($B142="","",IFERROR(-AH142,"n.b."))</f>
        <v/>
      </c>
      <c r="BY142" s="124" t="str">
        <f>IF($B142="","",IFERROR(-AI142,"n.b."))</f>
        <v/>
      </c>
      <c r="BZ142" s="124" t="str">
        <f>IF($B142="","",IFERROR(-AJ142,"n.b."))</f>
        <v/>
      </c>
      <c r="CA142" s="124" t="str">
        <f>IF($B142="","",IFERROR(-AK142,"n.b."))</f>
        <v/>
      </c>
      <c r="CB142" s="124" t="str">
        <f>IF($B142="","",IFERROR(-AL142,"n.b."))</f>
        <v/>
      </c>
      <c r="CC142" s="124" t="str">
        <f>IF($B142="","",IFERROR(-AP142,"n.b."))</f>
        <v/>
      </c>
      <c r="CD142" s="124" t="str">
        <f>IF($B142="","",IFERROR(-AQ142,"n.b."))</f>
        <v/>
      </c>
      <c r="CE142" s="124" t="str">
        <f>IF($B142="","",IFERROR(-AR142,"n.b."))</f>
        <v/>
      </c>
      <c r="CF142" s="124" t="str">
        <f>IF($B142="","",IFERROR(-AS142,"n.b."))</f>
        <v/>
      </c>
      <c r="CG142" s="124" t="str">
        <f>IF($B142="","",IFERROR(-AT142,"n.b."))</f>
        <v/>
      </c>
      <c r="CH142" s="124" t="str">
        <f>IF($B142="","",IFERROR(-AU142,"n.b."))</f>
        <v/>
      </c>
      <c r="CI142" s="124" t="str">
        <f>IF($B142="","",IFERROR(-AV142,"n.b."))</f>
        <v/>
      </c>
      <c r="CJ142" s="124" t="str">
        <f>IF($B142="","",IFERROR(-AW142,"n.b."))</f>
        <v/>
      </c>
      <c r="CK142" s="124" t="str">
        <f>IF($B142="","",IFERROR(-AX142,"n.b."))</f>
        <v/>
      </c>
      <c r="CL142" s="124" t="str">
        <f>IF($B142="","",IFERROR(-AY142,"n.b."))</f>
        <v/>
      </c>
      <c r="CM142" s="124" t="str">
        <f>IF($B142="","",IFERROR(-AZ142,"n.b."))</f>
        <v/>
      </c>
      <c r="CN142" s="124" t="str">
        <f>IF($B142="","",IFERROR(-BA142,"n.b."))</f>
        <v/>
      </c>
      <c r="CO142" s="124" t="str">
        <f>IF($B142="","",IFERROR(-BB142,"n.b."))</f>
        <v/>
      </c>
      <c r="CP142" s="124" t="str">
        <f>IF($B142="","",IFERROR(-BC142,"n.b."))</f>
        <v/>
      </c>
      <c r="CQ142" s="124" t="str">
        <f>IF($B142="","",IFERROR(-BD142,"n.b."))</f>
        <v/>
      </c>
      <c r="CR142" s="124" t="str">
        <f>IF($B142="","",IFERROR(-BE142,"n.b."))</f>
        <v/>
      </c>
      <c r="CS142" s="124" t="str">
        <f>IF($B142="","",IFERROR(IF(OR(ABS(T142+V142+X142+Z142-AB142)&gt;P_Tol,ABS(U142+W142+Y142+AA142-AD142)&gt;P_Tol,ABS(AE142+AG142+AI142+AK142-AM142)&gt;P_Tol,ABS(AF142+AH142+AJ142+AL142-AO142)&gt;P_Tol),1,0),1))</f>
        <v/>
      </c>
      <c r="CT142" s="124" t="str">
        <f>IF($B142="","",IFERROR(IF(OR(ABS(AB142+AC142-AD142)&gt;P_Tol,ABS(AM142+AN142-AO142)&gt;P_Tol,ABS(O142+P142-Q142)&gt;P_Tol),1,0),1))</f>
        <v/>
      </c>
      <c r="CU142" s="124" t="str">
        <f>IF($B142="","",IFERROR(IF(ABS(R142-(AB142+AM142+AP142+AR142+AT142+AV142+AX142+AZ142+BB142+BD142))&gt;P_Tol,1,0),1))</f>
        <v/>
      </c>
      <c r="CV142" s="124" t="str">
        <f>IF($B142="","",IFERROR(IF(ABS(M142-(N142+O142+R142))&gt;P_Tol,1,0),1))</f>
        <v/>
      </c>
      <c r="CW142" s="124" t="str">
        <f>IF($B142="","",IF(COUNTIF(Mapping!$A$5:$A$104,B142)&gt;0,1,0))</f>
        <v/>
      </c>
      <c r="CX142" s="124" t="str">
        <f>IF($B142="","",COUNTIF($B$6:$B$505,B142))</f>
        <v/>
      </c>
      <c r="CY142" s="124" t="str">
        <f>IF($B142="","",COUNTIF(STG_Woningetalage!$B$6:$B$505,B142))</f>
        <v/>
      </c>
      <c r="CZ142" s="124" t="str">
        <f>IF($B142="","",IF(CW142=0,COUNTIF($CW$6:CW142,0),""))</f>
        <v/>
      </c>
    </row>
    <row r="143">
      <c r="A143" s="15" t="n">
        <v>139</v>
      </c>
      <c r="B143" t="str">
        <f>IF(B$3=0,"",IF(INDEX(SRC_ZPMW03!$A$1:$ZZ$501,$A143,B$3)&amp;""="","",INDEX(SRC_ZPMW03!$A$1:$ZZ$501,$A143,B$3)&amp;""))</f>
        <v/>
      </c>
      <c r="C143" t="str">
        <f>IF($B143="","",IF(C$3=0,"n.b.",INDEX(SRC_ZPMW03!$A$1:$ZZ$501,$A143,C$3)))</f>
        <v/>
      </c>
      <c r="D143" t="str">
        <f>IF($B143="","",IF(D$3=0,"n.b.",INDEX(SRC_ZPMW03!$A$1:$ZZ$501,$A143,D$3)))</f>
        <v/>
      </c>
      <c r="E143" t="str">
        <f>IF($B143="","",IF(E$3=0,"n.b.",INDEX(SRC_ZPMW03!$A$1:$ZZ$501,$A143,E$3)))</f>
        <v/>
      </c>
      <c r="F143" t="str">
        <f>IF($B143="","",IF(F$3=0,"n.b.",INDEX(SRC_ZPMW03!$A$1:$ZZ$501,$A143,F$3)))</f>
        <v/>
      </c>
      <c r="G143" t="str">
        <f>IF($B143="","",IF(G$3=0,"n.b.",INDEX(SRC_ZPMW03!$A$1:$ZZ$501,$A143,G$3)))</f>
        <v/>
      </c>
      <c r="H143" t="str">
        <f>IF($B143="","",IF(H$3=0,"n.b.",INDEX(SRC_ZPMW03!$A$1:$ZZ$501,$A143,H$3)))</f>
        <v/>
      </c>
      <c r="I143" t="str">
        <f>IF($B143="","",IF(I$3=0,"n.b.",INDEX(SRC_ZPMW03!$A$1:$ZZ$501,$A143,I$3)))</f>
        <v/>
      </c>
      <c r="J143" t="str">
        <f>IF($B143="","",IF(J$3=0,"n.b.",INDEX(SRC_ZPMW03!$A$1:$ZZ$501,$A143,J$3)))</f>
        <v/>
      </c>
      <c r="K143" t="str">
        <f>IF($B143="","",IF(K$3=0,"n.b.",INDEX(SRC_ZPMW03!$A$1:$ZZ$501,$A143,K$3)))</f>
        <v/>
      </c>
      <c r="L143" s="124" t="str">
        <f>IF($B143="","",IF(L$3=0,"n.b.",INDEX(SRC_ZPMW03!$A$1:$ZZ$501,$A143,L$3)))</f>
        <v/>
      </c>
      <c r="M143" s="124" t="str">
        <f>IF($B143="","",IF(M$3=0,"n.b.",INDEX(SRC_ZPMW03!$A$1:$ZZ$501,$A143,M$3)))</f>
        <v/>
      </c>
      <c r="N143" s="124" t="str">
        <f>IF($B143="","",IF(N$3=0,"n.b.",INDEX(SRC_ZPMW03!$A$1:$ZZ$501,$A143,N$3)))</f>
        <v/>
      </c>
      <c r="O143" s="124" t="str">
        <f>IF($B143="","",IF(O$3=0,"n.b.",INDEX(SRC_ZPMW03!$A$1:$ZZ$501,$A143,O$3)))</f>
        <v/>
      </c>
      <c r="P143" s="124" t="str">
        <f>IF($B143="","",IF(P$3=0,"n.b.",INDEX(SRC_ZPMW03!$A$1:$ZZ$501,$A143,P$3)))</f>
        <v/>
      </c>
      <c r="Q143" s="124" t="str">
        <f>IF($B143="","",IF(Q$3=0,"n.b.",INDEX(SRC_ZPMW03!$A$1:$ZZ$501,$A143,Q$3)))</f>
        <v/>
      </c>
      <c r="R143" s="124" t="str">
        <f>IF($B143="","",IF(R$3=0,"n.b.",INDEX(SRC_ZPMW03!$A$1:$ZZ$501,$A143,R$3)))</f>
        <v/>
      </c>
      <c r="S143" s="124" t="str">
        <f>IF($B143="","",IF(S$3=0,"n.b.",INDEX(SRC_ZPMW03!$A$1:$ZZ$501,$A143,S$3)))</f>
        <v/>
      </c>
      <c r="T143" s="124" t="str">
        <f>IF($B143="","",IF(T$3=0,"n.b.",INDEX(SRC_ZPMW03!$A$1:$ZZ$501,$A143,T$3)))</f>
        <v/>
      </c>
      <c r="U143" s="124" t="str">
        <f>IF($B143="","",IF(U$3=0,"n.b.",INDEX(SRC_ZPMW03!$A$1:$ZZ$501,$A143,U$3)))</f>
        <v/>
      </c>
      <c r="V143" s="124" t="str">
        <f>IF($B143="","",IF(V$3=0,"n.b.",INDEX(SRC_ZPMW03!$A$1:$ZZ$501,$A143,V$3)))</f>
        <v/>
      </c>
      <c r="W143" s="124" t="str">
        <f>IF($B143="","",IF(W$3=0,"n.b.",INDEX(SRC_ZPMW03!$A$1:$ZZ$501,$A143,W$3)))</f>
        <v/>
      </c>
      <c r="X143" s="124" t="str">
        <f>IF($B143="","",IF(X$3=0,"n.b.",INDEX(SRC_ZPMW03!$A$1:$ZZ$501,$A143,X$3)))</f>
        <v/>
      </c>
      <c r="Y143" s="124" t="str">
        <f>IF($B143="","",IF(Y$3=0,"n.b.",INDEX(SRC_ZPMW03!$A$1:$ZZ$501,$A143,Y$3)))</f>
        <v/>
      </c>
      <c r="Z143" s="124" t="str">
        <f>IF($B143="","",IF(Z$3=0,"n.b.",INDEX(SRC_ZPMW03!$A$1:$ZZ$501,$A143,Z$3)))</f>
        <v/>
      </c>
      <c r="AA143" s="124" t="str">
        <f>IF($B143="","",IF(AA$3=0,"n.b.",INDEX(SRC_ZPMW03!$A$1:$ZZ$501,$A143,AA$3)))</f>
        <v/>
      </c>
      <c r="AB143" s="124" t="str">
        <f>IF($B143="","",IF(AB$3=0,"n.b.",INDEX(SRC_ZPMW03!$A$1:$ZZ$501,$A143,AB$3)))</f>
        <v/>
      </c>
      <c r="AC143" s="124" t="str">
        <f>IF($B143="","",IF(AC$3=0,"n.b.",INDEX(SRC_ZPMW03!$A$1:$ZZ$501,$A143,AC$3)))</f>
        <v/>
      </c>
      <c r="AD143" s="124" t="str">
        <f>IF($B143="","",IF(AD$3=0,"n.b.",INDEX(SRC_ZPMW03!$A$1:$ZZ$501,$A143,AD$3)))</f>
        <v/>
      </c>
      <c r="AE143" s="124" t="str">
        <f>IF($B143="","",IF(AE$3=0,"n.b.",INDEX(SRC_ZPMW03!$A$1:$ZZ$501,$A143,AE$3)))</f>
        <v/>
      </c>
      <c r="AF143" s="124" t="str">
        <f>IF($B143="","",IF(AF$3=0,"n.b.",INDEX(SRC_ZPMW03!$A$1:$ZZ$501,$A143,AF$3)))</f>
        <v/>
      </c>
      <c r="AG143" s="124" t="str">
        <f>IF($B143="","",IF(AG$3=0,"n.b.",INDEX(SRC_ZPMW03!$A$1:$ZZ$501,$A143,AG$3)))</f>
        <v/>
      </c>
      <c r="AH143" s="124" t="str">
        <f>IF($B143="","",IF(AH$3=0,"n.b.",INDEX(SRC_ZPMW03!$A$1:$ZZ$501,$A143,AH$3)))</f>
        <v/>
      </c>
      <c r="AI143" s="124" t="str">
        <f>IF($B143="","",IF(AI$3=0,"n.b.",INDEX(SRC_ZPMW03!$A$1:$ZZ$501,$A143,AI$3)))</f>
        <v/>
      </c>
      <c r="AJ143" s="124" t="str">
        <f>IF($B143="","",IF(AJ$3=0,"n.b.",INDEX(SRC_ZPMW03!$A$1:$ZZ$501,$A143,AJ$3)))</f>
        <v/>
      </c>
      <c r="AK143" s="124" t="str">
        <f>IF($B143="","",IF(AK$3=0,"n.b.",INDEX(SRC_ZPMW03!$A$1:$ZZ$501,$A143,AK$3)))</f>
        <v/>
      </c>
      <c r="AL143" s="124" t="str">
        <f>IF($B143="","",IF(AL$3=0,"n.b.",INDEX(SRC_ZPMW03!$A$1:$ZZ$501,$A143,AL$3)))</f>
        <v/>
      </c>
      <c r="AM143" s="124" t="str">
        <f>IF($B143="","",IF(AM$3=0,"n.b.",INDEX(SRC_ZPMW03!$A$1:$ZZ$501,$A143,AM$3)))</f>
        <v/>
      </c>
      <c r="AN143" s="124" t="str">
        <f>IF($B143="","",IF(AN$3=0,"n.b.",INDEX(SRC_ZPMW03!$A$1:$ZZ$501,$A143,AN$3)))</f>
        <v/>
      </c>
      <c r="AO143" s="124" t="str">
        <f>IF($B143="","",IF(AO$3=0,"n.b.",INDEX(SRC_ZPMW03!$A$1:$ZZ$501,$A143,AO$3)))</f>
        <v/>
      </c>
      <c r="AP143" s="124" t="str">
        <f>IF($B143="","",IF(AP$3=0,"n.b.",INDEX(SRC_ZPMW03!$A$1:$ZZ$501,$A143,AP$3)))</f>
        <v/>
      </c>
      <c r="AQ143" s="124" t="str">
        <f>IF($B143="","",IF(AQ$3=0,"n.b.",INDEX(SRC_ZPMW03!$A$1:$ZZ$501,$A143,AQ$3)))</f>
        <v/>
      </c>
      <c r="AR143" s="124" t="str">
        <f>IF($B143="","",IF(AR$3=0,"n.b.",INDEX(SRC_ZPMW03!$A$1:$ZZ$501,$A143,AR$3)))</f>
        <v/>
      </c>
      <c r="AS143" s="124" t="str">
        <f>IF($B143="","",IF(AS$3=0,"n.b.",INDEX(SRC_ZPMW03!$A$1:$ZZ$501,$A143,AS$3)))</f>
        <v/>
      </c>
      <c r="AT143" s="124" t="str">
        <f>IF($B143="","",IF(AT$3=0,"n.b.",INDEX(SRC_ZPMW03!$A$1:$ZZ$501,$A143,AT$3)))</f>
        <v/>
      </c>
      <c r="AU143" s="124" t="str">
        <f>IF($B143="","",IF(AU$3=0,"n.b.",INDEX(SRC_ZPMW03!$A$1:$ZZ$501,$A143,AU$3)))</f>
        <v/>
      </c>
      <c r="AV143" s="124" t="str">
        <f>IF($B143="","",IF(AV$3=0,"n.b.",INDEX(SRC_ZPMW03!$A$1:$ZZ$501,$A143,AV$3)))</f>
        <v/>
      </c>
      <c r="AW143" s="124" t="str">
        <f>IF($B143="","",IF(AW$3=0,"n.b.",INDEX(SRC_ZPMW03!$A$1:$ZZ$501,$A143,AW$3)))</f>
        <v/>
      </c>
      <c r="AX143" s="124" t="str">
        <f>IF($B143="","",IF(AX$3=0,"n.b.",INDEX(SRC_ZPMW03!$A$1:$ZZ$501,$A143,AX$3)))</f>
        <v/>
      </c>
      <c r="AY143" s="124" t="str">
        <f>IF($B143="","",IF(AY$3=0,"n.b.",INDEX(SRC_ZPMW03!$A$1:$ZZ$501,$A143,AY$3)))</f>
        <v/>
      </c>
      <c r="AZ143" s="124" t="str">
        <f>IF($B143="","",IF(AZ$3=0,"n.b.",INDEX(SRC_ZPMW03!$A$1:$ZZ$501,$A143,AZ$3)))</f>
        <v/>
      </c>
      <c r="BA143" s="124" t="str">
        <f>IF($B143="","",IF(BA$3=0,"n.b.",INDEX(SRC_ZPMW03!$A$1:$ZZ$501,$A143,BA$3)))</f>
        <v/>
      </c>
      <c r="BB143" s="124" t="str">
        <f>IF($B143="","",IF(BB$3=0,"n.b.",INDEX(SRC_ZPMW03!$A$1:$ZZ$501,$A143,BB$3)))</f>
        <v/>
      </c>
      <c r="BC143" s="124" t="str">
        <f>IF($B143="","",IF(BC$3=0,"n.b.",INDEX(SRC_ZPMW03!$A$1:$ZZ$501,$A143,BC$3)))</f>
        <v/>
      </c>
      <c r="BD143" s="124" t="str">
        <f>IF($B143="","",IF(BD$3=0,"n.b.",INDEX(SRC_ZPMW03!$A$1:$ZZ$501,$A143,BD$3)))</f>
        <v/>
      </c>
      <c r="BE143" s="124" t="str">
        <f>IF($B143="","",IF(BE$3=0,"n.b.",INDEX(SRC_ZPMW03!$A$1:$ZZ$501,$A143,BE$3)))</f>
        <v/>
      </c>
      <c r="BF143" s="124" t="str">
        <f>IF($B143="","",IF(BF$3=0,"n.b.",INDEX(SRC_ZPMW03!$A$1:$ZZ$501,$A143,BF$3)))</f>
        <v/>
      </c>
      <c r="BG143" t="str">
        <f>IF($B143="","",IF(BG$3=0,"n.b.",INDEX(SRC_ZPMW03!$A$1:$ZZ$501,$A143,BG$3)))</f>
        <v/>
      </c>
      <c r="BH143" t="str">
        <f>IF($B143="","",IF(BH$3=0,"n.b.",INDEX(SRC_ZPMW03!$A$1:$ZZ$501,$A143,BH$3)))</f>
        <v/>
      </c>
      <c r="BI143" t="str">
        <f>IF($B143="","",IF(BI$3=0,"n.b.",INDEX(SRC_ZPMW03!$A$1:$ZZ$501,$A143,BI$3)))</f>
        <v/>
      </c>
      <c r="BJ143" t="str">
        <f>IF($B143="","",IF(BJ$3=0,"n.b.",INDEX(SRC_ZPMW03!$A$1:$ZZ$501,$A143,BJ$3)))</f>
        <v/>
      </c>
      <c r="BK143" s="124" t="str">
        <f>IF($B143="","",IFERROR(-O143,"n.b."))</f>
        <v/>
      </c>
      <c r="BL143" s="124" t="str">
        <f>IF($B143="","",IFERROR(-Q143,"n.b."))</f>
        <v/>
      </c>
      <c r="BM143" s="124" t="str">
        <f>IF($B143="","",IFERROR(-AB143,"n.b."))</f>
        <v/>
      </c>
      <c r="BN143" s="124" t="str">
        <f>IF($B143="","",IFERROR(-AD143,"n.b."))</f>
        <v/>
      </c>
      <c r="BO143" s="124" t="str">
        <f>IF($B143="","",IFERROR(BK143+BM143,"n.b."))</f>
        <v/>
      </c>
      <c r="BP143" s="124" t="str">
        <f>IF($B143="","",IFERROR(BL143+BN143,"n.b."))</f>
        <v/>
      </c>
      <c r="BQ143" s="124" t="str">
        <f>IF($B143="","",IFERROR(-AM143,"n.b."))</f>
        <v/>
      </c>
      <c r="BR143" s="124" t="str">
        <f>IF($B143="","",IFERROR(-AO143,"n.b."))</f>
        <v/>
      </c>
      <c r="BS143" s="124" t="str">
        <f>IF($B143="","",IFERROR(-Z143,"n.b."))</f>
        <v/>
      </c>
      <c r="BT143" s="124" t="str">
        <f>IF($B143="","",IFERROR(-AA143,"n.b."))</f>
        <v/>
      </c>
      <c r="BU143" s="124" t="str">
        <f>IF($B143="","",IFERROR(-AE143,"n.b."))</f>
        <v/>
      </c>
      <c r="BV143" s="124" t="str">
        <f>IF($B143="","",IFERROR(-AF143,"n.b."))</f>
        <v/>
      </c>
      <c r="BW143" s="124" t="str">
        <f>IF($B143="","",IFERROR(-AG143,"n.b."))</f>
        <v/>
      </c>
      <c r="BX143" s="124" t="str">
        <f>IF($B143="","",IFERROR(-AH143,"n.b."))</f>
        <v/>
      </c>
      <c r="BY143" s="124" t="str">
        <f>IF($B143="","",IFERROR(-AI143,"n.b."))</f>
        <v/>
      </c>
      <c r="BZ143" s="124" t="str">
        <f>IF($B143="","",IFERROR(-AJ143,"n.b."))</f>
        <v/>
      </c>
      <c r="CA143" s="124" t="str">
        <f>IF($B143="","",IFERROR(-AK143,"n.b."))</f>
        <v/>
      </c>
      <c r="CB143" s="124" t="str">
        <f>IF($B143="","",IFERROR(-AL143,"n.b."))</f>
        <v/>
      </c>
      <c r="CC143" s="124" t="str">
        <f>IF($B143="","",IFERROR(-AP143,"n.b."))</f>
        <v/>
      </c>
      <c r="CD143" s="124" t="str">
        <f>IF($B143="","",IFERROR(-AQ143,"n.b."))</f>
        <v/>
      </c>
      <c r="CE143" s="124" t="str">
        <f>IF($B143="","",IFERROR(-AR143,"n.b."))</f>
        <v/>
      </c>
      <c r="CF143" s="124" t="str">
        <f>IF($B143="","",IFERROR(-AS143,"n.b."))</f>
        <v/>
      </c>
      <c r="CG143" s="124" t="str">
        <f>IF($B143="","",IFERROR(-AT143,"n.b."))</f>
        <v/>
      </c>
      <c r="CH143" s="124" t="str">
        <f>IF($B143="","",IFERROR(-AU143,"n.b."))</f>
        <v/>
      </c>
      <c r="CI143" s="124" t="str">
        <f>IF($B143="","",IFERROR(-AV143,"n.b."))</f>
        <v/>
      </c>
      <c r="CJ143" s="124" t="str">
        <f>IF($B143="","",IFERROR(-AW143,"n.b."))</f>
        <v/>
      </c>
      <c r="CK143" s="124" t="str">
        <f>IF($B143="","",IFERROR(-AX143,"n.b."))</f>
        <v/>
      </c>
      <c r="CL143" s="124" t="str">
        <f>IF($B143="","",IFERROR(-AY143,"n.b."))</f>
        <v/>
      </c>
      <c r="CM143" s="124" t="str">
        <f>IF($B143="","",IFERROR(-AZ143,"n.b."))</f>
        <v/>
      </c>
      <c r="CN143" s="124" t="str">
        <f>IF($B143="","",IFERROR(-BA143,"n.b."))</f>
        <v/>
      </c>
      <c r="CO143" s="124" t="str">
        <f>IF($B143="","",IFERROR(-BB143,"n.b."))</f>
        <v/>
      </c>
      <c r="CP143" s="124" t="str">
        <f>IF($B143="","",IFERROR(-BC143,"n.b."))</f>
        <v/>
      </c>
      <c r="CQ143" s="124" t="str">
        <f>IF($B143="","",IFERROR(-BD143,"n.b."))</f>
        <v/>
      </c>
      <c r="CR143" s="124" t="str">
        <f>IF($B143="","",IFERROR(-BE143,"n.b."))</f>
        <v/>
      </c>
      <c r="CS143" s="124" t="str">
        <f>IF($B143="","",IFERROR(IF(OR(ABS(T143+V143+X143+Z143-AB143)&gt;P_Tol,ABS(U143+W143+Y143+AA143-AD143)&gt;P_Tol,ABS(AE143+AG143+AI143+AK143-AM143)&gt;P_Tol,ABS(AF143+AH143+AJ143+AL143-AO143)&gt;P_Tol),1,0),1))</f>
        <v/>
      </c>
      <c r="CT143" s="124" t="str">
        <f>IF($B143="","",IFERROR(IF(OR(ABS(AB143+AC143-AD143)&gt;P_Tol,ABS(AM143+AN143-AO143)&gt;P_Tol,ABS(O143+P143-Q143)&gt;P_Tol),1,0),1))</f>
        <v/>
      </c>
      <c r="CU143" s="124" t="str">
        <f>IF($B143="","",IFERROR(IF(ABS(R143-(AB143+AM143+AP143+AR143+AT143+AV143+AX143+AZ143+BB143+BD143))&gt;P_Tol,1,0),1))</f>
        <v/>
      </c>
      <c r="CV143" s="124" t="str">
        <f>IF($B143="","",IFERROR(IF(ABS(M143-(N143+O143+R143))&gt;P_Tol,1,0),1))</f>
        <v/>
      </c>
      <c r="CW143" s="124" t="str">
        <f>IF($B143="","",IF(COUNTIF(Mapping!$A$5:$A$104,B143)&gt;0,1,0))</f>
        <v/>
      </c>
      <c r="CX143" s="124" t="str">
        <f>IF($B143="","",COUNTIF($B$6:$B$505,B143))</f>
        <v/>
      </c>
      <c r="CY143" s="124" t="str">
        <f>IF($B143="","",COUNTIF(STG_Woningetalage!$B$6:$B$505,B143))</f>
        <v/>
      </c>
      <c r="CZ143" s="124" t="str">
        <f>IF($B143="","",IF(CW143=0,COUNTIF($CW$6:CW143,0),""))</f>
        <v/>
      </c>
    </row>
    <row r="144">
      <c r="A144" s="15" t="n">
        <v>140</v>
      </c>
      <c r="B144" t="str">
        <f>IF(B$3=0,"",IF(INDEX(SRC_ZPMW03!$A$1:$ZZ$501,$A144,B$3)&amp;""="","",INDEX(SRC_ZPMW03!$A$1:$ZZ$501,$A144,B$3)&amp;""))</f>
        <v/>
      </c>
      <c r="C144" t="str">
        <f>IF($B144="","",IF(C$3=0,"n.b.",INDEX(SRC_ZPMW03!$A$1:$ZZ$501,$A144,C$3)))</f>
        <v/>
      </c>
      <c r="D144" t="str">
        <f>IF($B144="","",IF(D$3=0,"n.b.",INDEX(SRC_ZPMW03!$A$1:$ZZ$501,$A144,D$3)))</f>
        <v/>
      </c>
      <c r="E144" t="str">
        <f>IF($B144="","",IF(E$3=0,"n.b.",INDEX(SRC_ZPMW03!$A$1:$ZZ$501,$A144,E$3)))</f>
        <v/>
      </c>
      <c r="F144" t="str">
        <f>IF($B144="","",IF(F$3=0,"n.b.",INDEX(SRC_ZPMW03!$A$1:$ZZ$501,$A144,F$3)))</f>
        <v/>
      </c>
      <c r="G144" t="str">
        <f>IF($B144="","",IF(G$3=0,"n.b.",INDEX(SRC_ZPMW03!$A$1:$ZZ$501,$A144,G$3)))</f>
        <v/>
      </c>
      <c r="H144" t="str">
        <f>IF($B144="","",IF(H$3=0,"n.b.",INDEX(SRC_ZPMW03!$A$1:$ZZ$501,$A144,H$3)))</f>
        <v/>
      </c>
      <c r="I144" t="str">
        <f>IF($B144="","",IF(I$3=0,"n.b.",INDEX(SRC_ZPMW03!$A$1:$ZZ$501,$A144,I$3)))</f>
        <v/>
      </c>
      <c r="J144" t="str">
        <f>IF($B144="","",IF(J$3=0,"n.b.",INDEX(SRC_ZPMW03!$A$1:$ZZ$501,$A144,J$3)))</f>
        <v/>
      </c>
      <c r="K144" t="str">
        <f>IF($B144="","",IF(K$3=0,"n.b.",INDEX(SRC_ZPMW03!$A$1:$ZZ$501,$A144,K$3)))</f>
        <v/>
      </c>
      <c r="L144" s="124" t="str">
        <f>IF($B144="","",IF(L$3=0,"n.b.",INDEX(SRC_ZPMW03!$A$1:$ZZ$501,$A144,L$3)))</f>
        <v/>
      </c>
      <c r="M144" s="124" t="str">
        <f>IF($B144="","",IF(M$3=0,"n.b.",INDEX(SRC_ZPMW03!$A$1:$ZZ$501,$A144,M$3)))</f>
        <v/>
      </c>
      <c r="N144" s="124" t="str">
        <f>IF($B144="","",IF(N$3=0,"n.b.",INDEX(SRC_ZPMW03!$A$1:$ZZ$501,$A144,N$3)))</f>
        <v/>
      </c>
      <c r="O144" s="124" t="str">
        <f>IF($B144="","",IF(O$3=0,"n.b.",INDEX(SRC_ZPMW03!$A$1:$ZZ$501,$A144,O$3)))</f>
        <v/>
      </c>
      <c r="P144" s="124" t="str">
        <f>IF($B144="","",IF(P$3=0,"n.b.",INDEX(SRC_ZPMW03!$A$1:$ZZ$501,$A144,P$3)))</f>
        <v/>
      </c>
      <c r="Q144" s="124" t="str">
        <f>IF($B144="","",IF(Q$3=0,"n.b.",INDEX(SRC_ZPMW03!$A$1:$ZZ$501,$A144,Q$3)))</f>
        <v/>
      </c>
      <c r="R144" s="124" t="str">
        <f>IF($B144="","",IF(R$3=0,"n.b.",INDEX(SRC_ZPMW03!$A$1:$ZZ$501,$A144,R$3)))</f>
        <v/>
      </c>
      <c r="S144" s="124" t="str">
        <f>IF($B144="","",IF(S$3=0,"n.b.",INDEX(SRC_ZPMW03!$A$1:$ZZ$501,$A144,S$3)))</f>
        <v/>
      </c>
      <c r="T144" s="124" t="str">
        <f>IF($B144="","",IF(T$3=0,"n.b.",INDEX(SRC_ZPMW03!$A$1:$ZZ$501,$A144,T$3)))</f>
        <v/>
      </c>
      <c r="U144" s="124" t="str">
        <f>IF($B144="","",IF(U$3=0,"n.b.",INDEX(SRC_ZPMW03!$A$1:$ZZ$501,$A144,U$3)))</f>
        <v/>
      </c>
      <c r="V144" s="124" t="str">
        <f>IF($B144="","",IF(V$3=0,"n.b.",INDEX(SRC_ZPMW03!$A$1:$ZZ$501,$A144,V$3)))</f>
        <v/>
      </c>
      <c r="W144" s="124" t="str">
        <f>IF($B144="","",IF(W$3=0,"n.b.",INDEX(SRC_ZPMW03!$A$1:$ZZ$501,$A144,W$3)))</f>
        <v/>
      </c>
      <c r="X144" s="124" t="str">
        <f>IF($B144="","",IF(X$3=0,"n.b.",INDEX(SRC_ZPMW03!$A$1:$ZZ$501,$A144,X$3)))</f>
        <v/>
      </c>
      <c r="Y144" s="124" t="str">
        <f>IF($B144="","",IF(Y$3=0,"n.b.",INDEX(SRC_ZPMW03!$A$1:$ZZ$501,$A144,Y$3)))</f>
        <v/>
      </c>
      <c r="Z144" s="124" t="str">
        <f>IF($B144="","",IF(Z$3=0,"n.b.",INDEX(SRC_ZPMW03!$A$1:$ZZ$501,$A144,Z$3)))</f>
        <v/>
      </c>
      <c r="AA144" s="124" t="str">
        <f>IF($B144="","",IF(AA$3=0,"n.b.",INDEX(SRC_ZPMW03!$A$1:$ZZ$501,$A144,AA$3)))</f>
        <v/>
      </c>
      <c r="AB144" s="124" t="str">
        <f>IF($B144="","",IF(AB$3=0,"n.b.",INDEX(SRC_ZPMW03!$A$1:$ZZ$501,$A144,AB$3)))</f>
        <v/>
      </c>
      <c r="AC144" s="124" t="str">
        <f>IF($B144="","",IF(AC$3=0,"n.b.",INDEX(SRC_ZPMW03!$A$1:$ZZ$501,$A144,AC$3)))</f>
        <v/>
      </c>
      <c r="AD144" s="124" t="str">
        <f>IF($B144="","",IF(AD$3=0,"n.b.",INDEX(SRC_ZPMW03!$A$1:$ZZ$501,$A144,AD$3)))</f>
        <v/>
      </c>
      <c r="AE144" s="124" t="str">
        <f>IF($B144="","",IF(AE$3=0,"n.b.",INDEX(SRC_ZPMW03!$A$1:$ZZ$501,$A144,AE$3)))</f>
        <v/>
      </c>
      <c r="AF144" s="124" t="str">
        <f>IF($B144="","",IF(AF$3=0,"n.b.",INDEX(SRC_ZPMW03!$A$1:$ZZ$501,$A144,AF$3)))</f>
        <v/>
      </c>
      <c r="AG144" s="124" t="str">
        <f>IF($B144="","",IF(AG$3=0,"n.b.",INDEX(SRC_ZPMW03!$A$1:$ZZ$501,$A144,AG$3)))</f>
        <v/>
      </c>
      <c r="AH144" s="124" t="str">
        <f>IF($B144="","",IF(AH$3=0,"n.b.",INDEX(SRC_ZPMW03!$A$1:$ZZ$501,$A144,AH$3)))</f>
        <v/>
      </c>
      <c r="AI144" s="124" t="str">
        <f>IF($B144="","",IF(AI$3=0,"n.b.",INDEX(SRC_ZPMW03!$A$1:$ZZ$501,$A144,AI$3)))</f>
        <v/>
      </c>
      <c r="AJ144" s="124" t="str">
        <f>IF($B144="","",IF(AJ$3=0,"n.b.",INDEX(SRC_ZPMW03!$A$1:$ZZ$501,$A144,AJ$3)))</f>
        <v/>
      </c>
      <c r="AK144" s="124" t="str">
        <f>IF($B144="","",IF(AK$3=0,"n.b.",INDEX(SRC_ZPMW03!$A$1:$ZZ$501,$A144,AK$3)))</f>
        <v/>
      </c>
      <c r="AL144" s="124" t="str">
        <f>IF($B144="","",IF(AL$3=0,"n.b.",INDEX(SRC_ZPMW03!$A$1:$ZZ$501,$A144,AL$3)))</f>
        <v/>
      </c>
      <c r="AM144" s="124" t="str">
        <f>IF($B144="","",IF(AM$3=0,"n.b.",INDEX(SRC_ZPMW03!$A$1:$ZZ$501,$A144,AM$3)))</f>
        <v/>
      </c>
      <c r="AN144" s="124" t="str">
        <f>IF($B144="","",IF(AN$3=0,"n.b.",INDEX(SRC_ZPMW03!$A$1:$ZZ$501,$A144,AN$3)))</f>
        <v/>
      </c>
      <c r="AO144" s="124" t="str">
        <f>IF($B144="","",IF(AO$3=0,"n.b.",INDEX(SRC_ZPMW03!$A$1:$ZZ$501,$A144,AO$3)))</f>
        <v/>
      </c>
      <c r="AP144" s="124" t="str">
        <f>IF($B144="","",IF(AP$3=0,"n.b.",INDEX(SRC_ZPMW03!$A$1:$ZZ$501,$A144,AP$3)))</f>
        <v/>
      </c>
      <c r="AQ144" s="124" t="str">
        <f>IF($B144="","",IF(AQ$3=0,"n.b.",INDEX(SRC_ZPMW03!$A$1:$ZZ$501,$A144,AQ$3)))</f>
        <v/>
      </c>
      <c r="AR144" s="124" t="str">
        <f>IF($B144="","",IF(AR$3=0,"n.b.",INDEX(SRC_ZPMW03!$A$1:$ZZ$501,$A144,AR$3)))</f>
        <v/>
      </c>
      <c r="AS144" s="124" t="str">
        <f>IF($B144="","",IF(AS$3=0,"n.b.",INDEX(SRC_ZPMW03!$A$1:$ZZ$501,$A144,AS$3)))</f>
        <v/>
      </c>
      <c r="AT144" s="124" t="str">
        <f>IF($B144="","",IF(AT$3=0,"n.b.",INDEX(SRC_ZPMW03!$A$1:$ZZ$501,$A144,AT$3)))</f>
        <v/>
      </c>
      <c r="AU144" s="124" t="str">
        <f>IF($B144="","",IF(AU$3=0,"n.b.",INDEX(SRC_ZPMW03!$A$1:$ZZ$501,$A144,AU$3)))</f>
        <v/>
      </c>
      <c r="AV144" s="124" t="str">
        <f>IF($B144="","",IF(AV$3=0,"n.b.",INDEX(SRC_ZPMW03!$A$1:$ZZ$501,$A144,AV$3)))</f>
        <v/>
      </c>
      <c r="AW144" s="124" t="str">
        <f>IF($B144="","",IF(AW$3=0,"n.b.",INDEX(SRC_ZPMW03!$A$1:$ZZ$501,$A144,AW$3)))</f>
        <v/>
      </c>
      <c r="AX144" s="124" t="str">
        <f>IF($B144="","",IF(AX$3=0,"n.b.",INDEX(SRC_ZPMW03!$A$1:$ZZ$501,$A144,AX$3)))</f>
        <v/>
      </c>
      <c r="AY144" s="124" t="str">
        <f>IF($B144="","",IF(AY$3=0,"n.b.",INDEX(SRC_ZPMW03!$A$1:$ZZ$501,$A144,AY$3)))</f>
        <v/>
      </c>
      <c r="AZ144" s="124" t="str">
        <f>IF($B144="","",IF(AZ$3=0,"n.b.",INDEX(SRC_ZPMW03!$A$1:$ZZ$501,$A144,AZ$3)))</f>
        <v/>
      </c>
      <c r="BA144" s="124" t="str">
        <f>IF($B144="","",IF(BA$3=0,"n.b.",INDEX(SRC_ZPMW03!$A$1:$ZZ$501,$A144,BA$3)))</f>
        <v/>
      </c>
      <c r="BB144" s="124" t="str">
        <f>IF($B144="","",IF(BB$3=0,"n.b.",INDEX(SRC_ZPMW03!$A$1:$ZZ$501,$A144,BB$3)))</f>
        <v/>
      </c>
      <c r="BC144" s="124" t="str">
        <f>IF($B144="","",IF(BC$3=0,"n.b.",INDEX(SRC_ZPMW03!$A$1:$ZZ$501,$A144,BC$3)))</f>
        <v/>
      </c>
      <c r="BD144" s="124" t="str">
        <f>IF($B144="","",IF(BD$3=0,"n.b.",INDEX(SRC_ZPMW03!$A$1:$ZZ$501,$A144,BD$3)))</f>
        <v/>
      </c>
      <c r="BE144" s="124" t="str">
        <f>IF($B144="","",IF(BE$3=0,"n.b.",INDEX(SRC_ZPMW03!$A$1:$ZZ$501,$A144,BE$3)))</f>
        <v/>
      </c>
      <c r="BF144" s="124" t="str">
        <f>IF($B144="","",IF(BF$3=0,"n.b.",INDEX(SRC_ZPMW03!$A$1:$ZZ$501,$A144,BF$3)))</f>
        <v/>
      </c>
      <c r="BG144" t="str">
        <f>IF($B144="","",IF(BG$3=0,"n.b.",INDEX(SRC_ZPMW03!$A$1:$ZZ$501,$A144,BG$3)))</f>
        <v/>
      </c>
      <c r="BH144" t="str">
        <f>IF($B144="","",IF(BH$3=0,"n.b.",INDEX(SRC_ZPMW03!$A$1:$ZZ$501,$A144,BH$3)))</f>
        <v/>
      </c>
      <c r="BI144" t="str">
        <f>IF($B144="","",IF(BI$3=0,"n.b.",INDEX(SRC_ZPMW03!$A$1:$ZZ$501,$A144,BI$3)))</f>
        <v/>
      </c>
      <c r="BJ144" t="str">
        <f>IF($B144="","",IF(BJ$3=0,"n.b.",INDEX(SRC_ZPMW03!$A$1:$ZZ$501,$A144,BJ$3)))</f>
        <v/>
      </c>
      <c r="BK144" s="124" t="str">
        <f>IF($B144="","",IFERROR(-O144,"n.b."))</f>
        <v/>
      </c>
      <c r="BL144" s="124" t="str">
        <f>IF($B144="","",IFERROR(-Q144,"n.b."))</f>
        <v/>
      </c>
      <c r="BM144" s="124" t="str">
        <f>IF($B144="","",IFERROR(-AB144,"n.b."))</f>
        <v/>
      </c>
      <c r="BN144" s="124" t="str">
        <f>IF($B144="","",IFERROR(-AD144,"n.b."))</f>
        <v/>
      </c>
      <c r="BO144" s="124" t="str">
        <f>IF($B144="","",IFERROR(BK144+BM144,"n.b."))</f>
        <v/>
      </c>
      <c r="BP144" s="124" t="str">
        <f>IF($B144="","",IFERROR(BL144+BN144,"n.b."))</f>
        <v/>
      </c>
      <c r="BQ144" s="124" t="str">
        <f>IF($B144="","",IFERROR(-AM144,"n.b."))</f>
        <v/>
      </c>
      <c r="BR144" s="124" t="str">
        <f>IF($B144="","",IFERROR(-AO144,"n.b."))</f>
        <v/>
      </c>
      <c r="BS144" s="124" t="str">
        <f>IF($B144="","",IFERROR(-Z144,"n.b."))</f>
        <v/>
      </c>
      <c r="BT144" s="124" t="str">
        <f>IF($B144="","",IFERROR(-AA144,"n.b."))</f>
        <v/>
      </c>
      <c r="BU144" s="124" t="str">
        <f>IF($B144="","",IFERROR(-AE144,"n.b."))</f>
        <v/>
      </c>
      <c r="BV144" s="124" t="str">
        <f>IF($B144="","",IFERROR(-AF144,"n.b."))</f>
        <v/>
      </c>
      <c r="BW144" s="124" t="str">
        <f>IF($B144="","",IFERROR(-AG144,"n.b."))</f>
        <v/>
      </c>
      <c r="BX144" s="124" t="str">
        <f>IF($B144="","",IFERROR(-AH144,"n.b."))</f>
        <v/>
      </c>
      <c r="BY144" s="124" t="str">
        <f>IF($B144="","",IFERROR(-AI144,"n.b."))</f>
        <v/>
      </c>
      <c r="BZ144" s="124" t="str">
        <f>IF($B144="","",IFERROR(-AJ144,"n.b."))</f>
        <v/>
      </c>
      <c r="CA144" s="124" t="str">
        <f>IF($B144="","",IFERROR(-AK144,"n.b."))</f>
        <v/>
      </c>
      <c r="CB144" s="124" t="str">
        <f>IF($B144="","",IFERROR(-AL144,"n.b."))</f>
        <v/>
      </c>
      <c r="CC144" s="124" t="str">
        <f>IF($B144="","",IFERROR(-AP144,"n.b."))</f>
        <v/>
      </c>
      <c r="CD144" s="124" t="str">
        <f>IF($B144="","",IFERROR(-AQ144,"n.b."))</f>
        <v/>
      </c>
      <c r="CE144" s="124" t="str">
        <f>IF($B144="","",IFERROR(-AR144,"n.b."))</f>
        <v/>
      </c>
      <c r="CF144" s="124" t="str">
        <f>IF($B144="","",IFERROR(-AS144,"n.b."))</f>
        <v/>
      </c>
      <c r="CG144" s="124" t="str">
        <f>IF($B144="","",IFERROR(-AT144,"n.b."))</f>
        <v/>
      </c>
      <c r="CH144" s="124" t="str">
        <f>IF($B144="","",IFERROR(-AU144,"n.b."))</f>
        <v/>
      </c>
      <c r="CI144" s="124" t="str">
        <f>IF($B144="","",IFERROR(-AV144,"n.b."))</f>
        <v/>
      </c>
      <c r="CJ144" s="124" t="str">
        <f>IF($B144="","",IFERROR(-AW144,"n.b."))</f>
        <v/>
      </c>
      <c r="CK144" s="124" t="str">
        <f>IF($B144="","",IFERROR(-AX144,"n.b."))</f>
        <v/>
      </c>
      <c r="CL144" s="124" t="str">
        <f>IF($B144="","",IFERROR(-AY144,"n.b."))</f>
        <v/>
      </c>
      <c r="CM144" s="124" t="str">
        <f>IF($B144="","",IFERROR(-AZ144,"n.b."))</f>
        <v/>
      </c>
      <c r="CN144" s="124" t="str">
        <f>IF($B144="","",IFERROR(-BA144,"n.b."))</f>
        <v/>
      </c>
      <c r="CO144" s="124" t="str">
        <f>IF($B144="","",IFERROR(-BB144,"n.b."))</f>
        <v/>
      </c>
      <c r="CP144" s="124" t="str">
        <f>IF($B144="","",IFERROR(-BC144,"n.b."))</f>
        <v/>
      </c>
      <c r="CQ144" s="124" t="str">
        <f>IF($B144="","",IFERROR(-BD144,"n.b."))</f>
        <v/>
      </c>
      <c r="CR144" s="124" t="str">
        <f>IF($B144="","",IFERROR(-BE144,"n.b."))</f>
        <v/>
      </c>
      <c r="CS144" s="124" t="str">
        <f>IF($B144="","",IFERROR(IF(OR(ABS(T144+V144+X144+Z144-AB144)&gt;P_Tol,ABS(U144+W144+Y144+AA144-AD144)&gt;P_Tol,ABS(AE144+AG144+AI144+AK144-AM144)&gt;P_Tol,ABS(AF144+AH144+AJ144+AL144-AO144)&gt;P_Tol),1,0),1))</f>
        <v/>
      </c>
      <c r="CT144" s="124" t="str">
        <f>IF($B144="","",IFERROR(IF(OR(ABS(AB144+AC144-AD144)&gt;P_Tol,ABS(AM144+AN144-AO144)&gt;P_Tol,ABS(O144+P144-Q144)&gt;P_Tol),1,0),1))</f>
        <v/>
      </c>
      <c r="CU144" s="124" t="str">
        <f>IF($B144="","",IFERROR(IF(ABS(R144-(AB144+AM144+AP144+AR144+AT144+AV144+AX144+AZ144+BB144+BD144))&gt;P_Tol,1,0),1))</f>
        <v/>
      </c>
      <c r="CV144" s="124" t="str">
        <f>IF($B144="","",IFERROR(IF(ABS(M144-(N144+O144+R144))&gt;P_Tol,1,0),1))</f>
        <v/>
      </c>
      <c r="CW144" s="124" t="str">
        <f>IF($B144="","",IF(COUNTIF(Mapping!$A$5:$A$104,B144)&gt;0,1,0))</f>
        <v/>
      </c>
      <c r="CX144" s="124" t="str">
        <f>IF($B144="","",COUNTIF($B$6:$B$505,B144))</f>
        <v/>
      </c>
      <c r="CY144" s="124" t="str">
        <f>IF($B144="","",COUNTIF(STG_Woningetalage!$B$6:$B$505,B144))</f>
        <v/>
      </c>
      <c r="CZ144" s="124" t="str">
        <f>IF($B144="","",IF(CW144=0,COUNTIF($CW$6:CW144,0),""))</f>
        <v/>
      </c>
    </row>
    <row r="145">
      <c r="A145" s="15" t="n">
        <v>141</v>
      </c>
      <c r="B145" t="str">
        <f>IF(B$3=0,"",IF(INDEX(SRC_ZPMW03!$A$1:$ZZ$501,$A145,B$3)&amp;""="","",INDEX(SRC_ZPMW03!$A$1:$ZZ$501,$A145,B$3)&amp;""))</f>
        <v/>
      </c>
      <c r="C145" t="str">
        <f>IF($B145="","",IF(C$3=0,"n.b.",INDEX(SRC_ZPMW03!$A$1:$ZZ$501,$A145,C$3)))</f>
        <v/>
      </c>
      <c r="D145" t="str">
        <f>IF($B145="","",IF(D$3=0,"n.b.",INDEX(SRC_ZPMW03!$A$1:$ZZ$501,$A145,D$3)))</f>
        <v/>
      </c>
      <c r="E145" t="str">
        <f>IF($B145="","",IF(E$3=0,"n.b.",INDEX(SRC_ZPMW03!$A$1:$ZZ$501,$A145,E$3)))</f>
        <v/>
      </c>
      <c r="F145" t="str">
        <f>IF($B145="","",IF(F$3=0,"n.b.",INDEX(SRC_ZPMW03!$A$1:$ZZ$501,$A145,F$3)))</f>
        <v/>
      </c>
      <c r="G145" t="str">
        <f>IF($B145="","",IF(G$3=0,"n.b.",INDEX(SRC_ZPMW03!$A$1:$ZZ$501,$A145,G$3)))</f>
        <v/>
      </c>
      <c r="H145" t="str">
        <f>IF($B145="","",IF(H$3=0,"n.b.",INDEX(SRC_ZPMW03!$A$1:$ZZ$501,$A145,H$3)))</f>
        <v/>
      </c>
      <c r="I145" t="str">
        <f>IF($B145="","",IF(I$3=0,"n.b.",INDEX(SRC_ZPMW03!$A$1:$ZZ$501,$A145,I$3)))</f>
        <v/>
      </c>
      <c r="J145" t="str">
        <f>IF($B145="","",IF(J$3=0,"n.b.",INDEX(SRC_ZPMW03!$A$1:$ZZ$501,$A145,J$3)))</f>
        <v/>
      </c>
      <c r="K145" t="str">
        <f>IF($B145="","",IF(K$3=0,"n.b.",INDEX(SRC_ZPMW03!$A$1:$ZZ$501,$A145,K$3)))</f>
        <v/>
      </c>
      <c r="L145" s="124" t="str">
        <f>IF($B145="","",IF(L$3=0,"n.b.",INDEX(SRC_ZPMW03!$A$1:$ZZ$501,$A145,L$3)))</f>
        <v/>
      </c>
      <c r="M145" s="124" t="str">
        <f>IF($B145="","",IF(M$3=0,"n.b.",INDEX(SRC_ZPMW03!$A$1:$ZZ$501,$A145,M$3)))</f>
        <v/>
      </c>
      <c r="N145" s="124" t="str">
        <f>IF($B145="","",IF(N$3=0,"n.b.",INDEX(SRC_ZPMW03!$A$1:$ZZ$501,$A145,N$3)))</f>
        <v/>
      </c>
      <c r="O145" s="124" t="str">
        <f>IF($B145="","",IF(O$3=0,"n.b.",INDEX(SRC_ZPMW03!$A$1:$ZZ$501,$A145,O$3)))</f>
        <v/>
      </c>
      <c r="P145" s="124" t="str">
        <f>IF($B145="","",IF(P$3=0,"n.b.",INDEX(SRC_ZPMW03!$A$1:$ZZ$501,$A145,P$3)))</f>
        <v/>
      </c>
      <c r="Q145" s="124" t="str">
        <f>IF($B145="","",IF(Q$3=0,"n.b.",INDEX(SRC_ZPMW03!$A$1:$ZZ$501,$A145,Q$3)))</f>
        <v/>
      </c>
      <c r="R145" s="124" t="str">
        <f>IF($B145="","",IF(R$3=0,"n.b.",INDEX(SRC_ZPMW03!$A$1:$ZZ$501,$A145,R$3)))</f>
        <v/>
      </c>
      <c r="S145" s="124" t="str">
        <f>IF($B145="","",IF(S$3=0,"n.b.",INDEX(SRC_ZPMW03!$A$1:$ZZ$501,$A145,S$3)))</f>
        <v/>
      </c>
      <c r="T145" s="124" t="str">
        <f>IF($B145="","",IF(T$3=0,"n.b.",INDEX(SRC_ZPMW03!$A$1:$ZZ$501,$A145,T$3)))</f>
        <v/>
      </c>
      <c r="U145" s="124" t="str">
        <f>IF($B145="","",IF(U$3=0,"n.b.",INDEX(SRC_ZPMW03!$A$1:$ZZ$501,$A145,U$3)))</f>
        <v/>
      </c>
      <c r="V145" s="124" t="str">
        <f>IF($B145="","",IF(V$3=0,"n.b.",INDEX(SRC_ZPMW03!$A$1:$ZZ$501,$A145,V$3)))</f>
        <v/>
      </c>
      <c r="W145" s="124" t="str">
        <f>IF($B145="","",IF(W$3=0,"n.b.",INDEX(SRC_ZPMW03!$A$1:$ZZ$501,$A145,W$3)))</f>
        <v/>
      </c>
      <c r="X145" s="124" t="str">
        <f>IF($B145="","",IF(X$3=0,"n.b.",INDEX(SRC_ZPMW03!$A$1:$ZZ$501,$A145,X$3)))</f>
        <v/>
      </c>
      <c r="Y145" s="124" t="str">
        <f>IF($B145="","",IF(Y$3=0,"n.b.",INDEX(SRC_ZPMW03!$A$1:$ZZ$501,$A145,Y$3)))</f>
        <v/>
      </c>
      <c r="Z145" s="124" t="str">
        <f>IF($B145="","",IF(Z$3=0,"n.b.",INDEX(SRC_ZPMW03!$A$1:$ZZ$501,$A145,Z$3)))</f>
        <v/>
      </c>
      <c r="AA145" s="124" t="str">
        <f>IF($B145="","",IF(AA$3=0,"n.b.",INDEX(SRC_ZPMW03!$A$1:$ZZ$501,$A145,AA$3)))</f>
        <v/>
      </c>
      <c r="AB145" s="124" t="str">
        <f>IF($B145="","",IF(AB$3=0,"n.b.",INDEX(SRC_ZPMW03!$A$1:$ZZ$501,$A145,AB$3)))</f>
        <v/>
      </c>
      <c r="AC145" s="124" t="str">
        <f>IF($B145="","",IF(AC$3=0,"n.b.",INDEX(SRC_ZPMW03!$A$1:$ZZ$501,$A145,AC$3)))</f>
        <v/>
      </c>
      <c r="AD145" s="124" t="str">
        <f>IF($B145="","",IF(AD$3=0,"n.b.",INDEX(SRC_ZPMW03!$A$1:$ZZ$501,$A145,AD$3)))</f>
        <v/>
      </c>
      <c r="AE145" s="124" t="str">
        <f>IF($B145="","",IF(AE$3=0,"n.b.",INDEX(SRC_ZPMW03!$A$1:$ZZ$501,$A145,AE$3)))</f>
        <v/>
      </c>
      <c r="AF145" s="124" t="str">
        <f>IF($B145="","",IF(AF$3=0,"n.b.",INDEX(SRC_ZPMW03!$A$1:$ZZ$501,$A145,AF$3)))</f>
        <v/>
      </c>
      <c r="AG145" s="124" t="str">
        <f>IF($B145="","",IF(AG$3=0,"n.b.",INDEX(SRC_ZPMW03!$A$1:$ZZ$501,$A145,AG$3)))</f>
        <v/>
      </c>
      <c r="AH145" s="124" t="str">
        <f>IF($B145="","",IF(AH$3=0,"n.b.",INDEX(SRC_ZPMW03!$A$1:$ZZ$501,$A145,AH$3)))</f>
        <v/>
      </c>
      <c r="AI145" s="124" t="str">
        <f>IF($B145="","",IF(AI$3=0,"n.b.",INDEX(SRC_ZPMW03!$A$1:$ZZ$501,$A145,AI$3)))</f>
        <v/>
      </c>
      <c r="AJ145" s="124" t="str">
        <f>IF($B145="","",IF(AJ$3=0,"n.b.",INDEX(SRC_ZPMW03!$A$1:$ZZ$501,$A145,AJ$3)))</f>
        <v/>
      </c>
      <c r="AK145" s="124" t="str">
        <f>IF($B145="","",IF(AK$3=0,"n.b.",INDEX(SRC_ZPMW03!$A$1:$ZZ$501,$A145,AK$3)))</f>
        <v/>
      </c>
      <c r="AL145" s="124" t="str">
        <f>IF($B145="","",IF(AL$3=0,"n.b.",INDEX(SRC_ZPMW03!$A$1:$ZZ$501,$A145,AL$3)))</f>
        <v/>
      </c>
      <c r="AM145" s="124" t="str">
        <f>IF($B145="","",IF(AM$3=0,"n.b.",INDEX(SRC_ZPMW03!$A$1:$ZZ$501,$A145,AM$3)))</f>
        <v/>
      </c>
      <c r="AN145" s="124" t="str">
        <f>IF($B145="","",IF(AN$3=0,"n.b.",INDEX(SRC_ZPMW03!$A$1:$ZZ$501,$A145,AN$3)))</f>
        <v/>
      </c>
      <c r="AO145" s="124" t="str">
        <f>IF($B145="","",IF(AO$3=0,"n.b.",INDEX(SRC_ZPMW03!$A$1:$ZZ$501,$A145,AO$3)))</f>
        <v/>
      </c>
      <c r="AP145" s="124" t="str">
        <f>IF($B145="","",IF(AP$3=0,"n.b.",INDEX(SRC_ZPMW03!$A$1:$ZZ$501,$A145,AP$3)))</f>
        <v/>
      </c>
      <c r="AQ145" s="124" t="str">
        <f>IF($B145="","",IF(AQ$3=0,"n.b.",INDEX(SRC_ZPMW03!$A$1:$ZZ$501,$A145,AQ$3)))</f>
        <v/>
      </c>
      <c r="AR145" s="124" t="str">
        <f>IF($B145="","",IF(AR$3=0,"n.b.",INDEX(SRC_ZPMW03!$A$1:$ZZ$501,$A145,AR$3)))</f>
        <v/>
      </c>
      <c r="AS145" s="124" t="str">
        <f>IF($B145="","",IF(AS$3=0,"n.b.",INDEX(SRC_ZPMW03!$A$1:$ZZ$501,$A145,AS$3)))</f>
        <v/>
      </c>
      <c r="AT145" s="124" t="str">
        <f>IF($B145="","",IF(AT$3=0,"n.b.",INDEX(SRC_ZPMW03!$A$1:$ZZ$501,$A145,AT$3)))</f>
        <v/>
      </c>
      <c r="AU145" s="124" t="str">
        <f>IF($B145="","",IF(AU$3=0,"n.b.",INDEX(SRC_ZPMW03!$A$1:$ZZ$501,$A145,AU$3)))</f>
        <v/>
      </c>
      <c r="AV145" s="124" t="str">
        <f>IF($B145="","",IF(AV$3=0,"n.b.",INDEX(SRC_ZPMW03!$A$1:$ZZ$501,$A145,AV$3)))</f>
        <v/>
      </c>
      <c r="AW145" s="124" t="str">
        <f>IF($B145="","",IF(AW$3=0,"n.b.",INDEX(SRC_ZPMW03!$A$1:$ZZ$501,$A145,AW$3)))</f>
        <v/>
      </c>
      <c r="AX145" s="124" t="str">
        <f>IF($B145="","",IF(AX$3=0,"n.b.",INDEX(SRC_ZPMW03!$A$1:$ZZ$501,$A145,AX$3)))</f>
        <v/>
      </c>
      <c r="AY145" s="124" t="str">
        <f>IF($B145="","",IF(AY$3=0,"n.b.",INDEX(SRC_ZPMW03!$A$1:$ZZ$501,$A145,AY$3)))</f>
        <v/>
      </c>
      <c r="AZ145" s="124" t="str">
        <f>IF($B145="","",IF(AZ$3=0,"n.b.",INDEX(SRC_ZPMW03!$A$1:$ZZ$501,$A145,AZ$3)))</f>
        <v/>
      </c>
      <c r="BA145" s="124" t="str">
        <f>IF($B145="","",IF(BA$3=0,"n.b.",INDEX(SRC_ZPMW03!$A$1:$ZZ$501,$A145,BA$3)))</f>
        <v/>
      </c>
      <c r="BB145" s="124" t="str">
        <f>IF($B145="","",IF(BB$3=0,"n.b.",INDEX(SRC_ZPMW03!$A$1:$ZZ$501,$A145,BB$3)))</f>
        <v/>
      </c>
      <c r="BC145" s="124" t="str">
        <f>IF($B145="","",IF(BC$3=0,"n.b.",INDEX(SRC_ZPMW03!$A$1:$ZZ$501,$A145,BC$3)))</f>
        <v/>
      </c>
      <c r="BD145" s="124" t="str">
        <f>IF($B145="","",IF(BD$3=0,"n.b.",INDEX(SRC_ZPMW03!$A$1:$ZZ$501,$A145,BD$3)))</f>
        <v/>
      </c>
      <c r="BE145" s="124" t="str">
        <f>IF($B145="","",IF(BE$3=0,"n.b.",INDEX(SRC_ZPMW03!$A$1:$ZZ$501,$A145,BE$3)))</f>
        <v/>
      </c>
      <c r="BF145" s="124" t="str">
        <f>IF($B145="","",IF(BF$3=0,"n.b.",INDEX(SRC_ZPMW03!$A$1:$ZZ$501,$A145,BF$3)))</f>
        <v/>
      </c>
      <c r="BG145" t="str">
        <f>IF($B145="","",IF(BG$3=0,"n.b.",INDEX(SRC_ZPMW03!$A$1:$ZZ$501,$A145,BG$3)))</f>
        <v/>
      </c>
      <c r="BH145" t="str">
        <f>IF($B145="","",IF(BH$3=0,"n.b.",INDEX(SRC_ZPMW03!$A$1:$ZZ$501,$A145,BH$3)))</f>
        <v/>
      </c>
      <c r="BI145" t="str">
        <f>IF($B145="","",IF(BI$3=0,"n.b.",INDEX(SRC_ZPMW03!$A$1:$ZZ$501,$A145,BI$3)))</f>
        <v/>
      </c>
      <c r="BJ145" t="str">
        <f>IF($B145="","",IF(BJ$3=0,"n.b.",INDEX(SRC_ZPMW03!$A$1:$ZZ$501,$A145,BJ$3)))</f>
        <v/>
      </c>
      <c r="BK145" s="124" t="str">
        <f>IF($B145="","",IFERROR(-O145,"n.b."))</f>
        <v/>
      </c>
      <c r="BL145" s="124" t="str">
        <f>IF($B145="","",IFERROR(-Q145,"n.b."))</f>
        <v/>
      </c>
      <c r="BM145" s="124" t="str">
        <f>IF($B145="","",IFERROR(-AB145,"n.b."))</f>
        <v/>
      </c>
      <c r="BN145" s="124" t="str">
        <f>IF($B145="","",IFERROR(-AD145,"n.b."))</f>
        <v/>
      </c>
      <c r="BO145" s="124" t="str">
        <f>IF($B145="","",IFERROR(BK145+BM145,"n.b."))</f>
        <v/>
      </c>
      <c r="BP145" s="124" t="str">
        <f>IF($B145="","",IFERROR(BL145+BN145,"n.b."))</f>
        <v/>
      </c>
      <c r="BQ145" s="124" t="str">
        <f>IF($B145="","",IFERROR(-AM145,"n.b."))</f>
        <v/>
      </c>
      <c r="BR145" s="124" t="str">
        <f>IF($B145="","",IFERROR(-AO145,"n.b."))</f>
        <v/>
      </c>
      <c r="BS145" s="124" t="str">
        <f>IF($B145="","",IFERROR(-Z145,"n.b."))</f>
        <v/>
      </c>
      <c r="BT145" s="124" t="str">
        <f>IF($B145="","",IFERROR(-AA145,"n.b."))</f>
        <v/>
      </c>
      <c r="BU145" s="124" t="str">
        <f>IF($B145="","",IFERROR(-AE145,"n.b."))</f>
        <v/>
      </c>
      <c r="BV145" s="124" t="str">
        <f>IF($B145="","",IFERROR(-AF145,"n.b."))</f>
        <v/>
      </c>
      <c r="BW145" s="124" t="str">
        <f>IF($B145="","",IFERROR(-AG145,"n.b."))</f>
        <v/>
      </c>
      <c r="BX145" s="124" t="str">
        <f>IF($B145="","",IFERROR(-AH145,"n.b."))</f>
        <v/>
      </c>
      <c r="BY145" s="124" t="str">
        <f>IF($B145="","",IFERROR(-AI145,"n.b."))</f>
        <v/>
      </c>
      <c r="BZ145" s="124" t="str">
        <f>IF($B145="","",IFERROR(-AJ145,"n.b."))</f>
        <v/>
      </c>
      <c r="CA145" s="124" t="str">
        <f>IF($B145="","",IFERROR(-AK145,"n.b."))</f>
        <v/>
      </c>
      <c r="CB145" s="124" t="str">
        <f>IF($B145="","",IFERROR(-AL145,"n.b."))</f>
        <v/>
      </c>
      <c r="CC145" s="124" t="str">
        <f>IF($B145="","",IFERROR(-AP145,"n.b."))</f>
        <v/>
      </c>
      <c r="CD145" s="124" t="str">
        <f>IF($B145="","",IFERROR(-AQ145,"n.b."))</f>
        <v/>
      </c>
      <c r="CE145" s="124" t="str">
        <f>IF($B145="","",IFERROR(-AR145,"n.b."))</f>
        <v/>
      </c>
      <c r="CF145" s="124" t="str">
        <f>IF($B145="","",IFERROR(-AS145,"n.b."))</f>
        <v/>
      </c>
      <c r="CG145" s="124" t="str">
        <f>IF($B145="","",IFERROR(-AT145,"n.b."))</f>
        <v/>
      </c>
      <c r="CH145" s="124" t="str">
        <f>IF($B145="","",IFERROR(-AU145,"n.b."))</f>
        <v/>
      </c>
      <c r="CI145" s="124" t="str">
        <f>IF($B145="","",IFERROR(-AV145,"n.b."))</f>
        <v/>
      </c>
      <c r="CJ145" s="124" t="str">
        <f>IF($B145="","",IFERROR(-AW145,"n.b."))</f>
        <v/>
      </c>
      <c r="CK145" s="124" t="str">
        <f>IF($B145="","",IFERROR(-AX145,"n.b."))</f>
        <v/>
      </c>
      <c r="CL145" s="124" t="str">
        <f>IF($B145="","",IFERROR(-AY145,"n.b."))</f>
        <v/>
      </c>
      <c r="CM145" s="124" t="str">
        <f>IF($B145="","",IFERROR(-AZ145,"n.b."))</f>
        <v/>
      </c>
      <c r="CN145" s="124" t="str">
        <f>IF($B145="","",IFERROR(-BA145,"n.b."))</f>
        <v/>
      </c>
      <c r="CO145" s="124" t="str">
        <f>IF($B145="","",IFERROR(-BB145,"n.b."))</f>
        <v/>
      </c>
      <c r="CP145" s="124" t="str">
        <f>IF($B145="","",IFERROR(-BC145,"n.b."))</f>
        <v/>
      </c>
      <c r="CQ145" s="124" t="str">
        <f>IF($B145="","",IFERROR(-BD145,"n.b."))</f>
        <v/>
      </c>
      <c r="CR145" s="124" t="str">
        <f>IF($B145="","",IFERROR(-BE145,"n.b."))</f>
        <v/>
      </c>
      <c r="CS145" s="124" t="str">
        <f>IF($B145="","",IFERROR(IF(OR(ABS(T145+V145+X145+Z145-AB145)&gt;P_Tol,ABS(U145+W145+Y145+AA145-AD145)&gt;P_Tol,ABS(AE145+AG145+AI145+AK145-AM145)&gt;P_Tol,ABS(AF145+AH145+AJ145+AL145-AO145)&gt;P_Tol),1,0),1))</f>
        <v/>
      </c>
      <c r="CT145" s="124" t="str">
        <f>IF($B145="","",IFERROR(IF(OR(ABS(AB145+AC145-AD145)&gt;P_Tol,ABS(AM145+AN145-AO145)&gt;P_Tol,ABS(O145+P145-Q145)&gt;P_Tol),1,0),1))</f>
        <v/>
      </c>
      <c r="CU145" s="124" t="str">
        <f>IF($B145="","",IFERROR(IF(ABS(R145-(AB145+AM145+AP145+AR145+AT145+AV145+AX145+AZ145+BB145+BD145))&gt;P_Tol,1,0),1))</f>
        <v/>
      </c>
      <c r="CV145" s="124" t="str">
        <f>IF($B145="","",IFERROR(IF(ABS(M145-(N145+O145+R145))&gt;P_Tol,1,0),1))</f>
        <v/>
      </c>
      <c r="CW145" s="124" t="str">
        <f>IF($B145="","",IF(COUNTIF(Mapping!$A$5:$A$104,B145)&gt;0,1,0))</f>
        <v/>
      </c>
      <c r="CX145" s="124" t="str">
        <f>IF($B145="","",COUNTIF($B$6:$B$505,B145))</f>
        <v/>
      </c>
      <c r="CY145" s="124" t="str">
        <f>IF($B145="","",COUNTIF(STG_Woningetalage!$B$6:$B$505,B145))</f>
        <v/>
      </c>
      <c r="CZ145" s="124" t="str">
        <f>IF($B145="","",IF(CW145=0,COUNTIF($CW$6:CW145,0),""))</f>
        <v/>
      </c>
    </row>
    <row r="146">
      <c r="A146" s="15" t="n">
        <v>142</v>
      </c>
      <c r="B146" t="str">
        <f>IF(B$3=0,"",IF(INDEX(SRC_ZPMW03!$A$1:$ZZ$501,$A146,B$3)&amp;""="","",INDEX(SRC_ZPMW03!$A$1:$ZZ$501,$A146,B$3)&amp;""))</f>
        <v/>
      </c>
      <c r="C146" t="str">
        <f>IF($B146="","",IF(C$3=0,"n.b.",INDEX(SRC_ZPMW03!$A$1:$ZZ$501,$A146,C$3)))</f>
        <v/>
      </c>
      <c r="D146" t="str">
        <f>IF($B146="","",IF(D$3=0,"n.b.",INDEX(SRC_ZPMW03!$A$1:$ZZ$501,$A146,D$3)))</f>
        <v/>
      </c>
      <c r="E146" t="str">
        <f>IF($B146="","",IF(E$3=0,"n.b.",INDEX(SRC_ZPMW03!$A$1:$ZZ$501,$A146,E$3)))</f>
        <v/>
      </c>
      <c r="F146" t="str">
        <f>IF($B146="","",IF(F$3=0,"n.b.",INDEX(SRC_ZPMW03!$A$1:$ZZ$501,$A146,F$3)))</f>
        <v/>
      </c>
      <c r="G146" t="str">
        <f>IF($B146="","",IF(G$3=0,"n.b.",INDEX(SRC_ZPMW03!$A$1:$ZZ$501,$A146,G$3)))</f>
        <v/>
      </c>
      <c r="H146" t="str">
        <f>IF($B146="","",IF(H$3=0,"n.b.",INDEX(SRC_ZPMW03!$A$1:$ZZ$501,$A146,H$3)))</f>
        <v/>
      </c>
      <c r="I146" t="str">
        <f>IF($B146="","",IF(I$3=0,"n.b.",INDEX(SRC_ZPMW03!$A$1:$ZZ$501,$A146,I$3)))</f>
        <v/>
      </c>
      <c r="J146" t="str">
        <f>IF($B146="","",IF(J$3=0,"n.b.",INDEX(SRC_ZPMW03!$A$1:$ZZ$501,$A146,J$3)))</f>
        <v/>
      </c>
      <c r="K146" t="str">
        <f>IF($B146="","",IF(K$3=0,"n.b.",INDEX(SRC_ZPMW03!$A$1:$ZZ$501,$A146,K$3)))</f>
        <v/>
      </c>
      <c r="L146" s="124" t="str">
        <f>IF($B146="","",IF(L$3=0,"n.b.",INDEX(SRC_ZPMW03!$A$1:$ZZ$501,$A146,L$3)))</f>
        <v/>
      </c>
      <c r="M146" s="124" t="str">
        <f>IF($B146="","",IF(M$3=0,"n.b.",INDEX(SRC_ZPMW03!$A$1:$ZZ$501,$A146,M$3)))</f>
        <v/>
      </c>
      <c r="N146" s="124" t="str">
        <f>IF($B146="","",IF(N$3=0,"n.b.",INDEX(SRC_ZPMW03!$A$1:$ZZ$501,$A146,N$3)))</f>
        <v/>
      </c>
      <c r="O146" s="124" t="str">
        <f>IF($B146="","",IF(O$3=0,"n.b.",INDEX(SRC_ZPMW03!$A$1:$ZZ$501,$A146,O$3)))</f>
        <v/>
      </c>
      <c r="P146" s="124" t="str">
        <f>IF($B146="","",IF(P$3=0,"n.b.",INDEX(SRC_ZPMW03!$A$1:$ZZ$501,$A146,P$3)))</f>
        <v/>
      </c>
      <c r="Q146" s="124" t="str">
        <f>IF($B146="","",IF(Q$3=0,"n.b.",INDEX(SRC_ZPMW03!$A$1:$ZZ$501,$A146,Q$3)))</f>
        <v/>
      </c>
      <c r="R146" s="124" t="str">
        <f>IF($B146="","",IF(R$3=0,"n.b.",INDEX(SRC_ZPMW03!$A$1:$ZZ$501,$A146,R$3)))</f>
        <v/>
      </c>
      <c r="S146" s="124" t="str">
        <f>IF($B146="","",IF(S$3=0,"n.b.",INDEX(SRC_ZPMW03!$A$1:$ZZ$501,$A146,S$3)))</f>
        <v/>
      </c>
      <c r="T146" s="124" t="str">
        <f>IF($B146="","",IF(T$3=0,"n.b.",INDEX(SRC_ZPMW03!$A$1:$ZZ$501,$A146,T$3)))</f>
        <v/>
      </c>
      <c r="U146" s="124" t="str">
        <f>IF($B146="","",IF(U$3=0,"n.b.",INDEX(SRC_ZPMW03!$A$1:$ZZ$501,$A146,U$3)))</f>
        <v/>
      </c>
      <c r="V146" s="124" t="str">
        <f>IF($B146="","",IF(V$3=0,"n.b.",INDEX(SRC_ZPMW03!$A$1:$ZZ$501,$A146,V$3)))</f>
        <v/>
      </c>
      <c r="W146" s="124" t="str">
        <f>IF($B146="","",IF(W$3=0,"n.b.",INDEX(SRC_ZPMW03!$A$1:$ZZ$501,$A146,W$3)))</f>
        <v/>
      </c>
      <c r="X146" s="124" t="str">
        <f>IF($B146="","",IF(X$3=0,"n.b.",INDEX(SRC_ZPMW03!$A$1:$ZZ$501,$A146,X$3)))</f>
        <v/>
      </c>
      <c r="Y146" s="124" t="str">
        <f>IF($B146="","",IF(Y$3=0,"n.b.",INDEX(SRC_ZPMW03!$A$1:$ZZ$501,$A146,Y$3)))</f>
        <v/>
      </c>
      <c r="Z146" s="124" t="str">
        <f>IF($B146="","",IF(Z$3=0,"n.b.",INDEX(SRC_ZPMW03!$A$1:$ZZ$501,$A146,Z$3)))</f>
        <v/>
      </c>
      <c r="AA146" s="124" t="str">
        <f>IF($B146="","",IF(AA$3=0,"n.b.",INDEX(SRC_ZPMW03!$A$1:$ZZ$501,$A146,AA$3)))</f>
        <v/>
      </c>
      <c r="AB146" s="124" t="str">
        <f>IF($B146="","",IF(AB$3=0,"n.b.",INDEX(SRC_ZPMW03!$A$1:$ZZ$501,$A146,AB$3)))</f>
        <v/>
      </c>
      <c r="AC146" s="124" t="str">
        <f>IF($B146="","",IF(AC$3=0,"n.b.",INDEX(SRC_ZPMW03!$A$1:$ZZ$501,$A146,AC$3)))</f>
        <v/>
      </c>
      <c r="AD146" s="124" t="str">
        <f>IF($B146="","",IF(AD$3=0,"n.b.",INDEX(SRC_ZPMW03!$A$1:$ZZ$501,$A146,AD$3)))</f>
        <v/>
      </c>
      <c r="AE146" s="124" t="str">
        <f>IF($B146="","",IF(AE$3=0,"n.b.",INDEX(SRC_ZPMW03!$A$1:$ZZ$501,$A146,AE$3)))</f>
        <v/>
      </c>
      <c r="AF146" s="124" t="str">
        <f>IF($B146="","",IF(AF$3=0,"n.b.",INDEX(SRC_ZPMW03!$A$1:$ZZ$501,$A146,AF$3)))</f>
        <v/>
      </c>
      <c r="AG146" s="124" t="str">
        <f>IF($B146="","",IF(AG$3=0,"n.b.",INDEX(SRC_ZPMW03!$A$1:$ZZ$501,$A146,AG$3)))</f>
        <v/>
      </c>
      <c r="AH146" s="124" t="str">
        <f>IF($B146="","",IF(AH$3=0,"n.b.",INDEX(SRC_ZPMW03!$A$1:$ZZ$501,$A146,AH$3)))</f>
        <v/>
      </c>
      <c r="AI146" s="124" t="str">
        <f>IF($B146="","",IF(AI$3=0,"n.b.",INDEX(SRC_ZPMW03!$A$1:$ZZ$501,$A146,AI$3)))</f>
        <v/>
      </c>
      <c r="AJ146" s="124" t="str">
        <f>IF($B146="","",IF(AJ$3=0,"n.b.",INDEX(SRC_ZPMW03!$A$1:$ZZ$501,$A146,AJ$3)))</f>
        <v/>
      </c>
      <c r="AK146" s="124" t="str">
        <f>IF($B146="","",IF(AK$3=0,"n.b.",INDEX(SRC_ZPMW03!$A$1:$ZZ$501,$A146,AK$3)))</f>
        <v/>
      </c>
      <c r="AL146" s="124" t="str">
        <f>IF($B146="","",IF(AL$3=0,"n.b.",INDEX(SRC_ZPMW03!$A$1:$ZZ$501,$A146,AL$3)))</f>
        <v/>
      </c>
      <c r="AM146" s="124" t="str">
        <f>IF($B146="","",IF(AM$3=0,"n.b.",INDEX(SRC_ZPMW03!$A$1:$ZZ$501,$A146,AM$3)))</f>
        <v/>
      </c>
      <c r="AN146" s="124" t="str">
        <f>IF($B146="","",IF(AN$3=0,"n.b.",INDEX(SRC_ZPMW03!$A$1:$ZZ$501,$A146,AN$3)))</f>
        <v/>
      </c>
      <c r="AO146" s="124" t="str">
        <f>IF($B146="","",IF(AO$3=0,"n.b.",INDEX(SRC_ZPMW03!$A$1:$ZZ$501,$A146,AO$3)))</f>
        <v/>
      </c>
      <c r="AP146" s="124" t="str">
        <f>IF($B146="","",IF(AP$3=0,"n.b.",INDEX(SRC_ZPMW03!$A$1:$ZZ$501,$A146,AP$3)))</f>
        <v/>
      </c>
      <c r="AQ146" s="124" t="str">
        <f>IF($B146="","",IF(AQ$3=0,"n.b.",INDEX(SRC_ZPMW03!$A$1:$ZZ$501,$A146,AQ$3)))</f>
        <v/>
      </c>
      <c r="AR146" s="124" t="str">
        <f>IF($B146="","",IF(AR$3=0,"n.b.",INDEX(SRC_ZPMW03!$A$1:$ZZ$501,$A146,AR$3)))</f>
        <v/>
      </c>
      <c r="AS146" s="124" t="str">
        <f>IF($B146="","",IF(AS$3=0,"n.b.",INDEX(SRC_ZPMW03!$A$1:$ZZ$501,$A146,AS$3)))</f>
        <v/>
      </c>
      <c r="AT146" s="124" t="str">
        <f>IF($B146="","",IF(AT$3=0,"n.b.",INDEX(SRC_ZPMW03!$A$1:$ZZ$501,$A146,AT$3)))</f>
        <v/>
      </c>
      <c r="AU146" s="124" t="str">
        <f>IF($B146="","",IF(AU$3=0,"n.b.",INDEX(SRC_ZPMW03!$A$1:$ZZ$501,$A146,AU$3)))</f>
        <v/>
      </c>
      <c r="AV146" s="124" t="str">
        <f>IF($B146="","",IF(AV$3=0,"n.b.",INDEX(SRC_ZPMW03!$A$1:$ZZ$501,$A146,AV$3)))</f>
        <v/>
      </c>
      <c r="AW146" s="124" t="str">
        <f>IF($B146="","",IF(AW$3=0,"n.b.",INDEX(SRC_ZPMW03!$A$1:$ZZ$501,$A146,AW$3)))</f>
        <v/>
      </c>
      <c r="AX146" s="124" t="str">
        <f>IF($B146="","",IF(AX$3=0,"n.b.",INDEX(SRC_ZPMW03!$A$1:$ZZ$501,$A146,AX$3)))</f>
        <v/>
      </c>
      <c r="AY146" s="124" t="str">
        <f>IF($B146="","",IF(AY$3=0,"n.b.",INDEX(SRC_ZPMW03!$A$1:$ZZ$501,$A146,AY$3)))</f>
        <v/>
      </c>
      <c r="AZ146" s="124" t="str">
        <f>IF($B146="","",IF(AZ$3=0,"n.b.",INDEX(SRC_ZPMW03!$A$1:$ZZ$501,$A146,AZ$3)))</f>
        <v/>
      </c>
      <c r="BA146" s="124" t="str">
        <f>IF($B146="","",IF(BA$3=0,"n.b.",INDEX(SRC_ZPMW03!$A$1:$ZZ$501,$A146,BA$3)))</f>
        <v/>
      </c>
      <c r="BB146" s="124" t="str">
        <f>IF($B146="","",IF(BB$3=0,"n.b.",INDEX(SRC_ZPMW03!$A$1:$ZZ$501,$A146,BB$3)))</f>
        <v/>
      </c>
      <c r="BC146" s="124" t="str">
        <f>IF($B146="","",IF(BC$3=0,"n.b.",INDEX(SRC_ZPMW03!$A$1:$ZZ$501,$A146,BC$3)))</f>
        <v/>
      </c>
      <c r="BD146" s="124" t="str">
        <f>IF($B146="","",IF(BD$3=0,"n.b.",INDEX(SRC_ZPMW03!$A$1:$ZZ$501,$A146,BD$3)))</f>
        <v/>
      </c>
      <c r="BE146" s="124" t="str">
        <f>IF($B146="","",IF(BE$3=0,"n.b.",INDEX(SRC_ZPMW03!$A$1:$ZZ$501,$A146,BE$3)))</f>
        <v/>
      </c>
      <c r="BF146" s="124" t="str">
        <f>IF($B146="","",IF(BF$3=0,"n.b.",INDEX(SRC_ZPMW03!$A$1:$ZZ$501,$A146,BF$3)))</f>
        <v/>
      </c>
      <c r="BG146" t="str">
        <f>IF($B146="","",IF(BG$3=0,"n.b.",INDEX(SRC_ZPMW03!$A$1:$ZZ$501,$A146,BG$3)))</f>
        <v/>
      </c>
      <c r="BH146" t="str">
        <f>IF($B146="","",IF(BH$3=0,"n.b.",INDEX(SRC_ZPMW03!$A$1:$ZZ$501,$A146,BH$3)))</f>
        <v/>
      </c>
      <c r="BI146" t="str">
        <f>IF($B146="","",IF(BI$3=0,"n.b.",INDEX(SRC_ZPMW03!$A$1:$ZZ$501,$A146,BI$3)))</f>
        <v/>
      </c>
      <c r="BJ146" t="str">
        <f>IF($B146="","",IF(BJ$3=0,"n.b.",INDEX(SRC_ZPMW03!$A$1:$ZZ$501,$A146,BJ$3)))</f>
        <v/>
      </c>
      <c r="BK146" s="124" t="str">
        <f>IF($B146="","",IFERROR(-O146,"n.b."))</f>
        <v/>
      </c>
      <c r="BL146" s="124" t="str">
        <f>IF($B146="","",IFERROR(-Q146,"n.b."))</f>
        <v/>
      </c>
      <c r="BM146" s="124" t="str">
        <f>IF($B146="","",IFERROR(-AB146,"n.b."))</f>
        <v/>
      </c>
      <c r="BN146" s="124" t="str">
        <f>IF($B146="","",IFERROR(-AD146,"n.b."))</f>
        <v/>
      </c>
      <c r="BO146" s="124" t="str">
        <f>IF($B146="","",IFERROR(BK146+BM146,"n.b."))</f>
        <v/>
      </c>
      <c r="BP146" s="124" t="str">
        <f>IF($B146="","",IFERROR(BL146+BN146,"n.b."))</f>
        <v/>
      </c>
      <c r="BQ146" s="124" t="str">
        <f>IF($B146="","",IFERROR(-AM146,"n.b."))</f>
        <v/>
      </c>
      <c r="BR146" s="124" t="str">
        <f>IF($B146="","",IFERROR(-AO146,"n.b."))</f>
        <v/>
      </c>
      <c r="BS146" s="124" t="str">
        <f>IF($B146="","",IFERROR(-Z146,"n.b."))</f>
        <v/>
      </c>
      <c r="BT146" s="124" t="str">
        <f>IF($B146="","",IFERROR(-AA146,"n.b."))</f>
        <v/>
      </c>
      <c r="BU146" s="124" t="str">
        <f>IF($B146="","",IFERROR(-AE146,"n.b."))</f>
        <v/>
      </c>
      <c r="BV146" s="124" t="str">
        <f>IF($B146="","",IFERROR(-AF146,"n.b."))</f>
        <v/>
      </c>
      <c r="BW146" s="124" t="str">
        <f>IF($B146="","",IFERROR(-AG146,"n.b."))</f>
        <v/>
      </c>
      <c r="BX146" s="124" t="str">
        <f>IF($B146="","",IFERROR(-AH146,"n.b."))</f>
        <v/>
      </c>
      <c r="BY146" s="124" t="str">
        <f>IF($B146="","",IFERROR(-AI146,"n.b."))</f>
        <v/>
      </c>
      <c r="BZ146" s="124" t="str">
        <f>IF($B146="","",IFERROR(-AJ146,"n.b."))</f>
        <v/>
      </c>
      <c r="CA146" s="124" t="str">
        <f>IF($B146="","",IFERROR(-AK146,"n.b."))</f>
        <v/>
      </c>
      <c r="CB146" s="124" t="str">
        <f>IF($B146="","",IFERROR(-AL146,"n.b."))</f>
        <v/>
      </c>
      <c r="CC146" s="124" t="str">
        <f>IF($B146="","",IFERROR(-AP146,"n.b."))</f>
        <v/>
      </c>
      <c r="CD146" s="124" t="str">
        <f>IF($B146="","",IFERROR(-AQ146,"n.b."))</f>
        <v/>
      </c>
      <c r="CE146" s="124" t="str">
        <f>IF($B146="","",IFERROR(-AR146,"n.b."))</f>
        <v/>
      </c>
      <c r="CF146" s="124" t="str">
        <f>IF($B146="","",IFERROR(-AS146,"n.b."))</f>
        <v/>
      </c>
      <c r="CG146" s="124" t="str">
        <f>IF($B146="","",IFERROR(-AT146,"n.b."))</f>
        <v/>
      </c>
      <c r="CH146" s="124" t="str">
        <f>IF($B146="","",IFERROR(-AU146,"n.b."))</f>
        <v/>
      </c>
      <c r="CI146" s="124" t="str">
        <f>IF($B146="","",IFERROR(-AV146,"n.b."))</f>
        <v/>
      </c>
      <c r="CJ146" s="124" t="str">
        <f>IF($B146="","",IFERROR(-AW146,"n.b."))</f>
        <v/>
      </c>
      <c r="CK146" s="124" t="str">
        <f>IF($B146="","",IFERROR(-AX146,"n.b."))</f>
        <v/>
      </c>
      <c r="CL146" s="124" t="str">
        <f>IF($B146="","",IFERROR(-AY146,"n.b."))</f>
        <v/>
      </c>
      <c r="CM146" s="124" t="str">
        <f>IF($B146="","",IFERROR(-AZ146,"n.b."))</f>
        <v/>
      </c>
      <c r="CN146" s="124" t="str">
        <f>IF($B146="","",IFERROR(-BA146,"n.b."))</f>
        <v/>
      </c>
      <c r="CO146" s="124" t="str">
        <f>IF($B146="","",IFERROR(-BB146,"n.b."))</f>
        <v/>
      </c>
      <c r="CP146" s="124" t="str">
        <f>IF($B146="","",IFERROR(-BC146,"n.b."))</f>
        <v/>
      </c>
      <c r="CQ146" s="124" t="str">
        <f>IF($B146="","",IFERROR(-BD146,"n.b."))</f>
        <v/>
      </c>
      <c r="CR146" s="124" t="str">
        <f>IF($B146="","",IFERROR(-BE146,"n.b."))</f>
        <v/>
      </c>
      <c r="CS146" s="124" t="str">
        <f>IF($B146="","",IFERROR(IF(OR(ABS(T146+V146+X146+Z146-AB146)&gt;P_Tol,ABS(U146+W146+Y146+AA146-AD146)&gt;P_Tol,ABS(AE146+AG146+AI146+AK146-AM146)&gt;P_Tol,ABS(AF146+AH146+AJ146+AL146-AO146)&gt;P_Tol),1,0),1))</f>
        <v/>
      </c>
      <c r="CT146" s="124" t="str">
        <f>IF($B146="","",IFERROR(IF(OR(ABS(AB146+AC146-AD146)&gt;P_Tol,ABS(AM146+AN146-AO146)&gt;P_Tol,ABS(O146+P146-Q146)&gt;P_Tol),1,0),1))</f>
        <v/>
      </c>
      <c r="CU146" s="124" t="str">
        <f>IF($B146="","",IFERROR(IF(ABS(R146-(AB146+AM146+AP146+AR146+AT146+AV146+AX146+AZ146+BB146+BD146))&gt;P_Tol,1,0),1))</f>
        <v/>
      </c>
      <c r="CV146" s="124" t="str">
        <f>IF($B146="","",IFERROR(IF(ABS(M146-(N146+O146+R146))&gt;P_Tol,1,0),1))</f>
        <v/>
      </c>
      <c r="CW146" s="124" t="str">
        <f>IF($B146="","",IF(COUNTIF(Mapping!$A$5:$A$104,B146)&gt;0,1,0))</f>
        <v/>
      </c>
      <c r="CX146" s="124" t="str">
        <f>IF($B146="","",COUNTIF($B$6:$B$505,B146))</f>
        <v/>
      </c>
      <c r="CY146" s="124" t="str">
        <f>IF($B146="","",COUNTIF(STG_Woningetalage!$B$6:$B$505,B146))</f>
        <v/>
      </c>
      <c r="CZ146" s="124" t="str">
        <f>IF($B146="","",IF(CW146=0,COUNTIF($CW$6:CW146,0),""))</f>
        <v/>
      </c>
    </row>
    <row r="147">
      <c r="A147" s="15" t="n">
        <v>143</v>
      </c>
      <c r="B147" t="str">
        <f>IF(B$3=0,"",IF(INDEX(SRC_ZPMW03!$A$1:$ZZ$501,$A147,B$3)&amp;""="","",INDEX(SRC_ZPMW03!$A$1:$ZZ$501,$A147,B$3)&amp;""))</f>
        <v/>
      </c>
      <c r="C147" t="str">
        <f>IF($B147="","",IF(C$3=0,"n.b.",INDEX(SRC_ZPMW03!$A$1:$ZZ$501,$A147,C$3)))</f>
        <v/>
      </c>
      <c r="D147" t="str">
        <f>IF($B147="","",IF(D$3=0,"n.b.",INDEX(SRC_ZPMW03!$A$1:$ZZ$501,$A147,D$3)))</f>
        <v/>
      </c>
      <c r="E147" t="str">
        <f>IF($B147="","",IF(E$3=0,"n.b.",INDEX(SRC_ZPMW03!$A$1:$ZZ$501,$A147,E$3)))</f>
        <v/>
      </c>
      <c r="F147" t="str">
        <f>IF($B147="","",IF(F$3=0,"n.b.",INDEX(SRC_ZPMW03!$A$1:$ZZ$501,$A147,F$3)))</f>
        <v/>
      </c>
      <c r="G147" t="str">
        <f>IF($B147="","",IF(G$3=0,"n.b.",INDEX(SRC_ZPMW03!$A$1:$ZZ$501,$A147,G$3)))</f>
        <v/>
      </c>
      <c r="H147" t="str">
        <f>IF($B147="","",IF(H$3=0,"n.b.",INDEX(SRC_ZPMW03!$A$1:$ZZ$501,$A147,H$3)))</f>
        <v/>
      </c>
      <c r="I147" t="str">
        <f>IF($B147="","",IF(I$3=0,"n.b.",INDEX(SRC_ZPMW03!$A$1:$ZZ$501,$A147,I$3)))</f>
        <v/>
      </c>
      <c r="J147" t="str">
        <f>IF($B147="","",IF(J$3=0,"n.b.",INDEX(SRC_ZPMW03!$A$1:$ZZ$501,$A147,J$3)))</f>
        <v/>
      </c>
      <c r="K147" t="str">
        <f>IF($B147="","",IF(K$3=0,"n.b.",INDEX(SRC_ZPMW03!$A$1:$ZZ$501,$A147,K$3)))</f>
        <v/>
      </c>
      <c r="L147" s="124" t="str">
        <f>IF($B147="","",IF(L$3=0,"n.b.",INDEX(SRC_ZPMW03!$A$1:$ZZ$501,$A147,L$3)))</f>
        <v/>
      </c>
      <c r="M147" s="124" t="str">
        <f>IF($B147="","",IF(M$3=0,"n.b.",INDEX(SRC_ZPMW03!$A$1:$ZZ$501,$A147,M$3)))</f>
        <v/>
      </c>
      <c r="N147" s="124" t="str">
        <f>IF($B147="","",IF(N$3=0,"n.b.",INDEX(SRC_ZPMW03!$A$1:$ZZ$501,$A147,N$3)))</f>
        <v/>
      </c>
      <c r="O147" s="124" t="str">
        <f>IF($B147="","",IF(O$3=0,"n.b.",INDEX(SRC_ZPMW03!$A$1:$ZZ$501,$A147,O$3)))</f>
        <v/>
      </c>
      <c r="P147" s="124" t="str">
        <f>IF($B147="","",IF(P$3=0,"n.b.",INDEX(SRC_ZPMW03!$A$1:$ZZ$501,$A147,P$3)))</f>
        <v/>
      </c>
      <c r="Q147" s="124" t="str">
        <f>IF($B147="","",IF(Q$3=0,"n.b.",INDEX(SRC_ZPMW03!$A$1:$ZZ$501,$A147,Q$3)))</f>
        <v/>
      </c>
      <c r="R147" s="124" t="str">
        <f>IF($B147="","",IF(R$3=0,"n.b.",INDEX(SRC_ZPMW03!$A$1:$ZZ$501,$A147,R$3)))</f>
        <v/>
      </c>
      <c r="S147" s="124" t="str">
        <f>IF($B147="","",IF(S$3=0,"n.b.",INDEX(SRC_ZPMW03!$A$1:$ZZ$501,$A147,S$3)))</f>
        <v/>
      </c>
      <c r="T147" s="124" t="str">
        <f>IF($B147="","",IF(T$3=0,"n.b.",INDEX(SRC_ZPMW03!$A$1:$ZZ$501,$A147,T$3)))</f>
        <v/>
      </c>
      <c r="U147" s="124" t="str">
        <f>IF($B147="","",IF(U$3=0,"n.b.",INDEX(SRC_ZPMW03!$A$1:$ZZ$501,$A147,U$3)))</f>
        <v/>
      </c>
      <c r="V147" s="124" t="str">
        <f>IF($B147="","",IF(V$3=0,"n.b.",INDEX(SRC_ZPMW03!$A$1:$ZZ$501,$A147,V$3)))</f>
        <v/>
      </c>
      <c r="W147" s="124" t="str">
        <f>IF($B147="","",IF(W$3=0,"n.b.",INDEX(SRC_ZPMW03!$A$1:$ZZ$501,$A147,W$3)))</f>
        <v/>
      </c>
      <c r="X147" s="124" t="str">
        <f>IF($B147="","",IF(X$3=0,"n.b.",INDEX(SRC_ZPMW03!$A$1:$ZZ$501,$A147,X$3)))</f>
        <v/>
      </c>
      <c r="Y147" s="124" t="str">
        <f>IF($B147="","",IF(Y$3=0,"n.b.",INDEX(SRC_ZPMW03!$A$1:$ZZ$501,$A147,Y$3)))</f>
        <v/>
      </c>
      <c r="Z147" s="124" t="str">
        <f>IF($B147="","",IF(Z$3=0,"n.b.",INDEX(SRC_ZPMW03!$A$1:$ZZ$501,$A147,Z$3)))</f>
        <v/>
      </c>
      <c r="AA147" s="124" t="str">
        <f>IF($B147="","",IF(AA$3=0,"n.b.",INDEX(SRC_ZPMW03!$A$1:$ZZ$501,$A147,AA$3)))</f>
        <v/>
      </c>
      <c r="AB147" s="124" t="str">
        <f>IF($B147="","",IF(AB$3=0,"n.b.",INDEX(SRC_ZPMW03!$A$1:$ZZ$501,$A147,AB$3)))</f>
        <v/>
      </c>
      <c r="AC147" s="124" t="str">
        <f>IF($B147="","",IF(AC$3=0,"n.b.",INDEX(SRC_ZPMW03!$A$1:$ZZ$501,$A147,AC$3)))</f>
        <v/>
      </c>
      <c r="AD147" s="124" t="str">
        <f>IF($B147="","",IF(AD$3=0,"n.b.",INDEX(SRC_ZPMW03!$A$1:$ZZ$501,$A147,AD$3)))</f>
        <v/>
      </c>
      <c r="AE147" s="124" t="str">
        <f>IF($B147="","",IF(AE$3=0,"n.b.",INDEX(SRC_ZPMW03!$A$1:$ZZ$501,$A147,AE$3)))</f>
        <v/>
      </c>
      <c r="AF147" s="124" t="str">
        <f>IF($B147="","",IF(AF$3=0,"n.b.",INDEX(SRC_ZPMW03!$A$1:$ZZ$501,$A147,AF$3)))</f>
        <v/>
      </c>
      <c r="AG147" s="124" t="str">
        <f>IF($B147="","",IF(AG$3=0,"n.b.",INDEX(SRC_ZPMW03!$A$1:$ZZ$501,$A147,AG$3)))</f>
        <v/>
      </c>
      <c r="AH147" s="124" t="str">
        <f>IF($B147="","",IF(AH$3=0,"n.b.",INDEX(SRC_ZPMW03!$A$1:$ZZ$501,$A147,AH$3)))</f>
        <v/>
      </c>
      <c r="AI147" s="124" t="str">
        <f>IF($B147="","",IF(AI$3=0,"n.b.",INDEX(SRC_ZPMW03!$A$1:$ZZ$501,$A147,AI$3)))</f>
        <v/>
      </c>
      <c r="AJ147" s="124" t="str">
        <f>IF($B147="","",IF(AJ$3=0,"n.b.",INDEX(SRC_ZPMW03!$A$1:$ZZ$501,$A147,AJ$3)))</f>
        <v/>
      </c>
      <c r="AK147" s="124" t="str">
        <f>IF($B147="","",IF(AK$3=0,"n.b.",INDEX(SRC_ZPMW03!$A$1:$ZZ$501,$A147,AK$3)))</f>
        <v/>
      </c>
      <c r="AL147" s="124" t="str">
        <f>IF($B147="","",IF(AL$3=0,"n.b.",INDEX(SRC_ZPMW03!$A$1:$ZZ$501,$A147,AL$3)))</f>
        <v/>
      </c>
      <c r="AM147" s="124" t="str">
        <f>IF($B147="","",IF(AM$3=0,"n.b.",INDEX(SRC_ZPMW03!$A$1:$ZZ$501,$A147,AM$3)))</f>
        <v/>
      </c>
      <c r="AN147" s="124" t="str">
        <f>IF($B147="","",IF(AN$3=0,"n.b.",INDEX(SRC_ZPMW03!$A$1:$ZZ$501,$A147,AN$3)))</f>
        <v/>
      </c>
      <c r="AO147" s="124" t="str">
        <f>IF($B147="","",IF(AO$3=0,"n.b.",INDEX(SRC_ZPMW03!$A$1:$ZZ$501,$A147,AO$3)))</f>
        <v/>
      </c>
      <c r="AP147" s="124" t="str">
        <f>IF($B147="","",IF(AP$3=0,"n.b.",INDEX(SRC_ZPMW03!$A$1:$ZZ$501,$A147,AP$3)))</f>
        <v/>
      </c>
      <c r="AQ147" s="124" t="str">
        <f>IF($B147="","",IF(AQ$3=0,"n.b.",INDEX(SRC_ZPMW03!$A$1:$ZZ$501,$A147,AQ$3)))</f>
        <v/>
      </c>
      <c r="AR147" s="124" t="str">
        <f>IF($B147="","",IF(AR$3=0,"n.b.",INDEX(SRC_ZPMW03!$A$1:$ZZ$501,$A147,AR$3)))</f>
        <v/>
      </c>
      <c r="AS147" s="124" t="str">
        <f>IF($B147="","",IF(AS$3=0,"n.b.",INDEX(SRC_ZPMW03!$A$1:$ZZ$501,$A147,AS$3)))</f>
        <v/>
      </c>
      <c r="AT147" s="124" t="str">
        <f>IF($B147="","",IF(AT$3=0,"n.b.",INDEX(SRC_ZPMW03!$A$1:$ZZ$501,$A147,AT$3)))</f>
        <v/>
      </c>
      <c r="AU147" s="124" t="str">
        <f>IF($B147="","",IF(AU$3=0,"n.b.",INDEX(SRC_ZPMW03!$A$1:$ZZ$501,$A147,AU$3)))</f>
        <v/>
      </c>
      <c r="AV147" s="124" t="str">
        <f>IF($B147="","",IF(AV$3=0,"n.b.",INDEX(SRC_ZPMW03!$A$1:$ZZ$501,$A147,AV$3)))</f>
        <v/>
      </c>
      <c r="AW147" s="124" t="str">
        <f>IF($B147="","",IF(AW$3=0,"n.b.",INDEX(SRC_ZPMW03!$A$1:$ZZ$501,$A147,AW$3)))</f>
        <v/>
      </c>
      <c r="AX147" s="124" t="str">
        <f>IF($B147="","",IF(AX$3=0,"n.b.",INDEX(SRC_ZPMW03!$A$1:$ZZ$501,$A147,AX$3)))</f>
        <v/>
      </c>
      <c r="AY147" s="124" t="str">
        <f>IF($B147="","",IF(AY$3=0,"n.b.",INDEX(SRC_ZPMW03!$A$1:$ZZ$501,$A147,AY$3)))</f>
        <v/>
      </c>
      <c r="AZ147" s="124" t="str">
        <f>IF($B147="","",IF(AZ$3=0,"n.b.",INDEX(SRC_ZPMW03!$A$1:$ZZ$501,$A147,AZ$3)))</f>
        <v/>
      </c>
      <c r="BA147" s="124" t="str">
        <f>IF($B147="","",IF(BA$3=0,"n.b.",INDEX(SRC_ZPMW03!$A$1:$ZZ$501,$A147,BA$3)))</f>
        <v/>
      </c>
      <c r="BB147" s="124" t="str">
        <f>IF($B147="","",IF(BB$3=0,"n.b.",INDEX(SRC_ZPMW03!$A$1:$ZZ$501,$A147,BB$3)))</f>
        <v/>
      </c>
      <c r="BC147" s="124" t="str">
        <f>IF($B147="","",IF(BC$3=0,"n.b.",INDEX(SRC_ZPMW03!$A$1:$ZZ$501,$A147,BC$3)))</f>
        <v/>
      </c>
      <c r="BD147" s="124" t="str">
        <f>IF($B147="","",IF(BD$3=0,"n.b.",INDEX(SRC_ZPMW03!$A$1:$ZZ$501,$A147,BD$3)))</f>
        <v/>
      </c>
      <c r="BE147" s="124" t="str">
        <f>IF($B147="","",IF(BE$3=0,"n.b.",INDEX(SRC_ZPMW03!$A$1:$ZZ$501,$A147,BE$3)))</f>
        <v/>
      </c>
      <c r="BF147" s="124" t="str">
        <f>IF($B147="","",IF(BF$3=0,"n.b.",INDEX(SRC_ZPMW03!$A$1:$ZZ$501,$A147,BF$3)))</f>
        <v/>
      </c>
      <c r="BG147" t="str">
        <f>IF($B147="","",IF(BG$3=0,"n.b.",INDEX(SRC_ZPMW03!$A$1:$ZZ$501,$A147,BG$3)))</f>
        <v/>
      </c>
      <c r="BH147" t="str">
        <f>IF($B147="","",IF(BH$3=0,"n.b.",INDEX(SRC_ZPMW03!$A$1:$ZZ$501,$A147,BH$3)))</f>
        <v/>
      </c>
      <c r="BI147" t="str">
        <f>IF($B147="","",IF(BI$3=0,"n.b.",INDEX(SRC_ZPMW03!$A$1:$ZZ$501,$A147,BI$3)))</f>
        <v/>
      </c>
      <c r="BJ147" t="str">
        <f>IF($B147="","",IF(BJ$3=0,"n.b.",INDEX(SRC_ZPMW03!$A$1:$ZZ$501,$A147,BJ$3)))</f>
        <v/>
      </c>
      <c r="BK147" s="124" t="str">
        <f>IF($B147="","",IFERROR(-O147,"n.b."))</f>
        <v/>
      </c>
      <c r="BL147" s="124" t="str">
        <f>IF($B147="","",IFERROR(-Q147,"n.b."))</f>
        <v/>
      </c>
      <c r="BM147" s="124" t="str">
        <f>IF($B147="","",IFERROR(-AB147,"n.b."))</f>
        <v/>
      </c>
      <c r="BN147" s="124" t="str">
        <f>IF($B147="","",IFERROR(-AD147,"n.b."))</f>
        <v/>
      </c>
      <c r="BO147" s="124" t="str">
        <f>IF($B147="","",IFERROR(BK147+BM147,"n.b."))</f>
        <v/>
      </c>
      <c r="BP147" s="124" t="str">
        <f>IF($B147="","",IFERROR(BL147+BN147,"n.b."))</f>
        <v/>
      </c>
      <c r="BQ147" s="124" t="str">
        <f>IF($B147="","",IFERROR(-AM147,"n.b."))</f>
        <v/>
      </c>
      <c r="BR147" s="124" t="str">
        <f>IF($B147="","",IFERROR(-AO147,"n.b."))</f>
        <v/>
      </c>
      <c r="BS147" s="124" t="str">
        <f>IF($B147="","",IFERROR(-Z147,"n.b."))</f>
        <v/>
      </c>
      <c r="BT147" s="124" t="str">
        <f>IF($B147="","",IFERROR(-AA147,"n.b."))</f>
        <v/>
      </c>
      <c r="BU147" s="124" t="str">
        <f>IF($B147="","",IFERROR(-AE147,"n.b."))</f>
        <v/>
      </c>
      <c r="BV147" s="124" t="str">
        <f>IF($B147="","",IFERROR(-AF147,"n.b."))</f>
        <v/>
      </c>
      <c r="BW147" s="124" t="str">
        <f>IF($B147="","",IFERROR(-AG147,"n.b."))</f>
        <v/>
      </c>
      <c r="BX147" s="124" t="str">
        <f>IF($B147="","",IFERROR(-AH147,"n.b."))</f>
        <v/>
      </c>
      <c r="BY147" s="124" t="str">
        <f>IF($B147="","",IFERROR(-AI147,"n.b."))</f>
        <v/>
      </c>
      <c r="BZ147" s="124" t="str">
        <f>IF($B147="","",IFERROR(-AJ147,"n.b."))</f>
        <v/>
      </c>
      <c r="CA147" s="124" t="str">
        <f>IF($B147="","",IFERROR(-AK147,"n.b."))</f>
        <v/>
      </c>
      <c r="CB147" s="124" t="str">
        <f>IF($B147="","",IFERROR(-AL147,"n.b."))</f>
        <v/>
      </c>
      <c r="CC147" s="124" t="str">
        <f>IF($B147="","",IFERROR(-AP147,"n.b."))</f>
        <v/>
      </c>
      <c r="CD147" s="124" t="str">
        <f>IF($B147="","",IFERROR(-AQ147,"n.b."))</f>
        <v/>
      </c>
      <c r="CE147" s="124" t="str">
        <f>IF($B147="","",IFERROR(-AR147,"n.b."))</f>
        <v/>
      </c>
      <c r="CF147" s="124" t="str">
        <f>IF($B147="","",IFERROR(-AS147,"n.b."))</f>
        <v/>
      </c>
      <c r="CG147" s="124" t="str">
        <f>IF($B147="","",IFERROR(-AT147,"n.b."))</f>
        <v/>
      </c>
      <c r="CH147" s="124" t="str">
        <f>IF($B147="","",IFERROR(-AU147,"n.b."))</f>
        <v/>
      </c>
      <c r="CI147" s="124" t="str">
        <f>IF($B147="","",IFERROR(-AV147,"n.b."))</f>
        <v/>
      </c>
      <c r="CJ147" s="124" t="str">
        <f>IF($B147="","",IFERROR(-AW147,"n.b."))</f>
        <v/>
      </c>
      <c r="CK147" s="124" t="str">
        <f>IF($B147="","",IFERROR(-AX147,"n.b."))</f>
        <v/>
      </c>
      <c r="CL147" s="124" t="str">
        <f>IF($B147="","",IFERROR(-AY147,"n.b."))</f>
        <v/>
      </c>
      <c r="CM147" s="124" t="str">
        <f>IF($B147="","",IFERROR(-AZ147,"n.b."))</f>
        <v/>
      </c>
      <c r="CN147" s="124" t="str">
        <f>IF($B147="","",IFERROR(-BA147,"n.b."))</f>
        <v/>
      </c>
      <c r="CO147" s="124" t="str">
        <f>IF($B147="","",IFERROR(-BB147,"n.b."))</f>
        <v/>
      </c>
      <c r="CP147" s="124" t="str">
        <f>IF($B147="","",IFERROR(-BC147,"n.b."))</f>
        <v/>
      </c>
      <c r="CQ147" s="124" t="str">
        <f>IF($B147="","",IFERROR(-BD147,"n.b."))</f>
        <v/>
      </c>
      <c r="CR147" s="124" t="str">
        <f>IF($B147="","",IFERROR(-BE147,"n.b."))</f>
        <v/>
      </c>
      <c r="CS147" s="124" t="str">
        <f>IF($B147="","",IFERROR(IF(OR(ABS(T147+V147+X147+Z147-AB147)&gt;P_Tol,ABS(U147+W147+Y147+AA147-AD147)&gt;P_Tol,ABS(AE147+AG147+AI147+AK147-AM147)&gt;P_Tol,ABS(AF147+AH147+AJ147+AL147-AO147)&gt;P_Tol),1,0),1))</f>
        <v/>
      </c>
      <c r="CT147" s="124" t="str">
        <f>IF($B147="","",IFERROR(IF(OR(ABS(AB147+AC147-AD147)&gt;P_Tol,ABS(AM147+AN147-AO147)&gt;P_Tol,ABS(O147+P147-Q147)&gt;P_Tol),1,0),1))</f>
        <v/>
      </c>
      <c r="CU147" s="124" t="str">
        <f>IF($B147="","",IFERROR(IF(ABS(R147-(AB147+AM147+AP147+AR147+AT147+AV147+AX147+AZ147+BB147+BD147))&gt;P_Tol,1,0),1))</f>
        <v/>
      </c>
      <c r="CV147" s="124" t="str">
        <f>IF($B147="","",IFERROR(IF(ABS(M147-(N147+O147+R147))&gt;P_Tol,1,0),1))</f>
        <v/>
      </c>
      <c r="CW147" s="124" t="str">
        <f>IF($B147="","",IF(COUNTIF(Mapping!$A$5:$A$104,B147)&gt;0,1,0))</f>
        <v/>
      </c>
      <c r="CX147" s="124" t="str">
        <f>IF($B147="","",COUNTIF($B$6:$B$505,B147))</f>
        <v/>
      </c>
      <c r="CY147" s="124" t="str">
        <f>IF($B147="","",COUNTIF(STG_Woningetalage!$B$6:$B$505,B147))</f>
        <v/>
      </c>
      <c r="CZ147" s="124" t="str">
        <f>IF($B147="","",IF(CW147=0,COUNTIF($CW$6:CW147,0),""))</f>
        <v/>
      </c>
    </row>
    <row r="148">
      <c r="A148" s="15" t="n">
        <v>144</v>
      </c>
      <c r="B148" t="str">
        <f>IF(B$3=0,"",IF(INDEX(SRC_ZPMW03!$A$1:$ZZ$501,$A148,B$3)&amp;""="","",INDEX(SRC_ZPMW03!$A$1:$ZZ$501,$A148,B$3)&amp;""))</f>
        <v/>
      </c>
      <c r="C148" t="str">
        <f>IF($B148="","",IF(C$3=0,"n.b.",INDEX(SRC_ZPMW03!$A$1:$ZZ$501,$A148,C$3)))</f>
        <v/>
      </c>
      <c r="D148" t="str">
        <f>IF($B148="","",IF(D$3=0,"n.b.",INDEX(SRC_ZPMW03!$A$1:$ZZ$501,$A148,D$3)))</f>
        <v/>
      </c>
      <c r="E148" t="str">
        <f>IF($B148="","",IF(E$3=0,"n.b.",INDEX(SRC_ZPMW03!$A$1:$ZZ$501,$A148,E$3)))</f>
        <v/>
      </c>
      <c r="F148" t="str">
        <f>IF($B148="","",IF(F$3=0,"n.b.",INDEX(SRC_ZPMW03!$A$1:$ZZ$501,$A148,F$3)))</f>
        <v/>
      </c>
      <c r="G148" t="str">
        <f>IF($B148="","",IF(G$3=0,"n.b.",INDEX(SRC_ZPMW03!$A$1:$ZZ$501,$A148,G$3)))</f>
        <v/>
      </c>
      <c r="H148" t="str">
        <f>IF($B148="","",IF(H$3=0,"n.b.",INDEX(SRC_ZPMW03!$A$1:$ZZ$501,$A148,H$3)))</f>
        <v/>
      </c>
      <c r="I148" t="str">
        <f>IF($B148="","",IF(I$3=0,"n.b.",INDEX(SRC_ZPMW03!$A$1:$ZZ$501,$A148,I$3)))</f>
        <v/>
      </c>
      <c r="J148" t="str">
        <f>IF($B148="","",IF(J$3=0,"n.b.",INDEX(SRC_ZPMW03!$A$1:$ZZ$501,$A148,J$3)))</f>
        <v/>
      </c>
      <c r="K148" t="str">
        <f>IF($B148="","",IF(K$3=0,"n.b.",INDEX(SRC_ZPMW03!$A$1:$ZZ$501,$A148,K$3)))</f>
        <v/>
      </c>
      <c r="L148" s="124" t="str">
        <f>IF($B148="","",IF(L$3=0,"n.b.",INDEX(SRC_ZPMW03!$A$1:$ZZ$501,$A148,L$3)))</f>
        <v/>
      </c>
      <c r="M148" s="124" t="str">
        <f>IF($B148="","",IF(M$3=0,"n.b.",INDEX(SRC_ZPMW03!$A$1:$ZZ$501,$A148,M$3)))</f>
        <v/>
      </c>
      <c r="N148" s="124" t="str">
        <f>IF($B148="","",IF(N$3=0,"n.b.",INDEX(SRC_ZPMW03!$A$1:$ZZ$501,$A148,N$3)))</f>
        <v/>
      </c>
      <c r="O148" s="124" t="str">
        <f>IF($B148="","",IF(O$3=0,"n.b.",INDEX(SRC_ZPMW03!$A$1:$ZZ$501,$A148,O$3)))</f>
        <v/>
      </c>
      <c r="P148" s="124" t="str">
        <f>IF($B148="","",IF(P$3=0,"n.b.",INDEX(SRC_ZPMW03!$A$1:$ZZ$501,$A148,P$3)))</f>
        <v/>
      </c>
      <c r="Q148" s="124" t="str">
        <f>IF($B148="","",IF(Q$3=0,"n.b.",INDEX(SRC_ZPMW03!$A$1:$ZZ$501,$A148,Q$3)))</f>
        <v/>
      </c>
      <c r="R148" s="124" t="str">
        <f>IF($B148="","",IF(R$3=0,"n.b.",INDEX(SRC_ZPMW03!$A$1:$ZZ$501,$A148,R$3)))</f>
        <v/>
      </c>
      <c r="S148" s="124" t="str">
        <f>IF($B148="","",IF(S$3=0,"n.b.",INDEX(SRC_ZPMW03!$A$1:$ZZ$501,$A148,S$3)))</f>
        <v/>
      </c>
      <c r="T148" s="124" t="str">
        <f>IF($B148="","",IF(T$3=0,"n.b.",INDEX(SRC_ZPMW03!$A$1:$ZZ$501,$A148,T$3)))</f>
        <v/>
      </c>
      <c r="U148" s="124" t="str">
        <f>IF($B148="","",IF(U$3=0,"n.b.",INDEX(SRC_ZPMW03!$A$1:$ZZ$501,$A148,U$3)))</f>
        <v/>
      </c>
      <c r="V148" s="124" t="str">
        <f>IF($B148="","",IF(V$3=0,"n.b.",INDEX(SRC_ZPMW03!$A$1:$ZZ$501,$A148,V$3)))</f>
        <v/>
      </c>
      <c r="W148" s="124" t="str">
        <f>IF($B148="","",IF(W$3=0,"n.b.",INDEX(SRC_ZPMW03!$A$1:$ZZ$501,$A148,W$3)))</f>
        <v/>
      </c>
      <c r="X148" s="124" t="str">
        <f>IF($B148="","",IF(X$3=0,"n.b.",INDEX(SRC_ZPMW03!$A$1:$ZZ$501,$A148,X$3)))</f>
        <v/>
      </c>
      <c r="Y148" s="124" t="str">
        <f>IF($B148="","",IF(Y$3=0,"n.b.",INDEX(SRC_ZPMW03!$A$1:$ZZ$501,$A148,Y$3)))</f>
        <v/>
      </c>
      <c r="Z148" s="124" t="str">
        <f>IF($B148="","",IF(Z$3=0,"n.b.",INDEX(SRC_ZPMW03!$A$1:$ZZ$501,$A148,Z$3)))</f>
        <v/>
      </c>
      <c r="AA148" s="124" t="str">
        <f>IF($B148="","",IF(AA$3=0,"n.b.",INDEX(SRC_ZPMW03!$A$1:$ZZ$501,$A148,AA$3)))</f>
        <v/>
      </c>
      <c r="AB148" s="124" t="str">
        <f>IF($B148="","",IF(AB$3=0,"n.b.",INDEX(SRC_ZPMW03!$A$1:$ZZ$501,$A148,AB$3)))</f>
        <v/>
      </c>
      <c r="AC148" s="124" t="str">
        <f>IF($B148="","",IF(AC$3=0,"n.b.",INDEX(SRC_ZPMW03!$A$1:$ZZ$501,$A148,AC$3)))</f>
        <v/>
      </c>
      <c r="AD148" s="124" t="str">
        <f>IF($B148="","",IF(AD$3=0,"n.b.",INDEX(SRC_ZPMW03!$A$1:$ZZ$501,$A148,AD$3)))</f>
        <v/>
      </c>
      <c r="AE148" s="124" t="str">
        <f>IF($B148="","",IF(AE$3=0,"n.b.",INDEX(SRC_ZPMW03!$A$1:$ZZ$501,$A148,AE$3)))</f>
        <v/>
      </c>
      <c r="AF148" s="124" t="str">
        <f>IF($B148="","",IF(AF$3=0,"n.b.",INDEX(SRC_ZPMW03!$A$1:$ZZ$501,$A148,AF$3)))</f>
        <v/>
      </c>
      <c r="AG148" s="124" t="str">
        <f>IF($B148="","",IF(AG$3=0,"n.b.",INDEX(SRC_ZPMW03!$A$1:$ZZ$501,$A148,AG$3)))</f>
        <v/>
      </c>
      <c r="AH148" s="124" t="str">
        <f>IF($B148="","",IF(AH$3=0,"n.b.",INDEX(SRC_ZPMW03!$A$1:$ZZ$501,$A148,AH$3)))</f>
        <v/>
      </c>
      <c r="AI148" s="124" t="str">
        <f>IF($B148="","",IF(AI$3=0,"n.b.",INDEX(SRC_ZPMW03!$A$1:$ZZ$501,$A148,AI$3)))</f>
        <v/>
      </c>
      <c r="AJ148" s="124" t="str">
        <f>IF($B148="","",IF(AJ$3=0,"n.b.",INDEX(SRC_ZPMW03!$A$1:$ZZ$501,$A148,AJ$3)))</f>
        <v/>
      </c>
      <c r="AK148" s="124" t="str">
        <f>IF($B148="","",IF(AK$3=0,"n.b.",INDEX(SRC_ZPMW03!$A$1:$ZZ$501,$A148,AK$3)))</f>
        <v/>
      </c>
      <c r="AL148" s="124" t="str">
        <f>IF($B148="","",IF(AL$3=0,"n.b.",INDEX(SRC_ZPMW03!$A$1:$ZZ$501,$A148,AL$3)))</f>
        <v/>
      </c>
      <c r="AM148" s="124" t="str">
        <f>IF($B148="","",IF(AM$3=0,"n.b.",INDEX(SRC_ZPMW03!$A$1:$ZZ$501,$A148,AM$3)))</f>
        <v/>
      </c>
      <c r="AN148" s="124" t="str">
        <f>IF($B148="","",IF(AN$3=0,"n.b.",INDEX(SRC_ZPMW03!$A$1:$ZZ$501,$A148,AN$3)))</f>
        <v/>
      </c>
      <c r="AO148" s="124" t="str">
        <f>IF($B148="","",IF(AO$3=0,"n.b.",INDEX(SRC_ZPMW03!$A$1:$ZZ$501,$A148,AO$3)))</f>
        <v/>
      </c>
      <c r="AP148" s="124" t="str">
        <f>IF($B148="","",IF(AP$3=0,"n.b.",INDEX(SRC_ZPMW03!$A$1:$ZZ$501,$A148,AP$3)))</f>
        <v/>
      </c>
      <c r="AQ148" s="124" t="str">
        <f>IF($B148="","",IF(AQ$3=0,"n.b.",INDEX(SRC_ZPMW03!$A$1:$ZZ$501,$A148,AQ$3)))</f>
        <v/>
      </c>
      <c r="AR148" s="124" t="str">
        <f>IF($B148="","",IF(AR$3=0,"n.b.",INDEX(SRC_ZPMW03!$A$1:$ZZ$501,$A148,AR$3)))</f>
        <v/>
      </c>
      <c r="AS148" s="124" t="str">
        <f>IF($B148="","",IF(AS$3=0,"n.b.",INDEX(SRC_ZPMW03!$A$1:$ZZ$501,$A148,AS$3)))</f>
        <v/>
      </c>
      <c r="AT148" s="124" t="str">
        <f>IF($B148="","",IF(AT$3=0,"n.b.",INDEX(SRC_ZPMW03!$A$1:$ZZ$501,$A148,AT$3)))</f>
        <v/>
      </c>
      <c r="AU148" s="124" t="str">
        <f>IF($B148="","",IF(AU$3=0,"n.b.",INDEX(SRC_ZPMW03!$A$1:$ZZ$501,$A148,AU$3)))</f>
        <v/>
      </c>
      <c r="AV148" s="124" t="str">
        <f>IF($B148="","",IF(AV$3=0,"n.b.",INDEX(SRC_ZPMW03!$A$1:$ZZ$501,$A148,AV$3)))</f>
        <v/>
      </c>
      <c r="AW148" s="124" t="str">
        <f>IF($B148="","",IF(AW$3=0,"n.b.",INDEX(SRC_ZPMW03!$A$1:$ZZ$501,$A148,AW$3)))</f>
        <v/>
      </c>
      <c r="AX148" s="124" t="str">
        <f>IF($B148="","",IF(AX$3=0,"n.b.",INDEX(SRC_ZPMW03!$A$1:$ZZ$501,$A148,AX$3)))</f>
        <v/>
      </c>
      <c r="AY148" s="124" t="str">
        <f>IF($B148="","",IF(AY$3=0,"n.b.",INDEX(SRC_ZPMW03!$A$1:$ZZ$501,$A148,AY$3)))</f>
        <v/>
      </c>
      <c r="AZ148" s="124" t="str">
        <f>IF($B148="","",IF(AZ$3=0,"n.b.",INDEX(SRC_ZPMW03!$A$1:$ZZ$501,$A148,AZ$3)))</f>
        <v/>
      </c>
      <c r="BA148" s="124" t="str">
        <f>IF($B148="","",IF(BA$3=0,"n.b.",INDEX(SRC_ZPMW03!$A$1:$ZZ$501,$A148,BA$3)))</f>
        <v/>
      </c>
      <c r="BB148" s="124" t="str">
        <f>IF($B148="","",IF(BB$3=0,"n.b.",INDEX(SRC_ZPMW03!$A$1:$ZZ$501,$A148,BB$3)))</f>
        <v/>
      </c>
      <c r="BC148" s="124" t="str">
        <f>IF($B148="","",IF(BC$3=0,"n.b.",INDEX(SRC_ZPMW03!$A$1:$ZZ$501,$A148,BC$3)))</f>
        <v/>
      </c>
      <c r="BD148" s="124" t="str">
        <f>IF($B148="","",IF(BD$3=0,"n.b.",INDEX(SRC_ZPMW03!$A$1:$ZZ$501,$A148,BD$3)))</f>
        <v/>
      </c>
      <c r="BE148" s="124" t="str">
        <f>IF($B148="","",IF(BE$3=0,"n.b.",INDEX(SRC_ZPMW03!$A$1:$ZZ$501,$A148,BE$3)))</f>
        <v/>
      </c>
      <c r="BF148" s="124" t="str">
        <f>IF($B148="","",IF(BF$3=0,"n.b.",INDEX(SRC_ZPMW03!$A$1:$ZZ$501,$A148,BF$3)))</f>
        <v/>
      </c>
      <c r="BG148" t="str">
        <f>IF($B148="","",IF(BG$3=0,"n.b.",INDEX(SRC_ZPMW03!$A$1:$ZZ$501,$A148,BG$3)))</f>
        <v/>
      </c>
      <c r="BH148" t="str">
        <f>IF($B148="","",IF(BH$3=0,"n.b.",INDEX(SRC_ZPMW03!$A$1:$ZZ$501,$A148,BH$3)))</f>
        <v/>
      </c>
      <c r="BI148" t="str">
        <f>IF($B148="","",IF(BI$3=0,"n.b.",INDEX(SRC_ZPMW03!$A$1:$ZZ$501,$A148,BI$3)))</f>
        <v/>
      </c>
      <c r="BJ148" t="str">
        <f>IF($B148="","",IF(BJ$3=0,"n.b.",INDEX(SRC_ZPMW03!$A$1:$ZZ$501,$A148,BJ$3)))</f>
        <v/>
      </c>
      <c r="BK148" s="124" t="str">
        <f>IF($B148="","",IFERROR(-O148,"n.b."))</f>
        <v/>
      </c>
      <c r="BL148" s="124" t="str">
        <f>IF($B148="","",IFERROR(-Q148,"n.b."))</f>
        <v/>
      </c>
      <c r="BM148" s="124" t="str">
        <f>IF($B148="","",IFERROR(-AB148,"n.b."))</f>
        <v/>
      </c>
      <c r="BN148" s="124" t="str">
        <f>IF($B148="","",IFERROR(-AD148,"n.b."))</f>
        <v/>
      </c>
      <c r="BO148" s="124" t="str">
        <f>IF($B148="","",IFERROR(BK148+BM148,"n.b."))</f>
        <v/>
      </c>
      <c r="BP148" s="124" t="str">
        <f>IF($B148="","",IFERROR(BL148+BN148,"n.b."))</f>
        <v/>
      </c>
      <c r="BQ148" s="124" t="str">
        <f>IF($B148="","",IFERROR(-AM148,"n.b."))</f>
        <v/>
      </c>
      <c r="BR148" s="124" t="str">
        <f>IF($B148="","",IFERROR(-AO148,"n.b."))</f>
        <v/>
      </c>
      <c r="BS148" s="124" t="str">
        <f>IF($B148="","",IFERROR(-Z148,"n.b."))</f>
        <v/>
      </c>
      <c r="BT148" s="124" t="str">
        <f>IF($B148="","",IFERROR(-AA148,"n.b."))</f>
        <v/>
      </c>
      <c r="BU148" s="124" t="str">
        <f>IF($B148="","",IFERROR(-AE148,"n.b."))</f>
        <v/>
      </c>
      <c r="BV148" s="124" t="str">
        <f>IF($B148="","",IFERROR(-AF148,"n.b."))</f>
        <v/>
      </c>
      <c r="BW148" s="124" t="str">
        <f>IF($B148="","",IFERROR(-AG148,"n.b."))</f>
        <v/>
      </c>
      <c r="BX148" s="124" t="str">
        <f>IF($B148="","",IFERROR(-AH148,"n.b."))</f>
        <v/>
      </c>
      <c r="BY148" s="124" t="str">
        <f>IF($B148="","",IFERROR(-AI148,"n.b."))</f>
        <v/>
      </c>
      <c r="BZ148" s="124" t="str">
        <f>IF($B148="","",IFERROR(-AJ148,"n.b."))</f>
        <v/>
      </c>
      <c r="CA148" s="124" t="str">
        <f>IF($B148="","",IFERROR(-AK148,"n.b."))</f>
        <v/>
      </c>
      <c r="CB148" s="124" t="str">
        <f>IF($B148="","",IFERROR(-AL148,"n.b."))</f>
        <v/>
      </c>
      <c r="CC148" s="124" t="str">
        <f>IF($B148="","",IFERROR(-AP148,"n.b."))</f>
        <v/>
      </c>
      <c r="CD148" s="124" t="str">
        <f>IF($B148="","",IFERROR(-AQ148,"n.b."))</f>
        <v/>
      </c>
      <c r="CE148" s="124" t="str">
        <f>IF($B148="","",IFERROR(-AR148,"n.b."))</f>
        <v/>
      </c>
      <c r="CF148" s="124" t="str">
        <f>IF($B148="","",IFERROR(-AS148,"n.b."))</f>
        <v/>
      </c>
      <c r="CG148" s="124" t="str">
        <f>IF($B148="","",IFERROR(-AT148,"n.b."))</f>
        <v/>
      </c>
      <c r="CH148" s="124" t="str">
        <f>IF($B148="","",IFERROR(-AU148,"n.b."))</f>
        <v/>
      </c>
      <c r="CI148" s="124" t="str">
        <f>IF($B148="","",IFERROR(-AV148,"n.b."))</f>
        <v/>
      </c>
      <c r="CJ148" s="124" t="str">
        <f>IF($B148="","",IFERROR(-AW148,"n.b."))</f>
        <v/>
      </c>
      <c r="CK148" s="124" t="str">
        <f>IF($B148="","",IFERROR(-AX148,"n.b."))</f>
        <v/>
      </c>
      <c r="CL148" s="124" t="str">
        <f>IF($B148="","",IFERROR(-AY148,"n.b."))</f>
        <v/>
      </c>
      <c r="CM148" s="124" t="str">
        <f>IF($B148="","",IFERROR(-AZ148,"n.b."))</f>
        <v/>
      </c>
      <c r="CN148" s="124" t="str">
        <f>IF($B148="","",IFERROR(-BA148,"n.b."))</f>
        <v/>
      </c>
      <c r="CO148" s="124" t="str">
        <f>IF($B148="","",IFERROR(-BB148,"n.b."))</f>
        <v/>
      </c>
      <c r="CP148" s="124" t="str">
        <f>IF($B148="","",IFERROR(-BC148,"n.b."))</f>
        <v/>
      </c>
      <c r="CQ148" s="124" t="str">
        <f>IF($B148="","",IFERROR(-BD148,"n.b."))</f>
        <v/>
      </c>
      <c r="CR148" s="124" t="str">
        <f>IF($B148="","",IFERROR(-BE148,"n.b."))</f>
        <v/>
      </c>
      <c r="CS148" s="124" t="str">
        <f>IF($B148="","",IFERROR(IF(OR(ABS(T148+V148+X148+Z148-AB148)&gt;P_Tol,ABS(U148+W148+Y148+AA148-AD148)&gt;P_Tol,ABS(AE148+AG148+AI148+AK148-AM148)&gt;P_Tol,ABS(AF148+AH148+AJ148+AL148-AO148)&gt;P_Tol),1,0),1))</f>
        <v/>
      </c>
      <c r="CT148" s="124" t="str">
        <f>IF($B148="","",IFERROR(IF(OR(ABS(AB148+AC148-AD148)&gt;P_Tol,ABS(AM148+AN148-AO148)&gt;P_Tol,ABS(O148+P148-Q148)&gt;P_Tol),1,0),1))</f>
        <v/>
      </c>
      <c r="CU148" s="124" t="str">
        <f>IF($B148="","",IFERROR(IF(ABS(R148-(AB148+AM148+AP148+AR148+AT148+AV148+AX148+AZ148+BB148+BD148))&gt;P_Tol,1,0),1))</f>
        <v/>
      </c>
      <c r="CV148" s="124" t="str">
        <f>IF($B148="","",IFERROR(IF(ABS(M148-(N148+O148+R148))&gt;P_Tol,1,0),1))</f>
        <v/>
      </c>
      <c r="CW148" s="124" t="str">
        <f>IF($B148="","",IF(COUNTIF(Mapping!$A$5:$A$104,B148)&gt;0,1,0))</f>
        <v/>
      </c>
      <c r="CX148" s="124" t="str">
        <f>IF($B148="","",COUNTIF($B$6:$B$505,B148))</f>
        <v/>
      </c>
      <c r="CY148" s="124" t="str">
        <f>IF($B148="","",COUNTIF(STG_Woningetalage!$B$6:$B$505,B148))</f>
        <v/>
      </c>
      <c r="CZ148" s="124" t="str">
        <f>IF($B148="","",IF(CW148=0,COUNTIF($CW$6:CW148,0),""))</f>
        <v/>
      </c>
    </row>
    <row r="149">
      <c r="A149" s="15" t="n">
        <v>145</v>
      </c>
      <c r="B149" t="str">
        <f>IF(B$3=0,"",IF(INDEX(SRC_ZPMW03!$A$1:$ZZ$501,$A149,B$3)&amp;""="","",INDEX(SRC_ZPMW03!$A$1:$ZZ$501,$A149,B$3)&amp;""))</f>
        <v/>
      </c>
      <c r="C149" t="str">
        <f>IF($B149="","",IF(C$3=0,"n.b.",INDEX(SRC_ZPMW03!$A$1:$ZZ$501,$A149,C$3)))</f>
        <v/>
      </c>
      <c r="D149" t="str">
        <f>IF($B149="","",IF(D$3=0,"n.b.",INDEX(SRC_ZPMW03!$A$1:$ZZ$501,$A149,D$3)))</f>
        <v/>
      </c>
      <c r="E149" t="str">
        <f>IF($B149="","",IF(E$3=0,"n.b.",INDEX(SRC_ZPMW03!$A$1:$ZZ$501,$A149,E$3)))</f>
        <v/>
      </c>
      <c r="F149" t="str">
        <f>IF($B149="","",IF(F$3=0,"n.b.",INDEX(SRC_ZPMW03!$A$1:$ZZ$501,$A149,F$3)))</f>
        <v/>
      </c>
      <c r="G149" t="str">
        <f>IF($B149="","",IF(G$3=0,"n.b.",INDEX(SRC_ZPMW03!$A$1:$ZZ$501,$A149,G$3)))</f>
        <v/>
      </c>
      <c r="H149" t="str">
        <f>IF($B149="","",IF(H$3=0,"n.b.",INDEX(SRC_ZPMW03!$A$1:$ZZ$501,$A149,H$3)))</f>
        <v/>
      </c>
      <c r="I149" t="str">
        <f>IF($B149="","",IF(I$3=0,"n.b.",INDEX(SRC_ZPMW03!$A$1:$ZZ$501,$A149,I$3)))</f>
        <v/>
      </c>
      <c r="J149" t="str">
        <f>IF($B149="","",IF(J$3=0,"n.b.",INDEX(SRC_ZPMW03!$A$1:$ZZ$501,$A149,J$3)))</f>
        <v/>
      </c>
      <c r="K149" t="str">
        <f>IF($B149="","",IF(K$3=0,"n.b.",INDEX(SRC_ZPMW03!$A$1:$ZZ$501,$A149,K$3)))</f>
        <v/>
      </c>
      <c r="L149" s="124" t="str">
        <f>IF($B149="","",IF(L$3=0,"n.b.",INDEX(SRC_ZPMW03!$A$1:$ZZ$501,$A149,L$3)))</f>
        <v/>
      </c>
      <c r="M149" s="124" t="str">
        <f>IF($B149="","",IF(M$3=0,"n.b.",INDEX(SRC_ZPMW03!$A$1:$ZZ$501,$A149,M$3)))</f>
        <v/>
      </c>
      <c r="N149" s="124" t="str">
        <f>IF($B149="","",IF(N$3=0,"n.b.",INDEX(SRC_ZPMW03!$A$1:$ZZ$501,$A149,N$3)))</f>
        <v/>
      </c>
      <c r="O149" s="124" t="str">
        <f>IF($B149="","",IF(O$3=0,"n.b.",INDEX(SRC_ZPMW03!$A$1:$ZZ$501,$A149,O$3)))</f>
        <v/>
      </c>
      <c r="P149" s="124" t="str">
        <f>IF($B149="","",IF(P$3=0,"n.b.",INDEX(SRC_ZPMW03!$A$1:$ZZ$501,$A149,P$3)))</f>
        <v/>
      </c>
      <c r="Q149" s="124" t="str">
        <f>IF($B149="","",IF(Q$3=0,"n.b.",INDEX(SRC_ZPMW03!$A$1:$ZZ$501,$A149,Q$3)))</f>
        <v/>
      </c>
      <c r="R149" s="124" t="str">
        <f>IF($B149="","",IF(R$3=0,"n.b.",INDEX(SRC_ZPMW03!$A$1:$ZZ$501,$A149,R$3)))</f>
        <v/>
      </c>
      <c r="S149" s="124" t="str">
        <f>IF($B149="","",IF(S$3=0,"n.b.",INDEX(SRC_ZPMW03!$A$1:$ZZ$501,$A149,S$3)))</f>
        <v/>
      </c>
      <c r="T149" s="124" t="str">
        <f>IF($B149="","",IF(T$3=0,"n.b.",INDEX(SRC_ZPMW03!$A$1:$ZZ$501,$A149,T$3)))</f>
        <v/>
      </c>
      <c r="U149" s="124" t="str">
        <f>IF($B149="","",IF(U$3=0,"n.b.",INDEX(SRC_ZPMW03!$A$1:$ZZ$501,$A149,U$3)))</f>
        <v/>
      </c>
      <c r="V149" s="124" t="str">
        <f>IF($B149="","",IF(V$3=0,"n.b.",INDEX(SRC_ZPMW03!$A$1:$ZZ$501,$A149,V$3)))</f>
        <v/>
      </c>
      <c r="W149" s="124" t="str">
        <f>IF($B149="","",IF(W$3=0,"n.b.",INDEX(SRC_ZPMW03!$A$1:$ZZ$501,$A149,W$3)))</f>
        <v/>
      </c>
      <c r="X149" s="124" t="str">
        <f>IF($B149="","",IF(X$3=0,"n.b.",INDEX(SRC_ZPMW03!$A$1:$ZZ$501,$A149,X$3)))</f>
        <v/>
      </c>
      <c r="Y149" s="124" t="str">
        <f>IF($B149="","",IF(Y$3=0,"n.b.",INDEX(SRC_ZPMW03!$A$1:$ZZ$501,$A149,Y$3)))</f>
        <v/>
      </c>
      <c r="Z149" s="124" t="str">
        <f>IF($B149="","",IF(Z$3=0,"n.b.",INDEX(SRC_ZPMW03!$A$1:$ZZ$501,$A149,Z$3)))</f>
        <v/>
      </c>
      <c r="AA149" s="124" t="str">
        <f>IF($B149="","",IF(AA$3=0,"n.b.",INDEX(SRC_ZPMW03!$A$1:$ZZ$501,$A149,AA$3)))</f>
        <v/>
      </c>
      <c r="AB149" s="124" t="str">
        <f>IF($B149="","",IF(AB$3=0,"n.b.",INDEX(SRC_ZPMW03!$A$1:$ZZ$501,$A149,AB$3)))</f>
        <v/>
      </c>
      <c r="AC149" s="124" t="str">
        <f>IF($B149="","",IF(AC$3=0,"n.b.",INDEX(SRC_ZPMW03!$A$1:$ZZ$501,$A149,AC$3)))</f>
        <v/>
      </c>
      <c r="AD149" s="124" t="str">
        <f>IF($B149="","",IF(AD$3=0,"n.b.",INDEX(SRC_ZPMW03!$A$1:$ZZ$501,$A149,AD$3)))</f>
        <v/>
      </c>
      <c r="AE149" s="124" t="str">
        <f>IF($B149="","",IF(AE$3=0,"n.b.",INDEX(SRC_ZPMW03!$A$1:$ZZ$501,$A149,AE$3)))</f>
        <v/>
      </c>
      <c r="AF149" s="124" t="str">
        <f>IF($B149="","",IF(AF$3=0,"n.b.",INDEX(SRC_ZPMW03!$A$1:$ZZ$501,$A149,AF$3)))</f>
        <v/>
      </c>
      <c r="AG149" s="124" t="str">
        <f>IF($B149="","",IF(AG$3=0,"n.b.",INDEX(SRC_ZPMW03!$A$1:$ZZ$501,$A149,AG$3)))</f>
        <v/>
      </c>
      <c r="AH149" s="124" t="str">
        <f>IF($B149="","",IF(AH$3=0,"n.b.",INDEX(SRC_ZPMW03!$A$1:$ZZ$501,$A149,AH$3)))</f>
        <v/>
      </c>
      <c r="AI149" s="124" t="str">
        <f>IF($B149="","",IF(AI$3=0,"n.b.",INDEX(SRC_ZPMW03!$A$1:$ZZ$501,$A149,AI$3)))</f>
        <v/>
      </c>
      <c r="AJ149" s="124" t="str">
        <f>IF($B149="","",IF(AJ$3=0,"n.b.",INDEX(SRC_ZPMW03!$A$1:$ZZ$501,$A149,AJ$3)))</f>
        <v/>
      </c>
      <c r="AK149" s="124" t="str">
        <f>IF($B149="","",IF(AK$3=0,"n.b.",INDEX(SRC_ZPMW03!$A$1:$ZZ$501,$A149,AK$3)))</f>
        <v/>
      </c>
      <c r="AL149" s="124" t="str">
        <f>IF($B149="","",IF(AL$3=0,"n.b.",INDEX(SRC_ZPMW03!$A$1:$ZZ$501,$A149,AL$3)))</f>
        <v/>
      </c>
      <c r="AM149" s="124" t="str">
        <f>IF($B149="","",IF(AM$3=0,"n.b.",INDEX(SRC_ZPMW03!$A$1:$ZZ$501,$A149,AM$3)))</f>
        <v/>
      </c>
      <c r="AN149" s="124" t="str">
        <f>IF($B149="","",IF(AN$3=0,"n.b.",INDEX(SRC_ZPMW03!$A$1:$ZZ$501,$A149,AN$3)))</f>
        <v/>
      </c>
      <c r="AO149" s="124" t="str">
        <f>IF($B149="","",IF(AO$3=0,"n.b.",INDEX(SRC_ZPMW03!$A$1:$ZZ$501,$A149,AO$3)))</f>
        <v/>
      </c>
      <c r="AP149" s="124" t="str">
        <f>IF($B149="","",IF(AP$3=0,"n.b.",INDEX(SRC_ZPMW03!$A$1:$ZZ$501,$A149,AP$3)))</f>
        <v/>
      </c>
      <c r="AQ149" s="124" t="str">
        <f>IF($B149="","",IF(AQ$3=0,"n.b.",INDEX(SRC_ZPMW03!$A$1:$ZZ$501,$A149,AQ$3)))</f>
        <v/>
      </c>
      <c r="AR149" s="124" t="str">
        <f>IF($B149="","",IF(AR$3=0,"n.b.",INDEX(SRC_ZPMW03!$A$1:$ZZ$501,$A149,AR$3)))</f>
        <v/>
      </c>
      <c r="AS149" s="124" t="str">
        <f>IF($B149="","",IF(AS$3=0,"n.b.",INDEX(SRC_ZPMW03!$A$1:$ZZ$501,$A149,AS$3)))</f>
        <v/>
      </c>
      <c r="AT149" s="124" t="str">
        <f>IF($B149="","",IF(AT$3=0,"n.b.",INDEX(SRC_ZPMW03!$A$1:$ZZ$501,$A149,AT$3)))</f>
        <v/>
      </c>
      <c r="AU149" s="124" t="str">
        <f>IF($B149="","",IF(AU$3=0,"n.b.",INDEX(SRC_ZPMW03!$A$1:$ZZ$501,$A149,AU$3)))</f>
        <v/>
      </c>
      <c r="AV149" s="124" t="str">
        <f>IF($B149="","",IF(AV$3=0,"n.b.",INDEX(SRC_ZPMW03!$A$1:$ZZ$501,$A149,AV$3)))</f>
        <v/>
      </c>
      <c r="AW149" s="124" t="str">
        <f>IF($B149="","",IF(AW$3=0,"n.b.",INDEX(SRC_ZPMW03!$A$1:$ZZ$501,$A149,AW$3)))</f>
        <v/>
      </c>
      <c r="AX149" s="124" t="str">
        <f>IF($B149="","",IF(AX$3=0,"n.b.",INDEX(SRC_ZPMW03!$A$1:$ZZ$501,$A149,AX$3)))</f>
        <v/>
      </c>
      <c r="AY149" s="124" t="str">
        <f>IF($B149="","",IF(AY$3=0,"n.b.",INDEX(SRC_ZPMW03!$A$1:$ZZ$501,$A149,AY$3)))</f>
        <v/>
      </c>
      <c r="AZ149" s="124" t="str">
        <f>IF($B149="","",IF(AZ$3=0,"n.b.",INDEX(SRC_ZPMW03!$A$1:$ZZ$501,$A149,AZ$3)))</f>
        <v/>
      </c>
      <c r="BA149" s="124" t="str">
        <f>IF($B149="","",IF(BA$3=0,"n.b.",INDEX(SRC_ZPMW03!$A$1:$ZZ$501,$A149,BA$3)))</f>
        <v/>
      </c>
      <c r="BB149" s="124" t="str">
        <f>IF($B149="","",IF(BB$3=0,"n.b.",INDEX(SRC_ZPMW03!$A$1:$ZZ$501,$A149,BB$3)))</f>
        <v/>
      </c>
      <c r="BC149" s="124" t="str">
        <f>IF($B149="","",IF(BC$3=0,"n.b.",INDEX(SRC_ZPMW03!$A$1:$ZZ$501,$A149,BC$3)))</f>
        <v/>
      </c>
      <c r="BD149" s="124" t="str">
        <f>IF($B149="","",IF(BD$3=0,"n.b.",INDEX(SRC_ZPMW03!$A$1:$ZZ$501,$A149,BD$3)))</f>
        <v/>
      </c>
      <c r="BE149" s="124" t="str">
        <f>IF($B149="","",IF(BE$3=0,"n.b.",INDEX(SRC_ZPMW03!$A$1:$ZZ$501,$A149,BE$3)))</f>
        <v/>
      </c>
      <c r="BF149" s="124" t="str">
        <f>IF($B149="","",IF(BF$3=0,"n.b.",INDEX(SRC_ZPMW03!$A$1:$ZZ$501,$A149,BF$3)))</f>
        <v/>
      </c>
      <c r="BG149" t="str">
        <f>IF($B149="","",IF(BG$3=0,"n.b.",INDEX(SRC_ZPMW03!$A$1:$ZZ$501,$A149,BG$3)))</f>
        <v/>
      </c>
      <c r="BH149" t="str">
        <f>IF($B149="","",IF(BH$3=0,"n.b.",INDEX(SRC_ZPMW03!$A$1:$ZZ$501,$A149,BH$3)))</f>
        <v/>
      </c>
      <c r="BI149" t="str">
        <f>IF($B149="","",IF(BI$3=0,"n.b.",INDEX(SRC_ZPMW03!$A$1:$ZZ$501,$A149,BI$3)))</f>
        <v/>
      </c>
      <c r="BJ149" t="str">
        <f>IF($B149="","",IF(BJ$3=0,"n.b.",INDEX(SRC_ZPMW03!$A$1:$ZZ$501,$A149,BJ$3)))</f>
        <v/>
      </c>
      <c r="BK149" s="124" t="str">
        <f>IF($B149="","",IFERROR(-O149,"n.b."))</f>
        <v/>
      </c>
      <c r="BL149" s="124" t="str">
        <f>IF($B149="","",IFERROR(-Q149,"n.b."))</f>
        <v/>
      </c>
      <c r="BM149" s="124" t="str">
        <f>IF($B149="","",IFERROR(-AB149,"n.b."))</f>
        <v/>
      </c>
      <c r="BN149" s="124" t="str">
        <f>IF($B149="","",IFERROR(-AD149,"n.b."))</f>
        <v/>
      </c>
      <c r="BO149" s="124" t="str">
        <f>IF($B149="","",IFERROR(BK149+BM149,"n.b."))</f>
        <v/>
      </c>
      <c r="BP149" s="124" t="str">
        <f>IF($B149="","",IFERROR(BL149+BN149,"n.b."))</f>
        <v/>
      </c>
      <c r="BQ149" s="124" t="str">
        <f>IF($B149="","",IFERROR(-AM149,"n.b."))</f>
        <v/>
      </c>
      <c r="BR149" s="124" t="str">
        <f>IF($B149="","",IFERROR(-AO149,"n.b."))</f>
        <v/>
      </c>
      <c r="BS149" s="124" t="str">
        <f>IF($B149="","",IFERROR(-Z149,"n.b."))</f>
        <v/>
      </c>
      <c r="BT149" s="124" t="str">
        <f>IF($B149="","",IFERROR(-AA149,"n.b."))</f>
        <v/>
      </c>
      <c r="BU149" s="124" t="str">
        <f>IF($B149="","",IFERROR(-AE149,"n.b."))</f>
        <v/>
      </c>
      <c r="BV149" s="124" t="str">
        <f>IF($B149="","",IFERROR(-AF149,"n.b."))</f>
        <v/>
      </c>
      <c r="BW149" s="124" t="str">
        <f>IF($B149="","",IFERROR(-AG149,"n.b."))</f>
        <v/>
      </c>
      <c r="BX149" s="124" t="str">
        <f>IF($B149="","",IFERROR(-AH149,"n.b."))</f>
        <v/>
      </c>
      <c r="BY149" s="124" t="str">
        <f>IF($B149="","",IFERROR(-AI149,"n.b."))</f>
        <v/>
      </c>
      <c r="BZ149" s="124" t="str">
        <f>IF($B149="","",IFERROR(-AJ149,"n.b."))</f>
        <v/>
      </c>
      <c r="CA149" s="124" t="str">
        <f>IF($B149="","",IFERROR(-AK149,"n.b."))</f>
        <v/>
      </c>
      <c r="CB149" s="124" t="str">
        <f>IF($B149="","",IFERROR(-AL149,"n.b."))</f>
        <v/>
      </c>
      <c r="CC149" s="124" t="str">
        <f>IF($B149="","",IFERROR(-AP149,"n.b."))</f>
        <v/>
      </c>
      <c r="CD149" s="124" t="str">
        <f>IF($B149="","",IFERROR(-AQ149,"n.b."))</f>
        <v/>
      </c>
      <c r="CE149" s="124" t="str">
        <f>IF($B149="","",IFERROR(-AR149,"n.b."))</f>
        <v/>
      </c>
      <c r="CF149" s="124" t="str">
        <f>IF($B149="","",IFERROR(-AS149,"n.b."))</f>
        <v/>
      </c>
      <c r="CG149" s="124" t="str">
        <f>IF($B149="","",IFERROR(-AT149,"n.b."))</f>
        <v/>
      </c>
      <c r="CH149" s="124" t="str">
        <f>IF($B149="","",IFERROR(-AU149,"n.b."))</f>
        <v/>
      </c>
      <c r="CI149" s="124" t="str">
        <f>IF($B149="","",IFERROR(-AV149,"n.b."))</f>
        <v/>
      </c>
      <c r="CJ149" s="124" t="str">
        <f>IF($B149="","",IFERROR(-AW149,"n.b."))</f>
        <v/>
      </c>
      <c r="CK149" s="124" t="str">
        <f>IF($B149="","",IFERROR(-AX149,"n.b."))</f>
        <v/>
      </c>
      <c r="CL149" s="124" t="str">
        <f>IF($B149="","",IFERROR(-AY149,"n.b."))</f>
        <v/>
      </c>
      <c r="CM149" s="124" t="str">
        <f>IF($B149="","",IFERROR(-AZ149,"n.b."))</f>
        <v/>
      </c>
      <c r="CN149" s="124" t="str">
        <f>IF($B149="","",IFERROR(-BA149,"n.b."))</f>
        <v/>
      </c>
      <c r="CO149" s="124" t="str">
        <f>IF($B149="","",IFERROR(-BB149,"n.b."))</f>
        <v/>
      </c>
      <c r="CP149" s="124" t="str">
        <f>IF($B149="","",IFERROR(-BC149,"n.b."))</f>
        <v/>
      </c>
      <c r="CQ149" s="124" t="str">
        <f>IF($B149="","",IFERROR(-BD149,"n.b."))</f>
        <v/>
      </c>
      <c r="CR149" s="124" t="str">
        <f>IF($B149="","",IFERROR(-BE149,"n.b."))</f>
        <v/>
      </c>
      <c r="CS149" s="124" t="str">
        <f>IF($B149="","",IFERROR(IF(OR(ABS(T149+V149+X149+Z149-AB149)&gt;P_Tol,ABS(U149+W149+Y149+AA149-AD149)&gt;P_Tol,ABS(AE149+AG149+AI149+AK149-AM149)&gt;P_Tol,ABS(AF149+AH149+AJ149+AL149-AO149)&gt;P_Tol),1,0),1))</f>
        <v/>
      </c>
      <c r="CT149" s="124" t="str">
        <f>IF($B149="","",IFERROR(IF(OR(ABS(AB149+AC149-AD149)&gt;P_Tol,ABS(AM149+AN149-AO149)&gt;P_Tol,ABS(O149+P149-Q149)&gt;P_Tol),1,0),1))</f>
        <v/>
      </c>
      <c r="CU149" s="124" t="str">
        <f>IF($B149="","",IFERROR(IF(ABS(R149-(AB149+AM149+AP149+AR149+AT149+AV149+AX149+AZ149+BB149+BD149))&gt;P_Tol,1,0),1))</f>
        <v/>
      </c>
      <c r="CV149" s="124" t="str">
        <f>IF($B149="","",IFERROR(IF(ABS(M149-(N149+O149+R149))&gt;P_Tol,1,0),1))</f>
        <v/>
      </c>
      <c r="CW149" s="124" t="str">
        <f>IF($B149="","",IF(COUNTIF(Mapping!$A$5:$A$104,B149)&gt;0,1,0))</f>
        <v/>
      </c>
      <c r="CX149" s="124" t="str">
        <f>IF($B149="","",COUNTIF($B$6:$B$505,B149))</f>
        <v/>
      </c>
      <c r="CY149" s="124" t="str">
        <f>IF($B149="","",COUNTIF(STG_Woningetalage!$B$6:$B$505,B149))</f>
        <v/>
      </c>
      <c r="CZ149" s="124" t="str">
        <f>IF($B149="","",IF(CW149=0,COUNTIF($CW$6:CW149,0),""))</f>
        <v/>
      </c>
    </row>
    <row r="150">
      <c r="A150" s="15" t="n">
        <v>146</v>
      </c>
      <c r="B150" t="str">
        <f>IF(B$3=0,"",IF(INDEX(SRC_ZPMW03!$A$1:$ZZ$501,$A150,B$3)&amp;""="","",INDEX(SRC_ZPMW03!$A$1:$ZZ$501,$A150,B$3)&amp;""))</f>
        <v/>
      </c>
      <c r="C150" t="str">
        <f>IF($B150="","",IF(C$3=0,"n.b.",INDEX(SRC_ZPMW03!$A$1:$ZZ$501,$A150,C$3)))</f>
        <v/>
      </c>
      <c r="D150" t="str">
        <f>IF($B150="","",IF(D$3=0,"n.b.",INDEX(SRC_ZPMW03!$A$1:$ZZ$501,$A150,D$3)))</f>
        <v/>
      </c>
      <c r="E150" t="str">
        <f>IF($B150="","",IF(E$3=0,"n.b.",INDEX(SRC_ZPMW03!$A$1:$ZZ$501,$A150,E$3)))</f>
        <v/>
      </c>
      <c r="F150" t="str">
        <f>IF($B150="","",IF(F$3=0,"n.b.",INDEX(SRC_ZPMW03!$A$1:$ZZ$501,$A150,F$3)))</f>
        <v/>
      </c>
      <c r="G150" t="str">
        <f>IF($B150="","",IF(G$3=0,"n.b.",INDEX(SRC_ZPMW03!$A$1:$ZZ$501,$A150,G$3)))</f>
        <v/>
      </c>
      <c r="H150" t="str">
        <f>IF($B150="","",IF(H$3=0,"n.b.",INDEX(SRC_ZPMW03!$A$1:$ZZ$501,$A150,H$3)))</f>
        <v/>
      </c>
      <c r="I150" t="str">
        <f>IF($B150="","",IF(I$3=0,"n.b.",INDEX(SRC_ZPMW03!$A$1:$ZZ$501,$A150,I$3)))</f>
        <v/>
      </c>
      <c r="J150" t="str">
        <f>IF($B150="","",IF(J$3=0,"n.b.",INDEX(SRC_ZPMW03!$A$1:$ZZ$501,$A150,J$3)))</f>
        <v/>
      </c>
      <c r="K150" t="str">
        <f>IF($B150="","",IF(K$3=0,"n.b.",INDEX(SRC_ZPMW03!$A$1:$ZZ$501,$A150,K$3)))</f>
        <v/>
      </c>
      <c r="L150" s="124" t="str">
        <f>IF($B150="","",IF(L$3=0,"n.b.",INDEX(SRC_ZPMW03!$A$1:$ZZ$501,$A150,L$3)))</f>
        <v/>
      </c>
      <c r="M150" s="124" t="str">
        <f>IF($B150="","",IF(M$3=0,"n.b.",INDEX(SRC_ZPMW03!$A$1:$ZZ$501,$A150,M$3)))</f>
        <v/>
      </c>
      <c r="N150" s="124" t="str">
        <f>IF($B150="","",IF(N$3=0,"n.b.",INDEX(SRC_ZPMW03!$A$1:$ZZ$501,$A150,N$3)))</f>
        <v/>
      </c>
      <c r="O150" s="124" t="str">
        <f>IF($B150="","",IF(O$3=0,"n.b.",INDEX(SRC_ZPMW03!$A$1:$ZZ$501,$A150,O$3)))</f>
        <v/>
      </c>
      <c r="P150" s="124" t="str">
        <f>IF($B150="","",IF(P$3=0,"n.b.",INDEX(SRC_ZPMW03!$A$1:$ZZ$501,$A150,P$3)))</f>
        <v/>
      </c>
      <c r="Q150" s="124" t="str">
        <f>IF($B150="","",IF(Q$3=0,"n.b.",INDEX(SRC_ZPMW03!$A$1:$ZZ$501,$A150,Q$3)))</f>
        <v/>
      </c>
      <c r="R150" s="124" t="str">
        <f>IF($B150="","",IF(R$3=0,"n.b.",INDEX(SRC_ZPMW03!$A$1:$ZZ$501,$A150,R$3)))</f>
        <v/>
      </c>
      <c r="S150" s="124" t="str">
        <f>IF($B150="","",IF(S$3=0,"n.b.",INDEX(SRC_ZPMW03!$A$1:$ZZ$501,$A150,S$3)))</f>
        <v/>
      </c>
      <c r="T150" s="124" t="str">
        <f>IF($B150="","",IF(T$3=0,"n.b.",INDEX(SRC_ZPMW03!$A$1:$ZZ$501,$A150,T$3)))</f>
        <v/>
      </c>
      <c r="U150" s="124" t="str">
        <f>IF($B150="","",IF(U$3=0,"n.b.",INDEX(SRC_ZPMW03!$A$1:$ZZ$501,$A150,U$3)))</f>
        <v/>
      </c>
      <c r="V150" s="124" t="str">
        <f>IF($B150="","",IF(V$3=0,"n.b.",INDEX(SRC_ZPMW03!$A$1:$ZZ$501,$A150,V$3)))</f>
        <v/>
      </c>
      <c r="W150" s="124" t="str">
        <f>IF($B150="","",IF(W$3=0,"n.b.",INDEX(SRC_ZPMW03!$A$1:$ZZ$501,$A150,W$3)))</f>
        <v/>
      </c>
      <c r="X150" s="124" t="str">
        <f>IF($B150="","",IF(X$3=0,"n.b.",INDEX(SRC_ZPMW03!$A$1:$ZZ$501,$A150,X$3)))</f>
        <v/>
      </c>
      <c r="Y150" s="124" t="str">
        <f>IF($B150="","",IF(Y$3=0,"n.b.",INDEX(SRC_ZPMW03!$A$1:$ZZ$501,$A150,Y$3)))</f>
        <v/>
      </c>
      <c r="Z150" s="124" t="str">
        <f>IF($B150="","",IF(Z$3=0,"n.b.",INDEX(SRC_ZPMW03!$A$1:$ZZ$501,$A150,Z$3)))</f>
        <v/>
      </c>
      <c r="AA150" s="124" t="str">
        <f>IF($B150="","",IF(AA$3=0,"n.b.",INDEX(SRC_ZPMW03!$A$1:$ZZ$501,$A150,AA$3)))</f>
        <v/>
      </c>
      <c r="AB150" s="124" t="str">
        <f>IF($B150="","",IF(AB$3=0,"n.b.",INDEX(SRC_ZPMW03!$A$1:$ZZ$501,$A150,AB$3)))</f>
        <v/>
      </c>
      <c r="AC150" s="124" t="str">
        <f>IF($B150="","",IF(AC$3=0,"n.b.",INDEX(SRC_ZPMW03!$A$1:$ZZ$501,$A150,AC$3)))</f>
        <v/>
      </c>
      <c r="AD150" s="124" t="str">
        <f>IF($B150="","",IF(AD$3=0,"n.b.",INDEX(SRC_ZPMW03!$A$1:$ZZ$501,$A150,AD$3)))</f>
        <v/>
      </c>
      <c r="AE150" s="124" t="str">
        <f>IF($B150="","",IF(AE$3=0,"n.b.",INDEX(SRC_ZPMW03!$A$1:$ZZ$501,$A150,AE$3)))</f>
        <v/>
      </c>
      <c r="AF150" s="124" t="str">
        <f>IF($B150="","",IF(AF$3=0,"n.b.",INDEX(SRC_ZPMW03!$A$1:$ZZ$501,$A150,AF$3)))</f>
        <v/>
      </c>
      <c r="AG150" s="124" t="str">
        <f>IF($B150="","",IF(AG$3=0,"n.b.",INDEX(SRC_ZPMW03!$A$1:$ZZ$501,$A150,AG$3)))</f>
        <v/>
      </c>
      <c r="AH150" s="124" t="str">
        <f>IF($B150="","",IF(AH$3=0,"n.b.",INDEX(SRC_ZPMW03!$A$1:$ZZ$501,$A150,AH$3)))</f>
        <v/>
      </c>
      <c r="AI150" s="124" t="str">
        <f>IF($B150="","",IF(AI$3=0,"n.b.",INDEX(SRC_ZPMW03!$A$1:$ZZ$501,$A150,AI$3)))</f>
        <v/>
      </c>
      <c r="AJ150" s="124" t="str">
        <f>IF($B150="","",IF(AJ$3=0,"n.b.",INDEX(SRC_ZPMW03!$A$1:$ZZ$501,$A150,AJ$3)))</f>
        <v/>
      </c>
      <c r="AK150" s="124" t="str">
        <f>IF($B150="","",IF(AK$3=0,"n.b.",INDEX(SRC_ZPMW03!$A$1:$ZZ$501,$A150,AK$3)))</f>
        <v/>
      </c>
      <c r="AL150" s="124" t="str">
        <f>IF($B150="","",IF(AL$3=0,"n.b.",INDEX(SRC_ZPMW03!$A$1:$ZZ$501,$A150,AL$3)))</f>
        <v/>
      </c>
      <c r="AM150" s="124" t="str">
        <f>IF($B150="","",IF(AM$3=0,"n.b.",INDEX(SRC_ZPMW03!$A$1:$ZZ$501,$A150,AM$3)))</f>
        <v/>
      </c>
      <c r="AN150" s="124" t="str">
        <f>IF($B150="","",IF(AN$3=0,"n.b.",INDEX(SRC_ZPMW03!$A$1:$ZZ$501,$A150,AN$3)))</f>
        <v/>
      </c>
      <c r="AO150" s="124" t="str">
        <f>IF($B150="","",IF(AO$3=0,"n.b.",INDEX(SRC_ZPMW03!$A$1:$ZZ$501,$A150,AO$3)))</f>
        <v/>
      </c>
      <c r="AP150" s="124" t="str">
        <f>IF($B150="","",IF(AP$3=0,"n.b.",INDEX(SRC_ZPMW03!$A$1:$ZZ$501,$A150,AP$3)))</f>
        <v/>
      </c>
      <c r="AQ150" s="124" t="str">
        <f>IF($B150="","",IF(AQ$3=0,"n.b.",INDEX(SRC_ZPMW03!$A$1:$ZZ$501,$A150,AQ$3)))</f>
        <v/>
      </c>
      <c r="AR150" s="124" t="str">
        <f>IF($B150="","",IF(AR$3=0,"n.b.",INDEX(SRC_ZPMW03!$A$1:$ZZ$501,$A150,AR$3)))</f>
        <v/>
      </c>
      <c r="AS150" s="124" t="str">
        <f>IF($B150="","",IF(AS$3=0,"n.b.",INDEX(SRC_ZPMW03!$A$1:$ZZ$501,$A150,AS$3)))</f>
        <v/>
      </c>
      <c r="AT150" s="124" t="str">
        <f>IF($B150="","",IF(AT$3=0,"n.b.",INDEX(SRC_ZPMW03!$A$1:$ZZ$501,$A150,AT$3)))</f>
        <v/>
      </c>
      <c r="AU150" s="124" t="str">
        <f>IF($B150="","",IF(AU$3=0,"n.b.",INDEX(SRC_ZPMW03!$A$1:$ZZ$501,$A150,AU$3)))</f>
        <v/>
      </c>
      <c r="AV150" s="124" t="str">
        <f>IF($B150="","",IF(AV$3=0,"n.b.",INDEX(SRC_ZPMW03!$A$1:$ZZ$501,$A150,AV$3)))</f>
        <v/>
      </c>
      <c r="AW150" s="124" t="str">
        <f>IF($B150="","",IF(AW$3=0,"n.b.",INDEX(SRC_ZPMW03!$A$1:$ZZ$501,$A150,AW$3)))</f>
        <v/>
      </c>
      <c r="AX150" s="124" t="str">
        <f>IF($B150="","",IF(AX$3=0,"n.b.",INDEX(SRC_ZPMW03!$A$1:$ZZ$501,$A150,AX$3)))</f>
        <v/>
      </c>
      <c r="AY150" s="124" t="str">
        <f>IF($B150="","",IF(AY$3=0,"n.b.",INDEX(SRC_ZPMW03!$A$1:$ZZ$501,$A150,AY$3)))</f>
        <v/>
      </c>
      <c r="AZ150" s="124" t="str">
        <f>IF($B150="","",IF(AZ$3=0,"n.b.",INDEX(SRC_ZPMW03!$A$1:$ZZ$501,$A150,AZ$3)))</f>
        <v/>
      </c>
      <c r="BA150" s="124" t="str">
        <f>IF($B150="","",IF(BA$3=0,"n.b.",INDEX(SRC_ZPMW03!$A$1:$ZZ$501,$A150,BA$3)))</f>
        <v/>
      </c>
      <c r="BB150" s="124" t="str">
        <f>IF($B150="","",IF(BB$3=0,"n.b.",INDEX(SRC_ZPMW03!$A$1:$ZZ$501,$A150,BB$3)))</f>
        <v/>
      </c>
      <c r="BC150" s="124" t="str">
        <f>IF($B150="","",IF(BC$3=0,"n.b.",INDEX(SRC_ZPMW03!$A$1:$ZZ$501,$A150,BC$3)))</f>
        <v/>
      </c>
      <c r="BD150" s="124" t="str">
        <f>IF($B150="","",IF(BD$3=0,"n.b.",INDEX(SRC_ZPMW03!$A$1:$ZZ$501,$A150,BD$3)))</f>
        <v/>
      </c>
      <c r="BE150" s="124" t="str">
        <f>IF($B150="","",IF(BE$3=0,"n.b.",INDEX(SRC_ZPMW03!$A$1:$ZZ$501,$A150,BE$3)))</f>
        <v/>
      </c>
      <c r="BF150" s="124" t="str">
        <f>IF($B150="","",IF(BF$3=0,"n.b.",INDEX(SRC_ZPMW03!$A$1:$ZZ$501,$A150,BF$3)))</f>
        <v/>
      </c>
      <c r="BG150" t="str">
        <f>IF($B150="","",IF(BG$3=0,"n.b.",INDEX(SRC_ZPMW03!$A$1:$ZZ$501,$A150,BG$3)))</f>
        <v/>
      </c>
      <c r="BH150" t="str">
        <f>IF($B150="","",IF(BH$3=0,"n.b.",INDEX(SRC_ZPMW03!$A$1:$ZZ$501,$A150,BH$3)))</f>
        <v/>
      </c>
      <c r="BI150" t="str">
        <f>IF($B150="","",IF(BI$3=0,"n.b.",INDEX(SRC_ZPMW03!$A$1:$ZZ$501,$A150,BI$3)))</f>
        <v/>
      </c>
      <c r="BJ150" t="str">
        <f>IF($B150="","",IF(BJ$3=0,"n.b.",INDEX(SRC_ZPMW03!$A$1:$ZZ$501,$A150,BJ$3)))</f>
        <v/>
      </c>
      <c r="BK150" s="124" t="str">
        <f>IF($B150="","",IFERROR(-O150,"n.b."))</f>
        <v/>
      </c>
      <c r="BL150" s="124" t="str">
        <f>IF($B150="","",IFERROR(-Q150,"n.b."))</f>
        <v/>
      </c>
      <c r="BM150" s="124" t="str">
        <f>IF($B150="","",IFERROR(-AB150,"n.b."))</f>
        <v/>
      </c>
      <c r="BN150" s="124" t="str">
        <f>IF($B150="","",IFERROR(-AD150,"n.b."))</f>
        <v/>
      </c>
      <c r="BO150" s="124" t="str">
        <f>IF($B150="","",IFERROR(BK150+BM150,"n.b."))</f>
        <v/>
      </c>
      <c r="BP150" s="124" t="str">
        <f>IF($B150="","",IFERROR(BL150+BN150,"n.b."))</f>
        <v/>
      </c>
      <c r="BQ150" s="124" t="str">
        <f>IF($B150="","",IFERROR(-AM150,"n.b."))</f>
        <v/>
      </c>
      <c r="BR150" s="124" t="str">
        <f>IF($B150="","",IFERROR(-AO150,"n.b."))</f>
        <v/>
      </c>
      <c r="BS150" s="124" t="str">
        <f>IF($B150="","",IFERROR(-Z150,"n.b."))</f>
        <v/>
      </c>
      <c r="BT150" s="124" t="str">
        <f>IF($B150="","",IFERROR(-AA150,"n.b."))</f>
        <v/>
      </c>
      <c r="BU150" s="124" t="str">
        <f>IF($B150="","",IFERROR(-AE150,"n.b."))</f>
        <v/>
      </c>
      <c r="BV150" s="124" t="str">
        <f>IF($B150="","",IFERROR(-AF150,"n.b."))</f>
        <v/>
      </c>
      <c r="BW150" s="124" t="str">
        <f>IF($B150="","",IFERROR(-AG150,"n.b."))</f>
        <v/>
      </c>
      <c r="BX150" s="124" t="str">
        <f>IF($B150="","",IFERROR(-AH150,"n.b."))</f>
        <v/>
      </c>
      <c r="BY150" s="124" t="str">
        <f>IF($B150="","",IFERROR(-AI150,"n.b."))</f>
        <v/>
      </c>
      <c r="BZ150" s="124" t="str">
        <f>IF($B150="","",IFERROR(-AJ150,"n.b."))</f>
        <v/>
      </c>
      <c r="CA150" s="124" t="str">
        <f>IF($B150="","",IFERROR(-AK150,"n.b."))</f>
        <v/>
      </c>
      <c r="CB150" s="124" t="str">
        <f>IF($B150="","",IFERROR(-AL150,"n.b."))</f>
        <v/>
      </c>
      <c r="CC150" s="124" t="str">
        <f>IF($B150="","",IFERROR(-AP150,"n.b."))</f>
        <v/>
      </c>
      <c r="CD150" s="124" t="str">
        <f>IF($B150="","",IFERROR(-AQ150,"n.b."))</f>
        <v/>
      </c>
      <c r="CE150" s="124" t="str">
        <f>IF($B150="","",IFERROR(-AR150,"n.b."))</f>
        <v/>
      </c>
      <c r="CF150" s="124" t="str">
        <f>IF($B150="","",IFERROR(-AS150,"n.b."))</f>
        <v/>
      </c>
      <c r="CG150" s="124" t="str">
        <f>IF($B150="","",IFERROR(-AT150,"n.b."))</f>
        <v/>
      </c>
      <c r="CH150" s="124" t="str">
        <f>IF($B150="","",IFERROR(-AU150,"n.b."))</f>
        <v/>
      </c>
      <c r="CI150" s="124" t="str">
        <f>IF($B150="","",IFERROR(-AV150,"n.b."))</f>
        <v/>
      </c>
      <c r="CJ150" s="124" t="str">
        <f>IF($B150="","",IFERROR(-AW150,"n.b."))</f>
        <v/>
      </c>
      <c r="CK150" s="124" t="str">
        <f>IF($B150="","",IFERROR(-AX150,"n.b."))</f>
        <v/>
      </c>
      <c r="CL150" s="124" t="str">
        <f>IF($B150="","",IFERROR(-AY150,"n.b."))</f>
        <v/>
      </c>
      <c r="CM150" s="124" t="str">
        <f>IF($B150="","",IFERROR(-AZ150,"n.b."))</f>
        <v/>
      </c>
      <c r="CN150" s="124" t="str">
        <f>IF($B150="","",IFERROR(-BA150,"n.b."))</f>
        <v/>
      </c>
      <c r="CO150" s="124" t="str">
        <f>IF($B150="","",IFERROR(-BB150,"n.b."))</f>
        <v/>
      </c>
      <c r="CP150" s="124" t="str">
        <f>IF($B150="","",IFERROR(-BC150,"n.b."))</f>
        <v/>
      </c>
      <c r="CQ150" s="124" t="str">
        <f>IF($B150="","",IFERROR(-BD150,"n.b."))</f>
        <v/>
      </c>
      <c r="CR150" s="124" t="str">
        <f>IF($B150="","",IFERROR(-BE150,"n.b."))</f>
        <v/>
      </c>
      <c r="CS150" s="124" t="str">
        <f>IF($B150="","",IFERROR(IF(OR(ABS(T150+V150+X150+Z150-AB150)&gt;P_Tol,ABS(U150+W150+Y150+AA150-AD150)&gt;P_Tol,ABS(AE150+AG150+AI150+AK150-AM150)&gt;P_Tol,ABS(AF150+AH150+AJ150+AL150-AO150)&gt;P_Tol),1,0),1))</f>
        <v/>
      </c>
      <c r="CT150" s="124" t="str">
        <f>IF($B150="","",IFERROR(IF(OR(ABS(AB150+AC150-AD150)&gt;P_Tol,ABS(AM150+AN150-AO150)&gt;P_Tol,ABS(O150+P150-Q150)&gt;P_Tol),1,0),1))</f>
        <v/>
      </c>
      <c r="CU150" s="124" t="str">
        <f>IF($B150="","",IFERROR(IF(ABS(R150-(AB150+AM150+AP150+AR150+AT150+AV150+AX150+AZ150+BB150+BD150))&gt;P_Tol,1,0),1))</f>
        <v/>
      </c>
      <c r="CV150" s="124" t="str">
        <f>IF($B150="","",IFERROR(IF(ABS(M150-(N150+O150+R150))&gt;P_Tol,1,0),1))</f>
        <v/>
      </c>
      <c r="CW150" s="124" t="str">
        <f>IF($B150="","",IF(COUNTIF(Mapping!$A$5:$A$104,B150)&gt;0,1,0))</f>
        <v/>
      </c>
      <c r="CX150" s="124" t="str">
        <f>IF($B150="","",COUNTIF($B$6:$B$505,B150))</f>
        <v/>
      </c>
      <c r="CY150" s="124" t="str">
        <f>IF($B150="","",COUNTIF(STG_Woningetalage!$B$6:$B$505,B150))</f>
        <v/>
      </c>
      <c r="CZ150" s="124" t="str">
        <f>IF($B150="","",IF(CW150=0,COUNTIF($CW$6:CW150,0),""))</f>
        <v/>
      </c>
    </row>
    <row r="151">
      <c r="A151" s="15" t="n">
        <v>147</v>
      </c>
      <c r="B151" t="str">
        <f>IF(B$3=0,"",IF(INDEX(SRC_ZPMW03!$A$1:$ZZ$501,$A151,B$3)&amp;""="","",INDEX(SRC_ZPMW03!$A$1:$ZZ$501,$A151,B$3)&amp;""))</f>
        <v/>
      </c>
      <c r="C151" t="str">
        <f>IF($B151="","",IF(C$3=0,"n.b.",INDEX(SRC_ZPMW03!$A$1:$ZZ$501,$A151,C$3)))</f>
        <v/>
      </c>
      <c r="D151" t="str">
        <f>IF($B151="","",IF(D$3=0,"n.b.",INDEX(SRC_ZPMW03!$A$1:$ZZ$501,$A151,D$3)))</f>
        <v/>
      </c>
      <c r="E151" t="str">
        <f>IF($B151="","",IF(E$3=0,"n.b.",INDEX(SRC_ZPMW03!$A$1:$ZZ$501,$A151,E$3)))</f>
        <v/>
      </c>
      <c r="F151" t="str">
        <f>IF($B151="","",IF(F$3=0,"n.b.",INDEX(SRC_ZPMW03!$A$1:$ZZ$501,$A151,F$3)))</f>
        <v/>
      </c>
      <c r="G151" t="str">
        <f>IF($B151="","",IF(G$3=0,"n.b.",INDEX(SRC_ZPMW03!$A$1:$ZZ$501,$A151,G$3)))</f>
        <v/>
      </c>
      <c r="H151" t="str">
        <f>IF($B151="","",IF(H$3=0,"n.b.",INDEX(SRC_ZPMW03!$A$1:$ZZ$501,$A151,H$3)))</f>
        <v/>
      </c>
      <c r="I151" t="str">
        <f>IF($B151="","",IF(I$3=0,"n.b.",INDEX(SRC_ZPMW03!$A$1:$ZZ$501,$A151,I$3)))</f>
        <v/>
      </c>
      <c r="J151" t="str">
        <f>IF($B151="","",IF(J$3=0,"n.b.",INDEX(SRC_ZPMW03!$A$1:$ZZ$501,$A151,J$3)))</f>
        <v/>
      </c>
      <c r="K151" t="str">
        <f>IF($B151="","",IF(K$3=0,"n.b.",INDEX(SRC_ZPMW03!$A$1:$ZZ$501,$A151,K$3)))</f>
        <v/>
      </c>
      <c r="L151" s="124" t="str">
        <f>IF($B151="","",IF(L$3=0,"n.b.",INDEX(SRC_ZPMW03!$A$1:$ZZ$501,$A151,L$3)))</f>
        <v/>
      </c>
      <c r="M151" s="124" t="str">
        <f>IF($B151="","",IF(M$3=0,"n.b.",INDEX(SRC_ZPMW03!$A$1:$ZZ$501,$A151,M$3)))</f>
        <v/>
      </c>
      <c r="N151" s="124" t="str">
        <f>IF($B151="","",IF(N$3=0,"n.b.",INDEX(SRC_ZPMW03!$A$1:$ZZ$501,$A151,N$3)))</f>
        <v/>
      </c>
      <c r="O151" s="124" t="str">
        <f>IF($B151="","",IF(O$3=0,"n.b.",INDEX(SRC_ZPMW03!$A$1:$ZZ$501,$A151,O$3)))</f>
        <v/>
      </c>
      <c r="P151" s="124" t="str">
        <f>IF($B151="","",IF(P$3=0,"n.b.",INDEX(SRC_ZPMW03!$A$1:$ZZ$501,$A151,P$3)))</f>
        <v/>
      </c>
      <c r="Q151" s="124" t="str">
        <f>IF($B151="","",IF(Q$3=0,"n.b.",INDEX(SRC_ZPMW03!$A$1:$ZZ$501,$A151,Q$3)))</f>
        <v/>
      </c>
      <c r="R151" s="124" t="str">
        <f>IF($B151="","",IF(R$3=0,"n.b.",INDEX(SRC_ZPMW03!$A$1:$ZZ$501,$A151,R$3)))</f>
        <v/>
      </c>
      <c r="S151" s="124" t="str">
        <f>IF($B151="","",IF(S$3=0,"n.b.",INDEX(SRC_ZPMW03!$A$1:$ZZ$501,$A151,S$3)))</f>
        <v/>
      </c>
      <c r="T151" s="124" t="str">
        <f>IF($B151="","",IF(T$3=0,"n.b.",INDEX(SRC_ZPMW03!$A$1:$ZZ$501,$A151,T$3)))</f>
        <v/>
      </c>
      <c r="U151" s="124" t="str">
        <f>IF($B151="","",IF(U$3=0,"n.b.",INDEX(SRC_ZPMW03!$A$1:$ZZ$501,$A151,U$3)))</f>
        <v/>
      </c>
      <c r="V151" s="124" t="str">
        <f>IF($B151="","",IF(V$3=0,"n.b.",INDEX(SRC_ZPMW03!$A$1:$ZZ$501,$A151,V$3)))</f>
        <v/>
      </c>
      <c r="W151" s="124" t="str">
        <f>IF($B151="","",IF(W$3=0,"n.b.",INDEX(SRC_ZPMW03!$A$1:$ZZ$501,$A151,W$3)))</f>
        <v/>
      </c>
      <c r="X151" s="124" t="str">
        <f>IF($B151="","",IF(X$3=0,"n.b.",INDEX(SRC_ZPMW03!$A$1:$ZZ$501,$A151,X$3)))</f>
        <v/>
      </c>
      <c r="Y151" s="124" t="str">
        <f>IF($B151="","",IF(Y$3=0,"n.b.",INDEX(SRC_ZPMW03!$A$1:$ZZ$501,$A151,Y$3)))</f>
        <v/>
      </c>
      <c r="Z151" s="124" t="str">
        <f>IF($B151="","",IF(Z$3=0,"n.b.",INDEX(SRC_ZPMW03!$A$1:$ZZ$501,$A151,Z$3)))</f>
        <v/>
      </c>
      <c r="AA151" s="124" t="str">
        <f>IF($B151="","",IF(AA$3=0,"n.b.",INDEX(SRC_ZPMW03!$A$1:$ZZ$501,$A151,AA$3)))</f>
        <v/>
      </c>
      <c r="AB151" s="124" t="str">
        <f>IF($B151="","",IF(AB$3=0,"n.b.",INDEX(SRC_ZPMW03!$A$1:$ZZ$501,$A151,AB$3)))</f>
        <v/>
      </c>
      <c r="AC151" s="124" t="str">
        <f>IF($B151="","",IF(AC$3=0,"n.b.",INDEX(SRC_ZPMW03!$A$1:$ZZ$501,$A151,AC$3)))</f>
        <v/>
      </c>
      <c r="AD151" s="124" t="str">
        <f>IF($B151="","",IF(AD$3=0,"n.b.",INDEX(SRC_ZPMW03!$A$1:$ZZ$501,$A151,AD$3)))</f>
        <v/>
      </c>
      <c r="AE151" s="124" t="str">
        <f>IF($B151="","",IF(AE$3=0,"n.b.",INDEX(SRC_ZPMW03!$A$1:$ZZ$501,$A151,AE$3)))</f>
        <v/>
      </c>
      <c r="AF151" s="124" t="str">
        <f>IF($B151="","",IF(AF$3=0,"n.b.",INDEX(SRC_ZPMW03!$A$1:$ZZ$501,$A151,AF$3)))</f>
        <v/>
      </c>
      <c r="AG151" s="124" t="str">
        <f>IF($B151="","",IF(AG$3=0,"n.b.",INDEX(SRC_ZPMW03!$A$1:$ZZ$501,$A151,AG$3)))</f>
        <v/>
      </c>
      <c r="AH151" s="124" t="str">
        <f>IF($B151="","",IF(AH$3=0,"n.b.",INDEX(SRC_ZPMW03!$A$1:$ZZ$501,$A151,AH$3)))</f>
        <v/>
      </c>
      <c r="AI151" s="124" t="str">
        <f>IF($B151="","",IF(AI$3=0,"n.b.",INDEX(SRC_ZPMW03!$A$1:$ZZ$501,$A151,AI$3)))</f>
        <v/>
      </c>
      <c r="AJ151" s="124" t="str">
        <f>IF($B151="","",IF(AJ$3=0,"n.b.",INDEX(SRC_ZPMW03!$A$1:$ZZ$501,$A151,AJ$3)))</f>
        <v/>
      </c>
      <c r="AK151" s="124" t="str">
        <f>IF($B151="","",IF(AK$3=0,"n.b.",INDEX(SRC_ZPMW03!$A$1:$ZZ$501,$A151,AK$3)))</f>
        <v/>
      </c>
      <c r="AL151" s="124" t="str">
        <f>IF($B151="","",IF(AL$3=0,"n.b.",INDEX(SRC_ZPMW03!$A$1:$ZZ$501,$A151,AL$3)))</f>
        <v/>
      </c>
      <c r="AM151" s="124" t="str">
        <f>IF($B151="","",IF(AM$3=0,"n.b.",INDEX(SRC_ZPMW03!$A$1:$ZZ$501,$A151,AM$3)))</f>
        <v/>
      </c>
      <c r="AN151" s="124" t="str">
        <f>IF($B151="","",IF(AN$3=0,"n.b.",INDEX(SRC_ZPMW03!$A$1:$ZZ$501,$A151,AN$3)))</f>
        <v/>
      </c>
      <c r="AO151" s="124" t="str">
        <f>IF($B151="","",IF(AO$3=0,"n.b.",INDEX(SRC_ZPMW03!$A$1:$ZZ$501,$A151,AO$3)))</f>
        <v/>
      </c>
      <c r="AP151" s="124" t="str">
        <f>IF($B151="","",IF(AP$3=0,"n.b.",INDEX(SRC_ZPMW03!$A$1:$ZZ$501,$A151,AP$3)))</f>
        <v/>
      </c>
      <c r="AQ151" s="124" t="str">
        <f>IF($B151="","",IF(AQ$3=0,"n.b.",INDEX(SRC_ZPMW03!$A$1:$ZZ$501,$A151,AQ$3)))</f>
        <v/>
      </c>
      <c r="AR151" s="124" t="str">
        <f>IF($B151="","",IF(AR$3=0,"n.b.",INDEX(SRC_ZPMW03!$A$1:$ZZ$501,$A151,AR$3)))</f>
        <v/>
      </c>
      <c r="AS151" s="124" t="str">
        <f>IF($B151="","",IF(AS$3=0,"n.b.",INDEX(SRC_ZPMW03!$A$1:$ZZ$501,$A151,AS$3)))</f>
        <v/>
      </c>
      <c r="AT151" s="124" t="str">
        <f>IF($B151="","",IF(AT$3=0,"n.b.",INDEX(SRC_ZPMW03!$A$1:$ZZ$501,$A151,AT$3)))</f>
        <v/>
      </c>
      <c r="AU151" s="124" t="str">
        <f>IF($B151="","",IF(AU$3=0,"n.b.",INDEX(SRC_ZPMW03!$A$1:$ZZ$501,$A151,AU$3)))</f>
        <v/>
      </c>
      <c r="AV151" s="124" t="str">
        <f>IF($B151="","",IF(AV$3=0,"n.b.",INDEX(SRC_ZPMW03!$A$1:$ZZ$501,$A151,AV$3)))</f>
        <v/>
      </c>
      <c r="AW151" s="124" t="str">
        <f>IF($B151="","",IF(AW$3=0,"n.b.",INDEX(SRC_ZPMW03!$A$1:$ZZ$501,$A151,AW$3)))</f>
        <v/>
      </c>
      <c r="AX151" s="124" t="str">
        <f>IF($B151="","",IF(AX$3=0,"n.b.",INDEX(SRC_ZPMW03!$A$1:$ZZ$501,$A151,AX$3)))</f>
        <v/>
      </c>
      <c r="AY151" s="124" t="str">
        <f>IF($B151="","",IF(AY$3=0,"n.b.",INDEX(SRC_ZPMW03!$A$1:$ZZ$501,$A151,AY$3)))</f>
        <v/>
      </c>
      <c r="AZ151" s="124" t="str">
        <f>IF($B151="","",IF(AZ$3=0,"n.b.",INDEX(SRC_ZPMW03!$A$1:$ZZ$501,$A151,AZ$3)))</f>
        <v/>
      </c>
      <c r="BA151" s="124" t="str">
        <f>IF($B151="","",IF(BA$3=0,"n.b.",INDEX(SRC_ZPMW03!$A$1:$ZZ$501,$A151,BA$3)))</f>
        <v/>
      </c>
      <c r="BB151" s="124" t="str">
        <f>IF($B151="","",IF(BB$3=0,"n.b.",INDEX(SRC_ZPMW03!$A$1:$ZZ$501,$A151,BB$3)))</f>
        <v/>
      </c>
      <c r="BC151" s="124" t="str">
        <f>IF($B151="","",IF(BC$3=0,"n.b.",INDEX(SRC_ZPMW03!$A$1:$ZZ$501,$A151,BC$3)))</f>
        <v/>
      </c>
      <c r="BD151" s="124" t="str">
        <f>IF($B151="","",IF(BD$3=0,"n.b.",INDEX(SRC_ZPMW03!$A$1:$ZZ$501,$A151,BD$3)))</f>
        <v/>
      </c>
      <c r="BE151" s="124" t="str">
        <f>IF($B151="","",IF(BE$3=0,"n.b.",INDEX(SRC_ZPMW03!$A$1:$ZZ$501,$A151,BE$3)))</f>
        <v/>
      </c>
      <c r="BF151" s="124" t="str">
        <f>IF($B151="","",IF(BF$3=0,"n.b.",INDEX(SRC_ZPMW03!$A$1:$ZZ$501,$A151,BF$3)))</f>
        <v/>
      </c>
      <c r="BG151" t="str">
        <f>IF($B151="","",IF(BG$3=0,"n.b.",INDEX(SRC_ZPMW03!$A$1:$ZZ$501,$A151,BG$3)))</f>
        <v/>
      </c>
      <c r="BH151" t="str">
        <f>IF($B151="","",IF(BH$3=0,"n.b.",INDEX(SRC_ZPMW03!$A$1:$ZZ$501,$A151,BH$3)))</f>
        <v/>
      </c>
      <c r="BI151" t="str">
        <f>IF($B151="","",IF(BI$3=0,"n.b.",INDEX(SRC_ZPMW03!$A$1:$ZZ$501,$A151,BI$3)))</f>
        <v/>
      </c>
      <c r="BJ151" t="str">
        <f>IF($B151="","",IF(BJ$3=0,"n.b.",INDEX(SRC_ZPMW03!$A$1:$ZZ$501,$A151,BJ$3)))</f>
        <v/>
      </c>
      <c r="BK151" s="124" t="str">
        <f>IF($B151="","",IFERROR(-O151,"n.b."))</f>
        <v/>
      </c>
      <c r="BL151" s="124" t="str">
        <f>IF($B151="","",IFERROR(-Q151,"n.b."))</f>
        <v/>
      </c>
      <c r="BM151" s="124" t="str">
        <f>IF($B151="","",IFERROR(-AB151,"n.b."))</f>
        <v/>
      </c>
      <c r="BN151" s="124" t="str">
        <f>IF($B151="","",IFERROR(-AD151,"n.b."))</f>
        <v/>
      </c>
      <c r="BO151" s="124" t="str">
        <f>IF($B151="","",IFERROR(BK151+BM151,"n.b."))</f>
        <v/>
      </c>
      <c r="BP151" s="124" t="str">
        <f>IF($B151="","",IFERROR(BL151+BN151,"n.b."))</f>
        <v/>
      </c>
      <c r="BQ151" s="124" t="str">
        <f>IF($B151="","",IFERROR(-AM151,"n.b."))</f>
        <v/>
      </c>
      <c r="BR151" s="124" t="str">
        <f>IF($B151="","",IFERROR(-AO151,"n.b."))</f>
        <v/>
      </c>
      <c r="BS151" s="124" t="str">
        <f>IF($B151="","",IFERROR(-Z151,"n.b."))</f>
        <v/>
      </c>
      <c r="BT151" s="124" t="str">
        <f>IF($B151="","",IFERROR(-AA151,"n.b."))</f>
        <v/>
      </c>
      <c r="BU151" s="124" t="str">
        <f>IF($B151="","",IFERROR(-AE151,"n.b."))</f>
        <v/>
      </c>
      <c r="BV151" s="124" t="str">
        <f>IF($B151="","",IFERROR(-AF151,"n.b."))</f>
        <v/>
      </c>
      <c r="BW151" s="124" t="str">
        <f>IF($B151="","",IFERROR(-AG151,"n.b."))</f>
        <v/>
      </c>
      <c r="BX151" s="124" t="str">
        <f>IF($B151="","",IFERROR(-AH151,"n.b."))</f>
        <v/>
      </c>
      <c r="BY151" s="124" t="str">
        <f>IF($B151="","",IFERROR(-AI151,"n.b."))</f>
        <v/>
      </c>
      <c r="BZ151" s="124" t="str">
        <f>IF($B151="","",IFERROR(-AJ151,"n.b."))</f>
        <v/>
      </c>
      <c r="CA151" s="124" t="str">
        <f>IF($B151="","",IFERROR(-AK151,"n.b."))</f>
        <v/>
      </c>
      <c r="CB151" s="124" t="str">
        <f>IF($B151="","",IFERROR(-AL151,"n.b."))</f>
        <v/>
      </c>
      <c r="CC151" s="124" t="str">
        <f>IF($B151="","",IFERROR(-AP151,"n.b."))</f>
        <v/>
      </c>
      <c r="CD151" s="124" t="str">
        <f>IF($B151="","",IFERROR(-AQ151,"n.b."))</f>
        <v/>
      </c>
      <c r="CE151" s="124" t="str">
        <f>IF($B151="","",IFERROR(-AR151,"n.b."))</f>
        <v/>
      </c>
      <c r="CF151" s="124" t="str">
        <f>IF($B151="","",IFERROR(-AS151,"n.b."))</f>
        <v/>
      </c>
      <c r="CG151" s="124" t="str">
        <f>IF($B151="","",IFERROR(-AT151,"n.b."))</f>
        <v/>
      </c>
      <c r="CH151" s="124" t="str">
        <f>IF($B151="","",IFERROR(-AU151,"n.b."))</f>
        <v/>
      </c>
      <c r="CI151" s="124" t="str">
        <f>IF($B151="","",IFERROR(-AV151,"n.b."))</f>
        <v/>
      </c>
      <c r="CJ151" s="124" t="str">
        <f>IF($B151="","",IFERROR(-AW151,"n.b."))</f>
        <v/>
      </c>
      <c r="CK151" s="124" t="str">
        <f>IF($B151="","",IFERROR(-AX151,"n.b."))</f>
        <v/>
      </c>
      <c r="CL151" s="124" t="str">
        <f>IF($B151="","",IFERROR(-AY151,"n.b."))</f>
        <v/>
      </c>
      <c r="CM151" s="124" t="str">
        <f>IF($B151="","",IFERROR(-AZ151,"n.b."))</f>
        <v/>
      </c>
      <c r="CN151" s="124" t="str">
        <f>IF($B151="","",IFERROR(-BA151,"n.b."))</f>
        <v/>
      </c>
      <c r="CO151" s="124" t="str">
        <f>IF($B151="","",IFERROR(-BB151,"n.b."))</f>
        <v/>
      </c>
      <c r="CP151" s="124" t="str">
        <f>IF($B151="","",IFERROR(-BC151,"n.b."))</f>
        <v/>
      </c>
      <c r="CQ151" s="124" t="str">
        <f>IF($B151="","",IFERROR(-BD151,"n.b."))</f>
        <v/>
      </c>
      <c r="CR151" s="124" t="str">
        <f>IF($B151="","",IFERROR(-BE151,"n.b."))</f>
        <v/>
      </c>
      <c r="CS151" s="124" t="str">
        <f>IF($B151="","",IFERROR(IF(OR(ABS(T151+V151+X151+Z151-AB151)&gt;P_Tol,ABS(U151+W151+Y151+AA151-AD151)&gt;P_Tol,ABS(AE151+AG151+AI151+AK151-AM151)&gt;P_Tol,ABS(AF151+AH151+AJ151+AL151-AO151)&gt;P_Tol),1,0),1))</f>
        <v/>
      </c>
      <c r="CT151" s="124" t="str">
        <f>IF($B151="","",IFERROR(IF(OR(ABS(AB151+AC151-AD151)&gt;P_Tol,ABS(AM151+AN151-AO151)&gt;P_Tol,ABS(O151+P151-Q151)&gt;P_Tol),1,0),1))</f>
        <v/>
      </c>
      <c r="CU151" s="124" t="str">
        <f>IF($B151="","",IFERROR(IF(ABS(R151-(AB151+AM151+AP151+AR151+AT151+AV151+AX151+AZ151+BB151+BD151))&gt;P_Tol,1,0),1))</f>
        <v/>
      </c>
      <c r="CV151" s="124" t="str">
        <f>IF($B151="","",IFERROR(IF(ABS(M151-(N151+O151+R151))&gt;P_Tol,1,0),1))</f>
        <v/>
      </c>
      <c r="CW151" s="124" t="str">
        <f>IF($B151="","",IF(COUNTIF(Mapping!$A$5:$A$104,B151)&gt;0,1,0))</f>
        <v/>
      </c>
      <c r="CX151" s="124" t="str">
        <f>IF($B151="","",COUNTIF($B$6:$B$505,B151))</f>
        <v/>
      </c>
      <c r="CY151" s="124" t="str">
        <f>IF($B151="","",COUNTIF(STG_Woningetalage!$B$6:$B$505,B151))</f>
        <v/>
      </c>
      <c r="CZ151" s="124" t="str">
        <f>IF($B151="","",IF(CW151=0,COUNTIF($CW$6:CW151,0),""))</f>
        <v/>
      </c>
    </row>
    <row r="152">
      <c r="A152" s="15" t="n">
        <v>148</v>
      </c>
      <c r="B152" t="str">
        <f>IF(B$3=0,"",IF(INDEX(SRC_ZPMW03!$A$1:$ZZ$501,$A152,B$3)&amp;""="","",INDEX(SRC_ZPMW03!$A$1:$ZZ$501,$A152,B$3)&amp;""))</f>
        <v/>
      </c>
      <c r="C152" t="str">
        <f>IF($B152="","",IF(C$3=0,"n.b.",INDEX(SRC_ZPMW03!$A$1:$ZZ$501,$A152,C$3)))</f>
        <v/>
      </c>
      <c r="D152" t="str">
        <f>IF($B152="","",IF(D$3=0,"n.b.",INDEX(SRC_ZPMW03!$A$1:$ZZ$501,$A152,D$3)))</f>
        <v/>
      </c>
      <c r="E152" t="str">
        <f>IF($B152="","",IF(E$3=0,"n.b.",INDEX(SRC_ZPMW03!$A$1:$ZZ$501,$A152,E$3)))</f>
        <v/>
      </c>
      <c r="F152" t="str">
        <f>IF($B152="","",IF(F$3=0,"n.b.",INDEX(SRC_ZPMW03!$A$1:$ZZ$501,$A152,F$3)))</f>
        <v/>
      </c>
      <c r="G152" t="str">
        <f>IF($B152="","",IF(G$3=0,"n.b.",INDEX(SRC_ZPMW03!$A$1:$ZZ$501,$A152,G$3)))</f>
        <v/>
      </c>
      <c r="H152" t="str">
        <f>IF($B152="","",IF(H$3=0,"n.b.",INDEX(SRC_ZPMW03!$A$1:$ZZ$501,$A152,H$3)))</f>
        <v/>
      </c>
      <c r="I152" t="str">
        <f>IF($B152="","",IF(I$3=0,"n.b.",INDEX(SRC_ZPMW03!$A$1:$ZZ$501,$A152,I$3)))</f>
        <v/>
      </c>
      <c r="J152" t="str">
        <f>IF($B152="","",IF(J$3=0,"n.b.",INDEX(SRC_ZPMW03!$A$1:$ZZ$501,$A152,J$3)))</f>
        <v/>
      </c>
      <c r="K152" t="str">
        <f>IF($B152="","",IF(K$3=0,"n.b.",INDEX(SRC_ZPMW03!$A$1:$ZZ$501,$A152,K$3)))</f>
        <v/>
      </c>
      <c r="L152" s="124" t="str">
        <f>IF($B152="","",IF(L$3=0,"n.b.",INDEX(SRC_ZPMW03!$A$1:$ZZ$501,$A152,L$3)))</f>
        <v/>
      </c>
      <c r="M152" s="124" t="str">
        <f>IF($B152="","",IF(M$3=0,"n.b.",INDEX(SRC_ZPMW03!$A$1:$ZZ$501,$A152,M$3)))</f>
        <v/>
      </c>
      <c r="N152" s="124" t="str">
        <f>IF($B152="","",IF(N$3=0,"n.b.",INDEX(SRC_ZPMW03!$A$1:$ZZ$501,$A152,N$3)))</f>
        <v/>
      </c>
      <c r="O152" s="124" t="str">
        <f>IF($B152="","",IF(O$3=0,"n.b.",INDEX(SRC_ZPMW03!$A$1:$ZZ$501,$A152,O$3)))</f>
        <v/>
      </c>
      <c r="P152" s="124" t="str">
        <f>IF($B152="","",IF(P$3=0,"n.b.",INDEX(SRC_ZPMW03!$A$1:$ZZ$501,$A152,P$3)))</f>
        <v/>
      </c>
      <c r="Q152" s="124" t="str">
        <f>IF($B152="","",IF(Q$3=0,"n.b.",INDEX(SRC_ZPMW03!$A$1:$ZZ$501,$A152,Q$3)))</f>
        <v/>
      </c>
      <c r="R152" s="124" t="str">
        <f>IF($B152="","",IF(R$3=0,"n.b.",INDEX(SRC_ZPMW03!$A$1:$ZZ$501,$A152,R$3)))</f>
        <v/>
      </c>
      <c r="S152" s="124" t="str">
        <f>IF($B152="","",IF(S$3=0,"n.b.",INDEX(SRC_ZPMW03!$A$1:$ZZ$501,$A152,S$3)))</f>
        <v/>
      </c>
      <c r="T152" s="124" t="str">
        <f>IF($B152="","",IF(T$3=0,"n.b.",INDEX(SRC_ZPMW03!$A$1:$ZZ$501,$A152,T$3)))</f>
        <v/>
      </c>
      <c r="U152" s="124" t="str">
        <f>IF($B152="","",IF(U$3=0,"n.b.",INDEX(SRC_ZPMW03!$A$1:$ZZ$501,$A152,U$3)))</f>
        <v/>
      </c>
      <c r="V152" s="124" t="str">
        <f>IF($B152="","",IF(V$3=0,"n.b.",INDEX(SRC_ZPMW03!$A$1:$ZZ$501,$A152,V$3)))</f>
        <v/>
      </c>
      <c r="W152" s="124" t="str">
        <f>IF($B152="","",IF(W$3=0,"n.b.",INDEX(SRC_ZPMW03!$A$1:$ZZ$501,$A152,W$3)))</f>
        <v/>
      </c>
      <c r="X152" s="124" t="str">
        <f>IF($B152="","",IF(X$3=0,"n.b.",INDEX(SRC_ZPMW03!$A$1:$ZZ$501,$A152,X$3)))</f>
        <v/>
      </c>
      <c r="Y152" s="124" t="str">
        <f>IF($B152="","",IF(Y$3=0,"n.b.",INDEX(SRC_ZPMW03!$A$1:$ZZ$501,$A152,Y$3)))</f>
        <v/>
      </c>
      <c r="Z152" s="124" t="str">
        <f>IF($B152="","",IF(Z$3=0,"n.b.",INDEX(SRC_ZPMW03!$A$1:$ZZ$501,$A152,Z$3)))</f>
        <v/>
      </c>
      <c r="AA152" s="124" t="str">
        <f>IF($B152="","",IF(AA$3=0,"n.b.",INDEX(SRC_ZPMW03!$A$1:$ZZ$501,$A152,AA$3)))</f>
        <v/>
      </c>
      <c r="AB152" s="124" t="str">
        <f>IF($B152="","",IF(AB$3=0,"n.b.",INDEX(SRC_ZPMW03!$A$1:$ZZ$501,$A152,AB$3)))</f>
        <v/>
      </c>
      <c r="AC152" s="124" t="str">
        <f>IF($B152="","",IF(AC$3=0,"n.b.",INDEX(SRC_ZPMW03!$A$1:$ZZ$501,$A152,AC$3)))</f>
        <v/>
      </c>
      <c r="AD152" s="124" t="str">
        <f>IF($B152="","",IF(AD$3=0,"n.b.",INDEX(SRC_ZPMW03!$A$1:$ZZ$501,$A152,AD$3)))</f>
        <v/>
      </c>
      <c r="AE152" s="124" t="str">
        <f>IF($B152="","",IF(AE$3=0,"n.b.",INDEX(SRC_ZPMW03!$A$1:$ZZ$501,$A152,AE$3)))</f>
        <v/>
      </c>
      <c r="AF152" s="124" t="str">
        <f>IF($B152="","",IF(AF$3=0,"n.b.",INDEX(SRC_ZPMW03!$A$1:$ZZ$501,$A152,AF$3)))</f>
        <v/>
      </c>
      <c r="AG152" s="124" t="str">
        <f>IF($B152="","",IF(AG$3=0,"n.b.",INDEX(SRC_ZPMW03!$A$1:$ZZ$501,$A152,AG$3)))</f>
        <v/>
      </c>
      <c r="AH152" s="124" t="str">
        <f>IF($B152="","",IF(AH$3=0,"n.b.",INDEX(SRC_ZPMW03!$A$1:$ZZ$501,$A152,AH$3)))</f>
        <v/>
      </c>
      <c r="AI152" s="124" t="str">
        <f>IF($B152="","",IF(AI$3=0,"n.b.",INDEX(SRC_ZPMW03!$A$1:$ZZ$501,$A152,AI$3)))</f>
        <v/>
      </c>
      <c r="AJ152" s="124" t="str">
        <f>IF($B152="","",IF(AJ$3=0,"n.b.",INDEX(SRC_ZPMW03!$A$1:$ZZ$501,$A152,AJ$3)))</f>
        <v/>
      </c>
      <c r="AK152" s="124" t="str">
        <f>IF($B152="","",IF(AK$3=0,"n.b.",INDEX(SRC_ZPMW03!$A$1:$ZZ$501,$A152,AK$3)))</f>
        <v/>
      </c>
      <c r="AL152" s="124" t="str">
        <f>IF($B152="","",IF(AL$3=0,"n.b.",INDEX(SRC_ZPMW03!$A$1:$ZZ$501,$A152,AL$3)))</f>
        <v/>
      </c>
      <c r="AM152" s="124" t="str">
        <f>IF($B152="","",IF(AM$3=0,"n.b.",INDEX(SRC_ZPMW03!$A$1:$ZZ$501,$A152,AM$3)))</f>
        <v/>
      </c>
      <c r="AN152" s="124" t="str">
        <f>IF($B152="","",IF(AN$3=0,"n.b.",INDEX(SRC_ZPMW03!$A$1:$ZZ$501,$A152,AN$3)))</f>
        <v/>
      </c>
      <c r="AO152" s="124" t="str">
        <f>IF($B152="","",IF(AO$3=0,"n.b.",INDEX(SRC_ZPMW03!$A$1:$ZZ$501,$A152,AO$3)))</f>
        <v/>
      </c>
      <c r="AP152" s="124" t="str">
        <f>IF($B152="","",IF(AP$3=0,"n.b.",INDEX(SRC_ZPMW03!$A$1:$ZZ$501,$A152,AP$3)))</f>
        <v/>
      </c>
      <c r="AQ152" s="124" t="str">
        <f>IF($B152="","",IF(AQ$3=0,"n.b.",INDEX(SRC_ZPMW03!$A$1:$ZZ$501,$A152,AQ$3)))</f>
        <v/>
      </c>
      <c r="AR152" s="124" t="str">
        <f>IF($B152="","",IF(AR$3=0,"n.b.",INDEX(SRC_ZPMW03!$A$1:$ZZ$501,$A152,AR$3)))</f>
        <v/>
      </c>
      <c r="AS152" s="124" t="str">
        <f>IF($B152="","",IF(AS$3=0,"n.b.",INDEX(SRC_ZPMW03!$A$1:$ZZ$501,$A152,AS$3)))</f>
        <v/>
      </c>
      <c r="AT152" s="124" t="str">
        <f>IF($B152="","",IF(AT$3=0,"n.b.",INDEX(SRC_ZPMW03!$A$1:$ZZ$501,$A152,AT$3)))</f>
        <v/>
      </c>
      <c r="AU152" s="124" t="str">
        <f>IF($B152="","",IF(AU$3=0,"n.b.",INDEX(SRC_ZPMW03!$A$1:$ZZ$501,$A152,AU$3)))</f>
        <v/>
      </c>
      <c r="AV152" s="124" t="str">
        <f>IF($B152="","",IF(AV$3=0,"n.b.",INDEX(SRC_ZPMW03!$A$1:$ZZ$501,$A152,AV$3)))</f>
        <v/>
      </c>
      <c r="AW152" s="124" t="str">
        <f>IF($B152="","",IF(AW$3=0,"n.b.",INDEX(SRC_ZPMW03!$A$1:$ZZ$501,$A152,AW$3)))</f>
        <v/>
      </c>
      <c r="AX152" s="124" t="str">
        <f>IF($B152="","",IF(AX$3=0,"n.b.",INDEX(SRC_ZPMW03!$A$1:$ZZ$501,$A152,AX$3)))</f>
        <v/>
      </c>
      <c r="AY152" s="124" t="str">
        <f>IF($B152="","",IF(AY$3=0,"n.b.",INDEX(SRC_ZPMW03!$A$1:$ZZ$501,$A152,AY$3)))</f>
        <v/>
      </c>
      <c r="AZ152" s="124" t="str">
        <f>IF($B152="","",IF(AZ$3=0,"n.b.",INDEX(SRC_ZPMW03!$A$1:$ZZ$501,$A152,AZ$3)))</f>
        <v/>
      </c>
      <c r="BA152" s="124" t="str">
        <f>IF($B152="","",IF(BA$3=0,"n.b.",INDEX(SRC_ZPMW03!$A$1:$ZZ$501,$A152,BA$3)))</f>
        <v/>
      </c>
      <c r="BB152" s="124" t="str">
        <f>IF($B152="","",IF(BB$3=0,"n.b.",INDEX(SRC_ZPMW03!$A$1:$ZZ$501,$A152,BB$3)))</f>
        <v/>
      </c>
      <c r="BC152" s="124" t="str">
        <f>IF($B152="","",IF(BC$3=0,"n.b.",INDEX(SRC_ZPMW03!$A$1:$ZZ$501,$A152,BC$3)))</f>
        <v/>
      </c>
      <c r="BD152" s="124" t="str">
        <f>IF($B152="","",IF(BD$3=0,"n.b.",INDEX(SRC_ZPMW03!$A$1:$ZZ$501,$A152,BD$3)))</f>
        <v/>
      </c>
      <c r="BE152" s="124" t="str">
        <f>IF($B152="","",IF(BE$3=0,"n.b.",INDEX(SRC_ZPMW03!$A$1:$ZZ$501,$A152,BE$3)))</f>
        <v/>
      </c>
      <c r="BF152" s="124" t="str">
        <f>IF($B152="","",IF(BF$3=0,"n.b.",INDEX(SRC_ZPMW03!$A$1:$ZZ$501,$A152,BF$3)))</f>
        <v/>
      </c>
      <c r="BG152" t="str">
        <f>IF($B152="","",IF(BG$3=0,"n.b.",INDEX(SRC_ZPMW03!$A$1:$ZZ$501,$A152,BG$3)))</f>
        <v/>
      </c>
      <c r="BH152" t="str">
        <f>IF($B152="","",IF(BH$3=0,"n.b.",INDEX(SRC_ZPMW03!$A$1:$ZZ$501,$A152,BH$3)))</f>
        <v/>
      </c>
      <c r="BI152" t="str">
        <f>IF($B152="","",IF(BI$3=0,"n.b.",INDEX(SRC_ZPMW03!$A$1:$ZZ$501,$A152,BI$3)))</f>
        <v/>
      </c>
      <c r="BJ152" t="str">
        <f>IF($B152="","",IF(BJ$3=0,"n.b.",INDEX(SRC_ZPMW03!$A$1:$ZZ$501,$A152,BJ$3)))</f>
        <v/>
      </c>
      <c r="BK152" s="124" t="str">
        <f>IF($B152="","",IFERROR(-O152,"n.b."))</f>
        <v/>
      </c>
      <c r="BL152" s="124" t="str">
        <f>IF($B152="","",IFERROR(-Q152,"n.b."))</f>
        <v/>
      </c>
      <c r="BM152" s="124" t="str">
        <f>IF($B152="","",IFERROR(-AB152,"n.b."))</f>
        <v/>
      </c>
      <c r="BN152" s="124" t="str">
        <f>IF($B152="","",IFERROR(-AD152,"n.b."))</f>
        <v/>
      </c>
      <c r="BO152" s="124" t="str">
        <f>IF($B152="","",IFERROR(BK152+BM152,"n.b."))</f>
        <v/>
      </c>
      <c r="BP152" s="124" t="str">
        <f>IF($B152="","",IFERROR(BL152+BN152,"n.b."))</f>
        <v/>
      </c>
      <c r="BQ152" s="124" t="str">
        <f>IF($B152="","",IFERROR(-AM152,"n.b."))</f>
        <v/>
      </c>
      <c r="BR152" s="124" t="str">
        <f>IF($B152="","",IFERROR(-AO152,"n.b."))</f>
        <v/>
      </c>
      <c r="BS152" s="124" t="str">
        <f>IF($B152="","",IFERROR(-Z152,"n.b."))</f>
        <v/>
      </c>
      <c r="BT152" s="124" t="str">
        <f>IF($B152="","",IFERROR(-AA152,"n.b."))</f>
        <v/>
      </c>
      <c r="BU152" s="124" t="str">
        <f>IF($B152="","",IFERROR(-AE152,"n.b."))</f>
        <v/>
      </c>
      <c r="BV152" s="124" t="str">
        <f>IF($B152="","",IFERROR(-AF152,"n.b."))</f>
        <v/>
      </c>
      <c r="BW152" s="124" t="str">
        <f>IF($B152="","",IFERROR(-AG152,"n.b."))</f>
        <v/>
      </c>
      <c r="BX152" s="124" t="str">
        <f>IF($B152="","",IFERROR(-AH152,"n.b."))</f>
        <v/>
      </c>
      <c r="BY152" s="124" t="str">
        <f>IF($B152="","",IFERROR(-AI152,"n.b."))</f>
        <v/>
      </c>
      <c r="BZ152" s="124" t="str">
        <f>IF($B152="","",IFERROR(-AJ152,"n.b."))</f>
        <v/>
      </c>
      <c r="CA152" s="124" t="str">
        <f>IF($B152="","",IFERROR(-AK152,"n.b."))</f>
        <v/>
      </c>
      <c r="CB152" s="124" t="str">
        <f>IF($B152="","",IFERROR(-AL152,"n.b."))</f>
        <v/>
      </c>
      <c r="CC152" s="124" t="str">
        <f>IF($B152="","",IFERROR(-AP152,"n.b."))</f>
        <v/>
      </c>
      <c r="CD152" s="124" t="str">
        <f>IF($B152="","",IFERROR(-AQ152,"n.b."))</f>
        <v/>
      </c>
      <c r="CE152" s="124" t="str">
        <f>IF($B152="","",IFERROR(-AR152,"n.b."))</f>
        <v/>
      </c>
      <c r="CF152" s="124" t="str">
        <f>IF($B152="","",IFERROR(-AS152,"n.b."))</f>
        <v/>
      </c>
      <c r="CG152" s="124" t="str">
        <f>IF($B152="","",IFERROR(-AT152,"n.b."))</f>
        <v/>
      </c>
      <c r="CH152" s="124" t="str">
        <f>IF($B152="","",IFERROR(-AU152,"n.b."))</f>
        <v/>
      </c>
      <c r="CI152" s="124" t="str">
        <f>IF($B152="","",IFERROR(-AV152,"n.b."))</f>
        <v/>
      </c>
      <c r="CJ152" s="124" t="str">
        <f>IF($B152="","",IFERROR(-AW152,"n.b."))</f>
        <v/>
      </c>
      <c r="CK152" s="124" t="str">
        <f>IF($B152="","",IFERROR(-AX152,"n.b."))</f>
        <v/>
      </c>
      <c r="CL152" s="124" t="str">
        <f>IF($B152="","",IFERROR(-AY152,"n.b."))</f>
        <v/>
      </c>
      <c r="CM152" s="124" t="str">
        <f>IF($B152="","",IFERROR(-AZ152,"n.b."))</f>
        <v/>
      </c>
      <c r="CN152" s="124" t="str">
        <f>IF($B152="","",IFERROR(-BA152,"n.b."))</f>
        <v/>
      </c>
      <c r="CO152" s="124" t="str">
        <f>IF($B152="","",IFERROR(-BB152,"n.b."))</f>
        <v/>
      </c>
      <c r="CP152" s="124" t="str">
        <f>IF($B152="","",IFERROR(-BC152,"n.b."))</f>
        <v/>
      </c>
      <c r="CQ152" s="124" t="str">
        <f>IF($B152="","",IFERROR(-BD152,"n.b."))</f>
        <v/>
      </c>
      <c r="CR152" s="124" t="str">
        <f>IF($B152="","",IFERROR(-BE152,"n.b."))</f>
        <v/>
      </c>
      <c r="CS152" s="124" t="str">
        <f>IF($B152="","",IFERROR(IF(OR(ABS(T152+V152+X152+Z152-AB152)&gt;P_Tol,ABS(U152+W152+Y152+AA152-AD152)&gt;P_Tol,ABS(AE152+AG152+AI152+AK152-AM152)&gt;P_Tol,ABS(AF152+AH152+AJ152+AL152-AO152)&gt;P_Tol),1,0),1))</f>
        <v/>
      </c>
      <c r="CT152" s="124" t="str">
        <f>IF($B152="","",IFERROR(IF(OR(ABS(AB152+AC152-AD152)&gt;P_Tol,ABS(AM152+AN152-AO152)&gt;P_Tol,ABS(O152+P152-Q152)&gt;P_Tol),1,0),1))</f>
        <v/>
      </c>
      <c r="CU152" s="124" t="str">
        <f>IF($B152="","",IFERROR(IF(ABS(R152-(AB152+AM152+AP152+AR152+AT152+AV152+AX152+AZ152+BB152+BD152))&gt;P_Tol,1,0),1))</f>
        <v/>
      </c>
      <c r="CV152" s="124" t="str">
        <f>IF($B152="","",IFERROR(IF(ABS(M152-(N152+O152+R152))&gt;P_Tol,1,0),1))</f>
        <v/>
      </c>
      <c r="CW152" s="124" t="str">
        <f>IF($B152="","",IF(COUNTIF(Mapping!$A$5:$A$104,B152)&gt;0,1,0))</f>
        <v/>
      </c>
      <c r="CX152" s="124" t="str">
        <f>IF($B152="","",COUNTIF($B$6:$B$505,B152))</f>
        <v/>
      </c>
      <c r="CY152" s="124" t="str">
        <f>IF($B152="","",COUNTIF(STG_Woningetalage!$B$6:$B$505,B152))</f>
        <v/>
      </c>
      <c r="CZ152" s="124" t="str">
        <f>IF($B152="","",IF(CW152=0,COUNTIF($CW$6:CW152,0),""))</f>
        <v/>
      </c>
    </row>
    <row r="153">
      <c r="A153" s="15" t="n">
        <v>149</v>
      </c>
      <c r="B153" t="str">
        <f>IF(B$3=0,"",IF(INDEX(SRC_ZPMW03!$A$1:$ZZ$501,$A153,B$3)&amp;""="","",INDEX(SRC_ZPMW03!$A$1:$ZZ$501,$A153,B$3)&amp;""))</f>
        <v/>
      </c>
      <c r="C153" t="str">
        <f>IF($B153="","",IF(C$3=0,"n.b.",INDEX(SRC_ZPMW03!$A$1:$ZZ$501,$A153,C$3)))</f>
        <v/>
      </c>
      <c r="D153" t="str">
        <f>IF($B153="","",IF(D$3=0,"n.b.",INDEX(SRC_ZPMW03!$A$1:$ZZ$501,$A153,D$3)))</f>
        <v/>
      </c>
      <c r="E153" t="str">
        <f>IF($B153="","",IF(E$3=0,"n.b.",INDEX(SRC_ZPMW03!$A$1:$ZZ$501,$A153,E$3)))</f>
        <v/>
      </c>
      <c r="F153" t="str">
        <f>IF($B153="","",IF(F$3=0,"n.b.",INDEX(SRC_ZPMW03!$A$1:$ZZ$501,$A153,F$3)))</f>
        <v/>
      </c>
      <c r="G153" t="str">
        <f>IF($B153="","",IF(G$3=0,"n.b.",INDEX(SRC_ZPMW03!$A$1:$ZZ$501,$A153,G$3)))</f>
        <v/>
      </c>
      <c r="H153" t="str">
        <f>IF($B153="","",IF(H$3=0,"n.b.",INDEX(SRC_ZPMW03!$A$1:$ZZ$501,$A153,H$3)))</f>
        <v/>
      </c>
      <c r="I153" t="str">
        <f>IF($B153="","",IF(I$3=0,"n.b.",INDEX(SRC_ZPMW03!$A$1:$ZZ$501,$A153,I$3)))</f>
        <v/>
      </c>
      <c r="J153" t="str">
        <f>IF($B153="","",IF(J$3=0,"n.b.",INDEX(SRC_ZPMW03!$A$1:$ZZ$501,$A153,J$3)))</f>
        <v/>
      </c>
      <c r="K153" t="str">
        <f>IF($B153="","",IF(K$3=0,"n.b.",INDEX(SRC_ZPMW03!$A$1:$ZZ$501,$A153,K$3)))</f>
        <v/>
      </c>
      <c r="L153" s="124" t="str">
        <f>IF($B153="","",IF(L$3=0,"n.b.",INDEX(SRC_ZPMW03!$A$1:$ZZ$501,$A153,L$3)))</f>
        <v/>
      </c>
      <c r="M153" s="124" t="str">
        <f>IF($B153="","",IF(M$3=0,"n.b.",INDEX(SRC_ZPMW03!$A$1:$ZZ$501,$A153,M$3)))</f>
        <v/>
      </c>
      <c r="N153" s="124" t="str">
        <f>IF($B153="","",IF(N$3=0,"n.b.",INDEX(SRC_ZPMW03!$A$1:$ZZ$501,$A153,N$3)))</f>
        <v/>
      </c>
      <c r="O153" s="124" t="str">
        <f>IF($B153="","",IF(O$3=0,"n.b.",INDEX(SRC_ZPMW03!$A$1:$ZZ$501,$A153,O$3)))</f>
        <v/>
      </c>
      <c r="P153" s="124" t="str">
        <f>IF($B153="","",IF(P$3=0,"n.b.",INDEX(SRC_ZPMW03!$A$1:$ZZ$501,$A153,P$3)))</f>
        <v/>
      </c>
      <c r="Q153" s="124" t="str">
        <f>IF($B153="","",IF(Q$3=0,"n.b.",INDEX(SRC_ZPMW03!$A$1:$ZZ$501,$A153,Q$3)))</f>
        <v/>
      </c>
      <c r="R153" s="124" t="str">
        <f>IF($B153="","",IF(R$3=0,"n.b.",INDEX(SRC_ZPMW03!$A$1:$ZZ$501,$A153,R$3)))</f>
        <v/>
      </c>
      <c r="S153" s="124" t="str">
        <f>IF($B153="","",IF(S$3=0,"n.b.",INDEX(SRC_ZPMW03!$A$1:$ZZ$501,$A153,S$3)))</f>
        <v/>
      </c>
      <c r="T153" s="124" t="str">
        <f>IF($B153="","",IF(T$3=0,"n.b.",INDEX(SRC_ZPMW03!$A$1:$ZZ$501,$A153,T$3)))</f>
        <v/>
      </c>
      <c r="U153" s="124" t="str">
        <f>IF($B153="","",IF(U$3=0,"n.b.",INDEX(SRC_ZPMW03!$A$1:$ZZ$501,$A153,U$3)))</f>
        <v/>
      </c>
      <c r="V153" s="124" t="str">
        <f>IF($B153="","",IF(V$3=0,"n.b.",INDEX(SRC_ZPMW03!$A$1:$ZZ$501,$A153,V$3)))</f>
        <v/>
      </c>
      <c r="W153" s="124" t="str">
        <f>IF($B153="","",IF(W$3=0,"n.b.",INDEX(SRC_ZPMW03!$A$1:$ZZ$501,$A153,W$3)))</f>
        <v/>
      </c>
      <c r="X153" s="124" t="str">
        <f>IF($B153="","",IF(X$3=0,"n.b.",INDEX(SRC_ZPMW03!$A$1:$ZZ$501,$A153,X$3)))</f>
        <v/>
      </c>
      <c r="Y153" s="124" t="str">
        <f>IF($B153="","",IF(Y$3=0,"n.b.",INDEX(SRC_ZPMW03!$A$1:$ZZ$501,$A153,Y$3)))</f>
        <v/>
      </c>
      <c r="Z153" s="124" t="str">
        <f>IF($B153="","",IF(Z$3=0,"n.b.",INDEX(SRC_ZPMW03!$A$1:$ZZ$501,$A153,Z$3)))</f>
        <v/>
      </c>
      <c r="AA153" s="124" t="str">
        <f>IF($B153="","",IF(AA$3=0,"n.b.",INDEX(SRC_ZPMW03!$A$1:$ZZ$501,$A153,AA$3)))</f>
        <v/>
      </c>
      <c r="AB153" s="124" t="str">
        <f>IF($B153="","",IF(AB$3=0,"n.b.",INDEX(SRC_ZPMW03!$A$1:$ZZ$501,$A153,AB$3)))</f>
        <v/>
      </c>
      <c r="AC153" s="124" t="str">
        <f>IF($B153="","",IF(AC$3=0,"n.b.",INDEX(SRC_ZPMW03!$A$1:$ZZ$501,$A153,AC$3)))</f>
        <v/>
      </c>
      <c r="AD153" s="124" t="str">
        <f>IF($B153="","",IF(AD$3=0,"n.b.",INDEX(SRC_ZPMW03!$A$1:$ZZ$501,$A153,AD$3)))</f>
        <v/>
      </c>
      <c r="AE153" s="124" t="str">
        <f>IF($B153="","",IF(AE$3=0,"n.b.",INDEX(SRC_ZPMW03!$A$1:$ZZ$501,$A153,AE$3)))</f>
        <v/>
      </c>
      <c r="AF153" s="124" t="str">
        <f>IF($B153="","",IF(AF$3=0,"n.b.",INDEX(SRC_ZPMW03!$A$1:$ZZ$501,$A153,AF$3)))</f>
        <v/>
      </c>
      <c r="AG153" s="124" t="str">
        <f>IF($B153="","",IF(AG$3=0,"n.b.",INDEX(SRC_ZPMW03!$A$1:$ZZ$501,$A153,AG$3)))</f>
        <v/>
      </c>
      <c r="AH153" s="124" t="str">
        <f>IF($B153="","",IF(AH$3=0,"n.b.",INDEX(SRC_ZPMW03!$A$1:$ZZ$501,$A153,AH$3)))</f>
        <v/>
      </c>
      <c r="AI153" s="124" t="str">
        <f>IF($B153="","",IF(AI$3=0,"n.b.",INDEX(SRC_ZPMW03!$A$1:$ZZ$501,$A153,AI$3)))</f>
        <v/>
      </c>
      <c r="AJ153" s="124" t="str">
        <f>IF($B153="","",IF(AJ$3=0,"n.b.",INDEX(SRC_ZPMW03!$A$1:$ZZ$501,$A153,AJ$3)))</f>
        <v/>
      </c>
      <c r="AK153" s="124" t="str">
        <f>IF($B153="","",IF(AK$3=0,"n.b.",INDEX(SRC_ZPMW03!$A$1:$ZZ$501,$A153,AK$3)))</f>
        <v/>
      </c>
      <c r="AL153" s="124" t="str">
        <f>IF($B153="","",IF(AL$3=0,"n.b.",INDEX(SRC_ZPMW03!$A$1:$ZZ$501,$A153,AL$3)))</f>
        <v/>
      </c>
      <c r="AM153" s="124" t="str">
        <f>IF($B153="","",IF(AM$3=0,"n.b.",INDEX(SRC_ZPMW03!$A$1:$ZZ$501,$A153,AM$3)))</f>
        <v/>
      </c>
      <c r="AN153" s="124" t="str">
        <f>IF($B153="","",IF(AN$3=0,"n.b.",INDEX(SRC_ZPMW03!$A$1:$ZZ$501,$A153,AN$3)))</f>
        <v/>
      </c>
      <c r="AO153" s="124" t="str">
        <f>IF($B153="","",IF(AO$3=0,"n.b.",INDEX(SRC_ZPMW03!$A$1:$ZZ$501,$A153,AO$3)))</f>
        <v/>
      </c>
      <c r="AP153" s="124" t="str">
        <f>IF($B153="","",IF(AP$3=0,"n.b.",INDEX(SRC_ZPMW03!$A$1:$ZZ$501,$A153,AP$3)))</f>
        <v/>
      </c>
      <c r="AQ153" s="124" t="str">
        <f>IF($B153="","",IF(AQ$3=0,"n.b.",INDEX(SRC_ZPMW03!$A$1:$ZZ$501,$A153,AQ$3)))</f>
        <v/>
      </c>
      <c r="AR153" s="124" t="str">
        <f>IF($B153="","",IF(AR$3=0,"n.b.",INDEX(SRC_ZPMW03!$A$1:$ZZ$501,$A153,AR$3)))</f>
        <v/>
      </c>
      <c r="AS153" s="124" t="str">
        <f>IF($B153="","",IF(AS$3=0,"n.b.",INDEX(SRC_ZPMW03!$A$1:$ZZ$501,$A153,AS$3)))</f>
        <v/>
      </c>
      <c r="AT153" s="124" t="str">
        <f>IF($B153="","",IF(AT$3=0,"n.b.",INDEX(SRC_ZPMW03!$A$1:$ZZ$501,$A153,AT$3)))</f>
        <v/>
      </c>
      <c r="AU153" s="124" t="str">
        <f>IF($B153="","",IF(AU$3=0,"n.b.",INDEX(SRC_ZPMW03!$A$1:$ZZ$501,$A153,AU$3)))</f>
        <v/>
      </c>
      <c r="AV153" s="124" t="str">
        <f>IF($B153="","",IF(AV$3=0,"n.b.",INDEX(SRC_ZPMW03!$A$1:$ZZ$501,$A153,AV$3)))</f>
        <v/>
      </c>
      <c r="AW153" s="124" t="str">
        <f>IF($B153="","",IF(AW$3=0,"n.b.",INDEX(SRC_ZPMW03!$A$1:$ZZ$501,$A153,AW$3)))</f>
        <v/>
      </c>
      <c r="AX153" s="124" t="str">
        <f>IF($B153="","",IF(AX$3=0,"n.b.",INDEX(SRC_ZPMW03!$A$1:$ZZ$501,$A153,AX$3)))</f>
        <v/>
      </c>
      <c r="AY153" s="124" t="str">
        <f>IF($B153="","",IF(AY$3=0,"n.b.",INDEX(SRC_ZPMW03!$A$1:$ZZ$501,$A153,AY$3)))</f>
        <v/>
      </c>
      <c r="AZ153" s="124" t="str">
        <f>IF($B153="","",IF(AZ$3=0,"n.b.",INDEX(SRC_ZPMW03!$A$1:$ZZ$501,$A153,AZ$3)))</f>
        <v/>
      </c>
      <c r="BA153" s="124" t="str">
        <f>IF($B153="","",IF(BA$3=0,"n.b.",INDEX(SRC_ZPMW03!$A$1:$ZZ$501,$A153,BA$3)))</f>
        <v/>
      </c>
      <c r="BB153" s="124" t="str">
        <f>IF($B153="","",IF(BB$3=0,"n.b.",INDEX(SRC_ZPMW03!$A$1:$ZZ$501,$A153,BB$3)))</f>
        <v/>
      </c>
      <c r="BC153" s="124" t="str">
        <f>IF($B153="","",IF(BC$3=0,"n.b.",INDEX(SRC_ZPMW03!$A$1:$ZZ$501,$A153,BC$3)))</f>
        <v/>
      </c>
      <c r="BD153" s="124" t="str">
        <f>IF($B153="","",IF(BD$3=0,"n.b.",INDEX(SRC_ZPMW03!$A$1:$ZZ$501,$A153,BD$3)))</f>
        <v/>
      </c>
      <c r="BE153" s="124" t="str">
        <f>IF($B153="","",IF(BE$3=0,"n.b.",INDEX(SRC_ZPMW03!$A$1:$ZZ$501,$A153,BE$3)))</f>
        <v/>
      </c>
      <c r="BF153" s="124" t="str">
        <f>IF($B153="","",IF(BF$3=0,"n.b.",INDEX(SRC_ZPMW03!$A$1:$ZZ$501,$A153,BF$3)))</f>
        <v/>
      </c>
      <c r="BG153" t="str">
        <f>IF($B153="","",IF(BG$3=0,"n.b.",INDEX(SRC_ZPMW03!$A$1:$ZZ$501,$A153,BG$3)))</f>
        <v/>
      </c>
      <c r="BH153" t="str">
        <f>IF($B153="","",IF(BH$3=0,"n.b.",INDEX(SRC_ZPMW03!$A$1:$ZZ$501,$A153,BH$3)))</f>
        <v/>
      </c>
      <c r="BI153" t="str">
        <f>IF($B153="","",IF(BI$3=0,"n.b.",INDEX(SRC_ZPMW03!$A$1:$ZZ$501,$A153,BI$3)))</f>
        <v/>
      </c>
      <c r="BJ153" t="str">
        <f>IF($B153="","",IF(BJ$3=0,"n.b.",INDEX(SRC_ZPMW03!$A$1:$ZZ$501,$A153,BJ$3)))</f>
        <v/>
      </c>
      <c r="BK153" s="124" t="str">
        <f>IF($B153="","",IFERROR(-O153,"n.b."))</f>
        <v/>
      </c>
      <c r="BL153" s="124" t="str">
        <f>IF($B153="","",IFERROR(-Q153,"n.b."))</f>
        <v/>
      </c>
      <c r="BM153" s="124" t="str">
        <f>IF($B153="","",IFERROR(-AB153,"n.b."))</f>
        <v/>
      </c>
      <c r="BN153" s="124" t="str">
        <f>IF($B153="","",IFERROR(-AD153,"n.b."))</f>
        <v/>
      </c>
      <c r="BO153" s="124" t="str">
        <f>IF($B153="","",IFERROR(BK153+BM153,"n.b."))</f>
        <v/>
      </c>
      <c r="BP153" s="124" t="str">
        <f>IF($B153="","",IFERROR(BL153+BN153,"n.b."))</f>
        <v/>
      </c>
      <c r="BQ153" s="124" t="str">
        <f>IF($B153="","",IFERROR(-AM153,"n.b."))</f>
        <v/>
      </c>
      <c r="BR153" s="124" t="str">
        <f>IF($B153="","",IFERROR(-AO153,"n.b."))</f>
        <v/>
      </c>
      <c r="BS153" s="124" t="str">
        <f>IF($B153="","",IFERROR(-Z153,"n.b."))</f>
        <v/>
      </c>
      <c r="BT153" s="124" t="str">
        <f>IF($B153="","",IFERROR(-AA153,"n.b."))</f>
        <v/>
      </c>
      <c r="BU153" s="124" t="str">
        <f>IF($B153="","",IFERROR(-AE153,"n.b."))</f>
        <v/>
      </c>
      <c r="BV153" s="124" t="str">
        <f>IF($B153="","",IFERROR(-AF153,"n.b."))</f>
        <v/>
      </c>
      <c r="BW153" s="124" t="str">
        <f>IF($B153="","",IFERROR(-AG153,"n.b."))</f>
        <v/>
      </c>
      <c r="BX153" s="124" t="str">
        <f>IF($B153="","",IFERROR(-AH153,"n.b."))</f>
        <v/>
      </c>
      <c r="BY153" s="124" t="str">
        <f>IF($B153="","",IFERROR(-AI153,"n.b."))</f>
        <v/>
      </c>
      <c r="BZ153" s="124" t="str">
        <f>IF($B153="","",IFERROR(-AJ153,"n.b."))</f>
        <v/>
      </c>
      <c r="CA153" s="124" t="str">
        <f>IF($B153="","",IFERROR(-AK153,"n.b."))</f>
        <v/>
      </c>
      <c r="CB153" s="124" t="str">
        <f>IF($B153="","",IFERROR(-AL153,"n.b."))</f>
        <v/>
      </c>
      <c r="CC153" s="124" t="str">
        <f>IF($B153="","",IFERROR(-AP153,"n.b."))</f>
        <v/>
      </c>
      <c r="CD153" s="124" t="str">
        <f>IF($B153="","",IFERROR(-AQ153,"n.b."))</f>
        <v/>
      </c>
      <c r="CE153" s="124" t="str">
        <f>IF($B153="","",IFERROR(-AR153,"n.b."))</f>
        <v/>
      </c>
      <c r="CF153" s="124" t="str">
        <f>IF($B153="","",IFERROR(-AS153,"n.b."))</f>
        <v/>
      </c>
      <c r="CG153" s="124" t="str">
        <f>IF($B153="","",IFERROR(-AT153,"n.b."))</f>
        <v/>
      </c>
      <c r="CH153" s="124" t="str">
        <f>IF($B153="","",IFERROR(-AU153,"n.b."))</f>
        <v/>
      </c>
      <c r="CI153" s="124" t="str">
        <f>IF($B153="","",IFERROR(-AV153,"n.b."))</f>
        <v/>
      </c>
      <c r="CJ153" s="124" t="str">
        <f>IF($B153="","",IFERROR(-AW153,"n.b."))</f>
        <v/>
      </c>
      <c r="CK153" s="124" t="str">
        <f>IF($B153="","",IFERROR(-AX153,"n.b."))</f>
        <v/>
      </c>
      <c r="CL153" s="124" t="str">
        <f>IF($B153="","",IFERROR(-AY153,"n.b."))</f>
        <v/>
      </c>
      <c r="CM153" s="124" t="str">
        <f>IF($B153="","",IFERROR(-AZ153,"n.b."))</f>
        <v/>
      </c>
      <c r="CN153" s="124" t="str">
        <f>IF($B153="","",IFERROR(-BA153,"n.b."))</f>
        <v/>
      </c>
      <c r="CO153" s="124" t="str">
        <f>IF($B153="","",IFERROR(-BB153,"n.b."))</f>
        <v/>
      </c>
      <c r="CP153" s="124" t="str">
        <f>IF($B153="","",IFERROR(-BC153,"n.b."))</f>
        <v/>
      </c>
      <c r="CQ153" s="124" t="str">
        <f>IF($B153="","",IFERROR(-BD153,"n.b."))</f>
        <v/>
      </c>
      <c r="CR153" s="124" t="str">
        <f>IF($B153="","",IFERROR(-BE153,"n.b."))</f>
        <v/>
      </c>
      <c r="CS153" s="124" t="str">
        <f>IF($B153="","",IFERROR(IF(OR(ABS(T153+V153+X153+Z153-AB153)&gt;P_Tol,ABS(U153+W153+Y153+AA153-AD153)&gt;P_Tol,ABS(AE153+AG153+AI153+AK153-AM153)&gt;P_Tol,ABS(AF153+AH153+AJ153+AL153-AO153)&gt;P_Tol),1,0),1))</f>
        <v/>
      </c>
      <c r="CT153" s="124" t="str">
        <f>IF($B153="","",IFERROR(IF(OR(ABS(AB153+AC153-AD153)&gt;P_Tol,ABS(AM153+AN153-AO153)&gt;P_Tol,ABS(O153+P153-Q153)&gt;P_Tol),1,0),1))</f>
        <v/>
      </c>
      <c r="CU153" s="124" t="str">
        <f>IF($B153="","",IFERROR(IF(ABS(R153-(AB153+AM153+AP153+AR153+AT153+AV153+AX153+AZ153+BB153+BD153))&gt;P_Tol,1,0),1))</f>
        <v/>
      </c>
      <c r="CV153" s="124" t="str">
        <f>IF($B153="","",IFERROR(IF(ABS(M153-(N153+O153+R153))&gt;P_Tol,1,0),1))</f>
        <v/>
      </c>
      <c r="CW153" s="124" t="str">
        <f>IF($B153="","",IF(COUNTIF(Mapping!$A$5:$A$104,B153)&gt;0,1,0))</f>
        <v/>
      </c>
      <c r="CX153" s="124" t="str">
        <f>IF($B153="","",COUNTIF($B$6:$B$505,B153))</f>
        <v/>
      </c>
      <c r="CY153" s="124" t="str">
        <f>IF($B153="","",COUNTIF(STG_Woningetalage!$B$6:$B$505,B153))</f>
        <v/>
      </c>
      <c r="CZ153" s="124" t="str">
        <f>IF($B153="","",IF(CW153=0,COUNTIF($CW$6:CW153,0),""))</f>
        <v/>
      </c>
    </row>
    <row r="154">
      <c r="A154" s="15" t="n">
        <v>150</v>
      </c>
      <c r="B154" t="str">
        <f>IF(B$3=0,"",IF(INDEX(SRC_ZPMW03!$A$1:$ZZ$501,$A154,B$3)&amp;""="","",INDEX(SRC_ZPMW03!$A$1:$ZZ$501,$A154,B$3)&amp;""))</f>
        <v/>
      </c>
      <c r="C154" t="str">
        <f>IF($B154="","",IF(C$3=0,"n.b.",INDEX(SRC_ZPMW03!$A$1:$ZZ$501,$A154,C$3)))</f>
        <v/>
      </c>
      <c r="D154" t="str">
        <f>IF($B154="","",IF(D$3=0,"n.b.",INDEX(SRC_ZPMW03!$A$1:$ZZ$501,$A154,D$3)))</f>
        <v/>
      </c>
      <c r="E154" t="str">
        <f>IF($B154="","",IF(E$3=0,"n.b.",INDEX(SRC_ZPMW03!$A$1:$ZZ$501,$A154,E$3)))</f>
        <v/>
      </c>
      <c r="F154" t="str">
        <f>IF($B154="","",IF(F$3=0,"n.b.",INDEX(SRC_ZPMW03!$A$1:$ZZ$501,$A154,F$3)))</f>
        <v/>
      </c>
      <c r="G154" t="str">
        <f>IF($B154="","",IF(G$3=0,"n.b.",INDEX(SRC_ZPMW03!$A$1:$ZZ$501,$A154,G$3)))</f>
        <v/>
      </c>
      <c r="H154" t="str">
        <f>IF($B154="","",IF(H$3=0,"n.b.",INDEX(SRC_ZPMW03!$A$1:$ZZ$501,$A154,H$3)))</f>
        <v/>
      </c>
      <c r="I154" t="str">
        <f>IF($B154="","",IF(I$3=0,"n.b.",INDEX(SRC_ZPMW03!$A$1:$ZZ$501,$A154,I$3)))</f>
        <v/>
      </c>
      <c r="J154" t="str">
        <f>IF($B154="","",IF(J$3=0,"n.b.",INDEX(SRC_ZPMW03!$A$1:$ZZ$501,$A154,J$3)))</f>
        <v/>
      </c>
      <c r="K154" t="str">
        <f>IF($B154="","",IF(K$3=0,"n.b.",INDEX(SRC_ZPMW03!$A$1:$ZZ$501,$A154,K$3)))</f>
        <v/>
      </c>
      <c r="L154" s="124" t="str">
        <f>IF($B154="","",IF(L$3=0,"n.b.",INDEX(SRC_ZPMW03!$A$1:$ZZ$501,$A154,L$3)))</f>
        <v/>
      </c>
      <c r="M154" s="124" t="str">
        <f>IF($B154="","",IF(M$3=0,"n.b.",INDEX(SRC_ZPMW03!$A$1:$ZZ$501,$A154,M$3)))</f>
        <v/>
      </c>
      <c r="N154" s="124" t="str">
        <f>IF($B154="","",IF(N$3=0,"n.b.",INDEX(SRC_ZPMW03!$A$1:$ZZ$501,$A154,N$3)))</f>
        <v/>
      </c>
      <c r="O154" s="124" t="str">
        <f>IF($B154="","",IF(O$3=0,"n.b.",INDEX(SRC_ZPMW03!$A$1:$ZZ$501,$A154,O$3)))</f>
        <v/>
      </c>
      <c r="P154" s="124" t="str">
        <f>IF($B154="","",IF(P$3=0,"n.b.",INDEX(SRC_ZPMW03!$A$1:$ZZ$501,$A154,P$3)))</f>
        <v/>
      </c>
      <c r="Q154" s="124" t="str">
        <f>IF($B154="","",IF(Q$3=0,"n.b.",INDEX(SRC_ZPMW03!$A$1:$ZZ$501,$A154,Q$3)))</f>
        <v/>
      </c>
      <c r="R154" s="124" t="str">
        <f>IF($B154="","",IF(R$3=0,"n.b.",INDEX(SRC_ZPMW03!$A$1:$ZZ$501,$A154,R$3)))</f>
        <v/>
      </c>
      <c r="S154" s="124" t="str">
        <f>IF($B154="","",IF(S$3=0,"n.b.",INDEX(SRC_ZPMW03!$A$1:$ZZ$501,$A154,S$3)))</f>
        <v/>
      </c>
      <c r="T154" s="124" t="str">
        <f>IF($B154="","",IF(T$3=0,"n.b.",INDEX(SRC_ZPMW03!$A$1:$ZZ$501,$A154,T$3)))</f>
        <v/>
      </c>
      <c r="U154" s="124" t="str">
        <f>IF($B154="","",IF(U$3=0,"n.b.",INDEX(SRC_ZPMW03!$A$1:$ZZ$501,$A154,U$3)))</f>
        <v/>
      </c>
      <c r="V154" s="124" t="str">
        <f>IF($B154="","",IF(V$3=0,"n.b.",INDEX(SRC_ZPMW03!$A$1:$ZZ$501,$A154,V$3)))</f>
        <v/>
      </c>
      <c r="W154" s="124" t="str">
        <f>IF($B154="","",IF(W$3=0,"n.b.",INDEX(SRC_ZPMW03!$A$1:$ZZ$501,$A154,W$3)))</f>
        <v/>
      </c>
      <c r="X154" s="124" t="str">
        <f>IF($B154="","",IF(X$3=0,"n.b.",INDEX(SRC_ZPMW03!$A$1:$ZZ$501,$A154,X$3)))</f>
        <v/>
      </c>
      <c r="Y154" s="124" t="str">
        <f>IF($B154="","",IF(Y$3=0,"n.b.",INDEX(SRC_ZPMW03!$A$1:$ZZ$501,$A154,Y$3)))</f>
        <v/>
      </c>
      <c r="Z154" s="124" t="str">
        <f>IF($B154="","",IF(Z$3=0,"n.b.",INDEX(SRC_ZPMW03!$A$1:$ZZ$501,$A154,Z$3)))</f>
        <v/>
      </c>
      <c r="AA154" s="124" t="str">
        <f>IF($B154="","",IF(AA$3=0,"n.b.",INDEX(SRC_ZPMW03!$A$1:$ZZ$501,$A154,AA$3)))</f>
        <v/>
      </c>
      <c r="AB154" s="124" t="str">
        <f>IF($B154="","",IF(AB$3=0,"n.b.",INDEX(SRC_ZPMW03!$A$1:$ZZ$501,$A154,AB$3)))</f>
        <v/>
      </c>
      <c r="AC154" s="124" t="str">
        <f>IF($B154="","",IF(AC$3=0,"n.b.",INDEX(SRC_ZPMW03!$A$1:$ZZ$501,$A154,AC$3)))</f>
        <v/>
      </c>
      <c r="AD154" s="124" t="str">
        <f>IF($B154="","",IF(AD$3=0,"n.b.",INDEX(SRC_ZPMW03!$A$1:$ZZ$501,$A154,AD$3)))</f>
        <v/>
      </c>
      <c r="AE154" s="124" t="str">
        <f>IF($B154="","",IF(AE$3=0,"n.b.",INDEX(SRC_ZPMW03!$A$1:$ZZ$501,$A154,AE$3)))</f>
        <v/>
      </c>
      <c r="AF154" s="124" t="str">
        <f>IF($B154="","",IF(AF$3=0,"n.b.",INDEX(SRC_ZPMW03!$A$1:$ZZ$501,$A154,AF$3)))</f>
        <v/>
      </c>
      <c r="AG154" s="124" t="str">
        <f>IF($B154="","",IF(AG$3=0,"n.b.",INDEX(SRC_ZPMW03!$A$1:$ZZ$501,$A154,AG$3)))</f>
        <v/>
      </c>
      <c r="AH154" s="124" t="str">
        <f>IF($B154="","",IF(AH$3=0,"n.b.",INDEX(SRC_ZPMW03!$A$1:$ZZ$501,$A154,AH$3)))</f>
        <v/>
      </c>
      <c r="AI154" s="124" t="str">
        <f>IF($B154="","",IF(AI$3=0,"n.b.",INDEX(SRC_ZPMW03!$A$1:$ZZ$501,$A154,AI$3)))</f>
        <v/>
      </c>
      <c r="AJ154" s="124" t="str">
        <f>IF($B154="","",IF(AJ$3=0,"n.b.",INDEX(SRC_ZPMW03!$A$1:$ZZ$501,$A154,AJ$3)))</f>
        <v/>
      </c>
      <c r="AK154" s="124" t="str">
        <f>IF($B154="","",IF(AK$3=0,"n.b.",INDEX(SRC_ZPMW03!$A$1:$ZZ$501,$A154,AK$3)))</f>
        <v/>
      </c>
      <c r="AL154" s="124" t="str">
        <f>IF($B154="","",IF(AL$3=0,"n.b.",INDEX(SRC_ZPMW03!$A$1:$ZZ$501,$A154,AL$3)))</f>
        <v/>
      </c>
      <c r="AM154" s="124" t="str">
        <f>IF($B154="","",IF(AM$3=0,"n.b.",INDEX(SRC_ZPMW03!$A$1:$ZZ$501,$A154,AM$3)))</f>
        <v/>
      </c>
      <c r="AN154" s="124" t="str">
        <f>IF($B154="","",IF(AN$3=0,"n.b.",INDEX(SRC_ZPMW03!$A$1:$ZZ$501,$A154,AN$3)))</f>
        <v/>
      </c>
      <c r="AO154" s="124" t="str">
        <f>IF($B154="","",IF(AO$3=0,"n.b.",INDEX(SRC_ZPMW03!$A$1:$ZZ$501,$A154,AO$3)))</f>
        <v/>
      </c>
      <c r="AP154" s="124" t="str">
        <f>IF($B154="","",IF(AP$3=0,"n.b.",INDEX(SRC_ZPMW03!$A$1:$ZZ$501,$A154,AP$3)))</f>
        <v/>
      </c>
      <c r="AQ154" s="124" t="str">
        <f>IF($B154="","",IF(AQ$3=0,"n.b.",INDEX(SRC_ZPMW03!$A$1:$ZZ$501,$A154,AQ$3)))</f>
        <v/>
      </c>
      <c r="AR154" s="124" t="str">
        <f>IF($B154="","",IF(AR$3=0,"n.b.",INDEX(SRC_ZPMW03!$A$1:$ZZ$501,$A154,AR$3)))</f>
        <v/>
      </c>
      <c r="AS154" s="124" t="str">
        <f>IF($B154="","",IF(AS$3=0,"n.b.",INDEX(SRC_ZPMW03!$A$1:$ZZ$501,$A154,AS$3)))</f>
        <v/>
      </c>
      <c r="AT154" s="124" t="str">
        <f>IF($B154="","",IF(AT$3=0,"n.b.",INDEX(SRC_ZPMW03!$A$1:$ZZ$501,$A154,AT$3)))</f>
        <v/>
      </c>
      <c r="AU154" s="124" t="str">
        <f>IF($B154="","",IF(AU$3=0,"n.b.",INDEX(SRC_ZPMW03!$A$1:$ZZ$501,$A154,AU$3)))</f>
        <v/>
      </c>
      <c r="AV154" s="124" t="str">
        <f>IF($B154="","",IF(AV$3=0,"n.b.",INDEX(SRC_ZPMW03!$A$1:$ZZ$501,$A154,AV$3)))</f>
        <v/>
      </c>
      <c r="AW154" s="124" t="str">
        <f>IF($B154="","",IF(AW$3=0,"n.b.",INDEX(SRC_ZPMW03!$A$1:$ZZ$501,$A154,AW$3)))</f>
        <v/>
      </c>
      <c r="AX154" s="124" t="str">
        <f>IF($B154="","",IF(AX$3=0,"n.b.",INDEX(SRC_ZPMW03!$A$1:$ZZ$501,$A154,AX$3)))</f>
        <v/>
      </c>
      <c r="AY154" s="124" t="str">
        <f>IF($B154="","",IF(AY$3=0,"n.b.",INDEX(SRC_ZPMW03!$A$1:$ZZ$501,$A154,AY$3)))</f>
        <v/>
      </c>
      <c r="AZ154" s="124" t="str">
        <f>IF($B154="","",IF(AZ$3=0,"n.b.",INDEX(SRC_ZPMW03!$A$1:$ZZ$501,$A154,AZ$3)))</f>
        <v/>
      </c>
      <c r="BA154" s="124" t="str">
        <f>IF($B154="","",IF(BA$3=0,"n.b.",INDEX(SRC_ZPMW03!$A$1:$ZZ$501,$A154,BA$3)))</f>
        <v/>
      </c>
      <c r="BB154" s="124" t="str">
        <f>IF($B154="","",IF(BB$3=0,"n.b.",INDEX(SRC_ZPMW03!$A$1:$ZZ$501,$A154,BB$3)))</f>
        <v/>
      </c>
      <c r="BC154" s="124" t="str">
        <f>IF($B154="","",IF(BC$3=0,"n.b.",INDEX(SRC_ZPMW03!$A$1:$ZZ$501,$A154,BC$3)))</f>
        <v/>
      </c>
      <c r="BD154" s="124" t="str">
        <f>IF($B154="","",IF(BD$3=0,"n.b.",INDEX(SRC_ZPMW03!$A$1:$ZZ$501,$A154,BD$3)))</f>
        <v/>
      </c>
      <c r="BE154" s="124" t="str">
        <f>IF($B154="","",IF(BE$3=0,"n.b.",INDEX(SRC_ZPMW03!$A$1:$ZZ$501,$A154,BE$3)))</f>
        <v/>
      </c>
      <c r="BF154" s="124" t="str">
        <f>IF($B154="","",IF(BF$3=0,"n.b.",INDEX(SRC_ZPMW03!$A$1:$ZZ$501,$A154,BF$3)))</f>
        <v/>
      </c>
      <c r="BG154" t="str">
        <f>IF($B154="","",IF(BG$3=0,"n.b.",INDEX(SRC_ZPMW03!$A$1:$ZZ$501,$A154,BG$3)))</f>
        <v/>
      </c>
      <c r="BH154" t="str">
        <f>IF($B154="","",IF(BH$3=0,"n.b.",INDEX(SRC_ZPMW03!$A$1:$ZZ$501,$A154,BH$3)))</f>
        <v/>
      </c>
      <c r="BI154" t="str">
        <f>IF($B154="","",IF(BI$3=0,"n.b.",INDEX(SRC_ZPMW03!$A$1:$ZZ$501,$A154,BI$3)))</f>
        <v/>
      </c>
      <c r="BJ154" t="str">
        <f>IF($B154="","",IF(BJ$3=0,"n.b.",INDEX(SRC_ZPMW03!$A$1:$ZZ$501,$A154,BJ$3)))</f>
        <v/>
      </c>
      <c r="BK154" s="124" t="str">
        <f>IF($B154="","",IFERROR(-O154,"n.b."))</f>
        <v/>
      </c>
      <c r="BL154" s="124" t="str">
        <f>IF($B154="","",IFERROR(-Q154,"n.b."))</f>
        <v/>
      </c>
      <c r="BM154" s="124" t="str">
        <f>IF($B154="","",IFERROR(-AB154,"n.b."))</f>
        <v/>
      </c>
      <c r="BN154" s="124" t="str">
        <f>IF($B154="","",IFERROR(-AD154,"n.b."))</f>
        <v/>
      </c>
      <c r="BO154" s="124" t="str">
        <f>IF($B154="","",IFERROR(BK154+BM154,"n.b."))</f>
        <v/>
      </c>
      <c r="BP154" s="124" t="str">
        <f>IF($B154="","",IFERROR(BL154+BN154,"n.b."))</f>
        <v/>
      </c>
      <c r="BQ154" s="124" t="str">
        <f>IF($B154="","",IFERROR(-AM154,"n.b."))</f>
        <v/>
      </c>
      <c r="BR154" s="124" t="str">
        <f>IF($B154="","",IFERROR(-AO154,"n.b."))</f>
        <v/>
      </c>
      <c r="BS154" s="124" t="str">
        <f>IF($B154="","",IFERROR(-Z154,"n.b."))</f>
        <v/>
      </c>
      <c r="BT154" s="124" t="str">
        <f>IF($B154="","",IFERROR(-AA154,"n.b."))</f>
        <v/>
      </c>
      <c r="BU154" s="124" t="str">
        <f>IF($B154="","",IFERROR(-AE154,"n.b."))</f>
        <v/>
      </c>
      <c r="BV154" s="124" t="str">
        <f>IF($B154="","",IFERROR(-AF154,"n.b."))</f>
        <v/>
      </c>
      <c r="BW154" s="124" t="str">
        <f>IF($B154="","",IFERROR(-AG154,"n.b."))</f>
        <v/>
      </c>
      <c r="BX154" s="124" t="str">
        <f>IF($B154="","",IFERROR(-AH154,"n.b."))</f>
        <v/>
      </c>
      <c r="BY154" s="124" t="str">
        <f>IF($B154="","",IFERROR(-AI154,"n.b."))</f>
        <v/>
      </c>
      <c r="BZ154" s="124" t="str">
        <f>IF($B154="","",IFERROR(-AJ154,"n.b."))</f>
        <v/>
      </c>
      <c r="CA154" s="124" t="str">
        <f>IF($B154="","",IFERROR(-AK154,"n.b."))</f>
        <v/>
      </c>
      <c r="CB154" s="124" t="str">
        <f>IF($B154="","",IFERROR(-AL154,"n.b."))</f>
        <v/>
      </c>
      <c r="CC154" s="124" t="str">
        <f>IF($B154="","",IFERROR(-AP154,"n.b."))</f>
        <v/>
      </c>
      <c r="CD154" s="124" t="str">
        <f>IF($B154="","",IFERROR(-AQ154,"n.b."))</f>
        <v/>
      </c>
      <c r="CE154" s="124" t="str">
        <f>IF($B154="","",IFERROR(-AR154,"n.b."))</f>
        <v/>
      </c>
      <c r="CF154" s="124" t="str">
        <f>IF($B154="","",IFERROR(-AS154,"n.b."))</f>
        <v/>
      </c>
      <c r="CG154" s="124" t="str">
        <f>IF($B154="","",IFERROR(-AT154,"n.b."))</f>
        <v/>
      </c>
      <c r="CH154" s="124" t="str">
        <f>IF($B154="","",IFERROR(-AU154,"n.b."))</f>
        <v/>
      </c>
      <c r="CI154" s="124" t="str">
        <f>IF($B154="","",IFERROR(-AV154,"n.b."))</f>
        <v/>
      </c>
      <c r="CJ154" s="124" t="str">
        <f>IF($B154="","",IFERROR(-AW154,"n.b."))</f>
        <v/>
      </c>
      <c r="CK154" s="124" t="str">
        <f>IF($B154="","",IFERROR(-AX154,"n.b."))</f>
        <v/>
      </c>
      <c r="CL154" s="124" t="str">
        <f>IF($B154="","",IFERROR(-AY154,"n.b."))</f>
        <v/>
      </c>
      <c r="CM154" s="124" t="str">
        <f>IF($B154="","",IFERROR(-AZ154,"n.b."))</f>
        <v/>
      </c>
      <c r="CN154" s="124" t="str">
        <f>IF($B154="","",IFERROR(-BA154,"n.b."))</f>
        <v/>
      </c>
      <c r="CO154" s="124" t="str">
        <f>IF($B154="","",IFERROR(-BB154,"n.b."))</f>
        <v/>
      </c>
      <c r="CP154" s="124" t="str">
        <f>IF($B154="","",IFERROR(-BC154,"n.b."))</f>
        <v/>
      </c>
      <c r="CQ154" s="124" t="str">
        <f>IF($B154="","",IFERROR(-BD154,"n.b."))</f>
        <v/>
      </c>
      <c r="CR154" s="124" t="str">
        <f>IF($B154="","",IFERROR(-BE154,"n.b."))</f>
        <v/>
      </c>
      <c r="CS154" s="124" t="str">
        <f>IF($B154="","",IFERROR(IF(OR(ABS(T154+V154+X154+Z154-AB154)&gt;P_Tol,ABS(U154+W154+Y154+AA154-AD154)&gt;P_Tol,ABS(AE154+AG154+AI154+AK154-AM154)&gt;P_Tol,ABS(AF154+AH154+AJ154+AL154-AO154)&gt;P_Tol),1,0),1))</f>
        <v/>
      </c>
      <c r="CT154" s="124" t="str">
        <f>IF($B154="","",IFERROR(IF(OR(ABS(AB154+AC154-AD154)&gt;P_Tol,ABS(AM154+AN154-AO154)&gt;P_Tol,ABS(O154+P154-Q154)&gt;P_Tol),1,0),1))</f>
        <v/>
      </c>
      <c r="CU154" s="124" t="str">
        <f>IF($B154="","",IFERROR(IF(ABS(R154-(AB154+AM154+AP154+AR154+AT154+AV154+AX154+AZ154+BB154+BD154))&gt;P_Tol,1,0),1))</f>
        <v/>
      </c>
      <c r="CV154" s="124" t="str">
        <f>IF($B154="","",IFERROR(IF(ABS(M154-(N154+O154+R154))&gt;P_Tol,1,0),1))</f>
        <v/>
      </c>
      <c r="CW154" s="124" t="str">
        <f>IF($B154="","",IF(COUNTIF(Mapping!$A$5:$A$104,B154)&gt;0,1,0))</f>
        <v/>
      </c>
      <c r="CX154" s="124" t="str">
        <f>IF($B154="","",COUNTIF($B$6:$B$505,B154))</f>
        <v/>
      </c>
      <c r="CY154" s="124" t="str">
        <f>IF($B154="","",COUNTIF(STG_Woningetalage!$B$6:$B$505,B154))</f>
        <v/>
      </c>
      <c r="CZ154" s="124" t="str">
        <f>IF($B154="","",IF(CW154=0,COUNTIF($CW$6:CW154,0),""))</f>
        <v/>
      </c>
    </row>
    <row r="155">
      <c r="A155" s="15" t="n">
        <v>151</v>
      </c>
      <c r="B155" t="str">
        <f>IF(B$3=0,"",IF(INDEX(SRC_ZPMW03!$A$1:$ZZ$501,$A155,B$3)&amp;""="","",INDEX(SRC_ZPMW03!$A$1:$ZZ$501,$A155,B$3)&amp;""))</f>
        <v/>
      </c>
      <c r="C155" t="str">
        <f>IF($B155="","",IF(C$3=0,"n.b.",INDEX(SRC_ZPMW03!$A$1:$ZZ$501,$A155,C$3)))</f>
        <v/>
      </c>
      <c r="D155" t="str">
        <f>IF($B155="","",IF(D$3=0,"n.b.",INDEX(SRC_ZPMW03!$A$1:$ZZ$501,$A155,D$3)))</f>
        <v/>
      </c>
      <c r="E155" t="str">
        <f>IF($B155="","",IF(E$3=0,"n.b.",INDEX(SRC_ZPMW03!$A$1:$ZZ$501,$A155,E$3)))</f>
        <v/>
      </c>
      <c r="F155" t="str">
        <f>IF($B155="","",IF(F$3=0,"n.b.",INDEX(SRC_ZPMW03!$A$1:$ZZ$501,$A155,F$3)))</f>
        <v/>
      </c>
      <c r="G155" t="str">
        <f>IF($B155="","",IF(G$3=0,"n.b.",INDEX(SRC_ZPMW03!$A$1:$ZZ$501,$A155,G$3)))</f>
        <v/>
      </c>
      <c r="H155" t="str">
        <f>IF($B155="","",IF(H$3=0,"n.b.",INDEX(SRC_ZPMW03!$A$1:$ZZ$501,$A155,H$3)))</f>
        <v/>
      </c>
      <c r="I155" t="str">
        <f>IF($B155="","",IF(I$3=0,"n.b.",INDEX(SRC_ZPMW03!$A$1:$ZZ$501,$A155,I$3)))</f>
        <v/>
      </c>
      <c r="J155" t="str">
        <f>IF($B155="","",IF(J$3=0,"n.b.",INDEX(SRC_ZPMW03!$A$1:$ZZ$501,$A155,J$3)))</f>
        <v/>
      </c>
      <c r="K155" t="str">
        <f>IF($B155="","",IF(K$3=0,"n.b.",INDEX(SRC_ZPMW03!$A$1:$ZZ$501,$A155,K$3)))</f>
        <v/>
      </c>
      <c r="L155" s="124" t="str">
        <f>IF($B155="","",IF(L$3=0,"n.b.",INDEX(SRC_ZPMW03!$A$1:$ZZ$501,$A155,L$3)))</f>
        <v/>
      </c>
      <c r="M155" s="124" t="str">
        <f>IF($B155="","",IF(M$3=0,"n.b.",INDEX(SRC_ZPMW03!$A$1:$ZZ$501,$A155,M$3)))</f>
        <v/>
      </c>
      <c r="N155" s="124" t="str">
        <f>IF($B155="","",IF(N$3=0,"n.b.",INDEX(SRC_ZPMW03!$A$1:$ZZ$501,$A155,N$3)))</f>
        <v/>
      </c>
      <c r="O155" s="124" t="str">
        <f>IF($B155="","",IF(O$3=0,"n.b.",INDEX(SRC_ZPMW03!$A$1:$ZZ$501,$A155,O$3)))</f>
        <v/>
      </c>
      <c r="P155" s="124" t="str">
        <f>IF($B155="","",IF(P$3=0,"n.b.",INDEX(SRC_ZPMW03!$A$1:$ZZ$501,$A155,P$3)))</f>
        <v/>
      </c>
      <c r="Q155" s="124" t="str">
        <f>IF($B155="","",IF(Q$3=0,"n.b.",INDEX(SRC_ZPMW03!$A$1:$ZZ$501,$A155,Q$3)))</f>
        <v/>
      </c>
      <c r="R155" s="124" t="str">
        <f>IF($B155="","",IF(R$3=0,"n.b.",INDEX(SRC_ZPMW03!$A$1:$ZZ$501,$A155,R$3)))</f>
        <v/>
      </c>
      <c r="S155" s="124" t="str">
        <f>IF($B155="","",IF(S$3=0,"n.b.",INDEX(SRC_ZPMW03!$A$1:$ZZ$501,$A155,S$3)))</f>
        <v/>
      </c>
      <c r="T155" s="124" t="str">
        <f>IF($B155="","",IF(T$3=0,"n.b.",INDEX(SRC_ZPMW03!$A$1:$ZZ$501,$A155,T$3)))</f>
        <v/>
      </c>
      <c r="U155" s="124" t="str">
        <f>IF($B155="","",IF(U$3=0,"n.b.",INDEX(SRC_ZPMW03!$A$1:$ZZ$501,$A155,U$3)))</f>
        <v/>
      </c>
      <c r="V155" s="124" t="str">
        <f>IF($B155="","",IF(V$3=0,"n.b.",INDEX(SRC_ZPMW03!$A$1:$ZZ$501,$A155,V$3)))</f>
        <v/>
      </c>
      <c r="W155" s="124" t="str">
        <f>IF($B155="","",IF(W$3=0,"n.b.",INDEX(SRC_ZPMW03!$A$1:$ZZ$501,$A155,W$3)))</f>
        <v/>
      </c>
      <c r="X155" s="124" t="str">
        <f>IF($B155="","",IF(X$3=0,"n.b.",INDEX(SRC_ZPMW03!$A$1:$ZZ$501,$A155,X$3)))</f>
        <v/>
      </c>
      <c r="Y155" s="124" t="str">
        <f>IF($B155="","",IF(Y$3=0,"n.b.",INDEX(SRC_ZPMW03!$A$1:$ZZ$501,$A155,Y$3)))</f>
        <v/>
      </c>
      <c r="Z155" s="124" t="str">
        <f>IF($B155="","",IF(Z$3=0,"n.b.",INDEX(SRC_ZPMW03!$A$1:$ZZ$501,$A155,Z$3)))</f>
        <v/>
      </c>
      <c r="AA155" s="124" t="str">
        <f>IF($B155="","",IF(AA$3=0,"n.b.",INDEX(SRC_ZPMW03!$A$1:$ZZ$501,$A155,AA$3)))</f>
        <v/>
      </c>
      <c r="AB155" s="124" t="str">
        <f>IF($B155="","",IF(AB$3=0,"n.b.",INDEX(SRC_ZPMW03!$A$1:$ZZ$501,$A155,AB$3)))</f>
        <v/>
      </c>
      <c r="AC155" s="124" t="str">
        <f>IF($B155="","",IF(AC$3=0,"n.b.",INDEX(SRC_ZPMW03!$A$1:$ZZ$501,$A155,AC$3)))</f>
        <v/>
      </c>
      <c r="AD155" s="124" t="str">
        <f>IF($B155="","",IF(AD$3=0,"n.b.",INDEX(SRC_ZPMW03!$A$1:$ZZ$501,$A155,AD$3)))</f>
        <v/>
      </c>
      <c r="AE155" s="124" t="str">
        <f>IF($B155="","",IF(AE$3=0,"n.b.",INDEX(SRC_ZPMW03!$A$1:$ZZ$501,$A155,AE$3)))</f>
        <v/>
      </c>
      <c r="AF155" s="124" t="str">
        <f>IF($B155="","",IF(AF$3=0,"n.b.",INDEX(SRC_ZPMW03!$A$1:$ZZ$501,$A155,AF$3)))</f>
        <v/>
      </c>
      <c r="AG155" s="124" t="str">
        <f>IF($B155="","",IF(AG$3=0,"n.b.",INDEX(SRC_ZPMW03!$A$1:$ZZ$501,$A155,AG$3)))</f>
        <v/>
      </c>
      <c r="AH155" s="124" t="str">
        <f>IF($B155="","",IF(AH$3=0,"n.b.",INDEX(SRC_ZPMW03!$A$1:$ZZ$501,$A155,AH$3)))</f>
        <v/>
      </c>
      <c r="AI155" s="124" t="str">
        <f>IF($B155="","",IF(AI$3=0,"n.b.",INDEX(SRC_ZPMW03!$A$1:$ZZ$501,$A155,AI$3)))</f>
        <v/>
      </c>
      <c r="AJ155" s="124" t="str">
        <f>IF($B155="","",IF(AJ$3=0,"n.b.",INDEX(SRC_ZPMW03!$A$1:$ZZ$501,$A155,AJ$3)))</f>
        <v/>
      </c>
      <c r="AK155" s="124" t="str">
        <f>IF($B155="","",IF(AK$3=0,"n.b.",INDEX(SRC_ZPMW03!$A$1:$ZZ$501,$A155,AK$3)))</f>
        <v/>
      </c>
      <c r="AL155" s="124" t="str">
        <f>IF($B155="","",IF(AL$3=0,"n.b.",INDEX(SRC_ZPMW03!$A$1:$ZZ$501,$A155,AL$3)))</f>
        <v/>
      </c>
      <c r="AM155" s="124" t="str">
        <f>IF($B155="","",IF(AM$3=0,"n.b.",INDEX(SRC_ZPMW03!$A$1:$ZZ$501,$A155,AM$3)))</f>
        <v/>
      </c>
      <c r="AN155" s="124" t="str">
        <f>IF($B155="","",IF(AN$3=0,"n.b.",INDEX(SRC_ZPMW03!$A$1:$ZZ$501,$A155,AN$3)))</f>
        <v/>
      </c>
      <c r="AO155" s="124" t="str">
        <f>IF($B155="","",IF(AO$3=0,"n.b.",INDEX(SRC_ZPMW03!$A$1:$ZZ$501,$A155,AO$3)))</f>
        <v/>
      </c>
      <c r="AP155" s="124" t="str">
        <f>IF($B155="","",IF(AP$3=0,"n.b.",INDEX(SRC_ZPMW03!$A$1:$ZZ$501,$A155,AP$3)))</f>
        <v/>
      </c>
      <c r="AQ155" s="124" t="str">
        <f>IF($B155="","",IF(AQ$3=0,"n.b.",INDEX(SRC_ZPMW03!$A$1:$ZZ$501,$A155,AQ$3)))</f>
        <v/>
      </c>
      <c r="AR155" s="124" t="str">
        <f>IF($B155="","",IF(AR$3=0,"n.b.",INDEX(SRC_ZPMW03!$A$1:$ZZ$501,$A155,AR$3)))</f>
        <v/>
      </c>
      <c r="AS155" s="124" t="str">
        <f>IF($B155="","",IF(AS$3=0,"n.b.",INDEX(SRC_ZPMW03!$A$1:$ZZ$501,$A155,AS$3)))</f>
        <v/>
      </c>
      <c r="AT155" s="124" t="str">
        <f>IF($B155="","",IF(AT$3=0,"n.b.",INDEX(SRC_ZPMW03!$A$1:$ZZ$501,$A155,AT$3)))</f>
        <v/>
      </c>
      <c r="AU155" s="124" t="str">
        <f>IF($B155="","",IF(AU$3=0,"n.b.",INDEX(SRC_ZPMW03!$A$1:$ZZ$501,$A155,AU$3)))</f>
        <v/>
      </c>
      <c r="AV155" s="124" t="str">
        <f>IF($B155="","",IF(AV$3=0,"n.b.",INDEX(SRC_ZPMW03!$A$1:$ZZ$501,$A155,AV$3)))</f>
        <v/>
      </c>
      <c r="AW155" s="124" t="str">
        <f>IF($B155="","",IF(AW$3=0,"n.b.",INDEX(SRC_ZPMW03!$A$1:$ZZ$501,$A155,AW$3)))</f>
        <v/>
      </c>
      <c r="AX155" s="124" t="str">
        <f>IF($B155="","",IF(AX$3=0,"n.b.",INDEX(SRC_ZPMW03!$A$1:$ZZ$501,$A155,AX$3)))</f>
        <v/>
      </c>
      <c r="AY155" s="124" t="str">
        <f>IF($B155="","",IF(AY$3=0,"n.b.",INDEX(SRC_ZPMW03!$A$1:$ZZ$501,$A155,AY$3)))</f>
        <v/>
      </c>
      <c r="AZ155" s="124" t="str">
        <f>IF($B155="","",IF(AZ$3=0,"n.b.",INDEX(SRC_ZPMW03!$A$1:$ZZ$501,$A155,AZ$3)))</f>
        <v/>
      </c>
      <c r="BA155" s="124" t="str">
        <f>IF($B155="","",IF(BA$3=0,"n.b.",INDEX(SRC_ZPMW03!$A$1:$ZZ$501,$A155,BA$3)))</f>
        <v/>
      </c>
      <c r="BB155" s="124" t="str">
        <f>IF($B155="","",IF(BB$3=0,"n.b.",INDEX(SRC_ZPMW03!$A$1:$ZZ$501,$A155,BB$3)))</f>
        <v/>
      </c>
      <c r="BC155" s="124" t="str">
        <f>IF($B155="","",IF(BC$3=0,"n.b.",INDEX(SRC_ZPMW03!$A$1:$ZZ$501,$A155,BC$3)))</f>
        <v/>
      </c>
      <c r="BD155" s="124" t="str">
        <f>IF($B155="","",IF(BD$3=0,"n.b.",INDEX(SRC_ZPMW03!$A$1:$ZZ$501,$A155,BD$3)))</f>
        <v/>
      </c>
      <c r="BE155" s="124" t="str">
        <f>IF($B155="","",IF(BE$3=0,"n.b.",INDEX(SRC_ZPMW03!$A$1:$ZZ$501,$A155,BE$3)))</f>
        <v/>
      </c>
      <c r="BF155" s="124" t="str">
        <f>IF($B155="","",IF(BF$3=0,"n.b.",INDEX(SRC_ZPMW03!$A$1:$ZZ$501,$A155,BF$3)))</f>
        <v/>
      </c>
      <c r="BG155" t="str">
        <f>IF($B155="","",IF(BG$3=0,"n.b.",INDEX(SRC_ZPMW03!$A$1:$ZZ$501,$A155,BG$3)))</f>
        <v/>
      </c>
      <c r="BH155" t="str">
        <f>IF($B155="","",IF(BH$3=0,"n.b.",INDEX(SRC_ZPMW03!$A$1:$ZZ$501,$A155,BH$3)))</f>
        <v/>
      </c>
      <c r="BI155" t="str">
        <f>IF($B155="","",IF(BI$3=0,"n.b.",INDEX(SRC_ZPMW03!$A$1:$ZZ$501,$A155,BI$3)))</f>
        <v/>
      </c>
      <c r="BJ155" t="str">
        <f>IF($B155="","",IF(BJ$3=0,"n.b.",INDEX(SRC_ZPMW03!$A$1:$ZZ$501,$A155,BJ$3)))</f>
        <v/>
      </c>
      <c r="BK155" s="124" t="str">
        <f>IF($B155="","",IFERROR(-O155,"n.b."))</f>
        <v/>
      </c>
      <c r="BL155" s="124" t="str">
        <f>IF($B155="","",IFERROR(-Q155,"n.b."))</f>
        <v/>
      </c>
      <c r="BM155" s="124" t="str">
        <f>IF($B155="","",IFERROR(-AB155,"n.b."))</f>
        <v/>
      </c>
      <c r="BN155" s="124" t="str">
        <f>IF($B155="","",IFERROR(-AD155,"n.b."))</f>
        <v/>
      </c>
      <c r="BO155" s="124" t="str">
        <f>IF($B155="","",IFERROR(BK155+BM155,"n.b."))</f>
        <v/>
      </c>
      <c r="BP155" s="124" t="str">
        <f>IF($B155="","",IFERROR(BL155+BN155,"n.b."))</f>
        <v/>
      </c>
      <c r="BQ155" s="124" t="str">
        <f>IF($B155="","",IFERROR(-AM155,"n.b."))</f>
        <v/>
      </c>
      <c r="BR155" s="124" t="str">
        <f>IF($B155="","",IFERROR(-AO155,"n.b."))</f>
        <v/>
      </c>
      <c r="BS155" s="124" t="str">
        <f>IF($B155="","",IFERROR(-Z155,"n.b."))</f>
        <v/>
      </c>
      <c r="BT155" s="124" t="str">
        <f>IF($B155="","",IFERROR(-AA155,"n.b."))</f>
        <v/>
      </c>
      <c r="BU155" s="124" t="str">
        <f>IF($B155="","",IFERROR(-AE155,"n.b."))</f>
        <v/>
      </c>
      <c r="BV155" s="124" t="str">
        <f>IF($B155="","",IFERROR(-AF155,"n.b."))</f>
        <v/>
      </c>
      <c r="BW155" s="124" t="str">
        <f>IF($B155="","",IFERROR(-AG155,"n.b."))</f>
        <v/>
      </c>
      <c r="BX155" s="124" t="str">
        <f>IF($B155="","",IFERROR(-AH155,"n.b."))</f>
        <v/>
      </c>
      <c r="BY155" s="124" t="str">
        <f>IF($B155="","",IFERROR(-AI155,"n.b."))</f>
        <v/>
      </c>
      <c r="BZ155" s="124" t="str">
        <f>IF($B155="","",IFERROR(-AJ155,"n.b."))</f>
        <v/>
      </c>
      <c r="CA155" s="124" t="str">
        <f>IF($B155="","",IFERROR(-AK155,"n.b."))</f>
        <v/>
      </c>
      <c r="CB155" s="124" t="str">
        <f>IF($B155="","",IFERROR(-AL155,"n.b."))</f>
        <v/>
      </c>
      <c r="CC155" s="124" t="str">
        <f>IF($B155="","",IFERROR(-AP155,"n.b."))</f>
        <v/>
      </c>
      <c r="CD155" s="124" t="str">
        <f>IF($B155="","",IFERROR(-AQ155,"n.b."))</f>
        <v/>
      </c>
      <c r="CE155" s="124" t="str">
        <f>IF($B155="","",IFERROR(-AR155,"n.b."))</f>
        <v/>
      </c>
      <c r="CF155" s="124" t="str">
        <f>IF($B155="","",IFERROR(-AS155,"n.b."))</f>
        <v/>
      </c>
      <c r="CG155" s="124" t="str">
        <f>IF($B155="","",IFERROR(-AT155,"n.b."))</f>
        <v/>
      </c>
      <c r="CH155" s="124" t="str">
        <f>IF($B155="","",IFERROR(-AU155,"n.b."))</f>
        <v/>
      </c>
      <c r="CI155" s="124" t="str">
        <f>IF($B155="","",IFERROR(-AV155,"n.b."))</f>
        <v/>
      </c>
      <c r="CJ155" s="124" t="str">
        <f>IF($B155="","",IFERROR(-AW155,"n.b."))</f>
        <v/>
      </c>
      <c r="CK155" s="124" t="str">
        <f>IF($B155="","",IFERROR(-AX155,"n.b."))</f>
        <v/>
      </c>
      <c r="CL155" s="124" t="str">
        <f>IF($B155="","",IFERROR(-AY155,"n.b."))</f>
        <v/>
      </c>
      <c r="CM155" s="124" t="str">
        <f>IF($B155="","",IFERROR(-AZ155,"n.b."))</f>
        <v/>
      </c>
      <c r="CN155" s="124" t="str">
        <f>IF($B155="","",IFERROR(-BA155,"n.b."))</f>
        <v/>
      </c>
      <c r="CO155" s="124" t="str">
        <f>IF($B155="","",IFERROR(-BB155,"n.b."))</f>
        <v/>
      </c>
      <c r="CP155" s="124" t="str">
        <f>IF($B155="","",IFERROR(-BC155,"n.b."))</f>
        <v/>
      </c>
      <c r="CQ155" s="124" t="str">
        <f>IF($B155="","",IFERROR(-BD155,"n.b."))</f>
        <v/>
      </c>
      <c r="CR155" s="124" t="str">
        <f>IF($B155="","",IFERROR(-BE155,"n.b."))</f>
        <v/>
      </c>
      <c r="CS155" s="124" t="str">
        <f>IF($B155="","",IFERROR(IF(OR(ABS(T155+V155+X155+Z155-AB155)&gt;P_Tol,ABS(U155+W155+Y155+AA155-AD155)&gt;P_Tol,ABS(AE155+AG155+AI155+AK155-AM155)&gt;P_Tol,ABS(AF155+AH155+AJ155+AL155-AO155)&gt;P_Tol),1,0),1))</f>
        <v/>
      </c>
      <c r="CT155" s="124" t="str">
        <f>IF($B155="","",IFERROR(IF(OR(ABS(AB155+AC155-AD155)&gt;P_Tol,ABS(AM155+AN155-AO155)&gt;P_Tol,ABS(O155+P155-Q155)&gt;P_Tol),1,0),1))</f>
        <v/>
      </c>
      <c r="CU155" s="124" t="str">
        <f>IF($B155="","",IFERROR(IF(ABS(R155-(AB155+AM155+AP155+AR155+AT155+AV155+AX155+AZ155+BB155+BD155))&gt;P_Tol,1,0),1))</f>
        <v/>
      </c>
      <c r="CV155" s="124" t="str">
        <f>IF($B155="","",IFERROR(IF(ABS(M155-(N155+O155+R155))&gt;P_Tol,1,0),1))</f>
        <v/>
      </c>
      <c r="CW155" s="124" t="str">
        <f>IF($B155="","",IF(COUNTIF(Mapping!$A$5:$A$104,B155)&gt;0,1,0))</f>
        <v/>
      </c>
      <c r="CX155" s="124" t="str">
        <f>IF($B155="","",COUNTIF($B$6:$B$505,B155))</f>
        <v/>
      </c>
      <c r="CY155" s="124" t="str">
        <f>IF($B155="","",COUNTIF(STG_Woningetalage!$B$6:$B$505,B155))</f>
        <v/>
      </c>
      <c r="CZ155" s="124" t="str">
        <f>IF($B155="","",IF(CW155=0,COUNTIF($CW$6:CW155,0),""))</f>
        <v/>
      </c>
    </row>
    <row r="156">
      <c r="A156" s="15" t="n">
        <v>152</v>
      </c>
      <c r="B156" t="str">
        <f>IF(B$3=0,"",IF(INDEX(SRC_ZPMW03!$A$1:$ZZ$501,$A156,B$3)&amp;""="","",INDEX(SRC_ZPMW03!$A$1:$ZZ$501,$A156,B$3)&amp;""))</f>
        <v/>
      </c>
      <c r="C156" t="str">
        <f>IF($B156="","",IF(C$3=0,"n.b.",INDEX(SRC_ZPMW03!$A$1:$ZZ$501,$A156,C$3)))</f>
        <v/>
      </c>
      <c r="D156" t="str">
        <f>IF($B156="","",IF(D$3=0,"n.b.",INDEX(SRC_ZPMW03!$A$1:$ZZ$501,$A156,D$3)))</f>
        <v/>
      </c>
      <c r="E156" t="str">
        <f>IF($B156="","",IF(E$3=0,"n.b.",INDEX(SRC_ZPMW03!$A$1:$ZZ$501,$A156,E$3)))</f>
        <v/>
      </c>
      <c r="F156" t="str">
        <f>IF($B156="","",IF(F$3=0,"n.b.",INDEX(SRC_ZPMW03!$A$1:$ZZ$501,$A156,F$3)))</f>
        <v/>
      </c>
      <c r="G156" t="str">
        <f>IF($B156="","",IF(G$3=0,"n.b.",INDEX(SRC_ZPMW03!$A$1:$ZZ$501,$A156,G$3)))</f>
        <v/>
      </c>
      <c r="H156" t="str">
        <f>IF($B156="","",IF(H$3=0,"n.b.",INDEX(SRC_ZPMW03!$A$1:$ZZ$501,$A156,H$3)))</f>
        <v/>
      </c>
      <c r="I156" t="str">
        <f>IF($B156="","",IF(I$3=0,"n.b.",INDEX(SRC_ZPMW03!$A$1:$ZZ$501,$A156,I$3)))</f>
        <v/>
      </c>
      <c r="J156" t="str">
        <f>IF($B156="","",IF(J$3=0,"n.b.",INDEX(SRC_ZPMW03!$A$1:$ZZ$501,$A156,J$3)))</f>
        <v/>
      </c>
      <c r="K156" t="str">
        <f>IF($B156="","",IF(K$3=0,"n.b.",INDEX(SRC_ZPMW03!$A$1:$ZZ$501,$A156,K$3)))</f>
        <v/>
      </c>
      <c r="L156" s="124" t="str">
        <f>IF($B156="","",IF(L$3=0,"n.b.",INDEX(SRC_ZPMW03!$A$1:$ZZ$501,$A156,L$3)))</f>
        <v/>
      </c>
      <c r="M156" s="124" t="str">
        <f>IF($B156="","",IF(M$3=0,"n.b.",INDEX(SRC_ZPMW03!$A$1:$ZZ$501,$A156,M$3)))</f>
        <v/>
      </c>
      <c r="N156" s="124" t="str">
        <f>IF($B156="","",IF(N$3=0,"n.b.",INDEX(SRC_ZPMW03!$A$1:$ZZ$501,$A156,N$3)))</f>
        <v/>
      </c>
      <c r="O156" s="124" t="str">
        <f>IF($B156="","",IF(O$3=0,"n.b.",INDEX(SRC_ZPMW03!$A$1:$ZZ$501,$A156,O$3)))</f>
        <v/>
      </c>
      <c r="P156" s="124" t="str">
        <f>IF($B156="","",IF(P$3=0,"n.b.",INDEX(SRC_ZPMW03!$A$1:$ZZ$501,$A156,P$3)))</f>
        <v/>
      </c>
      <c r="Q156" s="124" t="str">
        <f>IF($B156="","",IF(Q$3=0,"n.b.",INDEX(SRC_ZPMW03!$A$1:$ZZ$501,$A156,Q$3)))</f>
        <v/>
      </c>
      <c r="R156" s="124" t="str">
        <f>IF($B156="","",IF(R$3=0,"n.b.",INDEX(SRC_ZPMW03!$A$1:$ZZ$501,$A156,R$3)))</f>
        <v/>
      </c>
      <c r="S156" s="124" t="str">
        <f>IF($B156="","",IF(S$3=0,"n.b.",INDEX(SRC_ZPMW03!$A$1:$ZZ$501,$A156,S$3)))</f>
        <v/>
      </c>
      <c r="T156" s="124" t="str">
        <f>IF($B156="","",IF(T$3=0,"n.b.",INDEX(SRC_ZPMW03!$A$1:$ZZ$501,$A156,T$3)))</f>
        <v/>
      </c>
      <c r="U156" s="124" t="str">
        <f>IF($B156="","",IF(U$3=0,"n.b.",INDEX(SRC_ZPMW03!$A$1:$ZZ$501,$A156,U$3)))</f>
        <v/>
      </c>
      <c r="V156" s="124" t="str">
        <f>IF($B156="","",IF(V$3=0,"n.b.",INDEX(SRC_ZPMW03!$A$1:$ZZ$501,$A156,V$3)))</f>
        <v/>
      </c>
      <c r="W156" s="124" t="str">
        <f>IF($B156="","",IF(W$3=0,"n.b.",INDEX(SRC_ZPMW03!$A$1:$ZZ$501,$A156,W$3)))</f>
        <v/>
      </c>
      <c r="X156" s="124" t="str">
        <f>IF($B156="","",IF(X$3=0,"n.b.",INDEX(SRC_ZPMW03!$A$1:$ZZ$501,$A156,X$3)))</f>
        <v/>
      </c>
      <c r="Y156" s="124" t="str">
        <f>IF($B156="","",IF(Y$3=0,"n.b.",INDEX(SRC_ZPMW03!$A$1:$ZZ$501,$A156,Y$3)))</f>
        <v/>
      </c>
      <c r="Z156" s="124" t="str">
        <f>IF($B156="","",IF(Z$3=0,"n.b.",INDEX(SRC_ZPMW03!$A$1:$ZZ$501,$A156,Z$3)))</f>
        <v/>
      </c>
      <c r="AA156" s="124" t="str">
        <f>IF($B156="","",IF(AA$3=0,"n.b.",INDEX(SRC_ZPMW03!$A$1:$ZZ$501,$A156,AA$3)))</f>
        <v/>
      </c>
      <c r="AB156" s="124" t="str">
        <f>IF($B156="","",IF(AB$3=0,"n.b.",INDEX(SRC_ZPMW03!$A$1:$ZZ$501,$A156,AB$3)))</f>
        <v/>
      </c>
      <c r="AC156" s="124" t="str">
        <f>IF($B156="","",IF(AC$3=0,"n.b.",INDEX(SRC_ZPMW03!$A$1:$ZZ$501,$A156,AC$3)))</f>
        <v/>
      </c>
      <c r="AD156" s="124" t="str">
        <f>IF($B156="","",IF(AD$3=0,"n.b.",INDEX(SRC_ZPMW03!$A$1:$ZZ$501,$A156,AD$3)))</f>
        <v/>
      </c>
      <c r="AE156" s="124" t="str">
        <f>IF($B156="","",IF(AE$3=0,"n.b.",INDEX(SRC_ZPMW03!$A$1:$ZZ$501,$A156,AE$3)))</f>
        <v/>
      </c>
      <c r="AF156" s="124" t="str">
        <f>IF($B156="","",IF(AF$3=0,"n.b.",INDEX(SRC_ZPMW03!$A$1:$ZZ$501,$A156,AF$3)))</f>
        <v/>
      </c>
      <c r="AG156" s="124" t="str">
        <f>IF($B156="","",IF(AG$3=0,"n.b.",INDEX(SRC_ZPMW03!$A$1:$ZZ$501,$A156,AG$3)))</f>
        <v/>
      </c>
      <c r="AH156" s="124" t="str">
        <f>IF($B156="","",IF(AH$3=0,"n.b.",INDEX(SRC_ZPMW03!$A$1:$ZZ$501,$A156,AH$3)))</f>
        <v/>
      </c>
      <c r="AI156" s="124" t="str">
        <f>IF($B156="","",IF(AI$3=0,"n.b.",INDEX(SRC_ZPMW03!$A$1:$ZZ$501,$A156,AI$3)))</f>
        <v/>
      </c>
      <c r="AJ156" s="124" t="str">
        <f>IF($B156="","",IF(AJ$3=0,"n.b.",INDEX(SRC_ZPMW03!$A$1:$ZZ$501,$A156,AJ$3)))</f>
        <v/>
      </c>
      <c r="AK156" s="124" t="str">
        <f>IF($B156="","",IF(AK$3=0,"n.b.",INDEX(SRC_ZPMW03!$A$1:$ZZ$501,$A156,AK$3)))</f>
        <v/>
      </c>
      <c r="AL156" s="124" t="str">
        <f>IF($B156="","",IF(AL$3=0,"n.b.",INDEX(SRC_ZPMW03!$A$1:$ZZ$501,$A156,AL$3)))</f>
        <v/>
      </c>
      <c r="AM156" s="124" t="str">
        <f>IF($B156="","",IF(AM$3=0,"n.b.",INDEX(SRC_ZPMW03!$A$1:$ZZ$501,$A156,AM$3)))</f>
        <v/>
      </c>
      <c r="AN156" s="124" t="str">
        <f>IF($B156="","",IF(AN$3=0,"n.b.",INDEX(SRC_ZPMW03!$A$1:$ZZ$501,$A156,AN$3)))</f>
        <v/>
      </c>
      <c r="AO156" s="124" t="str">
        <f>IF($B156="","",IF(AO$3=0,"n.b.",INDEX(SRC_ZPMW03!$A$1:$ZZ$501,$A156,AO$3)))</f>
        <v/>
      </c>
      <c r="AP156" s="124" t="str">
        <f>IF($B156="","",IF(AP$3=0,"n.b.",INDEX(SRC_ZPMW03!$A$1:$ZZ$501,$A156,AP$3)))</f>
        <v/>
      </c>
      <c r="AQ156" s="124" t="str">
        <f>IF($B156="","",IF(AQ$3=0,"n.b.",INDEX(SRC_ZPMW03!$A$1:$ZZ$501,$A156,AQ$3)))</f>
        <v/>
      </c>
      <c r="AR156" s="124" t="str">
        <f>IF($B156="","",IF(AR$3=0,"n.b.",INDEX(SRC_ZPMW03!$A$1:$ZZ$501,$A156,AR$3)))</f>
        <v/>
      </c>
      <c r="AS156" s="124" t="str">
        <f>IF($B156="","",IF(AS$3=0,"n.b.",INDEX(SRC_ZPMW03!$A$1:$ZZ$501,$A156,AS$3)))</f>
        <v/>
      </c>
      <c r="AT156" s="124" t="str">
        <f>IF($B156="","",IF(AT$3=0,"n.b.",INDEX(SRC_ZPMW03!$A$1:$ZZ$501,$A156,AT$3)))</f>
        <v/>
      </c>
      <c r="AU156" s="124" t="str">
        <f>IF($B156="","",IF(AU$3=0,"n.b.",INDEX(SRC_ZPMW03!$A$1:$ZZ$501,$A156,AU$3)))</f>
        <v/>
      </c>
      <c r="AV156" s="124" t="str">
        <f>IF($B156="","",IF(AV$3=0,"n.b.",INDEX(SRC_ZPMW03!$A$1:$ZZ$501,$A156,AV$3)))</f>
        <v/>
      </c>
      <c r="AW156" s="124" t="str">
        <f>IF($B156="","",IF(AW$3=0,"n.b.",INDEX(SRC_ZPMW03!$A$1:$ZZ$501,$A156,AW$3)))</f>
        <v/>
      </c>
      <c r="AX156" s="124" t="str">
        <f>IF($B156="","",IF(AX$3=0,"n.b.",INDEX(SRC_ZPMW03!$A$1:$ZZ$501,$A156,AX$3)))</f>
        <v/>
      </c>
      <c r="AY156" s="124" t="str">
        <f>IF($B156="","",IF(AY$3=0,"n.b.",INDEX(SRC_ZPMW03!$A$1:$ZZ$501,$A156,AY$3)))</f>
        <v/>
      </c>
      <c r="AZ156" s="124" t="str">
        <f>IF($B156="","",IF(AZ$3=0,"n.b.",INDEX(SRC_ZPMW03!$A$1:$ZZ$501,$A156,AZ$3)))</f>
        <v/>
      </c>
      <c r="BA156" s="124" t="str">
        <f>IF($B156="","",IF(BA$3=0,"n.b.",INDEX(SRC_ZPMW03!$A$1:$ZZ$501,$A156,BA$3)))</f>
        <v/>
      </c>
      <c r="BB156" s="124" t="str">
        <f>IF($B156="","",IF(BB$3=0,"n.b.",INDEX(SRC_ZPMW03!$A$1:$ZZ$501,$A156,BB$3)))</f>
        <v/>
      </c>
      <c r="BC156" s="124" t="str">
        <f>IF($B156="","",IF(BC$3=0,"n.b.",INDEX(SRC_ZPMW03!$A$1:$ZZ$501,$A156,BC$3)))</f>
        <v/>
      </c>
      <c r="BD156" s="124" t="str">
        <f>IF($B156="","",IF(BD$3=0,"n.b.",INDEX(SRC_ZPMW03!$A$1:$ZZ$501,$A156,BD$3)))</f>
        <v/>
      </c>
      <c r="BE156" s="124" t="str">
        <f>IF($B156="","",IF(BE$3=0,"n.b.",INDEX(SRC_ZPMW03!$A$1:$ZZ$501,$A156,BE$3)))</f>
        <v/>
      </c>
      <c r="BF156" s="124" t="str">
        <f>IF($B156="","",IF(BF$3=0,"n.b.",INDEX(SRC_ZPMW03!$A$1:$ZZ$501,$A156,BF$3)))</f>
        <v/>
      </c>
      <c r="BG156" t="str">
        <f>IF($B156="","",IF(BG$3=0,"n.b.",INDEX(SRC_ZPMW03!$A$1:$ZZ$501,$A156,BG$3)))</f>
        <v/>
      </c>
      <c r="BH156" t="str">
        <f>IF($B156="","",IF(BH$3=0,"n.b.",INDEX(SRC_ZPMW03!$A$1:$ZZ$501,$A156,BH$3)))</f>
        <v/>
      </c>
      <c r="BI156" t="str">
        <f>IF($B156="","",IF(BI$3=0,"n.b.",INDEX(SRC_ZPMW03!$A$1:$ZZ$501,$A156,BI$3)))</f>
        <v/>
      </c>
      <c r="BJ156" t="str">
        <f>IF($B156="","",IF(BJ$3=0,"n.b.",INDEX(SRC_ZPMW03!$A$1:$ZZ$501,$A156,BJ$3)))</f>
        <v/>
      </c>
      <c r="BK156" s="124" t="str">
        <f>IF($B156="","",IFERROR(-O156,"n.b."))</f>
        <v/>
      </c>
      <c r="BL156" s="124" t="str">
        <f>IF($B156="","",IFERROR(-Q156,"n.b."))</f>
        <v/>
      </c>
      <c r="BM156" s="124" t="str">
        <f>IF($B156="","",IFERROR(-AB156,"n.b."))</f>
        <v/>
      </c>
      <c r="BN156" s="124" t="str">
        <f>IF($B156="","",IFERROR(-AD156,"n.b."))</f>
        <v/>
      </c>
      <c r="BO156" s="124" t="str">
        <f>IF($B156="","",IFERROR(BK156+BM156,"n.b."))</f>
        <v/>
      </c>
      <c r="BP156" s="124" t="str">
        <f>IF($B156="","",IFERROR(BL156+BN156,"n.b."))</f>
        <v/>
      </c>
      <c r="BQ156" s="124" t="str">
        <f>IF($B156="","",IFERROR(-AM156,"n.b."))</f>
        <v/>
      </c>
      <c r="BR156" s="124" t="str">
        <f>IF($B156="","",IFERROR(-AO156,"n.b."))</f>
        <v/>
      </c>
      <c r="BS156" s="124" t="str">
        <f>IF($B156="","",IFERROR(-Z156,"n.b."))</f>
        <v/>
      </c>
      <c r="BT156" s="124" t="str">
        <f>IF($B156="","",IFERROR(-AA156,"n.b."))</f>
        <v/>
      </c>
      <c r="BU156" s="124" t="str">
        <f>IF($B156="","",IFERROR(-AE156,"n.b."))</f>
        <v/>
      </c>
      <c r="BV156" s="124" t="str">
        <f>IF($B156="","",IFERROR(-AF156,"n.b."))</f>
        <v/>
      </c>
      <c r="BW156" s="124" t="str">
        <f>IF($B156="","",IFERROR(-AG156,"n.b."))</f>
        <v/>
      </c>
      <c r="BX156" s="124" t="str">
        <f>IF($B156="","",IFERROR(-AH156,"n.b."))</f>
        <v/>
      </c>
      <c r="BY156" s="124" t="str">
        <f>IF($B156="","",IFERROR(-AI156,"n.b."))</f>
        <v/>
      </c>
      <c r="BZ156" s="124" t="str">
        <f>IF($B156="","",IFERROR(-AJ156,"n.b."))</f>
        <v/>
      </c>
      <c r="CA156" s="124" t="str">
        <f>IF($B156="","",IFERROR(-AK156,"n.b."))</f>
        <v/>
      </c>
      <c r="CB156" s="124" t="str">
        <f>IF($B156="","",IFERROR(-AL156,"n.b."))</f>
        <v/>
      </c>
      <c r="CC156" s="124" t="str">
        <f>IF($B156="","",IFERROR(-AP156,"n.b."))</f>
        <v/>
      </c>
      <c r="CD156" s="124" t="str">
        <f>IF($B156="","",IFERROR(-AQ156,"n.b."))</f>
        <v/>
      </c>
      <c r="CE156" s="124" t="str">
        <f>IF($B156="","",IFERROR(-AR156,"n.b."))</f>
        <v/>
      </c>
      <c r="CF156" s="124" t="str">
        <f>IF($B156="","",IFERROR(-AS156,"n.b."))</f>
        <v/>
      </c>
      <c r="CG156" s="124" t="str">
        <f>IF($B156="","",IFERROR(-AT156,"n.b."))</f>
        <v/>
      </c>
      <c r="CH156" s="124" t="str">
        <f>IF($B156="","",IFERROR(-AU156,"n.b."))</f>
        <v/>
      </c>
      <c r="CI156" s="124" t="str">
        <f>IF($B156="","",IFERROR(-AV156,"n.b."))</f>
        <v/>
      </c>
      <c r="CJ156" s="124" t="str">
        <f>IF($B156="","",IFERROR(-AW156,"n.b."))</f>
        <v/>
      </c>
      <c r="CK156" s="124" t="str">
        <f>IF($B156="","",IFERROR(-AX156,"n.b."))</f>
        <v/>
      </c>
      <c r="CL156" s="124" t="str">
        <f>IF($B156="","",IFERROR(-AY156,"n.b."))</f>
        <v/>
      </c>
      <c r="CM156" s="124" t="str">
        <f>IF($B156="","",IFERROR(-AZ156,"n.b."))</f>
        <v/>
      </c>
      <c r="CN156" s="124" t="str">
        <f>IF($B156="","",IFERROR(-BA156,"n.b."))</f>
        <v/>
      </c>
      <c r="CO156" s="124" t="str">
        <f>IF($B156="","",IFERROR(-BB156,"n.b."))</f>
        <v/>
      </c>
      <c r="CP156" s="124" t="str">
        <f>IF($B156="","",IFERROR(-BC156,"n.b."))</f>
        <v/>
      </c>
      <c r="CQ156" s="124" t="str">
        <f>IF($B156="","",IFERROR(-BD156,"n.b."))</f>
        <v/>
      </c>
      <c r="CR156" s="124" t="str">
        <f>IF($B156="","",IFERROR(-BE156,"n.b."))</f>
        <v/>
      </c>
      <c r="CS156" s="124" t="str">
        <f>IF($B156="","",IFERROR(IF(OR(ABS(T156+V156+X156+Z156-AB156)&gt;P_Tol,ABS(U156+W156+Y156+AA156-AD156)&gt;P_Tol,ABS(AE156+AG156+AI156+AK156-AM156)&gt;P_Tol,ABS(AF156+AH156+AJ156+AL156-AO156)&gt;P_Tol),1,0),1))</f>
        <v/>
      </c>
      <c r="CT156" s="124" t="str">
        <f>IF($B156="","",IFERROR(IF(OR(ABS(AB156+AC156-AD156)&gt;P_Tol,ABS(AM156+AN156-AO156)&gt;P_Tol,ABS(O156+P156-Q156)&gt;P_Tol),1,0),1))</f>
        <v/>
      </c>
      <c r="CU156" s="124" t="str">
        <f>IF($B156="","",IFERROR(IF(ABS(R156-(AB156+AM156+AP156+AR156+AT156+AV156+AX156+AZ156+BB156+BD156))&gt;P_Tol,1,0),1))</f>
        <v/>
      </c>
      <c r="CV156" s="124" t="str">
        <f>IF($B156="","",IFERROR(IF(ABS(M156-(N156+O156+R156))&gt;P_Tol,1,0),1))</f>
        <v/>
      </c>
      <c r="CW156" s="124" t="str">
        <f>IF($B156="","",IF(COUNTIF(Mapping!$A$5:$A$104,B156)&gt;0,1,0))</f>
        <v/>
      </c>
      <c r="CX156" s="124" t="str">
        <f>IF($B156="","",COUNTIF($B$6:$B$505,B156))</f>
        <v/>
      </c>
      <c r="CY156" s="124" t="str">
        <f>IF($B156="","",COUNTIF(STG_Woningetalage!$B$6:$B$505,B156))</f>
        <v/>
      </c>
      <c r="CZ156" s="124" t="str">
        <f>IF($B156="","",IF(CW156=0,COUNTIF($CW$6:CW156,0),""))</f>
        <v/>
      </c>
    </row>
    <row r="157">
      <c r="A157" s="15" t="n">
        <v>153</v>
      </c>
      <c r="B157" t="str">
        <f>IF(B$3=0,"",IF(INDEX(SRC_ZPMW03!$A$1:$ZZ$501,$A157,B$3)&amp;""="","",INDEX(SRC_ZPMW03!$A$1:$ZZ$501,$A157,B$3)&amp;""))</f>
        <v/>
      </c>
      <c r="C157" t="str">
        <f>IF($B157="","",IF(C$3=0,"n.b.",INDEX(SRC_ZPMW03!$A$1:$ZZ$501,$A157,C$3)))</f>
        <v/>
      </c>
      <c r="D157" t="str">
        <f>IF($B157="","",IF(D$3=0,"n.b.",INDEX(SRC_ZPMW03!$A$1:$ZZ$501,$A157,D$3)))</f>
        <v/>
      </c>
      <c r="E157" t="str">
        <f>IF($B157="","",IF(E$3=0,"n.b.",INDEX(SRC_ZPMW03!$A$1:$ZZ$501,$A157,E$3)))</f>
        <v/>
      </c>
      <c r="F157" t="str">
        <f>IF($B157="","",IF(F$3=0,"n.b.",INDEX(SRC_ZPMW03!$A$1:$ZZ$501,$A157,F$3)))</f>
        <v/>
      </c>
      <c r="G157" t="str">
        <f>IF($B157="","",IF(G$3=0,"n.b.",INDEX(SRC_ZPMW03!$A$1:$ZZ$501,$A157,G$3)))</f>
        <v/>
      </c>
      <c r="H157" t="str">
        <f>IF($B157="","",IF(H$3=0,"n.b.",INDEX(SRC_ZPMW03!$A$1:$ZZ$501,$A157,H$3)))</f>
        <v/>
      </c>
      <c r="I157" t="str">
        <f>IF($B157="","",IF(I$3=0,"n.b.",INDEX(SRC_ZPMW03!$A$1:$ZZ$501,$A157,I$3)))</f>
        <v/>
      </c>
      <c r="J157" t="str">
        <f>IF($B157="","",IF(J$3=0,"n.b.",INDEX(SRC_ZPMW03!$A$1:$ZZ$501,$A157,J$3)))</f>
        <v/>
      </c>
      <c r="K157" t="str">
        <f>IF($B157="","",IF(K$3=0,"n.b.",INDEX(SRC_ZPMW03!$A$1:$ZZ$501,$A157,K$3)))</f>
        <v/>
      </c>
      <c r="L157" s="124" t="str">
        <f>IF($B157="","",IF(L$3=0,"n.b.",INDEX(SRC_ZPMW03!$A$1:$ZZ$501,$A157,L$3)))</f>
        <v/>
      </c>
      <c r="M157" s="124" t="str">
        <f>IF($B157="","",IF(M$3=0,"n.b.",INDEX(SRC_ZPMW03!$A$1:$ZZ$501,$A157,M$3)))</f>
        <v/>
      </c>
      <c r="N157" s="124" t="str">
        <f>IF($B157="","",IF(N$3=0,"n.b.",INDEX(SRC_ZPMW03!$A$1:$ZZ$501,$A157,N$3)))</f>
        <v/>
      </c>
      <c r="O157" s="124" t="str">
        <f>IF($B157="","",IF(O$3=0,"n.b.",INDEX(SRC_ZPMW03!$A$1:$ZZ$501,$A157,O$3)))</f>
        <v/>
      </c>
      <c r="P157" s="124" t="str">
        <f>IF($B157="","",IF(P$3=0,"n.b.",INDEX(SRC_ZPMW03!$A$1:$ZZ$501,$A157,P$3)))</f>
        <v/>
      </c>
      <c r="Q157" s="124" t="str">
        <f>IF($B157="","",IF(Q$3=0,"n.b.",INDEX(SRC_ZPMW03!$A$1:$ZZ$501,$A157,Q$3)))</f>
        <v/>
      </c>
      <c r="R157" s="124" t="str">
        <f>IF($B157="","",IF(R$3=0,"n.b.",INDEX(SRC_ZPMW03!$A$1:$ZZ$501,$A157,R$3)))</f>
        <v/>
      </c>
      <c r="S157" s="124" t="str">
        <f>IF($B157="","",IF(S$3=0,"n.b.",INDEX(SRC_ZPMW03!$A$1:$ZZ$501,$A157,S$3)))</f>
        <v/>
      </c>
      <c r="T157" s="124" t="str">
        <f>IF($B157="","",IF(T$3=0,"n.b.",INDEX(SRC_ZPMW03!$A$1:$ZZ$501,$A157,T$3)))</f>
        <v/>
      </c>
      <c r="U157" s="124" t="str">
        <f>IF($B157="","",IF(U$3=0,"n.b.",INDEX(SRC_ZPMW03!$A$1:$ZZ$501,$A157,U$3)))</f>
        <v/>
      </c>
      <c r="V157" s="124" t="str">
        <f>IF($B157="","",IF(V$3=0,"n.b.",INDEX(SRC_ZPMW03!$A$1:$ZZ$501,$A157,V$3)))</f>
        <v/>
      </c>
      <c r="W157" s="124" t="str">
        <f>IF($B157="","",IF(W$3=0,"n.b.",INDEX(SRC_ZPMW03!$A$1:$ZZ$501,$A157,W$3)))</f>
        <v/>
      </c>
      <c r="X157" s="124" t="str">
        <f>IF($B157="","",IF(X$3=0,"n.b.",INDEX(SRC_ZPMW03!$A$1:$ZZ$501,$A157,X$3)))</f>
        <v/>
      </c>
      <c r="Y157" s="124" t="str">
        <f>IF($B157="","",IF(Y$3=0,"n.b.",INDEX(SRC_ZPMW03!$A$1:$ZZ$501,$A157,Y$3)))</f>
        <v/>
      </c>
      <c r="Z157" s="124" t="str">
        <f>IF($B157="","",IF(Z$3=0,"n.b.",INDEX(SRC_ZPMW03!$A$1:$ZZ$501,$A157,Z$3)))</f>
        <v/>
      </c>
      <c r="AA157" s="124" t="str">
        <f>IF($B157="","",IF(AA$3=0,"n.b.",INDEX(SRC_ZPMW03!$A$1:$ZZ$501,$A157,AA$3)))</f>
        <v/>
      </c>
      <c r="AB157" s="124" t="str">
        <f>IF($B157="","",IF(AB$3=0,"n.b.",INDEX(SRC_ZPMW03!$A$1:$ZZ$501,$A157,AB$3)))</f>
        <v/>
      </c>
      <c r="AC157" s="124" t="str">
        <f>IF($B157="","",IF(AC$3=0,"n.b.",INDEX(SRC_ZPMW03!$A$1:$ZZ$501,$A157,AC$3)))</f>
        <v/>
      </c>
      <c r="AD157" s="124" t="str">
        <f>IF($B157="","",IF(AD$3=0,"n.b.",INDEX(SRC_ZPMW03!$A$1:$ZZ$501,$A157,AD$3)))</f>
        <v/>
      </c>
      <c r="AE157" s="124" t="str">
        <f>IF($B157="","",IF(AE$3=0,"n.b.",INDEX(SRC_ZPMW03!$A$1:$ZZ$501,$A157,AE$3)))</f>
        <v/>
      </c>
      <c r="AF157" s="124" t="str">
        <f>IF($B157="","",IF(AF$3=0,"n.b.",INDEX(SRC_ZPMW03!$A$1:$ZZ$501,$A157,AF$3)))</f>
        <v/>
      </c>
      <c r="AG157" s="124" t="str">
        <f>IF($B157="","",IF(AG$3=0,"n.b.",INDEX(SRC_ZPMW03!$A$1:$ZZ$501,$A157,AG$3)))</f>
        <v/>
      </c>
      <c r="AH157" s="124" t="str">
        <f>IF($B157="","",IF(AH$3=0,"n.b.",INDEX(SRC_ZPMW03!$A$1:$ZZ$501,$A157,AH$3)))</f>
        <v/>
      </c>
      <c r="AI157" s="124" t="str">
        <f>IF($B157="","",IF(AI$3=0,"n.b.",INDEX(SRC_ZPMW03!$A$1:$ZZ$501,$A157,AI$3)))</f>
        <v/>
      </c>
      <c r="AJ157" s="124" t="str">
        <f>IF($B157="","",IF(AJ$3=0,"n.b.",INDEX(SRC_ZPMW03!$A$1:$ZZ$501,$A157,AJ$3)))</f>
        <v/>
      </c>
      <c r="AK157" s="124" t="str">
        <f>IF($B157="","",IF(AK$3=0,"n.b.",INDEX(SRC_ZPMW03!$A$1:$ZZ$501,$A157,AK$3)))</f>
        <v/>
      </c>
      <c r="AL157" s="124" t="str">
        <f>IF($B157="","",IF(AL$3=0,"n.b.",INDEX(SRC_ZPMW03!$A$1:$ZZ$501,$A157,AL$3)))</f>
        <v/>
      </c>
      <c r="AM157" s="124" t="str">
        <f>IF($B157="","",IF(AM$3=0,"n.b.",INDEX(SRC_ZPMW03!$A$1:$ZZ$501,$A157,AM$3)))</f>
        <v/>
      </c>
      <c r="AN157" s="124" t="str">
        <f>IF($B157="","",IF(AN$3=0,"n.b.",INDEX(SRC_ZPMW03!$A$1:$ZZ$501,$A157,AN$3)))</f>
        <v/>
      </c>
      <c r="AO157" s="124" t="str">
        <f>IF($B157="","",IF(AO$3=0,"n.b.",INDEX(SRC_ZPMW03!$A$1:$ZZ$501,$A157,AO$3)))</f>
        <v/>
      </c>
      <c r="AP157" s="124" t="str">
        <f>IF($B157="","",IF(AP$3=0,"n.b.",INDEX(SRC_ZPMW03!$A$1:$ZZ$501,$A157,AP$3)))</f>
        <v/>
      </c>
      <c r="AQ157" s="124" t="str">
        <f>IF($B157="","",IF(AQ$3=0,"n.b.",INDEX(SRC_ZPMW03!$A$1:$ZZ$501,$A157,AQ$3)))</f>
        <v/>
      </c>
      <c r="AR157" s="124" t="str">
        <f>IF($B157="","",IF(AR$3=0,"n.b.",INDEX(SRC_ZPMW03!$A$1:$ZZ$501,$A157,AR$3)))</f>
        <v/>
      </c>
      <c r="AS157" s="124" t="str">
        <f>IF($B157="","",IF(AS$3=0,"n.b.",INDEX(SRC_ZPMW03!$A$1:$ZZ$501,$A157,AS$3)))</f>
        <v/>
      </c>
      <c r="AT157" s="124" t="str">
        <f>IF($B157="","",IF(AT$3=0,"n.b.",INDEX(SRC_ZPMW03!$A$1:$ZZ$501,$A157,AT$3)))</f>
        <v/>
      </c>
      <c r="AU157" s="124" t="str">
        <f>IF($B157="","",IF(AU$3=0,"n.b.",INDEX(SRC_ZPMW03!$A$1:$ZZ$501,$A157,AU$3)))</f>
        <v/>
      </c>
      <c r="AV157" s="124" t="str">
        <f>IF($B157="","",IF(AV$3=0,"n.b.",INDEX(SRC_ZPMW03!$A$1:$ZZ$501,$A157,AV$3)))</f>
        <v/>
      </c>
      <c r="AW157" s="124" t="str">
        <f>IF($B157="","",IF(AW$3=0,"n.b.",INDEX(SRC_ZPMW03!$A$1:$ZZ$501,$A157,AW$3)))</f>
        <v/>
      </c>
      <c r="AX157" s="124" t="str">
        <f>IF($B157="","",IF(AX$3=0,"n.b.",INDEX(SRC_ZPMW03!$A$1:$ZZ$501,$A157,AX$3)))</f>
        <v/>
      </c>
      <c r="AY157" s="124" t="str">
        <f>IF($B157="","",IF(AY$3=0,"n.b.",INDEX(SRC_ZPMW03!$A$1:$ZZ$501,$A157,AY$3)))</f>
        <v/>
      </c>
      <c r="AZ157" s="124" t="str">
        <f>IF($B157="","",IF(AZ$3=0,"n.b.",INDEX(SRC_ZPMW03!$A$1:$ZZ$501,$A157,AZ$3)))</f>
        <v/>
      </c>
      <c r="BA157" s="124" t="str">
        <f>IF($B157="","",IF(BA$3=0,"n.b.",INDEX(SRC_ZPMW03!$A$1:$ZZ$501,$A157,BA$3)))</f>
        <v/>
      </c>
      <c r="BB157" s="124" t="str">
        <f>IF($B157="","",IF(BB$3=0,"n.b.",INDEX(SRC_ZPMW03!$A$1:$ZZ$501,$A157,BB$3)))</f>
        <v/>
      </c>
      <c r="BC157" s="124" t="str">
        <f>IF($B157="","",IF(BC$3=0,"n.b.",INDEX(SRC_ZPMW03!$A$1:$ZZ$501,$A157,BC$3)))</f>
        <v/>
      </c>
      <c r="BD157" s="124" t="str">
        <f>IF($B157="","",IF(BD$3=0,"n.b.",INDEX(SRC_ZPMW03!$A$1:$ZZ$501,$A157,BD$3)))</f>
        <v/>
      </c>
      <c r="BE157" s="124" t="str">
        <f>IF($B157="","",IF(BE$3=0,"n.b.",INDEX(SRC_ZPMW03!$A$1:$ZZ$501,$A157,BE$3)))</f>
        <v/>
      </c>
      <c r="BF157" s="124" t="str">
        <f>IF($B157="","",IF(BF$3=0,"n.b.",INDEX(SRC_ZPMW03!$A$1:$ZZ$501,$A157,BF$3)))</f>
        <v/>
      </c>
      <c r="BG157" t="str">
        <f>IF($B157="","",IF(BG$3=0,"n.b.",INDEX(SRC_ZPMW03!$A$1:$ZZ$501,$A157,BG$3)))</f>
        <v/>
      </c>
      <c r="BH157" t="str">
        <f>IF($B157="","",IF(BH$3=0,"n.b.",INDEX(SRC_ZPMW03!$A$1:$ZZ$501,$A157,BH$3)))</f>
        <v/>
      </c>
      <c r="BI157" t="str">
        <f>IF($B157="","",IF(BI$3=0,"n.b.",INDEX(SRC_ZPMW03!$A$1:$ZZ$501,$A157,BI$3)))</f>
        <v/>
      </c>
      <c r="BJ157" t="str">
        <f>IF($B157="","",IF(BJ$3=0,"n.b.",INDEX(SRC_ZPMW03!$A$1:$ZZ$501,$A157,BJ$3)))</f>
        <v/>
      </c>
      <c r="BK157" s="124" t="str">
        <f>IF($B157="","",IFERROR(-O157,"n.b."))</f>
        <v/>
      </c>
      <c r="BL157" s="124" t="str">
        <f>IF($B157="","",IFERROR(-Q157,"n.b."))</f>
        <v/>
      </c>
      <c r="BM157" s="124" t="str">
        <f>IF($B157="","",IFERROR(-AB157,"n.b."))</f>
        <v/>
      </c>
      <c r="BN157" s="124" t="str">
        <f>IF($B157="","",IFERROR(-AD157,"n.b."))</f>
        <v/>
      </c>
      <c r="BO157" s="124" t="str">
        <f>IF($B157="","",IFERROR(BK157+BM157,"n.b."))</f>
        <v/>
      </c>
      <c r="BP157" s="124" t="str">
        <f>IF($B157="","",IFERROR(BL157+BN157,"n.b."))</f>
        <v/>
      </c>
      <c r="BQ157" s="124" t="str">
        <f>IF($B157="","",IFERROR(-AM157,"n.b."))</f>
        <v/>
      </c>
      <c r="BR157" s="124" t="str">
        <f>IF($B157="","",IFERROR(-AO157,"n.b."))</f>
        <v/>
      </c>
      <c r="BS157" s="124" t="str">
        <f>IF($B157="","",IFERROR(-Z157,"n.b."))</f>
        <v/>
      </c>
      <c r="BT157" s="124" t="str">
        <f>IF($B157="","",IFERROR(-AA157,"n.b."))</f>
        <v/>
      </c>
      <c r="BU157" s="124" t="str">
        <f>IF($B157="","",IFERROR(-AE157,"n.b."))</f>
        <v/>
      </c>
      <c r="BV157" s="124" t="str">
        <f>IF($B157="","",IFERROR(-AF157,"n.b."))</f>
        <v/>
      </c>
      <c r="BW157" s="124" t="str">
        <f>IF($B157="","",IFERROR(-AG157,"n.b."))</f>
        <v/>
      </c>
      <c r="BX157" s="124" t="str">
        <f>IF($B157="","",IFERROR(-AH157,"n.b."))</f>
        <v/>
      </c>
      <c r="BY157" s="124" t="str">
        <f>IF($B157="","",IFERROR(-AI157,"n.b."))</f>
        <v/>
      </c>
      <c r="BZ157" s="124" t="str">
        <f>IF($B157="","",IFERROR(-AJ157,"n.b."))</f>
        <v/>
      </c>
      <c r="CA157" s="124" t="str">
        <f>IF($B157="","",IFERROR(-AK157,"n.b."))</f>
        <v/>
      </c>
      <c r="CB157" s="124" t="str">
        <f>IF($B157="","",IFERROR(-AL157,"n.b."))</f>
        <v/>
      </c>
      <c r="CC157" s="124" t="str">
        <f>IF($B157="","",IFERROR(-AP157,"n.b."))</f>
        <v/>
      </c>
      <c r="CD157" s="124" t="str">
        <f>IF($B157="","",IFERROR(-AQ157,"n.b."))</f>
        <v/>
      </c>
      <c r="CE157" s="124" t="str">
        <f>IF($B157="","",IFERROR(-AR157,"n.b."))</f>
        <v/>
      </c>
      <c r="CF157" s="124" t="str">
        <f>IF($B157="","",IFERROR(-AS157,"n.b."))</f>
        <v/>
      </c>
      <c r="CG157" s="124" t="str">
        <f>IF($B157="","",IFERROR(-AT157,"n.b."))</f>
        <v/>
      </c>
      <c r="CH157" s="124" t="str">
        <f>IF($B157="","",IFERROR(-AU157,"n.b."))</f>
        <v/>
      </c>
      <c r="CI157" s="124" t="str">
        <f>IF($B157="","",IFERROR(-AV157,"n.b."))</f>
        <v/>
      </c>
      <c r="CJ157" s="124" t="str">
        <f>IF($B157="","",IFERROR(-AW157,"n.b."))</f>
        <v/>
      </c>
      <c r="CK157" s="124" t="str">
        <f>IF($B157="","",IFERROR(-AX157,"n.b."))</f>
        <v/>
      </c>
      <c r="CL157" s="124" t="str">
        <f>IF($B157="","",IFERROR(-AY157,"n.b."))</f>
        <v/>
      </c>
      <c r="CM157" s="124" t="str">
        <f>IF($B157="","",IFERROR(-AZ157,"n.b."))</f>
        <v/>
      </c>
      <c r="CN157" s="124" t="str">
        <f>IF($B157="","",IFERROR(-BA157,"n.b."))</f>
        <v/>
      </c>
      <c r="CO157" s="124" t="str">
        <f>IF($B157="","",IFERROR(-BB157,"n.b."))</f>
        <v/>
      </c>
      <c r="CP157" s="124" t="str">
        <f>IF($B157="","",IFERROR(-BC157,"n.b."))</f>
        <v/>
      </c>
      <c r="CQ157" s="124" t="str">
        <f>IF($B157="","",IFERROR(-BD157,"n.b."))</f>
        <v/>
      </c>
      <c r="CR157" s="124" t="str">
        <f>IF($B157="","",IFERROR(-BE157,"n.b."))</f>
        <v/>
      </c>
      <c r="CS157" s="124" t="str">
        <f>IF($B157="","",IFERROR(IF(OR(ABS(T157+V157+X157+Z157-AB157)&gt;P_Tol,ABS(U157+W157+Y157+AA157-AD157)&gt;P_Tol,ABS(AE157+AG157+AI157+AK157-AM157)&gt;P_Tol,ABS(AF157+AH157+AJ157+AL157-AO157)&gt;P_Tol),1,0),1))</f>
        <v/>
      </c>
      <c r="CT157" s="124" t="str">
        <f>IF($B157="","",IFERROR(IF(OR(ABS(AB157+AC157-AD157)&gt;P_Tol,ABS(AM157+AN157-AO157)&gt;P_Tol,ABS(O157+P157-Q157)&gt;P_Tol),1,0),1))</f>
        <v/>
      </c>
      <c r="CU157" s="124" t="str">
        <f>IF($B157="","",IFERROR(IF(ABS(R157-(AB157+AM157+AP157+AR157+AT157+AV157+AX157+AZ157+BB157+BD157))&gt;P_Tol,1,0),1))</f>
        <v/>
      </c>
      <c r="CV157" s="124" t="str">
        <f>IF($B157="","",IFERROR(IF(ABS(M157-(N157+O157+R157))&gt;P_Tol,1,0),1))</f>
        <v/>
      </c>
      <c r="CW157" s="124" t="str">
        <f>IF($B157="","",IF(COUNTIF(Mapping!$A$5:$A$104,B157)&gt;0,1,0))</f>
        <v/>
      </c>
      <c r="CX157" s="124" t="str">
        <f>IF($B157="","",COUNTIF($B$6:$B$505,B157))</f>
        <v/>
      </c>
      <c r="CY157" s="124" t="str">
        <f>IF($B157="","",COUNTIF(STG_Woningetalage!$B$6:$B$505,B157))</f>
        <v/>
      </c>
      <c r="CZ157" s="124" t="str">
        <f>IF($B157="","",IF(CW157=0,COUNTIF($CW$6:CW157,0),""))</f>
        <v/>
      </c>
    </row>
    <row r="158">
      <c r="A158" s="15" t="n">
        <v>154</v>
      </c>
      <c r="B158" t="str">
        <f>IF(B$3=0,"",IF(INDEX(SRC_ZPMW03!$A$1:$ZZ$501,$A158,B$3)&amp;""="","",INDEX(SRC_ZPMW03!$A$1:$ZZ$501,$A158,B$3)&amp;""))</f>
        <v/>
      </c>
      <c r="C158" t="str">
        <f>IF($B158="","",IF(C$3=0,"n.b.",INDEX(SRC_ZPMW03!$A$1:$ZZ$501,$A158,C$3)))</f>
        <v/>
      </c>
      <c r="D158" t="str">
        <f>IF($B158="","",IF(D$3=0,"n.b.",INDEX(SRC_ZPMW03!$A$1:$ZZ$501,$A158,D$3)))</f>
        <v/>
      </c>
      <c r="E158" t="str">
        <f>IF($B158="","",IF(E$3=0,"n.b.",INDEX(SRC_ZPMW03!$A$1:$ZZ$501,$A158,E$3)))</f>
        <v/>
      </c>
      <c r="F158" t="str">
        <f>IF($B158="","",IF(F$3=0,"n.b.",INDEX(SRC_ZPMW03!$A$1:$ZZ$501,$A158,F$3)))</f>
        <v/>
      </c>
      <c r="G158" t="str">
        <f>IF($B158="","",IF(G$3=0,"n.b.",INDEX(SRC_ZPMW03!$A$1:$ZZ$501,$A158,G$3)))</f>
        <v/>
      </c>
      <c r="H158" t="str">
        <f>IF($B158="","",IF(H$3=0,"n.b.",INDEX(SRC_ZPMW03!$A$1:$ZZ$501,$A158,H$3)))</f>
        <v/>
      </c>
      <c r="I158" t="str">
        <f>IF($B158="","",IF(I$3=0,"n.b.",INDEX(SRC_ZPMW03!$A$1:$ZZ$501,$A158,I$3)))</f>
        <v/>
      </c>
      <c r="J158" t="str">
        <f>IF($B158="","",IF(J$3=0,"n.b.",INDEX(SRC_ZPMW03!$A$1:$ZZ$501,$A158,J$3)))</f>
        <v/>
      </c>
      <c r="K158" t="str">
        <f>IF($B158="","",IF(K$3=0,"n.b.",INDEX(SRC_ZPMW03!$A$1:$ZZ$501,$A158,K$3)))</f>
        <v/>
      </c>
      <c r="L158" s="124" t="str">
        <f>IF($B158="","",IF(L$3=0,"n.b.",INDEX(SRC_ZPMW03!$A$1:$ZZ$501,$A158,L$3)))</f>
        <v/>
      </c>
      <c r="M158" s="124" t="str">
        <f>IF($B158="","",IF(M$3=0,"n.b.",INDEX(SRC_ZPMW03!$A$1:$ZZ$501,$A158,M$3)))</f>
        <v/>
      </c>
      <c r="N158" s="124" t="str">
        <f>IF($B158="","",IF(N$3=0,"n.b.",INDEX(SRC_ZPMW03!$A$1:$ZZ$501,$A158,N$3)))</f>
        <v/>
      </c>
      <c r="O158" s="124" t="str">
        <f>IF($B158="","",IF(O$3=0,"n.b.",INDEX(SRC_ZPMW03!$A$1:$ZZ$501,$A158,O$3)))</f>
        <v/>
      </c>
      <c r="P158" s="124" t="str">
        <f>IF($B158="","",IF(P$3=0,"n.b.",INDEX(SRC_ZPMW03!$A$1:$ZZ$501,$A158,P$3)))</f>
        <v/>
      </c>
      <c r="Q158" s="124" t="str">
        <f>IF($B158="","",IF(Q$3=0,"n.b.",INDEX(SRC_ZPMW03!$A$1:$ZZ$501,$A158,Q$3)))</f>
        <v/>
      </c>
      <c r="R158" s="124" t="str">
        <f>IF($B158="","",IF(R$3=0,"n.b.",INDEX(SRC_ZPMW03!$A$1:$ZZ$501,$A158,R$3)))</f>
        <v/>
      </c>
      <c r="S158" s="124" t="str">
        <f>IF($B158="","",IF(S$3=0,"n.b.",INDEX(SRC_ZPMW03!$A$1:$ZZ$501,$A158,S$3)))</f>
        <v/>
      </c>
      <c r="T158" s="124" t="str">
        <f>IF($B158="","",IF(T$3=0,"n.b.",INDEX(SRC_ZPMW03!$A$1:$ZZ$501,$A158,T$3)))</f>
        <v/>
      </c>
      <c r="U158" s="124" t="str">
        <f>IF($B158="","",IF(U$3=0,"n.b.",INDEX(SRC_ZPMW03!$A$1:$ZZ$501,$A158,U$3)))</f>
        <v/>
      </c>
      <c r="V158" s="124" t="str">
        <f>IF($B158="","",IF(V$3=0,"n.b.",INDEX(SRC_ZPMW03!$A$1:$ZZ$501,$A158,V$3)))</f>
        <v/>
      </c>
      <c r="W158" s="124" t="str">
        <f>IF($B158="","",IF(W$3=0,"n.b.",INDEX(SRC_ZPMW03!$A$1:$ZZ$501,$A158,W$3)))</f>
        <v/>
      </c>
      <c r="X158" s="124" t="str">
        <f>IF($B158="","",IF(X$3=0,"n.b.",INDEX(SRC_ZPMW03!$A$1:$ZZ$501,$A158,X$3)))</f>
        <v/>
      </c>
      <c r="Y158" s="124" t="str">
        <f>IF($B158="","",IF(Y$3=0,"n.b.",INDEX(SRC_ZPMW03!$A$1:$ZZ$501,$A158,Y$3)))</f>
        <v/>
      </c>
      <c r="Z158" s="124" t="str">
        <f>IF($B158="","",IF(Z$3=0,"n.b.",INDEX(SRC_ZPMW03!$A$1:$ZZ$501,$A158,Z$3)))</f>
        <v/>
      </c>
      <c r="AA158" s="124" t="str">
        <f>IF($B158="","",IF(AA$3=0,"n.b.",INDEX(SRC_ZPMW03!$A$1:$ZZ$501,$A158,AA$3)))</f>
        <v/>
      </c>
      <c r="AB158" s="124" t="str">
        <f>IF($B158="","",IF(AB$3=0,"n.b.",INDEX(SRC_ZPMW03!$A$1:$ZZ$501,$A158,AB$3)))</f>
        <v/>
      </c>
      <c r="AC158" s="124" t="str">
        <f>IF($B158="","",IF(AC$3=0,"n.b.",INDEX(SRC_ZPMW03!$A$1:$ZZ$501,$A158,AC$3)))</f>
        <v/>
      </c>
      <c r="AD158" s="124" t="str">
        <f>IF($B158="","",IF(AD$3=0,"n.b.",INDEX(SRC_ZPMW03!$A$1:$ZZ$501,$A158,AD$3)))</f>
        <v/>
      </c>
      <c r="AE158" s="124" t="str">
        <f>IF($B158="","",IF(AE$3=0,"n.b.",INDEX(SRC_ZPMW03!$A$1:$ZZ$501,$A158,AE$3)))</f>
        <v/>
      </c>
      <c r="AF158" s="124" t="str">
        <f>IF($B158="","",IF(AF$3=0,"n.b.",INDEX(SRC_ZPMW03!$A$1:$ZZ$501,$A158,AF$3)))</f>
        <v/>
      </c>
      <c r="AG158" s="124" t="str">
        <f>IF($B158="","",IF(AG$3=0,"n.b.",INDEX(SRC_ZPMW03!$A$1:$ZZ$501,$A158,AG$3)))</f>
        <v/>
      </c>
      <c r="AH158" s="124" t="str">
        <f>IF($B158="","",IF(AH$3=0,"n.b.",INDEX(SRC_ZPMW03!$A$1:$ZZ$501,$A158,AH$3)))</f>
        <v/>
      </c>
      <c r="AI158" s="124" t="str">
        <f>IF($B158="","",IF(AI$3=0,"n.b.",INDEX(SRC_ZPMW03!$A$1:$ZZ$501,$A158,AI$3)))</f>
        <v/>
      </c>
      <c r="AJ158" s="124" t="str">
        <f>IF($B158="","",IF(AJ$3=0,"n.b.",INDEX(SRC_ZPMW03!$A$1:$ZZ$501,$A158,AJ$3)))</f>
        <v/>
      </c>
      <c r="AK158" s="124" t="str">
        <f>IF($B158="","",IF(AK$3=0,"n.b.",INDEX(SRC_ZPMW03!$A$1:$ZZ$501,$A158,AK$3)))</f>
        <v/>
      </c>
      <c r="AL158" s="124" t="str">
        <f>IF($B158="","",IF(AL$3=0,"n.b.",INDEX(SRC_ZPMW03!$A$1:$ZZ$501,$A158,AL$3)))</f>
        <v/>
      </c>
      <c r="AM158" s="124" t="str">
        <f>IF($B158="","",IF(AM$3=0,"n.b.",INDEX(SRC_ZPMW03!$A$1:$ZZ$501,$A158,AM$3)))</f>
        <v/>
      </c>
      <c r="AN158" s="124" t="str">
        <f>IF($B158="","",IF(AN$3=0,"n.b.",INDEX(SRC_ZPMW03!$A$1:$ZZ$501,$A158,AN$3)))</f>
        <v/>
      </c>
      <c r="AO158" s="124" t="str">
        <f>IF($B158="","",IF(AO$3=0,"n.b.",INDEX(SRC_ZPMW03!$A$1:$ZZ$501,$A158,AO$3)))</f>
        <v/>
      </c>
      <c r="AP158" s="124" t="str">
        <f>IF($B158="","",IF(AP$3=0,"n.b.",INDEX(SRC_ZPMW03!$A$1:$ZZ$501,$A158,AP$3)))</f>
        <v/>
      </c>
      <c r="AQ158" s="124" t="str">
        <f>IF($B158="","",IF(AQ$3=0,"n.b.",INDEX(SRC_ZPMW03!$A$1:$ZZ$501,$A158,AQ$3)))</f>
        <v/>
      </c>
      <c r="AR158" s="124" t="str">
        <f>IF($B158="","",IF(AR$3=0,"n.b.",INDEX(SRC_ZPMW03!$A$1:$ZZ$501,$A158,AR$3)))</f>
        <v/>
      </c>
      <c r="AS158" s="124" t="str">
        <f>IF($B158="","",IF(AS$3=0,"n.b.",INDEX(SRC_ZPMW03!$A$1:$ZZ$501,$A158,AS$3)))</f>
        <v/>
      </c>
      <c r="AT158" s="124" t="str">
        <f>IF($B158="","",IF(AT$3=0,"n.b.",INDEX(SRC_ZPMW03!$A$1:$ZZ$501,$A158,AT$3)))</f>
        <v/>
      </c>
      <c r="AU158" s="124" t="str">
        <f>IF($B158="","",IF(AU$3=0,"n.b.",INDEX(SRC_ZPMW03!$A$1:$ZZ$501,$A158,AU$3)))</f>
        <v/>
      </c>
      <c r="AV158" s="124" t="str">
        <f>IF($B158="","",IF(AV$3=0,"n.b.",INDEX(SRC_ZPMW03!$A$1:$ZZ$501,$A158,AV$3)))</f>
        <v/>
      </c>
      <c r="AW158" s="124" t="str">
        <f>IF($B158="","",IF(AW$3=0,"n.b.",INDEX(SRC_ZPMW03!$A$1:$ZZ$501,$A158,AW$3)))</f>
        <v/>
      </c>
      <c r="AX158" s="124" t="str">
        <f>IF($B158="","",IF(AX$3=0,"n.b.",INDEX(SRC_ZPMW03!$A$1:$ZZ$501,$A158,AX$3)))</f>
        <v/>
      </c>
      <c r="AY158" s="124" t="str">
        <f>IF($B158="","",IF(AY$3=0,"n.b.",INDEX(SRC_ZPMW03!$A$1:$ZZ$501,$A158,AY$3)))</f>
        <v/>
      </c>
      <c r="AZ158" s="124" t="str">
        <f>IF($B158="","",IF(AZ$3=0,"n.b.",INDEX(SRC_ZPMW03!$A$1:$ZZ$501,$A158,AZ$3)))</f>
        <v/>
      </c>
      <c r="BA158" s="124" t="str">
        <f>IF($B158="","",IF(BA$3=0,"n.b.",INDEX(SRC_ZPMW03!$A$1:$ZZ$501,$A158,BA$3)))</f>
        <v/>
      </c>
      <c r="BB158" s="124" t="str">
        <f>IF($B158="","",IF(BB$3=0,"n.b.",INDEX(SRC_ZPMW03!$A$1:$ZZ$501,$A158,BB$3)))</f>
        <v/>
      </c>
      <c r="BC158" s="124" t="str">
        <f>IF($B158="","",IF(BC$3=0,"n.b.",INDEX(SRC_ZPMW03!$A$1:$ZZ$501,$A158,BC$3)))</f>
        <v/>
      </c>
      <c r="BD158" s="124" t="str">
        <f>IF($B158="","",IF(BD$3=0,"n.b.",INDEX(SRC_ZPMW03!$A$1:$ZZ$501,$A158,BD$3)))</f>
        <v/>
      </c>
      <c r="BE158" s="124" t="str">
        <f>IF($B158="","",IF(BE$3=0,"n.b.",INDEX(SRC_ZPMW03!$A$1:$ZZ$501,$A158,BE$3)))</f>
        <v/>
      </c>
      <c r="BF158" s="124" t="str">
        <f>IF($B158="","",IF(BF$3=0,"n.b.",INDEX(SRC_ZPMW03!$A$1:$ZZ$501,$A158,BF$3)))</f>
        <v/>
      </c>
      <c r="BG158" t="str">
        <f>IF($B158="","",IF(BG$3=0,"n.b.",INDEX(SRC_ZPMW03!$A$1:$ZZ$501,$A158,BG$3)))</f>
        <v/>
      </c>
      <c r="BH158" t="str">
        <f>IF($B158="","",IF(BH$3=0,"n.b.",INDEX(SRC_ZPMW03!$A$1:$ZZ$501,$A158,BH$3)))</f>
        <v/>
      </c>
      <c r="BI158" t="str">
        <f>IF($B158="","",IF(BI$3=0,"n.b.",INDEX(SRC_ZPMW03!$A$1:$ZZ$501,$A158,BI$3)))</f>
        <v/>
      </c>
      <c r="BJ158" t="str">
        <f>IF($B158="","",IF(BJ$3=0,"n.b.",INDEX(SRC_ZPMW03!$A$1:$ZZ$501,$A158,BJ$3)))</f>
        <v/>
      </c>
      <c r="BK158" s="124" t="str">
        <f>IF($B158="","",IFERROR(-O158,"n.b."))</f>
        <v/>
      </c>
      <c r="BL158" s="124" t="str">
        <f>IF($B158="","",IFERROR(-Q158,"n.b."))</f>
        <v/>
      </c>
      <c r="BM158" s="124" t="str">
        <f>IF($B158="","",IFERROR(-AB158,"n.b."))</f>
        <v/>
      </c>
      <c r="BN158" s="124" t="str">
        <f>IF($B158="","",IFERROR(-AD158,"n.b."))</f>
        <v/>
      </c>
      <c r="BO158" s="124" t="str">
        <f>IF($B158="","",IFERROR(BK158+BM158,"n.b."))</f>
        <v/>
      </c>
      <c r="BP158" s="124" t="str">
        <f>IF($B158="","",IFERROR(BL158+BN158,"n.b."))</f>
        <v/>
      </c>
      <c r="BQ158" s="124" t="str">
        <f>IF($B158="","",IFERROR(-AM158,"n.b."))</f>
        <v/>
      </c>
      <c r="BR158" s="124" t="str">
        <f>IF($B158="","",IFERROR(-AO158,"n.b."))</f>
        <v/>
      </c>
      <c r="BS158" s="124" t="str">
        <f>IF($B158="","",IFERROR(-Z158,"n.b."))</f>
        <v/>
      </c>
      <c r="BT158" s="124" t="str">
        <f>IF($B158="","",IFERROR(-AA158,"n.b."))</f>
        <v/>
      </c>
      <c r="BU158" s="124" t="str">
        <f>IF($B158="","",IFERROR(-AE158,"n.b."))</f>
        <v/>
      </c>
      <c r="BV158" s="124" t="str">
        <f>IF($B158="","",IFERROR(-AF158,"n.b."))</f>
        <v/>
      </c>
      <c r="BW158" s="124" t="str">
        <f>IF($B158="","",IFERROR(-AG158,"n.b."))</f>
        <v/>
      </c>
      <c r="BX158" s="124" t="str">
        <f>IF($B158="","",IFERROR(-AH158,"n.b."))</f>
        <v/>
      </c>
      <c r="BY158" s="124" t="str">
        <f>IF($B158="","",IFERROR(-AI158,"n.b."))</f>
        <v/>
      </c>
      <c r="BZ158" s="124" t="str">
        <f>IF($B158="","",IFERROR(-AJ158,"n.b."))</f>
        <v/>
      </c>
      <c r="CA158" s="124" t="str">
        <f>IF($B158="","",IFERROR(-AK158,"n.b."))</f>
        <v/>
      </c>
      <c r="CB158" s="124" t="str">
        <f>IF($B158="","",IFERROR(-AL158,"n.b."))</f>
        <v/>
      </c>
      <c r="CC158" s="124" t="str">
        <f>IF($B158="","",IFERROR(-AP158,"n.b."))</f>
        <v/>
      </c>
      <c r="CD158" s="124" t="str">
        <f>IF($B158="","",IFERROR(-AQ158,"n.b."))</f>
        <v/>
      </c>
      <c r="CE158" s="124" t="str">
        <f>IF($B158="","",IFERROR(-AR158,"n.b."))</f>
        <v/>
      </c>
      <c r="CF158" s="124" t="str">
        <f>IF($B158="","",IFERROR(-AS158,"n.b."))</f>
        <v/>
      </c>
      <c r="CG158" s="124" t="str">
        <f>IF($B158="","",IFERROR(-AT158,"n.b."))</f>
        <v/>
      </c>
      <c r="CH158" s="124" t="str">
        <f>IF($B158="","",IFERROR(-AU158,"n.b."))</f>
        <v/>
      </c>
      <c r="CI158" s="124" t="str">
        <f>IF($B158="","",IFERROR(-AV158,"n.b."))</f>
        <v/>
      </c>
      <c r="CJ158" s="124" t="str">
        <f>IF($B158="","",IFERROR(-AW158,"n.b."))</f>
        <v/>
      </c>
      <c r="CK158" s="124" t="str">
        <f>IF($B158="","",IFERROR(-AX158,"n.b."))</f>
        <v/>
      </c>
      <c r="CL158" s="124" t="str">
        <f>IF($B158="","",IFERROR(-AY158,"n.b."))</f>
        <v/>
      </c>
      <c r="CM158" s="124" t="str">
        <f>IF($B158="","",IFERROR(-AZ158,"n.b."))</f>
        <v/>
      </c>
      <c r="CN158" s="124" t="str">
        <f>IF($B158="","",IFERROR(-BA158,"n.b."))</f>
        <v/>
      </c>
      <c r="CO158" s="124" t="str">
        <f>IF($B158="","",IFERROR(-BB158,"n.b."))</f>
        <v/>
      </c>
      <c r="CP158" s="124" t="str">
        <f>IF($B158="","",IFERROR(-BC158,"n.b."))</f>
        <v/>
      </c>
      <c r="CQ158" s="124" t="str">
        <f>IF($B158="","",IFERROR(-BD158,"n.b."))</f>
        <v/>
      </c>
      <c r="CR158" s="124" t="str">
        <f>IF($B158="","",IFERROR(-BE158,"n.b."))</f>
        <v/>
      </c>
      <c r="CS158" s="124" t="str">
        <f>IF($B158="","",IFERROR(IF(OR(ABS(T158+V158+X158+Z158-AB158)&gt;P_Tol,ABS(U158+W158+Y158+AA158-AD158)&gt;P_Tol,ABS(AE158+AG158+AI158+AK158-AM158)&gt;P_Tol,ABS(AF158+AH158+AJ158+AL158-AO158)&gt;P_Tol),1,0),1))</f>
        <v/>
      </c>
      <c r="CT158" s="124" t="str">
        <f>IF($B158="","",IFERROR(IF(OR(ABS(AB158+AC158-AD158)&gt;P_Tol,ABS(AM158+AN158-AO158)&gt;P_Tol,ABS(O158+P158-Q158)&gt;P_Tol),1,0),1))</f>
        <v/>
      </c>
      <c r="CU158" s="124" t="str">
        <f>IF($B158="","",IFERROR(IF(ABS(R158-(AB158+AM158+AP158+AR158+AT158+AV158+AX158+AZ158+BB158+BD158))&gt;P_Tol,1,0),1))</f>
        <v/>
      </c>
      <c r="CV158" s="124" t="str">
        <f>IF($B158="","",IFERROR(IF(ABS(M158-(N158+O158+R158))&gt;P_Tol,1,0),1))</f>
        <v/>
      </c>
      <c r="CW158" s="124" t="str">
        <f>IF($B158="","",IF(COUNTIF(Mapping!$A$5:$A$104,B158)&gt;0,1,0))</f>
        <v/>
      </c>
      <c r="CX158" s="124" t="str">
        <f>IF($B158="","",COUNTIF($B$6:$B$505,B158))</f>
        <v/>
      </c>
      <c r="CY158" s="124" t="str">
        <f>IF($B158="","",COUNTIF(STG_Woningetalage!$B$6:$B$505,B158))</f>
        <v/>
      </c>
      <c r="CZ158" s="124" t="str">
        <f>IF($B158="","",IF(CW158=0,COUNTIF($CW$6:CW158,0),""))</f>
        <v/>
      </c>
    </row>
    <row r="159">
      <c r="A159" s="15" t="n">
        <v>155</v>
      </c>
      <c r="B159" t="str">
        <f>IF(B$3=0,"",IF(INDEX(SRC_ZPMW03!$A$1:$ZZ$501,$A159,B$3)&amp;""="","",INDEX(SRC_ZPMW03!$A$1:$ZZ$501,$A159,B$3)&amp;""))</f>
        <v/>
      </c>
      <c r="C159" t="str">
        <f>IF($B159="","",IF(C$3=0,"n.b.",INDEX(SRC_ZPMW03!$A$1:$ZZ$501,$A159,C$3)))</f>
        <v/>
      </c>
      <c r="D159" t="str">
        <f>IF($B159="","",IF(D$3=0,"n.b.",INDEX(SRC_ZPMW03!$A$1:$ZZ$501,$A159,D$3)))</f>
        <v/>
      </c>
      <c r="E159" t="str">
        <f>IF($B159="","",IF(E$3=0,"n.b.",INDEX(SRC_ZPMW03!$A$1:$ZZ$501,$A159,E$3)))</f>
        <v/>
      </c>
      <c r="F159" t="str">
        <f>IF($B159="","",IF(F$3=0,"n.b.",INDEX(SRC_ZPMW03!$A$1:$ZZ$501,$A159,F$3)))</f>
        <v/>
      </c>
      <c r="G159" t="str">
        <f>IF($B159="","",IF(G$3=0,"n.b.",INDEX(SRC_ZPMW03!$A$1:$ZZ$501,$A159,G$3)))</f>
        <v/>
      </c>
      <c r="H159" t="str">
        <f>IF($B159="","",IF(H$3=0,"n.b.",INDEX(SRC_ZPMW03!$A$1:$ZZ$501,$A159,H$3)))</f>
        <v/>
      </c>
      <c r="I159" t="str">
        <f>IF($B159="","",IF(I$3=0,"n.b.",INDEX(SRC_ZPMW03!$A$1:$ZZ$501,$A159,I$3)))</f>
        <v/>
      </c>
      <c r="J159" t="str">
        <f>IF($B159="","",IF(J$3=0,"n.b.",INDEX(SRC_ZPMW03!$A$1:$ZZ$501,$A159,J$3)))</f>
        <v/>
      </c>
      <c r="K159" t="str">
        <f>IF($B159="","",IF(K$3=0,"n.b.",INDEX(SRC_ZPMW03!$A$1:$ZZ$501,$A159,K$3)))</f>
        <v/>
      </c>
      <c r="L159" s="124" t="str">
        <f>IF($B159="","",IF(L$3=0,"n.b.",INDEX(SRC_ZPMW03!$A$1:$ZZ$501,$A159,L$3)))</f>
        <v/>
      </c>
      <c r="M159" s="124" t="str">
        <f>IF($B159="","",IF(M$3=0,"n.b.",INDEX(SRC_ZPMW03!$A$1:$ZZ$501,$A159,M$3)))</f>
        <v/>
      </c>
      <c r="N159" s="124" t="str">
        <f>IF($B159="","",IF(N$3=0,"n.b.",INDEX(SRC_ZPMW03!$A$1:$ZZ$501,$A159,N$3)))</f>
        <v/>
      </c>
      <c r="O159" s="124" t="str">
        <f>IF($B159="","",IF(O$3=0,"n.b.",INDEX(SRC_ZPMW03!$A$1:$ZZ$501,$A159,O$3)))</f>
        <v/>
      </c>
      <c r="P159" s="124" t="str">
        <f>IF($B159="","",IF(P$3=0,"n.b.",INDEX(SRC_ZPMW03!$A$1:$ZZ$501,$A159,P$3)))</f>
        <v/>
      </c>
      <c r="Q159" s="124" t="str">
        <f>IF($B159="","",IF(Q$3=0,"n.b.",INDEX(SRC_ZPMW03!$A$1:$ZZ$501,$A159,Q$3)))</f>
        <v/>
      </c>
      <c r="R159" s="124" t="str">
        <f>IF($B159="","",IF(R$3=0,"n.b.",INDEX(SRC_ZPMW03!$A$1:$ZZ$501,$A159,R$3)))</f>
        <v/>
      </c>
      <c r="S159" s="124" t="str">
        <f>IF($B159="","",IF(S$3=0,"n.b.",INDEX(SRC_ZPMW03!$A$1:$ZZ$501,$A159,S$3)))</f>
        <v/>
      </c>
      <c r="T159" s="124" t="str">
        <f>IF($B159="","",IF(T$3=0,"n.b.",INDEX(SRC_ZPMW03!$A$1:$ZZ$501,$A159,T$3)))</f>
        <v/>
      </c>
      <c r="U159" s="124" t="str">
        <f>IF($B159="","",IF(U$3=0,"n.b.",INDEX(SRC_ZPMW03!$A$1:$ZZ$501,$A159,U$3)))</f>
        <v/>
      </c>
      <c r="V159" s="124" t="str">
        <f>IF($B159="","",IF(V$3=0,"n.b.",INDEX(SRC_ZPMW03!$A$1:$ZZ$501,$A159,V$3)))</f>
        <v/>
      </c>
      <c r="W159" s="124" t="str">
        <f>IF($B159="","",IF(W$3=0,"n.b.",INDEX(SRC_ZPMW03!$A$1:$ZZ$501,$A159,W$3)))</f>
        <v/>
      </c>
      <c r="X159" s="124" t="str">
        <f>IF($B159="","",IF(X$3=0,"n.b.",INDEX(SRC_ZPMW03!$A$1:$ZZ$501,$A159,X$3)))</f>
        <v/>
      </c>
      <c r="Y159" s="124" t="str">
        <f>IF($B159="","",IF(Y$3=0,"n.b.",INDEX(SRC_ZPMW03!$A$1:$ZZ$501,$A159,Y$3)))</f>
        <v/>
      </c>
      <c r="Z159" s="124" t="str">
        <f>IF($B159="","",IF(Z$3=0,"n.b.",INDEX(SRC_ZPMW03!$A$1:$ZZ$501,$A159,Z$3)))</f>
        <v/>
      </c>
      <c r="AA159" s="124" t="str">
        <f>IF($B159="","",IF(AA$3=0,"n.b.",INDEX(SRC_ZPMW03!$A$1:$ZZ$501,$A159,AA$3)))</f>
        <v/>
      </c>
      <c r="AB159" s="124" t="str">
        <f>IF($B159="","",IF(AB$3=0,"n.b.",INDEX(SRC_ZPMW03!$A$1:$ZZ$501,$A159,AB$3)))</f>
        <v/>
      </c>
      <c r="AC159" s="124" t="str">
        <f>IF($B159="","",IF(AC$3=0,"n.b.",INDEX(SRC_ZPMW03!$A$1:$ZZ$501,$A159,AC$3)))</f>
        <v/>
      </c>
      <c r="AD159" s="124" t="str">
        <f>IF($B159="","",IF(AD$3=0,"n.b.",INDEX(SRC_ZPMW03!$A$1:$ZZ$501,$A159,AD$3)))</f>
        <v/>
      </c>
      <c r="AE159" s="124" t="str">
        <f>IF($B159="","",IF(AE$3=0,"n.b.",INDEX(SRC_ZPMW03!$A$1:$ZZ$501,$A159,AE$3)))</f>
        <v/>
      </c>
      <c r="AF159" s="124" t="str">
        <f>IF($B159="","",IF(AF$3=0,"n.b.",INDEX(SRC_ZPMW03!$A$1:$ZZ$501,$A159,AF$3)))</f>
        <v/>
      </c>
      <c r="AG159" s="124" t="str">
        <f>IF($B159="","",IF(AG$3=0,"n.b.",INDEX(SRC_ZPMW03!$A$1:$ZZ$501,$A159,AG$3)))</f>
        <v/>
      </c>
      <c r="AH159" s="124" t="str">
        <f>IF($B159="","",IF(AH$3=0,"n.b.",INDEX(SRC_ZPMW03!$A$1:$ZZ$501,$A159,AH$3)))</f>
        <v/>
      </c>
      <c r="AI159" s="124" t="str">
        <f>IF($B159="","",IF(AI$3=0,"n.b.",INDEX(SRC_ZPMW03!$A$1:$ZZ$501,$A159,AI$3)))</f>
        <v/>
      </c>
      <c r="AJ159" s="124" t="str">
        <f>IF($B159="","",IF(AJ$3=0,"n.b.",INDEX(SRC_ZPMW03!$A$1:$ZZ$501,$A159,AJ$3)))</f>
        <v/>
      </c>
      <c r="AK159" s="124" t="str">
        <f>IF($B159="","",IF(AK$3=0,"n.b.",INDEX(SRC_ZPMW03!$A$1:$ZZ$501,$A159,AK$3)))</f>
        <v/>
      </c>
      <c r="AL159" s="124" t="str">
        <f>IF($B159="","",IF(AL$3=0,"n.b.",INDEX(SRC_ZPMW03!$A$1:$ZZ$501,$A159,AL$3)))</f>
        <v/>
      </c>
      <c r="AM159" s="124" t="str">
        <f>IF($B159="","",IF(AM$3=0,"n.b.",INDEX(SRC_ZPMW03!$A$1:$ZZ$501,$A159,AM$3)))</f>
        <v/>
      </c>
      <c r="AN159" s="124" t="str">
        <f>IF($B159="","",IF(AN$3=0,"n.b.",INDEX(SRC_ZPMW03!$A$1:$ZZ$501,$A159,AN$3)))</f>
        <v/>
      </c>
      <c r="AO159" s="124" t="str">
        <f>IF($B159="","",IF(AO$3=0,"n.b.",INDEX(SRC_ZPMW03!$A$1:$ZZ$501,$A159,AO$3)))</f>
        <v/>
      </c>
      <c r="AP159" s="124" t="str">
        <f>IF($B159="","",IF(AP$3=0,"n.b.",INDEX(SRC_ZPMW03!$A$1:$ZZ$501,$A159,AP$3)))</f>
        <v/>
      </c>
      <c r="AQ159" s="124" t="str">
        <f>IF($B159="","",IF(AQ$3=0,"n.b.",INDEX(SRC_ZPMW03!$A$1:$ZZ$501,$A159,AQ$3)))</f>
        <v/>
      </c>
      <c r="AR159" s="124" t="str">
        <f>IF($B159="","",IF(AR$3=0,"n.b.",INDEX(SRC_ZPMW03!$A$1:$ZZ$501,$A159,AR$3)))</f>
        <v/>
      </c>
      <c r="AS159" s="124" t="str">
        <f>IF($B159="","",IF(AS$3=0,"n.b.",INDEX(SRC_ZPMW03!$A$1:$ZZ$501,$A159,AS$3)))</f>
        <v/>
      </c>
      <c r="AT159" s="124" t="str">
        <f>IF($B159="","",IF(AT$3=0,"n.b.",INDEX(SRC_ZPMW03!$A$1:$ZZ$501,$A159,AT$3)))</f>
        <v/>
      </c>
      <c r="AU159" s="124" t="str">
        <f>IF($B159="","",IF(AU$3=0,"n.b.",INDEX(SRC_ZPMW03!$A$1:$ZZ$501,$A159,AU$3)))</f>
        <v/>
      </c>
      <c r="AV159" s="124" t="str">
        <f>IF($B159="","",IF(AV$3=0,"n.b.",INDEX(SRC_ZPMW03!$A$1:$ZZ$501,$A159,AV$3)))</f>
        <v/>
      </c>
      <c r="AW159" s="124" t="str">
        <f>IF($B159="","",IF(AW$3=0,"n.b.",INDEX(SRC_ZPMW03!$A$1:$ZZ$501,$A159,AW$3)))</f>
        <v/>
      </c>
      <c r="AX159" s="124" t="str">
        <f>IF($B159="","",IF(AX$3=0,"n.b.",INDEX(SRC_ZPMW03!$A$1:$ZZ$501,$A159,AX$3)))</f>
        <v/>
      </c>
      <c r="AY159" s="124" t="str">
        <f>IF($B159="","",IF(AY$3=0,"n.b.",INDEX(SRC_ZPMW03!$A$1:$ZZ$501,$A159,AY$3)))</f>
        <v/>
      </c>
      <c r="AZ159" s="124" t="str">
        <f>IF($B159="","",IF(AZ$3=0,"n.b.",INDEX(SRC_ZPMW03!$A$1:$ZZ$501,$A159,AZ$3)))</f>
        <v/>
      </c>
      <c r="BA159" s="124" t="str">
        <f>IF($B159="","",IF(BA$3=0,"n.b.",INDEX(SRC_ZPMW03!$A$1:$ZZ$501,$A159,BA$3)))</f>
        <v/>
      </c>
      <c r="BB159" s="124" t="str">
        <f>IF($B159="","",IF(BB$3=0,"n.b.",INDEX(SRC_ZPMW03!$A$1:$ZZ$501,$A159,BB$3)))</f>
        <v/>
      </c>
      <c r="BC159" s="124" t="str">
        <f>IF($B159="","",IF(BC$3=0,"n.b.",INDEX(SRC_ZPMW03!$A$1:$ZZ$501,$A159,BC$3)))</f>
        <v/>
      </c>
      <c r="BD159" s="124" t="str">
        <f>IF($B159="","",IF(BD$3=0,"n.b.",INDEX(SRC_ZPMW03!$A$1:$ZZ$501,$A159,BD$3)))</f>
        <v/>
      </c>
      <c r="BE159" s="124" t="str">
        <f>IF($B159="","",IF(BE$3=0,"n.b.",INDEX(SRC_ZPMW03!$A$1:$ZZ$501,$A159,BE$3)))</f>
        <v/>
      </c>
      <c r="BF159" s="124" t="str">
        <f>IF($B159="","",IF(BF$3=0,"n.b.",INDEX(SRC_ZPMW03!$A$1:$ZZ$501,$A159,BF$3)))</f>
        <v/>
      </c>
      <c r="BG159" t="str">
        <f>IF($B159="","",IF(BG$3=0,"n.b.",INDEX(SRC_ZPMW03!$A$1:$ZZ$501,$A159,BG$3)))</f>
        <v/>
      </c>
      <c r="BH159" t="str">
        <f>IF($B159="","",IF(BH$3=0,"n.b.",INDEX(SRC_ZPMW03!$A$1:$ZZ$501,$A159,BH$3)))</f>
        <v/>
      </c>
      <c r="BI159" t="str">
        <f>IF($B159="","",IF(BI$3=0,"n.b.",INDEX(SRC_ZPMW03!$A$1:$ZZ$501,$A159,BI$3)))</f>
        <v/>
      </c>
      <c r="BJ159" t="str">
        <f>IF($B159="","",IF(BJ$3=0,"n.b.",INDEX(SRC_ZPMW03!$A$1:$ZZ$501,$A159,BJ$3)))</f>
        <v/>
      </c>
      <c r="BK159" s="124" t="str">
        <f>IF($B159="","",IFERROR(-O159,"n.b."))</f>
        <v/>
      </c>
      <c r="BL159" s="124" t="str">
        <f>IF($B159="","",IFERROR(-Q159,"n.b."))</f>
        <v/>
      </c>
      <c r="BM159" s="124" t="str">
        <f>IF($B159="","",IFERROR(-AB159,"n.b."))</f>
        <v/>
      </c>
      <c r="BN159" s="124" t="str">
        <f>IF($B159="","",IFERROR(-AD159,"n.b."))</f>
        <v/>
      </c>
      <c r="BO159" s="124" t="str">
        <f>IF($B159="","",IFERROR(BK159+BM159,"n.b."))</f>
        <v/>
      </c>
      <c r="BP159" s="124" t="str">
        <f>IF($B159="","",IFERROR(BL159+BN159,"n.b."))</f>
        <v/>
      </c>
      <c r="BQ159" s="124" t="str">
        <f>IF($B159="","",IFERROR(-AM159,"n.b."))</f>
        <v/>
      </c>
      <c r="BR159" s="124" t="str">
        <f>IF($B159="","",IFERROR(-AO159,"n.b."))</f>
        <v/>
      </c>
      <c r="BS159" s="124" t="str">
        <f>IF($B159="","",IFERROR(-Z159,"n.b."))</f>
        <v/>
      </c>
      <c r="BT159" s="124" t="str">
        <f>IF($B159="","",IFERROR(-AA159,"n.b."))</f>
        <v/>
      </c>
      <c r="BU159" s="124" t="str">
        <f>IF($B159="","",IFERROR(-AE159,"n.b."))</f>
        <v/>
      </c>
      <c r="BV159" s="124" t="str">
        <f>IF($B159="","",IFERROR(-AF159,"n.b."))</f>
        <v/>
      </c>
      <c r="BW159" s="124" t="str">
        <f>IF($B159="","",IFERROR(-AG159,"n.b."))</f>
        <v/>
      </c>
      <c r="BX159" s="124" t="str">
        <f>IF($B159="","",IFERROR(-AH159,"n.b."))</f>
        <v/>
      </c>
      <c r="BY159" s="124" t="str">
        <f>IF($B159="","",IFERROR(-AI159,"n.b."))</f>
        <v/>
      </c>
      <c r="BZ159" s="124" t="str">
        <f>IF($B159="","",IFERROR(-AJ159,"n.b."))</f>
        <v/>
      </c>
      <c r="CA159" s="124" t="str">
        <f>IF($B159="","",IFERROR(-AK159,"n.b."))</f>
        <v/>
      </c>
      <c r="CB159" s="124" t="str">
        <f>IF($B159="","",IFERROR(-AL159,"n.b."))</f>
        <v/>
      </c>
      <c r="CC159" s="124" t="str">
        <f>IF($B159="","",IFERROR(-AP159,"n.b."))</f>
        <v/>
      </c>
      <c r="CD159" s="124" t="str">
        <f>IF($B159="","",IFERROR(-AQ159,"n.b."))</f>
        <v/>
      </c>
      <c r="CE159" s="124" t="str">
        <f>IF($B159="","",IFERROR(-AR159,"n.b."))</f>
        <v/>
      </c>
      <c r="CF159" s="124" t="str">
        <f>IF($B159="","",IFERROR(-AS159,"n.b."))</f>
        <v/>
      </c>
      <c r="CG159" s="124" t="str">
        <f>IF($B159="","",IFERROR(-AT159,"n.b."))</f>
        <v/>
      </c>
      <c r="CH159" s="124" t="str">
        <f>IF($B159="","",IFERROR(-AU159,"n.b."))</f>
        <v/>
      </c>
      <c r="CI159" s="124" t="str">
        <f>IF($B159="","",IFERROR(-AV159,"n.b."))</f>
        <v/>
      </c>
      <c r="CJ159" s="124" t="str">
        <f>IF($B159="","",IFERROR(-AW159,"n.b."))</f>
        <v/>
      </c>
      <c r="CK159" s="124" t="str">
        <f>IF($B159="","",IFERROR(-AX159,"n.b."))</f>
        <v/>
      </c>
      <c r="CL159" s="124" t="str">
        <f>IF($B159="","",IFERROR(-AY159,"n.b."))</f>
        <v/>
      </c>
      <c r="CM159" s="124" t="str">
        <f>IF($B159="","",IFERROR(-AZ159,"n.b."))</f>
        <v/>
      </c>
      <c r="CN159" s="124" t="str">
        <f>IF($B159="","",IFERROR(-BA159,"n.b."))</f>
        <v/>
      </c>
      <c r="CO159" s="124" t="str">
        <f>IF($B159="","",IFERROR(-BB159,"n.b."))</f>
        <v/>
      </c>
      <c r="CP159" s="124" t="str">
        <f>IF($B159="","",IFERROR(-BC159,"n.b."))</f>
        <v/>
      </c>
      <c r="CQ159" s="124" t="str">
        <f>IF($B159="","",IFERROR(-BD159,"n.b."))</f>
        <v/>
      </c>
      <c r="CR159" s="124" t="str">
        <f>IF($B159="","",IFERROR(-BE159,"n.b."))</f>
        <v/>
      </c>
      <c r="CS159" s="124" t="str">
        <f>IF($B159="","",IFERROR(IF(OR(ABS(T159+V159+X159+Z159-AB159)&gt;P_Tol,ABS(U159+W159+Y159+AA159-AD159)&gt;P_Tol,ABS(AE159+AG159+AI159+AK159-AM159)&gt;P_Tol,ABS(AF159+AH159+AJ159+AL159-AO159)&gt;P_Tol),1,0),1))</f>
        <v/>
      </c>
      <c r="CT159" s="124" t="str">
        <f>IF($B159="","",IFERROR(IF(OR(ABS(AB159+AC159-AD159)&gt;P_Tol,ABS(AM159+AN159-AO159)&gt;P_Tol,ABS(O159+P159-Q159)&gt;P_Tol),1,0),1))</f>
        <v/>
      </c>
      <c r="CU159" s="124" t="str">
        <f>IF($B159="","",IFERROR(IF(ABS(R159-(AB159+AM159+AP159+AR159+AT159+AV159+AX159+AZ159+BB159+BD159))&gt;P_Tol,1,0),1))</f>
        <v/>
      </c>
      <c r="CV159" s="124" t="str">
        <f>IF($B159="","",IFERROR(IF(ABS(M159-(N159+O159+R159))&gt;P_Tol,1,0),1))</f>
        <v/>
      </c>
      <c r="CW159" s="124" t="str">
        <f>IF($B159="","",IF(COUNTIF(Mapping!$A$5:$A$104,B159)&gt;0,1,0))</f>
        <v/>
      </c>
      <c r="CX159" s="124" t="str">
        <f>IF($B159="","",COUNTIF($B$6:$B$505,B159))</f>
        <v/>
      </c>
      <c r="CY159" s="124" t="str">
        <f>IF($B159="","",COUNTIF(STG_Woningetalage!$B$6:$B$505,B159))</f>
        <v/>
      </c>
      <c r="CZ159" s="124" t="str">
        <f>IF($B159="","",IF(CW159=0,COUNTIF($CW$6:CW159,0),""))</f>
        <v/>
      </c>
    </row>
    <row r="160">
      <c r="A160" s="15" t="n">
        <v>156</v>
      </c>
      <c r="B160" t="str">
        <f>IF(B$3=0,"",IF(INDEX(SRC_ZPMW03!$A$1:$ZZ$501,$A160,B$3)&amp;""="","",INDEX(SRC_ZPMW03!$A$1:$ZZ$501,$A160,B$3)&amp;""))</f>
        <v/>
      </c>
      <c r="C160" t="str">
        <f>IF($B160="","",IF(C$3=0,"n.b.",INDEX(SRC_ZPMW03!$A$1:$ZZ$501,$A160,C$3)))</f>
        <v/>
      </c>
      <c r="D160" t="str">
        <f>IF($B160="","",IF(D$3=0,"n.b.",INDEX(SRC_ZPMW03!$A$1:$ZZ$501,$A160,D$3)))</f>
        <v/>
      </c>
      <c r="E160" t="str">
        <f>IF($B160="","",IF(E$3=0,"n.b.",INDEX(SRC_ZPMW03!$A$1:$ZZ$501,$A160,E$3)))</f>
        <v/>
      </c>
      <c r="F160" t="str">
        <f>IF($B160="","",IF(F$3=0,"n.b.",INDEX(SRC_ZPMW03!$A$1:$ZZ$501,$A160,F$3)))</f>
        <v/>
      </c>
      <c r="G160" t="str">
        <f>IF($B160="","",IF(G$3=0,"n.b.",INDEX(SRC_ZPMW03!$A$1:$ZZ$501,$A160,G$3)))</f>
        <v/>
      </c>
      <c r="H160" t="str">
        <f>IF($B160="","",IF(H$3=0,"n.b.",INDEX(SRC_ZPMW03!$A$1:$ZZ$501,$A160,H$3)))</f>
        <v/>
      </c>
      <c r="I160" t="str">
        <f>IF($B160="","",IF(I$3=0,"n.b.",INDEX(SRC_ZPMW03!$A$1:$ZZ$501,$A160,I$3)))</f>
        <v/>
      </c>
      <c r="J160" t="str">
        <f>IF($B160="","",IF(J$3=0,"n.b.",INDEX(SRC_ZPMW03!$A$1:$ZZ$501,$A160,J$3)))</f>
        <v/>
      </c>
      <c r="K160" t="str">
        <f>IF($B160="","",IF(K$3=0,"n.b.",INDEX(SRC_ZPMW03!$A$1:$ZZ$501,$A160,K$3)))</f>
        <v/>
      </c>
      <c r="L160" s="124" t="str">
        <f>IF($B160="","",IF(L$3=0,"n.b.",INDEX(SRC_ZPMW03!$A$1:$ZZ$501,$A160,L$3)))</f>
        <v/>
      </c>
      <c r="M160" s="124" t="str">
        <f>IF($B160="","",IF(M$3=0,"n.b.",INDEX(SRC_ZPMW03!$A$1:$ZZ$501,$A160,M$3)))</f>
        <v/>
      </c>
      <c r="N160" s="124" t="str">
        <f>IF($B160="","",IF(N$3=0,"n.b.",INDEX(SRC_ZPMW03!$A$1:$ZZ$501,$A160,N$3)))</f>
        <v/>
      </c>
      <c r="O160" s="124" t="str">
        <f>IF($B160="","",IF(O$3=0,"n.b.",INDEX(SRC_ZPMW03!$A$1:$ZZ$501,$A160,O$3)))</f>
        <v/>
      </c>
      <c r="P160" s="124" t="str">
        <f>IF($B160="","",IF(P$3=0,"n.b.",INDEX(SRC_ZPMW03!$A$1:$ZZ$501,$A160,P$3)))</f>
        <v/>
      </c>
      <c r="Q160" s="124" t="str">
        <f>IF($B160="","",IF(Q$3=0,"n.b.",INDEX(SRC_ZPMW03!$A$1:$ZZ$501,$A160,Q$3)))</f>
        <v/>
      </c>
      <c r="R160" s="124" t="str">
        <f>IF($B160="","",IF(R$3=0,"n.b.",INDEX(SRC_ZPMW03!$A$1:$ZZ$501,$A160,R$3)))</f>
        <v/>
      </c>
      <c r="S160" s="124" t="str">
        <f>IF($B160="","",IF(S$3=0,"n.b.",INDEX(SRC_ZPMW03!$A$1:$ZZ$501,$A160,S$3)))</f>
        <v/>
      </c>
      <c r="T160" s="124" t="str">
        <f>IF($B160="","",IF(T$3=0,"n.b.",INDEX(SRC_ZPMW03!$A$1:$ZZ$501,$A160,T$3)))</f>
        <v/>
      </c>
      <c r="U160" s="124" t="str">
        <f>IF($B160="","",IF(U$3=0,"n.b.",INDEX(SRC_ZPMW03!$A$1:$ZZ$501,$A160,U$3)))</f>
        <v/>
      </c>
      <c r="V160" s="124" t="str">
        <f>IF($B160="","",IF(V$3=0,"n.b.",INDEX(SRC_ZPMW03!$A$1:$ZZ$501,$A160,V$3)))</f>
        <v/>
      </c>
      <c r="W160" s="124" t="str">
        <f>IF($B160="","",IF(W$3=0,"n.b.",INDEX(SRC_ZPMW03!$A$1:$ZZ$501,$A160,W$3)))</f>
        <v/>
      </c>
      <c r="X160" s="124" t="str">
        <f>IF($B160="","",IF(X$3=0,"n.b.",INDEX(SRC_ZPMW03!$A$1:$ZZ$501,$A160,X$3)))</f>
        <v/>
      </c>
      <c r="Y160" s="124" t="str">
        <f>IF($B160="","",IF(Y$3=0,"n.b.",INDEX(SRC_ZPMW03!$A$1:$ZZ$501,$A160,Y$3)))</f>
        <v/>
      </c>
      <c r="Z160" s="124" t="str">
        <f>IF($B160="","",IF(Z$3=0,"n.b.",INDEX(SRC_ZPMW03!$A$1:$ZZ$501,$A160,Z$3)))</f>
        <v/>
      </c>
      <c r="AA160" s="124" t="str">
        <f>IF($B160="","",IF(AA$3=0,"n.b.",INDEX(SRC_ZPMW03!$A$1:$ZZ$501,$A160,AA$3)))</f>
        <v/>
      </c>
      <c r="AB160" s="124" t="str">
        <f>IF($B160="","",IF(AB$3=0,"n.b.",INDEX(SRC_ZPMW03!$A$1:$ZZ$501,$A160,AB$3)))</f>
        <v/>
      </c>
      <c r="AC160" s="124" t="str">
        <f>IF($B160="","",IF(AC$3=0,"n.b.",INDEX(SRC_ZPMW03!$A$1:$ZZ$501,$A160,AC$3)))</f>
        <v/>
      </c>
      <c r="AD160" s="124" t="str">
        <f>IF($B160="","",IF(AD$3=0,"n.b.",INDEX(SRC_ZPMW03!$A$1:$ZZ$501,$A160,AD$3)))</f>
        <v/>
      </c>
      <c r="AE160" s="124" t="str">
        <f>IF($B160="","",IF(AE$3=0,"n.b.",INDEX(SRC_ZPMW03!$A$1:$ZZ$501,$A160,AE$3)))</f>
        <v/>
      </c>
      <c r="AF160" s="124" t="str">
        <f>IF($B160="","",IF(AF$3=0,"n.b.",INDEX(SRC_ZPMW03!$A$1:$ZZ$501,$A160,AF$3)))</f>
        <v/>
      </c>
      <c r="AG160" s="124" t="str">
        <f>IF($B160="","",IF(AG$3=0,"n.b.",INDEX(SRC_ZPMW03!$A$1:$ZZ$501,$A160,AG$3)))</f>
        <v/>
      </c>
      <c r="AH160" s="124" t="str">
        <f>IF($B160="","",IF(AH$3=0,"n.b.",INDEX(SRC_ZPMW03!$A$1:$ZZ$501,$A160,AH$3)))</f>
        <v/>
      </c>
      <c r="AI160" s="124" t="str">
        <f>IF($B160="","",IF(AI$3=0,"n.b.",INDEX(SRC_ZPMW03!$A$1:$ZZ$501,$A160,AI$3)))</f>
        <v/>
      </c>
      <c r="AJ160" s="124" t="str">
        <f>IF($B160="","",IF(AJ$3=0,"n.b.",INDEX(SRC_ZPMW03!$A$1:$ZZ$501,$A160,AJ$3)))</f>
        <v/>
      </c>
      <c r="AK160" s="124" t="str">
        <f>IF($B160="","",IF(AK$3=0,"n.b.",INDEX(SRC_ZPMW03!$A$1:$ZZ$501,$A160,AK$3)))</f>
        <v/>
      </c>
      <c r="AL160" s="124" t="str">
        <f>IF($B160="","",IF(AL$3=0,"n.b.",INDEX(SRC_ZPMW03!$A$1:$ZZ$501,$A160,AL$3)))</f>
        <v/>
      </c>
      <c r="AM160" s="124" t="str">
        <f>IF($B160="","",IF(AM$3=0,"n.b.",INDEX(SRC_ZPMW03!$A$1:$ZZ$501,$A160,AM$3)))</f>
        <v/>
      </c>
      <c r="AN160" s="124" t="str">
        <f>IF($B160="","",IF(AN$3=0,"n.b.",INDEX(SRC_ZPMW03!$A$1:$ZZ$501,$A160,AN$3)))</f>
        <v/>
      </c>
      <c r="AO160" s="124" t="str">
        <f>IF($B160="","",IF(AO$3=0,"n.b.",INDEX(SRC_ZPMW03!$A$1:$ZZ$501,$A160,AO$3)))</f>
        <v/>
      </c>
      <c r="AP160" s="124" t="str">
        <f>IF($B160="","",IF(AP$3=0,"n.b.",INDEX(SRC_ZPMW03!$A$1:$ZZ$501,$A160,AP$3)))</f>
        <v/>
      </c>
      <c r="AQ160" s="124" t="str">
        <f>IF($B160="","",IF(AQ$3=0,"n.b.",INDEX(SRC_ZPMW03!$A$1:$ZZ$501,$A160,AQ$3)))</f>
        <v/>
      </c>
      <c r="AR160" s="124" t="str">
        <f>IF($B160="","",IF(AR$3=0,"n.b.",INDEX(SRC_ZPMW03!$A$1:$ZZ$501,$A160,AR$3)))</f>
        <v/>
      </c>
      <c r="AS160" s="124" t="str">
        <f>IF($B160="","",IF(AS$3=0,"n.b.",INDEX(SRC_ZPMW03!$A$1:$ZZ$501,$A160,AS$3)))</f>
        <v/>
      </c>
      <c r="AT160" s="124" t="str">
        <f>IF($B160="","",IF(AT$3=0,"n.b.",INDEX(SRC_ZPMW03!$A$1:$ZZ$501,$A160,AT$3)))</f>
        <v/>
      </c>
      <c r="AU160" s="124" t="str">
        <f>IF($B160="","",IF(AU$3=0,"n.b.",INDEX(SRC_ZPMW03!$A$1:$ZZ$501,$A160,AU$3)))</f>
        <v/>
      </c>
      <c r="AV160" s="124" t="str">
        <f>IF($B160="","",IF(AV$3=0,"n.b.",INDEX(SRC_ZPMW03!$A$1:$ZZ$501,$A160,AV$3)))</f>
        <v/>
      </c>
      <c r="AW160" s="124" t="str">
        <f>IF($B160="","",IF(AW$3=0,"n.b.",INDEX(SRC_ZPMW03!$A$1:$ZZ$501,$A160,AW$3)))</f>
        <v/>
      </c>
      <c r="AX160" s="124" t="str">
        <f>IF($B160="","",IF(AX$3=0,"n.b.",INDEX(SRC_ZPMW03!$A$1:$ZZ$501,$A160,AX$3)))</f>
        <v/>
      </c>
      <c r="AY160" s="124" t="str">
        <f>IF($B160="","",IF(AY$3=0,"n.b.",INDEX(SRC_ZPMW03!$A$1:$ZZ$501,$A160,AY$3)))</f>
        <v/>
      </c>
      <c r="AZ160" s="124" t="str">
        <f>IF($B160="","",IF(AZ$3=0,"n.b.",INDEX(SRC_ZPMW03!$A$1:$ZZ$501,$A160,AZ$3)))</f>
        <v/>
      </c>
      <c r="BA160" s="124" t="str">
        <f>IF($B160="","",IF(BA$3=0,"n.b.",INDEX(SRC_ZPMW03!$A$1:$ZZ$501,$A160,BA$3)))</f>
        <v/>
      </c>
      <c r="BB160" s="124" t="str">
        <f>IF($B160="","",IF(BB$3=0,"n.b.",INDEX(SRC_ZPMW03!$A$1:$ZZ$501,$A160,BB$3)))</f>
        <v/>
      </c>
      <c r="BC160" s="124" t="str">
        <f>IF($B160="","",IF(BC$3=0,"n.b.",INDEX(SRC_ZPMW03!$A$1:$ZZ$501,$A160,BC$3)))</f>
        <v/>
      </c>
      <c r="BD160" s="124" t="str">
        <f>IF($B160="","",IF(BD$3=0,"n.b.",INDEX(SRC_ZPMW03!$A$1:$ZZ$501,$A160,BD$3)))</f>
        <v/>
      </c>
      <c r="BE160" s="124" t="str">
        <f>IF($B160="","",IF(BE$3=0,"n.b.",INDEX(SRC_ZPMW03!$A$1:$ZZ$501,$A160,BE$3)))</f>
        <v/>
      </c>
      <c r="BF160" s="124" t="str">
        <f>IF($B160="","",IF(BF$3=0,"n.b.",INDEX(SRC_ZPMW03!$A$1:$ZZ$501,$A160,BF$3)))</f>
        <v/>
      </c>
      <c r="BG160" t="str">
        <f>IF($B160="","",IF(BG$3=0,"n.b.",INDEX(SRC_ZPMW03!$A$1:$ZZ$501,$A160,BG$3)))</f>
        <v/>
      </c>
      <c r="BH160" t="str">
        <f>IF($B160="","",IF(BH$3=0,"n.b.",INDEX(SRC_ZPMW03!$A$1:$ZZ$501,$A160,BH$3)))</f>
        <v/>
      </c>
      <c r="BI160" t="str">
        <f>IF($B160="","",IF(BI$3=0,"n.b.",INDEX(SRC_ZPMW03!$A$1:$ZZ$501,$A160,BI$3)))</f>
        <v/>
      </c>
      <c r="BJ160" t="str">
        <f>IF($B160="","",IF(BJ$3=0,"n.b.",INDEX(SRC_ZPMW03!$A$1:$ZZ$501,$A160,BJ$3)))</f>
        <v/>
      </c>
      <c r="BK160" s="124" t="str">
        <f>IF($B160="","",IFERROR(-O160,"n.b."))</f>
        <v/>
      </c>
      <c r="BL160" s="124" t="str">
        <f>IF($B160="","",IFERROR(-Q160,"n.b."))</f>
        <v/>
      </c>
      <c r="BM160" s="124" t="str">
        <f>IF($B160="","",IFERROR(-AB160,"n.b."))</f>
        <v/>
      </c>
      <c r="BN160" s="124" t="str">
        <f>IF($B160="","",IFERROR(-AD160,"n.b."))</f>
        <v/>
      </c>
      <c r="BO160" s="124" t="str">
        <f>IF($B160="","",IFERROR(BK160+BM160,"n.b."))</f>
        <v/>
      </c>
      <c r="BP160" s="124" t="str">
        <f>IF($B160="","",IFERROR(BL160+BN160,"n.b."))</f>
        <v/>
      </c>
      <c r="BQ160" s="124" t="str">
        <f>IF($B160="","",IFERROR(-AM160,"n.b."))</f>
        <v/>
      </c>
      <c r="BR160" s="124" t="str">
        <f>IF($B160="","",IFERROR(-AO160,"n.b."))</f>
        <v/>
      </c>
      <c r="BS160" s="124" t="str">
        <f>IF($B160="","",IFERROR(-Z160,"n.b."))</f>
        <v/>
      </c>
      <c r="BT160" s="124" t="str">
        <f>IF($B160="","",IFERROR(-AA160,"n.b."))</f>
        <v/>
      </c>
      <c r="BU160" s="124" t="str">
        <f>IF($B160="","",IFERROR(-AE160,"n.b."))</f>
        <v/>
      </c>
      <c r="BV160" s="124" t="str">
        <f>IF($B160="","",IFERROR(-AF160,"n.b."))</f>
        <v/>
      </c>
      <c r="BW160" s="124" t="str">
        <f>IF($B160="","",IFERROR(-AG160,"n.b."))</f>
        <v/>
      </c>
      <c r="BX160" s="124" t="str">
        <f>IF($B160="","",IFERROR(-AH160,"n.b."))</f>
        <v/>
      </c>
      <c r="BY160" s="124" t="str">
        <f>IF($B160="","",IFERROR(-AI160,"n.b."))</f>
        <v/>
      </c>
      <c r="BZ160" s="124" t="str">
        <f>IF($B160="","",IFERROR(-AJ160,"n.b."))</f>
        <v/>
      </c>
      <c r="CA160" s="124" t="str">
        <f>IF($B160="","",IFERROR(-AK160,"n.b."))</f>
        <v/>
      </c>
      <c r="CB160" s="124" t="str">
        <f>IF($B160="","",IFERROR(-AL160,"n.b."))</f>
        <v/>
      </c>
      <c r="CC160" s="124" t="str">
        <f>IF($B160="","",IFERROR(-AP160,"n.b."))</f>
        <v/>
      </c>
      <c r="CD160" s="124" t="str">
        <f>IF($B160="","",IFERROR(-AQ160,"n.b."))</f>
        <v/>
      </c>
      <c r="CE160" s="124" t="str">
        <f>IF($B160="","",IFERROR(-AR160,"n.b."))</f>
        <v/>
      </c>
      <c r="CF160" s="124" t="str">
        <f>IF($B160="","",IFERROR(-AS160,"n.b."))</f>
        <v/>
      </c>
      <c r="CG160" s="124" t="str">
        <f>IF($B160="","",IFERROR(-AT160,"n.b."))</f>
        <v/>
      </c>
      <c r="CH160" s="124" t="str">
        <f>IF($B160="","",IFERROR(-AU160,"n.b."))</f>
        <v/>
      </c>
      <c r="CI160" s="124" t="str">
        <f>IF($B160="","",IFERROR(-AV160,"n.b."))</f>
        <v/>
      </c>
      <c r="CJ160" s="124" t="str">
        <f>IF($B160="","",IFERROR(-AW160,"n.b."))</f>
        <v/>
      </c>
      <c r="CK160" s="124" t="str">
        <f>IF($B160="","",IFERROR(-AX160,"n.b."))</f>
        <v/>
      </c>
      <c r="CL160" s="124" t="str">
        <f>IF($B160="","",IFERROR(-AY160,"n.b."))</f>
        <v/>
      </c>
      <c r="CM160" s="124" t="str">
        <f>IF($B160="","",IFERROR(-AZ160,"n.b."))</f>
        <v/>
      </c>
      <c r="CN160" s="124" t="str">
        <f>IF($B160="","",IFERROR(-BA160,"n.b."))</f>
        <v/>
      </c>
      <c r="CO160" s="124" t="str">
        <f>IF($B160="","",IFERROR(-BB160,"n.b."))</f>
        <v/>
      </c>
      <c r="CP160" s="124" t="str">
        <f>IF($B160="","",IFERROR(-BC160,"n.b."))</f>
        <v/>
      </c>
      <c r="CQ160" s="124" t="str">
        <f>IF($B160="","",IFERROR(-BD160,"n.b."))</f>
        <v/>
      </c>
      <c r="CR160" s="124" t="str">
        <f>IF($B160="","",IFERROR(-BE160,"n.b."))</f>
        <v/>
      </c>
      <c r="CS160" s="124" t="str">
        <f>IF($B160="","",IFERROR(IF(OR(ABS(T160+V160+X160+Z160-AB160)&gt;P_Tol,ABS(U160+W160+Y160+AA160-AD160)&gt;P_Tol,ABS(AE160+AG160+AI160+AK160-AM160)&gt;P_Tol,ABS(AF160+AH160+AJ160+AL160-AO160)&gt;P_Tol),1,0),1))</f>
        <v/>
      </c>
      <c r="CT160" s="124" t="str">
        <f>IF($B160="","",IFERROR(IF(OR(ABS(AB160+AC160-AD160)&gt;P_Tol,ABS(AM160+AN160-AO160)&gt;P_Tol,ABS(O160+P160-Q160)&gt;P_Tol),1,0),1))</f>
        <v/>
      </c>
      <c r="CU160" s="124" t="str">
        <f>IF($B160="","",IFERROR(IF(ABS(R160-(AB160+AM160+AP160+AR160+AT160+AV160+AX160+AZ160+BB160+BD160))&gt;P_Tol,1,0),1))</f>
        <v/>
      </c>
      <c r="CV160" s="124" t="str">
        <f>IF($B160="","",IFERROR(IF(ABS(M160-(N160+O160+R160))&gt;P_Tol,1,0),1))</f>
        <v/>
      </c>
      <c r="CW160" s="124" t="str">
        <f>IF($B160="","",IF(COUNTIF(Mapping!$A$5:$A$104,B160)&gt;0,1,0))</f>
        <v/>
      </c>
      <c r="CX160" s="124" t="str">
        <f>IF($B160="","",COUNTIF($B$6:$B$505,B160))</f>
        <v/>
      </c>
      <c r="CY160" s="124" t="str">
        <f>IF($B160="","",COUNTIF(STG_Woningetalage!$B$6:$B$505,B160))</f>
        <v/>
      </c>
      <c r="CZ160" s="124" t="str">
        <f>IF($B160="","",IF(CW160=0,COUNTIF($CW$6:CW160,0),""))</f>
        <v/>
      </c>
    </row>
    <row r="161">
      <c r="A161" s="15" t="n">
        <v>157</v>
      </c>
      <c r="B161" t="str">
        <f>IF(B$3=0,"",IF(INDEX(SRC_ZPMW03!$A$1:$ZZ$501,$A161,B$3)&amp;""="","",INDEX(SRC_ZPMW03!$A$1:$ZZ$501,$A161,B$3)&amp;""))</f>
        <v/>
      </c>
      <c r="C161" t="str">
        <f>IF($B161="","",IF(C$3=0,"n.b.",INDEX(SRC_ZPMW03!$A$1:$ZZ$501,$A161,C$3)))</f>
        <v/>
      </c>
      <c r="D161" t="str">
        <f>IF($B161="","",IF(D$3=0,"n.b.",INDEX(SRC_ZPMW03!$A$1:$ZZ$501,$A161,D$3)))</f>
        <v/>
      </c>
      <c r="E161" t="str">
        <f>IF($B161="","",IF(E$3=0,"n.b.",INDEX(SRC_ZPMW03!$A$1:$ZZ$501,$A161,E$3)))</f>
        <v/>
      </c>
      <c r="F161" t="str">
        <f>IF($B161="","",IF(F$3=0,"n.b.",INDEX(SRC_ZPMW03!$A$1:$ZZ$501,$A161,F$3)))</f>
        <v/>
      </c>
      <c r="G161" t="str">
        <f>IF($B161="","",IF(G$3=0,"n.b.",INDEX(SRC_ZPMW03!$A$1:$ZZ$501,$A161,G$3)))</f>
        <v/>
      </c>
      <c r="H161" t="str">
        <f>IF($B161="","",IF(H$3=0,"n.b.",INDEX(SRC_ZPMW03!$A$1:$ZZ$501,$A161,H$3)))</f>
        <v/>
      </c>
      <c r="I161" t="str">
        <f>IF($B161="","",IF(I$3=0,"n.b.",INDEX(SRC_ZPMW03!$A$1:$ZZ$501,$A161,I$3)))</f>
        <v/>
      </c>
      <c r="J161" t="str">
        <f>IF($B161="","",IF(J$3=0,"n.b.",INDEX(SRC_ZPMW03!$A$1:$ZZ$501,$A161,J$3)))</f>
        <v/>
      </c>
      <c r="K161" t="str">
        <f>IF($B161="","",IF(K$3=0,"n.b.",INDEX(SRC_ZPMW03!$A$1:$ZZ$501,$A161,K$3)))</f>
        <v/>
      </c>
      <c r="L161" s="124" t="str">
        <f>IF($B161="","",IF(L$3=0,"n.b.",INDEX(SRC_ZPMW03!$A$1:$ZZ$501,$A161,L$3)))</f>
        <v/>
      </c>
      <c r="M161" s="124" t="str">
        <f>IF($B161="","",IF(M$3=0,"n.b.",INDEX(SRC_ZPMW03!$A$1:$ZZ$501,$A161,M$3)))</f>
        <v/>
      </c>
      <c r="N161" s="124" t="str">
        <f>IF($B161="","",IF(N$3=0,"n.b.",INDEX(SRC_ZPMW03!$A$1:$ZZ$501,$A161,N$3)))</f>
        <v/>
      </c>
      <c r="O161" s="124" t="str">
        <f>IF($B161="","",IF(O$3=0,"n.b.",INDEX(SRC_ZPMW03!$A$1:$ZZ$501,$A161,O$3)))</f>
        <v/>
      </c>
      <c r="P161" s="124" t="str">
        <f>IF($B161="","",IF(P$3=0,"n.b.",INDEX(SRC_ZPMW03!$A$1:$ZZ$501,$A161,P$3)))</f>
        <v/>
      </c>
      <c r="Q161" s="124" t="str">
        <f>IF($B161="","",IF(Q$3=0,"n.b.",INDEX(SRC_ZPMW03!$A$1:$ZZ$501,$A161,Q$3)))</f>
        <v/>
      </c>
      <c r="R161" s="124" t="str">
        <f>IF($B161="","",IF(R$3=0,"n.b.",INDEX(SRC_ZPMW03!$A$1:$ZZ$501,$A161,R$3)))</f>
        <v/>
      </c>
      <c r="S161" s="124" t="str">
        <f>IF($B161="","",IF(S$3=0,"n.b.",INDEX(SRC_ZPMW03!$A$1:$ZZ$501,$A161,S$3)))</f>
        <v/>
      </c>
      <c r="T161" s="124" t="str">
        <f>IF($B161="","",IF(T$3=0,"n.b.",INDEX(SRC_ZPMW03!$A$1:$ZZ$501,$A161,T$3)))</f>
        <v/>
      </c>
      <c r="U161" s="124" t="str">
        <f>IF($B161="","",IF(U$3=0,"n.b.",INDEX(SRC_ZPMW03!$A$1:$ZZ$501,$A161,U$3)))</f>
        <v/>
      </c>
      <c r="V161" s="124" t="str">
        <f>IF($B161="","",IF(V$3=0,"n.b.",INDEX(SRC_ZPMW03!$A$1:$ZZ$501,$A161,V$3)))</f>
        <v/>
      </c>
      <c r="W161" s="124" t="str">
        <f>IF($B161="","",IF(W$3=0,"n.b.",INDEX(SRC_ZPMW03!$A$1:$ZZ$501,$A161,W$3)))</f>
        <v/>
      </c>
      <c r="X161" s="124" t="str">
        <f>IF($B161="","",IF(X$3=0,"n.b.",INDEX(SRC_ZPMW03!$A$1:$ZZ$501,$A161,X$3)))</f>
        <v/>
      </c>
      <c r="Y161" s="124" t="str">
        <f>IF($B161="","",IF(Y$3=0,"n.b.",INDEX(SRC_ZPMW03!$A$1:$ZZ$501,$A161,Y$3)))</f>
        <v/>
      </c>
      <c r="Z161" s="124" t="str">
        <f>IF($B161="","",IF(Z$3=0,"n.b.",INDEX(SRC_ZPMW03!$A$1:$ZZ$501,$A161,Z$3)))</f>
        <v/>
      </c>
      <c r="AA161" s="124" t="str">
        <f>IF($B161="","",IF(AA$3=0,"n.b.",INDEX(SRC_ZPMW03!$A$1:$ZZ$501,$A161,AA$3)))</f>
        <v/>
      </c>
      <c r="AB161" s="124" t="str">
        <f>IF($B161="","",IF(AB$3=0,"n.b.",INDEX(SRC_ZPMW03!$A$1:$ZZ$501,$A161,AB$3)))</f>
        <v/>
      </c>
      <c r="AC161" s="124" t="str">
        <f>IF($B161="","",IF(AC$3=0,"n.b.",INDEX(SRC_ZPMW03!$A$1:$ZZ$501,$A161,AC$3)))</f>
        <v/>
      </c>
      <c r="AD161" s="124" t="str">
        <f>IF($B161="","",IF(AD$3=0,"n.b.",INDEX(SRC_ZPMW03!$A$1:$ZZ$501,$A161,AD$3)))</f>
        <v/>
      </c>
      <c r="AE161" s="124" t="str">
        <f>IF($B161="","",IF(AE$3=0,"n.b.",INDEX(SRC_ZPMW03!$A$1:$ZZ$501,$A161,AE$3)))</f>
        <v/>
      </c>
      <c r="AF161" s="124" t="str">
        <f>IF($B161="","",IF(AF$3=0,"n.b.",INDEX(SRC_ZPMW03!$A$1:$ZZ$501,$A161,AF$3)))</f>
        <v/>
      </c>
      <c r="AG161" s="124" t="str">
        <f>IF($B161="","",IF(AG$3=0,"n.b.",INDEX(SRC_ZPMW03!$A$1:$ZZ$501,$A161,AG$3)))</f>
        <v/>
      </c>
      <c r="AH161" s="124" t="str">
        <f>IF($B161="","",IF(AH$3=0,"n.b.",INDEX(SRC_ZPMW03!$A$1:$ZZ$501,$A161,AH$3)))</f>
        <v/>
      </c>
      <c r="AI161" s="124" t="str">
        <f>IF($B161="","",IF(AI$3=0,"n.b.",INDEX(SRC_ZPMW03!$A$1:$ZZ$501,$A161,AI$3)))</f>
        <v/>
      </c>
      <c r="AJ161" s="124" t="str">
        <f>IF($B161="","",IF(AJ$3=0,"n.b.",INDEX(SRC_ZPMW03!$A$1:$ZZ$501,$A161,AJ$3)))</f>
        <v/>
      </c>
      <c r="AK161" s="124" t="str">
        <f>IF($B161="","",IF(AK$3=0,"n.b.",INDEX(SRC_ZPMW03!$A$1:$ZZ$501,$A161,AK$3)))</f>
        <v/>
      </c>
      <c r="AL161" s="124" t="str">
        <f>IF($B161="","",IF(AL$3=0,"n.b.",INDEX(SRC_ZPMW03!$A$1:$ZZ$501,$A161,AL$3)))</f>
        <v/>
      </c>
      <c r="AM161" s="124" t="str">
        <f>IF($B161="","",IF(AM$3=0,"n.b.",INDEX(SRC_ZPMW03!$A$1:$ZZ$501,$A161,AM$3)))</f>
        <v/>
      </c>
      <c r="AN161" s="124" t="str">
        <f>IF($B161="","",IF(AN$3=0,"n.b.",INDEX(SRC_ZPMW03!$A$1:$ZZ$501,$A161,AN$3)))</f>
        <v/>
      </c>
      <c r="AO161" s="124" t="str">
        <f>IF($B161="","",IF(AO$3=0,"n.b.",INDEX(SRC_ZPMW03!$A$1:$ZZ$501,$A161,AO$3)))</f>
        <v/>
      </c>
      <c r="AP161" s="124" t="str">
        <f>IF($B161="","",IF(AP$3=0,"n.b.",INDEX(SRC_ZPMW03!$A$1:$ZZ$501,$A161,AP$3)))</f>
        <v/>
      </c>
      <c r="AQ161" s="124" t="str">
        <f>IF($B161="","",IF(AQ$3=0,"n.b.",INDEX(SRC_ZPMW03!$A$1:$ZZ$501,$A161,AQ$3)))</f>
        <v/>
      </c>
      <c r="AR161" s="124" t="str">
        <f>IF($B161="","",IF(AR$3=0,"n.b.",INDEX(SRC_ZPMW03!$A$1:$ZZ$501,$A161,AR$3)))</f>
        <v/>
      </c>
      <c r="AS161" s="124" t="str">
        <f>IF($B161="","",IF(AS$3=0,"n.b.",INDEX(SRC_ZPMW03!$A$1:$ZZ$501,$A161,AS$3)))</f>
        <v/>
      </c>
      <c r="AT161" s="124" t="str">
        <f>IF($B161="","",IF(AT$3=0,"n.b.",INDEX(SRC_ZPMW03!$A$1:$ZZ$501,$A161,AT$3)))</f>
        <v/>
      </c>
      <c r="AU161" s="124" t="str">
        <f>IF($B161="","",IF(AU$3=0,"n.b.",INDEX(SRC_ZPMW03!$A$1:$ZZ$501,$A161,AU$3)))</f>
        <v/>
      </c>
      <c r="AV161" s="124" t="str">
        <f>IF($B161="","",IF(AV$3=0,"n.b.",INDEX(SRC_ZPMW03!$A$1:$ZZ$501,$A161,AV$3)))</f>
        <v/>
      </c>
      <c r="AW161" s="124" t="str">
        <f>IF($B161="","",IF(AW$3=0,"n.b.",INDEX(SRC_ZPMW03!$A$1:$ZZ$501,$A161,AW$3)))</f>
        <v/>
      </c>
      <c r="AX161" s="124" t="str">
        <f>IF($B161="","",IF(AX$3=0,"n.b.",INDEX(SRC_ZPMW03!$A$1:$ZZ$501,$A161,AX$3)))</f>
        <v/>
      </c>
      <c r="AY161" s="124" t="str">
        <f>IF($B161="","",IF(AY$3=0,"n.b.",INDEX(SRC_ZPMW03!$A$1:$ZZ$501,$A161,AY$3)))</f>
        <v/>
      </c>
      <c r="AZ161" s="124" t="str">
        <f>IF($B161="","",IF(AZ$3=0,"n.b.",INDEX(SRC_ZPMW03!$A$1:$ZZ$501,$A161,AZ$3)))</f>
        <v/>
      </c>
      <c r="BA161" s="124" t="str">
        <f>IF($B161="","",IF(BA$3=0,"n.b.",INDEX(SRC_ZPMW03!$A$1:$ZZ$501,$A161,BA$3)))</f>
        <v/>
      </c>
      <c r="BB161" s="124" t="str">
        <f>IF($B161="","",IF(BB$3=0,"n.b.",INDEX(SRC_ZPMW03!$A$1:$ZZ$501,$A161,BB$3)))</f>
        <v/>
      </c>
      <c r="BC161" s="124" t="str">
        <f>IF($B161="","",IF(BC$3=0,"n.b.",INDEX(SRC_ZPMW03!$A$1:$ZZ$501,$A161,BC$3)))</f>
        <v/>
      </c>
      <c r="BD161" s="124" t="str">
        <f>IF($B161="","",IF(BD$3=0,"n.b.",INDEX(SRC_ZPMW03!$A$1:$ZZ$501,$A161,BD$3)))</f>
        <v/>
      </c>
      <c r="BE161" s="124" t="str">
        <f>IF($B161="","",IF(BE$3=0,"n.b.",INDEX(SRC_ZPMW03!$A$1:$ZZ$501,$A161,BE$3)))</f>
        <v/>
      </c>
      <c r="BF161" s="124" t="str">
        <f>IF($B161="","",IF(BF$3=0,"n.b.",INDEX(SRC_ZPMW03!$A$1:$ZZ$501,$A161,BF$3)))</f>
        <v/>
      </c>
      <c r="BG161" t="str">
        <f>IF($B161="","",IF(BG$3=0,"n.b.",INDEX(SRC_ZPMW03!$A$1:$ZZ$501,$A161,BG$3)))</f>
        <v/>
      </c>
      <c r="BH161" t="str">
        <f>IF($B161="","",IF(BH$3=0,"n.b.",INDEX(SRC_ZPMW03!$A$1:$ZZ$501,$A161,BH$3)))</f>
        <v/>
      </c>
      <c r="BI161" t="str">
        <f>IF($B161="","",IF(BI$3=0,"n.b.",INDEX(SRC_ZPMW03!$A$1:$ZZ$501,$A161,BI$3)))</f>
        <v/>
      </c>
      <c r="BJ161" t="str">
        <f>IF($B161="","",IF(BJ$3=0,"n.b.",INDEX(SRC_ZPMW03!$A$1:$ZZ$501,$A161,BJ$3)))</f>
        <v/>
      </c>
      <c r="BK161" s="124" t="str">
        <f>IF($B161="","",IFERROR(-O161,"n.b."))</f>
        <v/>
      </c>
      <c r="BL161" s="124" t="str">
        <f>IF($B161="","",IFERROR(-Q161,"n.b."))</f>
        <v/>
      </c>
      <c r="BM161" s="124" t="str">
        <f>IF($B161="","",IFERROR(-AB161,"n.b."))</f>
        <v/>
      </c>
      <c r="BN161" s="124" t="str">
        <f>IF($B161="","",IFERROR(-AD161,"n.b."))</f>
        <v/>
      </c>
      <c r="BO161" s="124" t="str">
        <f>IF($B161="","",IFERROR(BK161+BM161,"n.b."))</f>
        <v/>
      </c>
      <c r="BP161" s="124" t="str">
        <f>IF($B161="","",IFERROR(BL161+BN161,"n.b."))</f>
        <v/>
      </c>
      <c r="BQ161" s="124" t="str">
        <f>IF($B161="","",IFERROR(-AM161,"n.b."))</f>
        <v/>
      </c>
      <c r="BR161" s="124" t="str">
        <f>IF($B161="","",IFERROR(-AO161,"n.b."))</f>
        <v/>
      </c>
      <c r="BS161" s="124" t="str">
        <f>IF($B161="","",IFERROR(-Z161,"n.b."))</f>
        <v/>
      </c>
      <c r="BT161" s="124" t="str">
        <f>IF($B161="","",IFERROR(-AA161,"n.b."))</f>
        <v/>
      </c>
      <c r="BU161" s="124" t="str">
        <f>IF($B161="","",IFERROR(-AE161,"n.b."))</f>
        <v/>
      </c>
      <c r="BV161" s="124" t="str">
        <f>IF($B161="","",IFERROR(-AF161,"n.b."))</f>
        <v/>
      </c>
      <c r="BW161" s="124" t="str">
        <f>IF($B161="","",IFERROR(-AG161,"n.b."))</f>
        <v/>
      </c>
      <c r="BX161" s="124" t="str">
        <f>IF($B161="","",IFERROR(-AH161,"n.b."))</f>
        <v/>
      </c>
      <c r="BY161" s="124" t="str">
        <f>IF($B161="","",IFERROR(-AI161,"n.b."))</f>
        <v/>
      </c>
      <c r="BZ161" s="124" t="str">
        <f>IF($B161="","",IFERROR(-AJ161,"n.b."))</f>
        <v/>
      </c>
      <c r="CA161" s="124" t="str">
        <f>IF($B161="","",IFERROR(-AK161,"n.b."))</f>
        <v/>
      </c>
      <c r="CB161" s="124" t="str">
        <f>IF($B161="","",IFERROR(-AL161,"n.b."))</f>
        <v/>
      </c>
      <c r="CC161" s="124" t="str">
        <f>IF($B161="","",IFERROR(-AP161,"n.b."))</f>
        <v/>
      </c>
      <c r="CD161" s="124" t="str">
        <f>IF($B161="","",IFERROR(-AQ161,"n.b."))</f>
        <v/>
      </c>
      <c r="CE161" s="124" t="str">
        <f>IF($B161="","",IFERROR(-AR161,"n.b."))</f>
        <v/>
      </c>
      <c r="CF161" s="124" t="str">
        <f>IF($B161="","",IFERROR(-AS161,"n.b."))</f>
        <v/>
      </c>
      <c r="CG161" s="124" t="str">
        <f>IF($B161="","",IFERROR(-AT161,"n.b."))</f>
        <v/>
      </c>
      <c r="CH161" s="124" t="str">
        <f>IF($B161="","",IFERROR(-AU161,"n.b."))</f>
        <v/>
      </c>
      <c r="CI161" s="124" t="str">
        <f>IF($B161="","",IFERROR(-AV161,"n.b."))</f>
        <v/>
      </c>
      <c r="CJ161" s="124" t="str">
        <f>IF($B161="","",IFERROR(-AW161,"n.b."))</f>
        <v/>
      </c>
      <c r="CK161" s="124" t="str">
        <f>IF($B161="","",IFERROR(-AX161,"n.b."))</f>
        <v/>
      </c>
      <c r="CL161" s="124" t="str">
        <f>IF($B161="","",IFERROR(-AY161,"n.b."))</f>
        <v/>
      </c>
      <c r="CM161" s="124" t="str">
        <f>IF($B161="","",IFERROR(-AZ161,"n.b."))</f>
        <v/>
      </c>
      <c r="CN161" s="124" t="str">
        <f>IF($B161="","",IFERROR(-BA161,"n.b."))</f>
        <v/>
      </c>
      <c r="CO161" s="124" t="str">
        <f>IF($B161="","",IFERROR(-BB161,"n.b."))</f>
        <v/>
      </c>
      <c r="CP161" s="124" t="str">
        <f>IF($B161="","",IFERROR(-BC161,"n.b."))</f>
        <v/>
      </c>
      <c r="CQ161" s="124" t="str">
        <f>IF($B161="","",IFERROR(-BD161,"n.b."))</f>
        <v/>
      </c>
      <c r="CR161" s="124" t="str">
        <f>IF($B161="","",IFERROR(-BE161,"n.b."))</f>
        <v/>
      </c>
      <c r="CS161" s="124" t="str">
        <f>IF($B161="","",IFERROR(IF(OR(ABS(T161+V161+X161+Z161-AB161)&gt;P_Tol,ABS(U161+W161+Y161+AA161-AD161)&gt;P_Tol,ABS(AE161+AG161+AI161+AK161-AM161)&gt;P_Tol,ABS(AF161+AH161+AJ161+AL161-AO161)&gt;P_Tol),1,0),1))</f>
        <v/>
      </c>
      <c r="CT161" s="124" t="str">
        <f>IF($B161="","",IFERROR(IF(OR(ABS(AB161+AC161-AD161)&gt;P_Tol,ABS(AM161+AN161-AO161)&gt;P_Tol,ABS(O161+P161-Q161)&gt;P_Tol),1,0),1))</f>
        <v/>
      </c>
      <c r="CU161" s="124" t="str">
        <f>IF($B161="","",IFERROR(IF(ABS(R161-(AB161+AM161+AP161+AR161+AT161+AV161+AX161+AZ161+BB161+BD161))&gt;P_Tol,1,0),1))</f>
        <v/>
      </c>
      <c r="CV161" s="124" t="str">
        <f>IF($B161="","",IFERROR(IF(ABS(M161-(N161+O161+R161))&gt;P_Tol,1,0),1))</f>
        <v/>
      </c>
      <c r="CW161" s="124" t="str">
        <f>IF($B161="","",IF(COUNTIF(Mapping!$A$5:$A$104,B161)&gt;0,1,0))</f>
        <v/>
      </c>
      <c r="CX161" s="124" t="str">
        <f>IF($B161="","",COUNTIF($B$6:$B$505,B161))</f>
        <v/>
      </c>
      <c r="CY161" s="124" t="str">
        <f>IF($B161="","",COUNTIF(STG_Woningetalage!$B$6:$B$505,B161))</f>
        <v/>
      </c>
      <c r="CZ161" s="124" t="str">
        <f>IF($B161="","",IF(CW161=0,COUNTIF($CW$6:CW161,0),""))</f>
        <v/>
      </c>
    </row>
    <row r="162">
      <c r="A162" s="15" t="n">
        <v>158</v>
      </c>
      <c r="B162" t="str">
        <f>IF(B$3=0,"",IF(INDEX(SRC_ZPMW03!$A$1:$ZZ$501,$A162,B$3)&amp;""="","",INDEX(SRC_ZPMW03!$A$1:$ZZ$501,$A162,B$3)&amp;""))</f>
        <v/>
      </c>
      <c r="C162" t="str">
        <f>IF($B162="","",IF(C$3=0,"n.b.",INDEX(SRC_ZPMW03!$A$1:$ZZ$501,$A162,C$3)))</f>
        <v/>
      </c>
      <c r="D162" t="str">
        <f>IF($B162="","",IF(D$3=0,"n.b.",INDEX(SRC_ZPMW03!$A$1:$ZZ$501,$A162,D$3)))</f>
        <v/>
      </c>
      <c r="E162" t="str">
        <f>IF($B162="","",IF(E$3=0,"n.b.",INDEX(SRC_ZPMW03!$A$1:$ZZ$501,$A162,E$3)))</f>
        <v/>
      </c>
      <c r="F162" t="str">
        <f>IF($B162="","",IF(F$3=0,"n.b.",INDEX(SRC_ZPMW03!$A$1:$ZZ$501,$A162,F$3)))</f>
        <v/>
      </c>
      <c r="G162" t="str">
        <f>IF($B162="","",IF(G$3=0,"n.b.",INDEX(SRC_ZPMW03!$A$1:$ZZ$501,$A162,G$3)))</f>
        <v/>
      </c>
      <c r="H162" t="str">
        <f>IF($B162="","",IF(H$3=0,"n.b.",INDEX(SRC_ZPMW03!$A$1:$ZZ$501,$A162,H$3)))</f>
        <v/>
      </c>
      <c r="I162" t="str">
        <f>IF($B162="","",IF(I$3=0,"n.b.",INDEX(SRC_ZPMW03!$A$1:$ZZ$501,$A162,I$3)))</f>
        <v/>
      </c>
      <c r="J162" t="str">
        <f>IF($B162="","",IF(J$3=0,"n.b.",INDEX(SRC_ZPMW03!$A$1:$ZZ$501,$A162,J$3)))</f>
        <v/>
      </c>
      <c r="K162" t="str">
        <f>IF($B162="","",IF(K$3=0,"n.b.",INDEX(SRC_ZPMW03!$A$1:$ZZ$501,$A162,K$3)))</f>
        <v/>
      </c>
      <c r="L162" s="124" t="str">
        <f>IF($B162="","",IF(L$3=0,"n.b.",INDEX(SRC_ZPMW03!$A$1:$ZZ$501,$A162,L$3)))</f>
        <v/>
      </c>
      <c r="M162" s="124" t="str">
        <f>IF($B162="","",IF(M$3=0,"n.b.",INDEX(SRC_ZPMW03!$A$1:$ZZ$501,$A162,M$3)))</f>
        <v/>
      </c>
      <c r="N162" s="124" t="str">
        <f>IF($B162="","",IF(N$3=0,"n.b.",INDEX(SRC_ZPMW03!$A$1:$ZZ$501,$A162,N$3)))</f>
        <v/>
      </c>
      <c r="O162" s="124" t="str">
        <f>IF($B162="","",IF(O$3=0,"n.b.",INDEX(SRC_ZPMW03!$A$1:$ZZ$501,$A162,O$3)))</f>
        <v/>
      </c>
      <c r="P162" s="124" t="str">
        <f>IF($B162="","",IF(P$3=0,"n.b.",INDEX(SRC_ZPMW03!$A$1:$ZZ$501,$A162,P$3)))</f>
        <v/>
      </c>
      <c r="Q162" s="124" t="str">
        <f>IF($B162="","",IF(Q$3=0,"n.b.",INDEX(SRC_ZPMW03!$A$1:$ZZ$501,$A162,Q$3)))</f>
        <v/>
      </c>
      <c r="R162" s="124" t="str">
        <f>IF($B162="","",IF(R$3=0,"n.b.",INDEX(SRC_ZPMW03!$A$1:$ZZ$501,$A162,R$3)))</f>
        <v/>
      </c>
      <c r="S162" s="124" t="str">
        <f>IF($B162="","",IF(S$3=0,"n.b.",INDEX(SRC_ZPMW03!$A$1:$ZZ$501,$A162,S$3)))</f>
        <v/>
      </c>
      <c r="T162" s="124" t="str">
        <f>IF($B162="","",IF(T$3=0,"n.b.",INDEX(SRC_ZPMW03!$A$1:$ZZ$501,$A162,T$3)))</f>
        <v/>
      </c>
      <c r="U162" s="124" t="str">
        <f>IF($B162="","",IF(U$3=0,"n.b.",INDEX(SRC_ZPMW03!$A$1:$ZZ$501,$A162,U$3)))</f>
        <v/>
      </c>
      <c r="V162" s="124" t="str">
        <f>IF($B162="","",IF(V$3=0,"n.b.",INDEX(SRC_ZPMW03!$A$1:$ZZ$501,$A162,V$3)))</f>
        <v/>
      </c>
      <c r="W162" s="124" t="str">
        <f>IF($B162="","",IF(W$3=0,"n.b.",INDEX(SRC_ZPMW03!$A$1:$ZZ$501,$A162,W$3)))</f>
        <v/>
      </c>
      <c r="X162" s="124" t="str">
        <f>IF($B162="","",IF(X$3=0,"n.b.",INDEX(SRC_ZPMW03!$A$1:$ZZ$501,$A162,X$3)))</f>
        <v/>
      </c>
      <c r="Y162" s="124" t="str">
        <f>IF($B162="","",IF(Y$3=0,"n.b.",INDEX(SRC_ZPMW03!$A$1:$ZZ$501,$A162,Y$3)))</f>
        <v/>
      </c>
      <c r="Z162" s="124" t="str">
        <f>IF($B162="","",IF(Z$3=0,"n.b.",INDEX(SRC_ZPMW03!$A$1:$ZZ$501,$A162,Z$3)))</f>
        <v/>
      </c>
      <c r="AA162" s="124" t="str">
        <f>IF($B162="","",IF(AA$3=0,"n.b.",INDEX(SRC_ZPMW03!$A$1:$ZZ$501,$A162,AA$3)))</f>
        <v/>
      </c>
      <c r="AB162" s="124" t="str">
        <f>IF($B162="","",IF(AB$3=0,"n.b.",INDEX(SRC_ZPMW03!$A$1:$ZZ$501,$A162,AB$3)))</f>
        <v/>
      </c>
      <c r="AC162" s="124" t="str">
        <f>IF($B162="","",IF(AC$3=0,"n.b.",INDEX(SRC_ZPMW03!$A$1:$ZZ$501,$A162,AC$3)))</f>
        <v/>
      </c>
      <c r="AD162" s="124" t="str">
        <f>IF($B162="","",IF(AD$3=0,"n.b.",INDEX(SRC_ZPMW03!$A$1:$ZZ$501,$A162,AD$3)))</f>
        <v/>
      </c>
      <c r="AE162" s="124" t="str">
        <f>IF($B162="","",IF(AE$3=0,"n.b.",INDEX(SRC_ZPMW03!$A$1:$ZZ$501,$A162,AE$3)))</f>
        <v/>
      </c>
      <c r="AF162" s="124" t="str">
        <f>IF($B162="","",IF(AF$3=0,"n.b.",INDEX(SRC_ZPMW03!$A$1:$ZZ$501,$A162,AF$3)))</f>
        <v/>
      </c>
      <c r="AG162" s="124" t="str">
        <f>IF($B162="","",IF(AG$3=0,"n.b.",INDEX(SRC_ZPMW03!$A$1:$ZZ$501,$A162,AG$3)))</f>
        <v/>
      </c>
      <c r="AH162" s="124" t="str">
        <f>IF($B162="","",IF(AH$3=0,"n.b.",INDEX(SRC_ZPMW03!$A$1:$ZZ$501,$A162,AH$3)))</f>
        <v/>
      </c>
      <c r="AI162" s="124" t="str">
        <f>IF($B162="","",IF(AI$3=0,"n.b.",INDEX(SRC_ZPMW03!$A$1:$ZZ$501,$A162,AI$3)))</f>
        <v/>
      </c>
      <c r="AJ162" s="124" t="str">
        <f>IF($B162="","",IF(AJ$3=0,"n.b.",INDEX(SRC_ZPMW03!$A$1:$ZZ$501,$A162,AJ$3)))</f>
        <v/>
      </c>
      <c r="AK162" s="124" t="str">
        <f>IF($B162="","",IF(AK$3=0,"n.b.",INDEX(SRC_ZPMW03!$A$1:$ZZ$501,$A162,AK$3)))</f>
        <v/>
      </c>
      <c r="AL162" s="124" t="str">
        <f>IF($B162="","",IF(AL$3=0,"n.b.",INDEX(SRC_ZPMW03!$A$1:$ZZ$501,$A162,AL$3)))</f>
        <v/>
      </c>
      <c r="AM162" s="124" t="str">
        <f>IF($B162="","",IF(AM$3=0,"n.b.",INDEX(SRC_ZPMW03!$A$1:$ZZ$501,$A162,AM$3)))</f>
        <v/>
      </c>
      <c r="AN162" s="124" t="str">
        <f>IF($B162="","",IF(AN$3=0,"n.b.",INDEX(SRC_ZPMW03!$A$1:$ZZ$501,$A162,AN$3)))</f>
        <v/>
      </c>
      <c r="AO162" s="124" t="str">
        <f>IF($B162="","",IF(AO$3=0,"n.b.",INDEX(SRC_ZPMW03!$A$1:$ZZ$501,$A162,AO$3)))</f>
        <v/>
      </c>
      <c r="AP162" s="124" t="str">
        <f>IF($B162="","",IF(AP$3=0,"n.b.",INDEX(SRC_ZPMW03!$A$1:$ZZ$501,$A162,AP$3)))</f>
        <v/>
      </c>
      <c r="AQ162" s="124" t="str">
        <f>IF($B162="","",IF(AQ$3=0,"n.b.",INDEX(SRC_ZPMW03!$A$1:$ZZ$501,$A162,AQ$3)))</f>
        <v/>
      </c>
      <c r="AR162" s="124" t="str">
        <f>IF($B162="","",IF(AR$3=0,"n.b.",INDEX(SRC_ZPMW03!$A$1:$ZZ$501,$A162,AR$3)))</f>
        <v/>
      </c>
      <c r="AS162" s="124" t="str">
        <f>IF($B162="","",IF(AS$3=0,"n.b.",INDEX(SRC_ZPMW03!$A$1:$ZZ$501,$A162,AS$3)))</f>
        <v/>
      </c>
      <c r="AT162" s="124" t="str">
        <f>IF($B162="","",IF(AT$3=0,"n.b.",INDEX(SRC_ZPMW03!$A$1:$ZZ$501,$A162,AT$3)))</f>
        <v/>
      </c>
      <c r="AU162" s="124" t="str">
        <f>IF($B162="","",IF(AU$3=0,"n.b.",INDEX(SRC_ZPMW03!$A$1:$ZZ$501,$A162,AU$3)))</f>
        <v/>
      </c>
      <c r="AV162" s="124" t="str">
        <f>IF($B162="","",IF(AV$3=0,"n.b.",INDEX(SRC_ZPMW03!$A$1:$ZZ$501,$A162,AV$3)))</f>
        <v/>
      </c>
      <c r="AW162" s="124" t="str">
        <f>IF($B162="","",IF(AW$3=0,"n.b.",INDEX(SRC_ZPMW03!$A$1:$ZZ$501,$A162,AW$3)))</f>
        <v/>
      </c>
      <c r="AX162" s="124" t="str">
        <f>IF($B162="","",IF(AX$3=0,"n.b.",INDEX(SRC_ZPMW03!$A$1:$ZZ$501,$A162,AX$3)))</f>
        <v/>
      </c>
      <c r="AY162" s="124" t="str">
        <f>IF($B162="","",IF(AY$3=0,"n.b.",INDEX(SRC_ZPMW03!$A$1:$ZZ$501,$A162,AY$3)))</f>
        <v/>
      </c>
      <c r="AZ162" s="124" t="str">
        <f>IF($B162="","",IF(AZ$3=0,"n.b.",INDEX(SRC_ZPMW03!$A$1:$ZZ$501,$A162,AZ$3)))</f>
        <v/>
      </c>
      <c r="BA162" s="124" t="str">
        <f>IF($B162="","",IF(BA$3=0,"n.b.",INDEX(SRC_ZPMW03!$A$1:$ZZ$501,$A162,BA$3)))</f>
        <v/>
      </c>
      <c r="BB162" s="124" t="str">
        <f>IF($B162="","",IF(BB$3=0,"n.b.",INDEX(SRC_ZPMW03!$A$1:$ZZ$501,$A162,BB$3)))</f>
        <v/>
      </c>
      <c r="BC162" s="124" t="str">
        <f>IF($B162="","",IF(BC$3=0,"n.b.",INDEX(SRC_ZPMW03!$A$1:$ZZ$501,$A162,BC$3)))</f>
        <v/>
      </c>
      <c r="BD162" s="124" t="str">
        <f>IF($B162="","",IF(BD$3=0,"n.b.",INDEX(SRC_ZPMW03!$A$1:$ZZ$501,$A162,BD$3)))</f>
        <v/>
      </c>
      <c r="BE162" s="124" t="str">
        <f>IF($B162="","",IF(BE$3=0,"n.b.",INDEX(SRC_ZPMW03!$A$1:$ZZ$501,$A162,BE$3)))</f>
        <v/>
      </c>
      <c r="BF162" s="124" t="str">
        <f>IF($B162="","",IF(BF$3=0,"n.b.",INDEX(SRC_ZPMW03!$A$1:$ZZ$501,$A162,BF$3)))</f>
        <v/>
      </c>
      <c r="BG162" t="str">
        <f>IF($B162="","",IF(BG$3=0,"n.b.",INDEX(SRC_ZPMW03!$A$1:$ZZ$501,$A162,BG$3)))</f>
        <v/>
      </c>
      <c r="BH162" t="str">
        <f>IF($B162="","",IF(BH$3=0,"n.b.",INDEX(SRC_ZPMW03!$A$1:$ZZ$501,$A162,BH$3)))</f>
        <v/>
      </c>
      <c r="BI162" t="str">
        <f>IF($B162="","",IF(BI$3=0,"n.b.",INDEX(SRC_ZPMW03!$A$1:$ZZ$501,$A162,BI$3)))</f>
        <v/>
      </c>
      <c r="BJ162" t="str">
        <f>IF($B162="","",IF(BJ$3=0,"n.b.",INDEX(SRC_ZPMW03!$A$1:$ZZ$501,$A162,BJ$3)))</f>
        <v/>
      </c>
      <c r="BK162" s="124" t="str">
        <f>IF($B162="","",IFERROR(-O162,"n.b."))</f>
        <v/>
      </c>
      <c r="BL162" s="124" t="str">
        <f>IF($B162="","",IFERROR(-Q162,"n.b."))</f>
        <v/>
      </c>
      <c r="BM162" s="124" t="str">
        <f>IF($B162="","",IFERROR(-AB162,"n.b."))</f>
        <v/>
      </c>
      <c r="BN162" s="124" t="str">
        <f>IF($B162="","",IFERROR(-AD162,"n.b."))</f>
        <v/>
      </c>
      <c r="BO162" s="124" t="str">
        <f>IF($B162="","",IFERROR(BK162+BM162,"n.b."))</f>
        <v/>
      </c>
      <c r="BP162" s="124" t="str">
        <f>IF($B162="","",IFERROR(BL162+BN162,"n.b."))</f>
        <v/>
      </c>
      <c r="BQ162" s="124" t="str">
        <f>IF($B162="","",IFERROR(-AM162,"n.b."))</f>
        <v/>
      </c>
      <c r="BR162" s="124" t="str">
        <f>IF($B162="","",IFERROR(-AO162,"n.b."))</f>
        <v/>
      </c>
      <c r="BS162" s="124" t="str">
        <f>IF($B162="","",IFERROR(-Z162,"n.b."))</f>
        <v/>
      </c>
      <c r="BT162" s="124" t="str">
        <f>IF($B162="","",IFERROR(-AA162,"n.b."))</f>
        <v/>
      </c>
      <c r="BU162" s="124" t="str">
        <f>IF($B162="","",IFERROR(-AE162,"n.b."))</f>
        <v/>
      </c>
      <c r="BV162" s="124" t="str">
        <f>IF($B162="","",IFERROR(-AF162,"n.b."))</f>
        <v/>
      </c>
      <c r="BW162" s="124" t="str">
        <f>IF($B162="","",IFERROR(-AG162,"n.b."))</f>
        <v/>
      </c>
      <c r="BX162" s="124" t="str">
        <f>IF($B162="","",IFERROR(-AH162,"n.b."))</f>
        <v/>
      </c>
      <c r="BY162" s="124" t="str">
        <f>IF($B162="","",IFERROR(-AI162,"n.b."))</f>
        <v/>
      </c>
      <c r="BZ162" s="124" t="str">
        <f>IF($B162="","",IFERROR(-AJ162,"n.b."))</f>
        <v/>
      </c>
      <c r="CA162" s="124" t="str">
        <f>IF($B162="","",IFERROR(-AK162,"n.b."))</f>
        <v/>
      </c>
      <c r="CB162" s="124" t="str">
        <f>IF($B162="","",IFERROR(-AL162,"n.b."))</f>
        <v/>
      </c>
      <c r="CC162" s="124" t="str">
        <f>IF($B162="","",IFERROR(-AP162,"n.b."))</f>
        <v/>
      </c>
      <c r="CD162" s="124" t="str">
        <f>IF($B162="","",IFERROR(-AQ162,"n.b."))</f>
        <v/>
      </c>
      <c r="CE162" s="124" t="str">
        <f>IF($B162="","",IFERROR(-AR162,"n.b."))</f>
        <v/>
      </c>
      <c r="CF162" s="124" t="str">
        <f>IF($B162="","",IFERROR(-AS162,"n.b."))</f>
        <v/>
      </c>
      <c r="CG162" s="124" t="str">
        <f>IF($B162="","",IFERROR(-AT162,"n.b."))</f>
        <v/>
      </c>
      <c r="CH162" s="124" t="str">
        <f>IF($B162="","",IFERROR(-AU162,"n.b."))</f>
        <v/>
      </c>
      <c r="CI162" s="124" t="str">
        <f>IF($B162="","",IFERROR(-AV162,"n.b."))</f>
        <v/>
      </c>
      <c r="CJ162" s="124" t="str">
        <f>IF($B162="","",IFERROR(-AW162,"n.b."))</f>
        <v/>
      </c>
      <c r="CK162" s="124" t="str">
        <f>IF($B162="","",IFERROR(-AX162,"n.b."))</f>
        <v/>
      </c>
      <c r="CL162" s="124" t="str">
        <f>IF($B162="","",IFERROR(-AY162,"n.b."))</f>
        <v/>
      </c>
      <c r="CM162" s="124" t="str">
        <f>IF($B162="","",IFERROR(-AZ162,"n.b."))</f>
        <v/>
      </c>
      <c r="CN162" s="124" t="str">
        <f>IF($B162="","",IFERROR(-BA162,"n.b."))</f>
        <v/>
      </c>
      <c r="CO162" s="124" t="str">
        <f>IF($B162="","",IFERROR(-BB162,"n.b."))</f>
        <v/>
      </c>
      <c r="CP162" s="124" t="str">
        <f>IF($B162="","",IFERROR(-BC162,"n.b."))</f>
        <v/>
      </c>
      <c r="CQ162" s="124" t="str">
        <f>IF($B162="","",IFERROR(-BD162,"n.b."))</f>
        <v/>
      </c>
      <c r="CR162" s="124" t="str">
        <f>IF($B162="","",IFERROR(-BE162,"n.b."))</f>
        <v/>
      </c>
      <c r="CS162" s="124" t="str">
        <f>IF($B162="","",IFERROR(IF(OR(ABS(T162+V162+X162+Z162-AB162)&gt;P_Tol,ABS(U162+W162+Y162+AA162-AD162)&gt;P_Tol,ABS(AE162+AG162+AI162+AK162-AM162)&gt;P_Tol,ABS(AF162+AH162+AJ162+AL162-AO162)&gt;P_Tol),1,0),1))</f>
        <v/>
      </c>
      <c r="CT162" s="124" t="str">
        <f>IF($B162="","",IFERROR(IF(OR(ABS(AB162+AC162-AD162)&gt;P_Tol,ABS(AM162+AN162-AO162)&gt;P_Tol,ABS(O162+P162-Q162)&gt;P_Tol),1,0),1))</f>
        <v/>
      </c>
      <c r="CU162" s="124" t="str">
        <f>IF($B162="","",IFERROR(IF(ABS(R162-(AB162+AM162+AP162+AR162+AT162+AV162+AX162+AZ162+BB162+BD162))&gt;P_Tol,1,0),1))</f>
        <v/>
      </c>
      <c r="CV162" s="124" t="str">
        <f>IF($B162="","",IFERROR(IF(ABS(M162-(N162+O162+R162))&gt;P_Tol,1,0),1))</f>
        <v/>
      </c>
      <c r="CW162" s="124" t="str">
        <f>IF($B162="","",IF(COUNTIF(Mapping!$A$5:$A$104,B162)&gt;0,1,0))</f>
        <v/>
      </c>
      <c r="CX162" s="124" t="str">
        <f>IF($B162="","",COUNTIF($B$6:$B$505,B162))</f>
        <v/>
      </c>
      <c r="CY162" s="124" t="str">
        <f>IF($B162="","",COUNTIF(STG_Woningetalage!$B$6:$B$505,B162))</f>
        <v/>
      </c>
      <c r="CZ162" s="124" t="str">
        <f>IF($B162="","",IF(CW162=0,COUNTIF($CW$6:CW162,0),""))</f>
        <v/>
      </c>
    </row>
    <row r="163">
      <c r="A163" s="15" t="n">
        <v>159</v>
      </c>
      <c r="B163" t="str">
        <f>IF(B$3=0,"",IF(INDEX(SRC_ZPMW03!$A$1:$ZZ$501,$A163,B$3)&amp;""="","",INDEX(SRC_ZPMW03!$A$1:$ZZ$501,$A163,B$3)&amp;""))</f>
        <v/>
      </c>
      <c r="C163" t="str">
        <f>IF($B163="","",IF(C$3=0,"n.b.",INDEX(SRC_ZPMW03!$A$1:$ZZ$501,$A163,C$3)))</f>
        <v/>
      </c>
      <c r="D163" t="str">
        <f>IF($B163="","",IF(D$3=0,"n.b.",INDEX(SRC_ZPMW03!$A$1:$ZZ$501,$A163,D$3)))</f>
        <v/>
      </c>
      <c r="E163" t="str">
        <f>IF($B163="","",IF(E$3=0,"n.b.",INDEX(SRC_ZPMW03!$A$1:$ZZ$501,$A163,E$3)))</f>
        <v/>
      </c>
      <c r="F163" t="str">
        <f>IF($B163="","",IF(F$3=0,"n.b.",INDEX(SRC_ZPMW03!$A$1:$ZZ$501,$A163,F$3)))</f>
        <v/>
      </c>
      <c r="G163" t="str">
        <f>IF($B163="","",IF(G$3=0,"n.b.",INDEX(SRC_ZPMW03!$A$1:$ZZ$501,$A163,G$3)))</f>
        <v/>
      </c>
      <c r="H163" t="str">
        <f>IF($B163="","",IF(H$3=0,"n.b.",INDEX(SRC_ZPMW03!$A$1:$ZZ$501,$A163,H$3)))</f>
        <v/>
      </c>
      <c r="I163" t="str">
        <f>IF($B163="","",IF(I$3=0,"n.b.",INDEX(SRC_ZPMW03!$A$1:$ZZ$501,$A163,I$3)))</f>
        <v/>
      </c>
      <c r="J163" t="str">
        <f>IF($B163="","",IF(J$3=0,"n.b.",INDEX(SRC_ZPMW03!$A$1:$ZZ$501,$A163,J$3)))</f>
        <v/>
      </c>
      <c r="K163" t="str">
        <f>IF($B163="","",IF(K$3=0,"n.b.",INDEX(SRC_ZPMW03!$A$1:$ZZ$501,$A163,K$3)))</f>
        <v/>
      </c>
      <c r="L163" s="124" t="str">
        <f>IF($B163="","",IF(L$3=0,"n.b.",INDEX(SRC_ZPMW03!$A$1:$ZZ$501,$A163,L$3)))</f>
        <v/>
      </c>
      <c r="M163" s="124" t="str">
        <f>IF($B163="","",IF(M$3=0,"n.b.",INDEX(SRC_ZPMW03!$A$1:$ZZ$501,$A163,M$3)))</f>
        <v/>
      </c>
      <c r="N163" s="124" t="str">
        <f>IF($B163="","",IF(N$3=0,"n.b.",INDEX(SRC_ZPMW03!$A$1:$ZZ$501,$A163,N$3)))</f>
        <v/>
      </c>
      <c r="O163" s="124" t="str">
        <f>IF($B163="","",IF(O$3=0,"n.b.",INDEX(SRC_ZPMW03!$A$1:$ZZ$501,$A163,O$3)))</f>
        <v/>
      </c>
      <c r="P163" s="124" t="str">
        <f>IF($B163="","",IF(P$3=0,"n.b.",INDEX(SRC_ZPMW03!$A$1:$ZZ$501,$A163,P$3)))</f>
        <v/>
      </c>
      <c r="Q163" s="124" t="str">
        <f>IF($B163="","",IF(Q$3=0,"n.b.",INDEX(SRC_ZPMW03!$A$1:$ZZ$501,$A163,Q$3)))</f>
        <v/>
      </c>
      <c r="R163" s="124" t="str">
        <f>IF($B163="","",IF(R$3=0,"n.b.",INDEX(SRC_ZPMW03!$A$1:$ZZ$501,$A163,R$3)))</f>
        <v/>
      </c>
      <c r="S163" s="124" t="str">
        <f>IF($B163="","",IF(S$3=0,"n.b.",INDEX(SRC_ZPMW03!$A$1:$ZZ$501,$A163,S$3)))</f>
        <v/>
      </c>
      <c r="T163" s="124" t="str">
        <f>IF($B163="","",IF(T$3=0,"n.b.",INDEX(SRC_ZPMW03!$A$1:$ZZ$501,$A163,T$3)))</f>
        <v/>
      </c>
      <c r="U163" s="124" t="str">
        <f>IF($B163="","",IF(U$3=0,"n.b.",INDEX(SRC_ZPMW03!$A$1:$ZZ$501,$A163,U$3)))</f>
        <v/>
      </c>
      <c r="V163" s="124" t="str">
        <f>IF($B163="","",IF(V$3=0,"n.b.",INDEX(SRC_ZPMW03!$A$1:$ZZ$501,$A163,V$3)))</f>
        <v/>
      </c>
      <c r="W163" s="124" t="str">
        <f>IF($B163="","",IF(W$3=0,"n.b.",INDEX(SRC_ZPMW03!$A$1:$ZZ$501,$A163,W$3)))</f>
        <v/>
      </c>
      <c r="X163" s="124" t="str">
        <f>IF($B163="","",IF(X$3=0,"n.b.",INDEX(SRC_ZPMW03!$A$1:$ZZ$501,$A163,X$3)))</f>
        <v/>
      </c>
      <c r="Y163" s="124" t="str">
        <f>IF($B163="","",IF(Y$3=0,"n.b.",INDEX(SRC_ZPMW03!$A$1:$ZZ$501,$A163,Y$3)))</f>
        <v/>
      </c>
      <c r="Z163" s="124" t="str">
        <f>IF($B163="","",IF(Z$3=0,"n.b.",INDEX(SRC_ZPMW03!$A$1:$ZZ$501,$A163,Z$3)))</f>
        <v/>
      </c>
      <c r="AA163" s="124" t="str">
        <f>IF($B163="","",IF(AA$3=0,"n.b.",INDEX(SRC_ZPMW03!$A$1:$ZZ$501,$A163,AA$3)))</f>
        <v/>
      </c>
      <c r="AB163" s="124" t="str">
        <f>IF($B163="","",IF(AB$3=0,"n.b.",INDEX(SRC_ZPMW03!$A$1:$ZZ$501,$A163,AB$3)))</f>
        <v/>
      </c>
      <c r="AC163" s="124" t="str">
        <f>IF($B163="","",IF(AC$3=0,"n.b.",INDEX(SRC_ZPMW03!$A$1:$ZZ$501,$A163,AC$3)))</f>
        <v/>
      </c>
      <c r="AD163" s="124" t="str">
        <f>IF($B163="","",IF(AD$3=0,"n.b.",INDEX(SRC_ZPMW03!$A$1:$ZZ$501,$A163,AD$3)))</f>
        <v/>
      </c>
      <c r="AE163" s="124" t="str">
        <f>IF($B163="","",IF(AE$3=0,"n.b.",INDEX(SRC_ZPMW03!$A$1:$ZZ$501,$A163,AE$3)))</f>
        <v/>
      </c>
      <c r="AF163" s="124" t="str">
        <f>IF($B163="","",IF(AF$3=0,"n.b.",INDEX(SRC_ZPMW03!$A$1:$ZZ$501,$A163,AF$3)))</f>
        <v/>
      </c>
      <c r="AG163" s="124" t="str">
        <f>IF($B163="","",IF(AG$3=0,"n.b.",INDEX(SRC_ZPMW03!$A$1:$ZZ$501,$A163,AG$3)))</f>
        <v/>
      </c>
      <c r="AH163" s="124" t="str">
        <f>IF($B163="","",IF(AH$3=0,"n.b.",INDEX(SRC_ZPMW03!$A$1:$ZZ$501,$A163,AH$3)))</f>
        <v/>
      </c>
      <c r="AI163" s="124" t="str">
        <f>IF($B163="","",IF(AI$3=0,"n.b.",INDEX(SRC_ZPMW03!$A$1:$ZZ$501,$A163,AI$3)))</f>
        <v/>
      </c>
      <c r="AJ163" s="124" t="str">
        <f>IF($B163="","",IF(AJ$3=0,"n.b.",INDEX(SRC_ZPMW03!$A$1:$ZZ$501,$A163,AJ$3)))</f>
        <v/>
      </c>
      <c r="AK163" s="124" t="str">
        <f>IF($B163="","",IF(AK$3=0,"n.b.",INDEX(SRC_ZPMW03!$A$1:$ZZ$501,$A163,AK$3)))</f>
        <v/>
      </c>
      <c r="AL163" s="124" t="str">
        <f>IF($B163="","",IF(AL$3=0,"n.b.",INDEX(SRC_ZPMW03!$A$1:$ZZ$501,$A163,AL$3)))</f>
        <v/>
      </c>
      <c r="AM163" s="124" t="str">
        <f>IF($B163="","",IF(AM$3=0,"n.b.",INDEX(SRC_ZPMW03!$A$1:$ZZ$501,$A163,AM$3)))</f>
        <v/>
      </c>
      <c r="AN163" s="124" t="str">
        <f>IF($B163="","",IF(AN$3=0,"n.b.",INDEX(SRC_ZPMW03!$A$1:$ZZ$501,$A163,AN$3)))</f>
        <v/>
      </c>
      <c r="AO163" s="124" t="str">
        <f>IF($B163="","",IF(AO$3=0,"n.b.",INDEX(SRC_ZPMW03!$A$1:$ZZ$501,$A163,AO$3)))</f>
        <v/>
      </c>
      <c r="AP163" s="124" t="str">
        <f>IF($B163="","",IF(AP$3=0,"n.b.",INDEX(SRC_ZPMW03!$A$1:$ZZ$501,$A163,AP$3)))</f>
        <v/>
      </c>
      <c r="AQ163" s="124" t="str">
        <f>IF($B163="","",IF(AQ$3=0,"n.b.",INDEX(SRC_ZPMW03!$A$1:$ZZ$501,$A163,AQ$3)))</f>
        <v/>
      </c>
      <c r="AR163" s="124" t="str">
        <f>IF($B163="","",IF(AR$3=0,"n.b.",INDEX(SRC_ZPMW03!$A$1:$ZZ$501,$A163,AR$3)))</f>
        <v/>
      </c>
      <c r="AS163" s="124" t="str">
        <f>IF($B163="","",IF(AS$3=0,"n.b.",INDEX(SRC_ZPMW03!$A$1:$ZZ$501,$A163,AS$3)))</f>
        <v/>
      </c>
      <c r="AT163" s="124" t="str">
        <f>IF($B163="","",IF(AT$3=0,"n.b.",INDEX(SRC_ZPMW03!$A$1:$ZZ$501,$A163,AT$3)))</f>
        <v/>
      </c>
      <c r="AU163" s="124" t="str">
        <f>IF($B163="","",IF(AU$3=0,"n.b.",INDEX(SRC_ZPMW03!$A$1:$ZZ$501,$A163,AU$3)))</f>
        <v/>
      </c>
      <c r="AV163" s="124" t="str">
        <f>IF($B163="","",IF(AV$3=0,"n.b.",INDEX(SRC_ZPMW03!$A$1:$ZZ$501,$A163,AV$3)))</f>
        <v/>
      </c>
      <c r="AW163" s="124" t="str">
        <f>IF($B163="","",IF(AW$3=0,"n.b.",INDEX(SRC_ZPMW03!$A$1:$ZZ$501,$A163,AW$3)))</f>
        <v/>
      </c>
      <c r="AX163" s="124" t="str">
        <f>IF($B163="","",IF(AX$3=0,"n.b.",INDEX(SRC_ZPMW03!$A$1:$ZZ$501,$A163,AX$3)))</f>
        <v/>
      </c>
      <c r="AY163" s="124" t="str">
        <f>IF($B163="","",IF(AY$3=0,"n.b.",INDEX(SRC_ZPMW03!$A$1:$ZZ$501,$A163,AY$3)))</f>
        <v/>
      </c>
      <c r="AZ163" s="124" t="str">
        <f>IF($B163="","",IF(AZ$3=0,"n.b.",INDEX(SRC_ZPMW03!$A$1:$ZZ$501,$A163,AZ$3)))</f>
        <v/>
      </c>
      <c r="BA163" s="124" t="str">
        <f>IF($B163="","",IF(BA$3=0,"n.b.",INDEX(SRC_ZPMW03!$A$1:$ZZ$501,$A163,BA$3)))</f>
        <v/>
      </c>
      <c r="BB163" s="124" t="str">
        <f>IF($B163="","",IF(BB$3=0,"n.b.",INDEX(SRC_ZPMW03!$A$1:$ZZ$501,$A163,BB$3)))</f>
        <v/>
      </c>
      <c r="BC163" s="124" t="str">
        <f>IF($B163="","",IF(BC$3=0,"n.b.",INDEX(SRC_ZPMW03!$A$1:$ZZ$501,$A163,BC$3)))</f>
        <v/>
      </c>
      <c r="BD163" s="124" t="str">
        <f>IF($B163="","",IF(BD$3=0,"n.b.",INDEX(SRC_ZPMW03!$A$1:$ZZ$501,$A163,BD$3)))</f>
        <v/>
      </c>
      <c r="BE163" s="124" t="str">
        <f>IF($B163="","",IF(BE$3=0,"n.b.",INDEX(SRC_ZPMW03!$A$1:$ZZ$501,$A163,BE$3)))</f>
        <v/>
      </c>
      <c r="BF163" s="124" t="str">
        <f>IF($B163="","",IF(BF$3=0,"n.b.",INDEX(SRC_ZPMW03!$A$1:$ZZ$501,$A163,BF$3)))</f>
        <v/>
      </c>
      <c r="BG163" t="str">
        <f>IF($B163="","",IF(BG$3=0,"n.b.",INDEX(SRC_ZPMW03!$A$1:$ZZ$501,$A163,BG$3)))</f>
        <v/>
      </c>
      <c r="BH163" t="str">
        <f>IF($B163="","",IF(BH$3=0,"n.b.",INDEX(SRC_ZPMW03!$A$1:$ZZ$501,$A163,BH$3)))</f>
        <v/>
      </c>
      <c r="BI163" t="str">
        <f>IF($B163="","",IF(BI$3=0,"n.b.",INDEX(SRC_ZPMW03!$A$1:$ZZ$501,$A163,BI$3)))</f>
        <v/>
      </c>
      <c r="BJ163" t="str">
        <f>IF($B163="","",IF(BJ$3=0,"n.b.",INDEX(SRC_ZPMW03!$A$1:$ZZ$501,$A163,BJ$3)))</f>
        <v/>
      </c>
      <c r="BK163" s="124" t="str">
        <f>IF($B163="","",IFERROR(-O163,"n.b."))</f>
        <v/>
      </c>
      <c r="BL163" s="124" t="str">
        <f>IF($B163="","",IFERROR(-Q163,"n.b."))</f>
        <v/>
      </c>
      <c r="BM163" s="124" t="str">
        <f>IF($B163="","",IFERROR(-AB163,"n.b."))</f>
        <v/>
      </c>
      <c r="BN163" s="124" t="str">
        <f>IF($B163="","",IFERROR(-AD163,"n.b."))</f>
        <v/>
      </c>
      <c r="BO163" s="124" t="str">
        <f>IF($B163="","",IFERROR(BK163+BM163,"n.b."))</f>
        <v/>
      </c>
      <c r="BP163" s="124" t="str">
        <f>IF($B163="","",IFERROR(BL163+BN163,"n.b."))</f>
        <v/>
      </c>
      <c r="BQ163" s="124" t="str">
        <f>IF($B163="","",IFERROR(-AM163,"n.b."))</f>
        <v/>
      </c>
      <c r="BR163" s="124" t="str">
        <f>IF($B163="","",IFERROR(-AO163,"n.b."))</f>
        <v/>
      </c>
      <c r="BS163" s="124" t="str">
        <f>IF($B163="","",IFERROR(-Z163,"n.b."))</f>
        <v/>
      </c>
      <c r="BT163" s="124" t="str">
        <f>IF($B163="","",IFERROR(-AA163,"n.b."))</f>
        <v/>
      </c>
      <c r="BU163" s="124" t="str">
        <f>IF($B163="","",IFERROR(-AE163,"n.b."))</f>
        <v/>
      </c>
      <c r="BV163" s="124" t="str">
        <f>IF($B163="","",IFERROR(-AF163,"n.b."))</f>
        <v/>
      </c>
      <c r="BW163" s="124" t="str">
        <f>IF($B163="","",IFERROR(-AG163,"n.b."))</f>
        <v/>
      </c>
      <c r="BX163" s="124" t="str">
        <f>IF($B163="","",IFERROR(-AH163,"n.b."))</f>
        <v/>
      </c>
      <c r="BY163" s="124" t="str">
        <f>IF($B163="","",IFERROR(-AI163,"n.b."))</f>
        <v/>
      </c>
      <c r="BZ163" s="124" t="str">
        <f>IF($B163="","",IFERROR(-AJ163,"n.b."))</f>
        <v/>
      </c>
      <c r="CA163" s="124" t="str">
        <f>IF($B163="","",IFERROR(-AK163,"n.b."))</f>
        <v/>
      </c>
      <c r="CB163" s="124" t="str">
        <f>IF($B163="","",IFERROR(-AL163,"n.b."))</f>
        <v/>
      </c>
      <c r="CC163" s="124" t="str">
        <f>IF($B163="","",IFERROR(-AP163,"n.b."))</f>
        <v/>
      </c>
      <c r="CD163" s="124" t="str">
        <f>IF($B163="","",IFERROR(-AQ163,"n.b."))</f>
        <v/>
      </c>
      <c r="CE163" s="124" t="str">
        <f>IF($B163="","",IFERROR(-AR163,"n.b."))</f>
        <v/>
      </c>
      <c r="CF163" s="124" t="str">
        <f>IF($B163="","",IFERROR(-AS163,"n.b."))</f>
        <v/>
      </c>
      <c r="CG163" s="124" t="str">
        <f>IF($B163="","",IFERROR(-AT163,"n.b."))</f>
        <v/>
      </c>
      <c r="CH163" s="124" t="str">
        <f>IF($B163="","",IFERROR(-AU163,"n.b."))</f>
        <v/>
      </c>
      <c r="CI163" s="124" t="str">
        <f>IF($B163="","",IFERROR(-AV163,"n.b."))</f>
        <v/>
      </c>
      <c r="CJ163" s="124" t="str">
        <f>IF($B163="","",IFERROR(-AW163,"n.b."))</f>
        <v/>
      </c>
      <c r="CK163" s="124" t="str">
        <f>IF($B163="","",IFERROR(-AX163,"n.b."))</f>
        <v/>
      </c>
      <c r="CL163" s="124" t="str">
        <f>IF($B163="","",IFERROR(-AY163,"n.b."))</f>
        <v/>
      </c>
      <c r="CM163" s="124" t="str">
        <f>IF($B163="","",IFERROR(-AZ163,"n.b."))</f>
        <v/>
      </c>
      <c r="CN163" s="124" t="str">
        <f>IF($B163="","",IFERROR(-BA163,"n.b."))</f>
        <v/>
      </c>
      <c r="CO163" s="124" t="str">
        <f>IF($B163="","",IFERROR(-BB163,"n.b."))</f>
        <v/>
      </c>
      <c r="CP163" s="124" t="str">
        <f>IF($B163="","",IFERROR(-BC163,"n.b."))</f>
        <v/>
      </c>
      <c r="CQ163" s="124" t="str">
        <f>IF($B163="","",IFERROR(-BD163,"n.b."))</f>
        <v/>
      </c>
      <c r="CR163" s="124" t="str">
        <f>IF($B163="","",IFERROR(-BE163,"n.b."))</f>
        <v/>
      </c>
      <c r="CS163" s="124" t="str">
        <f>IF($B163="","",IFERROR(IF(OR(ABS(T163+V163+X163+Z163-AB163)&gt;P_Tol,ABS(U163+W163+Y163+AA163-AD163)&gt;P_Tol,ABS(AE163+AG163+AI163+AK163-AM163)&gt;P_Tol,ABS(AF163+AH163+AJ163+AL163-AO163)&gt;P_Tol),1,0),1))</f>
        <v/>
      </c>
      <c r="CT163" s="124" t="str">
        <f>IF($B163="","",IFERROR(IF(OR(ABS(AB163+AC163-AD163)&gt;P_Tol,ABS(AM163+AN163-AO163)&gt;P_Tol,ABS(O163+P163-Q163)&gt;P_Tol),1,0),1))</f>
        <v/>
      </c>
      <c r="CU163" s="124" t="str">
        <f>IF($B163="","",IFERROR(IF(ABS(R163-(AB163+AM163+AP163+AR163+AT163+AV163+AX163+AZ163+BB163+BD163))&gt;P_Tol,1,0),1))</f>
        <v/>
      </c>
      <c r="CV163" s="124" t="str">
        <f>IF($B163="","",IFERROR(IF(ABS(M163-(N163+O163+R163))&gt;P_Tol,1,0),1))</f>
        <v/>
      </c>
      <c r="CW163" s="124" t="str">
        <f>IF($B163="","",IF(COUNTIF(Mapping!$A$5:$A$104,B163)&gt;0,1,0))</f>
        <v/>
      </c>
      <c r="CX163" s="124" t="str">
        <f>IF($B163="","",COUNTIF($B$6:$B$505,B163))</f>
        <v/>
      </c>
      <c r="CY163" s="124" t="str">
        <f>IF($B163="","",COUNTIF(STG_Woningetalage!$B$6:$B$505,B163))</f>
        <v/>
      </c>
      <c r="CZ163" s="124" t="str">
        <f>IF($B163="","",IF(CW163=0,COUNTIF($CW$6:CW163,0),""))</f>
        <v/>
      </c>
    </row>
    <row r="164">
      <c r="A164" s="15" t="n">
        <v>160</v>
      </c>
      <c r="B164" t="str">
        <f>IF(B$3=0,"",IF(INDEX(SRC_ZPMW03!$A$1:$ZZ$501,$A164,B$3)&amp;""="","",INDEX(SRC_ZPMW03!$A$1:$ZZ$501,$A164,B$3)&amp;""))</f>
        <v/>
      </c>
      <c r="C164" t="str">
        <f>IF($B164="","",IF(C$3=0,"n.b.",INDEX(SRC_ZPMW03!$A$1:$ZZ$501,$A164,C$3)))</f>
        <v/>
      </c>
      <c r="D164" t="str">
        <f>IF($B164="","",IF(D$3=0,"n.b.",INDEX(SRC_ZPMW03!$A$1:$ZZ$501,$A164,D$3)))</f>
        <v/>
      </c>
      <c r="E164" t="str">
        <f>IF($B164="","",IF(E$3=0,"n.b.",INDEX(SRC_ZPMW03!$A$1:$ZZ$501,$A164,E$3)))</f>
        <v/>
      </c>
      <c r="F164" t="str">
        <f>IF($B164="","",IF(F$3=0,"n.b.",INDEX(SRC_ZPMW03!$A$1:$ZZ$501,$A164,F$3)))</f>
        <v/>
      </c>
      <c r="G164" t="str">
        <f>IF($B164="","",IF(G$3=0,"n.b.",INDEX(SRC_ZPMW03!$A$1:$ZZ$501,$A164,G$3)))</f>
        <v/>
      </c>
      <c r="H164" t="str">
        <f>IF($B164="","",IF(H$3=0,"n.b.",INDEX(SRC_ZPMW03!$A$1:$ZZ$501,$A164,H$3)))</f>
        <v/>
      </c>
      <c r="I164" t="str">
        <f>IF($B164="","",IF(I$3=0,"n.b.",INDEX(SRC_ZPMW03!$A$1:$ZZ$501,$A164,I$3)))</f>
        <v/>
      </c>
      <c r="J164" t="str">
        <f>IF($B164="","",IF(J$3=0,"n.b.",INDEX(SRC_ZPMW03!$A$1:$ZZ$501,$A164,J$3)))</f>
        <v/>
      </c>
      <c r="K164" t="str">
        <f>IF($B164="","",IF(K$3=0,"n.b.",INDEX(SRC_ZPMW03!$A$1:$ZZ$501,$A164,K$3)))</f>
        <v/>
      </c>
      <c r="L164" s="124" t="str">
        <f>IF($B164="","",IF(L$3=0,"n.b.",INDEX(SRC_ZPMW03!$A$1:$ZZ$501,$A164,L$3)))</f>
        <v/>
      </c>
      <c r="M164" s="124" t="str">
        <f>IF($B164="","",IF(M$3=0,"n.b.",INDEX(SRC_ZPMW03!$A$1:$ZZ$501,$A164,M$3)))</f>
        <v/>
      </c>
      <c r="N164" s="124" t="str">
        <f>IF($B164="","",IF(N$3=0,"n.b.",INDEX(SRC_ZPMW03!$A$1:$ZZ$501,$A164,N$3)))</f>
        <v/>
      </c>
      <c r="O164" s="124" t="str">
        <f>IF($B164="","",IF(O$3=0,"n.b.",INDEX(SRC_ZPMW03!$A$1:$ZZ$501,$A164,O$3)))</f>
        <v/>
      </c>
      <c r="P164" s="124" t="str">
        <f>IF($B164="","",IF(P$3=0,"n.b.",INDEX(SRC_ZPMW03!$A$1:$ZZ$501,$A164,P$3)))</f>
        <v/>
      </c>
      <c r="Q164" s="124" t="str">
        <f>IF($B164="","",IF(Q$3=0,"n.b.",INDEX(SRC_ZPMW03!$A$1:$ZZ$501,$A164,Q$3)))</f>
        <v/>
      </c>
      <c r="R164" s="124" t="str">
        <f>IF($B164="","",IF(R$3=0,"n.b.",INDEX(SRC_ZPMW03!$A$1:$ZZ$501,$A164,R$3)))</f>
        <v/>
      </c>
      <c r="S164" s="124" t="str">
        <f>IF($B164="","",IF(S$3=0,"n.b.",INDEX(SRC_ZPMW03!$A$1:$ZZ$501,$A164,S$3)))</f>
        <v/>
      </c>
      <c r="T164" s="124" t="str">
        <f>IF($B164="","",IF(T$3=0,"n.b.",INDEX(SRC_ZPMW03!$A$1:$ZZ$501,$A164,T$3)))</f>
        <v/>
      </c>
      <c r="U164" s="124" t="str">
        <f>IF($B164="","",IF(U$3=0,"n.b.",INDEX(SRC_ZPMW03!$A$1:$ZZ$501,$A164,U$3)))</f>
        <v/>
      </c>
      <c r="V164" s="124" t="str">
        <f>IF($B164="","",IF(V$3=0,"n.b.",INDEX(SRC_ZPMW03!$A$1:$ZZ$501,$A164,V$3)))</f>
        <v/>
      </c>
      <c r="W164" s="124" t="str">
        <f>IF($B164="","",IF(W$3=0,"n.b.",INDEX(SRC_ZPMW03!$A$1:$ZZ$501,$A164,W$3)))</f>
        <v/>
      </c>
      <c r="X164" s="124" t="str">
        <f>IF($B164="","",IF(X$3=0,"n.b.",INDEX(SRC_ZPMW03!$A$1:$ZZ$501,$A164,X$3)))</f>
        <v/>
      </c>
      <c r="Y164" s="124" t="str">
        <f>IF($B164="","",IF(Y$3=0,"n.b.",INDEX(SRC_ZPMW03!$A$1:$ZZ$501,$A164,Y$3)))</f>
        <v/>
      </c>
      <c r="Z164" s="124" t="str">
        <f>IF($B164="","",IF(Z$3=0,"n.b.",INDEX(SRC_ZPMW03!$A$1:$ZZ$501,$A164,Z$3)))</f>
        <v/>
      </c>
      <c r="AA164" s="124" t="str">
        <f>IF($B164="","",IF(AA$3=0,"n.b.",INDEX(SRC_ZPMW03!$A$1:$ZZ$501,$A164,AA$3)))</f>
        <v/>
      </c>
      <c r="AB164" s="124" t="str">
        <f>IF($B164="","",IF(AB$3=0,"n.b.",INDEX(SRC_ZPMW03!$A$1:$ZZ$501,$A164,AB$3)))</f>
        <v/>
      </c>
      <c r="AC164" s="124" t="str">
        <f>IF($B164="","",IF(AC$3=0,"n.b.",INDEX(SRC_ZPMW03!$A$1:$ZZ$501,$A164,AC$3)))</f>
        <v/>
      </c>
      <c r="AD164" s="124" t="str">
        <f>IF($B164="","",IF(AD$3=0,"n.b.",INDEX(SRC_ZPMW03!$A$1:$ZZ$501,$A164,AD$3)))</f>
        <v/>
      </c>
      <c r="AE164" s="124" t="str">
        <f>IF($B164="","",IF(AE$3=0,"n.b.",INDEX(SRC_ZPMW03!$A$1:$ZZ$501,$A164,AE$3)))</f>
        <v/>
      </c>
      <c r="AF164" s="124" t="str">
        <f>IF($B164="","",IF(AF$3=0,"n.b.",INDEX(SRC_ZPMW03!$A$1:$ZZ$501,$A164,AF$3)))</f>
        <v/>
      </c>
      <c r="AG164" s="124" t="str">
        <f>IF($B164="","",IF(AG$3=0,"n.b.",INDEX(SRC_ZPMW03!$A$1:$ZZ$501,$A164,AG$3)))</f>
        <v/>
      </c>
      <c r="AH164" s="124" t="str">
        <f>IF($B164="","",IF(AH$3=0,"n.b.",INDEX(SRC_ZPMW03!$A$1:$ZZ$501,$A164,AH$3)))</f>
        <v/>
      </c>
      <c r="AI164" s="124" t="str">
        <f>IF($B164="","",IF(AI$3=0,"n.b.",INDEX(SRC_ZPMW03!$A$1:$ZZ$501,$A164,AI$3)))</f>
        <v/>
      </c>
      <c r="AJ164" s="124" t="str">
        <f>IF($B164="","",IF(AJ$3=0,"n.b.",INDEX(SRC_ZPMW03!$A$1:$ZZ$501,$A164,AJ$3)))</f>
        <v/>
      </c>
      <c r="AK164" s="124" t="str">
        <f>IF($B164="","",IF(AK$3=0,"n.b.",INDEX(SRC_ZPMW03!$A$1:$ZZ$501,$A164,AK$3)))</f>
        <v/>
      </c>
      <c r="AL164" s="124" t="str">
        <f>IF($B164="","",IF(AL$3=0,"n.b.",INDEX(SRC_ZPMW03!$A$1:$ZZ$501,$A164,AL$3)))</f>
        <v/>
      </c>
      <c r="AM164" s="124" t="str">
        <f>IF($B164="","",IF(AM$3=0,"n.b.",INDEX(SRC_ZPMW03!$A$1:$ZZ$501,$A164,AM$3)))</f>
        <v/>
      </c>
      <c r="AN164" s="124" t="str">
        <f>IF($B164="","",IF(AN$3=0,"n.b.",INDEX(SRC_ZPMW03!$A$1:$ZZ$501,$A164,AN$3)))</f>
        <v/>
      </c>
      <c r="AO164" s="124" t="str">
        <f>IF($B164="","",IF(AO$3=0,"n.b.",INDEX(SRC_ZPMW03!$A$1:$ZZ$501,$A164,AO$3)))</f>
        <v/>
      </c>
      <c r="AP164" s="124" t="str">
        <f>IF($B164="","",IF(AP$3=0,"n.b.",INDEX(SRC_ZPMW03!$A$1:$ZZ$501,$A164,AP$3)))</f>
        <v/>
      </c>
      <c r="AQ164" s="124" t="str">
        <f>IF($B164="","",IF(AQ$3=0,"n.b.",INDEX(SRC_ZPMW03!$A$1:$ZZ$501,$A164,AQ$3)))</f>
        <v/>
      </c>
      <c r="AR164" s="124" t="str">
        <f>IF($B164="","",IF(AR$3=0,"n.b.",INDEX(SRC_ZPMW03!$A$1:$ZZ$501,$A164,AR$3)))</f>
        <v/>
      </c>
      <c r="AS164" s="124" t="str">
        <f>IF($B164="","",IF(AS$3=0,"n.b.",INDEX(SRC_ZPMW03!$A$1:$ZZ$501,$A164,AS$3)))</f>
        <v/>
      </c>
      <c r="AT164" s="124" t="str">
        <f>IF($B164="","",IF(AT$3=0,"n.b.",INDEX(SRC_ZPMW03!$A$1:$ZZ$501,$A164,AT$3)))</f>
        <v/>
      </c>
      <c r="AU164" s="124" t="str">
        <f>IF($B164="","",IF(AU$3=0,"n.b.",INDEX(SRC_ZPMW03!$A$1:$ZZ$501,$A164,AU$3)))</f>
        <v/>
      </c>
      <c r="AV164" s="124" t="str">
        <f>IF($B164="","",IF(AV$3=0,"n.b.",INDEX(SRC_ZPMW03!$A$1:$ZZ$501,$A164,AV$3)))</f>
        <v/>
      </c>
      <c r="AW164" s="124" t="str">
        <f>IF($B164="","",IF(AW$3=0,"n.b.",INDEX(SRC_ZPMW03!$A$1:$ZZ$501,$A164,AW$3)))</f>
        <v/>
      </c>
      <c r="AX164" s="124" t="str">
        <f>IF($B164="","",IF(AX$3=0,"n.b.",INDEX(SRC_ZPMW03!$A$1:$ZZ$501,$A164,AX$3)))</f>
        <v/>
      </c>
      <c r="AY164" s="124" t="str">
        <f>IF($B164="","",IF(AY$3=0,"n.b.",INDEX(SRC_ZPMW03!$A$1:$ZZ$501,$A164,AY$3)))</f>
        <v/>
      </c>
      <c r="AZ164" s="124" t="str">
        <f>IF($B164="","",IF(AZ$3=0,"n.b.",INDEX(SRC_ZPMW03!$A$1:$ZZ$501,$A164,AZ$3)))</f>
        <v/>
      </c>
      <c r="BA164" s="124" t="str">
        <f>IF($B164="","",IF(BA$3=0,"n.b.",INDEX(SRC_ZPMW03!$A$1:$ZZ$501,$A164,BA$3)))</f>
        <v/>
      </c>
      <c r="BB164" s="124" t="str">
        <f>IF($B164="","",IF(BB$3=0,"n.b.",INDEX(SRC_ZPMW03!$A$1:$ZZ$501,$A164,BB$3)))</f>
        <v/>
      </c>
      <c r="BC164" s="124" t="str">
        <f>IF($B164="","",IF(BC$3=0,"n.b.",INDEX(SRC_ZPMW03!$A$1:$ZZ$501,$A164,BC$3)))</f>
        <v/>
      </c>
      <c r="BD164" s="124" t="str">
        <f>IF($B164="","",IF(BD$3=0,"n.b.",INDEX(SRC_ZPMW03!$A$1:$ZZ$501,$A164,BD$3)))</f>
        <v/>
      </c>
      <c r="BE164" s="124" t="str">
        <f>IF($B164="","",IF(BE$3=0,"n.b.",INDEX(SRC_ZPMW03!$A$1:$ZZ$501,$A164,BE$3)))</f>
        <v/>
      </c>
      <c r="BF164" s="124" t="str">
        <f>IF($B164="","",IF(BF$3=0,"n.b.",INDEX(SRC_ZPMW03!$A$1:$ZZ$501,$A164,BF$3)))</f>
        <v/>
      </c>
      <c r="BG164" t="str">
        <f>IF($B164="","",IF(BG$3=0,"n.b.",INDEX(SRC_ZPMW03!$A$1:$ZZ$501,$A164,BG$3)))</f>
        <v/>
      </c>
      <c r="BH164" t="str">
        <f>IF($B164="","",IF(BH$3=0,"n.b.",INDEX(SRC_ZPMW03!$A$1:$ZZ$501,$A164,BH$3)))</f>
        <v/>
      </c>
      <c r="BI164" t="str">
        <f>IF($B164="","",IF(BI$3=0,"n.b.",INDEX(SRC_ZPMW03!$A$1:$ZZ$501,$A164,BI$3)))</f>
        <v/>
      </c>
      <c r="BJ164" t="str">
        <f>IF($B164="","",IF(BJ$3=0,"n.b.",INDEX(SRC_ZPMW03!$A$1:$ZZ$501,$A164,BJ$3)))</f>
        <v/>
      </c>
      <c r="BK164" s="124" t="str">
        <f>IF($B164="","",IFERROR(-O164,"n.b."))</f>
        <v/>
      </c>
      <c r="BL164" s="124" t="str">
        <f>IF($B164="","",IFERROR(-Q164,"n.b."))</f>
        <v/>
      </c>
      <c r="BM164" s="124" t="str">
        <f>IF($B164="","",IFERROR(-AB164,"n.b."))</f>
        <v/>
      </c>
      <c r="BN164" s="124" t="str">
        <f>IF($B164="","",IFERROR(-AD164,"n.b."))</f>
        <v/>
      </c>
      <c r="BO164" s="124" t="str">
        <f>IF($B164="","",IFERROR(BK164+BM164,"n.b."))</f>
        <v/>
      </c>
      <c r="BP164" s="124" t="str">
        <f>IF($B164="","",IFERROR(BL164+BN164,"n.b."))</f>
        <v/>
      </c>
      <c r="BQ164" s="124" t="str">
        <f>IF($B164="","",IFERROR(-AM164,"n.b."))</f>
        <v/>
      </c>
      <c r="BR164" s="124" t="str">
        <f>IF($B164="","",IFERROR(-AO164,"n.b."))</f>
        <v/>
      </c>
      <c r="BS164" s="124" t="str">
        <f>IF($B164="","",IFERROR(-Z164,"n.b."))</f>
        <v/>
      </c>
      <c r="BT164" s="124" t="str">
        <f>IF($B164="","",IFERROR(-AA164,"n.b."))</f>
        <v/>
      </c>
      <c r="BU164" s="124" t="str">
        <f>IF($B164="","",IFERROR(-AE164,"n.b."))</f>
        <v/>
      </c>
      <c r="BV164" s="124" t="str">
        <f>IF($B164="","",IFERROR(-AF164,"n.b."))</f>
        <v/>
      </c>
      <c r="BW164" s="124" t="str">
        <f>IF($B164="","",IFERROR(-AG164,"n.b."))</f>
        <v/>
      </c>
      <c r="BX164" s="124" t="str">
        <f>IF($B164="","",IFERROR(-AH164,"n.b."))</f>
        <v/>
      </c>
      <c r="BY164" s="124" t="str">
        <f>IF($B164="","",IFERROR(-AI164,"n.b."))</f>
        <v/>
      </c>
      <c r="BZ164" s="124" t="str">
        <f>IF($B164="","",IFERROR(-AJ164,"n.b."))</f>
        <v/>
      </c>
      <c r="CA164" s="124" t="str">
        <f>IF($B164="","",IFERROR(-AK164,"n.b."))</f>
        <v/>
      </c>
      <c r="CB164" s="124" t="str">
        <f>IF($B164="","",IFERROR(-AL164,"n.b."))</f>
        <v/>
      </c>
      <c r="CC164" s="124" t="str">
        <f>IF($B164="","",IFERROR(-AP164,"n.b."))</f>
        <v/>
      </c>
      <c r="CD164" s="124" t="str">
        <f>IF($B164="","",IFERROR(-AQ164,"n.b."))</f>
        <v/>
      </c>
      <c r="CE164" s="124" t="str">
        <f>IF($B164="","",IFERROR(-AR164,"n.b."))</f>
        <v/>
      </c>
      <c r="CF164" s="124" t="str">
        <f>IF($B164="","",IFERROR(-AS164,"n.b."))</f>
        <v/>
      </c>
      <c r="CG164" s="124" t="str">
        <f>IF($B164="","",IFERROR(-AT164,"n.b."))</f>
        <v/>
      </c>
      <c r="CH164" s="124" t="str">
        <f>IF($B164="","",IFERROR(-AU164,"n.b."))</f>
        <v/>
      </c>
      <c r="CI164" s="124" t="str">
        <f>IF($B164="","",IFERROR(-AV164,"n.b."))</f>
        <v/>
      </c>
      <c r="CJ164" s="124" t="str">
        <f>IF($B164="","",IFERROR(-AW164,"n.b."))</f>
        <v/>
      </c>
      <c r="CK164" s="124" t="str">
        <f>IF($B164="","",IFERROR(-AX164,"n.b."))</f>
        <v/>
      </c>
      <c r="CL164" s="124" t="str">
        <f>IF($B164="","",IFERROR(-AY164,"n.b."))</f>
        <v/>
      </c>
      <c r="CM164" s="124" t="str">
        <f>IF($B164="","",IFERROR(-AZ164,"n.b."))</f>
        <v/>
      </c>
      <c r="CN164" s="124" t="str">
        <f>IF($B164="","",IFERROR(-BA164,"n.b."))</f>
        <v/>
      </c>
      <c r="CO164" s="124" t="str">
        <f>IF($B164="","",IFERROR(-BB164,"n.b."))</f>
        <v/>
      </c>
      <c r="CP164" s="124" t="str">
        <f>IF($B164="","",IFERROR(-BC164,"n.b."))</f>
        <v/>
      </c>
      <c r="CQ164" s="124" t="str">
        <f>IF($B164="","",IFERROR(-BD164,"n.b."))</f>
        <v/>
      </c>
      <c r="CR164" s="124" t="str">
        <f>IF($B164="","",IFERROR(-BE164,"n.b."))</f>
        <v/>
      </c>
      <c r="CS164" s="124" t="str">
        <f>IF($B164="","",IFERROR(IF(OR(ABS(T164+V164+X164+Z164-AB164)&gt;P_Tol,ABS(U164+W164+Y164+AA164-AD164)&gt;P_Tol,ABS(AE164+AG164+AI164+AK164-AM164)&gt;P_Tol,ABS(AF164+AH164+AJ164+AL164-AO164)&gt;P_Tol),1,0),1))</f>
        <v/>
      </c>
      <c r="CT164" s="124" t="str">
        <f>IF($B164="","",IFERROR(IF(OR(ABS(AB164+AC164-AD164)&gt;P_Tol,ABS(AM164+AN164-AO164)&gt;P_Tol,ABS(O164+P164-Q164)&gt;P_Tol),1,0),1))</f>
        <v/>
      </c>
      <c r="CU164" s="124" t="str">
        <f>IF($B164="","",IFERROR(IF(ABS(R164-(AB164+AM164+AP164+AR164+AT164+AV164+AX164+AZ164+BB164+BD164))&gt;P_Tol,1,0),1))</f>
        <v/>
      </c>
      <c r="CV164" s="124" t="str">
        <f>IF($B164="","",IFERROR(IF(ABS(M164-(N164+O164+R164))&gt;P_Tol,1,0),1))</f>
        <v/>
      </c>
      <c r="CW164" s="124" t="str">
        <f>IF($B164="","",IF(COUNTIF(Mapping!$A$5:$A$104,B164)&gt;0,1,0))</f>
        <v/>
      </c>
      <c r="CX164" s="124" t="str">
        <f>IF($B164="","",COUNTIF($B$6:$B$505,B164))</f>
        <v/>
      </c>
      <c r="CY164" s="124" t="str">
        <f>IF($B164="","",COUNTIF(STG_Woningetalage!$B$6:$B$505,B164))</f>
        <v/>
      </c>
      <c r="CZ164" s="124" t="str">
        <f>IF($B164="","",IF(CW164=0,COUNTIF($CW$6:CW164,0),""))</f>
        <v/>
      </c>
    </row>
    <row r="165">
      <c r="A165" s="15" t="n">
        <v>161</v>
      </c>
      <c r="B165" t="str">
        <f>IF(B$3=0,"",IF(INDEX(SRC_ZPMW03!$A$1:$ZZ$501,$A165,B$3)&amp;""="","",INDEX(SRC_ZPMW03!$A$1:$ZZ$501,$A165,B$3)&amp;""))</f>
        <v/>
      </c>
      <c r="C165" t="str">
        <f>IF($B165="","",IF(C$3=0,"n.b.",INDEX(SRC_ZPMW03!$A$1:$ZZ$501,$A165,C$3)))</f>
        <v/>
      </c>
      <c r="D165" t="str">
        <f>IF($B165="","",IF(D$3=0,"n.b.",INDEX(SRC_ZPMW03!$A$1:$ZZ$501,$A165,D$3)))</f>
        <v/>
      </c>
      <c r="E165" t="str">
        <f>IF($B165="","",IF(E$3=0,"n.b.",INDEX(SRC_ZPMW03!$A$1:$ZZ$501,$A165,E$3)))</f>
        <v/>
      </c>
      <c r="F165" t="str">
        <f>IF($B165="","",IF(F$3=0,"n.b.",INDEX(SRC_ZPMW03!$A$1:$ZZ$501,$A165,F$3)))</f>
        <v/>
      </c>
      <c r="G165" t="str">
        <f>IF($B165="","",IF(G$3=0,"n.b.",INDEX(SRC_ZPMW03!$A$1:$ZZ$501,$A165,G$3)))</f>
        <v/>
      </c>
      <c r="H165" t="str">
        <f>IF($B165="","",IF(H$3=0,"n.b.",INDEX(SRC_ZPMW03!$A$1:$ZZ$501,$A165,H$3)))</f>
        <v/>
      </c>
      <c r="I165" t="str">
        <f>IF($B165="","",IF(I$3=0,"n.b.",INDEX(SRC_ZPMW03!$A$1:$ZZ$501,$A165,I$3)))</f>
        <v/>
      </c>
      <c r="J165" t="str">
        <f>IF($B165="","",IF(J$3=0,"n.b.",INDEX(SRC_ZPMW03!$A$1:$ZZ$501,$A165,J$3)))</f>
        <v/>
      </c>
      <c r="K165" t="str">
        <f>IF($B165="","",IF(K$3=0,"n.b.",INDEX(SRC_ZPMW03!$A$1:$ZZ$501,$A165,K$3)))</f>
        <v/>
      </c>
      <c r="L165" s="124" t="str">
        <f>IF($B165="","",IF(L$3=0,"n.b.",INDEX(SRC_ZPMW03!$A$1:$ZZ$501,$A165,L$3)))</f>
        <v/>
      </c>
      <c r="M165" s="124" t="str">
        <f>IF($B165="","",IF(M$3=0,"n.b.",INDEX(SRC_ZPMW03!$A$1:$ZZ$501,$A165,M$3)))</f>
        <v/>
      </c>
      <c r="N165" s="124" t="str">
        <f>IF($B165="","",IF(N$3=0,"n.b.",INDEX(SRC_ZPMW03!$A$1:$ZZ$501,$A165,N$3)))</f>
        <v/>
      </c>
      <c r="O165" s="124" t="str">
        <f>IF($B165="","",IF(O$3=0,"n.b.",INDEX(SRC_ZPMW03!$A$1:$ZZ$501,$A165,O$3)))</f>
        <v/>
      </c>
      <c r="P165" s="124" t="str">
        <f>IF($B165="","",IF(P$3=0,"n.b.",INDEX(SRC_ZPMW03!$A$1:$ZZ$501,$A165,P$3)))</f>
        <v/>
      </c>
      <c r="Q165" s="124" t="str">
        <f>IF($B165="","",IF(Q$3=0,"n.b.",INDEX(SRC_ZPMW03!$A$1:$ZZ$501,$A165,Q$3)))</f>
        <v/>
      </c>
      <c r="R165" s="124" t="str">
        <f>IF($B165="","",IF(R$3=0,"n.b.",INDEX(SRC_ZPMW03!$A$1:$ZZ$501,$A165,R$3)))</f>
        <v/>
      </c>
      <c r="S165" s="124" t="str">
        <f>IF($B165="","",IF(S$3=0,"n.b.",INDEX(SRC_ZPMW03!$A$1:$ZZ$501,$A165,S$3)))</f>
        <v/>
      </c>
      <c r="T165" s="124" t="str">
        <f>IF($B165="","",IF(T$3=0,"n.b.",INDEX(SRC_ZPMW03!$A$1:$ZZ$501,$A165,T$3)))</f>
        <v/>
      </c>
      <c r="U165" s="124" t="str">
        <f>IF($B165="","",IF(U$3=0,"n.b.",INDEX(SRC_ZPMW03!$A$1:$ZZ$501,$A165,U$3)))</f>
        <v/>
      </c>
      <c r="V165" s="124" t="str">
        <f>IF($B165="","",IF(V$3=0,"n.b.",INDEX(SRC_ZPMW03!$A$1:$ZZ$501,$A165,V$3)))</f>
        <v/>
      </c>
      <c r="W165" s="124" t="str">
        <f>IF($B165="","",IF(W$3=0,"n.b.",INDEX(SRC_ZPMW03!$A$1:$ZZ$501,$A165,W$3)))</f>
        <v/>
      </c>
      <c r="X165" s="124" t="str">
        <f>IF($B165="","",IF(X$3=0,"n.b.",INDEX(SRC_ZPMW03!$A$1:$ZZ$501,$A165,X$3)))</f>
        <v/>
      </c>
      <c r="Y165" s="124" t="str">
        <f>IF($B165="","",IF(Y$3=0,"n.b.",INDEX(SRC_ZPMW03!$A$1:$ZZ$501,$A165,Y$3)))</f>
        <v/>
      </c>
      <c r="Z165" s="124" t="str">
        <f>IF($B165="","",IF(Z$3=0,"n.b.",INDEX(SRC_ZPMW03!$A$1:$ZZ$501,$A165,Z$3)))</f>
        <v/>
      </c>
      <c r="AA165" s="124" t="str">
        <f>IF($B165="","",IF(AA$3=0,"n.b.",INDEX(SRC_ZPMW03!$A$1:$ZZ$501,$A165,AA$3)))</f>
        <v/>
      </c>
      <c r="AB165" s="124" t="str">
        <f>IF($B165="","",IF(AB$3=0,"n.b.",INDEX(SRC_ZPMW03!$A$1:$ZZ$501,$A165,AB$3)))</f>
        <v/>
      </c>
      <c r="AC165" s="124" t="str">
        <f>IF($B165="","",IF(AC$3=0,"n.b.",INDEX(SRC_ZPMW03!$A$1:$ZZ$501,$A165,AC$3)))</f>
        <v/>
      </c>
      <c r="AD165" s="124" t="str">
        <f>IF($B165="","",IF(AD$3=0,"n.b.",INDEX(SRC_ZPMW03!$A$1:$ZZ$501,$A165,AD$3)))</f>
        <v/>
      </c>
      <c r="AE165" s="124" t="str">
        <f>IF($B165="","",IF(AE$3=0,"n.b.",INDEX(SRC_ZPMW03!$A$1:$ZZ$501,$A165,AE$3)))</f>
        <v/>
      </c>
      <c r="AF165" s="124" t="str">
        <f>IF($B165="","",IF(AF$3=0,"n.b.",INDEX(SRC_ZPMW03!$A$1:$ZZ$501,$A165,AF$3)))</f>
        <v/>
      </c>
      <c r="AG165" s="124" t="str">
        <f>IF($B165="","",IF(AG$3=0,"n.b.",INDEX(SRC_ZPMW03!$A$1:$ZZ$501,$A165,AG$3)))</f>
        <v/>
      </c>
      <c r="AH165" s="124" t="str">
        <f>IF($B165="","",IF(AH$3=0,"n.b.",INDEX(SRC_ZPMW03!$A$1:$ZZ$501,$A165,AH$3)))</f>
        <v/>
      </c>
      <c r="AI165" s="124" t="str">
        <f>IF($B165="","",IF(AI$3=0,"n.b.",INDEX(SRC_ZPMW03!$A$1:$ZZ$501,$A165,AI$3)))</f>
        <v/>
      </c>
      <c r="AJ165" s="124" t="str">
        <f>IF($B165="","",IF(AJ$3=0,"n.b.",INDEX(SRC_ZPMW03!$A$1:$ZZ$501,$A165,AJ$3)))</f>
        <v/>
      </c>
      <c r="AK165" s="124" t="str">
        <f>IF($B165="","",IF(AK$3=0,"n.b.",INDEX(SRC_ZPMW03!$A$1:$ZZ$501,$A165,AK$3)))</f>
        <v/>
      </c>
      <c r="AL165" s="124" t="str">
        <f>IF($B165="","",IF(AL$3=0,"n.b.",INDEX(SRC_ZPMW03!$A$1:$ZZ$501,$A165,AL$3)))</f>
        <v/>
      </c>
      <c r="AM165" s="124" t="str">
        <f>IF($B165="","",IF(AM$3=0,"n.b.",INDEX(SRC_ZPMW03!$A$1:$ZZ$501,$A165,AM$3)))</f>
        <v/>
      </c>
      <c r="AN165" s="124" t="str">
        <f>IF($B165="","",IF(AN$3=0,"n.b.",INDEX(SRC_ZPMW03!$A$1:$ZZ$501,$A165,AN$3)))</f>
        <v/>
      </c>
      <c r="AO165" s="124" t="str">
        <f>IF($B165="","",IF(AO$3=0,"n.b.",INDEX(SRC_ZPMW03!$A$1:$ZZ$501,$A165,AO$3)))</f>
        <v/>
      </c>
      <c r="AP165" s="124" t="str">
        <f>IF($B165="","",IF(AP$3=0,"n.b.",INDEX(SRC_ZPMW03!$A$1:$ZZ$501,$A165,AP$3)))</f>
        <v/>
      </c>
      <c r="AQ165" s="124" t="str">
        <f>IF($B165="","",IF(AQ$3=0,"n.b.",INDEX(SRC_ZPMW03!$A$1:$ZZ$501,$A165,AQ$3)))</f>
        <v/>
      </c>
      <c r="AR165" s="124" t="str">
        <f>IF($B165="","",IF(AR$3=0,"n.b.",INDEX(SRC_ZPMW03!$A$1:$ZZ$501,$A165,AR$3)))</f>
        <v/>
      </c>
      <c r="AS165" s="124" t="str">
        <f>IF($B165="","",IF(AS$3=0,"n.b.",INDEX(SRC_ZPMW03!$A$1:$ZZ$501,$A165,AS$3)))</f>
        <v/>
      </c>
      <c r="AT165" s="124" t="str">
        <f>IF($B165="","",IF(AT$3=0,"n.b.",INDEX(SRC_ZPMW03!$A$1:$ZZ$501,$A165,AT$3)))</f>
        <v/>
      </c>
      <c r="AU165" s="124" t="str">
        <f>IF($B165="","",IF(AU$3=0,"n.b.",INDEX(SRC_ZPMW03!$A$1:$ZZ$501,$A165,AU$3)))</f>
        <v/>
      </c>
      <c r="AV165" s="124" t="str">
        <f>IF($B165="","",IF(AV$3=0,"n.b.",INDEX(SRC_ZPMW03!$A$1:$ZZ$501,$A165,AV$3)))</f>
        <v/>
      </c>
      <c r="AW165" s="124" t="str">
        <f>IF($B165="","",IF(AW$3=0,"n.b.",INDEX(SRC_ZPMW03!$A$1:$ZZ$501,$A165,AW$3)))</f>
        <v/>
      </c>
      <c r="AX165" s="124" t="str">
        <f>IF($B165="","",IF(AX$3=0,"n.b.",INDEX(SRC_ZPMW03!$A$1:$ZZ$501,$A165,AX$3)))</f>
        <v/>
      </c>
      <c r="AY165" s="124" t="str">
        <f>IF($B165="","",IF(AY$3=0,"n.b.",INDEX(SRC_ZPMW03!$A$1:$ZZ$501,$A165,AY$3)))</f>
        <v/>
      </c>
      <c r="AZ165" s="124" t="str">
        <f>IF($B165="","",IF(AZ$3=0,"n.b.",INDEX(SRC_ZPMW03!$A$1:$ZZ$501,$A165,AZ$3)))</f>
        <v/>
      </c>
      <c r="BA165" s="124" t="str">
        <f>IF($B165="","",IF(BA$3=0,"n.b.",INDEX(SRC_ZPMW03!$A$1:$ZZ$501,$A165,BA$3)))</f>
        <v/>
      </c>
      <c r="BB165" s="124" t="str">
        <f>IF($B165="","",IF(BB$3=0,"n.b.",INDEX(SRC_ZPMW03!$A$1:$ZZ$501,$A165,BB$3)))</f>
        <v/>
      </c>
      <c r="BC165" s="124" t="str">
        <f>IF($B165="","",IF(BC$3=0,"n.b.",INDEX(SRC_ZPMW03!$A$1:$ZZ$501,$A165,BC$3)))</f>
        <v/>
      </c>
      <c r="BD165" s="124" t="str">
        <f>IF($B165="","",IF(BD$3=0,"n.b.",INDEX(SRC_ZPMW03!$A$1:$ZZ$501,$A165,BD$3)))</f>
        <v/>
      </c>
      <c r="BE165" s="124" t="str">
        <f>IF($B165="","",IF(BE$3=0,"n.b.",INDEX(SRC_ZPMW03!$A$1:$ZZ$501,$A165,BE$3)))</f>
        <v/>
      </c>
      <c r="BF165" s="124" t="str">
        <f>IF($B165="","",IF(BF$3=0,"n.b.",INDEX(SRC_ZPMW03!$A$1:$ZZ$501,$A165,BF$3)))</f>
        <v/>
      </c>
      <c r="BG165" t="str">
        <f>IF($B165="","",IF(BG$3=0,"n.b.",INDEX(SRC_ZPMW03!$A$1:$ZZ$501,$A165,BG$3)))</f>
        <v/>
      </c>
      <c r="BH165" t="str">
        <f>IF($B165="","",IF(BH$3=0,"n.b.",INDEX(SRC_ZPMW03!$A$1:$ZZ$501,$A165,BH$3)))</f>
        <v/>
      </c>
      <c r="BI165" t="str">
        <f>IF($B165="","",IF(BI$3=0,"n.b.",INDEX(SRC_ZPMW03!$A$1:$ZZ$501,$A165,BI$3)))</f>
        <v/>
      </c>
      <c r="BJ165" t="str">
        <f>IF($B165="","",IF(BJ$3=0,"n.b.",INDEX(SRC_ZPMW03!$A$1:$ZZ$501,$A165,BJ$3)))</f>
        <v/>
      </c>
      <c r="BK165" s="124" t="str">
        <f>IF($B165="","",IFERROR(-O165,"n.b."))</f>
        <v/>
      </c>
      <c r="BL165" s="124" t="str">
        <f>IF($B165="","",IFERROR(-Q165,"n.b."))</f>
        <v/>
      </c>
      <c r="BM165" s="124" t="str">
        <f>IF($B165="","",IFERROR(-AB165,"n.b."))</f>
        <v/>
      </c>
      <c r="BN165" s="124" t="str">
        <f>IF($B165="","",IFERROR(-AD165,"n.b."))</f>
        <v/>
      </c>
      <c r="BO165" s="124" t="str">
        <f>IF($B165="","",IFERROR(BK165+BM165,"n.b."))</f>
        <v/>
      </c>
      <c r="BP165" s="124" t="str">
        <f>IF($B165="","",IFERROR(BL165+BN165,"n.b."))</f>
        <v/>
      </c>
      <c r="BQ165" s="124" t="str">
        <f>IF($B165="","",IFERROR(-AM165,"n.b."))</f>
        <v/>
      </c>
      <c r="BR165" s="124" t="str">
        <f>IF($B165="","",IFERROR(-AO165,"n.b."))</f>
        <v/>
      </c>
      <c r="BS165" s="124" t="str">
        <f>IF($B165="","",IFERROR(-Z165,"n.b."))</f>
        <v/>
      </c>
      <c r="BT165" s="124" t="str">
        <f>IF($B165="","",IFERROR(-AA165,"n.b."))</f>
        <v/>
      </c>
      <c r="BU165" s="124" t="str">
        <f>IF($B165="","",IFERROR(-AE165,"n.b."))</f>
        <v/>
      </c>
      <c r="BV165" s="124" t="str">
        <f>IF($B165="","",IFERROR(-AF165,"n.b."))</f>
        <v/>
      </c>
      <c r="BW165" s="124" t="str">
        <f>IF($B165="","",IFERROR(-AG165,"n.b."))</f>
        <v/>
      </c>
      <c r="BX165" s="124" t="str">
        <f>IF($B165="","",IFERROR(-AH165,"n.b."))</f>
        <v/>
      </c>
      <c r="BY165" s="124" t="str">
        <f>IF($B165="","",IFERROR(-AI165,"n.b."))</f>
        <v/>
      </c>
      <c r="BZ165" s="124" t="str">
        <f>IF($B165="","",IFERROR(-AJ165,"n.b."))</f>
        <v/>
      </c>
      <c r="CA165" s="124" t="str">
        <f>IF($B165="","",IFERROR(-AK165,"n.b."))</f>
        <v/>
      </c>
      <c r="CB165" s="124" t="str">
        <f>IF($B165="","",IFERROR(-AL165,"n.b."))</f>
        <v/>
      </c>
      <c r="CC165" s="124" t="str">
        <f>IF($B165="","",IFERROR(-AP165,"n.b."))</f>
        <v/>
      </c>
      <c r="CD165" s="124" t="str">
        <f>IF($B165="","",IFERROR(-AQ165,"n.b."))</f>
        <v/>
      </c>
      <c r="CE165" s="124" t="str">
        <f>IF($B165="","",IFERROR(-AR165,"n.b."))</f>
        <v/>
      </c>
      <c r="CF165" s="124" t="str">
        <f>IF($B165="","",IFERROR(-AS165,"n.b."))</f>
        <v/>
      </c>
      <c r="CG165" s="124" t="str">
        <f>IF($B165="","",IFERROR(-AT165,"n.b."))</f>
        <v/>
      </c>
      <c r="CH165" s="124" t="str">
        <f>IF($B165="","",IFERROR(-AU165,"n.b."))</f>
        <v/>
      </c>
      <c r="CI165" s="124" t="str">
        <f>IF($B165="","",IFERROR(-AV165,"n.b."))</f>
        <v/>
      </c>
      <c r="CJ165" s="124" t="str">
        <f>IF($B165="","",IFERROR(-AW165,"n.b."))</f>
        <v/>
      </c>
      <c r="CK165" s="124" t="str">
        <f>IF($B165="","",IFERROR(-AX165,"n.b."))</f>
        <v/>
      </c>
      <c r="CL165" s="124" t="str">
        <f>IF($B165="","",IFERROR(-AY165,"n.b."))</f>
        <v/>
      </c>
      <c r="CM165" s="124" t="str">
        <f>IF($B165="","",IFERROR(-AZ165,"n.b."))</f>
        <v/>
      </c>
      <c r="CN165" s="124" t="str">
        <f>IF($B165="","",IFERROR(-BA165,"n.b."))</f>
        <v/>
      </c>
      <c r="CO165" s="124" t="str">
        <f>IF($B165="","",IFERROR(-BB165,"n.b."))</f>
        <v/>
      </c>
      <c r="CP165" s="124" t="str">
        <f>IF($B165="","",IFERROR(-BC165,"n.b."))</f>
        <v/>
      </c>
      <c r="CQ165" s="124" t="str">
        <f>IF($B165="","",IFERROR(-BD165,"n.b."))</f>
        <v/>
      </c>
      <c r="CR165" s="124" t="str">
        <f>IF($B165="","",IFERROR(-BE165,"n.b."))</f>
        <v/>
      </c>
      <c r="CS165" s="124" t="str">
        <f>IF($B165="","",IFERROR(IF(OR(ABS(T165+V165+X165+Z165-AB165)&gt;P_Tol,ABS(U165+W165+Y165+AA165-AD165)&gt;P_Tol,ABS(AE165+AG165+AI165+AK165-AM165)&gt;P_Tol,ABS(AF165+AH165+AJ165+AL165-AO165)&gt;P_Tol),1,0),1))</f>
        <v/>
      </c>
      <c r="CT165" s="124" t="str">
        <f>IF($B165="","",IFERROR(IF(OR(ABS(AB165+AC165-AD165)&gt;P_Tol,ABS(AM165+AN165-AO165)&gt;P_Tol,ABS(O165+P165-Q165)&gt;P_Tol),1,0),1))</f>
        <v/>
      </c>
      <c r="CU165" s="124" t="str">
        <f>IF($B165="","",IFERROR(IF(ABS(R165-(AB165+AM165+AP165+AR165+AT165+AV165+AX165+AZ165+BB165+BD165))&gt;P_Tol,1,0),1))</f>
        <v/>
      </c>
      <c r="CV165" s="124" t="str">
        <f>IF($B165="","",IFERROR(IF(ABS(M165-(N165+O165+R165))&gt;P_Tol,1,0),1))</f>
        <v/>
      </c>
      <c r="CW165" s="124" t="str">
        <f>IF($B165="","",IF(COUNTIF(Mapping!$A$5:$A$104,B165)&gt;0,1,0))</f>
        <v/>
      </c>
      <c r="CX165" s="124" t="str">
        <f>IF($B165="","",COUNTIF($B$6:$B$505,B165))</f>
        <v/>
      </c>
      <c r="CY165" s="124" t="str">
        <f>IF($B165="","",COUNTIF(STG_Woningetalage!$B$6:$B$505,B165))</f>
        <v/>
      </c>
      <c r="CZ165" s="124" t="str">
        <f>IF($B165="","",IF(CW165=0,COUNTIF($CW$6:CW165,0),""))</f>
        <v/>
      </c>
    </row>
    <row r="166">
      <c r="A166" s="15" t="n">
        <v>162</v>
      </c>
      <c r="B166" t="str">
        <f>IF(B$3=0,"",IF(INDEX(SRC_ZPMW03!$A$1:$ZZ$501,$A166,B$3)&amp;""="","",INDEX(SRC_ZPMW03!$A$1:$ZZ$501,$A166,B$3)&amp;""))</f>
        <v/>
      </c>
      <c r="C166" t="str">
        <f>IF($B166="","",IF(C$3=0,"n.b.",INDEX(SRC_ZPMW03!$A$1:$ZZ$501,$A166,C$3)))</f>
        <v/>
      </c>
      <c r="D166" t="str">
        <f>IF($B166="","",IF(D$3=0,"n.b.",INDEX(SRC_ZPMW03!$A$1:$ZZ$501,$A166,D$3)))</f>
        <v/>
      </c>
      <c r="E166" t="str">
        <f>IF($B166="","",IF(E$3=0,"n.b.",INDEX(SRC_ZPMW03!$A$1:$ZZ$501,$A166,E$3)))</f>
        <v/>
      </c>
      <c r="F166" t="str">
        <f>IF($B166="","",IF(F$3=0,"n.b.",INDEX(SRC_ZPMW03!$A$1:$ZZ$501,$A166,F$3)))</f>
        <v/>
      </c>
      <c r="G166" t="str">
        <f>IF($B166="","",IF(G$3=0,"n.b.",INDEX(SRC_ZPMW03!$A$1:$ZZ$501,$A166,G$3)))</f>
        <v/>
      </c>
      <c r="H166" t="str">
        <f>IF($B166="","",IF(H$3=0,"n.b.",INDEX(SRC_ZPMW03!$A$1:$ZZ$501,$A166,H$3)))</f>
        <v/>
      </c>
      <c r="I166" t="str">
        <f>IF($B166="","",IF(I$3=0,"n.b.",INDEX(SRC_ZPMW03!$A$1:$ZZ$501,$A166,I$3)))</f>
        <v/>
      </c>
      <c r="J166" t="str">
        <f>IF($B166="","",IF(J$3=0,"n.b.",INDEX(SRC_ZPMW03!$A$1:$ZZ$501,$A166,J$3)))</f>
        <v/>
      </c>
      <c r="K166" t="str">
        <f>IF($B166="","",IF(K$3=0,"n.b.",INDEX(SRC_ZPMW03!$A$1:$ZZ$501,$A166,K$3)))</f>
        <v/>
      </c>
      <c r="L166" s="124" t="str">
        <f>IF($B166="","",IF(L$3=0,"n.b.",INDEX(SRC_ZPMW03!$A$1:$ZZ$501,$A166,L$3)))</f>
        <v/>
      </c>
      <c r="M166" s="124" t="str">
        <f>IF($B166="","",IF(M$3=0,"n.b.",INDEX(SRC_ZPMW03!$A$1:$ZZ$501,$A166,M$3)))</f>
        <v/>
      </c>
      <c r="N166" s="124" t="str">
        <f>IF($B166="","",IF(N$3=0,"n.b.",INDEX(SRC_ZPMW03!$A$1:$ZZ$501,$A166,N$3)))</f>
        <v/>
      </c>
      <c r="O166" s="124" t="str">
        <f>IF($B166="","",IF(O$3=0,"n.b.",INDEX(SRC_ZPMW03!$A$1:$ZZ$501,$A166,O$3)))</f>
        <v/>
      </c>
      <c r="P166" s="124" t="str">
        <f>IF($B166="","",IF(P$3=0,"n.b.",INDEX(SRC_ZPMW03!$A$1:$ZZ$501,$A166,P$3)))</f>
        <v/>
      </c>
      <c r="Q166" s="124" t="str">
        <f>IF($B166="","",IF(Q$3=0,"n.b.",INDEX(SRC_ZPMW03!$A$1:$ZZ$501,$A166,Q$3)))</f>
        <v/>
      </c>
      <c r="R166" s="124" t="str">
        <f>IF($B166="","",IF(R$3=0,"n.b.",INDEX(SRC_ZPMW03!$A$1:$ZZ$501,$A166,R$3)))</f>
        <v/>
      </c>
      <c r="S166" s="124" t="str">
        <f>IF($B166="","",IF(S$3=0,"n.b.",INDEX(SRC_ZPMW03!$A$1:$ZZ$501,$A166,S$3)))</f>
        <v/>
      </c>
      <c r="T166" s="124" t="str">
        <f>IF($B166="","",IF(T$3=0,"n.b.",INDEX(SRC_ZPMW03!$A$1:$ZZ$501,$A166,T$3)))</f>
        <v/>
      </c>
      <c r="U166" s="124" t="str">
        <f>IF($B166="","",IF(U$3=0,"n.b.",INDEX(SRC_ZPMW03!$A$1:$ZZ$501,$A166,U$3)))</f>
        <v/>
      </c>
      <c r="V166" s="124" t="str">
        <f>IF($B166="","",IF(V$3=0,"n.b.",INDEX(SRC_ZPMW03!$A$1:$ZZ$501,$A166,V$3)))</f>
        <v/>
      </c>
      <c r="W166" s="124" t="str">
        <f>IF($B166="","",IF(W$3=0,"n.b.",INDEX(SRC_ZPMW03!$A$1:$ZZ$501,$A166,W$3)))</f>
        <v/>
      </c>
      <c r="X166" s="124" t="str">
        <f>IF($B166="","",IF(X$3=0,"n.b.",INDEX(SRC_ZPMW03!$A$1:$ZZ$501,$A166,X$3)))</f>
        <v/>
      </c>
      <c r="Y166" s="124" t="str">
        <f>IF($B166="","",IF(Y$3=0,"n.b.",INDEX(SRC_ZPMW03!$A$1:$ZZ$501,$A166,Y$3)))</f>
        <v/>
      </c>
      <c r="Z166" s="124" t="str">
        <f>IF($B166="","",IF(Z$3=0,"n.b.",INDEX(SRC_ZPMW03!$A$1:$ZZ$501,$A166,Z$3)))</f>
        <v/>
      </c>
      <c r="AA166" s="124" t="str">
        <f>IF($B166="","",IF(AA$3=0,"n.b.",INDEX(SRC_ZPMW03!$A$1:$ZZ$501,$A166,AA$3)))</f>
        <v/>
      </c>
      <c r="AB166" s="124" t="str">
        <f>IF($B166="","",IF(AB$3=0,"n.b.",INDEX(SRC_ZPMW03!$A$1:$ZZ$501,$A166,AB$3)))</f>
        <v/>
      </c>
      <c r="AC166" s="124" t="str">
        <f>IF($B166="","",IF(AC$3=0,"n.b.",INDEX(SRC_ZPMW03!$A$1:$ZZ$501,$A166,AC$3)))</f>
        <v/>
      </c>
      <c r="AD166" s="124" t="str">
        <f>IF($B166="","",IF(AD$3=0,"n.b.",INDEX(SRC_ZPMW03!$A$1:$ZZ$501,$A166,AD$3)))</f>
        <v/>
      </c>
      <c r="AE166" s="124" t="str">
        <f>IF($B166="","",IF(AE$3=0,"n.b.",INDEX(SRC_ZPMW03!$A$1:$ZZ$501,$A166,AE$3)))</f>
        <v/>
      </c>
      <c r="AF166" s="124" t="str">
        <f>IF($B166="","",IF(AF$3=0,"n.b.",INDEX(SRC_ZPMW03!$A$1:$ZZ$501,$A166,AF$3)))</f>
        <v/>
      </c>
      <c r="AG166" s="124" t="str">
        <f>IF($B166="","",IF(AG$3=0,"n.b.",INDEX(SRC_ZPMW03!$A$1:$ZZ$501,$A166,AG$3)))</f>
        <v/>
      </c>
      <c r="AH166" s="124" t="str">
        <f>IF($B166="","",IF(AH$3=0,"n.b.",INDEX(SRC_ZPMW03!$A$1:$ZZ$501,$A166,AH$3)))</f>
        <v/>
      </c>
      <c r="AI166" s="124" t="str">
        <f>IF($B166="","",IF(AI$3=0,"n.b.",INDEX(SRC_ZPMW03!$A$1:$ZZ$501,$A166,AI$3)))</f>
        <v/>
      </c>
      <c r="AJ166" s="124" t="str">
        <f>IF($B166="","",IF(AJ$3=0,"n.b.",INDEX(SRC_ZPMW03!$A$1:$ZZ$501,$A166,AJ$3)))</f>
        <v/>
      </c>
      <c r="AK166" s="124" t="str">
        <f>IF($B166="","",IF(AK$3=0,"n.b.",INDEX(SRC_ZPMW03!$A$1:$ZZ$501,$A166,AK$3)))</f>
        <v/>
      </c>
      <c r="AL166" s="124" t="str">
        <f>IF($B166="","",IF(AL$3=0,"n.b.",INDEX(SRC_ZPMW03!$A$1:$ZZ$501,$A166,AL$3)))</f>
        <v/>
      </c>
      <c r="AM166" s="124" t="str">
        <f>IF($B166="","",IF(AM$3=0,"n.b.",INDEX(SRC_ZPMW03!$A$1:$ZZ$501,$A166,AM$3)))</f>
        <v/>
      </c>
      <c r="AN166" s="124" t="str">
        <f>IF($B166="","",IF(AN$3=0,"n.b.",INDEX(SRC_ZPMW03!$A$1:$ZZ$501,$A166,AN$3)))</f>
        <v/>
      </c>
      <c r="AO166" s="124" t="str">
        <f>IF($B166="","",IF(AO$3=0,"n.b.",INDEX(SRC_ZPMW03!$A$1:$ZZ$501,$A166,AO$3)))</f>
        <v/>
      </c>
      <c r="AP166" s="124" t="str">
        <f>IF($B166="","",IF(AP$3=0,"n.b.",INDEX(SRC_ZPMW03!$A$1:$ZZ$501,$A166,AP$3)))</f>
        <v/>
      </c>
      <c r="AQ166" s="124" t="str">
        <f>IF($B166="","",IF(AQ$3=0,"n.b.",INDEX(SRC_ZPMW03!$A$1:$ZZ$501,$A166,AQ$3)))</f>
        <v/>
      </c>
      <c r="AR166" s="124" t="str">
        <f>IF($B166="","",IF(AR$3=0,"n.b.",INDEX(SRC_ZPMW03!$A$1:$ZZ$501,$A166,AR$3)))</f>
        <v/>
      </c>
      <c r="AS166" s="124" t="str">
        <f>IF($B166="","",IF(AS$3=0,"n.b.",INDEX(SRC_ZPMW03!$A$1:$ZZ$501,$A166,AS$3)))</f>
        <v/>
      </c>
      <c r="AT166" s="124" t="str">
        <f>IF($B166="","",IF(AT$3=0,"n.b.",INDEX(SRC_ZPMW03!$A$1:$ZZ$501,$A166,AT$3)))</f>
        <v/>
      </c>
      <c r="AU166" s="124" t="str">
        <f>IF($B166="","",IF(AU$3=0,"n.b.",INDEX(SRC_ZPMW03!$A$1:$ZZ$501,$A166,AU$3)))</f>
        <v/>
      </c>
      <c r="AV166" s="124" t="str">
        <f>IF($B166="","",IF(AV$3=0,"n.b.",INDEX(SRC_ZPMW03!$A$1:$ZZ$501,$A166,AV$3)))</f>
        <v/>
      </c>
      <c r="AW166" s="124" t="str">
        <f>IF($B166="","",IF(AW$3=0,"n.b.",INDEX(SRC_ZPMW03!$A$1:$ZZ$501,$A166,AW$3)))</f>
        <v/>
      </c>
      <c r="AX166" s="124" t="str">
        <f>IF($B166="","",IF(AX$3=0,"n.b.",INDEX(SRC_ZPMW03!$A$1:$ZZ$501,$A166,AX$3)))</f>
        <v/>
      </c>
      <c r="AY166" s="124" t="str">
        <f>IF($B166="","",IF(AY$3=0,"n.b.",INDEX(SRC_ZPMW03!$A$1:$ZZ$501,$A166,AY$3)))</f>
        <v/>
      </c>
      <c r="AZ166" s="124" t="str">
        <f>IF($B166="","",IF(AZ$3=0,"n.b.",INDEX(SRC_ZPMW03!$A$1:$ZZ$501,$A166,AZ$3)))</f>
        <v/>
      </c>
      <c r="BA166" s="124" t="str">
        <f>IF($B166="","",IF(BA$3=0,"n.b.",INDEX(SRC_ZPMW03!$A$1:$ZZ$501,$A166,BA$3)))</f>
        <v/>
      </c>
      <c r="BB166" s="124" t="str">
        <f>IF($B166="","",IF(BB$3=0,"n.b.",INDEX(SRC_ZPMW03!$A$1:$ZZ$501,$A166,BB$3)))</f>
        <v/>
      </c>
      <c r="BC166" s="124" t="str">
        <f>IF($B166="","",IF(BC$3=0,"n.b.",INDEX(SRC_ZPMW03!$A$1:$ZZ$501,$A166,BC$3)))</f>
        <v/>
      </c>
      <c r="BD166" s="124" t="str">
        <f>IF($B166="","",IF(BD$3=0,"n.b.",INDEX(SRC_ZPMW03!$A$1:$ZZ$501,$A166,BD$3)))</f>
        <v/>
      </c>
      <c r="BE166" s="124" t="str">
        <f>IF($B166="","",IF(BE$3=0,"n.b.",INDEX(SRC_ZPMW03!$A$1:$ZZ$501,$A166,BE$3)))</f>
        <v/>
      </c>
      <c r="BF166" s="124" t="str">
        <f>IF($B166="","",IF(BF$3=0,"n.b.",INDEX(SRC_ZPMW03!$A$1:$ZZ$501,$A166,BF$3)))</f>
        <v/>
      </c>
      <c r="BG166" t="str">
        <f>IF($B166="","",IF(BG$3=0,"n.b.",INDEX(SRC_ZPMW03!$A$1:$ZZ$501,$A166,BG$3)))</f>
        <v/>
      </c>
      <c r="BH166" t="str">
        <f>IF($B166="","",IF(BH$3=0,"n.b.",INDEX(SRC_ZPMW03!$A$1:$ZZ$501,$A166,BH$3)))</f>
        <v/>
      </c>
      <c r="BI166" t="str">
        <f>IF($B166="","",IF(BI$3=0,"n.b.",INDEX(SRC_ZPMW03!$A$1:$ZZ$501,$A166,BI$3)))</f>
        <v/>
      </c>
      <c r="BJ166" t="str">
        <f>IF($B166="","",IF(BJ$3=0,"n.b.",INDEX(SRC_ZPMW03!$A$1:$ZZ$501,$A166,BJ$3)))</f>
        <v/>
      </c>
      <c r="BK166" s="124" t="str">
        <f>IF($B166="","",IFERROR(-O166,"n.b."))</f>
        <v/>
      </c>
      <c r="BL166" s="124" t="str">
        <f>IF($B166="","",IFERROR(-Q166,"n.b."))</f>
        <v/>
      </c>
      <c r="BM166" s="124" t="str">
        <f>IF($B166="","",IFERROR(-AB166,"n.b."))</f>
        <v/>
      </c>
      <c r="BN166" s="124" t="str">
        <f>IF($B166="","",IFERROR(-AD166,"n.b."))</f>
        <v/>
      </c>
      <c r="BO166" s="124" t="str">
        <f>IF($B166="","",IFERROR(BK166+BM166,"n.b."))</f>
        <v/>
      </c>
      <c r="BP166" s="124" t="str">
        <f>IF($B166="","",IFERROR(BL166+BN166,"n.b."))</f>
        <v/>
      </c>
      <c r="BQ166" s="124" t="str">
        <f>IF($B166="","",IFERROR(-AM166,"n.b."))</f>
        <v/>
      </c>
      <c r="BR166" s="124" t="str">
        <f>IF($B166="","",IFERROR(-AO166,"n.b."))</f>
        <v/>
      </c>
      <c r="BS166" s="124" t="str">
        <f>IF($B166="","",IFERROR(-Z166,"n.b."))</f>
        <v/>
      </c>
      <c r="BT166" s="124" t="str">
        <f>IF($B166="","",IFERROR(-AA166,"n.b."))</f>
        <v/>
      </c>
      <c r="BU166" s="124" t="str">
        <f>IF($B166="","",IFERROR(-AE166,"n.b."))</f>
        <v/>
      </c>
      <c r="BV166" s="124" t="str">
        <f>IF($B166="","",IFERROR(-AF166,"n.b."))</f>
        <v/>
      </c>
      <c r="BW166" s="124" t="str">
        <f>IF($B166="","",IFERROR(-AG166,"n.b."))</f>
        <v/>
      </c>
      <c r="BX166" s="124" t="str">
        <f>IF($B166="","",IFERROR(-AH166,"n.b."))</f>
        <v/>
      </c>
      <c r="BY166" s="124" t="str">
        <f>IF($B166="","",IFERROR(-AI166,"n.b."))</f>
        <v/>
      </c>
      <c r="BZ166" s="124" t="str">
        <f>IF($B166="","",IFERROR(-AJ166,"n.b."))</f>
        <v/>
      </c>
      <c r="CA166" s="124" t="str">
        <f>IF($B166="","",IFERROR(-AK166,"n.b."))</f>
        <v/>
      </c>
      <c r="CB166" s="124" t="str">
        <f>IF($B166="","",IFERROR(-AL166,"n.b."))</f>
        <v/>
      </c>
      <c r="CC166" s="124" t="str">
        <f>IF($B166="","",IFERROR(-AP166,"n.b."))</f>
        <v/>
      </c>
      <c r="CD166" s="124" t="str">
        <f>IF($B166="","",IFERROR(-AQ166,"n.b."))</f>
        <v/>
      </c>
      <c r="CE166" s="124" t="str">
        <f>IF($B166="","",IFERROR(-AR166,"n.b."))</f>
        <v/>
      </c>
      <c r="CF166" s="124" t="str">
        <f>IF($B166="","",IFERROR(-AS166,"n.b."))</f>
        <v/>
      </c>
      <c r="CG166" s="124" t="str">
        <f>IF($B166="","",IFERROR(-AT166,"n.b."))</f>
        <v/>
      </c>
      <c r="CH166" s="124" t="str">
        <f>IF($B166="","",IFERROR(-AU166,"n.b."))</f>
        <v/>
      </c>
      <c r="CI166" s="124" t="str">
        <f>IF($B166="","",IFERROR(-AV166,"n.b."))</f>
        <v/>
      </c>
      <c r="CJ166" s="124" t="str">
        <f>IF($B166="","",IFERROR(-AW166,"n.b."))</f>
        <v/>
      </c>
      <c r="CK166" s="124" t="str">
        <f>IF($B166="","",IFERROR(-AX166,"n.b."))</f>
        <v/>
      </c>
      <c r="CL166" s="124" t="str">
        <f>IF($B166="","",IFERROR(-AY166,"n.b."))</f>
        <v/>
      </c>
      <c r="CM166" s="124" t="str">
        <f>IF($B166="","",IFERROR(-AZ166,"n.b."))</f>
        <v/>
      </c>
      <c r="CN166" s="124" t="str">
        <f>IF($B166="","",IFERROR(-BA166,"n.b."))</f>
        <v/>
      </c>
      <c r="CO166" s="124" t="str">
        <f>IF($B166="","",IFERROR(-BB166,"n.b."))</f>
        <v/>
      </c>
      <c r="CP166" s="124" t="str">
        <f>IF($B166="","",IFERROR(-BC166,"n.b."))</f>
        <v/>
      </c>
      <c r="CQ166" s="124" t="str">
        <f>IF($B166="","",IFERROR(-BD166,"n.b."))</f>
        <v/>
      </c>
      <c r="CR166" s="124" t="str">
        <f>IF($B166="","",IFERROR(-BE166,"n.b."))</f>
        <v/>
      </c>
      <c r="CS166" s="124" t="str">
        <f>IF($B166="","",IFERROR(IF(OR(ABS(T166+V166+X166+Z166-AB166)&gt;P_Tol,ABS(U166+W166+Y166+AA166-AD166)&gt;P_Tol,ABS(AE166+AG166+AI166+AK166-AM166)&gt;P_Tol,ABS(AF166+AH166+AJ166+AL166-AO166)&gt;P_Tol),1,0),1))</f>
        <v/>
      </c>
      <c r="CT166" s="124" t="str">
        <f>IF($B166="","",IFERROR(IF(OR(ABS(AB166+AC166-AD166)&gt;P_Tol,ABS(AM166+AN166-AO166)&gt;P_Tol,ABS(O166+P166-Q166)&gt;P_Tol),1,0),1))</f>
        <v/>
      </c>
      <c r="CU166" s="124" t="str">
        <f>IF($B166="","",IFERROR(IF(ABS(R166-(AB166+AM166+AP166+AR166+AT166+AV166+AX166+AZ166+BB166+BD166))&gt;P_Tol,1,0),1))</f>
        <v/>
      </c>
      <c r="CV166" s="124" t="str">
        <f>IF($B166="","",IFERROR(IF(ABS(M166-(N166+O166+R166))&gt;P_Tol,1,0),1))</f>
        <v/>
      </c>
      <c r="CW166" s="124" t="str">
        <f>IF($B166="","",IF(COUNTIF(Mapping!$A$5:$A$104,B166)&gt;0,1,0))</f>
        <v/>
      </c>
      <c r="CX166" s="124" t="str">
        <f>IF($B166="","",COUNTIF($B$6:$B$505,B166))</f>
        <v/>
      </c>
      <c r="CY166" s="124" t="str">
        <f>IF($B166="","",COUNTIF(STG_Woningetalage!$B$6:$B$505,B166))</f>
        <v/>
      </c>
      <c r="CZ166" s="124" t="str">
        <f>IF($B166="","",IF(CW166=0,COUNTIF($CW$6:CW166,0),""))</f>
        <v/>
      </c>
    </row>
    <row r="167">
      <c r="A167" s="15" t="n">
        <v>163</v>
      </c>
      <c r="B167" t="str">
        <f>IF(B$3=0,"",IF(INDEX(SRC_ZPMW03!$A$1:$ZZ$501,$A167,B$3)&amp;""="","",INDEX(SRC_ZPMW03!$A$1:$ZZ$501,$A167,B$3)&amp;""))</f>
        <v/>
      </c>
      <c r="C167" t="str">
        <f>IF($B167="","",IF(C$3=0,"n.b.",INDEX(SRC_ZPMW03!$A$1:$ZZ$501,$A167,C$3)))</f>
        <v/>
      </c>
      <c r="D167" t="str">
        <f>IF($B167="","",IF(D$3=0,"n.b.",INDEX(SRC_ZPMW03!$A$1:$ZZ$501,$A167,D$3)))</f>
        <v/>
      </c>
      <c r="E167" t="str">
        <f>IF($B167="","",IF(E$3=0,"n.b.",INDEX(SRC_ZPMW03!$A$1:$ZZ$501,$A167,E$3)))</f>
        <v/>
      </c>
      <c r="F167" t="str">
        <f>IF($B167="","",IF(F$3=0,"n.b.",INDEX(SRC_ZPMW03!$A$1:$ZZ$501,$A167,F$3)))</f>
        <v/>
      </c>
      <c r="G167" t="str">
        <f>IF($B167="","",IF(G$3=0,"n.b.",INDEX(SRC_ZPMW03!$A$1:$ZZ$501,$A167,G$3)))</f>
        <v/>
      </c>
      <c r="H167" t="str">
        <f>IF($B167="","",IF(H$3=0,"n.b.",INDEX(SRC_ZPMW03!$A$1:$ZZ$501,$A167,H$3)))</f>
        <v/>
      </c>
      <c r="I167" t="str">
        <f>IF($B167="","",IF(I$3=0,"n.b.",INDEX(SRC_ZPMW03!$A$1:$ZZ$501,$A167,I$3)))</f>
        <v/>
      </c>
      <c r="J167" t="str">
        <f>IF($B167="","",IF(J$3=0,"n.b.",INDEX(SRC_ZPMW03!$A$1:$ZZ$501,$A167,J$3)))</f>
        <v/>
      </c>
      <c r="K167" t="str">
        <f>IF($B167="","",IF(K$3=0,"n.b.",INDEX(SRC_ZPMW03!$A$1:$ZZ$501,$A167,K$3)))</f>
        <v/>
      </c>
      <c r="L167" s="124" t="str">
        <f>IF($B167="","",IF(L$3=0,"n.b.",INDEX(SRC_ZPMW03!$A$1:$ZZ$501,$A167,L$3)))</f>
        <v/>
      </c>
      <c r="M167" s="124" t="str">
        <f>IF($B167="","",IF(M$3=0,"n.b.",INDEX(SRC_ZPMW03!$A$1:$ZZ$501,$A167,M$3)))</f>
        <v/>
      </c>
      <c r="N167" s="124" t="str">
        <f>IF($B167="","",IF(N$3=0,"n.b.",INDEX(SRC_ZPMW03!$A$1:$ZZ$501,$A167,N$3)))</f>
        <v/>
      </c>
      <c r="O167" s="124" t="str">
        <f>IF($B167="","",IF(O$3=0,"n.b.",INDEX(SRC_ZPMW03!$A$1:$ZZ$501,$A167,O$3)))</f>
        <v/>
      </c>
      <c r="P167" s="124" t="str">
        <f>IF($B167="","",IF(P$3=0,"n.b.",INDEX(SRC_ZPMW03!$A$1:$ZZ$501,$A167,P$3)))</f>
        <v/>
      </c>
      <c r="Q167" s="124" t="str">
        <f>IF($B167="","",IF(Q$3=0,"n.b.",INDEX(SRC_ZPMW03!$A$1:$ZZ$501,$A167,Q$3)))</f>
        <v/>
      </c>
      <c r="R167" s="124" t="str">
        <f>IF($B167="","",IF(R$3=0,"n.b.",INDEX(SRC_ZPMW03!$A$1:$ZZ$501,$A167,R$3)))</f>
        <v/>
      </c>
      <c r="S167" s="124" t="str">
        <f>IF($B167="","",IF(S$3=0,"n.b.",INDEX(SRC_ZPMW03!$A$1:$ZZ$501,$A167,S$3)))</f>
        <v/>
      </c>
      <c r="T167" s="124" t="str">
        <f>IF($B167="","",IF(T$3=0,"n.b.",INDEX(SRC_ZPMW03!$A$1:$ZZ$501,$A167,T$3)))</f>
        <v/>
      </c>
      <c r="U167" s="124" t="str">
        <f>IF($B167="","",IF(U$3=0,"n.b.",INDEX(SRC_ZPMW03!$A$1:$ZZ$501,$A167,U$3)))</f>
        <v/>
      </c>
      <c r="V167" s="124" t="str">
        <f>IF($B167="","",IF(V$3=0,"n.b.",INDEX(SRC_ZPMW03!$A$1:$ZZ$501,$A167,V$3)))</f>
        <v/>
      </c>
      <c r="W167" s="124" t="str">
        <f>IF($B167="","",IF(W$3=0,"n.b.",INDEX(SRC_ZPMW03!$A$1:$ZZ$501,$A167,W$3)))</f>
        <v/>
      </c>
      <c r="X167" s="124" t="str">
        <f>IF($B167="","",IF(X$3=0,"n.b.",INDEX(SRC_ZPMW03!$A$1:$ZZ$501,$A167,X$3)))</f>
        <v/>
      </c>
      <c r="Y167" s="124" t="str">
        <f>IF($B167="","",IF(Y$3=0,"n.b.",INDEX(SRC_ZPMW03!$A$1:$ZZ$501,$A167,Y$3)))</f>
        <v/>
      </c>
      <c r="Z167" s="124" t="str">
        <f>IF($B167="","",IF(Z$3=0,"n.b.",INDEX(SRC_ZPMW03!$A$1:$ZZ$501,$A167,Z$3)))</f>
        <v/>
      </c>
      <c r="AA167" s="124" t="str">
        <f>IF($B167="","",IF(AA$3=0,"n.b.",INDEX(SRC_ZPMW03!$A$1:$ZZ$501,$A167,AA$3)))</f>
        <v/>
      </c>
      <c r="AB167" s="124" t="str">
        <f>IF($B167="","",IF(AB$3=0,"n.b.",INDEX(SRC_ZPMW03!$A$1:$ZZ$501,$A167,AB$3)))</f>
        <v/>
      </c>
      <c r="AC167" s="124" t="str">
        <f>IF($B167="","",IF(AC$3=0,"n.b.",INDEX(SRC_ZPMW03!$A$1:$ZZ$501,$A167,AC$3)))</f>
        <v/>
      </c>
      <c r="AD167" s="124" t="str">
        <f>IF($B167="","",IF(AD$3=0,"n.b.",INDEX(SRC_ZPMW03!$A$1:$ZZ$501,$A167,AD$3)))</f>
        <v/>
      </c>
      <c r="AE167" s="124" t="str">
        <f>IF($B167="","",IF(AE$3=0,"n.b.",INDEX(SRC_ZPMW03!$A$1:$ZZ$501,$A167,AE$3)))</f>
        <v/>
      </c>
      <c r="AF167" s="124" t="str">
        <f>IF($B167="","",IF(AF$3=0,"n.b.",INDEX(SRC_ZPMW03!$A$1:$ZZ$501,$A167,AF$3)))</f>
        <v/>
      </c>
      <c r="AG167" s="124" t="str">
        <f>IF($B167="","",IF(AG$3=0,"n.b.",INDEX(SRC_ZPMW03!$A$1:$ZZ$501,$A167,AG$3)))</f>
        <v/>
      </c>
      <c r="AH167" s="124" t="str">
        <f>IF($B167="","",IF(AH$3=0,"n.b.",INDEX(SRC_ZPMW03!$A$1:$ZZ$501,$A167,AH$3)))</f>
        <v/>
      </c>
      <c r="AI167" s="124" t="str">
        <f>IF($B167="","",IF(AI$3=0,"n.b.",INDEX(SRC_ZPMW03!$A$1:$ZZ$501,$A167,AI$3)))</f>
        <v/>
      </c>
      <c r="AJ167" s="124" t="str">
        <f>IF($B167="","",IF(AJ$3=0,"n.b.",INDEX(SRC_ZPMW03!$A$1:$ZZ$501,$A167,AJ$3)))</f>
        <v/>
      </c>
      <c r="AK167" s="124" t="str">
        <f>IF($B167="","",IF(AK$3=0,"n.b.",INDEX(SRC_ZPMW03!$A$1:$ZZ$501,$A167,AK$3)))</f>
        <v/>
      </c>
      <c r="AL167" s="124" t="str">
        <f>IF($B167="","",IF(AL$3=0,"n.b.",INDEX(SRC_ZPMW03!$A$1:$ZZ$501,$A167,AL$3)))</f>
        <v/>
      </c>
      <c r="AM167" s="124" t="str">
        <f>IF($B167="","",IF(AM$3=0,"n.b.",INDEX(SRC_ZPMW03!$A$1:$ZZ$501,$A167,AM$3)))</f>
        <v/>
      </c>
      <c r="AN167" s="124" t="str">
        <f>IF($B167="","",IF(AN$3=0,"n.b.",INDEX(SRC_ZPMW03!$A$1:$ZZ$501,$A167,AN$3)))</f>
        <v/>
      </c>
      <c r="AO167" s="124" t="str">
        <f>IF($B167="","",IF(AO$3=0,"n.b.",INDEX(SRC_ZPMW03!$A$1:$ZZ$501,$A167,AO$3)))</f>
        <v/>
      </c>
      <c r="AP167" s="124" t="str">
        <f>IF($B167="","",IF(AP$3=0,"n.b.",INDEX(SRC_ZPMW03!$A$1:$ZZ$501,$A167,AP$3)))</f>
        <v/>
      </c>
      <c r="AQ167" s="124" t="str">
        <f>IF($B167="","",IF(AQ$3=0,"n.b.",INDEX(SRC_ZPMW03!$A$1:$ZZ$501,$A167,AQ$3)))</f>
        <v/>
      </c>
      <c r="AR167" s="124" t="str">
        <f>IF($B167="","",IF(AR$3=0,"n.b.",INDEX(SRC_ZPMW03!$A$1:$ZZ$501,$A167,AR$3)))</f>
        <v/>
      </c>
      <c r="AS167" s="124" t="str">
        <f>IF($B167="","",IF(AS$3=0,"n.b.",INDEX(SRC_ZPMW03!$A$1:$ZZ$501,$A167,AS$3)))</f>
        <v/>
      </c>
      <c r="AT167" s="124" t="str">
        <f>IF($B167="","",IF(AT$3=0,"n.b.",INDEX(SRC_ZPMW03!$A$1:$ZZ$501,$A167,AT$3)))</f>
        <v/>
      </c>
      <c r="AU167" s="124" t="str">
        <f>IF($B167="","",IF(AU$3=0,"n.b.",INDEX(SRC_ZPMW03!$A$1:$ZZ$501,$A167,AU$3)))</f>
        <v/>
      </c>
      <c r="AV167" s="124" t="str">
        <f>IF($B167="","",IF(AV$3=0,"n.b.",INDEX(SRC_ZPMW03!$A$1:$ZZ$501,$A167,AV$3)))</f>
        <v/>
      </c>
      <c r="AW167" s="124" t="str">
        <f>IF($B167="","",IF(AW$3=0,"n.b.",INDEX(SRC_ZPMW03!$A$1:$ZZ$501,$A167,AW$3)))</f>
        <v/>
      </c>
      <c r="AX167" s="124" t="str">
        <f>IF($B167="","",IF(AX$3=0,"n.b.",INDEX(SRC_ZPMW03!$A$1:$ZZ$501,$A167,AX$3)))</f>
        <v/>
      </c>
      <c r="AY167" s="124" t="str">
        <f>IF($B167="","",IF(AY$3=0,"n.b.",INDEX(SRC_ZPMW03!$A$1:$ZZ$501,$A167,AY$3)))</f>
        <v/>
      </c>
      <c r="AZ167" s="124" t="str">
        <f>IF($B167="","",IF(AZ$3=0,"n.b.",INDEX(SRC_ZPMW03!$A$1:$ZZ$501,$A167,AZ$3)))</f>
        <v/>
      </c>
      <c r="BA167" s="124" t="str">
        <f>IF($B167="","",IF(BA$3=0,"n.b.",INDEX(SRC_ZPMW03!$A$1:$ZZ$501,$A167,BA$3)))</f>
        <v/>
      </c>
      <c r="BB167" s="124" t="str">
        <f>IF($B167="","",IF(BB$3=0,"n.b.",INDEX(SRC_ZPMW03!$A$1:$ZZ$501,$A167,BB$3)))</f>
        <v/>
      </c>
      <c r="BC167" s="124" t="str">
        <f>IF($B167="","",IF(BC$3=0,"n.b.",INDEX(SRC_ZPMW03!$A$1:$ZZ$501,$A167,BC$3)))</f>
        <v/>
      </c>
      <c r="BD167" s="124" t="str">
        <f>IF($B167="","",IF(BD$3=0,"n.b.",INDEX(SRC_ZPMW03!$A$1:$ZZ$501,$A167,BD$3)))</f>
        <v/>
      </c>
      <c r="BE167" s="124" t="str">
        <f>IF($B167="","",IF(BE$3=0,"n.b.",INDEX(SRC_ZPMW03!$A$1:$ZZ$501,$A167,BE$3)))</f>
        <v/>
      </c>
      <c r="BF167" s="124" t="str">
        <f>IF($B167="","",IF(BF$3=0,"n.b.",INDEX(SRC_ZPMW03!$A$1:$ZZ$501,$A167,BF$3)))</f>
        <v/>
      </c>
      <c r="BG167" t="str">
        <f>IF($B167="","",IF(BG$3=0,"n.b.",INDEX(SRC_ZPMW03!$A$1:$ZZ$501,$A167,BG$3)))</f>
        <v/>
      </c>
      <c r="BH167" t="str">
        <f>IF($B167="","",IF(BH$3=0,"n.b.",INDEX(SRC_ZPMW03!$A$1:$ZZ$501,$A167,BH$3)))</f>
        <v/>
      </c>
      <c r="BI167" t="str">
        <f>IF($B167="","",IF(BI$3=0,"n.b.",INDEX(SRC_ZPMW03!$A$1:$ZZ$501,$A167,BI$3)))</f>
        <v/>
      </c>
      <c r="BJ167" t="str">
        <f>IF($B167="","",IF(BJ$3=0,"n.b.",INDEX(SRC_ZPMW03!$A$1:$ZZ$501,$A167,BJ$3)))</f>
        <v/>
      </c>
      <c r="BK167" s="124" t="str">
        <f>IF($B167="","",IFERROR(-O167,"n.b."))</f>
        <v/>
      </c>
      <c r="BL167" s="124" t="str">
        <f>IF($B167="","",IFERROR(-Q167,"n.b."))</f>
        <v/>
      </c>
      <c r="BM167" s="124" t="str">
        <f>IF($B167="","",IFERROR(-AB167,"n.b."))</f>
        <v/>
      </c>
      <c r="BN167" s="124" t="str">
        <f>IF($B167="","",IFERROR(-AD167,"n.b."))</f>
        <v/>
      </c>
      <c r="BO167" s="124" t="str">
        <f>IF($B167="","",IFERROR(BK167+BM167,"n.b."))</f>
        <v/>
      </c>
      <c r="BP167" s="124" t="str">
        <f>IF($B167="","",IFERROR(BL167+BN167,"n.b."))</f>
        <v/>
      </c>
      <c r="BQ167" s="124" t="str">
        <f>IF($B167="","",IFERROR(-AM167,"n.b."))</f>
        <v/>
      </c>
      <c r="BR167" s="124" t="str">
        <f>IF($B167="","",IFERROR(-AO167,"n.b."))</f>
        <v/>
      </c>
      <c r="BS167" s="124" t="str">
        <f>IF($B167="","",IFERROR(-Z167,"n.b."))</f>
        <v/>
      </c>
      <c r="BT167" s="124" t="str">
        <f>IF($B167="","",IFERROR(-AA167,"n.b."))</f>
        <v/>
      </c>
      <c r="BU167" s="124" t="str">
        <f>IF($B167="","",IFERROR(-AE167,"n.b."))</f>
        <v/>
      </c>
      <c r="BV167" s="124" t="str">
        <f>IF($B167="","",IFERROR(-AF167,"n.b."))</f>
        <v/>
      </c>
      <c r="BW167" s="124" t="str">
        <f>IF($B167="","",IFERROR(-AG167,"n.b."))</f>
        <v/>
      </c>
      <c r="BX167" s="124" t="str">
        <f>IF($B167="","",IFERROR(-AH167,"n.b."))</f>
        <v/>
      </c>
      <c r="BY167" s="124" t="str">
        <f>IF($B167="","",IFERROR(-AI167,"n.b."))</f>
        <v/>
      </c>
      <c r="BZ167" s="124" t="str">
        <f>IF($B167="","",IFERROR(-AJ167,"n.b."))</f>
        <v/>
      </c>
      <c r="CA167" s="124" t="str">
        <f>IF($B167="","",IFERROR(-AK167,"n.b."))</f>
        <v/>
      </c>
      <c r="CB167" s="124" t="str">
        <f>IF($B167="","",IFERROR(-AL167,"n.b."))</f>
        <v/>
      </c>
      <c r="CC167" s="124" t="str">
        <f>IF($B167="","",IFERROR(-AP167,"n.b."))</f>
        <v/>
      </c>
      <c r="CD167" s="124" t="str">
        <f>IF($B167="","",IFERROR(-AQ167,"n.b."))</f>
        <v/>
      </c>
      <c r="CE167" s="124" t="str">
        <f>IF($B167="","",IFERROR(-AR167,"n.b."))</f>
        <v/>
      </c>
      <c r="CF167" s="124" t="str">
        <f>IF($B167="","",IFERROR(-AS167,"n.b."))</f>
        <v/>
      </c>
      <c r="CG167" s="124" t="str">
        <f>IF($B167="","",IFERROR(-AT167,"n.b."))</f>
        <v/>
      </c>
      <c r="CH167" s="124" t="str">
        <f>IF($B167="","",IFERROR(-AU167,"n.b."))</f>
        <v/>
      </c>
      <c r="CI167" s="124" t="str">
        <f>IF($B167="","",IFERROR(-AV167,"n.b."))</f>
        <v/>
      </c>
      <c r="CJ167" s="124" t="str">
        <f>IF($B167="","",IFERROR(-AW167,"n.b."))</f>
        <v/>
      </c>
      <c r="CK167" s="124" t="str">
        <f>IF($B167="","",IFERROR(-AX167,"n.b."))</f>
        <v/>
      </c>
      <c r="CL167" s="124" t="str">
        <f>IF($B167="","",IFERROR(-AY167,"n.b."))</f>
        <v/>
      </c>
      <c r="CM167" s="124" t="str">
        <f>IF($B167="","",IFERROR(-AZ167,"n.b."))</f>
        <v/>
      </c>
      <c r="CN167" s="124" t="str">
        <f>IF($B167="","",IFERROR(-BA167,"n.b."))</f>
        <v/>
      </c>
      <c r="CO167" s="124" t="str">
        <f>IF($B167="","",IFERROR(-BB167,"n.b."))</f>
        <v/>
      </c>
      <c r="CP167" s="124" t="str">
        <f>IF($B167="","",IFERROR(-BC167,"n.b."))</f>
        <v/>
      </c>
      <c r="CQ167" s="124" t="str">
        <f>IF($B167="","",IFERROR(-BD167,"n.b."))</f>
        <v/>
      </c>
      <c r="CR167" s="124" t="str">
        <f>IF($B167="","",IFERROR(-BE167,"n.b."))</f>
        <v/>
      </c>
      <c r="CS167" s="124" t="str">
        <f>IF($B167="","",IFERROR(IF(OR(ABS(T167+V167+X167+Z167-AB167)&gt;P_Tol,ABS(U167+W167+Y167+AA167-AD167)&gt;P_Tol,ABS(AE167+AG167+AI167+AK167-AM167)&gt;P_Tol,ABS(AF167+AH167+AJ167+AL167-AO167)&gt;P_Tol),1,0),1))</f>
        <v/>
      </c>
      <c r="CT167" s="124" t="str">
        <f>IF($B167="","",IFERROR(IF(OR(ABS(AB167+AC167-AD167)&gt;P_Tol,ABS(AM167+AN167-AO167)&gt;P_Tol,ABS(O167+P167-Q167)&gt;P_Tol),1,0),1))</f>
        <v/>
      </c>
      <c r="CU167" s="124" t="str">
        <f>IF($B167="","",IFERROR(IF(ABS(R167-(AB167+AM167+AP167+AR167+AT167+AV167+AX167+AZ167+BB167+BD167))&gt;P_Tol,1,0),1))</f>
        <v/>
      </c>
      <c r="CV167" s="124" t="str">
        <f>IF($B167="","",IFERROR(IF(ABS(M167-(N167+O167+R167))&gt;P_Tol,1,0),1))</f>
        <v/>
      </c>
      <c r="CW167" s="124" t="str">
        <f>IF($B167="","",IF(COUNTIF(Mapping!$A$5:$A$104,B167)&gt;0,1,0))</f>
        <v/>
      </c>
      <c r="CX167" s="124" t="str">
        <f>IF($B167="","",COUNTIF($B$6:$B$505,B167))</f>
        <v/>
      </c>
      <c r="CY167" s="124" t="str">
        <f>IF($B167="","",COUNTIF(STG_Woningetalage!$B$6:$B$505,B167))</f>
        <v/>
      </c>
      <c r="CZ167" s="124" t="str">
        <f>IF($B167="","",IF(CW167=0,COUNTIF($CW$6:CW167,0),""))</f>
        <v/>
      </c>
    </row>
    <row r="168">
      <c r="A168" s="15" t="n">
        <v>164</v>
      </c>
      <c r="B168" t="str">
        <f>IF(B$3=0,"",IF(INDEX(SRC_ZPMW03!$A$1:$ZZ$501,$A168,B$3)&amp;""="","",INDEX(SRC_ZPMW03!$A$1:$ZZ$501,$A168,B$3)&amp;""))</f>
        <v/>
      </c>
      <c r="C168" t="str">
        <f>IF($B168="","",IF(C$3=0,"n.b.",INDEX(SRC_ZPMW03!$A$1:$ZZ$501,$A168,C$3)))</f>
        <v/>
      </c>
      <c r="D168" t="str">
        <f>IF($B168="","",IF(D$3=0,"n.b.",INDEX(SRC_ZPMW03!$A$1:$ZZ$501,$A168,D$3)))</f>
        <v/>
      </c>
      <c r="E168" t="str">
        <f>IF($B168="","",IF(E$3=0,"n.b.",INDEX(SRC_ZPMW03!$A$1:$ZZ$501,$A168,E$3)))</f>
        <v/>
      </c>
      <c r="F168" t="str">
        <f>IF($B168="","",IF(F$3=0,"n.b.",INDEX(SRC_ZPMW03!$A$1:$ZZ$501,$A168,F$3)))</f>
        <v/>
      </c>
      <c r="G168" t="str">
        <f>IF($B168="","",IF(G$3=0,"n.b.",INDEX(SRC_ZPMW03!$A$1:$ZZ$501,$A168,G$3)))</f>
        <v/>
      </c>
      <c r="H168" t="str">
        <f>IF($B168="","",IF(H$3=0,"n.b.",INDEX(SRC_ZPMW03!$A$1:$ZZ$501,$A168,H$3)))</f>
        <v/>
      </c>
      <c r="I168" t="str">
        <f>IF($B168="","",IF(I$3=0,"n.b.",INDEX(SRC_ZPMW03!$A$1:$ZZ$501,$A168,I$3)))</f>
        <v/>
      </c>
      <c r="J168" t="str">
        <f>IF($B168="","",IF(J$3=0,"n.b.",INDEX(SRC_ZPMW03!$A$1:$ZZ$501,$A168,J$3)))</f>
        <v/>
      </c>
      <c r="K168" t="str">
        <f>IF($B168="","",IF(K$3=0,"n.b.",INDEX(SRC_ZPMW03!$A$1:$ZZ$501,$A168,K$3)))</f>
        <v/>
      </c>
      <c r="L168" s="124" t="str">
        <f>IF($B168="","",IF(L$3=0,"n.b.",INDEX(SRC_ZPMW03!$A$1:$ZZ$501,$A168,L$3)))</f>
        <v/>
      </c>
      <c r="M168" s="124" t="str">
        <f>IF($B168="","",IF(M$3=0,"n.b.",INDEX(SRC_ZPMW03!$A$1:$ZZ$501,$A168,M$3)))</f>
        <v/>
      </c>
      <c r="N168" s="124" t="str">
        <f>IF($B168="","",IF(N$3=0,"n.b.",INDEX(SRC_ZPMW03!$A$1:$ZZ$501,$A168,N$3)))</f>
        <v/>
      </c>
      <c r="O168" s="124" t="str">
        <f>IF($B168="","",IF(O$3=0,"n.b.",INDEX(SRC_ZPMW03!$A$1:$ZZ$501,$A168,O$3)))</f>
        <v/>
      </c>
      <c r="P168" s="124" t="str">
        <f>IF($B168="","",IF(P$3=0,"n.b.",INDEX(SRC_ZPMW03!$A$1:$ZZ$501,$A168,P$3)))</f>
        <v/>
      </c>
      <c r="Q168" s="124" t="str">
        <f>IF($B168="","",IF(Q$3=0,"n.b.",INDEX(SRC_ZPMW03!$A$1:$ZZ$501,$A168,Q$3)))</f>
        <v/>
      </c>
      <c r="R168" s="124" t="str">
        <f>IF($B168="","",IF(R$3=0,"n.b.",INDEX(SRC_ZPMW03!$A$1:$ZZ$501,$A168,R$3)))</f>
        <v/>
      </c>
      <c r="S168" s="124" t="str">
        <f>IF($B168="","",IF(S$3=0,"n.b.",INDEX(SRC_ZPMW03!$A$1:$ZZ$501,$A168,S$3)))</f>
        <v/>
      </c>
      <c r="T168" s="124" t="str">
        <f>IF($B168="","",IF(T$3=0,"n.b.",INDEX(SRC_ZPMW03!$A$1:$ZZ$501,$A168,T$3)))</f>
        <v/>
      </c>
      <c r="U168" s="124" t="str">
        <f>IF($B168="","",IF(U$3=0,"n.b.",INDEX(SRC_ZPMW03!$A$1:$ZZ$501,$A168,U$3)))</f>
        <v/>
      </c>
      <c r="V168" s="124" t="str">
        <f>IF($B168="","",IF(V$3=0,"n.b.",INDEX(SRC_ZPMW03!$A$1:$ZZ$501,$A168,V$3)))</f>
        <v/>
      </c>
      <c r="W168" s="124" t="str">
        <f>IF($B168="","",IF(W$3=0,"n.b.",INDEX(SRC_ZPMW03!$A$1:$ZZ$501,$A168,W$3)))</f>
        <v/>
      </c>
      <c r="X168" s="124" t="str">
        <f>IF($B168="","",IF(X$3=0,"n.b.",INDEX(SRC_ZPMW03!$A$1:$ZZ$501,$A168,X$3)))</f>
        <v/>
      </c>
      <c r="Y168" s="124" t="str">
        <f>IF($B168="","",IF(Y$3=0,"n.b.",INDEX(SRC_ZPMW03!$A$1:$ZZ$501,$A168,Y$3)))</f>
        <v/>
      </c>
      <c r="Z168" s="124" t="str">
        <f>IF($B168="","",IF(Z$3=0,"n.b.",INDEX(SRC_ZPMW03!$A$1:$ZZ$501,$A168,Z$3)))</f>
        <v/>
      </c>
      <c r="AA168" s="124" t="str">
        <f>IF($B168="","",IF(AA$3=0,"n.b.",INDEX(SRC_ZPMW03!$A$1:$ZZ$501,$A168,AA$3)))</f>
        <v/>
      </c>
      <c r="AB168" s="124" t="str">
        <f>IF($B168="","",IF(AB$3=0,"n.b.",INDEX(SRC_ZPMW03!$A$1:$ZZ$501,$A168,AB$3)))</f>
        <v/>
      </c>
      <c r="AC168" s="124" t="str">
        <f>IF($B168="","",IF(AC$3=0,"n.b.",INDEX(SRC_ZPMW03!$A$1:$ZZ$501,$A168,AC$3)))</f>
        <v/>
      </c>
      <c r="AD168" s="124" t="str">
        <f>IF($B168="","",IF(AD$3=0,"n.b.",INDEX(SRC_ZPMW03!$A$1:$ZZ$501,$A168,AD$3)))</f>
        <v/>
      </c>
      <c r="AE168" s="124" t="str">
        <f>IF($B168="","",IF(AE$3=0,"n.b.",INDEX(SRC_ZPMW03!$A$1:$ZZ$501,$A168,AE$3)))</f>
        <v/>
      </c>
      <c r="AF168" s="124" t="str">
        <f>IF($B168="","",IF(AF$3=0,"n.b.",INDEX(SRC_ZPMW03!$A$1:$ZZ$501,$A168,AF$3)))</f>
        <v/>
      </c>
      <c r="AG168" s="124" t="str">
        <f>IF($B168="","",IF(AG$3=0,"n.b.",INDEX(SRC_ZPMW03!$A$1:$ZZ$501,$A168,AG$3)))</f>
        <v/>
      </c>
      <c r="AH168" s="124" t="str">
        <f>IF($B168="","",IF(AH$3=0,"n.b.",INDEX(SRC_ZPMW03!$A$1:$ZZ$501,$A168,AH$3)))</f>
        <v/>
      </c>
      <c r="AI168" s="124" t="str">
        <f>IF($B168="","",IF(AI$3=0,"n.b.",INDEX(SRC_ZPMW03!$A$1:$ZZ$501,$A168,AI$3)))</f>
        <v/>
      </c>
      <c r="AJ168" s="124" t="str">
        <f>IF($B168="","",IF(AJ$3=0,"n.b.",INDEX(SRC_ZPMW03!$A$1:$ZZ$501,$A168,AJ$3)))</f>
        <v/>
      </c>
      <c r="AK168" s="124" t="str">
        <f>IF($B168="","",IF(AK$3=0,"n.b.",INDEX(SRC_ZPMW03!$A$1:$ZZ$501,$A168,AK$3)))</f>
        <v/>
      </c>
      <c r="AL168" s="124" t="str">
        <f>IF($B168="","",IF(AL$3=0,"n.b.",INDEX(SRC_ZPMW03!$A$1:$ZZ$501,$A168,AL$3)))</f>
        <v/>
      </c>
      <c r="AM168" s="124" t="str">
        <f>IF($B168="","",IF(AM$3=0,"n.b.",INDEX(SRC_ZPMW03!$A$1:$ZZ$501,$A168,AM$3)))</f>
        <v/>
      </c>
      <c r="AN168" s="124" t="str">
        <f>IF($B168="","",IF(AN$3=0,"n.b.",INDEX(SRC_ZPMW03!$A$1:$ZZ$501,$A168,AN$3)))</f>
        <v/>
      </c>
      <c r="AO168" s="124" t="str">
        <f>IF($B168="","",IF(AO$3=0,"n.b.",INDEX(SRC_ZPMW03!$A$1:$ZZ$501,$A168,AO$3)))</f>
        <v/>
      </c>
      <c r="AP168" s="124" t="str">
        <f>IF($B168="","",IF(AP$3=0,"n.b.",INDEX(SRC_ZPMW03!$A$1:$ZZ$501,$A168,AP$3)))</f>
        <v/>
      </c>
      <c r="AQ168" s="124" t="str">
        <f>IF($B168="","",IF(AQ$3=0,"n.b.",INDEX(SRC_ZPMW03!$A$1:$ZZ$501,$A168,AQ$3)))</f>
        <v/>
      </c>
      <c r="AR168" s="124" t="str">
        <f>IF($B168="","",IF(AR$3=0,"n.b.",INDEX(SRC_ZPMW03!$A$1:$ZZ$501,$A168,AR$3)))</f>
        <v/>
      </c>
      <c r="AS168" s="124" t="str">
        <f>IF($B168="","",IF(AS$3=0,"n.b.",INDEX(SRC_ZPMW03!$A$1:$ZZ$501,$A168,AS$3)))</f>
        <v/>
      </c>
      <c r="AT168" s="124" t="str">
        <f>IF($B168="","",IF(AT$3=0,"n.b.",INDEX(SRC_ZPMW03!$A$1:$ZZ$501,$A168,AT$3)))</f>
        <v/>
      </c>
      <c r="AU168" s="124" t="str">
        <f>IF($B168="","",IF(AU$3=0,"n.b.",INDEX(SRC_ZPMW03!$A$1:$ZZ$501,$A168,AU$3)))</f>
        <v/>
      </c>
      <c r="AV168" s="124" t="str">
        <f>IF($B168="","",IF(AV$3=0,"n.b.",INDEX(SRC_ZPMW03!$A$1:$ZZ$501,$A168,AV$3)))</f>
        <v/>
      </c>
      <c r="AW168" s="124" t="str">
        <f>IF($B168="","",IF(AW$3=0,"n.b.",INDEX(SRC_ZPMW03!$A$1:$ZZ$501,$A168,AW$3)))</f>
        <v/>
      </c>
      <c r="AX168" s="124" t="str">
        <f>IF($B168="","",IF(AX$3=0,"n.b.",INDEX(SRC_ZPMW03!$A$1:$ZZ$501,$A168,AX$3)))</f>
        <v/>
      </c>
      <c r="AY168" s="124" t="str">
        <f>IF($B168="","",IF(AY$3=0,"n.b.",INDEX(SRC_ZPMW03!$A$1:$ZZ$501,$A168,AY$3)))</f>
        <v/>
      </c>
      <c r="AZ168" s="124" t="str">
        <f>IF($B168="","",IF(AZ$3=0,"n.b.",INDEX(SRC_ZPMW03!$A$1:$ZZ$501,$A168,AZ$3)))</f>
        <v/>
      </c>
      <c r="BA168" s="124" t="str">
        <f>IF($B168="","",IF(BA$3=0,"n.b.",INDEX(SRC_ZPMW03!$A$1:$ZZ$501,$A168,BA$3)))</f>
        <v/>
      </c>
      <c r="BB168" s="124" t="str">
        <f>IF($B168="","",IF(BB$3=0,"n.b.",INDEX(SRC_ZPMW03!$A$1:$ZZ$501,$A168,BB$3)))</f>
        <v/>
      </c>
      <c r="BC168" s="124" t="str">
        <f>IF($B168="","",IF(BC$3=0,"n.b.",INDEX(SRC_ZPMW03!$A$1:$ZZ$501,$A168,BC$3)))</f>
        <v/>
      </c>
      <c r="BD168" s="124" t="str">
        <f>IF($B168="","",IF(BD$3=0,"n.b.",INDEX(SRC_ZPMW03!$A$1:$ZZ$501,$A168,BD$3)))</f>
        <v/>
      </c>
      <c r="BE168" s="124" t="str">
        <f>IF($B168="","",IF(BE$3=0,"n.b.",INDEX(SRC_ZPMW03!$A$1:$ZZ$501,$A168,BE$3)))</f>
        <v/>
      </c>
      <c r="BF168" s="124" t="str">
        <f>IF($B168="","",IF(BF$3=0,"n.b.",INDEX(SRC_ZPMW03!$A$1:$ZZ$501,$A168,BF$3)))</f>
        <v/>
      </c>
      <c r="BG168" t="str">
        <f>IF($B168="","",IF(BG$3=0,"n.b.",INDEX(SRC_ZPMW03!$A$1:$ZZ$501,$A168,BG$3)))</f>
        <v/>
      </c>
      <c r="BH168" t="str">
        <f>IF($B168="","",IF(BH$3=0,"n.b.",INDEX(SRC_ZPMW03!$A$1:$ZZ$501,$A168,BH$3)))</f>
        <v/>
      </c>
      <c r="BI168" t="str">
        <f>IF($B168="","",IF(BI$3=0,"n.b.",INDEX(SRC_ZPMW03!$A$1:$ZZ$501,$A168,BI$3)))</f>
        <v/>
      </c>
      <c r="BJ168" t="str">
        <f>IF($B168="","",IF(BJ$3=0,"n.b.",INDEX(SRC_ZPMW03!$A$1:$ZZ$501,$A168,BJ$3)))</f>
        <v/>
      </c>
      <c r="BK168" s="124" t="str">
        <f>IF($B168="","",IFERROR(-O168,"n.b."))</f>
        <v/>
      </c>
      <c r="BL168" s="124" t="str">
        <f>IF($B168="","",IFERROR(-Q168,"n.b."))</f>
        <v/>
      </c>
      <c r="BM168" s="124" t="str">
        <f>IF($B168="","",IFERROR(-AB168,"n.b."))</f>
        <v/>
      </c>
      <c r="BN168" s="124" t="str">
        <f>IF($B168="","",IFERROR(-AD168,"n.b."))</f>
        <v/>
      </c>
      <c r="BO168" s="124" t="str">
        <f>IF($B168="","",IFERROR(BK168+BM168,"n.b."))</f>
        <v/>
      </c>
      <c r="BP168" s="124" t="str">
        <f>IF($B168="","",IFERROR(BL168+BN168,"n.b."))</f>
        <v/>
      </c>
      <c r="BQ168" s="124" t="str">
        <f>IF($B168="","",IFERROR(-AM168,"n.b."))</f>
        <v/>
      </c>
      <c r="BR168" s="124" t="str">
        <f>IF($B168="","",IFERROR(-AO168,"n.b."))</f>
        <v/>
      </c>
      <c r="BS168" s="124" t="str">
        <f>IF($B168="","",IFERROR(-Z168,"n.b."))</f>
        <v/>
      </c>
      <c r="BT168" s="124" t="str">
        <f>IF($B168="","",IFERROR(-AA168,"n.b."))</f>
        <v/>
      </c>
      <c r="BU168" s="124" t="str">
        <f>IF($B168="","",IFERROR(-AE168,"n.b."))</f>
        <v/>
      </c>
      <c r="BV168" s="124" t="str">
        <f>IF($B168="","",IFERROR(-AF168,"n.b."))</f>
        <v/>
      </c>
      <c r="BW168" s="124" t="str">
        <f>IF($B168="","",IFERROR(-AG168,"n.b."))</f>
        <v/>
      </c>
      <c r="BX168" s="124" t="str">
        <f>IF($B168="","",IFERROR(-AH168,"n.b."))</f>
        <v/>
      </c>
      <c r="BY168" s="124" t="str">
        <f>IF($B168="","",IFERROR(-AI168,"n.b."))</f>
        <v/>
      </c>
      <c r="BZ168" s="124" t="str">
        <f>IF($B168="","",IFERROR(-AJ168,"n.b."))</f>
        <v/>
      </c>
      <c r="CA168" s="124" t="str">
        <f>IF($B168="","",IFERROR(-AK168,"n.b."))</f>
        <v/>
      </c>
      <c r="CB168" s="124" t="str">
        <f>IF($B168="","",IFERROR(-AL168,"n.b."))</f>
        <v/>
      </c>
      <c r="CC168" s="124" t="str">
        <f>IF($B168="","",IFERROR(-AP168,"n.b."))</f>
        <v/>
      </c>
      <c r="CD168" s="124" t="str">
        <f>IF($B168="","",IFERROR(-AQ168,"n.b."))</f>
        <v/>
      </c>
      <c r="CE168" s="124" t="str">
        <f>IF($B168="","",IFERROR(-AR168,"n.b."))</f>
        <v/>
      </c>
      <c r="CF168" s="124" t="str">
        <f>IF($B168="","",IFERROR(-AS168,"n.b."))</f>
        <v/>
      </c>
      <c r="CG168" s="124" t="str">
        <f>IF($B168="","",IFERROR(-AT168,"n.b."))</f>
        <v/>
      </c>
      <c r="CH168" s="124" t="str">
        <f>IF($B168="","",IFERROR(-AU168,"n.b."))</f>
        <v/>
      </c>
      <c r="CI168" s="124" t="str">
        <f>IF($B168="","",IFERROR(-AV168,"n.b."))</f>
        <v/>
      </c>
      <c r="CJ168" s="124" t="str">
        <f>IF($B168="","",IFERROR(-AW168,"n.b."))</f>
        <v/>
      </c>
      <c r="CK168" s="124" t="str">
        <f>IF($B168="","",IFERROR(-AX168,"n.b."))</f>
        <v/>
      </c>
      <c r="CL168" s="124" t="str">
        <f>IF($B168="","",IFERROR(-AY168,"n.b."))</f>
        <v/>
      </c>
      <c r="CM168" s="124" t="str">
        <f>IF($B168="","",IFERROR(-AZ168,"n.b."))</f>
        <v/>
      </c>
      <c r="CN168" s="124" t="str">
        <f>IF($B168="","",IFERROR(-BA168,"n.b."))</f>
        <v/>
      </c>
      <c r="CO168" s="124" t="str">
        <f>IF($B168="","",IFERROR(-BB168,"n.b."))</f>
        <v/>
      </c>
      <c r="CP168" s="124" t="str">
        <f>IF($B168="","",IFERROR(-BC168,"n.b."))</f>
        <v/>
      </c>
      <c r="CQ168" s="124" t="str">
        <f>IF($B168="","",IFERROR(-BD168,"n.b."))</f>
        <v/>
      </c>
      <c r="CR168" s="124" t="str">
        <f>IF($B168="","",IFERROR(-BE168,"n.b."))</f>
        <v/>
      </c>
      <c r="CS168" s="124" t="str">
        <f>IF($B168="","",IFERROR(IF(OR(ABS(T168+V168+X168+Z168-AB168)&gt;P_Tol,ABS(U168+W168+Y168+AA168-AD168)&gt;P_Tol,ABS(AE168+AG168+AI168+AK168-AM168)&gt;P_Tol,ABS(AF168+AH168+AJ168+AL168-AO168)&gt;P_Tol),1,0),1))</f>
        <v/>
      </c>
      <c r="CT168" s="124" t="str">
        <f>IF($B168="","",IFERROR(IF(OR(ABS(AB168+AC168-AD168)&gt;P_Tol,ABS(AM168+AN168-AO168)&gt;P_Tol,ABS(O168+P168-Q168)&gt;P_Tol),1,0),1))</f>
        <v/>
      </c>
      <c r="CU168" s="124" t="str">
        <f>IF($B168="","",IFERROR(IF(ABS(R168-(AB168+AM168+AP168+AR168+AT168+AV168+AX168+AZ168+BB168+BD168))&gt;P_Tol,1,0),1))</f>
        <v/>
      </c>
      <c r="CV168" s="124" t="str">
        <f>IF($B168="","",IFERROR(IF(ABS(M168-(N168+O168+R168))&gt;P_Tol,1,0),1))</f>
        <v/>
      </c>
      <c r="CW168" s="124" t="str">
        <f>IF($B168="","",IF(COUNTIF(Mapping!$A$5:$A$104,B168)&gt;0,1,0))</f>
        <v/>
      </c>
      <c r="CX168" s="124" t="str">
        <f>IF($B168="","",COUNTIF($B$6:$B$505,B168))</f>
        <v/>
      </c>
      <c r="CY168" s="124" t="str">
        <f>IF($B168="","",COUNTIF(STG_Woningetalage!$B$6:$B$505,B168))</f>
        <v/>
      </c>
      <c r="CZ168" s="124" t="str">
        <f>IF($B168="","",IF(CW168=0,COUNTIF($CW$6:CW168,0),""))</f>
        <v/>
      </c>
    </row>
    <row r="169">
      <c r="A169" s="15" t="n">
        <v>165</v>
      </c>
      <c r="B169" t="str">
        <f>IF(B$3=0,"",IF(INDEX(SRC_ZPMW03!$A$1:$ZZ$501,$A169,B$3)&amp;""="","",INDEX(SRC_ZPMW03!$A$1:$ZZ$501,$A169,B$3)&amp;""))</f>
        <v/>
      </c>
      <c r="C169" t="str">
        <f>IF($B169="","",IF(C$3=0,"n.b.",INDEX(SRC_ZPMW03!$A$1:$ZZ$501,$A169,C$3)))</f>
        <v/>
      </c>
      <c r="D169" t="str">
        <f>IF($B169="","",IF(D$3=0,"n.b.",INDEX(SRC_ZPMW03!$A$1:$ZZ$501,$A169,D$3)))</f>
        <v/>
      </c>
      <c r="E169" t="str">
        <f>IF($B169="","",IF(E$3=0,"n.b.",INDEX(SRC_ZPMW03!$A$1:$ZZ$501,$A169,E$3)))</f>
        <v/>
      </c>
      <c r="F169" t="str">
        <f>IF($B169="","",IF(F$3=0,"n.b.",INDEX(SRC_ZPMW03!$A$1:$ZZ$501,$A169,F$3)))</f>
        <v/>
      </c>
      <c r="G169" t="str">
        <f>IF($B169="","",IF(G$3=0,"n.b.",INDEX(SRC_ZPMW03!$A$1:$ZZ$501,$A169,G$3)))</f>
        <v/>
      </c>
      <c r="H169" t="str">
        <f>IF($B169="","",IF(H$3=0,"n.b.",INDEX(SRC_ZPMW03!$A$1:$ZZ$501,$A169,H$3)))</f>
        <v/>
      </c>
      <c r="I169" t="str">
        <f>IF($B169="","",IF(I$3=0,"n.b.",INDEX(SRC_ZPMW03!$A$1:$ZZ$501,$A169,I$3)))</f>
        <v/>
      </c>
      <c r="J169" t="str">
        <f>IF($B169="","",IF(J$3=0,"n.b.",INDEX(SRC_ZPMW03!$A$1:$ZZ$501,$A169,J$3)))</f>
        <v/>
      </c>
      <c r="K169" t="str">
        <f>IF($B169="","",IF(K$3=0,"n.b.",INDEX(SRC_ZPMW03!$A$1:$ZZ$501,$A169,K$3)))</f>
        <v/>
      </c>
      <c r="L169" s="124" t="str">
        <f>IF($B169="","",IF(L$3=0,"n.b.",INDEX(SRC_ZPMW03!$A$1:$ZZ$501,$A169,L$3)))</f>
        <v/>
      </c>
      <c r="M169" s="124" t="str">
        <f>IF($B169="","",IF(M$3=0,"n.b.",INDEX(SRC_ZPMW03!$A$1:$ZZ$501,$A169,M$3)))</f>
        <v/>
      </c>
      <c r="N169" s="124" t="str">
        <f>IF($B169="","",IF(N$3=0,"n.b.",INDEX(SRC_ZPMW03!$A$1:$ZZ$501,$A169,N$3)))</f>
        <v/>
      </c>
      <c r="O169" s="124" t="str">
        <f>IF($B169="","",IF(O$3=0,"n.b.",INDEX(SRC_ZPMW03!$A$1:$ZZ$501,$A169,O$3)))</f>
        <v/>
      </c>
      <c r="P169" s="124" t="str">
        <f>IF($B169="","",IF(P$3=0,"n.b.",INDEX(SRC_ZPMW03!$A$1:$ZZ$501,$A169,P$3)))</f>
        <v/>
      </c>
      <c r="Q169" s="124" t="str">
        <f>IF($B169="","",IF(Q$3=0,"n.b.",INDEX(SRC_ZPMW03!$A$1:$ZZ$501,$A169,Q$3)))</f>
        <v/>
      </c>
      <c r="R169" s="124" t="str">
        <f>IF($B169="","",IF(R$3=0,"n.b.",INDEX(SRC_ZPMW03!$A$1:$ZZ$501,$A169,R$3)))</f>
        <v/>
      </c>
      <c r="S169" s="124" t="str">
        <f>IF($B169="","",IF(S$3=0,"n.b.",INDEX(SRC_ZPMW03!$A$1:$ZZ$501,$A169,S$3)))</f>
        <v/>
      </c>
      <c r="T169" s="124" t="str">
        <f>IF($B169="","",IF(T$3=0,"n.b.",INDEX(SRC_ZPMW03!$A$1:$ZZ$501,$A169,T$3)))</f>
        <v/>
      </c>
      <c r="U169" s="124" t="str">
        <f>IF($B169="","",IF(U$3=0,"n.b.",INDEX(SRC_ZPMW03!$A$1:$ZZ$501,$A169,U$3)))</f>
        <v/>
      </c>
      <c r="V169" s="124" t="str">
        <f>IF($B169="","",IF(V$3=0,"n.b.",INDEX(SRC_ZPMW03!$A$1:$ZZ$501,$A169,V$3)))</f>
        <v/>
      </c>
      <c r="W169" s="124" t="str">
        <f>IF($B169="","",IF(W$3=0,"n.b.",INDEX(SRC_ZPMW03!$A$1:$ZZ$501,$A169,W$3)))</f>
        <v/>
      </c>
      <c r="X169" s="124" t="str">
        <f>IF($B169="","",IF(X$3=0,"n.b.",INDEX(SRC_ZPMW03!$A$1:$ZZ$501,$A169,X$3)))</f>
        <v/>
      </c>
      <c r="Y169" s="124" t="str">
        <f>IF($B169="","",IF(Y$3=0,"n.b.",INDEX(SRC_ZPMW03!$A$1:$ZZ$501,$A169,Y$3)))</f>
        <v/>
      </c>
      <c r="Z169" s="124" t="str">
        <f>IF($B169="","",IF(Z$3=0,"n.b.",INDEX(SRC_ZPMW03!$A$1:$ZZ$501,$A169,Z$3)))</f>
        <v/>
      </c>
      <c r="AA169" s="124" t="str">
        <f>IF($B169="","",IF(AA$3=0,"n.b.",INDEX(SRC_ZPMW03!$A$1:$ZZ$501,$A169,AA$3)))</f>
        <v/>
      </c>
      <c r="AB169" s="124" t="str">
        <f>IF($B169="","",IF(AB$3=0,"n.b.",INDEX(SRC_ZPMW03!$A$1:$ZZ$501,$A169,AB$3)))</f>
        <v/>
      </c>
      <c r="AC169" s="124" t="str">
        <f>IF($B169="","",IF(AC$3=0,"n.b.",INDEX(SRC_ZPMW03!$A$1:$ZZ$501,$A169,AC$3)))</f>
        <v/>
      </c>
      <c r="AD169" s="124" t="str">
        <f>IF($B169="","",IF(AD$3=0,"n.b.",INDEX(SRC_ZPMW03!$A$1:$ZZ$501,$A169,AD$3)))</f>
        <v/>
      </c>
      <c r="AE169" s="124" t="str">
        <f>IF($B169="","",IF(AE$3=0,"n.b.",INDEX(SRC_ZPMW03!$A$1:$ZZ$501,$A169,AE$3)))</f>
        <v/>
      </c>
      <c r="AF169" s="124" t="str">
        <f>IF($B169="","",IF(AF$3=0,"n.b.",INDEX(SRC_ZPMW03!$A$1:$ZZ$501,$A169,AF$3)))</f>
        <v/>
      </c>
      <c r="AG169" s="124" t="str">
        <f>IF($B169="","",IF(AG$3=0,"n.b.",INDEX(SRC_ZPMW03!$A$1:$ZZ$501,$A169,AG$3)))</f>
        <v/>
      </c>
      <c r="AH169" s="124" t="str">
        <f>IF($B169="","",IF(AH$3=0,"n.b.",INDEX(SRC_ZPMW03!$A$1:$ZZ$501,$A169,AH$3)))</f>
        <v/>
      </c>
      <c r="AI169" s="124" t="str">
        <f>IF($B169="","",IF(AI$3=0,"n.b.",INDEX(SRC_ZPMW03!$A$1:$ZZ$501,$A169,AI$3)))</f>
        <v/>
      </c>
      <c r="AJ169" s="124" t="str">
        <f>IF($B169="","",IF(AJ$3=0,"n.b.",INDEX(SRC_ZPMW03!$A$1:$ZZ$501,$A169,AJ$3)))</f>
        <v/>
      </c>
      <c r="AK169" s="124" t="str">
        <f>IF($B169="","",IF(AK$3=0,"n.b.",INDEX(SRC_ZPMW03!$A$1:$ZZ$501,$A169,AK$3)))</f>
        <v/>
      </c>
      <c r="AL169" s="124" t="str">
        <f>IF($B169="","",IF(AL$3=0,"n.b.",INDEX(SRC_ZPMW03!$A$1:$ZZ$501,$A169,AL$3)))</f>
        <v/>
      </c>
      <c r="AM169" s="124" t="str">
        <f>IF($B169="","",IF(AM$3=0,"n.b.",INDEX(SRC_ZPMW03!$A$1:$ZZ$501,$A169,AM$3)))</f>
        <v/>
      </c>
      <c r="AN169" s="124" t="str">
        <f>IF($B169="","",IF(AN$3=0,"n.b.",INDEX(SRC_ZPMW03!$A$1:$ZZ$501,$A169,AN$3)))</f>
        <v/>
      </c>
      <c r="AO169" s="124" t="str">
        <f>IF($B169="","",IF(AO$3=0,"n.b.",INDEX(SRC_ZPMW03!$A$1:$ZZ$501,$A169,AO$3)))</f>
        <v/>
      </c>
      <c r="AP169" s="124" t="str">
        <f>IF($B169="","",IF(AP$3=0,"n.b.",INDEX(SRC_ZPMW03!$A$1:$ZZ$501,$A169,AP$3)))</f>
        <v/>
      </c>
      <c r="AQ169" s="124" t="str">
        <f>IF($B169="","",IF(AQ$3=0,"n.b.",INDEX(SRC_ZPMW03!$A$1:$ZZ$501,$A169,AQ$3)))</f>
        <v/>
      </c>
      <c r="AR169" s="124" t="str">
        <f>IF($B169="","",IF(AR$3=0,"n.b.",INDEX(SRC_ZPMW03!$A$1:$ZZ$501,$A169,AR$3)))</f>
        <v/>
      </c>
      <c r="AS169" s="124" t="str">
        <f>IF($B169="","",IF(AS$3=0,"n.b.",INDEX(SRC_ZPMW03!$A$1:$ZZ$501,$A169,AS$3)))</f>
        <v/>
      </c>
      <c r="AT169" s="124" t="str">
        <f>IF($B169="","",IF(AT$3=0,"n.b.",INDEX(SRC_ZPMW03!$A$1:$ZZ$501,$A169,AT$3)))</f>
        <v/>
      </c>
      <c r="AU169" s="124" t="str">
        <f>IF($B169="","",IF(AU$3=0,"n.b.",INDEX(SRC_ZPMW03!$A$1:$ZZ$501,$A169,AU$3)))</f>
        <v/>
      </c>
      <c r="AV169" s="124" t="str">
        <f>IF($B169="","",IF(AV$3=0,"n.b.",INDEX(SRC_ZPMW03!$A$1:$ZZ$501,$A169,AV$3)))</f>
        <v/>
      </c>
      <c r="AW169" s="124" t="str">
        <f>IF($B169="","",IF(AW$3=0,"n.b.",INDEX(SRC_ZPMW03!$A$1:$ZZ$501,$A169,AW$3)))</f>
        <v/>
      </c>
      <c r="AX169" s="124" t="str">
        <f>IF($B169="","",IF(AX$3=0,"n.b.",INDEX(SRC_ZPMW03!$A$1:$ZZ$501,$A169,AX$3)))</f>
        <v/>
      </c>
      <c r="AY169" s="124" t="str">
        <f>IF($B169="","",IF(AY$3=0,"n.b.",INDEX(SRC_ZPMW03!$A$1:$ZZ$501,$A169,AY$3)))</f>
        <v/>
      </c>
      <c r="AZ169" s="124" t="str">
        <f>IF($B169="","",IF(AZ$3=0,"n.b.",INDEX(SRC_ZPMW03!$A$1:$ZZ$501,$A169,AZ$3)))</f>
        <v/>
      </c>
      <c r="BA169" s="124" t="str">
        <f>IF($B169="","",IF(BA$3=0,"n.b.",INDEX(SRC_ZPMW03!$A$1:$ZZ$501,$A169,BA$3)))</f>
        <v/>
      </c>
      <c r="BB169" s="124" t="str">
        <f>IF($B169="","",IF(BB$3=0,"n.b.",INDEX(SRC_ZPMW03!$A$1:$ZZ$501,$A169,BB$3)))</f>
        <v/>
      </c>
      <c r="BC169" s="124" t="str">
        <f>IF($B169="","",IF(BC$3=0,"n.b.",INDEX(SRC_ZPMW03!$A$1:$ZZ$501,$A169,BC$3)))</f>
        <v/>
      </c>
      <c r="BD169" s="124" t="str">
        <f>IF($B169="","",IF(BD$3=0,"n.b.",INDEX(SRC_ZPMW03!$A$1:$ZZ$501,$A169,BD$3)))</f>
        <v/>
      </c>
      <c r="BE169" s="124" t="str">
        <f>IF($B169="","",IF(BE$3=0,"n.b.",INDEX(SRC_ZPMW03!$A$1:$ZZ$501,$A169,BE$3)))</f>
        <v/>
      </c>
      <c r="BF169" s="124" t="str">
        <f>IF($B169="","",IF(BF$3=0,"n.b.",INDEX(SRC_ZPMW03!$A$1:$ZZ$501,$A169,BF$3)))</f>
        <v/>
      </c>
      <c r="BG169" t="str">
        <f>IF($B169="","",IF(BG$3=0,"n.b.",INDEX(SRC_ZPMW03!$A$1:$ZZ$501,$A169,BG$3)))</f>
        <v/>
      </c>
      <c r="BH169" t="str">
        <f>IF($B169="","",IF(BH$3=0,"n.b.",INDEX(SRC_ZPMW03!$A$1:$ZZ$501,$A169,BH$3)))</f>
        <v/>
      </c>
      <c r="BI169" t="str">
        <f>IF($B169="","",IF(BI$3=0,"n.b.",INDEX(SRC_ZPMW03!$A$1:$ZZ$501,$A169,BI$3)))</f>
        <v/>
      </c>
      <c r="BJ169" t="str">
        <f>IF($B169="","",IF(BJ$3=0,"n.b.",INDEX(SRC_ZPMW03!$A$1:$ZZ$501,$A169,BJ$3)))</f>
        <v/>
      </c>
      <c r="BK169" s="124" t="str">
        <f>IF($B169="","",IFERROR(-O169,"n.b."))</f>
        <v/>
      </c>
      <c r="BL169" s="124" t="str">
        <f>IF($B169="","",IFERROR(-Q169,"n.b."))</f>
        <v/>
      </c>
      <c r="BM169" s="124" t="str">
        <f>IF($B169="","",IFERROR(-AB169,"n.b."))</f>
        <v/>
      </c>
      <c r="BN169" s="124" t="str">
        <f>IF($B169="","",IFERROR(-AD169,"n.b."))</f>
        <v/>
      </c>
      <c r="BO169" s="124" t="str">
        <f>IF($B169="","",IFERROR(BK169+BM169,"n.b."))</f>
        <v/>
      </c>
      <c r="BP169" s="124" t="str">
        <f>IF($B169="","",IFERROR(BL169+BN169,"n.b."))</f>
        <v/>
      </c>
      <c r="BQ169" s="124" t="str">
        <f>IF($B169="","",IFERROR(-AM169,"n.b."))</f>
        <v/>
      </c>
      <c r="BR169" s="124" t="str">
        <f>IF($B169="","",IFERROR(-AO169,"n.b."))</f>
        <v/>
      </c>
      <c r="BS169" s="124" t="str">
        <f>IF($B169="","",IFERROR(-Z169,"n.b."))</f>
        <v/>
      </c>
      <c r="BT169" s="124" t="str">
        <f>IF($B169="","",IFERROR(-AA169,"n.b."))</f>
        <v/>
      </c>
      <c r="BU169" s="124" t="str">
        <f>IF($B169="","",IFERROR(-AE169,"n.b."))</f>
        <v/>
      </c>
      <c r="BV169" s="124" t="str">
        <f>IF($B169="","",IFERROR(-AF169,"n.b."))</f>
        <v/>
      </c>
      <c r="BW169" s="124" t="str">
        <f>IF($B169="","",IFERROR(-AG169,"n.b."))</f>
        <v/>
      </c>
      <c r="BX169" s="124" t="str">
        <f>IF($B169="","",IFERROR(-AH169,"n.b."))</f>
        <v/>
      </c>
      <c r="BY169" s="124" t="str">
        <f>IF($B169="","",IFERROR(-AI169,"n.b."))</f>
        <v/>
      </c>
      <c r="BZ169" s="124" t="str">
        <f>IF($B169="","",IFERROR(-AJ169,"n.b."))</f>
        <v/>
      </c>
      <c r="CA169" s="124" t="str">
        <f>IF($B169="","",IFERROR(-AK169,"n.b."))</f>
        <v/>
      </c>
      <c r="CB169" s="124" t="str">
        <f>IF($B169="","",IFERROR(-AL169,"n.b."))</f>
        <v/>
      </c>
      <c r="CC169" s="124" t="str">
        <f>IF($B169="","",IFERROR(-AP169,"n.b."))</f>
        <v/>
      </c>
      <c r="CD169" s="124" t="str">
        <f>IF($B169="","",IFERROR(-AQ169,"n.b."))</f>
        <v/>
      </c>
      <c r="CE169" s="124" t="str">
        <f>IF($B169="","",IFERROR(-AR169,"n.b."))</f>
        <v/>
      </c>
      <c r="CF169" s="124" t="str">
        <f>IF($B169="","",IFERROR(-AS169,"n.b."))</f>
        <v/>
      </c>
      <c r="CG169" s="124" t="str">
        <f>IF($B169="","",IFERROR(-AT169,"n.b."))</f>
        <v/>
      </c>
      <c r="CH169" s="124" t="str">
        <f>IF($B169="","",IFERROR(-AU169,"n.b."))</f>
        <v/>
      </c>
      <c r="CI169" s="124" t="str">
        <f>IF($B169="","",IFERROR(-AV169,"n.b."))</f>
        <v/>
      </c>
      <c r="CJ169" s="124" t="str">
        <f>IF($B169="","",IFERROR(-AW169,"n.b."))</f>
        <v/>
      </c>
      <c r="CK169" s="124" t="str">
        <f>IF($B169="","",IFERROR(-AX169,"n.b."))</f>
        <v/>
      </c>
      <c r="CL169" s="124" t="str">
        <f>IF($B169="","",IFERROR(-AY169,"n.b."))</f>
        <v/>
      </c>
      <c r="CM169" s="124" t="str">
        <f>IF($B169="","",IFERROR(-AZ169,"n.b."))</f>
        <v/>
      </c>
      <c r="CN169" s="124" t="str">
        <f>IF($B169="","",IFERROR(-BA169,"n.b."))</f>
        <v/>
      </c>
      <c r="CO169" s="124" t="str">
        <f>IF($B169="","",IFERROR(-BB169,"n.b."))</f>
        <v/>
      </c>
      <c r="CP169" s="124" t="str">
        <f>IF($B169="","",IFERROR(-BC169,"n.b."))</f>
        <v/>
      </c>
      <c r="CQ169" s="124" t="str">
        <f>IF($B169="","",IFERROR(-BD169,"n.b."))</f>
        <v/>
      </c>
      <c r="CR169" s="124" t="str">
        <f>IF($B169="","",IFERROR(-BE169,"n.b."))</f>
        <v/>
      </c>
      <c r="CS169" s="124" t="str">
        <f>IF($B169="","",IFERROR(IF(OR(ABS(T169+V169+X169+Z169-AB169)&gt;P_Tol,ABS(U169+W169+Y169+AA169-AD169)&gt;P_Tol,ABS(AE169+AG169+AI169+AK169-AM169)&gt;P_Tol,ABS(AF169+AH169+AJ169+AL169-AO169)&gt;P_Tol),1,0),1))</f>
        <v/>
      </c>
      <c r="CT169" s="124" t="str">
        <f>IF($B169="","",IFERROR(IF(OR(ABS(AB169+AC169-AD169)&gt;P_Tol,ABS(AM169+AN169-AO169)&gt;P_Tol,ABS(O169+P169-Q169)&gt;P_Tol),1,0),1))</f>
        <v/>
      </c>
      <c r="CU169" s="124" t="str">
        <f>IF($B169="","",IFERROR(IF(ABS(R169-(AB169+AM169+AP169+AR169+AT169+AV169+AX169+AZ169+BB169+BD169))&gt;P_Tol,1,0),1))</f>
        <v/>
      </c>
      <c r="CV169" s="124" t="str">
        <f>IF($B169="","",IFERROR(IF(ABS(M169-(N169+O169+R169))&gt;P_Tol,1,0),1))</f>
        <v/>
      </c>
      <c r="CW169" s="124" t="str">
        <f>IF($B169="","",IF(COUNTIF(Mapping!$A$5:$A$104,B169)&gt;0,1,0))</f>
        <v/>
      </c>
      <c r="CX169" s="124" t="str">
        <f>IF($B169="","",COUNTIF($B$6:$B$505,B169))</f>
        <v/>
      </c>
      <c r="CY169" s="124" t="str">
        <f>IF($B169="","",COUNTIF(STG_Woningetalage!$B$6:$B$505,B169))</f>
        <v/>
      </c>
      <c r="CZ169" s="124" t="str">
        <f>IF($B169="","",IF(CW169=0,COUNTIF($CW$6:CW169,0),""))</f>
        <v/>
      </c>
    </row>
    <row r="170">
      <c r="A170" s="15" t="n">
        <v>166</v>
      </c>
      <c r="B170" t="str">
        <f>IF(B$3=0,"",IF(INDEX(SRC_ZPMW03!$A$1:$ZZ$501,$A170,B$3)&amp;""="","",INDEX(SRC_ZPMW03!$A$1:$ZZ$501,$A170,B$3)&amp;""))</f>
        <v/>
      </c>
      <c r="C170" t="str">
        <f>IF($B170="","",IF(C$3=0,"n.b.",INDEX(SRC_ZPMW03!$A$1:$ZZ$501,$A170,C$3)))</f>
        <v/>
      </c>
      <c r="D170" t="str">
        <f>IF($B170="","",IF(D$3=0,"n.b.",INDEX(SRC_ZPMW03!$A$1:$ZZ$501,$A170,D$3)))</f>
        <v/>
      </c>
      <c r="E170" t="str">
        <f>IF($B170="","",IF(E$3=0,"n.b.",INDEX(SRC_ZPMW03!$A$1:$ZZ$501,$A170,E$3)))</f>
        <v/>
      </c>
      <c r="F170" t="str">
        <f>IF($B170="","",IF(F$3=0,"n.b.",INDEX(SRC_ZPMW03!$A$1:$ZZ$501,$A170,F$3)))</f>
        <v/>
      </c>
      <c r="G170" t="str">
        <f>IF($B170="","",IF(G$3=0,"n.b.",INDEX(SRC_ZPMW03!$A$1:$ZZ$501,$A170,G$3)))</f>
        <v/>
      </c>
      <c r="H170" t="str">
        <f>IF($B170="","",IF(H$3=0,"n.b.",INDEX(SRC_ZPMW03!$A$1:$ZZ$501,$A170,H$3)))</f>
        <v/>
      </c>
      <c r="I170" t="str">
        <f>IF($B170="","",IF(I$3=0,"n.b.",INDEX(SRC_ZPMW03!$A$1:$ZZ$501,$A170,I$3)))</f>
        <v/>
      </c>
      <c r="J170" t="str">
        <f>IF($B170="","",IF(J$3=0,"n.b.",INDEX(SRC_ZPMW03!$A$1:$ZZ$501,$A170,J$3)))</f>
        <v/>
      </c>
      <c r="K170" t="str">
        <f>IF($B170="","",IF(K$3=0,"n.b.",INDEX(SRC_ZPMW03!$A$1:$ZZ$501,$A170,K$3)))</f>
        <v/>
      </c>
      <c r="L170" s="124" t="str">
        <f>IF($B170="","",IF(L$3=0,"n.b.",INDEX(SRC_ZPMW03!$A$1:$ZZ$501,$A170,L$3)))</f>
        <v/>
      </c>
      <c r="M170" s="124" t="str">
        <f>IF($B170="","",IF(M$3=0,"n.b.",INDEX(SRC_ZPMW03!$A$1:$ZZ$501,$A170,M$3)))</f>
        <v/>
      </c>
      <c r="N170" s="124" t="str">
        <f>IF($B170="","",IF(N$3=0,"n.b.",INDEX(SRC_ZPMW03!$A$1:$ZZ$501,$A170,N$3)))</f>
        <v/>
      </c>
      <c r="O170" s="124" t="str">
        <f>IF($B170="","",IF(O$3=0,"n.b.",INDEX(SRC_ZPMW03!$A$1:$ZZ$501,$A170,O$3)))</f>
        <v/>
      </c>
      <c r="P170" s="124" t="str">
        <f>IF($B170="","",IF(P$3=0,"n.b.",INDEX(SRC_ZPMW03!$A$1:$ZZ$501,$A170,P$3)))</f>
        <v/>
      </c>
      <c r="Q170" s="124" t="str">
        <f>IF($B170="","",IF(Q$3=0,"n.b.",INDEX(SRC_ZPMW03!$A$1:$ZZ$501,$A170,Q$3)))</f>
        <v/>
      </c>
      <c r="R170" s="124" t="str">
        <f>IF($B170="","",IF(R$3=0,"n.b.",INDEX(SRC_ZPMW03!$A$1:$ZZ$501,$A170,R$3)))</f>
        <v/>
      </c>
      <c r="S170" s="124" t="str">
        <f>IF($B170="","",IF(S$3=0,"n.b.",INDEX(SRC_ZPMW03!$A$1:$ZZ$501,$A170,S$3)))</f>
        <v/>
      </c>
      <c r="T170" s="124" t="str">
        <f>IF($B170="","",IF(T$3=0,"n.b.",INDEX(SRC_ZPMW03!$A$1:$ZZ$501,$A170,T$3)))</f>
        <v/>
      </c>
      <c r="U170" s="124" t="str">
        <f>IF($B170="","",IF(U$3=0,"n.b.",INDEX(SRC_ZPMW03!$A$1:$ZZ$501,$A170,U$3)))</f>
        <v/>
      </c>
      <c r="V170" s="124" t="str">
        <f>IF($B170="","",IF(V$3=0,"n.b.",INDEX(SRC_ZPMW03!$A$1:$ZZ$501,$A170,V$3)))</f>
        <v/>
      </c>
      <c r="W170" s="124" t="str">
        <f>IF($B170="","",IF(W$3=0,"n.b.",INDEX(SRC_ZPMW03!$A$1:$ZZ$501,$A170,W$3)))</f>
        <v/>
      </c>
      <c r="X170" s="124" t="str">
        <f>IF($B170="","",IF(X$3=0,"n.b.",INDEX(SRC_ZPMW03!$A$1:$ZZ$501,$A170,X$3)))</f>
        <v/>
      </c>
      <c r="Y170" s="124" t="str">
        <f>IF($B170="","",IF(Y$3=0,"n.b.",INDEX(SRC_ZPMW03!$A$1:$ZZ$501,$A170,Y$3)))</f>
        <v/>
      </c>
      <c r="Z170" s="124" t="str">
        <f>IF($B170="","",IF(Z$3=0,"n.b.",INDEX(SRC_ZPMW03!$A$1:$ZZ$501,$A170,Z$3)))</f>
        <v/>
      </c>
      <c r="AA170" s="124" t="str">
        <f>IF($B170="","",IF(AA$3=0,"n.b.",INDEX(SRC_ZPMW03!$A$1:$ZZ$501,$A170,AA$3)))</f>
        <v/>
      </c>
      <c r="AB170" s="124" t="str">
        <f>IF($B170="","",IF(AB$3=0,"n.b.",INDEX(SRC_ZPMW03!$A$1:$ZZ$501,$A170,AB$3)))</f>
        <v/>
      </c>
      <c r="AC170" s="124" t="str">
        <f>IF($B170="","",IF(AC$3=0,"n.b.",INDEX(SRC_ZPMW03!$A$1:$ZZ$501,$A170,AC$3)))</f>
        <v/>
      </c>
      <c r="AD170" s="124" t="str">
        <f>IF($B170="","",IF(AD$3=0,"n.b.",INDEX(SRC_ZPMW03!$A$1:$ZZ$501,$A170,AD$3)))</f>
        <v/>
      </c>
      <c r="AE170" s="124" t="str">
        <f>IF($B170="","",IF(AE$3=0,"n.b.",INDEX(SRC_ZPMW03!$A$1:$ZZ$501,$A170,AE$3)))</f>
        <v/>
      </c>
      <c r="AF170" s="124" t="str">
        <f>IF($B170="","",IF(AF$3=0,"n.b.",INDEX(SRC_ZPMW03!$A$1:$ZZ$501,$A170,AF$3)))</f>
        <v/>
      </c>
      <c r="AG170" s="124" t="str">
        <f>IF($B170="","",IF(AG$3=0,"n.b.",INDEX(SRC_ZPMW03!$A$1:$ZZ$501,$A170,AG$3)))</f>
        <v/>
      </c>
      <c r="AH170" s="124" t="str">
        <f>IF($B170="","",IF(AH$3=0,"n.b.",INDEX(SRC_ZPMW03!$A$1:$ZZ$501,$A170,AH$3)))</f>
        <v/>
      </c>
      <c r="AI170" s="124" t="str">
        <f>IF($B170="","",IF(AI$3=0,"n.b.",INDEX(SRC_ZPMW03!$A$1:$ZZ$501,$A170,AI$3)))</f>
        <v/>
      </c>
      <c r="AJ170" s="124" t="str">
        <f>IF($B170="","",IF(AJ$3=0,"n.b.",INDEX(SRC_ZPMW03!$A$1:$ZZ$501,$A170,AJ$3)))</f>
        <v/>
      </c>
      <c r="AK170" s="124" t="str">
        <f>IF($B170="","",IF(AK$3=0,"n.b.",INDEX(SRC_ZPMW03!$A$1:$ZZ$501,$A170,AK$3)))</f>
        <v/>
      </c>
      <c r="AL170" s="124" t="str">
        <f>IF($B170="","",IF(AL$3=0,"n.b.",INDEX(SRC_ZPMW03!$A$1:$ZZ$501,$A170,AL$3)))</f>
        <v/>
      </c>
      <c r="AM170" s="124" t="str">
        <f>IF($B170="","",IF(AM$3=0,"n.b.",INDEX(SRC_ZPMW03!$A$1:$ZZ$501,$A170,AM$3)))</f>
        <v/>
      </c>
      <c r="AN170" s="124" t="str">
        <f>IF($B170="","",IF(AN$3=0,"n.b.",INDEX(SRC_ZPMW03!$A$1:$ZZ$501,$A170,AN$3)))</f>
        <v/>
      </c>
      <c r="AO170" s="124" t="str">
        <f>IF($B170="","",IF(AO$3=0,"n.b.",INDEX(SRC_ZPMW03!$A$1:$ZZ$501,$A170,AO$3)))</f>
        <v/>
      </c>
      <c r="AP170" s="124" t="str">
        <f>IF($B170="","",IF(AP$3=0,"n.b.",INDEX(SRC_ZPMW03!$A$1:$ZZ$501,$A170,AP$3)))</f>
        <v/>
      </c>
      <c r="AQ170" s="124" t="str">
        <f>IF($B170="","",IF(AQ$3=0,"n.b.",INDEX(SRC_ZPMW03!$A$1:$ZZ$501,$A170,AQ$3)))</f>
        <v/>
      </c>
      <c r="AR170" s="124" t="str">
        <f>IF($B170="","",IF(AR$3=0,"n.b.",INDEX(SRC_ZPMW03!$A$1:$ZZ$501,$A170,AR$3)))</f>
        <v/>
      </c>
      <c r="AS170" s="124" t="str">
        <f>IF($B170="","",IF(AS$3=0,"n.b.",INDEX(SRC_ZPMW03!$A$1:$ZZ$501,$A170,AS$3)))</f>
        <v/>
      </c>
      <c r="AT170" s="124" t="str">
        <f>IF($B170="","",IF(AT$3=0,"n.b.",INDEX(SRC_ZPMW03!$A$1:$ZZ$501,$A170,AT$3)))</f>
        <v/>
      </c>
      <c r="AU170" s="124" t="str">
        <f>IF($B170="","",IF(AU$3=0,"n.b.",INDEX(SRC_ZPMW03!$A$1:$ZZ$501,$A170,AU$3)))</f>
        <v/>
      </c>
      <c r="AV170" s="124" t="str">
        <f>IF($B170="","",IF(AV$3=0,"n.b.",INDEX(SRC_ZPMW03!$A$1:$ZZ$501,$A170,AV$3)))</f>
        <v/>
      </c>
      <c r="AW170" s="124" t="str">
        <f>IF($B170="","",IF(AW$3=0,"n.b.",INDEX(SRC_ZPMW03!$A$1:$ZZ$501,$A170,AW$3)))</f>
        <v/>
      </c>
      <c r="AX170" s="124" t="str">
        <f>IF($B170="","",IF(AX$3=0,"n.b.",INDEX(SRC_ZPMW03!$A$1:$ZZ$501,$A170,AX$3)))</f>
        <v/>
      </c>
      <c r="AY170" s="124" t="str">
        <f>IF($B170="","",IF(AY$3=0,"n.b.",INDEX(SRC_ZPMW03!$A$1:$ZZ$501,$A170,AY$3)))</f>
        <v/>
      </c>
      <c r="AZ170" s="124" t="str">
        <f>IF($B170="","",IF(AZ$3=0,"n.b.",INDEX(SRC_ZPMW03!$A$1:$ZZ$501,$A170,AZ$3)))</f>
        <v/>
      </c>
      <c r="BA170" s="124" t="str">
        <f>IF($B170="","",IF(BA$3=0,"n.b.",INDEX(SRC_ZPMW03!$A$1:$ZZ$501,$A170,BA$3)))</f>
        <v/>
      </c>
      <c r="BB170" s="124" t="str">
        <f>IF($B170="","",IF(BB$3=0,"n.b.",INDEX(SRC_ZPMW03!$A$1:$ZZ$501,$A170,BB$3)))</f>
        <v/>
      </c>
      <c r="BC170" s="124" t="str">
        <f>IF($B170="","",IF(BC$3=0,"n.b.",INDEX(SRC_ZPMW03!$A$1:$ZZ$501,$A170,BC$3)))</f>
        <v/>
      </c>
      <c r="BD170" s="124" t="str">
        <f>IF($B170="","",IF(BD$3=0,"n.b.",INDEX(SRC_ZPMW03!$A$1:$ZZ$501,$A170,BD$3)))</f>
        <v/>
      </c>
      <c r="BE170" s="124" t="str">
        <f>IF($B170="","",IF(BE$3=0,"n.b.",INDEX(SRC_ZPMW03!$A$1:$ZZ$501,$A170,BE$3)))</f>
        <v/>
      </c>
      <c r="BF170" s="124" t="str">
        <f>IF($B170="","",IF(BF$3=0,"n.b.",INDEX(SRC_ZPMW03!$A$1:$ZZ$501,$A170,BF$3)))</f>
        <v/>
      </c>
      <c r="BG170" t="str">
        <f>IF($B170="","",IF(BG$3=0,"n.b.",INDEX(SRC_ZPMW03!$A$1:$ZZ$501,$A170,BG$3)))</f>
        <v/>
      </c>
      <c r="BH170" t="str">
        <f>IF($B170="","",IF(BH$3=0,"n.b.",INDEX(SRC_ZPMW03!$A$1:$ZZ$501,$A170,BH$3)))</f>
        <v/>
      </c>
      <c r="BI170" t="str">
        <f>IF($B170="","",IF(BI$3=0,"n.b.",INDEX(SRC_ZPMW03!$A$1:$ZZ$501,$A170,BI$3)))</f>
        <v/>
      </c>
      <c r="BJ170" t="str">
        <f>IF($B170="","",IF(BJ$3=0,"n.b.",INDEX(SRC_ZPMW03!$A$1:$ZZ$501,$A170,BJ$3)))</f>
        <v/>
      </c>
      <c r="BK170" s="124" t="str">
        <f>IF($B170="","",IFERROR(-O170,"n.b."))</f>
        <v/>
      </c>
      <c r="BL170" s="124" t="str">
        <f>IF($B170="","",IFERROR(-Q170,"n.b."))</f>
        <v/>
      </c>
      <c r="BM170" s="124" t="str">
        <f>IF($B170="","",IFERROR(-AB170,"n.b."))</f>
        <v/>
      </c>
      <c r="BN170" s="124" t="str">
        <f>IF($B170="","",IFERROR(-AD170,"n.b."))</f>
        <v/>
      </c>
      <c r="BO170" s="124" t="str">
        <f>IF($B170="","",IFERROR(BK170+BM170,"n.b."))</f>
        <v/>
      </c>
      <c r="BP170" s="124" t="str">
        <f>IF($B170="","",IFERROR(BL170+BN170,"n.b."))</f>
        <v/>
      </c>
      <c r="BQ170" s="124" t="str">
        <f>IF($B170="","",IFERROR(-AM170,"n.b."))</f>
        <v/>
      </c>
      <c r="BR170" s="124" t="str">
        <f>IF($B170="","",IFERROR(-AO170,"n.b."))</f>
        <v/>
      </c>
      <c r="BS170" s="124" t="str">
        <f>IF($B170="","",IFERROR(-Z170,"n.b."))</f>
        <v/>
      </c>
      <c r="BT170" s="124" t="str">
        <f>IF($B170="","",IFERROR(-AA170,"n.b."))</f>
        <v/>
      </c>
      <c r="BU170" s="124" t="str">
        <f>IF($B170="","",IFERROR(-AE170,"n.b."))</f>
        <v/>
      </c>
      <c r="BV170" s="124" t="str">
        <f>IF($B170="","",IFERROR(-AF170,"n.b."))</f>
        <v/>
      </c>
      <c r="BW170" s="124" t="str">
        <f>IF($B170="","",IFERROR(-AG170,"n.b."))</f>
        <v/>
      </c>
      <c r="BX170" s="124" t="str">
        <f>IF($B170="","",IFERROR(-AH170,"n.b."))</f>
        <v/>
      </c>
      <c r="BY170" s="124" t="str">
        <f>IF($B170="","",IFERROR(-AI170,"n.b."))</f>
        <v/>
      </c>
      <c r="BZ170" s="124" t="str">
        <f>IF($B170="","",IFERROR(-AJ170,"n.b."))</f>
        <v/>
      </c>
      <c r="CA170" s="124" t="str">
        <f>IF($B170="","",IFERROR(-AK170,"n.b."))</f>
        <v/>
      </c>
      <c r="CB170" s="124" t="str">
        <f>IF($B170="","",IFERROR(-AL170,"n.b."))</f>
        <v/>
      </c>
      <c r="CC170" s="124" t="str">
        <f>IF($B170="","",IFERROR(-AP170,"n.b."))</f>
        <v/>
      </c>
      <c r="CD170" s="124" t="str">
        <f>IF($B170="","",IFERROR(-AQ170,"n.b."))</f>
        <v/>
      </c>
      <c r="CE170" s="124" t="str">
        <f>IF($B170="","",IFERROR(-AR170,"n.b."))</f>
        <v/>
      </c>
      <c r="CF170" s="124" t="str">
        <f>IF($B170="","",IFERROR(-AS170,"n.b."))</f>
        <v/>
      </c>
      <c r="CG170" s="124" t="str">
        <f>IF($B170="","",IFERROR(-AT170,"n.b."))</f>
        <v/>
      </c>
      <c r="CH170" s="124" t="str">
        <f>IF($B170="","",IFERROR(-AU170,"n.b."))</f>
        <v/>
      </c>
      <c r="CI170" s="124" t="str">
        <f>IF($B170="","",IFERROR(-AV170,"n.b."))</f>
        <v/>
      </c>
      <c r="CJ170" s="124" t="str">
        <f>IF($B170="","",IFERROR(-AW170,"n.b."))</f>
        <v/>
      </c>
      <c r="CK170" s="124" t="str">
        <f>IF($B170="","",IFERROR(-AX170,"n.b."))</f>
        <v/>
      </c>
      <c r="CL170" s="124" t="str">
        <f>IF($B170="","",IFERROR(-AY170,"n.b."))</f>
        <v/>
      </c>
      <c r="CM170" s="124" t="str">
        <f>IF($B170="","",IFERROR(-AZ170,"n.b."))</f>
        <v/>
      </c>
      <c r="CN170" s="124" t="str">
        <f>IF($B170="","",IFERROR(-BA170,"n.b."))</f>
        <v/>
      </c>
      <c r="CO170" s="124" t="str">
        <f>IF($B170="","",IFERROR(-BB170,"n.b."))</f>
        <v/>
      </c>
      <c r="CP170" s="124" t="str">
        <f>IF($B170="","",IFERROR(-BC170,"n.b."))</f>
        <v/>
      </c>
      <c r="CQ170" s="124" t="str">
        <f>IF($B170="","",IFERROR(-BD170,"n.b."))</f>
        <v/>
      </c>
      <c r="CR170" s="124" t="str">
        <f>IF($B170="","",IFERROR(-BE170,"n.b."))</f>
        <v/>
      </c>
      <c r="CS170" s="124" t="str">
        <f>IF($B170="","",IFERROR(IF(OR(ABS(T170+V170+X170+Z170-AB170)&gt;P_Tol,ABS(U170+W170+Y170+AA170-AD170)&gt;P_Tol,ABS(AE170+AG170+AI170+AK170-AM170)&gt;P_Tol,ABS(AF170+AH170+AJ170+AL170-AO170)&gt;P_Tol),1,0),1))</f>
        <v/>
      </c>
      <c r="CT170" s="124" t="str">
        <f>IF($B170="","",IFERROR(IF(OR(ABS(AB170+AC170-AD170)&gt;P_Tol,ABS(AM170+AN170-AO170)&gt;P_Tol,ABS(O170+P170-Q170)&gt;P_Tol),1,0),1))</f>
        <v/>
      </c>
      <c r="CU170" s="124" t="str">
        <f>IF($B170="","",IFERROR(IF(ABS(R170-(AB170+AM170+AP170+AR170+AT170+AV170+AX170+AZ170+BB170+BD170))&gt;P_Tol,1,0),1))</f>
        <v/>
      </c>
      <c r="CV170" s="124" t="str">
        <f>IF($B170="","",IFERROR(IF(ABS(M170-(N170+O170+R170))&gt;P_Tol,1,0),1))</f>
        <v/>
      </c>
      <c r="CW170" s="124" t="str">
        <f>IF($B170="","",IF(COUNTIF(Mapping!$A$5:$A$104,B170)&gt;0,1,0))</f>
        <v/>
      </c>
      <c r="CX170" s="124" t="str">
        <f>IF($B170="","",COUNTIF($B$6:$B$505,B170))</f>
        <v/>
      </c>
      <c r="CY170" s="124" t="str">
        <f>IF($B170="","",COUNTIF(STG_Woningetalage!$B$6:$B$505,B170))</f>
        <v/>
      </c>
      <c r="CZ170" s="124" t="str">
        <f>IF($B170="","",IF(CW170=0,COUNTIF($CW$6:CW170,0),""))</f>
        <v/>
      </c>
    </row>
    <row r="171">
      <c r="A171" s="15" t="n">
        <v>167</v>
      </c>
      <c r="B171" t="str">
        <f>IF(B$3=0,"",IF(INDEX(SRC_ZPMW03!$A$1:$ZZ$501,$A171,B$3)&amp;""="","",INDEX(SRC_ZPMW03!$A$1:$ZZ$501,$A171,B$3)&amp;""))</f>
        <v/>
      </c>
      <c r="C171" t="str">
        <f>IF($B171="","",IF(C$3=0,"n.b.",INDEX(SRC_ZPMW03!$A$1:$ZZ$501,$A171,C$3)))</f>
        <v/>
      </c>
      <c r="D171" t="str">
        <f>IF($B171="","",IF(D$3=0,"n.b.",INDEX(SRC_ZPMW03!$A$1:$ZZ$501,$A171,D$3)))</f>
        <v/>
      </c>
      <c r="E171" t="str">
        <f>IF($B171="","",IF(E$3=0,"n.b.",INDEX(SRC_ZPMW03!$A$1:$ZZ$501,$A171,E$3)))</f>
        <v/>
      </c>
      <c r="F171" t="str">
        <f>IF($B171="","",IF(F$3=0,"n.b.",INDEX(SRC_ZPMW03!$A$1:$ZZ$501,$A171,F$3)))</f>
        <v/>
      </c>
      <c r="G171" t="str">
        <f>IF($B171="","",IF(G$3=0,"n.b.",INDEX(SRC_ZPMW03!$A$1:$ZZ$501,$A171,G$3)))</f>
        <v/>
      </c>
      <c r="H171" t="str">
        <f>IF($B171="","",IF(H$3=0,"n.b.",INDEX(SRC_ZPMW03!$A$1:$ZZ$501,$A171,H$3)))</f>
        <v/>
      </c>
      <c r="I171" t="str">
        <f>IF($B171="","",IF(I$3=0,"n.b.",INDEX(SRC_ZPMW03!$A$1:$ZZ$501,$A171,I$3)))</f>
        <v/>
      </c>
      <c r="J171" t="str">
        <f>IF($B171="","",IF(J$3=0,"n.b.",INDEX(SRC_ZPMW03!$A$1:$ZZ$501,$A171,J$3)))</f>
        <v/>
      </c>
      <c r="K171" t="str">
        <f>IF($B171="","",IF(K$3=0,"n.b.",INDEX(SRC_ZPMW03!$A$1:$ZZ$501,$A171,K$3)))</f>
        <v/>
      </c>
      <c r="L171" s="124" t="str">
        <f>IF($B171="","",IF(L$3=0,"n.b.",INDEX(SRC_ZPMW03!$A$1:$ZZ$501,$A171,L$3)))</f>
        <v/>
      </c>
      <c r="M171" s="124" t="str">
        <f>IF($B171="","",IF(M$3=0,"n.b.",INDEX(SRC_ZPMW03!$A$1:$ZZ$501,$A171,M$3)))</f>
        <v/>
      </c>
      <c r="N171" s="124" t="str">
        <f>IF($B171="","",IF(N$3=0,"n.b.",INDEX(SRC_ZPMW03!$A$1:$ZZ$501,$A171,N$3)))</f>
        <v/>
      </c>
      <c r="O171" s="124" t="str">
        <f>IF($B171="","",IF(O$3=0,"n.b.",INDEX(SRC_ZPMW03!$A$1:$ZZ$501,$A171,O$3)))</f>
        <v/>
      </c>
      <c r="P171" s="124" t="str">
        <f>IF($B171="","",IF(P$3=0,"n.b.",INDEX(SRC_ZPMW03!$A$1:$ZZ$501,$A171,P$3)))</f>
        <v/>
      </c>
      <c r="Q171" s="124" t="str">
        <f>IF($B171="","",IF(Q$3=0,"n.b.",INDEX(SRC_ZPMW03!$A$1:$ZZ$501,$A171,Q$3)))</f>
        <v/>
      </c>
      <c r="R171" s="124" t="str">
        <f>IF($B171="","",IF(R$3=0,"n.b.",INDEX(SRC_ZPMW03!$A$1:$ZZ$501,$A171,R$3)))</f>
        <v/>
      </c>
      <c r="S171" s="124" t="str">
        <f>IF($B171="","",IF(S$3=0,"n.b.",INDEX(SRC_ZPMW03!$A$1:$ZZ$501,$A171,S$3)))</f>
        <v/>
      </c>
      <c r="T171" s="124" t="str">
        <f>IF($B171="","",IF(T$3=0,"n.b.",INDEX(SRC_ZPMW03!$A$1:$ZZ$501,$A171,T$3)))</f>
        <v/>
      </c>
      <c r="U171" s="124" t="str">
        <f>IF($B171="","",IF(U$3=0,"n.b.",INDEX(SRC_ZPMW03!$A$1:$ZZ$501,$A171,U$3)))</f>
        <v/>
      </c>
      <c r="V171" s="124" t="str">
        <f>IF($B171="","",IF(V$3=0,"n.b.",INDEX(SRC_ZPMW03!$A$1:$ZZ$501,$A171,V$3)))</f>
        <v/>
      </c>
      <c r="W171" s="124" t="str">
        <f>IF($B171="","",IF(W$3=0,"n.b.",INDEX(SRC_ZPMW03!$A$1:$ZZ$501,$A171,W$3)))</f>
        <v/>
      </c>
      <c r="X171" s="124" t="str">
        <f>IF($B171="","",IF(X$3=0,"n.b.",INDEX(SRC_ZPMW03!$A$1:$ZZ$501,$A171,X$3)))</f>
        <v/>
      </c>
      <c r="Y171" s="124" t="str">
        <f>IF($B171="","",IF(Y$3=0,"n.b.",INDEX(SRC_ZPMW03!$A$1:$ZZ$501,$A171,Y$3)))</f>
        <v/>
      </c>
      <c r="Z171" s="124" t="str">
        <f>IF($B171="","",IF(Z$3=0,"n.b.",INDEX(SRC_ZPMW03!$A$1:$ZZ$501,$A171,Z$3)))</f>
        <v/>
      </c>
      <c r="AA171" s="124" t="str">
        <f>IF($B171="","",IF(AA$3=0,"n.b.",INDEX(SRC_ZPMW03!$A$1:$ZZ$501,$A171,AA$3)))</f>
        <v/>
      </c>
      <c r="AB171" s="124" t="str">
        <f>IF($B171="","",IF(AB$3=0,"n.b.",INDEX(SRC_ZPMW03!$A$1:$ZZ$501,$A171,AB$3)))</f>
        <v/>
      </c>
      <c r="AC171" s="124" t="str">
        <f>IF($B171="","",IF(AC$3=0,"n.b.",INDEX(SRC_ZPMW03!$A$1:$ZZ$501,$A171,AC$3)))</f>
        <v/>
      </c>
      <c r="AD171" s="124" t="str">
        <f>IF($B171="","",IF(AD$3=0,"n.b.",INDEX(SRC_ZPMW03!$A$1:$ZZ$501,$A171,AD$3)))</f>
        <v/>
      </c>
      <c r="AE171" s="124" t="str">
        <f>IF($B171="","",IF(AE$3=0,"n.b.",INDEX(SRC_ZPMW03!$A$1:$ZZ$501,$A171,AE$3)))</f>
        <v/>
      </c>
      <c r="AF171" s="124" t="str">
        <f>IF($B171="","",IF(AF$3=0,"n.b.",INDEX(SRC_ZPMW03!$A$1:$ZZ$501,$A171,AF$3)))</f>
        <v/>
      </c>
      <c r="AG171" s="124" t="str">
        <f>IF($B171="","",IF(AG$3=0,"n.b.",INDEX(SRC_ZPMW03!$A$1:$ZZ$501,$A171,AG$3)))</f>
        <v/>
      </c>
      <c r="AH171" s="124" t="str">
        <f>IF($B171="","",IF(AH$3=0,"n.b.",INDEX(SRC_ZPMW03!$A$1:$ZZ$501,$A171,AH$3)))</f>
        <v/>
      </c>
      <c r="AI171" s="124" t="str">
        <f>IF($B171="","",IF(AI$3=0,"n.b.",INDEX(SRC_ZPMW03!$A$1:$ZZ$501,$A171,AI$3)))</f>
        <v/>
      </c>
      <c r="AJ171" s="124" t="str">
        <f>IF($B171="","",IF(AJ$3=0,"n.b.",INDEX(SRC_ZPMW03!$A$1:$ZZ$501,$A171,AJ$3)))</f>
        <v/>
      </c>
      <c r="AK171" s="124" t="str">
        <f>IF($B171="","",IF(AK$3=0,"n.b.",INDEX(SRC_ZPMW03!$A$1:$ZZ$501,$A171,AK$3)))</f>
        <v/>
      </c>
      <c r="AL171" s="124" t="str">
        <f>IF($B171="","",IF(AL$3=0,"n.b.",INDEX(SRC_ZPMW03!$A$1:$ZZ$501,$A171,AL$3)))</f>
        <v/>
      </c>
      <c r="AM171" s="124" t="str">
        <f>IF($B171="","",IF(AM$3=0,"n.b.",INDEX(SRC_ZPMW03!$A$1:$ZZ$501,$A171,AM$3)))</f>
        <v/>
      </c>
      <c r="AN171" s="124" t="str">
        <f>IF($B171="","",IF(AN$3=0,"n.b.",INDEX(SRC_ZPMW03!$A$1:$ZZ$501,$A171,AN$3)))</f>
        <v/>
      </c>
      <c r="AO171" s="124" t="str">
        <f>IF($B171="","",IF(AO$3=0,"n.b.",INDEX(SRC_ZPMW03!$A$1:$ZZ$501,$A171,AO$3)))</f>
        <v/>
      </c>
      <c r="AP171" s="124" t="str">
        <f>IF($B171="","",IF(AP$3=0,"n.b.",INDEX(SRC_ZPMW03!$A$1:$ZZ$501,$A171,AP$3)))</f>
        <v/>
      </c>
      <c r="AQ171" s="124" t="str">
        <f>IF($B171="","",IF(AQ$3=0,"n.b.",INDEX(SRC_ZPMW03!$A$1:$ZZ$501,$A171,AQ$3)))</f>
        <v/>
      </c>
      <c r="AR171" s="124" t="str">
        <f>IF($B171="","",IF(AR$3=0,"n.b.",INDEX(SRC_ZPMW03!$A$1:$ZZ$501,$A171,AR$3)))</f>
        <v/>
      </c>
      <c r="AS171" s="124" t="str">
        <f>IF($B171="","",IF(AS$3=0,"n.b.",INDEX(SRC_ZPMW03!$A$1:$ZZ$501,$A171,AS$3)))</f>
        <v/>
      </c>
      <c r="AT171" s="124" t="str">
        <f>IF($B171="","",IF(AT$3=0,"n.b.",INDEX(SRC_ZPMW03!$A$1:$ZZ$501,$A171,AT$3)))</f>
        <v/>
      </c>
      <c r="AU171" s="124" t="str">
        <f>IF($B171="","",IF(AU$3=0,"n.b.",INDEX(SRC_ZPMW03!$A$1:$ZZ$501,$A171,AU$3)))</f>
        <v/>
      </c>
      <c r="AV171" s="124" t="str">
        <f>IF($B171="","",IF(AV$3=0,"n.b.",INDEX(SRC_ZPMW03!$A$1:$ZZ$501,$A171,AV$3)))</f>
        <v/>
      </c>
      <c r="AW171" s="124" t="str">
        <f>IF($B171="","",IF(AW$3=0,"n.b.",INDEX(SRC_ZPMW03!$A$1:$ZZ$501,$A171,AW$3)))</f>
        <v/>
      </c>
      <c r="AX171" s="124" t="str">
        <f>IF($B171="","",IF(AX$3=0,"n.b.",INDEX(SRC_ZPMW03!$A$1:$ZZ$501,$A171,AX$3)))</f>
        <v/>
      </c>
      <c r="AY171" s="124" t="str">
        <f>IF($B171="","",IF(AY$3=0,"n.b.",INDEX(SRC_ZPMW03!$A$1:$ZZ$501,$A171,AY$3)))</f>
        <v/>
      </c>
      <c r="AZ171" s="124" t="str">
        <f>IF($B171="","",IF(AZ$3=0,"n.b.",INDEX(SRC_ZPMW03!$A$1:$ZZ$501,$A171,AZ$3)))</f>
        <v/>
      </c>
      <c r="BA171" s="124" t="str">
        <f>IF($B171="","",IF(BA$3=0,"n.b.",INDEX(SRC_ZPMW03!$A$1:$ZZ$501,$A171,BA$3)))</f>
        <v/>
      </c>
      <c r="BB171" s="124" t="str">
        <f>IF($B171="","",IF(BB$3=0,"n.b.",INDEX(SRC_ZPMW03!$A$1:$ZZ$501,$A171,BB$3)))</f>
        <v/>
      </c>
      <c r="BC171" s="124" t="str">
        <f>IF($B171="","",IF(BC$3=0,"n.b.",INDEX(SRC_ZPMW03!$A$1:$ZZ$501,$A171,BC$3)))</f>
        <v/>
      </c>
      <c r="BD171" s="124" t="str">
        <f>IF($B171="","",IF(BD$3=0,"n.b.",INDEX(SRC_ZPMW03!$A$1:$ZZ$501,$A171,BD$3)))</f>
        <v/>
      </c>
      <c r="BE171" s="124" t="str">
        <f>IF($B171="","",IF(BE$3=0,"n.b.",INDEX(SRC_ZPMW03!$A$1:$ZZ$501,$A171,BE$3)))</f>
        <v/>
      </c>
      <c r="BF171" s="124" t="str">
        <f>IF($B171="","",IF(BF$3=0,"n.b.",INDEX(SRC_ZPMW03!$A$1:$ZZ$501,$A171,BF$3)))</f>
        <v/>
      </c>
      <c r="BG171" t="str">
        <f>IF($B171="","",IF(BG$3=0,"n.b.",INDEX(SRC_ZPMW03!$A$1:$ZZ$501,$A171,BG$3)))</f>
        <v/>
      </c>
      <c r="BH171" t="str">
        <f>IF($B171="","",IF(BH$3=0,"n.b.",INDEX(SRC_ZPMW03!$A$1:$ZZ$501,$A171,BH$3)))</f>
        <v/>
      </c>
      <c r="BI171" t="str">
        <f>IF($B171="","",IF(BI$3=0,"n.b.",INDEX(SRC_ZPMW03!$A$1:$ZZ$501,$A171,BI$3)))</f>
        <v/>
      </c>
      <c r="BJ171" t="str">
        <f>IF($B171="","",IF(BJ$3=0,"n.b.",INDEX(SRC_ZPMW03!$A$1:$ZZ$501,$A171,BJ$3)))</f>
        <v/>
      </c>
      <c r="BK171" s="124" t="str">
        <f>IF($B171="","",IFERROR(-O171,"n.b."))</f>
        <v/>
      </c>
      <c r="BL171" s="124" t="str">
        <f>IF($B171="","",IFERROR(-Q171,"n.b."))</f>
        <v/>
      </c>
      <c r="BM171" s="124" t="str">
        <f>IF($B171="","",IFERROR(-AB171,"n.b."))</f>
        <v/>
      </c>
      <c r="BN171" s="124" t="str">
        <f>IF($B171="","",IFERROR(-AD171,"n.b."))</f>
        <v/>
      </c>
      <c r="BO171" s="124" t="str">
        <f>IF($B171="","",IFERROR(BK171+BM171,"n.b."))</f>
        <v/>
      </c>
      <c r="BP171" s="124" t="str">
        <f>IF($B171="","",IFERROR(BL171+BN171,"n.b."))</f>
        <v/>
      </c>
      <c r="BQ171" s="124" t="str">
        <f>IF($B171="","",IFERROR(-AM171,"n.b."))</f>
        <v/>
      </c>
      <c r="BR171" s="124" t="str">
        <f>IF($B171="","",IFERROR(-AO171,"n.b."))</f>
        <v/>
      </c>
      <c r="BS171" s="124" t="str">
        <f>IF($B171="","",IFERROR(-Z171,"n.b."))</f>
        <v/>
      </c>
      <c r="BT171" s="124" t="str">
        <f>IF($B171="","",IFERROR(-AA171,"n.b."))</f>
        <v/>
      </c>
      <c r="BU171" s="124" t="str">
        <f>IF($B171="","",IFERROR(-AE171,"n.b."))</f>
        <v/>
      </c>
      <c r="BV171" s="124" t="str">
        <f>IF($B171="","",IFERROR(-AF171,"n.b."))</f>
        <v/>
      </c>
      <c r="BW171" s="124" t="str">
        <f>IF($B171="","",IFERROR(-AG171,"n.b."))</f>
        <v/>
      </c>
      <c r="BX171" s="124" t="str">
        <f>IF($B171="","",IFERROR(-AH171,"n.b."))</f>
        <v/>
      </c>
      <c r="BY171" s="124" t="str">
        <f>IF($B171="","",IFERROR(-AI171,"n.b."))</f>
        <v/>
      </c>
      <c r="BZ171" s="124" t="str">
        <f>IF($B171="","",IFERROR(-AJ171,"n.b."))</f>
        <v/>
      </c>
      <c r="CA171" s="124" t="str">
        <f>IF($B171="","",IFERROR(-AK171,"n.b."))</f>
        <v/>
      </c>
      <c r="CB171" s="124" t="str">
        <f>IF($B171="","",IFERROR(-AL171,"n.b."))</f>
        <v/>
      </c>
      <c r="CC171" s="124" t="str">
        <f>IF($B171="","",IFERROR(-AP171,"n.b."))</f>
        <v/>
      </c>
      <c r="CD171" s="124" t="str">
        <f>IF($B171="","",IFERROR(-AQ171,"n.b."))</f>
        <v/>
      </c>
      <c r="CE171" s="124" t="str">
        <f>IF($B171="","",IFERROR(-AR171,"n.b."))</f>
        <v/>
      </c>
      <c r="CF171" s="124" t="str">
        <f>IF($B171="","",IFERROR(-AS171,"n.b."))</f>
        <v/>
      </c>
      <c r="CG171" s="124" t="str">
        <f>IF($B171="","",IFERROR(-AT171,"n.b."))</f>
        <v/>
      </c>
      <c r="CH171" s="124" t="str">
        <f>IF($B171="","",IFERROR(-AU171,"n.b."))</f>
        <v/>
      </c>
      <c r="CI171" s="124" t="str">
        <f>IF($B171="","",IFERROR(-AV171,"n.b."))</f>
        <v/>
      </c>
      <c r="CJ171" s="124" t="str">
        <f>IF($B171="","",IFERROR(-AW171,"n.b."))</f>
        <v/>
      </c>
      <c r="CK171" s="124" t="str">
        <f>IF($B171="","",IFERROR(-AX171,"n.b."))</f>
        <v/>
      </c>
      <c r="CL171" s="124" t="str">
        <f>IF($B171="","",IFERROR(-AY171,"n.b."))</f>
        <v/>
      </c>
      <c r="CM171" s="124" t="str">
        <f>IF($B171="","",IFERROR(-AZ171,"n.b."))</f>
        <v/>
      </c>
      <c r="CN171" s="124" t="str">
        <f>IF($B171="","",IFERROR(-BA171,"n.b."))</f>
        <v/>
      </c>
      <c r="CO171" s="124" t="str">
        <f>IF($B171="","",IFERROR(-BB171,"n.b."))</f>
        <v/>
      </c>
      <c r="CP171" s="124" t="str">
        <f>IF($B171="","",IFERROR(-BC171,"n.b."))</f>
        <v/>
      </c>
      <c r="CQ171" s="124" t="str">
        <f>IF($B171="","",IFERROR(-BD171,"n.b."))</f>
        <v/>
      </c>
      <c r="CR171" s="124" t="str">
        <f>IF($B171="","",IFERROR(-BE171,"n.b."))</f>
        <v/>
      </c>
      <c r="CS171" s="124" t="str">
        <f>IF($B171="","",IFERROR(IF(OR(ABS(T171+V171+X171+Z171-AB171)&gt;P_Tol,ABS(U171+W171+Y171+AA171-AD171)&gt;P_Tol,ABS(AE171+AG171+AI171+AK171-AM171)&gt;P_Tol,ABS(AF171+AH171+AJ171+AL171-AO171)&gt;P_Tol),1,0),1))</f>
        <v/>
      </c>
      <c r="CT171" s="124" t="str">
        <f>IF($B171="","",IFERROR(IF(OR(ABS(AB171+AC171-AD171)&gt;P_Tol,ABS(AM171+AN171-AO171)&gt;P_Tol,ABS(O171+P171-Q171)&gt;P_Tol),1,0),1))</f>
        <v/>
      </c>
      <c r="CU171" s="124" t="str">
        <f>IF($B171="","",IFERROR(IF(ABS(R171-(AB171+AM171+AP171+AR171+AT171+AV171+AX171+AZ171+BB171+BD171))&gt;P_Tol,1,0),1))</f>
        <v/>
      </c>
      <c r="CV171" s="124" t="str">
        <f>IF($B171="","",IFERROR(IF(ABS(M171-(N171+O171+R171))&gt;P_Tol,1,0),1))</f>
        <v/>
      </c>
      <c r="CW171" s="124" t="str">
        <f>IF($B171="","",IF(COUNTIF(Mapping!$A$5:$A$104,B171)&gt;0,1,0))</f>
        <v/>
      </c>
      <c r="CX171" s="124" t="str">
        <f>IF($B171="","",COUNTIF($B$6:$B$505,B171))</f>
        <v/>
      </c>
      <c r="CY171" s="124" t="str">
        <f>IF($B171="","",COUNTIF(STG_Woningetalage!$B$6:$B$505,B171))</f>
        <v/>
      </c>
      <c r="CZ171" s="124" t="str">
        <f>IF($B171="","",IF(CW171=0,COUNTIF($CW$6:CW171,0),""))</f>
        <v/>
      </c>
    </row>
    <row r="172">
      <c r="A172" s="15" t="n">
        <v>168</v>
      </c>
      <c r="B172" t="str">
        <f>IF(B$3=0,"",IF(INDEX(SRC_ZPMW03!$A$1:$ZZ$501,$A172,B$3)&amp;""="","",INDEX(SRC_ZPMW03!$A$1:$ZZ$501,$A172,B$3)&amp;""))</f>
        <v/>
      </c>
      <c r="C172" t="str">
        <f>IF($B172="","",IF(C$3=0,"n.b.",INDEX(SRC_ZPMW03!$A$1:$ZZ$501,$A172,C$3)))</f>
        <v/>
      </c>
      <c r="D172" t="str">
        <f>IF($B172="","",IF(D$3=0,"n.b.",INDEX(SRC_ZPMW03!$A$1:$ZZ$501,$A172,D$3)))</f>
        <v/>
      </c>
      <c r="E172" t="str">
        <f>IF($B172="","",IF(E$3=0,"n.b.",INDEX(SRC_ZPMW03!$A$1:$ZZ$501,$A172,E$3)))</f>
        <v/>
      </c>
      <c r="F172" t="str">
        <f>IF($B172="","",IF(F$3=0,"n.b.",INDEX(SRC_ZPMW03!$A$1:$ZZ$501,$A172,F$3)))</f>
        <v/>
      </c>
      <c r="G172" t="str">
        <f>IF($B172="","",IF(G$3=0,"n.b.",INDEX(SRC_ZPMW03!$A$1:$ZZ$501,$A172,G$3)))</f>
        <v/>
      </c>
      <c r="H172" t="str">
        <f>IF($B172="","",IF(H$3=0,"n.b.",INDEX(SRC_ZPMW03!$A$1:$ZZ$501,$A172,H$3)))</f>
        <v/>
      </c>
      <c r="I172" t="str">
        <f>IF($B172="","",IF(I$3=0,"n.b.",INDEX(SRC_ZPMW03!$A$1:$ZZ$501,$A172,I$3)))</f>
        <v/>
      </c>
      <c r="J172" t="str">
        <f>IF($B172="","",IF(J$3=0,"n.b.",INDEX(SRC_ZPMW03!$A$1:$ZZ$501,$A172,J$3)))</f>
        <v/>
      </c>
      <c r="K172" t="str">
        <f>IF($B172="","",IF(K$3=0,"n.b.",INDEX(SRC_ZPMW03!$A$1:$ZZ$501,$A172,K$3)))</f>
        <v/>
      </c>
      <c r="L172" s="124" t="str">
        <f>IF($B172="","",IF(L$3=0,"n.b.",INDEX(SRC_ZPMW03!$A$1:$ZZ$501,$A172,L$3)))</f>
        <v/>
      </c>
      <c r="M172" s="124" t="str">
        <f>IF($B172="","",IF(M$3=0,"n.b.",INDEX(SRC_ZPMW03!$A$1:$ZZ$501,$A172,M$3)))</f>
        <v/>
      </c>
      <c r="N172" s="124" t="str">
        <f>IF($B172="","",IF(N$3=0,"n.b.",INDEX(SRC_ZPMW03!$A$1:$ZZ$501,$A172,N$3)))</f>
        <v/>
      </c>
      <c r="O172" s="124" t="str">
        <f>IF($B172="","",IF(O$3=0,"n.b.",INDEX(SRC_ZPMW03!$A$1:$ZZ$501,$A172,O$3)))</f>
        <v/>
      </c>
      <c r="P172" s="124" t="str">
        <f>IF($B172="","",IF(P$3=0,"n.b.",INDEX(SRC_ZPMW03!$A$1:$ZZ$501,$A172,P$3)))</f>
        <v/>
      </c>
      <c r="Q172" s="124" t="str">
        <f>IF($B172="","",IF(Q$3=0,"n.b.",INDEX(SRC_ZPMW03!$A$1:$ZZ$501,$A172,Q$3)))</f>
        <v/>
      </c>
      <c r="R172" s="124" t="str">
        <f>IF($B172="","",IF(R$3=0,"n.b.",INDEX(SRC_ZPMW03!$A$1:$ZZ$501,$A172,R$3)))</f>
        <v/>
      </c>
      <c r="S172" s="124" t="str">
        <f>IF($B172="","",IF(S$3=0,"n.b.",INDEX(SRC_ZPMW03!$A$1:$ZZ$501,$A172,S$3)))</f>
        <v/>
      </c>
      <c r="T172" s="124" t="str">
        <f>IF($B172="","",IF(T$3=0,"n.b.",INDEX(SRC_ZPMW03!$A$1:$ZZ$501,$A172,T$3)))</f>
        <v/>
      </c>
      <c r="U172" s="124" t="str">
        <f>IF($B172="","",IF(U$3=0,"n.b.",INDEX(SRC_ZPMW03!$A$1:$ZZ$501,$A172,U$3)))</f>
        <v/>
      </c>
      <c r="V172" s="124" t="str">
        <f>IF($B172="","",IF(V$3=0,"n.b.",INDEX(SRC_ZPMW03!$A$1:$ZZ$501,$A172,V$3)))</f>
        <v/>
      </c>
      <c r="W172" s="124" t="str">
        <f>IF($B172="","",IF(W$3=0,"n.b.",INDEX(SRC_ZPMW03!$A$1:$ZZ$501,$A172,W$3)))</f>
        <v/>
      </c>
      <c r="X172" s="124" t="str">
        <f>IF($B172="","",IF(X$3=0,"n.b.",INDEX(SRC_ZPMW03!$A$1:$ZZ$501,$A172,X$3)))</f>
        <v/>
      </c>
      <c r="Y172" s="124" t="str">
        <f>IF($B172="","",IF(Y$3=0,"n.b.",INDEX(SRC_ZPMW03!$A$1:$ZZ$501,$A172,Y$3)))</f>
        <v/>
      </c>
      <c r="Z172" s="124" t="str">
        <f>IF($B172="","",IF(Z$3=0,"n.b.",INDEX(SRC_ZPMW03!$A$1:$ZZ$501,$A172,Z$3)))</f>
        <v/>
      </c>
      <c r="AA172" s="124" t="str">
        <f>IF($B172="","",IF(AA$3=0,"n.b.",INDEX(SRC_ZPMW03!$A$1:$ZZ$501,$A172,AA$3)))</f>
        <v/>
      </c>
      <c r="AB172" s="124" t="str">
        <f>IF($B172="","",IF(AB$3=0,"n.b.",INDEX(SRC_ZPMW03!$A$1:$ZZ$501,$A172,AB$3)))</f>
        <v/>
      </c>
      <c r="AC172" s="124" t="str">
        <f>IF($B172="","",IF(AC$3=0,"n.b.",INDEX(SRC_ZPMW03!$A$1:$ZZ$501,$A172,AC$3)))</f>
        <v/>
      </c>
      <c r="AD172" s="124" t="str">
        <f>IF($B172="","",IF(AD$3=0,"n.b.",INDEX(SRC_ZPMW03!$A$1:$ZZ$501,$A172,AD$3)))</f>
        <v/>
      </c>
      <c r="AE172" s="124" t="str">
        <f>IF($B172="","",IF(AE$3=0,"n.b.",INDEX(SRC_ZPMW03!$A$1:$ZZ$501,$A172,AE$3)))</f>
        <v/>
      </c>
      <c r="AF172" s="124" t="str">
        <f>IF($B172="","",IF(AF$3=0,"n.b.",INDEX(SRC_ZPMW03!$A$1:$ZZ$501,$A172,AF$3)))</f>
        <v/>
      </c>
      <c r="AG172" s="124" t="str">
        <f>IF($B172="","",IF(AG$3=0,"n.b.",INDEX(SRC_ZPMW03!$A$1:$ZZ$501,$A172,AG$3)))</f>
        <v/>
      </c>
      <c r="AH172" s="124" t="str">
        <f>IF($B172="","",IF(AH$3=0,"n.b.",INDEX(SRC_ZPMW03!$A$1:$ZZ$501,$A172,AH$3)))</f>
        <v/>
      </c>
      <c r="AI172" s="124" t="str">
        <f>IF($B172="","",IF(AI$3=0,"n.b.",INDEX(SRC_ZPMW03!$A$1:$ZZ$501,$A172,AI$3)))</f>
        <v/>
      </c>
      <c r="AJ172" s="124" t="str">
        <f>IF($B172="","",IF(AJ$3=0,"n.b.",INDEX(SRC_ZPMW03!$A$1:$ZZ$501,$A172,AJ$3)))</f>
        <v/>
      </c>
      <c r="AK172" s="124" t="str">
        <f>IF($B172="","",IF(AK$3=0,"n.b.",INDEX(SRC_ZPMW03!$A$1:$ZZ$501,$A172,AK$3)))</f>
        <v/>
      </c>
      <c r="AL172" s="124" t="str">
        <f>IF($B172="","",IF(AL$3=0,"n.b.",INDEX(SRC_ZPMW03!$A$1:$ZZ$501,$A172,AL$3)))</f>
        <v/>
      </c>
      <c r="AM172" s="124" t="str">
        <f>IF($B172="","",IF(AM$3=0,"n.b.",INDEX(SRC_ZPMW03!$A$1:$ZZ$501,$A172,AM$3)))</f>
        <v/>
      </c>
      <c r="AN172" s="124" t="str">
        <f>IF($B172="","",IF(AN$3=0,"n.b.",INDEX(SRC_ZPMW03!$A$1:$ZZ$501,$A172,AN$3)))</f>
        <v/>
      </c>
      <c r="AO172" s="124" t="str">
        <f>IF($B172="","",IF(AO$3=0,"n.b.",INDEX(SRC_ZPMW03!$A$1:$ZZ$501,$A172,AO$3)))</f>
        <v/>
      </c>
      <c r="AP172" s="124" t="str">
        <f>IF($B172="","",IF(AP$3=0,"n.b.",INDEX(SRC_ZPMW03!$A$1:$ZZ$501,$A172,AP$3)))</f>
        <v/>
      </c>
      <c r="AQ172" s="124" t="str">
        <f>IF($B172="","",IF(AQ$3=0,"n.b.",INDEX(SRC_ZPMW03!$A$1:$ZZ$501,$A172,AQ$3)))</f>
        <v/>
      </c>
      <c r="AR172" s="124" t="str">
        <f>IF($B172="","",IF(AR$3=0,"n.b.",INDEX(SRC_ZPMW03!$A$1:$ZZ$501,$A172,AR$3)))</f>
        <v/>
      </c>
      <c r="AS172" s="124" t="str">
        <f>IF($B172="","",IF(AS$3=0,"n.b.",INDEX(SRC_ZPMW03!$A$1:$ZZ$501,$A172,AS$3)))</f>
        <v/>
      </c>
      <c r="AT172" s="124" t="str">
        <f>IF($B172="","",IF(AT$3=0,"n.b.",INDEX(SRC_ZPMW03!$A$1:$ZZ$501,$A172,AT$3)))</f>
        <v/>
      </c>
      <c r="AU172" s="124" t="str">
        <f>IF($B172="","",IF(AU$3=0,"n.b.",INDEX(SRC_ZPMW03!$A$1:$ZZ$501,$A172,AU$3)))</f>
        <v/>
      </c>
      <c r="AV172" s="124" t="str">
        <f>IF($B172="","",IF(AV$3=0,"n.b.",INDEX(SRC_ZPMW03!$A$1:$ZZ$501,$A172,AV$3)))</f>
        <v/>
      </c>
      <c r="AW172" s="124" t="str">
        <f>IF($B172="","",IF(AW$3=0,"n.b.",INDEX(SRC_ZPMW03!$A$1:$ZZ$501,$A172,AW$3)))</f>
        <v/>
      </c>
      <c r="AX172" s="124" t="str">
        <f>IF($B172="","",IF(AX$3=0,"n.b.",INDEX(SRC_ZPMW03!$A$1:$ZZ$501,$A172,AX$3)))</f>
        <v/>
      </c>
      <c r="AY172" s="124" t="str">
        <f>IF($B172="","",IF(AY$3=0,"n.b.",INDEX(SRC_ZPMW03!$A$1:$ZZ$501,$A172,AY$3)))</f>
        <v/>
      </c>
      <c r="AZ172" s="124" t="str">
        <f>IF($B172="","",IF(AZ$3=0,"n.b.",INDEX(SRC_ZPMW03!$A$1:$ZZ$501,$A172,AZ$3)))</f>
        <v/>
      </c>
      <c r="BA172" s="124" t="str">
        <f>IF($B172="","",IF(BA$3=0,"n.b.",INDEX(SRC_ZPMW03!$A$1:$ZZ$501,$A172,BA$3)))</f>
        <v/>
      </c>
      <c r="BB172" s="124" t="str">
        <f>IF($B172="","",IF(BB$3=0,"n.b.",INDEX(SRC_ZPMW03!$A$1:$ZZ$501,$A172,BB$3)))</f>
        <v/>
      </c>
      <c r="BC172" s="124" t="str">
        <f>IF($B172="","",IF(BC$3=0,"n.b.",INDEX(SRC_ZPMW03!$A$1:$ZZ$501,$A172,BC$3)))</f>
        <v/>
      </c>
      <c r="BD172" s="124" t="str">
        <f>IF($B172="","",IF(BD$3=0,"n.b.",INDEX(SRC_ZPMW03!$A$1:$ZZ$501,$A172,BD$3)))</f>
        <v/>
      </c>
      <c r="BE172" s="124" t="str">
        <f>IF($B172="","",IF(BE$3=0,"n.b.",INDEX(SRC_ZPMW03!$A$1:$ZZ$501,$A172,BE$3)))</f>
        <v/>
      </c>
      <c r="BF172" s="124" t="str">
        <f>IF($B172="","",IF(BF$3=0,"n.b.",INDEX(SRC_ZPMW03!$A$1:$ZZ$501,$A172,BF$3)))</f>
        <v/>
      </c>
      <c r="BG172" t="str">
        <f>IF($B172="","",IF(BG$3=0,"n.b.",INDEX(SRC_ZPMW03!$A$1:$ZZ$501,$A172,BG$3)))</f>
        <v/>
      </c>
      <c r="BH172" t="str">
        <f>IF($B172="","",IF(BH$3=0,"n.b.",INDEX(SRC_ZPMW03!$A$1:$ZZ$501,$A172,BH$3)))</f>
        <v/>
      </c>
      <c r="BI172" t="str">
        <f>IF($B172="","",IF(BI$3=0,"n.b.",INDEX(SRC_ZPMW03!$A$1:$ZZ$501,$A172,BI$3)))</f>
        <v/>
      </c>
      <c r="BJ172" t="str">
        <f>IF($B172="","",IF(BJ$3=0,"n.b.",INDEX(SRC_ZPMW03!$A$1:$ZZ$501,$A172,BJ$3)))</f>
        <v/>
      </c>
      <c r="BK172" s="124" t="str">
        <f>IF($B172="","",IFERROR(-O172,"n.b."))</f>
        <v/>
      </c>
      <c r="BL172" s="124" t="str">
        <f>IF($B172="","",IFERROR(-Q172,"n.b."))</f>
        <v/>
      </c>
      <c r="BM172" s="124" t="str">
        <f>IF($B172="","",IFERROR(-AB172,"n.b."))</f>
        <v/>
      </c>
      <c r="BN172" s="124" t="str">
        <f>IF($B172="","",IFERROR(-AD172,"n.b."))</f>
        <v/>
      </c>
      <c r="BO172" s="124" t="str">
        <f>IF($B172="","",IFERROR(BK172+BM172,"n.b."))</f>
        <v/>
      </c>
      <c r="BP172" s="124" t="str">
        <f>IF($B172="","",IFERROR(BL172+BN172,"n.b."))</f>
        <v/>
      </c>
      <c r="BQ172" s="124" t="str">
        <f>IF($B172="","",IFERROR(-AM172,"n.b."))</f>
        <v/>
      </c>
      <c r="BR172" s="124" t="str">
        <f>IF($B172="","",IFERROR(-AO172,"n.b."))</f>
        <v/>
      </c>
      <c r="BS172" s="124" t="str">
        <f>IF($B172="","",IFERROR(-Z172,"n.b."))</f>
        <v/>
      </c>
      <c r="BT172" s="124" t="str">
        <f>IF($B172="","",IFERROR(-AA172,"n.b."))</f>
        <v/>
      </c>
      <c r="BU172" s="124" t="str">
        <f>IF($B172="","",IFERROR(-AE172,"n.b."))</f>
        <v/>
      </c>
      <c r="BV172" s="124" t="str">
        <f>IF($B172="","",IFERROR(-AF172,"n.b."))</f>
        <v/>
      </c>
      <c r="BW172" s="124" t="str">
        <f>IF($B172="","",IFERROR(-AG172,"n.b."))</f>
        <v/>
      </c>
      <c r="BX172" s="124" t="str">
        <f>IF($B172="","",IFERROR(-AH172,"n.b."))</f>
        <v/>
      </c>
      <c r="BY172" s="124" t="str">
        <f>IF($B172="","",IFERROR(-AI172,"n.b."))</f>
        <v/>
      </c>
      <c r="BZ172" s="124" t="str">
        <f>IF($B172="","",IFERROR(-AJ172,"n.b."))</f>
        <v/>
      </c>
      <c r="CA172" s="124" t="str">
        <f>IF($B172="","",IFERROR(-AK172,"n.b."))</f>
        <v/>
      </c>
      <c r="CB172" s="124" t="str">
        <f>IF($B172="","",IFERROR(-AL172,"n.b."))</f>
        <v/>
      </c>
      <c r="CC172" s="124" t="str">
        <f>IF($B172="","",IFERROR(-AP172,"n.b."))</f>
        <v/>
      </c>
      <c r="CD172" s="124" t="str">
        <f>IF($B172="","",IFERROR(-AQ172,"n.b."))</f>
        <v/>
      </c>
      <c r="CE172" s="124" t="str">
        <f>IF($B172="","",IFERROR(-AR172,"n.b."))</f>
        <v/>
      </c>
      <c r="CF172" s="124" t="str">
        <f>IF($B172="","",IFERROR(-AS172,"n.b."))</f>
        <v/>
      </c>
      <c r="CG172" s="124" t="str">
        <f>IF($B172="","",IFERROR(-AT172,"n.b."))</f>
        <v/>
      </c>
      <c r="CH172" s="124" t="str">
        <f>IF($B172="","",IFERROR(-AU172,"n.b."))</f>
        <v/>
      </c>
      <c r="CI172" s="124" t="str">
        <f>IF($B172="","",IFERROR(-AV172,"n.b."))</f>
        <v/>
      </c>
      <c r="CJ172" s="124" t="str">
        <f>IF($B172="","",IFERROR(-AW172,"n.b."))</f>
        <v/>
      </c>
      <c r="CK172" s="124" t="str">
        <f>IF($B172="","",IFERROR(-AX172,"n.b."))</f>
        <v/>
      </c>
      <c r="CL172" s="124" t="str">
        <f>IF($B172="","",IFERROR(-AY172,"n.b."))</f>
        <v/>
      </c>
      <c r="CM172" s="124" t="str">
        <f>IF($B172="","",IFERROR(-AZ172,"n.b."))</f>
        <v/>
      </c>
      <c r="CN172" s="124" t="str">
        <f>IF($B172="","",IFERROR(-BA172,"n.b."))</f>
        <v/>
      </c>
      <c r="CO172" s="124" t="str">
        <f>IF($B172="","",IFERROR(-BB172,"n.b."))</f>
        <v/>
      </c>
      <c r="CP172" s="124" t="str">
        <f>IF($B172="","",IFERROR(-BC172,"n.b."))</f>
        <v/>
      </c>
      <c r="CQ172" s="124" t="str">
        <f>IF($B172="","",IFERROR(-BD172,"n.b."))</f>
        <v/>
      </c>
      <c r="CR172" s="124" t="str">
        <f>IF($B172="","",IFERROR(-BE172,"n.b."))</f>
        <v/>
      </c>
      <c r="CS172" s="124" t="str">
        <f>IF($B172="","",IFERROR(IF(OR(ABS(T172+V172+X172+Z172-AB172)&gt;P_Tol,ABS(U172+W172+Y172+AA172-AD172)&gt;P_Tol,ABS(AE172+AG172+AI172+AK172-AM172)&gt;P_Tol,ABS(AF172+AH172+AJ172+AL172-AO172)&gt;P_Tol),1,0),1))</f>
        <v/>
      </c>
      <c r="CT172" s="124" t="str">
        <f>IF($B172="","",IFERROR(IF(OR(ABS(AB172+AC172-AD172)&gt;P_Tol,ABS(AM172+AN172-AO172)&gt;P_Tol,ABS(O172+P172-Q172)&gt;P_Tol),1,0),1))</f>
        <v/>
      </c>
      <c r="CU172" s="124" t="str">
        <f>IF($B172="","",IFERROR(IF(ABS(R172-(AB172+AM172+AP172+AR172+AT172+AV172+AX172+AZ172+BB172+BD172))&gt;P_Tol,1,0),1))</f>
        <v/>
      </c>
      <c r="CV172" s="124" t="str">
        <f>IF($B172="","",IFERROR(IF(ABS(M172-(N172+O172+R172))&gt;P_Tol,1,0),1))</f>
        <v/>
      </c>
      <c r="CW172" s="124" t="str">
        <f>IF($B172="","",IF(COUNTIF(Mapping!$A$5:$A$104,B172)&gt;0,1,0))</f>
        <v/>
      </c>
      <c r="CX172" s="124" t="str">
        <f>IF($B172="","",COUNTIF($B$6:$B$505,B172))</f>
        <v/>
      </c>
      <c r="CY172" s="124" t="str">
        <f>IF($B172="","",COUNTIF(STG_Woningetalage!$B$6:$B$505,B172))</f>
        <v/>
      </c>
      <c r="CZ172" s="124" t="str">
        <f>IF($B172="","",IF(CW172=0,COUNTIF($CW$6:CW172,0),""))</f>
        <v/>
      </c>
    </row>
    <row r="173">
      <c r="A173" s="15" t="n">
        <v>169</v>
      </c>
      <c r="B173" t="str">
        <f>IF(B$3=0,"",IF(INDEX(SRC_ZPMW03!$A$1:$ZZ$501,$A173,B$3)&amp;""="","",INDEX(SRC_ZPMW03!$A$1:$ZZ$501,$A173,B$3)&amp;""))</f>
        <v/>
      </c>
      <c r="C173" t="str">
        <f>IF($B173="","",IF(C$3=0,"n.b.",INDEX(SRC_ZPMW03!$A$1:$ZZ$501,$A173,C$3)))</f>
        <v/>
      </c>
      <c r="D173" t="str">
        <f>IF($B173="","",IF(D$3=0,"n.b.",INDEX(SRC_ZPMW03!$A$1:$ZZ$501,$A173,D$3)))</f>
        <v/>
      </c>
      <c r="E173" t="str">
        <f>IF($B173="","",IF(E$3=0,"n.b.",INDEX(SRC_ZPMW03!$A$1:$ZZ$501,$A173,E$3)))</f>
        <v/>
      </c>
      <c r="F173" t="str">
        <f>IF($B173="","",IF(F$3=0,"n.b.",INDEX(SRC_ZPMW03!$A$1:$ZZ$501,$A173,F$3)))</f>
        <v/>
      </c>
      <c r="G173" t="str">
        <f>IF($B173="","",IF(G$3=0,"n.b.",INDEX(SRC_ZPMW03!$A$1:$ZZ$501,$A173,G$3)))</f>
        <v/>
      </c>
      <c r="H173" t="str">
        <f>IF($B173="","",IF(H$3=0,"n.b.",INDEX(SRC_ZPMW03!$A$1:$ZZ$501,$A173,H$3)))</f>
        <v/>
      </c>
      <c r="I173" t="str">
        <f>IF($B173="","",IF(I$3=0,"n.b.",INDEX(SRC_ZPMW03!$A$1:$ZZ$501,$A173,I$3)))</f>
        <v/>
      </c>
      <c r="J173" t="str">
        <f>IF($B173="","",IF(J$3=0,"n.b.",INDEX(SRC_ZPMW03!$A$1:$ZZ$501,$A173,J$3)))</f>
        <v/>
      </c>
      <c r="K173" t="str">
        <f>IF($B173="","",IF(K$3=0,"n.b.",INDEX(SRC_ZPMW03!$A$1:$ZZ$501,$A173,K$3)))</f>
        <v/>
      </c>
      <c r="L173" s="124" t="str">
        <f>IF($B173="","",IF(L$3=0,"n.b.",INDEX(SRC_ZPMW03!$A$1:$ZZ$501,$A173,L$3)))</f>
        <v/>
      </c>
      <c r="M173" s="124" t="str">
        <f>IF($B173="","",IF(M$3=0,"n.b.",INDEX(SRC_ZPMW03!$A$1:$ZZ$501,$A173,M$3)))</f>
        <v/>
      </c>
      <c r="N173" s="124" t="str">
        <f>IF($B173="","",IF(N$3=0,"n.b.",INDEX(SRC_ZPMW03!$A$1:$ZZ$501,$A173,N$3)))</f>
        <v/>
      </c>
      <c r="O173" s="124" t="str">
        <f>IF($B173="","",IF(O$3=0,"n.b.",INDEX(SRC_ZPMW03!$A$1:$ZZ$501,$A173,O$3)))</f>
        <v/>
      </c>
      <c r="P173" s="124" t="str">
        <f>IF($B173="","",IF(P$3=0,"n.b.",INDEX(SRC_ZPMW03!$A$1:$ZZ$501,$A173,P$3)))</f>
        <v/>
      </c>
      <c r="Q173" s="124" t="str">
        <f>IF($B173="","",IF(Q$3=0,"n.b.",INDEX(SRC_ZPMW03!$A$1:$ZZ$501,$A173,Q$3)))</f>
        <v/>
      </c>
      <c r="R173" s="124" t="str">
        <f>IF($B173="","",IF(R$3=0,"n.b.",INDEX(SRC_ZPMW03!$A$1:$ZZ$501,$A173,R$3)))</f>
        <v/>
      </c>
      <c r="S173" s="124" t="str">
        <f>IF($B173="","",IF(S$3=0,"n.b.",INDEX(SRC_ZPMW03!$A$1:$ZZ$501,$A173,S$3)))</f>
        <v/>
      </c>
      <c r="T173" s="124" t="str">
        <f>IF($B173="","",IF(T$3=0,"n.b.",INDEX(SRC_ZPMW03!$A$1:$ZZ$501,$A173,T$3)))</f>
        <v/>
      </c>
      <c r="U173" s="124" t="str">
        <f>IF($B173="","",IF(U$3=0,"n.b.",INDEX(SRC_ZPMW03!$A$1:$ZZ$501,$A173,U$3)))</f>
        <v/>
      </c>
      <c r="V173" s="124" t="str">
        <f>IF($B173="","",IF(V$3=0,"n.b.",INDEX(SRC_ZPMW03!$A$1:$ZZ$501,$A173,V$3)))</f>
        <v/>
      </c>
      <c r="W173" s="124" t="str">
        <f>IF($B173="","",IF(W$3=0,"n.b.",INDEX(SRC_ZPMW03!$A$1:$ZZ$501,$A173,W$3)))</f>
        <v/>
      </c>
      <c r="X173" s="124" t="str">
        <f>IF($B173="","",IF(X$3=0,"n.b.",INDEX(SRC_ZPMW03!$A$1:$ZZ$501,$A173,X$3)))</f>
        <v/>
      </c>
      <c r="Y173" s="124" t="str">
        <f>IF($B173="","",IF(Y$3=0,"n.b.",INDEX(SRC_ZPMW03!$A$1:$ZZ$501,$A173,Y$3)))</f>
        <v/>
      </c>
      <c r="Z173" s="124" t="str">
        <f>IF($B173="","",IF(Z$3=0,"n.b.",INDEX(SRC_ZPMW03!$A$1:$ZZ$501,$A173,Z$3)))</f>
        <v/>
      </c>
      <c r="AA173" s="124" t="str">
        <f>IF($B173="","",IF(AA$3=0,"n.b.",INDEX(SRC_ZPMW03!$A$1:$ZZ$501,$A173,AA$3)))</f>
        <v/>
      </c>
      <c r="AB173" s="124" t="str">
        <f>IF($B173="","",IF(AB$3=0,"n.b.",INDEX(SRC_ZPMW03!$A$1:$ZZ$501,$A173,AB$3)))</f>
        <v/>
      </c>
      <c r="AC173" s="124" t="str">
        <f>IF($B173="","",IF(AC$3=0,"n.b.",INDEX(SRC_ZPMW03!$A$1:$ZZ$501,$A173,AC$3)))</f>
        <v/>
      </c>
      <c r="AD173" s="124" t="str">
        <f>IF($B173="","",IF(AD$3=0,"n.b.",INDEX(SRC_ZPMW03!$A$1:$ZZ$501,$A173,AD$3)))</f>
        <v/>
      </c>
      <c r="AE173" s="124" t="str">
        <f>IF($B173="","",IF(AE$3=0,"n.b.",INDEX(SRC_ZPMW03!$A$1:$ZZ$501,$A173,AE$3)))</f>
        <v/>
      </c>
      <c r="AF173" s="124" t="str">
        <f>IF($B173="","",IF(AF$3=0,"n.b.",INDEX(SRC_ZPMW03!$A$1:$ZZ$501,$A173,AF$3)))</f>
        <v/>
      </c>
      <c r="AG173" s="124" t="str">
        <f>IF($B173="","",IF(AG$3=0,"n.b.",INDEX(SRC_ZPMW03!$A$1:$ZZ$501,$A173,AG$3)))</f>
        <v/>
      </c>
      <c r="AH173" s="124" t="str">
        <f>IF($B173="","",IF(AH$3=0,"n.b.",INDEX(SRC_ZPMW03!$A$1:$ZZ$501,$A173,AH$3)))</f>
        <v/>
      </c>
      <c r="AI173" s="124" t="str">
        <f>IF($B173="","",IF(AI$3=0,"n.b.",INDEX(SRC_ZPMW03!$A$1:$ZZ$501,$A173,AI$3)))</f>
        <v/>
      </c>
      <c r="AJ173" s="124" t="str">
        <f>IF($B173="","",IF(AJ$3=0,"n.b.",INDEX(SRC_ZPMW03!$A$1:$ZZ$501,$A173,AJ$3)))</f>
        <v/>
      </c>
      <c r="AK173" s="124" t="str">
        <f>IF($B173="","",IF(AK$3=0,"n.b.",INDEX(SRC_ZPMW03!$A$1:$ZZ$501,$A173,AK$3)))</f>
        <v/>
      </c>
      <c r="AL173" s="124" t="str">
        <f>IF($B173="","",IF(AL$3=0,"n.b.",INDEX(SRC_ZPMW03!$A$1:$ZZ$501,$A173,AL$3)))</f>
        <v/>
      </c>
      <c r="AM173" s="124" t="str">
        <f>IF($B173="","",IF(AM$3=0,"n.b.",INDEX(SRC_ZPMW03!$A$1:$ZZ$501,$A173,AM$3)))</f>
        <v/>
      </c>
      <c r="AN173" s="124" t="str">
        <f>IF($B173="","",IF(AN$3=0,"n.b.",INDEX(SRC_ZPMW03!$A$1:$ZZ$501,$A173,AN$3)))</f>
        <v/>
      </c>
      <c r="AO173" s="124" t="str">
        <f>IF($B173="","",IF(AO$3=0,"n.b.",INDEX(SRC_ZPMW03!$A$1:$ZZ$501,$A173,AO$3)))</f>
        <v/>
      </c>
      <c r="AP173" s="124" t="str">
        <f>IF($B173="","",IF(AP$3=0,"n.b.",INDEX(SRC_ZPMW03!$A$1:$ZZ$501,$A173,AP$3)))</f>
        <v/>
      </c>
      <c r="AQ173" s="124" t="str">
        <f>IF($B173="","",IF(AQ$3=0,"n.b.",INDEX(SRC_ZPMW03!$A$1:$ZZ$501,$A173,AQ$3)))</f>
        <v/>
      </c>
      <c r="AR173" s="124" t="str">
        <f>IF($B173="","",IF(AR$3=0,"n.b.",INDEX(SRC_ZPMW03!$A$1:$ZZ$501,$A173,AR$3)))</f>
        <v/>
      </c>
      <c r="AS173" s="124" t="str">
        <f>IF($B173="","",IF(AS$3=0,"n.b.",INDEX(SRC_ZPMW03!$A$1:$ZZ$501,$A173,AS$3)))</f>
        <v/>
      </c>
      <c r="AT173" s="124" t="str">
        <f>IF($B173="","",IF(AT$3=0,"n.b.",INDEX(SRC_ZPMW03!$A$1:$ZZ$501,$A173,AT$3)))</f>
        <v/>
      </c>
      <c r="AU173" s="124" t="str">
        <f>IF($B173="","",IF(AU$3=0,"n.b.",INDEX(SRC_ZPMW03!$A$1:$ZZ$501,$A173,AU$3)))</f>
        <v/>
      </c>
      <c r="AV173" s="124" t="str">
        <f>IF($B173="","",IF(AV$3=0,"n.b.",INDEX(SRC_ZPMW03!$A$1:$ZZ$501,$A173,AV$3)))</f>
        <v/>
      </c>
      <c r="AW173" s="124" t="str">
        <f>IF($B173="","",IF(AW$3=0,"n.b.",INDEX(SRC_ZPMW03!$A$1:$ZZ$501,$A173,AW$3)))</f>
        <v/>
      </c>
      <c r="AX173" s="124" t="str">
        <f>IF($B173="","",IF(AX$3=0,"n.b.",INDEX(SRC_ZPMW03!$A$1:$ZZ$501,$A173,AX$3)))</f>
        <v/>
      </c>
      <c r="AY173" s="124" t="str">
        <f>IF($B173="","",IF(AY$3=0,"n.b.",INDEX(SRC_ZPMW03!$A$1:$ZZ$501,$A173,AY$3)))</f>
        <v/>
      </c>
      <c r="AZ173" s="124" t="str">
        <f>IF($B173="","",IF(AZ$3=0,"n.b.",INDEX(SRC_ZPMW03!$A$1:$ZZ$501,$A173,AZ$3)))</f>
        <v/>
      </c>
      <c r="BA173" s="124" t="str">
        <f>IF($B173="","",IF(BA$3=0,"n.b.",INDEX(SRC_ZPMW03!$A$1:$ZZ$501,$A173,BA$3)))</f>
        <v/>
      </c>
      <c r="BB173" s="124" t="str">
        <f>IF($B173="","",IF(BB$3=0,"n.b.",INDEX(SRC_ZPMW03!$A$1:$ZZ$501,$A173,BB$3)))</f>
        <v/>
      </c>
      <c r="BC173" s="124" t="str">
        <f>IF($B173="","",IF(BC$3=0,"n.b.",INDEX(SRC_ZPMW03!$A$1:$ZZ$501,$A173,BC$3)))</f>
        <v/>
      </c>
      <c r="BD173" s="124" t="str">
        <f>IF($B173="","",IF(BD$3=0,"n.b.",INDEX(SRC_ZPMW03!$A$1:$ZZ$501,$A173,BD$3)))</f>
        <v/>
      </c>
      <c r="BE173" s="124" t="str">
        <f>IF($B173="","",IF(BE$3=0,"n.b.",INDEX(SRC_ZPMW03!$A$1:$ZZ$501,$A173,BE$3)))</f>
        <v/>
      </c>
      <c r="BF173" s="124" t="str">
        <f>IF($B173="","",IF(BF$3=0,"n.b.",INDEX(SRC_ZPMW03!$A$1:$ZZ$501,$A173,BF$3)))</f>
        <v/>
      </c>
      <c r="BG173" t="str">
        <f>IF($B173="","",IF(BG$3=0,"n.b.",INDEX(SRC_ZPMW03!$A$1:$ZZ$501,$A173,BG$3)))</f>
        <v/>
      </c>
      <c r="BH173" t="str">
        <f>IF($B173="","",IF(BH$3=0,"n.b.",INDEX(SRC_ZPMW03!$A$1:$ZZ$501,$A173,BH$3)))</f>
        <v/>
      </c>
      <c r="BI173" t="str">
        <f>IF($B173="","",IF(BI$3=0,"n.b.",INDEX(SRC_ZPMW03!$A$1:$ZZ$501,$A173,BI$3)))</f>
        <v/>
      </c>
      <c r="BJ173" t="str">
        <f>IF($B173="","",IF(BJ$3=0,"n.b.",INDEX(SRC_ZPMW03!$A$1:$ZZ$501,$A173,BJ$3)))</f>
        <v/>
      </c>
      <c r="BK173" s="124" t="str">
        <f>IF($B173="","",IFERROR(-O173,"n.b."))</f>
        <v/>
      </c>
      <c r="BL173" s="124" t="str">
        <f>IF($B173="","",IFERROR(-Q173,"n.b."))</f>
        <v/>
      </c>
      <c r="BM173" s="124" t="str">
        <f>IF($B173="","",IFERROR(-AB173,"n.b."))</f>
        <v/>
      </c>
      <c r="BN173" s="124" t="str">
        <f>IF($B173="","",IFERROR(-AD173,"n.b."))</f>
        <v/>
      </c>
      <c r="BO173" s="124" t="str">
        <f>IF($B173="","",IFERROR(BK173+BM173,"n.b."))</f>
        <v/>
      </c>
      <c r="BP173" s="124" t="str">
        <f>IF($B173="","",IFERROR(BL173+BN173,"n.b."))</f>
        <v/>
      </c>
      <c r="BQ173" s="124" t="str">
        <f>IF($B173="","",IFERROR(-AM173,"n.b."))</f>
        <v/>
      </c>
      <c r="BR173" s="124" t="str">
        <f>IF($B173="","",IFERROR(-AO173,"n.b."))</f>
        <v/>
      </c>
      <c r="BS173" s="124" t="str">
        <f>IF($B173="","",IFERROR(-Z173,"n.b."))</f>
        <v/>
      </c>
      <c r="BT173" s="124" t="str">
        <f>IF($B173="","",IFERROR(-AA173,"n.b."))</f>
        <v/>
      </c>
      <c r="BU173" s="124" t="str">
        <f>IF($B173="","",IFERROR(-AE173,"n.b."))</f>
        <v/>
      </c>
      <c r="BV173" s="124" t="str">
        <f>IF($B173="","",IFERROR(-AF173,"n.b."))</f>
        <v/>
      </c>
      <c r="BW173" s="124" t="str">
        <f>IF($B173="","",IFERROR(-AG173,"n.b."))</f>
        <v/>
      </c>
      <c r="BX173" s="124" t="str">
        <f>IF($B173="","",IFERROR(-AH173,"n.b."))</f>
        <v/>
      </c>
      <c r="BY173" s="124" t="str">
        <f>IF($B173="","",IFERROR(-AI173,"n.b."))</f>
        <v/>
      </c>
      <c r="BZ173" s="124" t="str">
        <f>IF($B173="","",IFERROR(-AJ173,"n.b."))</f>
        <v/>
      </c>
      <c r="CA173" s="124" t="str">
        <f>IF($B173="","",IFERROR(-AK173,"n.b."))</f>
        <v/>
      </c>
      <c r="CB173" s="124" t="str">
        <f>IF($B173="","",IFERROR(-AL173,"n.b."))</f>
        <v/>
      </c>
      <c r="CC173" s="124" t="str">
        <f>IF($B173="","",IFERROR(-AP173,"n.b."))</f>
        <v/>
      </c>
      <c r="CD173" s="124" t="str">
        <f>IF($B173="","",IFERROR(-AQ173,"n.b."))</f>
        <v/>
      </c>
      <c r="CE173" s="124" t="str">
        <f>IF($B173="","",IFERROR(-AR173,"n.b."))</f>
        <v/>
      </c>
      <c r="CF173" s="124" t="str">
        <f>IF($B173="","",IFERROR(-AS173,"n.b."))</f>
        <v/>
      </c>
      <c r="CG173" s="124" t="str">
        <f>IF($B173="","",IFERROR(-AT173,"n.b."))</f>
        <v/>
      </c>
      <c r="CH173" s="124" t="str">
        <f>IF($B173="","",IFERROR(-AU173,"n.b."))</f>
        <v/>
      </c>
      <c r="CI173" s="124" t="str">
        <f>IF($B173="","",IFERROR(-AV173,"n.b."))</f>
        <v/>
      </c>
      <c r="CJ173" s="124" t="str">
        <f>IF($B173="","",IFERROR(-AW173,"n.b."))</f>
        <v/>
      </c>
      <c r="CK173" s="124" t="str">
        <f>IF($B173="","",IFERROR(-AX173,"n.b."))</f>
        <v/>
      </c>
      <c r="CL173" s="124" t="str">
        <f>IF($B173="","",IFERROR(-AY173,"n.b."))</f>
        <v/>
      </c>
      <c r="CM173" s="124" t="str">
        <f>IF($B173="","",IFERROR(-AZ173,"n.b."))</f>
        <v/>
      </c>
      <c r="CN173" s="124" t="str">
        <f>IF($B173="","",IFERROR(-BA173,"n.b."))</f>
        <v/>
      </c>
      <c r="CO173" s="124" t="str">
        <f>IF($B173="","",IFERROR(-BB173,"n.b."))</f>
        <v/>
      </c>
      <c r="CP173" s="124" t="str">
        <f>IF($B173="","",IFERROR(-BC173,"n.b."))</f>
        <v/>
      </c>
      <c r="CQ173" s="124" t="str">
        <f>IF($B173="","",IFERROR(-BD173,"n.b."))</f>
        <v/>
      </c>
      <c r="CR173" s="124" t="str">
        <f>IF($B173="","",IFERROR(-BE173,"n.b."))</f>
        <v/>
      </c>
      <c r="CS173" s="124" t="str">
        <f>IF($B173="","",IFERROR(IF(OR(ABS(T173+V173+X173+Z173-AB173)&gt;P_Tol,ABS(U173+W173+Y173+AA173-AD173)&gt;P_Tol,ABS(AE173+AG173+AI173+AK173-AM173)&gt;P_Tol,ABS(AF173+AH173+AJ173+AL173-AO173)&gt;P_Tol),1,0),1))</f>
        <v/>
      </c>
      <c r="CT173" s="124" t="str">
        <f>IF($B173="","",IFERROR(IF(OR(ABS(AB173+AC173-AD173)&gt;P_Tol,ABS(AM173+AN173-AO173)&gt;P_Tol,ABS(O173+P173-Q173)&gt;P_Tol),1,0),1))</f>
        <v/>
      </c>
      <c r="CU173" s="124" t="str">
        <f>IF($B173="","",IFERROR(IF(ABS(R173-(AB173+AM173+AP173+AR173+AT173+AV173+AX173+AZ173+BB173+BD173))&gt;P_Tol,1,0),1))</f>
        <v/>
      </c>
      <c r="CV173" s="124" t="str">
        <f>IF($B173="","",IFERROR(IF(ABS(M173-(N173+O173+R173))&gt;P_Tol,1,0),1))</f>
        <v/>
      </c>
      <c r="CW173" s="124" t="str">
        <f>IF($B173="","",IF(COUNTIF(Mapping!$A$5:$A$104,B173)&gt;0,1,0))</f>
        <v/>
      </c>
      <c r="CX173" s="124" t="str">
        <f>IF($B173="","",COUNTIF($B$6:$B$505,B173))</f>
        <v/>
      </c>
      <c r="CY173" s="124" t="str">
        <f>IF($B173="","",COUNTIF(STG_Woningetalage!$B$6:$B$505,B173))</f>
        <v/>
      </c>
      <c r="CZ173" s="124" t="str">
        <f>IF($B173="","",IF(CW173=0,COUNTIF($CW$6:CW173,0),""))</f>
        <v/>
      </c>
    </row>
    <row r="174">
      <c r="A174" s="15" t="n">
        <v>170</v>
      </c>
      <c r="B174" t="str">
        <f>IF(B$3=0,"",IF(INDEX(SRC_ZPMW03!$A$1:$ZZ$501,$A174,B$3)&amp;""="","",INDEX(SRC_ZPMW03!$A$1:$ZZ$501,$A174,B$3)&amp;""))</f>
        <v/>
      </c>
      <c r="C174" t="str">
        <f>IF($B174="","",IF(C$3=0,"n.b.",INDEX(SRC_ZPMW03!$A$1:$ZZ$501,$A174,C$3)))</f>
        <v/>
      </c>
      <c r="D174" t="str">
        <f>IF($B174="","",IF(D$3=0,"n.b.",INDEX(SRC_ZPMW03!$A$1:$ZZ$501,$A174,D$3)))</f>
        <v/>
      </c>
      <c r="E174" t="str">
        <f>IF($B174="","",IF(E$3=0,"n.b.",INDEX(SRC_ZPMW03!$A$1:$ZZ$501,$A174,E$3)))</f>
        <v/>
      </c>
      <c r="F174" t="str">
        <f>IF($B174="","",IF(F$3=0,"n.b.",INDEX(SRC_ZPMW03!$A$1:$ZZ$501,$A174,F$3)))</f>
        <v/>
      </c>
      <c r="G174" t="str">
        <f>IF($B174="","",IF(G$3=0,"n.b.",INDEX(SRC_ZPMW03!$A$1:$ZZ$501,$A174,G$3)))</f>
        <v/>
      </c>
      <c r="H174" t="str">
        <f>IF($B174="","",IF(H$3=0,"n.b.",INDEX(SRC_ZPMW03!$A$1:$ZZ$501,$A174,H$3)))</f>
        <v/>
      </c>
      <c r="I174" t="str">
        <f>IF($B174="","",IF(I$3=0,"n.b.",INDEX(SRC_ZPMW03!$A$1:$ZZ$501,$A174,I$3)))</f>
        <v/>
      </c>
      <c r="J174" t="str">
        <f>IF($B174="","",IF(J$3=0,"n.b.",INDEX(SRC_ZPMW03!$A$1:$ZZ$501,$A174,J$3)))</f>
        <v/>
      </c>
      <c r="K174" t="str">
        <f>IF($B174="","",IF(K$3=0,"n.b.",INDEX(SRC_ZPMW03!$A$1:$ZZ$501,$A174,K$3)))</f>
        <v/>
      </c>
      <c r="L174" s="124" t="str">
        <f>IF($B174="","",IF(L$3=0,"n.b.",INDEX(SRC_ZPMW03!$A$1:$ZZ$501,$A174,L$3)))</f>
        <v/>
      </c>
      <c r="M174" s="124" t="str">
        <f>IF($B174="","",IF(M$3=0,"n.b.",INDEX(SRC_ZPMW03!$A$1:$ZZ$501,$A174,M$3)))</f>
        <v/>
      </c>
      <c r="N174" s="124" t="str">
        <f>IF($B174="","",IF(N$3=0,"n.b.",INDEX(SRC_ZPMW03!$A$1:$ZZ$501,$A174,N$3)))</f>
        <v/>
      </c>
      <c r="O174" s="124" t="str">
        <f>IF($B174="","",IF(O$3=0,"n.b.",INDEX(SRC_ZPMW03!$A$1:$ZZ$501,$A174,O$3)))</f>
        <v/>
      </c>
      <c r="P174" s="124" t="str">
        <f>IF($B174="","",IF(P$3=0,"n.b.",INDEX(SRC_ZPMW03!$A$1:$ZZ$501,$A174,P$3)))</f>
        <v/>
      </c>
      <c r="Q174" s="124" t="str">
        <f>IF($B174="","",IF(Q$3=0,"n.b.",INDEX(SRC_ZPMW03!$A$1:$ZZ$501,$A174,Q$3)))</f>
        <v/>
      </c>
      <c r="R174" s="124" t="str">
        <f>IF($B174="","",IF(R$3=0,"n.b.",INDEX(SRC_ZPMW03!$A$1:$ZZ$501,$A174,R$3)))</f>
        <v/>
      </c>
      <c r="S174" s="124" t="str">
        <f>IF($B174="","",IF(S$3=0,"n.b.",INDEX(SRC_ZPMW03!$A$1:$ZZ$501,$A174,S$3)))</f>
        <v/>
      </c>
      <c r="T174" s="124" t="str">
        <f>IF($B174="","",IF(T$3=0,"n.b.",INDEX(SRC_ZPMW03!$A$1:$ZZ$501,$A174,T$3)))</f>
        <v/>
      </c>
      <c r="U174" s="124" t="str">
        <f>IF($B174="","",IF(U$3=0,"n.b.",INDEX(SRC_ZPMW03!$A$1:$ZZ$501,$A174,U$3)))</f>
        <v/>
      </c>
      <c r="V174" s="124" t="str">
        <f>IF($B174="","",IF(V$3=0,"n.b.",INDEX(SRC_ZPMW03!$A$1:$ZZ$501,$A174,V$3)))</f>
        <v/>
      </c>
      <c r="W174" s="124" t="str">
        <f>IF($B174="","",IF(W$3=0,"n.b.",INDEX(SRC_ZPMW03!$A$1:$ZZ$501,$A174,W$3)))</f>
        <v/>
      </c>
      <c r="X174" s="124" t="str">
        <f>IF($B174="","",IF(X$3=0,"n.b.",INDEX(SRC_ZPMW03!$A$1:$ZZ$501,$A174,X$3)))</f>
        <v/>
      </c>
      <c r="Y174" s="124" t="str">
        <f>IF($B174="","",IF(Y$3=0,"n.b.",INDEX(SRC_ZPMW03!$A$1:$ZZ$501,$A174,Y$3)))</f>
        <v/>
      </c>
      <c r="Z174" s="124" t="str">
        <f>IF($B174="","",IF(Z$3=0,"n.b.",INDEX(SRC_ZPMW03!$A$1:$ZZ$501,$A174,Z$3)))</f>
        <v/>
      </c>
      <c r="AA174" s="124" t="str">
        <f>IF($B174="","",IF(AA$3=0,"n.b.",INDEX(SRC_ZPMW03!$A$1:$ZZ$501,$A174,AA$3)))</f>
        <v/>
      </c>
      <c r="AB174" s="124" t="str">
        <f>IF($B174="","",IF(AB$3=0,"n.b.",INDEX(SRC_ZPMW03!$A$1:$ZZ$501,$A174,AB$3)))</f>
        <v/>
      </c>
      <c r="AC174" s="124" t="str">
        <f>IF($B174="","",IF(AC$3=0,"n.b.",INDEX(SRC_ZPMW03!$A$1:$ZZ$501,$A174,AC$3)))</f>
        <v/>
      </c>
      <c r="AD174" s="124" t="str">
        <f>IF($B174="","",IF(AD$3=0,"n.b.",INDEX(SRC_ZPMW03!$A$1:$ZZ$501,$A174,AD$3)))</f>
        <v/>
      </c>
      <c r="AE174" s="124" t="str">
        <f>IF($B174="","",IF(AE$3=0,"n.b.",INDEX(SRC_ZPMW03!$A$1:$ZZ$501,$A174,AE$3)))</f>
        <v/>
      </c>
      <c r="AF174" s="124" t="str">
        <f>IF($B174="","",IF(AF$3=0,"n.b.",INDEX(SRC_ZPMW03!$A$1:$ZZ$501,$A174,AF$3)))</f>
        <v/>
      </c>
      <c r="AG174" s="124" t="str">
        <f>IF($B174="","",IF(AG$3=0,"n.b.",INDEX(SRC_ZPMW03!$A$1:$ZZ$501,$A174,AG$3)))</f>
        <v/>
      </c>
      <c r="AH174" s="124" t="str">
        <f>IF($B174="","",IF(AH$3=0,"n.b.",INDEX(SRC_ZPMW03!$A$1:$ZZ$501,$A174,AH$3)))</f>
        <v/>
      </c>
      <c r="AI174" s="124" t="str">
        <f>IF($B174="","",IF(AI$3=0,"n.b.",INDEX(SRC_ZPMW03!$A$1:$ZZ$501,$A174,AI$3)))</f>
        <v/>
      </c>
      <c r="AJ174" s="124" t="str">
        <f>IF($B174="","",IF(AJ$3=0,"n.b.",INDEX(SRC_ZPMW03!$A$1:$ZZ$501,$A174,AJ$3)))</f>
        <v/>
      </c>
      <c r="AK174" s="124" t="str">
        <f>IF($B174="","",IF(AK$3=0,"n.b.",INDEX(SRC_ZPMW03!$A$1:$ZZ$501,$A174,AK$3)))</f>
        <v/>
      </c>
      <c r="AL174" s="124" t="str">
        <f>IF($B174="","",IF(AL$3=0,"n.b.",INDEX(SRC_ZPMW03!$A$1:$ZZ$501,$A174,AL$3)))</f>
        <v/>
      </c>
      <c r="AM174" s="124" t="str">
        <f>IF($B174="","",IF(AM$3=0,"n.b.",INDEX(SRC_ZPMW03!$A$1:$ZZ$501,$A174,AM$3)))</f>
        <v/>
      </c>
      <c r="AN174" s="124" t="str">
        <f>IF($B174="","",IF(AN$3=0,"n.b.",INDEX(SRC_ZPMW03!$A$1:$ZZ$501,$A174,AN$3)))</f>
        <v/>
      </c>
      <c r="AO174" s="124" t="str">
        <f>IF($B174="","",IF(AO$3=0,"n.b.",INDEX(SRC_ZPMW03!$A$1:$ZZ$501,$A174,AO$3)))</f>
        <v/>
      </c>
      <c r="AP174" s="124" t="str">
        <f>IF($B174="","",IF(AP$3=0,"n.b.",INDEX(SRC_ZPMW03!$A$1:$ZZ$501,$A174,AP$3)))</f>
        <v/>
      </c>
      <c r="AQ174" s="124" t="str">
        <f>IF($B174="","",IF(AQ$3=0,"n.b.",INDEX(SRC_ZPMW03!$A$1:$ZZ$501,$A174,AQ$3)))</f>
        <v/>
      </c>
      <c r="AR174" s="124" t="str">
        <f>IF($B174="","",IF(AR$3=0,"n.b.",INDEX(SRC_ZPMW03!$A$1:$ZZ$501,$A174,AR$3)))</f>
        <v/>
      </c>
      <c r="AS174" s="124" t="str">
        <f>IF($B174="","",IF(AS$3=0,"n.b.",INDEX(SRC_ZPMW03!$A$1:$ZZ$501,$A174,AS$3)))</f>
        <v/>
      </c>
      <c r="AT174" s="124" t="str">
        <f>IF($B174="","",IF(AT$3=0,"n.b.",INDEX(SRC_ZPMW03!$A$1:$ZZ$501,$A174,AT$3)))</f>
        <v/>
      </c>
      <c r="AU174" s="124" t="str">
        <f>IF($B174="","",IF(AU$3=0,"n.b.",INDEX(SRC_ZPMW03!$A$1:$ZZ$501,$A174,AU$3)))</f>
        <v/>
      </c>
      <c r="AV174" s="124" t="str">
        <f>IF($B174="","",IF(AV$3=0,"n.b.",INDEX(SRC_ZPMW03!$A$1:$ZZ$501,$A174,AV$3)))</f>
        <v/>
      </c>
      <c r="AW174" s="124" t="str">
        <f>IF($B174="","",IF(AW$3=0,"n.b.",INDEX(SRC_ZPMW03!$A$1:$ZZ$501,$A174,AW$3)))</f>
        <v/>
      </c>
      <c r="AX174" s="124" t="str">
        <f>IF($B174="","",IF(AX$3=0,"n.b.",INDEX(SRC_ZPMW03!$A$1:$ZZ$501,$A174,AX$3)))</f>
        <v/>
      </c>
      <c r="AY174" s="124" t="str">
        <f>IF($B174="","",IF(AY$3=0,"n.b.",INDEX(SRC_ZPMW03!$A$1:$ZZ$501,$A174,AY$3)))</f>
        <v/>
      </c>
      <c r="AZ174" s="124" t="str">
        <f>IF($B174="","",IF(AZ$3=0,"n.b.",INDEX(SRC_ZPMW03!$A$1:$ZZ$501,$A174,AZ$3)))</f>
        <v/>
      </c>
      <c r="BA174" s="124" t="str">
        <f>IF($B174="","",IF(BA$3=0,"n.b.",INDEX(SRC_ZPMW03!$A$1:$ZZ$501,$A174,BA$3)))</f>
        <v/>
      </c>
      <c r="BB174" s="124" t="str">
        <f>IF($B174="","",IF(BB$3=0,"n.b.",INDEX(SRC_ZPMW03!$A$1:$ZZ$501,$A174,BB$3)))</f>
        <v/>
      </c>
      <c r="BC174" s="124" t="str">
        <f>IF($B174="","",IF(BC$3=0,"n.b.",INDEX(SRC_ZPMW03!$A$1:$ZZ$501,$A174,BC$3)))</f>
        <v/>
      </c>
      <c r="BD174" s="124" t="str">
        <f>IF($B174="","",IF(BD$3=0,"n.b.",INDEX(SRC_ZPMW03!$A$1:$ZZ$501,$A174,BD$3)))</f>
        <v/>
      </c>
      <c r="BE174" s="124" t="str">
        <f>IF($B174="","",IF(BE$3=0,"n.b.",INDEX(SRC_ZPMW03!$A$1:$ZZ$501,$A174,BE$3)))</f>
        <v/>
      </c>
      <c r="BF174" s="124" t="str">
        <f>IF($B174="","",IF(BF$3=0,"n.b.",INDEX(SRC_ZPMW03!$A$1:$ZZ$501,$A174,BF$3)))</f>
        <v/>
      </c>
      <c r="BG174" t="str">
        <f>IF($B174="","",IF(BG$3=0,"n.b.",INDEX(SRC_ZPMW03!$A$1:$ZZ$501,$A174,BG$3)))</f>
        <v/>
      </c>
      <c r="BH174" t="str">
        <f>IF($B174="","",IF(BH$3=0,"n.b.",INDEX(SRC_ZPMW03!$A$1:$ZZ$501,$A174,BH$3)))</f>
        <v/>
      </c>
      <c r="BI174" t="str">
        <f>IF($B174="","",IF(BI$3=0,"n.b.",INDEX(SRC_ZPMW03!$A$1:$ZZ$501,$A174,BI$3)))</f>
        <v/>
      </c>
      <c r="BJ174" t="str">
        <f>IF($B174="","",IF(BJ$3=0,"n.b.",INDEX(SRC_ZPMW03!$A$1:$ZZ$501,$A174,BJ$3)))</f>
        <v/>
      </c>
      <c r="BK174" s="124" t="str">
        <f>IF($B174="","",IFERROR(-O174,"n.b."))</f>
        <v/>
      </c>
      <c r="BL174" s="124" t="str">
        <f>IF($B174="","",IFERROR(-Q174,"n.b."))</f>
        <v/>
      </c>
      <c r="BM174" s="124" t="str">
        <f>IF($B174="","",IFERROR(-AB174,"n.b."))</f>
        <v/>
      </c>
      <c r="BN174" s="124" t="str">
        <f>IF($B174="","",IFERROR(-AD174,"n.b."))</f>
        <v/>
      </c>
      <c r="BO174" s="124" t="str">
        <f>IF($B174="","",IFERROR(BK174+BM174,"n.b."))</f>
        <v/>
      </c>
      <c r="BP174" s="124" t="str">
        <f>IF($B174="","",IFERROR(BL174+BN174,"n.b."))</f>
        <v/>
      </c>
      <c r="BQ174" s="124" t="str">
        <f>IF($B174="","",IFERROR(-AM174,"n.b."))</f>
        <v/>
      </c>
      <c r="BR174" s="124" t="str">
        <f>IF($B174="","",IFERROR(-AO174,"n.b."))</f>
        <v/>
      </c>
      <c r="BS174" s="124" t="str">
        <f>IF($B174="","",IFERROR(-Z174,"n.b."))</f>
        <v/>
      </c>
      <c r="BT174" s="124" t="str">
        <f>IF($B174="","",IFERROR(-AA174,"n.b."))</f>
        <v/>
      </c>
      <c r="BU174" s="124" t="str">
        <f>IF($B174="","",IFERROR(-AE174,"n.b."))</f>
        <v/>
      </c>
      <c r="BV174" s="124" t="str">
        <f>IF($B174="","",IFERROR(-AF174,"n.b."))</f>
        <v/>
      </c>
      <c r="BW174" s="124" t="str">
        <f>IF($B174="","",IFERROR(-AG174,"n.b."))</f>
        <v/>
      </c>
      <c r="BX174" s="124" t="str">
        <f>IF($B174="","",IFERROR(-AH174,"n.b."))</f>
        <v/>
      </c>
      <c r="BY174" s="124" t="str">
        <f>IF($B174="","",IFERROR(-AI174,"n.b."))</f>
        <v/>
      </c>
      <c r="BZ174" s="124" t="str">
        <f>IF($B174="","",IFERROR(-AJ174,"n.b."))</f>
        <v/>
      </c>
      <c r="CA174" s="124" t="str">
        <f>IF($B174="","",IFERROR(-AK174,"n.b."))</f>
        <v/>
      </c>
      <c r="CB174" s="124" t="str">
        <f>IF($B174="","",IFERROR(-AL174,"n.b."))</f>
        <v/>
      </c>
      <c r="CC174" s="124" t="str">
        <f>IF($B174="","",IFERROR(-AP174,"n.b."))</f>
        <v/>
      </c>
      <c r="CD174" s="124" t="str">
        <f>IF($B174="","",IFERROR(-AQ174,"n.b."))</f>
        <v/>
      </c>
      <c r="CE174" s="124" t="str">
        <f>IF($B174="","",IFERROR(-AR174,"n.b."))</f>
        <v/>
      </c>
      <c r="CF174" s="124" t="str">
        <f>IF($B174="","",IFERROR(-AS174,"n.b."))</f>
        <v/>
      </c>
      <c r="CG174" s="124" t="str">
        <f>IF($B174="","",IFERROR(-AT174,"n.b."))</f>
        <v/>
      </c>
      <c r="CH174" s="124" t="str">
        <f>IF($B174="","",IFERROR(-AU174,"n.b."))</f>
        <v/>
      </c>
      <c r="CI174" s="124" t="str">
        <f>IF($B174="","",IFERROR(-AV174,"n.b."))</f>
        <v/>
      </c>
      <c r="CJ174" s="124" t="str">
        <f>IF($B174="","",IFERROR(-AW174,"n.b."))</f>
        <v/>
      </c>
      <c r="CK174" s="124" t="str">
        <f>IF($B174="","",IFERROR(-AX174,"n.b."))</f>
        <v/>
      </c>
      <c r="CL174" s="124" t="str">
        <f>IF($B174="","",IFERROR(-AY174,"n.b."))</f>
        <v/>
      </c>
      <c r="CM174" s="124" t="str">
        <f>IF($B174="","",IFERROR(-AZ174,"n.b."))</f>
        <v/>
      </c>
      <c r="CN174" s="124" t="str">
        <f>IF($B174="","",IFERROR(-BA174,"n.b."))</f>
        <v/>
      </c>
      <c r="CO174" s="124" t="str">
        <f>IF($B174="","",IFERROR(-BB174,"n.b."))</f>
        <v/>
      </c>
      <c r="CP174" s="124" t="str">
        <f>IF($B174="","",IFERROR(-BC174,"n.b."))</f>
        <v/>
      </c>
      <c r="CQ174" s="124" t="str">
        <f>IF($B174="","",IFERROR(-BD174,"n.b."))</f>
        <v/>
      </c>
      <c r="CR174" s="124" t="str">
        <f>IF($B174="","",IFERROR(-BE174,"n.b."))</f>
        <v/>
      </c>
      <c r="CS174" s="124" t="str">
        <f>IF($B174="","",IFERROR(IF(OR(ABS(T174+V174+X174+Z174-AB174)&gt;P_Tol,ABS(U174+W174+Y174+AA174-AD174)&gt;P_Tol,ABS(AE174+AG174+AI174+AK174-AM174)&gt;P_Tol,ABS(AF174+AH174+AJ174+AL174-AO174)&gt;P_Tol),1,0),1))</f>
        <v/>
      </c>
      <c r="CT174" s="124" t="str">
        <f>IF($B174="","",IFERROR(IF(OR(ABS(AB174+AC174-AD174)&gt;P_Tol,ABS(AM174+AN174-AO174)&gt;P_Tol,ABS(O174+P174-Q174)&gt;P_Tol),1,0),1))</f>
        <v/>
      </c>
      <c r="CU174" s="124" t="str">
        <f>IF($B174="","",IFERROR(IF(ABS(R174-(AB174+AM174+AP174+AR174+AT174+AV174+AX174+AZ174+BB174+BD174))&gt;P_Tol,1,0),1))</f>
        <v/>
      </c>
      <c r="CV174" s="124" t="str">
        <f>IF($B174="","",IFERROR(IF(ABS(M174-(N174+O174+R174))&gt;P_Tol,1,0),1))</f>
        <v/>
      </c>
      <c r="CW174" s="124" t="str">
        <f>IF($B174="","",IF(COUNTIF(Mapping!$A$5:$A$104,B174)&gt;0,1,0))</f>
        <v/>
      </c>
      <c r="CX174" s="124" t="str">
        <f>IF($B174="","",COUNTIF($B$6:$B$505,B174))</f>
        <v/>
      </c>
      <c r="CY174" s="124" t="str">
        <f>IF($B174="","",COUNTIF(STG_Woningetalage!$B$6:$B$505,B174))</f>
        <v/>
      </c>
      <c r="CZ174" s="124" t="str">
        <f>IF($B174="","",IF(CW174=0,COUNTIF($CW$6:CW174,0),""))</f>
        <v/>
      </c>
    </row>
    <row r="175">
      <c r="A175" s="15" t="n">
        <v>171</v>
      </c>
      <c r="B175" t="str">
        <f>IF(B$3=0,"",IF(INDEX(SRC_ZPMW03!$A$1:$ZZ$501,$A175,B$3)&amp;""="","",INDEX(SRC_ZPMW03!$A$1:$ZZ$501,$A175,B$3)&amp;""))</f>
        <v/>
      </c>
      <c r="C175" t="str">
        <f>IF($B175="","",IF(C$3=0,"n.b.",INDEX(SRC_ZPMW03!$A$1:$ZZ$501,$A175,C$3)))</f>
        <v/>
      </c>
      <c r="D175" t="str">
        <f>IF($B175="","",IF(D$3=0,"n.b.",INDEX(SRC_ZPMW03!$A$1:$ZZ$501,$A175,D$3)))</f>
        <v/>
      </c>
      <c r="E175" t="str">
        <f>IF($B175="","",IF(E$3=0,"n.b.",INDEX(SRC_ZPMW03!$A$1:$ZZ$501,$A175,E$3)))</f>
        <v/>
      </c>
      <c r="F175" t="str">
        <f>IF($B175="","",IF(F$3=0,"n.b.",INDEX(SRC_ZPMW03!$A$1:$ZZ$501,$A175,F$3)))</f>
        <v/>
      </c>
      <c r="G175" t="str">
        <f>IF($B175="","",IF(G$3=0,"n.b.",INDEX(SRC_ZPMW03!$A$1:$ZZ$501,$A175,G$3)))</f>
        <v/>
      </c>
      <c r="H175" t="str">
        <f>IF($B175="","",IF(H$3=0,"n.b.",INDEX(SRC_ZPMW03!$A$1:$ZZ$501,$A175,H$3)))</f>
        <v/>
      </c>
      <c r="I175" t="str">
        <f>IF($B175="","",IF(I$3=0,"n.b.",INDEX(SRC_ZPMW03!$A$1:$ZZ$501,$A175,I$3)))</f>
        <v/>
      </c>
      <c r="J175" t="str">
        <f>IF($B175="","",IF(J$3=0,"n.b.",INDEX(SRC_ZPMW03!$A$1:$ZZ$501,$A175,J$3)))</f>
        <v/>
      </c>
      <c r="K175" t="str">
        <f>IF($B175="","",IF(K$3=0,"n.b.",INDEX(SRC_ZPMW03!$A$1:$ZZ$501,$A175,K$3)))</f>
        <v/>
      </c>
      <c r="L175" s="124" t="str">
        <f>IF($B175="","",IF(L$3=0,"n.b.",INDEX(SRC_ZPMW03!$A$1:$ZZ$501,$A175,L$3)))</f>
        <v/>
      </c>
      <c r="M175" s="124" t="str">
        <f>IF($B175="","",IF(M$3=0,"n.b.",INDEX(SRC_ZPMW03!$A$1:$ZZ$501,$A175,M$3)))</f>
        <v/>
      </c>
      <c r="N175" s="124" t="str">
        <f>IF($B175="","",IF(N$3=0,"n.b.",INDEX(SRC_ZPMW03!$A$1:$ZZ$501,$A175,N$3)))</f>
        <v/>
      </c>
      <c r="O175" s="124" t="str">
        <f>IF($B175="","",IF(O$3=0,"n.b.",INDEX(SRC_ZPMW03!$A$1:$ZZ$501,$A175,O$3)))</f>
        <v/>
      </c>
      <c r="P175" s="124" t="str">
        <f>IF($B175="","",IF(P$3=0,"n.b.",INDEX(SRC_ZPMW03!$A$1:$ZZ$501,$A175,P$3)))</f>
        <v/>
      </c>
      <c r="Q175" s="124" t="str">
        <f>IF($B175="","",IF(Q$3=0,"n.b.",INDEX(SRC_ZPMW03!$A$1:$ZZ$501,$A175,Q$3)))</f>
        <v/>
      </c>
      <c r="R175" s="124" t="str">
        <f>IF($B175="","",IF(R$3=0,"n.b.",INDEX(SRC_ZPMW03!$A$1:$ZZ$501,$A175,R$3)))</f>
        <v/>
      </c>
      <c r="S175" s="124" t="str">
        <f>IF($B175="","",IF(S$3=0,"n.b.",INDEX(SRC_ZPMW03!$A$1:$ZZ$501,$A175,S$3)))</f>
        <v/>
      </c>
      <c r="T175" s="124" t="str">
        <f>IF($B175="","",IF(T$3=0,"n.b.",INDEX(SRC_ZPMW03!$A$1:$ZZ$501,$A175,T$3)))</f>
        <v/>
      </c>
      <c r="U175" s="124" t="str">
        <f>IF($B175="","",IF(U$3=0,"n.b.",INDEX(SRC_ZPMW03!$A$1:$ZZ$501,$A175,U$3)))</f>
        <v/>
      </c>
      <c r="V175" s="124" t="str">
        <f>IF($B175="","",IF(V$3=0,"n.b.",INDEX(SRC_ZPMW03!$A$1:$ZZ$501,$A175,V$3)))</f>
        <v/>
      </c>
      <c r="W175" s="124" t="str">
        <f>IF($B175="","",IF(W$3=0,"n.b.",INDEX(SRC_ZPMW03!$A$1:$ZZ$501,$A175,W$3)))</f>
        <v/>
      </c>
      <c r="X175" s="124" t="str">
        <f>IF($B175="","",IF(X$3=0,"n.b.",INDEX(SRC_ZPMW03!$A$1:$ZZ$501,$A175,X$3)))</f>
        <v/>
      </c>
      <c r="Y175" s="124" t="str">
        <f>IF($B175="","",IF(Y$3=0,"n.b.",INDEX(SRC_ZPMW03!$A$1:$ZZ$501,$A175,Y$3)))</f>
        <v/>
      </c>
      <c r="Z175" s="124" t="str">
        <f>IF($B175="","",IF(Z$3=0,"n.b.",INDEX(SRC_ZPMW03!$A$1:$ZZ$501,$A175,Z$3)))</f>
        <v/>
      </c>
      <c r="AA175" s="124" t="str">
        <f>IF($B175="","",IF(AA$3=0,"n.b.",INDEX(SRC_ZPMW03!$A$1:$ZZ$501,$A175,AA$3)))</f>
        <v/>
      </c>
      <c r="AB175" s="124" t="str">
        <f>IF($B175="","",IF(AB$3=0,"n.b.",INDEX(SRC_ZPMW03!$A$1:$ZZ$501,$A175,AB$3)))</f>
        <v/>
      </c>
      <c r="AC175" s="124" t="str">
        <f>IF($B175="","",IF(AC$3=0,"n.b.",INDEX(SRC_ZPMW03!$A$1:$ZZ$501,$A175,AC$3)))</f>
        <v/>
      </c>
      <c r="AD175" s="124" t="str">
        <f>IF($B175="","",IF(AD$3=0,"n.b.",INDEX(SRC_ZPMW03!$A$1:$ZZ$501,$A175,AD$3)))</f>
        <v/>
      </c>
      <c r="AE175" s="124" t="str">
        <f>IF($B175="","",IF(AE$3=0,"n.b.",INDEX(SRC_ZPMW03!$A$1:$ZZ$501,$A175,AE$3)))</f>
        <v/>
      </c>
      <c r="AF175" s="124" t="str">
        <f>IF($B175="","",IF(AF$3=0,"n.b.",INDEX(SRC_ZPMW03!$A$1:$ZZ$501,$A175,AF$3)))</f>
        <v/>
      </c>
      <c r="AG175" s="124" t="str">
        <f>IF($B175="","",IF(AG$3=0,"n.b.",INDEX(SRC_ZPMW03!$A$1:$ZZ$501,$A175,AG$3)))</f>
        <v/>
      </c>
      <c r="AH175" s="124" t="str">
        <f>IF($B175="","",IF(AH$3=0,"n.b.",INDEX(SRC_ZPMW03!$A$1:$ZZ$501,$A175,AH$3)))</f>
        <v/>
      </c>
      <c r="AI175" s="124" t="str">
        <f>IF($B175="","",IF(AI$3=0,"n.b.",INDEX(SRC_ZPMW03!$A$1:$ZZ$501,$A175,AI$3)))</f>
        <v/>
      </c>
      <c r="AJ175" s="124" t="str">
        <f>IF($B175="","",IF(AJ$3=0,"n.b.",INDEX(SRC_ZPMW03!$A$1:$ZZ$501,$A175,AJ$3)))</f>
        <v/>
      </c>
      <c r="AK175" s="124" t="str">
        <f>IF($B175="","",IF(AK$3=0,"n.b.",INDEX(SRC_ZPMW03!$A$1:$ZZ$501,$A175,AK$3)))</f>
        <v/>
      </c>
      <c r="AL175" s="124" t="str">
        <f>IF($B175="","",IF(AL$3=0,"n.b.",INDEX(SRC_ZPMW03!$A$1:$ZZ$501,$A175,AL$3)))</f>
        <v/>
      </c>
      <c r="AM175" s="124" t="str">
        <f>IF($B175="","",IF(AM$3=0,"n.b.",INDEX(SRC_ZPMW03!$A$1:$ZZ$501,$A175,AM$3)))</f>
        <v/>
      </c>
      <c r="AN175" s="124" t="str">
        <f>IF($B175="","",IF(AN$3=0,"n.b.",INDEX(SRC_ZPMW03!$A$1:$ZZ$501,$A175,AN$3)))</f>
        <v/>
      </c>
      <c r="AO175" s="124" t="str">
        <f>IF($B175="","",IF(AO$3=0,"n.b.",INDEX(SRC_ZPMW03!$A$1:$ZZ$501,$A175,AO$3)))</f>
        <v/>
      </c>
      <c r="AP175" s="124" t="str">
        <f>IF($B175="","",IF(AP$3=0,"n.b.",INDEX(SRC_ZPMW03!$A$1:$ZZ$501,$A175,AP$3)))</f>
        <v/>
      </c>
      <c r="AQ175" s="124" t="str">
        <f>IF($B175="","",IF(AQ$3=0,"n.b.",INDEX(SRC_ZPMW03!$A$1:$ZZ$501,$A175,AQ$3)))</f>
        <v/>
      </c>
      <c r="AR175" s="124" t="str">
        <f>IF($B175="","",IF(AR$3=0,"n.b.",INDEX(SRC_ZPMW03!$A$1:$ZZ$501,$A175,AR$3)))</f>
        <v/>
      </c>
      <c r="AS175" s="124" t="str">
        <f>IF($B175="","",IF(AS$3=0,"n.b.",INDEX(SRC_ZPMW03!$A$1:$ZZ$501,$A175,AS$3)))</f>
        <v/>
      </c>
      <c r="AT175" s="124" t="str">
        <f>IF($B175="","",IF(AT$3=0,"n.b.",INDEX(SRC_ZPMW03!$A$1:$ZZ$501,$A175,AT$3)))</f>
        <v/>
      </c>
      <c r="AU175" s="124" t="str">
        <f>IF($B175="","",IF(AU$3=0,"n.b.",INDEX(SRC_ZPMW03!$A$1:$ZZ$501,$A175,AU$3)))</f>
        <v/>
      </c>
      <c r="AV175" s="124" t="str">
        <f>IF($B175="","",IF(AV$3=0,"n.b.",INDEX(SRC_ZPMW03!$A$1:$ZZ$501,$A175,AV$3)))</f>
        <v/>
      </c>
      <c r="AW175" s="124" t="str">
        <f>IF($B175="","",IF(AW$3=0,"n.b.",INDEX(SRC_ZPMW03!$A$1:$ZZ$501,$A175,AW$3)))</f>
        <v/>
      </c>
      <c r="AX175" s="124" t="str">
        <f>IF($B175="","",IF(AX$3=0,"n.b.",INDEX(SRC_ZPMW03!$A$1:$ZZ$501,$A175,AX$3)))</f>
        <v/>
      </c>
      <c r="AY175" s="124" t="str">
        <f>IF($B175="","",IF(AY$3=0,"n.b.",INDEX(SRC_ZPMW03!$A$1:$ZZ$501,$A175,AY$3)))</f>
        <v/>
      </c>
      <c r="AZ175" s="124" t="str">
        <f>IF($B175="","",IF(AZ$3=0,"n.b.",INDEX(SRC_ZPMW03!$A$1:$ZZ$501,$A175,AZ$3)))</f>
        <v/>
      </c>
      <c r="BA175" s="124" t="str">
        <f>IF($B175="","",IF(BA$3=0,"n.b.",INDEX(SRC_ZPMW03!$A$1:$ZZ$501,$A175,BA$3)))</f>
        <v/>
      </c>
      <c r="BB175" s="124" t="str">
        <f>IF($B175="","",IF(BB$3=0,"n.b.",INDEX(SRC_ZPMW03!$A$1:$ZZ$501,$A175,BB$3)))</f>
        <v/>
      </c>
      <c r="BC175" s="124" t="str">
        <f>IF($B175="","",IF(BC$3=0,"n.b.",INDEX(SRC_ZPMW03!$A$1:$ZZ$501,$A175,BC$3)))</f>
        <v/>
      </c>
      <c r="BD175" s="124" t="str">
        <f>IF($B175="","",IF(BD$3=0,"n.b.",INDEX(SRC_ZPMW03!$A$1:$ZZ$501,$A175,BD$3)))</f>
        <v/>
      </c>
      <c r="BE175" s="124" t="str">
        <f>IF($B175="","",IF(BE$3=0,"n.b.",INDEX(SRC_ZPMW03!$A$1:$ZZ$501,$A175,BE$3)))</f>
        <v/>
      </c>
      <c r="BF175" s="124" t="str">
        <f>IF($B175="","",IF(BF$3=0,"n.b.",INDEX(SRC_ZPMW03!$A$1:$ZZ$501,$A175,BF$3)))</f>
        <v/>
      </c>
      <c r="BG175" t="str">
        <f>IF($B175="","",IF(BG$3=0,"n.b.",INDEX(SRC_ZPMW03!$A$1:$ZZ$501,$A175,BG$3)))</f>
        <v/>
      </c>
      <c r="BH175" t="str">
        <f>IF($B175="","",IF(BH$3=0,"n.b.",INDEX(SRC_ZPMW03!$A$1:$ZZ$501,$A175,BH$3)))</f>
        <v/>
      </c>
      <c r="BI175" t="str">
        <f>IF($B175="","",IF(BI$3=0,"n.b.",INDEX(SRC_ZPMW03!$A$1:$ZZ$501,$A175,BI$3)))</f>
        <v/>
      </c>
      <c r="BJ175" t="str">
        <f>IF($B175="","",IF(BJ$3=0,"n.b.",INDEX(SRC_ZPMW03!$A$1:$ZZ$501,$A175,BJ$3)))</f>
        <v/>
      </c>
      <c r="BK175" s="124" t="str">
        <f>IF($B175="","",IFERROR(-O175,"n.b."))</f>
        <v/>
      </c>
      <c r="BL175" s="124" t="str">
        <f>IF($B175="","",IFERROR(-Q175,"n.b."))</f>
        <v/>
      </c>
      <c r="BM175" s="124" t="str">
        <f>IF($B175="","",IFERROR(-AB175,"n.b."))</f>
        <v/>
      </c>
      <c r="BN175" s="124" t="str">
        <f>IF($B175="","",IFERROR(-AD175,"n.b."))</f>
        <v/>
      </c>
      <c r="BO175" s="124" t="str">
        <f>IF($B175="","",IFERROR(BK175+BM175,"n.b."))</f>
        <v/>
      </c>
      <c r="BP175" s="124" t="str">
        <f>IF($B175="","",IFERROR(BL175+BN175,"n.b."))</f>
        <v/>
      </c>
      <c r="BQ175" s="124" t="str">
        <f>IF($B175="","",IFERROR(-AM175,"n.b."))</f>
        <v/>
      </c>
      <c r="BR175" s="124" t="str">
        <f>IF($B175="","",IFERROR(-AO175,"n.b."))</f>
        <v/>
      </c>
      <c r="BS175" s="124" t="str">
        <f>IF($B175="","",IFERROR(-Z175,"n.b."))</f>
        <v/>
      </c>
      <c r="BT175" s="124" t="str">
        <f>IF($B175="","",IFERROR(-AA175,"n.b."))</f>
        <v/>
      </c>
      <c r="BU175" s="124" t="str">
        <f>IF($B175="","",IFERROR(-AE175,"n.b."))</f>
        <v/>
      </c>
      <c r="BV175" s="124" t="str">
        <f>IF($B175="","",IFERROR(-AF175,"n.b."))</f>
        <v/>
      </c>
      <c r="BW175" s="124" t="str">
        <f>IF($B175="","",IFERROR(-AG175,"n.b."))</f>
        <v/>
      </c>
      <c r="BX175" s="124" t="str">
        <f>IF($B175="","",IFERROR(-AH175,"n.b."))</f>
        <v/>
      </c>
      <c r="BY175" s="124" t="str">
        <f>IF($B175="","",IFERROR(-AI175,"n.b."))</f>
        <v/>
      </c>
      <c r="BZ175" s="124" t="str">
        <f>IF($B175="","",IFERROR(-AJ175,"n.b."))</f>
        <v/>
      </c>
      <c r="CA175" s="124" t="str">
        <f>IF($B175="","",IFERROR(-AK175,"n.b."))</f>
        <v/>
      </c>
      <c r="CB175" s="124" t="str">
        <f>IF($B175="","",IFERROR(-AL175,"n.b."))</f>
        <v/>
      </c>
      <c r="CC175" s="124" t="str">
        <f>IF($B175="","",IFERROR(-AP175,"n.b."))</f>
        <v/>
      </c>
      <c r="CD175" s="124" t="str">
        <f>IF($B175="","",IFERROR(-AQ175,"n.b."))</f>
        <v/>
      </c>
      <c r="CE175" s="124" t="str">
        <f>IF($B175="","",IFERROR(-AR175,"n.b."))</f>
        <v/>
      </c>
      <c r="CF175" s="124" t="str">
        <f>IF($B175="","",IFERROR(-AS175,"n.b."))</f>
        <v/>
      </c>
      <c r="CG175" s="124" t="str">
        <f>IF($B175="","",IFERROR(-AT175,"n.b."))</f>
        <v/>
      </c>
      <c r="CH175" s="124" t="str">
        <f>IF($B175="","",IFERROR(-AU175,"n.b."))</f>
        <v/>
      </c>
      <c r="CI175" s="124" t="str">
        <f>IF($B175="","",IFERROR(-AV175,"n.b."))</f>
        <v/>
      </c>
      <c r="CJ175" s="124" t="str">
        <f>IF($B175="","",IFERROR(-AW175,"n.b."))</f>
        <v/>
      </c>
      <c r="CK175" s="124" t="str">
        <f>IF($B175="","",IFERROR(-AX175,"n.b."))</f>
        <v/>
      </c>
      <c r="CL175" s="124" t="str">
        <f>IF($B175="","",IFERROR(-AY175,"n.b."))</f>
        <v/>
      </c>
      <c r="CM175" s="124" t="str">
        <f>IF($B175="","",IFERROR(-AZ175,"n.b."))</f>
        <v/>
      </c>
      <c r="CN175" s="124" t="str">
        <f>IF($B175="","",IFERROR(-BA175,"n.b."))</f>
        <v/>
      </c>
      <c r="CO175" s="124" t="str">
        <f>IF($B175="","",IFERROR(-BB175,"n.b."))</f>
        <v/>
      </c>
      <c r="CP175" s="124" t="str">
        <f>IF($B175="","",IFERROR(-BC175,"n.b."))</f>
        <v/>
      </c>
      <c r="CQ175" s="124" t="str">
        <f>IF($B175="","",IFERROR(-BD175,"n.b."))</f>
        <v/>
      </c>
      <c r="CR175" s="124" t="str">
        <f>IF($B175="","",IFERROR(-BE175,"n.b."))</f>
        <v/>
      </c>
      <c r="CS175" s="124" t="str">
        <f>IF($B175="","",IFERROR(IF(OR(ABS(T175+V175+X175+Z175-AB175)&gt;P_Tol,ABS(U175+W175+Y175+AA175-AD175)&gt;P_Tol,ABS(AE175+AG175+AI175+AK175-AM175)&gt;P_Tol,ABS(AF175+AH175+AJ175+AL175-AO175)&gt;P_Tol),1,0),1))</f>
        <v/>
      </c>
      <c r="CT175" s="124" t="str">
        <f>IF($B175="","",IFERROR(IF(OR(ABS(AB175+AC175-AD175)&gt;P_Tol,ABS(AM175+AN175-AO175)&gt;P_Tol,ABS(O175+P175-Q175)&gt;P_Tol),1,0),1))</f>
        <v/>
      </c>
      <c r="CU175" s="124" t="str">
        <f>IF($B175="","",IFERROR(IF(ABS(R175-(AB175+AM175+AP175+AR175+AT175+AV175+AX175+AZ175+BB175+BD175))&gt;P_Tol,1,0),1))</f>
        <v/>
      </c>
      <c r="CV175" s="124" t="str">
        <f>IF($B175="","",IFERROR(IF(ABS(M175-(N175+O175+R175))&gt;P_Tol,1,0),1))</f>
        <v/>
      </c>
      <c r="CW175" s="124" t="str">
        <f>IF($B175="","",IF(COUNTIF(Mapping!$A$5:$A$104,B175)&gt;0,1,0))</f>
        <v/>
      </c>
      <c r="CX175" s="124" t="str">
        <f>IF($B175="","",COUNTIF($B$6:$B$505,B175))</f>
        <v/>
      </c>
      <c r="CY175" s="124" t="str">
        <f>IF($B175="","",COUNTIF(STG_Woningetalage!$B$6:$B$505,B175))</f>
        <v/>
      </c>
      <c r="CZ175" s="124" t="str">
        <f>IF($B175="","",IF(CW175=0,COUNTIF($CW$6:CW175,0),""))</f>
        <v/>
      </c>
    </row>
    <row r="176">
      <c r="A176" s="15" t="n">
        <v>172</v>
      </c>
      <c r="B176" t="str">
        <f>IF(B$3=0,"",IF(INDEX(SRC_ZPMW03!$A$1:$ZZ$501,$A176,B$3)&amp;""="","",INDEX(SRC_ZPMW03!$A$1:$ZZ$501,$A176,B$3)&amp;""))</f>
        <v/>
      </c>
      <c r="C176" t="str">
        <f>IF($B176="","",IF(C$3=0,"n.b.",INDEX(SRC_ZPMW03!$A$1:$ZZ$501,$A176,C$3)))</f>
        <v/>
      </c>
      <c r="D176" t="str">
        <f>IF($B176="","",IF(D$3=0,"n.b.",INDEX(SRC_ZPMW03!$A$1:$ZZ$501,$A176,D$3)))</f>
        <v/>
      </c>
      <c r="E176" t="str">
        <f>IF($B176="","",IF(E$3=0,"n.b.",INDEX(SRC_ZPMW03!$A$1:$ZZ$501,$A176,E$3)))</f>
        <v/>
      </c>
      <c r="F176" t="str">
        <f>IF($B176="","",IF(F$3=0,"n.b.",INDEX(SRC_ZPMW03!$A$1:$ZZ$501,$A176,F$3)))</f>
        <v/>
      </c>
      <c r="G176" t="str">
        <f>IF($B176="","",IF(G$3=0,"n.b.",INDEX(SRC_ZPMW03!$A$1:$ZZ$501,$A176,G$3)))</f>
        <v/>
      </c>
      <c r="H176" t="str">
        <f>IF($B176="","",IF(H$3=0,"n.b.",INDEX(SRC_ZPMW03!$A$1:$ZZ$501,$A176,H$3)))</f>
        <v/>
      </c>
      <c r="I176" t="str">
        <f>IF($B176="","",IF(I$3=0,"n.b.",INDEX(SRC_ZPMW03!$A$1:$ZZ$501,$A176,I$3)))</f>
        <v/>
      </c>
      <c r="J176" t="str">
        <f>IF($B176="","",IF(J$3=0,"n.b.",INDEX(SRC_ZPMW03!$A$1:$ZZ$501,$A176,J$3)))</f>
        <v/>
      </c>
      <c r="K176" t="str">
        <f>IF($B176="","",IF(K$3=0,"n.b.",INDEX(SRC_ZPMW03!$A$1:$ZZ$501,$A176,K$3)))</f>
        <v/>
      </c>
      <c r="L176" s="124" t="str">
        <f>IF($B176="","",IF(L$3=0,"n.b.",INDEX(SRC_ZPMW03!$A$1:$ZZ$501,$A176,L$3)))</f>
        <v/>
      </c>
      <c r="M176" s="124" t="str">
        <f>IF($B176="","",IF(M$3=0,"n.b.",INDEX(SRC_ZPMW03!$A$1:$ZZ$501,$A176,M$3)))</f>
        <v/>
      </c>
      <c r="N176" s="124" t="str">
        <f>IF($B176="","",IF(N$3=0,"n.b.",INDEX(SRC_ZPMW03!$A$1:$ZZ$501,$A176,N$3)))</f>
        <v/>
      </c>
      <c r="O176" s="124" t="str">
        <f>IF($B176="","",IF(O$3=0,"n.b.",INDEX(SRC_ZPMW03!$A$1:$ZZ$501,$A176,O$3)))</f>
        <v/>
      </c>
      <c r="P176" s="124" t="str">
        <f>IF($B176="","",IF(P$3=0,"n.b.",INDEX(SRC_ZPMW03!$A$1:$ZZ$501,$A176,P$3)))</f>
        <v/>
      </c>
      <c r="Q176" s="124" t="str">
        <f>IF($B176="","",IF(Q$3=0,"n.b.",INDEX(SRC_ZPMW03!$A$1:$ZZ$501,$A176,Q$3)))</f>
        <v/>
      </c>
      <c r="R176" s="124" t="str">
        <f>IF($B176="","",IF(R$3=0,"n.b.",INDEX(SRC_ZPMW03!$A$1:$ZZ$501,$A176,R$3)))</f>
        <v/>
      </c>
      <c r="S176" s="124" t="str">
        <f>IF($B176="","",IF(S$3=0,"n.b.",INDEX(SRC_ZPMW03!$A$1:$ZZ$501,$A176,S$3)))</f>
        <v/>
      </c>
      <c r="T176" s="124" t="str">
        <f>IF($B176="","",IF(T$3=0,"n.b.",INDEX(SRC_ZPMW03!$A$1:$ZZ$501,$A176,T$3)))</f>
        <v/>
      </c>
      <c r="U176" s="124" t="str">
        <f>IF($B176="","",IF(U$3=0,"n.b.",INDEX(SRC_ZPMW03!$A$1:$ZZ$501,$A176,U$3)))</f>
        <v/>
      </c>
      <c r="V176" s="124" t="str">
        <f>IF($B176="","",IF(V$3=0,"n.b.",INDEX(SRC_ZPMW03!$A$1:$ZZ$501,$A176,V$3)))</f>
        <v/>
      </c>
      <c r="W176" s="124" t="str">
        <f>IF($B176="","",IF(W$3=0,"n.b.",INDEX(SRC_ZPMW03!$A$1:$ZZ$501,$A176,W$3)))</f>
        <v/>
      </c>
      <c r="X176" s="124" t="str">
        <f>IF($B176="","",IF(X$3=0,"n.b.",INDEX(SRC_ZPMW03!$A$1:$ZZ$501,$A176,X$3)))</f>
        <v/>
      </c>
      <c r="Y176" s="124" t="str">
        <f>IF($B176="","",IF(Y$3=0,"n.b.",INDEX(SRC_ZPMW03!$A$1:$ZZ$501,$A176,Y$3)))</f>
        <v/>
      </c>
      <c r="Z176" s="124" t="str">
        <f>IF($B176="","",IF(Z$3=0,"n.b.",INDEX(SRC_ZPMW03!$A$1:$ZZ$501,$A176,Z$3)))</f>
        <v/>
      </c>
      <c r="AA176" s="124" t="str">
        <f>IF($B176="","",IF(AA$3=0,"n.b.",INDEX(SRC_ZPMW03!$A$1:$ZZ$501,$A176,AA$3)))</f>
        <v/>
      </c>
      <c r="AB176" s="124" t="str">
        <f>IF($B176="","",IF(AB$3=0,"n.b.",INDEX(SRC_ZPMW03!$A$1:$ZZ$501,$A176,AB$3)))</f>
        <v/>
      </c>
      <c r="AC176" s="124" t="str">
        <f>IF($B176="","",IF(AC$3=0,"n.b.",INDEX(SRC_ZPMW03!$A$1:$ZZ$501,$A176,AC$3)))</f>
        <v/>
      </c>
      <c r="AD176" s="124" t="str">
        <f>IF($B176="","",IF(AD$3=0,"n.b.",INDEX(SRC_ZPMW03!$A$1:$ZZ$501,$A176,AD$3)))</f>
        <v/>
      </c>
      <c r="AE176" s="124" t="str">
        <f>IF($B176="","",IF(AE$3=0,"n.b.",INDEX(SRC_ZPMW03!$A$1:$ZZ$501,$A176,AE$3)))</f>
        <v/>
      </c>
      <c r="AF176" s="124" t="str">
        <f>IF($B176="","",IF(AF$3=0,"n.b.",INDEX(SRC_ZPMW03!$A$1:$ZZ$501,$A176,AF$3)))</f>
        <v/>
      </c>
      <c r="AG176" s="124" t="str">
        <f>IF($B176="","",IF(AG$3=0,"n.b.",INDEX(SRC_ZPMW03!$A$1:$ZZ$501,$A176,AG$3)))</f>
        <v/>
      </c>
      <c r="AH176" s="124" t="str">
        <f>IF($B176="","",IF(AH$3=0,"n.b.",INDEX(SRC_ZPMW03!$A$1:$ZZ$501,$A176,AH$3)))</f>
        <v/>
      </c>
      <c r="AI176" s="124" t="str">
        <f>IF($B176="","",IF(AI$3=0,"n.b.",INDEX(SRC_ZPMW03!$A$1:$ZZ$501,$A176,AI$3)))</f>
        <v/>
      </c>
      <c r="AJ176" s="124" t="str">
        <f>IF($B176="","",IF(AJ$3=0,"n.b.",INDEX(SRC_ZPMW03!$A$1:$ZZ$501,$A176,AJ$3)))</f>
        <v/>
      </c>
      <c r="AK176" s="124" t="str">
        <f>IF($B176="","",IF(AK$3=0,"n.b.",INDEX(SRC_ZPMW03!$A$1:$ZZ$501,$A176,AK$3)))</f>
        <v/>
      </c>
      <c r="AL176" s="124" t="str">
        <f>IF($B176="","",IF(AL$3=0,"n.b.",INDEX(SRC_ZPMW03!$A$1:$ZZ$501,$A176,AL$3)))</f>
        <v/>
      </c>
      <c r="AM176" s="124" t="str">
        <f>IF($B176="","",IF(AM$3=0,"n.b.",INDEX(SRC_ZPMW03!$A$1:$ZZ$501,$A176,AM$3)))</f>
        <v/>
      </c>
      <c r="AN176" s="124" t="str">
        <f>IF($B176="","",IF(AN$3=0,"n.b.",INDEX(SRC_ZPMW03!$A$1:$ZZ$501,$A176,AN$3)))</f>
        <v/>
      </c>
      <c r="AO176" s="124" t="str">
        <f>IF($B176="","",IF(AO$3=0,"n.b.",INDEX(SRC_ZPMW03!$A$1:$ZZ$501,$A176,AO$3)))</f>
        <v/>
      </c>
      <c r="AP176" s="124" t="str">
        <f>IF($B176="","",IF(AP$3=0,"n.b.",INDEX(SRC_ZPMW03!$A$1:$ZZ$501,$A176,AP$3)))</f>
        <v/>
      </c>
      <c r="AQ176" s="124" t="str">
        <f>IF($B176="","",IF(AQ$3=0,"n.b.",INDEX(SRC_ZPMW03!$A$1:$ZZ$501,$A176,AQ$3)))</f>
        <v/>
      </c>
      <c r="AR176" s="124" t="str">
        <f>IF($B176="","",IF(AR$3=0,"n.b.",INDEX(SRC_ZPMW03!$A$1:$ZZ$501,$A176,AR$3)))</f>
        <v/>
      </c>
      <c r="AS176" s="124" t="str">
        <f>IF($B176="","",IF(AS$3=0,"n.b.",INDEX(SRC_ZPMW03!$A$1:$ZZ$501,$A176,AS$3)))</f>
        <v/>
      </c>
      <c r="AT176" s="124" t="str">
        <f>IF($B176="","",IF(AT$3=0,"n.b.",INDEX(SRC_ZPMW03!$A$1:$ZZ$501,$A176,AT$3)))</f>
        <v/>
      </c>
      <c r="AU176" s="124" t="str">
        <f>IF($B176="","",IF(AU$3=0,"n.b.",INDEX(SRC_ZPMW03!$A$1:$ZZ$501,$A176,AU$3)))</f>
        <v/>
      </c>
      <c r="AV176" s="124" t="str">
        <f>IF($B176="","",IF(AV$3=0,"n.b.",INDEX(SRC_ZPMW03!$A$1:$ZZ$501,$A176,AV$3)))</f>
        <v/>
      </c>
      <c r="AW176" s="124" t="str">
        <f>IF($B176="","",IF(AW$3=0,"n.b.",INDEX(SRC_ZPMW03!$A$1:$ZZ$501,$A176,AW$3)))</f>
        <v/>
      </c>
      <c r="AX176" s="124" t="str">
        <f>IF($B176="","",IF(AX$3=0,"n.b.",INDEX(SRC_ZPMW03!$A$1:$ZZ$501,$A176,AX$3)))</f>
        <v/>
      </c>
      <c r="AY176" s="124" t="str">
        <f>IF($B176="","",IF(AY$3=0,"n.b.",INDEX(SRC_ZPMW03!$A$1:$ZZ$501,$A176,AY$3)))</f>
        <v/>
      </c>
      <c r="AZ176" s="124" t="str">
        <f>IF($B176="","",IF(AZ$3=0,"n.b.",INDEX(SRC_ZPMW03!$A$1:$ZZ$501,$A176,AZ$3)))</f>
        <v/>
      </c>
      <c r="BA176" s="124" t="str">
        <f>IF($B176="","",IF(BA$3=0,"n.b.",INDEX(SRC_ZPMW03!$A$1:$ZZ$501,$A176,BA$3)))</f>
        <v/>
      </c>
      <c r="BB176" s="124" t="str">
        <f>IF($B176="","",IF(BB$3=0,"n.b.",INDEX(SRC_ZPMW03!$A$1:$ZZ$501,$A176,BB$3)))</f>
        <v/>
      </c>
      <c r="BC176" s="124" t="str">
        <f>IF($B176="","",IF(BC$3=0,"n.b.",INDEX(SRC_ZPMW03!$A$1:$ZZ$501,$A176,BC$3)))</f>
        <v/>
      </c>
      <c r="BD176" s="124" t="str">
        <f>IF($B176="","",IF(BD$3=0,"n.b.",INDEX(SRC_ZPMW03!$A$1:$ZZ$501,$A176,BD$3)))</f>
        <v/>
      </c>
      <c r="BE176" s="124" t="str">
        <f>IF($B176="","",IF(BE$3=0,"n.b.",INDEX(SRC_ZPMW03!$A$1:$ZZ$501,$A176,BE$3)))</f>
        <v/>
      </c>
      <c r="BF176" s="124" t="str">
        <f>IF($B176="","",IF(BF$3=0,"n.b.",INDEX(SRC_ZPMW03!$A$1:$ZZ$501,$A176,BF$3)))</f>
        <v/>
      </c>
      <c r="BG176" t="str">
        <f>IF($B176="","",IF(BG$3=0,"n.b.",INDEX(SRC_ZPMW03!$A$1:$ZZ$501,$A176,BG$3)))</f>
        <v/>
      </c>
      <c r="BH176" t="str">
        <f>IF($B176="","",IF(BH$3=0,"n.b.",INDEX(SRC_ZPMW03!$A$1:$ZZ$501,$A176,BH$3)))</f>
        <v/>
      </c>
      <c r="BI176" t="str">
        <f>IF($B176="","",IF(BI$3=0,"n.b.",INDEX(SRC_ZPMW03!$A$1:$ZZ$501,$A176,BI$3)))</f>
        <v/>
      </c>
      <c r="BJ176" t="str">
        <f>IF($B176="","",IF(BJ$3=0,"n.b.",INDEX(SRC_ZPMW03!$A$1:$ZZ$501,$A176,BJ$3)))</f>
        <v/>
      </c>
      <c r="BK176" s="124" t="str">
        <f>IF($B176="","",IFERROR(-O176,"n.b."))</f>
        <v/>
      </c>
      <c r="BL176" s="124" t="str">
        <f>IF($B176="","",IFERROR(-Q176,"n.b."))</f>
        <v/>
      </c>
      <c r="BM176" s="124" t="str">
        <f>IF($B176="","",IFERROR(-AB176,"n.b."))</f>
        <v/>
      </c>
      <c r="BN176" s="124" t="str">
        <f>IF($B176="","",IFERROR(-AD176,"n.b."))</f>
        <v/>
      </c>
      <c r="BO176" s="124" t="str">
        <f>IF($B176="","",IFERROR(BK176+BM176,"n.b."))</f>
        <v/>
      </c>
      <c r="BP176" s="124" t="str">
        <f>IF($B176="","",IFERROR(BL176+BN176,"n.b."))</f>
        <v/>
      </c>
      <c r="BQ176" s="124" t="str">
        <f>IF($B176="","",IFERROR(-AM176,"n.b."))</f>
        <v/>
      </c>
      <c r="BR176" s="124" t="str">
        <f>IF($B176="","",IFERROR(-AO176,"n.b."))</f>
        <v/>
      </c>
      <c r="BS176" s="124" t="str">
        <f>IF($B176="","",IFERROR(-Z176,"n.b."))</f>
        <v/>
      </c>
      <c r="BT176" s="124" t="str">
        <f>IF($B176="","",IFERROR(-AA176,"n.b."))</f>
        <v/>
      </c>
      <c r="BU176" s="124" t="str">
        <f>IF($B176="","",IFERROR(-AE176,"n.b."))</f>
        <v/>
      </c>
      <c r="BV176" s="124" t="str">
        <f>IF($B176="","",IFERROR(-AF176,"n.b."))</f>
        <v/>
      </c>
      <c r="BW176" s="124" t="str">
        <f>IF($B176="","",IFERROR(-AG176,"n.b."))</f>
        <v/>
      </c>
      <c r="BX176" s="124" t="str">
        <f>IF($B176="","",IFERROR(-AH176,"n.b."))</f>
        <v/>
      </c>
      <c r="BY176" s="124" t="str">
        <f>IF($B176="","",IFERROR(-AI176,"n.b."))</f>
        <v/>
      </c>
      <c r="BZ176" s="124" t="str">
        <f>IF($B176="","",IFERROR(-AJ176,"n.b."))</f>
        <v/>
      </c>
      <c r="CA176" s="124" t="str">
        <f>IF($B176="","",IFERROR(-AK176,"n.b."))</f>
        <v/>
      </c>
      <c r="CB176" s="124" t="str">
        <f>IF($B176="","",IFERROR(-AL176,"n.b."))</f>
        <v/>
      </c>
      <c r="CC176" s="124" t="str">
        <f>IF($B176="","",IFERROR(-AP176,"n.b."))</f>
        <v/>
      </c>
      <c r="CD176" s="124" t="str">
        <f>IF($B176="","",IFERROR(-AQ176,"n.b."))</f>
        <v/>
      </c>
      <c r="CE176" s="124" t="str">
        <f>IF($B176="","",IFERROR(-AR176,"n.b."))</f>
        <v/>
      </c>
      <c r="CF176" s="124" t="str">
        <f>IF($B176="","",IFERROR(-AS176,"n.b."))</f>
        <v/>
      </c>
      <c r="CG176" s="124" t="str">
        <f>IF($B176="","",IFERROR(-AT176,"n.b."))</f>
        <v/>
      </c>
      <c r="CH176" s="124" t="str">
        <f>IF($B176="","",IFERROR(-AU176,"n.b."))</f>
        <v/>
      </c>
      <c r="CI176" s="124" t="str">
        <f>IF($B176="","",IFERROR(-AV176,"n.b."))</f>
        <v/>
      </c>
      <c r="CJ176" s="124" t="str">
        <f>IF($B176="","",IFERROR(-AW176,"n.b."))</f>
        <v/>
      </c>
      <c r="CK176" s="124" t="str">
        <f>IF($B176="","",IFERROR(-AX176,"n.b."))</f>
        <v/>
      </c>
      <c r="CL176" s="124" t="str">
        <f>IF($B176="","",IFERROR(-AY176,"n.b."))</f>
        <v/>
      </c>
      <c r="CM176" s="124" t="str">
        <f>IF($B176="","",IFERROR(-AZ176,"n.b."))</f>
        <v/>
      </c>
      <c r="CN176" s="124" t="str">
        <f>IF($B176="","",IFERROR(-BA176,"n.b."))</f>
        <v/>
      </c>
      <c r="CO176" s="124" t="str">
        <f>IF($B176="","",IFERROR(-BB176,"n.b."))</f>
        <v/>
      </c>
      <c r="CP176" s="124" t="str">
        <f>IF($B176="","",IFERROR(-BC176,"n.b."))</f>
        <v/>
      </c>
      <c r="CQ176" s="124" t="str">
        <f>IF($B176="","",IFERROR(-BD176,"n.b."))</f>
        <v/>
      </c>
      <c r="CR176" s="124" t="str">
        <f>IF($B176="","",IFERROR(-BE176,"n.b."))</f>
        <v/>
      </c>
      <c r="CS176" s="124" t="str">
        <f>IF($B176="","",IFERROR(IF(OR(ABS(T176+V176+X176+Z176-AB176)&gt;P_Tol,ABS(U176+W176+Y176+AA176-AD176)&gt;P_Tol,ABS(AE176+AG176+AI176+AK176-AM176)&gt;P_Tol,ABS(AF176+AH176+AJ176+AL176-AO176)&gt;P_Tol),1,0),1))</f>
        <v/>
      </c>
      <c r="CT176" s="124" t="str">
        <f>IF($B176="","",IFERROR(IF(OR(ABS(AB176+AC176-AD176)&gt;P_Tol,ABS(AM176+AN176-AO176)&gt;P_Tol,ABS(O176+P176-Q176)&gt;P_Tol),1,0),1))</f>
        <v/>
      </c>
      <c r="CU176" s="124" t="str">
        <f>IF($B176="","",IFERROR(IF(ABS(R176-(AB176+AM176+AP176+AR176+AT176+AV176+AX176+AZ176+BB176+BD176))&gt;P_Tol,1,0),1))</f>
        <v/>
      </c>
      <c r="CV176" s="124" t="str">
        <f>IF($B176="","",IFERROR(IF(ABS(M176-(N176+O176+R176))&gt;P_Tol,1,0),1))</f>
        <v/>
      </c>
      <c r="CW176" s="124" t="str">
        <f>IF($B176="","",IF(COUNTIF(Mapping!$A$5:$A$104,B176)&gt;0,1,0))</f>
        <v/>
      </c>
      <c r="CX176" s="124" t="str">
        <f>IF($B176="","",COUNTIF($B$6:$B$505,B176))</f>
        <v/>
      </c>
      <c r="CY176" s="124" t="str">
        <f>IF($B176="","",COUNTIF(STG_Woningetalage!$B$6:$B$505,B176))</f>
        <v/>
      </c>
      <c r="CZ176" s="124" t="str">
        <f>IF($B176="","",IF(CW176=0,COUNTIF($CW$6:CW176,0),""))</f>
        <v/>
      </c>
    </row>
    <row r="177">
      <c r="A177" s="15" t="n">
        <v>173</v>
      </c>
      <c r="B177" t="str">
        <f>IF(B$3=0,"",IF(INDEX(SRC_ZPMW03!$A$1:$ZZ$501,$A177,B$3)&amp;""="","",INDEX(SRC_ZPMW03!$A$1:$ZZ$501,$A177,B$3)&amp;""))</f>
        <v/>
      </c>
      <c r="C177" t="str">
        <f>IF($B177="","",IF(C$3=0,"n.b.",INDEX(SRC_ZPMW03!$A$1:$ZZ$501,$A177,C$3)))</f>
        <v/>
      </c>
      <c r="D177" t="str">
        <f>IF($B177="","",IF(D$3=0,"n.b.",INDEX(SRC_ZPMW03!$A$1:$ZZ$501,$A177,D$3)))</f>
        <v/>
      </c>
      <c r="E177" t="str">
        <f>IF($B177="","",IF(E$3=0,"n.b.",INDEX(SRC_ZPMW03!$A$1:$ZZ$501,$A177,E$3)))</f>
        <v/>
      </c>
      <c r="F177" t="str">
        <f>IF($B177="","",IF(F$3=0,"n.b.",INDEX(SRC_ZPMW03!$A$1:$ZZ$501,$A177,F$3)))</f>
        <v/>
      </c>
      <c r="G177" t="str">
        <f>IF($B177="","",IF(G$3=0,"n.b.",INDEX(SRC_ZPMW03!$A$1:$ZZ$501,$A177,G$3)))</f>
        <v/>
      </c>
      <c r="H177" t="str">
        <f>IF($B177="","",IF(H$3=0,"n.b.",INDEX(SRC_ZPMW03!$A$1:$ZZ$501,$A177,H$3)))</f>
        <v/>
      </c>
      <c r="I177" t="str">
        <f>IF($B177="","",IF(I$3=0,"n.b.",INDEX(SRC_ZPMW03!$A$1:$ZZ$501,$A177,I$3)))</f>
        <v/>
      </c>
      <c r="J177" t="str">
        <f>IF($B177="","",IF(J$3=0,"n.b.",INDEX(SRC_ZPMW03!$A$1:$ZZ$501,$A177,J$3)))</f>
        <v/>
      </c>
      <c r="K177" t="str">
        <f>IF($B177="","",IF(K$3=0,"n.b.",INDEX(SRC_ZPMW03!$A$1:$ZZ$501,$A177,K$3)))</f>
        <v/>
      </c>
      <c r="L177" s="124" t="str">
        <f>IF($B177="","",IF(L$3=0,"n.b.",INDEX(SRC_ZPMW03!$A$1:$ZZ$501,$A177,L$3)))</f>
        <v/>
      </c>
      <c r="M177" s="124" t="str">
        <f>IF($B177="","",IF(M$3=0,"n.b.",INDEX(SRC_ZPMW03!$A$1:$ZZ$501,$A177,M$3)))</f>
        <v/>
      </c>
      <c r="N177" s="124" t="str">
        <f>IF($B177="","",IF(N$3=0,"n.b.",INDEX(SRC_ZPMW03!$A$1:$ZZ$501,$A177,N$3)))</f>
        <v/>
      </c>
      <c r="O177" s="124" t="str">
        <f>IF($B177="","",IF(O$3=0,"n.b.",INDEX(SRC_ZPMW03!$A$1:$ZZ$501,$A177,O$3)))</f>
        <v/>
      </c>
      <c r="P177" s="124" t="str">
        <f>IF($B177="","",IF(P$3=0,"n.b.",INDEX(SRC_ZPMW03!$A$1:$ZZ$501,$A177,P$3)))</f>
        <v/>
      </c>
      <c r="Q177" s="124" t="str">
        <f>IF($B177="","",IF(Q$3=0,"n.b.",INDEX(SRC_ZPMW03!$A$1:$ZZ$501,$A177,Q$3)))</f>
        <v/>
      </c>
      <c r="R177" s="124" t="str">
        <f>IF($B177="","",IF(R$3=0,"n.b.",INDEX(SRC_ZPMW03!$A$1:$ZZ$501,$A177,R$3)))</f>
        <v/>
      </c>
      <c r="S177" s="124" t="str">
        <f>IF($B177="","",IF(S$3=0,"n.b.",INDEX(SRC_ZPMW03!$A$1:$ZZ$501,$A177,S$3)))</f>
        <v/>
      </c>
      <c r="T177" s="124" t="str">
        <f>IF($B177="","",IF(T$3=0,"n.b.",INDEX(SRC_ZPMW03!$A$1:$ZZ$501,$A177,T$3)))</f>
        <v/>
      </c>
      <c r="U177" s="124" t="str">
        <f>IF($B177="","",IF(U$3=0,"n.b.",INDEX(SRC_ZPMW03!$A$1:$ZZ$501,$A177,U$3)))</f>
        <v/>
      </c>
      <c r="V177" s="124" t="str">
        <f>IF($B177="","",IF(V$3=0,"n.b.",INDEX(SRC_ZPMW03!$A$1:$ZZ$501,$A177,V$3)))</f>
        <v/>
      </c>
      <c r="W177" s="124" t="str">
        <f>IF($B177="","",IF(W$3=0,"n.b.",INDEX(SRC_ZPMW03!$A$1:$ZZ$501,$A177,W$3)))</f>
        <v/>
      </c>
      <c r="X177" s="124" t="str">
        <f>IF($B177="","",IF(X$3=0,"n.b.",INDEX(SRC_ZPMW03!$A$1:$ZZ$501,$A177,X$3)))</f>
        <v/>
      </c>
      <c r="Y177" s="124" t="str">
        <f>IF($B177="","",IF(Y$3=0,"n.b.",INDEX(SRC_ZPMW03!$A$1:$ZZ$501,$A177,Y$3)))</f>
        <v/>
      </c>
      <c r="Z177" s="124" t="str">
        <f>IF($B177="","",IF(Z$3=0,"n.b.",INDEX(SRC_ZPMW03!$A$1:$ZZ$501,$A177,Z$3)))</f>
        <v/>
      </c>
      <c r="AA177" s="124" t="str">
        <f>IF($B177="","",IF(AA$3=0,"n.b.",INDEX(SRC_ZPMW03!$A$1:$ZZ$501,$A177,AA$3)))</f>
        <v/>
      </c>
      <c r="AB177" s="124" t="str">
        <f>IF($B177="","",IF(AB$3=0,"n.b.",INDEX(SRC_ZPMW03!$A$1:$ZZ$501,$A177,AB$3)))</f>
        <v/>
      </c>
      <c r="AC177" s="124" t="str">
        <f>IF($B177="","",IF(AC$3=0,"n.b.",INDEX(SRC_ZPMW03!$A$1:$ZZ$501,$A177,AC$3)))</f>
        <v/>
      </c>
      <c r="AD177" s="124" t="str">
        <f>IF($B177="","",IF(AD$3=0,"n.b.",INDEX(SRC_ZPMW03!$A$1:$ZZ$501,$A177,AD$3)))</f>
        <v/>
      </c>
      <c r="AE177" s="124" t="str">
        <f>IF($B177="","",IF(AE$3=0,"n.b.",INDEX(SRC_ZPMW03!$A$1:$ZZ$501,$A177,AE$3)))</f>
        <v/>
      </c>
      <c r="AF177" s="124" t="str">
        <f>IF($B177="","",IF(AF$3=0,"n.b.",INDEX(SRC_ZPMW03!$A$1:$ZZ$501,$A177,AF$3)))</f>
        <v/>
      </c>
      <c r="AG177" s="124" t="str">
        <f>IF($B177="","",IF(AG$3=0,"n.b.",INDEX(SRC_ZPMW03!$A$1:$ZZ$501,$A177,AG$3)))</f>
        <v/>
      </c>
      <c r="AH177" s="124" t="str">
        <f>IF($B177="","",IF(AH$3=0,"n.b.",INDEX(SRC_ZPMW03!$A$1:$ZZ$501,$A177,AH$3)))</f>
        <v/>
      </c>
      <c r="AI177" s="124" t="str">
        <f>IF($B177="","",IF(AI$3=0,"n.b.",INDEX(SRC_ZPMW03!$A$1:$ZZ$501,$A177,AI$3)))</f>
        <v/>
      </c>
      <c r="AJ177" s="124" t="str">
        <f>IF($B177="","",IF(AJ$3=0,"n.b.",INDEX(SRC_ZPMW03!$A$1:$ZZ$501,$A177,AJ$3)))</f>
        <v/>
      </c>
      <c r="AK177" s="124" t="str">
        <f>IF($B177="","",IF(AK$3=0,"n.b.",INDEX(SRC_ZPMW03!$A$1:$ZZ$501,$A177,AK$3)))</f>
        <v/>
      </c>
      <c r="AL177" s="124" t="str">
        <f>IF($B177="","",IF(AL$3=0,"n.b.",INDEX(SRC_ZPMW03!$A$1:$ZZ$501,$A177,AL$3)))</f>
        <v/>
      </c>
      <c r="AM177" s="124" t="str">
        <f>IF($B177="","",IF(AM$3=0,"n.b.",INDEX(SRC_ZPMW03!$A$1:$ZZ$501,$A177,AM$3)))</f>
        <v/>
      </c>
      <c r="AN177" s="124" t="str">
        <f>IF($B177="","",IF(AN$3=0,"n.b.",INDEX(SRC_ZPMW03!$A$1:$ZZ$501,$A177,AN$3)))</f>
        <v/>
      </c>
      <c r="AO177" s="124" t="str">
        <f>IF($B177="","",IF(AO$3=0,"n.b.",INDEX(SRC_ZPMW03!$A$1:$ZZ$501,$A177,AO$3)))</f>
        <v/>
      </c>
      <c r="AP177" s="124" t="str">
        <f>IF($B177="","",IF(AP$3=0,"n.b.",INDEX(SRC_ZPMW03!$A$1:$ZZ$501,$A177,AP$3)))</f>
        <v/>
      </c>
      <c r="AQ177" s="124" t="str">
        <f>IF($B177="","",IF(AQ$3=0,"n.b.",INDEX(SRC_ZPMW03!$A$1:$ZZ$501,$A177,AQ$3)))</f>
        <v/>
      </c>
      <c r="AR177" s="124" t="str">
        <f>IF($B177="","",IF(AR$3=0,"n.b.",INDEX(SRC_ZPMW03!$A$1:$ZZ$501,$A177,AR$3)))</f>
        <v/>
      </c>
      <c r="AS177" s="124" t="str">
        <f>IF($B177="","",IF(AS$3=0,"n.b.",INDEX(SRC_ZPMW03!$A$1:$ZZ$501,$A177,AS$3)))</f>
        <v/>
      </c>
      <c r="AT177" s="124" t="str">
        <f>IF($B177="","",IF(AT$3=0,"n.b.",INDEX(SRC_ZPMW03!$A$1:$ZZ$501,$A177,AT$3)))</f>
        <v/>
      </c>
      <c r="AU177" s="124" t="str">
        <f>IF($B177="","",IF(AU$3=0,"n.b.",INDEX(SRC_ZPMW03!$A$1:$ZZ$501,$A177,AU$3)))</f>
        <v/>
      </c>
      <c r="AV177" s="124" t="str">
        <f>IF($B177="","",IF(AV$3=0,"n.b.",INDEX(SRC_ZPMW03!$A$1:$ZZ$501,$A177,AV$3)))</f>
        <v/>
      </c>
      <c r="AW177" s="124" t="str">
        <f>IF($B177="","",IF(AW$3=0,"n.b.",INDEX(SRC_ZPMW03!$A$1:$ZZ$501,$A177,AW$3)))</f>
        <v/>
      </c>
      <c r="AX177" s="124" t="str">
        <f>IF($B177="","",IF(AX$3=0,"n.b.",INDEX(SRC_ZPMW03!$A$1:$ZZ$501,$A177,AX$3)))</f>
        <v/>
      </c>
      <c r="AY177" s="124" t="str">
        <f>IF($B177="","",IF(AY$3=0,"n.b.",INDEX(SRC_ZPMW03!$A$1:$ZZ$501,$A177,AY$3)))</f>
        <v/>
      </c>
      <c r="AZ177" s="124" t="str">
        <f>IF($B177="","",IF(AZ$3=0,"n.b.",INDEX(SRC_ZPMW03!$A$1:$ZZ$501,$A177,AZ$3)))</f>
        <v/>
      </c>
      <c r="BA177" s="124" t="str">
        <f>IF($B177="","",IF(BA$3=0,"n.b.",INDEX(SRC_ZPMW03!$A$1:$ZZ$501,$A177,BA$3)))</f>
        <v/>
      </c>
      <c r="BB177" s="124" t="str">
        <f>IF($B177="","",IF(BB$3=0,"n.b.",INDEX(SRC_ZPMW03!$A$1:$ZZ$501,$A177,BB$3)))</f>
        <v/>
      </c>
      <c r="BC177" s="124" t="str">
        <f>IF($B177="","",IF(BC$3=0,"n.b.",INDEX(SRC_ZPMW03!$A$1:$ZZ$501,$A177,BC$3)))</f>
        <v/>
      </c>
      <c r="BD177" s="124" t="str">
        <f>IF($B177="","",IF(BD$3=0,"n.b.",INDEX(SRC_ZPMW03!$A$1:$ZZ$501,$A177,BD$3)))</f>
        <v/>
      </c>
      <c r="BE177" s="124" t="str">
        <f>IF($B177="","",IF(BE$3=0,"n.b.",INDEX(SRC_ZPMW03!$A$1:$ZZ$501,$A177,BE$3)))</f>
        <v/>
      </c>
      <c r="BF177" s="124" t="str">
        <f>IF($B177="","",IF(BF$3=0,"n.b.",INDEX(SRC_ZPMW03!$A$1:$ZZ$501,$A177,BF$3)))</f>
        <v/>
      </c>
      <c r="BG177" t="str">
        <f>IF($B177="","",IF(BG$3=0,"n.b.",INDEX(SRC_ZPMW03!$A$1:$ZZ$501,$A177,BG$3)))</f>
        <v/>
      </c>
      <c r="BH177" t="str">
        <f>IF($B177="","",IF(BH$3=0,"n.b.",INDEX(SRC_ZPMW03!$A$1:$ZZ$501,$A177,BH$3)))</f>
        <v/>
      </c>
      <c r="BI177" t="str">
        <f>IF($B177="","",IF(BI$3=0,"n.b.",INDEX(SRC_ZPMW03!$A$1:$ZZ$501,$A177,BI$3)))</f>
        <v/>
      </c>
      <c r="BJ177" t="str">
        <f>IF($B177="","",IF(BJ$3=0,"n.b.",INDEX(SRC_ZPMW03!$A$1:$ZZ$501,$A177,BJ$3)))</f>
        <v/>
      </c>
      <c r="BK177" s="124" t="str">
        <f>IF($B177="","",IFERROR(-O177,"n.b."))</f>
        <v/>
      </c>
      <c r="BL177" s="124" t="str">
        <f>IF($B177="","",IFERROR(-Q177,"n.b."))</f>
        <v/>
      </c>
      <c r="BM177" s="124" t="str">
        <f>IF($B177="","",IFERROR(-AB177,"n.b."))</f>
        <v/>
      </c>
      <c r="BN177" s="124" t="str">
        <f>IF($B177="","",IFERROR(-AD177,"n.b."))</f>
        <v/>
      </c>
      <c r="BO177" s="124" t="str">
        <f>IF($B177="","",IFERROR(BK177+BM177,"n.b."))</f>
        <v/>
      </c>
      <c r="BP177" s="124" t="str">
        <f>IF($B177="","",IFERROR(BL177+BN177,"n.b."))</f>
        <v/>
      </c>
      <c r="BQ177" s="124" t="str">
        <f>IF($B177="","",IFERROR(-AM177,"n.b."))</f>
        <v/>
      </c>
      <c r="BR177" s="124" t="str">
        <f>IF($B177="","",IFERROR(-AO177,"n.b."))</f>
        <v/>
      </c>
      <c r="BS177" s="124" t="str">
        <f>IF($B177="","",IFERROR(-Z177,"n.b."))</f>
        <v/>
      </c>
      <c r="BT177" s="124" t="str">
        <f>IF($B177="","",IFERROR(-AA177,"n.b."))</f>
        <v/>
      </c>
      <c r="BU177" s="124" t="str">
        <f>IF($B177="","",IFERROR(-AE177,"n.b."))</f>
        <v/>
      </c>
      <c r="BV177" s="124" t="str">
        <f>IF($B177="","",IFERROR(-AF177,"n.b."))</f>
        <v/>
      </c>
      <c r="BW177" s="124" t="str">
        <f>IF($B177="","",IFERROR(-AG177,"n.b."))</f>
        <v/>
      </c>
      <c r="BX177" s="124" t="str">
        <f>IF($B177="","",IFERROR(-AH177,"n.b."))</f>
        <v/>
      </c>
      <c r="BY177" s="124" t="str">
        <f>IF($B177="","",IFERROR(-AI177,"n.b."))</f>
        <v/>
      </c>
      <c r="BZ177" s="124" t="str">
        <f>IF($B177="","",IFERROR(-AJ177,"n.b."))</f>
        <v/>
      </c>
      <c r="CA177" s="124" t="str">
        <f>IF($B177="","",IFERROR(-AK177,"n.b."))</f>
        <v/>
      </c>
      <c r="CB177" s="124" t="str">
        <f>IF($B177="","",IFERROR(-AL177,"n.b."))</f>
        <v/>
      </c>
      <c r="CC177" s="124" t="str">
        <f>IF($B177="","",IFERROR(-AP177,"n.b."))</f>
        <v/>
      </c>
      <c r="CD177" s="124" t="str">
        <f>IF($B177="","",IFERROR(-AQ177,"n.b."))</f>
        <v/>
      </c>
      <c r="CE177" s="124" t="str">
        <f>IF($B177="","",IFERROR(-AR177,"n.b."))</f>
        <v/>
      </c>
      <c r="CF177" s="124" t="str">
        <f>IF($B177="","",IFERROR(-AS177,"n.b."))</f>
        <v/>
      </c>
      <c r="CG177" s="124" t="str">
        <f>IF($B177="","",IFERROR(-AT177,"n.b."))</f>
        <v/>
      </c>
      <c r="CH177" s="124" t="str">
        <f>IF($B177="","",IFERROR(-AU177,"n.b."))</f>
        <v/>
      </c>
      <c r="CI177" s="124" t="str">
        <f>IF($B177="","",IFERROR(-AV177,"n.b."))</f>
        <v/>
      </c>
      <c r="CJ177" s="124" t="str">
        <f>IF($B177="","",IFERROR(-AW177,"n.b."))</f>
        <v/>
      </c>
      <c r="CK177" s="124" t="str">
        <f>IF($B177="","",IFERROR(-AX177,"n.b."))</f>
        <v/>
      </c>
      <c r="CL177" s="124" t="str">
        <f>IF($B177="","",IFERROR(-AY177,"n.b."))</f>
        <v/>
      </c>
      <c r="CM177" s="124" t="str">
        <f>IF($B177="","",IFERROR(-AZ177,"n.b."))</f>
        <v/>
      </c>
      <c r="CN177" s="124" t="str">
        <f>IF($B177="","",IFERROR(-BA177,"n.b."))</f>
        <v/>
      </c>
      <c r="CO177" s="124" t="str">
        <f>IF($B177="","",IFERROR(-BB177,"n.b."))</f>
        <v/>
      </c>
      <c r="CP177" s="124" t="str">
        <f>IF($B177="","",IFERROR(-BC177,"n.b."))</f>
        <v/>
      </c>
      <c r="CQ177" s="124" t="str">
        <f>IF($B177="","",IFERROR(-BD177,"n.b."))</f>
        <v/>
      </c>
      <c r="CR177" s="124" t="str">
        <f>IF($B177="","",IFERROR(-BE177,"n.b."))</f>
        <v/>
      </c>
      <c r="CS177" s="124" t="str">
        <f>IF($B177="","",IFERROR(IF(OR(ABS(T177+V177+X177+Z177-AB177)&gt;P_Tol,ABS(U177+W177+Y177+AA177-AD177)&gt;P_Tol,ABS(AE177+AG177+AI177+AK177-AM177)&gt;P_Tol,ABS(AF177+AH177+AJ177+AL177-AO177)&gt;P_Tol),1,0),1))</f>
        <v/>
      </c>
      <c r="CT177" s="124" t="str">
        <f>IF($B177="","",IFERROR(IF(OR(ABS(AB177+AC177-AD177)&gt;P_Tol,ABS(AM177+AN177-AO177)&gt;P_Tol,ABS(O177+P177-Q177)&gt;P_Tol),1,0),1))</f>
        <v/>
      </c>
      <c r="CU177" s="124" t="str">
        <f>IF($B177="","",IFERROR(IF(ABS(R177-(AB177+AM177+AP177+AR177+AT177+AV177+AX177+AZ177+BB177+BD177))&gt;P_Tol,1,0),1))</f>
        <v/>
      </c>
      <c r="CV177" s="124" t="str">
        <f>IF($B177="","",IFERROR(IF(ABS(M177-(N177+O177+R177))&gt;P_Tol,1,0),1))</f>
        <v/>
      </c>
      <c r="CW177" s="124" t="str">
        <f>IF($B177="","",IF(COUNTIF(Mapping!$A$5:$A$104,B177)&gt;0,1,0))</f>
        <v/>
      </c>
      <c r="CX177" s="124" t="str">
        <f>IF($B177="","",COUNTIF($B$6:$B$505,B177))</f>
        <v/>
      </c>
      <c r="CY177" s="124" t="str">
        <f>IF($B177="","",COUNTIF(STG_Woningetalage!$B$6:$B$505,B177))</f>
        <v/>
      </c>
      <c r="CZ177" s="124" t="str">
        <f>IF($B177="","",IF(CW177=0,COUNTIF($CW$6:CW177,0),""))</f>
        <v/>
      </c>
    </row>
    <row r="178">
      <c r="A178" s="15" t="n">
        <v>174</v>
      </c>
      <c r="B178" t="str">
        <f>IF(B$3=0,"",IF(INDEX(SRC_ZPMW03!$A$1:$ZZ$501,$A178,B$3)&amp;""="","",INDEX(SRC_ZPMW03!$A$1:$ZZ$501,$A178,B$3)&amp;""))</f>
        <v/>
      </c>
      <c r="C178" t="str">
        <f>IF($B178="","",IF(C$3=0,"n.b.",INDEX(SRC_ZPMW03!$A$1:$ZZ$501,$A178,C$3)))</f>
        <v/>
      </c>
      <c r="D178" t="str">
        <f>IF($B178="","",IF(D$3=0,"n.b.",INDEX(SRC_ZPMW03!$A$1:$ZZ$501,$A178,D$3)))</f>
        <v/>
      </c>
      <c r="E178" t="str">
        <f>IF($B178="","",IF(E$3=0,"n.b.",INDEX(SRC_ZPMW03!$A$1:$ZZ$501,$A178,E$3)))</f>
        <v/>
      </c>
      <c r="F178" t="str">
        <f>IF($B178="","",IF(F$3=0,"n.b.",INDEX(SRC_ZPMW03!$A$1:$ZZ$501,$A178,F$3)))</f>
        <v/>
      </c>
      <c r="G178" t="str">
        <f>IF($B178="","",IF(G$3=0,"n.b.",INDEX(SRC_ZPMW03!$A$1:$ZZ$501,$A178,G$3)))</f>
        <v/>
      </c>
      <c r="H178" t="str">
        <f>IF($B178="","",IF(H$3=0,"n.b.",INDEX(SRC_ZPMW03!$A$1:$ZZ$501,$A178,H$3)))</f>
        <v/>
      </c>
      <c r="I178" t="str">
        <f>IF($B178="","",IF(I$3=0,"n.b.",INDEX(SRC_ZPMW03!$A$1:$ZZ$501,$A178,I$3)))</f>
        <v/>
      </c>
      <c r="J178" t="str">
        <f>IF($B178="","",IF(J$3=0,"n.b.",INDEX(SRC_ZPMW03!$A$1:$ZZ$501,$A178,J$3)))</f>
        <v/>
      </c>
      <c r="K178" t="str">
        <f>IF($B178="","",IF(K$3=0,"n.b.",INDEX(SRC_ZPMW03!$A$1:$ZZ$501,$A178,K$3)))</f>
        <v/>
      </c>
      <c r="L178" s="124" t="str">
        <f>IF($B178="","",IF(L$3=0,"n.b.",INDEX(SRC_ZPMW03!$A$1:$ZZ$501,$A178,L$3)))</f>
        <v/>
      </c>
      <c r="M178" s="124" t="str">
        <f>IF($B178="","",IF(M$3=0,"n.b.",INDEX(SRC_ZPMW03!$A$1:$ZZ$501,$A178,M$3)))</f>
        <v/>
      </c>
      <c r="N178" s="124" t="str">
        <f>IF($B178="","",IF(N$3=0,"n.b.",INDEX(SRC_ZPMW03!$A$1:$ZZ$501,$A178,N$3)))</f>
        <v/>
      </c>
      <c r="O178" s="124" t="str">
        <f>IF($B178="","",IF(O$3=0,"n.b.",INDEX(SRC_ZPMW03!$A$1:$ZZ$501,$A178,O$3)))</f>
        <v/>
      </c>
      <c r="P178" s="124" t="str">
        <f>IF($B178="","",IF(P$3=0,"n.b.",INDEX(SRC_ZPMW03!$A$1:$ZZ$501,$A178,P$3)))</f>
        <v/>
      </c>
      <c r="Q178" s="124" t="str">
        <f>IF($B178="","",IF(Q$3=0,"n.b.",INDEX(SRC_ZPMW03!$A$1:$ZZ$501,$A178,Q$3)))</f>
        <v/>
      </c>
      <c r="R178" s="124" t="str">
        <f>IF($B178="","",IF(R$3=0,"n.b.",INDEX(SRC_ZPMW03!$A$1:$ZZ$501,$A178,R$3)))</f>
        <v/>
      </c>
      <c r="S178" s="124" t="str">
        <f>IF($B178="","",IF(S$3=0,"n.b.",INDEX(SRC_ZPMW03!$A$1:$ZZ$501,$A178,S$3)))</f>
        <v/>
      </c>
      <c r="T178" s="124" t="str">
        <f>IF($B178="","",IF(T$3=0,"n.b.",INDEX(SRC_ZPMW03!$A$1:$ZZ$501,$A178,T$3)))</f>
        <v/>
      </c>
      <c r="U178" s="124" t="str">
        <f>IF($B178="","",IF(U$3=0,"n.b.",INDEX(SRC_ZPMW03!$A$1:$ZZ$501,$A178,U$3)))</f>
        <v/>
      </c>
      <c r="V178" s="124" t="str">
        <f>IF($B178="","",IF(V$3=0,"n.b.",INDEX(SRC_ZPMW03!$A$1:$ZZ$501,$A178,V$3)))</f>
        <v/>
      </c>
      <c r="W178" s="124" t="str">
        <f>IF($B178="","",IF(W$3=0,"n.b.",INDEX(SRC_ZPMW03!$A$1:$ZZ$501,$A178,W$3)))</f>
        <v/>
      </c>
      <c r="X178" s="124" t="str">
        <f>IF($B178="","",IF(X$3=0,"n.b.",INDEX(SRC_ZPMW03!$A$1:$ZZ$501,$A178,X$3)))</f>
        <v/>
      </c>
      <c r="Y178" s="124" t="str">
        <f>IF($B178="","",IF(Y$3=0,"n.b.",INDEX(SRC_ZPMW03!$A$1:$ZZ$501,$A178,Y$3)))</f>
        <v/>
      </c>
      <c r="Z178" s="124" t="str">
        <f>IF($B178="","",IF(Z$3=0,"n.b.",INDEX(SRC_ZPMW03!$A$1:$ZZ$501,$A178,Z$3)))</f>
        <v/>
      </c>
      <c r="AA178" s="124" t="str">
        <f>IF($B178="","",IF(AA$3=0,"n.b.",INDEX(SRC_ZPMW03!$A$1:$ZZ$501,$A178,AA$3)))</f>
        <v/>
      </c>
      <c r="AB178" s="124" t="str">
        <f>IF($B178="","",IF(AB$3=0,"n.b.",INDEX(SRC_ZPMW03!$A$1:$ZZ$501,$A178,AB$3)))</f>
        <v/>
      </c>
      <c r="AC178" s="124" t="str">
        <f>IF($B178="","",IF(AC$3=0,"n.b.",INDEX(SRC_ZPMW03!$A$1:$ZZ$501,$A178,AC$3)))</f>
        <v/>
      </c>
      <c r="AD178" s="124" t="str">
        <f>IF($B178="","",IF(AD$3=0,"n.b.",INDEX(SRC_ZPMW03!$A$1:$ZZ$501,$A178,AD$3)))</f>
        <v/>
      </c>
      <c r="AE178" s="124" t="str">
        <f>IF($B178="","",IF(AE$3=0,"n.b.",INDEX(SRC_ZPMW03!$A$1:$ZZ$501,$A178,AE$3)))</f>
        <v/>
      </c>
      <c r="AF178" s="124" t="str">
        <f>IF($B178="","",IF(AF$3=0,"n.b.",INDEX(SRC_ZPMW03!$A$1:$ZZ$501,$A178,AF$3)))</f>
        <v/>
      </c>
      <c r="AG178" s="124" t="str">
        <f>IF($B178="","",IF(AG$3=0,"n.b.",INDEX(SRC_ZPMW03!$A$1:$ZZ$501,$A178,AG$3)))</f>
        <v/>
      </c>
      <c r="AH178" s="124" t="str">
        <f>IF($B178="","",IF(AH$3=0,"n.b.",INDEX(SRC_ZPMW03!$A$1:$ZZ$501,$A178,AH$3)))</f>
        <v/>
      </c>
      <c r="AI178" s="124" t="str">
        <f>IF($B178="","",IF(AI$3=0,"n.b.",INDEX(SRC_ZPMW03!$A$1:$ZZ$501,$A178,AI$3)))</f>
        <v/>
      </c>
      <c r="AJ178" s="124" t="str">
        <f>IF($B178="","",IF(AJ$3=0,"n.b.",INDEX(SRC_ZPMW03!$A$1:$ZZ$501,$A178,AJ$3)))</f>
        <v/>
      </c>
      <c r="AK178" s="124" t="str">
        <f>IF($B178="","",IF(AK$3=0,"n.b.",INDEX(SRC_ZPMW03!$A$1:$ZZ$501,$A178,AK$3)))</f>
        <v/>
      </c>
      <c r="AL178" s="124" t="str">
        <f>IF($B178="","",IF(AL$3=0,"n.b.",INDEX(SRC_ZPMW03!$A$1:$ZZ$501,$A178,AL$3)))</f>
        <v/>
      </c>
      <c r="AM178" s="124" t="str">
        <f>IF($B178="","",IF(AM$3=0,"n.b.",INDEX(SRC_ZPMW03!$A$1:$ZZ$501,$A178,AM$3)))</f>
        <v/>
      </c>
      <c r="AN178" s="124" t="str">
        <f>IF($B178="","",IF(AN$3=0,"n.b.",INDEX(SRC_ZPMW03!$A$1:$ZZ$501,$A178,AN$3)))</f>
        <v/>
      </c>
      <c r="AO178" s="124" t="str">
        <f>IF($B178="","",IF(AO$3=0,"n.b.",INDEX(SRC_ZPMW03!$A$1:$ZZ$501,$A178,AO$3)))</f>
        <v/>
      </c>
      <c r="AP178" s="124" t="str">
        <f>IF($B178="","",IF(AP$3=0,"n.b.",INDEX(SRC_ZPMW03!$A$1:$ZZ$501,$A178,AP$3)))</f>
        <v/>
      </c>
      <c r="AQ178" s="124" t="str">
        <f>IF($B178="","",IF(AQ$3=0,"n.b.",INDEX(SRC_ZPMW03!$A$1:$ZZ$501,$A178,AQ$3)))</f>
        <v/>
      </c>
      <c r="AR178" s="124" t="str">
        <f>IF($B178="","",IF(AR$3=0,"n.b.",INDEX(SRC_ZPMW03!$A$1:$ZZ$501,$A178,AR$3)))</f>
        <v/>
      </c>
      <c r="AS178" s="124" t="str">
        <f>IF($B178="","",IF(AS$3=0,"n.b.",INDEX(SRC_ZPMW03!$A$1:$ZZ$501,$A178,AS$3)))</f>
        <v/>
      </c>
      <c r="AT178" s="124" t="str">
        <f>IF($B178="","",IF(AT$3=0,"n.b.",INDEX(SRC_ZPMW03!$A$1:$ZZ$501,$A178,AT$3)))</f>
        <v/>
      </c>
      <c r="AU178" s="124" t="str">
        <f>IF($B178="","",IF(AU$3=0,"n.b.",INDEX(SRC_ZPMW03!$A$1:$ZZ$501,$A178,AU$3)))</f>
        <v/>
      </c>
      <c r="AV178" s="124" t="str">
        <f>IF($B178="","",IF(AV$3=0,"n.b.",INDEX(SRC_ZPMW03!$A$1:$ZZ$501,$A178,AV$3)))</f>
        <v/>
      </c>
      <c r="AW178" s="124" t="str">
        <f>IF($B178="","",IF(AW$3=0,"n.b.",INDEX(SRC_ZPMW03!$A$1:$ZZ$501,$A178,AW$3)))</f>
        <v/>
      </c>
      <c r="AX178" s="124" t="str">
        <f>IF($B178="","",IF(AX$3=0,"n.b.",INDEX(SRC_ZPMW03!$A$1:$ZZ$501,$A178,AX$3)))</f>
        <v/>
      </c>
      <c r="AY178" s="124" t="str">
        <f>IF($B178="","",IF(AY$3=0,"n.b.",INDEX(SRC_ZPMW03!$A$1:$ZZ$501,$A178,AY$3)))</f>
        <v/>
      </c>
      <c r="AZ178" s="124" t="str">
        <f>IF($B178="","",IF(AZ$3=0,"n.b.",INDEX(SRC_ZPMW03!$A$1:$ZZ$501,$A178,AZ$3)))</f>
        <v/>
      </c>
      <c r="BA178" s="124" t="str">
        <f>IF($B178="","",IF(BA$3=0,"n.b.",INDEX(SRC_ZPMW03!$A$1:$ZZ$501,$A178,BA$3)))</f>
        <v/>
      </c>
      <c r="BB178" s="124" t="str">
        <f>IF($B178="","",IF(BB$3=0,"n.b.",INDEX(SRC_ZPMW03!$A$1:$ZZ$501,$A178,BB$3)))</f>
        <v/>
      </c>
      <c r="BC178" s="124" t="str">
        <f>IF($B178="","",IF(BC$3=0,"n.b.",INDEX(SRC_ZPMW03!$A$1:$ZZ$501,$A178,BC$3)))</f>
        <v/>
      </c>
      <c r="BD178" s="124" t="str">
        <f>IF($B178="","",IF(BD$3=0,"n.b.",INDEX(SRC_ZPMW03!$A$1:$ZZ$501,$A178,BD$3)))</f>
        <v/>
      </c>
      <c r="BE178" s="124" t="str">
        <f>IF($B178="","",IF(BE$3=0,"n.b.",INDEX(SRC_ZPMW03!$A$1:$ZZ$501,$A178,BE$3)))</f>
        <v/>
      </c>
      <c r="BF178" s="124" t="str">
        <f>IF($B178="","",IF(BF$3=0,"n.b.",INDEX(SRC_ZPMW03!$A$1:$ZZ$501,$A178,BF$3)))</f>
        <v/>
      </c>
      <c r="BG178" t="str">
        <f>IF($B178="","",IF(BG$3=0,"n.b.",INDEX(SRC_ZPMW03!$A$1:$ZZ$501,$A178,BG$3)))</f>
        <v/>
      </c>
      <c r="BH178" t="str">
        <f>IF($B178="","",IF(BH$3=0,"n.b.",INDEX(SRC_ZPMW03!$A$1:$ZZ$501,$A178,BH$3)))</f>
        <v/>
      </c>
      <c r="BI178" t="str">
        <f>IF($B178="","",IF(BI$3=0,"n.b.",INDEX(SRC_ZPMW03!$A$1:$ZZ$501,$A178,BI$3)))</f>
        <v/>
      </c>
      <c r="BJ178" t="str">
        <f>IF($B178="","",IF(BJ$3=0,"n.b.",INDEX(SRC_ZPMW03!$A$1:$ZZ$501,$A178,BJ$3)))</f>
        <v/>
      </c>
      <c r="BK178" s="124" t="str">
        <f>IF($B178="","",IFERROR(-O178,"n.b."))</f>
        <v/>
      </c>
      <c r="BL178" s="124" t="str">
        <f>IF($B178="","",IFERROR(-Q178,"n.b."))</f>
        <v/>
      </c>
      <c r="BM178" s="124" t="str">
        <f>IF($B178="","",IFERROR(-AB178,"n.b."))</f>
        <v/>
      </c>
      <c r="BN178" s="124" t="str">
        <f>IF($B178="","",IFERROR(-AD178,"n.b."))</f>
        <v/>
      </c>
      <c r="BO178" s="124" t="str">
        <f>IF($B178="","",IFERROR(BK178+BM178,"n.b."))</f>
        <v/>
      </c>
      <c r="BP178" s="124" t="str">
        <f>IF($B178="","",IFERROR(BL178+BN178,"n.b."))</f>
        <v/>
      </c>
      <c r="BQ178" s="124" t="str">
        <f>IF($B178="","",IFERROR(-AM178,"n.b."))</f>
        <v/>
      </c>
      <c r="BR178" s="124" t="str">
        <f>IF($B178="","",IFERROR(-AO178,"n.b."))</f>
        <v/>
      </c>
      <c r="BS178" s="124" t="str">
        <f>IF($B178="","",IFERROR(-Z178,"n.b."))</f>
        <v/>
      </c>
      <c r="BT178" s="124" t="str">
        <f>IF($B178="","",IFERROR(-AA178,"n.b."))</f>
        <v/>
      </c>
      <c r="BU178" s="124" t="str">
        <f>IF($B178="","",IFERROR(-AE178,"n.b."))</f>
        <v/>
      </c>
      <c r="BV178" s="124" t="str">
        <f>IF($B178="","",IFERROR(-AF178,"n.b."))</f>
        <v/>
      </c>
      <c r="BW178" s="124" t="str">
        <f>IF($B178="","",IFERROR(-AG178,"n.b."))</f>
        <v/>
      </c>
      <c r="BX178" s="124" t="str">
        <f>IF($B178="","",IFERROR(-AH178,"n.b."))</f>
        <v/>
      </c>
      <c r="BY178" s="124" t="str">
        <f>IF($B178="","",IFERROR(-AI178,"n.b."))</f>
        <v/>
      </c>
      <c r="BZ178" s="124" t="str">
        <f>IF($B178="","",IFERROR(-AJ178,"n.b."))</f>
        <v/>
      </c>
      <c r="CA178" s="124" t="str">
        <f>IF($B178="","",IFERROR(-AK178,"n.b."))</f>
        <v/>
      </c>
      <c r="CB178" s="124" t="str">
        <f>IF($B178="","",IFERROR(-AL178,"n.b."))</f>
        <v/>
      </c>
      <c r="CC178" s="124" t="str">
        <f>IF($B178="","",IFERROR(-AP178,"n.b."))</f>
        <v/>
      </c>
      <c r="CD178" s="124" t="str">
        <f>IF($B178="","",IFERROR(-AQ178,"n.b."))</f>
        <v/>
      </c>
      <c r="CE178" s="124" t="str">
        <f>IF($B178="","",IFERROR(-AR178,"n.b."))</f>
        <v/>
      </c>
      <c r="CF178" s="124" t="str">
        <f>IF($B178="","",IFERROR(-AS178,"n.b."))</f>
        <v/>
      </c>
      <c r="CG178" s="124" t="str">
        <f>IF($B178="","",IFERROR(-AT178,"n.b."))</f>
        <v/>
      </c>
      <c r="CH178" s="124" t="str">
        <f>IF($B178="","",IFERROR(-AU178,"n.b."))</f>
        <v/>
      </c>
      <c r="CI178" s="124" t="str">
        <f>IF($B178="","",IFERROR(-AV178,"n.b."))</f>
        <v/>
      </c>
      <c r="CJ178" s="124" t="str">
        <f>IF($B178="","",IFERROR(-AW178,"n.b."))</f>
        <v/>
      </c>
      <c r="CK178" s="124" t="str">
        <f>IF($B178="","",IFERROR(-AX178,"n.b."))</f>
        <v/>
      </c>
      <c r="CL178" s="124" t="str">
        <f>IF($B178="","",IFERROR(-AY178,"n.b."))</f>
        <v/>
      </c>
      <c r="CM178" s="124" t="str">
        <f>IF($B178="","",IFERROR(-AZ178,"n.b."))</f>
        <v/>
      </c>
      <c r="CN178" s="124" t="str">
        <f>IF($B178="","",IFERROR(-BA178,"n.b."))</f>
        <v/>
      </c>
      <c r="CO178" s="124" t="str">
        <f>IF($B178="","",IFERROR(-BB178,"n.b."))</f>
        <v/>
      </c>
      <c r="CP178" s="124" t="str">
        <f>IF($B178="","",IFERROR(-BC178,"n.b."))</f>
        <v/>
      </c>
      <c r="CQ178" s="124" t="str">
        <f>IF($B178="","",IFERROR(-BD178,"n.b."))</f>
        <v/>
      </c>
      <c r="CR178" s="124" t="str">
        <f>IF($B178="","",IFERROR(-BE178,"n.b."))</f>
        <v/>
      </c>
      <c r="CS178" s="124" t="str">
        <f>IF($B178="","",IFERROR(IF(OR(ABS(T178+V178+X178+Z178-AB178)&gt;P_Tol,ABS(U178+W178+Y178+AA178-AD178)&gt;P_Tol,ABS(AE178+AG178+AI178+AK178-AM178)&gt;P_Tol,ABS(AF178+AH178+AJ178+AL178-AO178)&gt;P_Tol),1,0),1))</f>
        <v/>
      </c>
      <c r="CT178" s="124" t="str">
        <f>IF($B178="","",IFERROR(IF(OR(ABS(AB178+AC178-AD178)&gt;P_Tol,ABS(AM178+AN178-AO178)&gt;P_Tol,ABS(O178+P178-Q178)&gt;P_Tol),1,0),1))</f>
        <v/>
      </c>
      <c r="CU178" s="124" t="str">
        <f>IF($B178="","",IFERROR(IF(ABS(R178-(AB178+AM178+AP178+AR178+AT178+AV178+AX178+AZ178+BB178+BD178))&gt;P_Tol,1,0),1))</f>
        <v/>
      </c>
      <c r="CV178" s="124" t="str">
        <f>IF($B178="","",IFERROR(IF(ABS(M178-(N178+O178+R178))&gt;P_Tol,1,0),1))</f>
        <v/>
      </c>
      <c r="CW178" s="124" t="str">
        <f>IF($B178="","",IF(COUNTIF(Mapping!$A$5:$A$104,B178)&gt;0,1,0))</f>
        <v/>
      </c>
      <c r="CX178" s="124" t="str">
        <f>IF($B178="","",COUNTIF($B$6:$B$505,B178))</f>
        <v/>
      </c>
      <c r="CY178" s="124" t="str">
        <f>IF($B178="","",COUNTIF(STG_Woningetalage!$B$6:$B$505,B178))</f>
        <v/>
      </c>
      <c r="CZ178" s="124" t="str">
        <f>IF($B178="","",IF(CW178=0,COUNTIF($CW$6:CW178,0),""))</f>
        <v/>
      </c>
    </row>
    <row r="179">
      <c r="A179" s="15" t="n">
        <v>175</v>
      </c>
      <c r="B179" t="str">
        <f>IF(B$3=0,"",IF(INDEX(SRC_ZPMW03!$A$1:$ZZ$501,$A179,B$3)&amp;""="","",INDEX(SRC_ZPMW03!$A$1:$ZZ$501,$A179,B$3)&amp;""))</f>
        <v/>
      </c>
      <c r="C179" t="str">
        <f>IF($B179="","",IF(C$3=0,"n.b.",INDEX(SRC_ZPMW03!$A$1:$ZZ$501,$A179,C$3)))</f>
        <v/>
      </c>
      <c r="D179" t="str">
        <f>IF($B179="","",IF(D$3=0,"n.b.",INDEX(SRC_ZPMW03!$A$1:$ZZ$501,$A179,D$3)))</f>
        <v/>
      </c>
      <c r="E179" t="str">
        <f>IF($B179="","",IF(E$3=0,"n.b.",INDEX(SRC_ZPMW03!$A$1:$ZZ$501,$A179,E$3)))</f>
        <v/>
      </c>
      <c r="F179" t="str">
        <f>IF($B179="","",IF(F$3=0,"n.b.",INDEX(SRC_ZPMW03!$A$1:$ZZ$501,$A179,F$3)))</f>
        <v/>
      </c>
      <c r="G179" t="str">
        <f>IF($B179="","",IF(G$3=0,"n.b.",INDEX(SRC_ZPMW03!$A$1:$ZZ$501,$A179,G$3)))</f>
        <v/>
      </c>
      <c r="H179" t="str">
        <f>IF($B179="","",IF(H$3=0,"n.b.",INDEX(SRC_ZPMW03!$A$1:$ZZ$501,$A179,H$3)))</f>
        <v/>
      </c>
      <c r="I179" t="str">
        <f>IF($B179="","",IF(I$3=0,"n.b.",INDEX(SRC_ZPMW03!$A$1:$ZZ$501,$A179,I$3)))</f>
        <v/>
      </c>
      <c r="J179" t="str">
        <f>IF($B179="","",IF(J$3=0,"n.b.",INDEX(SRC_ZPMW03!$A$1:$ZZ$501,$A179,J$3)))</f>
        <v/>
      </c>
      <c r="K179" t="str">
        <f>IF($B179="","",IF(K$3=0,"n.b.",INDEX(SRC_ZPMW03!$A$1:$ZZ$501,$A179,K$3)))</f>
        <v/>
      </c>
      <c r="L179" s="124" t="str">
        <f>IF($B179="","",IF(L$3=0,"n.b.",INDEX(SRC_ZPMW03!$A$1:$ZZ$501,$A179,L$3)))</f>
        <v/>
      </c>
      <c r="M179" s="124" t="str">
        <f>IF($B179="","",IF(M$3=0,"n.b.",INDEX(SRC_ZPMW03!$A$1:$ZZ$501,$A179,M$3)))</f>
        <v/>
      </c>
      <c r="N179" s="124" t="str">
        <f>IF($B179="","",IF(N$3=0,"n.b.",INDEX(SRC_ZPMW03!$A$1:$ZZ$501,$A179,N$3)))</f>
        <v/>
      </c>
      <c r="O179" s="124" t="str">
        <f>IF($B179="","",IF(O$3=0,"n.b.",INDEX(SRC_ZPMW03!$A$1:$ZZ$501,$A179,O$3)))</f>
        <v/>
      </c>
      <c r="P179" s="124" t="str">
        <f>IF($B179="","",IF(P$3=0,"n.b.",INDEX(SRC_ZPMW03!$A$1:$ZZ$501,$A179,P$3)))</f>
        <v/>
      </c>
      <c r="Q179" s="124" t="str">
        <f>IF($B179="","",IF(Q$3=0,"n.b.",INDEX(SRC_ZPMW03!$A$1:$ZZ$501,$A179,Q$3)))</f>
        <v/>
      </c>
      <c r="R179" s="124" t="str">
        <f>IF($B179="","",IF(R$3=0,"n.b.",INDEX(SRC_ZPMW03!$A$1:$ZZ$501,$A179,R$3)))</f>
        <v/>
      </c>
      <c r="S179" s="124" t="str">
        <f>IF($B179="","",IF(S$3=0,"n.b.",INDEX(SRC_ZPMW03!$A$1:$ZZ$501,$A179,S$3)))</f>
        <v/>
      </c>
      <c r="T179" s="124" t="str">
        <f>IF($B179="","",IF(T$3=0,"n.b.",INDEX(SRC_ZPMW03!$A$1:$ZZ$501,$A179,T$3)))</f>
        <v/>
      </c>
      <c r="U179" s="124" t="str">
        <f>IF($B179="","",IF(U$3=0,"n.b.",INDEX(SRC_ZPMW03!$A$1:$ZZ$501,$A179,U$3)))</f>
        <v/>
      </c>
      <c r="V179" s="124" t="str">
        <f>IF($B179="","",IF(V$3=0,"n.b.",INDEX(SRC_ZPMW03!$A$1:$ZZ$501,$A179,V$3)))</f>
        <v/>
      </c>
      <c r="W179" s="124" t="str">
        <f>IF($B179="","",IF(W$3=0,"n.b.",INDEX(SRC_ZPMW03!$A$1:$ZZ$501,$A179,W$3)))</f>
        <v/>
      </c>
      <c r="X179" s="124" t="str">
        <f>IF($B179="","",IF(X$3=0,"n.b.",INDEX(SRC_ZPMW03!$A$1:$ZZ$501,$A179,X$3)))</f>
        <v/>
      </c>
      <c r="Y179" s="124" t="str">
        <f>IF($B179="","",IF(Y$3=0,"n.b.",INDEX(SRC_ZPMW03!$A$1:$ZZ$501,$A179,Y$3)))</f>
        <v/>
      </c>
      <c r="Z179" s="124" t="str">
        <f>IF($B179="","",IF(Z$3=0,"n.b.",INDEX(SRC_ZPMW03!$A$1:$ZZ$501,$A179,Z$3)))</f>
        <v/>
      </c>
      <c r="AA179" s="124" t="str">
        <f>IF($B179="","",IF(AA$3=0,"n.b.",INDEX(SRC_ZPMW03!$A$1:$ZZ$501,$A179,AA$3)))</f>
        <v/>
      </c>
      <c r="AB179" s="124" t="str">
        <f>IF($B179="","",IF(AB$3=0,"n.b.",INDEX(SRC_ZPMW03!$A$1:$ZZ$501,$A179,AB$3)))</f>
        <v/>
      </c>
      <c r="AC179" s="124" t="str">
        <f>IF($B179="","",IF(AC$3=0,"n.b.",INDEX(SRC_ZPMW03!$A$1:$ZZ$501,$A179,AC$3)))</f>
        <v/>
      </c>
      <c r="AD179" s="124" t="str">
        <f>IF($B179="","",IF(AD$3=0,"n.b.",INDEX(SRC_ZPMW03!$A$1:$ZZ$501,$A179,AD$3)))</f>
        <v/>
      </c>
      <c r="AE179" s="124" t="str">
        <f>IF($B179="","",IF(AE$3=0,"n.b.",INDEX(SRC_ZPMW03!$A$1:$ZZ$501,$A179,AE$3)))</f>
        <v/>
      </c>
      <c r="AF179" s="124" t="str">
        <f>IF($B179="","",IF(AF$3=0,"n.b.",INDEX(SRC_ZPMW03!$A$1:$ZZ$501,$A179,AF$3)))</f>
        <v/>
      </c>
      <c r="AG179" s="124" t="str">
        <f>IF($B179="","",IF(AG$3=0,"n.b.",INDEX(SRC_ZPMW03!$A$1:$ZZ$501,$A179,AG$3)))</f>
        <v/>
      </c>
      <c r="AH179" s="124" t="str">
        <f>IF($B179="","",IF(AH$3=0,"n.b.",INDEX(SRC_ZPMW03!$A$1:$ZZ$501,$A179,AH$3)))</f>
        <v/>
      </c>
      <c r="AI179" s="124" t="str">
        <f>IF($B179="","",IF(AI$3=0,"n.b.",INDEX(SRC_ZPMW03!$A$1:$ZZ$501,$A179,AI$3)))</f>
        <v/>
      </c>
      <c r="AJ179" s="124" t="str">
        <f>IF($B179="","",IF(AJ$3=0,"n.b.",INDEX(SRC_ZPMW03!$A$1:$ZZ$501,$A179,AJ$3)))</f>
        <v/>
      </c>
      <c r="AK179" s="124" t="str">
        <f>IF($B179="","",IF(AK$3=0,"n.b.",INDEX(SRC_ZPMW03!$A$1:$ZZ$501,$A179,AK$3)))</f>
        <v/>
      </c>
      <c r="AL179" s="124" t="str">
        <f>IF($B179="","",IF(AL$3=0,"n.b.",INDEX(SRC_ZPMW03!$A$1:$ZZ$501,$A179,AL$3)))</f>
        <v/>
      </c>
      <c r="AM179" s="124" t="str">
        <f>IF($B179="","",IF(AM$3=0,"n.b.",INDEX(SRC_ZPMW03!$A$1:$ZZ$501,$A179,AM$3)))</f>
        <v/>
      </c>
      <c r="AN179" s="124" t="str">
        <f>IF($B179="","",IF(AN$3=0,"n.b.",INDEX(SRC_ZPMW03!$A$1:$ZZ$501,$A179,AN$3)))</f>
        <v/>
      </c>
      <c r="AO179" s="124" t="str">
        <f>IF($B179="","",IF(AO$3=0,"n.b.",INDEX(SRC_ZPMW03!$A$1:$ZZ$501,$A179,AO$3)))</f>
        <v/>
      </c>
      <c r="AP179" s="124" t="str">
        <f>IF($B179="","",IF(AP$3=0,"n.b.",INDEX(SRC_ZPMW03!$A$1:$ZZ$501,$A179,AP$3)))</f>
        <v/>
      </c>
      <c r="AQ179" s="124" t="str">
        <f>IF($B179="","",IF(AQ$3=0,"n.b.",INDEX(SRC_ZPMW03!$A$1:$ZZ$501,$A179,AQ$3)))</f>
        <v/>
      </c>
      <c r="AR179" s="124" t="str">
        <f>IF($B179="","",IF(AR$3=0,"n.b.",INDEX(SRC_ZPMW03!$A$1:$ZZ$501,$A179,AR$3)))</f>
        <v/>
      </c>
      <c r="AS179" s="124" t="str">
        <f>IF($B179="","",IF(AS$3=0,"n.b.",INDEX(SRC_ZPMW03!$A$1:$ZZ$501,$A179,AS$3)))</f>
        <v/>
      </c>
      <c r="AT179" s="124" t="str">
        <f>IF($B179="","",IF(AT$3=0,"n.b.",INDEX(SRC_ZPMW03!$A$1:$ZZ$501,$A179,AT$3)))</f>
        <v/>
      </c>
      <c r="AU179" s="124" t="str">
        <f>IF($B179="","",IF(AU$3=0,"n.b.",INDEX(SRC_ZPMW03!$A$1:$ZZ$501,$A179,AU$3)))</f>
        <v/>
      </c>
      <c r="AV179" s="124" t="str">
        <f>IF($B179="","",IF(AV$3=0,"n.b.",INDEX(SRC_ZPMW03!$A$1:$ZZ$501,$A179,AV$3)))</f>
        <v/>
      </c>
      <c r="AW179" s="124" t="str">
        <f>IF($B179="","",IF(AW$3=0,"n.b.",INDEX(SRC_ZPMW03!$A$1:$ZZ$501,$A179,AW$3)))</f>
        <v/>
      </c>
      <c r="AX179" s="124" t="str">
        <f>IF($B179="","",IF(AX$3=0,"n.b.",INDEX(SRC_ZPMW03!$A$1:$ZZ$501,$A179,AX$3)))</f>
        <v/>
      </c>
      <c r="AY179" s="124" t="str">
        <f>IF($B179="","",IF(AY$3=0,"n.b.",INDEX(SRC_ZPMW03!$A$1:$ZZ$501,$A179,AY$3)))</f>
        <v/>
      </c>
      <c r="AZ179" s="124" t="str">
        <f>IF($B179="","",IF(AZ$3=0,"n.b.",INDEX(SRC_ZPMW03!$A$1:$ZZ$501,$A179,AZ$3)))</f>
        <v/>
      </c>
      <c r="BA179" s="124" t="str">
        <f>IF($B179="","",IF(BA$3=0,"n.b.",INDEX(SRC_ZPMW03!$A$1:$ZZ$501,$A179,BA$3)))</f>
        <v/>
      </c>
      <c r="BB179" s="124" t="str">
        <f>IF($B179="","",IF(BB$3=0,"n.b.",INDEX(SRC_ZPMW03!$A$1:$ZZ$501,$A179,BB$3)))</f>
        <v/>
      </c>
      <c r="BC179" s="124" t="str">
        <f>IF($B179="","",IF(BC$3=0,"n.b.",INDEX(SRC_ZPMW03!$A$1:$ZZ$501,$A179,BC$3)))</f>
        <v/>
      </c>
      <c r="BD179" s="124" t="str">
        <f>IF($B179="","",IF(BD$3=0,"n.b.",INDEX(SRC_ZPMW03!$A$1:$ZZ$501,$A179,BD$3)))</f>
        <v/>
      </c>
      <c r="BE179" s="124" t="str">
        <f>IF($B179="","",IF(BE$3=0,"n.b.",INDEX(SRC_ZPMW03!$A$1:$ZZ$501,$A179,BE$3)))</f>
        <v/>
      </c>
      <c r="BF179" s="124" t="str">
        <f>IF($B179="","",IF(BF$3=0,"n.b.",INDEX(SRC_ZPMW03!$A$1:$ZZ$501,$A179,BF$3)))</f>
        <v/>
      </c>
      <c r="BG179" t="str">
        <f>IF($B179="","",IF(BG$3=0,"n.b.",INDEX(SRC_ZPMW03!$A$1:$ZZ$501,$A179,BG$3)))</f>
        <v/>
      </c>
      <c r="BH179" t="str">
        <f>IF($B179="","",IF(BH$3=0,"n.b.",INDEX(SRC_ZPMW03!$A$1:$ZZ$501,$A179,BH$3)))</f>
        <v/>
      </c>
      <c r="BI179" t="str">
        <f>IF($B179="","",IF(BI$3=0,"n.b.",INDEX(SRC_ZPMW03!$A$1:$ZZ$501,$A179,BI$3)))</f>
        <v/>
      </c>
      <c r="BJ179" t="str">
        <f>IF($B179="","",IF(BJ$3=0,"n.b.",INDEX(SRC_ZPMW03!$A$1:$ZZ$501,$A179,BJ$3)))</f>
        <v/>
      </c>
      <c r="BK179" s="124" t="str">
        <f>IF($B179="","",IFERROR(-O179,"n.b."))</f>
        <v/>
      </c>
      <c r="BL179" s="124" t="str">
        <f>IF($B179="","",IFERROR(-Q179,"n.b."))</f>
        <v/>
      </c>
      <c r="BM179" s="124" t="str">
        <f>IF($B179="","",IFERROR(-AB179,"n.b."))</f>
        <v/>
      </c>
      <c r="BN179" s="124" t="str">
        <f>IF($B179="","",IFERROR(-AD179,"n.b."))</f>
        <v/>
      </c>
      <c r="BO179" s="124" t="str">
        <f>IF($B179="","",IFERROR(BK179+BM179,"n.b."))</f>
        <v/>
      </c>
      <c r="BP179" s="124" t="str">
        <f>IF($B179="","",IFERROR(BL179+BN179,"n.b."))</f>
        <v/>
      </c>
      <c r="BQ179" s="124" t="str">
        <f>IF($B179="","",IFERROR(-AM179,"n.b."))</f>
        <v/>
      </c>
      <c r="BR179" s="124" t="str">
        <f>IF($B179="","",IFERROR(-AO179,"n.b."))</f>
        <v/>
      </c>
      <c r="BS179" s="124" t="str">
        <f>IF($B179="","",IFERROR(-Z179,"n.b."))</f>
        <v/>
      </c>
      <c r="BT179" s="124" t="str">
        <f>IF($B179="","",IFERROR(-AA179,"n.b."))</f>
        <v/>
      </c>
      <c r="BU179" s="124" t="str">
        <f>IF($B179="","",IFERROR(-AE179,"n.b."))</f>
        <v/>
      </c>
      <c r="BV179" s="124" t="str">
        <f>IF($B179="","",IFERROR(-AF179,"n.b."))</f>
        <v/>
      </c>
      <c r="BW179" s="124" t="str">
        <f>IF($B179="","",IFERROR(-AG179,"n.b."))</f>
        <v/>
      </c>
      <c r="BX179" s="124" t="str">
        <f>IF($B179="","",IFERROR(-AH179,"n.b."))</f>
        <v/>
      </c>
      <c r="BY179" s="124" t="str">
        <f>IF($B179="","",IFERROR(-AI179,"n.b."))</f>
        <v/>
      </c>
      <c r="BZ179" s="124" t="str">
        <f>IF($B179="","",IFERROR(-AJ179,"n.b."))</f>
        <v/>
      </c>
      <c r="CA179" s="124" t="str">
        <f>IF($B179="","",IFERROR(-AK179,"n.b."))</f>
        <v/>
      </c>
      <c r="CB179" s="124" t="str">
        <f>IF($B179="","",IFERROR(-AL179,"n.b."))</f>
        <v/>
      </c>
      <c r="CC179" s="124" t="str">
        <f>IF($B179="","",IFERROR(-AP179,"n.b."))</f>
        <v/>
      </c>
      <c r="CD179" s="124" t="str">
        <f>IF($B179="","",IFERROR(-AQ179,"n.b."))</f>
        <v/>
      </c>
      <c r="CE179" s="124" t="str">
        <f>IF($B179="","",IFERROR(-AR179,"n.b."))</f>
        <v/>
      </c>
      <c r="CF179" s="124" t="str">
        <f>IF($B179="","",IFERROR(-AS179,"n.b."))</f>
        <v/>
      </c>
      <c r="CG179" s="124" t="str">
        <f>IF($B179="","",IFERROR(-AT179,"n.b."))</f>
        <v/>
      </c>
      <c r="CH179" s="124" t="str">
        <f>IF($B179="","",IFERROR(-AU179,"n.b."))</f>
        <v/>
      </c>
      <c r="CI179" s="124" t="str">
        <f>IF($B179="","",IFERROR(-AV179,"n.b."))</f>
        <v/>
      </c>
      <c r="CJ179" s="124" t="str">
        <f>IF($B179="","",IFERROR(-AW179,"n.b."))</f>
        <v/>
      </c>
      <c r="CK179" s="124" t="str">
        <f>IF($B179="","",IFERROR(-AX179,"n.b."))</f>
        <v/>
      </c>
      <c r="CL179" s="124" t="str">
        <f>IF($B179="","",IFERROR(-AY179,"n.b."))</f>
        <v/>
      </c>
      <c r="CM179" s="124" t="str">
        <f>IF($B179="","",IFERROR(-AZ179,"n.b."))</f>
        <v/>
      </c>
      <c r="CN179" s="124" t="str">
        <f>IF($B179="","",IFERROR(-BA179,"n.b."))</f>
        <v/>
      </c>
      <c r="CO179" s="124" t="str">
        <f>IF($B179="","",IFERROR(-BB179,"n.b."))</f>
        <v/>
      </c>
      <c r="CP179" s="124" t="str">
        <f>IF($B179="","",IFERROR(-BC179,"n.b."))</f>
        <v/>
      </c>
      <c r="CQ179" s="124" t="str">
        <f>IF($B179="","",IFERROR(-BD179,"n.b."))</f>
        <v/>
      </c>
      <c r="CR179" s="124" t="str">
        <f>IF($B179="","",IFERROR(-BE179,"n.b."))</f>
        <v/>
      </c>
      <c r="CS179" s="124" t="str">
        <f>IF($B179="","",IFERROR(IF(OR(ABS(T179+V179+X179+Z179-AB179)&gt;P_Tol,ABS(U179+W179+Y179+AA179-AD179)&gt;P_Tol,ABS(AE179+AG179+AI179+AK179-AM179)&gt;P_Tol,ABS(AF179+AH179+AJ179+AL179-AO179)&gt;P_Tol),1,0),1))</f>
        <v/>
      </c>
      <c r="CT179" s="124" t="str">
        <f>IF($B179="","",IFERROR(IF(OR(ABS(AB179+AC179-AD179)&gt;P_Tol,ABS(AM179+AN179-AO179)&gt;P_Tol,ABS(O179+P179-Q179)&gt;P_Tol),1,0),1))</f>
        <v/>
      </c>
      <c r="CU179" s="124" t="str">
        <f>IF($B179="","",IFERROR(IF(ABS(R179-(AB179+AM179+AP179+AR179+AT179+AV179+AX179+AZ179+BB179+BD179))&gt;P_Tol,1,0),1))</f>
        <v/>
      </c>
      <c r="CV179" s="124" t="str">
        <f>IF($B179="","",IFERROR(IF(ABS(M179-(N179+O179+R179))&gt;P_Tol,1,0),1))</f>
        <v/>
      </c>
      <c r="CW179" s="124" t="str">
        <f>IF($B179="","",IF(COUNTIF(Mapping!$A$5:$A$104,B179)&gt;0,1,0))</f>
        <v/>
      </c>
      <c r="CX179" s="124" t="str">
        <f>IF($B179="","",COUNTIF($B$6:$B$505,B179))</f>
        <v/>
      </c>
      <c r="CY179" s="124" t="str">
        <f>IF($B179="","",COUNTIF(STG_Woningetalage!$B$6:$B$505,B179))</f>
        <v/>
      </c>
      <c r="CZ179" s="124" t="str">
        <f>IF($B179="","",IF(CW179=0,COUNTIF($CW$6:CW179,0),""))</f>
        <v/>
      </c>
    </row>
    <row r="180">
      <c r="A180" s="15" t="n">
        <v>176</v>
      </c>
      <c r="B180" t="str">
        <f>IF(B$3=0,"",IF(INDEX(SRC_ZPMW03!$A$1:$ZZ$501,$A180,B$3)&amp;""="","",INDEX(SRC_ZPMW03!$A$1:$ZZ$501,$A180,B$3)&amp;""))</f>
        <v/>
      </c>
      <c r="C180" t="str">
        <f>IF($B180="","",IF(C$3=0,"n.b.",INDEX(SRC_ZPMW03!$A$1:$ZZ$501,$A180,C$3)))</f>
        <v/>
      </c>
      <c r="D180" t="str">
        <f>IF($B180="","",IF(D$3=0,"n.b.",INDEX(SRC_ZPMW03!$A$1:$ZZ$501,$A180,D$3)))</f>
        <v/>
      </c>
      <c r="E180" t="str">
        <f>IF($B180="","",IF(E$3=0,"n.b.",INDEX(SRC_ZPMW03!$A$1:$ZZ$501,$A180,E$3)))</f>
        <v/>
      </c>
      <c r="F180" t="str">
        <f>IF($B180="","",IF(F$3=0,"n.b.",INDEX(SRC_ZPMW03!$A$1:$ZZ$501,$A180,F$3)))</f>
        <v/>
      </c>
      <c r="G180" t="str">
        <f>IF($B180="","",IF(G$3=0,"n.b.",INDEX(SRC_ZPMW03!$A$1:$ZZ$501,$A180,G$3)))</f>
        <v/>
      </c>
      <c r="H180" t="str">
        <f>IF($B180="","",IF(H$3=0,"n.b.",INDEX(SRC_ZPMW03!$A$1:$ZZ$501,$A180,H$3)))</f>
        <v/>
      </c>
      <c r="I180" t="str">
        <f>IF($B180="","",IF(I$3=0,"n.b.",INDEX(SRC_ZPMW03!$A$1:$ZZ$501,$A180,I$3)))</f>
        <v/>
      </c>
      <c r="J180" t="str">
        <f>IF($B180="","",IF(J$3=0,"n.b.",INDEX(SRC_ZPMW03!$A$1:$ZZ$501,$A180,J$3)))</f>
        <v/>
      </c>
      <c r="K180" t="str">
        <f>IF($B180="","",IF(K$3=0,"n.b.",INDEX(SRC_ZPMW03!$A$1:$ZZ$501,$A180,K$3)))</f>
        <v/>
      </c>
      <c r="L180" s="124" t="str">
        <f>IF($B180="","",IF(L$3=0,"n.b.",INDEX(SRC_ZPMW03!$A$1:$ZZ$501,$A180,L$3)))</f>
        <v/>
      </c>
      <c r="M180" s="124" t="str">
        <f>IF($B180="","",IF(M$3=0,"n.b.",INDEX(SRC_ZPMW03!$A$1:$ZZ$501,$A180,M$3)))</f>
        <v/>
      </c>
      <c r="N180" s="124" t="str">
        <f>IF($B180="","",IF(N$3=0,"n.b.",INDEX(SRC_ZPMW03!$A$1:$ZZ$501,$A180,N$3)))</f>
        <v/>
      </c>
      <c r="O180" s="124" t="str">
        <f>IF($B180="","",IF(O$3=0,"n.b.",INDEX(SRC_ZPMW03!$A$1:$ZZ$501,$A180,O$3)))</f>
        <v/>
      </c>
      <c r="P180" s="124" t="str">
        <f>IF($B180="","",IF(P$3=0,"n.b.",INDEX(SRC_ZPMW03!$A$1:$ZZ$501,$A180,P$3)))</f>
        <v/>
      </c>
      <c r="Q180" s="124" t="str">
        <f>IF($B180="","",IF(Q$3=0,"n.b.",INDEX(SRC_ZPMW03!$A$1:$ZZ$501,$A180,Q$3)))</f>
        <v/>
      </c>
      <c r="R180" s="124" t="str">
        <f>IF($B180="","",IF(R$3=0,"n.b.",INDEX(SRC_ZPMW03!$A$1:$ZZ$501,$A180,R$3)))</f>
        <v/>
      </c>
      <c r="S180" s="124" t="str">
        <f>IF($B180="","",IF(S$3=0,"n.b.",INDEX(SRC_ZPMW03!$A$1:$ZZ$501,$A180,S$3)))</f>
        <v/>
      </c>
      <c r="T180" s="124" t="str">
        <f>IF($B180="","",IF(T$3=0,"n.b.",INDEX(SRC_ZPMW03!$A$1:$ZZ$501,$A180,T$3)))</f>
        <v/>
      </c>
      <c r="U180" s="124" t="str">
        <f>IF($B180="","",IF(U$3=0,"n.b.",INDEX(SRC_ZPMW03!$A$1:$ZZ$501,$A180,U$3)))</f>
        <v/>
      </c>
      <c r="V180" s="124" t="str">
        <f>IF($B180="","",IF(V$3=0,"n.b.",INDEX(SRC_ZPMW03!$A$1:$ZZ$501,$A180,V$3)))</f>
        <v/>
      </c>
      <c r="W180" s="124" t="str">
        <f>IF($B180="","",IF(W$3=0,"n.b.",INDEX(SRC_ZPMW03!$A$1:$ZZ$501,$A180,W$3)))</f>
        <v/>
      </c>
      <c r="X180" s="124" t="str">
        <f>IF($B180="","",IF(X$3=0,"n.b.",INDEX(SRC_ZPMW03!$A$1:$ZZ$501,$A180,X$3)))</f>
        <v/>
      </c>
      <c r="Y180" s="124" t="str">
        <f>IF($B180="","",IF(Y$3=0,"n.b.",INDEX(SRC_ZPMW03!$A$1:$ZZ$501,$A180,Y$3)))</f>
        <v/>
      </c>
      <c r="Z180" s="124" t="str">
        <f>IF($B180="","",IF(Z$3=0,"n.b.",INDEX(SRC_ZPMW03!$A$1:$ZZ$501,$A180,Z$3)))</f>
        <v/>
      </c>
      <c r="AA180" s="124" t="str">
        <f>IF($B180="","",IF(AA$3=0,"n.b.",INDEX(SRC_ZPMW03!$A$1:$ZZ$501,$A180,AA$3)))</f>
        <v/>
      </c>
      <c r="AB180" s="124" t="str">
        <f>IF($B180="","",IF(AB$3=0,"n.b.",INDEX(SRC_ZPMW03!$A$1:$ZZ$501,$A180,AB$3)))</f>
        <v/>
      </c>
      <c r="AC180" s="124" t="str">
        <f>IF($B180="","",IF(AC$3=0,"n.b.",INDEX(SRC_ZPMW03!$A$1:$ZZ$501,$A180,AC$3)))</f>
        <v/>
      </c>
      <c r="AD180" s="124" t="str">
        <f>IF($B180="","",IF(AD$3=0,"n.b.",INDEX(SRC_ZPMW03!$A$1:$ZZ$501,$A180,AD$3)))</f>
        <v/>
      </c>
      <c r="AE180" s="124" t="str">
        <f>IF($B180="","",IF(AE$3=0,"n.b.",INDEX(SRC_ZPMW03!$A$1:$ZZ$501,$A180,AE$3)))</f>
        <v/>
      </c>
      <c r="AF180" s="124" t="str">
        <f>IF($B180="","",IF(AF$3=0,"n.b.",INDEX(SRC_ZPMW03!$A$1:$ZZ$501,$A180,AF$3)))</f>
        <v/>
      </c>
      <c r="AG180" s="124" t="str">
        <f>IF($B180="","",IF(AG$3=0,"n.b.",INDEX(SRC_ZPMW03!$A$1:$ZZ$501,$A180,AG$3)))</f>
        <v/>
      </c>
      <c r="AH180" s="124" t="str">
        <f>IF($B180="","",IF(AH$3=0,"n.b.",INDEX(SRC_ZPMW03!$A$1:$ZZ$501,$A180,AH$3)))</f>
        <v/>
      </c>
      <c r="AI180" s="124" t="str">
        <f>IF($B180="","",IF(AI$3=0,"n.b.",INDEX(SRC_ZPMW03!$A$1:$ZZ$501,$A180,AI$3)))</f>
        <v/>
      </c>
      <c r="AJ180" s="124" t="str">
        <f>IF($B180="","",IF(AJ$3=0,"n.b.",INDEX(SRC_ZPMW03!$A$1:$ZZ$501,$A180,AJ$3)))</f>
        <v/>
      </c>
      <c r="AK180" s="124" t="str">
        <f>IF($B180="","",IF(AK$3=0,"n.b.",INDEX(SRC_ZPMW03!$A$1:$ZZ$501,$A180,AK$3)))</f>
        <v/>
      </c>
      <c r="AL180" s="124" t="str">
        <f>IF($B180="","",IF(AL$3=0,"n.b.",INDEX(SRC_ZPMW03!$A$1:$ZZ$501,$A180,AL$3)))</f>
        <v/>
      </c>
      <c r="AM180" s="124" t="str">
        <f>IF($B180="","",IF(AM$3=0,"n.b.",INDEX(SRC_ZPMW03!$A$1:$ZZ$501,$A180,AM$3)))</f>
        <v/>
      </c>
      <c r="AN180" s="124" t="str">
        <f>IF($B180="","",IF(AN$3=0,"n.b.",INDEX(SRC_ZPMW03!$A$1:$ZZ$501,$A180,AN$3)))</f>
        <v/>
      </c>
      <c r="AO180" s="124" t="str">
        <f>IF($B180="","",IF(AO$3=0,"n.b.",INDEX(SRC_ZPMW03!$A$1:$ZZ$501,$A180,AO$3)))</f>
        <v/>
      </c>
      <c r="AP180" s="124" t="str">
        <f>IF($B180="","",IF(AP$3=0,"n.b.",INDEX(SRC_ZPMW03!$A$1:$ZZ$501,$A180,AP$3)))</f>
        <v/>
      </c>
      <c r="AQ180" s="124" t="str">
        <f>IF($B180="","",IF(AQ$3=0,"n.b.",INDEX(SRC_ZPMW03!$A$1:$ZZ$501,$A180,AQ$3)))</f>
        <v/>
      </c>
      <c r="AR180" s="124" t="str">
        <f>IF($B180="","",IF(AR$3=0,"n.b.",INDEX(SRC_ZPMW03!$A$1:$ZZ$501,$A180,AR$3)))</f>
        <v/>
      </c>
      <c r="AS180" s="124" t="str">
        <f>IF($B180="","",IF(AS$3=0,"n.b.",INDEX(SRC_ZPMW03!$A$1:$ZZ$501,$A180,AS$3)))</f>
        <v/>
      </c>
      <c r="AT180" s="124" t="str">
        <f>IF($B180="","",IF(AT$3=0,"n.b.",INDEX(SRC_ZPMW03!$A$1:$ZZ$501,$A180,AT$3)))</f>
        <v/>
      </c>
      <c r="AU180" s="124" t="str">
        <f>IF($B180="","",IF(AU$3=0,"n.b.",INDEX(SRC_ZPMW03!$A$1:$ZZ$501,$A180,AU$3)))</f>
        <v/>
      </c>
      <c r="AV180" s="124" t="str">
        <f>IF($B180="","",IF(AV$3=0,"n.b.",INDEX(SRC_ZPMW03!$A$1:$ZZ$501,$A180,AV$3)))</f>
        <v/>
      </c>
      <c r="AW180" s="124" t="str">
        <f>IF($B180="","",IF(AW$3=0,"n.b.",INDEX(SRC_ZPMW03!$A$1:$ZZ$501,$A180,AW$3)))</f>
        <v/>
      </c>
      <c r="AX180" s="124" t="str">
        <f>IF($B180="","",IF(AX$3=0,"n.b.",INDEX(SRC_ZPMW03!$A$1:$ZZ$501,$A180,AX$3)))</f>
        <v/>
      </c>
      <c r="AY180" s="124" t="str">
        <f>IF($B180="","",IF(AY$3=0,"n.b.",INDEX(SRC_ZPMW03!$A$1:$ZZ$501,$A180,AY$3)))</f>
        <v/>
      </c>
      <c r="AZ180" s="124" t="str">
        <f>IF($B180="","",IF(AZ$3=0,"n.b.",INDEX(SRC_ZPMW03!$A$1:$ZZ$501,$A180,AZ$3)))</f>
        <v/>
      </c>
      <c r="BA180" s="124" t="str">
        <f>IF($B180="","",IF(BA$3=0,"n.b.",INDEX(SRC_ZPMW03!$A$1:$ZZ$501,$A180,BA$3)))</f>
        <v/>
      </c>
      <c r="BB180" s="124" t="str">
        <f>IF($B180="","",IF(BB$3=0,"n.b.",INDEX(SRC_ZPMW03!$A$1:$ZZ$501,$A180,BB$3)))</f>
        <v/>
      </c>
      <c r="BC180" s="124" t="str">
        <f>IF($B180="","",IF(BC$3=0,"n.b.",INDEX(SRC_ZPMW03!$A$1:$ZZ$501,$A180,BC$3)))</f>
        <v/>
      </c>
      <c r="BD180" s="124" t="str">
        <f>IF($B180="","",IF(BD$3=0,"n.b.",INDEX(SRC_ZPMW03!$A$1:$ZZ$501,$A180,BD$3)))</f>
        <v/>
      </c>
      <c r="BE180" s="124" t="str">
        <f>IF($B180="","",IF(BE$3=0,"n.b.",INDEX(SRC_ZPMW03!$A$1:$ZZ$501,$A180,BE$3)))</f>
        <v/>
      </c>
      <c r="BF180" s="124" t="str">
        <f>IF($B180="","",IF(BF$3=0,"n.b.",INDEX(SRC_ZPMW03!$A$1:$ZZ$501,$A180,BF$3)))</f>
        <v/>
      </c>
      <c r="BG180" t="str">
        <f>IF($B180="","",IF(BG$3=0,"n.b.",INDEX(SRC_ZPMW03!$A$1:$ZZ$501,$A180,BG$3)))</f>
        <v/>
      </c>
      <c r="BH180" t="str">
        <f>IF($B180="","",IF(BH$3=0,"n.b.",INDEX(SRC_ZPMW03!$A$1:$ZZ$501,$A180,BH$3)))</f>
        <v/>
      </c>
      <c r="BI180" t="str">
        <f>IF($B180="","",IF(BI$3=0,"n.b.",INDEX(SRC_ZPMW03!$A$1:$ZZ$501,$A180,BI$3)))</f>
        <v/>
      </c>
      <c r="BJ180" t="str">
        <f>IF($B180="","",IF(BJ$3=0,"n.b.",INDEX(SRC_ZPMW03!$A$1:$ZZ$501,$A180,BJ$3)))</f>
        <v/>
      </c>
      <c r="BK180" s="124" t="str">
        <f>IF($B180="","",IFERROR(-O180,"n.b."))</f>
        <v/>
      </c>
      <c r="BL180" s="124" t="str">
        <f>IF($B180="","",IFERROR(-Q180,"n.b."))</f>
        <v/>
      </c>
      <c r="BM180" s="124" t="str">
        <f>IF($B180="","",IFERROR(-AB180,"n.b."))</f>
        <v/>
      </c>
      <c r="BN180" s="124" t="str">
        <f>IF($B180="","",IFERROR(-AD180,"n.b."))</f>
        <v/>
      </c>
      <c r="BO180" s="124" t="str">
        <f>IF($B180="","",IFERROR(BK180+BM180,"n.b."))</f>
        <v/>
      </c>
      <c r="BP180" s="124" t="str">
        <f>IF($B180="","",IFERROR(BL180+BN180,"n.b."))</f>
        <v/>
      </c>
      <c r="BQ180" s="124" t="str">
        <f>IF($B180="","",IFERROR(-AM180,"n.b."))</f>
        <v/>
      </c>
      <c r="BR180" s="124" t="str">
        <f>IF($B180="","",IFERROR(-AO180,"n.b."))</f>
        <v/>
      </c>
      <c r="BS180" s="124" t="str">
        <f>IF($B180="","",IFERROR(-Z180,"n.b."))</f>
        <v/>
      </c>
      <c r="BT180" s="124" t="str">
        <f>IF($B180="","",IFERROR(-AA180,"n.b."))</f>
        <v/>
      </c>
      <c r="BU180" s="124" t="str">
        <f>IF($B180="","",IFERROR(-AE180,"n.b."))</f>
        <v/>
      </c>
      <c r="BV180" s="124" t="str">
        <f>IF($B180="","",IFERROR(-AF180,"n.b."))</f>
        <v/>
      </c>
      <c r="BW180" s="124" t="str">
        <f>IF($B180="","",IFERROR(-AG180,"n.b."))</f>
        <v/>
      </c>
      <c r="BX180" s="124" t="str">
        <f>IF($B180="","",IFERROR(-AH180,"n.b."))</f>
        <v/>
      </c>
      <c r="BY180" s="124" t="str">
        <f>IF($B180="","",IFERROR(-AI180,"n.b."))</f>
        <v/>
      </c>
      <c r="BZ180" s="124" t="str">
        <f>IF($B180="","",IFERROR(-AJ180,"n.b."))</f>
        <v/>
      </c>
      <c r="CA180" s="124" t="str">
        <f>IF($B180="","",IFERROR(-AK180,"n.b."))</f>
        <v/>
      </c>
      <c r="CB180" s="124" t="str">
        <f>IF($B180="","",IFERROR(-AL180,"n.b."))</f>
        <v/>
      </c>
      <c r="CC180" s="124" t="str">
        <f>IF($B180="","",IFERROR(-AP180,"n.b."))</f>
        <v/>
      </c>
      <c r="CD180" s="124" t="str">
        <f>IF($B180="","",IFERROR(-AQ180,"n.b."))</f>
        <v/>
      </c>
      <c r="CE180" s="124" t="str">
        <f>IF($B180="","",IFERROR(-AR180,"n.b."))</f>
        <v/>
      </c>
      <c r="CF180" s="124" t="str">
        <f>IF($B180="","",IFERROR(-AS180,"n.b."))</f>
        <v/>
      </c>
      <c r="CG180" s="124" t="str">
        <f>IF($B180="","",IFERROR(-AT180,"n.b."))</f>
        <v/>
      </c>
      <c r="CH180" s="124" t="str">
        <f>IF($B180="","",IFERROR(-AU180,"n.b."))</f>
        <v/>
      </c>
      <c r="CI180" s="124" t="str">
        <f>IF($B180="","",IFERROR(-AV180,"n.b."))</f>
        <v/>
      </c>
      <c r="CJ180" s="124" t="str">
        <f>IF($B180="","",IFERROR(-AW180,"n.b."))</f>
        <v/>
      </c>
      <c r="CK180" s="124" t="str">
        <f>IF($B180="","",IFERROR(-AX180,"n.b."))</f>
        <v/>
      </c>
      <c r="CL180" s="124" t="str">
        <f>IF($B180="","",IFERROR(-AY180,"n.b."))</f>
        <v/>
      </c>
      <c r="CM180" s="124" t="str">
        <f>IF($B180="","",IFERROR(-AZ180,"n.b."))</f>
        <v/>
      </c>
      <c r="CN180" s="124" t="str">
        <f>IF($B180="","",IFERROR(-BA180,"n.b."))</f>
        <v/>
      </c>
      <c r="CO180" s="124" t="str">
        <f>IF($B180="","",IFERROR(-BB180,"n.b."))</f>
        <v/>
      </c>
      <c r="CP180" s="124" t="str">
        <f>IF($B180="","",IFERROR(-BC180,"n.b."))</f>
        <v/>
      </c>
      <c r="CQ180" s="124" t="str">
        <f>IF($B180="","",IFERROR(-BD180,"n.b."))</f>
        <v/>
      </c>
      <c r="CR180" s="124" t="str">
        <f>IF($B180="","",IFERROR(-BE180,"n.b."))</f>
        <v/>
      </c>
      <c r="CS180" s="124" t="str">
        <f>IF($B180="","",IFERROR(IF(OR(ABS(T180+V180+X180+Z180-AB180)&gt;P_Tol,ABS(U180+W180+Y180+AA180-AD180)&gt;P_Tol,ABS(AE180+AG180+AI180+AK180-AM180)&gt;P_Tol,ABS(AF180+AH180+AJ180+AL180-AO180)&gt;P_Tol),1,0),1))</f>
        <v/>
      </c>
      <c r="CT180" s="124" t="str">
        <f>IF($B180="","",IFERROR(IF(OR(ABS(AB180+AC180-AD180)&gt;P_Tol,ABS(AM180+AN180-AO180)&gt;P_Tol,ABS(O180+P180-Q180)&gt;P_Tol),1,0),1))</f>
        <v/>
      </c>
      <c r="CU180" s="124" t="str">
        <f>IF($B180="","",IFERROR(IF(ABS(R180-(AB180+AM180+AP180+AR180+AT180+AV180+AX180+AZ180+BB180+BD180))&gt;P_Tol,1,0),1))</f>
        <v/>
      </c>
      <c r="CV180" s="124" t="str">
        <f>IF($B180="","",IFERROR(IF(ABS(M180-(N180+O180+R180))&gt;P_Tol,1,0),1))</f>
        <v/>
      </c>
      <c r="CW180" s="124" t="str">
        <f>IF($B180="","",IF(COUNTIF(Mapping!$A$5:$A$104,B180)&gt;0,1,0))</f>
        <v/>
      </c>
      <c r="CX180" s="124" t="str">
        <f>IF($B180="","",COUNTIF($B$6:$B$505,B180))</f>
        <v/>
      </c>
      <c r="CY180" s="124" t="str">
        <f>IF($B180="","",COUNTIF(STG_Woningetalage!$B$6:$B$505,B180))</f>
        <v/>
      </c>
      <c r="CZ180" s="124" t="str">
        <f>IF($B180="","",IF(CW180=0,COUNTIF($CW$6:CW180,0),""))</f>
        <v/>
      </c>
    </row>
    <row r="181">
      <c r="A181" s="15" t="n">
        <v>177</v>
      </c>
      <c r="B181" t="str">
        <f>IF(B$3=0,"",IF(INDEX(SRC_ZPMW03!$A$1:$ZZ$501,$A181,B$3)&amp;""="","",INDEX(SRC_ZPMW03!$A$1:$ZZ$501,$A181,B$3)&amp;""))</f>
        <v/>
      </c>
      <c r="C181" t="str">
        <f>IF($B181="","",IF(C$3=0,"n.b.",INDEX(SRC_ZPMW03!$A$1:$ZZ$501,$A181,C$3)))</f>
        <v/>
      </c>
      <c r="D181" t="str">
        <f>IF($B181="","",IF(D$3=0,"n.b.",INDEX(SRC_ZPMW03!$A$1:$ZZ$501,$A181,D$3)))</f>
        <v/>
      </c>
      <c r="E181" t="str">
        <f>IF($B181="","",IF(E$3=0,"n.b.",INDEX(SRC_ZPMW03!$A$1:$ZZ$501,$A181,E$3)))</f>
        <v/>
      </c>
      <c r="F181" t="str">
        <f>IF($B181="","",IF(F$3=0,"n.b.",INDEX(SRC_ZPMW03!$A$1:$ZZ$501,$A181,F$3)))</f>
        <v/>
      </c>
      <c r="G181" t="str">
        <f>IF($B181="","",IF(G$3=0,"n.b.",INDEX(SRC_ZPMW03!$A$1:$ZZ$501,$A181,G$3)))</f>
        <v/>
      </c>
      <c r="H181" t="str">
        <f>IF($B181="","",IF(H$3=0,"n.b.",INDEX(SRC_ZPMW03!$A$1:$ZZ$501,$A181,H$3)))</f>
        <v/>
      </c>
      <c r="I181" t="str">
        <f>IF($B181="","",IF(I$3=0,"n.b.",INDEX(SRC_ZPMW03!$A$1:$ZZ$501,$A181,I$3)))</f>
        <v/>
      </c>
      <c r="J181" t="str">
        <f>IF($B181="","",IF(J$3=0,"n.b.",INDEX(SRC_ZPMW03!$A$1:$ZZ$501,$A181,J$3)))</f>
        <v/>
      </c>
      <c r="K181" t="str">
        <f>IF($B181="","",IF(K$3=0,"n.b.",INDEX(SRC_ZPMW03!$A$1:$ZZ$501,$A181,K$3)))</f>
        <v/>
      </c>
      <c r="L181" s="124" t="str">
        <f>IF($B181="","",IF(L$3=0,"n.b.",INDEX(SRC_ZPMW03!$A$1:$ZZ$501,$A181,L$3)))</f>
        <v/>
      </c>
      <c r="M181" s="124" t="str">
        <f>IF($B181="","",IF(M$3=0,"n.b.",INDEX(SRC_ZPMW03!$A$1:$ZZ$501,$A181,M$3)))</f>
        <v/>
      </c>
      <c r="N181" s="124" t="str">
        <f>IF($B181="","",IF(N$3=0,"n.b.",INDEX(SRC_ZPMW03!$A$1:$ZZ$501,$A181,N$3)))</f>
        <v/>
      </c>
      <c r="O181" s="124" t="str">
        <f>IF($B181="","",IF(O$3=0,"n.b.",INDEX(SRC_ZPMW03!$A$1:$ZZ$501,$A181,O$3)))</f>
        <v/>
      </c>
      <c r="P181" s="124" t="str">
        <f>IF($B181="","",IF(P$3=0,"n.b.",INDEX(SRC_ZPMW03!$A$1:$ZZ$501,$A181,P$3)))</f>
        <v/>
      </c>
      <c r="Q181" s="124" t="str">
        <f>IF($B181="","",IF(Q$3=0,"n.b.",INDEX(SRC_ZPMW03!$A$1:$ZZ$501,$A181,Q$3)))</f>
        <v/>
      </c>
      <c r="R181" s="124" t="str">
        <f>IF($B181="","",IF(R$3=0,"n.b.",INDEX(SRC_ZPMW03!$A$1:$ZZ$501,$A181,R$3)))</f>
        <v/>
      </c>
      <c r="S181" s="124" t="str">
        <f>IF($B181="","",IF(S$3=0,"n.b.",INDEX(SRC_ZPMW03!$A$1:$ZZ$501,$A181,S$3)))</f>
        <v/>
      </c>
      <c r="T181" s="124" t="str">
        <f>IF($B181="","",IF(T$3=0,"n.b.",INDEX(SRC_ZPMW03!$A$1:$ZZ$501,$A181,T$3)))</f>
        <v/>
      </c>
      <c r="U181" s="124" t="str">
        <f>IF($B181="","",IF(U$3=0,"n.b.",INDEX(SRC_ZPMW03!$A$1:$ZZ$501,$A181,U$3)))</f>
        <v/>
      </c>
      <c r="V181" s="124" t="str">
        <f>IF($B181="","",IF(V$3=0,"n.b.",INDEX(SRC_ZPMW03!$A$1:$ZZ$501,$A181,V$3)))</f>
        <v/>
      </c>
      <c r="W181" s="124" t="str">
        <f>IF($B181="","",IF(W$3=0,"n.b.",INDEX(SRC_ZPMW03!$A$1:$ZZ$501,$A181,W$3)))</f>
        <v/>
      </c>
      <c r="X181" s="124" t="str">
        <f>IF($B181="","",IF(X$3=0,"n.b.",INDEX(SRC_ZPMW03!$A$1:$ZZ$501,$A181,X$3)))</f>
        <v/>
      </c>
      <c r="Y181" s="124" t="str">
        <f>IF($B181="","",IF(Y$3=0,"n.b.",INDEX(SRC_ZPMW03!$A$1:$ZZ$501,$A181,Y$3)))</f>
        <v/>
      </c>
      <c r="Z181" s="124" t="str">
        <f>IF($B181="","",IF(Z$3=0,"n.b.",INDEX(SRC_ZPMW03!$A$1:$ZZ$501,$A181,Z$3)))</f>
        <v/>
      </c>
      <c r="AA181" s="124" t="str">
        <f>IF($B181="","",IF(AA$3=0,"n.b.",INDEX(SRC_ZPMW03!$A$1:$ZZ$501,$A181,AA$3)))</f>
        <v/>
      </c>
      <c r="AB181" s="124" t="str">
        <f>IF($B181="","",IF(AB$3=0,"n.b.",INDEX(SRC_ZPMW03!$A$1:$ZZ$501,$A181,AB$3)))</f>
        <v/>
      </c>
      <c r="AC181" s="124" t="str">
        <f>IF($B181="","",IF(AC$3=0,"n.b.",INDEX(SRC_ZPMW03!$A$1:$ZZ$501,$A181,AC$3)))</f>
        <v/>
      </c>
      <c r="AD181" s="124" t="str">
        <f>IF($B181="","",IF(AD$3=0,"n.b.",INDEX(SRC_ZPMW03!$A$1:$ZZ$501,$A181,AD$3)))</f>
        <v/>
      </c>
      <c r="AE181" s="124" t="str">
        <f>IF($B181="","",IF(AE$3=0,"n.b.",INDEX(SRC_ZPMW03!$A$1:$ZZ$501,$A181,AE$3)))</f>
        <v/>
      </c>
      <c r="AF181" s="124" t="str">
        <f>IF($B181="","",IF(AF$3=0,"n.b.",INDEX(SRC_ZPMW03!$A$1:$ZZ$501,$A181,AF$3)))</f>
        <v/>
      </c>
      <c r="AG181" s="124" t="str">
        <f>IF($B181="","",IF(AG$3=0,"n.b.",INDEX(SRC_ZPMW03!$A$1:$ZZ$501,$A181,AG$3)))</f>
        <v/>
      </c>
      <c r="AH181" s="124" t="str">
        <f>IF($B181="","",IF(AH$3=0,"n.b.",INDEX(SRC_ZPMW03!$A$1:$ZZ$501,$A181,AH$3)))</f>
        <v/>
      </c>
      <c r="AI181" s="124" t="str">
        <f>IF($B181="","",IF(AI$3=0,"n.b.",INDEX(SRC_ZPMW03!$A$1:$ZZ$501,$A181,AI$3)))</f>
        <v/>
      </c>
      <c r="AJ181" s="124" t="str">
        <f>IF($B181="","",IF(AJ$3=0,"n.b.",INDEX(SRC_ZPMW03!$A$1:$ZZ$501,$A181,AJ$3)))</f>
        <v/>
      </c>
      <c r="AK181" s="124" t="str">
        <f>IF($B181="","",IF(AK$3=0,"n.b.",INDEX(SRC_ZPMW03!$A$1:$ZZ$501,$A181,AK$3)))</f>
        <v/>
      </c>
      <c r="AL181" s="124" t="str">
        <f>IF($B181="","",IF(AL$3=0,"n.b.",INDEX(SRC_ZPMW03!$A$1:$ZZ$501,$A181,AL$3)))</f>
        <v/>
      </c>
      <c r="AM181" s="124" t="str">
        <f>IF($B181="","",IF(AM$3=0,"n.b.",INDEX(SRC_ZPMW03!$A$1:$ZZ$501,$A181,AM$3)))</f>
        <v/>
      </c>
      <c r="AN181" s="124" t="str">
        <f>IF($B181="","",IF(AN$3=0,"n.b.",INDEX(SRC_ZPMW03!$A$1:$ZZ$501,$A181,AN$3)))</f>
        <v/>
      </c>
      <c r="AO181" s="124" t="str">
        <f>IF($B181="","",IF(AO$3=0,"n.b.",INDEX(SRC_ZPMW03!$A$1:$ZZ$501,$A181,AO$3)))</f>
        <v/>
      </c>
      <c r="AP181" s="124" t="str">
        <f>IF($B181="","",IF(AP$3=0,"n.b.",INDEX(SRC_ZPMW03!$A$1:$ZZ$501,$A181,AP$3)))</f>
        <v/>
      </c>
      <c r="AQ181" s="124" t="str">
        <f>IF($B181="","",IF(AQ$3=0,"n.b.",INDEX(SRC_ZPMW03!$A$1:$ZZ$501,$A181,AQ$3)))</f>
        <v/>
      </c>
      <c r="AR181" s="124" t="str">
        <f>IF($B181="","",IF(AR$3=0,"n.b.",INDEX(SRC_ZPMW03!$A$1:$ZZ$501,$A181,AR$3)))</f>
        <v/>
      </c>
      <c r="AS181" s="124" t="str">
        <f>IF($B181="","",IF(AS$3=0,"n.b.",INDEX(SRC_ZPMW03!$A$1:$ZZ$501,$A181,AS$3)))</f>
        <v/>
      </c>
      <c r="AT181" s="124" t="str">
        <f>IF($B181="","",IF(AT$3=0,"n.b.",INDEX(SRC_ZPMW03!$A$1:$ZZ$501,$A181,AT$3)))</f>
        <v/>
      </c>
      <c r="AU181" s="124" t="str">
        <f>IF($B181="","",IF(AU$3=0,"n.b.",INDEX(SRC_ZPMW03!$A$1:$ZZ$501,$A181,AU$3)))</f>
        <v/>
      </c>
      <c r="AV181" s="124" t="str">
        <f>IF($B181="","",IF(AV$3=0,"n.b.",INDEX(SRC_ZPMW03!$A$1:$ZZ$501,$A181,AV$3)))</f>
        <v/>
      </c>
      <c r="AW181" s="124" t="str">
        <f>IF($B181="","",IF(AW$3=0,"n.b.",INDEX(SRC_ZPMW03!$A$1:$ZZ$501,$A181,AW$3)))</f>
        <v/>
      </c>
      <c r="AX181" s="124" t="str">
        <f>IF($B181="","",IF(AX$3=0,"n.b.",INDEX(SRC_ZPMW03!$A$1:$ZZ$501,$A181,AX$3)))</f>
        <v/>
      </c>
      <c r="AY181" s="124" t="str">
        <f>IF($B181="","",IF(AY$3=0,"n.b.",INDEX(SRC_ZPMW03!$A$1:$ZZ$501,$A181,AY$3)))</f>
        <v/>
      </c>
      <c r="AZ181" s="124" t="str">
        <f>IF($B181="","",IF(AZ$3=0,"n.b.",INDEX(SRC_ZPMW03!$A$1:$ZZ$501,$A181,AZ$3)))</f>
        <v/>
      </c>
      <c r="BA181" s="124" t="str">
        <f>IF($B181="","",IF(BA$3=0,"n.b.",INDEX(SRC_ZPMW03!$A$1:$ZZ$501,$A181,BA$3)))</f>
        <v/>
      </c>
      <c r="BB181" s="124" t="str">
        <f>IF($B181="","",IF(BB$3=0,"n.b.",INDEX(SRC_ZPMW03!$A$1:$ZZ$501,$A181,BB$3)))</f>
        <v/>
      </c>
      <c r="BC181" s="124" t="str">
        <f>IF($B181="","",IF(BC$3=0,"n.b.",INDEX(SRC_ZPMW03!$A$1:$ZZ$501,$A181,BC$3)))</f>
        <v/>
      </c>
      <c r="BD181" s="124" t="str">
        <f>IF($B181="","",IF(BD$3=0,"n.b.",INDEX(SRC_ZPMW03!$A$1:$ZZ$501,$A181,BD$3)))</f>
        <v/>
      </c>
      <c r="BE181" s="124" t="str">
        <f>IF($B181="","",IF(BE$3=0,"n.b.",INDEX(SRC_ZPMW03!$A$1:$ZZ$501,$A181,BE$3)))</f>
        <v/>
      </c>
      <c r="BF181" s="124" t="str">
        <f>IF($B181="","",IF(BF$3=0,"n.b.",INDEX(SRC_ZPMW03!$A$1:$ZZ$501,$A181,BF$3)))</f>
        <v/>
      </c>
      <c r="BG181" t="str">
        <f>IF($B181="","",IF(BG$3=0,"n.b.",INDEX(SRC_ZPMW03!$A$1:$ZZ$501,$A181,BG$3)))</f>
        <v/>
      </c>
      <c r="BH181" t="str">
        <f>IF($B181="","",IF(BH$3=0,"n.b.",INDEX(SRC_ZPMW03!$A$1:$ZZ$501,$A181,BH$3)))</f>
        <v/>
      </c>
      <c r="BI181" t="str">
        <f>IF($B181="","",IF(BI$3=0,"n.b.",INDEX(SRC_ZPMW03!$A$1:$ZZ$501,$A181,BI$3)))</f>
        <v/>
      </c>
      <c r="BJ181" t="str">
        <f>IF($B181="","",IF(BJ$3=0,"n.b.",INDEX(SRC_ZPMW03!$A$1:$ZZ$501,$A181,BJ$3)))</f>
        <v/>
      </c>
      <c r="BK181" s="124" t="str">
        <f>IF($B181="","",IFERROR(-O181,"n.b."))</f>
        <v/>
      </c>
      <c r="BL181" s="124" t="str">
        <f>IF($B181="","",IFERROR(-Q181,"n.b."))</f>
        <v/>
      </c>
      <c r="BM181" s="124" t="str">
        <f>IF($B181="","",IFERROR(-AB181,"n.b."))</f>
        <v/>
      </c>
      <c r="BN181" s="124" t="str">
        <f>IF($B181="","",IFERROR(-AD181,"n.b."))</f>
        <v/>
      </c>
      <c r="BO181" s="124" t="str">
        <f>IF($B181="","",IFERROR(BK181+BM181,"n.b."))</f>
        <v/>
      </c>
      <c r="BP181" s="124" t="str">
        <f>IF($B181="","",IFERROR(BL181+BN181,"n.b."))</f>
        <v/>
      </c>
      <c r="BQ181" s="124" t="str">
        <f>IF($B181="","",IFERROR(-AM181,"n.b."))</f>
        <v/>
      </c>
      <c r="BR181" s="124" t="str">
        <f>IF($B181="","",IFERROR(-AO181,"n.b."))</f>
        <v/>
      </c>
      <c r="BS181" s="124" t="str">
        <f>IF($B181="","",IFERROR(-Z181,"n.b."))</f>
        <v/>
      </c>
      <c r="BT181" s="124" t="str">
        <f>IF($B181="","",IFERROR(-AA181,"n.b."))</f>
        <v/>
      </c>
      <c r="BU181" s="124" t="str">
        <f>IF($B181="","",IFERROR(-AE181,"n.b."))</f>
        <v/>
      </c>
      <c r="BV181" s="124" t="str">
        <f>IF($B181="","",IFERROR(-AF181,"n.b."))</f>
        <v/>
      </c>
      <c r="BW181" s="124" t="str">
        <f>IF($B181="","",IFERROR(-AG181,"n.b."))</f>
        <v/>
      </c>
      <c r="BX181" s="124" t="str">
        <f>IF($B181="","",IFERROR(-AH181,"n.b."))</f>
        <v/>
      </c>
      <c r="BY181" s="124" t="str">
        <f>IF($B181="","",IFERROR(-AI181,"n.b."))</f>
        <v/>
      </c>
      <c r="BZ181" s="124" t="str">
        <f>IF($B181="","",IFERROR(-AJ181,"n.b."))</f>
        <v/>
      </c>
      <c r="CA181" s="124" t="str">
        <f>IF($B181="","",IFERROR(-AK181,"n.b."))</f>
        <v/>
      </c>
      <c r="CB181" s="124" t="str">
        <f>IF($B181="","",IFERROR(-AL181,"n.b."))</f>
        <v/>
      </c>
      <c r="CC181" s="124" t="str">
        <f>IF($B181="","",IFERROR(-AP181,"n.b."))</f>
        <v/>
      </c>
      <c r="CD181" s="124" t="str">
        <f>IF($B181="","",IFERROR(-AQ181,"n.b."))</f>
        <v/>
      </c>
      <c r="CE181" s="124" t="str">
        <f>IF($B181="","",IFERROR(-AR181,"n.b."))</f>
        <v/>
      </c>
      <c r="CF181" s="124" t="str">
        <f>IF($B181="","",IFERROR(-AS181,"n.b."))</f>
        <v/>
      </c>
      <c r="CG181" s="124" t="str">
        <f>IF($B181="","",IFERROR(-AT181,"n.b."))</f>
        <v/>
      </c>
      <c r="CH181" s="124" t="str">
        <f>IF($B181="","",IFERROR(-AU181,"n.b."))</f>
        <v/>
      </c>
      <c r="CI181" s="124" t="str">
        <f>IF($B181="","",IFERROR(-AV181,"n.b."))</f>
        <v/>
      </c>
      <c r="CJ181" s="124" t="str">
        <f>IF($B181="","",IFERROR(-AW181,"n.b."))</f>
        <v/>
      </c>
      <c r="CK181" s="124" t="str">
        <f>IF($B181="","",IFERROR(-AX181,"n.b."))</f>
        <v/>
      </c>
      <c r="CL181" s="124" t="str">
        <f>IF($B181="","",IFERROR(-AY181,"n.b."))</f>
        <v/>
      </c>
      <c r="CM181" s="124" t="str">
        <f>IF($B181="","",IFERROR(-AZ181,"n.b."))</f>
        <v/>
      </c>
      <c r="CN181" s="124" t="str">
        <f>IF($B181="","",IFERROR(-BA181,"n.b."))</f>
        <v/>
      </c>
      <c r="CO181" s="124" t="str">
        <f>IF($B181="","",IFERROR(-BB181,"n.b."))</f>
        <v/>
      </c>
      <c r="CP181" s="124" t="str">
        <f>IF($B181="","",IFERROR(-BC181,"n.b."))</f>
        <v/>
      </c>
      <c r="CQ181" s="124" t="str">
        <f>IF($B181="","",IFERROR(-BD181,"n.b."))</f>
        <v/>
      </c>
      <c r="CR181" s="124" t="str">
        <f>IF($B181="","",IFERROR(-BE181,"n.b."))</f>
        <v/>
      </c>
      <c r="CS181" s="124" t="str">
        <f>IF($B181="","",IFERROR(IF(OR(ABS(T181+V181+X181+Z181-AB181)&gt;P_Tol,ABS(U181+W181+Y181+AA181-AD181)&gt;P_Tol,ABS(AE181+AG181+AI181+AK181-AM181)&gt;P_Tol,ABS(AF181+AH181+AJ181+AL181-AO181)&gt;P_Tol),1,0),1))</f>
        <v/>
      </c>
      <c r="CT181" s="124" t="str">
        <f>IF($B181="","",IFERROR(IF(OR(ABS(AB181+AC181-AD181)&gt;P_Tol,ABS(AM181+AN181-AO181)&gt;P_Tol,ABS(O181+P181-Q181)&gt;P_Tol),1,0),1))</f>
        <v/>
      </c>
      <c r="CU181" s="124" t="str">
        <f>IF($B181="","",IFERROR(IF(ABS(R181-(AB181+AM181+AP181+AR181+AT181+AV181+AX181+AZ181+BB181+BD181))&gt;P_Tol,1,0),1))</f>
        <v/>
      </c>
      <c r="CV181" s="124" t="str">
        <f>IF($B181="","",IFERROR(IF(ABS(M181-(N181+O181+R181))&gt;P_Tol,1,0),1))</f>
        <v/>
      </c>
      <c r="CW181" s="124" t="str">
        <f>IF($B181="","",IF(COUNTIF(Mapping!$A$5:$A$104,B181)&gt;0,1,0))</f>
        <v/>
      </c>
      <c r="CX181" s="124" t="str">
        <f>IF($B181="","",COUNTIF($B$6:$B$505,B181))</f>
        <v/>
      </c>
      <c r="CY181" s="124" t="str">
        <f>IF($B181="","",COUNTIF(STG_Woningetalage!$B$6:$B$505,B181))</f>
        <v/>
      </c>
      <c r="CZ181" s="124" t="str">
        <f>IF($B181="","",IF(CW181=0,COUNTIF($CW$6:CW181,0),""))</f>
        <v/>
      </c>
    </row>
    <row r="182">
      <c r="A182" s="15" t="n">
        <v>178</v>
      </c>
      <c r="B182" t="str">
        <f>IF(B$3=0,"",IF(INDEX(SRC_ZPMW03!$A$1:$ZZ$501,$A182,B$3)&amp;""="","",INDEX(SRC_ZPMW03!$A$1:$ZZ$501,$A182,B$3)&amp;""))</f>
        <v/>
      </c>
      <c r="C182" t="str">
        <f>IF($B182="","",IF(C$3=0,"n.b.",INDEX(SRC_ZPMW03!$A$1:$ZZ$501,$A182,C$3)))</f>
        <v/>
      </c>
      <c r="D182" t="str">
        <f>IF($B182="","",IF(D$3=0,"n.b.",INDEX(SRC_ZPMW03!$A$1:$ZZ$501,$A182,D$3)))</f>
        <v/>
      </c>
      <c r="E182" t="str">
        <f>IF($B182="","",IF(E$3=0,"n.b.",INDEX(SRC_ZPMW03!$A$1:$ZZ$501,$A182,E$3)))</f>
        <v/>
      </c>
      <c r="F182" t="str">
        <f>IF($B182="","",IF(F$3=0,"n.b.",INDEX(SRC_ZPMW03!$A$1:$ZZ$501,$A182,F$3)))</f>
        <v/>
      </c>
      <c r="G182" t="str">
        <f>IF($B182="","",IF(G$3=0,"n.b.",INDEX(SRC_ZPMW03!$A$1:$ZZ$501,$A182,G$3)))</f>
        <v/>
      </c>
      <c r="H182" t="str">
        <f>IF($B182="","",IF(H$3=0,"n.b.",INDEX(SRC_ZPMW03!$A$1:$ZZ$501,$A182,H$3)))</f>
        <v/>
      </c>
      <c r="I182" t="str">
        <f>IF($B182="","",IF(I$3=0,"n.b.",INDEX(SRC_ZPMW03!$A$1:$ZZ$501,$A182,I$3)))</f>
        <v/>
      </c>
      <c r="J182" t="str">
        <f>IF($B182="","",IF(J$3=0,"n.b.",INDEX(SRC_ZPMW03!$A$1:$ZZ$501,$A182,J$3)))</f>
        <v/>
      </c>
      <c r="K182" t="str">
        <f>IF($B182="","",IF(K$3=0,"n.b.",INDEX(SRC_ZPMW03!$A$1:$ZZ$501,$A182,K$3)))</f>
        <v/>
      </c>
      <c r="L182" s="124" t="str">
        <f>IF($B182="","",IF(L$3=0,"n.b.",INDEX(SRC_ZPMW03!$A$1:$ZZ$501,$A182,L$3)))</f>
        <v/>
      </c>
      <c r="M182" s="124" t="str">
        <f>IF($B182="","",IF(M$3=0,"n.b.",INDEX(SRC_ZPMW03!$A$1:$ZZ$501,$A182,M$3)))</f>
        <v/>
      </c>
      <c r="N182" s="124" t="str">
        <f>IF($B182="","",IF(N$3=0,"n.b.",INDEX(SRC_ZPMW03!$A$1:$ZZ$501,$A182,N$3)))</f>
        <v/>
      </c>
      <c r="O182" s="124" t="str">
        <f>IF($B182="","",IF(O$3=0,"n.b.",INDEX(SRC_ZPMW03!$A$1:$ZZ$501,$A182,O$3)))</f>
        <v/>
      </c>
      <c r="P182" s="124" t="str">
        <f>IF($B182="","",IF(P$3=0,"n.b.",INDEX(SRC_ZPMW03!$A$1:$ZZ$501,$A182,P$3)))</f>
        <v/>
      </c>
      <c r="Q182" s="124" t="str">
        <f>IF($B182="","",IF(Q$3=0,"n.b.",INDEX(SRC_ZPMW03!$A$1:$ZZ$501,$A182,Q$3)))</f>
        <v/>
      </c>
      <c r="R182" s="124" t="str">
        <f>IF($B182="","",IF(R$3=0,"n.b.",INDEX(SRC_ZPMW03!$A$1:$ZZ$501,$A182,R$3)))</f>
        <v/>
      </c>
      <c r="S182" s="124" t="str">
        <f>IF($B182="","",IF(S$3=0,"n.b.",INDEX(SRC_ZPMW03!$A$1:$ZZ$501,$A182,S$3)))</f>
        <v/>
      </c>
      <c r="T182" s="124" t="str">
        <f>IF($B182="","",IF(T$3=0,"n.b.",INDEX(SRC_ZPMW03!$A$1:$ZZ$501,$A182,T$3)))</f>
        <v/>
      </c>
      <c r="U182" s="124" t="str">
        <f>IF($B182="","",IF(U$3=0,"n.b.",INDEX(SRC_ZPMW03!$A$1:$ZZ$501,$A182,U$3)))</f>
        <v/>
      </c>
      <c r="V182" s="124" t="str">
        <f>IF($B182="","",IF(V$3=0,"n.b.",INDEX(SRC_ZPMW03!$A$1:$ZZ$501,$A182,V$3)))</f>
        <v/>
      </c>
      <c r="W182" s="124" t="str">
        <f>IF($B182="","",IF(W$3=0,"n.b.",INDEX(SRC_ZPMW03!$A$1:$ZZ$501,$A182,W$3)))</f>
        <v/>
      </c>
      <c r="X182" s="124" t="str">
        <f>IF($B182="","",IF(X$3=0,"n.b.",INDEX(SRC_ZPMW03!$A$1:$ZZ$501,$A182,X$3)))</f>
        <v/>
      </c>
      <c r="Y182" s="124" t="str">
        <f>IF($B182="","",IF(Y$3=0,"n.b.",INDEX(SRC_ZPMW03!$A$1:$ZZ$501,$A182,Y$3)))</f>
        <v/>
      </c>
      <c r="Z182" s="124" t="str">
        <f>IF($B182="","",IF(Z$3=0,"n.b.",INDEX(SRC_ZPMW03!$A$1:$ZZ$501,$A182,Z$3)))</f>
        <v/>
      </c>
      <c r="AA182" s="124" t="str">
        <f>IF($B182="","",IF(AA$3=0,"n.b.",INDEX(SRC_ZPMW03!$A$1:$ZZ$501,$A182,AA$3)))</f>
        <v/>
      </c>
      <c r="AB182" s="124" t="str">
        <f>IF($B182="","",IF(AB$3=0,"n.b.",INDEX(SRC_ZPMW03!$A$1:$ZZ$501,$A182,AB$3)))</f>
        <v/>
      </c>
      <c r="AC182" s="124" t="str">
        <f>IF($B182="","",IF(AC$3=0,"n.b.",INDEX(SRC_ZPMW03!$A$1:$ZZ$501,$A182,AC$3)))</f>
        <v/>
      </c>
      <c r="AD182" s="124" t="str">
        <f>IF($B182="","",IF(AD$3=0,"n.b.",INDEX(SRC_ZPMW03!$A$1:$ZZ$501,$A182,AD$3)))</f>
        <v/>
      </c>
      <c r="AE182" s="124" t="str">
        <f>IF($B182="","",IF(AE$3=0,"n.b.",INDEX(SRC_ZPMW03!$A$1:$ZZ$501,$A182,AE$3)))</f>
        <v/>
      </c>
      <c r="AF182" s="124" t="str">
        <f>IF($B182="","",IF(AF$3=0,"n.b.",INDEX(SRC_ZPMW03!$A$1:$ZZ$501,$A182,AF$3)))</f>
        <v/>
      </c>
      <c r="AG182" s="124" t="str">
        <f>IF($B182="","",IF(AG$3=0,"n.b.",INDEX(SRC_ZPMW03!$A$1:$ZZ$501,$A182,AG$3)))</f>
        <v/>
      </c>
      <c r="AH182" s="124" t="str">
        <f>IF($B182="","",IF(AH$3=0,"n.b.",INDEX(SRC_ZPMW03!$A$1:$ZZ$501,$A182,AH$3)))</f>
        <v/>
      </c>
      <c r="AI182" s="124" t="str">
        <f>IF($B182="","",IF(AI$3=0,"n.b.",INDEX(SRC_ZPMW03!$A$1:$ZZ$501,$A182,AI$3)))</f>
        <v/>
      </c>
      <c r="AJ182" s="124" t="str">
        <f>IF($B182="","",IF(AJ$3=0,"n.b.",INDEX(SRC_ZPMW03!$A$1:$ZZ$501,$A182,AJ$3)))</f>
        <v/>
      </c>
      <c r="AK182" s="124" t="str">
        <f>IF($B182="","",IF(AK$3=0,"n.b.",INDEX(SRC_ZPMW03!$A$1:$ZZ$501,$A182,AK$3)))</f>
        <v/>
      </c>
      <c r="AL182" s="124" t="str">
        <f>IF($B182="","",IF(AL$3=0,"n.b.",INDEX(SRC_ZPMW03!$A$1:$ZZ$501,$A182,AL$3)))</f>
        <v/>
      </c>
      <c r="AM182" s="124" t="str">
        <f>IF($B182="","",IF(AM$3=0,"n.b.",INDEX(SRC_ZPMW03!$A$1:$ZZ$501,$A182,AM$3)))</f>
        <v/>
      </c>
      <c r="AN182" s="124" t="str">
        <f>IF($B182="","",IF(AN$3=0,"n.b.",INDEX(SRC_ZPMW03!$A$1:$ZZ$501,$A182,AN$3)))</f>
        <v/>
      </c>
      <c r="AO182" s="124" t="str">
        <f>IF($B182="","",IF(AO$3=0,"n.b.",INDEX(SRC_ZPMW03!$A$1:$ZZ$501,$A182,AO$3)))</f>
        <v/>
      </c>
      <c r="AP182" s="124" t="str">
        <f>IF($B182="","",IF(AP$3=0,"n.b.",INDEX(SRC_ZPMW03!$A$1:$ZZ$501,$A182,AP$3)))</f>
        <v/>
      </c>
      <c r="AQ182" s="124" t="str">
        <f>IF($B182="","",IF(AQ$3=0,"n.b.",INDEX(SRC_ZPMW03!$A$1:$ZZ$501,$A182,AQ$3)))</f>
        <v/>
      </c>
      <c r="AR182" s="124" t="str">
        <f>IF($B182="","",IF(AR$3=0,"n.b.",INDEX(SRC_ZPMW03!$A$1:$ZZ$501,$A182,AR$3)))</f>
        <v/>
      </c>
      <c r="AS182" s="124" t="str">
        <f>IF($B182="","",IF(AS$3=0,"n.b.",INDEX(SRC_ZPMW03!$A$1:$ZZ$501,$A182,AS$3)))</f>
        <v/>
      </c>
      <c r="AT182" s="124" t="str">
        <f>IF($B182="","",IF(AT$3=0,"n.b.",INDEX(SRC_ZPMW03!$A$1:$ZZ$501,$A182,AT$3)))</f>
        <v/>
      </c>
      <c r="AU182" s="124" t="str">
        <f>IF($B182="","",IF(AU$3=0,"n.b.",INDEX(SRC_ZPMW03!$A$1:$ZZ$501,$A182,AU$3)))</f>
        <v/>
      </c>
      <c r="AV182" s="124" t="str">
        <f>IF($B182="","",IF(AV$3=0,"n.b.",INDEX(SRC_ZPMW03!$A$1:$ZZ$501,$A182,AV$3)))</f>
        <v/>
      </c>
      <c r="AW182" s="124" t="str">
        <f>IF($B182="","",IF(AW$3=0,"n.b.",INDEX(SRC_ZPMW03!$A$1:$ZZ$501,$A182,AW$3)))</f>
        <v/>
      </c>
      <c r="AX182" s="124" t="str">
        <f>IF($B182="","",IF(AX$3=0,"n.b.",INDEX(SRC_ZPMW03!$A$1:$ZZ$501,$A182,AX$3)))</f>
        <v/>
      </c>
      <c r="AY182" s="124" t="str">
        <f>IF($B182="","",IF(AY$3=0,"n.b.",INDEX(SRC_ZPMW03!$A$1:$ZZ$501,$A182,AY$3)))</f>
        <v/>
      </c>
      <c r="AZ182" s="124" t="str">
        <f>IF($B182="","",IF(AZ$3=0,"n.b.",INDEX(SRC_ZPMW03!$A$1:$ZZ$501,$A182,AZ$3)))</f>
        <v/>
      </c>
      <c r="BA182" s="124" t="str">
        <f>IF($B182="","",IF(BA$3=0,"n.b.",INDEX(SRC_ZPMW03!$A$1:$ZZ$501,$A182,BA$3)))</f>
        <v/>
      </c>
      <c r="BB182" s="124" t="str">
        <f>IF($B182="","",IF(BB$3=0,"n.b.",INDEX(SRC_ZPMW03!$A$1:$ZZ$501,$A182,BB$3)))</f>
        <v/>
      </c>
      <c r="BC182" s="124" t="str">
        <f>IF($B182="","",IF(BC$3=0,"n.b.",INDEX(SRC_ZPMW03!$A$1:$ZZ$501,$A182,BC$3)))</f>
        <v/>
      </c>
      <c r="BD182" s="124" t="str">
        <f>IF($B182="","",IF(BD$3=0,"n.b.",INDEX(SRC_ZPMW03!$A$1:$ZZ$501,$A182,BD$3)))</f>
        <v/>
      </c>
      <c r="BE182" s="124" t="str">
        <f>IF($B182="","",IF(BE$3=0,"n.b.",INDEX(SRC_ZPMW03!$A$1:$ZZ$501,$A182,BE$3)))</f>
        <v/>
      </c>
      <c r="BF182" s="124" t="str">
        <f>IF($B182="","",IF(BF$3=0,"n.b.",INDEX(SRC_ZPMW03!$A$1:$ZZ$501,$A182,BF$3)))</f>
        <v/>
      </c>
      <c r="BG182" t="str">
        <f>IF($B182="","",IF(BG$3=0,"n.b.",INDEX(SRC_ZPMW03!$A$1:$ZZ$501,$A182,BG$3)))</f>
        <v/>
      </c>
      <c r="BH182" t="str">
        <f>IF($B182="","",IF(BH$3=0,"n.b.",INDEX(SRC_ZPMW03!$A$1:$ZZ$501,$A182,BH$3)))</f>
        <v/>
      </c>
      <c r="BI182" t="str">
        <f>IF($B182="","",IF(BI$3=0,"n.b.",INDEX(SRC_ZPMW03!$A$1:$ZZ$501,$A182,BI$3)))</f>
        <v/>
      </c>
      <c r="BJ182" t="str">
        <f>IF($B182="","",IF(BJ$3=0,"n.b.",INDEX(SRC_ZPMW03!$A$1:$ZZ$501,$A182,BJ$3)))</f>
        <v/>
      </c>
      <c r="BK182" s="124" t="str">
        <f>IF($B182="","",IFERROR(-O182,"n.b."))</f>
        <v/>
      </c>
      <c r="BL182" s="124" t="str">
        <f>IF($B182="","",IFERROR(-Q182,"n.b."))</f>
        <v/>
      </c>
      <c r="BM182" s="124" t="str">
        <f>IF($B182="","",IFERROR(-AB182,"n.b."))</f>
        <v/>
      </c>
      <c r="BN182" s="124" t="str">
        <f>IF($B182="","",IFERROR(-AD182,"n.b."))</f>
        <v/>
      </c>
      <c r="BO182" s="124" t="str">
        <f>IF($B182="","",IFERROR(BK182+BM182,"n.b."))</f>
        <v/>
      </c>
      <c r="BP182" s="124" t="str">
        <f>IF($B182="","",IFERROR(BL182+BN182,"n.b."))</f>
        <v/>
      </c>
      <c r="BQ182" s="124" t="str">
        <f>IF($B182="","",IFERROR(-AM182,"n.b."))</f>
        <v/>
      </c>
      <c r="BR182" s="124" t="str">
        <f>IF($B182="","",IFERROR(-AO182,"n.b."))</f>
        <v/>
      </c>
      <c r="BS182" s="124" t="str">
        <f>IF($B182="","",IFERROR(-Z182,"n.b."))</f>
        <v/>
      </c>
      <c r="BT182" s="124" t="str">
        <f>IF($B182="","",IFERROR(-AA182,"n.b."))</f>
        <v/>
      </c>
      <c r="BU182" s="124" t="str">
        <f>IF($B182="","",IFERROR(-AE182,"n.b."))</f>
        <v/>
      </c>
      <c r="BV182" s="124" t="str">
        <f>IF($B182="","",IFERROR(-AF182,"n.b."))</f>
        <v/>
      </c>
      <c r="BW182" s="124" t="str">
        <f>IF($B182="","",IFERROR(-AG182,"n.b."))</f>
        <v/>
      </c>
      <c r="BX182" s="124" t="str">
        <f>IF($B182="","",IFERROR(-AH182,"n.b."))</f>
        <v/>
      </c>
      <c r="BY182" s="124" t="str">
        <f>IF($B182="","",IFERROR(-AI182,"n.b."))</f>
        <v/>
      </c>
      <c r="BZ182" s="124" t="str">
        <f>IF($B182="","",IFERROR(-AJ182,"n.b."))</f>
        <v/>
      </c>
      <c r="CA182" s="124" t="str">
        <f>IF($B182="","",IFERROR(-AK182,"n.b."))</f>
        <v/>
      </c>
      <c r="CB182" s="124" t="str">
        <f>IF($B182="","",IFERROR(-AL182,"n.b."))</f>
        <v/>
      </c>
      <c r="CC182" s="124" t="str">
        <f>IF($B182="","",IFERROR(-AP182,"n.b."))</f>
        <v/>
      </c>
      <c r="CD182" s="124" t="str">
        <f>IF($B182="","",IFERROR(-AQ182,"n.b."))</f>
        <v/>
      </c>
      <c r="CE182" s="124" t="str">
        <f>IF($B182="","",IFERROR(-AR182,"n.b."))</f>
        <v/>
      </c>
      <c r="CF182" s="124" t="str">
        <f>IF($B182="","",IFERROR(-AS182,"n.b."))</f>
        <v/>
      </c>
      <c r="CG182" s="124" t="str">
        <f>IF($B182="","",IFERROR(-AT182,"n.b."))</f>
        <v/>
      </c>
      <c r="CH182" s="124" t="str">
        <f>IF($B182="","",IFERROR(-AU182,"n.b."))</f>
        <v/>
      </c>
      <c r="CI182" s="124" t="str">
        <f>IF($B182="","",IFERROR(-AV182,"n.b."))</f>
        <v/>
      </c>
      <c r="CJ182" s="124" t="str">
        <f>IF($B182="","",IFERROR(-AW182,"n.b."))</f>
        <v/>
      </c>
      <c r="CK182" s="124" t="str">
        <f>IF($B182="","",IFERROR(-AX182,"n.b."))</f>
        <v/>
      </c>
      <c r="CL182" s="124" t="str">
        <f>IF($B182="","",IFERROR(-AY182,"n.b."))</f>
        <v/>
      </c>
      <c r="CM182" s="124" t="str">
        <f>IF($B182="","",IFERROR(-AZ182,"n.b."))</f>
        <v/>
      </c>
      <c r="CN182" s="124" t="str">
        <f>IF($B182="","",IFERROR(-BA182,"n.b."))</f>
        <v/>
      </c>
      <c r="CO182" s="124" t="str">
        <f>IF($B182="","",IFERROR(-BB182,"n.b."))</f>
        <v/>
      </c>
      <c r="CP182" s="124" t="str">
        <f>IF($B182="","",IFERROR(-BC182,"n.b."))</f>
        <v/>
      </c>
      <c r="CQ182" s="124" t="str">
        <f>IF($B182="","",IFERROR(-BD182,"n.b."))</f>
        <v/>
      </c>
      <c r="CR182" s="124" t="str">
        <f>IF($B182="","",IFERROR(-BE182,"n.b."))</f>
        <v/>
      </c>
      <c r="CS182" s="124" t="str">
        <f>IF($B182="","",IFERROR(IF(OR(ABS(T182+V182+X182+Z182-AB182)&gt;P_Tol,ABS(U182+W182+Y182+AA182-AD182)&gt;P_Tol,ABS(AE182+AG182+AI182+AK182-AM182)&gt;P_Tol,ABS(AF182+AH182+AJ182+AL182-AO182)&gt;P_Tol),1,0),1))</f>
        <v/>
      </c>
      <c r="CT182" s="124" t="str">
        <f>IF($B182="","",IFERROR(IF(OR(ABS(AB182+AC182-AD182)&gt;P_Tol,ABS(AM182+AN182-AO182)&gt;P_Tol,ABS(O182+P182-Q182)&gt;P_Tol),1,0),1))</f>
        <v/>
      </c>
      <c r="CU182" s="124" t="str">
        <f>IF($B182="","",IFERROR(IF(ABS(R182-(AB182+AM182+AP182+AR182+AT182+AV182+AX182+AZ182+BB182+BD182))&gt;P_Tol,1,0),1))</f>
        <v/>
      </c>
      <c r="CV182" s="124" t="str">
        <f>IF($B182="","",IFERROR(IF(ABS(M182-(N182+O182+R182))&gt;P_Tol,1,0),1))</f>
        <v/>
      </c>
      <c r="CW182" s="124" t="str">
        <f>IF($B182="","",IF(COUNTIF(Mapping!$A$5:$A$104,B182)&gt;0,1,0))</f>
        <v/>
      </c>
      <c r="CX182" s="124" t="str">
        <f>IF($B182="","",COUNTIF($B$6:$B$505,B182))</f>
        <v/>
      </c>
      <c r="CY182" s="124" t="str">
        <f>IF($B182="","",COUNTIF(STG_Woningetalage!$B$6:$B$505,B182))</f>
        <v/>
      </c>
      <c r="CZ182" s="124" t="str">
        <f>IF($B182="","",IF(CW182=0,COUNTIF($CW$6:CW182,0),""))</f>
        <v/>
      </c>
    </row>
    <row r="183">
      <c r="A183" s="15" t="n">
        <v>179</v>
      </c>
      <c r="B183" t="str">
        <f>IF(B$3=0,"",IF(INDEX(SRC_ZPMW03!$A$1:$ZZ$501,$A183,B$3)&amp;""="","",INDEX(SRC_ZPMW03!$A$1:$ZZ$501,$A183,B$3)&amp;""))</f>
        <v/>
      </c>
      <c r="C183" t="str">
        <f>IF($B183="","",IF(C$3=0,"n.b.",INDEX(SRC_ZPMW03!$A$1:$ZZ$501,$A183,C$3)))</f>
        <v/>
      </c>
      <c r="D183" t="str">
        <f>IF($B183="","",IF(D$3=0,"n.b.",INDEX(SRC_ZPMW03!$A$1:$ZZ$501,$A183,D$3)))</f>
        <v/>
      </c>
      <c r="E183" t="str">
        <f>IF($B183="","",IF(E$3=0,"n.b.",INDEX(SRC_ZPMW03!$A$1:$ZZ$501,$A183,E$3)))</f>
        <v/>
      </c>
      <c r="F183" t="str">
        <f>IF($B183="","",IF(F$3=0,"n.b.",INDEX(SRC_ZPMW03!$A$1:$ZZ$501,$A183,F$3)))</f>
        <v/>
      </c>
      <c r="G183" t="str">
        <f>IF($B183="","",IF(G$3=0,"n.b.",INDEX(SRC_ZPMW03!$A$1:$ZZ$501,$A183,G$3)))</f>
        <v/>
      </c>
      <c r="H183" t="str">
        <f>IF($B183="","",IF(H$3=0,"n.b.",INDEX(SRC_ZPMW03!$A$1:$ZZ$501,$A183,H$3)))</f>
        <v/>
      </c>
      <c r="I183" t="str">
        <f>IF($B183="","",IF(I$3=0,"n.b.",INDEX(SRC_ZPMW03!$A$1:$ZZ$501,$A183,I$3)))</f>
        <v/>
      </c>
      <c r="J183" t="str">
        <f>IF($B183="","",IF(J$3=0,"n.b.",INDEX(SRC_ZPMW03!$A$1:$ZZ$501,$A183,J$3)))</f>
        <v/>
      </c>
      <c r="K183" t="str">
        <f>IF($B183="","",IF(K$3=0,"n.b.",INDEX(SRC_ZPMW03!$A$1:$ZZ$501,$A183,K$3)))</f>
        <v/>
      </c>
      <c r="L183" s="124" t="str">
        <f>IF($B183="","",IF(L$3=0,"n.b.",INDEX(SRC_ZPMW03!$A$1:$ZZ$501,$A183,L$3)))</f>
        <v/>
      </c>
      <c r="M183" s="124" t="str">
        <f>IF($B183="","",IF(M$3=0,"n.b.",INDEX(SRC_ZPMW03!$A$1:$ZZ$501,$A183,M$3)))</f>
        <v/>
      </c>
      <c r="N183" s="124" t="str">
        <f>IF($B183="","",IF(N$3=0,"n.b.",INDEX(SRC_ZPMW03!$A$1:$ZZ$501,$A183,N$3)))</f>
        <v/>
      </c>
      <c r="O183" s="124" t="str">
        <f>IF($B183="","",IF(O$3=0,"n.b.",INDEX(SRC_ZPMW03!$A$1:$ZZ$501,$A183,O$3)))</f>
        <v/>
      </c>
      <c r="P183" s="124" t="str">
        <f>IF($B183="","",IF(P$3=0,"n.b.",INDEX(SRC_ZPMW03!$A$1:$ZZ$501,$A183,P$3)))</f>
        <v/>
      </c>
      <c r="Q183" s="124" t="str">
        <f>IF($B183="","",IF(Q$3=0,"n.b.",INDEX(SRC_ZPMW03!$A$1:$ZZ$501,$A183,Q$3)))</f>
        <v/>
      </c>
      <c r="R183" s="124" t="str">
        <f>IF($B183="","",IF(R$3=0,"n.b.",INDEX(SRC_ZPMW03!$A$1:$ZZ$501,$A183,R$3)))</f>
        <v/>
      </c>
      <c r="S183" s="124" t="str">
        <f>IF($B183="","",IF(S$3=0,"n.b.",INDEX(SRC_ZPMW03!$A$1:$ZZ$501,$A183,S$3)))</f>
        <v/>
      </c>
      <c r="T183" s="124" t="str">
        <f>IF($B183="","",IF(T$3=0,"n.b.",INDEX(SRC_ZPMW03!$A$1:$ZZ$501,$A183,T$3)))</f>
        <v/>
      </c>
      <c r="U183" s="124" t="str">
        <f>IF($B183="","",IF(U$3=0,"n.b.",INDEX(SRC_ZPMW03!$A$1:$ZZ$501,$A183,U$3)))</f>
        <v/>
      </c>
      <c r="V183" s="124" t="str">
        <f>IF($B183="","",IF(V$3=0,"n.b.",INDEX(SRC_ZPMW03!$A$1:$ZZ$501,$A183,V$3)))</f>
        <v/>
      </c>
      <c r="W183" s="124" t="str">
        <f>IF($B183="","",IF(W$3=0,"n.b.",INDEX(SRC_ZPMW03!$A$1:$ZZ$501,$A183,W$3)))</f>
        <v/>
      </c>
      <c r="X183" s="124" t="str">
        <f>IF($B183="","",IF(X$3=0,"n.b.",INDEX(SRC_ZPMW03!$A$1:$ZZ$501,$A183,X$3)))</f>
        <v/>
      </c>
      <c r="Y183" s="124" t="str">
        <f>IF($B183="","",IF(Y$3=0,"n.b.",INDEX(SRC_ZPMW03!$A$1:$ZZ$501,$A183,Y$3)))</f>
        <v/>
      </c>
      <c r="Z183" s="124" t="str">
        <f>IF($B183="","",IF(Z$3=0,"n.b.",INDEX(SRC_ZPMW03!$A$1:$ZZ$501,$A183,Z$3)))</f>
        <v/>
      </c>
      <c r="AA183" s="124" t="str">
        <f>IF($B183="","",IF(AA$3=0,"n.b.",INDEX(SRC_ZPMW03!$A$1:$ZZ$501,$A183,AA$3)))</f>
        <v/>
      </c>
      <c r="AB183" s="124" t="str">
        <f>IF($B183="","",IF(AB$3=0,"n.b.",INDEX(SRC_ZPMW03!$A$1:$ZZ$501,$A183,AB$3)))</f>
        <v/>
      </c>
      <c r="AC183" s="124" t="str">
        <f>IF($B183="","",IF(AC$3=0,"n.b.",INDEX(SRC_ZPMW03!$A$1:$ZZ$501,$A183,AC$3)))</f>
        <v/>
      </c>
      <c r="AD183" s="124" t="str">
        <f>IF($B183="","",IF(AD$3=0,"n.b.",INDEX(SRC_ZPMW03!$A$1:$ZZ$501,$A183,AD$3)))</f>
        <v/>
      </c>
      <c r="AE183" s="124" t="str">
        <f>IF($B183="","",IF(AE$3=0,"n.b.",INDEX(SRC_ZPMW03!$A$1:$ZZ$501,$A183,AE$3)))</f>
        <v/>
      </c>
      <c r="AF183" s="124" t="str">
        <f>IF($B183="","",IF(AF$3=0,"n.b.",INDEX(SRC_ZPMW03!$A$1:$ZZ$501,$A183,AF$3)))</f>
        <v/>
      </c>
      <c r="AG183" s="124" t="str">
        <f>IF($B183="","",IF(AG$3=0,"n.b.",INDEX(SRC_ZPMW03!$A$1:$ZZ$501,$A183,AG$3)))</f>
        <v/>
      </c>
      <c r="AH183" s="124" t="str">
        <f>IF($B183="","",IF(AH$3=0,"n.b.",INDEX(SRC_ZPMW03!$A$1:$ZZ$501,$A183,AH$3)))</f>
        <v/>
      </c>
      <c r="AI183" s="124" t="str">
        <f>IF($B183="","",IF(AI$3=0,"n.b.",INDEX(SRC_ZPMW03!$A$1:$ZZ$501,$A183,AI$3)))</f>
        <v/>
      </c>
      <c r="AJ183" s="124" t="str">
        <f>IF($B183="","",IF(AJ$3=0,"n.b.",INDEX(SRC_ZPMW03!$A$1:$ZZ$501,$A183,AJ$3)))</f>
        <v/>
      </c>
      <c r="AK183" s="124" t="str">
        <f>IF($B183="","",IF(AK$3=0,"n.b.",INDEX(SRC_ZPMW03!$A$1:$ZZ$501,$A183,AK$3)))</f>
        <v/>
      </c>
      <c r="AL183" s="124" t="str">
        <f>IF($B183="","",IF(AL$3=0,"n.b.",INDEX(SRC_ZPMW03!$A$1:$ZZ$501,$A183,AL$3)))</f>
        <v/>
      </c>
      <c r="AM183" s="124" t="str">
        <f>IF($B183="","",IF(AM$3=0,"n.b.",INDEX(SRC_ZPMW03!$A$1:$ZZ$501,$A183,AM$3)))</f>
        <v/>
      </c>
      <c r="AN183" s="124" t="str">
        <f>IF($B183="","",IF(AN$3=0,"n.b.",INDEX(SRC_ZPMW03!$A$1:$ZZ$501,$A183,AN$3)))</f>
        <v/>
      </c>
      <c r="AO183" s="124" t="str">
        <f>IF($B183="","",IF(AO$3=0,"n.b.",INDEX(SRC_ZPMW03!$A$1:$ZZ$501,$A183,AO$3)))</f>
        <v/>
      </c>
      <c r="AP183" s="124" t="str">
        <f>IF($B183="","",IF(AP$3=0,"n.b.",INDEX(SRC_ZPMW03!$A$1:$ZZ$501,$A183,AP$3)))</f>
        <v/>
      </c>
      <c r="AQ183" s="124" t="str">
        <f>IF($B183="","",IF(AQ$3=0,"n.b.",INDEX(SRC_ZPMW03!$A$1:$ZZ$501,$A183,AQ$3)))</f>
        <v/>
      </c>
      <c r="AR183" s="124" t="str">
        <f>IF($B183="","",IF(AR$3=0,"n.b.",INDEX(SRC_ZPMW03!$A$1:$ZZ$501,$A183,AR$3)))</f>
        <v/>
      </c>
      <c r="AS183" s="124" t="str">
        <f>IF($B183="","",IF(AS$3=0,"n.b.",INDEX(SRC_ZPMW03!$A$1:$ZZ$501,$A183,AS$3)))</f>
        <v/>
      </c>
      <c r="AT183" s="124" t="str">
        <f>IF($B183="","",IF(AT$3=0,"n.b.",INDEX(SRC_ZPMW03!$A$1:$ZZ$501,$A183,AT$3)))</f>
        <v/>
      </c>
      <c r="AU183" s="124" t="str">
        <f>IF($B183="","",IF(AU$3=0,"n.b.",INDEX(SRC_ZPMW03!$A$1:$ZZ$501,$A183,AU$3)))</f>
        <v/>
      </c>
      <c r="AV183" s="124" t="str">
        <f>IF($B183="","",IF(AV$3=0,"n.b.",INDEX(SRC_ZPMW03!$A$1:$ZZ$501,$A183,AV$3)))</f>
        <v/>
      </c>
      <c r="AW183" s="124" t="str">
        <f>IF($B183="","",IF(AW$3=0,"n.b.",INDEX(SRC_ZPMW03!$A$1:$ZZ$501,$A183,AW$3)))</f>
        <v/>
      </c>
      <c r="AX183" s="124" t="str">
        <f>IF($B183="","",IF(AX$3=0,"n.b.",INDEX(SRC_ZPMW03!$A$1:$ZZ$501,$A183,AX$3)))</f>
        <v/>
      </c>
      <c r="AY183" s="124" t="str">
        <f>IF($B183="","",IF(AY$3=0,"n.b.",INDEX(SRC_ZPMW03!$A$1:$ZZ$501,$A183,AY$3)))</f>
        <v/>
      </c>
      <c r="AZ183" s="124" t="str">
        <f>IF($B183="","",IF(AZ$3=0,"n.b.",INDEX(SRC_ZPMW03!$A$1:$ZZ$501,$A183,AZ$3)))</f>
        <v/>
      </c>
      <c r="BA183" s="124" t="str">
        <f>IF($B183="","",IF(BA$3=0,"n.b.",INDEX(SRC_ZPMW03!$A$1:$ZZ$501,$A183,BA$3)))</f>
        <v/>
      </c>
      <c r="BB183" s="124" t="str">
        <f>IF($B183="","",IF(BB$3=0,"n.b.",INDEX(SRC_ZPMW03!$A$1:$ZZ$501,$A183,BB$3)))</f>
        <v/>
      </c>
      <c r="BC183" s="124" t="str">
        <f>IF($B183="","",IF(BC$3=0,"n.b.",INDEX(SRC_ZPMW03!$A$1:$ZZ$501,$A183,BC$3)))</f>
        <v/>
      </c>
      <c r="BD183" s="124" t="str">
        <f>IF($B183="","",IF(BD$3=0,"n.b.",INDEX(SRC_ZPMW03!$A$1:$ZZ$501,$A183,BD$3)))</f>
        <v/>
      </c>
      <c r="BE183" s="124" t="str">
        <f>IF($B183="","",IF(BE$3=0,"n.b.",INDEX(SRC_ZPMW03!$A$1:$ZZ$501,$A183,BE$3)))</f>
        <v/>
      </c>
      <c r="BF183" s="124" t="str">
        <f>IF($B183="","",IF(BF$3=0,"n.b.",INDEX(SRC_ZPMW03!$A$1:$ZZ$501,$A183,BF$3)))</f>
        <v/>
      </c>
      <c r="BG183" t="str">
        <f>IF($B183="","",IF(BG$3=0,"n.b.",INDEX(SRC_ZPMW03!$A$1:$ZZ$501,$A183,BG$3)))</f>
        <v/>
      </c>
      <c r="BH183" t="str">
        <f>IF($B183="","",IF(BH$3=0,"n.b.",INDEX(SRC_ZPMW03!$A$1:$ZZ$501,$A183,BH$3)))</f>
        <v/>
      </c>
      <c r="BI183" t="str">
        <f>IF($B183="","",IF(BI$3=0,"n.b.",INDEX(SRC_ZPMW03!$A$1:$ZZ$501,$A183,BI$3)))</f>
        <v/>
      </c>
      <c r="BJ183" t="str">
        <f>IF($B183="","",IF(BJ$3=0,"n.b.",INDEX(SRC_ZPMW03!$A$1:$ZZ$501,$A183,BJ$3)))</f>
        <v/>
      </c>
      <c r="BK183" s="124" t="str">
        <f>IF($B183="","",IFERROR(-O183,"n.b."))</f>
        <v/>
      </c>
      <c r="BL183" s="124" t="str">
        <f>IF($B183="","",IFERROR(-Q183,"n.b."))</f>
        <v/>
      </c>
      <c r="BM183" s="124" t="str">
        <f>IF($B183="","",IFERROR(-AB183,"n.b."))</f>
        <v/>
      </c>
      <c r="BN183" s="124" t="str">
        <f>IF($B183="","",IFERROR(-AD183,"n.b."))</f>
        <v/>
      </c>
      <c r="BO183" s="124" t="str">
        <f>IF($B183="","",IFERROR(BK183+BM183,"n.b."))</f>
        <v/>
      </c>
      <c r="BP183" s="124" t="str">
        <f>IF($B183="","",IFERROR(BL183+BN183,"n.b."))</f>
        <v/>
      </c>
      <c r="BQ183" s="124" t="str">
        <f>IF($B183="","",IFERROR(-AM183,"n.b."))</f>
        <v/>
      </c>
      <c r="BR183" s="124" t="str">
        <f>IF($B183="","",IFERROR(-AO183,"n.b."))</f>
        <v/>
      </c>
      <c r="BS183" s="124" t="str">
        <f>IF($B183="","",IFERROR(-Z183,"n.b."))</f>
        <v/>
      </c>
      <c r="BT183" s="124" t="str">
        <f>IF($B183="","",IFERROR(-AA183,"n.b."))</f>
        <v/>
      </c>
      <c r="BU183" s="124" t="str">
        <f>IF($B183="","",IFERROR(-AE183,"n.b."))</f>
        <v/>
      </c>
      <c r="BV183" s="124" t="str">
        <f>IF($B183="","",IFERROR(-AF183,"n.b."))</f>
        <v/>
      </c>
      <c r="BW183" s="124" t="str">
        <f>IF($B183="","",IFERROR(-AG183,"n.b."))</f>
        <v/>
      </c>
      <c r="BX183" s="124" t="str">
        <f>IF($B183="","",IFERROR(-AH183,"n.b."))</f>
        <v/>
      </c>
      <c r="BY183" s="124" t="str">
        <f>IF($B183="","",IFERROR(-AI183,"n.b."))</f>
        <v/>
      </c>
      <c r="BZ183" s="124" t="str">
        <f>IF($B183="","",IFERROR(-AJ183,"n.b."))</f>
        <v/>
      </c>
      <c r="CA183" s="124" t="str">
        <f>IF($B183="","",IFERROR(-AK183,"n.b."))</f>
        <v/>
      </c>
      <c r="CB183" s="124" t="str">
        <f>IF($B183="","",IFERROR(-AL183,"n.b."))</f>
        <v/>
      </c>
      <c r="CC183" s="124" t="str">
        <f>IF($B183="","",IFERROR(-AP183,"n.b."))</f>
        <v/>
      </c>
      <c r="CD183" s="124" t="str">
        <f>IF($B183="","",IFERROR(-AQ183,"n.b."))</f>
        <v/>
      </c>
      <c r="CE183" s="124" t="str">
        <f>IF($B183="","",IFERROR(-AR183,"n.b."))</f>
        <v/>
      </c>
      <c r="CF183" s="124" t="str">
        <f>IF($B183="","",IFERROR(-AS183,"n.b."))</f>
        <v/>
      </c>
      <c r="CG183" s="124" t="str">
        <f>IF($B183="","",IFERROR(-AT183,"n.b."))</f>
        <v/>
      </c>
      <c r="CH183" s="124" t="str">
        <f>IF($B183="","",IFERROR(-AU183,"n.b."))</f>
        <v/>
      </c>
      <c r="CI183" s="124" t="str">
        <f>IF($B183="","",IFERROR(-AV183,"n.b."))</f>
        <v/>
      </c>
      <c r="CJ183" s="124" t="str">
        <f>IF($B183="","",IFERROR(-AW183,"n.b."))</f>
        <v/>
      </c>
      <c r="CK183" s="124" t="str">
        <f>IF($B183="","",IFERROR(-AX183,"n.b."))</f>
        <v/>
      </c>
      <c r="CL183" s="124" t="str">
        <f>IF($B183="","",IFERROR(-AY183,"n.b."))</f>
        <v/>
      </c>
      <c r="CM183" s="124" t="str">
        <f>IF($B183="","",IFERROR(-AZ183,"n.b."))</f>
        <v/>
      </c>
      <c r="CN183" s="124" t="str">
        <f>IF($B183="","",IFERROR(-BA183,"n.b."))</f>
        <v/>
      </c>
      <c r="CO183" s="124" t="str">
        <f>IF($B183="","",IFERROR(-BB183,"n.b."))</f>
        <v/>
      </c>
      <c r="CP183" s="124" t="str">
        <f>IF($B183="","",IFERROR(-BC183,"n.b."))</f>
        <v/>
      </c>
      <c r="CQ183" s="124" t="str">
        <f>IF($B183="","",IFERROR(-BD183,"n.b."))</f>
        <v/>
      </c>
      <c r="CR183" s="124" t="str">
        <f>IF($B183="","",IFERROR(-BE183,"n.b."))</f>
        <v/>
      </c>
      <c r="CS183" s="124" t="str">
        <f>IF($B183="","",IFERROR(IF(OR(ABS(T183+V183+X183+Z183-AB183)&gt;P_Tol,ABS(U183+W183+Y183+AA183-AD183)&gt;P_Tol,ABS(AE183+AG183+AI183+AK183-AM183)&gt;P_Tol,ABS(AF183+AH183+AJ183+AL183-AO183)&gt;P_Tol),1,0),1))</f>
        <v/>
      </c>
      <c r="CT183" s="124" t="str">
        <f>IF($B183="","",IFERROR(IF(OR(ABS(AB183+AC183-AD183)&gt;P_Tol,ABS(AM183+AN183-AO183)&gt;P_Tol,ABS(O183+P183-Q183)&gt;P_Tol),1,0),1))</f>
        <v/>
      </c>
      <c r="CU183" s="124" t="str">
        <f>IF($B183="","",IFERROR(IF(ABS(R183-(AB183+AM183+AP183+AR183+AT183+AV183+AX183+AZ183+BB183+BD183))&gt;P_Tol,1,0),1))</f>
        <v/>
      </c>
      <c r="CV183" s="124" t="str">
        <f>IF($B183="","",IFERROR(IF(ABS(M183-(N183+O183+R183))&gt;P_Tol,1,0),1))</f>
        <v/>
      </c>
      <c r="CW183" s="124" t="str">
        <f>IF($B183="","",IF(COUNTIF(Mapping!$A$5:$A$104,B183)&gt;0,1,0))</f>
        <v/>
      </c>
      <c r="CX183" s="124" t="str">
        <f>IF($B183="","",COUNTIF($B$6:$B$505,B183))</f>
        <v/>
      </c>
      <c r="CY183" s="124" t="str">
        <f>IF($B183="","",COUNTIF(STG_Woningetalage!$B$6:$B$505,B183))</f>
        <v/>
      </c>
      <c r="CZ183" s="124" t="str">
        <f>IF($B183="","",IF(CW183=0,COUNTIF($CW$6:CW183,0),""))</f>
        <v/>
      </c>
    </row>
    <row r="184">
      <c r="A184" s="15" t="n">
        <v>180</v>
      </c>
      <c r="B184" t="str">
        <f>IF(B$3=0,"",IF(INDEX(SRC_ZPMW03!$A$1:$ZZ$501,$A184,B$3)&amp;""="","",INDEX(SRC_ZPMW03!$A$1:$ZZ$501,$A184,B$3)&amp;""))</f>
        <v/>
      </c>
      <c r="C184" t="str">
        <f>IF($B184="","",IF(C$3=0,"n.b.",INDEX(SRC_ZPMW03!$A$1:$ZZ$501,$A184,C$3)))</f>
        <v/>
      </c>
      <c r="D184" t="str">
        <f>IF($B184="","",IF(D$3=0,"n.b.",INDEX(SRC_ZPMW03!$A$1:$ZZ$501,$A184,D$3)))</f>
        <v/>
      </c>
      <c r="E184" t="str">
        <f>IF($B184="","",IF(E$3=0,"n.b.",INDEX(SRC_ZPMW03!$A$1:$ZZ$501,$A184,E$3)))</f>
        <v/>
      </c>
      <c r="F184" t="str">
        <f>IF($B184="","",IF(F$3=0,"n.b.",INDEX(SRC_ZPMW03!$A$1:$ZZ$501,$A184,F$3)))</f>
        <v/>
      </c>
      <c r="G184" t="str">
        <f>IF($B184="","",IF(G$3=0,"n.b.",INDEX(SRC_ZPMW03!$A$1:$ZZ$501,$A184,G$3)))</f>
        <v/>
      </c>
      <c r="H184" t="str">
        <f>IF($B184="","",IF(H$3=0,"n.b.",INDEX(SRC_ZPMW03!$A$1:$ZZ$501,$A184,H$3)))</f>
        <v/>
      </c>
      <c r="I184" t="str">
        <f>IF($B184="","",IF(I$3=0,"n.b.",INDEX(SRC_ZPMW03!$A$1:$ZZ$501,$A184,I$3)))</f>
        <v/>
      </c>
      <c r="J184" t="str">
        <f>IF($B184="","",IF(J$3=0,"n.b.",INDEX(SRC_ZPMW03!$A$1:$ZZ$501,$A184,J$3)))</f>
        <v/>
      </c>
      <c r="K184" t="str">
        <f>IF($B184="","",IF(K$3=0,"n.b.",INDEX(SRC_ZPMW03!$A$1:$ZZ$501,$A184,K$3)))</f>
        <v/>
      </c>
      <c r="L184" s="124" t="str">
        <f>IF($B184="","",IF(L$3=0,"n.b.",INDEX(SRC_ZPMW03!$A$1:$ZZ$501,$A184,L$3)))</f>
        <v/>
      </c>
      <c r="M184" s="124" t="str">
        <f>IF($B184="","",IF(M$3=0,"n.b.",INDEX(SRC_ZPMW03!$A$1:$ZZ$501,$A184,M$3)))</f>
        <v/>
      </c>
      <c r="N184" s="124" t="str">
        <f>IF($B184="","",IF(N$3=0,"n.b.",INDEX(SRC_ZPMW03!$A$1:$ZZ$501,$A184,N$3)))</f>
        <v/>
      </c>
      <c r="O184" s="124" t="str">
        <f>IF($B184="","",IF(O$3=0,"n.b.",INDEX(SRC_ZPMW03!$A$1:$ZZ$501,$A184,O$3)))</f>
        <v/>
      </c>
      <c r="P184" s="124" t="str">
        <f>IF($B184="","",IF(P$3=0,"n.b.",INDEX(SRC_ZPMW03!$A$1:$ZZ$501,$A184,P$3)))</f>
        <v/>
      </c>
      <c r="Q184" s="124" t="str">
        <f>IF($B184="","",IF(Q$3=0,"n.b.",INDEX(SRC_ZPMW03!$A$1:$ZZ$501,$A184,Q$3)))</f>
        <v/>
      </c>
      <c r="R184" s="124" t="str">
        <f>IF($B184="","",IF(R$3=0,"n.b.",INDEX(SRC_ZPMW03!$A$1:$ZZ$501,$A184,R$3)))</f>
        <v/>
      </c>
      <c r="S184" s="124" t="str">
        <f>IF($B184="","",IF(S$3=0,"n.b.",INDEX(SRC_ZPMW03!$A$1:$ZZ$501,$A184,S$3)))</f>
        <v/>
      </c>
      <c r="T184" s="124" t="str">
        <f>IF($B184="","",IF(T$3=0,"n.b.",INDEX(SRC_ZPMW03!$A$1:$ZZ$501,$A184,T$3)))</f>
        <v/>
      </c>
      <c r="U184" s="124" t="str">
        <f>IF($B184="","",IF(U$3=0,"n.b.",INDEX(SRC_ZPMW03!$A$1:$ZZ$501,$A184,U$3)))</f>
        <v/>
      </c>
      <c r="V184" s="124" t="str">
        <f>IF($B184="","",IF(V$3=0,"n.b.",INDEX(SRC_ZPMW03!$A$1:$ZZ$501,$A184,V$3)))</f>
        <v/>
      </c>
      <c r="W184" s="124" t="str">
        <f>IF($B184="","",IF(W$3=0,"n.b.",INDEX(SRC_ZPMW03!$A$1:$ZZ$501,$A184,W$3)))</f>
        <v/>
      </c>
      <c r="X184" s="124" t="str">
        <f>IF($B184="","",IF(X$3=0,"n.b.",INDEX(SRC_ZPMW03!$A$1:$ZZ$501,$A184,X$3)))</f>
        <v/>
      </c>
      <c r="Y184" s="124" t="str">
        <f>IF($B184="","",IF(Y$3=0,"n.b.",INDEX(SRC_ZPMW03!$A$1:$ZZ$501,$A184,Y$3)))</f>
        <v/>
      </c>
      <c r="Z184" s="124" t="str">
        <f>IF($B184="","",IF(Z$3=0,"n.b.",INDEX(SRC_ZPMW03!$A$1:$ZZ$501,$A184,Z$3)))</f>
        <v/>
      </c>
      <c r="AA184" s="124" t="str">
        <f>IF($B184="","",IF(AA$3=0,"n.b.",INDEX(SRC_ZPMW03!$A$1:$ZZ$501,$A184,AA$3)))</f>
        <v/>
      </c>
      <c r="AB184" s="124" t="str">
        <f>IF($B184="","",IF(AB$3=0,"n.b.",INDEX(SRC_ZPMW03!$A$1:$ZZ$501,$A184,AB$3)))</f>
        <v/>
      </c>
      <c r="AC184" s="124" t="str">
        <f>IF($B184="","",IF(AC$3=0,"n.b.",INDEX(SRC_ZPMW03!$A$1:$ZZ$501,$A184,AC$3)))</f>
        <v/>
      </c>
      <c r="AD184" s="124" t="str">
        <f>IF($B184="","",IF(AD$3=0,"n.b.",INDEX(SRC_ZPMW03!$A$1:$ZZ$501,$A184,AD$3)))</f>
        <v/>
      </c>
      <c r="AE184" s="124" t="str">
        <f>IF($B184="","",IF(AE$3=0,"n.b.",INDEX(SRC_ZPMW03!$A$1:$ZZ$501,$A184,AE$3)))</f>
        <v/>
      </c>
      <c r="AF184" s="124" t="str">
        <f>IF($B184="","",IF(AF$3=0,"n.b.",INDEX(SRC_ZPMW03!$A$1:$ZZ$501,$A184,AF$3)))</f>
        <v/>
      </c>
      <c r="AG184" s="124" t="str">
        <f>IF($B184="","",IF(AG$3=0,"n.b.",INDEX(SRC_ZPMW03!$A$1:$ZZ$501,$A184,AG$3)))</f>
        <v/>
      </c>
      <c r="AH184" s="124" t="str">
        <f>IF($B184="","",IF(AH$3=0,"n.b.",INDEX(SRC_ZPMW03!$A$1:$ZZ$501,$A184,AH$3)))</f>
        <v/>
      </c>
      <c r="AI184" s="124" t="str">
        <f>IF($B184="","",IF(AI$3=0,"n.b.",INDEX(SRC_ZPMW03!$A$1:$ZZ$501,$A184,AI$3)))</f>
        <v/>
      </c>
      <c r="AJ184" s="124" t="str">
        <f>IF($B184="","",IF(AJ$3=0,"n.b.",INDEX(SRC_ZPMW03!$A$1:$ZZ$501,$A184,AJ$3)))</f>
        <v/>
      </c>
      <c r="AK184" s="124" t="str">
        <f>IF($B184="","",IF(AK$3=0,"n.b.",INDEX(SRC_ZPMW03!$A$1:$ZZ$501,$A184,AK$3)))</f>
        <v/>
      </c>
      <c r="AL184" s="124" t="str">
        <f>IF($B184="","",IF(AL$3=0,"n.b.",INDEX(SRC_ZPMW03!$A$1:$ZZ$501,$A184,AL$3)))</f>
        <v/>
      </c>
      <c r="AM184" s="124" t="str">
        <f>IF($B184="","",IF(AM$3=0,"n.b.",INDEX(SRC_ZPMW03!$A$1:$ZZ$501,$A184,AM$3)))</f>
        <v/>
      </c>
      <c r="AN184" s="124" t="str">
        <f>IF($B184="","",IF(AN$3=0,"n.b.",INDEX(SRC_ZPMW03!$A$1:$ZZ$501,$A184,AN$3)))</f>
        <v/>
      </c>
      <c r="AO184" s="124" t="str">
        <f>IF($B184="","",IF(AO$3=0,"n.b.",INDEX(SRC_ZPMW03!$A$1:$ZZ$501,$A184,AO$3)))</f>
        <v/>
      </c>
      <c r="AP184" s="124" t="str">
        <f>IF($B184="","",IF(AP$3=0,"n.b.",INDEX(SRC_ZPMW03!$A$1:$ZZ$501,$A184,AP$3)))</f>
        <v/>
      </c>
      <c r="AQ184" s="124" t="str">
        <f>IF($B184="","",IF(AQ$3=0,"n.b.",INDEX(SRC_ZPMW03!$A$1:$ZZ$501,$A184,AQ$3)))</f>
        <v/>
      </c>
      <c r="AR184" s="124" t="str">
        <f>IF($B184="","",IF(AR$3=0,"n.b.",INDEX(SRC_ZPMW03!$A$1:$ZZ$501,$A184,AR$3)))</f>
        <v/>
      </c>
      <c r="AS184" s="124" t="str">
        <f>IF($B184="","",IF(AS$3=0,"n.b.",INDEX(SRC_ZPMW03!$A$1:$ZZ$501,$A184,AS$3)))</f>
        <v/>
      </c>
      <c r="AT184" s="124" t="str">
        <f>IF($B184="","",IF(AT$3=0,"n.b.",INDEX(SRC_ZPMW03!$A$1:$ZZ$501,$A184,AT$3)))</f>
        <v/>
      </c>
      <c r="AU184" s="124" t="str">
        <f>IF($B184="","",IF(AU$3=0,"n.b.",INDEX(SRC_ZPMW03!$A$1:$ZZ$501,$A184,AU$3)))</f>
        <v/>
      </c>
      <c r="AV184" s="124" t="str">
        <f>IF($B184="","",IF(AV$3=0,"n.b.",INDEX(SRC_ZPMW03!$A$1:$ZZ$501,$A184,AV$3)))</f>
        <v/>
      </c>
      <c r="AW184" s="124" t="str">
        <f>IF($B184="","",IF(AW$3=0,"n.b.",INDEX(SRC_ZPMW03!$A$1:$ZZ$501,$A184,AW$3)))</f>
        <v/>
      </c>
      <c r="AX184" s="124" t="str">
        <f>IF($B184="","",IF(AX$3=0,"n.b.",INDEX(SRC_ZPMW03!$A$1:$ZZ$501,$A184,AX$3)))</f>
        <v/>
      </c>
      <c r="AY184" s="124" t="str">
        <f>IF($B184="","",IF(AY$3=0,"n.b.",INDEX(SRC_ZPMW03!$A$1:$ZZ$501,$A184,AY$3)))</f>
        <v/>
      </c>
      <c r="AZ184" s="124" t="str">
        <f>IF($B184="","",IF(AZ$3=0,"n.b.",INDEX(SRC_ZPMW03!$A$1:$ZZ$501,$A184,AZ$3)))</f>
        <v/>
      </c>
      <c r="BA184" s="124" t="str">
        <f>IF($B184="","",IF(BA$3=0,"n.b.",INDEX(SRC_ZPMW03!$A$1:$ZZ$501,$A184,BA$3)))</f>
        <v/>
      </c>
      <c r="BB184" s="124" t="str">
        <f>IF($B184="","",IF(BB$3=0,"n.b.",INDEX(SRC_ZPMW03!$A$1:$ZZ$501,$A184,BB$3)))</f>
        <v/>
      </c>
      <c r="BC184" s="124" t="str">
        <f>IF($B184="","",IF(BC$3=0,"n.b.",INDEX(SRC_ZPMW03!$A$1:$ZZ$501,$A184,BC$3)))</f>
        <v/>
      </c>
      <c r="BD184" s="124" t="str">
        <f>IF($B184="","",IF(BD$3=0,"n.b.",INDEX(SRC_ZPMW03!$A$1:$ZZ$501,$A184,BD$3)))</f>
        <v/>
      </c>
      <c r="BE184" s="124" t="str">
        <f>IF($B184="","",IF(BE$3=0,"n.b.",INDEX(SRC_ZPMW03!$A$1:$ZZ$501,$A184,BE$3)))</f>
        <v/>
      </c>
      <c r="BF184" s="124" t="str">
        <f>IF($B184="","",IF(BF$3=0,"n.b.",INDEX(SRC_ZPMW03!$A$1:$ZZ$501,$A184,BF$3)))</f>
        <v/>
      </c>
      <c r="BG184" t="str">
        <f>IF($B184="","",IF(BG$3=0,"n.b.",INDEX(SRC_ZPMW03!$A$1:$ZZ$501,$A184,BG$3)))</f>
        <v/>
      </c>
      <c r="BH184" t="str">
        <f>IF($B184="","",IF(BH$3=0,"n.b.",INDEX(SRC_ZPMW03!$A$1:$ZZ$501,$A184,BH$3)))</f>
        <v/>
      </c>
      <c r="BI184" t="str">
        <f>IF($B184="","",IF(BI$3=0,"n.b.",INDEX(SRC_ZPMW03!$A$1:$ZZ$501,$A184,BI$3)))</f>
        <v/>
      </c>
      <c r="BJ184" t="str">
        <f>IF($B184="","",IF(BJ$3=0,"n.b.",INDEX(SRC_ZPMW03!$A$1:$ZZ$501,$A184,BJ$3)))</f>
        <v/>
      </c>
      <c r="BK184" s="124" t="str">
        <f>IF($B184="","",IFERROR(-O184,"n.b."))</f>
        <v/>
      </c>
      <c r="BL184" s="124" t="str">
        <f>IF($B184="","",IFERROR(-Q184,"n.b."))</f>
        <v/>
      </c>
      <c r="BM184" s="124" t="str">
        <f>IF($B184="","",IFERROR(-AB184,"n.b."))</f>
        <v/>
      </c>
      <c r="BN184" s="124" t="str">
        <f>IF($B184="","",IFERROR(-AD184,"n.b."))</f>
        <v/>
      </c>
      <c r="BO184" s="124" t="str">
        <f>IF($B184="","",IFERROR(BK184+BM184,"n.b."))</f>
        <v/>
      </c>
      <c r="BP184" s="124" t="str">
        <f>IF($B184="","",IFERROR(BL184+BN184,"n.b."))</f>
        <v/>
      </c>
      <c r="BQ184" s="124" t="str">
        <f>IF($B184="","",IFERROR(-AM184,"n.b."))</f>
        <v/>
      </c>
      <c r="BR184" s="124" t="str">
        <f>IF($B184="","",IFERROR(-AO184,"n.b."))</f>
        <v/>
      </c>
      <c r="BS184" s="124" t="str">
        <f>IF($B184="","",IFERROR(-Z184,"n.b."))</f>
        <v/>
      </c>
      <c r="BT184" s="124" t="str">
        <f>IF($B184="","",IFERROR(-AA184,"n.b."))</f>
        <v/>
      </c>
      <c r="BU184" s="124" t="str">
        <f>IF($B184="","",IFERROR(-AE184,"n.b."))</f>
        <v/>
      </c>
      <c r="BV184" s="124" t="str">
        <f>IF($B184="","",IFERROR(-AF184,"n.b."))</f>
        <v/>
      </c>
      <c r="BW184" s="124" t="str">
        <f>IF($B184="","",IFERROR(-AG184,"n.b."))</f>
        <v/>
      </c>
      <c r="BX184" s="124" t="str">
        <f>IF($B184="","",IFERROR(-AH184,"n.b."))</f>
        <v/>
      </c>
      <c r="BY184" s="124" t="str">
        <f>IF($B184="","",IFERROR(-AI184,"n.b."))</f>
        <v/>
      </c>
      <c r="BZ184" s="124" t="str">
        <f>IF($B184="","",IFERROR(-AJ184,"n.b."))</f>
        <v/>
      </c>
      <c r="CA184" s="124" t="str">
        <f>IF($B184="","",IFERROR(-AK184,"n.b."))</f>
        <v/>
      </c>
      <c r="CB184" s="124" t="str">
        <f>IF($B184="","",IFERROR(-AL184,"n.b."))</f>
        <v/>
      </c>
      <c r="CC184" s="124" t="str">
        <f>IF($B184="","",IFERROR(-AP184,"n.b."))</f>
        <v/>
      </c>
      <c r="CD184" s="124" t="str">
        <f>IF($B184="","",IFERROR(-AQ184,"n.b."))</f>
        <v/>
      </c>
      <c r="CE184" s="124" t="str">
        <f>IF($B184="","",IFERROR(-AR184,"n.b."))</f>
        <v/>
      </c>
      <c r="CF184" s="124" t="str">
        <f>IF($B184="","",IFERROR(-AS184,"n.b."))</f>
        <v/>
      </c>
      <c r="CG184" s="124" t="str">
        <f>IF($B184="","",IFERROR(-AT184,"n.b."))</f>
        <v/>
      </c>
      <c r="CH184" s="124" t="str">
        <f>IF($B184="","",IFERROR(-AU184,"n.b."))</f>
        <v/>
      </c>
      <c r="CI184" s="124" t="str">
        <f>IF($B184="","",IFERROR(-AV184,"n.b."))</f>
        <v/>
      </c>
      <c r="CJ184" s="124" t="str">
        <f>IF($B184="","",IFERROR(-AW184,"n.b."))</f>
        <v/>
      </c>
      <c r="CK184" s="124" t="str">
        <f>IF($B184="","",IFERROR(-AX184,"n.b."))</f>
        <v/>
      </c>
      <c r="CL184" s="124" t="str">
        <f>IF($B184="","",IFERROR(-AY184,"n.b."))</f>
        <v/>
      </c>
      <c r="CM184" s="124" t="str">
        <f>IF($B184="","",IFERROR(-AZ184,"n.b."))</f>
        <v/>
      </c>
      <c r="CN184" s="124" t="str">
        <f>IF($B184="","",IFERROR(-BA184,"n.b."))</f>
        <v/>
      </c>
      <c r="CO184" s="124" t="str">
        <f>IF($B184="","",IFERROR(-BB184,"n.b."))</f>
        <v/>
      </c>
      <c r="CP184" s="124" t="str">
        <f>IF($B184="","",IFERROR(-BC184,"n.b."))</f>
        <v/>
      </c>
      <c r="CQ184" s="124" t="str">
        <f>IF($B184="","",IFERROR(-BD184,"n.b."))</f>
        <v/>
      </c>
      <c r="CR184" s="124" t="str">
        <f>IF($B184="","",IFERROR(-BE184,"n.b."))</f>
        <v/>
      </c>
      <c r="CS184" s="124" t="str">
        <f>IF($B184="","",IFERROR(IF(OR(ABS(T184+V184+X184+Z184-AB184)&gt;P_Tol,ABS(U184+W184+Y184+AA184-AD184)&gt;P_Tol,ABS(AE184+AG184+AI184+AK184-AM184)&gt;P_Tol,ABS(AF184+AH184+AJ184+AL184-AO184)&gt;P_Tol),1,0),1))</f>
        <v/>
      </c>
      <c r="CT184" s="124" t="str">
        <f>IF($B184="","",IFERROR(IF(OR(ABS(AB184+AC184-AD184)&gt;P_Tol,ABS(AM184+AN184-AO184)&gt;P_Tol,ABS(O184+P184-Q184)&gt;P_Tol),1,0),1))</f>
        <v/>
      </c>
      <c r="CU184" s="124" t="str">
        <f>IF($B184="","",IFERROR(IF(ABS(R184-(AB184+AM184+AP184+AR184+AT184+AV184+AX184+AZ184+BB184+BD184))&gt;P_Tol,1,0),1))</f>
        <v/>
      </c>
      <c r="CV184" s="124" t="str">
        <f>IF($B184="","",IFERROR(IF(ABS(M184-(N184+O184+R184))&gt;P_Tol,1,0),1))</f>
        <v/>
      </c>
      <c r="CW184" s="124" t="str">
        <f>IF($B184="","",IF(COUNTIF(Mapping!$A$5:$A$104,B184)&gt;0,1,0))</f>
        <v/>
      </c>
      <c r="CX184" s="124" t="str">
        <f>IF($B184="","",COUNTIF($B$6:$B$505,B184))</f>
        <v/>
      </c>
      <c r="CY184" s="124" t="str">
        <f>IF($B184="","",COUNTIF(STG_Woningetalage!$B$6:$B$505,B184))</f>
        <v/>
      </c>
      <c r="CZ184" s="124" t="str">
        <f>IF($B184="","",IF(CW184=0,COUNTIF($CW$6:CW184,0),""))</f>
        <v/>
      </c>
    </row>
    <row r="185">
      <c r="A185" s="15" t="n">
        <v>181</v>
      </c>
      <c r="B185" t="str">
        <f>IF(B$3=0,"",IF(INDEX(SRC_ZPMW03!$A$1:$ZZ$501,$A185,B$3)&amp;""="","",INDEX(SRC_ZPMW03!$A$1:$ZZ$501,$A185,B$3)&amp;""))</f>
        <v/>
      </c>
      <c r="C185" t="str">
        <f>IF($B185="","",IF(C$3=0,"n.b.",INDEX(SRC_ZPMW03!$A$1:$ZZ$501,$A185,C$3)))</f>
        <v/>
      </c>
      <c r="D185" t="str">
        <f>IF($B185="","",IF(D$3=0,"n.b.",INDEX(SRC_ZPMW03!$A$1:$ZZ$501,$A185,D$3)))</f>
        <v/>
      </c>
      <c r="E185" t="str">
        <f>IF($B185="","",IF(E$3=0,"n.b.",INDEX(SRC_ZPMW03!$A$1:$ZZ$501,$A185,E$3)))</f>
        <v/>
      </c>
      <c r="F185" t="str">
        <f>IF($B185="","",IF(F$3=0,"n.b.",INDEX(SRC_ZPMW03!$A$1:$ZZ$501,$A185,F$3)))</f>
        <v/>
      </c>
      <c r="G185" t="str">
        <f>IF($B185="","",IF(G$3=0,"n.b.",INDEX(SRC_ZPMW03!$A$1:$ZZ$501,$A185,G$3)))</f>
        <v/>
      </c>
      <c r="H185" t="str">
        <f>IF($B185="","",IF(H$3=0,"n.b.",INDEX(SRC_ZPMW03!$A$1:$ZZ$501,$A185,H$3)))</f>
        <v/>
      </c>
      <c r="I185" t="str">
        <f>IF($B185="","",IF(I$3=0,"n.b.",INDEX(SRC_ZPMW03!$A$1:$ZZ$501,$A185,I$3)))</f>
        <v/>
      </c>
      <c r="J185" t="str">
        <f>IF($B185="","",IF(J$3=0,"n.b.",INDEX(SRC_ZPMW03!$A$1:$ZZ$501,$A185,J$3)))</f>
        <v/>
      </c>
      <c r="K185" t="str">
        <f>IF($B185="","",IF(K$3=0,"n.b.",INDEX(SRC_ZPMW03!$A$1:$ZZ$501,$A185,K$3)))</f>
        <v/>
      </c>
      <c r="L185" s="124" t="str">
        <f>IF($B185="","",IF(L$3=0,"n.b.",INDEX(SRC_ZPMW03!$A$1:$ZZ$501,$A185,L$3)))</f>
        <v/>
      </c>
      <c r="M185" s="124" t="str">
        <f>IF($B185="","",IF(M$3=0,"n.b.",INDEX(SRC_ZPMW03!$A$1:$ZZ$501,$A185,M$3)))</f>
        <v/>
      </c>
      <c r="N185" s="124" t="str">
        <f>IF($B185="","",IF(N$3=0,"n.b.",INDEX(SRC_ZPMW03!$A$1:$ZZ$501,$A185,N$3)))</f>
        <v/>
      </c>
      <c r="O185" s="124" t="str">
        <f>IF($B185="","",IF(O$3=0,"n.b.",INDEX(SRC_ZPMW03!$A$1:$ZZ$501,$A185,O$3)))</f>
        <v/>
      </c>
      <c r="P185" s="124" t="str">
        <f>IF($B185="","",IF(P$3=0,"n.b.",INDEX(SRC_ZPMW03!$A$1:$ZZ$501,$A185,P$3)))</f>
        <v/>
      </c>
      <c r="Q185" s="124" t="str">
        <f>IF($B185="","",IF(Q$3=0,"n.b.",INDEX(SRC_ZPMW03!$A$1:$ZZ$501,$A185,Q$3)))</f>
        <v/>
      </c>
      <c r="R185" s="124" t="str">
        <f>IF($B185="","",IF(R$3=0,"n.b.",INDEX(SRC_ZPMW03!$A$1:$ZZ$501,$A185,R$3)))</f>
        <v/>
      </c>
      <c r="S185" s="124" t="str">
        <f>IF($B185="","",IF(S$3=0,"n.b.",INDEX(SRC_ZPMW03!$A$1:$ZZ$501,$A185,S$3)))</f>
        <v/>
      </c>
      <c r="T185" s="124" t="str">
        <f>IF($B185="","",IF(T$3=0,"n.b.",INDEX(SRC_ZPMW03!$A$1:$ZZ$501,$A185,T$3)))</f>
        <v/>
      </c>
      <c r="U185" s="124" t="str">
        <f>IF($B185="","",IF(U$3=0,"n.b.",INDEX(SRC_ZPMW03!$A$1:$ZZ$501,$A185,U$3)))</f>
        <v/>
      </c>
      <c r="V185" s="124" t="str">
        <f>IF($B185="","",IF(V$3=0,"n.b.",INDEX(SRC_ZPMW03!$A$1:$ZZ$501,$A185,V$3)))</f>
        <v/>
      </c>
      <c r="W185" s="124" t="str">
        <f>IF($B185="","",IF(W$3=0,"n.b.",INDEX(SRC_ZPMW03!$A$1:$ZZ$501,$A185,W$3)))</f>
        <v/>
      </c>
      <c r="X185" s="124" t="str">
        <f>IF($B185="","",IF(X$3=0,"n.b.",INDEX(SRC_ZPMW03!$A$1:$ZZ$501,$A185,X$3)))</f>
        <v/>
      </c>
      <c r="Y185" s="124" t="str">
        <f>IF($B185="","",IF(Y$3=0,"n.b.",INDEX(SRC_ZPMW03!$A$1:$ZZ$501,$A185,Y$3)))</f>
        <v/>
      </c>
      <c r="Z185" s="124" t="str">
        <f>IF($B185="","",IF(Z$3=0,"n.b.",INDEX(SRC_ZPMW03!$A$1:$ZZ$501,$A185,Z$3)))</f>
        <v/>
      </c>
      <c r="AA185" s="124" t="str">
        <f>IF($B185="","",IF(AA$3=0,"n.b.",INDEX(SRC_ZPMW03!$A$1:$ZZ$501,$A185,AA$3)))</f>
        <v/>
      </c>
      <c r="AB185" s="124" t="str">
        <f>IF($B185="","",IF(AB$3=0,"n.b.",INDEX(SRC_ZPMW03!$A$1:$ZZ$501,$A185,AB$3)))</f>
        <v/>
      </c>
      <c r="AC185" s="124" t="str">
        <f>IF($B185="","",IF(AC$3=0,"n.b.",INDEX(SRC_ZPMW03!$A$1:$ZZ$501,$A185,AC$3)))</f>
        <v/>
      </c>
      <c r="AD185" s="124" t="str">
        <f>IF($B185="","",IF(AD$3=0,"n.b.",INDEX(SRC_ZPMW03!$A$1:$ZZ$501,$A185,AD$3)))</f>
        <v/>
      </c>
      <c r="AE185" s="124" t="str">
        <f>IF($B185="","",IF(AE$3=0,"n.b.",INDEX(SRC_ZPMW03!$A$1:$ZZ$501,$A185,AE$3)))</f>
        <v/>
      </c>
      <c r="AF185" s="124" t="str">
        <f>IF($B185="","",IF(AF$3=0,"n.b.",INDEX(SRC_ZPMW03!$A$1:$ZZ$501,$A185,AF$3)))</f>
        <v/>
      </c>
      <c r="AG185" s="124" t="str">
        <f>IF($B185="","",IF(AG$3=0,"n.b.",INDEX(SRC_ZPMW03!$A$1:$ZZ$501,$A185,AG$3)))</f>
        <v/>
      </c>
      <c r="AH185" s="124" t="str">
        <f>IF($B185="","",IF(AH$3=0,"n.b.",INDEX(SRC_ZPMW03!$A$1:$ZZ$501,$A185,AH$3)))</f>
        <v/>
      </c>
      <c r="AI185" s="124" t="str">
        <f>IF($B185="","",IF(AI$3=0,"n.b.",INDEX(SRC_ZPMW03!$A$1:$ZZ$501,$A185,AI$3)))</f>
        <v/>
      </c>
      <c r="AJ185" s="124" t="str">
        <f>IF($B185="","",IF(AJ$3=0,"n.b.",INDEX(SRC_ZPMW03!$A$1:$ZZ$501,$A185,AJ$3)))</f>
        <v/>
      </c>
      <c r="AK185" s="124" t="str">
        <f>IF($B185="","",IF(AK$3=0,"n.b.",INDEX(SRC_ZPMW03!$A$1:$ZZ$501,$A185,AK$3)))</f>
        <v/>
      </c>
      <c r="AL185" s="124" t="str">
        <f>IF($B185="","",IF(AL$3=0,"n.b.",INDEX(SRC_ZPMW03!$A$1:$ZZ$501,$A185,AL$3)))</f>
        <v/>
      </c>
      <c r="AM185" s="124" t="str">
        <f>IF($B185="","",IF(AM$3=0,"n.b.",INDEX(SRC_ZPMW03!$A$1:$ZZ$501,$A185,AM$3)))</f>
        <v/>
      </c>
      <c r="AN185" s="124" t="str">
        <f>IF($B185="","",IF(AN$3=0,"n.b.",INDEX(SRC_ZPMW03!$A$1:$ZZ$501,$A185,AN$3)))</f>
        <v/>
      </c>
      <c r="AO185" s="124" t="str">
        <f>IF($B185="","",IF(AO$3=0,"n.b.",INDEX(SRC_ZPMW03!$A$1:$ZZ$501,$A185,AO$3)))</f>
        <v/>
      </c>
      <c r="AP185" s="124" t="str">
        <f>IF($B185="","",IF(AP$3=0,"n.b.",INDEX(SRC_ZPMW03!$A$1:$ZZ$501,$A185,AP$3)))</f>
        <v/>
      </c>
      <c r="AQ185" s="124" t="str">
        <f>IF($B185="","",IF(AQ$3=0,"n.b.",INDEX(SRC_ZPMW03!$A$1:$ZZ$501,$A185,AQ$3)))</f>
        <v/>
      </c>
      <c r="AR185" s="124" t="str">
        <f>IF($B185="","",IF(AR$3=0,"n.b.",INDEX(SRC_ZPMW03!$A$1:$ZZ$501,$A185,AR$3)))</f>
        <v/>
      </c>
      <c r="AS185" s="124" t="str">
        <f>IF($B185="","",IF(AS$3=0,"n.b.",INDEX(SRC_ZPMW03!$A$1:$ZZ$501,$A185,AS$3)))</f>
        <v/>
      </c>
      <c r="AT185" s="124" t="str">
        <f>IF($B185="","",IF(AT$3=0,"n.b.",INDEX(SRC_ZPMW03!$A$1:$ZZ$501,$A185,AT$3)))</f>
        <v/>
      </c>
      <c r="AU185" s="124" t="str">
        <f>IF($B185="","",IF(AU$3=0,"n.b.",INDEX(SRC_ZPMW03!$A$1:$ZZ$501,$A185,AU$3)))</f>
        <v/>
      </c>
      <c r="AV185" s="124" t="str">
        <f>IF($B185="","",IF(AV$3=0,"n.b.",INDEX(SRC_ZPMW03!$A$1:$ZZ$501,$A185,AV$3)))</f>
        <v/>
      </c>
      <c r="AW185" s="124" t="str">
        <f>IF($B185="","",IF(AW$3=0,"n.b.",INDEX(SRC_ZPMW03!$A$1:$ZZ$501,$A185,AW$3)))</f>
        <v/>
      </c>
      <c r="AX185" s="124" t="str">
        <f>IF($B185="","",IF(AX$3=0,"n.b.",INDEX(SRC_ZPMW03!$A$1:$ZZ$501,$A185,AX$3)))</f>
        <v/>
      </c>
      <c r="AY185" s="124" t="str">
        <f>IF($B185="","",IF(AY$3=0,"n.b.",INDEX(SRC_ZPMW03!$A$1:$ZZ$501,$A185,AY$3)))</f>
        <v/>
      </c>
      <c r="AZ185" s="124" t="str">
        <f>IF($B185="","",IF(AZ$3=0,"n.b.",INDEX(SRC_ZPMW03!$A$1:$ZZ$501,$A185,AZ$3)))</f>
        <v/>
      </c>
      <c r="BA185" s="124" t="str">
        <f>IF($B185="","",IF(BA$3=0,"n.b.",INDEX(SRC_ZPMW03!$A$1:$ZZ$501,$A185,BA$3)))</f>
        <v/>
      </c>
      <c r="BB185" s="124" t="str">
        <f>IF($B185="","",IF(BB$3=0,"n.b.",INDEX(SRC_ZPMW03!$A$1:$ZZ$501,$A185,BB$3)))</f>
        <v/>
      </c>
      <c r="BC185" s="124" t="str">
        <f>IF($B185="","",IF(BC$3=0,"n.b.",INDEX(SRC_ZPMW03!$A$1:$ZZ$501,$A185,BC$3)))</f>
        <v/>
      </c>
      <c r="BD185" s="124" t="str">
        <f>IF($B185="","",IF(BD$3=0,"n.b.",INDEX(SRC_ZPMW03!$A$1:$ZZ$501,$A185,BD$3)))</f>
        <v/>
      </c>
      <c r="BE185" s="124" t="str">
        <f>IF($B185="","",IF(BE$3=0,"n.b.",INDEX(SRC_ZPMW03!$A$1:$ZZ$501,$A185,BE$3)))</f>
        <v/>
      </c>
      <c r="BF185" s="124" t="str">
        <f>IF($B185="","",IF(BF$3=0,"n.b.",INDEX(SRC_ZPMW03!$A$1:$ZZ$501,$A185,BF$3)))</f>
        <v/>
      </c>
      <c r="BG185" t="str">
        <f>IF($B185="","",IF(BG$3=0,"n.b.",INDEX(SRC_ZPMW03!$A$1:$ZZ$501,$A185,BG$3)))</f>
        <v/>
      </c>
      <c r="BH185" t="str">
        <f>IF($B185="","",IF(BH$3=0,"n.b.",INDEX(SRC_ZPMW03!$A$1:$ZZ$501,$A185,BH$3)))</f>
        <v/>
      </c>
      <c r="BI185" t="str">
        <f>IF($B185="","",IF(BI$3=0,"n.b.",INDEX(SRC_ZPMW03!$A$1:$ZZ$501,$A185,BI$3)))</f>
        <v/>
      </c>
      <c r="BJ185" t="str">
        <f>IF($B185="","",IF(BJ$3=0,"n.b.",INDEX(SRC_ZPMW03!$A$1:$ZZ$501,$A185,BJ$3)))</f>
        <v/>
      </c>
      <c r="BK185" s="124" t="str">
        <f>IF($B185="","",IFERROR(-O185,"n.b."))</f>
        <v/>
      </c>
      <c r="BL185" s="124" t="str">
        <f>IF($B185="","",IFERROR(-Q185,"n.b."))</f>
        <v/>
      </c>
      <c r="BM185" s="124" t="str">
        <f>IF($B185="","",IFERROR(-AB185,"n.b."))</f>
        <v/>
      </c>
      <c r="BN185" s="124" t="str">
        <f>IF($B185="","",IFERROR(-AD185,"n.b."))</f>
        <v/>
      </c>
      <c r="BO185" s="124" t="str">
        <f>IF($B185="","",IFERROR(BK185+BM185,"n.b."))</f>
        <v/>
      </c>
      <c r="BP185" s="124" t="str">
        <f>IF($B185="","",IFERROR(BL185+BN185,"n.b."))</f>
        <v/>
      </c>
      <c r="BQ185" s="124" t="str">
        <f>IF($B185="","",IFERROR(-AM185,"n.b."))</f>
        <v/>
      </c>
      <c r="BR185" s="124" t="str">
        <f>IF($B185="","",IFERROR(-AO185,"n.b."))</f>
        <v/>
      </c>
      <c r="BS185" s="124" t="str">
        <f>IF($B185="","",IFERROR(-Z185,"n.b."))</f>
        <v/>
      </c>
      <c r="BT185" s="124" t="str">
        <f>IF($B185="","",IFERROR(-AA185,"n.b."))</f>
        <v/>
      </c>
      <c r="BU185" s="124" t="str">
        <f>IF($B185="","",IFERROR(-AE185,"n.b."))</f>
        <v/>
      </c>
      <c r="BV185" s="124" t="str">
        <f>IF($B185="","",IFERROR(-AF185,"n.b."))</f>
        <v/>
      </c>
      <c r="BW185" s="124" t="str">
        <f>IF($B185="","",IFERROR(-AG185,"n.b."))</f>
        <v/>
      </c>
      <c r="BX185" s="124" t="str">
        <f>IF($B185="","",IFERROR(-AH185,"n.b."))</f>
        <v/>
      </c>
      <c r="BY185" s="124" t="str">
        <f>IF($B185="","",IFERROR(-AI185,"n.b."))</f>
        <v/>
      </c>
      <c r="BZ185" s="124" t="str">
        <f>IF($B185="","",IFERROR(-AJ185,"n.b."))</f>
        <v/>
      </c>
      <c r="CA185" s="124" t="str">
        <f>IF($B185="","",IFERROR(-AK185,"n.b."))</f>
        <v/>
      </c>
      <c r="CB185" s="124" t="str">
        <f>IF($B185="","",IFERROR(-AL185,"n.b."))</f>
        <v/>
      </c>
      <c r="CC185" s="124" t="str">
        <f>IF($B185="","",IFERROR(-AP185,"n.b."))</f>
        <v/>
      </c>
      <c r="CD185" s="124" t="str">
        <f>IF($B185="","",IFERROR(-AQ185,"n.b."))</f>
        <v/>
      </c>
      <c r="CE185" s="124" t="str">
        <f>IF($B185="","",IFERROR(-AR185,"n.b."))</f>
        <v/>
      </c>
      <c r="CF185" s="124" t="str">
        <f>IF($B185="","",IFERROR(-AS185,"n.b."))</f>
        <v/>
      </c>
      <c r="CG185" s="124" t="str">
        <f>IF($B185="","",IFERROR(-AT185,"n.b."))</f>
        <v/>
      </c>
      <c r="CH185" s="124" t="str">
        <f>IF($B185="","",IFERROR(-AU185,"n.b."))</f>
        <v/>
      </c>
      <c r="CI185" s="124" t="str">
        <f>IF($B185="","",IFERROR(-AV185,"n.b."))</f>
        <v/>
      </c>
      <c r="CJ185" s="124" t="str">
        <f>IF($B185="","",IFERROR(-AW185,"n.b."))</f>
        <v/>
      </c>
      <c r="CK185" s="124" t="str">
        <f>IF($B185="","",IFERROR(-AX185,"n.b."))</f>
        <v/>
      </c>
      <c r="CL185" s="124" t="str">
        <f>IF($B185="","",IFERROR(-AY185,"n.b."))</f>
        <v/>
      </c>
      <c r="CM185" s="124" t="str">
        <f>IF($B185="","",IFERROR(-AZ185,"n.b."))</f>
        <v/>
      </c>
      <c r="CN185" s="124" t="str">
        <f>IF($B185="","",IFERROR(-BA185,"n.b."))</f>
        <v/>
      </c>
      <c r="CO185" s="124" t="str">
        <f>IF($B185="","",IFERROR(-BB185,"n.b."))</f>
        <v/>
      </c>
      <c r="CP185" s="124" t="str">
        <f>IF($B185="","",IFERROR(-BC185,"n.b."))</f>
        <v/>
      </c>
      <c r="CQ185" s="124" t="str">
        <f>IF($B185="","",IFERROR(-BD185,"n.b."))</f>
        <v/>
      </c>
      <c r="CR185" s="124" t="str">
        <f>IF($B185="","",IFERROR(-BE185,"n.b."))</f>
        <v/>
      </c>
      <c r="CS185" s="124" t="str">
        <f>IF($B185="","",IFERROR(IF(OR(ABS(T185+V185+X185+Z185-AB185)&gt;P_Tol,ABS(U185+W185+Y185+AA185-AD185)&gt;P_Tol,ABS(AE185+AG185+AI185+AK185-AM185)&gt;P_Tol,ABS(AF185+AH185+AJ185+AL185-AO185)&gt;P_Tol),1,0),1))</f>
        <v/>
      </c>
      <c r="CT185" s="124" t="str">
        <f>IF($B185="","",IFERROR(IF(OR(ABS(AB185+AC185-AD185)&gt;P_Tol,ABS(AM185+AN185-AO185)&gt;P_Tol,ABS(O185+P185-Q185)&gt;P_Tol),1,0),1))</f>
        <v/>
      </c>
      <c r="CU185" s="124" t="str">
        <f>IF($B185="","",IFERROR(IF(ABS(R185-(AB185+AM185+AP185+AR185+AT185+AV185+AX185+AZ185+BB185+BD185))&gt;P_Tol,1,0),1))</f>
        <v/>
      </c>
      <c r="CV185" s="124" t="str">
        <f>IF($B185="","",IFERROR(IF(ABS(M185-(N185+O185+R185))&gt;P_Tol,1,0),1))</f>
        <v/>
      </c>
      <c r="CW185" s="124" t="str">
        <f>IF($B185="","",IF(COUNTIF(Mapping!$A$5:$A$104,B185)&gt;0,1,0))</f>
        <v/>
      </c>
      <c r="CX185" s="124" t="str">
        <f>IF($B185="","",COUNTIF($B$6:$B$505,B185))</f>
        <v/>
      </c>
      <c r="CY185" s="124" t="str">
        <f>IF($B185="","",COUNTIF(STG_Woningetalage!$B$6:$B$505,B185))</f>
        <v/>
      </c>
      <c r="CZ185" s="124" t="str">
        <f>IF($B185="","",IF(CW185=0,COUNTIF($CW$6:CW185,0),""))</f>
        <v/>
      </c>
    </row>
    <row r="186">
      <c r="A186" s="15" t="n">
        <v>182</v>
      </c>
      <c r="B186" t="str">
        <f>IF(B$3=0,"",IF(INDEX(SRC_ZPMW03!$A$1:$ZZ$501,$A186,B$3)&amp;""="","",INDEX(SRC_ZPMW03!$A$1:$ZZ$501,$A186,B$3)&amp;""))</f>
        <v/>
      </c>
      <c r="C186" t="str">
        <f>IF($B186="","",IF(C$3=0,"n.b.",INDEX(SRC_ZPMW03!$A$1:$ZZ$501,$A186,C$3)))</f>
        <v/>
      </c>
      <c r="D186" t="str">
        <f>IF($B186="","",IF(D$3=0,"n.b.",INDEX(SRC_ZPMW03!$A$1:$ZZ$501,$A186,D$3)))</f>
        <v/>
      </c>
      <c r="E186" t="str">
        <f>IF($B186="","",IF(E$3=0,"n.b.",INDEX(SRC_ZPMW03!$A$1:$ZZ$501,$A186,E$3)))</f>
        <v/>
      </c>
      <c r="F186" t="str">
        <f>IF($B186="","",IF(F$3=0,"n.b.",INDEX(SRC_ZPMW03!$A$1:$ZZ$501,$A186,F$3)))</f>
        <v/>
      </c>
      <c r="G186" t="str">
        <f>IF($B186="","",IF(G$3=0,"n.b.",INDEX(SRC_ZPMW03!$A$1:$ZZ$501,$A186,G$3)))</f>
        <v/>
      </c>
      <c r="H186" t="str">
        <f>IF($B186="","",IF(H$3=0,"n.b.",INDEX(SRC_ZPMW03!$A$1:$ZZ$501,$A186,H$3)))</f>
        <v/>
      </c>
      <c r="I186" t="str">
        <f>IF($B186="","",IF(I$3=0,"n.b.",INDEX(SRC_ZPMW03!$A$1:$ZZ$501,$A186,I$3)))</f>
        <v/>
      </c>
      <c r="J186" t="str">
        <f>IF($B186="","",IF(J$3=0,"n.b.",INDEX(SRC_ZPMW03!$A$1:$ZZ$501,$A186,J$3)))</f>
        <v/>
      </c>
      <c r="K186" t="str">
        <f>IF($B186="","",IF(K$3=0,"n.b.",INDEX(SRC_ZPMW03!$A$1:$ZZ$501,$A186,K$3)))</f>
        <v/>
      </c>
      <c r="L186" s="124" t="str">
        <f>IF($B186="","",IF(L$3=0,"n.b.",INDEX(SRC_ZPMW03!$A$1:$ZZ$501,$A186,L$3)))</f>
        <v/>
      </c>
      <c r="M186" s="124" t="str">
        <f>IF($B186="","",IF(M$3=0,"n.b.",INDEX(SRC_ZPMW03!$A$1:$ZZ$501,$A186,M$3)))</f>
        <v/>
      </c>
      <c r="N186" s="124" t="str">
        <f>IF($B186="","",IF(N$3=0,"n.b.",INDEX(SRC_ZPMW03!$A$1:$ZZ$501,$A186,N$3)))</f>
        <v/>
      </c>
      <c r="O186" s="124" t="str">
        <f>IF($B186="","",IF(O$3=0,"n.b.",INDEX(SRC_ZPMW03!$A$1:$ZZ$501,$A186,O$3)))</f>
        <v/>
      </c>
      <c r="P186" s="124" t="str">
        <f>IF($B186="","",IF(P$3=0,"n.b.",INDEX(SRC_ZPMW03!$A$1:$ZZ$501,$A186,P$3)))</f>
        <v/>
      </c>
      <c r="Q186" s="124" t="str">
        <f>IF($B186="","",IF(Q$3=0,"n.b.",INDEX(SRC_ZPMW03!$A$1:$ZZ$501,$A186,Q$3)))</f>
        <v/>
      </c>
      <c r="R186" s="124" t="str">
        <f>IF($B186="","",IF(R$3=0,"n.b.",INDEX(SRC_ZPMW03!$A$1:$ZZ$501,$A186,R$3)))</f>
        <v/>
      </c>
      <c r="S186" s="124" t="str">
        <f>IF($B186="","",IF(S$3=0,"n.b.",INDEX(SRC_ZPMW03!$A$1:$ZZ$501,$A186,S$3)))</f>
        <v/>
      </c>
      <c r="T186" s="124" t="str">
        <f>IF($B186="","",IF(T$3=0,"n.b.",INDEX(SRC_ZPMW03!$A$1:$ZZ$501,$A186,T$3)))</f>
        <v/>
      </c>
      <c r="U186" s="124" t="str">
        <f>IF($B186="","",IF(U$3=0,"n.b.",INDEX(SRC_ZPMW03!$A$1:$ZZ$501,$A186,U$3)))</f>
        <v/>
      </c>
      <c r="V186" s="124" t="str">
        <f>IF($B186="","",IF(V$3=0,"n.b.",INDEX(SRC_ZPMW03!$A$1:$ZZ$501,$A186,V$3)))</f>
        <v/>
      </c>
      <c r="W186" s="124" t="str">
        <f>IF($B186="","",IF(W$3=0,"n.b.",INDEX(SRC_ZPMW03!$A$1:$ZZ$501,$A186,W$3)))</f>
        <v/>
      </c>
      <c r="X186" s="124" t="str">
        <f>IF($B186="","",IF(X$3=0,"n.b.",INDEX(SRC_ZPMW03!$A$1:$ZZ$501,$A186,X$3)))</f>
        <v/>
      </c>
      <c r="Y186" s="124" t="str">
        <f>IF($B186="","",IF(Y$3=0,"n.b.",INDEX(SRC_ZPMW03!$A$1:$ZZ$501,$A186,Y$3)))</f>
        <v/>
      </c>
      <c r="Z186" s="124" t="str">
        <f>IF($B186="","",IF(Z$3=0,"n.b.",INDEX(SRC_ZPMW03!$A$1:$ZZ$501,$A186,Z$3)))</f>
        <v/>
      </c>
      <c r="AA186" s="124" t="str">
        <f>IF($B186="","",IF(AA$3=0,"n.b.",INDEX(SRC_ZPMW03!$A$1:$ZZ$501,$A186,AA$3)))</f>
        <v/>
      </c>
      <c r="AB186" s="124" t="str">
        <f>IF($B186="","",IF(AB$3=0,"n.b.",INDEX(SRC_ZPMW03!$A$1:$ZZ$501,$A186,AB$3)))</f>
        <v/>
      </c>
      <c r="AC186" s="124" t="str">
        <f>IF($B186="","",IF(AC$3=0,"n.b.",INDEX(SRC_ZPMW03!$A$1:$ZZ$501,$A186,AC$3)))</f>
        <v/>
      </c>
      <c r="AD186" s="124" t="str">
        <f>IF($B186="","",IF(AD$3=0,"n.b.",INDEX(SRC_ZPMW03!$A$1:$ZZ$501,$A186,AD$3)))</f>
        <v/>
      </c>
      <c r="AE186" s="124" t="str">
        <f>IF($B186="","",IF(AE$3=0,"n.b.",INDEX(SRC_ZPMW03!$A$1:$ZZ$501,$A186,AE$3)))</f>
        <v/>
      </c>
      <c r="AF186" s="124" t="str">
        <f>IF($B186="","",IF(AF$3=0,"n.b.",INDEX(SRC_ZPMW03!$A$1:$ZZ$501,$A186,AF$3)))</f>
        <v/>
      </c>
      <c r="AG186" s="124" t="str">
        <f>IF($B186="","",IF(AG$3=0,"n.b.",INDEX(SRC_ZPMW03!$A$1:$ZZ$501,$A186,AG$3)))</f>
        <v/>
      </c>
      <c r="AH186" s="124" t="str">
        <f>IF($B186="","",IF(AH$3=0,"n.b.",INDEX(SRC_ZPMW03!$A$1:$ZZ$501,$A186,AH$3)))</f>
        <v/>
      </c>
      <c r="AI186" s="124" t="str">
        <f>IF($B186="","",IF(AI$3=0,"n.b.",INDEX(SRC_ZPMW03!$A$1:$ZZ$501,$A186,AI$3)))</f>
        <v/>
      </c>
      <c r="AJ186" s="124" t="str">
        <f>IF($B186="","",IF(AJ$3=0,"n.b.",INDEX(SRC_ZPMW03!$A$1:$ZZ$501,$A186,AJ$3)))</f>
        <v/>
      </c>
      <c r="AK186" s="124" t="str">
        <f>IF($B186="","",IF(AK$3=0,"n.b.",INDEX(SRC_ZPMW03!$A$1:$ZZ$501,$A186,AK$3)))</f>
        <v/>
      </c>
      <c r="AL186" s="124" t="str">
        <f>IF($B186="","",IF(AL$3=0,"n.b.",INDEX(SRC_ZPMW03!$A$1:$ZZ$501,$A186,AL$3)))</f>
        <v/>
      </c>
      <c r="AM186" s="124" t="str">
        <f>IF($B186="","",IF(AM$3=0,"n.b.",INDEX(SRC_ZPMW03!$A$1:$ZZ$501,$A186,AM$3)))</f>
        <v/>
      </c>
      <c r="AN186" s="124" t="str">
        <f>IF($B186="","",IF(AN$3=0,"n.b.",INDEX(SRC_ZPMW03!$A$1:$ZZ$501,$A186,AN$3)))</f>
        <v/>
      </c>
      <c r="AO186" s="124" t="str">
        <f>IF($B186="","",IF(AO$3=0,"n.b.",INDEX(SRC_ZPMW03!$A$1:$ZZ$501,$A186,AO$3)))</f>
        <v/>
      </c>
      <c r="AP186" s="124" t="str">
        <f>IF($B186="","",IF(AP$3=0,"n.b.",INDEX(SRC_ZPMW03!$A$1:$ZZ$501,$A186,AP$3)))</f>
        <v/>
      </c>
      <c r="AQ186" s="124" t="str">
        <f>IF($B186="","",IF(AQ$3=0,"n.b.",INDEX(SRC_ZPMW03!$A$1:$ZZ$501,$A186,AQ$3)))</f>
        <v/>
      </c>
      <c r="AR186" s="124" t="str">
        <f>IF($B186="","",IF(AR$3=0,"n.b.",INDEX(SRC_ZPMW03!$A$1:$ZZ$501,$A186,AR$3)))</f>
        <v/>
      </c>
      <c r="AS186" s="124" t="str">
        <f>IF($B186="","",IF(AS$3=0,"n.b.",INDEX(SRC_ZPMW03!$A$1:$ZZ$501,$A186,AS$3)))</f>
        <v/>
      </c>
      <c r="AT186" s="124" t="str">
        <f>IF($B186="","",IF(AT$3=0,"n.b.",INDEX(SRC_ZPMW03!$A$1:$ZZ$501,$A186,AT$3)))</f>
        <v/>
      </c>
      <c r="AU186" s="124" t="str">
        <f>IF($B186="","",IF(AU$3=0,"n.b.",INDEX(SRC_ZPMW03!$A$1:$ZZ$501,$A186,AU$3)))</f>
        <v/>
      </c>
      <c r="AV186" s="124" t="str">
        <f>IF($B186="","",IF(AV$3=0,"n.b.",INDEX(SRC_ZPMW03!$A$1:$ZZ$501,$A186,AV$3)))</f>
        <v/>
      </c>
      <c r="AW186" s="124" t="str">
        <f>IF($B186="","",IF(AW$3=0,"n.b.",INDEX(SRC_ZPMW03!$A$1:$ZZ$501,$A186,AW$3)))</f>
        <v/>
      </c>
      <c r="AX186" s="124" t="str">
        <f>IF($B186="","",IF(AX$3=0,"n.b.",INDEX(SRC_ZPMW03!$A$1:$ZZ$501,$A186,AX$3)))</f>
        <v/>
      </c>
      <c r="AY186" s="124" t="str">
        <f>IF($B186="","",IF(AY$3=0,"n.b.",INDEX(SRC_ZPMW03!$A$1:$ZZ$501,$A186,AY$3)))</f>
        <v/>
      </c>
      <c r="AZ186" s="124" t="str">
        <f>IF($B186="","",IF(AZ$3=0,"n.b.",INDEX(SRC_ZPMW03!$A$1:$ZZ$501,$A186,AZ$3)))</f>
        <v/>
      </c>
      <c r="BA186" s="124" t="str">
        <f>IF($B186="","",IF(BA$3=0,"n.b.",INDEX(SRC_ZPMW03!$A$1:$ZZ$501,$A186,BA$3)))</f>
        <v/>
      </c>
      <c r="BB186" s="124" t="str">
        <f>IF($B186="","",IF(BB$3=0,"n.b.",INDEX(SRC_ZPMW03!$A$1:$ZZ$501,$A186,BB$3)))</f>
        <v/>
      </c>
      <c r="BC186" s="124" t="str">
        <f>IF($B186="","",IF(BC$3=0,"n.b.",INDEX(SRC_ZPMW03!$A$1:$ZZ$501,$A186,BC$3)))</f>
        <v/>
      </c>
      <c r="BD186" s="124" t="str">
        <f>IF($B186="","",IF(BD$3=0,"n.b.",INDEX(SRC_ZPMW03!$A$1:$ZZ$501,$A186,BD$3)))</f>
        <v/>
      </c>
      <c r="BE186" s="124" t="str">
        <f>IF($B186="","",IF(BE$3=0,"n.b.",INDEX(SRC_ZPMW03!$A$1:$ZZ$501,$A186,BE$3)))</f>
        <v/>
      </c>
      <c r="BF186" s="124" t="str">
        <f>IF($B186="","",IF(BF$3=0,"n.b.",INDEX(SRC_ZPMW03!$A$1:$ZZ$501,$A186,BF$3)))</f>
        <v/>
      </c>
      <c r="BG186" t="str">
        <f>IF($B186="","",IF(BG$3=0,"n.b.",INDEX(SRC_ZPMW03!$A$1:$ZZ$501,$A186,BG$3)))</f>
        <v/>
      </c>
      <c r="BH186" t="str">
        <f>IF($B186="","",IF(BH$3=0,"n.b.",INDEX(SRC_ZPMW03!$A$1:$ZZ$501,$A186,BH$3)))</f>
        <v/>
      </c>
      <c r="BI186" t="str">
        <f>IF($B186="","",IF(BI$3=0,"n.b.",INDEX(SRC_ZPMW03!$A$1:$ZZ$501,$A186,BI$3)))</f>
        <v/>
      </c>
      <c r="BJ186" t="str">
        <f>IF($B186="","",IF(BJ$3=0,"n.b.",INDEX(SRC_ZPMW03!$A$1:$ZZ$501,$A186,BJ$3)))</f>
        <v/>
      </c>
      <c r="BK186" s="124" t="str">
        <f>IF($B186="","",IFERROR(-O186,"n.b."))</f>
        <v/>
      </c>
      <c r="BL186" s="124" t="str">
        <f>IF($B186="","",IFERROR(-Q186,"n.b."))</f>
        <v/>
      </c>
      <c r="BM186" s="124" t="str">
        <f>IF($B186="","",IFERROR(-AB186,"n.b."))</f>
        <v/>
      </c>
      <c r="BN186" s="124" t="str">
        <f>IF($B186="","",IFERROR(-AD186,"n.b."))</f>
        <v/>
      </c>
      <c r="BO186" s="124" t="str">
        <f>IF($B186="","",IFERROR(BK186+BM186,"n.b."))</f>
        <v/>
      </c>
      <c r="BP186" s="124" t="str">
        <f>IF($B186="","",IFERROR(BL186+BN186,"n.b."))</f>
        <v/>
      </c>
      <c r="BQ186" s="124" t="str">
        <f>IF($B186="","",IFERROR(-AM186,"n.b."))</f>
        <v/>
      </c>
      <c r="BR186" s="124" t="str">
        <f>IF($B186="","",IFERROR(-AO186,"n.b."))</f>
        <v/>
      </c>
      <c r="BS186" s="124" t="str">
        <f>IF($B186="","",IFERROR(-Z186,"n.b."))</f>
        <v/>
      </c>
      <c r="BT186" s="124" t="str">
        <f>IF($B186="","",IFERROR(-AA186,"n.b."))</f>
        <v/>
      </c>
      <c r="BU186" s="124" t="str">
        <f>IF($B186="","",IFERROR(-AE186,"n.b."))</f>
        <v/>
      </c>
      <c r="BV186" s="124" t="str">
        <f>IF($B186="","",IFERROR(-AF186,"n.b."))</f>
        <v/>
      </c>
      <c r="BW186" s="124" t="str">
        <f>IF($B186="","",IFERROR(-AG186,"n.b."))</f>
        <v/>
      </c>
      <c r="BX186" s="124" t="str">
        <f>IF($B186="","",IFERROR(-AH186,"n.b."))</f>
        <v/>
      </c>
      <c r="BY186" s="124" t="str">
        <f>IF($B186="","",IFERROR(-AI186,"n.b."))</f>
        <v/>
      </c>
      <c r="BZ186" s="124" t="str">
        <f>IF($B186="","",IFERROR(-AJ186,"n.b."))</f>
        <v/>
      </c>
      <c r="CA186" s="124" t="str">
        <f>IF($B186="","",IFERROR(-AK186,"n.b."))</f>
        <v/>
      </c>
      <c r="CB186" s="124" t="str">
        <f>IF($B186="","",IFERROR(-AL186,"n.b."))</f>
        <v/>
      </c>
      <c r="CC186" s="124" t="str">
        <f>IF($B186="","",IFERROR(-AP186,"n.b."))</f>
        <v/>
      </c>
      <c r="CD186" s="124" t="str">
        <f>IF($B186="","",IFERROR(-AQ186,"n.b."))</f>
        <v/>
      </c>
      <c r="CE186" s="124" t="str">
        <f>IF($B186="","",IFERROR(-AR186,"n.b."))</f>
        <v/>
      </c>
      <c r="CF186" s="124" t="str">
        <f>IF($B186="","",IFERROR(-AS186,"n.b."))</f>
        <v/>
      </c>
      <c r="CG186" s="124" t="str">
        <f>IF($B186="","",IFERROR(-AT186,"n.b."))</f>
        <v/>
      </c>
      <c r="CH186" s="124" t="str">
        <f>IF($B186="","",IFERROR(-AU186,"n.b."))</f>
        <v/>
      </c>
      <c r="CI186" s="124" t="str">
        <f>IF($B186="","",IFERROR(-AV186,"n.b."))</f>
        <v/>
      </c>
      <c r="CJ186" s="124" t="str">
        <f>IF($B186="","",IFERROR(-AW186,"n.b."))</f>
        <v/>
      </c>
      <c r="CK186" s="124" t="str">
        <f>IF($B186="","",IFERROR(-AX186,"n.b."))</f>
        <v/>
      </c>
      <c r="CL186" s="124" t="str">
        <f>IF($B186="","",IFERROR(-AY186,"n.b."))</f>
        <v/>
      </c>
      <c r="CM186" s="124" t="str">
        <f>IF($B186="","",IFERROR(-AZ186,"n.b."))</f>
        <v/>
      </c>
      <c r="CN186" s="124" t="str">
        <f>IF($B186="","",IFERROR(-BA186,"n.b."))</f>
        <v/>
      </c>
      <c r="CO186" s="124" t="str">
        <f>IF($B186="","",IFERROR(-BB186,"n.b."))</f>
        <v/>
      </c>
      <c r="CP186" s="124" t="str">
        <f>IF($B186="","",IFERROR(-BC186,"n.b."))</f>
        <v/>
      </c>
      <c r="CQ186" s="124" t="str">
        <f>IF($B186="","",IFERROR(-BD186,"n.b."))</f>
        <v/>
      </c>
      <c r="CR186" s="124" t="str">
        <f>IF($B186="","",IFERROR(-BE186,"n.b."))</f>
        <v/>
      </c>
      <c r="CS186" s="124" t="str">
        <f>IF($B186="","",IFERROR(IF(OR(ABS(T186+V186+X186+Z186-AB186)&gt;P_Tol,ABS(U186+W186+Y186+AA186-AD186)&gt;P_Tol,ABS(AE186+AG186+AI186+AK186-AM186)&gt;P_Tol,ABS(AF186+AH186+AJ186+AL186-AO186)&gt;P_Tol),1,0),1))</f>
        <v/>
      </c>
      <c r="CT186" s="124" t="str">
        <f>IF($B186="","",IFERROR(IF(OR(ABS(AB186+AC186-AD186)&gt;P_Tol,ABS(AM186+AN186-AO186)&gt;P_Tol,ABS(O186+P186-Q186)&gt;P_Tol),1,0),1))</f>
        <v/>
      </c>
      <c r="CU186" s="124" t="str">
        <f>IF($B186="","",IFERROR(IF(ABS(R186-(AB186+AM186+AP186+AR186+AT186+AV186+AX186+AZ186+BB186+BD186))&gt;P_Tol,1,0),1))</f>
        <v/>
      </c>
      <c r="CV186" s="124" t="str">
        <f>IF($B186="","",IFERROR(IF(ABS(M186-(N186+O186+R186))&gt;P_Tol,1,0),1))</f>
        <v/>
      </c>
      <c r="CW186" s="124" t="str">
        <f>IF($B186="","",IF(COUNTIF(Mapping!$A$5:$A$104,B186)&gt;0,1,0))</f>
        <v/>
      </c>
      <c r="CX186" s="124" t="str">
        <f>IF($B186="","",COUNTIF($B$6:$B$505,B186))</f>
        <v/>
      </c>
      <c r="CY186" s="124" t="str">
        <f>IF($B186="","",COUNTIF(STG_Woningetalage!$B$6:$B$505,B186))</f>
        <v/>
      </c>
      <c r="CZ186" s="124" t="str">
        <f>IF($B186="","",IF(CW186=0,COUNTIF($CW$6:CW186,0),""))</f>
        <v/>
      </c>
    </row>
    <row r="187">
      <c r="A187" s="15" t="n">
        <v>183</v>
      </c>
      <c r="B187" t="str">
        <f>IF(B$3=0,"",IF(INDEX(SRC_ZPMW03!$A$1:$ZZ$501,$A187,B$3)&amp;""="","",INDEX(SRC_ZPMW03!$A$1:$ZZ$501,$A187,B$3)&amp;""))</f>
        <v/>
      </c>
      <c r="C187" t="str">
        <f>IF($B187="","",IF(C$3=0,"n.b.",INDEX(SRC_ZPMW03!$A$1:$ZZ$501,$A187,C$3)))</f>
        <v/>
      </c>
      <c r="D187" t="str">
        <f>IF($B187="","",IF(D$3=0,"n.b.",INDEX(SRC_ZPMW03!$A$1:$ZZ$501,$A187,D$3)))</f>
        <v/>
      </c>
      <c r="E187" t="str">
        <f>IF($B187="","",IF(E$3=0,"n.b.",INDEX(SRC_ZPMW03!$A$1:$ZZ$501,$A187,E$3)))</f>
        <v/>
      </c>
      <c r="F187" t="str">
        <f>IF($B187="","",IF(F$3=0,"n.b.",INDEX(SRC_ZPMW03!$A$1:$ZZ$501,$A187,F$3)))</f>
        <v/>
      </c>
      <c r="G187" t="str">
        <f>IF($B187="","",IF(G$3=0,"n.b.",INDEX(SRC_ZPMW03!$A$1:$ZZ$501,$A187,G$3)))</f>
        <v/>
      </c>
      <c r="H187" t="str">
        <f>IF($B187="","",IF(H$3=0,"n.b.",INDEX(SRC_ZPMW03!$A$1:$ZZ$501,$A187,H$3)))</f>
        <v/>
      </c>
      <c r="I187" t="str">
        <f>IF($B187="","",IF(I$3=0,"n.b.",INDEX(SRC_ZPMW03!$A$1:$ZZ$501,$A187,I$3)))</f>
        <v/>
      </c>
      <c r="J187" t="str">
        <f>IF($B187="","",IF(J$3=0,"n.b.",INDEX(SRC_ZPMW03!$A$1:$ZZ$501,$A187,J$3)))</f>
        <v/>
      </c>
      <c r="K187" t="str">
        <f>IF($B187="","",IF(K$3=0,"n.b.",INDEX(SRC_ZPMW03!$A$1:$ZZ$501,$A187,K$3)))</f>
        <v/>
      </c>
      <c r="L187" s="124" t="str">
        <f>IF($B187="","",IF(L$3=0,"n.b.",INDEX(SRC_ZPMW03!$A$1:$ZZ$501,$A187,L$3)))</f>
        <v/>
      </c>
      <c r="M187" s="124" t="str">
        <f>IF($B187="","",IF(M$3=0,"n.b.",INDEX(SRC_ZPMW03!$A$1:$ZZ$501,$A187,M$3)))</f>
        <v/>
      </c>
      <c r="N187" s="124" t="str">
        <f>IF($B187="","",IF(N$3=0,"n.b.",INDEX(SRC_ZPMW03!$A$1:$ZZ$501,$A187,N$3)))</f>
        <v/>
      </c>
      <c r="O187" s="124" t="str">
        <f>IF($B187="","",IF(O$3=0,"n.b.",INDEX(SRC_ZPMW03!$A$1:$ZZ$501,$A187,O$3)))</f>
        <v/>
      </c>
      <c r="P187" s="124" t="str">
        <f>IF($B187="","",IF(P$3=0,"n.b.",INDEX(SRC_ZPMW03!$A$1:$ZZ$501,$A187,P$3)))</f>
        <v/>
      </c>
      <c r="Q187" s="124" t="str">
        <f>IF($B187="","",IF(Q$3=0,"n.b.",INDEX(SRC_ZPMW03!$A$1:$ZZ$501,$A187,Q$3)))</f>
        <v/>
      </c>
      <c r="R187" s="124" t="str">
        <f>IF($B187="","",IF(R$3=0,"n.b.",INDEX(SRC_ZPMW03!$A$1:$ZZ$501,$A187,R$3)))</f>
        <v/>
      </c>
      <c r="S187" s="124" t="str">
        <f>IF($B187="","",IF(S$3=0,"n.b.",INDEX(SRC_ZPMW03!$A$1:$ZZ$501,$A187,S$3)))</f>
        <v/>
      </c>
      <c r="T187" s="124" t="str">
        <f>IF($B187="","",IF(T$3=0,"n.b.",INDEX(SRC_ZPMW03!$A$1:$ZZ$501,$A187,T$3)))</f>
        <v/>
      </c>
      <c r="U187" s="124" t="str">
        <f>IF($B187="","",IF(U$3=0,"n.b.",INDEX(SRC_ZPMW03!$A$1:$ZZ$501,$A187,U$3)))</f>
        <v/>
      </c>
      <c r="V187" s="124" t="str">
        <f>IF($B187="","",IF(V$3=0,"n.b.",INDEX(SRC_ZPMW03!$A$1:$ZZ$501,$A187,V$3)))</f>
        <v/>
      </c>
      <c r="W187" s="124" t="str">
        <f>IF($B187="","",IF(W$3=0,"n.b.",INDEX(SRC_ZPMW03!$A$1:$ZZ$501,$A187,W$3)))</f>
        <v/>
      </c>
      <c r="X187" s="124" t="str">
        <f>IF($B187="","",IF(X$3=0,"n.b.",INDEX(SRC_ZPMW03!$A$1:$ZZ$501,$A187,X$3)))</f>
        <v/>
      </c>
      <c r="Y187" s="124" t="str">
        <f>IF($B187="","",IF(Y$3=0,"n.b.",INDEX(SRC_ZPMW03!$A$1:$ZZ$501,$A187,Y$3)))</f>
        <v/>
      </c>
      <c r="Z187" s="124" t="str">
        <f>IF($B187="","",IF(Z$3=0,"n.b.",INDEX(SRC_ZPMW03!$A$1:$ZZ$501,$A187,Z$3)))</f>
        <v/>
      </c>
      <c r="AA187" s="124" t="str">
        <f>IF($B187="","",IF(AA$3=0,"n.b.",INDEX(SRC_ZPMW03!$A$1:$ZZ$501,$A187,AA$3)))</f>
        <v/>
      </c>
      <c r="AB187" s="124" t="str">
        <f>IF($B187="","",IF(AB$3=0,"n.b.",INDEX(SRC_ZPMW03!$A$1:$ZZ$501,$A187,AB$3)))</f>
        <v/>
      </c>
      <c r="AC187" s="124" t="str">
        <f>IF($B187="","",IF(AC$3=0,"n.b.",INDEX(SRC_ZPMW03!$A$1:$ZZ$501,$A187,AC$3)))</f>
        <v/>
      </c>
      <c r="AD187" s="124" t="str">
        <f>IF($B187="","",IF(AD$3=0,"n.b.",INDEX(SRC_ZPMW03!$A$1:$ZZ$501,$A187,AD$3)))</f>
        <v/>
      </c>
      <c r="AE187" s="124" t="str">
        <f>IF($B187="","",IF(AE$3=0,"n.b.",INDEX(SRC_ZPMW03!$A$1:$ZZ$501,$A187,AE$3)))</f>
        <v/>
      </c>
      <c r="AF187" s="124" t="str">
        <f>IF($B187="","",IF(AF$3=0,"n.b.",INDEX(SRC_ZPMW03!$A$1:$ZZ$501,$A187,AF$3)))</f>
        <v/>
      </c>
      <c r="AG187" s="124" t="str">
        <f>IF($B187="","",IF(AG$3=0,"n.b.",INDEX(SRC_ZPMW03!$A$1:$ZZ$501,$A187,AG$3)))</f>
        <v/>
      </c>
      <c r="AH187" s="124" t="str">
        <f>IF($B187="","",IF(AH$3=0,"n.b.",INDEX(SRC_ZPMW03!$A$1:$ZZ$501,$A187,AH$3)))</f>
        <v/>
      </c>
      <c r="AI187" s="124" t="str">
        <f>IF($B187="","",IF(AI$3=0,"n.b.",INDEX(SRC_ZPMW03!$A$1:$ZZ$501,$A187,AI$3)))</f>
        <v/>
      </c>
      <c r="AJ187" s="124" t="str">
        <f>IF($B187="","",IF(AJ$3=0,"n.b.",INDEX(SRC_ZPMW03!$A$1:$ZZ$501,$A187,AJ$3)))</f>
        <v/>
      </c>
      <c r="AK187" s="124" t="str">
        <f>IF($B187="","",IF(AK$3=0,"n.b.",INDEX(SRC_ZPMW03!$A$1:$ZZ$501,$A187,AK$3)))</f>
        <v/>
      </c>
      <c r="AL187" s="124" t="str">
        <f>IF($B187="","",IF(AL$3=0,"n.b.",INDEX(SRC_ZPMW03!$A$1:$ZZ$501,$A187,AL$3)))</f>
        <v/>
      </c>
      <c r="AM187" s="124" t="str">
        <f>IF($B187="","",IF(AM$3=0,"n.b.",INDEX(SRC_ZPMW03!$A$1:$ZZ$501,$A187,AM$3)))</f>
        <v/>
      </c>
      <c r="AN187" s="124" t="str">
        <f>IF($B187="","",IF(AN$3=0,"n.b.",INDEX(SRC_ZPMW03!$A$1:$ZZ$501,$A187,AN$3)))</f>
        <v/>
      </c>
      <c r="AO187" s="124" t="str">
        <f>IF($B187="","",IF(AO$3=0,"n.b.",INDEX(SRC_ZPMW03!$A$1:$ZZ$501,$A187,AO$3)))</f>
        <v/>
      </c>
      <c r="AP187" s="124" t="str">
        <f>IF($B187="","",IF(AP$3=0,"n.b.",INDEX(SRC_ZPMW03!$A$1:$ZZ$501,$A187,AP$3)))</f>
        <v/>
      </c>
      <c r="AQ187" s="124" t="str">
        <f>IF($B187="","",IF(AQ$3=0,"n.b.",INDEX(SRC_ZPMW03!$A$1:$ZZ$501,$A187,AQ$3)))</f>
        <v/>
      </c>
      <c r="AR187" s="124" t="str">
        <f>IF($B187="","",IF(AR$3=0,"n.b.",INDEX(SRC_ZPMW03!$A$1:$ZZ$501,$A187,AR$3)))</f>
        <v/>
      </c>
      <c r="AS187" s="124" t="str">
        <f>IF($B187="","",IF(AS$3=0,"n.b.",INDEX(SRC_ZPMW03!$A$1:$ZZ$501,$A187,AS$3)))</f>
        <v/>
      </c>
      <c r="AT187" s="124" t="str">
        <f>IF($B187="","",IF(AT$3=0,"n.b.",INDEX(SRC_ZPMW03!$A$1:$ZZ$501,$A187,AT$3)))</f>
        <v/>
      </c>
      <c r="AU187" s="124" t="str">
        <f>IF($B187="","",IF(AU$3=0,"n.b.",INDEX(SRC_ZPMW03!$A$1:$ZZ$501,$A187,AU$3)))</f>
        <v/>
      </c>
      <c r="AV187" s="124" t="str">
        <f>IF($B187="","",IF(AV$3=0,"n.b.",INDEX(SRC_ZPMW03!$A$1:$ZZ$501,$A187,AV$3)))</f>
        <v/>
      </c>
      <c r="AW187" s="124" t="str">
        <f>IF($B187="","",IF(AW$3=0,"n.b.",INDEX(SRC_ZPMW03!$A$1:$ZZ$501,$A187,AW$3)))</f>
        <v/>
      </c>
      <c r="AX187" s="124" t="str">
        <f>IF($B187="","",IF(AX$3=0,"n.b.",INDEX(SRC_ZPMW03!$A$1:$ZZ$501,$A187,AX$3)))</f>
        <v/>
      </c>
      <c r="AY187" s="124" t="str">
        <f>IF($B187="","",IF(AY$3=0,"n.b.",INDEX(SRC_ZPMW03!$A$1:$ZZ$501,$A187,AY$3)))</f>
        <v/>
      </c>
      <c r="AZ187" s="124" t="str">
        <f>IF($B187="","",IF(AZ$3=0,"n.b.",INDEX(SRC_ZPMW03!$A$1:$ZZ$501,$A187,AZ$3)))</f>
        <v/>
      </c>
      <c r="BA187" s="124" t="str">
        <f>IF($B187="","",IF(BA$3=0,"n.b.",INDEX(SRC_ZPMW03!$A$1:$ZZ$501,$A187,BA$3)))</f>
        <v/>
      </c>
      <c r="BB187" s="124" t="str">
        <f>IF($B187="","",IF(BB$3=0,"n.b.",INDEX(SRC_ZPMW03!$A$1:$ZZ$501,$A187,BB$3)))</f>
        <v/>
      </c>
      <c r="BC187" s="124" t="str">
        <f>IF($B187="","",IF(BC$3=0,"n.b.",INDEX(SRC_ZPMW03!$A$1:$ZZ$501,$A187,BC$3)))</f>
        <v/>
      </c>
      <c r="BD187" s="124" t="str">
        <f>IF($B187="","",IF(BD$3=0,"n.b.",INDEX(SRC_ZPMW03!$A$1:$ZZ$501,$A187,BD$3)))</f>
        <v/>
      </c>
      <c r="BE187" s="124" t="str">
        <f>IF($B187="","",IF(BE$3=0,"n.b.",INDEX(SRC_ZPMW03!$A$1:$ZZ$501,$A187,BE$3)))</f>
        <v/>
      </c>
      <c r="BF187" s="124" t="str">
        <f>IF($B187="","",IF(BF$3=0,"n.b.",INDEX(SRC_ZPMW03!$A$1:$ZZ$501,$A187,BF$3)))</f>
        <v/>
      </c>
      <c r="BG187" t="str">
        <f>IF($B187="","",IF(BG$3=0,"n.b.",INDEX(SRC_ZPMW03!$A$1:$ZZ$501,$A187,BG$3)))</f>
        <v/>
      </c>
      <c r="BH187" t="str">
        <f>IF($B187="","",IF(BH$3=0,"n.b.",INDEX(SRC_ZPMW03!$A$1:$ZZ$501,$A187,BH$3)))</f>
        <v/>
      </c>
      <c r="BI187" t="str">
        <f>IF($B187="","",IF(BI$3=0,"n.b.",INDEX(SRC_ZPMW03!$A$1:$ZZ$501,$A187,BI$3)))</f>
        <v/>
      </c>
      <c r="BJ187" t="str">
        <f>IF($B187="","",IF(BJ$3=0,"n.b.",INDEX(SRC_ZPMW03!$A$1:$ZZ$501,$A187,BJ$3)))</f>
        <v/>
      </c>
      <c r="BK187" s="124" t="str">
        <f>IF($B187="","",IFERROR(-O187,"n.b."))</f>
        <v/>
      </c>
      <c r="BL187" s="124" t="str">
        <f>IF($B187="","",IFERROR(-Q187,"n.b."))</f>
        <v/>
      </c>
      <c r="BM187" s="124" t="str">
        <f>IF($B187="","",IFERROR(-AB187,"n.b."))</f>
        <v/>
      </c>
      <c r="BN187" s="124" t="str">
        <f>IF($B187="","",IFERROR(-AD187,"n.b."))</f>
        <v/>
      </c>
      <c r="BO187" s="124" t="str">
        <f>IF($B187="","",IFERROR(BK187+BM187,"n.b."))</f>
        <v/>
      </c>
      <c r="BP187" s="124" t="str">
        <f>IF($B187="","",IFERROR(BL187+BN187,"n.b."))</f>
        <v/>
      </c>
      <c r="BQ187" s="124" t="str">
        <f>IF($B187="","",IFERROR(-AM187,"n.b."))</f>
        <v/>
      </c>
      <c r="BR187" s="124" t="str">
        <f>IF($B187="","",IFERROR(-AO187,"n.b."))</f>
        <v/>
      </c>
      <c r="BS187" s="124" t="str">
        <f>IF($B187="","",IFERROR(-Z187,"n.b."))</f>
        <v/>
      </c>
      <c r="BT187" s="124" t="str">
        <f>IF($B187="","",IFERROR(-AA187,"n.b."))</f>
        <v/>
      </c>
      <c r="BU187" s="124" t="str">
        <f>IF($B187="","",IFERROR(-AE187,"n.b."))</f>
        <v/>
      </c>
      <c r="BV187" s="124" t="str">
        <f>IF($B187="","",IFERROR(-AF187,"n.b."))</f>
        <v/>
      </c>
      <c r="BW187" s="124" t="str">
        <f>IF($B187="","",IFERROR(-AG187,"n.b."))</f>
        <v/>
      </c>
      <c r="BX187" s="124" t="str">
        <f>IF($B187="","",IFERROR(-AH187,"n.b."))</f>
        <v/>
      </c>
      <c r="BY187" s="124" t="str">
        <f>IF($B187="","",IFERROR(-AI187,"n.b."))</f>
        <v/>
      </c>
      <c r="BZ187" s="124" t="str">
        <f>IF($B187="","",IFERROR(-AJ187,"n.b."))</f>
        <v/>
      </c>
      <c r="CA187" s="124" t="str">
        <f>IF($B187="","",IFERROR(-AK187,"n.b."))</f>
        <v/>
      </c>
      <c r="CB187" s="124" t="str">
        <f>IF($B187="","",IFERROR(-AL187,"n.b."))</f>
        <v/>
      </c>
      <c r="CC187" s="124" t="str">
        <f>IF($B187="","",IFERROR(-AP187,"n.b."))</f>
        <v/>
      </c>
      <c r="CD187" s="124" t="str">
        <f>IF($B187="","",IFERROR(-AQ187,"n.b."))</f>
        <v/>
      </c>
      <c r="CE187" s="124" t="str">
        <f>IF($B187="","",IFERROR(-AR187,"n.b."))</f>
        <v/>
      </c>
      <c r="CF187" s="124" t="str">
        <f>IF($B187="","",IFERROR(-AS187,"n.b."))</f>
        <v/>
      </c>
      <c r="CG187" s="124" t="str">
        <f>IF($B187="","",IFERROR(-AT187,"n.b."))</f>
        <v/>
      </c>
      <c r="CH187" s="124" t="str">
        <f>IF($B187="","",IFERROR(-AU187,"n.b."))</f>
        <v/>
      </c>
      <c r="CI187" s="124" t="str">
        <f>IF($B187="","",IFERROR(-AV187,"n.b."))</f>
        <v/>
      </c>
      <c r="CJ187" s="124" t="str">
        <f>IF($B187="","",IFERROR(-AW187,"n.b."))</f>
        <v/>
      </c>
      <c r="CK187" s="124" t="str">
        <f>IF($B187="","",IFERROR(-AX187,"n.b."))</f>
        <v/>
      </c>
      <c r="CL187" s="124" t="str">
        <f>IF($B187="","",IFERROR(-AY187,"n.b."))</f>
        <v/>
      </c>
      <c r="CM187" s="124" t="str">
        <f>IF($B187="","",IFERROR(-AZ187,"n.b."))</f>
        <v/>
      </c>
      <c r="CN187" s="124" t="str">
        <f>IF($B187="","",IFERROR(-BA187,"n.b."))</f>
        <v/>
      </c>
      <c r="CO187" s="124" t="str">
        <f>IF($B187="","",IFERROR(-BB187,"n.b."))</f>
        <v/>
      </c>
      <c r="CP187" s="124" t="str">
        <f>IF($B187="","",IFERROR(-BC187,"n.b."))</f>
        <v/>
      </c>
      <c r="CQ187" s="124" t="str">
        <f>IF($B187="","",IFERROR(-BD187,"n.b."))</f>
        <v/>
      </c>
      <c r="CR187" s="124" t="str">
        <f>IF($B187="","",IFERROR(-BE187,"n.b."))</f>
        <v/>
      </c>
      <c r="CS187" s="124" t="str">
        <f>IF($B187="","",IFERROR(IF(OR(ABS(T187+V187+X187+Z187-AB187)&gt;P_Tol,ABS(U187+W187+Y187+AA187-AD187)&gt;P_Tol,ABS(AE187+AG187+AI187+AK187-AM187)&gt;P_Tol,ABS(AF187+AH187+AJ187+AL187-AO187)&gt;P_Tol),1,0),1))</f>
        <v/>
      </c>
      <c r="CT187" s="124" t="str">
        <f>IF($B187="","",IFERROR(IF(OR(ABS(AB187+AC187-AD187)&gt;P_Tol,ABS(AM187+AN187-AO187)&gt;P_Tol,ABS(O187+P187-Q187)&gt;P_Tol),1,0),1))</f>
        <v/>
      </c>
      <c r="CU187" s="124" t="str">
        <f>IF($B187="","",IFERROR(IF(ABS(R187-(AB187+AM187+AP187+AR187+AT187+AV187+AX187+AZ187+BB187+BD187))&gt;P_Tol,1,0),1))</f>
        <v/>
      </c>
      <c r="CV187" s="124" t="str">
        <f>IF($B187="","",IFERROR(IF(ABS(M187-(N187+O187+R187))&gt;P_Tol,1,0),1))</f>
        <v/>
      </c>
      <c r="CW187" s="124" t="str">
        <f>IF($B187="","",IF(COUNTIF(Mapping!$A$5:$A$104,B187)&gt;0,1,0))</f>
        <v/>
      </c>
      <c r="CX187" s="124" t="str">
        <f>IF($B187="","",COUNTIF($B$6:$B$505,B187))</f>
        <v/>
      </c>
      <c r="CY187" s="124" t="str">
        <f>IF($B187="","",COUNTIF(STG_Woningetalage!$B$6:$B$505,B187))</f>
        <v/>
      </c>
      <c r="CZ187" s="124" t="str">
        <f>IF($B187="","",IF(CW187=0,COUNTIF($CW$6:CW187,0),""))</f>
        <v/>
      </c>
    </row>
    <row r="188">
      <c r="A188" s="15" t="n">
        <v>184</v>
      </c>
      <c r="B188" t="str">
        <f>IF(B$3=0,"",IF(INDEX(SRC_ZPMW03!$A$1:$ZZ$501,$A188,B$3)&amp;""="","",INDEX(SRC_ZPMW03!$A$1:$ZZ$501,$A188,B$3)&amp;""))</f>
        <v/>
      </c>
      <c r="C188" t="str">
        <f>IF($B188="","",IF(C$3=0,"n.b.",INDEX(SRC_ZPMW03!$A$1:$ZZ$501,$A188,C$3)))</f>
        <v/>
      </c>
      <c r="D188" t="str">
        <f>IF($B188="","",IF(D$3=0,"n.b.",INDEX(SRC_ZPMW03!$A$1:$ZZ$501,$A188,D$3)))</f>
        <v/>
      </c>
      <c r="E188" t="str">
        <f>IF($B188="","",IF(E$3=0,"n.b.",INDEX(SRC_ZPMW03!$A$1:$ZZ$501,$A188,E$3)))</f>
        <v/>
      </c>
      <c r="F188" t="str">
        <f>IF($B188="","",IF(F$3=0,"n.b.",INDEX(SRC_ZPMW03!$A$1:$ZZ$501,$A188,F$3)))</f>
        <v/>
      </c>
      <c r="G188" t="str">
        <f>IF($B188="","",IF(G$3=0,"n.b.",INDEX(SRC_ZPMW03!$A$1:$ZZ$501,$A188,G$3)))</f>
        <v/>
      </c>
      <c r="H188" t="str">
        <f>IF($B188="","",IF(H$3=0,"n.b.",INDEX(SRC_ZPMW03!$A$1:$ZZ$501,$A188,H$3)))</f>
        <v/>
      </c>
      <c r="I188" t="str">
        <f>IF($B188="","",IF(I$3=0,"n.b.",INDEX(SRC_ZPMW03!$A$1:$ZZ$501,$A188,I$3)))</f>
        <v/>
      </c>
      <c r="J188" t="str">
        <f>IF($B188="","",IF(J$3=0,"n.b.",INDEX(SRC_ZPMW03!$A$1:$ZZ$501,$A188,J$3)))</f>
        <v/>
      </c>
      <c r="K188" t="str">
        <f>IF($B188="","",IF(K$3=0,"n.b.",INDEX(SRC_ZPMW03!$A$1:$ZZ$501,$A188,K$3)))</f>
        <v/>
      </c>
      <c r="L188" s="124" t="str">
        <f>IF($B188="","",IF(L$3=0,"n.b.",INDEX(SRC_ZPMW03!$A$1:$ZZ$501,$A188,L$3)))</f>
        <v/>
      </c>
      <c r="M188" s="124" t="str">
        <f>IF($B188="","",IF(M$3=0,"n.b.",INDEX(SRC_ZPMW03!$A$1:$ZZ$501,$A188,M$3)))</f>
        <v/>
      </c>
      <c r="N188" s="124" t="str">
        <f>IF($B188="","",IF(N$3=0,"n.b.",INDEX(SRC_ZPMW03!$A$1:$ZZ$501,$A188,N$3)))</f>
        <v/>
      </c>
      <c r="O188" s="124" t="str">
        <f>IF($B188="","",IF(O$3=0,"n.b.",INDEX(SRC_ZPMW03!$A$1:$ZZ$501,$A188,O$3)))</f>
        <v/>
      </c>
      <c r="P188" s="124" t="str">
        <f>IF($B188="","",IF(P$3=0,"n.b.",INDEX(SRC_ZPMW03!$A$1:$ZZ$501,$A188,P$3)))</f>
        <v/>
      </c>
      <c r="Q188" s="124" t="str">
        <f>IF($B188="","",IF(Q$3=0,"n.b.",INDEX(SRC_ZPMW03!$A$1:$ZZ$501,$A188,Q$3)))</f>
        <v/>
      </c>
      <c r="R188" s="124" t="str">
        <f>IF($B188="","",IF(R$3=0,"n.b.",INDEX(SRC_ZPMW03!$A$1:$ZZ$501,$A188,R$3)))</f>
        <v/>
      </c>
      <c r="S188" s="124" t="str">
        <f>IF($B188="","",IF(S$3=0,"n.b.",INDEX(SRC_ZPMW03!$A$1:$ZZ$501,$A188,S$3)))</f>
        <v/>
      </c>
      <c r="T188" s="124" t="str">
        <f>IF($B188="","",IF(T$3=0,"n.b.",INDEX(SRC_ZPMW03!$A$1:$ZZ$501,$A188,T$3)))</f>
        <v/>
      </c>
      <c r="U188" s="124" t="str">
        <f>IF($B188="","",IF(U$3=0,"n.b.",INDEX(SRC_ZPMW03!$A$1:$ZZ$501,$A188,U$3)))</f>
        <v/>
      </c>
      <c r="V188" s="124" t="str">
        <f>IF($B188="","",IF(V$3=0,"n.b.",INDEX(SRC_ZPMW03!$A$1:$ZZ$501,$A188,V$3)))</f>
        <v/>
      </c>
      <c r="W188" s="124" t="str">
        <f>IF($B188="","",IF(W$3=0,"n.b.",INDEX(SRC_ZPMW03!$A$1:$ZZ$501,$A188,W$3)))</f>
        <v/>
      </c>
      <c r="X188" s="124" t="str">
        <f>IF($B188="","",IF(X$3=0,"n.b.",INDEX(SRC_ZPMW03!$A$1:$ZZ$501,$A188,X$3)))</f>
        <v/>
      </c>
      <c r="Y188" s="124" t="str">
        <f>IF($B188="","",IF(Y$3=0,"n.b.",INDEX(SRC_ZPMW03!$A$1:$ZZ$501,$A188,Y$3)))</f>
        <v/>
      </c>
      <c r="Z188" s="124" t="str">
        <f>IF($B188="","",IF(Z$3=0,"n.b.",INDEX(SRC_ZPMW03!$A$1:$ZZ$501,$A188,Z$3)))</f>
        <v/>
      </c>
      <c r="AA188" s="124" t="str">
        <f>IF($B188="","",IF(AA$3=0,"n.b.",INDEX(SRC_ZPMW03!$A$1:$ZZ$501,$A188,AA$3)))</f>
        <v/>
      </c>
      <c r="AB188" s="124" t="str">
        <f>IF($B188="","",IF(AB$3=0,"n.b.",INDEX(SRC_ZPMW03!$A$1:$ZZ$501,$A188,AB$3)))</f>
        <v/>
      </c>
      <c r="AC188" s="124" t="str">
        <f>IF($B188="","",IF(AC$3=0,"n.b.",INDEX(SRC_ZPMW03!$A$1:$ZZ$501,$A188,AC$3)))</f>
        <v/>
      </c>
      <c r="AD188" s="124" t="str">
        <f>IF($B188="","",IF(AD$3=0,"n.b.",INDEX(SRC_ZPMW03!$A$1:$ZZ$501,$A188,AD$3)))</f>
        <v/>
      </c>
      <c r="AE188" s="124" t="str">
        <f>IF($B188="","",IF(AE$3=0,"n.b.",INDEX(SRC_ZPMW03!$A$1:$ZZ$501,$A188,AE$3)))</f>
        <v/>
      </c>
      <c r="AF188" s="124" t="str">
        <f>IF($B188="","",IF(AF$3=0,"n.b.",INDEX(SRC_ZPMW03!$A$1:$ZZ$501,$A188,AF$3)))</f>
        <v/>
      </c>
      <c r="AG188" s="124" t="str">
        <f>IF($B188="","",IF(AG$3=0,"n.b.",INDEX(SRC_ZPMW03!$A$1:$ZZ$501,$A188,AG$3)))</f>
        <v/>
      </c>
      <c r="AH188" s="124" t="str">
        <f>IF($B188="","",IF(AH$3=0,"n.b.",INDEX(SRC_ZPMW03!$A$1:$ZZ$501,$A188,AH$3)))</f>
        <v/>
      </c>
      <c r="AI188" s="124" t="str">
        <f>IF($B188="","",IF(AI$3=0,"n.b.",INDEX(SRC_ZPMW03!$A$1:$ZZ$501,$A188,AI$3)))</f>
        <v/>
      </c>
      <c r="AJ188" s="124" t="str">
        <f>IF($B188="","",IF(AJ$3=0,"n.b.",INDEX(SRC_ZPMW03!$A$1:$ZZ$501,$A188,AJ$3)))</f>
        <v/>
      </c>
      <c r="AK188" s="124" t="str">
        <f>IF($B188="","",IF(AK$3=0,"n.b.",INDEX(SRC_ZPMW03!$A$1:$ZZ$501,$A188,AK$3)))</f>
        <v/>
      </c>
      <c r="AL188" s="124" t="str">
        <f>IF($B188="","",IF(AL$3=0,"n.b.",INDEX(SRC_ZPMW03!$A$1:$ZZ$501,$A188,AL$3)))</f>
        <v/>
      </c>
      <c r="AM188" s="124" t="str">
        <f>IF($B188="","",IF(AM$3=0,"n.b.",INDEX(SRC_ZPMW03!$A$1:$ZZ$501,$A188,AM$3)))</f>
        <v/>
      </c>
      <c r="AN188" s="124" t="str">
        <f>IF($B188="","",IF(AN$3=0,"n.b.",INDEX(SRC_ZPMW03!$A$1:$ZZ$501,$A188,AN$3)))</f>
        <v/>
      </c>
      <c r="AO188" s="124" t="str">
        <f>IF($B188="","",IF(AO$3=0,"n.b.",INDEX(SRC_ZPMW03!$A$1:$ZZ$501,$A188,AO$3)))</f>
        <v/>
      </c>
      <c r="AP188" s="124" t="str">
        <f>IF($B188="","",IF(AP$3=0,"n.b.",INDEX(SRC_ZPMW03!$A$1:$ZZ$501,$A188,AP$3)))</f>
        <v/>
      </c>
      <c r="AQ188" s="124" t="str">
        <f>IF($B188="","",IF(AQ$3=0,"n.b.",INDEX(SRC_ZPMW03!$A$1:$ZZ$501,$A188,AQ$3)))</f>
        <v/>
      </c>
      <c r="AR188" s="124" t="str">
        <f>IF($B188="","",IF(AR$3=0,"n.b.",INDEX(SRC_ZPMW03!$A$1:$ZZ$501,$A188,AR$3)))</f>
        <v/>
      </c>
      <c r="AS188" s="124" t="str">
        <f>IF($B188="","",IF(AS$3=0,"n.b.",INDEX(SRC_ZPMW03!$A$1:$ZZ$501,$A188,AS$3)))</f>
        <v/>
      </c>
      <c r="AT188" s="124" t="str">
        <f>IF($B188="","",IF(AT$3=0,"n.b.",INDEX(SRC_ZPMW03!$A$1:$ZZ$501,$A188,AT$3)))</f>
        <v/>
      </c>
      <c r="AU188" s="124" t="str">
        <f>IF($B188="","",IF(AU$3=0,"n.b.",INDEX(SRC_ZPMW03!$A$1:$ZZ$501,$A188,AU$3)))</f>
        <v/>
      </c>
      <c r="AV188" s="124" t="str">
        <f>IF($B188="","",IF(AV$3=0,"n.b.",INDEX(SRC_ZPMW03!$A$1:$ZZ$501,$A188,AV$3)))</f>
        <v/>
      </c>
      <c r="AW188" s="124" t="str">
        <f>IF($B188="","",IF(AW$3=0,"n.b.",INDEX(SRC_ZPMW03!$A$1:$ZZ$501,$A188,AW$3)))</f>
        <v/>
      </c>
      <c r="AX188" s="124" t="str">
        <f>IF($B188="","",IF(AX$3=0,"n.b.",INDEX(SRC_ZPMW03!$A$1:$ZZ$501,$A188,AX$3)))</f>
        <v/>
      </c>
      <c r="AY188" s="124" t="str">
        <f>IF($B188="","",IF(AY$3=0,"n.b.",INDEX(SRC_ZPMW03!$A$1:$ZZ$501,$A188,AY$3)))</f>
        <v/>
      </c>
      <c r="AZ188" s="124" t="str">
        <f>IF($B188="","",IF(AZ$3=0,"n.b.",INDEX(SRC_ZPMW03!$A$1:$ZZ$501,$A188,AZ$3)))</f>
        <v/>
      </c>
      <c r="BA188" s="124" t="str">
        <f>IF($B188="","",IF(BA$3=0,"n.b.",INDEX(SRC_ZPMW03!$A$1:$ZZ$501,$A188,BA$3)))</f>
        <v/>
      </c>
      <c r="BB188" s="124" t="str">
        <f>IF($B188="","",IF(BB$3=0,"n.b.",INDEX(SRC_ZPMW03!$A$1:$ZZ$501,$A188,BB$3)))</f>
        <v/>
      </c>
      <c r="BC188" s="124" t="str">
        <f>IF($B188="","",IF(BC$3=0,"n.b.",INDEX(SRC_ZPMW03!$A$1:$ZZ$501,$A188,BC$3)))</f>
        <v/>
      </c>
      <c r="BD188" s="124" t="str">
        <f>IF($B188="","",IF(BD$3=0,"n.b.",INDEX(SRC_ZPMW03!$A$1:$ZZ$501,$A188,BD$3)))</f>
        <v/>
      </c>
      <c r="BE188" s="124" t="str">
        <f>IF($B188="","",IF(BE$3=0,"n.b.",INDEX(SRC_ZPMW03!$A$1:$ZZ$501,$A188,BE$3)))</f>
        <v/>
      </c>
      <c r="BF188" s="124" t="str">
        <f>IF($B188="","",IF(BF$3=0,"n.b.",INDEX(SRC_ZPMW03!$A$1:$ZZ$501,$A188,BF$3)))</f>
        <v/>
      </c>
      <c r="BG188" t="str">
        <f>IF($B188="","",IF(BG$3=0,"n.b.",INDEX(SRC_ZPMW03!$A$1:$ZZ$501,$A188,BG$3)))</f>
        <v/>
      </c>
      <c r="BH188" t="str">
        <f>IF($B188="","",IF(BH$3=0,"n.b.",INDEX(SRC_ZPMW03!$A$1:$ZZ$501,$A188,BH$3)))</f>
        <v/>
      </c>
      <c r="BI188" t="str">
        <f>IF($B188="","",IF(BI$3=0,"n.b.",INDEX(SRC_ZPMW03!$A$1:$ZZ$501,$A188,BI$3)))</f>
        <v/>
      </c>
      <c r="BJ188" t="str">
        <f>IF($B188="","",IF(BJ$3=0,"n.b.",INDEX(SRC_ZPMW03!$A$1:$ZZ$501,$A188,BJ$3)))</f>
        <v/>
      </c>
      <c r="BK188" s="124" t="str">
        <f>IF($B188="","",IFERROR(-O188,"n.b."))</f>
        <v/>
      </c>
      <c r="BL188" s="124" t="str">
        <f>IF($B188="","",IFERROR(-Q188,"n.b."))</f>
        <v/>
      </c>
      <c r="BM188" s="124" t="str">
        <f>IF($B188="","",IFERROR(-AB188,"n.b."))</f>
        <v/>
      </c>
      <c r="BN188" s="124" t="str">
        <f>IF($B188="","",IFERROR(-AD188,"n.b."))</f>
        <v/>
      </c>
      <c r="BO188" s="124" t="str">
        <f>IF($B188="","",IFERROR(BK188+BM188,"n.b."))</f>
        <v/>
      </c>
      <c r="BP188" s="124" t="str">
        <f>IF($B188="","",IFERROR(BL188+BN188,"n.b."))</f>
        <v/>
      </c>
      <c r="BQ188" s="124" t="str">
        <f>IF($B188="","",IFERROR(-AM188,"n.b."))</f>
        <v/>
      </c>
      <c r="BR188" s="124" t="str">
        <f>IF($B188="","",IFERROR(-AO188,"n.b."))</f>
        <v/>
      </c>
      <c r="BS188" s="124" t="str">
        <f>IF($B188="","",IFERROR(-Z188,"n.b."))</f>
        <v/>
      </c>
      <c r="BT188" s="124" t="str">
        <f>IF($B188="","",IFERROR(-AA188,"n.b."))</f>
        <v/>
      </c>
      <c r="BU188" s="124" t="str">
        <f>IF($B188="","",IFERROR(-AE188,"n.b."))</f>
        <v/>
      </c>
      <c r="BV188" s="124" t="str">
        <f>IF($B188="","",IFERROR(-AF188,"n.b."))</f>
        <v/>
      </c>
      <c r="BW188" s="124" t="str">
        <f>IF($B188="","",IFERROR(-AG188,"n.b."))</f>
        <v/>
      </c>
      <c r="BX188" s="124" t="str">
        <f>IF($B188="","",IFERROR(-AH188,"n.b."))</f>
        <v/>
      </c>
      <c r="BY188" s="124" t="str">
        <f>IF($B188="","",IFERROR(-AI188,"n.b."))</f>
        <v/>
      </c>
      <c r="BZ188" s="124" t="str">
        <f>IF($B188="","",IFERROR(-AJ188,"n.b."))</f>
        <v/>
      </c>
      <c r="CA188" s="124" t="str">
        <f>IF($B188="","",IFERROR(-AK188,"n.b."))</f>
        <v/>
      </c>
      <c r="CB188" s="124" t="str">
        <f>IF($B188="","",IFERROR(-AL188,"n.b."))</f>
        <v/>
      </c>
      <c r="CC188" s="124" t="str">
        <f>IF($B188="","",IFERROR(-AP188,"n.b."))</f>
        <v/>
      </c>
      <c r="CD188" s="124" t="str">
        <f>IF($B188="","",IFERROR(-AQ188,"n.b."))</f>
        <v/>
      </c>
      <c r="CE188" s="124" t="str">
        <f>IF($B188="","",IFERROR(-AR188,"n.b."))</f>
        <v/>
      </c>
      <c r="CF188" s="124" t="str">
        <f>IF($B188="","",IFERROR(-AS188,"n.b."))</f>
        <v/>
      </c>
      <c r="CG188" s="124" t="str">
        <f>IF($B188="","",IFERROR(-AT188,"n.b."))</f>
        <v/>
      </c>
      <c r="CH188" s="124" t="str">
        <f>IF($B188="","",IFERROR(-AU188,"n.b."))</f>
        <v/>
      </c>
      <c r="CI188" s="124" t="str">
        <f>IF($B188="","",IFERROR(-AV188,"n.b."))</f>
        <v/>
      </c>
      <c r="CJ188" s="124" t="str">
        <f>IF($B188="","",IFERROR(-AW188,"n.b."))</f>
        <v/>
      </c>
      <c r="CK188" s="124" t="str">
        <f>IF($B188="","",IFERROR(-AX188,"n.b."))</f>
        <v/>
      </c>
      <c r="CL188" s="124" t="str">
        <f>IF($B188="","",IFERROR(-AY188,"n.b."))</f>
        <v/>
      </c>
      <c r="CM188" s="124" t="str">
        <f>IF($B188="","",IFERROR(-AZ188,"n.b."))</f>
        <v/>
      </c>
      <c r="CN188" s="124" t="str">
        <f>IF($B188="","",IFERROR(-BA188,"n.b."))</f>
        <v/>
      </c>
      <c r="CO188" s="124" t="str">
        <f>IF($B188="","",IFERROR(-BB188,"n.b."))</f>
        <v/>
      </c>
      <c r="CP188" s="124" t="str">
        <f>IF($B188="","",IFERROR(-BC188,"n.b."))</f>
        <v/>
      </c>
      <c r="CQ188" s="124" t="str">
        <f>IF($B188="","",IFERROR(-BD188,"n.b."))</f>
        <v/>
      </c>
      <c r="CR188" s="124" t="str">
        <f>IF($B188="","",IFERROR(-BE188,"n.b."))</f>
        <v/>
      </c>
      <c r="CS188" s="124" t="str">
        <f>IF($B188="","",IFERROR(IF(OR(ABS(T188+V188+X188+Z188-AB188)&gt;P_Tol,ABS(U188+W188+Y188+AA188-AD188)&gt;P_Tol,ABS(AE188+AG188+AI188+AK188-AM188)&gt;P_Tol,ABS(AF188+AH188+AJ188+AL188-AO188)&gt;P_Tol),1,0),1))</f>
        <v/>
      </c>
      <c r="CT188" s="124" t="str">
        <f>IF($B188="","",IFERROR(IF(OR(ABS(AB188+AC188-AD188)&gt;P_Tol,ABS(AM188+AN188-AO188)&gt;P_Tol,ABS(O188+P188-Q188)&gt;P_Tol),1,0),1))</f>
        <v/>
      </c>
      <c r="CU188" s="124" t="str">
        <f>IF($B188="","",IFERROR(IF(ABS(R188-(AB188+AM188+AP188+AR188+AT188+AV188+AX188+AZ188+BB188+BD188))&gt;P_Tol,1,0),1))</f>
        <v/>
      </c>
      <c r="CV188" s="124" t="str">
        <f>IF($B188="","",IFERROR(IF(ABS(M188-(N188+O188+R188))&gt;P_Tol,1,0),1))</f>
        <v/>
      </c>
      <c r="CW188" s="124" t="str">
        <f>IF($B188="","",IF(COUNTIF(Mapping!$A$5:$A$104,B188)&gt;0,1,0))</f>
        <v/>
      </c>
      <c r="CX188" s="124" t="str">
        <f>IF($B188="","",COUNTIF($B$6:$B$505,B188))</f>
        <v/>
      </c>
      <c r="CY188" s="124" t="str">
        <f>IF($B188="","",COUNTIF(STG_Woningetalage!$B$6:$B$505,B188))</f>
        <v/>
      </c>
      <c r="CZ188" s="124" t="str">
        <f>IF($B188="","",IF(CW188=0,COUNTIF($CW$6:CW188,0),""))</f>
        <v/>
      </c>
    </row>
    <row r="189">
      <c r="A189" s="15" t="n">
        <v>185</v>
      </c>
      <c r="B189" t="str">
        <f>IF(B$3=0,"",IF(INDEX(SRC_ZPMW03!$A$1:$ZZ$501,$A189,B$3)&amp;""="","",INDEX(SRC_ZPMW03!$A$1:$ZZ$501,$A189,B$3)&amp;""))</f>
        <v/>
      </c>
      <c r="C189" t="str">
        <f>IF($B189="","",IF(C$3=0,"n.b.",INDEX(SRC_ZPMW03!$A$1:$ZZ$501,$A189,C$3)))</f>
        <v/>
      </c>
      <c r="D189" t="str">
        <f>IF($B189="","",IF(D$3=0,"n.b.",INDEX(SRC_ZPMW03!$A$1:$ZZ$501,$A189,D$3)))</f>
        <v/>
      </c>
      <c r="E189" t="str">
        <f>IF($B189="","",IF(E$3=0,"n.b.",INDEX(SRC_ZPMW03!$A$1:$ZZ$501,$A189,E$3)))</f>
        <v/>
      </c>
      <c r="F189" t="str">
        <f>IF($B189="","",IF(F$3=0,"n.b.",INDEX(SRC_ZPMW03!$A$1:$ZZ$501,$A189,F$3)))</f>
        <v/>
      </c>
      <c r="G189" t="str">
        <f>IF($B189="","",IF(G$3=0,"n.b.",INDEX(SRC_ZPMW03!$A$1:$ZZ$501,$A189,G$3)))</f>
        <v/>
      </c>
      <c r="H189" t="str">
        <f>IF($B189="","",IF(H$3=0,"n.b.",INDEX(SRC_ZPMW03!$A$1:$ZZ$501,$A189,H$3)))</f>
        <v/>
      </c>
      <c r="I189" t="str">
        <f>IF($B189="","",IF(I$3=0,"n.b.",INDEX(SRC_ZPMW03!$A$1:$ZZ$501,$A189,I$3)))</f>
        <v/>
      </c>
      <c r="J189" t="str">
        <f>IF($B189="","",IF(J$3=0,"n.b.",INDEX(SRC_ZPMW03!$A$1:$ZZ$501,$A189,J$3)))</f>
        <v/>
      </c>
      <c r="K189" t="str">
        <f>IF($B189="","",IF(K$3=0,"n.b.",INDEX(SRC_ZPMW03!$A$1:$ZZ$501,$A189,K$3)))</f>
        <v/>
      </c>
      <c r="L189" s="124" t="str">
        <f>IF($B189="","",IF(L$3=0,"n.b.",INDEX(SRC_ZPMW03!$A$1:$ZZ$501,$A189,L$3)))</f>
        <v/>
      </c>
      <c r="M189" s="124" t="str">
        <f>IF($B189="","",IF(M$3=0,"n.b.",INDEX(SRC_ZPMW03!$A$1:$ZZ$501,$A189,M$3)))</f>
        <v/>
      </c>
      <c r="N189" s="124" t="str">
        <f>IF($B189="","",IF(N$3=0,"n.b.",INDEX(SRC_ZPMW03!$A$1:$ZZ$501,$A189,N$3)))</f>
        <v/>
      </c>
      <c r="O189" s="124" t="str">
        <f>IF($B189="","",IF(O$3=0,"n.b.",INDEX(SRC_ZPMW03!$A$1:$ZZ$501,$A189,O$3)))</f>
        <v/>
      </c>
      <c r="P189" s="124" t="str">
        <f>IF($B189="","",IF(P$3=0,"n.b.",INDEX(SRC_ZPMW03!$A$1:$ZZ$501,$A189,P$3)))</f>
        <v/>
      </c>
      <c r="Q189" s="124" t="str">
        <f>IF($B189="","",IF(Q$3=0,"n.b.",INDEX(SRC_ZPMW03!$A$1:$ZZ$501,$A189,Q$3)))</f>
        <v/>
      </c>
      <c r="R189" s="124" t="str">
        <f>IF($B189="","",IF(R$3=0,"n.b.",INDEX(SRC_ZPMW03!$A$1:$ZZ$501,$A189,R$3)))</f>
        <v/>
      </c>
      <c r="S189" s="124" t="str">
        <f>IF($B189="","",IF(S$3=0,"n.b.",INDEX(SRC_ZPMW03!$A$1:$ZZ$501,$A189,S$3)))</f>
        <v/>
      </c>
      <c r="T189" s="124" t="str">
        <f>IF($B189="","",IF(T$3=0,"n.b.",INDEX(SRC_ZPMW03!$A$1:$ZZ$501,$A189,T$3)))</f>
        <v/>
      </c>
      <c r="U189" s="124" t="str">
        <f>IF($B189="","",IF(U$3=0,"n.b.",INDEX(SRC_ZPMW03!$A$1:$ZZ$501,$A189,U$3)))</f>
        <v/>
      </c>
      <c r="V189" s="124" t="str">
        <f>IF($B189="","",IF(V$3=0,"n.b.",INDEX(SRC_ZPMW03!$A$1:$ZZ$501,$A189,V$3)))</f>
        <v/>
      </c>
      <c r="W189" s="124" t="str">
        <f>IF($B189="","",IF(W$3=0,"n.b.",INDEX(SRC_ZPMW03!$A$1:$ZZ$501,$A189,W$3)))</f>
        <v/>
      </c>
      <c r="X189" s="124" t="str">
        <f>IF($B189="","",IF(X$3=0,"n.b.",INDEX(SRC_ZPMW03!$A$1:$ZZ$501,$A189,X$3)))</f>
        <v/>
      </c>
      <c r="Y189" s="124" t="str">
        <f>IF($B189="","",IF(Y$3=0,"n.b.",INDEX(SRC_ZPMW03!$A$1:$ZZ$501,$A189,Y$3)))</f>
        <v/>
      </c>
      <c r="Z189" s="124" t="str">
        <f>IF($B189="","",IF(Z$3=0,"n.b.",INDEX(SRC_ZPMW03!$A$1:$ZZ$501,$A189,Z$3)))</f>
        <v/>
      </c>
      <c r="AA189" s="124" t="str">
        <f>IF($B189="","",IF(AA$3=0,"n.b.",INDEX(SRC_ZPMW03!$A$1:$ZZ$501,$A189,AA$3)))</f>
        <v/>
      </c>
      <c r="AB189" s="124" t="str">
        <f>IF($B189="","",IF(AB$3=0,"n.b.",INDEX(SRC_ZPMW03!$A$1:$ZZ$501,$A189,AB$3)))</f>
        <v/>
      </c>
      <c r="AC189" s="124" t="str">
        <f>IF($B189="","",IF(AC$3=0,"n.b.",INDEX(SRC_ZPMW03!$A$1:$ZZ$501,$A189,AC$3)))</f>
        <v/>
      </c>
      <c r="AD189" s="124" t="str">
        <f>IF($B189="","",IF(AD$3=0,"n.b.",INDEX(SRC_ZPMW03!$A$1:$ZZ$501,$A189,AD$3)))</f>
        <v/>
      </c>
      <c r="AE189" s="124" t="str">
        <f>IF($B189="","",IF(AE$3=0,"n.b.",INDEX(SRC_ZPMW03!$A$1:$ZZ$501,$A189,AE$3)))</f>
        <v/>
      </c>
      <c r="AF189" s="124" t="str">
        <f>IF($B189="","",IF(AF$3=0,"n.b.",INDEX(SRC_ZPMW03!$A$1:$ZZ$501,$A189,AF$3)))</f>
        <v/>
      </c>
      <c r="AG189" s="124" t="str">
        <f>IF($B189="","",IF(AG$3=0,"n.b.",INDEX(SRC_ZPMW03!$A$1:$ZZ$501,$A189,AG$3)))</f>
        <v/>
      </c>
      <c r="AH189" s="124" t="str">
        <f>IF($B189="","",IF(AH$3=0,"n.b.",INDEX(SRC_ZPMW03!$A$1:$ZZ$501,$A189,AH$3)))</f>
        <v/>
      </c>
      <c r="AI189" s="124" t="str">
        <f>IF($B189="","",IF(AI$3=0,"n.b.",INDEX(SRC_ZPMW03!$A$1:$ZZ$501,$A189,AI$3)))</f>
        <v/>
      </c>
      <c r="AJ189" s="124" t="str">
        <f>IF($B189="","",IF(AJ$3=0,"n.b.",INDEX(SRC_ZPMW03!$A$1:$ZZ$501,$A189,AJ$3)))</f>
        <v/>
      </c>
      <c r="AK189" s="124" t="str">
        <f>IF($B189="","",IF(AK$3=0,"n.b.",INDEX(SRC_ZPMW03!$A$1:$ZZ$501,$A189,AK$3)))</f>
        <v/>
      </c>
      <c r="AL189" s="124" t="str">
        <f>IF($B189="","",IF(AL$3=0,"n.b.",INDEX(SRC_ZPMW03!$A$1:$ZZ$501,$A189,AL$3)))</f>
        <v/>
      </c>
      <c r="AM189" s="124" t="str">
        <f>IF($B189="","",IF(AM$3=0,"n.b.",INDEX(SRC_ZPMW03!$A$1:$ZZ$501,$A189,AM$3)))</f>
        <v/>
      </c>
      <c r="AN189" s="124" t="str">
        <f>IF($B189="","",IF(AN$3=0,"n.b.",INDEX(SRC_ZPMW03!$A$1:$ZZ$501,$A189,AN$3)))</f>
        <v/>
      </c>
      <c r="AO189" s="124" t="str">
        <f>IF($B189="","",IF(AO$3=0,"n.b.",INDEX(SRC_ZPMW03!$A$1:$ZZ$501,$A189,AO$3)))</f>
        <v/>
      </c>
      <c r="AP189" s="124" t="str">
        <f>IF($B189="","",IF(AP$3=0,"n.b.",INDEX(SRC_ZPMW03!$A$1:$ZZ$501,$A189,AP$3)))</f>
        <v/>
      </c>
      <c r="AQ189" s="124" t="str">
        <f>IF($B189="","",IF(AQ$3=0,"n.b.",INDEX(SRC_ZPMW03!$A$1:$ZZ$501,$A189,AQ$3)))</f>
        <v/>
      </c>
      <c r="AR189" s="124" t="str">
        <f>IF($B189="","",IF(AR$3=0,"n.b.",INDEX(SRC_ZPMW03!$A$1:$ZZ$501,$A189,AR$3)))</f>
        <v/>
      </c>
      <c r="AS189" s="124" t="str">
        <f>IF($B189="","",IF(AS$3=0,"n.b.",INDEX(SRC_ZPMW03!$A$1:$ZZ$501,$A189,AS$3)))</f>
        <v/>
      </c>
      <c r="AT189" s="124" t="str">
        <f>IF($B189="","",IF(AT$3=0,"n.b.",INDEX(SRC_ZPMW03!$A$1:$ZZ$501,$A189,AT$3)))</f>
        <v/>
      </c>
      <c r="AU189" s="124" t="str">
        <f>IF($B189="","",IF(AU$3=0,"n.b.",INDEX(SRC_ZPMW03!$A$1:$ZZ$501,$A189,AU$3)))</f>
        <v/>
      </c>
      <c r="AV189" s="124" t="str">
        <f>IF($B189="","",IF(AV$3=0,"n.b.",INDEX(SRC_ZPMW03!$A$1:$ZZ$501,$A189,AV$3)))</f>
        <v/>
      </c>
      <c r="AW189" s="124" t="str">
        <f>IF($B189="","",IF(AW$3=0,"n.b.",INDEX(SRC_ZPMW03!$A$1:$ZZ$501,$A189,AW$3)))</f>
        <v/>
      </c>
      <c r="AX189" s="124" t="str">
        <f>IF($B189="","",IF(AX$3=0,"n.b.",INDEX(SRC_ZPMW03!$A$1:$ZZ$501,$A189,AX$3)))</f>
        <v/>
      </c>
      <c r="AY189" s="124" t="str">
        <f>IF($B189="","",IF(AY$3=0,"n.b.",INDEX(SRC_ZPMW03!$A$1:$ZZ$501,$A189,AY$3)))</f>
        <v/>
      </c>
      <c r="AZ189" s="124" t="str">
        <f>IF($B189="","",IF(AZ$3=0,"n.b.",INDEX(SRC_ZPMW03!$A$1:$ZZ$501,$A189,AZ$3)))</f>
        <v/>
      </c>
      <c r="BA189" s="124" t="str">
        <f>IF($B189="","",IF(BA$3=0,"n.b.",INDEX(SRC_ZPMW03!$A$1:$ZZ$501,$A189,BA$3)))</f>
        <v/>
      </c>
      <c r="BB189" s="124" t="str">
        <f>IF($B189="","",IF(BB$3=0,"n.b.",INDEX(SRC_ZPMW03!$A$1:$ZZ$501,$A189,BB$3)))</f>
        <v/>
      </c>
      <c r="BC189" s="124" t="str">
        <f>IF($B189="","",IF(BC$3=0,"n.b.",INDEX(SRC_ZPMW03!$A$1:$ZZ$501,$A189,BC$3)))</f>
        <v/>
      </c>
      <c r="BD189" s="124" t="str">
        <f>IF($B189="","",IF(BD$3=0,"n.b.",INDEX(SRC_ZPMW03!$A$1:$ZZ$501,$A189,BD$3)))</f>
        <v/>
      </c>
      <c r="BE189" s="124" t="str">
        <f>IF($B189="","",IF(BE$3=0,"n.b.",INDEX(SRC_ZPMW03!$A$1:$ZZ$501,$A189,BE$3)))</f>
        <v/>
      </c>
      <c r="BF189" s="124" t="str">
        <f>IF($B189="","",IF(BF$3=0,"n.b.",INDEX(SRC_ZPMW03!$A$1:$ZZ$501,$A189,BF$3)))</f>
        <v/>
      </c>
      <c r="BG189" t="str">
        <f>IF($B189="","",IF(BG$3=0,"n.b.",INDEX(SRC_ZPMW03!$A$1:$ZZ$501,$A189,BG$3)))</f>
        <v/>
      </c>
      <c r="BH189" t="str">
        <f>IF($B189="","",IF(BH$3=0,"n.b.",INDEX(SRC_ZPMW03!$A$1:$ZZ$501,$A189,BH$3)))</f>
        <v/>
      </c>
      <c r="BI189" t="str">
        <f>IF($B189="","",IF(BI$3=0,"n.b.",INDEX(SRC_ZPMW03!$A$1:$ZZ$501,$A189,BI$3)))</f>
        <v/>
      </c>
      <c r="BJ189" t="str">
        <f>IF($B189="","",IF(BJ$3=0,"n.b.",INDEX(SRC_ZPMW03!$A$1:$ZZ$501,$A189,BJ$3)))</f>
        <v/>
      </c>
      <c r="BK189" s="124" t="str">
        <f>IF($B189="","",IFERROR(-O189,"n.b."))</f>
        <v/>
      </c>
      <c r="BL189" s="124" t="str">
        <f>IF($B189="","",IFERROR(-Q189,"n.b."))</f>
        <v/>
      </c>
      <c r="BM189" s="124" t="str">
        <f>IF($B189="","",IFERROR(-AB189,"n.b."))</f>
        <v/>
      </c>
      <c r="BN189" s="124" t="str">
        <f>IF($B189="","",IFERROR(-AD189,"n.b."))</f>
        <v/>
      </c>
      <c r="BO189" s="124" t="str">
        <f>IF($B189="","",IFERROR(BK189+BM189,"n.b."))</f>
        <v/>
      </c>
      <c r="BP189" s="124" t="str">
        <f>IF($B189="","",IFERROR(BL189+BN189,"n.b."))</f>
        <v/>
      </c>
      <c r="BQ189" s="124" t="str">
        <f>IF($B189="","",IFERROR(-AM189,"n.b."))</f>
        <v/>
      </c>
      <c r="BR189" s="124" t="str">
        <f>IF($B189="","",IFERROR(-AO189,"n.b."))</f>
        <v/>
      </c>
      <c r="BS189" s="124" t="str">
        <f>IF($B189="","",IFERROR(-Z189,"n.b."))</f>
        <v/>
      </c>
      <c r="BT189" s="124" t="str">
        <f>IF($B189="","",IFERROR(-AA189,"n.b."))</f>
        <v/>
      </c>
      <c r="BU189" s="124" t="str">
        <f>IF($B189="","",IFERROR(-AE189,"n.b."))</f>
        <v/>
      </c>
      <c r="BV189" s="124" t="str">
        <f>IF($B189="","",IFERROR(-AF189,"n.b."))</f>
        <v/>
      </c>
      <c r="BW189" s="124" t="str">
        <f>IF($B189="","",IFERROR(-AG189,"n.b."))</f>
        <v/>
      </c>
      <c r="BX189" s="124" t="str">
        <f>IF($B189="","",IFERROR(-AH189,"n.b."))</f>
        <v/>
      </c>
      <c r="BY189" s="124" t="str">
        <f>IF($B189="","",IFERROR(-AI189,"n.b."))</f>
        <v/>
      </c>
      <c r="BZ189" s="124" t="str">
        <f>IF($B189="","",IFERROR(-AJ189,"n.b."))</f>
        <v/>
      </c>
      <c r="CA189" s="124" t="str">
        <f>IF($B189="","",IFERROR(-AK189,"n.b."))</f>
        <v/>
      </c>
      <c r="CB189" s="124" t="str">
        <f>IF($B189="","",IFERROR(-AL189,"n.b."))</f>
        <v/>
      </c>
      <c r="CC189" s="124" t="str">
        <f>IF($B189="","",IFERROR(-AP189,"n.b."))</f>
        <v/>
      </c>
      <c r="CD189" s="124" t="str">
        <f>IF($B189="","",IFERROR(-AQ189,"n.b."))</f>
        <v/>
      </c>
      <c r="CE189" s="124" t="str">
        <f>IF($B189="","",IFERROR(-AR189,"n.b."))</f>
        <v/>
      </c>
      <c r="CF189" s="124" t="str">
        <f>IF($B189="","",IFERROR(-AS189,"n.b."))</f>
        <v/>
      </c>
      <c r="CG189" s="124" t="str">
        <f>IF($B189="","",IFERROR(-AT189,"n.b."))</f>
        <v/>
      </c>
      <c r="CH189" s="124" t="str">
        <f>IF($B189="","",IFERROR(-AU189,"n.b."))</f>
        <v/>
      </c>
      <c r="CI189" s="124" t="str">
        <f>IF($B189="","",IFERROR(-AV189,"n.b."))</f>
        <v/>
      </c>
      <c r="CJ189" s="124" t="str">
        <f>IF($B189="","",IFERROR(-AW189,"n.b."))</f>
        <v/>
      </c>
      <c r="CK189" s="124" t="str">
        <f>IF($B189="","",IFERROR(-AX189,"n.b."))</f>
        <v/>
      </c>
      <c r="CL189" s="124" t="str">
        <f>IF($B189="","",IFERROR(-AY189,"n.b."))</f>
        <v/>
      </c>
      <c r="CM189" s="124" t="str">
        <f>IF($B189="","",IFERROR(-AZ189,"n.b."))</f>
        <v/>
      </c>
      <c r="CN189" s="124" t="str">
        <f>IF($B189="","",IFERROR(-BA189,"n.b."))</f>
        <v/>
      </c>
      <c r="CO189" s="124" t="str">
        <f>IF($B189="","",IFERROR(-BB189,"n.b."))</f>
        <v/>
      </c>
      <c r="CP189" s="124" t="str">
        <f>IF($B189="","",IFERROR(-BC189,"n.b."))</f>
        <v/>
      </c>
      <c r="CQ189" s="124" t="str">
        <f>IF($B189="","",IFERROR(-BD189,"n.b."))</f>
        <v/>
      </c>
      <c r="CR189" s="124" t="str">
        <f>IF($B189="","",IFERROR(-BE189,"n.b."))</f>
        <v/>
      </c>
      <c r="CS189" s="124" t="str">
        <f>IF($B189="","",IFERROR(IF(OR(ABS(T189+V189+X189+Z189-AB189)&gt;P_Tol,ABS(U189+W189+Y189+AA189-AD189)&gt;P_Tol,ABS(AE189+AG189+AI189+AK189-AM189)&gt;P_Tol,ABS(AF189+AH189+AJ189+AL189-AO189)&gt;P_Tol),1,0),1))</f>
        <v/>
      </c>
      <c r="CT189" s="124" t="str">
        <f>IF($B189="","",IFERROR(IF(OR(ABS(AB189+AC189-AD189)&gt;P_Tol,ABS(AM189+AN189-AO189)&gt;P_Tol,ABS(O189+P189-Q189)&gt;P_Tol),1,0),1))</f>
        <v/>
      </c>
      <c r="CU189" s="124" t="str">
        <f>IF($B189="","",IFERROR(IF(ABS(R189-(AB189+AM189+AP189+AR189+AT189+AV189+AX189+AZ189+BB189+BD189))&gt;P_Tol,1,0),1))</f>
        <v/>
      </c>
      <c r="CV189" s="124" t="str">
        <f>IF($B189="","",IFERROR(IF(ABS(M189-(N189+O189+R189))&gt;P_Tol,1,0),1))</f>
        <v/>
      </c>
      <c r="CW189" s="124" t="str">
        <f>IF($B189="","",IF(COUNTIF(Mapping!$A$5:$A$104,B189)&gt;0,1,0))</f>
        <v/>
      </c>
      <c r="CX189" s="124" t="str">
        <f>IF($B189="","",COUNTIF($B$6:$B$505,B189))</f>
        <v/>
      </c>
      <c r="CY189" s="124" t="str">
        <f>IF($B189="","",COUNTIF(STG_Woningetalage!$B$6:$B$505,B189))</f>
        <v/>
      </c>
      <c r="CZ189" s="124" t="str">
        <f>IF($B189="","",IF(CW189=0,COUNTIF($CW$6:CW189,0),""))</f>
        <v/>
      </c>
    </row>
    <row r="190">
      <c r="A190" s="15" t="n">
        <v>186</v>
      </c>
      <c r="B190" t="str">
        <f>IF(B$3=0,"",IF(INDEX(SRC_ZPMW03!$A$1:$ZZ$501,$A190,B$3)&amp;""="","",INDEX(SRC_ZPMW03!$A$1:$ZZ$501,$A190,B$3)&amp;""))</f>
        <v/>
      </c>
      <c r="C190" t="str">
        <f>IF($B190="","",IF(C$3=0,"n.b.",INDEX(SRC_ZPMW03!$A$1:$ZZ$501,$A190,C$3)))</f>
        <v/>
      </c>
      <c r="D190" t="str">
        <f>IF($B190="","",IF(D$3=0,"n.b.",INDEX(SRC_ZPMW03!$A$1:$ZZ$501,$A190,D$3)))</f>
        <v/>
      </c>
      <c r="E190" t="str">
        <f>IF($B190="","",IF(E$3=0,"n.b.",INDEX(SRC_ZPMW03!$A$1:$ZZ$501,$A190,E$3)))</f>
        <v/>
      </c>
      <c r="F190" t="str">
        <f>IF($B190="","",IF(F$3=0,"n.b.",INDEX(SRC_ZPMW03!$A$1:$ZZ$501,$A190,F$3)))</f>
        <v/>
      </c>
      <c r="G190" t="str">
        <f>IF($B190="","",IF(G$3=0,"n.b.",INDEX(SRC_ZPMW03!$A$1:$ZZ$501,$A190,G$3)))</f>
        <v/>
      </c>
      <c r="H190" t="str">
        <f>IF($B190="","",IF(H$3=0,"n.b.",INDEX(SRC_ZPMW03!$A$1:$ZZ$501,$A190,H$3)))</f>
        <v/>
      </c>
      <c r="I190" t="str">
        <f>IF($B190="","",IF(I$3=0,"n.b.",INDEX(SRC_ZPMW03!$A$1:$ZZ$501,$A190,I$3)))</f>
        <v/>
      </c>
      <c r="J190" t="str">
        <f>IF($B190="","",IF(J$3=0,"n.b.",INDEX(SRC_ZPMW03!$A$1:$ZZ$501,$A190,J$3)))</f>
        <v/>
      </c>
      <c r="K190" t="str">
        <f>IF($B190="","",IF(K$3=0,"n.b.",INDEX(SRC_ZPMW03!$A$1:$ZZ$501,$A190,K$3)))</f>
        <v/>
      </c>
      <c r="L190" s="124" t="str">
        <f>IF($B190="","",IF(L$3=0,"n.b.",INDEX(SRC_ZPMW03!$A$1:$ZZ$501,$A190,L$3)))</f>
        <v/>
      </c>
      <c r="M190" s="124" t="str">
        <f>IF($B190="","",IF(M$3=0,"n.b.",INDEX(SRC_ZPMW03!$A$1:$ZZ$501,$A190,M$3)))</f>
        <v/>
      </c>
      <c r="N190" s="124" t="str">
        <f>IF($B190="","",IF(N$3=0,"n.b.",INDEX(SRC_ZPMW03!$A$1:$ZZ$501,$A190,N$3)))</f>
        <v/>
      </c>
      <c r="O190" s="124" t="str">
        <f>IF($B190="","",IF(O$3=0,"n.b.",INDEX(SRC_ZPMW03!$A$1:$ZZ$501,$A190,O$3)))</f>
        <v/>
      </c>
      <c r="P190" s="124" t="str">
        <f>IF($B190="","",IF(P$3=0,"n.b.",INDEX(SRC_ZPMW03!$A$1:$ZZ$501,$A190,P$3)))</f>
        <v/>
      </c>
      <c r="Q190" s="124" t="str">
        <f>IF($B190="","",IF(Q$3=0,"n.b.",INDEX(SRC_ZPMW03!$A$1:$ZZ$501,$A190,Q$3)))</f>
        <v/>
      </c>
      <c r="R190" s="124" t="str">
        <f>IF($B190="","",IF(R$3=0,"n.b.",INDEX(SRC_ZPMW03!$A$1:$ZZ$501,$A190,R$3)))</f>
        <v/>
      </c>
      <c r="S190" s="124" t="str">
        <f>IF($B190="","",IF(S$3=0,"n.b.",INDEX(SRC_ZPMW03!$A$1:$ZZ$501,$A190,S$3)))</f>
        <v/>
      </c>
      <c r="T190" s="124" t="str">
        <f>IF($B190="","",IF(T$3=0,"n.b.",INDEX(SRC_ZPMW03!$A$1:$ZZ$501,$A190,T$3)))</f>
        <v/>
      </c>
      <c r="U190" s="124" t="str">
        <f>IF($B190="","",IF(U$3=0,"n.b.",INDEX(SRC_ZPMW03!$A$1:$ZZ$501,$A190,U$3)))</f>
        <v/>
      </c>
      <c r="V190" s="124" t="str">
        <f>IF($B190="","",IF(V$3=0,"n.b.",INDEX(SRC_ZPMW03!$A$1:$ZZ$501,$A190,V$3)))</f>
        <v/>
      </c>
      <c r="W190" s="124" t="str">
        <f>IF($B190="","",IF(W$3=0,"n.b.",INDEX(SRC_ZPMW03!$A$1:$ZZ$501,$A190,W$3)))</f>
        <v/>
      </c>
      <c r="X190" s="124" t="str">
        <f>IF($B190="","",IF(X$3=0,"n.b.",INDEX(SRC_ZPMW03!$A$1:$ZZ$501,$A190,X$3)))</f>
        <v/>
      </c>
      <c r="Y190" s="124" t="str">
        <f>IF($B190="","",IF(Y$3=0,"n.b.",INDEX(SRC_ZPMW03!$A$1:$ZZ$501,$A190,Y$3)))</f>
        <v/>
      </c>
      <c r="Z190" s="124" t="str">
        <f>IF($B190="","",IF(Z$3=0,"n.b.",INDEX(SRC_ZPMW03!$A$1:$ZZ$501,$A190,Z$3)))</f>
        <v/>
      </c>
      <c r="AA190" s="124" t="str">
        <f>IF($B190="","",IF(AA$3=0,"n.b.",INDEX(SRC_ZPMW03!$A$1:$ZZ$501,$A190,AA$3)))</f>
        <v/>
      </c>
      <c r="AB190" s="124" t="str">
        <f>IF($B190="","",IF(AB$3=0,"n.b.",INDEX(SRC_ZPMW03!$A$1:$ZZ$501,$A190,AB$3)))</f>
        <v/>
      </c>
      <c r="AC190" s="124" t="str">
        <f>IF($B190="","",IF(AC$3=0,"n.b.",INDEX(SRC_ZPMW03!$A$1:$ZZ$501,$A190,AC$3)))</f>
        <v/>
      </c>
      <c r="AD190" s="124" t="str">
        <f>IF($B190="","",IF(AD$3=0,"n.b.",INDEX(SRC_ZPMW03!$A$1:$ZZ$501,$A190,AD$3)))</f>
        <v/>
      </c>
      <c r="AE190" s="124" t="str">
        <f>IF($B190="","",IF(AE$3=0,"n.b.",INDEX(SRC_ZPMW03!$A$1:$ZZ$501,$A190,AE$3)))</f>
        <v/>
      </c>
      <c r="AF190" s="124" t="str">
        <f>IF($B190="","",IF(AF$3=0,"n.b.",INDEX(SRC_ZPMW03!$A$1:$ZZ$501,$A190,AF$3)))</f>
        <v/>
      </c>
      <c r="AG190" s="124" t="str">
        <f>IF($B190="","",IF(AG$3=0,"n.b.",INDEX(SRC_ZPMW03!$A$1:$ZZ$501,$A190,AG$3)))</f>
        <v/>
      </c>
      <c r="AH190" s="124" t="str">
        <f>IF($B190="","",IF(AH$3=0,"n.b.",INDEX(SRC_ZPMW03!$A$1:$ZZ$501,$A190,AH$3)))</f>
        <v/>
      </c>
      <c r="AI190" s="124" t="str">
        <f>IF($B190="","",IF(AI$3=0,"n.b.",INDEX(SRC_ZPMW03!$A$1:$ZZ$501,$A190,AI$3)))</f>
        <v/>
      </c>
      <c r="AJ190" s="124" t="str">
        <f>IF($B190="","",IF(AJ$3=0,"n.b.",INDEX(SRC_ZPMW03!$A$1:$ZZ$501,$A190,AJ$3)))</f>
        <v/>
      </c>
      <c r="AK190" s="124" t="str">
        <f>IF($B190="","",IF(AK$3=0,"n.b.",INDEX(SRC_ZPMW03!$A$1:$ZZ$501,$A190,AK$3)))</f>
        <v/>
      </c>
      <c r="AL190" s="124" t="str">
        <f>IF($B190="","",IF(AL$3=0,"n.b.",INDEX(SRC_ZPMW03!$A$1:$ZZ$501,$A190,AL$3)))</f>
        <v/>
      </c>
      <c r="AM190" s="124" t="str">
        <f>IF($B190="","",IF(AM$3=0,"n.b.",INDEX(SRC_ZPMW03!$A$1:$ZZ$501,$A190,AM$3)))</f>
        <v/>
      </c>
      <c r="AN190" s="124" t="str">
        <f>IF($B190="","",IF(AN$3=0,"n.b.",INDEX(SRC_ZPMW03!$A$1:$ZZ$501,$A190,AN$3)))</f>
        <v/>
      </c>
      <c r="AO190" s="124" t="str">
        <f>IF($B190="","",IF(AO$3=0,"n.b.",INDEX(SRC_ZPMW03!$A$1:$ZZ$501,$A190,AO$3)))</f>
        <v/>
      </c>
      <c r="AP190" s="124" t="str">
        <f>IF($B190="","",IF(AP$3=0,"n.b.",INDEX(SRC_ZPMW03!$A$1:$ZZ$501,$A190,AP$3)))</f>
        <v/>
      </c>
      <c r="AQ190" s="124" t="str">
        <f>IF($B190="","",IF(AQ$3=0,"n.b.",INDEX(SRC_ZPMW03!$A$1:$ZZ$501,$A190,AQ$3)))</f>
        <v/>
      </c>
      <c r="AR190" s="124" t="str">
        <f>IF($B190="","",IF(AR$3=0,"n.b.",INDEX(SRC_ZPMW03!$A$1:$ZZ$501,$A190,AR$3)))</f>
        <v/>
      </c>
      <c r="AS190" s="124" t="str">
        <f>IF($B190="","",IF(AS$3=0,"n.b.",INDEX(SRC_ZPMW03!$A$1:$ZZ$501,$A190,AS$3)))</f>
        <v/>
      </c>
      <c r="AT190" s="124" t="str">
        <f>IF($B190="","",IF(AT$3=0,"n.b.",INDEX(SRC_ZPMW03!$A$1:$ZZ$501,$A190,AT$3)))</f>
        <v/>
      </c>
      <c r="AU190" s="124" t="str">
        <f>IF($B190="","",IF(AU$3=0,"n.b.",INDEX(SRC_ZPMW03!$A$1:$ZZ$501,$A190,AU$3)))</f>
        <v/>
      </c>
      <c r="AV190" s="124" t="str">
        <f>IF($B190="","",IF(AV$3=0,"n.b.",INDEX(SRC_ZPMW03!$A$1:$ZZ$501,$A190,AV$3)))</f>
        <v/>
      </c>
      <c r="AW190" s="124" t="str">
        <f>IF($B190="","",IF(AW$3=0,"n.b.",INDEX(SRC_ZPMW03!$A$1:$ZZ$501,$A190,AW$3)))</f>
        <v/>
      </c>
      <c r="AX190" s="124" t="str">
        <f>IF($B190="","",IF(AX$3=0,"n.b.",INDEX(SRC_ZPMW03!$A$1:$ZZ$501,$A190,AX$3)))</f>
        <v/>
      </c>
      <c r="AY190" s="124" t="str">
        <f>IF($B190="","",IF(AY$3=0,"n.b.",INDEX(SRC_ZPMW03!$A$1:$ZZ$501,$A190,AY$3)))</f>
        <v/>
      </c>
      <c r="AZ190" s="124" t="str">
        <f>IF($B190="","",IF(AZ$3=0,"n.b.",INDEX(SRC_ZPMW03!$A$1:$ZZ$501,$A190,AZ$3)))</f>
        <v/>
      </c>
      <c r="BA190" s="124" t="str">
        <f>IF($B190="","",IF(BA$3=0,"n.b.",INDEX(SRC_ZPMW03!$A$1:$ZZ$501,$A190,BA$3)))</f>
        <v/>
      </c>
      <c r="BB190" s="124" t="str">
        <f>IF($B190="","",IF(BB$3=0,"n.b.",INDEX(SRC_ZPMW03!$A$1:$ZZ$501,$A190,BB$3)))</f>
        <v/>
      </c>
      <c r="BC190" s="124" t="str">
        <f>IF($B190="","",IF(BC$3=0,"n.b.",INDEX(SRC_ZPMW03!$A$1:$ZZ$501,$A190,BC$3)))</f>
        <v/>
      </c>
      <c r="BD190" s="124" t="str">
        <f>IF($B190="","",IF(BD$3=0,"n.b.",INDEX(SRC_ZPMW03!$A$1:$ZZ$501,$A190,BD$3)))</f>
        <v/>
      </c>
      <c r="BE190" s="124" t="str">
        <f>IF($B190="","",IF(BE$3=0,"n.b.",INDEX(SRC_ZPMW03!$A$1:$ZZ$501,$A190,BE$3)))</f>
        <v/>
      </c>
      <c r="BF190" s="124" t="str">
        <f>IF($B190="","",IF(BF$3=0,"n.b.",INDEX(SRC_ZPMW03!$A$1:$ZZ$501,$A190,BF$3)))</f>
        <v/>
      </c>
      <c r="BG190" t="str">
        <f>IF($B190="","",IF(BG$3=0,"n.b.",INDEX(SRC_ZPMW03!$A$1:$ZZ$501,$A190,BG$3)))</f>
        <v/>
      </c>
      <c r="BH190" t="str">
        <f>IF($B190="","",IF(BH$3=0,"n.b.",INDEX(SRC_ZPMW03!$A$1:$ZZ$501,$A190,BH$3)))</f>
        <v/>
      </c>
      <c r="BI190" t="str">
        <f>IF($B190="","",IF(BI$3=0,"n.b.",INDEX(SRC_ZPMW03!$A$1:$ZZ$501,$A190,BI$3)))</f>
        <v/>
      </c>
      <c r="BJ190" t="str">
        <f>IF($B190="","",IF(BJ$3=0,"n.b.",INDEX(SRC_ZPMW03!$A$1:$ZZ$501,$A190,BJ$3)))</f>
        <v/>
      </c>
      <c r="BK190" s="124" t="str">
        <f>IF($B190="","",IFERROR(-O190,"n.b."))</f>
        <v/>
      </c>
      <c r="BL190" s="124" t="str">
        <f>IF($B190="","",IFERROR(-Q190,"n.b."))</f>
        <v/>
      </c>
      <c r="BM190" s="124" t="str">
        <f>IF($B190="","",IFERROR(-AB190,"n.b."))</f>
        <v/>
      </c>
      <c r="BN190" s="124" t="str">
        <f>IF($B190="","",IFERROR(-AD190,"n.b."))</f>
        <v/>
      </c>
      <c r="BO190" s="124" t="str">
        <f>IF($B190="","",IFERROR(BK190+BM190,"n.b."))</f>
        <v/>
      </c>
      <c r="BP190" s="124" t="str">
        <f>IF($B190="","",IFERROR(BL190+BN190,"n.b."))</f>
        <v/>
      </c>
      <c r="BQ190" s="124" t="str">
        <f>IF($B190="","",IFERROR(-AM190,"n.b."))</f>
        <v/>
      </c>
      <c r="BR190" s="124" t="str">
        <f>IF($B190="","",IFERROR(-AO190,"n.b."))</f>
        <v/>
      </c>
      <c r="BS190" s="124" t="str">
        <f>IF($B190="","",IFERROR(-Z190,"n.b."))</f>
        <v/>
      </c>
      <c r="BT190" s="124" t="str">
        <f>IF($B190="","",IFERROR(-AA190,"n.b."))</f>
        <v/>
      </c>
      <c r="BU190" s="124" t="str">
        <f>IF($B190="","",IFERROR(-AE190,"n.b."))</f>
        <v/>
      </c>
      <c r="BV190" s="124" t="str">
        <f>IF($B190="","",IFERROR(-AF190,"n.b."))</f>
        <v/>
      </c>
      <c r="BW190" s="124" t="str">
        <f>IF($B190="","",IFERROR(-AG190,"n.b."))</f>
        <v/>
      </c>
      <c r="BX190" s="124" t="str">
        <f>IF($B190="","",IFERROR(-AH190,"n.b."))</f>
        <v/>
      </c>
      <c r="BY190" s="124" t="str">
        <f>IF($B190="","",IFERROR(-AI190,"n.b."))</f>
        <v/>
      </c>
      <c r="BZ190" s="124" t="str">
        <f>IF($B190="","",IFERROR(-AJ190,"n.b."))</f>
        <v/>
      </c>
      <c r="CA190" s="124" t="str">
        <f>IF($B190="","",IFERROR(-AK190,"n.b."))</f>
        <v/>
      </c>
      <c r="CB190" s="124" t="str">
        <f>IF($B190="","",IFERROR(-AL190,"n.b."))</f>
        <v/>
      </c>
      <c r="CC190" s="124" t="str">
        <f>IF($B190="","",IFERROR(-AP190,"n.b."))</f>
        <v/>
      </c>
      <c r="CD190" s="124" t="str">
        <f>IF($B190="","",IFERROR(-AQ190,"n.b."))</f>
        <v/>
      </c>
      <c r="CE190" s="124" t="str">
        <f>IF($B190="","",IFERROR(-AR190,"n.b."))</f>
        <v/>
      </c>
      <c r="CF190" s="124" t="str">
        <f>IF($B190="","",IFERROR(-AS190,"n.b."))</f>
        <v/>
      </c>
      <c r="CG190" s="124" t="str">
        <f>IF($B190="","",IFERROR(-AT190,"n.b."))</f>
        <v/>
      </c>
      <c r="CH190" s="124" t="str">
        <f>IF($B190="","",IFERROR(-AU190,"n.b."))</f>
        <v/>
      </c>
      <c r="CI190" s="124" t="str">
        <f>IF($B190="","",IFERROR(-AV190,"n.b."))</f>
        <v/>
      </c>
      <c r="CJ190" s="124" t="str">
        <f>IF($B190="","",IFERROR(-AW190,"n.b."))</f>
        <v/>
      </c>
      <c r="CK190" s="124" t="str">
        <f>IF($B190="","",IFERROR(-AX190,"n.b."))</f>
        <v/>
      </c>
      <c r="CL190" s="124" t="str">
        <f>IF($B190="","",IFERROR(-AY190,"n.b."))</f>
        <v/>
      </c>
      <c r="CM190" s="124" t="str">
        <f>IF($B190="","",IFERROR(-AZ190,"n.b."))</f>
        <v/>
      </c>
      <c r="CN190" s="124" t="str">
        <f>IF($B190="","",IFERROR(-BA190,"n.b."))</f>
        <v/>
      </c>
      <c r="CO190" s="124" t="str">
        <f>IF($B190="","",IFERROR(-BB190,"n.b."))</f>
        <v/>
      </c>
      <c r="CP190" s="124" t="str">
        <f>IF($B190="","",IFERROR(-BC190,"n.b."))</f>
        <v/>
      </c>
      <c r="CQ190" s="124" t="str">
        <f>IF($B190="","",IFERROR(-BD190,"n.b."))</f>
        <v/>
      </c>
      <c r="CR190" s="124" t="str">
        <f>IF($B190="","",IFERROR(-BE190,"n.b."))</f>
        <v/>
      </c>
      <c r="CS190" s="124" t="str">
        <f>IF($B190="","",IFERROR(IF(OR(ABS(T190+V190+X190+Z190-AB190)&gt;P_Tol,ABS(U190+W190+Y190+AA190-AD190)&gt;P_Tol,ABS(AE190+AG190+AI190+AK190-AM190)&gt;P_Tol,ABS(AF190+AH190+AJ190+AL190-AO190)&gt;P_Tol),1,0),1))</f>
        <v/>
      </c>
      <c r="CT190" s="124" t="str">
        <f>IF($B190="","",IFERROR(IF(OR(ABS(AB190+AC190-AD190)&gt;P_Tol,ABS(AM190+AN190-AO190)&gt;P_Tol,ABS(O190+P190-Q190)&gt;P_Tol),1,0),1))</f>
        <v/>
      </c>
      <c r="CU190" s="124" t="str">
        <f>IF($B190="","",IFERROR(IF(ABS(R190-(AB190+AM190+AP190+AR190+AT190+AV190+AX190+AZ190+BB190+BD190))&gt;P_Tol,1,0),1))</f>
        <v/>
      </c>
      <c r="CV190" s="124" t="str">
        <f>IF($B190="","",IFERROR(IF(ABS(M190-(N190+O190+R190))&gt;P_Tol,1,0),1))</f>
        <v/>
      </c>
      <c r="CW190" s="124" t="str">
        <f>IF($B190="","",IF(COUNTIF(Mapping!$A$5:$A$104,B190)&gt;0,1,0))</f>
        <v/>
      </c>
      <c r="CX190" s="124" t="str">
        <f>IF($B190="","",COUNTIF($B$6:$B$505,B190))</f>
        <v/>
      </c>
      <c r="CY190" s="124" t="str">
        <f>IF($B190="","",COUNTIF(STG_Woningetalage!$B$6:$B$505,B190))</f>
        <v/>
      </c>
      <c r="CZ190" s="124" t="str">
        <f>IF($B190="","",IF(CW190=0,COUNTIF($CW$6:CW190,0),""))</f>
        <v/>
      </c>
    </row>
    <row r="191">
      <c r="A191" s="15" t="n">
        <v>187</v>
      </c>
      <c r="B191" t="str">
        <f>IF(B$3=0,"",IF(INDEX(SRC_ZPMW03!$A$1:$ZZ$501,$A191,B$3)&amp;""="","",INDEX(SRC_ZPMW03!$A$1:$ZZ$501,$A191,B$3)&amp;""))</f>
        <v/>
      </c>
      <c r="C191" t="str">
        <f>IF($B191="","",IF(C$3=0,"n.b.",INDEX(SRC_ZPMW03!$A$1:$ZZ$501,$A191,C$3)))</f>
        <v/>
      </c>
      <c r="D191" t="str">
        <f>IF($B191="","",IF(D$3=0,"n.b.",INDEX(SRC_ZPMW03!$A$1:$ZZ$501,$A191,D$3)))</f>
        <v/>
      </c>
      <c r="E191" t="str">
        <f>IF($B191="","",IF(E$3=0,"n.b.",INDEX(SRC_ZPMW03!$A$1:$ZZ$501,$A191,E$3)))</f>
        <v/>
      </c>
      <c r="F191" t="str">
        <f>IF($B191="","",IF(F$3=0,"n.b.",INDEX(SRC_ZPMW03!$A$1:$ZZ$501,$A191,F$3)))</f>
        <v/>
      </c>
      <c r="G191" t="str">
        <f>IF($B191="","",IF(G$3=0,"n.b.",INDEX(SRC_ZPMW03!$A$1:$ZZ$501,$A191,G$3)))</f>
        <v/>
      </c>
      <c r="H191" t="str">
        <f>IF($B191="","",IF(H$3=0,"n.b.",INDEX(SRC_ZPMW03!$A$1:$ZZ$501,$A191,H$3)))</f>
        <v/>
      </c>
      <c r="I191" t="str">
        <f>IF($B191="","",IF(I$3=0,"n.b.",INDEX(SRC_ZPMW03!$A$1:$ZZ$501,$A191,I$3)))</f>
        <v/>
      </c>
      <c r="J191" t="str">
        <f>IF($B191="","",IF(J$3=0,"n.b.",INDEX(SRC_ZPMW03!$A$1:$ZZ$501,$A191,J$3)))</f>
        <v/>
      </c>
      <c r="K191" t="str">
        <f>IF($B191="","",IF(K$3=0,"n.b.",INDEX(SRC_ZPMW03!$A$1:$ZZ$501,$A191,K$3)))</f>
        <v/>
      </c>
      <c r="L191" s="124" t="str">
        <f>IF($B191="","",IF(L$3=0,"n.b.",INDEX(SRC_ZPMW03!$A$1:$ZZ$501,$A191,L$3)))</f>
        <v/>
      </c>
      <c r="M191" s="124" t="str">
        <f>IF($B191="","",IF(M$3=0,"n.b.",INDEX(SRC_ZPMW03!$A$1:$ZZ$501,$A191,M$3)))</f>
        <v/>
      </c>
      <c r="N191" s="124" t="str">
        <f>IF($B191="","",IF(N$3=0,"n.b.",INDEX(SRC_ZPMW03!$A$1:$ZZ$501,$A191,N$3)))</f>
        <v/>
      </c>
      <c r="O191" s="124" t="str">
        <f>IF($B191="","",IF(O$3=0,"n.b.",INDEX(SRC_ZPMW03!$A$1:$ZZ$501,$A191,O$3)))</f>
        <v/>
      </c>
      <c r="P191" s="124" t="str">
        <f>IF($B191="","",IF(P$3=0,"n.b.",INDEX(SRC_ZPMW03!$A$1:$ZZ$501,$A191,P$3)))</f>
        <v/>
      </c>
      <c r="Q191" s="124" t="str">
        <f>IF($B191="","",IF(Q$3=0,"n.b.",INDEX(SRC_ZPMW03!$A$1:$ZZ$501,$A191,Q$3)))</f>
        <v/>
      </c>
      <c r="R191" s="124" t="str">
        <f>IF($B191="","",IF(R$3=0,"n.b.",INDEX(SRC_ZPMW03!$A$1:$ZZ$501,$A191,R$3)))</f>
        <v/>
      </c>
      <c r="S191" s="124" t="str">
        <f>IF($B191="","",IF(S$3=0,"n.b.",INDEX(SRC_ZPMW03!$A$1:$ZZ$501,$A191,S$3)))</f>
        <v/>
      </c>
      <c r="T191" s="124" t="str">
        <f>IF($B191="","",IF(T$3=0,"n.b.",INDEX(SRC_ZPMW03!$A$1:$ZZ$501,$A191,T$3)))</f>
        <v/>
      </c>
      <c r="U191" s="124" t="str">
        <f>IF($B191="","",IF(U$3=0,"n.b.",INDEX(SRC_ZPMW03!$A$1:$ZZ$501,$A191,U$3)))</f>
        <v/>
      </c>
      <c r="V191" s="124" t="str">
        <f>IF($B191="","",IF(V$3=0,"n.b.",INDEX(SRC_ZPMW03!$A$1:$ZZ$501,$A191,V$3)))</f>
        <v/>
      </c>
      <c r="W191" s="124" t="str">
        <f>IF($B191="","",IF(W$3=0,"n.b.",INDEX(SRC_ZPMW03!$A$1:$ZZ$501,$A191,W$3)))</f>
        <v/>
      </c>
      <c r="X191" s="124" t="str">
        <f>IF($B191="","",IF(X$3=0,"n.b.",INDEX(SRC_ZPMW03!$A$1:$ZZ$501,$A191,X$3)))</f>
        <v/>
      </c>
      <c r="Y191" s="124" t="str">
        <f>IF($B191="","",IF(Y$3=0,"n.b.",INDEX(SRC_ZPMW03!$A$1:$ZZ$501,$A191,Y$3)))</f>
        <v/>
      </c>
      <c r="Z191" s="124" t="str">
        <f>IF($B191="","",IF(Z$3=0,"n.b.",INDEX(SRC_ZPMW03!$A$1:$ZZ$501,$A191,Z$3)))</f>
        <v/>
      </c>
      <c r="AA191" s="124" t="str">
        <f>IF($B191="","",IF(AA$3=0,"n.b.",INDEX(SRC_ZPMW03!$A$1:$ZZ$501,$A191,AA$3)))</f>
        <v/>
      </c>
      <c r="AB191" s="124" t="str">
        <f>IF($B191="","",IF(AB$3=0,"n.b.",INDEX(SRC_ZPMW03!$A$1:$ZZ$501,$A191,AB$3)))</f>
        <v/>
      </c>
      <c r="AC191" s="124" t="str">
        <f>IF($B191="","",IF(AC$3=0,"n.b.",INDEX(SRC_ZPMW03!$A$1:$ZZ$501,$A191,AC$3)))</f>
        <v/>
      </c>
      <c r="AD191" s="124" t="str">
        <f>IF($B191="","",IF(AD$3=0,"n.b.",INDEX(SRC_ZPMW03!$A$1:$ZZ$501,$A191,AD$3)))</f>
        <v/>
      </c>
      <c r="AE191" s="124" t="str">
        <f>IF($B191="","",IF(AE$3=0,"n.b.",INDEX(SRC_ZPMW03!$A$1:$ZZ$501,$A191,AE$3)))</f>
        <v/>
      </c>
      <c r="AF191" s="124" t="str">
        <f>IF($B191="","",IF(AF$3=0,"n.b.",INDEX(SRC_ZPMW03!$A$1:$ZZ$501,$A191,AF$3)))</f>
        <v/>
      </c>
      <c r="AG191" s="124" t="str">
        <f>IF($B191="","",IF(AG$3=0,"n.b.",INDEX(SRC_ZPMW03!$A$1:$ZZ$501,$A191,AG$3)))</f>
        <v/>
      </c>
      <c r="AH191" s="124" t="str">
        <f>IF($B191="","",IF(AH$3=0,"n.b.",INDEX(SRC_ZPMW03!$A$1:$ZZ$501,$A191,AH$3)))</f>
        <v/>
      </c>
      <c r="AI191" s="124" t="str">
        <f>IF($B191="","",IF(AI$3=0,"n.b.",INDEX(SRC_ZPMW03!$A$1:$ZZ$501,$A191,AI$3)))</f>
        <v/>
      </c>
      <c r="AJ191" s="124" t="str">
        <f>IF($B191="","",IF(AJ$3=0,"n.b.",INDEX(SRC_ZPMW03!$A$1:$ZZ$501,$A191,AJ$3)))</f>
        <v/>
      </c>
      <c r="AK191" s="124" t="str">
        <f>IF($B191="","",IF(AK$3=0,"n.b.",INDEX(SRC_ZPMW03!$A$1:$ZZ$501,$A191,AK$3)))</f>
        <v/>
      </c>
      <c r="AL191" s="124" t="str">
        <f>IF($B191="","",IF(AL$3=0,"n.b.",INDEX(SRC_ZPMW03!$A$1:$ZZ$501,$A191,AL$3)))</f>
        <v/>
      </c>
      <c r="AM191" s="124" t="str">
        <f>IF($B191="","",IF(AM$3=0,"n.b.",INDEX(SRC_ZPMW03!$A$1:$ZZ$501,$A191,AM$3)))</f>
        <v/>
      </c>
      <c r="AN191" s="124" t="str">
        <f>IF($B191="","",IF(AN$3=0,"n.b.",INDEX(SRC_ZPMW03!$A$1:$ZZ$501,$A191,AN$3)))</f>
        <v/>
      </c>
      <c r="AO191" s="124" t="str">
        <f>IF($B191="","",IF(AO$3=0,"n.b.",INDEX(SRC_ZPMW03!$A$1:$ZZ$501,$A191,AO$3)))</f>
        <v/>
      </c>
      <c r="AP191" s="124" t="str">
        <f>IF($B191="","",IF(AP$3=0,"n.b.",INDEX(SRC_ZPMW03!$A$1:$ZZ$501,$A191,AP$3)))</f>
        <v/>
      </c>
      <c r="AQ191" s="124" t="str">
        <f>IF($B191="","",IF(AQ$3=0,"n.b.",INDEX(SRC_ZPMW03!$A$1:$ZZ$501,$A191,AQ$3)))</f>
        <v/>
      </c>
      <c r="AR191" s="124" t="str">
        <f>IF($B191="","",IF(AR$3=0,"n.b.",INDEX(SRC_ZPMW03!$A$1:$ZZ$501,$A191,AR$3)))</f>
        <v/>
      </c>
      <c r="AS191" s="124" t="str">
        <f>IF($B191="","",IF(AS$3=0,"n.b.",INDEX(SRC_ZPMW03!$A$1:$ZZ$501,$A191,AS$3)))</f>
        <v/>
      </c>
      <c r="AT191" s="124" t="str">
        <f>IF($B191="","",IF(AT$3=0,"n.b.",INDEX(SRC_ZPMW03!$A$1:$ZZ$501,$A191,AT$3)))</f>
        <v/>
      </c>
      <c r="AU191" s="124" t="str">
        <f>IF($B191="","",IF(AU$3=0,"n.b.",INDEX(SRC_ZPMW03!$A$1:$ZZ$501,$A191,AU$3)))</f>
        <v/>
      </c>
      <c r="AV191" s="124" t="str">
        <f>IF($B191="","",IF(AV$3=0,"n.b.",INDEX(SRC_ZPMW03!$A$1:$ZZ$501,$A191,AV$3)))</f>
        <v/>
      </c>
      <c r="AW191" s="124" t="str">
        <f>IF($B191="","",IF(AW$3=0,"n.b.",INDEX(SRC_ZPMW03!$A$1:$ZZ$501,$A191,AW$3)))</f>
        <v/>
      </c>
      <c r="AX191" s="124" t="str">
        <f>IF($B191="","",IF(AX$3=0,"n.b.",INDEX(SRC_ZPMW03!$A$1:$ZZ$501,$A191,AX$3)))</f>
        <v/>
      </c>
      <c r="AY191" s="124" t="str">
        <f>IF($B191="","",IF(AY$3=0,"n.b.",INDEX(SRC_ZPMW03!$A$1:$ZZ$501,$A191,AY$3)))</f>
        <v/>
      </c>
      <c r="AZ191" s="124" t="str">
        <f>IF($B191="","",IF(AZ$3=0,"n.b.",INDEX(SRC_ZPMW03!$A$1:$ZZ$501,$A191,AZ$3)))</f>
        <v/>
      </c>
      <c r="BA191" s="124" t="str">
        <f>IF($B191="","",IF(BA$3=0,"n.b.",INDEX(SRC_ZPMW03!$A$1:$ZZ$501,$A191,BA$3)))</f>
        <v/>
      </c>
      <c r="BB191" s="124" t="str">
        <f>IF($B191="","",IF(BB$3=0,"n.b.",INDEX(SRC_ZPMW03!$A$1:$ZZ$501,$A191,BB$3)))</f>
        <v/>
      </c>
      <c r="BC191" s="124" t="str">
        <f>IF($B191="","",IF(BC$3=0,"n.b.",INDEX(SRC_ZPMW03!$A$1:$ZZ$501,$A191,BC$3)))</f>
        <v/>
      </c>
      <c r="BD191" s="124" t="str">
        <f>IF($B191="","",IF(BD$3=0,"n.b.",INDEX(SRC_ZPMW03!$A$1:$ZZ$501,$A191,BD$3)))</f>
        <v/>
      </c>
      <c r="BE191" s="124" t="str">
        <f>IF($B191="","",IF(BE$3=0,"n.b.",INDEX(SRC_ZPMW03!$A$1:$ZZ$501,$A191,BE$3)))</f>
        <v/>
      </c>
      <c r="BF191" s="124" t="str">
        <f>IF($B191="","",IF(BF$3=0,"n.b.",INDEX(SRC_ZPMW03!$A$1:$ZZ$501,$A191,BF$3)))</f>
        <v/>
      </c>
      <c r="BG191" t="str">
        <f>IF($B191="","",IF(BG$3=0,"n.b.",INDEX(SRC_ZPMW03!$A$1:$ZZ$501,$A191,BG$3)))</f>
        <v/>
      </c>
      <c r="BH191" t="str">
        <f>IF($B191="","",IF(BH$3=0,"n.b.",INDEX(SRC_ZPMW03!$A$1:$ZZ$501,$A191,BH$3)))</f>
        <v/>
      </c>
      <c r="BI191" t="str">
        <f>IF($B191="","",IF(BI$3=0,"n.b.",INDEX(SRC_ZPMW03!$A$1:$ZZ$501,$A191,BI$3)))</f>
        <v/>
      </c>
      <c r="BJ191" t="str">
        <f>IF($B191="","",IF(BJ$3=0,"n.b.",INDEX(SRC_ZPMW03!$A$1:$ZZ$501,$A191,BJ$3)))</f>
        <v/>
      </c>
      <c r="BK191" s="124" t="str">
        <f>IF($B191="","",IFERROR(-O191,"n.b."))</f>
        <v/>
      </c>
      <c r="BL191" s="124" t="str">
        <f>IF($B191="","",IFERROR(-Q191,"n.b."))</f>
        <v/>
      </c>
      <c r="BM191" s="124" t="str">
        <f>IF($B191="","",IFERROR(-AB191,"n.b."))</f>
        <v/>
      </c>
      <c r="BN191" s="124" t="str">
        <f>IF($B191="","",IFERROR(-AD191,"n.b."))</f>
        <v/>
      </c>
      <c r="BO191" s="124" t="str">
        <f>IF($B191="","",IFERROR(BK191+BM191,"n.b."))</f>
        <v/>
      </c>
      <c r="BP191" s="124" t="str">
        <f>IF($B191="","",IFERROR(BL191+BN191,"n.b."))</f>
        <v/>
      </c>
      <c r="BQ191" s="124" t="str">
        <f>IF($B191="","",IFERROR(-AM191,"n.b."))</f>
        <v/>
      </c>
      <c r="BR191" s="124" t="str">
        <f>IF($B191="","",IFERROR(-AO191,"n.b."))</f>
        <v/>
      </c>
      <c r="BS191" s="124" t="str">
        <f>IF($B191="","",IFERROR(-Z191,"n.b."))</f>
        <v/>
      </c>
      <c r="BT191" s="124" t="str">
        <f>IF($B191="","",IFERROR(-AA191,"n.b."))</f>
        <v/>
      </c>
      <c r="BU191" s="124" t="str">
        <f>IF($B191="","",IFERROR(-AE191,"n.b."))</f>
        <v/>
      </c>
      <c r="BV191" s="124" t="str">
        <f>IF($B191="","",IFERROR(-AF191,"n.b."))</f>
        <v/>
      </c>
      <c r="BW191" s="124" t="str">
        <f>IF($B191="","",IFERROR(-AG191,"n.b."))</f>
        <v/>
      </c>
      <c r="BX191" s="124" t="str">
        <f>IF($B191="","",IFERROR(-AH191,"n.b."))</f>
        <v/>
      </c>
      <c r="BY191" s="124" t="str">
        <f>IF($B191="","",IFERROR(-AI191,"n.b."))</f>
        <v/>
      </c>
      <c r="BZ191" s="124" t="str">
        <f>IF($B191="","",IFERROR(-AJ191,"n.b."))</f>
        <v/>
      </c>
      <c r="CA191" s="124" t="str">
        <f>IF($B191="","",IFERROR(-AK191,"n.b."))</f>
        <v/>
      </c>
      <c r="CB191" s="124" t="str">
        <f>IF($B191="","",IFERROR(-AL191,"n.b."))</f>
        <v/>
      </c>
      <c r="CC191" s="124" t="str">
        <f>IF($B191="","",IFERROR(-AP191,"n.b."))</f>
        <v/>
      </c>
      <c r="CD191" s="124" t="str">
        <f>IF($B191="","",IFERROR(-AQ191,"n.b."))</f>
        <v/>
      </c>
      <c r="CE191" s="124" t="str">
        <f>IF($B191="","",IFERROR(-AR191,"n.b."))</f>
        <v/>
      </c>
      <c r="CF191" s="124" t="str">
        <f>IF($B191="","",IFERROR(-AS191,"n.b."))</f>
        <v/>
      </c>
      <c r="CG191" s="124" t="str">
        <f>IF($B191="","",IFERROR(-AT191,"n.b."))</f>
        <v/>
      </c>
      <c r="CH191" s="124" t="str">
        <f>IF($B191="","",IFERROR(-AU191,"n.b."))</f>
        <v/>
      </c>
      <c r="CI191" s="124" t="str">
        <f>IF($B191="","",IFERROR(-AV191,"n.b."))</f>
        <v/>
      </c>
      <c r="CJ191" s="124" t="str">
        <f>IF($B191="","",IFERROR(-AW191,"n.b."))</f>
        <v/>
      </c>
      <c r="CK191" s="124" t="str">
        <f>IF($B191="","",IFERROR(-AX191,"n.b."))</f>
        <v/>
      </c>
      <c r="CL191" s="124" t="str">
        <f>IF($B191="","",IFERROR(-AY191,"n.b."))</f>
        <v/>
      </c>
      <c r="CM191" s="124" t="str">
        <f>IF($B191="","",IFERROR(-AZ191,"n.b."))</f>
        <v/>
      </c>
      <c r="CN191" s="124" t="str">
        <f>IF($B191="","",IFERROR(-BA191,"n.b."))</f>
        <v/>
      </c>
      <c r="CO191" s="124" t="str">
        <f>IF($B191="","",IFERROR(-BB191,"n.b."))</f>
        <v/>
      </c>
      <c r="CP191" s="124" t="str">
        <f>IF($B191="","",IFERROR(-BC191,"n.b."))</f>
        <v/>
      </c>
      <c r="CQ191" s="124" t="str">
        <f>IF($B191="","",IFERROR(-BD191,"n.b."))</f>
        <v/>
      </c>
      <c r="CR191" s="124" t="str">
        <f>IF($B191="","",IFERROR(-BE191,"n.b."))</f>
        <v/>
      </c>
      <c r="CS191" s="124" t="str">
        <f>IF($B191="","",IFERROR(IF(OR(ABS(T191+V191+X191+Z191-AB191)&gt;P_Tol,ABS(U191+W191+Y191+AA191-AD191)&gt;P_Tol,ABS(AE191+AG191+AI191+AK191-AM191)&gt;P_Tol,ABS(AF191+AH191+AJ191+AL191-AO191)&gt;P_Tol),1,0),1))</f>
        <v/>
      </c>
      <c r="CT191" s="124" t="str">
        <f>IF($B191="","",IFERROR(IF(OR(ABS(AB191+AC191-AD191)&gt;P_Tol,ABS(AM191+AN191-AO191)&gt;P_Tol,ABS(O191+P191-Q191)&gt;P_Tol),1,0),1))</f>
        <v/>
      </c>
      <c r="CU191" s="124" t="str">
        <f>IF($B191="","",IFERROR(IF(ABS(R191-(AB191+AM191+AP191+AR191+AT191+AV191+AX191+AZ191+BB191+BD191))&gt;P_Tol,1,0),1))</f>
        <v/>
      </c>
      <c r="CV191" s="124" t="str">
        <f>IF($B191="","",IFERROR(IF(ABS(M191-(N191+O191+R191))&gt;P_Tol,1,0),1))</f>
        <v/>
      </c>
      <c r="CW191" s="124" t="str">
        <f>IF($B191="","",IF(COUNTIF(Mapping!$A$5:$A$104,B191)&gt;0,1,0))</f>
        <v/>
      </c>
      <c r="CX191" s="124" t="str">
        <f>IF($B191="","",COUNTIF($B$6:$B$505,B191))</f>
        <v/>
      </c>
      <c r="CY191" s="124" t="str">
        <f>IF($B191="","",COUNTIF(STG_Woningetalage!$B$6:$B$505,B191))</f>
        <v/>
      </c>
      <c r="CZ191" s="124" t="str">
        <f>IF($B191="","",IF(CW191=0,COUNTIF($CW$6:CW191,0),""))</f>
        <v/>
      </c>
    </row>
    <row r="192">
      <c r="A192" s="15" t="n">
        <v>188</v>
      </c>
      <c r="B192" t="str">
        <f>IF(B$3=0,"",IF(INDEX(SRC_ZPMW03!$A$1:$ZZ$501,$A192,B$3)&amp;""="","",INDEX(SRC_ZPMW03!$A$1:$ZZ$501,$A192,B$3)&amp;""))</f>
        <v/>
      </c>
      <c r="C192" t="str">
        <f>IF($B192="","",IF(C$3=0,"n.b.",INDEX(SRC_ZPMW03!$A$1:$ZZ$501,$A192,C$3)))</f>
        <v/>
      </c>
      <c r="D192" t="str">
        <f>IF($B192="","",IF(D$3=0,"n.b.",INDEX(SRC_ZPMW03!$A$1:$ZZ$501,$A192,D$3)))</f>
        <v/>
      </c>
      <c r="E192" t="str">
        <f>IF($B192="","",IF(E$3=0,"n.b.",INDEX(SRC_ZPMW03!$A$1:$ZZ$501,$A192,E$3)))</f>
        <v/>
      </c>
      <c r="F192" t="str">
        <f>IF($B192="","",IF(F$3=0,"n.b.",INDEX(SRC_ZPMW03!$A$1:$ZZ$501,$A192,F$3)))</f>
        <v/>
      </c>
      <c r="G192" t="str">
        <f>IF($B192="","",IF(G$3=0,"n.b.",INDEX(SRC_ZPMW03!$A$1:$ZZ$501,$A192,G$3)))</f>
        <v/>
      </c>
      <c r="H192" t="str">
        <f>IF($B192="","",IF(H$3=0,"n.b.",INDEX(SRC_ZPMW03!$A$1:$ZZ$501,$A192,H$3)))</f>
        <v/>
      </c>
      <c r="I192" t="str">
        <f>IF($B192="","",IF(I$3=0,"n.b.",INDEX(SRC_ZPMW03!$A$1:$ZZ$501,$A192,I$3)))</f>
        <v/>
      </c>
      <c r="J192" t="str">
        <f>IF($B192="","",IF(J$3=0,"n.b.",INDEX(SRC_ZPMW03!$A$1:$ZZ$501,$A192,J$3)))</f>
        <v/>
      </c>
      <c r="K192" t="str">
        <f>IF($B192="","",IF(K$3=0,"n.b.",INDEX(SRC_ZPMW03!$A$1:$ZZ$501,$A192,K$3)))</f>
        <v/>
      </c>
      <c r="L192" s="124" t="str">
        <f>IF($B192="","",IF(L$3=0,"n.b.",INDEX(SRC_ZPMW03!$A$1:$ZZ$501,$A192,L$3)))</f>
        <v/>
      </c>
      <c r="M192" s="124" t="str">
        <f>IF($B192="","",IF(M$3=0,"n.b.",INDEX(SRC_ZPMW03!$A$1:$ZZ$501,$A192,M$3)))</f>
        <v/>
      </c>
      <c r="N192" s="124" t="str">
        <f>IF($B192="","",IF(N$3=0,"n.b.",INDEX(SRC_ZPMW03!$A$1:$ZZ$501,$A192,N$3)))</f>
        <v/>
      </c>
      <c r="O192" s="124" t="str">
        <f>IF($B192="","",IF(O$3=0,"n.b.",INDEX(SRC_ZPMW03!$A$1:$ZZ$501,$A192,O$3)))</f>
        <v/>
      </c>
      <c r="P192" s="124" t="str">
        <f>IF($B192="","",IF(P$3=0,"n.b.",INDEX(SRC_ZPMW03!$A$1:$ZZ$501,$A192,P$3)))</f>
        <v/>
      </c>
      <c r="Q192" s="124" t="str">
        <f>IF($B192="","",IF(Q$3=0,"n.b.",INDEX(SRC_ZPMW03!$A$1:$ZZ$501,$A192,Q$3)))</f>
        <v/>
      </c>
      <c r="R192" s="124" t="str">
        <f>IF($B192="","",IF(R$3=0,"n.b.",INDEX(SRC_ZPMW03!$A$1:$ZZ$501,$A192,R$3)))</f>
        <v/>
      </c>
      <c r="S192" s="124" t="str">
        <f>IF($B192="","",IF(S$3=0,"n.b.",INDEX(SRC_ZPMW03!$A$1:$ZZ$501,$A192,S$3)))</f>
        <v/>
      </c>
      <c r="T192" s="124" t="str">
        <f>IF($B192="","",IF(T$3=0,"n.b.",INDEX(SRC_ZPMW03!$A$1:$ZZ$501,$A192,T$3)))</f>
        <v/>
      </c>
      <c r="U192" s="124" t="str">
        <f>IF($B192="","",IF(U$3=0,"n.b.",INDEX(SRC_ZPMW03!$A$1:$ZZ$501,$A192,U$3)))</f>
        <v/>
      </c>
      <c r="V192" s="124" t="str">
        <f>IF($B192="","",IF(V$3=0,"n.b.",INDEX(SRC_ZPMW03!$A$1:$ZZ$501,$A192,V$3)))</f>
        <v/>
      </c>
      <c r="W192" s="124" t="str">
        <f>IF($B192="","",IF(W$3=0,"n.b.",INDEX(SRC_ZPMW03!$A$1:$ZZ$501,$A192,W$3)))</f>
        <v/>
      </c>
      <c r="X192" s="124" t="str">
        <f>IF($B192="","",IF(X$3=0,"n.b.",INDEX(SRC_ZPMW03!$A$1:$ZZ$501,$A192,X$3)))</f>
        <v/>
      </c>
      <c r="Y192" s="124" t="str">
        <f>IF($B192="","",IF(Y$3=0,"n.b.",INDEX(SRC_ZPMW03!$A$1:$ZZ$501,$A192,Y$3)))</f>
        <v/>
      </c>
      <c r="Z192" s="124" t="str">
        <f>IF($B192="","",IF(Z$3=0,"n.b.",INDEX(SRC_ZPMW03!$A$1:$ZZ$501,$A192,Z$3)))</f>
        <v/>
      </c>
      <c r="AA192" s="124" t="str">
        <f>IF($B192="","",IF(AA$3=0,"n.b.",INDEX(SRC_ZPMW03!$A$1:$ZZ$501,$A192,AA$3)))</f>
        <v/>
      </c>
      <c r="AB192" s="124" t="str">
        <f>IF($B192="","",IF(AB$3=0,"n.b.",INDEX(SRC_ZPMW03!$A$1:$ZZ$501,$A192,AB$3)))</f>
        <v/>
      </c>
      <c r="AC192" s="124" t="str">
        <f>IF($B192="","",IF(AC$3=0,"n.b.",INDEX(SRC_ZPMW03!$A$1:$ZZ$501,$A192,AC$3)))</f>
        <v/>
      </c>
      <c r="AD192" s="124" t="str">
        <f>IF($B192="","",IF(AD$3=0,"n.b.",INDEX(SRC_ZPMW03!$A$1:$ZZ$501,$A192,AD$3)))</f>
        <v/>
      </c>
      <c r="AE192" s="124" t="str">
        <f>IF($B192="","",IF(AE$3=0,"n.b.",INDEX(SRC_ZPMW03!$A$1:$ZZ$501,$A192,AE$3)))</f>
        <v/>
      </c>
      <c r="AF192" s="124" t="str">
        <f>IF($B192="","",IF(AF$3=0,"n.b.",INDEX(SRC_ZPMW03!$A$1:$ZZ$501,$A192,AF$3)))</f>
        <v/>
      </c>
      <c r="AG192" s="124" t="str">
        <f>IF($B192="","",IF(AG$3=0,"n.b.",INDEX(SRC_ZPMW03!$A$1:$ZZ$501,$A192,AG$3)))</f>
        <v/>
      </c>
      <c r="AH192" s="124" t="str">
        <f>IF($B192="","",IF(AH$3=0,"n.b.",INDEX(SRC_ZPMW03!$A$1:$ZZ$501,$A192,AH$3)))</f>
        <v/>
      </c>
      <c r="AI192" s="124" t="str">
        <f>IF($B192="","",IF(AI$3=0,"n.b.",INDEX(SRC_ZPMW03!$A$1:$ZZ$501,$A192,AI$3)))</f>
        <v/>
      </c>
      <c r="AJ192" s="124" t="str">
        <f>IF($B192="","",IF(AJ$3=0,"n.b.",INDEX(SRC_ZPMW03!$A$1:$ZZ$501,$A192,AJ$3)))</f>
        <v/>
      </c>
      <c r="AK192" s="124" t="str">
        <f>IF($B192="","",IF(AK$3=0,"n.b.",INDEX(SRC_ZPMW03!$A$1:$ZZ$501,$A192,AK$3)))</f>
        <v/>
      </c>
      <c r="AL192" s="124" t="str">
        <f>IF($B192="","",IF(AL$3=0,"n.b.",INDEX(SRC_ZPMW03!$A$1:$ZZ$501,$A192,AL$3)))</f>
        <v/>
      </c>
      <c r="AM192" s="124" t="str">
        <f>IF($B192="","",IF(AM$3=0,"n.b.",INDEX(SRC_ZPMW03!$A$1:$ZZ$501,$A192,AM$3)))</f>
        <v/>
      </c>
      <c r="AN192" s="124" t="str">
        <f>IF($B192="","",IF(AN$3=0,"n.b.",INDEX(SRC_ZPMW03!$A$1:$ZZ$501,$A192,AN$3)))</f>
        <v/>
      </c>
      <c r="AO192" s="124" t="str">
        <f>IF($B192="","",IF(AO$3=0,"n.b.",INDEX(SRC_ZPMW03!$A$1:$ZZ$501,$A192,AO$3)))</f>
        <v/>
      </c>
      <c r="AP192" s="124" t="str">
        <f>IF($B192="","",IF(AP$3=0,"n.b.",INDEX(SRC_ZPMW03!$A$1:$ZZ$501,$A192,AP$3)))</f>
        <v/>
      </c>
      <c r="AQ192" s="124" t="str">
        <f>IF($B192="","",IF(AQ$3=0,"n.b.",INDEX(SRC_ZPMW03!$A$1:$ZZ$501,$A192,AQ$3)))</f>
        <v/>
      </c>
      <c r="AR192" s="124" t="str">
        <f>IF($B192="","",IF(AR$3=0,"n.b.",INDEX(SRC_ZPMW03!$A$1:$ZZ$501,$A192,AR$3)))</f>
        <v/>
      </c>
      <c r="AS192" s="124" t="str">
        <f>IF($B192="","",IF(AS$3=0,"n.b.",INDEX(SRC_ZPMW03!$A$1:$ZZ$501,$A192,AS$3)))</f>
        <v/>
      </c>
      <c r="AT192" s="124" t="str">
        <f>IF($B192="","",IF(AT$3=0,"n.b.",INDEX(SRC_ZPMW03!$A$1:$ZZ$501,$A192,AT$3)))</f>
        <v/>
      </c>
      <c r="AU192" s="124" t="str">
        <f>IF($B192="","",IF(AU$3=0,"n.b.",INDEX(SRC_ZPMW03!$A$1:$ZZ$501,$A192,AU$3)))</f>
        <v/>
      </c>
      <c r="AV192" s="124" t="str">
        <f>IF($B192="","",IF(AV$3=0,"n.b.",INDEX(SRC_ZPMW03!$A$1:$ZZ$501,$A192,AV$3)))</f>
        <v/>
      </c>
      <c r="AW192" s="124" t="str">
        <f>IF($B192="","",IF(AW$3=0,"n.b.",INDEX(SRC_ZPMW03!$A$1:$ZZ$501,$A192,AW$3)))</f>
        <v/>
      </c>
      <c r="AX192" s="124" t="str">
        <f>IF($B192="","",IF(AX$3=0,"n.b.",INDEX(SRC_ZPMW03!$A$1:$ZZ$501,$A192,AX$3)))</f>
        <v/>
      </c>
      <c r="AY192" s="124" t="str">
        <f>IF($B192="","",IF(AY$3=0,"n.b.",INDEX(SRC_ZPMW03!$A$1:$ZZ$501,$A192,AY$3)))</f>
        <v/>
      </c>
      <c r="AZ192" s="124" t="str">
        <f>IF($B192="","",IF(AZ$3=0,"n.b.",INDEX(SRC_ZPMW03!$A$1:$ZZ$501,$A192,AZ$3)))</f>
        <v/>
      </c>
      <c r="BA192" s="124" t="str">
        <f>IF($B192="","",IF(BA$3=0,"n.b.",INDEX(SRC_ZPMW03!$A$1:$ZZ$501,$A192,BA$3)))</f>
        <v/>
      </c>
      <c r="BB192" s="124" t="str">
        <f>IF($B192="","",IF(BB$3=0,"n.b.",INDEX(SRC_ZPMW03!$A$1:$ZZ$501,$A192,BB$3)))</f>
        <v/>
      </c>
      <c r="BC192" s="124" t="str">
        <f>IF($B192="","",IF(BC$3=0,"n.b.",INDEX(SRC_ZPMW03!$A$1:$ZZ$501,$A192,BC$3)))</f>
        <v/>
      </c>
      <c r="BD192" s="124" t="str">
        <f>IF($B192="","",IF(BD$3=0,"n.b.",INDEX(SRC_ZPMW03!$A$1:$ZZ$501,$A192,BD$3)))</f>
        <v/>
      </c>
      <c r="BE192" s="124" t="str">
        <f>IF($B192="","",IF(BE$3=0,"n.b.",INDEX(SRC_ZPMW03!$A$1:$ZZ$501,$A192,BE$3)))</f>
        <v/>
      </c>
      <c r="BF192" s="124" t="str">
        <f>IF($B192="","",IF(BF$3=0,"n.b.",INDEX(SRC_ZPMW03!$A$1:$ZZ$501,$A192,BF$3)))</f>
        <v/>
      </c>
      <c r="BG192" t="str">
        <f>IF($B192="","",IF(BG$3=0,"n.b.",INDEX(SRC_ZPMW03!$A$1:$ZZ$501,$A192,BG$3)))</f>
        <v/>
      </c>
      <c r="BH192" t="str">
        <f>IF($B192="","",IF(BH$3=0,"n.b.",INDEX(SRC_ZPMW03!$A$1:$ZZ$501,$A192,BH$3)))</f>
        <v/>
      </c>
      <c r="BI192" t="str">
        <f>IF($B192="","",IF(BI$3=0,"n.b.",INDEX(SRC_ZPMW03!$A$1:$ZZ$501,$A192,BI$3)))</f>
        <v/>
      </c>
      <c r="BJ192" t="str">
        <f>IF($B192="","",IF(BJ$3=0,"n.b.",INDEX(SRC_ZPMW03!$A$1:$ZZ$501,$A192,BJ$3)))</f>
        <v/>
      </c>
      <c r="BK192" s="124" t="str">
        <f>IF($B192="","",IFERROR(-O192,"n.b."))</f>
        <v/>
      </c>
      <c r="BL192" s="124" t="str">
        <f>IF($B192="","",IFERROR(-Q192,"n.b."))</f>
        <v/>
      </c>
      <c r="BM192" s="124" t="str">
        <f>IF($B192="","",IFERROR(-AB192,"n.b."))</f>
        <v/>
      </c>
      <c r="BN192" s="124" t="str">
        <f>IF($B192="","",IFERROR(-AD192,"n.b."))</f>
        <v/>
      </c>
      <c r="BO192" s="124" t="str">
        <f>IF($B192="","",IFERROR(BK192+BM192,"n.b."))</f>
        <v/>
      </c>
      <c r="BP192" s="124" t="str">
        <f>IF($B192="","",IFERROR(BL192+BN192,"n.b."))</f>
        <v/>
      </c>
      <c r="BQ192" s="124" t="str">
        <f>IF($B192="","",IFERROR(-AM192,"n.b."))</f>
        <v/>
      </c>
      <c r="BR192" s="124" t="str">
        <f>IF($B192="","",IFERROR(-AO192,"n.b."))</f>
        <v/>
      </c>
      <c r="BS192" s="124" t="str">
        <f>IF($B192="","",IFERROR(-Z192,"n.b."))</f>
        <v/>
      </c>
      <c r="BT192" s="124" t="str">
        <f>IF($B192="","",IFERROR(-AA192,"n.b."))</f>
        <v/>
      </c>
      <c r="BU192" s="124" t="str">
        <f>IF($B192="","",IFERROR(-AE192,"n.b."))</f>
        <v/>
      </c>
      <c r="BV192" s="124" t="str">
        <f>IF($B192="","",IFERROR(-AF192,"n.b."))</f>
        <v/>
      </c>
      <c r="BW192" s="124" t="str">
        <f>IF($B192="","",IFERROR(-AG192,"n.b."))</f>
        <v/>
      </c>
      <c r="BX192" s="124" t="str">
        <f>IF($B192="","",IFERROR(-AH192,"n.b."))</f>
        <v/>
      </c>
      <c r="BY192" s="124" t="str">
        <f>IF($B192="","",IFERROR(-AI192,"n.b."))</f>
        <v/>
      </c>
      <c r="BZ192" s="124" t="str">
        <f>IF($B192="","",IFERROR(-AJ192,"n.b."))</f>
        <v/>
      </c>
      <c r="CA192" s="124" t="str">
        <f>IF($B192="","",IFERROR(-AK192,"n.b."))</f>
        <v/>
      </c>
      <c r="CB192" s="124" t="str">
        <f>IF($B192="","",IFERROR(-AL192,"n.b."))</f>
        <v/>
      </c>
      <c r="CC192" s="124" t="str">
        <f>IF($B192="","",IFERROR(-AP192,"n.b."))</f>
        <v/>
      </c>
      <c r="CD192" s="124" t="str">
        <f>IF($B192="","",IFERROR(-AQ192,"n.b."))</f>
        <v/>
      </c>
      <c r="CE192" s="124" t="str">
        <f>IF($B192="","",IFERROR(-AR192,"n.b."))</f>
        <v/>
      </c>
      <c r="CF192" s="124" t="str">
        <f>IF($B192="","",IFERROR(-AS192,"n.b."))</f>
        <v/>
      </c>
      <c r="CG192" s="124" t="str">
        <f>IF($B192="","",IFERROR(-AT192,"n.b."))</f>
        <v/>
      </c>
      <c r="CH192" s="124" t="str">
        <f>IF($B192="","",IFERROR(-AU192,"n.b."))</f>
        <v/>
      </c>
      <c r="CI192" s="124" t="str">
        <f>IF($B192="","",IFERROR(-AV192,"n.b."))</f>
        <v/>
      </c>
      <c r="CJ192" s="124" t="str">
        <f>IF($B192="","",IFERROR(-AW192,"n.b."))</f>
        <v/>
      </c>
      <c r="CK192" s="124" t="str">
        <f>IF($B192="","",IFERROR(-AX192,"n.b."))</f>
        <v/>
      </c>
      <c r="CL192" s="124" t="str">
        <f>IF($B192="","",IFERROR(-AY192,"n.b."))</f>
        <v/>
      </c>
      <c r="CM192" s="124" t="str">
        <f>IF($B192="","",IFERROR(-AZ192,"n.b."))</f>
        <v/>
      </c>
      <c r="CN192" s="124" t="str">
        <f>IF($B192="","",IFERROR(-BA192,"n.b."))</f>
        <v/>
      </c>
      <c r="CO192" s="124" t="str">
        <f>IF($B192="","",IFERROR(-BB192,"n.b."))</f>
        <v/>
      </c>
      <c r="CP192" s="124" t="str">
        <f>IF($B192="","",IFERROR(-BC192,"n.b."))</f>
        <v/>
      </c>
      <c r="CQ192" s="124" t="str">
        <f>IF($B192="","",IFERROR(-BD192,"n.b."))</f>
        <v/>
      </c>
      <c r="CR192" s="124" t="str">
        <f>IF($B192="","",IFERROR(-BE192,"n.b."))</f>
        <v/>
      </c>
      <c r="CS192" s="124" t="str">
        <f>IF($B192="","",IFERROR(IF(OR(ABS(T192+V192+X192+Z192-AB192)&gt;P_Tol,ABS(U192+W192+Y192+AA192-AD192)&gt;P_Tol,ABS(AE192+AG192+AI192+AK192-AM192)&gt;P_Tol,ABS(AF192+AH192+AJ192+AL192-AO192)&gt;P_Tol),1,0),1))</f>
        <v/>
      </c>
      <c r="CT192" s="124" t="str">
        <f>IF($B192="","",IFERROR(IF(OR(ABS(AB192+AC192-AD192)&gt;P_Tol,ABS(AM192+AN192-AO192)&gt;P_Tol,ABS(O192+P192-Q192)&gt;P_Tol),1,0),1))</f>
        <v/>
      </c>
      <c r="CU192" s="124" t="str">
        <f>IF($B192="","",IFERROR(IF(ABS(R192-(AB192+AM192+AP192+AR192+AT192+AV192+AX192+AZ192+BB192+BD192))&gt;P_Tol,1,0),1))</f>
        <v/>
      </c>
      <c r="CV192" s="124" t="str">
        <f>IF($B192="","",IFERROR(IF(ABS(M192-(N192+O192+R192))&gt;P_Tol,1,0),1))</f>
        <v/>
      </c>
      <c r="CW192" s="124" t="str">
        <f>IF($B192="","",IF(COUNTIF(Mapping!$A$5:$A$104,B192)&gt;0,1,0))</f>
        <v/>
      </c>
      <c r="CX192" s="124" t="str">
        <f>IF($B192="","",COUNTIF($B$6:$B$505,B192))</f>
        <v/>
      </c>
      <c r="CY192" s="124" t="str">
        <f>IF($B192="","",COUNTIF(STG_Woningetalage!$B$6:$B$505,B192))</f>
        <v/>
      </c>
      <c r="CZ192" s="124" t="str">
        <f>IF($B192="","",IF(CW192=0,COUNTIF($CW$6:CW192,0),""))</f>
        <v/>
      </c>
    </row>
    <row r="193">
      <c r="A193" s="15" t="n">
        <v>189</v>
      </c>
      <c r="B193" t="str">
        <f>IF(B$3=0,"",IF(INDEX(SRC_ZPMW03!$A$1:$ZZ$501,$A193,B$3)&amp;""="","",INDEX(SRC_ZPMW03!$A$1:$ZZ$501,$A193,B$3)&amp;""))</f>
        <v/>
      </c>
      <c r="C193" t="str">
        <f>IF($B193="","",IF(C$3=0,"n.b.",INDEX(SRC_ZPMW03!$A$1:$ZZ$501,$A193,C$3)))</f>
        <v/>
      </c>
      <c r="D193" t="str">
        <f>IF($B193="","",IF(D$3=0,"n.b.",INDEX(SRC_ZPMW03!$A$1:$ZZ$501,$A193,D$3)))</f>
        <v/>
      </c>
      <c r="E193" t="str">
        <f>IF($B193="","",IF(E$3=0,"n.b.",INDEX(SRC_ZPMW03!$A$1:$ZZ$501,$A193,E$3)))</f>
        <v/>
      </c>
      <c r="F193" t="str">
        <f>IF($B193="","",IF(F$3=0,"n.b.",INDEX(SRC_ZPMW03!$A$1:$ZZ$501,$A193,F$3)))</f>
        <v/>
      </c>
      <c r="G193" t="str">
        <f>IF($B193="","",IF(G$3=0,"n.b.",INDEX(SRC_ZPMW03!$A$1:$ZZ$501,$A193,G$3)))</f>
        <v/>
      </c>
      <c r="H193" t="str">
        <f>IF($B193="","",IF(H$3=0,"n.b.",INDEX(SRC_ZPMW03!$A$1:$ZZ$501,$A193,H$3)))</f>
        <v/>
      </c>
      <c r="I193" t="str">
        <f>IF($B193="","",IF(I$3=0,"n.b.",INDEX(SRC_ZPMW03!$A$1:$ZZ$501,$A193,I$3)))</f>
        <v/>
      </c>
      <c r="J193" t="str">
        <f>IF($B193="","",IF(J$3=0,"n.b.",INDEX(SRC_ZPMW03!$A$1:$ZZ$501,$A193,J$3)))</f>
        <v/>
      </c>
      <c r="K193" t="str">
        <f>IF($B193="","",IF(K$3=0,"n.b.",INDEX(SRC_ZPMW03!$A$1:$ZZ$501,$A193,K$3)))</f>
        <v/>
      </c>
      <c r="L193" s="124" t="str">
        <f>IF($B193="","",IF(L$3=0,"n.b.",INDEX(SRC_ZPMW03!$A$1:$ZZ$501,$A193,L$3)))</f>
        <v/>
      </c>
      <c r="M193" s="124" t="str">
        <f>IF($B193="","",IF(M$3=0,"n.b.",INDEX(SRC_ZPMW03!$A$1:$ZZ$501,$A193,M$3)))</f>
        <v/>
      </c>
      <c r="N193" s="124" t="str">
        <f>IF($B193="","",IF(N$3=0,"n.b.",INDEX(SRC_ZPMW03!$A$1:$ZZ$501,$A193,N$3)))</f>
        <v/>
      </c>
      <c r="O193" s="124" t="str">
        <f>IF($B193="","",IF(O$3=0,"n.b.",INDEX(SRC_ZPMW03!$A$1:$ZZ$501,$A193,O$3)))</f>
        <v/>
      </c>
      <c r="P193" s="124" t="str">
        <f>IF($B193="","",IF(P$3=0,"n.b.",INDEX(SRC_ZPMW03!$A$1:$ZZ$501,$A193,P$3)))</f>
        <v/>
      </c>
      <c r="Q193" s="124" t="str">
        <f>IF($B193="","",IF(Q$3=0,"n.b.",INDEX(SRC_ZPMW03!$A$1:$ZZ$501,$A193,Q$3)))</f>
        <v/>
      </c>
      <c r="R193" s="124" t="str">
        <f>IF($B193="","",IF(R$3=0,"n.b.",INDEX(SRC_ZPMW03!$A$1:$ZZ$501,$A193,R$3)))</f>
        <v/>
      </c>
      <c r="S193" s="124" t="str">
        <f>IF($B193="","",IF(S$3=0,"n.b.",INDEX(SRC_ZPMW03!$A$1:$ZZ$501,$A193,S$3)))</f>
        <v/>
      </c>
      <c r="T193" s="124" t="str">
        <f>IF($B193="","",IF(T$3=0,"n.b.",INDEX(SRC_ZPMW03!$A$1:$ZZ$501,$A193,T$3)))</f>
        <v/>
      </c>
      <c r="U193" s="124" t="str">
        <f>IF($B193="","",IF(U$3=0,"n.b.",INDEX(SRC_ZPMW03!$A$1:$ZZ$501,$A193,U$3)))</f>
        <v/>
      </c>
      <c r="V193" s="124" t="str">
        <f>IF($B193="","",IF(V$3=0,"n.b.",INDEX(SRC_ZPMW03!$A$1:$ZZ$501,$A193,V$3)))</f>
        <v/>
      </c>
      <c r="W193" s="124" t="str">
        <f>IF($B193="","",IF(W$3=0,"n.b.",INDEX(SRC_ZPMW03!$A$1:$ZZ$501,$A193,W$3)))</f>
        <v/>
      </c>
      <c r="X193" s="124" t="str">
        <f>IF($B193="","",IF(X$3=0,"n.b.",INDEX(SRC_ZPMW03!$A$1:$ZZ$501,$A193,X$3)))</f>
        <v/>
      </c>
      <c r="Y193" s="124" t="str">
        <f>IF($B193="","",IF(Y$3=0,"n.b.",INDEX(SRC_ZPMW03!$A$1:$ZZ$501,$A193,Y$3)))</f>
        <v/>
      </c>
      <c r="Z193" s="124" t="str">
        <f>IF($B193="","",IF(Z$3=0,"n.b.",INDEX(SRC_ZPMW03!$A$1:$ZZ$501,$A193,Z$3)))</f>
        <v/>
      </c>
      <c r="AA193" s="124" t="str">
        <f>IF($B193="","",IF(AA$3=0,"n.b.",INDEX(SRC_ZPMW03!$A$1:$ZZ$501,$A193,AA$3)))</f>
        <v/>
      </c>
      <c r="AB193" s="124" t="str">
        <f>IF($B193="","",IF(AB$3=0,"n.b.",INDEX(SRC_ZPMW03!$A$1:$ZZ$501,$A193,AB$3)))</f>
        <v/>
      </c>
      <c r="AC193" s="124" t="str">
        <f>IF($B193="","",IF(AC$3=0,"n.b.",INDEX(SRC_ZPMW03!$A$1:$ZZ$501,$A193,AC$3)))</f>
        <v/>
      </c>
      <c r="AD193" s="124" t="str">
        <f>IF($B193="","",IF(AD$3=0,"n.b.",INDEX(SRC_ZPMW03!$A$1:$ZZ$501,$A193,AD$3)))</f>
        <v/>
      </c>
      <c r="AE193" s="124" t="str">
        <f>IF($B193="","",IF(AE$3=0,"n.b.",INDEX(SRC_ZPMW03!$A$1:$ZZ$501,$A193,AE$3)))</f>
        <v/>
      </c>
      <c r="AF193" s="124" t="str">
        <f>IF($B193="","",IF(AF$3=0,"n.b.",INDEX(SRC_ZPMW03!$A$1:$ZZ$501,$A193,AF$3)))</f>
        <v/>
      </c>
      <c r="AG193" s="124" t="str">
        <f>IF($B193="","",IF(AG$3=0,"n.b.",INDEX(SRC_ZPMW03!$A$1:$ZZ$501,$A193,AG$3)))</f>
        <v/>
      </c>
      <c r="AH193" s="124" t="str">
        <f>IF($B193="","",IF(AH$3=0,"n.b.",INDEX(SRC_ZPMW03!$A$1:$ZZ$501,$A193,AH$3)))</f>
        <v/>
      </c>
      <c r="AI193" s="124" t="str">
        <f>IF($B193="","",IF(AI$3=0,"n.b.",INDEX(SRC_ZPMW03!$A$1:$ZZ$501,$A193,AI$3)))</f>
        <v/>
      </c>
      <c r="AJ193" s="124" t="str">
        <f>IF($B193="","",IF(AJ$3=0,"n.b.",INDEX(SRC_ZPMW03!$A$1:$ZZ$501,$A193,AJ$3)))</f>
        <v/>
      </c>
      <c r="AK193" s="124" t="str">
        <f>IF($B193="","",IF(AK$3=0,"n.b.",INDEX(SRC_ZPMW03!$A$1:$ZZ$501,$A193,AK$3)))</f>
        <v/>
      </c>
      <c r="AL193" s="124" t="str">
        <f>IF($B193="","",IF(AL$3=0,"n.b.",INDEX(SRC_ZPMW03!$A$1:$ZZ$501,$A193,AL$3)))</f>
        <v/>
      </c>
      <c r="AM193" s="124" t="str">
        <f>IF($B193="","",IF(AM$3=0,"n.b.",INDEX(SRC_ZPMW03!$A$1:$ZZ$501,$A193,AM$3)))</f>
        <v/>
      </c>
      <c r="AN193" s="124" t="str">
        <f>IF($B193="","",IF(AN$3=0,"n.b.",INDEX(SRC_ZPMW03!$A$1:$ZZ$501,$A193,AN$3)))</f>
        <v/>
      </c>
      <c r="AO193" s="124" t="str">
        <f>IF($B193="","",IF(AO$3=0,"n.b.",INDEX(SRC_ZPMW03!$A$1:$ZZ$501,$A193,AO$3)))</f>
        <v/>
      </c>
      <c r="AP193" s="124" t="str">
        <f>IF($B193="","",IF(AP$3=0,"n.b.",INDEX(SRC_ZPMW03!$A$1:$ZZ$501,$A193,AP$3)))</f>
        <v/>
      </c>
      <c r="AQ193" s="124" t="str">
        <f>IF($B193="","",IF(AQ$3=0,"n.b.",INDEX(SRC_ZPMW03!$A$1:$ZZ$501,$A193,AQ$3)))</f>
        <v/>
      </c>
      <c r="AR193" s="124" t="str">
        <f>IF($B193="","",IF(AR$3=0,"n.b.",INDEX(SRC_ZPMW03!$A$1:$ZZ$501,$A193,AR$3)))</f>
        <v/>
      </c>
      <c r="AS193" s="124" t="str">
        <f>IF($B193="","",IF(AS$3=0,"n.b.",INDEX(SRC_ZPMW03!$A$1:$ZZ$501,$A193,AS$3)))</f>
        <v/>
      </c>
      <c r="AT193" s="124" t="str">
        <f>IF($B193="","",IF(AT$3=0,"n.b.",INDEX(SRC_ZPMW03!$A$1:$ZZ$501,$A193,AT$3)))</f>
        <v/>
      </c>
      <c r="AU193" s="124" t="str">
        <f>IF($B193="","",IF(AU$3=0,"n.b.",INDEX(SRC_ZPMW03!$A$1:$ZZ$501,$A193,AU$3)))</f>
        <v/>
      </c>
      <c r="AV193" s="124" t="str">
        <f>IF($B193="","",IF(AV$3=0,"n.b.",INDEX(SRC_ZPMW03!$A$1:$ZZ$501,$A193,AV$3)))</f>
        <v/>
      </c>
      <c r="AW193" s="124" t="str">
        <f>IF($B193="","",IF(AW$3=0,"n.b.",INDEX(SRC_ZPMW03!$A$1:$ZZ$501,$A193,AW$3)))</f>
        <v/>
      </c>
      <c r="AX193" s="124" t="str">
        <f>IF($B193="","",IF(AX$3=0,"n.b.",INDEX(SRC_ZPMW03!$A$1:$ZZ$501,$A193,AX$3)))</f>
        <v/>
      </c>
      <c r="AY193" s="124" t="str">
        <f>IF($B193="","",IF(AY$3=0,"n.b.",INDEX(SRC_ZPMW03!$A$1:$ZZ$501,$A193,AY$3)))</f>
        <v/>
      </c>
      <c r="AZ193" s="124" t="str">
        <f>IF($B193="","",IF(AZ$3=0,"n.b.",INDEX(SRC_ZPMW03!$A$1:$ZZ$501,$A193,AZ$3)))</f>
        <v/>
      </c>
      <c r="BA193" s="124" t="str">
        <f>IF($B193="","",IF(BA$3=0,"n.b.",INDEX(SRC_ZPMW03!$A$1:$ZZ$501,$A193,BA$3)))</f>
        <v/>
      </c>
      <c r="BB193" s="124" t="str">
        <f>IF($B193="","",IF(BB$3=0,"n.b.",INDEX(SRC_ZPMW03!$A$1:$ZZ$501,$A193,BB$3)))</f>
        <v/>
      </c>
      <c r="BC193" s="124" t="str">
        <f>IF($B193="","",IF(BC$3=0,"n.b.",INDEX(SRC_ZPMW03!$A$1:$ZZ$501,$A193,BC$3)))</f>
        <v/>
      </c>
      <c r="BD193" s="124" t="str">
        <f>IF($B193="","",IF(BD$3=0,"n.b.",INDEX(SRC_ZPMW03!$A$1:$ZZ$501,$A193,BD$3)))</f>
        <v/>
      </c>
      <c r="BE193" s="124" t="str">
        <f>IF($B193="","",IF(BE$3=0,"n.b.",INDEX(SRC_ZPMW03!$A$1:$ZZ$501,$A193,BE$3)))</f>
        <v/>
      </c>
      <c r="BF193" s="124" t="str">
        <f>IF($B193="","",IF(BF$3=0,"n.b.",INDEX(SRC_ZPMW03!$A$1:$ZZ$501,$A193,BF$3)))</f>
        <v/>
      </c>
      <c r="BG193" t="str">
        <f>IF($B193="","",IF(BG$3=0,"n.b.",INDEX(SRC_ZPMW03!$A$1:$ZZ$501,$A193,BG$3)))</f>
        <v/>
      </c>
      <c r="BH193" t="str">
        <f>IF($B193="","",IF(BH$3=0,"n.b.",INDEX(SRC_ZPMW03!$A$1:$ZZ$501,$A193,BH$3)))</f>
        <v/>
      </c>
      <c r="BI193" t="str">
        <f>IF($B193="","",IF(BI$3=0,"n.b.",INDEX(SRC_ZPMW03!$A$1:$ZZ$501,$A193,BI$3)))</f>
        <v/>
      </c>
      <c r="BJ193" t="str">
        <f>IF($B193="","",IF(BJ$3=0,"n.b.",INDEX(SRC_ZPMW03!$A$1:$ZZ$501,$A193,BJ$3)))</f>
        <v/>
      </c>
      <c r="BK193" s="124" t="str">
        <f>IF($B193="","",IFERROR(-O193,"n.b."))</f>
        <v/>
      </c>
      <c r="BL193" s="124" t="str">
        <f>IF($B193="","",IFERROR(-Q193,"n.b."))</f>
        <v/>
      </c>
      <c r="BM193" s="124" t="str">
        <f>IF($B193="","",IFERROR(-AB193,"n.b."))</f>
        <v/>
      </c>
      <c r="BN193" s="124" t="str">
        <f>IF($B193="","",IFERROR(-AD193,"n.b."))</f>
        <v/>
      </c>
      <c r="BO193" s="124" t="str">
        <f>IF($B193="","",IFERROR(BK193+BM193,"n.b."))</f>
        <v/>
      </c>
      <c r="BP193" s="124" t="str">
        <f>IF($B193="","",IFERROR(BL193+BN193,"n.b."))</f>
        <v/>
      </c>
      <c r="BQ193" s="124" t="str">
        <f>IF($B193="","",IFERROR(-AM193,"n.b."))</f>
        <v/>
      </c>
      <c r="BR193" s="124" t="str">
        <f>IF($B193="","",IFERROR(-AO193,"n.b."))</f>
        <v/>
      </c>
      <c r="BS193" s="124" t="str">
        <f>IF($B193="","",IFERROR(-Z193,"n.b."))</f>
        <v/>
      </c>
      <c r="BT193" s="124" t="str">
        <f>IF($B193="","",IFERROR(-AA193,"n.b."))</f>
        <v/>
      </c>
      <c r="BU193" s="124" t="str">
        <f>IF($B193="","",IFERROR(-AE193,"n.b."))</f>
        <v/>
      </c>
      <c r="BV193" s="124" t="str">
        <f>IF($B193="","",IFERROR(-AF193,"n.b."))</f>
        <v/>
      </c>
      <c r="BW193" s="124" t="str">
        <f>IF($B193="","",IFERROR(-AG193,"n.b."))</f>
        <v/>
      </c>
      <c r="BX193" s="124" t="str">
        <f>IF($B193="","",IFERROR(-AH193,"n.b."))</f>
        <v/>
      </c>
      <c r="BY193" s="124" t="str">
        <f>IF($B193="","",IFERROR(-AI193,"n.b."))</f>
        <v/>
      </c>
      <c r="BZ193" s="124" t="str">
        <f>IF($B193="","",IFERROR(-AJ193,"n.b."))</f>
        <v/>
      </c>
      <c r="CA193" s="124" t="str">
        <f>IF($B193="","",IFERROR(-AK193,"n.b."))</f>
        <v/>
      </c>
      <c r="CB193" s="124" t="str">
        <f>IF($B193="","",IFERROR(-AL193,"n.b."))</f>
        <v/>
      </c>
      <c r="CC193" s="124" t="str">
        <f>IF($B193="","",IFERROR(-AP193,"n.b."))</f>
        <v/>
      </c>
      <c r="CD193" s="124" t="str">
        <f>IF($B193="","",IFERROR(-AQ193,"n.b."))</f>
        <v/>
      </c>
      <c r="CE193" s="124" t="str">
        <f>IF($B193="","",IFERROR(-AR193,"n.b."))</f>
        <v/>
      </c>
      <c r="CF193" s="124" t="str">
        <f>IF($B193="","",IFERROR(-AS193,"n.b."))</f>
        <v/>
      </c>
      <c r="CG193" s="124" t="str">
        <f>IF($B193="","",IFERROR(-AT193,"n.b."))</f>
        <v/>
      </c>
      <c r="CH193" s="124" t="str">
        <f>IF($B193="","",IFERROR(-AU193,"n.b."))</f>
        <v/>
      </c>
      <c r="CI193" s="124" t="str">
        <f>IF($B193="","",IFERROR(-AV193,"n.b."))</f>
        <v/>
      </c>
      <c r="CJ193" s="124" t="str">
        <f>IF($B193="","",IFERROR(-AW193,"n.b."))</f>
        <v/>
      </c>
      <c r="CK193" s="124" t="str">
        <f>IF($B193="","",IFERROR(-AX193,"n.b."))</f>
        <v/>
      </c>
      <c r="CL193" s="124" t="str">
        <f>IF($B193="","",IFERROR(-AY193,"n.b."))</f>
        <v/>
      </c>
      <c r="CM193" s="124" t="str">
        <f>IF($B193="","",IFERROR(-AZ193,"n.b."))</f>
        <v/>
      </c>
      <c r="CN193" s="124" t="str">
        <f>IF($B193="","",IFERROR(-BA193,"n.b."))</f>
        <v/>
      </c>
      <c r="CO193" s="124" t="str">
        <f>IF($B193="","",IFERROR(-BB193,"n.b."))</f>
        <v/>
      </c>
      <c r="CP193" s="124" t="str">
        <f>IF($B193="","",IFERROR(-BC193,"n.b."))</f>
        <v/>
      </c>
      <c r="CQ193" s="124" t="str">
        <f>IF($B193="","",IFERROR(-BD193,"n.b."))</f>
        <v/>
      </c>
      <c r="CR193" s="124" t="str">
        <f>IF($B193="","",IFERROR(-BE193,"n.b."))</f>
        <v/>
      </c>
      <c r="CS193" s="124" t="str">
        <f>IF($B193="","",IFERROR(IF(OR(ABS(T193+V193+X193+Z193-AB193)&gt;P_Tol,ABS(U193+W193+Y193+AA193-AD193)&gt;P_Tol,ABS(AE193+AG193+AI193+AK193-AM193)&gt;P_Tol,ABS(AF193+AH193+AJ193+AL193-AO193)&gt;P_Tol),1,0),1))</f>
        <v/>
      </c>
      <c r="CT193" s="124" t="str">
        <f>IF($B193="","",IFERROR(IF(OR(ABS(AB193+AC193-AD193)&gt;P_Tol,ABS(AM193+AN193-AO193)&gt;P_Tol,ABS(O193+P193-Q193)&gt;P_Tol),1,0),1))</f>
        <v/>
      </c>
      <c r="CU193" s="124" t="str">
        <f>IF($B193="","",IFERROR(IF(ABS(R193-(AB193+AM193+AP193+AR193+AT193+AV193+AX193+AZ193+BB193+BD193))&gt;P_Tol,1,0),1))</f>
        <v/>
      </c>
      <c r="CV193" s="124" t="str">
        <f>IF($B193="","",IFERROR(IF(ABS(M193-(N193+O193+R193))&gt;P_Tol,1,0),1))</f>
        <v/>
      </c>
      <c r="CW193" s="124" t="str">
        <f>IF($B193="","",IF(COUNTIF(Mapping!$A$5:$A$104,B193)&gt;0,1,0))</f>
        <v/>
      </c>
      <c r="CX193" s="124" t="str">
        <f>IF($B193="","",COUNTIF($B$6:$B$505,B193))</f>
        <v/>
      </c>
      <c r="CY193" s="124" t="str">
        <f>IF($B193="","",COUNTIF(STG_Woningetalage!$B$6:$B$505,B193))</f>
        <v/>
      </c>
      <c r="CZ193" s="124" t="str">
        <f>IF($B193="","",IF(CW193=0,COUNTIF($CW$6:CW193,0),""))</f>
        <v/>
      </c>
    </row>
    <row r="194">
      <c r="A194" s="15" t="n">
        <v>190</v>
      </c>
      <c r="B194" t="str">
        <f>IF(B$3=0,"",IF(INDEX(SRC_ZPMW03!$A$1:$ZZ$501,$A194,B$3)&amp;""="","",INDEX(SRC_ZPMW03!$A$1:$ZZ$501,$A194,B$3)&amp;""))</f>
        <v/>
      </c>
      <c r="C194" t="str">
        <f>IF($B194="","",IF(C$3=0,"n.b.",INDEX(SRC_ZPMW03!$A$1:$ZZ$501,$A194,C$3)))</f>
        <v/>
      </c>
      <c r="D194" t="str">
        <f>IF($B194="","",IF(D$3=0,"n.b.",INDEX(SRC_ZPMW03!$A$1:$ZZ$501,$A194,D$3)))</f>
        <v/>
      </c>
      <c r="E194" t="str">
        <f>IF($B194="","",IF(E$3=0,"n.b.",INDEX(SRC_ZPMW03!$A$1:$ZZ$501,$A194,E$3)))</f>
        <v/>
      </c>
      <c r="F194" t="str">
        <f>IF($B194="","",IF(F$3=0,"n.b.",INDEX(SRC_ZPMW03!$A$1:$ZZ$501,$A194,F$3)))</f>
        <v/>
      </c>
      <c r="G194" t="str">
        <f>IF($B194="","",IF(G$3=0,"n.b.",INDEX(SRC_ZPMW03!$A$1:$ZZ$501,$A194,G$3)))</f>
        <v/>
      </c>
      <c r="H194" t="str">
        <f>IF($B194="","",IF(H$3=0,"n.b.",INDEX(SRC_ZPMW03!$A$1:$ZZ$501,$A194,H$3)))</f>
        <v/>
      </c>
      <c r="I194" t="str">
        <f>IF($B194="","",IF(I$3=0,"n.b.",INDEX(SRC_ZPMW03!$A$1:$ZZ$501,$A194,I$3)))</f>
        <v/>
      </c>
      <c r="J194" t="str">
        <f>IF($B194="","",IF(J$3=0,"n.b.",INDEX(SRC_ZPMW03!$A$1:$ZZ$501,$A194,J$3)))</f>
        <v/>
      </c>
      <c r="K194" t="str">
        <f>IF($B194="","",IF(K$3=0,"n.b.",INDEX(SRC_ZPMW03!$A$1:$ZZ$501,$A194,K$3)))</f>
        <v/>
      </c>
      <c r="L194" s="124" t="str">
        <f>IF($B194="","",IF(L$3=0,"n.b.",INDEX(SRC_ZPMW03!$A$1:$ZZ$501,$A194,L$3)))</f>
        <v/>
      </c>
      <c r="M194" s="124" t="str">
        <f>IF($B194="","",IF(M$3=0,"n.b.",INDEX(SRC_ZPMW03!$A$1:$ZZ$501,$A194,M$3)))</f>
        <v/>
      </c>
      <c r="N194" s="124" t="str">
        <f>IF($B194="","",IF(N$3=0,"n.b.",INDEX(SRC_ZPMW03!$A$1:$ZZ$501,$A194,N$3)))</f>
        <v/>
      </c>
      <c r="O194" s="124" t="str">
        <f>IF($B194="","",IF(O$3=0,"n.b.",INDEX(SRC_ZPMW03!$A$1:$ZZ$501,$A194,O$3)))</f>
        <v/>
      </c>
      <c r="P194" s="124" t="str">
        <f>IF($B194="","",IF(P$3=0,"n.b.",INDEX(SRC_ZPMW03!$A$1:$ZZ$501,$A194,P$3)))</f>
        <v/>
      </c>
      <c r="Q194" s="124" t="str">
        <f>IF($B194="","",IF(Q$3=0,"n.b.",INDEX(SRC_ZPMW03!$A$1:$ZZ$501,$A194,Q$3)))</f>
        <v/>
      </c>
      <c r="R194" s="124" t="str">
        <f>IF($B194="","",IF(R$3=0,"n.b.",INDEX(SRC_ZPMW03!$A$1:$ZZ$501,$A194,R$3)))</f>
        <v/>
      </c>
      <c r="S194" s="124" t="str">
        <f>IF($B194="","",IF(S$3=0,"n.b.",INDEX(SRC_ZPMW03!$A$1:$ZZ$501,$A194,S$3)))</f>
        <v/>
      </c>
      <c r="T194" s="124" t="str">
        <f>IF($B194="","",IF(T$3=0,"n.b.",INDEX(SRC_ZPMW03!$A$1:$ZZ$501,$A194,T$3)))</f>
        <v/>
      </c>
      <c r="U194" s="124" t="str">
        <f>IF($B194="","",IF(U$3=0,"n.b.",INDEX(SRC_ZPMW03!$A$1:$ZZ$501,$A194,U$3)))</f>
        <v/>
      </c>
      <c r="V194" s="124" t="str">
        <f>IF($B194="","",IF(V$3=0,"n.b.",INDEX(SRC_ZPMW03!$A$1:$ZZ$501,$A194,V$3)))</f>
        <v/>
      </c>
      <c r="W194" s="124" t="str">
        <f>IF($B194="","",IF(W$3=0,"n.b.",INDEX(SRC_ZPMW03!$A$1:$ZZ$501,$A194,W$3)))</f>
        <v/>
      </c>
      <c r="X194" s="124" t="str">
        <f>IF($B194="","",IF(X$3=0,"n.b.",INDEX(SRC_ZPMW03!$A$1:$ZZ$501,$A194,X$3)))</f>
        <v/>
      </c>
      <c r="Y194" s="124" t="str">
        <f>IF($B194="","",IF(Y$3=0,"n.b.",INDEX(SRC_ZPMW03!$A$1:$ZZ$501,$A194,Y$3)))</f>
        <v/>
      </c>
      <c r="Z194" s="124" t="str">
        <f>IF($B194="","",IF(Z$3=0,"n.b.",INDEX(SRC_ZPMW03!$A$1:$ZZ$501,$A194,Z$3)))</f>
        <v/>
      </c>
      <c r="AA194" s="124" t="str">
        <f>IF($B194="","",IF(AA$3=0,"n.b.",INDEX(SRC_ZPMW03!$A$1:$ZZ$501,$A194,AA$3)))</f>
        <v/>
      </c>
      <c r="AB194" s="124" t="str">
        <f>IF($B194="","",IF(AB$3=0,"n.b.",INDEX(SRC_ZPMW03!$A$1:$ZZ$501,$A194,AB$3)))</f>
        <v/>
      </c>
      <c r="AC194" s="124" t="str">
        <f>IF($B194="","",IF(AC$3=0,"n.b.",INDEX(SRC_ZPMW03!$A$1:$ZZ$501,$A194,AC$3)))</f>
        <v/>
      </c>
      <c r="AD194" s="124" t="str">
        <f>IF($B194="","",IF(AD$3=0,"n.b.",INDEX(SRC_ZPMW03!$A$1:$ZZ$501,$A194,AD$3)))</f>
        <v/>
      </c>
      <c r="AE194" s="124" t="str">
        <f>IF($B194="","",IF(AE$3=0,"n.b.",INDEX(SRC_ZPMW03!$A$1:$ZZ$501,$A194,AE$3)))</f>
        <v/>
      </c>
      <c r="AF194" s="124" t="str">
        <f>IF($B194="","",IF(AF$3=0,"n.b.",INDEX(SRC_ZPMW03!$A$1:$ZZ$501,$A194,AF$3)))</f>
        <v/>
      </c>
      <c r="AG194" s="124" t="str">
        <f>IF($B194="","",IF(AG$3=0,"n.b.",INDEX(SRC_ZPMW03!$A$1:$ZZ$501,$A194,AG$3)))</f>
        <v/>
      </c>
      <c r="AH194" s="124" t="str">
        <f>IF($B194="","",IF(AH$3=0,"n.b.",INDEX(SRC_ZPMW03!$A$1:$ZZ$501,$A194,AH$3)))</f>
        <v/>
      </c>
      <c r="AI194" s="124" t="str">
        <f>IF($B194="","",IF(AI$3=0,"n.b.",INDEX(SRC_ZPMW03!$A$1:$ZZ$501,$A194,AI$3)))</f>
        <v/>
      </c>
      <c r="AJ194" s="124" t="str">
        <f>IF($B194="","",IF(AJ$3=0,"n.b.",INDEX(SRC_ZPMW03!$A$1:$ZZ$501,$A194,AJ$3)))</f>
        <v/>
      </c>
      <c r="AK194" s="124" t="str">
        <f>IF($B194="","",IF(AK$3=0,"n.b.",INDEX(SRC_ZPMW03!$A$1:$ZZ$501,$A194,AK$3)))</f>
        <v/>
      </c>
      <c r="AL194" s="124" t="str">
        <f>IF($B194="","",IF(AL$3=0,"n.b.",INDEX(SRC_ZPMW03!$A$1:$ZZ$501,$A194,AL$3)))</f>
        <v/>
      </c>
      <c r="AM194" s="124" t="str">
        <f>IF($B194="","",IF(AM$3=0,"n.b.",INDEX(SRC_ZPMW03!$A$1:$ZZ$501,$A194,AM$3)))</f>
        <v/>
      </c>
      <c r="AN194" s="124" t="str">
        <f>IF($B194="","",IF(AN$3=0,"n.b.",INDEX(SRC_ZPMW03!$A$1:$ZZ$501,$A194,AN$3)))</f>
        <v/>
      </c>
      <c r="AO194" s="124" t="str">
        <f>IF($B194="","",IF(AO$3=0,"n.b.",INDEX(SRC_ZPMW03!$A$1:$ZZ$501,$A194,AO$3)))</f>
        <v/>
      </c>
      <c r="AP194" s="124" t="str">
        <f>IF($B194="","",IF(AP$3=0,"n.b.",INDEX(SRC_ZPMW03!$A$1:$ZZ$501,$A194,AP$3)))</f>
        <v/>
      </c>
      <c r="AQ194" s="124" t="str">
        <f>IF($B194="","",IF(AQ$3=0,"n.b.",INDEX(SRC_ZPMW03!$A$1:$ZZ$501,$A194,AQ$3)))</f>
        <v/>
      </c>
      <c r="AR194" s="124" t="str">
        <f>IF($B194="","",IF(AR$3=0,"n.b.",INDEX(SRC_ZPMW03!$A$1:$ZZ$501,$A194,AR$3)))</f>
        <v/>
      </c>
      <c r="AS194" s="124" t="str">
        <f>IF($B194="","",IF(AS$3=0,"n.b.",INDEX(SRC_ZPMW03!$A$1:$ZZ$501,$A194,AS$3)))</f>
        <v/>
      </c>
      <c r="AT194" s="124" t="str">
        <f>IF($B194="","",IF(AT$3=0,"n.b.",INDEX(SRC_ZPMW03!$A$1:$ZZ$501,$A194,AT$3)))</f>
        <v/>
      </c>
      <c r="AU194" s="124" t="str">
        <f>IF($B194="","",IF(AU$3=0,"n.b.",INDEX(SRC_ZPMW03!$A$1:$ZZ$501,$A194,AU$3)))</f>
        <v/>
      </c>
      <c r="AV194" s="124" t="str">
        <f>IF($B194="","",IF(AV$3=0,"n.b.",INDEX(SRC_ZPMW03!$A$1:$ZZ$501,$A194,AV$3)))</f>
        <v/>
      </c>
      <c r="AW194" s="124" t="str">
        <f>IF($B194="","",IF(AW$3=0,"n.b.",INDEX(SRC_ZPMW03!$A$1:$ZZ$501,$A194,AW$3)))</f>
        <v/>
      </c>
      <c r="AX194" s="124" t="str">
        <f>IF($B194="","",IF(AX$3=0,"n.b.",INDEX(SRC_ZPMW03!$A$1:$ZZ$501,$A194,AX$3)))</f>
        <v/>
      </c>
      <c r="AY194" s="124" t="str">
        <f>IF($B194="","",IF(AY$3=0,"n.b.",INDEX(SRC_ZPMW03!$A$1:$ZZ$501,$A194,AY$3)))</f>
        <v/>
      </c>
      <c r="AZ194" s="124" t="str">
        <f>IF($B194="","",IF(AZ$3=0,"n.b.",INDEX(SRC_ZPMW03!$A$1:$ZZ$501,$A194,AZ$3)))</f>
        <v/>
      </c>
      <c r="BA194" s="124" t="str">
        <f>IF($B194="","",IF(BA$3=0,"n.b.",INDEX(SRC_ZPMW03!$A$1:$ZZ$501,$A194,BA$3)))</f>
        <v/>
      </c>
      <c r="BB194" s="124" t="str">
        <f>IF($B194="","",IF(BB$3=0,"n.b.",INDEX(SRC_ZPMW03!$A$1:$ZZ$501,$A194,BB$3)))</f>
        <v/>
      </c>
      <c r="BC194" s="124" t="str">
        <f>IF($B194="","",IF(BC$3=0,"n.b.",INDEX(SRC_ZPMW03!$A$1:$ZZ$501,$A194,BC$3)))</f>
        <v/>
      </c>
      <c r="BD194" s="124" t="str">
        <f>IF($B194="","",IF(BD$3=0,"n.b.",INDEX(SRC_ZPMW03!$A$1:$ZZ$501,$A194,BD$3)))</f>
        <v/>
      </c>
      <c r="BE194" s="124" t="str">
        <f>IF($B194="","",IF(BE$3=0,"n.b.",INDEX(SRC_ZPMW03!$A$1:$ZZ$501,$A194,BE$3)))</f>
        <v/>
      </c>
      <c r="BF194" s="124" t="str">
        <f>IF($B194="","",IF(BF$3=0,"n.b.",INDEX(SRC_ZPMW03!$A$1:$ZZ$501,$A194,BF$3)))</f>
        <v/>
      </c>
      <c r="BG194" t="str">
        <f>IF($B194="","",IF(BG$3=0,"n.b.",INDEX(SRC_ZPMW03!$A$1:$ZZ$501,$A194,BG$3)))</f>
        <v/>
      </c>
      <c r="BH194" t="str">
        <f>IF($B194="","",IF(BH$3=0,"n.b.",INDEX(SRC_ZPMW03!$A$1:$ZZ$501,$A194,BH$3)))</f>
        <v/>
      </c>
      <c r="BI194" t="str">
        <f>IF($B194="","",IF(BI$3=0,"n.b.",INDEX(SRC_ZPMW03!$A$1:$ZZ$501,$A194,BI$3)))</f>
        <v/>
      </c>
      <c r="BJ194" t="str">
        <f>IF($B194="","",IF(BJ$3=0,"n.b.",INDEX(SRC_ZPMW03!$A$1:$ZZ$501,$A194,BJ$3)))</f>
        <v/>
      </c>
      <c r="BK194" s="124" t="str">
        <f>IF($B194="","",IFERROR(-O194,"n.b."))</f>
        <v/>
      </c>
      <c r="BL194" s="124" t="str">
        <f>IF($B194="","",IFERROR(-Q194,"n.b."))</f>
        <v/>
      </c>
      <c r="BM194" s="124" t="str">
        <f>IF($B194="","",IFERROR(-AB194,"n.b."))</f>
        <v/>
      </c>
      <c r="BN194" s="124" t="str">
        <f>IF($B194="","",IFERROR(-AD194,"n.b."))</f>
        <v/>
      </c>
      <c r="BO194" s="124" t="str">
        <f>IF($B194="","",IFERROR(BK194+BM194,"n.b."))</f>
        <v/>
      </c>
      <c r="BP194" s="124" t="str">
        <f>IF($B194="","",IFERROR(BL194+BN194,"n.b."))</f>
        <v/>
      </c>
      <c r="BQ194" s="124" t="str">
        <f>IF($B194="","",IFERROR(-AM194,"n.b."))</f>
        <v/>
      </c>
      <c r="BR194" s="124" t="str">
        <f>IF($B194="","",IFERROR(-AO194,"n.b."))</f>
        <v/>
      </c>
      <c r="BS194" s="124" t="str">
        <f>IF($B194="","",IFERROR(-Z194,"n.b."))</f>
        <v/>
      </c>
      <c r="BT194" s="124" t="str">
        <f>IF($B194="","",IFERROR(-AA194,"n.b."))</f>
        <v/>
      </c>
      <c r="BU194" s="124" t="str">
        <f>IF($B194="","",IFERROR(-AE194,"n.b."))</f>
        <v/>
      </c>
      <c r="BV194" s="124" t="str">
        <f>IF($B194="","",IFERROR(-AF194,"n.b."))</f>
        <v/>
      </c>
      <c r="BW194" s="124" t="str">
        <f>IF($B194="","",IFERROR(-AG194,"n.b."))</f>
        <v/>
      </c>
      <c r="BX194" s="124" t="str">
        <f>IF($B194="","",IFERROR(-AH194,"n.b."))</f>
        <v/>
      </c>
      <c r="BY194" s="124" t="str">
        <f>IF($B194="","",IFERROR(-AI194,"n.b."))</f>
        <v/>
      </c>
      <c r="BZ194" s="124" t="str">
        <f>IF($B194="","",IFERROR(-AJ194,"n.b."))</f>
        <v/>
      </c>
      <c r="CA194" s="124" t="str">
        <f>IF($B194="","",IFERROR(-AK194,"n.b."))</f>
        <v/>
      </c>
      <c r="CB194" s="124" t="str">
        <f>IF($B194="","",IFERROR(-AL194,"n.b."))</f>
        <v/>
      </c>
      <c r="CC194" s="124" t="str">
        <f>IF($B194="","",IFERROR(-AP194,"n.b."))</f>
        <v/>
      </c>
      <c r="CD194" s="124" t="str">
        <f>IF($B194="","",IFERROR(-AQ194,"n.b."))</f>
        <v/>
      </c>
      <c r="CE194" s="124" t="str">
        <f>IF($B194="","",IFERROR(-AR194,"n.b."))</f>
        <v/>
      </c>
      <c r="CF194" s="124" t="str">
        <f>IF($B194="","",IFERROR(-AS194,"n.b."))</f>
        <v/>
      </c>
      <c r="CG194" s="124" t="str">
        <f>IF($B194="","",IFERROR(-AT194,"n.b."))</f>
        <v/>
      </c>
      <c r="CH194" s="124" t="str">
        <f>IF($B194="","",IFERROR(-AU194,"n.b."))</f>
        <v/>
      </c>
      <c r="CI194" s="124" t="str">
        <f>IF($B194="","",IFERROR(-AV194,"n.b."))</f>
        <v/>
      </c>
      <c r="CJ194" s="124" t="str">
        <f>IF($B194="","",IFERROR(-AW194,"n.b."))</f>
        <v/>
      </c>
      <c r="CK194" s="124" t="str">
        <f>IF($B194="","",IFERROR(-AX194,"n.b."))</f>
        <v/>
      </c>
      <c r="CL194" s="124" t="str">
        <f>IF($B194="","",IFERROR(-AY194,"n.b."))</f>
        <v/>
      </c>
      <c r="CM194" s="124" t="str">
        <f>IF($B194="","",IFERROR(-AZ194,"n.b."))</f>
        <v/>
      </c>
      <c r="CN194" s="124" t="str">
        <f>IF($B194="","",IFERROR(-BA194,"n.b."))</f>
        <v/>
      </c>
      <c r="CO194" s="124" t="str">
        <f>IF($B194="","",IFERROR(-BB194,"n.b."))</f>
        <v/>
      </c>
      <c r="CP194" s="124" t="str">
        <f>IF($B194="","",IFERROR(-BC194,"n.b."))</f>
        <v/>
      </c>
      <c r="CQ194" s="124" t="str">
        <f>IF($B194="","",IFERROR(-BD194,"n.b."))</f>
        <v/>
      </c>
      <c r="CR194" s="124" t="str">
        <f>IF($B194="","",IFERROR(-BE194,"n.b."))</f>
        <v/>
      </c>
      <c r="CS194" s="124" t="str">
        <f>IF($B194="","",IFERROR(IF(OR(ABS(T194+V194+X194+Z194-AB194)&gt;P_Tol,ABS(U194+W194+Y194+AA194-AD194)&gt;P_Tol,ABS(AE194+AG194+AI194+AK194-AM194)&gt;P_Tol,ABS(AF194+AH194+AJ194+AL194-AO194)&gt;P_Tol),1,0),1))</f>
        <v/>
      </c>
      <c r="CT194" s="124" t="str">
        <f>IF($B194="","",IFERROR(IF(OR(ABS(AB194+AC194-AD194)&gt;P_Tol,ABS(AM194+AN194-AO194)&gt;P_Tol,ABS(O194+P194-Q194)&gt;P_Tol),1,0),1))</f>
        <v/>
      </c>
      <c r="CU194" s="124" t="str">
        <f>IF($B194="","",IFERROR(IF(ABS(R194-(AB194+AM194+AP194+AR194+AT194+AV194+AX194+AZ194+BB194+BD194))&gt;P_Tol,1,0),1))</f>
        <v/>
      </c>
      <c r="CV194" s="124" t="str">
        <f>IF($B194="","",IFERROR(IF(ABS(M194-(N194+O194+R194))&gt;P_Tol,1,0),1))</f>
        <v/>
      </c>
      <c r="CW194" s="124" t="str">
        <f>IF($B194="","",IF(COUNTIF(Mapping!$A$5:$A$104,B194)&gt;0,1,0))</f>
        <v/>
      </c>
      <c r="CX194" s="124" t="str">
        <f>IF($B194="","",COUNTIF($B$6:$B$505,B194))</f>
        <v/>
      </c>
      <c r="CY194" s="124" t="str">
        <f>IF($B194="","",COUNTIF(STG_Woningetalage!$B$6:$B$505,B194))</f>
        <v/>
      </c>
      <c r="CZ194" s="124" t="str">
        <f>IF($B194="","",IF(CW194=0,COUNTIF($CW$6:CW194,0),""))</f>
        <v/>
      </c>
    </row>
    <row r="195">
      <c r="A195" s="15" t="n">
        <v>191</v>
      </c>
      <c r="B195" t="str">
        <f>IF(B$3=0,"",IF(INDEX(SRC_ZPMW03!$A$1:$ZZ$501,$A195,B$3)&amp;""="","",INDEX(SRC_ZPMW03!$A$1:$ZZ$501,$A195,B$3)&amp;""))</f>
        <v/>
      </c>
      <c r="C195" t="str">
        <f>IF($B195="","",IF(C$3=0,"n.b.",INDEX(SRC_ZPMW03!$A$1:$ZZ$501,$A195,C$3)))</f>
        <v/>
      </c>
      <c r="D195" t="str">
        <f>IF($B195="","",IF(D$3=0,"n.b.",INDEX(SRC_ZPMW03!$A$1:$ZZ$501,$A195,D$3)))</f>
        <v/>
      </c>
      <c r="E195" t="str">
        <f>IF($B195="","",IF(E$3=0,"n.b.",INDEX(SRC_ZPMW03!$A$1:$ZZ$501,$A195,E$3)))</f>
        <v/>
      </c>
      <c r="F195" t="str">
        <f>IF($B195="","",IF(F$3=0,"n.b.",INDEX(SRC_ZPMW03!$A$1:$ZZ$501,$A195,F$3)))</f>
        <v/>
      </c>
      <c r="G195" t="str">
        <f>IF($B195="","",IF(G$3=0,"n.b.",INDEX(SRC_ZPMW03!$A$1:$ZZ$501,$A195,G$3)))</f>
        <v/>
      </c>
      <c r="H195" t="str">
        <f>IF($B195="","",IF(H$3=0,"n.b.",INDEX(SRC_ZPMW03!$A$1:$ZZ$501,$A195,H$3)))</f>
        <v/>
      </c>
      <c r="I195" t="str">
        <f>IF($B195="","",IF(I$3=0,"n.b.",INDEX(SRC_ZPMW03!$A$1:$ZZ$501,$A195,I$3)))</f>
        <v/>
      </c>
      <c r="J195" t="str">
        <f>IF($B195="","",IF(J$3=0,"n.b.",INDEX(SRC_ZPMW03!$A$1:$ZZ$501,$A195,J$3)))</f>
        <v/>
      </c>
      <c r="K195" t="str">
        <f>IF($B195="","",IF(K$3=0,"n.b.",INDEX(SRC_ZPMW03!$A$1:$ZZ$501,$A195,K$3)))</f>
        <v/>
      </c>
      <c r="L195" s="124" t="str">
        <f>IF($B195="","",IF(L$3=0,"n.b.",INDEX(SRC_ZPMW03!$A$1:$ZZ$501,$A195,L$3)))</f>
        <v/>
      </c>
      <c r="M195" s="124" t="str">
        <f>IF($B195="","",IF(M$3=0,"n.b.",INDEX(SRC_ZPMW03!$A$1:$ZZ$501,$A195,M$3)))</f>
        <v/>
      </c>
      <c r="N195" s="124" t="str">
        <f>IF($B195="","",IF(N$3=0,"n.b.",INDEX(SRC_ZPMW03!$A$1:$ZZ$501,$A195,N$3)))</f>
        <v/>
      </c>
      <c r="O195" s="124" t="str">
        <f>IF($B195="","",IF(O$3=0,"n.b.",INDEX(SRC_ZPMW03!$A$1:$ZZ$501,$A195,O$3)))</f>
        <v/>
      </c>
      <c r="P195" s="124" t="str">
        <f>IF($B195="","",IF(P$3=0,"n.b.",INDEX(SRC_ZPMW03!$A$1:$ZZ$501,$A195,P$3)))</f>
        <v/>
      </c>
      <c r="Q195" s="124" t="str">
        <f>IF($B195="","",IF(Q$3=0,"n.b.",INDEX(SRC_ZPMW03!$A$1:$ZZ$501,$A195,Q$3)))</f>
        <v/>
      </c>
      <c r="R195" s="124" t="str">
        <f>IF($B195="","",IF(R$3=0,"n.b.",INDEX(SRC_ZPMW03!$A$1:$ZZ$501,$A195,R$3)))</f>
        <v/>
      </c>
      <c r="S195" s="124" t="str">
        <f>IF($B195="","",IF(S$3=0,"n.b.",INDEX(SRC_ZPMW03!$A$1:$ZZ$501,$A195,S$3)))</f>
        <v/>
      </c>
      <c r="T195" s="124" t="str">
        <f>IF($B195="","",IF(T$3=0,"n.b.",INDEX(SRC_ZPMW03!$A$1:$ZZ$501,$A195,T$3)))</f>
        <v/>
      </c>
      <c r="U195" s="124" t="str">
        <f>IF($B195="","",IF(U$3=0,"n.b.",INDEX(SRC_ZPMW03!$A$1:$ZZ$501,$A195,U$3)))</f>
        <v/>
      </c>
      <c r="V195" s="124" t="str">
        <f>IF($B195="","",IF(V$3=0,"n.b.",INDEX(SRC_ZPMW03!$A$1:$ZZ$501,$A195,V$3)))</f>
        <v/>
      </c>
      <c r="W195" s="124" t="str">
        <f>IF($B195="","",IF(W$3=0,"n.b.",INDEX(SRC_ZPMW03!$A$1:$ZZ$501,$A195,W$3)))</f>
        <v/>
      </c>
      <c r="X195" s="124" t="str">
        <f>IF($B195="","",IF(X$3=0,"n.b.",INDEX(SRC_ZPMW03!$A$1:$ZZ$501,$A195,X$3)))</f>
        <v/>
      </c>
      <c r="Y195" s="124" t="str">
        <f>IF($B195="","",IF(Y$3=0,"n.b.",INDEX(SRC_ZPMW03!$A$1:$ZZ$501,$A195,Y$3)))</f>
        <v/>
      </c>
      <c r="Z195" s="124" t="str">
        <f>IF($B195="","",IF(Z$3=0,"n.b.",INDEX(SRC_ZPMW03!$A$1:$ZZ$501,$A195,Z$3)))</f>
        <v/>
      </c>
      <c r="AA195" s="124" t="str">
        <f>IF($B195="","",IF(AA$3=0,"n.b.",INDEX(SRC_ZPMW03!$A$1:$ZZ$501,$A195,AA$3)))</f>
        <v/>
      </c>
      <c r="AB195" s="124" t="str">
        <f>IF($B195="","",IF(AB$3=0,"n.b.",INDEX(SRC_ZPMW03!$A$1:$ZZ$501,$A195,AB$3)))</f>
        <v/>
      </c>
      <c r="AC195" s="124" t="str">
        <f>IF($B195="","",IF(AC$3=0,"n.b.",INDEX(SRC_ZPMW03!$A$1:$ZZ$501,$A195,AC$3)))</f>
        <v/>
      </c>
      <c r="AD195" s="124" t="str">
        <f>IF($B195="","",IF(AD$3=0,"n.b.",INDEX(SRC_ZPMW03!$A$1:$ZZ$501,$A195,AD$3)))</f>
        <v/>
      </c>
      <c r="AE195" s="124" t="str">
        <f>IF($B195="","",IF(AE$3=0,"n.b.",INDEX(SRC_ZPMW03!$A$1:$ZZ$501,$A195,AE$3)))</f>
        <v/>
      </c>
      <c r="AF195" s="124" t="str">
        <f>IF($B195="","",IF(AF$3=0,"n.b.",INDEX(SRC_ZPMW03!$A$1:$ZZ$501,$A195,AF$3)))</f>
        <v/>
      </c>
      <c r="AG195" s="124" t="str">
        <f>IF($B195="","",IF(AG$3=0,"n.b.",INDEX(SRC_ZPMW03!$A$1:$ZZ$501,$A195,AG$3)))</f>
        <v/>
      </c>
      <c r="AH195" s="124" t="str">
        <f>IF($B195="","",IF(AH$3=0,"n.b.",INDEX(SRC_ZPMW03!$A$1:$ZZ$501,$A195,AH$3)))</f>
        <v/>
      </c>
      <c r="AI195" s="124" t="str">
        <f>IF($B195="","",IF(AI$3=0,"n.b.",INDEX(SRC_ZPMW03!$A$1:$ZZ$501,$A195,AI$3)))</f>
        <v/>
      </c>
      <c r="AJ195" s="124" t="str">
        <f>IF($B195="","",IF(AJ$3=0,"n.b.",INDEX(SRC_ZPMW03!$A$1:$ZZ$501,$A195,AJ$3)))</f>
        <v/>
      </c>
      <c r="AK195" s="124" t="str">
        <f>IF($B195="","",IF(AK$3=0,"n.b.",INDEX(SRC_ZPMW03!$A$1:$ZZ$501,$A195,AK$3)))</f>
        <v/>
      </c>
      <c r="AL195" s="124" t="str">
        <f>IF($B195="","",IF(AL$3=0,"n.b.",INDEX(SRC_ZPMW03!$A$1:$ZZ$501,$A195,AL$3)))</f>
        <v/>
      </c>
      <c r="AM195" s="124" t="str">
        <f>IF($B195="","",IF(AM$3=0,"n.b.",INDEX(SRC_ZPMW03!$A$1:$ZZ$501,$A195,AM$3)))</f>
        <v/>
      </c>
      <c r="AN195" s="124" t="str">
        <f>IF($B195="","",IF(AN$3=0,"n.b.",INDEX(SRC_ZPMW03!$A$1:$ZZ$501,$A195,AN$3)))</f>
        <v/>
      </c>
      <c r="AO195" s="124" t="str">
        <f>IF($B195="","",IF(AO$3=0,"n.b.",INDEX(SRC_ZPMW03!$A$1:$ZZ$501,$A195,AO$3)))</f>
        <v/>
      </c>
      <c r="AP195" s="124" t="str">
        <f>IF($B195="","",IF(AP$3=0,"n.b.",INDEX(SRC_ZPMW03!$A$1:$ZZ$501,$A195,AP$3)))</f>
        <v/>
      </c>
      <c r="AQ195" s="124" t="str">
        <f>IF($B195="","",IF(AQ$3=0,"n.b.",INDEX(SRC_ZPMW03!$A$1:$ZZ$501,$A195,AQ$3)))</f>
        <v/>
      </c>
      <c r="AR195" s="124" t="str">
        <f>IF($B195="","",IF(AR$3=0,"n.b.",INDEX(SRC_ZPMW03!$A$1:$ZZ$501,$A195,AR$3)))</f>
        <v/>
      </c>
      <c r="AS195" s="124" t="str">
        <f>IF($B195="","",IF(AS$3=0,"n.b.",INDEX(SRC_ZPMW03!$A$1:$ZZ$501,$A195,AS$3)))</f>
        <v/>
      </c>
      <c r="AT195" s="124" t="str">
        <f>IF($B195="","",IF(AT$3=0,"n.b.",INDEX(SRC_ZPMW03!$A$1:$ZZ$501,$A195,AT$3)))</f>
        <v/>
      </c>
      <c r="AU195" s="124" t="str">
        <f>IF($B195="","",IF(AU$3=0,"n.b.",INDEX(SRC_ZPMW03!$A$1:$ZZ$501,$A195,AU$3)))</f>
        <v/>
      </c>
      <c r="AV195" s="124" t="str">
        <f>IF($B195="","",IF(AV$3=0,"n.b.",INDEX(SRC_ZPMW03!$A$1:$ZZ$501,$A195,AV$3)))</f>
        <v/>
      </c>
      <c r="AW195" s="124" t="str">
        <f>IF($B195="","",IF(AW$3=0,"n.b.",INDEX(SRC_ZPMW03!$A$1:$ZZ$501,$A195,AW$3)))</f>
        <v/>
      </c>
      <c r="AX195" s="124" t="str">
        <f>IF($B195="","",IF(AX$3=0,"n.b.",INDEX(SRC_ZPMW03!$A$1:$ZZ$501,$A195,AX$3)))</f>
        <v/>
      </c>
      <c r="AY195" s="124" t="str">
        <f>IF($B195="","",IF(AY$3=0,"n.b.",INDEX(SRC_ZPMW03!$A$1:$ZZ$501,$A195,AY$3)))</f>
        <v/>
      </c>
      <c r="AZ195" s="124" t="str">
        <f>IF($B195="","",IF(AZ$3=0,"n.b.",INDEX(SRC_ZPMW03!$A$1:$ZZ$501,$A195,AZ$3)))</f>
        <v/>
      </c>
      <c r="BA195" s="124" t="str">
        <f>IF($B195="","",IF(BA$3=0,"n.b.",INDEX(SRC_ZPMW03!$A$1:$ZZ$501,$A195,BA$3)))</f>
        <v/>
      </c>
      <c r="BB195" s="124" t="str">
        <f>IF($B195="","",IF(BB$3=0,"n.b.",INDEX(SRC_ZPMW03!$A$1:$ZZ$501,$A195,BB$3)))</f>
        <v/>
      </c>
      <c r="BC195" s="124" t="str">
        <f>IF($B195="","",IF(BC$3=0,"n.b.",INDEX(SRC_ZPMW03!$A$1:$ZZ$501,$A195,BC$3)))</f>
        <v/>
      </c>
      <c r="BD195" s="124" t="str">
        <f>IF($B195="","",IF(BD$3=0,"n.b.",INDEX(SRC_ZPMW03!$A$1:$ZZ$501,$A195,BD$3)))</f>
        <v/>
      </c>
      <c r="BE195" s="124" t="str">
        <f>IF($B195="","",IF(BE$3=0,"n.b.",INDEX(SRC_ZPMW03!$A$1:$ZZ$501,$A195,BE$3)))</f>
        <v/>
      </c>
      <c r="BF195" s="124" t="str">
        <f>IF($B195="","",IF(BF$3=0,"n.b.",INDEX(SRC_ZPMW03!$A$1:$ZZ$501,$A195,BF$3)))</f>
        <v/>
      </c>
      <c r="BG195" t="str">
        <f>IF($B195="","",IF(BG$3=0,"n.b.",INDEX(SRC_ZPMW03!$A$1:$ZZ$501,$A195,BG$3)))</f>
        <v/>
      </c>
      <c r="BH195" t="str">
        <f>IF($B195="","",IF(BH$3=0,"n.b.",INDEX(SRC_ZPMW03!$A$1:$ZZ$501,$A195,BH$3)))</f>
        <v/>
      </c>
      <c r="BI195" t="str">
        <f>IF($B195="","",IF(BI$3=0,"n.b.",INDEX(SRC_ZPMW03!$A$1:$ZZ$501,$A195,BI$3)))</f>
        <v/>
      </c>
      <c r="BJ195" t="str">
        <f>IF($B195="","",IF(BJ$3=0,"n.b.",INDEX(SRC_ZPMW03!$A$1:$ZZ$501,$A195,BJ$3)))</f>
        <v/>
      </c>
      <c r="BK195" s="124" t="str">
        <f>IF($B195="","",IFERROR(-O195,"n.b."))</f>
        <v/>
      </c>
      <c r="BL195" s="124" t="str">
        <f>IF($B195="","",IFERROR(-Q195,"n.b."))</f>
        <v/>
      </c>
      <c r="BM195" s="124" t="str">
        <f>IF($B195="","",IFERROR(-AB195,"n.b."))</f>
        <v/>
      </c>
      <c r="BN195" s="124" t="str">
        <f>IF($B195="","",IFERROR(-AD195,"n.b."))</f>
        <v/>
      </c>
      <c r="BO195" s="124" t="str">
        <f>IF($B195="","",IFERROR(BK195+BM195,"n.b."))</f>
        <v/>
      </c>
      <c r="BP195" s="124" t="str">
        <f>IF($B195="","",IFERROR(BL195+BN195,"n.b."))</f>
        <v/>
      </c>
      <c r="BQ195" s="124" t="str">
        <f>IF($B195="","",IFERROR(-AM195,"n.b."))</f>
        <v/>
      </c>
      <c r="BR195" s="124" t="str">
        <f>IF($B195="","",IFERROR(-AO195,"n.b."))</f>
        <v/>
      </c>
      <c r="BS195" s="124" t="str">
        <f>IF($B195="","",IFERROR(-Z195,"n.b."))</f>
        <v/>
      </c>
      <c r="BT195" s="124" t="str">
        <f>IF($B195="","",IFERROR(-AA195,"n.b."))</f>
        <v/>
      </c>
      <c r="BU195" s="124" t="str">
        <f>IF($B195="","",IFERROR(-AE195,"n.b."))</f>
        <v/>
      </c>
      <c r="BV195" s="124" t="str">
        <f>IF($B195="","",IFERROR(-AF195,"n.b."))</f>
        <v/>
      </c>
      <c r="BW195" s="124" t="str">
        <f>IF($B195="","",IFERROR(-AG195,"n.b."))</f>
        <v/>
      </c>
      <c r="BX195" s="124" t="str">
        <f>IF($B195="","",IFERROR(-AH195,"n.b."))</f>
        <v/>
      </c>
      <c r="BY195" s="124" t="str">
        <f>IF($B195="","",IFERROR(-AI195,"n.b."))</f>
        <v/>
      </c>
      <c r="BZ195" s="124" t="str">
        <f>IF($B195="","",IFERROR(-AJ195,"n.b."))</f>
        <v/>
      </c>
      <c r="CA195" s="124" t="str">
        <f>IF($B195="","",IFERROR(-AK195,"n.b."))</f>
        <v/>
      </c>
      <c r="CB195" s="124" t="str">
        <f>IF($B195="","",IFERROR(-AL195,"n.b."))</f>
        <v/>
      </c>
      <c r="CC195" s="124" t="str">
        <f>IF($B195="","",IFERROR(-AP195,"n.b."))</f>
        <v/>
      </c>
      <c r="CD195" s="124" t="str">
        <f>IF($B195="","",IFERROR(-AQ195,"n.b."))</f>
        <v/>
      </c>
      <c r="CE195" s="124" t="str">
        <f>IF($B195="","",IFERROR(-AR195,"n.b."))</f>
        <v/>
      </c>
      <c r="CF195" s="124" t="str">
        <f>IF($B195="","",IFERROR(-AS195,"n.b."))</f>
        <v/>
      </c>
      <c r="CG195" s="124" t="str">
        <f>IF($B195="","",IFERROR(-AT195,"n.b."))</f>
        <v/>
      </c>
      <c r="CH195" s="124" t="str">
        <f>IF($B195="","",IFERROR(-AU195,"n.b."))</f>
        <v/>
      </c>
      <c r="CI195" s="124" t="str">
        <f>IF($B195="","",IFERROR(-AV195,"n.b."))</f>
        <v/>
      </c>
      <c r="CJ195" s="124" t="str">
        <f>IF($B195="","",IFERROR(-AW195,"n.b."))</f>
        <v/>
      </c>
      <c r="CK195" s="124" t="str">
        <f>IF($B195="","",IFERROR(-AX195,"n.b."))</f>
        <v/>
      </c>
      <c r="CL195" s="124" t="str">
        <f>IF($B195="","",IFERROR(-AY195,"n.b."))</f>
        <v/>
      </c>
      <c r="CM195" s="124" t="str">
        <f>IF($B195="","",IFERROR(-AZ195,"n.b."))</f>
        <v/>
      </c>
      <c r="CN195" s="124" t="str">
        <f>IF($B195="","",IFERROR(-BA195,"n.b."))</f>
        <v/>
      </c>
      <c r="CO195" s="124" t="str">
        <f>IF($B195="","",IFERROR(-BB195,"n.b."))</f>
        <v/>
      </c>
      <c r="CP195" s="124" t="str">
        <f>IF($B195="","",IFERROR(-BC195,"n.b."))</f>
        <v/>
      </c>
      <c r="CQ195" s="124" t="str">
        <f>IF($B195="","",IFERROR(-BD195,"n.b."))</f>
        <v/>
      </c>
      <c r="CR195" s="124" t="str">
        <f>IF($B195="","",IFERROR(-BE195,"n.b."))</f>
        <v/>
      </c>
      <c r="CS195" s="124" t="str">
        <f>IF($B195="","",IFERROR(IF(OR(ABS(T195+V195+X195+Z195-AB195)&gt;P_Tol,ABS(U195+W195+Y195+AA195-AD195)&gt;P_Tol,ABS(AE195+AG195+AI195+AK195-AM195)&gt;P_Tol,ABS(AF195+AH195+AJ195+AL195-AO195)&gt;P_Tol),1,0),1))</f>
        <v/>
      </c>
      <c r="CT195" s="124" t="str">
        <f>IF($B195="","",IFERROR(IF(OR(ABS(AB195+AC195-AD195)&gt;P_Tol,ABS(AM195+AN195-AO195)&gt;P_Tol,ABS(O195+P195-Q195)&gt;P_Tol),1,0),1))</f>
        <v/>
      </c>
      <c r="CU195" s="124" t="str">
        <f>IF($B195="","",IFERROR(IF(ABS(R195-(AB195+AM195+AP195+AR195+AT195+AV195+AX195+AZ195+BB195+BD195))&gt;P_Tol,1,0),1))</f>
        <v/>
      </c>
      <c r="CV195" s="124" t="str">
        <f>IF($B195="","",IFERROR(IF(ABS(M195-(N195+O195+R195))&gt;P_Tol,1,0),1))</f>
        <v/>
      </c>
      <c r="CW195" s="124" t="str">
        <f>IF($B195="","",IF(COUNTIF(Mapping!$A$5:$A$104,B195)&gt;0,1,0))</f>
        <v/>
      </c>
      <c r="CX195" s="124" t="str">
        <f>IF($B195="","",COUNTIF($B$6:$B$505,B195))</f>
        <v/>
      </c>
      <c r="CY195" s="124" t="str">
        <f>IF($B195="","",COUNTIF(STG_Woningetalage!$B$6:$B$505,B195))</f>
        <v/>
      </c>
      <c r="CZ195" s="124" t="str">
        <f>IF($B195="","",IF(CW195=0,COUNTIF($CW$6:CW195,0),""))</f>
        <v/>
      </c>
    </row>
    <row r="196">
      <c r="A196" s="15" t="n">
        <v>192</v>
      </c>
      <c r="B196" t="str">
        <f>IF(B$3=0,"",IF(INDEX(SRC_ZPMW03!$A$1:$ZZ$501,$A196,B$3)&amp;""="","",INDEX(SRC_ZPMW03!$A$1:$ZZ$501,$A196,B$3)&amp;""))</f>
        <v/>
      </c>
      <c r="C196" t="str">
        <f>IF($B196="","",IF(C$3=0,"n.b.",INDEX(SRC_ZPMW03!$A$1:$ZZ$501,$A196,C$3)))</f>
        <v/>
      </c>
      <c r="D196" t="str">
        <f>IF($B196="","",IF(D$3=0,"n.b.",INDEX(SRC_ZPMW03!$A$1:$ZZ$501,$A196,D$3)))</f>
        <v/>
      </c>
      <c r="E196" t="str">
        <f>IF($B196="","",IF(E$3=0,"n.b.",INDEX(SRC_ZPMW03!$A$1:$ZZ$501,$A196,E$3)))</f>
        <v/>
      </c>
      <c r="F196" t="str">
        <f>IF($B196="","",IF(F$3=0,"n.b.",INDEX(SRC_ZPMW03!$A$1:$ZZ$501,$A196,F$3)))</f>
        <v/>
      </c>
      <c r="G196" t="str">
        <f>IF($B196="","",IF(G$3=0,"n.b.",INDEX(SRC_ZPMW03!$A$1:$ZZ$501,$A196,G$3)))</f>
        <v/>
      </c>
      <c r="H196" t="str">
        <f>IF($B196="","",IF(H$3=0,"n.b.",INDEX(SRC_ZPMW03!$A$1:$ZZ$501,$A196,H$3)))</f>
        <v/>
      </c>
      <c r="I196" t="str">
        <f>IF($B196="","",IF(I$3=0,"n.b.",INDEX(SRC_ZPMW03!$A$1:$ZZ$501,$A196,I$3)))</f>
        <v/>
      </c>
      <c r="J196" t="str">
        <f>IF($B196="","",IF(J$3=0,"n.b.",INDEX(SRC_ZPMW03!$A$1:$ZZ$501,$A196,J$3)))</f>
        <v/>
      </c>
      <c r="K196" t="str">
        <f>IF($B196="","",IF(K$3=0,"n.b.",INDEX(SRC_ZPMW03!$A$1:$ZZ$501,$A196,K$3)))</f>
        <v/>
      </c>
      <c r="L196" s="124" t="str">
        <f>IF($B196="","",IF(L$3=0,"n.b.",INDEX(SRC_ZPMW03!$A$1:$ZZ$501,$A196,L$3)))</f>
        <v/>
      </c>
      <c r="M196" s="124" t="str">
        <f>IF($B196="","",IF(M$3=0,"n.b.",INDEX(SRC_ZPMW03!$A$1:$ZZ$501,$A196,M$3)))</f>
        <v/>
      </c>
      <c r="N196" s="124" t="str">
        <f>IF($B196="","",IF(N$3=0,"n.b.",INDEX(SRC_ZPMW03!$A$1:$ZZ$501,$A196,N$3)))</f>
        <v/>
      </c>
      <c r="O196" s="124" t="str">
        <f>IF($B196="","",IF(O$3=0,"n.b.",INDEX(SRC_ZPMW03!$A$1:$ZZ$501,$A196,O$3)))</f>
        <v/>
      </c>
      <c r="P196" s="124" t="str">
        <f>IF($B196="","",IF(P$3=0,"n.b.",INDEX(SRC_ZPMW03!$A$1:$ZZ$501,$A196,P$3)))</f>
        <v/>
      </c>
      <c r="Q196" s="124" t="str">
        <f>IF($B196="","",IF(Q$3=0,"n.b.",INDEX(SRC_ZPMW03!$A$1:$ZZ$501,$A196,Q$3)))</f>
        <v/>
      </c>
      <c r="R196" s="124" t="str">
        <f>IF($B196="","",IF(R$3=0,"n.b.",INDEX(SRC_ZPMW03!$A$1:$ZZ$501,$A196,R$3)))</f>
        <v/>
      </c>
      <c r="S196" s="124" t="str">
        <f>IF($B196="","",IF(S$3=0,"n.b.",INDEX(SRC_ZPMW03!$A$1:$ZZ$501,$A196,S$3)))</f>
        <v/>
      </c>
      <c r="T196" s="124" t="str">
        <f>IF($B196="","",IF(T$3=0,"n.b.",INDEX(SRC_ZPMW03!$A$1:$ZZ$501,$A196,T$3)))</f>
        <v/>
      </c>
      <c r="U196" s="124" t="str">
        <f>IF($B196="","",IF(U$3=0,"n.b.",INDEX(SRC_ZPMW03!$A$1:$ZZ$501,$A196,U$3)))</f>
        <v/>
      </c>
      <c r="V196" s="124" t="str">
        <f>IF($B196="","",IF(V$3=0,"n.b.",INDEX(SRC_ZPMW03!$A$1:$ZZ$501,$A196,V$3)))</f>
        <v/>
      </c>
      <c r="W196" s="124" t="str">
        <f>IF($B196="","",IF(W$3=0,"n.b.",INDEX(SRC_ZPMW03!$A$1:$ZZ$501,$A196,W$3)))</f>
        <v/>
      </c>
      <c r="X196" s="124" t="str">
        <f>IF($B196="","",IF(X$3=0,"n.b.",INDEX(SRC_ZPMW03!$A$1:$ZZ$501,$A196,X$3)))</f>
        <v/>
      </c>
      <c r="Y196" s="124" t="str">
        <f>IF($B196="","",IF(Y$3=0,"n.b.",INDEX(SRC_ZPMW03!$A$1:$ZZ$501,$A196,Y$3)))</f>
        <v/>
      </c>
      <c r="Z196" s="124" t="str">
        <f>IF($B196="","",IF(Z$3=0,"n.b.",INDEX(SRC_ZPMW03!$A$1:$ZZ$501,$A196,Z$3)))</f>
        <v/>
      </c>
      <c r="AA196" s="124" t="str">
        <f>IF($B196="","",IF(AA$3=0,"n.b.",INDEX(SRC_ZPMW03!$A$1:$ZZ$501,$A196,AA$3)))</f>
        <v/>
      </c>
      <c r="AB196" s="124" t="str">
        <f>IF($B196="","",IF(AB$3=0,"n.b.",INDEX(SRC_ZPMW03!$A$1:$ZZ$501,$A196,AB$3)))</f>
        <v/>
      </c>
      <c r="AC196" s="124" t="str">
        <f>IF($B196="","",IF(AC$3=0,"n.b.",INDEX(SRC_ZPMW03!$A$1:$ZZ$501,$A196,AC$3)))</f>
        <v/>
      </c>
      <c r="AD196" s="124" t="str">
        <f>IF($B196="","",IF(AD$3=0,"n.b.",INDEX(SRC_ZPMW03!$A$1:$ZZ$501,$A196,AD$3)))</f>
        <v/>
      </c>
      <c r="AE196" s="124" t="str">
        <f>IF($B196="","",IF(AE$3=0,"n.b.",INDEX(SRC_ZPMW03!$A$1:$ZZ$501,$A196,AE$3)))</f>
        <v/>
      </c>
      <c r="AF196" s="124" t="str">
        <f>IF($B196="","",IF(AF$3=0,"n.b.",INDEX(SRC_ZPMW03!$A$1:$ZZ$501,$A196,AF$3)))</f>
        <v/>
      </c>
      <c r="AG196" s="124" t="str">
        <f>IF($B196="","",IF(AG$3=0,"n.b.",INDEX(SRC_ZPMW03!$A$1:$ZZ$501,$A196,AG$3)))</f>
        <v/>
      </c>
      <c r="AH196" s="124" t="str">
        <f>IF($B196="","",IF(AH$3=0,"n.b.",INDEX(SRC_ZPMW03!$A$1:$ZZ$501,$A196,AH$3)))</f>
        <v/>
      </c>
      <c r="AI196" s="124" t="str">
        <f>IF($B196="","",IF(AI$3=0,"n.b.",INDEX(SRC_ZPMW03!$A$1:$ZZ$501,$A196,AI$3)))</f>
        <v/>
      </c>
      <c r="AJ196" s="124" t="str">
        <f>IF($B196="","",IF(AJ$3=0,"n.b.",INDEX(SRC_ZPMW03!$A$1:$ZZ$501,$A196,AJ$3)))</f>
        <v/>
      </c>
      <c r="AK196" s="124" t="str">
        <f>IF($B196="","",IF(AK$3=0,"n.b.",INDEX(SRC_ZPMW03!$A$1:$ZZ$501,$A196,AK$3)))</f>
        <v/>
      </c>
      <c r="AL196" s="124" t="str">
        <f>IF($B196="","",IF(AL$3=0,"n.b.",INDEX(SRC_ZPMW03!$A$1:$ZZ$501,$A196,AL$3)))</f>
        <v/>
      </c>
      <c r="AM196" s="124" t="str">
        <f>IF($B196="","",IF(AM$3=0,"n.b.",INDEX(SRC_ZPMW03!$A$1:$ZZ$501,$A196,AM$3)))</f>
        <v/>
      </c>
      <c r="AN196" s="124" t="str">
        <f>IF($B196="","",IF(AN$3=0,"n.b.",INDEX(SRC_ZPMW03!$A$1:$ZZ$501,$A196,AN$3)))</f>
        <v/>
      </c>
      <c r="AO196" s="124" t="str">
        <f>IF($B196="","",IF(AO$3=0,"n.b.",INDEX(SRC_ZPMW03!$A$1:$ZZ$501,$A196,AO$3)))</f>
        <v/>
      </c>
      <c r="AP196" s="124" t="str">
        <f>IF($B196="","",IF(AP$3=0,"n.b.",INDEX(SRC_ZPMW03!$A$1:$ZZ$501,$A196,AP$3)))</f>
        <v/>
      </c>
      <c r="AQ196" s="124" t="str">
        <f>IF($B196="","",IF(AQ$3=0,"n.b.",INDEX(SRC_ZPMW03!$A$1:$ZZ$501,$A196,AQ$3)))</f>
        <v/>
      </c>
      <c r="AR196" s="124" t="str">
        <f>IF($B196="","",IF(AR$3=0,"n.b.",INDEX(SRC_ZPMW03!$A$1:$ZZ$501,$A196,AR$3)))</f>
        <v/>
      </c>
      <c r="AS196" s="124" t="str">
        <f>IF($B196="","",IF(AS$3=0,"n.b.",INDEX(SRC_ZPMW03!$A$1:$ZZ$501,$A196,AS$3)))</f>
        <v/>
      </c>
      <c r="AT196" s="124" t="str">
        <f>IF($B196="","",IF(AT$3=0,"n.b.",INDEX(SRC_ZPMW03!$A$1:$ZZ$501,$A196,AT$3)))</f>
        <v/>
      </c>
      <c r="AU196" s="124" t="str">
        <f>IF($B196="","",IF(AU$3=0,"n.b.",INDEX(SRC_ZPMW03!$A$1:$ZZ$501,$A196,AU$3)))</f>
        <v/>
      </c>
      <c r="AV196" s="124" t="str">
        <f>IF($B196="","",IF(AV$3=0,"n.b.",INDEX(SRC_ZPMW03!$A$1:$ZZ$501,$A196,AV$3)))</f>
        <v/>
      </c>
      <c r="AW196" s="124" t="str">
        <f>IF($B196="","",IF(AW$3=0,"n.b.",INDEX(SRC_ZPMW03!$A$1:$ZZ$501,$A196,AW$3)))</f>
        <v/>
      </c>
      <c r="AX196" s="124" t="str">
        <f>IF($B196="","",IF(AX$3=0,"n.b.",INDEX(SRC_ZPMW03!$A$1:$ZZ$501,$A196,AX$3)))</f>
        <v/>
      </c>
      <c r="AY196" s="124" t="str">
        <f>IF($B196="","",IF(AY$3=0,"n.b.",INDEX(SRC_ZPMW03!$A$1:$ZZ$501,$A196,AY$3)))</f>
        <v/>
      </c>
      <c r="AZ196" s="124" t="str">
        <f>IF($B196="","",IF(AZ$3=0,"n.b.",INDEX(SRC_ZPMW03!$A$1:$ZZ$501,$A196,AZ$3)))</f>
        <v/>
      </c>
      <c r="BA196" s="124" t="str">
        <f>IF($B196="","",IF(BA$3=0,"n.b.",INDEX(SRC_ZPMW03!$A$1:$ZZ$501,$A196,BA$3)))</f>
        <v/>
      </c>
      <c r="BB196" s="124" t="str">
        <f>IF($B196="","",IF(BB$3=0,"n.b.",INDEX(SRC_ZPMW03!$A$1:$ZZ$501,$A196,BB$3)))</f>
        <v/>
      </c>
      <c r="BC196" s="124" t="str">
        <f>IF($B196="","",IF(BC$3=0,"n.b.",INDEX(SRC_ZPMW03!$A$1:$ZZ$501,$A196,BC$3)))</f>
        <v/>
      </c>
      <c r="BD196" s="124" t="str">
        <f>IF($B196="","",IF(BD$3=0,"n.b.",INDEX(SRC_ZPMW03!$A$1:$ZZ$501,$A196,BD$3)))</f>
        <v/>
      </c>
      <c r="BE196" s="124" t="str">
        <f>IF($B196="","",IF(BE$3=0,"n.b.",INDEX(SRC_ZPMW03!$A$1:$ZZ$501,$A196,BE$3)))</f>
        <v/>
      </c>
      <c r="BF196" s="124" t="str">
        <f>IF($B196="","",IF(BF$3=0,"n.b.",INDEX(SRC_ZPMW03!$A$1:$ZZ$501,$A196,BF$3)))</f>
        <v/>
      </c>
      <c r="BG196" t="str">
        <f>IF($B196="","",IF(BG$3=0,"n.b.",INDEX(SRC_ZPMW03!$A$1:$ZZ$501,$A196,BG$3)))</f>
        <v/>
      </c>
      <c r="BH196" t="str">
        <f>IF($B196="","",IF(BH$3=0,"n.b.",INDEX(SRC_ZPMW03!$A$1:$ZZ$501,$A196,BH$3)))</f>
        <v/>
      </c>
      <c r="BI196" t="str">
        <f>IF($B196="","",IF(BI$3=0,"n.b.",INDEX(SRC_ZPMW03!$A$1:$ZZ$501,$A196,BI$3)))</f>
        <v/>
      </c>
      <c r="BJ196" t="str">
        <f>IF($B196="","",IF(BJ$3=0,"n.b.",INDEX(SRC_ZPMW03!$A$1:$ZZ$501,$A196,BJ$3)))</f>
        <v/>
      </c>
      <c r="BK196" s="124" t="str">
        <f>IF($B196="","",IFERROR(-O196,"n.b."))</f>
        <v/>
      </c>
      <c r="BL196" s="124" t="str">
        <f>IF($B196="","",IFERROR(-Q196,"n.b."))</f>
        <v/>
      </c>
      <c r="BM196" s="124" t="str">
        <f>IF($B196="","",IFERROR(-AB196,"n.b."))</f>
        <v/>
      </c>
      <c r="BN196" s="124" t="str">
        <f>IF($B196="","",IFERROR(-AD196,"n.b."))</f>
        <v/>
      </c>
      <c r="BO196" s="124" t="str">
        <f>IF($B196="","",IFERROR(BK196+BM196,"n.b."))</f>
        <v/>
      </c>
      <c r="BP196" s="124" t="str">
        <f>IF($B196="","",IFERROR(BL196+BN196,"n.b."))</f>
        <v/>
      </c>
      <c r="BQ196" s="124" t="str">
        <f>IF($B196="","",IFERROR(-AM196,"n.b."))</f>
        <v/>
      </c>
      <c r="BR196" s="124" t="str">
        <f>IF($B196="","",IFERROR(-AO196,"n.b."))</f>
        <v/>
      </c>
      <c r="BS196" s="124" t="str">
        <f>IF($B196="","",IFERROR(-Z196,"n.b."))</f>
        <v/>
      </c>
      <c r="BT196" s="124" t="str">
        <f>IF($B196="","",IFERROR(-AA196,"n.b."))</f>
        <v/>
      </c>
      <c r="BU196" s="124" t="str">
        <f>IF($B196="","",IFERROR(-AE196,"n.b."))</f>
        <v/>
      </c>
      <c r="BV196" s="124" t="str">
        <f>IF($B196="","",IFERROR(-AF196,"n.b."))</f>
        <v/>
      </c>
      <c r="BW196" s="124" t="str">
        <f>IF($B196="","",IFERROR(-AG196,"n.b."))</f>
        <v/>
      </c>
      <c r="BX196" s="124" t="str">
        <f>IF($B196="","",IFERROR(-AH196,"n.b."))</f>
        <v/>
      </c>
      <c r="BY196" s="124" t="str">
        <f>IF($B196="","",IFERROR(-AI196,"n.b."))</f>
        <v/>
      </c>
      <c r="BZ196" s="124" t="str">
        <f>IF($B196="","",IFERROR(-AJ196,"n.b."))</f>
        <v/>
      </c>
      <c r="CA196" s="124" t="str">
        <f>IF($B196="","",IFERROR(-AK196,"n.b."))</f>
        <v/>
      </c>
      <c r="CB196" s="124" t="str">
        <f>IF($B196="","",IFERROR(-AL196,"n.b."))</f>
        <v/>
      </c>
      <c r="CC196" s="124" t="str">
        <f>IF($B196="","",IFERROR(-AP196,"n.b."))</f>
        <v/>
      </c>
      <c r="CD196" s="124" t="str">
        <f>IF($B196="","",IFERROR(-AQ196,"n.b."))</f>
        <v/>
      </c>
      <c r="CE196" s="124" t="str">
        <f>IF($B196="","",IFERROR(-AR196,"n.b."))</f>
        <v/>
      </c>
      <c r="CF196" s="124" t="str">
        <f>IF($B196="","",IFERROR(-AS196,"n.b."))</f>
        <v/>
      </c>
      <c r="CG196" s="124" t="str">
        <f>IF($B196="","",IFERROR(-AT196,"n.b."))</f>
        <v/>
      </c>
      <c r="CH196" s="124" t="str">
        <f>IF($B196="","",IFERROR(-AU196,"n.b."))</f>
        <v/>
      </c>
      <c r="CI196" s="124" t="str">
        <f>IF($B196="","",IFERROR(-AV196,"n.b."))</f>
        <v/>
      </c>
      <c r="CJ196" s="124" t="str">
        <f>IF($B196="","",IFERROR(-AW196,"n.b."))</f>
        <v/>
      </c>
      <c r="CK196" s="124" t="str">
        <f>IF($B196="","",IFERROR(-AX196,"n.b."))</f>
        <v/>
      </c>
      <c r="CL196" s="124" t="str">
        <f>IF($B196="","",IFERROR(-AY196,"n.b."))</f>
        <v/>
      </c>
      <c r="CM196" s="124" t="str">
        <f>IF($B196="","",IFERROR(-AZ196,"n.b."))</f>
        <v/>
      </c>
      <c r="CN196" s="124" t="str">
        <f>IF($B196="","",IFERROR(-BA196,"n.b."))</f>
        <v/>
      </c>
      <c r="CO196" s="124" t="str">
        <f>IF($B196="","",IFERROR(-BB196,"n.b."))</f>
        <v/>
      </c>
      <c r="CP196" s="124" t="str">
        <f>IF($B196="","",IFERROR(-BC196,"n.b."))</f>
        <v/>
      </c>
      <c r="CQ196" s="124" t="str">
        <f>IF($B196="","",IFERROR(-BD196,"n.b."))</f>
        <v/>
      </c>
      <c r="CR196" s="124" t="str">
        <f>IF($B196="","",IFERROR(-BE196,"n.b."))</f>
        <v/>
      </c>
      <c r="CS196" s="124" t="str">
        <f>IF($B196="","",IFERROR(IF(OR(ABS(T196+V196+X196+Z196-AB196)&gt;P_Tol,ABS(U196+W196+Y196+AA196-AD196)&gt;P_Tol,ABS(AE196+AG196+AI196+AK196-AM196)&gt;P_Tol,ABS(AF196+AH196+AJ196+AL196-AO196)&gt;P_Tol),1,0),1))</f>
        <v/>
      </c>
      <c r="CT196" s="124" t="str">
        <f>IF($B196="","",IFERROR(IF(OR(ABS(AB196+AC196-AD196)&gt;P_Tol,ABS(AM196+AN196-AO196)&gt;P_Tol,ABS(O196+P196-Q196)&gt;P_Tol),1,0),1))</f>
        <v/>
      </c>
      <c r="CU196" s="124" t="str">
        <f>IF($B196="","",IFERROR(IF(ABS(R196-(AB196+AM196+AP196+AR196+AT196+AV196+AX196+AZ196+BB196+BD196))&gt;P_Tol,1,0),1))</f>
        <v/>
      </c>
      <c r="CV196" s="124" t="str">
        <f>IF($B196="","",IFERROR(IF(ABS(M196-(N196+O196+R196))&gt;P_Tol,1,0),1))</f>
        <v/>
      </c>
      <c r="CW196" s="124" t="str">
        <f>IF($B196="","",IF(COUNTIF(Mapping!$A$5:$A$104,B196)&gt;0,1,0))</f>
        <v/>
      </c>
      <c r="CX196" s="124" t="str">
        <f>IF($B196="","",COUNTIF($B$6:$B$505,B196))</f>
        <v/>
      </c>
      <c r="CY196" s="124" t="str">
        <f>IF($B196="","",COUNTIF(STG_Woningetalage!$B$6:$B$505,B196))</f>
        <v/>
      </c>
      <c r="CZ196" s="124" t="str">
        <f>IF($B196="","",IF(CW196=0,COUNTIF($CW$6:CW196,0),""))</f>
        <v/>
      </c>
    </row>
    <row r="197">
      <c r="A197" s="15" t="n">
        <v>193</v>
      </c>
      <c r="B197" t="str">
        <f>IF(B$3=0,"",IF(INDEX(SRC_ZPMW03!$A$1:$ZZ$501,$A197,B$3)&amp;""="","",INDEX(SRC_ZPMW03!$A$1:$ZZ$501,$A197,B$3)&amp;""))</f>
        <v/>
      </c>
      <c r="C197" t="str">
        <f>IF($B197="","",IF(C$3=0,"n.b.",INDEX(SRC_ZPMW03!$A$1:$ZZ$501,$A197,C$3)))</f>
        <v/>
      </c>
      <c r="D197" t="str">
        <f>IF($B197="","",IF(D$3=0,"n.b.",INDEX(SRC_ZPMW03!$A$1:$ZZ$501,$A197,D$3)))</f>
        <v/>
      </c>
      <c r="E197" t="str">
        <f>IF($B197="","",IF(E$3=0,"n.b.",INDEX(SRC_ZPMW03!$A$1:$ZZ$501,$A197,E$3)))</f>
        <v/>
      </c>
      <c r="F197" t="str">
        <f>IF($B197="","",IF(F$3=0,"n.b.",INDEX(SRC_ZPMW03!$A$1:$ZZ$501,$A197,F$3)))</f>
        <v/>
      </c>
      <c r="G197" t="str">
        <f>IF($B197="","",IF(G$3=0,"n.b.",INDEX(SRC_ZPMW03!$A$1:$ZZ$501,$A197,G$3)))</f>
        <v/>
      </c>
      <c r="H197" t="str">
        <f>IF($B197="","",IF(H$3=0,"n.b.",INDEX(SRC_ZPMW03!$A$1:$ZZ$501,$A197,H$3)))</f>
        <v/>
      </c>
      <c r="I197" t="str">
        <f>IF($B197="","",IF(I$3=0,"n.b.",INDEX(SRC_ZPMW03!$A$1:$ZZ$501,$A197,I$3)))</f>
        <v/>
      </c>
      <c r="J197" t="str">
        <f>IF($B197="","",IF(J$3=0,"n.b.",INDEX(SRC_ZPMW03!$A$1:$ZZ$501,$A197,J$3)))</f>
        <v/>
      </c>
      <c r="K197" t="str">
        <f>IF($B197="","",IF(K$3=0,"n.b.",INDEX(SRC_ZPMW03!$A$1:$ZZ$501,$A197,K$3)))</f>
        <v/>
      </c>
      <c r="L197" s="124" t="str">
        <f>IF($B197="","",IF(L$3=0,"n.b.",INDEX(SRC_ZPMW03!$A$1:$ZZ$501,$A197,L$3)))</f>
        <v/>
      </c>
      <c r="M197" s="124" t="str">
        <f>IF($B197="","",IF(M$3=0,"n.b.",INDEX(SRC_ZPMW03!$A$1:$ZZ$501,$A197,M$3)))</f>
        <v/>
      </c>
      <c r="N197" s="124" t="str">
        <f>IF($B197="","",IF(N$3=0,"n.b.",INDEX(SRC_ZPMW03!$A$1:$ZZ$501,$A197,N$3)))</f>
        <v/>
      </c>
      <c r="O197" s="124" t="str">
        <f>IF($B197="","",IF(O$3=0,"n.b.",INDEX(SRC_ZPMW03!$A$1:$ZZ$501,$A197,O$3)))</f>
        <v/>
      </c>
      <c r="P197" s="124" t="str">
        <f>IF($B197="","",IF(P$3=0,"n.b.",INDEX(SRC_ZPMW03!$A$1:$ZZ$501,$A197,P$3)))</f>
        <v/>
      </c>
      <c r="Q197" s="124" t="str">
        <f>IF($B197="","",IF(Q$3=0,"n.b.",INDEX(SRC_ZPMW03!$A$1:$ZZ$501,$A197,Q$3)))</f>
        <v/>
      </c>
      <c r="R197" s="124" t="str">
        <f>IF($B197="","",IF(R$3=0,"n.b.",INDEX(SRC_ZPMW03!$A$1:$ZZ$501,$A197,R$3)))</f>
        <v/>
      </c>
      <c r="S197" s="124" t="str">
        <f>IF($B197="","",IF(S$3=0,"n.b.",INDEX(SRC_ZPMW03!$A$1:$ZZ$501,$A197,S$3)))</f>
        <v/>
      </c>
      <c r="T197" s="124" t="str">
        <f>IF($B197="","",IF(T$3=0,"n.b.",INDEX(SRC_ZPMW03!$A$1:$ZZ$501,$A197,T$3)))</f>
        <v/>
      </c>
      <c r="U197" s="124" t="str">
        <f>IF($B197="","",IF(U$3=0,"n.b.",INDEX(SRC_ZPMW03!$A$1:$ZZ$501,$A197,U$3)))</f>
        <v/>
      </c>
      <c r="V197" s="124" t="str">
        <f>IF($B197="","",IF(V$3=0,"n.b.",INDEX(SRC_ZPMW03!$A$1:$ZZ$501,$A197,V$3)))</f>
        <v/>
      </c>
      <c r="W197" s="124" t="str">
        <f>IF($B197="","",IF(W$3=0,"n.b.",INDEX(SRC_ZPMW03!$A$1:$ZZ$501,$A197,W$3)))</f>
        <v/>
      </c>
      <c r="X197" s="124" t="str">
        <f>IF($B197="","",IF(X$3=0,"n.b.",INDEX(SRC_ZPMW03!$A$1:$ZZ$501,$A197,X$3)))</f>
        <v/>
      </c>
      <c r="Y197" s="124" t="str">
        <f>IF($B197="","",IF(Y$3=0,"n.b.",INDEX(SRC_ZPMW03!$A$1:$ZZ$501,$A197,Y$3)))</f>
        <v/>
      </c>
      <c r="Z197" s="124" t="str">
        <f>IF($B197="","",IF(Z$3=0,"n.b.",INDEX(SRC_ZPMW03!$A$1:$ZZ$501,$A197,Z$3)))</f>
        <v/>
      </c>
      <c r="AA197" s="124" t="str">
        <f>IF($B197="","",IF(AA$3=0,"n.b.",INDEX(SRC_ZPMW03!$A$1:$ZZ$501,$A197,AA$3)))</f>
        <v/>
      </c>
      <c r="AB197" s="124" t="str">
        <f>IF($B197="","",IF(AB$3=0,"n.b.",INDEX(SRC_ZPMW03!$A$1:$ZZ$501,$A197,AB$3)))</f>
        <v/>
      </c>
      <c r="AC197" s="124" t="str">
        <f>IF($B197="","",IF(AC$3=0,"n.b.",INDEX(SRC_ZPMW03!$A$1:$ZZ$501,$A197,AC$3)))</f>
        <v/>
      </c>
      <c r="AD197" s="124" t="str">
        <f>IF($B197="","",IF(AD$3=0,"n.b.",INDEX(SRC_ZPMW03!$A$1:$ZZ$501,$A197,AD$3)))</f>
        <v/>
      </c>
      <c r="AE197" s="124" t="str">
        <f>IF($B197="","",IF(AE$3=0,"n.b.",INDEX(SRC_ZPMW03!$A$1:$ZZ$501,$A197,AE$3)))</f>
        <v/>
      </c>
      <c r="AF197" s="124" t="str">
        <f>IF($B197="","",IF(AF$3=0,"n.b.",INDEX(SRC_ZPMW03!$A$1:$ZZ$501,$A197,AF$3)))</f>
        <v/>
      </c>
      <c r="AG197" s="124" t="str">
        <f>IF($B197="","",IF(AG$3=0,"n.b.",INDEX(SRC_ZPMW03!$A$1:$ZZ$501,$A197,AG$3)))</f>
        <v/>
      </c>
      <c r="AH197" s="124" t="str">
        <f>IF($B197="","",IF(AH$3=0,"n.b.",INDEX(SRC_ZPMW03!$A$1:$ZZ$501,$A197,AH$3)))</f>
        <v/>
      </c>
      <c r="AI197" s="124" t="str">
        <f>IF($B197="","",IF(AI$3=0,"n.b.",INDEX(SRC_ZPMW03!$A$1:$ZZ$501,$A197,AI$3)))</f>
        <v/>
      </c>
      <c r="AJ197" s="124" t="str">
        <f>IF($B197="","",IF(AJ$3=0,"n.b.",INDEX(SRC_ZPMW03!$A$1:$ZZ$501,$A197,AJ$3)))</f>
        <v/>
      </c>
      <c r="AK197" s="124" t="str">
        <f>IF($B197="","",IF(AK$3=0,"n.b.",INDEX(SRC_ZPMW03!$A$1:$ZZ$501,$A197,AK$3)))</f>
        <v/>
      </c>
      <c r="AL197" s="124" t="str">
        <f>IF($B197="","",IF(AL$3=0,"n.b.",INDEX(SRC_ZPMW03!$A$1:$ZZ$501,$A197,AL$3)))</f>
        <v/>
      </c>
      <c r="AM197" s="124" t="str">
        <f>IF($B197="","",IF(AM$3=0,"n.b.",INDEX(SRC_ZPMW03!$A$1:$ZZ$501,$A197,AM$3)))</f>
        <v/>
      </c>
      <c r="AN197" s="124" t="str">
        <f>IF($B197="","",IF(AN$3=0,"n.b.",INDEX(SRC_ZPMW03!$A$1:$ZZ$501,$A197,AN$3)))</f>
        <v/>
      </c>
      <c r="AO197" s="124" t="str">
        <f>IF($B197="","",IF(AO$3=0,"n.b.",INDEX(SRC_ZPMW03!$A$1:$ZZ$501,$A197,AO$3)))</f>
        <v/>
      </c>
      <c r="AP197" s="124" t="str">
        <f>IF($B197="","",IF(AP$3=0,"n.b.",INDEX(SRC_ZPMW03!$A$1:$ZZ$501,$A197,AP$3)))</f>
        <v/>
      </c>
      <c r="AQ197" s="124" t="str">
        <f>IF($B197="","",IF(AQ$3=0,"n.b.",INDEX(SRC_ZPMW03!$A$1:$ZZ$501,$A197,AQ$3)))</f>
        <v/>
      </c>
      <c r="AR197" s="124" t="str">
        <f>IF($B197="","",IF(AR$3=0,"n.b.",INDEX(SRC_ZPMW03!$A$1:$ZZ$501,$A197,AR$3)))</f>
        <v/>
      </c>
      <c r="AS197" s="124" t="str">
        <f>IF($B197="","",IF(AS$3=0,"n.b.",INDEX(SRC_ZPMW03!$A$1:$ZZ$501,$A197,AS$3)))</f>
        <v/>
      </c>
      <c r="AT197" s="124" t="str">
        <f>IF($B197="","",IF(AT$3=0,"n.b.",INDEX(SRC_ZPMW03!$A$1:$ZZ$501,$A197,AT$3)))</f>
        <v/>
      </c>
      <c r="AU197" s="124" t="str">
        <f>IF($B197="","",IF(AU$3=0,"n.b.",INDEX(SRC_ZPMW03!$A$1:$ZZ$501,$A197,AU$3)))</f>
        <v/>
      </c>
      <c r="AV197" s="124" t="str">
        <f>IF($B197="","",IF(AV$3=0,"n.b.",INDEX(SRC_ZPMW03!$A$1:$ZZ$501,$A197,AV$3)))</f>
        <v/>
      </c>
      <c r="AW197" s="124" t="str">
        <f>IF($B197="","",IF(AW$3=0,"n.b.",INDEX(SRC_ZPMW03!$A$1:$ZZ$501,$A197,AW$3)))</f>
        <v/>
      </c>
      <c r="AX197" s="124" t="str">
        <f>IF($B197="","",IF(AX$3=0,"n.b.",INDEX(SRC_ZPMW03!$A$1:$ZZ$501,$A197,AX$3)))</f>
        <v/>
      </c>
      <c r="AY197" s="124" t="str">
        <f>IF($B197="","",IF(AY$3=0,"n.b.",INDEX(SRC_ZPMW03!$A$1:$ZZ$501,$A197,AY$3)))</f>
        <v/>
      </c>
      <c r="AZ197" s="124" t="str">
        <f>IF($B197="","",IF(AZ$3=0,"n.b.",INDEX(SRC_ZPMW03!$A$1:$ZZ$501,$A197,AZ$3)))</f>
        <v/>
      </c>
      <c r="BA197" s="124" t="str">
        <f>IF($B197="","",IF(BA$3=0,"n.b.",INDEX(SRC_ZPMW03!$A$1:$ZZ$501,$A197,BA$3)))</f>
        <v/>
      </c>
      <c r="BB197" s="124" t="str">
        <f>IF($B197="","",IF(BB$3=0,"n.b.",INDEX(SRC_ZPMW03!$A$1:$ZZ$501,$A197,BB$3)))</f>
        <v/>
      </c>
      <c r="BC197" s="124" t="str">
        <f>IF($B197="","",IF(BC$3=0,"n.b.",INDEX(SRC_ZPMW03!$A$1:$ZZ$501,$A197,BC$3)))</f>
        <v/>
      </c>
      <c r="BD197" s="124" t="str">
        <f>IF($B197="","",IF(BD$3=0,"n.b.",INDEX(SRC_ZPMW03!$A$1:$ZZ$501,$A197,BD$3)))</f>
        <v/>
      </c>
      <c r="BE197" s="124" t="str">
        <f>IF($B197="","",IF(BE$3=0,"n.b.",INDEX(SRC_ZPMW03!$A$1:$ZZ$501,$A197,BE$3)))</f>
        <v/>
      </c>
      <c r="BF197" s="124" t="str">
        <f>IF($B197="","",IF(BF$3=0,"n.b.",INDEX(SRC_ZPMW03!$A$1:$ZZ$501,$A197,BF$3)))</f>
        <v/>
      </c>
      <c r="BG197" t="str">
        <f>IF($B197="","",IF(BG$3=0,"n.b.",INDEX(SRC_ZPMW03!$A$1:$ZZ$501,$A197,BG$3)))</f>
        <v/>
      </c>
      <c r="BH197" t="str">
        <f>IF($B197="","",IF(BH$3=0,"n.b.",INDEX(SRC_ZPMW03!$A$1:$ZZ$501,$A197,BH$3)))</f>
        <v/>
      </c>
      <c r="BI197" t="str">
        <f>IF($B197="","",IF(BI$3=0,"n.b.",INDEX(SRC_ZPMW03!$A$1:$ZZ$501,$A197,BI$3)))</f>
        <v/>
      </c>
      <c r="BJ197" t="str">
        <f>IF($B197="","",IF(BJ$3=0,"n.b.",INDEX(SRC_ZPMW03!$A$1:$ZZ$501,$A197,BJ$3)))</f>
        <v/>
      </c>
      <c r="BK197" s="124" t="str">
        <f>IF($B197="","",IFERROR(-O197,"n.b."))</f>
        <v/>
      </c>
      <c r="BL197" s="124" t="str">
        <f>IF($B197="","",IFERROR(-Q197,"n.b."))</f>
        <v/>
      </c>
      <c r="BM197" s="124" t="str">
        <f>IF($B197="","",IFERROR(-AB197,"n.b."))</f>
        <v/>
      </c>
      <c r="BN197" s="124" t="str">
        <f>IF($B197="","",IFERROR(-AD197,"n.b."))</f>
        <v/>
      </c>
      <c r="BO197" s="124" t="str">
        <f>IF($B197="","",IFERROR(BK197+BM197,"n.b."))</f>
        <v/>
      </c>
      <c r="BP197" s="124" t="str">
        <f>IF($B197="","",IFERROR(BL197+BN197,"n.b."))</f>
        <v/>
      </c>
      <c r="BQ197" s="124" t="str">
        <f>IF($B197="","",IFERROR(-AM197,"n.b."))</f>
        <v/>
      </c>
      <c r="BR197" s="124" t="str">
        <f>IF($B197="","",IFERROR(-AO197,"n.b."))</f>
        <v/>
      </c>
      <c r="BS197" s="124" t="str">
        <f>IF($B197="","",IFERROR(-Z197,"n.b."))</f>
        <v/>
      </c>
      <c r="BT197" s="124" t="str">
        <f>IF($B197="","",IFERROR(-AA197,"n.b."))</f>
        <v/>
      </c>
      <c r="BU197" s="124" t="str">
        <f>IF($B197="","",IFERROR(-AE197,"n.b."))</f>
        <v/>
      </c>
      <c r="BV197" s="124" t="str">
        <f>IF($B197="","",IFERROR(-AF197,"n.b."))</f>
        <v/>
      </c>
      <c r="BW197" s="124" t="str">
        <f>IF($B197="","",IFERROR(-AG197,"n.b."))</f>
        <v/>
      </c>
      <c r="BX197" s="124" t="str">
        <f>IF($B197="","",IFERROR(-AH197,"n.b."))</f>
        <v/>
      </c>
      <c r="BY197" s="124" t="str">
        <f>IF($B197="","",IFERROR(-AI197,"n.b."))</f>
        <v/>
      </c>
      <c r="BZ197" s="124" t="str">
        <f>IF($B197="","",IFERROR(-AJ197,"n.b."))</f>
        <v/>
      </c>
      <c r="CA197" s="124" t="str">
        <f>IF($B197="","",IFERROR(-AK197,"n.b."))</f>
        <v/>
      </c>
      <c r="CB197" s="124" t="str">
        <f>IF($B197="","",IFERROR(-AL197,"n.b."))</f>
        <v/>
      </c>
      <c r="CC197" s="124" t="str">
        <f>IF($B197="","",IFERROR(-AP197,"n.b."))</f>
        <v/>
      </c>
      <c r="CD197" s="124" t="str">
        <f>IF($B197="","",IFERROR(-AQ197,"n.b."))</f>
        <v/>
      </c>
      <c r="CE197" s="124" t="str">
        <f>IF($B197="","",IFERROR(-AR197,"n.b."))</f>
        <v/>
      </c>
      <c r="CF197" s="124" t="str">
        <f>IF($B197="","",IFERROR(-AS197,"n.b."))</f>
        <v/>
      </c>
      <c r="CG197" s="124" t="str">
        <f>IF($B197="","",IFERROR(-AT197,"n.b."))</f>
        <v/>
      </c>
      <c r="CH197" s="124" t="str">
        <f>IF($B197="","",IFERROR(-AU197,"n.b."))</f>
        <v/>
      </c>
      <c r="CI197" s="124" t="str">
        <f>IF($B197="","",IFERROR(-AV197,"n.b."))</f>
        <v/>
      </c>
      <c r="CJ197" s="124" t="str">
        <f>IF($B197="","",IFERROR(-AW197,"n.b."))</f>
        <v/>
      </c>
      <c r="CK197" s="124" t="str">
        <f>IF($B197="","",IFERROR(-AX197,"n.b."))</f>
        <v/>
      </c>
      <c r="CL197" s="124" t="str">
        <f>IF($B197="","",IFERROR(-AY197,"n.b."))</f>
        <v/>
      </c>
      <c r="CM197" s="124" t="str">
        <f>IF($B197="","",IFERROR(-AZ197,"n.b."))</f>
        <v/>
      </c>
      <c r="CN197" s="124" t="str">
        <f>IF($B197="","",IFERROR(-BA197,"n.b."))</f>
        <v/>
      </c>
      <c r="CO197" s="124" t="str">
        <f>IF($B197="","",IFERROR(-BB197,"n.b."))</f>
        <v/>
      </c>
      <c r="CP197" s="124" t="str">
        <f>IF($B197="","",IFERROR(-BC197,"n.b."))</f>
        <v/>
      </c>
      <c r="CQ197" s="124" t="str">
        <f>IF($B197="","",IFERROR(-BD197,"n.b."))</f>
        <v/>
      </c>
      <c r="CR197" s="124" t="str">
        <f>IF($B197="","",IFERROR(-BE197,"n.b."))</f>
        <v/>
      </c>
      <c r="CS197" s="124" t="str">
        <f>IF($B197="","",IFERROR(IF(OR(ABS(T197+V197+X197+Z197-AB197)&gt;P_Tol,ABS(U197+W197+Y197+AA197-AD197)&gt;P_Tol,ABS(AE197+AG197+AI197+AK197-AM197)&gt;P_Tol,ABS(AF197+AH197+AJ197+AL197-AO197)&gt;P_Tol),1,0),1))</f>
        <v/>
      </c>
      <c r="CT197" s="124" t="str">
        <f>IF($B197="","",IFERROR(IF(OR(ABS(AB197+AC197-AD197)&gt;P_Tol,ABS(AM197+AN197-AO197)&gt;P_Tol,ABS(O197+P197-Q197)&gt;P_Tol),1,0),1))</f>
        <v/>
      </c>
      <c r="CU197" s="124" t="str">
        <f>IF($B197="","",IFERROR(IF(ABS(R197-(AB197+AM197+AP197+AR197+AT197+AV197+AX197+AZ197+BB197+BD197))&gt;P_Tol,1,0),1))</f>
        <v/>
      </c>
      <c r="CV197" s="124" t="str">
        <f>IF($B197="","",IFERROR(IF(ABS(M197-(N197+O197+R197))&gt;P_Tol,1,0),1))</f>
        <v/>
      </c>
      <c r="CW197" s="124" t="str">
        <f>IF($B197="","",IF(COUNTIF(Mapping!$A$5:$A$104,B197)&gt;0,1,0))</f>
        <v/>
      </c>
      <c r="CX197" s="124" t="str">
        <f>IF($B197="","",COUNTIF($B$6:$B$505,B197))</f>
        <v/>
      </c>
      <c r="CY197" s="124" t="str">
        <f>IF($B197="","",COUNTIF(STG_Woningetalage!$B$6:$B$505,B197))</f>
        <v/>
      </c>
      <c r="CZ197" s="124" t="str">
        <f>IF($B197="","",IF(CW197=0,COUNTIF($CW$6:CW197,0),""))</f>
        <v/>
      </c>
    </row>
    <row r="198">
      <c r="A198" s="15" t="n">
        <v>194</v>
      </c>
      <c r="B198" t="str">
        <f>IF(B$3=0,"",IF(INDEX(SRC_ZPMW03!$A$1:$ZZ$501,$A198,B$3)&amp;""="","",INDEX(SRC_ZPMW03!$A$1:$ZZ$501,$A198,B$3)&amp;""))</f>
        <v/>
      </c>
      <c r="C198" t="str">
        <f>IF($B198="","",IF(C$3=0,"n.b.",INDEX(SRC_ZPMW03!$A$1:$ZZ$501,$A198,C$3)))</f>
        <v/>
      </c>
      <c r="D198" t="str">
        <f>IF($B198="","",IF(D$3=0,"n.b.",INDEX(SRC_ZPMW03!$A$1:$ZZ$501,$A198,D$3)))</f>
        <v/>
      </c>
      <c r="E198" t="str">
        <f>IF($B198="","",IF(E$3=0,"n.b.",INDEX(SRC_ZPMW03!$A$1:$ZZ$501,$A198,E$3)))</f>
        <v/>
      </c>
      <c r="F198" t="str">
        <f>IF($B198="","",IF(F$3=0,"n.b.",INDEX(SRC_ZPMW03!$A$1:$ZZ$501,$A198,F$3)))</f>
        <v/>
      </c>
      <c r="G198" t="str">
        <f>IF($B198="","",IF(G$3=0,"n.b.",INDEX(SRC_ZPMW03!$A$1:$ZZ$501,$A198,G$3)))</f>
        <v/>
      </c>
      <c r="H198" t="str">
        <f>IF($B198="","",IF(H$3=0,"n.b.",INDEX(SRC_ZPMW03!$A$1:$ZZ$501,$A198,H$3)))</f>
        <v/>
      </c>
      <c r="I198" t="str">
        <f>IF($B198="","",IF(I$3=0,"n.b.",INDEX(SRC_ZPMW03!$A$1:$ZZ$501,$A198,I$3)))</f>
        <v/>
      </c>
      <c r="J198" t="str">
        <f>IF($B198="","",IF(J$3=0,"n.b.",INDEX(SRC_ZPMW03!$A$1:$ZZ$501,$A198,J$3)))</f>
        <v/>
      </c>
      <c r="K198" t="str">
        <f>IF($B198="","",IF(K$3=0,"n.b.",INDEX(SRC_ZPMW03!$A$1:$ZZ$501,$A198,K$3)))</f>
        <v/>
      </c>
      <c r="L198" s="124" t="str">
        <f>IF($B198="","",IF(L$3=0,"n.b.",INDEX(SRC_ZPMW03!$A$1:$ZZ$501,$A198,L$3)))</f>
        <v/>
      </c>
      <c r="M198" s="124" t="str">
        <f>IF($B198="","",IF(M$3=0,"n.b.",INDEX(SRC_ZPMW03!$A$1:$ZZ$501,$A198,M$3)))</f>
        <v/>
      </c>
      <c r="N198" s="124" t="str">
        <f>IF($B198="","",IF(N$3=0,"n.b.",INDEX(SRC_ZPMW03!$A$1:$ZZ$501,$A198,N$3)))</f>
        <v/>
      </c>
      <c r="O198" s="124" t="str">
        <f>IF($B198="","",IF(O$3=0,"n.b.",INDEX(SRC_ZPMW03!$A$1:$ZZ$501,$A198,O$3)))</f>
        <v/>
      </c>
      <c r="P198" s="124" t="str">
        <f>IF($B198="","",IF(P$3=0,"n.b.",INDEX(SRC_ZPMW03!$A$1:$ZZ$501,$A198,P$3)))</f>
        <v/>
      </c>
      <c r="Q198" s="124" t="str">
        <f>IF($B198="","",IF(Q$3=0,"n.b.",INDEX(SRC_ZPMW03!$A$1:$ZZ$501,$A198,Q$3)))</f>
        <v/>
      </c>
      <c r="R198" s="124" t="str">
        <f>IF($B198="","",IF(R$3=0,"n.b.",INDEX(SRC_ZPMW03!$A$1:$ZZ$501,$A198,R$3)))</f>
        <v/>
      </c>
      <c r="S198" s="124" t="str">
        <f>IF($B198="","",IF(S$3=0,"n.b.",INDEX(SRC_ZPMW03!$A$1:$ZZ$501,$A198,S$3)))</f>
        <v/>
      </c>
      <c r="T198" s="124" t="str">
        <f>IF($B198="","",IF(T$3=0,"n.b.",INDEX(SRC_ZPMW03!$A$1:$ZZ$501,$A198,T$3)))</f>
        <v/>
      </c>
      <c r="U198" s="124" t="str">
        <f>IF($B198="","",IF(U$3=0,"n.b.",INDEX(SRC_ZPMW03!$A$1:$ZZ$501,$A198,U$3)))</f>
        <v/>
      </c>
      <c r="V198" s="124" t="str">
        <f>IF($B198="","",IF(V$3=0,"n.b.",INDEX(SRC_ZPMW03!$A$1:$ZZ$501,$A198,V$3)))</f>
        <v/>
      </c>
      <c r="W198" s="124" t="str">
        <f>IF($B198="","",IF(W$3=0,"n.b.",INDEX(SRC_ZPMW03!$A$1:$ZZ$501,$A198,W$3)))</f>
        <v/>
      </c>
      <c r="X198" s="124" t="str">
        <f>IF($B198="","",IF(X$3=0,"n.b.",INDEX(SRC_ZPMW03!$A$1:$ZZ$501,$A198,X$3)))</f>
        <v/>
      </c>
      <c r="Y198" s="124" t="str">
        <f>IF($B198="","",IF(Y$3=0,"n.b.",INDEX(SRC_ZPMW03!$A$1:$ZZ$501,$A198,Y$3)))</f>
        <v/>
      </c>
      <c r="Z198" s="124" t="str">
        <f>IF($B198="","",IF(Z$3=0,"n.b.",INDEX(SRC_ZPMW03!$A$1:$ZZ$501,$A198,Z$3)))</f>
        <v/>
      </c>
      <c r="AA198" s="124" t="str">
        <f>IF($B198="","",IF(AA$3=0,"n.b.",INDEX(SRC_ZPMW03!$A$1:$ZZ$501,$A198,AA$3)))</f>
        <v/>
      </c>
      <c r="AB198" s="124" t="str">
        <f>IF($B198="","",IF(AB$3=0,"n.b.",INDEX(SRC_ZPMW03!$A$1:$ZZ$501,$A198,AB$3)))</f>
        <v/>
      </c>
      <c r="AC198" s="124" t="str">
        <f>IF($B198="","",IF(AC$3=0,"n.b.",INDEX(SRC_ZPMW03!$A$1:$ZZ$501,$A198,AC$3)))</f>
        <v/>
      </c>
      <c r="AD198" s="124" t="str">
        <f>IF($B198="","",IF(AD$3=0,"n.b.",INDEX(SRC_ZPMW03!$A$1:$ZZ$501,$A198,AD$3)))</f>
        <v/>
      </c>
      <c r="AE198" s="124" t="str">
        <f>IF($B198="","",IF(AE$3=0,"n.b.",INDEX(SRC_ZPMW03!$A$1:$ZZ$501,$A198,AE$3)))</f>
        <v/>
      </c>
      <c r="AF198" s="124" t="str">
        <f>IF($B198="","",IF(AF$3=0,"n.b.",INDEX(SRC_ZPMW03!$A$1:$ZZ$501,$A198,AF$3)))</f>
        <v/>
      </c>
      <c r="AG198" s="124" t="str">
        <f>IF($B198="","",IF(AG$3=0,"n.b.",INDEX(SRC_ZPMW03!$A$1:$ZZ$501,$A198,AG$3)))</f>
        <v/>
      </c>
      <c r="AH198" s="124" t="str">
        <f>IF($B198="","",IF(AH$3=0,"n.b.",INDEX(SRC_ZPMW03!$A$1:$ZZ$501,$A198,AH$3)))</f>
        <v/>
      </c>
      <c r="AI198" s="124" t="str">
        <f>IF($B198="","",IF(AI$3=0,"n.b.",INDEX(SRC_ZPMW03!$A$1:$ZZ$501,$A198,AI$3)))</f>
        <v/>
      </c>
      <c r="AJ198" s="124" t="str">
        <f>IF($B198="","",IF(AJ$3=0,"n.b.",INDEX(SRC_ZPMW03!$A$1:$ZZ$501,$A198,AJ$3)))</f>
        <v/>
      </c>
      <c r="AK198" s="124" t="str">
        <f>IF($B198="","",IF(AK$3=0,"n.b.",INDEX(SRC_ZPMW03!$A$1:$ZZ$501,$A198,AK$3)))</f>
        <v/>
      </c>
      <c r="AL198" s="124" t="str">
        <f>IF($B198="","",IF(AL$3=0,"n.b.",INDEX(SRC_ZPMW03!$A$1:$ZZ$501,$A198,AL$3)))</f>
        <v/>
      </c>
      <c r="AM198" s="124" t="str">
        <f>IF($B198="","",IF(AM$3=0,"n.b.",INDEX(SRC_ZPMW03!$A$1:$ZZ$501,$A198,AM$3)))</f>
        <v/>
      </c>
      <c r="AN198" s="124" t="str">
        <f>IF($B198="","",IF(AN$3=0,"n.b.",INDEX(SRC_ZPMW03!$A$1:$ZZ$501,$A198,AN$3)))</f>
        <v/>
      </c>
      <c r="AO198" s="124" t="str">
        <f>IF($B198="","",IF(AO$3=0,"n.b.",INDEX(SRC_ZPMW03!$A$1:$ZZ$501,$A198,AO$3)))</f>
        <v/>
      </c>
      <c r="AP198" s="124" t="str">
        <f>IF($B198="","",IF(AP$3=0,"n.b.",INDEX(SRC_ZPMW03!$A$1:$ZZ$501,$A198,AP$3)))</f>
        <v/>
      </c>
      <c r="AQ198" s="124" t="str">
        <f>IF($B198="","",IF(AQ$3=0,"n.b.",INDEX(SRC_ZPMW03!$A$1:$ZZ$501,$A198,AQ$3)))</f>
        <v/>
      </c>
      <c r="AR198" s="124" t="str">
        <f>IF($B198="","",IF(AR$3=0,"n.b.",INDEX(SRC_ZPMW03!$A$1:$ZZ$501,$A198,AR$3)))</f>
        <v/>
      </c>
      <c r="AS198" s="124" t="str">
        <f>IF($B198="","",IF(AS$3=0,"n.b.",INDEX(SRC_ZPMW03!$A$1:$ZZ$501,$A198,AS$3)))</f>
        <v/>
      </c>
      <c r="AT198" s="124" t="str">
        <f>IF($B198="","",IF(AT$3=0,"n.b.",INDEX(SRC_ZPMW03!$A$1:$ZZ$501,$A198,AT$3)))</f>
        <v/>
      </c>
      <c r="AU198" s="124" t="str">
        <f>IF($B198="","",IF(AU$3=0,"n.b.",INDEX(SRC_ZPMW03!$A$1:$ZZ$501,$A198,AU$3)))</f>
        <v/>
      </c>
      <c r="AV198" s="124" t="str">
        <f>IF($B198="","",IF(AV$3=0,"n.b.",INDEX(SRC_ZPMW03!$A$1:$ZZ$501,$A198,AV$3)))</f>
        <v/>
      </c>
      <c r="AW198" s="124" t="str">
        <f>IF($B198="","",IF(AW$3=0,"n.b.",INDEX(SRC_ZPMW03!$A$1:$ZZ$501,$A198,AW$3)))</f>
        <v/>
      </c>
      <c r="AX198" s="124" t="str">
        <f>IF($B198="","",IF(AX$3=0,"n.b.",INDEX(SRC_ZPMW03!$A$1:$ZZ$501,$A198,AX$3)))</f>
        <v/>
      </c>
      <c r="AY198" s="124" t="str">
        <f>IF($B198="","",IF(AY$3=0,"n.b.",INDEX(SRC_ZPMW03!$A$1:$ZZ$501,$A198,AY$3)))</f>
        <v/>
      </c>
      <c r="AZ198" s="124" t="str">
        <f>IF($B198="","",IF(AZ$3=0,"n.b.",INDEX(SRC_ZPMW03!$A$1:$ZZ$501,$A198,AZ$3)))</f>
        <v/>
      </c>
      <c r="BA198" s="124" t="str">
        <f>IF($B198="","",IF(BA$3=0,"n.b.",INDEX(SRC_ZPMW03!$A$1:$ZZ$501,$A198,BA$3)))</f>
        <v/>
      </c>
      <c r="BB198" s="124" t="str">
        <f>IF($B198="","",IF(BB$3=0,"n.b.",INDEX(SRC_ZPMW03!$A$1:$ZZ$501,$A198,BB$3)))</f>
        <v/>
      </c>
      <c r="BC198" s="124" t="str">
        <f>IF($B198="","",IF(BC$3=0,"n.b.",INDEX(SRC_ZPMW03!$A$1:$ZZ$501,$A198,BC$3)))</f>
        <v/>
      </c>
      <c r="BD198" s="124" t="str">
        <f>IF($B198="","",IF(BD$3=0,"n.b.",INDEX(SRC_ZPMW03!$A$1:$ZZ$501,$A198,BD$3)))</f>
        <v/>
      </c>
      <c r="BE198" s="124" t="str">
        <f>IF($B198="","",IF(BE$3=0,"n.b.",INDEX(SRC_ZPMW03!$A$1:$ZZ$501,$A198,BE$3)))</f>
        <v/>
      </c>
      <c r="BF198" s="124" t="str">
        <f>IF($B198="","",IF(BF$3=0,"n.b.",INDEX(SRC_ZPMW03!$A$1:$ZZ$501,$A198,BF$3)))</f>
        <v/>
      </c>
      <c r="BG198" t="str">
        <f>IF($B198="","",IF(BG$3=0,"n.b.",INDEX(SRC_ZPMW03!$A$1:$ZZ$501,$A198,BG$3)))</f>
        <v/>
      </c>
      <c r="BH198" t="str">
        <f>IF($B198="","",IF(BH$3=0,"n.b.",INDEX(SRC_ZPMW03!$A$1:$ZZ$501,$A198,BH$3)))</f>
        <v/>
      </c>
      <c r="BI198" t="str">
        <f>IF($B198="","",IF(BI$3=0,"n.b.",INDEX(SRC_ZPMW03!$A$1:$ZZ$501,$A198,BI$3)))</f>
        <v/>
      </c>
      <c r="BJ198" t="str">
        <f>IF($B198="","",IF(BJ$3=0,"n.b.",INDEX(SRC_ZPMW03!$A$1:$ZZ$501,$A198,BJ$3)))</f>
        <v/>
      </c>
      <c r="BK198" s="124" t="str">
        <f>IF($B198="","",IFERROR(-O198,"n.b."))</f>
        <v/>
      </c>
      <c r="BL198" s="124" t="str">
        <f>IF($B198="","",IFERROR(-Q198,"n.b."))</f>
        <v/>
      </c>
      <c r="BM198" s="124" t="str">
        <f>IF($B198="","",IFERROR(-AB198,"n.b."))</f>
        <v/>
      </c>
      <c r="BN198" s="124" t="str">
        <f>IF($B198="","",IFERROR(-AD198,"n.b."))</f>
        <v/>
      </c>
      <c r="BO198" s="124" t="str">
        <f>IF($B198="","",IFERROR(BK198+BM198,"n.b."))</f>
        <v/>
      </c>
      <c r="BP198" s="124" t="str">
        <f>IF($B198="","",IFERROR(BL198+BN198,"n.b."))</f>
        <v/>
      </c>
      <c r="BQ198" s="124" t="str">
        <f>IF($B198="","",IFERROR(-AM198,"n.b."))</f>
        <v/>
      </c>
      <c r="BR198" s="124" t="str">
        <f>IF($B198="","",IFERROR(-AO198,"n.b."))</f>
        <v/>
      </c>
      <c r="BS198" s="124" t="str">
        <f>IF($B198="","",IFERROR(-Z198,"n.b."))</f>
        <v/>
      </c>
      <c r="BT198" s="124" t="str">
        <f>IF($B198="","",IFERROR(-AA198,"n.b."))</f>
        <v/>
      </c>
      <c r="BU198" s="124" t="str">
        <f>IF($B198="","",IFERROR(-AE198,"n.b."))</f>
        <v/>
      </c>
      <c r="BV198" s="124" t="str">
        <f>IF($B198="","",IFERROR(-AF198,"n.b."))</f>
        <v/>
      </c>
      <c r="BW198" s="124" t="str">
        <f>IF($B198="","",IFERROR(-AG198,"n.b."))</f>
        <v/>
      </c>
      <c r="BX198" s="124" t="str">
        <f>IF($B198="","",IFERROR(-AH198,"n.b."))</f>
        <v/>
      </c>
      <c r="BY198" s="124" t="str">
        <f>IF($B198="","",IFERROR(-AI198,"n.b."))</f>
        <v/>
      </c>
      <c r="BZ198" s="124" t="str">
        <f>IF($B198="","",IFERROR(-AJ198,"n.b."))</f>
        <v/>
      </c>
      <c r="CA198" s="124" t="str">
        <f>IF($B198="","",IFERROR(-AK198,"n.b."))</f>
        <v/>
      </c>
      <c r="CB198" s="124" t="str">
        <f>IF($B198="","",IFERROR(-AL198,"n.b."))</f>
        <v/>
      </c>
      <c r="CC198" s="124" t="str">
        <f>IF($B198="","",IFERROR(-AP198,"n.b."))</f>
        <v/>
      </c>
      <c r="CD198" s="124" t="str">
        <f>IF($B198="","",IFERROR(-AQ198,"n.b."))</f>
        <v/>
      </c>
      <c r="CE198" s="124" t="str">
        <f>IF($B198="","",IFERROR(-AR198,"n.b."))</f>
        <v/>
      </c>
      <c r="CF198" s="124" t="str">
        <f>IF($B198="","",IFERROR(-AS198,"n.b."))</f>
        <v/>
      </c>
      <c r="CG198" s="124" t="str">
        <f>IF($B198="","",IFERROR(-AT198,"n.b."))</f>
        <v/>
      </c>
      <c r="CH198" s="124" t="str">
        <f>IF($B198="","",IFERROR(-AU198,"n.b."))</f>
        <v/>
      </c>
      <c r="CI198" s="124" t="str">
        <f>IF($B198="","",IFERROR(-AV198,"n.b."))</f>
        <v/>
      </c>
      <c r="CJ198" s="124" t="str">
        <f>IF($B198="","",IFERROR(-AW198,"n.b."))</f>
        <v/>
      </c>
      <c r="CK198" s="124" t="str">
        <f>IF($B198="","",IFERROR(-AX198,"n.b."))</f>
        <v/>
      </c>
      <c r="CL198" s="124" t="str">
        <f>IF($B198="","",IFERROR(-AY198,"n.b."))</f>
        <v/>
      </c>
      <c r="CM198" s="124" t="str">
        <f>IF($B198="","",IFERROR(-AZ198,"n.b."))</f>
        <v/>
      </c>
      <c r="CN198" s="124" t="str">
        <f>IF($B198="","",IFERROR(-BA198,"n.b."))</f>
        <v/>
      </c>
      <c r="CO198" s="124" t="str">
        <f>IF($B198="","",IFERROR(-BB198,"n.b."))</f>
        <v/>
      </c>
      <c r="CP198" s="124" t="str">
        <f>IF($B198="","",IFERROR(-BC198,"n.b."))</f>
        <v/>
      </c>
      <c r="CQ198" s="124" t="str">
        <f>IF($B198="","",IFERROR(-BD198,"n.b."))</f>
        <v/>
      </c>
      <c r="CR198" s="124" t="str">
        <f>IF($B198="","",IFERROR(-BE198,"n.b."))</f>
        <v/>
      </c>
      <c r="CS198" s="124" t="str">
        <f>IF($B198="","",IFERROR(IF(OR(ABS(T198+V198+X198+Z198-AB198)&gt;P_Tol,ABS(U198+W198+Y198+AA198-AD198)&gt;P_Tol,ABS(AE198+AG198+AI198+AK198-AM198)&gt;P_Tol,ABS(AF198+AH198+AJ198+AL198-AO198)&gt;P_Tol),1,0),1))</f>
        <v/>
      </c>
      <c r="CT198" s="124" t="str">
        <f>IF($B198="","",IFERROR(IF(OR(ABS(AB198+AC198-AD198)&gt;P_Tol,ABS(AM198+AN198-AO198)&gt;P_Tol,ABS(O198+P198-Q198)&gt;P_Tol),1,0),1))</f>
        <v/>
      </c>
      <c r="CU198" s="124" t="str">
        <f>IF($B198="","",IFERROR(IF(ABS(R198-(AB198+AM198+AP198+AR198+AT198+AV198+AX198+AZ198+BB198+BD198))&gt;P_Tol,1,0),1))</f>
        <v/>
      </c>
      <c r="CV198" s="124" t="str">
        <f>IF($B198="","",IFERROR(IF(ABS(M198-(N198+O198+R198))&gt;P_Tol,1,0),1))</f>
        <v/>
      </c>
      <c r="CW198" s="124" t="str">
        <f>IF($B198="","",IF(COUNTIF(Mapping!$A$5:$A$104,B198)&gt;0,1,0))</f>
        <v/>
      </c>
      <c r="CX198" s="124" t="str">
        <f>IF($B198="","",COUNTIF($B$6:$B$505,B198))</f>
        <v/>
      </c>
      <c r="CY198" s="124" t="str">
        <f>IF($B198="","",COUNTIF(STG_Woningetalage!$B$6:$B$505,B198))</f>
        <v/>
      </c>
      <c r="CZ198" s="124" t="str">
        <f>IF($B198="","",IF(CW198=0,COUNTIF($CW$6:CW198,0),""))</f>
        <v/>
      </c>
    </row>
    <row r="199">
      <c r="A199" s="15" t="n">
        <v>195</v>
      </c>
      <c r="B199" t="str">
        <f>IF(B$3=0,"",IF(INDEX(SRC_ZPMW03!$A$1:$ZZ$501,$A199,B$3)&amp;""="","",INDEX(SRC_ZPMW03!$A$1:$ZZ$501,$A199,B$3)&amp;""))</f>
        <v/>
      </c>
      <c r="C199" t="str">
        <f>IF($B199="","",IF(C$3=0,"n.b.",INDEX(SRC_ZPMW03!$A$1:$ZZ$501,$A199,C$3)))</f>
        <v/>
      </c>
      <c r="D199" t="str">
        <f>IF($B199="","",IF(D$3=0,"n.b.",INDEX(SRC_ZPMW03!$A$1:$ZZ$501,$A199,D$3)))</f>
        <v/>
      </c>
      <c r="E199" t="str">
        <f>IF($B199="","",IF(E$3=0,"n.b.",INDEX(SRC_ZPMW03!$A$1:$ZZ$501,$A199,E$3)))</f>
        <v/>
      </c>
      <c r="F199" t="str">
        <f>IF($B199="","",IF(F$3=0,"n.b.",INDEX(SRC_ZPMW03!$A$1:$ZZ$501,$A199,F$3)))</f>
        <v/>
      </c>
      <c r="G199" t="str">
        <f>IF($B199="","",IF(G$3=0,"n.b.",INDEX(SRC_ZPMW03!$A$1:$ZZ$501,$A199,G$3)))</f>
        <v/>
      </c>
      <c r="H199" t="str">
        <f>IF($B199="","",IF(H$3=0,"n.b.",INDEX(SRC_ZPMW03!$A$1:$ZZ$501,$A199,H$3)))</f>
        <v/>
      </c>
      <c r="I199" t="str">
        <f>IF($B199="","",IF(I$3=0,"n.b.",INDEX(SRC_ZPMW03!$A$1:$ZZ$501,$A199,I$3)))</f>
        <v/>
      </c>
      <c r="J199" t="str">
        <f>IF($B199="","",IF(J$3=0,"n.b.",INDEX(SRC_ZPMW03!$A$1:$ZZ$501,$A199,J$3)))</f>
        <v/>
      </c>
      <c r="K199" t="str">
        <f>IF($B199="","",IF(K$3=0,"n.b.",INDEX(SRC_ZPMW03!$A$1:$ZZ$501,$A199,K$3)))</f>
        <v/>
      </c>
      <c r="L199" s="124" t="str">
        <f>IF($B199="","",IF(L$3=0,"n.b.",INDEX(SRC_ZPMW03!$A$1:$ZZ$501,$A199,L$3)))</f>
        <v/>
      </c>
      <c r="M199" s="124" t="str">
        <f>IF($B199="","",IF(M$3=0,"n.b.",INDEX(SRC_ZPMW03!$A$1:$ZZ$501,$A199,M$3)))</f>
        <v/>
      </c>
      <c r="N199" s="124" t="str">
        <f>IF($B199="","",IF(N$3=0,"n.b.",INDEX(SRC_ZPMW03!$A$1:$ZZ$501,$A199,N$3)))</f>
        <v/>
      </c>
      <c r="O199" s="124" t="str">
        <f>IF($B199="","",IF(O$3=0,"n.b.",INDEX(SRC_ZPMW03!$A$1:$ZZ$501,$A199,O$3)))</f>
        <v/>
      </c>
      <c r="P199" s="124" t="str">
        <f>IF($B199="","",IF(P$3=0,"n.b.",INDEX(SRC_ZPMW03!$A$1:$ZZ$501,$A199,P$3)))</f>
        <v/>
      </c>
      <c r="Q199" s="124" t="str">
        <f>IF($B199="","",IF(Q$3=0,"n.b.",INDEX(SRC_ZPMW03!$A$1:$ZZ$501,$A199,Q$3)))</f>
        <v/>
      </c>
      <c r="R199" s="124" t="str">
        <f>IF($B199="","",IF(R$3=0,"n.b.",INDEX(SRC_ZPMW03!$A$1:$ZZ$501,$A199,R$3)))</f>
        <v/>
      </c>
      <c r="S199" s="124" t="str">
        <f>IF($B199="","",IF(S$3=0,"n.b.",INDEX(SRC_ZPMW03!$A$1:$ZZ$501,$A199,S$3)))</f>
        <v/>
      </c>
      <c r="T199" s="124" t="str">
        <f>IF($B199="","",IF(T$3=0,"n.b.",INDEX(SRC_ZPMW03!$A$1:$ZZ$501,$A199,T$3)))</f>
        <v/>
      </c>
      <c r="U199" s="124" t="str">
        <f>IF($B199="","",IF(U$3=0,"n.b.",INDEX(SRC_ZPMW03!$A$1:$ZZ$501,$A199,U$3)))</f>
        <v/>
      </c>
      <c r="V199" s="124" t="str">
        <f>IF($B199="","",IF(V$3=0,"n.b.",INDEX(SRC_ZPMW03!$A$1:$ZZ$501,$A199,V$3)))</f>
        <v/>
      </c>
      <c r="W199" s="124" t="str">
        <f>IF($B199="","",IF(W$3=0,"n.b.",INDEX(SRC_ZPMW03!$A$1:$ZZ$501,$A199,W$3)))</f>
        <v/>
      </c>
      <c r="X199" s="124" t="str">
        <f>IF($B199="","",IF(X$3=0,"n.b.",INDEX(SRC_ZPMW03!$A$1:$ZZ$501,$A199,X$3)))</f>
        <v/>
      </c>
      <c r="Y199" s="124" t="str">
        <f>IF($B199="","",IF(Y$3=0,"n.b.",INDEX(SRC_ZPMW03!$A$1:$ZZ$501,$A199,Y$3)))</f>
        <v/>
      </c>
      <c r="Z199" s="124" t="str">
        <f>IF($B199="","",IF(Z$3=0,"n.b.",INDEX(SRC_ZPMW03!$A$1:$ZZ$501,$A199,Z$3)))</f>
        <v/>
      </c>
      <c r="AA199" s="124" t="str">
        <f>IF($B199="","",IF(AA$3=0,"n.b.",INDEX(SRC_ZPMW03!$A$1:$ZZ$501,$A199,AA$3)))</f>
        <v/>
      </c>
      <c r="AB199" s="124" t="str">
        <f>IF($B199="","",IF(AB$3=0,"n.b.",INDEX(SRC_ZPMW03!$A$1:$ZZ$501,$A199,AB$3)))</f>
        <v/>
      </c>
      <c r="AC199" s="124" t="str">
        <f>IF($B199="","",IF(AC$3=0,"n.b.",INDEX(SRC_ZPMW03!$A$1:$ZZ$501,$A199,AC$3)))</f>
        <v/>
      </c>
      <c r="AD199" s="124" t="str">
        <f>IF($B199="","",IF(AD$3=0,"n.b.",INDEX(SRC_ZPMW03!$A$1:$ZZ$501,$A199,AD$3)))</f>
        <v/>
      </c>
      <c r="AE199" s="124" t="str">
        <f>IF($B199="","",IF(AE$3=0,"n.b.",INDEX(SRC_ZPMW03!$A$1:$ZZ$501,$A199,AE$3)))</f>
        <v/>
      </c>
      <c r="AF199" s="124" t="str">
        <f>IF($B199="","",IF(AF$3=0,"n.b.",INDEX(SRC_ZPMW03!$A$1:$ZZ$501,$A199,AF$3)))</f>
        <v/>
      </c>
      <c r="AG199" s="124" t="str">
        <f>IF($B199="","",IF(AG$3=0,"n.b.",INDEX(SRC_ZPMW03!$A$1:$ZZ$501,$A199,AG$3)))</f>
        <v/>
      </c>
      <c r="AH199" s="124" t="str">
        <f>IF($B199="","",IF(AH$3=0,"n.b.",INDEX(SRC_ZPMW03!$A$1:$ZZ$501,$A199,AH$3)))</f>
        <v/>
      </c>
      <c r="AI199" s="124" t="str">
        <f>IF($B199="","",IF(AI$3=0,"n.b.",INDEX(SRC_ZPMW03!$A$1:$ZZ$501,$A199,AI$3)))</f>
        <v/>
      </c>
      <c r="AJ199" s="124" t="str">
        <f>IF($B199="","",IF(AJ$3=0,"n.b.",INDEX(SRC_ZPMW03!$A$1:$ZZ$501,$A199,AJ$3)))</f>
        <v/>
      </c>
      <c r="AK199" s="124" t="str">
        <f>IF($B199="","",IF(AK$3=0,"n.b.",INDEX(SRC_ZPMW03!$A$1:$ZZ$501,$A199,AK$3)))</f>
        <v/>
      </c>
      <c r="AL199" s="124" t="str">
        <f>IF($B199="","",IF(AL$3=0,"n.b.",INDEX(SRC_ZPMW03!$A$1:$ZZ$501,$A199,AL$3)))</f>
        <v/>
      </c>
      <c r="AM199" s="124" t="str">
        <f>IF($B199="","",IF(AM$3=0,"n.b.",INDEX(SRC_ZPMW03!$A$1:$ZZ$501,$A199,AM$3)))</f>
        <v/>
      </c>
      <c r="AN199" s="124" t="str">
        <f>IF($B199="","",IF(AN$3=0,"n.b.",INDEX(SRC_ZPMW03!$A$1:$ZZ$501,$A199,AN$3)))</f>
        <v/>
      </c>
      <c r="AO199" s="124" t="str">
        <f>IF($B199="","",IF(AO$3=0,"n.b.",INDEX(SRC_ZPMW03!$A$1:$ZZ$501,$A199,AO$3)))</f>
        <v/>
      </c>
      <c r="AP199" s="124" t="str">
        <f>IF($B199="","",IF(AP$3=0,"n.b.",INDEX(SRC_ZPMW03!$A$1:$ZZ$501,$A199,AP$3)))</f>
        <v/>
      </c>
      <c r="AQ199" s="124" t="str">
        <f>IF($B199="","",IF(AQ$3=0,"n.b.",INDEX(SRC_ZPMW03!$A$1:$ZZ$501,$A199,AQ$3)))</f>
        <v/>
      </c>
      <c r="AR199" s="124" t="str">
        <f>IF($B199="","",IF(AR$3=0,"n.b.",INDEX(SRC_ZPMW03!$A$1:$ZZ$501,$A199,AR$3)))</f>
        <v/>
      </c>
      <c r="AS199" s="124" t="str">
        <f>IF($B199="","",IF(AS$3=0,"n.b.",INDEX(SRC_ZPMW03!$A$1:$ZZ$501,$A199,AS$3)))</f>
        <v/>
      </c>
      <c r="AT199" s="124" t="str">
        <f>IF($B199="","",IF(AT$3=0,"n.b.",INDEX(SRC_ZPMW03!$A$1:$ZZ$501,$A199,AT$3)))</f>
        <v/>
      </c>
      <c r="AU199" s="124" t="str">
        <f>IF($B199="","",IF(AU$3=0,"n.b.",INDEX(SRC_ZPMW03!$A$1:$ZZ$501,$A199,AU$3)))</f>
        <v/>
      </c>
      <c r="AV199" s="124" t="str">
        <f>IF($B199="","",IF(AV$3=0,"n.b.",INDEX(SRC_ZPMW03!$A$1:$ZZ$501,$A199,AV$3)))</f>
        <v/>
      </c>
      <c r="AW199" s="124" t="str">
        <f>IF($B199="","",IF(AW$3=0,"n.b.",INDEX(SRC_ZPMW03!$A$1:$ZZ$501,$A199,AW$3)))</f>
        <v/>
      </c>
      <c r="AX199" s="124" t="str">
        <f>IF($B199="","",IF(AX$3=0,"n.b.",INDEX(SRC_ZPMW03!$A$1:$ZZ$501,$A199,AX$3)))</f>
        <v/>
      </c>
      <c r="AY199" s="124" t="str">
        <f>IF($B199="","",IF(AY$3=0,"n.b.",INDEX(SRC_ZPMW03!$A$1:$ZZ$501,$A199,AY$3)))</f>
        <v/>
      </c>
      <c r="AZ199" s="124" t="str">
        <f>IF($B199="","",IF(AZ$3=0,"n.b.",INDEX(SRC_ZPMW03!$A$1:$ZZ$501,$A199,AZ$3)))</f>
        <v/>
      </c>
      <c r="BA199" s="124" t="str">
        <f>IF($B199="","",IF(BA$3=0,"n.b.",INDEX(SRC_ZPMW03!$A$1:$ZZ$501,$A199,BA$3)))</f>
        <v/>
      </c>
      <c r="BB199" s="124" t="str">
        <f>IF($B199="","",IF(BB$3=0,"n.b.",INDEX(SRC_ZPMW03!$A$1:$ZZ$501,$A199,BB$3)))</f>
        <v/>
      </c>
      <c r="BC199" s="124" t="str">
        <f>IF($B199="","",IF(BC$3=0,"n.b.",INDEX(SRC_ZPMW03!$A$1:$ZZ$501,$A199,BC$3)))</f>
        <v/>
      </c>
      <c r="BD199" s="124" t="str">
        <f>IF($B199="","",IF(BD$3=0,"n.b.",INDEX(SRC_ZPMW03!$A$1:$ZZ$501,$A199,BD$3)))</f>
        <v/>
      </c>
      <c r="BE199" s="124" t="str">
        <f>IF($B199="","",IF(BE$3=0,"n.b.",INDEX(SRC_ZPMW03!$A$1:$ZZ$501,$A199,BE$3)))</f>
        <v/>
      </c>
      <c r="BF199" s="124" t="str">
        <f>IF($B199="","",IF(BF$3=0,"n.b.",INDEX(SRC_ZPMW03!$A$1:$ZZ$501,$A199,BF$3)))</f>
        <v/>
      </c>
      <c r="BG199" t="str">
        <f>IF($B199="","",IF(BG$3=0,"n.b.",INDEX(SRC_ZPMW03!$A$1:$ZZ$501,$A199,BG$3)))</f>
        <v/>
      </c>
      <c r="BH199" t="str">
        <f>IF($B199="","",IF(BH$3=0,"n.b.",INDEX(SRC_ZPMW03!$A$1:$ZZ$501,$A199,BH$3)))</f>
        <v/>
      </c>
      <c r="BI199" t="str">
        <f>IF($B199="","",IF(BI$3=0,"n.b.",INDEX(SRC_ZPMW03!$A$1:$ZZ$501,$A199,BI$3)))</f>
        <v/>
      </c>
      <c r="BJ199" t="str">
        <f>IF($B199="","",IF(BJ$3=0,"n.b.",INDEX(SRC_ZPMW03!$A$1:$ZZ$501,$A199,BJ$3)))</f>
        <v/>
      </c>
      <c r="BK199" s="124" t="str">
        <f>IF($B199="","",IFERROR(-O199,"n.b."))</f>
        <v/>
      </c>
      <c r="BL199" s="124" t="str">
        <f>IF($B199="","",IFERROR(-Q199,"n.b."))</f>
        <v/>
      </c>
      <c r="BM199" s="124" t="str">
        <f>IF($B199="","",IFERROR(-AB199,"n.b."))</f>
        <v/>
      </c>
      <c r="BN199" s="124" t="str">
        <f>IF($B199="","",IFERROR(-AD199,"n.b."))</f>
        <v/>
      </c>
      <c r="BO199" s="124" t="str">
        <f>IF($B199="","",IFERROR(BK199+BM199,"n.b."))</f>
        <v/>
      </c>
      <c r="BP199" s="124" t="str">
        <f>IF($B199="","",IFERROR(BL199+BN199,"n.b."))</f>
        <v/>
      </c>
      <c r="BQ199" s="124" t="str">
        <f>IF($B199="","",IFERROR(-AM199,"n.b."))</f>
        <v/>
      </c>
      <c r="BR199" s="124" t="str">
        <f>IF($B199="","",IFERROR(-AO199,"n.b."))</f>
        <v/>
      </c>
      <c r="BS199" s="124" t="str">
        <f>IF($B199="","",IFERROR(-Z199,"n.b."))</f>
        <v/>
      </c>
      <c r="BT199" s="124" t="str">
        <f>IF($B199="","",IFERROR(-AA199,"n.b."))</f>
        <v/>
      </c>
      <c r="BU199" s="124" t="str">
        <f>IF($B199="","",IFERROR(-AE199,"n.b."))</f>
        <v/>
      </c>
      <c r="BV199" s="124" t="str">
        <f>IF($B199="","",IFERROR(-AF199,"n.b."))</f>
        <v/>
      </c>
      <c r="BW199" s="124" t="str">
        <f>IF($B199="","",IFERROR(-AG199,"n.b."))</f>
        <v/>
      </c>
      <c r="BX199" s="124" t="str">
        <f>IF($B199="","",IFERROR(-AH199,"n.b."))</f>
        <v/>
      </c>
      <c r="BY199" s="124" t="str">
        <f>IF($B199="","",IFERROR(-AI199,"n.b."))</f>
        <v/>
      </c>
      <c r="BZ199" s="124" t="str">
        <f>IF($B199="","",IFERROR(-AJ199,"n.b."))</f>
        <v/>
      </c>
      <c r="CA199" s="124" t="str">
        <f>IF($B199="","",IFERROR(-AK199,"n.b."))</f>
        <v/>
      </c>
      <c r="CB199" s="124" t="str">
        <f>IF($B199="","",IFERROR(-AL199,"n.b."))</f>
        <v/>
      </c>
      <c r="CC199" s="124" t="str">
        <f>IF($B199="","",IFERROR(-AP199,"n.b."))</f>
        <v/>
      </c>
      <c r="CD199" s="124" t="str">
        <f>IF($B199="","",IFERROR(-AQ199,"n.b."))</f>
        <v/>
      </c>
      <c r="CE199" s="124" t="str">
        <f>IF($B199="","",IFERROR(-AR199,"n.b."))</f>
        <v/>
      </c>
      <c r="CF199" s="124" t="str">
        <f>IF($B199="","",IFERROR(-AS199,"n.b."))</f>
        <v/>
      </c>
      <c r="CG199" s="124" t="str">
        <f>IF($B199="","",IFERROR(-AT199,"n.b."))</f>
        <v/>
      </c>
      <c r="CH199" s="124" t="str">
        <f>IF($B199="","",IFERROR(-AU199,"n.b."))</f>
        <v/>
      </c>
      <c r="CI199" s="124" t="str">
        <f>IF($B199="","",IFERROR(-AV199,"n.b."))</f>
        <v/>
      </c>
      <c r="CJ199" s="124" t="str">
        <f>IF($B199="","",IFERROR(-AW199,"n.b."))</f>
        <v/>
      </c>
      <c r="CK199" s="124" t="str">
        <f>IF($B199="","",IFERROR(-AX199,"n.b."))</f>
        <v/>
      </c>
      <c r="CL199" s="124" t="str">
        <f>IF($B199="","",IFERROR(-AY199,"n.b."))</f>
        <v/>
      </c>
      <c r="CM199" s="124" t="str">
        <f>IF($B199="","",IFERROR(-AZ199,"n.b."))</f>
        <v/>
      </c>
      <c r="CN199" s="124" t="str">
        <f>IF($B199="","",IFERROR(-BA199,"n.b."))</f>
        <v/>
      </c>
      <c r="CO199" s="124" t="str">
        <f>IF($B199="","",IFERROR(-BB199,"n.b."))</f>
        <v/>
      </c>
      <c r="CP199" s="124" t="str">
        <f>IF($B199="","",IFERROR(-BC199,"n.b."))</f>
        <v/>
      </c>
      <c r="CQ199" s="124" t="str">
        <f>IF($B199="","",IFERROR(-BD199,"n.b."))</f>
        <v/>
      </c>
      <c r="CR199" s="124" t="str">
        <f>IF($B199="","",IFERROR(-BE199,"n.b."))</f>
        <v/>
      </c>
      <c r="CS199" s="124" t="str">
        <f>IF($B199="","",IFERROR(IF(OR(ABS(T199+V199+X199+Z199-AB199)&gt;P_Tol,ABS(U199+W199+Y199+AA199-AD199)&gt;P_Tol,ABS(AE199+AG199+AI199+AK199-AM199)&gt;P_Tol,ABS(AF199+AH199+AJ199+AL199-AO199)&gt;P_Tol),1,0),1))</f>
        <v/>
      </c>
      <c r="CT199" s="124" t="str">
        <f>IF($B199="","",IFERROR(IF(OR(ABS(AB199+AC199-AD199)&gt;P_Tol,ABS(AM199+AN199-AO199)&gt;P_Tol,ABS(O199+P199-Q199)&gt;P_Tol),1,0),1))</f>
        <v/>
      </c>
      <c r="CU199" s="124" t="str">
        <f>IF($B199="","",IFERROR(IF(ABS(R199-(AB199+AM199+AP199+AR199+AT199+AV199+AX199+AZ199+BB199+BD199))&gt;P_Tol,1,0),1))</f>
        <v/>
      </c>
      <c r="CV199" s="124" t="str">
        <f>IF($B199="","",IFERROR(IF(ABS(M199-(N199+O199+R199))&gt;P_Tol,1,0),1))</f>
        <v/>
      </c>
      <c r="CW199" s="124" t="str">
        <f>IF($B199="","",IF(COUNTIF(Mapping!$A$5:$A$104,B199)&gt;0,1,0))</f>
        <v/>
      </c>
      <c r="CX199" s="124" t="str">
        <f>IF($B199="","",COUNTIF($B$6:$B$505,B199))</f>
        <v/>
      </c>
      <c r="CY199" s="124" t="str">
        <f>IF($B199="","",COUNTIF(STG_Woningetalage!$B$6:$B$505,B199))</f>
        <v/>
      </c>
      <c r="CZ199" s="124" t="str">
        <f>IF($B199="","",IF(CW199=0,COUNTIF($CW$6:CW199,0),""))</f>
        <v/>
      </c>
    </row>
    <row r="200">
      <c r="A200" s="15" t="n">
        <v>196</v>
      </c>
      <c r="B200" t="str">
        <f>IF(B$3=0,"",IF(INDEX(SRC_ZPMW03!$A$1:$ZZ$501,$A200,B$3)&amp;""="","",INDEX(SRC_ZPMW03!$A$1:$ZZ$501,$A200,B$3)&amp;""))</f>
        <v/>
      </c>
      <c r="C200" t="str">
        <f>IF($B200="","",IF(C$3=0,"n.b.",INDEX(SRC_ZPMW03!$A$1:$ZZ$501,$A200,C$3)))</f>
        <v/>
      </c>
      <c r="D200" t="str">
        <f>IF($B200="","",IF(D$3=0,"n.b.",INDEX(SRC_ZPMW03!$A$1:$ZZ$501,$A200,D$3)))</f>
        <v/>
      </c>
      <c r="E200" t="str">
        <f>IF($B200="","",IF(E$3=0,"n.b.",INDEX(SRC_ZPMW03!$A$1:$ZZ$501,$A200,E$3)))</f>
        <v/>
      </c>
      <c r="F200" t="str">
        <f>IF($B200="","",IF(F$3=0,"n.b.",INDEX(SRC_ZPMW03!$A$1:$ZZ$501,$A200,F$3)))</f>
        <v/>
      </c>
      <c r="G200" t="str">
        <f>IF($B200="","",IF(G$3=0,"n.b.",INDEX(SRC_ZPMW03!$A$1:$ZZ$501,$A200,G$3)))</f>
        <v/>
      </c>
      <c r="H200" t="str">
        <f>IF($B200="","",IF(H$3=0,"n.b.",INDEX(SRC_ZPMW03!$A$1:$ZZ$501,$A200,H$3)))</f>
        <v/>
      </c>
      <c r="I200" t="str">
        <f>IF($B200="","",IF(I$3=0,"n.b.",INDEX(SRC_ZPMW03!$A$1:$ZZ$501,$A200,I$3)))</f>
        <v/>
      </c>
      <c r="J200" t="str">
        <f>IF($B200="","",IF(J$3=0,"n.b.",INDEX(SRC_ZPMW03!$A$1:$ZZ$501,$A200,J$3)))</f>
        <v/>
      </c>
      <c r="K200" t="str">
        <f>IF($B200="","",IF(K$3=0,"n.b.",INDEX(SRC_ZPMW03!$A$1:$ZZ$501,$A200,K$3)))</f>
        <v/>
      </c>
      <c r="L200" s="124" t="str">
        <f>IF($B200="","",IF(L$3=0,"n.b.",INDEX(SRC_ZPMW03!$A$1:$ZZ$501,$A200,L$3)))</f>
        <v/>
      </c>
      <c r="M200" s="124" t="str">
        <f>IF($B200="","",IF(M$3=0,"n.b.",INDEX(SRC_ZPMW03!$A$1:$ZZ$501,$A200,M$3)))</f>
        <v/>
      </c>
      <c r="N200" s="124" t="str">
        <f>IF($B200="","",IF(N$3=0,"n.b.",INDEX(SRC_ZPMW03!$A$1:$ZZ$501,$A200,N$3)))</f>
        <v/>
      </c>
      <c r="O200" s="124" t="str">
        <f>IF($B200="","",IF(O$3=0,"n.b.",INDEX(SRC_ZPMW03!$A$1:$ZZ$501,$A200,O$3)))</f>
        <v/>
      </c>
      <c r="P200" s="124" t="str">
        <f>IF($B200="","",IF(P$3=0,"n.b.",INDEX(SRC_ZPMW03!$A$1:$ZZ$501,$A200,P$3)))</f>
        <v/>
      </c>
      <c r="Q200" s="124" t="str">
        <f>IF($B200="","",IF(Q$3=0,"n.b.",INDEX(SRC_ZPMW03!$A$1:$ZZ$501,$A200,Q$3)))</f>
        <v/>
      </c>
      <c r="R200" s="124" t="str">
        <f>IF($B200="","",IF(R$3=0,"n.b.",INDEX(SRC_ZPMW03!$A$1:$ZZ$501,$A200,R$3)))</f>
        <v/>
      </c>
      <c r="S200" s="124" t="str">
        <f>IF($B200="","",IF(S$3=0,"n.b.",INDEX(SRC_ZPMW03!$A$1:$ZZ$501,$A200,S$3)))</f>
        <v/>
      </c>
      <c r="T200" s="124" t="str">
        <f>IF($B200="","",IF(T$3=0,"n.b.",INDEX(SRC_ZPMW03!$A$1:$ZZ$501,$A200,T$3)))</f>
        <v/>
      </c>
      <c r="U200" s="124" t="str">
        <f>IF($B200="","",IF(U$3=0,"n.b.",INDEX(SRC_ZPMW03!$A$1:$ZZ$501,$A200,U$3)))</f>
        <v/>
      </c>
      <c r="V200" s="124" t="str">
        <f>IF($B200="","",IF(V$3=0,"n.b.",INDEX(SRC_ZPMW03!$A$1:$ZZ$501,$A200,V$3)))</f>
        <v/>
      </c>
      <c r="W200" s="124" t="str">
        <f>IF($B200="","",IF(W$3=0,"n.b.",INDEX(SRC_ZPMW03!$A$1:$ZZ$501,$A200,W$3)))</f>
        <v/>
      </c>
      <c r="X200" s="124" t="str">
        <f>IF($B200="","",IF(X$3=0,"n.b.",INDEX(SRC_ZPMW03!$A$1:$ZZ$501,$A200,X$3)))</f>
        <v/>
      </c>
      <c r="Y200" s="124" t="str">
        <f>IF($B200="","",IF(Y$3=0,"n.b.",INDEX(SRC_ZPMW03!$A$1:$ZZ$501,$A200,Y$3)))</f>
        <v/>
      </c>
      <c r="Z200" s="124" t="str">
        <f>IF($B200="","",IF(Z$3=0,"n.b.",INDEX(SRC_ZPMW03!$A$1:$ZZ$501,$A200,Z$3)))</f>
        <v/>
      </c>
      <c r="AA200" s="124" t="str">
        <f>IF($B200="","",IF(AA$3=0,"n.b.",INDEX(SRC_ZPMW03!$A$1:$ZZ$501,$A200,AA$3)))</f>
        <v/>
      </c>
      <c r="AB200" s="124" t="str">
        <f>IF($B200="","",IF(AB$3=0,"n.b.",INDEX(SRC_ZPMW03!$A$1:$ZZ$501,$A200,AB$3)))</f>
        <v/>
      </c>
      <c r="AC200" s="124" t="str">
        <f>IF($B200="","",IF(AC$3=0,"n.b.",INDEX(SRC_ZPMW03!$A$1:$ZZ$501,$A200,AC$3)))</f>
        <v/>
      </c>
      <c r="AD200" s="124" t="str">
        <f>IF($B200="","",IF(AD$3=0,"n.b.",INDEX(SRC_ZPMW03!$A$1:$ZZ$501,$A200,AD$3)))</f>
        <v/>
      </c>
      <c r="AE200" s="124" t="str">
        <f>IF($B200="","",IF(AE$3=0,"n.b.",INDEX(SRC_ZPMW03!$A$1:$ZZ$501,$A200,AE$3)))</f>
        <v/>
      </c>
      <c r="AF200" s="124" t="str">
        <f>IF($B200="","",IF(AF$3=0,"n.b.",INDEX(SRC_ZPMW03!$A$1:$ZZ$501,$A200,AF$3)))</f>
        <v/>
      </c>
      <c r="AG200" s="124" t="str">
        <f>IF($B200="","",IF(AG$3=0,"n.b.",INDEX(SRC_ZPMW03!$A$1:$ZZ$501,$A200,AG$3)))</f>
        <v/>
      </c>
      <c r="AH200" s="124" t="str">
        <f>IF($B200="","",IF(AH$3=0,"n.b.",INDEX(SRC_ZPMW03!$A$1:$ZZ$501,$A200,AH$3)))</f>
        <v/>
      </c>
      <c r="AI200" s="124" t="str">
        <f>IF($B200="","",IF(AI$3=0,"n.b.",INDEX(SRC_ZPMW03!$A$1:$ZZ$501,$A200,AI$3)))</f>
        <v/>
      </c>
      <c r="AJ200" s="124" t="str">
        <f>IF($B200="","",IF(AJ$3=0,"n.b.",INDEX(SRC_ZPMW03!$A$1:$ZZ$501,$A200,AJ$3)))</f>
        <v/>
      </c>
      <c r="AK200" s="124" t="str">
        <f>IF($B200="","",IF(AK$3=0,"n.b.",INDEX(SRC_ZPMW03!$A$1:$ZZ$501,$A200,AK$3)))</f>
        <v/>
      </c>
      <c r="AL200" s="124" t="str">
        <f>IF($B200="","",IF(AL$3=0,"n.b.",INDEX(SRC_ZPMW03!$A$1:$ZZ$501,$A200,AL$3)))</f>
        <v/>
      </c>
      <c r="AM200" s="124" t="str">
        <f>IF($B200="","",IF(AM$3=0,"n.b.",INDEX(SRC_ZPMW03!$A$1:$ZZ$501,$A200,AM$3)))</f>
        <v/>
      </c>
      <c r="AN200" s="124" t="str">
        <f>IF($B200="","",IF(AN$3=0,"n.b.",INDEX(SRC_ZPMW03!$A$1:$ZZ$501,$A200,AN$3)))</f>
        <v/>
      </c>
      <c r="AO200" s="124" t="str">
        <f>IF($B200="","",IF(AO$3=0,"n.b.",INDEX(SRC_ZPMW03!$A$1:$ZZ$501,$A200,AO$3)))</f>
        <v/>
      </c>
      <c r="AP200" s="124" t="str">
        <f>IF($B200="","",IF(AP$3=0,"n.b.",INDEX(SRC_ZPMW03!$A$1:$ZZ$501,$A200,AP$3)))</f>
        <v/>
      </c>
      <c r="AQ200" s="124" t="str">
        <f>IF($B200="","",IF(AQ$3=0,"n.b.",INDEX(SRC_ZPMW03!$A$1:$ZZ$501,$A200,AQ$3)))</f>
        <v/>
      </c>
      <c r="AR200" s="124" t="str">
        <f>IF($B200="","",IF(AR$3=0,"n.b.",INDEX(SRC_ZPMW03!$A$1:$ZZ$501,$A200,AR$3)))</f>
        <v/>
      </c>
      <c r="AS200" s="124" t="str">
        <f>IF($B200="","",IF(AS$3=0,"n.b.",INDEX(SRC_ZPMW03!$A$1:$ZZ$501,$A200,AS$3)))</f>
        <v/>
      </c>
      <c r="AT200" s="124" t="str">
        <f>IF($B200="","",IF(AT$3=0,"n.b.",INDEX(SRC_ZPMW03!$A$1:$ZZ$501,$A200,AT$3)))</f>
        <v/>
      </c>
      <c r="AU200" s="124" t="str">
        <f>IF($B200="","",IF(AU$3=0,"n.b.",INDEX(SRC_ZPMW03!$A$1:$ZZ$501,$A200,AU$3)))</f>
        <v/>
      </c>
      <c r="AV200" s="124" t="str">
        <f>IF($B200="","",IF(AV$3=0,"n.b.",INDEX(SRC_ZPMW03!$A$1:$ZZ$501,$A200,AV$3)))</f>
        <v/>
      </c>
      <c r="AW200" s="124" t="str">
        <f>IF($B200="","",IF(AW$3=0,"n.b.",INDEX(SRC_ZPMW03!$A$1:$ZZ$501,$A200,AW$3)))</f>
        <v/>
      </c>
      <c r="AX200" s="124" t="str">
        <f>IF($B200="","",IF(AX$3=0,"n.b.",INDEX(SRC_ZPMW03!$A$1:$ZZ$501,$A200,AX$3)))</f>
        <v/>
      </c>
      <c r="AY200" s="124" t="str">
        <f>IF($B200="","",IF(AY$3=0,"n.b.",INDEX(SRC_ZPMW03!$A$1:$ZZ$501,$A200,AY$3)))</f>
        <v/>
      </c>
      <c r="AZ200" s="124" t="str">
        <f>IF($B200="","",IF(AZ$3=0,"n.b.",INDEX(SRC_ZPMW03!$A$1:$ZZ$501,$A200,AZ$3)))</f>
        <v/>
      </c>
      <c r="BA200" s="124" t="str">
        <f>IF($B200="","",IF(BA$3=0,"n.b.",INDEX(SRC_ZPMW03!$A$1:$ZZ$501,$A200,BA$3)))</f>
        <v/>
      </c>
      <c r="BB200" s="124" t="str">
        <f>IF($B200="","",IF(BB$3=0,"n.b.",INDEX(SRC_ZPMW03!$A$1:$ZZ$501,$A200,BB$3)))</f>
        <v/>
      </c>
      <c r="BC200" s="124" t="str">
        <f>IF($B200="","",IF(BC$3=0,"n.b.",INDEX(SRC_ZPMW03!$A$1:$ZZ$501,$A200,BC$3)))</f>
        <v/>
      </c>
      <c r="BD200" s="124" t="str">
        <f>IF($B200="","",IF(BD$3=0,"n.b.",INDEX(SRC_ZPMW03!$A$1:$ZZ$501,$A200,BD$3)))</f>
        <v/>
      </c>
      <c r="BE200" s="124" t="str">
        <f>IF($B200="","",IF(BE$3=0,"n.b.",INDEX(SRC_ZPMW03!$A$1:$ZZ$501,$A200,BE$3)))</f>
        <v/>
      </c>
      <c r="BF200" s="124" t="str">
        <f>IF($B200="","",IF(BF$3=0,"n.b.",INDEX(SRC_ZPMW03!$A$1:$ZZ$501,$A200,BF$3)))</f>
        <v/>
      </c>
      <c r="BG200" t="str">
        <f>IF($B200="","",IF(BG$3=0,"n.b.",INDEX(SRC_ZPMW03!$A$1:$ZZ$501,$A200,BG$3)))</f>
        <v/>
      </c>
      <c r="BH200" t="str">
        <f>IF($B200="","",IF(BH$3=0,"n.b.",INDEX(SRC_ZPMW03!$A$1:$ZZ$501,$A200,BH$3)))</f>
        <v/>
      </c>
      <c r="BI200" t="str">
        <f>IF($B200="","",IF(BI$3=0,"n.b.",INDEX(SRC_ZPMW03!$A$1:$ZZ$501,$A200,BI$3)))</f>
        <v/>
      </c>
      <c r="BJ200" t="str">
        <f>IF($B200="","",IF(BJ$3=0,"n.b.",INDEX(SRC_ZPMW03!$A$1:$ZZ$501,$A200,BJ$3)))</f>
        <v/>
      </c>
      <c r="BK200" s="124" t="str">
        <f>IF($B200="","",IFERROR(-O200,"n.b."))</f>
        <v/>
      </c>
      <c r="BL200" s="124" t="str">
        <f>IF($B200="","",IFERROR(-Q200,"n.b."))</f>
        <v/>
      </c>
      <c r="BM200" s="124" t="str">
        <f>IF($B200="","",IFERROR(-AB200,"n.b."))</f>
        <v/>
      </c>
      <c r="BN200" s="124" t="str">
        <f>IF($B200="","",IFERROR(-AD200,"n.b."))</f>
        <v/>
      </c>
      <c r="BO200" s="124" t="str">
        <f>IF($B200="","",IFERROR(BK200+BM200,"n.b."))</f>
        <v/>
      </c>
      <c r="BP200" s="124" t="str">
        <f>IF($B200="","",IFERROR(BL200+BN200,"n.b."))</f>
        <v/>
      </c>
      <c r="BQ200" s="124" t="str">
        <f>IF($B200="","",IFERROR(-AM200,"n.b."))</f>
        <v/>
      </c>
      <c r="BR200" s="124" t="str">
        <f>IF($B200="","",IFERROR(-AO200,"n.b."))</f>
        <v/>
      </c>
      <c r="BS200" s="124" t="str">
        <f>IF($B200="","",IFERROR(-Z200,"n.b."))</f>
        <v/>
      </c>
      <c r="BT200" s="124" t="str">
        <f>IF($B200="","",IFERROR(-AA200,"n.b."))</f>
        <v/>
      </c>
      <c r="BU200" s="124" t="str">
        <f>IF($B200="","",IFERROR(-AE200,"n.b."))</f>
        <v/>
      </c>
      <c r="BV200" s="124" t="str">
        <f>IF($B200="","",IFERROR(-AF200,"n.b."))</f>
        <v/>
      </c>
      <c r="BW200" s="124" t="str">
        <f>IF($B200="","",IFERROR(-AG200,"n.b."))</f>
        <v/>
      </c>
      <c r="BX200" s="124" t="str">
        <f>IF($B200="","",IFERROR(-AH200,"n.b."))</f>
        <v/>
      </c>
      <c r="BY200" s="124" t="str">
        <f>IF($B200="","",IFERROR(-AI200,"n.b."))</f>
        <v/>
      </c>
      <c r="BZ200" s="124" t="str">
        <f>IF($B200="","",IFERROR(-AJ200,"n.b."))</f>
        <v/>
      </c>
      <c r="CA200" s="124" t="str">
        <f>IF($B200="","",IFERROR(-AK200,"n.b."))</f>
        <v/>
      </c>
      <c r="CB200" s="124" t="str">
        <f>IF($B200="","",IFERROR(-AL200,"n.b."))</f>
        <v/>
      </c>
      <c r="CC200" s="124" t="str">
        <f>IF($B200="","",IFERROR(-AP200,"n.b."))</f>
        <v/>
      </c>
      <c r="CD200" s="124" t="str">
        <f>IF($B200="","",IFERROR(-AQ200,"n.b."))</f>
        <v/>
      </c>
      <c r="CE200" s="124" t="str">
        <f>IF($B200="","",IFERROR(-AR200,"n.b."))</f>
        <v/>
      </c>
      <c r="CF200" s="124" t="str">
        <f>IF($B200="","",IFERROR(-AS200,"n.b."))</f>
        <v/>
      </c>
      <c r="CG200" s="124" t="str">
        <f>IF($B200="","",IFERROR(-AT200,"n.b."))</f>
        <v/>
      </c>
      <c r="CH200" s="124" t="str">
        <f>IF($B200="","",IFERROR(-AU200,"n.b."))</f>
        <v/>
      </c>
      <c r="CI200" s="124" t="str">
        <f>IF($B200="","",IFERROR(-AV200,"n.b."))</f>
        <v/>
      </c>
      <c r="CJ200" s="124" t="str">
        <f>IF($B200="","",IFERROR(-AW200,"n.b."))</f>
        <v/>
      </c>
      <c r="CK200" s="124" t="str">
        <f>IF($B200="","",IFERROR(-AX200,"n.b."))</f>
        <v/>
      </c>
      <c r="CL200" s="124" t="str">
        <f>IF($B200="","",IFERROR(-AY200,"n.b."))</f>
        <v/>
      </c>
      <c r="CM200" s="124" t="str">
        <f>IF($B200="","",IFERROR(-AZ200,"n.b."))</f>
        <v/>
      </c>
      <c r="CN200" s="124" t="str">
        <f>IF($B200="","",IFERROR(-BA200,"n.b."))</f>
        <v/>
      </c>
      <c r="CO200" s="124" t="str">
        <f>IF($B200="","",IFERROR(-BB200,"n.b."))</f>
        <v/>
      </c>
      <c r="CP200" s="124" t="str">
        <f>IF($B200="","",IFERROR(-BC200,"n.b."))</f>
        <v/>
      </c>
      <c r="CQ200" s="124" t="str">
        <f>IF($B200="","",IFERROR(-BD200,"n.b."))</f>
        <v/>
      </c>
      <c r="CR200" s="124" t="str">
        <f>IF($B200="","",IFERROR(-BE200,"n.b."))</f>
        <v/>
      </c>
      <c r="CS200" s="124" t="str">
        <f>IF($B200="","",IFERROR(IF(OR(ABS(T200+V200+X200+Z200-AB200)&gt;P_Tol,ABS(U200+W200+Y200+AA200-AD200)&gt;P_Tol,ABS(AE200+AG200+AI200+AK200-AM200)&gt;P_Tol,ABS(AF200+AH200+AJ200+AL200-AO200)&gt;P_Tol),1,0),1))</f>
        <v/>
      </c>
      <c r="CT200" s="124" t="str">
        <f>IF($B200="","",IFERROR(IF(OR(ABS(AB200+AC200-AD200)&gt;P_Tol,ABS(AM200+AN200-AO200)&gt;P_Tol,ABS(O200+P200-Q200)&gt;P_Tol),1,0),1))</f>
        <v/>
      </c>
      <c r="CU200" s="124" t="str">
        <f>IF($B200="","",IFERROR(IF(ABS(R200-(AB200+AM200+AP200+AR200+AT200+AV200+AX200+AZ200+BB200+BD200))&gt;P_Tol,1,0),1))</f>
        <v/>
      </c>
      <c r="CV200" s="124" t="str">
        <f>IF($B200="","",IFERROR(IF(ABS(M200-(N200+O200+R200))&gt;P_Tol,1,0),1))</f>
        <v/>
      </c>
      <c r="CW200" s="124" t="str">
        <f>IF($B200="","",IF(COUNTIF(Mapping!$A$5:$A$104,B200)&gt;0,1,0))</f>
        <v/>
      </c>
      <c r="CX200" s="124" t="str">
        <f>IF($B200="","",COUNTIF($B$6:$B$505,B200))</f>
        <v/>
      </c>
      <c r="CY200" s="124" t="str">
        <f>IF($B200="","",COUNTIF(STG_Woningetalage!$B$6:$B$505,B200))</f>
        <v/>
      </c>
      <c r="CZ200" s="124" t="str">
        <f>IF($B200="","",IF(CW200=0,COUNTIF($CW$6:CW200,0),""))</f>
        <v/>
      </c>
    </row>
    <row r="201">
      <c r="A201" s="15" t="n">
        <v>197</v>
      </c>
      <c r="B201" t="str">
        <f>IF(B$3=0,"",IF(INDEX(SRC_ZPMW03!$A$1:$ZZ$501,$A201,B$3)&amp;""="","",INDEX(SRC_ZPMW03!$A$1:$ZZ$501,$A201,B$3)&amp;""))</f>
        <v/>
      </c>
      <c r="C201" t="str">
        <f>IF($B201="","",IF(C$3=0,"n.b.",INDEX(SRC_ZPMW03!$A$1:$ZZ$501,$A201,C$3)))</f>
        <v/>
      </c>
      <c r="D201" t="str">
        <f>IF($B201="","",IF(D$3=0,"n.b.",INDEX(SRC_ZPMW03!$A$1:$ZZ$501,$A201,D$3)))</f>
        <v/>
      </c>
      <c r="E201" t="str">
        <f>IF($B201="","",IF(E$3=0,"n.b.",INDEX(SRC_ZPMW03!$A$1:$ZZ$501,$A201,E$3)))</f>
        <v/>
      </c>
      <c r="F201" t="str">
        <f>IF($B201="","",IF(F$3=0,"n.b.",INDEX(SRC_ZPMW03!$A$1:$ZZ$501,$A201,F$3)))</f>
        <v/>
      </c>
      <c r="G201" t="str">
        <f>IF($B201="","",IF(G$3=0,"n.b.",INDEX(SRC_ZPMW03!$A$1:$ZZ$501,$A201,G$3)))</f>
        <v/>
      </c>
      <c r="H201" t="str">
        <f>IF($B201="","",IF(H$3=0,"n.b.",INDEX(SRC_ZPMW03!$A$1:$ZZ$501,$A201,H$3)))</f>
        <v/>
      </c>
      <c r="I201" t="str">
        <f>IF($B201="","",IF(I$3=0,"n.b.",INDEX(SRC_ZPMW03!$A$1:$ZZ$501,$A201,I$3)))</f>
        <v/>
      </c>
      <c r="J201" t="str">
        <f>IF($B201="","",IF(J$3=0,"n.b.",INDEX(SRC_ZPMW03!$A$1:$ZZ$501,$A201,J$3)))</f>
        <v/>
      </c>
      <c r="K201" t="str">
        <f>IF($B201="","",IF(K$3=0,"n.b.",INDEX(SRC_ZPMW03!$A$1:$ZZ$501,$A201,K$3)))</f>
        <v/>
      </c>
      <c r="L201" s="124" t="str">
        <f>IF($B201="","",IF(L$3=0,"n.b.",INDEX(SRC_ZPMW03!$A$1:$ZZ$501,$A201,L$3)))</f>
        <v/>
      </c>
      <c r="M201" s="124" t="str">
        <f>IF($B201="","",IF(M$3=0,"n.b.",INDEX(SRC_ZPMW03!$A$1:$ZZ$501,$A201,M$3)))</f>
        <v/>
      </c>
      <c r="N201" s="124" t="str">
        <f>IF($B201="","",IF(N$3=0,"n.b.",INDEX(SRC_ZPMW03!$A$1:$ZZ$501,$A201,N$3)))</f>
        <v/>
      </c>
      <c r="O201" s="124" t="str">
        <f>IF($B201="","",IF(O$3=0,"n.b.",INDEX(SRC_ZPMW03!$A$1:$ZZ$501,$A201,O$3)))</f>
        <v/>
      </c>
      <c r="P201" s="124" t="str">
        <f>IF($B201="","",IF(P$3=0,"n.b.",INDEX(SRC_ZPMW03!$A$1:$ZZ$501,$A201,P$3)))</f>
        <v/>
      </c>
      <c r="Q201" s="124" t="str">
        <f>IF($B201="","",IF(Q$3=0,"n.b.",INDEX(SRC_ZPMW03!$A$1:$ZZ$501,$A201,Q$3)))</f>
        <v/>
      </c>
      <c r="R201" s="124" t="str">
        <f>IF($B201="","",IF(R$3=0,"n.b.",INDEX(SRC_ZPMW03!$A$1:$ZZ$501,$A201,R$3)))</f>
        <v/>
      </c>
      <c r="S201" s="124" t="str">
        <f>IF($B201="","",IF(S$3=0,"n.b.",INDEX(SRC_ZPMW03!$A$1:$ZZ$501,$A201,S$3)))</f>
        <v/>
      </c>
      <c r="T201" s="124" t="str">
        <f>IF($B201="","",IF(T$3=0,"n.b.",INDEX(SRC_ZPMW03!$A$1:$ZZ$501,$A201,T$3)))</f>
        <v/>
      </c>
      <c r="U201" s="124" t="str">
        <f>IF($B201="","",IF(U$3=0,"n.b.",INDEX(SRC_ZPMW03!$A$1:$ZZ$501,$A201,U$3)))</f>
        <v/>
      </c>
      <c r="V201" s="124" t="str">
        <f>IF($B201="","",IF(V$3=0,"n.b.",INDEX(SRC_ZPMW03!$A$1:$ZZ$501,$A201,V$3)))</f>
        <v/>
      </c>
      <c r="W201" s="124" t="str">
        <f>IF($B201="","",IF(W$3=0,"n.b.",INDEX(SRC_ZPMW03!$A$1:$ZZ$501,$A201,W$3)))</f>
        <v/>
      </c>
      <c r="X201" s="124" t="str">
        <f>IF($B201="","",IF(X$3=0,"n.b.",INDEX(SRC_ZPMW03!$A$1:$ZZ$501,$A201,X$3)))</f>
        <v/>
      </c>
      <c r="Y201" s="124" t="str">
        <f>IF($B201="","",IF(Y$3=0,"n.b.",INDEX(SRC_ZPMW03!$A$1:$ZZ$501,$A201,Y$3)))</f>
        <v/>
      </c>
      <c r="Z201" s="124" t="str">
        <f>IF($B201="","",IF(Z$3=0,"n.b.",INDEX(SRC_ZPMW03!$A$1:$ZZ$501,$A201,Z$3)))</f>
        <v/>
      </c>
      <c r="AA201" s="124" t="str">
        <f>IF($B201="","",IF(AA$3=0,"n.b.",INDEX(SRC_ZPMW03!$A$1:$ZZ$501,$A201,AA$3)))</f>
        <v/>
      </c>
      <c r="AB201" s="124" t="str">
        <f>IF($B201="","",IF(AB$3=0,"n.b.",INDEX(SRC_ZPMW03!$A$1:$ZZ$501,$A201,AB$3)))</f>
        <v/>
      </c>
      <c r="AC201" s="124" t="str">
        <f>IF($B201="","",IF(AC$3=0,"n.b.",INDEX(SRC_ZPMW03!$A$1:$ZZ$501,$A201,AC$3)))</f>
        <v/>
      </c>
      <c r="AD201" s="124" t="str">
        <f>IF($B201="","",IF(AD$3=0,"n.b.",INDEX(SRC_ZPMW03!$A$1:$ZZ$501,$A201,AD$3)))</f>
        <v/>
      </c>
      <c r="AE201" s="124" t="str">
        <f>IF($B201="","",IF(AE$3=0,"n.b.",INDEX(SRC_ZPMW03!$A$1:$ZZ$501,$A201,AE$3)))</f>
        <v/>
      </c>
      <c r="AF201" s="124" t="str">
        <f>IF($B201="","",IF(AF$3=0,"n.b.",INDEX(SRC_ZPMW03!$A$1:$ZZ$501,$A201,AF$3)))</f>
        <v/>
      </c>
      <c r="AG201" s="124" t="str">
        <f>IF($B201="","",IF(AG$3=0,"n.b.",INDEX(SRC_ZPMW03!$A$1:$ZZ$501,$A201,AG$3)))</f>
        <v/>
      </c>
      <c r="AH201" s="124" t="str">
        <f>IF($B201="","",IF(AH$3=0,"n.b.",INDEX(SRC_ZPMW03!$A$1:$ZZ$501,$A201,AH$3)))</f>
        <v/>
      </c>
      <c r="AI201" s="124" t="str">
        <f>IF($B201="","",IF(AI$3=0,"n.b.",INDEX(SRC_ZPMW03!$A$1:$ZZ$501,$A201,AI$3)))</f>
        <v/>
      </c>
      <c r="AJ201" s="124" t="str">
        <f>IF($B201="","",IF(AJ$3=0,"n.b.",INDEX(SRC_ZPMW03!$A$1:$ZZ$501,$A201,AJ$3)))</f>
        <v/>
      </c>
      <c r="AK201" s="124" t="str">
        <f>IF($B201="","",IF(AK$3=0,"n.b.",INDEX(SRC_ZPMW03!$A$1:$ZZ$501,$A201,AK$3)))</f>
        <v/>
      </c>
      <c r="AL201" s="124" t="str">
        <f>IF($B201="","",IF(AL$3=0,"n.b.",INDEX(SRC_ZPMW03!$A$1:$ZZ$501,$A201,AL$3)))</f>
        <v/>
      </c>
      <c r="AM201" s="124" t="str">
        <f>IF($B201="","",IF(AM$3=0,"n.b.",INDEX(SRC_ZPMW03!$A$1:$ZZ$501,$A201,AM$3)))</f>
        <v/>
      </c>
      <c r="AN201" s="124" t="str">
        <f>IF($B201="","",IF(AN$3=0,"n.b.",INDEX(SRC_ZPMW03!$A$1:$ZZ$501,$A201,AN$3)))</f>
        <v/>
      </c>
      <c r="AO201" s="124" t="str">
        <f>IF($B201="","",IF(AO$3=0,"n.b.",INDEX(SRC_ZPMW03!$A$1:$ZZ$501,$A201,AO$3)))</f>
        <v/>
      </c>
      <c r="AP201" s="124" t="str">
        <f>IF($B201="","",IF(AP$3=0,"n.b.",INDEX(SRC_ZPMW03!$A$1:$ZZ$501,$A201,AP$3)))</f>
        <v/>
      </c>
      <c r="AQ201" s="124" t="str">
        <f>IF($B201="","",IF(AQ$3=0,"n.b.",INDEX(SRC_ZPMW03!$A$1:$ZZ$501,$A201,AQ$3)))</f>
        <v/>
      </c>
      <c r="AR201" s="124" t="str">
        <f>IF($B201="","",IF(AR$3=0,"n.b.",INDEX(SRC_ZPMW03!$A$1:$ZZ$501,$A201,AR$3)))</f>
        <v/>
      </c>
      <c r="AS201" s="124" t="str">
        <f>IF($B201="","",IF(AS$3=0,"n.b.",INDEX(SRC_ZPMW03!$A$1:$ZZ$501,$A201,AS$3)))</f>
        <v/>
      </c>
      <c r="AT201" s="124" t="str">
        <f>IF($B201="","",IF(AT$3=0,"n.b.",INDEX(SRC_ZPMW03!$A$1:$ZZ$501,$A201,AT$3)))</f>
        <v/>
      </c>
      <c r="AU201" s="124" t="str">
        <f>IF($B201="","",IF(AU$3=0,"n.b.",INDEX(SRC_ZPMW03!$A$1:$ZZ$501,$A201,AU$3)))</f>
        <v/>
      </c>
      <c r="AV201" s="124" t="str">
        <f>IF($B201="","",IF(AV$3=0,"n.b.",INDEX(SRC_ZPMW03!$A$1:$ZZ$501,$A201,AV$3)))</f>
        <v/>
      </c>
      <c r="AW201" s="124" t="str">
        <f>IF($B201="","",IF(AW$3=0,"n.b.",INDEX(SRC_ZPMW03!$A$1:$ZZ$501,$A201,AW$3)))</f>
        <v/>
      </c>
      <c r="AX201" s="124" t="str">
        <f>IF($B201="","",IF(AX$3=0,"n.b.",INDEX(SRC_ZPMW03!$A$1:$ZZ$501,$A201,AX$3)))</f>
        <v/>
      </c>
      <c r="AY201" s="124" t="str">
        <f>IF($B201="","",IF(AY$3=0,"n.b.",INDEX(SRC_ZPMW03!$A$1:$ZZ$501,$A201,AY$3)))</f>
        <v/>
      </c>
      <c r="AZ201" s="124" t="str">
        <f>IF($B201="","",IF(AZ$3=0,"n.b.",INDEX(SRC_ZPMW03!$A$1:$ZZ$501,$A201,AZ$3)))</f>
        <v/>
      </c>
      <c r="BA201" s="124" t="str">
        <f>IF($B201="","",IF(BA$3=0,"n.b.",INDEX(SRC_ZPMW03!$A$1:$ZZ$501,$A201,BA$3)))</f>
        <v/>
      </c>
      <c r="BB201" s="124" t="str">
        <f>IF($B201="","",IF(BB$3=0,"n.b.",INDEX(SRC_ZPMW03!$A$1:$ZZ$501,$A201,BB$3)))</f>
        <v/>
      </c>
      <c r="BC201" s="124" t="str">
        <f>IF($B201="","",IF(BC$3=0,"n.b.",INDEX(SRC_ZPMW03!$A$1:$ZZ$501,$A201,BC$3)))</f>
        <v/>
      </c>
      <c r="BD201" s="124" t="str">
        <f>IF($B201="","",IF(BD$3=0,"n.b.",INDEX(SRC_ZPMW03!$A$1:$ZZ$501,$A201,BD$3)))</f>
        <v/>
      </c>
      <c r="BE201" s="124" t="str">
        <f>IF($B201="","",IF(BE$3=0,"n.b.",INDEX(SRC_ZPMW03!$A$1:$ZZ$501,$A201,BE$3)))</f>
        <v/>
      </c>
      <c r="BF201" s="124" t="str">
        <f>IF($B201="","",IF(BF$3=0,"n.b.",INDEX(SRC_ZPMW03!$A$1:$ZZ$501,$A201,BF$3)))</f>
        <v/>
      </c>
      <c r="BG201" t="str">
        <f>IF($B201="","",IF(BG$3=0,"n.b.",INDEX(SRC_ZPMW03!$A$1:$ZZ$501,$A201,BG$3)))</f>
        <v/>
      </c>
      <c r="BH201" t="str">
        <f>IF($B201="","",IF(BH$3=0,"n.b.",INDEX(SRC_ZPMW03!$A$1:$ZZ$501,$A201,BH$3)))</f>
        <v/>
      </c>
      <c r="BI201" t="str">
        <f>IF($B201="","",IF(BI$3=0,"n.b.",INDEX(SRC_ZPMW03!$A$1:$ZZ$501,$A201,BI$3)))</f>
        <v/>
      </c>
      <c r="BJ201" t="str">
        <f>IF($B201="","",IF(BJ$3=0,"n.b.",INDEX(SRC_ZPMW03!$A$1:$ZZ$501,$A201,BJ$3)))</f>
        <v/>
      </c>
      <c r="BK201" s="124" t="str">
        <f>IF($B201="","",IFERROR(-O201,"n.b."))</f>
        <v/>
      </c>
      <c r="BL201" s="124" t="str">
        <f>IF($B201="","",IFERROR(-Q201,"n.b."))</f>
        <v/>
      </c>
      <c r="BM201" s="124" t="str">
        <f>IF($B201="","",IFERROR(-AB201,"n.b."))</f>
        <v/>
      </c>
      <c r="BN201" s="124" t="str">
        <f>IF($B201="","",IFERROR(-AD201,"n.b."))</f>
        <v/>
      </c>
      <c r="BO201" s="124" t="str">
        <f>IF($B201="","",IFERROR(BK201+BM201,"n.b."))</f>
        <v/>
      </c>
      <c r="BP201" s="124" t="str">
        <f>IF($B201="","",IFERROR(BL201+BN201,"n.b."))</f>
        <v/>
      </c>
      <c r="BQ201" s="124" t="str">
        <f>IF($B201="","",IFERROR(-AM201,"n.b."))</f>
        <v/>
      </c>
      <c r="BR201" s="124" t="str">
        <f>IF($B201="","",IFERROR(-AO201,"n.b."))</f>
        <v/>
      </c>
      <c r="BS201" s="124" t="str">
        <f>IF($B201="","",IFERROR(-Z201,"n.b."))</f>
        <v/>
      </c>
      <c r="BT201" s="124" t="str">
        <f>IF($B201="","",IFERROR(-AA201,"n.b."))</f>
        <v/>
      </c>
      <c r="BU201" s="124" t="str">
        <f>IF($B201="","",IFERROR(-AE201,"n.b."))</f>
        <v/>
      </c>
      <c r="BV201" s="124" t="str">
        <f>IF($B201="","",IFERROR(-AF201,"n.b."))</f>
        <v/>
      </c>
      <c r="BW201" s="124" t="str">
        <f>IF($B201="","",IFERROR(-AG201,"n.b."))</f>
        <v/>
      </c>
      <c r="BX201" s="124" t="str">
        <f>IF($B201="","",IFERROR(-AH201,"n.b."))</f>
        <v/>
      </c>
      <c r="BY201" s="124" t="str">
        <f>IF($B201="","",IFERROR(-AI201,"n.b."))</f>
        <v/>
      </c>
      <c r="BZ201" s="124" t="str">
        <f>IF($B201="","",IFERROR(-AJ201,"n.b."))</f>
        <v/>
      </c>
      <c r="CA201" s="124" t="str">
        <f>IF($B201="","",IFERROR(-AK201,"n.b."))</f>
        <v/>
      </c>
      <c r="CB201" s="124" t="str">
        <f>IF($B201="","",IFERROR(-AL201,"n.b."))</f>
        <v/>
      </c>
      <c r="CC201" s="124" t="str">
        <f>IF($B201="","",IFERROR(-AP201,"n.b."))</f>
        <v/>
      </c>
      <c r="CD201" s="124" t="str">
        <f>IF($B201="","",IFERROR(-AQ201,"n.b."))</f>
        <v/>
      </c>
      <c r="CE201" s="124" t="str">
        <f>IF($B201="","",IFERROR(-AR201,"n.b."))</f>
        <v/>
      </c>
      <c r="CF201" s="124" t="str">
        <f>IF($B201="","",IFERROR(-AS201,"n.b."))</f>
        <v/>
      </c>
      <c r="CG201" s="124" t="str">
        <f>IF($B201="","",IFERROR(-AT201,"n.b."))</f>
        <v/>
      </c>
      <c r="CH201" s="124" t="str">
        <f>IF($B201="","",IFERROR(-AU201,"n.b."))</f>
        <v/>
      </c>
      <c r="CI201" s="124" t="str">
        <f>IF($B201="","",IFERROR(-AV201,"n.b."))</f>
        <v/>
      </c>
      <c r="CJ201" s="124" t="str">
        <f>IF($B201="","",IFERROR(-AW201,"n.b."))</f>
        <v/>
      </c>
      <c r="CK201" s="124" t="str">
        <f>IF($B201="","",IFERROR(-AX201,"n.b."))</f>
        <v/>
      </c>
      <c r="CL201" s="124" t="str">
        <f>IF($B201="","",IFERROR(-AY201,"n.b."))</f>
        <v/>
      </c>
      <c r="CM201" s="124" t="str">
        <f>IF($B201="","",IFERROR(-AZ201,"n.b."))</f>
        <v/>
      </c>
      <c r="CN201" s="124" t="str">
        <f>IF($B201="","",IFERROR(-BA201,"n.b."))</f>
        <v/>
      </c>
      <c r="CO201" s="124" t="str">
        <f>IF($B201="","",IFERROR(-BB201,"n.b."))</f>
        <v/>
      </c>
      <c r="CP201" s="124" t="str">
        <f>IF($B201="","",IFERROR(-BC201,"n.b."))</f>
        <v/>
      </c>
      <c r="CQ201" s="124" t="str">
        <f>IF($B201="","",IFERROR(-BD201,"n.b."))</f>
        <v/>
      </c>
      <c r="CR201" s="124" t="str">
        <f>IF($B201="","",IFERROR(-BE201,"n.b."))</f>
        <v/>
      </c>
      <c r="CS201" s="124" t="str">
        <f>IF($B201="","",IFERROR(IF(OR(ABS(T201+V201+X201+Z201-AB201)&gt;P_Tol,ABS(U201+W201+Y201+AA201-AD201)&gt;P_Tol,ABS(AE201+AG201+AI201+AK201-AM201)&gt;P_Tol,ABS(AF201+AH201+AJ201+AL201-AO201)&gt;P_Tol),1,0),1))</f>
        <v/>
      </c>
      <c r="CT201" s="124" t="str">
        <f>IF($B201="","",IFERROR(IF(OR(ABS(AB201+AC201-AD201)&gt;P_Tol,ABS(AM201+AN201-AO201)&gt;P_Tol,ABS(O201+P201-Q201)&gt;P_Tol),1,0),1))</f>
        <v/>
      </c>
      <c r="CU201" s="124" t="str">
        <f>IF($B201="","",IFERROR(IF(ABS(R201-(AB201+AM201+AP201+AR201+AT201+AV201+AX201+AZ201+BB201+BD201))&gt;P_Tol,1,0),1))</f>
        <v/>
      </c>
      <c r="CV201" s="124" t="str">
        <f>IF($B201="","",IFERROR(IF(ABS(M201-(N201+O201+R201))&gt;P_Tol,1,0),1))</f>
        <v/>
      </c>
      <c r="CW201" s="124" t="str">
        <f>IF($B201="","",IF(COUNTIF(Mapping!$A$5:$A$104,B201)&gt;0,1,0))</f>
        <v/>
      </c>
      <c r="CX201" s="124" t="str">
        <f>IF($B201="","",COUNTIF($B$6:$B$505,B201))</f>
        <v/>
      </c>
      <c r="CY201" s="124" t="str">
        <f>IF($B201="","",COUNTIF(STG_Woningetalage!$B$6:$B$505,B201))</f>
        <v/>
      </c>
      <c r="CZ201" s="124" t="str">
        <f>IF($B201="","",IF(CW201=0,COUNTIF($CW$6:CW201,0),""))</f>
        <v/>
      </c>
    </row>
    <row r="202">
      <c r="A202" s="15" t="n">
        <v>198</v>
      </c>
      <c r="B202" t="str">
        <f>IF(B$3=0,"",IF(INDEX(SRC_ZPMW03!$A$1:$ZZ$501,$A202,B$3)&amp;""="","",INDEX(SRC_ZPMW03!$A$1:$ZZ$501,$A202,B$3)&amp;""))</f>
        <v/>
      </c>
      <c r="C202" t="str">
        <f>IF($B202="","",IF(C$3=0,"n.b.",INDEX(SRC_ZPMW03!$A$1:$ZZ$501,$A202,C$3)))</f>
        <v/>
      </c>
      <c r="D202" t="str">
        <f>IF($B202="","",IF(D$3=0,"n.b.",INDEX(SRC_ZPMW03!$A$1:$ZZ$501,$A202,D$3)))</f>
        <v/>
      </c>
      <c r="E202" t="str">
        <f>IF($B202="","",IF(E$3=0,"n.b.",INDEX(SRC_ZPMW03!$A$1:$ZZ$501,$A202,E$3)))</f>
        <v/>
      </c>
      <c r="F202" t="str">
        <f>IF($B202="","",IF(F$3=0,"n.b.",INDEX(SRC_ZPMW03!$A$1:$ZZ$501,$A202,F$3)))</f>
        <v/>
      </c>
      <c r="G202" t="str">
        <f>IF($B202="","",IF(G$3=0,"n.b.",INDEX(SRC_ZPMW03!$A$1:$ZZ$501,$A202,G$3)))</f>
        <v/>
      </c>
      <c r="H202" t="str">
        <f>IF($B202="","",IF(H$3=0,"n.b.",INDEX(SRC_ZPMW03!$A$1:$ZZ$501,$A202,H$3)))</f>
        <v/>
      </c>
      <c r="I202" t="str">
        <f>IF($B202="","",IF(I$3=0,"n.b.",INDEX(SRC_ZPMW03!$A$1:$ZZ$501,$A202,I$3)))</f>
        <v/>
      </c>
      <c r="J202" t="str">
        <f>IF($B202="","",IF(J$3=0,"n.b.",INDEX(SRC_ZPMW03!$A$1:$ZZ$501,$A202,J$3)))</f>
        <v/>
      </c>
      <c r="K202" t="str">
        <f>IF($B202="","",IF(K$3=0,"n.b.",INDEX(SRC_ZPMW03!$A$1:$ZZ$501,$A202,K$3)))</f>
        <v/>
      </c>
      <c r="L202" s="124" t="str">
        <f>IF($B202="","",IF(L$3=0,"n.b.",INDEX(SRC_ZPMW03!$A$1:$ZZ$501,$A202,L$3)))</f>
        <v/>
      </c>
      <c r="M202" s="124" t="str">
        <f>IF($B202="","",IF(M$3=0,"n.b.",INDEX(SRC_ZPMW03!$A$1:$ZZ$501,$A202,M$3)))</f>
        <v/>
      </c>
      <c r="N202" s="124" t="str">
        <f>IF($B202="","",IF(N$3=0,"n.b.",INDEX(SRC_ZPMW03!$A$1:$ZZ$501,$A202,N$3)))</f>
        <v/>
      </c>
      <c r="O202" s="124" t="str">
        <f>IF($B202="","",IF(O$3=0,"n.b.",INDEX(SRC_ZPMW03!$A$1:$ZZ$501,$A202,O$3)))</f>
        <v/>
      </c>
      <c r="P202" s="124" t="str">
        <f>IF($B202="","",IF(P$3=0,"n.b.",INDEX(SRC_ZPMW03!$A$1:$ZZ$501,$A202,P$3)))</f>
        <v/>
      </c>
      <c r="Q202" s="124" t="str">
        <f>IF($B202="","",IF(Q$3=0,"n.b.",INDEX(SRC_ZPMW03!$A$1:$ZZ$501,$A202,Q$3)))</f>
        <v/>
      </c>
      <c r="R202" s="124" t="str">
        <f>IF($B202="","",IF(R$3=0,"n.b.",INDEX(SRC_ZPMW03!$A$1:$ZZ$501,$A202,R$3)))</f>
        <v/>
      </c>
      <c r="S202" s="124" t="str">
        <f>IF($B202="","",IF(S$3=0,"n.b.",INDEX(SRC_ZPMW03!$A$1:$ZZ$501,$A202,S$3)))</f>
        <v/>
      </c>
      <c r="T202" s="124" t="str">
        <f>IF($B202="","",IF(T$3=0,"n.b.",INDEX(SRC_ZPMW03!$A$1:$ZZ$501,$A202,T$3)))</f>
        <v/>
      </c>
      <c r="U202" s="124" t="str">
        <f>IF($B202="","",IF(U$3=0,"n.b.",INDEX(SRC_ZPMW03!$A$1:$ZZ$501,$A202,U$3)))</f>
        <v/>
      </c>
      <c r="V202" s="124" t="str">
        <f>IF($B202="","",IF(V$3=0,"n.b.",INDEX(SRC_ZPMW03!$A$1:$ZZ$501,$A202,V$3)))</f>
        <v/>
      </c>
      <c r="W202" s="124" t="str">
        <f>IF($B202="","",IF(W$3=0,"n.b.",INDEX(SRC_ZPMW03!$A$1:$ZZ$501,$A202,W$3)))</f>
        <v/>
      </c>
      <c r="X202" s="124" t="str">
        <f>IF($B202="","",IF(X$3=0,"n.b.",INDEX(SRC_ZPMW03!$A$1:$ZZ$501,$A202,X$3)))</f>
        <v/>
      </c>
      <c r="Y202" s="124" t="str">
        <f>IF($B202="","",IF(Y$3=0,"n.b.",INDEX(SRC_ZPMW03!$A$1:$ZZ$501,$A202,Y$3)))</f>
        <v/>
      </c>
      <c r="Z202" s="124" t="str">
        <f>IF($B202="","",IF(Z$3=0,"n.b.",INDEX(SRC_ZPMW03!$A$1:$ZZ$501,$A202,Z$3)))</f>
        <v/>
      </c>
      <c r="AA202" s="124" t="str">
        <f>IF($B202="","",IF(AA$3=0,"n.b.",INDEX(SRC_ZPMW03!$A$1:$ZZ$501,$A202,AA$3)))</f>
        <v/>
      </c>
      <c r="AB202" s="124" t="str">
        <f>IF($B202="","",IF(AB$3=0,"n.b.",INDEX(SRC_ZPMW03!$A$1:$ZZ$501,$A202,AB$3)))</f>
        <v/>
      </c>
      <c r="AC202" s="124" t="str">
        <f>IF($B202="","",IF(AC$3=0,"n.b.",INDEX(SRC_ZPMW03!$A$1:$ZZ$501,$A202,AC$3)))</f>
        <v/>
      </c>
      <c r="AD202" s="124" t="str">
        <f>IF($B202="","",IF(AD$3=0,"n.b.",INDEX(SRC_ZPMW03!$A$1:$ZZ$501,$A202,AD$3)))</f>
        <v/>
      </c>
      <c r="AE202" s="124" t="str">
        <f>IF($B202="","",IF(AE$3=0,"n.b.",INDEX(SRC_ZPMW03!$A$1:$ZZ$501,$A202,AE$3)))</f>
        <v/>
      </c>
      <c r="AF202" s="124" t="str">
        <f>IF($B202="","",IF(AF$3=0,"n.b.",INDEX(SRC_ZPMW03!$A$1:$ZZ$501,$A202,AF$3)))</f>
        <v/>
      </c>
      <c r="AG202" s="124" t="str">
        <f>IF($B202="","",IF(AG$3=0,"n.b.",INDEX(SRC_ZPMW03!$A$1:$ZZ$501,$A202,AG$3)))</f>
        <v/>
      </c>
      <c r="AH202" s="124" t="str">
        <f>IF($B202="","",IF(AH$3=0,"n.b.",INDEX(SRC_ZPMW03!$A$1:$ZZ$501,$A202,AH$3)))</f>
        <v/>
      </c>
      <c r="AI202" s="124" t="str">
        <f>IF($B202="","",IF(AI$3=0,"n.b.",INDEX(SRC_ZPMW03!$A$1:$ZZ$501,$A202,AI$3)))</f>
        <v/>
      </c>
      <c r="AJ202" s="124" t="str">
        <f>IF($B202="","",IF(AJ$3=0,"n.b.",INDEX(SRC_ZPMW03!$A$1:$ZZ$501,$A202,AJ$3)))</f>
        <v/>
      </c>
      <c r="AK202" s="124" t="str">
        <f>IF($B202="","",IF(AK$3=0,"n.b.",INDEX(SRC_ZPMW03!$A$1:$ZZ$501,$A202,AK$3)))</f>
        <v/>
      </c>
      <c r="AL202" s="124" t="str">
        <f>IF($B202="","",IF(AL$3=0,"n.b.",INDEX(SRC_ZPMW03!$A$1:$ZZ$501,$A202,AL$3)))</f>
        <v/>
      </c>
      <c r="AM202" s="124" t="str">
        <f>IF($B202="","",IF(AM$3=0,"n.b.",INDEX(SRC_ZPMW03!$A$1:$ZZ$501,$A202,AM$3)))</f>
        <v/>
      </c>
      <c r="AN202" s="124" t="str">
        <f>IF($B202="","",IF(AN$3=0,"n.b.",INDEX(SRC_ZPMW03!$A$1:$ZZ$501,$A202,AN$3)))</f>
        <v/>
      </c>
      <c r="AO202" s="124" t="str">
        <f>IF($B202="","",IF(AO$3=0,"n.b.",INDEX(SRC_ZPMW03!$A$1:$ZZ$501,$A202,AO$3)))</f>
        <v/>
      </c>
      <c r="AP202" s="124" t="str">
        <f>IF($B202="","",IF(AP$3=0,"n.b.",INDEX(SRC_ZPMW03!$A$1:$ZZ$501,$A202,AP$3)))</f>
        <v/>
      </c>
      <c r="AQ202" s="124" t="str">
        <f>IF($B202="","",IF(AQ$3=0,"n.b.",INDEX(SRC_ZPMW03!$A$1:$ZZ$501,$A202,AQ$3)))</f>
        <v/>
      </c>
      <c r="AR202" s="124" t="str">
        <f>IF($B202="","",IF(AR$3=0,"n.b.",INDEX(SRC_ZPMW03!$A$1:$ZZ$501,$A202,AR$3)))</f>
        <v/>
      </c>
      <c r="AS202" s="124" t="str">
        <f>IF($B202="","",IF(AS$3=0,"n.b.",INDEX(SRC_ZPMW03!$A$1:$ZZ$501,$A202,AS$3)))</f>
        <v/>
      </c>
      <c r="AT202" s="124" t="str">
        <f>IF($B202="","",IF(AT$3=0,"n.b.",INDEX(SRC_ZPMW03!$A$1:$ZZ$501,$A202,AT$3)))</f>
        <v/>
      </c>
      <c r="AU202" s="124" t="str">
        <f>IF($B202="","",IF(AU$3=0,"n.b.",INDEX(SRC_ZPMW03!$A$1:$ZZ$501,$A202,AU$3)))</f>
        <v/>
      </c>
      <c r="AV202" s="124" t="str">
        <f>IF($B202="","",IF(AV$3=0,"n.b.",INDEX(SRC_ZPMW03!$A$1:$ZZ$501,$A202,AV$3)))</f>
        <v/>
      </c>
      <c r="AW202" s="124" t="str">
        <f>IF($B202="","",IF(AW$3=0,"n.b.",INDEX(SRC_ZPMW03!$A$1:$ZZ$501,$A202,AW$3)))</f>
        <v/>
      </c>
      <c r="AX202" s="124" t="str">
        <f>IF($B202="","",IF(AX$3=0,"n.b.",INDEX(SRC_ZPMW03!$A$1:$ZZ$501,$A202,AX$3)))</f>
        <v/>
      </c>
      <c r="AY202" s="124" t="str">
        <f>IF($B202="","",IF(AY$3=0,"n.b.",INDEX(SRC_ZPMW03!$A$1:$ZZ$501,$A202,AY$3)))</f>
        <v/>
      </c>
      <c r="AZ202" s="124" t="str">
        <f>IF($B202="","",IF(AZ$3=0,"n.b.",INDEX(SRC_ZPMW03!$A$1:$ZZ$501,$A202,AZ$3)))</f>
        <v/>
      </c>
      <c r="BA202" s="124" t="str">
        <f>IF($B202="","",IF(BA$3=0,"n.b.",INDEX(SRC_ZPMW03!$A$1:$ZZ$501,$A202,BA$3)))</f>
        <v/>
      </c>
      <c r="BB202" s="124" t="str">
        <f>IF($B202="","",IF(BB$3=0,"n.b.",INDEX(SRC_ZPMW03!$A$1:$ZZ$501,$A202,BB$3)))</f>
        <v/>
      </c>
      <c r="BC202" s="124" t="str">
        <f>IF($B202="","",IF(BC$3=0,"n.b.",INDEX(SRC_ZPMW03!$A$1:$ZZ$501,$A202,BC$3)))</f>
        <v/>
      </c>
      <c r="BD202" s="124" t="str">
        <f>IF($B202="","",IF(BD$3=0,"n.b.",INDEX(SRC_ZPMW03!$A$1:$ZZ$501,$A202,BD$3)))</f>
        <v/>
      </c>
      <c r="BE202" s="124" t="str">
        <f>IF($B202="","",IF(BE$3=0,"n.b.",INDEX(SRC_ZPMW03!$A$1:$ZZ$501,$A202,BE$3)))</f>
        <v/>
      </c>
      <c r="BF202" s="124" t="str">
        <f>IF($B202="","",IF(BF$3=0,"n.b.",INDEX(SRC_ZPMW03!$A$1:$ZZ$501,$A202,BF$3)))</f>
        <v/>
      </c>
      <c r="BG202" t="str">
        <f>IF($B202="","",IF(BG$3=0,"n.b.",INDEX(SRC_ZPMW03!$A$1:$ZZ$501,$A202,BG$3)))</f>
        <v/>
      </c>
      <c r="BH202" t="str">
        <f>IF($B202="","",IF(BH$3=0,"n.b.",INDEX(SRC_ZPMW03!$A$1:$ZZ$501,$A202,BH$3)))</f>
        <v/>
      </c>
      <c r="BI202" t="str">
        <f>IF($B202="","",IF(BI$3=0,"n.b.",INDEX(SRC_ZPMW03!$A$1:$ZZ$501,$A202,BI$3)))</f>
        <v/>
      </c>
      <c r="BJ202" t="str">
        <f>IF($B202="","",IF(BJ$3=0,"n.b.",INDEX(SRC_ZPMW03!$A$1:$ZZ$501,$A202,BJ$3)))</f>
        <v/>
      </c>
      <c r="BK202" s="124" t="str">
        <f>IF($B202="","",IFERROR(-O202,"n.b."))</f>
        <v/>
      </c>
      <c r="BL202" s="124" t="str">
        <f>IF($B202="","",IFERROR(-Q202,"n.b."))</f>
        <v/>
      </c>
      <c r="BM202" s="124" t="str">
        <f>IF($B202="","",IFERROR(-AB202,"n.b."))</f>
        <v/>
      </c>
      <c r="BN202" s="124" t="str">
        <f>IF($B202="","",IFERROR(-AD202,"n.b."))</f>
        <v/>
      </c>
      <c r="BO202" s="124" t="str">
        <f>IF($B202="","",IFERROR(BK202+BM202,"n.b."))</f>
        <v/>
      </c>
      <c r="BP202" s="124" t="str">
        <f>IF($B202="","",IFERROR(BL202+BN202,"n.b."))</f>
        <v/>
      </c>
      <c r="BQ202" s="124" t="str">
        <f>IF($B202="","",IFERROR(-AM202,"n.b."))</f>
        <v/>
      </c>
      <c r="BR202" s="124" t="str">
        <f>IF($B202="","",IFERROR(-AO202,"n.b."))</f>
        <v/>
      </c>
      <c r="BS202" s="124" t="str">
        <f>IF($B202="","",IFERROR(-Z202,"n.b."))</f>
        <v/>
      </c>
      <c r="BT202" s="124" t="str">
        <f>IF($B202="","",IFERROR(-AA202,"n.b."))</f>
        <v/>
      </c>
      <c r="BU202" s="124" t="str">
        <f>IF($B202="","",IFERROR(-AE202,"n.b."))</f>
        <v/>
      </c>
      <c r="BV202" s="124" t="str">
        <f>IF($B202="","",IFERROR(-AF202,"n.b."))</f>
        <v/>
      </c>
      <c r="BW202" s="124" t="str">
        <f>IF($B202="","",IFERROR(-AG202,"n.b."))</f>
        <v/>
      </c>
      <c r="BX202" s="124" t="str">
        <f>IF($B202="","",IFERROR(-AH202,"n.b."))</f>
        <v/>
      </c>
      <c r="BY202" s="124" t="str">
        <f>IF($B202="","",IFERROR(-AI202,"n.b."))</f>
        <v/>
      </c>
      <c r="BZ202" s="124" t="str">
        <f>IF($B202="","",IFERROR(-AJ202,"n.b."))</f>
        <v/>
      </c>
      <c r="CA202" s="124" t="str">
        <f>IF($B202="","",IFERROR(-AK202,"n.b."))</f>
        <v/>
      </c>
      <c r="CB202" s="124" t="str">
        <f>IF($B202="","",IFERROR(-AL202,"n.b."))</f>
        <v/>
      </c>
      <c r="CC202" s="124" t="str">
        <f>IF($B202="","",IFERROR(-AP202,"n.b."))</f>
        <v/>
      </c>
      <c r="CD202" s="124" t="str">
        <f>IF($B202="","",IFERROR(-AQ202,"n.b."))</f>
        <v/>
      </c>
      <c r="CE202" s="124" t="str">
        <f>IF($B202="","",IFERROR(-AR202,"n.b."))</f>
        <v/>
      </c>
      <c r="CF202" s="124" t="str">
        <f>IF($B202="","",IFERROR(-AS202,"n.b."))</f>
        <v/>
      </c>
      <c r="CG202" s="124" t="str">
        <f>IF($B202="","",IFERROR(-AT202,"n.b."))</f>
        <v/>
      </c>
      <c r="CH202" s="124" t="str">
        <f>IF($B202="","",IFERROR(-AU202,"n.b."))</f>
        <v/>
      </c>
      <c r="CI202" s="124" t="str">
        <f>IF($B202="","",IFERROR(-AV202,"n.b."))</f>
        <v/>
      </c>
      <c r="CJ202" s="124" t="str">
        <f>IF($B202="","",IFERROR(-AW202,"n.b."))</f>
        <v/>
      </c>
      <c r="CK202" s="124" t="str">
        <f>IF($B202="","",IFERROR(-AX202,"n.b."))</f>
        <v/>
      </c>
      <c r="CL202" s="124" t="str">
        <f>IF($B202="","",IFERROR(-AY202,"n.b."))</f>
        <v/>
      </c>
      <c r="CM202" s="124" t="str">
        <f>IF($B202="","",IFERROR(-AZ202,"n.b."))</f>
        <v/>
      </c>
      <c r="CN202" s="124" t="str">
        <f>IF($B202="","",IFERROR(-BA202,"n.b."))</f>
        <v/>
      </c>
      <c r="CO202" s="124" t="str">
        <f>IF($B202="","",IFERROR(-BB202,"n.b."))</f>
        <v/>
      </c>
      <c r="CP202" s="124" t="str">
        <f>IF($B202="","",IFERROR(-BC202,"n.b."))</f>
        <v/>
      </c>
      <c r="CQ202" s="124" t="str">
        <f>IF($B202="","",IFERROR(-BD202,"n.b."))</f>
        <v/>
      </c>
      <c r="CR202" s="124" t="str">
        <f>IF($B202="","",IFERROR(-BE202,"n.b."))</f>
        <v/>
      </c>
      <c r="CS202" s="124" t="str">
        <f>IF($B202="","",IFERROR(IF(OR(ABS(T202+V202+X202+Z202-AB202)&gt;P_Tol,ABS(U202+W202+Y202+AA202-AD202)&gt;P_Tol,ABS(AE202+AG202+AI202+AK202-AM202)&gt;P_Tol,ABS(AF202+AH202+AJ202+AL202-AO202)&gt;P_Tol),1,0),1))</f>
        <v/>
      </c>
      <c r="CT202" s="124" t="str">
        <f>IF($B202="","",IFERROR(IF(OR(ABS(AB202+AC202-AD202)&gt;P_Tol,ABS(AM202+AN202-AO202)&gt;P_Tol,ABS(O202+P202-Q202)&gt;P_Tol),1,0),1))</f>
        <v/>
      </c>
      <c r="CU202" s="124" t="str">
        <f>IF($B202="","",IFERROR(IF(ABS(R202-(AB202+AM202+AP202+AR202+AT202+AV202+AX202+AZ202+BB202+BD202))&gt;P_Tol,1,0),1))</f>
        <v/>
      </c>
      <c r="CV202" s="124" t="str">
        <f>IF($B202="","",IFERROR(IF(ABS(M202-(N202+O202+R202))&gt;P_Tol,1,0),1))</f>
        <v/>
      </c>
      <c r="CW202" s="124" t="str">
        <f>IF($B202="","",IF(COUNTIF(Mapping!$A$5:$A$104,B202)&gt;0,1,0))</f>
        <v/>
      </c>
      <c r="CX202" s="124" t="str">
        <f>IF($B202="","",COUNTIF($B$6:$B$505,B202))</f>
        <v/>
      </c>
      <c r="CY202" s="124" t="str">
        <f>IF($B202="","",COUNTIF(STG_Woningetalage!$B$6:$B$505,B202))</f>
        <v/>
      </c>
      <c r="CZ202" s="124" t="str">
        <f>IF($B202="","",IF(CW202=0,COUNTIF($CW$6:CW202,0),""))</f>
        <v/>
      </c>
    </row>
    <row r="203">
      <c r="A203" s="15" t="n">
        <v>199</v>
      </c>
      <c r="B203" t="str">
        <f>IF(B$3=0,"",IF(INDEX(SRC_ZPMW03!$A$1:$ZZ$501,$A203,B$3)&amp;""="","",INDEX(SRC_ZPMW03!$A$1:$ZZ$501,$A203,B$3)&amp;""))</f>
        <v/>
      </c>
      <c r="C203" t="str">
        <f>IF($B203="","",IF(C$3=0,"n.b.",INDEX(SRC_ZPMW03!$A$1:$ZZ$501,$A203,C$3)))</f>
        <v/>
      </c>
      <c r="D203" t="str">
        <f>IF($B203="","",IF(D$3=0,"n.b.",INDEX(SRC_ZPMW03!$A$1:$ZZ$501,$A203,D$3)))</f>
        <v/>
      </c>
      <c r="E203" t="str">
        <f>IF($B203="","",IF(E$3=0,"n.b.",INDEX(SRC_ZPMW03!$A$1:$ZZ$501,$A203,E$3)))</f>
        <v/>
      </c>
      <c r="F203" t="str">
        <f>IF($B203="","",IF(F$3=0,"n.b.",INDEX(SRC_ZPMW03!$A$1:$ZZ$501,$A203,F$3)))</f>
        <v/>
      </c>
      <c r="G203" t="str">
        <f>IF($B203="","",IF(G$3=0,"n.b.",INDEX(SRC_ZPMW03!$A$1:$ZZ$501,$A203,G$3)))</f>
        <v/>
      </c>
      <c r="H203" t="str">
        <f>IF($B203="","",IF(H$3=0,"n.b.",INDEX(SRC_ZPMW03!$A$1:$ZZ$501,$A203,H$3)))</f>
        <v/>
      </c>
      <c r="I203" t="str">
        <f>IF($B203="","",IF(I$3=0,"n.b.",INDEX(SRC_ZPMW03!$A$1:$ZZ$501,$A203,I$3)))</f>
        <v/>
      </c>
      <c r="J203" t="str">
        <f>IF($B203="","",IF(J$3=0,"n.b.",INDEX(SRC_ZPMW03!$A$1:$ZZ$501,$A203,J$3)))</f>
        <v/>
      </c>
      <c r="K203" t="str">
        <f>IF($B203="","",IF(K$3=0,"n.b.",INDEX(SRC_ZPMW03!$A$1:$ZZ$501,$A203,K$3)))</f>
        <v/>
      </c>
      <c r="L203" s="124" t="str">
        <f>IF($B203="","",IF(L$3=0,"n.b.",INDEX(SRC_ZPMW03!$A$1:$ZZ$501,$A203,L$3)))</f>
        <v/>
      </c>
      <c r="M203" s="124" t="str">
        <f>IF($B203="","",IF(M$3=0,"n.b.",INDEX(SRC_ZPMW03!$A$1:$ZZ$501,$A203,M$3)))</f>
        <v/>
      </c>
      <c r="N203" s="124" t="str">
        <f>IF($B203="","",IF(N$3=0,"n.b.",INDEX(SRC_ZPMW03!$A$1:$ZZ$501,$A203,N$3)))</f>
        <v/>
      </c>
      <c r="O203" s="124" t="str">
        <f>IF($B203="","",IF(O$3=0,"n.b.",INDEX(SRC_ZPMW03!$A$1:$ZZ$501,$A203,O$3)))</f>
        <v/>
      </c>
      <c r="P203" s="124" t="str">
        <f>IF($B203="","",IF(P$3=0,"n.b.",INDEX(SRC_ZPMW03!$A$1:$ZZ$501,$A203,P$3)))</f>
        <v/>
      </c>
      <c r="Q203" s="124" t="str">
        <f>IF($B203="","",IF(Q$3=0,"n.b.",INDEX(SRC_ZPMW03!$A$1:$ZZ$501,$A203,Q$3)))</f>
        <v/>
      </c>
      <c r="R203" s="124" t="str">
        <f>IF($B203="","",IF(R$3=0,"n.b.",INDEX(SRC_ZPMW03!$A$1:$ZZ$501,$A203,R$3)))</f>
        <v/>
      </c>
      <c r="S203" s="124" t="str">
        <f>IF($B203="","",IF(S$3=0,"n.b.",INDEX(SRC_ZPMW03!$A$1:$ZZ$501,$A203,S$3)))</f>
        <v/>
      </c>
      <c r="T203" s="124" t="str">
        <f>IF($B203="","",IF(T$3=0,"n.b.",INDEX(SRC_ZPMW03!$A$1:$ZZ$501,$A203,T$3)))</f>
        <v/>
      </c>
      <c r="U203" s="124" t="str">
        <f>IF($B203="","",IF(U$3=0,"n.b.",INDEX(SRC_ZPMW03!$A$1:$ZZ$501,$A203,U$3)))</f>
        <v/>
      </c>
      <c r="V203" s="124" t="str">
        <f>IF($B203="","",IF(V$3=0,"n.b.",INDEX(SRC_ZPMW03!$A$1:$ZZ$501,$A203,V$3)))</f>
        <v/>
      </c>
      <c r="W203" s="124" t="str">
        <f>IF($B203="","",IF(W$3=0,"n.b.",INDEX(SRC_ZPMW03!$A$1:$ZZ$501,$A203,W$3)))</f>
        <v/>
      </c>
      <c r="X203" s="124" t="str">
        <f>IF($B203="","",IF(X$3=0,"n.b.",INDEX(SRC_ZPMW03!$A$1:$ZZ$501,$A203,X$3)))</f>
        <v/>
      </c>
      <c r="Y203" s="124" t="str">
        <f>IF($B203="","",IF(Y$3=0,"n.b.",INDEX(SRC_ZPMW03!$A$1:$ZZ$501,$A203,Y$3)))</f>
        <v/>
      </c>
      <c r="Z203" s="124" t="str">
        <f>IF($B203="","",IF(Z$3=0,"n.b.",INDEX(SRC_ZPMW03!$A$1:$ZZ$501,$A203,Z$3)))</f>
        <v/>
      </c>
      <c r="AA203" s="124" t="str">
        <f>IF($B203="","",IF(AA$3=0,"n.b.",INDEX(SRC_ZPMW03!$A$1:$ZZ$501,$A203,AA$3)))</f>
        <v/>
      </c>
      <c r="AB203" s="124" t="str">
        <f>IF($B203="","",IF(AB$3=0,"n.b.",INDEX(SRC_ZPMW03!$A$1:$ZZ$501,$A203,AB$3)))</f>
        <v/>
      </c>
      <c r="AC203" s="124" t="str">
        <f>IF($B203="","",IF(AC$3=0,"n.b.",INDEX(SRC_ZPMW03!$A$1:$ZZ$501,$A203,AC$3)))</f>
        <v/>
      </c>
      <c r="AD203" s="124" t="str">
        <f>IF($B203="","",IF(AD$3=0,"n.b.",INDEX(SRC_ZPMW03!$A$1:$ZZ$501,$A203,AD$3)))</f>
        <v/>
      </c>
      <c r="AE203" s="124" t="str">
        <f>IF($B203="","",IF(AE$3=0,"n.b.",INDEX(SRC_ZPMW03!$A$1:$ZZ$501,$A203,AE$3)))</f>
        <v/>
      </c>
      <c r="AF203" s="124" t="str">
        <f>IF($B203="","",IF(AF$3=0,"n.b.",INDEX(SRC_ZPMW03!$A$1:$ZZ$501,$A203,AF$3)))</f>
        <v/>
      </c>
      <c r="AG203" s="124" t="str">
        <f>IF($B203="","",IF(AG$3=0,"n.b.",INDEX(SRC_ZPMW03!$A$1:$ZZ$501,$A203,AG$3)))</f>
        <v/>
      </c>
      <c r="AH203" s="124" t="str">
        <f>IF($B203="","",IF(AH$3=0,"n.b.",INDEX(SRC_ZPMW03!$A$1:$ZZ$501,$A203,AH$3)))</f>
        <v/>
      </c>
      <c r="AI203" s="124" t="str">
        <f>IF($B203="","",IF(AI$3=0,"n.b.",INDEX(SRC_ZPMW03!$A$1:$ZZ$501,$A203,AI$3)))</f>
        <v/>
      </c>
      <c r="AJ203" s="124" t="str">
        <f>IF($B203="","",IF(AJ$3=0,"n.b.",INDEX(SRC_ZPMW03!$A$1:$ZZ$501,$A203,AJ$3)))</f>
        <v/>
      </c>
      <c r="AK203" s="124" t="str">
        <f>IF($B203="","",IF(AK$3=0,"n.b.",INDEX(SRC_ZPMW03!$A$1:$ZZ$501,$A203,AK$3)))</f>
        <v/>
      </c>
      <c r="AL203" s="124" t="str">
        <f>IF($B203="","",IF(AL$3=0,"n.b.",INDEX(SRC_ZPMW03!$A$1:$ZZ$501,$A203,AL$3)))</f>
        <v/>
      </c>
      <c r="AM203" s="124" t="str">
        <f>IF($B203="","",IF(AM$3=0,"n.b.",INDEX(SRC_ZPMW03!$A$1:$ZZ$501,$A203,AM$3)))</f>
        <v/>
      </c>
      <c r="AN203" s="124" t="str">
        <f>IF($B203="","",IF(AN$3=0,"n.b.",INDEX(SRC_ZPMW03!$A$1:$ZZ$501,$A203,AN$3)))</f>
        <v/>
      </c>
      <c r="AO203" s="124" t="str">
        <f>IF($B203="","",IF(AO$3=0,"n.b.",INDEX(SRC_ZPMW03!$A$1:$ZZ$501,$A203,AO$3)))</f>
        <v/>
      </c>
      <c r="AP203" s="124" t="str">
        <f>IF($B203="","",IF(AP$3=0,"n.b.",INDEX(SRC_ZPMW03!$A$1:$ZZ$501,$A203,AP$3)))</f>
        <v/>
      </c>
      <c r="AQ203" s="124" t="str">
        <f>IF($B203="","",IF(AQ$3=0,"n.b.",INDEX(SRC_ZPMW03!$A$1:$ZZ$501,$A203,AQ$3)))</f>
        <v/>
      </c>
      <c r="AR203" s="124" t="str">
        <f>IF($B203="","",IF(AR$3=0,"n.b.",INDEX(SRC_ZPMW03!$A$1:$ZZ$501,$A203,AR$3)))</f>
        <v/>
      </c>
      <c r="AS203" s="124" t="str">
        <f>IF($B203="","",IF(AS$3=0,"n.b.",INDEX(SRC_ZPMW03!$A$1:$ZZ$501,$A203,AS$3)))</f>
        <v/>
      </c>
      <c r="AT203" s="124" t="str">
        <f>IF($B203="","",IF(AT$3=0,"n.b.",INDEX(SRC_ZPMW03!$A$1:$ZZ$501,$A203,AT$3)))</f>
        <v/>
      </c>
      <c r="AU203" s="124" t="str">
        <f>IF($B203="","",IF(AU$3=0,"n.b.",INDEX(SRC_ZPMW03!$A$1:$ZZ$501,$A203,AU$3)))</f>
        <v/>
      </c>
      <c r="AV203" s="124" t="str">
        <f>IF($B203="","",IF(AV$3=0,"n.b.",INDEX(SRC_ZPMW03!$A$1:$ZZ$501,$A203,AV$3)))</f>
        <v/>
      </c>
      <c r="AW203" s="124" t="str">
        <f>IF($B203="","",IF(AW$3=0,"n.b.",INDEX(SRC_ZPMW03!$A$1:$ZZ$501,$A203,AW$3)))</f>
        <v/>
      </c>
      <c r="AX203" s="124" t="str">
        <f>IF($B203="","",IF(AX$3=0,"n.b.",INDEX(SRC_ZPMW03!$A$1:$ZZ$501,$A203,AX$3)))</f>
        <v/>
      </c>
      <c r="AY203" s="124" t="str">
        <f>IF($B203="","",IF(AY$3=0,"n.b.",INDEX(SRC_ZPMW03!$A$1:$ZZ$501,$A203,AY$3)))</f>
        <v/>
      </c>
      <c r="AZ203" s="124" t="str">
        <f>IF($B203="","",IF(AZ$3=0,"n.b.",INDEX(SRC_ZPMW03!$A$1:$ZZ$501,$A203,AZ$3)))</f>
        <v/>
      </c>
      <c r="BA203" s="124" t="str">
        <f>IF($B203="","",IF(BA$3=0,"n.b.",INDEX(SRC_ZPMW03!$A$1:$ZZ$501,$A203,BA$3)))</f>
        <v/>
      </c>
      <c r="BB203" s="124" t="str">
        <f>IF($B203="","",IF(BB$3=0,"n.b.",INDEX(SRC_ZPMW03!$A$1:$ZZ$501,$A203,BB$3)))</f>
        <v/>
      </c>
      <c r="BC203" s="124" t="str">
        <f>IF($B203="","",IF(BC$3=0,"n.b.",INDEX(SRC_ZPMW03!$A$1:$ZZ$501,$A203,BC$3)))</f>
        <v/>
      </c>
      <c r="BD203" s="124" t="str">
        <f>IF($B203="","",IF(BD$3=0,"n.b.",INDEX(SRC_ZPMW03!$A$1:$ZZ$501,$A203,BD$3)))</f>
        <v/>
      </c>
      <c r="BE203" s="124" t="str">
        <f>IF($B203="","",IF(BE$3=0,"n.b.",INDEX(SRC_ZPMW03!$A$1:$ZZ$501,$A203,BE$3)))</f>
        <v/>
      </c>
      <c r="BF203" s="124" t="str">
        <f>IF($B203="","",IF(BF$3=0,"n.b.",INDEX(SRC_ZPMW03!$A$1:$ZZ$501,$A203,BF$3)))</f>
        <v/>
      </c>
      <c r="BG203" t="str">
        <f>IF($B203="","",IF(BG$3=0,"n.b.",INDEX(SRC_ZPMW03!$A$1:$ZZ$501,$A203,BG$3)))</f>
        <v/>
      </c>
      <c r="BH203" t="str">
        <f>IF($B203="","",IF(BH$3=0,"n.b.",INDEX(SRC_ZPMW03!$A$1:$ZZ$501,$A203,BH$3)))</f>
        <v/>
      </c>
      <c r="BI203" t="str">
        <f>IF($B203="","",IF(BI$3=0,"n.b.",INDEX(SRC_ZPMW03!$A$1:$ZZ$501,$A203,BI$3)))</f>
        <v/>
      </c>
      <c r="BJ203" t="str">
        <f>IF($B203="","",IF(BJ$3=0,"n.b.",INDEX(SRC_ZPMW03!$A$1:$ZZ$501,$A203,BJ$3)))</f>
        <v/>
      </c>
      <c r="BK203" s="124" t="str">
        <f>IF($B203="","",IFERROR(-O203,"n.b."))</f>
        <v/>
      </c>
      <c r="BL203" s="124" t="str">
        <f>IF($B203="","",IFERROR(-Q203,"n.b."))</f>
        <v/>
      </c>
      <c r="BM203" s="124" t="str">
        <f>IF($B203="","",IFERROR(-AB203,"n.b."))</f>
        <v/>
      </c>
      <c r="BN203" s="124" t="str">
        <f>IF($B203="","",IFERROR(-AD203,"n.b."))</f>
        <v/>
      </c>
      <c r="BO203" s="124" t="str">
        <f>IF($B203="","",IFERROR(BK203+BM203,"n.b."))</f>
        <v/>
      </c>
      <c r="BP203" s="124" t="str">
        <f>IF($B203="","",IFERROR(BL203+BN203,"n.b."))</f>
        <v/>
      </c>
      <c r="BQ203" s="124" t="str">
        <f>IF($B203="","",IFERROR(-AM203,"n.b."))</f>
        <v/>
      </c>
      <c r="BR203" s="124" t="str">
        <f>IF($B203="","",IFERROR(-AO203,"n.b."))</f>
        <v/>
      </c>
      <c r="BS203" s="124" t="str">
        <f>IF($B203="","",IFERROR(-Z203,"n.b."))</f>
        <v/>
      </c>
      <c r="BT203" s="124" t="str">
        <f>IF($B203="","",IFERROR(-AA203,"n.b."))</f>
        <v/>
      </c>
      <c r="BU203" s="124" t="str">
        <f>IF($B203="","",IFERROR(-AE203,"n.b."))</f>
        <v/>
      </c>
      <c r="BV203" s="124" t="str">
        <f>IF($B203="","",IFERROR(-AF203,"n.b."))</f>
        <v/>
      </c>
      <c r="BW203" s="124" t="str">
        <f>IF($B203="","",IFERROR(-AG203,"n.b."))</f>
        <v/>
      </c>
      <c r="BX203" s="124" t="str">
        <f>IF($B203="","",IFERROR(-AH203,"n.b."))</f>
        <v/>
      </c>
      <c r="BY203" s="124" t="str">
        <f>IF($B203="","",IFERROR(-AI203,"n.b."))</f>
        <v/>
      </c>
      <c r="BZ203" s="124" t="str">
        <f>IF($B203="","",IFERROR(-AJ203,"n.b."))</f>
        <v/>
      </c>
      <c r="CA203" s="124" t="str">
        <f>IF($B203="","",IFERROR(-AK203,"n.b."))</f>
        <v/>
      </c>
      <c r="CB203" s="124" t="str">
        <f>IF($B203="","",IFERROR(-AL203,"n.b."))</f>
        <v/>
      </c>
      <c r="CC203" s="124" t="str">
        <f>IF($B203="","",IFERROR(-AP203,"n.b."))</f>
        <v/>
      </c>
      <c r="CD203" s="124" t="str">
        <f>IF($B203="","",IFERROR(-AQ203,"n.b."))</f>
        <v/>
      </c>
      <c r="CE203" s="124" t="str">
        <f>IF($B203="","",IFERROR(-AR203,"n.b."))</f>
        <v/>
      </c>
      <c r="CF203" s="124" t="str">
        <f>IF($B203="","",IFERROR(-AS203,"n.b."))</f>
        <v/>
      </c>
      <c r="CG203" s="124" t="str">
        <f>IF($B203="","",IFERROR(-AT203,"n.b."))</f>
        <v/>
      </c>
      <c r="CH203" s="124" t="str">
        <f>IF($B203="","",IFERROR(-AU203,"n.b."))</f>
        <v/>
      </c>
      <c r="CI203" s="124" t="str">
        <f>IF($B203="","",IFERROR(-AV203,"n.b."))</f>
        <v/>
      </c>
      <c r="CJ203" s="124" t="str">
        <f>IF($B203="","",IFERROR(-AW203,"n.b."))</f>
        <v/>
      </c>
      <c r="CK203" s="124" t="str">
        <f>IF($B203="","",IFERROR(-AX203,"n.b."))</f>
        <v/>
      </c>
      <c r="CL203" s="124" t="str">
        <f>IF($B203="","",IFERROR(-AY203,"n.b."))</f>
        <v/>
      </c>
      <c r="CM203" s="124" t="str">
        <f>IF($B203="","",IFERROR(-AZ203,"n.b."))</f>
        <v/>
      </c>
      <c r="CN203" s="124" t="str">
        <f>IF($B203="","",IFERROR(-BA203,"n.b."))</f>
        <v/>
      </c>
      <c r="CO203" s="124" t="str">
        <f>IF($B203="","",IFERROR(-BB203,"n.b."))</f>
        <v/>
      </c>
      <c r="CP203" s="124" t="str">
        <f>IF($B203="","",IFERROR(-BC203,"n.b."))</f>
        <v/>
      </c>
      <c r="CQ203" s="124" t="str">
        <f>IF($B203="","",IFERROR(-BD203,"n.b."))</f>
        <v/>
      </c>
      <c r="CR203" s="124" t="str">
        <f>IF($B203="","",IFERROR(-BE203,"n.b."))</f>
        <v/>
      </c>
      <c r="CS203" s="124" t="str">
        <f>IF($B203="","",IFERROR(IF(OR(ABS(T203+V203+X203+Z203-AB203)&gt;P_Tol,ABS(U203+W203+Y203+AA203-AD203)&gt;P_Tol,ABS(AE203+AG203+AI203+AK203-AM203)&gt;P_Tol,ABS(AF203+AH203+AJ203+AL203-AO203)&gt;P_Tol),1,0),1))</f>
        <v/>
      </c>
      <c r="CT203" s="124" t="str">
        <f>IF($B203="","",IFERROR(IF(OR(ABS(AB203+AC203-AD203)&gt;P_Tol,ABS(AM203+AN203-AO203)&gt;P_Tol,ABS(O203+P203-Q203)&gt;P_Tol),1,0),1))</f>
        <v/>
      </c>
      <c r="CU203" s="124" t="str">
        <f>IF($B203="","",IFERROR(IF(ABS(R203-(AB203+AM203+AP203+AR203+AT203+AV203+AX203+AZ203+BB203+BD203))&gt;P_Tol,1,0),1))</f>
        <v/>
      </c>
      <c r="CV203" s="124" t="str">
        <f>IF($B203="","",IFERROR(IF(ABS(M203-(N203+O203+R203))&gt;P_Tol,1,0),1))</f>
        <v/>
      </c>
      <c r="CW203" s="124" t="str">
        <f>IF($B203="","",IF(COUNTIF(Mapping!$A$5:$A$104,B203)&gt;0,1,0))</f>
        <v/>
      </c>
      <c r="CX203" s="124" t="str">
        <f>IF($B203="","",COUNTIF($B$6:$B$505,B203))</f>
        <v/>
      </c>
      <c r="CY203" s="124" t="str">
        <f>IF($B203="","",COUNTIF(STG_Woningetalage!$B$6:$B$505,B203))</f>
        <v/>
      </c>
      <c r="CZ203" s="124" t="str">
        <f>IF($B203="","",IF(CW203=0,COUNTIF($CW$6:CW203,0),""))</f>
        <v/>
      </c>
    </row>
    <row r="204">
      <c r="A204" s="15" t="n">
        <v>200</v>
      </c>
      <c r="B204" t="str">
        <f>IF(B$3=0,"",IF(INDEX(SRC_ZPMW03!$A$1:$ZZ$501,$A204,B$3)&amp;""="","",INDEX(SRC_ZPMW03!$A$1:$ZZ$501,$A204,B$3)&amp;""))</f>
        <v/>
      </c>
      <c r="C204" t="str">
        <f>IF($B204="","",IF(C$3=0,"n.b.",INDEX(SRC_ZPMW03!$A$1:$ZZ$501,$A204,C$3)))</f>
        <v/>
      </c>
      <c r="D204" t="str">
        <f>IF($B204="","",IF(D$3=0,"n.b.",INDEX(SRC_ZPMW03!$A$1:$ZZ$501,$A204,D$3)))</f>
        <v/>
      </c>
      <c r="E204" t="str">
        <f>IF($B204="","",IF(E$3=0,"n.b.",INDEX(SRC_ZPMW03!$A$1:$ZZ$501,$A204,E$3)))</f>
        <v/>
      </c>
      <c r="F204" t="str">
        <f>IF($B204="","",IF(F$3=0,"n.b.",INDEX(SRC_ZPMW03!$A$1:$ZZ$501,$A204,F$3)))</f>
        <v/>
      </c>
      <c r="G204" t="str">
        <f>IF($B204="","",IF(G$3=0,"n.b.",INDEX(SRC_ZPMW03!$A$1:$ZZ$501,$A204,G$3)))</f>
        <v/>
      </c>
      <c r="H204" t="str">
        <f>IF($B204="","",IF(H$3=0,"n.b.",INDEX(SRC_ZPMW03!$A$1:$ZZ$501,$A204,H$3)))</f>
        <v/>
      </c>
      <c r="I204" t="str">
        <f>IF($B204="","",IF(I$3=0,"n.b.",INDEX(SRC_ZPMW03!$A$1:$ZZ$501,$A204,I$3)))</f>
        <v/>
      </c>
      <c r="J204" t="str">
        <f>IF($B204="","",IF(J$3=0,"n.b.",INDEX(SRC_ZPMW03!$A$1:$ZZ$501,$A204,J$3)))</f>
        <v/>
      </c>
      <c r="K204" t="str">
        <f>IF($B204="","",IF(K$3=0,"n.b.",INDEX(SRC_ZPMW03!$A$1:$ZZ$501,$A204,K$3)))</f>
        <v/>
      </c>
      <c r="L204" s="124" t="str">
        <f>IF($B204="","",IF(L$3=0,"n.b.",INDEX(SRC_ZPMW03!$A$1:$ZZ$501,$A204,L$3)))</f>
        <v/>
      </c>
      <c r="M204" s="124" t="str">
        <f>IF($B204="","",IF(M$3=0,"n.b.",INDEX(SRC_ZPMW03!$A$1:$ZZ$501,$A204,M$3)))</f>
        <v/>
      </c>
      <c r="N204" s="124" t="str">
        <f>IF($B204="","",IF(N$3=0,"n.b.",INDEX(SRC_ZPMW03!$A$1:$ZZ$501,$A204,N$3)))</f>
        <v/>
      </c>
      <c r="O204" s="124" t="str">
        <f>IF($B204="","",IF(O$3=0,"n.b.",INDEX(SRC_ZPMW03!$A$1:$ZZ$501,$A204,O$3)))</f>
        <v/>
      </c>
      <c r="P204" s="124" t="str">
        <f>IF($B204="","",IF(P$3=0,"n.b.",INDEX(SRC_ZPMW03!$A$1:$ZZ$501,$A204,P$3)))</f>
        <v/>
      </c>
      <c r="Q204" s="124" t="str">
        <f>IF($B204="","",IF(Q$3=0,"n.b.",INDEX(SRC_ZPMW03!$A$1:$ZZ$501,$A204,Q$3)))</f>
        <v/>
      </c>
      <c r="R204" s="124" t="str">
        <f>IF($B204="","",IF(R$3=0,"n.b.",INDEX(SRC_ZPMW03!$A$1:$ZZ$501,$A204,R$3)))</f>
        <v/>
      </c>
      <c r="S204" s="124" t="str">
        <f>IF($B204="","",IF(S$3=0,"n.b.",INDEX(SRC_ZPMW03!$A$1:$ZZ$501,$A204,S$3)))</f>
        <v/>
      </c>
      <c r="T204" s="124" t="str">
        <f>IF($B204="","",IF(T$3=0,"n.b.",INDEX(SRC_ZPMW03!$A$1:$ZZ$501,$A204,T$3)))</f>
        <v/>
      </c>
      <c r="U204" s="124" t="str">
        <f>IF($B204="","",IF(U$3=0,"n.b.",INDEX(SRC_ZPMW03!$A$1:$ZZ$501,$A204,U$3)))</f>
        <v/>
      </c>
      <c r="V204" s="124" t="str">
        <f>IF($B204="","",IF(V$3=0,"n.b.",INDEX(SRC_ZPMW03!$A$1:$ZZ$501,$A204,V$3)))</f>
        <v/>
      </c>
      <c r="W204" s="124" t="str">
        <f>IF($B204="","",IF(W$3=0,"n.b.",INDEX(SRC_ZPMW03!$A$1:$ZZ$501,$A204,W$3)))</f>
        <v/>
      </c>
      <c r="X204" s="124" t="str">
        <f>IF($B204="","",IF(X$3=0,"n.b.",INDEX(SRC_ZPMW03!$A$1:$ZZ$501,$A204,X$3)))</f>
        <v/>
      </c>
      <c r="Y204" s="124" t="str">
        <f>IF($B204="","",IF(Y$3=0,"n.b.",INDEX(SRC_ZPMW03!$A$1:$ZZ$501,$A204,Y$3)))</f>
        <v/>
      </c>
      <c r="Z204" s="124" t="str">
        <f>IF($B204="","",IF(Z$3=0,"n.b.",INDEX(SRC_ZPMW03!$A$1:$ZZ$501,$A204,Z$3)))</f>
        <v/>
      </c>
      <c r="AA204" s="124" t="str">
        <f>IF($B204="","",IF(AA$3=0,"n.b.",INDEX(SRC_ZPMW03!$A$1:$ZZ$501,$A204,AA$3)))</f>
        <v/>
      </c>
      <c r="AB204" s="124" t="str">
        <f>IF($B204="","",IF(AB$3=0,"n.b.",INDEX(SRC_ZPMW03!$A$1:$ZZ$501,$A204,AB$3)))</f>
        <v/>
      </c>
      <c r="AC204" s="124" t="str">
        <f>IF($B204="","",IF(AC$3=0,"n.b.",INDEX(SRC_ZPMW03!$A$1:$ZZ$501,$A204,AC$3)))</f>
        <v/>
      </c>
      <c r="AD204" s="124" t="str">
        <f>IF($B204="","",IF(AD$3=0,"n.b.",INDEX(SRC_ZPMW03!$A$1:$ZZ$501,$A204,AD$3)))</f>
        <v/>
      </c>
      <c r="AE204" s="124" t="str">
        <f>IF($B204="","",IF(AE$3=0,"n.b.",INDEX(SRC_ZPMW03!$A$1:$ZZ$501,$A204,AE$3)))</f>
        <v/>
      </c>
      <c r="AF204" s="124" t="str">
        <f>IF($B204="","",IF(AF$3=0,"n.b.",INDEX(SRC_ZPMW03!$A$1:$ZZ$501,$A204,AF$3)))</f>
        <v/>
      </c>
      <c r="AG204" s="124" t="str">
        <f>IF($B204="","",IF(AG$3=0,"n.b.",INDEX(SRC_ZPMW03!$A$1:$ZZ$501,$A204,AG$3)))</f>
        <v/>
      </c>
      <c r="AH204" s="124" t="str">
        <f>IF($B204="","",IF(AH$3=0,"n.b.",INDEX(SRC_ZPMW03!$A$1:$ZZ$501,$A204,AH$3)))</f>
        <v/>
      </c>
      <c r="AI204" s="124" t="str">
        <f>IF($B204="","",IF(AI$3=0,"n.b.",INDEX(SRC_ZPMW03!$A$1:$ZZ$501,$A204,AI$3)))</f>
        <v/>
      </c>
      <c r="AJ204" s="124" t="str">
        <f>IF($B204="","",IF(AJ$3=0,"n.b.",INDEX(SRC_ZPMW03!$A$1:$ZZ$501,$A204,AJ$3)))</f>
        <v/>
      </c>
      <c r="AK204" s="124" t="str">
        <f>IF($B204="","",IF(AK$3=0,"n.b.",INDEX(SRC_ZPMW03!$A$1:$ZZ$501,$A204,AK$3)))</f>
        <v/>
      </c>
      <c r="AL204" s="124" t="str">
        <f>IF($B204="","",IF(AL$3=0,"n.b.",INDEX(SRC_ZPMW03!$A$1:$ZZ$501,$A204,AL$3)))</f>
        <v/>
      </c>
      <c r="AM204" s="124" t="str">
        <f>IF($B204="","",IF(AM$3=0,"n.b.",INDEX(SRC_ZPMW03!$A$1:$ZZ$501,$A204,AM$3)))</f>
        <v/>
      </c>
      <c r="AN204" s="124" t="str">
        <f>IF($B204="","",IF(AN$3=0,"n.b.",INDEX(SRC_ZPMW03!$A$1:$ZZ$501,$A204,AN$3)))</f>
        <v/>
      </c>
      <c r="AO204" s="124" t="str">
        <f>IF($B204="","",IF(AO$3=0,"n.b.",INDEX(SRC_ZPMW03!$A$1:$ZZ$501,$A204,AO$3)))</f>
        <v/>
      </c>
      <c r="AP204" s="124" t="str">
        <f>IF($B204="","",IF(AP$3=0,"n.b.",INDEX(SRC_ZPMW03!$A$1:$ZZ$501,$A204,AP$3)))</f>
        <v/>
      </c>
      <c r="AQ204" s="124" t="str">
        <f>IF($B204="","",IF(AQ$3=0,"n.b.",INDEX(SRC_ZPMW03!$A$1:$ZZ$501,$A204,AQ$3)))</f>
        <v/>
      </c>
      <c r="AR204" s="124" t="str">
        <f>IF($B204="","",IF(AR$3=0,"n.b.",INDEX(SRC_ZPMW03!$A$1:$ZZ$501,$A204,AR$3)))</f>
        <v/>
      </c>
      <c r="AS204" s="124" t="str">
        <f>IF($B204="","",IF(AS$3=0,"n.b.",INDEX(SRC_ZPMW03!$A$1:$ZZ$501,$A204,AS$3)))</f>
        <v/>
      </c>
      <c r="AT204" s="124" t="str">
        <f>IF($B204="","",IF(AT$3=0,"n.b.",INDEX(SRC_ZPMW03!$A$1:$ZZ$501,$A204,AT$3)))</f>
        <v/>
      </c>
      <c r="AU204" s="124" t="str">
        <f>IF($B204="","",IF(AU$3=0,"n.b.",INDEX(SRC_ZPMW03!$A$1:$ZZ$501,$A204,AU$3)))</f>
        <v/>
      </c>
      <c r="AV204" s="124" t="str">
        <f>IF($B204="","",IF(AV$3=0,"n.b.",INDEX(SRC_ZPMW03!$A$1:$ZZ$501,$A204,AV$3)))</f>
        <v/>
      </c>
      <c r="AW204" s="124" t="str">
        <f>IF($B204="","",IF(AW$3=0,"n.b.",INDEX(SRC_ZPMW03!$A$1:$ZZ$501,$A204,AW$3)))</f>
        <v/>
      </c>
      <c r="AX204" s="124" t="str">
        <f>IF($B204="","",IF(AX$3=0,"n.b.",INDEX(SRC_ZPMW03!$A$1:$ZZ$501,$A204,AX$3)))</f>
        <v/>
      </c>
      <c r="AY204" s="124" t="str">
        <f>IF($B204="","",IF(AY$3=0,"n.b.",INDEX(SRC_ZPMW03!$A$1:$ZZ$501,$A204,AY$3)))</f>
        <v/>
      </c>
      <c r="AZ204" s="124" t="str">
        <f>IF($B204="","",IF(AZ$3=0,"n.b.",INDEX(SRC_ZPMW03!$A$1:$ZZ$501,$A204,AZ$3)))</f>
        <v/>
      </c>
      <c r="BA204" s="124" t="str">
        <f>IF($B204="","",IF(BA$3=0,"n.b.",INDEX(SRC_ZPMW03!$A$1:$ZZ$501,$A204,BA$3)))</f>
        <v/>
      </c>
      <c r="BB204" s="124" t="str">
        <f>IF($B204="","",IF(BB$3=0,"n.b.",INDEX(SRC_ZPMW03!$A$1:$ZZ$501,$A204,BB$3)))</f>
        <v/>
      </c>
      <c r="BC204" s="124" t="str">
        <f>IF($B204="","",IF(BC$3=0,"n.b.",INDEX(SRC_ZPMW03!$A$1:$ZZ$501,$A204,BC$3)))</f>
        <v/>
      </c>
      <c r="BD204" s="124" t="str">
        <f>IF($B204="","",IF(BD$3=0,"n.b.",INDEX(SRC_ZPMW03!$A$1:$ZZ$501,$A204,BD$3)))</f>
        <v/>
      </c>
      <c r="BE204" s="124" t="str">
        <f>IF($B204="","",IF(BE$3=0,"n.b.",INDEX(SRC_ZPMW03!$A$1:$ZZ$501,$A204,BE$3)))</f>
        <v/>
      </c>
      <c r="BF204" s="124" t="str">
        <f>IF($B204="","",IF(BF$3=0,"n.b.",INDEX(SRC_ZPMW03!$A$1:$ZZ$501,$A204,BF$3)))</f>
        <v/>
      </c>
      <c r="BG204" t="str">
        <f>IF($B204="","",IF(BG$3=0,"n.b.",INDEX(SRC_ZPMW03!$A$1:$ZZ$501,$A204,BG$3)))</f>
        <v/>
      </c>
      <c r="BH204" t="str">
        <f>IF($B204="","",IF(BH$3=0,"n.b.",INDEX(SRC_ZPMW03!$A$1:$ZZ$501,$A204,BH$3)))</f>
        <v/>
      </c>
      <c r="BI204" t="str">
        <f>IF($B204="","",IF(BI$3=0,"n.b.",INDEX(SRC_ZPMW03!$A$1:$ZZ$501,$A204,BI$3)))</f>
        <v/>
      </c>
      <c r="BJ204" t="str">
        <f>IF($B204="","",IF(BJ$3=0,"n.b.",INDEX(SRC_ZPMW03!$A$1:$ZZ$501,$A204,BJ$3)))</f>
        <v/>
      </c>
      <c r="BK204" s="124" t="str">
        <f>IF($B204="","",IFERROR(-O204,"n.b."))</f>
        <v/>
      </c>
      <c r="BL204" s="124" t="str">
        <f>IF($B204="","",IFERROR(-Q204,"n.b."))</f>
        <v/>
      </c>
      <c r="BM204" s="124" t="str">
        <f>IF($B204="","",IFERROR(-AB204,"n.b."))</f>
        <v/>
      </c>
      <c r="BN204" s="124" t="str">
        <f>IF($B204="","",IFERROR(-AD204,"n.b."))</f>
        <v/>
      </c>
      <c r="BO204" s="124" t="str">
        <f>IF($B204="","",IFERROR(BK204+BM204,"n.b."))</f>
        <v/>
      </c>
      <c r="BP204" s="124" t="str">
        <f>IF($B204="","",IFERROR(BL204+BN204,"n.b."))</f>
        <v/>
      </c>
      <c r="BQ204" s="124" t="str">
        <f>IF($B204="","",IFERROR(-AM204,"n.b."))</f>
        <v/>
      </c>
      <c r="BR204" s="124" t="str">
        <f>IF($B204="","",IFERROR(-AO204,"n.b."))</f>
        <v/>
      </c>
      <c r="BS204" s="124" t="str">
        <f>IF($B204="","",IFERROR(-Z204,"n.b."))</f>
        <v/>
      </c>
      <c r="BT204" s="124" t="str">
        <f>IF($B204="","",IFERROR(-AA204,"n.b."))</f>
        <v/>
      </c>
      <c r="BU204" s="124" t="str">
        <f>IF($B204="","",IFERROR(-AE204,"n.b."))</f>
        <v/>
      </c>
      <c r="BV204" s="124" t="str">
        <f>IF($B204="","",IFERROR(-AF204,"n.b."))</f>
        <v/>
      </c>
      <c r="BW204" s="124" t="str">
        <f>IF($B204="","",IFERROR(-AG204,"n.b."))</f>
        <v/>
      </c>
      <c r="BX204" s="124" t="str">
        <f>IF($B204="","",IFERROR(-AH204,"n.b."))</f>
        <v/>
      </c>
      <c r="BY204" s="124" t="str">
        <f>IF($B204="","",IFERROR(-AI204,"n.b."))</f>
        <v/>
      </c>
      <c r="BZ204" s="124" t="str">
        <f>IF($B204="","",IFERROR(-AJ204,"n.b."))</f>
        <v/>
      </c>
      <c r="CA204" s="124" t="str">
        <f>IF($B204="","",IFERROR(-AK204,"n.b."))</f>
        <v/>
      </c>
      <c r="CB204" s="124" t="str">
        <f>IF($B204="","",IFERROR(-AL204,"n.b."))</f>
        <v/>
      </c>
      <c r="CC204" s="124" t="str">
        <f>IF($B204="","",IFERROR(-AP204,"n.b."))</f>
        <v/>
      </c>
      <c r="CD204" s="124" t="str">
        <f>IF($B204="","",IFERROR(-AQ204,"n.b."))</f>
        <v/>
      </c>
      <c r="CE204" s="124" t="str">
        <f>IF($B204="","",IFERROR(-AR204,"n.b."))</f>
        <v/>
      </c>
      <c r="CF204" s="124" t="str">
        <f>IF($B204="","",IFERROR(-AS204,"n.b."))</f>
        <v/>
      </c>
      <c r="CG204" s="124" t="str">
        <f>IF($B204="","",IFERROR(-AT204,"n.b."))</f>
        <v/>
      </c>
      <c r="CH204" s="124" t="str">
        <f>IF($B204="","",IFERROR(-AU204,"n.b."))</f>
        <v/>
      </c>
      <c r="CI204" s="124" t="str">
        <f>IF($B204="","",IFERROR(-AV204,"n.b."))</f>
        <v/>
      </c>
      <c r="CJ204" s="124" t="str">
        <f>IF($B204="","",IFERROR(-AW204,"n.b."))</f>
        <v/>
      </c>
      <c r="CK204" s="124" t="str">
        <f>IF($B204="","",IFERROR(-AX204,"n.b."))</f>
        <v/>
      </c>
      <c r="CL204" s="124" t="str">
        <f>IF($B204="","",IFERROR(-AY204,"n.b."))</f>
        <v/>
      </c>
      <c r="CM204" s="124" t="str">
        <f>IF($B204="","",IFERROR(-AZ204,"n.b."))</f>
        <v/>
      </c>
      <c r="CN204" s="124" t="str">
        <f>IF($B204="","",IFERROR(-BA204,"n.b."))</f>
        <v/>
      </c>
      <c r="CO204" s="124" t="str">
        <f>IF($B204="","",IFERROR(-BB204,"n.b."))</f>
        <v/>
      </c>
      <c r="CP204" s="124" t="str">
        <f>IF($B204="","",IFERROR(-BC204,"n.b."))</f>
        <v/>
      </c>
      <c r="CQ204" s="124" t="str">
        <f>IF($B204="","",IFERROR(-BD204,"n.b."))</f>
        <v/>
      </c>
      <c r="CR204" s="124" t="str">
        <f>IF($B204="","",IFERROR(-BE204,"n.b."))</f>
        <v/>
      </c>
      <c r="CS204" s="124" t="str">
        <f>IF($B204="","",IFERROR(IF(OR(ABS(T204+V204+X204+Z204-AB204)&gt;P_Tol,ABS(U204+W204+Y204+AA204-AD204)&gt;P_Tol,ABS(AE204+AG204+AI204+AK204-AM204)&gt;P_Tol,ABS(AF204+AH204+AJ204+AL204-AO204)&gt;P_Tol),1,0),1))</f>
        <v/>
      </c>
      <c r="CT204" s="124" t="str">
        <f>IF($B204="","",IFERROR(IF(OR(ABS(AB204+AC204-AD204)&gt;P_Tol,ABS(AM204+AN204-AO204)&gt;P_Tol,ABS(O204+P204-Q204)&gt;P_Tol),1,0),1))</f>
        <v/>
      </c>
      <c r="CU204" s="124" t="str">
        <f>IF($B204="","",IFERROR(IF(ABS(R204-(AB204+AM204+AP204+AR204+AT204+AV204+AX204+AZ204+BB204+BD204))&gt;P_Tol,1,0),1))</f>
        <v/>
      </c>
      <c r="CV204" s="124" t="str">
        <f>IF($B204="","",IFERROR(IF(ABS(M204-(N204+O204+R204))&gt;P_Tol,1,0),1))</f>
        <v/>
      </c>
      <c r="CW204" s="124" t="str">
        <f>IF($B204="","",IF(COUNTIF(Mapping!$A$5:$A$104,B204)&gt;0,1,0))</f>
        <v/>
      </c>
      <c r="CX204" s="124" t="str">
        <f>IF($B204="","",COUNTIF($B$6:$B$505,B204))</f>
        <v/>
      </c>
      <c r="CY204" s="124" t="str">
        <f>IF($B204="","",COUNTIF(STG_Woningetalage!$B$6:$B$505,B204))</f>
        <v/>
      </c>
      <c r="CZ204" s="124" t="str">
        <f>IF($B204="","",IF(CW204=0,COUNTIF($CW$6:CW204,0),""))</f>
        <v/>
      </c>
    </row>
    <row r="205">
      <c r="A205" s="15" t="n">
        <v>201</v>
      </c>
      <c r="B205" t="str">
        <f>IF(B$3=0,"",IF(INDEX(SRC_ZPMW03!$A$1:$ZZ$501,$A205,B$3)&amp;""="","",INDEX(SRC_ZPMW03!$A$1:$ZZ$501,$A205,B$3)&amp;""))</f>
        <v/>
      </c>
      <c r="C205" t="str">
        <f>IF($B205="","",IF(C$3=0,"n.b.",INDEX(SRC_ZPMW03!$A$1:$ZZ$501,$A205,C$3)))</f>
        <v/>
      </c>
      <c r="D205" t="str">
        <f>IF($B205="","",IF(D$3=0,"n.b.",INDEX(SRC_ZPMW03!$A$1:$ZZ$501,$A205,D$3)))</f>
        <v/>
      </c>
      <c r="E205" t="str">
        <f>IF($B205="","",IF(E$3=0,"n.b.",INDEX(SRC_ZPMW03!$A$1:$ZZ$501,$A205,E$3)))</f>
        <v/>
      </c>
      <c r="F205" t="str">
        <f>IF($B205="","",IF(F$3=0,"n.b.",INDEX(SRC_ZPMW03!$A$1:$ZZ$501,$A205,F$3)))</f>
        <v/>
      </c>
      <c r="G205" t="str">
        <f>IF($B205="","",IF(G$3=0,"n.b.",INDEX(SRC_ZPMW03!$A$1:$ZZ$501,$A205,G$3)))</f>
        <v/>
      </c>
      <c r="H205" t="str">
        <f>IF($B205="","",IF(H$3=0,"n.b.",INDEX(SRC_ZPMW03!$A$1:$ZZ$501,$A205,H$3)))</f>
        <v/>
      </c>
      <c r="I205" t="str">
        <f>IF($B205="","",IF(I$3=0,"n.b.",INDEX(SRC_ZPMW03!$A$1:$ZZ$501,$A205,I$3)))</f>
        <v/>
      </c>
      <c r="J205" t="str">
        <f>IF($B205="","",IF(J$3=0,"n.b.",INDEX(SRC_ZPMW03!$A$1:$ZZ$501,$A205,J$3)))</f>
        <v/>
      </c>
      <c r="K205" t="str">
        <f>IF($B205="","",IF(K$3=0,"n.b.",INDEX(SRC_ZPMW03!$A$1:$ZZ$501,$A205,K$3)))</f>
        <v/>
      </c>
      <c r="L205" s="124" t="str">
        <f>IF($B205="","",IF(L$3=0,"n.b.",INDEX(SRC_ZPMW03!$A$1:$ZZ$501,$A205,L$3)))</f>
        <v/>
      </c>
      <c r="M205" s="124" t="str">
        <f>IF($B205="","",IF(M$3=0,"n.b.",INDEX(SRC_ZPMW03!$A$1:$ZZ$501,$A205,M$3)))</f>
        <v/>
      </c>
      <c r="N205" s="124" t="str">
        <f>IF($B205="","",IF(N$3=0,"n.b.",INDEX(SRC_ZPMW03!$A$1:$ZZ$501,$A205,N$3)))</f>
        <v/>
      </c>
      <c r="O205" s="124" t="str">
        <f>IF($B205="","",IF(O$3=0,"n.b.",INDEX(SRC_ZPMW03!$A$1:$ZZ$501,$A205,O$3)))</f>
        <v/>
      </c>
      <c r="P205" s="124" t="str">
        <f>IF($B205="","",IF(P$3=0,"n.b.",INDEX(SRC_ZPMW03!$A$1:$ZZ$501,$A205,P$3)))</f>
        <v/>
      </c>
      <c r="Q205" s="124" t="str">
        <f>IF($B205="","",IF(Q$3=0,"n.b.",INDEX(SRC_ZPMW03!$A$1:$ZZ$501,$A205,Q$3)))</f>
        <v/>
      </c>
      <c r="R205" s="124" t="str">
        <f>IF($B205="","",IF(R$3=0,"n.b.",INDEX(SRC_ZPMW03!$A$1:$ZZ$501,$A205,R$3)))</f>
        <v/>
      </c>
      <c r="S205" s="124" t="str">
        <f>IF($B205="","",IF(S$3=0,"n.b.",INDEX(SRC_ZPMW03!$A$1:$ZZ$501,$A205,S$3)))</f>
        <v/>
      </c>
      <c r="T205" s="124" t="str">
        <f>IF($B205="","",IF(T$3=0,"n.b.",INDEX(SRC_ZPMW03!$A$1:$ZZ$501,$A205,T$3)))</f>
        <v/>
      </c>
      <c r="U205" s="124" t="str">
        <f>IF($B205="","",IF(U$3=0,"n.b.",INDEX(SRC_ZPMW03!$A$1:$ZZ$501,$A205,U$3)))</f>
        <v/>
      </c>
      <c r="V205" s="124" t="str">
        <f>IF($B205="","",IF(V$3=0,"n.b.",INDEX(SRC_ZPMW03!$A$1:$ZZ$501,$A205,V$3)))</f>
        <v/>
      </c>
      <c r="W205" s="124" t="str">
        <f>IF($B205="","",IF(W$3=0,"n.b.",INDEX(SRC_ZPMW03!$A$1:$ZZ$501,$A205,W$3)))</f>
        <v/>
      </c>
      <c r="X205" s="124" t="str">
        <f>IF($B205="","",IF(X$3=0,"n.b.",INDEX(SRC_ZPMW03!$A$1:$ZZ$501,$A205,X$3)))</f>
        <v/>
      </c>
      <c r="Y205" s="124" t="str">
        <f>IF($B205="","",IF(Y$3=0,"n.b.",INDEX(SRC_ZPMW03!$A$1:$ZZ$501,$A205,Y$3)))</f>
        <v/>
      </c>
      <c r="Z205" s="124" t="str">
        <f>IF($B205="","",IF(Z$3=0,"n.b.",INDEX(SRC_ZPMW03!$A$1:$ZZ$501,$A205,Z$3)))</f>
        <v/>
      </c>
      <c r="AA205" s="124" t="str">
        <f>IF($B205="","",IF(AA$3=0,"n.b.",INDEX(SRC_ZPMW03!$A$1:$ZZ$501,$A205,AA$3)))</f>
        <v/>
      </c>
      <c r="AB205" s="124" t="str">
        <f>IF($B205="","",IF(AB$3=0,"n.b.",INDEX(SRC_ZPMW03!$A$1:$ZZ$501,$A205,AB$3)))</f>
        <v/>
      </c>
      <c r="AC205" s="124" t="str">
        <f>IF($B205="","",IF(AC$3=0,"n.b.",INDEX(SRC_ZPMW03!$A$1:$ZZ$501,$A205,AC$3)))</f>
        <v/>
      </c>
      <c r="AD205" s="124" t="str">
        <f>IF($B205="","",IF(AD$3=0,"n.b.",INDEX(SRC_ZPMW03!$A$1:$ZZ$501,$A205,AD$3)))</f>
        <v/>
      </c>
      <c r="AE205" s="124" t="str">
        <f>IF($B205="","",IF(AE$3=0,"n.b.",INDEX(SRC_ZPMW03!$A$1:$ZZ$501,$A205,AE$3)))</f>
        <v/>
      </c>
      <c r="AF205" s="124" t="str">
        <f>IF($B205="","",IF(AF$3=0,"n.b.",INDEX(SRC_ZPMW03!$A$1:$ZZ$501,$A205,AF$3)))</f>
        <v/>
      </c>
      <c r="AG205" s="124" t="str">
        <f>IF($B205="","",IF(AG$3=0,"n.b.",INDEX(SRC_ZPMW03!$A$1:$ZZ$501,$A205,AG$3)))</f>
        <v/>
      </c>
      <c r="AH205" s="124" t="str">
        <f>IF($B205="","",IF(AH$3=0,"n.b.",INDEX(SRC_ZPMW03!$A$1:$ZZ$501,$A205,AH$3)))</f>
        <v/>
      </c>
      <c r="AI205" s="124" t="str">
        <f>IF($B205="","",IF(AI$3=0,"n.b.",INDEX(SRC_ZPMW03!$A$1:$ZZ$501,$A205,AI$3)))</f>
        <v/>
      </c>
      <c r="AJ205" s="124" t="str">
        <f>IF($B205="","",IF(AJ$3=0,"n.b.",INDEX(SRC_ZPMW03!$A$1:$ZZ$501,$A205,AJ$3)))</f>
        <v/>
      </c>
      <c r="AK205" s="124" t="str">
        <f>IF($B205="","",IF(AK$3=0,"n.b.",INDEX(SRC_ZPMW03!$A$1:$ZZ$501,$A205,AK$3)))</f>
        <v/>
      </c>
      <c r="AL205" s="124" t="str">
        <f>IF($B205="","",IF(AL$3=0,"n.b.",INDEX(SRC_ZPMW03!$A$1:$ZZ$501,$A205,AL$3)))</f>
        <v/>
      </c>
      <c r="AM205" s="124" t="str">
        <f>IF($B205="","",IF(AM$3=0,"n.b.",INDEX(SRC_ZPMW03!$A$1:$ZZ$501,$A205,AM$3)))</f>
        <v/>
      </c>
      <c r="AN205" s="124" t="str">
        <f>IF($B205="","",IF(AN$3=0,"n.b.",INDEX(SRC_ZPMW03!$A$1:$ZZ$501,$A205,AN$3)))</f>
        <v/>
      </c>
      <c r="AO205" s="124" t="str">
        <f>IF($B205="","",IF(AO$3=0,"n.b.",INDEX(SRC_ZPMW03!$A$1:$ZZ$501,$A205,AO$3)))</f>
        <v/>
      </c>
      <c r="AP205" s="124" t="str">
        <f>IF($B205="","",IF(AP$3=0,"n.b.",INDEX(SRC_ZPMW03!$A$1:$ZZ$501,$A205,AP$3)))</f>
        <v/>
      </c>
      <c r="AQ205" s="124" t="str">
        <f>IF($B205="","",IF(AQ$3=0,"n.b.",INDEX(SRC_ZPMW03!$A$1:$ZZ$501,$A205,AQ$3)))</f>
        <v/>
      </c>
      <c r="AR205" s="124" t="str">
        <f>IF($B205="","",IF(AR$3=0,"n.b.",INDEX(SRC_ZPMW03!$A$1:$ZZ$501,$A205,AR$3)))</f>
        <v/>
      </c>
      <c r="AS205" s="124" t="str">
        <f>IF($B205="","",IF(AS$3=0,"n.b.",INDEX(SRC_ZPMW03!$A$1:$ZZ$501,$A205,AS$3)))</f>
        <v/>
      </c>
      <c r="AT205" s="124" t="str">
        <f>IF($B205="","",IF(AT$3=0,"n.b.",INDEX(SRC_ZPMW03!$A$1:$ZZ$501,$A205,AT$3)))</f>
        <v/>
      </c>
      <c r="AU205" s="124" t="str">
        <f>IF($B205="","",IF(AU$3=0,"n.b.",INDEX(SRC_ZPMW03!$A$1:$ZZ$501,$A205,AU$3)))</f>
        <v/>
      </c>
      <c r="AV205" s="124" t="str">
        <f>IF($B205="","",IF(AV$3=0,"n.b.",INDEX(SRC_ZPMW03!$A$1:$ZZ$501,$A205,AV$3)))</f>
        <v/>
      </c>
      <c r="AW205" s="124" t="str">
        <f>IF($B205="","",IF(AW$3=0,"n.b.",INDEX(SRC_ZPMW03!$A$1:$ZZ$501,$A205,AW$3)))</f>
        <v/>
      </c>
      <c r="AX205" s="124" t="str">
        <f>IF($B205="","",IF(AX$3=0,"n.b.",INDEX(SRC_ZPMW03!$A$1:$ZZ$501,$A205,AX$3)))</f>
        <v/>
      </c>
      <c r="AY205" s="124" t="str">
        <f>IF($B205="","",IF(AY$3=0,"n.b.",INDEX(SRC_ZPMW03!$A$1:$ZZ$501,$A205,AY$3)))</f>
        <v/>
      </c>
      <c r="AZ205" s="124" t="str">
        <f>IF($B205="","",IF(AZ$3=0,"n.b.",INDEX(SRC_ZPMW03!$A$1:$ZZ$501,$A205,AZ$3)))</f>
        <v/>
      </c>
      <c r="BA205" s="124" t="str">
        <f>IF($B205="","",IF(BA$3=0,"n.b.",INDEX(SRC_ZPMW03!$A$1:$ZZ$501,$A205,BA$3)))</f>
        <v/>
      </c>
      <c r="BB205" s="124" t="str">
        <f>IF($B205="","",IF(BB$3=0,"n.b.",INDEX(SRC_ZPMW03!$A$1:$ZZ$501,$A205,BB$3)))</f>
        <v/>
      </c>
      <c r="BC205" s="124" t="str">
        <f>IF($B205="","",IF(BC$3=0,"n.b.",INDEX(SRC_ZPMW03!$A$1:$ZZ$501,$A205,BC$3)))</f>
        <v/>
      </c>
      <c r="BD205" s="124" t="str">
        <f>IF($B205="","",IF(BD$3=0,"n.b.",INDEX(SRC_ZPMW03!$A$1:$ZZ$501,$A205,BD$3)))</f>
        <v/>
      </c>
      <c r="BE205" s="124" t="str">
        <f>IF($B205="","",IF(BE$3=0,"n.b.",INDEX(SRC_ZPMW03!$A$1:$ZZ$501,$A205,BE$3)))</f>
        <v/>
      </c>
      <c r="BF205" s="124" t="str">
        <f>IF($B205="","",IF(BF$3=0,"n.b.",INDEX(SRC_ZPMW03!$A$1:$ZZ$501,$A205,BF$3)))</f>
        <v/>
      </c>
      <c r="BG205" t="str">
        <f>IF($B205="","",IF(BG$3=0,"n.b.",INDEX(SRC_ZPMW03!$A$1:$ZZ$501,$A205,BG$3)))</f>
        <v/>
      </c>
      <c r="BH205" t="str">
        <f>IF($B205="","",IF(BH$3=0,"n.b.",INDEX(SRC_ZPMW03!$A$1:$ZZ$501,$A205,BH$3)))</f>
        <v/>
      </c>
      <c r="BI205" t="str">
        <f>IF($B205="","",IF(BI$3=0,"n.b.",INDEX(SRC_ZPMW03!$A$1:$ZZ$501,$A205,BI$3)))</f>
        <v/>
      </c>
      <c r="BJ205" t="str">
        <f>IF($B205="","",IF(BJ$3=0,"n.b.",INDEX(SRC_ZPMW03!$A$1:$ZZ$501,$A205,BJ$3)))</f>
        <v/>
      </c>
      <c r="BK205" s="124" t="str">
        <f>IF($B205="","",IFERROR(-O205,"n.b."))</f>
        <v/>
      </c>
      <c r="BL205" s="124" t="str">
        <f>IF($B205="","",IFERROR(-Q205,"n.b."))</f>
        <v/>
      </c>
      <c r="BM205" s="124" t="str">
        <f>IF($B205="","",IFERROR(-AB205,"n.b."))</f>
        <v/>
      </c>
      <c r="BN205" s="124" t="str">
        <f>IF($B205="","",IFERROR(-AD205,"n.b."))</f>
        <v/>
      </c>
      <c r="BO205" s="124" t="str">
        <f>IF($B205="","",IFERROR(BK205+BM205,"n.b."))</f>
        <v/>
      </c>
      <c r="BP205" s="124" t="str">
        <f>IF($B205="","",IFERROR(BL205+BN205,"n.b."))</f>
        <v/>
      </c>
      <c r="BQ205" s="124" t="str">
        <f>IF($B205="","",IFERROR(-AM205,"n.b."))</f>
        <v/>
      </c>
      <c r="BR205" s="124" t="str">
        <f>IF($B205="","",IFERROR(-AO205,"n.b."))</f>
        <v/>
      </c>
      <c r="BS205" s="124" t="str">
        <f>IF($B205="","",IFERROR(-Z205,"n.b."))</f>
        <v/>
      </c>
      <c r="BT205" s="124" t="str">
        <f>IF($B205="","",IFERROR(-AA205,"n.b."))</f>
        <v/>
      </c>
      <c r="BU205" s="124" t="str">
        <f>IF($B205="","",IFERROR(-AE205,"n.b."))</f>
        <v/>
      </c>
      <c r="BV205" s="124" t="str">
        <f>IF($B205="","",IFERROR(-AF205,"n.b."))</f>
        <v/>
      </c>
      <c r="BW205" s="124" t="str">
        <f>IF($B205="","",IFERROR(-AG205,"n.b."))</f>
        <v/>
      </c>
      <c r="BX205" s="124" t="str">
        <f>IF($B205="","",IFERROR(-AH205,"n.b."))</f>
        <v/>
      </c>
      <c r="BY205" s="124" t="str">
        <f>IF($B205="","",IFERROR(-AI205,"n.b."))</f>
        <v/>
      </c>
      <c r="BZ205" s="124" t="str">
        <f>IF($B205="","",IFERROR(-AJ205,"n.b."))</f>
        <v/>
      </c>
      <c r="CA205" s="124" t="str">
        <f>IF($B205="","",IFERROR(-AK205,"n.b."))</f>
        <v/>
      </c>
      <c r="CB205" s="124" t="str">
        <f>IF($B205="","",IFERROR(-AL205,"n.b."))</f>
        <v/>
      </c>
      <c r="CC205" s="124" t="str">
        <f>IF($B205="","",IFERROR(-AP205,"n.b."))</f>
        <v/>
      </c>
      <c r="CD205" s="124" t="str">
        <f>IF($B205="","",IFERROR(-AQ205,"n.b."))</f>
        <v/>
      </c>
      <c r="CE205" s="124" t="str">
        <f>IF($B205="","",IFERROR(-AR205,"n.b."))</f>
        <v/>
      </c>
      <c r="CF205" s="124" t="str">
        <f>IF($B205="","",IFERROR(-AS205,"n.b."))</f>
        <v/>
      </c>
      <c r="CG205" s="124" t="str">
        <f>IF($B205="","",IFERROR(-AT205,"n.b."))</f>
        <v/>
      </c>
      <c r="CH205" s="124" t="str">
        <f>IF($B205="","",IFERROR(-AU205,"n.b."))</f>
        <v/>
      </c>
      <c r="CI205" s="124" t="str">
        <f>IF($B205="","",IFERROR(-AV205,"n.b."))</f>
        <v/>
      </c>
      <c r="CJ205" s="124" t="str">
        <f>IF($B205="","",IFERROR(-AW205,"n.b."))</f>
        <v/>
      </c>
      <c r="CK205" s="124" t="str">
        <f>IF($B205="","",IFERROR(-AX205,"n.b."))</f>
        <v/>
      </c>
      <c r="CL205" s="124" t="str">
        <f>IF($B205="","",IFERROR(-AY205,"n.b."))</f>
        <v/>
      </c>
      <c r="CM205" s="124" t="str">
        <f>IF($B205="","",IFERROR(-AZ205,"n.b."))</f>
        <v/>
      </c>
      <c r="CN205" s="124" t="str">
        <f>IF($B205="","",IFERROR(-BA205,"n.b."))</f>
        <v/>
      </c>
      <c r="CO205" s="124" t="str">
        <f>IF($B205="","",IFERROR(-BB205,"n.b."))</f>
        <v/>
      </c>
      <c r="CP205" s="124" t="str">
        <f>IF($B205="","",IFERROR(-BC205,"n.b."))</f>
        <v/>
      </c>
      <c r="CQ205" s="124" t="str">
        <f>IF($B205="","",IFERROR(-BD205,"n.b."))</f>
        <v/>
      </c>
      <c r="CR205" s="124" t="str">
        <f>IF($B205="","",IFERROR(-BE205,"n.b."))</f>
        <v/>
      </c>
      <c r="CS205" s="124" t="str">
        <f>IF($B205="","",IFERROR(IF(OR(ABS(T205+V205+X205+Z205-AB205)&gt;P_Tol,ABS(U205+W205+Y205+AA205-AD205)&gt;P_Tol,ABS(AE205+AG205+AI205+AK205-AM205)&gt;P_Tol,ABS(AF205+AH205+AJ205+AL205-AO205)&gt;P_Tol),1,0),1))</f>
        <v/>
      </c>
      <c r="CT205" s="124" t="str">
        <f>IF($B205="","",IFERROR(IF(OR(ABS(AB205+AC205-AD205)&gt;P_Tol,ABS(AM205+AN205-AO205)&gt;P_Tol,ABS(O205+P205-Q205)&gt;P_Tol),1,0),1))</f>
        <v/>
      </c>
      <c r="CU205" s="124" t="str">
        <f>IF($B205="","",IFERROR(IF(ABS(R205-(AB205+AM205+AP205+AR205+AT205+AV205+AX205+AZ205+BB205+BD205))&gt;P_Tol,1,0),1))</f>
        <v/>
      </c>
      <c r="CV205" s="124" t="str">
        <f>IF($B205="","",IFERROR(IF(ABS(M205-(N205+O205+R205))&gt;P_Tol,1,0),1))</f>
        <v/>
      </c>
      <c r="CW205" s="124" t="str">
        <f>IF($B205="","",IF(COUNTIF(Mapping!$A$5:$A$104,B205)&gt;0,1,0))</f>
        <v/>
      </c>
      <c r="CX205" s="124" t="str">
        <f>IF($B205="","",COUNTIF($B$6:$B$505,B205))</f>
        <v/>
      </c>
      <c r="CY205" s="124" t="str">
        <f>IF($B205="","",COUNTIF(STG_Woningetalage!$B$6:$B$505,B205))</f>
        <v/>
      </c>
      <c r="CZ205" s="124" t="str">
        <f>IF($B205="","",IF(CW205=0,COUNTIF($CW$6:CW205,0),""))</f>
        <v/>
      </c>
    </row>
    <row r="206">
      <c r="A206" s="15" t="n">
        <v>202</v>
      </c>
      <c r="B206" t="str">
        <f>IF(B$3=0,"",IF(INDEX(SRC_ZPMW03!$A$1:$ZZ$501,$A206,B$3)&amp;""="","",INDEX(SRC_ZPMW03!$A$1:$ZZ$501,$A206,B$3)&amp;""))</f>
        <v/>
      </c>
      <c r="C206" t="str">
        <f>IF($B206="","",IF(C$3=0,"n.b.",INDEX(SRC_ZPMW03!$A$1:$ZZ$501,$A206,C$3)))</f>
        <v/>
      </c>
      <c r="D206" t="str">
        <f>IF($B206="","",IF(D$3=0,"n.b.",INDEX(SRC_ZPMW03!$A$1:$ZZ$501,$A206,D$3)))</f>
        <v/>
      </c>
      <c r="E206" t="str">
        <f>IF($B206="","",IF(E$3=0,"n.b.",INDEX(SRC_ZPMW03!$A$1:$ZZ$501,$A206,E$3)))</f>
        <v/>
      </c>
      <c r="F206" t="str">
        <f>IF($B206="","",IF(F$3=0,"n.b.",INDEX(SRC_ZPMW03!$A$1:$ZZ$501,$A206,F$3)))</f>
        <v/>
      </c>
      <c r="G206" t="str">
        <f>IF($B206="","",IF(G$3=0,"n.b.",INDEX(SRC_ZPMW03!$A$1:$ZZ$501,$A206,G$3)))</f>
        <v/>
      </c>
      <c r="H206" t="str">
        <f>IF($B206="","",IF(H$3=0,"n.b.",INDEX(SRC_ZPMW03!$A$1:$ZZ$501,$A206,H$3)))</f>
        <v/>
      </c>
      <c r="I206" t="str">
        <f>IF($B206="","",IF(I$3=0,"n.b.",INDEX(SRC_ZPMW03!$A$1:$ZZ$501,$A206,I$3)))</f>
        <v/>
      </c>
      <c r="J206" t="str">
        <f>IF($B206="","",IF(J$3=0,"n.b.",INDEX(SRC_ZPMW03!$A$1:$ZZ$501,$A206,J$3)))</f>
        <v/>
      </c>
      <c r="K206" t="str">
        <f>IF($B206="","",IF(K$3=0,"n.b.",INDEX(SRC_ZPMW03!$A$1:$ZZ$501,$A206,K$3)))</f>
        <v/>
      </c>
      <c r="L206" s="124" t="str">
        <f>IF($B206="","",IF(L$3=0,"n.b.",INDEX(SRC_ZPMW03!$A$1:$ZZ$501,$A206,L$3)))</f>
        <v/>
      </c>
      <c r="M206" s="124" t="str">
        <f>IF($B206="","",IF(M$3=0,"n.b.",INDEX(SRC_ZPMW03!$A$1:$ZZ$501,$A206,M$3)))</f>
        <v/>
      </c>
      <c r="N206" s="124" t="str">
        <f>IF($B206="","",IF(N$3=0,"n.b.",INDEX(SRC_ZPMW03!$A$1:$ZZ$501,$A206,N$3)))</f>
        <v/>
      </c>
      <c r="O206" s="124" t="str">
        <f>IF($B206="","",IF(O$3=0,"n.b.",INDEX(SRC_ZPMW03!$A$1:$ZZ$501,$A206,O$3)))</f>
        <v/>
      </c>
      <c r="P206" s="124" t="str">
        <f>IF($B206="","",IF(P$3=0,"n.b.",INDEX(SRC_ZPMW03!$A$1:$ZZ$501,$A206,P$3)))</f>
        <v/>
      </c>
      <c r="Q206" s="124" t="str">
        <f>IF($B206="","",IF(Q$3=0,"n.b.",INDEX(SRC_ZPMW03!$A$1:$ZZ$501,$A206,Q$3)))</f>
        <v/>
      </c>
      <c r="R206" s="124" t="str">
        <f>IF($B206="","",IF(R$3=0,"n.b.",INDEX(SRC_ZPMW03!$A$1:$ZZ$501,$A206,R$3)))</f>
        <v/>
      </c>
      <c r="S206" s="124" t="str">
        <f>IF($B206="","",IF(S$3=0,"n.b.",INDEX(SRC_ZPMW03!$A$1:$ZZ$501,$A206,S$3)))</f>
        <v/>
      </c>
      <c r="T206" s="124" t="str">
        <f>IF($B206="","",IF(T$3=0,"n.b.",INDEX(SRC_ZPMW03!$A$1:$ZZ$501,$A206,T$3)))</f>
        <v/>
      </c>
      <c r="U206" s="124" t="str">
        <f>IF($B206="","",IF(U$3=0,"n.b.",INDEX(SRC_ZPMW03!$A$1:$ZZ$501,$A206,U$3)))</f>
        <v/>
      </c>
      <c r="V206" s="124" t="str">
        <f>IF($B206="","",IF(V$3=0,"n.b.",INDEX(SRC_ZPMW03!$A$1:$ZZ$501,$A206,V$3)))</f>
        <v/>
      </c>
      <c r="W206" s="124" t="str">
        <f>IF($B206="","",IF(W$3=0,"n.b.",INDEX(SRC_ZPMW03!$A$1:$ZZ$501,$A206,W$3)))</f>
        <v/>
      </c>
      <c r="X206" s="124" t="str">
        <f>IF($B206="","",IF(X$3=0,"n.b.",INDEX(SRC_ZPMW03!$A$1:$ZZ$501,$A206,X$3)))</f>
        <v/>
      </c>
      <c r="Y206" s="124" t="str">
        <f>IF($B206="","",IF(Y$3=0,"n.b.",INDEX(SRC_ZPMW03!$A$1:$ZZ$501,$A206,Y$3)))</f>
        <v/>
      </c>
      <c r="Z206" s="124" t="str">
        <f>IF($B206="","",IF(Z$3=0,"n.b.",INDEX(SRC_ZPMW03!$A$1:$ZZ$501,$A206,Z$3)))</f>
        <v/>
      </c>
      <c r="AA206" s="124" t="str">
        <f>IF($B206="","",IF(AA$3=0,"n.b.",INDEX(SRC_ZPMW03!$A$1:$ZZ$501,$A206,AA$3)))</f>
        <v/>
      </c>
      <c r="AB206" s="124" t="str">
        <f>IF($B206="","",IF(AB$3=0,"n.b.",INDEX(SRC_ZPMW03!$A$1:$ZZ$501,$A206,AB$3)))</f>
        <v/>
      </c>
      <c r="AC206" s="124" t="str">
        <f>IF($B206="","",IF(AC$3=0,"n.b.",INDEX(SRC_ZPMW03!$A$1:$ZZ$501,$A206,AC$3)))</f>
        <v/>
      </c>
      <c r="AD206" s="124" t="str">
        <f>IF($B206="","",IF(AD$3=0,"n.b.",INDEX(SRC_ZPMW03!$A$1:$ZZ$501,$A206,AD$3)))</f>
        <v/>
      </c>
      <c r="AE206" s="124" t="str">
        <f>IF($B206="","",IF(AE$3=0,"n.b.",INDEX(SRC_ZPMW03!$A$1:$ZZ$501,$A206,AE$3)))</f>
        <v/>
      </c>
      <c r="AF206" s="124" t="str">
        <f>IF($B206="","",IF(AF$3=0,"n.b.",INDEX(SRC_ZPMW03!$A$1:$ZZ$501,$A206,AF$3)))</f>
        <v/>
      </c>
      <c r="AG206" s="124" t="str">
        <f>IF($B206="","",IF(AG$3=0,"n.b.",INDEX(SRC_ZPMW03!$A$1:$ZZ$501,$A206,AG$3)))</f>
        <v/>
      </c>
      <c r="AH206" s="124" t="str">
        <f>IF($B206="","",IF(AH$3=0,"n.b.",INDEX(SRC_ZPMW03!$A$1:$ZZ$501,$A206,AH$3)))</f>
        <v/>
      </c>
      <c r="AI206" s="124" t="str">
        <f>IF($B206="","",IF(AI$3=0,"n.b.",INDEX(SRC_ZPMW03!$A$1:$ZZ$501,$A206,AI$3)))</f>
        <v/>
      </c>
      <c r="AJ206" s="124" t="str">
        <f>IF($B206="","",IF(AJ$3=0,"n.b.",INDEX(SRC_ZPMW03!$A$1:$ZZ$501,$A206,AJ$3)))</f>
        <v/>
      </c>
      <c r="AK206" s="124" t="str">
        <f>IF($B206="","",IF(AK$3=0,"n.b.",INDEX(SRC_ZPMW03!$A$1:$ZZ$501,$A206,AK$3)))</f>
        <v/>
      </c>
      <c r="AL206" s="124" t="str">
        <f>IF($B206="","",IF(AL$3=0,"n.b.",INDEX(SRC_ZPMW03!$A$1:$ZZ$501,$A206,AL$3)))</f>
        <v/>
      </c>
      <c r="AM206" s="124" t="str">
        <f>IF($B206="","",IF(AM$3=0,"n.b.",INDEX(SRC_ZPMW03!$A$1:$ZZ$501,$A206,AM$3)))</f>
        <v/>
      </c>
      <c r="AN206" s="124" t="str">
        <f>IF($B206="","",IF(AN$3=0,"n.b.",INDEX(SRC_ZPMW03!$A$1:$ZZ$501,$A206,AN$3)))</f>
        <v/>
      </c>
      <c r="AO206" s="124" t="str">
        <f>IF($B206="","",IF(AO$3=0,"n.b.",INDEX(SRC_ZPMW03!$A$1:$ZZ$501,$A206,AO$3)))</f>
        <v/>
      </c>
      <c r="AP206" s="124" t="str">
        <f>IF($B206="","",IF(AP$3=0,"n.b.",INDEX(SRC_ZPMW03!$A$1:$ZZ$501,$A206,AP$3)))</f>
        <v/>
      </c>
      <c r="AQ206" s="124" t="str">
        <f>IF($B206="","",IF(AQ$3=0,"n.b.",INDEX(SRC_ZPMW03!$A$1:$ZZ$501,$A206,AQ$3)))</f>
        <v/>
      </c>
      <c r="AR206" s="124" t="str">
        <f>IF($B206="","",IF(AR$3=0,"n.b.",INDEX(SRC_ZPMW03!$A$1:$ZZ$501,$A206,AR$3)))</f>
        <v/>
      </c>
      <c r="AS206" s="124" t="str">
        <f>IF($B206="","",IF(AS$3=0,"n.b.",INDEX(SRC_ZPMW03!$A$1:$ZZ$501,$A206,AS$3)))</f>
        <v/>
      </c>
      <c r="AT206" s="124" t="str">
        <f>IF($B206="","",IF(AT$3=0,"n.b.",INDEX(SRC_ZPMW03!$A$1:$ZZ$501,$A206,AT$3)))</f>
        <v/>
      </c>
      <c r="AU206" s="124" t="str">
        <f>IF($B206="","",IF(AU$3=0,"n.b.",INDEX(SRC_ZPMW03!$A$1:$ZZ$501,$A206,AU$3)))</f>
        <v/>
      </c>
      <c r="AV206" s="124" t="str">
        <f>IF($B206="","",IF(AV$3=0,"n.b.",INDEX(SRC_ZPMW03!$A$1:$ZZ$501,$A206,AV$3)))</f>
        <v/>
      </c>
      <c r="AW206" s="124" t="str">
        <f>IF($B206="","",IF(AW$3=0,"n.b.",INDEX(SRC_ZPMW03!$A$1:$ZZ$501,$A206,AW$3)))</f>
        <v/>
      </c>
      <c r="AX206" s="124" t="str">
        <f>IF($B206="","",IF(AX$3=0,"n.b.",INDEX(SRC_ZPMW03!$A$1:$ZZ$501,$A206,AX$3)))</f>
        <v/>
      </c>
      <c r="AY206" s="124" t="str">
        <f>IF($B206="","",IF(AY$3=0,"n.b.",INDEX(SRC_ZPMW03!$A$1:$ZZ$501,$A206,AY$3)))</f>
        <v/>
      </c>
      <c r="AZ206" s="124" t="str">
        <f>IF($B206="","",IF(AZ$3=0,"n.b.",INDEX(SRC_ZPMW03!$A$1:$ZZ$501,$A206,AZ$3)))</f>
        <v/>
      </c>
      <c r="BA206" s="124" t="str">
        <f>IF($B206="","",IF(BA$3=0,"n.b.",INDEX(SRC_ZPMW03!$A$1:$ZZ$501,$A206,BA$3)))</f>
        <v/>
      </c>
      <c r="BB206" s="124" t="str">
        <f>IF($B206="","",IF(BB$3=0,"n.b.",INDEX(SRC_ZPMW03!$A$1:$ZZ$501,$A206,BB$3)))</f>
        <v/>
      </c>
      <c r="BC206" s="124" t="str">
        <f>IF($B206="","",IF(BC$3=0,"n.b.",INDEX(SRC_ZPMW03!$A$1:$ZZ$501,$A206,BC$3)))</f>
        <v/>
      </c>
      <c r="BD206" s="124" t="str">
        <f>IF($B206="","",IF(BD$3=0,"n.b.",INDEX(SRC_ZPMW03!$A$1:$ZZ$501,$A206,BD$3)))</f>
        <v/>
      </c>
      <c r="BE206" s="124" t="str">
        <f>IF($B206="","",IF(BE$3=0,"n.b.",INDEX(SRC_ZPMW03!$A$1:$ZZ$501,$A206,BE$3)))</f>
        <v/>
      </c>
      <c r="BF206" s="124" t="str">
        <f>IF($B206="","",IF(BF$3=0,"n.b.",INDEX(SRC_ZPMW03!$A$1:$ZZ$501,$A206,BF$3)))</f>
        <v/>
      </c>
      <c r="BG206" t="str">
        <f>IF($B206="","",IF(BG$3=0,"n.b.",INDEX(SRC_ZPMW03!$A$1:$ZZ$501,$A206,BG$3)))</f>
        <v/>
      </c>
      <c r="BH206" t="str">
        <f>IF($B206="","",IF(BH$3=0,"n.b.",INDEX(SRC_ZPMW03!$A$1:$ZZ$501,$A206,BH$3)))</f>
        <v/>
      </c>
      <c r="BI206" t="str">
        <f>IF($B206="","",IF(BI$3=0,"n.b.",INDEX(SRC_ZPMW03!$A$1:$ZZ$501,$A206,BI$3)))</f>
        <v/>
      </c>
      <c r="BJ206" t="str">
        <f>IF($B206="","",IF(BJ$3=0,"n.b.",INDEX(SRC_ZPMW03!$A$1:$ZZ$501,$A206,BJ$3)))</f>
        <v/>
      </c>
      <c r="BK206" s="124" t="str">
        <f>IF($B206="","",IFERROR(-O206,"n.b."))</f>
        <v/>
      </c>
      <c r="BL206" s="124" t="str">
        <f>IF($B206="","",IFERROR(-Q206,"n.b."))</f>
        <v/>
      </c>
      <c r="BM206" s="124" t="str">
        <f>IF($B206="","",IFERROR(-AB206,"n.b."))</f>
        <v/>
      </c>
      <c r="BN206" s="124" t="str">
        <f>IF($B206="","",IFERROR(-AD206,"n.b."))</f>
        <v/>
      </c>
      <c r="BO206" s="124" t="str">
        <f>IF($B206="","",IFERROR(BK206+BM206,"n.b."))</f>
        <v/>
      </c>
      <c r="BP206" s="124" t="str">
        <f>IF($B206="","",IFERROR(BL206+BN206,"n.b."))</f>
        <v/>
      </c>
      <c r="BQ206" s="124" t="str">
        <f>IF($B206="","",IFERROR(-AM206,"n.b."))</f>
        <v/>
      </c>
      <c r="BR206" s="124" t="str">
        <f>IF($B206="","",IFERROR(-AO206,"n.b."))</f>
        <v/>
      </c>
      <c r="BS206" s="124" t="str">
        <f>IF($B206="","",IFERROR(-Z206,"n.b."))</f>
        <v/>
      </c>
      <c r="BT206" s="124" t="str">
        <f>IF($B206="","",IFERROR(-AA206,"n.b."))</f>
        <v/>
      </c>
      <c r="BU206" s="124" t="str">
        <f>IF($B206="","",IFERROR(-AE206,"n.b."))</f>
        <v/>
      </c>
      <c r="BV206" s="124" t="str">
        <f>IF($B206="","",IFERROR(-AF206,"n.b."))</f>
        <v/>
      </c>
      <c r="BW206" s="124" t="str">
        <f>IF($B206="","",IFERROR(-AG206,"n.b."))</f>
        <v/>
      </c>
      <c r="BX206" s="124" t="str">
        <f>IF($B206="","",IFERROR(-AH206,"n.b."))</f>
        <v/>
      </c>
      <c r="BY206" s="124" t="str">
        <f>IF($B206="","",IFERROR(-AI206,"n.b."))</f>
        <v/>
      </c>
      <c r="BZ206" s="124" t="str">
        <f>IF($B206="","",IFERROR(-AJ206,"n.b."))</f>
        <v/>
      </c>
      <c r="CA206" s="124" t="str">
        <f>IF($B206="","",IFERROR(-AK206,"n.b."))</f>
        <v/>
      </c>
      <c r="CB206" s="124" t="str">
        <f>IF($B206="","",IFERROR(-AL206,"n.b."))</f>
        <v/>
      </c>
      <c r="CC206" s="124" t="str">
        <f>IF($B206="","",IFERROR(-AP206,"n.b."))</f>
        <v/>
      </c>
      <c r="CD206" s="124" t="str">
        <f>IF($B206="","",IFERROR(-AQ206,"n.b."))</f>
        <v/>
      </c>
      <c r="CE206" s="124" t="str">
        <f>IF($B206="","",IFERROR(-AR206,"n.b."))</f>
        <v/>
      </c>
      <c r="CF206" s="124" t="str">
        <f>IF($B206="","",IFERROR(-AS206,"n.b."))</f>
        <v/>
      </c>
      <c r="CG206" s="124" t="str">
        <f>IF($B206="","",IFERROR(-AT206,"n.b."))</f>
        <v/>
      </c>
      <c r="CH206" s="124" t="str">
        <f>IF($B206="","",IFERROR(-AU206,"n.b."))</f>
        <v/>
      </c>
      <c r="CI206" s="124" t="str">
        <f>IF($B206="","",IFERROR(-AV206,"n.b."))</f>
        <v/>
      </c>
      <c r="CJ206" s="124" t="str">
        <f>IF($B206="","",IFERROR(-AW206,"n.b."))</f>
        <v/>
      </c>
      <c r="CK206" s="124" t="str">
        <f>IF($B206="","",IFERROR(-AX206,"n.b."))</f>
        <v/>
      </c>
      <c r="CL206" s="124" t="str">
        <f>IF($B206="","",IFERROR(-AY206,"n.b."))</f>
        <v/>
      </c>
      <c r="CM206" s="124" t="str">
        <f>IF($B206="","",IFERROR(-AZ206,"n.b."))</f>
        <v/>
      </c>
      <c r="CN206" s="124" t="str">
        <f>IF($B206="","",IFERROR(-BA206,"n.b."))</f>
        <v/>
      </c>
      <c r="CO206" s="124" t="str">
        <f>IF($B206="","",IFERROR(-BB206,"n.b."))</f>
        <v/>
      </c>
      <c r="CP206" s="124" t="str">
        <f>IF($B206="","",IFERROR(-BC206,"n.b."))</f>
        <v/>
      </c>
      <c r="CQ206" s="124" t="str">
        <f>IF($B206="","",IFERROR(-BD206,"n.b."))</f>
        <v/>
      </c>
      <c r="CR206" s="124" t="str">
        <f>IF($B206="","",IFERROR(-BE206,"n.b."))</f>
        <v/>
      </c>
      <c r="CS206" s="124" t="str">
        <f>IF($B206="","",IFERROR(IF(OR(ABS(T206+V206+X206+Z206-AB206)&gt;P_Tol,ABS(U206+W206+Y206+AA206-AD206)&gt;P_Tol,ABS(AE206+AG206+AI206+AK206-AM206)&gt;P_Tol,ABS(AF206+AH206+AJ206+AL206-AO206)&gt;P_Tol),1,0),1))</f>
        <v/>
      </c>
      <c r="CT206" s="124" t="str">
        <f>IF($B206="","",IFERROR(IF(OR(ABS(AB206+AC206-AD206)&gt;P_Tol,ABS(AM206+AN206-AO206)&gt;P_Tol,ABS(O206+P206-Q206)&gt;P_Tol),1,0),1))</f>
        <v/>
      </c>
      <c r="CU206" s="124" t="str">
        <f>IF($B206="","",IFERROR(IF(ABS(R206-(AB206+AM206+AP206+AR206+AT206+AV206+AX206+AZ206+BB206+BD206))&gt;P_Tol,1,0),1))</f>
        <v/>
      </c>
      <c r="CV206" s="124" t="str">
        <f>IF($B206="","",IFERROR(IF(ABS(M206-(N206+O206+R206))&gt;P_Tol,1,0),1))</f>
        <v/>
      </c>
      <c r="CW206" s="124" t="str">
        <f>IF($B206="","",IF(COUNTIF(Mapping!$A$5:$A$104,B206)&gt;0,1,0))</f>
        <v/>
      </c>
      <c r="CX206" s="124" t="str">
        <f>IF($B206="","",COUNTIF($B$6:$B$505,B206))</f>
        <v/>
      </c>
      <c r="CY206" s="124" t="str">
        <f>IF($B206="","",COUNTIF(STG_Woningetalage!$B$6:$B$505,B206))</f>
        <v/>
      </c>
      <c r="CZ206" s="124" t="str">
        <f>IF($B206="","",IF(CW206=0,COUNTIF($CW$6:CW206,0),""))</f>
        <v/>
      </c>
    </row>
    <row r="207">
      <c r="A207" s="15" t="n">
        <v>203</v>
      </c>
      <c r="B207" t="str">
        <f>IF(B$3=0,"",IF(INDEX(SRC_ZPMW03!$A$1:$ZZ$501,$A207,B$3)&amp;""="","",INDEX(SRC_ZPMW03!$A$1:$ZZ$501,$A207,B$3)&amp;""))</f>
        <v/>
      </c>
      <c r="C207" t="str">
        <f>IF($B207="","",IF(C$3=0,"n.b.",INDEX(SRC_ZPMW03!$A$1:$ZZ$501,$A207,C$3)))</f>
        <v/>
      </c>
      <c r="D207" t="str">
        <f>IF($B207="","",IF(D$3=0,"n.b.",INDEX(SRC_ZPMW03!$A$1:$ZZ$501,$A207,D$3)))</f>
        <v/>
      </c>
      <c r="E207" t="str">
        <f>IF($B207="","",IF(E$3=0,"n.b.",INDEX(SRC_ZPMW03!$A$1:$ZZ$501,$A207,E$3)))</f>
        <v/>
      </c>
      <c r="F207" t="str">
        <f>IF($B207="","",IF(F$3=0,"n.b.",INDEX(SRC_ZPMW03!$A$1:$ZZ$501,$A207,F$3)))</f>
        <v/>
      </c>
      <c r="G207" t="str">
        <f>IF($B207="","",IF(G$3=0,"n.b.",INDEX(SRC_ZPMW03!$A$1:$ZZ$501,$A207,G$3)))</f>
        <v/>
      </c>
      <c r="H207" t="str">
        <f>IF($B207="","",IF(H$3=0,"n.b.",INDEX(SRC_ZPMW03!$A$1:$ZZ$501,$A207,H$3)))</f>
        <v/>
      </c>
      <c r="I207" t="str">
        <f>IF($B207="","",IF(I$3=0,"n.b.",INDEX(SRC_ZPMW03!$A$1:$ZZ$501,$A207,I$3)))</f>
        <v/>
      </c>
      <c r="J207" t="str">
        <f>IF($B207="","",IF(J$3=0,"n.b.",INDEX(SRC_ZPMW03!$A$1:$ZZ$501,$A207,J$3)))</f>
        <v/>
      </c>
      <c r="K207" t="str">
        <f>IF($B207="","",IF(K$3=0,"n.b.",INDEX(SRC_ZPMW03!$A$1:$ZZ$501,$A207,K$3)))</f>
        <v/>
      </c>
      <c r="L207" s="124" t="str">
        <f>IF($B207="","",IF(L$3=0,"n.b.",INDEX(SRC_ZPMW03!$A$1:$ZZ$501,$A207,L$3)))</f>
        <v/>
      </c>
      <c r="M207" s="124" t="str">
        <f>IF($B207="","",IF(M$3=0,"n.b.",INDEX(SRC_ZPMW03!$A$1:$ZZ$501,$A207,M$3)))</f>
        <v/>
      </c>
      <c r="N207" s="124" t="str">
        <f>IF($B207="","",IF(N$3=0,"n.b.",INDEX(SRC_ZPMW03!$A$1:$ZZ$501,$A207,N$3)))</f>
        <v/>
      </c>
      <c r="O207" s="124" t="str">
        <f>IF($B207="","",IF(O$3=0,"n.b.",INDEX(SRC_ZPMW03!$A$1:$ZZ$501,$A207,O$3)))</f>
        <v/>
      </c>
      <c r="P207" s="124" t="str">
        <f>IF($B207="","",IF(P$3=0,"n.b.",INDEX(SRC_ZPMW03!$A$1:$ZZ$501,$A207,P$3)))</f>
        <v/>
      </c>
      <c r="Q207" s="124" t="str">
        <f>IF($B207="","",IF(Q$3=0,"n.b.",INDEX(SRC_ZPMW03!$A$1:$ZZ$501,$A207,Q$3)))</f>
        <v/>
      </c>
      <c r="R207" s="124" t="str">
        <f>IF($B207="","",IF(R$3=0,"n.b.",INDEX(SRC_ZPMW03!$A$1:$ZZ$501,$A207,R$3)))</f>
        <v/>
      </c>
      <c r="S207" s="124" t="str">
        <f>IF($B207="","",IF(S$3=0,"n.b.",INDEX(SRC_ZPMW03!$A$1:$ZZ$501,$A207,S$3)))</f>
        <v/>
      </c>
      <c r="T207" s="124" t="str">
        <f>IF($B207="","",IF(T$3=0,"n.b.",INDEX(SRC_ZPMW03!$A$1:$ZZ$501,$A207,T$3)))</f>
        <v/>
      </c>
      <c r="U207" s="124" t="str">
        <f>IF($B207="","",IF(U$3=0,"n.b.",INDEX(SRC_ZPMW03!$A$1:$ZZ$501,$A207,U$3)))</f>
        <v/>
      </c>
      <c r="V207" s="124" t="str">
        <f>IF($B207="","",IF(V$3=0,"n.b.",INDEX(SRC_ZPMW03!$A$1:$ZZ$501,$A207,V$3)))</f>
        <v/>
      </c>
      <c r="W207" s="124" t="str">
        <f>IF($B207="","",IF(W$3=0,"n.b.",INDEX(SRC_ZPMW03!$A$1:$ZZ$501,$A207,W$3)))</f>
        <v/>
      </c>
      <c r="X207" s="124" t="str">
        <f>IF($B207="","",IF(X$3=0,"n.b.",INDEX(SRC_ZPMW03!$A$1:$ZZ$501,$A207,X$3)))</f>
        <v/>
      </c>
      <c r="Y207" s="124" t="str">
        <f>IF($B207="","",IF(Y$3=0,"n.b.",INDEX(SRC_ZPMW03!$A$1:$ZZ$501,$A207,Y$3)))</f>
        <v/>
      </c>
      <c r="Z207" s="124" t="str">
        <f>IF($B207="","",IF(Z$3=0,"n.b.",INDEX(SRC_ZPMW03!$A$1:$ZZ$501,$A207,Z$3)))</f>
        <v/>
      </c>
      <c r="AA207" s="124" t="str">
        <f>IF($B207="","",IF(AA$3=0,"n.b.",INDEX(SRC_ZPMW03!$A$1:$ZZ$501,$A207,AA$3)))</f>
        <v/>
      </c>
      <c r="AB207" s="124" t="str">
        <f>IF($B207="","",IF(AB$3=0,"n.b.",INDEX(SRC_ZPMW03!$A$1:$ZZ$501,$A207,AB$3)))</f>
        <v/>
      </c>
      <c r="AC207" s="124" t="str">
        <f>IF($B207="","",IF(AC$3=0,"n.b.",INDEX(SRC_ZPMW03!$A$1:$ZZ$501,$A207,AC$3)))</f>
        <v/>
      </c>
      <c r="AD207" s="124" t="str">
        <f>IF($B207="","",IF(AD$3=0,"n.b.",INDEX(SRC_ZPMW03!$A$1:$ZZ$501,$A207,AD$3)))</f>
        <v/>
      </c>
      <c r="AE207" s="124" t="str">
        <f>IF($B207="","",IF(AE$3=0,"n.b.",INDEX(SRC_ZPMW03!$A$1:$ZZ$501,$A207,AE$3)))</f>
        <v/>
      </c>
      <c r="AF207" s="124" t="str">
        <f>IF($B207="","",IF(AF$3=0,"n.b.",INDEX(SRC_ZPMW03!$A$1:$ZZ$501,$A207,AF$3)))</f>
        <v/>
      </c>
      <c r="AG207" s="124" t="str">
        <f>IF($B207="","",IF(AG$3=0,"n.b.",INDEX(SRC_ZPMW03!$A$1:$ZZ$501,$A207,AG$3)))</f>
        <v/>
      </c>
      <c r="AH207" s="124" t="str">
        <f>IF($B207="","",IF(AH$3=0,"n.b.",INDEX(SRC_ZPMW03!$A$1:$ZZ$501,$A207,AH$3)))</f>
        <v/>
      </c>
      <c r="AI207" s="124" t="str">
        <f>IF($B207="","",IF(AI$3=0,"n.b.",INDEX(SRC_ZPMW03!$A$1:$ZZ$501,$A207,AI$3)))</f>
        <v/>
      </c>
      <c r="AJ207" s="124" t="str">
        <f>IF($B207="","",IF(AJ$3=0,"n.b.",INDEX(SRC_ZPMW03!$A$1:$ZZ$501,$A207,AJ$3)))</f>
        <v/>
      </c>
      <c r="AK207" s="124" t="str">
        <f>IF($B207="","",IF(AK$3=0,"n.b.",INDEX(SRC_ZPMW03!$A$1:$ZZ$501,$A207,AK$3)))</f>
        <v/>
      </c>
      <c r="AL207" s="124" t="str">
        <f>IF($B207="","",IF(AL$3=0,"n.b.",INDEX(SRC_ZPMW03!$A$1:$ZZ$501,$A207,AL$3)))</f>
        <v/>
      </c>
      <c r="AM207" s="124" t="str">
        <f>IF($B207="","",IF(AM$3=0,"n.b.",INDEX(SRC_ZPMW03!$A$1:$ZZ$501,$A207,AM$3)))</f>
        <v/>
      </c>
      <c r="AN207" s="124" t="str">
        <f>IF($B207="","",IF(AN$3=0,"n.b.",INDEX(SRC_ZPMW03!$A$1:$ZZ$501,$A207,AN$3)))</f>
        <v/>
      </c>
      <c r="AO207" s="124" t="str">
        <f>IF($B207="","",IF(AO$3=0,"n.b.",INDEX(SRC_ZPMW03!$A$1:$ZZ$501,$A207,AO$3)))</f>
        <v/>
      </c>
      <c r="AP207" s="124" t="str">
        <f>IF($B207="","",IF(AP$3=0,"n.b.",INDEX(SRC_ZPMW03!$A$1:$ZZ$501,$A207,AP$3)))</f>
        <v/>
      </c>
      <c r="AQ207" s="124" t="str">
        <f>IF($B207="","",IF(AQ$3=0,"n.b.",INDEX(SRC_ZPMW03!$A$1:$ZZ$501,$A207,AQ$3)))</f>
        <v/>
      </c>
      <c r="AR207" s="124" t="str">
        <f>IF($B207="","",IF(AR$3=0,"n.b.",INDEX(SRC_ZPMW03!$A$1:$ZZ$501,$A207,AR$3)))</f>
        <v/>
      </c>
      <c r="AS207" s="124" t="str">
        <f>IF($B207="","",IF(AS$3=0,"n.b.",INDEX(SRC_ZPMW03!$A$1:$ZZ$501,$A207,AS$3)))</f>
        <v/>
      </c>
      <c r="AT207" s="124" t="str">
        <f>IF($B207="","",IF(AT$3=0,"n.b.",INDEX(SRC_ZPMW03!$A$1:$ZZ$501,$A207,AT$3)))</f>
        <v/>
      </c>
      <c r="AU207" s="124" t="str">
        <f>IF($B207="","",IF(AU$3=0,"n.b.",INDEX(SRC_ZPMW03!$A$1:$ZZ$501,$A207,AU$3)))</f>
        <v/>
      </c>
      <c r="AV207" s="124" t="str">
        <f>IF($B207="","",IF(AV$3=0,"n.b.",INDEX(SRC_ZPMW03!$A$1:$ZZ$501,$A207,AV$3)))</f>
        <v/>
      </c>
      <c r="AW207" s="124" t="str">
        <f>IF($B207="","",IF(AW$3=0,"n.b.",INDEX(SRC_ZPMW03!$A$1:$ZZ$501,$A207,AW$3)))</f>
        <v/>
      </c>
      <c r="AX207" s="124" t="str">
        <f>IF($B207="","",IF(AX$3=0,"n.b.",INDEX(SRC_ZPMW03!$A$1:$ZZ$501,$A207,AX$3)))</f>
        <v/>
      </c>
      <c r="AY207" s="124" t="str">
        <f>IF($B207="","",IF(AY$3=0,"n.b.",INDEX(SRC_ZPMW03!$A$1:$ZZ$501,$A207,AY$3)))</f>
        <v/>
      </c>
      <c r="AZ207" s="124" t="str">
        <f>IF($B207="","",IF(AZ$3=0,"n.b.",INDEX(SRC_ZPMW03!$A$1:$ZZ$501,$A207,AZ$3)))</f>
        <v/>
      </c>
      <c r="BA207" s="124" t="str">
        <f>IF($B207="","",IF(BA$3=0,"n.b.",INDEX(SRC_ZPMW03!$A$1:$ZZ$501,$A207,BA$3)))</f>
        <v/>
      </c>
      <c r="BB207" s="124" t="str">
        <f>IF($B207="","",IF(BB$3=0,"n.b.",INDEX(SRC_ZPMW03!$A$1:$ZZ$501,$A207,BB$3)))</f>
        <v/>
      </c>
      <c r="BC207" s="124" t="str">
        <f>IF($B207="","",IF(BC$3=0,"n.b.",INDEX(SRC_ZPMW03!$A$1:$ZZ$501,$A207,BC$3)))</f>
        <v/>
      </c>
      <c r="BD207" s="124" t="str">
        <f>IF($B207="","",IF(BD$3=0,"n.b.",INDEX(SRC_ZPMW03!$A$1:$ZZ$501,$A207,BD$3)))</f>
        <v/>
      </c>
      <c r="BE207" s="124" t="str">
        <f>IF($B207="","",IF(BE$3=0,"n.b.",INDEX(SRC_ZPMW03!$A$1:$ZZ$501,$A207,BE$3)))</f>
        <v/>
      </c>
      <c r="BF207" s="124" t="str">
        <f>IF($B207="","",IF(BF$3=0,"n.b.",INDEX(SRC_ZPMW03!$A$1:$ZZ$501,$A207,BF$3)))</f>
        <v/>
      </c>
      <c r="BG207" t="str">
        <f>IF($B207="","",IF(BG$3=0,"n.b.",INDEX(SRC_ZPMW03!$A$1:$ZZ$501,$A207,BG$3)))</f>
        <v/>
      </c>
      <c r="BH207" t="str">
        <f>IF($B207="","",IF(BH$3=0,"n.b.",INDEX(SRC_ZPMW03!$A$1:$ZZ$501,$A207,BH$3)))</f>
        <v/>
      </c>
      <c r="BI207" t="str">
        <f>IF($B207="","",IF(BI$3=0,"n.b.",INDEX(SRC_ZPMW03!$A$1:$ZZ$501,$A207,BI$3)))</f>
        <v/>
      </c>
      <c r="BJ207" t="str">
        <f>IF($B207="","",IF(BJ$3=0,"n.b.",INDEX(SRC_ZPMW03!$A$1:$ZZ$501,$A207,BJ$3)))</f>
        <v/>
      </c>
      <c r="BK207" s="124" t="str">
        <f>IF($B207="","",IFERROR(-O207,"n.b."))</f>
        <v/>
      </c>
      <c r="BL207" s="124" t="str">
        <f>IF($B207="","",IFERROR(-Q207,"n.b."))</f>
        <v/>
      </c>
      <c r="BM207" s="124" t="str">
        <f>IF($B207="","",IFERROR(-AB207,"n.b."))</f>
        <v/>
      </c>
      <c r="BN207" s="124" t="str">
        <f>IF($B207="","",IFERROR(-AD207,"n.b."))</f>
        <v/>
      </c>
      <c r="BO207" s="124" t="str">
        <f>IF($B207="","",IFERROR(BK207+BM207,"n.b."))</f>
        <v/>
      </c>
      <c r="BP207" s="124" t="str">
        <f>IF($B207="","",IFERROR(BL207+BN207,"n.b."))</f>
        <v/>
      </c>
      <c r="BQ207" s="124" t="str">
        <f>IF($B207="","",IFERROR(-AM207,"n.b."))</f>
        <v/>
      </c>
      <c r="BR207" s="124" t="str">
        <f>IF($B207="","",IFERROR(-AO207,"n.b."))</f>
        <v/>
      </c>
      <c r="BS207" s="124" t="str">
        <f>IF($B207="","",IFERROR(-Z207,"n.b."))</f>
        <v/>
      </c>
      <c r="BT207" s="124" t="str">
        <f>IF($B207="","",IFERROR(-AA207,"n.b."))</f>
        <v/>
      </c>
      <c r="BU207" s="124" t="str">
        <f>IF($B207="","",IFERROR(-AE207,"n.b."))</f>
        <v/>
      </c>
      <c r="BV207" s="124" t="str">
        <f>IF($B207="","",IFERROR(-AF207,"n.b."))</f>
        <v/>
      </c>
      <c r="BW207" s="124" t="str">
        <f>IF($B207="","",IFERROR(-AG207,"n.b."))</f>
        <v/>
      </c>
      <c r="BX207" s="124" t="str">
        <f>IF($B207="","",IFERROR(-AH207,"n.b."))</f>
        <v/>
      </c>
      <c r="BY207" s="124" t="str">
        <f>IF($B207="","",IFERROR(-AI207,"n.b."))</f>
        <v/>
      </c>
      <c r="BZ207" s="124" t="str">
        <f>IF($B207="","",IFERROR(-AJ207,"n.b."))</f>
        <v/>
      </c>
      <c r="CA207" s="124" t="str">
        <f>IF($B207="","",IFERROR(-AK207,"n.b."))</f>
        <v/>
      </c>
      <c r="CB207" s="124" t="str">
        <f>IF($B207="","",IFERROR(-AL207,"n.b."))</f>
        <v/>
      </c>
      <c r="CC207" s="124" t="str">
        <f>IF($B207="","",IFERROR(-AP207,"n.b."))</f>
        <v/>
      </c>
      <c r="CD207" s="124" t="str">
        <f>IF($B207="","",IFERROR(-AQ207,"n.b."))</f>
        <v/>
      </c>
      <c r="CE207" s="124" t="str">
        <f>IF($B207="","",IFERROR(-AR207,"n.b."))</f>
        <v/>
      </c>
      <c r="CF207" s="124" t="str">
        <f>IF($B207="","",IFERROR(-AS207,"n.b."))</f>
        <v/>
      </c>
      <c r="CG207" s="124" t="str">
        <f>IF($B207="","",IFERROR(-AT207,"n.b."))</f>
        <v/>
      </c>
      <c r="CH207" s="124" t="str">
        <f>IF($B207="","",IFERROR(-AU207,"n.b."))</f>
        <v/>
      </c>
      <c r="CI207" s="124" t="str">
        <f>IF($B207="","",IFERROR(-AV207,"n.b."))</f>
        <v/>
      </c>
      <c r="CJ207" s="124" t="str">
        <f>IF($B207="","",IFERROR(-AW207,"n.b."))</f>
        <v/>
      </c>
      <c r="CK207" s="124" t="str">
        <f>IF($B207="","",IFERROR(-AX207,"n.b."))</f>
        <v/>
      </c>
      <c r="CL207" s="124" t="str">
        <f>IF($B207="","",IFERROR(-AY207,"n.b."))</f>
        <v/>
      </c>
      <c r="CM207" s="124" t="str">
        <f>IF($B207="","",IFERROR(-AZ207,"n.b."))</f>
        <v/>
      </c>
      <c r="CN207" s="124" t="str">
        <f>IF($B207="","",IFERROR(-BA207,"n.b."))</f>
        <v/>
      </c>
      <c r="CO207" s="124" t="str">
        <f>IF($B207="","",IFERROR(-BB207,"n.b."))</f>
        <v/>
      </c>
      <c r="CP207" s="124" t="str">
        <f>IF($B207="","",IFERROR(-BC207,"n.b."))</f>
        <v/>
      </c>
      <c r="CQ207" s="124" t="str">
        <f>IF($B207="","",IFERROR(-BD207,"n.b."))</f>
        <v/>
      </c>
      <c r="CR207" s="124" t="str">
        <f>IF($B207="","",IFERROR(-BE207,"n.b."))</f>
        <v/>
      </c>
      <c r="CS207" s="124" t="str">
        <f>IF($B207="","",IFERROR(IF(OR(ABS(T207+V207+X207+Z207-AB207)&gt;P_Tol,ABS(U207+W207+Y207+AA207-AD207)&gt;P_Tol,ABS(AE207+AG207+AI207+AK207-AM207)&gt;P_Tol,ABS(AF207+AH207+AJ207+AL207-AO207)&gt;P_Tol),1,0),1))</f>
        <v/>
      </c>
      <c r="CT207" s="124" t="str">
        <f>IF($B207="","",IFERROR(IF(OR(ABS(AB207+AC207-AD207)&gt;P_Tol,ABS(AM207+AN207-AO207)&gt;P_Tol,ABS(O207+P207-Q207)&gt;P_Tol),1,0),1))</f>
        <v/>
      </c>
      <c r="CU207" s="124" t="str">
        <f>IF($B207="","",IFERROR(IF(ABS(R207-(AB207+AM207+AP207+AR207+AT207+AV207+AX207+AZ207+BB207+BD207))&gt;P_Tol,1,0),1))</f>
        <v/>
      </c>
      <c r="CV207" s="124" t="str">
        <f>IF($B207="","",IFERROR(IF(ABS(M207-(N207+O207+R207))&gt;P_Tol,1,0),1))</f>
        <v/>
      </c>
      <c r="CW207" s="124" t="str">
        <f>IF($B207="","",IF(COUNTIF(Mapping!$A$5:$A$104,B207)&gt;0,1,0))</f>
        <v/>
      </c>
      <c r="CX207" s="124" t="str">
        <f>IF($B207="","",COUNTIF($B$6:$B$505,B207))</f>
        <v/>
      </c>
      <c r="CY207" s="124" t="str">
        <f>IF($B207="","",COUNTIF(STG_Woningetalage!$B$6:$B$505,B207))</f>
        <v/>
      </c>
      <c r="CZ207" s="124" t="str">
        <f>IF($B207="","",IF(CW207=0,COUNTIF($CW$6:CW207,0),""))</f>
        <v/>
      </c>
    </row>
    <row r="208">
      <c r="A208" s="15" t="n">
        <v>204</v>
      </c>
      <c r="B208" t="str">
        <f>IF(B$3=0,"",IF(INDEX(SRC_ZPMW03!$A$1:$ZZ$501,$A208,B$3)&amp;""="","",INDEX(SRC_ZPMW03!$A$1:$ZZ$501,$A208,B$3)&amp;""))</f>
        <v/>
      </c>
      <c r="C208" t="str">
        <f>IF($B208="","",IF(C$3=0,"n.b.",INDEX(SRC_ZPMW03!$A$1:$ZZ$501,$A208,C$3)))</f>
        <v/>
      </c>
      <c r="D208" t="str">
        <f>IF($B208="","",IF(D$3=0,"n.b.",INDEX(SRC_ZPMW03!$A$1:$ZZ$501,$A208,D$3)))</f>
        <v/>
      </c>
      <c r="E208" t="str">
        <f>IF($B208="","",IF(E$3=0,"n.b.",INDEX(SRC_ZPMW03!$A$1:$ZZ$501,$A208,E$3)))</f>
        <v/>
      </c>
      <c r="F208" t="str">
        <f>IF($B208="","",IF(F$3=0,"n.b.",INDEX(SRC_ZPMW03!$A$1:$ZZ$501,$A208,F$3)))</f>
        <v/>
      </c>
      <c r="G208" t="str">
        <f>IF($B208="","",IF(G$3=0,"n.b.",INDEX(SRC_ZPMW03!$A$1:$ZZ$501,$A208,G$3)))</f>
        <v/>
      </c>
      <c r="H208" t="str">
        <f>IF($B208="","",IF(H$3=0,"n.b.",INDEX(SRC_ZPMW03!$A$1:$ZZ$501,$A208,H$3)))</f>
        <v/>
      </c>
      <c r="I208" t="str">
        <f>IF($B208="","",IF(I$3=0,"n.b.",INDEX(SRC_ZPMW03!$A$1:$ZZ$501,$A208,I$3)))</f>
        <v/>
      </c>
      <c r="J208" t="str">
        <f>IF($B208="","",IF(J$3=0,"n.b.",INDEX(SRC_ZPMW03!$A$1:$ZZ$501,$A208,J$3)))</f>
        <v/>
      </c>
      <c r="K208" t="str">
        <f>IF($B208="","",IF(K$3=0,"n.b.",INDEX(SRC_ZPMW03!$A$1:$ZZ$501,$A208,K$3)))</f>
        <v/>
      </c>
      <c r="L208" s="124" t="str">
        <f>IF($B208="","",IF(L$3=0,"n.b.",INDEX(SRC_ZPMW03!$A$1:$ZZ$501,$A208,L$3)))</f>
        <v/>
      </c>
      <c r="M208" s="124" t="str">
        <f>IF($B208="","",IF(M$3=0,"n.b.",INDEX(SRC_ZPMW03!$A$1:$ZZ$501,$A208,M$3)))</f>
        <v/>
      </c>
      <c r="N208" s="124" t="str">
        <f>IF($B208="","",IF(N$3=0,"n.b.",INDEX(SRC_ZPMW03!$A$1:$ZZ$501,$A208,N$3)))</f>
        <v/>
      </c>
      <c r="O208" s="124" t="str">
        <f>IF($B208="","",IF(O$3=0,"n.b.",INDEX(SRC_ZPMW03!$A$1:$ZZ$501,$A208,O$3)))</f>
        <v/>
      </c>
      <c r="P208" s="124" t="str">
        <f>IF($B208="","",IF(P$3=0,"n.b.",INDEX(SRC_ZPMW03!$A$1:$ZZ$501,$A208,P$3)))</f>
        <v/>
      </c>
      <c r="Q208" s="124" t="str">
        <f>IF($B208="","",IF(Q$3=0,"n.b.",INDEX(SRC_ZPMW03!$A$1:$ZZ$501,$A208,Q$3)))</f>
        <v/>
      </c>
      <c r="R208" s="124" t="str">
        <f>IF($B208="","",IF(R$3=0,"n.b.",INDEX(SRC_ZPMW03!$A$1:$ZZ$501,$A208,R$3)))</f>
        <v/>
      </c>
      <c r="S208" s="124" t="str">
        <f>IF($B208="","",IF(S$3=0,"n.b.",INDEX(SRC_ZPMW03!$A$1:$ZZ$501,$A208,S$3)))</f>
        <v/>
      </c>
      <c r="T208" s="124" t="str">
        <f>IF($B208="","",IF(T$3=0,"n.b.",INDEX(SRC_ZPMW03!$A$1:$ZZ$501,$A208,T$3)))</f>
        <v/>
      </c>
      <c r="U208" s="124" t="str">
        <f>IF($B208="","",IF(U$3=0,"n.b.",INDEX(SRC_ZPMW03!$A$1:$ZZ$501,$A208,U$3)))</f>
        <v/>
      </c>
      <c r="V208" s="124" t="str">
        <f>IF($B208="","",IF(V$3=0,"n.b.",INDEX(SRC_ZPMW03!$A$1:$ZZ$501,$A208,V$3)))</f>
        <v/>
      </c>
      <c r="W208" s="124" t="str">
        <f>IF($B208="","",IF(W$3=0,"n.b.",INDEX(SRC_ZPMW03!$A$1:$ZZ$501,$A208,W$3)))</f>
        <v/>
      </c>
      <c r="X208" s="124" t="str">
        <f>IF($B208="","",IF(X$3=0,"n.b.",INDEX(SRC_ZPMW03!$A$1:$ZZ$501,$A208,X$3)))</f>
        <v/>
      </c>
      <c r="Y208" s="124" t="str">
        <f>IF($B208="","",IF(Y$3=0,"n.b.",INDEX(SRC_ZPMW03!$A$1:$ZZ$501,$A208,Y$3)))</f>
        <v/>
      </c>
      <c r="Z208" s="124" t="str">
        <f>IF($B208="","",IF(Z$3=0,"n.b.",INDEX(SRC_ZPMW03!$A$1:$ZZ$501,$A208,Z$3)))</f>
        <v/>
      </c>
      <c r="AA208" s="124" t="str">
        <f>IF($B208="","",IF(AA$3=0,"n.b.",INDEX(SRC_ZPMW03!$A$1:$ZZ$501,$A208,AA$3)))</f>
        <v/>
      </c>
      <c r="AB208" s="124" t="str">
        <f>IF($B208="","",IF(AB$3=0,"n.b.",INDEX(SRC_ZPMW03!$A$1:$ZZ$501,$A208,AB$3)))</f>
        <v/>
      </c>
      <c r="AC208" s="124" t="str">
        <f>IF($B208="","",IF(AC$3=0,"n.b.",INDEX(SRC_ZPMW03!$A$1:$ZZ$501,$A208,AC$3)))</f>
        <v/>
      </c>
      <c r="AD208" s="124" t="str">
        <f>IF($B208="","",IF(AD$3=0,"n.b.",INDEX(SRC_ZPMW03!$A$1:$ZZ$501,$A208,AD$3)))</f>
        <v/>
      </c>
      <c r="AE208" s="124" t="str">
        <f>IF($B208="","",IF(AE$3=0,"n.b.",INDEX(SRC_ZPMW03!$A$1:$ZZ$501,$A208,AE$3)))</f>
        <v/>
      </c>
      <c r="AF208" s="124" t="str">
        <f>IF($B208="","",IF(AF$3=0,"n.b.",INDEX(SRC_ZPMW03!$A$1:$ZZ$501,$A208,AF$3)))</f>
        <v/>
      </c>
      <c r="AG208" s="124" t="str">
        <f>IF($B208="","",IF(AG$3=0,"n.b.",INDEX(SRC_ZPMW03!$A$1:$ZZ$501,$A208,AG$3)))</f>
        <v/>
      </c>
      <c r="AH208" s="124" t="str">
        <f>IF($B208="","",IF(AH$3=0,"n.b.",INDEX(SRC_ZPMW03!$A$1:$ZZ$501,$A208,AH$3)))</f>
        <v/>
      </c>
      <c r="AI208" s="124" t="str">
        <f>IF($B208="","",IF(AI$3=0,"n.b.",INDEX(SRC_ZPMW03!$A$1:$ZZ$501,$A208,AI$3)))</f>
        <v/>
      </c>
      <c r="AJ208" s="124" t="str">
        <f>IF($B208="","",IF(AJ$3=0,"n.b.",INDEX(SRC_ZPMW03!$A$1:$ZZ$501,$A208,AJ$3)))</f>
        <v/>
      </c>
      <c r="AK208" s="124" t="str">
        <f>IF($B208="","",IF(AK$3=0,"n.b.",INDEX(SRC_ZPMW03!$A$1:$ZZ$501,$A208,AK$3)))</f>
        <v/>
      </c>
      <c r="AL208" s="124" t="str">
        <f>IF($B208="","",IF(AL$3=0,"n.b.",INDEX(SRC_ZPMW03!$A$1:$ZZ$501,$A208,AL$3)))</f>
        <v/>
      </c>
      <c r="AM208" s="124" t="str">
        <f>IF($B208="","",IF(AM$3=0,"n.b.",INDEX(SRC_ZPMW03!$A$1:$ZZ$501,$A208,AM$3)))</f>
        <v/>
      </c>
      <c r="AN208" s="124" t="str">
        <f>IF($B208="","",IF(AN$3=0,"n.b.",INDEX(SRC_ZPMW03!$A$1:$ZZ$501,$A208,AN$3)))</f>
        <v/>
      </c>
      <c r="AO208" s="124" t="str">
        <f>IF($B208="","",IF(AO$3=0,"n.b.",INDEX(SRC_ZPMW03!$A$1:$ZZ$501,$A208,AO$3)))</f>
        <v/>
      </c>
      <c r="AP208" s="124" t="str">
        <f>IF($B208="","",IF(AP$3=0,"n.b.",INDEX(SRC_ZPMW03!$A$1:$ZZ$501,$A208,AP$3)))</f>
        <v/>
      </c>
      <c r="AQ208" s="124" t="str">
        <f>IF($B208="","",IF(AQ$3=0,"n.b.",INDEX(SRC_ZPMW03!$A$1:$ZZ$501,$A208,AQ$3)))</f>
        <v/>
      </c>
      <c r="AR208" s="124" t="str">
        <f>IF($B208="","",IF(AR$3=0,"n.b.",INDEX(SRC_ZPMW03!$A$1:$ZZ$501,$A208,AR$3)))</f>
        <v/>
      </c>
      <c r="AS208" s="124" t="str">
        <f>IF($B208="","",IF(AS$3=0,"n.b.",INDEX(SRC_ZPMW03!$A$1:$ZZ$501,$A208,AS$3)))</f>
        <v/>
      </c>
      <c r="AT208" s="124" t="str">
        <f>IF($B208="","",IF(AT$3=0,"n.b.",INDEX(SRC_ZPMW03!$A$1:$ZZ$501,$A208,AT$3)))</f>
        <v/>
      </c>
      <c r="AU208" s="124" t="str">
        <f>IF($B208="","",IF(AU$3=0,"n.b.",INDEX(SRC_ZPMW03!$A$1:$ZZ$501,$A208,AU$3)))</f>
        <v/>
      </c>
      <c r="AV208" s="124" t="str">
        <f>IF($B208="","",IF(AV$3=0,"n.b.",INDEX(SRC_ZPMW03!$A$1:$ZZ$501,$A208,AV$3)))</f>
        <v/>
      </c>
      <c r="AW208" s="124" t="str">
        <f>IF($B208="","",IF(AW$3=0,"n.b.",INDEX(SRC_ZPMW03!$A$1:$ZZ$501,$A208,AW$3)))</f>
        <v/>
      </c>
      <c r="AX208" s="124" t="str">
        <f>IF($B208="","",IF(AX$3=0,"n.b.",INDEX(SRC_ZPMW03!$A$1:$ZZ$501,$A208,AX$3)))</f>
        <v/>
      </c>
      <c r="AY208" s="124" t="str">
        <f>IF($B208="","",IF(AY$3=0,"n.b.",INDEX(SRC_ZPMW03!$A$1:$ZZ$501,$A208,AY$3)))</f>
        <v/>
      </c>
      <c r="AZ208" s="124" t="str">
        <f>IF($B208="","",IF(AZ$3=0,"n.b.",INDEX(SRC_ZPMW03!$A$1:$ZZ$501,$A208,AZ$3)))</f>
        <v/>
      </c>
      <c r="BA208" s="124" t="str">
        <f>IF($B208="","",IF(BA$3=0,"n.b.",INDEX(SRC_ZPMW03!$A$1:$ZZ$501,$A208,BA$3)))</f>
        <v/>
      </c>
      <c r="BB208" s="124" t="str">
        <f>IF($B208="","",IF(BB$3=0,"n.b.",INDEX(SRC_ZPMW03!$A$1:$ZZ$501,$A208,BB$3)))</f>
        <v/>
      </c>
      <c r="BC208" s="124" t="str">
        <f>IF($B208="","",IF(BC$3=0,"n.b.",INDEX(SRC_ZPMW03!$A$1:$ZZ$501,$A208,BC$3)))</f>
        <v/>
      </c>
      <c r="BD208" s="124" t="str">
        <f>IF($B208="","",IF(BD$3=0,"n.b.",INDEX(SRC_ZPMW03!$A$1:$ZZ$501,$A208,BD$3)))</f>
        <v/>
      </c>
      <c r="BE208" s="124" t="str">
        <f>IF($B208="","",IF(BE$3=0,"n.b.",INDEX(SRC_ZPMW03!$A$1:$ZZ$501,$A208,BE$3)))</f>
        <v/>
      </c>
      <c r="BF208" s="124" t="str">
        <f>IF($B208="","",IF(BF$3=0,"n.b.",INDEX(SRC_ZPMW03!$A$1:$ZZ$501,$A208,BF$3)))</f>
        <v/>
      </c>
      <c r="BG208" t="str">
        <f>IF($B208="","",IF(BG$3=0,"n.b.",INDEX(SRC_ZPMW03!$A$1:$ZZ$501,$A208,BG$3)))</f>
        <v/>
      </c>
      <c r="BH208" t="str">
        <f>IF($B208="","",IF(BH$3=0,"n.b.",INDEX(SRC_ZPMW03!$A$1:$ZZ$501,$A208,BH$3)))</f>
        <v/>
      </c>
      <c r="BI208" t="str">
        <f>IF($B208="","",IF(BI$3=0,"n.b.",INDEX(SRC_ZPMW03!$A$1:$ZZ$501,$A208,BI$3)))</f>
        <v/>
      </c>
      <c r="BJ208" t="str">
        <f>IF($B208="","",IF(BJ$3=0,"n.b.",INDEX(SRC_ZPMW03!$A$1:$ZZ$501,$A208,BJ$3)))</f>
        <v/>
      </c>
      <c r="BK208" s="124" t="str">
        <f>IF($B208="","",IFERROR(-O208,"n.b."))</f>
        <v/>
      </c>
      <c r="BL208" s="124" t="str">
        <f>IF($B208="","",IFERROR(-Q208,"n.b."))</f>
        <v/>
      </c>
      <c r="BM208" s="124" t="str">
        <f>IF($B208="","",IFERROR(-AB208,"n.b."))</f>
        <v/>
      </c>
      <c r="BN208" s="124" t="str">
        <f>IF($B208="","",IFERROR(-AD208,"n.b."))</f>
        <v/>
      </c>
      <c r="BO208" s="124" t="str">
        <f>IF($B208="","",IFERROR(BK208+BM208,"n.b."))</f>
        <v/>
      </c>
      <c r="BP208" s="124" t="str">
        <f>IF($B208="","",IFERROR(BL208+BN208,"n.b."))</f>
        <v/>
      </c>
      <c r="BQ208" s="124" t="str">
        <f>IF($B208="","",IFERROR(-AM208,"n.b."))</f>
        <v/>
      </c>
      <c r="BR208" s="124" t="str">
        <f>IF($B208="","",IFERROR(-AO208,"n.b."))</f>
        <v/>
      </c>
      <c r="BS208" s="124" t="str">
        <f>IF($B208="","",IFERROR(-Z208,"n.b."))</f>
        <v/>
      </c>
      <c r="BT208" s="124" t="str">
        <f>IF($B208="","",IFERROR(-AA208,"n.b."))</f>
        <v/>
      </c>
      <c r="BU208" s="124" t="str">
        <f>IF($B208="","",IFERROR(-AE208,"n.b."))</f>
        <v/>
      </c>
      <c r="BV208" s="124" t="str">
        <f>IF($B208="","",IFERROR(-AF208,"n.b."))</f>
        <v/>
      </c>
      <c r="BW208" s="124" t="str">
        <f>IF($B208="","",IFERROR(-AG208,"n.b."))</f>
        <v/>
      </c>
      <c r="BX208" s="124" t="str">
        <f>IF($B208="","",IFERROR(-AH208,"n.b."))</f>
        <v/>
      </c>
      <c r="BY208" s="124" t="str">
        <f>IF($B208="","",IFERROR(-AI208,"n.b."))</f>
        <v/>
      </c>
      <c r="BZ208" s="124" t="str">
        <f>IF($B208="","",IFERROR(-AJ208,"n.b."))</f>
        <v/>
      </c>
      <c r="CA208" s="124" t="str">
        <f>IF($B208="","",IFERROR(-AK208,"n.b."))</f>
        <v/>
      </c>
      <c r="CB208" s="124" t="str">
        <f>IF($B208="","",IFERROR(-AL208,"n.b."))</f>
        <v/>
      </c>
      <c r="CC208" s="124" t="str">
        <f>IF($B208="","",IFERROR(-AP208,"n.b."))</f>
        <v/>
      </c>
      <c r="CD208" s="124" t="str">
        <f>IF($B208="","",IFERROR(-AQ208,"n.b."))</f>
        <v/>
      </c>
      <c r="CE208" s="124" t="str">
        <f>IF($B208="","",IFERROR(-AR208,"n.b."))</f>
        <v/>
      </c>
      <c r="CF208" s="124" t="str">
        <f>IF($B208="","",IFERROR(-AS208,"n.b."))</f>
        <v/>
      </c>
      <c r="CG208" s="124" t="str">
        <f>IF($B208="","",IFERROR(-AT208,"n.b."))</f>
        <v/>
      </c>
      <c r="CH208" s="124" t="str">
        <f>IF($B208="","",IFERROR(-AU208,"n.b."))</f>
        <v/>
      </c>
      <c r="CI208" s="124" t="str">
        <f>IF($B208="","",IFERROR(-AV208,"n.b."))</f>
        <v/>
      </c>
      <c r="CJ208" s="124" t="str">
        <f>IF($B208="","",IFERROR(-AW208,"n.b."))</f>
        <v/>
      </c>
      <c r="CK208" s="124" t="str">
        <f>IF($B208="","",IFERROR(-AX208,"n.b."))</f>
        <v/>
      </c>
      <c r="CL208" s="124" t="str">
        <f>IF($B208="","",IFERROR(-AY208,"n.b."))</f>
        <v/>
      </c>
      <c r="CM208" s="124" t="str">
        <f>IF($B208="","",IFERROR(-AZ208,"n.b."))</f>
        <v/>
      </c>
      <c r="CN208" s="124" t="str">
        <f>IF($B208="","",IFERROR(-BA208,"n.b."))</f>
        <v/>
      </c>
      <c r="CO208" s="124" t="str">
        <f>IF($B208="","",IFERROR(-BB208,"n.b."))</f>
        <v/>
      </c>
      <c r="CP208" s="124" t="str">
        <f>IF($B208="","",IFERROR(-BC208,"n.b."))</f>
        <v/>
      </c>
      <c r="CQ208" s="124" t="str">
        <f>IF($B208="","",IFERROR(-BD208,"n.b."))</f>
        <v/>
      </c>
      <c r="CR208" s="124" t="str">
        <f>IF($B208="","",IFERROR(-BE208,"n.b."))</f>
        <v/>
      </c>
      <c r="CS208" s="124" t="str">
        <f>IF($B208="","",IFERROR(IF(OR(ABS(T208+V208+X208+Z208-AB208)&gt;P_Tol,ABS(U208+W208+Y208+AA208-AD208)&gt;P_Tol,ABS(AE208+AG208+AI208+AK208-AM208)&gt;P_Tol,ABS(AF208+AH208+AJ208+AL208-AO208)&gt;P_Tol),1,0),1))</f>
        <v/>
      </c>
      <c r="CT208" s="124" t="str">
        <f>IF($B208="","",IFERROR(IF(OR(ABS(AB208+AC208-AD208)&gt;P_Tol,ABS(AM208+AN208-AO208)&gt;P_Tol,ABS(O208+P208-Q208)&gt;P_Tol),1,0),1))</f>
        <v/>
      </c>
      <c r="CU208" s="124" t="str">
        <f>IF($B208="","",IFERROR(IF(ABS(R208-(AB208+AM208+AP208+AR208+AT208+AV208+AX208+AZ208+BB208+BD208))&gt;P_Tol,1,0),1))</f>
        <v/>
      </c>
      <c r="CV208" s="124" t="str">
        <f>IF($B208="","",IFERROR(IF(ABS(M208-(N208+O208+R208))&gt;P_Tol,1,0),1))</f>
        <v/>
      </c>
      <c r="CW208" s="124" t="str">
        <f>IF($B208="","",IF(COUNTIF(Mapping!$A$5:$A$104,B208)&gt;0,1,0))</f>
        <v/>
      </c>
      <c r="CX208" s="124" t="str">
        <f>IF($B208="","",COUNTIF($B$6:$B$505,B208))</f>
        <v/>
      </c>
      <c r="CY208" s="124" t="str">
        <f>IF($B208="","",COUNTIF(STG_Woningetalage!$B$6:$B$505,B208))</f>
        <v/>
      </c>
      <c r="CZ208" s="124" t="str">
        <f>IF($B208="","",IF(CW208=0,COUNTIF($CW$6:CW208,0),""))</f>
        <v/>
      </c>
    </row>
    <row r="209">
      <c r="A209" s="15" t="n">
        <v>205</v>
      </c>
      <c r="B209" t="str">
        <f>IF(B$3=0,"",IF(INDEX(SRC_ZPMW03!$A$1:$ZZ$501,$A209,B$3)&amp;""="","",INDEX(SRC_ZPMW03!$A$1:$ZZ$501,$A209,B$3)&amp;""))</f>
        <v/>
      </c>
      <c r="C209" t="str">
        <f>IF($B209="","",IF(C$3=0,"n.b.",INDEX(SRC_ZPMW03!$A$1:$ZZ$501,$A209,C$3)))</f>
        <v/>
      </c>
      <c r="D209" t="str">
        <f>IF($B209="","",IF(D$3=0,"n.b.",INDEX(SRC_ZPMW03!$A$1:$ZZ$501,$A209,D$3)))</f>
        <v/>
      </c>
      <c r="E209" t="str">
        <f>IF($B209="","",IF(E$3=0,"n.b.",INDEX(SRC_ZPMW03!$A$1:$ZZ$501,$A209,E$3)))</f>
        <v/>
      </c>
      <c r="F209" t="str">
        <f>IF($B209="","",IF(F$3=0,"n.b.",INDEX(SRC_ZPMW03!$A$1:$ZZ$501,$A209,F$3)))</f>
        <v/>
      </c>
      <c r="G209" t="str">
        <f>IF($B209="","",IF(G$3=0,"n.b.",INDEX(SRC_ZPMW03!$A$1:$ZZ$501,$A209,G$3)))</f>
        <v/>
      </c>
      <c r="H209" t="str">
        <f>IF($B209="","",IF(H$3=0,"n.b.",INDEX(SRC_ZPMW03!$A$1:$ZZ$501,$A209,H$3)))</f>
        <v/>
      </c>
      <c r="I209" t="str">
        <f>IF($B209="","",IF(I$3=0,"n.b.",INDEX(SRC_ZPMW03!$A$1:$ZZ$501,$A209,I$3)))</f>
        <v/>
      </c>
      <c r="J209" t="str">
        <f>IF($B209="","",IF(J$3=0,"n.b.",INDEX(SRC_ZPMW03!$A$1:$ZZ$501,$A209,J$3)))</f>
        <v/>
      </c>
      <c r="K209" t="str">
        <f>IF($B209="","",IF(K$3=0,"n.b.",INDEX(SRC_ZPMW03!$A$1:$ZZ$501,$A209,K$3)))</f>
        <v/>
      </c>
      <c r="L209" s="124" t="str">
        <f>IF($B209="","",IF(L$3=0,"n.b.",INDEX(SRC_ZPMW03!$A$1:$ZZ$501,$A209,L$3)))</f>
        <v/>
      </c>
      <c r="M209" s="124" t="str">
        <f>IF($B209="","",IF(M$3=0,"n.b.",INDEX(SRC_ZPMW03!$A$1:$ZZ$501,$A209,M$3)))</f>
        <v/>
      </c>
      <c r="N209" s="124" t="str">
        <f>IF($B209="","",IF(N$3=0,"n.b.",INDEX(SRC_ZPMW03!$A$1:$ZZ$501,$A209,N$3)))</f>
        <v/>
      </c>
      <c r="O209" s="124" t="str">
        <f>IF($B209="","",IF(O$3=0,"n.b.",INDEX(SRC_ZPMW03!$A$1:$ZZ$501,$A209,O$3)))</f>
        <v/>
      </c>
      <c r="P209" s="124" t="str">
        <f>IF($B209="","",IF(P$3=0,"n.b.",INDEX(SRC_ZPMW03!$A$1:$ZZ$501,$A209,P$3)))</f>
        <v/>
      </c>
      <c r="Q209" s="124" t="str">
        <f>IF($B209="","",IF(Q$3=0,"n.b.",INDEX(SRC_ZPMW03!$A$1:$ZZ$501,$A209,Q$3)))</f>
        <v/>
      </c>
      <c r="R209" s="124" t="str">
        <f>IF($B209="","",IF(R$3=0,"n.b.",INDEX(SRC_ZPMW03!$A$1:$ZZ$501,$A209,R$3)))</f>
        <v/>
      </c>
      <c r="S209" s="124" t="str">
        <f>IF($B209="","",IF(S$3=0,"n.b.",INDEX(SRC_ZPMW03!$A$1:$ZZ$501,$A209,S$3)))</f>
        <v/>
      </c>
      <c r="T209" s="124" t="str">
        <f>IF($B209="","",IF(T$3=0,"n.b.",INDEX(SRC_ZPMW03!$A$1:$ZZ$501,$A209,T$3)))</f>
        <v/>
      </c>
      <c r="U209" s="124" t="str">
        <f>IF($B209="","",IF(U$3=0,"n.b.",INDEX(SRC_ZPMW03!$A$1:$ZZ$501,$A209,U$3)))</f>
        <v/>
      </c>
      <c r="V209" s="124" t="str">
        <f>IF($B209="","",IF(V$3=0,"n.b.",INDEX(SRC_ZPMW03!$A$1:$ZZ$501,$A209,V$3)))</f>
        <v/>
      </c>
      <c r="W209" s="124" t="str">
        <f>IF($B209="","",IF(W$3=0,"n.b.",INDEX(SRC_ZPMW03!$A$1:$ZZ$501,$A209,W$3)))</f>
        <v/>
      </c>
      <c r="X209" s="124" t="str">
        <f>IF($B209="","",IF(X$3=0,"n.b.",INDEX(SRC_ZPMW03!$A$1:$ZZ$501,$A209,X$3)))</f>
        <v/>
      </c>
      <c r="Y209" s="124" t="str">
        <f>IF($B209="","",IF(Y$3=0,"n.b.",INDEX(SRC_ZPMW03!$A$1:$ZZ$501,$A209,Y$3)))</f>
        <v/>
      </c>
      <c r="Z209" s="124" t="str">
        <f>IF($B209="","",IF(Z$3=0,"n.b.",INDEX(SRC_ZPMW03!$A$1:$ZZ$501,$A209,Z$3)))</f>
        <v/>
      </c>
      <c r="AA209" s="124" t="str">
        <f>IF($B209="","",IF(AA$3=0,"n.b.",INDEX(SRC_ZPMW03!$A$1:$ZZ$501,$A209,AA$3)))</f>
        <v/>
      </c>
      <c r="AB209" s="124" t="str">
        <f>IF($B209="","",IF(AB$3=0,"n.b.",INDEX(SRC_ZPMW03!$A$1:$ZZ$501,$A209,AB$3)))</f>
        <v/>
      </c>
      <c r="AC209" s="124" t="str">
        <f>IF($B209="","",IF(AC$3=0,"n.b.",INDEX(SRC_ZPMW03!$A$1:$ZZ$501,$A209,AC$3)))</f>
        <v/>
      </c>
      <c r="AD209" s="124" t="str">
        <f>IF($B209="","",IF(AD$3=0,"n.b.",INDEX(SRC_ZPMW03!$A$1:$ZZ$501,$A209,AD$3)))</f>
        <v/>
      </c>
      <c r="AE209" s="124" t="str">
        <f>IF($B209="","",IF(AE$3=0,"n.b.",INDEX(SRC_ZPMW03!$A$1:$ZZ$501,$A209,AE$3)))</f>
        <v/>
      </c>
      <c r="AF209" s="124" t="str">
        <f>IF($B209="","",IF(AF$3=0,"n.b.",INDEX(SRC_ZPMW03!$A$1:$ZZ$501,$A209,AF$3)))</f>
        <v/>
      </c>
      <c r="AG209" s="124" t="str">
        <f>IF($B209="","",IF(AG$3=0,"n.b.",INDEX(SRC_ZPMW03!$A$1:$ZZ$501,$A209,AG$3)))</f>
        <v/>
      </c>
      <c r="AH209" s="124" t="str">
        <f>IF($B209="","",IF(AH$3=0,"n.b.",INDEX(SRC_ZPMW03!$A$1:$ZZ$501,$A209,AH$3)))</f>
        <v/>
      </c>
      <c r="AI209" s="124" t="str">
        <f>IF($B209="","",IF(AI$3=0,"n.b.",INDEX(SRC_ZPMW03!$A$1:$ZZ$501,$A209,AI$3)))</f>
        <v/>
      </c>
      <c r="AJ209" s="124" t="str">
        <f>IF($B209="","",IF(AJ$3=0,"n.b.",INDEX(SRC_ZPMW03!$A$1:$ZZ$501,$A209,AJ$3)))</f>
        <v/>
      </c>
      <c r="AK209" s="124" t="str">
        <f>IF($B209="","",IF(AK$3=0,"n.b.",INDEX(SRC_ZPMW03!$A$1:$ZZ$501,$A209,AK$3)))</f>
        <v/>
      </c>
      <c r="AL209" s="124" t="str">
        <f>IF($B209="","",IF(AL$3=0,"n.b.",INDEX(SRC_ZPMW03!$A$1:$ZZ$501,$A209,AL$3)))</f>
        <v/>
      </c>
      <c r="AM209" s="124" t="str">
        <f>IF($B209="","",IF(AM$3=0,"n.b.",INDEX(SRC_ZPMW03!$A$1:$ZZ$501,$A209,AM$3)))</f>
        <v/>
      </c>
      <c r="AN209" s="124" t="str">
        <f>IF($B209="","",IF(AN$3=0,"n.b.",INDEX(SRC_ZPMW03!$A$1:$ZZ$501,$A209,AN$3)))</f>
        <v/>
      </c>
      <c r="AO209" s="124" t="str">
        <f>IF($B209="","",IF(AO$3=0,"n.b.",INDEX(SRC_ZPMW03!$A$1:$ZZ$501,$A209,AO$3)))</f>
        <v/>
      </c>
      <c r="AP209" s="124" t="str">
        <f>IF($B209="","",IF(AP$3=0,"n.b.",INDEX(SRC_ZPMW03!$A$1:$ZZ$501,$A209,AP$3)))</f>
        <v/>
      </c>
      <c r="AQ209" s="124" t="str">
        <f>IF($B209="","",IF(AQ$3=0,"n.b.",INDEX(SRC_ZPMW03!$A$1:$ZZ$501,$A209,AQ$3)))</f>
        <v/>
      </c>
      <c r="AR209" s="124" t="str">
        <f>IF($B209="","",IF(AR$3=0,"n.b.",INDEX(SRC_ZPMW03!$A$1:$ZZ$501,$A209,AR$3)))</f>
        <v/>
      </c>
      <c r="AS209" s="124" t="str">
        <f>IF($B209="","",IF(AS$3=0,"n.b.",INDEX(SRC_ZPMW03!$A$1:$ZZ$501,$A209,AS$3)))</f>
        <v/>
      </c>
      <c r="AT209" s="124" t="str">
        <f>IF($B209="","",IF(AT$3=0,"n.b.",INDEX(SRC_ZPMW03!$A$1:$ZZ$501,$A209,AT$3)))</f>
        <v/>
      </c>
      <c r="AU209" s="124" t="str">
        <f>IF($B209="","",IF(AU$3=0,"n.b.",INDEX(SRC_ZPMW03!$A$1:$ZZ$501,$A209,AU$3)))</f>
        <v/>
      </c>
      <c r="AV209" s="124" t="str">
        <f>IF($B209="","",IF(AV$3=0,"n.b.",INDEX(SRC_ZPMW03!$A$1:$ZZ$501,$A209,AV$3)))</f>
        <v/>
      </c>
      <c r="AW209" s="124" t="str">
        <f>IF($B209="","",IF(AW$3=0,"n.b.",INDEX(SRC_ZPMW03!$A$1:$ZZ$501,$A209,AW$3)))</f>
        <v/>
      </c>
      <c r="AX209" s="124" t="str">
        <f>IF($B209="","",IF(AX$3=0,"n.b.",INDEX(SRC_ZPMW03!$A$1:$ZZ$501,$A209,AX$3)))</f>
        <v/>
      </c>
      <c r="AY209" s="124" t="str">
        <f>IF($B209="","",IF(AY$3=0,"n.b.",INDEX(SRC_ZPMW03!$A$1:$ZZ$501,$A209,AY$3)))</f>
        <v/>
      </c>
      <c r="AZ209" s="124" t="str">
        <f>IF($B209="","",IF(AZ$3=0,"n.b.",INDEX(SRC_ZPMW03!$A$1:$ZZ$501,$A209,AZ$3)))</f>
        <v/>
      </c>
      <c r="BA209" s="124" t="str">
        <f>IF($B209="","",IF(BA$3=0,"n.b.",INDEX(SRC_ZPMW03!$A$1:$ZZ$501,$A209,BA$3)))</f>
        <v/>
      </c>
      <c r="BB209" s="124" t="str">
        <f>IF($B209="","",IF(BB$3=0,"n.b.",INDEX(SRC_ZPMW03!$A$1:$ZZ$501,$A209,BB$3)))</f>
        <v/>
      </c>
      <c r="BC209" s="124" t="str">
        <f>IF($B209="","",IF(BC$3=0,"n.b.",INDEX(SRC_ZPMW03!$A$1:$ZZ$501,$A209,BC$3)))</f>
        <v/>
      </c>
      <c r="BD209" s="124" t="str">
        <f>IF($B209="","",IF(BD$3=0,"n.b.",INDEX(SRC_ZPMW03!$A$1:$ZZ$501,$A209,BD$3)))</f>
        <v/>
      </c>
      <c r="BE209" s="124" t="str">
        <f>IF($B209="","",IF(BE$3=0,"n.b.",INDEX(SRC_ZPMW03!$A$1:$ZZ$501,$A209,BE$3)))</f>
        <v/>
      </c>
      <c r="BF209" s="124" t="str">
        <f>IF($B209="","",IF(BF$3=0,"n.b.",INDEX(SRC_ZPMW03!$A$1:$ZZ$501,$A209,BF$3)))</f>
        <v/>
      </c>
      <c r="BG209" t="str">
        <f>IF($B209="","",IF(BG$3=0,"n.b.",INDEX(SRC_ZPMW03!$A$1:$ZZ$501,$A209,BG$3)))</f>
        <v/>
      </c>
      <c r="BH209" t="str">
        <f>IF($B209="","",IF(BH$3=0,"n.b.",INDEX(SRC_ZPMW03!$A$1:$ZZ$501,$A209,BH$3)))</f>
        <v/>
      </c>
      <c r="BI209" t="str">
        <f>IF($B209="","",IF(BI$3=0,"n.b.",INDEX(SRC_ZPMW03!$A$1:$ZZ$501,$A209,BI$3)))</f>
        <v/>
      </c>
      <c r="BJ209" t="str">
        <f>IF($B209="","",IF(BJ$3=0,"n.b.",INDEX(SRC_ZPMW03!$A$1:$ZZ$501,$A209,BJ$3)))</f>
        <v/>
      </c>
      <c r="BK209" s="124" t="str">
        <f>IF($B209="","",IFERROR(-O209,"n.b."))</f>
        <v/>
      </c>
      <c r="BL209" s="124" t="str">
        <f>IF($B209="","",IFERROR(-Q209,"n.b."))</f>
        <v/>
      </c>
      <c r="BM209" s="124" t="str">
        <f>IF($B209="","",IFERROR(-AB209,"n.b."))</f>
        <v/>
      </c>
      <c r="BN209" s="124" t="str">
        <f>IF($B209="","",IFERROR(-AD209,"n.b."))</f>
        <v/>
      </c>
      <c r="BO209" s="124" t="str">
        <f>IF($B209="","",IFERROR(BK209+BM209,"n.b."))</f>
        <v/>
      </c>
      <c r="BP209" s="124" t="str">
        <f>IF($B209="","",IFERROR(BL209+BN209,"n.b."))</f>
        <v/>
      </c>
      <c r="BQ209" s="124" t="str">
        <f>IF($B209="","",IFERROR(-AM209,"n.b."))</f>
        <v/>
      </c>
      <c r="BR209" s="124" t="str">
        <f>IF($B209="","",IFERROR(-AO209,"n.b."))</f>
        <v/>
      </c>
      <c r="BS209" s="124" t="str">
        <f>IF($B209="","",IFERROR(-Z209,"n.b."))</f>
        <v/>
      </c>
      <c r="BT209" s="124" t="str">
        <f>IF($B209="","",IFERROR(-AA209,"n.b."))</f>
        <v/>
      </c>
      <c r="BU209" s="124" t="str">
        <f>IF($B209="","",IFERROR(-AE209,"n.b."))</f>
        <v/>
      </c>
      <c r="BV209" s="124" t="str">
        <f>IF($B209="","",IFERROR(-AF209,"n.b."))</f>
        <v/>
      </c>
      <c r="BW209" s="124" t="str">
        <f>IF($B209="","",IFERROR(-AG209,"n.b."))</f>
        <v/>
      </c>
      <c r="BX209" s="124" t="str">
        <f>IF($B209="","",IFERROR(-AH209,"n.b."))</f>
        <v/>
      </c>
      <c r="BY209" s="124" t="str">
        <f>IF($B209="","",IFERROR(-AI209,"n.b."))</f>
        <v/>
      </c>
      <c r="BZ209" s="124" t="str">
        <f>IF($B209="","",IFERROR(-AJ209,"n.b."))</f>
        <v/>
      </c>
      <c r="CA209" s="124" t="str">
        <f>IF($B209="","",IFERROR(-AK209,"n.b."))</f>
        <v/>
      </c>
      <c r="CB209" s="124" t="str">
        <f>IF($B209="","",IFERROR(-AL209,"n.b."))</f>
        <v/>
      </c>
      <c r="CC209" s="124" t="str">
        <f>IF($B209="","",IFERROR(-AP209,"n.b."))</f>
        <v/>
      </c>
      <c r="CD209" s="124" t="str">
        <f>IF($B209="","",IFERROR(-AQ209,"n.b."))</f>
        <v/>
      </c>
      <c r="CE209" s="124" t="str">
        <f>IF($B209="","",IFERROR(-AR209,"n.b."))</f>
        <v/>
      </c>
      <c r="CF209" s="124" t="str">
        <f>IF($B209="","",IFERROR(-AS209,"n.b."))</f>
        <v/>
      </c>
      <c r="CG209" s="124" t="str">
        <f>IF($B209="","",IFERROR(-AT209,"n.b."))</f>
        <v/>
      </c>
      <c r="CH209" s="124" t="str">
        <f>IF($B209="","",IFERROR(-AU209,"n.b."))</f>
        <v/>
      </c>
      <c r="CI209" s="124" t="str">
        <f>IF($B209="","",IFERROR(-AV209,"n.b."))</f>
        <v/>
      </c>
      <c r="CJ209" s="124" t="str">
        <f>IF($B209="","",IFERROR(-AW209,"n.b."))</f>
        <v/>
      </c>
      <c r="CK209" s="124" t="str">
        <f>IF($B209="","",IFERROR(-AX209,"n.b."))</f>
        <v/>
      </c>
      <c r="CL209" s="124" t="str">
        <f>IF($B209="","",IFERROR(-AY209,"n.b."))</f>
        <v/>
      </c>
      <c r="CM209" s="124" t="str">
        <f>IF($B209="","",IFERROR(-AZ209,"n.b."))</f>
        <v/>
      </c>
      <c r="CN209" s="124" t="str">
        <f>IF($B209="","",IFERROR(-BA209,"n.b."))</f>
        <v/>
      </c>
      <c r="CO209" s="124" t="str">
        <f>IF($B209="","",IFERROR(-BB209,"n.b."))</f>
        <v/>
      </c>
      <c r="CP209" s="124" t="str">
        <f>IF($B209="","",IFERROR(-BC209,"n.b."))</f>
        <v/>
      </c>
      <c r="CQ209" s="124" t="str">
        <f>IF($B209="","",IFERROR(-BD209,"n.b."))</f>
        <v/>
      </c>
      <c r="CR209" s="124" t="str">
        <f>IF($B209="","",IFERROR(-BE209,"n.b."))</f>
        <v/>
      </c>
      <c r="CS209" s="124" t="str">
        <f>IF($B209="","",IFERROR(IF(OR(ABS(T209+V209+X209+Z209-AB209)&gt;P_Tol,ABS(U209+W209+Y209+AA209-AD209)&gt;P_Tol,ABS(AE209+AG209+AI209+AK209-AM209)&gt;P_Tol,ABS(AF209+AH209+AJ209+AL209-AO209)&gt;P_Tol),1,0),1))</f>
        <v/>
      </c>
      <c r="CT209" s="124" t="str">
        <f>IF($B209="","",IFERROR(IF(OR(ABS(AB209+AC209-AD209)&gt;P_Tol,ABS(AM209+AN209-AO209)&gt;P_Tol,ABS(O209+P209-Q209)&gt;P_Tol),1,0),1))</f>
        <v/>
      </c>
      <c r="CU209" s="124" t="str">
        <f>IF($B209="","",IFERROR(IF(ABS(R209-(AB209+AM209+AP209+AR209+AT209+AV209+AX209+AZ209+BB209+BD209))&gt;P_Tol,1,0),1))</f>
        <v/>
      </c>
      <c r="CV209" s="124" t="str">
        <f>IF($B209="","",IFERROR(IF(ABS(M209-(N209+O209+R209))&gt;P_Tol,1,0),1))</f>
        <v/>
      </c>
      <c r="CW209" s="124" t="str">
        <f>IF($B209="","",IF(COUNTIF(Mapping!$A$5:$A$104,B209)&gt;0,1,0))</f>
        <v/>
      </c>
      <c r="CX209" s="124" t="str">
        <f>IF($B209="","",COUNTIF($B$6:$B$505,B209))</f>
        <v/>
      </c>
      <c r="CY209" s="124" t="str">
        <f>IF($B209="","",COUNTIF(STG_Woningetalage!$B$6:$B$505,B209))</f>
        <v/>
      </c>
      <c r="CZ209" s="124" t="str">
        <f>IF($B209="","",IF(CW209=0,COUNTIF($CW$6:CW209,0),""))</f>
        <v/>
      </c>
    </row>
    <row r="210">
      <c r="A210" s="15" t="n">
        <v>206</v>
      </c>
      <c r="B210" t="str">
        <f>IF(B$3=0,"",IF(INDEX(SRC_ZPMW03!$A$1:$ZZ$501,$A210,B$3)&amp;""="","",INDEX(SRC_ZPMW03!$A$1:$ZZ$501,$A210,B$3)&amp;""))</f>
        <v/>
      </c>
      <c r="C210" t="str">
        <f>IF($B210="","",IF(C$3=0,"n.b.",INDEX(SRC_ZPMW03!$A$1:$ZZ$501,$A210,C$3)))</f>
        <v/>
      </c>
      <c r="D210" t="str">
        <f>IF($B210="","",IF(D$3=0,"n.b.",INDEX(SRC_ZPMW03!$A$1:$ZZ$501,$A210,D$3)))</f>
        <v/>
      </c>
      <c r="E210" t="str">
        <f>IF($B210="","",IF(E$3=0,"n.b.",INDEX(SRC_ZPMW03!$A$1:$ZZ$501,$A210,E$3)))</f>
        <v/>
      </c>
      <c r="F210" t="str">
        <f>IF($B210="","",IF(F$3=0,"n.b.",INDEX(SRC_ZPMW03!$A$1:$ZZ$501,$A210,F$3)))</f>
        <v/>
      </c>
      <c r="G210" t="str">
        <f>IF($B210="","",IF(G$3=0,"n.b.",INDEX(SRC_ZPMW03!$A$1:$ZZ$501,$A210,G$3)))</f>
        <v/>
      </c>
      <c r="H210" t="str">
        <f>IF($B210="","",IF(H$3=0,"n.b.",INDEX(SRC_ZPMW03!$A$1:$ZZ$501,$A210,H$3)))</f>
        <v/>
      </c>
      <c r="I210" t="str">
        <f>IF($B210="","",IF(I$3=0,"n.b.",INDEX(SRC_ZPMW03!$A$1:$ZZ$501,$A210,I$3)))</f>
        <v/>
      </c>
      <c r="J210" t="str">
        <f>IF($B210="","",IF(J$3=0,"n.b.",INDEX(SRC_ZPMW03!$A$1:$ZZ$501,$A210,J$3)))</f>
        <v/>
      </c>
      <c r="K210" t="str">
        <f>IF($B210="","",IF(K$3=0,"n.b.",INDEX(SRC_ZPMW03!$A$1:$ZZ$501,$A210,K$3)))</f>
        <v/>
      </c>
      <c r="L210" s="124" t="str">
        <f>IF($B210="","",IF(L$3=0,"n.b.",INDEX(SRC_ZPMW03!$A$1:$ZZ$501,$A210,L$3)))</f>
        <v/>
      </c>
      <c r="M210" s="124" t="str">
        <f>IF($B210="","",IF(M$3=0,"n.b.",INDEX(SRC_ZPMW03!$A$1:$ZZ$501,$A210,M$3)))</f>
        <v/>
      </c>
      <c r="N210" s="124" t="str">
        <f>IF($B210="","",IF(N$3=0,"n.b.",INDEX(SRC_ZPMW03!$A$1:$ZZ$501,$A210,N$3)))</f>
        <v/>
      </c>
      <c r="O210" s="124" t="str">
        <f>IF($B210="","",IF(O$3=0,"n.b.",INDEX(SRC_ZPMW03!$A$1:$ZZ$501,$A210,O$3)))</f>
        <v/>
      </c>
      <c r="P210" s="124" t="str">
        <f>IF($B210="","",IF(P$3=0,"n.b.",INDEX(SRC_ZPMW03!$A$1:$ZZ$501,$A210,P$3)))</f>
        <v/>
      </c>
      <c r="Q210" s="124" t="str">
        <f>IF($B210="","",IF(Q$3=0,"n.b.",INDEX(SRC_ZPMW03!$A$1:$ZZ$501,$A210,Q$3)))</f>
        <v/>
      </c>
      <c r="R210" s="124" t="str">
        <f>IF($B210="","",IF(R$3=0,"n.b.",INDEX(SRC_ZPMW03!$A$1:$ZZ$501,$A210,R$3)))</f>
        <v/>
      </c>
      <c r="S210" s="124" t="str">
        <f>IF($B210="","",IF(S$3=0,"n.b.",INDEX(SRC_ZPMW03!$A$1:$ZZ$501,$A210,S$3)))</f>
        <v/>
      </c>
      <c r="T210" s="124" t="str">
        <f>IF($B210="","",IF(T$3=0,"n.b.",INDEX(SRC_ZPMW03!$A$1:$ZZ$501,$A210,T$3)))</f>
        <v/>
      </c>
      <c r="U210" s="124" t="str">
        <f>IF($B210="","",IF(U$3=0,"n.b.",INDEX(SRC_ZPMW03!$A$1:$ZZ$501,$A210,U$3)))</f>
        <v/>
      </c>
      <c r="V210" s="124" t="str">
        <f>IF($B210="","",IF(V$3=0,"n.b.",INDEX(SRC_ZPMW03!$A$1:$ZZ$501,$A210,V$3)))</f>
        <v/>
      </c>
      <c r="W210" s="124" t="str">
        <f>IF($B210="","",IF(W$3=0,"n.b.",INDEX(SRC_ZPMW03!$A$1:$ZZ$501,$A210,W$3)))</f>
        <v/>
      </c>
      <c r="X210" s="124" t="str">
        <f>IF($B210="","",IF(X$3=0,"n.b.",INDEX(SRC_ZPMW03!$A$1:$ZZ$501,$A210,X$3)))</f>
        <v/>
      </c>
      <c r="Y210" s="124" t="str">
        <f>IF($B210="","",IF(Y$3=0,"n.b.",INDEX(SRC_ZPMW03!$A$1:$ZZ$501,$A210,Y$3)))</f>
        <v/>
      </c>
      <c r="Z210" s="124" t="str">
        <f>IF($B210="","",IF(Z$3=0,"n.b.",INDEX(SRC_ZPMW03!$A$1:$ZZ$501,$A210,Z$3)))</f>
        <v/>
      </c>
      <c r="AA210" s="124" t="str">
        <f>IF($B210="","",IF(AA$3=0,"n.b.",INDEX(SRC_ZPMW03!$A$1:$ZZ$501,$A210,AA$3)))</f>
        <v/>
      </c>
      <c r="AB210" s="124" t="str">
        <f>IF($B210="","",IF(AB$3=0,"n.b.",INDEX(SRC_ZPMW03!$A$1:$ZZ$501,$A210,AB$3)))</f>
        <v/>
      </c>
      <c r="AC210" s="124" t="str">
        <f>IF($B210="","",IF(AC$3=0,"n.b.",INDEX(SRC_ZPMW03!$A$1:$ZZ$501,$A210,AC$3)))</f>
        <v/>
      </c>
      <c r="AD210" s="124" t="str">
        <f>IF($B210="","",IF(AD$3=0,"n.b.",INDEX(SRC_ZPMW03!$A$1:$ZZ$501,$A210,AD$3)))</f>
        <v/>
      </c>
      <c r="AE210" s="124" t="str">
        <f>IF($B210="","",IF(AE$3=0,"n.b.",INDEX(SRC_ZPMW03!$A$1:$ZZ$501,$A210,AE$3)))</f>
        <v/>
      </c>
      <c r="AF210" s="124" t="str">
        <f>IF($B210="","",IF(AF$3=0,"n.b.",INDEX(SRC_ZPMW03!$A$1:$ZZ$501,$A210,AF$3)))</f>
        <v/>
      </c>
      <c r="AG210" s="124" t="str">
        <f>IF($B210="","",IF(AG$3=0,"n.b.",INDEX(SRC_ZPMW03!$A$1:$ZZ$501,$A210,AG$3)))</f>
        <v/>
      </c>
      <c r="AH210" s="124" t="str">
        <f>IF($B210="","",IF(AH$3=0,"n.b.",INDEX(SRC_ZPMW03!$A$1:$ZZ$501,$A210,AH$3)))</f>
        <v/>
      </c>
      <c r="AI210" s="124" t="str">
        <f>IF($B210="","",IF(AI$3=0,"n.b.",INDEX(SRC_ZPMW03!$A$1:$ZZ$501,$A210,AI$3)))</f>
        <v/>
      </c>
      <c r="AJ210" s="124" t="str">
        <f>IF($B210="","",IF(AJ$3=0,"n.b.",INDEX(SRC_ZPMW03!$A$1:$ZZ$501,$A210,AJ$3)))</f>
        <v/>
      </c>
      <c r="AK210" s="124" t="str">
        <f>IF($B210="","",IF(AK$3=0,"n.b.",INDEX(SRC_ZPMW03!$A$1:$ZZ$501,$A210,AK$3)))</f>
        <v/>
      </c>
      <c r="AL210" s="124" t="str">
        <f>IF($B210="","",IF(AL$3=0,"n.b.",INDEX(SRC_ZPMW03!$A$1:$ZZ$501,$A210,AL$3)))</f>
        <v/>
      </c>
      <c r="AM210" s="124" t="str">
        <f>IF($B210="","",IF(AM$3=0,"n.b.",INDEX(SRC_ZPMW03!$A$1:$ZZ$501,$A210,AM$3)))</f>
        <v/>
      </c>
      <c r="AN210" s="124" t="str">
        <f>IF($B210="","",IF(AN$3=0,"n.b.",INDEX(SRC_ZPMW03!$A$1:$ZZ$501,$A210,AN$3)))</f>
        <v/>
      </c>
      <c r="AO210" s="124" t="str">
        <f>IF($B210="","",IF(AO$3=0,"n.b.",INDEX(SRC_ZPMW03!$A$1:$ZZ$501,$A210,AO$3)))</f>
        <v/>
      </c>
      <c r="AP210" s="124" t="str">
        <f>IF($B210="","",IF(AP$3=0,"n.b.",INDEX(SRC_ZPMW03!$A$1:$ZZ$501,$A210,AP$3)))</f>
        <v/>
      </c>
      <c r="AQ210" s="124" t="str">
        <f>IF($B210="","",IF(AQ$3=0,"n.b.",INDEX(SRC_ZPMW03!$A$1:$ZZ$501,$A210,AQ$3)))</f>
        <v/>
      </c>
      <c r="AR210" s="124" t="str">
        <f>IF($B210="","",IF(AR$3=0,"n.b.",INDEX(SRC_ZPMW03!$A$1:$ZZ$501,$A210,AR$3)))</f>
        <v/>
      </c>
      <c r="AS210" s="124" t="str">
        <f>IF($B210="","",IF(AS$3=0,"n.b.",INDEX(SRC_ZPMW03!$A$1:$ZZ$501,$A210,AS$3)))</f>
        <v/>
      </c>
      <c r="AT210" s="124" t="str">
        <f>IF($B210="","",IF(AT$3=0,"n.b.",INDEX(SRC_ZPMW03!$A$1:$ZZ$501,$A210,AT$3)))</f>
        <v/>
      </c>
      <c r="AU210" s="124" t="str">
        <f>IF($B210="","",IF(AU$3=0,"n.b.",INDEX(SRC_ZPMW03!$A$1:$ZZ$501,$A210,AU$3)))</f>
        <v/>
      </c>
      <c r="AV210" s="124" t="str">
        <f>IF($B210="","",IF(AV$3=0,"n.b.",INDEX(SRC_ZPMW03!$A$1:$ZZ$501,$A210,AV$3)))</f>
        <v/>
      </c>
      <c r="AW210" s="124" t="str">
        <f>IF($B210="","",IF(AW$3=0,"n.b.",INDEX(SRC_ZPMW03!$A$1:$ZZ$501,$A210,AW$3)))</f>
        <v/>
      </c>
      <c r="AX210" s="124" t="str">
        <f>IF($B210="","",IF(AX$3=0,"n.b.",INDEX(SRC_ZPMW03!$A$1:$ZZ$501,$A210,AX$3)))</f>
        <v/>
      </c>
      <c r="AY210" s="124" t="str">
        <f>IF($B210="","",IF(AY$3=0,"n.b.",INDEX(SRC_ZPMW03!$A$1:$ZZ$501,$A210,AY$3)))</f>
        <v/>
      </c>
      <c r="AZ210" s="124" t="str">
        <f>IF($B210="","",IF(AZ$3=0,"n.b.",INDEX(SRC_ZPMW03!$A$1:$ZZ$501,$A210,AZ$3)))</f>
        <v/>
      </c>
      <c r="BA210" s="124" t="str">
        <f>IF($B210="","",IF(BA$3=0,"n.b.",INDEX(SRC_ZPMW03!$A$1:$ZZ$501,$A210,BA$3)))</f>
        <v/>
      </c>
      <c r="BB210" s="124" t="str">
        <f>IF($B210="","",IF(BB$3=0,"n.b.",INDEX(SRC_ZPMW03!$A$1:$ZZ$501,$A210,BB$3)))</f>
        <v/>
      </c>
      <c r="BC210" s="124" t="str">
        <f>IF($B210="","",IF(BC$3=0,"n.b.",INDEX(SRC_ZPMW03!$A$1:$ZZ$501,$A210,BC$3)))</f>
        <v/>
      </c>
      <c r="BD210" s="124" t="str">
        <f>IF($B210="","",IF(BD$3=0,"n.b.",INDEX(SRC_ZPMW03!$A$1:$ZZ$501,$A210,BD$3)))</f>
        <v/>
      </c>
      <c r="BE210" s="124" t="str">
        <f>IF($B210="","",IF(BE$3=0,"n.b.",INDEX(SRC_ZPMW03!$A$1:$ZZ$501,$A210,BE$3)))</f>
        <v/>
      </c>
      <c r="BF210" s="124" t="str">
        <f>IF($B210="","",IF(BF$3=0,"n.b.",INDEX(SRC_ZPMW03!$A$1:$ZZ$501,$A210,BF$3)))</f>
        <v/>
      </c>
      <c r="BG210" t="str">
        <f>IF($B210="","",IF(BG$3=0,"n.b.",INDEX(SRC_ZPMW03!$A$1:$ZZ$501,$A210,BG$3)))</f>
        <v/>
      </c>
      <c r="BH210" t="str">
        <f>IF($B210="","",IF(BH$3=0,"n.b.",INDEX(SRC_ZPMW03!$A$1:$ZZ$501,$A210,BH$3)))</f>
        <v/>
      </c>
      <c r="BI210" t="str">
        <f>IF($B210="","",IF(BI$3=0,"n.b.",INDEX(SRC_ZPMW03!$A$1:$ZZ$501,$A210,BI$3)))</f>
        <v/>
      </c>
      <c r="BJ210" t="str">
        <f>IF($B210="","",IF(BJ$3=0,"n.b.",INDEX(SRC_ZPMW03!$A$1:$ZZ$501,$A210,BJ$3)))</f>
        <v/>
      </c>
      <c r="BK210" s="124" t="str">
        <f>IF($B210="","",IFERROR(-O210,"n.b."))</f>
        <v/>
      </c>
      <c r="BL210" s="124" t="str">
        <f>IF($B210="","",IFERROR(-Q210,"n.b."))</f>
        <v/>
      </c>
      <c r="BM210" s="124" t="str">
        <f>IF($B210="","",IFERROR(-AB210,"n.b."))</f>
        <v/>
      </c>
      <c r="BN210" s="124" t="str">
        <f>IF($B210="","",IFERROR(-AD210,"n.b."))</f>
        <v/>
      </c>
      <c r="BO210" s="124" t="str">
        <f>IF($B210="","",IFERROR(BK210+BM210,"n.b."))</f>
        <v/>
      </c>
      <c r="BP210" s="124" t="str">
        <f>IF($B210="","",IFERROR(BL210+BN210,"n.b."))</f>
        <v/>
      </c>
      <c r="BQ210" s="124" t="str">
        <f>IF($B210="","",IFERROR(-AM210,"n.b."))</f>
        <v/>
      </c>
      <c r="BR210" s="124" t="str">
        <f>IF($B210="","",IFERROR(-AO210,"n.b."))</f>
        <v/>
      </c>
      <c r="BS210" s="124" t="str">
        <f>IF($B210="","",IFERROR(-Z210,"n.b."))</f>
        <v/>
      </c>
      <c r="BT210" s="124" t="str">
        <f>IF($B210="","",IFERROR(-AA210,"n.b."))</f>
        <v/>
      </c>
      <c r="BU210" s="124" t="str">
        <f>IF($B210="","",IFERROR(-AE210,"n.b."))</f>
        <v/>
      </c>
      <c r="BV210" s="124" t="str">
        <f>IF($B210="","",IFERROR(-AF210,"n.b."))</f>
        <v/>
      </c>
      <c r="BW210" s="124" t="str">
        <f>IF($B210="","",IFERROR(-AG210,"n.b."))</f>
        <v/>
      </c>
      <c r="BX210" s="124" t="str">
        <f>IF($B210="","",IFERROR(-AH210,"n.b."))</f>
        <v/>
      </c>
      <c r="BY210" s="124" t="str">
        <f>IF($B210="","",IFERROR(-AI210,"n.b."))</f>
        <v/>
      </c>
      <c r="BZ210" s="124" t="str">
        <f>IF($B210="","",IFERROR(-AJ210,"n.b."))</f>
        <v/>
      </c>
      <c r="CA210" s="124" t="str">
        <f>IF($B210="","",IFERROR(-AK210,"n.b."))</f>
        <v/>
      </c>
      <c r="CB210" s="124" t="str">
        <f>IF($B210="","",IFERROR(-AL210,"n.b."))</f>
        <v/>
      </c>
      <c r="CC210" s="124" t="str">
        <f>IF($B210="","",IFERROR(-AP210,"n.b."))</f>
        <v/>
      </c>
      <c r="CD210" s="124" t="str">
        <f>IF($B210="","",IFERROR(-AQ210,"n.b."))</f>
        <v/>
      </c>
      <c r="CE210" s="124" t="str">
        <f>IF($B210="","",IFERROR(-AR210,"n.b."))</f>
        <v/>
      </c>
      <c r="CF210" s="124" t="str">
        <f>IF($B210="","",IFERROR(-AS210,"n.b."))</f>
        <v/>
      </c>
      <c r="CG210" s="124" t="str">
        <f>IF($B210="","",IFERROR(-AT210,"n.b."))</f>
        <v/>
      </c>
      <c r="CH210" s="124" t="str">
        <f>IF($B210="","",IFERROR(-AU210,"n.b."))</f>
        <v/>
      </c>
      <c r="CI210" s="124" t="str">
        <f>IF($B210="","",IFERROR(-AV210,"n.b."))</f>
        <v/>
      </c>
      <c r="CJ210" s="124" t="str">
        <f>IF($B210="","",IFERROR(-AW210,"n.b."))</f>
        <v/>
      </c>
      <c r="CK210" s="124" t="str">
        <f>IF($B210="","",IFERROR(-AX210,"n.b."))</f>
        <v/>
      </c>
      <c r="CL210" s="124" t="str">
        <f>IF($B210="","",IFERROR(-AY210,"n.b."))</f>
        <v/>
      </c>
      <c r="CM210" s="124" t="str">
        <f>IF($B210="","",IFERROR(-AZ210,"n.b."))</f>
        <v/>
      </c>
      <c r="CN210" s="124" t="str">
        <f>IF($B210="","",IFERROR(-BA210,"n.b."))</f>
        <v/>
      </c>
      <c r="CO210" s="124" t="str">
        <f>IF($B210="","",IFERROR(-BB210,"n.b."))</f>
        <v/>
      </c>
      <c r="CP210" s="124" t="str">
        <f>IF($B210="","",IFERROR(-BC210,"n.b."))</f>
        <v/>
      </c>
      <c r="CQ210" s="124" t="str">
        <f>IF($B210="","",IFERROR(-BD210,"n.b."))</f>
        <v/>
      </c>
      <c r="CR210" s="124" t="str">
        <f>IF($B210="","",IFERROR(-BE210,"n.b."))</f>
        <v/>
      </c>
      <c r="CS210" s="124" t="str">
        <f>IF($B210="","",IFERROR(IF(OR(ABS(T210+V210+X210+Z210-AB210)&gt;P_Tol,ABS(U210+W210+Y210+AA210-AD210)&gt;P_Tol,ABS(AE210+AG210+AI210+AK210-AM210)&gt;P_Tol,ABS(AF210+AH210+AJ210+AL210-AO210)&gt;P_Tol),1,0),1))</f>
        <v/>
      </c>
      <c r="CT210" s="124" t="str">
        <f>IF($B210="","",IFERROR(IF(OR(ABS(AB210+AC210-AD210)&gt;P_Tol,ABS(AM210+AN210-AO210)&gt;P_Tol,ABS(O210+P210-Q210)&gt;P_Tol),1,0),1))</f>
        <v/>
      </c>
      <c r="CU210" s="124" t="str">
        <f>IF($B210="","",IFERROR(IF(ABS(R210-(AB210+AM210+AP210+AR210+AT210+AV210+AX210+AZ210+BB210+BD210))&gt;P_Tol,1,0),1))</f>
        <v/>
      </c>
      <c r="CV210" s="124" t="str">
        <f>IF($B210="","",IFERROR(IF(ABS(M210-(N210+O210+R210))&gt;P_Tol,1,0),1))</f>
        <v/>
      </c>
      <c r="CW210" s="124" t="str">
        <f>IF($B210="","",IF(COUNTIF(Mapping!$A$5:$A$104,B210)&gt;0,1,0))</f>
        <v/>
      </c>
      <c r="CX210" s="124" t="str">
        <f>IF($B210="","",COUNTIF($B$6:$B$505,B210))</f>
        <v/>
      </c>
      <c r="CY210" s="124" t="str">
        <f>IF($B210="","",COUNTIF(STG_Woningetalage!$B$6:$B$505,B210))</f>
        <v/>
      </c>
      <c r="CZ210" s="124" t="str">
        <f>IF($B210="","",IF(CW210=0,COUNTIF($CW$6:CW210,0),""))</f>
        <v/>
      </c>
    </row>
    <row r="211">
      <c r="A211" s="15" t="n">
        <v>207</v>
      </c>
      <c r="B211" t="str">
        <f>IF(B$3=0,"",IF(INDEX(SRC_ZPMW03!$A$1:$ZZ$501,$A211,B$3)&amp;""="","",INDEX(SRC_ZPMW03!$A$1:$ZZ$501,$A211,B$3)&amp;""))</f>
        <v/>
      </c>
      <c r="C211" t="str">
        <f>IF($B211="","",IF(C$3=0,"n.b.",INDEX(SRC_ZPMW03!$A$1:$ZZ$501,$A211,C$3)))</f>
        <v/>
      </c>
      <c r="D211" t="str">
        <f>IF($B211="","",IF(D$3=0,"n.b.",INDEX(SRC_ZPMW03!$A$1:$ZZ$501,$A211,D$3)))</f>
        <v/>
      </c>
      <c r="E211" t="str">
        <f>IF($B211="","",IF(E$3=0,"n.b.",INDEX(SRC_ZPMW03!$A$1:$ZZ$501,$A211,E$3)))</f>
        <v/>
      </c>
      <c r="F211" t="str">
        <f>IF($B211="","",IF(F$3=0,"n.b.",INDEX(SRC_ZPMW03!$A$1:$ZZ$501,$A211,F$3)))</f>
        <v/>
      </c>
      <c r="G211" t="str">
        <f>IF($B211="","",IF(G$3=0,"n.b.",INDEX(SRC_ZPMW03!$A$1:$ZZ$501,$A211,G$3)))</f>
        <v/>
      </c>
      <c r="H211" t="str">
        <f>IF($B211="","",IF(H$3=0,"n.b.",INDEX(SRC_ZPMW03!$A$1:$ZZ$501,$A211,H$3)))</f>
        <v/>
      </c>
      <c r="I211" t="str">
        <f>IF($B211="","",IF(I$3=0,"n.b.",INDEX(SRC_ZPMW03!$A$1:$ZZ$501,$A211,I$3)))</f>
        <v/>
      </c>
      <c r="J211" t="str">
        <f>IF($B211="","",IF(J$3=0,"n.b.",INDEX(SRC_ZPMW03!$A$1:$ZZ$501,$A211,J$3)))</f>
        <v/>
      </c>
      <c r="K211" t="str">
        <f>IF($B211="","",IF(K$3=0,"n.b.",INDEX(SRC_ZPMW03!$A$1:$ZZ$501,$A211,K$3)))</f>
        <v/>
      </c>
      <c r="L211" s="124" t="str">
        <f>IF($B211="","",IF(L$3=0,"n.b.",INDEX(SRC_ZPMW03!$A$1:$ZZ$501,$A211,L$3)))</f>
        <v/>
      </c>
      <c r="M211" s="124" t="str">
        <f>IF($B211="","",IF(M$3=0,"n.b.",INDEX(SRC_ZPMW03!$A$1:$ZZ$501,$A211,M$3)))</f>
        <v/>
      </c>
      <c r="N211" s="124" t="str">
        <f>IF($B211="","",IF(N$3=0,"n.b.",INDEX(SRC_ZPMW03!$A$1:$ZZ$501,$A211,N$3)))</f>
        <v/>
      </c>
      <c r="O211" s="124" t="str">
        <f>IF($B211="","",IF(O$3=0,"n.b.",INDEX(SRC_ZPMW03!$A$1:$ZZ$501,$A211,O$3)))</f>
        <v/>
      </c>
      <c r="P211" s="124" t="str">
        <f>IF($B211="","",IF(P$3=0,"n.b.",INDEX(SRC_ZPMW03!$A$1:$ZZ$501,$A211,P$3)))</f>
        <v/>
      </c>
      <c r="Q211" s="124" t="str">
        <f>IF($B211="","",IF(Q$3=0,"n.b.",INDEX(SRC_ZPMW03!$A$1:$ZZ$501,$A211,Q$3)))</f>
        <v/>
      </c>
      <c r="R211" s="124" t="str">
        <f>IF($B211="","",IF(R$3=0,"n.b.",INDEX(SRC_ZPMW03!$A$1:$ZZ$501,$A211,R$3)))</f>
        <v/>
      </c>
      <c r="S211" s="124" t="str">
        <f>IF($B211="","",IF(S$3=0,"n.b.",INDEX(SRC_ZPMW03!$A$1:$ZZ$501,$A211,S$3)))</f>
        <v/>
      </c>
      <c r="T211" s="124" t="str">
        <f>IF($B211="","",IF(T$3=0,"n.b.",INDEX(SRC_ZPMW03!$A$1:$ZZ$501,$A211,T$3)))</f>
        <v/>
      </c>
      <c r="U211" s="124" t="str">
        <f>IF($B211="","",IF(U$3=0,"n.b.",INDEX(SRC_ZPMW03!$A$1:$ZZ$501,$A211,U$3)))</f>
        <v/>
      </c>
      <c r="V211" s="124" t="str">
        <f>IF($B211="","",IF(V$3=0,"n.b.",INDEX(SRC_ZPMW03!$A$1:$ZZ$501,$A211,V$3)))</f>
        <v/>
      </c>
      <c r="W211" s="124" t="str">
        <f>IF($B211="","",IF(W$3=0,"n.b.",INDEX(SRC_ZPMW03!$A$1:$ZZ$501,$A211,W$3)))</f>
        <v/>
      </c>
      <c r="X211" s="124" t="str">
        <f>IF($B211="","",IF(X$3=0,"n.b.",INDEX(SRC_ZPMW03!$A$1:$ZZ$501,$A211,X$3)))</f>
        <v/>
      </c>
      <c r="Y211" s="124" t="str">
        <f>IF($B211="","",IF(Y$3=0,"n.b.",INDEX(SRC_ZPMW03!$A$1:$ZZ$501,$A211,Y$3)))</f>
        <v/>
      </c>
      <c r="Z211" s="124" t="str">
        <f>IF($B211="","",IF(Z$3=0,"n.b.",INDEX(SRC_ZPMW03!$A$1:$ZZ$501,$A211,Z$3)))</f>
        <v/>
      </c>
      <c r="AA211" s="124" t="str">
        <f>IF($B211="","",IF(AA$3=0,"n.b.",INDEX(SRC_ZPMW03!$A$1:$ZZ$501,$A211,AA$3)))</f>
        <v/>
      </c>
      <c r="AB211" s="124" t="str">
        <f>IF($B211="","",IF(AB$3=0,"n.b.",INDEX(SRC_ZPMW03!$A$1:$ZZ$501,$A211,AB$3)))</f>
        <v/>
      </c>
      <c r="AC211" s="124" t="str">
        <f>IF($B211="","",IF(AC$3=0,"n.b.",INDEX(SRC_ZPMW03!$A$1:$ZZ$501,$A211,AC$3)))</f>
        <v/>
      </c>
      <c r="AD211" s="124" t="str">
        <f>IF($B211="","",IF(AD$3=0,"n.b.",INDEX(SRC_ZPMW03!$A$1:$ZZ$501,$A211,AD$3)))</f>
        <v/>
      </c>
      <c r="AE211" s="124" t="str">
        <f>IF($B211="","",IF(AE$3=0,"n.b.",INDEX(SRC_ZPMW03!$A$1:$ZZ$501,$A211,AE$3)))</f>
        <v/>
      </c>
      <c r="AF211" s="124" t="str">
        <f>IF($B211="","",IF(AF$3=0,"n.b.",INDEX(SRC_ZPMW03!$A$1:$ZZ$501,$A211,AF$3)))</f>
        <v/>
      </c>
      <c r="AG211" s="124" t="str">
        <f>IF($B211="","",IF(AG$3=0,"n.b.",INDEX(SRC_ZPMW03!$A$1:$ZZ$501,$A211,AG$3)))</f>
        <v/>
      </c>
      <c r="AH211" s="124" t="str">
        <f>IF($B211="","",IF(AH$3=0,"n.b.",INDEX(SRC_ZPMW03!$A$1:$ZZ$501,$A211,AH$3)))</f>
        <v/>
      </c>
      <c r="AI211" s="124" t="str">
        <f>IF($B211="","",IF(AI$3=0,"n.b.",INDEX(SRC_ZPMW03!$A$1:$ZZ$501,$A211,AI$3)))</f>
        <v/>
      </c>
      <c r="AJ211" s="124" t="str">
        <f>IF($B211="","",IF(AJ$3=0,"n.b.",INDEX(SRC_ZPMW03!$A$1:$ZZ$501,$A211,AJ$3)))</f>
        <v/>
      </c>
      <c r="AK211" s="124" t="str">
        <f>IF($B211="","",IF(AK$3=0,"n.b.",INDEX(SRC_ZPMW03!$A$1:$ZZ$501,$A211,AK$3)))</f>
        <v/>
      </c>
      <c r="AL211" s="124" t="str">
        <f>IF($B211="","",IF(AL$3=0,"n.b.",INDEX(SRC_ZPMW03!$A$1:$ZZ$501,$A211,AL$3)))</f>
        <v/>
      </c>
      <c r="AM211" s="124" t="str">
        <f>IF($B211="","",IF(AM$3=0,"n.b.",INDEX(SRC_ZPMW03!$A$1:$ZZ$501,$A211,AM$3)))</f>
        <v/>
      </c>
      <c r="AN211" s="124" t="str">
        <f>IF($B211="","",IF(AN$3=0,"n.b.",INDEX(SRC_ZPMW03!$A$1:$ZZ$501,$A211,AN$3)))</f>
        <v/>
      </c>
      <c r="AO211" s="124" t="str">
        <f>IF($B211="","",IF(AO$3=0,"n.b.",INDEX(SRC_ZPMW03!$A$1:$ZZ$501,$A211,AO$3)))</f>
        <v/>
      </c>
      <c r="AP211" s="124" t="str">
        <f>IF($B211="","",IF(AP$3=0,"n.b.",INDEX(SRC_ZPMW03!$A$1:$ZZ$501,$A211,AP$3)))</f>
        <v/>
      </c>
      <c r="AQ211" s="124" t="str">
        <f>IF($B211="","",IF(AQ$3=0,"n.b.",INDEX(SRC_ZPMW03!$A$1:$ZZ$501,$A211,AQ$3)))</f>
        <v/>
      </c>
      <c r="AR211" s="124" t="str">
        <f>IF($B211="","",IF(AR$3=0,"n.b.",INDEX(SRC_ZPMW03!$A$1:$ZZ$501,$A211,AR$3)))</f>
        <v/>
      </c>
      <c r="AS211" s="124" t="str">
        <f>IF($B211="","",IF(AS$3=0,"n.b.",INDEX(SRC_ZPMW03!$A$1:$ZZ$501,$A211,AS$3)))</f>
        <v/>
      </c>
      <c r="AT211" s="124" t="str">
        <f>IF($B211="","",IF(AT$3=0,"n.b.",INDEX(SRC_ZPMW03!$A$1:$ZZ$501,$A211,AT$3)))</f>
        <v/>
      </c>
      <c r="AU211" s="124" t="str">
        <f>IF($B211="","",IF(AU$3=0,"n.b.",INDEX(SRC_ZPMW03!$A$1:$ZZ$501,$A211,AU$3)))</f>
        <v/>
      </c>
      <c r="AV211" s="124" t="str">
        <f>IF($B211="","",IF(AV$3=0,"n.b.",INDEX(SRC_ZPMW03!$A$1:$ZZ$501,$A211,AV$3)))</f>
        <v/>
      </c>
      <c r="AW211" s="124" t="str">
        <f>IF($B211="","",IF(AW$3=0,"n.b.",INDEX(SRC_ZPMW03!$A$1:$ZZ$501,$A211,AW$3)))</f>
        <v/>
      </c>
      <c r="AX211" s="124" t="str">
        <f>IF($B211="","",IF(AX$3=0,"n.b.",INDEX(SRC_ZPMW03!$A$1:$ZZ$501,$A211,AX$3)))</f>
        <v/>
      </c>
      <c r="AY211" s="124" t="str">
        <f>IF($B211="","",IF(AY$3=0,"n.b.",INDEX(SRC_ZPMW03!$A$1:$ZZ$501,$A211,AY$3)))</f>
        <v/>
      </c>
      <c r="AZ211" s="124" t="str">
        <f>IF($B211="","",IF(AZ$3=0,"n.b.",INDEX(SRC_ZPMW03!$A$1:$ZZ$501,$A211,AZ$3)))</f>
        <v/>
      </c>
      <c r="BA211" s="124" t="str">
        <f>IF($B211="","",IF(BA$3=0,"n.b.",INDEX(SRC_ZPMW03!$A$1:$ZZ$501,$A211,BA$3)))</f>
        <v/>
      </c>
      <c r="BB211" s="124" t="str">
        <f>IF($B211="","",IF(BB$3=0,"n.b.",INDEX(SRC_ZPMW03!$A$1:$ZZ$501,$A211,BB$3)))</f>
        <v/>
      </c>
      <c r="BC211" s="124" t="str">
        <f>IF($B211="","",IF(BC$3=0,"n.b.",INDEX(SRC_ZPMW03!$A$1:$ZZ$501,$A211,BC$3)))</f>
        <v/>
      </c>
      <c r="BD211" s="124" t="str">
        <f>IF($B211="","",IF(BD$3=0,"n.b.",INDEX(SRC_ZPMW03!$A$1:$ZZ$501,$A211,BD$3)))</f>
        <v/>
      </c>
      <c r="BE211" s="124" t="str">
        <f>IF($B211="","",IF(BE$3=0,"n.b.",INDEX(SRC_ZPMW03!$A$1:$ZZ$501,$A211,BE$3)))</f>
        <v/>
      </c>
      <c r="BF211" s="124" t="str">
        <f>IF($B211="","",IF(BF$3=0,"n.b.",INDEX(SRC_ZPMW03!$A$1:$ZZ$501,$A211,BF$3)))</f>
        <v/>
      </c>
      <c r="BG211" t="str">
        <f>IF($B211="","",IF(BG$3=0,"n.b.",INDEX(SRC_ZPMW03!$A$1:$ZZ$501,$A211,BG$3)))</f>
        <v/>
      </c>
      <c r="BH211" t="str">
        <f>IF($B211="","",IF(BH$3=0,"n.b.",INDEX(SRC_ZPMW03!$A$1:$ZZ$501,$A211,BH$3)))</f>
        <v/>
      </c>
      <c r="BI211" t="str">
        <f>IF($B211="","",IF(BI$3=0,"n.b.",INDEX(SRC_ZPMW03!$A$1:$ZZ$501,$A211,BI$3)))</f>
        <v/>
      </c>
      <c r="BJ211" t="str">
        <f>IF($B211="","",IF(BJ$3=0,"n.b.",INDEX(SRC_ZPMW03!$A$1:$ZZ$501,$A211,BJ$3)))</f>
        <v/>
      </c>
      <c r="BK211" s="124" t="str">
        <f>IF($B211="","",IFERROR(-O211,"n.b."))</f>
        <v/>
      </c>
      <c r="BL211" s="124" t="str">
        <f>IF($B211="","",IFERROR(-Q211,"n.b."))</f>
        <v/>
      </c>
      <c r="BM211" s="124" t="str">
        <f>IF($B211="","",IFERROR(-AB211,"n.b."))</f>
        <v/>
      </c>
      <c r="BN211" s="124" t="str">
        <f>IF($B211="","",IFERROR(-AD211,"n.b."))</f>
        <v/>
      </c>
      <c r="BO211" s="124" t="str">
        <f>IF($B211="","",IFERROR(BK211+BM211,"n.b."))</f>
        <v/>
      </c>
      <c r="BP211" s="124" t="str">
        <f>IF($B211="","",IFERROR(BL211+BN211,"n.b."))</f>
        <v/>
      </c>
      <c r="BQ211" s="124" t="str">
        <f>IF($B211="","",IFERROR(-AM211,"n.b."))</f>
        <v/>
      </c>
      <c r="BR211" s="124" t="str">
        <f>IF($B211="","",IFERROR(-AO211,"n.b."))</f>
        <v/>
      </c>
      <c r="BS211" s="124" t="str">
        <f>IF($B211="","",IFERROR(-Z211,"n.b."))</f>
        <v/>
      </c>
      <c r="BT211" s="124" t="str">
        <f>IF($B211="","",IFERROR(-AA211,"n.b."))</f>
        <v/>
      </c>
      <c r="BU211" s="124" t="str">
        <f>IF($B211="","",IFERROR(-AE211,"n.b."))</f>
        <v/>
      </c>
      <c r="BV211" s="124" t="str">
        <f>IF($B211="","",IFERROR(-AF211,"n.b."))</f>
        <v/>
      </c>
      <c r="BW211" s="124" t="str">
        <f>IF($B211="","",IFERROR(-AG211,"n.b."))</f>
        <v/>
      </c>
      <c r="BX211" s="124" t="str">
        <f>IF($B211="","",IFERROR(-AH211,"n.b."))</f>
        <v/>
      </c>
      <c r="BY211" s="124" t="str">
        <f>IF($B211="","",IFERROR(-AI211,"n.b."))</f>
        <v/>
      </c>
      <c r="BZ211" s="124" t="str">
        <f>IF($B211="","",IFERROR(-AJ211,"n.b."))</f>
        <v/>
      </c>
      <c r="CA211" s="124" t="str">
        <f>IF($B211="","",IFERROR(-AK211,"n.b."))</f>
        <v/>
      </c>
      <c r="CB211" s="124" t="str">
        <f>IF($B211="","",IFERROR(-AL211,"n.b."))</f>
        <v/>
      </c>
      <c r="CC211" s="124" t="str">
        <f>IF($B211="","",IFERROR(-AP211,"n.b."))</f>
        <v/>
      </c>
      <c r="CD211" s="124" t="str">
        <f>IF($B211="","",IFERROR(-AQ211,"n.b."))</f>
        <v/>
      </c>
      <c r="CE211" s="124" t="str">
        <f>IF($B211="","",IFERROR(-AR211,"n.b."))</f>
        <v/>
      </c>
      <c r="CF211" s="124" t="str">
        <f>IF($B211="","",IFERROR(-AS211,"n.b."))</f>
        <v/>
      </c>
      <c r="CG211" s="124" t="str">
        <f>IF($B211="","",IFERROR(-AT211,"n.b."))</f>
        <v/>
      </c>
      <c r="CH211" s="124" t="str">
        <f>IF($B211="","",IFERROR(-AU211,"n.b."))</f>
        <v/>
      </c>
      <c r="CI211" s="124" t="str">
        <f>IF($B211="","",IFERROR(-AV211,"n.b."))</f>
        <v/>
      </c>
      <c r="CJ211" s="124" t="str">
        <f>IF($B211="","",IFERROR(-AW211,"n.b."))</f>
        <v/>
      </c>
      <c r="CK211" s="124" t="str">
        <f>IF($B211="","",IFERROR(-AX211,"n.b."))</f>
        <v/>
      </c>
      <c r="CL211" s="124" t="str">
        <f>IF($B211="","",IFERROR(-AY211,"n.b."))</f>
        <v/>
      </c>
      <c r="CM211" s="124" t="str">
        <f>IF($B211="","",IFERROR(-AZ211,"n.b."))</f>
        <v/>
      </c>
      <c r="CN211" s="124" t="str">
        <f>IF($B211="","",IFERROR(-BA211,"n.b."))</f>
        <v/>
      </c>
      <c r="CO211" s="124" t="str">
        <f>IF($B211="","",IFERROR(-BB211,"n.b."))</f>
        <v/>
      </c>
      <c r="CP211" s="124" t="str">
        <f>IF($B211="","",IFERROR(-BC211,"n.b."))</f>
        <v/>
      </c>
      <c r="CQ211" s="124" t="str">
        <f>IF($B211="","",IFERROR(-BD211,"n.b."))</f>
        <v/>
      </c>
      <c r="CR211" s="124" t="str">
        <f>IF($B211="","",IFERROR(-BE211,"n.b."))</f>
        <v/>
      </c>
      <c r="CS211" s="124" t="str">
        <f>IF($B211="","",IFERROR(IF(OR(ABS(T211+V211+X211+Z211-AB211)&gt;P_Tol,ABS(U211+W211+Y211+AA211-AD211)&gt;P_Tol,ABS(AE211+AG211+AI211+AK211-AM211)&gt;P_Tol,ABS(AF211+AH211+AJ211+AL211-AO211)&gt;P_Tol),1,0),1))</f>
        <v/>
      </c>
      <c r="CT211" s="124" t="str">
        <f>IF($B211="","",IFERROR(IF(OR(ABS(AB211+AC211-AD211)&gt;P_Tol,ABS(AM211+AN211-AO211)&gt;P_Tol,ABS(O211+P211-Q211)&gt;P_Tol),1,0),1))</f>
        <v/>
      </c>
      <c r="CU211" s="124" t="str">
        <f>IF($B211="","",IFERROR(IF(ABS(R211-(AB211+AM211+AP211+AR211+AT211+AV211+AX211+AZ211+BB211+BD211))&gt;P_Tol,1,0),1))</f>
        <v/>
      </c>
      <c r="CV211" s="124" t="str">
        <f>IF($B211="","",IFERROR(IF(ABS(M211-(N211+O211+R211))&gt;P_Tol,1,0),1))</f>
        <v/>
      </c>
      <c r="CW211" s="124" t="str">
        <f>IF($B211="","",IF(COUNTIF(Mapping!$A$5:$A$104,B211)&gt;0,1,0))</f>
        <v/>
      </c>
      <c r="CX211" s="124" t="str">
        <f>IF($B211="","",COUNTIF($B$6:$B$505,B211))</f>
        <v/>
      </c>
      <c r="CY211" s="124" t="str">
        <f>IF($B211="","",COUNTIF(STG_Woningetalage!$B$6:$B$505,B211))</f>
        <v/>
      </c>
      <c r="CZ211" s="124" t="str">
        <f>IF($B211="","",IF(CW211=0,COUNTIF($CW$6:CW211,0),""))</f>
        <v/>
      </c>
    </row>
    <row r="212">
      <c r="A212" s="15" t="n">
        <v>208</v>
      </c>
      <c r="B212" t="str">
        <f>IF(B$3=0,"",IF(INDEX(SRC_ZPMW03!$A$1:$ZZ$501,$A212,B$3)&amp;""="","",INDEX(SRC_ZPMW03!$A$1:$ZZ$501,$A212,B$3)&amp;""))</f>
        <v/>
      </c>
      <c r="C212" t="str">
        <f>IF($B212="","",IF(C$3=0,"n.b.",INDEX(SRC_ZPMW03!$A$1:$ZZ$501,$A212,C$3)))</f>
        <v/>
      </c>
      <c r="D212" t="str">
        <f>IF($B212="","",IF(D$3=0,"n.b.",INDEX(SRC_ZPMW03!$A$1:$ZZ$501,$A212,D$3)))</f>
        <v/>
      </c>
      <c r="E212" t="str">
        <f>IF($B212="","",IF(E$3=0,"n.b.",INDEX(SRC_ZPMW03!$A$1:$ZZ$501,$A212,E$3)))</f>
        <v/>
      </c>
      <c r="F212" t="str">
        <f>IF($B212="","",IF(F$3=0,"n.b.",INDEX(SRC_ZPMW03!$A$1:$ZZ$501,$A212,F$3)))</f>
        <v/>
      </c>
      <c r="G212" t="str">
        <f>IF($B212="","",IF(G$3=0,"n.b.",INDEX(SRC_ZPMW03!$A$1:$ZZ$501,$A212,G$3)))</f>
        <v/>
      </c>
      <c r="H212" t="str">
        <f>IF($B212="","",IF(H$3=0,"n.b.",INDEX(SRC_ZPMW03!$A$1:$ZZ$501,$A212,H$3)))</f>
        <v/>
      </c>
      <c r="I212" t="str">
        <f>IF($B212="","",IF(I$3=0,"n.b.",INDEX(SRC_ZPMW03!$A$1:$ZZ$501,$A212,I$3)))</f>
        <v/>
      </c>
      <c r="J212" t="str">
        <f>IF($B212="","",IF(J$3=0,"n.b.",INDEX(SRC_ZPMW03!$A$1:$ZZ$501,$A212,J$3)))</f>
        <v/>
      </c>
      <c r="K212" t="str">
        <f>IF($B212="","",IF(K$3=0,"n.b.",INDEX(SRC_ZPMW03!$A$1:$ZZ$501,$A212,K$3)))</f>
        <v/>
      </c>
      <c r="L212" s="124" t="str">
        <f>IF($B212="","",IF(L$3=0,"n.b.",INDEX(SRC_ZPMW03!$A$1:$ZZ$501,$A212,L$3)))</f>
        <v/>
      </c>
      <c r="M212" s="124" t="str">
        <f>IF($B212="","",IF(M$3=0,"n.b.",INDEX(SRC_ZPMW03!$A$1:$ZZ$501,$A212,M$3)))</f>
        <v/>
      </c>
      <c r="N212" s="124" t="str">
        <f>IF($B212="","",IF(N$3=0,"n.b.",INDEX(SRC_ZPMW03!$A$1:$ZZ$501,$A212,N$3)))</f>
        <v/>
      </c>
      <c r="O212" s="124" t="str">
        <f>IF($B212="","",IF(O$3=0,"n.b.",INDEX(SRC_ZPMW03!$A$1:$ZZ$501,$A212,O$3)))</f>
        <v/>
      </c>
      <c r="P212" s="124" t="str">
        <f>IF($B212="","",IF(P$3=0,"n.b.",INDEX(SRC_ZPMW03!$A$1:$ZZ$501,$A212,P$3)))</f>
        <v/>
      </c>
      <c r="Q212" s="124" t="str">
        <f>IF($B212="","",IF(Q$3=0,"n.b.",INDEX(SRC_ZPMW03!$A$1:$ZZ$501,$A212,Q$3)))</f>
        <v/>
      </c>
      <c r="R212" s="124" t="str">
        <f>IF($B212="","",IF(R$3=0,"n.b.",INDEX(SRC_ZPMW03!$A$1:$ZZ$501,$A212,R$3)))</f>
        <v/>
      </c>
      <c r="S212" s="124" t="str">
        <f>IF($B212="","",IF(S$3=0,"n.b.",INDEX(SRC_ZPMW03!$A$1:$ZZ$501,$A212,S$3)))</f>
        <v/>
      </c>
      <c r="T212" s="124" t="str">
        <f>IF($B212="","",IF(T$3=0,"n.b.",INDEX(SRC_ZPMW03!$A$1:$ZZ$501,$A212,T$3)))</f>
        <v/>
      </c>
      <c r="U212" s="124" t="str">
        <f>IF($B212="","",IF(U$3=0,"n.b.",INDEX(SRC_ZPMW03!$A$1:$ZZ$501,$A212,U$3)))</f>
        <v/>
      </c>
      <c r="V212" s="124" t="str">
        <f>IF($B212="","",IF(V$3=0,"n.b.",INDEX(SRC_ZPMW03!$A$1:$ZZ$501,$A212,V$3)))</f>
        <v/>
      </c>
      <c r="W212" s="124" t="str">
        <f>IF($B212="","",IF(W$3=0,"n.b.",INDEX(SRC_ZPMW03!$A$1:$ZZ$501,$A212,W$3)))</f>
        <v/>
      </c>
      <c r="X212" s="124" t="str">
        <f>IF($B212="","",IF(X$3=0,"n.b.",INDEX(SRC_ZPMW03!$A$1:$ZZ$501,$A212,X$3)))</f>
        <v/>
      </c>
      <c r="Y212" s="124" t="str">
        <f>IF($B212="","",IF(Y$3=0,"n.b.",INDEX(SRC_ZPMW03!$A$1:$ZZ$501,$A212,Y$3)))</f>
        <v/>
      </c>
      <c r="Z212" s="124" t="str">
        <f>IF($B212="","",IF(Z$3=0,"n.b.",INDEX(SRC_ZPMW03!$A$1:$ZZ$501,$A212,Z$3)))</f>
        <v/>
      </c>
      <c r="AA212" s="124" t="str">
        <f>IF($B212="","",IF(AA$3=0,"n.b.",INDEX(SRC_ZPMW03!$A$1:$ZZ$501,$A212,AA$3)))</f>
        <v/>
      </c>
      <c r="AB212" s="124" t="str">
        <f>IF($B212="","",IF(AB$3=0,"n.b.",INDEX(SRC_ZPMW03!$A$1:$ZZ$501,$A212,AB$3)))</f>
        <v/>
      </c>
      <c r="AC212" s="124" t="str">
        <f>IF($B212="","",IF(AC$3=0,"n.b.",INDEX(SRC_ZPMW03!$A$1:$ZZ$501,$A212,AC$3)))</f>
        <v/>
      </c>
      <c r="AD212" s="124" t="str">
        <f>IF($B212="","",IF(AD$3=0,"n.b.",INDEX(SRC_ZPMW03!$A$1:$ZZ$501,$A212,AD$3)))</f>
        <v/>
      </c>
      <c r="AE212" s="124" t="str">
        <f>IF($B212="","",IF(AE$3=0,"n.b.",INDEX(SRC_ZPMW03!$A$1:$ZZ$501,$A212,AE$3)))</f>
        <v/>
      </c>
      <c r="AF212" s="124" t="str">
        <f>IF($B212="","",IF(AF$3=0,"n.b.",INDEX(SRC_ZPMW03!$A$1:$ZZ$501,$A212,AF$3)))</f>
        <v/>
      </c>
      <c r="AG212" s="124" t="str">
        <f>IF($B212="","",IF(AG$3=0,"n.b.",INDEX(SRC_ZPMW03!$A$1:$ZZ$501,$A212,AG$3)))</f>
        <v/>
      </c>
      <c r="AH212" s="124" t="str">
        <f>IF($B212="","",IF(AH$3=0,"n.b.",INDEX(SRC_ZPMW03!$A$1:$ZZ$501,$A212,AH$3)))</f>
        <v/>
      </c>
      <c r="AI212" s="124" t="str">
        <f>IF($B212="","",IF(AI$3=0,"n.b.",INDEX(SRC_ZPMW03!$A$1:$ZZ$501,$A212,AI$3)))</f>
        <v/>
      </c>
      <c r="AJ212" s="124" t="str">
        <f>IF($B212="","",IF(AJ$3=0,"n.b.",INDEX(SRC_ZPMW03!$A$1:$ZZ$501,$A212,AJ$3)))</f>
        <v/>
      </c>
      <c r="AK212" s="124" t="str">
        <f>IF($B212="","",IF(AK$3=0,"n.b.",INDEX(SRC_ZPMW03!$A$1:$ZZ$501,$A212,AK$3)))</f>
        <v/>
      </c>
      <c r="AL212" s="124" t="str">
        <f>IF($B212="","",IF(AL$3=0,"n.b.",INDEX(SRC_ZPMW03!$A$1:$ZZ$501,$A212,AL$3)))</f>
        <v/>
      </c>
      <c r="AM212" s="124" t="str">
        <f>IF($B212="","",IF(AM$3=0,"n.b.",INDEX(SRC_ZPMW03!$A$1:$ZZ$501,$A212,AM$3)))</f>
        <v/>
      </c>
      <c r="AN212" s="124" t="str">
        <f>IF($B212="","",IF(AN$3=0,"n.b.",INDEX(SRC_ZPMW03!$A$1:$ZZ$501,$A212,AN$3)))</f>
        <v/>
      </c>
      <c r="AO212" s="124" t="str">
        <f>IF($B212="","",IF(AO$3=0,"n.b.",INDEX(SRC_ZPMW03!$A$1:$ZZ$501,$A212,AO$3)))</f>
        <v/>
      </c>
      <c r="AP212" s="124" t="str">
        <f>IF($B212="","",IF(AP$3=0,"n.b.",INDEX(SRC_ZPMW03!$A$1:$ZZ$501,$A212,AP$3)))</f>
        <v/>
      </c>
      <c r="AQ212" s="124" t="str">
        <f>IF($B212="","",IF(AQ$3=0,"n.b.",INDEX(SRC_ZPMW03!$A$1:$ZZ$501,$A212,AQ$3)))</f>
        <v/>
      </c>
      <c r="AR212" s="124" t="str">
        <f>IF($B212="","",IF(AR$3=0,"n.b.",INDEX(SRC_ZPMW03!$A$1:$ZZ$501,$A212,AR$3)))</f>
        <v/>
      </c>
      <c r="AS212" s="124" t="str">
        <f>IF($B212="","",IF(AS$3=0,"n.b.",INDEX(SRC_ZPMW03!$A$1:$ZZ$501,$A212,AS$3)))</f>
        <v/>
      </c>
      <c r="AT212" s="124" t="str">
        <f>IF($B212="","",IF(AT$3=0,"n.b.",INDEX(SRC_ZPMW03!$A$1:$ZZ$501,$A212,AT$3)))</f>
        <v/>
      </c>
      <c r="AU212" s="124" t="str">
        <f>IF($B212="","",IF(AU$3=0,"n.b.",INDEX(SRC_ZPMW03!$A$1:$ZZ$501,$A212,AU$3)))</f>
        <v/>
      </c>
      <c r="AV212" s="124" t="str">
        <f>IF($B212="","",IF(AV$3=0,"n.b.",INDEX(SRC_ZPMW03!$A$1:$ZZ$501,$A212,AV$3)))</f>
        <v/>
      </c>
      <c r="AW212" s="124" t="str">
        <f>IF($B212="","",IF(AW$3=0,"n.b.",INDEX(SRC_ZPMW03!$A$1:$ZZ$501,$A212,AW$3)))</f>
        <v/>
      </c>
      <c r="AX212" s="124" t="str">
        <f>IF($B212="","",IF(AX$3=0,"n.b.",INDEX(SRC_ZPMW03!$A$1:$ZZ$501,$A212,AX$3)))</f>
        <v/>
      </c>
      <c r="AY212" s="124" t="str">
        <f>IF($B212="","",IF(AY$3=0,"n.b.",INDEX(SRC_ZPMW03!$A$1:$ZZ$501,$A212,AY$3)))</f>
        <v/>
      </c>
      <c r="AZ212" s="124" t="str">
        <f>IF($B212="","",IF(AZ$3=0,"n.b.",INDEX(SRC_ZPMW03!$A$1:$ZZ$501,$A212,AZ$3)))</f>
        <v/>
      </c>
      <c r="BA212" s="124" t="str">
        <f>IF($B212="","",IF(BA$3=0,"n.b.",INDEX(SRC_ZPMW03!$A$1:$ZZ$501,$A212,BA$3)))</f>
        <v/>
      </c>
      <c r="BB212" s="124" t="str">
        <f>IF($B212="","",IF(BB$3=0,"n.b.",INDEX(SRC_ZPMW03!$A$1:$ZZ$501,$A212,BB$3)))</f>
        <v/>
      </c>
      <c r="BC212" s="124" t="str">
        <f>IF($B212="","",IF(BC$3=0,"n.b.",INDEX(SRC_ZPMW03!$A$1:$ZZ$501,$A212,BC$3)))</f>
        <v/>
      </c>
      <c r="BD212" s="124" t="str">
        <f>IF($B212="","",IF(BD$3=0,"n.b.",INDEX(SRC_ZPMW03!$A$1:$ZZ$501,$A212,BD$3)))</f>
        <v/>
      </c>
      <c r="BE212" s="124" t="str">
        <f>IF($B212="","",IF(BE$3=0,"n.b.",INDEX(SRC_ZPMW03!$A$1:$ZZ$501,$A212,BE$3)))</f>
        <v/>
      </c>
      <c r="BF212" s="124" t="str">
        <f>IF($B212="","",IF(BF$3=0,"n.b.",INDEX(SRC_ZPMW03!$A$1:$ZZ$501,$A212,BF$3)))</f>
        <v/>
      </c>
      <c r="BG212" t="str">
        <f>IF($B212="","",IF(BG$3=0,"n.b.",INDEX(SRC_ZPMW03!$A$1:$ZZ$501,$A212,BG$3)))</f>
        <v/>
      </c>
      <c r="BH212" t="str">
        <f>IF($B212="","",IF(BH$3=0,"n.b.",INDEX(SRC_ZPMW03!$A$1:$ZZ$501,$A212,BH$3)))</f>
        <v/>
      </c>
      <c r="BI212" t="str">
        <f>IF($B212="","",IF(BI$3=0,"n.b.",INDEX(SRC_ZPMW03!$A$1:$ZZ$501,$A212,BI$3)))</f>
        <v/>
      </c>
      <c r="BJ212" t="str">
        <f>IF($B212="","",IF(BJ$3=0,"n.b.",INDEX(SRC_ZPMW03!$A$1:$ZZ$501,$A212,BJ$3)))</f>
        <v/>
      </c>
      <c r="BK212" s="124" t="str">
        <f>IF($B212="","",IFERROR(-O212,"n.b."))</f>
        <v/>
      </c>
      <c r="BL212" s="124" t="str">
        <f>IF($B212="","",IFERROR(-Q212,"n.b."))</f>
        <v/>
      </c>
      <c r="BM212" s="124" t="str">
        <f>IF($B212="","",IFERROR(-AB212,"n.b."))</f>
        <v/>
      </c>
      <c r="BN212" s="124" t="str">
        <f>IF($B212="","",IFERROR(-AD212,"n.b."))</f>
        <v/>
      </c>
      <c r="BO212" s="124" t="str">
        <f>IF($B212="","",IFERROR(BK212+BM212,"n.b."))</f>
        <v/>
      </c>
      <c r="BP212" s="124" t="str">
        <f>IF($B212="","",IFERROR(BL212+BN212,"n.b."))</f>
        <v/>
      </c>
      <c r="BQ212" s="124" t="str">
        <f>IF($B212="","",IFERROR(-AM212,"n.b."))</f>
        <v/>
      </c>
      <c r="BR212" s="124" t="str">
        <f>IF($B212="","",IFERROR(-AO212,"n.b."))</f>
        <v/>
      </c>
      <c r="BS212" s="124" t="str">
        <f>IF($B212="","",IFERROR(-Z212,"n.b."))</f>
        <v/>
      </c>
      <c r="BT212" s="124" t="str">
        <f>IF($B212="","",IFERROR(-AA212,"n.b."))</f>
        <v/>
      </c>
      <c r="BU212" s="124" t="str">
        <f>IF($B212="","",IFERROR(-AE212,"n.b."))</f>
        <v/>
      </c>
      <c r="BV212" s="124" t="str">
        <f>IF($B212="","",IFERROR(-AF212,"n.b."))</f>
        <v/>
      </c>
      <c r="BW212" s="124" t="str">
        <f>IF($B212="","",IFERROR(-AG212,"n.b."))</f>
        <v/>
      </c>
      <c r="BX212" s="124" t="str">
        <f>IF($B212="","",IFERROR(-AH212,"n.b."))</f>
        <v/>
      </c>
      <c r="BY212" s="124" t="str">
        <f>IF($B212="","",IFERROR(-AI212,"n.b."))</f>
        <v/>
      </c>
      <c r="BZ212" s="124" t="str">
        <f>IF($B212="","",IFERROR(-AJ212,"n.b."))</f>
        <v/>
      </c>
      <c r="CA212" s="124" t="str">
        <f>IF($B212="","",IFERROR(-AK212,"n.b."))</f>
        <v/>
      </c>
      <c r="CB212" s="124" t="str">
        <f>IF($B212="","",IFERROR(-AL212,"n.b."))</f>
        <v/>
      </c>
      <c r="CC212" s="124" t="str">
        <f>IF($B212="","",IFERROR(-AP212,"n.b."))</f>
        <v/>
      </c>
      <c r="CD212" s="124" t="str">
        <f>IF($B212="","",IFERROR(-AQ212,"n.b."))</f>
        <v/>
      </c>
      <c r="CE212" s="124" t="str">
        <f>IF($B212="","",IFERROR(-AR212,"n.b."))</f>
        <v/>
      </c>
      <c r="CF212" s="124" t="str">
        <f>IF($B212="","",IFERROR(-AS212,"n.b."))</f>
        <v/>
      </c>
      <c r="CG212" s="124" t="str">
        <f>IF($B212="","",IFERROR(-AT212,"n.b."))</f>
        <v/>
      </c>
      <c r="CH212" s="124" t="str">
        <f>IF($B212="","",IFERROR(-AU212,"n.b."))</f>
        <v/>
      </c>
      <c r="CI212" s="124" t="str">
        <f>IF($B212="","",IFERROR(-AV212,"n.b."))</f>
        <v/>
      </c>
      <c r="CJ212" s="124" t="str">
        <f>IF($B212="","",IFERROR(-AW212,"n.b."))</f>
        <v/>
      </c>
      <c r="CK212" s="124" t="str">
        <f>IF($B212="","",IFERROR(-AX212,"n.b."))</f>
        <v/>
      </c>
      <c r="CL212" s="124" t="str">
        <f>IF($B212="","",IFERROR(-AY212,"n.b."))</f>
        <v/>
      </c>
      <c r="CM212" s="124" t="str">
        <f>IF($B212="","",IFERROR(-AZ212,"n.b."))</f>
        <v/>
      </c>
      <c r="CN212" s="124" t="str">
        <f>IF($B212="","",IFERROR(-BA212,"n.b."))</f>
        <v/>
      </c>
      <c r="CO212" s="124" t="str">
        <f>IF($B212="","",IFERROR(-BB212,"n.b."))</f>
        <v/>
      </c>
      <c r="CP212" s="124" t="str">
        <f>IF($B212="","",IFERROR(-BC212,"n.b."))</f>
        <v/>
      </c>
      <c r="CQ212" s="124" t="str">
        <f>IF($B212="","",IFERROR(-BD212,"n.b."))</f>
        <v/>
      </c>
      <c r="CR212" s="124" t="str">
        <f>IF($B212="","",IFERROR(-BE212,"n.b."))</f>
        <v/>
      </c>
      <c r="CS212" s="124" t="str">
        <f>IF($B212="","",IFERROR(IF(OR(ABS(T212+V212+X212+Z212-AB212)&gt;P_Tol,ABS(U212+W212+Y212+AA212-AD212)&gt;P_Tol,ABS(AE212+AG212+AI212+AK212-AM212)&gt;P_Tol,ABS(AF212+AH212+AJ212+AL212-AO212)&gt;P_Tol),1,0),1))</f>
        <v/>
      </c>
      <c r="CT212" s="124" t="str">
        <f>IF($B212="","",IFERROR(IF(OR(ABS(AB212+AC212-AD212)&gt;P_Tol,ABS(AM212+AN212-AO212)&gt;P_Tol,ABS(O212+P212-Q212)&gt;P_Tol),1,0),1))</f>
        <v/>
      </c>
      <c r="CU212" s="124" t="str">
        <f>IF($B212="","",IFERROR(IF(ABS(R212-(AB212+AM212+AP212+AR212+AT212+AV212+AX212+AZ212+BB212+BD212))&gt;P_Tol,1,0),1))</f>
        <v/>
      </c>
      <c r="CV212" s="124" t="str">
        <f>IF($B212="","",IFERROR(IF(ABS(M212-(N212+O212+R212))&gt;P_Tol,1,0),1))</f>
        <v/>
      </c>
      <c r="CW212" s="124" t="str">
        <f>IF($B212="","",IF(COUNTIF(Mapping!$A$5:$A$104,B212)&gt;0,1,0))</f>
        <v/>
      </c>
      <c r="CX212" s="124" t="str">
        <f>IF($B212="","",COUNTIF($B$6:$B$505,B212))</f>
        <v/>
      </c>
      <c r="CY212" s="124" t="str">
        <f>IF($B212="","",COUNTIF(STG_Woningetalage!$B$6:$B$505,B212))</f>
        <v/>
      </c>
      <c r="CZ212" s="124" t="str">
        <f>IF($B212="","",IF(CW212=0,COUNTIF($CW$6:CW212,0),""))</f>
        <v/>
      </c>
    </row>
    <row r="213">
      <c r="A213" s="15" t="n">
        <v>209</v>
      </c>
      <c r="B213" t="str">
        <f>IF(B$3=0,"",IF(INDEX(SRC_ZPMW03!$A$1:$ZZ$501,$A213,B$3)&amp;""="","",INDEX(SRC_ZPMW03!$A$1:$ZZ$501,$A213,B$3)&amp;""))</f>
        <v/>
      </c>
      <c r="C213" t="str">
        <f>IF($B213="","",IF(C$3=0,"n.b.",INDEX(SRC_ZPMW03!$A$1:$ZZ$501,$A213,C$3)))</f>
        <v/>
      </c>
      <c r="D213" t="str">
        <f>IF($B213="","",IF(D$3=0,"n.b.",INDEX(SRC_ZPMW03!$A$1:$ZZ$501,$A213,D$3)))</f>
        <v/>
      </c>
      <c r="E213" t="str">
        <f>IF($B213="","",IF(E$3=0,"n.b.",INDEX(SRC_ZPMW03!$A$1:$ZZ$501,$A213,E$3)))</f>
        <v/>
      </c>
      <c r="F213" t="str">
        <f>IF($B213="","",IF(F$3=0,"n.b.",INDEX(SRC_ZPMW03!$A$1:$ZZ$501,$A213,F$3)))</f>
        <v/>
      </c>
      <c r="G213" t="str">
        <f>IF($B213="","",IF(G$3=0,"n.b.",INDEX(SRC_ZPMW03!$A$1:$ZZ$501,$A213,G$3)))</f>
        <v/>
      </c>
      <c r="H213" t="str">
        <f>IF($B213="","",IF(H$3=0,"n.b.",INDEX(SRC_ZPMW03!$A$1:$ZZ$501,$A213,H$3)))</f>
        <v/>
      </c>
      <c r="I213" t="str">
        <f>IF($B213="","",IF(I$3=0,"n.b.",INDEX(SRC_ZPMW03!$A$1:$ZZ$501,$A213,I$3)))</f>
        <v/>
      </c>
      <c r="J213" t="str">
        <f>IF($B213="","",IF(J$3=0,"n.b.",INDEX(SRC_ZPMW03!$A$1:$ZZ$501,$A213,J$3)))</f>
        <v/>
      </c>
      <c r="K213" t="str">
        <f>IF($B213="","",IF(K$3=0,"n.b.",INDEX(SRC_ZPMW03!$A$1:$ZZ$501,$A213,K$3)))</f>
        <v/>
      </c>
      <c r="L213" s="124" t="str">
        <f>IF($B213="","",IF(L$3=0,"n.b.",INDEX(SRC_ZPMW03!$A$1:$ZZ$501,$A213,L$3)))</f>
        <v/>
      </c>
      <c r="M213" s="124" t="str">
        <f>IF($B213="","",IF(M$3=0,"n.b.",INDEX(SRC_ZPMW03!$A$1:$ZZ$501,$A213,M$3)))</f>
        <v/>
      </c>
      <c r="N213" s="124" t="str">
        <f>IF($B213="","",IF(N$3=0,"n.b.",INDEX(SRC_ZPMW03!$A$1:$ZZ$501,$A213,N$3)))</f>
        <v/>
      </c>
      <c r="O213" s="124" t="str">
        <f>IF($B213="","",IF(O$3=0,"n.b.",INDEX(SRC_ZPMW03!$A$1:$ZZ$501,$A213,O$3)))</f>
        <v/>
      </c>
      <c r="P213" s="124" t="str">
        <f>IF($B213="","",IF(P$3=0,"n.b.",INDEX(SRC_ZPMW03!$A$1:$ZZ$501,$A213,P$3)))</f>
        <v/>
      </c>
      <c r="Q213" s="124" t="str">
        <f>IF($B213="","",IF(Q$3=0,"n.b.",INDEX(SRC_ZPMW03!$A$1:$ZZ$501,$A213,Q$3)))</f>
        <v/>
      </c>
      <c r="R213" s="124" t="str">
        <f>IF($B213="","",IF(R$3=0,"n.b.",INDEX(SRC_ZPMW03!$A$1:$ZZ$501,$A213,R$3)))</f>
        <v/>
      </c>
      <c r="S213" s="124" t="str">
        <f>IF($B213="","",IF(S$3=0,"n.b.",INDEX(SRC_ZPMW03!$A$1:$ZZ$501,$A213,S$3)))</f>
        <v/>
      </c>
      <c r="T213" s="124" t="str">
        <f>IF($B213="","",IF(T$3=0,"n.b.",INDEX(SRC_ZPMW03!$A$1:$ZZ$501,$A213,T$3)))</f>
        <v/>
      </c>
      <c r="U213" s="124" t="str">
        <f>IF($B213="","",IF(U$3=0,"n.b.",INDEX(SRC_ZPMW03!$A$1:$ZZ$501,$A213,U$3)))</f>
        <v/>
      </c>
      <c r="V213" s="124" t="str">
        <f>IF($B213="","",IF(V$3=0,"n.b.",INDEX(SRC_ZPMW03!$A$1:$ZZ$501,$A213,V$3)))</f>
        <v/>
      </c>
      <c r="W213" s="124" t="str">
        <f>IF($B213="","",IF(W$3=0,"n.b.",INDEX(SRC_ZPMW03!$A$1:$ZZ$501,$A213,W$3)))</f>
        <v/>
      </c>
      <c r="X213" s="124" t="str">
        <f>IF($B213="","",IF(X$3=0,"n.b.",INDEX(SRC_ZPMW03!$A$1:$ZZ$501,$A213,X$3)))</f>
        <v/>
      </c>
      <c r="Y213" s="124" t="str">
        <f>IF($B213="","",IF(Y$3=0,"n.b.",INDEX(SRC_ZPMW03!$A$1:$ZZ$501,$A213,Y$3)))</f>
        <v/>
      </c>
      <c r="Z213" s="124" t="str">
        <f>IF($B213="","",IF(Z$3=0,"n.b.",INDEX(SRC_ZPMW03!$A$1:$ZZ$501,$A213,Z$3)))</f>
        <v/>
      </c>
      <c r="AA213" s="124" t="str">
        <f>IF($B213="","",IF(AA$3=0,"n.b.",INDEX(SRC_ZPMW03!$A$1:$ZZ$501,$A213,AA$3)))</f>
        <v/>
      </c>
      <c r="AB213" s="124" t="str">
        <f>IF($B213="","",IF(AB$3=0,"n.b.",INDEX(SRC_ZPMW03!$A$1:$ZZ$501,$A213,AB$3)))</f>
        <v/>
      </c>
      <c r="AC213" s="124" t="str">
        <f>IF($B213="","",IF(AC$3=0,"n.b.",INDEX(SRC_ZPMW03!$A$1:$ZZ$501,$A213,AC$3)))</f>
        <v/>
      </c>
      <c r="AD213" s="124" t="str">
        <f>IF($B213="","",IF(AD$3=0,"n.b.",INDEX(SRC_ZPMW03!$A$1:$ZZ$501,$A213,AD$3)))</f>
        <v/>
      </c>
      <c r="AE213" s="124" t="str">
        <f>IF($B213="","",IF(AE$3=0,"n.b.",INDEX(SRC_ZPMW03!$A$1:$ZZ$501,$A213,AE$3)))</f>
        <v/>
      </c>
      <c r="AF213" s="124" t="str">
        <f>IF($B213="","",IF(AF$3=0,"n.b.",INDEX(SRC_ZPMW03!$A$1:$ZZ$501,$A213,AF$3)))</f>
        <v/>
      </c>
      <c r="AG213" s="124" t="str">
        <f>IF($B213="","",IF(AG$3=0,"n.b.",INDEX(SRC_ZPMW03!$A$1:$ZZ$501,$A213,AG$3)))</f>
        <v/>
      </c>
      <c r="AH213" s="124" t="str">
        <f>IF($B213="","",IF(AH$3=0,"n.b.",INDEX(SRC_ZPMW03!$A$1:$ZZ$501,$A213,AH$3)))</f>
        <v/>
      </c>
      <c r="AI213" s="124" t="str">
        <f>IF($B213="","",IF(AI$3=0,"n.b.",INDEX(SRC_ZPMW03!$A$1:$ZZ$501,$A213,AI$3)))</f>
        <v/>
      </c>
      <c r="AJ213" s="124" t="str">
        <f>IF($B213="","",IF(AJ$3=0,"n.b.",INDEX(SRC_ZPMW03!$A$1:$ZZ$501,$A213,AJ$3)))</f>
        <v/>
      </c>
      <c r="AK213" s="124" t="str">
        <f>IF($B213="","",IF(AK$3=0,"n.b.",INDEX(SRC_ZPMW03!$A$1:$ZZ$501,$A213,AK$3)))</f>
        <v/>
      </c>
      <c r="AL213" s="124" t="str">
        <f>IF($B213="","",IF(AL$3=0,"n.b.",INDEX(SRC_ZPMW03!$A$1:$ZZ$501,$A213,AL$3)))</f>
        <v/>
      </c>
      <c r="AM213" s="124" t="str">
        <f>IF($B213="","",IF(AM$3=0,"n.b.",INDEX(SRC_ZPMW03!$A$1:$ZZ$501,$A213,AM$3)))</f>
        <v/>
      </c>
      <c r="AN213" s="124" t="str">
        <f>IF($B213="","",IF(AN$3=0,"n.b.",INDEX(SRC_ZPMW03!$A$1:$ZZ$501,$A213,AN$3)))</f>
        <v/>
      </c>
      <c r="AO213" s="124" t="str">
        <f>IF($B213="","",IF(AO$3=0,"n.b.",INDEX(SRC_ZPMW03!$A$1:$ZZ$501,$A213,AO$3)))</f>
        <v/>
      </c>
      <c r="AP213" s="124" t="str">
        <f>IF($B213="","",IF(AP$3=0,"n.b.",INDEX(SRC_ZPMW03!$A$1:$ZZ$501,$A213,AP$3)))</f>
        <v/>
      </c>
      <c r="AQ213" s="124" t="str">
        <f>IF($B213="","",IF(AQ$3=0,"n.b.",INDEX(SRC_ZPMW03!$A$1:$ZZ$501,$A213,AQ$3)))</f>
        <v/>
      </c>
      <c r="AR213" s="124" t="str">
        <f>IF($B213="","",IF(AR$3=0,"n.b.",INDEX(SRC_ZPMW03!$A$1:$ZZ$501,$A213,AR$3)))</f>
        <v/>
      </c>
      <c r="AS213" s="124" t="str">
        <f>IF($B213="","",IF(AS$3=0,"n.b.",INDEX(SRC_ZPMW03!$A$1:$ZZ$501,$A213,AS$3)))</f>
        <v/>
      </c>
      <c r="AT213" s="124" t="str">
        <f>IF($B213="","",IF(AT$3=0,"n.b.",INDEX(SRC_ZPMW03!$A$1:$ZZ$501,$A213,AT$3)))</f>
        <v/>
      </c>
      <c r="AU213" s="124" t="str">
        <f>IF($B213="","",IF(AU$3=0,"n.b.",INDEX(SRC_ZPMW03!$A$1:$ZZ$501,$A213,AU$3)))</f>
        <v/>
      </c>
      <c r="AV213" s="124" t="str">
        <f>IF($B213="","",IF(AV$3=0,"n.b.",INDEX(SRC_ZPMW03!$A$1:$ZZ$501,$A213,AV$3)))</f>
        <v/>
      </c>
      <c r="AW213" s="124" t="str">
        <f>IF($B213="","",IF(AW$3=0,"n.b.",INDEX(SRC_ZPMW03!$A$1:$ZZ$501,$A213,AW$3)))</f>
        <v/>
      </c>
      <c r="AX213" s="124" t="str">
        <f>IF($B213="","",IF(AX$3=0,"n.b.",INDEX(SRC_ZPMW03!$A$1:$ZZ$501,$A213,AX$3)))</f>
        <v/>
      </c>
      <c r="AY213" s="124" t="str">
        <f>IF($B213="","",IF(AY$3=0,"n.b.",INDEX(SRC_ZPMW03!$A$1:$ZZ$501,$A213,AY$3)))</f>
        <v/>
      </c>
      <c r="AZ213" s="124" t="str">
        <f>IF($B213="","",IF(AZ$3=0,"n.b.",INDEX(SRC_ZPMW03!$A$1:$ZZ$501,$A213,AZ$3)))</f>
        <v/>
      </c>
      <c r="BA213" s="124" t="str">
        <f>IF($B213="","",IF(BA$3=0,"n.b.",INDEX(SRC_ZPMW03!$A$1:$ZZ$501,$A213,BA$3)))</f>
        <v/>
      </c>
      <c r="BB213" s="124" t="str">
        <f>IF($B213="","",IF(BB$3=0,"n.b.",INDEX(SRC_ZPMW03!$A$1:$ZZ$501,$A213,BB$3)))</f>
        <v/>
      </c>
      <c r="BC213" s="124" t="str">
        <f>IF($B213="","",IF(BC$3=0,"n.b.",INDEX(SRC_ZPMW03!$A$1:$ZZ$501,$A213,BC$3)))</f>
        <v/>
      </c>
      <c r="BD213" s="124" t="str">
        <f>IF($B213="","",IF(BD$3=0,"n.b.",INDEX(SRC_ZPMW03!$A$1:$ZZ$501,$A213,BD$3)))</f>
        <v/>
      </c>
      <c r="BE213" s="124" t="str">
        <f>IF($B213="","",IF(BE$3=0,"n.b.",INDEX(SRC_ZPMW03!$A$1:$ZZ$501,$A213,BE$3)))</f>
        <v/>
      </c>
      <c r="BF213" s="124" t="str">
        <f>IF($B213="","",IF(BF$3=0,"n.b.",INDEX(SRC_ZPMW03!$A$1:$ZZ$501,$A213,BF$3)))</f>
        <v/>
      </c>
      <c r="BG213" t="str">
        <f>IF($B213="","",IF(BG$3=0,"n.b.",INDEX(SRC_ZPMW03!$A$1:$ZZ$501,$A213,BG$3)))</f>
        <v/>
      </c>
      <c r="BH213" t="str">
        <f>IF($B213="","",IF(BH$3=0,"n.b.",INDEX(SRC_ZPMW03!$A$1:$ZZ$501,$A213,BH$3)))</f>
        <v/>
      </c>
      <c r="BI213" t="str">
        <f>IF($B213="","",IF(BI$3=0,"n.b.",INDEX(SRC_ZPMW03!$A$1:$ZZ$501,$A213,BI$3)))</f>
        <v/>
      </c>
      <c r="BJ213" t="str">
        <f>IF($B213="","",IF(BJ$3=0,"n.b.",INDEX(SRC_ZPMW03!$A$1:$ZZ$501,$A213,BJ$3)))</f>
        <v/>
      </c>
      <c r="BK213" s="124" t="str">
        <f>IF($B213="","",IFERROR(-O213,"n.b."))</f>
        <v/>
      </c>
      <c r="BL213" s="124" t="str">
        <f>IF($B213="","",IFERROR(-Q213,"n.b."))</f>
        <v/>
      </c>
      <c r="BM213" s="124" t="str">
        <f>IF($B213="","",IFERROR(-AB213,"n.b."))</f>
        <v/>
      </c>
      <c r="BN213" s="124" t="str">
        <f>IF($B213="","",IFERROR(-AD213,"n.b."))</f>
        <v/>
      </c>
      <c r="BO213" s="124" t="str">
        <f>IF($B213="","",IFERROR(BK213+BM213,"n.b."))</f>
        <v/>
      </c>
      <c r="BP213" s="124" t="str">
        <f>IF($B213="","",IFERROR(BL213+BN213,"n.b."))</f>
        <v/>
      </c>
      <c r="BQ213" s="124" t="str">
        <f>IF($B213="","",IFERROR(-AM213,"n.b."))</f>
        <v/>
      </c>
      <c r="BR213" s="124" t="str">
        <f>IF($B213="","",IFERROR(-AO213,"n.b."))</f>
        <v/>
      </c>
      <c r="BS213" s="124" t="str">
        <f>IF($B213="","",IFERROR(-Z213,"n.b."))</f>
        <v/>
      </c>
      <c r="BT213" s="124" t="str">
        <f>IF($B213="","",IFERROR(-AA213,"n.b."))</f>
        <v/>
      </c>
      <c r="BU213" s="124" t="str">
        <f>IF($B213="","",IFERROR(-AE213,"n.b."))</f>
        <v/>
      </c>
      <c r="BV213" s="124" t="str">
        <f>IF($B213="","",IFERROR(-AF213,"n.b."))</f>
        <v/>
      </c>
      <c r="BW213" s="124" t="str">
        <f>IF($B213="","",IFERROR(-AG213,"n.b."))</f>
        <v/>
      </c>
      <c r="BX213" s="124" t="str">
        <f>IF($B213="","",IFERROR(-AH213,"n.b."))</f>
        <v/>
      </c>
      <c r="BY213" s="124" t="str">
        <f>IF($B213="","",IFERROR(-AI213,"n.b."))</f>
        <v/>
      </c>
      <c r="BZ213" s="124" t="str">
        <f>IF($B213="","",IFERROR(-AJ213,"n.b."))</f>
        <v/>
      </c>
      <c r="CA213" s="124" t="str">
        <f>IF($B213="","",IFERROR(-AK213,"n.b."))</f>
        <v/>
      </c>
      <c r="CB213" s="124" t="str">
        <f>IF($B213="","",IFERROR(-AL213,"n.b."))</f>
        <v/>
      </c>
      <c r="CC213" s="124" t="str">
        <f>IF($B213="","",IFERROR(-AP213,"n.b."))</f>
        <v/>
      </c>
      <c r="CD213" s="124" t="str">
        <f>IF($B213="","",IFERROR(-AQ213,"n.b."))</f>
        <v/>
      </c>
      <c r="CE213" s="124" t="str">
        <f>IF($B213="","",IFERROR(-AR213,"n.b."))</f>
        <v/>
      </c>
      <c r="CF213" s="124" t="str">
        <f>IF($B213="","",IFERROR(-AS213,"n.b."))</f>
        <v/>
      </c>
      <c r="CG213" s="124" t="str">
        <f>IF($B213="","",IFERROR(-AT213,"n.b."))</f>
        <v/>
      </c>
      <c r="CH213" s="124" t="str">
        <f>IF($B213="","",IFERROR(-AU213,"n.b."))</f>
        <v/>
      </c>
      <c r="CI213" s="124" t="str">
        <f>IF($B213="","",IFERROR(-AV213,"n.b."))</f>
        <v/>
      </c>
      <c r="CJ213" s="124" t="str">
        <f>IF($B213="","",IFERROR(-AW213,"n.b."))</f>
        <v/>
      </c>
      <c r="CK213" s="124" t="str">
        <f>IF($B213="","",IFERROR(-AX213,"n.b."))</f>
        <v/>
      </c>
      <c r="CL213" s="124" t="str">
        <f>IF($B213="","",IFERROR(-AY213,"n.b."))</f>
        <v/>
      </c>
      <c r="CM213" s="124" t="str">
        <f>IF($B213="","",IFERROR(-AZ213,"n.b."))</f>
        <v/>
      </c>
      <c r="CN213" s="124" t="str">
        <f>IF($B213="","",IFERROR(-BA213,"n.b."))</f>
        <v/>
      </c>
      <c r="CO213" s="124" t="str">
        <f>IF($B213="","",IFERROR(-BB213,"n.b."))</f>
        <v/>
      </c>
      <c r="CP213" s="124" t="str">
        <f>IF($B213="","",IFERROR(-BC213,"n.b."))</f>
        <v/>
      </c>
      <c r="CQ213" s="124" t="str">
        <f>IF($B213="","",IFERROR(-BD213,"n.b."))</f>
        <v/>
      </c>
      <c r="CR213" s="124" t="str">
        <f>IF($B213="","",IFERROR(-BE213,"n.b."))</f>
        <v/>
      </c>
      <c r="CS213" s="124" t="str">
        <f>IF($B213="","",IFERROR(IF(OR(ABS(T213+V213+X213+Z213-AB213)&gt;P_Tol,ABS(U213+W213+Y213+AA213-AD213)&gt;P_Tol,ABS(AE213+AG213+AI213+AK213-AM213)&gt;P_Tol,ABS(AF213+AH213+AJ213+AL213-AO213)&gt;P_Tol),1,0),1))</f>
        <v/>
      </c>
      <c r="CT213" s="124" t="str">
        <f>IF($B213="","",IFERROR(IF(OR(ABS(AB213+AC213-AD213)&gt;P_Tol,ABS(AM213+AN213-AO213)&gt;P_Tol,ABS(O213+P213-Q213)&gt;P_Tol),1,0),1))</f>
        <v/>
      </c>
      <c r="CU213" s="124" t="str">
        <f>IF($B213="","",IFERROR(IF(ABS(R213-(AB213+AM213+AP213+AR213+AT213+AV213+AX213+AZ213+BB213+BD213))&gt;P_Tol,1,0),1))</f>
        <v/>
      </c>
      <c r="CV213" s="124" t="str">
        <f>IF($B213="","",IFERROR(IF(ABS(M213-(N213+O213+R213))&gt;P_Tol,1,0),1))</f>
        <v/>
      </c>
      <c r="CW213" s="124" t="str">
        <f>IF($B213="","",IF(COUNTIF(Mapping!$A$5:$A$104,B213)&gt;0,1,0))</f>
        <v/>
      </c>
      <c r="CX213" s="124" t="str">
        <f>IF($B213="","",COUNTIF($B$6:$B$505,B213))</f>
        <v/>
      </c>
      <c r="CY213" s="124" t="str">
        <f>IF($B213="","",COUNTIF(STG_Woningetalage!$B$6:$B$505,B213))</f>
        <v/>
      </c>
      <c r="CZ213" s="124" t="str">
        <f>IF($B213="","",IF(CW213=0,COUNTIF($CW$6:CW213,0),""))</f>
        <v/>
      </c>
    </row>
    <row r="214">
      <c r="A214" s="15" t="n">
        <v>210</v>
      </c>
      <c r="B214" t="str">
        <f>IF(B$3=0,"",IF(INDEX(SRC_ZPMW03!$A$1:$ZZ$501,$A214,B$3)&amp;""="","",INDEX(SRC_ZPMW03!$A$1:$ZZ$501,$A214,B$3)&amp;""))</f>
        <v/>
      </c>
      <c r="C214" t="str">
        <f>IF($B214="","",IF(C$3=0,"n.b.",INDEX(SRC_ZPMW03!$A$1:$ZZ$501,$A214,C$3)))</f>
        <v/>
      </c>
      <c r="D214" t="str">
        <f>IF($B214="","",IF(D$3=0,"n.b.",INDEX(SRC_ZPMW03!$A$1:$ZZ$501,$A214,D$3)))</f>
        <v/>
      </c>
      <c r="E214" t="str">
        <f>IF($B214="","",IF(E$3=0,"n.b.",INDEX(SRC_ZPMW03!$A$1:$ZZ$501,$A214,E$3)))</f>
        <v/>
      </c>
      <c r="F214" t="str">
        <f>IF($B214="","",IF(F$3=0,"n.b.",INDEX(SRC_ZPMW03!$A$1:$ZZ$501,$A214,F$3)))</f>
        <v/>
      </c>
      <c r="G214" t="str">
        <f>IF($B214="","",IF(G$3=0,"n.b.",INDEX(SRC_ZPMW03!$A$1:$ZZ$501,$A214,G$3)))</f>
        <v/>
      </c>
      <c r="H214" t="str">
        <f>IF($B214="","",IF(H$3=0,"n.b.",INDEX(SRC_ZPMW03!$A$1:$ZZ$501,$A214,H$3)))</f>
        <v/>
      </c>
      <c r="I214" t="str">
        <f>IF($B214="","",IF(I$3=0,"n.b.",INDEX(SRC_ZPMW03!$A$1:$ZZ$501,$A214,I$3)))</f>
        <v/>
      </c>
      <c r="J214" t="str">
        <f>IF($B214="","",IF(J$3=0,"n.b.",INDEX(SRC_ZPMW03!$A$1:$ZZ$501,$A214,J$3)))</f>
        <v/>
      </c>
      <c r="K214" t="str">
        <f>IF($B214="","",IF(K$3=0,"n.b.",INDEX(SRC_ZPMW03!$A$1:$ZZ$501,$A214,K$3)))</f>
        <v/>
      </c>
      <c r="L214" s="124" t="str">
        <f>IF($B214="","",IF(L$3=0,"n.b.",INDEX(SRC_ZPMW03!$A$1:$ZZ$501,$A214,L$3)))</f>
        <v/>
      </c>
      <c r="M214" s="124" t="str">
        <f>IF($B214="","",IF(M$3=0,"n.b.",INDEX(SRC_ZPMW03!$A$1:$ZZ$501,$A214,M$3)))</f>
        <v/>
      </c>
      <c r="N214" s="124" t="str">
        <f>IF($B214="","",IF(N$3=0,"n.b.",INDEX(SRC_ZPMW03!$A$1:$ZZ$501,$A214,N$3)))</f>
        <v/>
      </c>
      <c r="O214" s="124" t="str">
        <f>IF($B214="","",IF(O$3=0,"n.b.",INDEX(SRC_ZPMW03!$A$1:$ZZ$501,$A214,O$3)))</f>
        <v/>
      </c>
      <c r="P214" s="124" t="str">
        <f>IF($B214="","",IF(P$3=0,"n.b.",INDEX(SRC_ZPMW03!$A$1:$ZZ$501,$A214,P$3)))</f>
        <v/>
      </c>
      <c r="Q214" s="124" t="str">
        <f>IF($B214="","",IF(Q$3=0,"n.b.",INDEX(SRC_ZPMW03!$A$1:$ZZ$501,$A214,Q$3)))</f>
        <v/>
      </c>
      <c r="R214" s="124" t="str">
        <f>IF($B214="","",IF(R$3=0,"n.b.",INDEX(SRC_ZPMW03!$A$1:$ZZ$501,$A214,R$3)))</f>
        <v/>
      </c>
      <c r="S214" s="124" t="str">
        <f>IF($B214="","",IF(S$3=0,"n.b.",INDEX(SRC_ZPMW03!$A$1:$ZZ$501,$A214,S$3)))</f>
        <v/>
      </c>
      <c r="T214" s="124" t="str">
        <f>IF($B214="","",IF(T$3=0,"n.b.",INDEX(SRC_ZPMW03!$A$1:$ZZ$501,$A214,T$3)))</f>
        <v/>
      </c>
      <c r="U214" s="124" t="str">
        <f>IF($B214="","",IF(U$3=0,"n.b.",INDEX(SRC_ZPMW03!$A$1:$ZZ$501,$A214,U$3)))</f>
        <v/>
      </c>
      <c r="V214" s="124" t="str">
        <f>IF($B214="","",IF(V$3=0,"n.b.",INDEX(SRC_ZPMW03!$A$1:$ZZ$501,$A214,V$3)))</f>
        <v/>
      </c>
      <c r="W214" s="124" t="str">
        <f>IF($B214="","",IF(W$3=0,"n.b.",INDEX(SRC_ZPMW03!$A$1:$ZZ$501,$A214,W$3)))</f>
        <v/>
      </c>
      <c r="X214" s="124" t="str">
        <f>IF($B214="","",IF(X$3=0,"n.b.",INDEX(SRC_ZPMW03!$A$1:$ZZ$501,$A214,X$3)))</f>
        <v/>
      </c>
      <c r="Y214" s="124" t="str">
        <f>IF($B214="","",IF(Y$3=0,"n.b.",INDEX(SRC_ZPMW03!$A$1:$ZZ$501,$A214,Y$3)))</f>
        <v/>
      </c>
      <c r="Z214" s="124" t="str">
        <f>IF($B214="","",IF(Z$3=0,"n.b.",INDEX(SRC_ZPMW03!$A$1:$ZZ$501,$A214,Z$3)))</f>
        <v/>
      </c>
      <c r="AA214" s="124" t="str">
        <f>IF($B214="","",IF(AA$3=0,"n.b.",INDEX(SRC_ZPMW03!$A$1:$ZZ$501,$A214,AA$3)))</f>
        <v/>
      </c>
      <c r="AB214" s="124" t="str">
        <f>IF($B214="","",IF(AB$3=0,"n.b.",INDEX(SRC_ZPMW03!$A$1:$ZZ$501,$A214,AB$3)))</f>
        <v/>
      </c>
      <c r="AC214" s="124" t="str">
        <f>IF($B214="","",IF(AC$3=0,"n.b.",INDEX(SRC_ZPMW03!$A$1:$ZZ$501,$A214,AC$3)))</f>
        <v/>
      </c>
      <c r="AD214" s="124" t="str">
        <f>IF($B214="","",IF(AD$3=0,"n.b.",INDEX(SRC_ZPMW03!$A$1:$ZZ$501,$A214,AD$3)))</f>
        <v/>
      </c>
      <c r="AE214" s="124" t="str">
        <f>IF($B214="","",IF(AE$3=0,"n.b.",INDEX(SRC_ZPMW03!$A$1:$ZZ$501,$A214,AE$3)))</f>
        <v/>
      </c>
      <c r="AF214" s="124" t="str">
        <f>IF($B214="","",IF(AF$3=0,"n.b.",INDEX(SRC_ZPMW03!$A$1:$ZZ$501,$A214,AF$3)))</f>
        <v/>
      </c>
      <c r="AG214" s="124" t="str">
        <f>IF($B214="","",IF(AG$3=0,"n.b.",INDEX(SRC_ZPMW03!$A$1:$ZZ$501,$A214,AG$3)))</f>
        <v/>
      </c>
      <c r="AH214" s="124" t="str">
        <f>IF($B214="","",IF(AH$3=0,"n.b.",INDEX(SRC_ZPMW03!$A$1:$ZZ$501,$A214,AH$3)))</f>
        <v/>
      </c>
      <c r="AI214" s="124" t="str">
        <f>IF($B214="","",IF(AI$3=0,"n.b.",INDEX(SRC_ZPMW03!$A$1:$ZZ$501,$A214,AI$3)))</f>
        <v/>
      </c>
      <c r="AJ214" s="124" t="str">
        <f>IF($B214="","",IF(AJ$3=0,"n.b.",INDEX(SRC_ZPMW03!$A$1:$ZZ$501,$A214,AJ$3)))</f>
        <v/>
      </c>
      <c r="AK214" s="124" t="str">
        <f>IF($B214="","",IF(AK$3=0,"n.b.",INDEX(SRC_ZPMW03!$A$1:$ZZ$501,$A214,AK$3)))</f>
        <v/>
      </c>
      <c r="AL214" s="124" t="str">
        <f>IF($B214="","",IF(AL$3=0,"n.b.",INDEX(SRC_ZPMW03!$A$1:$ZZ$501,$A214,AL$3)))</f>
        <v/>
      </c>
      <c r="AM214" s="124" t="str">
        <f>IF($B214="","",IF(AM$3=0,"n.b.",INDEX(SRC_ZPMW03!$A$1:$ZZ$501,$A214,AM$3)))</f>
        <v/>
      </c>
      <c r="AN214" s="124" t="str">
        <f>IF($B214="","",IF(AN$3=0,"n.b.",INDEX(SRC_ZPMW03!$A$1:$ZZ$501,$A214,AN$3)))</f>
        <v/>
      </c>
      <c r="AO214" s="124" t="str">
        <f>IF($B214="","",IF(AO$3=0,"n.b.",INDEX(SRC_ZPMW03!$A$1:$ZZ$501,$A214,AO$3)))</f>
        <v/>
      </c>
      <c r="AP214" s="124" t="str">
        <f>IF($B214="","",IF(AP$3=0,"n.b.",INDEX(SRC_ZPMW03!$A$1:$ZZ$501,$A214,AP$3)))</f>
        <v/>
      </c>
      <c r="AQ214" s="124" t="str">
        <f>IF($B214="","",IF(AQ$3=0,"n.b.",INDEX(SRC_ZPMW03!$A$1:$ZZ$501,$A214,AQ$3)))</f>
        <v/>
      </c>
      <c r="AR214" s="124" t="str">
        <f>IF($B214="","",IF(AR$3=0,"n.b.",INDEX(SRC_ZPMW03!$A$1:$ZZ$501,$A214,AR$3)))</f>
        <v/>
      </c>
      <c r="AS214" s="124" t="str">
        <f>IF($B214="","",IF(AS$3=0,"n.b.",INDEX(SRC_ZPMW03!$A$1:$ZZ$501,$A214,AS$3)))</f>
        <v/>
      </c>
      <c r="AT214" s="124" t="str">
        <f>IF($B214="","",IF(AT$3=0,"n.b.",INDEX(SRC_ZPMW03!$A$1:$ZZ$501,$A214,AT$3)))</f>
        <v/>
      </c>
      <c r="AU214" s="124" t="str">
        <f>IF($B214="","",IF(AU$3=0,"n.b.",INDEX(SRC_ZPMW03!$A$1:$ZZ$501,$A214,AU$3)))</f>
        <v/>
      </c>
      <c r="AV214" s="124" t="str">
        <f>IF($B214="","",IF(AV$3=0,"n.b.",INDEX(SRC_ZPMW03!$A$1:$ZZ$501,$A214,AV$3)))</f>
        <v/>
      </c>
      <c r="AW214" s="124" t="str">
        <f>IF($B214="","",IF(AW$3=0,"n.b.",INDEX(SRC_ZPMW03!$A$1:$ZZ$501,$A214,AW$3)))</f>
        <v/>
      </c>
      <c r="AX214" s="124" t="str">
        <f>IF($B214="","",IF(AX$3=0,"n.b.",INDEX(SRC_ZPMW03!$A$1:$ZZ$501,$A214,AX$3)))</f>
        <v/>
      </c>
      <c r="AY214" s="124" t="str">
        <f>IF($B214="","",IF(AY$3=0,"n.b.",INDEX(SRC_ZPMW03!$A$1:$ZZ$501,$A214,AY$3)))</f>
        <v/>
      </c>
      <c r="AZ214" s="124" t="str">
        <f>IF($B214="","",IF(AZ$3=0,"n.b.",INDEX(SRC_ZPMW03!$A$1:$ZZ$501,$A214,AZ$3)))</f>
        <v/>
      </c>
      <c r="BA214" s="124" t="str">
        <f>IF($B214="","",IF(BA$3=0,"n.b.",INDEX(SRC_ZPMW03!$A$1:$ZZ$501,$A214,BA$3)))</f>
        <v/>
      </c>
      <c r="BB214" s="124" t="str">
        <f>IF($B214="","",IF(BB$3=0,"n.b.",INDEX(SRC_ZPMW03!$A$1:$ZZ$501,$A214,BB$3)))</f>
        <v/>
      </c>
      <c r="BC214" s="124" t="str">
        <f>IF($B214="","",IF(BC$3=0,"n.b.",INDEX(SRC_ZPMW03!$A$1:$ZZ$501,$A214,BC$3)))</f>
        <v/>
      </c>
      <c r="BD214" s="124" t="str">
        <f>IF($B214="","",IF(BD$3=0,"n.b.",INDEX(SRC_ZPMW03!$A$1:$ZZ$501,$A214,BD$3)))</f>
        <v/>
      </c>
      <c r="BE214" s="124" t="str">
        <f>IF($B214="","",IF(BE$3=0,"n.b.",INDEX(SRC_ZPMW03!$A$1:$ZZ$501,$A214,BE$3)))</f>
        <v/>
      </c>
      <c r="BF214" s="124" t="str">
        <f>IF($B214="","",IF(BF$3=0,"n.b.",INDEX(SRC_ZPMW03!$A$1:$ZZ$501,$A214,BF$3)))</f>
        <v/>
      </c>
      <c r="BG214" t="str">
        <f>IF($B214="","",IF(BG$3=0,"n.b.",INDEX(SRC_ZPMW03!$A$1:$ZZ$501,$A214,BG$3)))</f>
        <v/>
      </c>
      <c r="BH214" t="str">
        <f>IF($B214="","",IF(BH$3=0,"n.b.",INDEX(SRC_ZPMW03!$A$1:$ZZ$501,$A214,BH$3)))</f>
        <v/>
      </c>
      <c r="BI214" t="str">
        <f>IF($B214="","",IF(BI$3=0,"n.b.",INDEX(SRC_ZPMW03!$A$1:$ZZ$501,$A214,BI$3)))</f>
        <v/>
      </c>
      <c r="BJ214" t="str">
        <f>IF($B214="","",IF(BJ$3=0,"n.b.",INDEX(SRC_ZPMW03!$A$1:$ZZ$501,$A214,BJ$3)))</f>
        <v/>
      </c>
      <c r="BK214" s="124" t="str">
        <f>IF($B214="","",IFERROR(-O214,"n.b."))</f>
        <v/>
      </c>
      <c r="BL214" s="124" t="str">
        <f>IF($B214="","",IFERROR(-Q214,"n.b."))</f>
        <v/>
      </c>
      <c r="BM214" s="124" t="str">
        <f>IF($B214="","",IFERROR(-AB214,"n.b."))</f>
        <v/>
      </c>
      <c r="BN214" s="124" t="str">
        <f>IF($B214="","",IFERROR(-AD214,"n.b."))</f>
        <v/>
      </c>
      <c r="BO214" s="124" t="str">
        <f>IF($B214="","",IFERROR(BK214+BM214,"n.b."))</f>
        <v/>
      </c>
      <c r="BP214" s="124" t="str">
        <f>IF($B214="","",IFERROR(BL214+BN214,"n.b."))</f>
        <v/>
      </c>
      <c r="BQ214" s="124" t="str">
        <f>IF($B214="","",IFERROR(-AM214,"n.b."))</f>
        <v/>
      </c>
      <c r="BR214" s="124" t="str">
        <f>IF($B214="","",IFERROR(-AO214,"n.b."))</f>
        <v/>
      </c>
      <c r="BS214" s="124" t="str">
        <f>IF($B214="","",IFERROR(-Z214,"n.b."))</f>
        <v/>
      </c>
      <c r="BT214" s="124" t="str">
        <f>IF($B214="","",IFERROR(-AA214,"n.b."))</f>
        <v/>
      </c>
      <c r="BU214" s="124" t="str">
        <f>IF($B214="","",IFERROR(-AE214,"n.b."))</f>
        <v/>
      </c>
      <c r="BV214" s="124" t="str">
        <f>IF($B214="","",IFERROR(-AF214,"n.b."))</f>
        <v/>
      </c>
      <c r="BW214" s="124" t="str">
        <f>IF($B214="","",IFERROR(-AG214,"n.b."))</f>
        <v/>
      </c>
      <c r="BX214" s="124" t="str">
        <f>IF($B214="","",IFERROR(-AH214,"n.b."))</f>
        <v/>
      </c>
      <c r="BY214" s="124" t="str">
        <f>IF($B214="","",IFERROR(-AI214,"n.b."))</f>
        <v/>
      </c>
      <c r="BZ214" s="124" t="str">
        <f>IF($B214="","",IFERROR(-AJ214,"n.b."))</f>
        <v/>
      </c>
      <c r="CA214" s="124" t="str">
        <f>IF($B214="","",IFERROR(-AK214,"n.b."))</f>
        <v/>
      </c>
      <c r="CB214" s="124" t="str">
        <f>IF($B214="","",IFERROR(-AL214,"n.b."))</f>
        <v/>
      </c>
      <c r="CC214" s="124" t="str">
        <f>IF($B214="","",IFERROR(-AP214,"n.b."))</f>
        <v/>
      </c>
      <c r="CD214" s="124" t="str">
        <f>IF($B214="","",IFERROR(-AQ214,"n.b."))</f>
        <v/>
      </c>
      <c r="CE214" s="124" t="str">
        <f>IF($B214="","",IFERROR(-AR214,"n.b."))</f>
        <v/>
      </c>
      <c r="CF214" s="124" t="str">
        <f>IF($B214="","",IFERROR(-AS214,"n.b."))</f>
        <v/>
      </c>
      <c r="CG214" s="124" t="str">
        <f>IF($B214="","",IFERROR(-AT214,"n.b."))</f>
        <v/>
      </c>
      <c r="CH214" s="124" t="str">
        <f>IF($B214="","",IFERROR(-AU214,"n.b."))</f>
        <v/>
      </c>
      <c r="CI214" s="124" t="str">
        <f>IF($B214="","",IFERROR(-AV214,"n.b."))</f>
        <v/>
      </c>
      <c r="CJ214" s="124" t="str">
        <f>IF($B214="","",IFERROR(-AW214,"n.b."))</f>
        <v/>
      </c>
      <c r="CK214" s="124" t="str">
        <f>IF($B214="","",IFERROR(-AX214,"n.b."))</f>
        <v/>
      </c>
      <c r="CL214" s="124" t="str">
        <f>IF($B214="","",IFERROR(-AY214,"n.b."))</f>
        <v/>
      </c>
      <c r="CM214" s="124" t="str">
        <f>IF($B214="","",IFERROR(-AZ214,"n.b."))</f>
        <v/>
      </c>
      <c r="CN214" s="124" t="str">
        <f>IF($B214="","",IFERROR(-BA214,"n.b."))</f>
        <v/>
      </c>
      <c r="CO214" s="124" t="str">
        <f>IF($B214="","",IFERROR(-BB214,"n.b."))</f>
        <v/>
      </c>
      <c r="CP214" s="124" t="str">
        <f>IF($B214="","",IFERROR(-BC214,"n.b."))</f>
        <v/>
      </c>
      <c r="CQ214" s="124" t="str">
        <f>IF($B214="","",IFERROR(-BD214,"n.b."))</f>
        <v/>
      </c>
      <c r="CR214" s="124" t="str">
        <f>IF($B214="","",IFERROR(-BE214,"n.b."))</f>
        <v/>
      </c>
      <c r="CS214" s="124" t="str">
        <f>IF($B214="","",IFERROR(IF(OR(ABS(T214+V214+X214+Z214-AB214)&gt;P_Tol,ABS(U214+W214+Y214+AA214-AD214)&gt;P_Tol,ABS(AE214+AG214+AI214+AK214-AM214)&gt;P_Tol,ABS(AF214+AH214+AJ214+AL214-AO214)&gt;P_Tol),1,0),1))</f>
        <v/>
      </c>
      <c r="CT214" s="124" t="str">
        <f>IF($B214="","",IFERROR(IF(OR(ABS(AB214+AC214-AD214)&gt;P_Tol,ABS(AM214+AN214-AO214)&gt;P_Tol,ABS(O214+P214-Q214)&gt;P_Tol),1,0),1))</f>
        <v/>
      </c>
      <c r="CU214" s="124" t="str">
        <f>IF($B214="","",IFERROR(IF(ABS(R214-(AB214+AM214+AP214+AR214+AT214+AV214+AX214+AZ214+BB214+BD214))&gt;P_Tol,1,0),1))</f>
        <v/>
      </c>
      <c r="CV214" s="124" t="str">
        <f>IF($B214="","",IFERROR(IF(ABS(M214-(N214+O214+R214))&gt;P_Tol,1,0),1))</f>
        <v/>
      </c>
      <c r="CW214" s="124" t="str">
        <f>IF($B214="","",IF(COUNTIF(Mapping!$A$5:$A$104,B214)&gt;0,1,0))</f>
        <v/>
      </c>
      <c r="CX214" s="124" t="str">
        <f>IF($B214="","",COUNTIF($B$6:$B$505,B214))</f>
        <v/>
      </c>
      <c r="CY214" s="124" t="str">
        <f>IF($B214="","",COUNTIF(STG_Woningetalage!$B$6:$B$505,B214))</f>
        <v/>
      </c>
      <c r="CZ214" s="124" t="str">
        <f>IF($B214="","",IF(CW214=0,COUNTIF($CW$6:CW214,0),""))</f>
        <v/>
      </c>
    </row>
    <row r="215">
      <c r="A215" s="15" t="n">
        <v>211</v>
      </c>
      <c r="B215" t="str">
        <f>IF(B$3=0,"",IF(INDEX(SRC_ZPMW03!$A$1:$ZZ$501,$A215,B$3)&amp;""="","",INDEX(SRC_ZPMW03!$A$1:$ZZ$501,$A215,B$3)&amp;""))</f>
        <v/>
      </c>
      <c r="C215" t="str">
        <f>IF($B215="","",IF(C$3=0,"n.b.",INDEX(SRC_ZPMW03!$A$1:$ZZ$501,$A215,C$3)))</f>
        <v/>
      </c>
      <c r="D215" t="str">
        <f>IF($B215="","",IF(D$3=0,"n.b.",INDEX(SRC_ZPMW03!$A$1:$ZZ$501,$A215,D$3)))</f>
        <v/>
      </c>
      <c r="E215" t="str">
        <f>IF($B215="","",IF(E$3=0,"n.b.",INDEX(SRC_ZPMW03!$A$1:$ZZ$501,$A215,E$3)))</f>
        <v/>
      </c>
      <c r="F215" t="str">
        <f>IF($B215="","",IF(F$3=0,"n.b.",INDEX(SRC_ZPMW03!$A$1:$ZZ$501,$A215,F$3)))</f>
        <v/>
      </c>
      <c r="G215" t="str">
        <f>IF($B215="","",IF(G$3=0,"n.b.",INDEX(SRC_ZPMW03!$A$1:$ZZ$501,$A215,G$3)))</f>
        <v/>
      </c>
      <c r="H215" t="str">
        <f>IF($B215="","",IF(H$3=0,"n.b.",INDEX(SRC_ZPMW03!$A$1:$ZZ$501,$A215,H$3)))</f>
        <v/>
      </c>
      <c r="I215" t="str">
        <f>IF($B215="","",IF(I$3=0,"n.b.",INDEX(SRC_ZPMW03!$A$1:$ZZ$501,$A215,I$3)))</f>
        <v/>
      </c>
      <c r="J215" t="str">
        <f>IF($B215="","",IF(J$3=0,"n.b.",INDEX(SRC_ZPMW03!$A$1:$ZZ$501,$A215,J$3)))</f>
        <v/>
      </c>
      <c r="K215" t="str">
        <f>IF($B215="","",IF(K$3=0,"n.b.",INDEX(SRC_ZPMW03!$A$1:$ZZ$501,$A215,K$3)))</f>
        <v/>
      </c>
      <c r="L215" s="124" t="str">
        <f>IF($B215="","",IF(L$3=0,"n.b.",INDEX(SRC_ZPMW03!$A$1:$ZZ$501,$A215,L$3)))</f>
        <v/>
      </c>
      <c r="M215" s="124" t="str">
        <f>IF($B215="","",IF(M$3=0,"n.b.",INDEX(SRC_ZPMW03!$A$1:$ZZ$501,$A215,M$3)))</f>
        <v/>
      </c>
      <c r="N215" s="124" t="str">
        <f>IF($B215="","",IF(N$3=0,"n.b.",INDEX(SRC_ZPMW03!$A$1:$ZZ$501,$A215,N$3)))</f>
        <v/>
      </c>
      <c r="O215" s="124" t="str">
        <f>IF($B215="","",IF(O$3=0,"n.b.",INDEX(SRC_ZPMW03!$A$1:$ZZ$501,$A215,O$3)))</f>
        <v/>
      </c>
      <c r="P215" s="124" t="str">
        <f>IF($B215="","",IF(P$3=0,"n.b.",INDEX(SRC_ZPMW03!$A$1:$ZZ$501,$A215,P$3)))</f>
        <v/>
      </c>
      <c r="Q215" s="124" t="str">
        <f>IF($B215="","",IF(Q$3=0,"n.b.",INDEX(SRC_ZPMW03!$A$1:$ZZ$501,$A215,Q$3)))</f>
        <v/>
      </c>
      <c r="R215" s="124" t="str">
        <f>IF($B215="","",IF(R$3=0,"n.b.",INDEX(SRC_ZPMW03!$A$1:$ZZ$501,$A215,R$3)))</f>
        <v/>
      </c>
      <c r="S215" s="124" t="str">
        <f>IF($B215="","",IF(S$3=0,"n.b.",INDEX(SRC_ZPMW03!$A$1:$ZZ$501,$A215,S$3)))</f>
        <v/>
      </c>
      <c r="T215" s="124" t="str">
        <f>IF($B215="","",IF(T$3=0,"n.b.",INDEX(SRC_ZPMW03!$A$1:$ZZ$501,$A215,T$3)))</f>
        <v/>
      </c>
      <c r="U215" s="124" t="str">
        <f>IF($B215="","",IF(U$3=0,"n.b.",INDEX(SRC_ZPMW03!$A$1:$ZZ$501,$A215,U$3)))</f>
        <v/>
      </c>
      <c r="V215" s="124" t="str">
        <f>IF($B215="","",IF(V$3=0,"n.b.",INDEX(SRC_ZPMW03!$A$1:$ZZ$501,$A215,V$3)))</f>
        <v/>
      </c>
      <c r="W215" s="124" t="str">
        <f>IF($B215="","",IF(W$3=0,"n.b.",INDEX(SRC_ZPMW03!$A$1:$ZZ$501,$A215,W$3)))</f>
        <v/>
      </c>
      <c r="X215" s="124" t="str">
        <f>IF($B215="","",IF(X$3=0,"n.b.",INDEX(SRC_ZPMW03!$A$1:$ZZ$501,$A215,X$3)))</f>
        <v/>
      </c>
      <c r="Y215" s="124" t="str">
        <f>IF($B215="","",IF(Y$3=0,"n.b.",INDEX(SRC_ZPMW03!$A$1:$ZZ$501,$A215,Y$3)))</f>
        <v/>
      </c>
      <c r="Z215" s="124" t="str">
        <f>IF($B215="","",IF(Z$3=0,"n.b.",INDEX(SRC_ZPMW03!$A$1:$ZZ$501,$A215,Z$3)))</f>
        <v/>
      </c>
      <c r="AA215" s="124" t="str">
        <f>IF($B215="","",IF(AA$3=0,"n.b.",INDEX(SRC_ZPMW03!$A$1:$ZZ$501,$A215,AA$3)))</f>
        <v/>
      </c>
      <c r="AB215" s="124" t="str">
        <f>IF($B215="","",IF(AB$3=0,"n.b.",INDEX(SRC_ZPMW03!$A$1:$ZZ$501,$A215,AB$3)))</f>
        <v/>
      </c>
      <c r="AC215" s="124" t="str">
        <f>IF($B215="","",IF(AC$3=0,"n.b.",INDEX(SRC_ZPMW03!$A$1:$ZZ$501,$A215,AC$3)))</f>
        <v/>
      </c>
      <c r="AD215" s="124" t="str">
        <f>IF($B215="","",IF(AD$3=0,"n.b.",INDEX(SRC_ZPMW03!$A$1:$ZZ$501,$A215,AD$3)))</f>
        <v/>
      </c>
      <c r="AE215" s="124" t="str">
        <f>IF($B215="","",IF(AE$3=0,"n.b.",INDEX(SRC_ZPMW03!$A$1:$ZZ$501,$A215,AE$3)))</f>
        <v/>
      </c>
      <c r="AF215" s="124" t="str">
        <f>IF($B215="","",IF(AF$3=0,"n.b.",INDEX(SRC_ZPMW03!$A$1:$ZZ$501,$A215,AF$3)))</f>
        <v/>
      </c>
      <c r="AG215" s="124" t="str">
        <f>IF($B215="","",IF(AG$3=0,"n.b.",INDEX(SRC_ZPMW03!$A$1:$ZZ$501,$A215,AG$3)))</f>
        <v/>
      </c>
      <c r="AH215" s="124" t="str">
        <f>IF($B215="","",IF(AH$3=0,"n.b.",INDEX(SRC_ZPMW03!$A$1:$ZZ$501,$A215,AH$3)))</f>
        <v/>
      </c>
      <c r="AI215" s="124" t="str">
        <f>IF($B215="","",IF(AI$3=0,"n.b.",INDEX(SRC_ZPMW03!$A$1:$ZZ$501,$A215,AI$3)))</f>
        <v/>
      </c>
      <c r="AJ215" s="124" t="str">
        <f>IF($B215="","",IF(AJ$3=0,"n.b.",INDEX(SRC_ZPMW03!$A$1:$ZZ$501,$A215,AJ$3)))</f>
        <v/>
      </c>
      <c r="AK215" s="124" t="str">
        <f>IF($B215="","",IF(AK$3=0,"n.b.",INDEX(SRC_ZPMW03!$A$1:$ZZ$501,$A215,AK$3)))</f>
        <v/>
      </c>
      <c r="AL215" s="124" t="str">
        <f>IF($B215="","",IF(AL$3=0,"n.b.",INDEX(SRC_ZPMW03!$A$1:$ZZ$501,$A215,AL$3)))</f>
        <v/>
      </c>
      <c r="AM215" s="124" t="str">
        <f>IF($B215="","",IF(AM$3=0,"n.b.",INDEX(SRC_ZPMW03!$A$1:$ZZ$501,$A215,AM$3)))</f>
        <v/>
      </c>
      <c r="AN215" s="124" t="str">
        <f>IF($B215="","",IF(AN$3=0,"n.b.",INDEX(SRC_ZPMW03!$A$1:$ZZ$501,$A215,AN$3)))</f>
        <v/>
      </c>
      <c r="AO215" s="124" t="str">
        <f>IF($B215="","",IF(AO$3=0,"n.b.",INDEX(SRC_ZPMW03!$A$1:$ZZ$501,$A215,AO$3)))</f>
        <v/>
      </c>
      <c r="AP215" s="124" t="str">
        <f>IF($B215="","",IF(AP$3=0,"n.b.",INDEX(SRC_ZPMW03!$A$1:$ZZ$501,$A215,AP$3)))</f>
        <v/>
      </c>
      <c r="AQ215" s="124" t="str">
        <f>IF($B215="","",IF(AQ$3=0,"n.b.",INDEX(SRC_ZPMW03!$A$1:$ZZ$501,$A215,AQ$3)))</f>
        <v/>
      </c>
      <c r="AR215" s="124" t="str">
        <f>IF($B215="","",IF(AR$3=0,"n.b.",INDEX(SRC_ZPMW03!$A$1:$ZZ$501,$A215,AR$3)))</f>
        <v/>
      </c>
      <c r="AS215" s="124" t="str">
        <f>IF($B215="","",IF(AS$3=0,"n.b.",INDEX(SRC_ZPMW03!$A$1:$ZZ$501,$A215,AS$3)))</f>
        <v/>
      </c>
      <c r="AT215" s="124" t="str">
        <f>IF($B215="","",IF(AT$3=0,"n.b.",INDEX(SRC_ZPMW03!$A$1:$ZZ$501,$A215,AT$3)))</f>
        <v/>
      </c>
      <c r="AU215" s="124" t="str">
        <f>IF($B215="","",IF(AU$3=0,"n.b.",INDEX(SRC_ZPMW03!$A$1:$ZZ$501,$A215,AU$3)))</f>
        <v/>
      </c>
      <c r="AV215" s="124" t="str">
        <f>IF($B215="","",IF(AV$3=0,"n.b.",INDEX(SRC_ZPMW03!$A$1:$ZZ$501,$A215,AV$3)))</f>
        <v/>
      </c>
      <c r="AW215" s="124" t="str">
        <f>IF($B215="","",IF(AW$3=0,"n.b.",INDEX(SRC_ZPMW03!$A$1:$ZZ$501,$A215,AW$3)))</f>
        <v/>
      </c>
      <c r="AX215" s="124" t="str">
        <f>IF($B215="","",IF(AX$3=0,"n.b.",INDEX(SRC_ZPMW03!$A$1:$ZZ$501,$A215,AX$3)))</f>
        <v/>
      </c>
      <c r="AY215" s="124" t="str">
        <f>IF($B215="","",IF(AY$3=0,"n.b.",INDEX(SRC_ZPMW03!$A$1:$ZZ$501,$A215,AY$3)))</f>
        <v/>
      </c>
      <c r="AZ215" s="124" t="str">
        <f>IF($B215="","",IF(AZ$3=0,"n.b.",INDEX(SRC_ZPMW03!$A$1:$ZZ$501,$A215,AZ$3)))</f>
        <v/>
      </c>
      <c r="BA215" s="124" t="str">
        <f>IF($B215="","",IF(BA$3=0,"n.b.",INDEX(SRC_ZPMW03!$A$1:$ZZ$501,$A215,BA$3)))</f>
        <v/>
      </c>
      <c r="BB215" s="124" t="str">
        <f>IF($B215="","",IF(BB$3=0,"n.b.",INDEX(SRC_ZPMW03!$A$1:$ZZ$501,$A215,BB$3)))</f>
        <v/>
      </c>
      <c r="BC215" s="124" t="str">
        <f>IF($B215="","",IF(BC$3=0,"n.b.",INDEX(SRC_ZPMW03!$A$1:$ZZ$501,$A215,BC$3)))</f>
        <v/>
      </c>
      <c r="BD215" s="124" t="str">
        <f>IF($B215="","",IF(BD$3=0,"n.b.",INDEX(SRC_ZPMW03!$A$1:$ZZ$501,$A215,BD$3)))</f>
        <v/>
      </c>
      <c r="BE215" s="124" t="str">
        <f>IF($B215="","",IF(BE$3=0,"n.b.",INDEX(SRC_ZPMW03!$A$1:$ZZ$501,$A215,BE$3)))</f>
        <v/>
      </c>
      <c r="BF215" s="124" t="str">
        <f>IF($B215="","",IF(BF$3=0,"n.b.",INDEX(SRC_ZPMW03!$A$1:$ZZ$501,$A215,BF$3)))</f>
        <v/>
      </c>
      <c r="BG215" t="str">
        <f>IF($B215="","",IF(BG$3=0,"n.b.",INDEX(SRC_ZPMW03!$A$1:$ZZ$501,$A215,BG$3)))</f>
        <v/>
      </c>
      <c r="BH215" t="str">
        <f>IF($B215="","",IF(BH$3=0,"n.b.",INDEX(SRC_ZPMW03!$A$1:$ZZ$501,$A215,BH$3)))</f>
        <v/>
      </c>
      <c r="BI215" t="str">
        <f>IF($B215="","",IF(BI$3=0,"n.b.",INDEX(SRC_ZPMW03!$A$1:$ZZ$501,$A215,BI$3)))</f>
        <v/>
      </c>
      <c r="BJ215" t="str">
        <f>IF($B215="","",IF(BJ$3=0,"n.b.",INDEX(SRC_ZPMW03!$A$1:$ZZ$501,$A215,BJ$3)))</f>
        <v/>
      </c>
      <c r="BK215" s="124" t="str">
        <f>IF($B215="","",IFERROR(-O215,"n.b."))</f>
        <v/>
      </c>
      <c r="BL215" s="124" t="str">
        <f>IF($B215="","",IFERROR(-Q215,"n.b."))</f>
        <v/>
      </c>
      <c r="BM215" s="124" t="str">
        <f>IF($B215="","",IFERROR(-AB215,"n.b."))</f>
        <v/>
      </c>
      <c r="BN215" s="124" t="str">
        <f>IF($B215="","",IFERROR(-AD215,"n.b."))</f>
        <v/>
      </c>
      <c r="BO215" s="124" t="str">
        <f>IF($B215="","",IFERROR(BK215+BM215,"n.b."))</f>
        <v/>
      </c>
      <c r="BP215" s="124" t="str">
        <f>IF($B215="","",IFERROR(BL215+BN215,"n.b."))</f>
        <v/>
      </c>
      <c r="BQ215" s="124" t="str">
        <f>IF($B215="","",IFERROR(-AM215,"n.b."))</f>
        <v/>
      </c>
      <c r="BR215" s="124" t="str">
        <f>IF($B215="","",IFERROR(-AO215,"n.b."))</f>
        <v/>
      </c>
      <c r="BS215" s="124" t="str">
        <f>IF($B215="","",IFERROR(-Z215,"n.b."))</f>
        <v/>
      </c>
      <c r="BT215" s="124" t="str">
        <f>IF($B215="","",IFERROR(-AA215,"n.b."))</f>
        <v/>
      </c>
      <c r="BU215" s="124" t="str">
        <f>IF($B215="","",IFERROR(-AE215,"n.b."))</f>
        <v/>
      </c>
      <c r="BV215" s="124" t="str">
        <f>IF($B215="","",IFERROR(-AF215,"n.b."))</f>
        <v/>
      </c>
      <c r="BW215" s="124" t="str">
        <f>IF($B215="","",IFERROR(-AG215,"n.b."))</f>
        <v/>
      </c>
      <c r="BX215" s="124" t="str">
        <f>IF($B215="","",IFERROR(-AH215,"n.b."))</f>
        <v/>
      </c>
      <c r="BY215" s="124" t="str">
        <f>IF($B215="","",IFERROR(-AI215,"n.b."))</f>
        <v/>
      </c>
      <c r="BZ215" s="124" t="str">
        <f>IF($B215="","",IFERROR(-AJ215,"n.b."))</f>
        <v/>
      </c>
      <c r="CA215" s="124" t="str">
        <f>IF($B215="","",IFERROR(-AK215,"n.b."))</f>
        <v/>
      </c>
      <c r="CB215" s="124" t="str">
        <f>IF($B215="","",IFERROR(-AL215,"n.b."))</f>
        <v/>
      </c>
      <c r="CC215" s="124" t="str">
        <f>IF($B215="","",IFERROR(-AP215,"n.b."))</f>
        <v/>
      </c>
      <c r="CD215" s="124" t="str">
        <f>IF($B215="","",IFERROR(-AQ215,"n.b."))</f>
        <v/>
      </c>
      <c r="CE215" s="124" t="str">
        <f>IF($B215="","",IFERROR(-AR215,"n.b."))</f>
        <v/>
      </c>
      <c r="CF215" s="124" t="str">
        <f>IF($B215="","",IFERROR(-AS215,"n.b."))</f>
        <v/>
      </c>
      <c r="CG215" s="124" t="str">
        <f>IF($B215="","",IFERROR(-AT215,"n.b."))</f>
        <v/>
      </c>
      <c r="CH215" s="124" t="str">
        <f>IF($B215="","",IFERROR(-AU215,"n.b."))</f>
        <v/>
      </c>
      <c r="CI215" s="124" t="str">
        <f>IF($B215="","",IFERROR(-AV215,"n.b."))</f>
        <v/>
      </c>
      <c r="CJ215" s="124" t="str">
        <f>IF($B215="","",IFERROR(-AW215,"n.b."))</f>
        <v/>
      </c>
      <c r="CK215" s="124" t="str">
        <f>IF($B215="","",IFERROR(-AX215,"n.b."))</f>
        <v/>
      </c>
      <c r="CL215" s="124" t="str">
        <f>IF($B215="","",IFERROR(-AY215,"n.b."))</f>
        <v/>
      </c>
      <c r="CM215" s="124" t="str">
        <f>IF($B215="","",IFERROR(-AZ215,"n.b."))</f>
        <v/>
      </c>
      <c r="CN215" s="124" t="str">
        <f>IF($B215="","",IFERROR(-BA215,"n.b."))</f>
        <v/>
      </c>
      <c r="CO215" s="124" t="str">
        <f>IF($B215="","",IFERROR(-BB215,"n.b."))</f>
        <v/>
      </c>
      <c r="CP215" s="124" t="str">
        <f>IF($B215="","",IFERROR(-BC215,"n.b."))</f>
        <v/>
      </c>
      <c r="CQ215" s="124" t="str">
        <f>IF($B215="","",IFERROR(-BD215,"n.b."))</f>
        <v/>
      </c>
      <c r="CR215" s="124" t="str">
        <f>IF($B215="","",IFERROR(-BE215,"n.b."))</f>
        <v/>
      </c>
      <c r="CS215" s="124" t="str">
        <f>IF($B215="","",IFERROR(IF(OR(ABS(T215+V215+X215+Z215-AB215)&gt;P_Tol,ABS(U215+W215+Y215+AA215-AD215)&gt;P_Tol,ABS(AE215+AG215+AI215+AK215-AM215)&gt;P_Tol,ABS(AF215+AH215+AJ215+AL215-AO215)&gt;P_Tol),1,0),1))</f>
        <v/>
      </c>
      <c r="CT215" s="124" t="str">
        <f>IF($B215="","",IFERROR(IF(OR(ABS(AB215+AC215-AD215)&gt;P_Tol,ABS(AM215+AN215-AO215)&gt;P_Tol,ABS(O215+P215-Q215)&gt;P_Tol),1,0),1))</f>
        <v/>
      </c>
      <c r="CU215" s="124" t="str">
        <f>IF($B215="","",IFERROR(IF(ABS(R215-(AB215+AM215+AP215+AR215+AT215+AV215+AX215+AZ215+BB215+BD215))&gt;P_Tol,1,0),1))</f>
        <v/>
      </c>
      <c r="CV215" s="124" t="str">
        <f>IF($B215="","",IFERROR(IF(ABS(M215-(N215+O215+R215))&gt;P_Tol,1,0),1))</f>
        <v/>
      </c>
      <c r="CW215" s="124" t="str">
        <f>IF($B215="","",IF(COUNTIF(Mapping!$A$5:$A$104,B215)&gt;0,1,0))</f>
        <v/>
      </c>
      <c r="CX215" s="124" t="str">
        <f>IF($B215="","",COUNTIF($B$6:$B$505,B215))</f>
        <v/>
      </c>
      <c r="CY215" s="124" t="str">
        <f>IF($B215="","",COUNTIF(STG_Woningetalage!$B$6:$B$505,B215))</f>
        <v/>
      </c>
      <c r="CZ215" s="124" t="str">
        <f>IF($B215="","",IF(CW215=0,COUNTIF($CW$6:CW215,0),""))</f>
        <v/>
      </c>
    </row>
    <row r="216">
      <c r="A216" s="15" t="n">
        <v>212</v>
      </c>
      <c r="B216" t="str">
        <f>IF(B$3=0,"",IF(INDEX(SRC_ZPMW03!$A$1:$ZZ$501,$A216,B$3)&amp;""="","",INDEX(SRC_ZPMW03!$A$1:$ZZ$501,$A216,B$3)&amp;""))</f>
        <v/>
      </c>
      <c r="C216" t="str">
        <f>IF($B216="","",IF(C$3=0,"n.b.",INDEX(SRC_ZPMW03!$A$1:$ZZ$501,$A216,C$3)))</f>
        <v/>
      </c>
      <c r="D216" t="str">
        <f>IF($B216="","",IF(D$3=0,"n.b.",INDEX(SRC_ZPMW03!$A$1:$ZZ$501,$A216,D$3)))</f>
        <v/>
      </c>
      <c r="E216" t="str">
        <f>IF($B216="","",IF(E$3=0,"n.b.",INDEX(SRC_ZPMW03!$A$1:$ZZ$501,$A216,E$3)))</f>
        <v/>
      </c>
      <c r="F216" t="str">
        <f>IF($B216="","",IF(F$3=0,"n.b.",INDEX(SRC_ZPMW03!$A$1:$ZZ$501,$A216,F$3)))</f>
        <v/>
      </c>
      <c r="G216" t="str">
        <f>IF($B216="","",IF(G$3=0,"n.b.",INDEX(SRC_ZPMW03!$A$1:$ZZ$501,$A216,G$3)))</f>
        <v/>
      </c>
      <c r="H216" t="str">
        <f>IF($B216="","",IF(H$3=0,"n.b.",INDEX(SRC_ZPMW03!$A$1:$ZZ$501,$A216,H$3)))</f>
        <v/>
      </c>
      <c r="I216" t="str">
        <f>IF($B216="","",IF(I$3=0,"n.b.",INDEX(SRC_ZPMW03!$A$1:$ZZ$501,$A216,I$3)))</f>
        <v/>
      </c>
      <c r="J216" t="str">
        <f>IF($B216="","",IF(J$3=0,"n.b.",INDEX(SRC_ZPMW03!$A$1:$ZZ$501,$A216,J$3)))</f>
        <v/>
      </c>
      <c r="K216" t="str">
        <f>IF($B216="","",IF(K$3=0,"n.b.",INDEX(SRC_ZPMW03!$A$1:$ZZ$501,$A216,K$3)))</f>
        <v/>
      </c>
      <c r="L216" s="124" t="str">
        <f>IF($B216="","",IF(L$3=0,"n.b.",INDEX(SRC_ZPMW03!$A$1:$ZZ$501,$A216,L$3)))</f>
        <v/>
      </c>
      <c r="M216" s="124" t="str">
        <f>IF($B216="","",IF(M$3=0,"n.b.",INDEX(SRC_ZPMW03!$A$1:$ZZ$501,$A216,M$3)))</f>
        <v/>
      </c>
      <c r="N216" s="124" t="str">
        <f>IF($B216="","",IF(N$3=0,"n.b.",INDEX(SRC_ZPMW03!$A$1:$ZZ$501,$A216,N$3)))</f>
        <v/>
      </c>
      <c r="O216" s="124" t="str">
        <f>IF($B216="","",IF(O$3=0,"n.b.",INDEX(SRC_ZPMW03!$A$1:$ZZ$501,$A216,O$3)))</f>
        <v/>
      </c>
      <c r="P216" s="124" t="str">
        <f>IF($B216="","",IF(P$3=0,"n.b.",INDEX(SRC_ZPMW03!$A$1:$ZZ$501,$A216,P$3)))</f>
        <v/>
      </c>
      <c r="Q216" s="124" t="str">
        <f>IF($B216="","",IF(Q$3=0,"n.b.",INDEX(SRC_ZPMW03!$A$1:$ZZ$501,$A216,Q$3)))</f>
        <v/>
      </c>
      <c r="R216" s="124" t="str">
        <f>IF($B216="","",IF(R$3=0,"n.b.",INDEX(SRC_ZPMW03!$A$1:$ZZ$501,$A216,R$3)))</f>
        <v/>
      </c>
      <c r="S216" s="124" t="str">
        <f>IF($B216="","",IF(S$3=0,"n.b.",INDEX(SRC_ZPMW03!$A$1:$ZZ$501,$A216,S$3)))</f>
        <v/>
      </c>
      <c r="T216" s="124" t="str">
        <f>IF($B216="","",IF(T$3=0,"n.b.",INDEX(SRC_ZPMW03!$A$1:$ZZ$501,$A216,T$3)))</f>
        <v/>
      </c>
      <c r="U216" s="124" t="str">
        <f>IF($B216="","",IF(U$3=0,"n.b.",INDEX(SRC_ZPMW03!$A$1:$ZZ$501,$A216,U$3)))</f>
        <v/>
      </c>
      <c r="V216" s="124" t="str">
        <f>IF($B216="","",IF(V$3=0,"n.b.",INDEX(SRC_ZPMW03!$A$1:$ZZ$501,$A216,V$3)))</f>
        <v/>
      </c>
      <c r="W216" s="124" t="str">
        <f>IF($B216="","",IF(W$3=0,"n.b.",INDEX(SRC_ZPMW03!$A$1:$ZZ$501,$A216,W$3)))</f>
        <v/>
      </c>
      <c r="X216" s="124" t="str">
        <f>IF($B216="","",IF(X$3=0,"n.b.",INDEX(SRC_ZPMW03!$A$1:$ZZ$501,$A216,X$3)))</f>
        <v/>
      </c>
      <c r="Y216" s="124" t="str">
        <f>IF($B216="","",IF(Y$3=0,"n.b.",INDEX(SRC_ZPMW03!$A$1:$ZZ$501,$A216,Y$3)))</f>
        <v/>
      </c>
      <c r="Z216" s="124" t="str">
        <f>IF($B216="","",IF(Z$3=0,"n.b.",INDEX(SRC_ZPMW03!$A$1:$ZZ$501,$A216,Z$3)))</f>
        <v/>
      </c>
      <c r="AA216" s="124" t="str">
        <f>IF($B216="","",IF(AA$3=0,"n.b.",INDEX(SRC_ZPMW03!$A$1:$ZZ$501,$A216,AA$3)))</f>
        <v/>
      </c>
      <c r="AB216" s="124" t="str">
        <f>IF($B216="","",IF(AB$3=0,"n.b.",INDEX(SRC_ZPMW03!$A$1:$ZZ$501,$A216,AB$3)))</f>
        <v/>
      </c>
      <c r="AC216" s="124" t="str">
        <f>IF($B216="","",IF(AC$3=0,"n.b.",INDEX(SRC_ZPMW03!$A$1:$ZZ$501,$A216,AC$3)))</f>
        <v/>
      </c>
      <c r="AD216" s="124" t="str">
        <f>IF($B216="","",IF(AD$3=0,"n.b.",INDEX(SRC_ZPMW03!$A$1:$ZZ$501,$A216,AD$3)))</f>
        <v/>
      </c>
      <c r="AE216" s="124" t="str">
        <f>IF($B216="","",IF(AE$3=0,"n.b.",INDEX(SRC_ZPMW03!$A$1:$ZZ$501,$A216,AE$3)))</f>
        <v/>
      </c>
      <c r="AF216" s="124" t="str">
        <f>IF($B216="","",IF(AF$3=0,"n.b.",INDEX(SRC_ZPMW03!$A$1:$ZZ$501,$A216,AF$3)))</f>
        <v/>
      </c>
      <c r="AG216" s="124" t="str">
        <f>IF($B216="","",IF(AG$3=0,"n.b.",INDEX(SRC_ZPMW03!$A$1:$ZZ$501,$A216,AG$3)))</f>
        <v/>
      </c>
      <c r="AH216" s="124" t="str">
        <f>IF($B216="","",IF(AH$3=0,"n.b.",INDEX(SRC_ZPMW03!$A$1:$ZZ$501,$A216,AH$3)))</f>
        <v/>
      </c>
      <c r="AI216" s="124" t="str">
        <f>IF($B216="","",IF(AI$3=0,"n.b.",INDEX(SRC_ZPMW03!$A$1:$ZZ$501,$A216,AI$3)))</f>
        <v/>
      </c>
      <c r="AJ216" s="124" t="str">
        <f>IF($B216="","",IF(AJ$3=0,"n.b.",INDEX(SRC_ZPMW03!$A$1:$ZZ$501,$A216,AJ$3)))</f>
        <v/>
      </c>
      <c r="AK216" s="124" t="str">
        <f>IF($B216="","",IF(AK$3=0,"n.b.",INDEX(SRC_ZPMW03!$A$1:$ZZ$501,$A216,AK$3)))</f>
        <v/>
      </c>
      <c r="AL216" s="124" t="str">
        <f>IF($B216="","",IF(AL$3=0,"n.b.",INDEX(SRC_ZPMW03!$A$1:$ZZ$501,$A216,AL$3)))</f>
        <v/>
      </c>
      <c r="AM216" s="124" t="str">
        <f>IF($B216="","",IF(AM$3=0,"n.b.",INDEX(SRC_ZPMW03!$A$1:$ZZ$501,$A216,AM$3)))</f>
        <v/>
      </c>
      <c r="AN216" s="124" t="str">
        <f>IF($B216="","",IF(AN$3=0,"n.b.",INDEX(SRC_ZPMW03!$A$1:$ZZ$501,$A216,AN$3)))</f>
        <v/>
      </c>
      <c r="AO216" s="124" t="str">
        <f>IF($B216="","",IF(AO$3=0,"n.b.",INDEX(SRC_ZPMW03!$A$1:$ZZ$501,$A216,AO$3)))</f>
        <v/>
      </c>
      <c r="AP216" s="124" t="str">
        <f>IF($B216="","",IF(AP$3=0,"n.b.",INDEX(SRC_ZPMW03!$A$1:$ZZ$501,$A216,AP$3)))</f>
        <v/>
      </c>
      <c r="AQ216" s="124" t="str">
        <f>IF($B216="","",IF(AQ$3=0,"n.b.",INDEX(SRC_ZPMW03!$A$1:$ZZ$501,$A216,AQ$3)))</f>
        <v/>
      </c>
      <c r="AR216" s="124" t="str">
        <f>IF($B216="","",IF(AR$3=0,"n.b.",INDEX(SRC_ZPMW03!$A$1:$ZZ$501,$A216,AR$3)))</f>
        <v/>
      </c>
      <c r="AS216" s="124" t="str">
        <f>IF($B216="","",IF(AS$3=0,"n.b.",INDEX(SRC_ZPMW03!$A$1:$ZZ$501,$A216,AS$3)))</f>
        <v/>
      </c>
      <c r="AT216" s="124" t="str">
        <f>IF($B216="","",IF(AT$3=0,"n.b.",INDEX(SRC_ZPMW03!$A$1:$ZZ$501,$A216,AT$3)))</f>
        <v/>
      </c>
      <c r="AU216" s="124" t="str">
        <f>IF($B216="","",IF(AU$3=0,"n.b.",INDEX(SRC_ZPMW03!$A$1:$ZZ$501,$A216,AU$3)))</f>
        <v/>
      </c>
      <c r="AV216" s="124" t="str">
        <f>IF($B216="","",IF(AV$3=0,"n.b.",INDEX(SRC_ZPMW03!$A$1:$ZZ$501,$A216,AV$3)))</f>
        <v/>
      </c>
      <c r="AW216" s="124" t="str">
        <f>IF($B216="","",IF(AW$3=0,"n.b.",INDEX(SRC_ZPMW03!$A$1:$ZZ$501,$A216,AW$3)))</f>
        <v/>
      </c>
      <c r="AX216" s="124" t="str">
        <f>IF($B216="","",IF(AX$3=0,"n.b.",INDEX(SRC_ZPMW03!$A$1:$ZZ$501,$A216,AX$3)))</f>
        <v/>
      </c>
      <c r="AY216" s="124" t="str">
        <f>IF($B216="","",IF(AY$3=0,"n.b.",INDEX(SRC_ZPMW03!$A$1:$ZZ$501,$A216,AY$3)))</f>
        <v/>
      </c>
      <c r="AZ216" s="124" t="str">
        <f>IF($B216="","",IF(AZ$3=0,"n.b.",INDEX(SRC_ZPMW03!$A$1:$ZZ$501,$A216,AZ$3)))</f>
        <v/>
      </c>
      <c r="BA216" s="124" t="str">
        <f>IF($B216="","",IF(BA$3=0,"n.b.",INDEX(SRC_ZPMW03!$A$1:$ZZ$501,$A216,BA$3)))</f>
        <v/>
      </c>
      <c r="BB216" s="124" t="str">
        <f>IF($B216="","",IF(BB$3=0,"n.b.",INDEX(SRC_ZPMW03!$A$1:$ZZ$501,$A216,BB$3)))</f>
        <v/>
      </c>
      <c r="BC216" s="124" t="str">
        <f>IF($B216="","",IF(BC$3=0,"n.b.",INDEX(SRC_ZPMW03!$A$1:$ZZ$501,$A216,BC$3)))</f>
        <v/>
      </c>
      <c r="BD216" s="124" t="str">
        <f>IF($B216="","",IF(BD$3=0,"n.b.",INDEX(SRC_ZPMW03!$A$1:$ZZ$501,$A216,BD$3)))</f>
        <v/>
      </c>
      <c r="BE216" s="124" t="str">
        <f>IF($B216="","",IF(BE$3=0,"n.b.",INDEX(SRC_ZPMW03!$A$1:$ZZ$501,$A216,BE$3)))</f>
        <v/>
      </c>
      <c r="BF216" s="124" t="str">
        <f>IF($B216="","",IF(BF$3=0,"n.b.",INDEX(SRC_ZPMW03!$A$1:$ZZ$501,$A216,BF$3)))</f>
        <v/>
      </c>
      <c r="BG216" t="str">
        <f>IF($B216="","",IF(BG$3=0,"n.b.",INDEX(SRC_ZPMW03!$A$1:$ZZ$501,$A216,BG$3)))</f>
        <v/>
      </c>
      <c r="BH216" t="str">
        <f>IF($B216="","",IF(BH$3=0,"n.b.",INDEX(SRC_ZPMW03!$A$1:$ZZ$501,$A216,BH$3)))</f>
        <v/>
      </c>
      <c r="BI216" t="str">
        <f>IF($B216="","",IF(BI$3=0,"n.b.",INDEX(SRC_ZPMW03!$A$1:$ZZ$501,$A216,BI$3)))</f>
        <v/>
      </c>
      <c r="BJ216" t="str">
        <f>IF($B216="","",IF(BJ$3=0,"n.b.",INDEX(SRC_ZPMW03!$A$1:$ZZ$501,$A216,BJ$3)))</f>
        <v/>
      </c>
      <c r="BK216" s="124" t="str">
        <f>IF($B216="","",IFERROR(-O216,"n.b."))</f>
        <v/>
      </c>
      <c r="BL216" s="124" t="str">
        <f>IF($B216="","",IFERROR(-Q216,"n.b."))</f>
        <v/>
      </c>
      <c r="BM216" s="124" t="str">
        <f>IF($B216="","",IFERROR(-AB216,"n.b."))</f>
        <v/>
      </c>
      <c r="BN216" s="124" t="str">
        <f>IF($B216="","",IFERROR(-AD216,"n.b."))</f>
        <v/>
      </c>
      <c r="BO216" s="124" t="str">
        <f>IF($B216="","",IFERROR(BK216+BM216,"n.b."))</f>
        <v/>
      </c>
      <c r="BP216" s="124" t="str">
        <f>IF($B216="","",IFERROR(BL216+BN216,"n.b."))</f>
        <v/>
      </c>
      <c r="BQ216" s="124" t="str">
        <f>IF($B216="","",IFERROR(-AM216,"n.b."))</f>
        <v/>
      </c>
      <c r="BR216" s="124" t="str">
        <f>IF($B216="","",IFERROR(-AO216,"n.b."))</f>
        <v/>
      </c>
      <c r="BS216" s="124" t="str">
        <f>IF($B216="","",IFERROR(-Z216,"n.b."))</f>
        <v/>
      </c>
      <c r="BT216" s="124" t="str">
        <f>IF($B216="","",IFERROR(-AA216,"n.b."))</f>
        <v/>
      </c>
      <c r="BU216" s="124" t="str">
        <f>IF($B216="","",IFERROR(-AE216,"n.b."))</f>
        <v/>
      </c>
      <c r="BV216" s="124" t="str">
        <f>IF($B216="","",IFERROR(-AF216,"n.b."))</f>
        <v/>
      </c>
      <c r="BW216" s="124" t="str">
        <f>IF($B216="","",IFERROR(-AG216,"n.b."))</f>
        <v/>
      </c>
      <c r="BX216" s="124" t="str">
        <f>IF($B216="","",IFERROR(-AH216,"n.b."))</f>
        <v/>
      </c>
      <c r="BY216" s="124" t="str">
        <f>IF($B216="","",IFERROR(-AI216,"n.b."))</f>
        <v/>
      </c>
      <c r="BZ216" s="124" t="str">
        <f>IF($B216="","",IFERROR(-AJ216,"n.b."))</f>
        <v/>
      </c>
      <c r="CA216" s="124" t="str">
        <f>IF($B216="","",IFERROR(-AK216,"n.b."))</f>
        <v/>
      </c>
      <c r="CB216" s="124" t="str">
        <f>IF($B216="","",IFERROR(-AL216,"n.b."))</f>
        <v/>
      </c>
      <c r="CC216" s="124" t="str">
        <f>IF($B216="","",IFERROR(-AP216,"n.b."))</f>
        <v/>
      </c>
      <c r="CD216" s="124" t="str">
        <f>IF($B216="","",IFERROR(-AQ216,"n.b."))</f>
        <v/>
      </c>
      <c r="CE216" s="124" t="str">
        <f>IF($B216="","",IFERROR(-AR216,"n.b."))</f>
        <v/>
      </c>
      <c r="CF216" s="124" t="str">
        <f>IF($B216="","",IFERROR(-AS216,"n.b."))</f>
        <v/>
      </c>
      <c r="CG216" s="124" t="str">
        <f>IF($B216="","",IFERROR(-AT216,"n.b."))</f>
        <v/>
      </c>
      <c r="CH216" s="124" t="str">
        <f>IF($B216="","",IFERROR(-AU216,"n.b."))</f>
        <v/>
      </c>
      <c r="CI216" s="124" t="str">
        <f>IF($B216="","",IFERROR(-AV216,"n.b."))</f>
        <v/>
      </c>
      <c r="CJ216" s="124" t="str">
        <f>IF($B216="","",IFERROR(-AW216,"n.b."))</f>
        <v/>
      </c>
      <c r="CK216" s="124" t="str">
        <f>IF($B216="","",IFERROR(-AX216,"n.b."))</f>
        <v/>
      </c>
      <c r="CL216" s="124" t="str">
        <f>IF($B216="","",IFERROR(-AY216,"n.b."))</f>
        <v/>
      </c>
      <c r="CM216" s="124" t="str">
        <f>IF($B216="","",IFERROR(-AZ216,"n.b."))</f>
        <v/>
      </c>
      <c r="CN216" s="124" t="str">
        <f>IF($B216="","",IFERROR(-BA216,"n.b."))</f>
        <v/>
      </c>
      <c r="CO216" s="124" t="str">
        <f>IF($B216="","",IFERROR(-BB216,"n.b."))</f>
        <v/>
      </c>
      <c r="CP216" s="124" t="str">
        <f>IF($B216="","",IFERROR(-BC216,"n.b."))</f>
        <v/>
      </c>
      <c r="CQ216" s="124" t="str">
        <f>IF($B216="","",IFERROR(-BD216,"n.b."))</f>
        <v/>
      </c>
      <c r="CR216" s="124" t="str">
        <f>IF($B216="","",IFERROR(-BE216,"n.b."))</f>
        <v/>
      </c>
      <c r="CS216" s="124" t="str">
        <f>IF($B216="","",IFERROR(IF(OR(ABS(T216+V216+X216+Z216-AB216)&gt;P_Tol,ABS(U216+W216+Y216+AA216-AD216)&gt;P_Tol,ABS(AE216+AG216+AI216+AK216-AM216)&gt;P_Tol,ABS(AF216+AH216+AJ216+AL216-AO216)&gt;P_Tol),1,0),1))</f>
        <v/>
      </c>
      <c r="CT216" s="124" t="str">
        <f>IF($B216="","",IFERROR(IF(OR(ABS(AB216+AC216-AD216)&gt;P_Tol,ABS(AM216+AN216-AO216)&gt;P_Tol,ABS(O216+P216-Q216)&gt;P_Tol),1,0),1))</f>
        <v/>
      </c>
      <c r="CU216" s="124" t="str">
        <f>IF($B216="","",IFERROR(IF(ABS(R216-(AB216+AM216+AP216+AR216+AT216+AV216+AX216+AZ216+BB216+BD216))&gt;P_Tol,1,0),1))</f>
        <v/>
      </c>
      <c r="CV216" s="124" t="str">
        <f>IF($B216="","",IFERROR(IF(ABS(M216-(N216+O216+R216))&gt;P_Tol,1,0),1))</f>
        <v/>
      </c>
      <c r="CW216" s="124" t="str">
        <f>IF($B216="","",IF(COUNTIF(Mapping!$A$5:$A$104,B216)&gt;0,1,0))</f>
        <v/>
      </c>
      <c r="CX216" s="124" t="str">
        <f>IF($B216="","",COUNTIF($B$6:$B$505,B216))</f>
        <v/>
      </c>
      <c r="CY216" s="124" t="str">
        <f>IF($B216="","",COUNTIF(STG_Woningetalage!$B$6:$B$505,B216))</f>
        <v/>
      </c>
      <c r="CZ216" s="124" t="str">
        <f>IF($B216="","",IF(CW216=0,COUNTIF($CW$6:CW216,0),""))</f>
        <v/>
      </c>
    </row>
    <row r="217">
      <c r="A217" s="15" t="n">
        <v>213</v>
      </c>
      <c r="B217" t="str">
        <f>IF(B$3=0,"",IF(INDEX(SRC_ZPMW03!$A$1:$ZZ$501,$A217,B$3)&amp;""="","",INDEX(SRC_ZPMW03!$A$1:$ZZ$501,$A217,B$3)&amp;""))</f>
        <v/>
      </c>
      <c r="C217" t="str">
        <f>IF($B217="","",IF(C$3=0,"n.b.",INDEX(SRC_ZPMW03!$A$1:$ZZ$501,$A217,C$3)))</f>
        <v/>
      </c>
      <c r="D217" t="str">
        <f>IF($B217="","",IF(D$3=0,"n.b.",INDEX(SRC_ZPMW03!$A$1:$ZZ$501,$A217,D$3)))</f>
        <v/>
      </c>
      <c r="E217" t="str">
        <f>IF($B217="","",IF(E$3=0,"n.b.",INDEX(SRC_ZPMW03!$A$1:$ZZ$501,$A217,E$3)))</f>
        <v/>
      </c>
      <c r="F217" t="str">
        <f>IF($B217="","",IF(F$3=0,"n.b.",INDEX(SRC_ZPMW03!$A$1:$ZZ$501,$A217,F$3)))</f>
        <v/>
      </c>
      <c r="G217" t="str">
        <f>IF($B217="","",IF(G$3=0,"n.b.",INDEX(SRC_ZPMW03!$A$1:$ZZ$501,$A217,G$3)))</f>
        <v/>
      </c>
      <c r="H217" t="str">
        <f>IF($B217="","",IF(H$3=0,"n.b.",INDEX(SRC_ZPMW03!$A$1:$ZZ$501,$A217,H$3)))</f>
        <v/>
      </c>
      <c r="I217" t="str">
        <f>IF($B217="","",IF(I$3=0,"n.b.",INDEX(SRC_ZPMW03!$A$1:$ZZ$501,$A217,I$3)))</f>
        <v/>
      </c>
      <c r="J217" t="str">
        <f>IF($B217="","",IF(J$3=0,"n.b.",INDEX(SRC_ZPMW03!$A$1:$ZZ$501,$A217,J$3)))</f>
        <v/>
      </c>
      <c r="K217" t="str">
        <f>IF($B217="","",IF(K$3=0,"n.b.",INDEX(SRC_ZPMW03!$A$1:$ZZ$501,$A217,K$3)))</f>
        <v/>
      </c>
      <c r="L217" s="124" t="str">
        <f>IF($B217="","",IF(L$3=0,"n.b.",INDEX(SRC_ZPMW03!$A$1:$ZZ$501,$A217,L$3)))</f>
        <v/>
      </c>
      <c r="M217" s="124" t="str">
        <f>IF($B217="","",IF(M$3=0,"n.b.",INDEX(SRC_ZPMW03!$A$1:$ZZ$501,$A217,M$3)))</f>
        <v/>
      </c>
      <c r="N217" s="124" t="str">
        <f>IF($B217="","",IF(N$3=0,"n.b.",INDEX(SRC_ZPMW03!$A$1:$ZZ$501,$A217,N$3)))</f>
        <v/>
      </c>
      <c r="O217" s="124" t="str">
        <f>IF($B217="","",IF(O$3=0,"n.b.",INDEX(SRC_ZPMW03!$A$1:$ZZ$501,$A217,O$3)))</f>
        <v/>
      </c>
      <c r="P217" s="124" t="str">
        <f>IF($B217="","",IF(P$3=0,"n.b.",INDEX(SRC_ZPMW03!$A$1:$ZZ$501,$A217,P$3)))</f>
        <v/>
      </c>
      <c r="Q217" s="124" t="str">
        <f>IF($B217="","",IF(Q$3=0,"n.b.",INDEX(SRC_ZPMW03!$A$1:$ZZ$501,$A217,Q$3)))</f>
        <v/>
      </c>
      <c r="R217" s="124" t="str">
        <f>IF($B217="","",IF(R$3=0,"n.b.",INDEX(SRC_ZPMW03!$A$1:$ZZ$501,$A217,R$3)))</f>
        <v/>
      </c>
      <c r="S217" s="124" t="str">
        <f>IF($B217="","",IF(S$3=0,"n.b.",INDEX(SRC_ZPMW03!$A$1:$ZZ$501,$A217,S$3)))</f>
        <v/>
      </c>
      <c r="T217" s="124" t="str">
        <f>IF($B217="","",IF(T$3=0,"n.b.",INDEX(SRC_ZPMW03!$A$1:$ZZ$501,$A217,T$3)))</f>
        <v/>
      </c>
      <c r="U217" s="124" t="str">
        <f>IF($B217="","",IF(U$3=0,"n.b.",INDEX(SRC_ZPMW03!$A$1:$ZZ$501,$A217,U$3)))</f>
        <v/>
      </c>
      <c r="V217" s="124" t="str">
        <f>IF($B217="","",IF(V$3=0,"n.b.",INDEX(SRC_ZPMW03!$A$1:$ZZ$501,$A217,V$3)))</f>
        <v/>
      </c>
      <c r="W217" s="124" t="str">
        <f>IF($B217="","",IF(W$3=0,"n.b.",INDEX(SRC_ZPMW03!$A$1:$ZZ$501,$A217,W$3)))</f>
        <v/>
      </c>
      <c r="X217" s="124" t="str">
        <f>IF($B217="","",IF(X$3=0,"n.b.",INDEX(SRC_ZPMW03!$A$1:$ZZ$501,$A217,X$3)))</f>
        <v/>
      </c>
      <c r="Y217" s="124" t="str">
        <f>IF($B217="","",IF(Y$3=0,"n.b.",INDEX(SRC_ZPMW03!$A$1:$ZZ$501,$A217,Y$3)))</f>
        <v/>
      </c>
      <c r="Z217" s="124" t="str">
        <f>IF($B217="","",IF(Z$3=0,"n.b.",INDEX(SRC_ZPMW03!$A$1:$ZZ$501,$A217,Z$3)))</f>
        <v/>
      </c>
      <c r="AA217" s="124" t="str">
        <f>IF($B217="","",IF(AA$3=0,"n.b.",INDEX(SRC_ZPMW03!$A$1:$ZZ$501,$A217,AA$3)))</f>
        <v/>
      </c>
      <c r="AB217" s="124" t="str">
        <f>IF($B217="","",IF(AB$3=0,"n.b.",INDEX(SRC_ZPMW03!$A$1:$ZZ$501,$A217,AB$3)))</f>
        <v/>
      </c>
      <c r="AC217" s="124" t="str">
        <f>IF($B217="","",IF(AC$3=0,"n.b.",INDEX(SRC_ZPMW03!$A$1:$ZZ$501,$A217,AC$3)))</f>
        <v/>
      </c>
      <c r="AD217" s="124" t="str">
        <f>IF($B217="","",IF(AD$3=0,"n.b.",INDEX(SRC_ZPMW03!$A$1:$ZZ$501,$A217,AD$3)))</f>
        <v/>
      </c>
      <c r="AE217" s="124" t="str">
        <f>IF($B217="","",IF(AE$3=0,"n.b.",INDEX(SRC_ZPMW03!$A$1:$ZZ$501,$A217,AE$3)))</f>
        <v/>
      </c>
      <c r="AF217" s="124" t="str">
        <f>IF($B217="","",IF(AF$3=0,"n.b.",INDEX(SRC_ZPMW03!$A$1:$ZZ$501,$A217,AF$3)))</f>
        <v/>
      </c>
      <c r="AG217" s="124" t="str">
        <f>IF($B217="","",IF(AG$3=0,"n.b.",INDEX(SRC_ZPMW03!$A$1:$ZZ$501,$A217,AG$3)))</f>
        <v/>
      </c>
      <c r="AH217" s="124" t="str">
        <f>IF($B217="","",IF(AH$3=0,"n.b.",INDEX(SRC_ZPMW03!$A$1:$ZZ$501,$A217,AH$3)))</f>
        <v/>
      </c>
      <c r="AI217" s="124" t="str">
        <f>IF($B217="","",IF(AI$3=0,"n.b.",INDEX(SRC_ZPMW03!$A$1:$ZZ$501,$A217,AI$3)))</f>
        <v/>
      </c>
      <c r="AJ217" s="124" t="str">
        <f>IF($B217="","",IF(AJ$3=0,"n.b.",INDEX(SRC_ZPMW03!$A$1:$ZZ$501,$A217,AJ$3)))</f>
        <v/>
      </c>
      <c r="AK217" s="124" t="str">
        <f>IF($B217="","",IF(AK$3=0,"n.b.",INDEX(SRC_ZPMW03!$A$1:$ZZ$501,$A217,AK$3)))</f>
        <v/>
      </c>
      <c r="AL217" s="124" t="str">
        <f>IF($B217="","",IF(AL$3=0,"n.b.",INDEX(SRC_ZPMW03!$A$1:$ZZ$501,$A217,AL$3)))</f>
        <v/>
      </c>
      <c r="AM217" s="124" t="str">
        <f>IF($B217="","",IF(AM$3=0,"n.b.",INDEX(SRC_ZPMW03!$A$1:$ZZ$501,$A217,AM$3)))</f>
        <v/>
      </c>
      <c r="AN217" s="124" t="str">
        <f>IF($B217="","",IF(AN$3=0,"n.b.",INDEX(SRC_ZPMW03!$A$1:$ZZ$501,$A217,AN$3)))</f>
        <v/>
      </c>
      <c r="AO217" s="124" t="str">
        <f>IF($B217="","",IF(AO$3=0,"n.b.",INDEX(SRC_ZPMW03!$A$1:$ZZ$501,$A217,AO$3)))</f>
        <v/>
      </c>
      <c r="AP217" s="124" t="str">
        <f>IF($B217="","",IF(AP$3=0,"n.b.",INDEX(SRC_ZPMW03!$A$1:$ZZ$501,$A217,AP$3)))</f>
        <v/>
      </c>
      <c r="AQ217" s="124" t="str">
        <f>IF($B217="","",IF(AQ$3=0,"n.b.",INDEX(SRC_ZPMW03!$A$1:$ZZ$501,$A217,AQ$3)))</f>
        <v/>
      </c>
      <c r="AR217" s="124" t="str">
        <f>IF($B217="","",IF(AR$3=0,"n.b.",INDEX(SRC_ZPMW03!$A$1:$ZZ$501,$A217,AR$3)))</f>
        <v/>
      </c>
      <c r="AS217" s="124" t="str">
        <f>IF($B217="","",IF(AS$3=0,"n.b.",INDEX(SRC_ZPMW03!$A$1:$ZZ$501,$A217,AS$3)))</f>
        <v/>
      </c>
      <c r="AT217" s="124" t="str">
        <f>IF($B217="","",IF(AT$3=0,"n.b.",INDEX(SRC_ZPMW03!$A$1:$ZZ$501,$A217,AT$3)))</f>
        <v/>
      </c>
      <c r="AU217" s="124" t="str">
        <f>IF($B217="","",IF(AU$3=0,"n.b.",INDEX(SRC_ZPMW03!$A$1:$ZZ$501,$A217,AU$3)))</f>
        <v/>
      </c>
      <c r="AV217" s="124" t="str">
        <f>IF($B217="","",IF(AV$3=0,"n.b.",INDEX(SRC_ZPMW03!$A$1:$ZZ$501,$A217,AV$3)))</f>
        <v/>
      </c>
      <c r="AW217" s="124" t="str">
        <f>IF($B217="","",IF(AW$3=0,"n.b.",INDEX(SRC_ZPMW03!$A$1:$ZZ$501,$A217,AW$3)))</f>
        <v/>
      </c>
      <c r="AX217" s="124" t="str">
        <f>IF($B217="","",IF(AX$3=0,"n.b.",INDEX(SRC_ZPMW03!$A$1:$ZZ$501,$A217,AX$3)))</f>
        <v/>
      </c>
      <c r="AY217" s="124" t="str">
        <f>IF($B217="","",IF(AY$3=0,"n.b.",INDEX(SRC_ZPMW03!$A$1:$ZZ$501,$A217,AY$3)))</f>
        <v/>
      </c>
      <c r="AZ217" s="124" t="str">
        <f>IF($B217="","",IF(AZ$3=0,"n.b.",INDEX(SRC_ZPMW03!$A$1:$ZZ$501,$A217,AZ$3)))</f>
        <v/>
      </c>
      <c r="BA217" s="124" t="str">
        <f>IF($B217="","",IF(BA$3=0,"n.b.",INDEX(SRC_ZPMW03!$A$1:$ZZ$501,$A217,BA$3)))</f>
        <v/>
      </c>
      <c r="BB217" s="124" t="str">
        <f>IF($B217="","",IF(BB$3=0,"n.b.",INDEX(SRC_ZPMW03!$A$1:$ZZ$501,$A217,BB$3)))</f>
        <v/>
      </c>
      <c r="BC217" s="124" t="str">
        <f>IF($B217="","",IF(BC$3=0,"n.b.",INDEX(SRC_ZPMW03!$A$1:$ZZ$501,$A217,BC$3)))</f>
        <v/>
      </c>
      <c r="BD217" s="124" t="str">
        <f>IF($B217="","",IF(BD$3=0,"n.b.",INDEX(SRC_ZPMW03!$A$1:$ZZ$501,$A217,BD$3)))</f>
        <v/>
      </c>
      <c r="BE217" s="124" t="str">
        <f>IF($B217="","",IF(BE$3=0,"n.b.",INDEX(SRC_ZPMW03!$A$1:$ZZ$501,$A217,BE$3)))</f>
        <v/>
      </c>
      <c r="BF217" s="124" t="str">
        <f>IF($B217="","",IF(BF$3=0,"n.b.",INDEX(SRC_ZPMW03!$A$1:$ZZ$501,$A217,BF$3)))</f>
        <v/>
      </c>
      <c r="BG217" t="str">
        <f>IF($B217="","",IF(BG$3=0,"n.b.",INDEX(SRC_ZPMW03!$A$1:$ZZ$501,$A217,BG$3)))</f>
        <v/>
      </c>
      <c r="BH217" t="str">
        <f>IF($B217="","",IF(BH$3=0,"n.b.",INDEX(SRC_ZPMW03!$A$1:$ZZ$501,$A217,BH$3)))</f>
        <v/>
      </c>
      <c r="BI217" t="str">
        <f>IF($B217="","",IF(BI$3=0,"n.b.",INDEX(SRC_ZPMW03!$A$1:$ZZ$501,$A217,BI$3)))</f>
        <v/>
      </c>
      <c r="BJ217" t="str">
        <f>IF($B217="","",IF(BJ$3=0,"n.b.",INDEX(SRC_ZPMW03!$A$1:$ZZ$501,$A217,BJ$3)))</f>
        <v/>
      </c>
      <c r="BK217" s="124" t="str">
        <f>IF($B217="","",IFERROR(-O217,"n.b."))</f>
        <v/>
      </c>
      <c r="BL217" s="124" t="str">
        <f>IF($B217="","",IFERROR(-Q217,"n.b."))</f>
        <v/>
      </c>
      <c r="BM217" s="124" t="str">
        <f>IF($B217="","",IFERROR(-AB217,"n.b."))</f>
        <v/>
      </c>
      <c r="BN217" s="124" t="str">
        <f>IF($B217="","",IFERROR(-AD217,"n.b."))</f>
        <v/>
      </c>
      <c r="BO217" s="124" t="str">
        <f>IF($B217="","",IFERROR(BK217+BM217,"n.b."))</f>
        <v/>
      </c>
      <c r="BP217" s="124" t="str">
        <f>IF($B217="","",IFERROR(BL217+BN217,"n.b."))</f>
        <v/>
      </c>
      <c r="BQ217" s="124" t="str">
        <f>IF($B217="","",IFERROR(-AM217,"n.b."))</f>
        <v/>
      </c>
      <c r="BR217" s="124" t="str">
        <f>IF($B217="","",IFERROR(-AO217,"n.b."))</f>
        <v/>
      </c>
      <c r="BS217" s="124" t="str">
        <f>IF($B217="","",IFERROR(-Z217,"n.b."))</f>
        <v/>
      </c>
      <c r="BT217" s="124" t="str">
        <f>IF($B217="","",IFERROR(-AA217,"n.b."))</f>
        <v/>
      </c>
      <c r="BU217" s="124" t="str">
        <f>IF($B217="","",IFERROR(-AE217,"n.b."))</f>
        <v/>
      </c>
      <c r="BV217" s="124" t="str">
        <f>IF($B217="","",IFERROR(-AF217,"n.b."))</f>
        <v/>
      </c>
      <c r="BW217" s="124" t="str">
        <f>IF($B217="","",IFERROR(-AG217,"n.b."))</f>
        <v/>
      </c>
      <c r="BX217" s="124" t="str">
        <f>IF($B217="","",IFERROR(-AH217,"n.b."))</f>
        <v/>
      </c>
      <c r="BY217" s="124" t="str">
        <f>IF($B217="","",IFERROR(-AI217,"n.b."))</f>
        <v/>
      </c>
      <c r="BZ217" s="124" t="str">
        <f>IF($B217="","",IFERROR(-AJ217,"n.b."))</f>
        <v/>
      </c>
      <c r="CA217" s="124" t="str">
        <f>IF($B217="","",IFERROR(-AK217,"n.b."))</f>
        <v/>
      </c>
      <c r="CB217" s="124" t="str">
        <f>IF($B217="","",IFERROR(-AL217,"n.b."))</f>
        <v/>
      </c>
      <c r="CC217" s="124" t="str">
        <f>IF($B217="","",IFERROR(-AP217,"n.b."))</f>
        <v/>
      </c>
      <c r="CD217" s="124" t="str">
        <f>IF($B217="","",IFERROR(-AQ217,"n.b."))</f>
        <v/>
      </c>
      <c r="CE217" s="124" t="str">
        <f>IF($B217="","",IFERROR(-AR217,"n.b."))</f>
        <v/>
      </c>
      <c r="CF217" s="124" t="str">
        <f>IF($B217="","",IFERROR(-AS217,"n.b."))</f>
        <v/>
      </c>
      <c r="CG217" s="124" t="str">
        <f>IF($B217="","",IFERROR(-AT217,"n.b."))</f>
        <v/>
      </c>
      <c r="CH217" s="124" t="str">
        <f>IF($B217="","",IFERROR(-AU217,"n.b."))</f>
        <v/>
      </c>
      <c r="CI217" s="124" t="str">
        <f>IF($B217="","",IFERROR(-AV217,"n.b."))</f>
        <v/>
      </c>
      <c r="CJ217" s="124" t="str">
        <f>IF($B217="","",IFERROR(-AW217,"n.b."))</f>
        <v/>
      </c>
      <c r="CK217" s="124" t="str">
        <f>IF($B217="","",IFERROR(-AX217,"n.b."))</f>
        <v/>
      </c>
      <c r="CL217" s="124" t="str">
        <f>IF($B217="","",IFERROR(-AY217,"n.b."))</f>
        <v/>
      </c>
      <c r="CM217" s="124" t="str">
        <f>IF($B217="","",IFERROR(-AZ217,"n.b."))</f>
        <v/>
      </c>
      <c r="CN217" s="124" t="str">
        <f>IF($B217="","",IFERROR(-BA217,"n.b."))</f>
        <v/>
      </c>
      <c r="CO217" s="124" t="str">
        <f>IF($B217="","",IFERROR(-BB217,"n.b."))</f>
        <v/>
      </c>
      <c r="CP217" s="124" t="str">
        <f>IF($B217="","",IFERROR(-BC217,"n.b."))</f>
        <v/>
      </c>
      <c r="CQ217" s="124" t="str">
        <f>IF($B217="","",IFERROR(-BD217,"n.b."))</f>
        <v/>
      </c>
      <c r="CR217" s="124" t="str">
        <f>IF($B217="","",IFERROR(-BE217,"n.b."))</f>
        <v/>
      </c>
      <c r="CS217" s="124" t="str">
        <f>IF($B217="","",IFERROR(IF(OR(ABS(T217+V217+X217+Z217-AB217)&gt;P_Tol,ABS(U217+W217+Y217+AA217-AD217)&gt;P_Tol,ABS(AE217+AG217+AI217+AK217-AM217)&gt;P_Tol,ABS(AF217+AH217+AJ217+AL217-AO217)&gt;P_Tol),1,0),1))</f>
        <v/>
      </c>
      <c r="CT217" s="124" t="str">
        <f>IF($B217="","",IFERROR(IF(OR(ABS(AB217+AC217-AD217)&gt;P_Tol,ABS(AM217+AN217-AO217)&gt;P_Tol,ABS(O217+P217-Q217)&gt;P_Tol),1,0),1))</f>
        <v/>
      </c>
      <c r="CU217" s="124" t="str">
        <f>IF($B217="","",IFERROR(IF(ABS(R217-(AB217+AM217+AP217+AR217+AT217+AV217+AX217+AZ217+BB217+BD217))&gt;P_Tol,1,0),1))</f>
        <v/>
      </c>
      <c r="CV217" s="124" t="str">
        <f>IF($B217="","",IFERROR(IF(ABS(M217-(N217+O217+R217))&gt;P_Tol,1,0),1))</f>
        <v/>
      </c>
      <c r="CW217" s="124" t="str">
        <f>IF($B217="","",IF(COUNTIF(Mapping!$A$5:$A$104,B217)&gt;0,1,0))</f>
        <v/>
      </c>
      <c r="CX217" s="124" t="str">
        <f>IF($B217="","",COUNTIF($B$6:$B$505,B217))</f>
        <v/>
      </c>
      <c r="CY217" s="124" t="str">
        <f>IF($B217="","",COUNTIF(STG_Woningetalage!$B$6:$B$505,B217))</f>
        <v/>
      </c>
      <c r="CZ217" s="124" t="str">
        <f>IF($B217="","",IF(CW217=0,COUNTIF($CW$6:CW217,0),""))</f>
        <v/>
      </c>
    </row>
    <row r="218">
      <c r="A218" s="15" t="n">
        <v>214</v>
      </c>
      <c r="B218" t="str">
        <f>IF(B$3=0,"",IF(INDEX(SRC_ZPMW03!$A$1:$ZZ$501,$A218,B$3)&amp;""="","",INDEX(SRC_ZPMW03!$A$1:$ZZ$501,$A218,B$3)&amp;""))</f>
        <v/>
      </c>
      <c r="C218" t="str">
        <f>IF($B218="","",IF(C$3=0,"n.b.",INDEX(SRC_ZPMW03!$A$1:$ZZ$501,$A218,C$3)))</f>
        <v/>
      </c>
      <c r="D218" t="str">
        <f>IF($B218="","",IF(D$3=0,"n.b.",INDEX(SRC_ZPMW03!$A$1:$ZZ$501,$A218,D$3)))</f>
        <v/>
      </c>
      <c r="E218" t="str">
        <f>IF($B218="","",IF(E$3=0,"n.b.",INDEX(SRC_ZPMW03!$A$1:$ZZ$501,$A218,E$3)))</f>
        <v/>
      </c>
      <c r="F218" t="str">
        <f>IF($B218="","",IF(F$3=0,"n.b.",INDEX(SRC_ZPMW03!$A$1:$ZZ$501,$A218,F$3)))</f>
        <v/>
      </c>
      <c r="G218" t="str">
        <f>IF($B218="","",IF(G$3=0,"n.b.",INDEX(SRC_ZPMW03!$A$1:$ZZ$501,$A218,G$3)))</f>
        <v/>
      </c>
      <c r="H218" t="str">
        <f>IF($B218="","",IF(H$3=0,"n.b.",INDEX(SRC_ZPMW03!$A$1:$ZZ$501,$A218,H$3)))</f>
        <v/>
      </c>
      <c r="I218" t="str">
        <f>IF($B218="","",IF(I$3=0,"n.b.",INDEX(SRC_ZPMW03!$A$1:$ZZ$501,$A218,I$3)))</f>
        <v/>
      </c>
      <c r="J218" t="str">
        <f>IF($B218="","",IF(J$3=0,"n.b.",INDEX(SRC_ZPMW03!$A$1:$ZZ$501,$A218,J$3)))</f>
        <v/>
      </c>
      <c r="K218" t="str">
        <f>IF($B218="","",IF(K$3=0,"n.b.",INDEX(SRC_ZPMW03!$A$1:$ZZ$501,$A218,K$3)))</f>
        <v/>
      </c>
      <c r="L218" s="124" t="str">
        <f>IF($B218="","",IF(L$3=0,"n.b.",INDEX(SRC_ZPMW03!$A$1:$ZZ$501,$A218,L$3)))</f>
        <v/>
      </c>
      <c r="M218" s="124" t="str">
        <f>IF($B218="","",IF(M$3=0,"n.b.",INDEX(SRC_ZPMW03!$A$1:$ZZ$501,$A218,M$3)))</f>
        <v/>
      </c>
      <c r="N218" s="124" t="str">
        <f>IF($B218="","",IF(N$3=0,"n.b.",INDEX(SRC_ZPMW03!$A$1:$ZZ$501,$A218,N$3)))</f>
        <v/>
      </c>
      <c r="O218" s="124" t="str">
        <f>IF($B218="","",IF(O$3=0,"n.b.",INDEX(SRC_ZPMW03!$A$1:$ZZ$501,$A218,O$3)))</f>
        <v/>
      </c>
      <c r="P218" s="124" t="str">
        <f>IF($B218="","",IF(P$3=0,"n.b.",INDEX(SRC_ZPMW03!$A$1:$ZZ$501,$A218,P$3)))</f>
        <v/>
      </c>
      <c r="Q218" s="124" t="str">
        <f>IF($B218="","",IF(Q$3=0,"n.b.",INDEX(SRC_ZPMW03!$A$1:$ZZ$501,$A218,Q$3)))</f>
        <v/>
      </c>
      <c r="R218" s="124" t="str">
        <f>IF($B218="","",IF(R$3=0,"n.b.",INDEX(SRC_ZPMW03!$A$1:$ZZ$501,$A218,R$3)))</f>
        <v/>
      </c>
      <c r="S218" s="124" t="str">
        <f>IF($B218="","",IF(S$3=0,"n.b.",INDEX(SRC_ZPMW03!$A$1:$ZZ$501,$A218,S$3)))</f>
        <v/>
      </c>
      <c r="T218" s="124" t="str">
        <f>IF($B218="","",IF(T$3=0,"n.b.",INDEX(SRC_ZPMW03!$A$1:$ZZ$501,$A218,T$3)))</f>
        <v/>
      </c>
      <c r="U218" s="124" t="str">
        <f>IF($B218="","",IF(U$3=0,"n.b.",INDEX(SRC_ZPMW03!$A$1:$ZZ$501,$A218,U$3)))</f>
        <v/>
      </c>
      <c r="V218" s="124" t="str">
        <f>IF($B218="","",IF(V$3=0,"n.b.",INDEX(SRC_ZPMW03!$A$1:$ZZ$501,$A218,V$3)))</f>
        <v/>
      </c>
      <c r="W218" s="124" t="str">
        <f>IF($B218="","",IF(W$3=0,"n.b.",INDEX(SRC_ZPMW03!$A$1:$ZZ$501,$A218,W$3)))</f>
        <v/>
      </c>
      <c r="X218" s="124" t="str">
        <f>IF($B218="","",IF(X$3=0,"n.b.",INDEX(SRC_ZPMW03!$A$1:$ZZ$501,$A218,X$3)))</f>
        <v/>
      </c>
      <c r="Y218" s="124" t="str">
        <f>IF($B218="","",IF(Y$3=0,"n.b.",INDEX(SRC_ZPMW03!$A$1:$ZZ$501,$A218,Y$3)))</f>
        <v/>
      </c>
      <c r="Z218" s="124" t="str">
        <f>IF($B218="","",IF(Z$3=0,"n.b.",INDEX(SRC_ZPMW03!$A$1:$ZZ$501,$A218,Z$3)))</f>
        <v/>
      </c>
      <c r="AA218" s="124" t="str">
        <f>IF($B218="","",IF(AA$3=0,"n.b.",INDEX(SRC_ZPMW03!$A$1:$ZZ$501,$A218,AA$3)))</f>
        <v/>
      </c>
      <c r="AB218" s="124" t="str">
        <f>IF($B218="","",IF(AB$3=0,"n.b.",INDEX(SRC_ZPMW03!$A$1:$ZZ$501,$A218,AB$3)))</f>
        <v/>
      </c>
      <c r="AC218" s="124" t="str">
        <f>IF($B218="","",IF(AC$3=0,"n.b.",INDEX(SRC_ZPMW03!$A$1:$ZZ$501,$A218,AC$3)))</f>
        <v/>
      </c>
      <c r="AD218" s="124" t="str">
        <f>IF($B218="","",IF(AD$3=0,"n.b.",INDEX(SRC_ZPMW03!$A$1:$ZZ$501,$A218,AD$3)))</f>
        <v/>
      </c>
      <c r="AE218" s="124" t="str">
        <f>IF($B218="","",IF(AE$3=0,"n.b.",INDEX(SRC_ZPMW03!$A$1:$ZZ$501,$A218,AE$3)))</f>
        <v/>
      </c>
      <c r="AF218" s="124" t="str">
        <f>IF($B218="","",IF(AF$3=0,"n.b.",INDEX(SRC_ZPMW03!$A$1:$ZZ$501,$A218,AF$3)))</f>
        <v/>
      </c>
      <c r="AG218" s="124" t="str">
        <f>IF($B218="","",IF(AG$3=0,"n.b.",INDEX(SRC_ZPMW03!$A$1:$ZZ$501,$A218,AG$3)))</f>
        <v/>
      </c>
      <c r="AH218" s="124" t="str">
        <f>IF($B218="","",IF(AH$3=0,"n.b.",INDEX(SRC_ZPMW03!$A$1:$ZZ$501,$A218,AH$3)))</f>
        <v/>
      </c>
      <c r="AI218" s="124" t="str">
        <f>IF($B218="","",IF(AI$3=0,"n.b.",INDEX(SRC_ZPMW03!$A$1:$ZZ$501,$A218,AI$3)))</f>
        <v/>
      </c>
      <c r="AJ218" s="124" t="str">
        <f>IF($B218="","",IF(AJ$3=0,"n.b.",INDEX(SRC_ZPMW03!$A$1:$ZZ$501,$A218,AJ$3)))</f>
        <v/>
      </c>
      <c r="AK218" s="124" t="str">
        <f>IF($B218="","",IF(AK$3=0,"n.b.",INDEX(SRC_ZPMW03!$A$1:$ZZ$501,$A218,AK$3)))</f>
        <v/>
      </c>
      <c r="AL218" s="124" t="str">
        <f>IF($B218="","",IF(AL$3=0,"n.b.",INDEX(SRC_ZPMW03!$A$1:$ZZ$501,$A218,AL$3)))</f>
        <v/>
      </c>
      <c r="AM218" s="124" t="str">
        <f>IF($B218="","",IF(AM$3=0,"n.b.",INDEX(SRC_ZPMW03!$A$1:$ZZ$501,$A218,AM$3)))</f>
        <v/>
      </c>
      <c r="AN218" s="124" t="str">
        <f>IF($B218="","",IF(AN$3=0,"n.b.",INDEX(SRC_ZPMW03!$A$1:$ZZ$501,$A218,AN$3)))</f>
        <v/>
      </c>
      <c r="AO218" s="124" t="str">
        <f>IF($B218="","",IF(AO$3=0,"n.b.",INDEX(SRC_ZPMW03!$A$1:$ZZ$501,$A218,AO$3)))</f>
        <v/>
      </c>
      <c r="AP218" s="124" t="str">
        <f>IF($B218="","",IF(AP$3=0,"n.b.",INDEX(SRC_ZPMW03!$A$1:$ZZ$501,$A218,AP$3)))</f>
        <v/>
      </c>
      <c r="AQ218" s="124" t="str">
        <f>IF($B218="","",IF(AQ$3=0,"n.b.",INDEX(SRC_ZPMW03!$A$1:$ZZ$501,$A218,AQ$3)))</f>
        <v/>
      </c>
      <c r="AR218" s="124" t="str">
        <f>IF($B218="","",IF(AR$3=0,"n.b.",INDEX(SRC_ZPMW03!$A$1:$ZZ$501,$A218,AR$3)))</f>
        <v/>
      </c>
      <c r="AS218" s="124" t="str">
        <f>IF($B218="","",IF(AS$3=0,"n.b.",INDEX(SRC_ZPMW03!$A$1:$ZZ$501,$A218,AS$3)))</f>
        <v/>
      </c>
      <c r="AT218" s="124" t="str">
        <f>IF($B218="","",IF(AT$3=0,"n.b.",INDEX(SRC_ZPMW03!$A$1:$ZZ$501,$A218,AT$3)))</f>
        <v/>
      </c>
      <c r="AU218" s="124" t="str">
        <f>IF($B218="","",IF(AU$3=0,"n.b.",INDEX(SRC_ZPMW03!$A$1:$ZZ$501,$A218,AU$3)))</f>
        <v/>
      </c>
      <c r="AV218" s="124" t="str">
        <f>IF($B218="","",IF(AV$3=0,"n.b.",INDEX(SRC_ZPMW03!$A$1:$ZZ$501,$A218,AV$3)))</f>
        <v/>
      </c>
      <c r="AW218" s="124" t="str">
        <f>IF($B218="","",IF(AW$3=0,"n.b.",INDEX(SRC_ZPMW03!$A$1:$ZZ$501,$A218,AW$3)))</f>
        <v/>
      </c>
      <c r="AX218" s="124" t="str">
        <f>IF($B218="","",IF(AX$3=0,"n.b.",INDEX(SRC_ZPMW03!$A$1:$ZZ$501,$A218,AX$3)))</f>
        <v/>
      </c>
      <c r="AY218" s="124" t="str">
        <f>IF($B218="","",IF(AY$3=0,"n.b.",INDEX(SRC_ZPMW03!$A$1:$ZZ$501,$A218,AY$3)))</f>
        <v/>
      </c>
      <c r="AZ218" s="124" t="str">
        <f>IF($B218="","",IF(AZ$3=0,"n.b.",INDEX(SRC_ZPMW03!$A$1:$ZZ$501,$A218,AZ$3)))</f>
        <v/>
      </c>
      <c r="BA218" s="124" t="str">
        <f>IF($B218="","",IF(BA$3=0,"n.b.",INDEX(SRC_ZPMW03!$A$1:$ZZ$501,$A218,BA$3)))</f>
        <v/>
      </c>
      <c r="BB218" s="124" t="str">
        <f>IF($B218="","",IF(BB$3=0,"n.b.",INDEX(SRC_ZPMW03!$A$1:$ZZ$501,$A218,BB$3)))</f>
        <v/>
      </c>
      <c r="BC218" s="124" t="str">
        <f>IF($B218="","",IF(BC$3=0,"n.b.",INDEX(SRC_ZPMW03!$A$1:$ZZ$501,$A218,BC$3)))</f>
        <v/>
      </c>
      <c r="BD218" s="124" t="str">
        <f>IF($B218="","",IF(BD$3=0,"n.b.",INDEX(SRC_ZPMW03!$A$1:$ZZ$501,$A218,BD$3)))</f>
        <v/>
      </c>
      <c r="BE218" s="124" t="str">
        <f>IF($B218="","",IF(BE$3=0,"n.b.",INDEX(SRC_ZPMW03!$A$1:$ZZ$501,$A218,BE$3)))</f>
        <v/>
      </c>
      <c r="BF218" s="124" t="str">
        <f>IF($B218="","",IF(BF$3=0,"n.b.",INDEX(SRC_ZPMW03!$A$1:$ZZ$501,$A218,BF$3)))</f>
        <v/>
      </c>
      <c r="BG218" t="str">
        <f>IF($B218="","",IF(BG$3=0,"n.b.",INDEX(SRC_ZPMW03!$A$1:$ZZ$501,$A218,BG$3)))</f>
        <v/>
      </c>
      <c r="BH218" t="str">
        <f>IF($B218="","",IF(BH$3=0,"n.b.",INDEX(SRC_ZPMW03!$A$1:$ZZ$501,$A218,BH$3)))</f>
        <v/>
      </c>
      <c r="BI218" t="str">
        <f>IF($B218="","",IF(BI$3=0,"n.b.",INDEX(SRC_ZPMW03!$A$1:$ZZ$501,$A218,BI$3)))</f>
        <v/>
      </c>
      <c r="BJ218" t="str">
        <f>IF($B218="","",IF(BJ$3=0,"n.b.",INDEX(SRC_ZPMW03!$A$1:$ZZ$501,$A218,BJ$3)))</f>
        <v/>
      </c>
      <c r="BK218" s="124" t="str">
        <f>IF($B218="","",IFERROR(-O218,"n.b."))</f>
        <v/>
      </c>
      <c r="BL218" s="124" t="str">
        <f>IF($B218="","",IFERROR(-Q218,"n.b."))</f>
        <v/>
      </c>
      <c r="BM218" s="124" t="str">
        <f>IF($B218="","",IFERROR(-AB218,"n.b."))</f>
        <v/>
      </c>
      <c r="BN218" s="124" t="str">
        <f>IF($B218="","",IFERROR(-AD218,"n.b."))</f>
        <v/>
      </c>
      <c r="BO218" s="124" t="str">
        <f>IF($B218="","",IFERROR(BK218+BM218,"n.b."))</f>
        <v/>
      </c>
      <c r="BP218" s="124" t="str">
        <f>IF($B218="","",IFERROR(BL218+BN218,"n.b."))</f>
        <v/>
      </c>
      <c r="BQ218" s="124" t="str">
        <f>IF($B218="","",IFERROR(-AM218,"n.b."))</f>
        <v/>
      </c>
      <c r="BR218" s="124" t="str">
        <f>IF($B218="","",IFERROR(-AO218,"n.b."))</f>
        <v/>
      </c>
      <c r="BS218" s="124" t="str">
        <f>IF($B218="","",IFERROR(-Z218,"n.b."))</f>
        <v/>
      </c>
      <c r="BT218" s="124" t="str">
        <f>IF($B218="","",IFERROR(-AA218,"n.b."))</f>
        <v/>
      </c>
      <c r="BU218" s="124" t="str">
        <f>IF($B218="","",IFERROR(-AE218,"n.b."))</f>
        <v/>
      </c>
      <c r="BV218" s="124" t="str">
        <f>IF($B218="","",IFERROR(-AF218,"n.b."))</f>
        <v/>
      </c>
      <c r="BW218" s="124" t="str">
        <f>IF($B218="","",IFERROR(-AG218,"n.b."))</f>
        <v/>
      </c>
      <c r="BX218" s="124" t="str">
        <f>IF($B218="","",IFERROR(-AH218,"n.b."))</f>
        <v/>
      </c>
      <c r="BY218" s="124" t="str">
        <f>IF($B218="","",IFERROR(-AI218,"n.b."))</f>
        <v/>
      </c>
      <c r="BZ218" s="124" t="str">
        <f>IF($B218="","",IFERROR(-AJ218,"n.b."))</f>
        <v/>
      </c>
      <c r="CA218" s="124" t="str">
        <f>IF($B218="","",IFERROR(-AK218,"n.b."))</f>
        <v/>
      </c>
      <c r="CB218" s="124" t="str">
        <f>IF($B218="","",IFERROR(-AL218,"n.b."))</f>
        <v/>
      </c>
      <c r="CC218" s="124" t="str">
        <f>IF($B218="","",IFERROR(-AP218,"n.b."))</f>
        <v/>
      </c>
      <c r="CD218" s="124" t="str">
        <f>IF($B218="","",IFERROR(-AQ218,"n.b."))</f>
        <v/>
      </c>
      <c r="CE218" s="124" t="str">
        <f>IF($B218="","",IFERROR(-AR218,"n.b."))</f>
        <v/>
      </c>
      <c r="CF218" s="124" t="str">
        <f>IF($B218="","",IFERROR(-AS218,"n.b."))</f>
        <v/>
      </c>
      <c r="CG218" s="124" t="str">
        <f>IF($B218="","",IFERROR(-AT218,"n.b."))</f>
        <v/>
      </c>
      <c r="CH218" s="124" t="str">
        <f>IF($B218="","",IFERROR(-AU218,"n.b."))</f>
        <v/>
      </c>
      <c r="CI218" s="124" t="str">
        <f>IF($B218="","",IFERROR(-AV218,"n.b."))</f>
        <v/>
      </c>
      <c r="CJ218" s="124" t="str">
        <f>IF($B218="","",IFERROR(-AW218,"n.b."))</f>
        <v/>
      </c>
      <c r="CK218" s="124" t="str">
        <f>IF($B218="","",IFERROR(-AX218,"n.b."))</f>
        <v/>
      </c>
      <c r="CL218" s="124" t="str">
        <f>IF($B218="","",IFERROR(-AY218,"n.b."))</f>
        <v/>
      </c>
      <c r="CM218" s="124" t="str">
        <f>IF($B218="","",IFERROR(-AZ218,"n.b."))</f>
        <v/>
      </c>
      <c r="CN218" s="124" t="str">
        <f>IF($B218="","",IFERROR(-BA218,"n.b."))</f>
        <v/>
      </c>
      <c r="CO218" s="124" t="str">
        <f>IF($B218="","",IFERROR(-BB218,"n.b."))</f>
        <v/>
      </c>
      <c r="CP218" s="124" t="str">
        <f>IF($B218="","",IFERROR(-BC218,"n.b."))</f>
        <v/>
      </c>
      <c r="CQ218" s="124" t="str">
        <f>IF($B218="","",IFERROR(-BD218,"n.b."))</f>
        <v/>
      </c>
      <c r="CR218" s="124" t="str">
        <f>IF($B218="","",IFERROR(-BE218,"n.b."))</f>
        <v/>
      </c>
      <c r="CS218" s="124" t="str">
        <f>IF($B218="","",IFERROR(IF(OR(ABS(T218+V218+X218+Z218-AB218)&gt;P_Tol,ABS(U218+W218+Y218+AA218-AD218)&gt;P_Tol,ABS(AE218+AG218+AI218+AK218-AM218)&gt;P_Tol,ABS(AF218+AH218+AJ218+AL218-AO218)&gt;P_Tol),1,0),1))</f>
        <v/>
      </c>
      <c r="CT218" s="124" t="str">
        <f>IF($B218="","",IFERROR(IF(OR(ABS(AB218+AC218-AD218)&gt;P_Tol,ABS(AM218+AN218-AO218)&gt;P_Tol,ABS(O218+P218-Q218)&gt;P_Tol),1,0),1))</f>
        <v/>
      </c>
      <c r="CU218" s="124" t="str">
        <f>IF($B218="","",IFERROR(IF(ABS(R218-(AB218+AM218+AP218+AR218+AT218+AV218+AX218+AZ218+BB218+BD218))&gt;P_Tol,1,0),1))</f>
        <v/>
      </c>
      <c r="CV218" s="124" t="str">
        <f>IF($B218="","",IFERROR(IF(ABS(M218-(N218+O218+R218))&gt;P_Tol,1,0),1))</f>
        <v/>
      </c>
      <c r="CW218" s="124" t="str">
        <f>IF($B218="","",IF(COUNTIF(Mapping!$A$5:$A$104,B218)&gt;0,1,0))</f>
        <v/>
      </c>
      <c r="CX218" s="124" t="str">
        <f>IF($B218="","",COUNTIF($B$6:$B$505,B218))</f>
        <v/>
      </c>
      <c r="CY218" s="124" t="str">
        <f>IF($B218="","",COUNTIF(STG_Woningetalage!$B$6:$B$505,B218))</f>
        <v/>
      </c>
      <c r="CZ218" s="124" t="str">
        <f>IF($B218="","",IF(CW218=0,COUNTIF($CW$6:CW218,0),""))</f>
        <v/>
      </c>
    </row>
    <row r="219">
      <c r="A219" s="15" t="n">
        <v>215</v>
      </c>
      <c r="B219" t="str">
        <f>IF(B$3=0,"",IF(INDEX(SRC_ZPMW03!$A$1:$ZZ$501,$A219,B$3)&amp;""="","",INDEX(SRC_ZPMW03!$A$1:$ZZ$501,$A219,B$3)&amp;""))</f>
        <v/>
      </c>
      <c r="C219" t="str">
        <f>IF($B219="","",IF(C$3=0,"n.b.",INDEX(SRC_ZPMW03!$A$1:$ZZ$501,$A219,C$3)))</f>
        <v/>
      </c>
      <c r="D219" t="str">
        <f>IF($B219="","",IF(D$3=0,"n.b.",INDEX(SRC_ZPMW03!$A$1:$ZZ$501,$A219,D$3)))</f>
        <v/>
      </c>
      <c r="E219" t="str">
        <f>IF($B219="","",IF(E$3=0,"n.b.",INDEX(SRC_ZPMW03!$A$1:$ZZ$501,$A219,E$3)))</f>
        <v/>
      </c>
      <c r="F219" t="str">
        <f>IF($B219="","",IF(F$3=0,"n.b.",INDEX(SRC_ZPMW03!$A$1:$ZZ$501,$A219,F$3)))</f>
        <v/>
      </c>
      <c r="G219" t="str">
        <f>IF($B219="","",IF(G$3=0,"n.b.",INDEX(SRC_ZPMW03!$A$1:$ZZ$501,$A219,G$3)))</f>
        <v/>
      </c>
      <c r="H219" t="str">
        <f>IF($B219="","",IF(H$3=0,"n.b.",INDEX(SRC_ZPMW03!$A$1:$ZZ$501,$A219,H$3)))</f>
        <v/>
      </c>
      <c r="I219" t="str">
        <f>IF($B219="","",IF(I$3=0,"n.b.",INDEX(SRC_ZPMW03!$A$1:$ZZ$501,$A219,I$3)))</f>
        <v/>
      </c>
      <c r="J219" t="str">
        <f>IF($B219="","",IF(J$3=0,"n.b.",INDEX(SRC_ZPMW03!$A$1:$ZZ$501,$A219,J$3)))</f>
        <v/>
      </c>
      <c r="K219" t="str">
        <f>IF($B219="","",IF(K$3=0,"n.b.",INDEX(SRC_ZPMW03!$A$1:$ZZ$501,$A219,K$3)))</f>
        <v/>
      </c>
      <c r="L219" s="124" t="str">
        <f>IF($B219="","",IF(L$3=0,"n.b.",INDEX(SRC_ZPMW03!$A$1:$ZZ$501,$A219,L$3)))</f>
        <v/>
      </c>
      <c r="M219" s="124" t="str">
        <f>IF($B219="","",IF(M$3=0,"n.b.",INDEX(SRC_ZPMW03!$A$1:$ZZ$501,$A219,M$3)))</f>
        <v/>
      </c>
      <c r="N219" s="124" t="str">
        <f>IF($B219="","",IF(N$3=0,"n.b.",INDEX(SRC_ZPMW03!$A$1:$ZZ$501,$A219,N$3)))</f>
        <v/>
      </c>
      <c r="O219" s="124" t="str">
        <f>IF($B219="","",IF(O$3=0,"n.b.",INDEX(SRC_ZPMW03!$A$1:$ZZ$501,$A219,O$3)))</f>
        <v/>
      </c>
      <c r="P219" s="124" t="str">
        <f>IF($B219="","",IF(P$3=0,"n.b.",INDEX(SRC_ZPMW03!$A$1:$ZZ$501,$A219,P$3)))</f>
        <v/>
      </c>
      <c r="Q219" s="124" t="str">
        <f>IF($B219="","",IF(Q$3=0,"n.b.",INDEX(SRC_ZPMW03!$A$1:$ZZ$501,$A219,Q$3)))</f>
        <v/>
      </c>
      <c r="R219" s="124" t="str">
        <f>IF($B219="","",IF(R$3=0,"n.b.",INDEX(SRC_ZPMW03!$A$1:$ZZ$501,$A219,R$3)))</f>
        <v/>
      </c>
      <c r="S219" s="124" t="str">
        <f>IF($B219="","",IF(S$3=0,"n.b.",INDEX(SRC_ZPMW03!$A$1:$ZZ$501,$A219,S$3)))</f>
        <v/>
      </c>
      <c r="T219" s="124" t="str">
        <f>IF($B219="","",IF(T$3=0,"n.b.",INDEX(SRC_ZPMW03!$A$1:$ZZ$501,$A219,T$3)))</f>
        <v/>
      </c>
      <c r="U219" s="124" t="str">
        <f>IF($B219="","",IF(U$3=0,"n.b.",INDEX(SRC_ZPMW03!$A$1:$ZZ$501,$A219,U$3)))</f>
        <v/>
      </c>
      <c r="V219" s="124" t="str">
        <f>IF($B219="","",IF(V$3=0,"n.b.",INDEX(SRC_ZPMW03!$A$1:$ZZ$501,$A219,V$3)))</f>
        <v/>
      </c>
      <c r="W219" s="124" t="str">
        <f>IF($B219="","",IF(W$3=0,"n.b.",INDEX(SRC_ZPMW03!$A$1:$ZZ$501,$A219,W$3)))</f>
        <v/>
      </c>
      <c r="X219" s="124" t="str">
        <f>IF($B219="","",IF(X$3=0,"n.b.",INDEX(SRC_ZPMW03!$A$1:$ZZ$501,$A219,X$3)))</f>
        <v/>
      </c>
      <c r="Y219" s="124" t="str">
        <f>IF($B219="","",IF(Y$3=0,"n.b.",INDEX(SRC_ZPMW03!$A$1:$ZZ$501,$A219,Y$3)))</f>
        <v/>
      </c>
      <c r="Z219" s="124" t="str">
        <f>IF($B219="","",IF(Z$3=0,"n.b.",INDEX(SRC_ZPMW03!$A$1:$ZZ$501,$A219,Z$3)))</f>
        <v/>
      </c>
      <c r="AA219" s="124" t="str">
        <f>IF($B219="","",IF(AA$3=0,"n.b.",INDEX(SRC_ZPMW03!$A$1:$ZZ$501,$A219,AA$3)))</f>
        <v/>
      </c>
      <c r="AB219" s="124" t="str">
        <f>IF($B219="","",IF(AB$3=0,"n.b.",INDEX(SRC_ZPMW03!$A$1:$ZZ$501,$A219,AB$3)))</f>
        <v/>
      </c>
      <c r="AC219" s="124" t="str">
        <f>IF($B219="","",IF(AC$3=0,"n.b.",INDEX(SRC_ZPMW03!$A$1:$ZZ$501,$A219,AC$3)))</f>
        <v/>
      </c>
      <c r="AD219" s="124" t="str">
        <f>IF($B219="","",IF(AD$3=0,"n.b.",INDEX(SRC_ZPMW03!$A$1:$ZZ$501,$A219,AD$3)))</f>
        <v/>
      </c>
      <c r="AE219" s="124" t="str">
        <f>IF($B219="","",IF(AE$3=0,"n.b.",INDEX(SRC_ZPMW03!$A$1:$ZZ$501,$A219,AE$3)))</f>
        <v/>
      </c>
      <c r="AF219" s="124" t="str">
        <f>IF($B219="","",IF(AF$3=0,"n.b.",INDEX(SRC_ZPMW03!$A$1:$ZZ$501,$A219,AF$3)))</f>
        <v/>
      </c>
      <c r="AG219" s="124" t="str">
        <f>IF($B219="","",IF(AG$3=0,"n.b.",INDEX(SRC_ZPMW03!$A$1:$ZZ$501,$A219,AG$3)))</f>
        <v/>
      </c>
      <c r="AH219" s="124" t="str">
        <f>IF($B219="","",IF(AH$3=0,"n.b.",INDEX(SRC_ZPMW03!$A$1:$ZZ$501,$A219,AH$3)))</f>
        <v/>
      </c>
      <c r="AI219" s="124" t="str">
        <f>IF($B219="","",IF(AI$3=0,"n.b.",INDEX(SRC_ZPMW03!$A$1:$ZZ$501,$A219,AI$3)))</f>
        <v/>
      </c>
      <c r="AJ219" s="124" t="str">
        <f>IF($B219="","",IF(AJ$3=0,"n.b.",INDEX(SRC_ZPMW03!$A$1:$ZZ$501,$A219,AJ$3)))</f>
        <v/>
      </c>
      <c r="AK219" s="124" t="str">
        <f>IF($B219="","",IF(AK$3=0,"n.b.",INDEX(SRC_ZPMW03!$A$1:$ZZ$501,$A219,AK$3)))</f>
        <v/>
      </c>
      <c r="AL219" s="124" t="str">
        <f>IF($B219="","",IF(AL$3=0,"n.b.",INDEX(SRC_ZPMW03!$A$1:$ZZ$501,$A219,AL$3)))</f>
        <v/>
      </c>
      <c r="AM219" s="124" t="str">
        <f>IF($B219="","",IF(AM$3=0,"n.b.",INDEX(SRC_ZPMW03!$A$1:$ZZ$501,$A219,AM$3)))</f>
        <v/>
      </c>
      <c r="AN219" s="124" t="str">
        <f>IF($B219="","",IF(AN$3=0,"n.b.",INDEX(SRC_ZPMW03!$A$1:$ZZ$501,$A219,AN$3)))</f>
        <v/>
      </c>
      <c r="AO219" s="124" t="str">
        <f>IF($B219="","",IF(AO$3=0,"n.b.",INDEX(SRC_ZPMW03!$A$1:$ZZ$501,$A219,AO$3)))</f>
        <v/>
      </c>
      <c r="AP219" s="124" t="str">
        <f>IF($B219="","",IF(AP$3=0,"n.b.",INDEX(SRC_ZPMW03!$A$1:$ZZ$501,$A219,AP$3)))</f>
        <v/>
      </c>
      <c r="AQ219" s="124" t="str">
        <f>IF($B219="","",IF(AQ$3=0,"n.b.",INDEX(SRC_ZPMW03!$A$1:$ZZ$501,$A219,AQ$3)))</f>
        <v/>
      </c>
      <c r="AR219" s="124" t="str">
        <f>IF($B219="","",IF(AR$3=0,"n.b.",INDEX(SRC_ZPMW03!$A$1:$ZZ$501,$A219,AR$3)))</f>
        <v/>
      </c>
      <c r="AS219" s="124" t="str">
        <f>IF($B219="","",IF(AS$3=0,"n.b.",INDEX(SRC_ZPMW03!$A$1:$ZZ$501,$A219,AS$3)))</f>
        <v/>
      </c>
      <c r="AT219" s="124" t="str">
        <f>IF($B219="","",IF(AT$3=0,"n.b.",INDEX(SRC_ZPMW03!$A$1:$ZZ$501,$A219,AT$3)))</f>
        <v/>
      </c>
      <c r="AU219" s="124" t="str">
        <f>IF($B219="","",IF(AU$3=0,"n.b.",INDEX(SRC_ZPMW03!$A$1:$ZZ$501,$A219,AU$3)))</f>
        <v/>
      </c>
      <c r="AV219" s="124" t="str">
        <f>IF($B219="","",IF(AV$3=0,"n.b.",INDEX(SRC_ZPMW03!$A$1:$ZZ$501,$A219,AV$3)))</f>
        <v/>
      </c>
      <c r="AW219" s="124" t="str">
        <f>IF($B219="","",IF(AW$3=0,"n.b.",INDEX(SRC_ZPMW03!$A$1:$ZZ$501,$A219,AW$3)))</f>
        <v/>
      </c>
      <c r="AX219" s="124" t="str">
        <f>IF($B219="","",IF(AX$3=0,"n.b.",INDEX(SRC_ZPMW03!$A$1:$ZZ$501,$A219,AX$3)))</f>
        <v/>
      </c>
      <c r="AY219" s="124" t="str">
        <f>IF($B219="","",IF(AY$3=0,"n.b.",INDEX(SRC_ZPMW03!$A$1:$ZZ$501,$A219,AY$3)))</f>
        <v/>
      </c>
      <c r="AZ219" s="124" t="str">
        <f>IF($B219="","",IF(AZ$3=0,"n.b.",INDEX(SRC_ZPMW03!$A$1:$ZZ$501,$A219,AZ$3)))</f>
        <v/>
      </c>
      <c r="BA219" s="124" t="str">
        <f>IF($B219="","",IF(BA$3=0,"n.b.",INDEX(SRC_ZPMW03!$A$1:$ZZ$501,$A219,BA$3)))</f>
        <v/>
      </c>
      <c r="BB219" s="124" t="str">
        <f>IF($B219="","",IF(BB$3=0,"n.b.",INDEX(SRC_ZPMW03!$A$1:$ZZ$501,$A219,BB$3)))</f>
        <v/>
      </c>
      <c r="BC219" s="124" t="str">
        <f>IF($B219="","",IF(BC$3=0,"n.b.",INDEX(SRC_ZPMW03!$A$1:$ZZ$501,$A219,BC$3)))</f>
        <v/>
      </c>
      <c r="BD219" s="124" t="str">
        <f>IF($B219="","",IF(BD$3=0,"n.b.",INDEX(SRC_ZPMW03!$A$1:$ZZ$501,$A219,BD$3)))</f>
        <v/>
      </c>
      <c r="BE219" s="124" t="str">
        <f>IF($B219="","",IF(BE$3=0,"n.b.",INDEX(SRC_ZPMW03!$A$1:$ZZ$501,$A219,BE$3)))</f>
        <v/>
      </c>
      <c r="BF219" s="124" t="str">
        <f>IF($B219="","",IF(BF$3=0,"n.b.",INDEX(SRC_ZPMW03!$A$1:$ZZ$501,$A219,BF$3)))</f>
        <v/>
      </c>
      <c r="BG219" t="str">
        <f>IF($B219="","",IF(BG$3=0,"n.b.",INDEX(SRC_ZPMW03!$A$1:$ZZ$501,$A219,BG$3)))</f>
        <v/>
      </c>
      <c r="BH219" t="str">
        <f>IF($B219="","",IF(BH$3=0,"n.b.",INDEX(SRC_ZPMW03!$A$1:$ZZ$501,$A219,BH$3)))</f>
        <v/>
      </c>
      <c r="BI219" t="str">
        <f>IF($B219="","",IF(BI$3=0,"n.b.",INDEX(SRC_ZPMW03!$A$1:$ZZ$501,$A219,BI$3)))</f>
        <v/>
      </c>
      <c r="BJ219" t="str">
        <f>IF($B219="","",IF(BJ$3=0,"n.b.",INDEX(SRC_ZPMW03!$A$1:$ZZ$501,$A219,BJ$3)))</f>
        <v/>
      </c>
      <c r="BK219" s="124" t="str">
        <f>IF($B219="","",IFERROR(-O219,"n.b."))</f>
        <v/>
      </c>
      <c r="BL219" s="124" t="str">
        <f>IF($B219="","",IFERROR(-Q219,"n.b."))</f>
        <v/>
      </c>
      <c r="BM219" s="124" t="str">
        <f>IF($B219="","",IFERROR(-AB219,"n.b."))</f>
        <v/>
      </c>
      <c r="BN219" s="124" t="str">
        <f>IF($B219="","",IFERROR(-AD219,"n.b."))</f>
        <v/>
      </c>
      <c r="BO219" s="124" t="str">
        <f>IF($B219="","",IFERROR(BK219+BM219,"n.b."))</f>
        <v/>
      </c>
      <c r="BP219" s="124" t="str">
        <f>IF($B219="","",IFERROR(BL219+BN219,"n.b."))</f>
        <v/>
      </c>
      <c r="BQ219" s="124" t="str">
        <f>IF($B219="","",IFERROR(-AM219,"n.b."))</f>
        <v/>
      </c>
      <c r="BR219" s="124" t="str">
        <f>IF($B219="","",IFERROR(-AO219,"n.b."))</f>
        <v/>
      </c>
      <c r="BS219" s="124" t="str">
        <f>IF($B219="","",IFERROR(-Z219,"n.b."))</f>
        <v/>
      </c>
      <c r="BT219" s="124" t="str">
        <f>IF($B219="","",IFERROR(-AA219,"n.b."))</f>
        <v/>
      </c>
      <c r="BU219" s="124" t="str">
        <f>IF($B219="","",IFERROR(-AE219,"n.b."))</f>
        <v/>
      </c>
      <c r="BV219" s="124" t="str">
        <f>IF($B219="","",IFERROR(-AF219,"n.b."))</f>
        <v/>
      </c>
      <c r="BW219" s="124" t="str">
        <f>IF($B219="","",IFERROR(-AG219,"n.b."))</f>
        <v/>
      </c>
      <c r="BX219" s="124" t="str">
        <f>IF($B219="","",IFERROR(-AH219,"n.b."))</f>
        <v/>
      </c>
      <c r="BY219" s="124" t="str">
        <f>IF($B219="","",IFERROR(-AI219,"n.b."))</f>
        <v/>
      </c>
      <c r="BZ219" s="124" t="str">
        <f>IF($B219="","",IFERROR(-AJ219,"n.b."))</f>
        <v/>
      </c>
      <c r="CA219" s="124" t="str">
        <f>IF($B219="","",IFERROR(-AK219,"n.b."))</f>
        <v/>
      </c>
      <c r="CB219" s="124" t="str">
        <f>IF($B219="","",IFERROR(-AL219,"n.b."))</f>
        <v/>
      </c>
      <c r="CC219" s="124" t="str">
        <f>IF($B219="","",IFERROR(-AP219,"n.b."))</f>
        <v/>
      </c>
      <c r="CD219" s="124" t="str">
        <f>IF($B219="","",IFERROR(-AQ219,"n.b."))</f>
        <v/>
      </c>
      <c r="CE219" s="124" t="str">
        <f>IF($B219="","",IFERROR(-AR219,"n.b."))</f>
        <v/>
      </c>
      <c r="CF219" s="124" t="str">
        <f>IF($B219="","",IFERROR(-AS219,"n.b."))</f>
        <v/>
      </c>
      <c r="CG219" s="124" t="str">
        <f>IF($B219="","",IFERROR(-AT219,"n.b."))</f>
        <v/>
      </c>
      <c r="CH219" s="124" t="str">
        <f>IF($B219="","",IFERROR(-AU219,"n.b."))</f>
        <v/>
      </c>
      <c r="CI219" s="124" t="str">
        <f>IF($B219="","",IFERROR(-AV219,"n.b."))</f>
        <v/>
      </c>
      <c r="CJ219" s="124" t="str">
        <f>IF($B219="","",IFERROR(-AW219,"n.b."))</f>
        <v/>
      </c>
      <c r="CK219" s="124" t="str">
        <f>IF($B219="","",IFERROR(-AX219,"n.b."))</f>
        <v/>
      </c>
      <c r="CL219" s="124" t="str">
        <f>IF($B219="","",IFERROR(-AY219,"n.b."))</f>
        <v/>
      </c>
      <c r="CM219" s="124" t="str">
        <f>IF($B219="","",IFERROR(-AZ219,"n.b."))</f>
        <v/>
      </c>
      <c r="CN219" s="124" t="str">
        <f>IF($B219="","",IFERROR(-BA219,"n.b."))</f>
        <v/>
      </c>
      <c r="CO219" s="124" t="str">
        <f>IF($B219="","",IFERROR(-BB219,"n.b."))</f>
        <v/>
      </c>
      <c r="CP219" s="124" t="str">
        <f>IF($B219="","",IFERROR(-BC219,"n.b."))</f>
        <v/>
      </c>
      <c r="CQ219" s="124" t="str">
        <f>IF($B219="","",IFERROR(-BD219,"n.b."))</f>
        <v/>
      </c>
      <c r="CR219" s="124" t="str">
        <f>IF($B219="","",IFERROR(-BE219,"n.b."))</f>
        <v/>
      </c>
      <c r="CS219" s="124" t="str">
        <f>IF($B219="","",IFERROR(IF(OR(ABS(T219+V219+X219+Z219-AB219)&gt;P_Tol,ABS(U219+W219+Y219+AA219-AD219)&gt;P_Tol,ABS(AE219+AG219+AI219+AK219-AM219)&gt;P_Tol,ABS(AF219+AH219+AJ219+AL219-AO219)&gt;P_Tol),1,0),1))</f>
        <v/>
      </c>
      <c r="CT219" s="124" t="str">
        <f>IF($B219="","",IFERROR(IF(OR(ABS(AB219+AC219-AD219)&gt;P_Tol,ABS(AM219+AN219-AO219)&gt;P_Tol,ABS(O219+P219-Q219)&gt;P_Tol),1,0),1))</f>
        <v/>
      </c>
      <c r="CU219" s="124" t="str">
        <f>IF($B219="","",IFERROR(IF(ABS(R219-(AB219+AM219+AP219+AR219+AT219+AV219+AX219+AZ219+BB219+BD219))&gt;P_Tol,1,0),1))</f>
        <v/>
      </c>
      <c r="CV219" s="124" t="str">
        <f>IF($B219="","",IFERROR(IF(ABS(M219-(N219+O219+R219))&gt;P_Tol,1,0),1))</f>
        <v/>
      </c>
      <c r="CW219" s="124" t="str">
        <f>IF($B219="","",IF(COUNTIF(Mapping!$A$5:$A$104,B219)&gt;0,1,0))</f>
        <v/>
      </c>
      <c r="CX219" s="124" t="str">
        <f>IF($B219="","",COUNTIF($B$6:$B$505,B219))</f>
        <v/>
      </c>
      <c r="CY219" s="124" t="str">
        <f>IF($B219="","",COUNTIF(STG_Woningetalage!$B$6:$B$505,B219))</f>
        <v/>
      </c>
      <c r="CZ219" s="124" t="str">
        <f>IF($B219="","",IF(CW219=0,COUNTIF($CW$6:CW219,0),""))</f>
        <v/>
      </c>
    </row>
    <row r="220">
      <c r="A220" s="15" t="n">
        <v>216</v>
      </c>
      <c r="B220" t="str">
        <f>IF(B$3=0,"",IF(INDEX(SRC_ZPMW03!$A$1:$ZZ$501,$A220,B$3)&amp;""="","",INDEX(SRC_ZPMW03!$A$1:$ZZ$501,$A220,B$3)&amp;""))</f>
        <v/>
      </c>
      <c r="C220" t="str">
        <f>IF($B220="","",IF(C$3=0,"n.b.",INDEX(SRC_ZPMW03!$A$1:$ZZ$501,$A220,C$3)))</f>
        <v/>
      </c>
      <c r="D220" t="str">
        <f>IF($B220="","",IF(D$3=0,"n.b.",INDEX(SRC_ZPMW03!$A$1:$ZZ$501,$A220,D$3)))</f>
        <v/>
      </c>
      <c r="E220" t="str">
        <f>IF($B220="","",IF(E$3=0,"n.b.",INDEX(SRC_ZPMW03!$A$1:$ZZ$501,$A220,E$3)))</f>
        <v/>
      </c>
      <c r="F220" t="str">
        <f>IF($B220="","",IF(F$3=0,"n.b.",INDEX(SRC_ZPMW03!$A$1:$ZZ$501,$A220,F$3)))</f>
        <v/>
      </c>
      <c r="G220" t="str">
        <f>IF($B220="","",IF(G$3=0,"n.b.",INDEX(SRC_ZPMW03!$A$1:$ZZ$501,$A220,G$3)))</f>
        <v/>
      </c>
      <c r="H220" t="str">
        <f>IF($B220="","",IF(H$3=0,"n.b.",INDEX(SRC_ZPMW03!$A$1:$ZZ$501,$A220,H$3)))</f>
        <v/>
      </c>
      <c r="I220" t="str">
        <f>IF($B220="","",IF(I$3=0,"n.b.",INDEX(SRC_ZPMW03!$A$1:$ZZ$501,$A220,I$3)))</f>
        <v/>
      </c>
      <c r="J220" t="str">
        <f>IF($B220="","",IF(J$3=0,"n.b.",INDEX(SRC_ZPMW03!$A$1:$ZZ$501,$A220,J$3)))</f>
        <v/>
      </c>
      <c r="K220" t="str">
        <f>IF($B220="","",IF(K$3=0,"n.b.",INDEX(SRC_ZPMW03!$A$1:$ZZ$501,$A220,K$3)))</f>
        <v/>
      </c>
      <c r="L220" s="124" t="str">
        <f>IF($B220="","",IF(L$3=0,"n.b.",INDEX(SRC_ZPMW03!$A$1:$ZZ$501,$A220,L$3)))</f>
        <v/>
      </c>
      <c r="M220" s="124" t="str">
        <f>IF($B220="","",IF(M$3=0,"n.b.",INDEX(SRC_ZPMW03!$A$1:$ZZ$501,$A220,M$3)))</f>
        <v/>
      </c>
      <c r="N220" s="124" t="str">
        <f>IF($B220="","",IF(N$3=0,"n.b.",INDEX(SRC_ZPMW03!$A$1:$ZZ$501,$A220,N$3)))</f>
        <v/>
      </c>
      <c r="O220" s="124" t="str">
        <f>IF($B220="","",IF(O$3=0,"n.b.",INDEX(SRC_ZPMW03!$A$1:$ZZ$501,$A220,O$3)))</f>
        <v/>
      </c>
      <c r="P220" s="124" t="str">
        <f>IF($B220="","",IF(P$3=0,"n.b.",INDEX(SRC_ZPMW03!$A$1:$ZZ$501,$A220,P$3)))</f>
        <v/>
      </c>
      <c r="Q220" s="124" t="str">
        <f>IF($B220="","",IF(Q$3=0,"n.b.",INDEX(SRC_ZPMW03!$A$1:$ZZ$501,$A220,Q$3)))</f>
        <v/>
      </c>
      <c r="R220" s="124" t="str">
        <f>IF($B220="","",IF(R$3=0,"n.b.",INDEX(SRC_ZPMW03!$A$1:$ZZ$501,$A220,R$3)))</f>
        <v/>
      </c>
      <c r="S220" s="124" t="str">
        <f>IF($B220="","",IF(S$3=0,"n.b.",INDEX(SRC_ZPMW03!$A$1:$ZZ$501,$A220,S$3)))</f>
        <v/>
      </c>
      <c r="T220" s="124" t="str">
        <f>IF($B220="","",IF(T$3=0,"n.b.",INDEX(SRC_ZPMW03!$A$1:$ZZ$501,$A220,T$3)))</f>
        <v/>
      </c>
      <c r="U220" s="124" t="str">
        <f>IF($B220="","",IF(U$3=0,"n.b.",INDEX(SRC_ZPMW03!$A$1:$ZZ$501,$A220,U$3)))</f>
        <v/>
      </c>
      <c r="V220" s="124" t="str">
        <f>IF($B220="","",IF(V$3=0,"n.b.",INDEX(SRC_ZPMW03!$A$1:$ZZ$501,$A220,V$3)))</f>
        <v/>
      </c>
      <c r="W220" s="124" t="str">
        <f>IF($B220="","",IF(W$3=0,"n.b.",INDEX(SRC_ZPMW03!$A$1:$ZZ$501,$A220,W$3)))</f>
        <v/>
      </c>
      <c r="X220" s="124" t="str">
        <f>IF($B220="","",IF(X$3=0,"n.b.",INDEX(SRC_ZPMW03!$A$1:$ZZ$501,$A220,X$3)))</f>
        <v/>
      </c>
      <c r="Y220" s="124" t="str">
        <f>IF($B220="","",IF(Y$3=0,"n.b.",INDEX(SRC_ZPMW03!$A$1:$ZZ$501,$A220,Y$3)))</f>
        <v/>
      </c>
      <c r="Z220" s="124" t="str">
        <f>IF($B220="","",IF(Z$3=0,"n.b.",INDEX(SRC_ZPMW03!$A$1:$ZZ$501,$A220,Z$3)))</f>
        <v/>
      </c>
      <c r="AA220" s="124" t="str">
        <f>IF($B220="","",IF(AA$3=0,"n.b.",INDEX(SRC_ZPMW03!$A$1:$ZZ$501,$A220,AA$3)))</f>
        <v/>
      </c>
      <c r="AB220" s="124" t="str">
        <f>IF($B220="","",IF(AB$3=0,"n.b.",INDEX(SRC_ZPMW03!$A$1:$ZZ$501,$A220,AB$3)))</f>
        <v/>
      </c>
      <c r="AC220" s="124" t="str">
        <f>IF($B220="","",IF(AC$3=0,"n.b.",INDEX(SRC_ZPMW03!$A$1:$ZZ$501,$A220,AC$3)))</f>
        <v/>
      </c>
      <c r="AD220" s="124" t="str">
        <f>IF($B220="","",IF(AD$3=0,"n.b.",INDEX(SRC_ZPMW03!$A$1:$ZZ$501,$A220,AD$3)))</f>
        <v/>
      </c>
      <c r="AE220" s="124" t="str">
        <f>IF($B220="","",IF(AE$3=0,"n.b.",INDEX(SRC_ZPMW03!$A$1:$ZZ$501,$A220,AE$3)))</f>
        <v/>
      </c>
      <c r="AF220" s="124" t="str">
        <f>IF($B220="","",IF(AF$3=0,"n.b.",INDEX(SRC_ZPMW03!$A$1:$ZZ$501,$A220,AF$3)))</f>
        <v/>
      </c>
      <c r="AG220" s="124" t="str">
        <f>IF($B220="","",IF(AG$3=0,"n.b.",INDEX(SRC_ZPMW03!$A$1:$ZZ$501,$A220,AG$3)))</f>
        <v/>
      </c>
      <c r="AH220" s="124" t="str">
        <f>IF($B220="","",IF(AH$3=0,"n.b.",INDEX(SRC_ZPMW03!$A$1:$ZZ$501,$A220,AH$3)))</f>
        <v/>
      </c>
      <c r="AI220" s="124" t="str">
        <f>IF($B220="","",IF(AI$3=0,"n.b.",INDEX(SRC_ZPMW03!$A$1:$ZZ$501,$A220,AI$3)))</f>
        <v/>
      </c>
      <c r="AJ220" s="124" t="str">
        <f>IF($B220="","",IF(AJ$3=0,"n.b.",INDEX(SRC_ZPMW03!$A$1:$ZZ$501,$A220,AJ$3)))</f>
        <v/>
      </c>
      <c r="AK220" s="124" t="str">
        <f>IF($B220="","",IF(AK$3=0,"n.b.",INDEX(SRC_ZPMW03!$A$1:$ZZ$501,$A220,AK$3)))</f>
        <v/>
      </c>
      <c r="AL220" s="124" t="str">
        <f>IF($B220="","",IF(AL$3=0,"n.b.",INDEX(SRC_ZPMW03!$A$1:$ZZ$501,$A220,AL$3)))</f>
        <v/>
      </c>
      <c r="AM220" s="124" t="str">
        <f>IF($B220="","",IF(AM$3=0,"n.b.",INDEX(SRC_ZPMW03!$A$1:$ZZ$501,$A220,AM$3)))</f>
        <v/>
      </c>
      <c r="AN220" s="124" t="str">
        <f>IF($B220="","",IF(AN$3=0,"n.b.",INDEX(SRC_ZPMW03!$A$1:$ZZ$501,$A220,AN$3)))</f>
        <v/>
      </c>
      <c r="AO220" s="124" t="str">
        <f>IF($B220="","",IF(AO$3=0,"n.b.",INDEX(SRC_ZPMW03!$A$1:$ZZ$501,$A220,AO$3)))</f>
        <v/>
      </c>
      <c r="AP220" s="124" t="str">
        <f>IF($B220="","",IF(AP$3=0,"n.b.",INDEX(SRC_ZPMW03!$A$1:$ZZ$501,$A220,AP$3)))</f>
        <v/>
      </c>
      <c r="AQ220" s="124" t="str">
        <f>IF($B220="","",IF(AQ$3=0,"n.b.",INDEX(SRC_ZPMW03!$A$1:$ZZ$501,$A220,AQ$3)))</f>
        <v/>
      </c>
      <c r="AR220" s="124" t="str">
        <f>IF($B220="","",IF(AR$3=0,"n.b.",INDEX(SRC_ZPMW03!$A$1:$ZZ$501,$A220,AR$3)))</f>
        <v/>
      </c>
      <c r="AS220" s="124" t="str">
        <f>IF($B220="","",IF(AS$3=0,"n.b.",INDEX(SRC_ZPMW03!$A$1:$ZZ$501,$A220,AS$3)))</f>
        <v/>
      </c>
      <c r="AT220" s="124" t="str">
        <f>IF($B220="","",IF(AT$3=0,"n.b.",INDEX(SRC_ZPMW03!$A$1:$ZZ$501,$A220,AT$3)))</f>
        <v/>
      </c>
      <c r="AU220" s="124" t="str">
        <f>IF($B220="","",IF(AU$3=0,"n.b.",INDEX(SRC_ZPMW03!$A$1:$ZZ$501,$A220,AU$3)))</f>
        <v/>
      </c>
      <c r="AV220" s="124" t="str">
        <f>IF($B220="","",IF(AV$3=0,"n.b.",INDEX(SRC_ZPMW03!$A$1:$ZZ$501,$A220,AV$3)))</f>
        <v/>
      </c>
      <c r="AW220" s="124" t="str">
        <f>IF($B220="","",IF(AW$3=0,"n.b.",INDEX(SRC_ZPMW03!$A$1:$ZZ$501,$A220,AW$3)))</f>
        <v/>
      </c>
      <c r="AX220" s="124" t="str">
        <f>IF($B220="","",IF(AX$3=0,"n.b.",INDEX(SRC_ZPMW03!$A$1:$ZZ$501,$A220,AX$3)))</f>
        <v/>
      </c>
      <c r="AY220" s="124" t="str">
        <f>IF($B220="","",IF(AY$3=0,"n.b.",INDEX(SRC_ZPMW03!$A$1:$ZZ$501,$A220,AY$3)))</f>
        <v/>
      </c>
      <c r="AZ220" s="124" t="str">
        <f>IF($B220="","",IF(AZ$3=0,"n.b.",INDEX(SRC_ZPMW03!$A$1:$ZZ$501,$A220,AZ$3)))</f>
        <v/>
      </c>
      <c r="BA220" s="124" t="str">
        <f>IF($B220="","",IF(BA$3=0,"n.b.",INDEX(SRC_ZPMW03!$A$1:$ZZ$501,$A220,BA$3)))</f>
        <v/>
      </c>
      <c r="BB220" s="124" t="str">
        <f>IF($B220="","",IF(BB$3=0,"n.b.",INDEX(SRC_ZPMW03!$A$1:$ZZ$501,$A220,BB$3)))</f>
        <v/>
      </c>
      <c r="BC220" s="124" t="str">
        <f>IF($B220="","",IF(BC$3=0,"n.b.",INDEX(SRC_ZPMW03!$A$1:$ZZ$501,$A220,BC$3)))</f>
        <v/>
      </c>
      <c r="BD220" s="124" t="str">
        <f>IF($B220="","",IF(BD$3=0,"n.b.",INDEX(SRC_ZPMW03!$A$1:$ZZ$501,$A220,BD$3)))</f>
        <v/>
      </c>
      <c r="BE220" s="124" t="str">
        <f>IF($B220="","",IF(BE$3=0,"n.b.",INDEX(SRC_ZPMW03!$A$1:$ZZ$501,$A220,BE$3)))</f>
        <v/>
      </c>
      <c r="BF220" s="124" t="str">
        <f>IF($B220="","",IF(BF$3=0,"n.b.",INDEX(SRC_ZPMW03!$A$1:$ZZ$501,$A220,BF$3)))</f>
        <v/>
      </c>
      <c r="BG220" t="str">
        <f>IF($B220="","",IF(BG$3=0,"n.b.",INDEX(SRC_ZPMW03!$A$1:$ZZ$501,$A220,BG$3)))</f>
        <v/>
      </c>
      <c r="BH220" t="str">
        <f>IF($B220="","",IF(BH$3=0,"n.b.",INDEX(SRC_ZPMW03!$A$1:$ZZ$501,$A220,BH$3)))</f>
        <v/>
      </c>
      <c r="BI220" t="str">
        <f>IF($B220="","",IF(BI$3=0,"n.b.",INDEX(SRC_ZPMW03!$A$1:$ZZ$501,$A220,BI$3)))</f>
        <v/>
      </c>
      <c r="BJ220" t="str">
        <f>IF($B220="","",IF(BJ$3=0,"n.b.",INDEX(SRC_ZPMW03!$A$1:$ZZ$501,$A220,BJ$3)))</f>
        <v/>
      </c>
      <c r="BK220" s="124" t="str">
        <f>IF($B220="","",IFERROR(-O220,"n.b."))</f>
        <v/>
      </c>
      <c r="BL220" s="124" t="str">
        <f>IF($B220="","",IFERROR(-Q220,"n.b."))</f>
        <v/>
      </c>
      <c r="BM220" s="124" t="str">
        <f>IF($B220="","",IFERROR(-AB220,"n.b."))</f>
        <v/>
      </c>
      <c r="BN220" s="124" t="str">
        <f>IF($B220="","",IFERROR(-AD220,"n.b."))</f>
        <v/>
      </c>
      <c r="BO220" s="124" t="str">
        <f>IF($B220="","",IFERROR(BK220+BM220,"n.b."))</f>
        <v/>
      </c>
      <c r="BP220" s="124" t="str">
        <f>IF($B220="","",IFERROR(BL220+BN220,"n.b."))</f>
        <v/>
      </c>
      <c r="BQ220" s="124" t="str">
        <f>IF($B220="","",IFERROR(-AM220,"n.b."))</f>
        <v/>
      </c>
      <c r="BR220" s="124" t="str">
        <f>IF($B220="","",IFERROR(-AO220,"n.b."))</f>
        <v/>
      </c>
      <c r="BS220" s="124" t="str">
        <f>IF($B220="","",IFERROR(-Z220,"n.b."))</f>
        <v/>
      </c>
      <c r="BT220" s="124" t="str">
        <f>IF($B220="","",IFERROR(-AA220,"n.b."))</f>
        <v/>
      </c>
      <c r="BU220" s="124" t="str">
        <f>IF($B220="","",IFERROR(-AE220,"n.b."))</f>
        <v/>
      </c>
      <c r="BV220" s="124" t="str">
        <f>IF($B220="","",IFERROR(-AF220,"n.b."))</f>
        <v/>
      </c>
      <c r="BW220" s="124" t="str">
        <f>IF($B220="","",IFERROR(-AG220,"n.b."))</f>
        <v/>
      </c>
      <c r="BX220" s="124" t="str">
        <f>IF($B220="","",IFERROR(-AH220,"n.b."))</f>
        <v/>
      </c>
      <c r="BY220" s="124" t="str">
        <f>IF($B220="","",IFERROR(-AI220,"n.b."))</f>
        <v/>
      </c>
      <c r="BZ220" s="124" t="str">
        <f>IF($B220="","",IFERROR(-AJ220,"n.b."))</f>
        <v/>
      </c>
      <c r="CA220" s="124" t="str">
        <f>IF($B220="","",IFERROR(-AK220,"n.b."))</f>
        <v/>
      </c>
      <c r="CB220" s="124" t="str">
        <f>IF($B220="","",IFERROR(-AL220,"n.b."))</f>
        <v/>
      </c>
      <c r="CC220" s="124" t="str">
        <f>IF($B220="","",IFERROR(-AP220,"n.b."))</f>
        <v/>
      </c>
      <c r="CD220" s="124" t="str">
        <f>IF($B220="","",IFERROR(-AQ220,"n.b."))</f>
        <v/>
      </c>
      <c r="CE220" s="124" t="str">
        <f>IF($B220="","",IFERROR(-AR220,"n.b."))</f>
        <v/>
      </c>
      <c r="CF220" s="124" t="str">
        <f>IF($B220="","",IFERROR(-AS220,"n.b."))</f>
        <v/>
      </c>
      <c r="CG220" s="124" t="str">
        <f>IF($B220="","",IFERROR(-AT220,"n.b."))</f>
        <v/>
      </c>
      <c r="CH220" s="124" t="str">
        <f>IF($B220="","",IFERROR(-AU220,"n.b."))</f>
        <v/>
      </c>
      <c r="CI220" s="124" t="str">
        <f>IF($B220="","",IFERROR(-AV220,"n.b."))</f>
        <v/>
      </c>
      <c r="CJ220" s="124" t="str">
        <f>IF($B220="","",IFERROR(-AW220,"n.b."))</f>
        <v/>
      </c>
      <c r="CK220" s="124" t="str">
        <f>IF($B220="","",IFERROR(-AX220,"n.b."))</f>
        <v/>
      </c>
      <c r="CL220" s="124" t="str">
        <f>IF($B220="","",IFERROR(-AY220,"n.b."))</f>
        <v/>
      </c>
      <c r="CM220" s="124" t="str">
        <f>IF($B220="","",IFERROR(-AZ220,"n.b."))</f>
        <v/>
      </c>
      <c r="CN220" s="124" t="str">
        <f>IF($B220="","",IFERROR(-BA220,"n.b."))</f>
        <v/>
      </c>
      <c r="CO220" s="124" t="str">
        <f>IF($B220="","",IFERROR(-BB220,"n.b."))</f>
        <v/>
      </c>
      <c r="CP220" s="124" t="str">
        <f>IF($B220="","",IFERROR(-BC220,"n.b."))</f>
        <v/>
      </c>
      <c r="CQ220" s="124" t="str">
        <f>IF($B220="","",IFERROR(-BD220,"n.b."))</f>
        <v/>
      </c>
      <c r="CR220" s="124" t="str">
        <f>IF($B220="","",IFERROR(-BE220,"n.b."))</f>
        <v/>
      </c>
      <c r="CS220" s="124" t="str">
        <f>IF($B220="","",IFERROR(IF(OR(ABS(T220+V220+X220+Z220-AB220)&gt;P_Tol,ABS(U220+W220+Y220+AA220-AD220)&gt;P_Tol,ABS(AE220+AG220+AI220+AK220-AM220)&gt;P_Tol,ABS(AF220+AH220+AJ220+AL220-AO220)&gt;P_Tol),1,0),1))</f>
        <v/>
      </c>
      <c r="CT220" s="124" t="str">
        <f>IF($B220="","",IFERROR(IF(OR(ABS(AB220+AC220-AD220)&gt;P_Tol,ABS(AM220+AN220-AO220)&gt;P_Tol,ABS(O220+P220-Q220)&gt;P_Tol),1,0),1))</f>
        <v/>
      </c>
      <c r="CU220" s="124" t="str">
        <f>IF($B220="","",IFERROR(IF(ABS(R220-(AB220+AM220+AP220+AR220+AT220+AV220+AX220+AZ220+BB220+BD220))&gt;P_Tol,1,0),1))</f>
        <v/>
      </c>
      <c r="CV220" s="124" t="str">
        <f>IF($B220="","",IFERROR(IF(ABS(M220-(N220+O220+R220))&gt;P_Tol,1,0),1))</f>
        <v/>
      </c>
      <c r="CW220" s="124" t="str">
        <f>IF($B220="","",IF(COUNTIF(Mapping!$A$5:$A$104,B220)&gt;0,1,0))</f>
        <v/>
      </c>
      <c r="CX220" s="124" t="str">
        <f>IF($B220="","",COUNTIF($B$6:$B$505,B220))</f>
        <v/>
      </c>
      <c r="CY220" s="124" t="str">
        <f>IF($B220="","",COUNTIF(STG_Woningetalage!$B$6:$B$505,B220))</f>
        <v/>
      </c>
      <c r="CZ220" s="124" t="str">
        <f>IF($B220="","",IF(CW220=0,COUNTIF($CW$6:CW220,0),""))</f>
        <v/>
      </c>
    </row>
    <row r="221">
      <c r="A221" s="15" t="n">
        <v>217</v>
      </c>
      <c r="B221" t="str">
        <f>IF(B$3=0,"",IF(INDEX(SRC_ZPMW03!$A$1:$ZZ$501,$A221,B$3)&amp;""="","",INDEX(SRC_ZPMW03!$A$1:$ZZ$501,$A221,B$3)&amp;""))</f>
        <v/>
      </c>
      <c r="C221" t="str">
        <f>IF($B221="","",IF(C$3=0,"n.b.",INDEX(SRC_ZPMW03!$A$1:$ZZ$501,$A221,C$3)))</f>
        <v/>
      </c>
      <c r="D221" t="str">
        <f>IF($B221="","",IF(D$3=0,"n.b.",INDEX(SRC_ZPMW03!$A$1:$ZZ$501,$A221,D$3)))</f>
        <v/>
      </c>
      <c r="E221" t="str">
        <f>IF($B221="","",IF(E$3=0,"n.b.",INDEX(SRC_ZPMW03!$A$1:$ZZ$501,$A221,E$3)))</f>
        <v/>
      </c>
      <c r="F221" t="str">
        <f>IF($B221="","",IF(F$3=0,"n.b.",INDEX(SRC_ZPMW03!$A$1:$ZZ$501,$A221,F$3)))</f>
        <v/>
      </c>
      <c r="G221" t="str">
        <f>IF($B221="","",IF(G$3=0,"n.b.",INDEX(SRC_ZPMW03!$A$1:$ZZ$501,$A221,G$3)))</f>
        <v/>
      </c>
      <c r="H221" t="str">
        <f>IF($B221="","",IF(H$3=0,"n.b.",INDEX(SRC_ZPMW03!$A$1:$ZZ$501,$A221,H$3)))</f>
        <v/>
      </c>
      <c r="I221" t="str">
        <f>IF($B221="","",IF(I$3=0,"n.b.",INDEX(SRC_ZPMW03!$A$1:$ZZ$501,$A221,I$3)))</f>
        <v/>
      </c>
      <c r="J221" t="str">
        <f>IF($B221="","",IF(J$3=0,"n.b.",INDEX(SRC_ZPMW03!$A$1:$ZZ$501,$A221,J$3)))</f>
        <v/>
      </c>
      <c r="K221" t="str">
        <f>IF($B221="","",IF(K$3=0,"n.b.",INDEX(SRC_ZPMW03!$A$1:$ZZ$501,$A221,K$3)))</f>
        <v/>
      </c>
      <c r="L221" s="124" t="str">
        <f>IF($B221="","",IF(L$3=0,"n.b.",INDEX(SRC_ZPMW03!$A$1:$ZZ$501,$A221,L$3)))</f>
        <v/>
      </c>
      <c r="M221" s="124" t="str">
        <f>IF($B221="","",IF(M$3=0,"n.b.",INDEX(SRC_ZPMW03!$A$1:$ZZ$501,$A221,M$3)))</f>
        <v/>
      </c>
      <c r="N221" s="124" t="str">
        <f>IF($B221="","",IF(N$3=0,"n.b.",INDEX(SRC_ZPMW03!$A$1:$ZZ$501,$A221,N$3)))</f>
        <v/>
      </c>
      <c r="O221" s="124" t="str">
        <f>IF($B221="","",IF(O$3=0,"n.b.",INDEX(SRC_ZPMW03!$A$1:$ZZ$501,$A221,O$3)))</f>
        <v/>
      </c>
      <c r="P221" s="124" t="str">
        <f>IF($B221="","",IF(P$3=0,"n.b.",INDEX(SRC_ZPMW03!$A$1:$ZZ$501,$A221,P$3)))</f>
        <v/>
      </c>
      <c r="Q221" s="124" t="str">
        <f>IF($B221="","",IF(Q$3=0,"n.b.",INDEX(SRC_ZPMW03!$A$1:$ZZ$501,$A221,Q$3)))</f>
        <v/>
      </c>
      <c r="R221" s="124" t="str">
        <f>IF($B221="","",IF(R$3=0,"n.b.",INDEX(SRC_ZPMW03!$A$1:$ZZ$501,$A221,R$3)))</f>
        <v/>
      </c>
      <c r="S221" s="124" t="str">
        <f>IF($B221="","",IF(S$3=0,"n.b.",INDEX(SRC_ZPMW03!$A$1:$ZZ$501,$A221,S$3)))</f>
        <v/>
      </c>
      <c r="T221" s="124" t="str">
        <f>IF($B221="","",IF(T$3=0,"n.b.",INDEX(SRC_ZPMW03!$A$1:$ZZ$501,$A221,T$3)))</f>
        <v/>
      </c>
      <c r="U221" s="124" t="str">
        <f>IF($B221="","",IF(U$3=0,"n.b.",INDEX(SRC_ZPMW03!$A$1:$ZZ$501,$A221,U$3)))</f>
        <v/>
      </c>
      <c r="V221" s="124" t="str">
        <f>IF($B221="","",IF(V$3=0,"n.b.",INDEX(SRC_ZPMW03!$A$1:$ZZ$501,$A221,V$3)))</f>
        <v/>
      </c>
      <c r="W221" s="124" t="str">
        <f>IF($B221="","",IF(W$3=0,"n.b.",INDEX(SRC_ZPMW03!$A$1:$ZZ$501,$A221,W$3)))</f>
        <v/>
      </c>
      <c r="X221" s="124" t="str">
        <f>IF($B221="","",IF(X$3=0,"n.b.",INDEX(SRC_ZPMW03!$A$1:$ZZ$501,$A221,X$3)))</f>
        <v/>
      </c>
      <c r="Y221" s="124" t="str">
        <f>IF($B221="","",IF(Y$3=0,"n.b.",INDEX(SRC_ZPMW03!$A$1:$ZZ$501,$A221,Y$3)))</f>
        <v/>
      </c>
      <c r="Z221" s="124" t="str">
        <f>IF($B221="","",IF(Z$3=0,"n.b.",INDEX(SRC_ZPMW03!$A$1:$ZZ$501,$A221,Z$3)))</f>
        <v/>
      </c>
      <c r="AA221" s="124" t="str">
        <f>IF($B221="","",IF(AA$3=0,"n.b.",INDEX(SRC_ZPMW03!$A$1:$ZZ$501,$A221,AA$3)))</f>
        <v/>
      </c>
      <c r="AB221" s="124" t="str">
        <f>IF($B221="","",IF(AB$3=0,"n.b.",INDEX(SRC_ZPMW03!$A$1:$ZZ$501,$A221,AB$3)))</f>
        <v/>
      </c>
      <c r="AC221" s="124" t="str">
        <f>IF($B221="","",IF(AC$3=0,"n.b.",INDEX(SRC_ZPMW03!$A$1:$ZZ$501,$A221,AC$3)))</f>
        <v/>
      </c>
      <c r="AD221" s="124" t="str">
        <f>IF($B221="","",IF(AD$3=0,"n.b.",INDEX(SRC_ZPMW03!$A$1:$ZZ$501,$A221,AD$3)))</f>
        <v/>
      </c>
      <c r="AE221" s="124" t="str">
        <f>IF($B221="","",IF(AE$3=0,"n.b.",INDEX(SRC_ZPMW03!$A$1:$ZZ$501,$A221,AE$3)))</f>
        <v/>
      </c>
      <c r="AF221" s="124" t="str">
        <f>IF($B221="","",IF(AF$3=0,"n.b.",INDEX(SRC_ZPMW03!$A$1:$ZZ$501,$A221,AF$3)))</f>
        <v/>
      </c>
      <c r="AG221" s="124" t="str">
        <f>IF($B221="","",IF(AG$3=0,"n.b.",INDEX(SRC_ZPMW03!$A$1:$ZZ$501,$A221,AG$3)))</f>
        <v/>
      </c>
      <c r="AH221" s="124" t="str">
        <f>IF($B221="","",IF(AH$3=0,"n.b.",INDEX(SRC_ZPMW03!$A$1:$ZZ$501,$A221,AH$3)))</f>
        <v/>
      </c>
      <c r="AI221" s="124" t="str">
        <f>IF($B221="","",IF(AI$3=0,"n.b.",INDEX(SRC_ZPMW03!$A$1:$ZZ$501,$A221,AI$3)))</f>
        <v/>
      </c>
      <c r="AJ221" s="124" t="str">
        <f>IF($B221="","",IF(AJ$3=0,"n.b.",INDEX(SRC_ZPMW03!$A$1:$ZZ$501,$A221,AJ$3)))</f>
        <v/>
      </c>
      <c r="AK221" s="124" t="str">
        <f>IF($B221="","",IF(AK$3=0,"n.b.",INDEX(SRC_ZPMW03!$A$1:$ZZ$501,$A221,AK$3)))</f>
        <v/>
      </c>
      <c r="AL221" s="124" t="str">
        <f>IF($B221="","",IF(AL$3=0,"n.b.",INDEX(SRC_ZPMW03!$A$1:$ZZ$501,$A221,AL$3)))</f>
        <v/>
      </c>
      <c r="AM221" s="124" t="str">
        <f>IF($B221="","",IF(AM$3=0,"n.b.",INDEX(SRC_ZPMW03!$A$1:$ZZ$501,$A221,AM$3)))</f>
        <v/>
      </c>
      <c r="AN221" s="124" t="str">
        <f>IF($B221="","",IF(AN$3=0,"n.b.",INDEX(SRC_ZPMW03!$A$1:$ZZ$501,$A221,AN$3)))</f>
        <v/>
      </c>
      <c r="AO221" s="124" t="str">
        <f>IF($B221="","",IF(AO$3=0,"n.b.",INDEX(SRC_ZPMW03!$A$1:$ZZ$501,$A221,AO$3)))</f>
        <v/>
      </c>
      <c r="AP221" s="124" t="str">
        <f>IF($B221="","",IF(AP$3=0,"n.b.",INDEX(SRC_ZPMW03!$A$1:$ZZ$501,$A221,AP$3)))</f>
        <v/>
      </c>
      <c r="AQ221" s="124" t="str">
        <f>IF($B221="","",IF(AQ$3=0,"n.b.",INDEX(SRC_ZPMW03!$A$1:$ZZ$501,$A221,AQ$3)))</f>
        <v/>
      </c>
      <c r="AR221" s="124" t="str">
        <f>IF($B221="","",IF(AR$3=0,"n.b.",INDEX(SRC_ZPMW03!$A$1:$ZZ$501,$A221,AR$3)))</f>
        <v/>
      </c>
      <c r="AS221" s="124" t="str">
        <f>IF($B221="","",IF(AS$3=0,"n.b.",INDEX(SRC_ZPMW03!$A$1:$ZZ$501,$A221,AS$3)))</f>
        <v/>
      </c>
      <c r="AT221" s="124" t="str">
        <f>IF($B221="","",IF(AT$3=0,"n.b.",INDEX(SRC_ZPMW03!$A$1:$ZZ$501,$A221,AT$3)))</f>
        <v/>
      </c>
      <c r="AU221" s="124" t="str">
        <f>IF($B221="","",IF(AU$3=0,"n.b.",INDEX(SRC_ZPMW03!$A$1:$ZZ$501,$A221,AU$3)))</f>
        <v/>
      </c>
      <c r="AV221" s="124" t="str">
        <f>IF($B221="","",IF(AV$3=0,"n.b.",INDEX(SRC_ZPMW03!$A$1:$ZZ$501,$A221,AV$3)))</f>
        <v/>
      </c>
      <c r="AW221" s="124" t="str">
        <f>IF($B221="","",IF(AW$3=0,"n.b.",INDEX(SRC_ZPMW03!$A$1:$ZZ$501,$A221,AW$3)))</f>
        <v/>
      </c>
      <c r="AX221" s="124" t="str">
        <f>IF($B221="","",IF(AX$3=0,"n.b.",INDEX(SRC_ZPMW03!$A$1:$ZZ$501,$A221,AX$3)))</f>
        <v/>
      </c>
      <c r="AY221" s="124" t="str">
        <f>IF($B221="","",IF(AY$3=0,"n.b.",INDEX(SRC_ZPMW03!$A$1:$ZZ$501,$A221,AY$3)))</f>
        <v/>
      </c>
      <c r="AZ221" s="124" t="str">
        <f>IF($B221="","",IF(AZ$3=0,"n.b.",INDEX(SRC_ZPMW03!$A$1:$ZZ$501,$A221,AZ$3)))</f>
        <v/>
      </c>
      <c r="BA221" s="124" t="str">
        <f>IF($B221="","",IF(BA$3=0,"n.b.",INDEX(SRC_ZPMW03!$A$1:$ZZ$501,$A221,BA$3)))</f>
        <v/>
      </c>
      <c r="BB221" s="124" t="str">
        <f>IF($B221="","",IF(BB$3=0,"n.b.",INDEX(SRC_ZPMW03!$A$1:$ZZ$501,$A221,BB$3)))</f>
        <v/>
      </c>
      <c r="BC221" s="124" t="str">
        <f>IF($B221="","",IF(BC$3=0,"n.b.",INDEX(SRC_ZPMW03!$A$1:$ZZ$501,$A221,BC$3)))</f>
        <v/>
      </c>
      <c r="BD221" s="124" t="str">
        <f>IF($B221="","",IF(BD$3=0,"n.b.",INDEX(SRC_ZPMW03!$A$1:$ZZ$501,$A221,BD$3)))</f>
        <v/>
      </c>
      <c r="BE221" s="124" t="str">
        <f>IF($B221="","",IF(BE$3=0,"n.b.",INDEX(SRC_ZPMW03!$A$1:$ZZ$501,$A221,BE$3)))</f>
        <v/>
      </c>
      <c r="BF221" s="124" t="str">
        <f>IF($B221="","",IF(BF$3=0,"n.b.",INDEX(SRC_ZPMW03!$A$1:$ZZ$501,$A221,BF$3)))</f>
        <v/>
      </c>
      <c r="BG221" t="str">
        <f>IF($B221="","",IF(BG$3=0,"n.b.",INDEX(SRC_ZPMW03!$A$1:$ZZ$501,$A221,BG$3)))</f>
        <v/>
      </c>
      <c r="BH221" t="str">
        <f>IF($B221="","",IF(BH$3=0,"n.b.",INDEX(SRC_ZPMW03!$A$1:$ZZ$501,$A221,BH$3)))</f>
        <v/>
      </c>
      <c r="BI221" t="str">
        <f>IF($B221="","",IF(BI$3=0,"n.b.",INDEX(SRC_ZPMW03!$A$1:$ZZ$501,$A221,BI$3)))</f>
        <v/>
      </c>
      <c r="BJ221" t="str">
        <f>IF($B221="","",IF(BJ$3=0,"n.b.",INDEX(SRC_ZPMW03!$A$1:$ZZ$501,$A221,BJ$3)))</f>
        <v/>
      </c>
      <c r="BK221" s="124" t="str">
        <f>IF($B221="","",IFERROR(-O221,"n.b."))</f>
        <v/>
      </c>
      <c r="BL221" s="124" t="str">
        <f>IF($B221="","",IFERROR(-Q221,"n.b."))</f>
        <v/>
      </c>
      <c r="BM221" s="124" t="str">
        <f>IF($B221="","",IFERROR(-AB221,"n.b."))</f>
        <v/>
      </c>
      <c r="BN221" s="124" t="str">
        <f>IF($B221="","",IFERROR(-AD221,"n.b."))</f>
        <v/>
      </c>
      <c r="BO221" s="124" t="str">
        <f>IF($B221="","",IFERROR(BK221+BM221,"n.b."))</f>
        <v/>
      </c>
      <c r="BP221" s="124" t="str">
        <f>IF($B221="","",IFERROR(BL221+BN221,"n.b."))</f>
        <v/>
      </c>
      <c r="BQ221" s="124" t="str">
        <f>IF($B221="","",IFERROR(-AM221,"n.b."))</f>
        <v/>
      </c>
      <c r="BR221" s="124" t="str">
        <f>IF($B221="","",IFERROR(-AO221,"n.b."))</f>
        <v/>
      </c>
      <c r="BS221" s="124" t="str">
        <f>IF($B221="","",IFERROR(-Z221,"n.b."))</f>
        <v/>
      </c>
      <c r="BT221" s="124" t="str">
        <f>IF($B221="","",IFERROR(-AA221,"n.b."))</f>
        <v/>
      </c>
      <c r="BU221" s="124" t="str">
        <f>IF($B221="","",IFERROR(-AE221,"n.b."))</f>
        <v/>
      </c>
      <c r="BV221" s="124" t="str">
        <f>IF($B221="","",IFERROR(-AF221,"n.b."))</f>
        <v/>
      </c>
      <c r="BW221" s="124" t="str">
        <f>IF($B221="","",IFERROR(-AG221,"n.b."))</f>
        <v/>
      </c>
      <c r="BX221" s="124" t="str">
        <f>IF($B221="","",IFERROR(-AH221,"n.b."))</f>
        <v/>
      </c>
      <c r="BY221" s="124" t="str">
        <f>IF($B221="","",IFERROR(-AI221,"n.b."))</f>
        <v/>
      </c>
      <c r="BZ221" s="124" t="str">
        <f>IF($B221="","",IFERROR(-AJ221,"n.b."))</f>
        <v/>
      </c>
      <c r="CA221" s="124" t="str">
        <f>IF($B221="","",IFERROR(-AK221,"n.b."))</f>
        <v/>
      </c>
      <c r="CB221" s="124" t="str">
        <f>IF($B221="","",IFERROR(-AL221,"n.b."))</f>
        <v/>
      </c>
      <c r="CC221" s="124" t="str">
        <f>IF($B221="","",IFERROR(-AP221,"n.b."))</f>
        <v/>
      </c>
      <c r="CD221" s="124" t="str">
        <f>IF($B221="","",IFERROR(-AQ221,"n.b."))</f>
        <v/>
      </c>
      <c r="CE221" s="124" t="str">
        <f>IF($B221="","",IFERROR(-AR221,"n.b."))</f>
        <v/>
      </c>
      <c r="CF221" s="124" t="str">
        <f>IF($B221="","",IFERROR(-AS221,"n.b."))</f>
        <v/>
      </c>
      <c r="CG221" s="124" t="str">
        <f>IF($B221="","",IFERROR(-AT221,"n.b."))</f>
        <v/>
      </c>
      <c r="CH221" s="124" t="str">
        <f>IF($B221="","",IFERROR(-AU221,"n.b."))</f>
        <v/>
      </c>
      <c r="CI221" s="124" t="str">
        <f>IF($B221="","",IFERROR(-AV221,"n.b."))</f>
        <v/>
      </c>
      <c r="CJ221" s="124" t="str">
        <f>IF($B221="","",IFERROR(-AW221,"n.b."))</f>
        <v/>
      </c>
      <c r="CK221" s="124" t="str">
        <f>IF($B221="","",IFERROR(-AX221,"n.b."))</f>
        <v/>
      </c>
      <c r="CL221" s="124" t="str">
        <f>IF($B221="","",IFERROR(-AY221,"n.b."))</f>
        <v/>
      </c>
      <c r="CM221" s="124" t="str">
        <f>IF($B221="","",IFERROR(-AZ221,"n.b."))</f>
        <v/>
      </c>
      <c r="CN221" s="124" t="str">
        <f>IF($B221="","",IFERROR(-BA221,"n.b."))</f>
        <v/>
      </c>
      <c r="CO221" s="124" t="str">
        <f>IF($B221="","",IFERROR(-BB221,"n.b."))</f>
        <v/>
      </c>
      <c r="CP221" s="124" t="str">
        <f>IF($B221="","",IFERROR(-BC221,"n.b."))</f>
        <v/>
      </c>
      <c r="CQ221" s="124" t="str">
        <f>IF($B221="","",IFERROR(-BD221,"n.b."))</f>
        <v/>
      </c>
      <c r="CR221" s="124" t="str">
        <f>IF($B221="","",IFERROR(-BE221,"n.b."))</f>
        <v/>
      </c>
      <c r="CS221" s="124" t="str">
        <f>IF($B221="","",IFERROR(IF(OR(ABS(T221+V221+X221+Z221-AB221)&gt;P_Tol,ABS(U221+W221+Y221+AA221-AD221)&gt;P_Tol,ABS(AE221+AG221+AI221+AK221-AM221)&gt;P_Tol,ABS(AF221+AH221+AJ221+AL221-AO221)&gt;P_Tol),1,0),1))</f>
        <v/>
      </c>
      <c r="CT221" s="124" t="str">
        <f>IF($B221="","",IFERROR(IF(OR(ABS(AB221+AC221-AD221)&gt;P_Tol,ABS(AM221+AN221-AO221)&gt;P_Tol,ABS(O221+P221-Q221)&gt;P_Tol),1,0),1))</f>
        <v/>
      </c>
      <c r="CU221" s="124" t="str">
        <f>IF($B221="","",IFERROR(IF(ABS(R221-(AB221+AM221+AP221+AR221+AT221+AV221+AX221+AZ221+BB221+BD221))&gt;P_Tol,1,0),1))</f>
        <v/>
      </c>
      <c r="CV221" s="124" t="str">
        <f>IF($B221="","",IFERROR(IF(ABS(M221-(N221+O221+R221))&gt;P_Tol,1,0),1))</f>
        <v/>
      </c>
      <c r="CW221" s="124" t="str">
        <f>IF($B221="","",IF(COUNTIF(Mapping!$A$5:$A$104,B221)&gt;0,1,0))</f>
        <v/>
      </c>
      <c r="CX221" s="124" t="str">
        <f>IF($B221="","",COUNTIF($B$6:$B$505,B221))</f>
        <v/>
      </c>
      <c r="CY221" s="124" t="str">
        <f>IF($B221="","",COUNTIF(STG_Woningetalage!$B$6:$B$505,B221))</f>
        <v/>
      </c>
      <c r="CZ221" s="124" t="str">
        <f>IF($B221="","",IF(CW221=0,COUNTIF($CW$6:CW221,0),""))</f>
        <v/>
      </c>
    </row>
    <row r="222">
      <c r="A222" s="15" t="n">
        <v>218</v>
      </c>
      <c r="B222" t="str">
        <f>IF(B$3=0,"",IF(INDEX(SRC_ZPMW03!$A$1:$ZZ$501,$A222,B$3)&amp;""="","",INDEX(SRC_ZPMW03!$A$1:$ZZ$501,$A222,B$3)&amp;""))</f>
        <v/>
      </c>
      <c r="C222" t="str">
        <f>IF($B222="","",IF(C$3=0,"n.b.",INDEX(SRC_ZPMW03!$A$1:$ZZ$501,$A222,C$3)))</f>
        <v/>
      </c>
      <c r="D222" t="str">
        <f>IF($B222="","",IF(D$3=0,"n.b.",INDEX(SRC_ZPMW03!$A$1:$ZZ$501,$A222,D$3)))</f>
        <v/>
      </c>
      <c r="E222" t="str">
        <f>IF($B222="","",IF(E$3=0,"n.b.",INDEX(SRC_ZPMW03!$A$1:$ZZ$501,$A222,E$3)))</f>
        <v/>
      </c>
      <c r="F222" t="str">
        <f>IF($B222="","",IF(F$3=0,"n.b.",INDEX(SRC_ZPMW03!$A$1:$ZZ$501,$A222,F$3)))</f>
        <v/>
      </c>
      <c r="G222" t="str">
        <f>IF($B222="","",IF(G$3=0,"n.b.",INDEX(SRC_ZPMW03!$A$1:$ZZ$501,$A222,G$3)))</f>
        <v/>
      </c>
      <c r="H222" t="str">
        <f>IF($B222="","",IF(H$3=0,"n.b.",INDEX(SRC_ZPMW03!$A$1:$ZZ$501,$A222,H$3)))</f>
        <v/>
      </c>
      <c r="I222" t="str">
        <f>IF($B222="","",IF(I$3=0,"n.b.",INDEX(SRC_ZPMW03!$A$1:$ZZ$501,$A222,I$3)))</f>
        <v/>
      </c>
      <c r="J222" t="str">
        <f>IF($B222="","",IF(J$3=0,"n.b.",INDEX(SRC_ZPMW03!$A$1:$ZZ$501,$A222,J$3)))</f>
        <v/>
      </c>
      <c r="K222" t="str">
        <f>IF($B222="","",IF(K$3=0,"n.b.",INDEX(SRC_ZPMW03!$A$1:$ZZ$501,$A222,K$3)))</f>
        <v/>
      </c>
      <c r="L222" s="124" t="str">
        <f>IF($B222="","",IF(L$3=0,"n.b.",INDEX(SRC_ZPMW03!$A$1:$ZZ$501,$A222,L$3)))</f>
        <v/>
      </c>
      <c r="M222" s="124" t="str">
        <f>IF($B222="","",IF(M$3=0,"n.b.",INDEX(SRC_ZPMW03!$A$1:$ZZ$501,$A222,M$3)))</f>
        <v/>
      </c>
      <c r="N222" s="124" t="str">
        <f>IF($B222="","",IF(N$3=0,"n.b.",INDEX(SRC_ZPMW03!$A$1:$ZZ$501,$A222,N$3)))</f>
        <v/>
      </c>
      <c r="O222" s="124" t="str">
        <f>IF($B222="","",IF(O$3=0,"n.b.",INDEX(SRC_ZPMW03!$A$1:$ZZ$501,$A222,O$3)))</f>
        <v/>
      </c>
      <c r="P222" s="124" t="str">
        <f>IF($B222="","",IF(P$3=0,"n.b.",INDEX(SRC_ZPMW03!$A$1:$ZZ$501,$A222,P$3)))</f>
        <v/>
      </c>
      <c r="Q222" s="124" t="str">
        <f>IF($B222="","",IF(Q$3=0,"n.b.",INDEX(SRC_ZPMW03!$A$1:$ZZ$501,$A222,Q$3)))</f>
        <v/>
      </c>
      <c r="R222" s="124" t="str">
        <f>IF($B222="","",IF(R$3=0,"n.b.",INDEX(SRC_ZPMW03!$A$1:$ZZ$501,$A222,R$3)))</f>
        <v/>
      </c>
      <c r="S222" s="124" t="str">
        <f>IF($B222="","",IF(S$3=0,"n.b.",INDEX(SRC_ZPMW03!$A$1:$ZZ$501,$A222,S$3)))</f>
        <v/>
      </c>
      <c r="T222" s="124" t="str">
        <f>IF($B222="","",IF(T$3=0,"n.b.",INDEX(SRC_ZPMW03!$A$1:$ZZ$501,$A222,T$3)))</f>
        <v/>
      </c>
      <c r="U222" s="124" t="str">
        <f>IF($B222="","",IF(U$3=0,"n.b.",INDEX(SRC_ZPMW03!$A$1:$ZZ$501,$A222,U$3)))</f>
        <v/>
      </c>
      <c r="V222" s="124" t="str">
        <f>IF($B222="","",IF(V$3=0,"n.b.",INDEX(SRC_ZPMW03!$A$1:$ZZ$501,$A222,V$3)))</f>
        <v/>
      </c>
      <c r="W222" s="124" t="str">
        <f>IF($B222="","",IF(W$3=0,"n.b.",INDEX(SRC_ZPMW03!$A$1:$ZZ$501,$A222,W$3)))</f>
        <v/>
      </c>
      <c r="X222" s="124" t="str">
        <f>IF($B222="","",IF(X$3=0,"n.b.",INDEX(SRC_ZPMW03!$A$1:$ZZ$501,$A222,X$3)))</f>
        <v/>
      </c>
      <c r="Y222" s="124" t="str">
        <f>IF($B222="","",IF(Y$3=0,"n.b.",INDEX(SRC_ZPMW03!$A$1:$ZZ$501,$A222,Y$3)))</f>
        <v/>
      </c>
      <c r="Z222" s="124" t="str">
        <f>IF($B222="","",IF(Z$3=0,"n.b.",INDEX(SRC_ZPMW03!$A$1:$ZZ$501,$A222,Z$3)))</f>
        <v/>
      </c>
      <c r="AA222" s="124" t="str">
        <f>IF($B222="","",IF(AA$3=0,"n.b.",INDEX(SRC_ZPMW03!$A$1:$ZZ$501,$A222,AA$3)))</f>
        <v/>
      </c>
      <c r="AB222" s="124" t="str">
        <f>IF($B222="","",IF(AB$3=0,"n.b.",INDEX(SRC_ZPMW03!$A$1:$ZZ$501,$A222,AB$3)))</f>
        <v/>
      </c>
      <c r="AC222" s="124" t="str">
        <f>IF($B222="","",IF(AC$3=0,"n.b.",INDEX(SRC_ZPMW03!$A$1:$ZZ$501,$A222,AC$3)))</f>
        <v/>
      </c>
      <c r="AD222" s="124" t="str">
        <f>IF($B222="","",IF(AD$3=0,"n.b.",INDEX(SRC_ZPMW03!$A$1:$ZZ$501,$A222,AD$3)))</f>
        <v/>
      </c>
      <c r="AE222" s="124" t="str">
        <f>IF($B222="","",IF(AE$3=0,"n.b.",INDEX(SRC_ZPMW03!$A$1:$ZZ$501,$A222,AE$3)))</f>
        <v/>
      </c>
      <c r="AF222" s="124" t="str">
        <f>IF($B222="","",IF(AF$3=0,"n.b.",INDEX(SRC_ZPMW03!$A$1:$ZZ$501,$A222,AF$3)))</f>
        <v/>
      </c>
      <c r="AG222" s="124" t="str">
        <f>IF($B222="","",IF(AG$3=0,"n.b.",INDEX(SRC_ZPMW03!$A$1:$ZZ$501,$A222,AG$3)))</f>
        <v/>
      </c>
      <c r="AH222" s="124" t="str">
        <f>IF($B222="","",IF(AH$3=0,"n.b.",INDEX(SRC_ZPMW03!$A$1:$ZZ$501,$A222,AH$3)))</f>
        <v/>
      </c>
      <c r="AI222" s="124" t="str">
        <f>IF($B222="","",IF(AI$3=0,"n.b.",INDEX(SRC_ZPMW03!$A$1:$ZZ$501,$A222,AI$3)))</f>
        <v/>
      </c>
      <c r="AJ222" s="124" t="str">
        <f>IF($B222="","",IF(AJ$3=0,"n.b.",INDEX(SRC_ZPMW03!$A$1:$ZZ$501,$A222,AJ$3)))</f>
        <v/>
      </c>
      <c r="AK222" s="124" t="str">
        <f>IF($B222="","",IF(AK$3=0,"n.b.",INDEX(SRC_ZPMW03!$A$1:$ZZ$501,$A222,AK$3)))</f>
        <v/>
      </c>
      <c r="AL222" s="124" t="str">
        <f>IF($B222="","",IF(AL$3=0,"n.b.",INDEX(SRC_ZPMW03!$A$1:$ZZ$501,$A222,AL$3)))</f>
        <v/>
      </c>
      <c r="AM222" s="124" t="str">
        <f>IF($B222="","",IF(AM$3=0,"n.b.",INDEX(SRC_ZPMW03!$A$1:$ZZ$501,$A222,AM$3)))</f>
        <v/>
      </c>
      <c r="AN222" s="124" t="str">
        <f>IF($B222="","",IF(AN$3=0,"n.b.",INDEX(SRC_ZPMW03!$A$1:$ZZ$501,$A222,AN$3)))</f>
        <v/>
      </c>
      <c r="AO222" s="124" t="str">
        <f>IF($B222="","",IF(AO$3=0,"n.b.",INDEX(SRC_ZPMW03!$A$1:$ZZ$501,$A222,AO$3)))</f>
        <v/>
      </c>
      <c r="AP222" s="124" t="str">
        <f>IF($B222="","",IF(AP$3=0,"n.b.",INDEX(SRC_ZPMW03!$A$1:$ZZ$501,$A222,AP$3)))</f>
        <v/>
      </c>
      <c r="AQ222" s="124" t="str">
        <f>IF($B222="","",IF(AQ$3=0,"n.b.",INDEX(SRC_ZPMW03!$A$1:$ZZ$501,$A222,AQ$3)))</f>
        <v/>
      </c>
      <c r="AR222" s="124" t="str">
        <f>IF($B222="","",IF(AR$3=0,"n.b.",INDEX(SRC_ZPMW03!$A$1:$ZZ$501,$A222,AR$3)))</f>
        <v/>
      </c>
      <c r="AS222" s="124" t="str">
        <f>IF($B222="","",IF(AS$3=0,"n.b.",INDEX(SRC_ZPMW03!$A$1:$ZZ$501,$A222,AS$3)))</f>
        <v/>
      </c>
      <c r="AT222" s="124" t="str">
        <f>IF($B222="","",IF(AT$3=0,"n.b.",INDEX(SRC_ZPMW03!$A$1:$ZZ$501,$A222,AT$3)))</f>
        <v/>
      </c>
      <c r="AU222" s="124" t="str">
        <f>IF($B222="","",IF(AU$3=0,"n.b.",INDEX(SRC_ZPMW03!$A$1:$ZZ$501,$A222,AU$3)))</f>
        <v/>
      </c>
      <c r="AV222" s="124" t="str">
        <f>IF($B222="","",IF(AV$3=0,"n.b.",INDEX(SRC_ZPMW03!$A$1:$ZZ$501,$A222,AV$3)))</f>
        <v/>
      </c>
      <c r="AW222" s="124" t="str">
        <f>IF($B222="","",IF(AW$3=0,"n.b.",INDEX(SRC_ZPMW03!$A$1:$ZZ$501,$A222,AW$3)))</f>
        <v/>
      </c>
      <c r="AX222" s="124" t="str">
        <f>IF($B222="","",IF(AX$3=0,"n.b.",INDEX(SRC_ZPMW03!$A$1:$ZZ$501,$A222,AX$3)))</f>
        <v/>
      </c>
      <c r="AY222" s="124" t="str">
        <f>IF($B222="","",IF(AY$3=0,"n.b.",INDEX(SRC_ZPMW03!$A$1:$ZZ$501,$A222,AY$3)))</f>
        <v/>
      </c>
      <c r="AZ222" s="124" t="str">
        <f>IF($B222="","",IF(AZ$3=0,"n.b.",INDEX(SRC_ZPMW03!$A$1:$ZZ$501,$A222,AZ$3)))</f>
        <v/>
      </c>
      <c r="BA222" s="124" t="str">
        <f>IF($B222="","",IF(BA$3=0,"n.b.",INDEX(SRC_ZPMW03!$A$1:$ZZ$501,$A222,BA$3)))</f>
        <v/>
      </c>
      <c r="BB222" s="124" t="str">
        <f>IF($B222="","",IF(BB$3=0,"n.b.",INDEX(SRC_ZPMW03!$A$1:$ZZ$501,$A222,BB$3)))</f>
        <v/>
      </c>
      <c r="BC222" s="124" t="str">
        <f>IF($B222="","",IF(BC$3=0,"n.b.",INDEX(SRC_ZPMW03!$A$1:$ZZ$501,$A222,BC$3)))</f>
        <v/>
      </c>
      <c r="BD222" s="124" t="str">
        <f>IF($B222="","",IF(BD$3=0,"n.b.",INDEX(SRC_ZPMW03!$A$1:$ZZ$501,$A222,BD$3)))</f>
        <v/>
      </c>
      <c r="BE222" s="124" t="str">
        <f>IF($B222="","",IF(BE$3=0,"n.b.",INDEX(SRC_ZPMW03!$A$1:$ZZ$501,$A222,BE$3)))</f>
        <v/>
      </c>
      <c r="BF222" s="124" t="str">
        <f>IF($B222="","",IF(BF$3=0,"n.b.",INDEX(SRC_ZPMW03!$A$1:$ZZ$501,$A222,BF$3)))</f>
        <v/>
      </c>
      <c r="BG222" t="str">
        <f>IF($B222="","",IF(BG$3=0,"n.b.",INDEX(SRC_ZPMW03!$A$1:$ZZ$501,$A222,BG$3)))</f>
        <v/>
      </c>
      <c r="BH222" t="str">
        <f>IF($B222="","",IF(BH$3=0,"n.b.",INDEX(SRC_ZPMW03!$A$1:$ZZ$501,$A222,BH$3)))</f>
        <v/>
      </c>
      <c r="BI222" t="str">
        <f>IF($B222="","",IF(BI$3=0,"n.b.",INDEX(SRC_ZPMW03!$A$1:$ZZ$501,$A222,BI$3)))</f>
        <v/>
      </c>
      <c r="BJ222" t="str">
        <f>IF($B222="","",IF(BJ$3=0,"n.b.",INDEX(SRC_ZPMW03!$A$1:$ZZ$501,$A222,BJ$3)))</f>
        <v/>
      </c>
      <c r="BK222" s="124" t="str">
        <f>IF($B222="","",IFERROR(-O222,"n.b."))</f>
        <v/>
      </c>
      <c r="BL222" s="124" t="str">
        <f>IF($B222="","",IFERROR(-Q222,"n.b."))</f>
        <v/>
      </c>
      <c r="BM222" s="124" t="str">
        <f>IF($B222="","",IFERROR(-AB222,"n.b."))</f>
        <v/>
      </c>
      <c r="BN222" s="124" t="str">
        <f>IF($B222="","",IFERROR(-AD222,"n.b."))</f>
        <v/>
      </c>
      <c r="BO222" s="124" t="str">
        <f>IF($B222="","",IFERROR(BK222+BM222,"n.b."))</f>
        <v/>
      </c>
      <c r="BP222" s="124" t="str">
        <f>IF($B222="","",IFERROR(BL222+BN222,"n.b."))</f>
        <v/>
      </c>
      <c r="BQ222" s="124" t="str">
        <f>IF($B222="","",IFERROR(-AM222,"n.b."))</f>
        <v/>
      </c>
      <c r="BR222" s="124" t="str">
        <f>IF($B222="","",IFERROR(-AO222,"n.b."))</f>
        <v/>
      </c>
      <c r="BS222" s="124" t="str">
        <f>IF($B222="","",IFERROR(-Z222,"n.b."))</f>
        <v/>
      </c>
      <c r="BT222" s="124" t="str">
        <f>IF($B222="","",IFERROR(-AA222,"n.b."))</f>
        <v/>
      </c>
      <c r="BU222" s="124" t="str">
        <f>IF($B222="","",IFERROR(-AE222,"n.b."))</f>
        <v/>
      </c>
      <c r="BV222" s="124" t="str">
        <f>IF($B222="","",IFERROR(-AF222,"n.b."))</f>
        <v/>
      </c>
      <c r="BW222" s="124" t="str">
        <f>IF($B222="","",IFERROR(-AG222,"n.b."))</f>
        <v/>
      </c>
      <c r="BX222" s="124" t="str">
        <f>IF($B222="","",IFERROR(-AH222,"n.b."))</f>
        <v/>
      </c>
      <c r="BY222" s="124" t="str">
        <f>IF($B222="","",IFERROR(-AI222,"n.b."))</f>
        <v/>
      </c>
      <c r="BZ222" s="124" t="str">
        <f>IF($B222="","",IFERROR(-AJ222,"n.b."))</f>
        <v/>
      </c>
      <c r="CA222" s="124" t="str">
        <f>IF($B222="","",IFERROR(-AK222,"n.b."))</f>
        <v/>
      </c>
      <c r="CB222" s="124" t="str">
        <f>IF($B222="","",IFERROR(-AL222,"n.b."))</f>
        <v/>
      </c>
      <c r="CC222" s="124" t="str">
        <f>IF($B222="","",IFERROR(-AP222,"n.b."))</f>
        <v/>
      </c>
      <c r="CD222" s="124" t="str">
        <f>IF($B222="","",IFERROR(-AQ222,"n.b."))</f>
        <v/>
      </c>
      <c r="CE222" s="124" t="str">
        <f>IF($B222="","",IFERROR(-AR222,"n.b."))</f>
        <v/>
      </c>
      <c r="CF222" s="124" t="str">
        <f>IF($B222="","",IFERROR(-AS222,"n.b."))</f>
        <v/>
      </c>
      <c r="CG222" s="124" t="str">
        <f>IF($B222="","",IFERROR(-AT222,"n.b."))</f>
        <v/>
      </c>
      <c r="CH222" s="124" t="str">
        <f>IF($B222="","",IFERROR(-AU222,"n.b."))</f>
        <v/>
      </c>
      <c r="CI222" s="124" t="str">
        <f>IF($B222="","",IFERROR(-AV222,"n.b."))</f>
        <v/>
      </c>
      <c r="CJ222" s="124" t="str">
        <f>IF($B222="","",IFERROR(-AW222,"n.b."))</f>
        <v/>
      </c>
      <c r="CK222" s="124" t="str">
        <f>IF($B222="","",IFERROR(-AX222,"n.b."))</f>
        <v/>
      </c>
      <c r="CL222" s="124" t="str">
        <f>IF($B222="","",IFERROR(-AY222,"n.b."))</f>
        <v/>
      </c>
      <c r="CM222" s="124" t="str">
        <f>IF($B222="","",IFERROR(-AZ222,"n.b."))</f>
        <v/>
      </c>
      <c r="CN222" s="124" t="str">
        <f>IF($B222="","",IFERROR(-BA222,"n.b."))</f>
        <v/>
      </c>
      <c r="CO222" s="124" t="str">
        <f>IF($B222="","",IFERROR(-BB222,"n.b."))</f>
        <v/>
      </c>
      <c r="CP222" s="124" t="str">
        <f>IF($B222="","",IFERROR(-BC222,"n.b."))</f>
        <v/>
      </c>
      <c r="CQ222" s="124" t="str">
        <f>IF($B222="","",IFERROR(-BD222,"n.b."))</f>
        <v/>
      </c>
      <c r="CR222" s="124" t="str">
        <f>IF($B222="","",IFERROR(-BE222,"n.b."))</f>
        <v/>
      </c>
      <c r="CS222" s="124" t="str">
        <f>IF($B222="","",IFERROR(IF(OR(ABS(T222+V222+X222+Z222-AB222)&gt;P_Tol,ABS(U222+W222+Y222+AA222-AD222)&gt;P_Tol,ABS(AE222+AG222+AI222+AK222-AM222)&gt;P_Tol,ABS(AF222+AH222+AJ222+AL222-AO222)&gt;P_Tol),1,0),1))</f>
        <v/>
      </c>
      <c r="CT222" s="124" t="str">
        <f>IF($B222="","",IFERROR(IF(OR(ABS(AB222+AC222-AD222)&gt;P_Tol,ABS(AM222+AN222-AO222)&gt;P_Tol,ABS(O222+P222-Q222)&gt;P_Tol),1,0),1))</f>
        <v/>
      </c>
      <c r="CU222" s="124" t="str">
        <f>IF($B222="","",IFERROR(IF(ABS(R222-(AB222+AM222+AP222+AR222+AT222+AV222+AX222+AZ222+BB222+BD222))&gt;P_Tol,1,0),1))</f>
        <v/>
      </c>
      <c r="CV222" s="124" t="str">
        <f>IF($B222="","",IFERROR(IF(ABS(M222-(N222+O222+R222))&gt;P_Tol,1,0),1))</f>
        <v/>
      </c>
      <c r="CW222" s="124" t="str">
        <f>IF($B222="","",IF(COUNTIF(Mapping!$A$5:$A$104,B222)&gt;0,1,0))</f>
        <v/>
      </c>
      <c r="CX222" s="124" t="str">
        <f>IF($B222="","",COUNTIF($B$6:$B$505,B222))</f>
        <v/>
      </c>
      <c r="CY222" s="124" t="str">
        <f>IF($B222="","",COUNTIF(STG_Woningetalage!$B$6:$B$505,B222))</f>
        <v/>
      </c>
      <c r="CZ222" s="124" t="str">
        <f>IF($B222="","",IF(CW222=0,COUNTIF($CW$6:CW222,0),""))</f>
        <v/>
      </c>
    </row>
    <row r="223">
      <c r="A223" s="15" t="n">
        <v>219</v>
      </c>
      <c r="B223" t="str">
        <f>IF(B$3=0,"",IF(INDEX(SRC_ZPMW03!$A$1:$ZZ$501,$A223,B$3)&amp;""="","",INDEX(SRC_ZPMW03!$A$1:$ZZ$501,$A223,B$3)&amp;""))</f>
        <v/>
      </c>
      <c r="C223" t="str">
        <f>IF($B223="","",IF(C$3=0,"n.b.",INDEX(SRC_ZPMW03!$A$1:$ZZ$501,$A223,C$3)))</f>
        <v/>
      </c>
      <c r="D223" t="str">
        <f>IF($B223="","",IF(D$3=0,"n.b.",INDEX(SRC_ZPMW03!$A$1:$ZZ$501,$A223,D$3)))</f>
        <v/>
      </c>
      <c r="E223" t="str">
        <f>IF($B223="","",IF(E$3=0,"n.b.",INDEX(SRC_ZPMW03!$A$1:$ZZ$501,$A223,E$3)))</f>
        <v/>
      </c>
      <c r="F223" t="str">
        <f>IF($B223="","",IF(F$3=0,"n.b.",INDEX(SRC_ZPMW03!$A$1:$ZZ$501,$A223,F$3)))</f>
        <v/>
      </c>
      <c r="G223" t="str">
        <f>IF($B223="","",IF(G$3=0,"n.b.",INDEX(SRC_ZPMW03!$A$1:$ZZ$501,$A223,G$3)))</f>
        <v/>
      </c>
      <c r="H223" t="str">
        <f>IF($B223="","",IF(H$3=0,"n.b.",INDEX(SRC_ZPMW03!$A$1:$ZZ$501,$A223,H$3)))</f>
        <v/>
      </c>
      <c r="I223" t="str">
        <f>IF($B223="","",IF(I$3=0,"n.b.",INDEX(SRC_ZPMW03!$A$1:$ZZ$501,$A223,I$3)))</f>
        <v/>
      </c>
      <c r="J223" t="str">
        <f>IF($B223="","",IF(J$3=0,"n.b.",INDEX(SRC_ZPMW03!$A$1:$ZZ$501,$A223,J$3)))</f>
        <v/>
      </c>
      <c r="K223" t="str">
        <f>IF($B223="","",IF(K$3=0,"n.b.",INDEX(SRC_ZPMW03!$A$1:$ZZ$501,$A223,K$3)))</f>
        <v/>
      </c>
      <c r="L223" s="124" t="str">
        <f>IF($B223="","",IF(L$3=0,"n.b.",INDEX(SRC_ZPMW03!$A$1:$ZZ$501,$A223,L$3)))</f>
        <v/>
      </c>
      <c r="M223" s="124" t="str">
        <f>IF($B223="","",IF(M$3=0,"n.b.",INDEX(SRC_ZPMW03!$A$1:$ZZ$501,$A223,M$3)))</f>
        <v/>
      </c>
      <c r="N223" s="124" t="str">
        <f>IF($B223="","",IF(N$3=0,"n.b.",INDEX(SRC_ZPMW03!$A$1:$ZZ$501,$A223,N$3)))</f>
        <v/>
      </c>
      <c r="O223" s="124" t="str">
        <f>IF($B223="","",IF(O$3=0,"n.b.",INDEX(SRC_ZPMW03!$A$1:$ZZ$501,$A223,O$3)))</f>
        <v/>
      </c>
      <c r="P223" s="124" t="str">
        <f>IF($B223="","",IF(P$3=0,"n.b.",INDEX(SRC_ZPMW03!$A$1:$ZZ$501,$A223,P$3)))</f>
        <v/>
      </c>
      <c r="Q223" s="124" t="str">
        <f>IF($B223="","",IF(Q$3=0,"n.b.",INDEX(SRC_ZPMW03!$A$1:$ZZ$501,$A223,Q$3)))</f>
        <v/>
      </c>
      <c r="R223" s="124" t="str">
        <f>IF($B223="","",IF(R$3=0,"n.b.",INDEX(SRC_ZPMW03!$A$1:$ZZ$501,$A223,R$3)))</f>
        <v/>
      </c>
      <c r="S223" s="124" t="str">
        <f>IF($B223="","",IF(S$3=0,"n.b.",INDEX(SRC_ZPMW03!$A$1:$ZZ$501,$A223,S$3)))</f>
        <v/>
      </c>
      <c r="T223" s="124" t="str">
        <f>IF($B223="","",IF(T$3=0,"n.b.",INDEX(SRC_ZPMW03!$A$1:$ZZ$501,$A223,T$3)))</f>
        <v/>
      </c>
      <c r="U223" s="124" t="str">
        <f>IF($B223="","",IF(U$3=0,"n.b.",INDEX(SRC_ZPMW03!$A$1:$ZZ$501,$A223,U$3)))</f>
        <v/>
      </c>
      <c r="V223" s="124" t="str">
        <f>IF($B223="","",IF(V$3=0,"n.b.",INDEX(SRC_ZPMW03!$A$1:$ZZ$501,$A223,V$3)))</f>
        <v/>
      </c>
      <c r="W223" s="124" t="str">
        <f>IF($B223="","",IF(W$3=0,"n.b.",INDEX(SRC_ZPMW03!$A$1:$ZZ$501,$A223,W$3)))</f>
        <v/>
      </c>
      <c r="X223" s="124" t="str">
        <f>IF($B223="","",IF(X$3=0,"n.b.",INDEX(SRC_ZPMW03!$A$1:$ZZ$501,$A223,X$3)))</f>
        <v/>
      </c>
      <c r="Y223" s="124" t="str">
        <f>IF($B223="","",IF(Y$3=0,"n.b.",INDEX(SRC_ZPMW03!$A$1:$ZZ$501,$A223,Y$3)))</f>
        <v/>
      </c>
      <c r="Z223" s="124" t="str">
        <f>IF($B223="","",IF(Z$3=0,"n.b.",INDEX(SRC_ZPMW03!$A$1:$ZZ$501,$A223,Z$3)))</f>
        <v/>
      </c>
      <c r="AA223" s="124" t="str">
        <f>IF($B223="","",IF(AA$3=0,"n.b.",INDEX(SRC_ZPMW03!$A$1:$ZZ$501,$A223,AA$3)))</f>
        <v/>
      </c>
      <c r="AB223" s="124" t="str">
        <f>IF($B223="","",IF(AB$3=0,"n.b.",INDEX(SRC_ZPMW03!$A$1:$ZZ$501,$A223,AB$3)))</f>
        <v/>
      </c>
      <c r="AC223" s="124" t="str">
        <f>IF($B223="","",IF(AC$3=0,"n.b.",INDEX(SRC_ZPMW03!$A$1:$ZZ$501,$A223,AC$3)))</f>
        <v/>
      </c>
      <c r="AD223" s="124" t="str">
        <f>IF($B223="","",IF(AD$3=0,"n.b.",INDEX(SRC_ZPMW03!$A$1:$ZZ$501,$A223,AD$3)))</f>
        <v/>
      </c>
      <c r="AE223" s="124" t="str">
        <f>IF($B223="","",IF(AE$3=0,"n.b.",INDEX(SRC_ZPMW03!$A$1:$ZZ$501,$A223,AE$3)))</f>
        <v/>
      </c>
      <c r="AF223" s="124" t="str">
        <f>IF($B223="","",IF(AF$3=0,"n.b.",INDEX(SRC_ZPMW03!$A$1:$ZZ$501,$A223,AF$3)))</f>
        <v/>
      </c>
      <c r="AG223" s="124" t="str">
        <f>IF($B223="","",IF(AG$3=0,"n.b.",INDEX(SRC_ZPMW03!$A$1:$ZZ$501,$A223,AG$3)))</f>
        <v/>
      </c>
      <c r="AH223" s="124" t="str">
        <f>IF($B223="","",IF(AH$3=0,"n.b.",INDEX(SRC_ZPMW03!$A$1:$ZZ$501,$A223,AH$3)))</f>
        <v/>
      </c>
      <c r="AI223" s="124" t="str">
        <f>IF($B223="","",IF(AI$3=0,"n.b.",INDEX(SRC_ZPMW03!$A$1:$ZZ$501,$A223,AI$3)))</f>
        <v/>
      </c>
      <c r="AJ223" s="124" t="str">
        <f>IF($B223="","",IF(AJ$3=0,"n.b.",INDEX(SRC_ZPMW03!$A$1:$ZZ$501,$A223,AJ$3)))</f>
        <v/>
      </c>
      <c r="AK223" s="124" t="str">
        <f>IF($B223="","",IF(AK$3=0,"n.b.",INDEX(SRC_ZPMW03!$A$1:$ZZ$501,$A223,AK$3)))</f>
        <v/>
      </c>
      <c r="AL223" s="124" t="str">
        <f>IF($B223="","",IF(AL$3=0,"n.b.",INDEX(SRC_ZPMW03!$A$1:$ZZ$501,$A223,AL$3)))</f>
        <v/>
      </c>
      <c r="AM223" s="124" t="str">
        <f>IF($B223="","",IF(AM$3=0,"n.b.",INDEX(SRC_ZPMW03!$A$1:$ZZ$501,$A223,AM$3)))</f>
        <v/>
      </c>
      <c r="AN223" s="124" t="str">
        <f>IF($B223="","",IF(AN$3=0,"n.b.",INDEX(SRC_ZPMW03!$A$1:$ZZ$501,$A223,AN$3)))</f>
        <v/>
      </c>
      <c r="AO223" s="124" t="str">
        <f>IF($B223="","",IF(AO$3=0,"n.b.",INDEX(SRC_ZPMW03!$A$1:$ZZ$501,$A223,AO$3)))</f>
        <v/>
      </c>
      <c r="AP223" s="124" t="str">
        <f>IF($B223="","",IF(AP$3=0,"n.b.",INDEX(SRC_ZPMW03!$A$1:$ZZ$501,$A223,AP$3)))</f>
        <v/>
      </c>
      <c r="AQ223" s="124" t="str">
        <f>IF($B223="","",IF(AQ$3=0,"n.b.",INDEX(SRC_ZPMW03!$A$1:$ZZ$501,$A223,AQ$3)))</f>
        <v/>
      </c>
      <c r="AR223" s="124" t="str">
        <f>IF($B223="","",IF(AR$3=0,"n.b.",INDEX(SRC_ZPMW03!$A$1:$ZZ$501,$A223,AR$3)))</f>
        <v/>
      </c>
      <c r="AS223" s="124" t="str">
        <f>IF($B223="","",IF(AS$3=0,"n.b.",INDEX(SRC_ZPMW03!$A$1:$ZZ$501,$A223,AS$3)))</f>
        <v/>
      </c>
      <c r="AT223" s="124" t="str">
        <f>IF($B223="","",IF(AT$3=0,"n.b.",INDEX(SRC_ZPMW03!$A$1:$ZZ$501,$A223,AT$3)))</f>
        <v/>
      </c>
      <c r="AU223" s="124" t="str">
        <f>IF($B223="","",IF(AU$3=0,"n.b.",INDEX(SRC_ZPMW03!$A$1:$ZZ$501,$A223,AU$3)))</f>
        <v/>
      </c>
      <c r="AV223" s="124" t="str">
        <f>IF($B223="","",IF(AV$3=0,"n.b.",INDEX(SRC_ZPMW03!$A$1:$ZZ$501,$A223,AV$3)))</f>
        <v/>
      </c>
      <c r="AW223" s="124" t="str">
        <f>IF($B223="","",IF(AW$3=0,"n.b.",INDEX(SRC_ZPMW03!$A$1:$ZZ$501,$A223,AW$3)))</f>
        <v/>
      </c>
      <c r="AX223" s="124" t="str">
        <f>IF($B223="","",IF(AX$3=0,"n.b.",INDEX(SRC_ZPMW03!$A$1:$ZZ$501,$A223,AX$3)))</f>
        <v/>
      </c>
      <c r="AY223" s="124" t="str">
        <f>IF($B223="","",IF(AY$3=0,"n.b.",INDEX(SRC_ZPMW03!$A$1:$ZZ$501,$A223,AY$3)))</f>
        <v/>
      </c>
      <c r="AZ223" s="124" t="str">
        <f>IF($B223="","",IF(AZ$3=0,"n.b.",INDEX(SRC_ZPMW03!$A$1:$ZZ$501,$A223,AZ$3)))</f>
        <v/>
      </c>
      <c r="BA223" s="124" t="str">
        <f>IF($B223="","",IF(BA$3=0,"n.b.",INDEX(SRC_ZPMW03!$A$1:$ZZ$501,$A223,BA$3)))</f>
        <v/>
      </c>
      <c r="BB223" s="124" t="str">
        <f>IF($B223="","",IF(BB$3=0,"n.b.",INDEX(SRC_ZPMW03!$A$1:$ZZ$501,$A223,BB$3)))</f>
        <v/>
      </c>
      <c r="BC223" s="124" t="str">
        <f>IF($B223="","",IF(BC$3=0,"n.b.",INDEX(SRC_ZPMW03!$A$1:$ZZ$501,$A223,BC$3)))</f>
        <v/>
      </c>
      <c r="BD223" s="124" t="str">
        <f>IF($B223="","",IF(BD$3=0,"n.b.",INDEX(SRC_ZPMW03!$A$1:$ZZ$501,$A223,BD$3)))</f>
        <v/>
      </c>
      <c r="BE223" s="124" t="str">
        <f>IF($B223="","",IF(BE$3=0,"n.b.",INDEX(SRC_ZPMW03!$A$1:$ZZ$501,$A223,BE$3)))</f>
        <v/>
      </c>
      <c r="BF223" s="124" t="str">
        <f>IF($B223="","",IF(BF$3=0,"n.b.",INDEX(SRC_ZPMW03!$A$1:$ZZ$501,$A223,BF$3)))</f>
        <v/>
      </c>
      <c r="BG223" t="str">
        <f>IF($B223="","",IF(BG$3=0,"n.b.",INDEX(SRC_ZPMW03!$A$1:$ZZ$501,$A223,BG$3)))</f>
        <v/>
      </c>
      <c r="BH223" t="str">
        <f>IF($B223="","",IF(BH$3=0,"n.b.",INDEX(SRC_ZPMW03!$A$1:$ZZ$501,$A223,BH$3)))</f>
        <v/>
      </c>
      <c r="BI223" t="str">
        <f>IF($B223="","",IF(BI$3=0,"n.b.",INDEX(SRC_ZPMW03!$A$1:$ZZ$501,$A223,BI$3)))</f>
        <v/>
      </c>
      <c r="BJ223" t="str">
        <f>IF($B223="","",IF(BJ$3=0,"n.b.",INDEX(SRC_ZPMW03!$A$1:$ZZ$501,$A223,BJ$3)))</f>
        <v/>
      </c>
      <c r="BK223" s="124" t="str">
        <f>IF($B223="","",IFERROR(-O223,"n.b."))</f>
        <v/>
      </c>
      <c r="BL223" s="124" t="str">
        <f>IF($B223="","",IFERROR(-Q223,"n.b."))</f>
        <v/>
      </c>
      <c r="BM223" s="124" t="str">
        <f>IF($B223="","",IFERROR(-AB223,"n.b."))</f>
        <v/>
      </c>
      <c r="BN223" s="124" t="str">
        <f>IF($B223="","",IFERROR(-AD223,"n.b."))</f>
        <v/>
      </c>
      <c r="BO223" s="124" t="str">
        <f>IF($B223="","",IFERROR(BK223+BM223,"n.b."))</f>
        <v/>
      </c>
      <c r="BP223" s="124" t="str">
        <f>IF($B223="","",IFERROR(BL223+BN223,"n.b."))</f>
        <v/>
      </c>
      <c r="BQ223" s="124" t="str">
        <f>IF($B223="","",IFERROR(-AM223,"n.b."))</f>
        <v/>
      </c>
      <c r="BR223" s="124" t="str">
        <f>IF($B223="","",IFERROR(-AO223,"n.b."))</f>
        <v/>
      </c>
      <c r="BS223" s="124" t="str">
        <f>IF($B223="","",IFERROR(-Z223,"n.b."))</f>
        <v/>
      </c>
      <c r="BT223" s="124" t="str">
        <f>IF($B223="","",IFERROR(-AA223,"n.b."))</f>
        <v/>
      </c>
      <c r="BU223" s="124" t="str">
        <f>IF($B223="","",IFERROR(-AE223,"n.b."))</f>
        <v/>
      </c>
      <c r="BV223" s="124" t="str">
        <f>IF($B223="","",IFERROR(-AF223,"n.b."))</f>
        <v/>
      </c>
      <c r="BW223" s="124" t="str">
        <f>IF($B223="","",IFERROR(-AG223,"n.b."))</f>
        <v/>
      </c>
      <c r="BX223" s="124" t="str">
        <f>IF($B223="","",IFERROR(-AH223,"n.b."))</f>
        <v/>
      </c>
      <c r="BY223" s="124" t="str">
        <f>IF($B223="","",IFERROR(-AI223,"n.b."))</f>
        <v/>
      </c>
      <c r="BZ223" s="124" t="str">
        <f>IF($B223="","",IFERROR(-AJ223,"n.b."))</f>
        <v/>
      </c>
      <c r="CA223" s="124" t="str">
        <f>IF($B223="","",IFERROR(-AK223,"n.b."))</f>
        <v/>
      </c>
      <c r="CB223" s="124" t="str">
        <f>IF($B223="","",IFERROR(-AL223,"n.b."))</f>
        <v/>
      </c>
      <c r="CC223" s="124" t="str">
        <f>IF($B223="","",IFERROR(-AP223,"n.b."))</f>
        <v/>
      </c>
      <c r="CD223" s="124" t="str">
        <f>IF($B223="","",IFERROR(-AQ223,"n.b."))</f>
        <v/>
      </c>
      <c r="CE223" s="124" t="str">
        <f>IF($B223="","",IFERROR(-AR223,"n.b."))</f>
        <v/>
      </c>
      <c r="CF223" s="124" t="str">
        <f>IF($B223="","",IFERROR(-AS223,"n.b."))</f>
        <v/>
      </c>
      <c r="CG223" s="124" t="str">
        <f>IF($B223="","",IFERROR(-AT223,"n.b."))</f>
        <v/>
      </c>
      <c r="CH223" s="124" t="str">
        <f>IF($B223="","",IFERROR(-AU223,"n.b."))</f>
        <v/>
      </c>
      <c r="CI223" s="124" t="str">
        <f>IF($B223="","",IFERROR(-AV223,"n.b."))</f>
        <v/>
      </c>
      <c r="CJ223" s="124" t="str">
        <f>IF($B223="","",IFERROR(-AW223,"n.b."))</f>
        <v/>
      </c>
      <c r="CK223" s="124" t="str">
        <f>IF($B223="","",IFERROR(-AX223,"n.b."))</f>
        <v/>
      </c>
      <c r="CL223" s="124" t="str">
        <f>IF($B223="","",IFERROR(-AY223,"n.b."))</f>
        <v/>
      </c>
      <c r="CM223" s="124" t="str">
        <f>IF($B223="","",IFERROR(-AZ223,"n.b."))</f>
        <v/>
      </c>
      <c r="CN223" s="124" t="str">
        <f>IF($B223="","",IFERROR(-BA223,"n.b."))</f>
        <v/>
      </c>
      <c r="CO223" s="124" t="str">
        <f>IF($B223="","",IFERROR(-BB223,"n.b."))</f>
        <v/>
      </c>
      <c r="CP223" s="124" t="str">
        <f>IF($B223="","",IFERROR(-BC223,"n.b."))</f>
        <v/>
      </c>
      <c r="CQ223" s="124" t="str">
        <f>IF($B223="","",IFERROR(-BD223,"n.b."))</f>
        <v/>
      </c>
      <c r="CR223" s="124" t="str">
        <f>IF($B223="","",IFERROR(-BE223,"n.b."))</f>
        <v/>
      </c>
      <c r="CS223" s="124" t="str">
        <f>IF($B223="","",IFERROR(IF(OR(ABS(T223+V223+X223+Z223-AB223)&gt;P_Tol,ABS(U223+W223+Y223+AA223-AD223)&gt;P_Tol,ABS(AE223+AG223+AI223+AK223-AM223)&gt;P_Tol,ABS(AF223+AH223+AJ223+AL223-AO223)&gt;P_Tol),1,0),1))</f>
        <v/>
      </c>
      <c r="CT223" s="124" t="str">
        <f>IF($B223="","",IFERROR(IF(OR(ABS(AB223+AC223-AD223)&gt;P_Tol,ABS(AM223+AN223-AO223)&gt;P_Tol,ABS(O223+P223-Q223)&gt;P_Tol),1,0),1))</f>
        <v/>
      </c>
      <c r="CU223" s="124" t="str">
        <f>IF($B223="","",IFERROR(IF(ABS(R223-(AB223+AM223+AP223+AR223+AT223+AV223+AX223+AZ223+BB223+BD223))&gt;P_Tol,1,0),1))</f>
        <v/>
      </c>
      <c r="CV223" s="124" t="str">
        <f>IF($B223="","",IFERROR(IF(ABS(M223-(N223+O223+R223))&gt;P_Tol,1,0),1))</f>
        <v/>
      </c>
      <c r="CW223" s="124" t="str">
        <f>IF($B223="","",IF(COUNTIF(Mapping!$A$5:$A$104,B223)&gt;0,1,0))</f>
        <v/>
      </c>
      <c r="CX223" s="124" t="str">
        <f>IF($B223="","",COUNTIF($B$6:$B$505,B223))</f>
        <v/>
      </c>
      <c r="CY223" s="124" t="str">
        <f>IF($B223="","",COUNTIF(STG_Woningetalage!$B$6:$B$505,B223))</f>
        <v/>
      </c>
      <c r="CZ223" s="124" t="str">
        <f>IF($B223="","",IF(CW223=0,COUNTIF($CW$6:CW223,0),""))</f>
        <v/>
      </c>
    </row>
    <row r="224">
      <c r="A224" s="15" t="n">
        <v>220</v>
      </c>
      <c r="B224" t="str">
        <f>IF(B$3=0,"",IF(INDEX(SRC_ZPMW03!$A$1:$ZZ$501,$A224,B$3)&amp;""="","",INDEX(SRC_ZPMW03!$A$1:$ZZ$501,$A224,B$3)&amp;""))</f>
        <v/>
      </c>
      <c r="C224" t="str">
        <f>IF($B224="","",IF(C$3=0,"n.b.",INDEX(SRC_ZPMW03!$A$1:$ZZ$501,$A224,C$3)))</f>
        <v/>
      </c>
      <c r="D224" t="str">
        <f>IF($B224="","",IF(D$3=0,"n.b.",INDEX(SRC_ZPMW03!$A$1:$ZZ$501,$A224,D$3)))</f>
        <v/>
      </c>
      <c r="E224" t="str">
        <f>IF($B224="","",IF(E$3=0,"n.b.",INDEX(SRC_ZPMW03!$A$1:$ZZ$501,$A224,E$3)))</f>
        <v/>
      </c>
      <c r="F224" t="str">
        <f>IF($B224="","",IF(F$3=0,"n.b.",INDEX(SRC_ZPMW03!$A$1:$ZZ$501,$A224,F$3)))</f>
        <v/>
      </c>
      <c r="G224" t="str">
        <f>IF($B224="","",IF(G$3=0,"n.b.",INDEX(SRC_ZPMW03!$A$1:$ZZ$501,$A224,G$3)))</f>
        <v/>
      </c>
      <c r="H224" t="str">
        <f>IF($B224="","",IF(H$3=0,"n.b.",INDEX(SRC_ZPMW03!$A$1:$ZZ$501,$A224,H$3)))</f>
        <v/>
      </c>
      <c r="I224" t="str">
        <f>IF($B224="","",IF(I$3=0,"n.b.",INDEX(SRC_ZPMW03!$A$1:$ZZ$501,$A224,I$3)))</f>
        <v/>
      </c>
      <c r="J224" t="str">
        <f>IF($B224="","",IF(J$3=0,"n.b.",INDEX(SRC_ZPMW03!$A$1:$ZZ$501,$A224,J$3)))</f>
        <v/>
      </c>
      <c r="K224" t="str">
        <f>IF($B224="","",IF(K$3=0,"n.b.",INDEX(SRC_ZPMW03!$A$1:$ZZ$501,$A224,K$3)))</f>
        <v/>
      </c>
      <c r="L224" s="124" t="str">
        <f>IF($B224="","",IF(L$3=0,"n.b.",INDEX(SRC_ZPMW03!$A$1:$ZZ$501,$A224,L$3)))</f>
        <v/>
      </c>
      <c r="M224" s="124" t="str">
        <f>IF($B224="","",IF(M$3=0,"n.b.",INDEX(SRC_ZPMW03!$A$1:$ZZ$501,$A224,M$3)))</f>
        <v/>
      </c>
      <c r="N224" s="124" t="str">
        <f>IF($B224="","",IF(N$3=0,"n.b.",INDEX(SRC_ZPMW03!$A$1:$ZZ$501,$A224,N$3)))</f>
        <v/>
      </c>
      <c r="O224" s="124" t="str">
        <f>IF($B224="","",IF(O$3=0,"n.b.",INDEX(SRC_ZPMW03!$A$1:$ZZ$501,$A224,O$3)))</f>
        <v/>
      </c>
      <c r="P224" s="124" t="str">
        <f>IF($B224="","",IF(P$3=0,"n.b.",INDEX(SRC_ZPMW03!$A$1:$ZZ$501,$A224,P$3)))</f>
        <v/>
      </c>
      <c r="Q224" s="124" t="str">
        <f>IF($B224="","",IF(Q$3=0,"n.b.",INDEX(SRC_ZPMW03!$A$1:$ZZ$501,$A224,Q$3)))</f>
        <v/>
      </c>
      <c r="R224" s="124" t="str">
        <f>IF($B224="","",IF(R$3=0,"n.b.",INDEX(SRC_ZPMW03!$A$1:$ZZ$501,$A224,R$3)))</f>
        <v/>
      </c>
      <c r="S224" s="124" t="str">
        <f>IF($B224="","",IF(S$3=0,"n.b.",INDEX(SRC_ZPMW03!$A$1:$ZZ$501,$A224,S$3)))</f>
        <v/>
      </c>
      <c r="T224" s="124" t="str">
        <f>IF($B224="","",IF(T$3=0,"n.b.",INDEX(SRC_ZPMW03!$A$1:$ZZ$501,$A224,T$3)))</f>
        <v/>
      </c>
      <c r="U224" s="124" t="str">
        <f>IF($B224="","",IF(U$3=0,"n.b.",INDEX(SRC_ZPMW03!$A$1:$ZZ$501,$A224,U$3)))</f>
        <v/>
      </c>
      <c r="V224" s="124" t="str">
        <f>IF($B224="","",IF(V$3=0,"n.b.",INDEX(SRC_ZPMW03!$A$1:$ZZ$501,$A224,V$3)))</f>
        <v/>
      </c>
      <c r="W224" s="124" t="str">
        <f>IF($B224="","",IF(W$3=0,"n.b.",INDEX(SRC_ZPMW03!$A$1:$ZZ$501,$A224,W$3)))</f>
        <v/>
      </c>
      <c r="X224" s="124" t="str">
        <f>IF($B224="","",IF(X$3=0,"n.b.",INDEX(SRC_ZPMW03!$A$1:$ZZ$501,$A224,X$3)))</f>
        <v/>
      </c>
      <c r="Y224" s="124" t="str">
        <f>IF($B224="","",IF(Y$3=0,"n.b.",INDEX(SRC_ZPMW03!$A$1:$ZZ$501,$A224,Y$3)))</f>
        <v/>
      </c>
      <c r="Z224" s="124" t="str">
        <f>IF($B224="","",IF(Z$3=0,"n.b.",INDEX(SRC_ZPMW03!$A$1:$ZZ$501,$A224,Z$3)))</f>
        <v/>
      </c>
      <c r="AA224" s="124" t="str">
        <f>IF($B224="","",IF(AA$3=0,"n.b.",INDEX(SRC_ZPMW03!$A$1:$ZZ$501,$A224,AA$3)))</f>
        <v/>
      </c>
      <c r="AB224" s="124" t="str">
        <f>IF($B224="","",IF(AB$3=0,"n.b.",INDEX(SRC_ZPMW03!$A$1:$ZZ$501,$A224,AB$3)))</f>
        <v/>
      </c>
      <c r="AC224" s="124" t="str">
        <f>IF($B224="","",IF(AC$3=0,"n.b.",INDEX(SRC_ZPMW03!$A$1:$ZZ$501,$A224,AC$3)))</f>
        <v/>
      </c>
      <c r="AD224" s="124" t="str">
        <f>IF($B224="","",IF(AD$3=0,"n.b.",INDEX(SRC_ZPMW03!$A$1:$ZZ$501,$A224,AD$3)))</f>
        <v/>
      </c>
      <c r="AE224" s="124" t="str">
        <f>IF($B224="","",IF(AE$3=0,"n.b.",INDEX(SRC_ZPMW03!$A$1:$ZZ$501,$A224,AE$3)))</f>
        <v/>
      </c>
      <c r="AF224" s="124" t="str">
        <f>IF($B224="","",IF(AF$3=0,"n.b.",INDEX(SRC_ZPMW03!$A$1:$ZZ$501,$A224,AF$3)))</f>
        <v/>
      </c>
      <c r="AG224" s="124" t="str">
        <f>IF($B224="","",IF(AG$3=0,"n.b.",INDEX(SRC_ZPMW03!$A$1:$ZZ$501,$A224,AG$3)))</f>
        <v/>
      </c>
      <c r="AH224" s="124" t="str">
        <f>IF($B224="","",IF(AH$3=0,"n.b.",INDEX(SRC_ZPMW03!$A$1:$ZZ$501,$A224,AH$3)))</f>
        <v/>
      </c>
      <c r="AI224" s="124" t="str">
        <f>IF($B224="","",IF(AI$3=0,"n.b.",INDEX(SRC_ZPMW03!$A$1:$ZZ$501,$A224,AI$3)))</f>
        <v/>
      </c>
      <c r="AJ224" s="124" t="str">
        <f>IF($B224="","",IF(AJ$3=0,"n.b.",INDEX(SRC_ZPMW03!$A$1:$ZZ$501,$A224,AJ$3)))</f>
        <v/>
      </c>
      <c r="AK224" s="124" t="str">
        <f>IF($B224="","",IF(AK$3=0,"n.b.",INDEX(SRC_ZPMW03!$A$1:$ZZ$501,$A224,AK$3)))</f>
        <v/>
      </c>
      <c r="AL224" s="124" t="str">
        <f>IF($B224="","",IF(AL$3=0,"n.b.",INDEX(SRC_ZPMW03!$A$1:$ZZ$501,$A224,AL$3)))</f>
        <v/>
      </c>
      <c r="AM224" s="124" t="str">
        <f>IF($B224="","",IF(AM$3=0,"n.b.",INDEX(SRC_ZPMW03!$A$1:$ZZ$501,$A224,AM$3)))</f>
        <v/>
      </c>
      <c r="AN224" s="124" t="str">
        <f>IF($B224="","",IF(AN$3=0,"n.b.",INDEX(SRC_ZPMW03!$A$1:$ZZ$501,$A224,AN$3)))</f>
        <v/>
      </c>
      <c r="AO224" s="124" t="str">
        <f>IF($B224="","",IF(AO$3=0,"n.b.",INDEX(SRC_ZPMW03!$A$1:$ZZ$501,$A224,AO$3)))</f>
        <v/>
      </c>
      <c r="AP224" s="124" t="str">
        <f>IF($B224="","",IF(AP$3=0,"n.b.",INDEX(SRC_ZPMW03!$A$1:$ZZ$501,$A224,AP$3)))</f>
        <v/>
      </c>
      <c r="AQ224" s="124" t="str">
        <f>IF($B224="","",IF(AQ$3=0,"n.b.",INDEX(SRC_ZPMW03!$A$1:$ZZ$501,$A224,AQ$3)))</f>
        <v/>
      </c>
      <c r="AR224" s="124" t="str">
        <f>IF($B224="","",IF(AR$3=0,"n.b.",INDEX(SRC_ZPMW03!$A$1:$ZZ$501,$A224,AR$3)))</f>
        <v/>
      </c>
      <c r="AS224" s="124" t="str">
        <f>IF($B224="","",IF(AS$3=0,"n.b.",INDEX(SRC_ZPMW03!$A$1:$ZZ$501,$A224,AS$3)))</f>
        <v/>
      </c>
      <c r="AT224" s="124" t="str">
        <f>IF($B224="","",IF(AT$3=0,"n.b.",INDEX(SRC_ZPMW03!$A$1:$ZZ$501,$A224,AT$3)))</f>
        <v/>
      </c>
      <c r="AU224" s="124" t="str">
        <f>IF($B224="","",IF(AU$3=0,"n.b.",INDEX(SRC_ZPMW03!$A$1:$ZZ$501,$A224,AU$3)))</f>
        <v/>
      </c>
      <c r="AV224" s="124" t="str">
        <f>IF($B224="","",IF(AV$3=0,"n.b.",INDEX(SRC_ZPMW03!$A$1:$ZZ$501,$A224,AV$3)))</f>
        <v/>
      </c>
      <c r="AW224" s="124" t="str">
        <f>IF($B224="","",IF(AW$3=0,"n.b.",INDEX(SRC_ZPMW03!$A$1:$ZZ$501,$A224,AW$3)))</f>
        <v/>
      </c>
      <c r="AX224" s="124" t="str">
        <f>IF($B224="","",IF(AX$3=0,"n.b.",INDEX(SRC_ZPMW03!$A$1:$ZZ$501,$A224,AX$3)))</f>
        <v/>
      </c>
      <c r="AY224" s="124" t="str">
        <f>IF($B224="","",IF(AY$3=0,"n.b.",INDEX(SRC_ZPMW03!$A$1:$ZZ$501,$A224,AY$3)))</f>
        <v/>
      </c>
      <c r="AZ224" s="124" t="str">
        <f>IF($B224="","",IF(AZ$3=0,"n.b.",INDEX(SRC_ZPMW03!$A$1:$ZZ$501,$A224,AZ$3)))</f>
        <v/>
      </c>
      <c r="BA224" s="124" t="str">
        <f>IF($B224="","",IF(BA$3=0,"n.b.",INDEX(SRC_ZPMW03!$A$1:$ZZ$501,$A224,BA$3)))</f>
        <v/>
      </c>
      <c r="BB224" s="124" t="str">
        <f>IF($B224="","",IF(BB$3=0,"n.b.",INDEX(SRC_ZPMW03!$A$1:$ZZ$501,$A224,BB$3)))</f>
        <v/>
      </c>
      <c r="BC224" s="124" t="str">
        <f>IF($B224="","",IF(BC$3=0,"n.b.",INDEX(SRC_ZPMW03!$A$1:$ZZ$501,$A224,BC$3)))</f>
        <v/>
      </c>
      <c r="BD224" s="124" t="str">
        <f>IF($B224="","",IF(BD$3=0,"n.b.",INDEX(SRC_ZPMW03!$A$1:$ZZ$501,$A224,BD$3)))</f>
        <v/>
      </c>
      <c r="BE224" s="124" t="str">
        <f>IF($B224="","",IF(BE$3=0,"n.b.",INDEX(SRC_ZPMW03!$A$1:$ZZ$501,$A224,BE$3)))</f>
        <v/>
      </c>
      <c r="BF224" s="124" t="str">
        <f>IF($B224="","",IF(BF$3=0,"n.b.",INDEX(SRC_ZPMW03!$A$1:$ZZ$501,$A224,BF$3)))</f>
        <v/>
      </c>
      <c r="BG224" t="str">
        <f>IF($B224="","",IF(BG$3=0,"n.b.",INDEX(SRC_ZPMW03!$A$1:$ZZ$501,$A224,BG$3)))</f>
        <v/>
      </c>
      <c r="BH224" t="str">
        <f>IF($B224="","",IF(BH$3=0,"n.b.",INDEX(SRC_ZPMW03!$A$1:$ZZ$501,$A224,BH$3)))</f>
        <v/>
      </c>
      <c r="BI224" t="str">
        <f>IF($B224="","",IF(BI$3=0,"n.b.",INDEX(SRC_ZPMW03!$A$1:$ZZ$501,$A224,BI$3)))</f>
        <v/>
      </c>
      <c r="BJ224" t="str">
        <f>IF($B224="","",IF(BJ$3=0,"n.b.",INDEX(SRC_ZPMW03!$A$1:$ZZ$501,$A224,BJ$3)))</f>
        <v/>
      </c>
      <c r="BK224" s="124" t="str">
        <f>IF($B224="","",IFERROR(-O224,"n.b."))</f>
        <v/>
      </c>
      <c r="BL224" s="124" t="str">
        <f>IF($B224="","",IFERROR(-Q224,"n.b."))</f>
        <v/>
      </c>
      <c r="BM224" s="124" t="str">
        <f>IF($B224="","",IFERROR(-AB224,"n.b."))</f>
        <v/>
      </c>
      <c r="BN224" s="124" t="str">
        <f>IF($B224="","",IFERROR(-AD224,"n.b."))</f>
        <v/>
      </c>
      <c r="BO224" s="124" t="str">
        <f>IF($B224="","",IFERROR(BK224+BM224,"n.b."))</f>
        <v/>
      </c>
      <c r="BP224" s="124" t="str">
        <f>IF($B224="","",IFERROR(BL224+BN224,"n.b."))</f>
        <v/>
      </c>
      <c r="BQ224" s="124" t="str">
        <f>IF($B224="","",IFERROR(-AM224,"n.b."))</f>
        <v/>
      </c>
      <c r="BR224" s="124" t="str">
        <f>IF($B224="","",IFERROR(-AO224,"n.b."))</f>
        <v/>
      </c>
      <c r="BS224" s="124" t="str">
        <f>IF($B224="","",IFERROR(-Z224,"n.b."))</f>
        <v/>
      </c>
      <c r="BT224" s="124" t="str">
        <f>IF($B224="","",IFERROR(-AA224,"n.b."))</f>
        <v/>
      </c>
      <c r="BU224" s="124" t="str">
        <f>IF($B224="","",IFERROR(-AE224,"n.b."))</f>
        <v/>
      </c>
      <c r="BV224" s="124" t="str">
        <f>IF($B224="","",IFERROR(-AF224,"n.b."))</f>
        <v/>
      </c>
      <c r="BW224" s="124" t="str">
        <f>IF($B224="","",IFERROR(-AG224,"n.b."))</f>
        <v/>
      </c>
      <c r="BX224" s="124" t="str">
        <f>IF($B224="","",IFERROR(-AH224,"n.b."))</f>
        <v/>
      </c>
      <c r="BY224" s="124" t="str">
        <f>IF($B224="","",IFERROR(-AI224,"n.b."))</f>
        <v/>
      </c>
      <c r="BZ224" s="124" t="str">
        <f>IF($B224="","",IFERROR(-AJ224,"n.b."))</f>
        <v/>
      </c>
      <c r="CA224" s="124" t="str">
        <f>IF($B224="","",IFERROR(-AK224,"n.b."))</f>
        <v/>
      </c>
      <c r="CB224" s="124" t="str">
        <f>IF($B224="","",IFERROR(-AL224,"n.b."))</f>
        <v/>
      </c>
      <c r="CC224" s="124" t="str">
        <f>IF($B224="","",IFERROR(-AP224,"n.b."))</f>
        <v/>
      </c>
      <c r="CD224" s="124" t="str">
        <f>IF($B224="","",IFERROR(-AQ224,"n.b."))</f>
        <v/>
      </c>
      <c r="CE224" s="124" t="str">
        <f>IF($B224="","",IFERROR(-AR224,"n.b."))</f>
        <v/>
      </c>
      <c r="CF224" s="124" t="str">
        <f>IF($B224="","",IFERROR(-AS224,"n.b."))</f>
        <v/>
      </c>
      <c r="CG224" s="124" t="str">
        <f>IF($B224="","",IFERROR(-AT224,"n.b."))</f>
        <v/>
      </c>
      <c r="CH224" s="124" t="str">
        <f>IF($B224="","",IFERROR(-AU224,"n.b."))</f>
        <v/>
      </c>
      <c r="CI224" s="124" t="str">
        <f>IF($B224="","",IFERROR(-AV224,"n.b."))</f>
        <v/>
      </c>
      <c r="CJ224" s="124" t="str">
        <f>IF($B224="","",IFERROR(-AW224,"n.b."))</f>
        <v/>
      </c>
      <c r="CK224" s="124" t="str">
        <f>IF($B224="","",IFERROR(-AX224,"n.b."))</f>
        <v/>
      </c>
      <c r="CL224" s="124" t="str">
        <f>IF($B224="","",IFERROR(-AY224,"n.b."))</f>
        <v/>
      </c>
      <c r="CM224" s="124" t="str">
        <f>IF($B224="","",IFERROR(-AZ224,"n.b."))</f>
        <v/>
      </c>
      <c r="CN224" s="124" t="str">
        <f>IF($B224="","",IFERROR(-BA224,"n.b."))</f>
        <v/>
      </c>
      <c r="CO224" s="124" t="str">
        <f>IF($B224="","",IFERROR(-BB224,"n.b."))</f>
        <v/>
      </c>
      <c r="CP224" s="124" t="str">
        <f>IF($B224="","",IFERROR(-BC224,"n.b."))</f>
        <v/>
      </c>
      <c r="CQ224" s="124" t="str">
        <f>IF($B224="","",IFERROR(-BD224,"n.b."))</f>
        <v/>
      </c>
      <c r="CR224" s="124" t="str">
        <f>IF($B224="","",IFERROR(-BE224,"n.b."))</f>
        <v/>
      </c>
      <c r="CS224" s="124" t="str">
        <f>IF($B224="","",IFERROR(IF(OR(ABS(T224+V224+X224+Z224-AB224)&gt;P_Tol,ABS(U224+W224+Y224+AA224-AD224)&gt;P_Tol,ABS(AE224+AG224+AI224+AK224-AM224)&gt;P_Tol,ABS(AF224+AH224+AJ224+AL224-AO224)&gt;P_Tol),1,0),1))</f>
        <v/>
      </c>
      <c r="CT224" s="124" t="str">
        <f>IF($B224="","",IFERROR(IF(OR(ABS(AB224+AC224-AD224)&gt;P_Tol,ABS(AM224+AN224-AO224)&gt;P_Tol,ABS(O224+P224-Q224)&gt;P_Tol),1,0),1))</f>
        <v/>
      </c>
      <c r="CU224" s="124" t="str">
        <f>IF($B224="","",IFERROR(IF(ABS(R224-(AB224+AM224+AP224+AR224+AT224+AV224+AX224+AZ224+BB224+BD224))&gt;P_Tol,1,0),1))</f>
        <v/>
      </c>
      <c r="CV224" s="124" t="str">
        <f>IF($B224="","",IFERROR(IF(ABS(M224-(N224+O224+R224))&gt;P_Tol,1,0),1))</f>
        <v/>
      </c>
      <c r="CW224" s="124" t="str">
        <f>IF($B224="","",IF(COUNTIF(Mapping!$A$5:$A$104,B224)&gt;0,1,0))</f>
        <v/>
      </c>
      <c r="CX224" s="124" t="str">
        <f>IF($B224="","",COUNTIF($B$6:$B$505,B224))</f>
        <v/>
      </c>
      <c r="CY224" s="124" t="str">
        <f>IF($B224="","",COUNTIF(STG_Woningetalage!$B$6:$B$505,B224))</f>
        <v/>
      </c>
      <c r="CZ224" s="124" t="str">
        <f>IF($B224="","",IF(CW224=0,COUNTIF($CW$6:CW224,0),""))</f>
        <v/>
      </c>
    </row>
    <row r="225">
      <c r="A225" s="15" t="n">
        <v>221</v>
      </c>
      <c r="B225" t="str">
        <f>IF(B$3=0,"",IF(INDEX(SRC_ZPMW03!$A$1:$ZZ$501,$A225,B$3)&amp;""="","",INDEX(SRC_ZPMW03!$A$1:$ZZ$501,$A225,B$3)&amp;""))</f>
        <v/>
      </c>
      <c r="C225" t="str">
        <f>IF($B225="","",IF(C$3=0,"n.b.",INDEX(SRC_ZPMW03!$A$1:$ZZ$501,$A225,C$3)))</f>
        <v/>
      </c>
      <c r="D225" t="str">
        <f>IF($B225="","",IF(D$3=0,"n.b.",INDEX(SRC_ZPMW03!$A$1:$ZZ$501,$A225,D$3)))</f>
        <v/>
      </c>
      <c r="E225" t="str">
        <f>IF($B225="","",IF(E$3=0,"n.b.",INDEX(SRC_ZPMW03!$A$1:$ZZ$501,$A225,E$3)))</f>
        <v/>
      </c>
      <c r="F225" t="str">
        <f>IF($B225="","",IF(F$3=0,"n.b.",INDEX(SRC_ZPMW03!$A$1:$ZZ$501,$A225,F$3)))</f>
        <v/>
      </c>
      <c r="G225" t="str">
        <f>IF($B225="","",IF(G$3=0,"n.b.",INDEX(SRC_ZPMW03!$A$1:$ZZ$501,$A225,G$3)))</f>
        <v/>
      </c>
      <c r="H225" t="str">
        <f>IF($B225="","",IF(H$3=0,"n.b.",INDEX(SRC_ZPMW03!$A$1:$ZZ$501,$A225,H$3)))</f>
        <v/>
      </c>
      <c r="I225" t="str">
        <f>IF($B225="","",IF(I$3=0,"n.b.",INDEX(SRC_ZPMW03!$A$1:$ZZ$501,$A225,I$3)))</f>
        <v/>
      </c>
      <c r="J225" t="str">
        <f>IF($B225="","",IF(J$3=0,"n.b.",INDEX(SRC_ZPMW03!$A$1:$ZZ$501,$A225,J$3)))</f>
        <v/>
      </c>
      <c r="K225" t="str">
        <f>IF($B225="","",IF(K$3=0,"n.b.",INDEX(SRC_ZPMW03!$A$1:$ZZ$501,$A225,K$3)))</f>
        <v/>
      </c>
      <c r="L225" s="124" t="str">
        <f>IF($B225="","",IF(L$3=0,"n.b.",INDEX(SRC_ZPMW03!$A$1:$ZZ$501,$A225,L$3)))</f>
        <v/>
      </c>
      <c r="M225" s="124" t="str">
        <f>IF($B225="","",IF(M$3=0,"n.b.",INDEX(SRC_ZPMW03!$A$1:$ZZ$501,$A225,M$3)))</f>
        <v/>
      </c>
      <c r="N225" s="124" t="str">
        <f>IF($B225="","",IF(N$3=0,"n.b.",INDEX(SRC_ZPMW03!$A$1:$ZZ$501,$A225,N$3)))</f>
        <v/>
      </c>
      <c r="O225" s="124" t="str">
        <f>IF($B225="","",IF(O$3=0,"n.b.",INDEX(SRC_ZPMW03!$A$1:$ZZ$501,$A225,O$3)))</f>
        <v/>
      </c>
      <c r="P225" s="124" t="str">
        <f>IF($B225="","",IF(P$3=0,"n.b.",INDEX(SRC_ZPMW03!$A$1:$ZZ$501,$A225,P$3)))</f>
        <v/>
      </c>
      <c r="Q225" s="124" t="str">
        <f>IF($B225="","",IF(Q$3=0,"n.b.",INDEX(SRC_ZPMW03!$A$1:$ZZ$501,$A225,Q$3)))</f>
        <v/>
      </c>
      <c r="R225" s="124" t="str">
        <f>IF($B225="","",IF(R$3=0,"n.b.",INDEX(SRC_ZPMW03!$A$1:$ZZ$501,$A225,R$3)))</f>
        <v/>
      </c>
      <c r="S225" s="124" t="str">
        <f>IF($B225="","",IF(S$3=0,"n.b.",INDEX(SRC_ZPMW03!$A$1:$ZZ$501,$A225,S$3)))</f>
        <v/>
      </c>
      <c r="T225" s="124" t="str">
        <f>IF($B225="","",IF(T$3=0,"n.b.",INDEX(SRC_ZPMW03!$A$1:$ZZ$501,$A225,T$3)))</f>
        <v/>
      </c>
      <c r="U225" s="124" t="str">
        <f>IF($B225="","",IF(U$3=0,"n.b.",INDEX(SRC_ZPMW03!$A$1:$ZZ$501,$A225,U$3)))</f>
        <v/>
      </c>
      <c r="V225" s="124" t="str">
        <f>IF($B225="","",IF(V$3=0,"n.b.",INDEX(SRC_ZPMW03!$A$1:$ZZ$501,$A225,V$3)))</f>
        <v/>
      </c>
      <c r="W225" s="124" t="str">
        <f>IF($B225="","",IF(W$3=0,"n.b.",INDEX(SRC_ZPMW03!$A$1:$ZZ$501,$A225,W$3)))</f>
        <v/>
      </c>
      <c r="X225" s="124" t="str">
        <f>IF($B225="","",IF(X$3=0,"n.b.",INDEX(SRC_ZPMW03!$A$1:$ZZ$501,$A225,X$3)))</f>
        <v/>
      </c>
      <c r="Y225" s="124" t="str">
        <f>IF($B225="","",IF(Y$3=0,"n.b.",INDEX(SRC_ZPMW03!$A$1:$ZZ$501,$A225,Y$3)))</f>
        <v/>
      </c>
      <c r="Z225" s="124" t="str">
        <f>IF($B225="","",IF(Z$3=0,"n.b.",INDEX(SRC_ZPMW03!$A$1:$ZZ$501,$A225,Z$3)))</f>
        <v/>
      </c>
      <c r="AA225" s="124" t="str">
        <f>IF($B225="","",IF(AA$3=0,"n.b.",INDEX(SRC_ZPMW03!$A$1:$ZZ$501,$A225,AA$3)))</f>
        <v/>
      </c>
      <c r="AB225" s="124" t="str">
        <f>IF($B225="","",IF(AB$3=0,"n.b.",INDEX(SRC_ZPMW03!$A$1:$ZZ$501,$A225,AB$3)))</f>
        <v/>
      </c>
      <c r="AC225" s="124" t="str">
        <f>IF($B225="","",IF(AC$3=0,"n.b.",INDEX(SRC_ZPMW03!$A$1:$ZZ$501,$A225,AC$3)))</f>
        <v/>
      </c>
      <c r="AD225" s="124" t="str">
        <f>IF($B225="","",IF(AD$3=0,"n.b.",INDEX(SRC_ZPMW03!$A$1:$ZZ$501,$A225,AD$3)))</f>
        <v/>
      </c>
      <c r="AE225" s="124" t="str">
        <f>IF($B225="","",IF(AE$3=0,"n.b.",INDEX(SRC_ZPMW03!$A$1:$ZZ$501,$A225,AE$3)))</f>
        <v/>
      </c>
      <c r="AF225" s="124" t="str">
        <f>IF($B225="","",IF(AF$3=0,"n.b.",INDEX(SRC_ZPMW03!$A$1:$ZZ$501,$A225,AF$3)))</f>
        <v/>
      </c>
      <c r="AG225" s="124" t="str">
        <f>IF($B225="","",IF(AG$3=0,"n.b.",INDEX(SRC_ZPMW03!$A$1:$ZZ$501,$A225,AG$3)))</f>
        <v/>
      </c>
      <c r="AH225" s="124" t="str">
        <f>IF($B225="","",IF(AH$3=0,"n.b.",INDEX(SRC_ZPMW03!$A$1:$ZZ$501,$A225,AH$3)))</f>
        <v/>
      </c>
      <c r="AI225" s="124" t="str">
        <f>IF($B225="","",IF(AI$3=0,"n.b.",INDEX(SRC_ZPMW03!$A$1:$ZZ$501,$A225,AI$3)))</f>
        <v/>
      </c>
      <c r="AJ225" s="124" t="str">
        <f>IF($B225="","",IF(AJ$3=0,"n.b.",INDEX(SRC_ZPMW03!$A$1:$ZZ$501,$A225,AJ$3)))</f>
        <v/>
      </c>
      <c r="AK225" s="124" t="str">
        <f>IF($B225="","",IF(AK$3=0,"n.b.",INDEX(SRC_ZPMW03!$A$1:$ZZ$501,$A225,AK$3)))</f>
        <v/>
      </c>
      <c r="AL225" s="124" t="str">
        <f>IF($B225="","",IF(AL$3=0,"n.b.",INDEX(SRC_ZPMW03!$A$1:$ZZ$501,$A225,AL$3)))</f>
        <v/>
      </c>
      <c r="AM225" s="124" t="str">
        <f>IF($B225="","",IF(AM$3=0,"n.b.",INDEX(SRC_ZPMW03!$A$1:$ZZ$501,$A225,AM$3)))</f>
        <v/>
      </c>
      <c r="AN225" s="124" t="str">
        <f>IF($B225="","",IF(AN$3=0,"n.b.",INDEX(SRC_ZPMW03!$A$1:$ZZ$501,$A225,AN$3)))</f>
        <v/>
      </c>
      <c r="AO225" s="124" t="str">
        <f>IF($B225="","",IF(AO$3=0,"n.b.",INDEX(SRC_ZPMW03!$A$1:$ZZ$501,$A225,AO$3)))</f>
        <v/>
      </c>
      <c r="AP225" s="124" t="str">
        <f>IF($B225="","",IF(AP$3=0,"n.b.",INDEX(SRC_ZPMW03!$A$1:$ZZ$501,$A225,AP$3)))</f>
        <v/>
      </c>
      <c r="AQ225" s="124" t="str">
        <f>IF($B225="","",IF(AQ$3=0,"n.b.",INDEX(SRC_ZPMW03!$A$1:$ZZ$501,$A225,AQ$3)))</f>
        <v/>
      </c>
      <c r="AR225" s="124" t="str">
        <f>IF($B225="","",IF(AR$3=0,"n.b.",INDEX(SRC_ZPMW03!$A$1:$ZZ$501,$A225,AR$3)))</f>
        <v/>
      </c>
      <c r="AS225" s="124" t="str">
        <f>IF($B225="","",IF(AS$3=0,"n.b.",INDEX(SRC_ZPMW03!$A$1:$ZZ$501,$A225,AS$3)))</f>
        <v/>
      </c>
      <c r="AT225" s="124" t="str">
        <f>IF($B225="","",IF(AT$3=0,"n.b.",INDEX(SRC_ZPMW03!$A$1:$ZZ$501,$A225,AT$3)))</f>
        <v/>
      </c>
      <c r="AU225" s="124" t="str">
        <f>IF($B225="","",IF(AU$3=0,"n.b.",INDEX(SRC_ZPMW03!$A$1:$ZZ$501,$A225,AU$3)))</f>
        <v/>
      </c>
      <c r="AV225" s="124" t="str">
        <f>IF($B225="","",IF(AV$3=0,"n.b.",INDEX(SRC_ZPMW03!$A$1:$ZZ$501,$A225,AV$3)))</f>
        <v/>
      </c>
      <c r="AW225" s="124" t="str">
        <f>IF($B225="","",IF(AW$3=0,"n.b.",INDEX(SRC_ZPMW03!$A$1:$ZZ$501,$A225,AW$3)))</f>
        <v/>
      </c>
      <c r="AX225" s="124" t="str">
        <f>IF($B225="","",IF(AX$3=0,"n.b.",INDEX(SRC_ZPMW03!$A$1:$ZZ$501,$A225,AX$3)))</f>
        <v/>
      </c>
      <c r="AY225" s="124" t="str">
        <f>IF($B225="","",IF(AY$3=0,"n.b.",INDEX(SRC_ZPMW03!$A$1:$ZZ$501,$A225,AY$3)))</f>
        <v/>
      </c>
      <c r="AZ225" s="124" t="str">
        <f>IF($B225="","",IF(AZ$3=0,"n.b.",INDEX(SRC_ZPMW03!$A$1:$ZZ$501,$A225,AZ$3)))</f>
        <v/>
      </c>
      <c r="BA225" s="124" t="str">
        <f>IF($B225="","",IF(BA$3=0,"n.b.",INDEX(SRC_ZPMW03!$A$1:$ZZ$501,$A225,BA$3)))</f>
        <v/>
      </c>
      <c r="BB225" s="124" t="str">
        <f>IF($B225="","",IF(BB$3=0,"n.b.",INDEX(SRC_ZPMW03!$A$1:$ZZ$501,$A225,BB$3)))</f>
        <v/>
      </c>
      <c r="BC225" s="124" t="str">
        <f>IF($B225="","",IF(BC$3=0,"n.b.",INDEX(SRC_ZPMW03!$A$1:$ZZ$501,$A225,BC$3)))</f>
        <v/>
      </c>
      <c r="BD225" s="124" t="str">
        <f>IF($B225="","",IF(BD$3=0,"n.b.",INDEX(SRC_ZPMW03!$A$1:$ZZ$501,$A225,BD$3)))</f>
        <v/>
      </c>
      <c r="BE225" s="124" t="str">
        <f>IF($B225="","",IF(BE$3=0,"n.b.",INDEX(SRC_ZPMW03!$A$1:$ZZ$501,$A225,BE$3)))</f>
        <v/>
      </c>
      <c r="BF225" s="124" t="str">
        <f>IF($B225="","",IF(BF$3=0,"n.b.",INDEX(SRC_ZPMW03!$A$1:$ZZ$501,$A225,BF$3)))</f>
        <v/>
      </c>
      <c r="BG225" t="str">
        <f>IF($B225="","",IF(BG$3=0,"n.b.",INDEX(SRC_ZPMW03!$A$1:$ZZ$501,$A225,BG$3)))</f>
        <v/>
      </c>
      <c r="BH225" t="str">
        <f>IF($B225="","",IF(BH$3=0,"n.b.",INDEX(SRC_ZPMW03!$A$1:$ZZ$501,$A225,BH$3)))</f>
        <v/>
      </c>
      <c r="BI225" t="str">
        <f>IF($B225="","",IF(BI$3=0,"n.b.",INDEX(SRC_ZPMW03!$A$1:$ZZ$501,$A225,BI$3)))</f>
        <v/>
      </c>
      <c r="BJ225" t="str">
        <f>IF($B225="","",IF(BJ$3=0,"n.b.",INDEX(SRC_ZPMW03!$A$1:$ZZ$501,$A225,BJ$3)))</f>
        <v/>
      </c>
      <c r="BK225" s="124" t="str">
        <f>IF($B225="","",IFERROR(-O225,"n.b."))</f>
        <v/>
      </c>
      <c r="BL225" s="124" t="str">
        <f>IF($B225="","",IFERROR(-Q225,"n.b."))</f>
        <v/>
      </c>
      <c r="BM225" s="124" t="str">
        <f>IF($B225="","",IFERROR(-AB225,"n.b."))</f>
        <v/>
      </c>
      <c r="BN225" s="124" t="str">
        <f>IF($B225="","",IFERROR(-AD225,"n.b."))</f>
        <v/>
      </c>
      <c r="BO225" s="124" t="str">
        <f>IF($B225="","",IFERROR(BK225+BM225,"n.b."))</f>
        <v/>
      </c>
      <c r="BP225" s="124" t="str">
        <f>IF($B225="","",IFERROR(BL225+BN225,"n.b."))</f>
        <v/>
      </c>
      <c r="BQ225" s="124" t="str">
        <f>IF($B225="","",IFERROR(-AM225,"n.b."))</f>
        <v/>
      </c>
      <c r="BR225" s="124" t="str">
        <f>IF($B225="","",IFERROR(-AO225,"n.b."))</f>
        <v/>
      </c>
      <c r="BS225" s="124" t="str">
        <f>IF($B225="","",IFERROR(-Z225,"n.b."))</f>
        <v/>
      </c>
      <c r="BT225" s="124" t="str">
        <f>IF($B225="","",IFERROR(-AA225,"n.b."))</f>
        <v/>
      </c>
      <c r="BU225" s="124" t="str">
        <f>IF($B225="","",IFERROR(-AE225,"n.b."))</f>
        <v/>
      </c>
      <c r="BV225" s="124" t="str">
        <f>IF($B225="","",IFERROR(-AF225,"n.b."))</f>
        <v/>
      </c>
      <c r="BW225" s="124" t="str">
        <f>IF($B225="","",IFERROR(-AG225,"n.b."))</f>
        <v/>
      </c>
      <c r="BX225" s="124" t="str">
        <f>IF($B225="","",IFERROR(-AH225,"n.b."))</f>
        <v/>
      </c>
      <c r="BY225" s="124" t="str">
        <f>IF($B225="","",IFERROR(-AI225,"n.b."))</f>
        <v/>
      </c>
      <c r="BZ225" s="124" t="str">
        <f>IF($B225="","",IFERROR(-AJ225,"n.b."))</f>
        <v/>
      </c>
      <c r="CA225" s="124" t="str">
        <f>IF($B225="","",IFERROR(-AK225,"n.b."))</f>
        <v/>
      </c>
      <c r="CB225" s="124" t="str">
        <f>IF($B225="","",IFERROR(-AL225,"n.b."))</f>
        <v/>
      </c>
      <c r="CC225" s="124" t="str">
        <f>IF($B225="","",IFERROR(-AP225,"n.b."))</f>
        <v/>
      </c>
      <c r="CD225" s="124" t="str">
        <f>IF($B225="","",IFERROR(-AQ225,"n.b."))</f>
        <v/>
      </c>
      <c r="CE225" s="124" t="str">
        <f>IF($B225="","",IFERROR(-AR225,"n.b."))</f>
        <v/>
      </c>
      <c r="CF225" s="124" t="str">
        <f>IF($B225="","",IFERROR(-AS225,"n.b."))</f>
        <v/>
      </c>
      <c r="CG225" s="124" t="str">
        <f>IF($B225="","",IFERROR(-AT225,"n.b."))</f>
        <v/>
      </c>
      <c r="CH225" s="124" t="str">
        <f>IF($B225="","",IFERROR(-AU225,"n.b."))</f>
        <v/>
      </c>
      <c r="CI225" s="124" t="str">
        <f>IF($B225="","",IFERROR(-AV225,"n.b."))</f>
        <v/>
      </c>
      <c r="CJ225" s="124" t="str">
        <f>IF($B225="","",IFERROR(-AW225,"n.b."))</f>
        <v/>
      </c>
      <c r="CK225" s="124" t="str">
        <f>IF($B225="","",IFERROR(-AX225,"n.b."))</f>
        <v/>
      </c>
      <c r="CL225" s="124" t="str">
        <f>IF($B225="","",IFERROR(-AY225,"n.b."))</f>
        <v/>
      </c>
      <c r="CM225" s="124" t="str">
        <f>IF($B225="","",IFERROR(-AZ225,"n.b."))</f>
        <v/>
      </c>
      <c r="CN225" s="124" t="str">
        <f>IF($B225="","",IFERROR(-BA225,"n.b."))</f>
        <v/>
      </c>
      <c r="CO225" s="124" t="str">
        <f>IF($B225="","",IFERROR(-BB225,"n.b."))</f>
        <v/>
      </c>
      <c r="CP225" s="124" t="str">
        <f>IF($B225="","",IFERROR(-BC225,"n.b."))</f>
        <v/>
      </c>
      <c r="CQ225" s="124" t="str">
        <f>IF($B225="","",IFERROR(-BD225,"n.b."))</f>
        <v/>
      </c>
      <c r="CR225" s="124" t="str">
        <f>IF($B225="","",IFERROR(-BE225,"n.b."))</f>
        <v/>
      </c>
      <c r="CS225" s="124" t="str">
        <f>IF($B225="","",IFERROR(IF(OR(ABS(T225+V225+X225+Z225-AB225)&gt;P_Tol,ABS(U225+W225+Y225+AA225-AD225)&gt;P_Tol,ABS(AE225+AG225+AI225+AK225-AM225)&gt;P_Tol,ABS(AF225+AH225+AJ225+AL225-AO225)&gt;P_Tol),1,0),1))</f>
        <v/>
      </c>
      <c r="CT225" s="124" t="str">
        <f>IF($B225="","",IFERROR(IF(OR(ABS(AB225+AC225-AD225)&gt;P_Tol,ABS(AM225+AN225-AO225)&gt;P_Tol,ABS(O225+P225-Q225)&gt;P_Tol),1,0),1))</f>
        <v/>
      </c>
      <c r="CU225" s="124" t="str">
        <f>IF($B225="","",IFERROR(IF(ABS(R225-(AB225+AM225+AP225+AR225+AT225+AV225+AX225+AZ225+BB225+BD225))&gt;P_Tol,1,0),1))</f>
        <v/>
      </c>
      <c r="CV225" s="124" t="str">
        <f>IF($B225="","",IFERROR(IF(ABS(M225-(N225+O225+R225))&gt;P_Tol,1,0),1))</f>
        <v/>
      </c>
      <c r="CW225" s="124" t="str">
        <f>IF($B225="","",IF(COUNTIF(Mapping!$A$5:$A$104,B225)&gt;0,1,0))</f>
        <v/>
      </c>
      <c r="CX225" s="124" t="str">
        <f>IF($B225="","",COUNTIF($B$6:$B$505,B225))</f>
        <v/>
      </c>
      <c r="CY225" s="124" t="str">
        <f>IF($B225="","",COUNTIF(STG_Woningetalage!$B$6:$B$505,B225))</f>
        <v/>
      </c>
      <c r="CZ225" s="124" t="str">
        <f>IF($B225="","",IF(CW225=0,COUNTIF($CW$6:CW225,0),""))</f>
        <v/>
      </c>
    </row>
    <row r="226">
      <c r="A226" s="15" t="n">
        <v>222</v>
      </c>
      <c r="B226" t="str">
        <f>IF(B$3=0,"",IF(INDEX(SRC_ZPMW03!$A$1:$ZZ$501,$A226,B$3)&amp;""="","",INDEX(SRC_ZPMW03!$A$1:$ZZ$501,$A226,B$3)&amp;""))</f>
        <v/>
      </c>
      <c r="C226" t="str">
        <f>IF($B226="","",IF(C$3=0,"n.b.",INDEX(SRC_ZPMW03!$A$1:$ZZ$501,$A226,C$3)))</f>
        <v/>
      </c>
      <c r="D226" t="str">
        <f>IF($B226="","",IF(D$3=0,"n.b.",INDEX(SRC_ZPMW03!$A$1:$ZZ$501,$A226,D$3)))</f>
        <v/>
      </c>
      <c r="E226" t="str">
        <f>IF($B226="","",IF(E$3=0,"n.b.",INDEX(SRC_ZPMW03!$A$1:$ZZ$501,$A226,E$3)))</f>
        <v/>
      </c>
      <c r="F226" t="str">
        <f>IF($B226="","",IF(F$3=0,"n.b.",INDEX(SRC_ZPMW03!$A$1:$ZZ$501,$A226,F$3)))</f>
        <v/>
      </c>
      <c r="G226" t="str">
        <f>IF($B226="","",IF(G$3=0,"n.b.",INDEX(SRC_ZPMW03!$A$1:$ZZ$501,$A226,G$3)))</f>
        <v/>
      </c>
      <c r="H226" t="str">
        <f>IF($B226="","",IF(H$3=0,"n.b.",INDEX(SRC_ZPMW03!$A$1:$ZZ$501,$A226,H$3)))</f>
        <v/>
      </c>
      <c r="I226" t="str">
        <f>IF($B226="","",IF(I$3=0,"n.b.",INDEX(SRC_ZPMW03!$A$1:$ZZ$501,$A226,I$3)))</f>
        <v/>
      </c>
      <c r="J226" t="str">
        <f>IF($B226="","",IF(J$3=0,"n.b.",INDEX(SRC_ZPMW03!$A$1:$ZZ$501,$A226,J$3)))</f>
        <v/>
      </c>
      <c r="K226" t="str">
        <f>IF($B226="","",IF(K$3=0,"n.b.",INDEX(SRC_ZPMW03!$A$1:$ZZ$501,$A226,K$3)))</f>
        <v/>
      </c>
      <c r="L226" s="124" t="str">
        <f>IF($B226="","",IF(L$3=0,"n.b.",INDEX(SRC_ZPMW03!$A$1:$ZZ$501,$A226,L$3)))</f>
        <v/>
      </c>
      <c r="M226" s="124" t="str">
        <f>IF($B226="","",IF(M$3=0,"n.b.",INDEX(SRC_ZPMW03!$A$1:$ZZ$501,$A226,M$3)))</f>
        <v/>
      </c>
      <c r="N226" s="124" t="str">
        <f>IF($B226="","",IF(N$3=0,"n.b.",INDEX(SRC_ZPMW03!$A$1:$ZZ$501,$A226,N$3)))</f>
        <v/>
      </c>
      <c r="O226" s="124" t="str">
        <f>IF($B226="","",IF(O$3=0,"n.b.",INDEX(SRC_ZPMW03!$A$1:$ZZ$501,$A226,O$3)))</f>
        <v/>
      </c>
      <c r="P226" s="124" t="str">
        <f>IF($B226="","",IF(P$3=0,"n.b.",INDEX(SRC_ZPMW03!$A$1:$ZZ$501,$A226,P$3)))</f>
        <v/>
      </c>
      <c r="Q226" s="124" t="str">
        <f>IF($B226="","",IF(Q$3=0,"n.b.",INDEX(SRC_ZPMW03!$A$1:$ZZ$501,$A226,Q$3)))</f>
        <v/>
      </c>
      <c r="R226" s="124" t="str">
        <f>IF($B226="","",IF(R$3=0,"n.b.",INDEX(SRC_ZPMW03!$A$1:$ZZ$501,$A226,R$3)))</f>
        <v/>
      </c>
      <c r="S226" s="124" t="str">
        <f>IF($B226="","",IF(S$3=0,"n.b.",INDEX(SRC_ZPMW03!$A$1:$ZZ$501,$A226,S$3)))</f>
        <v/>
      </c>
      <c r="T226" s="124" t="str">
        <f>IF($B226="","",IF(T$3=0,"n.b.",INDEX(SRC_ZPMW03!$A$1:$ZZ$501,$A226,T$3)))</f>
        <v/>
      </c>
      <c r="U226" s="124" t="str">
        <f>IF($B226="","",IF(U$3=0,"n.b.",INDEX(SRC_ZPMW03!$A$1:$ZZ$501,$A226,U$3)))</f>
        <v/>
      </c>
      <c r="V226" s="124" t="str">
        <f>IF($B226="","",IF(V$3=0,"n.b.",INDEX(SRC_ZPMW03!$A$1:$ZZ$501,$A226,V$3)))</f>
        <v/>
      </c>
      <c r="W226" s="124" t="str">
        <f>IF($B226="","",IF(W$3=0,"n.b.",INDEX(SRC_ZPMW03!$A$1:$ZZ$501,$A226,W$3)))</f>
        <v/>
      </c>
      <c r="X226" s="124" t="str">
        <f>IF($B226="","",IF(X$3=0,"n.b.",INDEX(SRC_ZPMW03!$A$1:$ZZ$501,$A226,X$3)))</f>
        <v/>
      </c>
      <c r="Y226" s="124" t="str">
        <f>IF($B226="","",IF(Y$3=0,"n.b.",INDEX(SRC_ZPMW03!$A$1:$ZZ$501,$A226,Y$3)))</f>
        <v/>
      </c>
      <c r="Z226" s="124" t="str">
        <f>IF($B226="","",IF(Z$3=0,"n.b.",INDEX(SRC_ZPMW03!$A$1:$ZZ$501,$A226,Z$3)))</f>
        <v/>
      </c>
      <c r="AA226" s="124" t="str">
        <f>IF($B226="","",IF(AA$3=0,"n.b.",INDEX(SRC_ZPMW03!$A$1:$ZZ$501,$A226,AA$3)))</f>
        <v/>
      </c>
      <c r="AB226" s="124" t="str">
        <f>IF($B226="","",IF(AB$3=0,"n.b.",INDEX(SRC_ZPMW03!$A$1:$ZZ$501,$A226,AB$3)))</f>
        <v/>
      </c>
      <c r="AC226" s="124" t="str">
        <f>IF($B226="","",IF(AC$3=0,"n.b.",INDEX(SRC_ZPMW03!$A$1:$ZZ$501,$A226,AC$3)))</f>
        <v/>
      </c>
      <c r="AD226" s="124" t="str">
        <f>IF($B226="","",IF(AD$3=0,"n.b.",INDEX(SRC_ZPMW03!$A$1:$ZZ$501,$A226,AD$3)))</f>
        <v/>
      </c>
      <c r="AE226" s="124" t="str">
        <f>IF($B226="","",IF(AE$3=0,"n.b.",INDEX(SRC_ZPMW03!$A$1:$ZZ$501,$A226,AE$3)))</f>
        <v/>
      </c>
      <c r="AF226" s="124" t="str">
        <f>IF($B226="","",IF(AF$3=0,"n.b.",INDEX(SRC_ZPMW03!$A$1:$ZZ$501,$A226,AF$3)))</f>
        <v/>
      </c>
      <c r="AG226" s="124" t="str">
        <f>IF($B226="","",IF(AG$3=0,"n.b.",INDEX(SRC_ZPMW03!$A$1:$ZZ$501,$A226,AG$3)))</f>
        <v/>
      </c>
      <c r="AH226" s="124" t="str">
        <f>IF($B226="","",IF(AH$3=0,"n.b.",INDEX(SRC_ZPMW03!$A$1:$ZZ$501,$A226,AH$3)))</f>
        <v/>
      </c>
      <c r="AI226" s="124" t="str">
        <f>IF($B226="","",IF(AI$3=0,"n.b.",INDEX(SRC_ZPMW03!$A$1:$ZZ$501,$A226,AI$3)))</f>
        <v/>
      </c>
      <c r="AJ226" s="124" t="str">
        <f>IF($B226="","",IF(AJ$3=0,"n.b.",INDEX(SRC_ZPMW03!$A$1:$ZZ$501,$A226,AJ$3)))</f>
        <v/>
      </c>
      <c r="AK226" s="124" t="str">
        <f>IF($B226="","",IF(AK$3=0,"n.b.",INDEX(SRC_ZPMW03!$A$1:$ZZ$501,$A226,AK$3)))</f>
        <v/>
      </c>
      <c r="AL226" s="124" t="str">
        <f>IF($B226="","",IF(AL$3=0,"n.b.",INDEX(SRC_ZPMW03!$A$1:$ZZ$501,$A226,AL$3)))</f>
        <v/>
      </c>
      <c r="AM226" s="124" t="str">
        <f>IF($B226="","",IF(AM$3=0,"n.b.",INDEX(SRC_ZPMW03!$A$1:$ZZ$501,$A226,AM$3)))</f>
        <v/>
      </c>
      <c r="AN226" s="124" t="str">
        <f>IF($B226="","",IF(AN$3=0,"n.b.",INDEX(SRC_ZPMW03!$A$1:$ZZ$501,$A226,AN$3)))</f>
        <v/>
      </c>
      <c r="AO226" s="124" t="str">
        <f>IF($B226="","",IF(AO$3=0,"n.b.",INDEX(SRC_ZPMW03!$A$1:$ZZ$501,$A226,AO$3)))</f>
        <v/>
      </c>
      <c r="AP226" s="124" t="str">
        <f>IF($B226="","",IF(AP$3=0,"n.b.",INDEX(SRC_ZPMW03!$A$1:$ZZ$501,$A226,AP$3)))</f>
        <v/>
      </c>
      <c r="AQ226" s="124" t="str">
        <f>IF($B226="","",IF(AQ$3=0,"n.b.",INDEX(SRC_ZPMW03!$A$1:$ZZ$501,$A226,AQ$3)))</f>
        <v/>
      </c>
      <c r="AR226" s="124" t="str">
        <f>IF($B226="","",IF(AR$3=0,"n.b.",INDEX(SRC_ZPMW03!$A$1:$ZZ$501,$A226,AR$3)))</f>
        <v/>
      </c>
      <c r="AS226" s="124" t="str">
        <f>IF($B226="","",IF(AS$3=0,"n.b.",INDEX(SRC_ZPMW03!$A$1:$ZZ$501,$A226,AS$3)))</f>
        <v/>
      </c>
      <c r="AT226" s="124" t="str">
        <f>IF($B226="","",IF(AT$3=0,"n.b.",INDEX(SRC_ZPMW03!$A$1:$ZZ$501,$A226,AT$3)))</f>
        <v/>
      </c>
      <c r="AU226" s="124" t="str">
        <f>IF($B226="","",IF(AU$3=0,"n.b.",INDEX(SRC_ZPMW03!$A$1:$ZZ$501,$A226,AU$3)))</f>
        <v/>
      </c>
      <c r="AV226" s="124" t="str">
        <f>IF($B226="","",IF(AV$3=0,"n.b.",INDEX(SRC_ZPMW03!$A$1:$ZZ$501,$A226,AV$3)))</f>
        <v/>
      </c>
      <c r="AW226" s="124" t="str">
        <f>IF($B226="","",IF(AW$3=0,"n.b.",INDEX(SRC_ZPMW03!$A$1:$ZZ$501,$A226,AW$3)))</f>
        <v/>
      </c>
      <c r="AX226" s="124" t="str">
        <f>IF($B226="","",IF(AX$3=0,"n.b.",INDEX(SRC_ZPMW03!$A$1:$ZZ$501,$A226,AX$3)))</f>
        <v/>
      </c>
      <c r="AY226" s="124" t="str">
        <f>IF($B226="","",IF(AY$3=0,"n.b.",INDEX(SRC_ZPMW03!$A$1:$ZZ$501,$A226,AY$3)))</f>
        <v/>
      </c>
      <c r="AZ226" s="124" t="str">
        <f>IF($B226="","",IF(AZ$3=0,"n.b.",INDEX(SRC_ZPMW03!$A$1:$ZZ$501,$A226,AZ$3)))</f>
        <v/>
      </c>
      <c r="BA226" s="124" t="str">
        <f>IF($B226="","",IF(BA$3=0,"n.b.",INDEX(SRC_ZPMW03!$A$1:$ZZ$501,$A226,BA$3)))</f>
        <v/>
      </c>
      <c r="BB226" s="124" t="str">
        <f>IF($B226="","",IF(BB$3=0,"n.b.",INDEX(SRC_ZPMW03!$A$1:$ZZ$501,$A226,BB$3)))</f>
        <v/>
      </c>
      <c r="BC226" s="124" t="str">
        <f>IF($B226="","",IF(BC$3=0,"n.b.",INDEX(SRC_ZPMW03!$A$1:$ZZ$501,$A226,BC$3)))</f>
        <v/>
      </c>
      <c r="BD226" s="124" t="str">
        <f>IF($B226="","",IF(BD$3=0,"n.b.",INDEX(SRC_ZPMW03!$A$1:$ZZ$501,$A226,BD$3)))</f>
        <v/>
      </c>
      <c r="BE226" s="124" t="str">
        <f>IF($B226="","",IF(BE$3=0,"n.b.",INDEX(SRC_ZPMW03!$A$1:$ZZ$501,$A226,BE$3)))</f>
        <v/>
      </c>
      <c r="BF226" s="124" t="str">
        <f>IF($B226="","",IF(BF$3=0,"n.b.",INDEX(SRC_ZPMW03!$A$1:$ZZ$501,$A226,BF$3)))</f>
        <v/>
      </c>
      <c r="BG226" t="str">
        <f>IF($B226="","",IF(BG$3=0,"n.b.",INDEX(SRC_ZPMW03!$A$1:$ZZ$501,$A226,BG$3)))</f>
        <v/>
      </c>
      <c r="BH226" t="str">
        <f>IF($B226="","",IF(BH$3=0,"n.b.",INDEX(SRC_ZPMW03!$A$1:$ZZ$501,$A226,BH$3)))</f>
        <v/>
      </c>
      <c r="BI226" t="str">
        <f>IF($B226="","",IF(BI$3=0,"n.b.",INDEX(SRC_ZPMW03!$A$1:$ZZ$501,$A226,BI$3)))</f>
        <v/>
      </c>
      <c r="BJ226" t="str">
        <f>IF($B226="","",IF(BJ$3=0,"n.b.",INDEX(SRC_ZPMW03!$A$1:$ZZ$501,$A226,BJ$3)))</f>
        <v/>
      </c>
      <c r="BK226" s="124" t="str">
        <f>IF($B226="","",IFERROR(-O226,"n.b."))</f>
        <v/>
      </c>
      <c r="BL226" s="124" t="str">
        <f>IF($B226="","",IFERROR(-Q226,"n.b."))</f>
        <v/>
      </c>
      <c r="BM226" s="124" t="str">
        <f>IF($B226="","",IFERROR(-AB226,"n.b."))</f>
        <v/>
      </c>
      <c r="BN226" s="124" t="str">
        <f>IF($B226="","",IFERROR(-AD226,"n.b."))</f>
        <v/>
      </c>
      <c r="BO226" s="124" t="str">
        <f>IF($B226="","",IFERROR(BK226+BM226,"n.b."))</f>
        <v/>
      </c>
      <c r="BP226" s="124" t="str">
        <f>IF($B226="","",IFERROR(BL226+BN226,"n.b."))</f>
        <v/>
      </c>
      <c r="BQ226" s="124" t="str">
        <f>IF($B226="","",IFERROR(-AM226,"n.b."))</f>
        <v/>
      </c>
      <c r="BR226" s="124" t="str">
        <f>IF($B226="","",IFERROR(-AO226,"n.b."))</f>
        <v/>
      </c>
      <c r="BS226" s="124" t="str">
        <f>IF($B226="","",IFERROR(-Z226,"n.b."))</f>
        <v/>
      </c>
      <c r="BT226" s="124" t="str">
        <f>IF($B226="","",IFERROR(-AA226,"n.b."))</f>
        <v/>
      </c>
      <c r="BU226" s="124" t="str">
        <f>IF($B226="","",IFERROR(-AE226,"n.b."))</f>
        <v/>
      </c>
      <c r="BV226" s="124" t="str">
        <f>IF($B226="","",IFERROR(-AF226,"n.b."))</f>
        <v/>
      </c>
      <c r="BW226" s="124" t="str">
        <f>IF($B226="","",IFERROR(-AG226,"n.b."))</f>
        <v/>
      </c>
      <c r="BX226" s="124" t="str">
        <f>IF($B226="","",IFERROR(-AH226,"n.b."))</f>
        <v/>
      </c>
      <c r="BY226" s="124" t="str">
        <f>IF($B226="","",IFERROR(-AI226,"n.b."))</f>
        <v/>
      </c>
      <c r="BZ226" s="124" t="str">
        <f>IF($B226="","",IFERROR(-AJ226,"n.b."))</f>
        <v/>
      </c>
      <c r="CA226" s="124" t="str">
        <f>IF($B226="","",IFERROR(-AK226,"n.b."))</f>
        <v/>
      </c>
      <c r="CB226" s="124" t="str">
        <f>IF($B226="","",IFERROR(-AL226,"n.b."))</f>
        <v/>
      </c>
      <c r="CC226" s="124" t="str">
        <f>IF($B226="","",IFERROR(-AP226,"n.b."))</f>
        <v/>
      </c>
      <c r="CD226" s="124" t="str">
        <f>IF($B226="","",IFERROR(-AQ226,"n.b."))</f>
        <v/>
      </c>
      <c r="CE226" s="124" t="str">
        <f>IF($B226="","",IFERROR(-AR226,"n.b."))</f>
        <v/>
      </c>
      <c r="CF226" s="124" t="str">
        <f>IF($B226="","",IFERROR(-AS226,"n.b."))</f>
        <v/>
      </c>
      <c r="CG226" s="124" t="str">
        <f>IF($B226="","",IFERROR(-AT226,"n.b."))</f>
        <v/>
      </c>
      <c r="CH226" s="124" t="str">
        <f>IF($B226="","",IFERROR(-AU226,"n.b."))</f>
        <v/>
      </c>
      <c r="CI226" s="124" t="str">
        <f>IF($B226="","",IFERROR(-AV226,"n.b."))</f>
        <v/>
      </c>
      <c r="CJ226" s="124" t="str">
        <f>IF($B226="","",IFERROR(-AW226,"n.b."))</f>
        <v/>
      </c>
      <c r="CK226" s="124" t="str">
        <f>IF($B226="","",IFERROR(-AX226,"n.b."))</f>
        <v/>
      </c>
      <c r="CL226" s="124" t="str">
        <f>IF($B226="","",IFERROR(-AY226,"n.b."))</f>
        <v/>
      </c>
      <c r="CM226" s="124" t="str">
        <f>IF($B226="","",IFERROR(-AZ226,"n.b."))</f>
        <v/>
      </c>
      <c r="CN226" s="124" t="str">
        <f>IF($B226="","",IFERROR(-BA226,"n.b."))</f>
        <v/>
      </c>
      <c r="CO226" s="124" t="str">
        <f>IF($B226="","",IFERROR(-BB226,"n.b."))</f>
        <v/>
      </c>
      <c r="CP226" s="124" t="str">
        <f>IF($B226="","",IFERROR(-BC226,"n.b."))</f>
        <v/>
      </c>
      <c r="CQ226" s="124" t="str">
        <f>IF($B226="","",IFERROR(-BD226,"n.b."))</f>
        <v/>
      </c>
      <c r="CR226" s="124" t="str">
        <f>IF($B226="","",IFERROR(-BE226,"n.b."))</f>
        <v/>
      </c>
      <c r="CS226" s="124" t="str">
        <f>IF($B226="","",IFERROR(IF(OR(ABS(T226+V226+X226+Z226-AB226)&gt;P_Tol,ABS(U226+W226+Y226+AA226-AD226)&gt;P_Tol,ABS(AE226+AG226+AI226+AK226-AM226)&gt;P_Tol,ABS(AF226+AH226+AJ226+AL226-AO226)&gt;P_Tol),1,0),1))</f>
        <v/>
      </c>
      <c r="CT226" s="124" t="str">
        <f>IF($B226="","",IFERROR(IF(OR(ABS(AB226+AC226-AD226)&gt;P_Tol,ABS(AM226+AN226-AO226)&gt;P_Tol,ABS(O226+P226-Q226)&gt;P_Tol),1,0),1))</f>
        <v/>
      </c>
      <c r="CU226" s="124" t="str">
        <f>IF($B226="","",IFERROR(IF(ABS(R226-(AB226+AM226+AP226+AR226+AT226+AV226+AX226+AZ226+BB226+BD226))&gt;P_Tol,1,0),1))</f>
        <v/>
      </c>
      <c r="CV226" s="124" t="str">
        <f>IF($B226="","",IFERROR(IF(ABS(M226-(N226+O226+R226))&gt;P_Tol,1,0),1))</f>
        <v/>
      </c>
      <c r="CW226" s="124" t="str">
        <f>IF($B226="","",IF(COUNTIF(Mapping!$A$5:$A$104,B226)&gt;0,1,0))</f>
        <v/>
      </c>
      <c r="CX226" s="124" t="str">
        <f>IF($B226="","",COUNTIF($B$6:$B$505,B226))</f>
        <v/>
      </c>
      <c r="CY226" s="124" t="str">
        <f>IF($B226="","",COUNTIF(STG_Woningetalage!$B$6:$B$505,B226))</f>
        <v/>
      </c>
      <c r="CZ226" s="124" t="str">
        <f>IF($B226="","",IF(CW226=0,COUNTIF($CW$6:CW226,0),""))</f>
        <v/>
      </c>
    </row>
    <row r="227">
      <c r="A227" s="15" t="n">
        <v>223</v>
      </c>
      <c r="B227" t="str">
        <f>IF(B$3=0,"",IF(INDEX(SRC_ZPMW03!$A$1:$ZZ$501,$A227,B$3)&amp;""="","",INDEX(SRC_ZPMW03!$A$1:$ZZ$501,$A227,B$3)&amp;""))</f>
        <v/>
      </c>
      <c r="C227" t="str">
        <f>IF($B227="","",IF(C$3=0,"n.b.",INDEX(SRC_ZPMW03!$A$1:$ZZ$501,$A227,C$3)))</f>
        <v/>
      </c>
      <c r="D227" t="str">
        <f>IF($B227="","",IF(D$3=0,"n.b.",INDEX(SRC_ZPMW03!$A$1:$ZZ$501,$A227,D$3)))</f>
        <v/>
      </c>
      <c r="E227" t="str">
        <f>IF($B227="","",IF(E$3=0,"n.b.",INDEX(SRC_ZPMW03!$A$1:$ZZ$501,$A227,E$3)))</f>
        <v/>
      </c>
      <c r="F227" t="str">
        <f>IF($B227="","",IF(F$3=0,"n.b.",INDEX(SRC_ZPMW03!$A$1:$ZZ$501,$A227,F$3)))</f>
        <v/>
      </c>
      <c r="G227" t="str">
        <f>IF($B227="","",IF(G$3=0,"n.b.",INDEX(SRC_ZPMW03!$A$1:$ZZ$501,$A227,G$3)))</f>
        <v/>
      </c>
      <c r="H227" t="str">
        <f>IF($B227="","",IF(H$3=0,"n.b.",INDEX(SRC_ZPMW03!$A$1:$ZZ$501,$A227,H$3)))</f>
        <v/>
      </c>
      <c r="I227" t="str">
        <f>IF($B227="","",IF(I$3=0,"n.b.",INDEX(SRC_ZPMW03!$A$1:$ZZ$501,$A227,I$3)))</f>
        <v/>
      </c>
      <c r="J227" t="str">
        <f>IF($B227="","",IF(J$3=0,"n.b.",INDEX(SRC_ZPMW03!$A$1:$ZZ$501,$A227,J$3)))</f>
        <v/>
      </c>
      <c r="K227" t="str">
        <f>IF($B227="","",IF(K$3=0,"n.b.",INDEX(SRC_ZPMW03!$A$1:$ZZ$501,$A227,K$3)))</f>
        <v/>
      </c>
      <c r="L227" s="124" t="str">
        <f>IF($B227="","",IF(L$3=0,"n.b.",INDEX(SRC_ZPMW03!$A$1:$ZZ$501,$A227,L$3)))</f>
        <v/>
      </c>
      <c r="M227" s="124" t="str">
        <f>IF($B227="","",IF(M$3=0,"n.b.",INDEX(SRC_ZPMW03!$A$1:$ZZ$501,$A227,M$3)))</f>
        <v/>
      </c>
      <c r="N227" s="124" t="str">
        <f>IF($B227="","",IF(N$3=0,"n.b.",INDEX(SRC_ZPMW03!$A$1:$ZZ$501,$A227,N$3)))</f>
        <v/>
      </c>
      <c r="O227" s="124" t="str">
        <f>IF($B227="","",IF(O$3=0,"n.b.",INDEX(SRC_ZPMW03!$A$1:$ZZ$501,$A227,O$3)))</f>
        <v/>
      </c>
      <c r="P227" s="124" t="str">
        <f>IF($B227="","",IF(P$3=0,"n.b.",INDEX(SRC_ZPMW03!$A$1:$ZZ$501,$A227,P$3)))</f>
        <v/>
      </c>
      <c r="Q227" s="124" t="str">
        <f>IF($B227="","",IF(Q$3=0,"n.b.",INDEX(SRC_ZPMW03!$A$1:$ZZ$501,$A227,Q$3)))</f>
        <v/>
      </c>
      <c r="R227" s="124" t="str">
        <f>IF($B227="","",IF(R$3=0,"n.b.",INDEX(SRC_ZPMW03!$A$1:$ZZ$501,$A227,R$3)))</f>
        <v/>
      </c>
      <c r="S227" s="124" t="str">
        <f>IF($B227="","",IF(S$3=0,"n.b.",INDEX(SRC_ZPMW03!$A$1:$ZZ$501,$A227,S$3)))</f>
        <v/>
      </c>
      <c r="T227" s="124" t="str">
        <f>IF($B227="","",IF(T$3=0,"n.b.",INDEX(SRC_ZPMW03!$A$1:$ZZ$501,$A227,T$3)))</f>
        <v/>
      </c>
      <c r="U227" s="124" t="str">
        <f>IF($B227="","",IF(U$3=0,"n.b.",INDEX(SRC_ZPMW03!$A$1:$ZZ$501,$A227,U$3)))</f>
        <v/>
      </c>
      <c r="V227" s="124" t="str">
        <f>IF($B227="","",IF(V$3=0,"n.b.",INDEX(SRC_ZPMW03!$A$1:$ZZ$501,$A227,V$3)))</f>
        <v/>
      </c>
      <c r="W227" s="124" t="str">
        <f>IF($B227="","",IF(W$3=0,"n.b.",INDEX(SRC_ZPMW03!$A$1:$ZZ$501,$A227,W$3)))</f>
        <v/>
      </c>
      <c r="X227" s="124" t="str">
        <f>IF($B227="","",IF(X$3=0,"n.b.",INDEX(SRC_ZPMW03!$A$1:$ZZ$501,$A227,X$3)))</f>
        <v/>
      </c>
      <c r="Y227" s="124" t="str">
        <f>IF($B227="","",IF(Y$3=0,"n.b.",INDEX(SRC_ZPMW03!$A$1:$ZZ$501,$A227,Y$3)))</f>
        <v/>
      </c>
      <c r="Z227" s="124" t="str">
        <f>IF($B227="","",IF(Z$3=0,"n.b.",INDEX(SRC_ZPMW03!$A$1:$ZZ$501,$A227,Z$3)))</f>
        <v/>
      </c>
      <c r="AA227" s="124" t="str">
        <f>IF($B227="","",IF(AA$3=0,"n.b.",INDEX(SRC_ZPMW03!$A$1:$ZZ$501,$A227,AA$3)))</f>
        <v/>
      </c>
      <c r="AB227" s="124" t="str">
        <f>IF($B227="","",IF(AB$3=0,"n.b.",INDEX(SRC_ZPMW03!$A$1:$ZZ$501,$A227,AB$3)))</f>
        <v/>
      </c>
      <c r="AC227" s="124" t="str">
        <f>IF($B227="","",IF(AC$3=0,"n.b.",INDEX(SRC_ZPMW03!$A$1:$ZZ$501,$A227,AC$3)))</f>
        <v/>
      </c>
      <c r="AD227" s="124" t="str">
        <f>IF($B227="","",IF(AD$3=0,"n.b.",INDEX(SRC_ZPMW03!$A$1:$ZZ$501,$A227,AD$3)))</f>
        <v/>
      </c>
      <c r="AE227" s="124" t="str">
        <f>IF($B227="","",IF(AE$3=0,"n.b.",INDEX(SRC_ZPMW03!$A$1:$ZZ$501,$A227,AE$3)))</f>
        <v/>
      </c>
      <c r="AF227" s="124" t="str">
        <f>IF($B227="","",IF(AF$3=0,"n.b.",INDEX(SRC_ZPMW03!$A$1:$ZZ$501,$A227,AF$3)))</f>
        <v/>
      </c>
      <c r="AG227" s="124" t="str">
        <f>IF($B227="","",IF(AG$3=0,"n.b.",INDEX(SRC_ZPMW03!$A$1:$ZZ$501,$A227,AG$3)))</f>
        <v/>
      </c>
      <c r="AH227" s="124" t="str">
        <f>IF($B227="","",IF(AH$3=0,"n.b.",INDEX(SRC_ZPMW03!$A$1:$ZZ$501,$A227,AH$3)))</f>
        <v/>
      </c>
      <c r="AI227" s="124" t="str">
        <f>IF($B227="","",IF(AI$3=0,"n.b.",INDEX(SRC_ZPMW03!$A$1:$ZZ$501,$A227,AI$3)))</f>
        <v/>
      </c>
      <c r="AJ227" s="124" t="str">
        <f>IF($B227="","",IF(AJ$3=0,"n.b.",INDEX(SRC_ZPMW03!$A$1:$ZZ$501,$A227,AJ$3)))</f>
        <v/>
      </c>
      <c r="AK227" s="124" t="str">
        <f>IF($B227="","",IF(AK$3=0,"n.b.",INDEX(SRC_ZPMW03!$A$1:$ZZ$501,$A227,AK$3)))</f>
        <v/>
      </c>
      <c r="AL227" s="124" t="str">
        <f>IF($B227="","",IF(AL$3=0,"n.b.",INDEX(SRC_ZPMW03!$A$1:$ZZ$501,$A227,AL$3)))</f>
        <v/>
      </c>
      <c r="AM227" s="124" t="str">
        <f>IF($B227="","",IF(AM$3=0,"n.b.",INDEX(SRC_ZPMW03!$A$1:$ZZ$501,$A227,AM$3)))</f>
        <v/>
      </c>
      <c r="AN227" s="124" t="str">
        <f>IF($B227="","",IF(AN$3=0,"n.b.",INDEX(SRC_ZPMW03!$A$1:$ZZ$501,$A227,AN$3)))</f>
        <v/>
      </c>
      <c r="AO227" s="124" t="str">
        <f>IF($B227="","",IF(AO$3=0,"n.b.",INDEX(SRC_ZPMW03!$A$1:$ZZ$501,$A227,AO$3)))</f>
        <v/>
      </c>
      <c r="AP227" s="124" t="str">
        <f>IF($B227="","",IF(AP$3=0,"n.b.",INDEX(SRC_ZPMW03!$A$1:$ZZ$501,$A227,AP$3)))</f>
        <v/>
      </c>
      <c r="AQ227" s="124" t="str">
        <f>IF($B227="","",IF(AQ$3=0,"n.b.",INDEX(SRC_ZPMW03!$A$1:$ZZ$501,$A227,AQ$3)))</f>
        <v/>
      </c>
      <c r="AR227" s="124" t="str">
        <f>IF($B227="","",IF(AR$3=0,"n.b.",INDEX(SRC_ZPMW03!$A$1:$ZZ$501,$A227,AR$3)))</f>
        <v/>
      </c>
      <c r="AS227" s="124" t="str">
        <f>IF($B227="","",IF(AS$3=0,"n.b.",INDEX(SRC_ZPMW03!$A$1:$ZZ$501,$A227,AS$3)))</f>
        <v/>
      </c>
      <c r="AT227" s="124" t="str">
        <f>IF($B227="","",IF(AT$3=0,"n.b.",INDEX(SRC_ZPMW03!$A$1:$ZZ$501,$A227,AT$3)))</f>
        <v/>
      </c>
      <c r="AU227" s="124" t="str">
        <f>IF($B227="","",IF(AU$3=0,"n.b.",INDEX(SRC_ZPMW03!$A$1:$ZZ$501,$A227,AU$3)))</f>
        <v/>
      </c>
      <c r="AV227" s="124" t="str">
        <f>IF($B227="","",IF(AV$3=0,"n.b.",INDEX(SRC_ZPMW03!$A$1:$ZZ$501,$A227,AV$3)))</f>
        <v/>
      </c>
      <c r="AW227" s="124" t="str">
        <f>IF($B227="","",IF(AW$3=0,"n.b.",INDEX(SRC_ZPMW03!$A$1:$ZZ$501,$A227,AW$3)))</f>
        <v/>
      </c>
      <c r="AX227" s="124" t="str">
        <f>IF($B227="","",IF(AX$3=0,"n.b.",INDEX(SRC_ZPMW03!$A$1:$ZZ$501,$A227,AX$3)))</f>
        <v/>
      </c>
      <c r="AY227" s="124" t="str">
        <f>IF($B227="","",IF(AY$3=0,"n.b.",INDEX(SRC_ZPMW03!$A$1:$ZZ$501,$A227,AY$3)))</f>
        <v/>
      </c>
      <c r="AZ227" s="124" t="str">
        <f>IF($B227="","",IF(AZ$3=0,"n.b.",INDEX(SRC_ZPMW03!$A$1:$ZZ$501,$A227,AZ$3)))</f>
        <v/>
      </c>
      <c r="BA227" s="124" t="str">
        <f>IF($B227="","",IF(BA$3=0,"n.b.",INDEX(SRC_ZPMW03!$A$1:$ZZ$501,$A227,BA$3)))</f>
        <v/>
      </c>
      <c r="BB227" s="124" t="str">
        <f>IF($B227="","",IF(BB$3=0,"n.b.",INDEX(SRC_ZPMW03!$A$1:$ZZ$501,$A227,BB$3)))</f>
        <v/>
      </c>
      <c r="BC227" s="124" t="str">
        <f>IF($B227="","",IF(BC$3=0,"n.b.",INDEX(SRC_ZPMW03!$A$1:$ZZ$501,$A227,BC$3)))</f>
        <v/>
      </c>
      <c r="BD227" s="124" t="str">
        <f>IF($B227="","",IF(BD$3=0,"n.b.",INDEX(SRC_ZPMW03!$A$1:$ZZ$501,$A227,BD$3)))</f>
        <v/>
      </c>
      <c r="BE227" s="124" t="str">
        <f>IF($B227="","",IF(BE$3=0,"n.b.",INDEX(SRC_ZPMW03!$A$1:$ZZ$501,$A227,BE$3)))</f>
        <v/>
      </c>
      <c r="BF227" s="124" t="str">
        <f>IF($B227="","",IF(BF$3=0,"n.b.",INDEX(SRC_ZPMW03!$A$1:$ZZ$501,$A227,BF$3)))</f>
        <v/>
      </c>
      <c r="BG227" t="str">
        <f>IF($B227="","",IF(BG$3=0,"n.b.",INDEX(SRC_ZPMW03!$A$1:$ZZ$501,$A227,BG$3)))</f>
        <v/>
      </c>
      <c r="BH227" t="str">
        <f>IF($B227="","",IF(BH$3=0,"n.b.",INDEX(SRC_ZPMW03!$A$1:$ZZ$501,$A227,BH$3)))</f>
        <v/>
      </c>
      <c r="BI227" t="str">
        <f>IF($B227="","",IF(BI$3=0,"n.b.",INDEX(SRC_ZPMW03!$A$1:$ZZ$501,$A227,BI$3)))</f>
        <v/>
      </c>
      <c r="BJ227" t="str">
        <f>IF($B227="","",IF(BJ$3=0,"n.b.",INDEX(SRC_ZPMW03!$A$1:$ZZ$501,$A227,BJ$3)))</f>
        <v/>
      </c>
      <c r="BK227" s="124" t="str">
        <f>IF($B227="","",IFERROR(-O227,"n.b."))</f>
        <v/>
      </c>
      <c r="BL227" s="124" t="str">
        <f>IF($B227="","",IFERROR(-Q227,"n.b."))</f>
        <v/>
      </c>
      <c r="BM227" s="124" t="str">
        <f>IF($B227="","",IFERROR(-AB227,"n.b."))</f>
        <v/>
      </c>
      <c r="BN227" s="124" t="str">
        <f>IF($B227="","",IFERROR(-AD227,"n.b."))</f>
        <v/>
      </c>
      <c r="BO227" s="124" t="str">
        <f>IF($B227="","",IFERROR(BK227+BM227,"n.b."))</f>
        <v/>
      </c>
      <c r="BP227" s="124" t="str">
        <f>IF($B227="","",IFERROR(BL227+BN227,"n.b."))</f>
        <v/>
      </c>
      <c r="BQ227" s="124" t="str">
        <f>IF($B227="","",IFERROR(-AM227,"n.b."))</f>
        <v/>
      </c>
      <c r="BR227" s="124" t="str">
        <f>IF($B227="","",IFERROR(-AO227,"n.b."))</f>
        <v/>
      </c>
      <c r="BS227" s="124" t="str">
        <f>IF($B227="","",IFERROR(-Z227,"n.b."))</f>
        <v/>
      </c>
      <c r="BT227" s="124" t="str">
        <f>IF($B227="","",IFERROR(-AA227,"n.b."))</f>
        <v/>
      </c>
      <c r="BU227" s="124" t="str">
        <f>IF($B227="","",IFERROR(-AE227,"n.b."))</f>
        <v/>
      </c>
      <c r="BV227" s="124" t="str">
        <f>IF($B227="","",IFERROR(-AF227,"n.b."))</f>
        <v/>
      </c>
      <c r="BW227" s="124" t="str">
        <f>IF($B227="","",IFERROR(-AG227,"n.b."))</f>
        <v/>
      </c>
      <c r="BX227" s="124" t="str">
        <f>IF($B227="","",IFERROR(-AH227,"n.b."))</f>
        <v/>
      </c>
      <c r="BY227" s="124" t="str">
        <f>IF($B227="","",IFERROR(-AI227,"n.b."))</f>
        <v/>
      </c>
      <c r="BZ227" s="124" t="str">
        <f>IF($B227="","",IFERROR(-AJ227,"n.b."))</f>
        <v/>
      </c>
      <c r="CA227" s="124" t="str">
        <f>IF($B227="","",IFERROR(-AK227,"n.b."))</f>
        <v/>
      </c>
      <c r="CB227" s="124" t="str">
        <f>IF($B227="","",IFERROR(-AL227,"n.b."))</f>
        <v/>
      </c>
      <c r="CC227" s="124" t="str">
        <f>IF($B227="","",IFERROR(-AP227,"n.b."))</f>
        <v/>
      </c>
      <c r="CD227" s="124" t="str">
        <f>IF($B227="","",IFERROR(-AQ227,"n.b."))</f>
        <v/>
      </c>
      <c r="CE227" s="124" t="str">
        <f>IF($B227="","",IFERROR(-AR227,"n.b."))</f>
        <v/>
      </c>
      <c r="CF227" s="124" t="str">
        <f>IF($B227="","",IFERROR(-AS227,"n.b."))</f>
        <v/>
      </c>
      <c r="CG227" s="124" t="str">
        <f>IF($B227="","",IFERROR(-AT227,"n.b."))</f>
        <v/>
      </c>
      <c r="CH227" s="124" t="str">
        <f>IF($B227="","",IFERROR(-AU227,"n.b."))</f>
        <v/>
      </c>
      <c r="CI227" s="124" t="str">
        <f>IF($B227="","",IFERROR(-AV227,"n.b."))</f>
        <v/>
      </c>
      <c r="CJ227" s="124" t="str">
        <f>IF($B227="","",IFERROR(-AW227,"n.b."))</f>
        <v/>
      </c>
      <c r="CK227" s="124" t="str">
        <f>IF($B227="","",IFERROR(-AX227,"n.b."))</f>
        <v/>
      </c>
      <c r="CL227" s="124" t="str">
        <f>IF($B227="","",IFERROR(-AY227,"n.b."))</f>
        <v/>
      </c>
      <c r="CM227" s="124" t="str">
        <f>IF($B227="","",IFERROR(-AZ227,"n.b."))</f>
        <v/>
      </c>
      <c r="CN227" s="124" t="str">
        <f>IF($B227="","",IFERROR(-BA227,"n.b."))</f>
        <v/>
      </c>
      <c r="CO227" s="124" t="str">
        <f>IF($B227="","",IFERROR(-BB227,"n.b."))</f>
        <v/>
      </c>
      <c r="CP227" s="124" t="str">
        <f>IF($B227="","",IFERROR(-BC227,"n.b."))</f>
        <v/>
      </c>
      <c r="CQ227" s="124" t="str">
        <f>IF($B227="","",IFERROR(-BD227,"n.b."))</f>
        <v/>
      </c>
      <c r="CR227" s="124" t="str">
        <f>IF($B227="","",IFERROR(-BE227,"n.b."))</f>
        <v/>
      </c>
      <c r="CS227" s="124" t="str">
        <f>IF($B227="","",IFERROR(IF(OR(ABS(T227+V227+X227+Z227-AB227)&gt;P_Tol,ABS(U227+W227+Y227+AA227-AD227)&gt;P_Tol,ABS(AE227+AG227+AI227+AK227-AM227)&gt;P_Tol,ABS(AF227+AH227+AJ227+AL227-AO227)&gt;P_Tol),1,0),1))</f>
        <v/>
      </c>
      <c r="CT227" s="124" t="str">
        <f>IF($B227="","",IFERROR(IF(OR(ABS(AB227+AC227-AD227)&gt;P_Tol,ABS(AM227+AN227-AO227)&gt;P_Tol,ABS(O227+P227-Q227)&gt;P_Tol),1,0),1))</f>
        <v/>
      </c>
      <c r="CU227" s="124" t="str">
        <f>IF($B227="","",IFERROR(IF(ABS(R227-(AB227+AM227+AP227+AR227+AT227+AV227+AX227+AZ227+BB227+BD227))&gt;P_Tol,1,0),1))</f>
        <v/>
      </c>
      <c r="CV227" s="124" t="str">
        <f>IF($B227="","",IFERROR(IF(ABS(M227-(N227+O227+R227))&gt;P_Tol,1,0),1))</f>
        <v/>
      </c>
      <c r="CW227" s="124" t="str">
        <f>IF($B227="","",IF(COUNTIF(Mapping!$A$5:$A$104,B227)&gt;0,1,0))</f>
        <v/>
      </c>
      <c r="CX227" s="124" t="str">
        <f>IF($B227="","",COUNTIF($B$6:$B$505,B227))</f>
        <v/>
      </c>
      <c r="CY227" s="124" t="str">
        <f>IF($B227="","",COUNTIF(STG_Woningetalage!$B$6:$B$505,B227))</f>
        <v/>
      </c>
      <c r="CZ227" s="124" t="str">
        <f>IF($B227="","",IF(CW227=0,COUNTIF($CW$6:CW227,0),""))</f>
        <v/>
      </c>
    </row>
    <row r="228">
      <c r="A228" s="15" t="n">
        <v>224</v>
      </c>
      <c r="B228" t="str">
        <f>IF(B$3=0,"",IF(INDEX(SRC_ZPMW03!$A$1:$ZZ$501,$A228,B$3)&amp;""="","",INDEX(SRC_ZPMW03!$A$1:$ZZ$501,$A228,B$3)&amp;""))</f>
        <v/>
      </c>
      <c r="C228" t="str">
        <f>IF($B228="","",IF(C$3=0,"n.b.",INDEX(SRC_ZPMW03!$A$1:$ZZ$501,$A228,C$3)))</f>
        <v/>
      </c>
      <c r="D228" t="str">
        <f>IF($B228="","",IF(D$3=0,"n.b.",INDEX(SRC_ZPMW03!$A$1:$ZZ$501,$A228,D$3)))</f>
        <v/>
      </c>
      <c r="E228" t="str">
        <f>IF($B228="","",IF(E$3=0,"n.b.",INDEX(SRC_ZPMW03!$A$1:$ZZ$501,$A228,E$3)))</f>
        <v/>
      </c>
      <c r="F228" t="str">
        <f>IF($B228="","",IF(F$3=0,"n.b.",INDEX(SRC_ZPMW03!$A$1:$ZZ$501,$A228,F$3)))</f>
        <v/>
      </c>
      <c r="G228" t="str">
        <f>IF($B228="","",IF(G$3=0,"n.b.",INDEX(SRC_ZPMW03!$A$1:$ZZ$501,$A228,G$3)))</f>
        <v/>
      </c>
      <c r="H228" t="str">
        <f>IF($B228="","",IF(H$3=0,"n.b.",INDEX(SRC_ZPMW03!$A$1:$ZZ$501,$A228,H$3)))</f>
        <v/>
      </c>
      <c r="I228" t="str">
        <f>IF($B228="","",IF(I$3=0,"n.b.",INDEX(SRC_ZPMW03!$A$1:$ZZ$501,$A228,I$3)))</f>
        <v/>
      </c>
      <c r="J228" t="str">
        <f>IF($B228="","",IF(J$3=0,"n.b.",INDEX(SRC_ZPMW03!$A$1:$ZZ$501,$A228,J$3)))</f>
        <v/>
      </c>
      <c r="K228" t="str">
        <f>IF($B228="","",IF(K$3=0,"n.b.",INDEX(SRC_ZPMW03!$A$1:$ZZ$501,$A228,K$3)))</f>
        <v/>
      </c>
      <c r="L228" s="124" t="str">
        <f>IF($B228="","",IF(L$3=0,"n.b.",INDEX(SRC_ZPMW03!$A$1:$ZZ$501,$A228,L$3)))</f>
        <v/>
      </c>
      <c r="M228" s="124" t="str">
        <f>IF($B228="","",IF(M$3=0,"n.b.",INDEX(SRC_ZPMW03!$A$1:$ZZ$501,$A228,M$3)))</f>
        <v/>
      </c>
      <c r="N228" s="124" t="str">
        <f>IF($B228="","",IF(N$3=0,"n.b.",INDEX(SRC_ZPMW03!$A$1:$ZZ$501,$A228,N$3)))</f>
        <v/>
      </c>
      <c r="O228" s="124" t="str">
        <f>IF($B228="","",IF(O$3=0,"n.b.",INDEX(SRC_ZPMW03!$A$1:$ZZ$501,$A228,O$3)))</f>
        <v/>
      </c>
      <c r="P228" s="124" t="str">
        <f>IF($B228="","",IF(P$3=0,"n.b.",INDEX(SRC_ZPMW03!$A$1:$ZZ$501,$A228,P$3)))</f>
        <v/>
      </c>
      <c r="Q228" s="124" t="str">
        <f>IF($B228="","",IF(Q$3=0,"n.b.",INDEX(SRC_ZPMW03!$A$1:$ZZ$501,$A228,Q$3)))</f>
        <v/>
      </c>
      <c r="R228" s="124" t="str">
        <f>IF($B228="","",IF(R$3=0,"n.b.",INDEX(SRC_ZPMW03!$A$1:$ZZ$501,$A228,R$3)))</f>
        <v/>
      </c>
      <c r="S228" s="124" t="str">
        <f>IF($B228="","",IF(S$3=0,"n.b.",INDEX(SRC_ZPMW03!$A$1:$ZZ$501,$A228,S$3)))</f>
        <v/>
      </c>
      <c r="T228" s="124" t="str">
        <f>IF($B228="","",IF(T$3=0,"n.b.",INDEX(SRC_ZPMW03!$A$1:$ZZ$501,$A228,T$3)))</f>
        <v/>
      </c>
      <c r="U228" s="124" t="str">
        <f>IF($B228="","",IF(U$3=0,"n.b.",INDEX(SRC_ZPMW03!$A$1:$ZZ$501,$A228,U$3)))</f>
        <v/>
      </c>
      <c r="V228" s="124" t="str">
        <f>IF($B228="","",IF(V$3=0,"n.b.",INDEX(SRC_ZPMW03!$A$1:$ZZ$501,$A228,V$3)))</f>
        <v/>
      </c>
      <c r="W228" s="124" t="str">
        <f>IF($B228="","",IF(W$3=0,"n.b.",INDEX(SRC_ZPMW03!$A$1:$ZZ$501,$A228,W$3)))</f>
        <v/>
      </c>
      <c r="X228" s="124" t="str">
        <f>IF($B228="","",IF(X$3=0,"n.b.",INDEX(SRC_ZPMW03!$A$1:$ZZ$501,$A228,X$3)))</f>
        <v/>
      </c>
      <c r="Y228" s="124" t="str">
        <f>IF($B228="","",IF(Y$3=0,"n.b.",INDEX(SRC_ZPMW03!$A$1:$ZZ$501,$A228,Y$3)))</f>
        <v/>
      </c>
      <c r="Z228" s="124" t="str">
        <f>IF($B228="","",IF(Z$3=0,"n.b.",INDEX(SRC_ZPMW03!$A$1:$ZZ$501,$A228,Z$3)))</f>
        <v/>
      </c>
      <c r="AA228" s="124" t="str">
        <f>IF($B228="","",IF(AA$3=0,"n.b.",INDEX(SRC_ZPMW03!$A$1:$ZZ$501,$A228,AA$3)))</f>
        <v/>
      </c>
      <c r="AB228" s="124" t="str">
        <f>IF($B228="","",IF(AB$3=0,"n.b.",INDEX(SRC_ZPMW03!$A$1:$ZZ$501,$A228,AB$3)))</f>
        <v/>
      </c>
      <c r="AC228" s="124" t="str">
        <f>IF($B228="","",IF(AC$3=0,"n.b.",INDEX(SRC_ZPMW03!$A$1:$ZZ$501,$A228,AC$3)))</f>
        <v/>
      </c>
      <c r="AD228" s="124" t="str">
        <f>IF($B228="","",IF(AD$3=0,"n.b.",INDEX(SRC_ZPMW03!$A$1:$ZZ$501,$A228,AD$3)))</f>
        <v/>
      </c>
      <c r="AE228" s="124" t="str">
        <f>IF($B228="","",IF(AE$3=0,"n.b.",INDEX(SRC_ZPMW03!$A$1:$ZZ$501,$A228,AE$3)))</f>
        <v/>
      </c>
      <c r="AF228" s="124" t="str">
        <f>IF($B228="","",IF(AF$3=0,"n.b.",INDEX(SRC_ZPMW03!$A$1:$ZZ$501,$A228,AF$3)))</f>
        <v/>
      </c>
      <c r="AG228" s="124" t="str">
        <f>IF($B228="","",IF(AG$3=0,"n.b.",INDEX(SRC_ZPMW03!$A$1:$ZZ$501,$A228,AG$3)))</f>
        <v/>
      </c>
      <c r="AH228" s="124" t="str">
        <f>IF($B228="","",IF(AH$3=0,"n.b.",INDEX(SRC_ZPMW03!$A$1:$ZZ$501,$A228,AH$3)))</f>
        <v/>
      </c>
      <c r="AI228" s="124" t="str">
        <f>IF($B228="","",IF(AI$3=0,"n.b.",INDEX(SRC_ZPMW03!$A$1:$ZZ$501,$A228,AI$3)))</f>
        <v/>
      </c>
      <c r="AJ228" s="124" t="str">
        <f>IF($B228="","",IF(AJ$3=0,"n.b.",INDEX(SRC_ZPMW03!$A$1:$ZZ$501,$A228,AJ$3)))</f>
        <v/>
      </c>
      <c r="AK228" s="124" t="str">
        <f>IF($B228="","",IF(AK$3=0,"n.b.",INDEX(SRC_ZPMW03!$A$1:$ZZ$501,$A228,AK$3)))</f>
        <v/>
      </c>
      <c r="AL228" s="124" t="str">
        <f>IF($B228="","",IF(AL$3=0,"n.b.",INDEX(SRC_ZPMW03!$A$1:$ZZ$501,$A228,AL$3)))</f>
        <v/>
      </c>
      <c r="AM228" s="124" t="str">
        <f>IF($B228="","",IF(AM$3=0,"n.b.",INDEX(SRC_ZPMW03!$A$1:$ZZ$501,$A228,AM$3)))</f>
        <v/>
      </c>
      <c r="AN228" s="124" t="str">
        <f>IF($B228="","",IF(AN$3=0,"n.b.",INDEX(SRC_ZPMW03!$A$1:$ZZ$501,$A228,AN$3)))</f>
        <v/>
      </c>
      <c r="AO228" s="124" t="str">
        <f>IF($B228="","",IF(AO$3=0,"n.b.",INDEX(SRC_ZPMW03!$A$1:$ZZ$501,$A228,AO$3)))</f>
        <v/>
      </c>
      <c r="AP228" s="124" t="str">
        <f>IF($B228="","",IF(AP$3=0,"n.b.",INDEX(SRC_ZPMW03!$A$1:$ZZ$501,$A228,AP$3)))</f>
        <v/>
      </c>
      <c r="AQ228" s="124" t="str">
        <f>IF($B228="","",IF(AQ$3=0,"n.b.",INDEX(SRC_ZPMW03!$A$1:$ZZ$501,$A228,AQ$3)))</f>
        <v/>
      </c>
      <c r="AR228" s="124" t="str">
        <f>IF($B228="","",IF(AR$3=0,"n.b.",INDEX(SRC_ZPMW03!$A$1:$ZZ$501,$A228,AR$3)))</f>
        <v/>
      </c>
      <c r="AS228" s="124" t="str">
        <f>IF($B228="","",IF(AS$3=0,"n.b.",INDEX(SRC_ZPMW03!$A$1:$ZZ$501,$A228,AS$3)))</f>
        <v/>
      </c>
      <c r="AT228" s="124" t="str">
        <f>IF($B228="","",IF(AT$3=0,"n.b.",INDEX(SRC_ZPMW03!$A$1:$ZZ$501,$A228,AT$3)))</f>
        <v/>
      </c>
      <c r="AU228" s="124" t="str">
        <f>IF($B228="","",IF(AU$3=0,"n.b.",INDEX(SRC_ZPMW03!$A$1:$ZZ$501,$A228,AU$3)))</f>
        <v/>
      </c>
      <c r="AV228" s="124" t="str">
        <f>IF($B228="","",IF(AV$3=0,"n.b.",INDEX(SRC_ZPMW03!$A$1:$ZZ$501,$A228,AV$3)))</f>
        <v/>
      </c>
      <c r="AW228" s="124" t="str">
        <f>IF($B228="","",IF(AW$3=0,"n.b.",INDEX(SRC_ZPMW03!$A$1:$ZZ$501,$A228,AW$3)))</f>
        <v/>
      </c>
      <c r="AX228" s="124" t="str">
        <f>IF($B228="","",IF(AX$3=0,"n.b.",INDEX(SRC_ZPMW03!$A$1:$ZZ$501,$A228,AX$3)))</f>
        <v/>
      </c>
      <c r="AY228" s="124" t="str">
        <f>IF($B228="","",IF(AY$3=0,"n.b.",INDEX(SRC_ZPMW03!$A$1:$ZZ$501,$A228,AY$3)))</f>
        <v/>
      </c>
      <c r="AZ228" s="124" t="str">
        <f>IF($B228="","",IF(AZ$3=0,"n.b.",INDEX(SRC_ZPMW03!$A$1:$ZZ$501,$A228,AZ$3)))</f>
        <v/>
      </c>
      <c r="BA228" s="124" t="str">
        <f>IF($B228="","",IF(BA$3=0,"n.b.",INDEX(SRC_ZPMW03!$A$1:$ZZ$501,$A228,BA$3)))</f>
        <v/>
      </c>
      <c r="BB228" s="124" t="str">
        <f>IF($B228="","",IF(BB$3=0,"n.b.",INDEX(SRC_ZPMW03!$A$1:$ZZ$501,$A228,BB$3)))</f>
        <v/>
      </c>
      <c r="BC228" s="124" t="str">
        <f>IF($B228="","",IF(BC$3=0,"n.b.",INDEX(SRC_ZPMW03!$A$1:$ZZ$501,$A228,BC$3)))</f>
        <v/>
      </c>
      <c r="BD228" s="124" t="str">
        <f>IF($B228="","",IF(BD$3=0,"n.b.",INDEX(SRC_ZPMW03!$A$1:$ZZ$501,$A228,BD$3)))</f>
        <v/>
      </c>
      <c r="BE228" s="124" t="str">
        <f>IF($B228="","",IF(BE$3=0,"n.b.",INDEX(SRC_ZPMW03!$A$1:$ZZ$501,$A228,BE$3)))</f>
        <v/>
      </c>
      <c r="BF228" s="124" t="str">
        <f>IF($B228="","",IF(BF$3=0,"n.b.",INDEX(SRC_ZPMW03!$A$1:$ZZ$501,$A228,BF$3)))</f>
        <v/>
      </c>
      <c r="BG228" t="str">
        <f>IF($B228="","",IF(BG$3=0,"n.b.",INDEX(SRC_ZPMW03!$A$1:$ZZ$501,$A228,BG$3)))</f>
        <v/>
      </c>
      <c r="BH228" t="str">
        <f>IF($B228="","",IF(BH$3=0,"n.b.",INDEX(SRC_ZPMW03!$A$1:$ZZ$501,$A228,BH$3)))</f>
        <v/>
      </c>
      <c r="BI228" t="str">
        <f>IF($B228="","",IF(BI$3=0,"n.b.",INDEX(SRC_ZPMW03!$A$1:$ZZ$501,$A228,BI$3)))</f>
        <v/>
      </c>
      <c r="BJ228" t="str">
        <f>IF($B228="","",IF(BJ$3=0,"n.b.",INDEX(SRC_ZPMW03!$A$1:$ZZ$501,$A228,BJ$3)))</f>
        <v/>
      </c>
      <c r="BK228" s="124" t="str">
        <f>IF($B228="","",IFERROR(-O228,"n.b."))</f>
        <v/>
      </c>
      <c r="BL228" s="124" t="str">
        <f>IF($B228="","",IFERROR(-Q228,"n.b."))</f>
        <v/>
      </c>
      <c r="BM228" s="124" t="str">
        <f>IF($B228="","",IFERROR(-AB228,"n.b."))</f>
        <v/>
      </c>
      <c r="BN228" s="124" t="str">
        <f>IF($B228="","",IFERROR(-AD228,"n.b."))</f>
        <v/>
      </c>
      <c r="BO228" s="124" t="str">
        <f>IF($B228="","",IFERROR(BK228+BM228,"n.b."))</f>
        <v/>
      </c>
      <c r="BP228" s="124" t="str">
        <f>IF($B228="","",IFERROR(BL228+BN228,"n.b."))</f>
        <v/>
      </c>
      <c r="BQ228" s="124" t="str">
        <f>IF($B228="","",IFERROR(-AM228,"n.b."))</f>
        <v/>
      </c>
      <c r="BR228" s="124" t="str">
        <f>IF($B228="","",IFERROR(-AO228,"n.b."))</f>
        <v/>
      </c>
      <c r="BS228" s="124" t="str">
        <f>IF($B228="","",IFERROR(-Z228,"n.b."))</f>
        <v/>
      </c>
      <c r="BT228" s="124" t="str">
        <f>IF($B228="","",IFERROR(-AA228,"n.b."))</f>
        <v/>
      </c>
      <c r="BU228" s="124" t="str">
        <f>IF($B228="","",IFERROR(-AE228,"n.b."))</f>
        <v/>
      </c>
      <c r="BV228" s="124" t="str">
        <f>IF($B228="","",IFERROR(-AF228,"n.b."))</f>
        <v/>
      </c>
      <c r="BW228" s="124" t="str">
        <f>IF($B228="","",IFERROR(-AG228,"n.b."))</f>
        <v/>
      </c>
      <c r="BX228" s="124" t="str">
        <f>IF($B228="","",IFERROR(-AH228,"n.b."))</f>
        <v/>
      </c>
      <c r="BY228" s="124" t="str">
        <f>IF($B228="","",IFERROR(-AI228,"n.b."))</f>
        <v/>
      </c>
      <c r="BZ228" s="124" t="str">
        <f>IF($B228="","",IFERROR(-AJ228,"n.b."))</f>
        <v/>
      </c>
      <c r="CA228" s="124" t="str">
        <f>IF($B228="","",IFERROR(-AK228,"n.b."))</f>
        <v/>
      </c>
      <c r="CB228" s="124" t="str">
        <f>IF($B228="","",IFERROR(-AL228,"n.b."))</f>
        <v/>
      </c>
      <c r="CC228" s="124" t="str">
        <f>IF($B228="","",IFERROR(-AP228,"n.b."))</f>
        <v/>
      </c>
      <c r="CD228" s="124" t="str">
        <f>IF($B228="","",IFERROR(-AQ228,"n.b."))</f>
        <v/>
      </c>
      <c r="CE228" s="124" t="str">
        <f>IF($B228="","",IFERROR(-AR228,"n.b."))</f>
        <v/>
      </c>
      <c r="CF228" s="124" t="str">
        <f>IF($B228="","",IFERROR(-AS228,"n.b."))</f>
        <v/>
      </c>
      <c r="CG228" s="124" t="str">
        <f>IF($B228="","",IFERROR(-AT228,"n.b."))</f>
        <v/>
      </c>
      <c r="CH228" s="124" t="str">
        <f>IF($B228="","",IFERROR(-AU228,"n.b."))</f>
        <v/>
      </c>
      <c r="CI228" s="124" t="str">
        <f>IF($B228="","",IFERROR(-AV228,"n.b."))</f>
        <v/>
      </c>
      <c r="CJ228" s="124" t="str">
        <f>IF($B228="","",IFERROR(-AW228,"n.b."))</f>
        <v/>
      </c>
      <c r="CK228" s="124" t="str">
        <f>IF($B228="","",IFERROR(-AX228,"n.b."))</f>
        <v/>
      </c>
      <c r="CL228" s="124" t="str">
        <f>IF($B228="","",IFERROR(-AY228,"n.b."))</f>
        <v/>
      </c>
      <c r="CM228" s="124" t="str">
        <f>IF($B228="","",IFERROR(-AZ228,"n.b."))</f>
        <v/>
      </c>
      <c r="CN228" s="124" t="str">
        <f>IF($B228="","",IFERROR(-BA228,"n.b."))</f>
        <v/>
      </c>
      <c r="CO228" s="124" t="str">
        <f>IF($B228="","",IFERROR(-BB228,"n.b."))</f>
        <v/>
      </c>
      <c r="CP228" s="124" t="str">
        <f>IF($B228="","",IFERROR(-BC228,"n.b."))</f>
        <v/>
      </c>
      <c r="CQ228" s="124" t="str">
        <f>IF($B228="","",IFERROR(-BD228,"n.b."))</f>
        <v/>
      </c>
      <c r="CR228" s="124" t="str">
        <f>IF($B228="","",IFERROR(-BE228,"n.b."))</f>
        <v/>
      </c>
      <c r="CS228" s="124" t="str">
        <f>IF($B228="","",IFERROR(IF(OR(ABS(T228+V228+X228+Z228-AB228)&gt;P_Tol,ABS(U228+W228+Y228+AA228-AD228)&gt;P_Tol,ABS(AE228+AG228+AI228+AK228-AM228)&gt;P_Tol,ABS(AF228+AH228+AJ228+AL228-AO228)&gt;P_Tol),1,0),1))</f>
        <v/>
      </c>
      <c r="CT228" s="124" t="str">
        <f>IF($B228="","",IFERROR(IF(OR(ABS(AB228+AC228-AD228)&gt;P_Tol,ABS(AM228+AN228-AO228)&gt;P_Tol,ABS(O228+P228-Q228)&gt;P_Tol),1,0),1))</f>
        <v/>
      </c>
      <c r="CU228" s="124" t="str">
        <f>IF($B228="","",IFERROR(IF(ABS(R228-(AB228+AM228+AP228+AR228+AT228+AV228+AX228+AZ228+BB228+BD228))&gt;P_Tol,1,0),1))</f>
        <v/>
      </c>
      <c r="CV228" s="124" t="str">
        <f>IF($B228="","",IFERROR(IF(ABS(M228-(N228+O228+R228))&gt;P_Tol,1,0),1))</f>
        <v/>
      </c>
      <c r="CW228" s="124" t="str">
        <f>IF($B228="","",IF(COUNTIF(Mapping!$A$5:$A$104,B228)&gt;0,1,0))</f>
        <v/>
      </c>
      <c r="CX228" s="124" t="str">
        <f>IF($B228="","",COUNTIF($B$6:$B$505,B228))</f>
        <v/>
      </c>
      <c r="CY228" s="124" t="str">
        <f>IF($B228="","",COUNTIF(STG_Woningetalage!$B$6:$B$505,B228))</f>
        <v/>
      </c>
      <c r="CZ228" s="124" t="str">
        <f>IF($B228="","",IF(CW228=0,COUNTIF($CW$6:CW228,0),""))</f>
        <v/>
      </c>
    </row>
    <row r="229">
      <c r="A229" s="15" t="n">
        <v>225</v>
      </c>
      <c r="B229" t="str">
        <f>IF(B$3=0,"",IF(INDEX(SRC_ZPMW03!$A$1:$ZZ$501,$A229,B$3)&amp;""="","",INDEX(SRC_ZPMW03!$A$1:$ZZ$501,$A229,B$3)&amp;""))</f>
        <v/>
      </c>
      <c r="C229" t="str">
        <f>IF($B229="","",IF(C$3=0,"n.b.",INDEX(SRC_ZPMW03!$A$1:$ZZ$501,$A229,C$3)))</f>
        <v/>
      </c>
      <c r="D229" t="str">
        <f>IF($B229="","",IF(D$3=0,"n.b.",INDEX(SRC_ZPMW03!$A$1:$ZZ$501,$A229,D$3)))</f>
        <v/>
      </c>
      <c r="E229" t="str">
        <f>IF($B229="","",IF(E$3=0,"n.b.",INDEX(SRC_ZPMW03!$A$1:$ZZ$501,$A229,E$3)))</f>
        <v/>
      </c>
      <c r="F229" t="str">
        <f>IF($B229="","",IF(F$3=0,"n.b.",INDEX(SRC_ZPMW03!$A$1:$ZZ$501,$A229,F$3)))</f>
        <v/>
      </c>
      <c r="G229" t="str">
        <f>IF($B229="","",IF(G$3=0,"n.b.",INDEX(SRC_ZPMW03!$A$1:$ZZ$501,$A229,G$3)))</f>
        <v/>
      </c>
      <c r="H229" t="str">
        <f>IF($B229="","",IF(H$3=0,"n.b.",INDEX(SRC_ZPMW03!$A$1:$ZZ$501,$A229,H$3)))</f>
        <v/>
      </c>
      <c r="I229" t="str">
        <f>IF($B229="","",IF(I$3=0,"n.b.",INDEX(SRC_ZPMW03!$A$1:$ZZ$501,$A229,I$3)))</f>
        <v/>
      </c>
      <c r="J229" t="str">
        <f>IF($B229="","",IF(J$3=0,"n.b.",INDEX(SRC_ZPMW03!$A$1:$ZZ$501,$A229,J$3)))</f>
        <v/>
      </c>
      <c r="K229" t="str">
        <f>IF($B229="","",IF(K$3=0,"n.b.",INDEX(SRC_ZPMW03!$A$1:$ZZ$501,$A229,K$3)))</f>
        <v/>
      </c>
      <c r="L229" s="124" t="str">
        <f>IF($B229="","",IF(L$3=0,"n.b.",INDEX(SRC_ZPMW03!$A$1:$ZZ$501,$A229,L$3)))</f>
        <v/>
      </c>
      <c r="M229" s="124" t="str">
        <f>IF($B229="","",IF(M$3=0,"n.b.",INDEX(SRC_ZPMW03!$A$1:$ZZ$501,$A229,M$3)))</f>
        <v/>
      </c>
      <c r="N229" s="124" t="str">
        <f>IF($B229="","",IF(N$3=0,"n.b.",INDEX(SRC_ZPMW03!$A$1:$ZZ$501,$A229,N$3)))</f>
        <v/>
      </c>
      <c r="O229" s="124" t="str">
        <f>IF($B229="","",IF(O$3=0,"n.b.",INDEX(SRC_ZPMW03!$A$1:$ZZ$501,$A229,O$3)))</f>
        <v/>
      </c>
      <c r="P229" s="124" t="str">
        <f>IF($B229="","",IF(P$3=0,"n.b.",INDEX(SRC_ZPMW03!$A$1:$ZZ$501,$A229,P$3)))</f>
        <v/>
      </c>
      <c r="Q229" s="124" t="str">
        <f>IF($B229="","",IF(Q$3=0,"n.b.",INDEX(SRC_ZPMW03!$A$1:$ZZ$501,$A229,Q$3)))</f>
        <v/>
      </c>
      <c r="R229" s="124" t="str">
        <f>IF($B229="","",IF(R$3=0,"n.b.",INDEX(SRC_ZPMW03!$A$1:$ZZ$501,$A229,R$3)))</f>
        <v/>
      </c>
      <c r="S229" s="124" t="str">
        <f>IF($B229="","",IF(S$3=0,"n.b.",INDEX(SRC_ZPMW03!$A$1:$ZZ$501,$A229,S$3)))</f>
        <v/>
      </c>
      <c r="T229" s="124" t="str">
        <f>IF($B229="","",IF(T$3=0,"n.b.",INDEX(SRC_ZPMW03!$A$1:$ZZ$501,$A229,T$3)))</f>
        <v/>
      </c>
      <c r="U229" s="124" t="str">
        <f>IF($B229="","",IF(U$3=0,"n.b.",INDEX(SRC_ZPMW03!$A$1:$ZZ$501,$A229,U$3)))</f>
        <v/>
      </c>
      <c r="V229" s="124" t="str">
        <f>IF($B229="","",IF(V$3=0,"n.b.",INDEX(SRC_ZPMW03!$A$1:$ZZ$501,$A229,V$3)))</f>
        <v/>
      </c>
      <c r="W229" s="124" t="str">
        <f>IF($B229="","",IF(W$3=0,"n.b.",INDEX(SRC_ZPMW03!$A$1:$ZZ$501,$A229,W$3)))</f>
        <v/>
      </c>
      <c r="X229" s="124" t="str">
        <f>IF($B229="","",IF(X$3=0,"n.b.",INDEX(SRC_ZPMW03!$A$1:$ZZ$501,$A229,X$3)))</f>
        <v/>
      </c>
      <c r="Y229" s="124" t="str">
        <f>IF($B229="","",IF(Y$3=0,"n.b.",INDEX(SRC_ZPMW03!$A$1:$ZZ$501,$A229,Y$3)))</f>
        <v/>
      </c>
      <c r="Z229" s="124" t="str">
        <f>IF($B229="","",IF(Z$3=0,"n.b.",INDEX(SRC_ZPMW03!$A$1:$ZZ$501,$A229,Z$3)))</f>
        <v/>
      </c>
      <c r="AA229" s="124" t="str">
        <f>IF($B229="","",IF(AA$3=0,"n.b.",INDEX(SRC_ZPMW03!$A$1:$ZZ$501,$A229,AA$3)))</f>
        <v/>
      </c>
      <c r="AB229" s="124" t="str">
        <f>IF($B229="","",IF(AB$3=0,"n.b.",INDEX(SRC_ZPMW03!$A$1:$ZZ$501,$A229,AB$3)))</f>
        <v/>
      </c>
      <c r="AC229" s="124" t="str">
        <f>IF($B229="","",IF(AC$3=0,"n.b.",INDEX(SRC_ZPMW03!$A$1:$ZZ$501,$A229,AC$3)))</f>
        <v/>
      </c>
      <c r="AD229" s="124" t="str">
        <f>IF($B229="","",IF(AD$3=0,"n.b.",INDEX(SRC_ZPMW03!$A$1:$ZZ$501,$A229,AD$3)))</f>
        <v/>
      </c>
      <c r="AE229" s="124" t="str">
        <f>IF($B229="","",IF(AE$3=0,"n.b.",INDEX(SRC_ZPMW03!$A$1:$ZZ$501,$A229,AE$3)))</f>
        <v/>
      </c>
      <c r="AF229" s="124" t="str">
        <f>IF($B229="","",IF(AF$3=0,"n.b.",INDEX(SRC_ZPMW03!$A$1:$ZZ$501,$A229,AF$3)))</f>
        <v/>
      </c>
      <c r="AG229" s="124" t="str">
        <f>IF($B229="","",IF(AG$3=0,"n.b.",INDEX(SRC_ZPMW03!$A$1:$ZZ$501,$A229,AG$3)))</f>
        <v/>
      </c>
      <c r="AH229" s="124" t="str">
        <f>IF($B229="","",IF(AH$3=0,"n.b.",INDEX(SRC_ZPMW03!$A$1:$ZZ$501,$A229,AH$3)))</f>
        <v/>
      </c>
      <c r="AI229" s="124" t="str">
        <f>IF($B229="","",IF(AI$3=0,"n.b.",INDEX(SRC_ZPMW03!$A$1:$ZZ$501,$A229,AI$3)))</f>
        <v/>
      </c>
      <c r="AJ229" s="124" t="str">
        <f>IF($B229="","",IF(AJ$3=0,"n.b.",INDEX(SRC_ZPMW03!$A$1:$ZZ$501,$A229,AJ$3)))</f>
        <v/>
      </c>
      <c r="AK229" s="124" t="str">
        <f>IF($B229="","",IF(AK$3=0,"n.b.",INDEX(SRC_ZPMW03!$A$1:$ZZ$501,$A229,AK$3)))</f>
        <v/>
      </c>
      <c r="AL229" s="124" t="str">
        <f>IF($B229="","",IF(AL$3=0,"n.b.",INDEX(SRC_ZPMW03!$A$1:$ZZ$501,$A229,AL$3)))</f>
        <v/>
      </c>
      <c r="AM229" s="124" t="str">
        <f>IF($B229="","",IF(AM$3=0,"n.b.",INDEX(SRC_ZPMW03!$A$1:$ZZ$501,$A229,AM$3)))</f>
        <v/>
      </c>
      <c r="AN229" s="124" t="str">
        <f>IF($B229="","",IF(AN$3=0,"n.b.",INDEX(SRC_ZPMW03!$A$1:$ZZ$501,$A229,AN$3)))</f>
        <v/>
      </c>
      <c r="AO229" s="124" t="str">
        <f>IF($B229="","",IF(AO$3=0,"n.b.",INDEX(SRC_ZPMW03!$A$1:$ZZ$501,$A229,AO$3)))</f>
        <v/>
      </c>
      <c r="AP229" s="124" t="str">
        <f>IF($B229="","",IF(AP$3=0,"n.b.",INDEX(SRC_ZPMW03!$A$1:$ZZ$501,$A229,AP$3)))</f>
        <v/>
      </c>
      <c r="AQ229" s="124" t="str">
        <f>IF($B229="","",IF(AQ$3=0,"n.b.",INDEX(SRC_ZPMW03!$A$1:$ZZ$501,$A229,AQ$3)))</f>
        <v/>
      </c>
      <c r="AR229" s="124" t="str">
        <f>IF($B229="","",IF(AR$3=0,"n.b.",INDEX(SRC_ZPMW03!$A$1:$ZZ$501,$A229,AR$3)))</f>
        <v/>
      </c>
      <c r="AS229" s="124" t="str">
        <f>IF($B229="","",IF(AS$3=0,"n.b.",INDEX(SRC_ZPMW03!$A$1:$ZZ$501,$A229,AS$3)))</f>
        <v/>
      </c>
      <c r="AT229" s="124" t="str">
        <f>IF($B229="","",IF(AT$3=0,"n.b.",INDEX(SRC_ZPMW03!$A$1:$ZZ$501,$A229,AT$3)))</f>
        <v/>
      </c>
      <c r="AU229" s="124" t="str">
        <f>IF($B229="","",IF(AU$3=0,"n.b.",INDEX(SRC_ZPMW03!$A$1:$ZZ$501,$A229,AU$3)))</f>
        <v/>
      </c>
      <c r="AV229" s="124" t="str">
        <f>IF($B229="","",IF(AV$3=0,"n.b.",INDEX(SRC_ZPMW03!$A$1:$ZZ$501,$A229,AV$3)))</f>
        <v/>
      </c>
      <c r="AW229" s="124" t="str">
        <f>IF($B229="","",IF(AW$3=0,"n.b.",INDEX(SRC_ZPMW03!$A$1:$ZZ$501,$A229,AW$3)))</f>
        <v/>
      </c>
      <c r="AX229" s="124" t="str">
        <f>IF($B229="","",IF(AX$3=0,"n.b.",INDEX(SRC_ZPMW03!$A$1:$ZZ$501,$A229,AX$3)))</f>
        <v/>
      </c>
      <c r="AY229" s="124" t="str">
        <f>IF($B229="","",IF(AY$3=0,"n.b.",INDEX(SRC_ZPMW03!$A$1:$ZZ$501,$A229,AY$3)))</f>
        <v/>
      </c>
      <c r="AZ229" s="124" t="str">
        <f>IF($B229="","",IF(AZ$3=0,"n.b.",INDEX(SRC_ZPMW03!$A$1:$ZZ$501,$A229,AZ$3)))</f>
        <v/>
      </c>
      <c r="BA229" s="124" t="str">
        <f>IF($B229="","",IF(BA$3=0,"n.b.",INDEX(SRC_ZPMW03!$A$1:$ZZ$501,$A229,BA$3)))</f>
        <v/>
      </c>
      <c r="BB229" s="124" t="str">
        <f>IF($B229="","",IF(BB$3=0,"n.b.",INDEX(SRC_ZPMW03!$A$1:$ZZ$501,$A229,BB$3)))</f>
        <v/>
      </c>
      <c r="BC229" s="124" t="str">
        <f>IF($B229="","",IF(BC$3=0,"n.b.",INDEX(SRC_ZPMW03!$A$1:$ZZ$501,$A229,BC$3)))</f>
        <v/>
      </c>
      <c r="BD229" s="124" t="str">
        <f>IF($B229="","",IF(BD$3=0,"n.b.",INDEX(SRC_ZPMW03!$A$1:$ZZ$501,$A229,BD$3)))</f>
        <v/>
      </c>
      <c r="BE229" s="124" t="str">
        <f>IF($B229="","",IF(BE$3=0,"n.b.",INDEX(SRC_ZPMW03!$A$1:$ZZ$501,$A229,BE$3)))</f>
        <v/>
      </c>
      <c r="BF229" s="124" t="str">
        <f>IF($B229="","",IF(BF$3=0,"n.b.",INDEX(SRC_ZPMW03!$A$1:$ZZ$501,$A229,BF$3)))</f>
        <v/>
      </c>
      <c r="BG229" t="str">
        <f>IF($B229="","",IF(BG$3=0,"n.b.",INDEX(SRC_ZPMW03!$A$1:$ZZ$501,$A229,BG$3)))</f>
        <v/>
      </c>
      <c r="BH229" t="str">
        <f>IF($B229="","",IF(BH$3=0,"n.b.",INDEX(SRC_ZPMW03!$A$1:$ZZ$501,$A229,BH$3)))</f>
        <v/>
      </c>
      <c r="BI229" t="str">
        <f>IF($B229="","",IF(BI$3=0,"n.b.",INDEX(SRC_ZPMW03!$A$1:$ZZ$501,$A229,BI$3)))</f>
        <v/>
      </c>
      <c r="BJ229" t="str">
        <f>IF($B229="","",IF(BJ$3=0,"n.b.",INDEX(SRC_ZPMW03!$A$1:$ZZ$501,$A229,BJ$3)))</f>
        <v/>
      </c>
      <c r="BK229" s="124" t="str">
        <f>IF($B229="","",IFERROR(-O229,"n.b."))</f>
        <v/>
      </c>
      <c r="BL229" s="124" t="str">
        <f>IF($B229="","",IFERROR(-Q229,"n.b."))</f>
        <v/>
      </c>
      <c r="BM229" s="124" t="str">
        <f>IF($B229="","",IFERROR(-AB229,"n.b."))</f>
        <v/>
      </c>
      <c r="BN229" s="124" t="str">
        <f>IF($B229="","",IFERROR(-AD229,"n.b."))</f>
        <v/>
      </c>
      <c r="BO229" s="124" t="str">
        <f>IF($B229="","",IFERROR(BK229+BM229,"n.b."))</f>
        <v/>
      </c>
      <c r="BP229" s="124" t="str">
        <f>IF($B229="","",IFERROR(BL229+BN229,"n.b."))</f>
        <v/>
      </c>
      <c r="BQ229" s="124" t="str">
        <f>IF($B229="","",IFERROR(-AM229,"n.b."))</f>
        <v/>
      </c>
      <c r="BR229" s="124" t="str">
        <f>IF($B229="","",IFERROR(-AO229,"n.b."))</f>
        <v/>
      </c>
      <c r="BS229" s="124" t="str">
        <f>IF($B229="","",IFERROR(-Z229,"n.b."))</f>
        <v/>
      </c>
      <c r="BT229" s="124" t="str">
        <f>IF($B229="","",IFERROR(-AA229,"n.b."))</f>
        <v/>
      </c>
      <c r="BU229" s="124" t="str">
        <f>IF($B229="","",IFERROR(-AE229,"n.b."))</f>
        <v/>
      </c>
      <c r="BV229" s="124" t="str">
        <f>IF($B229="","",IFERROR(-AF229,"n.b."))</f>
        <v/>
      </c>
      <c r="BW229" s="124" t="str">
        <f>IF($B229="","",IFERROR(-AG229,"n.b."))</f>
        <v/>
      </c>
      <c r="BX229" s="124" t="str">
        <f>IF($B229="","",IFERROR(-AH229,"n.b."))</f>
        <v/>
      </c>
      <c r="BY229" s="124" t="str">
        <f>IF($B229="","",IFERROR(-AI229,"n.b."))</f>
        <v/>
      </c>
      <c r="BZ229" s="124" t="str">
        <f>IF($B229="","",IFERROR(-AJ229,"n.b."))</f>
        <v/>
      </c>
      <c r="CA229" s="124" t="str">
        <f>IF($B229="","",IFERROR(-AK229,"n.b."))</f>
        <v/>
      </c>
      <c r="CB229" s="124" t="str">
        <f>IF($B229="","",IFERROR(-AL229,"n.b."))</f>
        <v/>
      </c>
      <c r="CC229" s="124" t="str">
        <f>IF($B229="","",IFERROR(-AP229,"n.b."))</f>
        <v/>
      </c>
      <c r="CD229" s="124" t="str">
        <f>IF($B229="","",IFERROR(-AQ229,"n.b."))</f>
        <v/>
      </c>
      <c r="CE229" s="124" t="str">
        <f>IF($B229="","",IFERROR(-AR229,"n.b."))</f>
        <v/>
      </c>
      <c r="CF229" s="124" t="str">
        <f>IF($B229="","",IFERROR(-AS229,"n.b."))</f>
        <v/>
      </c>
      <c r="CG229" s="124" t="str">
        <f>IF($B229="","",IFERROR(-AT229,"n.b."))</f>
        <v/>
      </c>
      <c r="CH229" s="124" t="str">
        <f>IF($B229="","",IFERROR(-AU229,"n.b."))</f>
        <v/>
      </c>
      <c r="CI229" s="124" t="str">
        <f>IF($B229="","",IFERROR(-AV229,"n.b."))</f>
        <v/>
      </c>
      <c r="CJ229" s="124" t="str">
        <f>IF($B229="","",IFERROR(-AW229,"n.b."))</f>
        <v/>
      </c>
      <c r="CK229" s="124" t="str">
        <f>IF($B229="","",IFERROR(-AX229,"n.b."))</f>
        <v/>
      </c>
      <c r="CL229" s="124" t="str">
        <f>IF($B229="","",IFERROR(-AY229,"n.b."))</f>
        <v/>
      </c>
      <c r="CM229" s="124" t="str">
        <f>IF($B229="","",IFERROR(-AZ229,"n.b."))</f>
        <v/>
      </c>
      <c r="CN229" s="124" t="str">
        <f>IF($B229="","",IFERROR(-BA229,"n.b."))</f>
        <v/>
      </c>
      <c r="CO229" s="124" t="str">
        <f>IF($B229="","",IFERROR(-BB229,"n.b."))</f>
        <v/>
      </c>
      <c r="CP229" s="124" t="str">
        <f>IF($B229="","",IFERROR(-BC229,"n.b."))</f>
        <v/>
      </c>
      <c r="CQ229" s="124" t="str">
        <f>IF($B229="","",IFERROR(-BD229,"n.b."))</f>
        <v/>
      </c>
      <c r="CR229" s="124" t="str">
        <f>IF($B229="","",IFERROR(-BE229,"n.b."))</f>
        <v/>
      </c>
      <c r="CS229" s="124" t="str">
        <f>IF($B229="","",IFERROR(IF(OR(ABS(T229+V229+X229+Z229-AB229)&gt;P_Tol,ABS(U229+W229+Y229+AA229-AD229)&gt;P_Tol,ABS(AE229+AG229+AI229+AK229-AM229)&gt;P_Tol,ABS(AF229+AH229+AJ229+AL229-AO229)&gt;P_Tol),1,0),1))</f>
        <v/>
      </c>
      <c r="CT229" s="124" t="str">
        <f>IF($B229="","",IFERROR(IF(OR(ABS(AB229+AC229-AD229)&gt;P_Tol,ABS(AM229+AN229-AO229)&gt;P_Tol,ABS(O229+P229-Q229)&gt;P_Tol),1,0),1))</f>
        <v/>
      </c>
      <c r="CU229" s="124" t="str">
        <f>IF($B229="","",IFERROR(IF(ABS(R229-(AB229+AM229+AP229+AR229+AT229+AV229+AX229+AZ229+BB229+BD229))&gt;P_Tol,1,0),1))</f>
        <v/>
      </c>
      <c r="CV229" s="124" t="str">
        <f>IF($B229="","",IFERROR(IF(ABS(M229-(N229+O229+R229))&gt;P_Tol,1,0),1))</f>
        <v/>
      </c>
      <c r="CW229" s="124" t="str">
        <f>IF($B229="","",IF(COUNTIF(Mapping!$A$5:$A$104,B229)&gt;0,1,0))</f>
        <v/>
      </c>
      <c r="CX229" s="124" t="str">
        <f>IF($B229="","",COUNTIF($B$6:$B$505,B229))</f>
        <v/>
      </c>
      <c r="CY229" s="124" t="str">
        <f>IF($B229="","",COUNTIF(STG_Woningetalage!$B$6:$B$505,B229))</f>
        <v/>
      </c>
      <c r="CZ229" s="124" t="str">
        <f>IF($B229="","",IF(CW229=0,COUNTIF($CW$6:CW229,0),""))</f>
        <v/>
      </c>
    </row>
    <row r="230">
      <c r="A230" s="15" t="n">
        <v>226</v>
      </c>
      <c r="B230" t="str">
        <f>IF(B$3=0,"",IF(INDEX(SRC_ZPMW03!$A$1:$ZZ$501,$A230,B$3)&amp;""="","",INDEX(SRC_ZPMW03!$A$1:$ZZ$501,$A230,B$3)&amp;""))</f>
        <v/>
      </c>
      <c r="C230" t="str">
        <f>IF($B230="","",IF(C$3=0,"n.b.",INDEX(SRC_ZPMW03!$A$1:$ZZ$501,$A230,C$3)))</f>
        <v/>
      </c>
      <c r="D230" t="str">
        <f>IF($B230="","",IF(D$3=0,"n.b.",INDEX(SRC_ZPMW03!$A$1:$ZZ$501,$A230,D$3)))</f>
        <v/>
      </c>
      <c r="E230" t="str">
        <f>IF($B230="","",IF(E$3=0,"n.b.",INDEX(SRC_ZPMW03!$A$1:$ZZ$501,$A230,E$3)))</f>
        <v/>
      </c>
      <c r="F230" t="str">
        <f>IF($B230="","",IF(F$3=0,"n.b.",INDEX(SRC_ZPMW03!$A$1:$ZZ$501,$A230,F$3)))</f>
        <v/>
      </c>
      <c r="G230" t="str">
        <f>IF($B230="","",IF(G$3=0,"n.b.",INDEX(SRC_ZPMW03!$A$1:$ZZ$501,$A230,G$3)))</f>
        <v/>
      </c>
      <c r="H230" t="str">
        <f>IF($B230="","",IF(H$3=0,"n.b.",INDEX(SRC_ZPMW03!$A$1:$ZZ$501,$A230,H$3)))</f>
        <v/>
      </c>
      <c r="I230" t="str">
        <f>IF($B230="","",IF(I$3=0,"n.b.",INDEX(SRC_ZPMW03!$A$1:$ZZ$501,$A230,I$3)))</f>
        <v/>
      </c>
      <c r="J230" t="str">
        <f>IF($B230="","",IF(J$3=0,"n.b.",INDEX(SRC_ZPMW03!$A$1:$ZZ$501,$A230,J$3)))</f>
        <v/>
      </c>
      <c r="K230" t="str">
        <f>IF($B230="","",IF(K$3=0,"n.b.",INDEX(SRC_ZPMW03!$A$1:$ZZ$501,$A230,K$3)))</f>
        <v/>
      </c>
      <c r="L230" s="124" t="str">
        <f>IF($B230="","",IF(L$3=0,"n.b.",INDEX(SRC_ZPMW03!$A$1:$ZZ$501,$A230,L$3)))</f>
        <v/>
      </c>
      <c r="M230" s="124" t="str">
        <f>IF($B230="","",IF(M$3=0,"n.b.",INDEX(SRC_ZPMW03!$A$1:$ZZ$501,$A230,M$3)))</f>
        <v/>
      </c>
      <c r="N230" s="124" t="str">
        <f>IF($B230="","",IF(N$3=0,"n.b.",INDEX(SRC_ZPMW03!$A$1:$ZZ$501,$A230,N$3)))</f>
        <v/>
      </c>
      <c r="O230" s="124" t="str">
        <f>IF($B230="","",IF(O$3=0,"n.b.",INDEX(SRC_ZPMW03!$A$1:$ZZ$501,$A230,O$3)))</f>
        <v/>
      </c>
      <c r="P230" s="124" t="str">
        <f>IF($B230="","",IF(P$3=0,"n.b.",INDEX(SRC_ZPMW03!$A$1:$ZZ$501,$A230,P$3)))</f>
        <v/>
      </c>
      <c r="Q230" s="124" t="str">
        <f>IF($B230="","",IF(Q$3=0,"n.b.",INDEX(SRC_ZPMW03!$A$1:$ZZ$501,$A230,Q$3)))</f>
        <v/>
      </c>
      <c r="R230" s="124" t="str">
        <f>IF($B230="","",IF(R$3=0,"n.b.",INDEX(SRC_ZPMW03!$A$1:$ZZ$501,$A230,R$3)))</f>
        <v/>
      </c>
      <c r="S230" s="124" t="str">
        <f>IF($B230="","",IF(S$3=0,"n.b.",INDEX(SRC_ZPMW03!$A$1:$ZZ$501,$A230,S$3)))</f>
        <v/>
      </c>
      <c r="T230" s="124" t="str">
        <f>IF($B230="","",IF(T$3=0,"n.b.",INDEX(SRC_ZPMW03!$A$1:$ZZ$501,$A230,T$3)))</f>
        <v/>
      </c>
      <c r="U230" s="124" t="str">
        <f>IF($B230="","",IF(U$3=0,"n.b.",INDEX(SRC_ZPMW03!$A$1:$ZZ$501,$A230,U$3)))</f>
        <v/>
      </c>
      <c r="V230" s="124" t="str">
        <f>IF($B230="","",IF(V$3=0,"n.b.",INDEX(SRC_ZPMW03!$A$1:$ZZ$501,$A230,V$3)))</f>
        <v/>
      </c>
      <c r="W230" s="124" t="str">
        <f>IF($B230="","",IF(W$3=0,"n.b.",INDEX(SRC_ZPMW03!$A$1:$ZZ$501,$A230,W$3)))</f>
        <v/>
      </c>
      <c r="X230" s="124" t="str">
        <f>IF($B230="","",IF(X$3=0,"n.b.",INDEX(SRC_ZPMW03!$A$1:$ZZ$501,$A230,X$3)))</f>
        <v/>
      </c>
      <c r="Y230" s="124" t="str">
        <f>IF($B230="","",IF(Y$3=0,"n.b.",INDEX(SRC_ZPMW03!$A$1:$ZZ$501,$A230,Y$3)))</f>
        <v/>
      </c>
      <c r="Z230" s="124" t="str">
        <f>IF($B230="","",IF(Z$3=0,"n.b.",INDEX(SRC_ZPMW03!$A$1:$ZZ$501,$A230,Z$3)))</f>
        <v/>
      </c>
      <c r="AA230" s="124" t="str">
        <f>IF($B230="","",IF(AA$3=0,"n.b.",INDEX(SRC_ZPMW03!$A$1:$ZZ$501,$A230,AA$3)))</f>
        <v/>
      </c>
      <c r="AB230" s="124" t="str">
        <f>IF($B230="","",IF(AB$3=0,"n.b.",INDEX(SRC_ZPMW03!$A$1:$ZZ$501,$A230,AB$3)))</f>
        <v/>
      </c>
      <c r="AC230" s="124" t="str">
        <f>IF($B230="","",IF(AC$3=0,"n.b.",INDEX(SRC_ZPMW03!$A$1:$ZZ$501,$A230,AC$3)))</f>
        <v/>
      </c>
      <c r="AD230" s="124" t="str">
        <f>IF($B230="","",IF(AD$3=0,"n.b.",INDEX(SRC_ZPMW03!$A$1:$ZZ$501,$A230,AD$3)))</f>
        <v/>
      </c>
      <c r="AE230" s="124" t="str">
        <f>IF($B230="","",IF(AE$3=0,"n.b.",INDEX(SRC_ZPMW03!$A$1:$ZZ$501,$A230,AE$3)))</f>
        <v/>
      </c>
      <c r="AF230" s="124" t="str">
        <f>IF($B230="","",IF(AF$3=0,"n.b.",INDEX(SRC_ZPMW03!$A$1:$ZZ$501,$A230,AF$3)))</f>
        <v/>
      </c>
      <c r="AG230" s="124" t="str">
        <f>IF($B230="","",IF(AG$3=0,"n.b.",INDEX(SRC_ZPMW03!$A$1:$ZZ$501,$A230,AG$3)))</f>
        <v/>
      </c>
      <c r="AH230" s="124" t="str">
        <f>IF($B230="","",IF(AH$3=0,"n.b.",INDEX(SRC_ZPMW03!$A$1:$ZZ$501,$A230,AH$3)))</f>
        <v/>
      </c>
      <c r="AI230" s="124" t="str">
        <f>IF($B230="","",IF(AI$3=0,"n.b.",INDEX(SRC_ZPMW03!$A$1:$ZZ$501,$A230,AI$3)))</f>
        <v/>
      </c>
      <c r="AJ230" s="124" t="str">
        <f>IF($B230="","",IF(AJ$3=0,"n.b.",INDEX(SRC_ZPMW03!$A$1:$ZZ$501,$A230,AJ$3)))</f>
        <v/>
      </c>
      <c r="AK230" s="124" t="str">
        <f>IF($B230="","",IF(AK$3=0,"n.b.",INDEX(SRC_ZPMW03!$A$1:$ZZ$501,$A230,AK$3)))</f>
        <v/>
      </c>
      <c r="AL230" s="124" t="str">
        <f>IF($B230="","",IF(AL$3=0,"n.b.",INDEX(SRC_ZPMW03!$A$1:$ZZ$501,$A230,AL$3)))</f>
        <v/>
      </c>
      <c r="AM230" s="124" t="str">
        <f>IF($B230="","",IF(AM$3=0,"n.b.",INDEX(SRC_ZPMW03!$A$1:$ZZ$501,$A230,AM$3)))</f>
        <v/>
      </c>
      <c r="AN230" s="124" t="str">
        <f>IF($B230="","",IF(AN$3=0,"n.b.",INDEX(SRC_ZPMW03!$A$1:$ZZ$501,$A230,AN$3)))</f>
        <v/>
      </c>
      <c r="AO230" s="124" t="str">
        <f>IF($B230="","",IF(AO$3=0,"n.b.",INDEX(SRC_ZPMW03!$A$1:$ZZ$501,$A230,AO$3)))</f>
        <v/>
      </c>
      <c r="AP230" s="124" t="str">
        <f>IF($B230="","",IF(AP$3=0,"n.b.",INDEX(SRC_ZPMW03!$A$1:$ZZ$501,$A230,AP$3)))</f>
        <v/>
      </c>
      <c r="AQ230" s="124" t="str">
        <f>IF($B230="","",IF(AQ$3=0,"n.b.",INDEX(SRC_ZPMW03!$A$1:$ZZ$501,$A230,AQ$3)))</f>
        <v/>
      </c>
      <c r="AR230" s="124" t="str">
        <f>IF($B230="","",IF(AR$3=0,"n.b.",INDEX(SRC_ZPMW03!$A$1:$ZZ$501,$A230,AR$3)))</f>
        <v/>
      </c>
      <c r="AS230" s="124" t="str">
        <f>IF($B230="","",IF(AS$3=0,"n.b.",INDEX(SRC_ZPMW03!$A$1:$ZZ$501,$A230,AS$3)))</f>
        <v/>
      </c>
      <c r="AT230" s="124" t="str">
        <f>IF($B230="","",IF(AT$3=0,"n.b.",INDEX(SRC_ZPMW03!$A$1:$ZZ$501,$A230,AT$3)))</f>
        <v/>
      </c>
      <c r="AU230" s="124" t="str">
        <f>IF($B230="","",IF(AU$3=0,"n.b.",INDEX(SRC_ZPMW03!$A$1:$ZZ$501,$A230,AU$3)))</f>
        <v/>
      </c>
      <c r="AV230" s="124" t="str">
        <f>IF($B230="","",IF(AV$3=0,"n.b.",INDEX(SRC_ZPMW03!$A$1:$ZZ$501,$A230,AV$3)))</f>
        <v/>
      </c>
      <c r="AW230" s="124" t="str">
        <f>IF($B230="","",IF(AW$3=0,"n.b.",INDEX(SRC_ZPMW03!$A$1:$ZZ$501,$A230,AW$3)))</f>
        <v/>
      </c>
      <c r="AX230" s="124" t="str">
        <f>IF($B230="","",IF(AX$3=0,"n.b.",INDEX(SRC_ZPMW03!$A$1:$ZZ$501,$A230,AX$3)))</f>
        <v/>
      </c>
      <c r="AY230" s="124" t="str">
        <f>IF($B230="","",IF(AY$3=0,"n.b.",INDEX(SRC_ZPMW03!$A$1:$ZZ$501,$A230,AY$3)))</f>
        <v/>
      </c>
      <c r="AZ230" s="124" t="str">
        <f>IF($B230="","",IF(AZ$3=0,"n.b.",INDEX(SRC_ZPMW03!$A$1:$ZZ$501,$A230,AZ$3)))</f>
        <v/>
      </c>
      <c r="BA230" s="124" t="str">
        <f>IF($B230="","",IF(BA$3=0,"n.b.",INDEX(SRC_ZPMW03!$A$1:$ZZ$501,$A230,BA$3)))</f>
        <v/>
      </c>
      <c r="BB230" s="124" t="str">
        <f>IF($B230="","",IF(BB$3=0,"n.b.",INDEX(SRC_ZPMW03!$A$1:$ZZ$501,$A230,BB$3)))</f>
        <v/>
      </c>
      <c r="BC230" s="124" t="str">
        <f>IF($B230="","",IF(BC$3=0,"n.b.",INDEX(SRC_ZPMW03!$A$1:$ZZ$501,$A230,BC$3)))</f>
        <v/>
      </c>
      <c r="BD230" s="124" t="str">
        <f>IF($B230="","",IF(BD$3=0,"n.b.",INDEX(SRC_ZPMW03!$A$1:$ZZ$501,$A230,BD$3)))</f>
        <v/>
      </c>
      <c r="BE230" s="124" t="str">
        <f>IF($B230="","",IF(BE$3=0,"n.b.",INDEX(SRC_ZPMW03!$A$1:$ZZ$501,$A230,BE$3)))</f>
        <v/>
      </c>
      <c r="BF230" s="124" t="str">
        <f>IF($B230="","",IF(BF$3=0,"n.b.",INDEX(SRC_ZPMW03!$A$1:$ZZ$501,$A230,BF$3)))</f>
        <v/>
      </c>
      <c r="BG230" t="str">
        <f>IF($B230="","",IF(BG$3=0,"n.b.",INDEX(SRC_ZPMW03!$A$1:$ZZ$501,$A230,BG$3)))</f>
        <v/>
      </c>
      <c r="BH230" t="str">
        <f>IF($B230="","",IF(BH$3=0,"n.b.",INDEX(SRC_ZPMW03!$A$1:$ZZ$501,$A230,BH$3)))</f>
        <v/>
      </c>
      <c r="BI230" t="str">
        <f>IF($B230="","",IF(BI$3=0,"n.b.",INDEX(SRC_ZPMW03!$A$1:$ZZ$501,$A230,BI$3)))</f>
        <v/>
      </c>
      <c r="BJ230" t="str">
        <f>IF($B230="","",IF(BJ$3=0,"n.b.",INDEX(SRC_ZPMW03!$A$1:$ZZ$501,$A230,BJ$3)))</f>
        <v/>
      </c>
      <c r="BK230" s="124" t="str">
        <f>IF($B230="","",IFERROR(-O230,"n.b."))</f>
        <v/>
      </c>
      <c r="BL230" s="124" t="str">
        <f>IF($B230="","",IFERROR(-Q230,"n.b."))</f>
        <v/>
      </c>
      <c r="BM230" s="124" t="str">
        <f>IF($B230="","",IFERROR(-AB230,"n.b."))</f>
        <v/>
      </c>
      <c r="BN230" s="124" t="str">
        <f>IF($B230="","",IFERROR(-AD230,"n.b."))</f>
        <v/>
      </c>
      <c r="BO230" s="124" t="str">
        <f>IF($B230="","",IFERROR(BK230+BM230,"n.b."))</f>
        <v/>
      </c>
      <c r="BP230" s="124" t="str">
        <f>IF($B230="","",IFERROR(BL230+BN230,"n.b."))</f>
        <v/>
      </c>
      <c r="BQ230" s="124" t="str">
        <f>IF($B230="","",IFERROR(-AM230,"n.b."))</f>
        <v/>
      </c>
      <c r="BR230" s="124" t="str">
        <f>IF($B230="","",IFERROR(-AO230,"n.b."))</f>
        <v/>
      </c>
      <c r="BS230" s="124" t="str">
        <f>IF($B230="","",IFERROR(-Z230,"n.b."))</f>
        <v/>
      </c>
      <c r="BT230" s="124" t="str">
        <f>IF($B230="","",IFERROR(-AA230,"n.b."))</f>
        <v/>
      </c>
      <c r="BU230" s="124" t="str">
        <f>IF($B230="","",IFERROR(-AE230,"n.b."))</f>
        <v/>
      </c>
      <c r="BV230" s="124" t="str">
        <f>IF($B230="","",IFERROR(-AF230,"n.b."))</f>
        <v/>
      </c>
      <c r="BW230" s="124" t="str">
        <f>IF($B230="","",IFERROR(-AG230,"n.b."))</f>
        <v/>
      </c>
      <c r="BX230" s="124" t="str">
        <f>IF($B230="","",IFERROR(-AH230,"n.b."))</f>
        <v/>
      </c>
      <c r="BY230" s="124" t="str">
        <f>IF($B230="","",IFERROR(-AI230,"n.b."))</f>
        <v/>
      </c>
      <c r="BZ230" s="124" t="str">
        <f>IF($B230="","",IFERROR(-AJ230,"n.b."))</f>
        <v/>
      </c>
      <c r="CA230" s="124" t="str">
        <f>IF($B230="","",IFERROR(-AK230,"n.b."))</f>
        <v/>
      </c>
      <c r="CB230" s="124" t="str">
        <f>IF($B230="","",IFERROR(-AL230,"n.b."))</f>
        <v/>
      </c>
      <c r="CC230" s="124" t="str">
        <f>IF($B230="","",IFERROR(-AP230,"n.b."))</f>
        <v/>
      </c>
      <c r="CD230" s="124" t="str">
        <f>IF($B230="","",IFERROR(-AQ230,"n.b."))</f>
        <v/>
      </c>
      <c r="CE230" s="124" t="str">
        <f>IF($B230="","",IFERROR(-AR230,"n.b."))</f>
        <v/>
      </c>
      <c r="CF230" s="124" t="str">
        <f>IF($B230="","",IFERROR(-AS230,"n.b."))</f>
        <v/>
      </c>
      <c r="CG230" s="124" t="str">
        <f>IF($B230="","",IFERROR(-AT230,"n.b."))</f>
        <v/>
      </c>
      <c r="CH230" s="124" t="str">
        <f>IF($B230="","",IFERROR(-AU230,"n.b."))</f>
        <v/>
      </c>
      <c r="CI230" s="124" t="str">
        <f>IF($B230="","",IFERROR(-AV230,"n.b."))</f>
        <v/>
      </c>
      <c r="CJ230" s="124" t="str">
        <f>IF($B230="","",IFERROR(-AW230,"n.b."))</f>
        <v/>
      </c>
      <c r="CK230" s="124" t="str">
        <f>IF($B230="","",IFERROR(-AX230,"n.b."))</f>
        <v/>
      </c>
      <c r="CL230" s="124" t="str">
        <f>IF($B230="","",IFERROR(-AY230,"n.b."))</f>
        <v/>
      </c>
      <c r="CM230" s="124" t="str">
        <f>IF($B230="","",IFERROR(-AZ230,"n.b."))</f>
        <v/>
      </c>
      <c r="CN230" s="124" t="str">
        <f>IF($B230="","",IFERROR(-BA230,"n.b."))</f>
        <v/>
      </c>
      <c r="CO230" s="124" t="str">
        <f>IF($B230="","",IFERROR(-BB230,"n.b."))</f>
        <v/>
      </c>
      <c r="CP230" s="124" t="str">
        <f>IF($B230="","",IFERROR(-BC230,"n.b."))</f>
        <v/>
      </c>
      <c r="CQ230" s="124" t="str">
        <f>IF($B230="","",IFERROR(-BD230,"n.b."))</f>
        <v/>
      </c>
      <c r="CR230" s="124" t="str">
        <f>IF($B230="","",IFERROR(-BE230,"n.b."))</f>
        <v/>
      </c>
      <c r="CS230" s="124" t="str">
        <f>IF($B230="","",IFERROR(IF(OR(ABS(T230+V230+X230+Z230-AB230)&gt;P_Tol,ABS(U230+W230+Y230+AA230-AD230)&gt;P_Tol,ABS(AE230+AG230+AI230+AK230-AM230)&gt;P_Tol,ABS(AF230+AH230+AJ230+AL230-AO230)&gt;P_Tol),1,0),1))</f>
        <v/>
      </c>
      <c r="CT230" s="124" t="str">
        <f>IF($B230="","",IFERROR(IF(OR(ABS(AB230+AC230-AD230)&gt;P_Tol,ABS(AM230+AN230-AO230)&gt;P_Tol,ABS(O230+P230-Q230)&gt;P_Tol),1,0),1))</f>
        <v/>
      </c>
      <c r="CU230" s="124" t="str">
        <f>IF($B230="","",IFERROR(IF(ABS(R230-(AB230+AM230+AP230+AR230+AT230+AV230+AX230+AZ230+BB230+BD230))&gt;P_Tol,1,0),1))</f>
        <v/>
      </c>
      <c r="CV230" s="124" t="str">
        <f>IF($B230="","",IFERROR(IF(ABS(M230-(N230+O230+R230))&gt;P_Tol,1,0),1))</f>
        <v/>
      </c>
      <c r="CW230" s="124" t="str">
        <f>IF($B230="","",IF(COUNTIF(Mapping!$A$5:$A$104,B230)&gt;0,1,0))</f>
        <v/>
      </c>
      <c r="CX230" s="124" t="str">
        <f>IF($B230="","",COUNTIF($B$6:$B$505,B230))</f>
        <v/>
      </c>
      <c r="CY230" s="124" t="str">
        <f>IF($B230="","",COUNTIF(STG_Woningetalage!$B$6:$B$505,B230))</f>
        <v/>
      </c>
      <c r="CZ230" s="124" t="str">
        <f>IF($B230="","",IF(CW230=0,COUNTIF($CW$6:CW230,0),""))</f>
        <v/>
      </c>
    </row>
    <row r="231">
      <c r="A231" s="15" t="n">
        <v>227</v>
      </c>
      <c r="B231" t="str">
        <f>IF(B$3=0,"",IF(INDEX(SRC_ZPMW03!$A$1:$ZZ$501,$A231,B$3)&amp;""="","",INDEX(SRC_ZPMW03!$A$1:$ZZ$501,$A231,B$3)&amp;""))</f>
        <v/>
      </c>
      <c r="C231" t="str">
        <f>IF($B231="","",IF(C$3=0,"n.b.",INDEX(SRC_ZPMW03!$A$1:$ZZ$501,$A231,C$3)))</f>
        <v/>
      </c>
      <c r="D231" t="str">
        <f>IF($B231="","",IF(D$3=0,"n.b.",INDEX(SRC_ZPMW03!$A$1:$ZZ$501,$A231,D$3)))</f>
        <v/>
      </c>
      <c r="E231" t="str">
        <f>IF($B231="","",IF(E$3=0,"n.b.",INDEX(SRC_ZPMW03!$A$1:$ZZ$501,$A231,E$3)))</f>
        <v/>
      </c>
      <c r="F231" t="str">
        <f>IF($B231="","",IF(F$3=0,"n.b.",INDEX(SRC_ZPMW03!$A$1:$ZZ$501,$A231,F$3)))</f>
        <v/>
      </c>
      <c r="G231" t="str">
        <f>IF($B231="","",IF(G$3=0,"n.b.",INDEX(SRC_ZPMW03!$A$1:$ZZ$501,$A231,G$3)))</f>
        <v/>
      </c>
      <c r="H231" t="str">
        <f>IF($B231="","",IF(H$3=0,"n.b.",INDEX(SRC_ZPMW03!$A$1:$ZZ$501,$A231,H$3)))</f>
        <v/>
      </c>
      <c r="I231" t="str">
        <f>IF($B231="","",IF(I$3=0,"n.b.",INDEX(SRC_ZPMW03!$A$1:$ZZ$501,$A231,I$3)))</f>
        <v/>
      </c>
      <c r="J231" t="str">
        <f>IF($B231="","",IF(J$3=0,"n.b.",INDEX(SRC_ZPMW03!$A$1:$ZZ$501,$A231,J$3)))</f>
        <v/>
      </c>
      <c r="K231" t="str">
        <f>IF($B231="","",IF(K$3=0,"n.b.",INDEX(SRC_ZPMW03!$A$1:$ZZ$501,$A231,K$3)))</f>
        <v/>
      </c>
      <c r="L231" s="124" t="str">
        <f>IF($B231="","",IF(L$3=0,"n.b.",INDEX(SRC_ZPMW03!$A$1:$ZZ$501,$A231,L$3)))</f>
        <v/>
      </c>
      <c r="M231" s="124" t="str">
        <f>IF($B231="","",IF(M$3=0,"n.b.",INDEX(SRC_ZPMW03!$A$1:$ZZ$501,$A231,M$3)))</f>
        <v/>
      </c>
      <c r="N231" s="124" t="str">
        <f>IF($B231="","",IF(N$3=0,"n.b.",INDEX(SRC_ZPMW03!$A$1:$ZZ$501,$A231,N$3)))</f>
        <v/>
      </c>
      <c r="O231" s="124" t="str">
        <f>IF($B231="","",IF(O$3=0,"n.b.",INDEX(SRC_ZPMW03!$A$1:$ZZ$501,$A231,O$3)))</f>
        <v/>
      </c>
      <c r="P231" s="124" t="str">
        <f>IF($B231="","",IF(P$3=0,"n.b.",INDEX(SRC_ZPMW03!$A$1:$ZZ$501,$A231,P$3)))</f>
        <v/>
      </c>
      <c r="Q231" s="124" t="str">
        <f>IF($B231="","",IF(Q$3=0,"n.b.",INDEX(SRC_ZPMW03!$A$1:$ZZ$501,$A231,Q$3)))</f>
        <v/>
      </c>
      <c r="R231" s="124" t="str">
        <f>IF($B231="","",IF(R$3=0,"n.b.",INDEX(SRC_ZPMW03!$A$1:$ZZ$501,$A231,R$3)))</f>
        <v/>
      </c>
      <c r="S231" s="124" t="str">
        <f>IF($B231="","",IF(S$3=0,"n.b.",INDEX(SRC_ZPMW03!$A$1:$ZZ$501,$A231,S$3)))</f>
        <v/>
      </c>
      <c r="T231" s="124" t="str">
        <f>IF($B231="","",IF(T$3=0,"n.b.",INDEX(SRC_ZPMW03!$A$1:$ZZ$501,$A231,T$3)))</f>
        <v/>
      </c>
      <c r="U231" s="124" t="str">
        <f>IF($B231="","",IF(U$3=0,"n.b.",INDEX(SRC_ZPMW03!$A$1:$ZZ$501,$A231,U$3)))</f>
        <v/>
      </c>
      <c r="V231" s="124" t="str">
        <f>IF($B231="","",IF(V$3=0,"n.b.",INDEX(SRC_ZPMW03!$A$1:$ZZ$501,$A231,V$3)))</f>
        <v/>
      </c>
      <c r="W231" s="124" t="str">
        <f>IF($B231="","",IF(W$3=0,"n.b.",INDEX(SRC_ZPMW03!$A$1:$ZZ$501,$A231,W$3)))</f>
        <v/>
      </c>
      <c r="X231" s="124" t="str">
        <f>IF($B231="","",IF(X$3=0,"n.b.",INDEX(SRC_ZPMW03!$A$1:$ZZ$501,$A231,X$3)))</f>
        <v/>
      </c>
      <c r="Y231" s="124" t="str">
        <f>IF($B231="","",IF(Y$3=0,"n.b.",INDEX(SRC_ZPMW03!$A$1:$ZZ$501,$A231,Y$3)))</f>
        <v/>
      </c>
      <c r="Z231" s="124" t="str">
        <f>IF($B231="","",IF(Z$3=0,"n.b.",INDEX(SRC_ZPMW03!$A$1:$ZZ$501,$A231,Z$3)))</f>
        <v/>
      </c>
      <c r="AA231" s="124" t="str">
        <f>IF($B231="","",IF(AA$3=0,"n.b.",INDEX(SRC_ZPMW03!$A$1:$ZZ$501,$A231,AA$3)))</f>
        <v/>
      </c>
      <c r="AB231" s="124" t="str">
        <f>IF($B231="","",IF(AB$3=0,"n.b.",INDEX(SRC_ZPMW03!$A$1:$ZZ$501,$A231,AB$3)))</f>
        <v/>
      </c>
      <c r="AC231" s="124" t="str">
        <f>IF($B231="","",IF(AC$3=0,"n.b.",INDEX(SRC_ZPMW03!$A$1:$ZZ$501,$A231,AC$3)))</f>
        <v/>
      </c>
      <c r="AD231" s="124" t="str">
        <f>IF($B231="","",IF(AD$3=0,"n.b.",INDEX(SRC_ZPMW03!$A$1:$ZZ$501,$A231,AD$3)))</f>
        <v/>
      </c>
      <c r="AE231" s="124" t="str">
        <f>IF($B231="","",IF(AE$3=0,"n.b.",INDEX(SRC_ZPMW03!$A$1:$ZZ$501,$A231,AE$3)))</f>
        <v/>
      </c>
      <c r="AF231" s="124" t="str">
        <f>IF($B231="","",IF(AF$3=0,"n.b.",INDEX(SRC_ZPMW03!$A$1:$ZZ$501,$A231,AF$3)))</f>
        <v/>
      </c>
      <c r="AG231" s="124" t="str">
        <f>IF($B231="","",IF(AG$3=0,"n.b.",INDEX(SRC_ZPMW03!$A$1:$ZZ$501,$A231,AG$3)))</f>
        <v/>
      </c>
      <c r="AH231" s="124" t="str">
        <f>IF($B231="","",IF(AH$3=0,"n.b.",INDEX(SRC_ZPMW03!$A$1:$ZZ$501,$A231,AH$3)))</f>
        <v/>
      </c>
      <c r="AI231" s="124" t="str">
        <f>IF($B231="","",IF(AI$3=0,"n.b.",INDEX(SRC_ZPMW03!$A$1:$ZZ$501,$A231,AI$3)))</f>
        <v/>
      </c>
      <c r="AJ231" s="124" t="str">
        <f>IF($B231="","",IF(AJ$3=0,"n.b.",INDEX(SRC_ZPMW03!$A$1:$ZZ$501,$A231,AJ$3)))</f>
        <v/>
      </c>
      <c r="AK231" s="124" t="str">
        <f>IF($B231="","",IF(AK$3=0,"n.b.",INDEX(SRC_ZPMW03!$A$1:$ZZ$501,$A231,AK$3)))</f>
        <v/>
      </c>
      <c r="AL231" s="124" t="str">
        <f>IF($B231="","",IF(AL$3=0,"n.b.",INDEX(SRC_ZPMW03!$A$1:$ZZ$501,$A231,AL$3)))</f>
        <v/>
      </c>
      <c r="AM231" s="124" t="str">
        <f>IF($B231="","",IF(AM$3=0,"n.b.",INDEX(SRC_ZPMW03!$A$1:$ZZ$501,$A231,AM$3)))</f>
        <v/>
      </c>
      <c r="AN231" s="124" t="str">
        <f>IF($B231="","",IF(AN$3=0,"n.b.",INDEX(SRC_ZPMW03!$A$1:$ZZ$501,$A231,AN$3)))</f>
        <v/>
      </c>
      <c r="AO231" s="124" t="str">
        <f>IF($B231="","",IF(AO$3=0,"n.b.",INDEX(SRC_ZPMW03!$A$1:$ZZ$501,$A231,AO$3)))</f>
        <v/>
      </c>
      <c r="AP231" s="124" t="str">
        <f>IF($B231="","",IF(AP$3=0,"n.b.",INDEX(SRC_ZPMW03!$A$1:$ZZ$501,$A231,AP$3)))</f>
        <v/>
      </c>
      <c r="AQ231" s="124" t="str">
        <f>IF($B231="","",IF(AQ$3=0,"n.b.",INDEX(SRC_ZPMW03!$A$1:$ZZ$501,$A231,AQ$3)))</f>
        <v/>
      </c>
      <c r="AR231" s="124" t="str">
        <f>IF($B231="","",IF(AR$3=0,"n.b.",INDEX(SRC_ZPMW03!$A$1:$ZZ$501,$A231,AR$3)))</f>
        <v/>
      </c>
      <c r="AS231" s="124" t="str">
        <f>IF($B231="","",IF(AS$3=0,"n.b.",INDEX(SRC_ZPMW03!$A$1:$ZZ$501,$A231,AS$3)))</f>
        <v/>
      </c>
      <c r="AT231" s="124" t="str">
        <f>IF($B231="","",IF(AT$3=0,"n.b.",INDEX(SRC_ZPMW03!$A$1:$ZZ$501,$A231,AT$3)))</f>
        <v/>
      </c>
      <c r="AU231" s="124" t="str">
        <f>IF($B231="","",IF(AU$3=0,"n.b.",INDEX(SRC_ZPMW03!$A$1:$ZZ$501,$A231,AU$3)))</f>
        <v/>
      </c>
      <c r="AV231" s="124" t="str">
        <f>IF($B231="","",IF(AV$3=0,"n.b.",INDEX(SRC_ZPMW03!$A$1:$ZZ$501,$A231,AV$3)))</f>
        <v/>
      </c>
      <c r="AW231" s="124" t="str">
        <f>IF($B231="","",IF(AW$3=0,"n.b.",INDEX(SRC_ZPMW03!$A$1:$ZZ$501,$A231,AW$3)))</f>
        <v/>
      </c>
      <c r="AX231" s="124" t="str">
        <f>IF($B231="","",IF(AX$3=0,"n.b.",INDEX(SRC_ZPMW03!$A$1:$ZZ$501,$A231,AX$3)))</f>
        <v/>
      </c>
      <c r="AY231" s="124" t="str">
        <f>IF($B231="","",IF(AY$3=0,"n.b.",INDEX(SRC_ZPMW03!$A$1:$ZZ$501,$A231,AY$3)))</f>
        <v/>
      </c>
      <c r="AZ231" s="124" t="str">
        <f>IF($B231="","",IF(AZ$3=0,"n.b.",INDEX(SRC_ZPMW03!$A$1:$ZZ$501,$A231,AZ$3)))</f>
        <v/>
      </c>
      <c r="BA231" s="124" t="str">
        <f>IF($B231="","",IF(BA$3=0,"n.b.",INDEX(SRC_ZPMW03!$A$1:$ZZ$501,$A231,BA$3)))</f>
        <v/>
      </c>
      <c r="BB231" s="124" t="str">
        <f>IF($B231="","",IF(BB$3=0,"n.b.",INDEX(SRC_ZPMW03!$A$1:$ZZ$501,$A231,BB$3)))</f>
        <v/>
      </c>
      <c r="BC231" s="124" t="str">
        <f>IF($B231="","",IF(BC$3=0,"n.b.",INDEX(SRC_ZPMW03!$A$1:$ZZ$501,$A231,BC$3)))</f>
        <v/>
      </c>
      <c r="BD231" s="124" t="str">
        <f>IF($B231="","",IF(BD$3=0,"n.b.",INDEX(SRC_ZPMW03!$A$1:$ZZ$501,$A231,BD$3)))</f>
        <v/>
      </c>
      <c r="BE231" s="124" t="str">
        <f>IF($B231="","",IF(BE$3=0,"n.b.",INDEX(SRC_ZPMW03!$A$1:$ZZ$501,$A231,BE$3)))</f>
        <v/>
      </c>
      <c r="BF231" s="124" t="str">
        <f>IF($B231="","",IF(BF$3=0,"n.b.",INDEX(SRC_ZPMW03!$A$1:$ZZ$501,$A231,BF$3)))</f>
        <v/>
      </c>
      <c r="BG231" t="str">
        <f>IF($B231="","",IF(BG$3=0,"n.b.",INDEX(SRC_ZPMW03!$A$1:$ZZ$501,$A231,BG$3)))</f>
        <v/>
      </c>
      <c r="BH231" t="str">
        <f>IF($B231="","",IF(BH$3=0,"n.b.",INDEX(SRC_ZPMW03!$A$1:$ZZ$501,$A231,BH$3)))</f>
        <v/>
      </c>
      <c r="BI231" t="str">
        <f>IF($B231="","",IF(BI$3=0,"n.b.",INDEX(SRC_ZPMW03!$A$1:$ZZ$501,$A231,BI$3)))</f>
        <v/>
      </c>
      <c r="BJ231" t="str">
        <f>IF($B231="","",IF(BJ$3=0,"n.b.",INDEX(SRC_ZPMW03!$A$1:$ZZ$501,$A231,BJ$3)))</f>
        <v/>
      </c>
      <c r="BK231" s="124" t="str">
        <f>IF($B231="","",IFERROR(-O231,"n.b."))</f>
        <v/>
      </c>
      <c r="BL231" s="124" t="str">
        <f>IF($B231="","",IFERROR(-Q231,"n.b."))</f>
        <v/>
      </c>
      <c r="BM231" s="124" t="str">
        <f>IF($B231="","",IFERROR(-AB231,"n.b."))</f>
        <v/>
      </c>
      <c r="BN231" s="124" t="str">
        <f>IF($B231="","",IFERROR(-AD231,"n.b."))</f>
        <v/>
      </c>
      <c r="BO231" s="124" t="str">
        <f>IF($B231="","",IFERROR(BK231+BM231,"n.b."))</f>
        <v/>
      </c>
      <c r="BP231" s="124" t="str">
        <f>IF($B231="","",IFERROR(BL231+BN231,"n.b."))</f>
        <v/>
      </c>
      <c r="BQ231" s="124" t="str">
        <f>IF($B231="","",IFERROR(-AM231,"n.b."))</f>
        <v/>
      </c>
      <c r="BR231" s="124" t="str">
        <f>IF($B231="","",IFERROR(-AO231,"n.b."))</f>
        <v/>
      </c>
      <c r="BS231" s="124" t="str">
        <f>IF($B231="","",IFERROR(-Z231,"n.b."))</f>
        <v/>
      </c>
      <c r="BT231" s="124" t="str">
        <f>IF($B231="","",IFERROR(-AA231,"n.b."))</f>
        <v/>
      </c>
      <c r="BU231" s="124" t="str">
        <f>IF($B231="","",IFERROR(-AE231,"n.b."))</f>
        <v/>
      </c>
      <c r="BV231" s="124" t="str">
        <f>IF($B231="","",IFERROR(-AF231,"n.b."))</f>
        <v/>
      </c>
      <c r="BW231" s="124" t="str">
        <f>IF($B231="","",IFERROR(-AG231,"n.b."))</f>
        <v/>
      </c>
      <c r="BX231" s="124" t="str">
        <f>IF($B231="","",IFERROR(-AH231,"n.b."))</f>
        <v/>
      </c>
      <c r="BY231" s="124" t="str">
        <f>IF($B231="","",IFERROR(-AI231,"n.b."))</f>
        <v/>
      </c>
      <c r="BZ231" s="124" t="str">
        <f>IF($B231="","",IFERROR(-AJ231,"n.b."))</f>
        <v/>
      </c>
      <c r="CA231" s="124" t="str">
        <f>IF($B231="","",IFERROR(-AK231,"n.b."))</f>
        <v/>
      </c>
      <c r="CB231" s="124" t="str">
        <f>IF($B231="","",IFERROR(-AL231,"n.b."))</f>
        <v/>
      </c>
      <c r="CC231" s="124" t="str">
        <f>IF($B231="","",IFERROR(-AP231,"n.b."))</f>
        <v/>
      </c>
      <c r="CD231" s="124" t="str">
        <f>IF($B231="","",IFERROR(-AQ231,"n.b."))</f>
        <v/>
      </c>
      <c r="CE231" s="124" t="str">
        <f>IF($B231="","",IFERROR(-AR231,"n.b."))</f>
        <v/>
      </c>
      <c r="CF231" s="124" t="str">
        <f>IF($B231="","",IFERROR(-AS231,"n.b."))</f>
        <v/>
      </c>
      <c r="CG231" s="124" t="str">
        <f>IF($B231="","",IFERROR(-AT231,"n.b."))</f>
        <v/>
      </c>
      <c r="CH231" s="124" t="str">
        <f>IF($B231="","",IFERROR(-AU231,"n.b."))</f>
        <v/>
      </c>
      <c r="CI231" s="124" t="str">
        <f>IF($B231="","",IFERROR(-AV231,"n.b."))</f>
        <v/>
      </c>
      <c r="CJ231" s="124" t="str">
        <f>IF($B231="","",IFERROR(-AW231,"n.b."))</f>
        <v/>
      </c>
      <c r="CK231" s="124" t="str">
        <f>IF($B231="","",IFERROR(-AX231,"n.b."))</f>
        <v/>
      </c>
      <c r="CL231" s="124" t="str">
        <f>IF($B231="","",IFERROR(-AY231,"n.b."))</f>
        <v/>
      </c>
      <c r="CM231" s="124" t="str">
        <f>IF($B231="","",IFERROR(-AZ231,"n.b."))</f>
        <v/>
      </c>
      <c r="CN231" s="124" t="str">
        <f>IF($B231="","",IFERROR(-BA231,"n.b."))</f>
        <v/>
      </c>
      <c r="CO231" s="124" t="str">
        <f>IF($B231="","",IFERROR(-BB231,"n.b."))</f>
        <v/>
      </c>
      <c r="CP231" s="124" t="str">
        <f>IF($B231="","",IFERROR(-BC231,"n.b."))</f>
        <v/>
      </c>
      <c r="CQ231" s="124" t="str">
        <f>IF($B231="","",IFERROR(-BD231,"n.b."))</f>
        <v/>
      </c>
      <c r="CR231" s="124" t="str">
        <f>IF($B231="","",IFERROR(-BE231,"n.b."))</f>
        <v/>
      </c>
      <c r="CS231" s="124" t="str">
        <f>IF($B231="","",IFERROR(IF(OR(ABS(T231+V231+X231+Z231-AB231)&gt;P_Tol,ABS(U231+W231+Y231+AA231-AD231)&gt;P_Tol,ABS(AE231+AG231+AI231+AK231-AM231)&gt;P_Tol,ABS(AF231+AH231+AJ231+AL231-AO231)&gt;P_Tol),1,0),1))</f>
        <v/>
      </c>
      <c r="CT231" s="124" t="str">
        <f>IF($B231="","",IFERROR(IF(OR(ABS(AB231+AC231-AD231)&gt;P_Tol,ABS(AM231+AN231-AO231)&gt;P_Tol,ABS(O231+P231-Q231)&gt;P_Tol),1,0),1))</f>
        <v/>
      </c>
      <c r="CU231" s="124" t="str">
        <f>IF($B231="","",IFERROR(IF(ABS(R231-(AB231+AM231+AP231+AR231+AT231+AV231+AX231+AZ231+BB231+BD231))&gt;P_Tol,1,0),1))</f>
        <v/>
      </c>
      <c r="CV231" s="124" t="str">
        <f>IF($B231="","",IFERROR(IF(ABS(M231-(N231+O231+R231))&gt;P_Tol,1,0),1))</f>
        <v/>
      </c>
      <c r="CW231" s="124" t="str">
        <f>IF($B231="","",IF(COUNTIF(Mapping!$A$5:$A$104,B231)&gt;0,1,0))</f>
        <v/>
      </c>
      <c r="CX231" s="124" t="str">
        <f>IF($B231="","",COUNTIF($B$6:$B$505,B231))</f>
        <v/>
      </c>
      <c r="CY231" s="124" t="str">
        <f>IF($B231="","",COUNTIF(STG_Woningetalage!$B$6:$B$505,B231))</f>
        <v/>
      </c>
      <c r="CZ231" s="124" t="str">
        <f>IF($B231="","",IF(CW231=0,COUNTIF($CW$6:CW231,0),""))</f>
        <v/>
      </c>
    </row>
    <row r="232">
      <c r="A232" s="15" t="n">
        <v>228</v>
      </c>
      <c r="B232" t="str">
        <f>IF(B$3=0,"",IF(INDEX(SRC_ZPMW03!$A$1:$ZZ$501,$A232,B$3)&amp;""="","",INDEX(SRC_ZPMW03!$A$1:$ZZ$501,$A232,B$3)&amp;""))</f>
        <v/>
      </c>
      <c r="C232" t="str">
        <f>IF($B232="","",IF(C$3=0,"n.b.",INDEX(SRC_ZPMW03!$A$1:$ZZ$501,$A232,C$3)))</f>
        <v/>
      </c>
      <c r="D232" t="str">
        <f>IF($B232="","",IF(D$3=0,"n.b.",INDEX(SRC_ZPMW03!$A$1:$ZZ$501,$A232,D$3)))</f>
        <v/>
      </c>
      <c r="E232" t="str">
        <f>IF($B232="","",IF(E$3=0,"n.b.",INDEX(SRC_ZPMW03!$A$1:$ZZ$501,$A232,E$3)))</f>
        <v/>
      </c>
      <c r="F232" t="str">
        <f>IF($B232="","",IF(F$3=0,"n.b.",INDEX(SRC_ZPMW03!$A$1:$ZZ$501,$A232,F$3)))</f>
        <v/>
      </c>
      <c r="G232" t="str">
        <f>IF($B232="","",IF(G$3=0,"n.b.",INDEX(SRC_ZPMW03!$A$1:$ZZ$501,$A232,G$3)))</f>
        <v/>
      </c>
      <c r="H232" t="str">
        <f>IF($B232="","",IF(H$3=0,"n.b.",INDEX(SRC_ZPMW03!$A$1:$ZZ$501,$A232,H$3)))</f>
        <v/>
      </c>
      <c r="I232" t="str">
        <f>IF($B232="","",IF(I$3=0,"n.b.",INDEX(SRC_ZPMW03!$A$1:$ZZ$501,$A232,I$3)))</f>
        <v/>
      </c>
      <c r="J232" t="str">
        <f>IF($B232="","",IF(J$3=0,"n.b.",INDEX(SRC_ZPMW03!$A$1:$ZZ$501,$A232,J$3)))</f>
        <v/>
      </c>
      <c r="K232" t="str">
        <f>IF($B232="","",IF(K$3=0,"n.b.",INDEX(SRC_ZPMW03!$A$1:$ZZ$501,$A232,K$3)))</f>
        <v/>
      </c>
      <c r="L232" s="124" t="str">
        <f>IF($B232="","",IF(L$3=0,"n.b.",INDEX(SRC_ZPMW03!$A$1:$ZZ$501,$A232,L$3)))</f>
        <v/>
      </c>
      <c r="M232" s="124" t="str">
        <f>IF($B232="","",IF(M$3=0,"n.b.",INDEX(SRC_ZPMW03!$A$1:$ZZ$501,$A232,M$3)))</f>
        <v/>
      </c>
      <c r="N232" s="124" t="str">
        <f>IF($B232="","",IF(N$3=0,"n.b.",INDEX(SRC_ZPMW03!$A$1:$ZZ$501,$A232,N$3)))</f>
        <v/>
      </c>
      <c r="O232" s="124" t="str">
        <f>IF($B232="","",IF(O$3=0,"n.b.",INDEX(SRC_ZPMW03!$A$1:$ZZ$501,$A232,O$3)))</f>
        <v/>
      </c>
      <c r="P232" s="124" t="str">
        <f>IF($B232="","",IF(P$3=0,"n.b.",INDEX(SRC_ZPMW03!$A$1:$ZZ$501,$A232,P$3)))</f>
        <v/>
      </c>
      <c r="Q232" s="124" t="str">
        <f>IF($B232="","",IF(Q$3=0,"n.b.",INDEX(SRC_ZPMW03!$A$1:$ZZ$501,$A232,Q$3)))</f>
        <v/>
      </c>
      <c r="R232" s="124" t="str">
        <f>IF($B232="","",IF(R$3=0,"n.b.",INDEX(SRC_ZPMW03!$A$1:$ZZ$501,$A232,R$3)))</f>
        <v/>
      </c>
      <c r="S232" s="124" t="str">
        <f>IF($B232="","",IF(S$3=0,"n.b.",INDEX(SRC_ZPMW03!$A$1:$ZZ$501,$A232,S$3)))</f>
        <v/>
      </c>
      <c r="T232" s="124" t="str">
        <f>IF($B232="","",IF(T$3=0,"n.b.",INDEX(SRC_ZPMW03!$A$1:$ZZ$501,$A232,T$3)))</f>
        <v/>
      </c>
      <c r="U232" s="124" t="str">
        <f>IF($B232="","",IF(U$3=0,"n.b.",INDEX(SRC_ZPMW03!$A$1:$ZZ$501,$A232,U$3)))</f>
        <v/>
      </c>
      <c r="V232" s="124" t="str">
        <f>IF($B232="","",IF(V$3=0,"n.b.",INDEX(SRC_ZPMW03!$A$1:$ZZ$501,$A232,V$3)))</f>
        <v/>
      </c>
      <c r="W232" s="124" t="str">
        <f>IF($B232="","",IF(W$3=0,"n.b.",INDEX(SRC_ZPMW03!$A$1:$ZZ$501,$A232,W$3)))</f>
        <v/>
      </c>
      <c r="X232" s="124" t="str">
        <f>IF($B232="","",IF(X$3=0,"n.b.",INDEX(SRC_ZPMW03!$A$1:$ZZ$501,$A232,X$3)))</f>
        <v/>
      </c>
      <c r="Y232" s="124" t="str">
        <f>IF($B232="","",IF(Y$3=0,"n.b.",INDEX(SRC_ZPMW03!$A$1:$ZZ$501,$A232,Y$3)))</f>
        <v/>
      </c>
      <c r="Z232" s="124" t="str">
        <f>IF($B232="","",IF(Z$3=0,"n.b.",INDEX(SRC_ZPMW03!$A$1:$ZZ$501,$A232,Z$3)))</f>
        <v/>
      </c>
      <c r="AA232" s="124" t="str">
        <f>IF($B232="","",IF(AA$3=0,"n.b.",INDEX(SRC_ZPMW03!$A$1:$ZZ$501,$A232,AA$3)))</f>
        <v/>
      </c>
      <c r="AB232" s="124" t="str">
        <f>IF($B232="","",IF(AB$3=0,"n.b.",INDEX(SRC_ZPMW03!$A$1:$ZZ$501,$A232,AB$3)))</f>
        <v/>
      </c>
      <c r="AC232" s="124" t="str">
        <f>IF($B232="","",IF(AC$3=0,"n.b.",INDEX(SRC_ZPMW03!$A$1:$ZZ$501,$A232,AC$3)))</f>
        <v/>
      </c>
      <c r="AD232" s="124" t="str">
        <f>IF($B232="","",IF(AD$3=0,"n.b.",INDEX(SRC_ZPMW03!$A$1:$ZZ$501,$A232,AD$3)))</f>
        <v/>
      </c>
      <c r="AE232" s="124" t="str">
        <f>IF($B232="","",IF(AE$3=0,"n.b.",INDEX(SRC_ZPMW03!$A$1:$ZZ$501,$A232,AE$3)))</f>
        <v/>
      </c>
      <c r="AF232" s="124" t="str">
        <f>IF($B232="","",IF(AF$3=0,"n.b.",INDEX(SRC_ZPMW03!$A$1:$ZZ$501,$A232,AF$3)))</f>
        <v/>
      </c>
      <c r="AG232" s="124" t="str">
        <f>IF($B232="","",IF(AG$3=0,"n.b.",INDEX(SRC_ZPMW03!$A$1:$ZZ$501,$A232,AG$3)))</f>
        <v/>
      </c>
      <c r="AH232" s="124" t="str">
        <f>IF($B232="","",IF(AH$3=0,"n.b.",INDEX(SRC_ZPMW03!$A$1:$ZZ$501,$A232,AH$3)))</f>
        <v/>
      </c>
      <c r="AI232" s="124" t="str">
        <f>IF($B232="","",IF(AI$3=0,"n.b.",INDEX(SRC_ZPMW03!$A$1:$ZZ$501,$A232,AI$3)))</f>
        <v/>
      </c>
      <c r="AJ232" s="124" t="str">
        <f>IF($B232="","",IF(AJ$3=0,"n.b.",INDEX(SRC_ZPMW03!$A$1:$ZZ$501,$A232,AJ$3)))</f>
        <v/>
      </c>
      <c r="AK232" s="124" t="str">
        <f>IF($B232="","",IF(AK$3=0,"n.b.",INDEX(SRC_ZPMW03!$A$1:$ZZ$501,$A232,AK$3)))</f>
        <v/>
      </c>
      <c r="AL232" s="124" t="str">
        <f>IF($B232="","",IF(AL$3=0,"n.b.",INDEX(SRC_ZPMW03!$A$1:$ZZ$501,$A232,AL$3)))</f>
        <v/>
      </c>
      <c r="AM232" s="124" t="str">
        <f>IF($B232="","",IF(AM$3=0,"n.b.",INDEX(SRC_ZPMW03!$A$1:$ZZ$501,$A232,AM$3)))</f>
        <v/>
      </c>
      <c r="AN232" s="124" t="str">
        <f>IF($B232="","",IF(AN$3=0,"n.b.",INDEX(SRC_ZPMW03!$A$1:$ZZ$501,$A232,AN$3)))</f>
        <v/>
      </c>
      <c r="AO232" s="124" t="str">
        <f>IF($B232="","",IF(AO$3=0,"n.b.",INDEX(SRC_ZPMW03!$A$1:$ZZ$501,$A232,AO$3)))</f>
        <v/>
      </c>
      <c r="AP232" s="124" t="str">
        <f>IF($B232="","",IF(AP$3=0,"n.b.",INDEX(SRC_ZPMW03!$A$1:$ZZ$501,$A232,AP$3)))</f>
        <v/>
      </c>
      <c r="AQ232" s="124" t="str">
        <f>IF($B232="","",IF(AQ$3=0,"n.b.",INDEX(SRC_ZPMW03!$A$1:$ZZ$501,$A232,AQ$3)))</f>
        <v/>
      </c>
      <c r="AR232" s="124" t="str">
        <f>IF($B232="","",IF(AR$3=0,"n.b.",INDEX(SRC_ZPMW03!$A$1:$ZZ$501,$A232,AR$3)))</f>
        <v/>
      </c>
      <c r="AS232" s="124" t="str">
        <f>IF($B232="","",IF(AS$3=0,"n.b.",INDEX(SRC_ZPMW03!$A$1:$ZZ$501,$A232,AS$3)))</f>
        <v/>
      </c>
      <c r="AT232" s="124" t="str">
        <f>IF($B232="","",IF(AT$3=0,"n.b.",INDEX(SRC_ZPMW03!$A$1:$ZZ$501,$A232,AT$3)))</f>
        <v/>
      </c>
      <c r="AU232" s="124" t="str">
        <f>IF($B232="","",IF(AU$3=0,"n.b.",INDEX(SRC_ZPMW03!$A$1:$ZZ$501,$A232,AU$3)))</f>
        <v/>
      </c>
      <c r="AV232" s="124" t="str">
        <f>IF($B232="","",IF(AV$3=0,"n.b.",INDEX(SRC_ZPMW03!$A$1:$ZZ$501,$A232,AV$3)))</f>
        <v/>
      </c>
      <c r="AW232" s="124" t="str">
        <f>IF($B232="","",IF(AW$3=0,"n.b.",INDEX(SRC_ZPMW03!$A$1:$ZZ$501,$A232,AW$3)))</f>
        <v/>
      </c>
      <c r="AX232" s="124" t="str">
        <f>IF($B232="","",IF(AX$3=0,"n.b.",INDEX(SRC_ZPMW03!$A$1:$ZZ$501,$A232,AX$3)))</f>
        <v/>
      </c>
      <c r="AY232" s="124" t="str">
        <f>IF($B232="","",IF(AY$3=0,"n.b.",INDEX(SRC_ZPMW03!$A$1:$ZZ$501,$A232,AY$3)))</f>
        <v/>
      </c>
      <c r="AZ232" s="124" t="str">
        <f>IF($B232="","",IF(AZ$3=0,"n.b.",INDEX(SRC_ZPMW03!$A$1:$ZZ$501,$A232,AZ$3)))</f>
        <v/>
      </c>
      <c r="BA232" s="124" t="str">
        <f>IF($B232="","",IF(BA$3=0,"n.b.",INDEX(SRC_ZPMW03!$A$1:$ZZ$501,$A232,BA$3)))</f>
        <v/>
      </c>
      <c r="BB232" s="124" t="str">
        <f>IF($B232="","",IF(BB$3=0,"n.b.",INDEX(SRC_ZPMW03!$A$1:$ZZ$501,$A232,BB$3)))</f>
        <v/>
      </c>
      <c r="BC232" s="124" t="str">
        <f>IF($B232="","",IF(BC$3=0,"n.b.",INDEX(SRC_ZPMW03!$A$1:$ZZ$501,$A232,BC$3)))</f>
        <v/>
      </c>
      <c r="BD232" s="124" t="str">
        <f>IF($B232="","",IF(BD$3=0,"n.b.",INDEX(SRC_ZPMW03!$A$1:$ZZ$501,$A232,BD$3)))</f>
        <v/>
      </c>
      <c r="BE232" s="124" t="str">
        <f>IF($B232="","",IF(BE$3=0,"n.b.",INDEX(SRC_ZPMW03!$A$1:$ZZ$501,$A232,BE$3)))</f>
        <v/>
      </c>
      <c r="BF232" s="124" t="str">
        <f>IF($B232="","",IF(BF$3=0,"n.b.",INDEX(SRC_ZPMW03!$A$1:$ZZ$501,$A232,BF$3)))</f>
        <v/>
      </c>
      <c r="BG232" t="str">
        <f>IF($B232="","",IF(BG$3=0,"n.b.",INDEX(SRC_ZPMW03!$A$1:$ZZ$501,$A232,BG$3)))</f>
        <v/>
      </c>
      <c r="BH232" t="str">
        <f>IF($B232="","",IF(BH$3=0,"n.b.",INDEX(SRC_ZPMW03!$A$1:$ZZ$501,$A232,BH$3)))</f>
        <v/>
      </c>
      <c r="BI232" t="str">
        <f>IF($B232="","",IF(BI$3=0,"n.b.",INDEX(SRC_ZPMW03!$A$1:$ZZ$501,$A232,BI$3)))</f>
        <v/>
      </c>
      <c r="BJ232" t="str">
        <f>IF($B232="","",IF(BJ$3=0,"n.b.",INDEX(SRC_ZPMW03!$A$1:$ZZ$501,$A232,BJ$3)))</f>
        <v/>
      </c>
      <c r="BK232" s="124" t="str">
        <f>IF($B232="","",IFERROR(-O232,"n.b."))</f>
        <v/>
      </c>
      <c r="BL232" s="124" t="str">
        <f>IF($B232="","",IFERROR(-Q232,"n.b."))</f>
        <v/>
      </c>
      <c r="BM232" s="124" t="str">
        <f>IF($B232="","",IFERROR(-AB232,"n.b."))</f>
        <v/>
      </c>
      <c r="BN232" s="124" t="str">
        <f>IF($B232="","",IFERROR(-AD232,"n.b."))</f>
        <v/>
      </c>
      <c r="BO232" s="124" t="str">
        <f>IF($B232="","",IFERROR(BK232+BM232,"n.b."))</f>
        <v/>
      </c>
      <c r="BP232" s="124" t="str">
        <f>IF($B232="","",IFERROR(BL232+BN232,"n.b."))</f>
        <v/>
      </c>
      <c r="BQ232" s="124" t="str">
        <f>IF($B232="","",IFERROR(-AM232,"n.b."))</f>
        <v/>
      </c>
      <c r="BR232" s="124" t="str">
        <f>IF($B232="","",IFERROR(-AO232,"n.b."))</f>
        <v/>
      </c>
      <c r="BS232" s="124" t="str">
        <f>IF($B232="","",IFERROR(-Z232,"n.b."))</f>
        <v/>
      </c>
      <c r="BT232" s="124" t="str">
        <f>IF($B232="","",IFERROR(-AA232,"n.b."))</f>
        <v/>
      </c>
      <c r="BU232" s="124" t="str">
        <f>IF($B232="","",IFERROR(-AE232,"n.b."))</f>
        <v/>
      </c>
      <c r="BV232" s="124" t="str">
        <f>IF($B232="","",IFERROR(-AF232,"n.b."))</f>
        <v/>
      </c>
      <c r="BW232" s="124" t="str">
        <f>IF($B232="","",IFERROR(-AG232,"n.b."))</f>
        <v/>
      </c>
      <c r="BX232" s="124" t="str">
        <f>IF($B232="","",IFERROR(-AH232,"n.b."))</f>
        <v/>
      </c>
      <c r="BY232" s="124" t="str">
        <f>IF($B232="","",IFERROR(-AI232,"n.b."))</f>
        <v/>
      </c>
      <c r="BZ232" s="124" t="str">
        <f>IF($B232="","",IFERROR(-AJ232,"n.b."))</f>
        <v/>
      </c>
      <c r="CA232" s="124" t="str">
        <f>IF($B232="","",IFERROR(-AK232,"n.b."))</f>
        <v/>
      </c>
      <c r="CB232" s="124" t="str">
        <f>IF($B232="","",IFERROR(-AL232,"n.b."))</f>
        <v/>
      </c>
      <c r="CC232" s="124" t="str">
        <f>IF($B232="","",IFERROR(-AP232,"n.b."))</f>
        <v/>
      </c>
      <c r="CD232" s="124" t="str">
        <f>IF($B232="","",IFERROR(-AQ232,"n.b."))</f>
        <v/>
      </c>
      <c r="CE232" s="124" t="str">
        <f>IF($B232="","",IFERROR(-AR232,"n.b."))</f>
        <v/>
      </c>
      <c r="CF232" s="124" t="str">
        <f>IF($B232="","",IFERROR(-AS232,"n.b."))</f>
        <v/>
      </c>
      <c r="CG232" s="124" t="str">
        <f>IF($B232="","",IFERROR(-AT232,"n.b."))</f>
        <v/>
      </c>
      <c r="CH232" s="124" t="str">
        <f>IF($B232="","",IFERROR(-AU232,"n.b."))</f>
        <v/>
      </c>
      <c r="CI232" s="124" t="str">
        <f>IF($B232="","",IFERROR(-AV232,"n.b."))</f>
        <v/>
      </c>
      <c r="CJ232" s="124" t="str">
        <f>IF($B232="","",IFERROR(-AW232,"n.b."))</f>
        <v/>
      </c>
      <c r="CK232" s="124" t="str">
        <f>IF($B232="","",IFERROR(-AX232,"n.b."))</f>
        <v/>
      </c>
      <c r="CL232" s="124" t="str">
        <f>IF($B232="","",IFERROR(-AY232,"n.b."))</f>
        <v/>
      </c>
      <c r="CM232" s="124" t="str">
        <f>IF($B232="","",IFERROR(-AZ232,"n.b."))</f>
        <v/>
      </c>
      <c r="CN232" s="124" t="str">
        <f>IF($B232="","",IFERROR(-BA232,"n.b."))</f>
        <v/>
      </c>
      <c r="CO232" s="124" t="str">
        <f>IF($B232="","",IFERROR(-BB232,"n.b."))</f>
        <v/>
      </c>
      <c r="CP232" s="124" t="str">
        <f>IF($B232="","",IFERROR(-BC232,"n.b."))</f>
        <v/>
      </c>
      <c r="CQ232" s="124" t="str">
        <f>IF($B232="","",IFERROR(-BD232,"n.b."))</f>
        <v/>
      </c>
      <c r="CR232" s="124" t="str">
        <f>IF($B232="","",IFERROR(-BE232,"n.b."))</f>
        <v/>
      </c>
      <c r="CS232" s="124" t="str">
        <f>IF($B232="","",IFERROR(IF(OR(ABS(T232+V232+X232+Z232-AB232)&gt;P_Tol,ABS(U232+W232+Y232+AA232-AD232)&gt;P_Tol,ABS(AE232+AG232+AI232+AK232-AM232)&gt;P_Tol,ABS(AF232+AH232+AJ232+AL232-AO232)&gt;P_Tol),1,0),1))</f>
        <v/>
      </c>
      <c r="CT232" s="124" t="str">
        <f>IF($B232="","",IFERROR(IF(OR(ABS(AB232+AC232-AD232)&gt;P_Tol,ABS(AM232+AN232-AO232)&gt;P_Tol,ABS(O232+P232-Q232)&gt;P_Tol),1,0),1))</f>
        <v/>
      </c>
      <c r="CU232" s="124" t="str">
        <f>IF($B232="","",IFERROR(IF(ABS(R232-(AB232+AM232+AP232+AR232+AT232+AV232+AX232+AZ232+BB232+BD232))&gt;P_Tol,1,0),1))</f>
        <v/>
      </c>
      <c r="CV232" s="124" t="str">
        <f>IF($B232="","",IFERROR(IF(ABS(M232-(N232+O232+R232))&gt;P_Tol,1,0),1))</f>
        <v/>
      </c>
      <c r="CW232" s="124" t="str">
        <f>IF($B232="","",IF(COUNTIF(Mapping!$A$5:$A$104,B232)&gt;0,1,0))</f>
        <v/>
      </c>
      <c r="CX232" s="124" t="str">
        <f>IF($B232="","",COUNTIF($B$6:$B$505,B232))</f>
        <v/>
      </c>
      <c r="CY232" s="124" t="str">
        <f>IF($B232="","",COUNTIF(STG_Woningetalage!$B$6:$B$505,B232))</f>
        <v/>
      </c>
      <c r="CZ232" s="124" t="str">
        <f>IF($B232="","",IF(CW232=0,COUNTIF($CW$6:CW232,0),""))</f>
        <v/>
      </c>
    </row>
    <row r="233">
      <c r="A233" s="15" t="n">
        <v>229</v>
      </c>
      <c r="B233" t="str">
        <f>IF(B$3=0,"",IF(INDEX(SRC_ZPMW03!$A$1:$ZZ$501,$A233,B$3)&amp;""="","",INDEX(SRC_ZPMW03!$A$1:$ZZ$501,$A233,B$3)&amp;""))</f>
        <v/>
      </c>
      <c r="C233" t="str">
        <f>IF($B233="","",IF(C$3=0,"n.b.",INDEX(SRC_ZPMW03!$A$1:$ZZ$501,$A233,C$3)))</f>
        <v/>
      </c>
      <c r="D233" t="str">
        <f>IF($B233="","",IF(D$3=0,"n.b.",INDEX(SRC_ZPMW03!$A$1:$ZZ$501,$A233,D$3)))</f>
        <v/>
      </c>
      <c r="E233" t="str">
        <f>IF($B233="","",IF(E$3=0,"n.b.",INDEX(SRC_ZPMW03!$A$1:$ZZ$501,$A233,E$3)))</f>
        <v/>
      </c>
      <c r="F233" t="str">
        <f>IF($B233="","",IF(F$3=0,"n.b.",INDEX(SRC_ZPMW03!$A$1:$ZZ$501,$A233,F$3)))</f>
        <v/>
      </c>
      <c r="G233" t="str">
        <f>IF($B233="","",IF(G$3=0,"n.b.",INDEX(SRC_ZPMW03!$A$1:$ZZ$501,$A233,G$3)))</f>
        <v/>
      </c>
      <c r="H233" t="str">
        <f>IF($B233="","",IF(H$3=0,"n.b.",INDEX(SRC_ZPMW03!$A$1:$ZZ$501,$A233,H$3)))</f>
        <v/>
      </c>
      <c r="I233" t="str">
        <f>IF($B233="","",IF(I$3=0,"n.b.",INDEX(SRC_ZPMW03!$A$1:$ZZ$501,$A233,I$3)))</f>
        <v/>
      </c>
      <c r="J233" t="str">
        <f>IF($B233="","",IF(J$3=0,"n.b.",INDEX(SRC_ZPMW03!$A$1:$ZZ$501,$A233,J$3)))</f>
        <v/>
      </c>
      <c r="K233" t="str">
        <f>IF($B233="","",IF(K$3=0,"n.b.",INDEX(SRC_ZPMW03!$A$1:$ZZ$501,$A233,K$3)))</f>
        <v/>
      </c>
      <c r="L233" s="124" t="str">
        <f>IF($B233="","",IF(L$3=0,"n.b.",INDEX(SRC_ZPMW03!$A$1:$ZZ$501,$A233,L$3)))</f>
        <v/>
      </c>
      <c r="M233" s="124" t="str">
        <f>IF($B233="","",IF(M$3=0,"n.b.",INDEX(SRC_ZPMW03!$A$1:$ZZ$501,$A233,M$3)))</f>
        <v/>
      </c>
      <c r="N233" s="124" t="str">
        <f>IF($B233="","",IF(N$3=0,"n.b.",INDEX(SRC_ZPMW03!$A$1:$ZZ$501,$A233,N$3)))</f>
        <v/>
      </c>
      <c r="O233" s="124" t="str">
        <f>IF($B233="","",IF(O$3=0,"n.b.",INDEX(SRC_ZPMW03!$A$1:$ZZ$501,$A233,O$3)))</f>
        <v/>
      </c>
      <c r="P233" s="124" t="str">
        <f>IF($B233="","",IF(P$3=0,"n.b.",INDEX(SRC_ZPMW03!$A$1:$ZZ$501,$A233,P$3)))</f>
        <v/>
      </c>
      <c r="Q233" s="124" t="str">
        <f>IF($B233="","",IF(Q$3=0,"n.b.",INDEX(SRC_ZPMW03!$A$1:$ZZ$501,$A233,Q$3)))</f>
        <v/>
      </c>
      <c r="R233" s="124" t="str">
        <f>IF($B233="","",IF(R$3=0,"n.b.",INDEX(SRC_ZPMW03!$A$1:$ZZ$501,$A233,R$3)))</f>
        <v/>
      </c>
      <c r="S233" s="124" t="str">
        <f>IF($B233="","",IF(S$3=0,"n.b.",INDEX(SRC_ZPMW03!$A$1:$ZZ$501,$A233,S$3)))</f>
        <v/>
      </c>
      <c r="T233" s="124" t="str">
        <f>IF($B233="","",IF(T$3=0,"n.b.",INDEX(SRC_ZPMW03!$A$1:$ZZ$501,$A233,T$3)))</f>
        <v/>
      </c>
      <c r="U233" s="124" t="str">
        <f>IF($B233="","",IF(U$3=0,"n.b.",INDEX(SRC_ZPMW03!$A$1:$ZZ$501,$A233,U$3)))</f>
        <v/>
      </c>
      <c r="V233" s="124" t="str">
        <f>IF($B233="","",IF(V$3=0,"n.b.",INDEX(SRC_ZPMW03!$A$1:$ZZ$501,$A233,V$3)))</f>
        <v/>
      </c>
      <c r="W233" s="124" t="str">
        <f>IF($B233="","",IF(W$3=0,"n.b.",INDEX(SRC_ZPMW03!$A$1:$ZZ$501,$A233,W$3)))</f>
        <v/>
      </c>
      <c r="X233" s="124" t="str">
        <f>IF($B233="","",IF(X$3=0,"n.b.",INDEX(SRC_ZPMW03!$A$1:$ZZ$501,$A233,X$3)))</f>
        <v/>
      </c>
      <c r="Y233" s="124" t="str">
        <f>IF($B233="","",IF(Y$3=0,"n.b.",INDEX(SRC_ZPMW03!$A$1:$ZZ$501,$A233,Y$3)))</f>
        <v/>
      </c>
      <c r="Z233" s="124" t="str">
        <f>IF($B233="","",IF(Z$3=0,"n.b.",INDEX(SRC_ZPMW03!$A$1:$ZZ$501,$A233,Z$3)))</f>
        <v/>
      </c>
      <c r="AA233" s="124" t="str">
        <f>IF($B233="","",IF(AA$3=0,"n.b.",INDEX(SRC_ZPMW03!$A$1:$ZZ$501,$A233,AA$3)))</f>
        <v/>
      </c>
      <c r="AB233" s="124" t="str">
        <f>IF($B233="","",IF(AB$3=0,"n.b.",INDEX(SRC_ZPMW03!$A$1:$ZZ$501,$A233,AB$3)))</f>
        <v/>
      </c>
      <c r="AC233" s="124" t="str">
        <f>IF($B233="","",IF(AC$3=0,"n.b.",INDEX(SRC_ZPMW03!$A$1:$ZZ$501,$A233,AC$3)))</f>
        <v/>
      </c>
      <c r="AD233" s="124" t="str">
        <f>IF($B233="","",IF(AD$3=0,"n.b.",INDEX(SRC_ZPMW03!$A$1:$ZZ$501,$A233,AD$3)))</f>
        <v/>
      </c>
      <c r="AE233" s="124" t="str">
        <f>IF($B233="","",IF(AE$3=0,"n.b.",INDEX(SRC_ZPMW03!$A$1:$ZZ$501,$A233,AE$3)))</f>
        <v/>
      </c>
      <c r="AF233" s="124" t="str">
        <f>IF($B233="","",IF(AF$3=0,"n.b.",INDEX(SRC_ZPMW03!$A$1:$ZZ$501,$A233,AF$3)))</f>
        <v/>
      </c>
      <c r="AG233" s="124" t="str">
        <f>IF($B233="","",IF(AG$3=0,"n.b.",INDEX(SRC_ZPMW03!$A$1:$ZZ$501,$A233,AG$3)))</f>
        <v/>
      </c>
      <c r="AH233" s="124" t="str">
        <f>IF($B233="","",IF(AH$3=0,"n.b.",INDEX(SRC_ZPMW03!$A$1:$ZZ$501,$A233,AH$3)))</f>
        <v/>
      </c>
      <c r="AI233" s="124" t="str">
        <f>IF($B233="","",IF(AI$3=0,"n.b.",INDEX(SRC_ZPMW03!$A$1:$ZZ$501,$A233,AI$3)))</f>
        <v/>
      </c>
      <c r="AJ233" s="124" t="str">
        <f>IF($B233="","",IF(AJ$3=0,"n.b.",INDEX(SRC_ZPMW03!$A$1:$ZZ$501,$A233,AJ$3)))</f>
        <v/>
      </c>
      <c r="AK233" s="124" t="str">
        <f>IF($B233="","",IF(AK$3=0,"n.b.",INDEX(SRC_ZPMW03!$A$1:$ZZ$501,$A233,AK$3)))</f>
        <v/>
      </c>
      <c r="AL233" s="124" t="str">
        <f>IF($B233="","",IF(AL$3=0,"n.b.",INDEX(SRC_ZPMW03!$A$1:$ZZ$501,$A233,AL$3)))</f>
        <v/>
      </c>
      <c r="AM233" s="124" t="str">
        <f>IF($B233="","",IF(AM$3=0,"n.b.",INDEX(SRC_ZPMW03!$A$1:$ZZ$501,$A233,AM$3)))</f>
        <v/>
      </c>
      <c r="AN233" s="124" t="str">
        <f>IF($B233="","",IF(AN$3=0,"n.b.",INDEX(SRC_ZPMW03!$A$1:$ZZ$501,$A233,AN$3)))</f>
        <v/>
      </c>
      <c r="AO233" s="124" t="str">
        <f>IF($B233="","",IF(AO$3=0,"n.b.",INDEX(SRC_ZPMW03!$A$1:$ZZ$501,$A233,AO$3)))</f>
        <v/>
      </c>
      <c r="AP233" s="124" t="str">
        <f>IF($B233="","",IF(AP$3=0,"n.b.",INDEX(SRC_ZPMW03!$A$1:$ZZ$501,$A233,AP$3)))</f>
        <v/>
      </c>
      <c r="AQ233" s="124" t="str">
        <f>IF($B233="","",IF(AQ$3=0,"n.b.",INDEX(SRC_ZPMW03!$A$1:$ZZ$501,$A233,AQ$3)))</f>
        <v/>
      </c>
      <c r="AR233" s="124" t="str">
        <f>IF($B233="","",IF(AR$3=0,"n.b.",INDEX(SRC_ZPMW03!$A$1:$ZZ$501,$A233,AR$3)))</f>
        <v/>
      </c>
      <c r="AS233" s="124" t="str">
        <f>IF($B233="","",IF(AS$3=0,"n.b.",INDEX(SRC_ZPMW03!$A$1:$ZZ$501,$A233,AS$3)))</f>
        <v/>
      </c>
      <c r="AT233" s="124" t="str">
        <f>IF($B233="","",IF(AT$3=0,"n.b.",INDEX(SRC_ZPMW03!$A$1:$ZZ$501,$A233,AT$3)))</f>
        <v/>
      </c>
      <c r="AU233" s="124" t="str">
        <f>IF($B233="","",IF(AU$3=0,"n.b.",INDEX(SRC_ZPMW03!$A$1:$ZZ$501,$A233,AU$3)))</f>
        <v/>
      </c>
      <c r="AV233" s="124" t="str">
        <f>IF($B233="","",IF(AV$3=0,"n.b.",INDEX(SRC_ZPMW03!$A$1:$ZZ$501,$A233,AV$3)))</f>
        <v/>
      </c>
      <c r="AW233" s="124" t="str">
        <f>IF($B233="","",IF(AW$3=0,"n.b.",INDEX(SRC_ZPMW03!$A$1:$ZZ$501,$A233,AW$3)))</f>
        <v/>
      </c>
      <c r="AX233" s="124" t="str">
        <f>IF($B233="","",IF(AX$3=0,"n.b.",INDEX(SRC_ZPMW03!$A$1:$ZZ$501,$A233,AX$3)))</f>
        <v/>
      </c>
      <c r="AY233" s="124" t="str">
        <f>IF($B233="","",IF(AY$3=0,"n.b.",INDEX(SRC_ZPMW03!$A$1:$ZZ$501,$A233,AY$3)))</f>
        <v/>
      </c>
      <c r="AZ233" s="124" t="str">
        <f>IF($B233="","",IF(AZ$3=0,"n.b.",INDEX(SRC_ZPMW03!$A$1:$ZZ$501,$A233,AZ$3)))</f>
        <v/>
      </c>
      <c r="BA233" s="124" t="str">
        <f>IF($B233="","",IF(BA$3=0,"n.b.",INDEX(SRC_ZPMW03!$A$1:$ZZ$501,$A233,BA$3)))</f>
        <v/>
      </c>
      <c r="BB233" s="124" t="str">
        <f>IF($B233="","",IF(BB$3=0,"n.b.",INDEX(SRC_ZPMW03!$A$1:$ZZ$501,$A233,BB$3)))</f>
        <v/>
      </c>
      <c r="BC233" s="124" t="str">
        <f>IF($B233="","",IF(BC$3=0,"n.b.",INDEX(SRC_ZPMW03!$A$1:$ZZ$501,$A233,BC$3)))</f>
        <v/>
      </c>
      <c r="BD233" s="124" t="str">
        <f>IF($B233="","",IF(BD$3=0,"n.b.",INDEX(SRC_ZPMW03!$A$1:$ZZ$501,$A233,BD$3)))</f>
        <v/>
      </c>
      <c r="BE233" s="124" t="str">
        <f>IF($B233="","",IF(BE$3=0,"n.b.",INDEX(SRC_ZPMW03!$A$1:$ZZ$501,$A233,BE$3)))</f>
        <v/>
      </c>
      <c r="BF233" s="124" t="str">
        <f>IF($B233="","",IF(BF$3=0,"n.b.",INDEX(SRC_ZPMW03!$A$1:$ZZ$501,$A233,BF$3)))</f>
        <v/>
      </c>
      <c r="BG233" t="str">
        <f>IF($B233="","",IF(BG$3=0,"n.b.",INDEX(SRC_ZPMW03!$A$1:$ZZ$501,$A233,BG$3)))</f>
        <v/>
      </c>
      <c r="BH233" t="str">
        <f>IF($B233="","",IF(BH$3=0,"n.b.",INDEX(SRC_ZPMW03!$A$1:$ZZ$501,$A233,BH$3)))</f>
        <v/>
      </c>
      <c r="BI233" t="str">
        <f>IF($B233="","",IF(BI$3=0,"n.b.",INDEX(SRC_ZPMW03!$A$1:$ZZ$501,$A233,BI$3)))</f>
        <v/>
      </c>
      <c r="BJ233" t="str">
        <f>IF($B233="","",IF(BJ$3=0,"n.b.",INDEX(SRC_ZPMW03!$A$1:$ZZ$501,$A233,BJ$3)))</f>
        <v/>
      </c>
      <c r="BK233" s="124" t="str">
        <f>IF($B233="","",IFERROR(-O233,"n.b."))</f>
        <v/>
      </c>
      <c r="BL233" s="124" t="str">
        <f>IF($B233="","",IFERROR(-Q233,"n.b."))</f>
        <v/>
      </c>
      <c r="BM233" s="124" t="str">
        <f>IF($B233="","",IFERROR(-AB233,"n.b."))</f>
        <v/>
      </c>
      <c r="BN233" s="124" t="str">
        <f>IF($B233="","",IFERROR(-AD233,"n.b."))</f>
        <v/>
      </c>
      <c r="BO233" s="124" t="str">
        <f>IF($B233="","",IFERROR(BK233+BM233,"n.b."))</f>
        <v/>
      </c>
      <c r="BP233" s="124" t="str">
        <f>IF($B233="","",IFERROR(BL233+BN233,"n.b."))</f>
        <v/>
      </c>
      <c r="BQ233" s="124" t="str">
        <f>IF($B233="","",IFERROR(-AM233,"n.b."))</f>
        <v/>
      </c>
      <c r="BR233" s="124" t="str">
        <f>IF($B233="","",IFERROR(-AO233,"n.b."))</f>
        <v/>
      </c>
      <c r="BS233" s="124" t="str">
        <f>IF($B233="","",IFERROR(-Z233,"n.b."))</f>
        <v/>
      </c>
      <c r="BT233" s="124" t="str">
        <f>IF($B233="","",IFERROR(-AA233,"n.b."))</f>
        <v/>
      </c>
      <c r="BU233" s="124" t="str">
        <f>IF($B233="","",IFERROR(-AE233,"n.b."))</f>
        <v/>
      </c>
      <c r="BV233" s="124" t="str">
        <f>IF($B233="","",IFERROR(-AF233,"n.b."))</f>
        <v/>
      </c>
      <c r="BW233" s="124" t="str">
        <f>IF($B233="","",IFERROR(-AG233,"n.b."))</f>
        <v/>
      </c>
      <c r="BX233" s="124" t="str">
        <f>IF($B233="","",IFERROR(-AH233,"n.b."))</f>
        <v/>
      </c>
      <c r="BY233" s="124" t="str">
        <f>IF($B233="","",IFERROR(-AI233,"n.b."))</f>
        <v/>
      </c>
      <c r="BZ233" s="124" t="str">
        <f>IF($B233="","",IFERROR(-AJ233,"n.b."))</f>
        <v/>
      </c>
      <c r="CA233" s="124" t="str">
        <f>IF($B233="","",IFERROR(-AK233,"n.b."))</f>
        <v/>
      </c>
      <c r="CB233" s="124" t="str">
        <f>IF($B233="","",IFERROR(-AL233,"n.b."))</f>
        <v/>
      </c>
      <c r="CC233" s="124" t="str">
        <f>IF($B233="","",IFERROR(-AP233,"n.b."))</f>
        <v/>
      </c>
      <c r="CD233" s="124" t="str">
        <f>IF($B233="","",IFERROR(-AQ233,"n.b."))</f>
        <v/>
      </c>
      <c r="CE233" s="124" t="str">
        <f>IF($B233="","",IFERROR(-AR233,"n.b."))</f>
        <v/>
      </c>
      <c r="CF233" s="124" t="str">
        <f>IF($B233="","",IFERROR(-AS233,"n.b."))</f>
        <v/>
      </c>
      <c r="CG233" s="124" t="str">
        <f>IF($B233="","",IFERROR(-AT233,"n.b."))</f>
        <v/>
      </c>
      <c r="CH233" s="124" t="str">
        <f>IF($B233="","",IFERROR(-AU233,"n.b."))</f>
        <v/>
      </c>
      <c r="CI233" s="124" t="str">
        <f>IF($B233="","",IFERROR(-AV233,"n.b."))</f>
        <v/>
      </c>
      <c r="CJ233" s="124" t="str">
        <f>IF($B233="","",IFERROR(-AW233,"n.b."))</f>
        <v/>
      </c>
      <c r="CK233" s="124" t="str">
        <f>IF($B233="","",IFERROR(-AX233,"n.b."))</f>
        <v/>
      </c>
      <c r="CL233" s="124" t="str">
        <f>IF($B233="","",IFERROR(-AY233,"n.b."))</f>
        <v/>
      </c>
      <c r="CM233" s="124" t="str">
        <f>IF($B233="","",IFERROR(-AZ233,"n.b."))</f>
        <v/>
      </c>
      <c r="CN233" s="124" t="str">
        <f>IF($B233="","",IFERROR(-BA233,"n.b."))</f>
        <v/>
      </c>
      <c r="CO233" s="124" t="str">
        <f>IF($B233="","",IFERROR(-BB233,"n.b."))</f>
        <v/>
      </c>
      <c r="CP233" s="124" t="str">
        <f>IF($B233="","",IFERROR(-BC233,"n.b."))</f>
        <v/>
      </c>
      <c r="CQ233" s="124" t="str">
        <f>IF($B233="","",IFERROR(-BD233,"n.b."))</f>
        <v/>
      </c>
      <c r="CR233" s="124" t="str">
        <f>IF($B233="","",IFERROR(-BE233,"n.b."))</f>
        <v/>
      </c>
      <c r="CS233" s="124" t="str">
        <f>IF($B233="","",IFERROR(IF(OR(ABS(T233+V233+X233+Z233-AB233)&gt;P_Tol,ABS(U233+W233+Y233+AA233-AD233)&gt;P_Tol,ABS(AE233+AG233+AI233+AK233-AM233)&gt;P_Tol,ABS(AF233+AH233+AJ233+AL233-AO233)&gt;P_Tol),1,0),1))</f>
        <v/>
      </c>
      <c r="CT233" s="124" t="str">
        <f>IF($B233="","",IFERROR(IF(OR(ABS(AB233+AC233-AD233)&gt;P_Tol,ABS(AM233+AN233-AO233)&gt;P_Tol,ABS(O233+P233-Q233)&gt;P_Tol),1,0),1))</f>
        <v/>
      </c>
      <c r="CU233" s="124" t="str">
        <f>IF($B233="","",IFERROR(IF(ABS(R233-(AB233+AM233+AP233+AR233+AT233+AV233+AX233+AZ233+BB233+BD233))&gt;P_Tol,1,0),1))</f>
        <v/>
      </c>
      <c r="CV233" s="124" t="str">
        <f>IF($B233="","",IFERROR(IF(ABS(M233-(N233+O233+R233))&gt;P_Tol,1,0),1))</f>
        <v/>
      </c>
      <c r="CW233" s="124" t="str">
        <f>IF($B233="","",IF(COUNTIF(Mapping!$A$5:$A$104,B233)&gt;0,1,0))</f>
        <v/>
      </c>
      <c r="CX233" s="124" t="str">
        <f>IF($B233="","",COUNTIF($B$6:$B$505,B233))</f>
        <v/>
      </c>
      <c r="CY233" s="124" t="str">
        <f>IF($B233="","",COUNTIF(STG_Woningetalage!$B$6:$B$505,B233))</f>
        <v/>
      </c>
      <c r="CZ233" s="124" t="str">
        <f>IF($B233="","",IF(CW233=0,COUNTIF($CW$6:CW233,0),""))</f>
        <v/>
      </c>
    </row>
    <row r="234">
      <c r="A234" s="15" t="n">
        <v>230</v>
      </c>
      <c r="B234" t="str">
        <f>IF(B$3=0,"",IF(INDEX(SRC_ZPMW03!$A$1:$ZZ$501,$A234,B$3)&amp;""="","",INDEX(SRC_ZPMW03!$A$1:$ZZ$501,$A234,B$3)&amp;""))</f>
        <v/>
      </c>
      <c r="C234" t="str">
        <f>IF($B234="","",IF(C$3=0,"n.b.",INDEX(SRC_ZPMW03!$A$1:$ZZ$501,$A234,C$3)))</f>
        <v/>
      </c>
      <c r="D234" t="str">
        <f>IF($B234="","",IF(D$3=0,"n.b.",INDEX(SRC_ZPMW03!$A$1:$ZZ$501,$A234,D$3)))</f>
        <v/>
      </c>
      <c r="E234" t="str">
        <f>IF($B234="","",IF(E$3=0,"n.b.",INDEX(SRC_ZPMW03!$A$1:$ZZ$501,$A234,E$3)))</f>
        <v/>
      </c>
      <c r="F234" t="str">
        <f>IF($B234="","",IF(F$3=0,"n.b.",INDEX(SRC_ZPMW03!$A$1:$ZZ$501,$A234,F$3)))</f>
        <v/>
      </c>
      <c r="G234" t="str">
        <f>IF($B234="","",IF(G$3=0,"n.b.",INDEX(SRC_ZPMW03!$A$1:$ZZ$501,$A234,G$3)))</f>
        <v/>
      </c>
      <c r="H234" t="str">
        <f>IF($B234="","",IF(H$3=0,"n.b.",INDEX(SRC_ZPMW03!$A$1:$ZZ$501,$A234,H$3)))</f>
        <v/>
      </c>
      <c r="I234" t="str">
        <f>IF($B234="","",IF(I$3=0,"n.b.",INDEX(SRC_ZPMW03!$A$1:$ZZ$501,$A234,I$3)))</f>
        <v/>
      </c>
      <c r="J234" t="str">
        <f>IF($B234="","",IF(J$3=0,"n.b.",INDEX(SRC_ZPMW03!$A$1:$ZZ$501,$A234,J$3)))</f>
        <v/>
      </c>
      <c r="K234" t="str">
        <f>IF($B234="","",IF(K$3=0,"n.b.",INDEX(SRC_ZPMW03!$A$1:$ZZ$501,$A234,K$3)))</f>
        <v/>
      </c>
      <c r="L234" s="124" t="str">
        <f>IF($B234="","",IF(L$3=0,"n.b.",INDEX(SRC_ZPMW03!$A$1:$ZZ$501,$A234,L$3)))</f>
        <v/>
      </c>
      <c r="M234" s="124" t="str">
        <f>IF($B234="","",IF(M$3=0,"n.b.",INDEX(SRC_ZPMW03!$A$1:$ZZ$501,$A234,M$3)))</f>
        <v/>
      </c>
      <c r="N234" s="124" t="str">
        <f>IF($B234="","",IF(N$3=0,"n.b.",INDEX(SRC_ZPMW03!$A$1:$ZZ$501,$A234,N$3)))</f>
        <v/>
      </c>
      <c r="O234" s="124" t="str">
        <f>IF($B234="","",IF(O$3=0,"n.b.",INDEX(SRC_ZPMW03!$A$1:$ZZ$501,$A234,O$3)))</f>
        <v/>
      </c>
      <c r="P234" s="124" t="str">
        <f>IF($B234="","",IF(P$3=0,"n.b.",INDEX(SRC_ZPMW03!$A$1:$ZZ$501,$A234,P$3)))</f>
        <v/>
      </c>
      <c r="Q234" s="124" t="str">
        <f>IF($B234="","",IF(Q$3=0,"n.b.",INDEX(SRC_ZPMW03!$A$1:$ZZ$501,$A234,Q$3)))</f>
        <v/>
      </c>
      <c r="R234" s="124" t="str">
        <f>IF($B234="","",IF(R$3=0,"n.b.",INDEX(SRC_ZPMW03!$A$1:$ZZ$501,$A234,R$3)))</f>
        <v/>
      </c>
      <c r="S234" s="124" t="str">
        <f>IF($B234="","",IF(S$3=0,"n.b.",INDEX(SRC_ZPMW03!$A$1:$ZZ$501,$A234,S$3)))</f>
        <v/>
      </c>
      <c r="T234" s="124" t="str">
        <f>IF($B234="","",IF(T$3=0,"n.b.",INDEX(SRC_ZPMW03!$A$1:$ZZ$501,$A234,T$3)))</f>
        <v/>
      </c>
      <c r="U234" s="124" t="str">
        <f>IF($B234="","",IF(U$3=0,"n.b.",INDEX(SRC_ZPMW03!$A$1:$ZZ$501,$A234,U$3)))</f>
        <v/>
      </c>
      <c r="V234" s="124" t="str">
        <f>IF($B234="","",IF(V$3=0,"n.b.",INDEX(SRC_ZPMW03!$A$1:$ZZ$501,$A234,V$3)))</f>
        <v/>
      </c>
      <c r="W234" s="124" t="str">
        <f>IF($B234="","",IF(W$3=0,"n.b.",INDEX(SRC_ZPMW03!$A$1:$ZZ$501,$A234,W$3)))</f>
        <v/>
      </c>
      <c r="X234" s="124" t="str">
        <f>IF($B234="","",IF(X$3=0,"n.b.",INDEX(SRC_ZPMW03!$A$1:$ZZ$501,$A234,X$3)))</f>
        <v/>
      </c>
      <c r="Y234" s="124" t="str">
        <f>IF($B234="","",IF(Y$3=0,"n.b.",INDEX(SRC_ZPMW03!$A$1:$ZZ$501,$A234,Y$3)))</f>
        <v/>
      </c>
      <c r="Z234" s="124" t="str">
        <f>IF($B234="","",IF(Z$3=0,"n.b.",INDEX(SRC_ZPMW03!$A$1:$ZZ$501,$A234,Z$3)))</f>
        <v/>
      </c>
      <c r="AA234" s="124" t="str">
        <f>IF($B234="","",IF(AA$3=0,"n.b.",INDEX(SRC_ZPMW03!$A$1:$ZZ$501,$A234,AA$3)))</f>
        <v/>
      </c>
      <c r="AB234" s="124" t="str">
        <f>IF($B234="","",IF(AB$3=0,"n.b.",INDEX(SRC_ZPMW03!$A$1:$ZZ$501,$A234,AB$3)))</f>
        <v/>
      </c>
      <c r="AC234" s="124" t="str">
        <f>IF($B234="","",IF(AC$3=0,"n.b.",INDEX(SRC_ZPMW03!$A$1:$ZZ$501,$A234,AC$3)))</f>
        <v/>
      </c>
      <c r="AD234" s="124" t="str">
        <f>IF($B234="","",IF(AD$3=0,"n.b.",INDEX(SRC_ZPMW03!$A$1:$ZZ$501,$A234,AD$3)))</f>
        <v/>
      </c>
      <c r="AE234" s="124" t="str">
        <f>IF($B234="","",IF(AE$3=0,"n.b.",INDEX(SRC_ZPMW03!$A$1:$ZZ$501,$A234,AE$3)))</f>
        <v/>
      </c>
      <c r="AF234" s="124" t="str">
        <f>IF($B234="","",IF(AF$3=0,"n.b.",INDEX(SRC_ZPMW03!$A$1:$ZZ$501,$A234,AF$3)))</f>
        <v/>
      </c>
      <c r="AG234" s="124" t="str">
        <f>IF($B234="","",IF(AG$3=0,"n.b.",INDEX(SRC_ZPMW03!$A$1:$ZZ$501,$A234,AG$3)))</f>
        <v/>
      </c>
      <c r="AH234" s="124" t="str">
        <f>IF($B234="","",IF(AH$3=0,"n.b.",INDEX(SRC_ZPMW03!$A$1:$ZZ$501,$A234,AH$3)))</f>
        <v/>
      </c>
      <c r="AI234" s="124" t="str">
        <f>IF($B234="","",IF(AI$3=0,"n.b.",INDEX(SRC_ZPMW03!$A$1:$ZZ$501,$A234,AI$3)))</f>
        <v/>
      </c>
      <c r="AJ234" s="124" t="str">
        <f>IF($B234="","",IF(AJ$3=0,"n.b.",INDEX(SRC_ZPMW03!$A$1:$ZZ$501,$A234,AJ$3)))</f>
        <v/>
      </c>
      <c r="AK234" s="124" t="str">
        <f>IF($B234="","",IF(AK$3=0,"n.b.",INDEX(SRC_ZPMW03!$A$1:$ZZ$501,$A234,AK$3)))</f>
        <v/>
      </c>
      <c r="AL234" s="124" t="str">
        <f>IF($B234="","",IF(AL$3=0,"n.b.",INDEX(SRC_ZPMW03!$A$1:$ZZ$501,$A234,AL$3)))</f>
        <v/>
      </c>
      <c r="AM234" s="124" t="str">
        <f>IF($B234="","",IF(AM$3=0,"n.b.",INDEX(SRC_ZPMW03!$A$1:$ZZ$501,$A234,AM$3)))</f>
        <v/>
      </c>
      <c r="AN234" s="124" t="str">
        <f>IF($B234="","",IF(AN$3=0,"n.b.",INDEX(SRC_ZPMW03!$A$1:$ZZ$501,$A234,AN$3)))</f>
        <v/>
      </c>
      <c r="AO234" s="124" t="str">
        <f>IF($B234="","",IF(AO$3=0,"n.b.",INDEX(SRC_ZPMW03!$A$1:$ZZ$501,$A234,AO$3)))</f>
        <v/>
      </c>
      <c r="AP234" s="124" t="str">
        <f>IF($B234="","",IF(AP$3=0,"n.b.",INDEX(SRC_ZPMW03!$A$1:$ZZ$501,$A234,AP$3)))</f>
        <v/>
      </c>
      <c r="AQ234" s="124" t="str">
        <f>IF($B234="","",IF(AQ$3=0,"n.b.",INDEX(SRC_ZPMW03!$A$1:$ZZ$501,$A234,AQ$3)))</f>
        <v/>
      </c>
      <c r="AR234" s="124" t="str">
        <f>IF($B234="","",IF(AR$3=0,"n.b.",INDEX(SRC_ZPMW03!$A$1:$ZZ$501,$A234,AR$3)))</f>
        <v/>
      </c>
      <c r="AS234" s="124" t="str">
        <f>IF($B234="","",IF(AS$3=0,"n.b.",INDEX(SRC_ZPMW03!$A$1:$ZZ$501,$A234,AS$3)))</f>
        <v/>
      </c>
      <c r="AT234" s="124" t="str">
        <f>IF($B234="","",IF(AT$3=0,"n.b.",INDEX(SRC_ZPMW03!$A$1:$ZZ$501,$A234,AT$3)))</f>
        <v/>
      </c>
      <c r="AU234" s="124" t="str">
        <f>IF($B234="","",IF(AU$3=0,"n.b.",INDEX(SRC_ZPMW03!$A$1:$ZZ$501,$A234,AU$3)))</f>
        <v/>
      </c>
      <c r="AV234" s="124" t="str">
        <f>IF($B234="","",IF(AV$3=0,"n.b.",INDEX(SRC_ZPMW03!$A$1:$ZZ$501,$A234,AV$3)))</f>
        <v/>
      </c>
      <c r="AW234" s="124" t="str">
        <f>IF($B234="","",IF(AW$3=0,"n.b.",INDEX(SRC_ZPMW03!$A$1:$ZZ$501,$A234,AW$3)))</f>
        <v/>
      </c>
      <c r="AX234" s="124" t="str">
        <f>IF($B234="","",IF(AX$3=0,"n.b.",INDEX(SRC_ZPMW03!$A$1:$ZZ$501,$A234,AX$3)))</f>
        <v/>
      </c>
      <c r="AY234" s="124" t="str">
        <f>IF($B234="","",IF(AY$3=0,"n.b.",INDEX(SRC_ZPMW03!$A$1:$ZZ$501,$A234,AY$3)))</f>
        <v/>
      </c>
      <c r="AZ234" s="124" t="str">
        <f>IF($B234="","",IF(AZ$3=0,"n.b.",INDEX(SRC_ZPMW03!$A$1:$ZZ$501,$A234,AZ$3)))</f>
        <v/>
      </c>
      <c r="BA234" s="124" t="str">
        <f>IF($B234="","",IF(BA$3=0,"n.b.",INDEX(SRC_ZPMW03!$A$1:$ZZ$501,$A234,BA$3)))</f>
        <v/>
      </c>
      <c r="BB234" s="124" t="str">
        <f>IF($B234="","",IF(BB$3=0,"n.b.",INDEX(SRC_ZPMW03!$A$1:$ZZ$501,$A234,BB$3)))</f>
        <v/>
      </c>
      <c r="BC234" s="124" t="str">
        <f>IF($B234="","",IF(BC$3=0,"n.b.",INDEX(SRC_ZPMW03!$A$1:$ZZ$501,$A234,BC$3)))</f>
        <v/>
      </c>
      <c r="BD234" s="124" t="str">
        <f>IF($B234="","",IF(BD$3=0,"n.b.",INDEX(SRC_ZPMW03!$A$1:$ZZ$501,$A234,BD$3)))</f>
        <v/>
      </c>
      <c r="BE234" s="124" t="str">
        <f>IF($B234="","",IF(BE$3=0,"n.b.",INDEX(SRC_ZPMW03!$A$1:$ZZ$501,$A234,BE$3)))</f>
        <v/>
      </c>
      <c r="BF234" s="124" t="str">
        <f>IF($B234="","",IF(BF$3=0,"n.b.",INDEX(SRC_ZPMW03!$A$1:$ZZ$501,$A234,BF$3)))</f>
        <v/>
      </c>
      <c r="BG234" t="str">
        <f>IF($B234="","",IF(BG$3=0,"n.b.",INDEX(SRC_ZPMW03!$A$1:$ZZ$501,$A234,BG$3)))</f>
        <v/>
      </c>
      <c r="BH234" t="str">
        <f>IF($B234="","",IF(BH$3=0,"n.b.",INDEX(SRC_ZPMW03!$A$1:$ZZ$501,$A234,BH$3)))</f>
        <v/>
      </c>
      <c r="BI234" t="str">
        <f>IF($B234="","",IF(BI$3=0,"n.b.",INDEX(SRC_ZPMW03!$A$1:$ZZ$501,$A234,BI$3)))</f>
        <v/>
      </c>
      <c r="BJ234" t="str">
        <f>IF($B234="","",IF(BJ$3=0,"n.b.",INDEX(SRC_ZPMW03!$A$1:$ZZ$501,$A234,BJ$3)))</f>
        <v/>
      </c>
      <c r="BK234" s="124" t="str">
        <f>IF($B234="","",IFERROR(-O234,"n.b."))</f>
        <v/>
      </c>
      <c r="BL234" s="124" t="str">
        <f>IF($B234="","",IFERROR(-Q234,"n.b."))</f>
        <v/>
      </c>
      <c r="BM234" s="124" t="str">
        <f>IF($B234="","",IFERROR(-AB234,"n.b."))</f>
        <v/>
      </c>
      <c r="BN234" s="124" t="str">
        <f>IF($B234="","",IFERROR(-AD234,"n.b."))</f>
        <v/>
      </c>
      <c r="BO234" s="124" t="str">
        <f>IF($B234="","",IFERROR(BK234+BM234,"n.b."))</f>
        <v/>
      </c>
      <c r="BP234" s="124" t="str">
        <f>IF($B234="","",IFERROR(BL234+BN234,"n.b."))</f>
        <v/>
      </c>
      <c r="BQ234" s="124" t="str">
        <f>IF($B234="","",IFERROR(-AM234,"n.b."))</f>
        <v/>
      </c>
      <c r="BR234" s="124" t="str">
        <f>IF($B234="","",IFERROR(-AO234,"n.b."))</f>
        <v/>
      </c>
      <c r="BS234" s="124" t="str">
        <f>IF($B234="","",IFERROR(-Z234,"n.b."))</f>
        <v/>
      </c>
      <c r="BT234" s="124" t="str">
        <f>IF($B234="","",IFERROR(-AA234,"n.b."))</f>
        <v/>
      </c>
      <c r="BU234" s="124" t="str">
        <f>IF($B234="","",IFERROR(-AE234,"n.b."))</f>
        <v/>
      </c>
      <c r="BV234" s="124" t="str">
        <f>IF($B234="","",IFERROR(-AF234,"n.b."))</f>
        <v/>
      </c>
      <c r="BW234" s="124" t="str">
        <f>IF($B234="","",IFERROR(-AG234,"n.b."))</f>
        <v/>
      </c>
      <c r="BX234" s="124" t="str">
        <f>IF($B234="","",IFERROR(-AH234,"n.b."))</f>
        <v/>
      </c>
      <c r="BY234" s="124" t="str">
        <f>IF($B234="","",IFERROR(-AI234,"n.b."))</f>
        <v/>
      </c>
      <c r="BZ234" s="124" t="str">
        <f>IF($B234="","",IFERROR(-AJ234,"n.b."))</f>
        <v/>
      </c>
      <c r="CA234" s="124" t="str">
        <f>IF($B234="","",IFERROR(-AK234,"n.b."))</f>
        <v/>
      </c>
      <c r="CB234" s="124" t="str">
        <f>IF($B234="","",IFERROR(-AL234,"n.b."))</f>
        <v/>
      </c>
      <c r="CC234" s="124" t="str">
        <f>IF($B234="","",IFERROR(-AP234,"n.b."))</f>
        <v/>
      </c>
      <c r="CD234" s="124" t="str">
        <f>IF($B234="","",IFERROR(-AQ234,"n.b."))</f>
        <v/>
      </c>
      <c r="CE234" s="124" t="str">
        <f>IF($B234="","",IFERROR(-AR234,"n.b."))</f>
        <v/>
      </c>
      <c r="CF234" s="124" t="str">
        <f>IF($B234="","",IFERROR(-AS234,"n.b."))</f>
        <v/>
      </c>
      <c r="CG234" s="124" t="str">
        <f>IF($B234="","",IFERROR(-AT234,"n.b."))</f>
        <v/>
      </c>
      <c r="CH234" s="124" t="str">
        <f>IF($B234="","",IFERROR(-AU234,"n.b."))</f>
        <v/>
      </c>
      <c r="CI234" s="124" t="str">
        <f>IF($B234="","",IFERROR(-AV234,"n.b."))</f>
        <v/>
      </c>
      <c r="CJ234" s="124" t="str">
        <f>IF($B234="","",IFERROR(-AW234,"n.b."))</f>
        <v/>
      </c>
      <c r="CK234" s="124" t="str">
        <f>IF($B234="","",IFERROR(-AX234,"n.b."))</f>
        <v/>
      </c>
      <c r="CL234" s="124" t="str">
        <f>IF($B234="","",IFERROR(-AY234,"n.b."))</f>
        <v/>
      </c>
      <c r="CM234" s="124" t="str">
        <f>IF($B234="","",IFERROR(-AZ234,"n.b."))</f>
        <v/>
      </c>
      <c r="CN234" s="124" t="str">
        <f>IF($B234="","",IFERROR(-BA234,"n.b."))</f>
        <v/>
      </c>
      <c r="CO234" s="124" t="str">
        <f>IF($B234="","",IFERROR(-BB234,"n.b."))</f>
        <v/>
      </c>
      <c r="CP234" s="124" t="str">
        <f>IF($B234="","",IFERROR(-BC234,"n.b."))</f>
        <v/>
      </c>
      <c r="CQ234" s="124" t="str">
        <f>IF($B234="","",IFERROR(-BD234,"n.b."))</f>
        <v/>
      </c>
      <c r="CR234" s="124" t="str">
        <f>IF($B234="","",IFERROR(-BE234,"n.b."))</f>
        <v/>
      </c>
      <c r="CS234" s="124" t="str">
        <f>IF($B234="","",IFERROR(IF(OR(ABS(T234+V234+X234+Z234-AB234)&gt;P_Tol,ABS(U234+W234+Y234+AA234-AD234)&gt;P_Tol,ABS(AE234+AG234+AI234+AK234-AM234)&gt;P_Tol,ABS(AF234+AH234+AJ234+AL234-AO234)&gt;P_Tol),1,0),1))</f>
        <v/>
      </c>
      <c r="CT234" s="124" t="str">
        <f>IF($B234="","",IFERROR(IF(OR(ABS(AB234+AC234-AD234)&gt;P_Tol,ABS(AM234+AN234-AO234)&gt;P_Tol,ABS(O234+P234-Q234)&gt;P_Tol),1,0),1))</f>
        <v/>
      </c>
      <c r="CU234" s="124" t="str">
        <f>IF($B234="","",IFERROR(IF(ABS(R234-(AB234+AM234+AP234+AR234+AT234+AV234+AX234+AZ234+BB234+BD234))&gt;P_Tol,1,0),1))</f>
        <v/>
      </c>
      <c r="CV234" s="124" t="str">
        <f>IF($B234="","",IFERROR(IF(ABS(M234-(N234+O234+R234))&gt;P_Tol,1,0),1))</f>
        <v/>
      </c>
      <c r="CW234" s="124" t="str">
        <f>IF($B234="","",IF(COUNTIF(Mapping!$A$5:$A$104,B234)&gt;0,1,0))</f>
        <v/>
      </c>
      <c r="CX234" s="124" t="str">
        <f>IF($B234="","",COUNTIF($B$6:$B$505,B234))</f>
        <v/>
      </c>
      <c r="CY234" s="124" t="str">
        <f>IF($B234="","",COUNTIF(STG_Woningetalage!$B$6:$B$505,B234))</f>
        <v/>
      </c>
      <c r="CZ234" s="124" t="str">
        <f>IF($B234="","",IF(CW234=0,COUNTIF($CW$6:CW234,0),""))</f>
        <v/>
      </c>
    </row>
    <row r="235">
      <c r="A235" s="15" t="n">
        <v>231</v>
      </c>
      <c r="B235" t="str">
        <f>IF(B$3=0,"",IF(INDEX(SRC_ZPMW03!$A$1:$ZZ$501,$A235,B$3)&amp;""="","",INDEX(SRC_ZPMW03!$A$1:$ZZ$501,$A235,B$3)&amp;""))</f>
        <v/>
      </c>
      <c r="C235" t="str">
        <f>IF($B235="","",IF(C$3=0,"n.b.",INDEX(SRC_ZPMW03!$A$1:$ZZ$501,$A235,C$3)))</f>
        <v/>
      </c>
      <c r="D235" t="str">
        <f>IF($B235="","",IF(D$3=0,"n.b.",INDEX(SRC_ZPMW03!$A$1:$ZZ$501,$A235,D$3)))</f>
        <v/>
      </c>
      <c r="E235" t="str">
        <f>IF($B235="","",IF(E$3=0,"n.b.",INDEX(SRC_ZPMW03!$A$1:$ZZ$501,$A235,E$3)))</f>
        <v/>
      </c>
      <c r="F235" t="str">
        <f>IF($B235="","",IF(F$3=0,"n.b.",INDEX(SRC_ZPMW03!$A$1:$ZZ$501,$A235,F$3)))</f>
        <v/>
      </c>
      <c r="G235" t="str">
        <f>IF($B235="","",IF(G$3=0,"n.b.",INDEX(SRC_ZPMW03!$A$1:$ZZ$501,$A235,G$3)))</f>
        <v/>
      </c>
      <c r="H235" t="str">
        <f>IF($B235="","",IF(H$3=0,"n.b.",INDEX(SRC_ZPMW03!$A$1:$ZZ$501,$A235,H$3)))</f>
        <v/>
      </c>
      <c r="I235" t="str">
        <f>IF($B235="","",IF(I$3=0,"n.b.",INDEX(SRC_ZPMW03!$A$1:$ZZ$501,$A235,I$3)))</f>
        <v/>
      </c>
      <c r="J235" t="str">
        <f>IF($B235="","",IF(J$3=0,"n.b.",INDEX(SRC_ZPMW03!$A$1:$ZZ$501,$A235,J$3)))</f>
        <v/>
      </c>
      <c r="K235" t="str">
        <f>IF($B235="","",IF(K$3=0,"n.b.",INDEX(SRC_ZPMW03!$A$1:$ZZ$501,$A235,K$3)))</f>
        <v/>
      </c>
      <c r="L235" s="124" t="str">
        <f>IF($B235="","",IF(L$3=0,"n.b.",INDEX(SRC_ZPMW03!$A$1:$ZZ$501,$A235,L$3)))</f>
        <v/>
      </c>
      <c r="M235" s="124" t="str">
        <f>IF($B235="","",IF(M$3=0,"n.b.",INDEX(SRC_ZPMW03!$A$1:$ZZ$501,$A235,M$3)))</f>
        <v/>
      </c>
      <c r="N235" s="124" t="str">
        <f>IF($B235="","",IF(N$3=0,"n.b.",INDEX(SRC_ZPMW03!$A$1:$ZZ$501,$A235,N$3)))</f>
        <v/>
      </c>
      <c r="O235" s="124" t="str">
        <f>IF($B235="","",IF(O$3=0,"n.b.",INDEX(SRC_ZPMW03!$A$1:$ZZ$501,$A235,O$3)))</f>
        <v/>
      </c>
      <c r="P235" s="124" t="str">
        <f>IF($B235="","",IF(P$3=0,"n.b.",INDEX(SRC_ZPMW03!$A$1:$ZZ$501,$A235,P$3)))</f>
        <v/>
      </c>
      <c r="Q235" s="124" t="str">
        <f>IF($B235="","",IF(Q$3=0,"n.b.",INDEX(SRC_ZPMW03!$A$1:$ZZ$501,$A235,Q$3)))</f>
        <v/>
      </c>
      <c r="R235" s="124" t="str">
        <f>IF($B235="","",IF(R$3=0,"n.b.",INDEX(SRC_ZPMW03!$A$1:$ZZ$501,$A235,R$3)))</f>
        <v/>
      </c>
      <c r="S235" s="124" t="str">
        <f>IF($B235="","",IF(S$3=0,"n.b.",INDEX(SRC_ZPMW03!$A$1:$ZZ$501,$A235,S$3)))</f>
        <v/>
      </c>
      <c r="T235" s="124" t="str">
        <f>IF($B235="","",IF(T$3=0,"n.b.",INDEX(SRC_ZPMW03!$A$1:$ZZ$501,$A235,T$3)))</f>
        <v/>
      </c>
      <c r="U235" s="124" t="str">
        <f>IF($B235="","",IF(U$3=0,"n.b.",INDEX(SRC_ZPMW03!$A$1:$ZZ$501,$A235,U$3)))</f>
        <v/>
      </c>
      <c r="V235" s="124" t="str">
        <f>IF($B235="","",IF(V$3=0,"n.b.",INDEX(SRC_ZPMW03!$A$1:$ZZ$501,$A235,V$3)))</f>
        <v/>
      </c>
      <c r="W235" s="124" t="str">
        <f>IF($B235="","",IF(W$3=0,"n.b.",INDEX(SRC_ZPMW03!$A$1:$ZZ$501,$A235,W$3)))</f>
        <v/>
      </c>
      <c r="X235" s="124" t="str">
        <f>IF($B235="","",IF(X$3=0,"n.b.",INDEX(SRC_ZPMW03!$A$1:$ZZ$501,$A235,X$3)))</f>
        <v/>
      </c>
      <c r="Y235" s="124" t="str">
        <f>IF($B235="","",IF(Y$3=0,"n.b.",INDEX(SRC_ZPMW03!$A$1:$ZZ$501,$A235,Y$3)))</f>
        <v/>
      </c>
      <c r="Z235" s="124" t="str">
        <f>IF($B235="","",IF(Z$3=0,"n.b.",INDEX(SRC_ZPMW03!$A$1:$ZZ$501,$A235,Z$3)))</f>
        <v/>
      </c>
      <c r="AA235" s="124" t="str">
        <f>IF($B235="","",IF(AA$3=0,"n.b.",INDEX(SRC_ZPMW03!$A$1:$ZZ$501,$A235,AA$3)))</f>
        <v/>
      </c>
      <c r="AB235" s="124" t="str">
        <f>IF($B235="","",IF(AB$3=0,"n.b.",INDEX(SRC_ZPMW03!$A$1:$ZZ$501,$A235,AB$3)))</f>
        <v/>
      </c>
      <c r="AC235" s="124" t="str">
        <f>IF($B235="","",IF(AC$3=0,"n.b.",INDEX(SRC_ZPMW03!$A$1:$ZZ$501,$A235,AC$3)))</f>
        <v/>
      </c>
      <c r="AD235" s="124" t="str">
        <f>IF($B235="","",IF(AD$3=0,"n.b.",INDEX(SRC_ZPMW03!$A$1:$ZZ$501,$A235,AD$3)))</f>
        <v/>
      </c>
      <c r="AE235" s="124" t="str">
        <f>IF($B235="","",IF(AE$3=0,"n.b.",INDEX(SRC_ZPMW03!$A$1:$ZZ$501,$A235,AE$3)))</f>
        <v/>
      </c>
      <c r="AF235" s="124" t="str">
        <f>IF($B235="","",IF(AF$3=0,"n.b.",INDEX(SRC_ZPMW03!$A$1:$ZZ$501,$A235,AF$3)))</f>
        <v/>
      </c>
      <c r="AG235" s="124" t="str">
        <f>IF($B235="","",IF(AG$3=0,"n.b.",INDEX(SRC_ZPMW03!$A$1:$ZZ$501,$A235,AG$3)))</f>
        <v/>
      </c>
      <c r="AH235" s="124" t="str">
        <f>IF($B235="","",IF(AH$3=0,"n.b.",INDEX(SRC_ZPMW03!$A$1:$ZZ$501,$A235,AH$3)))</f>
        <v/>
      </c>
      <c r="AI235" s="124" t="str">
        <f>IF($B235="","",IF(AI$3=0,"n.b.",INDEX(SRC_ZPMW03!$A$1:$ZZ$501,$A235,AI$3)))</f>
        <v/>
      </c>
      <c r="AJ235" s="124" t="str">
        <f>IF($B235="","",IF(AJ$3=0,"n.b.",INDEX(SRC_ZPMW03!$A$1:$ZZ$501,$A235,AJ$3)))</f>
        <v/>
      </c>
      <c r="AK235" s="124" t="str">
        <f>IF($B235="","",IF(AK$3=0,"n.b.",INDEX(SRC_ZPMW03!$A$1:$ZZ$501,$A235,AK$3)))</f>
        <v/>
      </c>
      <c r="AL235" s="124" t="str">
        <f>IF($B235="","",IF(AL$3=0,"n.b.",INDEX(SRC_ZPMW03!$A$1:$ZZ$501,$A235,AL$3)))</f>
        <v/>
      </c>
      <c r="AM235" s="124" t="str">
        <f>IF($B235="","",IF(AM$3=0,"n.b.",INDEX(SRC_ZPMW03!$A$1:$ZZ$501,$A235,AM$3)))</f>
        <v/>
      </c>
      <c r="AN235" s="124" t="str">
        <f>IF($B235="","",IF(AN$3=0,"n.b.",INDEX(SRC_ZPMW03!$A$1:$ZZ$501,$A235,AN$3)))</f>
        <v/>
      </c>
      <c r="AO235" s="124" t="str">
        <f>IF($B235="","",IF(AO$3=0,"n.b.",INDEX(SRC_ZPMW03!$A$1:$ZZ$501,$A235,AO$3)))</f>
        <v/>
      </c>
      <c r="AP235" s="124" t="str">
        <f>IF($B235="","",IF(AP$3=0,"n.b.",INDEX(SRC_ZPMW03!$A$1:$ZZ$501,$A235,AP$3)))</f>
        <v/>
      </c>
      <c r="AQ235" s="124" t="str">
        <f>IF($B235="","",IF(AQ$3=0,"n.b.",INDEX(SRC_ZPMW03!$A$1:$ZZ$501,$A235,AQ$3)))</f>
        <v/>
      </c>
      <c r="AR235" s="124" t="str">
        <f>IF($B235="","",IF(AR$3=0,"n.b.",INDEX(SRC_ZPMW03!$A$1:$ZZ$501,$A235,AR$3)))</f>
        <v/>
      </c>
      <c r="AS235" s="124" t="str">
        <f>IF($B235="","",IF(AS$3=0,"n.b.",INDEX(SRC_ZPMW03!$A$1:$ZZ$501,$A235,AS$3)))</f>
        <v/>
      </c>
      <c r="AT235" s="124" t="str">
        <f>IF($B235="","",IF(AT$3=0,"n.b.",INDEX(SRC_ZPMW03!$A$1:$ZZ$501,$A235,AT$3)))</f>
        <v/>
      </c>
      <c r="AU235" s="124" t="str">
        <f>IF($B235="","",IF(AU$3=0,"n.b.",INDEX(SRC_ZPMW03!$A$1:$ZZ$501,$A235,AU$3)))</f>
        <v/>
      </c>
      <c r="AV235" s="124" t="str">
        <f>IF($B235="","",IF(AV$3=0,"n.b.",INDEX(SRC_ZPMW03!$A$1:$ZZ$501,$A235,AV$3)))</f>
        <v/>
      </c>
      <c r="AW235" s="124" t="str">
        <f>IF($B235="","",IF(AW$3=0,"n.b.",INDEX(SRC_ZPMW03!$A$1:$ZZ$501,$A235,AW$3)))</f>
        <v/>
      </c>
      <c r="AX235" s="124" t="str">
        <f>IF($B235="","",IF(AX$3=0,"n.b.",INDEX(SRC_ZPMW03!$A$1:$ZZ$501,$A235,AX$3)))</f>
        <v/>
      </c>
      <c r="AY235" s="124" t="str">
        <f>IF($B235="","",IF(AY$3=0,"n.b.",INDEX(SRC_ZPMW03!$A$1:$ZZ$501,$A235,AY$3)))</f>
        <v/>
      </c>
      <c r="AZ235" s="124" t="str">
        <f>IF($B235="","",IF(AZ$3=0,"n.b.",INDEX(SRC_ZPMW03!$A$1:$ZZ$501,$A235,AZ$3)))</f>
        <v/>
      </c>
      <c r="BA235" s="124" t="str">
        <f>IF($B235="","",IF(BA$3=0,"n.b.",INDEX(SRC_ZPMW03!$A$1:$ZZ$501,$A235,BA$3)))</f>
        <v/>
      </c>
      <c r="BB235" s="124" t="str">
        <f>IF($B235="","",IF(BB$3=0,"n.b.",INDEX(SRC_ZPMW03!$A$1:$ZZ$501,$A235,BB$3)))</f>
        <v/>
      </c>
      <c r="BC235" s="124" t="str">
        <f>IF($B235="","",IF(BC$3=0,"n.b.",INDEX(SRC_ZPMW03!$A$1:$ZZ$501,$A235,BC$3)))</f>
        <v/>
      </c>
      <c r="BD235" s="124" t="str">
        <f>IF($B235="","",IF(BD$3=0,"n.b.",INDEX(SRC_ZPMW03!$A$1:$ZZ$501,$A235,BD$3)))</f>
        <v/>
      </c>
      <c r="BE235" s="124" t="str">
        <f>IF($B235="","",IF(BE$3=0,"n.b.",INDEX(SRC_ZPMW03!$A$1:$ZZ$501,$A235,BE$3)))</f>
        <v/>
      </c>
      <c r="BF235" s="124" t="str">
        <f>IF($B235="","",IF(BF$3=0,"n.b.",INDEX(SRC_ZPMW03!$A$1:$ZZ$501,$A235,BF$3)))</f>
        <v/>
      </c>
      <c r="BG235" t="str">
        <f>IF($B235="","",IF(BG$3=0,"n.b.",INDEX(SRC_ZPMW03!$A$1:$ZZ$501,$A235,BG$3)))</f>
        <v/>
      </c>
      <c r="BH235" t="str">
        <f>IF($B235="","",IF(BH$3=0,"n.b.",INDEX(SRC_ZPMW03!$A$1:$ZZ$501,$A235,BH$3)))</f>
        <v/>
      </c>
      <c r="BI235" t="str">
        <f>IF($B235="","",IF(BI$3=0,"n.b.",INDEX(SRC_ZPMW03!$A$1:$ZZ$501,$A235,BI$3)))</f>
        <v/>
      </c>
      <c r="BJ235" t="str">
        <f>IF($B235="","",IF(BJ$3=0,"n.b.",INDEX(SRC_ZPMW03!$A$1:$ZZ$501,$A235,BJ$3)))</f>
        <v/>
      </c>
      <c r="BK235" s="124" t="str">
        <f>IF($B235="","",IFERROR(-O235,"n.b."))</f>
        <v/>
      </c>
      <c r="BL235" s="124" t="str">
        <f>IF($B235="","",IFERROR(-Q235,"n.b."))</f>
        <v/>
      </c>
      <c r="BM235" s="124" t="str">
        <f>IF($B235="","",IFERROR(-AB235,"n.b."))</f>
        <v/>
      </c>
      <c r="BN235" s="124" t="str">
        <f>IF($B235="","",IFERROR(-AD235,"n.b."))</f>
        <v/>
      </c>
      <c r="BO235" s="124" t="str">
        <f>IF($B235="","",IFERROR(BK235+BM235,"n.b."))</f>
        <v/>
      </c>
      <c r="BP235" s="124" t="str">
        <f>IF($B235="","",IFERROR(BL235+BN235,"n.b."))</f>
        <v/>
      </c>
      <c r="BQ235" s="124" t="str">
        <f>IF($B235="","",IFERROR(-AM235,"n.b."))</f>
        <v/>
      </c>
      <c r="BR235" s="124" t="str">
        <f>IF($B235="","",IFERROR(-AO235,"n.b."))</f>
        <v/>
      </c>
      <c r="BS235" s="124" t="str">
        <f>IF($B235="","",IFERROR(-Z235,"n.b."))</f>
        <v/>
      </c>
      <c r="BT235" s="124" t="str">
        <f>IF($B235="","",IFERROR(-AA235,"n.b."))</f>
        <v/>
      </c>
      <c r="BU235" s="124" t="str">
        <f>IF($B235="","",IFERROR(-AE235,"n.b."))</f>
        <v/>
      </c>
      <c r="BV235" s="124" t="str">
        <f>IF($B235="","",IFERROR(-AF235,"n.b."))</f>
        <v/>
      </c>
      <c r="BW235" s="124" t="str">
        <f>IF($B235="","",IFERROR(-AG235,"n.b."))</f>
        <v/>
      </c>
      <c r="BX235" s="124" t="str">
        <f>IF($B235="","",IFERROR(-AH235,"n.b."))</f>
        <v/>
      </c>
      <c r="BY235" s="124" t="str">
        <f>IF($B235="","",IFERROR(-AI235,"n.b."))</f>
        <v/>
      </c>
      <c r="BZ235" s="124" t="str">
        <f>IF($B235="","",IFERROR(-AJ235,"n.b."))</f>
        <v/>
      </c>
      <c r="CA235" s="124" t="str">
        <f>IF($B235="","",IFERROR(-AK235,"n.b."))</f>
        <v/>
      </c>
      <c r="CB235" s="124" t="str">
        <f>IF($B235="","",IFERROR(-AL235,"n.b."))</f>
        <v/>
      </c>
      <c r="CC235" s="124" t="str">
        <f>IF($B235="","",IFERROR(-AP235,"n.b."))</f>
        <v/>
      </c>
      <c r="CD235" s="124" t="str">
        <f>IF($B235="","",IFERROR(-AQ235,"n.b."))</f>
        <v/>
      </c>
      <c r="CE235" s="124" t="str">
        <f>IF($B235="","",IFERROR(-AR235,"n.b."))</f>
        <v/>
      </c>
      <c r="CF235" s="124" t="str">
        <f>IF($B235="","",IFERROR(-AS235,"n.b."))</f>
        <v/>
      </c>
      <c r="CG235" s="124" t="str">
        <f>IF($B235="","",IFERROR(-AT235,"n.b."))</f>
        <v/>
      </c>
      <c r="CH235" s="124" t="str">
        <f>IF($B235="","",IFERROR(-AU235,"n.b."))</f>
        <v/>
      </c>
      <c r="CI235" s="124" t="str">
        <f>IF($B235="","",IFERROR(-AV235,"n.b."))</f>
        <v/>
      </c>
      <c r="CJ235" s="124" t="str">
        <f>IF($B235="","",IFERROR(-AW235,"n.b."))</f>
        <v/>
      </c>
      <c r="CK235" s="124" t="str">
        <f>IF($B235="","",IFERROR(-AX235,"n.b."))</f>
        <v/>
      </c>
      <c r="CL235" s="124" t="str">
        <f>IF($B235="","",IFERROR(-AY235,"n.b."))</f>
        <v/>
      </c>
      <c r="CM235" s="124" t="str">
        <f>IF($B235="","",IFERROR(-AZ235,"n.b."))</f>
        <v/>
      </c>
      <c r="CN235" s="124" t="str">
        <f>IF($B235="","",IFERROR(-BA235,"n.b."))</f>
        <v/>
      </c>
      <c r="CO235" s="124" t="str">
        <f>IF($B235="","",IFERROR(-BB235,"n.b."))</f>
        <v/>
      </c>
      <c r="CP235" s="124" t="str">
        <f>IF($B235="","",IFERROR(-BC235,"n.b."))</f>
        <v/>
      </c>
      <c r="CQ235" s="124" t="str">
        <f>IF($B235="","",IFERROR(-BD235,"n.b."))</f>
        <v/>
      </c>
      <c r="CR235" s="124" t="str">
        <f>IF($B235="","",IFERROR(-BE235,"n.b."))</f>
        <v/>
      </c>
      <c r="CS235" s="124" t="str">
        <f>IF($B235="","",IFERROR(IF(OR(ABS(T235+V235+X235+Z235-AB235)&gt;P_Tol,ABS(U235+W235+Y235+AA235-AD235)&gt;P_Tol,ABS(AE235+AG235+AI235+AK235-AM235)&gt;P_Tol,ABS(AF235+AH235+AJ235+AL235-AO235)&gt;P_Tol),1,0),1))</f>
        <v/>
      </c>
      <c r="CT235" s="124" t="str">
        <f>IF($B235="","",IFERROR(IF(OR(ABS(AB235+AC235-AD235)&gt;P_Tol,ABS(AM235+AN235-AO235)&gt;P_Tol,ABS(O235+P235-Q235)&gt;P_Tol),1,0),1))</f>
        <v/>
      </c>
      <c r="CU235" s="124" t="str">
        <f>IF($B235="","",IFERROR(IF(ABS(R235-(AB235+AM235+AP235+AR235+AT235+AV235+AX235+AZ235+BB235+BD235))&gt;P_Tol,1,0),1))</f>
        <v/>
      </c>
      <c r="CV235" s="124" t="str">
        <f>IF($B235="","",IFERROR(IF(ABS(M235-(N235+O235+R235))&gt;P_Tol,1,0),1))</f>
        <v/>
      </c>
      <c r="CW235" s="124" t="str">
        <f>IF($B235="","",IF(COUNTIF(Mapping!$A$5:$A$104,B235)&gt;0,1,0))</f>
        <v/>
      </c>
      <c r="CX235" s="124" t="str">
        <f>IF($B235="","",COUNTIF($B$6:$B$505,B235))</f>
        <v/>
      </c>
      <c r="CY235" s="124" t="str">
        <f>IF($B235="","",COUNTIF(STG_Woningetalage!$B$6:$B$505,B235))</f>
        <v/>
      </c>
      <c r="CZ235" s="124" t="str">
        <f>IF($B235="","",IF(CW235=0,COUNTIF($CW$6:CW235,0),""))</f>
        <v/>
      </c>
    </row>
    <row r="236">
      <c r="A236" s="15" t="n">
        <v>232</v>
      </c>
      <c r="B236" t="str">
        <f>IF(B$3=0,"",IF(INDEX(SRC_ZPMW03!$A$1:$ZZ$501,$A236,B$3)&amp;""="","",INDEX(SRC_ZPMW03!$A$1:$ZZ$501,$A236,B$3)&amp;""))</f>
        <v/>
      </c>
      <c r="C236" t="str">
        <f>IF($B236="","",IF(C$3=0,"n.b.",INDEX(SRC_ZPMW03!$A$1:$ZZ$501,$A236,C$3)))</f>
        <v/>
      </c>
      <c r="D236" t="str">
        <f>IF($B236="","",IF(D$3=0,"n.b.",INDEX(SRC_ZPMW03!$A$1:$ZZ$501,$A236,D$3)))</f>
        <v/>
      </c>
      <c r="E236" t="str">
        <f>IF($B236="","",IF(E$3=0,"n.b.",INDEX(SRC_ZPMW03!$A$1:$ZZ$501,$A236,E$3)))</f>
        <v/>
      </c>
      <c r="F236" t="str">
        <f>IF($B236="","",IF(F$3=0,"n.b.",INDEX(SRC_ZPMW03!$A$1:$ZZ$501,$A236,F$3)))</f>
        <v/>
      </c>
      <c r="G236" t="str">
        <f>IF($B236="","",IF(G$3=0,"n.b.",INDEX(SRC_ZPMW03!$A$1:$ZZ$501,$A236,G$3)))</f>
        <v/>
      </c>
      <c r="H236" t="str">
        <f>IF($B236="","",IF(H$3=0,"n.b.",INDEX(SRC_ZPMW03!$A$1:$ZZ$501,$A236,H$3)))</f>
        <v/>
      </c>
      <c r="I236" t="str">
        <f>IF($B236="","",IF(I$3=0,"n.b.",INDEX(SRC_ZPMW03!$A$1:$ZZ$501,$A236,I$3)))</f>
        <v/>
      </c>
      <c r="J236" t="str">
        <f>IF($B236="","",IF(J$3=0,"n.b.",INDEX(SRC_ZPMW03!$A$1:$ZZ$501,$A236,J$3)))</f>
        <v/>
      </c>
      <c r="K236" t="str">
        <f>IF($B236="","",IF(K$3=0,"n.b.",INDEX(SRC_ZPMW03!$A$1:$ZZ$501,$A236,K$3)))</f>
        <v/>
      </c>
      <c r="L236" s="124" t="str">
        <f>IF($B236="","",IF(L$3=0,"n.b.",INDEX(SRC_ZPMW03!$A$1:$ZZ$501,$A236,L$3)))</f>
        <v/>
      </c>
      <c r="M236" s="124" t="str">
        <f>IF($B236="","",IF(M$3=0,"n.b.",INDEX(SRC_ZPMW03!$A$1:$ZZ$501,$A236,M$3)))</f>
        <v/>
      </c>
      <c r="N236" s="124" t="str">
        <f>IF($B236="","",IF(N$3=0,"n.b.",INDEX(SRC_ZPMW03!$A$1:$ZZ$501,$A236,N$3)))</f>
        <v/>
      </c>
      <c r="O236" s="124" t="str">
        <f>IF($B236="","",IF(O$3=0,"n.b.",INDEX(SRC_ZPMW03!$A$1:$ZZ$501,$A236,O$3)))</f>
        <v/>
      </c>
      <c r="P236" s="124" t="str">
        <f>IF($B236="","",IF(P$3=0,"n.b.",INDEX(SRC_ZPMW03!$A$1:$ZZ$501,$A236,P$3)))</f>
        <v/>
      </c>
      <c r="Q236" s="124" t="str">
        <f>IF($B236="","",IF(Q$3=0,"n.b.",INDEX(SRC_ZPMW03!$A$1:$ZZ$501,$A236,Q$3)))</f>
        <v/>
      </c>
      <c r="R236" s="124" t="str">
        <f>IF($B236="","",IF(R$3=0,"n.b.",INDEX(SRC_ZPMW03!$A$1:$ZZ$501,$A236,R$3)))</f>
        <v/>
      </c>
      <c r="S236" s="124" t="str">
        <f>IF($B236="","",IF(S$3=0,"n.b.",INDEX(SRC_ZPMW03!$A$1:$ZZ$501,$A236,S$3)))</f>
        <v/>
      </c>
      <c r="T236" s="124" t="str">
        <f>IF($B236="","",IF(T$3=0,"n.b.",INDEX(SRC_ZPMW03!$A$1:$ZZ$501,$A236,T$3)))</f>
        <v/>
      </c>
      <c r="U236" s="124" t="str">
        <f>IF($B236="","",IF(U$3=0,"n.b.",INDEX(SRC_ZPMW03!$A$1:$ZZ$501,$A236,U$3)))</f>
        <v/>
      </c>
      <c r="V236" s="124" t="str">
        <f>IF($B236="","",IF(V$3=0,"n.b.",INDEX(SRC_ZPMW03!$A$1:$ZZ$501,$A236,V$3)))</f>
        <v/>
      </c>
      <c r="W236" s="124" t="str">
        <f>IF($B236="","",IF(W$3=0,"n.b.",INDEX(SRC_ZPMW03!$A$1:$ZZ$501,$A236,W$3)))</f>
        <v/>
      </c>
      <c r="X236" s="124" t="str">
        <f>IF($B236="","",IF(X$3=0,"n.b.",INDEX(SRC_ZPMW03!$A$1:$ZZ$501,$A236,X$3)))</f>
        <v/>
      </c>
      <c r="Y236" s="124" t="str">
        <f>IF($B236="","",IF(Y$3=0,"n.b.",INDEX(SRC_ZPMW03!$A$1:$ZZ$501,$A236,Y$3)))</f>
        <v/>
      </c>
      <c r="Z236" s="124" t="str">
        <f>IF($B236="","",IF(Z$3=0,"n.b.",INDEX(SRC_ZPMW03!$A$1:$ZZ$501,$A236,Z$3)))</f>
        <v/>
      </c>
      <c r="AA236" s="124" t="str">
        <f>IF($B236="","",IF(AA$3=0,"n.b.",INDEX(SRC_ZPMW03!$A$1:$ZZ$501,$A236,AA$3)))</f>
        <v/>
      </c>
      <c r="AB236" s="124" t="str">
        <f>IF($B236="","",IF(AB$3=0,"n.b.",INDEX(SRC_ZPMW03!$A$1:$ZZ$501,$A236,AB$3)))</f>
        <v/>
      </c>
      <c r="AC236" s="124" t="str">
        <f>IF($B236="","",IF(AC$3=0,"n.b.",INDEX(SRC_ZPMW03!$A$1:$ZZ$501,$A236,AC$3)))</f>
        <v/>
      </c>
      <c r="AD236" s="124" t="str">
        <f>IF($B236="","",IF(AD$3=0,"n.b.",INDEX(SRC_ZPMW03!$A$1:$ZZ$501,$A236,AD$3)))</f>
        <v/>
      </c>
      <c r="AE236" s="124" t="str">
        <f>IF($B236="","",IF(AE$3=0,"n.b.",INDEX(SRC_ZPMW03!$A$1:$ZZ$501,$A236,AE$3)))</f>
        <v/>
      </c>
      <c r="AF236" s="124" t="str">
        <f>IF($B236="","",IF(AF$3=0,"n.b.",INDEX(SRC_ZPMW03!$A$1:$ZZ$501,$A236,AF$3)))</f>
        <v/>
      </c>
      <c r="AG236" s="124" t="str">
        <f>IF($B236="","",IF(AG$3=0,"n.b.",INDEX(SRC_ZPMW03!$A$1:$ZZ$501,$A236,AG$3)))</f>
        <v/>
      </c>
      <c r="AH236" s="124" t="str">
        <f>IF($B236="","",IF(AH$3=0,"n.b.",INDEX(SRC_ZPMW03!$A$1:$ZZ$501,$A236,AH$3)))</f>
        <v/>
      </c>
      <c r="AI236" s="124" t="str">
        <f>IF($B236="","",IF(AI$3=0,"n.b.",INDEX(SRC_ZPMW03!$A$1:$ZZ$501,$A236,AI$3)))</f>
        <v/>
      </c>
      <c r="AJ236" s="124" t="str">
        <f>IF($B236="","",IF(AJ$3=0,"n.b.",INDEX(SRC_ZPMW03!$A$1:$ZZ$501,$A236,AJ$3)))</f>
        <v/>
      </c>
      <c r="AK236" s="124" t="str">
        <f>IF($B236="","",IF(AK$3=0,"n.b.",INDEX(SRC_ZPMW03!$A$1:$ZZ$501,$A236,AK$3)))</f>
        <v/>
      </c>
      <c r="AL236" s="124" t="str">
        <f>IF($B236="","",IF(AL$3=0,"n.b.",INDEX(SRC_ZPMW03!$A$1:$ZZ$501,$A236,AL$3)))</f>
        <v/>
      </c>
      <c r="AM236" s="124" t="str">
        <f>IF($B236="","",IF(AM$3=0,"n.b.",INDEX(SRC_ZPMW03!$A$1:$ZZ$501,$A236,AM$3)))</f>
        <v/>
      </c>
      <c r="AN236" s="124" t="str">
        <f>IF($B236="","",IF(AN$3=0,"n.b.",INDEX(SRC_ZPMW03!$A$1:$ZZ$501,$A236,AN$3)))</f>
        <v/>
      </c>
      <c r="AO236" s="124" t="str">
        <f>IF($B236="","",IF(AO$3=0,"n.b.",INDEX(SRC_ZPMW03!$A$1:$ZZ$501,$A236,AO$3)))</f>
        <v/>
      </c>
      <c r="AP236" s="124" t="str">
        <f>IF($B236="","",IF(AP$3=0,"n.b.",INDEX(SRC_ZPMW03!$A$1:$ZZ$501,$A236,AP$3)))</f>
        <v/>
      </c>
      <c r="AQ236" s="124" t="str">
        <f>IF($B236="","",IF(AQ$3=0,"n.b.",INDEX(SRC_ZPMW03!$A$1:$ZZ$501,$A236,AQ$3)))</f>
        <v/>
      </c>
      <c r="AR236" s="124" t="str">
        <f>IF($B236="","",IF(AR$3=0,"n.b.",INDEX(SRC_ZPMW03!$A$1:$ZZ$501,$A236,AR$3)))</f>
        <v/>
      </c>
      <c r="AS236" s="124" t="str">
        <f>IF($B236="","",IF(AS$3=0,"n.b.",INDEX(SRC_ZPMW03!$A$1:$ZZ$501,$A236,AS$3)))</f>
        <v/>
      </c>
      <c r="AT236" s="124" t="str">
        <f>IF($B236="","",IF(AT$3=0,"n.b.",INDEX(SRC_ZPMW03!$A$1:$ZZ$501,$A236,AT$3)))</f>
        <v/>
      </c>
      <c r="AU236" s="124" t="str">
        <f>IF($B236="","",IF(AU$3=0,"n.b.",INDEX(SRC_ZPMW03!$A$1:$ZZ$501,$A236,AU$3)))</f>
        <v/>
      </c>
      <c r="AV236" s="124" t="str">
        <f>IF($B236="","",IF(AV$3=0,"n.b.",INDEX(SRC_ZPMW03!$A$1:$ZZ$501,$A236,AV$3)))</f>
        <v/>
      </c>
      <c r="AW236" s="124" t="str">
        <f>IF($B236="","",IF(AW$3=0,"n.b.",INDEX(SRC_ZPMW03!$A$1:$ZZ$501,$A236,AW$3)))</f>
        <v/>
      </c>
      <c r="AX236" s="124" t="str">
        <f>IF($B236="","",IF(AX$3=0,"n.b.",INDEX(SRC_ZPMW03!$A$1:$ZZ$501,$A236,AX$3)))</f>
        <v/>
      </c>
      <c r="AY236" s="124" t="str">
        <f>IF($B236="","",IF(AY$3=0,"n.b.",INDEX(SRC_ZPMW03!$A$1:$ZZ$501,$A236,AY$3)))</f>
        <v/>
      </c>
      <c r="AZ236" s="124" t="str">
        <f>IF($B236="","",IF(AZ$3=0,"n.b.",INDEX(SRC_ZPMW03!$A$1:$ZZ$501,$A236,AZ$3)))</f>
        <v/>
      </c>
      <c r="BA236" s="124" t="str">
        <f>IF($B236="","",IF(BA$3=0,"n.b.",INDEX(SRC_ZPMW03!$A$1:$ZZ$501,$A236,BA$3)))</f>
        <v/>
      </c>
      <c r="BB236" s="124" t="str">
        <f>IF($B236="","",IF(BB$3=0,"n.b.",INDEX(SRC_ZPMW03!$A$1:$ZZ$501,$A236,BB$3)))</f>
        <v/>
      </c>
      <c r="BC236" s="124" t="str">
        <f>IF($B236="","",IF(BC$3=0,"n.b.",INDEX(SRC_ZPMW03!$A$1:$ZZ$501,$A236,BC$3)))</f>
        <v/>
      </c>
      <c r="BD236" s="124" t="str">
        <f>IF($B236="","",IF(BD$3=0,"n.b.",INDEX(SRC_ZPMW03!$A$1:$ZZ$501,$A236,BD$3)))</f>
        <v/>
      </c>
      <c r="BE236" s="124" t="str">
        <f>IF($B236="","",IF(BE$3=0,"n.b.",INDEX(SRC_ZPMW03!$A$1:$ZZ$501,$A236,BE$3)))</f>
        <v/>
      </c>
      <c r="BF236" s="124" t="str">
        <f>IF($B236="","",IF(BF$3=0,"n.b.",INDEX(SRC_ZPMW03!$A$1:$ZZ$501,$A236,BF$3)))</f>
        <v/>
      </c>
      <c r="BG236" t="str">
        <f>IF($B236="","",IF(BG$3=0,"n.b.",INDEX(SRC_ZPMW03!$A$1:$ZZ$501,$A236,BG$3)))</f>
        <v/>
      </c>
      <c r="BH236" t="str">
        <f>IF($B236="","",IF(BH$3=0,"n.b.",INDEX(SRC_ZPMW03!$A$1:$ZZ$501,$A236,BH$3)))</f>
        <v/>
      </c>
      <c r="BI236" t="str">
        <f>IF($B236="","",IF(BI$3=0,"n.b.",INDEX(SRC_ZPMW03!$A$1:$ZZ$501,$A236,BI$3)))</f>
        <v/>
      </c>
      <c r="BJ236" t="str">
        <f>IF($B236="","",IF(BJ$3=0,"n.b.",INDEX(SRC_ZPMW03!$A$1:$ZZ$501,$A236,BJ$3)))</f>
        <v/>
      </c>
      <c r="BK236" s="124" t="str">
        <f>IF($B236="","",IFERROR(-O236,"n.b."))</f>
        <v/>
      </c>
      <c r="BL236" s="124" t="str">
        <f>IF($B236="","",IFERROR(-Q236,"n.b."))</f>
        <v/>
      </c>
      <c r="BM236" s="124" t="str">
        <f>IF($B236="","",IFERROR(-AB236,"n.b."))</f>
        <v/>
      </c>
      <c r="BN236" s="124" t="str">
        <f>IF($B236="","",IFERROR(-AD236,"n.b."))</f>
        <v/>
      </c>
      <c r="BO236" s="124" t="str">
        <f>IF($B236="","",IFERROR(BK236+BM236,"n.b."))</f>
        <v/>
      </c>
      <c r="BP236" s="124" t="str">
        <f>IF($B236="","",IFERROR(BL236+BN236,"n.b."))</f>
        <v/>
      </c>
      <c r="BQ236" s="124" t="str">
        <f>IF($B236="","",IFERROR(-AM236,"n.b."))</f>
        <v/>
      </c>
      <c r="BR236" s="124" t="str">
        <f>IF($B236="","",IFERROR(-AO236,"n.b."))</f>
        <v/>
      </c>
      <c r="BS236" s="124" t="str">
        <f>IF($B236="","",IFERROR(-Z236,"n.b."))</f>
        <v/>
      </c>
      <c r="BT236" s="124" t="str">
        <f>IF($B236="","",IFERROR(-AA236,"n.b."))</f>
        <v/>
      </c>
      <c r="BU236" s="124" t="str">
        <f>IF($B236="","",IFERROR(-AE236,"n.b."))</f>
        <v/>
      </c>
      <c r="BV236" s="124" t="str">
        <f>IF($B236="","",IFERROR(-AF236,"n.b."))</f>
        <v/>
      </c>
      <c r="BW236" s="124" t="str">
        <f>IF($B236="","",IFERROR(-AG236,"n.b."))</f>
        <v/>
      </c>
      <c r="BX236" s="124" t="str">
        <f>IF($B236="","",IFERROR(-AH236,"n.b."))</f>
        <v/>
      </c>
      <c r="BY236" s="124" t="str">
        <f>IF($B236="","",IFERROR(-AI236,"n.b."))</f>
        <v/>
      </c>
      <c r="BZ236" s="124" t="str">
        <f>IF($B236="","",IFERROR(-AJ236,"n.b."))</f>
        <v/>
      </c>
      <c r="CA236" s="124" t="str">
        <f>IF($B236="","",IFERROR(-AK236,"n.b."))</f>
        <v/>
      </c>
      <c r="CB236" s="124" t="str">
        <f>IF($B236="","",IFERROR(-AL236,"n.b."))</f>
        <v/>
      </c>
      <c r="CC236" s="124" t="str">
        <f>IF($B236="","",IFERROR(-AP236,"n.b."))</f>
        <v/>
      </c>
      <c r="CD236" s="124" t="str">
        <f>IF($B236="","",IFERROR(-AQ236,"n.b."))</f>
        <v/>
      </c>
      <c r="CE236" s="124" t="str">
        <f>IF($B236="","",IFERROR(-AR236,"n.b."))</f>
        <v/>
      </c>
      <c r="CF236" s="124" t="str">
        <f>IF($B236="","",IFERROR(-AS236,"n.b."))</f>
        <v/>
      </c>
      <c r="CG236" s="124" t="str">
        <f>IF($B236="","",IFERROR(-AT236,"n.b."))</f>
        <v/>
      </c>
      <c r="CH236" s="124" t="str">
        <f>IF($B236="","",IFERROR(-AU236,"n.b."))</f>
        <v/>
      </c>
      <c r="CI236" s="124" t="str">
        <f>IF($B236="","",IFERROR(-AV236,"n.b."))</f>
        <v/>
      </c>
      <c r="CJ236" s="124" t="str">
        <f>IF($B236="","",IFERROR(-AW236,"n.b."))</f>
        <v/>
      </c>
      <c r="CK236" s="124" t="str">
        <f>IF($B236="","",IFERROR(-AX236,"n.b."))</f>
        <v/>
      </c>
      <c r="CL236" s="124" t="str">
        <f>IF($B236="","",IFERROR(-AY236,"n.b."))</f>
        <v/>
      </c>
      <c r="CM236" s="124" t="str">
        <f>IF($B236="","",IFERROR(-AZ236,"n.b."))</f>
        <v/>
      </c>
      <c r="CN236" s="124" t="str">
        <f>IF($B236="","",IFERROR(-BA236,"n.b."))</f>
        <v/>
      </c>
      <c r="CO236" s="124" t="str">
        <f>IF($B236="","",IFERROR(-BB236,"n.b."))</f>
        <v/>
      </c>
      <c r="CP236" s="124" t="str">
        <f>IF($B236="","",IFERROR(-BC236,"n.b."))</f>
        <v/>
      </c>
      <c r="CQ236" s="124" t="str">
        <f>IF($B236="","",IFERROR(-BD236,"n.b."))</f>
        <v/>
      </c>
      <c r="CR236" s="124" t="str">
        <f>IF($B236="","",IFERROR(-BE236,"n.b."))</f>
        <v/>
      </c>
      <c r="CS236" s="124" t="str">
        <f>IF($B236="","",IFERROR(IF(OR(ABS(T236+V236+X236+Z236-AB236)&gt;P_Tol,ABS(U236+W236+Y236+AA236-AD236)&gt;P_Tol,ABS(AE236+AG236+AI236+AK236-AM236)&gt;P_Tol,ABS(AF236+AH236+AJ236+AL236-AO236)&gt;P_Tol),1,0),1))</f>
        <v/>
      </c>
      <c r="CT236" s="124" t="str">
        <f>IF($B236="","",IFERROR(IF(OR(ABS(AB236+AC236-AD236)&gt;P_Tol,ABS(AM236+AN236-AO236)&gt;P_Tol,ABS(O236+P236-Q236)&gt;P_Tol),1,0),1))</f>
        <v/>
      </c>
      <c r="CU236" s="124" t="str">
        <f>IF($B236="","",IFERROR(IF(ABS(R236-(AB236+AM236+AP236+AR236+AT236+AV236+AX236+AZ236+BB236+BD236))&gt;P_Tol,1,0),1))</f>
        <v/>
      </c>
      <c r="CV236" s="124" t="str">
        <f>IF($B236="","",IFERROR(IF(ABS(M236-(N236+O236+R236))&gt;P_Tol,1,0),1))</f>
        <v/>
      </c>
      <c r="CW236" s="124" t="str">
        <f>IF($B236="","",IF(COUNTIF(Mapping!$A$5:$A$104,B236)&gt;0,1,0))</f>
        <v/>
      </c>
      <c r="CX236" s="124" t="str">
        <f>IF($B236="","",COUNTIF($B$6:$B$505,B236))</f>
        <v/>
      </c>
      <c r="CY236" s="124" t="str">
        <f>IF($B236="","",COUNTIF(STG_Woningetalage!$B$6:$B$505,B236))</f>
        <v/>
      </c>
      <c r="CZ236" s="124" t="str">
        <f>IF($B236="","",IF(CW236=0,COUNTIF($CW$6:CW236,0),""))</f>
        <v/>
      </c>
    </row>
    <row r="237">
      <c r="A237" s="15" t="n">
        <v>233</v>
      </c>
      <c r="B237" t="str">
        <f>IF(B$3=0,"",IF(INDEX(SRC_ZPMW03!$A$1:$ZZ$501,$A237,B$3)&amp;""="","",INDEX(SRC_ZPMW03!$A$1:$ZZ$501,$A237,B$3)&amp;""))</f>
        <v/>
      </c>
      <c r="C237" t="str">
        <f>IF($B237="","",IF(C$3=0,"n.b.",INDEX(SRC_ZPMW03!$A$1:$ZZ$501,$A237,C$3)))</f>
        <v/>
      </c>
      <c r="D237" t="str">
        <f>IF($B237="","",IF(D$3=0,"n.b.",INDEX(SRC_ZPMW03!$A$1:$ZZ$501,$A237,D$3)))</f>
        <v/>
      </c>
      <c r="E237" t="str">
        <f>IF($B237="","",IF(E$3=0,"n.b.",INDEX(SRC_ZPMW03!$A$1:$ZZ$501,$A237,E$3)))</f>
        <v/>
      </c>
      <c r="F237" t="str">
        <f>IF($B237="","",IF(F$3=0,"n.b.",INDEX(SRC_ZPMW03!$A$1:$ZZ$501,$A237,F$3)))</f>
        <v/>
      </c>
      <c r="G237" t="str">
        <f>IF($B237="","",IF(G$3=0,"n.b.",INDEX(SRC_ZPMW03!$A$1:$ZZ$501,$A237,G$3)))</f>
        <v/>
      </c>
      <c r="H237" t="str">
        <f>IF($B237="","",IF(H$3=0,"n.b.",INDEX(SRC_ZPMW03!$A$1:$ZZ$501,$A237,H$3)))</f>
        <v/>
      </c>
      <c r="I237" t="str">
        <f>IF($B237="","",IF(I$3=0,"n.b.",INDEX(SRC_ZPMW03!$A$1:$ZZ$501,$A237,I$3)))</f>
        <v/>
      </c>
      <c r="J237" t="str">
        <f>IF($B237="","",IF(J$3=0,"n.b.",INDEX(SRC_ZPMW03!$A$1:$ZZ$501,$A237,J$3)))</f>
        <v/>
      </c>
      <c r="K237" t="str">
        <f>IF($B237="","",IF(K$3=0,"n.b.",INDEX(SRC_ZPMW03!$A$1:$ZZ$501,$A237,K$3)))</f>
        <v/>
      </c>
      <c r="L237" s="124" t="str">
        <f>IF($B237="","",IF(L$3=0,"n.b.",INDEX(SRC_ZPMW03!$A$1:$ZZ$501,$A237,L$3)))</f>
        <v/>
      </c>
      <c r="M237" s="124" t="str">
        <f>IF($B237="","",IF(M$3=0,"n.b.",INDEX(SRC_ZPMW03!$A$1:$ZZ$501,$A237,M$3)))</f>
        <v/>
      </c>
      <c r="N237" s="124" t="str">
        <f>IF($B237="","",IF(N$3=0,"n.b.",INDEX(SRC_ZPMW03!$A$1:$ZZ$501,$A237,N$3)))</f>
        <v/>
      </c>
      <c r="O237" s="124" t="str">
        <f>IF($B237="","",IF(O$3=0,"n.b.",INDEX(SRC_ZPMW03!$A$1:$ZZ$501,$A237,O$3)))</f>
        <v/>
      </c>
      <c r="P237" s="124" t="str">
        <f>IF($B237="","",IF(P$3=0,"n.b.",INDEX(SRC_ZPMW03!$A$1:$ZZ$501,$A237,P$3)))</f>
        <v/>
      </c>
      <c r="Q237" s="124" t="str">
        <f>IF($B237="","",IF(Q$3=0,"n.b.",INDEX(SRC_ZPMW03!$A$1:$ZZ$501,$A237,Q$3)))</f>
        <v/>
      </c>
      <c r="R237" s="124" t="str">
        <f>IF($B237="","",IF(R$3=0,"n.b.",INDEX(SRC_ZPMW03!$A$1:$ZZ$501,$A237,R$3)))</f>
        <v/>
      </c>
      <c r="S237" s="124" t="str">
        <f>IF($B237="","",IF(S$3=0,"n.b.",INDEX(SRC_ZPMW03!$A$1:$ZZ$501,$A237,S$3)))</f>
        <v/>
      </c>
      <c r="T237" s="124" t="str">
        <f>IF($B237="","",IF(T$3=0,"n.b.",INDEX(SRC_ZPMW03!$A$1:$ZZ$501,$A237,T$3)))</f>
        <v/>
      </c>
      <c r="U237" s="124" t="str">
        <f>IF($B237="","",IF(U$3=0,"n.b.",INDEX(SRC_ZPMW03!$A$1:$ZZ$501,$A237,U$3)))</f>
        <v/>
      </c>
      <c r="V237" s="124" t="str">
        <f>IF($B237="","",IF(V$3=0,"n.b.",INDEX(SRC_ZPMW03!$A$1:$ZZ$501,$A237,V$3)))</f>
        <v/>
      </c>
      <c r="W237" s="124" t="str">
        <f>IF($B237="","",IF(W$3=0,"n.b.",INDEX(SRC_ZPMW03!$A$1:$ZZ$501,$A237,W$3)))</f>
        <v/>
      </c>
      <c r="X237" s="124" t="str">
        <f>IF($B237="","",IF(X$3=0,"n.b.",INDEX(SRC_ZPMW03!$A$1:$ZZ$501,$A237,X$3)))</f>
        <v/>
      </c>
      <c r="Y237" s="124" t="str">
        <f>IF($B237="","",IF(Y$3=0,"n.b.",INDEX(SRC_ZPMW03!$A$1:$ZZ$501,$A237,Y$3)))</f>
        <v/>
      </c>
      <c r="Z237" s="124" t="str">
        <f>IF($B237="","",IF(Z$3=0,"n.b.",INDEX(SRC_ZPMW03!$A$1:$ZZ$501,$A237,Z$3)))</f>
        <v/>
      </c>
      <c r="AA237" s="124" t="str">
        <f>IF($B237="","",IF(AA$3=0,"n.b.",INDEX(SRC_ZPMW03!$A$1:$ZZ$501,$A237,AA$3)))</f>
        <v/>
      </c>
      <c r="AB237" s="124" t="str">
        <f>IF($B237="","",IF(AB$3=0,"n.b.",INDEX(SRC_ZPMW03!$A$1:$ZZ$501,$A237,AB$3)))</f>
        <v/>
      </c>
      <c r="AC237" s="124" t="str">
        <f>IF($B237="","",IF(AC$3=0,"n.b.",INDEX(SRC_ZPMW03!$A$1:$ZZ$501,$A237,AC$3)))</f>
        <v/>
      </c>
      <c r="AD237" s="124" t="str">
        <f>IF($B237="","",IF(AD$3=0,"n.b.",INDEX(SRC_ZPMW03!$A$1:$ZZ$501,$A237,AD$3)))</f>
        <v/>
      </c>
      <c r="AE237" s="124" t="str">
        <f>IF($B237="","",IF(AE$3=0,"n.b.",INDEX(SRC_ZPMW03!$A$1:$ZZ$501,$A237,AE$3)))</f>
        <v/>
      </c>
      <c r="AF237" s="124" t="str">
        <f>IF($B237="","",IF(AF$3=0,"n.b.",INDEX(SRC_ZPMW03!$A$1:$ZZ$501,$A237,AF$3)))</f>
        <v/>
      </c>
      <c r="AG237" s="124" t="str">
        <f>IF($B237="","",IF(AG$3=0,"n.b.",INDEX(SRC_ZPMW03!$A$1:$ZZ$501,$A237,AG$3)))</f>
        <v/>
      </c>
      <c r="AH237" s="124" t="str">
        <f>IF($B237="","",IF(AH$3=0,"n.b.",INDEX(SRC_ZPMW03!$A$1:$ZZ$501,$A237,AH$3)))</f>
        <v/>
      </c>
      <c r="AI237" s="124" t="str">
        <f>IF($B237="","",IF(AI$3=0,"n.b.",INDEX(SRC_ZPMW03!$A$1:$ZZ$501,$A237,AI$3)))</f>
        <v/>
      </c>
      <c r="AJ237" s="124" t="str">
        <f>IF($B237="","",IF(AJ$3=0,"n.b.",INDEX(SRC_ZPMW03!$A$1:$ZZ$501,$A237,AJ$3)))</f>
        <v/>
      </c>
      <c r="AK237" s="124" t="str">
        <f>IF($B237="","",IF(AK$3=0,"n.b.",INDEX(SRC_ZPMW03!$A$1:$ZZ$501,$A237,AK$3)))</f>
        <v/>
      </c>
      <c r="AL237" s="124" t="str">
        <f>IF($B237="","",IF(AL$3=0,"n.b.",INDEX(SRC_ZPMW03!$A$1:$ZZ$501,$A237,AL$3)))</f>
        <v/>
      </c>
      <c r="AM237" s="124" t="str">
        <f>IF($B237="","",IF(AM$3=0,"n.b.",INDEX(SRC_ZPMW03!$A$1:$ZZ$501,$A237,AM$3)))</f>
        <v/>
      </c>
      <c r="AN237" s="124" t="str">
        <f>IF($B237="","",IF(AN$3=0,"n.b.",INDEX(SRC_ZPMW03!$A$1:$ZZ$501,$A237,AN$3)))</f>
        <v/>
      </c>
      <c r="AO237" s="124" t="str">
        <f>IF($B237="","",IF(AO$3=0,"n.b.",INDEX(SRC_ZPMW03!$A$1:$ZZ$501,$A237,AO$3)))</f>
        <v/>
      </c>
      <c r="AP237" s="124" t="str">
        <f>IF($B237="","",IF(AP$3=0,"n.b.",INDEX(SRC_ZPMW03!$A$1:$ZZ$501,$A237,AP$3)))</f>
        <v/>
      </c>
      <c r="AQ237" s="124" t="str">
        <f>IF($B237="","",IF(AQ$3=0,"n.b.",INDEX(SRC_ZPMW03!$A$1:$ZZ$501,$A237,AQ$3)))</f>
        <v/>
      </c>
      <c r="AR237" s="124" t="str">
        <f>IF($B237="","",IF(AR$3=0,"n.b.",INDEX(SRC_ZPMW03!$A$1:$ZZ$501,$A237,AR$3)))</f>
        <v/>
      </c>
      <c r="AS237" s="124" t="str">
        <f>IF($B237="","",IF(AS$3=0,"n.b.",INDEX(SRC_ZPMW03!$A$1:$ZZ$501,$A237,AS$3)))</f>
        <v/>
      </c>
      <c r="AT237" s="124" t="str">
        <f>IF($B237="","",IF(AT$3=0,"n.b.",INDEX(SRC_ZPMW03!$A$1:$ZZ$501,$A237,AT$3)))</f>
        <v/>
      </c>
      <c r="AU237" s="124" t="str">
        <f>IF($B237="","",IF(AU$3=0,"n.b.",INDEX(SRC_ZPMW03!$A$1:$ZZ$501,$A237,AU$3)))</f>
        <v/>
      </c>
      <c r="AV237" s="124" t="str">
        <f>IF($B237="","",IF(AV$3=0,"n.b.",INDEX(SRC_ZPMW03!$A$1:$ZZ$501,$A237,AV$3)))</f>
        <v/>
      </c>
      <c r="AW237" s="124" t="str">
        <f>IF($B237="","",IF(AW$3=0,"n.b.",INDEX(SRC_ZPMW03!$A$1:$ZZ$501,$A237,AW$3)))</f>
        <v/>
      </c>
      <c r="AX237" s="124" t="str">
        <f>IF($B237="","",IF(AX$3=0,"n.b.",INDEX(SRC_ZPMW03!$A$1:$ZZ$501,$A237,AX$3)))</f>
        <v/>
      </c>
      <c r="AY237" s="124" t="str">
        <f>IF($B237="","",IF(AY$3=0,"n.b.",INDEX(SRC_ZPMW03!$A$1:$ZZ$501,$A237,AY$3)))</f>
        <v/>
      </c>
      <c r="AZ237" s="124" t="str">
        <f>IF($B237="","",IF(AZ$3=0,"n.b.",INDEX(SRC_ZPMW03!$A$1:$ZZ$501,$A237,AZ$3)))</f>
        <v/>
      </c>
      <c r="BA237" s="124" t="str">
        <f>IF($B237="","",IF(BA$3=0,"n.b.",INDEX(SRC_ZPMW03!$A$1:$ZZ$501,$A237,BA$3)))</f>
        <v/>
      </c>
      <c r="BB237" s="124" t="str">
        <f>IF($B237="","",IF(BB$3=0,"n.b.",INDEX(SRC_ZPMW03!$A$1:$ZZ$501,$A237,BB$3)))</f>
        <v/>
      </c>
      <c r="BC237" s="124" t="str">
        <f>IF($B237="","",IF(BC$3=0,"n.b.",INDEX(SRC_ZPMW03!$A$1:$ZZ$501,$A237,BC$3)))</f>
        <v/>
      </c>
      <c r="BD237" s="124" t="str">
        <f>IF($B237="","",IF(BD$3=0,"n.b.",INDEX(SRC_ZPMW03!$A$1:$ZZ$501,$A237,BD$3)))</f>
        <v/>
      </c>
      <c r="BE237" s="124" t="str">
        <f>IF($B237="","",IF(BE$3=0,"n.b.",INDEX(SRC_ZPMW03!$A$1:$ZZ$501,$A237,BE$3)))</f>
        <v/>
      </c>
      <c r="BF237" s="124" t="str">
        <f>IF($B237="","",IF(BF$3=0,"n.b.",INDEX(SRC_ZPMW03!$A$1:$ZZ$501,$A237,BF$3)))</f>
        <v/>
      </c>
      <c r="BG237" t="str">
        <f>IF($B237="","",IF(BG$3=0,"n.b.",INDEX(SRC_ZPMW03!$A$1:$ZZ$501,$A237,BG$3)))</f>
        <v/>
      </c>
      <c r="BH237" t="str">
        <f>IF($B237="","",IF(BH$3=0,"n.b.",INDEX(SRC_ZPMW03!$A$1:$ZZ$501,$A237,BH$3)))</f>
        <v/>
      </c>
      <c r="BI237" t="str">
        <f>IF($B237="","",IF(BI$3=0,"n.b.",INDEX(SRC_ZPMW03!$A$1:$ZZ$501,$A237,BI$3)))</f>
        <v/>
      </c>
      <c r="BJ237" t="str">
        <f>IF($B237="","",IF(BJ$3=0,"n.b.",INDEX(SRC_ZPMW03!$A$1:$ZZ$501,$A237,BJ$3)))</f>
        <v/>
      </c>
      <c r="BK237" s="124" t="str">
        <f>IF($B237="","",IFERROR(-O237,"n.b."))</f>
        <v/>
      </c>
      <c r="BL237" s="124" t="str">
        <f>IF($B237="","",IFERROR(-Q237,"n.b."))</f>
        <v/>
      </c>
      <c r="BM237" s="124" t="str">
        <f>IF($B237="","",IFERROR(-AB237,"n.b."))</f>
        <v/>
      </c>
      <c r="BN237" s="124" t="str">
        <f>IF($B237="","",IFERROR(-AD237,"n.b."))</f>
        <v/>
      </c>
      <c r="BO237" s="124" t="str">
        <f>IF($B237="","",IFERROR(BK237+BM237,"n.b."))</f>
        <v/>
      </c>
      <c r="BP237" s="124" t="str">
        <f>IF($B237="","",IFERROR(BL237+BN237,"n.b."))</f>
        <v/>
      </c>
      <c r="BQ237" s="124" t="str">
        <f>IF($B237="","",IFERROR(-AM237,"n.b."))</f>
        <v/>
      </c>
      <c r="BR237" s="124" t="str">
        <f>IF($B237="","",IFERROR(-AO237,"n.b."))</f>
        <v/>
      </c>
      <c r="BS237" s="124" t="str">
        <f>IF($B237="","",IFERROR(-Z237,"n.b."))</f>
        <v/>
      </c>
      <c r="BT237" s="124" t="str">
        <f>IF($B237="","",IFERROR(-AA237,"n.b."))</f>
        <v/>
      </c>
      <c r="BU237" s="124" t="str">
        <f>IF($B237="","",IFERROR(-AE237,"n.b."))</f>
        <v/>
      </c>
      <c r="BV237" s="124" t="str">
        <f>IF($B237="","",IFERROR(-AF237,"n.b."))</f>
        <v/>
      </c>
      <c r="BW237" s="124" t="str">
        <f>IF($B237="","",IFERROR(-AG237,"n.b."))</f>
        <v/>
      </c>
      <c r="BX237" s="124" t="str">
        <f>IF($B237="","",IFERROR(-AH237,"n.b."))</f>
        <v/>
      </c>
      <c r="BY237" s="124" t="str">
        <f>IF($B237="","",IFERROR(-AI237,"n.b."))</f>
        <v/>
      </c>
      <c r="BZ237" s="124" t="str">
        <f>IF($B237="","",IFERROR(-AJ237,"n.b."))</f>
        <v/>
      </c>
      <c r="CA237" s="124" t="str">
        <f>IF($B237="","",IFERROR(-AK237,"n.b."))</f>
        <v/>
      </c>
      <c r="CB237" s="124" t="str">
        <f>IF($B237="","",IFERROR(-AL237,"n.b."))</f>
        <v/>
      </c>
      <c r="CC237" s="124" t="str">
        <f>IF($B237="","",IFERROR(-AP237,"n.b."))</f>
        <v/>
      </c>
      <c r="CD237" s="124" t="str">
        <f>IF($B237="","",IFERROR(-AQ237,"n.b."))</f>
        <v/>
      </c>
      <c r="CE237" s="124" t="str">
        <f>IF($B237="","",IFERROR(-AR237,"n.b."))</f>
        <v/>
      </c>
      <c r="CF237" s="124" t="str">
        <f>IF($B237="","",IFERROR(-AS237,"n.b."))</f>
        <v/>
      </c>
      <c r="CG237" s="124" t="str">
        <f>IF($B237="","",IFERROR(-AT237,"n.b."))</f>
        <v/>
      </c>
      <c r="CH237" s="124" t="str">
        <f>IF($B237="","",IFERROR(-AU237,"n.b."))</f>
        <v/>
      </c>
      <c r="CI237" s="124" t="str">
        <f>IF($B237="","",IFERROR(-AV237,"n.b."))</f>
        <v/>
      </c>
      <c r="CJ237" s="124" t="str">
        <f>IF($B237="","",IFERROR(-AW237,"n.b."))</f>
        <v/>
      </c>
      <c r="CK237" s="124" t="str">
        <f>IF($B237="","",IFERROR(-AX237,"n.b."))</f>
        <v/>
      </c>
      <c r="CL237" s="124" t="str">
        <f>IF($B237="","",IFERROR(-AY237,"n.b."))</f>
        <v/>
      </c>
      <c r="CM237" s="124" t="str">
        <f>IF($B237="","",IFERROR(-AZ237,"n.b."))</f>
        <v/>
      </c>
      <c r="CN237" s="124" t="str">
        <f>IF($B237="","",IFERROR(-BA237,"n.b."))</f>
        <v/>
      </c>
      <c r="CO237" s="124" t="str">
        <f>IF($B237="","",IFERROR(-BB237,"n.b."))</f>
        <v/>
      </c>
      <c r="CP237" s="124" t="str">
        <f>IF($B237="","",IFERROR(-BC237,"n.b."))</f>
        <v/>
      </c>
      <c r="CQ237" s="124" t="str">
        <f>IF($B237="","",IFERROR(-BD237,"n.b."))</f>
        <v/>
      </c>
      <c r="CR237" s="124" t="str">
        <f>IF($B237="","",IFERROR(-BE237,"n.b."))</f>
        <v/>
      </c>
      <c r="CS237" s="124" t="str">
        <f>IF($B237="","",IFERROR(IF(OR(ABS(T237+V237+X237+Z237-AB237)&gt;P_Tol,ABS(U237+W237+Y237+AA237-AD237)&gt;P_Tol,ABS(AE237+AG237+AI237+AK237-AM237)&gt;P_Tol,ABS(AF237+AH237+AJ237+AL237-AO237)&gt;P_Tol),1,0),1))</f>
        <v/>
      </c>
      <c r="CT237" s="124" t="str">
        <f>IF($B237="","",IFERROR(IF(OR(ABS(AB237+AC237-AD237)&gt;P_Tol,ABS(AM237+AN237-AO237)&gt;P_Tol,ABS(O237+P237-Q237)&gt;P_Tol),1,0),1))</f>
        <v/>
      </c>
      <c r="CU237" s="124" t="str">
        <f>IF($B237="","",IFERROR(IF(ABS(R237-(AB237+AM237+AP237+AR237+AT237+AV237+AX237+AZ237+BB237+BD237))&gt;P_Tol,1,0),1))</f>
        <v/>
      </c>
      <c r="CV237" s="124" t="str">
        <f>IF($B237="","",IFERROR(IF(ABS(M237-(N237+O237+R237))&gt;P_Tol,1,0),1))</f>
        <v/>
      </c>
      <c r="CW237" s="124" t="str">
        <f>IF($B237="","",IF(COUNTIF(Mapping!$A$5:$A$104,B237)&gt;0,1,0))</f>
        <v/>
      </c>
      <c r="CX237" s="124" t="str">
        <f>IF($B237="","",COUNTIF($B$6:$B$505,B237))</f>
        <v/>
      </c>
      <c r="CY237" s="124" t="str">
        <f>IF($B237="","",COUNTIF(STG_Woningetalage!$B$6:$B$505,B237))</f>
        <v/>
      </c>
      <c r="CZ237" s="124" t="str">
        <f>IF($B237="","",IF(CW237=0,COUNTIF($CW$6:CW237,0),""))</f>
        <v/>
      </c>
    </row>
    <row r="238">
      <c r="A238" s="15" t="n">
        <v>234</v>
      </c>
      <c r="B238" t="str">
        <f>IF(B$3=0,"",IF(INDEX(SRC_ZPMW03!$A$1:$ZZ$501,$A238,B$3)&amp;""="","",INDEX(SRC_ZPMW03!$A$1:$ZZ$501,$A238,B$3)&amp;""))</f>
        <v/>
      </c>
      <c r="C238" t="str">
        <f>IF($B238="","",IF(C$3=0,"n.b.",INDEX(SRC_ZPMW03!$A$1:$ZZ$501,$A238,C$3)))</f>
        <v/>
      </c>
      <c r="D238" t="str">
        <f>IF($B238="","",IF(D$3=0,"n.b.",INDEX(SRC_ZPMW03!$A$1:$ZZ$501,$A238,D$3)))</f>
        <v/>
      </c>
      <c r="E238" t="str">
        <f>IF($B238="","",IF(E$3=0,"n.b.",INDEX(SRC_ZPMW03!$A$1:$ZZ$501,$A238,E$3)))</f>
        <v/>
      </c>
      <c r="F238" t="str">
        <f>IF($B238="","",IF(F$3=0,"n.b.",INDEX(SRC_ZPMW03!$A$1:$ZZ$501,$A238,F$3)))</f>
        <v/>
      </c>
      <c r="G238" t="str">
        <f>IF($B238="","",IF(G$3=0,"n.b.",INDEX(SRC_ZPMW03!$A$1:$ZZ$501,$A238,G$3)))</f>
        <v/>
      </c>
      <c r="H238" t="str">
        <f>IF($B238="","",IF(H$3=0,"n.b.",INDEX(SRC_ZPMW03!$A$1:$ZZ$501,$A238,H$3)))</f>
        <v/>
      </c>
      <c r="I238" t="str">
        <f>IF($B238="","",IF(I$3=0,"n.b.",INDEX(SRC_ZPMW03!$A$1:$ZZ$501,$A238,I$3)))</f>
        <v/>
      </c>
      <c r="J238" t="str">
        <f>IF($B238="","",IF(J$3=0,"n.b.",INDEX(SRC_ZPMW03!$A$1:$ZZ$501,$A238,J$3)))</f>
        <v/>
      </c>
      <c r="K238" t="str">
        <f>IF($B238="","",IF(K$3=0,"n.b.",INDEX(SRC_ZPMW03!$A$1:$ZZ$501,$A238,K$3)))</f>
        <v/>
      </c>
      <c r="L238" s="124" t="str">
        <f>IF($B238="","",IF(L$3=0,"n.b.",INDEX(SRC_ZPMW03!$A$1:$ZZ$501,$A238,L$3)))</f>
        <v/>
      </c>
      <c r="M238" s="124" t="str">
        <f>IF($B238="","",IF(M$3=0,"n.b.",INDEX(SRC_ZPMW03!$A$1:$ZZ$501,$A238,M$3)))</f>
        <v/>
      </c>
      <c r="N238" s="124" t="str">
        <f>IF($B238="","",IF(N$3=0,"n.b.",INDEX(SRC_ZPMW03!$A$1:$ZZ$501,$A238,N$3)))</f>
        <v/>
      </c>
      <c r="O238" s="124" t="str">
        <f>IF($B238="","",IF(O$3=0,"n.b.",INDEX(SRC_ZPMW03!$A$1:$ZZ$501,$A238,O$3)))</f>
        <v/>
      </c>
      <c r="P238" s="124" t="str">
        <f>IF($B238="","",IF(P$3=0,"n.b.",INDEX(SRC_ZPMW03!$A$1:$ZZ$501,$A238,P$3)))</f>
        <v/>
      </c>
      <c r="Q238" s="124" t="str">
        <f>IF($B238="","",IF(Q$3=0,"n.b.",INDEX(SRC_ZPMW03!$A$1:$ZZ$501,$A238,Q$3)))</f>
        <v/>
      </c>
      <c r="R238" s="124" t="str">
        <f>IF($B238="","",IF(R$3=0,"n.b.",INDEX(SRC_ZPMW03!$A$1:$ZZ$501,$A238,R$3)))</f>
        <v/>
      </c>
      <c r="S238" s="124" t="str">
        <f>IF($B238="","",IF(S$3=0,"n.b.",INDEX(SRC_ZPMW03!$A$1:$ZZ$501,$A238,S$3)))</f>
        <v/>
      </c>
      <c r="T238" s="124" t="str">
        <f>IF($B238="","",IF(T$3=0,"n.b.",INDEX(SRC_ZPMW03!$A$1:$ZZ$501,$A238,T$3)))</f>
        <v/>
      </c>
      <c r="U238" s="124" t="str">
        <f>IF($B238="","",IF(U$3=0,"n.b.",INDEX(SRC_ZPMW03!$A$1:$ZZ$501,$A238,U$3)))</f>
        <v/>
      </c>
      <c r="V238" s="124" t="str">
        <f>IF($B238="","",IF(V$3=0,"n.b.",INDEX(SRC_ZPMW03!$A$1:$ZZ$501,$A238,V$3)))</f>
        <v/>
      </c>
      <c r="W238" s="124" t="str">
        <f>IF($B238="","",IF(W$3=0,"n.b.",INDEX(SRC_ZPMW03!$A$1:$ZZ$501,$A238,W$3)))</f>
        <v/>
      </c>
      <c r="X238" s="124" t="str">
        <f>IF($B238="","",IF(X$3=0,"n.b.",INDEX(SRC_ZPMW03!$A$1:$ZZ$501,$A238,X$3)))</f>
        <v/>
      </c>
      <c r="Y238" s="124" t="str">
        <f>IF($B238="","",IF(Y$3=0,"n.b.",INDEX(SRC_ZPMW03!$A$1:$ZZ$501,$A238,Y$3)))</f>
        <v/>
      </c>
      <c r="Z238" s="124" t="str">
        <f>IF($B238="","",IF(Z$3=0,"n.b.",INDEX(SRC_ZPMW03!$A$1:$ZZ$501,$A238,Z$3)))</f>
        <v/>
      </c>
      <c r="AA238" s="124" t="str">
        <f>IF($B238="","",IF(AA$3=0,"n.b.",INDEX(SRC_ZPMW03!$A$1:$ZZ$501,$A238,AA$3)))</f>
        <v/>
      </c>
      <c r="AB238" s="124" t="str">
        <f>IF($B238="","",IF(AB$3=0,"n.b.",INDEX(SRC_ZPMW03!$A$1:$ZZ$501,$A238,AB$3)))</f>
        <v/>
      </c>
      <c r="AC238" s="124" t="str">
        <f>IF($B238="","",IF(AC$3=0,"n.b.",INDEX(SRC_ZPMW03!$A$1:$ZZ$501,$A238,AC$3)))</f>
        <v/>
      </c>
      <c r="AD238" s="124" t="str">
        <f>IF($B238="","",IF(AD$3=0,"n.b.",INDEX(SRC_ZPMW03!$A$1:$ZZ$501,$A238,AD$3)))</f>
        <v/>
      </c>
      <c r="AE238" s="124" t="str">
        <f>IF($B238="","",IF(AE$3=0,"n.b.",INDEX(SRC_ZPMW03!$A$1:$ZZ$501,$A238,AE$3)))</f>
        <v/>
      </c>
      <c r="AF238" s="124" t="str">
        <f>IF($B238="","",IF(AF$3=0,"n.b.",INDEX(SRC_ZPMW03!$A$1:$ZZ$501,$A238,AF$3)))</f>
        <v/>
      </c>
      <c r="AG238" s="124" t="str">
        <f>IF($B238="","",IF(AG$3=0,"n.b.",INDEX(SRC_ZPMW03!$A$1:$ZZ$501,$A238,AG$3)))</f>
        <v/>
      </c>
      <c r="AH238" s="124" t="str">
        <f>IF($B238="","",IF(AH$3=0,"n.b.",INDEX(SRC_ZPMW03!$A$1:$ZZ$501,$A238,AH$3)))</f>
        <v/>
      </c>
      <c r="AI238" s="124" t="str">
        <f>IF($B238="","",IF(AI$3=0,"n.b.",INDEX(SRC_ZPMW03!$A$1:$ZZ$501,$A238,AI$3)))</f>
        <v/>
      </c>
      <c r="AJ238" s="124" t="str">
        <f>IF($B238="","",IF(AJ$3=0,"n.b.",INDEX(SRC_ZPMW03!$A$1:$ZZ$501,$A238,AJ$3)))</f>
        <v/>
      </c>
      <c r="AK238" s="124" t="str">
        <f>IF($B238="","",IF(AK$3=0,"n.b.",INDEX(SRC_ZPMW03!$A$1:$ZZ$501,$A238,AK$3)))</f>
        <v/>
      </c>
      <c r="AL238" s="124" t="str">
        <f>IF($B238="","",IF(AL$3=0,"n.b.",INDEX(SRC_ZPMW03!$A$1:$ZZ$501,$A238,AL$3)))</f>
        <v/>
      </c>
      <c r="AM238" s="124" t="str">
        <f>IF($B238="","",IF(AM$3=0,"n.b.",INDEX(SRC_ZPMW03!$A$1:$ZZ$501,$A238,AM$3)))</f>
        <v/>
      </c>
      <c r="AN238" s="124" t="str">
        <f>IF($B238="","",IF(AN$3=0,"n.b.",INDEX(SRC_ZPMW03!$A$1:$ZZ$501,$A238,AN$3)))</f>
        <v/>
      </c>
      <c r="AO238" s="124" t="str">
        <f>IF($B238="","",IF(AO$3=0,"n.b.",INDEX(SRC_ZPMW03!$A$1:$ZZ$501,$A238,AO$3)))</f>
        <v/>
      </c>
      <c r="AP238" s="124" t="str">
        <f>IF($B238="","",IF(AP$3=0,"n.b.",INDEX(SRC_ZPMW03!$A$1:$ZZ$501,$A238,AP$3)))</f>
        <v/>
      </c>
      <c r="AQ238" s="124" t="str">
        <f>IF($B238="","",IF(AQ$3=0,"n.b.",INDEX(SRC_ZPMW03!$A$1:$ZZ$501,$A238,AQ$3)))</f>
        <v/>
      </c>
      <c r="AR238" s="124" t="str">
        <f>IF($B238="","",IF(AR$3=0,"n.b.",INDEX(SRC_ZPMW03!$A$1:$ZZ$501,$A238,AR$3)))</f>
        <v/>
      </c>
      <c r="AS238" s="124" t="str">
        <f>IF($B238="","",IF(AS$3=0,"n.b.",INDEX(SRC_ZPMW03!$A$1:$ZZ$501,$A238,AS$3)))</f>
        <v/>
      </c>
      <c r="AT238" s="124" t="str">
        <f>IF($B238="","",IF(AT$3=0,"n.b.",INDEX(SRC_ZPMW03!$A$1:$ZZ$501,$A238,AT$3)))</f>
        <v/>
      </c>
      <c r="AU238" s="124" t="str">
        <f>IF($B238="","",IF(AU$3=0,"n.b.",INDEX(SRC_ZPMW03!$A$1:$ZZ$501,$A238,AU$3)))</f>
        <v/>
      </c>
      <c r="AV238" s="124" t="str">
        <f>IF($B238="","",IF(AV$3=0,"n.b.",INDEX(SRC_ZPMW03!$A$1:$ZZ$501,$A238,AV$3)))</f>
        <v/>
      </c>
      <c r="AW238" s="124" t="str">
        <f>IF($B238="","",IF(AW$3=0,"n.b.",INDEX(SRC_ZPMW03!$A$1:$ZZ$501,$A238,AW$3)))</f>
        <v/>
      </c>
      <c r="AX238" s="124" t="str">
        <f>IF($B238="","",IF(AX$3=0,"n.b.",INDEX(SRC_ZPMW03!$A$1:$ZZ$501,$A238,AX$3)))</f>
        <v/>
      </c>
      <c r="AY238" s="124" t="str">
        <f>IF($B238="","",IF(AY$3=0,"n.b.",INDEX(SRC_ZPMW03!$A$1:$ZZ$501,$A238,AY$3)))</f>
        <v/>
      </c>
      <c r="AZ238" s="124" t="str">
        <f>IF($B238="","",IF(AZ$3=0,"n.b.",INDEX(SRC_ZPMW03!$A$1:$ZZ$501,$A238,AZ$3)))</f>
        <v/>
      </c>
      <c r="BA238" s="124" t="str">
        <f>IF($B238="","",IF(BA$3=0,"n.b.",INDEX(SRC_ZPMW03!$A$1:$ZZ$501,$A238,BA$3)))</f>
        <v/>
      </c>
      <c r="BB238" s="124" t="str">
        <f>IF($B238="","",IF(BB$3=0,"n.b.",INDEX(SRC_ZPMW03!$A$1:$ZZ$501,$A238,BB$3)))</f>
        <v/>
      </c>
      <c r="BC238" s="124" t="str">
        <f>IF($B238="","",IF(BC$3=0,"n.b.",INDEX(SRC_ZPMW03!$A$1:$ZZ$501,$A238,BC$3)))</f>
        <v/>
      </c>
      <c r="BD238" s="124" t="str">
        <f>IF($B238="","",IF(BD$3=0,"n.b.",INDEX(SRC_ZPMW03!$A$1:$ZZ$501,$A238,BD$3)))</f>
        <v/>
      </c>
      <c r="BE238" s="124" t="str">
        <f>IF($B238="","",IF(BE$3=0,"n.b.",INDEX(SRC_ZPMW03!$A$1:$ZZ$501,$A238,BE$3)))</f>
        <v/>
      </c>
      <c r="BF238" s="124" t="str">
        <f>IF($B238="","",IF(BF$3=0,"n.b.",INDEX(SRC_ZPMW03!$A$1:$ZZ$501,$A238,BF$3)))</f>
        <v/>
      </c>
      <c r="BG238" t="str">
        <f>IF($B238="","",IF(BG$3=0,"n.b.",INDEX(SRC_ZPMW03!$A$1:$ZZ$501,$A238,BG$3)))</f>
        <v/>
      </c>
      <c r="BH238" t="str">
        <f>IF($B238="","",IF(BH$3=0,"n.b.",INDEX(SRC_ZPMW03!$A$1:$ZZ$501,$A238,BH$3)))</f>
        <v/>
      </c>
      <c r="BI238" t="str">
        <f>IF($B238="","",IF(BI$3=0,"n.b.",INDEX(SRC_ZPMW03!$A$1:$ZZ$501,$A238,BI$3)))</f>
        <v/>
      </c>
      <c r="BJ238" t="str">
        <f>IF($B238="","",IF(BJ$3=0,"n.b.",INDEX(SRC_ZPMW03!$A$1:$ZZ$501,$A238,BJ$3)))</f>
        <v/>
      </c>
      <c r="BK238" s="124" t="str">
        <f>IF($B238="","",IFERROR(-O238,"n.b."))</f>
        <v/>
      </c>
      <c r="BL238" s="124" t="str">
        <f>IF($B238="","",IFERROR(-Q238,"n.b."))</f>
        <v/>
      </c>
      <c r="BM238" s="124" t="str">
        <f>IF($B238="","",IFERROR(-AB238,"n.b."))</f>
        <v/>
      </c>
      <c r="BN238" s="124" t="str">
        <f>IF($B238="","",IFERROR(-AD238,"n.b."))</f>
        <v/>
      </c>
      <c r="BO238" s="124" t="str">
        <f>IF($B238="","",IFERROR(BK238+BM238,"n.b."))</f>
        <v/>
      </c>
      <c r="BP238" s="124" t="str">
        <f>IF($B238="","",IFERROR(BL238+BN238,"n.b."))</f>
        <v/>
      </c>
      <c r="BQ238" s="124" t="str">
        <f>IF($B238="","",IFERROR(-AM238,"n.b."))</f>
        <v/>
      </c>
      <c r="BR238" s="124" t="str">
        <f>IF($B238="","",IFERROR(-AO238,"n.b."))</f>
        <v/>
      </c>
      <c r="BS238" s="124" t="str">
        <f>IF($B238="","",IFERROR(-Z238,"n.b."))</f>
        <v/>
      </c>
      <c r="BT238" s="124" t="str">
        <f>IF($B238="","",IFERROR(-AA238,"n.b."))</f>
        <v/>
      </c>
      <c r="BU238" s="124" t="str">
        <f>IF($B238="","",IFERROR(-AE238,"n.b."))</f>
        <v/>
      </c>
      <c r="BV238" s="124" t="str">
        <f>IF($B238="","",IFERROR(-AF238,"n.b."))</f>
        <v/>
      </c>
      <c r="BW238" s="124" t="str">
        <f>IF($B238="","",IFERROR(-AG238,"n.b."))</f>
        <v/>
      </c>
      <c r="BX238" s="124" t="str">
        <f>IF($B238="","",IFERROR(-AH238,"n.b."))</f>
        <v/>
      </c>
      <c r="BY238" s="124" t="str">
        <f>IF($B238="","",IFERROR(-AI238,"n.b."))</f>
        <v/>
      </c>
      <c r="BZ238" s="124" t="str">
        <f>IF($B238="","",IFERROR(-AJ238,"n.b."))</f>
        <v/>
      </c>
      <c r="CA238" s="124" t="str">
        <f>IF($B238="","",IFERROR(-AK238,"n.b."))</f>
        <v/>
      </c>
      <c r="CB238" s="124" t="str">
        <f>IF($B238="","",IFERROR(-AL238,"n.b."))</f>
        <v/>
      </c>
      <c r="CC238" s="124" t="str">
        <f>IF($B238="","",IFERROR(-AP238,"n.b."))</f>
        <v/>
      </c>
      <c r="CD238" s="124" t="str">
        <f>IF($B238="","",IFERROR(-AQ238,"n.b."))</f>
        <v/>
      </c>
      <c r="CE238" s="124" t="str">
        <f>IF($B238="","",IFERROR(-AR238,"n.b."))</f>
        <v/>
      </c>
      <c r="CF238" s="124" t="str">
        <f>IF($B238="","",IFERROR(-AS238,"n.b."))</f>
        <v/>
      </c>
      <c r="CG238" s="124" t="str">
        <f>IF($B238="","",IFERROR(-AT238,"n.b."))</f>
        <v/>
      </c>
      <c r="CH238" s="124" t="str">
        <f>IF($B238="","",IFERROR(-AU238,"n.b."))</f>
        <v/>
      </c>
      <c r="CI238" s="124" t="str">
        <f>IF($B238="","",IFERROR(-AV238,"n.b."))</f>
        <v/>
      </c>
      <c r="CJ238" s="124" t="str">
        <f>IF($B238="","",IFERROR(-AW238,"n.b."))</f>
        <v/>
      </c>
      <c r="CK238" s="124" t="str">
        <f>IF($B238="","",IFERROR(-AX238,"n.b."))</f>
        <v/>
      </c>
      <c r="CL238" s="124" t="str">
        <f>IF($B238="","",IFERROR(-AY238,"n.b."))</f>
        <v/>
      </c>
      <c r="CM238" s="124" t="str">
        <f>IF($B238="","",IFERROR(-AZ238,"n.b."))</f>
        <v/>
      </c>
      <c r="CN238" s="124" t="str">
        <f>IF($B238="","",IFERROR(-BA238,"n.b."))</f>
        <v/>
      </c>
      <c r="CO238" s="124" t="str">
        <f>IF($B238="","",IFERROR(-BB238,"n.b."))</f>
        <v/>
      </c>
      <c r="CP238" s="124" t="str">
        <f>IF($B238="","",IFERROR(-BC238,"n.b."))</f>
        <v/>
      </c>
      <c r="CQ238" s="124" t="str">
        <f>IF($B238="","",IFERROR(-BD238,"n.b."))</f>
        <v/>
      </c>
      <c r="CR238" s="124" t="str">
        <f>IF($B238="","",IFERROR(-BE238,"n.b."))</f>
        <v/>
      </c>
      <c r="CS238" s="124" t="str">
        <f>IF($B238="","",IFERROR(IF(OR(ABS(T238+V238+X238+Z238-AB238)&gt;P_Tol,ABS(U238+W238+Y238+AA238-AD238)&gt;P_Tol,ABS(AE238+AG238+AI238+AK238-AM238)&gt;P_Tol,ABS(AF238+AH238+AJ238+AL238-AO238)&gt;P_Tol),1,0),1))</f>
        <v/>
      </c>
      <c r="CT238" s="124" t="str">
        <f>IF($B238="","",IFERROR(IF(OR(ABS(AB238+AC238-AD238)&gt;P_Tol,ABS(AM238+AN238-AO238)&gt;P_Tol,ABS(O238+P238-Q238)&gt;P_Tol),1,0),1))</f>
        <v/>
      </c>
      <c r="CU238" s="124" t="str">
        <f>IF($B238="","",IFERROR(IF(ABS(R238-(AB238+AM238+AP238+AR238+AT238+AV238+AX238+AZ238+BB238+BD238))&gt;P_Tol,1,0),1))</f>
        <v/>
      </c>
      <c r="CV238" s="124" t="str">
        <f>IF($B238="","",IFERROR(IF(ABS(M238-(N238+O238+R238))&gt;P_Tol,1,0),1))</f>
        <v/>
      </c>
      <c r="CW238" s="124" t="str">
        <f>IF($B238="","",IF(COUNTIF(Mapping!$A$5:$A$104,B238)&gt;0,1,0))</f>
        <v/>
      </c>
      <c r="CX238" s="124" t="str">
        <f>IF($B238="","",COUNTIF($B$6:$B$505,B238))</f>
        <v/>
      </c>
      <c r="CY238" s="124" t="str">
        <f>IF($B238="","",COUNTIF(STG_Woningetalage!$B$6:$B$505,B238))</f>
        <v/>
      </c>
      <c r="CZ238" s="124" t="str">
        <f>IF($B238="","",IF(CW238=0,COUNTIF($CW$6:CW238,0),""))</f>
        <v/>
      </c>
    </row>
    <row r="239">
      <c r="A239" s="15" t="n">
        <v>235</v>
      </c>
      <c r="B239" t="str">
        <f>IF(B$3=0,"",IF(INDEX(SRC_ZPMW03!$A$1:$ZZ$501,$A239,B$3)&amp;""="","",INDEX(SRC_ZPMW03!$A$1:$ZZ$501,$A239,B$3)&amp;""))</f>
        <v/>
      </c>
      <c r="C239" t="str">
        <f>IF($B239="","",IF(C$3=0,"n.b.",INDEX(SRC_ZPMW03!$A$1:$ZZ$501,$A239,C$3)))</f>
        <v/>
      </c>
      <c r="D239" t="str">
        <f>IF($B239="","",IF(D$3=0,"n.b.",INDEX(SRC_ZPMW03!$A$1:$ZZ$501,$A239,D$3)))</f>
        <v/>
      </c>
      <c r="E239" t="str">
        <f>IF($B239="","",IF(E$3=0,"n.b.",INDEX(SRC_ZPMW03!$A$1:$ZZ$501,$A239,E$3)))</f>
        <v/>
      </c>
      <c r="F239" t="str">
        <f>IF($B239="","",IF(F$3=0,"n.b.",INDEX(SRC_ZPMW03!$A$1:$ZZ$501,$A239,F$3)))</f>
        <v/>
      </c>
      <c r="G239" t="str">
        <f>IF($B239="","",IF(G$3=0,"n.b.",INDEX(SRC_ZPMW03!$A$1:$ZZ$501,$A239,G$3)))</f>
        <v/>
      </c>
      <c r="H239" t="str">
        <f>IF($B239="","",IF(H$3=0,"n.b.",INDEX(SRC_ZPMW03!$A$1:$ZZ$501,$A239,H$3)))</f>
        <v/>
      </c>
      <c r="I239" t="str">
        <f>IF($B239="","",IF(I$3=0,"n.b.",INDEX(SRC_ZPMW03!$A$1:$ZZ$501,$A239,I$3)))</f>
        <v/>
      </c>
      <c r="J239" t="str">
        <f>IF($B239="","",IF(J$3=0,"n.b.",INDEX(SRC_ZPMW03!$A$1:$ZZ$501,$A239,J$3)))</f>
        <v/>
      </c>
      <c r="K239" t="str">
        <f>IF($B239="","",IF(K$3=0,"n.b.",INDEX(SRC_ZPMW03!$A$1:$ZZ$501,$A239,K$3)))</f>
        <v/>
      </c>
      <c r="L239" s="124" t="str">
        <f>IF($B239="","",IF(L$3=0,"n.b.",INDEX(SRC_ZPMW03!$A$1:$ZZ$501,$A239,L$3)))</f>
        <v/>
      </c>
      <c r="M239" s="124" t="str">
        <f>IF($B239="","",IF(M$3=0,"n.b.",INDEX(SRC_ZPMW03!$A$1:$ZZ$501,$A239,M$3)))</f>
        <v/>
      </c>
      <c r="N239" s="124" t="str">
        <f>IF($B239="","",IF(N$3=0,"n.b.",INDEX(SRC_ZPMW03!$A$1:$ZZ$501,$A239,N$3)))</f>
        <v/>
      </c>
      <c r="O239" s="124" t="str">
        <f>IF($B239="","",IF(O$3=0,"n.b.",INDEX(SRC_ZPMW03!$A$1:$ZZ$501,$A239,O$3)))</f>
        <v/>
      </c>
      <c r="P239" s="124" t="str">
        <f>IF($B239="","",IF(P$3=0,"n.b.",INDEX(SRC_ZPMW03!$A$1:$ZZ$501,$A239,P$3)))</f>
        <v/>
      </c>
      <c r="Q239" s="124" t="str">
        <f>IF($B239="","",IF(Q$3=0,"n.b.",INDEX(SRC_ZPMW03!$A$1:$ZZ$501,$A239,Q$3)))</f>
        <v/>
      </c>
      <c r="R239" s="124" t="str">
        <f>IF($B239="","",IF(R$3=0,"n.b.",INDEX(SRC_ZPMW03!$A$1:$ZZ$501,$A239,R$3)))</f>
        <v/>
      </c>
      <c r="S239" s="124" t="str">
        <f>IF($B239="","",IF(S$3=0,"n.b.",INDEX(SRC_ZPMW03!$A$1:$ZZ$501,$A239,S$3)))</f>
        <v/>
      </c>
      <c r="T239" s="124" t="str">
        <f>IF($B239="","",IF(T$3=0,"n.b.",INDEX(SRC_ZPMW03!$A$1:$ZZ$501,$A239,T$3)))</f>
        <v/>
      </c>
      <c r="U239" s="124" t="str">
        <f>IF($B239="","",IF(U$3=0,"n.b.",INDEX(SRC_ZPMW03!$A$1:$ZZ$501,$A239,U$3)))</f>
        <v/>
      </c>
      <c r="V239" s="124" t="str">
        <f>IF($B239="","",IF(V$3=0,"n.b.",INDEX(SRC_ZPMW03!$A$1:$ZZ$501,$A239,V$3)))</f>
        <v/>
      </c>
      <c r="W239" s="124" t="str">
        <f>IF($B239="","",IF(W$3=0,"n.b.",INDEX(SRC_ZPMW03!$A$1:$ZZ$501,$A239,W$3)))</f>
        <v/>
      </c>
      <c r="X239" s="124" t="str">
        <f>IF($B239="","",IF(X$3=0,"n.b.",INDEX(SRC_ZPMW03!$A$1:$ZZ$501,$A239,X$3)))</f>
        <v/>
      </c>
      <c r="Y239" s="124" t="str">
        <f>IF($B239="","",IF(Y$3=0,"n.b.",INDEX(SRC_ZPMW03!$A$1:$ZZ$501,$A239,Y$3)))</f>
        <v/>
      </c>
      <c r="Z239" s="124" t="str">
        <f>IF($B239="","",IF(Z$3=0,"n.b.",INDEX(SRC_ZPMW03!$A$1:$ZZ$501,$A239,Z$3)))</f>
        <v/>
      </c>
      <c r="AA239" s="124" t="str">
        <f>IF($B239="","",IF(AA$3=0,"n.b.",INDEX(SRC_ZPMW03!$A$1:$ZZ$501,$A239,AA$3)))</f>
        <v/>
      </c>
      <c r="AB239" s="124" t="str">
        <f>IF($B239="","",IF(AB$3=0,"n.b.",INDEX(SRC_ZPMW03!$A$1:$ZZ$501,$A239,AB$3)))</f>
        <v/>
      </c>
      <c r="AC239" s="124" t="str">
        <f>IF($B239="","",IF(AC$3=0,"n.b.",INDEX(SRC_ZPMW03!$A$1:$ZZ$501,$A239,AC$3)))</f>
        <v/>
      </c>
      <c r="AD239" s="124" t="str">
        <f>IF($B239="","",IF(AD$3=0,"n.b.",INDEX(SRC_ZPMW03!$A$1:$ZZ$501,$A239,AD$3)))</f>
        <v/>
      </c>
      <c r="AE239" s="124" t="str">
        <f>IF($B239="","",IF(AE$3=0,"n.b.",INDEX(SRC_ZPMW03!$A$1:$ZZ$501,$A239,AE$3)))</f>
        <v/>
      </c>
      <c r="AF239" s="124" t="str">
        <f>IF($B239="","",IF(AF$3=0,"n.b.",INDEX(SRC_ZPMW03!$A$1:$ZZ$501,$A239,AF$3)))</f>
        <v/>
      </c>
      <c r="AG239" s="124" t="str">
        <f>IF($B239="","",IF(AG$3=0,"n.b.",INDEX(SRC_ZPMW03!$A$1:$ZZ$501,$A239,AG$3)))</f>
        <v/>
      </c>
      <c r="AH239" s="124" t="str">
        <f>IF($B239="","",IF(AH$3=0,"n.b.",INDEX(SRC_ZPMW03!$A$1:$ZZ$501,$A239,AH$3)))</f>
        <v/>
      </c>
      <c r="AI239" s="124" t="str">
        <f>IF($B239="","",IF(AI$3=0,"n.b.",INDEX(SRC_ZPMW03!$A$1:$ZZ$501,$A239,AI$3)))</f>
        <v/>
      </c>
      <c r="AJ239" s="124" t="str">
        <f>IF($B239="","",IF(AJ$3=0,"n.b.",INDEX(SRC_ZPMW03!$A$1:$ZZ$501,$A239,AJ$3)))</f>
        <v/>
      </c>
      <c r="AK239" s="124" t="str">
        <f>IF($B239="","",IF(AK$3=0,"n.b.",INDEX(SRC_ZPMW03!$A$1:$ZZ$501,$A239,AK$3)))</f>
        <v/>
      </c>
      <c r="AL239" s="124" t="str">
        <f>IF($B239="","",IF(AL$3=0,"n.b.",INDEX(SRC_ZPMW03!$A$1:$ZZ$501,$A239,AL$3)))</f>
        <v/>
      </c>
      <c r="AM239" s="124" t="str">
        <f>IF($B239="","",IF(AM$3=0,"n.b.",INDEX(SRC_ZPMW03!$A$1:$ZZ$501,$A239,AM$3)))</f>
        <v/>
      </c>
      <c r="AN239" s="124" t="str">
        <f>IF($B239="","",IF(AN$3=0,"n.b.",INDEX(SRC_ZPMW03!$A$1:$ZZ$501,$A239,AN$3)))</f>
        <v/>
      </c>
      <c r="AO239" s="124" t="str">
        <f>IF($B239="","",IF(AO$3=0,"n.b.",INDEX(SRC_ZPMW03!$A$1:$ZZ$501,$A239,AO$3)))</f>
        <v/>
      </c>
      <c r="AP239" s="124" t="str">
        <f>IF($B239="","",IF(AP$3=0,"n.b.",INDEX(SRC_ZPMW03!$A$1:$ZZ$501,$A239,AP$3)))</f>
        <v/>
      </c>
      <c r="AQ239" s="124" t="str">
        <f>IF($B239="","",IF(AQ$3=0,"n.b.",INDEX(SRC_ZPMW03!$A$1:$ZZ$501,$A239,AQ$3)))</f>
        <v/>
      </c>
      <c r="AR239" s="124" t="str">
        <f>IF($B239="","",IF(AR$3=0,"n.b.",INDEX(SRC_ZPMW03!$A$1:$ZZ$501,$A239,AR$3)))</f>
        <v/>
      </c>
      <c r="AS239" s="124" t="str">
        <f>IF($B239="","",IF(AS$3=0,"n.b.",INDEX(SRC_ZPMW03!$A$1:$ZZ$501,$A239,AS$3)))</f>
        <v/>
      </c>
      <c r="AT239" s="124" t="str">
        <f>IF($B239="","",IF(AT$3=0,"n.b.",INDEX(SRC_ZPMW03!$A$1:$ZZ$501,$A239,AT$3)))</f>
        <v/>
      </c>
      <c r="AU239" s="124" t="str">
        <f>IF($B239="","",IF(AU$3=0,"n.b.",INDEX(SRC_ZPMW03!$A$1:$ZZ$501,$A239,AU$3)))</f>
        <v/>
      </c>
      <c r="AV239" s="124" t="str">
        <f>IF($B239="","",IF(AV$3=0,"n.b.",INDEX(SRC_ZPMW03!$A$1:$ZZ$501,$A239,AV$3)))</f>
        <v/>
      </c>
      <c r="AW239" s="124" t="str">
        <f>IF($B239="","",IF(AW$3=0,"n.b.",INDEX(SRC_ZPMW03!$A$1:$ZZ$501,$A239,AW$3)))</f>
        <v/>
      </c>
      <c r="AX239" s="124" t="str">
        <f>IF($B239="","",IF(AX$3=0,"n.b.",INDEX(SRC_ZPMW03!$A$1:$ZZ$501,$A239,AX$3)))</f>
        <v/>
      </c>
      <c r="AY239" s="124" t="str">
        <f>IF($B239="","",IF(AY$3=0,"n.b.",INDEX(SRC_ZPMW03!$A$1:$ZZ$501,$A239,AY$3)))</f>
        <v/>
      </c>
      <c r="AZ239" s="124" t="str">
        <f>IF($B239="","",IF(AZ$3=0,"n.b.",INDEX(SRC_ZPMW03!$A$1:$ZZ$501,$A239,AZ$3)))</f>
        <v/>
      </c>
      <c r="BA239" s="124" t="str">
        <f>IF($B239="","",IF(BA$3=0,"n.b.",INDEX(SRC_ZPMW03!$A$1:$ZZ$501,$A239,BA$3)))</f>
        <v/>
      </c>
      <c r="BB239" s="124" t="str">
        <f>IF($B239="","",IF(BB$3=0,"n.b.",INDEX(SRC_ZPMW03!$A$1:$ZZ$501,$A239,BB$3)))</f>
        <v/>
      </c>
      <c r="BC239" s="124" t="str">
        <f>IF($B239="","",IF(BC$3=0,"n.b.",INDEX(SRC_ZPMW03!$A$1:$ZZ$501,$A239,BC$3)))</f>
        <v/>
      </c>
      <c r="BD239" s="124" t="str">
        <f>IF($B239="","",IF(BD$3=0,"n.b.",INDEX(SRC_ZPMW03!$A$1:$ZZ$501,$A239,BD$3)))</f>
        <v/>
      </c>
      <c r="BE239" s="124" t="str">
        <f>IF($B239="","",IF(BE$3=0,"n.b.",INDEX(SRC_ZPMW03!$A$1:$ZZ$501,$A239,BE$3)))</f>
        <v/>
      </c>
      <c r="BF239" s="124" t="str">
        <f>IF($B239="","",IF(BF$3=0,"n.b.",INDEX(SRC_ZPMW03!$A$1:$ZZ$501,$A239,BF$3)))</f>
        <v/>
      </c>
      <c r="BG239" t="str">
        <f>IF($B239="","",IF(BG$3=0,"n.b.",INDEX(SRC_ZPMW03!$A$1:$ZZ$501,$A239,BG$3)))</f>
        <v/>
      </c>
      <c r="BH239" t="str">
        <f>IF($B239="","",IF(BH$3=0,"n.b.",INDEX(SRC_ZPMW03!$A$1:$ZZ$501,$A239,BH$3)))</f>
        <v/>
      </c>
      <c r="BI239" t="str">
        <f>IF($B239="","",IF(BI$3=0,"n.b.",INDEX(SRC_ZPMW03!$A$1:$ZZ$501,$A239,BI$3)))</f>
        <v/>
      </c>
      <c r="BJ239" t="str">
        <f>IF($B239="","",IF(BJ$3=0,"n.b.",INDEX(SRC_ZPMW03!$A$1:$ZZ$501,$A239,BJ$3)))</f>
        <v/>
      </c>
      <c r="BK239" s="124" t="str">
        <f>IF($B239="","",IFERROR(-O239,"n.b."))</f>
        <v/>
      </c>
      <c r="BL239" s="124" t="str">
        <f>IF($B239="","",IFERROR(-Q239,"n.b."))</f>
        <v/>
      </c>
      <c r="BM239" s="124" t="str">
        <f>IF($B239="","",IFERROR(-AB239,"n.b."))</f>
        <v/>
      </c>
      <c r="BN239" s="124" t="str">
        <f>IF($B239="","",IFERROR(-AD239,"n.b."))</f>
        <v/>
      </c>
      <c r="BO239" s="124" t="str">
        <f>IF($B239="","",IFERROR(BK239+BM239,"n.b."))</f>
        <v/>
      </c>
      <c r="BP239" s="124" t="str">
        <f>IF($B239="","",IFERROR(BL239+BN239,"n.b."))</f>
        <v/>
      </c>
      <c r="BQ239" s="124" t="str">
        <f>IF($B239="","",IFERROR(-AM239,"n.b."))</f>
        <v/>
      </c>
      <c r="BR239" s="124" t="str">
        <f>IF($B239="","",IFERROR(-AO239,"n.b."))</f>
        <v/>
      </c>
      <c r="BS239" s="124" t="str">
        <f>IF($B239="","",IFERROR(-Z239,"n.b."))</f>
        <v/>
      </c>
      <c r="BT239" s="124" t="str">
        <f>IF($B239="","",IFERROR(-AA239,"n.b."))</f>
        <v/>
      </c>
      <c r="BU239" s="124" t="str">
        <f>IF($B239="","",IFERROR(-AE239,"n.b."))</f>
        <v/>
      </c>
      <c r="BV239" s="124" t="str">
        <f>IF($B239="","",IFERROR(-AF239,"n.b."))</f>
        <v/>
      </c>
      <c r="BW239" s="124" t="str">
        <f>IF($B239="","",IFERROR(-AG239,"n.b."))</f>
        <v/>
      </c>
      <c r="BX239" s="124" t="str">
        <f>IF($B239="","",IFERROR(-AH239,"n.b."))</f>
        <v/>
      </c>
      <c r="BY239" s="124" t="str">
        <f>IF($B239="","",IFERROR(-AI239,"n.b."))</f>
        <v/>
      </c>
      <c r="BZ239" s="124" t="str">
        <f>IF($B239="","",IFERROR(-AJ239,"n.b."))</f>
        <v/>
      </c>
      <c r="CA239" s="124" t="str">
        <f>IF($B239="","",IFERROR(-AK239,"n.b."))</f>
        <v/>
      </c>
      <c r="CB239" s="124" t="str">
        <f>IF($B239="","",IFERROR(-AL239,"n.b."))</f>
        <v/>
      </c>
      <c r="CC239" s="124" t="str">
        <f>IF($B239="","",IFERROR(-AP239,"n.b."))</f>
        <v/>
      </c>
      <c r="CD239" s="124" t="str">
        <f>IF($B239="","",IFERROR(-AQ239,"n.b."))</f>
        <v/>
      </c>
      <c r="CE239" s="124" t="str">
        <f>IF($B239="","",IFERROR(-AR239,"n.b."))</f>
        <v/>
      </c>
      <c r="CF239" s="124" t="str">
        <f>IF($B239="","",IFERROR(-AS239,"n.b."))</f>
        <v/>
      </c>
      <c r="CG239" s="124" t="str">
        <f>IF($B239="","",IFERROR(-AT239,"n.b."))</f>
        <v/>
      </c>
      <c r="CH239" s="124" t="str">
        <f>IF($B239="","",IFERROR(-AU239,"n.b."))</f>
        <v/>
      </c>
      <c r="CI239" s="124" t="str">
        <f>IF($B239="","",IFERROR(-AV239,"n.b."))</f>
        <v/>
      </c>
      <c r="CJ239" s="124" t="str">
        <f>IF($B239="","",IFERROR(-AW239,"n.b."))</f>
        <v/>
      </c>
      <c r="CK239" s="124" t="str">
        <f>IF($B239="","",IFERROR(-AX239,"n.b."))</f>
        <v/>
      </c>
      <c r="CL239" s="124" t="str">
        <f>IF($B239="","",IFERROR(-AY239,"n.b."))</f>
        <v/>
      </c>
      <c r="CM239" s="124" t="str">
        <f>IF($B239="","",IFERROR(-AZ239,"n.b."))</f>
        <v/>
      </c>
      <c r="CN239" s="124" t="str">
        <f>IF($B239="","",IFERROR(-BA239,"n.b."))</f>
        <v/>
      </c>
      <c r="CO239" s="124" t="str">
        <f>IF($B239="","",IFERROR(-BB239,"n.b."))</f>
        <v/>
      </c>
      <c r="CP239" s="124" t="str">
        <f>IF($B239="","",IFERROR(-BC239,"n.b."))</f>
        <v/>
      </c>
      <c r="CQ239" s="124" t="str">
        <f>IF($B239="","",IFERROR(-BD239,"n.b."))</f>
        <v/>
      </c>
      <c r="CR239" s="124" t="str">
        <f>IF($B239="","",IFERROR(-BE239,"n.b."))</f>
        <v/>
      </c>
      <c r="CS239" s="124" t="str">
        <f>IF($B239="","",IFERROR(IF(OR(ABS(T239+V239+X239+Z239-AB239)&gt;P_Tol,ABS(U239+W239+Y239+AA239-AD239)&gt;P_Tol,ABS(AE239+AG239+AI239+AK239-AM239)&gt;P_Tol,ABS(AF239+AH239+AJ239+AL239-AO239)&gt;P_Tol),1,0),1))</f>
        <v/>
      </c>
      <c r="CT239" s="124" t="str">
        <f>IF($B239="","",IFERROR(IF(OR(ABS(AB239+AC239-AD239)&gt;P_Tol,ABS(AM239+AN239-AO239)&gt;P_Tol,ABS(O239+P239-Q239)&gt;P_Tol),1,0),1))</f>
        <v/>
      </c>
      <c r="CU239" s="124" t="str">
        <f>IF($B239="","",IFERROR(IF(ABS(R239-(AB239+AM239+AP239+AR239+AT239+AV239+AX239+AZ239+BB239+BD239))&gt;P_Tol,1,0),1))</f>
        <v/>
      </c>
      <c r="CV239" s="124" t="str">
        <f>IF($B239="","",IFERROR(IF(ABS(M239-(N239+O239+R239))&gt;P_Tol,1,0),1))</f>
        <v/>
      </c>
      <c r="CW239" s="124" t="str">
        <f>IF($B239="","",IF(COUNTIF(Mapping!$A$5:$A$104,B239)&gt;0,1,0))</f>
        <v/>
      </c>
      <c r="CX239" s="124" t="str">
        <f>IF($B239="","",COUNTIF($B$6:$B$505,B239))</f>
        <v/>
      </c>
      <c r="CY239" s="124" t="str">
        <f>IF($B239="","",COUNTIF(STG_Woningetalage!$B$6:$B$505,B239))</f>
        <v/>
      </c>
      <c r="CZ239" s="124" t="str">
        <f>IF($B239="","",IF(CW239=0,COUNTIF($CW$6:CW239,0),""))</f>
        <v/>
      </c>
    </row>
    <row r="240">
      <c r="A240" s="15" t="n">
        <v>236</v>
      </c>
      <c r="B240" t="str">
        <f>IF(B$3=0,"",IF(INDEX(SRC_ZPMW03!$A$1:$ZZ$501,$A240,B$3)&amp;""="","",INDEX(SRC_ZPMW03!$A$1:$ZZ$501,$A240,B$3)&amp;""))</f>
        <v/>
      </c>
      <c r="C240" t="str">
        <f>IF($B240="","",IF(C$3=0,"n.b.",INDEX(SRC_ZPMW03!$A$1:$ZZ$501,$A240,C$3)))</f>
        <v/>
      </c>
      <c r="D240" t="str">
        <f>IF($B240="","",IF(D$3=0,"n.b.",INDEX(SRC_ZPMW03!$A$1:$ZZ$501,$A240,D$3)))</f>
        <v/>
      </c>
      <c r="E240" t="str">
        <f>IF($B240="","",IF(E$3=0,"n.b.",INDEX(SRC_ZPMW03!$A$1:$ZZ$501,$A240,E$3)))</f>
        <v/>
      </c>
      <c r="F240" t="str">
        <f>IF($B240="","",IF(F$3=0,"n.b.",INDEX(SRC_ZPMW03!$A$1:$ZZ$501,$A240,F$3)))</f>
        <v/>
      </c>
      <c r="G240" t="str">
        <f>IF($B240="","",IF(G$3=0,"n.b.",INDEX(SRC_ZPMW03!$A$1:$ZZ$501,$A240,G$3)))</f>
        <v/>
      </c>
      <c r="H240" t="str">
        <f>IF($B240="","",IF(H$3=0,"n.b.",INDEX(SRC_ZPMW03!$A$1:$ZZ$501,$A240,H$3)))</f>
        <v/>
      </c>
      <c r="I240" t="str">
        <f>IF($B240="","",IF(I$3=0,"n.b.",INDEX(SRC_ZPMW03!$A$1:$ZZ$501,$A240,I$3)))</f>
        <v/>
      </c>
      <c r="J240" t="str">
        <f>IF($B240="","",IF(J$3=0,"n.b.",INDEX(SRC_ZPMW03!$A$1:$ZZ$501,$A240,J$3)))</f>
        <v/>
      </c>
      <c r="K240" t="str">
        <f>IF($B240="","",IF(K$3=0,"n.b.",INDEX(SRC_ZPMW03!$A$1:$ZZ$501,$A240,K$3)))</f>
        <v/>
      </c>
      <c r="L240" s="124" t="str">
        <f>IF($B240="","",IF(L$3=0,"n.b.",INDEX(SRC_ZPMW03!$A$1:$ZZ$501,$A240,L$3)))</f>
        <v/>
      </c>
      <c r="M240" s="124" t="str">
        <f>IF($B240="","",IF(M$3=0,"n.b.",INDEX(SRC_ZPMW03!$A$1:$ZZ$501,$A240,M$3)))</f>
        <v/>
      </c>
      <c r="N240" s="124" t="str">
        <f>IF($B240="","",IF(N$3=0,"n.b.",INDEX(SRC_ZPMW03!$A$1:$ZZ$501,$A240,N$3)))</f>
        <v/>
      </c>
      <c r="O240" s="124" t="str">
        <f>IF($B240="","",IF(O$3=0,"n.b.",INDEX(SRC_ZPMW03!$A$1:$ZZ$501,$A240,O$3)))</f>
        <v/>
      </c>
      <c r="P240" s="124" t="str">
        <f>IF($B240="","",IF(P$3=0,"n.b.",INDEX(SRC_ZPMW03!$A$1:$ZZ$501,$A240,P$3)))</f>
        <v/>
      </c>
      <c r="Q240" s="124" t="str">
        <f>IF($B240="","",IF(Q$3=0,"n.b.",INDEX(SRC_ZPMW03!$A$1:$ZZ$501,$A240,Q$3)))</f>
        <v/>
      </c>
      <c r="R240" s="124" t="str">
        <f>IF($B240="","",IF(R$3=0,"n.b.",INDEX(SRC_ZPMW03!$A$1:$ZZ$501,$A240,R$3)))</f>
        <v/>
      </c>
      <c r="S240" s="124" t="str">
        <f>IF($B240="","",IF(S$3=0,"n.b.",INDEX(SRC_ZPMW03!$A$1:$ZZ$501,$A240,S$3)))</f>
        <v/>
      </c>
      <c r="T240" s="124" t="str">
        <f>IF($B240="","",IF(T$3=0,"n.b.",INDEX(SRC_ZPMW03!$A$1:$ZZ$501,$A240,T$3)))</f>
        <v/>
      </c>
      <c r="U240" s="124" t="str">
        <f>IF($B240="","",IF(U$3=0,"n.b.",INDEX(SRC_ZPMW03!$A$1:$ZZ$501,$A240,U$3)))</f>
        <v/>
      </c>
      <c r="V240" s="124" t="str">
        <f>IF($B240="","",IF(V$3=0,"n.b.",INDEX(SRC_ZPMW03!$A$1:$ZZ$501,$A240,V$3)))</f>
        <v/>
      </c>
      <c r="W240" s="124" t="str">
        <f>IF($B240="","",IF(W$3=0,"n.b.",INDEX(SRC_ZPMW03!$A$1:$ZZ$501,$A240,W$3)))</f>
        <v/>
      </c>
      <c r="X240" s="124" t="str">
        <f>IF($B240="","",IF(X$3=0,"n.b.",INDEX(SRC_ZPMW03!$A$1:$ZZ$501,$A240,X$3)))</f>
        <v/>
      </c>
      <c r="Y240" s="124" t="str">
        <f>IF($B240="","",IF(Y$3=0,"n.b.",INDEX(SRC_ZPMW03!$A$1:$ZZ$501,$A240,Y$3)))</f>
        <v/>
      </c>
      <c r="Z240" s="124" t="str">
        <f>IF($B240="","",IF(Z$3=0,"n.b.",INDEX(SRC_ZPMW03!$A$1:$ZZ$501,$A240,Z$3)))</f>
        <v/>
      </c>
      <c r="AA240" s="124" t="str">
        <f>IF($B240="","",IF(AA$3=0,"n.b.",INDEX(SRC_ZPMW03!$A$1:$ZZ$501,$A240,AA$3)))</f>
        <v/>
      </c>
      <c r="AB240" s="124" t="str">
        <f>IF($B240="","",IF(AB$3=0,"n.b.",INDEX(SRC_ZPMW03!$A$1:$ZZ$501,$A240,AB$3)))</f>
        <v/>
      </c>
      <c r="AC240" s="124" t="str">
        <f>IF($B240="","",IF(AC$3=0,"n.b.",INDEX(SRC_ZPMW03!$A$1:$ZZ$501,$A240,AC$3)))</f>
        <v/>
      </c>
      <c r="AD240" s="124" t="str">
        <f>IF($B240="","",IF(AD$3=0,"n.b.",INDEX(SRC_ZPMW03!$A$1:$ZZ$501,$A240,AD$3)))</f>
        <v/>
      </c>
      <c r="AE240" s="124" t="str">
        <f>IF($B240="","",IF(AE$3=0,"n.b.",INDEX(SRC_ZPMW03!$A$1:$ZZ$501,$A240,AE$3)))</f>
        <v/>
      </c>
      <c r="AF240" s="124" t="str">
        <f>IF($B240="","",IF(AF$3=0,"n.b.",INDEX(SRC_ZPMW03!$A$1:$ZZ$501,$A240,AF$3)))</f>
        <v/>
      </c>
      <c r="AG240" s="124" t="str">
        <f>IF($B240="","",IF(AG$3=0,"n.b.",INDEX(SRC_ZPMW03!$A$1:$ZZ$501,$A240,AG$3)))</f>
        <v/>
      </c>
      <c r="AH240" s="124" t="str">
        <f>IF($B240="","",IF(AH$3=0,"n.b.",INDEX(SRC_ZPMW03!$A$1:$ZZ$501,$A240,AH$3)))</f>
        <v/>
      </c>
      <c r="AI240" s="124" t="str">
        <f>IF($B240="","",IF(AI$3=0,"n.b.",INDEX(SRC_ZPMW03!$A$1:$ZZ$501,$A240,AI$3)))</f>
        <v/>
      </c>
      <c r="AJ240" s="124" t="str">
        <f>IF($B240="","",IF(AJ$3=0,"n.b.",INDEX(SRC_ZPMW03!$A$1:$ZZ$501,$A240,AJ$3)))</f>
        <v/>
      </c>
      <c r="AK240" s="124" t="str">
        <f>IF($B240="","",IF(AK$3=0,"n.b.",INDEX(SRC_ZPMW03!$A$1:$ZZ$501,$A240,AK$3)))</f>
        <v/>
      </c>
      <c r="AL240" s="124" t="str">
        <f>IF($B240="","",IF(AL$3=0,"n.b.",INDEX(SRC_ZPMW03!$A$1:$ZZ$501,$A240,AL$3)))</f>
        <v/>
      </c>
      <c r="AM240" s="124" t="str">
        <f>IF($B240="","",IF(AM$3=0,"n.b.",INDEX(SRC_ZPMW03!$A$1:$ZZ$501,$A240,AM$3)))</f>
        <v/>
      </c>
      <c r="AN240" s="124" t="str">
        <f>IF($B240="","",IF(AN$3=0,"n.b.",INDEX(SRC_ZPMW03!$A$1:$ZZ$501,$A240,AN$3)))</f>
        <v/>
      </c>
      <c r="AO240" s="124" t="str">
        <f>IF($B240="","",IF(AO$3=0,"n.b.",INDEX(SRC_ZPMW03!$A$1:$ZZ$501,$A240,AO$3)))</f>
        <v/>
      </c>
      <c r="AP240" s="124" t="str">
        <f>IF($B240="","",IF(AP$3=0,"n.b.",INDEX(SRC_ZPMW03!$A$1:$ZZ$501,$A240,AP$3)))</f>
        <v/>
      </c>
      <c r="AQ240" s="124" t="str">
        <f>IF($B240="","",IF(AQ$3=0,"n.b.",INDEX(SRC_ZPMW03!$A$1:$ZZ$501,$A240,AQ$3)))</f>
        <v/>
      </c>
      <c r="AR240" s="124" t="str">
        <f>IF($B240="","",IF(AR$3=0,"n.b.",INDEX(SRC_ZPMW03!$A$1:$ZZ$501,$A240,AR$3)))</f>
        <v/>
      </c>
      <c r="AS240" s="124" t="str">
        <f>IF($B240="","",IF(AS$3=0,"n.b.",INDEX(SRC_ZPMW03!$A$1:$ZZ$501,$A240,AS$3)))</f>
        <v/>
      </c>
      <c r="AT240" s="124" t="str">
        <f>IF($B240="","",IF(AT$3=0,"n.b.",INDEX(SRC_ZPMW03!$A$1:$ZZ$501,$A240,AT$3)))</f>
        <v/>
      </c>
      <c r="AU240" s="124" t="str">
        <f>IF($B240="","",IF(AU$3=0,"n.b.",INDEX(SRC_ZPMW03!$A$1:$ZZ$501,$A240,AU$3)))</f>
        <v/>
      </c>
      <c r="AV240" s="124" t="str">
        <f>IF($B240="","",IF(AV$3=0,"n.b.",INDEX(SRC_ZPMW03!$A$1:$ZZ$501,$A240,AV$3)))</f>
        <v/>
      </c>
      <c r="AW240" s="124" t="str">
        <f>IF($B240="","",IF(AW$3=0,"n.b.",INDEX(SRC_ZPMW03!$A$1:$ZZ$501,$A240,AW$3)))</f>
        <v/>
      </c>
      <c r="AX240" s="124" t="str">
        <f>IF($B240="","",IF(AX$3=0,"n.b.",INDEX(SRC_ZPMW03!$A$1:$ZZ$501,$A240,AX$3)))</f>
        <v/>
      </c>
      <c r="AY240" s="124" t="str">
        <f>IF($B240="","",IF(AY$3=0,"n.b.",INDEX(SRC_ZPMW03!$A$1:$ZZ$501,$A240,AY$3)))</f>
        <v/>
      </c>
      <c r="AZ240" s="124" t="str">
        <f>IF($B240="","",IF(AZ$3=0,"n.b.",INDEX(SRC_ZPMW03!$A$1:$ZZ$501,$A240,AZ$3)))</f>
        <v/>
      </c>
      <c r="BA240" s="124" t="str">
        <f>IF($B240="","",IF(BA$3=0,"n.b.",INDEX(SRC_ZPMW03!$A$1:$ZZ$501,$A240,BA$3)))</f>
        <v/>
      </c>
      <c r="BB240" s="124" t="str">
        <f>IF($B240="","",IF(BB$3=0,"n.b.",INDEX(SRC_ZPMW03!$A$1:$ZZ$501,$A240,BB$3)))</f>
        <v/>
      </c>
      <c r="BC240" s="124" t="str">
        <f>IF($B240="","",IF(BC$3=0,"n.b.",INDEX(SRC_ZPMW03!$A$1:$ZZ$501,$A240,BC$3)))</f>
        <v/>
      </c>
      <c r="BD240" s="124" t="str">
        <f>IF($B240="","",IF(BD$3=0,"n.b.",INDEX(SRC_ZPMW03!$A$1:$ZZ$501,$A240,BD$3)))</f>
        <v/>
      </c>
      <c r="BE240" s="124" t="str">
        <f>IF($B240="","",IF(BE$3=0,"n.b.",INDEX(SRC_ZPMW03!$A$1:$ZZ$501,$A240,BE$3)))</f>
        <v/>
      </c>
      <c r="BF240" s="124" t="str">
        <f>IF($B240="","",IF(BF$3=0,"n.b.",INDEX(SRC_ZPMW03!$A$1:$ZZ$501,$A240,BF$3)))</f>
        <v/>
      </c>
      <c r="BG240" t="str">
        <f>IF($B240="","",IF(BG$3=0,"n.b.",INDEX(SRC_ZPMW03!$A$1:$ZZ$501,$A240,BG$3)))</f>
        <v/>
      </c>
      <c r="BH240" t="str">
        <f>IF($B240="","",IF(BH$3=0,"n.b.",INDEX(SRC_ZPMW03!$A$1:$ZZ$501,$A240,BH$3)))</f>
        <v/>
      </c>
      <c r="BI240" t="str">
        <f>IF($B240="","",IF(BI$3=0,"n.b.",INDEX(SRC_ZPMW03!$A$1:$ZZ$501,$A240,BI$3)))</f>
        <v/>
      </c>
      <c r="BJ240" t="str">
        <f>IF($B240="","",IF(BJ$3=0,"n.b.",INDEX(SRC_ZPMW03!$A$1:$ZZ$501,$A240,BJ$3)))</f>
        <v/>
      </c>
      <c r="BK240" s="124" t="str">
        <f>IF($B240="","",IFERROR(-O240,"n.b."))</f>
        <v/>
      </c>
      <c r="BL240" s="124" t="str">
        <f>IF($B240="","",IFERROR(-Q240,"n.b."))</f>
        <v/>
      </c>
      <c r="BM240" s="124" t="str">
        <f>IF($B240="","",IFERROR(-AB240,"n.b."))</f>
        <v/>
      </c>
      <c r="BN240" s="124" t="str">
        <f>IF($B240="","",IFERROR(-AD240,"n.b."))</f>
        <v/>
      </c>
      <c r="BO240" s="124" t="str">
        <f>IF($B240="","",IFERROR(BK240+BM240,"n.b."))</f>
        <v/>
      </c>
      <c r="BP240" s="124" t="str">
        <f>IF($B240="","",IFERROR(BL240+BN240,"n.b."))</f>
        <v/>
      </c>
      <c r="BQ240" s="124" t="str">
        <f>IF($B240="","",IFERROR(-AM240,"n.b."))</f>
        <v/>
      </c>
      <c r="BR240" s="124" t="str">
        <f>IF($B240="","",IFERROR(-AO240,"n.b."))</f>
        <v/>
      </c>
      <c r="BS240" s="124" t="str">
        <f>IF($B240="","",IFERROR(-Z240,"n.b."))</f>
        <v/>
      </c>
      <c r="BT240" s="124" t="str">
        <f>IF($B240="","",IFERROR(-AA240,"n.b."))</f>
        <v/>
      </c>
      <c r="BU240" s="124" t="str">
        <f>IF($B240="","",IFERROR(-AE240,"n.b."))</f>
        <v/>
      </c>
      <c r="BV240" s="124" t="str">
        <f>IF($B240="","",IFERROR(-AF240,"n.b."))</f>
        <v/>
      </c>
      <c r="BW240" s="124" t="str">
        <f>IF($B240="","",IFERROR(-AG240,"n.b."))</f>
        <v/>
      </c>
      <c r="BX240" s="124" t="str">
        <f>IF($B240="","",IFERROR(-AH240,"n.b."))</f>
        <v/>
      </c>
      <c r="BY240" s="124" t="str">
        <f>IF($B240="","",IFERROR(-AI240,"n.b."))</f>
        <v/>
      </c>
      <c r="BZ240" s="124" t="str">
        <f>IF($B240="","",IFERROR(-AJ240,"n.b."))</f>
        <v/>
      </c>
      <c r="CA240" s="124" t="str">
        <f>IF($B240="","",IFERROR(-AK240,"n.b."))</f>
        <v/>
      </c>
      <c r="CB240" s="124" t="str">
        <f>IF($B240="","",IFERROR(-AL240,"n.b."))</f>
        <v/>
      </c>
      <c r="CC240" s="124" t="str">
        <f>IF($B240="","",IFERROR(-AP240,"n.b."))</f>
        <v/>
      </c>
      <c r="CD240" s="124" t="str">
        <f>IF($B240="","",IFERROR(-AQ240,"n.b."))</f>
        <v/>
      </c>
      <c r="CE240" s="124" t="str">
        <f>IF($B240="","",IFERROR(-AR240,"n.b."))</f>
        <v/>
      </c>
      <c r="CF240" s="124" t="str">
        <f>IF($B240="","",IFERROR(-AS240,"n.b."))</f>
        <v/>
      </c>
      <c r="CG240" s="124" t="str">
        <f>IF($B240="","",IFERROR(-AT240,"n.b."))</f>
        <v/>
      </c>
      <c r="CH240" s="124" t="str">
        <f>IF($B240="","",IFERROR(-AU240,"n.b."))</f>
        <v/>
      </c>
      <c r="CI240" s="124" t="str">
        <f>IF($B240="","",IFERROR(-AV240,"n.b."))</f>
        <v/>
      </c>
      <c r="CJ240" s="124" t="str">
        <f>IF($B240="","",IFERROR(-AW240,"n.b."))</f>
        <v/>
      </c>
      <c r="CK240" s="124" t="str">
        <f>IF($B240="","",IFERROR(-AX240,"n.b."))</f>
        <v/>
      </c>
      <c r="CL240" s="124" t="str">
        <f>IF($B240="","",IFERROR(-AY240,"n.b."))</f>
        <v/>
      </c>
      <c r="CM240" s="124" t="str">
        <f>IF($B240="","",IFERROR(-AZ240,"n.b."))</f>
        <v/>
      </c>
      <c r="CN240" s="124" t="str">
        <f>IF($B240="","",IFERROR(-BA240,"n.b."))</f>
        <v/>
      </c>
      <c r="CO240" s="124" t="str">
        <f>IF($B240="","",IFERROR(-BB240,"n.b."))</f>
        <v/>
      </c>
      <c r="CP240" s="124" t="str">
        <f>IF($B240="","",IFERROR(-BC240,"n.b."))</f>
        <v/>
      </c>
      <c r="CQ240" s="124" t="str">
        <f>IF($B240="","",IFERROR(-BD240,"n.b."))</f>
        <v/>
      </c>
      <c r="CR240" s="124" t="str">
        <f>IF($B240="","",IFERROR(-BE240,"n.b."))</f>
        <v/>
      </c>
      <c r="CS240" s="124" t="str">
        <f>IF($B240="","",IFERROR(IF(OR(ABS(T240+V240+X240+Z240-AB240)&gt;P_Tol,ABS(U240+W240+Y240+AA240-AD240)&gt;P_Tol,ABS(AE240+AG240+AI240+AK240-AM240)&gt;P_Tol,ABS(AF240+AH240+AJ240+AL240-AO240)&gt;P_Tol),1,0),1))</f>
        <v/>
      </c>
      <c r="CT240" s="124" t="str">
        <f>IF($B240="","",IFERROR(IF(OR(ABS(AB240+AC240-AD240)&gt;P_Tol,ABS(AM240+AN240-AO240)&gt;P_Tol,ABS(O240+P240-Q240)&gt;P_Tol),1,0),1))</f>
        <v/>
      </c>
      <c r="CU240" s="124" t="str">
        <f>IF($B240="","",IFERROR(IF(ABS(R240-(AB240+AM240+AP240+AR240+AT240+AV240+AX240+AZ240+BB240+BD240))&gt;P_Tol,1,0),1))</f>
        <v/>
      </c>
      <c r="CV240" s="124" t="str">
        <f>IF($B240="","",IFERROR(IF(ABS(M240-(N240+O240+R240))&gt;P_Tol,1,0),1))</f>
        <v/>
      </c>
      <c r="CW240" s="124" t="str">
        <f>IF($B240="","",IF(COUNTIF(Mapping!$A$5:$A$104,B240)&gt;0,1,0))</f>
        <v/>
      </c>
      <c r="CX240" s="124" t="str">
        <f>IF($B240="","",COUNTIF($B$6:$B$505,B240))</f>
        <v/>
      </c>
      <c r="CY240" s="124" t="str">
        <f>IF($B240="","",COUNTIF(STG_Woningetalage!$B$6:$B$505,B240))</f>
        <v/>
      </c>
      <c r="CZ240" s="124" t="str">
        <f>IF($B240="","",IF(CW240=0,COUNTIF($CW$6:CW240,0),""))</f>
        <v/>
      </c>
    </row>
    <row r="241">
      <c r="A241" s="15" t="n">
        <v>237</v>
      </c>
      <c r="B241" t="str">
        <f>IF(B$3=0,"",IF(INDEX(SRC_ZPMW03!$A$1:$ZZ$501,$A241,B$3)&amp;""="","",INDEX(SRC_ZPMW03!$A$1:$ZZ$501,$A241,B$3)&amp;""))</f>
        <v/>
      </c>
      <c r="C241" t="str">
        <f>IF($B241="","",IF(C$3=0,"n.b.",INDEX(SRC_ZPMW03!$A$1:$ZZ$501,$A241,C$3)))</f>
        <v/>
      </c>
      <c r="D241" t="str">
        <f>IF($B241="","",IF(D$3=0,"n.b.",INDEX(SRC_ZPMW03!$A$1:$ZZ$501,$A241,D$3)))</f>
        <v/>
      </c>
      <c r="E241" t="str">
        <f>IF($B241="","",IF(E$3=0,"n.b.",INDEX(SRC_ZPMW03!$A$1:$ZZ$501,$A241,E$3)))</f>
        <v/>
      </c>
      <c r="F241" t="str">
        <f>IF($B241="","",IF(F$3=0,"n.b.",INDEX(SRC_ZPMW03!$A$1:$ZZ$501,$A241,F$3)))</f>
        <v/>
      </c>
      <c r="G241" t="str">
        <f>IF($B241="","",IF(G$3=0,"n.b.",INDEX(SRC_ZPMW03!$A$1:$ZZ$501,$A241,G$3)))</f>
        <v/>
      </c>
      <c r="H241" t="str">
        <f>IF($B241="","",IF(H$3=0,"n.b.",INDEX(SRC_ZPMW03!$A$1:$ZZ$501,$A241,H$3)))</f>
        <v/>
      </c>
      <c r="I241" t="str">
        <f>IF($B241="","",IF(I$3=0,"n.b.",INDEX(SRC_ZPMW03!$A$1:$ZZ$501,$A241,I$3)))</f>
        <v/>
      </c>
      <c r="J241" t="str">
        <f>IF($B241="","",IF(J$3=0,"n.b.",INDEX(SRC_ZPMW03!$A$1:$ZZ$501,$A241,J$3)))</f>
        <v/>
      </c>
      <c r="K241" t="str">
        <f>IF($B241="","",IF(K$3=0,"n.b.",INDEX(SRC_ZPMW03!$A$1:$ZZ$501,$A241,K$3)))</f>
        <v/>
      </c>
      <c r="L241" s="124" t="str">
        <f>IF($B241="","",IF(L$3=0,"n.b.",INDEX(SRC_ZPMW03!$A$1:$ZZ$501,$A241,L$3)))</f>
        <v/>
      </c>
      <c r="M241" s="124" t="str">
        <f>IF($B241="","",IF(M$3=0,"n.b.",INDEX(SRC_ZPMW03!$A$1:$ZZ$501,$A241,M$3)))</f>
        <v/>
      </c>
      <c r="N241" s="124" t="str">
        <f>IF($B241="","",IF(N$3=0,"n.b.",INDEX(SRC_ZPMW03!$A$1:$ZZ$501,$A241,N$3)))</f>
        <v/>
      </c>
      <c r="O241" s="124" t="str">
        <f>IF($B241="","",IF(O$3=0,"n.b.",INDEX(SRC_ZPMW03!$A$1:$ZZ$501,$A241,O$3)))</f>
        <v/>
      </c>
      <c r="P241" s="124" t="str">
        <f>IF($B241="","",IF(P$3=0,"n.b.",INDEX(SRC_ZPMW03!$A$1:$ZZ$501,$A241,P$3)))</f>
        <v/>
      </c>
      <c r="Q241" s="124" t="str">
        <f>IF($B241="","",IF(Q$3=0,"n.b.",INDEX(SRC_ZPMW03!$A$1:$ZZ$501,$A241,Q$3)))</f>
        <v/>
      </c>
      <c r="R241" s="124" t="str">
        <f>IF($B241="","",IF(R$3=0,"n.b.",INDEX(SRC_ZPMW03!$A$1:$ZZ$501,$A241,R$3)))</f>
        <v/>
      </c>
      <c r="S241" s="124" t="str">
        <f>IF($B241="","",IF(S$3=0,"n.b.",INDEX(SRC_ZPMW03!$A$1:$ZZ$501,$A241,S$3)))</f>
        <v/>
      </c>
      <c r="T241" s="124" t="str">
        <f>IF($B241="","",IF(T$3=0,"n.b.",INDEX(SRC_ZPMW03!$A$1:$ZZ$501,$A241,T$3)))</f>
        <v/>
      </c>
      <c r="U241" s="124" t="str">
        <f>IF($B241="","",IF(U$3=0,"n.b.",INDEX(SRC_ZPMW03!$A$1:$ZZ$501,$A241,U$3)))</f>
        <v/>
      </c>
      <c r="V241" s="124" t="str">
        <f>IF($B241="","",IF(V$3=0,"n.b.",INDEX(SRC_ZPMW03!$A$1:$ZZ$501,$A241,V$3)))</f>
        <v/>
      </c>
      <c r="W241" s="124" t="str">
        <f>IF($B241="","",IF(W$3=0,"n.b.",INDEX(SRC_ZPMW03!$A$1:$ZZ$501,$A241,W$3)))</f>
        <v/>
      </c>
      <c r="X241" s="124" t="str">
        <f>IF($B241="","",IF(X$3=0,"n.b.",INDEX(SRC_ZPMW03!$A$1:$ZZ$501,$A241,X$3)))</f>
        <v/>
      </c>
      <c r="Y241" s="124" t="str">
        <f>IF($B241="","",IF(Y$3=0,"n.b.",INDEX(SRC_ZPMW03!$A$1:$ZZ$501,$A241,Y$3)))</f>
        <v/>
      </c>
      <c r="Z241" s="124" t="str">
        <f>IF($B241="","",IF(Z$3=0,"n.b.",INDEX(SRC_ZPMW03!$A$1:$ZZ$501,$A241,Z$3)))</f>
        <v/>
      </c>
      <c r="AA241" s="124" t="str">
        <f>IF($B241="","",IF(AA$3=0,"n.b.",INDEX(SRC_ZPMW03!$A$1:$ZZ$501,$A241,AA$3)))</f>
        <v/>
      </c>
      <c r="AB241" s="124" t="str">
        <f>IF($B241="","",IF(AB$3=0,"n.b.",INDEX(SRC_ZPMW03!$A$1:$ZZ$501,$A241,AB$3)))</f>
        <v/>
      </c>
      <c r="AC241" s="124" t="str">
        <f>IF($B241="","",IF(AC$3=0,"n.b.",INDEX(SRC_ZPMW03!$A$1:$ZZ$501,$A241,AC$3)))</f>
        <v/>
      </c>
      <c r="AD241" s="124" t="str">
        <f>IF($B241="","",IF(AD$3=0,"n.b.",INDEX(SRC_ZPMW03!$A$1:$ZZ$501,$A241,AD$3)))</f>
        <v/>
      </c>
      <c r="AE241" s="124" t="str">
        <f>IF($B241="","",IF(AE$3=0,"n.b.",INDEX(SRC_ZPMW03!$A$1:$ZZ$501,$A241,AE$3)))</f>
        <v/>
      </c>
      <c r="AF241" s="124" t="str">
        <f>IF($B241="","",IF(AF$3=0,"n.b.",INDEX(SRC_ZPMW03!$A$1:$ZZ$501,$A241,AF$3)))</f>
        <v/>
      </c>
      <c r="AG241" s="124" t="str">
        <f>IF($B241="","",IF(AG$3=0,"n.b.",INDEX(SRC_ZPMW03!$A$1:$ZZ$501,$A241,AG$3)))</f>
        <v/>
      </c>
      <c r="AH241" s="124" t="str">
        <f>IF($B241="","",IF(AH$3=0,"n.b.",INDEX(SRC_ZPMW03!$A$1:$ZZ$501,$A241,AH$3)))</f>
        <v/>
      </c>
      <c r="AI241" s="124" t="str">
        <f>IF($B241="","",IF(AI$3=0,"n.b.",INDEX(SRC_ZPMW03!$A$1:$ZZ$501,$A241,AI$3)))</f>
        <v/>
      </c>
      <c r="AJ241" s="124" t="str">
        <f>IF($B241="","",IF(AJ$3=0,"n.b.",INDEX(SRC_ZPMW03!$A$1:$ZZ$501,$A241,AJ$3)))</f>
        <v/>
      </c>
      <c r="AK241" s="124" t="str">
        <f>IF($B241="","",IF(AK$3=0,"n.b.",INDEX(SRC_ZPMW03!$A$1:$ZZ$501,$A241,AK$3)))</f>
        <v/>
      </c>
      <c r="AL241" s="124" t="str">
        <f>IF($B241="","",IF(AL$3=0,"n.b.",INDEX(SRC_ZPMW03!$A$1:$ZZ$501,$A241,AL$3)))</f>
        <v/>
      </c>
      <c r="AM241" s="124" t="str">
        <f>IF($B241="","",IF(AM$3=0,"n.b.",INDEX(SRC_ZPMW03!$A$1:$ZZ$501,$A241,AM$3)))</f>
        <v/>
      </c>
      <c r="AN241" s="124" t="str">
        <f>IF($B241="","",IF(AN$3=0,"n.b.",INDEX(SRC_ZPMW03!$A$1:$ZZ$501,$A241,AN$3)))</f>
        <v/>
      </c>
      <c r="AO241" s="124" t="str">
        <f>IF($B241="","",IF(AO$3=0,"n.b.",INDEX(SRC_ZPMW03!$A$1:$ZZ$501,$A241,AO$3)))</f>
        <v/>
      </c>
      <c r="AP241" s="124" t="str">
        <f>IF($B241="","",IF(AP$3=0,"n.b.",INDEX(SRC_ZPMW03!$A$1:$ZZ$501,$A241,AP$3)))</f>
        <v/>
      </c>
      <c r="AQ241" s="124" t="str">
        <f>IF($B241="","",IF(AQ$3=0,"n.b.",INDEX(SRC_ZPMW03!$A$1:$ZZ$501,$A241,AQ$3)))</f>
        <v/>
      </c>
      <c r="AR241" s="124" t="str">
        <f>IF($B241="","",IF(AR$3=0,"n.b.",INDEX(SRC_ZPMW03!$A$1:$ZZ$501,$A241,AR$3)))</f>
        <v/>
      </c>
      <c r="AS241" s="124" t="str">
        <f>IF($B241="","",IF(AS$3=0,"n.b.",INDEX(SRC_ZPMW03!$A$1:$ZZ$501,$A241,AS$3)))</f>
        <v/>
      </c>
      <c r="AT241" s="124" t="str">
        <f>IF($B241="","",IF(AT$3=0,"n.b.",INDEX(SRC_ZPMW03!$A$1:$ZZ$501,$A241,AT$3)))</f>
        <v/>
      </c>
      <c r="AU241" s="124" t="str">
        <f>IF($B241="","",IF(AU$3=0,"n.b.",INDEX(SRC_ZPMW03!$A$1:$ZZ$501,$A241,AU$3)))</f>
        <v/>
      </c>
      <c r="AV241" s="124" t="str">
        <f>IF($B241="","",IF(AV$3=0,"n.b.",INDEX(SRC_ZPMW03!$A$1:$ZZ$501,$A241,AV$3)))</f>
        <v/>
      </c>
      <c r="AW241" s="124" t="str">
        <f>IF($B241="","",IF(AW$3=0,"n.b.",INDEX(SRC_ZPMW03!$A$1:$ZZ$501,$A241,AW$3)))</f>
        <v/>
      </c>
      <c r="AX241" s="124" t="str">
        <f>IF($B241="","",IF(AX$3=0,"n.b.",INDEX(SRC_ZPMW03!$A$1:$ZZ$501,$A241,AX$3)))</f>
        <v/>
      </c>
      <c r="AY241" s="124" t="str">
        <f>IF($B241="","",IF(AY$3=0,"n.b.",INDEX(SRC_ZPMW03!$A$1:$ZZ$501,$A241,AY$3)))</f>
        <v/>
      </c>
      <c r="AZ241" s="124" t="str">
        <f>IF($B241="","",IF(AZ$3=0,"n.b.",INDEX(SRC_ZPMW03!$A$1:$ZZ$501,$A241,AZ$3)))</f>
        <v/>
      </c>
      <c r="BA241" s="124" t="str">
        <f>IF($B241="","",IF(BA$3=0,"n.b.",INDEX(SRC_ZPMW03!$A$1:$ZZ$501,$A241,BA$3)))</f>
        <v/>
      </c>
      <c r="BB241" s="124" t="str">
        <f>IF($B241="","",IF(BB$3=0,"n.b.",INDEX(SRC_ZPMW03!$A$1:$ZZ$501,$A241,BB$3)))</f>
        <v/>
      </c>
      <c r="BC241" s="124" t="str">
        <f>IF($B241="","",IF(BC$3=0,"n.b.",INDEX(SRC_ZPMW03!$A$1:$ZZ$501,$A241,BC$3)))</f>
        <v/>
      </c>
      <c r="BD241" s="124" t="str">
        <f>IF($B241="","",IF(BD$3=0,"n.b.",INDEX(SRC_ZPMW03!$A$1:$ZZ$501,$A241,BD$3)))</f>
        <v/>
      </c>
      <c r="BE241" s="124" t="str">
        <f>IF($B241="","",IF(BE$3=0,"n.b.",INDEX(SRC_ZPMW03!$A$1:$ZZ$501,$A241,BE$3)))</f>
        <v/>
      </c>
      <c r="BF241" s="124" t="str">
        <f>IF($B241="","",IF(BF$3=0,"n.b.",INDEX(SRC_ZPMW03!$A$1:$ZZ$501,$A241,BF$3)))</f>
        <v/>
      </c>
      <c r="BG241" t="str">
        <f>IF($B241="","",IF(BG$3=0,"n.b.",INDEX(SRC_ZPMW03!$A$1:$ZZ$501,$A241,BG$3)))</f>
        <v/>
      </c>
      <c r="BH241" t="str">
        <f>IF($B241="","",IF(BH$3=0,"n.b.",INDEX(SRC_ZPMW03!$A$1:$ZZ$501,$A241,BH$3)))</f>
        <v/>
      </c>
      <c r="BI241" t="str">
        <f>IF($B241="","",IF(BI$3=0,"n.b.",INDEX(SRC_ZPMW03!$A$1:$ZZ$501,$A241,BI$3)))</f>
        <v/>
      </c>
      <c r="BJ241" t="str">
        <f>IF($B241="","",IF(BJ$3=0,"n.b.",INDEX(SRC_ZPMW03!$A$1:$ZZ$501,$A241,BJ$3)))</f>
        <v/>
      </c>
      <c r="BK241" s="124" t="str">
        <f>IF($B241="","",IFERROR(-O241,"n.b."))</f>
        <v/>
      </c>
      <c r="BL241" s="124" t="str">
        <f>IF($B241="","",IFERROR(-Q241,"n.b."))</f>
        <v/>
      </c>
      <c r="BM241" s="124" t="str">
        <f>IF($B241="","",IFERROR(-AB241,"n.b."))</f>
        <v/>
      </c>
      <c r="BN241" s="124" t="str">
        <f>IF($B241="","",IFERROR(-AD241,"n.b."))</f>
        <v/>
      </c>
      <c r="BO241" s="124" t="str">
        <f>IF($B241="","",IFERROR(BK241+BM241,"n.b."))</f>
        <v/>
      </c>
      <c r="BP241" s="124" t="str">
        <f>IF($B241="","",IFERROR(BL241+BN241,"n.b."))</f>
        <v/>
      </c>
      <c r="BQ241" s="124" t="str">
        <f>IF($B241="","",IFERROR(-AM241,"n.b."))</f>
        <v/>
      </c>
      <c r="BR241" s="124" t="str">
        <f>IF($B241="","",IFERROR(-AO241,"n.b."))</f>
        <v/>
      </c>
      <c r="BS241" s="124" t="str">
        <f>IF($B241="","",IFERROR(-Z241,"n.b."))</f>
        <v/>
      </c>
      <c r="BT241" s="124" t="str">
        <f>IF($B241="","",IFERROR(-AA241,"n.b."))</f>
        <v/>
      </c>
      <c r="BU241" s="124" t="str">
        <f>IF($B241="","",IFERROR(-AE241,"n.b."))</f>
        <v/>
      </c>
      <c r="BV241" s="124" t="str">
        <f>IF($B241="","",IFERROR(-AF241,"n.b."))</f>
        <v/>
      </c>
      <c r="BW241" s="124" t="str">
        <f>IF($B241="","",IFERROR(-AG241,"n.b."))</f>
        <v/>
      </c>
      <c r="BX241" s="124" t="str">
        <f>IF($B241="","",IFERROR(-AH241,"n.b."))</f>
        <v/>
      </c>
      <c r="BY241" s="124" t="str">
        <f>IF($B241="","",IFERROR(-AI241,"n.b."))</f>
        <v/>
      </c>
      <c r="BZ241" s="124" t="str">
        <f>IF($B241="","",IFERROR(-AJ241,"n.b."))</f>
        <v/>
      </c>
      <c r="CA241" s="124" t="str">
        <f>IF($B241="","",IFERROR(-AK241,"n.b."))</f>
        <v/>
      </c>
      <c r="CB241" s="124" t="str">
        <f>IF($B241="","",IFERROR(-AL241,"n.b."))</f>
        <v/>
      </c>
      <c r="CC241" s="124" t="str">
        <f>IF($B241="","",IFERROR(-AP241,"n.b."))</f>
        <v/>
      </c>
      <c r="CD241" s="124" t="str">
        <f>IF($B241="","",IFERROR(-AQ241,"n.b."))</f>
        <v/>
      </c>
      <c r="CE241" s="124" t="str">
        <f>IF($B241="","",IFERROR(-AR241,"n.b."))</f>
        <v/>
      </c>
      <c r="CF241" s="124" t="str">
        <f>IF($B241="","",IFERROR(-AS241,"n.b."))</f>
        <v/>
      </c>
      <c r="CG241" s="124" t="str">
        <f>IF($B241="","",IFERROR(-AT241,"n.b."))</f>
        <v/>
      </c>
      <c r="CH241" s="124" t="str">
        <f>IF($B241="","",IFERROR(-AU241,"n.b."))</f>
        <v/>
      </c>
      <c r="CI241" s="124" t="str">
        <f>IF($B241="","",IFERROR(-AV241,"n.b."))</f>
        <v/>
      </c>
      <c r="CJ241" s="124" t="str">
        <f>IF($B241="","",IFERROR(-AW241,"n.b."))</f>
        <v/>
      </c>
      <c r="CK241" s="124" t="str">
        <f>IF($B241="","",IFERROR(-AX241,"n.b."))</f>
        <v/>
      </c>
      <c r="CL241" s="124" t="str">
        <f>IF($B241="","",IFERROR(-AY241,"n.b."))</f>
        <v/>
      </c>
      <c r="CM241" s="124" t="str">
        <f>IF($B241="","",IFERROR(-AZ241,"n.b."))</f>
        <v/>
      </c>
      <c r="CN241" s="124" t="str">
        <f>IF($B241="","",IFERROR(-BA241,"n.b."))</f>
        <v/>
      </c>
      <c r="CO241" s="124" t="str">
        <f>IF($B241="","",IFERROR(-BB241,"n.b."))</f>
        <v/>
      </c>
      <c r="CP241" s="124" t="str">
        <f>IF($B241="","",IFERROR(-BC241,"n.b."))</f>
        <v/>
      </c>
      <c r="CQ241" s="124" t="str">
        <f>IF($B241="","",IFERROR(-BD241,"n.b."))</f>
        <v/>
      </c>
      <c r="CR241" s="124" t="str">
        <f>IF($B241="","",IFERROR(-BE241,"n.b."))</f>
        <v/>
      </c>
      <c r="CS241" s="124" t="str">
        <f>IF($B241="","",IFERROR(IF(OR(ABS(T241+V241+X241+Z241-AB241)&gt;P_Tol,ABS(U241+W241+Y241+AA241-AD241)&gt;P_Tol,ABS(AE241+AG241+AI241+AK241-AM241)&gt;P_Tol,ABS(AF241+AH241+AJ241+AL241-AO241)&gt;P_Tol),1,0),1))</f>
        <v/>
      </c>
      <c r="CT241" s="124" t="str">
        <f>IF($B241="","",IFERROR(IF(OR(ABS(AB241+AC241-AD241)&gt;P_Tol,ABS(AM241+AN241-AO241)&gt;P_Tol,ABS(O241+P241-Q241)&gt;P_Tol),1,0),1))</f>
        <v/>
      </c>
      <c r="CU241" s="124" t="str">
        <f>IF($B241="","",IFERROR(IF(ABS(R241-(AB241+AM241+AP241+AR241+AT241+AV241+AX241+AZ241+BB241+BD241))&gt;P_Tol,1,0),1))</f>
        <v/>
      </c>
      <c r="CV241" s="124" t="str">
        <f>IF($B241="","",IFERROR(IF(ABS(M241-(N241+O241+R241))&gt;P_Tol,1,0),1))</f>
        <v/>
      </c>
      <c r="CW241" s="124" t="str">
        <f>IF($B241="","",IF(COUNTIF(Mapping!$A$5:$A$104,B241)&gt;0,1,0))</f>
        <v/>
      </c>
      <c r="CX241" s="124" t="str">
        <f>IF($B241="","",COUNTIF($B$6:$B$505,B241))</f>
        <v/>
      </c>
      <c r="CY241" s="124" t="str">
        <f>IF($B241="","",COUNTIF(STG_Woningetalage!$B$6:$B$505,B241))</f>
        <v/>
      </c>
      <c r="CZ241" s="124" t="str">
        <f>IF($B241="","",IF(CW241=0,COUNTIF($CW$6:CW241,0),""))</f>
        <v/>
      </c>
    </row>
    <row r="242">
      <c r="A242" s="15" t="n">
        <v>238</v>
      </c>
      <c r="B242" t="str">
        <f>IF(B$3=0,"",IF(INDEX(SRC_ZPMW03!$A$1:$ZZ$501,$A242,B$3)&amp;""="","",INDEX(SRC_ZPMW03!$A$1:$ZZ$501,$A242,B$3)&amp;""))</f>
        <v/>
      </c>
      <c r="C242" t="str">
        <f>IF($B242="","",IF(C$3=0,"n.b.",INDEX(SRC_ZPMW03!$A$1:$ZZ$501,$A242,C$3)))</f>
        <v/>
      </c>
      <c r="D242" t="str">
        <f>IF($B242="","",IF(D$3=0,"n.b.",INDEX(SRC_ZPMW03!$A$1:$ZZ$501,$A242,D$3)))</f>
        <v/>
      </c>
      <c r="E242" t="str">
        <f>IF($B242="","",IF(E$3=0,"n.b.",INDEX(SRC_ZPMW03!$A$1:$ZZ$501,$A242,E$3)))</f>
        <v/>
      </c>
      <c r="F242" t="str">
        <f>IF($B242="","",IF(F$3=0,"n.b.",INDEX(SRC_ZPMW03!$A$1:$ZZ$501,$A242,F$3)))</f>
        <v/>
      </c>
      <c r="G242" t="str">
        <f>IF($B242="","",IF(G$3=0,"n.b.",INDEX(SRC_ZPMW03!$A$1:$ZZ$501,$A242,G$3)))</f>
        <v/>
      </c>
      <c r="H242" t="str">
        <f>IF($B242="","",IF(H$3=0,"n.b.",INDEX(SRC_ZPMW03!$A$1:$ZZ$501,$A242,H$3)))</f>
        <v/>
      </c>
      <c r="I242" t="str">
        <f>IF($B242="","",IF(I$3=0,"n.b.",INDEX(SRC_ZPMW03!$A$1:$ZZ$501,$A242,I$3)))</f>
        <v/>
      </c>
      <c r="J242" t="str">
        <f>IF($B242="","",IF(J$3=0,"n.b.",INDEX(SRC_ZPMW03!$A$1:$ZZ$501,$A242,J$3)))</f>
        <v/>
      </c>
      <c r="K242" t="str">
        <f>IF($B242="","",IF(K$3=0,"n.b.",INDEX(SRC_ZPMW03!$A$1:$ZZ$501,$A242,K$3)))</f>
        <v/>
      </c>
      <c r="L242" s="124" t="str">
        <f>IF($B242="","",IF(L$3=0,"n.b.",INDEX(SRC_ZPMW03!$A$1:$ZZ$501,$A242,L$3)))</f>
        <v/>
      </c>
      <c r="M242" s="124" t="str">
        <f>IF($B242="","",IF(M$3=0,"n.b.",INDEX(SRC_ZPMW03!$A$1:$ZZ$501,$A242,M$3)))</f>
        <v/>
      </c>
      <c r="N242" s="124" t="str">
        <f>IF($B242="","",IF(N$3=0,"n.b.",INDEX(SRC_ZPMW03!$A$1:$ZZ$501,$A242,N$3)))</f>
        <v/>
      </c>
      <c r="O242" s="124" t="str">
        <f>IF($B242="","",IF(O$3=0,"n.b.",INDEX(SRC_ZPMW03!$A$1:$ZZ$501,$A242,O$3)))</f>
        <v/>
      </c>
      <c r="P242" s="124" t="str">
        <f>IF($B242="","",IF(P$3=0,"n.b.",INDEX(SRC_ZPMW03!$A$1:$ZZ$501,$A242,P$3)))</f>
        <v/>
      </c>
      <c r="Q242" s="124" t="str">
        <f>IF($B242="","",IF(Q$3=0,"n.b.",INDEX(SRC_ZPMW03!$A$1:$ZZ$501,$A242,Q$3)))</f>
        <v/>
      </c>
      <c r="R242" s="124" t="str">
        <f>IF($B242="","",IF(R$3=0,"n.b.",INDEX(SRC_ZPMW03!$A$1:$ZZ$501,$A242,R$3)))</f>
        <v/>
      </c>
      <c r="S242" s="124" t="str">
        <f>IF($B242="","",IF(S$3=0,"n.b.",INDEX(SRC_ZPMW03!$A$1:$ZZ$501,$A242,S$3)))</f>
        <v/>
      </c>
      <c r="T242" s="124" t="str">
        <f>IF($B242="","",IF(T$3=0,"n.b.",INDEX(SRC_ZPMW03!$A$1:$ZZ$501,$A242,T$3)))</f>
        <v/>
      </c>
      <c r="U242" s="124" t="str">
        <f>IF($B242="","",IF(U$3=0,"n.b.",INDEX(SRC_ZPMW03!$A$1:$ZZ$501,$A242,U$3)))</f>
        <v/>
      </c>
      <c r="V242" s="124" t="str">
        <f>IF($B242="","",IF(V$3=0,"n.b.",INDEX(SRC_ZPMW03!$A$1:$ZZ$501,$A242,V$3)))</f>
        <v/>
      </c>
      <c r="W242" s="124" t="str">
        <f>IF($B242="","",IF(W$3=0,"n.b.",INDEX(SRC_ZPMW03!$A$1:$ZZ$501,$A242,W$3)))</f>
        <v/>
      </c>
      <c r="X242" s="124" t="str">
        <f>IF($B242="","",IF(X$3=0,"n.b.",INDEX(SRC_ZPMW03!$A$1:$ZZ$501,$A242,X$3)))</f>
        <v/>
      </c>
      <c r="Y242" s="124" t="str">
        <f>IF($B242="","",IF(Y$3=0,"n.b.",INDEX(SRC_ZPMW03!$A$1:$ZZ$501,$A242,Y$3)))</f>
        <v/>
      </c>
      <c r="Z242" s="124" t="str">
        <f>IF($B242="","",IF(Z$3=0,"n.b.",INDEX(SRC_ZPMW03!$A$1:$ZZ$501,$A242,Z$3)))</f>
        <v/>
      </c>
      <c r="AA242" s="124" t="str">
        <f>IF($B242="","",IF(AA$3=0,"n.b.",INDEX(SRC_ZPMW03!$A$1:$ZZ$501,$A242,AA$3)))</f>
        <v/>
      </c>
      <c r="AB242" s="124" t="str">
        <f>IF($B242="","",IF(AB$3=0,"n.b.",INDEX(SRC_ZPMW03!$A$1:$ZZ$501,$A242,AB$3)))</f>
        <v/>
      </c>
      <c r="AC242" s="124" t="str">
        <f>IF($B242="","",IF(AC$3=0,"n.b.",INDEX(SRC_ZPMW03!$A$1:$ZZ$501,$A242,AC$3)))</f>
        <v/>
      </c>
      <c r="AD242" s="124" t="str">
        <f>IF($B242="","",IF(AD$3=0,"n.b.",INDEX(SRC_ZPMW03!$A$1:$ZZ$501,$A242,AD$3)))</f>
        <v/>
      </c>
      <c r="AE242" s="124" t="str">
        <f>IF($B242="","",IF(AE$3=0,"n.b.",INDEX(SRC_ZPMW03!$A$1:$ZZ$501,$A242,AE$3)))</f>
        <v/>
      </c>
      <c r="AF242" s="124" t="str">
        <f>IF($B242="","",IF(AF$3=0,"n.b.",INDEX(SRC_ZPMW03!$A$1:$ZZ$501,$A242,AF$3)))</f>
        <v/>
      </c>
      <c r="AG242" s="124" t="str">
        <f>IF($B242="","",IF(AG$3=0,"n.b.",INDEX(SRC_ZPMW03!$A$1:$ZZ$501,$A242,AG$3)))</f>
        <v/>
      </c>
      <c r="AH242" s="124" t="str">
        <f>IF($B242="","",IF(AH$3=0,"n.b.",INDEX(SRC_ZPMW03!$A$1:$ZZ$501,$A242,AH$3)))</f>
        <v/>
      </c>
      <c r="AI242" s="124" t="str">
        <f>IF($B242="","",IF(AI$3=0,"n.b.",INDEX(SRC_ZPMW03!$A$1:$ZZ$501,$A242,AI$3)))</f>
        <v/>
      </c>
      <c r="AJ242" s="124" t="str">
        <f>IF($B242="","",IF(AJ$3=0,"n.b.",INDEX(SRC_ZPMW03!$A$1:$ZZ$501,$A242,AJ$3)))</f>
        <v/>
      </c>
      <c r="AK242" s="124" t="str">
        <f>IF($B242="","",IF(AK$3=0,"n.b.",INDEX(SRC_ZPMW03!$A$1:$ZZ$501,$A242,AK$3)))</f>
        <v/>
      </c>
      <c r="AL242" s="124" t="str">
        <f>IF($B242="","",IF(AL$3=0,"n.b.",INDEX(SRC_ZPMW03!$A$1:$ZZ$501,$A242,AL$3)))</f>
        <v/>
      </c>
      <c r="AM242" s="124" t="str">
        <f>IF($B242="","",IF(AM$3=0,"n.b.",INDEX(SRC_ZPMW03!$A$1:$ZZ$501,$A242,AM$3)))</f>
        <v/>
      </c>
      <c r="AN242" s="124" t="str">
        <f>IF($B242="","",IF(AN$3=0,"n.b.",INDEX(SRC_ZPMW03!$A$1:$ZZ$501,$A242,AN$3)))</f>
        <v/>
      </c>
      <c r="AO242" s="124" t="str">
        <f>IF($B242="","",IF(AO$3=0,"n.b.",INDEX(SRC_ZPMW03!$A$1:$ZZ$501,$A242,AO$3)))</f>
        <v/>
      </c>
      <c r="AP242" s="124" t="str">
        <f>IF($B242="","",IF(AP$3=0,"n.b.",INDEX(SRC_ZPMW03!$A$1:$ZZ$501,$A242,AP$3)))</f>
        <v/>
      </c>
      <c r="AQ242" s="124" t="str">
        <f>IF($B242="","",IF(AQ$3=0,"n.b.",INDEX(SRC_ZPMW03!$A$1:$ZZ$501,$A242,AQ$3)))</f>
        <v/>
      </c>
      <c r="AR242" s="124" t="str">
        <f>IF($B242="","",IF(AR$3=0,"n.b.",INDEX(SRC_ZPMW03!$A$1:$ZZ$501,$A242,AR$3)))</f>
        <v/>
      </c>
      <c r="AS242" s="124" t="str">
        <f>IF($B242="","",IF(AS$3=0,"n.b.",INDEX(SRC_ZPMW03!$A$1:$ZZ$501,$A242,AS$3)))</f>
        <v/>
      </c>
      <c r="AT242" s="124" t="str">
        <f>IF($B242="","",IF(AT$3=0,"n.b.",INDEX(SRC_ZPMW03!$A$1:$ZZ$501,$A242,AT$3)))</f>
        <v/>
      </c>
      <c r="AU242" s="124" t="str">
        <f>IF($B242="","",IF(AU$3=0,"n.b.",INDEX(SRC_ZPMW03!$A$1:$ZZ$501,$A242,AU$3)))</f>
        <v/>
      </c>
      <c r="AV242" s="124" t="str">
        <f>IF($B242="","",IF(AV$3=0,"n.b.",INDEX(SRC_ZPMW03!$A$1:$ZZ$501,$A242,AV$3)))</f>
        <v/>
      </c>
      <c r="AW242" s="124" t="str">
        <f>IF($B242="","",IF(AW$3=0,"n.b.",INDEX(SRC_ZPMW03!$A$1:$ZZ$501,$A242,AW$3)))</f>
        <v/>
      </c>
      <c r="AX242" s="124" t="str">
        <f>IF($B242="","",IF(AX$3=0,"n.b.",INDEX(SRC_ZPMW03!$A$1:$ZZ$501,$A242,AX$3)))</f>
        <v/>
      </c>
      <c r="AY242" s="124" t="str">
        <f>IF($B242="","",IF(AY$3=0,"n.b.",INDEX(SRC_ZPMW03!$A$1:$ZZ$501,$A242,AY$3)))</f>
        <v/>
      </c>
      <c r="AZ242" s="124" t="str">
        <f>IF($B242="","",IF(AZ$3=0,"n.b.",INDEX(SRC_ZPMW03!$A$1:$ZZ$501,$A242,AZ$3)))</f>
        <v/>
      </c>
      <c r="BA242" s="124" t="str">
        <f>IF($B242="","",IF(BA$3=0,"n.b.",INDEX(SRC_ZPMW03!$A$1:$ZZ$501,$A242,BA$3)))</f>
        <v/>
      </c>
      <c r="BB242" s="124" t="str">
        <f>IF($B242="","",IF(BB$3=0,"n.b.",INDEX(SRC_ZPMW03!$A$1:$ZZ$501,$A242,BB$3)))</f>
        <v/>
      </c>
      <c r="BC242" s="124" t="str">
        <f>IF($B242="","",IF(BC$3=0,"n.b.",INDEX(SRC_ZPMW03!$A$1:$ZZ$501,$A242,BC$3)))</f>
        <v/>
      </c>
      <c r="BD242" s="124" t="str">
        <f>IF($B242="","",IF(BD$3=0,"n.b.",INDEX(SRC_ZPMW03!$A$1:$ZZ$501,$A242,BD$3)))</f>
        <v/>
      </c>
      <c r="BE242" s="124" t="str">
        <f>IF($B242="","",IF(BE$3=0,"n.b.",INDEX(SRC_ZPMW03!$A$1:$ZZ$501,$A242,BE$3)))</f>
        <v/>
      </c>
      <c r="BF242" s="124" t="str">
        <f>IF($B242="","",IF(BF$3=0,"n.b.",INDEX(SRC_ZPMW03!$A$1:$ZZ$501,$A242,BF$3)))</f>
        <v/>
      </c>
      <c r="BG242" t="str">
        <f>IF($B242="","",IF(BG$3=0,"n.b.",INDEX(SRC_ZPMW03!$A$1:$ZZ$501,$A242,BG$3)))</f>
        <v/>
      </c>
      <c r="BH242" t="str">
        <f>IF($B242="","",IF(BH$3=0,"n.b.",INDEX(SRC_ZPMW03!$A$1:$ZZ$501,$A242,BH$3)))</f>
        <v/>
      </c>
      <c r="BI242" t="str">
        <f>IF($B242="","",IF(BI$3=0,"n.b.",INDEX(SRC_ZPMW03!$A$1:$ZZ$501,$A242,BI$3)))</f>
        <v/>
      </c>
      <c r="BJ242" t="str">
        <f>IF($B242="","",IF(BJ$3=0,"n.b.",INDEX(SRC_ZPMW03!$A$1:$ZZ$501,$A242,BJ$3)))</f>
        <v/>
      </c>
      <c r="BK242" s="124" t="str">
        <f>IF($B242="","",IFERROR(-O242,"n.b."))</f>
        <v/>
      </c>
      <c r="BL242" s="124" t="str">
        <f>IF($B242="","",IFERROR(-Q242,"n.b."))</f>
        <v/>
      </c>
      <c r="BM242" s="124" t="str">
        <f>IF($B242="","",IFERROR(-AB242,"n.b."))</f>
        <v/>
      </c>
      <c r="BN242" s="124" t="str">
        <f>IF($B242="","",IFERROR(-AD242,"n.b."))</f>
        <v/>
      </c>
      <c r="BO242" s="124" t="str">
        <f>IF($B242="","",IFERROR(BK242+BM242,"n.b."))</f>
        <v/>
      </c>
      <c r="BP242" s="124" t="str">
        <f>IF($B242="","",IFERROR(BL242+BN242,"n.b."))</f>
        <v/>
      </c>
      <c r="BQ242" s="124" t="str">
        <f>IF($B242="","",IFERROR(-AM242,"n.b."))</f>
        <v/>
      </c>
      <c r="BR242" s="124" t="str">
        <f>IF($B242="","",IFERROR(-AO242,"n.b."))</f>
        <v/>
      </c>
      <c r="BS242" s="124" t="str">
        <f>IF($B242="","",IFERROR(-Z242,"n.b."))</f>
        <v/>
      </c>
      <c r="BT242" s="124" t="str">
        <f>IF($B242="","",IFERROR(-AA242,"n.b."))</f>
        <v/>
      </c>
      <c r="BU242" s="124" t="str">
        <f>IF($B242="","",IFERROR(-AE242,"n.b."))</f>
        <v/>
      </c>
      <c r="BV242" s="124" t="str">
        <f>IF($B242="","",IFERROR(-AF242,"n.b."))</f>
        <v/>
      </c>
      <c r="BW242" s="124" t="str">
        <f>IF($B242="","",IFERROR(-AG242,"n.b."))</f>
        <v/>
      </c>
      <c r="BX242" s="124" t="str">
        <f>IF($B242="","",IFERROR(-AH242,"n.b."))</f>
        <v/>
      </c>
      <c r="BY242" s="124" t="str">
        <f>IF($B242="","",IFERROR(-AI242,"n.b."))</f>
        <v/>
      </c>
      <c r="BZ242" s="124" t="str">
        <f>IF($B242="","",IFERROR(-AJ242,"n.b."))</f>
        <v/>
      </c>
      <c r="CA242" s="124" t="str">
        <f>IF($B242="","",IFERROR(-AK242,"n.b."))</f>
        <v/>
      </c>
      <c r="CB242" s="124" t="str">
        <f>IF($B242="","",IFERROR(-AL242,"n.b."))</f>
        <v/>
      </c>
      <c r="CC242" s="124" t="str">
        <f>IF($B242="","",IFERROR(-AP242,"n.b."))</f>
        <v/>
      </c>
      <c r="CD242" s="124" t="str">
        <f>IF($B242="","",IFERROR(-AQ242,"n.b."))</f>
        <v/>
      </c>
      <c r="CE242" s="124" t="str">
        <f>IF($B242="","",IFERROR(-AR242,"n.b."))</f>
        <v/>
      </c>
      <c r="CF242" s="124" t="str">
        <f>IF($B242="","",IFERROR(-AS242,"n.b."))</f>
        <v/>
      </c>
      <c r="CG242" s="124" t="str">
        <f>IF($B242="","",IFERROR(-AT242,"n.b."))</f>
        <v/>
      </c>
      <c r="CH242" s="124" t="str">
        <f>IF($B242="","",IFERROR(-AU242,"n.b."))</f>
        <v/>
      </c>
      <c r="CI242" s="124" t="str">
        <f>IF($B242="","",IFERROR(-AV242,"n.b."))</f>
        <v/>
      </c>
      <c r="CJ242" s="124" t="str">
        <f>IF($B242="","",IFERROR(-AW242,"n.b."))</f>
        <v/>
      </c>
      <c r="CK242" s="124" t="str">
        <f>IF($B242="","",IFERROR(-AX242,"n.b."))</f>
        <v/>
      </c>
      <c r="CL242" s="124" t="str">
        <f>IF($B242="","",IFERROR(-AY242,"n.b."))</f>
        <v/>
      </c>
      <c r="CM242" s="124" t="str">
        <f>IF($B242="","",IFERROR(-AZ242,"n.b."))</f>
        <v/>
      </c>
      <c r="CN242" s="124" t="str">
        <f>IF($B242="","",IFERROR(-BA242,"n.b."))</f>
        <v/>
      </c>
      <c r="CO242" s="124" t="str">
        <f>IF($B242="","",IFERROR(-BB242,"n.b."))</f>
        <v/>
      </c>
      <c r="CP242" s="124" t="str">
        <f>IF($B242="","",IFERROR(-BC242,"n.b."))</f>
        <v/>
      </c>
      <c r="CQ242" s="124" t="str">
        <f>IF($B242="","",IFERROR(-BD242,"n.b."))</f>
        <v/>
      </c>
      <c r="CR242" s="124" t="str">
        <f>IF($B242="","",IFERROR(-BE242,"n.b."))</f>
        <v/>
      </c>
      <c r="CS242" s="124" t="str">
        <f>IF($B242="","",IFERROR(IF(OR(ABS(T242+V242+X242+Z242-AB242)&gt;P_Tol,ABS(U242+W242+Y242+AA242-AD242)&gt;P_Tol,ABS(AE242+AG242+AI242+AK242-AM242)&gt;P_Tol,ABS(AF242+AH242+AJ242+AL242-AO242)&gt;P_Tol),1,0),1))</f>
        <v/>
      </c>
      <c r="CT242" s="124" t="str">
        <f>IF($B242="","",IFERROR(IF(OR(ABS(AB242+AC242-AD242)&gt;P_Tol,ABS(AM242+AN242-AO242)&gt;P_Tol,ABS(O242+P242-Q242)&gt;P_Tol),1,0),1))</f>
        <v/>
      </c>
      <c r="CU242" s="124" t="str">
        <f>IF($B242="","",IFERROR(IF(ABS(R242-(AB242+AM242+AP242+AR242+AT242+AV242+AX242+AZ242+BB242+BD242))&gt;P_Tol,1,0),1))</f>
        <v/>
      </c>
      <c r="CV242" s="124" t="str">
        <f>IF($B242="","",IFERROR(IF(ABS(M242-(N242+O242+R242))&gt;P_Tol,1,0),1))</f>
        <v/>
      </c>
      <c r="CW242" s="124" t="str">
        <f>IF($B242="","",IF(COUNTIF(Mapping!$A$5:$A$104,B242)&gt;0,1,0))</f>
        <v/>
      </c>
      <c r="CX242" s="124" t="str">
        <f>IF($B242="","",COUNTIF($B$6:$B$505,B242))</f>
        <v/>
      </c>
      <c r="CY242" s="124" t="str">
        <f>IF($B242="","",COUNTIF(STG_Woningetalage!$B$6:$B$505,B242))</f>
        <v/>
      </c>
      <c r="CZ242" s="124" t="str">
        <f>IF($B242="","",IF(CW242=0,COUNTIF($CW$6:CW242,0),""))</f>
        <v/>
      </c>
    </row>
    <row r="243">
      <c r="A243" s="15" t="n">
        <v>239</v>
      </c>
      <c r="B243" t="str">
        <f>IF(B$3=0,"",IF(INDEX(SRC_ZPMW03!$A$1:$ZZ$501,$A243,B$3)&amp;""="","",INDEX(SRC_ZPMW03!$A$1:$ZZ$501,$A243,B$3)&amp;""))</f>
        <v/>
      </c>
      <c r="C243" t="str">
        <f>IF($B243="","",IF(C$3=0,"n.b.",INDEX(SRC_ZPMW03!$A$1:$ZZ$501,$A243,C$3)))</f>
        <v/>
      </c>
      <c r="D243" t="str">
        <f>IF($B243="","",IF(D$3=0,"n.b.",INDEX(SRC_ZPMW03!$A$1:$ZZ$501,$A243,D$3)))</f>
        <v/>
      </c>
      <c r="E243" t="str">
        <f>IF($B243="","",IF(E$3=0,"n.b.",INDEX(SRC_ZPMW03!$A$1:$ZZ$501,$A243,E$3)))</f>
        <v/>
      </c>
      <c r="F243" t="str">
        <f>IF($B243="","",IF(F$3=0,"n.b.",INDEX(SRC_ZPMW03!$A$1:$ZZ$501,$A243,F$3)))</f>
        <v/>
      </c>
      <c r="G243" t="str">
        <f>IF($B243="","",IF(G$3=0,"n.b.",INDEX(SRC_ZPMW03!$A$1:$ZZ$501,$A243,G$3)))</f>
        <v/>
      </c>
      <c r="H243" t="str">
        <f>IF($B243="","",IF(H$3=0,"n.b.",INDEX(SRC_ZPMW03!$A$1:$ZZ$501,$A243,H$3)))</f>
        <v/>
      </c>
      <c r="I243" t="str">
        <f>IF($B243="","",IF(I$3=0,"n.b.",INDEX(SRC_ZPMW03!$A$1:$ZZ$501,$A243,I$3)))</f>
        <v/>
      </c>
      <c r="J243" t="str">
        <f>IF($B243="","",IF(J$3=0,"n.b.",INDEX(SRC_ZPMW03!$A$1:$ZZ$501,$A243,J$3)))</f>
        <v/>
      </c>
      <c r="K243" t="str">
        <f>IF($B243="","",IF(K$3=0,"n.b.",INDEX(SRC_ZPMW03!$A$1:$ZZ$501,$A243,K$3)))</f>
        <v/>
      </c>
      <c r="L243" s="124" t="str">
        <f>IF($B243="","",IF(L$3=0,"n.b.",INDEX(SRC_ZPMW03!$A$1:$ZZ$501,$A243,L$3)))</f>
        <v/>
      </c>
      <c r="M243" s="124" t="str">
        <f>IF($B243="","",IF(M$3=0,"n.b.",INDEX(SRC_ZPMW03!$A$1:$ZZ$501,$A243,M$3)))</f>
        <v/>
      </c>
      <c r="N243" s="124" t="str">
        <f>IF($B243="","",IF(N$3=0,"n.b.",INDEX(SRC_ZPMW03!$A$1:$ZZ$501,$A243,N$3)))</f>
        <v/>
      </c>
      <c r="O243" s="124" t="str">
        <f>IF($B243="","",IF(O$3=0,"n.b.",INDEX(SRC_ZPMW03!$A$1:$ZZ$501,$A243,O$3)))</f>
        <v/>
      </c>
      <c r="P243" s="124" t="str">
        <f>IF($B243="","",IF(P$3=0,"n.b.",INDEX(SRC_ZPMW03!$A$1:$ZZ$501,$A243,P$3)))</f>
        <v/>
      </c>
      <c r="Q243" s="124" t="str">
        <f>IF($B243="","",IF(Q$3=0,"n.b.",INDEX(SRC_ZPMW03!$A$1:$ZZ$501,$A243,Q$3)))</f>
        <v/>
      </c>
      <c r="R243" s="124" t="str">
        <f>IF($B243="","",IF(R$3=0,"n.b.",INDEX(SRC_ZPMW03!$A$1:$ZZ$501,$A243,R$3)))</f>
        <v/>
      </c>
      <c r="S243" s="124" t="str">
        <f>IF($B243="","",IF(S$3=0,"n.b.",INDEX(SRC_ZPMW03!$A$1:$ZZ$501,$A243,S$3)))</f>
        <v/>
      </c>
      <c r="T243" s="124" t="str">
        <f>IF($B243="","",IF(T$3=0,"n.b.",INDEX(SRC_ZPMW03!$A$1:$ZZ$501,$A243,T$3)))</f>
        <v/>
      </c>
      <c r="U243" s="124" t="str">
        <f>IF($B243="","",IF(U$3=0,"n.b.",INDEX(SRC_ZPMW03!$A$1:$ZZ$501,$A243,U$3)))</f>
        <v/>
      </c>
      <c r="V243" s="124" t="str">
        <f>IF($B243="","",IF(V$3=0,"n.b.",INDEX(SRC_ZPMW03!$A$1:$ZZ$501,$A243,V$3)))</f>
        <v/>
      </c>
      <c r="W243" s="124" t="str">
        <f>IF($B243="","",IF(W$3=0,"n.b.",INDEX(SRC_ZPMW03!$A$1:$ZZ$501,$A243,W$3)))</f>
        <v/>
      </c>
      <c r="X243" s="124" t="str">
        <f>IF($B243="","",IF(X$3=0,"n.b.",INDEX(SRC_ZPMW03!$A$1:$ZZ$501,$A243,X$3)))</f>
        <v/>
      </c>
      <c r="Y243" s="124" t="str">
        <f>IF($B243="","",IF(Y$3=0,"n.b.",INDEX(SRC_ZPMW03!$A$1:$ZZ$501,$A243,Y$3)))</f>
        <v/>
      </c>
      <c r="Z243" s="124" t="str">
        <f>IF($B243="","",IF(Z$3=0,"n.b.",INDEX(SRC_ZPMW03!$A$1:$ZZ$501,$A243,Z$3)))</f>
        <v/>
      </c>
      <c r="AA243" s="124" t="str">
        <f>IF($B243="","",IF(AA$3=0,"n.b.",INDEX(SRC_ZPMW03!$A$1:$ZZ$501,$A243,AA$3)))</f>
        <v/>
      </c>
      <c r="AB243" s="124" t="str">
        <f>IF($B243="","",IF(AB$3=0,"n.b.",INDEX(SRC_ZPMW03!$A$1:$ZZ$501,$A243,AB$3)))</f>
        <v/>
      </c>
      <c r="AC243" s="124" t="str">
        <f>IF($B243="","",IF(AC$3=0,"n.b.",INDEX(SRC_ZPMW03!$A$1:$ZZ$501,$A243,AC$3)))</f>
        <v/>
      </c>
      <c r="AD243" s="124" t="str">
        <f>IF($B243="","",IF(AD$3=0,"n.b.",INDEX(SRC_ZPMW03!$A$1:$ZZ$501,$A243,AD$3)))</f>
        <v/>
      </c>
      <c r="AE243" s="124" t="str">
        <f>IF($B243="","",IF(AE$3=0,"n.b.",INDEX(SRC_ZPMW03!$A$1:$ZZ$501,$A243,AE$3)))</f>
        <v/>
      </c>
      <c r="AF243" s="124" t="str">
        <f>IF($B243="","",IF(AF$3=0,"n.b.",INDEX(SRC_ZPMW03!$A$1:$ZZ$501,$A243,AF$3)))</f>
        <v/>
      </c>
      <c r="AG243" s="124" t="str">
        <f>IF($B243="","",IF(AG$3=0,"n.b.",INDEX(SRC_ZPMW03!$A$1:$ZZ$501,$A243,AG$3)))</f>
        <v/>
      </c>
      <c r="AH243" s="124" t="str">
        <f>IF($B243="","",IF(AH$3=0,"n.b.",INDEX(SRC_ZPMW03!$A$1:$ZZ$501,$A243,AH$3)))</f>
        <v/>
      </c>
      <c r="AI243" s="124" t="str">
        <f>IF($B243="","",IF(AI$3=0,"n.b.",INDEX(SRC_ZPMW03!$A$1:$ZZ$501,$A243,AI$3)))</f>
        <v/>
      </c>
      <c r="AJ243" s="124" t="str">
        <f>IF($B243="","",IF(AJ$3=0,"n.b.",INDEX(SRC_ZPMW03!$A$1:$ZZ$501,$A243,AJ$3)))</f>
        <v/>
      </c>
      <c r="AK243" s="124" t="str">
        <f>IF($B243="","",IF(AK$3=0,"n.b.",INDEX(SRC_ZPMW03!$A$1:$ZZ$501,$A243,AK$3)))</f>
        <v/>
      </c>
      <c r="AL243" s="124" t="str">
        <f>IF($B243="","",IF(AL$3=0,"n.b.",INDEX(SRC_ZPMW03!$A$1:$ZZ$501,$A243,AL$3)))</f>
        <v/>
      </c>
      <c r="AM243" s="124" t="str">
        <f>IF($B243="","",IF(AM$3=0,"n.b.",INDEX(SRC_ZPMW03!$A$1:$ZZ$501,$A243,AM$3)))</f>
        <v/>
      </c>
      <c r="AN243" s="124" t="str">
        <f>IF($B243="","",IF(AN$3=0,"n.b.",INDEX(SRC_ZPMW03!$A$1:$ZZ$501,$A243,AN$3)))</f>
        <v/>
      </c>
      <c r="AO243" s="124" t="str">
        <f>IF($B243="","",IF(AO$3=0,"n.b.",INDEX(SRC_ZPMW03!$A$1:$ZZ$501,$A243,AO$3)))</f>
        <v/>
      </c>
      <c r="AP243" s="124" t="str">
        <f>IF($B243="","",IF(AP$3=0,"n.b.",INDEX(SRC_ZPMW03!$A$1:$ZZ$501,$A243,AP$3)))</f>
        <v/>
      </c>
      <c r="AQ243" s="124" t="str">
        <f>IF($B243="","",IF(AQ$3=0,"n.b.",INDEX(SRC_ZPMW03!$A$1:$ZZ$501,$A243,AQ$3)))</f>
        <v/>
      </c>
      <c r="AR243" s="124" t="str">
        <f>IF($B243="","",IF(AR$3=0,"n.b.",INDEX(SRC_ZPMW03!$A$1:$ZZ$501,$A243,AR$3)))</f>
        <v/>
      </c>
      <c r="AS243" s="124" t="str">
        <f>IF($B243="","",IF(AS$3=0,"n.b.",INDEX(SRC_ZPMW03!$A$1:$ZZ$501,$A243,AS$3)))</f>
        <v/>
      </c>
      <c r="AT243" s="124" t="str">
        <f>IF($B243="","",IF(AT$3=0,"n.b.",INDEX(SRC_ZPMW03!$A$1:$ZZ$501,$A243,AT$3)))</f>
        <v/>
      </c>
      <c r="AU243" s="124" t="str">
        <f>IF($B243="","",IF(AU$3=0,"n.b.",INDEX(SRC_ZPMW03!$A$1:$ZZ$501,$A243,AU$3)))</f>
        <v/>
      </c>
      <c r="AV243" s="124" t="str">
        <f>IF($B243="","",IF(AV$3=0,"n.b.",INDEX(SRC_ZPMW03!$A$1:$ZZ$501,$A243,AV$3)))</f>
        <v/>
      </c>
      <c r="AW243" s="124" t="str">
        <f>IF($B243="","",IF(AW$3=0,"n.b.",INDEX(SRC_ZPMW03!$A$1:$ZZ$501,$A243,AW$3)))</f>
        <v/>
      </c>
      <c r="AX243" s="124" t="str">
        <f>IF($B243="","",IF(AX$3=0,"n.b.",INDEX(SRC_ZPMW03!$A$1:$ZZ$501,$A243,AX$3)))</f>
        <v/>
      </c>
      <c r="AY243" s="124" t="str">
        <f>IF($B243="","",IF(AY$3=0,"n.b.",INDEX(SRC_ZPMW03!$A$1:$ZZ$501,$A243,AY$3)))</f>
        <v/>
      </c>
      <c r="AZ243" s="124" t="str">
        <f>IF($B243="","",IF(AZ$3=0,"n.b.",INDEX(SRC_ZPMW03!$A$1:$ZZ$501,$A243,AZ$3)))</f>
        <v/>
      </c>
      <c r="BA243" s="124" t="str">
        <f>IF($B243="","",IF(BA$3=0,"n.b.",INDEX(SRC_ZPMW03!$A$1:$ZZ$501,$A243,BA$3)))</f>
        <v/>
      </c>
      <c r="BB243" s="124" t="str">
        <f>IF($B243="","",IF(BB$3=0,"n.b.",INDEX(SRC_ZPMW03!$A$1:$ZZ$501,$A243,BB$3)))</f>
        <v/>
      </c>
      <c r="BC243" s="124" t="str">
        <f>IF($B243="","",IF(BC$3=0,"n.b.",INDEX(SRC_ZPMW03!$A$1:$ZZ$501,$A243,BC$3)))</f>
        <v/>
      </c>
      <c r="BD243" s="124" t="str">
        <f>IF($B243="","",IF(BD$3=0,"n.b.",INDEX(SRC_ZPMW03!$A$1:$ZZ$501,$A243,BD$3)))</f>
        <v/>
      </c>
      <c r="BE243" s="124" t="str">
        <f>IF($B243="","",IF(BE$3=0,"n.b.",INDEX(SRC_ZPMW03!$A$1:$ZZ$501,$A243,BE$3)))</f>
        <v/>
      </c>
      <c r="BF243" s="124" t="str">
        <f>IF($B243="","",IF(BF$3=0,"n.b.",INDEX(SRC_ZPMW03!$A$1:$ZZ$501,$A243,BF$3)))</f>
        <v/>
      </c>
      <c r="BG243" t="str">
        <f>IF($B243="","",IF(BG$3=0,"n.b.",INDEX(SRC_ZPMW03!$A$1:$ZZ$501,$A243,BG$3)))</f>
        <v/>
      </c>
      <c r="BH243" t="str">
        <f>IF($B243="","",IF(BH$3=0,"n.b.",INDEX(SRC_ZPMW03!$A$1:$ZZ$501,$A243,BH$3)))</f>
        <v/>
      </c>
      <c r="BI243" t="str">
        <f>IF($B243="","",IF(BI$3=0,"n.b.",INDEX(SRC_ZPMW03!$A$1:$ZZ$501,$A243,BI$3)))</f>
        <v/>
      </c>
      <c r="BJ243" t="str">
        <f>IF($B243="","",IF(BJ$3=0,"n.b.",INDEX(SRC_ZPMW03!$A$1:$ZZ$501,$A243,BJ$3)))</f>
        <v/>
      </c>
      <c r="BK243" s="124" t="str">
        <f>IF($B243="","",IFERROR(-O243,"n.b."))</f>
        <v/>
      </c>
      <c r="BL243" s="124" t="str">
        <f>IF($B243="","",IFERROR(-Q243,"n.b."))</f>
        <v/>
      </c>
      <c r="BM243" s="124" t="str">
        <f>IF($B243="","",IFERROR(-AB243,"n.b."))</f>
        <v/>
      </c>
      <c r="BN243" s="124" t="str">
        <f>IF($B243="","",IFERROR(-AD243,"n.b."))</f>
        <v/>
      </c>
      <c r="BO243" s="124" t="str">
        <f>IF($B243="","",IFERROR(BK243+BM243,"n.b."))</f>
        <v/>
      </c>
      <c r="BP243" s="124" t="str">
        <f>IF($B243="","",IFERROR(BL243+BN243,"n.b."))</f>
        <v/>
      </c>
      <c r="BQ243" s="124" t="str">
        <f>IF($B243="","",IFERROR(-AM243,"n.b."))</f>
        <v/>
      </c>
      <c r="BR243" s="124" t="str">
        <f>IF($B243="","",IFERROR(-AO243,"n.b."))</f>
        <v/>
      </c>
      <c r="BS243" s="124" t="str">
        <f>IF($B243="","",IFERROR(-Z243,"n.b."))</f>
        <v/>
      </c>
      <c r="BT243" s="124" t="str">
        <f>IF($B243="","",IFERROR(-AA243,"n.b."))</f>
        <v/>
      </c>
      <c r="BU243" s="124" t="str">
        <f>IF($B243="","",IFERROR(-AE243,"n.b."))</f>
        <v/>
      </c>
      <c r="BV243" s="124" t="str">
        <f>IF($B243="","",IFERROR(-AF243,"n.b."))</f>
        <v/>
      </c>
      <c r="BW243" s="124" t="str">
        <f>IF($B243="","",IFERROR(-AG243,"n.b."))</f>
        <v/>
      </c>
      <c r="BX243" s="124" t="str">
        <f>IF($B243="","",IFERROR(-AH243,"n.b."))</f>
        <v/>
      </c>
      <c r="BY243" s="124" t="str">
        <f>IF($B243="","",IFERROR(-AI243,"n.b."))</f>
        <v/>
      </c>
      <c r="BZ243" s="124" t="str">
        <f>IF($B243="","",IFERROR(-AJ243,"n.b."))</f>
        <v/>
      </c>
      <c r="CA243" s="124" t="str">
        <f>IF($B243="","",IFERROR(-AK243,"n.b."))</f>
        <v/>
      </c>
      <c r="CB243" s="124" t="str">
        <f>IF($B243="","",IFERROR(-AL243,"n.b."))</f>
        <v/>
      </c>
      <c r="CC243" s="124" t="str">
        <f>IF($B243="","",IFERROR(-AP243,"n.b."))</f>
        <v/>
      </c>
      <c r="CD243" s="124" t="str">
        <f>IF($B243="","",IFERROR(-AQ243,"n.b."))</f>
        <v/>
      </c>
      <c r="CE243" s="124" t="str">
        <f>IF($B243="","",IFERROR(-AR243,"n.b."))</f>
        <v/>
      </c>
      <c r="CF243" s="124" t="str">
        <f>IF($B243="","",IFERROR(-AS243,"n.b."))</f>
        <v/>
      </c>
      <c r="CG243" s="124" t="str">
        <f>IF($B243="","",IFERROR(-AT243,"n.b."))</f>
        <v/>
      </c>
      <c r="CH243" s="124" t="str">
        <f>IF($B243="","",IFERROR(-AU243,"n.b."))</f>
        <v/>
      </c>
      <c r="CI243" s="124" t="str">
        <f>IF($B243="","",IFERROR(-AV243,"n.b."))</f>
        <v/>
      </c>
      <c r="CJ243" s="124" t="str">
        <f>IF($B243="","",IFERROR(-AW243,"n.b."))</f>
        <v/>
      </c>
      <c r="CK243" s="124" t="str">
        <f>IF($B243="","",IFERROR(-AX243,"n.b."))</f>
        <v/>
      </c>
      <c r="CL243" s="124" t="str">
        <f>IF($B243="","",IFERROR(-AY243,"n.b."))</f>
        <v/>
      </c>
      <c r="CM243" s="124" t="str">
        <f>IF($B243="","",IFERROR(-AZ243,"n.b."))</f>
        <v/>
      </c>
      <c r="CN243" s="124" t="str">
        <f>IF($B243="","",IFERROR(-BA243,"n.b."))</f>
        <v/>
      </c>
      <c r="CO243" s="124" t="str">
        <f>IF($B243="","",IFERROR(-BB243,"n.b."))</f>
        <v/>
      </c>
      <c r="CP243" s="124" t="str">
        <f>IF($B243="","",IFERROR(-BC243,"n.b."))</f>
        <v/>
      </c>
      <c r="CQ243" s="124" t="str">
        <f>IF($B243="","",IFERROR(-BD243,"n.b."))</f>
        <v/>
      </c>
      <c r="CR243" s="124" t="str">
        <f>IF($B243="","",IFERROR(-BE243,"n.b."))</f>
        <v/>
      </c>
      <c r="CS243" s="124" t="str">
        <f>IF($B243="","",IFERROR(IF(OR(ABS(T243+V243+X243+Z243-AB243)&gt;P_Tol,ABS(U243+W243+Y243+AA243-AD243)&gt;P_Tol,ABS(AE243+AG243+AI243+AK243-AM243)&gt;P_Tol,ABS(AF243+AH243+AJ243+AL243-AO243)&gt;P_Tol),1,0),1))</f>
        <v/>
      </c>
      <c r="CT243" s="124" t="str">
        <f>IF($B243="","",IFERROR(IF(OR(ABS(AB243+AC243-AD243)&gt;P_Tol,ABS(AM243+AN243-AO243)&gt;P_Tol,ABS(O243+P243-Q243)&gt;P_Tol),1,0),1))</f>
        <v/>
      </c>
      <c r="CU243" s="124" t="str">
        <f>IF($B243="","",IFERROR(IF(ABS(R243-(AB243+AM243+AP243+AR243+AT243+AV243+AX243+AZ243+BB243+BD243))&gt;P_Tol,1,0),1))</f>
        <v/>
      </c>
      <c r="CV243" s="124" t="str">
        <f>IF($B243="","",IFERROR(IF(ABS(M243-(N243+O243+R243))&gt;P_Tol,1,0),1))</f>
        <v/>
      </c>
      <c r="CW243" s="124" t="str">
        <f>IF($B243="","",IF(COUNTIF(Mapping!$A$5:$A$104,B243)&gt;0,1,0))</f>
        <v/>
      </c>
      <c r="CX243" s="124" t="str">
        <f>IF($B243="","",COUNTIF($B$6:$B$505,B243))</f>
        <v/>
      </c>
      <c r="CY243" s="124" t="str">
        <f>IF($B243="","",COUNTIF(STG_Woningetalage!$B$6:$B$505,B243))</f>
        <v/>
      </c>
      <c r="CZ243" s="124" t="str">
        <f>IF($B243="","",IF(CW243=0,COUNTIF($CW$6:CW243,0),""))</f>
        <v/>
      </c>
    </row>
    <row r="244">
      <c r="A244" s="15" t="n">
        <v>240</v>
      </c>
      <c r="B244" t="str">
        <f>IF(B$3=0,"",IF(INDEX(SRC_ZPMW03!$A$1:$ZZ$501,$A244,B$3)&amp;""="","",INDEX(SRC_ZPMW03!$A$1:$ZZ$501,$A244,B$3)&amp;""))</f>
        <v/>
      </c>
      <c r="C244" t="str">
        <f>IF($B244="","",IF(C$3=0,"n.b.",INDEX(SRC_ZPMW03!$A$1:$ZZ$501,$A244,C$3)))</f>
        <v/>
      </c>
      <c r="D244" t="str">
        <f>IF($B244="","",IF(D$3=0,"n.b.",INDEX(SRC_ZPMW03!$A$1:$ZZ$501,$A244,D$3)))</f>
        <v/>
      </c>
      <c r="E244" t="str">
        <f>IF($B244="","",IF(E$3=0,"n.b.",INDEX(SRC_ZPMW03!$A$1:$ZZ$501,$A244,E$3)))</f>
        <v/>
      </c>
      <c r="F244" t="str">
        <f>IF($B244="","",IF(F$3=0,"n.b.",INDEX(SRC_ZPMW03!$A$1:$ZZ$501,$A244,F$3)))</f>
        <v/>
      </c>
      <c r="G244" t="str">
        <f>IF($B244="","",IF(G$3=0,"n.b.",INDEX(SRC_ZPMW03!$A$1:$ZZ$501,$A244,G$3)))</f>
        <v/>
      </c>
      <c r="H244" t="str">
        <f>IF($B244="","",IF(H$3=0,"n.b.",INDEX(SRC_ZPMW03!$A$1:$ZZ$501,$A244,H$3)))</f>
        <v/>
      </c>
      <c r="I244" t="str">
        <f>IF($B244="","",IF(I$3=0,"n.b.",INDEX(SRC_ZPMW03!$A$1:$ZZ$501,$A244,I$3)))</f>
        <v/>
      </c>
      <c r="J244" t="str">
        <f>IF($B244="","",IF(J$3=0,"n.b.",INDEX(SRC_ZPMW03!$A$1:$ZZ$501,$A244,J$3)))</f>
        <v/>
      </c>
      <c r="K244" t="str">
        <f>IF($B244="","",IF(K$3=0,"n.b.",INDEX(SRC_ZPMW03!$A$1:$ZZ$501,$A244,K$3)))</f>
        <v/>
      </c>
      <c r="L244" s="124" t="str">
        <f>IF($B244="","",IF(L$3=0,"n.b.",INDEX(SRC_ZPMW03!$A$1:$ZZ$501,$A244,L$3)))</f>
        <v/>
      </c>
      <c r="M244" s="124" t="str">
        <f>IF($B244="","",IF(M$3=0,"n.b.",INDEX(SRC_ZPMW03!$A$1:$ZZ$501,$A244,M$3)))</f>
        <v/>
      </c>
      <c r="N244" s="124" t="str">
        <f>IF($B244="","",IF(N$3=0,"n.b.",INDEX(SRC_ZPMW03!$A$1:$ZZ$501,$A244,N$3)))</f>
        <v/>
      </c>
      <c r="O244" s="124" t="str">
        <f>IF($B244="","",IF(O$3=0,"n.b.",INDEX(SRC_ZPMW03!$A$1:$ZZ$501,$A244,O$3)))</f>
        <v/>
      </c>
      <c r="P244" s="124" t="str">
        <f>IF($B244="","",IF(P$3=0,"n.b.",INDEX(SRC_ZPMW03!$A$1:$ZZ$501,$A244,P$3)))</f>
        <v/>
      </c>
      <c r="Q244" s="124" t="str">
        <f>IF($B244="","",IF(Q$3=0,"n.b.",INDEX(SRC_ZPMW03!$A$1:$ZZ$501,$A244,Q$3)))</f>
        <v/>
      </c>
      <c r="R244" s="124" t="str">
        <f>IF($B244="","",IF(R$3=0,"n.b.",INDEX(SRC_ZPMW03!$A$1:$ZZ$501,$A244,R$3)))</f>
        <v/>
      </c>
      <c r="S244" s="124" t="str">
        <f>IF($B244="","",IF(S$3=0,"n.b.",INDEX(SRC_ZPMW03!$A$1:$ZZ$501,$A244,S$3)))</f>
        <v/>
      </c>
      <c r="T244" s="124" t="str">
        <f>IF($B244="","",IF(T$3=0,"n.b.",INDEX(SRC_ZPMW03!$A$1:$ZZ$501,$A244,T$3)))</f>
        <v/>
      </c>
      <c r="U244" s="124" t="str">
        <f>IF($B244="","",IF(U$3=0,"n.b.",INDEX(SRC_ZPMW03!$A$1:$ZZ$501,$A244,U$3)))</f>
        <v/>
      </c>
      <c r="V244" s="124" t="str">
        <f>IF($B244="","",IF(V$3=0,"n.b.",INDEX(SRC_ZPMW03!$A$1:$ZZ$501,$A244,V$3)))</f>
        <v/>
      </c>
      <c r="W244" s="124" t="str">
        <f>IF($B244="","",IF(W$3=0,"n.b.",INDEX(SRC_ZPMW03!$A$1:$ZZ$501,$A244,W$3)))</f>
        <v/>
      </c>
      <c r="X244" s="124" t="str">
        <f>IF($B244="","",IF(X$3=0,"n.b.",INDEX(SRC_ZPMW03!$A$1:$ZZ$501,$A244,X$3)))</f>
        <v/>
      </c>
      <c r="Y244" s="124" t="str">
        <f>IF($B244="","",IF(Y$3=0,"n.b.",INDEX(SRC_ZPMW03!$A$1:$ZZ$501,$A244,Y$3)))</f>
        <v/>
      </c>
      <c r="Z244" s="124" t="str">
        <f>IF($B244="","",IF(Z$3=0,"n.b.",INDEX(SRC_ZPMW03!$A$1:$ZZ$501,$A244,Z$3)))</f>
        <v/>
      </c>
      <c r="AA244" s="124" t="str">
        <f>IF($B244="","",IF(AA$3=0,"n.b.",INDEX(SRC_ZPMW03!$A$1:$ZZ$501,$A244,AA$3)))</f>
        <v/>
      </c>
      <c r="AB244" s="124" t="str">
        <f>IF($B244="","",IF(AB$3=0,"n.b.",INDEX(SRC_ZPMW03!$A$1:$ZZ$501,$A244,AB$3)))</f>
        <v/>
      </c>
      <c r="AC244" s="124" t="str">
        <f>IF($B244="","",IF(AC$3=0,"n.b.",INDEX(SRC_ZPMW03!$A$1:$ZZ$501,$A244,AC$3)))</f>
        <v/>
      </c>
      <c r="AD244" s="124" t="str">
        <f>IF($B244="","",IF(AD$3=0,"n.b.",INDEX(SRC_ZPMW03!$A$1:$ZZ$501,$A244,AD$3)))</f>
        <v/>
      </c>
      <c r="AE244" s="124" t="str">
        <f>IF($B244="","",IF(AE$3=0,"n.b.",INDEX(SRC_ZPMW03!$A$1:$ZZ$501,$A244,AE$3)))</f>
        <v/>
      </c>
      <c r="AF244" s="124" t="str">
        <f>IF($B244="","",IF(AF$3=0,"n.b.",INDEX(SRC_ZPMW03!$A$1:$ZZ$501,$A244,AF$3)))</f>
        <v/>
      </c>
      <c r="AG244" s="124" t="str">
        <f>IF($B244="","",IF(AG$3=0,"n.b.",INDEX(SRC_ZPMW03!$A$1:$ZZ$501,$A244,AG$3)))</f>
        <v/>
      </c>
      <c r="AH244" s="124" t="str">
        <f>IF($B244="","",IF(AH$3=0,"n.b.",INDEX(SRC_ZPMW03!$A$1:$ZZ$501,$A244,AH$3)))</f>
        <v/>
      </c>
      <c r="AI244" s="124" t="str">
        <f>IF($B244="","",IF(AI$3=0,"n.b.",INDEX(SRC_ZPMW03!$A$1:$ZZ$501,$A244,AI$3)))</f>
        <v/>
      </c>
      <c r="AJ244" s="124" t="str">
        <f>IF($B244="","",IF(AJ$3=0,"n.b.",INDEX(SRC_ZPMW03!$A$1:$ZZ$501,$A244,AJ$3)))</f>
        <v/>
      </c>
      <c r="AK244" s="124" t="str">
        <f>IF($B244="","",IF(AK$3=0,"n.b.",INDEX(SRC_ZPMW03!$A$1:$ZZ$501,$A244,AK$3)))</f>
        <v/>
      </c>
      <c r="AL244" s="124" t="str">
        <f>IF($B244="","",IF(AL$3=0,"n.b.",INDEX(SRC_ZPMW03!$A$1:$ZZ$501,$A244,AL$3)))</f>
        <v/>
      </c>
      <c r="AM244" s="124" t="str">
        <f>IF($B244="","",IF(AM$3=0,"n.b.",INDEX(SRC_ZPMW03!$A$1:$ZZ$501,$A244,AM$3)))</f>
        <v/>
      </c>
      <c r="AN244" s="124" t="str">
        <f>IF($B244="","",IF(AN$3=0,"n.b.",INDEX(SRC_ZPMW03!$A$1:$ZZ$501,$A244,AN$3)))</f>
        <v/>
      </c>
      <c r="AO244" s="124" t="str">
        <f>IF($B244="","",IF(AO$3=0,"n.b.",INDEX(SRC_ZPMW03!$A$1:$ZZ$501,$A244,AO$3)))</f>
        <v/>
      </c>
      <c r="AP244" s="124" t="str">
        <f>IF($B244="","",IF(AP$3=0,"n.b.",INDEX(SRC_ZPMW03!$A$1:$ZZ$501,$A244,AP$3)))</f>
        <v/>
      </c>
      <c r="AQ244" s="124" t="str">
        <f>IF($B244="","",IF(AQ$3=0,"n.b.",INDEX(SRC_ZPMW03!$A$1:$ZZ$501,$A244,AQ$3)))</f>
        <v/>
      </c>
      <c r="AR244" s="124" t="str">
        <f>IF($B244="","",IF(AR$3=0,"n.b.",INDEX(SRC_ZPMW03!$A$1:$ZZ$501,$A244,AR$3)))</f>
        <v/>
      </c>
      <c r="AS244" s="124" t="str">
        <f>IF($B244="","",IF(AS$3=0,"n.b.",INDEX(SRC_ZPMW03!$A$1:$ZZ$501,$A244,AS$3)))</f>
        <v/>
      </c>
      <c r="AT244" s="124" t="str">
        <f>IF($B244="","",IF(AT$3=0,"n.b.",INDEX(SRC_ZPMW03!$A$1:$ZZ$501,$A244,AT$3)))</f>
        <v/>
      </c>
      <c r="AU244" s="124" t="str">
        <f>IF($B244="","",IF(AU$3=0,"n.b.",INDEX(SRC_ZPMW03!$A$1:$ZZ$501,$A244,AU$3)))</f>
        <v/>
      </c>
      <c r="AV244" s="124" t="str">
        <f>IF($B244="","",IF(AV$3=0,"n.b.",INDEX(SRC_ZPMW03!$A$1:$ZZ$501,$A244,AV$3)))</f>
        <v/>
      </c>
      <c r="AW244" s="124" t="str">
        <f>IF($B244="","",IF(AW$3=0,"n.b.",INDEX(SRC_ZPMW03!$A$1:$ZZ$501,$A244,AW$3)))</f>
        <v/>
      </c>
      <c r="AX244" s="124" t="str">
        <f>IF($B244="","",IF(AX$3=0,"n.b.",INDEX(SRC_ZPMW03!$A$1:$ZZ$501,$A244,AX$3)))</f>
        <v/>
      </c>
      <c r="AY244" s="124" t="str">
        <f>IF($B244="","",IF(AY$3=0,"n.b.",INDEX(SRC_ZPMW03!$A$1:$ZZ$501,$A244,AY$3)))</f>
        <v/>
      </c>
      <c r="AZ244" s="124" t="str">
        <f>IF($B244="","",IF(AZ$3=0,"n.b.",INDEX(SRC_ZPMW03!$A$1:$ZZ$501,$A244,AZ$3)))</f>
        <v/>
      </c>
      <c r="BA244" s="124" t="str">
        <f>IF($B244="","",IF(BA$3=0,"n.b.",INDEX(SRC_ZPMW03!$A$1:$ZZ$501,$A244,BA$3)))</f>
        <v/>
      </c>
      <c r="BB244" s="124" t="str">
        <f>IF($B244="","",IF(BB$3=0,"n.b.",INDEX(SRC_ZPMW03!$A$1:$ZZ$501,$A244,BB$3)))</f>
        <v/>
      </c>
      <c r="BC244" s="124" t="str">
        <f>IF($B244="","",IF(BC$3=0,"n.b.",INDEX(SRC_ZPMW03!$A$1:$ZZ$501,$A244,BC$3)))</f>
        <v/>
      </c>
      <c r="BD244" s="124" t="str">
        <f>IF($B244="","",IF(BD$3=0,"n.b.",INDEX(SRC_ZPMW03!$A$1:$ZZ$501,$A244,BD$3)))</f>
        <v/>
      </c>
      <c r="BE244" s="124" t="str">
        <f>IF($B244="","",IF(BE$3=0,"n.b.",INDEX(SRC_ZPMW03!$A$1:$ZZ$501,$A244,BE$3)))</f>
        <v/>
      </c>
      <c r="BF244" s="124" t="str">
        <f>IF($B244="","",IF(BF$3=0,"n.b.",INDEX(SRC_ZPMW03!$A$1:$ZZ$501,$A244,BF$3)))</f>
        <v/>
      </c>
      <c r="BG244" t="str">
        <f>IF($B244="","",IF(BG$3=0,"n.b.",INDEX(SRC_ZPMW03!$A$1:$ZZ$501,$A244,BG$3)))</f>
        <v/>
      </c>
      <c r="BH244" t="str">
        <f>IF($B244="","",IF(BH$3=0,"n.b.",INDEX(SRC_ZPMW03!$A$1:$ZZ$501,$A244,BH$3)))</f>
        <v/>
      </c>
      <c r="BI244" t="str">
        <f>IF($B244="","",IF(BI$3=0,"n.b.",INDEX(SRC_ZPMW03!$A$1:$ZZ$501,$A244,BI$3)))</f>
        <v/>
      </c>
      <c r="BJ244" t="str">
        <f>IF($B244="","",IF(BJ$3=0,"n.b.",INDEX(SRC_ZPMW03!$A$1:$ZZ$501,$A244,BJ$3)))</f>
        <v/>
      </c>
      <c r="BK244" s="124" t="str">
        <f>IF($B244="","",IFERROR(-O244,"n.b."))</f>
        <v/>
      </c>
      <c r="BL244" s="124" t="str">
        <f>IF($B244="","",IFERROR(-Q244,"n.b."))</f>
        <v/>
      </c>
      <c r="BM244" s="124" t="str">
        <f>IF($B244="","",IFERROR(-AB244,"n.b."))</f>
        <v/>
      </c>
      <c r="BN244" s="124" t="str">
        <f>IF($B244="","",IFERROR(-AD244,"n.b."))</f>
        <v/>
      </c>
      <c r="BO244" s="124" t="str">
        <f>IF($B244="","",IFERROR(BK244+BM244,"n.b."))</f>
        <v/>
      </c>
      <c r="BP244" s="124" t="str">
        <f>IF($B244="","",IFERROR(BL244+BN244,"n.b."))</f>
        <v/>
      </c>
      <c r="BQ244" s="124" t="str">
        <f>IF($B244="","",IFERROR(-AM244,"n.b."))</f>
        <v/>
      </c>
      <c r="BR244" s="124" t="str">
        <f>IF($B244="","",IFERROR(-AO244,"n.b."))</f>
        <v/>
      </c>
      <c r="BS244" s="124" t="str">
        <f>IF($B244="","",IFERROR(-Z244,"n.b."))</f>
        <v/>
      </c>
      <c r="BT244" s="124" t="str">
        <f>IF($B244="","",IFERROR(-AA244,"n.b."))</f>
        <v/>
      </c>
      <c r="BU244" s="124" t="str">
        <f>IF($B244="","",IFERROR(-AE244,"n.b."))</f>
        <v/>
      </c>
      <c r="BV244" s="124" t="str">
        <f>IF($B244="","",IFERROR(-AF244,"n.b."))</f>
        <v/>
      </c>
      <c r="BW244" s="124" t="str">
        <f>IF($B244="","",IFERROR(-AG244,"n.b."))</f>
        <v/>
      </c>
      <c r="BX244" s="124" t="str">
        <f>IF($B244="","",IFERROR(-AH244,"n.b."))</f>
        <v/>
      </c>
      <c r="BY244" s="124" t="str">
        <f>IF($B244="","",IFERROR(-AI244,"n.b."))</f>
        <v/>
      </c>
      <c r="BZ244" s="124" t="str">
        <f>IF($B244="","",IFERROR(-AJ244,"n.b."))</f>
        <v/>
      </c>
      <c r="CA244" s="124" t="str">
        <f>IF($B244="","",IFERROR(-AK244,"n.b."))</f>
        <v/>
      </c>
      <c r="CB244" s="124" t="str">
        <f>IF($B244="","",IFERROR(-AL244,"n.b."))</f>
        <v/>
      </c>
      <c r="CC244" s="124" t="str">
        <f>IF($B244="","",IFERROR(-AP244,"n.b."))</f>
        <v/>
      </c>
      <c r="CD244" s="124" t="str">
        <f>IF($B244="","",IFERROR(-AQ244,"n.b."))</f>
        <v/>
      </c>
      <c r="CE244" s="124" t="str">
        <f>IF($B244="","",IFERROR(-AR244,"n.b."))</f>
        <v/>
      </c>
      <c r="CF244" s="124" t="str">
        <f>IF($B244="","",IFERROR(-AS244,"n.b."))</f>
        <v/>
      </c>
      <c r="CG244" s="124" t="str">
        <f>IF($B244="","",IFERROR(-AT244,"n.b."))</f>
        <v/>
      </c>
      <c r="CH244" s="124" t="str">
        <f>IF($B244="","",IFERROR(-AU244,"n.b."))</f>
        <v/>
      </c>
      <c r="CI244" s="124" t="str">
        <f>IF($B244="","",IFERROR(-AV244,"n.b."))</f>
        <v/>
      </c>
      <c r="CJ244" s="124" t="str">
        <f>IF($B244="","",IFERROR(-AW244,"n.b."))</f>
        <v/>
      </c>
      <c r="CK244" s="124" t="str">
        <f>IF($B244="","",IFERROR(-AX244,"n.b."))</f>
        <v/>
      </c>
      <c r="CL244" s="124" t="str">
        <f>IF($B244="","",IFERROR(-AY244,"n.b."))</f>
        <v/>
      </c>
      <c r="CM244" s="124" t="str">
        <f>IF($B244="","",IFERROR(-AZ244,"n.b."))</f>
        <v/>
      </c>
      <c r="CN244" s="124" t="str">
        <f>IF($B244="","",IFERROR(-BA244,"n.b."))</f>
        <v/>
      </c>
      <c r="CO244" s="124" t="str">
        <f>IF($B244="","",IFERROR(-BB244,"n.b."))</f>
        <v/>
      </c>
      <c r="CP244" s="124" t="str">
        <f>IF($B244="","",IFERROR(-BC244,"n.b."))</f>
        <v/>
      </c>
      <c r="CQ244" s="124" t="str">
        <f>IF($B244="","",IFERROR(-BD244,"n.b."))</f>
        <v/>
      </c>
      <c r="CR244" s="124" t="str">
        <f>IF($B244="","",IFERROR(-BE244,"n.b."))</f>
        <v/>
      </c>
      <c r="CS244" s="124" t="str">
        <f>IF($B244="","",IFERROR(IF(OR(ABS(T244+V244+X244+Z244-AB244)&gt;P_Tol,ABS(U244+W244+Y244+AA244-AD244)&gt;P_Tol,ABS(AE244+AG244+AI244+AK244-AM244)&gt;P_Tol,ABS(AF244+AH244+AJ244+AL244-AO244)&gt;P_Tol),1,0),1))</f>
        <v/>
      </c>
      <c r="CT244" s="124" t="str">
        <f>IF($B244="","",IFERROR(IF(OR(ABS(AB244+AC244-AD244)&gt;P_Tol,ABS(AM244+AN244-AO244)&gt;P_Tol,ABS(O244+P244-Q244)&gt;P_Tol),1,0),1))</f>
        <v/>
      </c>
      <c r="CU244" s="124" t="str">
        <f>IF($B244="","",IFERROR(IF(ABS(R244-(AB244+AM244+AP244+AR244+AT244+AV244+AX244+AZ244+BB244+BD244))&gt;P_Tol,1,0),1))</f>
        <v/>
      </c>
      <c r="CV244" s="124" t="str">
        <f>IF($B244="","",IFERROR(IF(ABS(M244-(N244+O244+R244))&gt;P_Tol,1,0),1))</f>
        <v/>
      </c>
      <c r="CW244" s="124" t="str">
        <f>IF($B244="","",IF(COUNTIF(Mapping!$A$5:$A$104,B244)&gt;0,1,0))</f>
        <v/>
      </c>
      <c r="CX244" s="124" t="str">
        <f>IF($B244="","",COUNTIF($B$6:$B$505,B244))</f>
        <v/>
      </c>
      <c r="CY244" s="124" t="str">
        <f>IF($B244="","",COUNTIF(STG_Woningetalage!$B$6:$B$505,B244))</f>
        <v/>
      </c>
      <c r="CZ244" s="124" t="str">
        <f>IF($B244="","",IF(CW244=0,COUNTIF($CW$6:CW244,0),""))</f>
        <v/>
      </c>
    </row>
    <row r="245">
      <c r="A245" s="15" t="n">
        <v>241</v>
      </c>
      <c r="B245" t="str">
        <f>IF(B$3=0,"",IF(INDEX(SRC_ZPMW03!$A$1:$ZZ$501,$A245,B$3)&amp;""="","",INDEX(SRC_ZPMW03!$A$1:$ZZ$501,$A245,B$3)&amp;""))</f>
        <v/>
      </c>
      <c r="C245" t="str">
        <f>IF($B245="","",IF(C$3=0,"n.b.",INDEX(SRC_ZPMW03!$A$1:$ZZ$501,$A245,C$3)))</f>
        <v/>
      </c>
      <c r="D245" t="str">
        <f>IF($B245="","",IF(D$3=0,"n.b.",INDEX(SRC_ZPMW03!$A$1:$ZZ$501,$A245,D$3)))</f>
        <v/>
      </c>
      <c r="E245" t="str">
        <f>IF($B245="","",IF(E$3=0,"n.b.",INDEX(SRC_ZPMW03!$A$1:$ZZ$501,$A245,E$3)))</f>
        <v/>
      </c>
      <c r="F245" t="str">
        <f>IF($B245="","",IF(F$3=0,"n.b.",INDEX(SRC_ZPMW03!$A$1:$ZZ$501,$A245,F$3)))</f>
        <v/>
      </c>
      <c r="G245" t="str">
        <f>IF($B245="","",IF(G$3=0,"n.b.",INDEX(SRC_ZPMW03!$A$1:$ZZ$501,$A245,G$3)))</f>
        <v/>
      </c>
      <c r="H245" t="str">
        <f>IF($B245="","",IF(H$3=0,"n.b.",INDEX(SRC_ZPMW03!$A$1:$ZZ$501,$A245,H$3)))</f>
        <v/>
      </c>
      <c r="I245" t="str">
        <f>IF($B245="","",IF(I$3=0,"n.b.",INDEX(SRC_ZPMW03!$A$1:$ZZ$501,$A245,I$3)))</f>
        <v/>
      </c>
      <c r="J245" t="str">
        <f>IF($B245="","",IF(J$3=0,"n.b.",INDEX(SRC_ZPMW03!$A$1:$ZZ$501,$A245,J$3)))</f>
        <v/>
      </c>
      <c r="K245" t="str">
        <f>IF($B245="","",IF(K$3=0,"n.b.",INDEX(SRC_ZPMW03!$A$1:$ZZ$501,$A245,K$3)))</f>
        <v/>
      </c>
      <c r="L245" s="124" t="str">
        <f>IF($B245="","",IF(L$3=0,"n.b.",INDEX(SRC_ZPMW03!$A$1:$ZZ$501,$A245,L$3)))</f>
        <v/>
      </c>
      <c r="M245" s="124" t="str">
        <f>IF($B245="","",IF(M$3=0,"n.b.",INDEX(SRC_ZPMW03!$A$1:$ZZ$501,$A245,M$3)))</f>
        <v/>
      </c>
      <c r="N245" s="124" t="str">
        <f>IF($B245="","",IF(N$3=0,"n.b.",INDEX(SRC_ZPMW03!$A$1:$ZZ$501,$A245,N$3)))</f>
        <v/>
      </c>
      <c r="O245" s="124" t="str">
        <f>IF($B245="","",IF(O$3=0,"n.b.",INDEX(SRC_ZPMW03!$A$1:$ZZ$501,$A245,O$3)))</f>
        <v/>
      </c>
      <c r="P245" s="124" t="str">
        <f>IF($B245="","",IF(P$3=0,"n.b.",INDEX(SRC_ZPMW03!$A$1:$ZZ$501,$A245,P$3)))</f>
        <v/>
      </c>
      <c r="Q245" s="124" t="str">
        <f>IF($B245="","",IF(Q$3=0,"n.b.",INDEX(SRC_ZPMW03!$A$1:$ZZ$501,$A245,Q$3)))</f>
        <v/>
      </c>
      <c r="R245" s="124" t="str">
        <f>IF($B245="","",IF(R$3=0,"n.b.",INDEX(SRC_ZPMW03!$A$1:$ZZ$501,$A245,R$3)))</f>
        <v/>
      </c>
      <c r="S245" s="124" t="str">
        <f>IF($B245="","",IF(S$3=0,"n.b.",INDEX(SRC_ZPMW03!$A$1:$ZZ$501,$A245,S$3)))</f>
        <v/>
      </c>
      <c r="T245" s="124" t="str">
        <f>IF($B245="","",IF(T$3=0,"n.b.",INDEX(SRC_ZPMW03!$A$1:$ZZ$501,$A245,T$3)))</f>
        <v/>
      </c>
      <c r="U245" s="124" t="str">
        <f>IF($B245="","",IF(U$3=0,"n.b.",INDEX(SRC_ZPMW03!$A$1:$ZZ$501,$A245,U$3)))</f>
        <v/>
      </c>
      <c r="V245" s="124" t="str">
        <f>IF($B245="","",IF(V$3=0,"n.b.",INDEX(SRC_ZPMW03!$A$1:$ZZ$501,$A245,V$3)))</f>
        <v/>
      </c>
      <c r="W245" s="124" t="str">
        <f>IF($B245="","",IF(W$3=0,"n.b.",INDEX(SRC_ZPMW03!$A$1:$ZZ$501,$A245,W$3)))</f>
        <v/>
      </c>
      <c r="X245" s="124" t="str">
        <f>IF($B245="","",IF(X$3=0,"n.b.",INDEX(SRC_ZPMW03!$A$1:$ZZ$501,$A245,X$3)))</f>
        <v/>
      </c>
      <c r="Y245" s="124" t="str">
        <f>IF($B245="","",IF(Y$3=0,"n.b.",INDEX(SRC_ZPMW03!$A$1:$ZZ$501,$A245,Y$3)))</f>
        <v/>
      </c>
      <c r="Z245" s="124" t="str">
        <f>IF($B245="","",IF(Z$3=0,"n.b.",INDEX(SRC_ZPMW03!$A$1:$ZZ$501,$A245,Z$3)))</f>
        <v/>
      </c>
      <c r="AA245" s="124" t="str">
        <f>IF($B245="","",IF(AA$3=0,"n.b.",INDEX(SRC_ZPMW03!$A$1:$ZZ$501,$A245,AA$3)))</f>
        <v/>
      </c>
      <c r="AB245" s="124" t="str">
        <f>IF($B245="","",IF(AB$3=0,"n.b.",INDEX(SRC_ZPMW03!$A$1:$ZZ$501,$A245,AB$3)))</f>
        <v/>
      </c>
      <c r="AC245" s="124" t="str">
        <f>IF($B245="","",IF(AC$3=0,"n.b.",INDEX(SRC_ZPMW03!$A$1:$ZZ$501,$A245,AC$3)))</f>
        <v/>
      </c>
      <c r="AD245" s="124" t="str">
        <f>IF($B245="","",IF(AD$3=0,"n.b.",INDEX(SRC_ZPMW03!$A$1:$ZZ$501,$A245,AD$3)))</f>
        <v/>
      </c>
      <c r="AE245" s="124" t="str">
        <f>IF($B245="","",IF(AE$3=0,"n.b.",INDEX(SRC_ZPMW03!$A$1:$ZZ$501,$A245,AE$3)))</f>
        <v/>
      </c>
      <c r="AF245" s="124" t="str">
        <f>IF($B245="","",IF(AF$3=0,"n.b.",INDEX(SRC_ZPMW03!$A$1:$ZZ$501,$A245,AF$3)))</f>
        <v/>
      </c>
      <c r="AG245" s="124" t="str">
        <f>IF($B245="","",IF(AG$3=0,"n.b.",INDEX(SRC_ZPMW03!$A$1:$ZZ$501,$A245,AG$3)))</f>
        <v/>
      </c>
      <c r="AH245" s="124" t="str">
        <f>IF($B245="","",IF(AH$3=0,"n.b.",INDEX(SRC_ZPMW03!$A$1:$ZZ$501,$A245,AH$3)))</f>
        <v/>
      </c>
      <c r="AI245" s="124" t="str">
        <f>IF($B245="","",IF(AI$3=0,"n.b.",INDEX(SRC_ZPMW03!$A$1:$ZZ$501,$A245,AI$3)))</f>
        <v/>
      </c>
      <c r="AJ245" s="124" t="str">
        <f>IF($B245="","",IF(AJ$3=0,"n.b.",INDEX(SRC_ZPMW03!$A$1:$ZZ$501,$A245,AJ$3)))</f>
        <v/>
      </c>
      <c r="AK245" s="124" t="str">
        <f>IF($B245="","",IF(AK$3=0,"n.b.",INDEX(SRC_ZPMW03!$A$1:$ZZ$501,$A245,AK$3)))</f>
        <v/>
      </c>
      <c r="AL245" s="124" t="str">
        <f>IF($B245="","",IF(AL$3=0,"n.b.",INDEX(SRC_ZPMW03!$A$1:$ZZ$501,$A245,AL$3)))</f>
        <v/>
      </c>
      <c r="AM245" s="124" t="str">
        <f>IF($B245="","",IF(AM$3=0,"n.b.",INDEX(SRC_ZPMW03!$A$1:$ZZ$501,$A245,AM$3)))</f>
        <v/>
      </c>
      <c r="AN245" s="124" t="str">
        <f>IF($B245="","",IF(AN$3=0,"n.b.",INDEX(SRC_ZPMW03!$A$1:$ZZ$501,$A245,AN$3)))</f>
        <v/>
      </c>
      <c r="AO245" s="124" t="str">
        <f>IF($B245="","",IF(AO$3=0,"n.b.",INDEX(SRC_ZPMW03!$A$1:$ZZ$501,$A245,AO$3)))</f>
        <v/>
      </c>
      <c r="AP245" s="124" t="str">
        <f>IF($B245="","",IF(AP$3=0,"n.b.",INDEX(SRC_ZPMW03!$A$1:$ZZ$501,$A245,AP$3)))</f>
        <v/>
      </c>
      <c r="AQ245" s="124" t="str">
        <f>IF($B245="","",IF(AQ$3=0,"n.b.",INDEX(SRC_ZPMW03!$A$1:$ZZ$501,$A245,AQ$3)))</f>
        <v/>
      </c>
      <c r="AR245" s="124" t="str">
        <f>IF($B245="","",IF(AR$3=0,"n.b.",INDEX(SRC_ZPMW03!$A$1:$ZZ$501,$A245,AR$3)))</f>
        <v/>
      </c>
      <c r="AS245" s="124" t="str">
        <f>IF($B245="","",IF(AS$3=0,"n.b.",INDEX(SRC_ZPMW03!$A$1:$ZZ$501,$A245,AS$3)))</f>
        <v/>
      </c>
      <c r="AT245" s="124" t="str">
        <f>IF($B245="","",IF(AT$3=0,"n.b.",INDEX(SRC_ZPMW03!$A$1:$ZZ$501,$A245,AT$3)))</f>
        <v/>
      </c>
      <c r="AU245" s="124" t="str">
        <f>IF($B245="","",IF(AU$3=0,"n.b.",INDEX(SRC_ZPMW03!$A$1:$ZZ$501,$A245,AU$3)))</f>
        <v/>
      </c>
      <c r="AV245" s="124" t="str">
        <f>IF($B245="","",IF(AV$3=0,"n.b.",INDEX(SRC_ZPMW03!$A$1:$ZZ$501,$A245,AV$3)))</f>
        <v/>
      </c>
      <c r="AW245" s="124" t="str">
        <f>IF($B245="","",IF(AW$3=0,"n.b.",INDEX(SRC_ZPMW03!$A$1:$ZZ$501,$A245,AW$3)))</f>
        <v/>
      </c>
      <c r="AX245" s="124" t="str">
        <f>IF($B245="","",IF(AX$3=0,"n.b.",INDEX(SRC_ZPMW03!$A$1:$ZZ$501,$A245,AX$3)))</f>
        <v/>
      </c>
      <c r="AY245" s="124" t="str">
        <f>IF($B245="","",IF(AY$3=0,"n.b.",INDEX(SRC_ZPMW03!$A$1:$ZZ$501,$A245,AY$3)))</f>
        <v/>
      </c>
      <c r="AZ245" s="124" t="str">
        <f>IF($B245="","",IF(AZ$3=0,"n.b.",INDEX(SRC_ZPMW03!$A$1:$ZZ$501,$A245,AZ$3)))</f>
        <v/>
      </c>
      <c r="BA245" s="124" t="str">
        <f>IF($B245="","",IF(BA$3=0,"n.b.",INDEX(SRC_ZPMW03!$A$1:$ZZ$501,$A245,BA$3)))</f>
        <v/>
      </c>
      <c r="BB245" s="124" t="str">
        <f>IF($B245="","",IF(BB$3=0,"n.b.",INDEX(SRC_ZPMW03!$A$1:$ZZ$501,$A245,BB$3)))</f>
        <v/>
      </c>
      <c r="BC245" s="124" t="str">
        <f>IF($B245="","",IF(BC$3=0,"n.b.",INDEX(SRC_ZPMW03!$A$1:$ZZ$501,$A245,BC$3)))</f>
        <v/>
      </c>
      <c r="BD245" s="124" t="str">
        <f>IF($B245="","",IF(BD$3=0,"n.b.",INDEX(SRC_ZPMW03!$A$1:$ZZ$501,$A245,BD$3)))</f>
        <v/>
      </c>
      <c r="BE245" s="124" t="str">
        <f>IF($B245="","",IF(BE$3=0,"n.b.",INDEX(SRC_ZPMW03!$A$1:$ZZ$501,$A245,BE$3)))</f>
        <v/>
      </c>
      <c r="BF245" s="124" t="str">
        <f>IF($B245="","",IF(BF$3=0,"n.b.",INDEX(SRC_ZPMW03!$A$1:$ZZ$501,$A245,BF$3)))</f>
        <v/>
      </c>
      <c r="BG245" t="str">
        <f>IF($B245="","",IF(BG$3=0,"n.b.",INDEX(SRC_ZPMW03!$A$1:$ZZ$501,$A245,BG$3)))</f>
        <v/>
      </c>
      <c r="BH245" t="str">
        <f>IF($B245="","",IF(BH$3=0,"n.b.",INDEX(SRC_ZPMW03!$A$1:$ZZ$501,$A245,BH$3)))</f>
        <v/>
      </c>
      <c r="BI245" t="str">
        <f>IF($B245="","",IF(BI$3=0,"n.b.",INDEX(SRC_ZPMW03!$A$1:$ZZ$501,$A245,BI$3)))</f>
        <v/>
      </c>
      <c r="BJ245" t="str">
        <f>IF($B245="","",IF(BJ$3=0,"n.b.",INDEX(SRC_ZPMW03!$A$1:$ZZ$501,$A245,BJ$3)))</f>
        <v/>
      </c>
      <c r="BK245" s="124" t="str">
        <f>IF($B245="","",IFERROR(-O245,"n.b."))</f>
        <v/>
      </c>
      <c r="BL245" s="124" t="str">
        <f>IF($B245="","",IFERROR(-Q245,"n.b."))</f>
        <v/>
      </c>
      <c r="BM245" s="124" t="str">
        <f>IF($B245="","",IFERROR(-AB245,"n.b."))</f>
        <v/>
      </c>
      <c r="BN245" s="124" t="str">
        <f>IF($B245="","",IFERROR(-AD245,"n.b."))</f>
        <v/>
      </c>
      <c r="BO245" s="124" t="str">
        <f>IF($B245="","",IFERROR(BK245+BM245,"n.b."))</f>
        <v/>
      </c>
      <c r="BP245" s="124" t="str">
        <f>IF($B245="","",IFERROR(BL245+BN245,"n.b."))</f>
        <v/>
      </c>
      <c r="BQ245" s="124" t="str">
        <f>IF($B245="","",IFERROR(-AM245,"n.b."))</f>
        <v/>
      </c>
      <c r="BR245" s="124" t="str">
        <f>IF($B245="","",IFERROR(-AO245,"n.b."))</f>
        <v/>
      </c>
      <c r="BS245" s="124" t="str">
        <f>IF($B245="","",IFERROR(-Z245,"n.b."))</f>
        <v/>
      </c>
      <c r="BT245" s="124" t="str">
        <f>IF($B245="","",IFERROR(-AA245,"n.b."))</f>
        <v/>
      </c>
      <c r="BU245" s="124" t="str">
        <f>IF($B245="","",IFERROR(-AE245,"n.b."))</f>
        <v/>
      </c>
      <c r="BV245" s="124" t="str">
        <f>IF($B245="","",IFERROR(-AF245,"n.b."))</f>
        <v/>
      </c>
      <c r="BW245" s="124" t="str">
        <f>IF($B245="","",IFERROR(-AG245,"n.b."))</f>
        <v/>
      </c>
      <c r="BX245" s="124" t="str">
        <f>IF($B245="","",IFERROR(-AH245,"n.b."))</f>
        <v/>
      </c>
      <c r="BY245" s="124" t="str">
        <f>IF($B245="","",IFERROR(-AI245,"n.b."))</f>
        <v/>
      </c>
      <c r="BZ245" s="124" t="str">
        <f>IF($B245="","",IFERROR(-AJ245,"n.b."))</f>
        <v/>
      </c>
      <c r="CA245" s="124" t="str">
        <f>IF($B245="","",IFERROR(-AK245,"n.b."))</f>
        <v/>
      </c>
      <c r="CB245" s="124" t="str">
        <f>IF($B245="","",IFERROR(-AL245,"n.b."))</f>
        <v/>
      </c>
      <c r="CC245" s="124" t="str">
        <f>IF($B245="","",IFERROR(-AP245,"n.b."))</f>
        <v/>
      </c>
      <c r="CD245" s="124" t="str">
        <f>IF($B245="","",IFERROR(-AQ245,"n.b."))</f>
        <v/>
      </c>
      <c r="CE245" s="124" t="str">
        <f>IF($B245="","",IFERROR(-AR245,"n.b."))</f>
        <v/>
      </c>
      <c r="CF245" s="124" t="str">
        <f>IF($B245="","",IFERROR(-AS245,"n.b."))</f>
        <v/>
      </c>
      <c r="CG245" s="124" t="str">
        <f>IF($B245="","",IFERROR(-AT245,"n.b."))</f>
        <v/>
      </c>
      <c r="CH245" s="124" t="str">
        <f>IF($B245="","",IFERROR(-AU245,"n.b."))</f>
        <v/>
      </c>
      <c r="CI245" s="124" t="str">
        <f>IF($B245="","",IFERROR(-AV245,"n.b."))</f>
        <v/>
      </c>
      <c r="CJ245" s="124" t="str">
        <f>IF($B245="","",IFERROR(-AW245,"n.b."))</f>
        <v/>
      </c>
      <c r="CK245" s="124" t="str">
        <f>IF($B245="","",IFERROR(-AX245,"n.b."))</f>
        <v/>
      </c>
      <c r="CL245" s="124" t="str">
        <f>IF($B245="","",IFERROR(-AY245,"n.b."))</f>
        <v/>
      </c>
      <c r="CM245" s="124" t="str">
        <f>IF($B245="","",IFERROR(-AZ245,"n.b."))</f>
        <v/>
      </c>
      <c r="CN245" s="124" t="str">
        <f>IF($B245="","",IFERROR(-BA245,"n.b."))</f>
        <v/>
      </c>
      <c r="CO245" s="124" t="str">
        <f>IF($B245="","",IFERROR(-BB245,"n.b."))</f>
        <v/>
      </c>
      <c r="CP245" s="124" t="str">
        <f>IF($B245="","",IFERROR(-BC245,"n.b."))</f>
        <v/>
      </c>
      <c r="CQ245" s="124" t="str">
        <f>IF($B245="","",IFERROR(-BD245,"n.b."))</f>
        <v/>
      </c>
      <c r="CR245" s="124" t="str">
        <f>IF($B245="","",IFERROR(-BE245,"n.b."))</f>
        <v/>
      </c>
      <c r="CS245" s="124" t="str">
        <f>IF($B245="","",IFERROR(IF(OR(ABS(T245+V245+X245+Z245-AB245)&gt;P_Tol,ABS(U245+W245+Y245+AA245-AD245)&gt;P_Tol,ABS(AE245+AG245+AI245+AK245-AM245)&gt;P_Tol,ABS(AF245+AH245+AJ245+AL245-AO245)&gt;P_Tol),1,0),1))</f>
        <v/>
      </c>
      <c r="CT245" s="124" t="str">
        <f>IF($B245="","",IFERROR(IF(OR(ABS(AB245+AC245-AD245)&gt;P_Tol,ABS(AM245+AN245-AO245)&gt;P_Tol,ABS(O245+P245-Q245)&gt;P_Tol),1,0),1))</f>
        <v/>
      </c>
      <c r="CU245" s="124" t="str">
        <f>IF($B245="","",IFERROR(IF(ABS(R245-(AB245+AM245+AP245+AR245+AT245+AV245+AX245+AZ245+BB245+BD245))&gt;P_Tol,1,0),1))</f>
        <v/>
      </c>
      <c r="CV245" s="124" t="str">
        <f>IF($B245="","",IFERROR(IF(ABS(M245-(N245+O245+R245))&gt;P_Tol,1,0),1))</f>
        <v/>
      </c>
      <c r="CW245" s="124" t="str">
        <f>IF($B245="","",IF(COUNTIF(Mapping!$A$5:$A$104,B245)&gt;0,1,0))</f>
        <v/>
      </c>
      <c r="CX245" s="124" t="str">
        <f>IF($B245="","",COUNTIF($B$6:$B$505,B245))</f>
        <v/>
      </c>
      <c r="CY245" s="124" t="str">
        <f>IF($B245="","",COUNTIF(STG_Woningetalage!$B$6:$B$505,B245))</f>
        <v/>
      </c>
      <c r="CZ245" s="124" t="str">
        <f>IF($B245="","",IF(CW245=0,COUNTIF($CW$6:CW245,0),""))</f>
        <v/>
      </c>
    </row>
    <row r="246">
      <c r="A246" s="15" t="n">
        <v>242</v>
      </c>
      <c r="B246" t="str">
        <f>IF(B$3=0,"",IF(INDEX(SRC_ZPMW03!$A$1:$ZZ$501,$A246,B$3)&amp;""="","",INDEX(SRC_ZPMW03!$A$1:$ZZ$501,$A246,B$3)&amp;""))</f>
        <v/>
      </c>
      <c r="C246" t="str">
        <f>IF($B246="","",IF(C$3=0,"n.b.",INDEX(SRC_ZPMW03!$A$1:$ZZ$501,$A246,C$3)))</f>
        <v/>
      </c>
      <c r="D246" t="str">
        <f>IF($B246="","",IF(D$3=0,"n.b.",INDEX(SRC_ZPMW03!$A$1:$ZZ$501,$A246,D$3)))</f>
        <v/>
      </c>
      <c r="E246" t="str">
        <f>IF($B246="","",IF(E$3=0,"n.b.",INDEX(SRC_ZPMW03!$A$1:$ZZ$501,$A246,E$3)))</f>
        <v/>
      </c>
      <c r="F246" t="str">
        <f>IF($B246="","",IF(F$3=0,"n.b.",INDEX(SRC_ZPMW03!$A$1:$ZZ$501,$A246,F$3)))</f>
        <v/>
      </c>
      <c r="G246" t="str">
        <f>IF($B246="","",IF(G$3=0,"n.b.",INDEX(SRC_ZPMW03!$A$1:$ZZ$501,$A246,G$3)))</f>
        <v/>
      </c>
      <c r="H246" t="str">
        <f>IF($B246="","",IF(H$3=0,"n.b.",INDEX(SRC_ZPMW03!$A$1:$ZZ$501,$A246,H$3)))</f>
        <v/>
      </c>
      <c r="I246" t="str">
        <f>IF($B246="","",IF(I$3=0,"n.b.",INDEX(SRC_ZPMW03!$A$1:$ZZ$501,$A246,I$3)))</f>
        <v/>
      </c>
      <c r="J246" t="str">
        <f>IF($B246="","",IF(J$3=0,"n.b.",INDEX(SRC_ZPMW03!$A$1:$ZZ$501,$A246,J$3)))</f>
        <v/>
      </c>
      <c r="K246" t="str">
        <f>IF($B246="","",IF(K$3=0,"n.b.",INDEX(SRC_ZPMW03!$A$1:$ZZ$501,$A246,K$3)))</f>
        <v/>
      </c>
      <c r="L246" s="124" t="str">
        <f>IF($B246="","",IF(L$3=0,"n.b.",INDEX(SRC_ZPMW03!$A$1:$ZZ$501,$A246,L$3)))</f>
        <v/>
      </c>
      <c r="M246" s="124" t="str">
        <f>IF($B246="","",IF(M$3=0,"n.b.",INDEX(SRC_ZPMW03!$A$1:$ZZ$501,$A246,M$3)))</f>
        <v/>
      </c>
      <c r="N246" s="124" t="str">
        <f>IF($B246="","",IF(N$3=0,"n.b.",INDEX(SRC_ZPMW03!$A$1:$ZZ$501,$A246,N$3)))</f>
        <v/>
      </c>
      <c r="O246" s="124" t="str">
        <f>IF($B246="","",IF(O$3=0,"n.b.",INDEX(SRC_ZPMW03!$A$1:$ZZ$501,$A246,O$3)))</f>
        <v/>
      </c>
      <c r="P246" s="124" t="str">
        <f>IF($B246="","",IF(P$3=0,"n.b.",INDEX(SRC_ZPMW03!$A$1:$ZZ$501,$A246,P$3)))</f>
        <v/>
      </c>
      <c r="Q246" s="124" t="str">
        <f>IF($B246="","",IF(Q$3=0,"n.b.",INDEX(SRC_ZPMW03!$A$1:$ZZ$501,$A246,Q$3)))</f>
        <v/>
      </c>
      <c r="R246" s="124" t="str">
        <f>IF($B246="","",IF(R$3=0,"n.b.",INDEX(SRC_ZPMW03!$A$1:$ZZ$501,$A246,R$3)))</f>
        <v/>
      </c>
      <c r="S246" s="124" t="str">
        <f>IF($B246="","",IF(S$3=0,"n.b.",INDEX(SRC_ZPMW03!$A$1:$ZZ$501,$A246,S$3)))</f>
        <v/>
      </c>
      <c r="T246" s="124" t="str">
        <f>IF($B246="","",IF(T$3=0,"n.b.",INDEX(SRC_ZPMW03!$A$1:$ZZ$501,$A246,T$3)))</f>
        <v/>
      </c>
      <c r="U246" s="124" t="str">
        <f>IF($B246="","",IF(U$3=0,"n.b.",INDEX(SRC_ZPMW03!$A$1:$ZZ$501,$A246,U$3)))</f>
        <v/>
      </c>
      <c r="V246" s="124" t="str">
        <f>IF($B246="","",IF(V$3=0,"n.b.",INDEX(SRC_ZPMW03!$A$1:$ZZ$501,$A246,V$3)))</f>
        <v/>
      </c>
      <c r="W246" s="124" t="str">
        <f>IF($B246="","",IF(W$3=0,"n.b.",INDEX(SRC_ZPMW03!$A$1:$ZZ$501,$A246,W$3)))</f>
        <v/>
      </c>
      <c r="X246" s="124" t="str">
        <f>IF($B246="","",IF(X$3=0,"n.b.",INDEX(SRC_ZPMW03!$A$1:$ZZ$501,$A246,X$3)))</f>
        <v/>
      </c>
      <c r="Y246" s="124" t="str">
        <f>IF($B246="","",IF(Y$3=0,"n.b.",INDEX(SRC_ZPMW03!$A$1:$ZZ$501,$A246,Y$3)))</f>
        <v/>
      </c>
      <c r="Z246" s="124" t="str">
        <f>IF($B246="","",IF(Z$3=0,"n.b.",INDEX(SRC_ZPMW03!$A$1:$ZZ$501,$A246,Z$3)))</f>
        <v/>
      </c>
      <c r="AA246" s="124" t="str">
        <f>IF($B246="","",IF(AA$3=0,"n.b.",INDEX(SRC_ZPMW03!$A$1:$ZZ$501,$A246,AA$3)))</f>
        <v/>
      </c>
      <c r="AB246" s="124" t="str">
        <f>IF($B246="","",IF(AB$3=0,"n.b.",INDEX(SRC_ZPMW03!$A$1:$ZZ$501,$A246,AB$3)))</f>
        <v/>
      </c>
      <c r="AC246" s="124" t="str">
        <f>IF($B246="","",IF(AC$3=0,"n.b.",INDEX(SRC_ZPMW03!$A$1:$ZZ$501,$A246,AC$3)))</f>
        <v/>
      </c>
      <c r="AD246" s="124" t="str">
        <f>IF($B246="","",IF(AD$3=0,"n.b.",INDEX(SRC_ZPMW03!$A$1:$ZZ$501,$A246,AD$3)))</f>
        <v/>
      </c>
      <c r="AE246" s="124" t="str">
        <f>IF($B246="","",IF(AE$3=0,"n.b.",INDEX(SRC_ZPMW03!$A$1:$ZZ$501,$A246,AE$3)))</f>
        <v/>
      </c>
      <c r="AF246" s="124" t="str">
        <f>IF($B246="","",IF(AF$3=0,"n.b.",INDEX(SRC_ZPMW03!$A$1:$ZZ$501,$A246,AF$3)))</f>
        <v/>
      </c>
      <c r="AG246" s="124" t="str">
        <f>IF($B246="","",IF(AG$3=0,"n.b.",INDEX(SRC_ZPMW03!$A$1:$ZZ$501,$A246,AG$3)))</f>
        <v/>
      </c>
      <c r="AH246" s="124" t="str">
        <f>IF($B246="","",IF(AH$3=0,"n.b.",INDEX(SRC_ZPMW03!$A$1:$ZZ$501,$A246,AH$3)))</f>
        <v/>
      </c>
      <c r="AI246" s="124" t="str">
        <f>IF($B246="","",IF(AI$3=0,"n.b.",INDEX(SRC_ZPMW03!$A$1:$ZZ$501,$A246,AI$3)))</f>
        <v/>
      </c>
      <c r="AJ246" s="124" t="str">
        <f>IF($B246="","",IF(AJ$3=0,"n.b.",INDEX(SRC_ZPMW03!$A$1:$ZZ$501,$A246,AJ$3)))</f>
        <v/>
      </c>
      <c r="AK246" s="124" t="str">
        <f>IF($B246="","",IF(AK$3=0,"n.b.",INDEX(SRC_ZPMW03!$A$1:$ZZ$501,$A246,AK$3)))</f>
        <v/>
      </c>
      <c r="AL246" s="124" t="str">
        <f>IF($B246="","",IF(AL$3=0,"n.b.",INDEX(SRC_ZPMW03!$A$1:$ZZ$501,$A246,AL$3)))</f>
        <v/>
      </c>
      <c r="AM246" s="124" t="str">
        <f>IF($B246="","",IF(AM$3=0,"n.b.",INDEX(SRC_ZPMW03!$A$1:$ZZ$501,$A246,AM$3)))</f>
        <v/>
      </c>
      <c r="AN246" s="124" t="str">
        <f>IF($B246="","",IF(AN$3=0,"n.b.",INDEX(SRC_ZPMW03!$A$1:$ZZ$501,$A246,AN$3)))</f>
        <v/>
      </c>
      <c r="AO246" s="124" t="str">
        <f>IF($B246="","",IF(AO$3=0,"n.b.",INDEX(SRC_ZPMW03!$A$1:$ZZ$501,$A246,AO$3)))</f>
        <v/>
      </c>
      <c r="AP246" s="124" t="str">
        <f>IF($B246="","",IF(AP$3=0,"n.b.",INDEX(SRC_ZPMW03!$A$1:$ZZ$501,$A246,AP$3)))</f>
        <v/>
      </c>
      <c r="AQ246" s="124" t="str">
        <f>IF($B246="","",IF(AQ$3=0,"n.b.",INDEX(SRC_ZPMW03!$A$1:$ZZ$501,$A246,AQ$3)))</f>
        <v/>
      </c>
      <c r="AR246" s="124" t="str">
        <f>IF($B246="","",IF(AR$3=0,"n.b.",INDEX(SRC_ZPMW03!$A$1:$ZZ$501,$A246,AR$3)))</f>
        <v/>
      </c>
      <c r="AS246" s="124" t="str">
        <f>IF($B246="","",IF(AS$3=0,"n.b.",INDEX(SRC_ZPMW03!$A$1:$ZZ$501,$A246,AS$3)))</f>
        <v/>
      </c>
      <c r="AT246" s="124" t="str">
        <f>IF($B246="","",IF(AT$3=0,"n.b.",INDEX(SRC_ZPMW03!$A$1:$ZZ$501,$A246,AT$3)))</f>
        <v/>
      </c>
      <c r="AU246" s="124" t="str">
        <f>IF($B246="","",IF(AU$3=0,"n.b.",INDEX(SRC_ZPMW03!$A$1:$ZZ$501,$A246,AU$3)))</f>
        <v/>
      </c>
      <c r="AV246" s="124" t="str">
        <f>IF($B246="","",IF(AV$3=0,"n.b.",INDEX(SRC_ZPMW03!$A$1:$ZZ$501,$A246,AV$3)))</f>
        <v/>
      </c>
      <c r="AW246" s="124" t="str">
        <f>IF($B246="","",IF(AW$3=0,"n.b.",INDEX(SRC_ZPMW03!$A$1:$ZZ$501,$A246,AW$3)))</f>
        <v/>
      </c>
      <c r="AX246" s="124" t="str">
        <f>IF($B246="","",IF(AX$3=0,"n.b.",INDEX(SRC_ZPMW03!$A$1:$ZZ$501,$A246,AX$3)))</f>
        <v/>
      </c>
      <c r="AY246" s="124" t="str">
        <f>IF($B246="","",IF(AY$3=0,"n.b.",INDEX(SRC_ZPMW03!$A$1:$ZZ$501,$A246,AY$3)))</f>
        <v/>
      </c>
      <c r="AZ246" s="124" t="str">
        <f>IF($B246="","",IF(AZ$3=0,"n.b.",INDEX(SRC_ZPMW03!$A$1:$ZZ$501,$A246,AZ$3)))</f>
        <v/>
      </c>
      <c r="BA246" s="124" t="str">
        <f>IF($B246="","",IF(BA$3=0,"n.b.",INDEX(SRC_ZPMW03!$A$1:$ZZ$501,$A246,BA$3)))</f>
        <v/>
      </c>
      <c r="BB246" s="124" t="str">
        <f>IF($B246="","",IF(BB$3=0,"n.b.",INDEX(SRC_ZPMW03!$A$1:$ZZ$501,$A246,BB$3)))</f>
        <v/>
      </c>
      <c r="BC246" s="124" t="str">
        <f>IF($B246="","",IF(BC$3=0,"n.b.",INDEX(SRC_ZPMW03!$A$1:$ZZ$501,$A246,BC$3)))</f>
        <v/>
      </c>
      <c r="BD246" s="124" t="str">
        <f>IF($B246="","",IF(BD$3=0,"n.b.",INDEX(SRC_ZPMW03!$A$1:$ZZ$501,$A246,BD$3)))</f>
        <v/>
      </c>
      <c r="BE246" s="124" t="str">
        <f>IF($B246="","",IF(BE$3=0,"n.b.",INDEX(SRC_ZPMW03!$A$1:$ZZ$501,$A246,BE$3)))</f>
        <v/>
      </c>
      <c r="BF246" s="124" t="str">
        <f>IF($B246="","",IF(BF$3=0,"n.b.",INDEX(SRC_ZPMW03!$A$1:$ZZ$501,$A246,BF$3)))</f>
        <v/>
      </c>
      <c r="BG246" t="str">
        <f>IF($B246="","",IF(BG$3=0,"n.b.",INDEX(SRC_ZPMW03!$A$1:$ZZ$501,$A246,BG$3)))</f>
        <v/>
      </c>
      <c r="BH246" t="str">
        <f>IF($B246="","",IF(BH$3=0,"n.b.",INDEX(SRC_ZPMW03!$A$1:$ZZ$501,$A246,BH$3)))</f>
        <v/>
      </c>
      <c r="BI246" t="str">
        <f>IF($B246="","",IF(BI$3=0,"n.b.",INDEX(SRC_ZPMW03!$A$1:$ZZ$501,$A246,BI$3)))</f>
        <v/>
      </c>
      <c r="BJ246" t="str">
        <f>IF($B246="","",IF(BJ$3=0,"n.b.",INDEX(SRC_ZPMW03!$A$1:$ZZ$501,$A246,BJ$3)))</f>
        <v/>
      </c>
      <c r="BK246" s="124" t="str">
        <f>IF($B246="","",IFERROR(-O246,"n.b."))</f>
        <v/>
      </c>
      <c r="BL246" s="124" t="str">
        <f>IF($B246="","",IFERROR(-Q246,"n.b."))</f>
        <v/>
      </c>
      <c r="BM246" s="124" t="str">
        <f>IF($B246="","",IFERROR(-AB246,"n.b."))</f>
        <v/>
      </c>
      <c r="BN246" s="124" t="str">
        <f>IF($B246="","",IFERROR(-AD246,"n.b."))</f>
        <v/>
      </c>
      <c r="BO246" s="124" t="str">
        <f>IF($B246="","",IFERROR(BK246+BM246,"n.b."))</f>
        <v/>
      </c>
      <c r="BP246" s="124" t="str">
        <f>IF($B246="","",IFERROR(BL246+BN246,"n.b."))</f>
        <v/>
      </c>
      <c r="BQ246" s="124" t="str">
        <f>IF($B246="","",IFERROR(-AM246,"n.b."))</f>
        <v/>
      </c>
      <c r="BR246" s="124" t="str">
        <f>IF($B246="","",IFERROR(-AO246,"n.b."))</f>
        <v/>
      </c>
      <c r="BS246" s="124" t="str">
        <f>IF($B246="","",IFERROR(-Z246,"n.b."))</f>
        <v/>
      </c>
      <c r="BT246" s="124" t="str">
        <f>IF($B246="","",IFERROR(-AA246,"n.b."))</f>
        <v/>
      </c>
      <c r="BU246" s="124" t="str">
        <f>IF($B246="","",IFERROR(-AE246,"n.b."))</f>
        <v/>
      </c>
      <c r="BV246" s="124" t="str">
        <f>IF($B246="","",IFERROR(-AF246,"n.b."))</f>
        <v/>
      </c>
      <c r="BW246" s="124" t="str">
        <f>IF($B246="","",IFERROR(-AG246,"n.b."))</f>
        <v/>
      </c>
      <c r="BX246" s="124" t="str">
        <f>IF($B246="","",IFERROR(-AH246,"n.b."))</f>
        <v/>
      </c>
      <c r="BY246" s="124" t="str">
        <f>IF($B246="","",IFERROR(-AI246,"n.b."))</f>
        <v/>
      </c>
      <c r="BZ246" s="124" t="str">
        <f>IF($B246="","",IFERROR(-AJ246,"n.b."))</f>
        <v/>
      </c>
      <c r="CA246" s="124" t="str">
        <f>IF($B246="","",IFERROR(-AK246,"n.b."))</f>
        <v/>
      </c>
      <c r="CB246" s="124" t="str">
        <f>IF($B246="","",IFERROR(-AL246,"n.b."))</f>
        <v/>
      </c>
      <c r="CC246" s="124" t="str">
        <f>IF($B246="","",IFERROR(-AP246,"n.b."))</f>
        <v/>
      </c>
      <c r="CD246" s="124" t="str">
        <f>IF($B246="","",IFERROR(-AQ246,"n.b."))</f>
        <v/>
      </c>
      <c r="CE246" s="124" t="str">
        <f>IF($B246="","",IFERROR(-AR246,"n.b."))</f>
        <v/>
      </c>
      <c r="CF246" s="124" t="str">
        <f>IF($B246="","",IFERROR(-AS246,"n.b."))</f>
        <v/>
      </c>
      <c r="CG246" s="124" t="str">
        <f>IF($B246="","",IFERROR(-AT246,"n.b."))</f>
        <v/>
      </c>
      <c r="CH246" s="124" t="str">
        <f>IF($B246="","",IFERROR(-AU246,"n.b."))</f>
        <v/>
      </c>
      <c r="CI246" s="124" t="str">
        <f>IF($B246="","",IFERROR(-AV246,"n.b."))</f>
        <v/>
      </c>
      <c r="CJ246" s="124" t="str">
        <f>IF($B246="","",IFERROR(-AW246,"n.b."))</f>
        <v/>
      </c>
      <c r="CK246" s="124" t="str">
        <f>IF($B246="","",IFERROR(-AX246,"n.b."))</f>
        <v/>
      </c>
      <c r="CL246" s="124" t="str">
        <f>IF($B246="","",IFERROR(-AY246,"n.b."))</f>
        <v/>
      </c>
      <c r="CM246" s="124" t="str">
        <f>IF($B246="","",IFERROR(-AZ246,"n.b."))</f>
        <v/>
      </c>
      <c r="CN246" s="124" t="str">
        <f>IF($B246="","",IFERROR(-BA246,"n.b."))</f>
        <v/>
      </c>
      <c r="CO246" s="124" t="str">
        <f>IF($B246="","",IFERROR(-BB246,"n.b."))</f>
        <v/>
      </c>
      <c r="CP246" s="124" t="str">
        <f>IF($B246="","",IFERROR(-BC246,"n.b."))</f>
        <v/>
      </c>
      <c r="CQ246" s="124" t="str">
        <f>IF($B246="","",IFERROR(-BD246,"n.b."))</f>
        <v/>
      </c>
      <c r="CR246" s="124" t="str">
        <f>IF($B246="","",IFERROR(-BE246,"n.b."))</f>
        <v/>
      </c>
      <c r="CS246" s="124" t="str">
        <f>IF($B246="","",IFERROR(IF(OR(ABS(T246+V246+X246+Z246-AB246)&gt;P_Tol,ABS(U246+W246+Y246+AA246-AD246)&gt;P_Tol,ABS(AE246+AG246+AI246+AK246-AM246)&gt;P_Tol,ABS(AF246+AH246+AJ246+AL246-AO246)&gt;P_Tol),1,0),1))</f>
        <v/>
      </c>
      <c r="CT246" s="124" t="str">
        <f>IF($B246="","",IFERROR(IF(OR(ABS(AB246+AC246-AD246)&gt;P_Tol,ABS(AM246+AN246-AO246)&gt;P_Tol,ABS(O246+P246-Q246)&gt;P_Tol),1,0),1))</f>
        <v/>
      </c>
      <c r="CU246" s="124" t="str">
        <f>IF($B246="","",IFERROR(IF(ABS(R246-(AB246+AM246+AP246+AR246+AT246+AV246+AX246+AZ246+BB246+BD246))&gt;P_Tol,1,0),1))</f>
        <v/>
      </c>
      <c r="CV246" s="124" t="str">
        <f>IF($B246="","",IFERROR(IF(ABS(M246-(N246+O246+R246))&gt;P_Tol,1,0),1))</f>
        <v/>
      </c>
      <c r="CW246" s="124" t="str">
        <f>IF($B246="","",IF(COUNTIF(Mapping!$A$5:$A$104,B246)&gt;0,1,0))</f>
        <v/>
      </c>
      <c r="CX246" s="124" t="str">
        <f>IF($B246="","",COUNTIF($B$6:$B$505,B246))</f>
        <v/>
      </c>
      <c r="CY246" s="124" t="str">
        <f>IF($B246="","",COUNTIF(STG_Woningetalage!$B$6:$B$505,B246))</f>
        <v/>
      </c>
      <c r="CZ246" s="124" t="str">
        <f>IF($B246="","",IF(CW246=0,COUNTIF($CW$6:CW246,0),""))</f>
        <v/>
      </c>
    </row>
    <row r="247">
      <c r="A247" s="15" t="n">
        <v>243</v>
      </c>
      <c r="B247" t="str">
        <f>IF(B$3=0,"",IF(INDEX(SRC_ZPMW03!$A$1:$ZZ$501,$A247,B$3)&amp;""="","",INDEX(SRC_ZPMW03!$A$1:$ZZ$501,$A247,B$3)&amp;""))</f>
        <v/>
      </c>
      <c r="C247" t="str">
        <f>IF($B247="","",IF(C$3=0,"n.b.",INDEX(SRC_ZPMW03!$A$1:$ZZ$501,$A247,C$3)))</f>
        <v/>
      </c>
      <c r="D247" t="str">
        <f>IF($B247="","",IF(D$3=0,"n.b.",INDEX(SRC_ZPMW03!$A$1:$ZZ$501,$A247,D$3)))</f>
        <v/>
      </c>
      <c r="E247" t="str">
        <f>IF($B247="","",IF(E$3=0,"n.b.",INDEX(SRC_ZPMW03!$A$1:$ZZ$501,$A247,E$3)))</f>
        <v/>
      </c>
      <c r="F247" t="str">
        <f>IF($B247="","",IF(F$3=0,"n.b.",INDEX(SRC_ZPMW03!$A$1:$ZZ$501,$A247,F$3)))</f>
        <v/>
      </c>
      <c r="G247" t="str">
        <f>IF($B247="","",IF(G$3=0,"n.b.",INDEX(SRC_ZPMW03!$A$1:$ZZ$501,$A247,G$3)))</f>
        <v/>
      </c>
      <c r="H247" t="str">
        <f>IF($B247="","",IF(H$3=0,"n.b.",INDEX(SRC_ZPMW03!$A$1:$ZZ$501,$A247,H$3)))</f>
        <v/>
      </c>
      <c r="I247" t="str">
        <f>IF($B247="","",IF(I$3=0,"n.b.",INDEX(SRC_ZPMW03!$A$1:$ZZ$501,$A247,I$3)))</f>
        <v/>
      </c>
      <c r="J247" t="str">
        <f>IF($B247="","",IF(J$3=0,"n.b.",INDEX(SRC_ZPMW03!$A$1:$ZZ$501,$A247,J$3)))</f>
        <v/>
      </c>
      <c r="K247" t="str">
        <f>IF($B247="","",IF(K$3=0,"n.b.",INDEX(SRC_ZPMW03!$A$1:$ZZ$501,$A247,K$3)))</f>
        <v/>
      </c>
      <c r="L247" s="124" t="str">
        <f>IF($B247="","",IF(L$3=0,"n.b.",INDEX(SRC_ZPMW03!$A$1:$ZZ$501,$A247,L$3)))</f>
        <v/>
      </c>
      <c r="M247" s="124" t="str">
        <f>IF($B247="","",IF(M$3=0,"n.b.",INDEX(SRC_ZPMW03!$A$1:$ZZ$501,$A247,M$3)))</f>
        <v/>
      </c>
      <c r="N247" s="124" t="str">
        <f>IF($B247="","",IF(N$3=0,"n.b.",INDEX(SRC_ZPMW03!$A$1:$ZZ$501,$A247,N$3)))</f>
        <v/>
      </c>
      <c r="O247" s="124" t="str">
        <f>IF($B247="","",IF(O$3=0,"n.b.",INDEX(SRC_ZPMW03!$A$1:$ZZ$501,$A247,O$3)))</f>
        <v/>
      </c>
      <c r="P247" s="124" t="str">
        <f>IF($B247="","",IF(P$3=0,"n.b.",INDEX(SRC_ZPMW03!$A$1:$ZZ$501,$A247,P$3)))</f>
        <v/>
      </c>
      <c r="Q247" s="124" t="str">
        <f>IF($B247="","",IF(Q$3=0,"n.b.",INDEX(SRC_ZPMW03!$A$1:$ZZ$501,$A247,Q$3)))</f>
        <v/>
      </c>
      <c r="R247" s="124" t="str">
        <f>IF($B247="","",IF(R$3=0,"n.b.",INDEX(SRC_ZPMW03!$A$1:$ZZ$501,$A247,R$3)))</f>
        <v/>
      </c>
      <c r="S247" s="124" t="str">
        <f>IF($B247="","",IF(S$3=0,"n.b.",INDEX(SRC_ZPMW03!$A$1:$ZZ$501,$A247,S$3)))</f>
        <v/>
      </c>
      <c r="T247" s="124" t="str">
        <f>IF($B247="","",IF(T$3=0,"n.b.",INDEX(SRC_ZPMW03!$A$1:$ZZ$501,$A247,T$3)))</f>
        <v/>
      </c>
      <c r="U247" s="124" t="str">
        <f>IF($B247="","",IF(U$3=0,"n.b.",INDEX(SRC_ZPMW03!$A$1:$ZZ$501,$A247,U$3)))</f>
        <v/>
      </c>
      <c r="V247" s="124" t="str">
        <f>IF($B247="","",IF(V$3=0,"n.b.",INDEX(SRC_ZPMW03!$A$1:$ZZ$501,$A247,V$3)))</f>
        <v/>
      </c>
      <c r="W247" s="124" t="str">
        <f>IF($B247="","",IF(W$3=0,"n.b.",INDEX(SRC_ZPMW03!$A$1:$ZZ$501,$A247,W$3)))</f>
        <v/>
      </c>
      <c r="X247" s="124" t="str">
        <f>IF($B247="","",IF(X$3=0,"n.b.",INDEX(SRC_ZPMW03!$A$1:$ZZ$501,$A247,X$3)))</f>
        <v/>
      </c>
      <c r="Y247" s="124" t="str">
        <f>IF($B247="","",IF(Y$3=0,"n.b.",INDEX(SRC_ZPMW03!$A$1:$ZZ$501,$A247,Y$3)))</f>
        <v/>
      </c>
      <c r="Z247" s="124" t="str">
        <f>IF($B247="","",IF(Z$3=0,"n.b.",INDEX(SRC_ZPMW03!$A$1:$ZZ$501,$A247,Z$3)))</f>
        <v/>
      </c>
      <c r="AA247" s="124" t="str">
        <f>IF($B247="","",IF(AA$3=0,"n.b.",INDEX(SRC_ZPMW03!$A$1:$ZZ$501,$A247,AA$3)))</f>
        <v/>
      </c>
      <c r="AB247" s="124" t="str">
        <f>IF($B247="","",IF(AB$3=0,"n.b.",INDEX(SRC_ZPMW03!$A$1:$ZZ$501,$A247,AB$3)))</f>
        <v/>
      </c>
      <c r="AC247" s="124" t="str">
        <f>IF($B247="","",IF(AC$3=0,"n.b.",INDEX(SRC_ZPMW03!$A$1:$ZZ$501,$A247,AC$3)))</f>
        <v/>
      </c>
      <c r="AD247" s="124" t="str">
        <f>IF($B247="","",IF(AD$3=0,"n.b.",INDEX(SRC_ZPMW03!$A$1:$ZZ$501,$A247,AD$3)))</f>
        <v/>
      </c>
      <c r="AE247" s="124" t="str">
        <f>IF($B247="","",IF(AE$3=0,"n.b.",INDEX(SRC_ZPMW03!$A$1:$ZZ$501,$A247,AE$3)))</f>
        <v/>
      </c>
      <c r="AF247" s="124" t="str">
        <f>IF($B247="","",IF(AF$3=0,"n.b.",INDEX(SRC_ZPMW03!$A$1:$ZZ$501,$A247,AF$3)))</f>
        <v/>
      </c>
      <c r="AG247" s="124" t="str">
        <f>IF($B247="","",IF(AG$3=0,"n.b.",INDEX(SRC_ZPMW03!$A$1:$ZZ$501,$A247,AG$3)))</f>
        <v/>
      </c>
      <c r="AH247" s="124" t="str">
        <f>IF($B247="","",IF(AH$3=0,"n.b.",INDEX(SRC_ZPMW03!$A$1:$ZZ$501,$A247,AH$3)))</f>
        <v/>
      </c>
      <c r="AI247" s="124" t="str">
        <f>IF($B247="","",IF(AI$3=0,"n.b.",INDEX(SRC_ZPMW03!$A$1:$ZZ$501,$A247,AI$3)))</f>
        <v/>
      </c>
      <c r="AJ247" s="124" t="str">
        <f>IF($B247="","",IF(AJ$3=0,"n.b.",INDEX(SRC_ZPMW03!$A$1:$ZZ$501,$A247,AJ$3)))</f>
        <v/>
      </c>
      <c r="AK247" s="124" t="str">
        <f>IF($B247="","",IF(AK$3=0,"n.b.",INDEX(SRC_ZPMW03!$A$1:$ZZ$501,$A247,AK$3)))</f>
        <v/>
      </c>
      <c r="AL247" s="124" t="str">
        <f>IF($B247="","",IF(AL$3=0,"n.b.",INDEX(SRC_ZPMW03!$A$1:$ZZ$501,$A247,AL$3)))</f>
        <v/>
      </c>
      <c r="AM247" s="124" t="str">
        <f>IF($B247="","",IF(AM$3=0,"n.b.",INDEX(SRC_ZPMW03!$A$1:$ZZ$501,$A247,AM$3)))</f>
        <v/>
      </c>
      <c r="AN247" s="124" t="str">
        <f>IF($B247="","",IF(AN$3=0,"n.b.",INDEX(SRC_ZPMW03!$A$1:$ZZ$501,$A247,AN$3)))</f>
        <v/>
      </c>
      <c r="AO247" s="124" t="str">
        <f>IF($B247="","",IF(AO$3=0,"n.b.",INDEX(SRC_ZPMW03!$A$1:$ZZ$501,$A247,AO$3)))</f>
        <v/>
      </c>
      <c r="AP247" s="124" t="str">
        <f>IF($B247="","",IF(AP$3=0,"n.b.",INDEX(SRC_ZPMW03!$A$1:$ZZ$501,$A247,AP$3)))</f>
        <v/>
      </c>
      <c r="AQ247" s="124" t="str">
        <f>IF($B247="","",IF(AQ$3=0,"n.b.",INDEX(SRC_ZPMW03!$A$1:$ZZ$501,$A247,AQ$3)))</f>
        <v/>
      </c>
      <c r="AR247" s="124" t="str">
        <f>IF($B247="","",IF(AR$3=0,"n.b.",INDEX(SRC_ZPMW03!$A$1:$ZZ$501,$A247,AR$3)))</f>
        <v/>
      </c>
      <c r="AS247" s="124" t="str">
        <f>IF($B247="","",IF(AS$3=0,"n.b.",INDEX(SRC_ZPMW03!$A$1:$ZZ$501,$A247,AS$3)))</f>
        <v/>
      </c>
      <c r="AT247" s="124" t="str">
        <f>IF($B247="","",IF(AT$3=0,"n.b.",INDEX(SRC_ZPMW03!$A$1:$ZZ$501,$A247,AT$3)))</f>
        <v/>
      </c>
      <c r="AU247" s="124" t="str">
        <f>IF($B247="","",IF(AU$3=0,"n.b.",INDEX(SRC_ZPMW03!$A$1:$ZZ$501,$A247,AU$3)))</f>
        <v/>
      </c>
      <c r="AV247" s="124" t="str">
        <f>IF($B247="","",IF(AV$3=0,"n.b.",INDEX(SRC_ZPMW03!$A$1:$ZZ$501,$A247,AV$3)))</f>
        <v/>
      </c>
      <c r="AW247" s="124" t="str">
        <f>IF($B247="","",IF(AW$3=0,"n.b.",INDEX(SRC_ZPMW03!$A$1:$ZZ$501,$A247,AW$3)))</f>
        <v/>
      </c>
      <c r="AX247" s="124" t="str">
        <f>IF($B247="","",IF(AX$3=0,"n.b.",INDEX(SRC_ZPMW03!$A$1:$ZZ$501,$A247,AX$3)))</f>
        <v/>
      </c>
      <c r="AY247" s="124" t="str">
        <f>IF($B247="","",IF(AY$3=0,"n.b.",INDEX(SRC_ZPMW03!$A$1:$ZZ$501,$A247,AY$3)))</f>
        <v/>
      </c>
      <c r="AZ247" s="124" t="str">
        <f>IF($B247="","",IF(AZ$3=0,"n.b.",INDEX(SRC_ZPMW03!$A$1:$ZZ$501,$A247,AZ$3)))</f>
        <v/>
      </c>
      <c r="BA247" s="124" t="str">
        <f>IF($B247="","",IF(BA$3=0,"n.b.",INDEX(SRC_ZPMW03!$A$1:$ZZ$501,$A247,BA$3)))</f>
        <v/>
      </c>
      <c r="BB247" s="124" t="str">
        <f>IF($B247="","",IF(BB$3=0,"n.b.",INDEX(SRC_ZPMW03!$A$1:$ZZ$501,$A247,BB$3)))</f>
        <v/>
      </c>
      <c r="BC247" s="124" t="str">
        <f>IF($B247="","",IF(BC$3=0,"n.b.",INDEX(SRC_ZPMW03!$A$1:$ZZ$501,$A247,BC$3)))</f>
        <v/>
      </c>
      <c r="BD247" s="124" t="str">
        <f>IF($B247="","",IF(BD$3=0,"n.b.",INDEX(SRC_ZPMW03!$A$1:$ZZ$501,$A247,BD$3)))</f>
        <v/>
      </c>
      <c r="BE247" s="124" t="str">
        <f>IF($B247="","",IF(BE$3=0,"n.b.",INDEX(SRC_ZPMW03!$A$1:$ZZ$501,$A247,BE$3)))</f>
        <v/>
      </c>
      <c r="BF247" s="124" t="str">
        <f>IF($B247="","",IF(BF$3=0,"n.b.",INDEX(SRC_ZPMW03!$A$1:$ZZ$501,$A247,BF$3)))</f>
        <v/>
      </c>
      <c r="BG247" t="str">
        <f>IF($B247="","",IF(BG$3=0,"n.b.",INDEX(SRC_ZPMW03!$A$1:$ZZ$501,$A247,BG$3)))</f>
        <v/>
      </c>
      <c r="BH247" t="str">
        <f>IF($B247="","",IF(BH$3=0,"n.b.",INDEX(SRC_ZPMW03!$A$1:$ZZ$501,$A247,BH$3)))</f>
        <v/>
      </c>
      <c r="BI247" t="str">
        <f>IF($B247="","",IF(BI$3=0,"n.b.",INDEX(SRC_ZPMW03!$A$1:$ZZ$501,$A247,BI$3)))</f>
        <v/>
      </c>
      <c r="BJ247" t="str">
        <f>IF($B247="","",IF(BJ$3=0,"n.b.",INDEX(SRC_ZPMW03!$A$1:$ZZ$501,$A247,BJ$3)))</f>
        <v/>
      </c>
      <c r="BK247" s="124" t="str">
        <f>IF($B247="","",IFERROR(-O247,"n.b."))</f>
        <v/>
      </c>
      <c r="BL247" s="124" t="str">
        <f>IF($B247="","",IFERROR(-Q247,"n.b."))</f>
        <v/>
      </c>
      <c r="BM247" s="124" t="str">
        <f>IF($B247="","",IFERROR(-AB247,"n.b."))</f>
        <v/>
      </c>
      <c r="BN247" s="124" t="str">
        <f>IF($B247="","",IFERROR(-AD247,"n.b."))</f>
        <v/>
      </c>
      <c r="BO247" s="124" t="str">
        <f>IF($B247="","",IFERROR(BK247+BM247,"n.b."))</f>
        <v/>
      </c>
      <c r="BP247" s="124" t="str">
        <f>IF($B247="","",IFERROR(BL247+BN247,"n.b."))</f>
        <v/>
      </c>
      <c r="BQ247" s="124" t="str">
        <f>IF($B247="","",IFERROR(-AM247,"n.b."))</f>
        <v/>
      </c>
      <c r="BR247" s="124" t="str">
        <f>IF($B247="","",IFERROR(-AO247,"n.b."))</f>
        <v/>
      </c>
      <c r="BS247" s="124" t="str">
        <f>IF($B247="","",IFERROR(-Z247,"n.b."))</f>
        <v/>
      </c>
      <c r="BT247" s="124" t="str">
        <f>IF($B247="","",IFERROR(-AA247,"n.b."))</f>
        <v/>
      </c>
      <c r="BU247" s="124" t="str">
        <f>IF($B247="","",IFERROR(-AE247,"n.b."))</f>
        <v/>
      </c>
      <c r="BV247" s="124" t="str">
        <f>IF($B247="","",IFERROR(-AF247,"n.b."))</f>
        <v/>
      </c>
      <c r="BW247" s="124" t="str">
        <f>IF($B247="","",IFERROR(-AG247,"n.b."))</f>
        <v/>
      </c>
      <c r="BX247" s="124" t="str">
        <f>IF($B247="","",IFERROR(-AH247,"n.b."))</f>
        <v/>
      </c>
      <c r="BY247" s="124" t="str">
        <f>IF($B247="","",IFERROR(-AI247,"n.b."))</f>
        <v/>
      </c>
      <c r="BZ247" s="124" t="str">
        <f>IF($B247="","",IFERROR(-AJ247,"n.b."))</f>
        <v/>
      </c>
      <c r="CA247" s="124" t="str">
        <f>IF($B247="","",IFERROR(-AK247,"n.b."))</f>
        <v/>
      </c>
      <c r="CB247" s="124" t="str">
        <f>IF($B247="","",IFERROR(-AL247,"n.b."))</f>
        <v/>
      </c>
      <c r="CC247" s="124" t="str">
        <f>IF($B247="","",IFERROR(-AP247,"n.b."))</f>
        <v/>
      </c>
      <c r="CD247" s="124" t="str">
        <f>IF($B247="","",IFERROR(-AQ247,"n.b."))</f>
        <v/>
      </c>
      <c r="CE247" s="124" t="str">
        <f>IF($B247="","",IFERROR(-AR247,"n.b."))</f>
        <v/>
      </c>
      <c r="CF247" s="124" t="str">
        <f>IF($B247="","",IFERROR(-AS247,"n.b."))</f>
        <v/>
      </c>
      <c r="CG247" s="124" t="str">
        <f>IF($B247="","",IFERROR(-AT247,"n.b."))</f>
        <v/>
      </c>
      <c r="CH247" s="124" t="str">
        <f>IF($B247="","",IFERROR(-AU247,"n.b."))</f>
        <v/>
      </c>
      <c r="CI247" s="124" t="str">
        <f>IF($B247="","",IFERROR(-AV247,"n.b."))</f>
        <v/>
      </c>
      <c r="CJ247" s="124" t="str">
        <f>IF($B247="","",IFERROR(-AW247,"n.b."))</f>
        <v/>
      </c>
      <c r="CK247" s="124" t="str">
        <f>IF($B247="","",IFERROR(-AX247,"n.b."))</f>
        <v/>
      </c>
      <c r="CL247" s="124" t="str">
        <f>IF($B247="","",IFERROR(-AY247,"n.b."))</f>
        <v/>
      </c>
      <c r="CM247" s="124" t="str">
        <f>IF($B247="","",IFERROR(-AZ247,"n.b."))</f>
        <v/>
      </c>
      <c r="CN247" s="124" t="str">
        <f>IF($B247="","",IFERROR(-BA247,"n.b."))</f>
        <v/>
      </c>
      <c r="CO247" s="124" t="str">
        <f>IF($B247="","",IFERROR(-BB247,"n.b."))</f>
        <v/>
      </c>
      <c r="CP247" s="124" t="str">
        <f>IF($B247="","",IFERROR(-BC247,"n.b."))</f>
        <v/>
      </c>
      <c r="CQ247" s="124" t="str">
        <f>IF($B247="","",IFERROR(-BD247,"n.b."))</f>
        <v/>
      </c>
      <c r="CR247" s="124" t="str">
        <f>IF($B247="","",IFERROR(-BE247,"n.b."))</f>
        <v/>
      </c>
      <c r="CS247" s="124" t="str">
        <f>IF($B247="","",IFERROR(IF(OR(ABS(T247+V247+X247+Z247-AB247)&gt;P_Tol,ABS(U247+W247+Y247+AA247-AD247)&gt;P_Tol,ABS(AE247+AG247+AI247+AK247-AM247)&gt;P_Tol,ABS(AF247+AH247+AJ247+AL247-AO247)&gt;P_Tol),1,0),1))</f>
        <v/>
      </c>
      <c r="CT247" s="124" t="str">
        <f>IF($B247="","",IFERROR(IF(OR(ABS(AB247+AC247-AD247)&gt;P_Tol,ABS(AM247+AN247-AO247)&gt;P_Tol,ABS(O247+P247-Q247)&gt;P_Tol),1,0),1))</f>
        <v/>
      </c>
      <c r="CU247" s="124" t="str">
        <f>IF($B247="","",IFERROR(IF(ABS(R247-(AB247+AM247+AP247+AR247+AT247+AV247+AX247+AZ247+BB247+BD247))&gt;P_Tol,1,0),1))</f>
        <v/>
      </c>
      <c r="CV247" s="124" t="str">
        <f>IF($B247="","",IFERROR(IF(ABS(M247-(N247+O247+R247))&gt;P_Tol,1,0),1))</f>
        <v/>
      </c>
      <c r="CW247" s="124" t="str">
        <f>IF($B247="","",IF(COUNTIF(Mapping!$A$5:$A$104,B247)&gt;0,1,0))</f>
        <v/>
      </c>
      <c r="CX247" s="124" t="str">
        <f>IF($B247="","",COUNTIF($B$6:$B$505,B247))</f>
        <v/>
      </c>
      <c r="CY247" s="124" t="str">
        <f>IF($B247="","",COUNTIF(STG_Woningetalage!$B$6:$B$505,B247))</f>
        <v/>
      </c>
      <c r="CZ247" s="124" t="str">
        <f>IF($B247="","",IF(CW247=0,COUNTIF($CW$6:CW247,0),""))</f>
        <v/>
      </c>
    </row>
    <row r="248">
      <c r="A248" s="15" t="n">
        <v>244</v>
      </c>
      <c r="B248" t="str">
        <f>IF(B$3=0,"",IF(INDEX(SRC_ZPMW03!$A$1:$ZZ$501,$A248,B$3)&amp;""="","",INDEX(SRC_ZPMW03!$A$1:$ZZ$501,$A248,B$3)&amp;""))</f>
        <v/>
      </c>
      <c r="C248" t="str">
        <f>IF($B248="","",IF(C$3=0,"n.b.",INDEX(SRC_ZPMW03!$A$1:$ZZ$501,$A248,C$3)))</f>
        <v/>
      </c>
      <c r="D248" t="str">
        <f>IF($B248="","",IF(D$3=0,"n.b.",INDEX(SRC_ZPMW03!$A$1:$ZZ$501,$A248,D$3)))</f>
        <v/>
      </c>
      <c r="E248" t="str">
        <f>IF($B248="","",IF(E$3=0,"n.b.",INDEX(SRC_ZPMW03!$A$1:$ZZ$501,$A248,E$3)))</f>
        <v/>
      </c>
      <c r="F248" t="str">
        <f>IF($B248="","",IF(F$3=0,"n.b.",INDEX(SRC_ZPMW03!$A$1:$ZZ$501,$A248,F$3)))</f>
        <v/>
      </c>
      <c r="G248" t="str">
        <f>IF($B248="","",IF(G$3=0,"n.b.",INDEX(SRC_ZPMW03!$A$1:$ZZ$501,$A248,G$3)))</f>
        <v/>
      </c>
      <c r="H248" t="str">
        <f>IF($B248="","",IF(H$3=0,"n.b.",INDEX(SRC_ZPMW03!$A$1:$ZZ$501,$A248,H$3)))</f>
        <v/>
      </c>
      <c r="I248" t="str">
        <f>IF($B248="","",IF(I$3=0,"n.b.",INDEX(SRC_ZPMW03!$A$1:$ZZ$501,$A248,I$3)))</f>
        <v/>
      </c>
      <c r="J248" t="str">
        <f>IF($B248="","",IF(J$3=0,"n.b.",INDEX(SRC_ZPMW03!$A$1:$ZZ$501,$A248,J$3)))</f>
        <v/>
      </c>
      <c r="K248" t="str">
        <f>IF($B248="","",IF(K$3=0,"n.b.",INDEX(SRC_ZPMW03!$A$1:$ZZ$501,$A248,K$3)))</f>
        <v/>
      </c>
      <c r="L248" s="124" t="str">
        <f>IF($B248="","",IF(L$3=0,"n.b.",INDEX(SRC_ZPMW03!$A$1:$ZZ$501,$A248,L$3)))</f>
        <v/>
      </c>
      <c r="M248" s="124" t="str">
        <f>IF($B248="","",IF(M$3=0,"n.b.",INDEX(SRC_ZPMW03!$A$1:$ZZ$501,$A248,M$3)))</f>
        <v/>
      </c>
      <c r="N248" s="124" t="str">
        <f>IF($B248="","",IF(N$3=0,"n.b.",INDEX(SRC_ZPMW03!$A$1:$ZZ$501,$A248,N$3)))</f>
        <v/>
      </c>
      <c r="O248" s="124" t="str">
        <f>IF($B248="","",IF(O$3=0,"n.b.",INDEX(SRC_ZPMW03!$A$1:$ZZ$501,$A248,O$3)))</f>
        <v/>
      </c>
      <c r="P248" s="124" t="str">
        <f>IF($B248="","",IF(P$3=0,"n.b.",INDEX(SRC_ZPMW03!$A$1:$ZZ$501,$A248,P$3)))</f>
        <v/>
      </c>
      <c r="Q248" s="124" t="str">
        <f>IF($B248="","",IF(Q$3=0,"n.b.",INDEX(SRC_ZPMW03!$A$1:$ZZ$501,$A248,Q$3)))</f>
        <v/>
      </c>
      <c r="R248" s="124" t="str">
        <f>IF($B248="","",IF(R$3=0,"n.b.",INDEX(SRC_ZPMW03!$A$1:$ZZ$501,$A248,R$3)))</f>
        <v/>
      </c>
      <c r="S248" s="124" t="str">
        <f>IF($B248="","",IF(S$3=0,"n.b.",INDEX(SRC_ZPMW03!$A$1:$ZZ$501,$A248,S$3)))</f>
        <v/>
      </c>
      <c r="T248" s="124" t="str">
        <f>IF($B248="","",IF(T$3=0,"n.b.",INDEX(SRC_ZPMW03!$A$1:$ZZ$501,$A248,T$3)))</f>
        <v/>
      </c>
      <c r="U248" s="124" t="str">
        <f>IF($B248="","",IF(U$3=0,"n.b.",INDEX(SRC_ZPMW03!$A$1:$ZZ$501,$A248,U$3)))</f>
        <v/>
      </c>
      <c r="V248" s="124" t="str">
        <f>IF($B248="","",IF(V$3=0,"n.b.",INDEX(SRC_ZPMW03!$A$1:$ZZ$501,$A248,V$3)))</f>
        <v/>
      </c>
      <c r="W248" s="124" t="str">
        <f>IF($B248="","",IF(W$3=0,"n.b.",INDEX(SRC_ZPMW03!$A$1:$ZZ$501,$A248,W$3)))</f>
        <v/>
      </c>
      <c r="X248" s="124" t="str">
        <f>IF($B248="","",IF(X$3=0,"n.b.",INDEX(SRC_ZPMW03!$A$1:$ZZ$501,$A248,X$3)))</f>
        <v/>
      </c>
      <c r="Y248" s="124" t="str">
        <f>IF($B248="","",IF(Y$3=0,"n.b.",INDEX(SRC_ZPMW03!$A$1:$ZZ$501,$A248,Y$3)))</f>
        <v/>
      </c>
      <c r="Z248" s="124" t="str">
        <f>IF($B248="","",IF(Z$3=0,"n.b.",INDEX(SRC_ZPMW03!$A$1:$ZZ$501,$A248,Z$3)))</f>
        <v/>
      </c>
      <c r="AA248" s="124" t="str">
        <f>IF($B248="","",IF(AA$3=0,"n.b.",INDEX(SRC_ZPMW03!$A$1:$ZZ$501,$A248,AA$3)))</f>
        <v/>
      </c>
      <c r="AB248" s="124" t="str">
        <f>IF($B248="","",IF(AB$3=0,"n.b.",INDEX(SRC_ZPMW03!$A$1:$ZZ$501,$A248,AB$3)))</f>
        <v/>
      </c>
      <c r="AC248" s="124" t="str">
        <f>IF($B248="","",IF(AC$3=0,"n.b.",INDEX(SRC_ZPMW03!$A$1:$ZZ$501,$A248,AC$3)))</f>
        <v/>
      </c>
      <c r="AD248" s="124" t="str">
        <f>IF($B248="","",IF(AD$3=0,"n.b.",INDEX(SRC_ZPMW03!$A$1:$ZZ$501,$A248,AD$3)))</f>
        <v/>
      </c>
      <c r="AE248" s="124" t="str">
        <f>IF($B248="","",IF(AE$3=0,"n.b.",INDEX(SRC_ZPMW03!$A$1:$ZZ$501,$A248,AE$3)))</f>
        <v/>
      </c>
      <c r="AF248" s="124" t="str">
        <f>IF($B248="","",IF(AF$3=0,"n.b.",INDEX(SRC_ZPMW03!$A$1:$ZZ$501,$A248,AF$3)))</f>
        <v/>
      </c>
      <c r="AG248" s="124" t="str">
        <f>IF($B248="","",IF(AG$3=0,"n.b.",INDEX(SRC_ZPMW03!$A$1:$ZZ$501,$A248,AG$3)))</f>
        <v/>
      </c>
      <c r="AH248" s="124" t="str">
        <f>IF($B248="","",IF(AH$3=0,"n.b.",INDEX(SRC_ZPMW03!$A$1:$ZZ$501,$A248,AH$3)))</f>
        <v/>
      </c>
      <c r="AI248" s="124" t="str">
        <f>IF($B248="","",IF(AI$3=0,"n.b.",INDEX(SRC_ZPMW03!$A$1:$ZZ$501,$A248,AI$3)))</f>
        <v/>
      </c>
      <c r="AJ248" s="124" t="str">
        <f>IF($B248="","",IF(AJ$3=0,"n.b.",INDEX(SRC_ZPMW03!$A$1:$ZZ$501,$A248,AJ$3)))</f>
        <v/>
      </c>
      <c r="AK248" s="124" t="str">
        <f>IF($B248="","",IF(AK$3=0,"n.b.",INDEX(SRC_ZPMW03!$A$1:$ZZ$501,$A248,AK$3)))</f>
        <v/>
      </c>
      <c r="AL248" s="124" t="str">
        <f>IF($B248="","",IF(AL$3=0,"n.b.",INDEX(SRC_ZPMW03!$A$1:$ZZ$501,$A248,AL$3)))</f>
        <v/>
      </c>
      <c r="AM248" s="124" t="str">
        <f>IF($B248="","",IF(AM$3=0,"n.b.",INDEX(SRC_ZPMW03!$A$1:$ZZ$501,$A248,AM$3)))</f>
        <v/>
      </c>
      <c r="AN248" s="124" t="str">
        <f>IF($B248="","",IF(AN$3=0,"n.b.",INDEX(SRC_ZPMW03!$A$1:$ZZ$501,$A248,AN$3)))</f>
        <v/>
      </c>
      <c r="AO248" s="124" t="str">
        <f>IF($B248="","",IF(AO$3=0,"n.b.",INDEX(SRC_ZPMW03!$A$1:$ZZ$501,$A248,AO$3)))</f>
        <v/>
      </c>
      <c r="AP248" s="124" t="str">
        <f>IF($B248="","",IF(AP$3=0,"n.b.",INDEX(SRC_ZPMW03!$A$1:$ZZ$501,$A248,AP$3)))</f>
        <v/>
      </c>
      <c r="AQ248" s="124" t="str">
        <f>IF($B248="","",IF(AQ$3=0,"n.b.",INDEX(SRC_ZPMW03!$A$1:$ZZ$501,$A248,AQ$3)))</f>
        <v/>
      </c>
      <c r="AR248" s="124" t="str">
        <f>IF($B248="","",IF(AR$3=0,"n.b.",INDEX(SRC_ZPMW03!$A$1:$ZZ$501,$A248,AR$3)))</f>
        <v/>
      </c>
      <c r="AS248" s="124" t="str">
        <f>IF($B248="","",IF(AS$3=0,"n.b.",INDEX(SRC_ZPMW03!$A$1:$ZZ$501,$A248,AS$3)))</f>
        <v/>
      </c>
      <c r="AT248" s="124" t="str">
        <f>IF($B248="","",IF(AT$3=0,"n.b.",INDEX(SRC_ZPMW03!$A$1:$ZZ$501,$A248,AT$3)))</f>
        <v/>
      </c>
      <c r="AU248" s="124" t="str">
        <f>IF($B248="","",IF(AU$3=0,"n.b.",INDEX(SRC_ZPMW03!$A$1:$ZZ$501,$A248,AU$3)))</f>
        <v/>
      </c>
      <c r="AV248" s="124" t="str">
        <f>IF($B248="","",IF(AV$3=0,"n.b.",INDEX(SRC_ZPMW03!$A$1:$ZZ$501,$A248,AV$3)))</f>
        <v/>
      </c>
      <c r="AW248" s="124" t="str">
        <f>IF($B248="","",IF(AW$3=0,"n.b.",INDEX(SRC_ZPMW03!$A$1:$ZZ$501,$A248,AW$3)))</f>
        <v/>
      </c>
      <c r="AX248" s="124" t="str">
        <f>IF($B248="","",IF(AX$3=0,"n.b.",INDEX(SRC_ZPMW03!$A$1:$ZZ$501,$A248,AX$3)))</f>
        <v/>
      </c>
      <c r="AY248" s="124" t="str">
        <f>IF($B248="","",IF(AY$3=0,"n.b.",INDEX(SRC_ZPMW03!$A$1:$ZZ$501,$A248,AY$3)))</f>
        <v/>
      </c>
      <c r="AZ248" s="124" t="str">
        <f>IF($B248="","",IF(AZ$3=0,"n.b.",INDEX(SRC_ZPMW03!$A$1:$ZZ$501,$A248,AZ$3)))</f>
        <v/>
      </c>
      <c r="BA248" s="124" t="str">
        <f>IF($B248="","",IF(BA$3=0,"n.b.",INDEX(SRC_ZPMW03!$A$1:$ZZ$501,$A248,BA$3)))</f>
        <v/>
      </c>
      <c r="BB248" s="124" t="str">
        <f>IF($B248="","",IF(BB$3=0,"n.b.",INDEX(SRC_ZPMW03!$A$1:$ZZ$501,$A248,BB$3)))</f>
        <v/>
      </c>
      <c r="BC248" s="124" t="str">
        <f>IF($B248="","",IF(BC$3=0,"n.b.",INDEX(SRC_ZPMW03!$A$1:$ZZ$501,$A248,BC$3)))</f>
        <v/>
      </c>
      <c r="BD248" s="124" t="str">
        <f>IF($B248="","",IF(BD$3=0,"n.b.",INDEX(SRC_ZPMW03!$A$1:$ZZ$501,$A248,BD$3)))</f>
        <v/>
      </c>
      <c r="BE248" s="124" t="str">
        <f>IF($B248="","",IF(BE$3=0,"n.b.",INDEX(SRC_ZPMW03!$A$1:$ZZ$501,$A248,BE$3)))</f>
        <v/>
      </c>
      <c r="BF248" s="124" t="str">
        <f>IF($B248="","",IF(BF$3=0,"n.b.",INDEX(SRC_ZPMW03!$A$1:$ZZ$501,$A248,BF$3)))</f>
        <v/>
      </c>
      <c r="BG248" t="str">
        <f>IF($B248="","",IF(BG$3=0,"n.b.",INDEX(SRC_ZPMW03!$A$1:$ZZ$501,$A248,BG$3)))</f>
        <v/>
      </c>
      <c r="BH248" t="str">
        <f>IF($B248="","",IF(BH$3=0,"n.b.",INDEX(SRC_ZPMW03!$A$1:$ZZ$501,$A248,BH$3)))</f>
        <v/>
      </c>
      <c r="BI248" t="str">
        <f>IF($B248="","",IF(BI$3=0,"n.b.",INDEX(SRC_ZPMW03!$A$1:$ZZ$501,$A248,BI$3)))</f>
        <v/>
      </c>
      <c r="BJ248" t="str">
        <f>IF($B248="","",IF(BJ$3=0,"n.b.",INDEX(SRC_ZPMW03!$A$1:$ZZ$501,$A248,BJ$3)))</f>
        <v/>
      </c>
      <c r="BK248" s="124" t="str">
        <f>IF($B248="","",IFERROR(-O248,"n.b."))</f>
        <v/>
      </c>
      <c r="BL248" s="124" t="str">
        <f>IF($B248="","",IFERROR(-Q248,"n.b."))</f>
        <v/>
      </c>
      <c r="BM248" s="124" t="str">
        <f>IF($B248="","",IFERROR(-AB248,"n.b."))</f>
        <v/>
      </c>
      <c r="BN248" s="124" t="str">
        <f>IF($B248="","",IFERROR(-AD248,"n.b."))</f>
        <v/>
      </c>
      <c r="BO248" s="124" t="str">
        <f>IF($B248="","",IFERROR(BK248+BM248,"n.b."))</f>
        <v/>
      </c>
      <c r="BP248" s="124" t="str">
        <f>IF($B248="","",IFERROR(BL248+BN248,"n.b."))</f>
        <v/>
      </c>
      <c r="BQ248" s="124" t="str">
        <f>IF($B248="","",IFERROR(-AM248,"n.b."))</f>
        <v/>
      </c>
      <c r="BR248" s="124" t="str">
        <f>IF($B248="","",IFERROR(-AO248,"n.b."))</f>
        <v/>
      </c>
      <c r="BS248" s="124" t="str">
        <f>IF($B248="","",IFERROR(-Z248,"n.b."))</f>
        <v/>
      </c>
      <c r="BT248" s="124" t="str">
        <f>IF($B248="","",IFERROR(-AA248,"n.b."))</f>
        <v/>
      </c>
      <c r="BU248" s="124" t="str">
        <f>IF($B248="","",IFERROR(-AE248,"n.b."))</f>
        <v/>
      </c>
      <c r="BV248" s="124" t="str">
        <f>IF($B248="","",IFERROR(-AF248,"n.b."))</f>
        <v/>
      </c>
      <c r="BW248" s="124" t="str">
        <f>IF($B248="","",IFERROR(-AG248,"n.b."))</f>
        <v/>
      </c>
      <c r="BX248" s="124" t="str">
        <f>IF($B248="","",IFERROR(-AH248,"n.b."))</f>
        <v/>
      </c>
      <c r="BY248" s="124" t="str">
        <f>IF($B248="","",IFERROR(-AI248,"n.b."))</f>
        <v/>
      </c>
      <c r="BZ248" s="124" t="str">
        <f>IF($B248="","",IFERROR(-AJ248,"n.b."))</f>
        <v/>
      </c>
      <c r="CA248" s="124" t="str">
        <f>IF($B248="","",IFERROR(-AK248,"n.b."))</f>
        <v/>
      </c>
      <c r="CB248" s="124" t="str">
        <f>IF($B248="","",IFERROR(-AL248,"n.b."))</f>
        <v/>
      </c>
      <c r="CC248" s="124" t="str">
        <f>IF($B248="","",IFERROR(-AP248,"n.b."))</f>
        <v/>
      </c>
      <c r="CD248" s="124" t="str">
        <f>IF($B248="","",IFERROR(-AQ248,"n.b."))</f>
        <v/>
      </c>
      <c r="CE248" s="124" t="str">
        <f>IF($B248="","",IFERROR(-AR248,"n.b."))</f>
        <v/>
      </c>
      <c r="CF248" s="124" t="str">
        <f>IF($B248="","",IFERROR(-AS248,"n.b."))</f>
        <v/>
      </c>
      <c r="CG248" s="124" t="str">
        <f>IF($B248="","",IFERROR(-AT248,"n.b."))</f>
        <v/>
      </c>
      <c r="CH248" s="124" t="str">
        <f>IF($B248="","",IFERROR(-AU248,"n.b."))</f>
        <v/>
      </c>
      <c r="CI248" s="124" t="str">
        <f>IF($B248="","",IFERROR(-AV248,"n.b."))</f>
        <v/>
      </c>
      <c r="CJ248" s="124" t="str">
        <f>IF($B248="","",IFERROR(-AW248,"n.b."))</f>
        <v/>
      </c>
      <c r="CK248" s="124" t="str">
        <f>IF($B248="","",IFERROR(-AX248,"n.b."))</f>
        <v/>
      </c>
      <c r="CL248" s="124" t="str">
        <f>IF($B248="","",IFERROR(-AY248,"n.b."))</f>
        <v/>
      </c>
      <c r="CM248" s="124" t="str">
        <f>IF($B248="","",IFERROR(-AZ248,"n.b."))</f>
        <v/>
      </c>
      <c r="CN248" s="124" t="str">
        <f>IF($B248="","",IFERROR(-BA248,"n.b."))</f>
        <v/>
      </c>
      <c r="CO248" s="124" t="str">
        <f>IF($B248="","",IFERROR(-BB248,"n.b."))</f>
        <v/>
      </c>
      <c r="CP248" s="124" t="str">
        <f>IF($B248="","",IFERROR(-BC248,"n.b."))</f>
        <v/>
      </c>
      <c r="CQ248" s="124" t="str">
        <f>IF($B248="","",IFERROR(-BD248,"n.b."))</f>
        <v/>
      </c>
      <c r="CR248" s="124" t="str">
        <f>IF($B248="","",IFERROR(-BE248,"n.b."))</f>
        <v/>
      </c>
      <c r="CS248" s="124" t="str">
        <f>IF($B248="","",IFERROR(IF(OR(ABS(T248+V248+X248+Z248-AB248)&gt;P_Tol,ABS(U248+W248+Y248+AA248-AD248)&gt;P_Tol,ABS(AE248+AG248+AI248+AK248-AM248)&gt;P_Tol,ABS(AF248+AH248+AJ248+AL248-AO248)&gt;P_Tol),1,0),1))</f>
        <v/>
      </c>
      <c r="CT248" s="124" t="str">
        <f>IF($B248="","",IFERROR(IF(OR(ABS(AB248+AC248-AD248)&gt;P_Tol,ABS(AM248+AN248-AO248)&gt;P_Tol,ABS(O248+P248-Q248)&gt;P_Tol),1,0),1))</f>
        <v/>
      </c>
      <c r="CU248" s="124" t="str">
        <f>IF($B248="","",IFERROR(IF(ABS(R248-(AB248+AM248+AP248+AR248+AT248+AV248+AX248+AZ248+BB248+BD248))&gt;P_Tol,1,0),1))</f>
        <v/>
      </c>
      <c r="CV248" s="124" t="str">
        <f>IF($B248="","",IFERROR(IF(ABS(M248-(N248+O248+R248))&gt;P_Tol,1,0),1))</f>
        <v/>
      </c>
      <c r="CW248" s="124" t="str">
        <f>IF($B248="","",IF(COUNTIF(Mapping!$A$5:$A$104,B248)&gt;0,1,0))</f>
        <v/>
      </c>
      <c r="CX248" s="124" t="str">
        <f>IF($B248="","",COUNTIF($B$6:$B$505,B248))</f>
        <v/>
      </c>
      <c r="CY248" s="124" t="str">
        <f>IF($B248="","",COUNTIF(STG_Woningetalage!$B$6:$B$505,B248))</f>
        <v/>
      </c>
      <c r="CZ248" s="124" t="str">
        <f>IF($B248="","",IF(CW248=0,COUNTIF($CW$6:CW248,0),""))</f>
        <v/>
      </c>
    </row>
    <row r="249">
      <c r="A249" s="15" t="n">
        <v>245</v>
      </c>
      <c r="B249" t="str">
        <f>IF(B$3=0,"",IF(INDEX(SRC_ZPMW03!$A$1:$ZZ$501,$A249,B$3)&amp;""="","",INDEX(SRC_ZPMW03!$A$1:$ZZ$501,$A249,B$3)&amp;""))</f>
        <v/>
      </c>
      <c r="C249" t="str">
        <f>IF($B249="","",IF(C$3=0,"n.b.",INDEX(SRC_ZPMW03!$A$1:$ZZ$501,$A249,C$3)))</f>
        <v/>
      </c>
      <c r="D249" t="str">
        <f>IF($B249="","",IF(D$3=0,"n.b.",INDEX(SRC_ZPMW03!$A$1:$ZZ$501,$A249,D$3)))</f>
        <v/>
      </c>
      <c r="E249" t="str">
        <f>IF($B249="","",IF(E$3=0,"n.b.",INDEX(SRC_ZPMW03!$A$1:$ZZ$501,$A249,E$3)))</f>
        <v/>
      </c>
      <c r="F249" t="str">
        <f>IF($B249="","",IF(F$3=0,"n.b.",INDEX(SRC_ZPMW03!$A$1:$ZZ$501,$A249,F$3)))</f>
        <v/>
      </c>
      <c r="G249" t="str">
        <f>IF($B249="","",IF(G$3=0,"n.b.",INDEX(SRC_ZPMW03!$A$1:$ZZ$501,$A249,G$3)))</f>
        <v/>
      </c>
      <c r="H249" t="str">
        <f>IF($B249="","",IF(H$3=0,"n.b.",INDEX(SRC_ZPMW03!$A$1:$ZZ$501,$A249,H$3)))</f>
        <v/>
      </c>
      <c r="I249" t="str">
        <f>IF($B249="","",IF(I$3=0,"n.b.",INDEX(SRC_ZPMW03!$A$1:$ZZ$501,$A249,I$3)))</f>
        <v/>
      </c>
      <c r="J249" t="str">
        <f>IF($B249="","",IF(J$3=0,"n.b.",INDEX(SRC_ZPMW03!$A$1:$ZZ$501,$A249,J$3)))</f>
        <v/>
      </c>
      <c r="K249" t="str">
        <f>IF($B249="","",IF(K$3=0,"n.b.",INDEX(SRC_ZPMW03!$A$1:$ZZ$501,$A249,K$3)))</f>
        <v/>
      </c>
      <c r="L249" s="124" t="str">
        <f>IF($B249="","",IF(L$3=0,"n.b.",INDEX(SRC_ZPMW03!$A$1:$ZZ$501,$A249,L$3)))</f>
        <v/>
      </c>
      <c r="M249" s="124" t="str">
        <f>IF($B249="","",IF(M$3=0,"n.b.",INDEX(SRC_ZPMW03!$A$1:$ZZ$501,$A249,M$3)))</f>
        <v/>
      </c>
      <c r="N249" s="124" t="str">
        <f>IF($B249="","",IF(N$3=0,"n.b.",INDEX(SRC_ZPMW03!$A$1:$ZZ$501,$A249,N$3)))</f>
        <v/>
      </c>
      <c r="O249" s="124" t="str">
        <f>IF($B249="","",IF(O$3=0,"n.b.",INDEX(SRC_ZPMW03!$A$1:$ZZ$501,$A249,O$3)))</f>
        <v/>
      </c>
      <c r="P249" s="124" t="str">
        <f>IF($B249="","",IF(P$3=0,"n.b.",INDEX(SRC_ZPMW03!$A$1:$ZZ$501,$A249,P$3)))</f>
        <v/>
      </c>
      <c r="Q249" s="124" t="str">
        <f>IF($B249="","",IF(Q$3=0,"n.b.",INDEX(SRC_ZPMW03!$A$1:$ZZ$501,$A249,Q$3)))</f>
        <v/>
      </c>
      <c r="R249" s="124" t="str">
        <f>IF($B249="","",IF(R$3=0,"n.b.",INDEX(SRC_ZPMW03!$A$1:$ZZ$501,$A249,R$3)))</f>
        <v/>
      </c>
      <c r="S249" s="124" t="str">
        <f>IF($B249="","",IF(S$3=0,"n.b.",INDEX(SRC_ZPMW03!$A$1:$ZZ$501,$A249,S$3)))</f>
        <v/>
      </c>
      <c r="T249" s="124" t="str">
        <f>IF($B249="","",IF(T$3=0,"n.b.",INDEX(SRC_ZPMW03!$A$1:$ZZ$501,$A249,T$3)))</f>
        <v/>
      </c>
      <c r="U249" s="124" t="str">
        <f>IF($B249="","",IF(U$3=0,"n.b.",INDEX(SRC_ZPMW03!$A$1:$ZZ$501,$A249,U$3)))</f>
        <v/>
      </c>
      <c r="V249" s="124" t="str">
        <f>IF($B249="","",IF(V$3=0,"n.b.",INDEX(SRC_ZPMW03!$A$1:$ZZ$501,$A249,V$3)))</f>
        <v/>
      </c>
      <c r="W249" s="124" t="str">
        <f>IF($B249="","",IF(W$3=0,"n.b.",INDEX(SRC_ZPMW03!$A$1:$ZZ$501,$A249,W$3)))</f>
        <v/>
      </c>
      <c r="X249" s="124" t="str">
        <f>IF($B249="","",IF(X$3=0,"n.b.",INDEX(SRC_ZPMW03!$A$1:$ZZ$501,$A249,X$3)))</f>
        <v/>
      </c>
      <c r="Y249" s="124" t="str">
        <f>IF($B249="","",IF(Y$3=0,"n.b.",INDEX(SRC_ZPMW03!$A$1:$ZZ$501,$A249,Y$3)))</f>
        <v/>
      </c>
      <c r="Z249" s="124" t="str">
        <f>IF($B249="","",IF(Z$3=0,"n.b.",INDEX(SRC_ZPMW03!$A$1:$ZZ$501,$A249,Z$3)))</f>
        <v/>
      </c>
      <c r="AA249" s="124" t="str">
        <f>IF($B249="","",IF(AA$3=0,"n.b.",INDEX(SRC_ZPMW03!$A$1:$ZZ$501,$A249,AA$3)))</f>
        <v/>
      </c>
      <c r="AB249" s="124" t="str">
        <f>IF($B249="","",IF(AB$3=0,"n.b.",INDEX(SRC_ZPMW03!$A$1:$ZZ$501,$A249,AB$3)))</f>
        <v/>
      </c>
      <c r="AC249" s="124" t="str">
        <f>IF($B249="","",IF(AC$3=0,"n.b.",INDEX(SRC_ZPMW03!$A$1:$ZZ$501,$A249,AC$3)))</f>
        <v/>
      </c>
      <c r="AD249" s="124" t="str">
        <f>IF($B249="","",IF(AD$3=0,"n.b.",INDEX(SRC_ZPMW03!$A$1:$ZZ$501,$A249,AD$3)))</f>
        <v/>
      </c>
      <c r="AE249" s="124" t="str">
        <f>IF($B249="","",IF(AE$3=0,"n.b.",INDEX(SRC_ZPMW03!$A$1:$ZZ$501,$A249,AE$3)))</f>
        <v/>
      </c>
      <c r="AF249" s="124" t="str">
        <f>IF($B249="","",IF(AF$3=0,"n.b.",INDEX(SRC_ZPMW03!$A$1:$ZZ$501,$A249,AF$3)))</f>
        <v/>
      </c>
      <c r="AG249" s="124" t="str">
        <f>IF($B249="","",IF(AG$3=0,"n.b.",INDEX(SRC_ZPMW03!$A$1:$ZZ$501,$A249,AG$3)))</f>
        <v/>
      </c>
      <c r="AH249" s="124" t="str">
        <f>IF($B249="","",IF(AH$3=0,"n.b.",INDEX(SRC_ZPMW03!$A$1:$ZZ$501,$A249,AH$3)))</f>
        <v/>
      </c>
      <c r="AI249" s="124" t="str">
        <f>IF($B249="","",IF(AI$3=0,"n.b.",INDEX(SRC_ZPMW03!$A$1:$ZZ$501,$A249,AI$3)))</f>
        <v/>
      </c>
      <c r="AJ249" s="124" t="str">
        <f>IF($B249="","",IF(AJ$3=0,"n.b.",INDEX(SRC_ZPMW03!$A$1:$ZZ$501,$A249,AJ$3)))</f>
        <v/>
      </c>
      <c r="AK249" s="124" t="str">
        <f>IF($B249="","",IF(AK$3=0,"n.b.",INDEX(SRC_ZPMW03!$A$1:$ZZ$501,$A249,AK$3)))</f>
        <v/>
      </c>
      <c r="AL249" s="124" t="str">
        <f>IF($B249="","",IF(AL$3=0,"n.b.",INDEX(SRC_ZPMW03!$A$1:$ZZ$501,$A249,AL$3)))</f>
        <v/>
      </c>
      <c r="AM249" s="124" t="str">
        <f>IF($B249="","",IF(AM$3=0,"n.b.",INDEX(SRC_ZPMW03!$A$1:$ZZ$501,$A249,AM$3)))</f>
        <v/>
      </c>
      <c r="AN249" s="124" t="str">
        <f>IF($B249="","",IF(AN$3=0,"n.b.",INDEX(SRC_ZPMW03!$A$1:$ZZ$501,$A249,AN$3)))</f>
        <v/>
      </c>
      <c r="AO249" s="124" t="str">
        <f>IF($B249="","",IF(AO$3=0,"n.b.",INDEX(SRC_ZPMW03!$A$1:$ZZ$501,$A249,AO$3)))</f>
        <v/>
      </c>
      <c r="AP249" s="124" t="str">
        <f>IF($B249="","",IF(AP$3=0,"n.b.",INDEX(SRC_ZPMW03!$A$1:$ZZ$501,$A249,AP$3)))</f>
        <v/>
      </c>
      <c r="AQ249" s="124" t="str">
        <f>IF($B249="","",IF(AQ$3=0,"n.b.",INDEX(SRC_ZPMW03!$A$1:$ZZ$501,$A249,AQ$3)))</f>
        <v/>
      </c>
      <c r="AR249" s="124" t="str">
        <f>IF($B249="","",IF(AR$3=0,"n.b.",INDEX(SRC_ZPMW03!$A$1:$ZZ$501,$A249,AR$3)))</f>
        <v/>
      </c>
      <c r="AS249" s="124" t="str">
        <f>IF($B249="","",IF(AS$3=0,"n.b.",INDEX(SRC_ZPMW03!$A$1:$ZZ$501,$A249,AS$3)))</f>
        <v/>
      </c>
      <c r="AT249" s="124" t="str">
        <f>IF($B249="","",IF(AT$3=0,"n.b.",INDEX(SRC_ZPMW03!$A$1:$ZZ$501,$A249,AT$3)))</f>
        <v/>
      </c>
      <c r="AU249" s="124" t="str">
        <f>IF($B249="","",IF(AU$3=0,"n.b.",INDEX(SRC_ZPMW03!$A$1:$ZZ$501,$A249,AU$3)))</f>
        <v/>
      </c>
      <c r="AV249" s="124" t="str">
        <f>IF($B249="","",IF(AV$3=0,"n.b.",INDEX(SRC_ZPMW03!$A$1:$ZZ$501,$A249,AV$3)))</f>
        <v/>
      </c>
      <c r="AW249" s="124" t="str">
        <f>IF($B249="","",IF(AW$3=0,"n.b.",INDEX(SRC_ZPMW03!$A$1:$ZZ$501,$A249,AW$3)))</f>
        <v/>
      </c>
      <c r="AX249" s="124" t="str">
        <f>IF($B249="","",IF(AX$3=0,"n.b.",INDEX(SRC_ZPMW03!$A$1:$ZZ$501,$A249,AX$3)))</f>
        <v/>
      </c>
      <c r="AY249" s="124" t="str">
        <f>IF($B249="","",IF(AY$3=0,"n.b.",INDEX(SRC_ZPMW03!$A$1:$ZZ$501,$A249,AY$3)))</f>
        <v/>
      </c>
      <c r="AZ249" s="124" t="str">
        <f>IF($B249="","",IF(AZ$3=0,"n.b.",INDEX(SRC_ZPMW03!$A$1:$ZZ$501,$A249,AZ$3)))</f>
        <v/>
      </c>
      <c r="BA249" s="124" t="str">
        <f>IF($B249="","",IF(BA$3=0,"n.b.",INDEX(SRC_ZPMW03!$A$1:$ZZ$501,$A249,BA$3)))</f>
        <v/>
      </c>
      <c r="BB249" s="124" t="str">
        <f>IF($B249="","",IF(BB$3=0,"n.b.",INDEX(SRC_ZPMW03!$A$1:$ZZ$501,$A249,BB$3)))</f>
        <v/>
      </c>
      <c r="BC249" s="124" t="str">
        <f>IF($B249="","",IF(BC$3=0,"n.b.",INDEX(SRC_ZPMW03!$A$1:$ZZ$501,$A249,BC$3)))</f>
        <v/>
      </c>
      <c r="BD249" s="124" t="str">
        <f>IF($B249="","",IF(BD$3=0,"n.b.",INDEX(SRC_ZPMW03!$A$1:$ZZ$501,$A249,BD$3)))</f>
        <v/>
      </c>
      <c r="BE249" s="124" t="str">
        <f>IF($B249="","",IF(BE$3=0,"n.b.",INDEX(SRC_ZPMW03!$A$1:$ZZ$501,$A249,BE$3)))</f>
        <v/>
      </c>
      <c r="BF249" s="124" t="str">
        <f>IF($B249="","",IF(BF$3=0,"n.b.",INDEX(SRC_ZPMW03!$A$1:$ZZ$501,$A249,BF$3)))</f>
        <v/>
      </c>
      <c r="BG249" t="str">
        <f>IF($B249="","",IF(BG$3=0,"n.b.",INDEX(SRC_ZPMW03!$A$1:$ZZ$501,$A249,BG$3)))</f>
        <v/>
      </c>
      <c r="BH249" t="str">
        <f>IF($B249="","",IF(BH$3=0,"n.b.",INDEX(SRC_ZPMW03!$A$1:$ZZ$501,$A249,BH$3)))</f>
        <v/>
      </c>
      <c r="BI249" t="str">
        <f>IF($B249="","",IF(BI$3=0,"n.b.",INDEX(SRC_ZPMW03!$A$1:$ZZ$501,$A249,BI$3)))</f>
        <v/>
      </c>
      <c r="BJ249" t="str">
        <f>IF($B249="","",IF(BJ$3=0,"n.b.",INDEX(SRC_ZPMW03!$A$1:$ZZ$501,$A249,BJ$3)))</f>
        <v/>
      </c>
      <c r="BK249" s="124" t="str">
        <f>IF($B249="","",IFERROR(-O249,"n.b."))</f>
        <v/>
      </c>
      <c r="BL249" s="124" t="str">
        <f>IF($B249="","",IFERROR(-Q249,"n.b."))</f>
        <v/>
      </c>
      <c r="BM249" s="124" t="str">
        <f>IF($B249="","",IFERROR(-AB249,"n.b."))</f>
        <v/>
      </c>
      <c r="BN249" s="124" t="str">
        <f>IF($B249="","",IFERROR(-AD249,"n.b."))</f>
        <v/>
      </c>
      <c r="BO249" s="124" t="str">
        <f>IF($B249="","",IFERROR(BK249+BM249,"n.b."))</f>
        <v/>
      </c>
      <c r="BP249" s="124" t="str">
        <f>IF($B249="","",IFERROR(BL249+BN249,"n.b."))</f>
        <v/>
      </c>
      <c r="BQ249" s="124" t="str">
        <f>IF($B249="","",IFERROR(-AM249,"n.b."))</f>
        <v/>
      </c>
      <c r="BR249" s="124" t="str">
        <f>IF($B249="","",IFERROR(-AO249,"n.b."))</f>
        <v/>
      </c>
      <c r="BS249" s="124" t="str">
        <f>IF($B249="","",IFERROR(-Z249,"n.b."))</f>
        <v/>
      </c>
      <c r="BT249" s="124" t="str">
        <f>IF($B249="","",IFERROR(-AA249,"n.b."))</f>
        <v/>
      </c>
      <c r="BU249" s="124" t="str">
        <f>IF($B249="","",IFERROR(-AE249,"n.b."))</f>
        <v/>
      </c>
      <c r="BV249" s="124" t="str">
        <f>IF($B249="","",IFERROR(-AF249,"n.b."))</f>
        <v/>
      </c>
      <c r="BW249" s="124" t="str">
        <f>IF($B249="","",IFERROR(-AG249,"n.b."))</f>
        <v/>
      </c>
      <c r="BX249" s="124" t="str">
        <f>IF($B249="","",IFERROR(-AH249,"n.b."))</f>
        <v/>
      </c>
      <c r="BY249" s="124" t="str">
        <f>IF($B249="","",IFERROR(-AI249,"n.b."))</f>
        <v/>
      </c>
      <c r="BZ249" s="124" t="str">
        <f>IF($B249="","",IFERROR(-AJ249,"n.b."))</f>
        <v/>
      </c>
      <c r="CA249" s="124" t="str">
        <f>IF($B249="","",IFERROR(-AK249,"n.b."))</f>
        <v/>
      </c>
      <c r="CB249" s="124" t="str">
        <f>IF($B249="","",IFERROR(-AL249,"n.b."))</f>
        <v/>
      </c>
      <c r="CC249" s="124" t="str">
        <f>IF($B249="","",IFERROR(-AP249,"n.b."))</f>
        <v/>
      </c>
      <c r="CD249" s="124" t="str">
        <f>IF($B249="","",IFERROR(-AQ249,"n.b."))</f>
        <v/>
      </c>
      <c r="CE249" s="124" t="str">
        <f>IF($B249="","",IFERROR(-AR249,"n.b."))</f>
        <v/>
      </c>
      <c r="CF249" s="124" t="str">
        <f>IF($B249="","",IFERROR(-AS249,"n.b."))</f>
        <v/>
      </c>
      <c r="CG249" s="124" t="str">
        <f>IF($B249="","",IFERROR(-AT249,"n.b."))</f>
        <v/>
      </c>
      <c r="CH249" s="124" t="str">
        <f>IF($B249="","",IFERROR(-AU249,"n.b."))</f>
        <v/>
      </c>
      <c r="CI249" s="124" t="str">
        <f>IF($B249="","",IFERROR(-AV249,"n.b."))</f>
        <v/>
      </c>
      <c r="CJ249" s="124" t="str">
        <f>IF($B249="","",IFERROR(-AW249,"n.b."))</f>
        <v/>
      </c>
      <c r="CK249" s="124" t="str">
        <f>IF($B249="","",IFERROR(-AX249,"n.b."))</f>
        <v/>
      </c>
      <c r="CL249" s="124" t="str">
        <f>IF($B249="","",IFERROR(-AY249,"n.b."))</f>
        <v/>
      </c>
      <c r="CM249" s="124" t="str">
        <f>IF($B249="","",IFERROR(-AZ249,"n.b."))</f>
        <v/>
      </c>
      <c r="CN249" s="124" t="str">
        <f>IF($B249="","",IFERROR(-BA249,"n.b."))</f>
        <v/>
      </c>
      <c r="CO249" s="124" t="str">
        <f>IF($B249="","",IFERROR(-BB249,"n.b."))</f>
        <v/>
      </c>
      <c r="CP249" s="124" t="str">
        <f>IF($B249="","",IFERROR(-BC249,"n.b."))</f>
        <v/>
      </c>
      <c r="CQ249" s="124" t="str">
        <f>IF($B249="","",IFERROR(-BD249,"n.b."))</f>
        <v/>
      </c>
      <c r="CR249" s="124" t="str">
        <f>IF($B249="","",IFERROR(-BE249,"n.b."))</f>
        <v/>
      </c>
      <c r="CS249" s="124" t="str">
        <f>IF($B249="","",IFERROR(IF(OR(ABS(T249+V249+X249+Z249-AB249)&gt;P_Tol,ABS(U249+W249+Y249+AA249-AD249)&gt;P_Tol,ABS(AE249+AG249+AI249+AK249-AM249)&gt;P_Tol,ABS(AF249+AH249+AJ249+AL249-AO249)&gt;P_Tol),1,0),1))</f>
        <v/>
      </c>
      <c r="CT249" s="124" t="str">
        <f>IF($B249="","",IFERROR(IF(OR(ABS(AB249+AC249-AD249)&gt;P_Tol,ABS(AM249+AN249-AO249)&gt;P_Tol,ABS(O249+P249-Q249)&gt;P_Tol),1,0),1))</f>
        <v/>
      </c>
      <c r="CU249" s="124" t="str">
        <f>IF($B249="","",IFERROR(IF(ABS(R249-(AB249+AM249+AP249+AR249+AT249+AV249+AX249+AZ249+BB249+BD249))&gt;P_Tol,1,0),1))</f>
        <v/>
      </c>
      <c r="CV249" s="124" t="str">
        <f>IF($B249="","",IFERROR(IF(ABS(M249-(N249+O249+R249))&gt;P_Tol,1,0),1))</f>
        <v/>
      </c>
      <c r="CW249" s="124" t="str">
        <f>IF($B249="","",IF(COUNTIF(Mapping!$A$5:$A$104,B249)&gt;0,1,0))</f>
        <v/>
      </c>
      <c r="CX249" s="124" t="str">
        <f>IF($B249="","",COUNTIF($B$6:$B$505,B249))</f>
        <v/>
      </c>
      <c r="CY249" s="124" t="str">
        <f>IF($B249="","",COUNTIF(STG_Woningetalage!$B$6:$B$505,B249))</f>
        <v/>
      </c>
      <c r="CZ249" s="124" t="str">
        <f>IF($B249="","",IF(CW249=0,COUNTIF($CW$6:CW249,0),""))</f>
        <v/>
      </c>
    </row>
    <row r="250">
      <c r="A250" s="15" t="n">
        <v>246</v>
      </c>
      <c r="B250" t="str">
        <f>IF(B$3=0,"",IF(INDEX(SRC_ZPMW03!$A$1:$ZZ$501,$A250,B$3)&amp;""="","",INDEX(SRC_ZPMW03!$A$1:$ZZ$501,$A250,B$3)&amp;""))</f>
        <v/>
      </c>
      <c r="C250" t="str">
        <f>IF($B250="","",IF(C$3=0,"n.b.",INDEX(SRC_ZPMW03!$A$1:$ZZ$501,$A250,C$3)))</f>
        <v/>
      </c>
      <c r="D250" t="str">
        <f>IF($B250="","",IF(D$3=0,"n.b.",INDEX(SRC_ZPMW03!$A$1:$ZZ$501,$A250,D$3)))</f>
        <v/>
      </c>
      <c r="E250" t="str">
        <f>IF($B250="","",IF(E$3=0,"n.b.",INDEX(SRC_ZPMW03!$A$1:$ZZ$501,$A250,E$3)))</f>
        <v/>
      </c>
      <c r="F250" t="str">
        <f>IF($B250="","",IF(F$3=0,"n.b.",INDEX(SRC_ZPMW03!$A$1:$ZZ$501,$A250,F$3)))</f>
        <v/>
      </c>
      <c r="G250" t="str">
        <f>IF($B250="","",IF(G$3=0,"n.b.",INDEX(SRC_ZPMW03!$A$1:$ZZ$501,$A250,G$3)))</f>
        <v/>
      </c>
      <c r="H250" t="str">
        <f>IF($B250="","",IF(H$3=0,"n.b.",INDEX(SRC_ZPMW03!$A$1:$ZZ$501,$A250,H$3)))</f>
        <v/>
      </c>
      <c r="I250" t="str">
        <f>IF($B250="","",IF(I$3=0,"n.b.",INDEX(SRC_ZPMW03!$A$1:$ZZ$501,$A250,I$3)))</f>
        <v/>
      </c>
      <c r="J250" t="str">
        <f>IF($B250="","",IF(J$3=0,"n.b.",INDEX(SRC_ZPMW03!$A$1:$ZZ$501,$A250,J$3)))</f>
        <v/>
      </c>
      <c r="K250" t="str">
        <f>IF($B250="","",IF(K$3=0,"n.b.",INDEX(SRC_ZPMW03!$A$1:$ZZ$501,$A250,K$3)))</f>
        <v/>
      </c>
      <c r="L250" s="124" t="str">
        <f>IF($B250="","",IF(L$3=0,"n.b.",INDEX(SRC_ZPMW03!$A$1:$ZZ$501,$A250,L$3)))</f>
        <v/>
      </c>
      <c r="M250" s="124" t="str">
        <f>IF($B250="","",IF(M$3=0,"n.b.",INDEX(SRC_ZPMW03!$A$1:$ZZ$501,$A250,M$3)))</f>
        <v/>
      </c>
      <c r="N250" s="124" t="str">
        <f>IF($B250="","",IF(N$3=0,"n.b.",INDEX(SRC_ZPMW03!$A$1:$ZZ$501,$A250,N$3)))</f>
        <v/>
      </c>
      <c r="O250" s="124" t="str">
        <f>IF($B250="","",IF(O$3=0,"n.b.",INDEX(SRC_ZPMW03!$A$1:$ZZ$501,$A250,O$3)))</f>
        <v/>
      </c>
      <c r="P250" s="124" t="str">
        <f>IF($B250="","",IF(P$3=0,"n.b.",INDEX(SRC_ZPMW03!$A$1:$ZZ$501,$A250,P$3)))</f>
        <v/>
      </c>
      <c r="Q250" s="124" t="str">
        <f>IF($B250="","",IF(Q$3=0,"n.b.",INDEX(SRC_ZPMW03!$A$1:$ZZ$501,$A250,Q$3)))</f>
        <v/>
      </c>
      <c r="R250" s="124" t="str">
        <f>IF($B250="","",IF(R$3=0,"n.b.",INDEX(SRC_ZPMW03!$A$1:$ZZ$501,$A250,R$3)))</f>
        <v/>
      </c>
      <c r="S250" s="124" t="str">
        <f>IF($B250="","",IF(S$3=0,"n.b.",INDEX(SRC_ZPMW03!$A$1:$ZZ$501,$A250,S$3)))</f>
        <v/>
      </c>
      <c r="T250" s="124" t="str">
        <f>IF($B250="","",IF(T$3=0,"n.b.",INDEX(SRC_ZPMW03!$A$1:$ZZ$501,$A250,T$3)))</f>
        <v/>
      </c>
      <c r="U250" s="124" t="str">
        <f>IF($B250="","",IF(U$3=0,"n.b.",INDEX(SRC_ZPMW03!$A$1:$ZZ$501,$A250,U$3)))</f>
        <v/>
      </c>
      <c r="V250" s="124" t="str">
        <f>IF($B250="","",IF(V$3=0,"n.b.",INDEX(SRC_ZPMW03!$A$1:$ZZ$501,$A250,V$3)))</f>
        <v/>
      </c>
      <c r="W250" s="124" t="str">
        <f>IF($B250="","",IF(W$3=0,"n.b.",INDEX(SRC_ZPMW03!$A$1:$ZZ$501,$A250,W$3)))</f>
        <v/>
      </c>
      <c r="X250" s="124" t="str">
        <f>IF($B250="","",IF(X$3=0,"n.b.",INDEX(SRC_ZPMW03!$A$1:$ZZ$501,$A250,X$3)))</f>
        <v/>
      </c>
      <c r="Y250" s="124" t="str">
        <f>IF($B250="","",IF(Y$3=0,"n.b.",INDEX(SRC_ZPMW03!$A$1:$ZZ$501,$A250,Y$3)))</f>
        <v/>
      </c>
      <c r="Z250" s="124" t="str">
        <f>IF($B250="","",IF(Z$3=0,"n.b.",INDEX(SRC_ZPMW03!$A$1:$ZZ$501,$A250,Z$3)))</f>
        <v/>
      </c>
      <c r="AA250" s="124" t="str">
        <f>IF($B250="","",IF(AA$3=0,"n.b.",INDEX(SRC_ZPMW03!$A$1:$ZZ$501,$A250,AA$3)))</f>
        <v/>
      </c>
      <c r="AB250" s="124" t="str">
        <f>IF($B250="","",IF(AB$3=0,"n.b.",INDEX(SRC_ZPMW03!$A$1:$ZZ$501,$A250,AB$3)))</f>
        <v/>
      </c>
      <c r="AC250" s="124" t="str">
        <f>IF($B250="","",IF(AC$3=0,"n.b.",INDEX(SRC_ZPMW03!$A$1:$ZZ$501,$A250,AC$3)))</f>
        <v/>
      </c>
      <c r="AD250" s="124" t="str">
        <f>IF($B250="","",IF(AD$3=0,"n.b.",INDEX(SRC_ZPMW03!$A$1:$ZZ$501,$A250,AD$3)))</f>
        <v/>
      </c>
      <c r="AE250" s="124" t="str">
        <f>IF($B250="","",IF(AE$3=0,"n.b.",INDEX(SRC_ZPMW03!$A$1:$ZZ$501,$A250,AE$3)))</f>
        <v/>
      </c>
      <c r="AF250" s="124" t="str">
        <f>IF($B250="","",IF(AF$3=0,"n.b.",INDEX(SRC_ZPMW03!$A$1:$ZZ$501,$A250,AF$3)))</f>
        <v/>
      </c>
      <c r="AG250" s="124" t="str">
        <f>IF($B250="","",IF(AG$3=0,"n.b.",INDEX(SRC_ZPMW03!$A$1:$ZZ$501,$A250,AG$3)))</f>
        <v/>
      </c>
      <c r="AH250" s="124" t="str">
        <f>IF($B250="","",IF(AH$3=0,"n.b.",INDEX(SRC_ZPMW03!$A$1:$ZZ$501,$A250,AH$3)))</f>
        <v/>
      </c>
      <c r="AI250" s="124" t="str">
        <f>IF($B250="","",IF(AI$3=0,"n.b.",INDEX(SRC_ZPMW03!$A$1:$ZZ$501,$A250,AI$3)))</f>
        <v/>
      </c>
      <c r="AJ250" s="124" t="str">
        <f>IF($B250="","",IF(AJ$3=0,"n.b.",INDEX(SRC_ZPMW03!$A$1:$ZZ$501,$A250,AJ$3)))</f>
        <v/>
      </c>
      <c r="AK250" s="124" t="str">
        <f>IF($B250="","",IF(AK$3=0,"n.b.",INDEX(SRC_ZPMW03!$A$1:$ZZ$501,$A250,AK$3)))</f>
        <v/>
      </c>
      <c r="AL250" s="124" t="str">
        <f>IF($B250="","",IF(AL$3=0,"n.b.",INDEX(SRC_ZPMW03!$A$1:$ZZ$501,$A250,AL$3)))</f>
        <v/>
      </c>
      <c r="AM250" s="124" t="str">
        <f>IF($B250="","",IF(AM$3=0,"n.b.",INDEX(SRC_ZPMW03!$A$1:$ZZ$501,$A250,AM$3)))</f>
        <v/>
      </c>
      <c r="AN250" s="124" t="str">
        <f>IF($B250="","",IF(AN$3=0,"n.b.",INDEX(SRC_ZPMW03!$A$1:$ZZ$501,$A250,AN$3)))</f>
        <v/>
      </c>
      <c r="AO250" s="124" t="str">
        <f>IF($B250="","",IF(AO$3=0,"n.b.",INDEX(SRC_ZPMW03!$A$1:$ZZ$501,$A250,AO$3)))</f>
        <v/>
      </c>
      <c r="AP250" s="124" t="str">
        <f>IF($B250="","",IF(AP$3=0,"n.b.",INDEX(SRC_ZPMW03!$A$1:$ZZ$501,$A250,AP$3)))</f>
        <v/>
      </c>
      <c r="AQ250" s="124" t="str">
        <f>IF($B250="","",IF(AQ$3=0,"n.b.",INDEX(SRC_ZPMW03!$A$1:$ZZ$501,$A250,AQ$3)))</f>
        <v/>
      </c>
      <c r="AR250" s="124" t="str">
        <f>IF($B250="","",IF(AR$3=0,"n.b.",INDEX(SRC_ZPMW03!$A$1:$ZZ$501,$A250,AR$3)))</f>
        <v/>
      </c>
      <c r="AS250" s="124" t="str">
        <f>IF($B250="","",IF(AS$3=0,"n.b.",INDEX(SRC_ZPMW03!$A$1:$ZZ$501,$A250,AS$3)))</f>
        <v/>
      </c>
      <c r="AT250" s="124" t="str">
        <f>IF($B250="","",IF(AT$3=0,"n.b.",INDEX(SRC_ZPMW03!$A$1:$ZZ$501,$A250,AT$3)))</f>
        <v/>
      </c>
      <c r="AU250" s="124" t="str">
        <f>IF($B250="","",IF(AU$3=0,"n.b.",INDEX(SRC_ZPMW03!$A$1:$ZZ$501,$A250,AU$3)))</f>
        <v/>
      </c>
      <c r="AV250" s="124" t="str">
        <f>IF($B250="","",IF(AV$3=0,"n.b.",INDEX(SRC_ZPMW03!$A$1:$ZZ$501,$A250,AV$3)))</f>
        <v/>
      </c>
      <c r="AW250" s="124" t="str">
        <f>IF($B250="","",IF(AW$3=0,"n.b.",INDEX(SRC_ZPMW03!$A$1:$ZZ$501,$A250,AW$3)))</f>
        <v/>
      </c>
      <c r="AX250" s="124" t="str">
        <f>IF($B250="","",IF(AX$3=0,"n.b.",INDEX(SRC_ZPMW03!$A$1:$ZZ$501,$A250,AX$3)))</f>
        <v/>
      </c>
      <c r="AY250" s="124" t="str">
        <f>IF($B250="","",IF(AY$3=0,"n.b.",INDEX(SRC_ZPMW03!$A$1:$ZZ$501,$A250,AY$3)))</f>
        <v/>
      </c>
      <c r="AZ250" s="124" t="str">
        <f>IF($B250="","",IF(AZ$3=0,"n.b.",INDEX(SRC_ZPMW03!$A$1:$ZZ$501,$A250,AZ$3)))</f>
        <v/>
      </c>
      <c r="BA250" s="124" t="str">
        <f>IF($B250="","",IF(BA$3=0,"n.b.",INDEX(SRC_ZPMW03!$A$1:$ZZ$501,$A250,BA$3)))</f>
        <v/>
      </c>
      <c r="BB250" s="124" t="str">
        <f>IF($B250="","",IF(BB$3=0,"n.b.",INDEX(SRC_ZPMW03!$A$1:$ZZ$501,$A250,BB$3)))</f>
        <v/>
      </c>
      <c r="BC250" s="124" t="str">
        <f>IF($B250="","",IF(BC$3=0,"n.b.",INDEX(SRC_ZPMW03!$A$1:$ZZ$501,$A250,BC$3)))</f>
        <v/>
      </c>
      <c r="BD250" s="124" t="str">
        <f>IF($B250="","",IF(BD$3=0,"n.b.",INDEX(SRC_ZPMW03!$A$1:$ZZ$501,$A250,BD$3)))</f>
        <v/>
      </c>
      <c r="BE250" s="124" t="str">
        <f>IF($B250="","",IF(BE$3=0,"n.b.",INDEX(SRC_ZPMW03!$A$1:$ZZ$501,$A250,BE$3)))</f>
        <v/>
      </c>
      <c r="BF250" s="124" t="str">
        <f>IF($B250="","",IF(BF$3=0,"n.b.",INDEX(SRC_ZPMW03!$A$1:$ZZ$501,$A250,BF$3)))</f>
        <v/>
      </c>
      <c r="BG250" t="str">
        <f>IF($B250="","",IF(BG$3=0,"n.b.",INDEX(SRC_ZPMW03!$A$1:$ZZ$501,$A250,BG$3)))</f>
        <v/>
      </c>
      <c r="BH250" t="str">
        <f>IF($B250="","",IF(BH$3=0,"n.b.",INDEX(SRC_ZPMW03!$A$1:$ZZ$501,$A250,BH$3)))</f>
        <v/>
      </c>
      <c r="BI250" t="str">
        <f>IF($B250="","",IF(BI$3=0,"n.b.",INDEX(SRC_ZPMW03!$A$1:$ZZ$501,$A250,BI$3)))</f>
        <v/>
      </c>
      <c r="BJ250" t="str">
        <f>IF($B250="","",IF(BJ$3=0,"n.b.",INDEX(SRC_ZPMW03!$A$1:$ZZ$501,$A250,BJ$3)))</f>
        <v/>
      </c>
      <c r="BK250" s="124" t="str">
        <f>IF($B250="","",IFERROR(-O250,"n.b."))</f>
        <v/>
      </c>
      <c r="BL250" s="124" t="str">
        <f>IF($B250="","",IFERROR(-Q250,"n.b."))</f>
        <v/>
      </c>
      <c r="BM250" s="124" t="str">
        <f>IF($B250="","",IFERROR(-AB250,"n.b."))</f>
        <v/>
      </c>
      <c r="BN250" s="124" t="str">
        <f>IF($B250="","",IFERROR(-AD250,"n.b."))</f>
        <v/>
      </c>
      <c r="BO250" s="124" t="str">
        <f>IF($B250="","",IFERROR(BK250+BM250,"n.b."))</f>
        <v/>
      </c>
      <c r="BP250" s="124" t="str">
        <f>IF($B250="","",IFERROR(BL250+BN250,"n.b."))</f>
        <v/>
      </c>
      <c r="BQ250" s="124" t="str">
        <f>IF($B250="","",IFERROR(-AM250,"n.b."))</f>
        <v/>
      </c>
      <c r="BR250" s="124" t="str">
        <f>IF($B250="","",IFERROR(-AO250,"n.b."))</f>
        <v/>
      </c>
      <c r="BS250" s="124" t="str">
        <f>IF($B250="","",IFERROR(-Z250,"n.b."))</f>
        <v/>
      </c>
      <c r="BT250" s="124" t="str">
        <f>IF($B250="","",IFERROR(-AA250,"n.b."))</f>
        <v/>
      </c>
      <c r="BU250" s="124" t="str">
        <f>IF($B250="","",IFERROR(-AE250,"n.b."))</f>
        <v/>
      </c>
      <c r="BV250" s="124" t="str">
        <f>IF($B250="","",IFERROR(-AF250,"n.b."))</f>
        <v/>
      </c>
      <c r="BW250" s="124" t="str">
        <f>IF($B250="","",IFERROR(-AG250,"n.b."))</f>
        <v/>
      </c>
      <c r="BX250" s="124" t="str">
        <f>IF($B250="","",IFERROR(-AH250,"n.b."))</f>
        <v/>
      </c>
      <c r="BY250" s="124" t="str">
        <f>IF($B250="","",IFERROR(-AI250,"n.b."))</f>
        <v/>
      </c>
      <c r="BZ250" s="124" t="str">
        <f>IF($B250="","",IFERROR(-AJ250,"n.b."))</f>
        <v/>
      </c>
      <c r="CA250" s="124" t="str">
        <f>IF($B250="","",IFERROR(-AK250,"n.b."))</f>
        <v/>
      </c>
      <c r="CB250" s="124" t="str">
        <f>IF($B250="","",IFERROR(-AL250,"n.b."))</f>
        <v/>
      </c>
      <c r="CC250" s="124" t="str">
        <f>IF($B250="","",IFERROR(-AP250,"n.b."))</f>
        <v/>
      </c>
      <c r="CD250" s="124" t="str">
        <f>IF($B250="","",IFERROR(-AQ250,"n.b."))</f>
        <v/>
      </c>
      <c r="CE250" s="124" t="str">
        <f>IF($B250="","",IFERROR(-AR250,"n.b."))</f>
        <v/>
      </c>
      <c r="CF250" s="124" t="str">
        <f>IF($B250="","",IFERROR(-AS250,"n.b."))</f>
        <v/>
      </c>
      <c r="CG250" s="124" t="str">
        <f>IF($B250="","",IFERROR(-AT250,"n.b."))</f>
        <v/>
      </c>
      <c r="CH250" s="124" t="str">
        <f>IF($B250="","",IFERROR(-AU250,"n.b."))</f>
        <v/>
      </c>
      <c r="CI250" s="124" t="str">
        <f>IF($B250="","",IFERROR(-AV250,"n.b."))</f>
        <v/>
      </c>
      <c r="CJ250" s="124" t="str">
        <f>IF($B250="","",IFERROR(-AW250,"n.b."))</f>
        <v/>
      </c>
      <c r="CK250" s="124" t="str">
        <f>IF($B250="","",IFERROR(-AX250,"n.b."))</f>
        <v/>
      </c>
      <c r="CL250" s="124" t="str">
        <f>IF($B250="","",IFERROR(-AY250,"n.b."))</f>
        <v/>
      </c>
      <c r="CM250" s="124" t="str">
        <f>IF($B250="","",IFERROR(-AZ250,"n.b."))</f>
        <v/>
      </c>
      <c r="CN250" s="124" t="str">
        <f>IF($B250="","",IFERROR(-BA250,"n.b."))</f>
        <v/>
      </c>
      <c r="CO250" s="124" t="str">
        <f>IF($B250="","",IFERROR(-BB250,"n.b."))</f>
        <v/>
      </c>
      <c r="CP250" s="124" t="str">
        <f>IF($B250="","",IFERROR(-BC250,"n.b."))</f>
        <v/>
      </c>
      <c r="CQ250" s="124" t="str">
        <f>IF($B250="","",IFERROR(-BD250,"n.b."))</f>
        <v/>
      </c>
      <c r="CR250" s="124" t="str">
        <f>IF($B250="","",IFERROR(-BE250,"n.b."))</f>
        <v/>
      </c>
      <c r="CS250" s="124" t="str">
        <f>IF($B250="","",IFERROR(IF(OR(ABS(T250+V250+X250+Z250-AB250)&gt;P_Tol,ABS(U250+W250+Y250+AA250-AD250)&gt;P_Tol,ABS(AE250+AG250+AI250+AK250-AM250)&gt;P_Tol,ABS(AF250+AH250+AJ250+AL250-AO250)&gt;P_Tol),1,0),1))</f>
        <v/>
      </c>
      <c r="CT250" s="124" t="str">
        <f>IF($B250="","",IFERROR(IF(OR(ABS(AB250+AC250-AD250)&gt;P_Tol,ABS(AM250+AN250-AO250)&gt;P_Tol,ABS(O250+P250-Q250)&gt;P_Tol),1,0),1))</f>
        <v/>
      </c>
      <c r="CU250" s="124" t="str">
        <f>IF($B250="","",IFERROR(IF(ABS(R250-(AB250+AM250+AP250+AR250+AT250+AV250+AX250+AZ250+BB250+BD250))&gt;P_Tol,1,0),1))</f>
        <v/>
      </c>
      <c r="CV250" s="124" t="str">
        <f>IF($B250="","",IFERROR(IF(ABS(M250-(N250+O250+R250))&gt;P_Tol,1,0),1))</f>
        <v/>
      </c>
      <c r="CW250" s="124" t="str">
        <f>IF($B250="","",IF(COUNTIF(Mapping!$A$5:$A$104,B250)&gt;0,1,0))</f>
        <v/>
      </c>
      <c r="CX250" s="124" t="str">
        <f>IF($B250="","",COUNTIF($B$6:$B$505,B250))</f>
        <v/>
      </c>
      <c r="CY250" s="124" t="str">
        <f>IF($B250="","",COUNTIF(STG_Woningetalage!$B$6:$B$505,B250))</f>
        <v/>
      </c>
      <c r="CZ250" s="124" t="str">
        <f>IF($B250="","",IF(CW250=0,COUNTIF($CW$6:CW250,0),""))</f>
        <v/>
      </c>
    </row>
    <row r="251">
      <c r="A251" s="15" t="n">
        <v>247</v>
      </c>
      <c r="B251" t="str">
        <f>IF(B$3=0,"",IF(INDEX(SRC_ZPMW03!$A$1:$ZZ$501,$A251,B$3)&amp;""="","",INDEX(SRC_ZPMW03!$A$1:$ZZ$501,$A251,B$3)&amp;""))</f>
        <v/>
      </c>
      <c r="C251" t="str">
        <f>IF($B251="","",IF(C$3=0,"n.b.",INDEX(SRC_ZPMW03!$A$1:$ZZ$501,$A251,C$3)))</f>
        <v/>
      </c>
      <c r="D251" t="str">
        <f>IF($B251="","",IF(D$3=0,"n.b.",INDEX(SRC_ZPMW03!$A$1:$ZZ$501,$A251,D$3)))</f>
        <v/>
      </c>
      <c r="E251" t="str">
        <f>IF($B251="","",IF(E$3=0,"n.b.",INDEX(SRC_ZPMW03!$A$1:$ZZ$501,$A251,E$3)))</f>
        <v/>
      </c>
      <c r="F251" t="str">
        <f>IF($B251="","",IF(F$3=0,"n.b.",INDEX(SRC_ZPMW03!$A$1:$ZZ$501,$A251,F$3)))</f>
        <v/>
      </c>
      <c r="G251" t="str">
        <f>IF($B251="","",IF(G$3=0,"n.b.",INDEX(SRC_ZPMW03!$A$1:$ZZ$501,$A251,G$3)))</f>
        <v/>
      </c>
      <c r="H251" t="str">
        <f>IF($B251="","",IF(H$3=0,"n.b.",INDEX(SRC_ZPMW03!$A$1:$ZZ$501,$A251,H$3)))</f>
        <v/>
      </c>
      <c r="I251" t="str">
        <f>IF($B251="","",IF(I$3=0,"n.b.",INDEX(SRC_ZPMW03!$A$1:$ZZ$501,$A251,I$3)))</f>
        <v/>
      </c>
      <c r="J251" t="str">
        <f>IF($B251="","",IF(J$3=0,"n.b.",INDEX(SRC_ZPMW03!$A$1:$ZZ$501,$A251,J$3)))</f>
        <v/>
      </c>
      <c r="K251" t="str">
        <f>IF($B251="","",IF(K$3=0,"n.b.",INDEX(SRC_ZPMW03!$A$1:$ZZ$501,$A251,K$3)))</f>
        <v/>
      </c>
      <c r="L251" s="124" t="str">
        <f>IF($B251="","",IF(L$3=0,"n.b.",INDEX(SRC_ZPMW03!$A$1:$ZZ$501,$A251,L$3)))</f>
        <v/>
      </c>
      <c r="M251" s="124" t="str">
        <f>IF($B251="","",IF(M$3=0,"n.b.",INDEX(SRC_ZPMW03!$A$1:$ZZ$501,$A251,M$3)))</f>
        <v/>
      </c>
      <c r="N251" s="124" t="str">
        <f>IF($B251="","",IF(N$3=0,"n.b.",INDEX(SRC_ZPMW03!$A$1:$ZZ$501,$A251,N$3)))</f>
        <v/>
      </c>
      <c r="O251" s="124" t="str">
        <f>IF($B251="","",IF(O$3=0,"n.b.",INDEX(SRC_ZPMW03!$A$1:$ZZ$501,$A251,O$3)))</f>
        <v/>
      </c>
      <c r="P251" s="124" t="str">
        <f>IF($B251="","",IF(P$3=0,"n.b.",INDEX(SRC_ZPMW03!$A$1:$ZZ$501,$A251,P$3)))</f>
        <v/>
      </c>
      <c r="Q251" s="124" t="str">
        <f>IF($B251="","",IF(Q$3=0,"n.b.",INDEX(SRC_ZPMW03!$A$1:$ZZ$501,$A251,Q$3)))</f>
        <v/>
      </c>
      <c r="R251" s="124" t="str">
        <f>IF($B251="","",IF(R$3=0,"n.b.",INDEX(SRC_ZPMW03!$A$1:$ZZ$501,$A251,R$3)))</f>
        <v/>
      </c>
      <c r="S251" s="124" t="str">
        <f>IF($B251="","",IF(S$3=0,"n.b.",INDEX(SRC_ZPMW03!$A$1:$ZZ$501,$A251,S$3)))</f>
        <v/>
      </c>
      <c r="T251" s="124" t="str">
        <f>IF($B251="","",IF(T$3=0,"n.b.",INDEX(SRC_ZPMW03!$A$1:$ZZ$501,$A251,T$3)))</f>
        <v/>
      </c>
      <c r="U251" s="124" t="str">
        <f>IF($B251="","",IF(U$3=0,"n.b.",INDEX(SRC_ZPMW03!$A$1:$ZZ$501,$A251,U$3)))</f>
        <v/>
      </c>
      <c r="V251" s="124" t="str">
        <f>IF($B251="","",IF(V$3=0,"n.b.",INDEX(SRC_ZPMW03!$A$1:$ZZ$501,$A251,V$3)))</f>
        <v/>
      </c>
      <c r="W251" s="124" t="str">
        <f>IF($B251="","",IF(W$3=0,"n.b.",INDEX(SRC_ZPMW03!$A$1:$ZZ$501,$A251,W$3)))</f>
        <v/>
      </c>
      <c r="X251" s="124" t="str">
        <f>IF($B251="","",IF(X$3=0,"n.b.",INDEX(SRC_ZPMW03!$A$1:$ZZ$501,$A251,X$3)))</f>
        <v/>
      </c>
      <c r="Y251" s="124" t="str">
        <f>IF($B251="","",IF(Y$3=0,"n.b.",INDEX(SRC_ZPMW03!$A$1:$ZZ$501,$A251,Y$3)))</f>
        <v/>
      </c>
      <c r="Z251" s="124" t="str">
        <f>IF($B251="","",IF(Z$3=0,"n.b.",INDEX(SRC_ZPMW03!$A$1:$ZZ$501,$A251,Z$3)))</f>
        <v/>
      </c>
      <c r="AA251" s="124" t="str">
        <f>IF($B251="","",IF(AA$3=0,"n.b.",INDEX(SRC_ZPMW03!$A$1:$ZZ$501,$A251,AA$3)))</f>
        <v/>
      </c>
      <c r="AB251" s="124" t="str">
        <f>IF($B251="","",IF(AB$3=0,"n.b.",INDEX(SRC_ZPMW03!$A$1:$ZZ$501,$A251,AB$3)))</f>
        <v/>
      </c>
      <c r="AC251" s="124" t="str">
        <f>IF($B251="","",IF(AC$3=0,"n.b.",INDEX(SRC_ZPMW03!$A$1:$ZZ$501,$A251,AC$3)))</f>
        <v/>
      </c>
      <c r="AD251" s="124" t="str">
        <f>IF($B251="","",IF(AD$3=0,"n.b.",INDEX(SRC_ZPMW03!$A$1:$ZZ$501,$A251,AD$3)))</f>
        <v/>
      </c>
      <c r="AE251" s="124" t="str">
        <f>IF($B251="","",IF(AE$3=0,"n.b.",INDEX(SRC_ZPMW03!$A$1:$ZZ$501,$A251,AE$3)))</f>
        <v/>
      </c>
      <c r="AF251" s="124" t="str">
        <f>IF($B251="","",IF(AF$3=0,"n.b.",INDEX(SRC_ZPMW03!$A$1:$ZZ$501,$A251,AF$3)))</f>
        <v/>
      </c>
      <c r="AG251" s="124" t="str">
        <f>IF($B251="","",IF(AG$3=0,"n.b.",INDEX(SRC_ZPMW03!$A$1:$ZZ$501,$A251,AG$3)))</f>
        <v/>
      </c>
      <c r="AH251" s="124" t="str">
        <f>IF($B251="","",IF(AH$3=0,"n.b.",INDEX(SRC_ZPMW03!$A$1:$ZZ$501,$A251,AH$3)))</f>
        <v/>
      </c>
      <c r="AI251" s="124" t="str">
        <f>IF($B251="","",IF(AI$3=0,"n.b.",INDEX(SRC_ZPMW03!$A$1:$ZZ$501,$A251,AI$3)))</f>
        <v/>
      </c>
      <c r="AJ251" s="124" t="str">
        <f>IF($B251="","",IF(AJ$3=0,"n.b.",INDEX(SRC_ZPMW03!$A$1:$ZZ$501,$A251,AJ$3)))</f>
        <v/>
      </c>
      <c r="AK251" s="124" t="str">
        <f>IF($B251="","",IF(AK$3=0,"n.b.",INDEX(SRC_ZPMW03!$A$1:$ZZ$501,$A251,AK$3)))</f>
        <v/>
      </c>
      <c r="AL251" s="124" t="str">
        <f>IF($B251="","",IF(AL$3=0,"n.b.",INDEX(SRC_ZPMW03!$A$1:$ZZ$501,$A251,AL$3)))</f>
        <v/>
      </c>
      <c r="AM251" s="124" t="str">
        <f>IF($B251="","",IF(AM$3=0,"n.b.",INDEX(SRC_ZPMW03!$A$1:$ZZ$501,$A251,AM$3)))</f>
        <v/>
      </c>
      <c r="AN251" s="124" t="str">
        <f>IF($B251="","",IF(AN$3=0,"n.b.",INDEX(SRC_ZPMW03!$A$1:$ZZ$501,$A251,AN$3)))</f>
        <v/>
      </c>
      <c r="AO251" s="124" t="str">
        <f>IF($B251="","",IF(AO$3=0,"n.b.",INDEX(SRC_ZPMW03!$A$1:$ZZ$501,$A251,AO$3)))</f>
        <v/>
      </c>
      <c r="AP251" s="124" t="str">
        <f>IF($B251="","",IF(AP$3=0,"n.b.",INDEX(SRC_ZPMW03!$A$1:$ZZ$501,$A251,AP$3)))</f>
        <v/>
      </c>
      <c r="AQ251" s="124" t="str">
        <f>IF($B251="","",IF(AQ$3=0,"n.b.",INDEX(SRC_ZPMW03!$A$1:$ZZ$501,$A251,AQ$3)))</f>
        <v/>
      </c>
      <c r="AR251" s="124" t="str">
        <f>IF($B251="","",IF(AR$3=0,"n.b.",INDEX(SRC_ZPMW03!$A$1:$ZZ$501,$A251,AR$3)))</f>
        <v/>
      </c>
      <c r="AS251" s="124" t="str">
        <f>IF($B251="","",IF(AS$3=0,"n.b.",INDEX(SRC_ZPMW03!$A$1:$ZZ$501,$A251,AS$3)))</f>
        <v/>
      </c>
      <c r="AT251" s="124" t="str">
        <f>IF($B251="","",IF(AT$3=0,"n.b.",INDEX(SRC_ZPMW03!$A$1:$ZZ$501,$A251,AT$3)))</f>
        <v/>
      </c>
      <c r="AU251" s="124" t="str">
        <f>IF($B251="","",IF(AU$3=0,"n.b.",INDEX(SRC_ZPMW03!$A$1:$ZZ$501,$A251,AU$3)))</f>
        <v/>
      </c>
      <c r="AV251" s="124" t="str">
        <f>IF($B251="","",IF(AV$3=0,"n.b.",INDEX(SRC_ZPMW03!$A$1:$ZZ$501,$A251,AV$3)))</f>
        <v/>
      </c>
      <c r="AW251" s="124" t="str">
        <f>IF($B251="","",IF(AW$3=0,"n.b.",INDEX(SRC_ZPMW03!$A$1:$ZZ$501,$A251,AW$3)))</f>
        <v/>
      </c>
      <c r="AX251" s="124" t="str">
        <f>IF($B251="","",IF(AX$3=0,"n.b.",INDEX(SRC_ZPMW03!$A$1:$ZZ$501,$A251,AX$3)))</f>
        <v/>
      </c>
      <c r="AY251" s="124" t="str">
        <f>IF($B251="","",IF(AY$3=0,"n.b.",INDEX(SRC_ZPMW03!$A$1:$ZZ$501,$A251,AY$3)))</f>
        <v/>
      </c>
      <c r="AZ251" s="124" t="str">
        <f>IF($B251="","",IF(AZ$3=0,"n.b.",INDEX(SRC_ZPMW03!$A$1:$ZZ$501,$A251,AZ$3)))</f>
        <v/>
      </c>
      <c r="BA251" s="124" t="str">
        <f>IF($B251="","",IF(BA$3=0,"n.b.",INDEX(SRC_ZPMW03!$A$1:$ZZ$501,$A251,BA$3)))</f>
        <v/>
      </c>
      <c r="BB251" s="124" t="str">
        <f>IF($B251="","",IF(BB$3=0,"n.b.",INDEX(SRC_ZPMW03!$A$1:$ZZ$501,$A251,BB$3)))</f>
        <v/>
      </c>
      <c r="BC251" s="124" t="str">
        <f>IF($B251="","",IF(BC$3=0,"n.b.",INDEX(SRC_ZPMW03!$A$1:$ZZ$501,$A251,BC$3)))</f>
        <v/>
      </c>
      <c r="BD251" s="124" t="str">
        <f>IF($B251="","",IF(BD$3=0,"n.b.",INDEX(SRC_ZPMW03!$A$1:$ZZ$501,$A251,BD$3)))</f>
        <v/>
      </c>
      <c r="BE251" s="124" t="str">
        <f>IF($B251="","",IF(BE$3=0,"n.b.",INDEX(SRC_ZPMW03!$A$1:$ZZ$501,$A251,BE$3)))</f>
        <v/>
      </c>
      <c r="BF251" s="124" t="str">
        <f>IF($B251="","",IF(BF$3=0,"n.b.",INDEX(SRC_ZPMW03!$A$1:$ZZ$501,$A251,BF$3)))</f>
        <v/>
      </c>
      <c r="BG251" t="str">
        <f>IF($B251="","",IF(BG$3=0,"n.b.",INDEX(SRC_ZPMW03!$A$1:$ZZ$501,$A251,BG$3)))</f>
        <v/>
      </c>
      <c r="BH251" t="str">
        <f>IF($B251="","",IF(BH$3=0,"n.b.",INDEX(SRC_ZPMW03!$A$1:$ZZ$501,$A251,BH$3)))</f>
        <v/>
      </c>
      <c r="BI251" t="str">
        <f>IF($B251="","",IF(BI$3=0,"n.b.",INDEX(SRC_ZPMW03!$A$1:$ZZ$501,$A251,BI$3)))</f>
        <v/>
      </c>
      <c r="BJ251" t="str">
        <f>IF($B251="","",IF(BJ$3=0,"n.b.",INDEX(SRC_ZPMW03!$A$1:$ZZ$501,$A251,BJ$3)))</f>
        <v/>
      </c>
      <c r="BK251" s="124" t="str">
        <f>IF($B251="","",IFERROR(-O251,"n.b."))</f>
        <v/>
      </c>
      <c r="BL251" s="124" t="str">
        <f>IF($B251="","",IFERROR(-Q251,"n.b."))</f>
        <v/>
      </c>
      <c r="BM251" s="124" t="str">
        <f>IF($B251="","",IFERROR(-AB251,"n.b."))</f>
        <v/>
      </c>
      <c r="BN251" s="124" t="str">
        <f>IF($B251="","",IFERROR(-AD251,"n.b."))</f>
        <v/>
      </c>
      <c r="BO251" s="124" t="str">
        <f>IF($B251="","",IFERROR(BK251+BM251,"n.b."))</f>
        <v/>
      </c>
      <c r="BP251" s="124" t="str">
        <f>IF($B251="","",IFERROR(BL251+BN251,"n.b."))</f>
        <v/>
      </c>
      <c r="BQ251" s="124" t="str">
        <f>IF($B251="","",IFERROR(-AM251,"n.b."))</f>
        <v/>
      </c>
      <c r="BR251" s="124" t="str">
        <f>IF($B251="","",IFERROR(-AO251,"n.b."))</f>
        <v/>
      </c>
      <c r="BS251" s="124" t="str">
        <f>IF($B251="","",IFERROR(-Z251,"n.b."))</f>
        <v/>
      </c>
      <c r="BT251" s="124" t="str">
        <f>IF($B251="","",IFERROR(-AA251,"n.b."))</f>
        <v/>
      </c>
      <c r="BU251" s="124" t="str">
        <f>IF($B251="","",IFERROR(-AE251,"n.b."))</f>
        <v/>
      </c>
      <c r="BV251" s="124" t="str">
        <f>IF($B251="","",IFERROR(-AF251,"n.b."))</f>
        <v/>
      </c>
      <c r="BW251" s="124" t="str">
        <f>IF($B251="","",IFERROR(-AG251,"n.b."))</f>
        <v/>
      </c>
      <c r="BX251" s="124" t="str">
        <f>IF($B251="","",IFERROR(-AH251,"n.b."))</f>
        <v/>
      </c>
      <c r="BY251" s="124" t="str">
        <f>IF($B251="","",IFERROR(-AI251,"n.b."))</f>
        <v/>
      </c>
      <c r="BZ251" s="124" t="str">
        <f>IF($B251="","",IFERROR(-AJ251,"n.b."))</f>
        <v/>
      </c>
      <c r="CA251" s="124" t="str">
        <f>IF($B251="","",IFERROR(-AK251,"n.b."))</f>
        <v/>
      </c>
      <c r="CB251" s="124" t="str">
        <f>IF($B251="","",IFERROR(-AL251,"n.b."))</f>
        <v/>
      </c>
      <c r="CC251" s="124" t="str">
        <f>IF($B251="","",IFERROR(-AP251,"n.b."))</f>
        <v/>
      </c>
      <c r="CD251" s="124" t="str">
        <f>IF($B251="","",IFERROR(-AQ251,"n.b."))</f>
        <v/>
      </c>
      <c r="CE251" s="124" t="str">
        <f>IF($B251="","",IFERROR(-AR251,"n.b."))</f>
        <v/>
      </c>
      <c r="CF251" s="124" t="str">
        <f>IF($B251="","",IFERROR(-AS251,"n.b."))</f>
        <v/>
      </c>
      <c r="CG251" s="124" t="str">
        <f>IF($B251="","",IFERROR(-AT251,"n.b."))</f>
        <v/>
      </c>
      <c r="CH251" s="124" t="str">
        <f>IF($B251="","",IFERROR(-AU251,"n.b."))</f>
        <v/>
      </c>
      <c r="CI251" s="124" t="str">
        <f>IF($B251="","",IFERROR(-AV251,"n.b."))</f>
        <v/>
      </c>
      <c r="CJ251" s="124" t="str">
        <f>IF($B251="","",IFERROR(-AW251,"n.b."))</f>
        <v/>
      </c>
      <c r="CK251" s="124" t="str">
        <f>IF($B251="","",IFERROR(-AX251,"n.b."))</f>
        <v/>
      </c>
      <c r="CL251" s="124" t="str">
        <f>IF($B251="","",IFERROR(-AY251,"n.b."))</f>
        <v/>
      </c>
      <c r="CM251" s="124" t="str">
        <f>IF($B251="","",IFERROR(-AZ251,"n.b."))</f>
        <v/>
      </c>
      <c r="CN251" s="124" t="str">
        <f>IF($B251="","",IFERROR(-BA251,"n.b."))</f>
        <v/>
      </c>
      <c r="CO251" s="124" t="str">
        <f>IF($B251="","",IFERROR(-BB251,"n.b."))</f>
        <v/>
      </c>
      <c r="CP251" s="124" t="str">
        <f>IF($B251="","",IFERROR(-BC251,"n.b."))</f>
        <v/>
      </c>
      <c r="CQ251" s="124" t="str">
        <f>IF($B251="","",IFERROR(-BD251,"n.b."))</f>
        <v/>
      </c>
      <c r="CR251" s="124" t="str">
        <f>IF($B251="","",IFERROR(-BE251,"n.b."))</f>
        <v/>
      </c>
      <c r="CS251" s="124" t="str">
        <f>IF($B251="","",IFERROR(IF(OR(ABS(T251+V251+X251+Z251-AB251)&gt;P_Tol,ABS(U251+W251+Y251+AA251-AD251)&gt;P_Tol,ABS(AE251+AG251+AI251+AK251-AM251)&gt;P_Tol,ABS(AF251+AH251+AJ251+AL251-AO251)&gt;P_Tol),1,0),1))</f>
        <v/>
      </c>
      <c r="CT251" s="124" t="str">
        <f>IF($B251="","",IFERROR(IF(OR(ABS(AB251+AC251-AD251)&gt;P_Tol,ABS(AM251+AN251-AO251)&gt;P_Tol,ABS(O251+P251-Q251)&gt;P_Tol),1,0),1))</f>
        <v/>
      </c>
      <c r="CU251" s="124" t="str">
        <f>IF($B251="","",IFERROR(IF(ABS(R251-(AB251+AM251+AP251+AR251+AT251+AV251+AX251+AZ251+BB251+BD251))&gt;P_Tol,1,0),1))</f>
        <v/>
      </c>
      <c r="CV251" s="124" t="str">
        <f>IF($B251="","",IFERROR(IF(ABS(M251-(N251+O251+R251))&gt;P_Tol,1,0),1))</f>
        <v/>
      </c>
      <c r="CW251" s="124" t="str">
        <f>IF($B251="","",IF(COUNTIF(Mapping!$A$5:$A$104,B251)&gt;0,1,0))</f>
        <v/>
      </c>
      <c r="CX251" s="124" t="str">
        <f>IF($B251="","",COUNTIF($B$6:$B$505,B251))</f>
        <v/>
      </c>
      <c r="CY251" s="124" t="str">
        <f>IF($B251="","",COUNTIF(STG_Woningetalage!$B$6:$B$505,B251))</f>
        <v/>
      </c>
      <c r="CZ251" s="124" t="str">
        <f>IF($B251="","",IF(CW251=0,COUNTIF($CW$6:CW251,0),""))</f>
        <v/>
      </c>
    </row>
    <row r="252">
      <c r="A252" s="15" t="n">
        <v>248</v>
      </c>
      <c r="B252" t="str">
        <f>IF(B$3=0,"",IF(INDEX(SRC_ZPMW03!$A$1:$ZZ$501,$A252,B$3)&amp;""="","",INDEX(SRC_ZPMW03!$A$1:$ZZ$501,$A252,B$3)&amp;""))</f>
        <v/>
      </c>
      <c r="C252" t="str">
        <f>IF($B252="","",IF(C$3=0,"n.b.",INDEX(SRC_ZPMW03!$A$1:$ZZ$501,$A252,C$3)))</f>
        <v/>
      </c>
      <c r="D252" t="str">
        <f>IF($B252="","",IF(D$3=0,"n.b.",INDEX(SRC_ZPMW03!$A$1:$ZZ$501,$A252,D$3)))</f>
        <v/>
      </c>
      <c r="E252" t="str">
        <f>IF($B252="","",IF(E$3=0,"n.b.",INDEX(SRC_ZPMW03!$A$1:$ZZ$501,$A252,E$3)))</f>
        <v/>
      </c>
      <c r="F252" t="str">
        <f>IF($B252="","",IF(F$3=0,"n.b.",INDEX(SRC_ZPMW03!$A$1:$ZZ$501,$A252,F$3)))</f>
        <v/>
      </c>
      <c r="G252" t="str">
        <f>IF($B252="","",IF(G$3=0,"n.b.",INDEX(SRC_ZPMW03!$A$1:$ZZ$501,$A252,G$3)))</f>
        <v/>
      </c>
      <c r="H252" t="str">
        <f>IF($B252="","",IF(H$3=0,"n.b.",INDEX(SRC_ZPMW03!$A$1:$ZZ$501,$A252,H$3)))</f>
        <v/>
      </c>
      <c r="I252" t="str">
        <f>IF($B252="","",IF(I$3=0,"n.b.",INDEX(SRC_ZPMW03!$A$1:$ZZ$501,$A252,I$3)))</f>
        <v/>
      </c>
      <c r="J252" t="str">
        <f>IF($B252="","",IF(J$3=0,"n.b.",INDEX(SRC_ZPMW03!$A$1:$ZZ$501,$A252,J$3)))</f>
        <v/>
      </c>
      <c r="K252" t="str">
        <f>IF($B252="","",IF(K$3=0,"n.b.",INDEX(SRC_ZPMW03!$A$1:$ZZ$501,$A252,K$3)))</f>
        <v/>
      </c>
      <c r="L252" s="124" t="str">
        <f>IF($B252="","",IF(L$3=0,"n.b.",INDEX(SRC_ZPMW03!$A$1:$ZZ$501,$A252,L$3)))</f>
        <v/>
      </c>
      <c r="M252" s="124" t="str">
        <f>IF($B252="","",IF(M$3=0,"n.b.",INDEX(SRC_ZPMW03!$A$1:$ZZ$501,$A252,M$3)))</f>
        <v/>
      </c>
      <c r="N252" s="124" t="str">
        <f>IF($B252="","",IF(N$3=0,"n.b.",INDEX(SRC_ZPMW03!$A$1:$ZZ$501,$A252,N$3)))</f>
        <v/>
      </c>
      <c r="O252" s="124" t="str">
        <f>IF($B252="","",IF(O$3=0,"n.b.",INDEX(SRC_ZPMW03!$A$1:$ZZ$501,$A252,O$3)))</f>
        <v/>
      </c>
      <c r="P252" s="124" t="str">
        <f>IF($B252="","",IF(P$3=0,"n.b.",INDEX(SRC_ZPMW03!$A$1:$ZZ$501,$A252,P$3)))</f>
        <v/>
      </c>
      <c r="Q252" s="124" t="str">
        <f>IF($B252="","",IF(Q$3=0,"n.b.",INDEX(SRC_ZPMW03!$A$1:$ZZ$501,$A252,Q$3)))</f>
        <v/>
      </c>
      <c r="R252" s="124" t="str">
        <f>IF($B252="","",IF(R$3=0,"n.b.",INDEX(SRC_ZPMW03!$A$1:$ZZ$501,$A252,R$3)))</f>
        <v/>
      </c>
      <c r="S252" s="124" t="str">
        <f>IF($B252="","",IF(S$3=0,"n.b.",INDEX(SRC_ZPMW03!$A$1:$ZZ$501,$A252,S$3)))</f>
        <v/>
      </c>
      <c r="T252" s="124" t="str">
        <f>IF($B252="","",IF(T$3=0,"n.b.",INDEX(SRC_ZPMW03!$A$1:$ZZ$501,$A252,T$3)))</f>
        <v/>
      </c>
      <c r="U252" s="124" t="str">
        <f>IF($B252="","",IF(U$3=0,"n.b.",INDEX(SRC_ZPMW03!$A$1:$ZZ$501,$A252,U$3)))</f>
        <v/>
      </c>
      <c r="V252" s="124" t="str">
        <f>IF($B252="","",IF(V$3=0,"n.b.",INDEX(SRC_ZPMW03!$A$1:$ZZ$501,$A252,V$3)))</f>
        <v/>
      </c>
      <c r="W252" s="124" t="str">
        <f>IF($B252="","",IF(W$3=0,"n.b.",INDEX(SRC_ZPMW03!$A$1:$ZZ$501,$A252,W$3)))</f>
        <v/>
      </c>
      <c r="X252" s="124" t="str">
        <f>IF($B252="","",IF(X$3=0,"n.b.",INDEX(SRC_ZPMW03!$A$1:$ZZ$501,$A252,X$3)))</f>
        <v/>
      </c>
      <c r="Y252" s="124" t="str">
        <f>IF($B252="","",IF(Y$3=0,"n.b.",INDEX(SRC_ZPMW03!$A$1:$ZZ$501,$A252,Y$3)))</f>
        <v/>
      </c>
      <c r="Z252" s="124" t="str">
        <f>IF($B252="","",IF(Z$3=0,"n.b.",INDEX(SRC_ZPMW03!$A$1:$ZZ$501,$A252,Z$3)))</f>
        <v/>
      </c>
      <c r="AA252" s="124" t="str">
        <f>IF($B252="","",IF(AA$3=0,"n.b.",INDEX(SRC_ZPMW03!$A$1:$ZZ$501,$A252,AA$3)))</f>
        <v/>
      </c>
      <c r="AB252" s="124" t="str">
        <f>IF($B252="","",IF(AB$3=0,"n.b.",INDEX(SRC_ZPMW03!$A$1:$ZZ$501,$A252,AB$3)))</f>
        <v/>
      </c>
      <c r="AC252" s="124" t="str">
        <f>IF($B252="","",IF(AC$3=0,"n.b.",INDEX(SRC_ZPMW03!$A$1:$ZZ$501,$A252,AC$3)))</f>
        <v/>
      </c>
      <c r="AD252" s="124" t="str">
        <f>IF($B252="","",IF(AD$3=0,"n.b.",INDEX(SRC_ZPMW03!$A$1:$ZZ$501,$A252,AD$3)))</f>
        <v/>
      </c>
      <c r="AE252" s="124" t="str">
        <f>IF($B252="","",IF(AE$3=0,"n.b.",INDEX(SRC_ZPMW03!$A$1:$ZZ$501,$A252,AE$3)))</f>
        <v/>
      </c>
      <c r="AF252" s="124" t="str">
        <f>IF($B252="","",IF(AF$3=0,"n.b.",INDEX(SRC_ZPMW03!$A$1:$ZZ$501,$A252,AF$3)))</f>
        <v/>
      </c>
      <c r="AG252" s="124" t="str">
        <f>IF($B252="","",IF(AG$3=0,"n.b.",INDEX(SRC_ZPMW03!$A$1:$ZZ$501,$A252,AG$3)))</f>
        <v/>
      </c>
      <c r="AH252" s="124" t="str">
        <f>IF($B252="","",IF(AH$3=0,"n.b.",INDEX(SRC_ZPMW03!$A$1:$ZZ$501,$A252,AH$3)))</f>
        <v/>
      </c>
      <c r="AI252" s="124" t="str">
        <f>IF($B252="","",IF(AI$3=0,"n.b.",INDEX(SRC_ZPMW03!$A$1:$ZZ$501,$A252,AI$3)))</f>
        <v/>
      </c>
      <c r="AJ252" s="124" t="str">
        <f>IF($B252="","",IF(AJ$3=0,"n.b.",INDEX(SRC_ZPMW03!$A$1:$ZZ$501,$A252,AJ$3)))</f>
        <v/>
      </c>
      <c r="AK252" s="124" t="str">
        <f>IF($B252="","",IF(AK$3=0,"n.b.",INDEX(SRC_ZPMW03!$A$1:$ZZ$501,$A252,AK$3)))</f>
        <v/>
      </c>
      <c r="AL252" s="124" t="str">
        <f>IF($B252="","",IF(AL$3=0,"n.b.",INDEX(SRC_ZPMW03!$A$1:$ZZ$501,$A252,AL$3)))</f>
        <v/>
      </c>
      <c r="AM252" s="124" t="str">
        <f>IF($B252="","",IF(AM$3=0,"n.b.",INDEX(SRC_ZPMW03!$A$1:$ZZ$501,$A252,AM$3)))</f>
        <v/>
      </c>
      <c r="AN252" s="124" t="str">
        <f>IF($B252="","",IF(AN$3=0,"n.b.",INDEX(SRC_ZPMW03!$A$1:$ZZ$501,$A252,AN$3)))</f>
        <v/>
      </c>
      <c r="AO252" s="124" t="str">
        <f>IF($B252="","",IF(AO$3=0,"n.b.",INDEX(SRC_ZPMW03!$A$1:$ZZ$501,$A252,AO$3)))</f>
        <v/>
      </c>
      <c r="AP252" s="124" t="str">
        <f>IF($B252="","",IF(AP$3=0,"n.b.",INDEX(SRC_ZPMW03!$A$1:$ZZ$501,$A252,AP$3)))</f>
        <v/>
      </c>
      <c r="AQ252" s="124" t="str">
        <f>IF($B252="","",IF(AQ$3=0,"n.b.",INDEX(SRC_ZPMW03!$A$1:$ZZ$501,$A252,AQ$3)))</f>
        <v/>
      </c>
      <c r="AR252" s="124" t="str">
        <f>IF($B252="","",IF(AR$3=0,"n.b.",INDEX(SRC_ZPMW03!$A$1:$ZZ$501,$A252,AR$3)))</f>
        <v/>
      </c>
      <c r="AS252" s="124" t="str">
        <f>IF($B252="","",IF(AS$3=0,"n.b.",INDEX(SRC_ZPMW03!$A$1:$ZZ$501,$A252,AS$3)))</f>
        <v/>
      </c>
      <c r="AT252" s="124" t="str">
        <f>IF($B252="","",IF(AT$3=0,"n.b.",INDEX(SRC_ZPMW03!$A$1:$ZZ$501,$A252,AT$3)))</f>
        <v/>
      </c>
      <c r="AU252" s="124" t="str">
        <f>IF($B252="","",IF(AU$3=0,"n.b.",INDEX(SRC_ZPMW03!$A$1:$ZZ$501,$A252,AU$3)))</f>
        <v/>
      </c>
      <c r="AV252" s="124" t="str">
        <f>IF($B252="","",IF(AV$3=0,"n.b.",INDEX(SRC_ZPMW03!$A$1:$ZZ$501,$A252,AV$3)))</f>
        <v/>
      </c>
      <c r="AW252" s="124" t="str">
        <f>IF($B252="","",IF(AW$3=0,"n.b.",INDEX(SRC_ZPMW03!$A$1:$ZZ$501,$A252,AW$3)))</f>
        <v/>
      </c>
      <c r="AX252" s="124" t="str">
        <f>IF($B252="","",IF(AX$3=0,"n.b.",INDEX(SRC_ZPMW03!$A$1:$ZZ$501,$A252,AX$3)))</f>
        <v/>
      </c>
      <c r="AY252" s="124" t="str">
        <f>IF($B252="","",IF(AY$3=0,"n.b.",INDEX(SRC_ZPMW03!$A$1:$ZZ$501,$A252,AY$3)))</f>
        <v/>
      </c>
      <c r="AZ252" s="124" t="str">
        <f>IF($B252="","",IF(AZ$3=0,"n.b.",INDEX(SRC_ZPMW03!$A$1:$ZZ$501,$A252,AZ$3)))</f>
        <v/>
      </c>
      <c r="BA252" s="124" t="str">
        <f>IF($B252="","",IF(BA$3=0,"n.b.",INDEX(SRC_ZPMW03!$A$1:$ZZ$501,$A252,BA$3)))</f>
        <v/>
      </c>
      <c r="BB252" s="124" t="str">
        <f>IF($B252="","",IF(BB$3=0,"n.b.",INDEX(SRC_ZPMW03!$A$1:$ZZ$501,$A252,BB$3)))</f>
        <v/>
      </c>
      <c r="BC252" s="124" t="str">
        <f>IF($B252="","",IF(BC$3=0,"n.b.",INDEX(SRC_ZPMW03!$A$1:$ZZ$501,$A252,BC$3)))</f>
        <v/>
      </c>
      <c r="BD252" s="124" t="str">
        <f>IF($B252="","",IF(BD$3=0,"n.b.",INDEX(SRC_ZPMW03!$A$1:$ZZ$501,$A252,BD$3)))</f>
        <v/>
      </c>
      <c r="BE252" s="124" t="str">
        <f>IF($B252="","",IF(BE$3=0,"n.b.",INDEX(SRC_ZPMW03!$A$1:$ZZ$501,$A252,BE$3)))</f>
        <v/>
      </c>
      <c r="BF252" s="124" t="str">
        <f>IF($B252="","",IF(BF$3=0,"n.b.",INDEX(SRC_ZPMW03!$A$1:$ZZ$501,$A252,BF$3)))</f>
        <v/>
      </c>
      <c r="BG252" t="str">
        <f>IF($B252="","",IF(BG$3=0,"n.b.",INDEX(SRC_ZPMW03!$A$1:$ZZ$501,$A252,BG$3)))</f>
        <v/>
      </c>
      <c r="BH252" t="str">
        <f>IF($B252="","",IF(BH$3=0,"n.b.",INDEX(SRC_ZPMW03!$A$1:$ZZ$501,$A252,BH$3)))</f>
        <v/>
      </c>
      <c r="BI252" t="str">
        <f>IF($B252="","",IF(BI$3=0,"n.b.",INDEX(SRC_ZPMW03!$A$1:$ZZ$501,$A252,BI$3)))</f>
        <v/>
      </c>
      <c r="BJ252" t="str">
        <f>IF($B252="","",IF(BJ$3=0,"n.b.",INDEX(SRC_ZPMW03!$A$1:$ZZ$501,$A252,BJ$3)))</f>
        <v/>
      </c>
      <c r="BK252" s="124" t="str">
        <f>IF($B252="","",IFERROR(-O252,"n.b."))</f>
        <v/>
      </c>
      <c r="BL252" s="124" t="str">
        <f>IF($B252="","",IFERROR(-Q252,"n.b."))</f>
        <v/>
      </c>
      <c r="BM252" s="124" t="str">
        <f>IF($B252="","",IFERROR(-AB252,"n.b."))</f>
        <v/>
      </c>
      <c r="BN252" s="124" t="str">
        <f>IF($B252="","",IFERROR(-AD252,"n.b."))</f>
        <v/>
      </c>
      <c r="BO252" s="124" t="str">
        <f>IF($B252="","",IFERROR(BK252+BM252,"n.b."))</f>
        <v/>
      </c>
      <c r="BP252" s="124" t="str">
        <f>IF($B252="","",IFERROR(BL252+BN252,"n.b."))</f>
        <v/>
      </c>
      <c r="BQ252" s="124" t="str">
        <f>IF($B252="","",IFERROR(-AM252,"n.b."))</f>
        <v/>
      </c>
      <c r="BR252" s="124" t="str">
        <f>IF($B252="","",IFERROR(-AO252,"n.b."))</f>
        <v/>
      </c>
      <c r="BS252" s="124" t="str">
        <f>IF($B252="","",IFERROR(-Z252,"n.b."))</f>
        <v/>
      </c>
      <c r="BT252" s="124" t="str">
        <f>IF($B252="","",IFERROR(-AA252,"n.b."))</f>
        <v/>
      </c>
      <c r="BU252" s="124" t="str">
        <f>IF($B252="","",IFERROR(-AE252,"n.b."))</f>
        <v/>
      </c>
      <c r="BV252" s="124" t="str">
        <f>IF($B252="","",IFERROR(-AF252,"n.b."))</f>
        <v/>
      </c>
      <c r="BW252" s="124" t="str">
        <f>IF($B252="","",IFERROR(-AG252,"n.b."))</f>
        <v/>
      </c>
      <c r="BX252" s="124" t="str">
        <f>IF($B252="","",IFERROR(-AH252,"n.b."))</f>
        <v/>
      </c>
      <c r="BY252" s="124" t="str">
        <f>IF($B252="","",IFERROR(-AI252,"n.b."))</f>
        <v/>
      </c>
      <c r="BZ252" s="124" t="str">
        <f>IF($B252="","",IFERROR(-AJ252,"n.b."))</f>
        <v/>
      </c>
      <c r="CA252" s="124" t="str">
        <f>IF($B252="","",IFERROR(-AK252,"n.b."))</f>
        <v/>
      </c>
      <c r="CB252" s="124" t="str">
        <f>IF($B252="","",IFERROR(-AL252,"n.b."))</f>
        <v/>
      </c>
      <c r="CC252" s="124" t="str">
        <f>IF($B252="","",IFERROR(-AP252,"n.b."))</f>
        <v/>
      </c>
      <c r="CD252" s="124" t="str">
        <f>IF($B252="","",IFERROR(-AQ252,"n.b."))</f>
        <v/>
      </c>
      <c r="CE252" s="124" t="str">
        <f>IF($B252="","",IFERROR(-AR252,"n.b."))</f>
        <v/>
      </c>
      <c r="CF252" s="124" t="str">
        <f>IF($B252="","",IFERROR(-AS252,"n.b."))</f>
        <v/>
      </c>
      <c r="CG252" s="124" t="str">
        <f>IF($B252="","",IFERROR(-AT252,"n.b."))</f>
        <v/>
      </c>
      <c r="CH252" s="124" t="str">
        <f>IF($B252="","",IFERROR(-AU252,"n.b."))</f>
        <v/>
      </c>
      <c r="CI252" s="124" t="str">
        <f>IF($B252="","",IFERROR(-AV252,"n.b."))</f>
        <v/>
      </c>
      <c r="CJ252" s="124" t="str">
        <f>IF($B252="","",IFERROR(-AW252,"n.b."))</f>
        <v/>
      </c>
      <c r="CK252" s="124" t="str">
        <f>IF($B252="","",IFERROR(-AX252,"n.b."))</f>
        <v/>
      </c>
      <c r="CL252" s="124" t="str">
        <f>IF($B252="","",IFERROR(-AY252,"n.b."))</f>
        <v/>
      </c>
      <c r="CM252" s="124" t="str">
        <f>IF($B252="","",IFERROR(-AZ252,"n.b."))</f>
        <v/>
      </c>
      <c r="CN252" s="124" t="str">
        <f>IF($B252="","",IFERROR(-BA252,"n.b."))</f>
        <v/>
      </c>
      <c r="CO252" s="124" t="str">
        <f>IF($B252="","",IFERROR(-BB252,"n.b."))</f>
        <v/>
      </c>
      <c r="CP252" s="124" t="str">
        <f>IF($B252="","",IFERROR(-BC252,"n.b."))</f>
        <v/>
      </c>
      <c r="CQ252" s="124" t="str">
        <f>IF($B252="","",IFERROR(-BD252,"n.b."))</f>
        <v/>
      </c>
      <c r="CR252" s="124" t="str">
        <f>IF($B252="","",IFERROR(-BE252,"n.b."))</f>
        <v/>
      </c>
      <c r="CS252" s="124" t="str">
        <f>IF($B252="","",IFERROR(IF(OR(ABS(T252+V252+X252+Z252-AB252)&gt;P_Tol,ABS(U252+W252+Y252+AA252-AD252)&gt;P_Tol,ABS(AE252+AG252+AI252+AK252-AM252)&gt;P_Tol,ABS(AF252+AH252+AJ252+AL252-AO252)&gt;P_Tol),1,0),1))</f>
        <v/>
      </c>
      <c r="CT252" s="124" t="str">
        <f>IF($B252="","",IFERROR(IF(OR(ABS(AB252+AC252-AD252)&gt;P_Tol,ABS(AM252+AN252-AO252)&gt;P_Tol,ABS(O252+P252-Q252)&gt;P_Tol),1,0),1))</f>
        <v/>
      </c>
      <c r="CU252" s="124" t="str">
        <f>IF($B252="","",IFERROR(IF(ABS(R252-(AB252+AM252+AP252+AR252+AT252+AV252+AX252+AZ252+BB252+BD252))&gt;P_Tol,1,0),1))</f>
        <v/>
      </c>
      <c r="CV252" s="124" t="str">
        <f>IF($B252="","",IFERROR(IF(ABS(M252-(N252+O252+R252))&gt;P_Tol,1,0),1))</f>
        <v/>
      </c>
      <c r="CW252" s="124" t="str">
        <f>IF($B252="","",IF(COUNTIF(Mapping!$A$5:$A$104,B252)&gt;0,1,0))</f>
        <v/>
      </c>
      <c r="CX252" s="124" t="str">
        <f>IF($B252="","",COUNTIF($B$6:$B$505,B252))</f>
        <v/>
      </c>
      <c r="CY252" s="124" t="str">
        <f>IF($B252="","",COUNTIF(STG_Woningetalage!$B$6:$B$505,B252))</f>
        <v/>
      </c>
      <c r="CZ252" s="124" t="str">
        <f>IF($B252="","",IF(CW252=0,COUNTIF($CW$6:CW252,0),""))</f>
        <v/>
      </c>
    </row>
    <row r="253">
      <c r="A253" s="15" t="n">
        <v>249</v>
      </c>
      <c r="B253" t="str">
        <f>IF(B$3=0,"",IF(INDEX(SRC_ZPMW03!$A$1:$ZZ$501,$A253,B$3)&amp;""="","",INDEX(SRC_ZPMW03!$A$1:$ZZ$501,$A253,B$3)&amp;""))</f>
        <v/>
      </c>
      <c r="C253" t="str">
        <f>IF($B253="","",IF(C$3=0,"n.b.",INDEX(SRC_ZPMW03!$A$1:$ZZ$501,$A253,C$3)))</f>
        <v/>
      </c>
      <c r="D253" t="str">
        <f>IF($B253="","",IF(D$3=0,"n.b.",INDEX(SRC_ZPMW03!$A$1:$ZZ$501,$A253,D$3)))</f>
        <v/>
      </c>
      <c r="E253" t="str">
        <f>IF($B253="","",IF(E$3=0,"n.b.",INDEX(SRC_ZPMW03!$A$1:$ZZ$501,$A253,E$3)))</f>
        <v/>
      </c>
      <c r="F253" t="str">
        <f>IF($B253="","",IF(F$3=0,"n.b.",INDEX(SRC_ZPMW03!$A$1:$ZZ$501,$A253,F$3)))</f>
        <v/>
      </c>
      <c r="G253" t="str">
        <f>IF($B253="","",IF(G$3=0,"n.b.",INDEX(SRC_ZPMW03!$A$1:$ZZ$501,$A253,G$3)))</f>
        <v/>
      </c>
      <c r="H253" t="str">
        <f>IF($B253="","",IF(H$3=0,"n.b.",INDEX(SRC_ZPMW03!$A$1:$ZZ$501,$A253,H$3)))</f>
        <v/>
      </c>
      <c r="I253" t="str">
        <f>IF($B253="","",IF(I$3=0,"n.b.",INDEX(SRC_ZPMW03!$A$1:$ZZ$501,$A253,I$3)))</f>
        <v/>
      </c>
      <c r="J253" t="str">
        <f>IF($B253="","",IF(J$3=0,"n.b.",INDEX(SRC_ZPMW03!$A$1:$ZZ$501,$A253,J$3)))</f>
        <v/>
      </c>
      <c r="K253" t="str">
        <f>IF($B253="","",IF(K$3=0,"n.b.",INDEX(SRC_ZPMW03!$A$1:$ZZ$501,$A253,K$3)))</f>
        <v/>
      </c>
      <c r="L253" s="124" t="str">
        <f>IF($B253="","",IF(L$3=0,"n.b.",INDEX(SRC_ZPMW03!$A$1:$ZZ$501,$A253,L$3)))</f>
        <v/>
      </c>
      <c r="M253" s="124" t="str">
        <f>IF($B253="","",IF(M$3=0,"n.b.",INDEX(SRC_ZPMW03!$A$1:$ZZ$501,$A253,M$3)))</f>
        <v/>
      </c>
      <c r="N253" s="124" t="str">
        <f>IF($B253="","",IF(N$3=0,"n.b.",INDEX(SRC_ZPMW03!$A$1:$ZZ$501,$A253,N$3)))</f>
        <v/>
      </c>
      <c r="O253" s="124" t="str">
        <f>IF($B253="","",IF(O$3=0,"n.b.",INDEX(SRC_ZPMW03!$A$1:$ZZ$501,$A253,O$3)))</f>
        <v/>
      </c>
      <c r="P253" s="124" t="str">
        <f>IF($B253="","",IF(P$3=0,"n.b.",INDEX(SRC_ZPMW03!$A$1:$ZZ$501,$A253,P$3)))</f>
        <v/>
      </c>
      <c r="Q253" s="124" t="str">
        <f>IF($B253="","",IF(Q$3=0,"n.b.",INDEX(SRC_ZPMW03!$A$1:$ZZ$501,$A253,Q$3)))</f>
        <v/>
      </c>
      <c r="R253" s="124" t="str">
        <f>IF($B253="","",IF(R$3=0,"n.b.",INDEX(SRC_ZPMW03!$A$1:$ZZ$501,$A253,R$3)))</f>
        <v/>
      </c>
      <c r="S253" s="124" t="str">
        <f>IF($B253="","",IF(S$3=0,"n.b.",INDEX(SRC_ZPMW03!$A$1:$ZZ$501,$A253,S$3)))</f>
        <v/>
      </c>
      <c r="T253" s="124" t="str">
        <f>IF($B253="","",IF(T$3=0,"n.b.",INDEX(SRC_ZPMW03!$A$1:$ZZ$501,$A253,T$3)))</f>
        <v/>
      </c>
      <c r="U253" s="124" t="str">
        <f>IF($B253="","",IF(U$3=0,"n.b.",INDEX(SRC_ZPMW03!$A$1:$ZZ$501,$A253,U$3)))</f>
        <v/>
      </c>
      <c r="V253" s="124" t="str">
        <f>IF($B253="","",IF(V$3=0,"n.b.",INDEX(SRC_ZPMW03!$A$1:$ZZ$501,$A253,V$3)))</f>
        <v/>
      </c>
      <c r="W253" s="124" t="str">
        <f>IF($B253="","",IF(W$3=0,"n.b.",INDEX(SRC_ZPMW03!$A$1:$ZZ$501,$A253,W$3)))</f>
        <v/>
      </c>
      <c r="X253" s="124" t="str">
        <f>IF($B253="","",IF(X$3=0,"n.b.",INDEX(SRC_ZPMW03!$A$1:$ZZ$501,$A253,X$3)))</f>
        <v/>
      </c>
      <c r="Y253" s="124" t="str">
        <f>IF($B253="","",IF(Y$3=0,"n.b.",INDEX(SRC_ZPMW03!$A$1:$ZZ$501,$A253,Y$3)))</f>
        <v/>
      </c>
      <c r="Z253" s="124" t="str">
        <f>IF($B253="","",IF(Z$3=0,"n.b.",INDEX(SRC_ZPMW03!$A$1:$ZZ$501,$A253,Z$3)))</f>
        <v/>
      </c>
      <c r="AA253" s="124" t="str">
        <f>IF($B253="","",IF(AA$3=0,"n.b.",INDEX(SRC_ZPMW03!$A$1:$ZZ$501,$A253,AA$3)))</f>
        <v/>
      </c>
      <c r="AB253" s="124" t="str">
        <f>IF($B253="","",IF(AB$3=0,"n.b.",INDEX(SRC_ZPMW03!$A$1:$ZZ$501,$A253,AB$3)))</f>
        <v/>
      </c>
      <c r="AC253" s="124" t="str">
        <f>IF($B253="","",IF(AC$3=0,"n.b.",INDEX(SRC_ZPMW03!$A$1:$ZZ$501,$A253,AC$3)))</f>
        <v/>
      </c>
      <c r="AD253" s="124" t="str">
        <f>IF($B253="","",IF(AD$3=0,"n.b.",INDEX(SRC_ZPMW03!$A$1:$ZZ$501,$A253,AD$3)))</f>
        <v/>
      </c>
      <c r="AE253" s="124" t="str">
        <f>IF($B253="","",IF(AE$3=0,"n.b.",INDEX(SRC_ZPMW03!$A$1:$ZZ$501,$A253,AE$3)))</f>
        <v/>
      </c>
      <c r="AF253" s="124" t="str">
        <f>IF($B253="","",IF(AF$3=0,"n.b.",INDEX(SRC_ZPMW03!$A$1:$ZZ$501,$A253,AF$3)))</f>
        <v/>
      </c>
      <c r="AG253" s="124" t="str">
        <f>IF($B253="","",IF(AG$3=0,"n.b.",INDEX(SRC_ZPMW03!$A$1:$ZZ$501,$A253,AG$3)))</f>
        <v/>
      </c>
      <c r="AH253" s="124" t="str">
        <f>IF($B253="","",IF(AH$3=0,"n.b.",INDEX(SRC_ZPMW03!$A$1:$ZZ$501,$A253,AH$3)))</f>
        <v/>
      </c>
      <c r="AI253" s="124" t="str">
        <f>IF($B253="","",IF(AI$3=0,"n.b.",INDEX(SRC_ZPMW03!$A$1:$ZZ$501,$A253,AI$3)))</f>
        <v/>
      </c>
      <c r="AJ253" s="124" t="str">
        <f>IF($B253="","",IF(AJ$3=0,"n.b.",INDEX(SRC_ZPMW03!$A$1:$ZZ$501,$A253,AJ$3)))</f>
        <v/>
      </c>
      <c r="AK253" s="124" t="str">
        <f>IF($B253="","",IF(AK$3=0,"n.b.",INDEX(SRC_ZPMW03!$A$1:$ZZ$501,$A253,AK$3)))</f>
        <v/>
      </c>
      <c r="AL253" s="124" t="str">
        <f>IF($B253="","",IF(AL$3=0,"n.b.",INDEX(SRC_ZPMW03!$A$1:$ZZ$501,$A253,AL$3)))</f>
        <v/>
      </c>
      <c r="AM253" s="124" t="str">
        <f>IF($B253="","",IF(AM$3=0,"n.b.",INDEX(SRC_ZPMW03!$A$1:$ZZ$501,$A253,AM$3)))</f>
        <v/>
      </c>
      <c r="AN253" s="124" t="str">
        <f>IF($B253="","",IF(AN$3=0,"n.b.",INDEX(SRC_ZPMW03!$A$1:$ZZ$501,$A253,AN$3)))</f>
        <v/>
      </c>
      <c r="AO253" s="124" t="str">
        <f>IF($B253="","",IF(AO$3=0,"n.b.",INDEX(SRC_ZPMW03!$A$1:$ZZ$501,$A253,AO$3)))</f>
        <v/>
      </c>
      <c r="AP253" s="124" t="str">
        <f>IF($B253="","",IF(AP$3=0,"n.b.",INDEX(SRC_ZPMW03!$A$1:$ZZ$501,$A253,AP$3)))</f>
        <v/>
      </c>
      <c r="AQ253" s="124" t="str">
        <f>IF($B253="","",IF(AQ$3=0,"n.b.",INDEX(SRC_ZPMW03!$A$1:$ZZ$501,$A253,AQ$3)))</f>
        <v/>
      </c>
      <c r="AR253" s="124" t="str">
        <f>IF($B253="","",IF(AR$3=0,"n.b.",INDEX(SRC_ZPMW03!$A$1:$ZZ$501,$A253,AR$3)))</f>
        <v/>
      </c>
      <c r="AS253" s="124" t="str">
        <f>IF($B253="","",IF(AS$3=0,"n.b.",INDEX(SRC_ZPMW03!$A$1:$ZZ$501,$A253,AS$3)))</f>
        <v/>
      </c>
      <c r="AT253" s="124" t="str">
        <f>IF($B253="","",IF(AT$3=0,"n.b.",INDEX(SRC_ZPMW03!$A$1:$ZZ$501,$A253,AT$3)))</f>
        <v/>
      </c>
      <c r="AU253" s="124" t="str">
        <f>IF($B253="","",IF(AU$3=0,"n.b.",INDEX(SRC_ZPMW03!$A$1:$ZZ$501,$A253,AU$3)))</f>
        <v/>
      </c>
      <c r="AV253" s="124" t="str">
        <f>IF($B253="","",IF(AV$3=0,"n.b.",INDEX(SRC_ZPMW03!$A$1:$ZZ$501,$A253,AV$3)))</f>
        <v/>
      </c>
      <c r="AW253" s="124" t="str">
        <f>IF($B253="","",IF(AW$3=0,"n.b.",INDEX(SRC_ZPMW03!$A$1:$ZZ$501,$A253,AW$3)))</f>
        <v/>
      </c>
      <c r="AX253" s="124" t="str">
        <f>IF($B253="","",IF(AX$3=0,"n.b.",INDEX(SRC_ZPMW03!$A$1:$ZZ$501,$A253,AX$3)))</f>
        <v/>
      </c>
      <c r="AY253" s="124" t="str">
        <f>IF($B253="","",IF(AY$3=0,"n.b.",INDEX(SRC_ZPMW03!$A$1:$ZZ$501,$A253,AY$3)))</f>
        <v/>
      </c>
      <c r="AZ253" s="124" t="str">
        <f>IF($B253="","",IF(AZ$3=0,"n.b.",INDEX(SRC_ZPMW03!$A$1:$ZZ$501,$A253,AZ$3)))</f>
        <v/>
      </c>
      <c r="BA253" s="124" t="str">
        <f>IF($B253="","",IF(BA$3=0,"n.b.",INDEX(SRC_ZPMW03!$A$1:$ZZ$501,$A253,BA$3)))</f>
        <v/>
      </c>
      <c r="BB253" s="124" t="str">
        <f>IF($B253="","",IF(BB$3=0,"n.b.",INDEX(SRC_ZPMW03!$A$1:$ZZ$501,$A253,BB$3)))</f>
        <v/>
      </c>
      <c r="BC253" s="124" t="str">
        <f>IF($B253="","",IF(BC$3=0,"n.b.",INDEX(SRC_ZPMW03!$A$1:$ZZ$501,$A253,BC$3)))</f>
        <v/>
      </c>
      <c r="BD253" s="124" t="str">
        <f>IF($B253="","",IF(BD$3=0,"n.b.",INDEX(SRC_ZPMW03!$A$1:$ZZ$501,$A253,BD$3)))</f>
        <v/>
      </c>
      <c r="BE253" s="124" t="str">
        <f>IF($B253="","",IF(BE$3=0,"n.b.",INDEX(SRC_ZPMW03!$A$1:$ZZ$501,$A253,BE$3)))</f>
        <v/>
      </c>
      <c r="BF253" s="124" t="str">
        <f>IF($B253="","",IF(BF$3=0,"n.b.",INDEX(SRC_ZPMW03!$A$1:$ZZ$501,$A253,BF$3)))</f>
        <v/>
      </c>
      <c r="BG253" t="str">
        <f>IF($B253="","",IF(BG$3=0,"n.b.",INDEX(SRC_ZPMW03!$A$1:$ZZ$501,$A253,BG$3)))</f>
        <v/>
      </c>
      <c r="BH253" t="str">
        <f>IF($B253="","",IF(BH$3=0,"n.b.",INDEX(SRC_ZPMW03!$A$1:$ZZ$501,$A253,BH$3)))</f>
        <v/>
      </c>
      <c r="BI253" t="str">
        <f>IF($B253="","",IF(BI$3=0,"n.b.",INDEX(SRC_ZPMW03!$A$1:$ZZ$501,$A253,BI$3)))</f>
        <v/>
      </c>
      <c r="BJ253" t="str">
        <f>IF($B253="","",IF(BJ$3=0,"n.b.",INDEX(SRC_ZPMW03!$A$1:$ZZ$501,$A253,BJ$3)))</f>
        <v/>
      </c>
      <c r="BK253" s="124" t="str">
        <f>IF($B253="","",IFERROR(-O253,"n.b."))</f>
        <v/>
      </c>
      <c r="BL253" s="124" t="str">
        <f>IF($B253="","",IFERROR(-Q253,"n.b."))</f>
        <v/>
      </c>
      <c r="BM253" s="124" t="str">
        <f>IF($B253="","",IFERROR(-AB253,"n.b."))</f>
        <v/>
      </c>
      <c r="BN253" s="124" t="str">
        <f>IF($B253="","",IFERROR(-AD253,"n.b."))</f>
        <v/>
      </c>
      <c r="BO253" s="124" t="str">
        <f>IF($B253="","",IFERROR(BK253+BM253,"n.b."))</f>
        <v/>
      </c>
      <c r="BP253" s="124" t="str">
        <f>IF($B253="","",IFERROR(BL253+BN253,"n.b."))</f>
        <v/>
      </c>
      <c r="BQ253" s="124" t="str">
        <f>IF($B253="","",IFERROR(-AM253,"n.b."))</f>
        <v/>
      </c>
      <c r="BR253" s="124" t="str">
        <f>IF($B253="","",IFERROR(-AO253,"n.b."))</f>
        <v/>
      </c>
      <c r="BS253" s="124" t="str">
        <f>IF($B253="","",IFERROR(-Z253,"n.b."))</f>
        <v/>
      </c>
      <c r="BT253" s="124" t="str">
        <f>IF($B253="","",IFERROR(-AA253,"n.b."))</f>
        <v/>
      </c>
      <c r="BU253" s="124" t="str">
        <f>IF($B253="","",IFERROR(-AE253,"n.b."))</f>
        <v/>
      </c>
      <c r="BV253" s="124" t="str">
        <f>IF($B253="","",IFERROR(-AF253,"n.b."))</f>
        <v/>
      </c>
      <c r="BW253" s="124" t="str">
        <f>IF($B253="","",IFERROR(-AG253,"n.b."))</f>
        <v/>
      </c>
      <c r="BX253" s="124" t="str">
        <f>IF($B253="","",IFERROR(-AH253,"n.b."))</f>
        <v/>
      </c>
      <c r="BY253" s="124" t="str">
        <f>IF($B253="","",IFERROR(-AI253,"n.b."))</f>
        <v/>
      </c>
      <c r="BZ253" s="124" t="str">
        <f>IF($B253="","",IFERROR(-AJ253,"n.b."))</f>
        <v/>
      </c>
      <c r="CA253" s="124" t="str">
        <f>IF($B253="","",IFERROR(-AK253,"n.b."))</f>
        <v/>
      </c>
      <c r="CB253" s="124" t="str">
        <f>IF($B253="","",IFERROR(-AL253,"n.b."))</f>
        <v/>
      </c>
      <c r="CC253" s="124" t="str">
        <f>IF($B253="","",IFERROR(-AP253,"n.b."))</f>
        <v/>
      </c>
      <c r="CD253" s="124" t="str">
        <f>IF($B253="","",IFERROR(-AQ253,"n.b."))</f>
        <v/>
      </c>
      <c r="CE253" s="124" t="str">
        <f>IF($B253="","",IFERROR(-AR253,"n.b."))</f>
        <v/>
      </c>
      <c r="CF253" s="124" t="str">
        <f>IF($B253="","",IFERROR(-AS253,"n.b."))</f>
        <v/>
      </c>
      <c r="CG253" s="124" t="str">
        <f>IF($B253="","",IFERROR(-AT253,"n.b."))</f>
        <v/>
      </c>
      <c r="CH253" s="124" t="str">
        <f>IF($B253="","",IFERROR(-AU253,"n.b."))</f>
        <v/>
      </c>
      <c r="CI253" s="124" t="str">
        <f>IF($B253="","",IFERROR(-AV253,"n.b."))</f>
        <v/>
      </c>
      <c r="CJ253" s="124" t="str">
        <f>IF($B253="","",IFERROR(-AW253,"n.b."))</f>
        <v/>
      </c>
      <c r="CK253" s="124" t="str">
        <f>IF($B253="","",IFERROR(-AX253,"n.b."))</f>
        <v/>
      </c>
      <c r="CL253" s="124" t="str">
        <f>IF($B253="","",IFERROR(-AY253,"n.b."))</f>
        <v/>
      </c>
      <c r="CM253" s="124" t="str">
        <f>IF($B253="","",IFERROR(-AZ253,"n.b."))</f>
        <v/>
      </c>
      <c r="CN253" s="124" t="str">
        <f>IF($B253="","",IFERROR(-BA253,"n.b."))</f>
        <v/>
      </c>
      <c r="CO253" s="124" t="str">
        <f>IF($B253="","",IFERROR(-BB253,"n.b."))</f>
        <v/>
      </c>
      <c r="CP253" s="124" t="str">
        <f>IF($B253="","",IFERROR(-BC253,"n.b."))</f>
        <v/>
      </c>
      <c r="CQ253" s="124" t="str">
        <f>IF($B253="","",IFERROR(-BD253,"n.b."))</f>
        <v/>
      </c>
      <c r="CR253" s="124" t="str">
        <f>IF($B253="","",IFERROR(-BE253,"n.b."))</f>
        <v/>
      </c>
      <c r="CS253" s="124" t="str">
        <f>IF($B253="","",IFERROR(IF(OR(ABS(T253+V253+X253+Z253-AB253)&gt;P_Tol,ABS(U253+W253+Y253+AA253-AD253)&gt;P_Tol,ABS(AE253+AG253+AI253+AK253-AM253)&gt;P_Tol,ABS(AF253+AH253+AJ253+AL253-AO253)&gt;P_Tol),1,0),1))</f>
        <v/>
      </c>
      <c r="CT253" s="124" t="str">
        <f>IF($B253="","",IFERROR(IF(OR(ABS(AB253+AC253-AD253)&gt;P_Tol,ABS(AM253+AN253-AO253)&gt;P_Tol,ABS(O253+P253-Q253)&gt;P_Tol),1,0),1))</f>
        <v/>
      </c>
      <c r="CU253" s="124" t="str">
        <f>IF($B253="","",IFERROR(IF(ABS(R253-(AB253+AM253+AP253+AR253+AT253+AV253+AX253+AZ253+BB253+BD253))&gt;P_Tol,1,0),1))</f>
        <v/>
      </c>
      <c r="CV253" s="124" t="str">
        <f>IF($B253="","",IFERROR(IF(ABS(M253-(N253+O253+R253))&gt;P_Tol,1,0),1))</f>
        <v/>
      </c>
      <c r="CW253" s="124" t="str">
        <f>IF($B253="","",IF(COUNTIF(Mapping!$A$5:$A$104,B253)&gt;0,1,0))</f>
        <v/>
      </c>
      <c r="CX253" s="124" t="str">
        <f>IF($B253="","",COUNTIF($B$6:$B$505,B253))</f>
        <v/>
      </c>
      <c r="CY253" s="124" t="str">
        <f>IF($B253="","",COUNTIF(STG_Woningetalage!$B$6:$B$505,B253))</f>
        <v/>
      </c>
      <c r="CZ253" s="124" t="str">
        <f>IF($B253="","",IF(CW253=0,COUNTIF($CW$6:CW253,0),""))</f>
        <v/>
      </c>
    </row>
    <row r="254">
      <c r="A254" s="15" t="n">
        <v>250</v>
      </c>
      <c r="B254" t="str">
        <f>IF(B$3=0,"",IF(INDEX(SRC_ZPMW03!$A$1:$ZZ$501,$A254,B$3)&amp;""="","",INDEX(SRC_ZPMW03!$A$1:$ZZ$501,$A254,B$3)&amp;""))</f>
        <v/>
      </c>
      <c r="C254" t="str">
        <f>IF($B254="","",IF(C$3=0,"n.b.",INDEX(SRC_ZPMW03!$A$1:$ZZ$501,$A254,C$3)))</f>
        <v/>
      </c>
      <c r="D254" t="str">
        <f>IF($B254="","",IF(D$3=0,"n.b.",INDEX(SRC_ZPMW03!$A$1:$ZZ$501,$A254,D$3)))</f>
        <v/>
      </c>
      <c r="E254" t="str">
        <f>IF($B254="","",IF(E$3=0,"n.b.",INDEX(SRC_ZPMW03!$A$1:$ZZ$501,$A254,E$3)))</f>
        <v/>
      </c>
      <c r="F254" t="str">
        <f>IF($B254="","",IF(F$3=0,"n.b.",INDEX(SRC_ZPMW03!$A$1:$ZZ$501,$A254,F$3)))</f>
        <v/>
      </c>
      <c r="G254" t="str">
        <f>IF($B254="","",IF(G$3=0,"n.b.",INDEX(SRC_ZPMW03!$A$1:$ZZ$501,$A254,G$3)))</f>
        <v/>
      </c>
      <c r="H254" t="str">
        <f>IF($B254="","",IF(H$3=0,"n.b.",INDEX(SRC_ZPMW03!$A$1:$ZZ$501,$A254,H$3)))</f>
        <v/>
      </c>
      <c r="I254" t="str">
        <f>IF($B254="","",IF(I$3=0,"n.b.",INDEX(SRC_ZPMW03!$A$1:$ZZ$501,$A254,I$3)))</f>
        <v/>
      </c>
      <c r="J254" t="str">
        <f>IF($B254="","",IF(J$3=0,"n.b.",INDEX(SRC_ZPMW03!$A$1:$ZZ$501,$A254,J$3)))</f>
        <v/>
      </c>
      <c r="K254" t="str">
        <f>IF($B254="","",IF(K$3=0,"n.b.",INDEX(SRC_ZPMW03!$A$1:$ZZ$501,$A254,K$3)))</f>
        <v/>
      </c>
      <c r="L254" s="124" t="str">
        <f>IF($B254="","",IF(L$3=0,"n.b.",INDEX(SRC_ZPMW03!$A$1:$ZZ$501,$A254,L$3)))</f>
        <v/>
      </c>
      <c r="M254" s="124" t="str">
        <f>IF($B254="","",IF(M$3=0,"n.b.",INDEX(SRC_ZPMW03!$A$1:$ZZ$501,$A254,M$3)))</f>
        <v/>
      </c>
      <c r="N254" s="124" t="str">
        <f>IF($B254="","",IF(N$3=0,"n.b.",INDEX(SRC_ZPMW03!$A$1:$ZZ$501,$A254,N$3)))</f>
        <v/>
      </c>
      <c r="O254" s="124" t="str">
        <f>IF($B254="","",IF(O$3=0,"n.b.",INDEX(SRC_ZPMW03!$A$1:$ZZ$501,$A254,O$3)))</f>
        <v/>
      </c>
      <c r="P254" s="124" t="str">
        <f>IF($B254="","",IF(P$3=0,"n.b.",INDEX(SRC_ZPMW03!$A$1:$ZZ$501,$A254,P$3)))</f>
        <v/>
      </c>
      <c r="Q254" s="124" t="str">
        <f>IF($B254="","",IF(Q$3=0,"n.b.",INDEX(SRC_ZPMW03!$A$1:$ZZ$501,$A254,Q$3)))</f>
        <v/>
      </c>
      <c r="R254" s="124" t="str">
        <f>IF($B254="","",IF(R$3=0,"n.b.",INDEX(SRC_ZPMW03!$A$1:$ZZ$501,$A254,R$3)))</f>
        <v/>
      </c>
      <c r="S254" s="124" t="str">
        <f>IF($B254="","",IF(S$3=0,"n.b.",INDEX(SRC_ZPMW03!$A$1:$ZZ$501,$A254,S$3)))</f>
        <v/>
      </c>
      <c r="T254" s="124" t="str">
        <f>IF($B254="","",IF(T$3=0,"n.b.",INDEX(SRC_ZPMW03!$A$1:$ZZ$501,$A254,T$3)))</f>
        <v/>
      </c>
      <c r="U254" s="124" t="str">
        <f>IF($B254="","",IF(U$3=0,"n.b.",INDEX(SRC_ZPMW03!$A$1:$ZZ$501,$A254,U$3)))</f>
        <v/>
      </c>
      <c r="V254" s="124" t="str">
        <f>IF($B254="","",IF(V$3=0,"n.b.",INDEX(SRC_ZPMW03!$A$1:$ZZ$501,$A254,V$3)))</f>
        <v/>
      </c>
      <c r="W254" s="124" t="str">
        <f>IF($B254="","",IF(W$3=0,"n.b.",INDEX(SRC_ZPMW03!$A$1:$ZZ$501,$A254,W$3)))</f>
        <v/>
      </c>
      <c r="X254" s="124" t="str">
        <f>IF($B254="","",IF(X$3=0,"n.b.",INDEX(SRC_ZPMW03!$A$1:$ZZ$501,$A254,X$3)))</f>
        <v/>
      </c>
      <c r="Y254" s="124" t="str">
        <f>IF($B254="","",IF(Y$3=0,"n.b.",INDEX(SRC_ZPMW03!$A$1:$ZZ$501,$A254,Y$3)))</f>
        <v/>
      </c>
      <c r="Z254" s="124" t="str">
        <f>IF($B254="","",IF(Z$3=0,"n.b.",INDEX(SRC_ZPMW03!$A$1:$ZZ$501,$A254,Z$3)))</f>
        <v/>
      </c>
      <c r="AA254" s="124" t="str">
        <f>IF($B254="","",IF(AA$3=0,"n.b.",INDEX(SRC_ZPMW03!$A$1:$ZZ$501,$A254,AA$3)))</f>
        <v/>
      </c>
      <c r="AB254" s="124" t="str">
        <f>IF($B254="","",IF(AB$3=0,"n.b.",INDEX(SRC_ZPMW03!$A$1:$ZZ$501,$A254,AB$3)))</f>
        <v/>
      </c>
      <c r="AC254" s="124" t="str">
        <f>IF($B254="","",IF(AC$3=0,"n.b.",INDEX(SRC_ZPMW03!$A$1:$ZZ$501,$A254,AC$3)))</f>
        <v/>
      </c>
      <c r="AD254" s="124" t="str">
        <f>IF($B254="","",IF(AD$3=0,"n.b.",INDEX(SRC_ZPMW03!$A$1:$ZZ$501,$A254,AD$3)))</f>
        <v/>
      </c>
      <c r="AE254" s="124" t="str">
        <f>IF($B254="","",IF(AE$3=0,"n.b.",INDEX(SRC_ZPMW03!$A$1:$ZZ$501,$A254,AE$3)))</f>
        <v/>
      </c>
      <c r="AF254" s="124" t="str">
        <f>IF($B254="","",IF(AF$3=0,"n.b.",INDEX(SRC_ZPMW03!$A$1:$ZZ$501,$A254,AF$3)))</f>
        <v/>
      </c>
      <c r="AG254" s="124" t="str">
        <f>IF($B254="","",IF(AG$3=0,"n.b.",INDEX(SRC_ZPMW03!$A$1:$ZZ$501,$A254,AG$3)))</f>
        <v/>
      </c>
      <c r="AH254" s="124" t="str">
        <f>IF($B254="","",IF(AH$3=0,"n.b.",INDEX(SRC_ZPMW03!$A$1:$ZZ$501,$A254,AH$3)))</f>
        <v/>
      </c>
      <c r="AI254" s="124" t="str">
        <f>IF($B254="","",IF(AI$3=0,"n.b.",INDEX(SRC_ZPMW03!$A$1:$ZZ$501,$A254,AI$3)))</f>
        <v/>
      </c>
      <c r="AJ254" s="124" t="str">
        <f>IF($B254="","",IF(AJ$3=0,"n.b.",INDEX(SRC_ZPMW03!$A$1:$ZZ$501,$A254,AJ$3)))</f>
        <v/>
      </c>
      <c r="AK254" s="124" t="str">
        <f>IF($B254="","",IF(AK$3=0,"n.b.",INDEX(SRC_ZPMW03!$A$1:$ZZ$501,$A254,AK$3)))</f>
        <v/>
      </c>
      <c r="AL254" s="124" t="str">
        <f>IF($B254="","",IF(AL$3=0,"n.b.",INDEX(SRC_ZPMW03!$A$1:$ZZ$501,$A254,AL$3)))</f>
        <v/>
      </c>
      <c r="AM254" s="124" t="str">
        <f>IF($B254="","",IF(AM$3=0,"n.b.",INDEX(SRC_ZPMW03!$A$1:$ZZ$501,$A254,AM$3)))</f>
        <v/>
      </c>
      <c r="AN254" s="124" t="str">
        <f>IF($B254="","",IF(AN$3=0,"n.b.",INDEX(SRC_ZPMW03!$A$1:$ZZ$501,$A254,AN$3)))</f>
        <v/>
      </c>
      <c r="AO254" s="124" t="str">
        <f>IF($B254="","",IF(AO$3=0,"n.b.",INDEX(SRC_ZPMW03!$A$1:$ZZ$501,$A254,AO$3)))</f>
        <v/>
      </c>
      <c r="AP254" s="124" t="str">
        <f>IF($B254="","",IF(AP$3=0,"n.b.",INDEX(SRC_ZPMW03!$A$1:$ZZ$501,$A254,AP$3)))</f>
        <v/>
      </c>
      <c r="AQ254" s="124" t="str">
        <f>IF($B254="","",IF(AQ$3=0,"n.b.",INDEX(SRC_ZPMW03!$A$1:$ZZ$501,$A254,AQ$3)))</f>
        <v/>
      </c>
      <c r="AR254" s="124" t="str">
        <f>IF($B254="","",IF(AR$3=0,"n.b.",INDEX(SRC_ZPMW03!$A$1:$ZZ$501,$A254,AR$3)))</f>
        <v/>
      </c>
      <c r="AS254" s="124" t="str">
        <f>IF($B254="","",IF(AS$3=0,"n.b.",INDEX(SRC_ZPMW03!$A$1:$ZZ$501,$A254,AS$3)))</f>
        <v/>
      </c>
      <c r="AT254" s="124" t="str">
        <f>IF($B254="","",IF(AT$3=0,"n.b.",INDEX(SRC_ZPMW03!$A$1:$ZZ$501,$A254,AT$3)))</f>
        <v/>
      </c>
      <c r="AU254" s="124" t="str">
        <f>IF($B254="","",IF(AU$3=0,"n.b.",INDEX(SRC_ZPMW03!$A$1:$ZZ$501,$A254,AU$3)))</f>
        <v/>
      </c>
      <c r="AV254" s="124" t="str">
        <f>IF($B254="","",IF(AV$3=0,"n.b.",INDEX(SRC_ZPMW03!$A$1:$ZZ$501,$A254,AV$3)))</f>
        <v/>
      </c>
      <c r="AW254" s="124" t="str">
        <f>IF($B254="","",IF(AW$3=0,"n.b.",INDEX(SRC_ZPMW03!$A$1:$ZZ$501,$A254,AW$3)))</f>
        <v/>
      </c>
      <c r="AX254" s="124" t="str">
        <f>IF($B254="","",IF(AX$3=0,"n.b.",INDEX(SRC_ZPMW03!$A$1:$ZZ$501,$A254,AX$3)))</f>
        <v/>
      </c>
      <c r="AY254" s="124" t="str">
        <f>IF($B254="","",IF(AY$3=0,"n.b.",INDEX(SRC_ZPMW03!$A$1:$ZZ$501,$A254,AY$3)))</f>
        <v/>
      </c>
      <c r="AZ254" s="124" t="str">
        <f>IF($B254="","",IF(AZ$3=0,"n.b.",INDEX(SRC_ZPMW03!$A$1:$ZZ$501,$A254,AZ$3)))</f>
        <v/>
      </c>
      <c r="BA254" s="124" t="str">
        <f>IF($B254="","",IF(BA$3=0,"n.b.",INDEX(SRC_ZPMW03!$A$1:$ZZ$501,$A254,BA$3)))</f>
        <v/>
      </c>
      <c r="BB254" s="124" t="str">
        <f>IF($B254="","",IF(BB$3=0,"n.b.",INDEX(SRC_ZPMW03!$A$1:$ZZ$501,$A254,BB$3)))</f>
        <v/>
      </c>
      <c r="BC254" s="124" t="str">
        <f>IF($B254="","",IF(BC$3=0,"n.b.",INDEX(SRC_ZPMW03!$A$1:$ZZ$501,$A254,BC$3)))</f>
        <v/>
      </c>
      <c r="BD254" s="124" t="str">
        <f>IF($B254="","",IF(BD$3=0,"n.b.",INDEX(SRC_ZPMW03!$A$1:$ZZ$501,$A254,BD$3)))</f>
        <v/>
      </c>
      <c r="BE254" s="124" t="str">
        <f>IF($B254="","",IF(BE$3=0,"n.b.",INDEX(SRC_ZPMW03!$A$1:$ZZ$501,$A254,BE$3)))</f>
        <v/>
      </c>
      <c r="BF254" s="124" t="str">
        <f>IF($B254="","",IF(BF$3=0,"n.b.",INDEX(SRC_ZPMW03!$A$1:$ZZ$501,$A254,BF$3)))</f>
        <v/>
      </c>
      <c r="BG254" t="str">
        <f>IF($B254="","",IF(BG$3=0,"n.b.",INDEX(SRC_ZPMW03!$A$1:$ZZ$501,$A254,BG$3)))</f>
        <v/>
      </c>
      <c r="BH254" t="str">
        <f>IF($B254="","",IF(BH$3=0,"n.b.",INDEX(SRC_ZPMW03!$A$1:$ZZ$501,$A254,BH$3)))</f>
        <v/>
      </c>
      <c r="BI254" t="str">
        <f>IF($B254="","",IF(BI$3=0,"n.b.",INDEX(SRC_ZPMW03!$A$1:$ZZ$501,$A254,BI$3)))</f>
        <v/>
      </c>
      <c r="BJ254" t="str">
        <f>IF($B254="","",IF(BJ$3=0,"n.b.",INDEX(SRC_ZPMW03!$A$1:$ZZ$501,$A254,BJ$3)))</f>
        <v/>
      </c>
      <c r="BK254" s="124" t="str">
        <f>IF($B254="","",IFERROR(-O254,"n.b."))</f>
        <v/>
      </c>
      <c r="BL254" s="124" t="str">
        <f>IF($B254="","",IFERROR(-Q254,"n.b."))</f>
        <v/>
      </c>
      <c r="BM254" s="124" t="str">
        <f>IF($B254="","",IFERROR(-AB254,"n.b."))</f>
        <v/>
      </c>
      <c r="BN254" s="124" t="str">
        <f>IF($B254="","",IFERROR(-AD254,"n.b."))</f>
        <v/>
      </c>
      <c r="BO254" s="124" t="str">
        <f>IF($B254="","",IFERROR(BK254+BM254,"n.b."))</f>
        <v/>
      </c>
      <c r="BP254" s="124" t="str">
        <f>IF($B254="","",IFERROR(BL254+BN254,"n.b."))</f>
        <v/>
      </c>
      <c r="BQ254" s="124" t="str">
        <f>IF($B254="","",IFERROR(-AM254,"n.b."))</f>
        <v/>
      </c>
      <c r="BR254" s="124" t="str">
        <f>IF($B254="","",IFERROR(-AO254,"n.b."))</f>
        <v/>
      </c>
      <c r="BS254" s="124" t="str">
        <f>IF($B254="","",IFERROR(-Z254,"n.b."))</f>
        <v/>
      </c>
      <c r="BT254" s="124" t="str">
        <f>IF($B254="","",IFERROR(-AA254,"n.b."))</f>
        <v/>
      </c>
      <c r="BU254" s="124" t="str">
        <f>IF($B254="","",IFERROR(-AE254,"n.b."))</f>
        <v/>
      </c>
      <c r="BV254" s="124" t="str">
        <f>IF($B254="","",IFERROR(-AF254,"n.b."))</f>
        <v/>
      </c>
      <c r="BW254" s="124" t="str">
        <f>IF($B254="","",IFERROR(-AG254,"n.b."))</f>
        <v/>
      </c>
      <c r="BX254" s="124" t="str">
        <f>IF($B254="","",IFERROR(-AH254,"n.b."))</f>
        <v/>
      </c>
      <c r="BY254" s="124" t="str">
        <f>IF($B254="","",IFERROR(-AI254,"n.b."))</f>
        <v/>
      </c>
      <c r="BZ254" s="124" t="str">
        <f>IF($B254="","",IFERROR(-AJ254,"n.b."))</f>
        <v/>
      </c>
      <c r="CA254" s="124" t="str">
        <f>IF($B254="","",IFERROR(-AK254,"n.b."))</f>
        <v/>
      </c>
      <c r="CB254" s="124" t="str">
        <f>IF($B254="","",IFERROR(-AL254,"n.b."))</f>
        <v/>
      </c>
      <c r="CC254" s="124" t="str">
        <f>IF($B254="","",IFERROR(-AP254,"n.b."))</f>
        <v/>
      </c>
      <c r="CD254" s="124" t="str">
        <f>IF($B254="","",IFERROR(-AQ254,"n.b."))</f>
        <v/>
      </c>
      <c r="CE254" s="124" t="str">
        <f>IF($B254="","",IFERROR(-AR254,"n.b."))</f>
        <v/>
      </c>
      <c r="CF254" s="124" t="str">
        <f>IF($B254="","",IFERROR(-AS254,"n.b."))</f>
        <v/>
      </c>
      <c r="CG254" s="124" t="str">
        <f>IF($B254="","",IFERROR(-AT254,"n.b."))</f>
        <v/>
      </c>
      <c r="CH254" s="124" t="str">
        <f>IF($B254="","",IFERROR(-AU254,"n.b."))</f>
        <v/>
      </c>
      <c r="CI254" s="124" t="str">
        <f>IF($B254="","",IFERROR(-AV254,"n.b."))</f>
        <v/>
      </c>
      <c r="CJ254" s="124" t="str">
        <f>IF($B254="","",IFERROR(-AW254,"n.b."))</f>
        <v/>
      </c>
      <c r="CK254" s="124" t="str">
        <f>IF($B254="","",IFERROR(-AX254,"n.b."))</f>
        <v/>
      </c>
      <c r="CL254" s="124" t="str">
        <f>IF($B254="","",IFERROR(-AY254,"n.b."))</f>
        <v/>
      </c>
      <c r="CM254" s="124" t="str">
        <f>IF($B254="","",IFERROR(-AZ254,"n.b."))</f>
        <v/>
      </c>
      <c r="CN254" s="124" t="str">
        <f>IF($B254="","",IFERROR(-BA254,"n.b."))</f>
        <v/>
      </c>
      <c r="CO254" s="124" t="str">
        <f>IF($B254="","",IFERROR(-BB254,"n.b."))</f>
        <v/>
      </c>
      <c r="CP254" s="124" t="str">
        <f>IF($B254="","",IFERROR(-BC254,"n.b."))</f>
        <v/>
      </c>
      <c r="CQ254" s="124" t="str">
        <f>IF($B254="","",IFERROR(-BD254,"n.b."))</f>
        <v/>
      </c>
      <c r="CR254" s="124" t="str">
        <f>IF($B254="","",IFERROR(-BE254,"n.b."))</f>
        <v/>
      </c>
      <c r="CS254" s="124" t="str">
        <f>IF($B254="","",IFERROR(IF(OR(ABS(T254+V254+X254+Z254-AB254)&gt;P_Tol,ABS(U254+W254+Y254+AA254-AD254)&gt;P_Tol,ABS(AE254+AG254+AI254+AK254-AM254)&gt;P_Tol,ABS(AF254+AH254+AJ254+AL254-AO254)&gt;P_Tol),1,0),1))</f>
        <v/>
      </c>
      <c r="CT254" s="124" t="str">
        <f>IF($B254="","",IFERROR(IF(OR(ABS(AB254+AC254-AD254)&gt;P_Tol,ABS(AM254+AN254-AO254)&gt;P_Tol,ABS(O254+P254-Q254)&gt;P_Tol),1,0),1))</f>
        <v/>
      </c>
      <c r="CU254" s="124" t="str">
        <f>IF($B254="","",IFERROR(IF(ABS(R254-(AB254+AM254+AP254+AR254+AT254+AV254+AX254+AZ254+BB254+BD254))&gt;P_Tol,1,0),1))</f>
        <v/>
      </c>
      <c r="CV254" s="124" t="str">
        <f>IF($B254="","",IFERROR(IF(ABS(M254-(N254+O254+R254))&gt;P_Tol,1,0),1))</f>
        <v/>
      </c>
      <c r="CW254" s="124" t="str">
        <f>IF($B254="","",IF(COUNTIF(Mapping!$A$5:$A$104,B254)&gt;0,1,0))</f>
        <v/>
      </c>
      <c r="CX254" s="124" t="str">
        <f>IF($B254="","",COUNTIF($B$6:$B$505,B254))</f>
        <v/>
      </c>
      <c r="CY254" s="124" t="str">
        <f>IF($B254="","",COUNTIF(STG_Woningetalage!$B$6:$B$505,B254))</f>
        <v/>
      </c>
      <c r="CZ254" s="124" t="str">
        <f>IF($B254="","",IF(CW254=0,COUNTIF($CW$6:CW254,0),""))</f>
        <v/>
      </c>
    </row>
    <row r="255">
      <c r="A255" s="15" t="n">
        <v>251</v>
      </c>
      <c r="B255" t="str">
        <f>IF(B$3=0,"",IF(INDEX(SRC_ZPMW03!$A$1:$ZZ$501,$A255,B$3)&amp;""="","",INDEX(SRC_ZPMW03!$A$1:$ZZ$501,$A255,B$3)&amp;""))</f>
        <v/>
      </c>
      <c r="C255" t="str">
        <f>IF($B255="","",IF(C$3=0,"n.b.",INDEX(SRC_ZPMW03!$A$1:$ZZ$501,$A255,C$3)))</f>
        <v/>
      </c>
      <c r="D255" t="str">
        <f>IF($B255="","",IF(D$3=0,"n.b.",INDEX(SRC_ZPMW03!$A$1:$ZZ$501,$A255,D$3)))</f>
        <v/>
      </c>
      <c r="E255" t="str">
        <f>IF($B255="","",IF(E$3=0,"n.b.",INDEX(SRC_ZPMW03!$A$1:$ZZ$501,$A255,E$3)))</f>
        <v/>
      </c>
      <c r="F255" t="str">
        <f>IF($B255="","",IF(F$3=0,"n.b.",INDEX(SRC_ZPMW03!$A$1:$ZZ$501,$A255,F$3)))</f>
        <v/>
      </c>
      <c r="G255" t="str">
        <f>IF($B255="","",IF(G$3=0,"n.b.",INDEX(SRC_ZPMW03!$A$1:$ZZ$501,$A255,G$3)))</f>
        <v/>
      </c>
      <c r="H255" t="str">
        <f>IF($B255="","",IF(H$3=0,"n.b.",INDEX(SRC_ZPMW03!$A$1:$ZZ$501,$A255,H$3)))</f>
        <v/>
      </c>
      <c r="I255" t="str">
        <f>IF($B255="","",IF(I$3=0,"n.b.",INDEX(SRC_ZPMW03!$A$1:$ZZ$501,$A255,I$3)))</f>
        <v/>
      </c>
      <c r="J255" t="str">
        <f>IF($B255="","",IF(J$3=0,"n.b.",INDEX(SRC_ZPMW03!$A$1:$ZZ$501,$A255,J$3)))</f>
        <v/>
      </c>
      <c r="K255" t="str">
        <f>IF($B255="","",IF(K$3=0,"n.b.",INDEX(SRC_ZPMW03!$A$1:$ZZ$501,$A255,K$3)))</f>
        <v/>
      </c>
      <c r="L255" s="124" t="str">
        <f>IF($B255="","",IF(L$3=0,"n.b.",INDEX(SRC_ZPMW03!$A$1:$ZZ$501,$A255,L$3)))</f>
        <v/>
      </c>
      <c r="M255" s="124" t="str">
        <f>IF($B255="","",IF(M$3=0,"n.b.",INDEX(SRC_ZPMW03!$A$1:$ZZ$501,$A255,M$3)))</f>
        <v/>
      </c>
      <c r="N255" s="124" t="str">
        <f>IF($B255="","",IF(N$3=0,"n.b.",INDEX(SRC_ZPMW03!$A$1:$ZZ$501,$A255,N$3)))</f>
        <v/>
      </c>
      <c r="O255" s="124" t="str">
        <f>IF($B255="","",IF(O$3=0,"n.b.",INDEX(SRC_ZPMW03!$A$1:$ZZ$501,$A255,O$3)))</f>
        <v/>
      </c>
      <c r="P255" s="124" t="str">
        <f>IF($B255="","",IF(P$3=0,"n.b.",INDEX(SRC_ZPMW03!$A$1:$ZZ$501,$A255,P$3)))</f>
        <v/>
      </c>
      <c r="Q255" s="124" t="str">
        <f>IF($B255="","",IF(Q$3=0,"n.b.",INDEX(SRC_ZPMW03!$A$1:$ZZ$501,$A255,Q$3)))</f>
        <v/>
      </c>
      <c r="R255" s="124" t="str">
        <f>IF($B255="","",IF(R$3=0,"n.b.",INDEX(SRC_ZPMW03!$A$1:$ZZ$501,$A255,R$3)))</f>
        <v/>
      </c>
      <c r="S255" s="124" t="str">
        <f>IF($B255="","",IF(S$3=0,"n.b.",INDEX(SRC_ZPMW03!$A$1:$ZZ$501,$A255,S$3)))</f>
        <v/>
      </c>
      <c r="T255" s="124" t="str">
        <f>IF($B255="","",IF(T$3=0,"n.b.",INDEX(SRC_ZPMW03!$A$1:$ZZ$501,$A255,T$3)))</f>
        <v/>
      </c>
      <c r="U255" s="124" t="str">
        <f>IF($B255="","",IF(U$3=0,"n.b.",INDEX(SRC_ZPMW03!$A$1:$ZZ$501,$A255,U$3)))</f>
        <v/>
      </c>
      <c r="V255" s="124" t="str">
        <f>IF($B255="","",IF(V$3=0,"n.b.",INDEX(SRC_ZPMW03!$A$1:$ZZ$501,$A255,V$3)))</f>
        <v/>
      </c>
      <c r="W255" s="124" t="str">
        <f>IF($B255="","",IF(W$3=0,"n.b.",INDEX(SRC_ZPMW03!$A$1:$ZZ$501,$A255,W$3)))</f>
        <v/>
      </c>
      <c r="X255" s="124" t="str">
        <f>IF($B255="","",IF(X$3=0,"n.b.",INDEX(SRC_ZPMW03!$A$1:$ZZ$501,$A255,X$3)))</f>
        <v/>
      </c>
      <c r="Y255" s="124" t="str">
        <f>IF($B255="","",IF(Y$3=0,"n.b.",INDEX(SRC_ZPMW03!$A$1:$ZZ$501,$A255,Y$3)))</f>
        <v/>
      </c>
      <c r="Z255" s="124" t="str">
        <f>IF($B255="","",IF(Z$3=0,"n.b.",INDEX(SRC_ZPMW03!$A$1:$ZZ$501,$A255,Z$3)))</f>
        <v/>
      </c>
      <c r="AA255" s="124" t="str">
        <f>IF($B255="","",IF(AA$3=0,"n.b.",INDEX(SRC_ZPMW03!$A$1:$ZZ$501,$A255,AA$3)))</f>
        <v/>
      </c>
      <c r="AB255" s="124" t="str">
        <f>IF($B255="","",IF(AB$3=0,"n.b.",INDEX(SRC_ZPMW03!$A$1:$ZZ$501,$A255,AB$3)))</f>
        <v/>
      </c>
      <c r="AC255" s="124" t="str">
        <f>IF($B255="","",IF(AC$3=0,"n.b.",INDEX(SRC_ZPMW03!$A$1:$ZZ$501,$A255,AC$3)))</f>
        <v/>
      </c>
      <c r="AD255" s="124" t="str">
        <f>IF($B255="","",IF(AD$3=0,"n.b.",INDEX(SRC_ZPMW03!$A$1:$ZZ$501,$A255,AD$3)))</f>
        <v/>
      </c>
      <c r="AE255" s="124" t="str">
        <f>IF($B255="","",IF(AE$3=0,"n.b.",INDEX(SRC_ZPMW03!$A$1:$ZZ$501,$A255,AE$3)))</f>
        <v/>
      </c>
      <c r="AF255" s="124" t="str">
        <f>IF($B255="","",IF(AF$3=0,"n.b.",INDEX(SRC_ZPMW03!$A$1:$ZZ$501,$A255,AF$3)))</f>
        <v/>
      </c>
      <c r="AG255" s="124" t="str">
        <f>IF($B255="","",IF(AG$3=0,"n.b.",INDEX(SRC_ZPMW03!$A$1:$ZZ$501,$A255,AG$3)))</f>
        <v/>
      </c>
      <c r="AH255" s="124" t="str">
        <f>IF($B255="","",IF(AH$3=0,"n.b.",INDEX(SRC_ZPMW03!$A$1:$ZZ$501,$A255,AH$3)))</f>
        <v/>
      </c>
      <c r="AI255" s="124" t="str">
        <f>IF($B255="","",IF(AI$3=0,"n.b.",INDEX(SRC_ZPMW03!$A$1:$ZZ$501,$A255,AI$3)))</f>
        <v/>
      </c>
      <c r="AJ255" s="124" t="str">
        <f>IF($B255="","",IF(AJ$3=0,"n.b.",INDEX(SRC_ZPMW03!$A$1:$ZZ$501,$A255,AJ$3)))</f>
        <v/>
      </c>
      <c r="AK255" s="124" t="str">
        <f>IF($B255="","",IF(AK$3=0,"n.b.",INDEX(SRC_ZPMW03!$A$1:$ZZ$501,$A255,AK$3)))</f>
        <v/>
      </c>
      <c r="AL255" s="124" t="str">
        <f>IF($B255="","",IF(AL$3=0,"n.b.",INDEX(SRC_ZPMW03!$A$1:$ZZ$501,$A255,AL$3)))</f>
        <v/>
      </c>
      <c r="AM255" s="124" t="str">
        <f>IF($B255="","",IF(AM$3=0,"n.b.",INDEX(SRC_ZPMW03!$A$1:$ZZ$501,$A255,AM$3)))</f>
        <v/>
      </c>
      <c r="AN255" s="124" t="str">
        <f>IF($B255="","",IF(AN$3=0,"n.b.",INDEX(SRC_ZPMW03!$A$1:$ZZ$501,$A255,AN$3)))</f>
        <v/>
      </c>
      <c r="AO255" s="124" t="str">
        <f>IF($B255="","",IF(AO$3=0,"n.b.",INDEX(SRC_ZPMW03!$A$1:$ZZ$501,$A255,AO$3)))</f>
        <v/>
      </c>
      <c r="AP255" s="124" t="str">
        <f>IF($B255="","",IF(AP$3=0,"n.b.",INDEX(SRC_ZPMW03!$A$1:$ZZ$501,$A255,AP$3)))</f>
        <v/>
      </c>
      <c r="AQ255" s="124" t="str">
        <f>IF($B255="","",IF(AQ$3=0,"n.b.",INDEX(SRC_ZPMW03!$A$1:$ZZ$501,$A255,AQ$3)))</f>
        <v/>
      </c>
      <c r="AR255" s="124" t="str">
        <f>IF($B255="","",IF(AR$3=0,"n.b.",INDEX(SRC_ZPMW03!$A$1:$ZZ$501,$A255,AR$3)))</f>
        <v/>
      </c>
      <c r="AS255" s="124" t="str">
        <f>IF($B255="","",IF(AS$3=0,"n.b.",INDEX(SRC_ZPMW03!$A$1:$ZZ$501,$A255,AS$3)))</f>
        <v/>
      </c>
      <c r="AT255" s="124" t="str">
        <f>IF($B255="","",IF(AT$3=0,"n.b.",INDEX(SRC_ZPMW03!$A$1:$ZZ$501,$A255,AT$3)))</f>
        <v/>
      </c>
      <c r="AU255" s="124" t="str">
        <f>IF($B255="","",IF(AU$3=0,"n.b.",INDEX(SRC_ZPMW03!$A$1:$ZZ$501,$A255,AU$3)))</f>
        <v/>
      </c>
      <c r="AV255" s="124" t="str">
        <f>IF($B255="","",IF(AV$3=0,"n.b.",INDEX(SRC_ZPMW03!$A$1:$ZZ$501,$A255,AV$3)))</f>
        <v/>
      </c>
      <c r="AW255" s="124" t="str">
        <f>IF($B255="","",IF(AW$3=0,"n.b.",INDEX(SRC_ZPMW03!$A$1:$ZZ$501,$A255,AW$3)))</f>
        <v/>
      </c>
      <c r="AX255" s="124" t="str">
        <f>IF($B255="","",IF(AX$3=0,"n.b.",INDEX(SRC_ZPMW03!$A$1:$ZZ$501,$A255,AX$3)))</f>
        <v/>
      </c>
      <c r="AY255" s="124" t="str">
        <f>IF($B255="","",IF(AY$3=0,"n.b.",INDEX(SRC_ZPMW03!$A$1:$ZZ$501,$A255,AY$3)))</f>
        <v/>
      </c>
      <c r="AZ255" s="124" t="str">
        <f>IF($B255="","",IF(AZ$3=0,"n.b.",INDEX(SRC_ZPMW03!$A$1:$ZZ$501,$A255,AZ$3)))</f>
        <v/>
      </c>
      <c r="BA255" s="124" t="str">
        <f>IF($B255="","",IF(BA$3=0,"n.b.",INDEX(SRC_ZPMW03!$A$1:$ZZ$501,$A255,BA$3)))</f>
        <v/>
      </c>
      <c r="BB255" s="124" t="str">
        <f>IF($B255="","",IF(BB$3=0,"n.b.",INDEX(SRC_ZPMW03!$A$1:$ZZ$501,$A255,BB$3)))</f>
        <v/>
      </c>
      <c r="BC255" s="124" t="str">
        <f>IF($B255="","",IF(BC$3=0,"n.b.",INDEX(SRC_ZPMW03!$A$1:$ZZ$501,$A255,BC$3)))</f>
        <v/>
      </c>
      <c r="BD255" s="124" t="str">
        <f>IF($B255="","",IF(BD$3=0,"n.b.",INDEX(SRC_ZPMW03!$A$1:$ZZ$501,$A255,BD$3)))</f>
        <v/>
      </c>
      <c r="BE255" s="124" t="str">
        <f>IF($B255="","",IF(BE$3=0,"n.b.",INDEX(SRC_ZPMW03!$A$1:$ZZ$501,$A255,BE$3)))</f>
        <v/>
      </c>
      <c r="BF255" s="124" t="str">
        <f>IF($B255="","",IF(BF$3=0,"n.b.",INDEX(SRC_ZPMW03!$A$1:$ZZ$501,$A255,BF$3)))</f>
        <v/>
      </c>
      <c r="BG255" t="str">
        <f>IF($B255="","",IF(BG$3=0,"n.b.",INDEX(SRC_ZPMW03!$A$1:$ZZ$501,$A255,BG$3)))</f>
        <v/>
      </c>
      <c r="BH255" t="str">
        <f>IF($B255="","",IF(BH$3=0,"n.b.",INDEX(SRC_ZPMW03!$A$1:$ZZ$501,$A255,BH$3)))</f>
        <v/>
      </c>
      <c r="BI255" t="str">
        <f>IF($B255="","",IF(BI$3=0,"n.b.",INDEX(SRC_ZPMW03!$A$1:$ZZ$501,$A255,BI$3)))</f>
        <v/>
      </c>
      <c r="BJ255" t="str">
        <f>IF($B255="","",IF(BJ$3=0,"n.b.",INDEX(SRC_ZPMW03!$A$1:$ZZ$501,$A255,BJ$3)))</f>
        <v/>
      </c>
      <c r="BK255" s="124" t="str">
        <f>IF($B255="","",IFERROR(-O255,"n.b."))</f>
        <v/>
      </c>
      <c r="BL255" s="124" t="str">
        <f>IF($B255="","",IFERROR(-Q255,"n.b."))</f>
        <v/>
      </c>
      <c r="BM255" s="124" t="str">
        <f>IF($B255="","",IFERROR(-AB255,"n.b."))</f>
        <v/>
      </c>
      <c r="BN255" s="124" t="str">
        <f>IF($B255="","",IFERROR(-AD255,"n.b."))</f>
        <v/>
      </c>
      <c r="BO255" s="124" t="str">
        <f>IF($B255="","",IFERROR(BK255+BM255,"n.b."))</f>
        <v/>
      </c>
      <c r="BP255" s="124" t="str">
        <f>IF($B255="","",IFERROR(BL255+BN255,"n.b."))</f>
        <v/>
      </c>
      <c r="BQ255" s="124" t="str">
        <f>IF($B255="","",IFERROR(-AM255,"n.b."))</f>
        <v/>
      </c>
      <c r="BR255" s="124" t="str">
        <f>IF($B255="","",IFERROR(-AO255,"n.b."))</f>
        <v/>
      </c>
      <c r="BS255" s="124" t="str">
        <f>IF($B255="","",IFERROR(-Z255,"n.b."))</f>
        <v/>
      </c>
      <c r="BT255" s="124" t="str">
        <f>IF($B255="","",IFERROR(-AA255,"n.b."))</f>
        <v/>
      </c>
      <c r="BU255" s="124" t="str">
        <f>IF($B255="","",IFERROR(-AE255,"n.b."))</f>
        <v/>
      </c>
      <c r="BV255" s="124" t="str">
        <f>IF($B255="","",IFERROR(-AF255,"n.b."))</f>
        <v/>
      </c>
      <c r="BW255" s="124" t="str">
        <f>IF($B255="","",IFERROR(-AG255,"n.b."))</f>
        <v/>
      </c>
      <c r="BX255" s="124" t="str">
        <f>IF($B255="","",IFERROR(-AH255,"n.b."))</f>
        <v/>
      </c>
      <c r="BY255" s="124" t="str">
        <f>IF($B255="","",IFERROR(-AI255,"n.b."))</f>
        <v/>
      </c>
      <c r="BZ255" s="124" t="str">
        <f>IF($B255="","",IFERROR(-AJ255,"n.b."))</f>
        <v/>
      </c>
      <c r="CA255" s="124" t="str">
        <f>IF($B255="","",IFERROR(-AK255,"n.b."))</f>
        <v/>
      </c>
      <c r="CB255" s="124" t="str">
        <f>IF($B255="","",IFERROR(-AL255,"n.b."))</f>
        <v/>
      </c>
      <c r="CC255" s="124" t="str">
        <f>IF($B255="","",IFERROR(-AP255,"n.b."))</f>
        <v/>
      </c>
      <c r="CD255" s="124" t="str">
        <f>IF($B255="","",IFERROR(-AQ255,"n.b."))</f>
        <v/>
      </c>
      <c r="CE255" s="124" t="str">
        <f>IF($B255="","",IFERROR(-AR255,"n.b."))</f>
        <v/>
      </c>
      <c r="CF255" s="124" t="str">
        <f>IF($B255="","",IFERROR(-AS255,"n.b."))</f>
        <v/>
      </c>
      <c r="CG255" s="124" t="str">
        <f>IF($B255="","",IFERROR(-AT255,"n.b."))</f>
        <v/>
      </c>
      <c r="CH255" s="124" t="str">
        <f>IF($B255="","",IFERROR(-AU255,"n.b."))</f>
        <v/>
      </c>
      <c r="CI255" s="124" t="str">
        <f>IF($B255="","",IFERROR(-AV255,"n.b."))</f>
        <v/>
      </c>
      <c r="CJ255" s="124" t="str">
        <f>IF($B255="","",IFERROR(-AW255,"n.b."))</f>
        <v/>
      </c>
      <c r="CK255" s="124" t="str">
        <f>IF($B255="","",IFERROR(-AX255,"n.b."))</f>
        <v/>
      </c>
      <c r="CL255" s="124" t="str">
        <f>IF($B255="","",IFERROR(-AY255,"n.b."))</f>
        <v/>
      </c>
      <c r="CM255" s="124" t="str">
        <f>IF($B255="","",IFERROR(-AZ255,"n.b."))</f>
        <v/>
      </c>
      <c r="CN255" s="124" t="str">
        <f>IF($B255="","",IFERROR(-BA255,"n.b."))</f>
        <v/>
      </c>
      <c r="CO255" s="124" t="str">
        <f>IF($B255="","",IFERROR(-BB255,"n.b."))</f>
        <v/>
      </c>
      <c r="CP255" s="124" t="str">
        <f>IF($B255="","",IFERROR(-BC255,"n.b."))</f>
        <v/>
      </c>
      <c r="CQ255" s="124" t="str">
        <f>IF($B255="","",IFERROR(-BD255,"n.b."))</f>
        <v/>
      </c>
      <c r="CR255" s="124" t="str">
        <f>IF($B255="","",IFERROR(-BE255,"n.b."))</f>
        <v/>
      </c>
      <c r="CS255" s="124" t="str">
        <f>IF($B255="","",IFERROR(IF(OR(ABS(T255+V255+X255+Z255-AB255)&gt;P_Tol,ABS(U255+W255+Y255+AA255-AD255)&gt;P_Tol,ABS(AE255+AG255+AI255+AK255-AM255)&gt;P_Tol,ABS(AF255+AH255+AJ255+AL255-AO255)&gt;P_Tol),1,0),1))</f>
        <v/>
      </c>
      <c r="CT255" s="124" t="str">
        <f>IF($B255="","",IFERROR(IF(OR(ABS(AB255+AC255-AD255)&gt;P_Tol,ABS(AM255+AN255-AO255)&gt;P_Tol,ABS(O255+P255-Q255)&gt;P_Tol),1,0),1))</f>
        <v/>
      </c>
      <c r="CU255" s="124" t="str">
        <f>IF($B255="","",IFERROR(IF(ABS(R255-(AB255+AM255+AP255+AR255+AT255+AV255+AX255+AZ255+BB255+BD255))&gt;P_Tol,1,0),1))</f>
        <v/>
      </c>
      <c r="CV255" s="124" t="str">
        <f>IF($B255="","",IFERROR(IF(ABS(M255-(N255+O255+R255))&gt;P_Tol,1,0),1))</f>
        <v/>
      </c>
      <c r="CW255" s="124" t="str">
        <f>IF($B255="","",IF(COUNTIF(Mapping!$A$5:$A$104,B255)&gt;0,1,0))</f>
        <v/>
      </c>
      <c r="CX255" s="124" t="str">
        <f>IF($B255="","",COUNTIF($B$6:$B$505,B255))</f>
        <v/>
      </c>
      <c r="CY255" s="124" t="str">
        <f>IF($B255="","",COUNTIF(STG_Woningetalage!$B$6:$B$505,B255))</f>
        <v/>
      </c>
      <c r="CZ255" s="124" t="str">
        <f>IF($B255="","",IF(CW255=0,COUNTIF($CW$6:CW255,0),""))</f>
        <v/>
      </c>
    </row>
    <row r="256">
      <c r="A256" s="15" t="n">
        <v>252</v>
      </c>
      <c r="B256" t="str">
        <f>IF(B$3=0,"",IF(INDEX(SRC_ZPMW03!$A$1:$ZZ$501,$A256,B$3)&amp;""="","",INDEX(SRC_ZPMW03!$A$1:$ZZ$501,$A256,B$3)&amp;""))</f>
        <v/>
      </c>
      <c r="C256" t="str">
        <f>IF($B256="","",IF(C$3=0,"n.b.",INDEX(SRC_ZPMW03!$A$1:$ZZ$501,$A256,C$3)))</f>
        <v/>
      </c>
      <c r="D256" t="str">
        <f>IF($B256="","",IF(D$3=0,"n.b.",INDEX(SRC_ZPMW03!$A$1:$ZZ$501,$A256,D$3)))</f>
        <v/>
      </c>
      <c r="E256" t="str">
        <f>IF($B256="","",IF(E$3=0,"n.b.",INDEX(SRC_ZPMW03!$A$1:$ZZ$501,$A256,E$3)))</f>
        <v/>
      </c>
      <c r="F256" t="str">
        <f>IF($B256="","",IF(F$3=0,"n.b.",INDEX(SRC_ZPMW03!$A$1:$ZZ$501,$A256,F$3)))</f>
        <v/>
      </c>
      <c r="G256" t="str">
        <f>IF($B256="","",IF(G$3=0,"n.b.",INDEX(SRC_ZPMW03!$A$1:$ZZ$501,$A256,G$3)))</f>
        <v/>
      </c>
      <c r="H256" t="str">
        <f>IF($B256="","",IF(H$3=0,"n.b.",INDEX(SRC_ZPMW03!$A$1:$ZZ$501,$A256,H$3)))</f>
        <v/>
      </c>
      <c r="I256" t="str">
        <f>IF($B256="","",IF(I$3=0,"n.b.",INDEX(SRC_ZPMW03!$A$1:$ZZ$501,$A256,I$3)))</f>
        <v/>
      </c>
      <c r="J256" t="str">
        <f>IF($B256="","",IF(J$3=0,"n.b.",INDEX(SRC_ZPMW03!$A$1:$ZZ$501,$A256,J$3)))</f>
        <v/>
      </c>
      <c r="K256" t="str">
        <f>IF($B256="","",IF(K$3=0,"n.b.",INDEX(SRC_ZPMW03!$A$1:$ZZ$501,$A256,K$3)))</f>
        <v/>
      </c>
      <c r="L256" s="124" t="str">
        <f>IF($B256="","",IF(L$3=0,"n.b.",INDEX(SRC_ZPMW03!$A$1:$ZZ$501,$A256,L$3)))</f>
        <v/>
      </c>
      <c r="M256" s="124" t="str">
        <f>IF($B256="","",IF(M$3=0,"n.b.",INDEX(SRC_ZPMW03!$A$1:$ZZ$501,$A256,M$3)))</f>
        <v/>
      </c>
      <c r="N256" s="124" t="str">
        <f>IF($B256="","",IF(N$3=0,"n.b.",INDEX(SRC_ZPMW03!$A$1:$ZZ$501,$A256,N$3)))</f>
        <v/>
      </c>
      <c r="O256" s="124" t="str">
        <f>IF($B256="","",IF(O$3=0,"n.b.",INDEX(SRC_ZPMW03!$A$1:$ZZ$501,$A256,O$3)))</f>
        <v/>
      </c>
      <c r="P256" s="124" t="str">
        <f>IF($B256="","",IF(P$3=0,"n.b.",INDEX(SRC_ZPMW03!$A$1:$ZZ$501,$A256,P$3)))</f>
        <v/>
      </c>
      <c r="Q256" s="124" t="str">
        <f>IF($B256="","",IF(Q$3=0,"n.b.",INDEX(SRC_ZPMW03!$A$1:$ZZ$501,$A256,Q$3)))</f>
        <v/>
      </c>
      <c r="R256" s="124" t="str">
        <f>IF($B256="","",IF(R$3=0,"n.b.",INDEX(SRC_ZPMW03!$A$1:$ZZ$501,$A256,R$3)))</f>
        <v/>
      </c>
      <c r="S256" s="124" t="str">
        <f>IF($B256="","",IF(S$3=0,"n.b.",INDEX(SRC_ZPMW03!$A$1:$ZZ$501,$A256,S$3)))</f>
        <v/>
      </c>
      <c r="T256" s="124" t="str">
        <f>IF($B256="","",IF(T$3=0,"n.b.",INDEX(SRC_ZPMW03!$A$1:$ZZ$501,$A256,T$3)))</f>
        <v/>
      </c>
      <c r="U256" s="124" t="str">
        <f>IF($B256="","",IF(U$3=0,"n.b.",INDEX(SRC_ZPMW03!$A$1:$ZZ$501,$A256,U$3)))</f>
        <v/>
      </c>
      <c r="V256" s="124" t="str">
        <f>IF($B256="","",IF(V$3=0,"n.b.",INDEX(SRC_ZPMW03!$A$1:$ZZ$501,$A256,V$3)))</f>
        <v/>
      </c>
      <c r="W256" s="124" t="str">
        <f>IF($B256="","",IF(W$3=0,"n.b.",INDEX(SRC_ZPMW03!$A$1:$ZZ$501,$A256,W$3)))</f>
        <v/>
      </c>
      <c r="X256" s="124" t="str">
        <f>IF($B256="","",IF(X$3=0,"n.b.",INDEX(SRC_ZPMW03!$A$1:$ZZ$501,$A256,X$3)))</f>
        <v/>
      </c>
      <c r="Y256" s="124" t="str">
        <f>IF($B256="","",IF(Y$3=0,"n.b.",INDEX(SRC_ZPMW03!$A$1:$ZZ$501,$A256,Y$3)))</f>
        <v/>
      </c>
      <c r="Z256" s="124" t="str">
        <f>IF($B256="","",IF(Z$3=0,"n.b.",INDEX(SRC_ZPMW03!$A$1:$ZZ$501,$A256,Z$3)))</f>
        <v/>
      </c>
      <c r="AA256" s="124" t="str">
        <f>IF($B256="","",IF(AA$3=0,"n.b.",INDEX(SRC_ZPMW03!$A$1:$ZZ$501,$A256,AA$3)))</f>
        <v/>
      </c>
      <c r="AB256" s="124" t="str">
        <f>IF($B256="","",IF(AB$3=0,"n.b.",INDEX(SRC_ZPMW03!$A$1:$ZZ$501,$A256,AB$3)))</f>
        <v/>
      </c>
      <c r="AC256" s="124" t="str">
        <f>IF($B256="","",IF(AC$3=0,"n.b.",INDEX(SRC_ZPMW03!$A$1:$ZZ$501,$A256,AC$3)))</f>
        <v/>
      </c>
      <c r="AD256" s="124" t="str">
        <f>IF($B256="","",IF(AD$3=0,"n.b.",INDEX(SRC_ZPMW03!$A$1:$ZZ$501,$A256,AD$3)))</f>
        <v/>
      </c>
      <c r="AE256" s="124" t="str">
        <f>IF($B256="","",IF(AE$3=0,"n.b.",INDEX(SRC_ZPMW03!$A$1:$ZZ$501,$A256,AE$3)))</f>
        <v/>
      </c>
      <c r="AF256" s="124" t="str">
        <f>IF($B256="","",IF(AF$3=0,"n.b.",INDEX(SRC_ZPMW03!$A$1:$ZZ$501,$A256,AF$3)))</f>
        <v/>
      </c>
      <c r="AG256" s="124" t="str">
        <f>IF($B256="","",IF(AG$3=0,"n.b.",INDEX(SRC_ZPMW03!$A$1:$ZZ$501,$A256,AG$3)))</f>
        <v/>
      </c>
      <c r="AH256" s="124" t="str">
        <f>IF($B256="","",IF(AH$3=0,"n.b.",INDEX(SRC_ZPMW03!$A$1:$ZZ$501,$A256,AH$3)))</f>
        <v/>
      </c>
      <c r="AI256" s="124" t="str">
        <f>IF($B256="","",IF(AI$3=0,"n.b.",INDEX(SRC_ZPMW03!$A$1:$ZZ$501,$A256,AI$3)))</f>
        <v/>
      </c>
      <c r="AJ256" s="124" t="str">
        <f>IF($B256="","",IF(AJ$3=0,"n.b.",INDEX(SRC_ZPMW03!$A$1:$ZZ$501,$A256,AJ$3)))</f>
        <v/>
      </c>
      <c r="AK256" s="124" t="str">
        <f>IF($B256="","",IF(AK$3=0,"n.b.",INDEX(SRC_ZPMW03!$A$1:$ZZ$501,$A256,AK$3)))</f>
        <v/>
      </c>
      <c r="AL256" s="124" t="str">
        <f>IF($B256="","",IF(AL$3=0,"n.b.",INDEX(SRC_ZPMW03!$A$1:$ZZ$501,$A256,AL$3)))</f>
        <v/>
      </c>
      <c r="AM256" s="124" t="str">
        <f>IF($B256="","",IF(AM$3=0,"n.b.",INDEX(SRC_ZPMW03!$A$1:$ZZ$501,$A256,AM$3)))</f>
        <v/>
      </c>
      <c r="AN256" s="124" t="str">
        <f>IF($B256="","",IF(AN$3=0,"n.b.",INDEX(SRC_ZPMW03!$A$1:$ZZ$501,$A256,AN$3)))</f>
        <v/>
      </c>
      <c r="AO256" s="124" t="str">
        <f>IF($B256="","",IF(AO$3=0,"n.b.",INDEX(SRC_ZPMW03!$A$1:$ZZ$501,$A256,AO$3)))</f>
        <v/>
      </c>
      <c r="AP256" s="124" t="str">
        <f>IF($B256="","",IF(AP$3=0,"n.b.",INDEX(SRC_ZPMW03!$A$1:$ZZ$501,$A256,AP$3)))</f>
        <v/>
      </c>
      <c r="AQ256" s="124" t="str">
        <f>IF($B256="","",IF(AQ$3=0,"n.b.",INDEX(SRC_ZPMW03!$A$1:$ZZ$501,$A256,AQ$3)))</f>
        <v/>
      </c>
      <c r="AR256" s="124" t="str">
        <f>IF($B256="","",IF(AR$3=0,"n.b.",INDEX(SRC_ZPMW03!$A$1:$ZZ$501,$A256,AR$3)))</f>
        <v/>
      </c>
      <c r="AS256" s="124" t="str">
        <f>IF($B256="","",IF(AS$3=0,"n.b.",INDEX(SRC_ZPMW03!$A$1:$ZZ$501,$A256,AS$3)))</f>
        <v/>
      </c>
      <c r="AT256" s="124" t="str">
        <f>IF($B256="","",IF(AT$3=0,"n.b.",INDEX(SRC_ZPMW03!$A$1:$ZZ$501,$A256,AT$3)))</f>
        <v/>
      </c>
      <c r="AU256" s="124" t="str">
        <f>IF($B256="","",IF(AU$3=0,"n.b.",INDEX(SRC_ZPMW03!$A$1:$ZZ$501,$A256,AU$3)))</f>
        <v/>
      </c>
      <c r="AV256" s="124" t="str">
        <f>IF($B256="","",IF(AV$3=0,"n.b.",INDEX(SRC_ZPMW03!$A$1:$ZZ$501,$A256,AV$3)))</f>
        <v/>
      </c>
      <c r="AW256" s="124" t="str">
        <f>IF($B256="","",IF(AW$3=0,"n.b.",INDEX(SRC_ZPMW03!$A$1:$ZZ$501,$A256,AW$3)))</f>
        <v/>
      </c>
      <c r="AX256" s="124" t="str">
        <f>IF($B256="","",IF(AX$3=0,"n.b.",INDEX(SRC_ZPMW03!$A$1:$ZZ$501,$A256,AX$3)))</f>
        <v/>
      </c>
      <c r="AY256" s="124" t="str">
        <f>IF($B256="","",IF(AY$3=0,"n.b.",INDEX(SRC_ZPMW03!$A$1:$ZZ$501,$A256,AY$3)))</f>
        <v/>
      </c>
      <c r="AZ256" s="124" t="str">
        <f>IF($B256="","",IF(AZ$3=0,"n.b.",INDEX(SRC_ZPMW03!$A$1:$ZZ$501,$A256,AZ$3)))</f>
        <v/>
      </c>
      <c r="BA256" s="124" t="str">
        <f>IF($B256="","",IF(BA$3=0,"n.b.",INDEX(SRC_ZPMW03!$A$1:$ZZ$501,$A256,BA$3)))</f>
        <v/>
      </c>
      <c r="BB256" s="124" t="str">
        <f>IF($B256="","",IF(BB$3=0,"n.b.",INDEX(SRC_ZPMW03!$A$1:$ZZ$501,$A256,BB$3)))</f>
        <v/>
      </c>
      <c r="BC256" s="124" t="str">
        <f>IF($B256="","",IF(BC$3=0,"n.b.",INDEX(SRC_ZPMW03!$A$1:$ZZ$501,$A256,BC$3)))</f>
        <v/>
      </c>
      <c r="BD256" s="124" t="str">
        <f>IF($B256="","",IF(BD$3=0,"n.b.",INDEX(SRC_ZPMW03!$A$1:$ZZ$501,$A256,BD$3)))</f>
        <v/>
      </c>
      <c r="BE256" s="124" t="str">
        <f>IF($B256="","",IF(BE$3=0,"n.b.",INDEX(SRC_ZPMW03!$A$1:$ZZ$501,$A256,BE$3)))</f>
        <v/>
      </c>
      <c r="BF256" s="124" t="str">
        <f>IF($B256="","",IF(BF$3=0,"n.b.",INDEX(SRC_ZPMW03!$A$1:$ZZ$501,$A256,BF$3)))</f>
        <v/>
      </c>
      <c r="BG256" t="str">
        <f>IF($B256="","",IF(BG$3=0,"n.b.",INDEX(SRC_ZPMW03!$A$1:$ZZ$501,$A256,BG$3)))</f>
        <v/>
      </c>
      <c r="BH256" t="str">
        <f>IF($B256="","",IF(BH$3=0,"n.b.",INDEX(SRC_ZPMW03!$A$1:$ZZ$501,$A256,BH$3)))</f>
        <v/>
      </c>
      <c r="BI256" t="str">
        <f>IF($B256="","",IF(BI$3=0,"n.b.",INDEX(SRC_ZPMW03!$A$1:$ZZ$501,$A256,BI$3)))</f>
        <v/>
      </c>
      <c r="BJ256" t="str">
        <f>IF($B256="","",IF(BJ$3=0,"n.b.",INDEX(SRC_ZPMW03!$A$1:$ZZ$501,$A256,BJ$3)))</f>
        <v/>
      </c>
      <c r="BK256" s="124" t="str">
        <f>IF($B256="","",IFERROR(-O256,"n.b."))</f>
        <v/>
      </c>
      <c r="BL256" s="124" t="str">
        <f>IF($B256="","",IFERROR(-Q256,"n.b."))</f>
        <v/>
      </c>
      <c r="BM256" s="124" t="str">
        <f>IF($B256="","",IFERROR(-AB256,"n.b."))</f>
        <v/>
      </c>
      <c r="BN256" s="124" t="str">
        <f>IF($B256="","",IFERROR(-AD256,"n.b."))</f>
        <v/>
      </c>
      <c r="BO256" s="124" t="str">
        <f>IF($B256="","",IFERROR(BK256+BM256,"n.b."))</f>
        <v/>
      </c>
      <c r="BP256" s="124" t="str">
        <f>IF($B256="","",IFERROR(BL256+BN256,"n.b."))</f>
        <v/>
      </c>
      <c r="BQ256" s="124" t="str">
        <f>IF($B256="","",IFERROR(-AM256,"n.b."))</f>
        <v/>
      </c>
      <c r="BR256" s="124" t="str">
        <f>IF($B256="","",IFERROR(-AO256,"n.b."))</f>
        <v/>
      </c>
      <c r="BS256" s="124" t="str">
        <f>IF($B256="","",IFERROR(-Z256,"n.b."))</f>
        <v/>
      </c>
      <c r="BT256" s="124" t="str">
        <f>IF($B256="","",IFERROR(-AA256,"n.b."))</f>
        <v/>
      </c>
      <c r="BU256" s="124" t="str">
        <f>IF($B256="","",IFERROR(-AE256,"n.b."))</f>
        <v/>
      </c>
      <c r="BV256" s="124" t="str">
        <f>IF($B256="","",IFERROR(-AF256,"n.b."))</f>
        <v/>
      </c>
      <c r="BW256" s="124" t="str">
        <f>IF($B256="","",IFERROR(-AG256,"n.b."))</f>
        <v/>
      </c>
      <c r="BX256" s="124" t="str">
        <f>IF($B256="","",IFERROR(-AH256,"n.b."))</f>
        <v/>
      </c>
      <c r="BY256" s="124" t="str">
        <f>IF($B256="","",IFERROR(-AI256,"n.b."))</f>
        <v/>
      </c>
      <c r="BZ256" s="124" t="str">
        <f>IF($B256="","",IFERROR(-AJ256,"n.b."))</f>
        <v/>
      </c>
      <c r="CA256" s="124" t="str">
        <f>IF($B256="","",IFERROR(-AK256,"n.b."))</f>
        <v/>
      </c>
      <c r="CB256" s="124" t="str">
        <f>IF($B256="","",IFERROR(-AL256,"n.b."))</f>
        <v/>
      </c>
      <c r="CC256" s="124" t="str">
        <f>IF($B256="","",IFERROR(-AP256,"n.b."))</f>
        <v/>
      </c>
      <c r="CD256" s="124" t="str">
        <f>IF($B256="","",IFERROR(-AQ256,"n.b."))</f>
        <v/>
      </c>
      <c r="CE256" s="124" t="str">
        <f>IF($B256="","",IFERROR(-AR256,"n.b."))</f>
        <v/>
      </c>
      <c r="CF256" s="124" t="str">
        <f>IF($B256="","",IFERROR(-AS256,"n.b."))</f>
        <v/>
      </c>
      <c r="CG256" s="124" t="str">
        <f>IF($B256="","",IFERROR(-AT256,"n.b."))</f>
        <v/>
      </c>
      <c r="CH256" s="124" t="str">
        <f>IF($B256="","",IFERROR(-AU256,"n.b."))</f>
        <v/>
      </c>
      <c r="CI256" s="124" t="str">
        <f>IF($B256="","",IFERROR(-AV256,"n.b."))</f>
        <v/>
      </c>
      <c r="CJ256" s="124" t="str">
        <f>IF($B256="","",IFERROR(-AW256,"n.b."))</f>
        <v/>
      </c>
      <c r="CK256" s="124" t="str">
        <f>IF($B256="","",IFERROR(-AX256,"n.b."))</f>
        <v/>
      </c>
      <c r="CL256" s="124" t="str">
        <f>IF($B256="","",IFERROR(-AY256,"n.b."))</f>
        <v/>
      </c>
      <c r="CM256" s="124" t="str">
        <f>IF($B256="","",IFERROR(-AZ256,"n.b."))</f>
        <v/>
      </c>
      <c r="CN256" s="124" t="str">
        <f>IF($B256="","",IFERROR(-BA256,"n.b."))</f>
        <v/>
      </c>
      <c r="CO256" s="124" t="str">
        <f>IF($B256="","",IFERROR(-BB256,"n.b."))</f>
        <v/>
      </c>
      <c r="CP256" s="124" t="str">
        <f>IF($B256="","",IFERROR(-BC256,"n.b."))</f>
        <v/>
      </c>
      <c r="CQ256" s="124" t="str">
        <f>IF($B256="","",IFERROR(-BD256,"n.b."))</f>
        <v/>
      </c>
      <c r="CR256" s="124" t="str">
        <f>IF($B256="","",IFERROR(-BE256,"n.b."))</f>
        <v/>
      </c>
      <c r="CS256" s="124" t="str">
        <f>IF($B256="","",IFERROR(IF(OR(ABS(T256+V256+X256+Z256-AB256)&gt;P_Tol,ABS(U256+W256+Y256+AA256-AD256)&gt;P_Tol,ABS(AE256+AG256+AI256+AK256-AM256)&gt;P_Tol,ABS(AF256+AH256+AJ256+AL256-AO256)&gt;P_Tol),1,0),1))</f>
        <v/>
      </c>
      <c r="CT256" s="124" t="str">
        <f>IF($B256="","",IFERROR(IF(OR(ABS(AB256+AC256-AD256)&gt;P_Tol,ABS(AM256+AN256-AO256)&gt;P_Tol,ABS(O256+P256-Q256)&gt;P_Tol),1,0),1))</f>
        <v/>
      </c>
      <c r="CU256" s="124" t="str">
        <f>IF($B256="","",IFERROR(IF(ABS(R256-(AB256+AM256+AP256+AR256+AT256+AV256+AX256+AZ256+BB256+BD256))&gt;P_Tol,1,0),1))</f>
        <v/>
      </c>
      <c r="CV256" s="124" t="str">
        <f>IF($B256="","",IFERROR(IF(ABS(M256-(N256+O256+R256))&gt;P_Tol,1,0),1))</f>
        <v/>
      </c>
      <c r="CW256" s="124" t="str">
        <f>IF($B256="","",IF(COUNTIF(Mapping!$A$5:$A$104,B256)&gt;0,1,0))</f>
        <v/>
      </c>
      <c r="CX256" s="124" t="str">
        <f>IF($B256="","",COUNTIF($B$6:$B$505,B256))</f>
        <v/>
      </c>
      <c r="CY256" s="124" t="str">
        <f>IF($B256="","",COUNTIF(STG_Woningetalage!$B$6:$B$505,B256))</f>
        <v/>
      </c>
      <c r="CZ256" s="124" t="str">
        <f>IF($B256="","",IF(CW256=0,COUNTIF($CW$6:CW256,0),""))</f>
        <v/>
      </c>
    </row>
    <row r="257">
      <c r="A257" s="15" t="n">
        <v>253</v>
      </c>
      <c r="B257" t="str">
        <f>IF(B$3=0,"",IF(INDEX(SRC_ZPMW03!$A$1:$ZZ$501,$A257,B$3)&amp;""="","",INDEX(SRC_ZPMW03!$A$1:$ZZ$501,$A257,B$3)&amp;""))</f>
        <v/>
      </c>
      <c r="C257" t="str">
        <f>IF($B257="","",IF(C$3=0,"n.b.",INDEX(SRC_ZPMW03!$A$1:$ZZ$501,$A257,C$3)))</f>
        <v/>
      </c>
      <c r="D257" t="str">
        <f>IF($B257="","",IF(D$3=0,"n.b.",INDEX(SRC_ZPMW03!$A$1:$ZZ$501,$A257,D$3)))</f>
        <v/>
      </c>
      <c r="E257" t="str">
        <f>IF($B257="","",IF(E$3=0,"n.b.",INDEX(SRC_ZPMW03!$A$1:$ZZ$501,$A257,E$3)))</f>
        <v/>
      </c>
      <c r="F257" t="str">
        <f>IF($B257="","",IF(F$3=0,"n.b.",INDEX(SRC_ZPMW03!$A$1:$ZZ$501,$A257,F$3)))</f>
        <v/>
      </c>
      <c r="G257" t="str">
        <f>IF($B257="","",IF(G$3=0,"n.b.",INDEX(SRC_ZPMW03!$A$1:$ZZ$501,$A257,G$3)))</f>
        <v/>
      </c>
      <c r="H257" t="str">
        <f>IF($B257="","",IF(H$3=0,"n.b.",INDEX(SRC_ZPMW03!$A$1:$ZZ$501,$A257,H$3)))</f>
        <v/>
      </c>
      <c r="I257" t="str">
        <f>IF($B257="","",IF(I$3=0,"n.b.",INDEX(SRC_ZPMW03!$A$1:$ZZ$501,$A257,I$3)))</f>
        <v/>
      </c>
      <c r="J257" t="str">
        <f>IF($B257="","",IF(J$3=0,"n.b.",INDEX(SRC_ZPMW03!$A$1:$ZZ$501,$A257,J$3)))</f>
        <v/>
      </c>
      <c r="K257" t="str">
        <f>IF($B257="","",IF(K$3=0,"n.b.",INDEX(SRC_ZPMW03!$A$1:$ZZ$501,$A257,K$3)))</f>
        <v/>
      </c>
      <c r="L257" s="124" t="str">
        <f>IF($B257="","",IF(L$3=0,"n.b.",INDEX(SRC_ZPMW03!$A$1:$ZZ$501,$A257,L$3)))</f>
        <v/>
      </c>
      <c r="M257" s="124" t="str">
        <f>IF($B257="","",IF(M$3=0,"n.b.",INDEX(SRC_ZPMW03!$A$1:$ZZ$501,$A257,M$3)))</f>
        <v/>
      </c>
      <c r="N257" s="124" t="str">
        <f>IF($B257="","",IF(N$3=0,"n.b.",INDEX(SRC_ZPMW03!$A$1:$ZZ$501,$A257,N$3)))</f>
        <v/>
      </c>
      <c r="O257" s="124" t="str">
        <f>IF($B257="","",IF(O$3=0,"n.b.",INDEX(SRC_ZPMW03!$A$1:$ZZ$501,$A257,O$3)))</f>
        <v/>
      </c>
      <c r="P257" s="124" t="str">
        <f>IF($B257="","",IF(P$3=0,"n.b.",INDEX(SRC_ZPMW03!$A$1:$ZZ$501,$A257,P$3)))</f>
        <v/>
      </c>
      <c r="Q257" s="124" t="str">
        <f>IF($B257="","",IF(Q$3=0,"n.b.",INDEX(SRC_ZPMW03!$A$1:$ZZ$501,$A257,Q$3)))</f>
        <v/>
      </c>
      <c r="R257" s="124" t="str">
        <f>IF($B257="","",IF(R$3=0,"n.b.",INDEX(SRC_ZPMW03!$A$1:$ZZ$501,$A257,R$3)))</f>
        <v/>
      </c>
      <c r="S257" s="124" t="str">
        <f>IF($B257="","",IF(S$3=0,"n.b.",INDEX(SRC_ZPMW03!$A$1:$ZZ$501,$A257,S$3)))</f>
        <v/>
      </c>
      <c r="T257" s="124" t="str">
        <f>IF($B257="","",IF(T$3=0,"n.b.",INDEX(SRC_ZPMW03!$A$1:$ZZ$501,$A257,T$3)))</f>
        <v/>
      </c>
      <c r="U257" s="124" t="str">
        <f>IF($B257="","",IF(U$3=0,"n.b.",INDEX(SRC_ZPMW03!$A$1:$ZZ$501,$A257,U$3)))</f>
        <v/>
      </c>
      <c r="V257" s="124" t="str">
        <f>IF($B257="","",IF(V$3=0,"n.b.",INDEX(SRC_ZPMW03!$A$1:$ZZ$501,$A257,V$3)))</f>
        <v/>
      </c>
      <c r="W257" s="124" t="str">
        <f>IF($B257="","",IF(W$3=0,"n.b.",INDEX(SRC_ZPMW03!$A$1:$ZZ$501,$A257,W$3)))</f>
        <v/>
      </c>
      <c r="X257" s="124" t="str">
        <f>IF($B257="","",IF(X$3=0,"n.b.",INDEX(SRC_ZPMW03!$A$1:$ZZ$501,$A257,X$3)))</f>
        <v/>
      </c>
      <c r="Y257" s="124" t="str">
        <f>IF($B257="","",IF(Y$3=0,"n.b.",INDEX(SRC_ZPMW03!$A$1:$ZZ$501,$A257,Y$3)))</f>
        <v/>
      </c>
      <c r="Z257" s="124" t="str">
        <f>IF($B257="","",IF(Z$3=0,"n.b.",INDEX(SRC_ZPMW03!$A$1:$ZZ$501,$A257,Z$3)))</f>
        <v/>
      </c>
      <c r="AA257" s="124" t="str">
        <f>IF($B257="","",IF(AA$3=0,"n.b.",INDEX(SRC_ZPMW03!$A$1:$ZZ$501,$A257,AA$3)))</f>
        <v/>
      </c>
      <c r="AB257" s="124" t="str">
        <f>IF($B257="","",IF(AB$3=0,"n.b.",INDEX(SRC_ZPMW03!$A$1:$ZZ$501,$A257,AB$3)))</f>
        <v/>
      </c>
      <c r="AC257" s="124" t="str">
        <f>IF($B257="","",IF(AC$3=0,"n.b.",INDEX(SRC_ZPMW03!$A$1:$ZZ$501,$A257,AC$3)))</f>
        <v/>
      </c>
      <c r="AD257" s="124" t="str">
        <f>IF($B257="","",IF(AD$3=0,"n.b.",INDEX(SRC_ZPMW03!$A$1:$ZZ$501,$A257,AD$3)))</f>
        <v/>
      </c>
      <c r="AE257" s="124" t="str">
        <f>IF($B257="","",IF(AE$3=0,"n.b.",INDEX(SRC_ZPMW03!$A$1:$ZZ$501,$A257,AE$3)))</f>
        <v/>
      </c>
      <c r="AF257" s="124" t="str">
        <f>IF($B257="","",IF(AF$3=0,"n.b.",INDEX(SRC_ZPMW03!$A$1:$ZZ$501,$A257,AF$3)))</f>
        <v/>
      </c>
      <c r="AG257" s="124" t="str">
        <f>IF($B257="","",IF(AG$3=0,"n.b.",INDEX(SRC_ZPMW03!$A$1:$ZZ$501,$A257,AG$3)))</f>
        <v/>
      </c>
      <c r="AH257" s="124" t="str">
        <f>IF($B257="","",IF(AH$3=0,"n.b.",INDEX(SRC_ZPMW03!$A$1:$ZZ$501,$A257,AH$3)))</f>
        <v/>
      </c>
      <c r="AI257" s="124" t="str">
        <f>IF($B257="","",IF(AI$3=0,"n.b.",INDEX(SRC_ZPMW03!$A$1:$ZZ$501,$A257,AI$3)))</f>
        <v/>
      </c>
      <c r="AJ257" s="124" t="str">
        <f>IF($B257="","",IF(AJ$3=0,"n.b.",INDEX(SRC_ZPMW03!$A$1:$ZZ$501,$A257,AJ$3)))</f>
        <v/>
      </c>
      <c r="AK257" s="124" t="str">
        <f>IF($B257="","",IF(AK$3=0,"n.b.",INDEX(SRC_ZPMW03!$A$1:$ZZ$501,$A257,AK$3)))</f>
        <v/>
      </c>
      <c r="AL257" s="124" t="str">
        <f>IF($B257="","",IF(AL$3=0,"n.b.",INDEX(SRC_ZPMW03!$A$1:$ZZ$501,$A257,AL$3)))</f>
        <v/>
      </c>
      <c r="AM257" s="124" t="str">
        <f>IF($B257="","",IF(AM$3=0,"n.b.",INDEX(SRC_ZPMW03!$A$1:$ZZ$501,$A257,AM$3)))</f>
        <v/>
      </c>
      <c r="AN257" s="124" t="str">
        <f>IF($B257="","",IF(AN$3=0,"n.b.",INDEX(SRC_ZPMW03!$A$1:$ZZ$501,$A257,AN$3)))</f>
        <v/>
      </c>
      <c r="AO257" s="124" t="str">
        <f>IF($B257="","",IF(AO$3=0,"n.b.",INDEX(SRC_ZPMW03!$A$1:$ZZ$501,$A257,AO$3)))</f>
        <v/>
      </c>
      <c r="AP257" s="124" t="str">
        <f>IF($B257="","",IF(AP$3=0,"n.b.",INDEX(SRC_ZPMW03!$A$1:$ZZ$501,$A257,AP$3)))</f>
        <v/>
      </c>
      <c r="AQ257" s="124" t="str">
        <f>IF($B257="","",IF(AQ$3=0,"n.b.",INDEX(SRC_ZPMW03!$A$1:$ZZ$501,$A257,AQ$3)))</f>
        <v/>
      </c>
      <c r="AR257" s="124" t="str">
        <f>IF($B257="","",IF(AR$3=0,"n.b.",INDEX(SRC_ZPMW03!$A$1:$ZZ$501,$A257,AR$3)))</f>
        <v/>
      </c>
      <c r="AS257" s="124" t="str">
        <f>IF($B257="","",IF(AS$3=0,"n.b.",INDEX(SRC_ZPMW03!$A$1:$ZZ$501,$A257,AS$3)))</f>
        <v/>
      </c>
      <c r="AT257" s="124" t="str">
        <f>IF($B257="","",IF(AT$3=0,"n.b.",INDEX(SRC_ZPMW03!$A$1:$ZZ$501,$A257,AT$3)))</f>
        <v/>
      </c>
      <c r="AU257" s="124" t="str">
        <f>IF($B257="","",IF(AU$3=0,"n.b.",INDEX(SRC_ZPMW03!$A$1:$ZZ$501,$A257,AU$3)))</f>
        <v/>
      </c>
      <c r="AV257" s="124" t="str">
        <f>IF($B257="","",IF(AV$3=0,"n.b.",INDEX(SRC_ZPMW03!$A$1:$ZZ$501,$A257,AV$3)))</f>
        <v/>
      </c>
      <c r="AW257" s="124" t="str">
        <f>IF($B257="","",IF(AW$3=0,"n.b.",INDEX(SRC_ZPMW03!$A$1:$ZZ$501,$A257,AW$3)))</f>
        <v/>
      </c>
      <c r="AX257" s="124" t="str">
        <f>IF($B257="","",IF(AX$3=0,"n.b.",INDEX(SRC_ZPMW03!$A$1:$ZZ$501,$A257,AX$3)))</f>
        <v/>
      </c>
      <c r="AY257" s="124" t="str">
        <f>IF($B257="","",IF(AY$3=0,"n.b.",INDEX(SRC_ZPMW03!$A$1:$ZZ$501,$A257,AY$3)))</f>
        <v/>
      </c>
      <c r="AZ257" s="124" t="str">
        <f>IF($B257="","",IF(AZ$3=0,"n.b.",INDEX(SRC_ZPMW03!$A$1:$ZZ$501,$A257,AZ$3)))</f>
        <v/>
      </c>
      <c r="BA257" s="124" t="str">
        <f>IF($B257="","",IF(BA$3=0,"n.b.",INDEX(SRC_ZPMW03!$A$1:$ZZ$501,$A257,BA$3)))</f>
        <v/>
      </c>
      <c r="BB257" s="124" t="str">
        <f>IF($B257="","",IF(BB$3=0,"n.b.",INDEX(SRC_ZPMW03!$A$1:$ZZ$501,$A257,BB$3)))</f>
        <v/>
      </c>
      <c r="BC257" s="124" t="str">
        <f>IF($B257="","",IF(BC$3=0,"n.b.",INDEX(SRC_ZPMW03!$A$1:$ZZ$501,$A257,BC$3)))</f>
        <v/>
      </c>
      <c r="BD257" s="124" t="str">
        <f>IF($B257="","",IF(BD$3=0,"n.b.",INDEX(SRC_ZPMW03!$A$1:$ZZ$501,$A257,BD$3)))</f>
        <v/>
      </c>
      <c r="BE257" s="124" t="str">
        <f>IF($B257="","",IF(BE$3=0,"n.b.",INDEX(SRC_ZPMW03!$A$1:$ZZ$501,$A257,BE$3)))</f>
        <v/>
      </c>
      <c r="BF257" s="124" t="str">
        <f>IF($B257="","",IF(BF$3=0,"n.b.",INDEX(SRC_ZPMW03!$A$1:$ZZ$501,$A257,BF$3)))</f>
        <v/>
      </c>
      <c r="BG257" t="str">
        <f>IF($B257="","",IF(BG$3=0,"n.b.",INDEX(SRC_ZPMW03!$A$1:$ZZ$501,$A257,BG$3)))</f>
        <v/>
      </c>
      <c r="BH257" t="str">
        <f>IF($B257="","",IF(BH$3=0,"n.b.",INDEX(SRC_ZPMW03!$A$1:$ZZ$501,$A257,BH$3)))</f>
        <v/>
      </c>
      <c r="BI257" t="str">
        <f>IF($B257="","",IF(BI$3=0,"n.b.",INDEX(SRC_ZPMW03!$A$1:$ZZ$501,$A257,BI$3)))</f>
        <v/>
      </c>
      <c r="BJ257" t="str">
        <f>IF($B257="","",IF(BJ$3=0,"n.b.",INDEX(SRC_ZPMW03!$A$1:$ZZ$501,$A257,BJ$3)))</f>
        <v/>
      </c>
      <c r="BK257" s="124" t="str">
        <f>IF($B257="","",IFERROR(-O257,"n.b."))</f>
        <v/>
      </c>
      <c r="BL257" s="124" t="str">
        <f>IF($B257="","",IFERROR(-Q257,"n.b."))</f>
        <v/>
      </c>
      <c r="BM257" s="124" t="str">
        <f>IF($B257="","",IFERROR(-AB257,"n.b."))</f>
        <v/>
      </c>
      <c r="BN257" s="124" t="str">
        <f>IF($B257="","",IFERROR(-AD257,"n.b."))</f>
        <v/>
      </c>
      <c r="BO257" s="124" t="str">
        <f>IF($B257="","",IFERROR(BK257+BM257,"n.b."))</f>
        <v/>
      </c>
      <c r="BP257" s="124" t="str">
        <f>IF($B257="","",IFERROR(BL257+BN257,"n.b."))</f>
        <v/>
      </c>
      <c r="BQ257" s="124" t="str">
        <f>IF($B257="","",IFERROR(-AM257,"n.b."))</f>
        <v/>
      </c>
      <c r="BR257" s="124" t="str">
        <f>IF($B257="","",IFERROR(-AO257,"n.b."))</f>
        <v/>
      </c>
      <c r="BS257" s="124" t="str">
        <f>IF($B257="","",IFERROR(-Z257,"n.b."))</f>
        <v/>
      </c>
      <c r="BT257" s="124" t="str">
        <f>IF($B257="","",IFERROR(-AA257,"n.b."))</f>
        <v/>
      </c>
      <c r="BU257" s="124" t="str">
        <f>IF($B257="","",IFERROR(-AE257,"n.b."))</f>
        <v/>
      </c>
      <c r="BV257" s="124" t="str">
        <f>IF($B257="","",IFERROR(-AF257,"n.b."))</f>
        <v/>
      </c>
      <c r="BW257" s="124" t="str">
        <f>IF($B257="","",IFERROR(-AG257,"n.b."))</f>
        <v/>
      </c>
      <c r="BX257" s="124" t="str">
        <f>IF($B257="","",IFERROR(-AH257,"n.b."))</f>
        <v/>
      </c>
      <c r="BY257" s="124" t="str">
        <f>IF($B257="","",IFERROR(-AI257,"n.b."))</f>
        <v/>
      </c>
      <c r="BZ257" s="124" t="str">
        <f>IF($B257="","",IFERROR(-AJ257,"n.b."))</f>
        <v/>
      </c>
      <c r="CA257" s="124" t="str">
        <f>IF($B257="","",IFERROR(-AK257,"n.b."))</f>
        <v/>
      </c>
      <c r="CB257" s="124" t="str">
        <f>IF($B257="","",IFERROR(-AL257,"n.b."))</f>
        <v/>
      </c>
      <c r="CC257" s="124" t="str">
        <f>IF($B257="","",IFERROR(-AP257,"n.b."))</f>
        <v/>
      </c>
      <c r="CD257" s="124" t="str">
        <f>IF($B257="","",IFERROR(-AQ257,"n.b."))</f>
        <v/>
      </c>
      <c r="CE257" s="124" t="str">
        <f>IF($B257="","",IFERROR(-AR257,"n.b."))</f>
        <v/>
      </c>
      <c r="CF257" s="124" t="str">
        <f>IF($B257="","",IFERROR(-AS257,"n.b."))</f>
        <v/>
      </c>
      <c r="CG257" s="124" t="str">
        <f>IF($B257="","",IFERROR(-AT257,"n.b."))</f>
        <v/>
      </c>
      <c r="CH257" s="124" t="str">
        <f>IF($B257="","",IFERROR(-AU257,"n.b."))</f>
        <v/>
      </c>
      <c r="CI257" s="124" t="str">
        <f>IF($B257="","",IFERROR(-AV257,"n.b."))</f>
        <v/>
      </c>
      <c r="CJ257" s="124" t="str">
        <f>IF($B257="","",IFERROR(-AW257,"n.b."))</f>
        <v/>
      </c>
      <c r="CK257" s="124" t="str">
        <f>IF($B257="","",IFERROR(-AX257,"n.b."))</f>
        <v/>
      </c>
      <c r="CL257" s="124" t="str">
        <f>IF($B257="","",IFERROR(-AY257,"n.b."))</f>
        <v/>
      </c>
      <c r="CM257" s="124" t="str">
        <f>IF($B257="","",IFERROR(-AZ257,"n.b."))</f>
        <v/>
      </c>
      <c r="CN257" s="124" t="str">
        <f>IF($B257="","",IFERROR(-BA257,"n.b."))</f>
        <v/>
      </c>
      <c r="CO257" s="124" t="str">
        <f>IF($B257="","",IFERROR(-BB257,"n.b."))</f>
        <v/>
      </c>
      <c r="CP257" s="124" t="str">
        <f>IF($B257="","",IFERROR(-BC257,"n.b."))</f>
        <v/>
      </c>
      <c r="CQ257" s="124" t="str">
        <f>IF($B257="","",IFERROR(-BD257,"n.b."))</f>
        <v/>
      </c>
      <c r="CR257" s="124" t="str">
        <f>IF($B257="","",IFERROR(-BE257,"n.b."))</f>
        <v/>
      </c>
      <c r="CS257" s="124" t="str">
        <f>IF($B257="","",IFERROR(IF(OR(ABS(T257+V257+X257+Z257-AB257)&gt;P_Tol,ABS(U257+W257+Y257+AA257-AD257)&gt;P_Tol,ABS(AE257+AG257+AI257+AK257-AM257)&gt;P_Tol,ABS(AF257+AH257+AJ257+AL257-AO257)&gt;P_Tol),1,0),1))</f>
        <v/>
      </c>
      <c r="CT257" s="124" t="str">
        <f>IF($B257="","",IFERROR(IF(OR(ABS(AB257+AC257-AD257)&gt;P_Tol,ABS(AM257+AN257-AO257)&gt;P_Tol,ABS(O257+P257-Q257)&gt;P_Tol),1,0),1))</f>
        <v/>
      </c>
      <c r="CU257" s="124" t="str">
        <f>IF($B257="","",IFERROR(IF(ABS(R257-(AB257+AM257+AP257+AR257+AT257+AV257+AX257+AZ257+BB257+BD257))&gt;P_Tol,1,0),1))</f>
        <v/>
      </c>
      <c r="CV257" s="124" t="str">
        <f>IF($B257="","",IFERROR(IF(ABS(M257-(N257+O257+R257))&gt;P_Tol,1,0),1))</f>
        <v/>
      </c>
      <c r="CW257" s="124" t="str">
        <f>IF($B257="","",IF(COUNTIF(Mapping!$A$5:$A$104,B257)&gt;0,1,0))</f>
        <v/>
      </c>
      <c r="CX257" s="124" t="str">
        <f>IF($B257="","",COUNTIF($B$6:$B$505,B257))</f>
        <v/>
      </c>
      <c r="CY257" s="124" t="str">
        <f>IF($B257="","",COUNTIF(STG_Woningetalage!$B$6:$B$505,B257))</f>
        <v/>
      </c>
      <c r="CZ257" s="124" t="str">
        <f>IF($B257="","",IF(CW257=0,COUNTIF($CW$6:CW257,0),""))</f>
        <v/>
      </c>
    </row>
    <row r="258">
      <c r="A258" s="15" t="n">
        <v>254</v>
      </c>
      <c r="B258" t="str">
        <f>IF(B$3=0,"",IF(INDEX(SRC_ZPMW03!$A$1:$ZZ$501,$A258,B$3)&amp;""="","",INDEX(SRC_ZPMW03!$A$1:$ZZ$501,$A258,B$3)&amp;""))</f>
        <v/>
      </c>
      <c r="C258" t="str">
        <f>IF($B258="","",IF(C$3=0,"n.b.",INDEX(SRC_ZPMW03!$A$1:$ZZ$501,$A258,C$3)))</f>
        <v/>
      </c>
      <c r="D258" t="str">
        <f>IF($B258="","",IF(D$3=0,"n.b.",INDEX(SRC_ZPMW03!$A$1:$ZZ$501,$A258,D$3)))</f>
        <v/>
      </c>
      <c r="E258" t="str">
        <f>IF($B258="","",IF(E$3=0,"n.b.",INDEX(SRC_ZPMW03!$A$1:$ZZ$501,$A258,E$3)))</f>
        <v/>
      </c>
      <c r="F258" t="str">
        <f>IF($B258="","",IF(F$3=0,"n.b.",INDEX(SRC_ZPMW03!$A$1:$ZZ$501,$A258,F$3)))</f>
        <v/>
      </c>
      <c r="G258" t="str">
        <f>IF($B258="","",IF(G$3=0,"n.b.",INDEX(SRC_ZPMW03!$A$1:$ZZ$501,$A258,G$3)))</f>
        <v/>
      </c>
      <c r="H258" t="str">
        <f>IF($B258="","",IF(H$3=0,"n.b.",INDEX(SRC_ZPMW03!$A$1:$ZZ$501,$A258,H$3)))</f>
        <v/>
      </c>
      <c r="I258" t="str">
        <f>IF($B258="","",IF(I$3=0,"n.b.",INDEX(SRC_ZPMW03!$A$1:$ZZ$501,$A258,I$3)))</f>
        <v/>
      </c>
      <c r="J258" t="str">
        <f>IF($B258="","",IF(J$3=0,"n.b.",INDEX(SRC_ZPMW03!$A$1:$ZZ$501,$A258,J$3)))</f>
        <v/>
      </c>
      <c r="K258" t="str">
        <f>IF($B258="","",IF(K$3=0,"n.b.",INDEX(SRC_ZPMW03!$A$1:$ZZ$501,$A258,K$3)))</f>
        <v/>
      </c>
      <c r="L258" s="124" t="str">
        <f>IF($B258="","",IF(L$3=0,"n.b.",INDEX(SRC_ZPMW03!$A$1:$ZZ$501,$A258,L$3)))</f>
        <v/>
      </c>
      <c r="M258" s="124" t="str">
        <f>IF($B258="","",IF(M$3=0,"n.b.",INDEX(SRC_ZPMW03!$A$1:$ZZ$501,$A258,M$3)))</f>
        <v/>
      </c>
      <c r="N258" s="124" t="str">
        <f>IF($B258="","",IF(N$3=0,"n.b.",INDEX(SRC_ZPMW03!$A$1:$ZZ$501,$A258,N$3)))</f>
        <v/>
      </c>
      <c r="O258" s="124" t="str">
        <f>IF($B258="","",IF(O$3=0,"n.b.",INDEX(SRC_ZPMW03!$A$1:$ZZ$501,$A258,O$3)))</f>
        <v/>
      </c>
      <c r="P258" s="124" t="str">
        <f>IF($B258="","",IF(P$3=0,"n.b.",INDEX(SRC_ZPMW03!$A$1:$ZZ$501,$A258,P$3)))</f>
        <v/>
      </c>
      <c r="Q258" s="124" t="str">
        <f>IF($B258="","",IF(Q$3=0,"n.b.",INDEX(SRC_ZPMW03!$A$1:$ZZ$501,$A258,Q$3)))</f>
        <v/>
      </c>
      <c r="R258" s="124" t="str">
        <f>IF($B258="","",IF(R$3=0,"n.b.",INDEX(SRC_ZPMW03!$A$1:$ZZ$501,$A258,R$3)))</f>
        <v/>
      </c>
      <c r="S258" s="124" t="str">
        <f>IF($B258="","",IF(S$3=0,"n.b.",INDEX(SRC_ZPMW03!$A$1:$ZZ$501,$A258,S$3)))</f>
        <v/>
      </c>
      <c r="T258" s="124" t="str">
        <f>IF($B258="","",IF(T$3=0,"n.b.",INDEX(SRC_ZPMW03!$A$1:$ZZ$501,$A258,T$3)))</f>
        <v/>
      </c>
      <c r="U258" s="124" t="str">
        <f>IF($B258="","",IF(U$3=0,"n.b.",INDEX(SRC_ZPMW03!$A$1:$ZZ$501,$A258,U$3)))</f>
        <v/>
      </c>
      <c r="V258" s="124" t="str">
        <f>IF($B258="","",IF(V$3=0,"n.b.",INDEX(SRC_ZPMW03!$A$1:$ZZ$501,$A258,V$3)))</f>
        <v/>
      </c>
      <c r="W258" s="124" t="str">
        <f>IF($B258="","",IF(W$3=0,"n.b.",INDEX(SRC_ZPMW03!$A$1:$ZZ$501,$A258,W$3)))</f>
        <v/>
      </c>
      <c r="X258" s="124" t="str">
        <f>IF($B258="","",IF(X$3=0,"n.b.",INDEX(SRC_ZPMW03!$A$1:$ZZ$501,$A258,X$3)))</f>
        <v/>
      </c>
      <c r="Y258" s="124" t="str">
        <f>IF($B258="","",IF(Y$3=0,"n.b.",INDEX(SRC_ZPMW03!$A$1:$ZZ$501,$A258,Y$3)))</f>
        <v/>
      </c>
      <c r="Z258" s="124" t="str">
        <f>IF($B258="","",IF(Z$3=0,"n.b.",INDEX(SRC_ZPMW03!$A$1:$ZZ$501,$A258,Z$3)))</f>
        <v/>
      </c>
      <c r="AA258" s="124" t="str">
        <f>IF($B258="","",IF(AA$3=0,"n.b.",INDEX(SRC_ZPMW03!$A$1:$ZZ$501,$A258,AA$3)))</f>
        <v/>
      </c>
      <c r="AB258" s="124" t="str">
        <f>IF($B258="","",IF(AB$3=0,"n.b.",INDEX(SRC_ZPMW03!$A$1:$ZZ$501,$A258,AB$3)))</f>
        <v/>
      </c>
      <c r="AC258" s="124" t="str">
        <f>IF($B258="","",IF(AC$3=0,"n.b.",INDEX(SRC_ZPMW03!$A$1:$ZZ$501,$A258,AC$3)))</f>
        <v/>
      </c>
      <c r="AD258" s="124" t="str">
        <f>IF($B258="","",IF(AD$3=0,"n.b.",INDEX(SRC_ZPMW03!$A$1:$ZZ$501,$A258,AD$3)))</f>
        <v/>
      </c>
      <c r="AE258" s="124" t="str">
        <f>IF($B258="","",IF(AE$3=0,"n.b.",INDEX(SRC_ZPMW03!$A$1:$ZZ$501,$A258,AE$3)))</f>
        <v/>
      </c>
      <c r="AF258" s="124" t="str">
        <f>IF($B258="","",IF(AF$3=0,"n.b.",INDEX(SRC_ZPMW03!$A$1:$ZZ$501,$A258,AF$3)))</f>
        <v/>
      </c>
      <c r="AG258" s="124" t="str">
        <f>IF($B258="","",IF(AG$3=0,"n.b.",INDEX(SRC_ZPMW03!$A$1:$ZZ$501,$A258,AG$3)))</f>
        <v/>
      </c>
      <c r="AH258" s="124" t="str">
        <f>IF($B258="","",IF(AH$3=0,"n.b.",INDEX(SRC_ZPMW03!$A$1:$ZZ$501,$A258,AH$3)))</f>
        <v/>
      </c>
      <c r="AI258" s="124" t="str">
        <f>IF($B258="","",IF(AI$3=0,"n.b.",INDEX(SRC_ZPMW03!$A$1:$ZZ$501,$A258,AI$3)))</f>
        <v/>
      </c>
      <c r="AJ258" s="124" t="str">
        <f>IF($B258="","",IF(AJ$3=0,"n.b.",INDEX(SRC_ZPMW03!$A$1:$ZZ$501,$A258,AJ$3)))</f>
        <v/>
      </c>
      <c r="AK258" s="124" t="str">
        <f>IF($B258="","",IF(AK$3=0,"n.b.",INDEX(SRC_ZPMW03!$A$1:$ZZ$501,$A258,AK$3)))</f>
        <v/>
      </c>
      <c r="AL258" s="124" t="str">
        <f>IF($B258="","",IF(AL$3=0,"n.b.",INDEX(SRC_ZPMW03!$A$1:$ZZ$501,$A258,AL$3)))</f>
        <v/>
      </c>
      <c r="AM258" s="124" t="str">
        <f>IF($B258="","",IF(AM$3=0,"n.b.",INDEX(SRC_ZPMW03!$A$1:$ZZ$501,$A258,AM$3)))</f>
        <v/>
      </c>
      <c r="AN258" s="124" t="str">
        <f>IF($B258="","",IF(AN$3=0,"n.b.",INDEX(SRC_ZPMW03!$A$1:$ZZ$501,$A258,AN$3)))</f>
        <v/>
      </c>
      <c r="AO258" s="124" t="str">
        <f>IF($B258="","",IF(AO$3=0,"n.b.",INDEX(SRC_ZPMW03!$A$1:$ZZ$501,$A258,AO$3)))</f>
        <v/>
      </c>
      <c r="AP258" s="124" t="str">
        <f>IF($B258="","",IF(AP$3=0,"n.b.",INDEX(SRC_ZPMW03!$A$1:$ZZ$501,$A258,AP$3)))</f>
        <v/>
      </c>
      <c r="AQ258" s="124" t="str">
        <f>IF($B258="","",IF(AQ$3=0,"n.b.",INDEX(SRC_ZPMW03!$A$1:$ZZ$501,$A258,AQ$3)))</f>
        <v/>
      </c>
      <c r="AR258" s="124" t="str">
        <f>IF($B258="","",IF(AR$3=0,"n.b.",INDEX(SRC_ZPMW03!$A$1:$ZZ$501,$A258,AR$3)))</f>
        <v/>
      </c>
      <c r="AS258" s="124" t="str">
        <f>IF($B258="","",IF(AS$3=0,"n.b.",INDEX(SRC_ZPMW03!$A$1:$ZZ$501,$A258,AS$3)))</f>
        <v/>
      </c>
      <c r="AT258" s="124" t="str">
        <f>IF($B258="","",IF(AT$3=0,"n.b.",INDEX(SRC_ZPMW03!$A$1:$ZZ$501,$A258,AT$3)))</f>
        <v/>
      </c>
      <c r="AU258" s="124" t="str">
        <f>IF($B258="","",IF(AU$3=0,"n.b.",INDEX(SRC_ZPMW03!$A$1:$ZZ$501,$A258,AU$3)))</f>
        <v/>
      </c>
      <c r="AV258" s="124" t="str">
        <f>IF($B258="","",IF(AV$3=0,"n.b.",INDEX(SRC_ZPMW03!$A$1:$ZZ$501,$A258,AV$3)))</f>
        <v/>
      </c>
      <c r="AW258" s="124" t="str">
        <f>IF($B258="","",IF(AW$3=0,"n.b.",INDEX(SRC_ZPMW03!$A$1:$ZZ$501,$A258,AW$3)))</f>
        <v/>
      </c>
      <c r="AX258" s="124" t="str">
        <f>IF($B258="","",IF(AX$3=0,"n.b.",INDEX(SRC_ZPMW03!$A$1:$ZZ$501,$A258,AX$3)))</f>
        <v/>
      </c>
      <c r="AY258" s="124" t="str">
        <f>IF($B258="","",IF(AY$3=0,"n.b.",INDEX(SRC_ZPMW03!$A$1:$ZZ$501,$A258,AY$3)))</f>
        <v/>
      </c>
      <c r="AZ258" s="124" t="str">
        <f>IF($B258="","",IF(AZ$3=0,"n.b.",INDEX(SRC_ZPMW03!$A$1:$ZZ$501,$A258,AZ$3)))</f>
        <v/>
      </c>
      <c r="BA258" s="124" t="str">
        <f>IF($B258="","",IF(BA$3=0,"n.b.",INDEX(SRC_ZPMW03!$A$1:$ZZ$501,$A258,BA$3)))</f>
        <v/>
      </c>
      <c r="BB258" s="124" t="str">
        <f>IF($B258="","",IF(BB$3=0,"n.b.",INDEX(SRC_ZPMW03!$A$1:$ZZ$501,$A258,BB$3)))</f>
        <v/>
      </c>
      <c r="BC258" s="124" t="str">
        <f>IF($B258="","",IF(BC$3=0,"n.b.",INDEX(SRC_ZPMW03!$A$1:$ZZ$501,$A258,BC$3)))</f>
        <v/>
      </c>
      <c r="BD258" s="124" t="str">
        <f>IF($B258="","",IF(BD$3=0,"n.b.",INDEX(SRC_ZPMW03!$A$1:$ZZ$501,$A258,BD$3)))</f>
        <v/>
      </c>
      <c r="BE258" s="124" t="str">
        <f>IF($B258="","",IF(BE$3=0,"n.b.",INDEX(SRC_ZPMW03!$A$1:$ZZ$501,$A258,BE$3)))</f>
        <v/>
      </c>
      <c r="BF258" s="124" t="str">
        <f>IF($B258="","",IF(BF$3=0,"n.b.",INDEX(SRC_ZPMW03!$A$1:$ZZ$501,$A258,BF$3)))</f>
        <v/>
      </c>
      <c r="BG258" t="str">
        <f>IF($B258="","",IF(BG$3=0,"n.b.",INDEX(SRC_ZPMW03!$A$1:$ZZ$501,$A258,BG$3)))</f>
        <v/>
      </c>
      <c r="BH258" t="str">
        <f>IF($B258="","",IF(BH$3=0,"n.b.",INDEX(SRC_ZPMW03!$A$1:$ZZ$501,$A258,BH$3)))</f>
        <v/>
      </c>
      <c r="BI258" t="str">
        <f>IF($B258="","",IF(BI$3=0,"n.b.",INDEX(SRC_ZPMW03!$A$1:$ZZ$501,$A258,BI$3)))</f>
        <v/>
      </c>
      <c r="BJ258" t="str">
        <f>IF($B258="","",IF(BJ$3=0,"n.b.",INDEX(SRC_ZPMW03!$A$1:$ZZ$501,$A258,BJ$3)))</f>
        <v/>
      </c>
      <c r="BK258" s="124" t="str">
        <f>IF($B258="","",IFERROR(-O258,"n.b."))</f>
        <v/>
      </c>
      <c r="BL258" s="124" t="str">
        <f>IF($B258="","",IFERROR(-Q258,"n.b."))</f>
        <v/>
      </c>
      <c r="BM258" s="124" t="str">
        <f>IF($B258="","",IFERROR(-AB258,"n.b."))</f>
        <v/>
      </c>
      <c r="BN258" s="124" t="str">
        <f>IF($B258="","",IFERROR(-AD258,"n.b."))</f>
        <v/>
      </c>
      <c r="BO258" s="124" t="str">
        <f>IF($B258="","",IFERROR(BK258+BM258,"n.b."))</f>
        <v/>
      </c>
      <c r="BP258" s="124" t="str">
        <f>IF($B258="","",IFERROR(BL258+BN258,"n.b."))</f>
        <v/>
      </c>
      <c r="BQ258" s="124" t="str">
        <f>IF($B258="","",IFERROR(-AM258,"n.b."))</f>
        <v/>
      </c>
      <c r="BR258" s="124" t="str">
        <f>IF($B258="","",IFERROR(-AO258,"n.b."))</f>
        <v/>
      </c>
      <c r="BS258" s="124" t="str">
        <f>IF($B258="","",IFERROR(-Z258,"n.b."))</f>
        <v/>
      </c>
      <c r="BT258" s="124" t="str">
        <f>IF($B258="","",IFERROR(-AA258,"n.b."))</f>
        <v/>
      </c>
      <c r="BU258" s="124" t="str">
        <f>IF($B258="","",IFERROR(-AE258,"n.b."))</f>
        <v/>
      </c>
      <c r="BV258" s="124" t="str">
        <f>IF($B258="","",IFERROR(-AF258,"n.b."))</f>
        <v/>
      </c>
      <c r="BW258" s="124" t="str">
        <f>IF($B258="","",IFERROR(-AG258,"n.b."))</f>
        <v/>
      </c>
      <c r="BX258" s="124" t="str">
        <f>IF($B258="","",IFERROR(-AH258,"n.b."))</f>
        <v/>
      </c>
      <c r="BY258" s="124" t="str">
        <f>IF($B258="","",IFERROR(-AI258,"n.b."))</f>
        <v/>
      </c>
      <c r="BZ258" s="124" t="str">
        <f>IF($B258="","",IFERROR(-AJ258,"n.b."))</f>
        <v/>
      </c>
      <c r="CA258" s="124" t="str">
        <f>IF($B258="","",IFERROR(-AK258,"n.b."))</f>
        <v/>
      </c>
      <c r="CB258" s="124" t="str">
        <f>IF($B258="","",IFERROR(-AL258,"n.b."))</f>
        <v/>
      </c>
      <c r="CC258" s="124" t="str">
        <f>IF($B258="","",IFERROR(-AP258,"n.b."))</f>
        <v/>
      </c>
      <c r="CD258" s="124" t="str">
        <f>IF($B258="","",IFERROR(-AQ258,"n.b."))</f>
        <v/>
      </c>
      <c r="CE258" s="124" t="str">
        <f>IF($B258="","",IFERROR(-AR258,"n.b."))</f>
        <v/>
      </c>
      <c r="CF258" s="124" t="str">
        <f>IF($B258="","",IFERROR(-AS258,"n.b."))</f>
        <v/>
      </c>
      <c r="CG258" s="124" t="str">
        <f>IF($B258="","",IFERROR(-AT258,"n.b."))</f>
        <v/>
      </c>
      <c r="CH258" s="124" t="str">
        <f>IF($B258="","",IFERROR(-AU258,"n.b."))</f>
        <v/>
      </c>
      <c r="CI258" s="124" t="str">
        <f>IF($B258="","",IFERROR(-AV258,"n.b."))</f>
        <v/>
      </c>
      <c r="CJ258" s="124" t="str">
        <f>IF($B258="","",IFERROR(-AW258,"n.b."))</f>
        <v/>
      </c>
      <c r="CK258" s="124" t="str">
        <f>IF($B258="","",IFERROR(-AX258,"n.b."))</f>
        <v/>
      </c>
      <c r="CL258" s="124" t="str">
        <f>IF($B258="","",IFERROR(-AY258,"n.b."))</f>
        <v/>
      </c>
      <c r="CM258" s="124" t="str">
        <f>IF($B258="","",IFERROR(-AZ258,"n.b."))</f>
        <v/>
      </c>
      <c r="CN258" s="124" t="str">
        <f>IF($B258="","",IFERROR(-BA258,"n.b."))</f>
        <v/>
      </c>
      <c r="CO258" s="124" t="str">
        <f>IF($B258="","",IFERROR(-BB258,"n.b."))</f>
        <v/>
      </c>
      <c r="CP258" s="124" t="str">
        <f>IF($B258="","",IFERROR(-BC258,"n.b."))</f>
        <v/>
      </c>
      <c r="CQ258" s="124" t="str">
        <f>IF($B258="","",IFERROR(-BD258,"n.b."))</f>
        <v/>
      </c>
      <c r="CR258" s="124" t="str">
        <f>IF($B258="","",IFERROR(-BE258,"n.b."))</f>
        <v/>
      </c>
      <c r="CS258" s="124" t="str">
        <f>IF($B258="","",IFERROR(IF(OR(ABS(T258+V258+X258+Z258-AB258)&gt;P_Tol,ABS(U258+W258+Y258+AA258-AD258)&gt;P_Tol,ABS(AE258+AG258+AI258+AK258-AM258)&gt;P_Tol,ABS(AF258+AH258+AJ258+AL258-AO258)&gt;P_Tol),1,0),1))</f>
        <v/>
      </c>
      <c r="CT258" s="124" t="str">
        <f>IF($B258="","",IFERROR(IF(OR(ABS(AB258+AC258-AD258)&gt;P_Tol,ABS(AM258+AN258-AO258)&gt;P_Tol,ABS(O258+P258-Q258)&gt;P_Tol),1,0),1))</f>
        <v/>
      </c>
      <c r="CU258" s="124" t="str">
        <f>IF($B258="","",IFERROR(IF(ABS(R258-(AB258+AM258+AP258+AR258+AT258+AV258+AX258+AZ258+BB258+BD258))&gt;P_Tol,1,0),1))</f>
        <v/>
      </c>
      <c r="CV258" s="124" t="str">
        <f>IF($B258="","",IFERROR(IF(ABS(M258-(N258+O258+R258))&gt;P_Tol,1,0),1))</f>
        <v/>
      </c>
      <c r="CW258" s="124" t="str">
        <f>IF($B258="","",IF(COUNTIF(Mapping!$A$5:$A$104,B258)&gt;0,1,0))</f>
        <v/>
      </c>
      <c r="CX258" s="124" t="str">
        <f>IF($B258="","",COUNTIF($B$6:$B$505,B258))</f>
        <v/>
      </c>
      <c r="CY258" s="124" t="str">
        <f>IF($B258="","",COUNTIF(STG_Woningetalage!$B$6:$B$505,B258))</f>
        <v/>
      </c>
      <c r="CZ258" s="124" t="str">
        <f>IF($B258="","",IF(CW258=0,COUNTIF($CW$6:CW258,0),""))</f>
        <v/>
      </c>
    </row>
    <row r="259">
      <c r="A259" s="15" t="n">
        <v>255</v>
      </c>
      <c r="B259" t="str">
        <f>IF(B$3=0,"",IF(INDEX(SRC_ZPMW03!$A$1:$ZZ$501,$A259,B$3)&amp;""="","",INDEX(SRC_ZPMW03!$A$1:$ZZ$501,$A259,B$3)&amp;""))</f>
        <v/>
      </c>
      <c r="C259" t="str">
        <f>IF($B259="","",IF(C$3=0,"n.b.",INDEX(SRC_ZPMW03!$A$1:$ZZ$501,$A259,C$3)))</f>
        <v/>
      </c>
      <c r="D259" t="str">
        <f>IF($B259="","",IF(D$3=0,"n.b.",INDEX(SRC_ZPMW03!$A$1:$ZZ$501,$A259,D$3)))</f>
        <v/>
      </c>
      <c r="E259" t="str">
        <f>IF($B259="","",IF(E$3=0,"n.b.",INDEX(SRC_ZPMW03!$A$1:$ZZ$501,$A259,E$3)))</f>
        <v/>
      </c>
      <c r="F259" t="str">
        <f>IF($B259="","",IF(F$3=0,"n.b.",INDEX(SRC_ZPMW03!$A$1:$ZZ$501,$A259,F$3)))</f>
        <v/>
      </c>
      <c r="G259" t="str">
        <f>IF($B259="","",IF(G$3=0,"n.b.",INDEX(SRC_ZPMW03!$A$1:$ZZ$501,$A259,G$3)))</f>
        <v/>
      </c>
      <c r="H259" t="str">
        <f>IF($B259="","",IF(H$3=0,"n.b.",INDEX(SRC_ZPMW03!$A$1:$ZZ$501,$A259,H$3)))</f>
        <v/>
      </c>
      <c r="I259" t="str">
        <f>IF($B259="","",IF(I$3=0,"n.b.",INDEX(SRC_ZPMW03!$A$1:$ZZ$501,$A259,I$3)))</f>
        <v/>
      </c>
      <c r="J259" t="str">
        <f>IF($B259="","",IF(J$3=0,"n.b.",INDEX(SRC_ZPMW03!$A$1:$ZZ$501,$A259,J$3)))</f>
        <v/>
      </c>
      <c r="K259" t="str">
        <f>IF($B259="","",IF(K$3=0,"n.b.",INDEX(SRC_ZPMW03!$A$1:$ZZ$501,$A259,K$3)))</f>
        <v/>
      </c>
      <c r="L259" s="124" t="str">
        <f>IF($B259="","",IF(L$3=0,"n.b.",INDEX(SRC_ZPMW03!$A$1:$ZZ$501,$A259,L$3)))</f>
        <v/>
      </c>
      <c r="M259" s="124" t="str">
        <f>IF($B259="","",IF(M$3=0,"n.b.",INDEX(SRC_ZPMW03!$A$1:$ZZ$501,$A259,M$3)))</f>
        <v/>
      </c>
      <c r="N259" s="124" t="str">
        <f>IF($B259="","",IF(N$3=0,"n.b.",INDEX(SRC_ZPMW03!$A$1:$ZZ$501,$A259,N$3)))</f>
        <v/>
      </c>
      <c r="O259" s="124" t="str">
        <f>IF($B259="","",IF(O$3=0,"n.b.",INDEX(SRC_ZPMW03!$A$1:$ZZ$501,$A259,O$3)))</f>
        <v/>
      </c>
      <c r="P259" s="124" t="str">
        <f>IF($B259="","",IF(P$3=0,"n.b.",INDEX(SRC_ZPMW03!$A$1:$ZZ$501,$A259,P$3)))</f>
        <v/>
      </c>
      <c r="Q259" s="124" t="str">
        <f>IF($B259="","",IF(Q$3=0,"n.b.",INDEX(SRC_ZPMW03!$A$1:$ZZ$501,$A259,Q$3)))</f>
        <v/>
      </c>
      <c r="R259" s="124" t="str">
        <f>IF($B259="","",IF(R$3=0,"n.b.",INDEX(SRC_ZPMW03!$A$1:$ZZ$501,$A259,R$3)))</f>
        <v/>
      </c>
      <c r="S259" s="124" t="str">
        <f>IF($B259="","",IF(S$3=0,"n.b.",INDEX(SRC_ZPMW03!$A$1:$ZZ$501,$A259,S$3)))</f>
        <v/>
      </c>
      <c r="T259" s="124" t="str">
        <f>IF($B259="","",IF(T$3=0,"n.b.",INDEX(SRC_ZPMW03!$A$1:$ZZ$501,$A259,T$3)))</f>
        <v/>
      </c>
      <c r="U259" s="124" t="str">
        <f>IF($B259="","",IF(U$3=0,"n.b.",INDEX(SRC_ZPMW03!$A$1:$ZZ$501,$A259,U$3)))</f>
        <v/>
      </c>
      <c r="V259" s="124" t="str">
        <f>IF($B259="","",IF(V$3=0,"n.b.",INDEX(SRC_ZPMW03!$A$1:$ZZ$501,$A259,V$3)))</f>
        <v/>
      </c>
      <c r="W259" s="124" t="str">
        <f>IF($B259="","",IF(W$3=0,"n.b.",INDEX(SRC_ZPMW03!$A$1:$ZZ$501,$A259,W$3)))</f>
        <v/>
      </c>
      <c r="X259" s="124" t="str">
        <f>IF($B259="","",IF(X$3=0,"n.b.",INDEX(SRC_ZPMW03!$A$1:$ZZ$501,$A259,X$3)))</f>
        <v/>
      </c>
      <c r="Y259" s="124" t="str">
        <f>IF($B259="","",IF(Y$3=0,"n.b.",INDEX(SRC_ZPMW03!$A$1:$ZZ$501,$A259,Y$3)))</f>
        <v/>
      </c>
      <c r="Z259" s="124" t="str">
        <f>IF($B259="","",IF(Z$3=0,"n.b.",INDEX(SRC_ZPMW03!$A$1:$ZZ$501,$A259,Z$3)))</f>
        <v/>
      </c>
      <c r="AA259" s="124" t="str">
        <f>IF($B259="","",IF(AA$3=0,"n.b.",INDEX(SRC_ZPMW03!$A$1:$ZZ$501,$A259,AA$3)))</f>
        <v/>
      </c>
      <c r="AB259" s="124" t="str">
        <f>IF($B259="","",IF(AB$3=0,"n.b.",INDEX(SRC_ZPMW03!$A$1:$ZZ$501,$A259,AB$3)))</f>
        <v/>
      </c>
      <c r="AC259" s="124" t="str">
        <f>IF($B259="","",IF(AC$3=0,"n.b.",INDEX(SRC_ZPMW03!$A$1:$ZZ$501,$A259,AC$3)))</f>
        <v/>
      </c>
      <c r="AD259" s="124" t="str">
        <f>IF($B259="","",IF(AD$3=0,"n.b.",INDEX(SRC_ZPMW03!$A$1:$ZZ$501,$A259,AD$3)))</f>
        <v/>
      </c>
      <c r="AE259" s="124" t="str">
        <f>IF($B259="","",IF(AE$3=0,"n.b.",INDEX(SRC_ZPMW03!$A$1:$ZZ$501,$A259,AE$3)))</f>
        <v/>
      </c>
      <c r="AF259" s="124" t="str">
        <f>IF($B259="","",IF(AF$3=0,"n.b.",INDEX(SRC_ZPMW03!$A$1:$ZZ$501,$A259,AF$3)))</f>
        <v/>
      </c>
      <c r="AG259" s="124" t="str">
        <f>IF($B259="","",IF(AG$3=0,"n.b.",INDEX(SRC_ZPMW03!$A$1:$ZZ$501,$A259,AG$3)))</f>
        <v/>
      </c>
      <c r="AH259" s="124" t="str">
        <f>IF($B259="","",IF(AH$3=0,"n.b.",INDEX(SRC_ZPMW03!$A$1:$ZZ$501,$A259,AH$3)))</f>
        <v/>
      </c>
      <c r="AI259" s="124" t="str">
        <f>IF($B259="","",IF(AI$3=0,"n.b.",INDEX(SRC_ZPMW03!$A$1:$ZZ$501,$A259,AI$3)))</f>
        <v/>
      </c>
      <c r="AJ259" s="124" t="str">
        <f>IF($B259="","",IF(AJ$3=0,"n.b.",INDEX(SRC_ZPMW03!$A$1:$ZZ$501,$A259,AJ$3)))</f>
        <v/>
      </c>
      <c r="AK259" s="124" t="str">
        <f>IF($B259="","",IF(AK$3=0,"n.b.",INDEX(SRC_ZPMW03!$A$1:$ZZ$501,$A259,AK$3)))</f>
        <v/>
      </c>
      <c r="AL259" s="124" t="str">
        <f>IF($B259="","",IF(AL$3=0,"n.b.",INDEX(SRC_ZPMW03!$A$1:$ZZ$501,$A259,AL$3)))</f>
        <v/>
      </c>
      <c r="AM259" s="124" t="str">
        <f>IF($B259="","",IF(AM$3=0,"n.b.",INDEX(SRC_ZPMW03!$A$1:$ZZ$501,$A259,AM$3)))</f>
        <v/>
      </c>
      <c r="AN259" s="124" t="str">
        <f>IF($B259="","",IF(AN$3=0,"n.b.",INDEX(SRC_ZPMW03!$A$1:$ZZ$501,$A259,AN$3)))</f>
        <v/>
      </c>
      <c r="AO259" s="124" t="str">
        <f>IF($B259="","",IF(AO$3=0,"n.b.",INDEX(SRC_ZPMW03!$A$1:$ZZ$501,$A259,AO$3)))</f>
        <v/>
      </c>
      <c r="AP259" s="124" t="str">
        <f>IF($B259="","",IF(AP$3=0,"n.b.",INDEX(SRC_ZPMW03!$A$1:$ZZ$501,$A259,AP$3)))</f>
        <v/>
      </c>
      <c r="AQ259" s="124" t="str">
        <f>IF($B259="","",IF(AQ$3=0,"n.b.",INDEX(SRC_ZPMW03!$A$1:$ZZ$501,$A259,AQ$3)))</f>
        <v/>
      </c>
      <c r="AR259" s="124" t="str">
        <f>IF($B259="","",IF(AR$3=0,"n.b.",INDEX(SRC_ZPMW03!$A$1:$ZZ$501,$A259,AR$3)))</f>
        <v/>
      </c>
      <c r="AS259" s="124" t="str">
        <f>IF($B259="","",IF(AS$3=0,"n.b.",INDEX(SRC_ZPMW03!$A$1:$ZZ$501,$A259,AS$3)))</f>
        <v/>
      </c>
      <c r="AT259" s="124" t="str">
        <f>IF($B259="","",IF(AT$3=0,"n.b.",INDEX(SRC_ZPMW03!$A$1:$ZZ$501,$A259,AT$3)))</f>
        <v/>
      </c>
      <c r="AU259" s="124" t="str">
        <f>IF($B259="","",IF(AU$3=0,"n.b.",INDEX(SRC_ZPMW03!$A$1:$ZZ$501,$A259,AU$3)))</f>
        <v/>
      </c>
      <c r="AV259" s="124" t="str">
        <f>IF($B259="","",IF(AV$3=0,"n.b.",INDEX(SRC_ZPMW03!$A$1:$ZZ$501,$A259,AV$3)))</f>
        <v/>
      </c>
      <c r="AW259" s="124" t="str">
        <f>IF($B259="","",IF(AW$3=0,"n.b.",INDEX(SRC_ZPMW03!$A$1:$ZZ$501,$A259,AW$3)))</f>
        <v/>
      </c>
      <c r="AX259" s="124" t="str">
        <f>IF($B259="","",IF(AX$3=0,"n.b.",INDEX(SRC_ZPMW03!$A$1:$ZZ$501,$A259,AX$3)))</f>
        <v/>
      </c>
      <c r="AY259" s="124" t="str">
        <f>IF($B259="","",IF(AY$3=0,"n.b.",INDEX(SRC_ZPMW03!$A$1:$ZZ$501,$A259,AY$3)))</f>
        <v/>
      </c>
      <c r="AZ259" s="124" t="str">
        <f>IF($B259="","",IF(AZ$3=0,"n.b.",INDEX(SRC_ZPMW03!$A$1:$ZZ$501,$A259,AZ$3)))</f>
        <v/>
      </c>
      <c r="BA259" s="124" t="str">
        <f>IF($B259="","",IF(BA$3=0,"n.b.",INDEX(SRC_ZPMW03!$A$1:$ZZ$501,$A259,BA$3)))</f>
        <v/>
      </c>
      <c r="BB259" s="124" t="str">
        <f>IF($B259="","",IF(BB$3=0,"n.b.",INDEX(SRC_ZPMW03!$A$1:$ZZ$501,$A259,BB$3)))</f>
        <v/>
      </c>
      <c r="BC259" s="124" t="str">
        <f>IF($B259="","",IF(BC$3=0,"n.b.",INDEX(SRC_ZPMW03!$A$1:$ZZ$501,$A259,BC$3)))</f>
        <v/>
      </c>
      <c r="BD259" s="124" t="str">
        <f>IF($B259="","",IF(BD$3=0,"n.b.",INDEX(SRC_ZPMW03!$A$1:$ZZ$501,$A259,BD$3)))</f>
        <v/>
      </c>
      <c r="BE259" s="124" t="str">
        <f>IF($B259="","",IF(BE$3=0,"n.b.",INDEX(SRC_ZPMW03!$A$1:$ZZ$501,$A259,BE$3)))</f>
        <v/>
      </c>
      <c r="BF259" s="124" t="str">
        <f>IF($B259="","",IF(BF$3=0,"n.b.",INDEX(SRC_ZPMW03!$A$1:$ZZ$501,$A259,BF$3)))</f>
        <v/>
      </c>
      <c r="BG259" t="str">
        <f>IF($B259="","",IF(BG$3=0,"n.b.",INDEX(SRC_ZPMW03!$A$1:$ZZ$501,$A259,BG$3)))</f>
        <v/>
      </c>
      <c r="BH259" t="str">
        <f>IF($B259="","",IF(BH$3=0,"n.b.",INDEX(SRC_ZPMW03!$A$1:$ZZ$501,$A259,BH$3)))</f>
        <v/>
      </c>
      <c r="BI259" t="str">
        <f>IF($B259="","",IF(BI$3=0,"n.b.",INDEX(SRC_ZPMW03!$A$1:$ZZ$501,$A259,BI$3)))</f>
        <v/>
      </c>
      <c r="BJ259" t="str">
        <f>IF($B259="","",IF(BJ$3=0,"n.b.",INDEX(SRC_ZPMW03!$A$1:$ZZ$501,$A259,BJ$3)))</f>
        <v/>
      </c>
      <c r="BK259" s="124" t="str">
        <f>IF($B259="","",IFERROR(-O259,"n.b."))</f>
        <v/>
      </c>
      <c r="BL259" s="124" t="str">
        <f>IF($B259="","",IFERROR(-Q259,"n.b."))</f>
        <v/>
      </c>
      <c r="BM259" s="124" t="str">
        <f>IF($B259="","",IFERROR(-AB259,"n.b."))</f>
        <v/>
      </c>
      <c r="BN259" s="124" t="str">
        <f>IF($B259="","",IFERROR(-AD259,"n.b."))</f>
        <v/>
      </c>
      <c r="BO259" s="124" t="str">
        <f>IF($B259="","",IFERROR(BK259+BM259,"n.b."))</f>
        <v/>
      </c>
      <c r="BP259" s="124" t="str">
        <f>IF($B259="","",IFERROR(BL259+BN259,"n.b."))</f>
        <v/>
      </c>
      <c r="BQ259" s="124" t="str">
        <f>IF($B259="","",IFERROR(-AM259,"n.b."))</f>
        <v/>
      </c>
      <c r="BR259" s="124" t="str">
        <f>IF($B259="","",IFERROR(-AO259,"n.b."))</f>
        <v/>
      </c>
      <c r="BS259" s="124" t="str">
        <f>IF($B259="","",IFERROR(-Z259,"n.b."))</f>
        <v/>
      </c>
      <c r="BT259" s="124" t="str">
        <f>IF($B259="","",IFERROR(-AA259,"n.b."))</f>
        <v/>
      </c>
      <c r="BU259" s="124" t="str">
        <f>IF($B259="","",IFERROR(-AE259,"n.b."))</f>
        <v/>
      </c>
      <c r="BV259" s="124" t="str">
        <f>IF($B259="","",IFERROR(-AF259,"n.b."))</f>
        <v/>
      </c>
      <c r="BW259" s="124" t="str">
        <f>IF($B259="","",IFERROR(-AG259,"n.b."))</f>
        <v/>
      </c>
      <c r="BX259" s="124" t="str">
        <f>IF($B259="","",IFERROR(-AH259,"n.b."))</f>
        <v/>
      </c>
      <c r="BY259" s="124" t="str">
        <f>IF($B259="","",IFERROR(-AI259,"n.b."))</f>
        <v/>
      </c>
      <c r="BZ259" s="124" t="str">
        <f>IF($B259="","",IFERROR(-AJ259,"n.b."))</f>
        <v/>
      </c>
      <c r="CA259" s="124" t="str">
        <f>IF($B259="","",IFERROR(-AK259,"n.b."))</f>
        <v/>
      </c>
      <c r="CB259" s="124" t="str">
        <f>IF($B259="","",IFERROR(-AL259,"n.b."))</f>
        <v/>
      </c>
      <c r="CC259" s="124" t="str">
        <f>IF($B259="","",IFERROR(-AP259,"n.b."))</f>
        <v/>
      </c>
      <c r="CD259" s="124" t="str">
        <f>IF($B259="","",IFERROR(-AQ259,"n.b."))</f>
        <v/>
      </c>
      <c r="CE259" s="124" t="str">
        <f>IF($B259="","",IFERROR(-AR259,"n.b."))</f>
        <v/>
      </c>
      <c r="CF259" s="124" t="str">
        <f>IF($B259="","",IFERROR(-AS259,"n.b."))</f>
        <v/>
      </c>
      <c r="CG259" s="124" t="str">
        <f>IF($B259="","",IFERROR(-AT259,"n.b."))</f>
        <v/>
      </c>
      <c r="CH259" s="124" t="str">
        <f>IF($B259="","",IFERROR(-AU259,"n.b."))</f>
        <v/>
      </c>
      <c r="CI259" s="124" t="str">
        <f>IF($B259="","",IFERROR(-AV259,"n.b."))</f>
        <v/>
      </c>
      <c r="CJ259" s="124" t="str">
        <f>IF($B259="","",IFERROR(-AW259,"n.b."))</f>
        <v/>
      </c>
      <c r="CK259" s="124" t="str">
        <f>IF($B259="","",IFERROR(-AX259,"n.b."))</f>
        <v/>
      </c>
      <c r="CL259" s="124" t="str">
        <f>IF($B259="","",IFERROR(-AY259,"n.b."))</f>
        <v/>
      </c>
      <c r="CM259" s="124" t="str">
        <f>IF($B259="","",IFERROR(-AZ259,"n.b."))</f>
        <v/>
      </c>
      <c r="CN259" s="124" t="str">
        <f>IF($B259="","",IFERROR(-BA259,"n.b."))</f>
        <v/>
      </c>
      <c r="CO259" s="124" t="str">
        <f>IF($B259="","",IFERROR(-BB259,"n.b."))</f>
        <v/>
      </c>
      <c r="CP259" s="124" t="str">
        <f>IF($B259="","",IFERROR(-BC259,"n.b."))</f>
        <v/>
      </c>
      <c r="CQ259" s="124" t="str">
        <f>IF($B259="","",IFERROR(-BD259,"n.b."))</f>
        <v/>
      </c>
      <c r="CR259" s="124" t="str">
        <f>IF($B259="","",IFERROR(-BE259,"n.b."))</f>
        <v/>
      </c>
      <c r="CS259" s="124" t="str">
        <f>IF($B259="","",IFERROR(IF(OR(ABS(T259+V259+X259+Z259-AB259)&gt;P_Tol,ABS(U259+W259+Y259+AA259-AD259)&gt;P_Tol,ABS(AE259+AG259+AI259+AK259-AM259)&gt;P_Tol,ABS(AF259+AH259+AJ259+AL259-AO259)&gt;P_Tol),1,0),1))</f>
        <v/>
      </c>
      <c r="CT259" s="124" t="str">
        <f>IF($B259="","",IFERROR(IF(OR(ABS(AB259+AC259-AD259)&gt;P_Tol,ABS(AM259+AN259-AO259)&gt;P_Tol,ABS(O259+P259-Q259)&gt;P_Tol),1,0),1))</f>
        <v/>
      </c>
      <c r="CU259" s="124" t="str">
        <f>IF($B259="","",IFERROR(IF(ABS(R259-(AB259+AM259+AP259+AR259+AT259+AV259+AX259+AZ259+BB259+BD259))&gt;P_Tol,1,0),1))</f>
        <v/>
      </c>
      <c r="CV259" s="124" t="str">
        <f>IF($B259="","",IFERROR(IF(ABS(M259-(N259+O259+R259))&gt;P_Tol,1,0),1))</f>
        <v/>
      </c>
      <c r="CW259" s="124" t="str">
        <f>IF($B259="","",IF(COUNTIF(Mapping!$A$5:$A$104,B259)&gt;0,1,0))</f>
        <v/>
      </c>
      <c r="CX259" s="124" t="str">
        <f>IF($B259="","",COUNTIF($B$6:$B$505,B259))</f>
        <v/>
      </c>
      <c r="CY259" s="124" t="str">
        <f>IF($B259="","",COUNTIF(STG_Woningetalage!$B$6:$B$505,B259))</f>
        <v/>
      </c>
      <c r="CZ259" s="124" t="str">
        <f>IF($B259="","",IF(CW259=0,COUNTIF($CW$6:CW259,0),""))</f>
        <v/>
      </c>
    </row>
    <row r="260">
      <c r="A260" s="15" t="n">
        <v>256</v>
      </c>
      <c r="B260" t="str">
        <f>IF(B$3=0,"",IF(INDEX(SRC_ZPMW03!$A$1:$ZZ$501,$A260,B$3)&amp;""="","",INDEX(SRC_ZPMW03!$A$1:$ZZ$501,$A260,B$3)&amp;""))</f>
        <v/>
      </c>
      <c r="C260" t="str">
        <f>IF($B260="","",IF(C$3=0,"n.b.",INDEX(SRC_ZPMW03!$A$1:$ZZ$501,$A260,C$3)))</f>
        <v/>
      </c>
      <c r="D260" t="str">
        <f>IF($B260="","",IF(D$3=0,"n.b.",INDEX(SRC_ZPMW03!$A$1:$ZZ$501,$A260,D$3)))</f>
        <v/>
      </c>
      <c r="E260" t="str">
        <f>IF($B260="","",IF(E$3=0,"n.b.",INDEX(SRC_ZPMW03!$A$1:$ZZ$501,$A260,E$3)))</f>
        <v/>
      </c>
      <c r="F260" t="str">
        <f>IF($B260="","",IF(F$3=0,"n.b.",INDEX(SRC_ZPMW03!$A$1:$ZZ$501,$A260,F$3)))</f>
        <v/>
      </c>
      <c r="G260" t="str">
        <f>IF($B260="","",IF(G$3=0,"n.b.",INDEX(SRC_ZPMW03!$A$1:$ZZ$501,$A260,G$3)))</f>
        <v/>
      </c>
      <c r="H260" t="str">
        <f>IF($B260="","",IF(H$3=0,"n.b.",INDEX(SRC_ZPMW03!$A$1:$ZZ$501,$A260,H$3)))</f>
        <v/>
      </c>
      <c r="I260" t="str">
        <f>IF($B260="","",IF(I$3=0,"n.b.",INDEX(SRC_ZPMW03!$A$1:$ZZ$501,$A260,I$3)))</f>
        <v/>
      </c>
      <c r="J260" t="str">
        <f>IF($B260="","",IF(J$3=0,"n.b.",INDEX(SRC_ZPMW03!$A$1:$ZZ$501,$A260,J$3)))</f>
        <v/>
      </c>
      <c r="K260" t="str">
        <f>IF($B260="","",IF(K$3=0,"n.b.",INDEX(SRC_ZPMW03!$A$1:$ZZ$501,$A260,K$3)))</f>
        <v/>
      </c>
      <c r="L260" s="124" t="str">
        <f>IF($B260="","",IF(L$3=0,"n.b.",INDEX(SRC_ZPMW03!$A$1:$ZZ$501,$A260,L$3)))</f>
        <v/>
      </c>
      <c r="M260" s="124" t="str">
        <f>IF($B260="","",IF(M$3=0,"n.b.",INDEX(SRC_ZPMW03!$A$1:$ZZ$501,$A260,M$3)))</f>
        <v/>
      </c>
      <c r="N260" s="124" t="str">
        <f>IF($B260="","",IF(N$3=0,"n.b.",INDEX(SRC_ZPMW03!$A$1:$ZZ$501,$A260,N$3)))</f>
        <v/>
      </c>
      <c r="O260" s="124" t="str">
        <f>IF($B260="","",IF(O$3=0,"n.b.",INDEX(SRC_ZPMW03!$A$1:$ZZ$501,$A260,O$3)))</f>
        <v/>
      </c>
      <c r="P260" s="124" t="str">
        <f>IF($B260="","",IF(P$3=0,"n.b.",INDEX(SRC_ZPMW03!$A$1:$ZZ$501,$A260,P$3)))</f>
        <v/>
      </c>
      <c r="Q260" s="124" t="str">
        <f>IF($B260="","",IF(Q$3=0,"n.b.",INDEX(SRC_ZPMW03!$A$1:$ZZ$501,$A260,Q$3)))</f>
        <v/>
      </c>
      <c r="R260" s="124" t="str">
        <f>IF($B260="","",IF(R$3=0,"n.b.",INDEX(SRC_ZPMW03!$A$1:$ZZ$501,$A260,R$3)))</f>
        <v/>
      </c>
      <c r="S260" s="124" t="str">
        <f>IF($B260="","",IF(S$3=0,"n.b.",INDEX(SRC_ZPMW03!$A$1:$ZZ$501,$A260,S$3)))</f>
        <v/>
      </c>
      <c r="T260" s="124" t="str">
        <f>IF($B260="","",IF(T$3=0,"n.b.",INDEX(SRC_ZPMW03!$A$1:$ZZ$501,$A260,T$3)))</f>
        <v/>
      </c>
      <c r="U260" s="124" t="str">
        <f>IF($B260="","",IF(U$3=0,"n.b.",INDEX(SRC_ZPMW03!$A$1:$ZZ$501,$A260,U$3)))</f>
        <v/>
      </c>
      <c r="V260" s="124" t="str">
        <f>IF($B260="","",IF(V$3=0,"n.b.",INDEX(SRC_ZPMW03!$A$1:$ZZ$501,$A260,V$3)))</f>
        <v/>
      </c>
      <c r="W260" s="124" t="str">
        <f>IF($B260="","",IF(W$3=0,"n.b.",INDEX(SRC_ZPMW03!$A$1:$ZZ$501,$A260,W$3)))</f>
        <v/>
      </c>
      <c r="X260" s="124" t="str">
        <f>IF($B260="","",IF(X$3=0,"n.b.",INDEX(SRC_ZPMW03!$A$1:$ZZ$501,$A260,X$3)))</f>
        <v/>
      </c>
      <c r="Y260" s="124" t="str">
        <f>IF($B260="","",IF(Y$3=0,"n.b.",INDEX(SRC_ZPMW03!$A$1:$ZZ$501,$A260,Y$3)))</f>
        <v/>
      </c>
      <c r="Z260" s="124" t="str">
        <f>IF($B260="","",IF(Z$3=0,"n.b.",INDEX(SRC_ZPMW03!$A$1:$ZZ$501,$A260,Z$3)))</f>
        <v/>
      </c>
      <c r="AA260" s="124" t="str">
        <f>IF($B260="","",IF(AA$3=0,"n.b.",INDEX(SRC_ZPMW03!$A$1:$ZZ$501,$A260,AA$3)))</f>
        <v/>
      </c>
      <c r="AB260" s="124" t="str">
        <f>IF($B260="","",IF(AB$3=0,"n.b.",INDEX(SRC_ZPMW03!$A$1:$ZZ$501,$A260,AB$3)))</f>
        <v/>
      </c>
      <c r="AC260" s="124" t="str">
        <f>IF($B260="","",IF(AC$3=0,"n.b.",INDEX(SRC_ZPMW03!$A$1:$ZZ$501,$A260,AC$3)))</f>
        <v/>
      </c>
      <c r="AD260" s="124" t="str">
        <f>IF($B260="","",IF(AD$3=0,"n.b.",INDEX(SRC_ZPMW03!$A$1:$ZZ$501,$A260,AD$3)))</f>
        <v/>
      </c>
      <c r="AE260" s="124" t="str">
        <f>IF($B260="","",IF(AE$3=0,"n.b.",INDEX(SRC_ZPMW03!$A$1:$ZZ$501,$A260,AE$3)))</f>
        <v/>
      </c>
      <c r="AF260" s="124" t="str">
        <f>IF($B260="","",IF(AF$3=0,"n.b.",INDEX(SRC_ZPMW03!$A$1:$ZZ$501,$A260,AF$3)))</f>
        <v/>
      </c>
      <c r="AG260" s="124" t="str">
        <f>IF($B260="","",IF(AG$3=0,"n.b.",INDEX(SRC_ZPMW03!$A$1:$ZZ$501,$A260,AG$3)))</f>
        <v/>
      </c>
      <c r="AH260" s="124" t="str">
        <f>IF($B260="","",IF(AH$3=0,"n.b.",INDEX(SRC_ZPMW03!$A$1:$ZZ$501,$A260,AH$3)))</f>
        <v/>
      </c>
      <c r="AI260" s="124" t="str">
        <f>IF($B260="","",IF(AI$3=0,"n.b.",INDEX(SRC_ZPMW03!$A$1:$ZZ$501,$A260,AI$3)))</f>
        <v/>
      </c>
      <c r="AJ260" s="124" t="str">
        <f>IF($B260="","",IF(AJ$3=0,"n.b.",INDEX(SRC_ZPMW03!$A$1:$ZZ$501,$A260,AJ$3)))</f>
        <v/>
      </c>
      <c r="AK260" s="124" t="str">
        <f>IF($B260="","",IF(AK$3=0,"n.b.",INDEX(SRC_ZPMW03!$A$1:$ZZ$501,$A260,AK$3)))</f>
        <v/>
      </c>
      <c r="AL260" s="124" t="str">
        <f>IF($B260="","",IF(AL$3=0,"n.b.",INDEX(SRC_ZPMW03!$A$1:$ZZ$501,$A260,AL$3)))</f>
        <v/>
      </c>
      <c r="AM260" s="124" t="str">
        <f>IF($B260="","",IF(AM$3=0,"n.b.",INDEX(SRC_ZPMW03!$A$1:$ZZ$501,$A260,AM$3)))</f>
        <v/>
      </c>
      <c r="AN260" s="124" t="str">
        <f>IF($B260="","",IF(AN$3=0,"n.b.",INDEX(SRC_ZPMW03!$A$1:$ZZ$501,$A260,AN$3)))</f>
        <v/>
      </c>
      <c r="AO260" s="124" t="str">
        <f>IF($B260="","",IF(AO$3=0,"n.b.",INDEX(SRC_ZPMW03!$A$1:$ZZ$501,$A260,AO$3)))</f>
        <v/>
      </c>
      <c r="AP260" s="124" t="str">
        <f>IF($B260="","",IF(AP$3=0,"n.b.",INDEX(SRC_ZPMW03!$A$1:$ZZ$501,$A260,AP$3)))</f>
        <v/>
      </c>
      <c r="AQ260" s="124" t="str">
        <f>IF($B260="","",IF(AQ$3=0,"n.b.",INDEX(SRC_ZPMW03!$A$1:$ZZ$501,$A260,AQ$3)))</f>
        <v/>
      </c>
      <c r="AR260" s="124" t="str">
        <f>IF($B260="","",IF(AR$3=0,"n.b.",INDEX(SRC_ZPMW03!$A$1:$ZZ$501,$A260,AR$3)))</f>
        <v/>
      </c>
      <c r="AS260" s="124" t="str">
        <f>IF($B260="","",IF(AS$3=0,"n.b.",INDEX(SRC_ZPMW03!$A$1:$ZZ$501,$A260,AS$3)))</f>
        <v/>
      </c>
      <c r="AT260" s="124" t="str">
        <f>IF($B260="","",IF(AT$3=0,"n.b.",INDEX(SRC_ZPMW03!$A$1:$ZZ$501,$A260,AT$3)))</f>
        <v/>
      </c>
      <c r="AU260" s="124" t="str">
        <f>IF($B260="","",IF(AU$3=0,"n.b.",INDEX(SRC_ZPMW03!$A$1:$ZZ$501,$A260,AU$3)))</f>
        <v/>
      </c>
      <c r="AV260" s="124" t="str">
        <f>IF($B260="","",IF(AV$3=0,"n.b.",INDEX(SRC_ZPMW03!$A$1:$ZZ$501,$A260,AV$3)))</f>
        <v/>
      </c>
      <c r="AW260" s="124" t="str">
        <f>IF($B260="","",IF(AW$3=0,"n.b.",INDEX(SRC_ZPMW03!$A$1:$ZZ$501,$A260,AW$3)))</f>
        <v/>
      </c>
      <c r="AX260" s="124" t="str">
        <f>IF($B260="","",IF(AX$3=0,"n.b.",INDEX(SRC_ZPMW03!$A$1:$ZZ$501,$A260,AX$3)))</f>
        <v/>
      </c>
      <c r="AY260" s="124" t="str">
        <f>IF($B260="","",IF(AY$3=0,"n.b.",INDEX(SRC_ZPMW03!$A$1:$ZZ$501,$A260,AY$3)))</f>
        <v/>
      </c>
      <c r="AZ260" s="124" t="str">
        <f>IF($B260="","",IF(AZ$3=0,"n.b.",INDEX(SRC_ZPMW03!$A$1:$ZZ$501,$A260,AZ$3)))</f>
        <v/>
      </c>
      <c r="BA260" s="124" t="str">
        <f>IF($B260="","",IF(BA$3=0,"n.b.",INDEX(SRC_ZPMW03!$A$1:$ZZ$501,$A260,BA$3)))</f>
        <v/>
      </c>
      <c r="BB260" s="124" t="str">
        <f>IF($B260="","",IF(BB$3=0,"n.b.",INDEX(SRC_ZPMW03!$A$1:$ZZ$501,$A260,BB$3)))</f>
        <v/>
      </c>
      <c r="BC260" s="124" t="str">
        <f>IF($B260="","",IF(BC$3=0,"n.b.",INDEX(SRC_ZPMW03!$A$1:$ZZ$501,$A260,BC$3)))</f>
        <v/>
      </c>
      <c r="BD260" s="124" t="str">
        <f>IF($B260="","",IF(BD$3=0,"n.b.",INDEX(SRC_ZPMW03!$A$1:$ZZ$501,$A260,BD$3)))</f>
        <v/>
      </c>
      <c r="BE260" s="124" t="str">
        <f>IF($B260="","",IF(BE$3=0,"n.b.",INDEX(SRC_ZPMW03!$A$1:$ZZ$501,$A260,BE$3)))</f>
        <v/>
      </c>
      <c r="BF260" s="124" t="str">
        <f>IF($B260="","",IF(BF$3=0,"n.b.",INDEX(SRC_ZPMW03!$A$1:$ZZ$501,$A260,BF$3)))</f>
        <v/>
      </c>
      <c r="BG260" t="str">
        <f>IF($B260="","",IF(BG$3=0,"n.b.",INDEX(SRC_ZPMW03!$A$1:$ZZ$501,$A260,BG$3)))</f>
        <v/>
      </c>
      <c r="BH260" t="str">
        <f>IF($B260="","",IF(BH$3=0,"n.b.",INDEX(SRC_ZPMW03!$A$1:$ZZ$501,$A260,BH$3)))</f>
        <v/>
      </c>
      <c r="BI260" t="str">
        <f>IF($B260="","",IF(BI$3=0,"n.b.",INDEX(SRC_ZPMW03!$A$1:$ZZ$501,$A260,BI$3)))</f>
        <v/>
      </c>
      <c r="BJ260" t="str">
        <f>IF($B260="","",IF(BJ$3=0,"n.b.",INDEX(SRC_ZPMW03!$A$1:$ZZ$501,$A260,BJ$3)))</f>
        <v/>
      </c>
      <c r="BK260" s="124" t="str">
        <f>IF($B260="","",IFERROR(-O260,"n.b."))</f>
        <v/>
      </c>
      <c r="BL260" s="124" t="str">
        <f>IF($B260="","",IFERROR(-Q260,"n.b."))</f>
        <v/>
      </c>
      <c r="BM260" s="124" t="str">
        <f>IF($B260="","",IFERROR(-AB260,"n.b."))</f>
        <v/>
      </c>
      <c r="BN260" s="124" t="str">
        <f>IF($B260="","",IFERROR(-AD260,"n.b."))</f>
        <v/>
      </c>
      <c r="BO260" s="124" t="str">
        <f>IF($B260="","",IFERROR(BK260+BM260,"n.b."))</f>
        <v/>
      </c>
      <c r="BP260" s="124" t="str">
        <f>IF($B260="","",IFERROR(BL260+BN260,"n.b."))</f>
        <v/>
      </c>
      <c r="BQ260" s="124" t="str">
        <f>IF($B260="","",IFERROR(-AM260,"n.b."))</f>
        <v/>
      </c>
      <c r="BR260" s="124" t="str">
        <f>IF($B260="","",IFERROR(-AO260,"n.b."))</f>
        <v/>
      </c>
      <c r="BS260" s="124" t="str">
        <f>IF($B260="","",IFERROR(-Z260,"n.b."))</f>
        <v/>
      </c>
      <c r="BT260" s="124" t="str">
        <f>IF($B260="","",IFERROR(-AA260,"n.b."))</f>
        <v/>
      </c>
      <c r="BU260" s="124" t="str">
        <f>IF($B260="","",IFERROR(-AE260,"n.b."))</f>
        <v/>
      </c>
      <c r="BV260" s="124" t="str">
        <f>IF($B260="","",IFERROR(-AF260,"n.b."))</f>
        <v/>
      </c>
      <c r="BW260" s="124" t="str">
        <f>IF($B260="","",IFERROR(-AG260,"n.b."))</f>
        <v/>
      </c>
      <c r="BX260" s="124" t="str">
        <f>IF($B260="","",IFERROR(-AH260,"n.b."))</f>
        <v/>
      </c>
      <c r="BY260" s="124" t="str">
        <f>IF($B260="","",IFERROR(-AI260,"n.b."))</f>
        <v/>
      </c>
      <c r="BZ260" s="124" t="str">
        <f>IF($B260="","",IFERROR(-AJ260,"n.b."))</f>
        <v/>
      </c>
      <c r="CA260" s="124" t="str">
        <f>IF($B260="","",IFERROR(-AK260,"n.b."))</f>
        <v/>
      </c>
      <c r="CB260" s="124" t="str">
        <f>IF($B260="","",IFERROR(-AL260,"n.b."))</f>
        <v/>
      </c>
      <c r="CC260" s="124" t="str">
        <f>IF($B260="","",IFERROR(-AP260,"n.b."))</f>
        <v/>
      </c>
      <c r="CD260" s="124" t="str">
        <f>IF($B260="","",IFERROR(-AQ260,"n.b."))</f>
        <v/>
      </c>
      <c r="CE260" s="124" t="str">
        <f>IF($B260="","",IFERROR(-AR260,"n.b."))</f>
        <v/>
      </c>
      <c r="CF260" s="124" t="str">
        <f>IF($B260="","",IFERROR(-AS260,"n.b."))</f>
        <v/>
      </c>
      <c r="CG260" s="124" t="str">
        <f>IF($B260="","",IFERROR(-AT260,"n.b."))</f>
        <v/>
      </c>
      <c r="CH260" s="124" t="str">
        <f>IF($B260="","",IFERROR(-AU260,"n.b."))</f>
        <v/>
      </c>
      <c r="CI260" s="124" t="str">
        <f>IF($B260="","",IFERROR(-AV260,"n.b."))</f>
        <v/>
      </c>
      <c r="CJ260" s="124" t="str">
        <f>IF($B260="","",IFERROR(-AW260,"n.b."))</f>
        <v/>
      </c>
      <c r="CK260" s="124" t="str">
        <f>IF($B260="","",IFERROR(-AX260,"n.b."))</f>
        <v/>
      </c>
      <c r="CL260" s="124" t="str">
        <f>IF($B260="","",IFERROR(-AY260,"n.b."))</f>
        <v/>
      </c>
      <c r="CM260" s="124" t="str">
        <f>IF($B260="","",IFERROR(-AZ260,"n.b."))</f>
        <v/>
      </c>
      <c r="CN260" s="124" t="str">
        <f>IF($B260="","",IFERROR(-BA260,"n.b."))</f>
        <v/>
      </c>
      <c r="CO260" s="124" t="str">
        <f>IF($B260="","",IFERROR(-BB260,"n.b."))</f>
        <v/>
      </c>
      <c r="CP260" s="124" t="str">
        <f>IF($B260="","",IFERROR(-BC260,"n.b."))</f>
        <v/>
      </c>
      <c r="CQ260" s="124" t="str">
        <f>IF($B260="","",IFERROR(-BD260,"n.b."))</f>
        <v/>
      </c>
      <c r="CR260" s="124" t="str">
        <f>IF($B260="","",IFERROR(-BE260,"n.b."))</f>
        <v/>
      </c>
      <c r="CS260" s="124" t="str">
        <f>IF($B260="","",IFERROR(IF(OR(ABS(T260+V260+X260+Z260-AB260)&gt;P_Tol,ABS(U260+W260+Y260+AA260-AD260)&gt;P_Tol,ABS(AE260+AG260+AI260+AK260-AM260)&gt;P_Tol,ABS(AF260+AH260+AJ260+AL260-AO260)&gt;P_Tol),1,0),1))</f>
        <v/>
      </c>
      <c r="CT260" s="124" t="str">
        <f>IF($B260="","",IFERROR(IF(OR(ABS(AB260+AC260-AD260)&gt;P_Tol,ABS(AM260+AN260-AO260)&gt;P_Tol,ABS(O260+P260-Q260)&gt;P_Tol),1,0),1))</f>
        <v/>
      </c>
      <c r="CU260" s="124" t="str">
        <f>IF($B260="","",IFERROR(IF(ABS(R260-(AB260+AM260+AP260+AR260+AT260+AV260+AX260+AZ260+BB260+BD260))&gt;P_Tol,1,0),1))</f>
        <v/>
      </c>
      <c r="CV260" s="124" t="str">
        <f>IF($B260="","",IFERROR(IF(ABS(M260-(N260+O260+R260))&gt;P_Tol,1,0),1))</f>
        <v/>
      </c>
      <c r="CW260" s="124" t="str">
        <f>IF($B260="","",IF(COUNTIF(Mapping!$A$5:$A$104,B260)&gt;0,1,0))</f>
        <v/>
      </c>
      <c r="CX260" s="124" t="str">
        <f>IF($B260="","",COUNTIF($B$6:$B$505,B260))</f>
        <v/>
      </c>
      <c r="CY260" s="124" t="str">
        <f>IF($B260="","",COUNTIF(STG_Woningetalage!$B$6:$B$505,B260))</f>
        <v/>
      </c>
      <c r="CZ260" s="124" t="str">
        <f>IF($B260="","",IF(CW260=0,COUNTIF($CW$6:CW260,0),""))</f>
        <v/>
      </c>
    </row>
    <row r="261">
      <c r="A261" s="15" t="n">
        <v>257</v>
      </c>
      <c r="B261" t="str">
        <f>IF(B$3=0,"",IF(INDEX(SRC_ZPMW03!$A$1:$ZZ$501,$A261,B$3)&amp;""="","",INDEX(SRC_ZPMW03!$A$1:$ZZ$501,$A261,B$3)&amp;""))</f>
        <v/>
      </c>
      <c r="C261" t="str">
        <f>IF($B261="","",IF(C$3=0,"n.b.",INDEX(SRC_ZPMW03!$A$1:$ZZ$501,$A261,C$3)))</f>
        <v/>
      </c>
      <c r="D261" t="str">
        <f>IF($B261="","",IF(D$3=0,"n.b.",INDEX(SRC_ZPMW03!$A$1:$ZZ$501,$A261,D$3)))</f>
        <v/>
      </c>
      <c r="E261" t="str">
        <f>IF($B261="","",IF(E$3=0,"n.b.",INDEX(SRC_ZPMW03!$A$1:$ZZ$501,$A261,E$3)))</f>
        <v/>
      </c>
      <c r="F261" t="str">
        <f>IF($B261="","",IF(F$3=0,"n.b.",INDEX(SRC_ZPMW03!$A$1:$ZZ$501,$A261,F$3)))</f>
        <v/>
      </c>
      <c r="G261" t="str">
        <f>IF($B261="","",IF(G$3=0,"n.b.",INDEX(SRC_ZPMW03!$A$1:$ZZ$501,$A261,G$3)))</f>
        <v/>
      </c>
      <c r="H261" t="str">
        <f>IF($B261="","",IF(H$3=0,"n.b.",INDEX(SRC_ZPMW03!$A$1:$ZZ$501,$A261,H$3)))</f>
        <v/>
      </c>
      <c r="I261" t="str">
        <f>IF($B261="","",IF(I$3=0,"n.b.",INDEX(SRC_ZPMW03!$A$1:$ZZ$501,$A261,I$3)))</f>
        <v/>
      </c>
      <c r="J261" t="str">
        <f>IF($B261="","",IF(J$3=0,"n.b.",INDEX(SRC_ZPMW03!$A$1:$ZZ$501,$A261,J$3)))</f>
        <v/>
      </c>
      <c r="K261" t="str">
        <f>IF($B261="","",IF(K$3=0,"n.b.",INDEX(SRC_ZPMW03!$A$1:$ZZ$501,$A261,K$3)))</f>
        <v/>
      </c>
      <c r="L261" s="124" t="str">
        <f>IF($B261="","",IF(L$3=0,"n.b.",INDEX(SRC_ZPMW03!$A$1:$ZZ$501,$A261,L$3)))</f>
        <v/>
      </c>
      <c r="M261" s="124" t="str">
        <f>IF($B261="","",IF(M$3=0,"n.b.",INDEX(SRC_ZPMW03!$A$1:$ZZ$501,$A261,M$3)))</f>
        <v/>
      </c>
      <c r="N261" s="124" t="str">
        <f>IF($B261="","",IF(N$3=0,"n.b.",INDEX(SRC_ZPMW03!$A$1:$ZZ$501,$A261,N$3)))</f>
        <v/>
      </c>
      <c r="O261" s="124" t="str">
        <f>IF($B261="","",IF(O$3=0,"n.b.",INDEX(SRC_ZPMW03!$A$1:$ZZ$501,$A261,O$3)))</f>
        <v/>
      </c>
      <c r="P261" s="124" t="str">
        <f>IF($B261="","",IF(P$3=0,"n.b.",INDEX(SRC_ZPMW03!$A$1:$ZZ$501,$A261,P$3)))</f>
        <v/>
      </c>
      <c r="Q261" s="124" t="str">
        <f>IF($B261="","",IF(Q$3=0,"n.b.",INDEX(SRC_ZPMW03!$A$1:$ZZ$501,$A261,Q$3)))</f>
        <v/>
      </c>
      <c r="R261" s="124" t="str">
        <f>IF($B261="","",IF(R$3=0,"n.b.",INDEX(SRC_ZPMW03!$A$1:$ZZ$501,$A261,R$3)))</f>
        <v/>
      </c>
      <c r="S261" s="124" t="str">
        <f>IF($B261="","",IF(S$3=0,"n.b.",INDEX(SRC_ZPMW03!$A$1:$ZZ$501,$A261,S$3)))</f>
        <v/>
      </c>
      <c r="T261" s="124" t="str">
        <f>IF($B261="","",IF(T$3=0,"n.b.",INDEX(SRC_ZPMW03!$A$1:$ZZ$501,$A261,T$3)))</f>
        <v/>
      </c>
      <c r="U261" s="124" t="str">
        <f>IF($B261="","",IF(U$3=0,"n.b.",INDEX(SRC_ZPMW03!$A$1:$ZZ$501,$A261,U$3)))</f>
        <v/>
      </c>
      <c r="V261" s="124" t="str">
        <f>IF($B261="","",IF(V$3=0,"n.b.",INDEX(SRC_ZPMW03!$A$1:$ZZ$501,$A261,V$3)))</f>
        <v/>
      </c>
      <c r="W261" s="124" t="str">
        <f>IF($B261="","",IF(W$3=0,"n.b.",INDEX(SRC_ZPMW03!$A$1:$ZZ$501,$A261,W$3)))</f>
        <v/>
      </c>
      <c r="X261" s="124" t="str">
        <f>IF($B261="","",IF(X$3=0,"n.b.",INDEX(SRC_ZPMW03!$A$1:$ZZ$501,$A261,X$3)))</f>
        <v/>
      </c>
      <c r="Y261" s="124" t="str">
        <f>IF($B261="","",IF(Y$3=0,"n.b.",INDEX(SRC_ZPMW03!$A$1:$ZZ$501,$A261,Y$3)))</f>
        <v/>
      </c>
      <c r="Z261" s="124" t="str">
        <f>IF($B261="","",IF(Z$3=0,"n.b.",INDEX(SRC_ZPMW03!$A$1:$ZZ$501,$A261,Z$3)))</f>
        <v/>
      </c>
      <c r="AA261" s="124" t="str">
        <f>IF($B261="","",IF(AA$3=0,"n.b.",INDEX(SRC_ZPMW03!$A$1:$ZZ$501,$A261,AA$3)))</f>
        <v/>
      </c>
      <c r="AB261" s="124" t="str">
        <f>IF($B261="","",IF(AB$3=0,"n.b.",INDEX(SRC_ZPMW03!$A$1:$ZZ$501,$A261,AB$3)))</f>
        <v/>
      </c>
      <c r="AC261" s="124" t="str">
        <f>IF($B261="","",IF(AC$3=0,"n.b.",INDEX(SRC_ZPMW03!$A$1:$ZZ$501,$A261,AC$3)))</f>
        <v/>
      </c>
      <c r="AD261" s="124" t="str">
        <f>IF($B261="","",IF(AD$3=0,"n.b.",INDEX(SRC_ZPMW03!$A$1:$ZZ$501,$A261,AD$3)))</f>
        <v/>
      </c>
      <c r="AE261" s="124" t="str">
        <f>IF($B261="","",IF(AE$3=0,"n.b.",INDEX(SRC_ZPMW03!$A$1:$ZZ$501,$A261,AE$3)))</f>
        <v/>
      </c>
      <c r="AF261" s="124" t="str">
        <f>IF($B261="","",IF(AF$3=0,"n.b.",INDEX(SRC_ZPMW03!$A$1:$ZZ$501,$A261,AF$3)))</f>
        <v/>
      </c>
      <c r="AG261" s="124" t="str">
        <f>IF($B261="","",IF(AG$3=0,"n.b.",INDEX(SRC_ZPMW03!$A$1:$ZZ$501,$A261,AG$3)))</f>
        <v/>
      </c>
      <c r="AH261" s="124" t="str">
        <f>IF($B261="","",IF(AH$3=0,"n.b.",INDEX(SRC_ZPMW03!$A$1:$ZZ$501,$A261,AH$3)))</f>
        <v/>
      </c>
      <c r="AI261" s="124" t="str">
        <f>IF($B261="","",IF(AI$3=0,"n.b.",INDEX(SRC_ZPMW03!$A$1:$ZZ$501,$A261,AI$3)))</f>
        <v/>
      </c>
      <c r="AJ261" s="124" t="str">
        <f>IF($B261="","",IF(AJ$3=0,"n.b.",INDEX(SRC_ZPMW03!$A$1:$ZZ$501,$A261,AJ$3)))</f>
        <v/>
      </c>
      <c r="AK261" s="124" t="str">
        <f>IF($B261="","",IF(AK$3=0,"n.b.",INDEX(SRC_ZPMW03!$A$1:$ZZ$501,$A261,AK$3)))</f>
        <v/>
      </c>
      <c r="AL261" s="124" t="str">
        <f>IF($B261="","",IF(AL$3=0,"n.b.",INDEX(SRC_ZPMW03!$A$1:$ZZ$501,$A261,AL$3)))</f>
        <v/>
      </c>
      <c r="AM261" s="124" t="str">
        <f>IF($B261="","",IF(AM$3=0,"n.b.",INDEX(SRC_ZPMW03!$A$1:$ZZ$501,$A261,AM$3)))</f>
        <v/>
      </c>
      <c r="AN261" s="124" t="str">
        <f>IF($B261="","",IF(AN$3=0,"n.b.",INDEX(SRC_ZPMW03!$A$1:$ZZ$501,$A261,AN$3)))</f>
        <v/>
      </c>
      <c r="AO261" s="124" t="str">
        <f>IF($B261="","",IF(AO$3=0,"n.b.",INDEX(SRC_ZPMW03!$A$1:$ZZ$501,$A261,AO$3)))</f>
        <v/>
      </c>
      <c r="AP261" s="124" t="str">
        <f>IF($B261="","",IF(AP$3=0,"n.b.",INDEX(SRC_ZPMW03!$A$1:$ZZ$501,$A261,AP$3)))</f>
        <v/>
      </c>
      <c r="AQ261" s="124" t="str">
        <f>IF($B261="","",IF(AQ$3=0,"n.b.",INDEX(SRC_ZPMW03!$A$1:$ZZ$501,$A261,AQ$3)))</f>
        <v/>
      </c>
      <c r="AR261" s="124" t="str">
        <f>IF($B261="","",IF(AR$3=0,"n.b.",INDEX(SRC_ZPMW03!$A$1:$ZZ$501,$A261,AR$3)))</f>
        <v/>
      </c>
      <c r="AS261" s="124" t="str">
        <f>IF($B261="","",IF(AS$3=0,"n.b.",INDEX(SRC_ZPMW03!$A$1:$ZZ$501,$A261,AS$3)))</f>
        <v/>
      </c>
      <c r="AT261" s="124" t="str">
        <f>IF($B261="","",IF(AT$3=0,"n.b.",INDEX(SRC_ZPMW03!$A$1:$ZZ$501,$A261,AT$3)))</f>
        <v/>
      </c>
      <c r="AU261" s="124" t="str">
        <f>IF($B261="","",IF(AU$3=0,"n.b.",INDEX(SRC_ZPMW03!$A$1:$ZZ$501,$A261,AU$3)))</f>
        <v/>
      </c>
      <c r="AV261" s="124" t="str">
        <f>IF($B261="","",IF(AV$3=0,"n.b.",INDEX(SRC_ZPMW03!$A$1:$ZZ$501,$A261,AV$3)))</f>
        <v/>
      </c>
      <c r="AW261" s="124" t="str">
        <f>IF($B261="","",IF(AW$3=0,"n.b.",INDEX(SRC_ZPMW03!$A$1:$ZZ$501,$A261,AW$3)))</f>
        <v/>
      </c>
      <c r="AX261" s="124" t="str">
        <f>IF($B261="","",IF(AX$3=0,"n.b.",INDEX(SRC_ZPMW03!$A$1:$ZZ$501,$A261,AX$3)))</f>
        <v/>
      </c>
      <c r="AY261" s="124" t="str">
        <f>IF($B261="","",IF(AY$3=0,"n.b.",INDEX(SRC_ZPMW03!$A$1:$ZZ$501,$A261,AY$3)))</f>
        <v/>
      </c>
      <c r="AZ261" s="124" t="str">
        <f>IF($B261="","",IF(AZ$3=0,"n.b.",INDEX(SRC_ZPMW03!$A$1:$ZZ$501,$A261,AZ$3)))</f>
        <v/>
      </c>
      <c r="BA261" s="124" t="str">
        <f>IF($B261="","",IF(BA$3=0,"n.b.",INDEX(SRC_ZPMW03!$A$1:$ZZ$501,$A261,BA$3)))</f>
        <v/>
      </c>
      <c r="BB261" s="124" t="str">
        <f>IF($B261="","",IF(BB$3=0,"n.b.",INDEX(SRC_ZPMW03!$A$1:$ZZ$501,$A261,BB$3)))</f>
        <v/>
      </c>
      <c r="BC261" s="124" t="str">
        <f>IF($B261="","",IF(BC$3=0,"n.b.",INDEX(SRC_ZPMW03!$A$1:$ZZ$501,$A261,BC$3)))</f>
        <v/>
      </c>
      <c r="BD261" s="124" t="str">
        <f>IF($B261="","",IF(BD$3=0,"n.b.",INDEX(SRC_ZPMW03!$A$1:$ZZ$501,$A261,BD$3)))</f>
        <v/>
      </c>
      <c r="BE261" s="124" t="str">
        <f>IF($B261="","",IF(BE$3=0,"n.b.",INDEX(SRC_ZPMW03!$A$1:$ZZ$501,$A261,BE$3)))</f>
        <v/>
      </c>
      <c r="BF261" s="124" t="str">
        <f>IF($B261="","",IF(BF$3=0,"n.b.",INDEX(SRC_ZPMW03!$A$1:$ZZ$501,$A261,BF$3)))</f>
        <v/>
      </c>
      <c r="BG261" t="str">
        <f>IF($B261="","",IF(BG$3=0,"n.b.",INDEX(SRC_ZPMW03!$A$1:$ZZ$501,$A261,BG$3)))</f>
        <v/>
      </c>
      <c r="BH261" t="str">
        <f>IF($B261="","",IF(BH$3=0,"n.b.",INDEX(SRC_ZPMW03!$A$1:$ZZ$501,$A261,BH$3)))</f>
        <v/>
      </c>
      <c r="BI261" t="str">
        <f>IF($B261="","",IF(BI$3=0,"n.b.",INDEX(SRC_ZPMW03!$A$1:$ZZ$501,$A261,BI$3)))</f>
        <v/>
      </c>
      <c r="BJ261" t="str">
        <f>IF($B261="","",IF(BJ$3=0,"n.b.",INDEX(SRC_ZPMW03!$A$1:$ZZ$501,$A261,BJ$3)))</f>
        <v/>
      </c>
      <c r="BK261" s="124" t="str">
        <f>IF($B261="","",IFERROR(-O261,"n.b."))</f>
        <v/>
      </c>
      <c r="BL261" s="124" t="str">
        <f>IF($B261="","",IFERROR(-Q261,"n.b."))</f>
        <v/>
      </c>
      <c r="BM261" s="124" t="str">
        <f>IF($B261="","",IFERROR(-AB261,"n.b."))</f>
        <v/>
      </c>
      <c r="BN261" s="124" t="str">
        <f>IF($B261="","",IFERROR(-AD261,"n.b."))</f>
        <v/>
      </c>
      <c r="BO261" s="124" t="str">
        <f>IF($B261="","",IFERROR(BK261+BM261,"n.b."))</f>
        <v/>
      </c>
      <c r="BP261" s="124" t="str">
        <f>IF($B261="","",IFERROR(BL261+BN261,"n.b."))</f>
        <v/>
      </c>
      <c r="BQ261" s="124" t="str">
        <f>IF($B261="","",IFERROR(-AM261,"n.b."))</f>
        <v/>
      </c>
      <c r="BR261" s="124" t="str">
        <f>IF($B261="","",IFERROR(-AO261,"n.b."))</f>
        <v/>
      </c>
      <c r="BS261" s="124" t="str">
        <f>IF($B261="","",IFERROR(-Z261,"n.b."))</f>
        <v/>
      </c>
      <c r="BT261" s="124" t="str">
        <f>IF($B261="","",IFERROR(-AA261,"n.b."))</f>
        <v/>
      </c>
      <c r="BU261" s="124" t="str">
        <f>IF($B261="","",IFERROR(-AE261,"n.b."))</f>
        <v/>
      </c>
      <c r="BV261" s="124" t="str">
        <f>IF($B261="","",IFERROR(-AF261,"n.b."))</f>
        <v/>
      </c>
      <c r="BW261" s="124" t="str">
        <f>IF($B261="","",IFERROR(-AG261,"n.b."))</f>
        <v/>
      </c>
      <c r="BX261" s="124" t="str">
        <f>IF($B261="","",IFERROR(-AH261,"n.b."))</f>
        <v/>
      </c>
      <c r="BY261" s="124" t="str">
        <f>IF($B261="","",IFERROR(-AI261,"n.b."))</f>
        <v/>
      </c>
      <c r="BZ261" s="124" t="str">
        <f>IF($B261="","",IFERROR(-AJ261,"n.b."))</f>
        <v/>
      </c>
      <c r="CA261" s="124" t="str">
        <f>IF($B261="","",IFERROR(-AK261,"n.b."))</f>
        <v/>
      </c>
      <c r="CB261" s="124" t="str">
        <f>IF($B261="","",IFERROR(-AL261,"n.b."))</f>
        <v/>
      </c>
      <c r="CC261" s="124" t="str">
        <f>IF($B261="","",IFERROR(-AP261,"n.b."))</f>
        <v/>
      </c>
      <c r="CD261" s="124" t="str">
        <f>IF($B261="","",IFERROR(-AQ261,"n.b."))</f>
        <v/>
      </c>
      <c r="CE261" s="124" t="str">
        <f>IF($B261="","",IFERROR(-AR261,"n.b."))</f>
        <v/>
      </c>
      <c r="CF261" s="124" t="str">
        <f>IF($B261="","",IFERROR(-AS261,"n.b."))</f>
        <v/>
      </c>
      <c r="CG261" s="124" t="str">
        <f>IF($B261="","",IFERROR(-AT261,"n.b."))</f>
        <v/>
      </c>
      <c r="CH261" s="124" t="str">
        <f>IF($B261="","",IFERROR(-AU261,"n.b."))</f>
        <v/>
      </c>
      <c r="CI261" s="124" t="str">
        <f>IF($B261="","",IFERROR(-AV261,"n.b."))</f>
        <v/>
      </c>
      <c r="CJ261" s="124" t="str">
        <f>IF($B261="","",IFERROR(-AW261,"n.b."))</f>
        <v/>
      </c>
      <c r="CK261" s="124" t="str">
        <f>IF($B261="","",IFERROR(-AX261,"n.b."))</f>
        <v/>
      </c>
      <c r="CL261" s="124" t="str">
        <f>IF($B261="","",IFERROR(-AY261,"n.b."))</f>
        <v/>
      </c>
      <c r="CM261" s="124" t="str">
        <f>IF($B261="","",IFERROR(-AZ261,"n.b."))</f>
        <v/>
      </c>
      <c r="CN261" s="124" t="str">
        <f>IF($B261="","",IFERROR(-BA261,"n.b."))</f>
        <v/>
      </c>
      <c r="CO261" s="124" t="str">
        <f>IF($B261="","",IFERROR(-BB261,"n.b."))</f>
        <v/>
      </c>
      <c r="CP261" s="124" t="str">
        <f>IF($B261="","",IFERROR(-BC261,"n.b."))</f>
        <v/>
      </c>
      <c r="CQ261" s="124" t="str">
        <f>IF($B261="","",IFERROR(-BD261,"n.b."))</f>
        <v/>
      </c>
      <c r="CR261" s="124" t="str">
        <f>IF($B261="","",IFERROR(-BE261,"n.b."))</f>
        <v/>
      </c>
      <c r="CS261" s="124" t="str">
        <f>IF($B261="","",IFERROR(IF(OR(ABS(T261+V261+X261+Z261-AB261)&gt;P_Tol,ABS(U261+W261+Y261+AA261-AD261)&gt;P_Tol,ABS(AE261+AG261+AI261+AK261-AM261)&gt;P_Tol,ABS(AF261+AH261+AJ261+AL261-AO261)&gt;P_Tol),1,0),1))</f>
        <v/>
      </c>
      <c r="CT261" s="124" t="str">
        <f>IF($B261="","",IFERROR(IF(OR(ABS(AB261+AC261-AD261)&gt;P_Tol,ABS(AM261+AN261-AO261)&gt;P_Tol,ABS(O261+P261-Q261)&gt;P_Tol),1,0),1))</f>
        <v/>
      </c>
      <c r="CU261" s="124" t="str">
        <f>IF($B261="","",IFERROR(IF(ABS(R261-(AB261+AM261+AP261+AR261+AT261+AV261+AX261+AZ261+BB261+BD261))&gt;P_Tol,1,0),1))</f>
        <v/>
      </c>
      <c r="CV261" s="124" t="str">
        <f>IF($B261="","",IFERROR(IF(ABS(M261-(N261+O261+R261))&gt;P_Tol,1,0),1))</f>
        <v/>
      </c>
      <c r="CW261" s="124" t="str">
        <f>IF($B261="","",IF(COUNTIF(Mapping!$A$5:$A$104,B261)&gt;0,1,0))</f>
        <v/>
      </c>
      <c r="CX261" s="124" t="str">
        <f>IF($B261="","",COUNTIF($B$6:$B$505,B261))</f>
        <v/>
      </c>
      <c r="CY261" s="124" t="str">
        <f>IF($B261="","",COUNTIF(STG_Woningetalage!$B$6:$B$505,B261))</f>
        <v/>
      </c>
      <c r="CZ261" s="124" t="str">
        <f>IF($B261="","",IF(CW261=0,COUNTIF($CW$6:CW261,0),""))</f>
        <v/>
      </c>
    </row>
    <row r="262">
      <c r="A262" s="15" t="n">
        <v>258</v>
      </c>
      <c r="B262" t="str">
        <f>IF(B$3=0,"",IF(INDEX(SRC_ZPMW03!$A$1:$ZZ$501,$A262,B$3)&amp;""="","",INDEX(SRC_ZPMW03!$A$1:$ZZ$501,$A262,B$3)&amp;""))</f>
        <v/>
      </c>
      <c r="C262" t="str">
        <f>IF($B262="","",IF(C$3=0,"n.b.",INDEX(SRC_ZPMW03!$A$1:$ZZ$501,$A262,C$3)))</f>
        <v/>
      </c>
      <c r="D262" t="str">
        <f>IF($B262="","",IF(D$3=0,"n.b.",INDEX(SRC_ZPMW03!$A$1:$ZZ$501,$A262,D$3)))</f>
        <v/>
      </c>
      <c r="E262" t="str">
        <f>IF($B262="","",IF(E$3=0,"n.b.",INDEX(SRC_ZPMW03!$A$1:$ZZ$501,$A262,E$3)))</f>
        <v/>
      </c>
      <c r="F262" t="str">
        <f>IF($B262="","",IF(F$3=0,"n.b.",INDEX(SRC_ZPMW03!$A$1:$ZZ$501,$A262,F$3)))</f>
        <v/>
      </c>
      <c r="G262" t="str">
        <f>IF($B262="","",IF(G$3=0,"n.b.",INDEX(SRC_ZPMW03!$A$1:$ZZ$501,$A262,G$3)))</f>
        <v/>
      </c>
      <c r="H262" t="str">
        <f>IF($B262="","",IF(H$3=0,"n.b.",INDEX(SRC_ZPMW03!$A$1:$ZZ$501,$A262,H$3)))</f>
        <v/>
      </c>
      <c r="I262" t="str">
        <f>IF($B262="","",IF(I$3=0,"n.b.",INDEX(SRC_ZPMW03!$A$1:$ZZ$501,$A262,I$3)))</f>
        <v/>
      </c>
      <c r="J262" t="str">
        <f>IF($B262="","",IF(J$3=0,"n.b.",INDEX(SRC_ZPMW03!$A$1:$ZZ$501,$A262,J$3)))</f>
        <v/>
      </c>
      <c r="K262" t="str">
        <f>IF($B262="","",IF(K$3=0,"n.b.",INDEX(SRC_ZPMW03!$A$1:$ZZ$501,$A262,K$3)))</f>
        <v/>
      </c>
      <c r="L262" s="124" t="str">
        <f>IF($B262="","",IF(L$3=0,"n.b.",INDEX(SRC_ZPMW03!$A$1:$ZZ$501,$A262,L$3)))</f>
        <v/>
      </c>
      <c r="M262" s="124" t="str">
        <f>IF($B262="","",IF(M$3=0,"n.b.",INDEX(SRC_ZPMW03!$A$1:$ZZ$501,$A262,M$3)))</f>
        <v/>
      </c>
      <c r="N262" s="124" t="str">
        <f>IF($B262="","",IF(N$3=0,"n.b.",INDEX(SRC_ZPMW03!$A$1:$ZZ$501,$A262,N$3)))</f>
        <v/>
      </c>
      <c r="O262" s="124" t="str">
        <f>IF($B262="","",IF(O$3=0,"n.b.",INDEX(SRC_ZPMW03!$A$1:$ZZ$501,$A262,O$3)))</f>
        <v/>
      </c>
      <c r="P262" s="124" t="str">
        <f>IF($B262="","",IF(P$3=0,"n.b.",INDEX(SRC_ZPMW03!$A$1:$ZZ$501,$A262,P$3)))</f>
        <v/>
      </c>
      <c r="Q262" s="124" t="str">
        <f>IF($B262="","",IF(Q$3=0,"n.b.",INDEX(SRC_ZPMW03!$A$1:$ZZ$501,$A262,Q$3)))</f>
        <v/>
      </c>
      <c r="R262" s="124" t="str">
        <f>IF($B262="","",IF(R$3=0,"n.b.",INDEX(SRC_ZPMW03!$A$1:$ZZ$501,$A262,R$3)))</f>
        <v/>
      </c>
      <c r="S262" s="124" t="str">
        <f>IF($B262="","",IF(S$3=0,"n.b.",INDEX(SRC_ZPMW03!$A$1:$ZZ$501,$A262,S$3)))</f>
        <v/>
      </c>
      <c r="T262" s="124" t="str">
        <f>IF($B262="","",IF(T$3=0,"n.b.",INDEX(SRC_ZPMW03!$A$1:$ZZ$501,$A262,T$3)))</f>
        <v/>
      </c>
      <c r="U262" s="124" t="str">
        <f>IF($B262="","",IF(U$3=0,"n.b.",INDEX(SRC_ZPMW03!$A$1:$ZZ$501,$A262,U$3)))</f>
        <v/>
      </c>
      <c r="V262" s="124" t="str">
        <f>IF($B262="","",IF(V$3=0,"n.b.",INDEX(SRC_ZPMW03!$A$1:$ZZ$501,$A262,V$3)))</f>
        <v/>
      </c>
      <c r="W262" s="124" t="str">
        <f>IF($B262="","",IF(W$3=0,"n.b.",INDEX(SRC_ZPMW03!$A$1:$ZZ$501,$A262,W$3)))</f>
        <v/>
      </c>
      <c r="X262" s="124" t="str">
        <f>IF($B262="","",IF(X$3=0,"n.b.",INDEX(SRC_ZPMW03!$A$1:$ZZ$501,$A262,X$3)))</f>
        <v/>
      </c>
      <c r="Y262" s="124" t="str">
        <f>IF($B262="","",IF(Y$3=0,"n.b.",INDEX(SRC_ZPMW03!$A$1:$ZZ$501,$A262,Y$3)))</f>
        <v/>
      </c>
      <c r="Z262" s="124" t="str">
        <f>IF($B262="","",IF(Z$3=0,"n.b.",INDEX(SRC_ZPMW03!$A$1:$ZZ$501,$A262,Z$3)))</f>
        <v/>
      </c>
      <c r="AA262" s="124" t="str">
        <f>IF($B262="","",IF(AA$3=0,"n.b.",INDEX(SRC_ZPMW03!$A$1:$ZZ$501,$A262,AA$3)))</f>
        <v/>
      </c>
      <c r="AB262" s="124" t="str">
        <f>IF($B262="","",IF(AB$3=0,"n.b.",INDEX(SRC_ZPMW03!$A$1:$ZZ$501,$A262,AB$3)))</f>
        <v/>
      </c>
      <c r="AC262" s="124" t="str">
        <f>IF($B262="","",IF(AC$3=0,"n.b.",INDEX(SRC_ZPMW03!$A$1:$ZZ$501,$A262,AC$3)))</f>
        <v/>
      </c>
      <c r="AD262" s="124" t="str">
        <f>IF($B262="","",IF(AD$3=0,"n.b.",INDEX(SRC_ZPMW03!$A$1:$ZZ$501,$A262,AD$3)))</f>
        <v/>
      </c>
      <c r="AE262" s="124" t="str">
        <f>IF($B262="","",IF(AE$3=0,"n.b.",INDEX(SRC_ZPMW03!$A$1:$ZZ$501,$A262,AE$3)))</f>
        <v/>
      </c>
      <c r="AF262" s="124" t="str">
        <f>IF($B262="","",IF(AF$3=0,"n.b.",INDEX(SRC_ZPMW03!$A$1:$ZZ$501,$A262,AF$3)))</f>
        <v/>
      </c>
      <c r="AG262" s="124" t="str">
        <f>IF($B262="","",IF(AG$3=0,"n.b.",INDEX(SRC_ZPMW03!$A$1:$ZZ$501,$A262,AG$3)))</f>
        <v/>
      </c>
      <c r="AH262" s="124" t="str">
        <f>IF($B262="","",IF(AH$3=0,"n.b.",INDEX(SRC_ZPMW03!$A$1:$ZZ$501,$A262,AH$3)))</f>
        <v/>
      </c>
      <c r="AI262" s="124" t="str">
        <f>IF($B262="","",IF(AI$3=0,"n.b.",INDEX(SRC_ZPMW03!$A$1:$ZZ$501,$A262,AI$3)))</f>
        <v/>
      </c>
      <c r="AJ262" s="124" t="str">
        <f>IF($B262="","",IF(AJ$3=0,"n.b.",INDEX(SRC_ZPMW03!$A$1:$ZZ$501,$A262,AJ$3)))</f>
        <v/>
      </c>
      <c r="AK262" s="124" t="str">
        <f>IF($B262="","",IF(AK$3=0,"n.b.",INDEX(SRC_ZPMW03!$A$1:$ZZ$501,$A262,AK$3)))</f>
        <v/>
      </c>
      <c r="AL262" s="124" t="str">
        <f>IF($B262="","",IF(AL$3=0,"n.b.",INDEX(SRC_ZPMW03!$A$1:$ZZ$501,$A262,AL$3)))</f>
        <v/>
      </c>
      <c r="AM262" s="124" t="str">
        <f>IF($B262="","",IF(AM$3=0,"n.b.",INDEX(SRC_ZPMW03!$A$1:$ZZ$501,$A262,AM$3)))</f>
        <v/>
      </c>
      <c r="AN262" s="124" t="str">
        <f>IF($B262="","",IF(AN$3=0,"n.b.",INDEX(SRC_ZPMW03!$A$1:$ZZ$501,$A262,AN$3)))</f>
        <v/>
      </c>
      <c r="AO262" s="124" t="str">
        <f>IF($B262="","",IF(AO$3=0,"n.b.",INDEX(SRC_ZPMW03!$A$1:$ZZ$501,$A262,AO$3)))</f>
        <v/>
      </c>
      <c r="AP262" s="124" t="str">
        <f>IF($B262="","",IF(AP$3=0,"n.b.",INDEX(SRC_ZPMW03!$A$1:$ZZ$501,$A262,AP$3)))</f>
        <v/>
      </c>
      <c r="AQ262" s="124" t="str">
        <f>IF($B262="","",IF(AQ$3=0,"n.b.",INDEX(SRC_ZPMW03!$A$1:$ZZ$501,$A262,AQ$3)))</f>
        <v/>
      </c>
      <c r="AR262" s="124" t="str">
        <f>IF($B262="","",IF(AR$3=0,"n.b.",INDEX(SRC_ZPMW03!$A$1:$ZZ$501,$A262,AR$3)))</f>
        <v/>
      </c>
      <c r="AS262" s="124" t="str">
        <f>IF($B262="","",IF(AS$3=0,"n.b.",INDEX(SRC_ZPMW03!$A$1:$ZZ$501,$A262,AS$3)))</f>
        <v/>
      </c>
      <c r="AT262" s="124" t="str">
        <f>IF($B262="","",IF(AT$3=0,"n.b.",INDEX(SRC_ZPMW03!$A$1:$ZZ$501,$A262,AT$3)))</f>
        <v/>
      </c>
      <c r="AU262" s="124" t="str">
        <f>IF($B262="","",IF(AU$3=0,"n.b.",INDEX(SRC_ZPMW03!$A$1:$ZZ$501,$A262,AU$3)))</f>
        <v/>
      </c>
      <c r="AV262" s="124" t="str">
        <f>IF($B262="","",IF(AV$3=0,"n.b.",INDEX(SRC_ZPMW03!$A$1:$ZZ$501,$A262,AV$3)))</f>
        <v/>
      </c>
      <c r="AW262" s="124" t="str">
        <f>IF($B262="","",IF(AW$3=0,"n.b.",INDEX(SRC_ZPMW03!$A$1:$ZZ$501,$A262,AW$3)))</f>
        <v/>
      </c>
      <c r="AX262" s="124" t="str">
        <f>IF($B262="","",IF(AX$3=0,"n.b.",INDEX(SRC_ZPMW03!$A$1:$ZZ$501,$A262,AX$3)))</f>
        <v/>
      </c>
      <c r="AY262" s="124" t="str">
        <f>IF($B262="","",IF(AY$3=0,"n.b.",INDEX(SRC_ZPMW03!$A$1:$ZZ$501,$A262,AY$3)))</f>
        <v/>
      </c>
      <c r="AZ262" s="124" t="str">
        <f>IF($B262="","",IF(AZ$3=0,"n.b.",INDEX(SRC_ZPMW03!$A$1:$ZZ$501,$A262,AZ$3)))</f>
        <v/>
      </c>
      <c r="BA262" s="124" t="str">
        <f>IF($B262="","",IF(BA$3=0,"n.b.",INDEX(SRC_ZPMW03!$A$1:$ZZ$501,$A262,BA$3)))</f>
        <v/>
      </c>
      <c r="BB262" s="124" t="str">
        <f>IF($B262="","",IF(BB$3=0,"n.b.",INDEX(SRC_ZPMW03!$A$1:$ZZ$501,$A262,BB$3)))</f>
        <v/>
      </c>
      <c r="BC262" s="124" t="str">
        <f>IF($B262="","",IF(BC$3=0,"n.b.",INDEX(SRC_ZPMW03!$A$1:$ZZ$501,$A262,BC$3)))</f>
        <v/>
      </c>
      <c r="BD262" s="124" t="str">
        <f>IF($B262="","",IF(BD$3=0,"n.b.",INDEX(SRC_ZPMW03!$A$1:$ZZ$501,$A262,BD$3)))</f>
        <v/>
      </c>
      <c r="BE262" s="124" t="str">
        <f>IF($B262="","",IF(BE$3=0,"n.b.",INDEX(SRC_ZPMW03!$A$1:$ZZ$501,$A262,BE$3)))</f>
        <v/>
      </c>
      <c r="BF262" s="124" t="str">
        <f>IF($B262="","",IF(BF$3=0,"n.b.",INDEX(SRC_ZPMW03!$A$1:$ZZ$501,$A262,BF$3)))</f>
        <v/>
      </c>
      <c r="BG262" t="str">
        <f>IF($B262="","",IF(BG$3=0,"n.b.",INDEX(SRC_ZPMW03!$A$1:$ZZ$501,$A262,BG$3)))</f>
        <v/>
      </c>
      <c r="BH262" t="str">
        <f>IF($B262="","",IF(BH$3=0,"n.b.",INDEX(SRC_ZPMW03!$A$1:$ZZ$501,$A262,BH$3)))</f>
        <v/>
      </c>
      <c r="BI262" t="str">
        <f>IF($B262="","",IF(BI$3=0,"n.b.",INDEX(SRC_ZPMW03!$A$1:$ZZ$501,$A262,BI$3)))</f>
        <v/>
      </c>
      <c r="BJ262" t="str">
        <f>IF($B262="","",IF(BJ$3=0,"n.b.",INDEX(SRC_ZPMW03!$A$1:$ZZ$501,$A262,BJ$3)))</f>
        <v/>
      </c>
      <c r="BK262" s="124" t="str">
        <f>IF($B262="","",IFERROR(-O262,"n.b."))</f>
        <v/>
      </c>
      <c r="BL262" s="124" t="str">
        <f>IF($B262="","",IFERROR(-Q262,"n.b."))</f>
        <v/>
      </c>
      <c r="BM262" s="124" t="str">
        <f>IF($B262="","",IFERROR(-AB262,"n.b."))</f>
        <v/>
      </c>
      <c r="BN262" s="124" t="str">
        <f>IF($B262="","",IFERROR(-AD262,"n.b."))</f>
        <v/>
      </c>
      <c r="BO262" s="124" t="str">
        <f>IF($B262="","",IFERROR(BK262+BM262,"n.b."))</f>
        <v/>
      </c>
      <c r="BP262" s="124" t="str">
        <f>IF($B262="","",IFERROR(BL262+BN262,"n.b."))</f>
        <v/>
      </c>
      <c r="BQ262" s="124" t="str">
        <f>IF($B262="","",IFERROR(-AM262,"n.b."))</f>
        <v/>
      </c>
      <c r="BR262" s="124" t="str">
        <f>IF($B262="","",IFERROR(-AO262,"n.b."))</f>
        <v/>
      </c>
      <c r="BS262" s="124" t="str">
        <f>IF($B262="","",IFERROR(-Z262,"n.b."))</f>
        <v/>
      </c>
      <c r="BT262" s="124" t="str">
        <f>IF($B262="","",IFERROR(-AA262,"n.b."))</f>
        <v/>
      </c>
      <c r="BU262" s="124" t="str">
        <f>IF($B262="","",IFERROR(-AE262,"n.b."))</f>
        <v/>
      </c>
      <c r="BV262" s="124" t="str">
        <f>IF($B262="","",IFERROR(-AF262,"n.b."))</f>
        <v/>
      </c>
      <c r="BW262" s="124" t="str">
        <f>IF($B262="","",IFERROR(-AG262,"n.b."))</f>
        <v/>
      </c>
      <c r="BX262" s="124" t="str">
        <f>IF($B262="","",IFERROR(-AH262,"n.b."))</f>
        <v/>
      </c>
      <c r="BY262" s="124" t="str">
        <f>IF($B262="","",IFERROR(-AI262,"n.b."))</f>
        <v/>
      </c>
      <c r="BZ262" s="124" t="str">
        <f>IF($B262="","",IFERROR(-AJ262,"n.b."))</f>
        <v/>
      </c>
      <c r="CA262" s="124" t="str">
        <f>IF($B262="","",IFERROR(-AK262,"n.b."))</f>
        <v/>
      </c>
      <c r="CB262" s="124" t="str">
        <f>IF($B262="","",IFERROR(-AL262,"n.b."))</f>
        <v/>
      </c>
      <c r="CC262" s="124" t="str">
        <f>IF($B262="","",IFERROR(-AP262,"n.b."))</f>
        <v/>
      </c>
      <c r="CD262" s="124" t="str">
        <f>IF($B262="","",IFERROR(-AQ262,"n.b."))</f>
        <v/>
      </c>
      <c r="CE262" s="124" t="str">
        <f>IF($B262="","",IFERROR(-AR262,"n.b."))</f>
        <v/>
      </c>
      <c r="CF262" s="124" t="str">
        <f>IF($B262="","",IFERROR(-AS262,"n.b."))</f>
        <v/>
      </c>
      <c r="CG262" s="124" t="str">
        <f>IF($B262="","",IFERROR(-AT262,"n.b."))</f>
        <v/>
      </c>
      <c r="CH262" s="124" t="str">
        <f>IF($B262="","",IFERROR(-AU262,"n.b."))</f>
        <v/>
      </c>
      <c r="CI262" s="124" t="str">
        <f>IF($B262="","",IFERROR(-AV262,"n.b."))</f>
        <v/>
      </c>
      <c r="CJ262" s="124" t="str">
        <f>IF($B262="","",IFERROR(-AW262,"n.b."))</f>
        <v/>
      </c>
      <c r="CK262" s="124" t="str">
        <f>IF($B262="","",IFERROR(-AX262,"n.b."))</f>
        <v/>
      </c>
      <c r="CL262" s="124" t="str">
        <f>IF($B262="","",IFERROR(-AY262,"n.b."))</f>
        <v/>
      </c>
      <c r="CM262" s="124" t="str">
        <f>IF($B262="","",IFERROR(-AZ262,"n.b."))</f>
        <v/>
      </c>
      <c r="CN262" s="124" t="str">
        <f>IF($B262="","",IFERROR(-BA262,"n.b."))</f>
        <v/>
      </c>
      <c r="CO262" s="124" t="str">
        <f>IF($B262="","",IFERROR(-BB262,"n.b."))</f>
        <v/>
      </c>
      <c r="CP262" s="124" t="str">
        <f>IF($B262="","",IFERROR(-BC262,"n.b."))</f>
        <v/>
      </c>
      <c r="CQ262" s="124" t="str">
        <f>IF($B262="","",IFERROR(-BD262,"n.b."))</f>
        <v/>
      </c>
      <c r="CR262" s="124" t="str">
        <f>IF($B262="","",IFERROR(-BE262,"n.b."))</f>
        <v/>
      </c>
      <c r="CS262" s="124" t="str">
        <f>IF($B262="","",IFERROR(IF(OR(ABS(T262+V262+X262+Z262-AB262)&gt;P_Tol,ABS(U262+W262+Y262+AA262-AD262)&gt;P_Tol,ABS(AE262+AG262+AI262+AK262-AM262)&gt;P_Tol,ABS(AF262+AH262+AJ262+AL262-AO262)&gt;P_Tol),1,0),1))</f>
        <v/>
      </c>
      <c r="CT262" s="124" t="str">
        <f>IF($B262="","",IFERROR(IF(OR(ABS(AB262+AC262-AD262)&gt;P_Tol,ABS(AM262+AN262-AO262)&gt;P_Tol,ABS(O262+P262-Q262)&gt;P_Tol),1,0),1))</f>
        <v/>
      </c>
      <c r="CU262" s="124" t="str">
        <f>IF($B262="","",IFERROR(IF(ABS(R262-(AB262+AM262+AP262+AR262+AT262+AV262+AX262+AZ262+BB262+BD262))&gt;P_Tol,1,0),1))</f>
        <v/>
      </c>
      <c r="CV262" s="124" t="str">
        <f>IF($B262="","",IFERROR(IF(ABS(M262-(N262+O262+R262))&gt;P_Tol,1,0),1))</f>
        <v/>
      </c>
      <c r="CW262" s="124" t="str">
        <f>IF($B262="","",IF(COUNTIF(Mapping!$A$5:$A$104,B262)&gt;0,1,0))</f>
        <v/>
      </c>
      <c r="CX262" s="124" t="str">
        <f>IF($B262="","",COUNTIF($B$6:$B$505,B262))</f>
        <v/>
      </c>
      <c r="CY262" s="124" t="str">
        <f>IF($B262="","",COUNTIF(STG_Woningetalage!$B$6:$B$505,B262))</f>
        <v/>
      </c>
      <c r="CZ262" s="124" t="str">
        <f>IF($B262="","",IF(CW262=0,COUNTIF($CW$6:CW262,0),""))</f>
        <v/>
      </c>
    </row>
    <row r="263">
      <c r="A263" s="15" t="n">
        <v>259</v>
      </c>
      <c r="B263" t="str">
        <f>IF(B$3=0,"",IF(INDEX(SRC_ZPMW03!$A$1:$ZZ$501,$A263,B$3)&amp;""="","",INDEX(SRC_ZPMW03!$A$1:$ZZ$501,$A263,B$3)&amp;""))</f>
        <v/>
      </c>
      <c r="C263" t="str">
        <f>IF($B263="","",IF(C$3=0,"n.b.",INDEX(SRC_ZPMW03!$A$1:$ZZ$501,$A263,C$3)))</f>
        <v/>
      </c>
      <c r="D263" t="str">
        <f>IF($B263="","",IF(D$3=0,"n.b.",INDEX(SRC_ZPMW03!$A$1:$ZZ$501,$A263,D$3)))</f>
        <v/>
      </c>
      <c r="E263" t="str">
        <f>IF($B263="","",IF(E$3=0,"n.b.",INDEX(SRC_ZPMW03!$A$1:$ZZ$501,$A263,E$3)))</f>
        <v/>
      </c>
      <c r="F263" t="str">
        <f>IF($B263="","",IF(F$3=0,"n.b.",INDEX(SRC_ZPMW03!$A$1:$ZZ$501,$A263,F$3)))</f>
        <v/>
      </c>
      <c r="G263" t="str">
        <f>IF($B263="","",IF(G$3=0,"n.b.",INDEX(SRC_ZPMW03!$A$1:$ZZ$501,$A263,G$3)))</f>
        <v/>
      </c>
      <c r="H263" t="str">
        <f>IF($B263="","",IF(H$3=0,"n.b.",INDEX(SRC_ZPMW03!$A$1:$ZZ$501,$A263,H$3)))</f>
        <v/>
      </c>
      <c r="I263" t="str">
        <f>IF($B263="","",IF(I$3=0,"n.b.",INDEX(SRC_ZPMW03!$A$1:$ZZ$501,$A263,I$3)))</f>
        <v/>
      </c>
      <c r="J263" t="str">
        <f>IF($B263="","",IF(J$3=0,"n.b.",INDEX(SRC_ZPMW03!$A$1:$ZZ$501,$A263,J$3)))</f>
        <v/>
      </c>
      <c r="K263" t="str">
        <f>IF($B263="","",IF(K$3=0,"n.b.",INDEX(SRC_ZPMW03!$A$1:$ZZ$501,$A263,K$3)))</f>
        <v/>
      </c>
      <c r="L263" s="124" t="str">
        <f>IF($B263="","",IF(L$3=0,"n.b.",INDEX(SRC_ZPMW03!$A$1:$ZZ$501,$A263,L$3)))</f>
        <v/>
      </c>
      <c r="M263" s="124" t="str">
        <f>IF($B263="","",IF(M$3=0,"n.b.",INDEX(SRC_ZPMW03!$A$1:$ZZ$501,$A263,M$3)))</f>
        <v/>
      </c>
      <c r="N263" s="124" t="str">
        <f>IF($B263="","",IF(N$3=0,"n.b.",INDEX(SRC_ZPMW03!$A$1:$ZZ$501,$A263,N$3)))</f>
        <v/>
      </c>
      <c r="O263" s="124" t="str">
        <f>IF($B263="","",IF(O$3=0,"n.b.",INDEX(SRC_ZPMW03!$A$1:$ZZ$501,$A263,O$3)))</f>
        <v/>
      </c>
      <c r="P263" s="124" t="str">
        <f>IF($B263="","",IF(P$3=0,"n.b.",INDEX(SRC_ZPMW03!$A$1:$ZZ$501,$A263,P$3)))</f>
        <v/>
      </c>
      <c r="Q263" s="124" t="str">
        <f>IF($B263="","",IF(Q$3=0,"n.b.",INDEX(SRC_ZPMW03!$A$1:$ZZ$501,$A263,Q$3)))</f>
        <v/>
      </c>
      <c r="R263" s="124" t="str">
        <f>IF($B263="","",IF(R$3=0,"n.b.",INDEX(SRC_ZPMW03!$A$1:$ZZ$501,$A263,R$3)))</f>
        <v/>
      </c>
      <c r="S263" s="124" t="str">
        <f>IF($B263="","",IF(S$3=0,"n.b.",INDEX(SRC_ZPMW03!$A$1:$ZZ$501,$A263,S$3)))</f>
        <v/>
      </c>
      <c r="T263" s="124" t="str">
        <f>IF($B263="","",IF(T$3=0,"n.b.",INDEX(SRC_ZPMW03!$A$1:$ZZ$501,$A263,T$3)))</f>
        <v/>
      </c>
      <c r="U263" s="124" t="str">
        <f>IF($B263="","",IF(U$3=0,"n.b.",INDEX(SRC_ZPMW03!$A$1:$ZZ$501,$A263,U$3)))</f>
        <v/>
      </c>
      <c r="V263" s="124" t="str">
        <f>IF($B263="","",IF(V$3=0,"n.b.",INDEX(SRC_ZPMW03!$A$1:$ZZ$501,$A263,V$3)))</f>
        <v/>
      </c>
      <c r="W263" s="124" t="str">
        <f>IF($B263="","",IF(W$3=0,"n.b.",INDEX(SRC_ZPMW03!$A$1:$ZZ$501,$A263,W$3)))</f>
        <v/>
      </c>
      <c r="X263" s="124" t="str">
        <f>IF($B263="","",IF(X$3=0,"n.b.",INDEX(SRC_ZPMW03!$A$1:$ZZ$501,$A263,X$3)))</f>
        <v/>
      </c>
      <c r="Y263" s="124" t="str">
        <f>IF($B263="","",IF(Y$3=0,"n.b.",INDEX(SRC_ZPMW03!$A$1:$ZZ$501,$A263,Y$3)))</f>
        <v/>
      </c>
      <c r="Z263" s="124" t="str">
        <f>IF($B263="","",IF(Z$3=0,"n.b.",INDEX(SRC_ZPMW03!$A$1:$ZZ$501,$A263,Z$3)))</f>
        <v/>
      </c>
      <c r="AA263" s="124" t="str">
        <f>IF($B263="","",IF(AA$3=0,"n.b.",INDEX(SRC_ZPMW03!$A$1:$ZZ$501,$A263,AA$3)))</f>
        <v/>
      </c>
      <c r="AB263" s="124" t="str">
        <f>IF($B263="","",IF(AB$3=0,"n.b.",INDEX(SRC_ZPMW03!$A$1:$ZZ$501,$A263,AB$3)))</f>
        <v/>
      </c>
      <c r="AC263" s="124" t="str">
        <f>IF($B263="","",IF(AC$3=0,"n.b.",INDEX(SRC_ZPMW03!$A$1:$ZZ$501,$A263,AC$3)))</f>
        <v/>
      </c>
      <c r="AD263" s="124" t="str">
        <f>IF($B263="","",IF(AD$3=0,"n.b.",INDEX(SRC_ZPMW03!$A$1:$ZZ$501,$A263,AD$3)))</f>
        <v/>
      </c>
      <c r="AE263" s="124" t="str">
        <f>IF($B263="","",IF(AE$3=0,"n.b.",INDEX(SRC_ZPMW03!$A$1:$ZZ$501,$A263,AE$3)))</f>
        <v/>
      </c>
      <c r="AF263" s="124" t="str">
        <f>IF($B263="","",IF(AF$3=0,"n.b.",INDEX(SRC_ZPMW03!$A$1:$ZZ$501,$A263,AF$3)))</f>
        <v/>
      </c>
      <c r="AG263" s="124" t="str">
        <f>IF($B263="","",IF(AG$3=0,"n.b.",INDEX(SRC_ZPMW03!$A$1:$ZZ$501,$A263,AG$3)))</f>
        <v/>
      </c>
      <c r="AH263" s="124" t="str">
        <f>IF($B263="","",IF(AH$3=0,"n.b.",INDEX(SRC_ZPMW03!$A$1:$ZZ$501,$A263,AH$3)))</f>
        <v/>
      </c>
      <c r="AI263" s="124" t="str">
        <f>IF($B263="","",IF(AI$3=0,"n.b.",INDEX(SRC_ZPMW03!$A$1:$ZZ$501,$A263,AI$3)))</f>
        <v/>
      </c>
      <c r="AJ263" s="124" t="str">
        <f>IF($B263="","",IF(AJ$3=0,"n.b.",INDEX(SRC_ZPMW03!$A$1:$ZZ$501,$A263,AJ$3)))</f>
        <v/>
      </c>
      <c r="AK263" s="124" t="str">
        <f>IF($B263="","",IF(AK$3=0,"n.b.",INDEX(SRC_ZPMW03!$A$1:$ZZ$501,$A263,AK$3)))</f>
        <v/>
      </c>
      <c r="AL263" s="124" t="str">
        <f>IF($B263="","",IF(AL$3=0,"n.b.",INDEX(SRC_ZPMW03!$A$1:$ZZ$501,$A263,AL$3)))</f>
        <v/>
      </c>
      <c r="AM263" s="124" t="str">
        <f>IF($B263="","",IF(AM$3=0,"n.b.",INDEX(SRC_ZPMW03!$A$1:$ZZ$501,$A263,AM$3)))</f>
        <v/>
      </c>
      <c r="AN263" s="124" t="str">
        <f>IF($B263="","",IF(AN$3=0,"n.b.",INDEX(SRC_ZPMW03!$A$1:$ZZ$501,$A263,AN$3)))</f>
        <v/>
      </c>
      <c r="AO263" s="124" t="str">
        <f>IF($B263="","",IF(AO$3=0,"n.b.",INDEX(SRC_ZPMW03!$A$1:$ZZ$501,$A263,AO$3)))</f>
        <v/>
      </c>
      <c r="AP263" s="124" t="str">
        <f>IF($B263="","",IF(AP$3=0,"n.b.",INDEX(SRC_ZPMW03!$A$1:$ZZ$501,$A263,AP$3)))</f>
        <v/>
      </c>
      <c r="AQ263" s="124" t="str">
        <f>IF($B263="","",IF(AQ$3=0,"n.b.",INDEX(SRC_ZPMW03!$A$1:$ZZ$501,$A263,AQ$3)))</f>
        <v/>
      </c>
      <c r="AR263" s="124" t="str">
        <f>IF($B263="","",IF(AR$3=0,"n.b.",INDEX(SRC_ZPMW03!$A$1:$ZZ$501,$A263,AR$3)))</f>
        <v/>
      </c>
      <c r="AS263" s="124" t="str">
        <f>IF($B263="","",IF(AS$3=0,"n.b.",INDEX(SRC_ZPMW03!$A$1:$ZZ$501,$A263,AS$3)))</f>
        <v/>
      </c>
      <c r="AT263" s="124" t="str">
        <f>IF($B263="","",IF(AT$3=0,"n.b.",INDEX(SRC_ZPMW03!$A$1:$ZZ$501,$A263,AT$3)))</f>
        <v/>
      </c>
      <c r="AU263" s="124" t="str">
        <f>IF($B263="","",IF(AU$3=0,"n.b.",INDEX(SRC_ZPMW03!$A$1:$ZZ$501,$A263,AU$3)))</f>
        <v/>
      </c>
      <c r="AV263" s="124" t="str">
        <f>IF($B263="","",IF(AV$3=0,"n.b.",INDEX(SRC_ZPMW03!$A$1:$ZZ$501,$A263,AV$3)))</f>
        <v/>
      </c>
      <c r="AW263" s="124" t="str">
        <f>IF($B263="","",IF(AW$3=0,"n.b.",INDEX(SRC_ZPMW03!$A$1:$ZZ$501,$A263,AW$3)))</f>
        <v/>
      </c>
      <c r="AX263" s="124" t="str">
        <f>IF($B263="","",IF(AX$3=0,"n.b.",INDEX(SRC_ZPMW03!$A$1:$ZZ$501,$A263,AX$3)))</f>
        <v/>
      </c>
      <c r="AY263" s="124" t="str">
        <f>IF($B263="","",IF(AY$3=0,"n.b.",INDEX(SRC_ZPMW03!$A$1:$ZZ$501,$A263,AY$3)))</f>
        <v/>
      </c>
      <c r="AZ263" s="124" t="str">
        <f>IF($B263="","",IF(AZ$3=0,"n.b.",INDEX(SRC_ZPMW03!$A$1:$ZZ$501,$A263,AZ$3)))</f>
        <v/>
      </c>
      <c r="BA263" s="124" t="str">
        <f>IF($B263="","",IF(BA$3=0,"n.b.",INDEX(SRC_ZPMW03!$A$1:$ZZ$501,$A263,BA$3)))</f>
        <v/>
      </c>
      <c r="BB263" s="124" t="str">
        <f>IF($B263="","",IF(BB$3=0,"n.b.",INDEX(SRC_ZPMW03!$A$1:$ZZ$501,$A263,BB$3)))</f>
        <v/>
      </c>
      <c r="BC263" s="124" t="str">
        <f>IF($B263="","",IF(BC$3=0,"n.b.",INDEX(SRC_ZPMW03!$A$1:$ZZ$501,$A263,BC$3)))</f>
        <v/>
      </c>
      <c r="BD263" s="124" t="str">
        <f>IF($B263="","",IF(BD$3=0,"n.b.",INDEX(SRC_ZPMW03!$A$1:$ZZ$501,$A263,BD$3)))</f>
        <v/>
      </c>
      <c r="BE263" s="124" t="str">
        <f>IF($B263="","",IF(BE$3=0,"n.b.",INDEX(SRC_ZPMW03!$A$1:$ZZ$501,$A263,BE$3)))</f>
        <v/>
      </c>
      <c r="BF263" s="124" t="str">
        <f>IF($B263="","",IF(BF$3=0,"n.b.",INDEX(SRC_ZPMW03!$A$1:$ZZ$501,$A263,BF$3)))</f>
        <v/>
      </c>
      <c r="BG263" t="str">
        <f>IF($B263="","",IF(BG$3=0,"n.b.",INDEX(SRC_ZPMW03!$A$1:$ZZ$501,$A263,BG$3)))</f>
        <v/>
      </c>
      <c r="BH263" t="str">
        <f>IF($B263="","",IF(BH$3=0,"n.b.",INDEX(SRC_ZPMW03!$A$1:$ZZ$501,$A263,BH$3)))</f>
        <v/>
      </c>
      <c r="BI263" t="str">
        <f>IF($B263="","",IF(BI$3=0,"n.b.",INDEX(SRC_ZPMW03!$A$1:$ZZ$501,$A263,BI$3)))</f>
        <v/>
      </c>
      <c r="BJ263" t="str">
        <f>IF($B263="","",IF(BJ$3=0,"n.b.",INDEX(SRC_ZPMW03!$A$1:$ZZ$501,$A263,BJ$3)))</f>
        <v/>
      </c>
      <c r="BK263" s="124" t="str">
        <f>IF($B263="","",IFERROR(-O263,"n.b."))</f>
        <v/>
      </c>
      <c r="BL263" s="124" t="str">
        <f>IF($B263="","",IFERROR(-Q263,"n.b."))</f>
        <v/>
      </c>
      <c r="BM263" s="124" t="str">
        <f>IF($B263="","",IFERROR(-AB263,"n.b."))</f>
        <v/>
      </c>
      <c r="BN263" s="124" t="str">
        <f>IF($B263="","",IFERROR(-AD263,"n.b."))</f>
        <v/>
      </c>
      <c r="BO263" s="124" t="str">
        <f>IF($B263="","",IFERROR(BK263+BM263,"n.b."))</f>
        <v/>
      </c>
      <c r="BP263" s="124" t="str">
        <f>IF($B263="","",IFERROR(BL263+BN263,"n.b."))</f>
        <v/>
      </c>
      <c r="BQ263" s="124" t="str">
        <f>IF($B263="","",IFERROR(-AM263,"n.b."))</f>
        <v/>
      </c>
      <c r="BR263" s="124" t="str">
        <f>IF($B263="","",IFERROR(-AO263,"n.b."))</f>
        <v/>
      </c>
      <c r="BS263" s="124" t="str">
        <f>IF($B263="","",IFERROR(-Z263,"n.b."))</f>
        <v/>
      </c>
      <c r="BT263" s="124" t="str">
        <f>IF($B263="","",IFERROR(-AA263,"n.b."))</f>
        <v/>
      </c>
      <c r="BU263" s="124" t="str">
        <f>IF($B263="","",IFERROR(-AE263,"n.b."))</f>
        <v/>
      </c>
      <c r="BV263" s="124" t="str">
        <f>IF($B263="","",IFERROR(-AF263,"n.b."))</f>
        <v/>
      </c>
      <c r="BW263" s="124" t="str">
        <f>IF($B263="","",IFERROR(-AG263,"n.b."))</f>
        <v/>
      </c>
      <c r="BX263" s="124" t="str">
        <f>IF($B263="","",IFERROR(-AH263,"n.b."))</f>
        <v/>
      </c>
      <c r="BY263" s="124" t="str">
        <f>IF($B263="","",IFERROR(-AI263,"n.b."))</f>
        <v/>
      </c>
      <c r="BZ263" s="124" t="str">
        <f>IF($B263="","",IFERROR(-AJ263,"n.b."))</f>
        <v/>
      </c>
      <c r="CA263" s="124" t="str">
        <f>IF($B263="","",IFERROR(-AK263,"n.b."))</f>
        <v/>
      </c>
      <c r="CB263" s="124" t="str">
        <f>IF($B263="","",IFERROR(-AL263,"n.b."))</f>
        <v/>
      </c>
      <c r="CC263" s="124" t="str">
        <f>IF($B263="","",IFERROR(-AP263,"n.b."))</f>
        <v/>
      </c>
      <c r="CD263" s="124" t="str">
        <f>IF($B263="","",IFERROR(-AQ263,"n.b."))</f>
        <v/>
      </c>
      <c r="CE263" s="124" t="str">
        <f>IF($B263="","",IFERROR(-AR263,"n.b."))</f>
        <v/>
      </c>
      <c r="CF263" s="124" t="str">
        <f>IF($B263="","",IFERROR(-AS263,"n.b."))</f>
        <v/>
      </c>
      <c r="CG263" s="124" t="str">
        <f>IF($B263="","",IFERROR(-AT263,"n.b."))</f>
        <v/>
      </c>
      <c r="CH263" s="124" t="str">
        <f>IF($B263="","",IFERROR(-AU263,"n.b."))</f>
        <v/>
      </c>
      <c r="CI263" s="124" t="str">
        <f>IF($B263="","",IFERROR(-AV263,"n.b."))</f>
        <v/>
      </c>
      <c r="CJ263" s="124" t="str">
        <f>IF($B263="","",IFERROR(-AW263,"n.b."))</f>
        <v/>
      </c>
      <c r="CK263" s="124" t="str">
        <f>IF($B263="","",IFERROR(-AX263,"n.b."))</f>
        <v/>
      </c>
      <c r="CL263" s="124" t="str">
        <f>IF($B263="","",IFERROR(-AY263,"n.b."))</f>
        <v/>
      </c>
      <c r="CM263" s="124" t="str">
        <f>IF($B263="","",IFERROR(-AZ263,"n.b."))</f>
        <v/>
      </c>
      <c r="CN263" s="124" t="str">
        <f>IF($B263="","",IFERROR(-BA263,"n.b."))</f>
        <v/>
      </c>
      <c r="CO263" s="124" t="str">
        <f>IF($B263="","",IFERROR(-BB263,"n.b."))</f>
        <v/>
      </c>
      <c r="CP263" s="124" t="str">
        <f>IF($B263="","",IFERROR(-BC263,"n.b."))</f>
        <v/>
      </c>
      <c r="CQ263" s="124" t="str">
        <f>IF($B263="","",IFERROR(-BD263,"n.b."))</f>
        <v/>
      </c>
      <c r="CR263" s="124" t="str">
        <f>IF($B263="","",IFERROR(-BE263,"n.b."))</f>
        <v/>
      </c>
      <c r="CS263" s="124" t="str">
        <f>IF($B263="","",IFERROR(IF(OR(ABS(T263+V263+X263+Z263-AB263)&gt;P_Tol,ABS(U263+W263+Y263+AA263-AD263)&gt;P_Tol,ABS(AE263+AG263+AI263+AK263-AM263)&gt;P_Tol,ABS(AF263+AH263+AJ263+AL263-AO263)&gt;P_Tol),1,0),1))</f>
        <v/>
      </c>
      <c r="CT263" s="124" t="str">
        <f>IF($B263="","",IFERROR(IF(OR(ABS(AB263+AC263-AD263)&gt;P_Tol,ABS(AM263+AN263-AO263)&gt;P_Tol,ABS(O263+P263-Q263)&gt;P_Tol),1,0),1))</f>
        <v/>
      </c>
      <c r="CU263" s="124" t="str">
        <f>IF($B263="","",IFERROR(IF(ABS(R263-(AB263+AM263+AP263+AR263+AT263+AV263+AX263+AZ263+BB263+BD263))&gt;P_Tol,1,0),1))</f>
        <v/>
      </c>
      <c r="CV263" s="124" t="str">
        <f>IF($B263="","",IFERROR(IF(ABS(M263-(N263+O263+R263))&gt;P_Tol,1,0),1))</f>
        <v/>
      </c>
      <c r="CW263" s="124" t="str">
        <f>IF($B263="","",IF(COUNTIF(Mapping!$A$5:$A$104,B263)&gt;0,1,0))</f>
        <v/>
      </c>
      <c r="CX263" s="124" t="str">
        <f>IF($B263="","",COUNTIF($B$6:$B$505,B263))</f>
        <v/>
      </c>
      <c r="CY263" s="124" t="str">
        <f>IF($B263="","",COUNTIF(STG_Woningetalage!$B$6:$B$505,B263))</f>
        <v/>
      </c>
      <c r="CZ263" s="124" t="str">
        <f>IF($B263="","",IF(CW263=0,COUNTIF($CW$6:CW263,0),""))</f>
        <v/>
      </c>
    </row>
    <row r="264">
      <c r="A264" s="15" t="n">
        <v>260</v>
      </c>
      <c r="B264" t="str">
        <f>IF(B$3=0,"",IF(INDEX(SRC_ZPMW03!$A$1:$ZZ$501,$A264,B$3)&amp;""="","",INDEX(SRC_ZPMW03!$A$1:$ZZ$501,$A264,B$3)&amp;""))</f>
        <v/>
      </c>
      <c r="C264" t="str">
        <f>IF($B264="","",IF(C$3=0,"n.b.",INDEX(SRC_ZPMW03!$A$1:$ZZ$501,$A264,C$3)))</f>
        <v/>
      </c>
      <c r="D264" t="str">
        <f>IF($B264="","",IF(D$3=0,"n.b.",INDEX(SRC_ZPMW03!$A$1:$ZZ$501,$A264,D$3)))</f>
        <v/>
      </c>
      <c r="E264" t="str">
        <f>IF($B264="","",IF(E$3=0,"n.b.",INDEX(SRC_ZPMW03!$A$1:$ZZ$501,$A264,E$3)))</f>
        <v/>
      </c>
      <c r="F264" t="str">
        <f>IF($B264="","",IF(F$3=0,"n.b.",INDEX(SRC_ZPMW03!$A$1:$ZZ$501,$A264,F$3)))</f>
        <v/>
      </c>
      <c r="G264" t="str">
        <f>IF($B264="","",IF(G$3=0,"n.b.",INDEX(SRC_ZPMW03!$A$1:$ZZ$501,$A264,G$3)))</f>
        <v/>
      </c>
      <c r="H264" t="str">
        <f>IF($B264="","",IF(H$3=0,"n.b.",INDEX(SRC_ZPMW03!$A$1:$ZZ$501,$A264,H$3)))</f>
        <v/>
      </c>
      <c r="I264" t="str">
        <f>IF($B264="","",IF(I$3=0,"n.b.",INDEX(SRC_ZPMW03!$A$1:$ZZ$501,$A264,I$3)))</f>
        <v/>
      </c>
      <c r="J264" t="str">
        <f>IF($B264="","",IF(J$3=0,"n.b.",INDEX(SRC_ZPMW03!$A$1:$ZZ$501,$A264,J$3)))</f>
        <v/>
      </c>
      <c r="K264" t="str">
        <f>IF($B264="","",IF(K$3=0,"n.b.",INDEX(SRC_ZPMW03!$A$1:$ZZ$501,$A264,K$3)))</f>
        <v/>
      </c>
      <c r="L264" s="124" t="str">
        <f>IF($B264="","",IF(L$3=0,"n.b.",INDEX(SRC_ZPMW03!$A$1:$ZZ$501,$A264,L$3)))</f>
        <v/>
      </c>
      <c r="M264" s="124" t="str">
        <f>IF($B264="","",IF(M$3=0,"n.b.",INDEX(SRC_ZPMW03!$A$1:$ZZ$501,$A264,M$3)))</f>
        <v/>
      </c>
      <c r="N264" s="124" t="str">
        <f>IF($B264="","",IF(N$3=0,"n.b.",INDEX(SRC_ZPMW03!$A$1:$ZZ$501,$A264,N$3)))</f>
        <v/>
      </c>
      <c r="O264" s="124" t="str">
        <f>IF($B264="","",IF(O$3=0,"n.b.",INDEX(SRC_ZPMW03!$A$1:$ZZ$501,$A264,O$3)))</f>
        <v/>
      </c>
      <c r="P264" s="124" t="str">
        <f>IF($B264="","",IF(P$3=0,"n.b.",INDEX(SRC_ZPMW03!$A$1:$ZZ$501,$A264,P$3)))</f>
        <v/>
      </c>
      <c r="Q264" s="124" t="str">
        <f>IF($B264="","",IF(Q$3=0,"n.b.",INDEX(SRC_ZPMW03!$A$1:$ZZ$501,$A264,Q$3)))</f>
        <v/>
      </c>
      <c r="R264" s="124" t="str">
        <f>IF($B264="","",IF(R$3=0,"n.b.",INDEX(SRC_ZPMW03!$A$1:$ZZ$501,$A264,R$3)))</f>
        <v/>
      </c>
      <c r="S264" s="124" t="str">
        <f>IF($B264="","",IF(S$3=0,"n.b.",INDEX(SRC_ZPMW03!$A$1:$ZZ$501,$A264,S$3)))</f>
        <v/>
      </c>
      <c r="T264" s="124" t="str">
        <f>IF($B264="","",IF(T$3=0,"n.b.",INDEX(SRC_ZPMW03!$A$1:$ZZ$501,$A264,T$3)))</f>
        <v/>
      </c>
      <c r="U264" s="124" t="str">
        <f>IF($B264="","",IF(U$3=0,"n.b.",INDEX(SRC_ZPMW03!$A$1:$ZZ$501,$A264,U$3)))</f>
        <v/>
      </c>
      <c r="V264" s="124" t="str">
        <f>IF($B264="","",IF(V$3=0,"n.b.",INDEX(SRC_ZPMW03!$A$1:$ZZ$501,$A264,V$3)))</f>
        <v/>
      </c>
      <c r="W264" s="124" t="str">
        <f>IF($B264="","",IF(W$3=0,"n.b.",INDEX(SRC_ZPMW03!$A$1:$ZZ$501,$A264,W$3)))</f>
        <v/>
      </c>
      <c r="X264" s="124" t="str">
        <f>IF($B264="","",IF(X$3=0,"n.b.",INDEX(SRC_ZPMW03!$A$1:$ZZ$501,$A264,X$3)))</f>
        <v/>
      </c>
      <c r="Y264" s="124" t="str">
        <f>IF($B264="","",IF(Y$3=0,"n.b.",INDEX(SRC_ZPMW03!$A$1:$ZZ$501,$A264,Y$3)))</f>
        <v/>
      </c>
      <c r="Z264" s="124" t="str">
        <f>IF($B264="","",IF(Z$3=0,"n.b.",INDEX(SRC_ZPMW03!$A$1:$ZZ$501,$A264,Z$3)))</f>
        <v/>
      </c>
      <c r="AA264" s="124" t="str">
        <f>IF($B264="","",IF(AA$3=0,"n.b.",INDEX(SRC_ZPMW03!$A$1:$ZZ$501,$A264,AA$3)))</f>
        <v/>
      </c>
      <c r="AB264" s="124" t="str">
        <f>IF($B264="","",IF(AB$3=0,"n.b.",INDEX(SRC_ZPMW03!$A$1:$ZZ$501,$A264,AB$3)))</f>
        <v/>
      </c>
      <c r="AC264" s="124" t="str">
        <f>IF($B264="","",IF(AC$3=0,"n.b.",INDEX(SRC_ZPMW03!$A$1:$ZZ$501,$A264,AC$3)))</f>
        <v/>
      </c>
      <c r="AD264" s="124" t="str">
        <f>IF($B264="","",IF(AD$3=0,"n.b.",INDEX(SRC_ZPMW03!$A$1:$ZZ$501,$A264,AD$3)))</f>
        <v/>
      </c>
      <c r="AE264" s="124" t="str">
        <f>IF($B264="","",IF(AE$3=0,"n.b.",INDEX(SRC_ZPMW03!$A$1:$ZZ$501,$A264,AE$3)))</f>
        <v/>
      </c>
      <c r="AF264" s="124" t="str">
        <f>IF($B264="","",IF(AF$3=0,"n.b.",INDEX(SRC_ZPMW03!$A$1:$ZZ$501,$A264,AF$3)))</f>
        <v/>
      </c>
      <c r="AG264" s="124" t="str">
        <f>IF($B264="","",IF(AG$3=0,"n.b.",INDEX(SRC_ZPMW03!$A$1:$ZZ$501,$A264,AG$3)))</f>
        <v/>
      </c>
      <c r="AH264" s="124" t="str">
        <f>IF($B264="","",IF(AH$3=0,"n.b.",INDEX(SRC_ZPMW03!$A$1:$ZZ$501,$A264,AH$3)))</f>
        <v/>
      </c>
      <c r="AI264" s="124" t="str">
        <f>IF($B264="","",IF(AI$3=0,"n.b.",INDEX(SRC_ZPMW03!$A$1:$ZZ$501,$A264,AI$3)))</f>
        <v/>
      </c>
      <c r="AJ264" s="124" t="str">
        <f>IF($B264="","",IF(AJ$3=0,"n.b.",INDEX(SRC_ZPMW03!$A$1:$ZZ$501,$A264,AJ$3)))</f>
        <v/>
      </c>
      <c r="AK264" s="124" t="str">
        <f>IF($B264="","",IF(AK$3=0,"n.b.",INDEX(SRC_ZPMW03!$A$1:$ZZ$501,$A264,AK$3)))</f>
        <v/>
      </c>
      <c r="AL264" s="124" t="str">
        <f>IF($B264="","",IF(AL$3=0,"n.b.",INDEX(SRC_ZPMW03!$A$1:$ZZ$501,$A264,AL$3)))</f>
        <v/>
      </c>
      <c r="AM264" s="124" t="str">
        <f>IF($B264="","",IF(AM$3=0,"n.b.",INDEX(SRC_ZPMW03!$A$1:$ZZ$501,$A264,AM$3)))</f>
        <v/>
      </c>
      <c r="AN264" s="124" t="str">
        <f>IF($B264="","",IF(AN$3=0,"n.b.",INDEX(SRC_ZPMW03!$A$1:$ZZ$501,$A264,AN$3)))</f>
        <v/>
      </c>
      <c r="AO264" s="124" t="str">
        <f>IF($B264="","",IF(AO$3=0,"n.b.",INDEX(SRC_ZPMW03!$A$1:$ZZ$501,$A264,AO$3)))</f>
        <v/>
      </c>
      <c r="AP264" s="124" t="str">
        <f>IF($B264="","",IF(AP$3=0,"n.b.",INDEX(SRC_ZPMW03!$A$1:$ZZ$501,$A264,AP$3)))</f>
        <v/>
      </c>
      <c r="AQ264" s="124" t="str">
        <f>IF($B264="","",IF(AQ$3=0,"n.b.",INDEX(SRC_ZPMW03!$A$1:$ZZ$501,$A264,AQ$3)))</f>
        <v/>
      </c>
      <c r="AR264" s="124" t="str">
        <f>IF($B264="","",IF(AR$3=0,"n.b.",INDEX(SRC_ZPMW03!$A$1:$ZZ$501,$A264,AR$3)))</f>
        <v/>
      </c>
      <c r="AS264" s="124" t="str">
        <f>IF($B264="","",IF(AS$3=0,"n.b.",INDEX(SRC_ZPMW03!$A$1:$ZZ$501,$A264,AS$3)))</f>
        <v/>
      </c>
      <c r="AT264" s="124" t="str">
        <f>IF($B264="","",IF(AT$3=0,"n.b.",INDEX(SRC_ZPMW03!$A$1:$ZZ$501,$A264,AT$3)))</f>
        <v/>
      </c>
      <c r="AU264" s="124" t="str">
        <f>IF($B264="","",IF(AU$3=0,"n.b.",INDEX(SRC_ZPMW03!$A$1:$ZZ$501,$A264,AU$3)))</f>
        <v/>
      </c>
      <c r="AV264" s="124" t="str">
        <f>IF($B264="","",IF(AV$3=0,"n.b.",INDEX(SRC_ZPMW03!$A$1:$ZZ$501,$A264,AV$3)))</f>
        <v/>
      </c>
      <c r="AW264" s="124" t="str">
        <f>IF($B264="","",IF(AW$3=0,"n.b.",INDEX(SRC_ZPMW03!$A$1:$ZZ$501,$A264,AW$3)))</f>
        <v/>
      </c>
      <c r="AX264" s="124" t="str">
        <f>IF($B264="","",IF(AX$3=0,"n.b.",INDEX(SRC_ZPMW03!$A$1:$ZZ$501,$A264,AX$3)))</f>
        <v/>
      </c>
      <c r="AY264" s="124" t="str">
        <f>IF($B264="","",IF(AY$3=0,"n.b.",INDEX(SRC_ZPMW03!$A$1:$ZZ$501,$A264,AY$3)))</f>
        <v/>
      </c>
      <c r="AZ264" s="124" t="str">
        <f>IF($B264="","",IF(AZ$3=0,"n.b.",INDEX(SRC_ZPMW03!$A$1:$ZZ$501,$A264,AZ$3)))</f>
        <v/>
      </c>
      <c r="BA264" s="124" t="str">
        <f>IF($B264="","",IF(BA$3=0,"n.b.",INDEX(SRC_ZPMW03!$A$1:$ZZ$501,$A264,BA$3)))</f>
        <v/>
      </c>
      <c r="BB264" s="124" t="str">
        <f>IF($B264="","",IF(BB$3=0,"n.b.",INDEX(SRC_ZPMW03!$A$1:$ZZ$501,$A264,BB$3)))</f>
        <v/>
      </c>
      <c r="BC264" s="124" t="str">
        <f>IF($B264="","",IF(BC$3=0,"n.b.",INDEX(SRC_ZPMW03!$A$1:$ZZ$501,$A264,BC$3)))</f>
        <v/>
      </c>
      <c r="BD264" s="124" t="str">
        <f>IF($B264="","",IF(BD$3=0,"n.b.",INDEX(SRC_ZPMW03!$A$1:$ZZ$501,$A264,BD$3)))</f>
        <v/>
      </c>
      <c r="BE264" s="124" t="str">
        <f>IF($B264="","",IF(BE$3=0,"n.b.",INDEX(SRC_ZPMW03!$A$1:$ZZ$501,$A264,BE$3)))</f>
        <v/>
      </c>
      <c r="BF264" s="124" t="str">
        <f>IF($B264="","",IF(BF$3=0,"n.b.",INDEX(SRC_ZPMW03!$A$1:$ZZ$501,$A264,BF$3)))</f>
        <v/>
      </c>
      <c r="BG264" t="str">
        <f>IF($B264="","",IF(BG$3=0,"n.b.",INDEX(SRC_ZPMW03!$A$1:$ZZ$501,$A264,BG$3)))</f>
        <v/>
      </c>
      <c r="BH264" t="str">
        <f>IF($B264="","",IF(BH$3=0,"n.b.",INDEX(SRC_ZPMW03!$A$1:$ZZ$501,$A264,BH$3)))</f>
        <v/>
      </c>
      <c r="BI264" t="str">
        <f>IF($B264="","",IF(BI$3=0,"n.b.",INDEX(SRC_ZPMW03!$A$1:$ZZ$501,$A264,BI$3)))</f>
        <v/>
      </c>
      <c r="BJ264" t="str">
        <f>IF($B264="","",IF(BJ$3=0,"n.b.",INDEX(SRC_ZPMW03!$A$1:$ZZ$501,$A264,BJ$3)))</f>
        <v/>
      </c>
      <c r="BK264" s="124" t="str">
        <f>IF($B264="","",IFERROR(-O264,"n.b."))</f>
        <v/>
      </c>
      <c r="BL264" s="124" t="str">
        <f>IF($B264="","",IFERROR(-Q264,"n.b."))</f>
        <v/>
      </c>
      <c r="BM264" s="124" t="str">
        <f>IF($B264="","",IFERROR(-AB264,"n.b."))</f>
        <v/>
      </c>
      <c r="BN264" s="124" t="str">
        <f>IF($B264="","",IFERROR(-AD264,"n.b."))</f>
        <v/>
      </c>
      <c r="BO264" s="124" t="str">
        <f>IF($B264="","",IFERROR(BK264+BM264,"n.b."))</f>
        <v/>
      </c>
      <c r="BP264" s="124" t="str">
        <f>IF($B264="","",IFERROR(BL264+BN264,"n.b."))</f>
        <v/>
      </c>
      <c r="BQ264" s="124" t="str">
        <f>IF($B264="","",IFERROR(-AM264,"n.b."))</f>
        <v/>
      </c>
      <c r="BR264" s="124" t="str">
        <f>IF($B264="","",IFERROR(-AO264,"n.b."))</f>
        <v/>
      </c>
      <c r="BS264" s="124" t="str">
        <f>IF($B264="","",IFERROR(-Z264,"n.b."))</f>
        <v/>
      </c>
      <c r="BT264" s="124" t="str">
        <f>IF($B264="","",IFERROR(-AA264,"n.b."))</f>
        <v/>
      </c>
      <c r="BU264" s="124" t="str">
        <f>IF($B264="","",IFERROR(-AE264,"n.b."))</f>
        <v/>
      </c>
      <c r="BV264" s="124" t="str">
        <f>IF($B264="","",IFERROR(-AF264,"n.b."))</f>
        <v/>
      </c>
      <c r="BW264" s="124" t="str">
        <f>IF($B264="","",IFERROR(-AG264,"n.b."))</f>
        <v/>
      </c>
      <c r="BX264" s="124" t="str">
        <f>IF($B264="","",IFERROR(-AH264,"n.b."))</f>
        <v/>
      </c>
      <c r="BY264" s="124" t="str">
        <f>IF($B264="","",IFERROR(-AI264,"n.b."))</f>
        <v/>
      </c>
      <c r="BZ264" s="124" t="str">
        <f>IF($B264="","",IFERROR(-AJ264,"n.b."))</f>
        <v/>
      </c>
      <c r="CA264" s="124" t="str">
        <f>IF($B264="","",IFERROR(-AK264,"n.b."))</f>
        <v/>
      </c>
      <c r="CB264" s="124" t="str">
        <f>IF($B264="","",IFERROR(-AL264,"n.b."))</f>
        <v/>
      </c>
      <c r="CC264" s="124" t="str">
        <f>IF($B264="","",IFERROR(-AP264,"n.b."))</f>
        <v/>
      </c>
      <c r="CD264" s="124" t="str">
        <f>IF($B264="","",IFERROR(-AQ264,"n.b."))</f>
        <v/>
      </c>
      <c r="CE264" s="124" t="str">
        <f>IF($B264="","",IFERROR(-AR264,"n.b."))</f>
        <v/>
      </c>
      <c r="CF264" s="124" t="str">
        <f>IF($B264="","",IFERROR(-AS264,"n.b."))</f>
        <v/>
      </c>
      <c r="CG264" s="124" t="str">
        <f>IF($B264="","",IFERROR(-AT264,"n.b."))</f>
        <v/>
      </c>
      <c r="CH264" s="124" t="str">
        <f>IF($B264="","",IFERROR(-AU264,"n.b."))</f>
        <v/>
      </c>
      <c r="CI264" s="124" t="str">
        <f>IF($B264="","",IFERROR(-AV264,"n.b."))</f>
        <v/>
      </c>
      <c r="CJ264" s="124" t="str">
        <f>IF($B264="","",IFERROR(-AW264,"n.b."))</f>
        <v/>
      </c>
      <c r="CK264" s="124" t="str">
        <f>IF($B264="","",IFERROR(-AX264,"n.b."))</f>
        <v/>
      </c>
      <c r="CL264" s="124" t="str">
        <f>IF($B264="","",IFERROR(-AY264,"n.b."))</f>
        <v/>
      </c>
      <c r="CM264" s="124" t="str">
        <f>IF($B264="","",IFERROR(-AZ264,"n.b."))</f>
        <v/>
      </c>
      <c r="CN264" s="124" t="str">
        <f>IF($B264="","",IFERROR(-BA264,"n.b."))</f>
        <v/>
      </c>
      <c r="CO264" s="124" t="str">
        <f>IF($B264="","",IFERROR(-BB264,"n.b."))</f>
        <v/>
      </c>
      <c r="CP264" s="124" t="str">
        <f>IF($B264="","",IFERROR(-BC264,"n.b."))</f>
        <v/>
      </c>
      <c r="CQ264" s="124" t="str">
        <f>IF($B264="","",IFERROR(-BD264,"n.b."))</f>
        <v/>
      </c>
      <c r="CR264" s="124" t="str">
        <f>IF($B264="","",IFERROR(-BE264,"n.b."))</f>
        <v/>
      </c>
      <c r="CS264" s="124" t="str">
        <f>IF($B264="","",IFERROR(IF(OR(ABS(T264+V264+X264+Z264-AB264)&gt;P_Tol,ABS(U264+W264+Y264+AA264-AD264)&gt;P_Tol,ABS(AE264+AG264+AI264+AK264-AM264)&gt;P_Tol,ABS(AF264+AH264+AJ264+AL264-AO264)&gt;P_Tol),1,0),1))</f>
        <v/>
      </c>
      <c r="CT264" s="124" t="str">
        <f>IF($B264="","",IFERROR(IF(OR(ABS(AB264+AC264-AD264)&gt;P_Tol,ABS(AM264+AN264-AO264)&gt;P_Tol,ABS(O264+P264-Q264)&gt;P_Tol),1,0),1))</f>
        <v/>
      </c>
      <c r="CU264" s="124" t="str">
        <f>IF($B264="","",IFERROR(IF(ABS(R264-(AB264+AM264+AP264+AR264+AT264+AV264+AX264+AZ264+BB264+BD264))&gt;P_Tol,1,0),1))</f>
        <v/>
      </c>
      <c r="CV264" s="124" t="str">
        <f>IF($B264="","",IFERROR(IF(ABS(M264-(N264+O264+R264))&gt;P_Tol,1,0),1))</f>
        <v/>
      </c>
      <c r="CW264" s="124" t="str">
        <f>IF($B264="","",IF(COUNTIF(Mapping!$A$5:$A$104,B264)&gt;0,1,0))</f>
        <v/>
      </c>
      <c r="CX264" s="124" t="str">
        <f>IF($B264="","",COUNTIF($B$6:$B$505,B264))</f>
        <v/>
      </c>
      <c r="CY264" s="124" t="str">
        <f>IF($B264="","",COUNTIF(STG_Woningetalage!$B$6:$B$505,B264))</f>
        <v/>
      </c>
      <c r="CZ264" s="124" t="str">
        <f>IF($B264="","",IF(CW264=0,COUNTIF($CW$6:CW264,0),""))</f>
        <v/>
      </c>
    </row>
    <row r="265">
      <c r="A265" s="15" t="n">
        <v>261</v>
      </c>
      <c r="B265" t="str">
        <f>IF(B$3=0,"",IF(INDEX(SRC_ZPMW03!$A$1:$ZZ$501,$A265,B$3)&amp;""="","",INDEX(SRC_ZPMW03!$A$1:$ZZ$501,$A265,B$3)&amp;""))</f>
        <v/>
      </c>
      <c r="C265" t="str">
        <f>IF($B265="","",IF(C$3=0,"n.b.",INDEX(SRC_ZPMW03!$A$1:$ZZ$501,$A265,C$3)))</f>
        <v/>
      </c>
      <c r="D265" t="str">
        <f>IF($B265="","",IF(D$3=0,"n.b.",INDEX(SRC_ZPMW03!$A$1:$ZZ$501,$A265,D$3)))</f>
        <v/>
      </c>
      <c r="E265" t="str">
        <f>IF($B265="","",IF(E$3=0,"n.b.",INDEX(SRC_ZPMW03!$A$1:$ZZ$501,$A265,E$3)))</f>
        <v/>
      </c>
      <c r="F265" t="str">
        <f>IF($B265="","",IF(F$3=0,"n.b.",INDEX(SRC_ZPMW03!$A$1:$ZZ$501,$A265,F$3)))</f>
        <v/>
      </c>
      <c r="G265" t="str">
        <f>IF($B265="","",IF(G$3=0,"n.b.",INDEX(SRC_ZPMW03!$A$1:$ZZ$501,$A265,G$3)))</f>
        <v/>
      </c>
      <c r="H265" t="str">
        <f>IF($B265="","",IF(H$3=0,"n.b.",INDEX(SRC_ZPMW03!$A$1:$ZZ$501,$A265,H$3)))</f>
        <v/>
      </c>
      <c r="I265" t="str">
        <f>IF($B265="","",IF(I$3=0,"n.b.",INDEX(SRC_ZPMW03!$A$1:$ZZ$501,$A265,I$3)))</f>
        <v/>
      </c>
      <c r="J265" t="str">
        <f>IF($B265="","",IF(J$3=0,"n.b.",INDEX(SRC_ZPMW03!$A$1:$ZZ$501,$A265,J$3)))</f>
        <v/>
      </c>
      <c r="K265" t="str">
        <f>IF($B265="","",IF(K$3=0,"n.b.",INDEX(SRC_ZPMW03!$A$1:$ZZ$501,$A265,K$3)))</f>
        <v/>
      </c>
      <c r="L265" s="124" t="str">
        <f>IF($B265="","",IF(L$3=0,"n.b.",INDEX(SRC_ZPMW03!$A$1:$ZZ$501,$A265,L$3)))</f>
        <v/>
      </c>
      <c r="M265" s="124" t="str">
        <f>IF($B265="","",IF(M$3=0,"n.b.",INDEX(SRC_ZPMW03!$A$1:$ZZ$501,$A265,M$3)))</f>
        <v/>
      </c>
      <c r="N265" s="124" t="str">
        <f>IF($B265="","",IF(N$3=0,"n.b.",INDEX(SRC_ZPMW03!$A$1:$ZZ$501,$A265,N$3)))</f>
        <v/>
      </c>
      <c r="O265" s="124" t="str">
        <f>IF($B265="","",IF(O$3=0,"n.b.",INDEX(SRC_ZPMW03!$A$1:$ZZ$501,$A265,O$3)))</f>
        <v/>
      </c>
      <c r="P265" s="124" t="str">
        <f>IF($B265="","",IF(P$3=0,"n.b.",INDEX(SRC_ZPMW03!$A$1:$ZZ$501,$A265,P$3)))</f>
        <v/>
      </c>
      <c r="Q265" s="124" t="str">
        <f>IF($B265="","",IF(Q$3=0,"n.b.",INDEX(SRC_ZPMW03!$A$1:$ZZ$501,$A265,Q$3)))</f>
        <v/>
      </c>
      <c r="R265" s="124" t="str">
        <f>IF($B265="","",IF(R$3=0,"n.b.",INDEX(SRC_ZPMW03!$A$1:$ZZ$501,$A265,R$3)))</f>
        <v/>
      </c>
      <c r="S265" s="124" t="str">
        <f>IF($B265="","",IF(S$3=0,"n.b.",INDEX(SRC_ZPMW03!$A$1:$ZZ$501,$A265,S$3)))</f>
        <v/>
      </c>
      <c r="T265" s="124" t="str">
        <f>IF($B265="","",IF(T$3=0,"n.b.",INDEX(SRC_ZPMW03!$A$1:$ZZ$501,$A265,T$3)))</f>
        <v/>
      </c>
      <c r="U265" s="124" t="str">
        <f>IF($B265="","",IF(U$3=0,"n.b.",INDEX(SRC_ZPMW03!$A$1:$ZZ$501,$A265,U$3)))</f>
        <v/>
      </c>
      <c r="V265" s="124" t="str">
        <f>IF($B265="","",IF(V$3=0,"n.b.",INDEX(SRC_ZPMW03!$A$1:$ZZ$501,$A265,V$3)))</f>
        <v/>
      </c>
      <c r="W265" s="124" t="str">
        <f>IF($B265="","",IF(W$3=0,"n.b.",INDEX(SRC_ZPMW03!$A$1:$ZZ$501,$A265,W$3)))</f>
        <v/>
      </c>
      <c r="X265" s="124" t="str">
        <f>IF($B265="","",IF(X$3=0,"n.b.",INDEX(SRC_ZPMW03!$A$1:$ZZ$501,$A265,X$3)))</f>
        <v/>
      </c>
      <c r="Y265" s="124" t="str">
        <f>IF($B265="","",IF(Y$3=0,"n.b.",INDEX(SRC_ZPMW03!$A$1:$ZZ$501,$A265,Y$3)))</f>
        <v/>
      </c>
      <c r="Z265" s="124" t="str">
        <f>IF($B265="","",IF(Z$3=0,"n.b.",INDEX(SRC_ZPMW03!$A$1:$ZZ$501,$A265,Z$3)))</f>
        <v/>
      </c>
      <c r="AA265" s="124" t="str">
        <f>IF($B265="","",IF(AA$3=0,"n.b.",INDEX(SRC_ZPMW03!$A$1:$ZZ$501,$A265,AA$3)))</f>
        <v/>
      </c>
      <c r="AB265" s="124" t="str">
        <f>IF($B265="","",IF(AB$3=0,"n.b.",INDEX(SRC_ZPMW03!$A$1:$ZZ$501,$A265,AB$3)))</f>
        <v/>
      </c>
      <c r="AC265" s="124" t="str">
        <f>IF($B265="","",IF(AC$3=0,"n.b.",INDEX(SRC_ZPMW03!$A$1:$ZZ$501,$A265,AC$3)))</f>
        <v/>
      </c>
      <c r="AD265" s="124" t="str">
        <f>IF($B265="","",IF(AD$3=0,"n.b.",INDEX(SRC_ZPMW03!$A$1:$ZZ$501,$A265,AD$3)))</f>
        <v/>
      </c>
      <c r="AE265" s="124" t="str">
        <f>IF($B265="","",IF(AE$3=0,"n.b.",INDEX(SRC_ZPMW03!$A$1:$ZZ$501,$A265,AE$3)))</f>
        <v/>
      </c>
      <c r="AF265" s="124" t="str">
        <f>IF($B265="","",IF(AF$3=0,"n.b.",INDEX(SRC_ZPMW03!$A$1:$ZZ$501,$A265,AF$3)))</f>
        <v/>
      </c>
      <c r="AG265" s="124" t="str">
        <f>IF($B265="","",IF(AG$3=0,"n.b.",INDEX(SRC_ZPMW03!$A$1:$ZZ$501,$A265,AG$3)))</f>
        <v/>
      </c>
      <c r="AH265" s="124" t="str">
        <f>IF($B265="","",IF(AH$3=0,"n.b.",INDEX(SRC_ZPMW03!$A$1:$ZZ$501,$A265,AH$3)))</f>
        <v/>
      </c>
      <c r="AI265" s="124" t="str">
        <f>IF($B265="","",IF(AI$3=0,"n.b.",INDEX(SRC_ZPMW03!$A$1:$ZZ$501,$A265,AI$3)))</f>
        <v/>
      </c>
      <c r="AJ265" s="124" t="str">
        <f>IF($B265="","",IF(AJ$3=0,"n.b.",INDEX(SRC_ZPMW03!$A$1:$ZZ$501,$A265,AJ$3)))</f>
        <v/>
      </c>
      <c r="AK265" s="124" t="str">
        <f>IF($B265="","",IF(AK$3=0,"n.b.",INDEX(SRC_ZPMW03!$A$1:$ZZ$501,$A265,AK$3)))</f>
        <v/>
      </c>
      <c r="AL265" s="124" t="str">
        <f>IF($B265="","",IF(AL$3=0,"n.b.",INDEX(SRC_ZPMW03!$A$1:$ZZ$501,$A265,AL$3)))</f>
        <v/>
      </c>
      <c r="AM265" s="124" t="str">
        <f>IF($B265="","",IF(AM$3=0,"n.b.",INDEX(SRC_ZPMW03!$A$1:$ZZ$501,$A265,AM$3)))</f>
        <v/>
      </c>
      <c r="AN265" s="124" t="str">
        <f>IF($B265="","",IF(AN$3=0,"n.b.",INDEX(SRC_ZPMW03!$A$1:$ZZ$501,$A265,AN$3)))</f>
        <v/>
      </c>
      <c r="AO265" s="124" t="str">
        <f>IF($B265="","",IF(AO$3=0,"n.b.",INDEX(SRC_ZPMW03!$A$1:$ZZ$501,$A265,AO$3)))</f>
        <v/>
      </c>
      <c r="AP265" s="124" t="str">
        <f>IF($B265="","",IF(AP$3=0,"n.b.",INDEX(SRC_ZPMW03!$A$1:$ZZ$501,$A265,AP$3)))</f>
        <v/>
      </c>
      <c r="AQ265" s="124" t="str">
        <f>IF($B265="","",IF(AQ$3=0,"n.b.",INDEX(SRC_ZPMW03!$A$1:$ZZ$501,$A265,AQ$3)))</f>
        <v/>
      </c>
      <c r="AR265" s="124" t="str">
        <f>IF($B265="","",IF(AR$3=0,"n.b.",INDEX(SRC_ZPMW03!$A$1:$ZZ$501,$A265,AR$3)))</f>
        <v/>
      </c>
      <c r="AS265" s="124" t="str">
        <f>IF($B265="","",IF(AS$3=0,"n.b.",INDEX(SRC_ZPMW03!$A$1:$ZZ$501,$A265,AS$3)))</f>
        <v/>
      </c>
      <c r="AT265" s="124" t="str">
        <f>IF($B265="","",IF(AT$3=0,"n.b.",INDEX(SRC_ZPMW03!$A$1:$ZZ$501,$A265,AT$3)))</f>
        <v/>
      </c>
      <c r="AU265" s="124" t="str">
        <f>IF($B265="","",IF(AU$3=0,"n.b.",INDEX(SRC_ZPMW03!$A$1:$ZZ$501,$A265,AU$3)))</f>
        <v/>
      </c>
      <c r="AV265" s="124" t="str">
        <f>IF($B265="","",IF(AV$3=0,"n.b.",INDEX(SRC_ZPMW03!$A$1:$ZZ$501,$A265,AV$3)))</f>
        <v/>
      </c>
      <c r="AW265" s="124" t="str">
        <f>IF($B265="","",IF(AW$3=0,"n.b.",INDEX(SRC_ZPMW03!$A$1:$ZZ$501,$A265,AW$3)))</f>
        <v/>
      </c>
      <c r="AX265" s="124" t="str">
        <f>IF($B265="","",IF(AX$3=0,"n.b.",INDEX(SRC_ZPMW03!$A$1:$ZZ$501,$A265,AX$3)))</f>
        <v/>
      </c>
      <c r="AY265" s="124" t="str">
        <f>IF($B265="","",IF(AY$3=0,"n.b.",INDEX(SRC_ZPMW03!$A$1:$ZZ$501,$A265,AY$3)))</f>
        <v/>
      </c>
      <c r="AZ265" s="124" t="str">
        <f>IF($B265="","",IF(AZ$3=0,"n.b.",INDEX(SRC_ZPMW03!$A$1:$ZZ$501,$A265,AZ$3)))</f>
        <v/>
      </c>
      <c r="BA265" s="124" t="str">
        <f>IF($B265="","",IF(BA$3=0,"n.b.",INDEX(SRC_ZPMW03!$A$1:$ZZ$501,$A265,BA$3)))</f>
        <v/>
      </c>
      <c r="BB265" s="124" t="str">
        <f>IF($B265="","",IF(BB$3=0,"n.b.",INDEX(SRC_ZPMW03!$A$1:$ZZ$501,$A265,BB$3)))</f>
        <v/>
      </c>
      <c r="BC265" s="124" t="str">
        <f>IF($B265="","",IF(BC$3=0,"n.b.",INDEX(SRC_ZPMW03!$A$1:$ZZ$501,$A265,BC$3)))</f>
        <v/>
      </c>
      <c r="BD265" s="124" t="str">
        <f>IF($B265="","",IF(BD$3=0,"n.b.",INDEX(SRC_ZPMW03!$A$1:$ZZ$501,$A265,BD$3)))</f>
        <v/>
      </c>
      <c r="BE265" s="124" t="str">
        <f>IF($B265="","",IF(BE$3=0,"n.b.",INDEX(SRC_ZPMW03!$A$1:$ZZ$501,$A265,BE$3)))</f>
        <v/>
      </c>
      <c r="BF265" s="124" t="str">
        <f>IF($B265="","",IF(BF$3=0,"n.b.",INDEX(SRC_ZPMW03!$A$1:$ZZ$501,$A265,BF$3)))</f>
        <v/>
      </c>
      <c r="BG265" t="str">
        <f>IF($B265="","",IF(BG$3=0,"n.b.",INDEX(SRC_ZPMW03!$A$1:$ZZ$501,$A265,BG$3)))</f>
        <v/>
      </c>
      <c r="BH265" t="str">
        <f>IF($B265="","",IF(BH$3=0,"n.b.",INDEX(SRC_ZPMW03!$A$1:$ZZ$501,$A265,BH$3)))</f>
        <v/>
      </c>
      <c r="BI265" t="str">
        <f>IF($B265="","",IF(BI$3=0,"n.b.",INDEX(SRC_ZPMW03!$A$1:$ZZ$501,$A265,BI$3)))</f>
        <v/>
      </c>
      <c r="BJ265" t="str">
        <f>IF($B265="","",IF(BJ$3=0,"n.b.",INDEX(SRC_ZPMW03!$A$1:$ZZ$501,$A265,BJ$3)))</f>
        <v/>
      </c>
      <c r="BK265" s="124" t="str">
        <f>IF($B265="","",IFERROR(-O265,"n.b."))</f>
        <v/>
      </c>
      <c r="BL265" s="124" t="str">
        <f>IF($B265="","",IFERROR(-Q265,"n.b."))</f>
        <v/>
      </c>
      <c r="BM265" s="124" t="str">
        <f>IF($B265="","",IFERROR(-AB265,"n.b."))</f>
        <v/>
      </c>
      <c r="BN265" s="124" t="str">
        <f>IF($B265="","",IFERROR(-AD265,"n.b."))</f>
        <v/>
      </c>
      <c r="BO265" s="124" t="str">
        <f>IF($B265="","",IFERROR(BK265+BM265,"n.b."))</f>
        <v/>
      </c>
      <c r="BP265" s="124" t="str">
        <f>IF($B265="","",IFERROR(BL265+BN265,"n.b."))</f>
        <v/>
      </c>
      <c r="BQ265" s="124" t="str">
        <f>IF($B265="","",IFERROR(-AM265,"n.b."))</f>
        <v/>
      </c>
      <c r="BR265" s="124" t="str">
        <f>IF($B265="","",IFERROR(-AO265,"n.b."))</f>
        <v/>
      </c>
      <c r="BS265" s="124" t="str">
        <f>IF($B265="","",IFERROR(-Z265,"n.b."))</f>
        <v/>
      </c>
      <c r="BT265" s="124" t="str">
        <f>IF($B265="","",IFERROR(-AA265,"n.b."))</f>
        <v/>
      </c>
      <c r="BU265" s="124" t="str">
        <f>IF($B265="","",IFERROR(-AE265,"n.b."))</f>
        <v/>
      </c>
      <c r="BV265" s="124" t="str">
        <f>IF($B265="","",IFERROR(-AF265,"n.b."))</f>
        <v/>
      </c>
      <c r="BW265" s="124" t="str">
        <f>IF($B265="","",IFERROR(-AG265,"n.b."))</f>
        <v/>
      </c>
      <c r="BX265" s="124" t="str">
        <f>IF($B265="","",IFERROR(-AH265,"n.b."))</f>
        <v/>
      </c>
      <c r="BY265" s="124" t="str">
        <f>IF($B265="","",IFERROR(-AI265,"n.b."))</f>
        <v/>
      </c>
      <c r="BZ265" s="124" t="str">
        <f>IF($B265="","",IFERROR(-AJ265,"n.b."))</f>
        <v/>
      </c>
      <c r="CA265" s="124" t="str">
        <f>IF($B265="","",IFERROR(-AK265,"n.b."))</f>
        <v/>
      </c>
      <c r="CB265" s="124" t="str">
        <f>IF($B265="","",IFERROR(-AL265,"n.b."))</f>
        <v/>
      </c>
      <c r="CC265" s="124" t="str">
        <f>IF($B265="","",IFERROR(-AP265,"n.b."))</f>
        <v/>
      </c>
      <c r="CD265" s="124" t="str">
        <f>IF($B265="","",IFERROR(-AQ265,"n.b."))</f>
        <v/>
      </c>
      <c r="CE265" s="124" t="str">
        <f>IF($B265="","",IFERROR(-AR265,"n.b."))</f>
        <v/>
      </c>
      <c r="CF265" s="124" t="str">
        <f>IF($B265="","",IFERROR(-AS265,"n.b."))</f>
        <v/>
      </c>
      <c r="CG265" s="124" t="str">
        <f>IF($B265="","",IFERROR(-AT265,"n.b."))</f>
        <v/>
      </c>
      <c r="CH265" s="124" t="str">
        <f>IF($B265="","",IFERROR(-AU265,"n.b."))</f>
        <v/>
      </c>
      <c r="CI265" s="124" t="str">
        <f>IF($B265="","",IFERROR(-AV265,"n.b."))</f>
        <v/>
      </c>
      <c r="CJ265" s="124" t="str">
        <f>IF($B265="","",IFERROR(-AW265,"n.b."))</f>
        <v/>
      </c>
      <c r="CK265" s="124" t="str">
        <f>IF($B265="","",IFERROR(-AX265,"n.b."))</f>
        <v/>
      </c>
      <c r="CL265" s="124" t="str">
        <f>IF($B265="","",IFERROR(-AY265,"n.b."))</f>
        <v/>
      </c>
      <c r="CM265" s="124" t="str">
        <f>IF($B265="","",IFERROR(-AZ265,"n.b."))</f>
        <v/>
      </c>
      <c r="CN265" s="124" t="str">
        <f>IF($B265="","",IFERROR(-BA265,"n.b."))</f>
        <v/>
      </c>
      <c r="CO265" s="124" t="str">
        <f>IF($B265="","",IFERROR(-BB265,"n.b."))</f>
        <v/>
      </c>
      <c r="CP265" s="124" t="str">
        <f>IF($B265="","",IFERROR(-BC265,"n.b."))</f>
        <v/>
      </c>
      <c r="CQ265" s="124" t="str">
        <f>IF($B265="","",IFERROR(-BD265,"n.b."))</f>
        <v/>
      </c>
      <c r="CR265" s="124" t="str">
        <f>IF($B265="","",IFERROR(-BE265,"n.b."))</f>
        <v/>
      </c>
      <c r="CS265" s="124" t="str">
        <f>IF($B265="","",IFERROR(IF(OR(ABS(T265+V265+X265+Z265-AB265)&gt;P_Tol,ABS(U265+W265+Y265+AA265-AD265)&gt;P_Tol,ABS(AE265+AG265+AI265+AK265-AM265)&gt;P_Tol,ABS(AF265+AH265+AJ265+AL265-AO265)&gt;P_Tol),1,0),1))</f>
        <v/>
      </c>
      <c r="CT265" s="124" t="str">
        <f>IF($B265="","",IFERROR(IF(OR(ABS(AB265+AC265-AD265)&gt;P_Tol,ABS(AM265+AN265-AO265)&gt;P_Tol,ABS(O265+P265-Q265)&gt;P_Tol),1,0),1))</f>
        <v/>
      </c>
      <c r="CU265" s="124" t="str">
        <f>IF($B265="","",IFERROR(IF(ABS(R265-(AB265+AM265+AP265+AR265+AT265+AV265+AX265+AZ265+BB265+BD265))&gt;P_Tol,1,0),1))</f>
        <v/>
      </c>
      <c r="CV265" s="124" t="str">
        <f>IF($B265="","",IFERROR(IF(ABS(M265-(N265+O265+R265))&gt;P_Tol,1,0),1))</f>
        <v/>
      </c>
      <c r="CW265" s="124" t="str">
        <f>IF($B265="","",IF(COUNTIF(Mapping!$A$5:$A$104,B265)&gt;0,1,0))</f>
        <v/>
      </c>
      <c r="CX265" s="124" t="str">
        <f>IF($B265="","",COUNTIF($B$6:$B$505,B265))</f>
        <v/>
      </c>
      <c r="CY265" s="124" t="str">
        <f>IF($B265="","",COUNTIF(STG_Woningetalage!$B$6:$B$505,B265))</f>
        <v/>
      </c>
      <c r="CZ265" s="124" t="str">
        <f>IF($B265="","",IF(CW265=0,COUNTIF($CW$6:CW265,0),""))</f>
        <v/>
      </c>
    </row>
    <row r="266">
      <c r="A266" s="15" t="n">
        <v>262</v>
      </c>
      <c r="B266" t="str">
        <f>IF(B$3=0,"",IF(INDEX(SRC_ZPMW03!$A$1:$ZZ$501,$A266,B$3)&amp;""="","",INDEX(SRC_ZPMW03!$A$1:$ZZ$501,$A266,B$3)&amp;""))</f>
        <v/>
      </c>
      <c r="C266" t="str">
        <f>IF($B266="","",IF(C$3=0,"n.b.",INDEX(SRC_ZPMW03!$A$1:$ZZ$501,$A266,C$3)))</f>
        <v/>
      </c>
      <c r="D266" t="str">
        <f>IF($B266="","",IF(D$3=0,"n.b.",INDEX(SRC_ZPMW03!$A$1:$ZZ$501,$A266,D$3)))</f>
        <v/>
      </c>
      <c r="E266" t="str">
        <f>IF($B266="","",IF(E$3=0,"n.b.",INDEX(SRC_ZPMW03!$A$1:$ZZ$501,$A266,E$3)))</f>
        <v/>
      </c>
      <c r="F266" t="str">
        <f>IF($B266="","",IF(F$3=0,"n.b.",INDEX(SRC_ZPMW03!$A$1:$ZZ$501,$A266,F$3)))</f>
        <v/>
      </c>
      <c r="G266" t="str">
        <f>IF($B266="","",IF(G$3=0,"n.b.",INDEX(SRC_ZPMW03!$A$1:$ZZ$501,$A266,G$3)))</f>
        <v/>
      </c>
      <c r="H266" t="str">
        <f>IF($B266="","",IF(H$3=0,"n.b.",INDEX(SRC_ZPMW03!$A$1:$ZZ$501,$A266,H$3)))</f>
        <v/>
      </c>
      <c r="I266" t="str">
        <f>IF($B266="","",IF(I$3=0,"n.b.",INDEX(SRC_ZPMW03!$A$1:$ZZ$501,$A266,I$3)))</f>
        <v/>
      </c>
      <c r="J266" t="str">
        <f>IF($B266="","",IF(J$3=0,"n.b.",INDEX(SRC_ZPMW03!$A$1:$ZZ$501,$A266,J$3)))</f>
        <v/>
      </c>
      <c r="K266" t="str">
        <f>IF($B266="","",IF(K$3=0,"n.b.",INDEX(SRC_ZPMW03!$A$1:$ZZ$501,$A266,K$3)))</f>
        <v/>
      </c>
      <c r="L266" s="124" t="str">
        <f>IF($B266="","",IF(L$3=0,"n.b.",INDEX(SRC_ZPMW03!$A$1:$ZZ$501,$A266,L$3)))</f>
        <v/>
      </c>
      <c r="M266" s="124" t="str">
        <f>IF($B266="","",IF(M$3=0,"n.b.",INDEX(SRC_ZPMW03!$A$1:$ZZ$501,$A266,M$3)))</f>
        <v/>
      </c>
      <c r="N266" s="124" t="str">
        <f>IF($B266="","",IF(N$3=0,"n.b.",INDEX(SRC_ZPMW03!$A$1:$ZZ$501,$A266,N$3)))</f>
        <v/>
      </c>
      <c r="O266" s="124" t="str">
        <f>IF($B266="","",IF(O$3=0,"n.b.",INDEX(SRC_ZPMW03!$A$1:$ZZ$501,$A266,O$3)))</f>
        <v/>
      </c>
      <c r="P266" s="124" t="str">
        <f>IF($B266="","",IF(P$3=0,"n.b.",INDEX(SRC_ZPMW03!$A$1:$ZZ$501,$A266,P$3)))</f>
        <v/>
      </c>
      <c r="Q266" s="124" t="str">
        <f>IF($B266="","",IF(Q$3=0,"n.b.",INDEX(SRC_ZPMW03!$A$1:$ZZ$501,$A266,Q$3)))</f>
        <v/>
      </c>
      <c r="R266" s="124" t="str">
        <f>IF($B266="","",IF(R$3=0,"n.b.",INDEX(SRC_ZPMW03!$A$1:$ZZ$501,$A266,R$3)))</f>
        <v/>
      </c>
      <c r="S266" s="124" t="str">
        <f>IF($B266="","",IF(S$3=0,"n.b.",INDEX(SRC_ZPMW03!$A$1:$ZZ$501,$A266,S$3)))</f>
        <v/>
      </c>
      <c r="T266" s="124" t="str">
        <f>IF($B266="","",IF(T$3=0,"n.b.",INDEX(SRC_ZPMW03!$A$1:$ZZ$501,$A266,T$3)))</f>
        <v/>
      </c>
      <c r="U266" s="124" t="str">
        <f>IF($B266="","",IF(U$3=0,"n.b.",INDEX(SRC_ZPMW03!$A$1:$ZZ$501,$A266,U$3)))</f>
        <v/>
      </c>
      <c r="V266" s="124" t="str">
        <f>IF($B266="","",IF(V$3=0,"n.b.",INDEX(SRC_ZPMW03!$A$1:$ZZ$501,$A266,V$3)))</f>
        <v/>
      </c>
      <c r="W266" s="124" t="str">
        <f>IF($B266="","",IF(W$3=0,"n.b.",INDEX(SRC_ZPMW03!$A$1:$ZZ$501,$A266,W$3)))</f>
        <v/>
      </c>
      <c r="X266" s="124" t="str">
        <f>IF($B266="","",IF(X$3=0,"n.b.",INDEX(SRC_ZPMW03!$A$1:$ZZ$501,$A266,X$3)))</f>
        <v/>
      </c>
      <c r="Y266" s="124" t="str">
        <f>IF($B266="","",IF(Y$3=0,"n.b.",INDEX(SRC_ZPMW03!$A$1:$ZZ$501,$A266,Y$3)))</f>
        <v/>
      </c>
      <c r="Z266" s="124" t="str">
        <f>IF($B266="","",IF(Z$3=0,"n.b.",INDEX(SRC_ZPMW03!$A$1:$ZZ$501,$A266,Z$3)))</f>
        <v/>
      </c>
      <c r="AA266" s="124" t="str">
        <f>IF($B266="","",IF(AA$3=0,"n.b.",INDEX(SRC_ZPMW03!$A$1:$ZZ$501,$A266,AA$3)))</f>
        <v/>
      </c>
      <c r="AB266" s="124" t="str">
        <f>IF($B266="","",IF(AB$3=0,"n.b.",INDEX(SRC_ZPMW03!$A$1:$ZZ$501,$A266,AB$3)))</f>
        <v/>
      </c>
      <c r="AC266" s="124" t="str">
        <f>IF($B266="","",IF(AC$3=0,"n.b.",INDEX(SRC_ZPMW03!$A$1:$ZZ$501,$A266,AC$3)))</f>
        <v/>
      </c>
      <c r="AD266" s="124" t="str">
        <f>IF($B266="","",IF(AD$3=0,"n.b.",INDEX(SRC_ZPMW03!$A$1:$ZZ$501,$A266,AD$3)))</f>
        <v/>
      </c>
      <c r="AE266" s="124" t="str">
        <f>IF($B266="","",IF(AE$3=0,"n.b.",INDEX(SRC_ZPMW03!$A$1:$ZZ$501,$A266,AE$3)))</f>
        <v/>
      </c>
      <c r="AF266" s="124" t="str">
        <f>IF($B266="","",IF(AF$3=0,"n.b.",INDEX(SRC_ZPMW03!$A$1:$ZZ$501,$A266,AF$3)))</f>
        <v/>
      </c>
      <c r="AG266" s="124" t="str">
        <f>IF($B266="","",IF(AG$3=0,"n.b.",INDEX(SRC_ZPMW03!$A$1:$ZZ$501,$A266,AG$3)))</f>
        <v/>
      </c>
      <c r="AH266" s="124" t="str">
        <f>IF($B266="","",IF(AH$3=0,"n.b.",INDEX(SRC_ZPMW03!$A$1:$ZZ$501,$A266,AH$3)))</f>
        <v/>
      </c>
      <c r="AI266" s="124" t="str">
        <f>IF($B266="","",IF(AI$3=0,"n.b.",INDEX(SRC_ZPMW03!$A$1:$ZZ$501,$A266,AI$3)))</f>
        <v/>
      </c>
      <c r="AJ266" s="124" t="str">
        <f>IF($B266="","",IF(AJ$3=0,"n.b.",INDEX(SRC_ZPMW03!$A$1:$ZZ$501,$A266,AJ$3)))</f>
        <v/>
      </c>
      <c r="AK266" s="124" t="str">
        <f>IF($B266="","",IF(AK$3=0,"n.b.",INDEX(SRC_ZPMW03!$A$1:$ZZ$501,$A266,AK$3)))</f>
        <v/>
      </c>
      <c r="AL266" s="124" t="str">
        <f>IF($B266="","",IF(AL$3=0,"n.b.",INDEX(SRC_ZPMW03!$A$1:$ZZ$501,$A266,AL$3)))</f>
        <v/>
      </c>
      <c r="AM266" s="124" t="str">
        <f>IF($B266="","",IF(AM$3=0,"n.b.",INDEX(SRC_ZPMW03!$A$1:$ZZ$501,$A266,AM$3)))</f>
        <v/>
      </c>
      <c r="AN266" s="124" t="str">
        <f>IF($B266="","",IF(AN$3=0,"n.b.",INDEX(SRC_ZPMW03!$A$1:$ZZ$501,$A266,AN$3)))</f>
        <v/>
      </c>
      <c r="AO266" s="124" t="str">
        <f>IF($B266="","",IF(AO$3=0,"n.b.",INDEX(SRC_ZPMW03!$A$1:$ZZ$501,$A266,AO$3)))</f>
        <v/>
      </c>
      <c r="AP266" s="124" t="str">
        <f>IF($B266="","",IF(AP$3=0,"n.b.",INDEX(SRC_ZPMW03!$A$1:$ZZ$501,$A266,AP$3)))</f>
        <v/>
      </c>
      <c r="AQ266" s="124" t="str">
        <f>IF($B266="","",IF(AQ$3=0,"n.b.",INDEX(SRC_ZPMW03!$A$1:$ZZ$501,$A266,AQ$3)))</f>
        <v/>
      </c>
      <c r="AR266" s="124" t="str">
        <f>IF($B266="","",IF(AR$3=0,"n.b.",INDEX(SRC_ZPMW03!$A$1:$ZZ$501,$A266,AR$3)))</f>
        <v/>
      </c>
      <c r="AS266" s="124" t="str">
        <f>IF($B266="","",IF(AS$3=0,"n.b.",INDEX(SRC_ZPMW03!$A$1:$ZZ$501,$A266,AS$3)))</f>
        <v/>
      </c>
      <c r="AT266" s="124" t="str">
        <f>IF($B266="","",IF(AT$3=0,"n.b.",INDEX(SRC_ZPMW03!$A$1:$ZZ$501,$A266,AT$3)))</f>
        <v/>
      </c>
      <c r="AU266" s="124" t="str">
        <f>IF($B266="","",IF(AU$3=0,"n.b.",INDEX(SRC_ZPMW03!$A$1:$ZZ$501,$A266,AU$3)))</f>
        <v/>
      </c>
      <c r="AV266" s="124" t="str">
        <f>IF($B266="","",IF(AV$3=0,"n.b.",INDEX(SRC_ZPMW03!$A$1:$ZZ$501,$A266,AV$3)))</f>
        <v/>
      </c>
      <c r="AW266" s="124" t="str">
        <f>IF($B266="","",IF(AW$3=0,"n.b.",INDEX(SRC_ZPMW03!$A$1:$ZZ$501,$A266,AW$3)))</f>
        <v/>
      </c>
      <c r="AX266" s="124" t="str">
        <f>IF($B266="","",IF(AX$3=0,"n.b.",INDEX(SRC_ZPMW03!$A$1:$ZZ$501,$A266,AX$3)))</f>
        <v/>
      </c>
      <c r="AY266" s="124" t="str">
        <f>IF($B266="","",IF(AY$3=0,"n.b.",INDEX(SRC_ZPMW03!$A$1:$ZZ$501,$A266,AY$3)))</f>
        <v/>
      </c>
      <c r="AZ266" s="124" t="str">
        <f>IF($B266="","",IF(AZ$3=0,"n.b.",INDEX(SRC_ZPMW03!$A$1:$ZZ$501,$A266,AZ$3)))</f>
        <v/>
      </c>
      <c r="BA266" s="124" t="str">
        <f>IF($B266="","",IF(BA$3=0,"n.b.",INDEX(SRC_ZPMW03!$A$1:$ZZ$501,$A266,BA$3)))</f>
        <v/>
      </c>
      <c r="BB266" s="124" t="str">
        <f>IF($B266="","",IF(BB$3=0,"n.b.",INDEX(SRC_ZPMW03!$A$1:$ZZ$501,$A266,BB$3)))</f>
        <v/>
      </c>
      <c r="BC266" s="124" t="str">
        <f>IF($B266="","",IF(BC$3=0,"n.b.",INDEX(SRC_ZPMW03!$A$1:$ZZ$501,$A266,BC$3)))</f>
        <v/>
      </c>
      <c r="BD266" s="124" t="str">
        <f>IF($B266="","",IF(BD$3=0,"n.b.",INDEX(SRC_ZPMW03!$A$1:$ZZ$501,$A266,BD$3)))</f>
        <v/>
      </c>
      <c r="BE266" s="124" t="str">
        <f>IF($B266="","",IF(BE$3=0,"n.b.",INDEX(SRC_ZPMW03!$A$1:$ZZ$501,$A266,BE$3)))</f>
        <v/>
      </c>
      <c r="BF266" s="124" t="str">
        <f>IF($B266="","",IF(BF$3=0,"n.b.",INDEX(SRC_ZPMW03!$A$1:$ZZ$501,$A266,BF$3)))</f>
        <v/>
      </c>
      <c r="BG266" t="str">
        <f>IF($B266="","",IF(BG$3=0,"n.b.",INDEX(SRC_ZPMW03!$A$1:$ZZ$501,$A266,BG$3)))</f>
        <v/>
      </c>
      <c r="BH266" t="str">
        <f>IF($B266="","",IF(BH$3=0,"n.b.",INDEX(SRC_ZPMW03!$A$1:$ZZ$501,$A266,BH$3)))</f>
        <v/>
      </c>
      <c r="BI266" t="str">
        <f>IF($B266="","",IF(BI$3=0,"n.b.",INDEX(SRC_ZPMW03!$A$1:$ZZ$501,$A266,BI$3)))</f>
        <v/>
      </c>
      <c r="BJ266" t="str">
        <f>IF($B266="","",IF(BJ$3=0,"n.b.",INDEX(SRC_ZPMW03!$A$1:$ZZ$501,$A266,BJ$3)))</f>
        <v/>
      </c>
      <c r="BK266" s="124" t="str">
        <f>IF($B266="","",IFERROR(-O266,"n.b."))</f>
        <v/>
      </c>
      <c r="BL266" s="124" t="str">
        <f>IF($B266="","",IFERROR(-Q266,"n.b."))</f>
        <v/>
      </c>
      <c r="BM266" s="124" t="str">
        <f>IF($B266="","",IFERROR(-AB266,"n.b."))</f>
        <v/>
      </c>
      <c r="BN266" s="124" t="str">
        <f>IF($B266="","",IFERROR(-AD266,"n.b."))</f>
        <v/>
      </c>
      <c r="BO266" s="124" t="str">
        <f>IF($B266="","",IFERROR(BK266+BM266,"n.b."))</f>
        <v/>
      </c>
      <c r="BP266" s="124" t="str">
        <f>IF($B266="","",IFERROR(BL266+BN266,"n.b."))</f>
        <v/>
      </c>
      <c r="BQ266" s="124" t="str">
        <f>IF($B266="","",IFERROR(-AM266,"n.b."))</f>
        <v/>
      </c>
      <c r="BR266" s="124" t="str">
        <f>IF($B266="","",IFERROR(-AO266,"n.b."))</f>
        <v/>
      </c>
      <c r="BS266" s="124" t="str">
        <f>IF($B266="","",IFERROR(-Z266,"n.b."))</f>
        <v/>
      </c>
      <c r="BT266" s="124" t="str">
        <f>IF($B266="","",IFERROR(-AA266,"n.b."))</f>
        <v/>
      </c>
      <c r="BU266" s="124" t="str">
        <f>IF($B266="","",IFERROR(-AE266,"n.b."))</f>
        <v/>
      </c>
      <c r="BV266" s="124" t="str">
        <f>IF($B266="","",IFERROR(-AF266,"n.b."))</f>
        <v/>
      </c>
      <c r="BW266" s="124" t="str">
        <f>IF($B266="","",IFERROR(-AG266,"n.b."))</f>
        <v/>
      </c>
      <c r="BX266" s="124" t="str">
        <f>IF($B266="","",IFERROR(-AH266,"n.b."))</f>
        <v/>
      </c>
      <c r="BY266" s="124" t="str">
        <f>IF($B266="","",IFERROR(-AI266,"n.b."))</f>
        <v/>
      </c>
      <c r="BZ266" s="124" t="str">
        <f>IF($B266="","",IFERROR(-AJ266,"n.b."))</f>
        <v/>
      </c>
      <c r="CA266" s="124" t="str">
        <f>IF($B266="","",IFERROR(-AK266,"n.b."))</f>
        <v/>
      </c>
      <c r="CB266" s="124" t="str">
        <f>IF($B266="","",IFERROR(-AL266,"n.b."))</f>
        <v/>
      </c>
      <c r="CC266" s="124" t="str">
        <f>IF($B266="","",IFERROR(-AP266,"n.b."))</f>
        <v/>
      </c>
      <c r="CD266" s="124" t="str">
        <f>IF($B266="","",IFERROR(-AQ266,"n.b."))</f>
        <v/>
      </c>
      <c r="CE266" s="124" t="str">
        <f>IF($B266="","",IFERROR(-AR266,"n.b."))</f>
        <v/>
      </c>
      <c r="CF266" s="124" t="str">
        <f>IF($B266="","",IFERROR(-AS266,"n.b."))</f>
        <v/>
      </c>
      <c r="CG266" s="124" t="str">
        <f>IF($B266="","",IFERROR(-AT266,"n.b."))</f>
        <v/>
      </c>
      <c r="CH266" s="124" t="str">
        <f>IF($B266="","",IFERROR(-AU266,"n.b."))</f>
        <v/>
      </c>
      <c r="CI266" s="124" t="str">
        <f>IF($B266="","",IFERROR(-AV266,"n.b."))</f>
        <v/>
      </c>
      <c r="CJ266" s="124" t="str">
        <f>IF($B266="","",IFERROR(-AW266,"n.b."))</f>
        <v/>
      </c>
      <c r="CK266" s="124" t="str">
        <f>IF($B266="","",IFERROR(-AX266,"n.b."))</f>
        <v/>
      </c>
      <c r="CL266" s="124" t="str">
        <f>IF($B266="","",IFERROR(-AY266,"n.b."))</f>
        <v/>
      </c>
      <c r="CM266" s="124" t="str">
        <f>IF($B266="","",IFERROR(-AZ266,"n.b."))</f>
        <v/>
      </c>
      <c r="CN266" s="124" t="str">
        <f>IF($B266="","",IFERROR(-BA266,"n.b."))</f>
        <v/>
      </c>
      <c r="CO266" s="124" t="str">
        <f>IF($B266="","",IFERROR(-BB266,"n.b."))</f>
        <v/>
      </c>
      <c r="CP266" s="124" t="str">
        <f>IF($B266="","",IFERROR(-BC266,"n.b."))</f>
        <v/>
      </c>
      <c r="CQ266" s="124" t="str">
        <f>IF($B266="","",IFERROR(-BD266,"n.b."))</f>
        <v/>
      </c>
      <c r="CR266" s="124" t="str">
        <f>IF($B266="","",IFERROR(-BE266,"n.b."))</f>
        <v/>
      </c>
      <c r="CS266" s="124" t="str">
        <f>IF($B266="","",IFERROR(IF(OR(ABS(T266+V266+X266+Z266-AB266)&gt;P_Tol,ABS(U266+W266+Y266+AA266-AD266)&gt;P_Tol,ABS(AE266+AG266+AI266+AK266-AM266)&gt;P_Tol,ABS(AF266+AH266+AJ266+AL266-AO266)&gt;P_Tol),1,0),1))</f>
        <v/>
      </c>
      <c r="CT266" s="124" t="str">
        <f>IF($B266="","",IFERROR(IF(OR(ABS(AB266+AC266-AD266)&gt;P_Tol,ABS(AM266+AN266-AO266)&gt;P_Tol,ABS(O266+P266-Q266)&gt;P_Tol),1,0),1))</f>
        <v/>
      </c>
      <c r="CU266" s="124" t="str">
        <f>IF($B266="","",IFERROR(IF(ABS(R266-(AB266+AM266+AP266+AR266+AT266+AV266+AX266+AZ266+BB266+BD266))&gt;P_Tol,1,0),1))</f>
        <v/>
      </c>
      <c r="CV266" s="124" t="str">
        <f>IF($B266="","",IFERROR(IF(ABS(M266-(N266+O266+R266))&gt;P_Tol,1,0),1))</f>
        <v/>
      </c>
      <c r="CW266" s="124" t="str">
        <f>IF($B266="","",IF(COUNTIF(Mapping!$A$5:$A$104,B266)&gt;0,1,0))</f>
        <v/>
      </c>
      <c r="CX266" s="124" t="str">
        <f>IF($B266="","",COUNTIF($B$6:$B$505,B266))</f>
        <v/>
      </c>
      <c r="CY266" s="124" t="str">
        <f>IF($B266="","",COUNTIF(STG_Woningetalage!$B$6:$B$505,B266))</f>
        <v/>
      </c>
      <c r="CZ266" s="124" t="str">
        <f>IF($B266="","",IF(CW266=0,COUNTIF($CW$6:CW266,0),""))</f>
        <v/>
      </c>
    </row>
    <row r="267">
      <c r="A267" s="15" t="n">
        <v>263</v>
      </c>
      <c r="B267" t="str">
        <f>IF(B$3=0,"",IF(INDEX(SRC_ZPMW03!$A$1:$ZZ$501,$A267,B$3)&amp;""="","",INDEX(SRC_ZPMW03!$A$1:$ZZ$501,$A267,B$3)&amp;""))</f>
        <v/>
      </c>
      <c r="C267" t="str">
        <f>IF($B267="","",IF(C$3=0,"n.b.",INDEX(SRC_ZPMW03!$A$1:$ZZ$501,$A267,C$3)))</f>
        <v/>
      </c>
      <c r="D267" t="str">
        <f>IF($B267="","",IF(D$3=0,"n.b.",INDEX(SRC_ZPMW03!$A$1:$ZZ$501,$A267,D$3)))</f>
        <v/>
      </c>
      <c r="E267" t="str">
        <f>IF($B267="","",IF(E$3=0,"n.b.",INDEX(SRC_ZPMW03!$A$1:$ZZ$501,$A267,E$3)))</f>
        <v/>
      </c>
      <c r="F267" t="str">
        <f>IF($B267="","",IF(F$3=0,"n.b.",INDEX(SRC_ZPMW03!$A$1:$ZZ$501,$A267,F$3)))</f>
        <v/>
      </c>
      <c r="G267" t="str">
        <f>IF($B267="","",IF(G$3=0,"n.b.",INDEX(SRC_ZPMW03!$A$1:$ZZ$501,$A267,G$3)))</f>
        <v/>
      </c>
      <c r="H267" t="str">
        <f>IF($B267="","",IF(H$3=0,"n.b.",INDEX(SRC_ZPMW03!$A$1:$ZZ$501,$A267,H$3)))</f>
        <v/>
      </c>
      <c r="I267" t="str">
        <f>IF($B267="","",IF(I$3=0,"n.b.",INDEX(SRC_ZPMW03!$A$1:$ZZ$501,$A267,I$3)))</f>
        <v/>
      </c>
      <c r="J267" t="str">
        <f>IF($B267="","",IF(J$3=0,"n.b.",INDEX(SRC_ZPMW03!$A$1:$ZZ$501,$A267,J$3)))</f>
        <v/>
      </c>
      <c r="K267" t="str">
        <f>IF($B267="","",IF(K$3=0,"n.b.",INDEX(SRC_ZPMW03!$A$1:$ZZ$501,$A267,K$3)))</f>
        <v/>
      </c>
      <c r="L267" s="124" t="str">
        <f>IF($B267="","",IF(L$3=0,"n.b.",INDEX(SRC_ZPMW03!$A$1:$ZZ$501,$A267,L$3)))</f>
        <v/>
      </c>
      <c r="M267" s="124" t="str">
        <f>IF($B267="","",IF(M$3=0,"n.b.",INDEX(SRC_ZPMW03!$A$1:$ZZ$501,$A267,M$3)))</f>
        <v/>
      </c>
      <c r="N267" s="124" t="str">
        <f>IF($B267="","",IF(N$3=0,"n.b.",INDEX(SRC_ZPMW03!$A$1:$ZZ$501,$A267,N$3)))</f>
        <v/>
      </c>
      <c r="O267" s="124" t="str">
        <f>IF($B267="","",IF(O$3=0,"n.b.",INDEX(SRC_ZPMW03!$A$1:$ZZ$501,$A267,O$3)))</f>
        <v/>
      </c>
      <c r="P267" s="124" t="str">
        <f>IF($B267="","",IF(P$3=0,"n.b.",INDEX(SRC_ZPMW03!$A$1:$ZZ$501,$A267,P$3)))</f>
        <v/>
      </c>
      <c r="Q267" s="124" t="str">
        <f>IF($B267="","",IF(Q$3=0,"n.b.",INDEX(SRC_ZPMW03!$A$1:$ZZ$501,$A267,Q$3)))</f>
        <v/>
      </c>
      <c r="R267" s="124" t="str">
        <f>IF($B267="","",IF(R$3=0,"n.b.",INDEX(SRC_ZPMW03!$A$1:$ZZ$501,$A267,R$3)))</f>
        <v/>
      </c>
      <c r="S267" s="124" t="str">
        <f>IF($B267="","",IF(S$3=0,"n.b.",INDEX(SRC_ZPMW03!$A$1:$ZZ$501,$A267,S$3)))</f>
        <v/>
      </c>
      <c r="T267" s="124" t="str">
        <f>IF($B267="","",IF(T$3=0,"n.b.",INDEX(SRC_ZPMW03!$A$1:$ZZ$501,$A267,T$3)))</f>
        <v/>
      </c>
      <c r="U267" s="124" t="str">
        <f>IF($B267="","",IF(U$3=0,"n.b.",INDEX(SRC_ZPMW03!$A$1:$ZZ$501,$A267,U$3)))</f>
        <v/>
      </c>
      <c r="V267" s="124" t="str">
        <f>IF($B267="","",IF(V$3=0,"n.b.",INDEX(SRC_ZPMW03!$A$1:$ZZ$501,$A267,V$3)))</f>
        <v/>
      </c>
      <c r="W267" s="124" t="str">
        <f>IF($B267="","",IF(W$3=0,"n.b.",INDEX(SRC_ZPMW03!$A$1:$ZZ$501,$A267,W$3)))</f>
        <v/>
      </c>
      <c r="X267" s="124" t="str">
        <f>IF($B267="","",IF(X$3=0,"n.b.",INDEX(SRC_ZPMW03!$A$1:$ZZ$501,$A267,X$3)))</f>
        <v/>
      </c>
      <c r="Y267" s="124" t="str">
        <f>IF($B267="","",IF(Y$3=0,"n.b.",INDEX(SRC_ZPMW03!$A$1:$ZZ$501,$A267,Y$3)))</f>
        <v/>
      </c>
      <c r="Z267" s="124" t="str">
        <f>IF($B267="","",IF(Z$3=0,"n.b.",INDEX(SRC_ZPMW03!$A$1:$ZZ$501,$A267,Z$3)))</f>
        <v/>
      </c>
      <c r="AA267" s="124" t="str">
        <f>IF($B267="","",IF(AA$3=0,"n.b.",INDEX(SRC_ZPMW03!$A$1:$ZZ$501,$A267,AA$3)))</f>
        <v/>
      </c>
      <c r="AB267" s="124" t="str">
        <f>IF($B267="","",IF(AB$3=0,"n.b.",INDEX(SRC_ZPMW03!$A$1:$ZZ$501,$A267,AB$3)))</f>
        <v/>
      </c>
      <c r="AC267" s="124" t="str">
        <f>IF($B267="","",IF(AC$3=0,"n.b.",INDEX(SRC_ZPMW03!$A$1:$ZZ$501,$A267,AC$3)))</f>
        <v/>
      </c>
      <c r="AD267" s="124" t="str">
        <f>IF($B267="","",IF(AD$3=0,"n.b.",INDEX(SRC_ZPMW03!$A$1:$ZZ$501,$A267,AD$3)))</f>
        <v/>
      </c>
      <c r="AE267" s="124" t="str">
        <f>IF($B267="","",IF(AE$3=0,"n.b.",INDEX(SRC_ZPMW03!$A$1:$ZZ$501,$A267,AE$3)))</f>
        <v/>
      </c>
      <c r="AF267" s="124" t="str">
        <f>IF($B267="","",IF(AF$3=0,"n.b.",INDEX(SRC_ZPMW03!$A$1:$ZZ$501,$A267,AF$3)))</f>
        <v/>
      </c>
      <c r="AG267" s="124" t="str">
        <f>IF($B267="","",IF(AG$3=0,"n.b.",INDEX(SRC_ZPMW03!$A$1:$ZZ$501,$A267,AG$3)))</f>
        <v/>
      </c>
      <c r="AH267" s="124" t="str">
        <f>IF($B267="","",IF(AH$3=0,"n.b.",INDEX(SRC_ZPMW03!$A$1:$ZZ$501,$A267,AH$3)))</f>
        <v/>
      </c>
      <c r="AI267" s="124" t="str">
        <f>IF($B267="","",IF(AI$3=0,"n.b.",INDEX(SRC_ZPMW03!$A$1:$ZZ$501,$A267,AI$3)))</f>
        <v/>
      </c>
      <c r="AJ267" s="124" t="str">
        <f>IF($B267="","",IF(AJ$3=0,"n.b.",INDEX(SRC_ZPMW03!$A$1:$ZZ$501,$A267,AJ$3)))</f>
        <v/>
      </c>
      <c r="AK267" s="124" t="str">
        <f>IF($B267="","",IF(AK$3=0,"n.b.",INDEX(SRC_ZPMW03!$A$1:$ZZ$501,$A267,AK$3)))</f>
        <v/>
      </c>
      <c r="AL267" s="124" t="str">
        <f>IF($B267="","",IF(AL$3=0,"n.b.",INDEX(SRC_ZPMW03!$A$1:$ZZ$501,$A267,AL$3)))</f>
        <v/>
      </c>
      <c r="AM267" s="124" t="str">
        <f>IF($B267="","",IF(AM$3=0,"n.b.",INDEX(SRC_ZPMW03!$A$1:$ZZ$501,$A267,AM$3)))</f>
        <v/>
      </c>
      <c r="AN267" s="124" t="str">
        <f>IF($B267="","",IF(AN$3=0,"n.b.",INDEX(SRC_ZPMW03!$A$1:$ZZ$501,$A267,AN$3)))</f>
        <v/>
      </c>
      <c r="AO267" s="124" t="str">
        <f>IF($B267="","",IF(AO$3=0,"n.b.",INDEX(SRC_ZPMW03!$A$1:$ZZ$501,$A267,AO$3)))</f>
        <v/>
      </c>
      <c r="AP267" s="124" t="str">
        <f>IF($B267="","",IF(AP$3=0,"n.b.",INDEX(SRC_ZPMW03!$A$1:$ZZ$501,$A267,AP$3)))</f>
        <v/>
      </c>
      <c r="AQ267" s="124" t="str">
        <f>IF($B267="","",IF(AQ$3=0,"n.b.",INDEX(SRC_ZPMW03!$A$1:$ZZ$501,$A267,AQ$3)))</f>
        <v/>
      </c>
      <c r="AR267" s="124" t="str">
        <f>IF($B267="","",IF(AR$3=0,"n.b.",INDEX(SRC_ZPMW03!$A$1:$ZZ$501,$A267,AR$3)))</f>
        <v/>
      </c>
      <c r="AS267" s="124" t="str">
        <f>IF($B267="","",IF(AS$3=0,"n.b.",INDEX(SRC_ZPMW03!$A$1:$ZZ$501,$A267,AS$3)))</f>
        <v/>
      </c>
      <c r="AT267" s="124" t="str">
        <f>IF($B267="","",IF(AT$3=0,"n.b.",INDEX(SRC_ZPMW03!$A$1:$ZZ$501,$A267,AT$3)))</f>
        <v/>
      </c>
      <c r="AU267" s="124" t="str">
        <f>IF($B267="","",IF(AU$3=0,"n.b.",INDEX(SRC_ZPMW03!$A$1:$ZZ$501,$A267,AU$3)))</f>
        <v/>
      </c>
      <c r="AV267" s="124" t="str">
        <f>IF($B267="","",IF(AV$3=0,"n.b.",INDEX(SRC_ZPMW03!$A$1:$ZZ$501,$A267,AV$3)))</f>
        <v/>
      </c>
      <c r="AW267" s="124" t="str">
        <f>IF($B267="","",IF(AW$3=0,"n.b.",INDEX(SRC_ZPMW03!$A$1:$ZZ$501,$A267,AW$3)))</f>
        <v/>
      </c>
      <c r="AX267" s="124" t="str">
        <f>IF($B267="","",IF(AX$3=0,"n.b.",INDEX(SRC_ZPMW03!$A$1:$ZZ$501,$A267,AX$3)))</f>
        <v/>
      </c>
      <c r="AY267" s="124" t="str">
        <f>IF($B267="","",IF(AY$3=0,"n.b.",INDEX(SRC_ZPMW03!$A$1:$ZZ$501,$A267,AY$3)))</f>
        <v/>
      </c>
      <c r="AZ267" s="124" t="str">
        <f>IF($B267="","",IF(AZ$3=0,"n.b.",INDEX(SRC_ZPMW03!$A$1:$ZZ$501,$A267,AZ$3)))</f>
        <v/>
      </c>
      <c r="BA267" s="124" t="str">
        <f>IF($B267="","",IF(BA$3=0,"n.b.",INDEX(SRC_ZPMW03!$A$1:$ZZ$501,$A267,BA$3)))</f>
        <v/>
      </c>
      <c r="BB267" s="124" t="str">
        <f>IF($B267="","",IF(BB$3=0,"n.b.",INDEX(SRC_ZPMW03!$A$1:$ZZ$501,$A267,BB$3)))</f>
        <v/>
      </c>
      <c r="BC267" s="124" t="str">
        <f>IF($B267="","",IF(BC$3=0,"n.b.",INDEX(SRC_ZPMW03!$A$1:$ZZ$501,$A267,BC$3)))</f>
        <v/>
      </c>
      <c r="BD267" s="124" t="str">
        <f>IF($B267="","",IF(BD$3=0,"n.b.",INDEX(SRC_ZPMW03!$A$1:$ZZ$501,$A267,BD$3)))</f>
        <v/>
      </c>
      <c r="BE267" s="124" t="str">
        <f>IF($B267="","",IF(BE$3=0,"n.b.",INDEX(SRC_ZPMW03!$A$1:$ZZ$501,$A267,BE$3)))</f>
        <v/>
      </c>
      <c r="BF267" s="124" t="str">
        <f>IF($B267="","",IF(BF$3=0,"n.b.",INDEX(SRC_ZPMW03!$A$1:$ZZ$501,$A267,BF$3)))</f>
        <v/>
      </c>
      <c r="BG267" t="str">
        <f>IF($B267="","",IF(BG$3=0,"n.b.",INDEX(SRC_ZPMW03!$A$1:$ZZ$501,$A267,BG$3)))</f>
        <v/>
      </c>
      <c r="BH267" t="str">
        <f>IF($B267="","",IF(BH$3=0,"n.b.",INDEX(SRC_ZPMW03!$A$1:$ZZ$501,$A267,BH$3)))</f>
        <v/>
      </c>
      <c r="BI267" t="str">
        <f>IF($B267="","",IF(BI$3=0,"n.b.",INDEX(SRC_ZPMW03!$A$1:$ZZ$501,$A267,BI$3)))</f>
        <v/>
      </c>
      <c r="BJ267" t="str">
        <f>IF($B267="","",IF(BJ$3=0,"n.b.",INDEX(SRC_ZPMW03!$A$1:$ZZ$501,$A267,BJ$3)))</f>
        <v/>
      </c>
      <c r="BK267" s="124" t="str">
        <f>IF($B267="","",IFERROR(-O267,"n.b."))</f>
        <v/>
      </c>
      <c r="BL267" s="124" t="str">
        <f>IF($B267="","",IFERROR(-Q267,"n.b."))</f>
        <v/>
      </c>
      <c r="BM267" s="124" t="str">
        <f>IF($B267="","",IFERROR(-AB267,"n.b."))</f>
        <v/>
      </c>
      <c r="BN267" s="124" t="str">
        <f>IF($B267="","",IFERROR(-AD267,"n.b."))</f>
        <v/>
      </c>
      <c r="BO267" s="124" t="str">
        <f>IF($B267="","",IFERROR(BK267+BM267,"n.b."))</f>
        <v/>
      </c>
      <c r="BP267" s="124" t="str">
        <f>IF($B267="","",IFERROR(BL267+BN267,"n.b."))</f>
        <v/>
      </c>
      <c r="BQ267" s="124" t="str">
        <f>IF($B267="","",IFERROR(-AM267,"n.b."))</f>
        <v/>
      </c>
      <c r="BR267" s="124" t="str">
        <f>IF($B267="","",IFERROR(-AO267,"n.b."))</f>
        <v/>
      </c>
      <c r="BS267" s="124" t="str">
        <f>IF($B267="","",IFERROR(-Z267,"n.b."))</f>
        <v/>
      </c>
      <c r="BT267" s="124" t="str">
        <f>IF($B267="","",IFERROR(-AA267,"n.b."))</f>
        <v/>
      </c>
      <c r="BU267" s="124" t="str">
        <f>IF($B267="","",IFERROR(-AE267,"n.b."))</f>
        <v/>
      </c>
      <c r="BV267" s="124" t="str">
        <f>IF($B267="","",IFERROR(-AF267,"n.b."))</f>
        <v/>
      </c>
      <c r="BW267" s="124" t="str">
        <f>IF($B267="","",IFERROR(-AG267,"n.b."))</f>
        <v/>
      </c>
      <c r="BX267" s="124" t="str">
        <f>IF($B267="","",IFERROR(-AH267,"n.b."))</f>
        <v/>
      </c>
      <c r="BY267" s="124" t="str">
        <f>IF($B267="","",IFERROR(-AI267,"n.b."))</f>
        <v/>
      </c>
      <c r="BZ267" s="124" t="str">
        <f>IF($B267="","",IFERROR(-AJ267,"n.b."))</f>
        <v/>
      </c>
      <c r="CA267" s="124" t="str">
        <f>IF($B267="","",IFERROR(-AK267,"n.b."))</f>
        <v/>
      </c>
      <c r="CB267" s="124" t="str">
        <f>IF($B267="","",IFERROR(-AL267,"n.b."))</f>
        <v/>
      </c>
      <c r="CC267" s="124" t="str">
        <f>IF($B267="","",IFERROR(-AP267,"n.b."))</f>
        <v/>
      </c>
      <c r="CD267" s="124" t="str">
        <f>IF($B267="","",IFERROR(-AQ267,"n.b."))</f>
        <v/>
      </c>
      <c r="CE267" s="124" t="str">
        <f>IF($B267="","",IFERROR(-AR267,"n.b."))</f>
        <v/>
      </c>
      <c r="CF267" s="124" t="str">
        <f>IF($B267="","",IFERROR(-AS267,"n.b."))</f>
        <v/>
      </c>
      <c r="CG267" s="124" t="str">
        <f>IF($B267="","",IFERROR(-AT267,"n.b."))</f>
        <v/>
      </c>
      <c r="CH267" s="124" t="str">
        <f>IF($B267="","",IFERROR(-AU267,"n.b."))</f>
        <v/>
      </c>
      <c r="CI267" s="124" t="str">
        <f>IF($B267="","",IFERROR(-AV267,"n.b."))</f>
        <v/>
      </c>
      <c r="CJ267" s="124" t="str">
        <f>IF($B267="","",IFERROR(-AW267,"n.b."))</f>
        <v/>
      </c>
      <c r="CK267" s="124" t="str">
        <f>IF($B267="","",IFERROR(-AX267,"n.b."))</f>
        <v/>
      </c>
      <c r="CL267" s="124" t="str">
        <f>IF($B267="","",IFERROR(-AY267,"n.b."))</f>
        <v/>
      </c>
      <c r="CM267" s="124" t="str">
        <f>IF($B267="","",IFERROR(-AZ267,"n.b."))</f>
        <v/>
      </c>
      <c r="CN267" s="124" t="str">
        <f>IF($B267="","",IFERROR(-BA267,"n.b."))</f>
        <v/>
      </c>
      <c r="CO267" s="124" t="str">
        <f>IF($B267="","",IFERROR(-BB267,"n.b."))</f>
        <v/>
      </c>
      <c r="CP267" s="124" t="str">
        <f>IF($B267="","",IFERROR(-BC267,"n.b."))</f>
        <v/>
      </c>
      <c r="CQ267" s="124" t="str">
        <f>IF($B267="","",IFERROR(-BD267,"n.b."))</f>
        <v/>
      </c>
      <c r="CR267" s="124" t="str">
        <f>IF($B267="","",IFERROR(-BE267,"n.b."))</f>
        <v/>
      </c>
      <c r="CS267" s="124" t="str">
        <f>IF($B267="","",IFERROR(IF(OR(ABS(T267+V267+X267+Z267-AB267)&gt;P_Tol,ABS(U267+W267+Y267+AA267-AD267)&gt;P_Tol,ABS(AE267+AG267+AI267+AK267-AM267)&gt;P_Tol,ABS(AF267+AH267+AJ267+AL267-AO267)&gt;P_Tol),1,0),1))</f>
        <v/>
      </c>
      <c r="CT267" s="124" t="str">
        <f>IF($B267="","",IFERROR(IF(OR(ABS(AB267+AC267-AD267)&gt;P_Tol,ABS(AM267+AN267-AO267)&gt;P_Tol,ABS(O267+P267-Q267)&gt;P_Tol),1,0),1))</f>
        <v/>
      </c>
      <c r="CU267" s="124" t="str">
        <f>IF($B267="","",IFERROR(IF(ABS(R267-(AB267+AM267+AP267+AR267+AT267+AV267+AX267+AZ267+BB267+BD267))&gt;P_Tol,1,0),1))</f>
        <v/>
      </c>
      <c r="CV267" s="124" t="str">
        <f>IF($B267="","",IFERROR(IF(ABS(M267-(N267+O267+R267))&gt;P_Tol,1,0),1))</f>
        <v/>
      </c>
      <c r="CW267" s="124" t="str">
        <f>IF($B267="","",IF(COUNTIF(Mapping!$A$5:$A$104,B267)&gt;0,1,0))</f>
        <v/>
      </c>
      <c r="CX267" s="124" t="str">
        <f>IF($B267="","",COUNTIF($B$6:$B$505,B267))</f>
        <v/>
      </c>
      <c r="CY267" s="124" t="str">
        <f>IF($B267="","",COUNTIF(STG_Woningetalage!$B$6:$B$505,B267))</f>
        <v/>
      </c>
      <c r="CZ267" s="124" t="str">
        <f>IF($B267="","",IF(CW267=0,COUNTIF($CW$6:CW267,0),""))</f>
        <v/>
      </c>
    </row>
    <row r="268">
      <c r="A268" s="15" t="n">
        <v>264</v>
      </c>
      <c r="B268" t="str">
        <f>IF(B$3=0,"",IF(INDEX(SRC_ZPMW03!$A$1:$ZZ$501,$A268,B$3)&amp;""="","",INDEX(SRC_ZPMW03!$A$1:$ZZ$501,$A268,B$3)&amp;""))</f>
        <v/>
      </c>
      <c r="C268" t="str">
        <f>IF($B268="","",IF(C$3=0,"n.b.",INDEX(SRC_ZPMW03!$A$1:$ZZ$501,$A268,C$3)))</f>
        <v/>
      </c>
      <c r="D268" t="str">
        <f>IF($B268="","",IF(D$3=0,"n.b.",INDEX(SRC_ZPMW03!$A$1:$ZZ$501,$A268,D$3)))</f>
        <v/>
      </c>
      <c r="E268" t="str">
        <f>IF($B268="","",IF(E$3=0,"n.b.",INDEX(SRC_ZPMW03!$A$1:$ZZ$501,$A268,E$3)))</f>
        <v/>
      </c>
      <c r="F268" t="str">
        <f>IF($B268="","",IF(F$3=0,"n.b.",INDEX(SRC_ZPMW03!$A$1:$ZZ$501,$A268,F$3)))</f>
        <v/>
      </c>
      <c r="G268" t="str">
        <f>IF($B268="","",IF(G$3=0,"n.b.",INDEX(SRC_ZPMW03!$A$1:$ZZ$501,$A268,G$3)))</f>
        <v/>
      </c>
      <c r="H268" t="str">
        <f>IF($B268="","",IF(H$3=0,"n.b.",INDEX(SRC_ZPMW03!$A$1:$ZZ$501,$A268,H$3)))</f>
        <v/>
      </c>
      <c r="I268" t="str">
        <f>IF($B268="","",IF(I$3=0,"n.b.",INDEX(SRC_ZPMW03!$A$1:$ZZ$501,$A268,I$3)))</f>
        <v/>
      </c>
      <c r="J268" t="str">
        <f>IF($B268="","",IF(J$3=0,"n.b.",INDEX(SRC_ZPMW03!$A$1:$ZZ$501,$A268,J$3)))</f>
        <v/>
      </c>
      <c r="K268" t="str">
        <f>IF($B268="","",IF(K$3=0,"n.b.",INDEX(SRC_ZPMW03!$A$1:$ZZ$501,$A268,K$3)))</f>
        <v/>
      </c>
      <c r="L268" s="124" t="str">
        <f>IF($B268="","",IF(L$3=0,"n.b.",INDEX(SRC_ZPMW03!$A$1:$ZZ$501,$A268,L$3)))</f>
        <v/>
      </c>
      <c r="M268" s="124" t="str">
        <f>IF($B268="","",IF(M$3=0,"n.b.",INDEX(SRC_ZPMW03!$A$1:$ZZ$501,$A268,M$3)))</f>
        <v/>
      </c>
      <c r="N268" s="124" t="str">
        <f>IF($B268="","",IF(N$3=0,"n.b.",INDEX(SRC_ZPMW03!$A$1:$ZZ$501,$A268,N$3)))</f>
        <v/>
      </c>
      <c r="O268" s="124" t="str">
        <f>IF($B268="","",IF(O$3=0,"n.b.",INDEX(SRC_ZPMW03!$A$1:$ZZ$501,$A268,O$3)))</f>
        <v/>
      </c>
      <c r="P268" s="124" t="str">
        <f>IF($B268="","",IF(P$3=0,"n.b.",INDEX(SRC_ZPMW03!$A$1:$ZZ$501,$A268,P$3)))</f>
        <v/>
      </c>
      <c r="Q268" s="124" t="str">
        <f>IF($B268="","",IF(Q$3=0,"n.b.",INDEX(SRC_ZPMW03!$A$1:$ZZ$501,$A268,Q$3)))</f>
        <v/>
      </c>
      <c r="R268" s="124" t="str">
        <f>IF($B268="","",IF(R$3=0,"n.b.",INDEX(SRC_ZPMW03!$A$1:$ZZ$501,$A268,R$3)))</f>
        <v/>
      </c>
      <c r="S268" s="124" t="str">
        <f>IF($B268="","",IF(S$3=0,"n.b.",INDEX(SRC_ZPMW03!$A$1:$ZZ$501,$A268,S$3)))</f>
        <v/>
      </c>
      <c r="T268" s="124" t="str">
        <f>IF($B268="","",IF(T$3=0,"n.b.",INDEX(SRC_ZPMW03!$A$1:$ZZ$501,$A268,T$3)))</f>
        <v/>
      </c>
      <c r="U268" s="124" t="str">
        <f>IF($B268="","",IF(U$3=0,"n.b.",INDEX(SRC_ZPMW03!$A$1:$ZZ$501,$A268,U$3)))</f>
        <v/>
      </c>
      <c r="V268" s="124" t="str">
        <f>IF($B268="","",IF(V$3=0,"n.b.",INDEX(SRC_ZPMW03!$A$1:$ZZ$501,$A268,V$3)))</f>
        <v/>
      </c>
      <c r="W268" s="124" t="str">
        <f>IF($B268="","",IF(W$3=0,"n.b.",INDEX(SRC_ZPMW03!$A$1:$ZZ$501,$A268,W$3)))</f>
        <v/>
      </c>
      <c r="X268" s="124" t="str">
        <f>IF($B268="","",IF(X$3=0,"n.b.",INDEX(SRC_ZPMW03!$A$1:$ZZ$501,$A268,X$3)))</f>
        <v/>
      </c>
      <c r="Y268" s="124" t="str">
        <f>IF($B268="","",IF(Y$3=0,"n.b.",INDEX(SRC_ZPMW03!$A$1:$ZZ$501,$A268,Y$3)))</f>
        <v/>
      </c>
      <c r="Z268" s="124" t="str">
        <f>IF($B268="","",IF(Z$3=0,"n.b.",INDEX(SRC_ZPMW03!$A$1:$ZZ$501,$A268,Z$3)))</f>
        <v/>
      </c>
      <c r="AA268" s="124" t="str">
        <f>IF($B268="","",IF(AA$3=0,"n.b.",INDEX(SRC_ZPMW03!$A$1:$ZZ$501,$A268,AA$3)))</f>
        <v/>
      </c>
      <c r="AB268" s="124" t="str">
        <f>IF($B268="","",IF(AB$3=0,"n.b.",INDEX(SRC_ZPMW03!$A$1:$ZZ$501,$A268,AB$3)))</f>
        <v/>
      </c>
      <c r="AC268" s="124" t="str">
        <f>IF($B268="","",IF(AC$3=0,"n.b.",INDEX(SRC_ZPMW03!$A$1:$ZZ$501,$A268,AC$3)))</f>
        <v/>
      </c>
      <c r="AD268" s="124" t="str">
        <f>IF($B268="","",IF(AD$3=0,"n.b.",INDEX(SRC_ZPMW03!$A$1:$ZZ$501,$A268,AD$3)))</f>
        <v/>
      </c>
      <c r="AE268" s="124" t="str">
        <f>IF($B268="","",IF(AE$3=0,"n.b.",INDEX(SRC_ZPMW03!$A$1:$ZZ$501,$A268,AE$3)))</f>
        <v/>
      </c>
      <c r="AF268" s="124" t="str">
        <f>IF($B268="","",IF(AF$3=0,"n.b.",INDEX(SRC_ZPMW03!$A$1:$ZZ$501,$A268,AF$3)))</f>
        <v/>
      </c>
      <c r="AG268" s="124" t="str">
        <f>IF($B268="","",IF(AG$3=0,"n.b.",INDEX(SRC_ZPMW03!$A$1:$ZZ$501,$A268,AG$3)))</f>
        <v/>
      </c>
      <c r="AH268" s="124" t="str">
        <f>IF($B268="","",IF(AH$3=0,"n.b.",INDEX(SRC_ZPMW03!$A$1:$ZZ$501,$A268,AH$3)))</f>
        <v/>
      </c>
      <c r="AI268" s="124" t="str">
        <f>IF($B268="","",IF(AI$3=0,"n.b.",INDEX(SRC_ZPMW03!$A$1:$ZZ$501,$A268,AI$3)))</f>
        <v/>
      </c>
      <c r="AJ268" s="124" t="str">
        <f>IF($B268="","",IF(AJ$3=0,"n.b.",INDEX(SRC_ZPMW03!$A$1:$ZZ$501,$A268,AJ$3)))</f>
        <v/>
      </c>
      <c r="AK268" s="124" t="str">
        <f>IF($B268="","",IF(AK$3=0,"n.b.",INDEX(SRC_ZPMW03!$A$1:$ZZ$501,$A268,AK$3)))</f>
        <v/>
      </c>
      <c r="AL268" s="124" t="str">
        <f>IF($B268="","",IF(AL$3=0,"n.b.",INDEX(SRC_ZPMW03!$A$1:$ZZ$501,$A268,AL$3)))</f>
        <v/>
      </c>
      <c r="AM268" s="124" t="str">
        <f>IF($B268="","",IF(AM$3=0,"n.b.",INDEX(SRC_ZPMW03!$A$1:$ZZ$501,$A268,AM$3)))</f>
        <v/>
      </c>
      <c r="AN268" s="124" t="str">
        <f>IF($B268="","",IF(AN$3=0,"n.b.",INDEX(SRC_ZPMW03!$A$1:$ZZ$501,$A268,AN$3)))</f>
        <v/>
      </c>
      <c r="AO268" s="124" t="str">
        <f>IF($B268="","",IF(AO$3=0,"n.b.",INDEX(SRC_ZPMW03!$A$1:$ZZ$501,$A268,AO$3)))</f>
        <v/>
      </c>
      <c r="AP268" s="124" t="str">
        <f>IF($B268="","",IF(AP$3=0,"n.b.",INDEX(SRC_ZPMW03!$A$1:$ZZ$501,$A268,AP$3)))</f>
        <v/>
      </c>
      <c r="AQ268" s="124" t="str">
        <f>IF($B268="","",IF(AQ$3=0,"n.b.",INDEX(SRC_ZPMW03!$A$1:$ZZ$501,$A268,AQ$3)))</f>
        <v/>
      </c>
      <c r="AR268" s="124" t="str">
        <f>IF($B268="","",IF(AR$3=0,"n.b.",INDEX(SRC_ZPMW03!$A$1:$ZZ$501,$A268,AR$3)))</f>
        <v/>
      </c>
      <c r="AS268" s="124" t="str">
        <f>IF($B268="","",IF(AS$3=0,"n.b.",INDEX(SRC_ZPMW03!$A$1:$ZZ$501,$A268,AS$3)))</f>
        <v/>
      </c>
      <c r="AT268" s="124" t="str">
        <f>IF($B268="","",IF(AT$3=0,"n.b.",INDEX(SRC_ZPMW03!$A$1:$ZZ$501,$A268,AT$3)))</f>
        <v/>
      </c>
      <c r="AU268" s="124" t="str">
        <f>IF($B268="","",IF(AU$3=0,"n.b.",INDEX(SRC_ZPMW03!$A$1:$ZZ$501,$A268,AU$3)))</f>
        <v/>
      </c>
      <c r="AV268" s="124" t="str">
        <f>IF($B268="","",IF(AV$3=0,"n.b.",INDEX(SRC_ZPMW03!$A$1:$ZZ$501,$A268,AV$3)))</f>
        <v/>
      </c>
      <c r="AW268" s="124" t="str">
        <f>IF($B268="","",IF(AW$3=0,"n.b.",INDEX(SRC_ZPMW03!$A$1:$ZZ$501,$A268,AW$3)))</f>
        <v/>
      </c>
      <c r="AX268" s="124" t="str">
        <f>IF($B268="","",IF(AX$3=0,"n.b.",INDEX(SRC_ZPMW03!$A$1:$ZZ$501,$A268,AX$3)))</f>
        <v/>
      </c>
      <c r="AY268" s="124" t="str">
        <f>IF($B268="","",IF(AY$3=0,"n.b.",INDEX(SRC_ZPMW03!$A$1:$ZZ$501,$A268,AY$3)))</f>
        <v/>
      </c>
      <c r="AZ268" s="124" t="str">
        <f>IF($B268="","",IF(AZ$3=0,"n.b.",INDEX(SRC_ZPMW03!$A$1:$ZZ$501,$A268,AZ$3)))</f>
        <v/>
      </c>
      <c r="BA268" s="124" t="str">
        <f>IF($B268="","",IF(BA$3=0,"n.b.",INDEX(SRC_ZPMW03!$A$1:$ZZ$501,$A268,BA$3)))</f>
        <v/>
      </c>
      <c r="BB268" s="124" t="str">
        <f>IF($B268="","",IF(BB$3=0,"n.b.",INDEX(SRC_ZPMW03!$A$1:$ZZ$501,$A268,BB$3)))</f>
        <v/>
      </c>
      <c r="BC268" s="124" t="str">
        <f>IF($B268="","",IF(BC$3=0,"n.b.",INDEX(SRC_ZPMW03!$A$1:$ZZ$501,$A268,BC$3)))</f>
        <v/>
      </c>
      <c r="BD268" s="124" t="str">
        <f>IF($B268="","",IF(BD$3=0,"n.b.",INDEX(SRC_ZPMW03!$A$1:$ZZ$501,$A268,BD$3)))</f>
        <v/>
      </c>
      <c r="BE268" s="124" t="str">
        <f>IF($B268="","",IF(BE$3=0,"n.b.",INDEX(SRC_ZPMW03!$A$1:$ZZ$501,$A268,BE$3)))</f>
        <v/>
      </c>
      <c r="BF268" s="124" t="str">
        <f>IF($B268="","",IF(BF$3=0,"n.b.",INDEX(SRC_ZPMW03!$A$1:$ZZ$501,$A268,BF$3)))</f>
        <v/>
      </c>
      <c r="BG268" t="str">
        <f>IF($B268="","",IF(BG$3=0,"n.b.",INDEX(SRC_ZPMW03!$A$1:$ZZ$501,$A268,BG$3)))</f>
        <v/>
      </c>
      <c r="BH268" t="str">
        <f>IF($B268="","",IF(BH$3=0,"n.b.",INDEX(SRC_ZPMW03!$A$1:$ZZ$501,$A268,BH$3)))</f>
        <v/>
      </c>
      <c r="BI268" t="str">
        <f>IF($B268="","",IF(BI$3=0,"n.b.",INDEX(SRC_ZPMW03!$A$1:$ZZ$501,$A268,BI$3)))</f>
        <v/>
      </c>
      <c r="BJ268" t="str">
        <f>IF($B268="","",IF(BJ$3=0,"n.b.",INDEX(SRC_ZPMW03!$A$1:$ZZ$501,$A268,BJ$3)))</f>
        <v/>
      </c>
      <c r="BK268" s="124" t="str">
        <f>IF($B268="","",IFERROR(-O268,"n.b."))</f>
        <v/>
      </c>
      <c r="BL268" s="124" t="str">
        <f>IF($B268="","",IFERROR(-Q268,"n.b."))</f>
        <v/>
      </c>
      <c r="BM268" s="124" t="str">
        <f>IF($B268="","",IFERROR(-AB268,"n.b."))</f>
        <v/>
      </c>
      <c r="BN268" s="124" t="str">
        <f>IF($B268="","",IFERROR(-AD268,"n.b."))</f>
        <v/>
      </c>
      <c r="BO268" s="124" t="str">
        <f>IF($B268="","",IFERROR(BK268+BM268,"n.b."))</f>
        <v/>
      </c>
      <c r="BP268" s="124" t="str">
        <f>IF($B268="","",IFERROR(BL268+BN268,"n.b."))</f>
        <v/>
      </c>
      <c r="BQ268" s="124" t="str">
        <f>IF($B268="","",IFERROR(-AM268,"n.b."))</f>
        <v/>
      </c>
      <c r="BR268" s="124" t="str">
        <f>IF($B268="","",IFERROR(-AO268,"n.b."))</f>
        <v/>
      </c>
      <c r="BS268" s="124" t="str">
        <f>IF($B268="","",IFERROR(-Z268,"n.b."))</f>
        <v/>
      </c>
      <c r="BT268" s="124" t="str">
        <f>IF($B268="","",IFERROR(-AA268,"n.b."))</f>
        <v/>
      </c>
      <c r="BU268" s="124" t="str">
        <f>IF($B268="","",IFERROR(-AE268,"n.b."))</f>
        <v/>
      </c>
      <c r="BV268" s="124" t="str">
        <f>IF($B268="","",IFERROR(-AF268,"n.b."))</f>
        <v/>
      </c>
      <c r="BW268" s="124" t="str">
        <f>IF($B268="","",IFERROR(-AG268,"n.b."))</f>
        <v/>
      </c>
      <c r="BX268" s="124" t="str">
        <f>IF($B268="","",IFERROR(-AH268,"n.b."))</f>
        <v/>
      </c>
      <c r="BY268" s="124" t="str">
        <f>IF($B268="","",IFERROR(-AI268,"n.b."))</f>
        <v/>
      </c>
      <c r="BZ268" s="124" t="str">
        <f>IF($B268="","",IFERROR(-AJ268,"n.b."))</f>
        <v/>
      </c>
      <c r="CA268" s="124" t="str">
        <f>IF($B268="","",IFERROR(-AK268,"n.b."))</f>
        <v/>
      </c>
      <c r="CB268" s="124" t="str">
        <f>IF($B268="","",IFERROR(-AL268,"n.b."))</f>
        <v/>
      </c>
      <c r="CC268" s="124" t="str">
        <f>IF($B268="","",IFERROR(-AP268,"n.b."))</f>
        <v/>
      </c>
      <c r="CD268" s="124" t="str">
        <f>IF($B268="","",IFERROR(-AQ268,"n.b."))</f>
        <v/>
      </c>
      <c r="CE268" s="124" t="str">
        <f>IF($B268="","",IFERROR(-AR268,"n.b."))</f>
        <v/>
      </c>
      <c r="CF268" s="124" t="str">
        <f>IF($B268="","",IFERROR(-AS268,"n.b."))</f>
        <v/>
      </c>
      <c r="CG268" s="124" t="str">
        <f>IF($B268="","",IFERROR(-AT268,"n.b."))</f>
        <v/>
      </c>
      <c r="CH268" s="124" t="str">
        <f>IF($B268="","",IFERROR(-AU268,"n.b."))</f>
        <v/>
      </c>
      <c r="CI268" s="124" t="str">
        <f>IF($B268="","",IFERROR(-AV268,"n.b."))</f>
        <v/>
      </c>
      <c r="CJ268" s="124" t="str">
        <f>IF($B268="","",IFERROR(-AW268,"n.b."))</f>
        <v/>
      </c>
      <c r="CK268" s="124" t="str">
        <f>IF($B268="","",IFERROR(-AX268,"n.b."))</f>
        <v/>
      </c>
      <c r="CL268" s="124" t="str">
        <f>IF($B268="","",IFERROR(-AY268,"n.b."))</f>
        <v/>
      </c>
      <c r="CM268" s="124" t="str">
        <f>IF($B268="","",IFERROR(-AZ268,"n.b."))</f>
        <v/>
      </c>
      <c r="CN268" s="124" t="str">
        <f>IF($B268="","",IFERROR(-BA268,"n.b."))</f>
        <v/>
      </c>
      <c r="CO268" s="124" t="str">
        <f>IF($B268="","",IFERROR(-BB268,"n.b."))</f>
        <v/>
      </c>
      <c r="CP268" s="124" t="str">
        <f>IF($B268="","",IFERROR(-BC268,"n.b."))</f>
        <v/>
      </c>
      <c r="CQ268" s="124" t="str">
        <f>IF($B268="","",IFERROR(-BD268,"n.b."))</f>
        <v/>
      </c>
      <c r="CR268" s="124" t="str">
        <f>IF($B268="","",IFERROR(-BE268,"n.b."))</f>
        <v/>
      </c>
      <c r="CS268" s="124" t="str">
        <f>IF($B268="","",IFERROR(IF(OR(ABS(T268+V268+X268+Z268-AB268)&gt;P_Tol,ABS(U268+W268+Y268+AA268-AD268)&gt;P_Tol,ABS(AE268+AG268+AI268+AK268-AM268)&gt;P_Tol,ABS(AF268+AH268+AJ268+AL268-AO268)&gt;P_Tol),1,0),1))</f>
        <v/>
      </c>
      <c r="CT268" s="124" t="str">
        <f>IF($B268="","",IFERROR(IF(OR(ABS(AB268+AC268-AD268)&gt;P_Tol,ABS(AM268+AN268-AO268)&gt;P_Tol,ABS(O268+P268-Q268)&gt;P_Tol),1,0),1))</f>
        <v/>
      </c>
      <c r="CU268" s="124" t="str">
        <f>IF($B268="","",IFERROR(IF(ABS(R268-(AB268+AM268+AP268+AR268+AT268+AV268+AX268+AZ268+BB268+BD268))&gt;P_Tol,1,0),1))</f>
        <v/>
      </c>
      <c r="CV268" s="124" t="str">
        <f>IF($B268="","",IFERROR(IF(ABS(M268-(N268+O268+R268))&gt;P_Tol,1,0),1))</f>
        <v/>
      </c>
      <c r="CW268" s="124" t="str">
        <f>IF($B268="","",IF(COUNTIF(Mapping!$A$5:$A$104,B268)&gt;0,1,0))</f>
        <v/>
      </c>
      <c r="CX268" s="124" t="str">
        <f>IF($B268="","",COUNTIF($B$6:$B$505,B268))</f>
        <v/>
      </c>
      <c r="CY268" s="124" t="str">
        <f>IF($B268="","",COUNTIF(STG_Woningetalage!$B$6:$B$505,B268))</f>
        <v/>
      </c>
      <c r="CZ268" s="124" t="str">
        <f>IF($B268="","",IF(CW268=0,COUNTIF($CW$6:CW268,0),""))</f>
        <v/>
      </c>
    </row>
    <row r="269">
      <c r="A269" s="15" t="n">
        <v>265</v>
      </c>
      <c r="B269" t="str">
        <f>IF(B$3=0,"",IF(INDEX(SRC_ZPMW03!$A$1:$ZZ$501,$A269,B$3)&amp;""="","",INDEX(SRC_ZPMW03!$A$1:$ZZ$501,$A269,B$3)&amp;""))</f>
        <v/>
      </c>
      <c r="C269" t="str">
        <f>IF($B269="","",IF(C$3=0,"n.b.",INDEX(SRC_ZPMW03!$A$1:$ZZ$501,$A269,C$3)))</f>
        <v/>
      </c>
      <c r="D269" t="str">
        <f>IF($B269="","",IF(D$3=0,"n.b.",INDEX(SRC_ZPMW03!$A$1:$ZZ$501,$A269,D$3)))</f>
        <v/>
      </c>
      <c r="E269" t="str">
        <f>IF($B269="","",IF(E$3=0,"n.b.",INDEX(SRC_ZPMW03!$A$1:$ZZ$501,$A269,E$3)))</f>
        <v/>
      </c>
      <c r="F269" t="str">
        <f>IF($B269="","",IF(F$3=0,"n.b.",INDEX(SRC_ZPMW03!$A$1:$ZZ$501,$A269,F$3)))</f>
        <v/>
      </c>
      <c r="G269" t="str">
        <f>IF($B269="","",IF(G$3=0,"n.b.",INDEX(SRC_ZPMW03!$A$1:$ZZ$501,$A269,G$3)))</f>
        <v/>
      </c>
      <c r="H269" t="str">
        <f>IF($B269="","",IF(H$3=0,"n.b.",INDEX(SRC_ZPMW03!$A$1:$ZZ$501,$A269,H$3)))</f>
        <v/>
      </c>
      <c r="I269" t="str">
        <f>IF($B269="","",IF(I$3=0,"n.b.",INDEX(SRC_ZPMW03!$A$1:$ZZ$501,$A269,I$3)))</f>
        <v/>
      </c>
      <c r="J269" t="str">
        <f>IF($B269="","",IF(J$3=0,"n.b.",INDEX(SRC_ZPMW03!$A$1:$ZZ$501,$A269,J$3)))</f>
        <v/>
      </c>
      <c r="K269" t="str">
        <f>IF($B269="","",IF(K$3=0,"n.b.",INDEX(SRC_ZPMW03!$A$1:$ZZ$501,$A269,K$3)))</f>
        <v/>
      </c>
      <c r="L269" s="124" t="str">
        <f>IF($B269="","",IF(L$3=0,"n.b.",INDEX(SRC_ZPMW03!$A$1:$ZZ$501,$A269,L$3)))</f>
        <v/>
      </c>
      <c r="M269" s="124" t="str">
        <f>IF($B269="","",IF(M$3=0,"n.b.",INDEX(SRC_ZPMW03!$A$1:$ZZ$501,$A269,M$3)))</f>
        <v/>
      </c>
      <c r="N269" s="124" t="str">
        <f>IF($B269="","",IF(N$3=0,"n.b.",INDEX(SRC_ZPMW03!$A$1:$ZZ$501,$A269,N$3)))</f>
        <v/>
      </c>
      <c r="O269" s="124" t="str">
        <f>IF($B269="","",IF(O$3=0,"n.b.",INDEX(SRC_ZPMW03!$A$1:$ZZ$501,$A269,O$3)))</f>
        <v/>
      </c>
      <c r="P269" s="124" t="str">
        <f>IF($B269="","",IF(P$3=0,"n.b.",INDEX(SRC_ZPMW03!$A$1:$ZZ$501,$A269,P$3)))</f>
        <v/>
      </c>
      <c r="Q269" s="124" t="str">
        <f>IF($B269="","",IF(Q$3=0,"n.b.",INDEX(SRC_ZPMW03!$A$1:$ZZ$501,$A269,Q$3)))</f>
        <v/>
      </c>
      <c r="R269" s="124" t="str">
        <f>IF($B269="","",IF(R$3=0,"n.b.",INDEX(SRC_ZPMW03!$A$1:$ZZ$501,$A269,R$3)))</f>
        <v/>
      </c>
      <c r="S269" s="124" t="str">
        <f>IF($B269="","",IF(S$3=0,"n.b.",INDEX(SRC_ZPMW03!$A$1:$ZZ$501,$A269,S$3)))</f>
        <v/>
      </c>
      <c r="T269" s="124" t="str">
        <f>IF($B269="","",IF(T$3=0,"n.b.",INDEX(SRC_ZPMW03!$A$1:$ZZ$501,$A269,T$3)))</f>
        <v/>
      </c>
      <c r="U269" s="124" t="str">
        <f>IF($B269="","",IF(U$3=0,"n.b.",INDEX(SRC_ZPMW03!$A$1:$ZZ$501,$A269,U$3)))</f>
        <v/>
      </c>
      <c r="V269" s="124" t="str">
        <f>IF($B269="","",IF(V$3=0,"n.b.",INDEX(SRC_ZPMW03!$A$1:$ZZ$501,$A269,V$3)))</f>
        <v/>
      </c>
      <c r="W269" s="124" t="str">
        <f>IF($B269="","",IF(W$3=0,"n.b.",INDEX(SRC_ZPMW03!$A$1:$ZZ$501,$A269,W$3)))</f>
        <v/>
      </c>
      <c r="X269" s="124" t="str">
        <f>IF($B269="","",IF(X$3=0,"n.b.",INDEX(SRC_ZPMW03!$A$1:$ZZ$501,$A269,X$3)))</f>
        <v/>
      </c>
      <c r="Y269" s="124" t="str">
        <f>IF($B269="","",IF(Y$3=0,"n.b.",INDEX(SRC_ZPMW03!$A$1:$ZZ$501,$A269,Y$3)))</f>
        <v/>
      </c>
      <c r="Z269" s="124" t="str">
        <f>IF($B269="","",IF(Z$3=0,"n.b.",INDEX(SRC_ZPMW03!$A$1:$ZZ$501,$A269,Z$3)))</f>
        <v/>
      </c>
      <c r="AA269" s="124" t="str">
        <f>IF($B269="","",IF(AA$3=0,"n.b.",INDEX(SRC_ZPMW03!$A$1:$ZZ$501,$A269,AA$3)))</f>
        <v/>
      </c>
      <c r="AB269" s="124" t="str">
        <f>IF($B269="","",IF(AB$3=0,"n.b.",INDEX(SRC_ZPMW03!$A$1:$ZZ$501,$A269,AB$3)))</f>
        <v/>
      </c>
      <c r="AC269" s="124" t="str">
        <f>IF($B269="","",IF(AC$3=0,"n.b.",INDEX(SRC_ZPMW03!$A$1:$ZZ$501,$A269,AC$3)))</f>
        <v/>
      </c>
      <c r="AD269" s="124" t="str">
        <f>IF($B269="","",IF(AD$3=0,"n.b.",INDEX(SRC_ZPMW03!$A$1:$ZZ$501,$A269,AD$3)))</f>
        <v/>
      </c>
      <c r="AE269" s="124" t="str">
        <f>IF($B269="","",IF(AE$3=0,"n.b.",INDEX(SRC_ZPMW03!$A$1:$ZZ$501,$A269,AE$3)))</f>
        <v/>
      </c>
      <c r="AF269" s="124" t="str">
        <f>IF($B269="","",IF(AF$3=0,"n.b.",INDEX(SRC_ZPMW03!$A$1:$ZZ$501,$A269,AF$3)))</f>
        <v/>
      </c>
      <c r="AG269" s="124" t="str">
        <f>IF($B269="","",IF(AG$3=0,"n.b.",INDEX(SRC_ZPMW03!$A$1:$ZZ$501,$A269,AG$3)))</f>
        <v/>
      </c>
      <c r="AH269" s="124" t="str">
        <f>IF($B269="","",IF(AH$3=0,"n.b.",INDEX(SRC_ZPMW03!$A$1:$ZZ$501,$A269,AH$3)))</f>
        <v/>
      </c>
      <c r="AI269" s="124" t="str">
        <f>IF($B269="","",IF(AI$3=0,"n.b.",INDEX(SRC_ZPMW03!$A$1:$ZZ$501,$A269,AI$3)))</f>
        <v/>
      </c>
      <c r="AJ269" s="124" t="str">
        <f>IF($B269="","",IF(AJ$3=0,"n.b.",INDEX(SRC_ZPMW03!$A$1:$ZZ$501,$A269,AJ$3)))</f>
        <v/>
      </c>
      <c r="AK269" s="124" t="str">
        <f>IF($B269="","",IF(AK$3=0,"n.b.",INDEX(SRC_ZPMW03!$A$1:$ZZ$501,$A269,AK$3)))</f>
        <v/>
      </c>
      <c r="AL269" s="124" t="str">
        <f>IF($B269="","",IF(AL$3=0,"n.b.",INDEX(SRC_ZPMW03!$A$1:$ZZ$501,$A269,AL$3)))</f>
        <v/>
      </c>
      <c r="AM269" s="124" t="str">
        <f>IF($B269="","",IF(AM$3=0,"n.b.",INDEX(SRC_ZPMW03!$A$1:$ZZ$501,$A269,AM$3)))</f>
        <v/>
      </c>
      <c r="AN269" s="124" t="str">
        <f>IF($B269="","",IF(AN$3=0,"n.b.",INDEX(SRC_ZPMW03!$A$1:$ZZ$501,$A269,AN$3)))</f>
        <v/>
      </c>
      <c r="AO269" s="124" t="str">
        <f>IF($B269="","",IF(AO$3=0,"n.b.",INDEX(SRC_ZPMW03!$A$1:$ZZ$501,$A269,AO$3)))</f>
        <v/>
      </c>
      <c r="AP269" s="124" t="str">
        <f>IF($B269="","",IF(AP$3=0,"n.b.",INDEX(SRC_ZPMW03!$A$1:$ZZ$501,$A269,AP$3)))</f>
        <v/>
      </c>
      <c r="AQ269" s="124" t="str">
        <f>IF($B269="","",IF(AQ$3=0,"n.b.",INDEX(SRC_ZPMW03!$A$1:$ZZ$501,$A269,AQ$3)))</f>
        <v/>
      </c>
      <c r="AR269" s="124" t="str">
        <f>IF($B269="","",IF(AR$3=0,"n.b.",INDEX(SRC_ZPMW03!$A$1:$ZZ$501,$A269,AR$3)))</f>
        <v/>
      </c>
      <c r="AS269" s="124" t="str">
        <f>IF($B269="","",IF(AS$3=0,"n.b.",INDEX(SRC_ZPMW03!$A$1:$ZZ$501,$A269,AS$3)))</f>
        <v/>
      </c>
      <c r="AT269" s="124" t="str">
        <f>IF($B269="","",IF(AT$3=0,"n.b.",INDEX(SRC_ZPMW03!$A$1:$ZZ$501,$A269,AT$3)))</f>
        <v/>
      </c>
      <c r="AU269" s="124" t="str">
        <f>IF($B269="","",IF(AU$3=0,"n.b.",INDEX(SRC_ZPMW03!$A$1:$ZZ$501,$A269,AU$3)))</f>
        <v/>
      </c>
      <c r="AV269" s="124" t="str">
        <f>IF($B269="","",IF(AV$3=0,"n.b.",INDEX(SRC_ZPMW03!$A$1:$ZZ$501,$A269,AV$3)))</f>
        <v/>
      </c>
      <c r="AW269" s="124" t="str">
        <f>IF($B269="","",IF(AW$3=0,"n.b.",INDEX(SRC_ZPMW03!$A$1:$ZZ$501,$A269,AW$3)))</f>
        <v/>
      </c>
      <c r="AX269" s="124" t="str">
        <f>IF($B269="","",IF(AX$3=0,"n.b.",INDEX(SRC_ZPMW03!$A$1:$ZZ$501,$A269,AX$3)))</f>
        <v/>
      </c>
      <c r="AY269" s="124" t="str">
        <f>IF($B269="","",IF(AY$3=0,"n.b.",INDEX(SRC_ZPMW03!$A$1:$ZZ$501,$A269,AY$3)))</f>
        <v/>
      </c>
      <c r="AZ269" s="124" t="str">
        <f>IF($B269="","",IF(AZ$3=0,"n.b.",INDEX(SRC_ZPMW03!$A$1:$ZZ$501,$A269,AZ$3)))</f>
        <v/>
      </c>
      <c r="BA269" s="124" t="str">
        <f>IF($B269="","",IF(BA$3=0,"n.b.",INDEX(SRC_ZPMW03!$A$1:$ZZ$501,$A269,BA$3)))</f>
        <v/>
      </c>
      <c r="BB269" s="124" t="str">
        <f>IF($B269="","",IF(BB$3=0,"n.b.",INDEX(SRC_ZPMW03!$A$1:$ZZ$501,$A269,BB$3)))</f>
        <v/>
      </c>
      <c r="BC269" s="124" t="str">
        <f>IF($B269="","",IF(BC$3=0,"n.b.",INDEX(SRC_ZPMW03!$A$1:$ZZ$501,$A269,BC$3)))</f>
        <v/>
      </c>
      <c r="BD269" s="124" t="str">
        <f>IF($B269="","",IF(BD$3=0,"n.b.",INDEX(SRC_ZPMW03!$A$1:$ZZ$501,$A269,BD$3)))</f>
        <v/>
      </c>
      <c r="BE269" s="124" t="str">
        <f>IF($B269="","",IF(BE$3=0,"n.b.",INDEX(SRC_ZPMW03!$A$1:$ZZ$501,$A269,BE$3)))</f>
        <v/>
      </c>
      <c r="BF269" s="124" t="str">
        <f>IF($B269="","",IF(BF$3=0,"n.b.",INDEX(SRC_ZPMW03!$A$1:$ZZ$501,$A269,BF$3)))</f>
        <v/>
      </c>
      <c r="BG269" t="str">
        <f>IF($B269="","",IF(BG$3=0,"n.b.",INDEX(SRC_ZPMW03!$A$1:$ZZ$501,$A269,BG$3)))</f>
        <v/>
      </c>
      <c r="BH269" t="str">
        <f>IF($B269="","",IF(BH$3=0,"n.b.",INDEX(SRC_ZPMW03!$A$1:$ZZ$501,$A269,BH$3)))</f>
        <v/>
      </c>
      <c r="BI269" t="str">
        <f>IF($B269="","",IF(BI$3=0,"n.b.",INDEX(SRC_ZPMW03!$A$1:$ZZ$501,$A269,BI$3)))</f>
        <v/>
      </c>
      <c r="BJ269" t="str">
        <f>IF($B269="","",IF(BJ$3=0,"n.b.",INDEX(SRC_ZPMW03!$A$1:$ZZ$501,$A269,BJ$3)))</f>
        <v/>
      </c>
      <c r="BK269" s="124" t="str">
        <f>IF($B269="","",IFERROR(-O269,"n.b."))</f>
        <v/>
      </c>
      <c r="BL269" s="124" t="str">
        <f>IF($B269="","",IFERROR(-Q269,"n.b."))</f>
        <v/>
      </c>
      <c r="BM269" s="124" t="str">
        <f>IF($B269="","",IFERROR(-AB269,"n.b."))</f>
        <v/>
      </c>
      <c r="BN269" s="124" t="str">
        <f>IF($B269="","",IFERROR(-AD269,"n.b."))</f>
        <v/>
      </c>
      <c r="BO269" s="124" t="str">
        <f>IF($B269="","",IFERROR(BK269+BM269,"n.b."))</f>
        <v/>
      </c>
      <c r="BP269" s="124" t="str">
        <f>IF($B269="","",IFERROR(BL269+BN269,"n.b."))</f>
        <v/>
      </c>
      <c r="BQ269" s="124" t="str">
        <f>IF($B269="","",IFERROR(-AM269,"n.b."))</f>
        <v/>
      </c>
      <c r="BR269" s="124" t="str">
        <f>IF($B269="","",IFERROR(-AO269,"n.b."))</f>
        <v/>
      </c>
      <c r="BS269" s="124" t="str">
        <f>IF($B269="","",IFERROR(-Z269,"n.b."))</f>
        <v/>
      </c>
      <c r="BT269" s="124" t="str">
        <f>IF($B269="","",IFERROR(-AA269,"n.b."))</f>
        <v/>
      </c>
      <c r="BU269" s="124" t="str">
        <f>IF($B269="","",IFERROR(-AE269,"n.b."))</f>
        <v/>
      </c>
      <c r="BV269" s="124" t="str">
        <f>IF($B269="","",IFERROR(-AF269,"n.b."))</f>
        <v/>
      </c>
      <c r="BW269" s="124" t="str">
        <f>IF($B269="","",IFERROR(-AG269,"n.b."))</f>
        <v/>
      </c>
      <c r="BX269" s="124" t="str">
        <f>IF($B269="","",IFERROR(-AH269,"n.b."))</f>
        <v/>
      </c>
      <c r="BY269" s="124" t="str">
        <f>IF($B269="","",IFERROR(-AI269,"n.b."))</f>
        <v/>
      </c>
      <c r="BZ269" s="124" t="str">
        <f>IF($B269="","",IFERROR(-AJ269,"n.b."))</f>
        <v/>
      </c>
      <c r="CA269" s="124" t="str">
        <f>IF($B269="","",IFERROR(-AK269,"n.b."))</f>
        <v/>
      </c>
      <c r="CB269" s="124" t="str">
        <f>IF($B269="","",IFERROR(-AL269,"n.b."))</f>
        <v/>
      </c>
      <c r="CC269" s="124" t="str">
        <f>IF($B269="","",IFERROR(-AP269,"n.b."))</f>
        <v/>
      </c>
      <c r="CD269" s="124" t="str">
        <f>IF($B269="","",IFERROR(-AQ269,"n.b."))</f>
        <v/>
      </c>
      <c r="CE269" s="124" t="str">
        <f>IF($B269="","",IFERROR(-AR269,"n.b."))</f>
        <v/>
      </c>
      <c r="CF269" s="124" t="str">
        <f>IF($B269="","",IFERROR(-AS269,"n.b."))</f>
        <v/>
      </c>
      <c r="CG269" s="124" t="str">
        <f>IF($B269="","",IFERROR(-AT269,"n.b."))</f>
        <v/>
      </c>
      <c r="CH269" s="124" t="str">
        <f>IF($B269="","",IFERROR(-AU269,"n.b."))</f>
        <v/>
      </c>
      <c r="CI269" s="124" t="str">
        <f>IF($B269="","",IFERROR(-AV269,"n.b."))</f>
        <v/>
      </c>
      <c r="CJ269" s="124" t="str">
        <f>IF($B269="","",IFERROR(-AW269,"n.b."))</f>
        <v/>
      </c>
      <c r="CK269" s="124" t="str">
        <f>IF($B269="","",IFERROR(-AX269,"n.b."))</f>
        <v/>
      </c>
      <c r="CL269" s="124" t="str">
        <f>IF($B269="","",IFERROR(-AY269,"n.b."))</f>
        <v/>
      </c>
      <c r="CM269" s="124" t="str">
        <f>IF($B269="","",IFERROR(-AZ269,"n.b."))</f>
        <v/>
      </c>
      <c r="CN269" s="124" t="str">
        <f>IF($B269="","",IFERROR(-BA269,"n.b."))</f>
        <v/>
      </c>
      <c r="CO269" s="124" t="str">
        <f>IF($B269="","",IFERROR(-BB269,"n.b."))</f>
        <v/>
      </c>
      <c r="CP269" s="124" t="str">
        <f>IF($B269="","",IFERROR(-BC269,"n.b."))</f>
        <v/>
      </c>
      <c r="CQ269" s="124" t="str">
        <f>IF($B269="","",IFERROR(-BD269,"n.b."))</f>
        <v/>
      </c>
      <c r="CR269" s="124" t="str">
        <f>IF($B269="","",IFERROR(-BE269,"n.b."))</f>
        <v/>
      </c>
      <c r="CS269" s="124" t="str">
        <f>IF($B269="","",IFERROR(IF(OR(ABS(T269+V269+X269+Z269-AB269)&gt;P_Tol,ABS(U269+W269+Y269+AA269-AD269)&gt;P_Tol,ABS(AE269+AG269+AI269+AK269-AM269)&gt;P_Tol,ABS(AF269+AH269+AJ269+AL269-AO269)&gt;P_Tol),1,0),1))</f>
        <v/>
      </c>
      <c r="CT269" s="124" t="str">
        <f>IF($B269="","",IFERROR(IF(OR(ABS(AB269+AC269-AD269)&gt;P_Tol,ABS(AM269+AN269-AO269)&gt;P_Tol,ABS(O269+P269-Q269)&gt;P_Tol),1,0),1))</f>
        <v/>
      </c>
      <c r="CU269" s="124" t="str">
        <f>IF($B269="","",IFERROR(IF(ABS(R269-(AB269+AM269+AP269+AR269+AT269+AV269+AX269+AZ269+BB269+BD269))&gt;P_Tol,1,0),1))</f>
        <v/>
      </c>
      <c r="CV269" s="124" t="str">
        <f>IF($B269="","",IFERROR(IF(ABS(M269-(N269+O269+R269))&gt;P_Tol,1,0),1))</f>
        <v/>
      </c>
      <c r="CW269" s="124" t="str">
        <f>IF($B269="","",IF(COUNTIF(Mapping!$A$5:$A$104,B269)&gt;0,1,0))</f>
        <v/>
      </c>
      <c r="CX269" s="124" t="str">
        <f>IF($B269="","",COUNTIF($B$6:$B$505,B269))</f>
        <v/>
      </c>
      <c r="CY269" s="124" t="str">
        <f>IF($B269="","",COUNTIF(STG_Woningetalage!$B$6:$B$505,B269))</f>
        <v/>
      </c>
      <c r="CZ269" s="124" t="str">
        <f>IF($B269="","",IF(CW269=0,COUNTIF($CW$6:CW269,0),""))</f>
        <v/>
      </c>
    </row>
    <row r="270">
      <c r="A270" s="15" t="n">
        <v>266</v>
      </c>
      <c r="B270" t="str">
        <f>IF(B$3=0,"",IF(INDEX(SRC_ZPMW03!$A$1:$ZZ$501,$A270,B$3)&amp;""="","",INDEX(SRC_ZPMW03!$A$1:$ZZ$501,$A270,B$3)&amp;""))</f>
        <v/>
      </c>
      <c r="C270" t="str">
        <f>IF($B270="","",IF(C$3=0,"n.b.",INDEX(SRC_ZPMW03!$A$1:$ZZ$501,$A270,C$3)))</f>
        <v/>
      </c>
      <c r="D270" t="str">
        <f>IF($B270="","",IF(D$3=0,"n.b.",INDEX(SRC_ZPMW03!$A$1:$ZZ$501,$A270,D$3)))</f>
        <v/>
      </c>
      <c r="E270" t="str">
        <f>IF($B270="","",IF(E$3=0,"n.b.",INDEX(SRC_ZPMW03!$A$1:$ZZ$501,$A270,E$3)))</f>
        <v/>
      </c>
      <c r="F270" t="str">
        <f>IF($B270="","",IF(F$3=0,"n.b.",INDEX(SRC_ZPMW03!$A$1:$ZZ$501,$A270,F$3)))</f>
        <v/>
      </c>
      <c r="G270" t="str">
        <f>IF($B270="","",IF(G$3=0,"n.b.",INDEX(SRC_ZPMW03!$A$1:$ZZ$501,$A270,G$3)))</f>
        <v/>
      </c>
      <c r="H270" t="str">
        <f>IF($B270="","",IF(H$3=0,"n.b.",INDEX(SRC_ZPMW03!$A$1:$ZZ$501,$A270,H$3)))</f>
        <v/>
      </c>
      <c r="I270" t="str">
        <f>IF($B270="","",IF(I$3=0,"n.b.",INDEX(SRC_ZPMW03!$A$1:$ZZ$501,$A270,I$3)))</f>
        <v/>
      </c>
      <c r="J270" t="str">
        <f>IF($B270="","",IF(J$3=0,"n.b.",INDEX(SRC_ZPMW03!$A$1:$ZZ$501,$A270,J$3)))</f>
        <v/>
      </c>
      <c r="K270" t="str">
        <f>IF($B270="","",IF(K$3=0,"n.b.",INDEX(SRC_ZPMW03!$A$1:$ZZ$501,$A270,K$3)))</f>
        <v/>
      </c>
      <c r="L270" s="124" t="str">
        <f>IF($B270="","",IF(L$3=0,"n.b.",INDEX(SRC_ZPMW03!$A$1:$ZZ$501,$A270,L$3)))</f>
        <v/>
      </c>
      <c r="M270" s="124" t="str">
        <f>IF($B270="","",IF(M$3=0,"n.b.",INDEX(SRC_ZPMW03!$A$1:$ZZ$501,$A270,M$3)))</f>
        <v/>
      </c>
      <c r="N270" s="124" t="str">
        <f>IF($B270="","",IF(N$3=0,"n.b.",INDEX(SRC_ZPMW03!$A$1:$ZZ$501,$A270,N$3)))</f>
        <v/>
      </c>
      <c r="O270" s="124" t="str">
        <f>IF($B270="","",IF(O$3=0,"n.b.",INDEX(SRC_ZPMW03!$A$1:$ZZ$501,$A270,O$3)))</f>
        <v/>
      </c>
      <c r="P270" s="124" t="str">
        <f>IF($B270="","",IF(P$3=0,"n.b.",INDEX(SRC_ZPMW03!$A$1:$ZZ$501,$A270,P$3)))</f>
        <v/>
      </c>
      <c r="Q270" s="124" t="str">
        <f>IF($B270="","",IF(Q$3=0,"n.b.",INDEX(SRC_ZPMW03!$A$1:$ZZ$501,$A270,Q$3)))</f>
        <v/>
      </c>
      <c r="R270" s="124" t="str">
        <f>IF($B270="","",IF(R$3=0,"n.b.",INDEX(SRC_ZPMW03!$A$1:$ZZ$501,$A270,R$3)))</f>
        <v/>
      </c>
      <c r="S270" s="124" t="str">
        <f>IF($B270="","",IF(S$3=0,"n.b.",INDEX(SRC_ZPMW03!$A$1:$ZZ$501,$A270,S$3)))</f>
        <v/>
      </c>
      <c r="T270" s="124" t="str">
        <f>IF($B270="","",IF(T$3=0,"n.b.",INDEX(SRC_ZPMW03!$A$1:$ZZ$501,$A270,T$3)))</f>
        <v/>
      </c>
      <c r="U270" s="124" t="str">
        <f>IF($B270="","",IF(U$3=0,"n.b.",INDEX(SRC_ZPMW03!$A$1:$ZZ$501,$A270,U$3)))</f>
        <v/>
      </c>
      <c r="V270" s="124" t="str">
        <f>IF($B270="","",IF(V$3=0,"n.b.",INDEX(SRC_ZPMW03!$A$1:$ZZ$501,$A270,V$3)))</f>
        <v/>
      </c>
      <c r="W270" s="124" t="str">
        <f>IF($B270="","",IF(W$3=0,"n.b.",INDEX(SRC_ZPMW03!$A$1:$ZZ$501,$A270,W$3)))</f>
        <v/>
      </c>
      <c r="X270" s="124" t="str">
        <f>IF($B270="","",IF(X$3=0,"n.b.",INDEX(SRC_ZPMW03!$A$1:$ZZ$501,$A270,X$3)))</f>
        <v/>
      </c>
      <c r="Y270" s="124" t="str">
        <f>IF($B270="","",IF(Y$3=0,"n.b.",INDEX(SRC_ZPMW03!$A$1:$ZZ$501,$A270,Y$3)))</f>
        <v/>
      </c>
      <c r="Z270" s="124" t="str">
        <f>IF($B270="","",IF(Z$3=0,"n.b.",INDEX(SRC_ZPMW03!$A$1:$ZZ$501,$A270,Z$3)))</f>
        <v/>
      </c>
      <c r="AA270" s="124" t="str">
        <f>IF($B270="","",IF(AA$3=0,"n.b.",INDEX(SRC_ZPMW03!$A$1:$ZZ$501,$A270,AA$3)))</f>
        <v/>
      </c>
      <c r="AB270" s="124" t="str">
        <f>IF($B270="","",IF(AB$3=0,"n.b.",INDEX(SRC_ZPMW03!$A$1:$ZZ$501,$A270,AB$3)))</f>
        <v/>
      </c>
      <c r="AC270" s="124" t="str">
        <f>IF($B270="","",IF(AC$3=0,"n.b.",INDEX(SRC_ZPMW03!$A$1:$ZZ$501,$A270,AC$3)))</f>
        <v/>
      </c>
      <c r="AD270" s="124" t="str">
        <f>IF($B270="","",IF(AD$3=0,"n.b.",INDEX(SRC_ZPMW03!$A$1:$ZZ$501,$A270,AD$3)))</f>
        <v/>
      </c>
      <c r="AE270" s="124" t="str">
        <f>IF($B270="","",IF(AE$3=0,"n.b.",INDEX(SRC_ZPMW03!$A$1:$ZZ$501,$A270,AE$3)))</f>
        <v/>
      </c>
      <c r="AF270" s="124" t="str">
        <f>IF($B270="","",IF(AF$3=0,"n.b.",INDEX(SRC_ZPMW03!$A$1:$ZZ$501,$A270,AF$3)))</f>
        <v/>
      </c>
      <c r="AG270" s="124" t="str">
        <f>IF($B270="","",IF(AG$3=0,"n.b.",INDEX(SRC_ZPMW03!$A$1:$ZZ$501,$A270,AG$3)))</f>
        <v/>
      </c>
      <c r="AH270" s="124" t="str">
        <f>IF($B270="","",IF(AH$3=0,"n.b.",INDEX(SRC_ZPMW03!$A$1:$ZZ$501,$A270,AH$3)))</f>
        <v/>
      </c>
      <c r="AI270" s="124" t="str">
        <f>IF($B270="","",IF(AI$3=0,"n.b.",INDEX(SRC_ZPMW03!$A$1:$ZZ$501,$A270,AI$3)))</f>
        <v/>
      </c>
      <c r="AJ270" s="124" t="str">
        <f>IF($B270="","",IF(AJ$3=0,"n.b.",INDEX(SRC_ZPMW03!$A$1:$ZZ$501,$A270,AJ$3)))</f>
        <v/>
      </c>
      <c r="AK270" s="124" t="str">
        <f>IF($B270="","",IF(AK$3=0,"n.b.",INDEX(SRC_ZPMW03!$A$1:$ZZ$501,$A270,AK$3)))</f>
        <v/>
      </c>
      <c r="AL270" s="124" t="str">
        <f>IF($B270="","",IF(AL$3=0,"n.b.",INDEX(SRC_ZPMW03!$A$1:$ZZ$501,$A270,AL$3)))</f>
        <v/>
      </c>
      <c r="AM270" s="124" t="str">
        <f>IF($B270="","",IF(AM$3=0,"n.b.",INDEX(SRC_ZPMW03!$A$1:$ZZ$501,$A270,AM$3)))</f>
        <v/>
      </c>
      <c r="AN270" s="124" t="str">
        <f>IF($B270="","",IF(AN$3=0,"n.b.",INDEX(SRC_ZPMW03!$A$1:$ZZ$501,$A270,AN$3)))</f>
        <v/>
      </c>
      <c r="AO270" s="124" t="str">
        <f>IF($B270="","",IF(AO$3=0,"n.b.",INDEX(SRC_ZPMW03!$A$1:$ZZ$501,$A270,AO$3)))</f>
        <v/>
      </c>
      <c r="AP270" s="124" t="str">
        <f>IF($B270="","",IF(AP$3=0,"n.b.",INDEX(SRC_ZPMW03!$A$1:$ZZ$501,$A270,AP$3)))</f>
        <v/>
      </c>
      <c r="AQ270" s="124" t="str">
        <f>IF($B270="","",IF(AQ$3=0,"n.b.",INDEX(SRC_ZPMW03!$A$1:$ZZ$501,$A270,AQ$3)))</f>
        <v/>
      </c>
      <c r="AR270" s="124" t="str">
        <f>IF($B270="","",IF(AR$3=0,"n.b.",INDEX(SRC_ZPMW03!$A$1:$ZZ$501,$A270,AR$3)))</f>
        <v/>
      </c>
      <c r="AS270" s="124" t="str">
        <f>IF($B270="","",IF(AS$3=0,"n.b.",INDEX(SRC_ZPMW03!$A$1:$ZZ$501,$A270,AS$3)))</f>
        <v/>
      </c>
      <c r="AT270" s="124" t="str">
        <f>IF($B270="","",IF(AT$3=0,"n.b.",INDEX(SRC_ZPMW03!$A$1:$ZZ$501,$A270,AT$3)))</f>
        <v/>
      </c>
      <c r="AU270" s="124" t="str">
        <f>IF($B270="","",IF(AU$3=0,"n.b.",INDEX(SRC_ZPMW03!$A$1:$ZZ$501,$A270,AU$3)))</f>
        <v/>
      </c>
      <c r="AV270" s="124" t="str">
        <f>IF($B270="","",IF(AV$3=0,"n.b.",INDEX(SRC_ZPMW03!$A$1:$ZZ$501,$A270,AV$3)))</f>
        <v/>
      </c>
      <c r="AW270" s="124" t="str">
        <f>IF($B270="","",IF(AW$3=0,"n.b.",INDEX(SRC_ZPMW03!$A$1:$ZZ$501,$A270,AW$3)))</f>
        <v/>
      </c>
      <c r="AX270" s="124" t="str">
        <f>IF($B270="","",IF(AX$3=0,"n.b.",INDEX(SRC_ZPMW03!$A$1:$ZZ$501,$A270,AX$3)))</f>
        <v/>
      </c>
      <c r="AY270" s="124" t="str">
        <f>IF($B270="","",IF(AY$3=0,"n.b.",INDEX(SRC_ZPMW03!$A$1:$ZZ$501,$A270,AY$3)))</f>
        <v/>
      </c>
      <c r="AZ270" s="124" t="str">
        <f>IF($B270="","",IF(AZ$3=0,"n.b.",INDEX(SRC_ZPMW03!$A$1:$ZZ$501,$A270,AZ$3)))</f>
        <v/>
      </c>
      <c r="BA270" s="124" t="str">
        <f>IF($B270="","",IF(BA$3=0,"n.b.",INDEX(SRC_ZPMW03!$A$1:$ZZ$501,$A270,BA$3)))</f>
        <v/>
      </c>
      <c r="BB270" s="124" t="str">
        <f>IF($B270="","",IF(BB$3=0,"n.b.",INDEX(SRC_ZPMW03!$A$1:$ZZ$501,$A270,BB$3)))</f>
        <v/>
      </c>
      <c r="BC270" s="124" t="str">
        <f>IF($B270="","",IF(BC$3=0,"n.b.",INDEX(SRC_ZPMW03!$A$1:$ZZ$501,$A270,BC$3)))</f>
        <v/>
      </c>
      <c r="BD270" s="124" t="str">
        <f>IF($B270="","",IF(BD$3=0,"n.b.",INDEX(SRC_ZPMW03!$A$1:$ZZ$501,$A270,BD$3)))</f>
        <v/>
      </c>
      <c r="BE270" s="124" t="str">
        <f>IF($B270="","",IF(BE$3=0,"n.b.",INDEX(SRC_ZPMW03!$A$1:$ZZ$501,$A270,BE$3)))</f>
        <v/>
      </c>
      <c r="BF270" s="124" t="str">
        <f>IF($B270="","",IF(BF$3=0,"n.b.",INDEX(SRC_ZPMW03!$A$1:$ZZ$501,$A270,BF$3)))</f>
        <v/>
      </c>
      <c r="BG270" t="str">
        <f>IF($B270="","",IF(BG$3=0,"n.b.",INDEX(SRC_ZPMW03!$A$1:$ZZ$501,$A270,BG$3)))</f>
        <v/>
      </c>
      <c r="BH270" t="str">
        <f>IF($B270="","",IF(BH$3=0,"n.b.",INDEX(SRC_ZPMW03!$A$1:$ZZ$501,$A270,BH$3)))</f>
        <v/>
      </c>
      <c r="BI270" t="str">
        <f>IF($B270="","",IF(BI$3=0,"n.b.",INDEX(SRC_ZPMW03!$A$1:$ZZ$501,$A270,BI$3)))</f>
        <v/>
      </c>
      <c r="BJ270" t="str">
        <f>IF($B270="","",IF(BJ$3=0,"n.b.",INDEX(SRC_ZPMW03!$A$1:$ZZ$501,$A270,BJ$3)))</f>
        <v/>
      </c>
      <c r="BK270" s="124" t="str">
        <f>IF($B270="","",IFERROR(-O270,"n.b."))</f>
        <v/>
      </c>
      <c r="BL270" s="124" t="str">
        <f>IF($B270="","",IFERROR(-Q270,"n.b."))</f>
        <v/>
      </c>
      <c r="BM270" s="124" t="str">
        <f>IF($B270="","",IFERROR(-AB270,"n.b."))</f>
        <v/>
      </c>
      <c r="BN270" s="124" t="str">
        <f>IF($B270="","",IFERROR(-AD270,"n.b."))</f>
        <v/>
      </c>
      <c r="BO270" s="124" t="str">
        <f>IF($B270="","",IFERROR(BK270+BM270,"n.b."))</f>
        <v/>
      </c>
      <c r="BP270" s="124" t="str">
        <f>IF($B270="","",IFERROR(BL270+BN270,"n.b."))</f>
        <v/>
      </c>
      <c r="BQ270" s="124" t="str">
        <f>IF($B270="","",IFERROR(-AM270,"n.b."))</f>
        <v/>
      </c>
      <c r="BR270" s="124" t="str">
        <f>IF($B270="","",IFERROR(-AO270,"n.b."))</f>
        <v/>
      </c>
      <c r="BS270" s="124" t="str">
        <f>IF($B270="","",IFERROR(-Z270,"n.b."))</f>
        <v/>
      </c>
      <c r="BT270" s="124" t="str">
        <f>IF($B270="","",IFERROR(-AA270,"n.b."))</f>
        <v/>
      </c>
      <c r="BU270" s="124" t="str">
        <f>IF($B270="","",IFERROR(-AE270,"n.b."))</f>
        <v/>
      </c>
      <c r="BV270" s="124" t="str">
        <f>IF($B270="","",IFERROR(-AF270,"n.b."))</f>
        <v/>
      </c>
      <c r="BW270" s="124" t="str">
        <f>IF($B270="","",IFERROR(-AG270,"n.b."))</f>
        <v/>
      </c>
      <c r="BX270" s="124" t="str">
        <f>IF($B270="","",IFERROR(-AH270,"n.b."))</f>
        <v/>
      </c>
      <c r="BY270" s="124" t="str">
        <f>IF($B270="","",IFERROR(-AI270,"n.b."))</f>
        <v/>
      </c>
      <c r="BZ270" s="124" t="str">
        <f>IF($B270="","",IFERROR(-AJ270,"n.b."))</f>
        <v/>
      </c>
      <c r="CA270" s="124" t="str">
        <f>IF($B270="","",IFERROR(-AK270,"n.b."))</f>
        <v/>
      </c>
      <c r="CB270" s="124" t="str">
        <f>IF($B270="","",IFERROR(-AL270,"n.b."))</f>
        <v/>
      </c>
      <c r="CC270" s="124" t="str">
        <f>IF($B270="","",IFERROR(-AP270,"n.b."))</f>
        <v/>
      </c>
      <c r="CD270" s="124" t="str">
        <f>IF($B270="","",IFERROR(-AQ270,"n.b."))</f>
        <v/>
      </c>
      <c r="CE270" s="124" t="str">
        <f>IF($B270="","",IFERROR(-AR270,"n.b."))</f>
        <v/>
      </c>
      <c r="CF270" s="124" t="str">
        <f>IF($B270="","",IFERROR(-AS270,"n.b."))</f>
        <v/>
      </c>
      <c r="CG270" s="124" t="str">
        <f>IF($B270="","",IFERROR(-AT270,"n.b."))</f>
        <v/>
      </c>
      <c r="CH270" s="124" t="str">
        <f>IF($B270="","",IFERROR(-AU270,"n.b."))</f>
        <v/>
      </c>
      <c r="CI270" s="124" t="str">
        <f>IF($B270="","",IFERROR(-AV270,"n.b."))</f>
        <v/>
      </c>
      <c r="CJ270" s="124" t="str">
        <f>IF($B270="","",IFERROR(-AW270,"n.b."))</f>
        <v/>
      </c>
      <c r="CK270" s="124" t="str">
        <f>IF($B270="","",IFERROR(-AX270,"n.b."))</f>
        <v/>
      </c>
      <c r="CL270" s="124" t="str">
        <f>IF($B270="","",IFERROR(-AY270,"n.b."))</f>
        <v/>
      </c>
      <c r="CM270" s="124" t="str">
        <f>IF($B270="","",IFERROR(-AZ270,"n.b."))</f>
        <v/>
      </c>
      <c r="CN270" s="124" t="str">
        <f>IF($B270="","",IFERROR(-BA270,"n.b."))</f>
        <v/>
      </c>
      <c r="CO270" s="124" t="str">
        <f>IF($B270="","",IFERROR(-BB270,"n.b."))</f>
        <v/>
      </c>
      <c r="CP270" s="124" t="str">
        <f>IF($B270="","",IFERROR(-BC270,"n.b."))</f>
        <v/>
      </c>
      <c r="CQ270" s="124" t="str">
        <f>IF($B270="","",IFERROR(-BD270,"n.b."))</f>
        <v/>
      </c>
      <c r="CR270" s="124" t="str">
        <f>IF($B270="","",IFERROR(-BE270,"n.b."))</f>
        <v/>
      </c>
      <c r="CS270" s="124" t="str">
        <f>IF($B270="","",IFERROR(IF(OR(ABS(T270+V270+X270+Z270-AB270)&gt;P_Tol,ABS(U270+W270+Y270+AA270-AD270)&gt;P_Tol,ABS(AE270+AG270+AI270+AK270-AM270)&gt;P_Tol,ABS(AF270+AH270+AJ270+AL270-AO270)&gt;P_Tol),1,0),1))</f>
        <v/>
      </c>
      <c r="CT270" s="124" t="str">
        <f>IF($B270="","",IFERROR(IF(OR(ABS(AB270+AC270-AD270)&gt;P_Tol,ABS(AM270+AN270-AO270)&gt;P_Tol,ABS(O270+P270-Q270)&gt;P_Tol),1,0),1))</f>
        <v/>
      </c>
      <c r="CU270" s="124" t="str">
        <f>IF($B270="","",IFERROR(IF(ABS(R270-(AB270+AM270+AP270+AR270+AT270+AV270+AX270+AZ270+BB270+BD270))&gt;P_Tol,1,0),1))</f>
        <v/>
      </c>
      <c r="CV270" s="124" t="str">
        <f>IF($B270="","",IFERROR(IF(ABS(M270-(N270+O270+R270))&gt;P_Tol,1,0),1))</f>
        <v/>
      </c>
      <c r="CW270" s="124" t="str">
        <f>IF($B270="","",IF(COUNTIF(Mapping!$A$5:$A$104,B270)&gt;0,1,0))</f>
        <v/>
      </c>
      <c r="CX270" s="124" t="str">
        <f>IF($B270="","",COUNTIF($B$6:$B$505,B270))</f>
        <v/>
      </c>
      <c r="CY270" s="124" t="str">
        <f>IF($B270="","",COUNTIF(STG_Woningetalage!$B$6:$B$505,B270))</f>
        <v/>
      </c>
      <c r="CZ270" s="124" t="str">
        <f>IF($B270="","",IF(CW270=0,COUNTIF($CW$6:CW270,0),""))</f>
        <v/>
      </c>
    </row>
    <row r="271">
      <c r="A271" s="15" t="n">
        <v>267</v>
      </c>
      <c r="B271" t="str">
        <f>IF(B$3=0,"",IF(INDEX(SRC_ZPMW03!$A$1:$ZZ$501,$A271,B$3)&amp;""="","",INDEX(SRC_ZPMW03!$A$1:$ZZ$501,$A271,B$3)&amp;""))</f>
        <v/>
      </c>
      <c r="C271" t="str">
        <f>IF($B271="","",IF(C$3=0,"n.b.",INDEX(SRC_ZPMW03!$A$1:$ZZ$501,$A271,C$3)))</f>
        <v/>
      </c>
      <c r="D271" t="str">
        <f>IF($B271="","",IF(D$3=0,"n.b.",INDEX(SRC_ZPMW03!$A$1:$ZZ$501,$A271,D$3)))</f>
        <v/>
      </c>
      <c r="E271" t="str">
        <f>IF($B271="","",IF(E$3=0,"n.b.",INDEX(SRC_ZPMW03!$A$1:$ZZ$501,$A271,E$3)))</f>
        <v/>
      </c>
      <c r="F271" t="str">
        <f>IF($B271="","",IF(F$3=0,"n.b.",INDEX(SRC_ZPMW03!$A$1:$ZZ$501,$A271,F$3)))</f>
        <v/>
      </c>
      <c r="G271" t="str">
        <f>IF($B271="","",IF(G$3=0,"n.b.",INDEX(SRC_ZPMW03!$A$1:$ZZ$501,$A271,G$3)))</f>
        <v/>
      </c>
      <c r="H271" t="str">
        <f>IF($B271="","",IF(H$3=0,"n.b.",INDEX(SRC_ZPMW03!$A$1:$ZZ$501,$A271,H$3)))</f>
        <v/>
      </c>
      <c r="I271" t="str">
        <f>IF($B271="","",IF(I$3=0,"n.b.",INDEX(SRC_ZPMW03!$A$1:$ZZ$501,$A271,I$3)))</f>
        <v/>
      </c>
      <c r="J271" t="str">
        <f>IF($B271="","",IF(J$3=0,"n.b.",INDEX(SRC_ZPMW03!$A$1:$ZZ$501,$A271,J$3)))</f>
        <v/>
      </c>
      <c r="K271" t="str">
        <f>IF($B271="","",IF(K$3=0,"n.b.",INDEX(SRC_ZPMW03!$A$1:$ZZ$501,$A271,K$3)))</f>
        <v/>
      </c>
      <c r="L271" s="124" t="str">
        <f>IF($B271="","",IF(L$3=0,"n.b.",INDEX(SRC_ZPMW03!$A$1:$ZZ$501,$A271,L$3)))</f>
        <v/>
      </c>
      <c r="M271" s="124" t="str">
        <f>IF($B271="","",IF(M$3=0,"n.b.",INDEX(SRC_ZPMW03!$A$1:$ZZ$501,$A271,M$3)))</f>
        <v/>
      </c>
      <c r="N271" s="124" t="str">
        <f>IF($B271="","",IF(N$3=0,"n.b.",INDEX(SRC_ZPMW03!$A$1:$ZZ$501,$A271,N$3)))</f>
        <v/>
      </c>
      <c r="O271" s="124" t="str">
        <f>IF($B271="","",IF(O$3=0,"n.b.",INDEX(SRC_ZPMW03!$A$1:$ZZ$501,$A271,O$3)))</f>
        <v/>
      </c>
      <c r="P271" s="124" t="str">
        <f>IF($B271="","",IF(P$3=0,"n.b.",INDEX(SRC_ZPMW03!$A$1:$ZZ$501,$A271,P$3)))</f>
        <v/>
      </c>
      <c r="Q271" s="124" t="str">
        <f>IF($B271="","",IF(Q$3=0,"n.b.",INDEX(SRC_ZPMW03!$A$1:$ZZ$501,$A271,Q$3)))</f>
        <v/>
      </c>
      <c r="R271" s="124" t="str">
        <f>IF($B271="","",IF(R$3=0,"n.b.",INDEX(SRC_ZPMW03!$A$1:$ZZ$501,$A271,R$3)))</f>
        <v/>
      </c>
      <c r="S271" s="124" t="str">
        <f>IF($B271="","",IF(S$3=0,"n.b.",INDEX(SRC_ZPMW03!$A$1:$ZZ$501,$A271,S$3)))</f>
        <v/>
      </c>
      <c r="T271" s="124" t="str">
        <f>IF($B271="","",IF(T$3=0,"n.b.",INDEX(SRC_ZPMW03!$A$1:$ZZ$501,$A271,T$3)))</f>
        <v/>
      </c>
      <c r="U271" s="124" t="str">
        <f>IF($B271="","",IF(U$3=0,"n.b.",INDEX(SRC_ZPMW03!$A$1:$ZZ$501,$A271,U$3)))</f>
        <v/>
      </c>
      <c r="V271" s="124" t="str">
        <f>IF($B271="","",IF(V$3=0,"n.b.",INDEX(SRC_ZPMW03!$A$1:$ZZ$501,$A271,V$3)))</f>
        <v/>
      </c>
      <c r="W271" s="124" t="str">
        <f>IF($B271="","",IF(W$3=0,"n.b.",INDEX(SRC_ZPMW03!$A$1:$ZZ$501,$A271,W$3)))</f>
        <v/>
      </c>
      <c r="X271" s="124" t="str">
        <f>IF($B271="","",IF(X$3=0,"n.b.",INDEX(SRC_ZPMW03!$A$1:$ZZ$501,$A271,X$3)))</f>
        <v/>
      </c>
      <c r="Y271" s="124" t="str">
        <f>IF($B271="","",IF(Y$3=0,"n.b.",INDEX(SRC_ZPMW03!$A$1:$ZZ$501,$A271,Y$3)))</f>
        <v/>
      </c>
      <c r="Z271" s="124" t="str">
        <f>IF($B271="","",IF(Z$3=0,"n.b.",INDEX(SRC_ZPMW03!$A$1:$ZZ$501,$A271,Z$3)))</f>
        <v/>
      </c>
      <c r="AA271" s="124" t="str">
        <f>IF($B271="","",IF(AA$3=0,"n.b.",INDEX(SRC_ZPMW03!$A$1:$ZZ$501,$A271,AA$3)))</f>
        <v/>
      </c>
      <c r="AB271" s="124" t="str">
        <f>IF($B271="","",IF(AB$3=0,"n.b.",INDEX(SRC_ZPMW03!$A$1:$ZZ$501,$A271,AB$3)))</f>
        <v/>
      </c>
      <c r="AC271" s="124" t="str">
        <f>IF($B271="","",IF(AC$3=0,"n.b.",INDEX(SRC_ZPMW03!$A$1:$ZZ$501,$A271,AC$3)))</f>
        <v/>
      </c>
      <c r="AD271" s="124" t="str">
        <f>IF($B271="","",IF(AD$3=0,"n.b.",INDEX(SRC_ZPMW03!$A$1:$ZZ$501,$A271,AD$3)))</f>
        <v/>
      </c>
      <c r="AE271" s="124" t="str">
        <f>IF($B271="","",IF(AE$3=0,"n.b.",INDEX(SRC_ZPMW03!$A$1:$ZZ$501,$A271,AE$3)))</f>
        <v/>
      </c>
      <c r="AF271" s="124" t="str">
        <f>IF($B271="","",IF(AF$3=0,"n.b.",INDEX(SRC_ZPMW03!$A$1:$ZZ$501,$A271,AF$3)))</f>
        <v/>
      </c>
      <c r="AG271" s="124" t="str">
        <f>IF($B271="","",IF(AG$3=0,"n.b.",INDEX(SRC_ZPMW03!$A$1:$ZZ$501,$A271,AG$3)))</f>
        <v/>
      </c>
      <c r="AH271" s="124" t="str">
        <f>IF($B271="","",IF(AH$3=0,"n.b.",INDEX(SRC_ZPMW03!$A$1:$ZZ$501,$A271,AH$3)))</f>
        <v/>
      </c>
      <c r="AI271" s="124" t="str">
        <f>IF($B271="","",IF(AI$3=0,"n.b.",INDEX(SRC_ZPMW03!$A$1:$ZZ$501,$A271,AI$3)))</f>
        <v/>
      </c>
      <c r="AJ271" s="124" t="str">
        <f>IF($B271="","",IF(AJ$3=0,"n.b.",INDEX(SRC_ZPMW03!$A$1:$ZZ$501,$A271,AJ$3)))</f>
        <v/>
      </c>
      <c r="AK271" s="124" t="str">
        <f>IF($B271="","",IF(AK$3=0,"n.b.",INDEX(SRC_ZPMW03!$A$1:$ZZ$501,$A271,AK$3)))</f>
        <v/>
      </c>
      <c r="AL271" s="124" t="str">
        <f>IF($B271="","",IF(AL$3=0,"n.b.",INDEX(SRC_ZPMW03!$A$1:$ZZ$501,$A271,AL$3)))</f>
        <v/>
      </c>
      <c r="AM271" s="124" t="str">
        <f>IF($B271="","",IF(AM$3=0,"n.b.",INDEX(SRC_ZPMW03!$A$1:$ZZ$501,$A271,AM$3)))</f>
        <v/>
      </c>
      <c r="AN271" s="124" t="str">
        <f>IF($B271="","",IF(AN$3=0,"n.b.",INDEX(SRC_ZPMW03!$A$1:$ZZ$501,$A271,AN$3)))</f>
        <v/>
      </c>
      <c r="AO271" s="124" t="str">
        <f>IF($B271="","",IF(AO$3=0,"n.b.",INDEX(SRC_ZPMW03!$A$1:$ZZ$501,$A271,AO$3)))</f>
        <v/>
      </c>
      <c r="AP271" s="124" t="str">
        <f>IF($B271="","",IF(AP$3=0,"n.b.",INDEX(SRC_ZPMW03!$A$1:$ZZ$501,$A271,AP$3)))</f>
        <v/>
      </c>
      <c r="AQ271" s="124" t="str">
        <f>IF($B271="","",IF(AQ$3=0,"n.b.",INDEX(SRC_ZPMW03!$A$1:$ZZ$501,$A271,AQ$3)))</f>
        <v/>
      </c>
      <c r="AR271" s="124" t="str">
        <f>IF($B271="","",IF(AR$3=0,"n.b.",INDEX(SRC_ZPMW03!$A$1:$ZZ$501,$A271,AR$3)))</f>
        <v/>
      </c>
      <c r="AS271" s="124" t="str">
        <f>IF($B271="","",IF(AS$3=0,"n.b.",INDEX(SRC_ZPMW03!$A$1:$ZZ$501,$A271,AS$3)))</f>
        <v/>
      </c>
      <c r="AT271" s="124" t="str">
        <f>IF($B271="","",IF(AT$3=0,"n.b.",INDEX(SRC_ZPMW03!$A$1:$ZZ$501,$A271,AT$3)))</f>
        <v/>
      </c>
      <c r="AU271" s="124" t="str">
        <f>IF($B271="","",IF(AU$3=0,"n.b.",INDEX(SRC_ZPMW03!$A$1:$ZZ$501,$A271,AU$3)))</f>
        <v/>
      </c>
      <c r="AV271" s="124" t="str">
        <f>IF($B271="","",IF(AV$3=0,"n.b.",INDEX(SRC_ZPMW03!$A$1:$ZZ$501,$A271,AV$3)))</f>
        <v/>
      </c>
      <c r="AW271" s="124" t="str">
        <f>IF($B271="","",IF(AW$3=0,"n.b.",INDEX(SRC_ZPMW03!$A$1:$ZZ$501,$A271,AW$3)))</f>
        <v/>
      </c>
      <c r="AX271" s="124" t="str">
        <f>IF($B271="","",IF(AX$3=0,"n.b.",INDEX(SRC_ZPMW03!$A$1:$ZZ$501,$A271,AX$3)))</f>
        <v/>
      </c>
      <c r="AY271" s="124" t="str">
        <f>IF($B271="","",IF(AY$3=0,"n.b.",INDEX(SRC_ZPMW03!$A$1:$ZZ$501,$A271,AY$3)))</f>
        <v/>
      </c>
      <c r="AZ271" s="124" t="str">
        <f>IF($B271="","",IF(AZ$3=0,"n.b.",INDEX(SRC_ZPMW03!$A$1:$ZZ$501,$A271,AZ$3)))</f>
        <v/>
      </c>
      <c r="BA271" s="124" t="str">
        <f>IF($B271="","",IF(BA$3=0,"n.b.",INDEX(SRC_ZPMW03!$A$1:$ZZ$501,$A271,BA$3)))</f>
        <v/>
      </c>
      <c r="BB271" s="124" t="str">
        <f>IF($B271="","",IF(BB$3=0,"n.b.",INDEX(SRC_ZPMW03!$A$1:$ZZ$501,$A271,BB$3)))</f>
        <v/>
      </c>
      <c r="BC271" s="124" t="str">
        <f>IF($B271="","",IF(BC$3=0,"n.b.",INDEX(SRC_ZPMW03!$A$1:$ZZ$501,$A271,BC$3)))</f>
        <v/>
      </c>
      <c r="BD271" s="124" t="str">
        <f>IF($B271="","",IF(BD$3=0,"n.b.",INDEX(SRC_ZPMW03!$A$1:$ZZ$501,$A271,BD$3)))</f>
        <v/>
      </c>
      <c r="BE271" s="124" t="str">
        <f>IF($B271="","",IF(BE$3=0,"n.b.",INDEX(SRC_ZPMW03!$A$1:$ZZ$501,$A271,BE$3)))</f>
        <v/>
      </c>
      <c r="BF271" s="124" t="str">
        <f>IF($B271="","",IF(BF$3=0,"n.b.",INDEX(SRC_ZPMW03!$A$1:$ZZ$501,$A271,BF$3)))</f>
        <v/>
      </c>
      <c r="BG271" t="str">
        <f>IF($B271="","",IF(BG$3=0,"n.b.",INDEX(SRC_ZPMW03!$A$1:$ZZ$501,$A271,BG$3)))</f>
        <v/>
      </c>
      <c r="BH271" t="str">
        <f>IF($B271="","",IF(BH$3=0,"n.b.",INDEX(SRC_ZPMW03!$A$1:$ZZ$501,$A271,BH$3)))</f>
        <v/>
      </c>
      <c r="BI271" t="str">
        <f>IF($B271="","",IF(BI$3=0,"n.b.",INDEX(SRC_ZPMW03!$A$1:$ZZ$501,$A271,BI$3)))</f>
        <v/>
      </c>
      <c r="BJ271" t="str">
        <f>IF($B271="","",IF(BJ$3=0,"n.b.",INDEX(SRC_ZPMW03!$A$1:$ZZ$501,$A271,BJ$3)))</f>
        <v/>
      </c>
      <c r="BK271" s="124" t="str">
        <f>IF($B271="","",IFERROR(-O271,"n.b."))</f>
        <v/>
      </c>
      <c r="BL271" s="124" t="str">
        <f>IF($B271="","",IFERROR(-Q271,"n.b."))</f>
        <v/>
      </c>
      <c r="BM271" s="124" t="str">
        <f>IF($B271="","",IFERROR(-AB271,"n.b."))</f>
        <v/>
      </c>
      <c r="BN271" s="124" t="str">
        <f>IF($B271="","",IFERROR(-AD271,"n.b."))</f>
        <v/>
      </c>
      <c r="BO271" s="124" t="str">
        <f>IF($B271="","",IFERROR(BK271+BM271,"n.b."))</f>
        <v/>
      </c>
      <c r="BP271" s="124" t="str">
        <f>IF($B271="","",IFERROR(BL271+BN271,"n.b."))</f>
        <v/>
      </c>
      <c r="BQ271" s="124" t="str">
        <f>IF($B271="","",IFERROR(-AM271,"n.b."))</f>
        <v/>
      </c>
      <c r="BR271" s="124" t="str">
        <f>IF($B271="","",IFERROR(-AO271,"n.b."))</f>
        <v/>
      </c>
      <c r="BS271" s="124" t="str">
        <f>IF($B271="","",IFERROR(-Z271,"n.b."))</f>
        <v/>
      </c>
      <c r="BT271" s="124" t="str">
        <f>IF($B271="","",IFERROR(-AA271,"n.b."))</f>
        <v/>
      </c>
      <c r="BU271" s="124" t="str">
        <f>IF($B271="","",IFERROR(-AE271,"n.b."))</f>
        <v/>
      </c>
      <c r="BV271" s="124" t="str">
        <f>IF($B271="","",IFERROR(-AF271,"n.b."))</f>
        <v/>
      </c>
      <c r="BW271" s="124" t="str">
        <f>IF($B271="","",IFERROR(-AG271,"n.b."))</f>
        <v/>
      </c>
      <c r="BX271" s="124" t="str">
        <f>IF($B271="","",IFERROR(-AH271,"n.b."))</f>
        <v/>
      </c>
      <c r="BY271" s="124" t="str">
        <f>IF($B271="","",IFERROR(-AI271,"n.b."))</f>
        <v/>
      </c>
      <c r="BZ271" s="124" t="str">
        <f>IF($B271="","",IFERROR(-AJ271,"n.b."))</f>
        <v/>
      </c>
      <c r="CA271" s="124" t="str">
        <f>IF($B271="","",IFERROR(-AK271,"n.b."))</f>
        <v/>
      </c>
      <c r="CB271" s="124" t="str">
        <f>IF($B271="","",IFERROR(-AL271,"n.b."))</f>
        <v/>
      </c>
      <c r="CC271" s="124" t="str">
        <f>IF($B271="","",IFERROR(-AP271,"n.b."))</f>
        <v/>
      </c>
      <c r="CD271" s="124" t="str">
        <f>IF($B271="","",IFERROR(-AQ271,"n.b."))</f>
        <v/>
      </c>
      <c r="CE271" s="124" t="str">
        <f>IF($B271="","",IFERROR(-AR271,"n.b."))</f>
        <v/>
      </c>
      <c r="CF271" s="124" t="str">
        <f>IF($B271="","",IFERROR(-AS271,"n.b."))</f>
        <v/>
      </c>
      <c r="CG271" s="124" t="str">
        <f>IF($B271="","",IFERROR(-AT271,"n.b."))</f>
        <v/>
      </c>
      <c r="CH271" s="124" t="str">
        <f>IF($B271="","",IFERROR(-AU271,"n.b."))</f>
        <v/>
      </c>
      <c r="CI271" s="124" t="str">
        <f>IF($B271="","",IFERROR(-AV271,"n.b."))</f>
        <v/>
      </c>
      <c r="CJ271" s="124" t="str">
        <f>IF($B271="","",IFERROR(-AW271,"n.b."))</f>
        <v/>
      </c>
      <c r="CK271" s="124" t="str">
        <f>IF($B271="","",IFERROR(-AX271,"n.b."))</f>
        <v/>
      </c>
      <c r="CL271" s="124" t="str">
        <f>IF($B271="","",IFERROR(-AY271,"n.b."))</f>
        <v/>
      </c>
      <c r="CM271" s="124" t="str">
        <f>IF($B271="","",IFERROR(-AZ271,"n.b."))</f>
        <v/>
      </c>
      <c r="CN271" s="124" t="str">
        <f>IF($B271="","",IFERROR(-BA271,"n.b."))</f>
        <v/>
      </c>
      <c r="CO271" s="124" t="str">
        <f>IF($B271="","",IFERROR(-BB271,"n.b."))</f>
        <v/>
      </c>
      <c r="CP271" s="124" t="str">
        <f>IF($B271="","",IFERROR(-BC271,"n.b."))</f>
        <v/>
      </c>
      <c r="CQ271" s="124" t="str">
        <f>IF($B271="","",IFERROR(-BD271,"n.b."))</f>
        <v/>
      </c>
      <c r="CR271" s="124" t="str">
        <f>IF($B271="","",IFERROR(-BE271,"n.b."))</f>
        <v/>
      </c>
      <c r="CS271" s="124" t="str">
        <f>IF($B271="","",IFERROR(IF(OR(ABS(T271+V271+X271+Z271-AB271)&gt;P_Tol,ABS(U271+W271+Y271+AA271-AD271)&gt;P_Tol,ABS(AE271+AG271+AI271+AK271-AM271)&gt;P_Tol,ABS(AF271+AH271+AJ271+AL271-AO271)&gt;P_Tol),1,0),1))</f>
        <v/>
      </c>
      <c r="CT271" s="124" t="str">
        <f>IF($B271="","",IFERROR(IF(OR(ABS(AB271+AC271-AD271)&gt;P_Tol,ABS(AM271+AN271-AO271)&gt;P_Tol,ABS(O271+P271-Q271)&gt;P_Tol),1,0),1))</f>
        <v/>
      </c>
      <c r="CU271" s="124" t="str">
        <f>IF($B271="","",IFERROR(IF(ABS(R271-(AB271+AM271+AP271+AR271+AT271+AV271+AX271+AZ271+BB271+BD271))&gt;P_Tol,1,0),1))</f>
        <v/>
      </c>
      <c r="CV271" s="124" t="str">
        <f>IF($B271="","",IFERROR(IF(ABS(M271-(N271+O271+R271))&gt;P_Tol,1,0),1))</f>
        <v/>
      </c>
      <c r="CW271" s="124" t="str">
        <f>IF($B271="","",IF(COUNTIF(Mapping!$A$5:$A$104,B271)&gt;0,1,0))</f>
        <v/>
      </c>
      <c r="CX271" s="124" t="str">
        <f>IF($B271="","",COUNTIF($B$6:$B$505,B271))</f>
        <v/>
      </c>
      <c r="CY271" s="124" t="str">
        <f>IF($B271="","",COUNTIF(STG_Woningetalage!$B$6:$B$505,B271))</f>
        <v/>
      </c>
      <c r="CZ271" s="124" t="str">
        <f>IF($B271="","",IF(CW271=0,COUNTIF($CW$6:CW271,0),""))</f>
        <v/>
      </c>
    </row>
    <row r="272">
      <c r="A272" s="15" t="n">
        <v>268</v>
      </c>
      <c r="B272" t="str">
        <f>IF(B$3=0,"",IF(INDEX(SRC_ZPMW03!$A$1:$ZZ$501,$A272,B$3)&amp;""="","",INDEX(SRC_ZPMW03!$A$1:$ZZ$501,$A272,B$3)&amp;""))</f>
        <v/>
      </c>
      <c r="C272" t="str">
        <f>IF($B272="","",IF(C$3=0,"n.b.",INDEX(SRC_ZPMW03!$A$1:$ZZ$501,$A272,C$3)))</f>
        <v/>
      </c>
      <c r="D272" t="str">
        <f>IF($B272="","",IF(D$3=0,"n.b.",INDEX(SRC_ZPMW03!$A$1:$ZZ$501,$A272,D$3)))</f>
        <v/>
      </c>
      <c r="E272" t="str">
        <f>IF($B272="","",IF(E$3=0,"n.b.",INDEX(SRC_ZPMW03!$A$1:$ZZ$501,$A272,E$3)))</f>
        <v/>
      </c>
      <c r="F272" t="str">
        <f>IF($B272="","",IF(F$3=0,"n.b.",INDEX(SRC_ZPMW03!$A$1:$ZZ$501,$A272,F$3)))</f>
        <v/>
      </c>
      <c r="G272" t="str">
        <f>IF($B272="","",IF(G$3=0,"n.b.",INDEX(SRC_ZPMW03!$A$1:$ZZ$501,$A272,G$3)))</f>
        <v/>
      </c>
      <c r="H272" t="str">
        <f>IF($B272="","",IF(H$3=0,"n.b.",INDEX(SRC_ZPMW03!$A$1:$ZZ$501,$A272,H$3)))</f>
        <v/>
      </c>
      <c r="I272" t="str">
        <f>IF($B272="","",IF(I$3=0,"n.b.",INDEX(SRC_ZPMW03!$A$1:$ZZ$501,$A272,I$3)))</f>
        <v/>
      </c>
      <c r="J272" t="str">
        <f>IF($B272="","",IF(J$3=0,"n.b.",INDEX(SRC_ZPMW03!$A$1:$ZZ$501,$A272,J$3)))</f>
        <v/>
      </c>
      <c r="K272" t="str">
        <f>IF($B272="","",IF(K$3=0,"n.b.",INDEX(SRC_ZPMW03!$A$1:$ZZ$501,$A272,K$3)))</f>
        <v/>
      </c>
      <c r="L272" s="124" t="str">
        <f>IF($B272="","",IF(L$3=0,"n.b.",INDEX(SRC_ZPMW03!$A$1:$ZZ$501,$A272,L$3)))</f>
        <v/>
      </c>
      <c r="M272" s="124" t="str">
        <f>IF($B272="","",IF(M$3=0,"n.b.",INDEX(SRC_ZPMW03!$A$1:$ZZ$501,$A272,M$3)))</f>
        <v/>
      </c>
      <c r="N272" s="124" t="str">
        <f>IF($B272="","",IF(N$3=0,"n.b.",INDEX(SRC_ZPMW03!$A$1:$ZZ$501,$A272,N$3)))</f>
        <v/>
      </c>
      <c r="O272" s="124" t="str">
        <f>IF($B272="","",IF(O$3=0,"n.b.",INDEX(SRC_ZPMW03!$A$1:$ZZ$501,$A272,O$3)))</f>
        <v/>
      </c>
      <c r="P272" s="124" t="str">
        <f>IF($B272="","",IF(P$3=0,"n.b.",INDEX(SRC_ZPMW03!$A$1:$ZZ$501,$A272,P$3)))</f>
        <v/>
      </c>
      <c r="Q272" s="124" t="str">
        <f>IF($B272="","",IF(Q$3=0,"n.b.",INDEX(SRC_ZPMW03!$A$1:$ZZ$501,$A272,Q$3)))</f>
        <v/>
      </c>
      <c r="R272" s="124" t="str">
        <f>IF($B272="","",IF(R$3=0,"n.b.",INDEX(SRC_ZPMW03!$A$1:$ZZ$501,$A272,R$3)))</f>
        <v/>
      </c>
      <c r="S272" s="124" t="str">
        <f>IF($B272="","",IF(S$3=0,"n.b.",INDEX(SRC_ZPMW03!$A$1:$ZZ$501,$A272,S$3)))</f>
        <v/>
      </c>
      <c r="T272" s="124" t="str">
        <f>IF($B272="","",IF(T$3=0,"n.b.",INDEX(SRC_ZPMW03!$A$1:$ZZ$501,$A272,T$3)))</f>
        <v/>
      </c>
      <c r="U272" s="124" t="str">
        <f>IF($B272="","",IF(U$3=0,"n.b.",INDEX(SRC_ZPMW03!$A$1:$ZZ$501,$A272,U$3)))</f>
        <v/>
      </c>
      <c r="V272" s="124" t="str">
        <f>IF($B272="","",IF(V$3=0,"n.b.",INDEX(SRC_ZPMW03!$A$1:$ZZ$501,$A272,V$3)))</f>
        <v/>
      </c>
      <c r="W272" s="124" t="str">
        <f>IF($B272="","",IF(W$3=0,"n.b.",INDEX(SRC_ZPMW03!$A$1:$ZZ$501,$A272,W$3)))</f>
        <v/>
      </c>
      <c r="X272" s="124" t="str">
        <f>IF($B272="","",IF(X$3=0,"n.b.",INDEX(SRC_ZPMW03!$A$1:$ZZ$501,$A272,X$3)))</f>
        <v/>
      </c>
      <c r="Y272" s="124" t="str">
        <f>IF($B272="","",IF(Y$3=0,"n.b.",INDEX(SRC_ZPMW03!$A$1:$ZZ$501,$A272,Y$3)))</f>
        <v/>
      </c>
      <c r="Z272" s="124" t="str">
        <f>IF($B272="","",IF(Z$3=0,"n.b.",INDEX(SRC_ZPMW03!$A$1:$ZZ$501,$A272,Z$3)))</f>
        <v/>
      </c>
      <c r="AA272" s="124" t="str">
        <f>IF($B272="","",IF(AA$3=0,"n.b.",INDEX(SRC_ZPMW03!$A$1:$ZZ$501,$A272,AA$3)))</f>
        <v/>
      </c>
      <c r="AB272" s="124" t="str">
        <f>IF($B272="","",IF(AB$3=0,"n.b.",INDEX(SRC_ZPMW03!$A$1:$ZZ$501,$A272,AB$3)))</f>
        <v/>
      </c>
      <c r="AC272" s="124" t="str">
        <f>IF($B272="","",IF(AC$3=0,"n.b.",INDEX(SRC_ZPMW03!$A$1:$ZZ$501,$A272,AC$3)))</f>
        <v/>
      </c>
      <c r="AD272" s="124" t="str">
        <f>IF($B272="","",IF(AD$3=0,"n.b.",INDEX(SRC_ZPMW03!$A$1:$ZZ$501,$A272,AD$3)))</f>
        <v/>
      </c>
      <c r="AE272" s="124" t="str">
        <f>IF($B272="","",IF(AE$3=0,"n.b.",INDEX(SRC_ZPMW03!$A$1:$ZZ$501,$A272,AE$3)))</f>
        <v/>
      </c>
      <c r="AF272" s="124" t="str">
        <f>IF($B272="","",IF(AF$3=0,"n.b.",INDEX(SRC_ZPMW03!$A$1:$ZZ$501,$A272,AF$3)))</f>
        <v/>
      </c>
      <c r="AG272" s="124" t="str">
        <f>IF($B272="","",IF(AG$3=0,"n.b.",INDEX(SRC_ZPMW03!$A$1:$ZZ$501,$A272,AG$3)))</f>
        <v/>
      </c>
      <c r="AH272" s="124" t="str">
        <f>IF($B272="","",IF(AH$3=0,"n.b.",INDEX(SRC_ZPMW03!$A$1:$ZZ$501,$A272,AH$3)))</f>
        <v/>
      </c>
      <c r="AI272" s="124" t="str">
        <f>IF($B272="","",IF(AI$3=0,"n.b.",INDEX(SRC_ZPMW03!$A$1:$ZZ$501,$A272,AI$3)))</f>
        <v/>
      </c>
      <c r="AJ272" s="124" t="str">
        <f>IF($B272="","",IF(AJ$3=0,"n.b.",INDEX(SRC_ZPMW03!$A$1:$ZZ$501,$A272,AJ$3)))</f>
        <v/>
      </c>
      <c r="AK272" s="124" t="str">
        <f>IF($B272="","",IF(AK$3=0,"n.b.",INDEX(SRC_ZPMW03!$A$1:$ZZ$501,$A272,AK$3)))</f>
        <v/>
      </c>
      <c r="AL272" s="124" t="str">
        <f>IF($B272="","",IF(AL$3=0,"n.b.",INDEX(SRC_ZPMW03!$A$1:$ZZ$501,$A272,AL$3)))</f>
        <v/>
      </c>
      <c r="AM272" s="124" t="str">
        <f>IF($B272="","",IF(AM$3=0,"n.b.",INDEX(SRC_ZPMW03!$A$1:$ZZ$501,$A272,AM$3)))</f>
        <v/>
      </c>
      <c r="AN272" s="124" t="str">
        <f>IF($B272="","",IF(AN$3=0,"n.b.",INDEX(SRC_ZPMW03!$A$1:$ZZ$501,$A272,AN$3)))</f>
        <v/>
      </c>
      <c r="AO272" s="124" t="str">
        <f>IF($B272="","",IF(AO$3=0,"n.b.",INDEX(SRC_ZPMW03!$A$1:$ZZ$501,$A272,AO$3)))</f>
        <v/>
      </c>
      <c r="AP272" s="124" t="str">
        <f>IF($B272="","",IF(AP$3=0,"n.b.",INDEX(SRC_ZPMW03!$A$1:$ZZ$501,$A272,AP$3)))</f>
        <v/>
      </c>
      <c r="AQ272" s="124" t="str">
        <f>IF($B272="","",IF(AQ$3=0,"n.b.",INDEX(SRC_ZPMW03!$A$1:$ZZ$501,$A272,AQ$3)))</f>
        <v/>
      </c>
      <c r="AR272" s="124" t="str">
        <f>IF($B272="","",IF(AR$3=0,"n.b.",INDEX(SRC_ZPMW03!$A$1:$ZZ$501,$A272,AR$3)))</f>
        <v/>
      </c>
      <c r="AS272" s="124" t="str">
        <f>IF($B272="","",IF(AS$3=0,"n.b.",INDEX(SRC_ZPMW03!$A$1:$ZZ$501,$A272,AS$3)))</f>
        <v/>
      </c>
      <c r="AT272" s="124" t="str">
        <f>IF($B272="","",IF(AT$3=0,"n.b.",INDEX(SRC_ZPMW03!$A$1:$ZZ$501,$A272,AT$3)))</f>
        <v/>
      </c>
      <c r="AU272" s="124" t="str">
        <f>IF($B272="","",IF(AU$3=0,"n.b.",INDEX(SRC_ZPMW03!$A$1:$ZZ$501,$A272,AU$3)))</f>
        <v/>
      </c>
      <c r="AV272" s="124" t="str">
        <f>IF($B272="","",IF(AV$3=0,"n.b.",INDEX(SRC_ZPMW03!$A$1:$ZZ$501,$A272,AV$3)))</f>
        <v/>
      </c>
      <c r="AW272" s="124" t="str">
        <f>IF($B272="","",IF(AW$3=0,"n.b.",INDEX(SRC_ZPMW03!$A$1:$ZZ$501,$A272,AW$3)))</f>
        <v/>
      </c>
      <c r="AX272" s="124" t="str">
        <f>IF($B272="","",IF(AX$3=0,"n.b.",INDEX(SRC_ZPMW03!$A$1:$ZZ$501,$A272,AX$3)))</f>
        <v/>
      </c>
      <c r="AY272" s="124" t="str">
        <f>IF($B272="","",IF(AY$3=0,"n.b.",INDEX(SRC_ZPMW03!$A$1:$ZZ$501,$A272,AY$3)))</f>
        <v/>
      </c>
      <c r="AZ272" s="124" t="str">
        <f>IF($B272="","",IF(AZ$3=0,"n.b.",INDEX(SRC_ZPMW03!$A$1:$ZZ$501,$A272,AZ$3)))</f>
        <v/>
      </c>
      <c r="BA272" s="124" t="str">
        <f>IF($B272="","",IF(BA$3=0,"n.b.",INDEX(SRC_ZPMW03!$A$1:$ZZ$501,$A272,BA$3)))</f>
        <v/>
      </c>
      <c r="BB272" s="124" t="str">
        <f>IF($B272="","",IF(BB$3=0,"n.b.",INDEX(SRC_ZPMW03!$A$1:$ZZ$501,$A272,BB$3)))</f>
        <v/>
      </c>
      <c r="BC272" s="124" t="str">
        <f>IF($B272="","",IF(BC$3=0,"n.b.",INDEX(SRC_ZPMW03!$A$1:$ZZ$501,$A272,BC$3)))</f>
        <v/>
      </c>
      <c r="BD272" s="124" t="str">
        <f>IF($B272="","",IF(BD$3=0,"n.b.",INDEX(SRC_ZPMW03!$A$1:$ZZ$501,$A272,BD$3)))</f>
        <v/>
      </c>
      <c r="BE272" s="124" t="str">
        <f>IF($B272="","",IF(BE$3=0,"n.b.",INDEX(SRC_ZPMW03!$A$1:$ZZ$501,$A272,BE$3)))</f>
        <v/>
      </c>
      <c r="BF272" s="124" t="str">
        <f>IF($B272="","",IF(BF$3=0,"n.b.",INDEX(SRC_ZPMW03!$A$1:$ZZ$501,$A272,BF$3)))</f>
        <v/>
      </c>
      <c r="BG272" t="str">
        <f>IF($B272="","",IF(BG$3=0,"n.b.",INDEX(SRC_ZPMW03!$A$1:$ZZ$501,$A272,BG$3)))</f>
        <v/>
      </c>
      <c r="BH272" t="str">
        <f>IF($B272="","",IF(BH$3=0,"n.b.",INDEX(SRC_ZPMW03!$A$1:$ZZ$501,$A272,BH$3)))</f>
        <v/>
      </c>
      <c r="BI272" t="str">
        <f>IF($B272="","",IF(BI$3=0,"n.b.",INDEX(SRC_ZPMW03!$A$1:$ZZ$501,$A272,BI$3)))</f>
        <v/>
      </c>
      <c r="BJ272" t="str">
        <f>IF($B272="","",IF(BJ$3=0,"n.b.",INDEX(SRC_ZPMW03!$A$1:$ZZ$501,$A272,BJ$3)))</f>
        <v/>
      </c>
      <c r="BK272" s="124" t="str">
        <f>IF($B272="","",IFERROR(-O272,"n.b."))</f>
        <v/>
      </c>
      <c r="BL272" s="124" t="str">
        <f>IF($B272="","",IFERROR(-Q272,"n.b."))</f>
        <v/>
      </c>
      <c r="BM272" s="124" t="str">
        <f>IF($B272="","",IFERROR(-AB272,"n.b."))</f>
        <v/>
      </c>
      <c r="BN272" s="124" t="str">
        <f>IF($B272="","",IFERROR(-AD272,"n.b."))</f>
        <v/>
      </c>
      <c r="BO272" s="124" t="str">
        <f>IF($B272="","",IFERROR(BK272+BM272,"n.b."))</f>
        <v/>
      </c>
      <c r="BP272" s="124" t="str">
        <f>IF($B272="","",IFERROR(BL272+BN272,"n.b."))</f>
        <v/>
      </c>
      <c r="BQ272" s="124" t="str">
        <f>IF($B272="","",IFERROR(-AM272,"n.b."))</f>
        <v/>
      </c>
      <c r="BR272" s="124" t="str">
        <f>IF($B272="","",IFERROR(-AO272,"n.b."))</f>
        <v/>
      </c>
      <c r="BS272" s="124" t="str">
        <f>IF($B272="","",IFERROR(-Z272,"n.b."))</f>
        <v/>
      </c>
      <c r="BT272" s="124" t="str">
        <f>IF($B272="","",IFERROR(-AA272,"n.b."))</f>
        <v/>
      </c>
      <c r="BU272" s="124" t="str">
        <f>IF($B272="","",IFERROR(-AE272,"n.b."))</f>
        <v/>
      </c>
      <c r="BV272" s="124" t="str">
        <f>IF($B272="","",IFERROR(-AF272,"n.b."))</f>
        <v/>
      </c>
      <c r="BW272" s="124" t="str">
        <f>IF($B272="","",IFERROR(-AG272,"n.b."))</f>
        <v/>
      </c>
      <c r="BX272" s="124" t="str">
        <f>IF($B272="","",IFERROR(-AH272,"n.b."))</f>
        <v/>
      </c>
      <c r="BY272" s="124" t="str">
        <f>IF($B272="","",IFERROR(-AI272,"n.b."))</f>
        <v/>
      </c>
      <c r="BZ272" s="124" t="str">
        <f>IF($B272="","",IFERROR(-AJ272,"n.b."))</f>
        <v/>
      </c>
      <c r="CA272" s="124" t="str">
        <f>IF($B272="","",IFERROR(-AK272,"n.b."))</f>
        <v/>
      </c>
      <c r="CB272" s="124" t="str">
        <f>IF($B272="","",IFERROR(-AL272,"n.b."))</f>
        <v/>
      </c>
      <c r="CC272" s="124" t="str">
        <f>IF($B272="","",IFERROR(-AP272,"n.b."))</f>
        <v/>
      </c>
      <c r="CD272" s="124" t="str">
        <f>IF($B272="","",IFERROR(-AQ272,"n.b."))</f>
        <v/>
      </c>
      <c r="CE272" s="124" t="str">
        <f>IF($B272="","",IFERROR(-AR272,"n.b."))</f>
        <v/>
      </c>
      <c r="CF272" s="124" t="str">
        <f>IF($B272="","",IFERROR(-AS272,"n.b."))</f>
        <v/>
      </c>
      <c r="CG272" s="124" t="str">
        <f>IF($B272="","",IFERROR(-AT272,"n.b."))</f>
        <v/>
      </c>
      <c r="CH272" s="124" t="str">
        <f>IF($B272="","",IFERROR(-AU272,"n.b."))</f>
        <v/>
      </c>
      <c r="CI272" s="124" t="str">
        <f>IF($B272="","",IFERROR(-AV272,"n.b."))</f>
        <v/>
      </c>
      <c r="CJ272" s="124" t="str">
        <f>IF($B272="","",IFERROR(-AW272,"n.b."))</f>
        <v/>
      </c>
      <c r="CK272" s="124" t="str">
        <f>IF($B272="","",IFERROR(-AX272,"n.b."))</f>
        <v/>
      </c>
      <c r="CL272" s="124" t="str">
        <f>IF($B272="","",IFERROR(-AY272,"n.b."))</f>
        <v/>
      </c>
      <c r="CM272" s="124" t="str">
        <f>IF($B272="","",IFERROR(-AZ272,"n.b."))</f>
        <v/>
      </c>
      <c r="CN272" s="124" t="str">
        <f>IF($B272="","",IFERROR(-BA272,"n.b."))</f>
        <v/>
      </c>
      <c r="CO272" s="124" t="str">
        <f>IF($B272="","",IFERROR(-BB272,"n.b."))</f>
        <v/>
      </c>
      <c r="CP272" s="124" t="str">
        <f>IF($B272="","",IFERROR(-BC272,"n.b."))</f>
        <v/>
      </c>
      <c r="CQ272" s="124" t="str">
        <f>IF($B272="","",IFERROR(-BD272,"n.b."))</f>
        <v/>
      </c>
      <c r="CR272" s="124" t="str">
        <f>IF($B272="","",IFERROR(-BE272,"n.b."))</f>
        <v/>
      </c>
      <c r="CS272" s="124" t="str">
        <f>IF($B272="","",IFERROR(IF(OR(ABS(T272+V272+X272+Z272-AB272)&gt;P_Tol,ABS(U272+W272+Y272+AA272-AD272)&gt;P_Tol,ABS(AE272+AG272+AI272+AK272-AM272)&gt;P_Tol,ABS(AF272+AH272+AJ272+AL272-AO272)&gt;P_Tol),1,0),1))</f>
        <v/>
      </c>
      <c r="CT272" s="124" t="str">
        <f>IF($B272="","",IFERROR(IF(OR(ABS(AB272+AC272-AD272)&gt;P_Tol,ABS(AM272+AN272-AO272)&gt;P_Tol,ABS(O272+P272-Q272)&gt;P_Tol),1,0),1))</f>
        <v/>
      </c>
      <c r="CU272" s="124" t="str">
        <f>IF($B272="","",IFERROR(IF(ABS(R272-(AB272+AM272+AP272+AR272+AT272+AV272+AX272+AZ272+BB272+BD272))&gt;P_Tol,1,0),1))</f>
        <v/>
      </c>
      <c r="CV272" s="124" t="str">
        <f>IF($B272="","",IFERROR(IF(ABS(M272-(N272+O272+R272))&gt;P_Tol,1,0),1))</f>
        <v/>
      </c>
      <c r="CW272" s="124" t="str">
        <f>IF($B272="","",IF(COUNTIF(Mapping!$A$5:$A$104,B272)&gt;0,1,0))</f>
        <v/>
      </c>
      <c r="CX272" s="124" t="str">
        <f>IF($B272="","",COUNTIF($B$6:$B$505,B272))</f>
        <v/>
      </c>
      <c r="CY272" s="124" t="str">
        <f>IF($B272="","",COUNTIF(STG_Woningetalage!$B$6:$B$505,B272))</f>
        <v/>
      </c>
      <c r="CZ272" s="124" t="str">
        <f>IF($B272="","",IF(CW272=0,COUNTIF($CW$6:CW272,0),""))</f>
        <v/>
      </c>
    </row>
    <row r="273">
      <c r="A273" s="15" t="n">
        <v>269</v>
      </c>
      <c r="B273" t="str">
        <f>IF(B$3=0,"",IF(INDEX(SRC_ZPMW03!$A$1:$ZZ$501,$A273,B$3)&amp;""="","",INDEX(SRC_ZPMW03!$A$1:$ZZ$501,$A273,B$3)&amp;""))</f>
        <v/>
      </c>
      <c r="C273" t="str">
        <f>IF($B273="","",IF(C$3=0,"n.b.",INDEX(SRC_ZPMW03!$A$1:$ZZ$501,$A273,C$3)))</f>
        <v/>
      </c>
      <c r="D273" t="str">
        <f>IF($B273="","",IF(D$3=0,"n.b.",INDEX(SRC_ZPMW03!$A$1:$ZZ$501,$A273,D$3)))</f>
        <v/>
      </c>
      <c r="E273" t="str">
        <f>IF($B273="","",IF(E$3=0,"n.b.",INDEX(SRC_ZPMW03!$A$1:$ZZ$501,$A273,E$3)))</f>
        <v/>
      </c>
      <c r="F273" t="str">
        <f>IF($B273="","",IF(F$3=0,"n.b.",INDEX(SRC_ZPMW03!$A$1:$ZZ$501,$A273,F$3)))</f>
        <v/>
      </c>
      <c r="G273" t="str">
        <f>IF($B273="","",IF(G$3=0,"n.b.",INDEX(SRC_ZPMW03!$A$1:$ZZ$501,$A273,G$3)))</f>
        <v/>
      </c>
      <c r="H273" t="str">
        <f>IF($B273="","",IF(H$3=0,"n.b.",INDEX(SRC_ZPMW03!$A$1:$ZZ$501,$A273,H$3)))</f>
        <v/>
      </c>
      <c r="I273" t="str">
        <f>IF($B273="","",IF(I$3=0,"n.b.",INDEX(SRC_ZPMW03!$A$1:$ZZ$501,$A273,I$3)))</f>
        <v/>
      </c>
      <c r="J273" t="str">
        <f>IF($B273="","",IF(J$3=0,"n.b.",INDEX(SRC_ZPMW03!$A$1:$ZZ$501,$A273,J$3)))</f>
        <v/>
      </c>
      <c r="K273" t="str">
        <f>IF($B273="","",IF(K$3=0,"n.b.",INDEX(SRC_ZPMW03!$A$1:$ZZ$501,$A273,K$3)))</f>
        <v/>
      </c>
      <c r="L273" s="124" t="str">
        <f>IF($B273="","",IF(L$3=0,"n.b.",INDEX(SRC_ZPMW03!$A$1:$ZZ$501,$A273,L$3)))</f>
        <v/>
      </c>
      <c r="M273" s="124" t="str">
        <f>IF($B273="","",IF(M$3=0,"n.b.",INDEX(SRC_ZPMW03!$A$1:$ZZ$501,$A273,M$3)))</f>
        <v/>
      </c>
      <c r="N273" s="124" t="str">
        <f>IF($B273="","",IF(N$3=0,"n.b.",INDEX(SRC_ZPMW03!$A$1:$ZZ$501,$A273,N$3)))</f>
        <v/>
      </c>
      <c r="O273" s="124" t="str">
        <f>IF($B273="","",IF(O$3=0,"n.b.",INDEX(SRC_ZPMW03!$A$1:$ZZ$501,$A273,O$3)))</f>
        <v/>
      </c>
      <c r="P273" s="124" t="str">
        <f>IF($B273="","",IF(P$3=0,"n.b.",INDEX(SRC_ZPMW03!$A$1:$ZZ$501,$A273,P$3)))</f>
        <v/>
      </c>
      <c r="Q273" s="124" t="str">
        <f>IF($B273="","",IF(Q$3=0,"n.b.",INDEX(SRC_ZPMW03!$A$1:$ZZ$501,$A273,Q$3)))</f>
        <v/>
      </c>
      <c r="R273" s="124" t="str">
        <f>IF($B273="","",IF(R$3=0,"n.b.",INDEX(SRC_ZPMW03!$A$1:$ZZ$501,$A273,R$3)))</f>
        <v/>
      </c>
      <c r="S273" s="124" t="str">
        <f>IF($B273="","",IF(S$3=0,"n.b.",INDEX(SRC_ZPMW03!$A$1:$ZZ$501,$A273,S$3)))</f>
        <v/>
      </c>
      <c r="T273" s="124" t="str">
        <f>IF($B273="","",IF(T$3=0,"n.b.",INDEX(SRC_ZPMW03!$A$1:$ZZ$501,$A273,T$3)))</f>
        <v/>
      </c>
      <c r="U273" s="124" t="str">
        <f>IF($B273="","",IF(U$3=0,"n.b.",INDEX(SRC_ZPMW03!$A$1:$ZZ$501,$A273,U$3)))</f>
        <v/>
      </c>
      <c r="V273" s="124" t="str">
        <f>IF($B273="","",IF(V$3=0,"n.b.",INDEX(SRC_ZPMW03!$A$1:$ZZ$501,$A273,V$3)))</f>
        <v/>
      </c>
      <c r="W273" s="124" t="str">
        <f>IF($B273="","",IF(W$3=0,"n.b.",INDEX(SRC_ZPMW03!$A$1:$ZZ$501,$A273,W$3)))</f>
        <v/>
      </c>
      <c r="X273" s="124" t="str">
        <f>IF($B273="","",IF(X$3=0,"n.b.",INDEX(SRC_ZPMW03!$A$1:$ZZ$501,$A273,X$3)))</f>
        <v/>
      </c>
      <c r="Y273" s="124" t="str">
        <f>IF($B273="","",IF(Y$3=0,"n.b.",INDEX(SRC_ZPMW03!$A$1:$ZZ$501,$A273,Y$3)))</f>
        <v/>
      </c>
      <c r="Z273" s="124" t="str">
        <f>IF($B273="","",IF(Z$3=0,"n.b.",INDEX(SRC_ZPMW03!$A$1:$ZZ$501,$A273,Z$3)))</f>
        <v/>
      </c>
      <c r="AA273" s="124" t="str">
        <f>IF($B273="","",IF(AA$3=0,"n.b.",INDEX(SRC_ZPMW03!$A$1:$ZZ$501,$A273,AA$3)))</f>
        <v/>
      </c>
      <c r="AB273" s="124" t="str">
        <f>IF($B273="","",IF(AB$3=0,"n.b.",INDEX(SRC_ZPMW03!$A$1:$ZZ$501,$A273,AB$3)))</f>
        <v/>
      </c>
      <c r="AC273" s="124" t="str">
        <f>IF($B273="","",IF(AC$3=0,"n.b.",INDEX(SRC_ZPMW03!$A$1:$ZZ$501,$A273,AC$3)))</f>
        <v/>
      </c>
      <c r="AD273" s="124" t="str">
        <f>IF($B273="","",IF(AD$3=0,"n.b.",INDEX(SRC_ZPMW03!$A$1:$ZZ$501,$A273,AD$3)))</f>
        <v/>
      </c>
      <c r="AE273" s="124" t="str">
        <f>IF($B273="","",IF(AE$3=0,"n.b.",INDEX(SRC_ZPMW03!$A$1:$ZZ$501,$A273,AE$3)))</f>
        <v/>
      </c>
      <c r="AF273" s="124" t="str">
        <f>IF($B273="","",IF(AF$3=0,"n.b.",INDEX(SRC_ZPMW03!$A$1:$ZZ$501,$A273,AF$3)))</f>
        <v/>
      </c>
      <c r="AG273" s="124" t="str">
        <f>IF($B273="","",IF(AG$3=0,"n.b.",INDEX(SRC_ZPMW03!$A$1:$ZZ$501,$A273,AG$3)))</f>
        <v/>
      </c>
      <c r="AH273" s="124" t="str">
        <f>IF($B273="","",IF(AH$3=0,"n.b.",INDEX(SRC_ZPMW03!$A$1:$ZZ$501,$A273,AH$3)))</f>
        <v/>
      </c>
      <c r="AI273" s="124" t="str">
        <f>IF($B273="","",IF(AI$3=0,"n.b.",INDEX(SRC_ZPMW03!$A$1:$ZZ$501,$A273,AI$3)))</f>
        <v/>
      </c>
      <c r="AJ273" s="124" t="str">
        <f>IF($B273="","",IF(AJ$3=0,"n.b.",INDEX(SRC_ZPMW03!$A$1:$ZZ$501,$A273,AJ$3)))</f>
        <v/>
      </c>
      <c r="AK273" s="124" t="str">
        <f>IF($B273="","",IF(AK$3=0,"n.b.",INDEX(SRC_ZPMW03!$A$1:$ZZ$501,$A273,AK$3)))</f>
        <v/>
      </c>
      <c r="AL273" s="124" t="str">
        <f>IF($B273="","",IF(AL$3=0,"n.b.",INDEX(SRC_ZPMW03!$A$1:$ZZ$501,$A273,AL$3)))</f>
        <v/>
      </c>
      <c r="AM273" s="124" t="str">
        <f>IF($B273="","",IF(AM$3=0,"n.b.",INDEX(SRC_ZPMW03!$A$1:$ZZ$501,$A273,AM$3)))</f>
        <v/>
      </c>
      <c r="AN273" s="124" t="str">
        <f>IF($B273="","",IF(AN$3=0,"n.b.",INDEX(SRC_ZPMW03!$A$1:$ZZ$501,$A273,AN$3)))</f>
        <v/>
      </c>
      <c r="AO273" s="124" t="str">
        <f>IF($B273="","",IF(AO$3=0,"n.b.",INDEX(SRC_ZPMW03!$A$1:$ZZ$501,$A273,AO$3)))</f>
        <v/>
      </c>
      <c r="AP273" s="124" t="str">
        <f>IF($B273="","",IF(AP$3=0,"n.b.",INDEX(SRC_ZPMW03!$A$1:$ZZ$501,$A273,AP$3)))</f>
        <v/>
      </c>
      <c r="AQ273" s="124" t="str">
        <f>IF($B273="","",IF(AQ$3=0,"n.b.",INDEX(SRC_ZPMW03!$A$1:$ZZ$501,$A273,AQ$3)))</f>
        <v/>
      </c>
      <c r="AR273" s="124" t="str">
        <f>IF($B273="","",IF(AR$3=0,"n.b.",INDEX(SRC_ZPMW03!$A$1:$ZZ$501,$A273,AR$3)))</f>
        <v/>
      </c>
      <c r="AS273" s="124" t="str">
        <f>IF($B273="","",IF(AS$3=0,"n.b.",INDEX(SRC_ZPMW03!$A$1:$ZZ$501,$A273,AS$3)))</f>
        <v/>
      </c>
      <c r="AT273" s="124" t="str">
        <f>IF($B273="","",IF(AT$3=0,"n.b.",INDEX(SRC_ZPMW03!$A$1:$ZZ$501,$A273,AT$3)))</f>
        <v/>
      </c>
      <c r="AU273" s="124" t="str">
        <f>IF($B273="","",IF(AU$3=0,"n.b.",INDEX(SRC_ZPMW03!$A$1:$ZZ$501,$A273,AU$3)))</f>
        <v/>
      </c>
      <c r="AV273" s="124" t="str">
        <f>IF($B273="","",IF(AV$3=0,"n.b.",INDEX(SRC_ZPMW03!$A$1:$ZZ$501,$A273,AV$3)))</f>
        <v/>
      </c>
      <c r="AW273" s="124" t="str">
        <f>IF($B273="","",IF(AW$3=0,"n.b.",INDEX(SRC_ZPMW03!$A$1:$ZZ$501,$A273,AW$3)))</f>
        <v/>
      </c>
      <c r="AX273" s="124" t="str">
        <f>IF($B273="","",IF(AX$3=0,"n.b.",INDEX(SRC_ZPMW03!$A$1:$ZZ$501,$A273,AX$3)))</f>
        <v/>
      </c>
      <c r="AY273" s="124" t="str">
        <f>IF($B273="","",IF(AY$3=0,"n.b.",INDEX(SRC_ZPMW03!$A$1:$ZZ$501,$A273,AY$3)))</f>
        <v/>
      </c>
      <c r="AZ273" s="124" t="str">
        <f>IF($B273="","",IF(AZ$3=0,"n.b.",INDEX(SRC_ZPMW03!$A$1:$ZZ$501,$A273,AZ$3)))</f>
        <v/>
      </c>
      <c r="BA273" s="124" t="str">
        <f>IF($B273="","",IF(BA$3=0,"n.b.",INDEX(SRC_ZPMW03!$A$1:$ZZ$501,$A273,BA$3)))</f>
        <v/>
      </c>
      <c r="BB273" s="124" t="str">
        <f>IF($B273="","",IF(BB$3=0,"n.b.",INDEX(SRC_ZPMW03!$A$1:$ZZ$501,$A273,BB$3)))</f>
        <v/>
      </c>
      <c r="BC273" s="124" t="str">
        <f>IF($B273="","",IF(BC$3=0,"n.b.",INDEX(SRC_ZPMW03!$A$1:$ZZ$501,$A273,BC$3)))</f>
        <v/>
      </c>
      <c r="BD273" s="124" t="str">
        <f>IF($B273="","",IF(BD$3=0,"n.b.",INDEX(SRC_ZPMW03!$A$1:$ZZ$501,$A273,BD$3)))</f>
        <v/>
      </c>
      <c r="BE273" s="124" t="str">
        <f>IF($B273="","",IF(BE$3=0,"n.b.",INDEX(SRC_ZPMW03!$A$1:$ZZ$501,$A273,BE$3)))</f>
        <v/>
      </c>
      <c r="BF273" s="124" t="str">
        <f>IF($B273="","",IF(BF$3=0,"n.b.",INDEX(SRC_ZPMW03!$A$1:$ZZ$501,$A273,BF$3)))</f>
        <v/>
      </c>
      <c r="BG273" t="str">
        <f>IF($B273="","",IF(BG$3=0,"n.b.",INDEX(SRC_ZPMW03!$A$1:$ZZ$501,$A273,BG$3)))</f>
        <v/>
      </c>
      <c r="BH273" t="str">
        <f>IF($B273="","",IF(BH$3=0,"n.b.",INDEX(SRC_ZPMW03!$A$1:$ZZ$501,$A273,BH$3)))</f>
        <v/>
      </c>
      <c r="BI273" t="str">
        <f>IF($B273="","",IF(BI$3=0,"n.b.",INDEX(SRC_ZPMW03!$A$1:$ZZ$501,$A273,BI$3)))</f>
        <v/>
      </c>
      <c r="BJ273" t="str">
        <f>IF($B273="","",IF(BJ$3=0,"n.b.",INDEX(SRC_ZPMW03!$A$1:$ZZ$501,$A273,BJ$3)))</f>
        <v/>
      </c>
      <c r="BK273" s="124" t="str">
        <f>IF($B273="","",IFERROR(-O273,"n.b."))</f>
        <v/>
      </c>
      <c r="BL273" s="124" t="str">
        <f>IF($B273="","",IFERROR(-Q273,"n.b."))</f>
        <v/>
      </c>
      <c r="BM273" s="124" t="str">
        <f>IF($B273="","",IFERROR(-AB273,"n.b."))</f>
        <v/>
      </c>
      <c r="BN273" s="124" t="str">
        <f>IF($B273="","",IFERROR(-AD273,"n.b."))</f>
        <v/>
      </c>
      <c r="BO273" s="124" t="str">
        <f>IF($B273="","",IFERROR(BK273+BM273,"n.b."))</f>
        <v/>
      </c>
      <c r="BP273" s="124" t="str">
        <f>IF($B273="","",IFERROR(BL273+BN273,"n.b."))</f>
        <v/>
      </c>
      <c r="BQ273" s="124" t="str">
        <f>IF($B273="","",IFERROR(-AM273,"n.b."))</f>
        <v/>
      </c>
      <c r="BR273" s="124" t="str">
        <f>IF($B273="","",IFERROR(-AO273,"n.b."))</f>
        <v/>
      </c>
      <c r="BS273" s="124" t="str">
        <f>IF($B273="","",IFERROR(-Z273,"n.b."))</f>
        <v/>
      </c>
      <c r="BT273" s="124" t="str">
        <f>IF($B273="","",IFERROR(-AA273,"n.b."))</f>
        <v/>
      </c>
      <c r="BU273" s="124" t="str">
        <f>IF($B273="","",IFERROR(-AE273,"n.b."))</f>
        <v/>
      </c>
      <c r="BV273" s="124" t="str">
        <f>IF($B273="","",IFERROR(-AF273,"n.b."))</f>
        <v/>
      </c>
      <c r="BW273" s="124" t="str">
        <f>IF($B273="","",IFERROR(-AG273,"n.b."))</f>
        <v/>
      </c>
      <c r="BX273" s="124" t="str">
        <f>IF($B273="","",IFERROR(-AH273,"n.b."))</f>
        <v/>
      </c>
      <c r="BY273" s="124" t="str">
        <f>IF($B273="","",IFERROR(-AI273,"n.b."))</f>
        <v/>
      </c>
      <c r="BZ273" s="124" t="str">
        <f>IF($B273="","",IFERROR(-AJ273,"n.b."))</f>
        <v/>
      </c>
      <c r="CA273" s="124" t="str">
        <f>IF($B273="","",IFERROR(-AK273,"n.b."))</f>
        <v/>
      </c>
      <c r="CB273" s="124" t="str">
        <f>IF($B273="","",IFERROR(-AL273,"n.b."))</f>
        <v/>
      </c>
      <c r="CC273" s="124" t="str">
        <f>IF($B273="","",IFERROR(-AP273,"n.b."))</f>
        <v/>
      </c>
      <c r="CD273" s="124" t="str">
        <f>IF($B273="","",IFERROR(-AQ273,"n.b."))</f>
        <v/>
      </c>
      <c r="CE273" s="124" t="str">
        <f>IF($B273="","",IFERROR(-AR273,"n.b."))</f>
        <v/>
      </c>
      <c r="CF273" s="124" t="str">
        <f>IF($B273="","",IFERROR(-AS273,"n.b."))</f>
        <v/>
      </c>
      <c r="CG273" s="124" t="str">
        <f>IF($B273="","",IFERROR(-AT273,"n.b."))</f>
        <v/>
      </c>
      <c r="CH273" s="124" t="str">
        <f>IF($B273="","",IFERROR(-AU273,"n.b."))</f>
        <v/>
      </c>
      <c r="CI273" s="124" t="str">
        <f>IF($B273="","",IFERROR(-AV273,"n.b."))</f>
        <v/>
      </c>
      <c r="CJ273" s="124" t="str">
        <f>IF($B273="","",IFERROR(-AW273,"n.b."))</f>
        <v/>
      </c>
      <c r="CK273" s="124" t="str">
        <f>IF($B273="","",IFERROR(-AX273,"n.b."))</f>
        <v/>
      </c>
      <c r="CL273" s="124" t="str">
        <f>IF($B273="","",IFERROR(-AY273,"n.b."))</f>
        <v/>
      </c>
      <c r="CM273" s="124" t="str">
        <f>IF($B273="","",IFERROR(-AZ273,"n.b."))</f>
        <v/>
      </c>
      <c r="CN273" s="124" t="str">
        <f>IF($B273="","",IFERROR(-BA273,"n.b."))</f>
        <v/>
      </c>
      <c r="CO273" s="124" t="str">
        <f>IF($B273="","",IFERROR(-BB273,"n.b."))</f>
        <v/>
      </c>
      <c r="CP273" s="124" t="str">
        <f>IF($B273="","",IFERROR(-BC273,"n.b."))</f>
        <v/>
      </c>
      <c r="CQ273" s="124" t="str">
        <f>IF($B273="","",IFERROR(-BD273,"n.b."))</f>
        <v/>
      </c>
      <c r="CR273" s="124" t="str">
        <f>IF($B273="","",IFERROR(-BE273,"n.b."))</f>
        <v/>
      </c>
      <c r="CS273" s="124" t="str">
        <f>IF($B273="","",IFERROR(IF(OR(ABS(T273+V273+X273+Z273-AB273)&gt;P_Tol,ABS(U273+W273+Y273+AA273-AD273)&gt;P_Tol,ABS(AE273+AG273+AI273+AK273-AM273)&gt;P_Tol,ABS(AF273+AH273+AJ273+AL273-AO273)&gt;P_Tol),1,0),1))</f>
        <v/>
      </c>
      <c r="CT273" s="124" t="str">
        <f>IF($B273="","",IFERROR(IF(OR(ABS(AB273+AC273-AD273)&gt;P_Tol,ABS(AM273+AN273-AO273)&gt;P_Tol,ABS(O273+P273-Q273)&gt;P_Tol),1,0),1))</f>
        <v/>
      </c>
      <c r="CU273" s="124" t="str">
        <f>IF($B273="","",IFERROR(IF(ABS(R273-(AB273+AM273+AP273+AR273+AT273+AV273+AX273+AZ273+BB273+BD273))&gt;P_Tol,1,0),1))</f>
        <v/>
      </c>
      <c r="CV273" s="124" t="str">
        <f>IF($B273="","",IFERROR(IF(ABS(M273-(N273+O273+R273))&gt;P_Tol,1,0),1))</f>
        <v/>
      </c>
      <c r="CW273" s="124" t="str">
        <f>IF($B273="","",IF(COUNTIF(Mapping!$A$5:$A$104,B273)&gt;0,1,0))</f>
        <v/>
      </c>
      <c r="CX273" s="124" t="str">
        <f>IF($B273="","",COUNTIF($B$6:$B$505,B273))</f>
        <v/>
      </c>
      <c r="CY273" s="124" t="str">
        <f>IF($B273="","",COUNTIF(STG_Woningetalage!$B$6:$B$505,B273))</f>
        <v/>
      </c>
      <c r="CZ273" s="124" t="str">
        <f>IF($B273="","",IF(CW273=0,COUNTIF($CW$6:CW273,0),""))</f>
        <v/>
      </c>
    </row>
    <row r="274">
      <c r="A274" s="15" t="n">
        <v>270</v>
      </c>
      <c r="B274" t="str">
        <f>IF(B$3=0,"",IF(INDEX(SRC_ZPMW03!$A$1:$ZZ$501,$A274,B$3)&amp;""="","",INDEX(SRC_ZPMW03!$A$1:$ZZ$501,$A274,B$3)&amp;""))</f>
        <v/>
      </c>
      <c r="C274" t="str">
        <f>IF($B274="","",IF(C$3=0,"n.b.",INDEX(SRC_ZPMW03!$A$1:$ZZ$501,$A274,C$3)))</f>
        <v/>
      </c>
      <c r="D274" t="str">
        <f>IF($B274="","",IF(D$3=0,"n.b.",INDEX(SRC_ZPMW03!$A$1:$ZZ$501,$A274,D$3)))</f>
        <v/>
      </c>
      <c r="E274" t="str">
        <f>IF($B274="","",IF(E$3=0,"n.b.",INDEX(SRC_ZPMW03!$A$1:$ZZ$501,$A274,E$3)))</f>
        <v/>
      </c>
      <c r="F274" t="str">
        <f>IF($B274="","",IF(F$3=0,"n.b.",INDEX(SRC_ZPMW03!$A$1:$ZZ$501,$A274,F$3)))</f>
        <v/>
      </c>
      <c r="G274" t="str">
        <f>IF($B274="","",IF(G$3=0,"n.b.",INDEX(SRC_ZPMW03!$A$1:$ZZ$501,$A274,G$3)))</f>
        <v/>
      </c>
      <c r="H274" t="str">
        <f>IF($B274="","",IF(H$3=0,"n.b.",INDEX(SRC_ZPMW03!$A$1:$ZZ$501,$A274,H$3)))</f>
        <v/>
      </c>
      <c r="I274" t="str">
        <f>IF($B274="","",IF(I$3=0,"n.b.",INDEX(SRC_ZPMW03!$A$1:$ZZ$501,$A274,I$3)))</f>
        <v/>
      </c>
      <c r="J274" t="str">
        <f>IF($B274="","",IF(J$3=0,"n.b.",INDEX(SRC_ZPMW03!$A$1:$ZZ$501,$A274,J$3)))</f>
        <v/>
      </c>
      <c r="K274" t="str">
        <f>IF($B274="","",IF(K$3=0,"n.b.",INDEX(SRC_ZPMW03!$A$1:$ZZ$501,$A274,K$3)))</f>
        <v/>
      </c>
      <c r="L274" s="124" t="str">
        <f>IF($B274="","",IF(L$3=0,"n.b.",INDEX(SRC_ZPMW03!$A$1:$ZZ$501,$A274,L$3)))</f>
        <v/>
      </c>
      <c r="M274" s="124" t="str">
        <f>IF($B274="","",IF(M$3=0,"n.b.",INDEX(SRC_ZPMW03!$A$1:$ZZ$501,$A274,M$3)))</f>
        <v/>
      </c>
      <c r="N274" s="124" t="str">
        <f>IF($B274="","",IF(N$3=0,"n.b.",INDEX(SRC_ZPMW03!$A$1:$ZZ$501,$A274,N$3)))</f>
        <v/>
      </c>
      <c r="O274" s="124" t="str">
        <f>IF($B274="","",IF(O$3=0,"n.b.",INDEX(SRC_ZPMW03!$A$1:$ZZ$501,$A274,O$3)))</f>
        <v/>
      </c>
      <c r="P274" s="124" t="str">
        <f>IF($B274="","",IF(P$3=0,"n.b.",INDEX(SRC_ZPMW03!$A$1:$ZZ$501,$A274,P$3)))</f>
        <v/>
      </c>
      <c r="Q274" s="124" t="str">
        <f>IF($B274="","",IF(Q$3=0,"n.b.",INDEX(SRC_ZPMW03!$A$1:$ZZ$501,$A274,Q$3)))</f>
        <v/>
      </c>
      <c r="R274" s="124" t="str">
        <f>IF($B274="","",IF(R$3=0,"n.b.",INDEX(SRC_ZPMW03!$A$1:$ZZ$501,$A274,R$3)))</f>
        <v/>
      </c>
      <c r="S274" s="124" t="str">
        <f>IF($B274="","",IF(S$3=0,"n.b.",INDEX(SRC_ZPMW03!$A$1:$ZZ$501,$A274,S$3)))</f>
        <v/>
      </c>
      <c r="T274" s="124" t="str">
        <f>IF($B274="","",IF(T$3=0,"n.b.",INDEX(SRC_ZPMW03!$A$1:$ZZ$501,$A274,T$3)))</f>
        <v/>
      </c>
      <c r="U274" s="124" t="str">
        <f>IF($B274="","",IF(U$3=0,"n.b.",INDEX(SRC_ZPMW03!$A$1:$ZZ$501,$A274,U$3)))</f>
        <v/>
      </c>
      <c r="V274" s="124" t="str">
        <f>IF($B274="","",IF(V$3=0,"n.b.",INDEX(SRC_ZPMW03!$A$1:$ZZ$501,$A274,V$3)))</f>
        <v/>
      </c>
      <c r="W274" s="124" t="str">
        <f>IF($B274="","",IF(W$3=0,"n.b.",INDEX(SRC_ZPMW03!$A$1:$ZZ$501,$A274,W$3)))</f>
        <v/>
      </c>
      <c r="X274" s="124" t="str">
        <f>IF($B274="","",IF(X$3=0,"n.b.",INDEX(SRC_ZPMW03!$A$1:$ZZ$501,$A274,X$3)))</f>
        <v/>
      </c>
      <c r="Y274" s="124" t="str">
        <f>IF($B274="","",IF(Y$3=0,"n.b.",INDEX(SRC_ZPMW03!$A$1:$ZZ$501,$A274,Y$3)))</f>
        <v/>
      </c>
      <c r="Z274" s="124" t="str">
        <f>IF($B274="","",IF(Z$3=0,"n.b.",INDEX(SRC_ZPMW03!$A$1:$ZZ$501,$A274,Z$3)))</f>
        <v/>
      </c>
      <c r="AA274" s="124" t="str">
        <f>IF($B274="","",IF(AA$3=0,"n.b.",INDEX(SRC_ZPMW03!$A$1:$ZZ$501,$A274,AA$3)))</f>
        <v/>
      </c>
      <c r="AB274" s="124" t="str">
        <f>IF($B274="","",IF(AB$3=0,"n.b.",INDEX(SRC_ZPMW03!$A$1:$ZZ$501,$A274,AB$3)))</f>
        <v/>
      </c>
      <c r="AC274" s="124" t="str">
        <f>IF($B274="","",IF(AC$3=0,"n.b.",INDEX(SRC_ZPMW03!$A$1:$ZZ$501,$A274,AC$3)))</f>
        <v/>
      </c>
      <c r="AD274" s="124" t="str">
        <f>IF($B274="","",IF(AD$3=0,"n.b.",INDEX(SRC_ZPMW03!$A$1:$ZZ$501,$A274,AD$3)))</f>
        <v/>
      </c>
      <c r="AE274" s="124" t="str">
        <f>IF($B274="","",IF(AE$3=0,"n.b.",INDEX(SRC_ZPMW03!$A$1:$ZZ$501,$A274,AE$3)))</f>
        <v/>
      </c>
      <c r="AF274" s="124" t="str">
        <f>IF($B274="","",IF(AF$3=0,"n.b.",INDEX(SRC_ZPMW03!$A$1:$ZZ$501,$A274,AF$3)))</f>
        <v/>
      </c>
      <c r="AG274" s="124" t="str">
        <f>IF($B274="","",IF(AG$3=0,"n.b.",INDEX(SRC_ZPMW03!$A$1:$ZZ$501,$A274,AG$3)))</f>
        <v/>
      </c>
      <c r="AH274" s="124" t="str">
        <f>IF($B274="","",IF(AH$3=0,"n.b.",INDEX(SRC_ZPMW03!$A$1:$ZZ$501,$A274,AH$3)))</f>
        <v/>
      </c>
      <c r="AI274" s="124" t="str">
        <f>IF($B274="","",IF(AI$3=0,"n.b.",INDEX(SRC_ZPMW03!$A$1:$ZZ$501,$A274,AI$3)))</f>
        <v/>
      </c>
      <c r="AJ274" s="124" t="str">
        <f>IF($B274="","",IF(AJ$3=0,"n.b.",INDEX(SRC_ZPMW03!$A$1:$ZZ$501,$A274,AJ$3)))</f>
        <v/>
      </c>
      <c r="AK274" s="124" t="str">
        <f>IF($B274="","",IF(AK$3=0,"n.b.",INDEX(SRC_ZPMW03!$A$1:$ZZ$501,$A274,AK$3)))</f>
        <v/>
      </c>
      <c r="AL274" s="124" t="str">
        <f>IF($B274="","",IF(AL$3=0,"n.b.",INDEX(SRC_ZPMW03!$A$1:$ZZ$501,$A274,AL$3)))</f>
        <v/>
      </c>
      <c r="AM274" s="124" t="str">
        <f>IF($B274="","",IF(AM$3=0,"n.b.",INDEX(SRC_ZPMW03!$A$1:$ZZ$501,$A274,AM$3)))</f>
        <v/>
      </c>
      <c r="AN274" s="124" t="str">
        <f>IF($B274="","",IF(AN$3=0,"n.b.",INDEX(SRC_ZPMW03!$A$1:$ZZ$501,$A274,AN$3)))</f>
        <v/>
      </c>
      <c r="AO274" s="124" t="str">
        <f>IF($B274="","",IF(AO$3=0,"n.b.",INDEX(SRC_ZPMW03!$A$1:$ZZ$501,$A274,AO$3)))</f>
        <v/>
      </c>
      <c r="AP274" s="124" t="str">
        <f>IF($B274="","",IF(AP$3=0,"n.b.",INDEX(SRC_ZPMW03!$A$1:$ZZ$501,$A274,AP$3)))</f>
        <v/>
      </c>
      <c r="AQ274" s="124" t="str">
        <f>IF($B274="","",IF(AQ$3=0,"n.b.",INDEX(SRC_ZPMW03!$A$1:$ZZ$501,$A274,AQ$3)))</f>
        <v/>
      </c>
      <c r="AR274" s="124" t="str">
        <f>IF($B274="","",IF(AR$3=0,"n.b.",INDEX(SRC_ZPMW03!$A$1:$ZZ$501,$A274,AR$3)))</f>
        <v/>
      </c>
      <c r="AS274" s="124" t="str">
        <f>IF($B274="","",IF(AS$3=0,"n.b.",INDEX(SRC_ZPMW03!$A$1:$ZZ$501,$A274,AS$3)))</f>
        <v/>
      </c>
      <c r="AT274" s="124" t="str">
        <f>IF($B274="","",IF(AT$3=0,"n.b.",INDEX(SRC_ZPMW03!$A$1:$ZZ$501,$A274,AT$3)))</f>
        <v/>
      </c>
      <c r="AU274" s="124" t="str">
        <f>IF($B274="","",IF(AU$3=0,"n.b.",INDEX(SRC_ZPMW03!$A$1:$ZZ$501,$A274,AU$3)))</f>
        <v/>
      </c>
      <c r="AV274" s="124" t="str">
        <f>IF($B274="","",IF(AV$3=0,"n.b.",INDEX(SRC_ZPMW03!$A$1:$ZZ$501,$A274,AV$3)))</f>
        <v/>
      </c>
      <c r="AW274" s="124" t="str">
        <f>IF($B274="","",IF(AW$3=0,"n.b.",INDEX(SRC_ZPMW03!$A$1:$ZZ$501,$A274,AW$3)))</f>
        <v/>
      </c>
      <c r="AX274" s="124" t="str">
        <f>IF($B274="","",IF(AX$3=0,"n.b.",INDEX(SRC_ZPMW03!$A$1:$ZZ$501,$A274,AX$3)))</f>
        <v/>
      </c>
      <c r="AY274" s="124" t="str">
        <f>IF($B274="","",IF(AY$3=0,"n.b.",INDEX(SRC_ZPMW03!$A$1:$ZZ$501,$A274,AY$3)))</f>
        <v/>
      </c>
      <c r="AZ274" s="124" t="str">
        <f>IF($B274="","",IF(AZ$3=0,"n.b.",INDEX(SRC_ZPMW03!$A$1:$ZZ$501,$A274,AZ$3)))</f>
        <v/>
      </c>
      <c r="BA274" s="124" t="str">
        <f>IF($B274="","",IF(BA$3=0,"n.b.",INDEX(SRC_ZPMW03!$A$1:$ZZ$501,$A274,BA$3)))</f>
        <v/>
      </c>
      <c r="BB274" s="124" t="str">
        <f>IF($B274="","",IF(BB$3=0,"n.b.",INDEX(SRC_ZPMW03!$A$1:$ZZ$501,$A274,BB$3)))</f>
        <v/>
      </c>
      <c r="BC274" s="124" t="str">
        <f>IF($B274="","",IF(BC$3=0,"n.b.",INDEX(SRC_ZPMW03!$A$1:$ZZ$501,$A274,BC$3)))</f>
        <v/>
      </c>
      <c r="BD274" s="124" t="str">
        <f>IF($B274="","",IF(BD$3=0,"n.b.",INDEX(SRC_ZPMW03!$A$1:$ZZ$501,$A274,BD$3)))</f>
        <v/>
      </c>
      <c r="BE274" s="124" t="str">
        <f>IF($B274="","",IF(BE$3=0,"n.b.",INDEX(SRC_ZPMW03!$A$1:$ZZ$501,$A274,BE$3)))</f>
        <v/>
      </c>
      <c r="BF274" s="124" t="str">
        <f>IF($B274="","",IF(BF$3=0,"n.b.",INDEX(SRC_ZPMW03!$A$1:$ZZ$501,$A274,BF$3)))</f>
        <v/>
      </c>
      <c r="BG274" t="str">
        <f>IF($B274="","",IF(BG$3=0,"n.b.",INDEX(SRC_ZPMW03!$A$1:$ZZ$501,$A274,BG$3)))</f>
        <v/>
      </c>
      <c r="BH274" t="str">
        <f>IF($B274="","",IF(BH$3=0,"n.b.",INDEX(SRC_ZPMW03!$A$1:$ZZ$501,$A274,BH$3)))</f>
        <v/>
      </c>
      <c r="BI274" t="str">
        <f>IF($B274="","",IF(BI$3=0,"n.b.",INDEX(SRC_ZPMW03!$A$1:$ZZ$501,$A274,BI$3)))</f>
        <v/>
      </c>
      <c r="BJ274" t="str">
        <f>IF($B274="","",IF(BJ$3=0,"n.b.",INDEX(SRC_ZPMW03!$A$1:$ZZ$501,$A274,BJ$3)))</f>
        <v/>
      </c>
      <c r="BK274" s="124" t="str">
        <f>IF($B274="","",IFERROR(-O274,"n.b."))</f>
        <v/>
      </c>
      <c r="BL274" s="124" t="str">
        <f>IF($B274="","",IFERROR(-Q274,"n.b."))</f>
        <v/>
      </c>
      <c r="BM274" s="124" t="str">
        <f>IF($B274="","",IFERROR(-AB274,"n.b."))</f>
        <v/>
      </c>
      <c r="BN274" s="124" t="str">
        <f>IF($B274="","",IFERROR(-AD274,"n.b."))</f>
        <v/>
      </c>
      <c r="BO274" s="124" t="str">
        <f>IF($B274="","",IFERROR(BK274+BM274,"n.b."))</f>
        <v/>
      </c>
      <c r="BP274" s="124" t="str">
        <f>IF($B274="","",IFERROR(BL274+BN274,"n.b."))</f>
        <v/>
      </c>
      <c r="BQ274" s="124" t="str">
        <f>IF($B274="","",IFERROR(-AM274,"n.b."))</f>
        <v/>
      </c>
      <c r="BR274" s="124" t="str">
        <f>IF($B274="","",IFERROR(-AO274,"n.b."))</f>
        <v/>
      </c>
      <c r="BS274" s="124" t="str">
        <f>IF($B274="","",IFERROR(-Z274,"n.b."))</f>
        <v/>
      </c>
      <c r="BT274" s="124" t="str">
        <f>IF($B274="","",IFERROR(-AA274,"n.b."))</f>
        <v/>
      </c>
      <c r="BU274" s="124" t="str">
        <f>IF($B274="","",IFERROR(-AE274,"n.b."))</f>
        <v/>
      </c>
      <c r="BV274" s="124" t="str">
        <f>IF($B274="","",IFERROR(-AF274,"n.b."))</f>
        <v/>
      </c>
      <c r="BW274" s="124" t="str">
        <f>IF($B274="","",IFERROR(-AG274,"n.b."))</f>
        <v/>
      </c>
      <c r="BX274" s="124" t="str">
        <f>IF($B274="","",IFERROR(-AH274,"n.b."))</f>
        <v/>
      </c>
      <c r="BY274" s="124" t="str">
        <f>IF($B274="","",IFERROR(-AI274,"n.b."))</f>
        <v/>
      </c>
      <c r="BZ274" s="124" t="str">
        <f>IF($B274="","",IFERROR(-AJ274,"n.b."))</f>
        <v/>
      </c>
      <c r="CA274" s="124" t="str">
        <f>IF($B274="","",IFERROR(-AK274,"n.b."))</f>
        <v/>
      </c>
      <c r="CB274" s="124" t="str">
        <f>IF($B274="","",IFERROR(-AL274,"n.b."))</f>
        <v/>
      </c>
      <c r="CC274" s="124" t="str">
        <f>IF($B274="","",IFERROR(-AP274,"n.b."))</f>
        <v/>
      </c>
      <c r="CD274" s="124" t="str">
        <f>IF($B274="","",IFERROR(-AQ274,"n.b."))</f>
        <v/>
      </c>
      <c r="CE274" s="124" t="str">
        <f>IF($B274="","",IFERROR(-AR274,"n.b."))</f>
        <v/>
      </c>
      <c r="CF274" s="124" t="str">
        <f>IF($B274="","",IFERROR(-AS274,"n.b."))</f>
        <v/>
      </c>
      <c r="CG274" s="124" t="str">
        <f>IF($B274="","",IFERROR(-AT274,"n.b."))</f>
        <v/>
      </c>
      <c r="CH274" s="124" t="str">
        <f>IF($B274="","",IFERROR(-AU274,"n.b."))</f>
        <v/>
      </c>
      <c r="CI274" s="124" t="str">
        <f>IF($B274="","",IFERROR(-AV274,"n.b."))</f>
        <v/>
      </c>
      <c r="CJ274" s="124" t="str">
        <f>IF($B274="","",IFERROR(-AW274,"n.b."))</f>
        <v/>
      </c>
      <c r="CK274" s="124" t="str">
        <f>IF($B274="","",IFERROR(-AX274,"n.b."))</f>
        <v/>
      </c>
      <c r="CL274" s="124" t="str">
        <f>IF($B274="","",IFERROR(-AY274,"n.b."))</f>
        <v/>
      </c>
      <c r="CM274" s="124" t="str">
        <f>IF($B274="","",IFERROR(-AZ274,"n.b."))</f>
        <v/>
      </c>
      <c r="CN274" s="124" t="str">
        <f>IF($B274="","",IFERROR(-BA274,"n.b."))</f>
        <v/>
      </c>
      <c r="CO274" s="124" t="str">
        <f>IF($B274="","",IFERROR(-BB274,"n.b."))</f>
        <v/>
      </c>
      <c r="CP274" s="124" t="str">
        <f>IF($B274="","",IFERROR(-BC274,"n.b."))</f>
        <v/>
      </c>
      <c r="CQ274" s="124" t="str">
        <f>IF($B274="","",IFERROR(-BD274,"n.b."))</f>
        <v/>
      </c>
      <c r="CR274" s="124" t="str">
        <f>IF($B274="","",IFERROR(-BE274,"n.b."))</f>
        <v/>
      </c>
      <c r="CS274" s="124" t="str">
        <f>IF($B274="","",IFERROR(IF(OR(ABS(T274+V274+X274+Z274-AB274)&gt;P_Tol,ABS(U274+W274+Y274+AA274-AD274)&gt;P_Tol,ABS(AE274+AG274+AI274+AK274-AM274)&gt;P_Tol,ABS(AF274+AH274+AJ274+AL274-AO274)&gt;P_Tol),1,0),1))</f>
        <v/>
      </c>
      <c r="CT274" s="124" t="str">
        <f>IF($B274="","",IFERROR(IF(OR(ABS(AB274+AC274-AD274)&gt;P_Tol,ABS(AM274+AN274-AO274)&gt;P_Tol,ABS(O274+P274-Q274)&gt;P_Tol),1,0),1))</f>
        <v/>
      </c>
      <c r="CU274" s="124" t="str">
        <f>IF($B274="","",IFERROR(IF(ABS(R274-(AB274+AM274+AP274+AR274+AT274+AV274+AX274+AZ274+BB274+BD274))&gt;P_Tol,1,0),1))</f>
        <v/>
      </c>
      <c r="CV274" s="124" t="str">
        <f>IF($B274="","",IFERROR(IF(ABS(M274-(N274+O274+R274))&gt;P_Tol,1,0),1))</f>
        <v/>
      </c>
      <c r="CW274" s="124" t="str">
        <f>IF($B274="","",IF(COUNTIF(Mapping!$A$5:$A$104,B274)&gt;0,1,0))</f>
        <v/>
      </c>
      <c r="CX274" s="124" t="str">
        <f>IF($B274="","",COUNTIF($B$6:$B$505,B274))</f>
        <v/>
      </c>
      <c r="CY274" s="124" t="str">
        <f>IF($B274="","",COUNTIF(STG_Woningetalage!$B$6:$B$505,B274))</f>
        <v/>
      </c>
      <c r="CZ274" s="124" t="str">
        <f>IF($B274="","",IF(CW274=0,COUNTIF($CW$6:CW274,0),""))</f>
        <v/>
      </c>
    </row>
    <row r="275">
      <c r="A275" s="15" t="n">
        <v>271</v>
      </c>
      <c r="B275" t="str">
        <f>IF(B$3=0,"",IF(INDEX(SRC_ZPMW03!$A$1:$ZZ$501,$A275,B$3)&amp;""="","",INDEX(SRC_ZPMW03!$A$1:$ZZ$501,$A275,B$3)&amp;""))</f>
        <v/>
      </c>
      <c r="C275" t="str">
        <f>IF($B275="","",IF(C$3=0,"n.b.",INDEX(SRC_ZPMW03!$A$1:$ZZ$501,$A275,C$3)))</f>
        <v/>
      </c>
      <c r="D275" t="str">
        <f>IF($B275="","",IF(D$3=0,"n.b.",INDEX(SRC_ZPMW03!$A$1:$ZZ$501,$A275,D$3)))</f>
        <v/>
      </c>
      <c r="E275" t="str">
        <f>IF($B275="","",IF(E$3=0,"n.b.",INDEX(SRC_ZPMW03!$A$1:$ZZ$501,$A275,E$3)))</f>
        <v/>
      </c>
      <c r="F275" t="str">
        <f>IF($B275="","",IF(F$3=0,"n.b.",INDEX(SRC_ZPMW03!$A$1:$ZZ$501,$A275,F$3)))</f>
        <v/>
      </c>
      <c r="G275" t="str">
        <f>IF($B275="","",IF(G$3=0,"n.b.",INDEX(SRC_ZPMW03!$A$1:$ZZ$501,$A275,G$3)))</f>
        <v/>
      </c>
      <c r="H275" t="str">
        <f>IF($B275="","",IF(H$3=0,"n.b.",INDEX(SRC_ZPMW03!$A$1:$ZZ$501,$A275,H$3)))</f>
        <v/>
      </c>
      <c r="I275" t="str">
        <f>IF($B275="","",IF(I$3=0,"n.b.",INDEX(SRC_ZPMW03!$A$1:$ZZ$501,$A275,I$3)))</f>
        <v/>
      </c>
      <c r="J275" t="str">
        <f>IF($B275="","",IF(J$3=0,"n.b.",INDEX(SRC_ZPMW03!$A$1:$ZZ$501,$A275,J$3)))</f>
        <v/>
      </c>
      <c r="K275" t="str">
        <f>IF($B275="","",IF(K$3=0,"n.b.",INDEX(SRC_ZPMW03!$A$1:$ZZ$501,$A275,K$3)))</f>
        <v/>
      </c>
      <c r="L275" s="124" t="str">
        <f>IF($B275="","",IF(L$3=0,"n.b.",INDEX(SRC_ZPMW03!$A$1:$ZZ$501,$A275,L$3)))</f>
        <v/>
      </c>
      <c r="M275" s="124" t="str">
        <f>IF($B275="","",IF(M$3=0,"n.b.",INDEX(SRC_ZPMW03!$A$1:$ZZ$501,$A275,M$3)))</f>
        <v/>
      </c>
      <c r="N275" s="124" t="str">
        <f>IF($B275="","",IF(N$3=0,"n.b.",INDEX(SRC_ZPMW03!$A$1:$ZZ$501,$A275,N$3)))</f>
        <v/>
      </c>
      <c r="O275" s="124" t="str">
        <f>IF($B275="","",IF(O$3=0,"n.b.",INDEX(SRC_ZPMW03!$A$1:$ZZ$501,$A275,O$3)))</f>
        <v/>
      </c>
      <c r="P275" s="124" t="str">
        <f>IF($B275="","",IF(P$3=0,"n.b.",INDEX(SRC_ZPMW03!$A$1:$ZZ$501,$A275,P$3)))</f>
        <v/>
      </c>
      <c r="Q275" s="124" t="str">
        <f>IF($B275="","",IF(Q$3=0,"n.b.",INDEX(SRC_ZPMW03!$A$1:$ZZ$501,$A275,Q$3)))</f>
        <v/>
      </c>
      <c r="R275" s="124" t="str">
        <f>IF($B275="","",IF(R$3=0,"n.b.",INDEX(SRC_ZPMW03!$A$1:$ZZ$501,$A275,R$3)))</f>
        <v/>
      </c>
      <c r="S275" s="124" t="str">
        <f>IF($B275="","",IF(S$3=0,"n.b.",INDEX(SRC_ZPMW03!$A$1:$ZZ$501,$A275,S$3)))</f>
        <v/>
      </c>
      <c r="T275" s="124" t="str">
        <f>IF($B275="","",IF(T$3=0,"n.b.",INDEX(SRC_ZPMW03!$A$1:$ZZ$501,$A275,T$3)))</f>
        <v/>
      </c>
      <c r="U275" s="124" t="str">
        <f>IF($B275="","",IF(U$3=0,"n.b.",INDEX(SRC_ZPMW03!$A$1:$ZZ$501,$A275,U$3)))</f>
        <v/>
      </c>
      <c r="V275" s="124" t="str">
        <f>IF($B275="","",IF(V$3=0,"n.b.",INDEX(SRC_ZPMW03!$A$1:$ZZ$501,$A275,V$3)))</f>
        <v/>
      </c>
      <c r="W275" s="124" t="str">
        <f>IF($B275="","",IF(W$3=0,"n.b.",INDEX(SRC_ZPMW03!$A$1:$ZZ$501,$A275,W$3)))</f>
        <v/>
      </c>
      <c r="X275" s="124" t="str">
        <f>IF($B275="","",IF(X$3=0,"n.b.",INDEX(SRC_ZPMW03!$A$1:$ZZ$501,$A275,X$3)))</f>
        <v/>
      </c>
      <c r="Y275" s="124" t="str">
        <f>IF($B275="","",IF(Y$3=0,"n.b.",INDEX(SRC_ZPMW03!$A$1:$ZZ$501,$A275,Y$3)))</f>
        <v/>
      </c>
      <c r="Z275" s="124" t="str">
        <f>IF($B275="","",IF(Z$3=0,"n.b.",INDEX(SRC_ZPMW03!$A$1:$ZZ$501,$A275,Z$3)))</f>
        <v/>
      </c>
      <c r="AA275" s="124" t="str">
        <f>IF($B275="","",IF(AA$3=0,"n.b.",INDEX(SRC_ZPMW03!$A$1:$ZZ$501,$A275,AA$3)))</f>
        <v/>
      </c>
      <c r="AB275" s="124" t="str">
        <f>IF($B275="","",IF(AB$3=0,"n.b.",INDEX(SRC_ZPMW03!$A$1:$ZZ$501,$A275,AB$3)))</f>
        <v/>
      </c>
      <c r="AC275" s="124" t="str">
        <f>IF($B275="","",IF(AC$3=0,"n.b.",INDEX(SRC_ZPMW03!$A$1:$ZZ$501,$A275,AC$3)))</f>
        <v/>
      </c>
      <c r="AD275" s="124" t="str">
        <f>IF($B275="","",IF(AD$3=0,"n.b.",INDEX(SRC_ZPMW03!$A$1:$ZZ$501,$A275,AD$3)))</f>
        <v/>
      </c>
      <c r="AE275" s="124" t="str">
        <f>IF($B275="","",IF(AE$3=0,"n.b.",INDEX(SRC_ZPMW03!$A$1:$ZZ$501,$A275,AE$3)))</f>
        <v/>
      </c>
      <c r="AF275" s="124" t="str">
        <f>IF($B275="","",IF(AF$3=0,"n.b.",INDEX(SRC_ZPMW03!$A$1:$ZZ$501,$A275,AF$3)))</f>
        <v/>
      </c>
      <c r="AG275" s="124" t="str">
        <f>IF($B275="","",IF(AG$3=0,"n.b.",INDEX(SRC_ZPMW03!$A$1:$ZZ$501,$A275,AG$3)))</f>
        <v/>
      </c>
      <c r="AH275" s="124" t="str">
        <f>IF($B275="","",IF(AH$3=0,"n.b.",INDEX(SRC_ZPMW03!$A$1:$ZZ$501,$A275,AH$3)))</f>
        <v/>
      </c>
      <c r="AI275" s="124" t="str">
        <f>IF($B275="","",IF(AI$3=0,"n.b.",INDEX(SRC_ZPMW03!$A$1:$ZZ$501,$A275,AI$3)))</f>
        <v/>
      </c>
      <c r="AJ275" s="124" t="str">
        <f>IF($B275="","",IF(AJ$3=0,"n.b.",INDEX(SRC_ZPMW03!$A$1:$ZZ$501,$A275,AJ$3)))</f>
        <v/>
      </c>
      <c r="AK275" s="124" t="str">
        <f>IF($B275="","",IF(AK$3=0,"n.b.",INDEX(SRC_ZPMW03!$A$1:$ZZ$501,$A275,AK$3)))</f>
        <v/>
      </c>
      <c r="AL275" s="124" t="str">
        <f>IF($B275="","",IF(AL$3=0,"n.b.",INDEX(SRC_ZPMW03!$A$1:$ZZ$501,$A275,AL$3)))</f>
        <v/>
      </c>
      <c r="AM275" s="124" t="str">
        <f>IF($B275="","",IF(AM$3=0,"n.b.",INDEX(SRC_ZPMW03!$A$1:$ZZ$501,$A275,AM$3)))</f>
        <v/>
      </c>
      <c r="AN275" s="124" t="str">
        <f>IF($B275="","",IF(AN$3=0,"n.b.",INDEX(SRC_ZPMW03!$A$1:$ZZ$501,$A275,AN$3)))</f>
        <v/>
      </c>
      <c r="AO275" s="124" t="str">
        <f>IF($B275="","",IF(AO$3=0,"n.b.",INDEX(SRC_ZPMW03!$A$1:$ZZ$501,$A275,AO$3)))</f>
        <v/>
      </c>
      <c r="AP275" s="124" t="str">
        <f>IF($B275="","",IF(AP$3=0,"n.b.",INDEX(SRC_ZPMW03!$A$1:$ZZ$501,$A275,AP$3)))</f>
        <v/>
      </c>
      <c r="AQ275" s="124" t="str">
        <f>IF($B275="","",IF(AQ$3=0,"n.b.",INDEX(SRC_ZPMW03!$A$1:$ZZ$501,$A275,AQ$3)))</f>
        <v/>
      </c>
      <c r="AR275" s="124" t="str">
        <f>IF($B275="","",IF(AR$3=0,"n.b.",INDEX(SRC_ZPMW03!$A$1:$ZZ$501,$A275,AR$3)))</f>
        <v/>
      </c>
      <c r="AS275" s="124" t="str">
        <f>IF($B275="","",IF(AS$3=0,"n.b.",INDEX(SRC_ZPMW03!$A$1:$ZZ$501,$A275,AS$3)))</f>
        <v/>
      </c>
      <c r="AT275" s="124" t="str">
        <f>IF($B275="","",IF(AT$3=0,"n.b.",INDEX(SRC_ZPMW03!$A$1:$ZZ$501,$A275,AT$3)))</f>
        <v/>
      </c>
      <c r="AU275" s="124" t="str">
        <f>IF($B275="","",IF(AU$3=0,"n.b.",INDEX(SRC_ZPMW03!$A$1:$ZZ$501,$A275,AU$3)))</f>
        <v/>
      </c>
      <c r="AV275" s="124" t="str">
        <f>IF($B275="","",IF(AV$3=0,"n.b.",INDEX(SRC_ZPMW03!$A$1:$ZZ$501,$A275,AV$3)))</f>
        <v/>
      </c>
      <c r="AW275" s="124" t="str">
        <f>IF($B275="","",IF(AW$3=0,"n.b.",INDEX(SRC_ZPMW03!$A$1:$ZZ$501,$A275,AW$3)))</f>
        <v/>
      </c>
      <c r="AX275" s="124" t="str">
        <f>IF($B275="","",IF(AX$3=0,"n.b.",INDEX(SRC_ZPMW03!$A$1:$ZZ$501,$A275,AX$3)))</f>
        <v/>
      </c>
      <c r="AY275" s="124" t="str">
        <f>IF($B275="","",IF(AY$3=0,"n.b.",INDEX(SRC_ZPMW03!$A$1:$ZZ$501,$A275,AY$3)))</f>
        <v/>
      </c>
      <c r="AZ275" s="124" t="str">
        <f>IF($B275="","",IF(AZ$3=0,"n.b.",INDEX(SRC_ZPMW03!$A$1:$ZZ$501,$A275,AZ$3)))</f>
        <v/>
      </c>
      <c r="BA275" s="124" t="str">
        <f>IF($B275="","",IF(BA$3=0,"n.b.",INDEX(SRC_ZPMW03!$A$1:$ZZ$501,$A275,BA$3)))</f>
        <v/>
      </c>
      <c r="BB275" s="124" t="str">
        <f>IF($B275="","",IF(BB$3=0,"n.b.",INDEX(SRC_ZPMW03!$A$1:$ZZ$501,$A275,BB$3)))</f>
        <v/>
      </c>
      <c r="BC275" s="124" t="str">
        <f>IF($B275="","",IF(BC$3=0,"n.b.",INDEX(SRC_ZPMW03!$A$1:$ZZ$501,$A275,BC$3)))</f>
        <v/>
      </c>
      <c r="BD275" s="124" t="str">
        <f>IF($B275="","",IF(BD$3=0,"n.b.",INDEX(SRC_ZPMW03!$A$1:$ZZ$501,$A275,BD$3)))</f>
        <v/>
      </c>
      <c r="BE275" s="124" t="str">
        <f>IF($B275="","",IF(BE$3=0,"n.b.",INDEX(SRC_ZPMW03!$A$1:$ZZ$501,$A275,BE$3)))</f>
        <v/>
      </c>
      <c r="BF275" s="124" t="str">
        <f>IF($B275="","",IF(BF$3=0,"n.b.",INDEX(SRC_ZPMW03!$A$1:$ZZ$501,$A275,BF$3)))</f>
        <v/>
      </c>
      <c r="BG275" t="str">
        <f>IF($B275="","",IF(BG$3=0,"n.b.",INDEX(SRC_ZPMW03!$A$1:$ZZ$501,$A275,BG$3)))</f>
        <v/>
      </c>
      <c r="BH275" t="str">
        <f>IF($B275="","",IF(BH$3=0,"n.b.",INDEX(SRC_ZPMW03!$A$1:$ZZ$501,$A275,BH$3)))</f>
        <v/>
      </c>
      <c r="BI275" t="str">
        <f>IF($B275="","",IF(BI$3=0,"n.b.",INDEX(SRC_ZPMW03!$A$1:$ZZ$501,$A275,BI$3)))</f>
        <v/>
      </c>
      <c r="BJ275" t="str">
        <f>IF($B275="","",IF(BJ$3=0,"n.b.",INDEX(SRC_ZPMW03!$A$1:$ZZ$501,$A275,BJ$3)))</f>
        <v/>
      </c>
      <c r="BK275" s="124" t="str">
        <f>IF($B275="","",IFERROR(-O275,"n.b."))</f>
        <v/>
      </c>
      <c r="BL275" s="124" t="str">
        <f>IF($B275="","",IFERROR(-Q275,"n.b."))</f>
        <v/>
      </c>
      <c r="BM275" s="124" t="str">
        <f>IF($B275="","",IFERROR(-AB275,"n.b."))</f>
        <v/>
      </c>
      <c r="BN275" s="124" t="str">
        <f>IF($B275="","",IFERROR(-AD275,"n.b."))</f>
        <v/>
      </c>
      <c r="BO275" s="124" t="str">
        <f>IF($B275="","",IFERROR(BK275+BM275,"n.b."))</f>
        <v/>
      </c>
      <c r="BP275" s="124" t="str">
        <f>IF($B275="","",IFERROR(BL275+BN275,"n.b."))</f>
        <v/>
      </c>
      <c r="BQ275" s="124" t="str">
        <f>IF($B275="","",IFERROR(-AM275,"n.b."))</f>
        <v/>
      </c>
      <c r="BR275" s="124" t="str">
        <f>IF($B275="","",IFERROR(-AO275,"n.b."))</f>
        <v/>
      </c>
      <c r="BS275" s="124" t="str">
        <f>IF($B275="","",IFERROR(-Z275,"n.b."))</f>
        <v/>
      </c>
      <c r="BT275" s="124" t="str">
        <f>IF($B275="","",IFERROR(-AA275,"n.b."))</f>
        <v/>
      </c>
      <c r="BU275" s="124" t="str">
        <f>IF($B275="","",IFERROR(-AE275,"n.b."))</f>
        <v/>
      </c>
      <c r="BV275" s="124" t="str">
        <f>IF($B275="","",IFERROR(-AF275,"n.b."))</f>
        <v/>
      </c>
      <c r="BW275" s="124" t="str">
        <f>IF($B275="","",IFERROR(-AG275,"n.b."))</f>
        <v/>
      </c>
      <c r="BX275" s="124" t="str">
        <f>IF($B275="","",IFERROR(-AH275,"n.b."))</f>
        <v/>
      </c>
      <c r="BY275" s="124" t="str">
        <f>IF($B275="","",IFERROR(-AI275,"n.b."))</f>
        <v/>
      </c>
      <c r="BZ275" s="124" t="str">
        <f>IF($B275="","",IFERROR(-AJ275,"n.b."))</f>
        <v/>
      </c>
      <c r="CA275" s="124" t="str">
        <f>IF($B275="","",IFERROR(-AK275,"n.b."))</f>
        <v/>
      </c>
      <c r="CB275" s="124" t="str">
        <f>IF($B275="","",IFERROR(-AL275,"n.b."))</f>
        <v/>
      </c>
      <c r="CC275" s="124" t="str">
        <f>IF($B275="","",IFERROR(-AP275,"n.b."))</f>
        <v/>
      </c>
      <c r="CD275" s="124" t="str">
        <f>IF($B275="","",IFERROR(-AQ275,"n.b."))</f>
        <v/>
      </c>
      <c r="CE275" s="124" t="str">
        <f>IF($B275="","",IFERROR(-AR275,"n.b."))</f>
        <v/>
      </c>
      <c r="CF275" s="124" t="str">
        <f>IF($B275="","",IFERROR(-AS275,"n.b."))</f>
        <v/>
      </c>
      <c r="CG275" s="124" t="str">
        <f>IF($B275="","",IFERROR(-AT275,"n.b."))</f>
        <v/>
      </c>
      <c r="CH275" s="124" t="str">
        <f>IF($B275="","",IFERROR(-AU275,"n.b."))</f>
        <v/>
      </c>
      <c r="CI275" s="124" t="str">
        <f>IF($B275="","",IFERROR(-AV275,"n.b."))</f>
        <v/>
      </c>
      <c r="CJ275" s="124" t="str">
        <f>IF($B275="","",IFERROR(-AW275,"n.b."))</f>
        <v/>
      </c>
      <c r="CK275" s="124" t="str">
        <f>IF($B275="","",IFERROR(-AX275,"n.b."))</f>
        <v/>
      </c>
      <c r="CL275" s="124" t="str">
        <f>IF($B275="","",IFERROR(-AY275,"n.b."))</f>
        <v/>
      </c>
      <c r="CM275" s="124" t="str">
        <f>IF($B275="","",IFERROR(-AZ275,"n.b."))</f>
        <v/>
      </c>
      <c r="CN275" s="124" t="str">
        <f>IF($B275="","",IFERROR(-BA275,"n.b."))</f>
        <v/>
      </c>
      <c r="CO275" s="124" t="str">
        <f>IF($B275="","",IFERROR(-BB275,"n.b."))</f>
        <v/>
      </c>
      <c r="CP275" s="124" t="str">
        <f>IF($B275="","",IFERROR(-BC275,"n.b."))</f>
        <v/>
      </c>
      <c r="CQ275" s="124" t="str">
        <f>IF($B275="","",IFERROR(-BD275,"n.b."))</f>
        <v/>
      </c>
      <c r="CR275" s="124" t="str">
        <f>IF($B275="","",IFERROR(-BE275,"n.b."))</f>
        <v/>
      </c>
      <c r="CS275" s="124" t="str">
        <f>IF($B275="","",IFERROR(IF(OR(ABS(T275+V275+X275+Z275-AB275)&gt;P_Tol,ABS(U275+W275+Y275+AA275-AD275)&gt;P_Tol,ABS(AE275+AG275+AI275+AK275-AM275)&gt;P_Tol,ABS(AF275+AH275+AJ275+AL275-AO275)&gt;P_Tol),1,0),1))</f>
        <v/>
      </c>
      <c r="CT275" s="124" t="str">
        <f>IF($B275="","",IFERROR(IF(OR(ABS(AB275+AC275-AD275)&gt;P_Tol,ABS(AM275+AN275-AO275)&gt;P_Tol,ABS(O275+P275-Q275)&gt;P_Tol),1,0),1))</f>
        <v/>
      </c>
      <c r="CU275" s="124" t="str">
        <f>IF($B275="","",IFERROR(IF(ABS(R275-(AB275+AM275+AP275+AR275+AT275+AV275+AX275+AZ275+BB275+BD275))&gt;P_Tol,1,0),1))</f>
        <v/>
      </c>
      <c r="CV275" s="124" t="str">
        <f>IF($B275="","",IFERROR(IF(ABS(M275-(N275+O275+R275))&gt;P_Tol,1,0),1))</f>
        <v/>
      </c>
      <c r="CW275" s="124" t="str">
        <f>IF($B275="","",IF(COUNTIF(Mapping!$A$5:$A$104,B275)&gt;0,1,0))</f>
        <v/>
      </c>
      <c r="CX275" s="124" t="str">
        <f>IF($B275="","",COUNTIF($B$6:$B$505,B275))</f>
        <v/>
      </c>
      <c r="CY275" s="124" t="str">
        <f>IF($B275="","",COUNTIF(STG_Woningetalage!$B$6:$B$505,B275))</f>
        <v/>
      </c>
      <c r="CZ275" s="124" t="str">
        <f>IF($B275="","",IF(CW275=0,COUNTIF($CW$6:CW275,0),""))</f>
        <v/>
      </c>
    </row>
    <row r="276">
      <c r="A276" s="15" t="n">
        <v>272</v>
      </c>
      <c r="B276" t="str">
        <f>IF(B$3=0,"",IF(INDEX(SRC_ZPMW03!$A$1:$ZZ$501,$A276,B$3)&amp;""="","",INDEX(SRC_ZPMW03!$A$1:$ZZ$501,$A276,B$3)&amp;""))</f>
        <v/>
      </c>
      <c r="C276" t="str">
        <f>IF($B276="","",IF(C$3=0,"n.b.",INDEX(SRC_ZPMW03!$A$1:$ZZ$501,$A276,C$3)))</f>
        <v/>
      </c>
      <c r="D276" t="str">
        <f>IF($B276="","",IF(D$3=0,"n.b.",INDEX(SRC_ZPMW03!$A$1:$ZZ$501,$A276,D$3)))</f>
        <v/>
      </c>
      <c r="E276" t="str">
        <f>IF($B276="","",IF(E$3=0,"n.b.",INDEX(SRC_ZPMW03!$A$1:$ZZ$501,$A276,E$3)))</f>
        <v/>
      </c>
      <c r="F276" t="str">
        <f>IF($B276="","",IF(F$3=0,"n.b.",INDEX(SRC_ZPMW03!$A$1:$ZZ$501,$A276,F$3)))</f>
        <v/>
      </c>
      <c r="G276" t="str">
        <f>IF($B276="","",IF(G$3=0,"n.b.",INDEX(SRC_ZPMW03!$A$1:$ZZ$501,$A276,G$3)))</f>
        <v/>
      </c>
      <c r="H276" t="str">
        <f>IF($B276="","",IF(H$3=0,"n.b.",INDEX(SRC_ZPMW03!$A$1:$ZZ$501,$A276,H$3)))</f>
        <v/>
      </c>
      <c r="I276" t="str">
        <f>IF($B276="","",IF(I$3=0,"n.b.",INDEX(SRC_ZPMW03!$A$1:$ZZ$501,$A276,I$3)))</f>
        <v/>
      </c>
      <c r="J276" t="str">
        <f>IF($B276="","",IF(J$3=0,"n.b.",INDEX(SRC_ZPMW03!$A$1:$ZZ$501,$A276,J$3)))</f>
        <v/>
      </c>
      <c r="K276" t="str">
        <f>IF($B276="","",IF(K$3=0,"n.b.",INDEX(SRC_ZPMW03!$A$1:$ZZ$501,$A276,K$3)))</f>
        <v/>
      </c>
      <c r="L276" s="124" t="str">
        <f>IF($B276="","",IF(L$3=0,"n.b.",INDEX(SRC_ZPMW03!$A$1:$ZZ$501,$A276,L$3)))</f>
        <v/>
      </c>
      <c r="M276" s="124" t="str">
        <f>IF($B276="","",IF(M$3=0,"n.b.",INDEX(SRC_ZPMW03!$A$1:$ZZ$501,$A276,M$3)))</f>
        <v/>
      </c>
      <c r="N276" s="124" t="str">
        <f>IF($B276="","",IF(N$3=0,"n.b.",INDEX(SRC_ZPMW03!$A$1:$ZZ$501,$A276,N$3)))</f>
        <v/>
      </c>
      <c r="O276" s="124" t="str">
        <f>IF($B276="","",IF(O$3=0,"n.b.",INDEX(SRC_ZPMW03!$A$1:$ZZ$501,$A276,O$3)))</f>
        <v/>
      </c>
      <c r="P276" s="124" t="str">
        <f>IF($B276="","",IF(P$3=0,"n.b.",INDEX(SRC_ZPMW03!$A$1:$ZZ$501,$A276,P$3)))</f>
        <v/>
      </c>
      <c r="Q276" s="124" t="str">
        <f>IF($B276="","",IF(Q$3=0,"n.b.",INDEX(SRC_ZPMW03!$A$1:$ZZ$501,$A276,Q$3)))</f>
        <v/>
      </c>
      <c r="R276" s="124" t="str">
        <f>IF($B276="","",IF(R$3=0,"n.b.",INDEX(SRC_ZPMW03!$A$1:$ZZ$501,$A276,R$3)))</f>
        <v/>
      </c>
      <c r="S276" s="124" t="str">
        <f>IF($B276="","",IF(S$3=0,"n.b.",INDEX(SRC_ZPMW03!$A$1:$ZZ$501,$A276,S$3)))</f>
        <v/>
      </c>
      <c r="T276" s="124" t="str">
        <f>IF($B276="","",IF(T$3=0,"n.b.",INDEX(SRC_ZPMW03!$A$1:$ZZ$501,$A276,T$3)))</f>
        <v/>
      </c>
      <c r="U276" s="124" t="str">
        <f>IF($B276="","",IF(U$3=0,"n.b.",INDEX(SRC_ZPMW03!$A$1:$ZZ$501,$A276,U$3)))</f>
        <v/>
      </c>
      <c r="V276" s="124" t="str">
        <f>IF($B276="","",IF(V$3=0,"n.b.",INDEX(SRC_ZPMW03!$A$1:$ZZ$501,$A276,V$3)))</f>
        <v/>
      </c>
      <c r="W276" s="124" t="str">
        <f>IF($B276="","",IF(W$3=0,"n.b.",INDEX(SRC_ZPMW03!$A$1:$ZZ$501,$A276,W$3)))</f>
        <v/>
      </c>
      <c r="X276" s="124" t="str">
        <f>IF($B276="","",IF(X$3=0,"n.b.",INDEX(SRC_ZPMW03!$A$1:$ZZ$501,$A276,X$3)))</f>
        <v/>
      </c>
      <c r="Y276" s="124" t="str">
        <f>IF($B276="","",IF(Y$3=0,"n.b.",INDEX(SRC_ZPMW03!$A$1:$ZZ$501,$A276,Y$3)))</f>
        <v/>
      </c>
      <c r="Z276" s="124" t="str">
        <f>IF($B276="","",IF(Z$3=0,"n.b.",INDEX(SRC_ZPMW03!$A$1:$ZZ$501,$A276,Z$3)))</f>
        <v/>
      </c>
      <c r="AA276" s="124" t="str">
        <f>IF($B276="","",IF(AA$3=0,"n.b.",INDEX(SRC_ZPMW03!$A$1:$ZZ$501,$A276,AA$3)))</f>
        <v/>
      </c>
      <c r="AB276" s="124" t="str">
        <f>IF($B276="","",IF(AB$3=0,"n.b.",INDEX(SRC_ZPMW03!$A$1:$ZZ$501,$A276,AB$3)))</f>
        <v/>
      </c>
      <c r="AC276" s="124" t="str">
        <f>IF($B276="","",IF(AC$3=0,"n.b.",INDEX(SRC_ZPMW03!$A$1:$ZZ$501,$A276,AC$3)))</f>
        <v/>
      </c>
      <c r="AD276" s="124" t="str">
        <f>IF($B276="","",IF(AD$3=0,"n.b.",INDEX(SRC_ZPMW03!$A$1:$ZZ$501,$A276,AD$3)))</f>
        <v/>
      </c>
      <c r="AE276" s="124" t="str">
        <f>IF($B276="","",IF(AE$3=0,"n.b.",INDEX(SRC_ZPMW03!$A$1:$ZZ$501,$A276,AE$3)))</f>
        <v/>
      </c>
      <c r="AF276" s="124" t="str">
        <f>IF($B276="","",IF(AF$3=0,"n.b.",INDEX(SRC_ZPMW03!$A$1:$ZZ$501,$A276,AF$3)))</f>
        <v/>
      </c>
      <c r="AG276" s="124" t="str">
        <f>IF($B276="","",IF(AG$3=0,"n.b.",INDEX(SRC_ZPMW03!$A$1:$ZZ$501,$A276,AG$3)))</f>
        <v/>
      </c>
      <c r="AH276" s="124" t="str">
        <f>IF($B276="","",IF(AH$3=0,"n.b.",INDEX(SRC_ZPMW03!$A$1:$ZZ$501,$A276,AH$3)))</f>
        <v/>
      </c>
      <c r="AI276" s="124" t="str">
        <f>IF($B276="","",IF(AI$3=0,"n.b.",INDEX(SRC_ZPMW03!$A$1:$ZZ$501,$A276,AI$3)))</f>
        <v/>
      </c>
      <c r="AJ276" s="124" t="str">
        <f>IF($B276="","",IF(AJ$3=0,"n.b.",INDEX(SRC_ZPMW03!$A$1:$ZZ$501,$A276,AJ$3)))</f>
        <v/>
      </c>
      <c r="AK276" s="124" t="str">
        <f>IF($B276="","",IF(AK$3=0,"n.b.",INDEX(SRC_ZPMW03!$A$1:$ZZ$501,$A276,AK$3)))</f>
        <v/>
      </c>
      <c r="AL276" s="124" t="str">
        <f>IF($B276="","",IF(AL$3=0,"n.b.",INDEX(SRC_ZPMW03!$A$1:$ZZ$501,$A276,AL$3)))</f>
        <v/>
      </c>
      <c r="AM276" s="124" t="str">
        <f>IF($B276="","",IF(AM$3=0,"n.b.",INDEX(SRC_ZPMW03!$A$1:$ZZ$501,$A276,AM$3)))</f>
        <v/>
      </c>
      <c r="AN276" s="124" t="str">
        <f>IF($B276="","",IF(AN$3=0,"n.b.",INDEX(SRC_ZPMW03!$A$1:$ZZ$501,$A276,AN$3)))</f>
        <v/>
      </c>
      <c r="AO276" s="124" t="str">
        <f>IF($B276="","",IF(AO$3=0,"n.b.",INDEX(SRC_ZPMW03!$A$1:$ZZ$501,$A276,AO$3)))</f>
        <v/>
      </c>
      <c r="AP276" s="124" t="str">
        <f>IF($B276="","",IF(AP$3=0,"n.b.",INDEX(SRC_ZPMW03!$A$1:$ZZ$501,$A276,AP$3)))</f>
        <v/>
      </c>
      <c r="AQ276" s="124" t="str">
        <f>IF($B276="","",IF(AQ$3=0,"n.b.",INDEX(SRC_ZPMW03!$A$1:$ZZ$501,$A276,AQ$3)))</f>
        <v/>
      </c>
      <c r="AR276" s="124" t="str">
        <f>IF($B276="","",IF(AR$3=0,"n.b.",INDEX(SRC_ZPMW03!$A$1:$ZZ$501,$A276,AR$3)))</f>
        <v/>
      </c>
      <c r="AS276" s="124" t="str">
        <f>IF($B276="","",IF(AS$3=0,"n.b.",INDEX(SRC_ZPMW03!$A$1:$ZZ$501,$A276,AS$3)))</f>
        <v/>
      </c>
      <c r="AT276" s="124" t="str">
        <f>IF($B276="","",IF(AT$3=0,"n.b.",INDEX(SRC_ZPMW03!$A$1:$ZZ$501,$A276,AT$3)))</f>
        <v/>
      </c>
      <c r="AU276" s="124" t="str">
        <f>IF($B276="","",IF(AU$3=0,"n.b.",INDEX(SRC_ZPMW03!$A$1:$ZZ$501,$A276,AU$3)))</f>
        <v/>
      </c>
      <c r="AV276" s="124" t="str">
        <f>IF($B276="","",IF(AV$3=0,"n.b.",INDEX(SRC_ZPMW03!$A$1:$ZZ$501,$A276,AV$3)))</f>
        <v/>
      </c>
      <c r="AW276" s="124" t="str">
        <f>IF($B276="","",IF(AW$3=0,"n.b.",INDEX(SRC_ZPMW03!$A$1:$ZZ$501,$A276,AW$3)))</f>
        <v/>
      </c>
      <c r="AX276" s="124" t="str">
        <f>IF($B276="","",IF(AX$3=0,"n.b.",INDEX(SRC_ZPMW03!$A$1:$ZZ$501,$A276,AX$3)))</f>
        <v/>
      </c>
      <c r="AY276" s="124" t="str">
        <f>IF($B276="","",IF(AY$3=0,"n.b.",INDEX(SRC_ZPMW03!$A$1:$ZZ$501,$A276,AY$3)))</f>
        <v/>
      </c>
      <c r="AZ276" s="124" t="str">
        <f>IF($B276="","",IF(AZ$3=0,"n.b.",INDEX(SRC_ZPMW03!$A$1:$ZZ$501,$A276,AZ$3)))</f>
        <v/>
      </c>
      <c r="BA276" s="124" t="str">
        <f>IF($B276="","",IF(BA$3=0,"n.b.",INDEX(SRC_ZPMW03!$A$1:$ZZ$501,$A276,BA$3)))</f>
        <v/>
      </c>
      <c r="BB276" s="124" t="str">
        <f>IF($B276="","",IF(BB$3=0,"n.b.",INDEX(SRC_ZPMW03!$A$1:$ZZ$501,$A276,BB$3)))</f>
        <v/>
      </c>
      <c r="BC276" s="124" t="str">
        <f>IF($B276="","",IF(BC$3=0,"n.b.",INDEX(SRC_ZPMW03!$A$1:$ZZ$501,$A276,BC$3)))</f>
        <v/>
      </c>
      <c r="BD276" s="124" t="str">
        <f>IF($B276="","",IF(BD$3=0,"n.b.",INDEX(SRC_ZPMW03!$A$1:$ZZ$501,$A276,BD$3)))</f>
        <v/>
      </c>
      <c r="BE276" s="124" t="str">
        <f>IF($B276="","",IF(BE$3=0,"n.b.",INDEX(SRC_ZPMW03!$A$1:$ZZ$501,$A276,BE$3)))</f>
        <v/>
      </c>
      <c r="BF276" s="124" t="str">
        <f>IF($B276="","",IF(BF$3=0,"n.b.",INDEX(SRC_ZPMW03!$A$1:$ZZ$501,$A276,BF$3)))</f>
        <v/>
      </c>
      <c r="BG276" t="str">
        <f>IF($B276="","",IF(BG$3=0,"n.b.",INDEX(SRC_ZPMW03!$A$1:$ZZ$501,$A276,BG$3)))</f>
        <v/>
      </c>
      <c r="BH276" t="str">
        <f>IF($B276="","",IF(BH$3=0,"n.b.",INDEX(SRC_ZPMW03!$A$1:$ZZ$501,$A276,BH$3)))</f>
        <v/>
      </c>
      <c r="BI276" t="str">
        <f>IF($B276="","",IF(BI$3=0,"n.b.",INDEX(SRC_ZPMW03!$A$1:$ZZ$501,$A276,BI$3)))</f>
        <v/>
      </c>
      <c r="BJ276" t="str">
        <f>IF($B276="","",IF(BJ$3=0,"n.b.",INDEX(SRC_ZPMW03!$A$1:$ZZ$501,$A276,BJ$3)))</f>
        <v/>
      </c>
      <c r="BK276" s="124" t="str">
        <f>IF($B276="","",IFERROR(-O276,"n.b."))</f>
        <v/>
      </c>
      <c r="BL276" s="124" t="str">
        <f>IF($B276="","",IFERROR(-Q276,"n.b."))</f>
        <v/>
      </c>
      <c r="BM276" s="124" t="str">
        <f>IF($B276="","",IFERROR(-AB276,"n.b."))</f>
        <v/>
      </c>
      <c r="BN276" s="124" t="str">
        <f>IF($B276="","",IFERROR(-AD276,"n.b."))</f>
        <v/>
      </c>
      <c r="BO276" s="124" t="str">
        <f>IF($B276="","",IFERROR(BK276+BM276,"n.b."))</f>
        <v/>
      </c>
      <c r="BP276" s="124" t="str">
        <f>IF($B276="","",IFERROR(BL276+BN276,"n.b."))</f>
        <v/>
      </c>
      <c r="BQ276" s="124" t="str">
        <f>IF($B276="","",IFERROR(-AM276,"n.b."))</f>
        <v/>
      </c>
      <c r="BR276" s="124" t="str">
        <f>IF($B276="","",IFERROR(-AO276,"n.b."))</f>
        <v/>
      </c>
      <c r="BS276" s="124" t="str">
        <f>IF($B276="","",IFERROR(-Z276,"n.b."))</f>
        <v/>
      </c>
      <c r="BT276" s="124" t="str">
        <f>IF($B276="","",IFERROR(-AA276,"n.b."))</f>
        <v/>
      </c>
      <c r="BU276" s="124" t="str">
        <f>IF($B276="","",IFERROR(-AE276,"n.b."))</f>
        <v/>
      </c>
      <c r="BV276" s="124" t="str">
        <f>IF($B276="","",IFERROR(-AF276,"n.b."))</f>
        <v/>
      </c>
      <c r="BW276" s="124" t="str">
        <f>IF($B276="","",IFERROR(-AG276,"n.b."))</f>
        <v/>
      </c>
      <c r="BX276" s="124" t="str">
        <f>IF($B276="","",IFERROR(-AH276,"n.b."))</f>
        <v/>
      </c>
      <c r="BY276" s="124" t="str">
        <f>IF($B276="","",IFERROR(-AI276,"n.b."))</f>
        <v/>
      </c>
      <c r="BZ276" s="124" t="str">
        <f>IF($B276="","",IFERROR(-AJ276,"n.b."))</f>
        <v/>
      </c>
      <c r="CA276" s="124" t="str">
        <f>IF($B276="","",IFERROR(-AK276,"n.b."))</f>
        <v/>
      </c>
      <c r="CB276" s="124" t="str">
        <f>IF($B276="","",IFERROR(-AL276,"n.b."))</f>
        <v/>
      </c>
      <c r="CC276" s="124" t="str">
        <f>IF($B276="","",IFERROR(-AP276,"n.b."))</f>
        <v/>
      </c>
      <c r="CD276" s="124" t="str">
        <f>IF($B276="","",IFERROR(-AQ276,"n.b."))</f>
        <v/>
      </c>
      <c r="CE276" s="124" t="str">
        <f>IF($B276="","",IFERROR(-AR276,"n.b."))</f>
        <v/>
      </c>
      <c r="CF276" s="124" t="str">
        <f>IF($B276="","",IFERROR(-AS276,"n.b."))</f>
        <v/>
      </c>
      <c r="CG276" s="124" t="str">
        <f>IF($B276="","",IFERROR(-AT276,"n.b."))</f>
        <v/>
      </c>
      <c r="CH276" s="124" t="str">
        <f>IF($B276="","",IFERROR(-AU276,"n.b."))</f>
        <v/>
      </c>
      <c r="CI276" s="124" t="str">
        <f>IF($B276="","",IFERROR(-AV276,"n.b."))</f>
        <v/>
      </c>
      <c r="CJ276" s="124" t="str">
        <f>IF($B276="","",IFERROR(-AW276,"n.b."))</f>
        <v/>
      </c>
      <c r="CK276" s="124" t="str">
        <f>IF($B276="","",IFERROR(-AX276,"n.b."))</f>
        <v/>
      </c>
      <c r="CL276" s="124" t="str">
        <f>IF($B276="","",IFERROR(-AY276,"n.b."))</f>
        <v/>
      </c>
      <c r="CM276" s="124" t="str">
        <f>IF($B276="","",IFERROR(-AZ276,"n.b."))</f>
        <v/>
      </c>
      <c r="CN276" s="124" t="str">
        <f>IF($B276="","",IFERROR(-BA276,"n.b."))</f>
        <v/>
      </c>
      <c r="CO276" s="124" t="str">
        <f>IF($B276="","",IFERROR(-BB276,"n.b."))</f>
        <v/>
      </c>
      <c r="CP276" s="124" t="str">
        <f>IF($B276="","",IFERROR(-BC276,"n.b."))</f>
        <v/>
      </c>
      <c r="CQ276" s="124" t="str">
        <f>IF($B276="","",IFERROR(-BD276,"n.b."))</f>
        <v/>
      </c>
      <c r="CR276" s="124" t="str">
        <f>IF($B276="","",IFERROR(-BE276,"n.b."))</f>
        <v/>
      </c>
      <c r="CS276" s="124" t="str">
        <f>IF($B276="","",IFERROR(IF(OR(ABS(T276+V276+X276+Z276-AB276)&gt;P_Tol,ABS(U276+W276+Y276+AA276-AD276)&gt;P_Tol,ABS(AE276+AG276+AI276+AK276-AM276)&gt;P_Tol,ABS(AF276+AH276+AJ276+AL276-AO276)&gt;P_Tol),1,0),1))</f>
        <v/>
      </c>
      <c r="CT276" s="124" t="str">
        <f>IF($B276="","",IFERROR(IF(OR(ABS(AB276+AC276-AD276)&gt;P_Tol,ABS(AM276+AN276-AO276)&gt;P_Tol,ABS(O276+P276-Q276)&gt;P_Tol),1,0),1))</f>
        <v/>
      </c>
      <c r="CU276" s="124" t="str">
        <f>IF($B276="","",IFERROR(IF(ABS(R276-(AB276+AM276+AP276+AR276+AT276+AV276+AX276+AZ276+BB276+BD276))&gt;P_Tol,1,0),1))</f>
        <v/>
      </c>
      <c r="CV276" s="124" t="str">
        <f>IF($B276="","",IFERROR(IF(ABS(M276-(N276+O276+R276))&gt;P_Tol,1,0),1))</f>
        <v/>
      </c>
      <c r="CW276" s="124" t="str">
        <f>IF($B276="","",IF(COUNTIF(Mapping!$A$5:$A$104,B276)&gt;0,1,0))</f>
        <v/>
      </c>
      <c r="CX276" s="124" t="str">
        <f>IF($B276="","",COUNTIF($B$6:$B$505,B276))</f>
        <v/>
      </c>
      <c r="CY276" s="124" t="str">
        <f>IF($B276="","",COUNTIF(STG_Woningetalage!$B$6:$B$505,B276))</f>
        <v/>
      </c>
      <c r="CZ276" s="124" t="str">
        <f>IF($B276="","",IF(CW276=0,COUNTIF($CW$6:CW276,0),""))</f>
        <v/>
      </c>
    </row>
    <row r="277">
      <c r="A277" s="15" t="n">
        <v>273</v>
      </c>
      <c r="B277" t="str">
        <f>IF(B$3=0,"",IF(INDEX(SRC_ZPMW03!$A$1:$ZZ$501,$A277,B$3)&amp;""="","",INDEX(SRC_ZPMW03!$A$1:$ZZ$501,$A277,B$3)&amp;""))</f>
        <v/>
      </c>
      <c r="C277" t="str">
        <f>IF($B277="","",IF(C$3=0,"n.b.",INDEX(SRC_ZPMW03!$A$1:$ZZ$501,$A277,C$3)))</f>
        <v/>
      </c>
      <c r="D277" t="str">
        <f>IF($B277="","",IF(D$3=0,"n.b.",INDEX(SRC_ZPMW03!$A$1:$ZZ$501,$A277,D$3)))</f>
        <v/>
      </c>
      <c r="E277" t="str">
        <f>IF($B277="","",IF(E$3=0,"n.b.",INDEX(SRC_ZPMW03!$A$1:$ZZ$501,$A277,E$3)))</f>
        <v/>
      </c>
      <c r="F277" t="str">
        <f>IF($B277="","",IF(F$3=0,"n.b.",INDEX(SRC_ZPMW03!$A$1:$ZZ$501,$A277,F$3)))</f>
        <v/>
      </c>
      <c r="G277" t="str">
        <f>IF($B277="","",IF(G$3=0,"n.b.",INDEX(SRC_ZPMW03!$A$1:$ZZ$501,$A277,G$3)))</f>
        <v/>
      </c>
      <c r="H277" t="str">
        <f>IF($B277="","",IF(H$3=0,"n.b.",INDEX(SRC_ZPMW03!$A$1:$ZZ$501,$A277,H$3)))</f>
        <v/>
      </c>
      <c r="I277" t="str">
        <f>IF($B277="","",IF(I$3=0,"n.b.",INDEX(SRC_ZPMW03!$A$1:$ZZ$501,$A277,I$3)))</f>
        <v/>
      </c>
      <c r="J277" t="str">
        <f>IF($B277="","",IF(J$3=0,"n.b.",INDEX(SRC_ZPMW03!$A$1:$ZZ$501,$A277,J$3)))</f>
        <v/>
      </c>
      <c r="K277" t="str">
        <f>IF($B277="","",IF(K$3=0,"n.b.",INDEX(SRC_ZPMW03!$A$1:$ZZ$501,$A277,K$3)))</f>
        <v/>
      </c>
      <c r="L277" s="124" t="str">
        <f>IF($B277="","",IF(L$3=0,"n.b.",INDEX(SRC_ZPMW03!$A$1:$ZZ$501,$A277,L$3)))</f>
        <v/>
      </c>
      <c r="M277" s="124" t="str">
        <f>IF($B277="","",IF(M$3=0,"n.b.",INDEX(SRC_ZPMW03!$A$1:$ZZ$501,$A277,M$3)))</f>
        <v/>
      </c>
      <c r="N277" s="124" t="str">
        <f>IF($B277="","",IF(N$3=0,"n.b.",INDEX(SRC_ZPMW03!$A$1:$ZZ$501,$A277,N$3)))</f>
        <v/>
      </c>
      <c r="O277" s="124" t="str">
        <f>IF($B277="","",IF(O$3=0,"n.b.",INDEX(SRC_ZPMW03!$A$1:$ZZ$501,$A277,O$3)))</f>
        <v/>
      </c>
      <c r="P277" s="124" t="str">
        <f>IF($B277="","",IF(P$3=0,"n.b.",INDEX(SRC_ZPMW03!$A$1:$ZZ$501,$A277,P$3)))</f>
        <v/>
      </c>
      <c r="Q277" s="124" t="str">
        <f>IF($B277="","",IF(Q$3=0,"n.b.",INDEX(SRC_ZPMW03!$A$1:$ZZ$501,$A277,Q$3)))</f>
        <v/>
      </c>
      <c r="R277" s="124" t="str">
        <f>IF($B277="","",IF(R$3=0,"n.b.",INDEX(SRC_ZPMW03!$A$1:$ZZ$501,$A277,R$3)))</f>
        <v/>
      </c>
      <c r="S277" s="124" t="str">
        <f>IF($B277="","",IF(S$3=0,"n.b.",INDEX(SRC_ZPMW03!$A$1:$ZZ$501,$A277,S$3)))</f>
        <v/>
      </c>
      <c r="T277" s="124" t="str">
        <f>IF($B277="","",IF(T$3=0,"n.b.",INDEX(SRC_ZPMW03!$A$1:$ZZ$501,$A277,T$3)))</f>
        <v/>
      </c>
      <c r="U277" s="124" t="str">
        <f>IF($B277="","",IF(U$3=0,"n.b.",INDEX(SRC_ZPMW03!$A$1:$ZZ$501,$A277,U$3)))</f>
        <v/>
      </c>
      <c r="V277" s="124" t="str">
        <f>IF($B277="","",IF(V$3=0,"n.b.",INDEX(SRC_ZPMW03!$A$1:$ZZ$501,$A277,V$3)))</f>
        <v/>
      </c>
      <c r="W277" s="124" t="str">
        <f>IF($B277="","",IF(W$3=0,"n.b.",INDEX(SRC_ZPMW03!$A$1:$ZZ$501,$A277,W$3)))</f>
        <v/>
      </c>
      <c r="X277" s="124" t="str">
        <f>IF($B277="","",IF(X$3=0,"n.b.",INDEX(SRC_ZPMW03!$A$1:$ZZ$501,$A277,X$3)))</f>
        <v/>
      </c>
      <c r="Y277" s="124" t="str">
        <f>IF($B277="","",IF(Y$3=0,"n.b.",INDEX(SRC_ZPMW03!$A$1:$ZZ$501,$A277,Y$3)))</f>
        <v/>
      </c>
      <c r="Z277" s="124" t="str">
        <f>IF($B277="","",IF(Z$3=0,"n.b.",INDEX(SRC_ZPMW03!$A$1:$ZZ$501,$A277,Z$3)))</f>
        <v/>
      </c>
      <c r="AA277" s="124" t="str">
        <f>IF($B277="","",IF(AA$3=0,"n.b.",INDEX(SRC_ZPMW03!$A$1:$ZZ$501,$A277,AA$3)))</f>
        <v/>
      </c>
      <c r="AB277" s="124" t="str">
        <f>IF($B277="","",IF(AB$3=0,"n.b.",INDEX(SRC_ZPMW03!$A$1:$ZZ$501,$A277,AB$3)))</f>
        <v/>
      </c>
      <c r="AC277" s="124" t="str">
        <f>IF($B277="","",IF(AC$3=0,"n.b.",INDEX(SRC_ZPMW03!$A$1:$ZZ$501,$A277,AC$3)))</f>
        <v/>
      </c>
      <c r="AD277" s="124" t="str">
        <f>IF($B277="","",IF(AD$3=0,"n.b.",INDEX(SRC_ZPMW03!$A$1:$ZZ$501,$A277,AD$3)))</f>
        <v/>
      </c>
      <c r="AE277" s="124" t="str">
        <f>IF($B277="","",IF(AE$3=0,"n.b.",INDEX(SRC_ZPMW03!$A$1:$ZZ$501,$A277,AE$3)))</f>
        <v/>
      </c>
      <c r="AF277" s="124" t="str">
        <f>IF($B277="","",IF(AF$3=0,"n.b.",INDEX(SRC_ZPMW03!$A$1:$ZZ$501,$A277,AF$3)))</f>
        <v/>
      </c>
      <c r="AG277" s="124" t="str">
        <f>IF($B277="","",IF(AG$3=0,"n.b.",INDEX(SRC_ZPMW03!$A$1:$ZZ$501,$A277,AG$3)))</f>
        <v/>
      </c>
      <c r="AH277" s="124" t="str">
        <f>IF($B277="","",IF(AH$3=0,"n.b.",INDEX(SRC_ZPMW03!$A$1:$ZZ$501,$A277,AH$3)))</f>
        <v/>
      </c>
      <c r="AI277" s="124" t="str">
        <f>IF($B277="","",IF(AI$3=0,"n.b.",INDEX(SRC_ZPMW03!$A$1:$ZZ$501,$A277,AI$3)))</f>
        <v/>
      </c>
      <c r="AJ277" s="124" t="str">
        <f>IF($B277="","",IF(AJ$3=0,"n.b.",INDEX(SRC_ZPMW03!$A$1:$ZZ$501,$A277,AJ$3)))</f>
        <v/>
      </c>
      <c r="AK277" s="124" t="str">
        <f>IF($B277="","",IF(AK$3=0,"n.b.",INDEX(SRC_ZPMW03!$A$1:$ZZ$501,$A277,AK$3)))</f>
        <v/>
      </c>
      <c r="AL277" s="124" t="str">
        <f>IF($B277="","",IF(AL$3=0,"n.b.",INDEX(SRC_ZPMW03!$A$1:$ZZ$501,$A277,AL$3)))</f>
        <v/>
      </c>
      <c r="AM277" s="124" t="str">
        <f>IF($B277="","",IF(AM$3=0,"n.b.",INDEX(SRC_ZPMW03!$A$1:$ZZ$501,$A277,AM$3)))</f>
        <v/>
      </c>
      <c r="AN277" s="124" t="str">
        <f>IF($B277="","",IF(AN$3=0,"n.b.",INDEX(SRC_ZPMW03!$A$1:$ZZ$501,$A277,AN$3)))</f>
        <v/>
      </c>
      <c r="AO277" s="124" t="str">
        <f>IF($B277="","",IF(AO$3=0,"n.b.",INDEX(SRC_ZPMW03!$A$1:$ZZ$501,$A277,AO$3)))</f>
        <v/>
      </c>
      <c r="AP277" s="124" t="str">
        <f>IF($B277="","",IF(AP$3=0,"n.b.",INDEX(SRC_ZPMW03!$A$1:$ZZ$501,$A277,AP$3)))</f>
        <v/>
      </c>
      <c r="AQ277" s="124" t="str">
        <f>IF($B277="","",IF(AQ$3=0,"n.b.",INDEX(SRC_ZPMW03!$A$1:$ZZ$501,$A277,AQ$3)))</f>
        <v/>
      </c>
      <c r="AR277" s="124" t="str">
        <f>IF($B277="","",IF(AR$3=0,"n.b.",INDEX(SRC_ZPMW03!$A$1:$ZZ$501,$A277,AR$3)))</f>
        <v/>
      </c>
      <c r="AS277" s="124" t="str">
        <f>IF($B277="","",IF(AS$3=0,"n.b.",INDEX(SRC_ZPMW03!$A$1:$ZZ$501,$A277,AS$3)))</f>
        <v/>
      </c>
      <c r="AT277" s="124" t="str">
        <f>IF($B277="","",IF(AT$3=0,"n.b.",INDEX(SRC_ZPMW03!$A$1:$ZZ$501,$A277,AT$3)))</f>
        <v/>
      </c>
      <c r="AU277" s="124" t="str">
        <f>IF($B277="","",IF(AU$3=0,"n.b.",INDEX(SRC_ZPMW03!$A$1:$ZZ$501,$A277,AU$3)))</f>
        <v/>
      </c>
      <c r="AV277" s="124" t="str">
        <f>IF($B277="","",IF(AV$3=0,"n.b.",INDEX(SRC_ZPMW03!$A$1:$ZZ$501,$A277,AV$3)))</f>
        <v/>
      </c>
      <c r="AW277" s="124" t="str">
        <f>IF($B277="","",IF(AW$3=0,"n.b.",INDEX(SRC_ZPMW03!$A$1:$ZZ$501,$A277,AW$3)))</f>
        <v/>
      </c>
      <c r="AX277" s="124" t="str">
        <f>IF($B277="","",IF(AX$3=0,"n.b.",INDEX(SRC_ZPMW03!$A$1:$ZZ$501,$A277,AX$3)))</f>
        <v/>
      </c>
      <c r="AY277" s="124" t="str">
        <f>IF($B277="","",IF(AY$3=0,"n.b.",INDEX(SRC_ZPMW03!$A$1:$ZZ$501,$A277,AY$3)))</f>
        <v/>
      </c>
      <c r="AZ277" s="124" t="str">
        <f>IF($B277="","",IF(AZ$3=0,"n.b.",INDEX(SRC_ZPMW03!$A$1:$ZZ$501,$A277,AZ$3)))</f>
        <v/>
      </c>
      <c r="BA277" s="124" t="str">
        <f>IF($B277="","",IF(BA$3=0,"n.b.",INDEX(SRC_ZPMW03!$A$1:$ZZ$501,$A277,BA$3)))</f>
        <v/>
      </c>
      <c r="BB277" s="124" t="str">
        <f>IF($B277="","",IF(BB$3=0,"n.b.",INDEX(SRC_ZPMW03!$A$1:$ZZ$501,$A277,BB$3)))</f>
        <v/>
      </c>
      <c r="BC277" s="124" t="str">
        <f>IF($B277="","",IF(BC$3=0,"n.b.",INDEX(SRC_ZPMW03!$A$1:$ZZ$501,$A277,BC$3)))</f>
        <v/>
      </c>
      <c r="BD277" s="124" t="str">
        <f>IF($B277="","",IF(BD$3=0,"n.b.",INDEX(SRC_ZPMW03!$A$1:$ZZ$501,$A277,BD$3)))</f>
        <v/>
      </c>
      <c r="BE277" s="124" t="str">
        <f>IF($B277="","",IF(BE$3=0,"n.b.",INDEX(SRC_ZPMW03!$A$1:$ZZ$501,$A277,BE$3)))</f>
        <v/>
      </c>
      <c r="BF277" s="124" t="str">
        <f>IF($B277="","",IF(BF$3=0,"n.b.",INDEX(SRC_ZPMW03!$A$1:$ZZ$501,$A277,BF$3)))</f>
        <v/>
      </c>
      <c r="BG277" t="str">
        <f>IF($B277="","",IF(BG$3=0,"n.b.",INDEX(SRC_ZPMW03!$A$1:$ZZ$501,$A277,BG$3)))</f>
        <v/>
      </c>
      <c r="BH277" t="str">
        <f>IF($B277="","",IF(BH$3=0,"n.b.",INDEX(SRC_ZPMW03!$A$1:$ZZ$501,$A277,BH$3)))</f>
        <v/>
      </c>
      <c r="BI277" t="str">
        <f>IF($B277="","",IF(BI$3=0,"n.b.",INDEX(SRC_ZPMW03!$A$1:$ZZ$501,$A277,BI$3)))</f>
        <v/>
      </c>
      <c r="BJ277" t="str">
        <f>IF($B277="","",IF(BJ$3=0,"n.b.",INDEX(SRC_ZPMW03!$A$1:$ZZ$501,$A277,BJ$3)))</f>
        <v/>
      </c>
      <c r="BK277" s="124" t="str">
        <f>IF($B277="","",IFERROR(-O277,"n.b."))</f>
        <v/>
      </c>
      <c r="BL277" s="124" t="str">
        <f>IF($B277="","",IFERROR(-Q277,"n.b."))</f>
        <v/>
      </c>
      <c r="BM277" s="124" t="str">
        <f>IF($B277="","",IFERROR(-AB277,"n.b."))</f>
        <v/>
      </c>
      <c r="BN277" s="124" t="str">
        <f>IF($B277="","",IFERROR(-AD277,"n.b."))</f>
        <v/>
      </c>
      <c r="BO277" s="124" t="str">
        <f>IF($B277="","",IFERROR(BK277+BM277,"n.b."))</f>
        <v/>
      </c>
      <c r="BP277" s="124" t="str">
        <f>IF($B277="","",IFERROR(BL277+BN277,"n.b."))</f>
        <v/>
      </c>
      <c r="BQ277" s="124" t="str">
        <f>IF($B277="","",IFERROR(-AM277,"n.b."))</f>
        <v/>
      </c>
      <c r="BR277" s="124" t="str">
        <f>IF($B277="","",IFERROR(-AO277,"n.b."))</f>
        <v/>
      </c>
      <c r="BS277" s="124" t="str">
        <f>IF($B277="","",IFERROR(-Z277,"n.b."))</f>
        <v/>
      </c>
      <c r="BT277" s="124" t="str">
        <f>IF($B277="","",IFERROR(-AA277,"n.b."))</f>
        <v/>
      </c>
      <c r="BU277" s="124" t="str">
        <f>IF($B277="","",IFERROR(-AE277,"n.b."))</f>
        <v/>
      </c>
      <c r="BV277" s="124" t="str">
        <f>IF($B277="","",IFERROR(-AF277,"n.b."))</f>
        <v/>
      </c>
      <c r="BW277" s="124" t="str">
        <f>IF($B277="","",IFERROR(-AG277,"n.b."))</f>
        <v/>
      </c>
      <c r="BX277" s="124" t="str">
        <f>IF($B277="","",IFERROR(-AH277,"n.b."))</f>
        <v/>
      </c>
      <c r="BY277" s="124" t="str">
        <f>IF($B277="","",IFERROR(-AI277,"n.b."))</f>
        <v/>
      </c>
      <c r="BZ277" s="124" t="str">
        <f>IF($B277="","",IFERROR(-AJ277,"n.b."))</f>
        <v/>
      </c>
      <c r="CA277" s="124" t="str">
        <f>IF($B277="","",IFERROR(-AK277,"n.b."))</f>
        <v/>
      </c>
      <c r="CB277" s="124" t="str">
        <f>IF($B277="","",IFERROR(-AL277,"n.b."))</f>
        <v/>
      </c>
      <c r="CC277" s="124" t="str">
        <f>IF($B277="","",IFERROR(-AP277,"n.b."))</f>
        <v/>
      </c>
      <c r="CD277" s="124" t="str">
        <f>IF($B277="","",IFERROR(-AQ277,"n.b."))</f>
        <v/>
      </c>
      <c r="CE277" s="124" t="str">
        <f>IF($B277="","",IFERROR(-AR277,"n.b."))</f>
        <v/>
      </c>
      <c r="CF277" s="124" t="str">
        <f>IF($B277="","",IFERROR(-AS277,"n.b."))</f>
        <v/>
      </c>
      <c r="CG277" s="124" t="str">
        <f>IF($B277="","",IFERROR(-AT277,"n.b."))</f>
        <v/>
      </c>
      <c r="CH277" s="124" t="str">
        <f>IF($B277="","",IFERROR(-AU277,"n.b."))</f>
        <v/>
      </c>
      <c r="CI277" s="124" t="str">
        <f>IF($B277="","",IFERROR(-AV277,"n.b."))</f>
        <v/>
      </c>
      <c r="CJ277" s="124" t="str">
        <f>IF($B277="","",IFERROR(-AW277,"n.b."))</f>
        <v/>
      </c>
      <c r="CK277" s="124" t="str">
        <f>IF($B277="","",IFERROR(-AX277,"n.b."))</f>
        <v/>
      </c>
      <c r="CL277" s="124" t="str">
        <f>IF($B277="","",IFERROR(-AY277,"n.b."))</f>
        <v/>
      </c>
      <c r="CM277" s="124" t="str">
        <f>IF($B277="","",IFERROR(-AZ277,"n.b."))</f>
        <v/>
      </c>
      <c r="CN277" s="124" t="str">
        <f>IF($B277="","",IFERROR(-BA277,"n.b."))</f>
        <v/>
      </c>
      <c r="CO277" s="124" t="str">
        <f>IF($B277="","",IFERROR(-BB277,"n.b."))</f>
        <v/>
      </c>
      <c r="CP277" s="124" t="str">
        <f>IF($B277="","",IFERROR(-BC277,"n.b."))</f>
        <v/>
      </c>
      <c r="CQ277" s="124" t="str">
        <f>IF($B277="","",IFERROR(-BD277,"n.b."))</f>
        <v/>
      </c>
      <c r="CR277" s="124" t="str">
        <f>IF($B277="","",IFERROR(-BE277,"n.b."))</f>
        <v/>
      </c>
      <c r="CS277" s="124" t="str">
        <f>IF($B277="","",IFERROR(IF(OR(ABS(T277+V277+X277+Z277-AB277)&gt;P_Tol,ABS(U277+W277+Y277+AA277-AD277)&gt;P_Tol,ABS(AE277+AG277+AI277+AK277-AM277)&gt;P_Tol,ABS(AF277+AH277+AJ277+AL277-AO277)&gt;P_Tol),1,0),1))</f>
        <v/>
      </c>
      <c r="CT277" s="124" t="str">
        <f>IF($B277="","",IFERROR(IF(OR(ABS(AB277+AC277-AD277)&gt;P_Tol,ABS(AM277+AN277-AO277)&gt;P_Tol,ABS(O277+P277-Q277)&gt;P_Tol),1,0),1))</f>
        <v/>
      </c>
      <c r="CU277" s="124" t="str">
        <f>IF($B277="","",IFERROR(IF(ABS(R277-(AB277+AM277+AP277+AR277+AT277+AV277+AX277+AZ277+BB277+BD277))&gt;P_Tol,1,0),1))</f>
        <v/>
      </c>
      <c r="CV277" s="124" t="str">
        <f>IF($B277="","",IFERROR(IF(ABS(M277-(N277+O277+R277))&gt;P_Tol,1,0),1))</f>
        <v/>
      </c>
      <c r="CW277" s="124" t="str">
        <f>IF($B277="","",IF(COUNTIF(Mapping!$A$5:$A$104,B277)&gt;0,1,0))</f>
        <v/>
      </c>
      <c r="CX277" s="124" t="str">
        <f>IF($B277="","",COUNTIF($B$6:$B$505,B277))</f>
        <v/>
      </c>
      <c r="CY277" s="124" t="str">
        <f>IF($B277="","",COUNTIF(STG_Woningetalage!$B$6:$B$505,B277))</f>
        <v/>
      </c>
      <c r="CZ277" s="124" t="str">
        <f>IF($B277="","",IF(CW277=0,COUNTIF($CW$6:CW277,0),""))</f>
        <v/>
      </c>
    </row>
    <row r="278">
      <c r="A278" s="15" t="n">
        <v>274</v>
      </c>
      <c r="B278" t="str">
        <f>IF(B$3=0,"",IF(INDEX(SRC_ZPMW03!$A$1:$ZZ$501,$A278,B$3)&amp;""="","",INDEX(SRC_ZPMW03!$A$1:$ZZ$501,$A278,B$3)&amp;""))</f>
        <v/>
      </c>
      <c r="C278" t="str">
        <f>IF($B278="","",IF(C$3=0,"n.b.",INDEX(SRC_ZPMW03!$A$1:$ZZ$501,$A278,C$3)))</f>
        <v/>
      </c>
      <c r="D278" t="str">
        <f>IF($B278="","",IF(D$3=0,"n.b.",INDEX(SRC_ZPMW03!$A$1:$ZZ$501,$A278,D$3)))</f>
        <v/>
      </c>
      <c r="E278" t="str">
        <f>IF($B278="","",IF(E$3=0,"n.b.",INDEX(SRC_ZPMW03!$A$1:$ZZ$501,$A278,E$3)))</f>
        <v/>
      </c>
      <c r="F278" t="str">
        <f>IF($B278="","",IF(F$3=0,"n.b.",INDEX(SRC_ZPMW03!$A$1:$ZZ$501,$A278,F$3)))</f>
        <v/>
      </c>
      <c r="G278" t="str">
        <f>IF($B278="","",IF(G$3=0,"n.b.",INDEX(SRC_ZPMW03!$A$1:$ZZ$501,$A278,G$3)))</f>
        <v/>
      </c>
      <c r="H278" t="str">
        <f>IF($B278="","",IF(H$3=0,"n.b.",INDEX(SRC_ZPMW03!$A$1:$ZZ$501,$A278,H$3)))</f>
        <v/>
      </c>
      <c r="I278" t="str">
        <f>IF($B278="","",IF(I$3=0,"n.b.",INDEX(SRC_ZPMW03!$A$1:$ZZ$501,$A278,I$3)))</f>
        <v/>
      </c>
      <c r="J278" t="str">
        <f>IF($B278="","",IF(J$3=0,"n.b.",INDEX(SRC_ZPMW03!$A$1:$ZZ$501,$A278,J$3)))</f>
        <v/>
      </c>
      <c r="K278" t="str">
        <f>IF($B278="","",IF(K$3=0,"n.b.",INDEX(SRC_ZPMW03!$A$1:$ZZ$501,$A278,K$3)))</f>
        <v/>
      </c>
      <c r="L278" s="124" t="str">
        <f>IF($B278="","",IF(L$3=0,"n.b.",INDEX(SRC_ZPMW03!$A$1:$ZZ$501,$A278,L$3)))</f>
        <v/>
      </c>
      <c r="M278" s="124" t="str">
        <f>IF($B278="","",IF(M$3=0,"n.b.",INDEX(SRC_ZPMW03!$A$1:$ZZ$501,$A278,M$3)))</f>
        <v/>
      </c>
      <c r="N278" s="124" t="str">
        <f>IF($B278="","",IF(N$3=0,"n.b.",INDEX(SRC_ZPMW03!$A$1:$ZZ$501,$A278,N$3)))</f>
        <v/>
      </c>
      <c r="O278" s="124" t="str">
        <f>IF($B278="","",IF(O$3=0,"n.b.",INDEX(SRC_ZPMW03!$A$1:$ZZ$501,$A278,O$3)))</f>
        <v/>
      </c>
      <c r="P278" s="124" t="str">
        <f>IF($B278="","",IF(P$3=0,"n.b.",INDEX(SRC_ZPMW03!$A$1:$ZZ$501,$A278,P$3)))</f>
        <v/>
      </c>
      <c r="Q278" s="124" t="str">
        <f>IF($B278="","",IF(Q$3=0,"n.b.",INDEX(SRC_ZPMW03!$A$1:$ZZ$501,$A278,Q$3)))</f>
        <v/>
      </c>
      <c r="R278" s="124" t="str">
        <f>IF($B278="","",IF(R$3=0,"n.b.",INDEX(SRC_ZPMW03!$A$1:$ZZ$501,$A278,R$3)))</f>
        <v/>
      </c>
      <c r="S278" s="124" t="str">
        <f>IF($B278="","",IF(S$3=0,"n.b.",INDEX(SRC_ZPMW03!$A$1:$ZZ$501,$A278,S$3)))</f>
        <v/>
      </c>
      <c r="T278" s="124" t="str">
        <f>IF($B278="","",IF(T$3=0,"n.b.",INDEX(SRC_ZPMW03!$A$1:$ZZ$501,$A278,T$3)))</f>
        <v/>
      </c>
      <c r="U278" s="124" t="str">
        <f>IF($B278="","",IF(U$3=0,"n.b.",INDEX(SRC_ZPMW03!$A$1:$ZZ$501,$A278,U$3)))</f>
        <v/>
      </c>
      <c r="V278" s="124" t="str">
        <f>IF($B278="","",IF(V$3=0,"n.b.",INDEX(SRC_ZPMW03!$A$1:$ZZ$501,$A278,V$3)))</f>
        <v/>
      </c>
      <c r="W278" s="124" t="str">
        <f>IF($B278="","",IF(W$3=0,"n.b.",INDEX(SRC_ZPMW03!$A$1:$ZZ$501,$A278,W$3)))</f>
        <v/>
      </c>
      <c r="X278" s="124" t="str">
        <f>IF($B278="","",IF(X$3=0,"n.b.",INDEX(SRC_ZPMW03!$A$1:$ZZ$501,$A278,X$3)))</f>
        <v/>
      </c>
      <c r="Y278" s="124" t="str">
        <f>IF($B278="","",IF(Y$3=0,"n.b.",INDEX(SRC_ZPMW03!$A$1:$ZZ$501,$A278,Y$3)))</f>
        <v/>
      </c>
      <c r="Z278" s="124" t="str">
        <f>IF($B278="","",IF(Z$3=0,"n.b.",INDEX(SRC_ZPMW03!$A$1:$ZZ$501,$A278,Z$3)))</f>
        <v/>
      </c>
      <c r="AA278" s="124" t="str">
        <f>IF($B278="","",IF(AA$3=0,"n.b.",INDEX(SRC_ZPMW03!$A$1:$ZZ$501,$A278,AA$3)))</f>
        <v/>
      </c>
      <c r="AB278" s="124" t="str">
        <f>IF($B278="","",IF(AB$3=0,"n.b.",INDEX(SRC_ZPMW03!$A$1:$ZZ$501,$A278,AB$3)))</f>
        <v/>
      </c>
      <c r="AC278" s="124" t="str">
        <f>IF($B278="","",IF(AC$3=0,"n.b.",INDEX(SRC_ZPMW03!$A$1:$ZZ$501,$A278,AC$3)))</f>
        <v/>
      </c>
      <c r="AD278" s="124" t="str">
        <f>IF($B278="","",IF(AD$3=0,"n.b.",INDEX(SRC_ZPMW03!$A$1:$ZZ$501,$A278,AD$3)))</f>
        <v/>
      </c>
      <c r="AE278" s="124" t="str">
        <f>IF($B278="","",IF(AE$3=0,"n.b.",INDEX(SRC_ZPMW03!$A$1:$ZZ$501,$A278,AE$3)))</f>
        <v/>
      </c>
      <c r="AF278" s="124" t="str">
        <f>IF($B278="","",IF(AF$3=0,"n.b.",INDEX(SRC_ZPMW03!$A$1:$ZZ$501,$A278,AF$3)))</f>
        <v/>
      </c>
      <c r="AG278" s="124" t="str">
        <f>IF($B278="","",IF(AG$3=0,"n.b.",INDEX(SRC_ZPMW03!$A$1:$ZZ$501,$A278,AG$3)))</f>
        <v/>
      </c>
      <c r="AH278" s="124" t="str">
        <f>IF($B278="","",IF(AH$3=0,"n.b.",INDEX(SRC_ZPMW03!$A$1:$ZZ$501,$A278,AH$3)))</f>
        <v/>
      </c>
      <c r="AI278" s="124" t="str">
        <f>IF($B278="","",IF(AI$3=0,"n.b.",INDEX(SRC_ZPMW03!$A$1:$ZZ$501,$A278,AI$3)))</f>
        <v/>
      </c>
      <c r="AJ278" s="124" t="str">
        <f>IF($B278="","",IF(AJ$3=0,"n.b.",INDEX(SRC_ZPMW03!$A$1:$ZZ$501,$A278,AJ$3)))</f>
        <v/>
      </c>
      <c r="AK278" s="124" t="str">
        <f>IF($B278="","",IF(AK$3=0,"n.b.",INDEX(SRC_ZPMW03!$A$1:$ZZ$501,$A278,AK$3)))</f>
        <v/>
      </c>
      <c r="AL278" s="124" t="str">
        <f>IF($B278="","",IF(AL$3=0,"n.b.",INDEX(SRC_ZPMW03!$A$1:$ZZ$501,$A278,AL$3)))</f>
        <v/>
      </c>
      <c r="AM278" s="124" t="str">
        <f>IF($B278="","",IF(AM$3=0,"n.b.",INDEX(SRC_ZPMW03!$A$1:$ZZ$501,$A278,AM$3)))</f>
        <v/>
      </c>
      <c r="AN278" s="124" t="str">
        <f>IF($B278="","",IF(AN$3=0,"n.b.",INDEX(SRC_ZPMW03!$A$1:$ZZ$501,$A278,AN$3)))</f>
        <v/>
      </c>
      <c r="AO278" s="124" t="str">
        <f>IF($B278="","",IF(AO$3=0,"n.b.",INDEX(SRC_ZPMW03!$A$1:$ZZ$501,$A278,AO$3)))</f>
        <v/>
      </c>
      <c r="AP278" s="124" t="str">
        <f>IF($B278="","",IF(AP$3=0,"n.b.",INDEX(SRC_ZPMW03!$A$1:$ZZ$501,$A278,AP$3)))</f>
        <v/>
      </c>
      <c r="AQ278" s="124" t="str">
        <f>IF($B278="","",IF(AQ$3=0,"n.b.",INDEX(SRC_ZPMW03!$A$1:$ZZ$501,$A278,AQ$3)))</f>
        <v/>
      </c>
      <c r="AR278" s="124" t="str">
        <f>IF($B278="","",IF(AR$3=0,"n.b.",INDEX(SRC_ZPMW03!$A$1:$ZZ$501,$A278,AR$3)))</f>
        <v/>
      </c>
      <c r="AS278" s="124" t="str">
        <f>IF($B278="","",IF(AS$3=0,"n.b.",INDEX(SRC_ZPMW03!$A$1:$ZZ$501,$A278,AS$3)))</f>
        <v/>
      </c>
      <c r="AT278" s="124" t="str">
        <f>IF($B278="","",IF(AT$3=0,"n.b.",INDEX(SRC_ZPMW03!$A$1:$ZZ$501,$A278,AT$3)))</f>
        <v/>
      </c>
      <c r="AU278" s="124" t="str">
        <f>IF($B278="","",IF(AU$3=0,"n.b.",INDEX(SRC_ZPMW03!$A$1:$ZZ$501,$A278,AU$3)))</f>
        <v/>
      </c>
      <c r="AV278" s="124" t="str">
        <f>IF($B278="","",IF(AV$3=0,"n.b.",INDEX(SRC_ZPMW03!$A$1:$ZZ$501,$A278,AV$3)))</f>
        <v/>
      </c>
      <c r="AW278" s="124" t="str">
        <f>IF($B278="","",IF(AW$3=0,"n.b.",INDEX(SRC_ZPMW03!$A$1:$ZZ$501,$A278,AW$3)))</f>
        <v/>
      </c>
      <c r="AX278" s="124" t="str">
        <f>IF($B278="","",IF(AX$3=0,"n.b.",INDEX(SRC_ZPMW03!$A$1:$ZZ$501,$A278,AX$3)))</f>
        <v/>
      </c>
      <c r="AY278" s="124" t="str">
        <f>IF($B278="","",IF(AY$3=0,"n.b.",INDEX(SRC_ZPMW03!$A$1:$ZZ$501,$A278,AY$3)))</f>
        <v/>
      </c>
      <c r="AZ278" s="124" t="str">
        <f>IF($B278="","",IF(AZ$3=0,"n.b.",INDEX(SRC_ZPMW03!$A$1:$ZZ$501,$A278,AZ$3)))</f>
        <v/>
      </c>
      <c r="BA278" s="124" t="str">
        <f>IF($B278="","",IF(BA$3=0,"n.b.",INDEX(SRC_ZPMW03!$A$1:$ZZ$501,$A278,BA$3)))</f>
        <v/>
      </c>
      <c r="BB278" s="124" t="str">
        <f>IF($B278="","",IF(BB$3=0,"n.b.",INDEX(SRC_ZPMW03!$A$1:$ZZ$501,$A278,BB$3)))</f>
        <v/>
      </c>
      <c r="BC278" s="124" t="str">
        <f>IF($B278="","",IF(BC$3=0,"n.b.",INDEX(SRC_ZPMW03!$A$1:$ZZ$501,$A278,BC$3)))</f>
        <v/>
      </c>
      <c r="BD278" s="124" t="str">
        <f>IF($B278="","",IF(BD$3=0,"n.b.",INDEX(SRC_ZPMW03!$A$1:$ZZ$501,$A278,BD$3)))</f>
        <v/>
      </c>
      <c r="BE278" s="124" t="str">
        <f>IF($B278="","",IF(BE$3=0,"n.b.",INDEX(SRC_ZPMW03!$A$1:$ZZ$501,$A278,BE$3)))</f>
        <v/>
      </c>
      <c r="BF278" s="124" t="str">
        <f>IF($B278="","",IF(BF$3=0,"n.b.",INDEX(SRC_ZPMW03!$A$1:$ZZ$501,$A278,BF$3)))</f>
        <v/>
      </c>
      <c r="BG278" t="str">
        <f>IF($B278="","",IF(BG$3=0,"n.b.",INDEX(SRC_ZPMW03!$A$1:$ZZ$501,$A278,BG$3)))</f>
        <v/>
      </c>
      <c r="BH278" t="str">
        <f>IF($B278="","",IF(BH$3=0,"n.b.",INDEX(SRC_ZPMW03!$A$1:$ZZ$501,$A278,BH$3)))</f>
        <v/>
      </c>
      <c r="BI278" t="str">
        <f>IF($B278="","",IF(BI$3=0,"n.b.",INDEX(SRC_ZPMW03!$A$1:$ZZ$501,$A278,BI$3)))</f>
        <v/>
      </c>
      <c r="BJ278" t="str">
        <f>IF($B278="","",IF(BJ$3=0,"n.b.",INDEX(SRC_ZPMW03!$A$1:$ZZ$501,$A278,BJ$3)))</f>
        <v/>
      </c>
      <c r="BK278" s="124" t="str">
        <f>IF($B278="","",IFERROR(-O278,"n.b."))</f>
        <v/>
      </c>
      <c r="BL278" s="124" t="str">
        <f>IF($B278="","",IFERROR(-Q278,"n.b."))</f>
        <v/>
      </c>
      <c r="BM278" s="124" t="str">
        <f>IF($B278="","",IFERROR(-AB278,"n.b."))</f>
        <v/>
      </c>
      <c r="BN278" s="124" t="str">
        <f>IF($B278="","",IFERROR(-AD278,"n.b."))</f>
        <v/>
      </c>
      <c r="BO278" s="124" t="str">
        <f>IF($B278="","",IFERROR(BK278+BM278,"n.b."))</f>
        <v/>
      </c>
      <c r="BP278" s="124" t="str">
        <f>IF($B278="","",IFERROR(BL278+BN278,"n.b."))</f>
        <v/>
      </c>
      <c r="BQ278" s="124" t="str">
        <f>IF($B278="","",IFERROR(-AM278,"n.b."))</f>
        <v/>
      </c>
      <c r="BR278" s="124" t="str">
        <f>IF($B278="","",IFERROR(-AO278,"n.b."))</f>
        <v/>
      </c>
      <c r="BS278" s="124" t="str">
        <f>IF($B278="","",IFERROR(-Z278,"n.b."))</f>
        <v/>
      </c>
      <c r="BT278" s="124" t="str">
        <f>IF($B278="","",IFERROR(-AA278,"n.b."))</f>
        <v/>
      </c>
      <c r="BU278" s="124" t="str">
        <f>IF($B278="","",IFERROR(-AE278,"n.b."))</f>
        <v/>
      </c>
      <c r="BV278" s="124" t="str">
        <f>IF($B278="","",IFERROR(-AF278,"n.b."))</f>
        <v/>
      </c>
      <c r="BW278" s="124" t="str">
        <f>IF($B278="","",IFERROR(-AG278,"n.b."))</f>
        <v/>
      </c>
      <c r="BX278" s="124" t="str">
        <f>IF($B278="","",IFERROR(-AH278,"n.b."))</f>
        <v/>
      </c>
      <c r="BY278" s="124" t="str">
        <f>IF($B278="","",IFERROR(-AI278,"n.b."))</f>
        <v/>
      </c>
      <c r="BZ278" s="124" t="str">
        <f>IF($B278="","",IFERROR(-AJ278,"n.b."))</f>
        <v/>
      </c>
      <c r="CA278" s="124" t="str">
        <f>IF($B278="","",IFERROR(-AK278,"n.b."))</f>
        <v/>
      </c>
      <c r="CB278" s="124" t="str">
        <f>IF($B278="","",IFERROR(-AL278,"n.b."))</f>
        <v/>
      </c>
      <c r="CC278" s="124" t="str">
        <f>IF($B278="","",IFERROR(-AP278,"n.b."))</f>
        <v/>
      </c>
      <c r="CD278" s="124" t="str">
        <f>IF($B278="","",IFERROR(-AQ278,"n.b."))</f>
        <v/>
      </c>
      <c r="CE278" s="124" t="str">
        <f>IF($B278="","",IFERROR(-AR278,"n.b."))</f>
        <v/>
      </c>
      <c r="CF278" s="124" t="str">
        <f>IF($B278="","",IFERROR(-AS278,"n.b."))</f>
        <v/>
      </c>
      <c r="CG278" s="124" t="str">
        <f>IF($B278="","",IFERROR(-AT278,"n.b."))</f>
        <v/>
      </c>
      <c r="CH278" s="124" t="str">
        <f>IF($B278="","",IFERROR(-AU278,"n.b."))</f>
        <v/>
      </c>
      <c r="CI278" s="124" t="str">
        <f>IF($B278="","",IFERROR(-AV278,"n.b."))</f>
        <v/>
      </c>
      <c r="CJ278" s="124" t="str">
        <f>IF($B278="","",IFERROR(-AW278,"n.b."))</f>
        <v/>
      </c>
      <c r="CK278" s="124" t="str">
        <f>IF($B278="","",IFERROR(-AX278,"n.b."))</f>
        <v/>
      </c>
      <c r="CL278" s="124" t="str">
        <f>IF($B278="","",IFERROR(-AY278,"n.b."))</f>
        <v/>
      </c>
      <c r="CM278" s="124" t="str">
        <f>IF($B278="","",IFERROR(-AZ278,"n.b."))</f>
        <v/>
      </c>
      <c r="CN278" s="124" t="str">
        <f>IF($B278="","",IFERROR(-BA278,"n.b."))</f>
        <v/>
      </c>
      <c r="CO278" s="124" t="str">
        <f>IF($B278="","",IFERROR(-BB278,"n.b."))</f>
        <v/>
      </c>
      <c r="CP278" s="124" t="str">
        <f>IF($B278="","",IFERROR(-BC278,"n.b."))</f>
        <v/>
      </c>
      <c r="CQ278" s="124" t="str">
        <f>IF($B278="","",IFERROR(-BD278,"n.b."))</f>
        <v/>
      </c>
      <c r="CR278" s="124" t="str">
        <f>IF($B278="","",IFERROR(-BE278,"n.b."))</f>
        <v/>
      </c>
      <c r="CS278" s="124" t="str">
        <f>IF($B278="","",IFERROR(IF(OR(ABS(T278+V278+X278+Z278-AB278)&gt;P_Tol,ABS(U278+W278+Y278+AA278-AD278)&gt;P_Tol,ABS(AE278+AG278+AI278+AK278-AM278)&gt;P_Tol,ABS(AF278+AH278+AJ278+AL278-AO278)&gt;P_Tol),1,0),1))</f>
        <v/>
      </c>
      <c r="CT278" s="124" t="str">
        <f>IF($B278="","",IFERROR(IF(OR(ABS(AB278+AC278-AD278)&gt;P_Tol,ABS(AM278+AN278-AO278)&gt;P_Tol,ABS(O278+P278-Q278)&gt;P_Tol),1,0),1))</f>
        <v/>
      </c>
      <c r="CU278" s="124" t="str">
        <f>IF($B278="","",IFERROR(IF(ABS(R278-(AB278+AM278+AP278+AR278+AT278+AV278+AX278+AZ278+BB278+BD278))&gt;P_Tol,1,0),1))</f>
        <v/>
      </c>
      <c r="CV278" s="124" t="str">
        <f>IF($B278="","",IFERROR(IF(ABS(M278-(N278+O278+R278))&gt;P_Tol,1,0),1))</f>
        <v/>
      </c>
      <c r="CW278" s="124" t="str">
        <f>IF($B278="","",IF(COUNTIF(Mapping!$A$5:$A$104,B278)&gt;0,1,0))</f>
        <v/>
      </c>
      <c r="CX278" s="124" t="str">
        <f>IF($B278="","",COUNTIF($B$6:$B$505,B278))</f>
        <v/>
      </c>
      <c r="CY278" s="124" t="str">
        <f>IF($B278="","",COUNTIF(STG_Woningetalage!$B$6:$B$505,B278))</f>
        <v/>
      </c>
      <c r="CZ278" s="124" t="str">
        <f>IF($B278="","",IF(CW278=0,COUNTIF($CW$6:CW278,0),""))</f>
        <v/>
      </c>
    </row>
    <row r="279">
      <c r="A279" s="15" t="n">
        <v>275</v>
      </c>
      <c r="B279" t="str">
        <f>IF(B$3=0,"",IF(INDEX(SRC_ZPMW03!$A$1:$ZZ$501,$A279,B$3)&amp;""="","",INDEX(SRC_ZPMW03!$A$1:$ZZ$501,$A279,B$3)&amp;""))</f>
        <v/>
      </c>
      <c r="C279" t="str">
        <f>IF($B279="","",IF(C$3=0,"n.b.",INDEX(SRC_ZPMW03!$A$1:$ZZ$501,$A279,C$3)))</f>
        <v/>
      </c>
      <c r="D279" t="str">
        <f>IF($B279="","",IF(D$3=0,"n.b.",INDEX(SRC_ZPMW03!$A$1:$ZZ$501,$A279,D$3)))</f>
        <v/>
      </c>
      <c r="E279" t="str">
        <f>IF($B279="","",IF(E$3=0,"n.b.",INDEX(SRC_ZPMW03!$A$1:$ZZ$501,$A279,E$3)))</f>
        <v/>
      </c>
      <c r="F279" t="str">
        <f>IF($B279="","",IF(F$3=0,"n.b.",INDEX(SRC_ZPMW03!$A$1:$ZZ$501,$A279,F$3)))</f>
        <v/>
      </c>
      <c r="G279" t="str">
        <f>IF($B279="","",IF(G$3=0,"n.b.",INDEX(SRC_ZPMW03!$A$1:$ZZ$501,$A279,G$3)))</f>
        <v/>
      </c>
      <c r="H279" t="str">
        <f>IF($B279="","",IF(H$3=0,"n.b.",INDEX(SRC_ZPMW03!$A$1:$ZZ$501,$A279,H$3)))</f>
        <v/>
      </c>
      <c r="I279" t="str">
        <f>IF($B279="","",IF(I$3=0,"n.b.",INDEX(SRC_ZPMW03!$A$1:$ZZ$501,$A279,I$3)))</f>
        <v/>
      </c>
      <c r="J279" t="str">
        <f>IF($B279="","",IF(J$3=0,"n.b.",INDEX(SRC_ZPMW03!$A$1:$ZZ$501,$A279,J$3)))</f>
        <v/>
      </c>
      <c r="K279" t="str">
        <f>IF($B279="","",IF(K$3=0,"n.b.",INDEX(SRC_ZPMW03!$A$1:$ZZ$501,$A279,K$3)))</f>
        <v/>
      </c>
      <c r="L279" s="124" t="str">
        <f>IF($B279="","",IF(L$3=0,"n.b.",INDEX(SRC_ZPMW03!$A$1:$ZZ$501,$A279,L$3)))</f>
        <v/>
      </c>
      <c r="M279" s="124" t="str">
        <f>IF($B279="","",IF(M$3=0,"n.b.",INDEX(SRC_ZPMW03!$A$1:$ZZ$501,$A279,M$3)))</f>
        <v/>
      </c>
      <c r="N279" s="124" t="str">
        <f>IF($B279="","",IF(N$3=0,"n.b.",INDEX(SRC_ZPMW03!$A$1:$ZZ$501,$A279,N$3)))</f>
        <v/>
      </c>
      <c r="O279" s="124" t="str">
        <f>IF($B279="","",IF(O$3=0,"n.b.",INDEX(SRC_ZPMW03!$A$1:$ZZ$501,$A279,O$3)))</f>
        <v/>
      </c>
      <c r="P279" s="124" t="str">
        <f>IF($B279="","",IF(P$3=0,"n.b.",INDEX(SRC_ZPMW03!$A$1:$ZZ$501,$A279,P$3)))</f>
        <v/>
      </c>
      <c r="Q279" s="124" t="str">
        <f>IF($B279="","",IF(Q$3=0,"n.b.",INDEX(SRC_ZPMW03!$A$1:$ZZ$501,$A279,Q$3)))</f>
        <v/>
      </c>
      <c r="R279" s="124" t="str">
        <f>IF($B279="","",IF(R$3=0,"n.b.",INDEX(SRC_ZPMW03!$A$1:$ZZ$501,$A279,R$3)))</f>
        <v/>
      </c>
      <c r="S279" s="124" t="str">
        <f>IF($B279="","",IF(S$3=0,"n.b.",INDEX(SRC_ZPMW03!$A$1:$ZZ$501,$A279,S$3)))</f>
        <v/>
      </c>
      <c r="T279" s="124" t="str">
        <f>IF($B279="","",IF(T$3=0,"n.b.",INDEX(SRC_ZPMW03!$A$1:$ZZ$501,$A279,T$3)))</f>
        <v/>
      </c>
      <c r="U279" s="124" t="str">
        <f>IF($B279="","",IF(U$3=0,"n.b.",INDEX(SRC_ZPMW03!$A$1:$ZZ$501,$A279,U$3)))</f>
        <v/>
      </c>
      <c r="V279" s="124" t="str">
        <f>IF($B279="","",IF(V$3=0,"n.b.",INDEX(SRC_ZPMW03!$A$1:$ZZ$501,$A279,V$3)))</f>
        <v/>
      </c>
      <c r="W279" s="124" t="str">
        <f>IF($B279="","",IF(W$3=0,"n.b.",INDEX(SRC_ZPMW03!$A$1:$ZZ$501,$A279,W$3)))</f>
        <v/>
      </c>
      <c r="X279" s="124" t="str">
        <f>IF($B279="","",IF(X$3=0,"n.b.",INDEX(SRC_ZPMW03!$A$1:$ZZ$501,$A279,X$3)))</f>
        <v/>
      </c>
      <c r="Y279" s="124" t="str">
        <f>IF($B279="","",IF(Y$3=0,"n.b.",INDEX(SRC_ZPMW03!$A$1:$ZZ$501,$A279,Y$3)))</f>
        <v/>
      </c>
      <c r="Z279" s="124" t="str">
        <f>IF($B279="","",IF(Z$3=0,"n.b.",INDEX(SRC_ZPMW03!$A$1:$ZZ$501,$A279,Z$3)))</f>
        <v/>
      </c>
      <c r="AA279" s="124" t="str">
        <f>IF($B279="","",IF(AA$3=0,"n.b.",INDEX(SRC_ZPMW03!$A$1:$ZZ$501,$A279,AA$3)))</f>
        <v/>
      </c>
      <c r="AB279" s="124" t="str">
        <f>IF($B279="","",IF(AB$3=0,"n.b.",INDEX(SRC_ZPMW03!$A$1:$ZZ$501,$A279,AB$3)))</f>
        <v/>
      </c>
      <c r="AC279" s="124" t="str">
        <f>IF($B279="","",IF(AC$3=0,"n.b.",INDEX(SRC_ZPMW03!$A$1:$ZZ$501,$A279,AC$3)))</f>
        <v/>
      </c>
      <c r="AD279" s="124" t="str">
        <f>IF($B279="","",IF(AD$3=0,"n.b.",INDEX(SRC_ZPMW03!$A$1:$ZZ$501,$A279,AD$3)))</f>
        <v/>
      </c>
      <c r="AE279" s="124" t="str">
        <f>IF($B279="","",IF(AE$3=0,"n.b.",INDEX(SRC_ZPMW03!$A$1:$ZZ$501,$A279,AE$3)))</f>
        <v/>
      </c>
      <c r="AF279" s="124" t="str">
        <f>IF($B279="","",IF(AF$3=0,"n.b.",INDEX(SRC_ZPMW03!$A$1:$ZZ$501,$A279,AF$3)))</f>
        <v/>
      </c>
      <c r="AG279" s="124" t="str">
        <f>IF($B279="","",IF(AG$3=0,"n.b.",INDEX(SRC_ZPMW03!$A$1:$ZZ$501,$A279,AG$3)))</f>
        <v/>
      </c>
      <c r="AH279" s="124" t="str">
        <f>IF($B279="","",IF(AH$3=0,"n.b.",INDEX(SRC_ZPMW03!$A$1:$ZZ$501,$A279,AH$3)))</f>
        <v/>
      </c>
      <c r="AI279" s="124" t="str">
        <f>IF($B279="","",IF(AI$3=0,"n.b.",INDEX(SRC_ZPMW03!$A$1:$ZZ$501,$A279,AI$3)))</f>
        <v/>
      </c>
      <c r="AJ279" s="124" t="str">
        <f>IF($B279="","",IF(AJ$3=0,"n.b.",INDEX(SRC_ZPMW03!$A$1:$ZZ$501,$A279,AJ$3)))</f>
        <v/>
      </c>
      <c r="AK279" s="124" t="str">
        <f>IF($B279="","",IF(AK$3=0,"n.b.",INDEX(SRC_ZPMW03!$A$1:$ZZ$501,$A279,AK$3)))</f>
        <v/>
      </c>
      <c r="AL279" s="124" t="str">
        <f>IF($B279="","",IF(AL$3=0,"n.b.",INDEX(SRC_ZPMW03!$A$1:$ZZ$501,$A279,AL$3)))</f>
        <v/>
      </c>
      <c r="AM279" s="124" t="str">
        <f>IF($B279="","",IF(AM$3=0,"n.b.",INDEX(SRC_ZPMW03!$A$1:$ZZ$501,$A279,AM$3)))</f>
        <v/>
      </c>
      <c r="AN279" s="124" t="str">
        <f>IF($B279="","",IF(AN$3=0,"n.b.",INDEX(SRC_ZPMW03!$A$1:$ZZ$501,$A279,AN$3)))</f>
        <v/>
      </c>
      <c r="AO279" s="124" t="str">
        <f>IF($B279="","",IF(AO$3=0,"n.b.",INDEX(SRC_ZPMW03!$A$1:$ZZ$501,$A279,AO$3)))</f>
        <v/>
      </c>
      <c r="AP279" s="124" t="str">
        <f>IF($B279="","",IF(AP$3=0,"n.b.",INDEX(SRC_ZPMW03!$A$1:$ZZ$501,$A279,AP$3)))</f>
        <v/>
      </c>
      <c r="AQ279" s="124" t="str">
        <f>IF($B279="","",IF(AQ$3=0,"n.b.",INDEX(SRC_ZPMW03!$A$1:$ZZ$501,$A279,AQ$3)))</f>
        <v/>
      </c>
      <c r="AR279" s="124" t="str">
        <f>IF($B279="","",IF(AR$3=0,"n.b.",INDEX(SRC_ZPMW03!$A$1:$ZZ$501,$A279,AR$3)))</f>
        <v/>
      </c>
      <c r="AS279" s="124" t="str">
        <f>IF($B279="","",IF(AS$3=0,"n.b.",INDEX(SRC_ZPMW03!$A$1:$ZZ$501,$A279,AS$3)))</f>
        <v/>
      </c>
      <c r="AT279" s="124" t="str">
        <f>IF($B279="","",IF(AT$3=0,"n.b.",INDEX(SRC_ZPMW03!$A$1:$ZZ$501,$A279,AT$3)))</f>
        <v/>
      </c>
      <c r="AU279" s="124" t="str">
        <f>IF($B279="","",IF(AU$3=0,"n.b.",INDEX(SRC_ZPMW03!$A$1:$ZZ$501,$A279,AU$3)))</f>
        <v/>
      </c>
      <c r="AV279" s="124" t="str">
        <f>IF($B279="","",IF(AV$3=0,"n.b.",INDEX(SRC_ZPMW03!$A$1:$ZZ$501,$A279,AV$3)))</f>
        <v/>
      </c>
      <c r="AW279" s="124" t="str">
        <f>IF($B279="","",IF(AW$3=0,"n.b.",INDEX(SRC_ZPMW03!$A$1:$ZZ$501,$A279,AW$3)))</f>
        <v/>
      </c>
      <c r="AX279" s="124" t="str">
        <f>IF($B279="","",IF(AX$3=0,"n.b.",INDEX(SRC_ZPMW03!$A$1:$ZZ$501,$A279,AX$3)))</f>
        <v/>
      </c>
      <c r="AY279" s="124" t="str">
        <f>IF($B279="","",IF(AY$3=0,"n.b.",INDEX(SRC_ZPMW03!$A$1:$ZZ$501,$A279,AY$3)))</f>
        <v/>
      </c>
      <c r="AZ279" s="124" t="str">
        <f>IF($B279="","",IF(AZ$3=0,"n.b.",INDEX(SRC_ZPMW03!$A$1:$ZZ$501,$A279,AZ$3)))</f>
        <v/>
      </c>
      <c r="BA279" s="124" t="str">
        <f>IF($B279="","",IF(BA$3=0,"n.b.",INDEX(SRC_ZPMW03!$A$1:$ZZ$501,$A279,BA$3)))</f>
        <v/>
      </c>
      <c r="BB279" s="124" t="str">
        <f>IF($B279="","",IF(BB$3=0,"n.b.",INDEX(SRC_ZPMW03!$A$1:$ZZ$501,$A279,BB$3)))</f>
        <v/>
      </c>
      <c r="BC279" s="124" t="str">
        <f>IF($B279="","",IF(BC$3=0,"n.b.",INDEX(SRC_ZPMW03!$A$1:$ZZ$501,$A279,BC$3)))</f>
        <v/>
      </c>
      <c r="BD279" s="124" t="str">
        <f>IF($B279="","",IF(BD$3=0,"n.b.",INDEX(SRC_ZPMW03!$A$1:$ZZ$501,$A279,BD$3)))</f>
        <v/>
      </c>
      <c r="BE279" s="124" t="str">
        <f>IF($B279="","",IF(BE$3=0,"n.b.",INDEX(SRC_ZPMW03!$A$1:$ZZ$501,$A279,BE$3)))</f>
        <v/>
      </c>
      <c r="BF279" s="124" t="str">
        <f>IF($B279="","",IF(BF$3=0,"n.b.",INDEX(SRC_ZPMW03!$A$1:$ZZ$501,$A279,BF$3)))</f>
        <v/>
      </c>
      <c r="BG279" t="str">
        <f>IF($B279="","",IF(BG$3=0,"n.b.",INDEX(SRC_ZPMW03!$A$1:$ZZ$501,$A279,BG$3)))</f>
        <v/>
      </c>
      <c r="BH279" t="str">
        <f>IF($B279="","",IF(BH$3=0,"n.b.",INDEX(SRC_ZPMW03!$A$1:$ZZ$501,$A279,BH$3)))</f>
        <v/>
      </c>
      <c r="BI279" t="str">
        <f>IF($B279="","",IF(BI$3=0,"n.b.",INDEX(SRC_ZPMW03!$A$1:$ZZ$501,$A279,BI$3)))</f>
        <v/>
      </c>
      <c r="BJ279" t="str">
        <f>IF($B279="","",IF(BJ$3=0,"n.b.",INDEX(SRC_ZPMW03!$A$1:$ZZ$501,$A279,BJ$3)))</f>
        <v/>
      </c>
      <c r="BK279" s="124" t="str">
        <f>IF($B279="","",IFERROR(-O279,"n.b."))</f>
        <v/>
      </c>
      <c r="BL279" s="124" t="str">
        <f>IF($B279="","",IFERROR(-Q279,"n.b."))</f>
        <v/>
      </c>
      <c r="BM279" s="124" t="str">
        <f>IF($B279="","",IFERROR(-AB279,"n.b."))</f>
        <v/>
      </c>
      <c r="BN279" s="124" t="str">
        <f>IF($B279="","",IFERROR(-AD279,"n.b."))</f>
        <v/>
      </c>
      <c r="BO279" s="124" t="str">
        <f>IF($B279="","",IFERROR(BK279+BM279,"n.b."))</f>
        <v/>
      </c>
      <c r="BP279" s="124" t="str">
        <f>IF($B279="","",IFERROR(BL279+BN279,"n.b."))</f>
        <v/>
      </c>
      <c r="BQ279" s="124" t="str">
        <f>IF($B279="","",IFERROR(-AM279,"n.b."))</f>
        <v/>
      </c>
      <c r="BR279" s="124" t="str">
        <f>IF($B279="","",IFERROR(-AO279,"n.b."))</f>
        <v/>
      </c>
      <c r="BS279" s="124" t="str">
        <f>IF($B279="","",IFERROR(-Z279,"n.b."))</f>
        <v/>
      </c>
      <c r="BT279" s="124" t="str">
        <f>IF($B279="","",IFERROR(-AA279,"n.b."))</f>
        <v/>
      </c>
      <c r="BU279" s="124" t="str">
        <f>IF($B279="","",IFERROR(-AE279,"n.b."))</f>
        <v/>
      </c>
      <c r="BV279" s="124" t="str">
        <f>IF($B279="","",IFERROR(-AF279,"n.b."))</f>
        <v/>
      </c>
      <c r="BW279" s="124" t="str">
        <f>IF($B279="","",IFERROR(-AG279,"n.b."))</f>
        <v/>
      </c>
      <c r="BX279" s="124" t="str">
        <f>IF($B279="","",IFERROR(-AH279,"n.b."))</f>
        <v/>
      </c>
      <c r="BY279" s="124" t="str">
        <f>IF($B279="","",IFERROR(-AI279,"n.b."))</f>
        <v/>
      </c>
      <c r="BZ279" s="124" t="str">
        <f>IF($B279="","",IFERROR(-AJ279,"n.b."))</f>
        <v/>
      </c>
      <c r="CA279" s="124" t="str">
        <f>IF($B279="","",IFERROR(-AK279,"n.b."))</f>
        <v/>
      </c>
      <c r="CB279" s="124" t="str">
        <f>IF($B279="","",IFERROR(-AL279,"n.b."))</f>
        <v/>
      </c>
      <c r="CC279" s="124" t="str">
        <f>IF($B279="","",IFERROR(-AP279,"n.b."))</f>
        <v/>
      </c>
      <c r="CD279" s="124" t="str">
        <f>IF($B279="","",IFERROR(-AQ279,"n.b."))</f>
        <v/>
      </c>
      <c r="CE279" s="124" t="str">
        <f>IF($B279="","",IFERROR(-AR279,"n.b."))</f>
        <v/>
      </c>
      <c r="CF279" s="124" t="str">
        <f>IF($B279="","",IFERROR(-AS279,"n.b."))</f>
        <v/>
      </c>
      <c r="CG279" s="124" t="str">
        <f>IF($B279="","",IFERROR(-AT279,"n.b."))</f>
        <v/>
      </c>
      <c r="CH279" s="124" t="str">
        <f>IF($B279="","",IFERROR(-AU279,"n.b."))</f>
        <v/>
      </c>
      <c r="CI279" s="124" t="str">
        <f>IF($B279="","",IFERROR(-AV279,"n.b."))</f>
        <v/>
      </c>
      <c r="CJ279" s="124" t="str">
        <f>IF($B279="","",IFERROR(-AW279,"n.b."))</f>
        <v/>
      </c>
      <c r="CK279" s="124" t="str">
        <f>IF($B279="","",IFERROR(-AX279,"n.b."))</f>
        <v/>
      </c>
      <c r="CL279" s="124" t="str">
        <f>IF($B279="","",IFERROR(-AY279,"n.b."))</f>
        <v/>
      </c>
      <c r="CM279" s="124" t="str">
        <f>IF($B279="","",IFERROR(-AZ279,"n.b."))</f>
        <v/>
      </c>
      <c r="CN279" s="124" t="str">
        <f>IF($B279="","",IFERROR(-BA279,"n.b."))</f>
        <v/>
      </c>
      <c r="CO279" s="124" t="str">
        <f>IF($B279="","",IFERROR(-BB279,"n.b."))</f>
        <v/>
      </c>
      <c r="CP279" s="124" t="str">
        <f>IF($B279="","",IFERROR(-BC279,"n.b."))</f>
        <v/>
      </c>
      <c r="CQ279" s="124" t="str">
        <f>IF($B279="","",IFERROR(-BD279,"n.b."))</f>
        <v/>
      </c>
      <c r="CR279" s="124" t="str">
        <f>IF($B279="","",IFERROR(-BE279,"n.b."))</f>
        <v/>
      </c>
      <c r="CS279" s="124" t="str">
        <f>IF($B279="","",IFERROR(IF(OR(ABS(T279+V279+X279+Z279-AB279)&gt;P_Tol,ABS(U279+W279+Y279+AA279-AD279)&gt;P_Tol,ABS(AE279+AG279+AI279+AK279-AM279)&gt;P_Tol,ABS(AF279+AH279+AJ279+AL279-AO279)&gt;P_Tol),1,0),1))</f>
        <v/>
      </c>
      <c r="CT279" s="124" t="str">
        <f>IF($B279="","",IFERROR(IF(OR(ABS(AB279+AC279-AD279)&gt;P_Tol,ABS(AM279+AN279-AO279)&gt;P_Tol,ABS(O279+P279-Q279)&gt;P_Tol),1,0),1))</f>
        <v/>
      </c>
      <c r="CU279" s="124" t="str">
        <f>IF($B279="","",IFERROR(IF(ABS(R279-(AB279+AM279+AP279+AR279+AT279+AV279+AX279+AZ279+BB279+BD279))&gt;P_Tol,1,0),1))</f>
        <v/>
      </c>
      <c r="CV279" s="124" t="str">
        <f>IF($B279="","",IFERROR(IF(ABS(M279-(N279+O279+R279))&gt;P_Tol,1,0),1))</f>
        <v/>
      </c>
      <c r="CW279" s="124" t="str">
        <f>IF($B279="","",IF(COUNTIF(Mapping!$A$5:$A$104,B279)&gt;0,1,0))</f>
        <v/>
      </c>
      <c r="CX279" s="124" t="str">
        <f>IF($B279="","",COUNTIF($B$6:$B$505,B279))</f>
        <v/>
      </c>
      <c r="CY279" s="124" t="str">
        <f>IF($B279="","",COUNTIF(STG_Woningetalage!$B$6:$B$505,B279))</f>
        <v/>
      </c>
      <c r="CZ279" s="124" t="str">
        <f>IF($B279="","",IF(CW279=0,COUNTIF($CW$6:CW279,0),""))</f>
        <v/>
      </c>
    </row>
    <row r="280">
      <c r="A280" s="15" t="n">
        <v>276</v>
      </c>
      <c r="B280" t="str">
        <f>IF(B$3=0,"",IF(INDEX(SRC_ZPMW03!$A$1:$ZZ$501,$A280,B$3)&amp;""="","",INDEX(SRC_ZPMW03!$A$1:$ZZ$501,$A280,B$3)&amp;""))</f>
        <v/>
      </c>
      <c r="C280" t="str">
        <f>IF($B280="","",IF(C$3=0,"n.b.",INDEX(SRC_ZPMW03!$A$1:$ZZ$501,$A280,C$3)))</f>
        <v/>
      </c>
      <c r="D280" t="str">
        <f>IF($B280="","",IF(D$3=0,"n.b.",INDEX(SRC_ZPMW03!$A$1:$ZZ$501,$A280,D$3)))</f>
        <v/>
      </c>
      <c r="E280" t="str">
        <f>IF($B280="","",IF(E$3=0,"n.b.",INDEX(SRC_ZPMW03!$A$1:$ZZ$501,$A280,E$3)))</f>
        <v/>
      </c>
      <c r="F280" t="str">
        <f>IF($B280="","",IF(F$3=0,"n.b.",INDEX(SRC_ZPMW03!$A$1:$ZZ$501,$A280,F$3)))</f>
        <v/>
      </c>
      <c r="G280" t="str">
        <f>IF($B280="","",IF(G$3=0,"n.b.",INDEX(SRC_ZPMW03!$A$1:$ZZ$501,$A280,G$3)))</f>
        <v/>
      </c>
      <c r="H280" t="str">
        <f>IF($B280="","",IF(H$3=0,"n.b.",INDEX(SRC_ZPMW03!$A$1:$ZZ$501,$A280,H$3)))</f>
        <v/>
      </c>
      <c r="I280" t="str">
        <f>IF($B280="","",IF(I$3=0,"n.b.",INDEX(SRC_ZPMW03!$A$1:$ZZ$501,$A280,I$3)))</f>
        <v/>
      </c>
      <c r="J280" t="str">
        <f>IF($B280="","",IF(J$3=0,"n.b.",INDEX(SRC_ZPMW03!$A$1:$ZZ$501,$A280,J$3)))</f>
        <v/>
      </c>
      <c r="K280" t="str">
        <f>IF($B280="","",IF(K$3=0,"n.b.",INDEX(SRC_ZPMW03!$A$1:$ZZ$501,$A280,K$3)))</f>
        <v/>
      </c>
      <c r="L280" s="124" t="str">
        <f>IF($B280="","",IF(L$3=0,"n.b.",INDEX(SRC_ZPMW03!$A$1:$ZZ$501,$A280,L$3)))</f>
        <v/>
      </c>
      <c r="M280" s="124" t="str">
        <f>IF($B280="","",IF(M$3=0,"n.b.",INDEX(SRC_ZPMW03!$A$1:$ZZ$501,$A280,M$3)))</f>
        <v/>
      </c>
      <c r="N280" s="124" t="str">
        <f>IF($B280="","",IF(N$3=0,"n.b.",INDEX(SRC_ZPMW03!$A$1:$ZZ$501,$A280,N$3)))</f>
        <v/>
      </c>
      <c r="O280" s="124" t="str">
        <f>IF($B280="","",IF(O$3=0,"n.b.",INDEX(SRC_ZPMW03!$A$1:$ZZ$501,$A280,O$3)))</f>
        <v/>
      </c>
      <c r="P280" s="124" t="str">
        <f>IF($B280="","",IF(P$3=0,"n.b.",INDEX(SRC_ZPMW03!$A$1:$ZZ$501,$A280,P$3)))</f>
        <v/>
      </c>
      <c r="Q280" s="124" t="str">
        <f>IF($B280="","",IF(Q$3=0,"n.b.",INDEX(SRC_ZPMW03!$A$1:$ZZ$501,$A280,Q$3)))</f>
        <v/>
      </c>
      <c r="R280" s="124" t="str">
        <f>IF($B280="","",IF(R$3=0,"n.b.",INDEX(SRC_ZPMW03!$A$1:$ZZ$501,$A280,R$3)))</f>
        <v/>
      </c>
      <c r="S280" s="124" t="str">
        <f>IF($B280="","",IF(S$3=0,"n.b.",INDEX(SRC_ZPMW03!$A$1:$ZZ$501,$A280,S$3)))</f>
        <v/>
      </c>
      <c r="T280" s="124" t="str">
        <f>IF($B280="","",IF(T$3=0,"n.b.",INDEX(SRC_ZPMW03!$A$1:$ZZ$501,$A280,T$3)))</f>
        <v/>
      </c>
      <c r="U280" s="124" t="str">
        <f>IF($B280="","",IF(U$3=0,"n.b.",INDEX(SRC_ZPMW03!$A$1:$ZZ$501,$A280,U$3)))</f>
        <v/>
      </c>
      <c r="V280" s="124" t="str">
        <f>IF($B280="","",IF(V$3=0,"n.b.",INDEX(SRC_ZPMW03!$A$1:$ZZ$501,$A280,V$3)))</f>
        <v/>
      </c>
      <c r="W280" s="124" t="str">
        <f>IF($B280="","",IF(W$3=0,"n.b.",INDEX(SRC_ZPMW03!$A$1:$ZZ$501,$A280,W$3)))</f>
        <v/>
      </c>
      <c r="X280" s="124" t="str">
        <f>IF($B280="","",IF(X$3=0,"n.b.",INDEX(SRC_ZPMW03!$A$1:$ZZ$501,$A280,X$3)))</f>
        <v/>
      </c>
      <c r="Y280" s="124" t="str">
        <f>IF($B280="","",IF(Y$3=0,"n.b.",INDEX(SRC_ZPMW03!$A$1:$ZZ$501,$A280,Y$3)))</f>
        <v/>
      </c>
      <c r="Z280" s="124" t="str">
        <f>IF($B280="","",IF(Z$3=0,"n.b.",INDEX(SRC_ZPMW03!$A$1:$ZZ$501,$A280,Z$3)))</f>
        <v/>
      </c>
      <c r="AA280" s="124" t="str">
        <f>IF($B280="","",IF(AA$3=0,"n.b.",INDEX(SRC_ZPMW03!$A$1:$ZZ$501,$A280,AA$3)))</f>
        <v/>
      </c>
      <c r="AB280" s="124" t="str">
        <f>IF($B280="","",IF(AB$3=0,"n.b.",INDEX(SRC_ZPMW03!$A$1:$ZZ$501,$A280,AB$3)))</f>
        <v/>
      </c>
      <c r="AC280" s="124" t="str">
        <f>IF($B280="","",IF(AC$3=0,"n.b.",INDEX(SRC_ZPMW03!$A$1:$ZZ$501,$A280,AC$3)))</f>
        <v/>
      </c>
      <c r="AD280" s="124" t="str">
        <f>IF($B280="","",IF(AD$3=0,"n.b.",INDEX(SRC_ZPMW03!$A$1:$ZZ$501,$A280,AD$3)))</f>
        <v/>
      </c>
      <c r="AE280" s="124" t="str">
        <f>IF($B280="","",IF(AE$3=0,"n.b.",INDEX(SRC_ZPMW03!$A$1:$ZZ$501,$A280,AE$3)))</f>
        <v/>
      </c>
      <c r="AF280" s="124" t="str">
        <f>IF($B280="","",IF(AF$3=0,"n.b.",INDEX(SRC_ZPMW03!$A$1:$ZZ$501,$A280,AF$3)))</f>
        <v/>
      </c>
      <c r="AG280" s="124" t="str">
        <f>IF($B280="","",IF(AG$3=0,"n.b.",INDEX(SRC_ZPMW03!$A$1:$ZZ$501,$A280,AG$3)))</f>
        <v/>
      </c>
      <c r="AH280" s="124" t="str">
        <f>IF($B280="","",IF(AH$3=0,"n.b.",INDEX(SRC_ZPMW03!$A$1:$ZZ$501,$A280,AH$3)))</f>
        <v/>
      </c>
      <c r="AI280" s="124" t="str">
        <f>IF($B280="","",IF(AI$3=0,"n.b.",INDEX(SRC_ZPMW03!$A$1:$ZZ$501,$A280,AI$3)))</f>
        <v/>
      </c>
      <c r="AJ280" s="124" t="str">
        <f>IF($B280="","",IF(AJ$3=0,"n.b.",INDEX(SRC_ZPMW03!$A$1:$ZZ$501,$A280,AJ$3)))</f>
        <v/>
      </c>
      <c r="AK280" s="124" t="str">
        <f>IF($B280="","",IF(AK$3=0,"n.b.",INDEX(SRC_ZPMW03!$A$1:$ZZ$501,$A280,AK$3)))</f>
        <v/>
      </c>
      <c r="AL280" s="124" t="str">
        <f>IF($B280="","",IF(AL$3=0,"n.b.",INDEX(SRC_ZPMW03!$A$1:$ZZ$501,$A280,AL$3)))</f>
        <v/>
      </c>
      <c r="AM280" s="124" t="str">
        <f>IF($B280="","",IF(AM$3=0,"n.b.",INDEX(SRC_ZPMW03!$A$1:$ZZ$501,$A280,AM$3)))</f>
        <v/>
      </c>
      <c r="AN280" s="124" t="str">
        <f>IF($B280="","",IF(AN$3=0,"n.b.",INDEX(SRC_ZPMW03!$A$1:$ZZ$501,$A280,AN$3)))</f>
        <v/>
      </c>
      <c r="AO280" s="124" t="str">
        <f>IF($B280="","",IF(AO$3=0,"n.b.",INDEX(SRC_ZPMW03!$A$1:$ZZ$501,$A280,AO$3)))</f>
        <v/>
      </c>
      <c r="AP280" s="124" t="str">
        <f>IF($B280="","",IF(AP$3=0,"n.b.",INDEX(SRC_ZPMW03!$A$1:$ZZ$501,$A280,AP$3)))</f>
        <v/>
      </c>
      <c r="AQ280" s="124" t="str">
        <f>IF($B280="","",IF(AQ$3=0,"n.b.",INDEX(SRC_ZPMW03!$A$1:$ZZ$501,$A280,AQ$3)))</f>
        <v/>
      </c>
      <c r="AR280" s="124" t="str">
        <f>IF($B280="","",IF(AR$3=0,"n.b.",INDEX(SRC_ZPMW03!$A$1:$ZZ$501,$A280,AR$3)))</f>
        <v/>
      </c>
      <c r="AS280" s="124" t="str">
        <f>IF($B280="","",IF(AS$3=0,"n.b.",INDEX(SRC_ZPMW03!$A$1:$ZZ$501,$A280,AS$3)))</f>
        <v/>
      </c>
      <c r="AT280" s="124" t="str">
        <f>IF($B280="","",IF(AT$3=0,"n.b.",INDEX(SRC_ZPMW03!$A$1:$ZZ$501,$A280,AT$3)))</f>
        <v/>
      </c>
      <c r="AU280" s="124" t="str">
        <f>IF($B280="","",IF(AU$3=0,"n.b.",INDEX(SRC_ZPMW03!$A$1:$ZZ$501,$A280,AU$3)))</f>
        <v/>
      </c>
      <c r="AV280" s="124" t="str">
        <f>IF($B280="","",IF(AV$3=0,"n.b.",INDEX(SRC_ZPMW03!$A$1:$ZZ$501,$A280,AV$3)))</f>
        <v/>
      </c>
      <c r="AW280" s="124" t="str">
        <f>IF($B280="","",IF(AW$3=0,"n.b.",INDEX(SRC_ZPMW03!$A$1:$ZZ$501,$A280,AW$3)))</f>
        <v/>
      </c>
      <c r="AX280" s="124" t="str">
        <f>IF($B280="","",IF(AX$3=0,"n.b.",INDEX(SRC_ZPMW03!$A$1:$ZZ$501,$A280,AX$3)))</f>
        <v/>
      </c>
      <c r="AY280" s="124" t="str">
        <f>IF($B280="","",IF(AY$3=0,"n.b.",INDEX(SRC_ZPMW03!$A$1:$ZZ$501,$A280,AY$3)))</f>
        <v/>
      </c>
      <c r="AZ280" s="124" t="str">
        <f>IF($B280="","",IF(AZ$3=0,"n.b.",INDEX(SRC_ZPMW03!$A$1:$ZZ$501,$A280,AZ$3)))</f>
        <v/>
      </c>
      <c r="BA280" s="124" t="str">
        <f>IF($B280="","",IF(BA$3=0,"n.b.",INDEX(SRC_ZPMW03!$A$1:$ZZ$501,$A280,BA$3)))</f>
        <v/>
      </c>
      <c r="BB280" s="124" t="str">
        <f>IF($B280="","",IF(BB$3=0,"n.b.",INDEX(SRC_ZPMW03!$A$1:$ZZ$501,$A280,BB$3)))</f>
        <v/>
      </c>
      <c r="BC280" s="124" t="str">
        <f>IF($B280="","",IF(BC$3=0,"n.b.",INDEX(SRC_ZPMW03!$A$1:$ZZ$501,$A280,BC$3)))</f>
        <v/>
      </c>
      <c r="BD280" s="124" t="str">
        <f>IF($B280="","",IF(BD$3=0,"n.b.",INDEX(SRC_ZPMW03!$A$1:$ZZ$501,$A280,BD$3)))</f>
        <v/>
      </c>
      <c r="BE280" s="124" t="str">
        <f>IF($B280="","",IF(BE$3=0,"n.b.",INDEX(SRC_ZPMW03!$A$1:$ZZ$501,$A280,BE$3)))</f>
        <v/>
      </c>
      <c r="BF280" s="124" t="str">
        <f>IF($B280="","",IF(BF$3=0,"n.b.",INDEX(SRC_ZPMW03!$A$1:$ZZ$501,$A280,BF$3)))</f>
        <v/>
      </c>
      <c r="BG280" t="str">
        <f>IF($B280="","",IF(BG$3=0,"n.b.",INDEX(SRC_ZPMW03!$A$1:$ZZ$501,$A280,BG$3)))</f>
        <v/>
      </c>
      <c r="BH280" t="str">
        <f>IF($B280="","",IF(BH$3=0,"n.b.",INDEX(SRC_ZPMW03!$A$1:$ZZ$501,$A280,BH$3)))</f>
        <v/>
      </c>
      <c r="BI280" t="str">
        <f>IF($B280="","",IF(BI$3=0,"n.b.",INDEX(SRC_ZPMW03!$A$1:$ZZ$501,$A280,BI$3)))</f>
        <v/>
      </c>
      <c r="BJ280" t="str">
        <f>IF($B280="","",IF(BJ$3=0,"n.b.",INDEX(SRC_ZPMW03!$A$1:$ZZ$501,$A280,BJ$3)))</f>
        <v/>
      </c>
      <c r="BK280" s="124" t="str">
        <f>IF($B280="","",IFERROR(-O280,"n.b."))</f>
        <v/>
      </c>
      <c r="BL280" s="124" t="str">
        <f>IF($B280="","",IFERROR(-Q280,"n.b."))</f>
        <v/>
      </c>
      <c r="BM280" s="124" t="str">
        <f>IF($B280="","",IFERROR(-AB280,"n.b."))</f>
        <v/>
      </c>
      <c r="BN280" s="124" t="str">
        <f>IF($B280="","",IFERROR(-AD280,"n.b."))</f>
        <v/>
      </c>
      <c r="BO280" s="124" t="str">
        <f>IF($B280="","",IFERROR(BK280+BM280,"n.b."))</f>
        <v/>
      </c>
      <c r="BP280" s="124" t="str">
        <f>IF($B280="","",IFERROR(BL280+BN280,"n.b."))</f>
        <v/>
      </c>
      <c r="BQ280" s="124" t="str">
        <f>IF($B280="","",IFERROR(-AM280,"n.b."))</f>
        <v/>
      </c>
      <c r="BR280" s="124" t="str">
        <f>IF($B280="","",IFERROR(-AO280,"n.b."))</f>
        <v/>
      </c>
      <c r="BS280" s="124" t="str">
        <f>IF($B280="","",IFERROR(-Z280,"n.b."))</f>
        <v/>
      </c>
      <c r="BT280" s="124" t="str">
        <f>IF($B280="","",IFERROR(-AA280,"n.b."))</f>
        <v/>
      </c>
      <c r="BU280" s="124" t="str">
        <f>IF($B280="","",IFERROR(-AE280,"n.b."))</f>
        <v/>
      </c>
      <c r="BV280" s="124" t="str">
        <f>IF($B280="","",IFERROR(-AF280,"n.b."))</f>
        <v/>
      </c>
      <c r="BW280" s="124" t="str">
        <f>IF($B280="","",IFERROR(-AG280,"n.b."))</f>
        <v/>
      </c>
      <c r="BX280" s="124" t="str">
        <f>IF($B280="","",IFERROR(-AH280,"n.b."))</f>
        <v/>
      </c>
      <c r="BY280" s="124" t="str">
        <f>IF($B280="","",IFERROR(-AI280,"n.b."))</f>
        <v/>
      </c>
      <c r="BZ280" s="124" t="str">
        <f>IF($B280="","",IFERROR(-AJ280,"n.b."))</f>
        <v/>
      </c>
      <c r="CA280" s="124" t="str">
        <f>IF($B280="","",IFERROR(-AK280,"n.b."))</f>
        <v/>
      </c>
      <c r="CB280" s="124" t="str">
        <f>IF($B280="","",IFERROR(-AL280,"n.b."))</f>
        <v/>
      </c>
      <c r="CC280" s="124" t="str">
        <f>IF($B280="","",IFERROR(-AP280,"n.b."))</f>
        <v/>
      </c>
      <c r="CD280" s="124" t="str">
        <f>IF($B280="","",IFERROR(-AQ280,"n.b."))</f>
        <v/>
      </c>
      <c r="CE280" s="124" t="str">
        <f>IF($B280="","",IFERROR(-AR280,"n.b."))</f>
        <v/>
      </c>
      <c r="CF280" s="124" t="str">
        <f>IF($B280="","",IFERROR(-AS280,"n.b."))</f>
        <v/>
      </c>
      <c r="CG280" s="124" t="str">
        <f>IF($B280="","",IFERROR(-AT280,"n.b."))</f>
        <v/>
      </c>
      <c r="CH280" s="124" t="str">
        <f>IF($B280="","",IFERROR(-AU280,"n.b."))</f>
        <v/>
      </c>
      <c r="CI280" s="124" t="str">
        <f>IF($B280="","",IFERROR(-AV280,"n.b."))</f>
        <v/>
      </c>
      <c r="CJ280" s="124" t="str">
        <f>IF($B280="","",IFERROR(-AW280,"n.b."))</f>
        <v/>
      </c>
      <c r="CK280" s="124" t="str">
        <f>IF($B280="","",IFERROR(-AX280,"n.b."))</f>
        <v/>
      </c>
      <c r="CL280" s="124" t="str">
        <f>IF($B280="","",IFERROR(-AY280,"n.b."))</f>
        <v/>
      </c>
      <c r="CM280" s="124" t="str">
        <f>IF($B280="","",IFERROR(-AZ280,"n.b."))</f>
        <v/>
      </c>
      <c r="CN280" s="124" t="str">
        <f>IF($B280="","",IFERROR(-BA280,"n.b."))</f>
        <v/>
      </c>
      <c r="CO280" s="124" t="str">
        <f>IF($B280="","",IFERROR(-BB280,"n.b."))</f>
        <v/>
      </c>
      <c r="CP280" s="124" t="str">
        <f>IF($B280="","",IFERROR(-BC280,"n.b."))</f>
        <v/>
      </c>
      <c r="CQ280" s="124" t="str">
        <f>IF($B280="","",IFERROR(-BD280,"n.b."))</f>
        <v/>
      </c>
      <c r="CR280" s="124" t="str">
        <f>IF($B280="","",IFERROR(-BE280,"n.b."))</f>
        <v/>
      </c>
      <c r="CS280" s="124" t="str">
        <f>IF($B280="","",IFERROR(IF(OR(ABS(T280+V280+X280+Z280-AB280)&gt;P_Tol,ABS(U280+W280+Y280+AA280-AD280)&gt;P_Tol,ABS(AE280+AG280+AI280+AK280-AM280)&gt;P_Tol,ABS(AF280+AH280+AJ280+AL280-AO280)&gt;P_Tol),1,0),1))</f>
        <v/>
      </c>
      <c r="CT280" s="124" t="str">
        <f>IF($B280="","",IFERROR(IF(OR(ABS(AB280+AC280-AD280)&gt;P_Tol,ABS(AM280+AN280-AO280)&gt;P_Tol,ABS(O280+P280-Q280)&gt;P_Tol),1,0),1))</f>
        <v/>
      </c>
      <c r="CU280" s="124" t="str">
        <f>IF($B280="","",IFERROR(IF(ABS(R280-(AB280+AM280+AP280+AR280+AT280+AV280+AX280+AZ280+BB280+BD280))&gt;P_Tol,1,0),1))</f>
        <v/>
      </c>
      <c r="CV280" s="124" t="str">
        <f>IF($B280="","",IFERROR(IF(ABS(M280-(N280+O280+R280))&gt;P_Tol,1,0),1))</f>
        <v/>
      </c>
      <c r="CW280" s="124" t="str">
        <f>IF($B280="","",IF(COUNTIF(Mapping!$A$5:$A$104,B280)&gt;0,1,0))</f>
        <v/>
      </c>
      <c r="CX280" s="124" t="str">
        <f>IF($B280="","",COUNTIF($B$6:$B$505,B280))</f>
        <v/>
      </c>
      <c r="CY280" s="124" t="str">
        <f>IF($B280="","",COUNTIF(STG_Woningetalage!$B$6:$B$505,B280))</f>
        <v/>
      </c>
      <c r="CZ280" s="124" t="str">
        <f>IF($B280="","",IF(CW280=0,COUNTIF($CW$6:CW280,0),""))</f>
        <v/>
      </c>
    </row>
    <row r="281">
      <c r="A281" s="15" t="n">
        <v>277</v>
      </c>
      <c r="B281" t="str">
        <f>IF(B$3=0,"",IF(INDEX(SRC_ZPMW03!$A$1:$ZZ$501,$A281,B$3)&amp;""="","",INDEX(SRC_ZPMW03!$A$1:$ZZ$501,$A281,B$3)&amp;""))</f>
        <v/>
      </c>
      <c r="C281" t="str">
        <f>IF($B281="","",IF(C$3=0,"n.b.",INDEX(SRC_ZPMW03!$A$1:$ZZ$501,$A281,C$3)))</f>
        <v/>
      </c>
      <c r="D281" t="str">
        <f>IF($B281="","",IF(D$3=0,"n.b.",INDEX(SRC_ZPMW03!$A$1:$ZZ$501,$A281,D$3)))</f>
        <v/>
      </c>
      <c r="E281" t="str">
        <f>IF($B281="","",IF(E$3=0,"n.b.",INDEX(SRC_ZPMW03!$A$1:$ZZ$501,$A281,E$3)))</f>
        <v/>
      </c>
      <c r="F281" t="str">
        <f>IF($B281="","",IF(F$3=0,"n.b.",INDEX(SRC_ZPMW03!$A$1:$ZZ$501,$A281,F$3)))</f>
        <v/>
      </c>
      <c r="G281" t="str">
        <f>IF($B281="","",IF(G$3=0,"n.b.",INDEX(SRC_ZPMW03!$A$1:$ZZ$501,$A281,G$3)))</f>
        <v/>
      </c>
      <c r="H281" t="str">
        <f>IF($B281="","",IF(H$3=0,"n.b.",INDEX(SRC_ZPMW03!$A$1:$ZZ$501,$A281,H$3)))</f>
        <v/>
      </c>
      <c r="I281" t="str">
        <f>IF($B281="","",IF(I$3=0,"n.b.",INDEX(SRC_ZPMW03!$A$1:$ZZ$501,$A281,I$3)))</f>
        <v/>
      </c>
      <c r="J281" t="str">
        <f>IF($B281="","",IF(J$3=0,"n.b.",INDEX(SRC_ZPMW03!$A$1:$ZZ$501,$A281,J$3)))</f>
        <v/>
      </c>
      <c r="K281" t="str">
        <f>IF($B281="","",IF(K$3=0,"n.b.",INDEX(SRC_ZPMW03!$A$1:$ZZ$501,$A281,K$3)))</f>
        <v/>
      </c>
      <c r="L281" s="124" t="str">
        <f>IF($B281="","",IF(L$3=0,"n.b.",INDEX(SRC_ZPMW03!$A$1:$ZZ$501,$A281,L$3)))</f>
        <v/>
      </c>
      <c r="M281" s="124" t="str">
        <f>IF($B281="","",IF(M$3=0,"n.b.",INDEX(SRC_ZPMW03!$A$1:$ZZ$501,$A281,M$3)))</f>
        <v/>
      </c>
      <c r="N281" s="124" t="str">
        <f>IF($B281="","",IF(N$3=0,"n.b.",INDEX(SRC_ZPMW03!$A$1:$ZZ$501,$A281,N$3)))</f>
        <v/>
      </c>
      <c r="O281" s="124" t="str">
        <f>IF($B281="","",IF(O$3=0,"n.b.",INDEX(SRC_ZPMW03!$A$1:$ZZ$501,$A281,O$3)))</f>
        <v/>
      </c>
      <c r="P281" s="124" t="str">
        <f>IF($B281="","",IF(P$3=0,"n.b.",INDEX(SRC_ZPMW03!$A$1:$ZZ$501,$A281,P$3)))</f>
        <v/>
      </c>
      <c r="Q281" s="124" t="str">
        <f>IF($B281="","",IF(Q$3=0,"n.b.",INDEX(SRC_ZPMW03!$A$1:$ZZ$501,$A281,Q$3)))</f>
        <v/>
      </c>
      <c r="R281" s="124" t="str">
        <f>IF($B281="","",IF(R$3=0,"n.b.",INDEX(SRC_ZPMW03!$A$1:$ZZ$501,$A281,R$3)))</f>
        <v/>
      </c>
      <c r="S281" s="124" t="str">
        <f>IF($B281="","",IF(S$3=0,"n.b.",INDEX(SRC_ZPMW03!$A$1:$ZZ$501,$A281,S$3)))</f>
        <v/>
      </c>
      <c r="T281" s="124" t="str">
        <f>IF($B281="","",IF(T$3=0,"n.b.",INDEX(SRC_ZPMW03!$A$1:$ZZ$501,$A281,T$3)))</f>
        <v/>
      </c>
      <c r="U281" s="124" t="str">
        <f>IF($B281="","",IF(U$3=0,"n.b.",INDEX(SRC_ZPMW03!$A$1:$ZZ$501,$A281,U$3)))</f>
        <v/>
      </c>
      <c r="V281" s="124" t="str">
        <f>IF($B281="","",IF(V$3=0,"n.b.",INDEX(SRC_ZPMW03!$A$1:$ZZ$501,$A281,V$3)))</f>
        <v/>
      </c>
      <c r="W281" s="124" t="str">
        <f>IF($B281="","",IF(W$3=0,"n.b.",INDEX(SRC_ZPMW03!$A$1:$ZZ$501,$A281,W$3)))</f>
        <v/>
      </c>
      <c r="X281" s="124" t="str">
        <f>IF($B281="","",IF(X$3=0,"n.b.",INDEX(SRC_ZPMW03!$A$1:$ZZ$501,$A281,X$3)))</f>
        <v/>
      </c>
      <c r="Y281" s="124" t="str">
        <f>IF($B281="","",IF(Y$3=0,"n.b.",INDEX(SRC_ZPMW03!$A$1:$ZZ$501,$A281,Y$3)))</f>
        <v/>
      </c>
      <c r="Z281" s="124" t="str">
        <f>IF($B281="","",IF(Z$3=0,"n.b.",INDEX(SRC_ZPMW03!$A$1:$ZZ$501,$A281,Z$3)))</f>
        <v/>
      </c>
      <c r="AA281" s="124" t="str">
        <f>IF($B281="","",IF(AA$3=0,"n.b.",INDEX(SRC_ZPMW03!$A$1:$ZZ$501,$A281,AA$3)))</f>
        <v/>
      </c>
      <c r="AB281" s="124" t="str">
        <f>IF($B281="","",IF(AB$3=0,"n.b.",INDEX(SRC_ZPMW03!$A$1:$ZZ$501,$A281,AB$3)))</f>
        <v/>
      </c>
      <c r="AC281" s="124" t="str">
        <f>IF($B281="","",IF(AC$3=0,"n.b.",INDEX(SRC_ZPMW03!$A$1:$ZZ$501,$A281,AC$3)))</f>
        <v/>
      </c>
      <c r="AD281" s="124" t="str">
        <f>IF($B281="","",IF(AD$3=0,"n.b.",INDEX(SRC_ZPMW03!$A$1:$ZZ$501,$A281,AD$3)))</f>
        <v/>
      </c>
      <c r="AE281" s="124" t="str">
        <f>IF($B281="","",IF(AE$3=0,"n.b.",INDEX(SRC_ZPMW03!$A$1:$ZZ$501,$A281,AE$3)))</f>
        <v/>
      </c>
      <c r="AF281" s="124" t="str">
        <f>IF($B281="","",IF(AF$3=0,"n.b.",INDEX(SRC_ZPMW03!$A$1:$ZZ$501,$A281,AF$3)))</f>
        <v/>
      </c>
      <c r="AG281" s="124" t="str">
        <f>IF($B281="","",IF(AG$3=0,"n.b.",INDEX(SRC_ZPMW03!$A$1:$ZZ$501,$A281,AG$3)))</f>
        <v/>
      </c>
      <c r="AH281" s="124" t="str">
        <f>IF($B281="","",IF(AH$3=0,"n.b.",INDEX(SRC_ZPMW03!$A$1:$ZZ$501,$A281,AH$3)))</f>
        <v/>
      </c>
      <c r="AI281" s="124" t="str">
        <f>IF($B281="","",IF(AI$3=0,"n.b.",INDEX(SRC_ZPMW03!$A$1:$ZZ$501,$A281,AI$3)))</f>
        <v/>
      </c>
      <c r="AJ281" s="124" t="str">
        <f>IF($B281="","",IF(AJ$3=0,"n.b.",INDEX(SRC_ZPMW03!$A$1:$ZZ$501,$A281,AJ$3)))</f>
        <v/>
      </c>
      <c r="AK281" s="124" t="str">
        <f>IF($B281="","",IF(AK$3=0,"n.b.",INDEX(SRC_ZPMW03!$A$1:$ZZ$501,$A281,AK$3)))</f>
        <v/>
      </c>
      <c r="AL281" s="124" t="str">
        <f>IF($B281="","",IF(AL$3=0,"n.b.",INDEX(SRC_ZPMW03!$A$1:$ZZ$501,$A281,AL$3)))</f>
        <v/>
      </c>
      <c r="AM281" s="124" t="str">
        <f>IF($B281="","",IF(AM$3=0,"n.b.",INDEX(SRC_ZPMW03!$A$1:$ZZ$501,$A281,AM$3)))</f>
        <v/>
      </c>
      <c r="AN281" s="124" t="str">
        <f>IF($B281="","",IF(AN$3=0,"n.b.",INDEX(SRC_ZPMW03!$A$1:$ZZ$501,$A281,AN$3)))</f>
        <v/>
      </c>
      <c r="AO281" s="124" t="str">
        <f>IF($B281="","",IF(AO$3=0,"n.b.",INDEX(SRC_ZPMW03!$A$1:$ZZ$501,$A281,AO$3)))</f>
        <v/>
      </c>
      <c r="AP281" s="124" t="str">
        <f>IF($B281="","",IF(AP$3=0,"n.b.",INDEX(SRC_ZPMW03!$A$1:$ZZ$501,$A281,AP$3)))</f>
        <v/>
      </c>
      <c r="AQ281" s="124" t="str">
        <f>IF($B281="","",IF(AQ$3=0,"n.b.",INDEX(SRC_ZPMW03!$A$1:$ZZ$501,$A281,AQ$3)))</f>
        <v/>
      </c>
      <c r="AR281" s="124" t="str">
        <f>IF($B281="","",IF(AR$3=0,"n.b.",INDEX(SRC_ZPMW03!$A$1:$ZZ$501,$A281,AR$3)))</f>
        <v/>
      </c>
      <c r="AS281" s="124" t="str">
        <f>IF($B281="","",IF(AS$3=0,"n.b.",INDEX(SRC_ZPMW03!$A$1:$ZZ$501,$A281,AS$3)))</f>
        <v/>
      </c>
      <c r="AT281" s="124" t="str">
        <f>IF($B281="","",IF(AT$3=0,"n.b.",INDEX(SRC_ZPMW03!$A$1:$ZZ$501,$A281,AT$3)))</f>
        <v/>
      </c>
      <c r="AU281" s="124" t="str">
        <f>IF($B281="","",IF(AU$3=0,"n.b.",INDEX(SRC_ZPMW03!$A$1:$ZZ$501,$A281,AU$3)))</f>
        <v/>
      </c>
      <c r="AV281" s="124" t="str">
        <f>IF($B281="","",IF(AV$3=0,"n.b.",INDEX(SRC_ZPMW03!$A$1:$ZZ$501,$A281,AV$3)))</f>
        <v/>
      </c>
      <c r="AW281" s="124" t="str">
        <f>IF($B281="","",IF(AW$3=0,"n.b.",INDEX(SRC_ZPMW03!$A$1:$ZZ$501,$A281,AW$3)))</f>
        <v/>
      </c>
      <c r="AX281" s="124" t="str">
        <f>IF($B281="","",IF(AX$3=0,"n.b.",INDEX(SRC_ZPMW03!$A$1:$ZZ$501,$A281,AX$3)))</f>
        <v/>
      </c>
      <c r="AY281" s="124" t="str">
        <f>IF($B281="","",IF(AY$3=0,"n.b.",INDEX(SRC_ZPMW03!$A$1:$ZZ$501,$A281,AY$3)))</f>
        <v/>
      </c>
      <c r="AZ281" s="124" t="str">
        <f>IF($B281="","",IF(AZ$3=0,"n.b.",INDEX(SRC_ZPMW03!$A$1:$ZZ$501,$A281,AZ$3)))</f>
        <v/>
      </c>
      <c r="BA281" s="124" t="str">
        <f>IF($B281="","",IF(BA$3=0,"n.b.",INDEX(SRC_ZPMW03!$A$1:$ZZ$501,$A281,BA$3)))</f>
        <v/>
      </c>
      <c r="BB281" s="124" t="str">
        <f>IF($B281="","",IF(BB$3=0,"n.b.",INDEX(SRC_ZPMW03!$A$1:$ZZ$501,$A281,BB$3)))</f>
        <v/>
      </c>
      <c r="BC281" s="124" t="str">
        <f>IF($B281="","",IF(BC$3=0,"n.b.",INDEX(SRC_ZPMW03!$A$1:$ZZ$501,$A281,BC$3)))</f>
        <v/>
      </c>
      <c r="BD281" s="124" t="str">
        <f>IF($B281="","",IF(BD$3=0,"n.b.",INDEX(SRC_ZPMW03!$A$1:$ZZ$501,$A281,BD$3)))</f>
        <v/>
      </c>
      <c r="BE281" s="124" t="str">
        <f>IF($B281="","",IF(BE$3=0,"n.b.",INDEX(SRC_ZPMW03!$A$1:$ZZ$501,$A281,BE$3)))</f>
        <v/>
      </c>
      <c r="BF281" s="124" t="str">
        <f>IF($B281="","",IF(BF$3=0,"n.b.",INDEX(SRC_ZPMW03!$A$1:$ZZ$501,$A281,BF$3)))</f>
        <v/>
      </c>
      <c r="BG281" t="str">
        <f>IF($B281="","",IF(BG$3=0,"n.b.",INDEX(SRC_ZPMW03!$A$1:$ZZ$501,$A281,BG$3)))</f>
        <v/>
      </c>
      <c r="BH281" t="str">
        <f>IF($B281="","",IF(BH$3=0,"n.b.",INDEX(SRC_ZPMW03!$A$1:$ZZ$501,$A281,BH$3)))</f>
        <v/>
      </c>
      <c r="BI281" t="str">
        <f>IF($B281="","",IF(BI$3=0,"n.b.",INDEX(SRC_ZPMW03!$A$1:$ZZ$501,$A281,BI$3)))</f>
        <v/>
      </c>
      <c r="BJ281" t="str">
        <f>IF($B281="","",IF(BJ$3=0,"n.b.",INDEX(SRC_ZPMW03!$A$1:$ZZ$501,$A281,BJ$3)))</f>
        <v/>
      </c>
      <c r="BK281" s="124" t="str">
        <f>IF($B281="","",IFERROR(-O281,"n.b."))</f>
        <v/>
      </c>
      <c r="BL281" s="124" t="str">
        <f>IF($B281="","",IFERROR(-Q281,"n.b."))</f>
        <v/>
      </c>
      <c r="BM281" s="124" t="str">
        <f>IF($B281="","",IFERROR(-AB281,"n.b."))</f>
        <v/>
      </c>
      <c r="BN281" s="124" t="str">
        <f>IF($B281="","",IFERROR(-AD281,"n.b."))</f>
        <v/>
      </c>
      <c r="BO281" s="124" t="str">
        <f>IF($B281="","",IFERROR(BK281+BM281,"n.b."))</f>
        <v/>
      </c>
      <c r="BP281" s="124" t="str">
        <f>IF($B281="","",IFERROR(BL281+BN281,"n.b."))</f>
        <v/>
      </c>
      <c r="BQ281" s="124" t="str">
        <f>IF($B281="","",IFERROR(-AM281,"n.b."))</f>
        <v/>
      </c>
      <c r="BR281" s="124" t="str">
        <f>IF($B281="","",IFERROR(-AO281,"n.b."))</f>
        <v/>
      </c>
      <c r="BS281" s="124" t="str">
        <f>IF($B281="","",IFERROR(-Z281,"n.b."))</f>
        <v/>
      </c>
      <c r="BT281" s="124" t="str">
        <f>IF($B281="","",IFERROR(-AA281,"n.b."))</f>
        <v/>
      </c>
      <c r="BU281" s="124" t="str">
        <f>IF($B281="","",IFERROR(-AE281,"n.b."))</f>
        <v/>
      </c>
      <c r="BV281" s="124" t="str">
        <f>IF($B281="","",IFERROR(-AF281,"n.b."))</f>
        <v/>
      </c>
      <c r="BW281" s="124" t="str">
        <f>IF($B281="","",IFERROR(-AG281,"n.b."))</f>
        <v/>
      </c>
      <c r="BX281" s="124" t="str">
        <f>IF($B281="","",IFERROR(-AH281,"n.b."))</f>
        <v/>
      </c>
      <c r="BY281" s="124" t="str">
        <f>IF($B281="","",IFERROR(-AI281,"n.b."))</f>
        <v/>
      </c>
      <c r="BZ281" s="124" t="str">
        <f>IF($B281="","",IFERROR(-AJ281,"n.b."))</f>
        <v/>
      </c>
      <c r="CA281" s="124" t="str">
        <f>IF($B281="","",IFERROR(-AK281,"n.b."))</f>
        <v/>
      </c>
      <c r="CB281" s="124" t="str">
        <f>IF($B281="","",IFERROR(-AL281,"n.b."))</f>
        <v/>
      </c>
      <c r="CC281" s="124" t="str">
        <f>IF($B281="","",IFERROR(-AP281,"n.b."))</f>
        <v/>
      </c>
      <c r="CD281" s="124" t="str">
        <f>IF($B281="","",IFERROR(-AQ281,"n.b."))</f>
        <v/>
      </c>
      <c r="CE281" s="124" t="str">
        <f>IF($B281="","",IFERROR(-AR281,"n.b."))</f>
        <v/>
      </c>
      <c r="CF281" s="124" t="str">
        <f>IF($B281="","",IFERROR(-AS281,"n.b."))</f>
        <v/>
      </c>
      <c r="CG281" s="124" t="str">
        <f>IF($B281="","",IFERROR(-AT281,"n.b."))</f>
        <v/>
      </c>
      <c r="CH281" s="124" t="str">
        <f>IF($B281="","",IFERROR(-AU281,"n.b."))</f>
        <v/>
      </c>
      <c r="CI281" s="124" t="str">
        <f>IF($B281="","",IFERROR(-AV281,"n.b."))</f>
        <v/>
      </c>
      <c r="CJ281" s="124" t="str">
        <f>IF($B281="","",IFERROR(-AW281,"n.b."))</f>
        <v/>
      </c>
      <c r="CK281" s="124" t="str">
        <f>IF($B281="","",IFERROR(-AX281,"n.b."))</f>
        <v/>
      </c>
      <c r="CL281" s="124" t="str">
        <f>IF($B281="","",IFERROR(-AY281,"n.b."))</f>
        <v/>
      </c>
      <c r="CM281" s="124" t="str">
        <f>IF($B281="","",IFERROR(-AZ281,"n.b."))</f>
        <v/>
      </c>
      <c r="CN281" s="124" t="str">
        <f>IF($B281="","",IFERROR(-BA281,"n.b."))</f>
        <v/>
      </c>
      <c r="CO281" s="124" t="str">
        <f>IF($B281="","",IFERROR(-BB281,"n.b."))</f>
        <v/>
      </c>
      <c r="CP281" s="124" t="str">
        <f>IF($B281="","",IFERROR(-BC281,"n.b."))</f>
        <v/>
      </c>
      <c r="CQ281" s="124" t="str">
        <f>IF($B281="","",IFERROR(-BD281,"n.b."))</f>
        <v/>
      </c>
      <c r="CR281" s="124" t="str">
        <f>IF($B281="","",IFERROR(-BE281,"n.b."))</f>
        <v/>
      </c>
      <c r="CS281" s="124" t="str">
        <f>IF($B281="","",IFERROR(IF(OR(ABS(T281+V281+X281+Z281-AB281)&gt;P_Tol,ABS(U281+W281+Y281+AA281-AD281)&gt;P_Tol,ABS(AE281+AG281+AI281+AK281-AM281)&gt;P_Tol,ABS(AF281+AH281+AJ281+AL281-AO281)&gt;P_Tol),1,0),1))</f>
        <v/>
      </c>
      <c r="CT281" s="124" t="str">
        <f>IF($B281="","",IFERROR(IF(OR(ABS(AB281+AC281-AD281)&gt;P_Tol,ABS(AM281+AN281-AO281)&gt;P_Tol,ABS(O281+P281-Q281)&gt;P_Tol),1,0),1))</f>
        <v/>
      </c>
      <c r="CU281" s="124" t="str">
        <f>IF($B281="","",IFERROR(IF(ABS(R281-(AB281+AM281+AP281+AR281+AT281+AV281+AX281+AZ281+BB281+BD281))&gt;P_Tol,1,0),1))</f>
        <v/>
      </c>
      <c r="CV281" s="124" t="str">
        <f>IF($B281="","",IFERROR(IF(ABS(M281-(N281+O281+R281))&gt;P_Tol,1,0),1))</f>
        <v/>
      </c>
      <c r="CW281" s="124" t="str">
        <f>IF($B281="","",IF(COUNTIF(Mapping!$A$5:$A$104,B281)&gt;0,1,0))</f>
        <v/>
      </c>
      <c r="CX281" s="124" t="str">
        <f>IF($B281="","",COUNTIF($B$6:$B$505,B281))</f>
        <v/>
      </c>
      <c r="CY281" s="124" t="str">
        <f>IF($B281="","",COUNTIF(STG_Woningetalage!$B$6:$B$505,B281))</f>
        <v/>
      </c>
      <c r="CZ281" s="124" t="str">
        <f>IF($B281="","",IF(CW281=0,COUNTIF($CW$6:CW281,0),""))</f>
        <v/>
      </c>
    </row>
    <row r="282">
      <c r="A282" s="15" t="n">
        <v>278</v>
      </c>
      <c r="B282" t="str">
        <f>IF(B$3=0,"",IF(INDEX(SRC_ZPMW03!$A$1:$ZZ$501,$A282,B$3)&amp;""="","",INDEX(SRC_ZPMW03!$A$1:$ZZ$501,$A282,B$3)&amp;""))</f>
        <v/>
      </c>
      <c r="C282" t="str">
        <f>IF($B282="","",IF(C$3=0,"n.b.",INDEX(SRC_ZPMW03!$A$1:$ZZ$501,$A282,C$3)))</f>
        <v/>
      </c>
      <c r="D282" t="str">
        <f>IF($B282="","",IF(D$3=0,"n.b.",INDEX(SRC_ZPMW03!$A$1:$ZZ$501,$A282,D$3)))</f>
        <v/>
      </c>
      <c r="E282" t="str">
        <f>IF($B282="","",IF(E$3=0,"n.b.",INDEX(SRC_ZPMW03!$A$1:$ZZ$501,$A282,E$3)))</f>
        <v/>
      </c>
      <c r="F282" t="str">
        <f>IF($B282="","",IF(F$3=0,"n.b.",INDEX(SRC_ZPMW03!$A$1:$ZZ$501,$A282,F$3)))</f>
        <v/>
      </c>
      <c r="G282" t="str">
        <f>IF($B282="","",IF(G$3=0,"n.b.",INDEX(SRC_ZPMW03!$A$1:$ZZ$501,$A282,G$3)))</f>
        <v/>
      </c>
      <c r="H282" t="str">
        <f>IF($B282="","",IF(H$3=0,"n.b.",INDEX(SRC_ZPMW03!$A$1:$ZZ$501,$A282,H$3)))</f>
        <v/>
      </c>
      <c r="I282" t="str">
        <f>IF($B282="","",IF(I$3=0,"n.b.",INDEX(SRC_ZPMW03!$A$1:$ZZ$501,$A282,I$3)))</f>
        <v/>
      </c>
      <c r="J282" t="str">
        <f>IF($B282="","",IF(J$3=0,"n.b.",INDEX(SRC_ZPMW03!$A$1:$ZZ$501,$A282,J$3)))</f>
        <v/>
      </c>
      <c r="K282" t="str">
        <f>IF($B282="","",IF(K$3=0,"n.b.",INDEX(SRC_ZPMW03!$A$1:$ZZ$501,$A282,K$3)))</f>
        <v/>
      </c>
      <c r="L282" s="124" t="str">
        <f>IF($B282="","",IF(L$3=0,"n.b.",INDEX(SRC_ZPMW03!$A$1:$ZZ$501,$A282,L$3)))</f>
        <v/>
      </c>
      <c r="M282" s="124" t="str">
        <f>IF($B282="","",IF(M$3=0,"n.b.",INDEX(SRC_ZPMW03!$A$1:$ZZ$501,$A282,M$3)))</f>
        <v/>
      </c>
      <c r="N282" s="124" t="str">
        <f>IF($B282="","",IF(N$3=0,"n.b.",INDEX(SRC_ZPMW03!$A$1:$ZZ$501,$A282,N$3)))</f>
        <v/>
      </c>
      <c r="O282" s="124" t="str">
        <f>IF($B282="","",IF(O$3=0,"n.b.",INDEX(SRC_ZPMW03!$A$1:$ZZ$501,$A282,O$3)))</f>
        <v/>
      </c>
      <c r="P282" s="124" t="str">
        <f>IF($B282="","",IF(P$3=0,"n.b.",INDEX(SRC_ZPMW03!$A$1:$ZZ$501,$A282,P$3)))</f>
        <v/>
      </c>
      <c r="Q282" s="124" t="str">
        <f>IF($B282="","",IF(Q$3=0,"n.b.",INDEX(SRC_ZPMW03!$A$1:$ZZ$501,$A282,Q$3)))</f>
        <v/>
      </c>
      <c r="R282" s="124" t="str">
        <f>IF($B282="","",IF(R$3=0,"n.b.",INDEX(SRC_ZPMW03!$A$1:$ZZ$501,$A282,R$3)))</f>
        <v/>
      </c>
      <c r="S282" s="124" t="str">
        <f>IF($B282="","",IF(S$3=0,"n.b.",INDEX(SRC_ZPMW03!$A$1:$ZZ$501,$A282,S$3)))</f>
        <v/>
      </c>
      <c r="T282" s="124" t="str">
        <f>IF($B282="","",IF(T$3=0,"n.b.",INDEX(SRC_ZPMW03!$A$1:$ZZ$501,$A282,T$3)))</f>
        <v/>
      </c>
      <c r="U282" s="124" t="str">
        <f>IF($B282="","",IF(U$3=0,"n.b.",INDEX(SRC_ZPMW03!$A$1:$ZZ$501,$A282,U$3)))</f>
        <v/>
      </c>
      <c r="V282" s="124" t="str">
        <f>IF($B282="","",IF(V$3=0,"n.b.",INDEX(SRC_ZPMW03!$A$1:$ZZ$501,$A282,V$3)))</f>
        <v/>
      </c>
      <c r="W282" s="124" t="str">
        <f>IF($B282="","",IF(W$3=0,"n.b.",INDEX(SRC_ZPMW03!$A$1:$ZZ$501,$A282,W$3)))</f>
        <v/>
      </c>
      <c r="X282" s="124" t="str">
        <f>IF($B282="","",IF(X$3=0,"n.b.",INDEX(SRC_ZPMW03!$A$1:$ZZ$501,$A282,X$3)))</f>
        <v/>
      </c>
      <c r="Y282" s="124" t="str">
        <f>IF($B282="","",IF(Y$3=0,"n.b.",INDEX(SRC_ZPMW03!$A$1:$ZZ$501,$A282,Y$3)))</f>
        <v/>
      </c>
      <c r="Z282" s="124" t="str">
        <f>IF($B282="","",IF(Z$3=0,"n.b.",INDEX(SRC_ZPMW03!$A$1:$ZZ$501,$A282,Z$3)))</f>
        <v/>
      </c>
      <c r="AA282" s="124" t="str">
        <f>IF($B282="","",IF(AA$3=0,"n.b.",INDEX(SRC_ZPMW03!$A$1:$ZZ$501,$A282,AA$3)))</f>
        <v/>
      </c>
      <c r="AB282" s="124" t="str">
        <f>IF($B282="","",IF(AB$3=0,"n.b.",INDEX(SRC_ZPMW03!$A$1:$ZZ$501,$A282,AB$3)))</f>
        <v/>
      </c>
      <c r="AC282" s="124" t="str">
        <f>IF($B282="","",IF(AC$3=0,"n.b.",INDEX(SRC_ZPMW03!$A$1:$ZZ$501,$A282,AC$3)))</f>
        <v/>
      </c>
      <c r="AD282" s="124" t="str">
        <f>IF($B282="","",IF(AD$3=0,"n.b.",INDEX(SRC_ZPMW03!$A$1:$ZZ$501,$A282,AD$3)))</f>
        <v/>
      </c>
      <c r="AE282" s="124" t="str">
        <f>IF($B282="","",IF(AE$3=0,"n.b.",INDEX(SRC_ZPMW03!$A$1:$ZZ$501,$A282,AE$3)))</f>
        <v/>
      </c>
      <c r="AF282" s="124" t="str">
        <f>IF($B282="","",IF(AF$3=0,"n.b.",INDEX(SRC_ZPMW03!$A$1:$ZZ$501,$A282,AF$3)))</f>
        <v/>
      </c>
      <c r="AG282" s="124" t="str">
        <f>IF($B282="","",IF(AG$3=0,"n.b.",INDEX(SRC_ZPMW03!$A$1:$ZZ$501,$A282,AG$3)))</f>
        <v/>
      </c>
      <c r="AH282" s="124" t="str">
        <f>IF($B282="","",IF(AH$3=0,"n.b.",INDEX(SRC_ZPMW03!$A$1:$ZZ$501,$A282,AH$3)))</f>
        <v/>
      </c>
      <c r="AI282" s="124" t="str">
        <f>IF($B282="","",IF(AI$3=0,"n.b.",INDEX(SRC_ZPMW03!$A$1:$ZZ$501,$A282,AI$3)))</f>
        <v/>
      </c>
      <c r="AJ282" s="124" t="str">
        <f>IF($B282="","",IF(AJ$3=0,"n.b.",INDEX(SRC_ZPMW03!$A$1:$ZZ$501,$A282,AJ$3)))</f>
        <v/>
      </c>
      <c r="AK282" s="124" t="str">
        <f>IF($B282="","",IF(AK$3=0,"n.b.",INDEX(SRC_ZPMW03!$A$1:$ZZ$501,$A282,AK$3)))</f>
        <v/>
      </c>
      <c r="AL282" s="124" t="str">
        <f>IF($B282="","",IF(AL$3=0,"n.b.",INDEX(SRC_ZPMW03!$A$1:$ZZ$501,$A282,AL$3)))</f>
        <v/>
      </c>
      <c r="AM282" s="124" t="str">
        <f>IF($B282="","",IF(AM$3=0,"n.b.",INDEX(SRC_ZPMW03!$A$1:$ZZ$501,$A282,AM$3)))</f>
        <v/>
      </c>
      <c r="AN282" s="124" t="str">
        <f>IF($B282="","",IF(AN$3=0,"n.b.",INDEX(SRC_ZPMW03!$A$1:$ZZ$501,$A282,AN$3)))</f>
        <v/>
      </c>
      <c r="AO282" s="124" t="str">
        <f>IF($B282="","",IF(AO$3=0,"n.b.",INDEX(SRC_ZPMW03!$A$1:$ZZ$501,$A282,AO$3)))</f>
        <v/>
      </c>
      <c r="AP282" s="124" t="str">
        <f>IF($B282="","",IF(AP$3=0,"n.b.",INDEX(SRC_ZPMW03!$A$1:$ZZ$501,$A282,AP$3)))</f>
        <v/>
      </c>
      <c r="AQ282" s="124" t="str">
        <f>IF($B282="","",IF(AQ$3=0,"n.b.",INDEX(SRC_ZPMW03!$A$1:$ZZ$501,$A282,AQ$3)))</f>
        <v/>
      </c>
      <c r="AR282" s="124" t="str">
        <f>IF($B282="","",IF(AR$3=0,"n.b.",INDEX(SRC_ZPMW03!$A$1:$ZZ$501,$A282,AR$3)))</f>
        <v/>
      </c>
      <c r="AS282" s="124" t="str">
        <f>IF($B282="","",IF(AS$3=0,"n.b.",INDEX(SRC_ZPMW03!$A$1:$ZZ$501,$A282,AS$3)))</f>
        <v/>
      </c>
      <c r="AT282" s="124" t="str">
        <f>IF($B282="","",IF(AT$3=0,"n.b.",INDEX(SRC_ZPMW03!$A$1:$ZZ$501,$A282,AT$3)))</f>
        <v/>
      </c>
      <c r="AU282" s="124" t="str">
        <f>IF($B282="","",IF(AU$3=0,"n.b.",INDEX(SRC_ZPMW03!$A$1:$ZZ$501,$A282,AU$3)))</f>
        <v/>
      </c>
      <c r="AV282" s="124" t="str">
        <f>IF($B282="","",IF(AV$3=0,"n.b.",INDEX(SRC_ZPMW03!$A$1:$ZZ$501,$A282,AV$3)))</f>
        <v/>
      </c>
      <c r="AW282" s="124" t="str">
        <f>IF($B282="","",IF(AW$3=0,"n.b.",INDEX(SRC_ZPMW03!$A$1:$ZZ$501,$A282,AW$3)))</f>
        <v/>
      </c>
      <c r="AX282" s="124" t="str">
        <f>IF($B282="","",IF(AX$3=0,"n.b.",INDEX(SRC_ZPMW03!$A$1:$ZZ$501,$A282,AX$3)))</f>
        <v/>
      </c>
      <c r="AY282" s="124" t="str">
        <f>IF($B282="","",IF(AY$3=0,"n.b.",INDEX(SRC_ZPMW03!$A$1:$ZZ$501,$A282,AY$3)))</f>
        <v/>
      </c>
      <c r="AZ282" s="124" t="str">
        <f>IF($B282="","",IF(AZ$3=0,"n.b.",INDEX(SRC_ZPMW03!$A$1:$ZZ$501,$A282,AZ$3)))</f>
        <v/>
      </c>
      <c r="BA282" s="124" t="str">
        <f>IF($B282="","",IF(BA$3=0,"n.b.",INDEX(SRC_ZPMW03!$A$1:$ZZ$501,$A282,BA$3)))</f>
        <v/>
      </c>
      <c r="BB282" s="124" t="str">
        <f>IF($B282="","",IF(BB$3=0,"n.b.",INDEX(SRC_ZPMW03!$A$1:$ZZ$501,$A282,BB$3)))</f>
        <v/>
      </c>
      <c r="BC282" s="124" t="str">
        <f>IF($B282="","",IF(BC$3=0,"n.b.",INDEX(SRC_ZPMW03!$A$1:$ZZ$501,$A282,BC$3)))</f>
        <v/>
      </c>
      <c r="BD282" s="124" t="str">
        <f>IF($B282="","",IF(BD$3=0,"n.b.",INDEX(SRC_ZPMW03!$A$1:$ZZ$501,$A282,BD$3)))</f>
        <v/>
      </c>
      <c r="BE282" s="124" t="str">
        <f>IF($B282="","",IF(BE$3=0,"n.b.",INDEX(SRC_ZPMW03!$A$1:$ZZ$501,$A282,BE$3)))</f>
        <v/>
      </c>
      <c r="BF282" s="124" t="str">
        <f>IF($B282="","",IF(BF$3=0,"n.b.",INDEX(SRC_ZPMW03!$A$1:$ZZ$501,$A282,BF$3)))</f>
        <v/>
      </c>
      <c r="BG282" t="str">
        <f>IF($B282="","",IF(BG$3=0,"n.b.",INDEX(SRC_ZPMW03!$A$1:$ZZ$501,$A282,BG$3)))</f>
        <v/>
      </c>
      <c r="BH282" t="str">
        <f>IF($B282="","",IF(BH$3=0,"n.b.",INDEX(SRC_ZPMW03!$A$1:$ZZ$501,$A282,BH$3)))</f>
        <v/>
      </c>
      <c r="BI282" t="str">
        <f>IF($B282="","",IF(BI$3=0,"n.b.",INDEX(SRC_ZPMW03!$A$1:$ZZ$501,$A282,BI$3)))</f>
        <v/>
      </c>
      <c r="BJ282" t="str">
        <f>IF($B282="","",IF(BJ$3=0,"n.b.",INDEX(SRC_ZPMW03!$A$1:$ZZ$501,$A282,BJ$3)))</f>
        <v/>
      </c>
      <c r="BK282" s="124" t="str">
        <f>IF($B282="","",IFERROR(-O282,"n.b."))</f>
        <v/>
      </c>
      <c r="BL282" s="124" t="str">
        <f>IF($B282="","",IFERROR(-Q282,"n.b."))</f>
        <v/>
      </c>
      <c r="BM282" s="124" t="str">
        <f>IF($B282="","",IFERROR(-AB282,"n.b."))</f>
        <v/>
      </c>
      <c r="BN282" s="124" t="str">
        <f>IF($B282="","",IFERROR(-AD282,"n.b."))</f>
        <v/>
      </c>
      <c r="BO282" s="124" t="str">
        <f>IF($B282="","",IFERROR(BK282+BM282,"n.b."))</f>
        <v/>
      </c>
      <c r="BP282" s="124" t="str">
        <f>IF($B282="","",IFERROR(BL282+BN282,"n.b."))</f>
        <v/>
      </c>
      <c r="BQ282" s="124" t="str">
        <f>IF($B282="","",IFERROR(-AM282,"n.b."))</f>
        <v/>
      </c>
      <c r="BR282" s="124" t="str">
        <f>IF($B282="","",IFERROR(-AO282,"n.b."))</f>
        <v/>
      </c>
      <c r="BS282" s="124" t="str">
        <f>IF($B282="","",IFERROR(-Z282,"n.b."))</f>
        <v/>
      </c>
      <c r="BT282" s="124" t="str">
        <f>IF($B282="","",IFERROR(-AA282,"n.b."))</f>
        <v/>
      </c>
      <c r="BU282" s="124" t="str">
        <f>IF($B282="","",IFERROR(-AE282,"n.b."))</f>
        <v/>
      </c>
      <c r="BV282" s="124" t="str">
        <f>IF($B282="","",IFERROR(-AF282,"n.b."))</f>
        <v/>
      </c>
      <c r="BW282" s="124" t="str">
        <f>IF($B282="","",IFERROR(-AG282,"n.b."))</f>
        <v/>
      </c>
      <c r="BX282" s="124" t="str">
        <f>IF($B282="","",IFERROR(-AH282,"n.b."))</f>
        <v/>
      </c>
      <c r="BY282" s="124" t="str">
        <f>IF($B282="","",IFERROR(-AI282,"n.b."))</f>
        <v/>
      </c>
      <c r="BZ282" s="124" t="str">
        <f>IF($B282="","",IFERROR(-AJ282,"n.b."))</f>
        <v/>
      </c>
      <c r="CA282" s="124" t="str">
        <f>IF($B282="","",IFERROR(-AK282,"n.b."))</f>
        <v/>
      </c>
      <c r="CB282" s="124" t="str">
        <f>IF($B282="","",IFERROR(-AL282,"n.b."))</f>
        <v/>
      </c>
      <c r="CC282" s="124" t="str">
        <f>IF($B282="","",IFERROR(-AP282,"n.b."))</f>
        <v/>
      </c>
      <c r="CD282" s="124" t="str">
        <f>IF($B282="","",IFERROR(-AQ282,"n.b."))</f>
        <v/>
      </c>
      <c r="CE282" s="124" t="str">
        <f>IF($B282="","",IFERROR(-AR282,"n.b."))</f>
        <v/>
      </c>
      <c r="CF282" s="124" t="str">
        <f>IF($B282="","",IFERROR(-AS282,"n.b."))</f>
        <v/>
      </c>
      <c r="CG282" s="124" t="str">
        <f>IF($B282="","",IFERROR(-AT282,"n.b."))</f>
        <v/>
      </c>
      <c r="CH282" s="124" t="str">
        <f>IF($B282="","",IFERROR(-AU282,"n.b."))</f>
        <v/>
      </c>
      <c r="CI282" s="124" t="str">
        <f>IF($B282="","",IFERROR(-AV282,"n.b."))</f>
        <v/>
      </c>
      <c r="CJ282" s="124" t="str">
        <f>IF($B282="","",IFERROR(-AW282,"n.b."))</f>
        <v/>
      </c>
      <c r="CK282" s="124" t="str">
        <f>IF($B282="","",IFERROR(-AX282,"n.b."))</f>
        <v/>
      </c>
      <c r="CL282" s="124" t="str">
        <f>IF($B282="","",IFERROR(-AY282,"n.b."))</f>
        <v/>
      </c>
      <c r="CM282" s="124" t="str">
        <f>IF($B282="","",IFERROR(-AZ282,"n.b."))</f>
        <v/>
      </c>
      <c r="CN282" s="124" t="str">
        <f>IF($B282="","",IFERROR(-BA282,"n.b."))</f>
        <v/>
      </c>
      <c r="CO282" s="124" t="str">
        <f>IF($B282="","",IFERROR(-BB282,"n.b."))</f>
        <v/>
      </c>
      <c r="CP282" s="124" t="str">
        <f>IF($B282="","",IFERROR(-BC282,"n.b."))</f>
        <v/>
      </c>
      <c r="CQ282" s="124" t="str">
        <f>IF($B282="","",IFERROR(-BD282,"n.b."))</f>
        <v/>
      </c>
      <c r="CR282" s="124" t="str">
        <f>IF($B282="","",IFERROR(-BE282,"n.b."))</f>
        <v/>
      </c>
      <c r="CS282" s="124" t="str">
        <f>IF($B282="","",IFERROR(IF(OR(ABS(T282+V282+X282+Z282-AB282)&gt;P_Tol,ABS(U282+W282+Y282+AA282-AD282)&gt;P_Tol,ABS(AE282+AG282+AI282+AK282-AM282)&gt;P_Tol,ABS(AF282+AH282+AJ282+AL282-AO282)&gt;P_Tol),1,0),1))</f>
        <v/>
      </c>
      <c r="CT282" s="124" t="str">
        <f>IF($B282="","",IFERROR(IF(OR(ABS(AB282+AC282-AD282)&gt;P_Tol,ABS(AM282+AN282-AO282)&gt;P_Tol,ABS(O282+P282-Q282)&gt;P_Tol),1,0),1))</f>
        <v/>
      </c>
      <c r="CU282" s="124" t="str">
        <f>IF($B282="","",IFERROR(IF(ABS(R282-(AB282+AM282+AP282+AR282+AT282+AV282+AX282+AZ282+BB282+BD282))&gt;P_Tol,1,0),1))</f>
        <v/>
      </c>
      <c r="CV282" s="124" t="str">
        <f>IF($B282="","",IFERROR(IF(ABS(M282-(N282+O282+R282))&gt;P_Tol,1,0),1))</f>
        <v/>
      </c>
      <c r="CW282" s="124" t="str">
        <f>IF($B282="","",IF(COUNTIF(Mapping!$A$5:$A$104,B282)&gt;0,1,0))</f>
        <v/>
      </c>
      <c r="CX282" s="124" t="str">
        <f>IF($B282="","",COUNTIF($B$6:$B$505,B282))</f>
        <v/>
      </c>
      <c r="CY282" s="124" t="str">
        <f>IF($B282="","",COUNTIF(STG_Woningetalage!$B$6:$B$505,B282))</f>
        <v/>
      </c>
      <c r="CZ282" s="124" t="str">
        <f>IF($B282="","",IF(CW282=0,COUNTIF($CW$6:CW282,0),""))</f>
        <v/>
      </c>
    </row>
    <row r="283">
      <c r="A283" s="15" t="n">
        <v>279</v>
      </c>
      <c r="B283" t="str">
        <f>IF(B$3=0,"",IF(INDEX(SRC_ZPMW03!$A$1:$ZZ$501,$A283,B$3)&amp;""="","",INDEX(SRC_ZPMW03!$A$1:$ZZ$501,$A283,B$3)&amp;""))</f>
        <v/>
      </c>
      <c r="C283" t="str">
        <f>IF($B283="","",IF(C$3=0,"n.b.",INDEX(SRC_ZPMW03!$A$1:$ZZ$501,$A283,C$3)))</f>
        <v/>
      </c>
      <c r="D283" t="str">
        <f>IF($B283="","",IF(D$3=0,"n.b.",INDEX(SRC_ZPMW03!$A$1:$ZZ$501,$A283,D$3)))</f>
        <v/>
      </c>
      <c r="E283" t="str">
        <f>IF($B283="","",IF(E$3=0,"n.b.",INDEX(SRC_ZPMW03!$A$1:$ZZ$501,$A283,E$3)))</f>
        <v/>
      </c>
      <c r="F283" t="str">
        <f>IF($B283="","",IF(F$3=0,"n.b.",INDEX(SRC_ZPMW03!$A$1:$ZZ$501,$A283,F$3)))</f>
        <v/>
      </c>
      <c r="G283" t="str">
        <f>IF($B283="","",IF(G$3=0,"n.b.",INDEX(SRC_ZPMW03!$A$1:$ZZ$501,$A283,G$3)))</f>
        <v/>
      </c>
      <c r="H283" t="str">
        <f>IF($B283="","",IF(H$3=0,"n.b.",INDEX(SRC_ZPMW03!$A$1:$ZZ$501,$A283,H$3)))</f>
        <v/>
      </c>
      <c r="I283" t="str">
        <f>IF($B283="","",IF(I$3=0,"n.b.",INDEX(SRC_ZPMW03!$A$1:$ZZ$501,$A283,I$3)))</f>
        <v/>
      </c>
      <c r="J283" t="str">
        <f>IF($B283="","",IF(J$3=0,"n.b.",INDEX(SRC_ZPMW03!$A$1:$ZZ$501,$A283,J$3)))</f>
        <v/>
      </c>
      <c r="K283" t="str">
        <f>IF($B283="","",IF(K$3=0,"n.b.",INDEX(SRC_ZPMW03!$A$1:$ZZ$501,$A283,K$3)))</f>
        <v/>
      </c>
      <c r="L283" s="124" t="str">
        <f>IF($B283="","",IF(L$3=0,"n.b.",INDEX(SRC_ZPMW03!$A$1:$ZZ$501,$A283,L$3)))</f>
        <v/>
      </c>
      <c r="M283" s="124" t="str">
        <f>IF($B283="","",IF(M$3=0,"n.b.",INDEX(SRC_ZPMW03!$A$1:$ZZ$501,$A283,M$3)))</f>
        <v/>
      </c>
      <c r="N283" s="124" t="str">
        <f>IF($B283="","",IF(N$3=0,"n.b.",INDEX(SRC_ZPMW03!$A$1:$ZZ$501,$A283,N$3)))</f>
        <v/>
      </c>
      <c r="O283" s="124" t="str">
        <f>IF($B283="","",IF(O$3=0,"n.b.",INDEX(SRC_ZPMW03!$A$1:$ZZ$501,$A283,O$3)))</f>
        <v/>
      </c>
      <c r="P283" s="124" t="str">
        <f>IF($B283="","",IF(P$3=0,"n.b.",INDEX(SRC_ZPMW03!$A$1:$ZZ$501,$A283,P$3)))</f>
        <v/>
      </c>
      <c r="Q283" s="124" t="str">
        <f>IF($B283="","",IF(Q$3=0,"n.b.",INDEX(SRC_ZPMW03!$A$1:$ZZ$501,$A283,Q$3)))</f>
        <v/>
      </c>
      <c r="R283" s="124" t="str">
        <f>IF($B283="","",IF(R$3=0,"n.b.",INDEX(SRC_ZPMW03!$A$1:$ZZ$501,$A283,R$3)))</f>
        <v/>
      </c>
      <c r="S283" s="124" t="str">
        <f>IF($B283="","",IF(S$3=0,"n.b.",INDEX(SRC_ZPMW03!$A$1:$ZZ$501,$A283,S$3)))</f>
        <v/>
      </c>
      <c r="T283" s="124" t="str">
        <f>IF($B283="","",IF(T$3=0,"n.b.",INDEX(SRC_ZPMW03!$A$1:$ZZ$501,$A283,T$3)))</f>
        <v/>
      </c>
      <c r="U283" s="124" t="str">
        <f>IF($B283="","",IF(U$3=0,"n.b.",INDEX(SRC_ZPMW03!$A$1:$ZZ$501,$A283,U$3)))</f>
        <v/>
      </c>
      <c r="V283" s="124" t="str">
        <f>IF($B283="","",IF(V$3=0,"n.b.",INDEX(SRC_ZPMW03!$A$1:$ZZ$501,$A283,V$3)))</f>
        <v/>
      </c>
      <c r="W283" s="124" t="str">
        <f>IF($B283="","",IF(W$3=0,"n.b.",INDEX(SRC_ZPMW03!$A$1:$ZZ$501,$A283,W$3)))</f>
        <v/>
      </c>
      <c r="X283" s="124" t="str">
        <f>IF($B283="","",IF(X$3=0,"n.b.",INDEX(SRC_ZPMW03!$A$1:$ZZ$501,$A283,X$3)))</f>
        <v/>
      </c>
      <c r="Y283" s="124" t="str">
        <f>IF($B283="","",IF(Y$3=0,"n.b.",INDEX(SRC_ZPMW03!$A$1:$ZZ$501,$A283,Y$3)))</f>
        <v/>
      </c>
      <c r="Z283" s="124" t="str">
        <f>IF($B283="","",IF(Z$3=0,"n.b.",INDEX(SRC_ZPMW03!$A$1:$ZZ$501,$A283,Z$3)))</f>
        <v/>
      </c>
      <c r="AA283" s="124" t="str">
        <f>IF($B283="","",IF(AA$3=0,"n.b.",INDEX(SRC_ZPMW03!$A$1:$ZZ$501,$A283,AA$3)))</f>
        <v/>
      </c>
      <c r="AB283" s="124" t="str">
        <f>IF($B283="","",IF(AB$3=0,"n.b.",INDEX(SRC_ZPMW03!$A$1:$ZZ$501,$A283,AB$3)))</f>
        <v/>
      </c>
      <c r="AC283" s="124" t="str">
        <f>IF($B283="","",IF(AC$3=0,"n.b.",INDEX(SRC_ZPMW03!$A$1:$ZZ$501,$A283,AC$3)))</f>
        <v/>
      </c>
      <c r="AD283" s="124" t="str">
        <f>IF($B283="","",IF(AD$3=0,"n.b.",INDEX(SRC_ZPMW03!$A$1:$ZZ$501,$A283,AD$3)))</f>
        <v/>
      </c>
      <c r="AE283" s="124" t="str">
        <f>IF($B283="","",IF(AE$3=0,"n.b.",INDEX(SRC_ZPMW03!$A$1:$ZZ$501,$A283,AE$3)))</f>
        <v/>
      </c>
      <c r="AF283" s="124" t="str">
        <f>IF($B283="","",IF(AF$3=0,"n.b.",INDEX(SRC_ZPMW03!$A$1:$ZZ$501,$A283,AF$3)))</f>
        <v/>
      </c>
      <c r="AG283" s="124" t="str">
        <f>IF($B283="","",IF(AG$3=0,"n.b.",INDEX(SRC_ZPMW03!$A$1:$ZZ$501,$A283,AG$3)))</f>
        <v/>
      </c>
      <c r="AH283" s="124" t="str">
        <f>IF($B283="","",IF(AH$3=0,"n.b.",INDEX(SRC_ZPMW03!$A$1:$ZZ$501,$A283,AH$3)))</f>
        <v/>
      </c>
      <c r="AI283" s="124" t="str">
        <f>IF($B283="","",IF(AI$3=0,"n.b.",INDEX(SRC_ZPMW03!$A$1:$ZZ$501,$A283,AI$3)))</f>
        <v/>
      </c>
      <c r="AJ283" s="124" t="str">
        <f>IF($B283="","",IF(AJ$3=0,"n.b.",INDEX(SRC_ZPMW03!$A$1:$ZZ$501,$A283,AJ$3)))</f>
        <v/>
      </c>
      <c r="AK283" s="124" t="str">
        <f>IF($B283="","",IF(AK$3=0,"n.b.",INDEX(SRC_ZPMW03!$A$1:$ZZ$501,$A283,AK$3)))</f>
        <v/>
      </c>
      <c r="AL283" s="124" t="str">
        <f>IF($B283="","",IF(AL$3=0,"n.b.",INDEX(SRC_ZPMW03!$A$1:$ZZ$501,$A283,AL$3)))</f>
        <v/>
      </c>
      <c r="AM283" s="124" t="str">
        <f>IF($B283="","",IF(AM$3=0,"n.b.",INDEX(SRC_ZPMW03!$A$1:$ZZ$501,$A283,AM$3)))</f>
        <v/>
      </c>
      <c r="AN283" s="124" t="str">
        <f>IF($B283="","",IF(AN$3=0,"n.b.",INDEX(SRC_ZPMW03!$A$1:$ZZ$501,$A283,AN$3)))</f>
        <v/>
      </c>
      <c r="AO283" s="124" t="str">
        <f>IF($B283="","",IF(AO$3=0,"n.b.",INDEX(SRC_ZPMW03!$A$1:$ZZ$501,$A283,AO$3)))</f>
        <v/>
      </c>
      <c r="AP283" s="124" t="str">
        <f>IF($B283="","",IF(AP$3=0,"n.b.",INDEX(SRC_ZPMW03!$A$1:$ZZ$501,$A283,AP$3)))</f>
        <v/>
      </c>
      <c r="AQ283" s="124" t="str">
        <f>IF($B283="","",IF(AQ$3=0,"n.b.",INDEX(SRC_ZPMW03!$A$1:$ZZ$501,$A283,AQ$3)))</f>
        <v/>
      </c>
      <c r="AR283" s="124" t="str">
        <f>IF($B283="","",IF(AR$3=0,"n.b.",INDEX(SRC_ZPMW03!$A$1:$ZZ$501,$A283,AR$3)))</f>
        <v/>
      </c>
      <c r="AS283" s="124" t="str">
        <f>IF($B283="","",IF(AS$3=0,"n.b.",INDEX(SRC_ZPMW03!$A$1:$ZZ$501,$A283,AS$3)))</f>
        <v/>
      </c>
      <c r="AT283" s="124" t="str">
        <f>IF($B283="","",IF(AT$3=0,"n.b.",INDEX(SRC_ZPMW03!$A$1:$ZZ$501,$A283,AT$3)))</f>
        <v/>
      </c>
      <c r="AU283" s="124" t="str">
        <f>IF($B283="","",IF(AU$3=0,"n.b.",INDEX(SRC_ZPMW03!$A$1:$ZZ$501,$A283,AU$3)))</f>
        <v/>
      </c>
      <c r="AV283" s="124" t="str">
        <f>IF($B283="","",IF(AV$3=0,"n.b.",INDEX(SRC_ZPMW03!$A$1:$ZZ$501,$A283,AV$3)))</f>
        <v/>
      </c>
      <c r="AW283" s="124" t="str">
        <f>IF($B283="","",IF(AW$3=0,"n.b.",INDEX(SRC_ZPMW03!$A$1:$ZZ$501,$A283,AW$3)))</f>
        <v/>
      </c>
      <c r="AX283" s="124" t="str">
        <f>IF($B283="","",IF(AX$3=0,"n.b.",INDEX(SRC_ZPMW03!$A$1:$ZZ$501,$A283,AX$3)))</f>
        <v/>
      </c>
      <c r="AY283" s="124" t="str">
        <f>IF($B283="","",IF(AY$3=0,"n.b.",INDEX(SRC_ZPMW03!$A$1:$ZZ$501,$A283,AY$3)))</f>
        <v/>
      </c>
      <c r="AZ283" s="124" t="str">
        <f>IF($B283="","",IF(AZ$3=0,"n.b.",INDEX(SRC_ZPMW03!$A$1:$ZZ$501,$A283,AZ$3)))</f>
        <v/>
      </c>
      <c r="BA283" s="124" t="str">
        <f>IF($B283="","",IF(BA$3=0,"n.b.",INDEX(SRC_ZPMW03!$A$1:$ZZ$501,$A283,BA$3)))</f>
        <v/>
      </c>
      <c r="BB283" s="124" t="str">
        <f>IF($B283="","",IF(BB$3=0,"n.b.",INDEX(SRC_ZPMW03!$A$1:$ZZ$501,$A283,BB$3)))</f>
        <v/>
      </c>
      <c r="BC283" s="124" t="str">
        <f>IF($B283="","",IF(BC$3=0,"n.b.",INDEX(SRC_ZPMW03!$A$1:$ZZ$501,$A283,BC$3)))</f>
        <v/>
      </c>
      <c r="BD283" s="124" t="str">
        <f>IF($B283="","",IF(BD$3=0,"n.b.",INDEX(SRC_ZPMW03!$A$1:$ZZ$501,$A283,BD$3)))</f>
        <v/>
      </c>
      <c r="BE283" s="124" t="str">
        <f>IF($B283="","",IF(BE$3=0,"n.b.",INDEX(SRC_ZPMW03!$A$1:$ZZ$501,$A283,BE$3)))</f>
        <v/>
      </c>
      <c r="BF283" s="124" t="str">
        <f>IF($B283="","",IF(BF$3=0,"n.b.",INDEX(SRC_ZPMW03!$A$1:$ZZ$501,$A283,BF$3)))</f>
        <v/>
      </c>
      <c r="BG283" t="str">
        <f>IF($B283="","",IF(BG$3=0,"n.b.",INDEX(SRC_ZPMW03!$A$1:$ZZ$501,$A283,BG$3)))</f>
        <v/>
      </c>
      <c r="BH283" t="str">
        <f>IF($B283="","",IF(BH$3=0,"n.b.",INDEX(SRC_ZPMW03!$A$1:$ZZ$501,$A283,BH$3)))</f>
        <v/>
      </c>
      <c r="BI283" t="str">
        <f>IF($B283="","",IF(BI$3=0,"n.b.",INDEX(SRC_ZPMW03!$A$1:$ZZ$501,$A283,BI$3)))</f>
        <v/>
      </c>
      <c r="BJ283" t="str">
        <f>IF($B283="","",IF(BJ$3=0,"n.b.",INDEX(SRC_ZPMW03!$A$1:$ZZ$501,$A283,BJ$3)))</f>
        <v/>
      </c>
      <c r="BK283" s="124" t="str">
        <f>IF($B283="","",IFERROR(-O283,"n.b."))</f>
        <v/>
      </c>
      <c r="BL283" s="124" t="str">
        <f>IF($B283="","",IFERROR(-Q283,"n.b."))</f>
        <v/>
      </c>
      <c r="BM283" s="124" t="str">
        <f>IF($B283="","",IFERROR(-AB283,"n.b."))</f>
        <v/>
      </c>
      <c r="BN283" s="124" t="str">
        <f>IF($B283="","",IFERROR(-AD283,"n.b."))</f>
        <v/>
      </c>
      <c r="BO283" s="124" t="str">
        <f>IF($B283="","",IFERROR(BK283+BM283,"n.b."))</f>
        <v/>
      </c>
      <c r="BP283" s="124" t="str">
        <f>IF($B283="","",IFERROR(BL283+BN283,"n.b."))</f>
        <v/>
      </c>
      <c r="BQ283" s="124" t="str">
        <f>IF($B283="","",IFERROR(-AM283,"n.b."))</f>
        <v/>
      </c>
      <c r="BR283" s="124" t="str">
        <f>IF($B283="","",IFERROR(-AO283,"n.b."))</f>
        <v/>
      </c>
      <c r="BS283" s="124" t="str">
        <f>IF($B283="","",IFERROR(-Z283,"n.b."))</f>
        <v/>
      </c>
      <c r="BT283" s="124" t="str">
        <f>IF($B283="","",IFERROR(-AA283,"n.b."))</f>
        <v/>
      </c>
      <c r="BU283" s="124" t="str">
        <f>IF($B283="","",IFERROR(-AE283,"n.b."))</f>
        <v/>
      </c>
      <c r="BV283" s="124" t="str">
        <f>IF($B283="","",IFERROR(-AF283,"n.b."))</f>
        <v/>
      </c>
      <c r="BW283" s="124" t="str">
        <f>IF($B283="","",IFERROR(-AG283,"n.b."))</f>
        <v/>
      </c>
      <c r="BX283" s="124" t="str">
        <f>IF($B283="","",IFERROR(-AH283,"n.b."))</f>
        <v/>
      </c>
      <c r="BY283" s="124" t="str">
        <f>IF($B283="","",IFERROR(-AI283,"n.b."))</f>
        <v/>
      </c>
      <c r="BZ283" s="124" t="str">
        <f>IF($B283="","",IFERROR(-AJ283,"n.b."))</f>
        <v/>
      </c>
      <c r="CA283" s="124" t="str">
        <f>IF($B283="","",IFERROR(-AK283,"n.b."))</f>
        <v/>
      </c>
      <c r="CB283" s="124" t="str">
        <f>IF($B283="","",IFERROR(-AL283,"n.b."))</f>
        <v/>
      </c>
      <c r="CC283" s="124" t="str">
        <f>IF($B283="","",IFERROR(-AP283,"n.b."))</f>
        <v/>
      </c>
      <c r="CD283" s="124" t="str">
        <f>IF($B283="","",IFERROR(-AQ283,"n.b."))</f>
        <v/>
      </c>
      <c r="CE283" s="124" t="str">
        <f>IF($B283="","",IFERROR(-AR283,"n.b."))</f>
        <v/>
      </c>
      <c r="CF283" s="124" t="str">
        <f>IF($B283="","",IFERROR(-AS283,"n.b."))</f>
        <v/>
      </c>
      <c r="CG283" s="124" t="str">
        <f>IF($B283="","",IFERROR(-AT283,"n.b."))</f>
        <v/>
      </c>
      <c r="CH283" s="124" t="str">
        <f>IF($B283="","",IFERROR(-AU283,"n.b."))</f>
        <v/>
      </c>
      <c r="CI283" s="124" t="str">
        <f>IF($B283="","",IFERROR(-AV283,"n.b."))</f>
        <v/>
      </c>
      <c r="CJ283" s="124" t="str">
        <f>IF($B283="","",IFERROR(-AW283,"n.b."))</f>
        <v/>
      </c>
      <c r="CK283" s="124" t="str">
        <f>IF($B283="","",IFERROR(-AX283,"n.b."))</f>
        <v/>
      </c>
      <c r="CL283" s="124" t="str">
        <f>IF($B283="","",IFERROR(-AY283,"n.b."))</f>
        <v/>
      </c>
      <c r="CM283" s="124" t="str">
        <f>IF($B283="","",IFERROR(-AZ283,"n.b."))</f>
        <v/>
      </c>
      <c r="CN283" s="124" t="str">
        <f>IF($B283="","",IFERROR(-BA283,"n.b."))</f>
        <v/>
      </c>
      <c r="CO283" s="124" t="str">
        <f>IF($B283="","",IFERROR(-BB283,"n.b."))</f>
        <v/>
      </c>
      <c r="CP283" s="124" t="str">
        <f>IF($B283="","",IFERROR(-BC283,"n.b."))</f>
        <v/>
      </c>
      <c r="CQ283" s="124" t="str">
        <f>IF($B283="","",IFERROR(-BD283,"n.b."))</f>
        <v/>
      </c>
      <c r="CR283" s="124" t="str">
        <f>IF($B283="","",IFERROR(-BE283,"n.b."))</f>
        <v/>
      </c>
      <c r="CS283" s="124" t="str">
        <f>IF($B283="","",IFERROR(IF(OR(ABS(T283+V283+X283+Z283-AB283)&gt;P_Tol,ABS(U283+W283+Y283+AA283-AD283)&gt;P_Tol,ABS(AE283+AG283+AI283+AK283-AM283)&gt;P_Tol,ABS(AF283+AH283+AJ283+AL283-AO283)&gt;P_Tol),1,0),1))</f>
        <v/>
      </c>
      <c r="CT283" s="124" t="str">
        <f>IF($B283="","",IFERROR(IF(OR(ABS(AB283+AC283-AD283)&gt;P_Tol,ABS(AM283+AN283-AO283)&gt;P_Tol,ABS(O283+P283-Q283)&gt;P_Tol),1,0),1))</f>
        <v/>
      </c>
      <c r="CU283" s="124" t="str">
        <f>IF($B283="","",IFERROR(IF(ABS(R283-(AB283+AM283+AP283+AR283+AT283+AV283+AX283+AZ283+BB283+BD283))&gt;P_Tol,1,0),1))</f>
        <v/>
      </c>
      <c r="CV283" s="124" t="str">
        <f>IF($B283="","",IFERROR(IF(ABS(M283-(N283+O283+R283))&gt;P_Tol,1,0),1))</f>
        <v/>
      </c>
      <c r="CW283" s="124" t="str">
        <f>IF($B283="","",IF(COUNTIF(Mapping!$A$5:$A$104,B283)&gt;0,1,0))</f>
        <v/>
      </c>
      <c r="CX283" s="124" t="str">
        <f>IF($B283="","",COUNTIF($B$6:$B$505,B283))</f>
        <v/>
      </c>
      <c r="CY283" s="124" t="str">
        <f>IF($B283="","",COUNTIF(STG_Woningetalage!$B$6:$B$505,B283))</f>
        <v/>
      </c>
      <c r="CZ283" s="124" t="str">
        <f>IF($B283="","",IF(CW283=0,COUNTIF($CW$6:CW283,0),""))</f>
        <v/>
      </c>
    </row>
    <row r="284">
      <c r="A284" s="15" t="n">
        <v>280</v>
      </c>
      <c r="B284" t="str">
        <f>IF(B$3=0,"",IF(INDEX(SRC_ZPMW03!$A$1:$ZZ$501,$A284,B$3)&amp;""="","",INDEX(SRC_ZPMW03!$A$1:$ZZ$501,$A284,B$3)&amp;""))</f>
        <v/>
      </c>
      <c r="C284" t="str">
        <f>IF($B284="","",IF(C$3=0,"n.b.",INDEX(SRC_ZPMW03!$A$1:$ZZ$501,$A284,C$3)))</f>
        <v/>
      </c>
      <c r="D284" t="str">
        <f>IF($B284="","",IF(D$3=0,"n.b.",INDEX(SRC_ZPMW03!$A$1:$ZZ$501,$A284,D$3)))</f>
        <v/>
      </c>
      <c r="E284" t="str">
        <f>IF($B284="","",IF(E$3=0,"n.b.",INDEX(SRC_ZPMW03!$A$1:$ZZ$501,$A284,E$3)))</f>
        <v/>
      </c>
      <c r="F284" t="str">
        <f>IF($B284="","",IF(F$3=0,"n.b.",INDEX(SRC_ZPMW03!$A$1:$ZZ$501,$A284,F$3)))</f>
        <v/>
      </c>
      <c r="G284" t="str">
        <f>IF($B284="","",IF(G$3=0,"n.b.",INDEX(SRC_ZPMW03!$A$1:$ZZ$501,$A284,G$3)))</f>
        <v/>
      </c>
      <c r="H284" t="str">
        <f>IF($B284="","",IF(H$3=0,"n.b.",INDEX(SRC_ZPMW03!$A$1:$ZZ$501,$A284,H$3)))</f>
        <v/>
      </c>
      <c r="I284" t="str">
        <f>IF($B284="","",IF(I$3=0,"n.b.",INDEX(SRC_ZPMW03!$A$1:$ZZ$501,$A284,I$3)))</f>
        <v/>
      </c>
      <c r="J284" t="str">
        <f>IF($B284="","",IF(J$3=0,"n.b.",INDEX(SRC_ZPMW03!$A$1:$ZZ$501,$A284,J$3)))</f>
        <v/>
      </c>
      <c r="K284" t="str">
        <f>IF($B284="","",IF(K$3=0,"n.b.",INDEX(SRC_ZPMW03!$A$1:$ZZ$501,$A284,K$3)))</f>
        <v/>
      </c>
      <c r="L284" s="124" t="str">
        <f>IF($B284="","",IF(L$3=0,"n.b.",INDEX(SRC_ZPMW03!$A$1:$ZZ$501,$A284,L$3)))</f>
        <v/>
      </c>
      <c r="M284" s="124" t="str">
        <f>IF($B284="","",IF(M$3=0,"n.b.",INDEX(SRC_ZPMW03!$A$1:$ZZ$501,$A284,M$3)))</f>
        <v/>
      </c>
      <c r="N284" s="124" t="str">
        <f>IF($B284="","",IF(N$3=0,"n.b.",INDEX(SRC_ZPMW03!$A$1:$ZZ$501,$A284,N$3)))</f>
        <v/>
      </c>
      <c r="O284" s="124" t="str">
        <f>IF($B284="","",IF(O$3=0,"n.b.",INDEX(SRC_ZPMW03!$A$1:$ZZ$501,$A284,O$3)))</f>
        <v/>
      </c>
      <c r="P284" s="124" t="str">
        <f>IF($B284="","",IF(P$3=0,"n.b.",INDEX(SRC_ZPMW03!$A$1:$ZZ$501,$A284,P$3)))</f>
        <v/>
      </c>
      <c r="Q284" s="124" t="str">
        <f>IF($B284="","",IF(Q$3=0,"n.b.",INDEX(SRC_ZPMW03!$A$1:$ZZ$501,$A284,Q$3)))</f>
        <v/>
      </c>
      <c r="R284" s="124" t="str">
        <f>IF($B284="","",IF(R$3=0,"n.b.",INDEX(SRC_ZPMW03!$A$1:$ZZ$501,$A284,R$3)))</f>
        <v/>
      </c>
      <c r="S284" s="124" t="str">
        <f>IF($B284="","",IF(S$3=0,"n.b.",INDEX(SRC_ZPMW03!$A$1:$ZZ$501,$A284,S$3)))</f>
        <v/>
      </c>
      <c r="T284" s="124" t="str">
        <f>IF($B284="","",IF(T$3=0,"n.b.",INDEX(SRC_ZPMW03!$A$1:$ZZ$501,$A284,T$3)))</f>
        <v/>
      </c>
      <c r="U284" s="124" t="str">
        <f>IF($B284="","",IF(U$3=0,"n.b.",INDEX(SRC_ZPMW03!$A$1:$ZZ$501,$A284,U$3)))</f>
        <v/>
      </c>
      <c r="V284" s="124" t="str">
        <f>IF($B284="","",IF(V$3=0,"n.b.",INDEX(SRC_ZPMW03!$A$1:$ZZ$501,$A284,V$3)))</f>
        <v/>
      </c>
      <c r="W284" s="124" t="str">
        <f>IF($B284="","",IF(W$3=0,"n.b.",INDEX(SRC_ZPMW03!$A$1:$ZZ$501,$A284,W$3)))</f>
        <v/>
      </c>
      <c r="X284" s="124" t="str">
        <f>IF($B284="","",IF(X$3=0,"n.b.",INDEX(SRC_ZPMW03!$A$1:$ZZ$501,$A284,X$3)))</f>
        <v/>
      </c>
      <c r="Y284" s="124" t="str">
        <f>IF($B284="","",IF(Y$3=0,"n.b.",INDEX(SRC_ZPMW03!$A$1:$ZZ$501,$A284,Y$3)))</f>
        <v/>
      </c>
      <c r="Z284" s="124" t="str">
        <f>IF($B284="","",IF(Z$3=0,"n.b.",INDEX(SRC_ZPMW03!$A$1:$ZZ$501,$A284,Z$3)))</f>
        <v/>
      </c>
      <c r="AA284" s="124" t="str">
        <f>IF($B284="","",IF(AA$3=0,"n.b.",INDEX(SRC_ZPMW03!$A$1:$ZZ$501,$A284,AA$3)))</f>
        <v/>
      </c>
      <c r="AB284" s="124" t="str">
        <f>IF($B284="","",IF(AB$3=0,"n.b.",INDEX(SRC_ZPMW03!$A$1:$ZZ$501,$A284,AB$3)))</f>
        <v/>
      </c>
      <c r="AC284" s="124" t="str">
        <f>IF($B284="","",IF(AC$3=0,"n.b.",INDEX(SRC_ZPMW03!$A$1:$ZZ$501,$A284,AC$3)))</f>
        <v/>
      </c>
      <c r="AD284" s="124" t="str">
        <f>IF($B284="","",IF(AD$3=0,"n.b.",INDEX(SRC_ZPMW03!$A$1:$ZZ$501,$A284,AD$3)))</f>
        <v/>
      </c>
      <c r="AE284" s="124" t="str">
        <f>IF($B284="","",IF(AE$3=0,"n.b.",INDEX(SRC_ZPMW03!$A$1:$ZZ$501,$A284,AE$3)))</f>
        <v/>
      </c>
      <c r="AF284" s="124" t="str">
        <f>IF($B284="","",IF(AF$3=0,"n.b.",INDEX(SRC_ZPMW03!$A$1:$ZZ$501,$A284,AF$3)))</f>
        <v/>
      </c>
      <c r="AG284" s="124" t="str">
        <f>IF($B284="","",IF(AG$3=0,"n.b.",INDEX(SRC_ZPMW03!$A$1:$ZZ$501,$A284,AG$3)))</f>
        <v/>
      </c>
      <c r="AH284" s="124" t="str">
        <f>IF($B284="","",IF(AH$3=0,"n.b.",INDEX(SRC_ZPMW03!$A$1:$ZZ$501,$A284,AH$3)))</f>
        <v/>
      </c>
      <c r="AI284" s="124" t="str">
        <f>IF($B284="","",IF(AI$3=0,"n.b.",INDEX(SRC_ZPMW03!$A$1:$ZZ$501,$A284,AI$3)))</f>
        <v/>
      </c>
      <c r="AJ284" s="124" t="str">
        <f>IF($B284="","",IF(AJ$3=0,"n.b.",INDEX(SRC_ZPMW03!$A$1:$ZZ$501,$A284,AJ$3)))</f>
        <v/>
      </c>
      <c r="AK284" s="124" t="str">
        <f>IF($B284="","",IF(AK$3=0,"n.b.",INDEX(SRC_ZPMW03!$A$1:$ZZ$501,$A284,AK$3)))</f>
        <v/>
      </c>
      <c r="AL284" s="124" t="str">
        <f>IF($B284="","",IF(AL$3=0,"n.b.",INDEX(SRC_ZPMW03!$A$1:$ZZ$501,$A284,AL$3)))</f>
        <v/>
      </c>
      <c r="AM284" s="124" t="str">
        <f>IF($B284="","",IF(AM$3=0,"n.b.",INDEX(SRC_ZPMW03!$A$1:$ZZ$501,$A284,AM$3)))</f>
        <v/>
      </c>
      <c r="AN284" s="124" t="str">
        <f>IF($B284="","",IF(AN$3=0,"n.b.",INDEX(SRC_ZPMW03!$A$1:$ZZ$501,$A284,AN$3)))</f>
        <v/>
      </c>
      <c r="AO284" s="124" t="str">
        <f>IF($B284="","",IF(AO$3=0,"n.b.",INDEX(SRC_ZPMW03!$A$1:$ZZ$501,$A284,AO$3)))</f>
        <v/>
      </c>
      <c r="AP284" s="124" t="str">
        <f>IF($B284="","",IF(AP$3=0,"n.b.",INDEX(SRC_ZPMW03!$A$1:$ZZ$501,$A284,AP$3)))</f>
        <v/>
      </c>
      <c r="AQ284" s="124" t="str">
        <f>IF($B284="","",IF(AQ$3=0,"n.b.",INDEX(SRC_ZPMW03!$A$1:$ZZ$501,$A284,AQ$3)))</f>
        <v/>
      </c>
      <c r="AR284" s="124" t="str">
        <f>IF($B284="","",IF(AR$3=0,"n.b.",INDEX(SRC_ZPMW03!$A$1:$ZZ$501,$A284,AR$3)))</f>
        <v/>
      </c>
      <c r="AS284" s="124" t="str">
        <f>IF($B284="","",IF(AS$3=0,"n.b.",INDEX(SRC_ZPMW03!$A$1:$ZZ$501,$A284,AS$3)))</f>
        <v/>
      </c>
      <c r="AT284" s="124" t="str">
        <f>IF($B284="","",IF(AT$3=0,"n.b.",INDEX(SRC_ZPMW03!$A$1:$ZZ$501,$A284,AT$3)))</f>
        <v/>
      </c>
      <c r="AU284" s="124" t="str">
        <f>IF($B284="","",IF(AU$3=0,"n.b.",INDEX(SRC_ZPMW03!$A$1:$ZZ$501,$A284,AU$3)))</f>
        <v/>
      </c>
      <c r="AV284" s="124" t="str">
        <f>IF($B284="","",IF(AV$3=0,"n.b.",INDEX(SRC_ZPMW03!$A$1:$ZZ$501,$A284,AV$3)))</f>
        <v/>
      </c>
      <c r="AW284" s="124" t="str">
        <f>IF($B284="","",IF(AW$3=0,"n.b.",INDEX(SRC_ZPMW03!$A$1:$ZZ$501,$A284,AW$3)))</f>
        <v/>
      </c>
      <c r="AX284" s="124" t="str">
        <f>IF($B284="","",IF(AX$3=0,"n.b.",INDEX(SRC_ZPMW03!$A$1:$ZZ$501,$A284,AX$3)))</f>
        <v/>
      </c>
      <c r="AY284" s="124" t="str">
        <f>IF($B284="","",IF(AY$3=0,"n.b.",INDEX(SRC_ZPMW03!$A$1:$ZZ$501,$A284,AY$3)))</f>
        <v/>
      </c>
      <c r="AZ284" s="124" t="str">
        <f>IF($B284="","",IF(AZ$3=0,"n.b.",INDEX(SRC_ZPMW03!$A$1:$ZZ$501,$A284,AZ$3)))</f>
        <v/>
      </c>
      <c r="BA284" s="124" t="str">
        <f>IF($B284="","",IF(BA$3=0,"n.b.",INDEX(SRC_ZPMW03!$A$1:$ZZ$501,$A284,BA$3)))</f>
        <v/>
      </c>
      <c r="BB284" s="124" t="str">
        <f>IF($B284="","",IF(BB$3=0,"n.b.",INDEX(SRC_ZPMW03!$A$1:$ZZ$501,$A284,BB$3)))</f>
        <v/>
      </c>
      <c r="BC284" s="124" t="str">
        <f>IF($B284="","",IF(BC$3=0,"n.b.",INDEX(SRC_ZPMW03!$A$1:$ZZ$501,$A284,BC$3)))</f>
        <v/>
      </c>
      <c r="BD284" s="124" t="str">
        <f>IF($B284="","",IF(BD$3=0,"n.b.",INDEX(SRC_ZPMW03!$A$1:$ZZ$501,$A284,BD$3)))</f>
        <v/>
      </c>
      <c r="BE284" s="124" t="str">
        <f>IF($B284="","",IF(BE$3=0,"n.b.",INDEX(SRC_ZPMW03!$A$1:$ZZ$501,$A284,BE$3)))</f>
        <v/>
      </c>
      <c r="BF284" s="124" t="str">
        <f>IF($B284="","",IF(BF$3=0,"n.b.",INDEX(SRC_ZPMW03!$A$1:$ZZ$501,$A284,BF$3)))</f>
        <v/>
      </c>
      <c r="BG284" t="str">
        <f>IF($B284="","",IF(BG$3=0,"n.b.",INDEX(SRC_ZPMW03!$A$1:$ZZ$501,$A284,BG$3)))</f>
        <v/>
      </c>
      <c r="BH284" t="str">
        <f>IF($B284="","",IF(BH$3=0,"n.b.",INDEX(SRC_ZPMW03!$A$1:$ZZ$501,$A284,BH$3)))</f>
        <v/>
      </c>
      <c r="BI284" t="str">
        <f>IF($B284="","",IF(BI$3=0,"n.b.",INDEX(SRC_ZPMW03!$A$1:$ZZ$501,$A284,BI$3)))</f>
        <v/>
      </c>
      <c r="BJ284" t="str">
        <f>IF($B284="","",IF(BJ$3=0,"n.b.",INDEX(SRC_ZPMW03!$A$1:$ZZ$501,$A284,BJ$3)))</f>
        <v/>
      </c>
      <c r="BK284" s="124" t="str">
        <f>IF($B284="","",IFERROR(-O284,"n.b."))</f>
        <v/>
      </c>
      <c r="BL284" s="124" t="str">
        <f>IF($B284="","",IFERROR(-Q284,"n.b."))</f>
        <v/>
      </c>
      <c r="BM284" s="124" t="str">
        <f>IF($B284="","",IFERROR(-AB284,"n.b."))</f>
        <v/>
      </c>
      <c r="BN284" s="124" t="str">
        <f>IF($B284="","",IFERROR(-AD284,"n.b."))</f>
        <v/>
      </c>
      <c r="BO284" s="124" t="str">
        <f>IF($B284="","",IFERROR(BK284+BM284,"n.b."))</f>
        <v/>
      </c>
      <c r="BP284" s="124" t="str">
        <f>IF($B284="","",IFERROR(BL284+BN284,"n.b."))</f>
        <v/>
      </c>
      <c r="BQ284" s="124" t="str">
        <f>IF($B284="","",IFERROR(-AM284,"n.b."))</f>
        <v/>
      </c>
      <c r="BR284" s="124" t="str">
        <f>IF($B284="","",IFERROR(-AO284,"n.b."))</f>
        <v/>
      </c>
      <c r="BS284" s="124" t="str">
        <f>IF($B284="","",IFERROR(-Z284,"n.b."))</f>
        <v/>
      </c>
      <c r="BT284" s="124" t="str">
        <f>IF($B284="","",IFERROR(-AA284,"n.b."))</f>
        <v/>
      </c>
      <c r="BU284" s="124" t="str">
        <f>IF($B284="","",IFERROR(-AE284,"n.b."))</f>
        <v/>
      </c>
      <c r="BV284" s="124" t="str">
        <f>IF($B284="","",IFERROR(-AF284,"n.b."))</f>
        <v/>
      </c>
      <c r="BW284" s="124" t="str">
        <f>IF($B284="","",IFERROR(-AG284,"n.b."))</f>
        <v/>
      </c>
      <c r="BX284" s="124" t="str">
        <f>IF($B284="","",IFERROR(-AH284,"n.b."))</f>
        <v/>
      </c>
      <c r="BY284" s="124" t="str">
        <f>IF($B284="","",IFERROR(-AI284,"n.b."))</f>
        <v/>
      </c>
      <c r="BZ284" s="124" t="str">
        <f>IF($B284="","",IFERROR(-AJ284,"n.b."))</f>
        <v/>
      </c>
      <c r="CA284" s="124" t="str">
        <f>IF($B284="","",IFERROR(-AK284,"n.b."))</f>
        <v/>
      </c>
      <c r="CB284" s="124" t="str">
        <f>IF($B284="","",IFERROR(-AL284,"n.b."))</f>
        <v/>
      </c>
      <c r="CC284" s="124" t="str">
        <f>IF($B284="","",IFERROR(-AP284,"n.b."))</f>
        <v/>
      </c>
      <c r="CD284" s="124" t="str">
        <f>IF($B284="","",IFERROR(-AQ284,"n.b."))</f>
        <v/>
      </c>
      <c r="CE284" s="124" t="str">
        <f>IF($B284="","",IFERROR(-AR284,"n.b."))</f>
        <v/>
      </c>
      <c r="CF284" s="124" t="str">
        <f>IF($B284="","",IFERROR(-AS284,"n.b."))</f>
        <v/>
      </c>
      <c r="CG284" s="124" t="str">
        <f>IF($B284="","",IFERROR(-AT284,"n.b."))</f>
        <v/>
      </c>
      <c r="CH284" s="124" t="str">
        <f>IF($B284="","",IFERROR(-AU284,"n.b."))</f>
        <v/>
      </c>
      <c r="CI284" s="124" t="str">
        <f>IF($B284="","",IFERROR(-AV284,"n.b."))</f>
        <v/>
      </c>
      <c r="CJ284" s="124" t="str">
        <f>IF($B284="","",IFERROR(-AW284,"n.b."))</f>
        <v/>
      </c>
      <c r="CK284" s="124" t="str">
        <f>IF($B284="","",IFERROR(-AX284,"n.b."))</f>
        <v/>
      </c>
      <c r="CL284" s="124" t="str">
        <f>IF($B284="","",IFERROR(-AY284,"n.b."))</f>
        <v/>
      </c>
      <c r="CM284" s="124" t="str">
        <f>IF($B284="","",IFERROR(-AZ284,"n.b."))</f>
        <v/>
      </c>
      <c r="CN284" s="124" t="str">
        <f>IF($B284="","",IFERROR(-BA284,"n.b."))</f>
        <v/>
      </c>
      <c r="CO284" s="124" t="str">
        <f>IF($B284="","",IFERROR(-BB284,"n.b."))</f>
        <v/>
      </c>
      <c r="CP284" s="124" t="str">
        <f>IF($B284="","",IFERROR(-BC284,"n.b."))</f>
        <v/>
      </c>
      <c r="CQ284" s="124" t="str">
        <f>IF($B284="","",IFERROR(-BD284,"n.b."))</f>
        <v/>
      </c>
      <c r="CR284" s="124" t="str">
        <f>IF($B284="","",IFERROR(-BE284,"n.b."))</f>
        <v/>
      </c>
      <c r="CS284" s="124" t="str">
        <f>IF($B284="","",IFERROR(IF(OR(ABS(T284+V284+X284+Z284-AB284)&gt;P_Tol,ABS(U284+W284+Y284+AA284-AD284)&gt;P_Tol,ABS(AE284+AG284+AI284+AK284-AM284)&gt;P_Tol,ABS(AF284+AH284+AJ284+AL284-AO284)&gt;P_Tol),1,0),1))</f>
        <v/>
      </c>
      <c r="CT284" s="124" t="str">
        <f>IF($B284="","",IFERROR(IF(OR(ABS(AB284+AC284-AD284)&gt;P_Tol,ABS(AM284+AN284-AO284)&gt;P_Tol,ABS(O284+P284-Q284)&gt;P_Tol),1,0),1))</f>
        <v/>
      </c>
      <c r="CU284" s="124" t="str">
        <f>IF($B284="","",IFERROR(IF(ABS(R284-(AB284+AM284+AP284+AR284+AT284+AV284+AX284+AZ284+BB284+BD284))&gt;P_Tol,1,0),1))</f>
        <v/>
      </c>
      <c r="CV284" s="124" t="str">
        <f>IF($B284="","",IFERROR(IF(ABS(M284-(N284+O284+R284))&gt;P_Tol,1,0),1))</f>
        <v/>
      </c>
      <c r="CW284" s="124" t="str">
        <f>IF($B284="","",IF(COUNTIF(Mapping!$A$5:$A$104,B284)&gt;0,1,0))</f>
        <v/>
      </c>
      <c r="CX284" s="124" t="str">
        <f>IF($B284="","",COUNTIF($B$6:$B$505,B284))</f>
        <v/>
      </c>
      <c r="CY284" s="124" t="str">
        <f>IF($B284="","",COUNTIF(STG_Woningetalage!$B$6:$B$505,B284))</f>
        <v/>
      </c>
      <c r="CZ284" s="124" t="str">
        <f>IF($B284="","",IF(CW284=0,COUNTIF($CW$6:CW284,0),""))</f>
        <v/>
      </c>
    </row>
    <row r="285">
      <c r="A285" s="15" t="n">
        <v>281</v>
      </c>
      <c r="B285" t="str">
        <f>IF(B$3=0,"",IF(INDEX(SRC_ZPMW03!$A$1:$ZZ$501,$A285,B$3)&amp;""="","",INDEX(SRC_ZPMW03!$A$1:$ZZ$501,$A285,B$3)&amp;""))</f>
        <v/>
      </c>
      <c r="C285" t="str">
        <f>IF($B285="","",IF(C$3=0,"n.b.",INDEX(SRC_ZPMW03!$A$1:$ZZ$501,$A285,C$3)))</f>
        <v/>
      </c>
      <c r="D285" t="str">
        <f>IF($B285="","",IF(D$3=0,"n.b.",INDEX(SRC_ZPMW03!$A$1:$ZZ$501,$A285,D$3)))</f>
        <v/>
      </c>
      <c r="E285" t="str">
        <f>IF($B285="","",IF(E$3=0,"n.b.",INDEX(SRC_ZPMW03!$A$1:$ZZ$501,$A285,E$3)))</f>
        <v/>
      </c>
      <c r="F285" t="str">
        <f>IF($B285="","",IF(F$3=0,"n.b.",INDEX(SRC_ZPMW03!$A$1:$ZZ$501,$A285,F$3)))</f>
        <v/>
      </c>
      <c r="G285" t="str">
        <f>IF($B285="","",IF(G$3=0,"n.b.",INDEX(SRC_ZPMW03!$A$1:$ZZ$501,$A285,G$3)))</f>
        <v/>
      </c>
      <c r="H285" t="str">
        <f>IF($B285="","",IF(H$3=0,"n.b.",INDEX(SRC_ZPMW03!$A$1:$ZZ$501,$A285,H$3)))</f>
        <v/>
      </c>
      <c r="I285" t="str">
        <f>IF($B285="","",IF(I$3=0,"n.b.",INDEX(SRC_ZPMW03!$A$1:$ZZ$501,$A285,I$3)))</f>
        <v/>
      </c>
      <c r="J285" t="str">
        <f>IF($B285="","",IF(J$3=0,"n.b.",INDEX(SRC_ZPMW03!$A$1:$ZZ$501,$A285,J$3)))</f>
        <v/>
      </c>
      <c r="K285" t="str">
        <f>IF($B285="","",IF(K$3=0,"n.b.",INDEX(SRC_ZPMW03!$A$1:$ZZ$501,$A285,K$3)))</f>
        <v/>
      </c>
      <c r="L285" s="124" t="str">
        <f>IF($B285="","",IF(L$3=0,"n.b.",INDEX(SRC_ZPMW03!$A$1:$ZZ$501,$A285,L$3)))</f>
        <v/>
      </c>
      <c r="M285" s="124" t="str">
        <f>IF($B285="","",IF(M$3=0,"n.b.",INDEX(SRC_ZPMW03!$A$1:$ZZ$501,$A285,M$3)))</f>
        <v/>
      </c>
      <c r="N285" s="124" t="str">
        <f>IF($B285="","",IF(N$3=0,"n.b.",INDEX(SRC_ZPMW03!$A$1:$ZZ$501,$A285,N$3)))</f>
        <v/>
      </c>
      <c r="O285" s="124" t="str">
        <f>IF($B285="","",IF(O$3=0,"n.b.",INDEX(SRC_ZPMW03!$A$1:$ZZ$501,$A285,O$3)))</f>
        <v/>
      </c>
      <c r="P285" s="124" t="str">
        <f>IF($B285="","",IF(P$3=0,"n.b.",INDEX(SRC_ZPMW03!$A$1:$ZZ$501,$A285,P$3)))</f>
        <v/>
      </c>
      <c r="Q285" s="124" t="str">
        <f>IF($B285="","",IF(Q$3=0,"n.b.",INDEX(SRC_ZPMW03!$A$1:$ZZ$501,$A285,Q$3)))</f>
        <v/>
      </c>
      <c r="R285" s="124" t="str">
        <f>IF($B285="","",IF(R$3=0,"n.b.",INDEX(SRC_ZPMW03!$A$1:$ZZ$501,$A285,R$3)))</f>
        <v/>
      </c>
      <c r="S285" s="124" t="str">
        <f>IF($B285="","",IF(S$3=0,"n.b.",INDEX(SRC_ZPMW03!$A$1:$ZZ$501,$A285,S$3)))</f>
        <v/>
      </c>
      <c r="T285" s="124" t="str">
        <f>IF($B285="","",IF(T$3=0,"n.b.",INDEX(SRC_ZPMW03!$A$1:$ZZ$501,$A285,T$3)))</f>
        <v/>
      </c>
      <c r="U285" s="124" t="str">
        <f>IF($B285="","",IF(U$3=0,"n.b.",INDEX(SRC_ZPMW03!$A$1:$ZZ$501,$A285,U$3)))</f>
        <v/>
      </c>
      <c r="V285" s="124" t="str">
        <f>IF($B285="","",IF(V$3=0,"n.b.",INDEX(SRC_ZPMW03!$A$1:$ZZ$501,$A285,V$3)))</f>
        <v/>
      </c>
      <c r="W285" s="124" t="str">
        <f>IF($B285="","",IF(W$3=0,"n.b.",INDEX(SRC_ZPMW03!$A$1:$ZZ$501,$A285,W$3)))</f>
        <v/>
      </c>
      <c r="X285" s="124" t="str">
        <f>IF($B285="","",IF(X$3=0,"n.b.",INDEX(SRC_ZPMW03!$A$1:$ZZ$501,$A285,X$3)))</f>
        <v/>
      </c>
      <c r="Y285" s="124" t="str">
        <f>IF($B285="","",IF(Y$3=0,"n.b.",INDEX(SRC_ZPMW03!$A$1:$ZZ$501,$A285,Y$3)))</f>
        <v/>
      </c>
      <c r="Z285" s="124" t="str">
        <f>IF($B285="","",IF(Z$3=0,"n.b.",INDEX(SRC_ZPMW03!$A$1:$ZZ$501,$A285,Z$3)))</f>
        <v/>
      </c>
      <c r="AA285" s="124" t="str">
        <f>IF($B285="","",IF(AA$3=0,"n.b.",INDEX(SRC_ZPMW03!$A$1:$ZZ$501,$A285,AA$3)))</f>
        <v/>
      </c>
      <c r="AB285" s="124" t="str">
        <f>IF($B285="","",IF(AB$3=0,"n.b.",INDEX(SRC_ZPMW03!$A$1:$ZZ$501,$A285,AB$3)))</f>
        <v/>
      </c>
      <c r="AC285" s="124" t="str">
        <f>IF($B285="","",IF(AC$3=0,"n.b.",INDEX(SRC_ZPMW03!$A$1:$ZZ$501,$A285,AC$3)))</f>
        <v/>
      </c>
      <c r="AD285" s="124" t="str">
        <f>IF($B285="","",IF(AD$3=0,"n.b.",INDEX(SRC_ZPMW03!$A$1:$ZZ$501,$A285,AD$3)))</f>
        <v/>
      </c>
      <c r="AE285" s="124" t="str">
        <f>IF($B285="","",IF(AE$3=0,"n.b.",INDEX(SRC_ZPMW03!$A$1:$ZZ$501,$A285,AE$3)))</f>
        <v/>
      </c>
      <c r="AF285" s="124" t="str">
        <f>IF($B285="","",IF(AF$3=0,"n.b.",INDEX(SRC_ZPMW03!$A$1:$ZZ$501,$A285,AF$3)))</f>
        <v/>
      </c>
      <c r="AG285" s="124" t="str">
        <f>IF($B285="","",IF(AG$3=0,"n.b.",INDEX(SRC_ZPMW03!$A$1:$ZZ$501,$A285,AG$3)))</f>
        <v/>
      </c>
      <c r="AH285" s="124" t="str">
        <f>IF($B285="","",IF(AH$3=0,"n.b.",INDEX(SRC_ZPMW03!$A$1:$ZZ$501,$A285,AH$3)))</f>
        <v/>
      </c>
      <c r="AI285" s="124" t="str">
        <f>IF($B285="","",IF(AI$3=0,"n.b.",INDEX(SRC_ZPMW03!$A$1:$ZZ$501,$A285,AI$3)))</f>
        <v/>
      </c>
      <c r="AJ285" s="124" t="str">
        <f>IF($B285="","",IF(AJ$3=0,"n.b.",INDEX(SRC_ZPMW03!$A$1:$ZZ$501,$A285,AJ$3)))</f>
        <v/>
      </c>
      <c r="AK285" s="124" t="str">
        <f>IF($B285="","",IF(AK$3=0,"n.b.",INDEX(SRC_ZPMW03!$A$1:$ZZ$501,$A285,AK$3)))</f>
        <v/>
      </c>
      <c r="AL285" s="124" t="str">
        <f>IF($B285="","",IF(AL$3=0,"n.b.",INDEX(SRC_ZPMW03!$A$1:$ZZ$501,$A285,AL$3)))</f>
        <v/>
      </c>
      <c r="AM285" s="124" t="str">
        <f>IF($B285="","",IF(AM$3=0,"n.b.",INDEX(SRC_ZPMW03!$A$1:$ZZ$501,$A285,AM$3)))</f>
        <v/>
      </c>
      <c r="AN285" s="124" t="str">
        <f>IF($B285="","",IF(AN$3=0,"n.b.",INDEX(SRC_ZPMW03!$A$1:$ZZ$501,$A285,AN$3)))</f>
        <v/>
      </c>
      <c r="AO285" s="124" t="str">
        <f>IF($B285="","",IF(AO$3=0,"n.b.",INDEX(SRC_ZPMW03!$A$1:$ZZ$501,$A285,AO$3)))</f>
        <v/>
      </c>
      <c r="AP285" s="124" t="str">
        <f>IF($B285="","",IF(AP$3=0,"n.b.",INDEX(SRC_ZPMW03!$A$1:$ZZ$501,$A285,AP$3)))</f>
        <v/>
      </c>
      <c r="AQ285" s="124" t="str">
        <f>IF($B285="","",IF(AQ$3=0,"n.b.",INDEX(SRC_ZPMW03!$A$1:$ZZ$501,$A285,AQ$3)))</f>
        <v/>
      </c>
      <c r="AR285" s="124" t="str">
        <f>IF($B285="","",IF(AR$3=0,"n.b.",INDEX(SRC_ZPMW03!$A$1:$ZZ$501,$A285,AR$3)))</f>
        <v/>
      </c>
      <c r="AS285" s="124" t="str">
        <f>IF($B285="","",IF(AS$3=0,"n.b.",INDEX(SRC_ZPMW03!$A$1:$ZZ$501,$A285,AS$3)))</f>
        <v/>
      </c>
      <c r="AT285" s="124" t="str">
        <f>IF($B285="","",IF(AT$3=0,"n.b.",INDEX(SRC_ZPMW03!$A$1:$ZZ$501,$A285,AT$3)))</f>
        <v/>
      </c>
      <c r="AU285" s="124" t="str">
        <f>IF($B285="","",IF(AU$3=0,"n.b.",INDEX(SRC_ZPMW03!$A$1:$ZZ$501,$A285,AU$3)))</f>
        <v/>
      </c>
      <c r="AV285" s="124" t="str">
        <f>IF($B285="","",IF(AV$3=0,"n.b.",INDEX(SRC_ZPMW03!$A$1:$ZZ$501,$A285,AV$3)))</f>
        <v/>
      </c>
      <c r="AW285" s="124" t="str">
        <f>IF($B285="","",IF(AW$3=0,"n.b.",INDEX(SRC_ZPMW03!$A$1:$ZZ$501,$A285,AW$3)))</f>
        <v/>
      </c>
      <c r="AX285" s="124" t="str">
        <f>IF($B285="","",IF(AX$3=0,"n.b.",INDEX(SRC_ZPMW03!$A$1:$ZZ$501,$A285,AX$3)))</f>
        <v/>
      </c>
      <c r="AY285" s="124" t="str">
        <f>IF($B285="","",IF(AY$3=0,"n.b.",INDEX(SRC_ZPMW03!$A$1:$ZZ$501,$A285,AY$3)))</f>
        <v/>
      </c>
      <c r="AZ285" s="124" t="str">
        <f>IF($B285="","",IF(AZ$3=0,"n.b.",INDEX(SRC_ZPMW03!$A$1:$ZZ$501,$A285,AZ$3)))</f>
        <v/>
      </c>
      <c r="BA285" s="124" t="str">
        <f>IF($B285="","",IF(BA$3=0,"n.b.",INDEX(SRC_ZPMW03!$A$1:$ZZ$501,$A285,BA$3)))</f>
        <v/>
      </c>
      <c r="BB285" s="124" t="str">
        <f>IF($B285="","",IF(BB$3=0,"n.b.",INDEX(SRC_ZPMW03!$A$1:$ZZ$501,$A285,BB$3)))</f>
        <v/>
      </c>
      <c r="BC285" s="124" t="str">
        <f>IF($B285="","",IF(BC$3=0,"n.b.",INDEX(SRC_ZPMW03!$A$1:$ZZ$501,$A285,BC$3)))</f>
        <v/>
      </c>
      <c r="BD285" s="124" t="str">
        <f>IF($B285="","",IF(BD$3=0,"n.b.",INDEX(SRC_ZPMW03!$A$1:$ZZ$501,$A285,BD$3)))</f>
        <v/>
      </c>
      <c r="BE285" s="124" t="str">
        <f>IF($B285="","",IF(BE$3=0,"n.b.",INDEX(SRC_ZPMW03!$A$1:$ZZ$501,$A285,BE$3)))</f>
        <v/>
      </c>
      <c r="BF285" s="124" t="str">
        <f>IF($B285="","",IF(BF$3=0,"n.b.",INDEX(SRC_ZPMW03!$A$1:$ZZ$501,$A285,BF$3)))</f>
        <v/>
      </c>
      <c r="BG285" t="str">
        <f>IF($B285="","",IF(BG$3=0,"n.b.",INDEX(SRC_ZPMW03!$A$1:$ZZ$501,$A285,BG$3)))</f>
        <v/>
      </c>
      <c r="BH285" t="str">
        <f>IF($B285="","",IF(BH$3=0,"n.b.",INDEX(SRC_ZPMW03!$A$1:$ZZ$501,$A285,BH$3)))</f>
        <v/>
      </c>
      <c r="BI285" t="str">
        <f>IF($B285="","",IF(BI$3=0,"n.b.",INDEX(SRC_ZPMW03!$A$1:$ZZ$501,$A285,BI$3)))</f>
        <v/>
      </c>
      <c r="BJ285" t="str">
        <f>IF($B285="","",IF(BJ$3=0,"n.b.",INDEX(SRC_ZPMW03!$A$1:$ZZ$501,$A285,BJ$3)))</f>
        <v/>
      </c>
      <c r="BK285" s="124" t="str">
        <f>IF($B285="","",IFERROR(-O285,"n.b."))</f>
        <v/>
      </c>
      <c r="BL285" s="124" t="str">
        <f>IF($B285="","",IFERROR(-Q285,"n.b."))</f>
        <v/>
      </c>
      <c r="BM285" s="124" t="str">
        <f>IF($B285="","",IFERROR(-AB285,"n.b."))</f>
        <v/>
      </c>
      <c r="BN285" s="124" t="str">
        <f>IF($B285="","",IFERROR(-AD285,"n.b."))</f>
        <v/>
      </c>
      <c r="BO285" s="124" t="str">
        <f>IF($B285="","",IFERROR(BK285+BM285,"n.b."))</f>
        <v/>
      </c>
      <c r="BP285" s="124" t="str">
        <f>IF($B285="","",IFERROR(BL285+BN285,"n.b."))</f>
        <v/>
      </c>
      <c r="BQ285" s="124" t="str">
        <f>IF($B285="","",IFERROR(-AM285,"n.b."))</f>
        <v/>
      </c>
      <c r="BR285" s="124" t="str">
        <f>IF($B285="","",IFERROR(-AO285,"n.b."))</f>
        <v/>
      </c>
      <c r="BS285" s="124" t="str">
        <f>IF($B285="","",IFERROR(-Z285,"n.b."))</f>
        <v/>
      </c>
      <c r="BT285" s="124" t="str">
        <f>IF($B285="","",IFERROR(-AA285,"n.b."))</f>
        <v/>
      </c>
      <c r="BU285" s="124" t="str">
        <f>IF($B285="","",IFERROR(-AE285,"n.b."))</f>
        <v/>
      </c>
      <c r="BV285" s="124" t="str">
        <f>IF($B285="","",IFERROR(-AF285,"n.b."))</f>
        <v/>
      </c>
      <c r="BW285" s="124" t="str">
        <f>IF($B285="","",IFERROR(-AG285,"n.b."))</f>
        <v/>
      </c>
      <c r="BX285" s="124" t="str">
        <f>IF($B285="","",IFERROR(-AH285,"n.b."))</f>
        <v/>
      </c>
      <c r="BY285" s="124" t="str">
        <f>IF($B285="","",IFERROR(-AI285,"n.b."))</f>
        <v/>
      </c>
      <c r="BZ285" s="124" t="str">
        <f>IF($B285="","",IFERROR(-AJ285,"n.b."))</f>
        <v/>
      </c>
      <c r="CA285" s="124" t="str">
        <f>IF($B285="","",IFERROR(-AK285,"n.b."))</f>
        <v/>
      </c>
      <c r="CB285" s="124" t="str">
        <f>IF($B285="","",IFERROR(-AL285,"n.b."))</f>
        <v/>
      </c>
      <c r="CC285" s="124" t="str">
        <f>IF($B285="","",IFERROR(-AP285,"n.b."))</f>
        <v/>
      </c>
      <c r="CD285" s="124" t="str">
        <f>IF($B285="","",IFERROR(-AQ285,"n.b."))</f>
        <v/>
      </c>
      <c r="CE285" s="124" t="str">
        <f>IF($B285="","",IFERROR(-AR285,"n.b."))</f>
        <v/>
      </c>
      <c r="CF285" s="124" t="str">
        <f>IF($B285="","",IFERROR(-AS285,"n.b."))</f>
        <v/>
      </c>
      <c r="CG285" s="124" t="str">
        <f>IF($B285="","",IFERROR(-AT285,"n.b."))</f>
        <v/>
      </c>
      <c r="CH285" s="124" t="str">
        <f>IF($B285="","",IFERROR(-AU285,"n.b."))</f>
        <v/>
      </c>
      <c r="CI285" s="124" t="str">
        <f>IF($B285="","",IFERROR(-AV285,"n.b."))</f>
        <v/>
      </c>
      <c r="CJ285" s="124" t="str">
        <f>IF($B285="","",IFERROR(-AW285,"n.b."))</f>
        <v/>
      </c>
      <c r="CK285" s="124" t="str">
        <f>IF($B285="","",IFERROR(-AX285,"n.b."))</f>
        <v/>
      </c>
      <c r="CL285" s="124" t="str">
        <f>IF($B285="","",IFERROR(-AY285,"n.b."))</f>
        <v/>
      </c>
      <c r="CM285" s="124" t="str">
        <f>IF($B285="","",IFERROR(-AZ285,"n.b."))</f>
        <v/>
      </c>
      <c r="CN285" s="124" t="str">
        <f>IF($B285="","",IFERROR(-BA285,"n.b."))</f>
        <v/>
      </c>
      <c r="CO285" s="124" t="str">
        <f>IF($B285="","",IFERROR(-BB285,"n.b."))</f>
        <v/>
      </c>
      <c r="CP285" s="124" t="str">
        <f>IF($B285="","",IFERROR(-BC285,"n.b."))</f>
        <v/>
      </c>
      <c r="CQ285" s="124" t="str">
        <f>IF($B285="","",IFERROR(-BD285,"n.b."))</f>
        <v/>
      </c>
      <c r="CR285" s="124" t="str">
        <f>IF($B285="","",IFERROR(-BE285,"n.b."))</f>
        <v/>
      </c>
      <c r="CS285" s="124" t="str">
        <f>IF($B285="","",IFERROR(IF(OR(ABS(T285+V285+X285+Z285-AB285)&gt;P_Tol,ABS(U285+W285+Y285+AA285-AD285)&gt;P_Tol,ABS(AE285+AG285+AI285+AK285-AM285)&gt;P_Tol,ABS(AF285+AH285+AJ285+AL285-AO285)&gt;P_Tol),1,0),1))</f>
        <v/>
      </c>
      <c r="CT285" s="124" t="str">
        <f>IF($B285="","",IFERROR(IF(OR(ABS(AB285+AC285-AD285)&gt;P_Tol,ABS(AM285+AN285-AO285)&gt;P_Tol,ABS(O285+P285-Q285)&gt;P_Tol),1,0),1))</f>
        <v/>
      </c>
      <c r="CU285" s="124" t="str">
        <f>IF($B285="","",IFERROR(IF(ABS(R285-(AB285+AM285+AP285+AR285+AT285+AV285+AX285+AZ285+BB285+BD285))&gt;P_Tol,1,0),1))</f>
        <v/>
      </c>
      <c r="CV285" s="124" t="str">
        <f>IF($B285="","",IFERROR(IF(ABS(M285-(N285+O285+R285))&gt;P_Tol,1,0),1))</f>
        <v/>
      </c>
      <c r="CW285" s="124" t="str">
        <f>IF($B285="","",IF(COUNTIF(Mapping!$A$5:$A$104,B285)&gt;0,1,0))</f>
        <v/>
      </c>
      <c r="CX285" s="124" t="str">
        <f>IF($B285="","",COUNTIF($B$6:$B$505,B285))</f>
        <v/>
      </c>
      <c r="CY285" s="124" t="str">
        <f>IF($B285="","",COUNTIF(STG_Woningetalage!$B$6:$B$505,B285))</f>
        <v/>
      </c>
      <c r="CZ285" s="124" t="str">
        <f>IF($B285="","",IF(CW285=0,COUNTIF($CW$6:CW285,0),""))</f>
        <v/>
      </c>
    </row>
    <row r="286">
      <c r="A286" s="15" t="n">
        <v>282</v>
      </c>
      <c r="B286" t="str">
        <f>IF(B$3=0,"",IF(INDEX(SRC_ZPMW03!$A$1:$ZZ$501,$A286,B$3)&amp;""="","",INDEX(SRC_ZPMW03!$A$1:$ZZ$501,$A286,B$3)&amp;""))</f>
        <v/>
      </c>
      <c r="C286" t="str">
        <f>IF($B286="","",IF(C$3=0,"n.b.",INDEX(SRC_ZPMW03!$A$1:$ZZ$501,$A286,C$3)))</f>
        <v/>
      </c>
      <c r="D286" t="str">
        <f>IF($B286="","",IF(D$3=0,"n.b.",INDEX(SRC_ZPMW03!$A$1:$ZZ$501,$A286,D$3)))</f>
        <v/>
      </c>
      <c r="E286" t="str">
        <f>IF($B286="","",IF(E$3=0,"n.b.",INDEX(SRC_ZPMW03!$A$1:$ZZ$501,$A286,E$3)))</f>
        <v/>
      </c>
      <c r="F286" t="str">
        <f>IF($B286="","",IF(F$3=0,"n.b.",INDEX(SRC_ZPMW03!$A$1:$ZZ$501,$A286,F$3)))</f>
        <v/>
      </c>
      <c r="G286" t="str">
        <f>IF($B286="","",IF(G$3=0,"n.b.",INDEX(SRC_ZPMW03!$A$1:$ZZ$501,$A286,G$3)))</f>
        <v/>
      </c>
      <c r="H286" t="str">
        <f>IF($B286="","",IF(H$3=0,"n.b.",INDEX(SRC_ZPMW03!$A$1:$ZZ$501,$A286,H$3)))</f>
        <v/>
      </c>
      <c r="I286" t="str">
        <f>IF($B286="","",IF(I$3=0,"n.b.",INDEX(SRC_ZPMW03!$A$1:$ZZ$501,$A286,I$3)))</f>
        <v/>
      </c>
      <c r="J286" t="str">
        <f>IF($B286="","",IF(J$3=0,"n.b.",INDEX(SRC_ZPMW03!$A$1:$ZZ$501,$A286,J$3)))</f>
        <v/>
      </c>
      <c r="K286" t="str">
        <f>IF($B286="","",IF(K$3=0,"n.b.",INDEX(SRC_ZPMW03!$A$1:$ZZ$501,$A286,K$3)))</f>
        <v/>
      </c>
      <c r="L286" s="124" t="str">
        <f>IF($B286="","",IF(L$3=0,"n.b.",INDEX(SRC_ZPMW03!$A$1:$ZZ$501,$A286,L$3)))</f>
        <v/>
      </c>
      <c r="M286" s="124" t="str">
        <f>IF($B286="","",IF(M$3=0,"n.b.",INDEX(SRC_ZPMW03!$A$1:$ZZ$501,$A286,M$3)))</f>
        <v/>
      </c>
      <c r="N286" s="124" t="str">
        <f>IF($B286="","",IF(N$3=0,"n.b.",INDEX(SRC_ZPMW03!$A$1:$ZZ$501,$A286,N$3)))</f>
        <v/>
      </c>
      <c r="O286" s="124" t="str">
        <f>IF($B286="","",IF(O$3=0,"n.b.",INDEX(SRC_ZPMW03!$A$1:$ZZ$501,$A286,O$3)))</f>
        <v/>
      </c>
      <c r="P286" s="124" t="str">
        <f>IF($B286="","",IF(P$3=0,"n.b.",INDEX(SRC_ZPMW03!$A$1:$ZZ$501,$A286,P$3)))</f>
        <v/>
      </c>
      <c r="Q286" s="124" t="str">
        <f>IF($B286="","",IF(Q$3=0,"n.b.",INDEX(SRC_ZPMW03!$A$1:$ZZ$501,$A286,Q$3)))</f>
        <v/>
      </c>
      <c r="R286" s="124" t="str">
        <f>IF($B286="","",IF(R$3=0,"n.b.",INDEX(SRC_ZPMW03!$A$1:$ZZ$501,$A286,R$3)))</f>
        <v/>
      </c>
      <c r="S286" s="124" t="str">
        <f>IF($B286="","",IF(S$3=0,"n.b.",INDEX(SRC_ZPMW03!$A$1:$ZZ$501,$A286,S$3)))</f>
        <v/>
      </c>
      <c r="T286" s="124" t="str">
        <f>IF($B286="","",IF(T$3=0,"n.b.",INDEX(SRC_ZPMW03!$A$1:$ZZ$501,$A286,T$3)))</f>
        <v/>
      </c>
      <c r="U286" s="124" t="str">
        <f>IF($B286="","",IF(U$3=0,"n.b.",INDEX(SRC_ZPMW03!$A$1:$ZZ$501,$A286,U$3)))</f>
        <v/>
      </c>
      <c r="V286" s="124" t="str">
        <f>IF($B286="","",IF(V$3=0,"n.b.",INDEX(SRC_ZPMW03!$A$1:$ZZ$501,$A286,V$3)))</f>
        <v/>
      </c>
      <c r="W286" s="124" t="str">
        <f>IF($B286="","",IF(W$3=0,"n.b.",INDEX(SRC_ZPMW03!$A$1:$ZZ$501,$A286,W$3)))</f>
        <v/>
      </c>
      <c r="X286" s="124" t="str">
        <f>IF($B286="","",IF(X$3=0,"n.b.",INDEX(SRC_ZPMW03!$A$1:$ZZ$501,$A286,X$3)))</f>
        <v/>
      </c>
      <c r="Y286" s="124" t="str">
        <f>IF($B286="","",IF(Y$3=0,"n.b.",INDEX(SRC_ZPMW03!$A$1:$ZZ$501,$A286,Y$3)))</f>
        <v/>
      </c>
      <c r="Z286" s="124" t="str">
        <f>IF($B286="","",IF(Z$3=0,"n.b.",INDEX(SRC_ZPMW03!$A$1:$ZZ$501,$A286,Z$3)))</f>
        <v/>
      </c>
      <c r="AA286" s="124" t="str">
        <f>IF($B286="","",IF(AA$3=0,"n.b.",INDEX(SRC_ZPMW03!$A$1:$ZZ$501,$A286,AA$3)))</f>
        <v/>
      </c>
      <c r="AB286" s="124" t="str">
        <f>IF($B286="","",IF(AB$3=0,"n.b.",INDEX(SRC_ZPMW03!$A$1:$ZZ$501,$A286,AB$3)))</f>
        <v/>
      </c>
      <c r="AC286" s="124" t="str">
        <f>IF($B286="","",IF(AC$3=0,"n.b.",INDEX(SRC_ZPMW03!$A$1:$ZZ$501,$A286,AC$3)))</f>
        <v/>
      </c>
      <c r="AD286" s="124" t="str">
        <f>IF($B286="","",IF(AD$3=0,"n.b.",INDEX(SRC_ZPMW03!$A$1:$ZZ$501,$A286,AD$3)))</f>
        <v/>
      </c>
      <c r="AE286" s="124" t="str">
        <f>IF($B286="","",IF(AE$3=0,"n.b.",INDEX(SRC_ZPMW03!$A$1:$ZZ$501,$A286,AE$3)))</f>
        <v/>
      </c>
      <c r="AF286" s="124" t="str">
        <f>IF($B286="","",IF(AF$3=0,"n.b.",INDEX(SRC_ZPMW03!$A$1:$ZZ$501,$A286,AF$3)))</f>
        <v/>
      </c>
      <c r="AG286" s="124" t="str">
        <f>IF($B286="","",IF(AG$3=0,"n.b.",INDEX(SRC_ZPMW03!$A$1:$ZZ$501,$A286,AG$3)))</f>
        <v/>
      </c>
      <c r="AH286" s="124" t="str">
        <f>IF($B286="","",IF(AH$3=0,"n.b.",INDEX(SRC_ZPMW03!$A$1:$ZZ$501,$A286,AH$3)))</f>
        <v/>
      </c>
      <c r="AI286" s="124" t="str">
        <f>IF($B286="","",IF(AI$3=0,"n.b.",INDEX(SRC_ZPMW03!$A$1:$ZZ$501,$A286,AI$3)))</f>
        <v/>
      </c>
      <c r="AJ286" s="124" t="str">
        <f>IF($B286="","",IF(AJ$3=0,"n.b.",INDEX(SRC_ZPMW03!$A$1:$ZZ$501,$A286,AJ$3)))</f>
        <v/>
      </c>
      <c r="AK286" s="124" t="str">
        <f>IF($B286="","",IF(AK$3=0,"n.b.",INDEX(SRC_ZPMW03!$A$1:$ZZ$501,$A286,AK$3)))</f>
        <v/>
      </c>
      <c r="AL286" s="124" t="str">
        <f>IF($B286="","",IF(AL$3=0,"n.b.",INDEX(SRC_ZPMW03!$A$1:$ZZ$501,$A286,AL$3)))</f>
        <v/>
      </c>
      <c r="AM286" s="124" t="str">
        <f>IF($B286="","",IF(AM$3=0,"n.b.",INDEX(SRC_ZPMW03!$A$1:$ZZ$501,$A286,AM$3)))</f>
        <v/>
      </c>
      <c r="AN286" s="124" t="str">
        <f>IF($B286="","",IF(AN$3=0,"n.b.",INDEX(SRC_ZPMW03!$A$1:$ZZ$501,$A286,AN$3)))</f>
        <v/>
      </c>
      <c r="AO286" s="124" t="str">
        <f>IF($B286="","",IF(AO$3=0,"n.b.",INDEX(SRC_ZPMW03!$A$1:$ZZ$501,$A286,AO$3)))</f>
        <v/>
      </c>
      <c r="AP286" s="124" t="str">
        <f>IF($B286="","",IF(AP$3=0,"n.b.",INDEX(SRC_ZPMW03!$A$1:$ZZ$501,$A286,AP$3)))</f>
        <v/>
      </c>
      <c r="AQ286" s="124" t="str">
        <f>IF($B286="","",IF(AQ$3=0,"n.b.",INDEX(SRC_ZPMW03!$A$1:$ZZ$501,$A286,AQ$3)))</f>
        <v/>
      </c>
      <c r="AR286" s="124" t="str">
        <f>IF($B286="","",IF(AR$3=0,"n.b.",INDEX(SRC_ZPMW03!$A$1:$ZZ$501,$A286,AR$3)))</f>
        <v/>
      </c>
      <c r="AS286" s="124" t="str">
        <f>IF($B286="","",IF(AS$3=0,"n.b.",INDEX(SRC_ZPMW03!$A$1:$ZZ$501,$A286,AS$3)))</f>
        <v/>
      </c>
      <c r="AT286" s="124" t="str">
        <f>IF($B286="","",IF(AT$3=0,"n.b.",INDEX(SRC_ZPMW03!$A$1:$ZZ$501,$A286,AT$3)))</f>
        <v/>
      </c>
      <c r="AU286" s="124" t="str">
        <f>IF($B286="","",IF(AU$3=0,"n.b.",INDEX(SRC_ZPMW03!$A$1:$ZZ$501,$A286,AU$3)))</f>
        <v/>
      </c>
      <c r="AV286" s="124" t="str">
        <f>IF($B286="","",IF(AV$3=0,"n.b.",INDEX(SRC_ZPMW03!$A$1:$ZZ$501,$A286,AV$3)))</f>
        <v/>
      </c>
      <c r="AW286" s="124" t="str">
        <f>IF($B286="","",IF(AW$3=0,"n.b.",INDEX(SRC_ZPMW03!$A$1:$ZZ$501,$A286,AW$3)))</f>
        <v/>
      </c>
      <c r="AX286" s="124" t="str">
        <f>IF($B286="","",IF(AX$3=0,"n.b.",INDEX(SRC_ZPMW03!$A$1:$ZZ$501,$A286,AX$3)))</f>
        <v/>
      </c>
      <c r="AY286" s="124" t="str">
        <f>IF($B286="","",IF(AY$3=0,"n.b.",INDEX(SRC_ZPMW03!$A$1:$ZZ$501,$A286,AY$3)))</f>
        <v/>
      </c>
      <c r="AZ286" s="124" t="str">
        <f>IF($B286="","",IF(AZ$3=0,"n.b.",INDEX(SRC_ZPMW03!$A$1:$ZZ$501,$A286,AZ$3)))</f>
        <v/>
      </c>
      <c r="BA286" s="124" t="str">
        <f>IF($B286="","",IF(BA$3=0,"n.b.",INDEX(SRC_ZPMW03!$A$1:$ZZ$501,$A286,BA$3)))</f>
        <v/>
      </c>
      <c r="BB286" s="124" t="str">
        <f>IF($B286="","",IF(BB$3=0,"n.b.",INDEX(SRC_ZPMW03!$A$1:$ZZ$501,$A286,BB$3)))</f>
        <v/>
      </c>
      <c r="BC286" s="124" t="str">
        <f>IF($B286="","",IF(BC$3=0,"n.b.",INDEX(SRC_ZPMW03!$A$1:$ZZ$501,$A286,BC$3)))</f>
        <v/>
      </c>
      <c r="BD286" s="124" t="str">
        <f>IF($B286="","",IF(BD$3=0,"n.b.",INDEX(SRC_ZPMW03!$A$1:$ZZ$501,$A286,BD$3)))</f>
        <v/>
      </c>
      <c r="BE286" s="124" t="str">
        <f>IF($B286="","",IF(BE$3=0,"n.b.",INDEX(SRC_ZPMW03!$A$1:$ZZ$501,$A286,BE$3)))</f>
        <v/>
      </c>
      <c r="BF286" s="124" t="str">
        <f>IF($B286="","",IF(BF$3=0,"n.b.",INDEX(SRC_ZPMW03!$A$1:$ZZ$501,$A286,BF$3)))</f>
        <v/>
      </c>
      <c r="BG286" t="str">
        <f>IF($B286="","",IF(BG$3=0,"n.b.",INDEX(SRC_ZPMW03!$A$1:$ZZ$501,$A286,BG$3)))</f>
        <v/>
      </c>
      <c r="BH286" t="str">
        <f>IF($B286="","",IF(BH$3=0,"n.b.",INDEX(SRC_ZPMW03!$A$1:$ZZ$501,$A286,BH$3)))</f>
        <v/>
      </c>
      <c r="BI286" t="str">
        <f>IF($B286="","",IF(BI$3=0,"n.b.",INDEX(SRC_ZPMW03!$A$1:$ZZ$501,$A286,BI$3)))</f>
        <v/>
      </c>
      <c r="BJ286" t="str">
        <f>IF($B286="","",IF(BJ$3=0,"n.b.",INDEX(SRC_ZPMW03!$A$1:$ZZ$501,$A286,BJ$3)))</f>
        <v/>
      </c>
      <c r="BK286" s="124" t="str">
        <f>IF($B286="","",IFERROR(-O286,"n.b."))</f>
        <v/>
      </c>
      <c r="BL286" s="124" t="str">
        <f>IF($B286="","",IFERROR(-Q286,"n.b."))</f>
        <v/>
      </c>
      <c r="BM286" s="124" t="str">
        <f>IF($B286="","",IFERROR(-AB286,"n.b."))</f>
        <v/>
      </c>
      <c r="BN286" s="124" t="str">
        <f>IF($B286="","",IFERROR(-AD286,"n.b."))</f>
        <v/>
      </c>
      <c r="BO286" s="124" t="str">
        <f>IF($B286="","",IFERROR(BK286+BM286,"n.b."))</f>
        <v/>
      </c>
      <c r="BP286" s="124" t="str">
        <f>IF($B286="","",IFERROR(BL286+BN286,"n.b."))</f>
        <v/>
      </c>
      <c r="BQ286" s="124" t="str">
        <f>IF($B286="","",IFERROR(-AM286,"n.b."))</f>
        <v/>
      </c>
      <c r="BR286" s="124" t="str">
        <f>IF($B286="","",IFERROR(-AO286,"n.b."))</f>
        <v/>
      </c>
      <c r="BS286" s="124" t="str">
        <f>IF($B286="","",IFERROR(-Z286,"n.b."))</f>
        <v/>
      </c>
      <c r="BT286" s="124" t="str">
        <f>IF($B286="","",IFERROR(-AA286,"n.b."))</f>
        <v/>
      </c>
      <c r="BU286" s="124" t="str">
        <f>IF($B286="","",IFERROR(-AE286,"n.b."))</f>
        <v/>
      </c>
      <c r="BV286" s="124" t="str">
        <f>IF($B286="","",IFERROR(-AF286,"n.b."))</f>
        <v/>
      </c>
      <c r="BW286" s="124" t="str">
        <f>IF($B286="","",IFERROR(-AG286,"n.b."))</f>
        <v/>
      </c>
      <c r="BX286" s="124" t="str">
        <f>IF($B286="","",IFERROR(-AH286,"n.b."))</f>
        <v/>
      </c>
      <c r="BY286" s="124" t="str">
        <f>IF($B286="","",IFERROR(-AI286,"n.b."))</f>
        <v/>
      </c>
      <c r="BZ286" s="124" t="str">
        <f>IF($B286="","",IFERROR(-AJ286,"n.b."))</f>
        <v/>
      </c>
      <c r="CA286" s="124" t="str">
        <f>IF($B286="","",IFERROR(-AK286,"n.b."))</f>
        <v/>
      </c>
      <c r="CB286" s="124" t="str">
        <f>IF($B286="","",IFERROR(-AL286,"n.b."))</f>
        <v/>
      </c>
      <c r="CC286" s="124" t="str">
        <f>IF($B286="","",IFERROR(-AP286,"n.b."))</f>
        <v/>
      </c>
      <c r="CD286" s="124" t="str">
        <f>IF($B286="","",IFERROR(-AQ286,"n.b."))</f>
        <v/>
      </c>
      <c r="CE286" s="124" t="str">
        <f>IF($B286="","",IFERROR(-AR286,"n.b."))</f>
        <v/>
      </c>
      <c r="CF286" s="124" t="str">
        <f>IF($B286="","",IFERROR(-AS286,"n.b."))</f>
        <v/>
      </c>
      <c r="CG286" s="124" t="str">
        <f>IF($B286="","",IFERROR(-AT286,"n.b."))</f>
        <v/>
      </c>
      <c r="CH286" s="124" t="str">
        <f>IF($B286="","",IFERROR(-AU286,"n.b."))</f>
        <v/>
      </c>
      <c r="CI286" s="124" t="str">
        <f>IF($B286="","",IFERROR(-AV286,"n.b."))</f>
        <v/>
      </c>
      <c r="CJ286" s="124" t="str">
        <f>IF($B286="","",IFERROR(-AW286,"n.b."))</f>
        <v/>
      </c>
      <c r="CK286" s="124" t="str">
        <f>IF($B286="","",IFERROR(-AX286,"n.b."))</f>
        <v/>
      </c>
      <c r="CL286" s="124" t="str">
        <f>IF($B286="","",IFERROR(-AY286,"n.b."))</f>
        <v/>
      </c>
      <c r="CM286" s="124" t="str">
        <f>IF($B286="","",IFERROR(-AZ286,"n.b."))</f>
        <v/>
      </c>
      <c r="CN286" s="124" t="str">
        <f>IF($B286="","",IFERROR(-BA286,"n.b."))</f>
        <v/>
      </c>
      <c r="CO286" s="124" t="str">
        <f>IF($B286="","",IFERROR(-BB286,"n.b."))</f>
        <v/>
      </c>
      <c r="CP286" s="124" t="str">
        <f>IF($B286="","",IFERROR(-BC286,"n.b."))</f>
        <v/>
      </c>
      <c r="CQ286" s="124" t="str">
        <f>IF($B286="","",IFERROR(-BD286,"n.b."))</f>
        <v/>
      </c>
      <c r="CR286" s="124" t="str">
        <f>IF($B286="","",IFERROR(-BE286,"n.b."))</f>
        <v/>
      </c>
      <c r="CS286" s="124" t="str">
        <f>IF($B286="","",IFERROR(IF(OR(ABS(T286+V286+X286+Z286-AB286)&gt;P_Tol,ABS(U286+W286+Y286+AA286-AD286)&gt;P_Tol,ABS(AE286+AG286+AI286+AK286-AM286)&gt;P_Tol,ABS(AF286+AH286+AJ286+AL286-AO286)&gt;P_Tol),1,0),1))</f>
        <v/>
      </c>
      <c r="CT286" s="124" t="str">
        <f>IF($B286="","",IFERROR(IF(OR(ABS(AB286+AC286-AD286)&gt;P_Tol,ABS(AM286+AN286-AO286)&gt;P_Tol,ABS(O286+P286-Q286)&gt;P_Tol),1,0),1))</f>
        <v/>
      </c>
      <c r="CU286" s="124" t="str">
        <f>IF($B286="","",IFERROR(IF(ABS(R286-(AB286+AM286+AP286+AR286+AT286+AV286+AX286+AZ286+BB286+BD286))&gt;P_Tol,1,0),1))</f>
        <v/>
      </c>
      <c r="CV286" s="124" t="str">
        <f>IF($B286="","",IFERROR(IF(ABS(M286-(N286+O286+R286))&gt;P_Tol,1,0),1))</f>
        <v/>
      </c>
      <c r="CW286" s="124" t="str">
        <f>IF($B286="","",IF(COUNTIF(Mapping!$A$5:$A$104,B286)&gt;0,1,0))</f>
        <v/>
      </c>
      <c r="CX286" s="124" t="str">
        <f>IF($B286="","",COUNTIF($B$6:$B$505,B286))</f>
        <v/>
      </c>
      <c r="CY286" s="124" t="str">
        <f>IF($B286="","",COUNTIF(STG_Woningetalage!$B$6:$B$505,B286))</f>
        <v/>
      </c>
      <c r="CZ286" s="124" t="str">
        <f>IF($B286="","",IF(CW286=0,COUNTIF($CW$6:CW286,0),""))</f>
        <v/>
      </c>
    </row>
    <row r="287">
      <c r="A287" s="15" t="n">
        <v>283</v>
      </c>
      <c r="B287" t="str">
        <f>IF(B$3=0,"",IF(INDEX(SRC_ZPMW03!$A$1:$ZZ$501,$A287,B$3)&amp;""="","",INDEX(SRC_ZPMW03!$A$1:$ZZ$501,$A287,B$3)&amp;""))</f>
        <v/>
      </c>
      <c r="C287" t="str">
        <f>IF($B287="","",IF(C$3=0,"n.b.",INDEX(SRC_ZPMW03!$A$1:$ZZ$501,$A287,C$3)))</f>
        <v/>
      </c>
      <c r="D287" t="str">
        <f>IF($B287="","",IF(D$3=0,"n.b.",INDEX(SRC_ZPMW03!$A$1:$ZZ$501,$A287,D$3)))</f>
        <v/>
      </c>
      <c r="E287" t="str">
        <f>IF($B287="","",IF(E$3=0,"n.b.",INDEX(SRC_ZPMW03!$A$1:$ZZ$501,$A287,E$3)))</f>
        <v/>
      </c>
      <c r="F287" t="str">
        <f>IF($B287="","",IF(F$3=0,"n.b.",INDEX(SRC_ZPMW03!$A$1:$ZZ$501,$A287,F$3)))</f>
        <v/>
      </c>
      <c r="G287" t="str">
        <f>IF($B287="","",IF(G$3=0,"n.b.",INDEX(SRC_ZPMW03!$A$1:$ZZ$501,$A287,G$3)))</f>
        <v/>
      </c>
      <c r="H287" t="str">
        <f>IF($B287="","",IF(H$3=0,"n.b.",INDEX(SRC_ZPMW03!$A$1:$ZZ$501,$A287,H$3)))</f>
        <v/>
      </c>
      <c r="I287" t="str">
        <f>IF($B287="","",IF(I$3=0,"n.b.",INDEX(SRC_ZPMW03!$A$1:$ZZ$501,$A287,I$3)))</f>
        <v/>
      </c>
      <c r="J287" t="str">
        <f>IF($B287="","",IF(J$3=0,"n.b.",INDEX(SRC_ZPMW03!$A$1:$ZZ$501,$A287,J$3)))</f>
        <v/>
      </c>
      <c r="K287" t="str">
        <f>IF($B287="","",IF(K$3=0,"n.b.",INDEX(SRC_ZPMW03!$A$1:$ZZ$501,$A287,K$3)))</f>
        <v/>
      </c>
      <c r="L287" s="124" t="str">
        <f>IF($B287="","",IF(L$3=0,"n.b.",INDEX(SRC_ZPMW03!$A$1:$ZZ$501,$A287,L$3)))</f>
        <v/>
      </c>
      <c r="M287" s="124" t="str">
        <f>IF($B287="","",IF(M$3=0,"n.b.",INDEX(SRC_ZPMW03!$A$1:$ZZ$501,$A287,M$3)))</f>
        <v/>
      </c>
      <c r="N287" s="124" t="str">
        <f>IF($B287="","",IF(N$3=0,"n.b.",INDEX(SRC_ZPMW03!$A$1:$ZZ$501,$A287,N$3)))</f>
        <v/>
      </c>
      <c r="O287" s="124" t="str">
        <f>IF($B287="","",IF(O$3=0,"n.b.",INDEX(SRC_ZPMW03!$A$1:$ZZ$501,$A287,O$3)))</f>
        <v/>
      </c>
      <c r="P287" s="124" t="str">
        <f>IF($B287="","",IF(P$3=0,"n.b.",INDEX(SRC_ZPMW03!$A$1:$ZZ$501,$A287,P$3)))</f>
        <v/>
      </c>
      <c r="Q287" s="124" t="str">
        <f>IF($B287="","",IF(Q$3=0,"n.b.",INDEX(SRC_ZPMW03!$A$1:$ZZ$501,$A287,Q$3)))</f>
        <v/>
      </c>
      <c r="R287" s="124" t="str">
        <f>IF($B287="","",IF(R$3=0,"n.b.",INDEX(SRC_ZPMW03!$A$1:$ZZ$501,$A287,R$3)))</f>
        <v/>
      </c>
      <c r="S287" s="124" t="str">
        <f>IF($B287="","",IF(S$3=0,"n.b.",INDEX(SRC_ZPMW03!$A$1:$ZZ$501,$A287,S$3)))</f>
        <v/>
      </c>
      <c r="T287" s="124" t="str">
        <f>IF($B287="","",IF(T$3=0,"n.b.",INDEX(SRC_ZPMW03!$A$1:$ZZ$501,$A287,T$3)))</f>
        <v/>
      </c>
      <c r="U287" s="124" t="str">
        <f>IF($B287="","",IF(U$3=0,"n.b.",INDEX(SRC_ZPMW03!$A$1:$ZZ$501,$A287,U$3)))</f>
        <v/>
      </c>
      <c r="V287" s="124" t="str">
        <f>IF($B287="","",IF(V$3=0,"n.b.",INDEX(SRC_ZPMW03!$A$1:$ZZ$501,$A287,V$3)))</f>
        <v/>
      </c>
      <c r="W287" s="124" t="str">
        <f>IF($B287="","",IF(W$3=0,"n.b.",INDEX(SRC_ZPMW03!$A$1:$ZZ$501,$A287,W$3)))</f>
        <v/>
      </c>
      <c r="X287" s="124" t="str">
        <f>IF($B287="","",IF(X$3=0,"n.b.",INDEX(SRC_ZPMW03!$A$1:$ZZ$501,$A287,X$3)))</f>
        <v/>
      </c>
      <c r="Y287" s="124" t="str">
        <f>IF($B287="","",IF(Y$3=0,"n.b.",INDEX(SRC_ZPMW03!$A$1:$ZZ$501,$A287,Y$3)))</f>
        <v/>
      </c>
      <c r="Z287" s="124" t="str">
        <f>IF($B287="","",IF(Z$3=0,"n.b.",INDEX(SRC_ZPMW03!$A$1:$ZZ$501,$A287,Z$3)))</f>
        <v/>
      </c>
      <c r="AA287" s="124" t="str">
        <f>IF($B287="","",IF(AA$3=0,"n.b.",INDEX(SRC_ZPMW03!$A$1:$ZZ$501,$A287,AA$3)))</f>
        <v/>
      </c>
      <c r="AB287" s="124" t="str">
        <f>IF($B287="","",IF(AB$3=0,"n.b.",INDEX(SRC_ZPMW03!$A$1:$ZZ$501,$A287,AB$3)))</f>
        <v/>
      </c>
      <c r="AC287" s="124" t="str">
        <f>IF($B287="","",IF(AC$3=0,"n.b.",INDEX(SRC_ZPMW03!$A$1:$ZZ$501,$A287,AC$3)))</f>
        <v/>
      </c>
      <c r="AD287" s="124" t="str">
        <f>IF($B287="","",IF(AD$3=0,"n.b.",INDEX(SRC_ZPMW03!$A$1:$ZZ$501,$A287,AD$3)))</f>
        <v/>
      </c>
      <c r="AE287" s="124" t="str">
        <f>IF($B287="","",IF(AE$3=0,"n.b.",INDEX(SRC_ZPMW03!$A$1:$ZZ$501,$A287,AE$3)))</f>
        <v/>
      </c>
      <c r="AF287" s="124" t="str">
        <f>IF($B287="","",IF(AF$3=0,"n.b.",INDEX(SRC_ZPMW03!$A$1:$ZZ$501,$A287,AF$3)))</f>
        <v/>
      </c>
      <c r="AG287" s="124" t="str">
        <f>IF($B287="","",IF(AG$3=0,"n.b.",INDEX(SRC_ZPMW03!$A$1:$ZZ$501,$A287,AG$3)))</f>
        <v/>
      </c>
      <c r="AH287" s="124" t="str">
        <f>IF($B287="","",IF(AH$3=0,"n.b.",INDEX(SRC_ZPMW03!$A$1:$ZZ$501,$A287,AH$3)))</f>
        <v/>
      </c>
      <c r="AI287" s="124" t="str">
        <f>IF($B287="","",IF(AI$3=0,"n.b.",INDEX(SRC_ZPMW03!$A$1:$ZZ$501,$A287,AI$3)))</f>
        <v/>
      </c>
      <c r="AJ287" s="124" t="str">
        <f>IF($B287="","",IF(AJ$3=0,"n.b.",INDEX(SRC_ZPMW03!$A$1:$ZZ$501,$A287,AJ$3)))</f>
        <v/>
      </c>
      <c r="AK287" s="124" t="str">
        <f>IF($B287="","",IF(AK$3=0,"n.b.",INDEX(SRC_ZPMW03!$A$1:$ZZ$501,$A287,AK$3)))</f>
        <v/>
      </c>
      <c r="AL287" s="124" t="str">
        <f>IF($B287="","",IF(AL$3=0,"n.b.",INDEX(SRC_ZPMW03!$A$1:$ZZ$501,$A287,AL$3)))</f>
        <v/>
      </c>
      <c r="AM287" s="124" t="str">
        <f>IF($B287="","",IF(AM$3=0,"n.b.",INDEX(SRC_ZPMW03!$A$1:$ZZ$501,$A287,AM$3)))</f>
        <v/>
      </c>
      <c r="AN287" s="124" t="str">
        <f>IF($B287="","",IF(AN$3=0,"n.b.",INDEX(SRC_ZPMW03!$A$1:$ZZ$501,$A287,AN$3)))</f>
        <v/>
      </c>
      <c r="AO287" s="124" t="str">
        <f>IF($B287="","",IF(AO$3=0,"n.b.",INDEX(SRC_ZPMW03!$A$1:$ZZ$501,$A287,AO$3)))</f>
        <v/>
      </c>
      <c r="AP287" s="124" t="str">
        <f>IF($B287="","",IF(AP$3=0,"n.b.",INDEX(SRC_ZPMW03!$A$1:$ZZ$501,$A287,AP$3)))</f>
        <v/>
      </c>
      <c r="AQ287" s="124" t="str">
        <f>IF($B287="","",IF(AQ$3=0,"n.b.",INDEX(SRC_ZPMW03!$A$1:$ZZ$501,$A287,AQ$3)))</f>
        <v/>
      </c>
      <c r="AR287" s="124" t="str">
        <f>IF($B287="","",IF(AR$3=0,"n.b.",INDEX(SRC_ZPMW03!$A$1:$ZZ$501,$A287,AR$3)))</f>
        <v/>
      </c>
      <c r="AS287" s="124" t="str">
        <f>IF($B287="","",IF(AS$3=0,"n.b.",INDEX(SRC_ZPMW03!$A$1:$ZZ$501,$A287,AS$3)))</f>
        <v/>
      </c>
      <c r="AT287" s="124" t="str">
        <f>IF($B287="","",IF(AT$3=0,"n.b.",INDEX(SRC_ZPMW03!$A$1:$ZZ$501,$A287,AT$3)))</f>
        <v/>
      </c>
      <c r="AU287" s="124" t="str">
        <f>IF($B287="","",IF(AU$3=0,"n.b.",INDEX(SRC_ZPMW03!$A$1:$ZZ$501,$A287,AU$3)))</f>
        <v/>
      </c>
      <c r="AV287" s="124" t="str">
        <f>IF($B287="","",IF(AV$3=0,"n.b.",INDEX(SRC_ZPMW03!$A$1:$ZZ$501,$A287,AV$3)))</f>
        <v/>
      </c>
      <c r="AW287" s="124" t="str">
        <f>IF($B287="","",IF(AW$3=0,"n.b.",INDEX(SRC_ZPMW03!$A$1:$ZZ$501,$A287,AW$3)))</f>
        <v/>
      </c>
      <c r="AX287" s="124" t="str">
        <f>IF($B287="","",IF(AX$3=0,"n.b.",INDEX(SRC_ZPMW03!$A$1:$ZZ$501,$A287,AX$3)))</f>
        <v/>
      </c>
      <c r="AY287" s="124" t="str">
        <f>IF($B287="","",IF(AY$3=0,"n.b.",INDEX(SRC_ZPMW03!$A$1:$ZZ$501,$A287,AY$3)))</f>
        <v/>
      </c>
      <c r="AZ287" s="124" t="str">
        <f>IF($B287="","",IF(AZ$3=0,"n.b.",INDEX(SRC_ZPMW03!$A$1:$ZZ$501,$A287,AZ$3)))</f>
        <v/>
      </c>
      <c r="BA287" s="124" t="str">
        <f>IF($B287="","",IF(BA$3=0,"n.b.",INDEX(SRC_ZPMW03!$A$1:$ZZ$501,$A287,BA$3)))</f>
        <v/>
      </c>
      <c r="BB287" s="124" t="str">
        <f>IF($B287="","",IF(BB$3=0,"n.b.",INDEX(SRC_ZPMW03!$A$1:$ZZ$501,$A287,BB$3)))</f>
        <v/>
      </c>
      <c r="BC287" s="124" t="str">
        <f>IF($B287="","",IF(BC$3=0,"n.b.",INDEX(SRC_ZPMW03!$A$1:$ZZ$501,$A287,BC$3)))</f>
        <v/>
      </c>
      <c r="BD287" s="124" t="str">
        <f>IF($B287="","",IF(BD$3=0,"n.b.",INDEX(SRC_ZPMW03!$A$1:$ZZ$501,$A287,BD$3)))</f>
        <v/>
      </c>
      <c r="BE287" s="124" t="str">
        <f>IF($B287="","",IF(BE$3=0,"n.b.",INDEX(SRC_ZPMW03!$A$1:$ZZ$501,$A287,BE$3)))</f>
        <v/>
      </c>
      <c r="BF287" s="124" t="str">
        <f>IF($B287="","",IF(BF$3=0,"n.b.",INDEX(SRC_ZPMW03!$A$1:$ZZ$501,$A287,BF$3)))</f>
        <v/>
      </c>
      <c r="BG287" t="str">
        <f>IF($B287="","",IF(BG$3=0,"n.b.",INDEX(SRC_ZPMW03!$A$1:$ZZ$501,$A287,BG$3)))</f>
        <v/>
      </c>
      <c r="BH287" t="str">
        <f>IF($B287="","",IF(BH$3=0,"n.b.",INDEX(SRC_ZPMW03!$A$1:$ZZ$501,$A287,BH$3)))</f>
        <v/>
      </c>
      <c r="BI287" t="str">
        <f>IF($B287="","",IF(BI$3=0,"n.b.",INDEX(SRC_ZPMW03!$A$1:$ZZ$501,$A287,BI$3)))</f>
        <v/>
      </c>
      <c r="BJ287" t="str">
        <f>IF($B287="","",IF(BJ$3=0,"n.b.",INDEX(SRC_ZPMW03!$A$1:$ZZ$501,$A287,BJ$3)))</f>
        <v/>
      </c>
      <c r="BK287" s="124" t="str">
        <f>IF($B287="","",IFERROR(-O287,"n.b."))</f>
        <v/>
      </c>
      <c r="BL287" s="124" t="str">
        <f>IF($B287="","",IFERROR(-Q287,"n.b."))</f>
        <v/>
      </c>
      <c r="BM287" s="124" t="str">
        <f>IF($B287="","",IFERROR(-AB287,"n.b."))</f>
        <v/>
      </c>
      <c r="BN287" s="124" t="str">
        <f>IF($B287="","",IFERROR(-AD287,"n.b."))</f>
        <v/>
      </c>
      <c r="BO287" s="124" t="str">
        <f>IF($B287="","",IFERROR(BK287+BM287,"n.b."))</f>
        <v/>
      </c>
      <c r="BP287" s="124" t="str">
        <f>IF($B287="","",IFERROR(BL287+BN287,"n.b."))</f>
        <v/>
      </c>
      <c r="BQ287" s="124" t="str">
        <f>IF($B287="","",IFERROR(-AM287,"n.b."))</f>
        <v/>
      </c>
      <c r="BR287" s="124" t="str">
        <f>IF($B287="","",IFERROR(-AO287,"n.b."))</f>
        <v/>
      </c>
      <c r="BS287" s="124" t="str">
        <f>IF($B287="","",IFERROR(-Z287,"n.b."))</f>
        <v/>
      </c>
      <c r="BT287" s="124" t="str">
        <f>IF($B287="","",IFERROR(-AA287,"n.b."))</f>
        <v/>
      </c>
      <c r="BU287" s="124" t="str">
        <f>IF($B287="","",IFERROR(-AE287,"n.b."))</f>
        <v/>
      </c>
      <c r="BV287" s="124" t="str">
        <f>IF($B287="","",IFERROR(-AF287,"n.b."))</f>
        <v/>
      </c>
      <c r="BW287" s="124" t="str">
        <f>IF($B287="","",IFERROR(-AG287,"n.b."))</f>
        <v/>
      </c>
      <c r="BX287" s="124" t="str">
        <f>IF($B287="","",IFERROR(-AH287,"n.b."))</f>
        <v/>
      </c>
      <c r="BY287" s="124" t="str">
        <f>IF($B287="","",IFERROR(-AI287,"n.b."))</f>
        <v/>
      </c>
      <c r="BZ287" s="124" t="str">
        <f>IF($B287="","",IFERROR(-AJ287,"n.b."))</f>
        <v/>
      </c>
      <c r="CA287" s="124" t="str">
        <f>IF($B287="","",IFERROR(-AK287,"n.b."))</f>
        <v/>
      </c>
      <c r="CB287" s="124" t="str">
        <f>IF($B287="","",IFERROR(-AL287,"n.b."))</f>
        <v/>
      </c>
      <c r="CC287" s="124" t="str">
        <f>IF($B287="","",IFERROR(-AP287,"n.b."))</f>
        <v/>
      </c>
      <c r="CD287" s="124" t="str">
        <f>IF($B287="","",IFERROR(-AQ287,"n.b."))</f>
        <v/>
      </c>
      <c r="CE287" s="124" t="str">
        <f>IF($B287="","",IFERROR(-AR287,"n.b."))</f>
        <v/>
      </c>
      <c r="CF287" s="124" t="str">
        <f>IF($B287="","",IFERROR(-AS287,"n.b."))</f>
        <v/>
      </c>
      <c r="CG287" s="124" t="str">
        <f>IF($B287="","",IFERROR(-AT287,"n.b."))</f>
        <v/>
      </c>
      <c r="CH287" s="124" t="str">
        <f>IF($B287="","",IFERROR(-AU287,"n.b."))</f>
        <v/>
      </c>
      <c r="CI287" s="124" t="str">
        <f>IF($B287="","",IFERROR(-AV287,"n.b."))</f>
        <v/>
      </c>
      <c r="CJ287" s="124" t="str">
        <f>IF($B287="","",IFERROR(-AW287,"n.b."))</f>
        <v/>
      </c>
      <c r="CK287" s="124" t="str">
        <f>IF($B287="","",IFERROR(-AX287,"n.b."))</f>
        <v/>
      </c>
      <c r="CL287" s="124" t="str">
        <f>IF($B287="","",IFERROR(-AY287,"n.b."))</f>
        <v/>
      </c>
      <c r="CM287" s="124" t="str">
        <f>IF($B287="","",IFERROR(-AZ287,"n.b."))</f>
        <v/>
      </c>
      <c r="CN287" s="124" t="str">
        <f>IF($B287="","",IFERROR(-BA287,"n.b."))</f>
        <v/>
      </c>
      <c r="CO287" s="124" t="str">
        <f>IF($B287="","",IFERROR(-BB287,"n.b."))</f>
        <v/>
      </c>
      <c r="CP287" s="124" t="str">
        <f>IF($B287="","",IFERROR(-BC287,"n.b."))</f>
        <v/>
      </c>
      <c r="CQ287" s="124" t="str">
        <f>IF($B287="","",IFERROR(-BD287,"n.b."))</f>
        <v/>
      </c>
      <c r="CR287" s="124" t="str">
        <f>IF($B287="","",IFERROR(-BE287,"n.b."))</f>
        <v/>
      </c>
      <c r="CS287" s="124" t="str">
        <f>IF($B287="","",IFERROR(IF(OR(ABS(T287+V287+X287+Z287-AB287)&gt;P_Tol,ABS(U287+W287+Y287+AA287-AD287)&gt;P_Tol,ABS(AE287+AG287+AI287+AK287-AM287)&gt;P_Tol,ABS(AF287+AH287+AJ287+AL287-AO287)&gt;P_Tol),1,0),1))</f>
        <v/>
      </c>
      <c r="CT287" s="124" t="str">
        <f>IF($B287="","",IFERROR(IF(OR(ABS(AB287+AC287-AD287)&gt;P_Tol,ABS(AM287+AN287-AO287)&gt;P_Tol,ABS(O287+P287-Q287)&gt;P_Tol),1,0),1))</f>
        <v/>
      </c>
      <c r="CU287" s="124" t="str">
        <f>IF($B287="","",IFERROR(IF(ABS(R287-(AB287+AM287+AP287+AR287+AT287+AV287+AX287+AZ287+BB287+BD287))&gt;P_Tol,1,0),1))</f>
        <v/>
      </c>
      <c r="CV287" s="124" t="str">
        <f>IF($B287="","",IFERROR(IF(ABS(M287-(N287+O287+R287))&gt;P_Tol,1,0),1))</f>
        <v/>
      </c>
      <c r="CW287" s="124" t="str">
        <f>IF($B287="","",IF(COUNTIF(Mapping!$A$5:$A$104,B287)&gt;0,1,0))</f>
        <v/>
      </c>
      <c r="CX287" s="124" t="str">
        <f>IF($B287="","",COUNTIF($B$6:$B$505,B287))</f>
        <v/>
      </c>
      <c r="CY287" s="124" t="str">
        <f>IF($B287="","",COUNTIF(STG_Woningetalage!$B$6:$B$505,B287))</f>
        <v/>
      </c>
      <c r="CZ287" s="124" t="str">
        <f>IF($B287="","",IF(CW287=0,COUNTIF($CW$6:CW287,0),""))</f>
        <v/>
      </c>
    </row>
    <row r="288">
      <c r="A288" s="15" t="n">
        <v>284</v>
      </c>
      <c r="B288" t="str">
        <f>IF(B$3=0,"",IF(INDEX(SRC_ZPMW03!$A$1:$ZZ$501,$A288,B$3)&amp;""="","",INDEX(SRC_ZPMW03!$A$1:$ZZ$501,$A288,B$3)&amp;""))</f>
        <v/>
      </c>
      <c r="C288" t="str">
        <f>IF($B288="","",IF(C$3=0,"n.b.",INDEX(SRC_ZPMW03!$A$1:$ZZ$501,$A288,C$3)))</f>
        <v/>
      </c>
      <c r="D288" t="str">
        <f>IF($B288="","",IF(D$3=0,"n.b.",INDEX(SRC_ZPMW03!$A$1:$ZZ$501,$A288,D$3)))</f>
        <v/>
      </c>
      <c r="E288" t="str">
        <f>IF($B288="","",IF(E$3=0,"n.b.",INDEX(SRC_ZPMW03!$A$1:$ZZ$501,$A288,E$3)))</f>
        <v/>
      </c>
      <c r="F288" t="str">
        <f>IF($B288="","",IF(F$3=0,"n.b.",INDEX(SRC_ZPMW03!$A$1:$ZZ$501,$A288,F$3)))</f>
        <v/>
      </c>
      <c r="G288" t="str">
        <f>IF($B288="","",IF(G$3=0,"n.b.",INDEX(SRC_ZPMW03!$A$1:$ZZ$501,$A288,G$3)))</f>
        <v/>
      </c>
      <c r="H288" t="str">
        <f>IF($B288="","",IF(H$3=0,"n.b.",INDEX(SRC_ZPMW03!$A$1:$ZZ$501,$A288,H$3)))</f>
        <v/>
      </c>
      <c r="I288" t="str">
        <f>IF($B288="","",IF(I$3=0,"n.b.",INDEX(SRC_ZPMW03!$A$1:$ZZ$501,$A288,I$3)))</f>
        <v/>
      </c>
      <c r="J288" t="str">
        <f>IF($B288="","",IF(J$3=0,"n.b.",INDEX(SRC_ZPMW03!$A$1:$ZZ$501,$A288,J$3)))</f>
        <v/>
      </c>
      <c r="K288" t="str">
        <f>IF($B288="","",IF(K$3=0,"n.b.",INDEX(SRC_ZPMW03!$A$1:$ZZ$501,$A288,K$3)))</f>
        <v/>
      </c>
      <c r="L288" s="124" t="str">
        <f>IF($B288="","",IF(L$3=0,"n.b.",INDEX(SRC_ZPMW03!$A$1:$ZZ$501,$A288,L$3)))</f>
        <v/>
      </c>
      <c r="M288" s="124" t="str">
        <f>IF($B288="","",IF(M$3=0,"n.b.",INDEX(SRC_ZPMW03!$A$1:$ZZ$501,$A288,M$3)))</f>
        <v/>
      </c>
      <c r="N288" s="124" t="str">
        <f>IF($B288="","",IF(N$3=0,"n.b.",INDEX(SRC_ZPMW03!$A$1:$ZZ$501,$A288,N$3)))</f>
        <v/>
      </c>
      <c r="O288" s="124" t="str">
        <f>IF($B288="","",IF(O$3=0,"n.b.",INDEX(SRC_ZPMW03!$A$1:$ZZ$501,$A288,O$3)))</f>
        <v/>
      </c>
      <c r="P288" s="124" t="str">
        <f>IF($B288="","",IF(P$3=0,"n.b.",INDEX(SRC_ZPMW03!$A$1:$ZZ$501,$A288,P$3)))</f>
        <v/>
      </c>
      <c r="Q288" s="124" t="str">
        <f>IF($B288="","",IF(Q$3=0,"n.b.",INDEX(SRC_ZPMW03!$A$1:$ZZ$501,$A288,Q$3)))</f>
        <v/>
      </c>
      <c r="R288" s="124" t="str">
        <f>IF($B288="","",IF(R$3=0,"n.b.",INDEX(SRC_ZPMW03!$A$1:$ZZ$501,$A288,R$3)))</f>
        <v/>
      </c>
      <c r="S288" s="124" t="str">
        <f>IF($B288="","",IF(S$3=0,"n.b.",INDEX(SRC_ZPMW03!$A$1:$ZZ$501,$A288,S$3)))</f>
        <v/>
      </c>
      <c r="T288" s="124" t="str">
        <f>IF($B288="","",IF(T$3=0,"n.b.",INDEX(SRC_ZPMW03!$A$1:$ZZ$501,$A288,T$3)))</f>
        <v/>
      </c>
      <c r="U288" s="124" t="str">
        <f>IF($B288="","",IF(U$3=0,"n.b.",INDEX(SRC_ZPMW03!$A$1:$ZZ$501,$A288,U$3)))</f>
        <v/>
      </c>
      <c r="V288" s="124" t="str">
        <f>IF($B288="","",IF(V$3=0,"n.b.",INDEX(SRC_ZPMW03!$A$1:$ZZ$501,$A288,V$3)))</f>
        <v/>
      </c>
      <c r="W288" s="124" t="str">
        <f>IF($B288="","",IF(W$3=0,"n.b.",INDEX(SRC_ZPMW03!$A$1:$ZZ$501,$A288,W$3)))</f>
        <v/>
      </c>
      <c r="X288" s="124" t="str">
        <f>IF($B288="","",IF(X$3=0,"n.b.",INDEX(SRC_ZPMW03!$A$1:$ZZ$501,$A288,X$3)))</f>
        <v/>
      </c>
      <c r="Y288" s="124" t="str">
        <f>IF($B288="","",IF(Y$3=0,"n.b.",INDEX(SRC_ZPMW03!$A$1:$ZZ$501,$A288,Y$3)))</f>
        <v/>
      </c>
      <c r="Z288" s="124" t="str">
        <f>IF($B288="","",IF(Z$3=0,"n.b.",INDEX(SRC_ZPMW03!$A$1:$ZZ$501,$A288,Z$3)))</f>
        <v/>
      </c>
      <c r="AA288" s="124" t="str">
        <f>IF($B288="","",IF(AA$3=0,"n.b.",INDEX(SRC_ZPMW03!$A$1:$ZZ$501,$A288,AA$3)))</f>
        <v/>
      </c>
      <c r="AB288" s="124" t="str">
        <f>IF($B288="","",IF(AB$3=0,"n.b.",INDEX(SRC_ZPMW03!$A$1:$ZZ$501,$A288,AB$3)))</f>
        <v/>
      </c>
      <c r="AC288" s="124" t="str">
        <f>IF($B288="","",IF(AC$3=0,"n.b.",INDEX(SRC_ZPMW03!$A$1:$ZZ$501,$A288,AC$3)))</f>
        <v/>
      </c>
      <c r="AD288" s="124" t="str">
        <f>IF($B288="","",IF(AD$3=0,"n.b.",INDEX(SRC_ZPMW03!$A$1:$ZZ$501,$A288,AD$3)))</f>
        <v/>
      </c>
      <c r="AE288" s="124" t="str">
        <f>IF($B288="","",IF(AE$3=0,"n.b.",INDEX(SRC_ZPMW03!$A$1:$ZZ$501,$A288,AE$3)))</f>
        <v/>
      </c>
      <c r="AF288" s="124" t="str">
        <f>IF($B288="","",IF(AF$3=0,"n.b.",INDEX(SRC_ZPMW03!$A$1:$ZZ$501,$A288,AF$3)))</f>
        <v/>
      </c>
      <c r="AG288" s="124" t="str">
        <f>IF($B288="","",IF(AG$3=0,"n.b.",INDEX(SRC_ZPMW03!$A$1:$ZZ$501,$A288,AG$3)))</f>
        <v/>
      </c>
      <c r="AH288" s="124" t="str">
        <f>IF($B288="","",IF(AH$3=0,"n.b.",INDEX(SRC_ZPMW03!$A$1:$ZZ$501,$A288,AH$3)))</f>
        <v/>
      </c>
      <c r="AI288" s="124" t="str">
        <f>IF($B288="","",IF(AI$3=0,"n.b.",INDEX(SRC_ZPMW03!$A$1:$ZZ$501,$A288,AI$3)))</f>
        <v/>
      </c>
      <c r="AJ288" s="124" t="str">
        <f>IF($B288="","",IF(AJ$3=0,"n.b.",INDEX(SRC_ZPMW03!$A$1:$ZZ$501,$A288,AJ$3)))</f>
        <v/>
      </c>
      <c r="AK288" s="124" t="str">
        <f>IF($B288="","",IF(AK$3=0,"n.b.",INDEX(SRC_ZPMW03!$A$1:$ZZ$501,$A288,AK$3)))</f>
        <v/>
      </c>
      <c r="AL288" s="124" t="str">
        <f>IF($B288="","",IF(AL$3=0,"n.b.",INDEX(SRC_ZPMW03!$A$1:$ZZ$501,$A288,AL$3)))</f>
        <v/>
      </c>
      <c r="AM288" s="124" t="str">
        <f>IF($B288="","",IF(AM$3=0,"n.b.",INDEX(SRC_ZPMW03!$A$1:$ZZ$501,$A288,AM$3)))</f>
        <v/>
      </c>
      <c r="AN288" s="124" t="str">
        <f>IF($B288="","",IF(AN$3=0,"n.b.",INDEX(SRC_ZPMW03!$A$1:$ZZ$501,$A288,AN$3)))</f>
        <v/>
      </c>
      <c r="AO288" s="124" t="str">
        <f>IF($B288="","",IF(AO$3=0,"n.b.",INDEX(SRC_ZPMW03!$A$1:$ZZ$501,$A288,AO$3)))</f>
        <v/>
      </c>
      <c r="AP288" s="124" t="str">
        <f>IF($B288="","",IF(AP$3=0,"n.b.",INDEX(SRC_ZPMW03!$A$1:$ZZ$501,$A288,AP$3)))</f>
        <v/>
      </c>
      <c r="AQ288" s="124" t="str">
        <f>IF($B288="","",IF(AQ$3=0,"n.b.",INDEX(SRC_ZPMW03!$A$1:$ZZ$501,$A288,AQ$3)))</f>
        <v/>
      </c>
      <c r="AR288" s="124" t="str">
        <f>IF($B288="","",IF(AR$3=0,"n.b.",INDEX(SRC_ZPMW03!$A$1:$ZZ$501,$A288,AR$3)))</f>
        <v/>
      </c>
      <c r="AS288" s="124" t="str">
        <f>IF($B288="","",IF(AS$3=0,"n.b.",INDEX(SRC_ZPMW03!$A$1:$ZZ$501,$A288,AS$3)))</f>
        <v/>
      </c>
      <c r="AT288" s="124" t="str">
        <f>IF($B288="","",IF(AT$3=0,"n.b.",INDEX(SRC_ZPMW03!$A$1:$ZZ$501,$A288,AT$3)))</f>
        <v/>
      </c>
      <c r="AU288" s="124" t="str">
        <f>IF($B288="","",IF(AU$3=0,"n.b.",INDEX(SRC_ZPMW03!$A$1:$ZZ$501,$A288,AU$3)))</f>
        <v/>
      </c>
      <c r="AV288" s="124" t="str">
        <f>IF($B288="","",IF(AV$3=0,"n.b.",INDEX(SRC_ZPMW03!$A$1:$ZZ$501,$A288,AV$3)))</f>
        <v/>
      </c>
      <c r="AW288" s="124" t="str">
        <f>IF($B288="","",IF(AW$3=0,"n.b.",INDEX(SRC_ZPMW03!$A$1:$ZZ$501,$A288,AW$3)))</f>
        <v/>
      </c>
      <c r="AX288" s="124" t="str">
        <f>IF($B288="","",IF(AX$3=0,"n.b.",INDEX(SRC_ZPMW03!$A$1:$ZZ$501,$A288,AX$3)))</f>
        <v/>
      </c>
      <c r="AY288" s="124" t="str">
        <f>IF($B288="","",IF(AY$3=0,"n.b.",INDEX(SRC_ZPMW03!$A$1:$ZZ$501,$A288,AY$3)))</f>
        <v/>
      </c>
      <c r="AZ288" s="124" t="str">
        <f>IF($B288="","",IF(AZ$3=0,"n.b.",INDEX(SRC_ZPMW03!$A$1:$ZZ$501,$A288,AZ$3)))</f>
        <v/>
      </c>
      <c r="BA288" s="124" t="str">
        <f>IF($B288="","",IF(BA$3=0,"n.b.",INDEX(SRC_ZPMW03!$A$1:$ZZ$501,$A288,BA$3)))</f>
        <v/>
      </c>
      <c r="BB288" s="124" t="str">
        <f>IF($B288="","",IF(BB$3=0,"n.b.",INDEX(SRC_ZPMW03!$A$1:$ZZ$501,$A288,BB$3)))</f>
        <v/>
      </c>
      <c r="BC288" s="124" t="str">
        <f>IF($B288="","",IF(BC$3=0,"n.b.",INDEX(SRC_ZPMW03!$A$1:$ZZ$501,$A288,BC$3)))</f>
        <v/>
      </c>
      <c r="BD288" s="124" t="str">
        <f>IF($B288="","",IF(BD$3=0,"n.b.",INDEX(SRC_ZPMW03!$A$1:$ZZ$501,$A288,BD$3)))</f>
        <v/>
      </c>
      <c r="BE288" s="124" t="str">
        <f>IF($B288="","",IF(BE$3=0,"n.b.",INDEX(SRC_ZPMW03!$A$1:$ZZ$501,$A288,BE$3)))</f>
        <v/>
      </c>
      <c r="BF288" s="124" t="str">
        <f>IF($B288="","",IF(BF$3=0,"n.b.",INDEX(SRC_ZPMW03!$A$1:$ZZ$501,$A288,BF$3)))</f>
        <v/>
      </c>
      <c r="BG288" t="str">
        <f>IF($B288="","",IF(BG$3=0,"n.b.",INDEX(SRC_ZPMW03!$A$1:$ZZ$501,$A288,BG$3)))</f>
        <v/>
      </c>
      <c r="BH288" t="str">
        <f>IF($B288="","",IF(BH$3=0,"n.b.",INDEX(SRC_ZPMW03!$A$1:$ZZ$501,$A288,BH$3)))</f>
        <v/>
      </c>
      <c r="BI288" t="str">
        <f>IF($B288="","",IF(BI$3=0,"n.b.",INDEX(SRC_ZPMW03!$A$1:$ZZ$501,$A288,BI$3)))</f>
        <v/>
      </c>
      <c r="BJ288" t="str">
        <f>IF($B288="","",IF(BJ$3=0,"n.b.",INDEX(SRC_ZPMW03!$A$1:$ZZ$501,$A288,BJ$3)))</f>
        <v/>
      </c>
      <c r="BK288" s="124" t="str">
        <f>IF($B288="","",IFERROR(-O288,"n.b."))</f>
        <v/>
      </c>
      <c r="BL288" s="124" t="str">
        <f>IF($B288="","",IFERROR(-Q288,"n.b."))</f>
        <v/>
      </c>
      <c r="BM288" s="124" t="str">
        <f>IF($B288="","",IFERROR(-AB288,"n.b."))</f>
        <v/>
      </c>
      <c r="BN288" s="124" t="str">
        <f>IF($B288="","",IFERROR(-AD288,"n.b."))</f>
        <v/>
      </c>
      <c r="BO288" s="124" t="str">
        <f>IF($B288="","",IFERROR(BK288+BM288,"n.b."))</f>
        <v/>
      </c>
      <c r="BP288" s="124" t="str">
        <f>IF($B288="","",IFERROR(BL288+BN288,"n.b."))</f>
        <v/>
      </c>
      <c r="BQ288" s="124" t="str">
        <f>IF($B288="","",IFERROR(-AM288,"n.b."))</f>
        <v/>
      </c>
      <c r="BR288" s="124" t="str">
        <f>IF($B288="","",IFERROR(-AO288,"n.b."))</f>
        <v/>
      </c>
      <c r="BS288" s="124" t="str">
        <f>IF($B288="","",IFERROR(-Z288,"n.b."))</f>
        <v/>
      </c>
      <c r="BT288" s="124" t="str">
        <f>IF($B288="","",IFERROR(-AA288,"n.b."))</f>
        <v/>
      </c>
      <c r="BU288" s="124" t="str">
        <f>IF($B288="","",IFERROR(-AE288,"n.b."))</f>
        <v/>
      </c>
      <c r="BV288" s="124" t="str">
        <f>IF($B288="","",IFERROR(-AF288,"n.b."))</f>
        <v/>
      </c>
      <c r="BW288" s="124" t="str">
        <f>IF($B288="","",IFERROR(-AG288,"n.b."))</f>
        <v/>
      </c>
      <c r="BX288" s="124" t="str">
        <f>IF($B288="","",IFERROR(-AH288,"n.b."))</f>
        <v/>
      </c>
      <c r="BY288" s="124" t="str">
        <f>IF($B288="","",IFERROR(-AI288,"n.b."))</f>
        <v/>
      </c>
      <c r="BZ288" s="124" t="str">
        <f>IF($B288="","",IFERROR(-AJ288,"n.b."))</f>
        <v/>
      </c>
      <c r="CA288" s="124" t="str">
        <f>IF($B288="","",IFERROR(-AK288,"n.b."))</f>
        <v/>
      </c>
      <c r="CB288" s="124" t="str">
        <f>IF($B288="","",IFERROR(-AL288,"n.b."))</f>
        <v/>
      </c>
      <c r="CC288" s="124" t="str">
        <f>IF($B288="","",IFERROR(-AP288,"n.b."))</f>
        <v/>
      </c>
      <c r="CD288" s="124" t="str">
        <f>IF($B288="","",IFERROR(-AQ288,"n.b."))</f>
        <v/>
      </c>
      <c r="CE288" s="124" t="str">
        <f>IF($B288="","",IFERROR(-AR288,"n.b."))</f>
        <v/>
      </c>
      <c r="CF288" s="124" t="str">
        <f>IF($B288="","",IFERROR(-AS288,"n.b."))</f>
        <v/>
      </c>
      <c r="CG288" s="124" t="str">
        <f>IF($B288="","",IFERROR(-AT288,"n.b."))</f>
        <v/>
      </c>
      <c r="CH288" s="124" t="str">
        <f>IF($B288="","",IFERROR(-AU288,"n.b."))</f>
        <v/>
      </c>
      <c r="CI288" s="124" t="str">
        <f>IF($B288="","",IFERROR(-AV288,"n.b."))</f>
        <v/>
      </c>
      <c r="CJ288" s="124" t="str">
        <f>IF($B288="","",IFERROR(-AW288,"n.b."))</f>
        <v/>
      </c>
      <c r="CK288" s="124" t="str">
        <f>IF($B288="","",IFERROR(-AX288,"n.b."))</f>
        <v/>
      </c>
      <c r="CL288" s="124" t="str">
        <f>IF($B288="","",IFERROR(-AY288,"n.b."))</f>
        <v/>
      </c>
      <c r="CM288" s="124" t="str">
        <f>IF($B288="","",IFERROR(-AZ288,"n.b."))</f>
        <v/>
      </c>
      <c r="CN288" s="124" t="str">
        <f>IF($B288="","",IFERROR(-BA288,"n.b."))</f>
        <v/>
      </c>
      <c r="CO288" s="124" t="str">
        <f>IF($B288="","",IFERROR(-BB288,"n.b."))</f>
        <v/>
      </c>
      <c r="CP288" s="124" t="str">
        <f>IF($B288="","",IFERROR(-BC288,"n.b."))</f>
        <v/>
      </c>
      <c r="CQ288" s="124" t="str">
        <f>IF($B288="","",IFERROR(-BD288,"n.b."))</f>
        <v/>
      </c>
      <c r="CR288" s="124" t="str">
        <f>IF($B288="","",IFERROR(-BE288,"n.b."))</f>
        <v/>
      </c>
      <c r="CS288" s="124" t="str">
        <f>IF($B288="","",IFERROR(IF(OR(ABS(T288+V288+X288+Z288-AB288)&gt;P_Tol,ABS(U288+W288+Y288+AA288-AD288)&gt;P_Tol,ABS(AE288+AG288+AI288+AK288-AM288)&gt;P_Tol,ABS(AF288+AH288+AJ288+AL288-AO288)&gt;P_Tol),1,0),1))</f>
        <v/>
      </c>
      <c r="CT288" s="124" t="str">
        <f>IF($B288="","",IFERROR(IF(OR(ABS(AB288+AC288-AD288)&gt;P_Tol,ABS(AM288+AN288-AO288)&gt;P_Tol,ABS(O288+P288-Q288)&gt;P_Tol),1,0),1))</f>
        <v/>
      </c>
      <c r="CU288" s="124" t="str">
        <f>IF($B288="","",IFERROR(IF(ABS(R288-(AB288+AM288+AP288+AR288+AT288+AV288+AX288+AZ288+BB288+BD288))&gt;P_Tol,1,0),1))</f>
        <v/>
      </c>
      <c r="CV288" s="124" t="str">
        <f>IF($B288="","",IFERROR(IF(ABS(M288-(N288+O288+R288))&gt;P_Tol,1,0),1))</f>
        <v/>
      </c>
      <c r="CW288" s="124" t="str">
        <f>IF($B288="","",IF(COUNTIF(Mapping!$A$5:$A$104,B288)&gt;0,1,0))</f>
        <v/>
      </c>
      <c r="CX288" s="124" t="str">
        <f>IF($B288="","",COUNTIF($B$6:$B$505,B288))</f>
        <v/>
      </c>
      <c r="CY288" s="124" t="str">
        <f>IF($B288="","",COUNTIF(STG_Woningetalage!$B$6:$B$505,B288))</f>
        <v/>
      </c>
      <c r="CZ288" s="124" t="str">
        <f>IF($B288="","",IF(CW288=0,COUNTIF($CW$6:CW288,0),""))</f>
        <v/>
      </c>
    </row>
    <row r="289">
      <c r="A289" s="15" t="n">
        <v>285</v>
      </c>
      <c r="B289" t="str">
        <f>IF(B$3=0,"",IF(INDEX(SRC_ZPMW03!$A$1:$ZZ$501,$A289,B$3)&amp;""="","",INDEX(SRC_ZPMW03!$A$1:$ZZ$501,$A289,B$3)&amp;""))</f>
        <v/>
      </c>
      <c r="C289" t="str">
        <f>IF($B289="","",IF(C$3=0,"n.b.",INDEX(SRC_ZPMW03!$A$1:$ZZ$501,$A289,C$3)))</f>
        <v/>
      </c>
      <c r="D289" t="str">
        <f>IF($B289="","",IF(D$3=0,"n.b.",INDEX(SRC_ZPMW03!$A$1:$ZZ$501,$A289,D$3)))</f>
        <v/>
      </c>
      <c r="E289" t="str">
        <f>IF($B289="","",IF(E$3=0,"n.b.",INDEX(SRC_ZPMW03!$A$1:$ZZ$501,$A289,E$3)))</f>
        <v/>
      </c>
      <c r="F289" t="str">
        <f>IF($B289="","",IF(F$3=0,"n.b.",INDEX(SRC_ZPMW03!$A$1:$ZZ$501,$A289,F$3)))</f>
        <v/>
      </c>
      <c r="G289" t="str">
        <f>IF($B289="","",IF(G$3=0,"n.b.",INDEX(SRC_ZPMW03!$A$1:$ZZ$501,$A289,G$3)))</f>
        <v/>
      </c>
      <c r="H289" t="str">
        <f>IF($B289="","",IF(H$3=0,"n.b.",INDEX(SRC_ZPMW03!$A$1:$ZZ$501,$A289,H$3)))</f>
        <v/>
      </c>
      <c r="I289" t="str">
        <f>IF($B289="","",IF(I$3=0,"n.b.",INDEX(SRC_ZPMW03!$A$1:$ZZ$501,$A289,I$3)))</f>
        <v/>
      </c>
      <c r="J289" t="str">
        <f>IF($B289="","",IF(J$3=0,"n.b.",INDEX(SRC_ZPMW03!$A$1:$ZZ$501,$A289,J$3)))</f>
        <v/>
      </c>
      <c r="K289" t="str">
        <f>IF($B289="","",IF(K$3=0,"n.b.",INDEX(SRC_ZPMW03!$A$1:$ZZ$501,$A289,K$3)))</f>
        <v/>
      </c>
      <c r="L289" s="124" t="str">
        <f>IF($B289="","",IF(L$3=0,"n.b.",INDEX(SRC_ZPMW03!$A$1:$ZZ$501,$A289,L$3)))</f>
        <v/>
      </c>
      <c r="M289" s="124" t="str">
        <f>IF($B289="","",IF(M$3=0,"n.b.",INDEX(SRC_ZPMW03!$A$1:$ZZ$501,$A289,M$3)))</f>
        <v/>
      </c>
      <c r="N289" s="124" t="str">
        <f>IF($B289="","",IF(N$3=0,"n.b.",INDEX(SRC_ZPMW03!$A$1:$ZZ$501,$A289,N$3)))</f>
        <v/>
      </c>
      <c r="O289" s="124" t="str">
        <f>IF($B289="","",IF(O$3=0,"n.b.",INDEX(SRC_ZPMW03!$A$1:$ZZ$501,$A289,O$3)))</f>
        <v/>
      </c>
      <c r="P289" s="124" t="str">
        <f>IF($B289="","",IF(P$3=0,"n.b.",INDEX(SRC_ZPMW03!$A$1:$ZZ$501,$A289,P$3)))</f>
        <v/>
      </c>
      <c r="Q289" s="124" t="str">
        <f>IF($B289="","",IF(Q$3=0,"n.b.",INDEX(SRC_ZPMW03!$A$1:$ZZ$501,$A289,Q$3)))</f>
        <v/>
      </c>
      <c r="R289" s="124" t="str">
        <f>IF($B289="","",IF(R$3=0,"n.b.",INDEX(SRC_ZPMW03!$A$1:$ZZ$501,$A289,R$3)))</f>
        <v/>
      </c>
      <c r="S289" s="124" t="str">
        <f>IF($B289="","",IF(S$3=0,"n.b.",INDEX(SRC_ZPMW03!$A$1:$ZZ$501,$A289,S$3)))</f>
        <v/>
      </c>
      <c r="T289" s="124" t="str">
        <f>IF($B289="","",IF(T$3=0,"n.b.",INDEX(SRC_ZPMW03!$A$1:$ZZ$501,$A289,T$3)))</f>
        <v/>
      </c>
      <c r="U289" s="124" t="str">
        <f>IF($B289="","",IF(U$3=0,"n.b.",INDEX(SRC_ZPMW03!$A$1:$ZZ$501,$A289,U$3)))</f>
        <v/>
      </c>
      <c r="V289" s="124" t="str">
        <f>IF($B289="","",IF(V$3=0,"n.b.",INDEX(SRC_ZPMW03!$A$1:$ZZ$501,$A289,V$3)))</f>
        <v/>
      </c>
      <c r="W289" s="124" t="str">
        <f>IF($B289="","",IF(W$3=0,"n.b.",INDEX(SRC_ZPMW03!$A$1:$ZZ$501,$A289,W$3)))</f>
        <v/>
      </c>
      <c r="X289" s="124" t="str">
        <f>IF($B289="","",IF(X$3=0,"n.b.",INDEX(SRC_ZPMW03!$A$1:$ZZ$501,$A289,X$3)))</f>
        <v/>
      </c>
      <c r="Y289" s="124" t="str">
        <f>IF($B289="","",IF(Y$3=0,"n.b.",INDEX(SRC_ZPMW03!$A$1:$ZZ$501,$A289,Y$3)))</f>
        <v/>
      </c>
      <c r="Z289" s="124" t="str">
        <f>IF($B289="","",IF(Z$3=0,"n.b.",INDEX(SRC_ZPMW03!$A$1:$ZZ$501,$A289,Z$3)))</f>
        <v/>
      </c>
      <c r="AA289" s="124" t="str">
        <f>IF($B289="","",IF(AA$3=0,"n.b.",INDEX(SRC_ZPMW03!$A$1:$ZZ$501,$A289,AA$3)))</f>
        <v/>
      </c>
      <c r="AB289" s="124" t="str">
        <f>IF($B289="","",IF(AB$3=0,"n.b.",INDEX(SRC_ZPMW03!$A$1:$ZZ$501,$A289,AB$3)))</f>
        <v/>
      </c>
      <c r="AC289" s="124" t="str">
        <f>IF($B289="","",IF(AC$3=0,"n.b.",INDEX(SRC_ZPMW03!$A$1:$ZZ$501,$A289,AC$3)))</f>
        <v/>
      </c>
      <c r="AD289" s="124" t="str">
        <f>IF($B289="","",IF(AD$3=0,"n.b.",INDEX(SRC_ZPMW03!$A$1:$ZZ$501,$A289,AD$3)))</f>
        <v/>
      </c>
      <c r="AE289" s="124" t="str">
        <f>IF($B289="","",IF(AE$3=0,"n.b.",INDEX(SRC_ZPMW03!$A$1:$ZZ$501,$A289,AE$3)))</f>
        <v/>
      </c>
      <c r="AF289" s="124" t="str">
        <f>IF($B289="","",IF(AF$3=0,"n.b.",INDEX(SRC_ZPMW03!$A$1:$ZZ$501,$A289,AF$3)))</f>
        <v/>
      </c>
      <c r="AG289" s="124" t="str">
        <f>IF($B289="","",IF(AG$3=0,"n.b.",INDEX(SRC_ZPMW03!$A$1:$ZZ$501,$A289,AG$3)))</f>
        <v/>
      </c>
      <c r="AH289" s="124" t="str">
        <f>IF($B289="","",IF(AH$3=0,"n.b.",INDEX(SRC_ZPMW03!$A$1:$ZZ$501,$A289,AH$3)))</f>
        <v/>
      </c>
      <c r="AI289" s="124" t="str">
        <f>IF($B289="","",IF(AI$3=0,"n.b.",INDEX(SRC_ZPMW03!$A$1:$ZZ$501,$A289,AI$3)))</f>
        <v/>
      </c>
      <c r="AJ289" s="124" t="str">
        <f>IF($B289="","",IF(AJ$3=0,"n.b.",INDEX(SRC_ZPMW03!$A$1:$ZZ$501,$A289,AJ$3)))</f>
        <v/>
      </c>
      <c r="AK289" s="124" t="str">
        <f>IF($B289="","",IF(AK$3=0,"n.b.",INDEX(SRC_ZPMW03!$A$1:$ZZ$501,$A289,AK$3)))</f>
        <v/>
      </c>
      <c r="AL289" s="124" t="str">
        <f>IF($B289="","",IF(AL$3=0,"n.b.",INDEX(SRC_ZPMW03!$A$1:$ZZ$501,$A289,AL$3)))</f>
        <v/>
      </c>
      <c r="AM289" s="124" t="str">
        <f>IF($B289="","",IF(AM$3=0,"n.b.",INDEX(SRC_ZPMW03!$A$1:$ZZ$501,$A289,AM$3)))</f>
        <v/>
      </c>
      <c r="AN289" s="124" t="str">
        <f>IF($B289="","",IF(AN$3=0,"n.b.",INDEX(SRC_ZPMW03!$A$1:$ZZ$501,$A289,AN$3)))</f>
        <v/>
      </c>
      <c r="AO289" s="124" t="str">
        <f>IF($B289="","",IF(AO$3=0,"n.b.",INDEX(SRC_ZPMW03!$A$1:$ZZ$501,$A289,AO$3)))</f>
        <v/>
      </c>
      <c r="AP289" s="124" t="str">
        <f>IF($B289="","",IF(AP$3=0,"n.b.",INDEX(SRC_ZPMW03!$A$1:$ZZ$501,$A289,AP$3)))</f>
        <v/>
      </c>
      <c r="AQ289" s="124" t="str">
        <f>IF($B289="","",IF(AQ$3=0,"n.b.",INDEX(SRC_ZPMW03!$A$1:$ZZ$501,$A289,AQ$3)))</f>
        <v/>
      </c>
      <c r="AR289" s="124" t="str">
        <f>IF($B289="","",IF(AR$3=0,"n.b.",INDEX(SRC_ZPMW03!$A$1:$ZZ$501,$A289,AR$3)))</f>
        <v/>
      </c>
      <c r="AS289" s="124" t="str">
        <f>IF($B289="","",IF(AS$3=0,"n.b.",INDEX(SRC_ZPMW03!$A$1:$ZZ$501,$A289,AS$3)))</f>
        <v/>
      </c>
      <c r="AT289" s="124" t="str">
        <f>IF($B289="","",IF(AT$3=0,"n.b.",INDEX(SRC_ZPMW03!$A$1:$ZZ$501,$A289,AT$3)))</f>
        <v/>
      </c>
      <c r="AU289" s="124" t="str">
        <f>IF($B289="","",IF(AU$3=0,"n.b.",INDEX(SRC_ZPMW03!$A$1:$ZZ$501,$A289,AU$3)))</f>
        <v/>
      </c>
      <c r="AV289" s="124" t="str">
        <f>IF($B289="","",IF(AV$3=0,"n.b.",INDEX(SRC_ZPMW03!$A$1:$ZZ$501,$A289,AV$3)))</f>
        <v/>
      </c>
      <c r="AW289" s="124" t="str">
        <f>IF($B289="","",IF(AW$3=0,"n.b.",INDEX(SRC_ZPMW03!$A$1:$ZZ$501,$A289,AW$3)))</f>
        <v/>
      </c>
      <c r="AX289" s="124" t="str">
        <f>IF($B289="","",IF(AX$3=0,"n.b.",INDEX(SRC_ZPMW03!$A$1:$ZZ$501,$A289,AX$3)))</f>
        <v/>
      </c>
      <c r="AY289" s="124" t="str">
        <f>IF($B289="","",IF(AY$3=0,"n.b.",INDEX(SRC_ZPMW03!$A$1:$ZZ$501,$A289,AY$3)))</f>
        <v/>
      </c>
      <c r="AZ289" s="124" t="str">
        <f>IF($B289="","",IF(AZ$3=0,"n.b.",INDEX(SRC_ZPMW03!$A$1:$ZZ$501,$A289,AZ$3)))</f>
        <v/>
      </c>
      <c r="BA289" s="124" t="str">
        <f>IF($B289="","",IF(BA$3=0,"n.b.",INDEX(SRC_ZPMW03!$A$1:$ZZ$501,$A289,BA$3)))</f>
        <v/>
      </c>
      <c r="BB289" s="124" t="str">
        <f>IF($B289="","",IF(BB$3=0,"n.b.",INDEX(SRC_ZPMW03!$A$1:$ZZ$501,$A289,BB$3)))</f>
        <v/>
      </c>
      <c r="BC289" s="124" t="str">
        <f>IF($B289="","",IF(BC$3=0,"n.b.",INDEX(SRC_ZPMW03!$A$1:$ZZ$501,$A289,BC$3)))</f>
        <v/>
      </c>
      <c r="BD289" s="124" t="str">
        <f>IF($B289="","",IF(BD$3=0,"n.b.",INDEX(SRC_ZPMW03!$A$1:$ZZ$501,$A289,BD$3)))</f>
        <v/>
      </c>
      <c r="BE289" s="124" t="str">
        <f>IF($B289="","",IF(BE$3=0,"n.b.",INDEX(SRC_ZPMW03!$A$1:$ZZ$501,$A289,BE$3)))</f>
        <v/>
      </c>
      <c r="BF289" s="124" t="str">
        <f>IF($B289="","",IF(BF$3=0,"n.b.",INDEX(SRC_ZPMW03!$A$1:$ZZ$501,$A289,BF$3)))</f>
        <v/>
      </c>
      <c r="BG289" t="str">
        <f>IF($B289="","",IF(BG$3=0,"n.b.",INDEX(SRC_ZPMW03!$A$1:$ZZ$501,$A289,BG$3)))</f>
        <v/>
      </c>
      <c r="BH289" t="str">
        <f>IF($B289="","",IF(BH$3=0,"n.b.",INDEX(SRC_ZPMW03!$A$1:$ZZ$501,$A289,BH$3)))</f>
        <v/>
      </c>
      <c r="BI289" t="str">
        <f>IF($B289="","",IF(BI$3=0,"n.b.",INDEX(SRC_ZPMW03!$A$1:$ZZ$501,$A289,BI$3)))</f>
        <v/>
      </c>
      <c r="BJ289" t="str">
        <f>IF($B289="","",IF(BJ$3=0,"n.b.",INDEX(SRC_ZPMW03!$A$1:$ZZ$501,$A289,BJ$3)))</f>
        <v/>
      </c>
      <c r="BK289" s="124" t="str">
        <f>IF($B289="","",IFERROR(-O289,"n.b."))</f>
        <v/>
      </c>
      <c r="BL289" s="124" t="str">
        <f>IF($B289="","",IFERROR(-Q289,"n.b."))</f>
        <v/>
      </c>
      <c r="BM289" s="124" t="str">
        <f>IF($B289="","",IFERROR(-AB289,"n.b."))</f>
        <v/>
      </c>
      <c r="BN289" s="124" t="str">
        <f>IF($B289="","",IFERROR(-AD289,"n.b."))</f>
        <v/>
      </c>
      <c r="BO289" s="124" t="str">
        <f>IF($B289="","",IFERROR(BK289+BM289,"n.b."))</f>
        <v/>
      </c>
      <c r="BP289" s="124" t="str">
        <f>IF($B289="","",IFERROR(BL289+BN289,"n.b."))</f>
        <v/>
      </c>
      <c r="BQ289" s="124" t="str">
        <f>IF($B289="","",IFERROR(-AM289,"n.b."))</f>
        <v/>
      </c>
      <c r="BR289" s="124" t="str">
        <f>IF($B289="","",IFERROR(-AO289,"n.b."))</f>
        <v/>
      </c>
      <c r="BS289" s="124" t="str">
        <f>IF($B289="","",IFERROR(-Z289,"n.b."))</f>
        <v/>
      </c>
      <c r="BT289" s="124" t="str">
        <f>IF($B289="","",IFERROR(-AA289,"n.b."))</f>
        <v/>
      </c>
      <c r="BU289" s="124" t="str">
        <f>IF($B289="","",IFERROR(-AE289,"n.b."))</f>
        <v/>
      </c>
      <c r="BV289" s="124" t="str">
        <f>IF($B289="","",IFERROR(-AF289,"n.b."))</f>
        <v/>
      </c>
      <c r="BW289" s="124" t="str">
        <f>IF($B289="","",IFERROR(-AG289,"n.b."))</f>
        <v/>
      </c>
      <c r="BX289" s="124" t="str">
        <f>IF($B289="","",IFERROR(-AH289,"n.b."))</f>
        <v/>
      </c>
      <c r="BY289" s="124" t="str">
        <f>IF($B289="","",IFERROR(-AI289,"n.b."))</f>
        <v/>
      </c>
      <c r="BZ289" s="124" t="str">
        <f>IF($B289="","",IFERROR(-AJ289,"n.b."))</f>
        <v/>
      </c>
      <c r="CA289" s="124" t="str">
        <f>IF($B289="","",IFERROR(-AK289,"n.b."))</f>
        <v/>
      </c>
      <c r="CB289" s="124" t="str">
        <f>IF($B289="","",IFERROR(-AL289,"n.b."))</f>
        <v/>
      </c>
      <c r="CC289" s="124" t="str">
        <f>IF($B289="","",IFERROR(-AP289,"n.b."))</f>
        <v/>
      </c>
      <c r="CD289" s="124" t="str">
        <f>IF($B289="","",IFERROR(-AQ289,"n.b."))</f>
        <v/>
      </c>
      <c r="CE289" s="124" t="str">
        <f>IF($B289="","",IFERROR(-AR289,"n.b."))</f>
        <v/>
      </c>
      <c r="CF289" s="124" t="str">
        <f>IF($B289="","",IFERROR(-AS289,"n.b."))</f>
        <v/>
      </c>
      <c r="CG289" s="124" t="str">
        <f>IF($B289="","",IFERROR(-AT289,"n.b."))</f>
        <v/>
      </c>
      <c r="CH289" s="124" t="str">
        <f>IF($B289="","",IFERROR(-AU289,"n.b."))</f>
        <v/>
      </c>
      <c r="CI289" s="124" t="str">
        <f>IF($B289="","",IFERROR(-AV289,"n.b."))</f>
        <v/>
      </c>
      <c r="CJ289" s="124" t="str">
        <f>IF($B289="","",IFERROR(-AW289,"n.b."))</f>
        <v/>
      </c>
      <c r="CK289" s="124" t="str">
        <f>IF($B289="","",IFERROR(-AX289,"n.b."))</f>
        <v/>
      </c>
      <c r="CL289" s="124" t="str">
        <f>IF($B289="","",IFERROR(-AY289,"n.b."))</f>
        <v/>
      </c>
      <c r="CM289" s="124" t="str">
        <f>IF($B289="","",IFERROR(-AZ289,"n.b."))</f>
        <v/>
      </c>
      <c r="CN289" s="124" t="str">
        <f>IF($B289="","",IFERROR(-BA289,"n.b."))</f>
        <v/>
      </c>
      <c r="CO289" s="124" t="str">
        <f>IF($B289="","",IFERROR(-BB289,"n.b."))</f>
        <v/>
      </c>
      <c r="CP289" s="124" t="str">
        <f>IF($B289="","",IFERROR(-BC289,"n.b."))</f>
        <v/>
      </c>
      <c r="CQ289" s="124" t="str">
        <f>IF($B289="","",IFERROR(-BD289,"n.b."))</f>
        <v/>
      </c>
      <c r="CR289" s="124" t="str">
        <f>IF($B289="","",IFERROR(-BE289,"n.b."))</f>
        <v/>
      </c>
      <c r="CS289" s="124" t="str">
        <f>IF($B289="","",IFERROR(IF(OR(ABS(T289+V289+X289+Z289-AB289)&gt;P_Tol,ABS(U289+W289+Y289+AA289-AD289)&gt;P_Tol,ABS(AE289+AG289+AI289+AK289-AM289)&gt;P_Tol,ABS(AF289+AH289+AJ289+AL289-AO289)&gt;P_Tol),1,0),1))</f>
        <v/>
      </c>
      <c r="CT289" s="124" t="str">
        <f>IF($B289="","",IFERROR(IF(OR(ABS(AB289+AC289-AD289)&gt;P_Tol,ABS(AM289+AN289-AO289)&gt;P_Tol,ABS(O289+P289-Q289)&gt;P_Tol),1,0),1))</f>
        <v/>
      </c>
      <c r="CU289" s="124" t="str">
        <f>IF($B289="","",IFERROR(IF(ABS(R289-(AB289+AM289+AP289+AR289+AT289+AV289+AX289+AZ289+BB289+BD289))&gt;P_Tol,1,0),1))</f>
        <v/>
      </c>
      <c r="CV289" s="124" t="str">
        <f>IF($B289="","",IFERROR(IF(ABS(M289-(N289+O289+R289))&gt;P_Tol,1,0),1))</f>
        <v/>
      </c>
      <c r="CW289" s="124" t="str">
        <f>IF($B289="","",IF(COUNTIF(Mapping!$A$5:$A$104,B289)&gt;0,1,0))</f>
        <v/>
      </c>
      <c r="CX289" s="124" t="str">
        <f>IF($B289="","",COUNTIF($B$6:$B$505,B289))</f>
        <v/>
      </c>
      <c r="CY289" s="124" t="str">
        <f>IF($B289="","",COUNTIF(STG_Woningetalage!$B$6:$B$505,B289))</f>
        <v/>
      </c>
      <c r="CZ289" s="124" t="str">
        <f>IF($B289="","",IF(CW289=0,COUNTIF($CW$6:CW289,0),""))</f>
        <v/>
      </c>
    </row>
    <row r="290">
      <c r="A290" s="15" t="n">
        <v>286</v>
      </c>
      <c r="B290" t="str">
        <f>IF(B$3=0,"",IF(INDEX(SRC_ZPMW03!$A$1:$ZZ$501,$A290,B$3)&amp;""="","",INDEX(SRC_ZPMW03!$A$1:$ZZ$501,$A290,B$3)&amp;""))</f>
        <v/>
      </c>
      <c r="C290" t="str">
        <f>IF($B290="","",IF(C$3=0,"n.b.",INDEX(SRC_ZPMW03!$A$1:$ZZ$501,$A290,C$3)))</f>
        <v/>
      </c>
      <c r="D290" t="str">
        <f>IF($B290="","",IF(D$3=0,"n.b.",INDEX(SRC_ZPMW03!$A$1:$ZZ$501,$A290,D$3)))</f>
        <v/>
      </c>
      <c r="E290" t="str">
        <f>IF($B290="","",IF(E$3=0,"n.b.",INDEX(SRC_ZPMW03!$A$1:$ZZ$501,$A290,E$3)))</f>
        <v/>
      </c>
      <c r="F290" t="str">
        <f>IF($B290="","",IF(F$3=0,"n.b.",INDEX(SRC_ZPMW03!$A$1:$ZZ$501,$A290,F$3)))</f>
        <v/>
      </c>
      <c r="G290" t="str">
        <f>IF($B290="","",IF(G$3=0,"n.b.",INDEX(SRC_ZPMW03!$A$1:$ZZ$501,$A290,G$3)))</f>
        <v/>
      </c>
      <c r="H290" t="str">
        <f>IF($B290="","",IF(H$3=0,"n.b.",INDEX(SRC_ZPMW03!$A$1:$ZZ$501,$A290,H$3)))</f>
        <v/>
      </c>
      <c r="I290" t="str">
        <f>IF($B290="","",IF(I$3=0,"n.b.",INDEX(SRC_ZPMW03!$A$1:$ZZ$501,$A290,I$3)))</f>
        <v/>
      </c>
      <c r="J290" t="str">
        <f>IF($B290="","",IF(J$3=0,"n.b.",INDEX(SRC_ZPMW03!$A$1:$ZZ$501,$A290,J$3)))</f>
        <v/>
      </c>
      <c r="K290" t="str">
        <f>IF($B290="","",IF(K$3=0,"n.b.",INDEX(SRC_ZPMW03!$A$1:$ZZ$501,$A290,K$3)))</f>
        <v/>
      </c>
      <c r="L290" s="124" t="str">
        <f>IF($B290="","",IF(L$3=0,"n.b.",INDEX(SRC_ZPMW03!$A$1:$ZZ$501,$A290,L$3)))</f>
        <v/>
      </c>
      <c r="M290" s="124" t="str">
        <f>IF($B290="","",IF(M$3=0,"n.b.",INDEX(SRC_ZPMW03!$A$1:$ZZ$501,$A290,M$3)))</f>
        <v/>
      </c>
      <c r="N290" s="124" t="str">
        <f>IF($B290="","",IF(N$3=0,"n.b.",INDEX(SRC_ZPMW03!$A$1:$ZZ$501,$A290,N$3)))</f>
        <v/>
      </c>
      <c r="O290" s="124" t="str">
        <f>IF($B290="","",IF(O$3=0,"n.b.",INDEX(SRC_ZPMW03!$A$1:$ZZ$501,$A290,O$3)))</f>
        <v/>
      </c>
      <c r="P290" s="124" t="str">
        <f>IF($B290="","",IF(P$3=0,"n.b.",INDEX(SRC_ZPMW03!$A$1:$ZZ$501,$A290,P$3)))</f>
        <v/>
      </c>
      <c r="Q290" s="124" t="str">
        <f>IF($B290="","",IF(Q$3=0,"n.b.",INDEX(SRC_ZPMW03!$A$1:$ZZ$501,$A290,Q$3)))</f>
        <v/>
      </c>
      <c r="R290" s="124" t="str">
        <f>IF($B290="","",IF(R$3=0,"n.b.",INDEX(SRC_ZPMW03!$A$1:$ZZ$501,$A290,R$3)))</f>
        <v/>
      </c>
      <c r="S290" s="124" t="str">
        <f>IF($B290="","",IF(S$3=0,"n.b.",INDEX(SRC_ZPMW03!$A$1:$ZZ$501,$A290,S$3)))</f>
        <v/>
      </c>
      <c r="T290" s="124" t="str">
        <f>IF($B290="","",IF(T$3=0,"n.b.",INDEX(SRC_ZPMW03!$A$1:$ZZ$501,$A290,T$3)))</f>
        <v/>
      </c>
      <c r="U290" s="124" t="str">
        <f>IF($B290="","",IF(U$3=0,"n.b.",INDEX(SRC_ZPMW03!$A$1:$ZZ$501,$A290,U$3)))</f>
        <v/>
      </c>
      <c r="V290" s="124" t="str">
        <f>IF($B290="","",IF(V$3=0,"n.b.",INDEX(SRC_ZPMW03!$A$1:$ZZ$501,$A290,V$3)))</f>
        <v/>
      </c>
      <c r="W290" s="124" t="str">
        <f>IF($B290="","",IF(W$3=0,"n.b.",INDEX(SRC_ZPMW03!$A$1:$ZZ$501,$A290,W$3)))</f>
        <v/>
      </c>
      <c r="X290" s="124" t="str">
        <f>IF($B290="","",IF(X$3=0,"n.b.",INDEX(SRC_ZPMW03!$A$1:$ZZ$501,$A290,X$3)))</f>
        <v/>
      </c>
      <c r="Y290" s="124" t="str">
        <f>IF($B290="","",IF(Y$3=0,"n.b.",INDEX(SRC_ZPMW03!$A$1:$ZZ$501,$A290,Y$3)))</f>
        <v/>
      </c>
      <c r="Z290" s="124" t="str">
        <f>IF($B290="","",IF(Z$3=0,"n.b.",INDEX(SRC_ZPMW03!$A$1:$ZZ$501,$A290,Z$3)))</f>
        <v/>
      </c>
      <c r="AA290" s="124" t="str">
        <f>IF($B290="","",IF(AA$3=0,"n.b.",INDEX(SRC_ZPMW03!$A$1:$ZZ$501,$A290,AA$3)))</f>
        <v/>
      </c>
      <c r="AB290" s="124" t="str">
        <f>IF($B290="","",IF(AB$3=0,"n.b.",INDEX(SRC_ZPMW03!$A$1:$ZZ$501,$A290,AB$3)))</f>
        <v/>
      </c>
      <c r="AC290" s="124" t="str">
        <f>IF($B290="","",IF(AC$3=0,"n.b.",INDEX(SRC_ZPMW03!$A$1:$ZZ$501,$A290,AC$3)))</f>
        <v/>
      </c>
      <c r="AD290" s="124" t="str">
        <f>IF($B290="","",IF(AD$3=0,"n.b.",INDEX(SRC_ZPMW03!$A$1:$ZZ$501,$A290,AD$3)))</f>
        <v/>
      </c>
      <c r="AE290" s="124" t="str">
        <f>IF($B290="","",IF(AE$3=0,"n.b.",INDEX(SRC_ZPMW03!$A$1:$ZZ$501,$A290,AE$3)))</f>
        <v/>
      </c>
      <c r="AF290" s="124" t="str">
        <f>IF($B290="","",IF(AF$3=0,"n.b.",INDEX(SRC_ZPMW03!$A$1:$ZZ$501,$A290,AF$3)))</f>
        <v/>
      </c>
      <c r="AG290" s="124" t="str">
        <f>IF($B290="","",IF(AG$3=0,"n.b.",INDEX(SRC_ZPMW03!$A$1:$ZZ$501,$A290,AG$3)))</f>
        <v/>
      </c>
      <c r="AH290" s="124" t="str">
        <f>IF($B290="","",IF(AH$3=0,"n.b.",INDEX(SRC_ZPMW03!$A$1:$ZZ$501,$A290,AH$3)))</f>
        <v/>
      </c>
      <c r="AI290" s="124" t="str">
        <f>IF($B290="","",IF(AI$3=0,"n.b.",INDEX(SRC_ZPMW03!$A$1:$ZZ$501,$A290,AI$3)))</f>
        <v/>
      </c>
      <c r="AJ290" s="124" t="str">
        <f>IF($B290="","",IF(AJ$3=0,"n.b.",INDEX(SRC_ZPMW03!$A$1:$ZZ$501,$A290,AJ$3)))</f>
        <v/>
      </c>
      <c r="AK290" s="124" t="str">
        <f>IF($B290="","",IF(AK$3=0,"n.b.",INDEX(SRC_ZPMW03!$A$1:$ZZ$501,$A290,AK$3)))</f>
        <v/>
      </c>
      <c r="AL290" s="124" t="str">
        <f>IF($B290="","",IF(AL$3=0,"n.b.",INDEX(SRC_ZPMW03!$A$1:$ZZ$501,$A290,AL$3)))</f>
        <v/>
      </c>
      <c r="AM290" s="124" t="str">
        <f>IF($B290="","",IF(AM$3=0,"n.b.",INDEX(SRC_ZPMW03!$A$1:$ZZ$501,$A290,AM$3)))</f>
        <v/>
      </c>
      <c r="AN290" s="124" t="str">
        <f>IF($B290="","",IF(AN$3=0,"n.b.",INDEX(SRC_ZPMW03!$A$1:$ZZ$501,$A290,AN$3)))</f>
        <v/>
      </c>
      <c r="AO290" s="124" t="str">
        <f>IF($B290="","",IF(AO$3=0,"n.b.",INDEX(SRC_ZPMW03!$A$1:$ZZ$501,$A290,AO$3)))</f>
        <v/>
      </c>
      <c r="AP290" s="124" t="str">
        <f>IF($B290="","",IF(AP$3=0,"n.b.",INDEX(SRC_ZPMW03!$A$1:$ZZ$501,$A290,AP$3)))</f>
        <v/>
      </c>
      <c r="AQ290" s="124" t="str">
        <f>IF($B290="","",IF(AQ$3=0,"n.b.",INDEX(SRC_ZPMW03!$A$1:$ZZ$501,$A290,AQ$3)))</f>
        <v/>
      </c>
      <c r="AR290" s="124" t="str">
        <f>IF($B290="","",IF(AR$3=0,"n.b.",INDEX(SRC_ZPMW03!$A$1:$ZZ$501,$A290,AR$3)))</f>
        <v/>
      </c>
      <c r="AS290" s="124" t="str">
        <f>IF($B290="","",IF(AS$3=0,"n.b.",INDEX(SRC_ZPMW03!$A$1:$ZZ$501,$A290,AS$3)))</f>
        <v/>
      </c>
      <c r="AT290" s="124" t="str">
        <f>IF($B290="","",IF(AT$3=0,"n.b.",INDEX(SRC_ZPMW03!$A$1:$ZZ$501,$A290,AT$3)))</f>
        <v/>
      </c>
      <c r="AU290" s="124" t="str">
        <f>IF($B290="","",IF(AU$3=0,"n.b.",INDEX(SRC_ZPMW03!$A$1:$ZZ$501,$A290,AU$3)))</f>
        <v/>
      </c>
      <c r="AV290" s="124" t="str">
        <f>IF($B290="","",IF(AV$3=0,"n.b.",INDEX(SRC_ZPMW03!$A$1:$ZZ$501,$A290,AV$3)))</f>
        <v/>
      </c>
      <c r="AW290" s="124" t="str">
        <f>IF($B290="","",IF(AW$3=0,"n.b.",INDEX(SRC_ZPMW03!$A$1:$ZZ$501,$A290,AW$3)))</f>
        <v/>
      </c>
      <c r="AX290" s="124" t="str">
        <f>IF($B290="","",IF(AX$3=0,"n.b.",INDEX(SRC_ZPMW03!$A$1:$ZZ$501,$A290,AX$3)))</f>
        <v/>
      </c>
      <c r="AY290" s="124" t="str">
        <f>IF($B290="","",IF(AY$3=0,"n.b.",INDEX(SRC_ZPMW03!$A$1:$ZZ$501,$A290,AY$3)))</f>
        <v/>
      </c>
      <c r="AZ290" s="124" t="str">
        <f>IF($B290="","",IF(AZ$3=0,"n.b.",INDEX(SRC_ZPMW03!$A$1:$ZZ$501,$A290,AZ$3)))</f>
        <v/>
      </c>
      <c r="BA290" s="124" t="str">
        <f>IF($B290="","",IF(BA$3=0,"n.b.",INDEX(SRC_ZPMW03!$A$1:$ZZ$501,$A290,BA$3)))</f>
        <v/>
      </c>
      <c r="BB290" s="124" t="str">
        <f>IF($B290="","",IF(BB$3=0,"n.b.",INDEX(SRC_ZPMW03!$A$1:$ZZ$501,$A290,BB$3)))</f>
        <v/>
      </c>
      <c r="BC290" s="124" t="str">
        <f>IF($B290="","",IF(BC$3=0,"n.b.",INDEX(SRC_ZPMW03!$A$1:$ZZ$501,$A290,BC$3)))</f>
        <v/>
      </c>
      <c r="BD290" s="124" t="str">
        <f>IF($B290="","",IF(BD$3=0,"n.b.",INDEX(SRC_ZPMW03!$A$1:$ZZ$501,$A290,BD$3)))</f>
        <v/>
      </c>
      <c r="BE290" s="124" t="str">
        <f>IF($B290="","",IF(BE$3=0,"n.b.",INDEX(SRC_ZPMW03!$A$1:$ZZ$501,$A290,BE$3)))</f>
        <v/>
      </c>
      <c r="BF290" s="124" t="str">
        <f>IF($B290="","",IF(BF$3=0,"n.b.",INDEX(SRC_ZPMW03!$A$1:$ZZ$501,$A290,BF$3)))</f>
        <v/>
      </c>
      <c r="BG290" t="str">
        <f>IF($B290="","",IF(BG$3=0,"n.b.",INDEX(SRC_ZPMW03!$A$1:$ZZ$501,$A290,BG$3)))</f>
        <v/>
      </c>
      <c r="BH290" t="str">
        <f>IF($B290="","",IF(BH$3=0,"n.b.",INDEX(SRC_ZPMW03!$A$1:$ZZ$501,$A290,BH$3)))</f>
        <v/>
      </c>
      <c r="BI290" t="str">
        <f>IF($B290="","",IF(BI$3=0,"n.b.",INDEX(SRC_ZPMW03!$A$1:$ZZ$501,$A290,BI$3)))</f>
        <v/>
      </c>
      <c r="BJ290" t="str">
        <f>IF($B290="","",IF(BJ$3=0,"n.b.",INDEX(SRC_ZPMW03!$A$1:$ZZ$501,$A290,BJ$3)))</f>
        <v/>
      </c>
      <c r="BK290" s="124" t="str">
        <f>IF($B290="","",IFERROR(-O290,"n.b."))</f>
        <v/>
      </c>
      <c r="BL290" s="124" t="str">
        <f>IF($B290="","",IFERROR(-Q290,"n.b."))</f>
        <v/>
      </c>
      <c r="BM290" s="124" t="str">
        <f>IF($B290="","",IFERROR(-AB290,"n.b."))</f>
        <v/>
      </c>
      <c r="BN290" s="124" t="str">
        <f>IF($B290="","",IFERROR(-AD290,"n.b."))</f>
        <v/>
      </c>
      <c r="BO290" s="124" t="str">
        <f>IF($B290="","",IFERROR(BK290+BM290,"n.b."))</f>
        <v/>
      </c>
      <c r="BP290" s="124" t="str">
        <f>IF($B290="","",IFERROR(BL290+BN290,"n.b."))</f>
        <v/>
      </c>
      <c r="BQ290" s="124" t="str">
        <f>IF($B290="","",IFERROR(-AM290,"n.b."))</f>
        <v/>
      </c>
      <c r="BR290" s="124" t="str">
        <f>IF($B290="","",IFERROR(-AO290,"n.b."))</f>
        <v/>
      </c>
      <c r="BS290" s="124" t="str">
        <f>IF($B290="","",IFERROR(-Z290,"n.b."))</f>
        <v/>
      </c>
      <c r="BT290" s="124" t="str">
        <f>IF($B290="","",IFERROR(-AA290,"n.b."))</f>
        <v/>
      </c>
      <c r="BU290" s="124" t="str">
        <f>IF($B290="","",IFERROR(-AE290,"n.b."))</f>
        <v/>
      </c>
      <c r="BV290" s="124" t="str">
        <f>IF($B290="","",IFERROR(-AF290,"n.b."))</f>
        <v/>
      </c>
      <c r="BW290" s="124" t="str">
        <f>IF($B290="","",IFERROR(-AG290,"n.b."))</f>
        <v/>
      </c>
      <c r="BX290" s="124" t="str">
        <f>IF($B290="","",IFERROR(-AH290,"n.b."))</f>
        <v/>
      </c>
      <c r="BY290" s="124" t="str">
        <f>IF($B290="","",IFERROR(-AI290,"n.b."))</f>
        <v/>
      </c>
      <c r="BZ290" s="124" t="str">
        <f>IF($B290="","",IFERROR(-AJ290,"n.b."))</f>
        <v/>
      </c>
      <c r="CA290" s="124" t="str">
        <f>IF($B290="","",IFERROR(-AK290,"n.b."))</f>
        <v/>
      </c>
      <c r="CB290" s="124" t="str">
        <f>IF($B290="","",IFERROR(-AL290,"n.b."))</f>
        <v/>
      </c>
      <c r="CC290" s="124" t="str">
        <f>IF($B290="","",IFERROR(-AP290,"n.b."))</f>
        <v/>
      </c>
      <c r="CD290" s="124" t="str">
        <f>IF($B290="","",IFERROR(-AQ290,"n.b."))</f>
        <v/>
      </c>
      <c r="CE290" s="124" t="str">
        <f>IF($B290="","",IFERROR(-AR290,"n.b."))</f>
        <v/>
      </c>
      <c r="CF290" s="124" t="str">
        <f>IF($B290="","",IFERROR(-AS290,"n.b."))</f>
        <v/>
      </c>
      <c r="CG290" s="124" t="str">
        <f>IF($B290="","",IFERROR(-AT290,"n.b."))</f>
        <v/>
      </c>
      <c r="CH290" s="124" t="str">
        <f>IF($B290="","",IFERROR(-AU290,"n.b."))</f>
        <v/>
      </c>
      <c r="CI290" s="124" t="str">
        <f>IF($B290="","",IFERROR(-AV290,"n.b."))</f>
        <v/>
      </c>
      <c r="CJ290" s="124" t="str">
        <f>IF($B290="","",IFERROR(-AW290,"n.b."))</f>
        <v/>
      </c>
      <c r="CK290" s="124" t="str">
        <f>IF($B290="","",IFERROR(-AX290,"n.b."))</f>
        <v/>
      </c>
      <c r="CL290" s="124" t="str">
        <f>IF($B290="","",IFERROR(-AY290,"n.b."))</f>
        <v/>
      </c>
      <c r="CM290" s="124" t="str">
        <f>IF($B290="","",IFERROR(-AZ290,"n.b."))</f>
        <v/>
      </c>
      <c r="CN290" s="124" t="str">
        <f>IF($B290="","",IFERROR(-BA290,"n.b."))</f>
        <v/>
      </c>
      <c r="CO290" s="124" t="str">
        <f>IF($B290="","",IFERROR(-BB290,"n.b."))</f>
        <v/>
      </c>
      <c r="CP290" s="124" t="str">
        <f>IF($B290="","",IFERROR(-BC290,"n.b."))</f>
        <v/>
      </c>
      <c r="CQ290" s="124" t="str">
        <f>IF($B290="","",IFERROR(-BD290,"n.b."))</f>
        <v/>
      </c>
      <c r="CR290" s="124" t="str">
        <f>IF($B290="","",IFERROR(-BE290,"n.b."))</f>
        <v/>
      </c>
      <c r="CS290" s="124" t="str">
        <f>IF($B290="","",IFERROR(IF(OR(ABS(T290+V290+X290+Z290-AB290)&gt;P_Tol,ABS(U290+W290+Y290+AA290-AD290)&gt;P_Tol,ABS(AE290+AG290+AI290+AK290-AM290)&gt;P_Tol,ABS(AF290+AH290+AJ290+AL290-AO290)&gt;P_Tol),1,0),1))</f>
        <v/>
      </c>
      <c r="CT290" s="124" t="str">
        <f>IF($B290="","",IFERROR(IF(OR(ABS(AB290+AC290-AD290)&gt;P_Tol,ABS(AM290+AN290-AO290)&gt;P_Tol,ABS(O290+P290-Q290)&gt;P_Tol),1,0),1))</f>
        <v/>
      </c>
      <c r="CU290" s="124" t="str">
        <f>IF($B290="","",IFERROR(IF(ABS(R290-(AB290+AM290+AP290+AR290+AT290+AV290+AX290+AZ290+BB290+BD290))&gt;P_Tol,1,0),1))</f>
        <v/>
      </c>
      <c r="CV290" s="124" t="str">
        <f>IF($B290="","",IFERROR(IF(ABS(M290-(N290+O290+R290))&gt;P_Tol,1,0),1))</f>
        <v/>
      </c>
      <c r="CW290" s="124" t="str">
        <f>IF($B290="","",IF(COUNTIF(Mapping!$A$5:$A$104,B290)&gt;0,1,0))</f>
        <v/>
      </c>
      <c r="CX290" s="124" t="str">
        <f>IF($B290="","",COUNTIF($B$6:$B$505,B290))</f>
        <v/>
      </c>
      <c r="CY290" s="124" t="str">
        <f>IF($B290="","",COUNTIF(STG_Woningetalage!$B$6:$B$505,B290))</f>
        <v/>
      </c>
      <c r="CZ290" s="124" t="str">
        <f>IF($B290="","",IF(CW290=0,COUNTIF($CW$6:CW290,0),""))</f>
        <v/>
      </c>
    </row>
    <row r="291">
      <c r="A291" s="15" t="n">
        <v>287</v>
      </c>
      <c r="B291" t="str">
        <f>IF(B$3=0,"",IF(INDEX(SRC_ZPMW03!$A$1:$ZZ$501,$A291,B$3)&amp;""="","",INDEX(SRC_ZPMW03!$A$1:$ZZ$501,$A291,B$3)&amp;""))</f>
        <v/>
      </c>
      <c r="C291" t="str">
        <f>IF($B291="","",IF(C$3=0,"n.b.",INDEX(SRC_ZPMW03!$A$1:$ZZ$501,$A291,C$3)))</f>
        <v/>
      </c>
      <c r="D291" t="str">
        <f>IF($B291="","",IF(D$3=0,"n.b.",INDEX(SRC_ZPMW03!$A$1:$ZZ$501,$A291,D$3)))</f>
        <v/>
      </c>
      <c r="E291" t="str">
        <f>IF($B291="","",IF(E$3=0,"n.b.",INDEX(SRC_ZPMW03!$A$1:$ZZ$501,$A291,E$3)))</f>
        <v/>
      </c>
      <c r="F291" t="str">
        <f>IF($B291="","",IF(F$3=0,"n.b.",INDEX(SRC_ZPMW03!$A$1:$ZZ$501,$A291,F$3)))</f>
        <v/>
      </c>
      <c r="G291" t="str">
        <f>IF($B291="","",IF(G$3=0,"n.b.",INDEX(SRC_ZPMW03!$A$1:$ZZ$501,$A291,G$3)))</f>
        <v/>
      </c>
      <c r="H291" t="str">
        <f>IF($B291="","",IF(H$3=0,"n.b.",INDEX(SRC_ZPMW03!$A$1:$ZZ$501,$A291,H$3)))</f>
        <v/>
      </c>
      <c r="I291" t="str">
        <f>IF($B291="","",IF(I$3=0,"n.b.",INDEX(SRC_ZPMW03!$A$1:$ZZ$501,$A291,I$3)))</f>
        <v/>
      </c>
      <c r="J291" t="str">
        <f>IF($B291="","",IF(J$3=0,"n.b.",INDEX(SRC_ZPMW03!$A$1:$ZZ$501,$A291,J$3)))</f>
        <v/>
      </c>
      <c r="K291" t="str">
        <f>IF($B291="","",IF(K$3=0,"n.b.",INDEX(SRC_ZPMW03!$A$1:$ZZ$501,$A291,K$3)))</f>
        <v/>
      </c>
      <c r="L291" s="124" t="str">
        <f>IF($B291="","",IF(L$3=0,"n.b.",INDEX(SRC_ZPMW03!$A$1:$ZZ$501,$A291,L$3)))</f>
        <v/>
      </c>
      <c r="M291" s="124" t="str">
        <f>IF($B291="","",IF(M$3=0,"n.b.",INDEX(SRC_ZPMW03!$A$1:$ZZ$501,$A291,M$3)))</f>
        <v/>
      </c>
      <c r="N291" s="124" t="str">
        <f>IF($B291="","",IF(N$3=0,"n.b.",INDEX(SRC_ZPMW03!$A$1:$ZZ$501,$A291,N$3)))</f>
        <v/>
      </c>
      <c r="O291" s="124" t="str">
        <f>IF($B291="","",IF(O$3=0,"n.b.",INDEX(SRC_ZPMW03!$A$1:$ZZ$501,$A291,O$3)))</f>
        <v/>
      </c>
      <c r="P291" s="124" t="str">
        <f>IF($B291="","",IF(P$3=0,"n.b.",INDEX(SRC_ZPMW03!$A$1:$ZZ$501,$A291,P$3)))</f>
        <v/>
      </c>
      <c r="Q291" s="124" t="str">
        <f>IF($B291="","",IF(Q$3=0,"n.b.",INDEX(SRC_ZPMW03!$A$1:$ZZ$501,$A291,Q$3)))</f>
        <v/>
      </c>
      <c r="R291" s="124" t="str">
        <f>IF($B291="","",IF(R$3=0,"n.b.",INDEX(SRC_ZPMW03!$A$1:$ZZ$501,$A291,R$3)))</f>
        <v/>
      </c>
      <c r="S291" s="124" t="str">
        <f>IF($B291="","",IF(S$3=0,"n.b.",INDEX(SRC_ZPMW03!$A$1:$ZZ$501,$A291,S$3)))</f>
        <v/>
      </c>
      <c r="T291" s="124" t="str">
        <f>IF($B291="","",IF(T$3=0,"n.b.",INDEX(SRC_ZPMW03!$A$1:$ZZ$501,$A291,T$3)))</f>
        <v/>
      </c>
      <c r="U291" s="124" t="str">
        <f>IF($B291="","",IF(U$3=0,"n.b.",INDEX(SRC_ZPMW03!$A$1:$ZZ$501,$A291,U$3)))</f>
        <v/>
      </c>
      <c r="V291" s="124" t="str">
        <f>IF($B291="","",IF(V$3=0,"n.b.",INDEX(SRC_ZPMW03!$A$1:$ZZ$501,$A291,V$3)))</f>
        <v/>
      </c>
      <c r="W291" s="124" t="str">
        <f>IF($B291="","",IF(W$3=0,"n.b.",INDEX(SRC_ZPMW03!$A$1:$ZZ$501,$A291,W$3)))</f>
        <v/>
      </c>
      <c r="X291" s="124" t="str">
        <f>IF($B291="","",IF(X$3=0,"n.b.",INDEX(SRC_ZPMW03!$A$1:$ZZ$501,$A291,X$3)))</f>
        <v/>
      </c>
      <c r="Y291" s="124" t="str">
        <f>IF($B291="","",IF(Y$3=0,"n.b.",INDEX(SRC_ZPMW03!$A$1:$ZZ$501,$A291,Y$3)))</f>
        <v/>
      </c>
      <c r="Z291" s="124" t="str">
        <f>IF($B291="","",IF(Z$3=0,"n.b.",INDEX(SRC_ZPMW03!$A$1:$ZZ$501,$A291,Z$3)))</f>
        <v/>
      </c>
      <c r="AA291" s="124" t="str">
        <f>IF($B291="","",IF(AA$3=0,"n.b.",INDEX(SRC_ZPMW03!$A$1:$ZZ$501,$A291,AA$3)))</f>
        <v/>
      </c>
      <c r="AB291" s="124" t="str">
        <f>IF($B291="","",IF(AB$3=0,"n.b.",INDEX(SRC_ZPMW03!$A$1:$ZZ$501,$A291,AB$3)))</f>
        <v/>
      </c>
      <c r="AC291" s="124" t="str">
        <f>IF($B291="","",IF(AC$3=0,"n.b.",INDEX(SRC_ZPMW03!$A$1:$ZZ$501,$A291,AC$3)))</f>
        <v/>
      </c>
      <c r="AD291" s="124" t="str">
        <f>IF($B291="","",IF(AD$3=0,"n.b.",INDEX(SRC_ZPMW03!$A$1:$ZZ$501,$A291,AD$3)))</f>
        <v/>
      </c>
      <c r="AE291" s="124" t="str">
        <f>IF($B291="","",IF(AE$3=0,"n.b.",INDEX(SRC_ZPMW03!$A$1:$ZZ$501,$A291,AE$3)))</f>
        <v/>
      </c>
      <c r="AF291" s="124" t="str">
        <f>IF($B291="","",IF(AF$3=0,"n.b.",INDEX(SRC_ZPMW03!$A$1:$ZZ$501,$A291,AF$3)))</f>
        <v/>
      </c>
      <c r="AG291" s="124" t="str">
        <f>IF($B291="","",IF(AG$3=0,"n.b.",INDEX(SRC_ZPMW03!$A$1:$ZZ$501,$A291,AG$3)))</f>
        <v/>
      </c>
      <c r="AH291" s="124" t="str">
        <f>IF($B291="","",IF(AH$3=0,"n.b.",INDEX(SRC_ZPMW03!$A$1:$ZZ$501,$A291,AH$3)))</f>
        <v/>
      </c>
      <c r="AI291" s="124" t="str">
        <f>IF($B291="","",IF(AI$3=0,"n.b.",INDEX(SRC_ZPMW03!$A$1:$ZZ$501,$A291,AI$3)))</f>
        <v/>
      </c>
      <c r="AJ291" s="124" t="str">
        <f>IF($B291="","",IF(AJ$3=0,"n.b.",INDEX(SRC_ZPMW03!$A$1:$ZZ$501,$A291,AJ$3)))</f>
        <v/>
      </c>
      <c r="AK291" s="124" t="str">
        <f>IF($B291="","",IF(AK$3=0,"n.b.",INDEX(SRC_ZPMW03!$A$1:$ZZ$501,$A291,AK$3)))</f>
        <v/>
      </c>
      <c r="AL291" s="124" t="str">
        <f>IF($B291="","",IF(AL$3=0,"n.b.",INDEX(SRC_ZPMW03!$A$1:$ZZ$501,$A291,AL$3)))</f>
        <v/>
      </c>
      <c r="AM291" s="124" t="str">
        <f>IF($B291="","",IF(AM$3=0,"n.b.",INDEX(SRC_ZPMW03!$A$1:$ZZ$501,$A291,AM$3)))</f>
        <v/>
      </c>
      <c r="AN291" s="124" t="str">
        <f>IF($B291="","",IF(AN$3=0,"n.b.",INDEX(SRC_ZPMW03!$A$1:$ZZ$501,$A291,AN$3)))</f>
        <v/>
      </c>
      <c r="AO291" s="124" t="str">
        <f>IF($B291="","",IF(AO$3=0,"n.b.",INDEX(SRC_ZPMW03!$A$1:$ZZ$501,$A291,AO$3)))</f>
        <v/>
      </c>
      <c r="AP291" s="124" t="str">
        <f>IF($B291="","",IF(AP$3=0,"n.b.",INDEX(SRC_ZPMW03!$A$1:$ZZ$501,$A291,AP$3)))</f>
        <v/>
      </c>
      <c r="AQ291" s="124" t="str">
        <f>IF($B291="","",IF(AQ$3=0,"n.b.",INDEX(SRC_ZPMW03!$A$1:$ZZ$501,$A291,AQ$3)))</f>
        <v/>
      </c>
      <c r="AR291" s="124" t="str">
        <f>IF($B291="","",IF(AR$3=0,"n.b.",INDEX(SRC_ZPMW03!$A$1:$ZZ$501,$A291,AR$3)))</f>
        <v/>
      </c>
      <c r="AS291" s="124" t="str">
        <f>IF($B291="","",IF(AS$3=0,"n.b.",INDEX(SRC_ZPMW03!$A$1:$ZZ$501,$A291,AS$3)))</f>
        <v/>
      </c>
      <c r="AT291" s="124" t="str">
        <f>IF($B291="","",IF(AT$3=0,"n.b.",INDEX(SRC_ZPMW03!$A$1:$ZZ$501,$A291,AT$3)))</f>
        <v/>
      </c>
      <c r="AU291" s="124" t="str">
        <f>IF($B291="","",IF(AU$3=0,"n.b.",INDEX(SRC_ZPMW03!$A$1:$ZZ$501,$A291,AU$3)))</f>
        <v/>
      </c>
      <c r="AV291" s="124" t="str">
        <f>IF($B291="","",IF(AV$3=0,"n.b.",INDEX(SRC_ZPMW03!$A$1:$ZZ$501,$A291,AV$3)))</f>
        <v/>
      </c>
      <c r="AW291" s="124" t="str">
        <f>IF($B291="","",IF(AW$3=0,"n.b.",INDEX(SRC_ZPMW03!$A$1:$ZZ$501,$A291,AW$3)))</f>
        <v/>
      </c>
      <c r="AX291" s="124" t="str">
        <f>IF($B291="","",IF(AX$3=0,"n.b.",INDEX(SRC_ZPMW03!$A$1:$ZZ$501,$A291,AX$3)))</f>
        <v/>
      </c>
      <c r="AY291" s="124" t="str">
        <f>IF($B291="","",IF(AY$3=0,"n.b.",INDEX(SRC_ZPMW03!$A$1:$ZZ$501,$A291,AY$3)))</f>
        <v/>
      </c>
      <c r="AZ291" s="124" t="str">
        <f>IF($B291="","",IF(AZ$3=0,"n.b.",INDEX(SRC_ZPMW03!$A$1:$ZZ$501,$A291,AZ$3)))</f>
        <v/>
      </c>
      <c r="BA291" s="124" t="str">
        <f>IF($B291="","",IF(BA$3=0,"n.b.",INDEX(SRC_ZPMW03!$A$1:$ZZ$501,$A291,BA$3)))</f>
        <v/>
      </c>
      <c r="BB291" s="124" t="str">
        <f>IF($B291="","",IF(BB$3=0,"n.b.",INDEX(SRC_ZPMW03!$A$1:$ZZ$501,$A291,BB$3)))</f>
        <v/>
      </c>
      <c r="BC291" s="124" t="str">
        <f>IF($B291="","",IF(BC$3=0,"n.b.",INDEX(SRC_ZPMW03!$A$1:$ZZ$501,$A291,BC$3)))</f>
        <v/>
      </c>
      <c r="BD291" s="124" t="str">
        <f>IF($B291="","",IF(BD$3=0,"n.b.",INDEX(SRC_ZPMW03!$A$1:$ZZ$501,$A291,BD$3)))</f>
        <v/>
      </c>
      <c r="BE291" s="124" t="str">
        <f>IF($B291="","",IF(BE$3=0,"n.b.",INDEX(SRC_ZPMW03!$A$1:$ZZ$501,$A291,BE$3)))</f>
        <v/>
      </c>
      <c r="BF291" s="124" t="str">
        <f>IF($B291="","",IF(BF$3=0,"n.b.",INDEX(SRC_ZPMW03!$A$1:$ZZ$501,$A291,BF$3)))</f>
        <v/>
      </c>
      <c r="BG291" t="str">
        <f>IF($B291="","",IF(BG$3=0,"n.b.",INDEX(SRC_ZPMW03!$A$1:$ZZ$501,$A291,BG$3)))</f>
        <v/>
      </c>
      <c r="BH291" t="str">
        <f>IF($B291="","",IF(BH$3=0,"n.b.",INDEX(SRC_ZPMW03!$A$1:$ZZ$501,$A291,BH$3)))</f>
        <v/>
      </c>
      <c r="BI291" t="str">
        <f>IF($B291="","",IF(BI$3=0,"n.b.",INDEX(SRC_ZPMW03!$A$1:$ZZ$501,$A291,BI$3)))</f>
        <v/>
      </c>
      <c r="BJ291" t="str">
        <f>IF($B291="","",IF(BJ$3=0,"n.b.",INDEX(SRC_ZPMW03!$A$1:$ZZ$501,$A291,BJ$3)))</f>
        <v/>
      </c>
      <c r="BK291" s="124" t="str">
        <f>IF($B291="","",IFERROR(-O291,"n.b."))</f>
        <v/>
      </c>
      <c r="BL291" s="124" t="str">
        <f>IF($B291="","",IFERROR(-Q291,"n.b."))</f>
        <v/>
      </c>
      <c r="BM291" s="124" t="str">
        <f>IF($B291="","",IFERROR(-AB291,"n.b."))</f>
        <v/>
      </c>
      <c r="BN291" s="124" t="str">
        <f>IF($B291="","",IFERROR(-AD291,"n.b."))</f>
        <v/>
      </c>
      <c r="BO291" s="124" t="str">
        <f>IF($B291="","",IFERROR(BK291+BM291,"n.b."))</f>
        <v/>
      </c>
      <c r="BP291" s="124" t="str">
        <f>IF($B291="","",IFERROR(BL291+BN291,"n.b."))</f>
        <v/>
      </c>
      <c r="BQ291" s="124" t="str">
        <f>IF($B291="","",IFERROR(-AM291,"n.b."))</f>
        <v/>
      </c>
      <c r="BR291" s="124" t="str">
        <f>IF($B291="","",IFERROR(-AO291,"n.b."))</f>
        <v/>
      </c>
      <c r="BS291" s="124" t="str">
        <f>IF($B291="","",IFERROR(-Z291,"n.b."))</f>
        <v/>
      </c>
      <c r="BT291" s="124" t="str">
        <f>IF($B291="","",IFERROR(-AA291,"n.b."))</f>
        <v/>
      </c>
      <c r="BU291" s="124" t="str">
        <f>IF($B291="","",IFERROR(-AE291,"n.b."))</f>
        <v/>
      </c>
      <c r="BV291" s="124" t="str">
        <f>IF($B291="","",IFERROR(-AF291,"n.b."))</f>
        <v/>
      </c>
      <c r="BW291" s="124" t="str">
        <f>IF($B291="","",IFERROR(-AG291,"n.b."))</f>
        <v/>
      </c>
      <c r="BX291" s="124" t="str">
        <f>IF($B291="","",IFERROR(-AH291,"n.b."))</f>
        <v/>
      </c>
      <c r="BY291" s="124" t="str">
        <f>IF($B291="","",IFERROR(-AI291,"n.b."))</f>
        <v/>
      </c>
      <c r="BZ291" s="124" t="str">
        <f>IF($B291="","",IFERROR(-AJ291,"n.b."))</f>
        <v/>
      </c>
      <c r="CA291" s="124" t="str">
        <f>IF($B291="","",IFERROR(-AK291,"n.b."))</f>
        <v/>
      </c>
      <c r="CB291" s="124" t="str">
        <f>IF($B291="","",IFERROR(-AL291,"n.b."))</f>
        <v/>
      </c>
      <c r="CC291" s="124" t="str">
        <f>IF($B291="","",IFERROR(-AP291,"n.b."))</f>
        <v/>
      </c>
      <c r="CD291" s="124" t="str">
        <f>IF($B291="","",IFERROR(-AQ291,"n.b."))</f>
        <v/>
      </c>
      <c r="CE291" s="124" t="str">
        <f>IF($B291="","",IFERROR(-AR291,"n.b."))</f>
        <v/>
      </c>
      <c r="CF291" s="124" t="str">
        <f>IF($B291="","",IFERROR(-AS291,"n.b."))</f>
        <v/>
      </c>
      <c r="CG291" s="124" t="str">
        <f>IF($B291="","",IFERROR(-AT291,"n.b."))</f>
        <v/>
      </c>
      <c r="CH291" s="124" t="str">
        <f>IF($B291="","",IFERROR(-AU291,"n.b."))</f>
        <v/>
      </c>
      <c r="CI291" s="124" t="str">
        <f>IF($B291="","",IFERROR(-AV291,"n.b."))</f>
        <v/>
      </c>
      <c r="CJ291" s="124" t="str">
        <f>IF($B291="","",IFERROR(-AW291,"n.b."))</f>
        <v/>
      </c>
      <c r="CK291" s="124" t="str">
        <f>IF($B291="","",IFERROR(-AX291,"n.b."))</f>
        <v/>
      </c>
      <c r="CL291" s="124" t="str">
        <f>IF($B291="","",IFERROR(-AY291,"n.b."))</f>
        <v/>
      </c>
      <c r="CM291" s="124" t="str">
        <f>IF($B291="","",IFERROR(-AZ291,"n.b."))</f>
        <v/>
      </c>
      <c r="CN291" s="124" t="str">
        <f>IF($B291="","",IFERROR(-BA291,"n.b."))</f>
        <v/>
      </c>
      <c r="CO291" s="124" t="str">
        <f>IF($B291="","",IFERROR(-BB291,"n.b."))</f>
        <v/>
      </c>
      <c r="CP291" s="124" t="str">
        <f>IF($B291="","",IFERROR(-BC291,"n.b."))</f>
        <v/>
      </c>
      <c r="CQ291" s="124" t="str">
        <f>IF($B291="","",IFERROR(-BD291,"n.b."))</f>
        <v/>
      </c>
      <c r="CR291" s="124" t="str">
        <f>IF($B291="","",IFERROR(-BE291,"n.b."))</f>
        <v/>
      </c>
      <c r="CS291" s="124" t="str">
        <f>IF($B291="","",IFERROR(IF(OR(ABS(T291+V291+X291+Z291-AB291)&gt;P_Tol,ABS(U291+W291+Y291+AA291-AD291)&gt;P_Tol,ABS(AE291+AG291+AI291+AK291-AM291)&gt;P_Tol,ABS(AF291+AH291+AJ291+AL291-AO291)&gt;P_Tol),1,0),1))</f>
        <v/>
      </c>
      <c r="CT291" s="124" t="str">
        <f>IF($B291="","",IFERROR(IF(OR(ABS(AB291+AC291-AD291)&gt;P_Tol,ABS(AM291+AN291-AO291)&gt;P_Tol,ABS(O291+P291-Q291)&gt;P_Tol),1,0),1))</f>
        <v/>
      </c>
      <c r="CU291" s="124" t="str">
        <f>IF($B291="","",IFERROR(IF(ABS(R291-(AB291+AM291+AP291+AR291+AT291+AV291+AX291+AZ291+BB291+BD291))&gt;P_Tol,1,0),1))</f>
        <v/>
      </c>
      <c r="CV291" s="124" t="str">
        <f>IF($B291="","",IFERROR(IF(ABS(M291-(N291+O291+R291))&gt;P_Tol,1,0),1))</f>
        <v/>
      </c>
      <c r="CW291" s="124" t="str">
        <f>IF($B291="","",IF(COUNTIF(Mapping!$A$5:$A$104,B291)&gt;0,1,0))</f>
        <v/>
      </c>
      <c r="CX291" s="124" t="str">
        <f>IF($B291="","",COUNTIF($B$6:$B$505,B291))</f>
        <v/>
      </c>
      <c r="CY291" s="124" t="str">
        <f>IF($B291="","",COUNTIF(STG_Woningetalage!$B$6:$B$505,B291))</f>
        <v/>
      </c>
      <c r="CZ291" s="124" t="str">
        <f>IF($B291="","",IF(CW291=0,COUNTIF($CW$6:CW291,0),""))</f>
        <v/>
      </c>
    </row>
    <row r="292">
      <c r="A292" s="15" t="n">
        <v>288</v>
      </c>
      <c r="B292" t="str">
        <f>IF(B$3=0,"",IF(INDEX(SRC_ZPMW03!$A$1:$ZZ$501,$A292,B$3)&amp;""="","",INDEX(SRC_ZPMW03!$A$1:$ZZ$501,$A292,B$3)&amp;""))</f>
        <v/>
      </c>
      <c r="C292" t="str">
        <f>IF($B292="","",IF(C$3=0,"n.b.",INDEX(SRC_ZPMW03!$A$1:$ZZ$501,$A292,C$3)))</f>
        <v/>
      </c>
      <c r="D292" t="str">
        <f>IF($B292="","",IF(D$3=0,"n.b.",INDEX(SRC_ZPMW03!$A$1:$ZZ$501,$A292,D$3)))</f>
        <v/>
      </c>
      <c r="E292" t="str">
        <f>IF($B292="","",IF(E$3=0,"n.b.",INDEX(SRC_ZPMW03!$A$1:$ZZ$501,$A292,E$3)))</f>
        <v/>
      </c>
      <c r="F292" t="str">
        <f>IF($B292="","",IF(F$3=0,"n.b.",INDEX(SRC_ZPMW03!$A$1:$ZZ$501,$A292,F$3)))</f>
        <v/>
      </c>
      <c r="G292" t="str">
        <f>IF($B292="","",IF(G$3=0,"n.b.",INDEX(SRC_ZPMW03!$A$1:$ZZ$501,$A292,G$3)))</f>
        <v/>
      </c>
      <c r="H292" t="str">
        <f>IF($B292="","",IF(H$3=0,"n.b.",INDEX(SRC_ZPMW03!$A$1:$ZZ$501,$A292,H$3)))</f>
        <v/>
      </c>
      <c r="I292" t="str">
        <f>IF($B292="","",IF(I$3=0,"n.b.",INDEX(SRC_ZPMW03!$A$1:$ZZ$501,$A292,I$3)))</f>
        <v/>
      </c>
      <c r="J292" t="str">
        <f>IF($B292="","",IF(J$3=0,"n.b.",INDEX(SRC_ZPMW03!$A$1:$ZZ$501,$A292,J$3)))</f>
        <v/>
      </c>
      <c r="K292" t="str">
        <f>IF($B292="","",IF(K$3=0,"n.b.",INDEX(SRC_ZPMW03!$A$1:$ZZ$501,$A292,K$3)))</f>
        <v/>
      </c>
      <c r="L292" s="124" t="str">
        <f>IF($B292="","",IF(L$3=0,"n.b.",INDEX(SRC_ZPMW03!$A$1:$ZZ$501,$A292,L$3)))</f>
        <v/>
      </c>
      <c r="M292" s="124" t="str">
        <f>IF($B292="","",IF(M$3=0,"n.b.",INDEX(SRC_ZPMW03!$A$1:$ZZ$501,$A292,M$3)))</f>
        <v/>
      </c>
      <c r="N292" s="124" t="str">
        <f>IF($B292="","",IF(N$3=0,"n.b.",INDEX(SRC_ZPMW03!$A$1:$ZZ$501,$A292,N$3)))</f>
        <v/>
      </c>
      <c r="O292" s="124" t="str">
        <f>IF($B292="","",IF(O$3=0,"n.b.",INDEX(SRC_ZPMW03!$A$1:$ZZ$501,$A292,O$3)))</f>
        <v/>
      </c>
      <c r="P292" s="124" t="str">
        <f>IF($B292="","",IF(P$3=0,"n.b.",INDEX(SRC_ZPMW03!$A$1:$ZZ$501,$A292,P$3)))</f>
        <v/>
      </c>
      <c r="Q292" s="124" t="str">
        <f>IF($B292="","",IF(Q$3=0,"n.b.",INDEX(SRC_ZPMW03!$A$1:$ZZ$501,$A292,Q$3)))</f>
        <v/>
      </c>
      <c r="R292" s="124" t="str">
        <f>IF($B292="","",IF(R$3=0,"n.b.",INDEX(SRC_ZPMW03!$A$1:$ZZ$501,$A292,R$3)))</f>
        <v/>
      </c>
      <c r="S292" s="124" t="str">
        <f>IF($B292="","",IF(S$3=0,"n.b.",INDEX(SRC_ZPMW03!$A$1:$ZZ$501,$A292,S$3)))</f>
        <v/>
      </c>
      <c r="T292" s="124" t="str">
        <f>IF($B292="","",IF(T$3=0,"n.b.",INDEX(SRC_ZPMW03!$A$1:$ZZ$501,$A292,T$3)))</f>
        <v/>
      </c>
      <c r="U292" s="124" t="str">
        <f>IF($B292="","",IF(U$3=0,"n.b.",INDEX(SRC_ZPMW03!$A$1:$ZZ$501,$A292,U$3)))</f>
        <v/>
      </c>
      <c r="V292" s="124" t="str">
        <f>IF($B292="","",IF(V$3=0,"n.b.",INDEX(SRC_ZPMW03!$A$1:$ZZ$501,$A292,V$3)))</f>
        <v/>
      </c>
      <c r="W292" s="124" t="str">
        <f>IF($B292="","",IF(W$3=0,"n.b.",INDEX(SRC_ZPMW03!$A$1:$ZZ$501,$A292,W$3)))</f>
        <v/>
      </c>
      <c r="X292" s="124" t="str">
        <f>IF($B292="","",IF(X$3=0,"n.b.",INDEX(SRC_ZPMW03!$A$1:$ZZ$501,$A292,X$3)))</f>
        <v/>
      </c>
      <c r="Y292" s="124" t="str">
        <f>IF($B292="","",IF(Y$3=0,"n.b.",INDEX(SRC_ZPMW03!$A$1:$ZZ$501,$A292,Y$3)))</f>
        <v/>
      </c>
      <c r="Z292" s="124" t="str">
        <f>IF($B292="","",IF(Z$3=0,"n.b.",INDEX(SRC_ZPMW03!$A$1:$ZZ$501,$A292,Z$3)))</f>
        <v/>
      </c>
      <c r="AA292" s="124" t="str">
        <f>IF($B292="","",IF(AA$3=0,"n.b.",INDEX(SRC_ZPMW03!$A$1:$ZZ$501,$A292,AA$3)))</f>
        <v/>
      </c>
      <c r="AB292" s="124" t="str">
        <f>IF($B292="","",IF(AB$3=0,"n.b.",INDEX(SRC_ZPMW03!$A$1:$ZZ$501,$A292,AB$3)))</f>
        <v/>
      </c>
      <c r="AC292" s="124" t="str">
        <f>IF($B292="","",IF(AC$3=0,"n.b.",INDEX(SRC_ZPMW03!$A$1:$ZZ$501,$A292,AC$3)))</f>
        <v/>
      </c>
      <c r="AD292" s="124" t="str">
        <f>IF($B292="","",IF(AD$3=0,"n.b.",INDEX(SRC_ZPMW03!$A$1:$ZZ$501,$A292,AD$3)))</f>
        <v/>
      </c>
      <c r="AE292" s="124" t="str">
        <f>IF($B292="","",IF(AE$3=0,"n.b.",INDEX(SRC_ZPMW03!$A$1:$ZZ$501,$A292,AE$3)))</f>
        <v/>
      </c>
      <c r="AF292" s="124" t="str">
        <f>IF($B292="","",IF(AF$3=0,"n.b.",INDEX(SRC_ZPMW03!$A$1:$ZZ$501,$A292,AF$3)))</f>
        <v/>
      </c>
      <c r="AG292" s="124" t="str">
        <f>IF($B292="","",IF(AG$3=0,"n.b.",INDEX(SRC_ZPMW03!$A$1:$ZZ$501,$A292,AG$3)))</f>
        <v/>
      </c>
      <c r="AH292" s="124" t="str">
        <f>IF($B292="","",IF(AH$3=0,"n.b.",INDEX(SRC_ZPMW03!$A$1:$ZZ$501,$A292,AH$3)))</f>
        <v/>
      </c>
      <c r="AI292" s="124" t="str">
        <f>IF($B292="","",IF(AI$3=0,"n.b.",INDEX(SRC_ZPMW03!$A$1:$ZZ$501,$A292,AI$3)))</f>
        <v/>
      </c>
      <c r="AJ292" s="124" t="str">
        <f>IF($B292="","",IF(AJ$3=0,"n.b.",INDEX(SRC_ZPMW03!$A$1:$ZZ$501,$A292,AJ$3)))</f>
        <v/>
      </c>
      <c r="AK292" s="124" t="str">
        <f>IF($B292="","",IF(AK$3=0,"n.b.",INDEX(SRC_ZPMW03!$A$1:$ZZ$501,$A292,AK$3)))</f>
        <v/>
      </c>
      <c r="AL292" s="124" t="str">
        <f>IF($B292="","",IF(AL$3=0,"n.b.",INDEX(SRC_ZPMW03!$A$1:$ZZ$501,$A292,AL$3)))</f>
        <v/>
      </c>
      <c r="AM292" s="124" t="str">
        <f>IF($B292="","",IF(AM$3=0,"n.b.",INDEX(SRC_ZPMW03!$A$1:$ZZ$501,$A292,AM$3)))</f>
        <v/>
      </c>
      <c r="AN292" s="124" t="str">
        <f>IF($B292="","",IF(AN$3=0,"n.b.",INDEX(SRC_ZPMW03!$A$1:$ZZ$501,$A292,AN$3)))</f>
        <v/>
      </c>
      <c r="AO292" s="124" t="str">
        <f>IF($B292="","",IF(AO$3=0,"n.b.",INDEX(SRC_ZPMW03!$A$1:$ZZ$501,$A292,AO$3)))</f>
        <v/>
      </c>
      <c r="AP292" s="124" t="str">
        <f>IF($B292="","",IF(AP$3=0,"n.b.",INDEX(SRC_ZPMW03!$A$1:$ZZ$501,$A292,AP$3)))</f>
        <v/>
      </c>
      <c r="AQ292" s="124" t="str">
        <f>IF($B292="","",IF(AQ$3=0,"n.b.",INDEX(SRC_ZPMW03!$A$1:$ZZ$501,$A292,AQ$3)))</f>
        <v/>
      </c>
      <c r="AR292" s="124" t="str">
        <f>IF($B292="","",IF(AR$3=0,"n.b.",INDEX(SRC_ZPMW03!$A$1:$ZZ$501,$A292,AR$3)))</f>
        <v/>
      </c>
      <c r="AS292" s="124" t="str">
        <f>IF($B292="","",IF(AS$3=0,"n.b.",INDEX(SRC_ZPMW03!$A$1:$ZZ$501,$A292,AS$3)))</f>
        <v/>
      </c>
      <c r="AT292" s="124" t="str">
        <f>IF($B292="","",IF(AT$3=0,"n.b.",INDEX(SRC_ZPMW03!$A$1:$ZZ$501,$A292,AT$3)))</f>
        <v/>
      </c>
      <c r="AU292" s="124" t="str">
        <f>IF($B292="","",IF(AU$3=0,"n.b.",INDEX(SRC_ZPMW03!$A$1:$ZZ$501,$A292,AU$3)))</f>
        <v/>
      </c>
      <c r="AV292" s="124" t="str">
        <f>IF($B292="","",IF(AV$3=0,"n.b.",INDEX(SRC_ZPMW03!$A$1:$ZZ$501,$A292,AV$3)))</f>
        <v/>
      </c>
      <c r="AW292" s="124" t="str">
        <f>IF($B292="","",IF(AW$3=0,"n.b.",INDEX(SRC_ZPMW03!$A$1:$ZZ$501,$A292,AW$3)))</f>
        <v/>
      </c>
      <c r="AX292" s="124" t="str">
        <f>IF($B292="","",IF(AX$3=0,"n.b.",INDEX(SRC_ZPMW03!$A$1:$ZZ$501,$A292,AX$3)))</f>
        <v/>
      </c>
      <c r="AY292" s="124" t="str">
        <f>IF($B292="","",IF(AY$3=0,"n.b.",INDEX(SRC_ZPMW03!$A$1:$ZZ$501,$A292,AY$3)))</f>
        <v/>
      </c>
      <c r="AZ292" s="124" t="str">
        <f>IF($B292="","",IF(AZ$3=0,"n.b.",INDEX(SRC_ZPMW03!$A$1:$ZZ$501,$A292,AZ$3)))</f>
        <v/>
      </c>
      <c r="BA292" s="124" t="str">
        <f>IF($B292="","",IF(BA$3=0,"n.b.",INDEX(SRC_ZPMW03!$A$1:$ZZ$501,$A292,BA$3)))</f>
        <v/>
      </c>
      <c r="BB292" s="124" t="str">
        <f>IF($B292="","",IF(BB$3=0,"n.b.",INDEX(SRC_ZPMW03!$A$1:$ZZ$501,$A292,BB$3)))</f>
        <v/>
      </c>
      <c r="BC292" s="124" t="str">
        <f>IF($B292="","",IF(BC$3=0,"n.b.",INDEX(SRC_ZPMW03!$A$1:$ZZ$501,$A292,BC$3)))</f>
        <v/>
      </c>
      <c r="BD292" s="124" t="str">
        <f>IF($B292="","",IF(BD$3=0,"n.b.",INDEX(SRC_ZPMW03!$A$1:$ZZ$501,$A292,BD$3)))</f>
        <v/>
      </c>
      <c r="BE292" s="124" t="str">
        <f>IF($B292="","",IF(BE$3=0,"n.b.",INDEX(SRC_ZPMW03!$A$1:$ZZ$501,$A292,BE$3)))</f>
        <v/>
      </c>
      <c r="BF292" s="124" t="str">
        <f>IF($B292="","",IF(BF$3=0,"n.b.",INDEX(SRC_ZPMW03!$A$1:$ZZ$501,$A292,BF$3)))</f>
        <v/>
      </c>
      <c r="BG292" t="str">
        <f>IF($B292="","",IF(BG$3=0,"n.b.",INDEX(SRC_ZPMW03!$A$1:$ZZ$501,$A292,BG$3)))</f>
        <v/>
      </c>
      <c r="BH292" t="str">
        <f>IF($B292="","",IF(BH$3=0,"n.b.",INDEX(SRC_ZPMW03!$A$1:$ZZ$501,$A292,BH$3)))</f>
        <v/>
      </c>
      <c r="BI292" t="str">
        <f>IF($B292="","",IF(BI$3=0,"n.b.",INDEX(SRC_ZPMW03!$A$1:$ZZ$501,$A292,BI$3)))</f>
        <v/>
      </c>
      <c r="BJ292" t="str">
        <f>IF($B292="","",IF(BJ$3=0,"n.b.",INDEX(SRC_ZPMW03!$A$1:$ZZ$501,$A292,BJ$3)))</f>
        <v/>
      </c>
      <c r="BK292" s="124" t="str">
        <f>IF($B292="","",IFERROR(-O292,"n.b."))</f>
        <v/>
      </c>
      <c r="BL292" s="124" t="str">
        <f>IF($B292="","",IFERROR(-Q292,"n.b."))</f>
        <v/>
      </c>
      <c r="BM292" s="124" t="str">
        <f>IF($B292="","",IFERROR(-AB292,"n.b."))</f>
        <v/>
      </c>
      <c r="BN292" s="124" t="str">
        <f>IF($B292="","",IFERROR(-AD292,"n.b."))</f>
        <v/>
      </c>
      <c r="BO292" s="124" t="str">
        <f>IF($B292="","",IFERROR(BK292+BM292,"n.b."))</f>
        <v/>
      </c>
      <c r="BP292" s="124" t="str">
        <f>IF($B292="","",IFERROR(BL292+BN292,"n.b."))</f>
        <v/>
      </c>
      <c r="BQ292" s="124" t="str">
        <f>IF($B292="","",IFERROR(-AM292,"n.b."))</f>
        <v/>
      </c>
      <c r="BR292" s="124" t="str">
        <f>IF($B292="","",IFERROR(-AO292,"n.b."))</f>
        <v/>
      </c>
      <c r="BS292" s="124" t="str">
        <f>IF($B292="","",IFERROR(-Z292,"n.b."))</f>
        <v/>
      </c>
      <c r="BT292" s="124" t="str">
        <f>IF($B292="","",IFERROR(-AA292,"n.b."))</f>
        <v/>
      </c>
      <c r="BU292" s="124" t="str">
        <f>IF($B292="","",IFERROR(-AE292,"n.b."))</f>
        <v/>
      </c>
      <c r="BV292" s="124" t="str">
        <f>IF($B292="","",IFERROR(-AF292,"n.b."))</f>
        <v/>
      </c>
      <c r="BW292" s="124" t="str">
        <f>IF($B292="","",IFERROR(-AG292,"n.b."))</f>
        <v/>
      </c>
      <c r="BX292" s="124" t="str">
        <f>IF($B292="","",IFERROR(-AH292,"n.b."))</f>
        <v/>
      </c>
      <c r="BY292" s="124" t="str">
        <f>IF($B292="","",IFERROR(-AI292,"n.b."))</f>
        <v/>
      </c>
      <c r="BZ292" s="124" t="str">
        <f>IF($B292="","",IFERROR(-AJ292,"n.b."))</f>
        <v/>
      </c>
      <c r="CA292" s="124" t="str">
        <f>IF($B292="","",IFERROR(-AK292,"n.b."))</f>
        <v/>
      </c>
      <c r="CB292" s="124" t="str">
        <f>IF($B292="","",IFERROR(-AL292,"n.b."))</f>
        <v/>
      </c>
      <c r="CC292" s="124" t="str">
        <f>IF($B292="","",IFERROR(-AP292,"n.b."))</f>
        <v/>
      </c>
      <c r="CD292" s="124" t="str">
        <f>IF($B292="","",IFERROR(-AQ292,"n.b."))</f>
        <v/>
      </c>
      <c r="CE292" s="124" t="str">
        <f>IF($B292="","",IFERROR(-AR292,"n.b."))</f>
        <v/>
      </c>
      <c r="CF292" s="124" t="str">
        <f>IF($B292="","",IFERROR(-AS292,"n.b."))</f>
        <v/>
      </c>
      <c r="CG292" s="124" t="str">
        <f>IF($B292="","",IFERROR(-AT292,"n.b."))</f>
        <v/>
      </c>
      <c r="CH292" s="124" t="str">
        <f>IF($B292="","",IFERROR(-AU292,"n.b."))</f>
        <v/>
      </c>
      <c r="CI292" s="124" t="str">
        <f>IF($B292="","",IFERROR(-AV292,"n.b."))</f>
        <v/>
      </c>
      <c r="CJ292" s="124" t="str">
        <f>IF($B292="","",IFERROR(-AW292,"n.b."))</f>
        <v/>
      </c>
      <c r="CK292" s="124" t="str">
        <f>IF($B292="","",IFERROR(-AX292,"n.b."))</f>
        <v/>
      </c>
      <c r="CL292" s="124" t="str">
        <f>IF($B292="","",IFERROR(-AY292,"n.b."))</f>
        <v/>
      </c>
      <c r="CM292" s="124" t="str">
        <f>IF($B292="","",IFERROR(-AZ292,"n.b."))</f>
        <v/>
      </c>
      <c r="CN292" s="124" t="str">
        <f>IF($B292="","",IFERROR(-BA292,"n.b."))</f>
        <v/>
      </c>
      <c r="CO292" s="124" t="str">
        <f>IF($B292="","",IFERROR(-BB292,"n.b."))</f>
        <v/>
      </c>
      <c r="CP292" s="124" t="str">
        <f>IF($B292="","",IFERROR(-BC292,"n.b."))</f>
        <v/>
      </c>
      <c r="CQ292" s="124" t="str">
        <f>IF($B292="","",IFERROR(-BD292,"n.b."))</f>
        <v/>
      </c>
      <c r="CR292" s="124" t="str">
        <f>IF($B292="","",IFERROR(-BE292,"n.b."))</f>
        <v/>
      </c>
      <c r="CS292" s="124" t="str">
        <f>IF($B292="","",IFERROR(IF(OR(ABS(T292+V292+X292+Z292-AB292)&gt;P_Tol,ABS(U292+W292+Y292+AA292-AD292)&gt;P_Tol,ABS(AE292+AG292+AI292+AK292-AM292)&gt;P_Tol,ABS(AF292+AH292+AJ292+AL292-AO292)&gt;P_Tol),1,0),1))</f>
        <v/>
      </c>
      <c r="CT292" s="124" t="str">
        <f>IF($B292="","",IFERROR(IF(OR(ABS(AB292+AC292-AD292)&gt;P_Tol,ABS(AM292+AN292-AO292)&gt;P_Tol,ABS(O292+P292-Q292)&gt;P_Tol),1,0),1))</f>
        <v/>
      </c>
      <c r="CU292" s="124" t="str">
        <f>IF($B292="","",IFERROR(IF(ABS(R292-(AB292+AM292+AP292+AR292+AT292+AV292+AX292+AZ292+BB292+BD292))&gt;P_Tol,1,0),1))</f>
        <v/>
      </c>
      <c r="CV292" s="124" t="str">
        <f>IF($B292="","",IFERROR(IF(ABS(M292-(N292+O292+R292))&gt;P_Tol,1,0),1))</f>
        <v/>
      </c>
      <c r="CW292" s="124" t="str">
        <f>IF($B292="","",IF(COUNTIF(Mapping!$A$5:$A$104,B292)&gt;0,1,0))</f>
        <v/>
      </c>
      <c r="CX292" s="124" t="str">
        <f>IF($B292="","",COUNTIF($B$6:$B$505,B292))</f>
        <v/>
      </c>
      <c r="CY292" s="124" t="str">
        <f>IF($B292="","",COUNTIF(STG_Woningetalage!$B$6:$B$505,B292))</f>
        <v/>
      </c>
      <c r="CZ292" s="124" t="str">
        <f>IF($B292="","",IF(CW292=0,COUNTIF($CW$6:CW292,0),""))</f>
        <v/>
      </c>
    </row>
    <row r="293">
      <c r="A293" s="15" t="n">
        <v>289</v>
      </c>
      <c r="B293" t="str">
        <f>IF(B$3=0,"",IF(INDEX(SRC_ZPMW03!$A$1:$ZZ$501,$A293,B$3)&amp;""="","",INDEX(SRC_ZPMW03!$A$1:$ZZ$501,$A293,B$3)&amp;""))</f>
        <v/>
      </c>
      <c r="C293" t="str">
        <f>IF($B293="","",IF(C$3=0,"n.b.",INDEX(SRC_ZPMW03!$A$1:$ZZ$501,$A293,C$3)))</f>
        <v/>
      </c>
      <c r="D293" t="str">
        <f>IF($B293="","",IF(D$3=0,"n.b.",INDEX(SRC_ZPMW03!$A$1:$ZZ$501,$A293,D$3)))</f>
        <v/>
      </c>
      <c r="E293" t="str">
        <f>IF($B293="","",IF(E$3=0,"n.b.",INDEX(SRC_ZPMW03!$A$1:$ZZ$501,$A293,E$3)))</f>
        <v/>
      </c>
      <c r="F293" t="str">
        <f>IF($B293="","",IF(F$3=0,"n.b.",INDEX(SRC_ZPMW03!$A$1:$ZZ$501,$A293,F$3)))</f>
        <v/>
      </c>
      <c r="G293" t="str">
        <f>IF($B293="","",IF(G$3=0,"n.b.",INDEX(SRC_ZPMW03!$A$1:$ZZ$501,$A293,G$3)))</f>
        <v/>
      </c>
      <c r="H293" t="str">
        <f>IF($B293="","",IF(H$3=0,"n.b.",INDEX(SRC_ZPMW03!$A$1:$ZZ$501,$A293,H$3)))</f>
        <v/>
      </c>
      <c r="I293" t="str">
        <f>IF($B293="","",IF(I$3=0,"n.b.",INDEX(SRC_ZPMW03!$A$1:$ZZ$501,$A293,I$3)))</f>
        <v/>
      </c>
      <c r="J293" t="str">
        <f>IF($B293="","",IF(J$3=0,"n.b.",INDEX(SRC_ZPMW03!$A$1:$ZZ$501,$A293,J$3)))</f>
        <v/>
      </c>
      <c r="K293" t="str">
        <f>IF($B293="","",IF(K$3=0,"n.b.",INDEX(SRC_ZPMW03!$A$1:$ZZ$501,$A293,K$3)))</f>
        <v/>
      </c>
      <c r="L293" s="124" t="str">
        <f>IF($B293="","",IF(L$3=0,"n.b.",INDEX(SRC_ZPMW03!$A$1:$ZZ$501,$A293,L$3)))</f>
        <v/>
      </c>
      <c r="M293" s="124" t="str">
        <f>IF($B293="","",IF(M$3=0,"n.b.",INDEX(SRC_ZPMW03!$A$1:$ZZ$501,$A293,M$3)))</f>
        <v/>
      </c>
      <c r="N293" s="124" t="str">
        <f>IF($B293="","",IF(N$3=0,"n.b.",INDEX(SRC_ZPMW03!$A$1:$ZZ$501,$A293,N$3)))</f>
        <v/>
      </c>
      <c r="O293" s="124" t="str">
        <f>IF($B293="","",IF(O$3=0,"n.b.",INDEX(SRC_ZPMW03!$A$1:$ZZ$501,$A293,O$3)))</f>
        <v/>
      </c>
      <c r="P293" s="124" t="str">
        <f>IF($B293="","",IF(P$3=0,"n.b.",INDEX(SRC_ZPMW03!$A$1:$ZZ$501,$A293,P$3)))</f>
        <v/>
      </c>
      <c r="Q293" s="124" t="str">
        <f>IF($B293="","",IF(Q$3=0,"n.b.",INDEX(SRC_ZPMW03!$A$1:$ZZ$501,$A293,Q$3)))</f>
        <v/>
      </c>
      <c r="R293" s="124" t="str">
        <f>IF($B293="","",IF(R$3=0,"n.b.",INDEX(SRC_ZPMW03!$A$1:$ZZ$501,$A293,R$3)))</f>
        <v/>
      </c>
      <c r="S293" s="124" t="str">
        <f>IF($B293="","",IF(S$3=0,"n.b.",INDEX(SRC_ZPMW03!$A$1:$ZZ$501,$A293,S$3)))</f>
        <v/>
      </c>
      <c r="T293" s="124" t="str">
        <f>IF($B293="","",IF(T$3=0,"n.b.",INDEX(SRC_ZPMW03!$A$1:$ZZ$501,$A293,T$3)))</f>
        <v/>
      </c>
      <c r="U293" s="124" t="str">
        <f>IF($B293="","",IF(U$3=0,"n.b.",INDEX(SRC_ZPMW03!$A$1:$ZZ$501,$A293,U$3)))</f>
        <v/>
      </c>
      <c r="V293" s="124" t="str">
        <f>IF($B293="","",IF(V$3=0,"n.b.",INDEX(SRC_ZPMW03!$A$1:$ZZ$501,$A293,V$3)))</f>
        <v/>
      </c>
      <c r="W293" s="124" t="str">
        <f>IF($B293="","",IF(W$3=0,"n.b.",INDEX(SRC_ZPMW03!$A$1:$ZZ$501,$A293,W$3)))</f>
        <v/>
      </c>
      <c r="X293" s="124" t="str">
        <f>IF($B293="","",IF(X$3=0,"n.b.",INDEX(SRC_ZPMW03!$A$1:$ZZ$501,$A293,X$3)))</f>
        <v/>
      </c>
      <c r="Y293" s="124" t="str">
        <f>IF($B293="","",IF(Y$3=0,"n.b.",INDEX(SRC_ZPMW03!$A$1:$ZZ$501,$A293,Y$3)))</f>
        <v/>
      </c>
      <c r="Z293" s="124" t="str">
        <f>IF($B293="","",IF(Z$3=0,"n.b.",INDEX(SRC_ZPMW03!$A$1:$ZZ$501,$A293,Z$3)))</f>
        <v/>
      </c>
      <c r="AA293" s="124" t="str">
        <f>IF($B293="","",IF(AA$3=0,"n.b.",INDEX(SRC_ZPMW03!$A$1:$ZZ$501,$A293,AA$3)))</f>
        <v/>
      </c>
      <c r="AB293" s="124" t="str">
        <f>IF($B293="","",IF(AB$3=0,"n.b.",INDEX(SRC_ZPMW03!$A$1:$ZZ$501,$A293,AB$3)))</f>
        <v/>
      </c>
      <c r="AC293" s="124" t="str">
        <f>IF($B293="","",IF(AC$3=0,"n.b.",INDEX(SRC_ZPMW03!$A$1:$ZZ$501,$A293,AC$3)))</f>
        <v/>
      </c>
      <c r="AD293" s="124" t="str">
        <f>IF($B293="","",IF(AD$3=0,"n.b.",INDEX(SRC_ZPMW03!$A$1:$ZZ$501,$A293,AD$3)))</f>
        <v/>
      </c>
      <c r="AE293" s="124" t="str">
        <f>IF($B293="","",IF(AE$3=0,"n.b.",INDEX(SRC_ZPMW03!$A$1:$ZZ$501,$A293,AE$3)))</f>
        <v/>
      </c>
      <c r="AF293" s="124" t="str">
        <f>IF($B293="","",IF(AF$3=0,"n.b.",INDEX(SRC_ZPMW03!$A$1:$ZZ$501,$A293,AF$3)))</f>
        <v/>
      </c>
      <c r="AG293" s="124" t="str">
        <f>IF($B293="","",IF(AG$3=0,"n.b.",INDEX(SRC_ZPMW03!$A$1:$ZZ$501,$A293,AG$3)))</f>
        <v/>
      </c>
      <c r="AH293" s="124" t="str">
        <f>IF($B293="","",IF(AH$3=0,"n.b.",INDEX(SRC_ZPMW03!$A$1:$ZZ$501,$A293,AH$3)))</f>
        <v/>
      </c>
      <c r="AI293" s="124" t="str">
        <f>IF($B293="","",IF(AI$3=0,"n.b.",INDEX(SRC_ZPMW03!$A$1:$ZZ$501,$A293,AI$3)))</f>
        <v/>
      </c>
      <c r="AJ293" s="124" t="str">
        <f>IF($B293="","",IF(AJ$3=0,"n.b.",INDEX(SRC_ZPMW03!$A$1:$ZZ$501,$A293,AJ$3)))</f>
        <v/>
      </c>
      <c r="AK293" s="124" t="str">
        <f>IF($B293="","",IF(AK$3=0,"n.b.",INDEX(SRC_ZPMW03!$A$1:$ZZ$501,$A293,AK$3)))</f>
        <v/>
      </c>
      <c r="AL293" s="124" t="str">
        <f>IF($B293="","",IF(AL$3=0,"n.b.",INDEX(SRC_ZPMW03!$A$1:$ZZ$501,$A293,AL$3)))</f>
        <v/>
      </c>
      <c r="AM293" s="124" t="str">
        <f>IF($B293="","",IF(AM$3=0,"n.b.",INDEX(SRC_ZPMW03!$A$1:$ZZ$501,$A293,AM$3)))</f>
        <v/>
      </c>
      <c r="AN293" s="124" t="str">
        <f>IF($B293="","",IF(AN$3=0,"n.b.",INDEX(SRC_ZPMW03!$A$1:$ZZ$501,$A293,AN$3)))</f>
        <v/>
      </c>
      <c r="AO293" s="124" t="str">
        <f>IF($B293="","",IF(AO$3=0,"n.b.",INDEX(SRC_ZPMW03!$A$1:$ZZ$501,$A293,AO$3)))</f>
        <v/>
      </c>
      <c r="AP293" s="124" t="str">
        <f>IF($B293="","",IF(AP$3=0,"n.b.",INDEX(SRC_ZPMW03!$A$1:$ZZ$501,$A293,AP$3)))</f>
        <v/>
      </c>
      <c r="AQ293" s="124" t="str">
        <f>IF($B293="","",IF(AQ$3=0,"n.b.",INDEX(SRC_ZPMW03!$A$1:$ZZ$501,$A293,AQ$3)))</f>
        <v/>
      </c>
      <c r="AR293" s="124" t="str">
        <f>IF($B293="","",IF(AR$3=0,"n.b.",INDEX(SRC_ZPMW03!$A$1:$ZZ$501,$A293,AR$3)))</f>
        <v/>
      </c>
      <c r="AS293" s="124" t="str">
        <f>IF($B293="","",IF(AS$3=0,"n.b.",INDEX(SRC_ZPMW03!$A$1:$ZZ$501,$A293,AS$3)))</f>
        <v/>
      </c>
      <c r="AT293" s="124" t="str">
        <f>IF($B293="","",IF(AT$3=0,"n.b.",INDEX(SRC_ZPMW03!$A$1:$ZZ$501,$A293,AT$3)))</f>
        <v/>
      </c>
      <c r="AU293" s="124" t="str">
        <f>IF($B293="","",IF(AU$3=0,"n.b.",INDEX(SRC_ZPMW03!$A$1:$ZZ$501,$A293,AU$3)))</f>
        <v/>
      </c>
      <c r="AV293" s="124" t="str">
        <f>IF($B293="","",IF(AV$3=0,"n.b.",INDEX(SRC_ZPMW03!$A$1:$ZZ$501,$A293,AV$3)))</f>
        <v/>
      </c>
      <c r="AW293" s="124" t="str">
        <f>IF($B293="","",IF(AW$3=0,"n.b.",INDEX(SRC_ZPMW03!$A$1:$ZZ$501,$A293,AW$3)))</f>
        <v/>
      </c>
      <c r="AX293" s="124" t="str">
        <f>IF($B293="","",IF(AX$3=0,"n.b.",INDEX(SRC_ZPMW03!$A$1:$ZZ$501,$A293,AX$3)))</f>
        <v/>
      </c>
      <c r="AY293" s="124" t="str">
        <f>IF($B293="","",IF(AY$3=0,"n.b.",INDEX(SRC_ZPMW03!$A$1:$ZZ$501,$A293,AY$3)))</f>
        <v/>
      </c>
      <c r="AZ293" s="124" t="str">
        <f>IF($B293="","",IF(AZ$3=0,"n.b.",INDEX(SRC_ZPMW03!$A$1:$ZZ$501,$A293,AZ$3)))</f>
        <v/>
      </c>
      <c r="BA293" s="124" t="str">
        <f>IF($B293="","",IF(BA$3=0,"n.b.",INDEX(SRC_ZPMW03!$A$1:$ZZ$501,$A293,BA$3)))</f>
        <v/>
      </c>
      <c r="BB293" s="124" t="str">
        <f>IF($B293="","",IF(BB$3=0,"n.b.",INDEX(SRC_ZPMW03!$A$1:$ZZ$501,$A293,BB$3)))</f>
        <v/>
      </c>
      <c r="BC293" s="124" t="str">
        <f>IF($B293="","",IF(BC$3=0,"n.b.",INDEX(SRC_ZPMW03!$A$1:$ZZ$501,$A293,BC$3)))</f>
        <v/>
      </c>
      <c r="BD293" s="124" t="str">
        <f>IF($B293="","",IF(BD$3=0,"n.b.",INDEX(SRC_ZPMW03!$A$1:$ZZ$501,$A293,BD$3)))</f>
        <v/>
      </c>
      <c r="BE293" s="124" t="str">
        <f>IF($B293="","",IF(BE$3=0,"n.b.",INDEX(SRC_ZPMW03!$A$1:$ZZ$501,$A293,BE$3)))</f>
        <v/>
      </c>
      <c r="BF293" s="124" t="str">
        <f>IF($B293="","",IF(BF$3=0,"n.b.",INDEX(SRC_ZPMW03!$A$1:$ZZ$501,$A293,BF$3)))</f>
        <v/>
      </c>
      <c r="BG293" t="str">
        <f>IF($B293="","",IF(BG$3=0,"n.b.",INDEX(SRC_ZPMW03!$A$1:$ZZ$501,$A293,BG$3)))</f>
        <v/>
      </c>
      <c r="BH293" t="str">
        <f>IF($B293="","",IF(BH$3=0,"n.b.",INDEX(SRC_ZPMW03!$A$1:$ZZ$501,$A293,BH$3)))</f>
        <v/>
      </c>
      <c r="BI293" t="str">
        <f>IF($B293="","",IF(BI$3=0,"n.b.",INDEX(SRC_ZPMW03!$A$1:$ZZ$501,$A293,BI$3)))</f>
        <v/>
      </c>
      <c r="BJ293" t="str">
        <f>IF($B293="","",IF(BJ$3=0,"n.b.",INDEX(SRC_ZPMW03!$A$1:$ZZ$501,$A293,BJ$3)))</f>
        <v/>
      </c>
      <c r="BK293" s="124" t="str">
        <f>IF($B293="","",IFERROR(-O293,"n.b."))</f>
        <v/>
      </c>
      <c r="BL293" s="124" t="str">
        <f>IF($B293="","",IFERROR(-Q293,"n.b."))</f>
        <v/>
      </c>
      <c r="BM293" s="124" t="str">
        <f>IF($B293="","",IFERROR(-AB293,"n.b."))</f>
        <v/>
      </c>
      <c r="BN293" s="124" t="str">
        <f>IF($B293="","",IFERROR(-AD293,"n.b."))</f>
        <v/>
      </c>
      <c r="BO293" s="124" t="str">
        <f>IF($B293="","",IFERROR(BK293+BM293,"n.b."))</f>
        <v/>
      </c>
      <c r="BP293" s="124" t="str">
        <f>IF($B293="","",IFERROR(BL293+BN293,"n.b."))</f>
        <v/>
      </c>
      <c r="BQ293" s="124" t="str">
        <f>IF($B293="","",IFERROR(-AM293,"n.b."))</f>
        <v/>
      </c>
      <c r="BR293" s="124" t="str">
        <f>IF($B293="","",IFERROR(-AO293,"n.b."))</f>
        <v/>
      </c>
      <c r="BS293" s="124" t="str">
        <f>IF($B293="","",IFERROR(-Z293,"n.b."))</f>
        <v/>
      </c>
      <c r="BT293" s="124" t="str">
        <f>IF($B293="","",IFERROR(-AA293,"n.b."))</f>
        <v/>
      </c>
      <c r="BU293" s="124" t="str">
        <f>IF($B293="","",IFERROR(-AE293,"n.b."))</f>
        <v/>
      </c>
      <c r="BV293" s="124" t="str">
        <f>IF($B293="","",IFERROR(-AF293,"n.b."))</f>
        <v/>
      </c>
      <c r="BW293" s="124" t="str">
        <f>IF($B293="","",IFERROR(-AG293,"n.b."))</f>
        <v/>
      </c>
      <c r="BX293" s="124" t="str">
        <f>IF($B293="","",IFERROR(-AH293,"n.b."))</f>
        <v/>
      </c>
      <c r="BY293" s="124" t="str">
        <f>IF($B293="","",IFERROR(-AI293,"n.b."))</f>
        <v/>
      </c>
      <c r="BZ293" s="124" t="str">
        <f>IF($B293="","",IFERROR(-AJ293,"n.b."))</f>
        <v/>
      </c>
      <c r="CA293" s="124" t="str">
        <f>IF($B293="","",IFERROR(-AK293,"n.b."))</f>
        <v/>
      </c>
      <c r="CB293" s="124" t="str">
        <f>IF($B293="","",IFERROR(-AL293,"n.b."))</f>
        <v/>
      </c>
      <c r="CC293" s="124" t="str">
        <f>IF($B293="","",IFERROR(-AP293,"n.b."))</f>
        <v/>
      </c>
      <c r="CD293" s="124" t="str">
        <f>IF($B293="","",IFERROR(-AQ293,"n.b."))</f>
        <v/>
      </c>
      <c r="CE293" s="124" t="str">
        <f>IF($B293="","",IFERROR(-AR293,"n.b."))</f>
        <v/>
      </c>
      <c r="CF293" s="124" t="str">
        <f>IF($B293="","",IFERROR(-AS293,"n.b."))</f>
        <v/>
      </c>
      <c r="CG293" s="124" t="str">
        <f>IF($B293="","",IFERROR(-AT293,"n.b."))</f>
        <v/>
      </c>
      <c r="CH293" s="124" t="str">
        <f>IF($B293="","",IFERROR(-AU293,"n.b."))</f>
        <v/>
      </c>
      <c r="CI293" s="124" t="str">
        <f>IF($B293="","",IFERROR(-AV293,"n.b."))</f>
        <v/>
      </c>
      <c r="CJ293" s="124" t="str">
        <f>IF($B293="","",IFERROR(-AW293,"n.b."))</f>
        <v/>
      </c>
      <c r="CK293" s="124" t="str">
        <f>IF($B293="","",IFERROR(-AX293,"n.b."))</f>
        <v/>
      </c>
      <c r="CL293" s="124" t="str">
        <f>IF($B293="","",IFERROR(-AY293,"n.b."))</f>
        <v/>
      </c>
      <c r="CM293" s="124" t="str">
        <f>IF($B293="","",IFERROR(-AZ293,"n.b."))</f>
        <v/>
      </c>
      <c r="CN293" s="124" t="str">
        <f>IF($B293="","",IFERROR(-BA293,"n.b."))</f>
        <v/>
      </c>
      <c r="CO293" s="124" t="str">
        <f>IF($B293="","",IFERROR(-BB293,"n.b."))</f>
        <v/>
      </c>
      <c r="CP293" s="124" t="str">
        <f>IF($B293="","",IFERROR(-BC293,"n.b."))</f>
        <v/>
      </c>
      <c r="CQ293" s="124" t="str">
        <f>IF($B293="","",IFERROR(-BD293,"n.b."))</f>
        <v/>
      </c>
      <c r="CR293" s="124" t="str">
        <f>IF($B293="","",IFERROR(-BE293,"n.b."))</f>
        <v/>
      </c>
      <c r="CS293" s="124" t="str">
        <f>IF($B293="","",IFERROR(IF(OR(ABS(T293+V293+X293+Z293-AB293)&gt;P_Tol,ABS(U293+W293+Y293+AA293-AD293)&gt;P_Tol,ABS(AE293+AG293+AI293+AK293-AM293)&gt;P_Tol,ABS(AF293+AH293+AJ293+AL293-AO293)&gt;P_Tol),1,0),1))</f>
        <v/>
      </c>
      <c r="CT293" s="124" t="str">
        <f>IF($B293="","",IFERROR(IF(OR(ABS(AB293+AC293-AD293)&gt;P_Tol,ABS(AM293+AN293-AO293)&gt;P_Tol,ABS(O293+P293-Q293)&gt;P_Tol),1,0),1))</f>
        <v/>
      </c>
      <c r="CU293" s="124" t="str">
        <f>IF($B293="","",IFERROR(IF(ABS(R293-(AB293+AM293+AP293+AR293+AT293+AV293+AX293+AZ293+BB293+BD293))&gt;P_Tol,1,0),1))</f>
        <v/>
      </c>
      <c r="CV293" s="124" t="str">
        <f>IF($B293="","",IFERROR(IF(ABS(M293-(N293+O293+R293))&gt;P_Tol,1,0),1))</f>
        <v/>
      </c>
      <c r="CW293" s="124" t="str">
        <f>IF($B293="","",IF(COUNTIF(Mapping!$A$5:$A$104,B293)&gt;0,1,0))</f>
        <v/>
      </c>
      <c r="CX293" s="124" t="str">
        <f>IF($B293="","",COUNTIF($B$6:$B$505,B293))</f>
        <v/>
      </c>
      <c r="CY293" s="124" t="str">
        <f>IF($B293="","",COUNTIF(STG_Woningetalage!$B$6:$B$505,B293))</f>
        <v/>
      </c>
      <c r="CZ293" s="124" t="str">
        <f>IF($B293="","",IF(CW293=0,COUNTIF($CW$6:CW293,0),""))</f>
        <v/>
      </c>
    </row>
    <row r="294">
      <c r="A294" s="15" t="n">
        <v>290</v>
      </c>
      <c r="B294" t="str">
        <f>IF(B$3=0,"",IF(INDEX(SRC_ZPMW03!$A$1:$ZZ$501,$A294,B$3)&amp;""="","",INDEX(SRC_ZPMW03!$A$1:$ZZ$501,$A294,B$3)&amp;""))</f>
        <v/>
      </c>
      <c r="C294" t="str">
        <f>IF($B294="","",IF(C$3=0,"n.b.",INDEX(SRC_ZPMW03!$A$1:$ZZ$501,$A294,C$3)))</f>
        <v/>
      </c>
      <c r="D294" t="str">
        <f>IF($B294="","",IF(D$3=0,"n.b.",INDEX(SRC_ZPMW03!$A$1:$ZZ$501,$A294,D$3)))</f>
        <v/>
      </c>
      <c r="E294" t="str">
        <f>IF($B294="","",IF(E$3=0,"n.b.",INDEX(SRC_ZPMW03!$A$1:$ZZ$501,$A294,E$3)))</f>
        <v/>
      </c>
      <c r="F294" t="str">
        <f>IF($B294="","",IF(F$3=0,"n.b.",INDEX(SRC_ZPMW03!$A$1:$ZZ$501,$A294,F$3)))</f>
        <v/>
      </c>
      <c r="G294" t="str">
        <f>IF($B294="","",IF(G$3=0,"n.b.",INDEX(SRC_ZPMW03!$A$1:$ZZ$501,$A294,G$3)))</f>
        <v/>
      </c>
      <c r="H294" t="str">
        <f>IF($B294="","",IF(H$3=0,"n.b.",INDEX(SRC_ZPMW03!$A$1:$ZZ$501,$A294,H$3)))</f>
        <v/>
      </c>
      <c r="I294" t="str">
        <f>IF($B294="","",IF(I$3=0,"n.b.",INDEX(SRC_ZPMW03!$A$1:$ZZ$501,$A294,I$3)))</f>
        <v/>
      </c>
      <c r="J294" t="str">
        <f>IF($B294="","",IF(J$3=0,"n.b.",INDEX(SRC_ZPMW03!$A$1:$ZZ$501,$A294,J$3)))</f>
        <v/>
      </c>
      <c r="K294" t="str">
        <f>IF($B294="","",IF(K$3=0,"n.b.",INDEX(SRC_ZPMW03!$A$1:$ZZ$501,$A294,K$3)))</f>
        <v/>
      </c>
      <c r="L294" s="124" t="str">
        <f>IF($B294="","",IF(L$3=0,"n.b.",INDEX(SRC_ZPMW03!$A$1:$ZZ$501,$A294,L$3)))</f>
        <v/>
      </c>
      <c r="M294" s="124" t="str">
        <f>IF($B294="","",IF(M$3=0,"n.b.",INDEX(SRC_ZPMW03!$A$1:$ZZ$501,$A294,M$3)))</f>
        <v/>
      </c>
      <c r="N294" s="124" t="str">
        <f>IF($B294="","",IF(N$3=0,"n.b.",INDEX(SRC_ZPMW03!$A$1:$ZZ$501,$A294,N$3)))</f>
        <v/>
      </c>
      <c r="O294" s="124" t="str">
        <f>IF($B294="","",IF(O$3=0,"n.b.",INDEX(SRC_ZPMW03!$A$1:$ZZ$501,$A294,O$3)))</f>
        <v/>
      </c>
      <c r="P294" s="124" t="str">
        <f>IF($B294="","",IF(P$3=0,"n.b.",INDEX(SRC_ZPMW03!$A$1:$ZZ$501,$A294,P$3)))</f>
        <v/>
      </c>
      <c r="Q294" s="124" t="str">
        <f>IF($B294="","",IF(Q$3=0,"n.b.",INDEX(SRC_ZPMW03!$A$1:$ZZ$501,$A294,Q$3)))</f>
        <v/>
      </c>
      <c r="R294" s="124" t="str">
        <f>IF($B294="","",IF(R$3=0,"n.b.",INDEX(SRC_ZPMW03!$A$1:$ZZ$501,$A294,R$3)))</f>
        <v/>
      </c>
      <c r="S294" s="124" t="str">
        <f>IF($B294="","",IF(S$3=0,"n.b.",INDEX(SRC_ZPMW03!$A$1:$ZZ$501,$A294,S$3)))</f>
        <v/>
      </c>
      <c r="T294" s="124" t="str">
        <f>IF($B294="","",IF(T$3=0,"n.b.",INDEX(SRC_ZPMW03!$A$1:$ZZ$501,$A294,T$3)))</f>
        <v/>
      </c>
      <c r="U294" s="124" t="str">
        <f>IF($B294="","",IF(U$3=0,"n.b.",INDEX(SRC_ZPMW03!$A$1:$ZZ$501,$A294,U$3)))</f>
        <v/>
      </c>
      <c r="V294" s="124" t="str">
        <f>IF($B294="","",IF(V$3=0,"n.b.",INDEX(SRC_ZPMW03!$A$1:$ZZ$501,$A294,V$3)))</f>
        <v/>
      </c>
      <c r="W294" s="124" t="str">
        <f>IF($B294="","",IF(W$3=0,"n.b.",INDEX(SRC_ZPMW03!$A$1:$ZZ$501,$A294,W$3)))</f>
        <v/>
      </c>
      <c r="X294" s="124" t="str">
        <f>IF($B294="","",IF(X$3=0,"n.b.",INDEX(SRC_ZPMW03!$A$1:$ZZ$501,$A294,X$3)))</f>
        <v/>
      </c>
      <c r="Y294" s="124" t="str">
        <f>IF($B294="","",IF(Y$3=0,"n.b.",INDEX(SRC_ZPMW03!$A$1:$ZZ$501,$A294,Y$3)))</f>
        <v/>
      </c>
      <c r="Z294" s="124" t="str">
        <f>IF($B294="","",IF(Z$3=0,"n.b.",INDEX(SRC_ZPMW03!$A$1:$ZZ$501,$A294,Z$3)))</f>
        <v/>
      </c>
      <c r="AA294" s="124" t="str">
        <f>IF($B294="","",IF(AA$3=0,"n.b.",INDEX(SRC_ZPMW03!$A$1:$ZZ$501,$A294,AA$3)))</f>
        <v/>
      </c>
      <c r="AB294" s="124" t="str">
        <f>IF($B294="","",IF(AB$3=0,"n.b.",INDEX(SRC_ZPMW03!$A$1:$ZZ$501,$A294,AB$3)))</f>
        <v/>
      </c>
      <c r="AC294" s="124" t="str">
        <f>IF($B294="","",IF(AC$3=0,"n.b.",INDEX(SRC_ZPMW03!$A$1:$ZZ$501,$A294,AC$3)))</f>
        <v/>
      </c>
      <c r="AD294" s="124" t="str">
        <f>IF($B294="","",IF(AD$3=0,"n.b.",INDEX(SRC_ZPMW03!$A$1:$ZZ$501,$A294,AD$3)))</f>
        <v/>
      </c>
      <c r="AE294" s="124" t="str">
        <f>IF($B294="","",IF(AE$3=0,"n.b.",INDEX(SRC_ZPMW03!$A$1:$ZZ$501,$A294,AE$3)))</f>
        <v/>
      </c>
      <c r="AF294" s="124" t="str">
        <f>IF($B294="","",IF(AF$3=0,"n.b.",INDEX(SRC_ZPMW03!$A$1:$ZZ$501,$A294,AF$3)))</f>
        <v/>
      </c>
      <c r="AG294" s="124" t="str">
        <f>IF($B294="","",IF(AG$3=0,"n.b.",INDEX(SRC_ZPMW03!$A$1:$ZZ$501,$A294,AG$3)))</f>
        <v/>
      </c>
      <c r="AH294" s="124" t="str">
        <f>IF($B294="","",IF(AH$3=0,"n.b.",INDEX(SRC_ZPMW03!$A$1:$ZZ$501,$A294,AH$3)))</f>
        <v/>
      </c>
      <c r="AI294" s="124" t="str">
        <f>IF($B294="","",IF(AI$3=0,"n.b.",INDEX(SRC_ZPMW03!$A$1:$ZZ$501,$A294,AI$3)))</f>
        <v/>
      </c>
      <c r="AJ294" s="124" t="str">
        <f>IF($B294="","",IF(AJ$3=0,"n.b.",INDEX(SRC_ZPMW03!$A$1:$ZZ$501,$A294,AJ$3)))</f>
        <v/>
      </c>
      <c r="AK294" s="124" t="str">
        <f>IF($B294="","",IF(AK$3=0,"n.b.",INDEX(SRC_ZPMW03!$A$1:$ZZ$501,$A294,AK$3)))</f>
        <v/>
      </c>
      <c r="AL294" s="124" t="str">
        <f>IF($B294="","",IF(AL$3=0,"n.b.",INDEX(SRC_ZPMW03!$A$1:$ZZ$501,$A294,AL$3)))</f>
        <v/>
      </c>
      <c r="AM294" s="124" t="str">
        <f>IF($B294="","",IF(AM$3=0,"n.b.",INDEX(SRC_ZPMW03!$A$1:$ZZ$501,$A294,AM$3)))</f>
        <v/>
      </c>
      <c r="AN294" s="124" t="str">
        <f>IF($B294="","",IF(AN$3=0,"n.b.",INDEX(SRC_ZPMW03!$A$1:$ZZ$501,$A294,AN$3)))</f>
        <v/>
      </c>
      <c r="AO294" s="124" t="str">
        <f>IF($B294="","",IF(AO$3=0,"n.b.",INDEX(SRC_ZPMW03!$A$1:$ZZ$501,$A294,AO$3)))</f>
        <v/>
      </c>
      <c r="AP294" s="124" t="str">
        <f>IF($B294="","",IF(AP$3=0,"n.b.",INDEX(SRC_ZPMW03!$A$1:$ZZ$501,$A294,AP$3)))</f>
        <v/>
      </c>
      <c r="AQ294" s="124" t="str">
        <f>IF($B294="","",IF(AQ$3=0,"n.b.",INDEX(SRC_ZPMW03!$A$1:$ZZ$501,$A294,AQ$3)))</f>
        <v/>
      </c>
      <c r="AR294" s="124" t="str">
        <f>IF($B294="","",IF(AR$3=0,"n.b.",INDEX(SRC_ZPMW03!$A$1:$ZZ$501,$A294,AR$3)))</f>
        <v/>
      </c>
      <c r="AS294" s="124" t="str">
        <f>IF($B294="","",IF(AS$3=0,"n.b.",INDEX(SRC_ZPMW03!$A$1:$ZZ$501,$A294,AS$3)))</f>
        <v/>
      </c>
      <c r="AT294" s="124" t="str">
        <f>IF($B294="","",IF(AT$3=0,"n.b.",INDEX(SRC_ZPMW03!$A$1:$ZZ$501,$A294,AT$3)))</f>
        <v/>
      </c>
      <c r="AU294" s="124" t="str">
        <f>IF($B294="","",IF(AU$3=0,"n.b.",INDEX(SRC_ZPMW03!$A$1:$ZZ$501,$A294,AU$3)))</f>
        <v/>
      </c>
      <c r="AV294" s="124" t="str">
        <f>IF($B294="","",IF(AV$3=0,"n.b.",INDEX(SRC_ZPMW03!$A$1:$ZZ$501,$A294,AV$3)))</f>
        <v/>
      </c>
      <c r="AW294" s="124" t="str">
        <f>IF($B294="","",IF(AW$3=0,"n.b.",INDEX(SRC_ZPMW03!$A$1:$ZZ$501,$A294,AW$3)))</f>
        <v/>
      </c>
      <c r="AX294" s="124" t="str">
        <f>IF($B294="","",IF(AX$3=0,"n.b.",INDEX(SRC_ZPMW03!$A$1:$ZZ$501,$A294,AX$3)))</f>
        <v/>
      </c>
      <c r="AY294" s="124" t="str">
        <f>IF($B294="","",IF(AY$3=0,"n.b.",INDEX(SRC_ZPMW03!$A$1:$ZZ$501,$A294,AY$3)))</f>
        <v/>
      </c>
      <c r="AZ294" s="124" t="str">
        <f>IF($B294="","",IF(AZ$3=0,"n.b.",INDEX(SRC_ZPMW03!$A$1:$ZZ$501,$A294,AZ$3)))</f>
        <v/>
      </c>
      <c r="BA294" s="124" t="str">
        <f>IF($B294="","",IF(BA$3=0,"n.b.",INDEX(SRC_ZPMW03!$A$1:$ZZ$501,$A294,BA$3)))</f>
        <v/>
      </c>
      <c r="BB294" s="124" t="str">
        <f>IF($B294="","",IF(BB$3=0,"n.b.",INDEX(SRC_ZPMW03!$A$1:$ZZ$501,$A294,BB$3)))</f>
        <v/>
      </c>
      <c r="BC294" s="124" t="str">
        <f>IF($B294="","",IF(BC$3=0,"n.b.",INDEX(SRC_ZPMW03!$A$1:$ZZ$501,$A294,BC$3)))</f>
        <v/>
      </c>
      <c r="BD294" s="124" t="str">
        <f>IF($B294="","",IF(BD$3=0,"n.b.",INDEX(SRC_ZPMW03!$A$1:$ZZ$501,$A294,BD$3)))</f>
        <v/>
      </c>
      <c r="BE294" s="124" t="str">
        <f>IF($B294="","",IF(BE$3=0,"n.b.",INDEX(SRC_ZPMW03!$A$1:$ZZ$501,$A294,BE$3)))</f>
        <v/>
      </c>
      <c r="BF294" s="124" t="str">
        <f>IF($B294="","",IF(BF$3=0,"n.b.",INDEX(SRC_ZPMW03!$A$1:$ZZ$501,$A294,BF$3)))</f>
        <v/>
      </c>
      <c r="BG294" t="str">
        <f>IF($B294="","",IF(BG$3=0,"n.b.",INDEX(SRC_ZPMW03!$A$1:$ZZ$501,$A294,BG$3)))</f>
        <v/>
      </c>
      <c r="BH294" t="str">
        <f>IF($B294="","",IF(BH$3=0,"n.b.",INDEX(SRC_ZPMW03!$A$1:$ZZ$501,$A294,BH$3)))</f>
        <v/>
      </c>
      <c r="BI294" t="str">
        <f>IF($B294="","",IF(BI$3=0,"n.b.",INDEX(SRC_ZPMW03!$A$1:$ZZ$501,$A294,BI$3)))</f>
        <v/>
      </c>
      <c r="BJ294" t="str">
        <f>IF($B294="","",IF(BJ$3=0,"n.b.",INDEX(SRC_ZPMW03!$A$1:$ZZ$501,$A294,BJ$3)))</f>
        <v/>
      </c>
      <c r="BK294" s="124" t="str">
        <f>IF($B294="","",IFERROR(-O294,"n.b."))</f>
        <v/>
      </c>
      <c r="BL294" s="124" t="str">
        <f>IF($B294="","",IFERROR(-Q294,"n.b."))</f>
        <v/>
      </c>
      <c r="BM294" s="124" t="str">
        <f>IF($B294="","",IFERROR(-AB294,"n.b."))</f>
        <v/>
      </c>
      <c r="BN294" s="124" t="str">
        <f>IF($B294="","",IFERROR(-AD294,"n.b."))</f>
        <v/>
      </c>
      <c r="BO294" s="124" t="str">
        <f>IF($B294="","",IFERROR(BK294+BM294,"n.b."))</f>
        <v/>
      </c>
      <c r="BP294" s="124" t="str">
        <f>IF($B294="","",IFERROR(BL294+BN294,"n.b."))</f>
        <v/>
      </c>
      <c r="BQ294" s="124" t="str">
        <f>IF($B294="","",IFERROR(-AM294,"n.b."))</f>
        <v/>
      </c>
      <c r="BR294" s="124" t="str">
        <f>IF($B294="","",IFERROR(-AO294,"n.b."))</f>
        <v/>
      </c>
      <c r="BS294" s="124" t="str">
        <f>IF($B294="","",IFERROR(-Z294,"n.b."))</f>
        <v/>
      </c>
      <c r="BT294" s="124" t="str">
        <f>IF($B294="","",IFERROR(-AA294,"n.b."))</f>
        <v/>
      </c>
      <c r="BU294" s="124" t="str">
        <f>IF($B294="","",IFERROR(-AE294,"n.b."))</f>
        <v/>
      </c>
      <c r="BV294" s="124" t="str">
        <f>IF($B294="","",IFERROR(-AF294,"n.b."))</f>
        <v/>
      </c>
      <c r="BW294" s="124" t="str">
        <f>IF($B294="","",IFERROR(-AG294,"n.b."))</f>
        <v/>
      </c>
      <c r="BX294" s="124" t="str">
        <f>IF($B294="","",IFERROR(-AH294,"n.b."))</f>
        <v/>
      </c>
      <c r="BY294" s="124" t="str">
        <f>IF($B294="","",IFERROR(-AI294,"n.b."))</f>
        <v/>
      </c>
      <c r="BZ294" s="124" t="str">
        <f>IF($B294="","",IFERROR(-AJ294,"n.b."))</f>
        <v/>
      </c>
      <c r="CA294" s="124" t="str">
        <f>IF($B294="","",IFERROR(-AK294,"n.b."))</f>
        <v/>
      </c>
      <c r="CB294" s="124" t="str">
        <f>IF($B294="","",IFERROR(-AL294,"n.b."))</f>
        <v/>
      </c>
      <c r="CC294" s="124" t="str">
        <f>IF($B294="","",IFERROR(-AP294,"n.b."))</f>
        <v/>
      </c>
      <c r="CD294" s="124" t="str">
        <f>IF($B294="","",IFERROR(-AQ294,"n.b."))</f>
        <v/>
      </c>
      <c r="CE294" s="124" t="str">
        <f>IF($B294="","",IFERROR(-AR294,"n.b."))</f>
        <v/>
      </c>
      <c r="CF294" s="124" t="str">
        <f>IF($B294="","",IFERROR(-AS294,"n.b."))</f>
        <v/>
      </c>
      <c r="CG294" s="124" t="str">
        <f>IF($B294="","",IFERROR(-AT294,"n.b."))</f>
        <v/>
      </c>
      <c r="CH294" s="124" t="str">
        <f>IF($B294="","",IFERROR(-AU294,"n.b."))</f>
        <v/>
      </c>
      <c r="CI294" s="124" t="str">
        <f>IF($B294="","",IFERROR(-AV294,"n.b."))</f>
        <v/>
      </c>
      <c r="CJ294" s="124" t="str">
        <f>IF($B294="","",IFERROR(-AW294,"n.b."))</f>
        <v/>
      </c>
      <c r="CK294" s="124" t="str">
        <f>IF($B294="","",IFERROR(-AX294,"n.b."))</f>
        <v/>
      </c>
      <c r="CL294" s="124" t="str">
        <f>IF($B294="","",IFERROR(-AY294,"n.b."))</f>
        <v/>
      </c>
      <c r="CM294" s="124" t="str">
        <f>IF($B294="","",IFERROR(-AZ294,"n.b."))</f>
        <v/>
      </c>
      <c r="CN294" s="124" t="str">
        <f>IF($B294="","",IFERROR(-BA294,"n.b."))</f>
        <v/>
      </c>
      <c r="CO294" s="124" t="str">
        <f>IF($B294="","",IFERROR(-BB294,"n.b."))</f>
        <v/>
      </c>
      <c r="CP294" s="124" t="str">
        <f>IF($B294="","",IFERROR(-BC294,"n.b."))</f>
        <v/>
      </c>
      <c r="CQ294" s="124" t="str">
        <f>IF($B294="","",IFERROR(-BD294,"n.b."))</f>
        <v/>
      </c>
      <c r="CR294" s="124" t="str">
        <f>IF($B294="","",IFERROR(-BE294,"n.b."))</f>
        <v/>
      </c>
      <c r="CS294" s="124" t="str">
        <f>IF($B294="","",IFERROR(IF(OR(ABS(T294+V294+X294+Z294-AB294)&gt;P_Tol,ABS(U294+W294+Y294+AA294-AD294)&gt;P_Tol,ABS(AE294+AG294+AI294+AK294-AM294)&gt;P_Tol,ABS(AF294+AH294+AJ294+AL294-AO294)&gt;P_Tol),1,0),1))</f>
        <v/>
      </c>
      <c r="CT294" s="124" t="str">
        <f>IF($B294="","",IFERROR(IF(OR(ABS(AB294+AC294-AD294)&gt;P_Tol,ABS(AM294+AN294-AO294)&gt;P_Tol,ABS(O294+P294-Q294)&gt;P_Tol),1,0),1))</f>
        <v/>
      </c>
      <c r="CU294" s="124" t="str">
        <f>IF($B294="","",IFERROR(IF(ABS(R294-(AB294+AM294+AP294+AR294+AT294+AV294+AX294+AZ294+BB294+BD294))&gt;P_Tol,1,0),1))</f>
        <v/>
      </c>
      <c r="CV294" s="124" t="str">
        <f>IF($B294="","",IFERROR(IF(ABS(M294-(N294+O294+R294))&gt;P_Tol,1,0),1))</f>
        <v/>
      </c>
      <c r="CW294" s="124" t="str">
        <f>IF($B294="","",IF(COUNTIF(Mapping!$A$5:$A$104,B294)&gt;0,1,0))</f>
        <v/>
      </c>
      <c r="CX294" s="124" t="str">
        <f>IF($B294="","",COUNTIF($B$6:$B$505,B294))</f>
        <v/>
      </c>
      <c r="CY294" s="124" t="str">
        <f>IF($B294="","",COUNTIF(STG_Woningetalage!$B$6:$B$505,B294))</f>
        <v/>
      </c>
      <c r="CZ294" s="124" t="str">
        <f>IF($B294="","",IF(CW294=0,COUNTIF($CW$6:CW294,0),""))</f>
        <v/>
      </c>
    </row>
    <row r="295">
      <c r="A295" s="15" t="n">
        <v>291</v>
      </c>
      <c r="B295" t="str">
        <f>IF(B$3=0,"",IF(INDEX(SRC_ZPMW03!$A$1:$ZZ$501,$A295,B$3)&amp;""="","",INDEX(SRC_ZPMW03!$A$1:$ZZ$501,$A295,B$3)&amp;""))</f>
        <v/>
      </c>
      <c r="C295" t="str">
        <f>IF($B295="","",IF(C$3=0,"n.b.",INDEX(SRC_ZPMW03!$A$1:$ZZ$501,$A295,C$3)))</f>
        <v/>
      </c>
      <c r="D295" t="str">
        <f>IF($B295="","",IF(D$3=0,"n.b.",INDEX(SRC_ZPMW03!$A$1:$ZZ$501,$A295,D$3)))</f>
        <v/>
      </c>
      <c r="E295" t="str">
        <f>IF($B295="","",IF(E$3=0,"n.b.",INDEX(SRC_ZPMW03!$A$1:$ZZ$501,$A295,E$3)))</f>
        <v/>
      </c>
      <c r="F295" t="str">
        <f>IF($B295="","",IF(F$3=0,"n.b.",INDEX(SRC_ZPMW03!$A$1:$ZZ$501,$A295,F$3)))</f>
        <v/>
      </c>
      <c r="G295" t="str">
        <f>IF($B295="","",IF(G$3=0,"n.b.",INDEX(SRC_ZPMW03!$A$1:$ZZ$501,$A295,G$3)))</f>
        <v/>
      </c>
      <c r="H295" t="str">
        <f>IF($B295="","",IF(H$3=0,"n.b.",INDEX(SRC_ZPMW03!$A$1:$ZZ$501,$A295,H$3)))</f>
        <v/>
      </c>
      <c r="I295" t="str">
        <f>IF($B295="","",IF(I$3=0,"n.b.",INDEX(SRC_ZPMW03!$A$1:$ZZ$501,$A295,I$3)))</f>
        <v/>
      </c>
      <c r="J295" t="str">
        <f>IF($B295="","",IF(J$3=0,"n.b.",INDEX(SRC_ZPMW03!$A$1:$ZZ$501,$A295,J$3)))</f>
        <v/>
      </c>
      <c r="K295" t="str">
        <f>IF($B295="","",IF(K$3=0,"n.b.",INDEX(SRC_ZPMW03!$A$1:$ZZ$501,$A295,K$3)))</f>
        <v/>
      </c>
      <c r="L295" s="124" t="str">
        <f>IF($B295="","",IF(L$3=0,"n.b.",INDEX(SRC_ZPMW03!$A$1:$ZZ$501,$A295,L$3)))</f>
        <v/>
      </c>
      <c r="M295" s="124" t="str">
        <f>IF($B295="","",IF(M$3=0,"n.b.",INDEX(SRC_ZPMW03!$A$1:$ZZ$501,$A295,M$3)))</f>
        <v/>
      </c>
      <c r="N295" s="124" t="str">
        <f>IF($B295="","",IF(N$3=0,"n.b.",INDEX(SRC_ZPMW03!$A$1:$ZZ$501,$A295,N$3)))</f>
        <v/>
      </c>
      <c r="O295" s="124" t="str">
        <f>IF($B295="","",IF(O$3=0,"n.b.",INDEX(SRC_ZPMW03!$A$1:$ZZ$501,$A295,O$3)))</f>
        <v/>
      </c>
      <c r="P295" s="124" t="str">
        <f>IF($B295="","",IF(P$3=0,"n.b.",INDEX(SRC_ZPMW03!$A$1:$ZZ$501,$A295,P$3)))</f>
        <v/>
      </c>
      <c r="Q295" s="124" t="str">
        <f>IF($B295="","",IF(Q$3=0,"n.b.",INDEX(SRC_ZPMW03!$A$1:$ZZ$501,$A295,Q$3)))</f>
        <v/>
      </c>
      <c r="R295" s="124" t="str">
        <f>IF($B295="","",IF(R$3=0,"n.b.",INDEX(SRC_ZPMW03!$A$1:$ZZ$501,$A295,R$3)))</f>
        <v/>
      </c>
      <c r="S295" s="124" t="str">
        <f>IF($B295="","",IF(S$3=0,"n.b.",INDEX(SRC_ZPMW03!$A$1:$ZZ$501,$A295,S$3)))</f>
        <v/>
      </c>
      <c r="T295" s="124" t="str">
        <f>IF($B295="","",IF(T$3=0,"n.b.",INDEX(SRC_ZPMW03!$A$1:$ZZ$501,$A295,T$3)))</f>
        <v/>
      </c>
      <c r="U295" s="124" t="str">
        <f>IF($B295="","",IF(U$3=0,"n.b.",INDEX(SRC_ZPMW03!$A$1:$ZZ$501,$A295,U$3)))</f>
        <v/>
      </c>
      <c r="V295" s="124" t="str">
        <f>IF($B295="","",IF(V$3=0,"n.b.",INDEX(SRC_ZPMW03!$A$1:$ZZ$501,$A295,V$3)))</f>
        <v/>
      </c>
      <c r="W295" s="124" t="str">
        <f>IF($B295="","",IF(W$3=0,"n.b.",INDEX(SRC_ZPMW03!$A$1:$ZZ$501,$A295,W$3)))</f>
        <v/>
      </c>
      <c r="X295" s="124" t="str">
        <f>IF($B295="","",IF(X$3=0,"n.b.",INDEX(SRC_ZPMW03!$A$1:$ZZ$501,$A295,X$3)))</f>
        <v/>
      </c>
      <c r="Y295" s="124" t="str">
        <f>IF($B295="","",IF(Y$3=0,"n.b.",INDEX(SRC_ZPMW03!$A$1:$ZZ$501,$A295,Y$3)))</f>
        <v/>
      </c>
      <c r="Z295" s="124" t="str">
        <f>IF($B295="","",IF(Z$3=0,"n.b.",INDEX(SRC_ZPMW03!$A$1:$ZZ$501,$A295,Z$3)))</f>
        <v/>
      </c>
      <c r="AA295" s="124" t="str">
        <f>IF($B295="","",IF(AA$3=0,"n.b.",INDEX(SRC_ZPMW03!$A$1:$ZZ$501,$A295,AA$3)))</f>
        <v/>
      </c>
      <c r="AB295" s="124" t="str">
        <f>IF($B295="","",IF(AB$3=0,"n.b.",INDEX(SRC_ZPMW03!$A$1:$ZZ$501,$A295,AB$3)))</f>
        <v/>
      </c>
      <c r="AC295" s="124" t="str">
        <f>IF($B295="","",IF(AC$3=0,"n.b.",INDEX(SRC_ZPMW03!$A$1:$ZZ$501,$A295,AC$3)))</f>
        <v/>
      </c>
      <c r="AD295" s="124" t="str">
        <f>IF($B295="","",IF(AD$3=0,"n.b.",INDEX(SRC_ZPMW03!$A$1:$ZZ$501,$A295,AD$3)))</f>
        <v/>
      </c>
      <c r="AE295" s="124" t="str">
        <f>IF($B295="","",IF(AE$3=0,"n.b.",INDEX(SRC_ZPMW03!$A$1:$ZZ$501,$A295,AE$3)))</f>
        <v/>
      </c>
      <c r="AF295" s="124" t="str">
        <f>IF($B295="","",IF(AF$3=0,"n.b.",INDEX(SRC_ZPMW03!$A$1:$ZZ$501,$A295,AF$3)))</f>
        <v/>
      </c>
      <c r="AG295" s="124" t="str">
        <f>IF($B295="","",IF(AG$3=0,"n.b.",INDEX(SRC_ZPMW03!$A$1:$ZZ$501,$A295,AG$3)))</f>
        <v/>
      </c>
      <c r="AH295" s="124" t="str">
        <f>IF($B295="","",IF(AH$3=0,"n.b.",INDEX(SRC_ZPMW03!$A$1:$ZZ$501,$A295,AH$3)))</f>
        <v/>
      </c>
      <c r="AI295" s="124" t="str">
        <f>IF($B295="","",IF(AI$3=0,"n.b.",INDEX(SRC_ZPMW03!$A$1:$ZZ$501,$A295,AI$3)))</f>
        <v/>
      </c>
      <c r="AJ295" s="124" t="str">
        <f>IF($B295="","",IF(AJ$3=0,"n.b.",INDEX(SRC_ZPMW03!$A$1:$ZZ$501,$A295,AJ$3)))</f>
        <v/>
      </c>
      <c r="AK295" s="124" t="str">
        <f>IF($B295="","",IF(AK$3=0,"n.b.",INDEX(SRC_ZPMW03!$A$1:$ZZ$501,$A295,AK$3)))</f>
        <v/>
      </c>
      <c r="AL295" s="124" t="str">
        <f>IF($B295="","",IF(AL$3=0,"n.b.",INDEX(SRC_ZPMW03!$A$1:$ZZ$501,$A295,AL$3)))</f>
        <v/>
      </c>
      <c r="AM295" s="124" t="str">
        <f>IF($B295="","",IF(AM$3=0,"n.b.",INDEX(SRC_ZPMW03!$A$1:$ZZ$501,$A295,AM$3)))</f>
        <v/>
      </c>
      <c r="AN295" s="124" t="str">
        <f>IF($B295="","",IF(AN$3=0,"n.b.",INDEX(SRC_ZPMW03!$A$1:$ZZ$501,$A295,AN$3)))</f>
        <v/>
      </c>
      <c r="AO295" s="124" t="str">
        <f>IF($B295="","",IF(AO$3=0,"n.b.",INDEX(SRC_ZPMW03!$A$1:$ZZ$501,$A295,AO$3)))</f>
        <v/>
      </c>
      <c r="AP295" s="124" t="str">
        <f>IF($B295="","",IF(AP$3=0,"n.b.",INDEX(SRC_ZPMW03!$A$1:$ZZ$501,$A295,AP$3)))</f>
        <v/>
      </c>
      <c r="AQ295" s="124" t="str">
        <f>IF($B295="","",IF(AQ$3=0,"n.b.",INDEX(SRC_ZPMW03!$A$1:$ZZ$501,$A295,AQ$3)))</f>
        <v/>
      </c>
      <c r="AR295" s="124" t="str">
        <f>IF($B295="","",IF(AR$3=0,"n.b.",INDEX(SRC_ZPMW03!$A$1:$ZZ$501,$A295,AR$3)))</f>
        <v/>
      </c>
      <c r="AS295" s="124" t="str">
        <f>IF($B295="","",IF(AS$3=0,"n.b.",INDEX(SRC_ZPMW03!$A$1:$ZZ$501,$A295,AS$3)))</f>
        <v/>
      </c>
      <c r="AT295" s="124" t="str">
        <f>IF($B295="","",IF(AT$3=0,"n.b.",INDEX(SRC_ZPMW03!$A$1:$ZZ$501,$A295,AT$3)))</f>
        <v/>
      </c>
      <c r="AU295" s="124" t="str">
        <f>IF($B295="","",IF(AU$3=0,"n.b.",INDEX(SRC_ZPMW03!$A$1:$ZZ$501,$A295,AU$3)))</f>
        <v/>
      </c>
      <c r="AV295" s="124" t="str">
        <f>IF($B295="","",IF(AV$3=0,"n.b.",INDEX(SRC_ZPMW03!$A$1:$ZZ$501,$A295,AV$3)))</f>
        <v/>
      </c>
      <c r="AW295" s="124" t="str">
        <f>IF($B295="","",IF(AW$3=0,"n.b.",INDEX(SRC_ZPMW03!$A$1:$ZZ$501,$A295,AW$3)))</f>
        <v/>
      </c>
      <c r="AX295" s="124" t="str">
        <f>IF($B295="","",IF(AX$3=0,"n.b.",INDEX(SRC_ZPMW03!$A$1:$ZZ$501,$A295,AX$3)))</f>
        <v/>
      </c>
      <c r="AY295" s="124" t="str">
        <f>IF($B295="","",IF(AY$3=0,"n.b.",INDEX(SRC_ZPMW03!$A$1:$ZZ$501,$A295,AY$3)))</f>
        <v/>
      </c>
      <c r="AZ295" s="124" t="str">
        <f>IF($B295="","",IF(AZ$3=0,"n.b.",INDEX(SRC_ZPMW03!$A$1:$ZZ$501,$A295,AZ$3)))</f>
        <v/>
      </c>
      <c r="BA295" s="124" t="str">
        <f>IF($B295="","",IF(BA$3=0,"n.b.",INDEX(SRC_ZPMW03!$A$1:$ZZ$501,$A295,BA$3)))</f>
        <v/>
      </c>
      <c r="BB295" s="124" t="str">
        <f>IF($B295="","",IF(BB$3=0,"n.b.",INDEX(SRC_ZPMW03!$A$1:$ZZ$501,$A295,BB$3)))</f>
        <v/>
      </c>
      <c r="BC295" s="124" t="str">
        <f>IF($B295="","",IF(BC$3=0,"n.b.",INDEX(SRC_ZPMW03!$A$1:$ZZ$501,$A295,BC$3)))</f>
        <v/>
      </c>
      <c r="BD295" s="124" t="str">
        <f>IF($B295="","",IF(BD$3=0,"n.b.",INDEX(SRC_ZPMW03!$A$1:$ZZ$501,$A295,BD$3)))</f>
        <v/>
      </c>
      <c r="BE295" s="124" t="str">
        <f>IF($B295="","",IF(BE$3=0,"n.b.",INDEX(SRC_ZPMW03!$A$1:$ZZ$501,$A295,BE$3)))</f>
        <v/>
      </c>
      <c r="BF295" s="124" t="str">
        <f>IF($B295="","",IF(BF$3=0,"n.b.",INDEX(SRC_ZPMW03!$A$1:$ZZ$501,$A295,BF$3)))</f>
        <v/>
      </c>
      <c r="BG295" t="str">
        <f>IF($B295="","",IF(BG$3=0,"n.b.",INDEX(SRC_ZPMW03!$A$1:$ZZ$501,$A295,BG$3)))</f>
        <v/>
      </c>
      <c r="BH295" t="str">
        <f>IF($B295="","",IF(BH$3=0,"n.b.",INDEX(SRC_ZPMW03!$A$1:$ZZ$501,$A295,BH$3)))</f>
        <v/>
      </c>
      <c r="BI295" t="str">
        <f>IF($B295="","",IF(BI$3=0,"n.b.",INDEX(SRC_ZPMW03!$A$1:$ZZ$501,$A295,BI$3)))</f>
        <v/>
      </c>
      <c r="BJ295" t="str">
        <f>IF($B295="","",IF(BJ$3=0,"n.b.",INDEX(SRC_ZPMW03!$A$1:$ZZ$501,$A295,BJ$3)))</f>
        <v/>
      </c>
      <c r="BK295" s="124" t="str">
        <f>IF($B295="","",IFERROR(-O295,"n.b."))</f>
        <v/>
      </c>
      <c r="BL295" s="124" t="str">
        <f>IF($B295="","",IFERROR(-Q295,"n.b."))</f>
        <v/>
      </c>
      <c r="BM295" s="124" t="str">
        <f>IF($B295="","",IFERROR(-AB295,"n.b."))</f>
        <v/>
      </c>
      <c r="BN295" s="124" t="str">
        <f>IF($B295="","",IFERROR(-AD295,"n.b."))</f>
        <v/>
      </c>
      <c r="BO295" s="124" t="str">
        <f>IF($B295="","",IFERROR(BK295+BM295,"n.b."))</f>
        <v/>
      </c>
      <c r="BP295" s="124" t="str">
        <f>IF($B295="","",IFERROR(BL295+BN295,"n.b."))</f>
        <v/>
      </c>
      <c r="BQ295" s="124" t="str">
        <f>IF($B295="","",IFERROR(-AM295,"n.b."))</f>
        <v/>
      </c>
      <c r="BR295" s="124" t="str">
        <f>IF($B295="","",IFERROR(-AO295,"n.b."))</f>
        <v/>
      </c>
      <c r="BS295" s="124" t="str">
        <f>IF($B295="","",IFERROR(-Z295,"n.b."))</f>
        <v/>
      </c>
      <c r="BT295" s="124" t="str">
        <f>IF($B295="","",IFERROR(-AA295,"n.b."))</f>
        <v/>
      </c>
      <c r="BU295" s="124" t="str">
        <f>IF($B295="","",IFERROR(-AE295,"n.b."))</f>
        <v/>
      </c>
      <c r="BV295" s="124" t="str">
        <f>IF($B295="","",IFERROR(-AF295,"n.b."))</f>
        <v/>
      </c>
      <c r="BW295" s="124" t="str">
        <f>IF($B295="","",IFERROR(-AG295,"n.b."))</f>
        <v/>
      </c>
      <c r="BX295" s="124" t="str">
        <f>IF($B295="","",IFERROR(-AH295,"n.b."))</f>
        <v/>
      </c>
      <c r="BY295" s="124" t="str">
        <f>IF($B295="","",IFERROR(-AI295,"n.b."))</f>
        <v/>
      </c>
      <c r="BZ295" s="124" t="str">
        <f>IF($B295="","",IFERROR(-AJ295,"n.b."))</f>
        <v/>
      </c>
      <c r="CA295" s="124" t="str">
        <f>IF($B295="","",IFERROR(-AK295,"n.b."))</f>
        <v/>
      </c>
      <c r="CB295" s="124" t="str">
        <f>IF($B295="","",IFERROR(-AL295,"n.b."))</f>
        <v/>
      </c>
      <c r="CC295" s="124" t="str">
        <f>IF($B295="","",IFERROR(-AP295,"n.b."))</f>
        <v/>
      </c>
      <c r="CD295" s="124" t="str">
        <f>IF($B295="","",IFERROR(-AQ295,"n.b."))</f>
        <v/>
      </c>
      <c r="CE295" s="124" t="str">
        <f>IF($B295="","",IFERROR(-AR295,"n.b."))</f>
        <v/>
      </c>
      <c r="CF295" s="124" t="str">
        <f>IF($B295="","",IFERROR(-AS295,"n.b."))</f>
        <v/>
      </c>
      <c r="CG295" s="124" t="str">
        <f>IF($B295="","",IFERROR(-AT295,"n.b."))</f>
        <v/>
      </c>
      <c r="CH295" s="124" t="str">
        <f>IF($B295="","",IFERROR(-AU295,"n.b."))</f>
        <v/>
      </c>
      <c r="CI295" s="124" t="str">
        <f>IF($B295="","",IFERROR(-AV295,"n.b."))</f>
        <v/>
      </c>
      <c r="CJ295" s="124" t="str">
        <f>IF($B295="","",IFERROR(-AW295,"n.b."))</f>
        <v/>
      </c>
      <c r="CK295" s="124" t="str">
        <f>IF($B295="","",IFERROR(-AX295,"n.b."))</f>
        <v/>
      </c>
      <c r="CL295" s="124" t="str">
        <f>IF($B295="","",IFERROR(-AY295,"n.b."))</f>
        <v/>
      </c>
      <c r="CM295" s="124" t="str">
        <f>IF($B295="","",IFERROR(-AZ295,"n.b."))</f>
        <v/>
      </c>
      <c r="CN295" s="124" t="str">
        <f>IF($B295="","",IFERROR(-BA295,"n.b."))</f>
        <v/>
      </c>
      <c r="CO295" s="124" t="str">
        <f>IF($B295="","",IFERROR(-BB295,"n.b."))</f>
        <v/>
      </c>
      <c r="CP295" s="124" t="str">
        <f>IF($B295="","",IFERROR(-BC295,"n.b."))</f>
        <v/>
      </c>
      <c r="CQ295" s="124" t="str">
        <f>IF($B295="","",IFERROR(-BD295,"n.b."))</f>
        <v/>
      </c>
      <c r="CR295" s="124" t="str">
        <f>IF($B295="","",IFERROR(-BE295,"n.b."))</f>
        <v/>
      </c>
      <c r="CS295" s="124" t="str">
        <f>IF($B295="","",IFERROR(IF(OR(ABS(T295+V295+X295+Z295-AB295)&gt;P_Tol,ABS(U295+W295+Y295+AA295-AD295)&gt;P_Tol,ABS(AE295+AG295+AI295+AK295-AM295)&gt;P_Tol,ABS(AF295+AH295+AJ295+AL295-AO295)&gt;P_Tol),1,0),1))</f>
        <v/>
      </c>
      <c r="CT295" s="124" t="str">
        <f>IF($B295="","",IFERROR(IF(OR(ABS(AB295+AC295-AD295)&gt;P_Tol,ABS(AM295+AN295-AO295)&gt;P_Tol,ABS(O295+P295-Q295)&gt;P_Tol),1,0),1))</f>
        <v/>
      </c>
      <c r="CU295" s="124" t="str">
        <f>IF($B295="","",IFERROR(IF(ABS(R295-(AB295+AM295+AP295+AR295+AT295+AV295+AX295+AZ295+BB295+BD295))&gt;P_Tol,1,0),1))</f>
        <v/>
      </c>
      <c r="CV295" s="124" t="str">
        <f>IF($B295="","",IFERROR(IF(ABS(M295-(N295+O295+R295))&gt;P_Tol,1,0),1))</f>
        <v/>
      </c>
      <c r="CW295" s="124" t="str">
        <f>IF($B295="","",IF(COUNTIF(Mapping!$A$5:$A$104,B295)&gt;0,1,0))</f>
        <v/>
      </c>
      <c r="CX295" s="124" t="str">
        <f>IF($B295="","",COUNTIF($B$6:$B$505,B295))</f>
        <v/>
      </c>
      <c r="CY295" s="124" t="str">
        <f>IF($B295="","",COUNTIF(STG_Woningetalage!$B$6:$B$505,B295))</f>
        <v/>
      </c>
      <c r="CZ295" s="124" t="str">
        <f>IF($B295="","",IF(CW295=0,COUNTIF($CW$6:CW295,0),""))</f>
        <v/>
      </c>
    </row>
    <row r="296">
      <c r="A296" s="15" t="n">
        <v>292</v>
      </c>
      <c r="B296" t="str">
        <f>IF(B$3=0,"",IF(INDEX(SRC_ZPMW03!$A$1:$ZZ$501,$A296,B$3)&amp;""="","",INDEX(SRC_ZPMW03!$A$1:$ZZ$501,$A296,B$3)&amp;""))</f>
        <v/>
      </c>
      <c r="C296" t="str">
        <f>IF($B296="","",IF(C$3=0,"n.b.",INDEX(SRC_ZPMW03!$A$1:$ZZ$501,$A296,C$3)))</f>
        <v/>
      </c>
      <c r="D296" t="str">
        <f>IF($B296="","",IF(D$3=0,"n.b.",INDEX(SRC_ZPMW03!$A$1:$ZZ$501,$A296,D$3)))</f>
        <v/>
      </c>
      <c r="E296" t="str">
        <f>IF($B296="","",IF(E$3=0,"n.b.",INDEX(SRC_ZPMW03!$A$1:$ZZ$501,$A296,E$3)))</f>
        <v/>
      </c>
      <c r="F296" t="str">
        <f>IF($B296="","",IF(F$3=0,"n.b.",INDEX(SRC_ZPMW03!$A$1:$ZZ$501,$A296,F$3)))</f>
        <v/>
      </c>
      <c r="G296" t="str">
        <f>IF($B296="","",IF(G$3=0,"n.b.",INDEX(SRC_ZPMW03!$A$1:$ZZ$501,$A296,G$3)))</f>
        <v/>
      </c>
      <c r="H296" t="str">
        <f>IF($B296="","",IF(H$3=0,"n.b.",INDEX(SRC_ZPMW03!$A$1:$ZZ$501,$A296,H$3)))</f>
        <v/>
      </c>
      <c r="I296" t="str">
        <f>IF($B296="","",IF(I$3=0,"n.b.",INDEX(SRC_ZPMW03!$A$1:$ZZ$501,$A296,I$3)))</f>
        <v/>
      </c>
      <c r="J296" t="str">
        <f>IF($B296="","",IF(J$3=0,"n.b.",INDEX(SRC_ZPMW03!$A$1:$ZZ$501,$A296,J$3)))</f>
        <v/>
      </c>
      <c r="K296" t="str">
        <f>IF($B296="","",IF(K$3=0,"n.b.",INDEX(SRC_ZPMW03!$A$1:$ZZ$501,$A296,K$3)))</f>
        <v/>
      </c>
      <c r="L296" s="124" t="str">
        <f>IF($B296="","",IF(L$3=0,"n.b.",INDEX(SRC_ZPMW03!$A$1:$ZZ$501,$A296,L$3)))</f>
        <v/>
      </c>
      <c r="M296" s="124" t="str">
        <f>IF($B296="","",IF(M$3=0,"n.b.",INDEX(SRC_ZPMW03!$A$1:$ZZ$501,$A296,M$3)))</f>
        <v/>
      </c>
      <c r="N296" s="124" t="str">
        <f>IF($B296="","",IF(N$3=0,"n.b.",INDEX(SRC_ZPMW03!$A$1:$ZZ$501,$A296,N$3)))</f>
        <v/>
      </c>
      <c r="O296" s="124" t="str">
        <f>IF($B296="","",IF(O$3=0,"n.b.",INDEX(SRC_ZPMW03!$A$1:$ZZ$501,$A296,O$3)))</f>
        <v/>
      </c>
      <c r="P296" s="124" t="str">
        <f>IF($B296="","",IF(P$3=0,"n.b.",INDEX(SRC_ZPMW03!$A$1:$ZZ$501,$A296,P$3)))</f>
        <v/>
      </c>
      <c r="Q296" s="124" t="str">
        <f>IF($B296="","",IF(Q$3=0,"n.b.",INDEX(SRC_ZPMW03!$A$1:$ZZ$501,$A296,Q$3)))</f>
        <v/>
      </c>
      <c r="R296" s="124" t="str">
        <f>IF($B296="","",IF(R$3=0,"n.b.",INDEX(SRC_ZPMW03!$A$1:$ZZ$501,$A296,R$3)))</f>
        <v/>
      </c>
      <c r="S296" s="124" t="str">
        <f>IF($B296="","",IF(S$3=0,"n.b.",INDEX(SRC_ZPMW03!$A$1:$ZZ$501,$A296,S$3)))</f>
        <v/>
      </c>
      <c r="T296" s="124" t="str">
        <f>IF($B296="","",IF(T$3=0,"n.b.",INDEX(SRC_ZPMW03!$A$1:$ZZ$501,$A296,T$3)))</f>
        <v/>
      </c>
      <c r="U296" s="124" t="str">
        <f>IF($B296="","",IF(U$3=0,"n.b.",INDEX(SRC_ZPMW03!$A$1:$ZZ$501,$A296,U$3)))</f>
        <v/>
      </c>
      <c r="V296" s="124" t="str">
        <f>IF($B296="","",IF(V$3=0,"n.b.",INDEX(SRC_ZPMW03!$A$1:$ZZ$501,$A296,V$3)))</f>
        <v/>
      </c>
      <c r="W296" s="124" t="str">
        <f>IF($B296="","",IF(W$3=0,"n.b.",INDEX(SRC_ZPMW03!$A$1:$ZZ$501,$A296,W$3)))</f>
        <v/>
      </c>
      <c r="X296" s="124" t="str">
        <f>IF($B296="","",IF(X$3=0,"n.b.",INDEX(SRC_ZPMW03!$A$1:$ZZ$501,$A296,X$3)))</f>
        <v/>
      </c>
      <c r="Y296" s="124" t="str">
        <f>IF($B296="","",IF(Y$3=0,"n.b.",INDEX(SRC_ZPMW03!$A$1:$ZZ$501,$A296,Y$3)))</f>
        <v/>
      </c>
      <c r="Z296" s="124" t="str">
        <f>IF($B296="","",IF(Z$3=0,"n.b.",INDEX(SRC_ZPMW03!$A$1:$ZZ$501,$A296,Z$3)))</f>
        <v/>
      </c>
      <c r="AA296" s="124" t="str">
        <f>IF($B296="","",IF(AA$3=0,"n.b.",INDEX(SRC_ZPMW03!$A$1:$ZZ$501,$A296,AA$3)))</f>
        <v/>
      </c>
      <c r="AB296" s="124" t="str">
        <f>IF($B296="","",IF(AB$3=0,"n.b.",INDEX(SRC_ZPMW03!$A$1:$ZZ$501,$A296,AB$3)))</f>
        <v/>
      </c>
      <c r="AC296" s="124" t="str">
        <f>IF($B296="","",IF(AC$3=0,"n.b.",INDEX(SRC_ZPMW03!$A$1:$ZZ$501,$A296,AC$3)))</f>
        <v/>
      </c>
      <c r="AD296" s="124" t="str">
        <f>IF($B296="","",IF(AD$3=0,"n.b.",INDEX(SRC_ZPMW03!$A$1:$ZZ$501,$A296,AD$3)))</f>
        <v/>
      </c>
      <c r="AE296" s="124" t="str">
        <f>IF($B296="","",IF(AE$3=0,"n.b.",INDEX(SRC_ZPMW03!$A$1:$ZZ$501,$A296,AE$3)))</f>
        <v/>
      </c>
      <c r="AF296" s="124" t="str">
        <f>IF($B296="","",IF(AF$3=0,"n.b.",INDEX(SRC_ZPMW03!$A$1:$ZZ$501,$A296,AF$3)))</f>
        <v/>
      </c>
      <c r="AG296" s="124" t="str">
        <f>IF($B296="","",IF(AG$3=0,"n.b.",INDEX(SRC_ZPMW03!$A$1:$ZZ$501,$A296,AG$3)))</f>
        <v/>
      </c>
      <c r="AH296" s="124" t="str">
        <f>IF($B296="","",IF(AH$3=0,"n.b.",INDEX(SRC_ZPMW03!$A$1:$ZZ$501,$A296,AH$3)))</f>
        <v/>
      </c>
      <c r="AI296" s="124" t="str">
        <f>IF($B296="","",IF(AI$3=0,"n.b.",INDEX(SRC_ZPMW03!$A$1:$ZZ$501,$A296,AI$3)))</f>
        <v/>
      </c>
      <c r="AJ296" s="124" t="str">
        <f>IF($B296="","",IF(AJ$3=0,"n.b.",INDEX(SRC_ZPMW03!$A$1:$ZZ$501,$A296,AJ$3)))</f>
        <v/>
      </c>
      <c r="AK296" s="124" t="str">
        <f>IF($B296="","",IF(AK$3=0,"n.b.",INDEX(SRC_ZPMW03!$A$1:$ZZ$501,$A296,AK$3)))</f>
        <v/>
      </c>
      <c r="AL296" s="124" t="str">
        <f>IF($B296="","",IF(AL$3=0,"n.b.",INDEX(SRC_ZPMW03!$A$1:$ZZ$501,$A296,AL$3)))</f>
        <v/>
      </c>
      <c r="AM296" s="124" t="str">
        <f>IF($B296="","",IF(AM$3=0,"n.b.",INDEX(SRC_ZPMW03!$A$1:$ZZ$501,$A296,AM$3)))</f>
        <v/>
      </c>
      <c r="AN296" s="124" t="str">
        <f>IF($B296="","",IF(AN$3=0,"n.b.",INDEX(SRC_ZPMW03!$A$1:$ZZ$501,$A296,AN$3)))</f>
        <v/>
      </c>
      <c r="AO296" s="124" t="str">
        <f>IF($B296="","",IF(AO$3=0,"n.b.",INDEX(SRC_ZPMW03!$A$1:$ZZ$501,$A296,AO$3)))</f>
        <v/>
      </c>
      <c r="AP296" s="124" t="str">
        <f>IF($B296="","",IF(AP$3=0,"n.b.",INDEX(SRC_ZPMW03!$A$1:$ZZ$501,$A296,AP$3)))</f>
        <v/>
      </c>
      <c r="AQ296" s="124" t="str">
        <f>IF($B296="","",IF(AQ$3=0,"n.b.",INDEX(SRC_ZPMW03!$A$1:$ZZ$501,$A296,AQ$3)))</f>
        <v/>
      </c>
      <c r="AR296" s="124" t="str">
        <f>IF($B296="","",IF(AR$3=0,"n.b.",INDEX(SRC_ZPMW03!$A$1:$ZZ$501,$A296,AR$3)))</f>
        <v/>
      </c>
      <c r="AS296" s="124" t="str">
        <f>IF($B296="","",IF(AS$3=0,"n.b.",INDEX(SRC_ZPMW03!$A$1:$ZZ$501,$A296,AS$3)))</f>
        <v/>
      </c>
      <c r="AT296" s="124" t="str">
        <f>IF($B296="","",IF(AT$3=0,"n.b.",INDEX(SRC_ZPMW03!$A$1:$ZZ$501,$A296,AT$3)))</f>
        <v/>
      </c>
      <c r="AU296" s="124" t="str">
        <f>IF($B296="","",IF(AU$3=0,"n.b.",INDEX(SRC_ZPMW03!$A$1:$ZZ$501,$A296,AU$3)))</f>
        <v/>
      </c>
      <c r="AV296" s="124" t="str">
        <f>IF($B296="","",IF(AV$3=0,"n.b.",INDEX(SRC_ZPMW03!$A$1:$ZZ$501,$A296,AV$3)))</f>
        <v/>
      </c>
      <c r="AW296" s="124" t="str">
        <f>IF($B296="","",IF(AW$3=0,"n.b.",INDEX(SRC_ZPMW03!$A$1:$ZZ$501,$A296,AW$3)))</f>
        <v/>
      </c>
      <c r="AX296" s="124" t="str">
        <f>IF($B296="","",IF(AX$3=0,"n.b.",INDEX(SRC_ZPMW03!$A$1:$ZZ$501,$A296,AX$3)))</f>
        <v/>
      </c>
      <c r="AY296" s="124" t="str">
        <f>IF($B296="","",IF(AY$3=0,"n.b.",INDEX(SRC_ZPMW03!$A$1:$ZZ$501,$A296,AY$3)))</f>
        <v/>
      </c>
      <c r="AZ296" s="124" t="str">
        <f>IF($B296="","",IF(AZ$3=0,"n.b.",INDEX(SRC_ZPMW03!$A$1:$ZZ$501,$A296,AZ$3)))</f>
        <v/>
      </c>
      <c r="BA296" s="124" t="str">
        <f>IF($B296="","",IF(BA$3=0,"n.b.",INDEX(SRC_ZPMW03!$A$1:$ZZ$501,$A296,BA$3)))</f>
        <v/>
      </c>
      <c r="BB296" s="124" t="str">
        <f>IF($B296="","",IF(BB$3=0,"n.b.",INDEX(SRC_ZPMW03!$A$1:$ZZ$501,$A296,BB$3)))</f>
        <v/>
      </c>
      <c r="BC296" s="124" t="str">
        <f>IF($B296="","",IF(BC$3=0,"n.b.",INDEX(SRC_ZPMW03!$A$1:$ZZ$501,$A296,BC$3)))</f>
        <v/>
      </c>
      <c r="BD296" s="124" t="str">
        <f>IF($B296="","",IF(BD$3=0,"n.b.",INDEX(SRC_ZPMW03!$A$1:$ZZ$501,$A296,BD$3)))</f>
        <v/>
      </c>
      <c r="BE296" s="124" t="str">
        <f>IF($B296="","",IF(BE$3=0,"n.b.",INDEX(SRC_ZPMW03!$A$1:$ZZ$501,$A296,BE$3)))</f>
        <v/>
      </c>
      <c r="BF296" s="124" t="str">
        <f>IF($B296="","",IF(BF$3=0,"n.b.",INDEX(SRC_ZPMW03!$A$1:$ZZ$501,$A296,BF$3)))</f>
        <v/>
      </c>
      <c r="BG296" t="str">
        <f>IF($B296="","",IF(BG$3=0,"n.b.",INDEX(SRC_ZPMW03!$A$1:$ZZ$501,$A296,BG$3)))</f>
        <v/>
      </c>
      <c r="BH296" t="str">
        <f>IF($B296="","",IF(BH$3=0,"n.b.",INDEX(SRC_ZPMW03!$A$1:$ZZ$501,$A296,BH$3)))</f>
        <v/>
      </c>
      <c r="BI296" t="str">
        <f>IF($B296="","",IF(BI$3=0,"n.b.",INDEX(SRC_ZPMW03!$A$1:$ZZ$501,$A296,BI$3)))</f>
        <v/>
      </c>
      <c r="BJ296" t="str">
        <f>IF($B296="","",IF(BJ$3=0,"n.b.",INDEX(SRC_ZPMW03!$A$1:$ZZ$501,$A296,BJ$3)))</f>
        <v/>
      </c>
      <c r="BK296" s="124" t="str">
        <f>IF($B296="","",IFERROR(-O296,"n.b."))</f>
        <v/>
      </c>
      <c r="BL296" s="124" t="str">
        <f>IF($B296="","",IFERROR(-Q296,"n.b."))</f>
        <v/>
      </c>
      <c r="BM296" s="124" t="str">
        <f>IF($B296="","",IFERROR(-AB296,"n.b."))</f>
        <v/>
      </c>
      <c r="BN296" s="124" t="str">
        <f>IF($B296="","",IFERROR(-AD296,"n.b."))</f>
        <v/>
      </c>
      <c r="BO296" s="124" t="str">
        <f>IF($B296="","",IFERROR(BK296+BM296,"n.b."))</f>
        <v/>
      </c>
      <c r="BP296" s="124" t="str">
        <f>IF($B296="","",IFERROR(BL296+BN296,"n.b."))</f>
        <v/>
      </c>
      <c r="BQ296" s="124" t="str">
        <f>IF($B296="","",IFERROR(-AM296,"n.b."))</f>
        <v/>
      </c>
      <c r="BR296" s="124" t="str">
        <f>IF($B296="","",IFERROR(-AO296,"n.b."))</f>
        <v/>
      </c>
      <c r="BS296" s="124" t="str">
        <f>IF($B296="","",IFERROR(-Z296,"n.b."))</f>
        <v/>
      </c>
      <c r="BT296" s="124" t="str">
        <f>IF($B296="","",IFERROR(-AA296,"n.b."))</f>
        <v/>
      </c>
      <c r="BU296" s="124" t="str">
        <f>IF($B296="","",IFERROR(-AE296,"n.b."))</f>
        <v/>
      </c>
      <c r="BV296" s="124" t="str">
        <f>IF($B296="","",IFERROR(-AF296,"n.b."))</f>
        <v/>
      </c>
      <c r="BW296" s="124" t="str">
        <f>IF($B296="","",IFERROR(-AG296,"n.b."))</f>
        <v/>
      </c>
      <c r="BX296" s="124" t="str">
        <f>IF($B296="","",IFERROR(-AH296,"n.b."))</f>
        <v/>
      </c>
      <c r="BY296" s="124" t="str">
        <f>IF($B296="","",IFERROR(-AI296,"n.b."))</f>
        <v/>
      </c>
      <c r="BZ296" s="124" t="str">
        <f>IF($B296="","",IFERROR(-AJ296,"n.b."))</f>
        <v/>
      </c>
      <c r="CA296" s="124" t="str">
        <f>IF($B296="","",IFERROR(-AK296,"n.b."))</f>
        <v/>
      </c>
      <c r="CB296" s="124" t="str">
        <f>IF($B296="","",IFERROR(-AL296,"n.b."))</f>
        <v/>
      </c>
      <c r="CC296" s="124" t="str">
        <f>IF($B296="","",IFERROR(-AP296,"n.b."))</f>
        <v/>
      </c>
      <c r="CD296" s="124" t="str">
        <f>IF($B296="","",IFERROR(-AQ296,"n.b."))</f>
        <v/>
      </c>
      <c r="CE296" s="124" t="str">
        <f>IF($B296="","",IFERROR(-AR296,"n.b."))</f>
        <v/>
      </c>
      <c r="CF296" s="124" t="str">
        <f>IF($B296="","",IFERROR(-AS296,"n.b."))</f>
        <v/>
      </c>
      <c r="CG296" s="124" t="str">
        <f>IF($B296="","",IFERROR(-AT296,"n.b."))</f>
        <v/>
      </c>
      <c r="CH296" s="124" t="str">
        <f>IF($B296="","",IFERROR(-AU296,"n.b."))</f>
        <v/>
      </c>
      <c r="CI296" s="124" t="str">
        <f>IF($B296="","",IFERROR(-AV296,"n.b."))</f>
        <v/>
      </c>
      <c r="CJ296" s="124" t="str">
        <f>IF($B296="","",IFERROR(-AW296,"n.b."))</f>
        <v/>
      </c>
      <c r="CK296" s="124" t="str">
        <f>IF($B296="","",IFERROR(-AX296,"n.b."))</f>
        <v/>
      </c>
      <c r="CL296" s="124" t="str">
        <f>IF($B296="","",IFERROR(-AY296,"n.b."))</f>
        <v/>
      </c>
      <c r="CM296" s="124" t="str">
        <f>IF($B296="","",IFERROR(-AZ296,"n.b."))</f>
        <v/>
      </c>
      <c r="CN296" s="124" t="str">
        <f>IF($B296="","",IFERROR(-BA296,"n.b."))</f>
        <v/>
      </c>
      <c r="CO296" s="124" t="str">
        <f>IF($B296="","",IFERROR(-BB296,"n.b."))</f>
        <v/>
      </c>
      <c r="CP296" s="124" t="str">
        <f>IF($B296="","",IFERROR(-BC296,"n.b."))</f>
        <v/>
      </c>
      <c r="CQ296" s="124" t="str">
        <f>IF($B296="","",IFERROR(-BD296,"n.b."))</f>
        <v/>
      </c>
      <c r="CR296" s="124" t="str">
        <f>IF($B296="","",IFERROR(-BE296,"n.b."))</f>
        <v/>
      </c>
      <c r="CS296" s="124" t="str">
        <f>IF($B296="","",IFERROR(IF(OR(ABS(T296+V296+X296+Z296-AB296)&gt;P_Tol,ABS(U296+W296+Y296+AA296-AD296)&gt;P_Tol,ABS(AE296+AG296+AI296+AK296-AM296)&gt;P_Tol,ABS(AF296+AH296+AJ296+AL296-AO296)&gt;P_Tol),1,0),1))</f>
        <v/>
      </c>
      <c r="CT296" s="124" t="str">
        <f>IF($B296="","",IFERROR(IF(OR(ABS(AB296+AC296-AD296)&gt;P_Tol,ABS(AM296+AN296-AO296)&gt;P_Tol,ABS(O296+P296-Q296)&gt;P_Tol),1,0),1))</f>
        <v/>
      </c>
      <c r="CU296" s="124" t="str">
        <f>IF($B296="","",IFERROR(IF(ABS(R296-(AB296+AM296+AP296+AR296+AT296+AV296+AX296+AZ296+BB296+BD296))&gt;P_Tol,1,0),1))</f>
        <v/>
      </c>
      <c r="CV296" s="124" t="str">
        <f>IF($B296="","",IFERROR(IF(ABS(M296-(N296+O296+R296))&gt;P_Tol,1,0),1))</f>
        <v/>
      </c>
      <c r="CW296" s="124" t="str">
        <f>IF($B296="","",IF(COUNTIF(Mapping!$A$5:$A$104,B296)&gt;0,1,0))</f>
        <v/>
      </c>
      <c r="CX296" s="124" t="str">
        <f>IF($B296="","",COUNTIF($B$6:$B$505,B296))</f>
        <v/>
      </c>
      <c r="CY296" s="124" t="str">
        <f>IF($B296="","",COUNTIF(STG_Woningetalage!$B$6:$B$505,B296))</f>
        <v/>
      </c>
      <c r="CZ296" s="124" t="str">
        <f>IF($B296="","",IF(CW296=0,COUNTIF($CW$6:CW296,0),""))</f>
        <v/>
      </c>
    </row>
    <row r="297">
      <c r="A297" s="15" t="n">
        <v>293</v>
      </c>
      <c r="B297" t="str">
        <f>IF(B$3=0,"",IF(INDEX(SRC_ZPMW03!$A$1:$ZZ$501,$A297,B$3)&amp;""="","",INDEX(SRC_ZPMW03!$A$1:$ZZ$501,$A297,B$3)&amp;""))</f>
        <v/>
      </c>
      <c r="C297" t="str">
        <f>IF($B297="","",IF(C$3=0,"n.b.",INDEX(SRC_ZPMW03!$A$1:$ZZ$501,$A297,C$3)))</f>
        <v/>
      </c>
      <c r="D297" t="str">
        <f>IF($B297="","",IF(D$3=0,"n.b.",INDEX(SRC_ZPMW03!$A$1:$ZZ$501,$A297,D$3)))</f>
        <v/>
      </c>
      <c r="E297" t="str">
        <f>IF($B297="","",IF(E$3=0,"n.b.",INDEX(SRC_ZPMW03!$A$1:$ZZ$501,$A297,E$3)))</f>
        <v/>
      </c>
      <c r="F297" t="str">
        <f>IF($B297="","",IF(F$3=0,"n.b.",INDEX(SRC_ZPMW03!$A$1:$ZZ$501,$A297,F$3)))</f>
        <v/>
      </c>
      <c r="G297" t="str">
        <f>IF($B297="","",IF(G$3=0,"n.b.",INDEX(SRC_ZPMW03!$A$1:$ZZ$501,$A297,G$3)))</f>
        <v/>
      </c>
      <c r="H297" t="str">
        <f>IF($B297="","",IF(H$3=0,"n.b.",INDEX(SRC_ZPMW03!$A$1:$ZZ$501,$A297,H$3)))</f>
        <v/>
      </c>
      <c r="I297" t="str">
        <f>IF($B297="","",IF(I$3=0,"n.b.",INDEX(SRC_ZPMW03!$A$1:$ZZ$501,$A297,I$3)))</f>
        <v/>
      </c>
      <c r="J297" t="str">
        <f>IF($B297="","",IF(J$3=0,"n.b.",INDEX(SRC_ZPMW03!$A$1:$ZZ$501,$A297,J$3)))</f>
        <v/>
      </c>
      <c r="K297" t="str">
        <f>IF($B297="","",IF(K$3=0,"n.b.",INDEX(SRC_ZPMW03!$A$1:$ZZ$501,$A297,K$3)))</f>
        <v/>
      </c>
      <c r="L297" s="124" t="str">
        <f>IF($B297="","",IF(L$3=0,"n.b.",INDEX(SRC_ZPMW03!$A$1:$ZZ$501,$A297,L$3)))</f>
        <v/>
      </c>
      <c r="M297" s="124" t="str">
        <f>IF($B297="","",IF(M$3=0,"n.b.",INDEX(SRC_ZPMW03!$A$1:$ZZ$501,$A297,M$3)))</f>
        <v/>
      </c>
      <c r="N297" s="124" t="str">
        <f>IF($B297="","",IF(N$3=0,"n.b.",INDEX(SRC_ZPMW03!$A$1:$ZZ$501,$A297,N$3)))</f>
        <v/>
      </c>
      <c r="O297" s="124" t="str">
        <f>IF($B297="","",IF(O$3=0,"n.b.",INDEX(SRC_ZPMW03!$A$1:$ZZ$501,$A297,O$3)))</f>
        <v/>
      </c>
      <c r="P297" s="124" t="str">
        <f>IF($B297="","",IF(P$3=0,"n.b.",INDEX(SRC_ZPMW03!$A$1:$ZZ$501,$A297,P$3)))</f>
        <v/>
      </c>
      <c r="Q297" s="124" t="str">
        <f>IF($B297="","",IF(Q$3=0,"n.b.",INDEX(SRC_ZPMW03!$A$1:$ZZ$501,$A297,Q$3)))</f>
        <v/>
      </c>
      <c r="R297" s="124" t="str">
        <f>IF($B297="","",IF(R$3=0,"n.b.",INDEX(SRC_ZPMW03!$A$1:$ZZ$501,$A297,R$3)))</f>
        <v/>
      </c>
      <c r="S297" s="124" t="str">
        <f>IF($B297="","",IF(S$3=0,"n.b.",INDEX(SRC_ZPMW03!$A$1:$ZZ$501,$A297,S$3)))</f>
        <v/>
      </c>
      <c r="T297" s="124" t="str">
        <f>IF($B297="","",IF(T$3=0,"n.b.",INDEX(SRC_ZPMW03!$A$1:$ZZ$501,$A297,T$3)))</f>
        <v/>
      </c>
      <c r="U297" s="124" t="str">
        <f>IF($B297="","",IF(U$3=0,"n.b.",INDEX(SRC_ZPMW03!$A$1:$ZZ$501,$A297,U$3)))</f>
        <v/>
      </c>
      <c r="V297" s="124" t="str">
        <f>IF($B297="","",IF(V$3=0,"n.b.",INDEX(SRC_ZPMW03!$A$1:$ZZ$501,$A297,V$3)))</f>
        <v/>
      </c>
      <c r="W297" s="124" t="str">
        <f>IF($B297="","",IF(W$3=0,"n.b.",INDEX(SRC_ZPMW03!$A$1:$ZZ$501,$A297,W$3)))</f>
        <v/>
      </c>
      <c r="X297" s="124" t="str">
        <f>IF($B297="","",IF(X$3=0,"n.b.",INDEX(SRC_ZPMW03!$A$1:$ZZ$501,$A297,X$3)))</f>
        <v/>
      </c>
      <c r="Y297" s="124" t="str">
        <f>IF($B297="","",IF(Y$3=0,"n.b.",INDEX(SRC_ZPMW03!$A$1:$ZZ$501,$A297,Y$3)))</f>
        <v/>
      </c>
      <c r="Z297" s="124" t="str">
        <f>IF($B297="","",IF(Z$3=0,"n.b.",INDEX(SRC_ZPMW03!$A$1:$ZZ$501,$A297,Z$3)))</f>
        <v/>
      </c>
      <c r="AA297" s="124" t="str">
        <f>IF($B297="","",IF(AA$3=0,"n.b.",INDEX(SRC_ZPMW03!$A$1:$ZZ$501,$A297,AA$3)))</f>
        <v/>
      </c>
      <c r="AB297" s="124" t="str">
        <f>IF($B297="","",IF(AB$3=0,"n.b.",INDEX(SRC_ZPMW03!$A$1:$ZZ$501,$A297,AB$3)))</f>
        <v/>
      </c>
      <c r="AC297" s="124" t="str">
        <f>IF($B297="","",IF(AC$3=0,"n.b.",INDEX(SRC_ZPMW03!$A$1:$ZZ$501,$A297,AC$3)))</f>
        <v/>
      </c>
      <c r="AD297" s="124" t="str">
        <f>IF($B297="","",IF(AD$3=0,"n.b.",INDEX(SRC_ZPMW03!$A$1:$ZZ$501,$A297,AD$3)))</f>
        <v/>
      </c>
      <c r="AE297" s="124" t="str">
        <f>IF($B297="","",IF(AE$3=0,"n.b.",INDEX(SRC_ZPMW03!$A$1:$ZZ$501,$A297,AE$3)))</f>
        <v/>
      </c>
      <c r="AF297" s="124" t="str">
        <f>IF($B297="","",IF(AF$3=0,"n.b.",INDEX(SRC_ZPMW03!$A$1:$ZZ$501,$A297,AF$3)))</f>
        <v/>
      </c>
      <c r="AG297" s="124" t="str">
        <f>IF($B297="","",IF(AG$3=0,"n.b.",INDEX(SRC_ZPMW03!$A$1:$ZZ$501,$A297,AG$3)))</f>
        <v/>
      </c>
      <c r="AH297" s="124" t="str">
        <f>IF($B297="","",IF(AH$3=0,"n.b.",INDEX(SRC_ZPMW03!$A$1:$ZZ$501,$A297,AH$3)))</f>
        <v/>
      </c>
      <c r="AI297" s="124" t="str">
        <f>IF($B297="","",IF(AI$3=0,"n.b.",INDEX(SRC_ZPMW03!$A$1:$ZZ$501,$A297,AI$3)))</f>
        <v/>
      </c>
      <c r="AJ297" s="124" t="str">
        <f>IF($B297="","",IF(AJ$3=0,"n.b.",INDEX(SRC_ZPMW03!$A$1:$ZZ$501,$A297,AJ$3)))</f>
        <v/>
      </c>
      <c r="AK297" s="124" t="str">
        <f>IF($B297="","",IF(AK$3=0,"n.b.",INDEX(SRC_ZPMW03!$A$1:$ZZ$501,$A297,AK$3)))</f>
        <v/>
      </c>
      <c r="AL297" s="124" t="str">
        <f>IF($B297="","",IF(AL$3=0,"n.b.",INDEX(SRC_ZPMW03!$A$1:$ZZ$501,$A297,AL$3)))</f>
        <v/>
      </c>
      <c r="AM297" s="124" t="str">
        <f>IF($B297="","",IF(AM$3=0,"n.b.",INDEX(SRC_ZPMW03!$A$1:$ZZ$501,$A297,AM$3)))</f>
        <v/>
      </c>
      <c r="AN297" s="124" t="str">
        <f>IF($B297="","",IF(AN$3=0,"n.b.",INDEX(SRC_ZPMW03!$A$1:$ZZ$501,$A297,AN$3)))</f>
        <v/>
      </c>
      <c r="AO297" s="124" t="str">
        <f>IF($B297="","",IF(AO$3=0,"n.b.",INDEX(SRC_ZPMW03!$A$1:$ZZ$501,$A297,AO$3)))</f>
        <v/>
      </c>
      <c r="AP297" s="124" t="str">
        <f>IF($B297="","",IF(AP$3=0,"n.b.",INDEX(SRC_ZPMW03!$A$1:$ZZ$501,$A297,AP$3)))</f>
        <v/>
      </c>
      <c r="AQ297" s="124" t="str">
        <f>IF($B297="","",IF(AQ$3=0,"n.b.",INDEX(SRC_ZPMW03!$A$1:$ZZ$501,$A297,AQ$3)))</f>
        <v/>
      </c>
      <c r="AR297" s="124" t="str">
        <f>IF($B297="","",IF(AR$3=0,"n.b.",INDEX(SRC_ZPMW03!$A$1:$ZZ$501,$A297,AR$3)))</f>
        <v/>
      </c>
      <c r="AS297" s="124" t="str">
        <f>IF($B297="","",IF(AS$3=0,"n.b.",INDEX(SRC_ZPMW03!$A$1:$ZZ$501,$A297,AS$3)))</f>
        <v/>
      </c>
      <c r="AT297" s="124" t="str">
        <f>IF($B297="","",IF(AT$3=0,"n.b.",INDEX(SRC_ZPMW03!$A$1:$ZZ$501,$A297,AT$3)))</f>
        <v/>
      </c>
      <c r="AU297" s="124" t="str">
        <f>IF($B297="","",IF(AU$3=0,"n.b.",INDEX(SRC_ZPMW03!$A$1:$ZZ$501,$A297,AU$3)))</f>
        <v/>
      </c>
      <c r="AV297" s="124" t="str">
        <f>IF($B297="","",IF(AV$3=0,"n.b.",INDEX(SRC_ZPMW03!$A$1:$ZZ$501,$A297,AV$3)))</f>
        <v/>
      </c>
      <c r="AW297" s="124" t="str">
        <f>IF($B297="","",IF(AW$3=0,"n.b.",INDEX(SRC_ZPMW03!$A$1:$ZZ$501,$A297,AW$3)))</f>
        <v/>
      </c>
      <c r="AX297" s="124" t="str">
        <f>IF($B297="","",IF(AX$3=0,"n.b.",INDEX(SRC_ZPMW03!$A$1:$ZZ$501,$A297,AX$3)))</f>
        <v/>
      </c>
      <c r="AY297" s="124" t="str">
        <f>IF($B297="","",IF(AY$3=0,"n.b.",INDEX(SRC_ZPMW03!$A$1:$ZZ$501,$A297,AY$3)))</f>
        <v/>
      </c>
      <c r="AZ297" s="124" t="str">
        <f>IF($B297="","",IF(AZ$3=0,"n.b.",INDEX(SRC_ZPMW03!$A$1:$ZZ$501,$A297,AZ$3)))</f>
        <v/>
      </c>
      <c r="BA297" s="124" t="str">
        <f>IF($B297="","",IF(BA$3=0,"n.b.",INDEX(SRC_ZPMW03!$A$1:$ZZ$501,$A297,BA$3)))</f>
        <v/>
      </c>
      <c r="BB297" s="124" t="str">
        <f>IF($B297="","",IF(BB$3=0,"n.b.",INDEX(SRC_ZPMW03!$A$1:$ZZ$501,$A297,BB$3)))</f>
        <v/>
      </c>
      <c r="BC297" s="124" t="str">
        <f>IF($B297="","",IF(BC$3=0,"n.b.",INDEX(SRC_ZPMW03!$A$1:$ZZ$501,$A297,BC$3)))</f>
        <v/>
      </c>
      <c r="BD297" s="124" t="str">
        <f>IF($B297="","",IF(BD$3=0,"n.b.",INDEX(SRC_ZPMW03!$A$1:$ZZ$501,$A297,BD$3)))</f>
        <v/>
      </c>
      <c r="BE297" s="124" t="str">
        <f>IF($B297="","",IF(BE$3=0,"n.b.",INDEX(SRC_ZPMW03!$A$1:$ZZ$501,$A297,BE$3)))</f>
        <v/>
      </c>
      <c r="BF297" s="124" t="str">
        <f>IF($B297="","",IF(BF$3=0,"n.b.",INDEX(SRC_ZPMW03!$A$1:$ZZ$501,$A297,BF$3)))</f>
        <v/>
      </c>
      <c r="BG297" t="str">
        <f>IF($B297="","",IF(BG$3=0,"n.b.",INDEX(SRC_ZPMW03!$A$1:$ZZ$501,$A297,BG$3)))</f>
        <v/>
      </c>
      <c r="BH297" t="str">
        <f>IF($B297="","",IF(BH$3=0,"n.b.",INDEX(SRC_ZPMW03!$A$1:$ZZ$501,$A297,BH$3)))</f>
        <v/>
      </c>
      <c r="BI297" t="str">
        <f>IF($B297="","",IF(BI$3=0,"n.b.",INDEX(SRC_ZPMW03!$A$1:$ZZ$501,$A297,BI$3)))</f>
        <v/>
      </c>
      <c r="BJ297" t="str">
        <f>IF($B297="","",IF(BJ$3=0,"n.b.",INDEX(SRC_ZPMW03!$A$1:$ZZ$501,$A297,BJ$3)))</f>
        <v/>
      </c>
      <c r="BK297" s="124" t="str">
        <f>IF($B297="","",IFERROR(-O297,"n.b."))</f>
        <v/>
      </c>
      <c r="BL297" s="124" t="str">
        <f>IF($B297="","",IFERROR(-Q297,"n.b."))</f>
        <v/>
      </c>
      <c r="BM297" s="124" t="str">
        <f>IF($B297="","",IFERROR(-AB297,"n.b."))</f>
        <v/>
      </c>
      <c r="BN297" s="124" t="str">
        <f>IF($B297="","",IFERROR(-AD297,"n.b."))</f>
        <v/>
      </c>
      <c r="BO297" s="124" t="str">
        <f>IF($B297="","",IFERROR(BK297+BM297,"n.b."))</f>
        <v/>
      </c>
      <c r="BP297" s="124" t="str">
        <f>IF($B297="","",IFERROR(BL297+BN297,"n.b."))</f>
        <v/>
      </c>
      <c r="BQ297" s="124" t="str">
        <f>IF($B297="","",IFERROR(-AM297,"n.b."))</f>
        <v/>
      </c>
      <c r="BR297" s="124" t="str">
        <f>IF($B297="","",IFERROR(-AO297,"n.b."))</f>
        <v/>
      </c>
      <c r="BS297" s="124" t="str">
        <f>IF($B297="","",IFERROR(-Z297,"n.b."))</f>
        <v/>
      </c>
      <c r="BT297" s="124" t="str">
        <f>IF($B297="","",IFERROR(-AA297,"n.b."))</f>
        <v/>
      </c>
      <c r="BU297" s="124" t="str">
        <f>IF($B297="","",IFERROR(-AE297,"n.b."))</f>
        <v/>
      </c>
      <c r="BV297" s="124" t="str">
        <f>IF($B297="","",IFERROR(-AF297,"n.b."))</f>
        <v/>
      </c>
      <c r="BW297" s="124" t="str">
        <f>IF($B297="","",IFERROR(-AG297,"n.b."))</f>
        <v/>
      </c>
      <c r="BX297" s="124" t="str">
        <f>IF($B297="","",IFERROR(-AH297,"n.b."))</f>
        <v/>
      </c>
      <c r="BY297" s="124" t="str">
        <f>IF($B297="","",IFERROR(-AI297,"n.b."))</f>
        <v/>
      </c>
      <c r="BZ297" s="124" t="str">
        <f>IF($B297="","",IFERROR(-AJ297,"n.b."))</f>
        <v/>
      </c>
      <c r="CA297" s="124" t="str">
        <f>IF($B297="","",IFERROR(-AK297,"n.b."))</f>
        <v/>
      </c>
      <c r="CB297" s="124" t="str">
        <f>IF($B297="","",IFERROR(-AL297,"n.b."))</f>
        <v/>
      </c>
      <c r="CC297" s="124" t="str">
        <f>IF($B297="","",IFERROR(-AP297,"n.b."))</f>
        <v/>
      </c>
      <c r="CD297" s="124" t="str">
        <f>IF($B297="","",IFERROR(-AQ297,"n.b."))</f>
        <v/>
      </c>
      <c r="CE297" s="124" t="str">
        <f>IF($B297="","",IFERROR(-AR297,"n.b."))</f>
        <v/>
      </c>
      <c r="CF297" s="124" t="str">
        <f>IF($B297="","",IFERROR(-AS297,"n.b."))</f>
        <v/>
      </c>
      <c r="CG297" s="124" t="str">
        <f>IF($B297="","",IFERROR(-AT297,"n.b."))</f>
        <v/>
      </c>
      <c r="CH297" s="124" t="str">
        <f>IF($B297="","",IFERROR(-AU297,"n.b."))</f>
        <v/>
      </c>
      <c r="CI297" s="124" t="str">
        <f>IF($B297="","",IFERROR(-AV297,"n.b."))</f>
        <v/>
      </c>
      <c r="CJ297" s="124" t="str">
        <f>IF($B297="","",IFERROR(-AW297,"n.b."))</f>
        <v/>
      </c>
      <c r="CK297" s="124" t="str">
        <f>IF($B297="","",IFERROR(-AX297,"n.b."))</f>
        <v/>
      </c>
      <c r="CL297" s="124" t="str">
        <f>IF($B297="","",IFERROR(-AY297,"n.b."))</f>
        <v/>
      </c>
      <c r="CM297" s="124" t="str">
        <f>IF($B297="","",IFERROR(-AZ297,"n.b."))</f>
        <v/>
      </c>
      <c r="CN297" s="124" t="str">
        <f>IF($B297="","",IFERROR(-BA297,"n.b."))</f>
        <v/>
      </c>
      <c r="CO297" s="124" t="str">
        <f>IF($B297="","",IFERROR(-BB297,"n.b."))</f>
        <v/>
      </c>
      <c r="CP297" s="124" t="str">
        <f>IF($B297="","",IFERROR(-BC297,"n.b."))</f>
        <v/>
      </c>
      <c r="CQ297" s="124" t="str">
        <f>IF($B297="","",IFERROR(-BD297,"n.b."))</f>
        <v/>
      </c>
      <c r="CR297" s="124" t="str">
        <f>IF($B297="","",IFERROR(-BE297,"n.b."))</f>
        <v/>
      </c>
      <c r="CS297" s="124" t="str">
        <f>IF($B297="","",IFERROR(IF(OR(ABS(T297+V297+X297+Z297-AB297)&gt;P_Tol,ABS(U297+W297+Y297+AA297-AD297)&gt;P_Tol,ABS(AE297+AG297+AI297+AK297-AM297)&gt;P_Tol,ABS(AF297+AH297+AJ297+AL297-AO297)&gt;P_Tol),1,0),1))</f>
        <v/>
      </c>
      <c r="CT297" s="124" t="str">
        <f>IF($B297="","",IFERROR(IF(OR(ABS(AB297+AC297-AD297)&gt;P_Tol,ABS(AM297+AN297-AO297)&gt;P_Tol,ABS(O297+P297-Q297)&gt;P_Tol),1,0),1))</f>
        <v/>
      </c>
      <c r="CU297" s="124" t="str">
        <f>IF($B297="","",IFERROR(IF(ABS(R297-(AB297+AM297+AP297+AR297+AT297+AV297+AX297+AZ297+BB297+BD297))&gt;P_Tol,1,0),1))</f>
        <v/>
      </c>
      <c r="CV297" s="124" t="str">
        <f>IF($B297="","",IFERROR(IF(ABS(M297-(N297+O297+R297))&gt;P_Tol,1,0),1))</f>
        <v/>
      </c>
      <c r="CW297" s="124" t="str">
        <f>IF($B297="","",IF(COUNTIF(Mapping!$A$5:$A$104,B297)&gt;0,1,0))</f>
        <v/>
      </c>
      <c r="CX297" s="124" t="str">
        <f>IF($B297="","",COUNTIF($B$6:$B$505,B297))</f>
        <v/>
      </c>
      <c r="CY297" s="124" t="str">
        <f>IF($B297="","",COUNTIF(STG_Woningetalage!$B$6:$B$505,B297))</f>
        <v/>
      </c>
      <c r="CZ297" s="124" t="str">
        <f>IF($B297="","",IF(CW297=0,COUNTIF($CW$6:CW297,0),""))</f>
        <v/>
      </c>
    </row>
    <row r="298">
      <c r="A298" s="15" t="n">
        <v>294</v>
      </c>
      <c r="B298" t="str">
        <f>IF(B$3=0,"",IF(INDEX(SRC_ZPMW03!$A$1:$ZZ$501,$A298,B$3)&amp;""="","",INDEX(SRC_ZPMW03!$A$1:$ZZ$501,$A298,B$3)&amp;""))</f>
        <v/>
      </c>
      <c r="C298" t="str">
        <f>IF($B298="","",IF(C$3=0,"n.b.",INDEX(SRC_ZPMW03!$A$1:$ZZ$501,$A298,C$3)))</f>
        <v/>
      </c>
      <c r="D298" t="str">
        <f>IF($B298="","",IF(D$3=0,"n.b.",INDEX(SRC_ZPMW03!$A$1:$ZZ$501,$A298,D$3)))</f>
        <v/>
      </c>
      <c r="E298" t="str">
        <f>IF($B298="","",IF(E$3=0,"n.b.",INDEX(SRC_ZPMW03!$A$1:$ZZ$501,$A298,E$3)))</f>
        <v/>
      </c>
      <c r="F298" t="str">
        <f>IF($B298="","",IF(F$3=0,"n.b.",INDEX(SRC_ZPMW03!$A$1:$ZZ$501,$A298,F$3)))</f>
        <v/>
      </c>
      <c r="G298" t="str">
        <f>IF($B298="","",IF(G$3=0,"n.b.",INDEX(SRC_ZPMW03!$A$1:$ZZ$501,$A298,G$3)))</f>
        <v/>
      </c>
      <c r="H298" t="str">
        <f>IF($B298="","",IF(H$3=0,"n.b.",INDEX(SRC_ZPMW03!$A$1:$ZZ$501,$A298,H$3)))</f>
        <v/>
      </c>
      <c r="I298" t="str">
        <f>IF($B298="","",IF(I$3=0,"n.b.",INDEX(SRC_ZPMW03!$A$1:$ZZ$501,$A298,I$3)))</f>
        <v/>
      </c>
      <c r="J298" t="str">
        <f>IF($B298="","",IF(J$3=0,"n.b.",INDEX(SRC_ZPMW03!$A$1:$ZZ$501,$A298,J$3)))</f>
        <v/>
      </c>
      <c r="K298" t="str">
        <f>IF($B298="","",IF(K$3=0,"n.b.",INDEX(SRC_ZPMW03!$A$1:$ZZ$501,$A298,K$3)))</f>
        <v/>
      </c>
      <c r="L298" s="124" t="str">
        <f>IF($B298="","",IF(L$3=0,"n.b.",INDEX(SRC_ZPMW03!$A$1:$ZZ$501,$A298,L$3)))</f>
        <v/>
      </c>
      <c r="M298" s="124" t="str">
        <f>IF($B298="","",IF(M$3=0,"n.b.",INDEX(SRC_ZPMW03!$A$1:$ZZ$501,$A298,M$3)))</f>
        <v/>
      </c>
      <c r="N298" s="124" t="str">
        <f>IF($B298="","",IF(N$3=0,"n.b.",INDEX(SRC_ZPMW03!$A$1:$ZZ$501,$A298,N$3)))</f>
        <v/>
      </c>
      <c r="O298" s="124" t="str">
        <f>IF($B298="","",IF(O$3=0,"n.b.",INDEX(SRC_ZPMW03!$A$1:$ZZ$501,$A298,O$3)))</f>
        <v/>
      </c>
      <c r="P298" s="124" t="str">
        <f>IF($B298="","",IF(P$3=0,"n.b.",INDEX(SRC_ZPMW03!$A$1:$ZZ$501,$A298,P$3)))</f>
        <v/>
      </c>
      <c r="Q298" s="124" t="str">
        <f>IF($B298="","",IF(Q$3=0,"n.b.",INDEX(SRC_ZPMW03!$A$1:$ZZ$501,$A298,Q$3)))</f>
        <v/>
      </c>
      <c r="R298" s="124" t="str">
        <f>IF($B298="","",IF(R$3=0,"n.b.",INDEX(SRC_ZPMW03!$A$1:$ZZ$501,$A298,R$3)))</f>
        <v/>
      </c>
      <c r="S298" s="124" t="str">
        <f>IF($B298="","",IF(S$3=0,"n.b.",INDEX(SRC_ZPMW03!$A$1:$ZZ$501,$A298,S$3)))</f>
        <v/>
      </c>
      <c r="T298" s="124" t="str">
        <f>IF($B298="","",IF(T$3=0,"n.b.",INDEX(SRC_ZPMW03!$A$1:$ZZ$501,$A298,T$3)))</f>
        <v/>
      </c>
      <c r="U298" s="124" t="str">
        <f>IF($B298="","",IF(U$3=0,"n.b.",INDEX(SRC_ZPMW03!$A$1:$ZZ$501,$A298,U$3)))</f>
        <v/>
      </c>
      <c r="V298" s="124" t="str">
        <f>IF($B298="","",IF(V$3=0,"n.b.",INDEX(SRC_ZPMW03!$A$1:$ZZ$501,$A298,V$3)))</f>
        <v/>
      </c>
      <c r="W298" s="124" t="str">
        <f>IF($B298="","",IF(W$3=0,"n.b.",INDEX(SRC_ZPMW03!$A$1:$ZZ$501,$A298,W$3)))</f>
        <v/>
      </c>
      <c r="X298" s="124" t="str">
        <f>IF($B298="","",IF(X$3=0,"n.b.",INDEX(SRC_ZPMW03!$A$1:$ZZ$501,$A298,X$3)))</f>
        <v/>
      </c>
      <c r="Y298" s="124" t="str">
        <f>IF($B298="","",IF(Y$3=0,"n.b.",INDEX(SRC_ZPMW03!$A$1:$ZZ$501,$A298,Y$3)))</f>
        <v/>
      </c>
      <c r="Z298" s="124" t="str">
        <f>IF($B298="","",IF(Z$3=0,"n.b.",INDEX(SRC_ZPMW03!$A$1:$ZZ$501,$A298,Z$3)))</f>
        <v/>
      </c>
      <c r="AA298" s="124" t="str">
        <f>IF($B298="","",IF(AA$3=0,"n.b.",INDEX(SRC_ZPMW03!$A$1:$ZZ$501,$A298,AA$3)))</f>
        <v/>
      </c>
      <c r="AB298" s="124" t="str">
        <f>IF($B298="","",IF(AB$3=0,"n.b.",INDEX(SRC_ZPMW03!$A$1:$ZZ$501,$A298,AB$3)))</f>
        <v/>
      </c>
      <c r="AC298" s="124" t="str">
        <f>IF($B298="","",IF(AC$3=0,"n.b.",INDEX(SRC_ZPMW03!$A$1:$ZZ$501,$A298,AC$3)))</f>
        <v/>
      </c>
      <c r="AD298" s="124" t="str">
        <f>IF($B298="","",IF(AD$3=0,"n.b.",INDEX(SRC_ZPMW03!$A$1:$ZZ$501,$A298,AD$3)))</f>
        <v/>
      </c>
      <c r="AE298" s="124" t="str">
        <f>IF($B298="","",IF(AE$3=0,"n.b.",INDEX(SRC_ZPMW03!$A$1:$ZZ$501,$A298,AE$3)))</f>
        <v/>
      </c>
      <c r="AF298" s="124" t="str">
        <f>IF($B298="","",IF(AF$3=0,"n.b.",INDEX(SRC_ZPMW03!$A$1:$ZZ$501,$A298,AF$3)))</f>
        <v/>
      </c>
      <c r="AG298" s="124" t="str">
        <f>IF($B298="","",IF(AG$3=0,"n.b.",INDEX(SRC_ZPMW03!$A$1:$ZZ$501,$A298,AG$3)))</f>
        <v/>
      </c>
      <c r="AH298" s="124" t="str">
        <f>IF($B298="","",IF(AH$3=0,"n.b.",INDEX(SRC_ZPMW03!$A$1:$ZZ$501,$A298,AH$3)))</f>
        <v/>
      </c>
      <c r="AI298" s="124" t="str">
        <f>IF($B298="","",IF(AI$3=0,"n.b.",INDEX(SRC_ZPMW03!$A$1:$ZZ$501,$A298,AI$3)))</f>
        <v/>
      </c>
      <c r="AJ298" s="124" t="str">
        <f>IF($B298="","",IF(AJ$3=0,"n.b.",INDEX(SRC_ZPMW03!$A$1:$ZZ$501,$A298,AJ$3)))</f>
        <v/>
      </c>
      <c r="AK298" s="124" t="str">
        <f>IF($B298="","",IF(AK$3=0,"n.b.",INDEX(SRC_ZPMW03!$A$1:$ZZ$501,$A298,AK$3)))</f>
        <v/>
      </c>
      <c r="AL298" s="124" t="str">
        <f>IF($B298="","",IF(AL$3=0,"n.b.",INDEX(SRC_ZPMW03!$A$1:$ZZ$501,$A298,AL$3)))</f>
        <v/>
      </c>
      <c r="AM298" s="124" t="str">
        <f>IF($B298="","",IF(AM$3=0,"n.b.",INDEX(SRC_ZPMW03!$A$1:$ZZ$501,$A298,AM$3)))</f>
        <v/>
      </c>
      <c r="AN298" s="124" t="str">
        <f>IF($B298="","",IF(AN$3=0,"n.b.",INDEX(SRC_ZPMW03!$A$1:$ZZ$501,$A298,AN$3)))</f>
        <v/>
      </c>
      <c r="AO298" s="124" t="str">
        <f>IF($B298="","",IF(AO$3=0,"n.b.",INDEX(SRC_ZPMW03!$A$1:$ZZ$501,$A298,AO$3)))</f>
        <v/>
      </c>
      <c r="AP298" s="124" t="str">
        <f>IF($B298="","",IF(AP$3=0,"n.b.",INDEX(SRC_ZPMW03!$A$1:$ZZ$501,$A298,AP$3)))</f>
        <v/>
      </c>
      <c r="AQ298" s="124" t="str">
        <f>IF($B298="","",IF(AQ$3=0,"n.b.",INDEX(SRC_ZPMW03!$A$1:$ZZ$501,$A298,AQ$3)))</f>
        <v/>
      </c>
      <c r="AR298" s="124" t="str">
        <f>IF($B298="","",IF(AR$3=0,"n.b.",INDEX(SRC_ZPMW03!$A$1:$ZZ$501,$A298,AR$3)))</f>
        <v/>
      </c>
      <c r="AS298" s="124" t="str">
        <f>IF($B298="","",IF(AS$3=0,"n.b.",INDEX(SRC_ZPMW03!$A$1:$ZZ$501,$A298,AS$3)))</f>
        <v/>
      </c>
      <c r="AT298" s="124" t="str">
        <f>IF($B298="","",IF(AT$3=0,"n.b.",INDEX(SRC_ZPMW03!$A$1:$ZZ$501,$A298,AT$3)))</f>
        <v/>
      </c>
      <c r="AU298" s="124" t="str">
        <f>IF($B298="","",IF(AU$3=0,"n.b.",INDEX(SRC_ZPMW03!$A$1:$ZZ$501,$A298,AU$3)))</f>
        <v/>
      </c>
      <c r="AV298" s="124" t="str">
        <f>IF($B298="","",IF(AV$3=0,"n.b.",INDEX(SRC_ZPMW03!$A$1:$ZZ$501,$A298,AV$3)))</f>
        <v/>
      </c>
      <c r="AW298" s="124" t="str">
        <f>IF($B298="","",IF(AW$3=0,"n.b.",INDEX(SRC_ZPMW03!$A$1:$ZZ$501,$A298,AW$3)))</f>
        <v/>
      </c>
      <c r="AX298" s="124" t="str">
        <f>IF($B298="","",IF(AX$3=0,"n.b.",INDEX(SRC_ZPMW03!$A$1:$ZZ$501,$A298,AX$3)))</f>
        <v/>
      </c>
      <c r="AY298" s="124" t="str">
        <f>IF($B298="","",IF(AY$3=0,"n.b.",INDEX(SRC_ZPMW03!$A$1:$ZZ$501,$A298,AY$3)))</f>
        <v/>
      </c>
      <c r="AZ298" s="124" t="str">
        <f>IF($B298="","",IF(AZ$3=0,"n.b.",INDEX(SRC_ZPMW03!$A$1:$ZZ$501,$A298,AZ$3)))</f>
        <v/>
      </c>
      <c r="BA298" s="124" t="str">
        <f>IF($B298="","",IF(BA$3=0,"n.b.",INDEX(SRC_ZPMW03!$A$1:$ZZ$501,$A298,BA$3)))</f>
        <v/>
      </c>
      <c r="BB298" s="124" t="str">
        <f>IF($B298="","",IF(BB$3=0,"n.b.",INDEX(SRC_ZPMW03!$A$1:$ZZ$501,$A298,BB$3)))</f>
        <v/>
      </c>
      <c r="BC298" s="124" t="str">
        <f>IF($B298="","",IF(BC$3=0,"n.b.",INDEX(SRC_ZPMW03!$A$1:$ZZ$501,$A298,BC$3)))</f>
        <v/>
      </c>
      <c r="BD298" s="124" t="str">
        <f>IF($B298="","",IF(BD$3=0,"n.b.",INDEX(SRC_ZPMW03!$A$1:$ZZ$501,$A298,BD$3)))</f>
        <v/>
      </c>
      <c r="BE298" s="124" t="str">
        <f>IF($B298="","",IF(BE$3=0,"n.b.",INDEX(SRC_ZPMW03!$A$1:$ZZ$501,$A298,BE$3)))</f>
        <v/>
      </c>
      <c r="BF298" s="124" t="str">
        <f>IF($B298="","",IF(BF$3=0,"n.b.",INDEX(SRC_ZPMW03!$A$1:$ZZ$501,$A298,BF$3)))</f>
        <v/>
      </c>
      <c r="BG298" t="str">
        <f>IF($B298="","",IF(BG$3=0,"n.b.",INDEX(SRC_ZPMW03!$A$1:$ZZ$501,$A298,BG$3)))</f>
        <v/>
      </c>
      <c r="BH298" t="str">
        <f>IF($B298="","",IF(BH$3=0,"n.b.",INDEX(SRC_ZPMW03!$A$1:$ZZ$501,$A298,BH$3)))</f>
        <v/>
      </c>
      <c r="BI298" t="str">
        <f>IF($B298="","",IF(BI$3=0,"n.b.",INDEX(SRC_ZPMW03!$A$1:$ZZ$501,$A298,BI$3)))</f>
        <v/>
      </c>
      <c r="BJ298" t="str">
        <f>IF($B298="","",IF(BJ$3=0,"n.b.",INDEX(SRC_ZPMW03!$A$1:$ZZ$501,$A298,BJ$3)))</f>
        <v/>
      </c>
      <c r="BK298" s="124" t="str">
        <f>IF($B298="","",IFERROR(-O298,"n.b."))</f>
        <v/>
      </c>
      <c r="BL298" s="124" t="str">
        <f>IF($B298="","",IFERROR(-Q298,"n.b."))</f>
        <v/>
      </c>
      <c r="BM298" s="124" t="str">
        <f>IF($B298="","",IFERROR(-AB298,"n.b."))</f>
        <v/>
      </c>
      <c r="BN298" s="124" t="str">
        <f>IF($B298="","",IFERROR(-AD298,"n.b."))</f>
        <v/>
      </c>
      <c r="BO298" s="124" t="str">
        <f>IF($B298="","",IFERROR(BK298+BM298,"n.b."))</f>
        <v/>
      </c>
      <c r="BP298" s="124" t="str">
        <f>IF($B298="","",IFERROR(BL298+BN298,"n.b."))</f>
        <v/>
      </c>
      <c r="BQ298" s="124" t="str">
        <f>IF($B298="","",IFERROR(-AM298,"n.b."))</f>
        <v/>
      </c>
      <c r="BR298" s="124" t="str">
        <f>IF($B298="","",IFERROR(-AO298,"n.b."))</f>
        <v/>
      </c>
      <c r="BS298" s="124" t="str">
        <f>IF($B298="","",IFERROR(-Z298,"n.b."))</f>
        <v/>
      </c>
      <c r="BT298" s="124" t="str">
        <f>IF($B298="","",IFERROR(-AA298,"n.b."))</f>
        <v/>
      </c>
      <c r="BU298" s="124" t="str">
        <f>IF($B298="","",IFERROR(-AE298,"n.b."))</f>
        <v/>
      </c>
      <c r="BV298" s="124" t="str">
        <f>IF($B298="","",IFERROR(-AF298,"n.b."))</f>
        <v/>
      </c>
      <c r="BW298" s="124" t="str">
        <f>IF($B298="","",IFERROR(-AG298,"n.b."))</f>
        <v/>
      </c>
      <c r="BX298" s="124" t="str">
        <f>IF($B298="","",IFERROR(-AH298,"n.b."))</f>
        <v/>
      </c>
      <c r="BY298" s="124" t="str">
        <f>IF($B298="","",IFERROR(-AI298,"n.b."))</f>
        <v/>
      </c>
      <c r="BZ298" s="124" t="str">
        <f>IF($B298="","",IFERROR(-AJ298,"n.b."))</f>
        <v/>
      </c>
      <c r="CA298" s="124" t="str">
        <f>IF($B298="","",IFERROR(-AK298,"n.b."))</f>
        <v/>
      </c>
      <c r="CB298" s="124" t="str">
        <f>IF($B298="","",IFERROR(-AL298,"n.b."))</f>
        <v/>
      </c>
      <c r="CC298" s="124" t="str">
        <f>IF($B298="","",IFERROR(-AP298,"n.b."))</f>
        <v/>
      </c>
      <c r="CD298" s="124" t="str">
        <f>IF($B298="","",IFERROR(-AQ298,"n.b."))</f>
        <v/>
      </c>
      <c r="CE298" s="124" t="str">
        <f>IF($B298="","",IFERROR(-AR298,"n.b."))</f>
        <v/>
      </c>
      <c r="CF298" s="124" t="str">
        <f>IF($B298="","",IFERROR(-AS298,"n.b."))</f>
        <v/>
      </c>
      <c r="CG298" s="124" t="str">
        <f>IF($B298="","",IFERROR(-AT298,"n.b."))</f>
        <v/>
      </c>
      <c r="CH298" s="124" t="str">
        <f>IF($B298="","",IFERROR(-AU298,"n.b."))</f>
        <v/>
      </c>
      <c r="CI298" s="124" t="str">
        <f>IF($B298="","",IFERROR(-AV298,"n.b."))</f>
        <v/>
      </c>
      <c r="CJ298" s="124" t="str">
        <f>IF($B298="","",IFERROR(-AW298,"n.b."))</f>
        <v/>
      </c>
      <c r="CK298" s="124" t="str">
        <f>IF($B298="","",IFERROR(-AX298,"n.b."))</f>
        <v/>
      </c>
      <c r="CL298" s="124" t="str">
        <f>IF($B298="","",IFERROR(-AY298,"n.b."))</f>
        <v/>
      </c>
      <c r="CM298" s="124" t="str">
        <f>IF($B298="","",IFERROR(-AZ298,"n.b."))</f>
        <v/>
      </c>
      <c r="CN298" s="124" t="str">
        <f>IF($B298="","",IFERROR(-BA298,"n.b."))</f>
        <v/>
      </c>
      <c r="CO298" s="124" t="str">
        <f>IF($B298="","",IFERROR(-BB298,"n.b."))</f>
        <v/>
      </c>
      <c r="CP298" s="124" t="str">
        <f>IF($B298="","",IFERROR(-BC298,"n.b."))</f>
        <v/>
      </c>
      <c r="CQ298" s="124" t="str">
        <f>IF($B298="","",IFERROR(-BD298,"n.b."))</f>
        <v/>
      </c>
      <c r="CR298" s="124" t="str">
        <f>IF($B298="","",IFERROR(-BE298,"n.b."))</f>
        <v/>
      </c>
      <c r="CS298" s="124" t="str">
        <f>IF($B298="","",IFERROR(IF(OR(ABS(T298+V298+X298+Z298-AB298)&gt;P_Tol,ABS(U298+W298+Y298+AA298-AD298)&gt;P_Tol,ABS(AE298+AG298+AI298+AK298-AM298)&gt;P_Tol,ABS(AF298+AH298+AJ298+AL298-AO298)&gt;P_Tol),1,0),1))</f>
        <v/>
      </c>
      <c r="CT298" s="124" t="str">
        <f>IF($B298="","",IFERROR(IF(OR(ABS(AB298+AC298-AD298)&gt;P_Tol,ABS(AM298+AN298-AO298)&gt;P_Tol,ABS(O298+P298-Q298)&gt;P_Tol),1,0),1))</f>
        <v/>
      </c>
      <c r="CU298" s="124" t="str">
        <f>IF($B298="","",IFERROR(IF(ABS(R298-(AB298+AM298+AP298+AR298+AT298+AV298+AX298+AZ298+BB298+BD298))&gt;P_Tol,1,0),1))</f>
        <v/>
      </c>
      <c r="CV298" s="124" t="str">
        <f>IF($B298="","",IFERROR(IF(ABS(M298-(N298+O298+R298))&gt;P_Tol,1,0),1))</f>
        <v/>
      </c>
      <c r="CW298" s="124" t="str">
        <f>IF($B298="","",IF(COUNTIF(Mapping!$A$5:$A$104,B298)&gt;0,1,0))</f>
        <v/>
      </c>
      <c r="CX298" s="124" t="str">
        <f>IF($B298="","",COUNTIF($B$6:$B$505,B298))</f>
        <v/>
      </c>
      <c r="CY298" s="124" t="str">
        <f>IF($B298="","",COUNTIF(STG_Woningetalage!$B$6:$B$505,B298))</f>
        <v/>
      </c>
      <c r="CZ298" s="124" t="str">
        <f>IF($B298="","",IF(CW298=0,COUNTIF($CW$6:CW298,0),""))</f>
        <v/>
      </c>
    </row>
    <row r="299">
      <c r="A299" s="15" t="n">
        <v>295</v>
      </c>
      <c r="B299" t="str">
        <f>IF(B$3=0,"",IF(INDEX(SRC_ZPMW03!$A$1:$ZZ$501,$A299,B$3)&amp;""="","",INDEX(SRC_ZPMW03!$A$1:$ZZ$501,$A299,B$3)&amp;""))</f>
        <v/>
      </c>
      <c r="C299" t="str">
        <f>IF($B299="","",IF(C$3=0,"n.b.",INDEX(SRC_ZPMW03!$A$1:$ZZ$501,$A299,C$3)))</f>
        <v/>
      </c>
      <c r="D299" t="str">
        <f>IF($B299="","",IF(D$3=0,"n.b.",INDEX(SRC_ZPMW03!$A$1:$ZZ$501,$A299,D$3)))</f>
        <v/>
      </c>
      <c r="E299" t="str">
        <f>IF($B299="","",IF(E$3=0,"n.b.",INDEX(SRC_ZPMW03!$A$1:$ZZ$501,$A299,E$3)))</f>
        <v/>
      </c>
      <c r="F299" t="str">
        <f>IF($B299="","",IF(F$3=0,"n.b.",INDEX(SRC_ZPMW03!$A$1:$ZZ$501,$A299,F$3)))</f>
        <v/>
      </c>
      <c r="G299" t="str">
        <f>IF($B299="","",IF(G$3=0,"n.b.",INDEX(SRC_ZPMW03!$A$1:$ZZ$501,$A299,G$3)))</f>
        <v/>
      </c>
      <c r="H299" t="str">
        <f>IF($B299="","",IF(H$3=0,"n.b.",INDEX(SRC_ZPMW03!$A$1:$ZZ$501,$A299,H$3)))</f>
        <v/>
      </c>
      <c r="I299" t="str">
        <f>IF($B299="","",IF(I$3=0,"n.b.",INDEX(SRC_ZPMW03!$A$1:$ZZ$501,$A299,I$3)))</f>
        <v/>
      </c>
      <c r="J299" t="str">
        <f>IF($B299="","",IF(J$3=0,"n.b.",INDEX(SRC_ZPMW03!$A$1:$ZZ$501,$A299,J$3)))</f>
        <v/>
      </c>
      <c r="K299" t="str">
        <f>IF($B299="","",IF(K$3=0,"n.b.",INDEX(SRC_ZPMW03!$A$1:$ZZ$501,$A299,K$3)))</f>
        <v/>
      </c>
      <c r="L299" s="124" t="str">
        <f>IF($B299="","",IF(L$3=0,"n.b.",INDEX(SRC_ZPMW03!$A$1:$ZZ$501,$A299,L$3)))</f>
        <v/>
      </c>
      <c r="M299" s="124" t="str">
        <f>IF($B299="","",IF(M$3=0,"n.b.",INDEX(SRC_ZPMW03!$A$1:$ZZ$501,$A299,M$3)))</f>
        <v/>
      </c>
      <c r="N299" s="124" t="str">
        <f>IF($B299="","",IF(N$3=0,"n.b.",INDEX(SRC_ZPMW03!$A$1:$ZZ$501,$A299,N$3)))</f>
        <v/>
      </c>
      <c r="O299" s="124" t="str">
        <f>IF($B299="","",IF(O$3=0,"n.b.",INDEX(SRC_ZPMW03!$A$1:$ZZ$501,$A299,O$3)))</f>
        <v/>
      </c>
      <c r="P299" s="124" t="str">
        <f>IF($B299="","",IF(P$3=0,"n.b.",INDEX(SRC_ZPMW03!$A$1:$ZZ$501,$A299,P$3)))</f>
        <v/>
      </c>
      <c r="Q299" s="124" t="str">
        <f>IF($B299="","",IF(Q$3=0,"n.b.",INDEX(SRC_ZPMW03!$A$1:$ZZ$501,$A299,Q$3)))</f>
        <v/>
      </c>
      <c r="R299" s="124" t="str">
        <f>IF($B299="","",IF(R$3=0,"n.b.",INDEX(SRC_ZPMW03!$A$1:$ZZ$501,$A299,R$3)))</f>
        <v/>
      </c>
      <c r="S299" s="124" t="str">
        <f>IF($B299="","",IF(S$3=0,"n.b.",INDEX(SRC_ZPMW03!$A$1:$ZZ$501,$A299,S$3)))</f>
        <v/>
      </c>
      <c r="T299" s="124" t="str">
        <f>IF($B299="","",IF(T$3=0,"n.b.",INDEX(SRC_ZPMW03!$A$1:$ZZ$501,$A299,T$3)))</f>
        <v/>
      </c>
      <c r="U299" s="124" t="str">
        <f>IF($B299="","",IF(U$3=0,"n.b.",INDEX(SRC_ZPMW03!$A$1:$ZZ$501,$A299,U$3)))</f>
        <v/>
      </c>
      <c r="V299" s="124" t="str">
        <f>IF($B299="","",IF(V$3=0,"n.b.",INDEX(SRC_ZPMW03!$A$1:$ZZ$501,$A299,V$3)))</f>
        <v/>
      </c>
      <c r="W299" s="124" t="str">
        <f>IF($B299="","",IF(W$3=0,"n.b.",INDEX(SRC_ZPMW03!$A$1:$ZZ$501,$A299,W$3)))</f>
        <v/>
      </c>
      <c r="X299" s="124" t="str">
        <f>IF($B299="","",IF(X$3=0,"n.b.",INDEX(SRC_ZPMW03!$A$1:$ZZ$501,$A299,X$3)))</f>
        <v/>
      </c>
      <c r="Y299" s="124" t="str">
        <f>IF($B299="","",IF(Y$3=0,"n.b.",INDEX(SRC_ZPMW03!$A$1:$ZZ$501,$A299,Y$3)))</f>
        <v/>
      </c>
      <c r="Z299" s="124" t="str">
        <f>IF($B299="","",IF(Z$3=0,"n.b.",INDEX(SRC_ZPMW03!$A$1:$ZZ$501,$A299,Z$3)))</f>
        <v/>
      </c>
      <c r="AA299" s="124" t="str">
        <f>IF($B299="","",IF(AA$3=0,"n.b.",INDEX(SRC_ZPMW03!$A$1:$ZZ$501,$A299,AA$3)))</f>
        <v/>
      </c>
      <c r="AB299" s="124" t="str">
        <f>IF($B299="","",IF(AB$3=0,"n.b.",INDEX(SRC_ZPMW03!$A$1:$ZZ$501,$A299,AB$3)))</f>
        <v/>
      </c>
      <c r="AC299" s="124" t="str">
        <f>IF($B299="","",IF(AC$3=0,"n.b.",INDEX(SRC_ZPMW03!$A$1:$ZZ$501,$A299,AC$3)))</f>
        <v/>
      </c>
      <c r="AD299" s="124" t="str">
        <f>IF($B299="","",IF(AD$3=0,"n.b.",INDEX(SRC_ZPMW03!$A$1:$ZZ$501,$A299,AD$3)))</f>
        <v/>
      </c>
      <c r="AE299" s="124" t="str">
        <f>IF($B299="","",IF(AE$3=0,"n.b.",INDEX(SRC_ZPMW03!$A$1:$ZZ$501,$A299,AE$3)))</f>
        <v/>
      </c>
      <c r="AF299" s="124" t="str">
        <f>IF($B299="","",IF(AF$3=0,"n.b.",INDEX(SRC_ZPMW03!$A$1:$ZZ$501,$A299,AF$3)))</f>
        <v/>
      </c>
      <c r="AG299" s="124" t="str">
        <f>IF($B299="","",IF(AG$3=0,"n.b.",INDEX(SRC_ZPMW03!$A$1:$ZZ$501,$A299,AG$3)))</f>
        <v/>
      </c>
      <c r="AH299" s="124" t="str">
        <f>IF($B299="","",IF(AH$3=0,"n.b.",INDEX(SRC_ZPMW03!$A$1:$ZZ$501,$A299,AH$3)))</f>
        <v/>
      </c>
      <c r="AI299" s="124" t="str">
        <f>IF($B299="","",IF(AI$3=0,"n.b.",INDEX(SRC_ZPMW03!$A$1:$ZZ$501,$A299,AI$3)))</f>
        <v/>
      </c>
      <c r="AJ299" s="124" t="str">
        <f>IF($B299="","",IF(AJ$3=0,"n.b.",INDEX(SRC_ZPMW03!$A$1:$ZZ$501,$A299,AJ$3)))</f>
        <v/>
      </c>
      <c r="AK299" s="124" t="str">
        <f>IF($B299="","",IF(AK$3=0,"n.b.",INDEX(SRC_ZPMW03!$A$1:$ZZ$501,$A299,AK$3)))</f>
        <v/>
      </c>
      <c r="AL299" s="124" t="str">
        <f>IF($B299="","",IF(AL$3=0,"n.b.",INDEX(SRC_ZPMW03!$A$1:$ZZ$501,$A299,AL$3)))</f>
        <v/>
      </c>
      <c r="AM299" s="124" t="str">
        <f>IF($B299="","",IF(AM$3=0,"n.b.",INDEX(SRC_ZPMW03!$A$1:$ZZ$501,$A299,AM$3)))</f>
        <v/>
      </c>
      <c r="AN299" s="124" t="str">
        <f>IF($B299="","",IF(AN$3=0,"n.b.",INDEX(SRC_ZPMW03!$A$1:$ZZ$501,$A299,AN$3)))</f>
        <v/>
      </c>
      <c r="AO299" s="124" t="str">
        <f>IF($B299="","",IF(AO$3=0,"n.b.",INDEX(SRC_ZPMW03!$A$1:$ZZ$501,$A299,AO$3)))</f>
        <v/>
      </c>
      <c r="AP299" s="124" t="str">
        <f>IF($B299="","",IF(AP$3=0,"n.b.",INDEX(SRC_ZPMW03!$A$1:$ZZ$501,$A299,AP$3)))</f>
        <v/>
      </c>
      <c r="AQ299" s="124" t="str">
        <f>IF($B299="","",IF(AQ$3=0,"n.b.",INDEX(SRC_ZPMW03!$A$1:$ZZ$501,$A299,AQ$3)))</f>
        <v/>
      </c>
      <c r="AR299" s="124" t="str">
        <f>IF($B299="","",IF(AR$3=0,"n.b.",INDEX(SRC_ZPMW03!$A$1:$ZZ$501,$A299,AR$3)))</f>
        <v/>
      </c>
      <c r="AS299" s="124" t="str">
        <f>IF($B299="","",IF(AS$3=0,"n.b.",INDEX(SRC_ZPMW03!$A$1:$ZZ$501,$A299,AS$3)))</f>
        <v/>
      </c>
      <c r="AT299" s="124" t="str">
        <f>IF($B299="","",IF(AT$3=0,"n.b.",INDEX(SRC_ZPMW03!$A$1:$ZZ$501,$A299,AT$3)))</f>
        <v/>
      </c>
      <c r="AU299" s="124" t="str">
        <f>IF($B299="","",IF(AU$3=0,"n.b.",INDEX(SRC_ZPMW03!$A$1:$ZZ$501,$A299,AU$3)))</f>
        <v/>
      </c>
      <c r="AV299" s="124" t="str">
        <f>IF($B299="","",IF(AV$3=0,"n.b.",INDEX(SRC_ZPMW03!$A$1:$ZZ$501,$A299,AV$3)))</f>
        <v/>
      </c>
      <c r="AW299" s="124" t="str">
        <f>IF($B299="","",IF(AW$3=0,"n.b.",INDEX(SRC_ZPMW03!$A$1:$ZZ$501,$A299,AW$3)))</f>
        <v/>
      </c>
      <c r="AX299" s="124" t="str">
        <f>IF($B299="","",IF(AX$3=0,"n.b.",INDEX(SRC_ZPMW03!$A$1:$ZZ$501,$A299,AX$3)))</f>
        <v/>
      </c>
      <c r="AY299" s="124" t="str">
        <f>IF($B299="","",IF(AY$3=0,"n.b.",INDEX(SRC_ZPMW03!$A$1:$ZZ$501,$A299,AY$3)))</f>
        <v/>
      </c>
      <c r="AZ299" s="124" t="str">
        <f>IF($B299="","",IF(AZ$3=0,"n.b.",INDEX(SRC_ZPMW03!$A$1:$ZZ$501,$A299,AZ$3)))</f>
        <v/>
      </c>
      <c r="BA299" s="124" t="str">
        <f>IF($B299="","",IF(BA$3=0,"n.b.",INDEX(SRC_ZPMW03!$A$1:$ZZ$501,$A299,BA$3)))</f>
        <v/>
      </c>
      <c r="BB299" s="124" t="str">
        <f>IF($B299="","",IF(BB$3=0,"n.b.",INDEX(SRC_ZPMW03!$A$1:$ZZ$501,$A299,BB$3)))</f>
        <v/>
      </c>
      <c r="BC299" s="124" t="str">
        <f>IF($B299="","",IF(BC$3=0,"n.b.",INDEX(SRC_ZPMW03!$A$1:$ZZ$501,$A299,BC$3)))</f>
        <v/>
      </c>
      <c r="BD299" s="124" t="str">
        <f>IF($B299="","",IF(BD$3=0,"n.b.",INDEX(SRC_ZPMW03!$A$1:$ZZ$501,$A299,BD$3)))</f>
        <v/>
      </c>
      <c r="BE299" s="124" t="str">
        <f>IF($B299="","",IF(BE$3=0,"n.b.",INDEX(SRC_ZPMW03!$A$1:$ZZ$501,$A299,BE$3)))</f>
        <v/>
      </c>
      <c r="BF299" s="124" t="str">
        <f>IF($B299="","",IF(BF$3=0,"n.b.",INDEX(SRC_ZPMW03!$A$1:$ZZ$501,$A299,BF$3)))</f>
        <v/>
      </c>
      <c r="BG299" t="str">
        <f>IF($B299="","",IF(BG$3=0,"n.b.",INDEX(SRC_ZPMW03!$A$1:$ZZ$501,$A299,BG$3)))</f>
        <v/>
      </c>
      <c r="BH299" t="str">
        <f>IF($B299="","",IF(BH$3=0,"n.b.",INDEX(SRC_ZPMW03!$A$1:$ZZ$501,$A299,BH$3)))</f>
        <v/>
      </c>
      <c r="BI299" t="str">
        <f>IF($B299="","",IF(BI$3=0,"n.b.",INDEX(SRC_ZPMW03!$A$1:$ZZ$501,$A299,BI$3)))</f>
        <v/>
      </c>
      <c r="BJ299" t="str">
        <f>IF($B299="","",IF(BJ$3=0,"n.b.",INDEX(SRC_ZPMW03!$A$1:$ZZ$501,$A299,BJ$3)))</f>
        <v/>
      </c>
      <c r="BK299" s="124" t="str">
        <f>IF($B299="","",IFERROR(-O299,"n.b."))</f>
        <v/>
      </c>
      <c r="BL299" s="124" t="str">
        <f>IF($B299="","",IFERROR(-Q299,"n.b."))</f>
        <v/>
      </c>
      <c r="BM299" s="124" t="str">
        <f>IF($B299="","",IFERROR(-AB299,"n.b."))</f>
        <v/>
      </c>
      <c r="BN299" s="124" t="str">
        <f>IF($B299="","",IFERROR(-AD299,"n.b."))</f>
        <v/>
      </c>
      <c r="BO299" s="124" t="str">
        <f>IF($B299="","",IFERROR(BK299+BM299,"n.b."))</f>
        <v/>
      </c>
      <c r="BP299" s="124" t="str">
        <f>IF($B299="","",IFERROR(BL299+BN299,"n.b."))</f>
        <v/>
      </c>
      <c r="BQ299" s="124" t="str">
        <f>IF($B299="","",IFERROR(-AM299,"n.b."))</f>
        <v/>
      </c>
      <c r="BR299" s="124" t="str">
        <f>IF($B299="","",IFERROR(-AO299,"n.b."))</f>
        <v/>
      </c>
      <c r="BS299" s="124" t="str">
        <f>IF($B299="","",IFERROR(-Z299,"n.b."))</f>
        <v/>
      </c>
      <c r="BT299" s="124" t="str">
        <f>IF($B299="","",IFERROR(-AA299,"n.b."))</f>
        <v/>
      </c>
      <c r="BU299" s="124" t="str">
        <f>IF($B299="","",IFERROR(-AE299,"n.b."))</f>
        <v/>
      </c>
      <c r="BV299" s="124" t="str">
        <f>IF($B299="","",IFERROR(-AF299,"n.b."))</f>
        <v/>
      </c>
      <c r="BW299" s="124" t="str">
        <f>IF($B299="","",IFERROR(-AG299,"n.b."))</f>
        <v/>
      </c>
      <c r="BX299" s="124" t="str">
        <f>IF($B299="","",IFERROR(-AH299,"n.b."))</f>
        <v/>
      </c>
      <c r="BY299" s="124" t="str">
        <f>IF($B299="","",IFERROR(-AI299,"n.b."))</f>
        <v/>
      </c>
      <c r="BZ299" s="124" t="str">
        <f>IF($B299="","",IFERROR(-AJ299,"n.b."))</f>
        <v/>
      </c>
      <c r="CA299" s="124" t="str">
        <f>IF($B299="","",IFERROR(-AK299,"n.b."))</f>
        <v/>
      </c>
      <c r="CB299" s="124" t="str">
        <f>IF($B299="","",IFERROR(-AL299,"n.b."))</f>
        <v/>
      </c>
      <c r="CC299" s="124" t="str">
        <f>IF($B299="","",IFERROR(-AP299,"n.b."))</f>
        <v/>
      </c>
      <c r="CD299" s="124" t="str">
        <f>IF($B299="","",IFERROR(-AQ299,"n.b."))</f>
        <v/>
      </c>
      <c r="CE299" s="124" t="str">
        <f>IF($B299="","",IFERROR(-AR299,"n.b."))</f>
        <v/>
      </c>
      <c r="CF299" s="124" t="str">
        <f>IF($B299="","",IFERROR(-AS299,"n.b."))</f>
        <v/>
      </c>
      <c r="CG299" s="124" t="str">
        <f>IF($B299="","",IFERROR(-AT299,"n.b."))</f>
        <v/>
      </c>
      <c r="CH299" s="124" t="str">
        <f>IF($B299="","",IFERROR(-AU299,"n.b."))</f>
        <v/>
      </c>
      <c r="CI299" s="124" t="str">
        <f>IF($B299="","",IFERROR(-AV299,"n.b."))</f>
        <v/>
      </c>
      <c r="CJ299" s="124" t="str">
        <f>IF($B299="","",IFERROR(-AW299,"n.b."))</f>
        <v/>
      </c>
      <c r="CK299" s="124" t="str">
        <f>IF($B299="","",IFERROR(-AX299,"n.b."))</f>
        <v/>
      </c>
      <c r="CL299" s="124" t="str">
        <f>IF($B299="","",IFERROR(-AY299,"n.b."))</f>
        <v/>
      </c>
      <c r="CM299" s="124" t="str">
        <f>IF($B299="","",IFERROR(-AZ299,"n.b."))</f>
        <v/>
      </c>
      <c r="CN299" s="124" t="str">
        <f>IF($B299="","",IFERROR(-BA299,"n.b."))</f>
        <v/>
      </c>
      <c r="CO299" s="124" t="str">
        <f>IF($B299="","",IFERROR(-BB299,"n.b."))</f>
        <v/>
      </c>
      <c r="CP299" s="124" t="str">
        <f>IF($B299="","",IFERROR(-BC299,"n.b."))</f>
        <v/>
      </c>
      <c r="CQ299" s="124" t="str">
        <f>IF($B299="","",IFERROR(-BD299,"n.b."))</f>
        <v/>
      </c>
      <c r="CR299" s="124" t="str">
        <f>IF($B299="","",IFERROR(-BE299,"n.b."))</f>
        <v/>
      </c>
      <c r="CS299" s="124" t="str">
        <f>IF($B299="","",IFERROR(IF(OR(ABS(T299+V299+X299+Z299-AB299)&gt;P_Tol,ABS(U299+W299+Y299+AA299-AD299)&gt;P_Tol,ABS(AE299+AG299+AI299+AK299-AM299)&gt;P_Tol,ABS(AF299+AH299+AJ299+AL299-AO299)&gt;P_Tol),1,0),1))</f>
        <v/>
      </c>
      <c r="CT299" s="124" t="str">
        <f>IF($B299="","",IFERROR(IF(OR(ABS(AB299+AC299-AD299)&gt;P_Tol,ABS(AM299+AN299-AO299)&gt;P_Tol,ABS(O299+P299-Q299)&gt;P_Tol),1,0),1))</f>
        <v/>
      </c>
      <c r="CU299" s="124" t="str">
        <f>IF($B299="","",IFERROR(IF(ABS(R299-(AB299+AM299+AP299+AR299+AT299+AV299+AX299+AZ299+BB299+BD299))&gt;P_Tol,1,0),1))</f>
        <v/>
      </c>
      <c r="CV299" s="124" t="str">
        <f>IF($B299="","",IFERROR(IF(ABS(M299-(N299+O299+R299))&gt;P_Tol,1,0),1))</f>
        <v/>
      </c>
      <c r="CW299" s="124" t="str">
        <f>IF($B299="","",IF(COUNTIF(Mapping!$A$5:$A$104,B299)&gt;0,1,0))</f>
        <v/>
      </c>
      <c r="CX299" s="124" t="str">
        <f>IF($B299="","",COUNTIF($B$6:$B$505,B299))</f>
        <v/>
      </c>
      <c r="CY299" s="124" t="str">
        <f>IF($B299="","",COUNTIF(STG_Woningetalage!$B$6:$B$505,B299))</f>
        <v/>
      </c>
      <c r="CZ299" s="124" t="str">
        <f>IF($B299="","",IF(CW299=0,COUNTIF($CW$6:CW299,0),""))</f>
        <v/>
      </c>
    </row>
    <row r="300">
      <c r="A300" s="15" t="n">
        <v>296</v>
      </c>
      <c r="B300" t="str">
        <f>IF(B$3=0,"",IF(INDEX(SRC_ZPMW03!$A$1:$ZZ$501,$A300,B$3)&amp;""="","",INDEX(SRC_ZPMW03!$A$1:$ZZ$501,$A300,B$3)&amp;""))</f>
        <v/>
      </c>
      <c r="C300" t="str">
        <f>IF($B300="","",IF(C$3=0,"n.b.",INDEX(SRC_ZPMW03!$A$1:$ZZ$501,$A300,C$3)))</f>
        <v/>
      </c>
      <c r="D300" t="str">
        <f>IF($B300="","",IF(D$3=0,"n.b.",INDEX(SRC_ZPMW03!$A$1:$ZZ$501,$A300,D$3)))</f>
        <v/>
      </c>
      <c r="E300" t="str">
        <f>IF($B300="","",IF(E$3=0,"n.b.",INDEX(SRC_ZPMW03!$A$1:$ZZ$501,$A300,E$3)))</f>
        <v/>
      </c>
      <c r="F300" t="str">
        <f>IF($B300="","",IF(F$3=0,"n.b.",INDEX(SRC_ZPMW03!$A$1:$ZZ$501,$A300,F$3)))</f>
        <v/>
      </c>
      <c r="G300" t="str">
        <f>IF($B300="","",IF(G$3=0,"n.b.",INDEX(SRC_ZPMW03!$A$1:$ZZ$501,$A300,G$3)))</f>
        <v/>
      </c>
      <c r="H300" t="str">
        <f>IF($B300="","",IF(H$3=0,"n.b.",INDEX(SRC_ZPMW03!$A$1:$ZZ$501,$A300,H$3)))</f>
        <v/>
      </c>
      <c r="I300" t="str">
        <f>IF($B300="","",IF(I$3=0,"n.b.",INDEX(SRC_ZPMW03!$A$1:$ZZ$501,$A300,I$3)))</f>
        <v/>
      </c>
      <c r="J300" t="str">
        <f>IF($B300="","",IF(J$3=0,"n.b.",INDEX(SRC_ZPMW03!$A$1:$ZZ$501,$A300,J$3)))</f>
        <v/>
      </c>
      <c r="K300" t="str">
        <f>IF($B300="","",IF(K$3=0,"n.b.",INDEX(SRC_ZPMW03!$A$1:$ZZ$501,$A300,K$3)))</f>
        <v/>
      </c>
      <c r="L300" s="124" t="str">
        <f>IF($B300="","",IF(L$3=0,"n.b.",INDEX(SRC_ZPMW03!$A$1:$ZZ$501,$A300,L$3)))</f>
        <v/>
      </c>
      <c r="M300" s="124" t="str">
        <f>IF($B300="","",IF(M$3=0,"n.b.",INDEX(SRC_ZPMW03!$A$1:$ZZ$501,$A300,M$3)))</f>
        <v/>
      </c>
      <c r="N300" s="124" t="str">
        <f>IF($B300="","",IF(N$3=0,"n.b.",INDEX(SRC_ZPMW03!$A$1:$ZZ$501,$A300,N$3)))</f>
        <v/>
      </c>
      <c r="O300" s="124" t="str">
        <f>IF($B300="","",IF(O$3=0,"n.b.",INDEX(SRC_ZPMW03!$A$1:$ZZ$501,$A300,O$3)))</f>
        <v/>
      </c>
      <c r="P300" s="124" t="str">
        <f>IF($B300="","",IF(P$3=0,"n.b.",INDEX(SRC_ZPMW03!$A$1:$ZZ$501,$A300,P$3)))</f>
        <v/>
      </c>
      <c r="Q300" s="124" t="str">
        <f>IF($B300="","",IF(Q$3=0,"n.b.",INDEX(SRC_ZPMW03!$A$1:$ZZ$501,$A300,Q$3)))</f>
        <v/>
      </c>
      <c r="R300" s="124" t="str">
        <f>IF($B300="","",IF(R$3=0,"n.b.",INDEX(SRC_ZPMW03!$A$1:$ZZ$501,$A300,R$3)))</f>
        <v/>
      </c>
      <c r="S300" s="124" t="str">
        <f>IF($B300="","",IF(S$3=0,"n.b.",INDEX(SRC_ZPMW03!$A$1:$ZZ$501,$A300,S$3)))</f>
        <v/>
      </c>
      <c r="T300" s="124" t="str">
        <f>IF($B300="","",IF(T$3=0,"n.b.",INDEX(SRC_ZPMW03!$A$1:$ZZ$501,$A300,T$3)))</f>
        <v/>
      </c>
      <c r="U300" s="124" t="str">
        <f>IF($B300="","",IF(U$3=0,"n.b.",INDEX(SRC_ZPMW03!$A$1:$ZZ$501,$A300,U$3)))</f>
        <v/>
      </c>
      <c r="V300" s="124" t="str">
        <f>IF($B300="","",IF(V$3=0,"n.b.",INDEX(SRC_ZPMW03!$A$1:$ZZ$501,$A300,V$3)))</f>
        <v/>
      </c>
      <c r="W300" s="124" t="str">
        <f>IF($B300="","",IF(W$3=0,"n.b.",INDEX(SRC_ZPMW03!$A$1:$ZZ$501,$A300,W$3)))</f>
        <v/>
      </c>
      <c r="X300" s="124" t="str">
        <f>IF($B300="","",IF(X$3=0,"n.b.",INDEX(SRC_ZPMW03!$A$1:$ZZ$501,$A300,X$3)))</f>
        <v/>
      </c>
      <c r="Y300" s="124" t="str">
        <f>IF($B300="","",IF(Y$3=0,"n.b.",INDEX(SRC_ZPMW03!$A$1:$ZZ$501,$A300,Y$3)))</f>
        <v/>
      </c>
      <c r="Z300" s="124" t="str">
        <f>IF($B300="","",IF(Z$3=0,"n.b.",INDEX(SRC_ZPMW03!$A$1:$ZZ$501,$A300,Z$3)))</f>
        <v/>
      </c>
      <c r="AA300" s="124" t="str">
        <f>IF($B300="","",IF(AA$3=0,"n.b.",INDEX(SRC_ZPMW03!$A$1:$ZZ$501,$A300,AA$3)))</f>
        <v/>
      </c>
      <c r="AB300" s="124" t="str">
        <f>IF($B300="","",IF(AB$3=0,"n.b.",INDEX(SRC_ZPMW03!$A$1:$ZZ$501,$A300,AB$3)))</f>
        <v/>
      </c>
      <c r="AC300" s="124" t="str">
        <f>IF($B300="","",IF(AC$3=0,"n.b.",INDEX(SRC_ZPMW03!$A$1:$ZZ$501,$A300,AC$3)))</f>
        <v/>
      </c>
      <c r="AD300" s="124" t="str">
        <f>IF($B300="","",IF(AD$3=0,"n.b.",INDEX(SRC_ZPMW03!$A$1:$ZZ$501,$A300,AD$3)))</f>
        <v/>
      </c>
      <c r="AE300" s="124" t="str">
        <f>IF($B300="","",IF(AE$3=0,"n.b.",INDEX(SRC_ZPMW03!$A$1:$ZZ$501,$A300,AE$3)))</f>
        <v/>
      </c>
      <c r="AF300" s="124" t="str">
        <f>IF($B300="","",IF(AF$3=0,"n.b.",INDEX(SRC_ZPMW03!$A$1:$ZZ$501,$A300,AF$3)))</f>
        <v/>
      </c>
      <c r="AG300" s="124" t="str">
        <f>IF($B300="","",IF(AG$3=0,"n.b.",INDEX(SRC_ZPMW03!$A$1:$ZZ$501,$A300,AG$3)))</f>
        <v/>
      </c>
      <c r="AH300" s="124" t="str">
        <f>IF($B300="","",IF(AH$3=0,"n.b.",INDEX(SRC_ZPMW03!$A$1:$ZZ$501,$A300,AH$3)))</f>
        <v/>
      </c>
      <c r="AI300" s="124" t="str">
        <f>IF($B300="","",IF(AI$3=0,"n.b.",INDEX(SRC_ZPMW03!$A$1:$ZZ$501,$A300,AI$3)))</f>
        <v/>
      </c>
      <c r="AJ300" s="124" t="str">
        <f>IF($B300="","",IF(AJ$3=0,"n.b.",INDEX(SRC_ZPMW03!$A$1:$ZZ$501,$A300,AJ$3)))</f>
        <v/>
      </c>
      <c r="AK300" s="124" t="str">
        <f>IF($B300="","",IF(AK$3=0,"n.b.",INDEX(SRC_ZPMW03!$A$1:$ZZ$501,$A300,AK$3)))</f>
        <v/>
      </c>
      <c r="AL300" s="124" t="str">
        <f>IF($B300="","",IF(AL$3=0,"n.b.",INDEX(SRC_ZPMW03!$A$1:$ZZ$501,$A300,AL$3)))</f>
        <v/>
      </c>
      <c r="AM300" s="124" t="str">
        <f>IF($B300="","",IF(AM$3=0,"n.b.",INDEX(SRC_ZPMW03!$A$1:$ZZ$501,$A300,AM$3)))</f>
        <v/>
      </c>
      <c r="AN300" s="124" t="str">
        <f>IF($B300="","",IF(AN$3=0,"n.b.",INDEX(SRC_ZPMW03!$A$1:$ZZ$501,$A300,AN$3)))</f>
        <v/>
      </c>
      <c r="AO300" s="124" t="str">
        <f>IF($B300="","",IF(AO$3=0,"n.b.",INDEX(SRC_ZPMW03!$A$1:$ZZ$501,$A300,AO$3)))</f>
        <v/>
      </c>
      <c r="AP300" s="124" t="str">
        <f>IF($B300="","",IF(AP$3=0,"n.b.",INDEX(SRC_ZPMW03!$A$1:$ZZ$501,$A300,AP$3)))</f>
        <v/>
      </c>
      <c r="AQ300" s="124" t="str">
        <f>IF($B300="","",IF(AQ$3=0,"n.b.",INDEX(SRC_ZPMW03!$A$1:$ZZ$501,$A300,AQ$3)))</f>
        <v/>
      </c>
      <c r="AR300" s="124" t="str">
        <f>IF($B300="","",IF(AR$3=0,"n.b.",INDEX(SRC_ZPMW03!$A$1:$ZZ$501,$A300,AR$3)))</f>
        <v/>
      </c>
      <c r="AS300" s="124" t="str">
        <f>IF($B300="","",IF(AS$3=0,"n.b.",INDEX(SRC_ZPMW03!$A$1:$ZZ$501,$A300,AS$3)))</f>
        <v/>
      </c>
      <c r="AT300" s="124" t="str">
        <f>IF($B300="","",IF(AT$3=0,"n.b.",INDEX(SRC_ZPMW03!$A$1:$ZZ$501,$A300,AT$3)))</f>
        <v/>
      </c>
      <c r="AU300" s="124" t="str">
        <f>IF($B300="","",IF(AU$3=0,"n.b.",INDEX(SRC_ZPMW03!$A$1:$ZZ$501,$A300,AU$3)))</f>
        <v/>
      </c>
      <c r="AV300" s="124" t="str">
        <f>IF($B300="","",IF(AV$3=0,"n.b.",INDEX(SRC_ZPMW03!$A$1:$ZZ$501,$A300,AV$3)))</f>
        <v/>
      </c>
      <c r="AW300" s="124" t="str">
        <f>IF($B300="","",IF(AW$3=0,"n.b.",INDEX(SRC_ZPMW03!$A$1:$ZZ$501,$A300,AW$3)))</f>
        <v/>
      </c>
      <c r="AX300" s="124" t="str">
        <f>IF($B300="","",IF(AX$3=0,"n.b.",INDEX(SRC_ZPMW03!$A$1:$ZZ$501,$A300,AX$3)))</f>
        <v/>
      </c>
      <c r="AY300" s="124" t="str">
        <f>IF($B300="","",IF(AY$3=0,"n.b.",INDEX(SRC_ZPMW03!$A$1:$ZZ$501,$A300,AY$3)))</f>
        <v/>
      </c>
      <c r="AZ300" s="124" t="str">
        <f>IF($B300="","",IF(AZ$3=0,"n.b.",INDEX(SRC_ZPMW03!$A$1:$ZZ$501,$A300,AZ$3)))</f>
        <v/>
      </c>
      <c r="BA300" s="124" t="str">
        <f>IF($B300="","",IF(BA$3=0,"n.b.",INDEX(SRC_ZPMW03!$A$1:$ZZ$501,$A300,BA$3)))</f>
        <v/>
      </c>
      <c r="BB300" s="124" t="str">
        <f>IF($B300="","",IF(BB$3=0,"n.b.",INDEX(SRC_ZPMW03!$A$1:$ZZ$501,$A300,BB$3)))</f>
        <v/>
      </c>
      <c r="BC300" s="124" t="str">
        <f>IF($B300="","",IF(BC$3=0,"n.b.",INDEX(SRC_ZPMW03!$A$1:$ZZ$501,$A300,BC$3)))</f>
        <v/>
      </c>
      <c r="BD300" s="124" t="str">
        <f>IF($B300="","",IF(BD$3=0,"n.b.",INDEX(SRC_ZPMW03!$A$1:$ZZ$501,$A300,BD$3)))</f>
        <v/>
      </c>
      <c r="BE300" s="124" t="str">
        <f>IF($B300="","",IF(BE$3=0,"n.b.",INDEX(SRC_ZPMW03!$A$1:$ZZ$501,$A300,BE$3)))</f>
        <v/>
      </c>
      <c r="BF300" s="124" t="str">
        <f>IF($B300="","",IF(BF$3=0,"n.b.",INDEX(SRC_ZPMW03!$A$1:$ZZ$501,$A300,BF$3)))</f>
        <v/>
      </c>
      <c r="BG300" t="str">
        <f>IF($B300="","",IF(BG$3=0,"n.b.",INDEX(SRC_ZPMW03!$A$1:$ZZ$501,$A300,BG$3)))</f>
        <v/>
      </c>
      <c r="BH300" t="str">
        <f>IF($B300="","",IF(BH$3=0,"n.b.",INDEX(SRC_ZPMW03!$A$1:$ZZ$501,$A300,BH$3)))</f>
        <v/>
      </c>
      <c r="BI300" t="str">
        <f>IF($B300="","",IF(BI$3=0,"n.b.",INDEX(SRC_ZPMW03!$A$1:$ZZ$501,$A300,BI$3)))</f>
        <v/>
      </c>
      <c r="BJ300" t="str">
        <f>IF($B300="","",IF(BJ$3=0,"n.b.",INDEX(SRC_ZPMW03!$A$1:$ZZ$501,$A300,BJ$3)))</f>
        <v/>
      </c>
      <c r="BK300" s="124" t="str">
        <f>IF($B300="","",IFERROR(-O300,"n.b."))</f>
        <v/>
      </c>
      <c r="BL300" s="124" t="str">
        <f>IF($B300="","",IFERROR(-Q300,"n.b."))</f>
        <v/>
      </c>
      <c r="BM300" s="124" t="str">
        <f>IF($B300="","",IFERROR(-AB300,"n.b."))</f>
        <v/>
      </c>
      <c r="BN300" s="124" t="str">
        <f>IF($B300="","",IFERROR(-AD300,"n.b."))</f>
        <v/>
      </c>
      <c r="BO300" s="124" t="str">
        <f>IF($B300="","",IFERROR(BK300+BM300,"n.b."))</f>
        <v/>
      </c>
      <c r="BP300" s="124" t="str">
        <f>IF($B300="","",IFERROR(BL300+BN300,"n.b."))</f>
        <v/>
      </c>
      <c r="BQ300" s="124" t="str">
        <f>IF($B300="","",IFERROR(-AM300,"n.b."))</f>
        <v/>
      </c>
      <c r="BR300" s="124" t="str">
        <f>IF($B300="","",IFERROR(-AO300,"n.b."))</f>
        <v/>
      </c>
      <c r="BS300" s="124" t="str">
        <f>IF($B300="","",IFERROR(-Z300,"n.b."))</f>
        <v/>
      </c>
      <c r="BT300" s="124" t="str">
        <f>IF($B300="","",IFERROR(-AA300,"n.b."))</f>
        <v/>
      </c>
      <c r="BU300" s="124" t="str">
        <f>IF($B300="","",IFERROR(-AE300,"n.b."))</f>
        <v/>
      </c>
      <c r="BV300" s="124" t="str">
        <f>IF($B300="","",IFERROR(-AF300,"n.b."))</f>
        <v/>
      </c>
      <c r="BW300" s="124" t="str">
        <f>IF($B300="","",IFERROR(-AG300,"n.b."))</f>
        <v/>
      </c>
      <c r="BX300" s="124" t="str">
        <f>IF($B300="","",IFERROR(-AH300,"n.b."))</f>
        <v/>
      </c>
      <c r="BY300" s="124" t="str">
        <f>IF($B300="","",IFERROR(-AI300,"n.b."))</f>
        <v/>
      </c>
      <c r="BZ300" s="124" t="str">
        <f>IF($B300="","",IFERROR(-AJ300,"n.b."))</f>
        <v/>
      </c>
      <c r="CA300" s="124" t="str">
        <f>IF($B300="","",IFERROR(-AK300,"n.b."))</f>
        <v/>
      </c>
      <c r="CB300" s="124" t="str">
        <f>IF($B300="","",IFERROR(-AL300,"n.b."))</f>
        <v/>
      </c>
      <c r="CC300" s="124" t="str">
        <f>IF($B300="","",IFERROR(-AP300,"n.b."))</f>
        <v/>
      </c>
      <c r="CD300" s="124" t="str">
        <f>IF($B300="","",IFERROR(-AQ300,"n.b."))</f>
        <v/>
      </c>
      <c r="CE300" s="124" t="str">
        <f>IF($B300="","",IFERROR(-AR300,"n.b."))</f>
        <v/>
      </c>
      <c r="CF300" s="124" t="str">
        <f>IF($B300="","",IFERROR(-AS300,"n.b."))</f>
        <v/>
      </c>
      <c r="CG300" s="124" t="str">
        <f>IF($B300="","",IFERROR(-AT300,"n.b."))</f>
        <v/>
      </c>
      <c r="CH300" s="124" t="str">
        <f>IF($B300="","",IFERROR(-AU300,"n.b."))</f>
        <v/>
      </c>
      <c r="CI300" s="124" t="str">
        <f>IF($B300="","",IFERROR(-AV300,"n.b."))</f>
        <v/>
      </c>
      <c r="CJ300" s="124" t="str">
        <f>IF($B300="","",IFERROR(-AW300,"n.b."))</f>
        <v/>
      </c>
      <c r="CK300" s="124" t="str">
        <f>IF($B300="","",IFERROR(-AX300,"n.b."))</f>
        <v/>
      </c>
      <c r="CL300" s="124" t="str">
        <f>IF($B300="","",IFERROR(-AY300,"n.b."))</f>
        <v/>
      </c>
      <c r="CM300" s="124" t="str">
        <f>IF($B300="","",IFERROR(-AZ300,"n.b."))</f>
        <v/>
      </c>
      <c r="CN300" s="124" t="str">
        <f>IF($B300="","",IFERROR(-BA300,"n.b."))</f>
        <v/>
      </c>
      <c r="CO300" s="124" t="str">
        <f>IF($B300="","",IFERROR(-BB300,"n.b."))</f>
        <v/>
      </c>
      <c r="CP300" s="124" t="str">
        <f>IF($B300="","",IFERROR(-BC300,"n.b."))</f>
        <v/>
      </c>
      <c r="CQ300" s="124" t="str">
        <f>IF($B300="","",IFERROR(-BD300,"n.b."))</f>
        <v/>
      </c>
      <c r="CR300" s="124" t="str">
        <f>IF($B300="","",IFERROR(-BE300,"n.b."))</f>
        <v/>
      </c>
      <c r="CS300" s="124" t="str">
        <f>IF($B300="","",IFERROR(IF(OR(ABS(T300+V300+X300+Z300-AB300)&gt;P_Tol,ABS(U300+W300+Y300+AA300-AD300)&gt;P_Tol,ABS(AE300+AG300+AI300+AK300-AM300)&gt;P_Tol,ABS(AF300+AH300+AJ300+AL300-AO300)&gt;P_Tol),1,0),1))</f>
        <v/>
      </c>
      <c r="CT300" s="124" t="str">
        <f>IF($B300="","",IFERROR(IF(OR(ABS(AB300+AC300-AD300)&gt;P_Tol,ABS(AM300+AN300-AO300)&gt;P_Tol,ABS(O300+P300-Q300)&gt;P_Tol),1,0),1))</f>
        <v/>
      </c>
      <c r="CU300" s="124" t="str">
        <f>IF($B300="","",IFERROR(IF(ABS(R300-(AB300+AM300+AP300+AR300+AT300+AV300+AX300+AZ300+BB300+BD300))&gt;P_Tol,1,0),1))</f>
        <v/>
      </c>
      <c r="CV300" s="124" t="str">
        <f>IF($B300="","",IFERROR(IF(ABS(M300-(N300+O300+R300))&gt;P_Tol,1,0),1))</f>
        <v/>
      </c>
      <c r="CW300" s="124" t="str">
        <f>IF($B300="","",IF(COUNTIF(Mapping!$A$5:$A$104,B300)&gt;0,1,0))</f>
        <v/>
      </c>
      <c r="CX300" s="124" t="str">
        <f>IF($B300="","",COUNTIF($B$6:$B$505,B300))</f>
        <v/>
      </c>
      <c r="CY300" s="124" t="str">
        <f>IF($B300="","",COUNTIF(STG_Woningetalage!$B$6:$B$505,B300))</f>
        <v/>
      </c>
      <c r="CZ300" s="124" t="str">
        <f>IF($B300="","",IF(CW300=0,COUNTIF($CW$6:CW300,0),""))</f>
        <v/>
      </c>
    </row>
    <row r="301">
      <c r="A301" s="15" t="n">
        <v>297</v>
      </c>
      <c r="B301" t="str">
        <f>IF(B$3=0,"",IF(INDEX(SRC_ZPMW03!$A$1:$ZZ$501,$A301,B$3)&amp;""="","",INDEX(SRC_ZPMW03!$A$1:$ZZ$501,$A301,B$3)&amp;""))</f>
        <v/>
      </c>
      <c r="C301" t="str">
        <f>IF($B301="","",IF(C$3=0,"n.b.",INDEX(SRC_ZPMW03!$A$1:$ZZ$501,$A301,C$3)))</f>
        <v/>
      </c>
      <c r="D301" t="str">
        <f>IF($B301="","",IF(D$3=0,"n.b.",INDEX(SRC_ZPMW03!$A$1:$ZZ$501,$A301,D$3)))</f>
        <v/>
      </c>
      <c r="E301" t="str">
        <f>IF($B301="","",IF(E$3=0,"n.b.",INDEX(SRC_ZPMW03!$A$1:$ZZ$501,$A301,E$3)))</f>
        <v/>
      </c>
      <c r="F301" t="str">
        <f>IF($B301="","",IF(F$3=0,"n.b.",INDEX(SRC_ZPMW03!$A$1:$ZZ$501,$A301,F$3)))</f>
        <v/>
      </c>
      <c r="G301" t="str">
        <f>IF($B301="","",IF(G$3=0,"n.b.",INDEX(SRC_ZPMW03!$A$1:$ZZ$501,$A301,G$3)))</f>
        <v/>
      </c>
      <c r="H301" t="str">
        <f>IF($B301="","",IF(H$3=0,"n.b.",INDEX(SRC_ZPMW03!$A$1:$ZZ$501,$A301,H$3)))</f>
        <v/>
      </c>
      <c r="I301" t="str">
        <f>IF($B301="","",IF(I$3=0,"n.b.",INDEX(SRC_ZPMW03!$A$1:$ZZ$501,$A301,I$3)))</f>
        <v/>
      </c>
      <c r="J301" t="str">
        <f>IF($B301="","",IF(J$3=0,"n.b.",INDEX(SRC_ZPMW03!$A$1:$ZZ$501,$A301,J$3)))</f>
        <v/>
      </c>
      <c r="K301" t="str">
        <f>IF($B301="","",IF(K$3=0,"n.b.",INDEX(SRC_ZPMW03!$A$1:$ZZ$501,$A301,K$3)))</f>
        <v/>
      </c>
      <c r="L301" s="124" t="str">
        <f>IF($B301="","",IF(L$3=0,"n.b.",INDEX(SRC_ZPMW03!$A$1:$ZZ$501,$A301,L$3)))</f>
        <v/>
      </c>
      <c r="M301" s="124" t="str">
        <f>IF($B301="","",IF(M$3=0,"n.b.",INDEX(SRC_ZPMW03!$A$1:$ZZ$501,$A301,M$3)))</f>
        <v/>
      </c>
      <c r="N301" s="124" t="str">
        <f>IF($B301="","",IF(N$3=0,"n.b.",INDEX(SRC_ZPMW03!$A$1:$ZZ$501,$A301,N$3)))</f>
        <v/>
      </c>
      <c r="O301" s="124" t="str">
        <f>IF($B301="","",IF(O$3=0,"n.b.",INDEX(SRC_ZPMW03!$A$1:$ZZ$501,$A301,O$3)))</f>
        <v/>
      </c>
      <c r="P301" s="124" t="str">
        <f>IF($B301="","",IF(P$3=0,"n.b.",INDEX(SRC_ZPMW03!$A$1:$ZZ$501,$A301,P$3)))</f>
        <v/>
      </c>
      <c r="Q301" s="124" t="str">
        <f>IF($B301="","",IF(Q$3=0,"n.b.",INDEX(SRC_ZPMW03!$A$1:$ZZ$501,$A301,Q$3)))</f>
        <v/>
      </c>
      <c r="R301" s="124" t="str">
        <f>IF($B301="","",IF(R$3=0,"n.b.",INDEX(SRC_ZPMW03!$A$1:$ZZ$501,$A301,R$3)))</f>
        <v/>
      </c>
      <c r="S301" s="124" t="str">
        <f>IF($B301="","",IF(S$3=0,"n.b.",INDEX(SRC_ZPMW03!$A$1:$ZZ$501,$A301,S$3)))</f>
        <v/>
      </c>
      <c r="T301" s="124" t="str">
        <f>IF($B301="","",IF(T$3=0,"n.b.",INDEX(SRC_ZPMW03!$A$1:$ZZ$501,$A301,T$3)))</f>
        <v/>
      </c>
      <c r="U301" s="124" t="str">
        <f>IF($B301="","",IF(U$3=0,"n.b.",INDEX(SRC_ZPMW03!$A$1:$ZZ$501,$A301,U$3)))</f>
        <v/>
      </c>
      <c r="V301" s="124" t="str">
        <f>IF($B301="","",IF(V$3=0,"n.b.",INDEX(SRC_ZPMW03!$A$1:$ZZ$501,$A301,V$3)))</f>
        <v/>
      </c>
      <c r="W301" s="124" t="str">
        <f>IF($B301="","",IF(W$3=0,"n.b.",INDEX(SRC_ZPMW03!$A$1:$ZZ$501,$A301,W$3)))</f>
        <v/>
      </c>
      <c r="X301" s="124" t="str">
        <f>IF($B301="","",IF(X$3=0,"n.b.",INDEX(SRC_ZPMW03!$A$1:$ZZ$501,$A301,X$3)))</f>
        <v/>
      </c>
      <c r="Y301" s="124" t="str">
        <f>IF($B301="","",IF(Y$3=0,"n.b.",INDEX(SRC_ZPMW03!$A$1:$ZZ$501,$A301,Y$3)))</f>
        <v/>
      </c>
      <c r="Z301" s="124" t="str">
        <f>IF($B301="","",IF(Z$3=0,"n.b.",INDEX(SRC_ZPMW03!$A$1:$ZZ$501,$A301,Z$3)))</f>
        <v/>
      </c>
      <c r="AA301" s="124" t="str">
        <f>IF($B301="","",IF(AA$3=0,"n.b.",INDEX(SRC_ZPMW03!$A$1:$ZZ$501,$A301,AA$3)))</f>
        <v/>
      </c>
      <c r="AB301" s="124" t="str">
        <f>IF($B301="","",IF(AB$3=0,"n.b.",INDEX(SRC_ZPMW03!$A$1:$ZZ$501,$A301,AB$3)))</f>
        <v/>
      </c>
      <c r="AC301" s="124" t="str">
        <f>IF($B301="","",IF(AC$3=0,"n.b.",INDEX(SRC_ZPMW03!$A$1:$ZZ$501,$A301,AC$3)))</f>
        <v/>
      </c>
      <c r="AD301" s="124" t="str">
        <f>IF($B301="","",IF(AD$3=0,"n.b.",INDEX(SRC_ZPMW03!$A$1:$ZZ$501,$A301,AD$3)))</f>
        <v/>
      </c>
      <c r="AE301" s="124" t="str">
        <f>IF($B301="","",IF(AE$3=0,"n.b.",INDEX(SRC_ZPMW03!$A$1:$ZZ$501,$A301,AE$3)))</f>
        <v/>
      </c>
      <c r="AF301" s="124" t="str">
        <f>IF($B301="","",IF(AF$3=0,"n.b.",INDEX(SRC_ZPMW03!$A$1:$ZZ$501,$A301,AF$3)))</f>
        <v/>
      </c>
      <c r="AG301" s="124" t="str">
        <f>IF($B301="","",IF(AG$3=0,"n.b.",INDEX(SRC_ZPMW03!$A$1:$ZZ$501,$A301,AG$3)))</f>
        <v/>
      </c>
      <c r="AH301" s="124" t="str">
        <f>IF($B301="","",IF(AH$3=0,"n.b.",INDEX(SRC_ZPMW03!$A$1:$ZZ$501,$A301,AH$3)))</f>
        <v/>
      </c>
      <c r="AI301" s="124" t="str">
        <f>IF($B301="","",IF(AI$3=0,"n.b.",INDEX(SRC_ZPMW03!$A$1:$ZZ$501,$A301,AI$3)))</f>
        <v/>
      </c>
      <c r="AJ301" s="124" t="str">
        <f>IF($B301="","",IF(AJ$3=0,"n.b.",INDEX(SRC_ZPMW03!$A$1:$ZZ$501,$A301,AJ$3)))</f>
        <v/>
      </c>
      <c r="AK301" s="124" t="str">
        <f>IF($B301="","",IF(AK$3=0,"n.b.",INDEX(SRC_ZPMW03!$A$1:$ZZ$501,$A301,AK$3)))</f>
        <v/>
      </c>
      <c r="AL301" s="124" t="str">
        <f>IF($B301="","",IF(AL$3=0,"n.b.",INDEX(SRC_ZPMW03!$A$1:$ZZ$501,$A301,AL$3)))</f>
        <v/>
      </c>
      <c r="AM301" s="124" t="str">
        <f>IF($B301="","",IF(AM$3=0,"n.b.",INDEX(SRC_ZPMW03!$A$1:$ZZ$501,$A301,AM$3)))</f>
        <v/>
      </c>
      <c r="AN301" s="124" t="str">
        <f>IF($B301="","",IF(AN$3=0,"n.b.",INDEX(SRC_ZPMW03!$A$1:$ZZ$501,$A301,AN$3)))</f>
        <v/>
      </c>
      <c r="AO301" s="124" t="str">
        <f>IF($B301="","",IF(AO$3=0,"n.b.",INDEX(SRC_ZPMW03!$A$1:$ZZ$501,$A301,AO$3)))</f>
        <v/>
      </c>
      <c r="AP301" s="124" t="str">
        <f>IF($B301="","",IF(AP$3=0,"n.b.",INDEX(SRC_ZPMW03!$A$1:$ZZ$501,$A301,AP$3)))</f>
        <v/>
      </c>
      <c r="AQ301" s="124" t="str">
        <f>IF($B301="","",IF(AQ$3=0,"n.b.",INDEX(SRC_ZPMW03!$A$1:$ZZ$501,$A301,AQ$3)))</f>
        <v/>
      </c>
      <c r="AR301" s="124" t="str">
        <f>IF($B301="","",IF(AR$3=0,"n.b.",INDEX(SRC_ZPMW03!$A$1:$ZZ$501,$A301,AR$3)))</f>
        <v/>
      </c>
      <c r="AS301" s="124" t="str">
        <f>IF($B301="","",IF(AS$3=0,"n.b.",INDEX(SRC_ZPMW03!$A$1:$ZZ$501,$A301,AS$3)))</f>
        <v/>
      </c>
      <c r="AT301" s="124" t="str">
        <f>IF($B301="","",IF(AT$3=0,"n.b.",INDEX(SRC_ZPMW03!$A$1:$ZZ$501,$A301,AT$3)))</f>
        <v/>
      </c>
      <c r="AU301" s="124" t="str">
        <f>IF($B301="","",IF(AU$3=0,"n.b.",INDEX(SRC_ZPMW03!$A$1:$ZZ$501,$A301,AU$3)))</f>
        <v/>
      </c>
      <c r="AV301" s="124" t="str">
        <f>IF($B301="","",IF(AV$3=0,"n.b.",INDEX(SRC_ZPMW03!$A$1:$ZZ$501,$A301,AV$3)))</f>
        <v/>
      </c>
      <c r="AW301" s="124" t="str">
        <f>IF($B301="","",IF(AW$3=0,"n.b.",INDEX(SRC_ZPMW03!$A$1:$ZZ$501,$A301,AW$3)))</f>
        <v/>
      </c>
      <c r="AX301" s="124" t="str">
        <f>IF($B301="","",IF(AX$3=0,"n.b.",INDEX(SRC_ZPMW03!$A$1:$ZZ$501,$A301,AX$3)))</f>
        <v/>
      </c>
      <c r="AY301" s="124" t="str">
        <f>IF($B301="","",IF(AY$3=0,"n.b.",INDEX(SRC_ZPMW03!$A$1:$ZZ$501,$A301,AY$3)))</f>
        <v/>
      </c>
      <c r="AZ301" s="124" t="str">
        <f>IF($B301="","",IF(AZ$3=0,"n.b.",INDEX(SRC_ZPMW03!$A$1:$ZZ$501,$A301,AZ$3)))</f>
        <v/>
      </c>
      <c r="BA301" s="124" t="str">
        <f>IF($B301="","",IF(BA$3=0,"n.b.",INDEX(SRC_ZPMW03!$A$1:$ZZ$501,$A301,BA$3)))</f>
        <v/>
      </c>
      <c r="BB301" s="124" t="str">
        <f>IF($B301="","",IF(BB$3=0,"n.b.",INDEX(SRC_ZPMW03!$A$1:$ZZ$501,$A301,BB$3)))</f>
        <v/>
      </c>
      <c r="BC301" s="124" t="str">
        <f>IF($B301="","",IF(BC$3=0,"n.b.",INDEX(SRC_ZPMW03!$A$1:$ZZ$501,$A301,BC$3)))</f>
        <v/>
      </c>
      <c r="BD301" s="124" t="str">
        <f>IF($B301="","",IF(BD$3=0,"n.b.",INDEX(SRC_ZPMW03!$A$1:$ZZ$501,$A301,BD$3)))</f>
        <v/>
      </c>
      <c r="BE301" s="124" t="str">
        <f>IF($B301="","",IF(BE$3=0,"n.b.",INDEX(SRC_ZPMW03!$A$1:$ZZ$501,$A301,BE$3)))</f>
        <v/>
      </c>
      <c r="BF301" s="124" t="str">
        <f>IF($B301="","",IF(BF$3=0,"n.b.",INDEX(SRC_ZPMW03!$A$1:$ZZ$501,$A301,BF$3)))</f>
        <v/>
      </c>
      <c r="BG301" t="str">
        <f>IF($B301="","",IF(BG$3=0,"n.b.",INDEX(SRC_ZPMW03!$A$1:$ZZ$501,$A301,BG$3)))</f>
        <v/>
      </c>
      <c r="BH301" t="str">
        <f>IF($B301="","",IF(BH$3=0,"n.b.",INDEX(SRC_ZPMW03!$A$1:$ZZ$501,$A301,BH$3)))</f>
        <v/>
      </c>
      <c r="BI301" t="str">
        <f>IF($B301="","",IF(BI$3=0,"n.b.",INDEX(SRC_ZPMW03!$A$1:$ZZ$501,$A301,BI$3)))</f>
        <v/>
      </c>
      <c r="BJ301" t="str">
        <f>IF($B301="","",IF(BJ$3=0,"n.b.",INDEX(SRC_ZPMW03!$A$1:$ZZ$501,$A301,BJ$3)))</f>
        <v/>
      </c>
      <c r="BK301" s="124" t="str">
        <f>IF($B301="","",IFERROR(-O301,"n.b."))</f>
        <v/>
      </c>
      <c r="BL301" s="124" t="str">
        <f>IF($B301="","",IFERROR(-Q301,"n.b."))</f>
        <v/>
      </c>
      <c r="BM301" s="124" t="str">
        <f>IF($B301="","",IFERROR(-AB301,"n.b."))</f>
        <v/>
      </c>
      <c r="BN301" s="124" t="str">
        <f>IF($B301="","",IFERROR(-AD301,"n.b."))</f>
        <v/>
      </c>
      <c r="BO301" s="124" t="str">
        <f>IF($B301="","",IFERROR(BK301+BM301,"n.b."))</f>
        <v/>
      </c>
      <c r="BP301" s="124" t="str">
        <f>IF($B301="","",IFERROR(BL301+BN301,"n.b."))</f>
        <v/>
      </c>
      <c r="BQ301" s="124" t="str">
        <f>IF($B301="","",IFERROR(-AM301,"n.b."))</f>
        <v/>
      </c>
      <c r="BR301" s="124" t="str">
        <f>IF($B301="","",IFERROR(-AO301,"n.b."))</f>
        <v/>
      </c>
      <c r="BS301" s="124" t="str">
        <f>IF($B301="","",IFERROR(-Z301,"n.b."))</f>
        <v/>
      </c>
      <c r="BT301" s="124" t="str">
        <f>IF($B301="","",IFERROR(-AA301,"n.b."))</f>
        <v/>
      </c>
      <c r="BU301" s="124" t="str">
        <f>IF($B301="","",IFERROR(-AE301,"n.b."))</f>
        <v/>
      </c>
      <c r="BV301" s="124" t="str">
        <f>IF($B301="","",IFERROR(-AF301,"n.b."))</f>
        <v/>
      </c>
      <c r="BW301" s="124" t="str">
        <f>IF($B301="","",IFERROR(-AG301,"n.b."))</f>
        <v/>
      </c>
      <c r="BX301" s="124" t="str">
        <f>IF($B301="","",IFERROR(-AH301,"n.b."))</f>
        <v/>
      </c>
      <c r="BY301" s="124" t="str">
        <f>IF($B301="","",IFERROR(-AI301,"n.b."))</f>
        <v/>
      </c>
      <c r="BZ301" s="124" t="str">
        <f>IF($B301="","",IFERROR(-AJ301,"n.b."))</f>
        <v/>
      </c>
      <c r="CA301" s="124" t="str">
        <f>IF($B301="","",IFERROR(-AK301,"n.b."))</f>
        <v/>
      </c>
      <c r="CB301" s="124" t="str">
        <f>IF($B301="","",IFERROR(-AL301,"n.b."))</f>
        <v/>
      </c>
      <c r="CC301" s="124" t="str">
        <f>IF($B301="","",IFERROR(-AP301,"n.b."))</f>
        <v/>
      </c>
      <c r="CD301" s="124" t="str">
        <f>IF($B301="","",IFERROR(-AQ301,"n.b."))</f>
        <v/>
      </c>
      <c r="CE301" s="124" t="str">
        <f>IF($B301="","",IFERROR(-AR301,"n.b."))</f>
        <v/>
      </c>
      <c r="CF301" s="124" t="str">
        <f>IF($B301="","",IFERROR(-AS301,"n.b."))</f>
        <v/>
      </c>
      <c r="CG301" s="124" t="str">
        <f>IF($B301="","",IFERROR(-AT301,"n.b."))</f>
        <v/>
      </c>
      <c r="CH301" s="124" t="str">
        <f>IF($B301="","",IFERROR(-AU301,"n.b."))</f>
        <v/>
      </c>
      <c r="CI301" s="124" t="str">
        <f>IF($B301="","",IFERROR(-AV301,"n.b."))</f>
        <v/>
      </c>
      <c r="CJ301" s="124" t="str">
        <f>IF($B301="","",IFERROR(-AW301,"n.b."))</f>
        <v/>
      </c>
      <c r="CK301" s="124" t="str">
        <f>IF($B301="","",IFERROR(-AX301,"n.b."))</f>
        <v/>
      </c>
      <c r="CL301" s="124" t="str">
        <f>IF($B301="","",IFERROR(-AY301,"n.b."))</f>
        <v/>
      </c>
      <c r="CM301" s="124" t="str">
        <f>IF($B301="","",IFERROR(-AZ301,"n.b."))</f>
        <v/>
      </c>
      <c r="CN301" s="124" t="str">
        <f>IF($B301="","",IFERROR(-BA301,"n.b."))</f>
        <v/>
      </c>
      <c r="CO301" s="124" t="str">
        <f>IF($B301="","",IFERROR(-BB301,"n.b."))</f>
        <v/>
      </c>
      <c r="CP301" s="124" t="str">
        <f>IF($B301="","",IFERROR(-BC301,"n.b."))</f>
        <v/>
      </c>
      <c r="CQ301" s="124" t="str">
        <f>IF($B301="","",IFERROR(-BD301,"n.b."))</f>
        <v/>
      </c>
      <c r="CR301" s="124" t="str">
        <f>IF($B301="","",IFERROR(-BE301,"n.b."))</f>
        <v/>
      </c>
      <c r="CS301" s="124" t="str">
        <f>IF($B301="","",IFERROR(IF(OR(ABS(T301+V301+X301+Z301-AB301)&gt;P_Tol,ABS(U301+W301+Y301+AA301-AD301)&gt;P_Tol,ABS(AE301+AG301+AI301+AK301-AM301)&gt;P_Tol,ABS(AF301+AH301+AJ301+AL301-AO301)&gt;P_Tol),1,0),1))</f>
        <v/>
      </c>
      <c r="CT301" s="124" t="str">
        <f>IF($B301="","",IFERROR(IF(OR(ABS(AB301+AC301-AD301)&gt;P_Tol,ABS(AM301+AN301-AO301)&gt;P_Tol,ABS(O301+P301-Q301)&gt;P_Tol),1,0),1))</f>
        <v/>
      </c>
      <c r="CU301" s="124" t="str">
        <f>IF($B301="","",IFERROR(IF(ABS(R301-(AB301+AM301+AP301+AR301+AT301+AV301+AX301+AZ301+BB301+BD301))&gt;P_Tol,1,0),1))</f>
        <v/>
      </c>
      <c r="CV301" s="124" t="str">
        <f>IF($B301="","",IFERROR(IF(ABS(M301-(N301+O301+R301))&gt;P_Tol,1,0),1))</f>
        <v/>
      </c>
      <c r="CW301" s="124" t="str">
        <f>IF($B301="","",IF(COUNTIF(Mapping!$A$5:$A$104,B301)&gt;0,1,0))</f>
        <v/>
      </c>
      <c r="CX301" s="124" t="str">
        <f>IF($B301="","",COUNTIF($B$6:$B$505,B301))</f>
        <v/>
      </c>
      <c r="CY301" s="124" t="str">
        <f>IF($B301="","",COUNTIF(STG_Woningetalage!$B$6:$B$505,B301))</f>
        <v/>
      </c>
      <c r="CZ301" s="124" t="str">
        <f>IF($B301="","",IF(CW301=0,COUNTIF($CW$6:CW301,0),""))</f>
        <v/>
      </c>
    </row>
    <row r="302">
      <c r="A302" s="15" t="n">
        <v>298</v>
      </c>
      <c r="B302" t="str">
        <f>IF(B$3=0,"",IF(INDEX(SRC_ZPMW03!$A$1:$ZZ$501,$A302,B$3)&amp;""="","",INDEX(SRC_ZPMW03!$A$1:$ZZ$501,$A302,B$3)&amp;""))</f>
        <v/>
      </c>
      <c r="C302" t="str">
        <f>IF($B302="","",IF(C$3=0,"n.b.",INDEX(SRC_ZPMW03!$A$1:$ZZ$501,$A302,C$3)))</f>
        <v/>
      </c>
      <c r="D302" t="str">
        <f>IF($B302="","",IF(D$3=0,"n.b.",INDEX(SRC_ZPMW03!$A$1:$ZZ$501,$A302,D$3)))</f>
        <v/>
      </c>
      <c r="E302" t="str">
        <f>IF($B302="","",IF(E$3=0,"n.b.",INDEX(SRC_ZPMW03!$A$1:$ZZ$501,$A302,E$3)))</f>
        <v/>
      </c>
      <c r="F302" t="str">
        <f>IF($B302="","",IF(F$3=0,"n.b.",INDEX(SRC_ZPMW03!$A$1:$ZZ$501,$A302,F$3)))</f>
        <v/>
      </c>
      <c r="G302" t="str">
        <f>IF($B302="","",IF(G$3=0,"n.b.",INDEX(SRC_ZPMW03!$A$1:$ZZ$501,$A302,G$3)))</f>
        <v/>
      </c>
      <c r="H302" t="str">
        <f>IF($B302="","",IF(H$3=0,"n.b.",INDEX(SRC_ZPMW03!$A$1:$ZZ$501,$A302,H$3)))</f>
        <v/>
      </c>
      <c r="I302" t="str">
        <f>IF($B302="","",IF(I$3=0,"n.b.",INDEX(SRC_ZPMW03!$A$1:$ZZ$501,$A302,I$3)))</f>
        <v/>
      </c>
      <c r="J302" t="str">
        <f>IF($B302="","",IF(J$3=0,"n.b.",INDEX(SRC_ZPMW03!$A$1:$ZZ$501,$A302,J$3)))</f>
        <v/>
      </c>
      <c r="K302" t="str">
        <f>IF($B302="","",IF(K$3=0,"n.b.",INDEX(SRC_ZPMW03!$A$1:$ZZ$501,$A302,K$3)))</f>
        <v/>
      </c>
      <c r="L302" s="124" t="str">
        <f>IF($B302="","",IF(L$3=0,"n.b.",INDEX(SRC_ZPMW03!$A$1:$ZZ$501,$A302,L$3)))</f>
        <v/>
      </c>
      <c r="M302" s="124" t="str">
        <f>IF($B302="","",IF(M$3=0,"n.b.",INDEX(SRC_ZPMW03!$A$1:$ZZ$501,$A302,M$3)))</f>
        <v/>
      </c>
      <c r="N302" s="124" t="str">
        <f>IF($B302="","",IF(N$3=0,"n.b.",INDEX(SRC_ZPMW03!$A$1:$ZZ$501,$A302,N$3)))</f>
        <v/>
      </c>
      <c r="O302" s="124" t="str">
        <f>IF($B302="","",IF(O$3=0,"n.b.",INDEX(SRC_ZPMW03!$A$1:$ZZ$501,$A302,O$3)))</f>
        <v/>
      </c>
      <c r="P302" s="124" t="str">
        <f>IF($B302="","",IF(P$3=0,"n.b.",INDEX(SRC_ZPMW03!$A$1:$ZZ$501,$A302,P$3)))</f>
        <v/>
      </c>
      <c r="Q302" s="124" t="str">
        <f>IF($B302="","",IF(Q$3=0,"n.b.",INDEX(SRC_ZPMW03!$A$1:$ZZ$501,$A302,Q$3)))</f>
        <v/>
      </c>
      <c r="R302" s="124" t="str">
        <f>IF($B302="","",IF(R$3=0,"n.b.",INDEX(SRC_ZPMW03!$A$1:$ZZ$501,$A302,R$3)))</f>
        <v/>
      </c>
      <c r="S302" s="124" t="str">
        <f>IF($B302="","",IF(S$3=0,"n.b.",INDEX(SRC_ZPMW03!$A$1:$ZZ$501,$A302,S$3)))</f>
        <v/>
      </c>
      <c r="T302" s="124" t="str">
        <f>IF($B302="","",IF(T$3=0,"n.b.",INDEX(SRC_ZPMW03!$A$1:$ZZ$501,$A302,T$3)))</f>
        <v/>
      </c>
      <c r="U302" s="124" t="str">
        <f>IF($B302="","",IF(U$3=0,"n.b.",INDEX(SRC_ZPMW03!$A$1:$ZZ$501,$A302,U$3)))</f>
        <v/>
      </c>
      <c r="V302" s="124" t="str">
        <f>IF($B302="","",IF(V$3=0,"n.b.",INDEX(SRC_ZPMW03!$A$1:$ZZ$501,$A302,V$3)))</f>
        <v/>
      </c>
      <c r="W302" s="124" t="str">
        <f>IF($B302="","",IF(W$3=0,"n.b.",INDEX(SRC_ZPMW03!$A$1:$ZZ$501,$A302,W$3)))</f>
        <v/>
      </c>
      <c r="X302" s="124" t="str">
        <f>IF($B302="","",IF(X$3=0,"n.b.",INDEX(SRC_ZPMW03!$A$1:$ZZ$501,$A302,X$3)))</f>
        <v/>
      </c>
      <c r="Y302" s="124" t="str">
        <f>IF($B302="","",IF(Y$3=0,"n.b.",INDEX(SRC_ZPMW03!$A$1:$ZZ$501,$A302,Y$3)))</f>
        <v/>
      </c>
      <c r="Z302" s="124" t="str">
        <f>IF($B302="","",IF(Z$3=0,"n.b.",INDEX(SRC_ZPMW03!$A$1:$ZZ$501,$A302,Z$3)))</f>
        <v/>
      </c>
      <c r="AA302" s="124" t="str">
        <f>IF($B302="","",IF(AA$3=0,"n.b.",INDEX(SRC_ZPMW03!$A$1:$ZZ$501,$A302,AA$3)))</f>
        <v/>
      </c>
      <c r="AB302" s="124" t="str">
        <f>IF($B302="","",IF(AB$3=0,"n.b.",INDEX(SRC_ZPMW03!$A$1:$ZZ$501,$A302,AB$3)))</f>
        <v/>
      </c>
      <c r="AC302" s="124" t="str">
        <f>IF($B302="","",IF(AC$3=0,"n.b.",INDEX(SRC_ZPMW03!$A$1:$ZZ$501,$A302,AC$3)))</f>
        <v/>
      </c>
      <c r="AD302" s="124" t="str">
        <f>IF($B302="","",IF(AD$3=0,"n.b.",INDEX(SRC_ZPMW03!$A$1:$ZZ$501,$A302,AD$3)))</f>
        <v/>
      </c>
      <c r="AE302" s="124" t="str">
        <f>IF($B302="","",IF(AE$3=0,"n.b.",INDEX(SRC_ZPMW03!$A$1:$ZZ$501,$A302,AE$3)))</f>
        <v/>
      </c>
      <c r="AF302" s="124" t="str">
        <f>IF($B302="","",IF(AF$3=0,"n.b.",INDEX(SRC_ZPMW03!$A$1:$ZZ$501,$A302,AF$3)))</f>
        <v/>
      </c>
      <c r="AG302" s="124" t="str">
        <f>IF($B302="","",IF(AG$3=0,"n.b.",INDEX(SRC_ZPMW03!$A$1:$ZZ$501,$A302,AG$3)))</f>
        <v/>
      </c>
      <c r="AH302" s="124" t="str">
        <f>IF($B302="","",IF(AH$3=0,"n.b.",INDEX(SRC_ZPMW03!$A$1:$ZZ$501,$A302,AH$3)))</f>
        <v/>
      </c>
      <c r="AI302" s="124" t="str">
        <f>IF($B302="","",IF(AI$3=0,"n.b.",INDEX(SRC_ZPMW03!$A$1:$ZZ$501,$A302,AI$3)))</f>
        <v/>
      </c>
      <c r="AJ302" s="124" t="str">
        <f>IF($B302="","",IF(AJ$3=0,"n.b.",INDEX(SRC_ZPMW03!$A$1:$ZZ$501,$A302,AJ$3)))</f>
        <v/>
      </c>
      <c r="AK302" s="124" t="str">
        <f>IF($B302="","",IF(AK$3=0,"n.b.",INDEX(SRC_ZPMW03!$A$1:$ZZ$501,$A302,AK$3)))</f>
        <v/>
      </c>
      <c r="AL302" s="124" t="str">
        <f>IF($B302="","",IF(AL$3=0,"n.b.",INDEX(SRC_ZPMW03!$A$1:$ZZ$501,$A302,AL$3)))</f>
        <v/>
      </c>
      <c r="AM302" s="124" t="str">
        <f>IF($B302="","",IF(AM$3=0,"n.b.",INDEX(SRC_ZPMW03!$A$1:$ZZ$501,$A302,AM$3)))</f>
        <v/>
      </c>
      <c r="AN302" s="124" t="str">
        <f>IF($B302="","",IF(AN$3=0,"n.b.",INDEX(SRC_ZPMW03!$A$1:$ZZ$501,$A302,AN$3)))</f>
        <v/>
      </c>
      <c r="AO302" s="124" t="str">
        <f>IF($B302="","",IF(AO$3=0,"n.b.",INDEX(SRC_ZPMW03!$A$1:$ZZ$501,$A302,AO$3)))</f>
        <v/>
      </c>
      <c r="AP302" s="124" t="str">
        <f>IF($B302="","",IF(AP$3=0,"n.b.",INDEX(SRC_ZPMW03!$A$1:$ZZ$501,$A302,AP$3)))</f>
        <v/>
      </c>
      <c r="AQ302" s="124" t="str">
        <f>IF($B302="","",IF(AQ$3=0,"n.b.",INDEX(SRC_ZPMW03!$A$1:$ZZ$501,$A302,AQ$3)))</f>
        <v/>
      </c>
      <c r="AR302" s="124" t="str">
        <f>IF($B302="","",IF(AR$3=0,"n.b.",INDEX(SRC_ZPMW03!$A$1:$ZZ$501,$A302,AR$3)))</f>
        <v/>
      </c>
      <c r="AS302" s="124" t="str">
        <f>IF($B302="","",IF(AS$3=0,"n.b.",INDEX(SRC_ZPMW03!$A$1:$ZZ$501,$A302,AS$3)))</f>
        <v/>
      </c>
      <c r="AT302" s="124" t="str">
        <f>IF($B302="","",IF(AT$3=0,"n.b.",INDEX(SRC_ZPMW03!$A$1:$ZZ$501,$A302,AT$3)))</f>
        <v/>
      </c>
      <c r="AU302" s="124" t="str">
        <f>IF($B302="","",IF(AU$3=0,"n.b.",INDEX(SRC_ZPMW03!$A$1:$ZZ$501,$A302,AU$3)))</f>
        <v/>
      </c>
      <c r="AV302" s="124" t="str">
        <f>IF($B302="","",IF(AV$3=0,"n.b.",INDEX(SRC_ZPMW03!$A$1:$ZZ$501,$A302,AV$3)))</f>
        <v/>
      </c>
      <c r="AW302" s="124" t="str">
        <f>IF($B302="","",IF(AW$3=0,"n.b.",INDEX(SRC_ZPMW03!$A$1:$ZZ$501,$A302,AW$3)))</f>
        <v/>
      </c>
      <c r="AX302" s="124" t="str">
        <f>IF($B302="","",IF(AX$3=0,"n.b.",INDEX(SRC_ZPMW03!$A$1:$ZZ$501,$A302,AX$3)))</f>
        <v/>
      </c>
      <c r="AY302" s="124" t="str">
        <f>IF($B302="","",IF(AY$3=0,"n.b.",INDEX(SRC_ZPMW03!$A$1:$ZZ$501,$A302,AY$3)))</f>
        <v/>
      </c>
      <c r="AZ302" s="124" t="str">
        <f>IF($B302="","",IF(AZ$3=0,"n.b.",INDEX(SRC_ZPMW03!$A$1:$ZZ$501,$A302,AZ$3)))</f>
        <v/>
      </c>
      <c r="BA302" s="124" t="str">
        <f>IF($B302="","",IF(BA$3=0,"n.b.",INDEX(SRC_ZPMW03!$A$1:$ZZ$501,$A302,BA$3)))</f>
        <v/>
      </c>
      <c r="BB302" s="124" t="str">
        <f>IF($B302="","",IF(BB$3=0,"n.b.",INDEX(SRC_ZPMW03!$A$1:$ZZ$501,$A302,BB$3)))</f>
        <v/>
      </c>
      <c r="BC302" s="124" t="str">
        <f>IF($B302="","",IF(BC$3=0,"n.b.",INDEX(SRC_ZPMW03!$A$1:$ZZ$501,$A302,BC$3)))</f>
        <v/>
      </c>
      <c r="BD302" s="124" t="str">
        <f>IF($B302="","",IF(BD$3=0,"n.b.",INDEX(SRC_ZPMW03!$A$1:$ZZ$501,$A302,BD$3)))</f>
        <v/>
      </c>
      <c r="BE302" s="124" t="str">
        <f>IF($B302="","",IF(BE$3=0,"n.b.",INDEX(SRC_ZPMW03!$A$1:$ZZ$501,$A302,BE$3)))</f>
        <v/>
      </c>
      <c r="BF302" s="124" t="str">
        <f>IF($B302="","",IF(BF$3=0,"n.b.",INDEX(SRC_ZPMW03!$A$1:$ZZ$501,$A302,BF$3)))</f>
        <v/>
      </c>
      <c r="BG302" t="str">
        <f>IF($B302="","",IF(BG$3=0,"n.b.",INDEX(SRC_ZPMW03!$A$1:$ZZ$501,$A302,BG$3)))</f>
        <v/>
      </c>
      <c r="BH302" t="str">
        <f>IF($B302="","",IF(BH$3=0,"n.b.",INDEX(SRC_ZPMW03!$A$1:$ZZ$501,$A302,BH$3)))</f>
        <v/>
      </c>
      <c r="BI302" t="str">
        <f>IF($B302="","",IF(BI$3=0,"n.b.",INDEX(SRC_ZPMW03!$A$1:$ZZ$501,$A302,BI$3)))</f>
        <v/>
      </c>
      <c r="BJ302" t="str">
        <f>IF($B302="","",IF(BJ$3=0,"n.b.",INDEX(SRC_ZPMW03!$A$1:$ZZ$501,$A302,BJ$3)))</f>
        <v/>
      </c>
      <c r="BK302" s="124" t="str">
        <f>IF($B302="","",IFERROR(-O302,"n.b."))</f>
        <v/>
      </c>
      <c r="BL302" s="124" t="str">
        <f>IF($B302="","",IFERROR(-Q302,"n.b."))</f>
        <v/>
      </c>
      <c r="BM302" s="124" t="str">
        <f>IF($B302="","",IFERROR(-AB302,"n.b."))</f>
        <v/>
      </c>
      <c r="BN302" s="124" t="str">
        <f>IF($B302="","",IFERROR(-AD302,"n.b."))</f>
        <v/>
      </c>
      <c r="BO302" s="124" t="str">
        <f>IF($B302="","",IFERROR(BK302+BM302,"n.b."))</f>
        <v/>
      </c>
      <c r="BP302" s="124" t="str">
        <f>IF($B302="","",IFERROR(BL302+BN302,"n.b."))</f>
        <v/>
      </c>
      <c r="BQ302" s="124" t="str">
        <f>IF($B302="","",IFERROR(-AM302,"n.b."))</f>
        <v/>
      </c>
      <c r="BR302" s="124" t="str">
        <f>IF($B302="","",IFERROR(-AO302,"n.b."))</f>
        <v/>
      </c>
      <c r="BS302" s="124" t="str">
        <f>IF($B302="","",IFERROR(-Z302,"n.b."))</f>
        <v/>
      </c>
      <c r="BT302" s="124" t="str">
        <f>IF($B302="","",IFERROR(-AA302,"n.b."))</f>
        <v/>
      </c>
      <c r="BU302" s="124" t="str">
        <f>IF($B302="","",IFERROR(-AE302,"n.b."))</f>
        <v/>
      </c>
      <c r="BV302" s="124" t="str">
        <f>IF($B302="","",IFERROR(-AF302,"n.b."))</f>
        <v/>
      </c>
      <c r="BW302" s="124" t="str">
        <f>IF($B302="","",IFERROR(-AG302,"n.b."))</f>
        <v/>
      </c>
      <c r="BX302" s="124" t="str">
        <f>IF($B302="","",IFERROR(-AH302,"n.b."))</f>
        <v/>
      </c>
      <c r="BY302" s="124" t="str">
        <f>IF($B302="","",IFERROR(-AI302,"n.b."))</f>
        <v/>
      </c>
      <c r="BZ302" s="124" t="str">
        <f>IF($B302="","",IFERROR(-AJ302,"n.b."))</f>
        <v/>
      </c>
      <c r="CA302" s="124" t="str">
        <f>IF($B302="","",IFERROR(-AK302,"n.b."))</f>
        <v/>
      </c>
      <c r="CB302" s="124" t="str">
        <f>IF($B302="","",IFERROR(-AL302,"n.b."))</f>
        <v/>
      </c>
      <c r="CC302" s="124" t="str">
        <f>IF($B302="","",IFERROR(-AP302,"n.b."))</f>
        <v/>
      </c>
      <c r="CD302" s="124" t="str">
        <f>IF($B302="","",IFERROR(-AQ302,"n.b."))</f>
        <v/>
      </c>
      <c r="CE302" s="124" t="str">
        <f>IF($B302="","",IFERROR(-AR302,"n.b."))</f>
        <v/>
      </c>
      <c r="CF302" s="124" t="str">
        <f>IF($B302="","",IFERROR(-AS302,"n.b."))</f>
        <v/>
      </c>
      <c r="CG302" s="124" t="str">
        <f>IF($B302="","",IFERROR(-AT302,"n.b."))</f>
        <v/>
      </c>
      <c r="CH302" s="124" t="str">
        <f>IF($B302="","",IFERROR(-AU302,"n.b."))</f>
        <v/>
      </c>
      <c r="CI302" s="124" t="str">
        <f>IF($B302="","",IFERROR(-AV302,"n.b."))</f>
        <v/>
      </c>
      <c r="CJ302" s="124" t="str">
        <f>IF($B302="","",IFERROR(-AW302,"n.b."))</f>
        <v/>
      </c>
      <c r="CK302" s="124" t="str">
        <f>IF($B302="","",IFERROR(-AX302,"n.b."))</f>
        <v/>
      </c>
      <c r="CL302" s="124" t="str">
        <f>IF($B302="","",IFERROR(-AY302,"n.b."))</f>
        <v/>
      </c>
      <c r="CM302" s="124" t="str">
        <f>IF($B302="","",IFERROR(-AZ302,"n.b."))</f>
        <v/>
      </c>
      <c r="CN302" s="124" t="str">
        <f>IF($B302="","",IFERROR(-BA302,"n.b."))</f>
        <v/>
      </c>
      <c r="CO302" s="124" t="str">
        <f>IF($B302="","",IFERROR(-BB302,"n.b."))</f>
        <v/>
      </c>
      <c r="CP302" s="124" t="str">
        <f>IF($B302="","",IFERROR(-BC302,"n.b."))</f>
        <v/>
      </c>
      <c r="CQ302" s="124" t="str">
        <f>IF($B302="","",IFERROR(-BD302,"n.b."))</f>
        <v/>
      </c>
      <c r="CR302" s="124" t="str">
        <f>IF($B302="","",IFERROR(-BE302,"n.b."))</f>
        <v/>
      </c>
      <c r="CS302" s="124" t="str">
        <f>IF($B302="","",IFERROR(IF(OR(ABS(T302+V302+X302+Z302-AB302)&gt;P_Tol,ABS(U302+W302+Y302+AA302-AD302)&gt;P_Tol,ABS(AE302+AG302+AI302+AK302-AM302)&gt;P_Tol,ABS(AF302+AH302+AJ302+AL302-AO302)&gt;P_Tol),1,0),1))</f>
        <v/>
      </c>
      <c r="CT302" s="124" t="str">
        <f>IF($B302="","",IFERROR(IF(OR(ABS(AB302+AC302-AD302)&gt;P_Tol,ABS(AM302+AN302-AO302)&gt;P_Tol,ABS(O302+P302-Q302)&gt;P_Tol),1,0),1))</f>
        <v/>
      </c>
      <c r="CU302" s="124" t="str">
        <f>IF($B302="","",IFERROR(IF(ABS(R302-(AB302+AM302+AP302+AR302+AT302+AV302+AX302+AZ302+BB302+BD302))&gt;P_Tol,1,0),1))</f>
        <v/>
      </c>
      <c r="CV302" s="124" t="str">
        <f>IF($B302="","",IFERROR(IF(ABS(M302-(N302+O302+R302))&gt;P_Tol,1,0),1))</f>
        <v/>
      </c>
      <c r="CW302" s="124" t="str">
        <f>IF($B302="","",IF(COUNTIF(Mapping!$A$5:$A$104,B302)&gt;0,1,0))</f>
        <v/>
      </c>
      <c r="CX302" s="124" t="str">
        <f>IF($B302="","",COUNTIF($B$6:$B$505,B302))</f>
        <v/>
      </c>
      <c r="CY302" s="124" t="str">
        <f>IF($B302="","",COUNTIF(STG_Woningetalage!$B$6:$B$505,B302))</f>
        <v/>
      </c>
      <c r="CZ302" s="124" t="str">
        <f>IF($B302="","",IF(CW302=0,COUNTIF($CW$6:CW302,0),""))</f>
        <v/>
      </c>
    </row>
    <row r="303">
      <c r="A303" s="15" t="n">
        <v>299</v>
      </c>
      <c r="B303" t="str">
        <f>IF(B$3=0,"",IF(INDEX(SRC_ZPMW03!$A$1:$ZZ$501,$A303,B$3)&amp;""="","",INDEX(SRC_ZPMW03!$A$1:$ZZ$501,$A303,B$3)&amp;""))</f>
        <v/>
      </c>
      <c r="C303" t="str">
        <f>IF($B303="","",IF(C$3=0,"n.b.",INDEX(SRC_ZPMW03!$A$1:$ZZ$501,$A303,C$3)))</f>
        <v/>
      </c>
      <c r="D303" t="str">
        <f>IF($B303="","",IF(D$3=0,"n.b.",INDEX(SRC_ZPMW03!$A$1:$ZZ$501,$A303,D$3)))</f>
        <v/>
      </c>
      <c r="E303" t="str">
        <f>IF($B303="","",IF(E$3=0,"n.b.",INDEX(SRC_ZPMW03!$A$1:$ZZ$501,$A303,E$3)))</f>
        <v/>
      </c>
      <c r="F303" t="str">
        <f>IF($B303="","",IF(F$3=0,"n.b.",INDEX(SRC_ZPMW03!$A$1:$ZZ$501,$A303,F$3)))</f>
        <v/>
      </c>
      <c r="G303" t="str">
        <f>IF($B303="","",IF(G$3=0,"n.b.",INDEX(SRC_ZPMW03!$A$1:$ZZ$501,$A303,G$3)))</f>
        <v/>
      </c>
      <c r="H303" t="str">
        <f>IF($B303="","",IF(H$3=0,"n.b.",INDEX(SRC_ZPMW03!$A$1:$ZZ$501,$A303,H$3)))</f>
        <v/>
      </c>
      <c r="I303" t="str">
        <f>IF($B303="","",IF(I$3=0,"n.b.",INDEX(SRC_ZPMW03!$A$1:$ZZ$501,$A303,I$3)))</f>
        <v/>
      </c>
      <c r="J303" t="str">
        <f>IF($B303="","",IF(J$3=0,"n.b.",INDEX(SRC_ZPMW03!$A$1:$ZZ$501,$A303,J$3)))</f>
        <v/>
      </c>
      <c r="K303" t="str">
        <f>IF($B303="","",IF(K$3=0,"n.b.",INDEX(SRC_ZPMW03!$A$1:$ZZ$501,$A303,K$3)))</f>
        <v/>
      </c>
      <c r="L303" s="124" t="str">
        <f>IF($B303="","",IF(L$3=0,"n.b.",INDEX(SRC_ZPMW03!$A$1:$ZZ$501,$A303,L$3)))</f>
        <v/>
      </c>
      <c r="M303" s="124" t="str">
        <f>IF($B303="","",IF(M$3=0,"n.b.",INDEX(SRC_ZPMW03!$A$1:$ZZ$501,$A303,M$3)))</f>
        <v/>
      </c>
      <c r="N303" s="124" t="str">
        <f>IF($B303="","",IF(N$3=0,"n.b.",INDEX(SRC_ZPMW03!$A$1:$ZZ$501,$A303,N$3)))</f>
        <v/>
      </c>
      <c r="O303" s="124" t="str">
        <f>IF($B303="","",IF(O$3=0,"n.b.",INDEX(SRC_ZPMW03!$A$1:$ZZ$501,$A303,O$3)))</f>
        <v/>
      </c>
      <c r="P303" s="124" t="str">
        <f>IF($B303="","",IF(P$3=0,"n.b.",INDEX(SRC_ZPMW03!$A$1:$ZZ$501,$A303,P$3)))</f>
        <v/>
      </c>
      <c r="Q303" s="124" t="str">
        <f>IF($B303="","",IF(Q$3=0,"n.b.",INDEX(SRC_ZPMW03!$A$1:$ZZ$501,$A303,Q$3)))</f>
        <v/>
      </c>
      <c r="R303" s="124" t="str">
        <f>IF($B303="","",IF(R$3=0,"n.b.",INDEX(SRC_ZPMW03!$A$1:$ZZ$501,$A303,R$3)))</f>
        <v/>
      </c>
      <c r="S303" s="124" t="str">
        <f>IF($B303="","",IF(S$3=0,"n.b.",INDEX(SRC_ZPMW03!$A$1:$ZZ$501,$A303,S$3)))</f>
        <v/>
      </c>
      <c r="T303" s="124" t="str">
        <f>IF($B303="","",IF(T$3=0,"n.b.",INDEX(SRC_ZPMW03!$A$1:$ZZ$501,$A303,T$3)))</f>
        <v/>
      </c>
      <c r="U303" s="124" t="str">
        <f>IF($B303="","",IF(U$3=0,"n.b.",INDEX(SRC_ZPMW03!$A$1:$ZZ$501,$A303,U$3)))</f>
        <v/>
      </c>
      <c r="V303" s="124" t="str">
        <f>IF($B303="","",IF(V$3=0,"n.b.",INDEX(SRC_ZPMW03!$A$1:$ZZ$501,$A303,V$3)))</f>
        <v/>
      </c>
      <c r="W303" s="124" t="str">
        <f>IF($B303="","",IF(W$3=0,"n.b.",INDEX(SRC_ZPMW03!$A$1:$ZZ$501,$A303,W$3)))</f>
        <v/>
      </c>
      <c r="X303" s="124" t="str">
        <f>IF($B303="","",IF(X$3=0,"n.b.",INDEX(SRC_ZPMW03!$A$1:$ZZ$501,$A303,X$3)))</f>
        <v/>
      </c>
      <c r="Y303" s="124" t="str">
        <f>IF($B303="","",IF(Y$3=0,"n.b.",INDEX(SRC_ZPMW03!$A$1:$ZZ$501,$A303,Y$3)))</f>
        <v/>
      </c>
      <c r="Z303" s="124" t="str">
        <f>IF($B303="","",IF(Z$3=0,"n.b.",INDEX(SRC_ZPMW03!$A$1:$ZZ$501,$A303,Z$3)))</f>
        <v/>
      </c>
      <c r="AA303" s="124" t="str">
        <f>IF($B303="","",IF(AA$3=0,"n.b.",INDEX(SRC_ZPMW03!$A$1:$ZZ$501,$A303,AA$3)))</f>
        <v/>
      </c>
      <c r="AB303" s="124" t="str">
        <f>IF($B303="","",IF(AB$3=0,"n.b.",INDEX(SRC_ZPMW03!$A$1:$ZZ$501,$A303,AB$3)))</f>
        <v/>
      </c>
      <c r="AC303" s="124" t="str">
        <f>IF($B303="","",IF(AC$3=0,"n.b.",INDEX(SRC_ZPMW03!$A$1:$ZZ$501,$A303,AC$3)))</f>
        <v/>
      </c>
      <c r="AD303" s="124" t="str">
        <f>IF($B303="","",IF(AD$3=0,"n.b.",INDEX(SRC_ZPMW03!$A$1:$ZZ$501,$A303,AD$3)))</f>
        <v/>
      </c>
      <c r="AE303" s="124" t="str">
        <f>IF($B303="","",IF(AE$3=0,"n.b.",INDEX(SRC_ZPMW03!$A$1:$ZZ$501,$A303,AE$3)))</f>
        <v/>
      </c>
      <c r="AF303" s="124" t="str">
        <f>IF($B303="","",IF(AF$3=0,"n.b.",INDEX(SRC_ZPMW03!$A$1:$ZZ$501,$A303,AF$3)))</f>
        <v/>
      </c>
      <c r="AG303" s="124" t="str">
        <f>IF($B303="","",IF(AG$3=0,"n.b.",INDEX(SRC_ZPMW03!$A$1:$ZZ$501,$A303,AG$3)))</f>
        <v/>
      </c>
      <c r="AH303" s="124" t="str">
        <f>IF($B303="","",IF(AH$3=0,"n.b.",INDEX(SRC_ZPMW03!$A$1:$ZZ$501,$A303,AH$3)))</f>
        <v/>
      </c>
      <c r="AI303" s="124" t="str">
        <f>IF($B303="","",IF(AI$3=0,"n.b.",INDEX(SRC_ZPMW03!$A$1:$ZZ$501,$A303,AI$3)))</f>
        <v/>
      </c>
      <c r="AJ303" s="124" t="str">
        <f>IF($B303="","",IF(AJ$3=0,"n.b.",INDEX(SRC_ZPMW03!$A$1:$ZZ$501,$A303,AJ$3)))</f>
        <v/>
      </c>
      <c r="AK303" s="124" t="str">
        <f>IF($B303="","",IF(AK$3=0,"n.b.",INDEX(SRC_ZPMW03!$A$1:$ZZ$501,$A303,AK$3)))</f>
        <v/>
      </c>
      <c r="AL303" s="124" t="str">
        <f>IF($B303="","",IF(AL$3=0,"n.b.",INDEX(SRC_ZPMW03!$A$1:$ZZ$501,$A303,AL$3)))</f>
        <v/>
      </c>
      <c r="AM303" s="124" t="str">
        <f>IF($B303="","",IF(AM$3=0,"n.b.",INDEX(SRC_ZPMW03!$A$1:$ZZ$501,$A303,AM$3)))</f>
        <v/>
      </c>
      <c r="AN303" s="124" t="str">
        <f>IF($B303="","",IF(AN$3=0,"n.b.",INDEX(SRC_ZPMW03!$A$1:$ZZ$501,$A303,AN$3)))</f>
        <v/>
      </c>
      <c r="AO303" s="124" t="str">
        <f>IF($B303="","",IF(AO$3=0,"n.b.",INDEX(SRC_ZPMW03!$A$1:$ZZ$501,$A303,AO$3)))</f>
        <v/>
      </c>
      <c r="AP303" s="124" t="str">
        <f>IF($B303="","",IF(AP$3=0,"n.b.",INDEX(SRC_ZPMW03!$A$1:$ZZ$501,$A303,AP$3)))</f>
        <v/>
      </c>
      <c r="AQ303" s="124" t="str">
        <f>IF($B303="","",IF(AQ$3=0,"n.b.",INDEX(SRC_ZPMW03!$A$1:$ZZ$501,$A303,AQ$3)))</f>
        <v/>
      </c>
      <c r="AR303" s="124" t="str">
        <f>IF($B303="","",IF(AR$3=0,"n.b.",INDEX(SRC_ZPMW03!$A$1:$ZZ$501,$A303,AR$3)))</f>
        <v/>
      </c>
      <c r="AS303" s="124" t="str">
        <f>IF($B303="","",IF(AS$3=0,"n.b.",INDEX(SRC_ZPMW03!$A$1:$ZZ$501,$A303,AS$3)))</f>
        <v/>
      </c>
      <c r="AT303" s="124" t="str">
        <f>IF($B303="","",IF(AT$3=0,"n.b.",INDEX(SRC_ZPMW03!$A$1:$ZZ$501,$A303,AT$3)))</f>
        <v/>
      </c>
      <c r="AU303" s="124" t="str">
        <f>IF($B303="","",IF(AU$3=0,"n.b.",INDEX(SRC_ZPMW03!$A$1:$ZZ$501,$A303,AU$3)))</f>
        <v/>
      </c>
      <c r="AV303" s="124" t="str">
        <f>IF($B303="","",IF(AV$3=0,"n.b.",INDEX(SRC_ZPMW03!$A$1:$ZZ$501,$A303,AV$3)))</f>
        <v/>
      </c>
      <c r="AW303" s="124" t="str">
        <f>IF($B303="","",IF(AW$3=0,"n.b.",INDEX(SRC_ZPMW03!$A$1:$ZZ$501,$A303,AW$3)))</f>
        <v/>
      </c>
      <c r="AX303" s="124" t="str">
        <f>IF($B303="","",IF(AX$3=0,"n.b.",INDEX(SRC_ZPMW03!$A$1:$ZZ$501,$A303,AX$3)))</f>
        <v/>
      </c>
      <c r="AY303" s="124" t="str">
        <f>IF($B303="","",IF(AY$3=0,"n.b.",INDEX(SRC_ZPMW03!$A$1:$ZZ$501,$A303,AY$3)))</f>
        <v/>
      </c>
      <c r="AZ303" s="124" t="str">
        <f>IF($B303="","",IF(AZ$3=0,"n.b.",INDEX(SRC_ZPMW03!$A$1:$ZZ$501,$A303,AZ$3)))</f>
        <v/>
      </c>
      <c r="BA303" s="124" t="str">
        <f>IF($B303="","",IF(BA$3=0,"n.b.",INDEX(SRC_ZPMW03!$A$1:$ZZ$501,$A303,BA$3)))</f>
        <v/>
      </c>
      <c r="BB303" s="124" t="str">
        <f>IF($B303="","",IF(BB$3=0,"n.b.",INDEX(SRC_ZPMW03!$A$1:$ZZ$501,$A303,BB$3)))</f>
        <v/>
      </c>
      <c r="BC303" s="124" t="str">
        <f>IF($B303="","",IF(BC$3=0,"n.b.",INDEX(SRC_ZPMW03!$A$1:$ZZ$501,$A303,BC$3)))</f>
        <v/>
      </c>
      <c r="BD303" s="124" t="str">
        <f>IF($B303="","",IF(BD$3=0,"n.b.",INDEX(SRC_ZPMW03!$A$1:$ZZ$501,$A303,BD$3)))</f>
        <v/>
      </c>
      <c r="BE303" s="124" t="str">
        <f>IF($B303="","",IF(BE$3=0,"n.b.",INDEX(SRC_ZPMW03!$A$1:$ZZ$501,$A303,BE$3)))</f>
        <v/>
      </c>
      <c r="BF303" s="124" t="str">
        <f>IF($B303="","",IF(BF$3=0,"n.b.",INDEX(SRC_ZPMW03!$A$1:$ZZ$501,$A303,BF$3)))</f>
        <v/>
      </c>
      <c r="BG303" t="str">
        <f>IF($B303="","",IF(BG$3=0,"n.b.",INDEX(SRC_ZPMW03!$A$1:$ZZ$501,$A303,BG$3)))</f>
        <v/>
      </c>
      <c r="BH303" t="str">
        <f>IF($B303="","",IF(BH$3=0,"n.b.",INDEX(SRC_ZPMW03!$A$1:$ZZ$501,$A303,BH$3)))</f>
        <v/>
      </c>
      <c r="BI303" t="str">
        <f>IF($B303="","",IF(BI$3=0,"n.b.",INDEX(SRC_ZPMW03!$A$1:$ZZ$501,$A303,BI$3)))</f>
        <v/>
      </c>
      <c r="BJ303" t="str">
        <f>IF($B303="","",IF(BJ$3=0,"n.b.",INDEX(SRC_ZPMW03!$A$1:$ZZ$501,$A303,BJ$3)))</f>
        <v/>
      </c>
      <c r="BK303" s="124" t="str">
        <f>IF($B303="","",IFERROR(-O303,"n.b."))</f>
        <v/>
      </c>
      <c r="BL303" s="124" t="str">
        <f>IF($B303="","",IFERROR(-Q303,"n.b."))</f>
        <v/>
      </c>
      <c r="BM303" s="124" t="str">
        <f>IF($B303="","",IFERROR(-AB303,"n.b."))</f>
        <v/>
      </c>
      <c r="BN303" s="124" t="str">
        <f>IF($B303="","",IFERROR(-AD303,"n.b."))</f>
        <v/>
      </c>
      <c r="BO303" s="124" t="str">
        <f>IF($B303="","",IFERROR(BK303+BM303,"n.b."))</f>
        <v/>
      </c>
      <c r="BP303" s="124" t="str">
        <f>IF($B303="","",IFERROR(BL303+BN303,"n.b."))</f>
        <v/>
      </c>
      <c r="BQ303" s="124" t="str">
        <f>IF($B303="","",IFERROR(-AM303,"n.b."))</f>
        <v/>
      </c>
      <c r="BR303" s="124" t="str">
        <f>IF($B303="","",IFERROR(-AO303,"n.b."))</f>
        <v/>
      </c>
      <c r="BS303" s="124" t="str">
        <f>IF($B303="","",IFERROR(-Z303,"n.b."))</f>
        <v/>
      </c>
      <c r="BT303" s="124" t="str">
        <f>IF($B303="","",IFERROR(-AA303,"n.b."))</f>
        <v/>
      </c>
      <c r="BU303" s="124" t="str">
        <f>IF($B303="","",IFERROR(-AE303,"n.b."))</f>
        <v/>
      </c>
      <c r="BV303" s="124" t="str">
        <f>IF($B303="","",IFERROR(-AF303,"n.b."))</f>
        <v/>
      </c>
      <c r="BW303" s="124" t="str">
        <f>IF($B303="","",IFERROR(-AG303,"n.b."))</f>
        <v/>
      </c>
      <c r="BX303" s="124" t="str">
        <f>IF($B303="","",IFERROR(-AH303,"n.b."))</f>
        <v/>
      </c>
      <c r="BY303" s="124" t="str">
        <f>IF($B303="","",IFERROR(-AI303,"n.b."))</f>
        <v/>
      </c>
      <c r="BZ303" s="124" t="str">
        <f>IF($B303="","",IFERROR(-AJ303,"n.b."))</f>
        <v/>
      </c>
      <c r="CA303" s="124" t="str">
        <f>IF($B303="","",IFERROR(-AK303,"n.b."))</f>
        <v/>
      </c>
      <c r="CB303" s="124" t="str">
        <f>IF($B303="","",IFERROR(-AL303,"n.b."))</f>
        <v/>
      </c>
      <c r="CC303" s="124" t="str">
        <f>IF($B303="","",IFERROR(-AP303,"n.b."))</f>
        <v/>
      </c>
      <c r="CD303" s="124" t="str">
        <f>IF($B303="","",IFERROR(-AQ303,"n.b."))</f>
        <v/>
      </c>
      <c r="CE303" s="124" t="str">
        <f>IF($B303="","",IFERROR(-AR303,"n.b."))</f>
        <v/>
      </c>
      <c r="CF303" s="124" t="str">
        <f>IF($B303="","",IFERROR(-AS303,"n.b."))</f>
        <v/>
      </c>
      <c r="CG303" s="124" t="str">
        <f>IF($B303="","",IFERROR(-AT303,"n.b."))</f>
        <v/>
      </c>
      <c r="CH303" s="124" t="str">
        <f>IF($B303="","",IFERROR(-AU303,"n.b."))</f>
        <v/>
      </c>
      <c r="CI303" s="124" t="str">
        <f>IF($B303="","",IFERROR(-AV303,"n.b."))</f>
        <v/>
      </c>
      <c r="CJ303" s="124" t="str">
        <f>IF($B303="","",IFERROR(-AW303,"n.b."))</f>
        <v/>
      </c>
      <c r="CK303" s="124" t="str">
        <f>IF($B303="","",IFERROR(-AX303,"n.b."))</f>
        <v/>
      </c>
      <c r="CL303" s="124" t="str">
        <f>IF($B303="","",IFERROR(-AY303,"n.b."))</f>
        <v/>
      </c>
      <c r="CM303" s="124" t="str">
        <f>IF($B303="","",IFERROR(-AZ303,"n.b."))</f>
        <v/>
      </c>
      <c r="CN303" s="124" t="str">
        <f>IF($B303="","",IFERROR(-BA303,"n.b."))</f>
        <v/>
      </c>
      <c r="CO303" s="124" t="str">
        <f>IF($B303="","",IFERROR(-BB303,"n.b."))</f>
        <v/>
      </c>
      <c r="CP303" s="124" t="str">
        <f>IF($B303="","",IFERROR(-BC303,"n.b."))</f>
        <v/>
      </c>
      <c r="CQ303" s="124" t="str">
        <f>IF($B303="","",IFERROR(-BD303,"n.b."))</f>
        <v/>
      </c>
      <c r="CR303" s="124" t="str">
        <f>IF($B303="","",IFERROR(-BE303,"n.b."))</f>
        <v/>
      </c>
      <c r="CS303" s="124" t="str">
        <f>IF($B303="","",IFERROR(IF(OR(ABS(T303+V303+X303+Z303-AB303)&gt;P_Tol,ABS(U303+W303+Y303+AA303-AD303)&gt;P_Tol,ABS(AE303+AG303+AI303+AK303-AM303)&gt;P_Tol,ABS(AF303+AH303+AJ303+AL303-AO303)&gt;P_Tol),1,0),1))</f>
        <v/>
      </c>
      <c r="CT303" s="124" t="str">
        <f>IF($B303="","",IFERROR(IF(OR(ABS(AB303+AC303-AD303)&gt;P_Tol,ABS(AM303+AN303-AO303)&gt;P_Tol,ABS(O303+P303-Q303)&gt;P_Tol),1,0),1))</f>
        <v/>
      </c>
      <c r="CU303" s="124" t="str">
        <f>IF($B303="","",IFERROR(IF(ABS(R303-(AB303+AM303+AP303+AR303+AT303+AV303+AX303+AZ303+BB303+BD303))&gt;P_Tol,1,0),1))</f>
        <v/>
      </c>
      <c r="CV303" s="124" t="str">
        <f>IF($B303="","",IFERROR(IF(ABS(M303-(N303+O303+R303))&gt;P_Tol,1,0),1))</f>
        <v/>
      </c>
      <c r="CW303" s="124" t="str">
        <f>IF($B303="","",IF(COUNTIF(Mapping!$A$5:$A$104,B303)&gt;0,1,0))</f>
        <v/>
      </c>
      <c r="CX303" s="124" t="str">
        <f>IF($B303="","",COUNTIF($B$6:$B$505,B303))</f>
        <v/>
      </c>
      <c r="CY303" s="124" t="str">
        <f>IF($B303="","",COUNTIF(STG_Woningetalage!$B$6:$B$505,B303))</f>
        <v/>
      </c>
      <c r="CZ303" s="124" t="str">
        <f>IF($B303="","",IF(CW303=0,COUNTIF($CW$6:CW303,0),""))</f>
        <v/>
      </c>
    </row>
    <row r="304">
      <c r="A304" s="15" t="n">
        <v>300</v>
      </c>
      <c r="B304" t="str">
        <f>IF(B$3=0,"",IF(INDEX(SRC_ZPMW03!$A$1:$ZZ$501,$A304,B$3)&amp;""="","",INDEX(SRC_ZPMW03!$A$1:$ZZ$501,$A304,B$3)&amp;""))</f>
        <v/>
      </c>
      <c r="C304" t="str">
        <f>IF($B304="","",IF(C$3=0,"n.b.",INDEX(SRC_ZPMW03!$A$1:$ZZ$501,$A304,C$3)))</f>
        <v/>
      </c>
      <c r="D304" t="str">
        <f>IF($B304="","",IF(D$3=0,"n.b.",INDEX(SRC_ZPMW03!$A$1:$ZZ$501,$A304,D$3)))</f>
        <v/>
      </c>
      <c r="E304" t="str">
        <f>IF($B304="","",IF(E$3=0,"n.b.",INDEX(SRC_ZPMW03!$A$1:$ZZ$501,$A304,E$3)))</f>
        <v/>
      </c>
      <c r="F304" t="str">
        <f>IF($B304="","",IF(F$3=0,"n.b.",INDEX(SRC_ZPMW03!$A$1:$ZZ$501,$A304,F$3)))</f>
        <v/>
      </c>
      <c r="G304" t="str">
        <f>IF($B304="","",IF(G$3=0,"n.b.",INDEX(SRC_ZPMW03!$A$1:$ZZ$501,$A304,G$3)))</f>
        <v/>
      </c>
      <c r="H304" t="str">
        <f>IF($B304="","",IF(H$3=0,"n.b.",INDEX(SRC_ZPMW03!$A$1:$ZZ$501,$A304,H$3)))</f>
        <v/>
      </c>
      <c r="I304" t="str">
        <f>IF($B304="","",IF(I$3=0,"n.b.",INDEX(SRC_ZPMW03!$A$1:$ZZ$501,$A304,I$3)))</f>
        <v/>
      </c>
      <c r="J304" t="str">
        <f>IF($B304="","",IF(J$3=0,"n.b.",INDEX(SRC_ZPMW03!$A$1:$ZZ$501,$A304,J$3)))</f>
        <v/>
      </c>
      <c r="K304" t="str">
        <f>IF($B304="","",IF(K$3=0,"n.b.",INDEX(SRC_ZPMW03!$A$1:$ZZ$501,$A304,K$3)))</f>
        <v/>
      </c>
      <c r="L304" s="124" t="str">
        <f>IF($B304="","",IF(L$3=0,"n.b.",INDEX(SRC_ZPMW03!$A$1:$ZZ$501,$A304,L$3)))</f>
        <v/>
      </c>
      <c r="M304" s="124" t="str">
        <f>IF($B304="","",IF(M$3=0,"n.b.",INDEX(SRC_ZPMW03!$A$1:$ZZ$501,$A304,M$3)))</f>
        <v/>
      </c>
      <c r="N304" s="124" t="str">
        <f>IF($B304="","",IF(N$3=0,"n.b.",INDEX(SRC_ZPMW03!$A$1:$ZZ$501,$A304,N$3)))</f>
        <v/>
      </c>
      <c r="O304" s="124" t="str">
        <f>IF($B304="","",IF(O$3=0,"n.b.",INDEX(SRC_ZPMW03!$A$1:$ZZ$501,$A304,O$3)))</f>
        <v/>
      </c>
      <c r="P304" s="124" t="str">
        <f>IF($B304="","",IF(P$3=0,"n.b.",INDEX(SRC_ZPMW03!$A$1:$ZZ$501,$A304,P$3)))</f>
        <v/>
      </c>
      <c r="Q304" s="124" t="str">
        <f>IF($B304="","",IF(Q$3=0,"n.b.",INDEX(SRC_ZPMW03!$A$1:$ZZ$501,$A304,Q$3)))</f>
        <v/>
      </c>
      <c r="R304" s="124" t="str">
        <f>IF($B304="","",IF(R$3=0,"n.b.",INDEX(SRC_ZPMW03!$A$1:$ZZ$501,$A304,R$3)))</f>
        <v/>
      </c>
      <c r="S304" s="124" t="str">
        <f>IF($B304="","",IF(S$3=0,"n.b.",INDEX(SRC_ZPMW03!$A$1:$ZZ$501,$A304,S$3)))</f>
        <v/>
      </c>
      <c r="T304" s="124" t="str">
        <f>IF($B304="","",IF(T$3=0,"n.b.",INDEX(SRC_ZPMW03!$A$1:$ZZ$501,$A304,T$3)))</f>
        <v/>
      </c>
      <c r="U304" s="124" t="str">
        <f>IF($B304="","",IF(U$3=0,"n.b.",INDEX(SRC_ZPMW03!$A$1:$ZZ$501,$A304,U$3)))</f>
        <v/>
      </c>
      <c r="V304" s="124" t="str">
        <f>IF($B304="","",IF(V$3=0,"n.b.",INDEX(SRC_ZPMW03!$A$1:$ZZ$501,$A304,V$3)))</f>
        <v/>
      </c>
      <c r="W304" s="124" t="str">
        <f>IF($B304="","",IF(W$3=0,"n.b.",INDEX(SRC_ZPMW03!$A$1:$ZZ$501,$A304,W$3)))</f>
        <v/>
      </c>
      <c r="X304" s="124" t="str">
        <f>IF($B304="","",IF(X$3=0,"n.b.",INDEX(SRC_ZPMW03!$A$1:$ZZ$501,$A304,X$3)))</f>
        <v/>
      </c>
      <c r="Y304" s="124" t="str">
        <f>IF($B304="","",IF(Y$3=0,"n.b.",INDEX(SRC_ZPMW03!$A$1:$ZZ$501,$A304,Y$3)))</f>
        <v/>
      </c>
      <c r="Z304" s="124" t="str">
        <f>IF($B304="","",IF(Z$3=0,"n.b.",INDEX(SRC_ZPMW03!$A$1:$ZZ$501,$A304,Z$3)))</f>
        <v/>
      </c>
      <c r="AA304" s="124" t="str">
        <f>IF($B304="","",IF(AA$3=0,"n.b.",INDEX(SRC_ZPMW03!$A$1:$ZZ$501,$A304,AA$3)))</f>
        <v/>
      </c>
      <c r="AB304" s="124" t="str">
        <f>IF($B304="","",IF(AB$3=0,"n.b.",INDEX(SRC_ZPMW03!$A$1:$ZZ$501,$A304,AB$3)))</f>
        <v/>
      </c>
      <c r="AC304" s="124" t="str">
        <f>IF($B304="","",IF(AC$3=0,"n.b.",INDEX(SRC_ZPMW03!$A$1:$ZZ$501,$A304,AC$3)))</f>
        <v/>
      </c>
      <c r="AD304" s="124" t="str">
        <f>IF($B304="","",IF(AD$3=0,"n.b.",INDEX(SRC_ZPMW03!$A$1:$ZZ$501,$A304,AD$3)))</f>
        <v/>
      </c>
      <c r="AE304" s="124" t="str">
        <f>IF($B304="","",IF(AE$3=0,"n.b.",INDEX(SRC_ZPMW03!$A$1:$ZZ$501,$A304,AE$3)))</f>
        <v/>
      </c>
      <c r="AF304" s="124" t="str">
        <f>IF($B304="","",IF(AF$3=0,"n.b.",INDEX(SRC_ZPMW03!$A$1:$ZZ$501,$A304,AF$3)))</f>
        <v/>
      </c>
      <c r="AG304" s="124" t="str">
        <f>IF($B304="","",IF(AG$3=0,"n.b.",INDEX(SRC_ZPMW03!$A$1:$ZZ$501,$A304,AG$3)))</f>
        <v/>
      </c>
      <c r="AH304" s="124" t="str">
        <f>IF($B304="","",IF(AH$3=0,"n.b.",INDEX(SRC_ZPMW03!$A$1:$ZZ$501,$A304,AH$3)))</f>
        <v/>
      </c>
      <c r="AI304" s="124" t="str">
        <f>IF($B304="","",IF(AI$3=0,"n.b.",INDEX(SRC_ZPMW03!$A$1:$ZZ$501,$A304,AI$3)))</f>
        <v/>
      </c>
      <c r="AJ304" s="124" t="str">
        <f>IF($B304="","",IF(AJ$3=0,"n.b.",INDEX(SRC_ZPMW03!$A$1:$ZZ$501,$A304,AJ$3)))</f>
        <v/>
      </c>
      <c r="AK304" s="124" t="str">
        <f>IF($B304="","",IF(AK$3=0,"n.b.",INDEX(SRC_ZPMW03!$A$1:$ZZ$501,$A304,AK$3)))</f>
        <v/>
      </c>
      <c r="AL304" s="124" t="str">
        <f>IF($B304="","",IF(AL$3=0,"n.b.",INDEX(SRC_ZPMW03!$A$1:$ZZ$501,$A304,AL$3)))</f>
        <v/>
      </c>
      <c r="AM304" s="124" t="str">
        <f>IF($B304="","",IF(AM$3=0,"n.b.",INDEX(SRC_ZPMW03!$A$1:$ZZ$501,$A304,AM$3)))</f>
        <v/>
      </c>
      <c r="AN304" s="124" t="str">
        <f>IF($B304="","",IF(AN$3=0,"n.b.",INDEX(SRC_ZPMW03!$A$1:$ZZ$501,$A304,AN$3)))</f>
        <v/>
      </c>
      <c r="AO304" s="124" t="str">
        <f>IF($B304="","",IF(AO$3=0,"n.b.",INDEX(SRC_ZPMW03!$A$1:$ZZ$501,$A304,AO$3)))</f>
        <v/>
      </c>
      <c r="AP304" s="124" t="str">
        <f>IF($B304="","",IF(AP$3=0,"n.b.",INDEX(SRC_ZPMW03!$A$1:$ZZ$501,$A304,AP$3)))</f>
        <v/>
      </c>
      <c r="AQ304" s="124" t="str">
        <f>IF($B304="","",IF(AQ$3=0,"n.b.",INDEX(SRC_ZPMW03!$A$1:$ZZ$501,$A304,AQ$3)))</f>
        <v/>
      </c>
      <c r="AR304" s="124" t="str">
        <f>IF($B304="","",IF(AR$3=0,"n.b.",INDEX(SRC_ZPMW03!$A$1:$ZZ$501,$A304,AR$3)))</f>
        <v/>
      </c>
      <c r="AS304" s="124" t="str">
        <f>IF($B304="","",IF(AS$3=0,"n.b.",INDEX(SRC_ZPMW03!$A$1:$ZZ$501,$A304,AS$3)))</f>
        <v/>
      </c>
      <c r="AT304" s="124" t="str">
        <f>IF($B304="","",IF(AT$3=0,"n.b.",INDEX(SRC_ZPMW03!$A$1:$ZZ$501,$A304,AT$3)))</f>
        <v/>
      </c>
      <c r="AU304" s="124" t="str">
        <f>IF($B304="","",IF(AU$3=0,"n.b.",INDEX(SRC_ZPMW03!$A$1:$ZZ$501,$A304,AU$3)))</f>
        <v/>
      </c>
      <c r="AV304" s="124" t="str">
        <f>IF($B304="","",IF(AV$3=0,"n.b.",INDEX(SRC_ZPMW03!$A$1:$ZZ$501,$A304,AV$3)))</f>
        <v/>
      </c>
      <c r="AW304" s="124" t="str">
        <f>IF($B304="","",IF(AW$3=0,"n.b.",INDEX(SRC_ZPMW03!$A$1:$ZZ$501,$A304,AW$3)))</f>
        <v/>
      </c>
      <c r="AX304" s="124" t="str">
        <f>IF($B304="","",IF(AX$3=0,"n.b.",INDEX(SRC_ZPMW03!$A$1:$ZZ$501,$A304,AX$3)))</f>
        <v/>
      </c>
      <c r="AY304" s="124" t="str">
        <f>IF($B304="","",IF(AY$3=0,"n.b.",INDEX(SRC_ZPMW03!$A$1:$ZZ$501,$A304,AY$3)))</f>
        <v/>
      </c>
      <c r="AZ304" s="124" t="str">
        <f>IF($B304="","",IF(AZ$3=0,"n.b.",INDEX(SRC_ZPMW03!$A$1:$ZZ$501,$A304,AZ$3)))</f>
        <v/>
      </c>
      <c r="BA304" s="124" t="str">
        <f>IF($B304="","",IF(BA$3=0,"n.b.",INDEX(SRC_ZPMW03!$A$1:$ZZ$501,$A304,BA$3)))</f>
        <v/>
      </c>
      <c r="BB304" s="124" t="str">
        <f>IF($B304="","",IF(BB$3=0,"n.b.",INDEX(SRC_ZPMW03!$A$1:$ZZ$501,$A304,BB$3)))</f>
        <v/>
      </c>
      <c r="BC304" s="124" t="str">
        <f>IF($B304="","",IF(BC$3=0,"n.b.",INDEX(SRC_ZPMW03!$A$1:$ZZ$501,$A304,BC$3)))</f>
        <v/>
      </c>
      <c r="BD304" s="124" t="str">
        <f>IF($B304="","",IF(BD$3=0,"n.b.",INDEX(SRC_ZPMW03!$A$1:$ZZ$501,$A304,BD$3)))</f>
        <v/>
      </c>
      <c r="BE304" s="124" t="str">
        <f>IF($B304="","",IF(BE$3=0,"n.b.",INDEX(SRC_ZPMW03!$A$1:$ZZ$501,$A304,BE$3)))</f>
        <v/>
      </c>
      <c r="BF304" s="124" t="str">
        <f>IF($B304="","",IF(BF$3=0,"n.b.",INDEX(SRC_ZPMW03!$A$1:$ZZ$501,$A304,BF$3)))</f>
        <v/>
      </c>
      <c r="BG304" t="str">
        <f>IF($B304="","",IF(BG$3=0,"n.b.",INDEX(SRC_ZPMW03!$A$1:$ZZ$501,$A304,BG$3)))</f>
        <v/>
      </c>
      <c r="BH304" t="str">
        <f>IF($B304="","",IF(BH$3=0,"n.b.",INDEX(SRC_ZPMW03!$A$1:$ZZ$501,$A304,BH$3)))</f>
        <v/>
      </c>
      <c r="BI304" t="str">
        <f>IF($B304="","",IF(BI$3=0,"n.b.",INDEX(SRC_ZPMW03!$A$1:$ZZ$501,$A304,BI$3)))</f>
        <v/>
      </c>
      <c r="BJ304" t="str">
        <f>IF($B304="","",IF(BJ$3=0,"n.b.",INDEX(SRC_ZPMW03!$A$1:$ZZ$501,$A304,BJ$3)))</f>
        <v/>
      </c>
      <c r="BK304" s="124" t="str">
        <f>IF($B304="","",IFERROR(-O304,"n.b."))</f>
        <v/>
      </c>
      <c r="BL304" s="124" t="str">
        <f>IF($B304="","",IFERROR(-Q304,"n.b."))</f>
        <v/>
      </c>
      <c r="BM304" s="124" t="str">
        <f>IF($B304="","",IFERROR(-AB304,"n.b."))</f>
        <v/>
      </c>
      <c r="BN304" s="124" t="str">
        <f>IF($B304="","",IFERROR(-AD304,"n.b."))</f>
        <v/>
      </c>
      <c r="BO304" s="124" t="str">
        <f>IF($B304="","",IFERROR(BK304+BM304,"n.b."))</f>
        <v/>
      </c>
      <c r="BP304" s="124" t="str">
        <f>IF($B304="","",IFERROR(BL304+BN304,"n.b."))</f>
        <v/>
      </c>
      <c r="BQ304" s="124" t="str">
        <f>IF($B304="","",IFERROR(-AM304,"n.b."))</f>
        <v/>
      </c>
      <c r="BR304" s="124" t="str">
        <f>IF($B304="","",IFERROR(-AO304,"n.b."))</f>
        <v/>
      </c>
      <c r="BS304" s="124" t="str">
        <f>IF($B304="","",IFERROR(-Z304,"n.b."))</f>
        <v/>
      </c>
      <c r="BT304" s="124" t="str">
        <f>IF($B304="","",IFERROR(-AA304,"n.b."))</f>
        <v/>
      </c>
      <c r="BU304" s="124" t="str">
        <f>IF($B304="","",IFERROR(-AE304,"n.b."))</f>
        <v/>
      </c>
      <c r="BV304" s="124" t="str">
        <f>IF($B304="","",IFERROR(-AF304,"n.b."))</f>
        <v/>
      </c>
      <c r="BW304" s="124" t="str">
        <f>IF($B304="","",IFERROR(-AG304,"n.b."))</f>
        <v/>
      </c>
      <c r="BX304" s="124" t="str">
        <f>IF($B304="","",IFERROR(-AH304,"n.b."))</f>
        <v/>
      </c>
      <c r="BY304" s="124" t="str">
        <f>IF($B304="","",IFERROR(-AI304,"n.b."))</f>
        <v/>
      </c>
      <c r="BZ304" s="124" t="str">
        <f>IF($B304="","",IFERROR(-AJ304,"n.b."))</f>
        <v/>
      </c>
      <c r="CA304" s="124" t="str">
        <f>IF($B304="","",IFERROR(-AK304,"n.b."))</f>
        <v/>
      </c>
      <c r="CB304" s="124" t="str">
        <f>IF($B304="","",IFERROR(-AL304,"n.b."))</f>
        <v/>
      </c>
      <c r="CC304" s="124" t="str">
        <f>IF($B304="","",IFERROR(-AP304,"n.b."))</f>
        <v/>
      </c>
      <c r="CD304" s="124" t="str">
        <f>IF($B304="","",IFERROR(-AQ304,"n.b."))</f>
        <v/>
      </c>
      <c r="CE304" s="124" t="str">
        <f>IF($B304="","",IFERROR(-AR304,"n.b."))</f>
        <v/>
      </c>
      <c r="CF304" s="124" t="str">
        <f>IF($B304="","",IFERROR(-AS304,"n.b."))</f>
        <v/>
      </c>
      <c r="CG304" s="124" t="str">
        <f>IF($B304="","",IFERROR(-AT304,"n.b."))</f>
        <v/>
      </c>
      <c r="CH304" s="124" t="str">
        <f>IF($B304="","",IFERROR(-AU304,"n.b."))</f>
        <v/>
      </c>
      <c r="CI304" s="124" t="str">
        <f>IF($B304="","",IFERROR(-AV304,"n.b."))</f>
        <v/>
      </c>
      <c r="CJ304" s="124" t="str">
        <f>IF($B304="","",IFERROR(-AW304,"n.b."))</f>
        <v/>
      </c>
      <c r="CK304" s="124" t="str">
        <f>IF($B304="","",IFERROR(-AX304,"n.b."))</f>
        <v/>
      </c>
      <c r="CL304" s="124" t="str">
        <f>IF($B304="","",IFERROR(-AY304,"n.b."))</f>
        <v/>
      </c>
      <c r="CM304" s="124" t="str">
        <f>IF($B304="","",IFERROR(-AZ304,"n.b."))</f>
        <v/>
      </c>
      <c r="CN304" s="124" t="str">
        <f>IF($B304="","",IFERROR(-BA304,"n.b."))</f>
        <v/>
      </c>
      <c r="CO304" s="124" t="str">
        <f>IF($B304="","",IFERROR(-BB304,"n.b."))</f>
        <v/>
      </c>
      <c r="CP304" s="124" t="str">
        <f>IF($B304="","",IFERROR(-BC304,"n.b."))</f>
        <v/>
      </c>
      <c r="CQ304" s="124" t="str">
        <f>IF($B304="","",IFERROR(-BD304,"n.b."))</f>
        <v/>
      </c>
      <c r="CR304" s="124" t="str">
        <f>IF($B304="","",IFERROR(-BE304,"n.b."))</f>
        <v/>
      </c>
      <c r="CS304" s="124" t="str">
        <f>IF($B304="","",IFERROR(IF(OR(ABS(T304+V304+X304+Z304-AB304)&gt;P_Tol,ABS(U304+W304+Y304+AA304-AD304)&gt;P_Tol,ABS(AE304+AG304+AI304+AK304-AM304)&gt;P_Tol,ABS(AF304+AH304+AJ304+AL304-AO304)&gt;P_Tol),1,0),1))</f>
        <v/>
      </c>
      <c r="CT304" s="124" t="str">
        <f>IF($B304="","",IFERROR(IF(OR(ABS(AB304+AC304-AD304)&gt;P_Tol,ABS(AM304+AN304-AO304)&gt;P_Tol,ABS(O304+P304-Q304)&gt;P_Tol),1,0),1))</f>
        <v/>
      </c>
      <c r="CU304" s="124" t="str">
        <f>IF($B304="","",IFERROR(IF(ABS(R304-(AB304+AM304+AP304+AR304+AT304+AV304+AX304+AZ304+BB304+BD304))&gt;P_Tol,1,0),1))</f>
        <v/>
      </c>
      <c r="CV304" s="124" t="str">
        <f>IF($B304="","",IFERROR(IF(ABS(M304-(N304+O304+R304))&gt;P_Tol,1,0),1))</f>
        <v/>
      </c>
      <c r="CW304" s="124" t="str">
        <f>IF($B304="","",IF(COUNTIF(Mapping!$A$5:$A$104,B304)&gt;0,1,0))</f>
        <v/>
      </c>
      <c r="CX304" s="124" t="str">
        <f>IF($B304="","",COUNTIF($B$6:$B$505,B304))</f>
        <v/>
      </c>
      <c r="CY304" s="124" t="str">
        <f>IF($B304="","",COUNTIF(STG_Woningetalage!$B$6:$B$505,B304))</f>
        <v/>
      </c>
      <c r="CZ304" s="124" t="str">
        <f>IF($B304="","",IF(CW304=0,COUNTIF($CW$6:CW304,0),""))</f>
        <v/>
      </c>
    </row>
    <row r="305">
      <c r="A305" s="15" t="n">
        <v>301</v>
      </c>
      <c r="B305" t="str">
        <f>IF(B$3=0,"",IF(INDEX(SRC_ZPMW03!$A$1:$ZZ$501,$A305,B$3)&amp;""="","",INDEX(SRC_ZPMW03!$A$1:$ZZ$501,$A305,B$3)&amp;""))</f>
        <v/>
      </c>
      <c r="C305" t="str">
        <f>IF($B305="","",IF(C$3=0,"n.b.",INDEX(SRC_ZPMW03!$A$1:$ZZ$501,$A305,C$3)))</f>
        <v/>
      </c>
      <c r="D305" t="str">
        <f>IF($B305="","",IF(D$3=0,"n.b.",INDEX(SRC_ZPMW03!$A$1:$ZZ$501,$A305,D$3)))</f>
        <v/>
      </c>
      <c r="E305" t="str">
        <f>IF($B305="","",IF(E$3=0,"n.b.",INDEX(SRC_ZPMW03!$A$1:$ZZ$501,$A305,E$3)))</f>
        <v/>
      </c>
      <c r="F305" t="str">
        <f>IF($B305="","",IF(F$3=0,"n.b.",INDEX(SRC_ZPMW03!$A$1:$ZZ$501,$A305,F$3)))</f>
        <v/>
      </c>
      <c r="G305" t="str">
        <f>IF($B305="","",IF(G$3=0,"n.b.",INDEX(SRC_ZPMW03!$A$1:$ZZ$501,$A305,G$3)))</f>
        <v/>
      </c>
      <c r="H305" t="str">
        <f>IF($B305="","",IF(H$3=0,"n.b.",INDEX(SRC_ZPMW03!$A$1:$ZZ$501,$A305,H$3)))</f>
        <v/>
      </c>
      <c r="I305" t="str">
        <f>IF($B305="","",IF(I$3=0,"n.b.",INDEX(SRC_ZPMW03!$A$1:$ZZ$501,$A305,I$3)))</f>
        <v/>
      </c>
      <c r="J305" t="str">
        <f>IF($B305="","",IF(J$3=0,"n.b.",INDEX(SRC_ZPMW03!$A$1:$ZZ$501,$A305,J$3)))</f>
        <v/>
      </c>
      <c r="K305" t="str">
        <f>IF($B305="","",IF(K$3=0,"n.b.",INDEX(SRC_ZPMW03!$A$1:$ZZ$501,$A305,K$3)))</f>
        <v/>
      </c>
      <c r="L305" s="124" t="str">
        <f>IF($B305="","",IF(L$3=0,"n.b.",INDEX(SRC_ZPMW03!$A$1:$ZZ$501,$A305,L$3)))</f>
        <v/>
      </c>
      <c r="M305" s="124" t="str">
        <f>IF($B305="","",IF(M$3=0,"n.b.",INDEX(SRC_ZPMW03!$A$1:$ZZ$501,$A305,M$3)))</f>
        <v/>
      </c>
      <c r="N305" s="124" t="str">
        <f>IF($B305="","",IF(N$3=0,"n.b.",INDEX(SRC_ZPMW03!$A$1:$ZZ$501,$A305,N$3)))</f>
        <v/>
      </c>
      <c r="O305" s="124" t="str">
        <f>IF($B305="","",IF(O$3=0,"n.b.",INDEX(SRC_ZPMW03!$A$1:$ZZ$501,$A305,O$3)))</f>
        <v/>
      </c>
      <c r="P305" s="124" t="str">
        <f>IF($B305="","",IF(P$3=0,"n.b.",INDEX(SRC_ZPMW03!$A$1:$ZZ$501,$A305,P$3)))</f>
        <v/>
      </c>
      <c r="Q305" s="124" t="str">
        <f>IF($B305="","",IF(Q$3=0,"n.b.",INDEX(SRC_ZPMW03!$A$1:$ZZ$501,$A305,Q$3)))</f>
        <v/>
      </c>
      <c r="R305" s="124" t="str">
        <f>IF($B305="","",IF(R$3=0,"n.b.",INDEX(SRC_ZPMW03!$A$1:$ZZ$501,$A305,R$3)))</f>
        <v/>
      </c>
      <c r="S305" s="124" t="str">
        <f>IF($B305="","",IF(S$3=0,"n.b.",INDEX(SRC_ZPMW03!$A$1:$ZZ$501,$A305,S$3)))</f>
        <v/>
      </c>
      <c r="T305" s="124" t="str">
        <f>IF($B305="","",IF(T$3=0,"n.b.",INDEX(SRC_ZPMW03!$A$1:$ZZ$501,$A305,T$3)))</f>
        <v/>
      </c>
      <c r="U305" s="124" t="str">
        <f>IF($B305="","",IF(U$3=0,"n.b.",INDEX(SRC_ZPMW03!$A$1:$ZZ$501,$A305,U$3)))</f>
        <v/>
      </c>
      <c r="V305" s="124" t="str">
        <f>IF($B305="","",IF(V$3=0,"n.b.",INDEX(SRC_ZPMW03!$A$1:$ZZ$501,$A305,V$3)))</f>
        <v/>
      </c>
      <c r="W305" s="124" t="str">
        <f>IF($B305="","",IF(W$3=0,"n.b.",INDEX(SRC_ZPMW03!$A$1:$ZZ$501,$A305,W$3)))</f>
        <v/>
      </c>
      <c r="X305" s="124" t="str">
        <f>IF($B305="","",IF(X$3=0,"n.b.",INDEX(SRC_ZPMW03!$A$1:$ZZ$501,$A305,X$3)))</f>
        <v/>
      </c>
      <c r="Y305" s="124" t="str">
        <f>IF($B305="","",IF(Y$3=0,"n.b.",INDEX(SRC_ZPMW03!$A$1:$ZZ$501,$A305,Y$3)))</f>
        <v/>
      </c>
      <c r="Z305" s="124" t="str">
        <f>IF($B305="","",IF(Z$3=0,"n.b.",INDEX(SRC_ZPMW03!$A$1:$ZZ$501,$A305,Z$3)))</f>
        <v/>
      </c>
      <c r="AA305" s="124" t="str">
        <f>IF($B305="","",IF(AA$3=0,"n.b.",INDEX(SRC_ZPMW03!$A$1:$ZZ$501,$A305,AA$3)))</f>
        <v/>
      </c>
      <c r="AB305" s="124" t="str">
        <f>IF($B305="","",IF(AB$3=0,"n.b.",INDEX(SRC_ZPMW03!$A$1:$ZZ$501,$A305,AB$3)))</f>
        <v/>
      </c>
      <c r="AC305" s="124" t="str">
        <f>IF($B305="","",IF(AC$3=0,"n.b.",INDEX(SRC_ZPMW03!$A$1:$ZZ$501,$A305,AC$3)))</f>
        <v/>
      </c>
      <c r="AD305" s="124" t="str">
        <f>IF($B305="","",IF(AD$3=0,"n.b.",INDEX(SRC_ZPMW03!$A$1:$ZZ$501,$A305,AD$3)))</f>
        <v/>
      </c>
      <c r="AE305" s="124" t="str">
        <f>IF($B305="","",IF(AE$3=0,"n.b.",INDEX(SRC_ZPMW03!$A$1:$ZZ$501,$A305,AE$3)))</f>
        <v/>
      </c>
      <c r="AF305" s="124" t="str">
        <f>IF($B305="","",IF(AF$3=0,"n.b.",INDEX(SRC_ZPMW03!$A$1:$ZZ$501,$A305,AF$3)))</f>
        <v/>
      </c>
      <c r="AG305" s="124" t="str">
        <f>IF($B305="","",IF(AG$3=0,"n.b.",INDEX(SRC_ZPMW03!$A$1:$ZZ$501,$A305,AG$3)))</f>
        <v/>
      </c>
      <c r="AH305" s="124" t="str">
        <f>IF($B305="","",IF(AH$3=0,"n.b.",INDEX(SRC_ZPMW03!$A$1:$ZZ$501,$A305,AH$3)))</f>
        <v/>
      </c>
      <c r="AI305" s="124" t="str">
        <f>IF($B305="","",IF(AI$3=0,"n.b.",INDEX(SRC_ZPMW03!$A$1:$ZZ$501,$A305,AI$3)))</f>
        <v/>
      </c>
      <c r="AJ305" s="124" t="str">
        <f>IF($B305="","",IF(AJ$3=0,"n.b.",INDEX(SRC_ZPMW03!$A$1:$ZZ$501,$A305,AJ$3)))</f>
        <v/>
      </c>
      <c r="AK305" s="124" t="str">
        <f>IF($B305="","",IF(AK$3=0,"n.b.",INDEX(SRC_ZPMW03!$A$1:$ZZ$501,$A305,AK$3)))</f>
        <v/>
      </c>
      <c r="AL305" s="124" t="str">
        <f>IF($B305="","",IF(AL$3=0,"n.b.",INDEX(SRC_ZPMW03!$A$1:$ZZ$501,$A305,AL$3)))</f>
        <v/>
      </c>
      <c r="AM305" s="124" t="str">
        <f>IF($B305="","",IF(AM$3=0,"n.b.",INDEX(SRC_ZPMW03!$A$1:$ZZ$501,$A305,AM$3)))</f>
        <v/>
      </c>
      <c r="AN305" s="124" t="str">
        <f>IF($B305="","",IF(AN$3=0,"n.b.",INDEX(SRC_ZPMW03!$A$1:$ZZ$501,$A305,AN$3)))</f>
        <v/>
      </c>
      <c r="AO305" s="124" t="str">
        <f>IF($B305="","",IF(AO$3=0,"n.b.",INDEX(SRC_ZPMW03!$A$1:$ZZ$501,$A305,AO$3)))</f>
        <v/>
      </c>
      <c r="AP305" s="124" t="str">
        <f>IF($B305="","",IF(AP$3=0,"n.b.",INDEX(SRC_ZPMW03!$A$1:$ZZ$501,$A305,AP$3)))</f>
        <v/>
      </c>
      <c r="AQ305" s="124" t="str">
        <f>IF($B305="","",IF(AQ$3=0,"n.b.",INDEX(SRC_ZPMW03!$A$1:$ZZ$501,$A305,AQ$3)))</f>
        <v/>
      </c>
      <c r="AR305" s="124" t="str">
        <f>IF($B305="","",IF(AR$3=0,"n.b.",INDEX(SRC_ZPMW03!$A$1:$ZZ$501,$A305,AR$3)))</f>
        <v/>
      </c>
      <c r="AS305" s="124" t="str">
        <f>IF($B305="","",IF(AS$3=0,"n.b.",INDEX(SRC_ZPMW03!$A$1:$ZZ$501,$A305,AS$3)))</f>
        <v/>
      </c>
      <c r="AT305" s="124" t="str">
        <f>IF($B305="","",IF(AT$3=0,"n.b.",INDEX(SRC_ZPMW03!$A$1:$ZZ$501,$A305,AT$3)))</f>
        <v/>
      </c>
      <c r="AU305" s="124" t="str">
        <f>IF($B305="","",IF(AU$3=0,"n.b.",INDEX(SRC_ZPMW03!$A$1:$ZZ$501,$A305,AU$3)))</f>
        <v/>
      </c>
      <c r="AV305" s="124" t="str">
        <f>IF($B305="","",IF(AV$3=0,"n.b.",INDEX(SRC_ZPMW03!$A$1:$ZZ$501,$A305,AV$3)))</f>
        <v/>
      </c>
      <c r="AW305" s="124" t="str">
        <f>IF($B305="","",IF(AW$3=0,"n.b.",INDEX(SRC_ZPMW03!$A$1:$ZZ$501,$A305,AW$3)))</f>
        <v/>
      </c>
      <c r="AX305" s="124" t="str">
        <f>IF($B305="","",IF(AX$3=0,"n.b.",INDEX(SRC_ZPMW03!$A$1:$ZZ$501,$A305,AX$3)))</f>
        <v/>
      </c>
      <c r="AY305" s="124" t="str">
        <f>IF($B305="","",IF(AY$3=0,"n.b.",INDEX(SRC_ZPMW03!$A$1:$ZZ$501,$A305,AY$3)))</f>
        <v/>
      </c>
      <c r="AZ305" s="124" t="str">
        <f>IF($B305="","",IF(AZ$3=0,"n.b.",INDEX(SRC_ZPMW03!$A$1:$ZZ$501,$A305,AZ$3)))</f>
        <v/>
      </c>
      <c r="BA305" s="124" t="str">
        <f>IF($B305="","",IF(BA$3=0,"n.b.",INDEX(SRC_ZPMW03!$A$1:$ZZ$501,$A305,BA$3)))</f>
        <v/>
      </c>
      <c r="BB305" s="124" t="str">
        <f>IF($B305="","",IF(BB$3=0,"n.b.",INDEX(SRC_ZPMW03!$A$1:$ZZ$501,$A305,BB$3)))</f>
        <v/>
      </c>
      <c r="BC305" s="124" t="str">
        <f>IF($B305="","",IF(BC$3=0,"n.b.",INDEX(SRC_ZPMW03!$A$1:$ZZ$501,$A305,BC$3)))</f>
        <v/>
      </c>
      <c r="BD305" s="124" t="str">
        <f>IF($B305="","",IF(BD$3=0,"n.b.",INDEX(SRC_ZPMW03!$A$1:$ZZ$501,$A305,BD$3)))</f>
        <v/>
      </c>
      <c r="BE305" s="124" t="str">
        <f>IF($B305="","",IF(BE$3=0,"n.b.",INDEX(SRC_ZPMW03!$A$1:$ZZ$501,$A305,BE$3)))</f>
        <v/>
      </c>
      <c r="BF305" s="124" t="str">
        <f>IF($B305="","",IF(BF$3=0,"n.b.",INDEX(SRC_ZPMW03!$A$1:$ZZ$501,$A305,BF$3)))</f>
        <v/>
      </c>
      <c r="BG305" t="str">
        <f>IF($B305="","",IF(BG$3=0,"n.b.",INDEX(SRC_ZPMW03!$A$1:$ZZ$501,$A305,BG$3)))</f>
        <v/>
      </c>
      <c r="BH305" t="str">
        <f>IF($B305="","",IF(BH$3=0,"n.b.",INDEX(SRC_ZPMW03!$A$1:$ZZ$501,$A305,BH$3)))</f>
        <v/>
      </c>
      <c r="BI305" t="str">
        <f>IF($B305="","",IF(BI$3=0,"n.b.",INDEX(SRC_ZPMW03!$A$1:$ZZ$501,$A305,BI$3)))</f>
        <v/>
      </c>
      <c r="BJ305" t="str">
        <f>IF($B305="","",IF(BJ$3=0,"n.b.",INDEX(SRC_ZPMW03!$A$1:$ZZ$501,$A305,BJ$3)))</f>
        <v/>
      </c>
      <c r="BK305" s="124" t="str">
        <f>IF($B305="","",IFERROR(-O305,"n.b."))</f>
        <v/>
      </c>
      <c r="BL305" s="124" t="str">
        <f>IF($B305="","",IFERROR(-Q305,"n.b."))</f>
        <v/>
      </c>
      <c r="BM305" s="124" t="str">
        <f>IF($B305="","",IFERROR(-AB305,"n.b."))</f>
        <v/>
      </c>
      <c r="BN305" s="124" t="str">
        <f>IF($B305="","",IFERROR(-AD305,"n.b."))</f>
        <v/>
      </c>
      <c r="BO305" s="124" t="str">
        <f>IF($B305="","",IFERROR(BK305+BM305,"n.b."))</f>
        <v/>
      </c>
      <c r="BP305" s="124" t="str">
        <f>IF($B305="","",IFERROR(BL305+BN305,"n.b."))</f>
        <v/>
      </c>
      <c r="BQ305" s="124" t="str">
        <f>IF($B305="","",IFERROR(-AM305,"n.b."))</f>
        <v/>
      </c>
      <c r="BR305" s="124" t="str">
        <f>IF($B305="","",IFERROR(-AO305,"n.b."))</f>
        <v/>
      </c>
      <c r="BS305" s="124" t="str">
        <f>IF($B305="","",IFERROR(-Z305,"n.b."))</f>
        <v/>
      </c>
      <c r="BT305" s="124" t="str">
        <f>IF($B305="","",IFERROR(-AA305,"n.b."))</f>
        <v/>
      </c>
      <c r="BU305" s="124" t="str">
        <f>IF($B305="","",IFERROR(-AE305,"n.b."))</f>
        <v/>
      </c>
      <c r="BV305" s="124" t="str">
        <f>IF($B305="","",IFERROR(-AF305,"n.b."))</f>
        <v/>
      </c>
      <c r="BW305" s="124" t="str">
        <f>IF($B305="","",IFERROR(-AG305,"n.b."))</f>
        <v/>
      </c>
      <c r="BX305" s="124" t="str">
        <f>IF($B305="","",IFERROR(-AH305,"n.b."))</f>
        <v/>
      </c>
      <c r="BY305" s="124" t="str">
        <f>IF($B305="","",IFERROR(-AI305,"n.b."))</f>
        <v/>
      </c>
      <c r="BZ305" s="124" t="str">
        <f>IF($B305="","",IFERROR(-AJ305,"n.b."))</f>
        <v/>
      </c>
      <c r="CA305" s="124" t="str">
        <f>IF($B305="","",IFERROR(-AK305,"n.b."))</f>
        <v/>
      </c>
      <c r="CB305" s="124" t="str">
        <f>IF($B305="","",IFERROR(-AL305,"n.b."))</f>
        <v/>
      </c>
      <c r="CC305" s="124" t="str">
        <f>IF($B305="","",IFERROR(-AP305,"n.b."))</f>
        <v/>
      </c>
      <c r="CD305" s="124" t="str">
        <f>IF($B305="","",IFERROR(-AQ305,"n.b."))</f>
        <v/>
      </c>
      <c r="CE305" s="124" t="str">
        <f>IF($B305="","",IFERROR(-AR305,"n.b."))</f>
        <v/>
      </c>
      <c r="CF305" s="124" t="str">
        <f>IF($B305="","",IFERROR(-AS305,"n.b."))</f>
        <v/>
      </c>
      <c r="CG305" s="124" t="str">
        <f>IF($B305="","",IFERROR(-AT305,"n.b."))</f>
        <v/>
      </c>
      <c r="CH305" s="124" t="str">
        <f>IF($B305="","",IFERROR(-AU305,"n.b."))</f>
        <v/>
      </c>
      <c r="CI305" s="124" t="str">
        <f>IF($B305="","",IFERROR(-AV305,"n.b."))</f>
        <v/>
      </c>
      <c r="CJ305" s="124" t="str">
        <f>IF($B305="","",IFERROR(-AW305,"n.b."))</f>
        <v/>
      </c>
      <c r="CK305" s="124" t="str">
        <f>IF($B305="","",IFERROR(-AX305,"n.b."))</f>
        <v/>
      </c>
      <c r="CL305" s="124" t="str">
        <f>IF($B305="","",IFERROR(-AY305,"n.b."))</f>
        <v/>
      </c>
      <c r="CM305" s="124" t="str">
        <f>IF($B305="","",IFERROR(-AZ305,"n.b."))</f>
        <v/>
      </c>
      <c r="CN305" s="124" t="str">
        <f>IF($B305="","",IFERROR(-BA305,"n.b."))</f>
        <v/>
      </c>
      <c r="CO305" s="124" t="str">
        <f>IF($B305="","",IFERROR(-BB305,"n.b."))</f>
        <v/>
      </c>
      <c r="CP305" s="124" t="str">
        <f>IF($B305="","",IFERROR(-BC305,"n.b."))</f>
        <v/>
      </c>
      <c r="CQ305" s="124" t="str">
        <f>IF($B305="","",IFERROR(-BD305,"n.b."))</f>
        <v/>
      </c>
      <c r="CR305" s="124" t="str">
        <f>IF($B305="","",IFERROR(-BE305,"n.b."))</f>
        <v/>
      </c>
      <c r="CS305" s="124" t="str">
        <f>IF($B305="","",IFERROR(IF(OR(ABS(T305+V305+X305+Z305-AB305)&gt;P_Tol,ABS(U305+W305+Y305+AA305-AD305)&gt;P_Tol,ABS(AE305+AG305+AI305+AK305-AM305)&gt;P_Tol,ABS(AF305+AH305+AJ305+AL305-AO305)&gt;P_Tol),1,0),1))</f>
        <v/>
      </c>
      <c r="CT305" s="124" t="str">
        <f>IF($B305="","",IFERROR(IF(OR(ABS(AB305+AC305-AD305)&gt;P_Tol,ABS(AM305+AN305-AO305)&gt;P_Tol,ABS(O305+P305-Q305)&gt;P_Tol),1,0),1))</f>
        <v/>
      </c>
      <c r="CU305" s="124" t="str">
        <f>IF($B305="","",IFERROR(IF(ABS(R305-(AB305+AM305+AP305+AR305+AT305+AV305+AX305+AZ305+BB305+BD305))&gt;P_Tol,1,0),1))</f>
        <v/>
      </c>
      <c r="CV305" s="124" t="str">
        <f>IF($B305="","",IFERROR(IF(ABS(M305-(N305+O305+R305))&gt;P_Tol,1,0),1))</f>
        <v/>
      </c>
      <c r="CW305" s="124" t="str">
        <f>IF($B305="","",IF(COUNTIF(Mapping!$A$5:$A$104,B305)&gt;0,1,0))</f>
        <v/>
      </c>
      <c r="CX305" s="124" t="str">
        <f>IF($B305="","",COUNTIF($B$6:$B$505,B305))</f>
        <v/>
      </c>
      <c r="CY305" s="124" t="str">
        <f>IF($B305="","",COUNTIF(STG_Woningetalage!$B$6:$B$505,B305))</f>
        <v/>
      </c>
      <c r="CZ305" s="124" t="str">
        <f>IF($B305="","",IF(CW305=0,COUNTIF($CW$6:CW305,0),""))</f>
        <v/>
      </c>
    </row>
    <row r="306">
      <c r="A306" s="15" t="n">
        <v>302</v>
      </c>
      <c r="B306" t="str">
        <f>IF(B$3=0,"",IF(INDEX(SRC_ZPMW03!$A$1:$ZZ$501,$A306,B$3)&amp;""="","",INDEX(SRC_ZPMW03!$A$1:$ZZ$501,$A306,B$3)&amp;""))</f>
        <v/>
      </c>
      <c r="C306" t="str">
        <f>IF($B306="","",IF(C$3=0,"n.b.",INDEX(SRC_ZPMW03!$A$1:$ZZ$501,$A306,C$3)))</f>
        <v/>
      </c>
      <c r="D306" t="str">
        <f>IF($B306="","",IF(D$3=0,"n.b.",INDEX(SRC_ZPMW03!$A$1:$ZZ$501,$A306,D$3)))</f>
        <v/>
      </c>
      <c r="E306" t="str">
        <f>IF($B306="","",IF(E$3=0,"n.b.",INDEX(SRC_ZPMW03!$A$1:$ZZ$501,$A306,E$3)))</f>
        <v/>
      </c>
      <c r="F306" t="str">
        <f>IF($B306="","",IF(F$3=0,"n.b.",INDEX(SRC_ZPMW03!$A$1:$ZZ$501,$A306,F$3)))</f>
        <v/>
      </c>
      <c r="G306" t="str">
        <f>IF($B306="","",IF(G$3=0,"n.b.",INDEX(SRC_ZPMW03!$A$1:$ZZ$501,$A306,G$3)))</f>
        <v/>
      </c>
      <c r="H306" t="str">
        <f>IF($B306="","",IF(H$3=0,"n.b.",INDEX(SRC_ZPMW03!$A$1:$ZZ$501,$A306,H$3)))</f>
        <v/>
      </c>
      <c r="I306" t="str">
        <f>IF($B306="","",IF(I$3=0,"n.b.",INDEX(SRC_ZPMW03!$A$1:$ZZ$501,$A306,I$3)))</f>
        <v/>
      </c>
      <c r="J306" t="str">
        <f>IF($B306="","",IF(J$3=0,"n.b.",INDEX(SRC_ZPMW03!$A$1:$ZZ$501,$A306,J$3)))</f>
        <v/>
      </c>
      <c r="K306" t="str">
        <f>IF($B306="","",IF(K$3=0,"n.b.",INDEX(SRC_ZPMW03!$A$1:$ZZ$501,$A306,K$3)))</f>
        <v/>
      </c>
      <c r="L306" s="124" t="str">
        <f>IF($B306="","",IF(L$3=0,"n.b.",INDEX(SRC_ZPMW03!$A$1:$ZZ$501,$A306,L$3)))</f>
        <v/>
      </c>
      <c r="M306" s="124" t="str">
        <f>IF($B306="","",IF(M$3=0,"n.b.",INDEX(SRC_ZPMW03!$A$1:$ZZ$501,$A306,M$3)))</f>
        <v/>
      </c>
      <c r="N306" s="124" t="str">
        <f>IF($B306="","",IF(N$3=0,"n.b.",INDEX(SRC_ZPMW03!$A$1:$ZZ$501,$A306,N$3)))</f>
        <v/>
      </c>
      <c r="O306" s="124" t="str">
        <f>IF($B306="","",IF(O$3=0,"n.b.",INDEX(SRC_ZPMW03!$A$1:$ZZ$501,$A306,O$3)))</f>
        <v/>
      </c>
      <c r="P306" s="124" t="str">
        <f>IF($B306="","",IF(P$3=0,"n.b.",INDEX(SRC_ZPMW03!$A$1:$ZZ$501,$A306,P$3)))</f>
        <v/>
      </c>
      <c r="Q306" s="124" t="str">
        <f>IF($B306="","",IF(Q$3=0,"n.b.",INDEX(SRC_ZPMW03!$A$1:$ZZ$501,$A306,Q$3)))</f>
        <v/>
      </c>
      <c r="R306" s="124" t="str">
        <f>IF($B306="","",IF(R$3=0,"n.b.",INDEX(SRC_ZPMW03!$A$1:$ZZ$501,$A306,R$3)))</f>
        <v/>
      </c>
      <c r="S306" s="124" t="str">
        <f>IF($B306="","",IF(S$3=0,"n.b.",INDEX(SRC_ZPMW03!$A$1:$ZZ$501,$A306,S$3)))</f>
        <v/>
      </c>
      <c r="T306" s="124" t="str">
        <f>IF($B306="","",IF(T$3=0,"n.b.",INDEX(SRC_ZPMW03!$A$1:$ZZ$501,$A306,T$3)))</f>
        <v/>
      </c>
      <c r="U306" s="124" t="str">
        <f>IF($B306="","",IF(U$3=0,"n.b.",INDEX(SRC_ZPMW03!$A$1:$ZZ$501,$A306,U$3)))</f>
        <v/>
      </c>
      <c r="V306" s="124" t="str">
        <f>IF($B306="","",IF(V$3=0,"n.b.",INDEX(SRC_ZPMW03!$A$1:$ZZ$501,$A306,V$3)))</f>
        <v/>
      </c>
      <c r="W306" s="124" t="str">
        <f>IF($B306="","",IF(W$3=0,"n.b.",INDEX(SRC_ZPMW03!$A$1:$ZZ$501,$A306,W$3)))</f>
        <v/>
      </c>
      <c r="X306" s="124" t="str">
        <f>IF($B306="","",IF(X$3=0,"n.b.",INDEX(SRC_ZPMW03!$A$1:$ZZ$501,$A306,X$3)))</f>
        <v/>
      </c>
      <c r="Y306" s="124" t="str">
        <f>IF($B306="","",IF(Y$3=0,"n.b.",INDEX(SRC_ZPMW03!$A$1:$ZZ$501,$A306,Y$3)))</f>
        <v/>
      </c>
      <c r="Z306" s="124" t="str">
        <f>IF($B306="","",IF(Z$3=0,"n.b.",INDEX(SRC_ZPMW03!$A$1:$ZZ$501,$A306,Z$3)))</f>
        <v/>
      </c>
      <c r="AA306" s="124" t="str">
        <f>IF($B306="","",IF(AA$3=0,"n.b.",INDEX(SRC_ZPMW03!$A$1:$ZZ$501,$A306,AA$3)))</f>
        <v/>
      </c>
      <c r="AB306" s="124" t="str">
        <f>IF($B306="","",IF(AB$3=0,"n.b.",INDEX(SRC_ZPMW03!$A$1:$ZZ$501,$A306,AB$3)))</f>
        <v/>
      </c>
      <c r="AC306" s="124" t="str">
        <f>IF($B306="","",IF(AC$3=0,"n.b.",INDEX(SRC_ZPMW03!$A$1:$ZZ$501,$A306,AC$3)))</f>
        <v/>
      </c>
      <c r="AD306" s="124" t="str">
        <f>IF($B306="","",IF(AD$3=0,"n.b.",INDEX(SRC_ZPMW03!$A$1:$ZZ$501,$A306,AD$3)))</f>
        <v/>
      </c>
      <c r="AE306" s="124" t="str">
        <f>IF($B306="","",IF(AE$3=0,"n.b.",INDEX(SRC_ZPMW03!$A$1:$ZZ$501,$A306,AE$3)))</f>
        <v/>
      </c>
      <c r="AF306" s="124" t="str">
        <f>IF($B306="","",IF(AF$3=0,"n.b.",INDEX(SRC_ZPMW03!$A$1:$ZZ$501,$A306,AF$3)))</f>
        <v/>
      </c>
      <c r="AG306" s="124" t="str">
        <f>IF($B306="","",IF(AG$3=0,"n.b.",INDEX(SRC_ZPMW03!$A$1:$ZZ$501,$A306,AG$3)))</f>
        <v/>
      </c>
      <c r="AH306" s="124" t="str">
        <f>IF($B306="","",IF(AH$3=0,"n.b.",INDEX(SRC_ZPMW03!$A$1:$ZZ$501,$A306,AH$3)))</f>
        <v/>
      </c>
      <c r="AI306" s="124" t="str">
        <f>IF($B306="","",IF(AI$3=0,"n.b.",INDEX(SRC_ZPMW03!$A$1:$ZZ$501,$A306,AI$3)))</f>
        <v/>
      </c>
      <c r="AJ306" s="124" t="str">
        <f>IF($B306="","",IF(AJ$3=0,"n.b.",INDEX(SRC_ZPMW03!$A$1:$ZZ$501,$A306,AJ$3)))</f>
        <v/>
      </c>
      <c r="AK306" s="124" t="str">
        <f>IF($B306="","",IF(AK$3=0,"n.b.",INDEX(SRC_ZPMW03!$A$1:$ZZ$501,$A306,AK$3)))</f>
        <v/>
      </c>
      <c r="AL306" s="124" t="str">
        <f>IF($B306="","",IF(AL$3=0,"n.b.",INDEX(SRC_ZPMW03!$A$1:$ZZ$501,$A306,AL$3)))</f>
        <v/>
      </c>
      <c r="AM306" s="124" t="str">
        <f>IF($B306="","",IF(AM$3=0,"n.b.",INDEX(SRC_ZPMW03!$A$1:$ZZ$501,$A306,AM$3)))</f>
        <v/>
      </c>
      <c r="AN306" s="124" t="str">
        <f>IF($B306="","",IF(AN$3=0,"n.b.",INDEX(SRC_ZPMW03!$A$1:$ZZ$501,$A306,AN$3)))</f>
        <v/>
      </c>
      <c r="AO306" s="124" t="str">
        <f>IF($B306="","",IF(AO$3=0,"n.b.",INDEX(SRC_ZPMW03!$A$1:$ZZ$501,$A306,AO$3)))</f>
        <v/>
      </c>
      <c r="AP306" s="124" t="str">
        <f>IF($B306="","",IF(AP$3=0,"n.b.",INDEX(SRC_ZPMW03!$A$1:$ZZ$501,$A306,AP$3)))</f>
        <v/>
      </c>
      <c r="AQ306" s="124" t="str">
        <f>IF($B306="","",IF(AQ$3=0,"n.b.",INDEX(SRC_ZPMW03!$A$1:$ZZ$501,$A306,AQ$3)))</f>
        <v/>
      </c>
      <c r="AR306" s="124" t="str">
        <f>IF($B306="","",IF(AR$3=0,"n.b.",INDEX(SRC_ZPMW03!$A$1:$ZZ$501,$A306,AR$3)))</f>
        <v/>
      </c>
      <c r="AS306" s="124" t="str">
        <f>IF($B306="","",IF(AS$3=0,"n.b.",INDEX(SRC_ZPMW03!$A$1:$ZZ$501,$A306,AS$3)))</f>
        <v/>
      </c>
      <c r="AT306" s="124" t="str">
        <f>IF($B306="","",IF(AT$3=0,"n.b.",INDEX(SRC_ZPMW03!$A$1:$ZZ$501,$A306,AT$3)))</f>
        <v/>
      </c>
      <c r="AU306" s="124" t="str">
        <f>IF($B306="","",IF(AU$3=0,"n.b.",INDEX(SRC_ZPMW03!$A$1:$ZZ$501,$A306,AU$3)))</f>
        <v/>
      </c>
      <c r="AV306" s="124" t="str">
        <f>IF($B306="","",IF(AV$3=0,"n.b.",INDEX(SRC_ZPMW03!$A$1:$ZZ$501,$A306,AV$3)))</f>
        <v/>
      </c>
      <c r="AW306" s="124" t="str">
        <f>IF($B306="","",IF(AW$3=0,"n.b.",INDEX(SRC_ZPMW03!$A$1:$ZZ$501,$A306,AW$3)))</f>
        <v/>
      </c>
      <c r="AX306" s="124" t="str">
        <f>IF($B306="","",IF(AX$3=0,"n.b.",INDEX(SRC_ZPMW03!$A$1:$ZZ$501,$A306,AX$3)))</f>
        <v/>
      </c>
      <c r="AY306" s="124" t="str">
        <f>IF($B306="","",IF(AY$3=0,"n.b.",INDEX(SRC_ZPMW03!$A$1:$ZZ$501,$A306,AY$3)))</f>
        <v/>
      </c>
      <c r="AZ306" s="124" t="str">
        <f>IF($B306="","",IF(AZ$3=0,"n.b.",INDEX(SRC_ZPMW03!$A$1:$ZZ$501,$A306,AZ$3)))</f>
        <v/>
      </c>
      <c r="BA306" s="124" t="str">
        <f>IF($B306="","",IF(BA$3=0,"n.b.",INDEX(SRC_ZPMW03!$A$1:$ZZ$501,$A306,BA$3)))</f>
        <v/>
      </c>
      <c r="BB306" s="124" t="str">
        <f>IF($B306="","",IF(BB$3=0,"n.b.",INDEX(SRC_ZPMW03!$A$1:$ZZ$501,$A306,BB$3)))</f>
        <v/>
      </c>
      <c r="BC306" s="124" t="str">
        <f>IF($B306="","",IF(BC$3=0,"n.b.",INDEX(SRC_ZPMW03!$A$1:$ZZ$501,$A306,BC$3)))</f>
        <v/>
      </c>
      <c r="BD306" s="124" t="str">
        <f>IF($B306="","",IF(BD$3=0,"n.b.",INDEX(SRC_ZPMW03!$A$1:$ZZ$501,$A306,BD$3)))</f>
        <v/>
      </c>
      <c r="BE306" s="124" t="str">
        <f>IF($B306="","",IF(BE$3=0,"n.b.",INDEX(SRC_ZPMW03!$A$1:$ZZ$501,$A306,BE$3)))</f>
        <v/>
      </c>
      <c r="BF306" s="124" t="str">
        <f>IF($B306="","",IF(BF$3=0,"n.b.",INDEX(SRC_ZPMW03!$A$1:$ZZ$501,$A306,BF$3)))</f>
        <v/>
      </c>
      <c r="BG306" t="str">
        <f>IF($B306="","",IF(BG$3=0,"n.b.",INDEX(SRC_ZPMW03!$A$1:$ZZ$501,$A306,BG$3)))</f>
        <v/>
      </c>
      <c r="BH306" t="str">
        <f>IF($B306="","",IF(BH$3=0,"n.b.",INDEX(SRC_ZPMW03!$A$1:$ZZ$501,$A306,BH$3)))</f>
        <v/>
      </c>
      <c r="BI306" t="str">
        <f>IF($B306="","",IF(BI$3=0,"n.b.",INDEX(SRC_ZPMW03!$A$1:$ZZ$501,$A306,BI$3)))</f>
        <v/>
      </c>
      <c r="BJ306" t="str">
        <f>IF($B306="","",IF(BJ$3=0,"n.b.",INDEX(SRC_ZPMW03!$A$1:$ZZ$501,$A306,BJ$3)))</f>
        <v/>
      </c>
      <c r="BK306" s="124" t="str">
        <f>IF($B306="","",IFERROR(-O306,"n.b."))</f>
        <v/>
      </c>
      <c r="BL306" s="124" t="str">
        <f>IF($B306="","",IFERROR(-Q306,"n.b."))</f>
        <v/>
      </c>
      <c r="BM306" s="124" t="str">
        <f>IF($B306="","",IFERROR(-AB306,"n.b."))</f>
        <v/>
      </c>
      <c r="BN306" s="124" t="str">
        <f>IF($B306="","",IFERROR(-AD306,"n.b."))</f>
        <v/>
      </c>
      <c r="BO306" s="124" t="str">
        <f>IF($B306="","",IFERROR(BK306+BM306,"n.b."))</f>
        <v/>
      </c>
      <c r="BP306" s="124" t="str">
        <f>IF($B306="","",IFERROR(BL306+BN306,"n.b."))</f>
        <v/>
      </c>
      <c r="BQ306" s="124" t="str">
        <f>IF($B306="","",IFERROR(-AM306,"n.b."))</f>
        <v/>
      </c>
      <c r="BR306" s="124" t="str">
        <f>IF($B306="","",IFERROR(-AO306,"n.b."))</f>
        <v/>
      </c>
      <c r="BS306" s="124" t="str">
        <f>IF($B306="","",IFERROR(-Z306,"n.b."))</f>
        <v/>
      </c>
      <c r="BT306" s="124" t="str">
        <f>IF($B306="","",IFERROR(-AA306,"n.b."))</f>
        <v/>
      </c>
      <c r="BU306" s="124" t="str">
        <f>IF($B306="","",IFERROR(-AE306,"n.b."))</f>
        <v/>
      </c>
      <c r="BV306" s="124" t="str">
        <f>IF($B306="","",IFERROR(-AF306,"n.b."))</f>
        <v/>
      </c>
      <c r="BW306" s="124" t="str">
        <f>IF($B306="","",IFERROR(-AG306,"n.b."))</f>
        <v/>
      </c>
      <c r="BX306" s="124" t="str">
        <f>IF($B306="","",IFERROR(-AH306,"n.b."))</f>
        <v/>
      </c>
      <c r="BY306" s="124" t="str">
        <f>IF($B306="","",IFERROR(-AI306,"n.b."))</f>
        <v/>
      </c>
      <c r="BZ306" s="124" t="str">
        <f>IF($B306="","",IFERROR(-AJ306,"n.b."))</f>
        <v/>
      </c>
      <c r="CA306" s="124" t="str">
        <f>IF($B306="","",IFERROR(-AK306,"n.b."))</f>
        <v/>
      </c>
      <c r="CB306" s="124" t="str">
        <f>IF($B306="","",IFERROR(-AL306,"n.b."))</f>
        <v/>
      </c>
      <c r="CC306" s="124" t="str">
        <f>IF($B306="","",IFERROR(-AP306,"n.b."))</f>
        <v/>
      </c>
      <c r="CD306" s="124" t="str">
        <f>IF($B306="","",IFERROR(-AQ306,"n.b."))</f>
        <v/>
      </c>
      <c r="CE306" s="124" t="str">
        <f>IF($B306="","",IFERROR(-AR306,"n.b."))</f>
        <v/>
      </c>
      <c r="CF306" s="124" t="str">
        <f>IF($B306="","",IFERROR(-AS306,"n.b."))</f>
        <v/>
      </c>
      <c r="CG306" s="124" t="str">
        <f>IF($B306="","",IFERROR(-AT306,"n.b."))</f>
        <v/>
      </c>
      <c r="CH306" s="124" t="str">
        <f>IF($B306="","",IFERROR(-AU306,"n.b."))</f>
        <v/>
      </c>
      <c r="CI306" s="124" t="str">
        <f>IF($B306="","",IFERROR(-AV306,"n.b."))</f>
        <v/>
      </c>
      <c r="CJ306" s="124" t="str">
        <f>IF($B306="","",IFERROR(-AW306,"n.b."))</f>
        <v/>
      </c>
      <c r="CK306" s="124" t="str">
        <f>IF($B306="","",IFERROR(-AX306,"n.b."))</f>
        <v/>
      </c>
      <c r="CL306" s="124" t="str">
        <f>IF($B306="","",IFERROR(-AY306,"n.b."))</f>
        <v/>
      </c>
      <c r="CM306" s="124" t="str">
        <f>IF($B306="","",IFERROR(-AZ306,"n.b."))</f>
        <v/>
      </c>
      <c r="CN306" s="124" t="str">
        <f>IF($B306="","",IFERROR(-BA306,"n.b."))</f>
        <v/>
      </c>
      <c r="CO306" s="124" t="str">
        <f>IF($B306="","",IFERROR(-BB306,"n.b."))</f>
        <v/>
      </c>
      <c r="CP306" s="124" t="str">
        <f>IF($B306="","",IFERROR(-BC306,"n.b."))</f>
        <v/>
      </c>
      <c r="CQ306" s="124" t="str">
        <f>IF($B306="","",IFERROR(-BD306,"n.b."))</f>
        <v/>
      </c>
      <c r="CR306" s="124" t="str">
        <f>IF($B306="","",IFERROR(-BE306,"n.b."))</f>
        <v/>
      </c>
      <c r="CS306" s="124" t="str">
        <f>IF($B306="","",IFERROR(IF(OR(ABS(T306+V306+X306+Z306-AB306)&gt;P_Tol,ABS(U306+W306+Y306+AA306-AD306)&gt;P_Tol,ABS(AE306+AG306+AI306+AK306-AM306)&gt;P_Tol,ABS(AF306+AH306+AJ306+AL306-AO306)&gt;P_Tol),1,0),1))</f>
        <v/>
      </c>
      <c r="CT306" s="124" t="str">
        <f>IF($B306="","",IFERROR(IF(OR(ABS(AB306+AC306-AD306)&gt;P_Tol,ABS(AM306+AN306-AO306)&gt;P_Tol,ABS(O306+P306-Q306)&gt;P_Tol),1,0),1))</f>
        <v/>
      </c>
      <c r="CU306" s="124" t="str">
        <f>IF($B306="","",IFERROR(IF(ABS(R306-(AB306+AM306+AP306+AR306+AT306+AV306+AX306+AZ306+BB306+BD306))&gt;P_Tol,1,0),1))</f>
        <v/>
      </c>
      <c r="CV306" s="124" t="str">
        <f>IF($B306="","",IFERROR(IF(ABS(M306-(N306+O306+R306))&gt;P_Tol,1,0),1))</f>
        <v/>
      </c>
      <c r="CW306" s="124" t="str">
        <f>IF($B306="","",IF(COUNTIF(Mapping!$A$5:$A$104,B306)&gt;0,1,0))</f>
        <v/>
      </c>
      <c r="CX306" s="124" t="str">
        <f>IF($B306="","",COUNTIF($B$6:$B$505,B306))</f>
        <v/>
      </c>
      <c r="CY306" s="124" t="str">
        <f>IF($B306="","",COUNTIF(STG_Woningetalage!$B$6:$B$505,B306))</f>
        <v/>
      </c>
      <c r="CZ306" s="124" t="str">
        <f>IF($B306="","",IF(CW306=0,COUNTIF($CW$6:CW306,0),""))</f>
        <v/>
      </c>
    </row>
    <row r="307">
      <c r="A307" s="15" t="n">
        <v>303</v>
      </c>
      <c r="B307" t="str">
        <f>IF(B$3=0,"",IF(INDEX(SRC_ZPMW03!$A$1:$ZZ$501,$A307,B$3)&amp;""="","",INDEX(SRC_ZPMW03!$A$1:$ZZ$501,$A307,B$3)&amp;""))</f>
        <v/>
      </c>
      <c r="C307" t="str">
        <f>IF($B307="","",IF(C$3=0,"n.b.",INDEX(SRC_ZPMW03!$A$1:$ZZ$501,$A307,C$3)))</f>
        <v/>
      </c>
      <c r="D307" t="str">
        <f>IF($B307="","",IF(D$3=0,"n.b.",INDEX(SRC_ZPMW03!$A$1:$ZZ$501,$A307,D$3)))</f>
        <v/>
      </c>
      <c r="E307" t="str">
        <f>IF($B307="","",IF(E$3=0,"n.b.",INDEX(SRC_ZPMW03!$A$1:$ZZ$501,$A307,E$3)))</f>
        <v/>
      </c>
      <c r="F307" t="str">
        <f>IF($B307="","",IF(F$3=0,"n.b.",INDEX(SRC_ZPMW03!$A$1:$ZZ$501,$A307,F$3)))</f>
        <v/>
      </c>
      <c r="G307" t="str">
        <f>IF($B307="","",IF(G$3=0,"n.b.",INDEX(SRC_ZPMW03!$A$1:$ZZ$501,$A307,G$3)))</f>
        <v/>
      </c>
      <c r="H307" t="str">
        <f>IF($B307="","",IF(H$3=0,"n.b.",INDEX(SRC_ZPMW03!$A$1:$ZZ$501,$A307,H$3)))</f>
        <v/>
      </c>
      <c r="I307" t="str">
        <f>IF($B307="","",IF(I$3=0,"n.b.",INDEX(SRC_ZPMW03!$A$1:$ZZ$501,$A307,I$3)))</f>
        <v/>
      </c>
      <c r="J307" t="str">
        <f>IF($B307="","",IF(J$3=0,"n.b.",INDEX(SRC_ZPMW03!$A$1:$ZZ$501,$A307,J$3)))</f>
        <v/>
      </c>
      <c r="K307" t="str">
        <f>IF($B307="","",IF(K$3=0,"n.b.",INDEX(SRC_ZPMW03!$A$1:$ZZ$501,$A307,K$3)))</f>
        <v/>
      </c>
      <c r="L307" s="124" t="str">
        <f>IF($B307="","",IF(L$3=0,"n.b.",INDEX(SRC_ZPMW03!$A$1:$ZZ$501,$A307,L$3)))</f>
        <v/>
      </c>
      <c r="M307" s="124" t="str">
        <f>IF($B307="","",IF(M$3=0,"n.b.",INDEX(SRC_ZPMW03!$A$1:$ZZ$501,$A307,M$3)))</f>
        <v/>
      </c>
      <c r="N307" s="124" t="str">
        <f>IF($B307="","",IF(N$3=0,"n.b.",INDEX(SRC_ZPMW03!$A$1:$ZZ$501,$A307,N$3)))</f>
        <v/>
      </c>
      <c r="O307" s="124" t="str">
        <f>IF($B307="","",IF(O$3=0,"n.b.",INDEX(SRC_ZPMW03!$A$1:$ZZ$501,$A307,O$3)))</f>
        <v/>
      </c>
      <c r="P307" s="124" t="str">
        <f>IF($B307="","",IF(P$3=0,"n.b.",INDEX(SRC_ZPMW03!$A$1:$ZZ$501,$A307,P$3)))</f>
        <v/>
      </c>
      <c r="Q307" s="124" t="str">
        <f>IF($B307="","",IF(Q$3=0,"n.b.",INDEX(SRC_ZPMW03!$A$1:$ZZ$501,$A307,Q$3)))</f>
        <v/>
      </c>
      <c r="R307" s="124" t="str">
        <f>IF($B307="","",IF(R$3=0,"n.b.",INDEX(SRC_ZPMW03!$A$1:$ZZ$501,$A307,R$3)))</f>
        <v/>
      </c>
      <c r="S307" s="124" t="str">
        <f>IF($B307="","",IF(S$3=0,"n.b.",INDEX(SRC_ZPMW03!$A$1:$ZZ$501,$A307,S$3)))</f>
        <v/>
      </c>
      <c r="T307" s="124" t="str">
        <f>IF($B307="","",IF(T$3=0,"n.b.",INDEX(SRC_ZPMW03!$A$1:$ZZ$501,$A307,T$3)))</f>
        <v/>
      </c>
      <c r="U307" s="124" t="str">
        <f>IF($B307="","",IF(U$3=0,"n.b.",INDEX(SRC_ZPMW03!$A$1:$ZZ$501,$A307,U$3)))</f>
        <v/>
      </c>
      <c r="V307" s="124" t="str">
        <f>IF($B307="","",IF(V$3=0,"n.b.",INDEX(SRC_ZPMW03!$A$1:$ZZ$501,$A307,V$3)))</f>
        <v/>
      </c>
      <c r="W307" s="124" t="str">
        <f>IF($B307="","",IF(W$3=0,"n.b.",INDEX(SRC_ZPMW03!$A$1:$ZZ$501,$A307,W$3)))</f>
        <v/>
      </c>
      <c r="X307" s="124" t="str">
        <f>IF($B307="","",IF(X$3=0,"n.b.",INDEX(SRC_ZPMW03!$A$1:$ZZ$501,$A307,X$3)))</f>
        <v/>
      </c>
      <c r="Y307" s="124" t="str">
        <f>IF($B307="","",IF(Y$3=0,"n.b.",INDEX(SRC_ZPMW03!$A$1:$ZZ$501,$A307,Y$3)))</f>
        <v/>
      </c>
      <c r="Z307" s="124" t="str">
        <f>IF($B307="","",IF(Z$3=0,"n.b.",INDEX(SRC_ZPMW03!$A$1:$ZZ$501,$A307,Z$3)))</f>
        <v/>
      </c>
      <c r="AA307" s="124" t="str">
        <f>IF($B307="","",IF(AA$3=0,"n.b.",INDEX(SRC_ZPMW03!$A$1:$ZZ$501,$A307,AA$3)))</f>
        <v/>
      </c>
      <c r="AB307" s="124" t="str">
        <f>IF($B307="","",IF(AB$3=0,"n.b.",INDEX(SRC_ZPMW03!$A$1:$ZZ$501,$A307,AB$3)))</f>
        <v/>
      </c>
      <c r="AC307" s="124" t="str">
        <f>IF($B307="","",IF(AC$3=0,"n.b.",INDEX(SRC_ZPMW03!$A$1:$ZZ$501,$A307,AC$3)))</f>
        <v/>
      </c>
      <c r="AD307" s="124" t="str">
        <f>IF($B307="","",IF(AD$3=0,"n.b.",INDEX(SRC_ZPMW03!$A$1:$ZZ$501,$A307,AD$3)))</f>
        <v/>
      </c>
      <c r="AE307" s="124" t="str">
        <f>IF($B307="","",IF(AE$3=0,"n.b.",INDEX(SRC_ZPMW03!$A$1:$ZZ$501,$A307,AE$3)))</f>
        <v/>
      </c>
      <c r="AF307" s="124" t="str">
        <f>IF($B307="","",IF(AF$3=0,"n.b.",INDEX(SRC_ZPMW03!$A$1:$ZZ$501,$A307,AF$3)))</f>
        <v/>
      </c>
      <c r="AG307" s="124" t="str">
        <f>IF($B307="","",IF(AG$3=0,"n.b.",INDEX(SRC_ZPMW03!$A$1:$ZZ$501,$A307,AG$3)))</f>
        <v/>
      </c>
      <c r="AH307" s="124" t="str">
        <f>IF($B307="","",IF(AH$3=0,"n.b.",INDEX(SRC_ZPMW03!$A$1:$ZZ$501,$A307,AH$3)))</f>
        <v/>
      </c>
      <c r="AI307" s="124" t="str">
        <f>IF($B307="","",IF(AI$3=0,"n.b.",INDEX(SRC_ZPMW03!$A$1:$ZZ$501,$A307,AI$3)))</f>
        <v/>
      </c>
      <c r="AJ307" s="124" t="str">
        <f>IF($B307="","",IF(AJ$3=0,"n.b.",INDEX(SRC_ZPMW03!$A$1:$ZZ$501,$A307,AJ$3)))</f>
        <v/>
      </c>
      <c r="AK307" s="124" t="str">
        <f>IF($B307="","",IF(AK$3=0,"n.b.",INDEX(SRC_ZPMW03!$A$1:$ZZ$501,$A307,AK$3)))</f>
        <v/>
      </c>
      <c r="AL307" s="124" t="str">
        <f>IF($B307="","",IF(AL$3=0,"n.b.",INDEX(SRC_ZPMW03!$A$1:$ZZ$501,$A307,AL$3)))</f>
        <v/>
      </c>
      <c r="AM307" s="124" t="str">
        <f>IF($B307="","",IF(AM$3=0,"n.b.",INDEX(SRC_ZPMW03!$A$1:$ZZ$501,$A307,AM$3)))</f>
        <v/>
      </c>
      <c r="AN307" s="124" t="str">
        <f>IF($B307="","",IF(AN$3=0,"n.b.",INDEX(SRC_ZPMW03!$A$1:$ZZ$501,$A307,AN$3)))</f>
        <v/>
      </c>
      <c r="AO307" s="124" t="str">
        <f>IF($B307="","",IF(AO$3=0,"n.b.",INDEX(SRC_ZPMW03!$A$1:$ZZ$501,$A307,AO$3)))</f>
        <v/>
      </c>
      <c r="AP307" s="124" t="str">
        <f>IF($B307="","",IF(AP$3=0,"n.b.",INDEX(SRC_ZPMW03!$A$1:$ZZ$501,$A307,AP$3)))</f>
        <v/>
      </c>
      <c r="AQ307" s="124" t="str">
        <f>IF($B307="","",IF(AQ$3=0,"n.b.",INDEX(SRC_ZPMW03!$A$1:$ZZ$501,$A307,AQ$3)))</f>
        <v/>
      </c>
      <c r="AR307" s="124" t="str">
        <f>IF($B307="","",IF(AR$3=0,"n.b.",INDEX(SRC_ZPMW03!$A$1:$ZZ$501,$A307,AR$3)))</f>
        <v/>
      </c>
      <c r="AS307" s="124" t="str">
        <f>IF($B307="","",IF(AS$3=0,"n.b.",INDEX(SRC_ZPMW03!$A$1:$ZZ$501,$A307,AS$3)))</f>
        <v/>
      </c>
      <c r="AT307" s="124" t="str">
        <f>IF($B307="","",IF(AT$3=0,"n.b.",INDEX(SRC_ZPMW03!$A$1:$ZZ$501,$A307,AT$3)))</f>
        <v/>
      </c>
      <c r="AU307" s="124" t="str">
        <f>IF($B307="","",IF(AU$3=0,"n.b.",INDEX(SRC_ZPMW03!$A$1:$ZZ$501,$A307,AU$3)))</f>
        <v/>
      </c>
      <c r="AV307" s="124" t="str">
        <f>IF($B307="","",IF(AV$3=0,"n.b.",INDEX(SRC_ZPMW03!$A$1:$ZZ$501,$A307,AV$3)))</f>
        <v/>
      </c>
      <c r="AW307" s="124" t="str">
        <f>IF($B307="","",IF(AW$3=0,"n.b.",INDEX(SRC_ZPMW03!$A$1:$ZZ$501,$A307,AW$3)))</f>
        <v/>
      </c>
      <c r="AX307" s="124" t="str">
        <f>IF($B307="","",IF(AX$3=0,"n.b.",INDEX(SRC_ZPMW03!$A$1:$ZZ$501,$A307,AX$3)))</f>
        <v/>
      </c>
      <c r="AY307" s="124" t="str">
        <f>IF($B307="","",IF(AY$3=0,"n.b.",INDEX(SRC_ZPMW03!$A$1:$ZZ$501,$A307,AY$3)))</f>
        <v/>
      </c>
      <c r="AZ307" s="124" t="str">
        <f>IF($B307="","",IF(AZ$3=0,"n.b.",INDEX(SRC_ZPMW03!$A$1:$ZZ$501,$A307,AZ$3)))</f>
        <v/>
      </c>
      <c r="BA307" s="124" t="str">
        <f>IF($B307="","",IF(BA$3=0,"n.b.",INDEX(SRC_ZPMW03!$A$1:$ZZ$501,$A307,BA$3)))</f>
        <v/>
      </c>
      <c r="BB307" s="124" t="str">
        <f>IF($B307="","",IF(BB$3=0,"n.b.",INDEX(SRC_ZPMW03!$A$1:$ZZ$501,$A307,BB$3)))</f>
        <v/>
      </c>
      <c r="BC307" s="124" t="str">
        <f>IF($B307="","",IF(BC$3=0,"n.b.",INDEX(SRC_ZPMW03!$A$1:$ZZ$501,$A307,BC$3)))</f>
        <v/>
      </c>
      <c r="BD307" s="124" t="str">
        <f>IF($B307="","",IF(BD$3=0,"n.b.",INDEX(SRC_ZPMW03!$A$1:$ZZ$501,$A307,BD$3)))</f>
        <v/>
      </c>
      <c r="BE307" s="124" t="str">
        <f>IF($B307="","",IF(BE$3=0,"n.b.",INDEX(SRC_ZPMW03!$A$1:$ZZ$501,$A307,BE$3)))</f>
        <v/>
      </c>
      <c r="BF307" s="124" t="str">
        <f>IF($B307="","",IF(BF$3=0,"n.b.",INDEX(SRC_ZPMW03!$A$1:$ZZ$501,$A307,BF$3)))</f>
        <v/>
      </c>
      <c r="BG307" t="str">
        <f>IF($B307="","",IF(BG$3=0,"n.b.",INDEX(SRC_ZPMW03!$A$1:$ZZ$501,$A307,BG$3)))</f>
        <v/>
      </c>
      <c r="BH307" t="str">
        <f>IF($B307="","",IF(BH$3=0,"n.b.",INDEX(SRC_ZPMW03!$A$1:$ZZ$501,$A307,BH$3)))</f>
        <v/>
      </c>
      <c r="BI307" t="str">
        <f>IF($B307="","",IF(BI$3=0,"n.b.",INDEX(SRC_ZPMW03!$A$1:$ZZ$501,$A307,BI$3)))</f>
        <v/>
      </c>
      <c r="BJ307" t="str">
        <f>IF($B307="","",IF(BJ$3=0,"n.b.",INDEX(SRC_ZPMW03!$A$1:$ZZ$501,$A307,BJ$3)))</f>
        <v/>
      </c>
      <c r="BK307" s="124" t="str">
        <f>IF($B307="","",IFERROR(-O307,"n.b."))</f>
        <v/>
      </c>
      <c r="BL307" s="124" t="str">
        <f>IF($B307="","",IFERROR(-Q307,"n.b."))</f>
        <v/>
      </c>
      <c r="BM307" s="124" t="str">
        <f>IF($B307="","",IFERROR(-AB307,"n.b."))</f>
        <v/>
      </c>
      <c r="BN307" s="124" t="str">
        <f>IF($B307="","",IFERROR(-AD307,"n.b."))</f>
        <v/>
      </c>
      <c r="BO307" s="124" t="str">
        <f>IF($B307="","",IFERROR(BK307+BM307,"n.b."))</f>
        <v/>
      </c>
      <c r="BP307" s="124" t="str">
        <f>IF($B307="","",IFERROR(BL307+BN307,"n.b."))</f>
        <v/>
      </c>
      <c r="BQ307" s="124" t="str">
        <f>IF($B307="","",IFERROR(-AM307,"n.b."))</f>
        <v/>
      </c>
      <c r="BR307" s="124" t="str">
        <f>IF($B307="","",IFERROR(-AO307,"n.b."))</f>
        <v/>
      </c>
      <c r="BS307" s="124" t="str">
        <f>IF($B307="","",IFERROR(-Z307,"n.b."))</f>
        <v/>
      </c>
      <c r="BT307" s="124" t="str">
        <f>IF($B307="","",IFERROR(-AA307,"n.b."))</f>
        <v/>
      </c>
      <c r="BU307" s="124" t="str">
        <f>IF($B307="","",IFERROR(-AE307,"n.b."))</f>
        <v/>
      </c>
      <c r="BV307" s="124" t="str">
        <f>IF($B307="","",IFERROR(-AF307,"n.b."))</f>
        <v/>
      </c>
      <c r="BW307" s="124" t="str">
        <f>IF($B307="","",IFERROR(-AG307,"n.b."))</f>
        <v/>
      </c>
      <c r="BX307" s="124" t="str">
        <f>IF($B307="","",IFERROR(-AH307,"n.b."))</f>
        <v/>
      </c>
      <c r="BY307" s="124" t="str">
        <f>IF($B307="","",IFERROR(-AI307,"n.b."))</f>
        <v/>
      </c>
      <c r="BZ307" s="124" t="str">
        <f>IF($B307="","",IFERROR(-AJ307,"n.b."))</f>
        <v/>
      </c>
      <c r="CA307" s="124" t="str">
        <f>IF($B307="","",IFERROR(-AK307,"n.b."))</f>
        <v/>
      </c>
      <c r="CB307" s="124" t="str">
        <f>IF($B307="","",IFERROR(-AL307,"n.b."))</f>
        <v/>
      </c>
      <c r="CC307" s="124" t="str">
        <f>IF($B307="","",IFERROR(-AP307,"n.b."))</f>
        <v/>
      </c>
      <c r="CD307" s="124" t="str">
        <f>IF($B307="","",IFERROR(-AQ307,"n.b."))</f>
        <v/>
      </c>
      <c r="CE307" s="124" t="str">
        <f>IF($B307="","",IFERROR(-AR307,"n.b."))</f>
        <v/>
      </c>
      <c r="CF307" s="124" t="str">
        <f>IF($B307="","",IFERROR(-AS307,"n.b."))</f>
        <v/>
      </c>
      <c r="CG307" s="124" t="str">
        <f>IF($B307="","",IFERROR(-AT307,"n.b."))</f>
        <v/>
      </c>
      <c r="CH307" s="124" t="str">
        <f>IF($B307="","",IFERROR(-AU307,"n.b."))</f>
        <v/>
      </c>
      <c r="CI307" s="124" t="str">
        <f>IF($B307="","",IFERROR(-AV307,"n.b."))</f>
        <v/>
      </c>
      <c r="CJ307" s="124" t="str">
        <f>IF($B307="","",IFERROR(-AW307,"n.b."))</f>
        <v/>
      </c>
      <c r="CK307" s="124" t="str">
        <f>IF($B307="","",IFERROR(-AX307,"n.b."))</f>
        <v/>
      </c>
      <c r="CL307" s="124" t="str">
        <f>IF($B307="","",IFERROR(-AY307,"n.b."))</f>
        <v/>
      </c>
      <c r="CM307" s="124" t="str">
        <f>IF($B307="","",IFERROR(-AZ307,"n.b."))</f>
        <v/>
      </c>
      <c r="CN307" s="124" t="str">
        <f>IF($B307="","",IFERROR(-BA307,"n.b."))</f>
        <v/>
      </c>
      <c r="CO307" s="124" t="str">
        <f>IF($B307="","",IFERROR(-BB307,"n.b."))</f>
        <v/>
      </c>
      <c r="CP307" s="124" t="str">
        <f>IF($B307="","",IFERROR(-BC307,"n.b."))</f>
        <v/>
      </c>
      <c r="CQ307" s="124" t="str">
        <f>IF($B307="","",IFERROR(-BD307,"n.b."))</f>
        <v/>
      </c>
      <c r="CR307" s="124" t="str">
        <f>IF($B307="","",IFERROR(-BE307,"n.b."))</f>
        <v/>
      </c>
      <c r="CS307" s="124" t="str">
        <f>IF($B307="","",IFERROR(IF(OR(ABS(T307+V307+X307+Z307-AB307)&gt;P_Tol,ABS(U307+W307+Y307+AA307-AD307)&gt;P_Tol,ABS(AE307+AG307+AI307+AK307-AM307)&gt;P_Tol,ABS(AF307+AH307+AJ307+AL307-AO307)&gt;P_Tol),1,0),1))</f>
        <v/>
      </c>
      <c r="CT307" s="124" t="str">
        <f>IF($B307="","",IFERROR(IF(OR(ABS(AB307+AC307-AD307)&gt;P_Tol,ABS(AM307+AN307-AO307)&gt;P_Tol,ABS(O307+P307-Q307)&gt;P_Tol),1,0),1))</f>
        <v/>
      </c>
      <c r="CU307" s="124" t="str">
        <f>IF($B307="","",IFERROR(IF(ABS(R307-(AB307+AM307+AP307+AR307+AT307+AV307+AX307+AZ307+BB307+BD307))&gt;P_Tol,1,0),1))</f>
        <v/>
      </c>
      <c r="CV307" s="124" t="str">
        <f>IF($B307="","",IFERROR(IF(ABS(M307-(N307+O307+R307))&gt;P_Tol,1,0),1))</f>
        <v/>
      </c>
      <c r="CW307" s="124" t="str">
        <f>IF($B307="","",IF(COUNTIF(Mapping!$A$5:$A$104,B307)&gt;0,1,0))</f>
        <v/>
      </c>
      <c r="CX307" s="124" t="str">
        <f>IF($B307="","",COUNTIF($B$6:$B$505,B307))</f>
        <v/>
      </c>
      <c r="CY307" s="124" t="str">
        <f>IF($B307="","",COUNTIF(STG_Woningetalage!$B$6:$B$505,B307))</f>
        <v/>
      </c>
      <c r="CZ307" s="124" t="str">
        <f>IF($B307="","",IF(CW307=0,COUNTIF($CW$6:CW307,0),""))</f>
        <v/>
      </c>
    </row>
    <row r="308">
      <c r="A308" s="15" t="n">
        <v>304</v>
      </c>
      <c r="B308" t="str">
        <f>IF(B$3=0,"",IF(INDEX(SRC_ZPMW03!$A$1:$ZZ$501,$A308,B$3)&amp;""="","",INDEX(SRC_ZPMW03!$A$1:$ZZ$501,$A308,B$3)&amp;""))</f>
        <v/>
      </c>
      <c r="C308" t="str">
        <f>IF($B308="","",IF(C$3=0,"n.b.",INDEX(SRC_ZPMW03!$A$1:$ZZ$501,$A308,C$3)))</f>
        <v/>
      </c>
      <c r="D308" t="str">
        <f>IF($B308="","",IF(D$3=0,"n.b.",INDEX(SRC_ZPMW03!$A$1:$ZZ$501,$A308,D$3)))</f>
        <v/>
      </c>
      <c r="E308" t="str">
        <f>IF($B308="","",IF(E$3=0,"n.b.",INDEX(SRC_ZPMW03!$A$1:$ZZ$501,$A308,E$3)))</f>
        <v/>
      </c>
      <c r="F308" t="str">
        <f>IF($B308="","",IF(F$3=0,"n.b.",INDEX(SRC_ZPMW03!$A$1:$ZZ$501,$A308,F$3)))</f>
        <v/>
      </c>
      <c r="G308" t="str">
        <f>IF($B308="","",IF(G$3=0,"n.b.",INDEX(SRC_ZPMW03!$A$1:$ZZ$501,$A308,G$3)))</f>
        <v/>
      </c>
      <c r="H308" t="str">
        <f>IF($B308="","",IF(H$3=0,"n.b.",INDEX(SRC_ZPMW03!$A$1:$ZZ$501,$A308,H$3)))</f>
        <v/>
      </c>
      <c r="I308" t="str">
        <f>IF($B308="","",IF(I$3=0,"n.b.",INDEX(SRC_ZPMW03!$A$1:$ZZ$501,$A308,I$3)))</f>
        <v/>
      </c>
      <c r="J308" t="str">
        <f>IF($B308="","",IF(J$3=0,"n.b.",INDEX(SRC_ZPMW03!$A$1:$ZZ$501,$A308,J$3)))</f>
        <v/>
      </c>
      <c r="K308" t="str">
        <f>IF($B308="","",IF(K$3=0,"n.b.",INDEX(SRC_ZPMW03!$A$1:$ZZ$501,$A308,K$3)))</f>
        <v/>
      </c>
      <c r="L308" s="124" t="str">
        <f>IF($B308="","",IF(L$3=0,"n.b.",INDEX(SRC_ZPMW03!$A$1:$ZZ$501,$A308,L$3)))</f>
        <v/>
      </c>
      <c r="M308" s="124" t="str">
        <f>IF($B308="","",IF(M$3=0,"n.b.",INDEX(SRC_ZPMW03!$A$1:$ZZ$501,$A308,M$3)))</f>
        <v/>
      </c>
      <c r="N308" s="124" t="str">
        <f>IF($B308="","",IF(N$3=0,"n.b.",INDEX(SRC_ZPMW03!$A$1:$ZZ$501,$A308,N$3)))</f>
        <v/>
      </c>
      <c r="O308" s="124" t="str">
        <f>IF($B308="","",IF(O$3=0,"n.b.",INDEX(SRC_ZPMW03!$A$1:$ZZ$501,$A308,O$3)))</f>
        <v/>
      </c>
      <c r="P308" s="124" t="str">
        <f>IF($B308="","",IF(P$3=0,"n.b.",INDEX(SRC_ZPMW03!$A$1:$ZZ$501,$A308,P$3)))</f>
        <v/>
      </c>
      <c r="Q308" s="124" t="str">
        <f>IF($B308="","",IF(Q$3=0,"n.b.",INDEX(SRC_ZPMW03!$A$1:$ZZ$501,$A308,Q$3)))</f>
        <v/>
      </c>
      <c r="R308" s="124" t="str">
        <f>IF($B308="","",IF(R$3=0,"n.b.",INDEX(SRC_ZPMW03!$A$1:$ZZ$501,$A308,R$3)))</f>
        <v/>
      </c>
      <c r="S308" s="124" t="str">
        <f>IF($B308="","",IF(S$3=0,"n.b.",INDEX(SRC_ZPMW03!$A$1:$ZZ$501,$A308,S$3)))</f>
        <v/>
      </c>
      <c r="T308" s="124" t="str">
        <f>IF($B308="","",IF(T$3=0,"n.b.",INDEX(SRC_ZPMW03!$A$1:$ZZ$501,$A308,T$3)))</f>
        <v/>
      </c>
      <c r="U308" s="124" t="str">
        <f>IF($B308="","",IF(U$3=0,"n.b.",INDEX(SRC_ZPMW03!$A$1:$ZZ$501,$A308,U$3)))</f>
        <v/>
      </c>
      <c r="V308" s="124" t="str">
        <f>IF($B308="","",IF(V$3=0,"n.b.",INDEX(SRC_ZPMW03!$A$1:$ZZ$501,$A308,V$3)))</f>
        <v/>
      </c>
      <c r="W308" s="124" t="str">
        <f>IF($B308="","",IF(W$3=0,"n.b.",INDEX(SRC_ZPMW03!$A$1:$ZZ$501,$A308,W$3)))</f>
        <v/>
      </c>
      <c r="X308" s="124" t="str">
        <f>IF($B308="","",IF(X$3=0,"n.b.",INDEX(SRC_ZPMW03!$A$1:$ZZ$501,$A308,X$3)))</f>
        <v/>
      </c>
      <c r="Y308" s="124" t="str">
        <f>IF($B308="","",IF(Y$3=0,"n.b.",INDEX(SRC_ZPMW03!$A$1:$ZZ$501,$A308,Y$3)))</f>
        <v/>
      </c>
      <c r="Z308" s="124" t="str">
        <f>IF($B308="","",IF(Z$3=0,"n.b.",INDEX(SRC_ZPMW03!$A$1:$ZZ$501,$A308,Z$3)))</f>
        <v/>
      </c>
      <c r="AA308" s="124" t="str">
        <f>IF($B308="","",IF(AA$3=0,"n.b.",INDEX(SRC_ZPMW03!$A$1:$ZZ$501,$A308,AA$3)))</f>
        <v/>
      </c>
      <c r="AB308" s="124" t="str">
        <f>IF($B308="","",IF(AB$3=0,"n.b.",INDEX(SRC_ZPMW03!$A$1:$ZZ$501,$A308,AB$3)))</f>
        <v/>
      </c>
      <c r="AC308" s="124" t="str">
        <f>IF($B308="","",IF(AC$3=0,"n.b.",INDEX(SRC_ZPMW03!$A$1:$ZZ$501,$A308,AC$3)))</f>
        <v/>
      </c>
      <c r="AD308" s="124" t="str">
        <f>IF($B308="","",IF(AD$3=0,"n.b.",INDEX(SRC_ZPMW03!$A$1:$ZZ$501,$A308,AD$3)))</f>
        <v/>
      </c>
      <c r="AE308" s="124" t="str">
        <f>IF($B308="","",IF(AE$3=0,"n.b.",INDEX(SRC_ZPMW03!$A$1:$ZZ$501,$A308,AE$3)))</f>
        <v/>
      </c>
      <c r="AF308" s="124" t="str">
        <f>IF($B308="","",IF(AF$3=0,"n.b.",INDEX(SRC_ZPMW03!$A$1:$ZZ$501,$A308,AF$3)))</f>
        <v/>
      </c>
      <c r="AG308" s="124" t="str">
        <f>IF($B308="","",IF(AG$3=0,"n.b.",INDEX(SRC_ZPMW03!$A$1:$ZZ$501,$A308,AG$3)))</f>
        <v/>
      </c>
      <c r="AH308" s="124" t="str">
        <f>IF($B308="","",IF(AH$3=0,"n.b.",INDEX(SRC_ZPMW03!$A$1:$ZZ$501,$A308,AH$3)))</f>
        <v/>
      </c>
      <c r="AI308" s="124" t="str">
        <f>IF($B308="","",IF(AI$3=0,"n.b.",INDEX(SRC_ZPMW03!$A$1:$ZZ$501,$A308,AI$3)))</f>
        <v/>
      </c>
      <c r="AJ308" s="124" t="str">
        <f>IF($B308="","",IF(AJ$3=0,"n.b.",INDEX(SRC_ZPMW03!$A$1:$ZZ$501,$A308,AJ$3)))</f>
        <v/>
      </c>
      <c r="AK308" s="124" t="str">
        <f>IF($B308="","",IF(AK$3=0,"n.b.",INDEX(SRC_ZPMW03!$A$1:$ZZ$501,$A308,AK$3)))</f>
        <v/>
      </c>
      <c r="AL308" s="124" t="str">
        <f>IF($B308="","",IF(AL$3=0,"n.b.",INDEX(SRC_ZPMW03!$A$1:$ZZ$501,$A308,AL$3)))</f>
        <v/>
      </c>
      <c r="AM308" s="124" t="str">
        <f>IF($B308="","",IF(AM$3=0,"n.b.",INDEX(SRC_ZPMW03!$A$1:$ZZ$501,$A308,AM$3)))</f>
        <v/>
      </c>
      <c r="AN308" s="124" t="str">
        <f>IF($B308="","",IF(AN$3=0,"n.b.",INDEX(SRC_ZPMW03!$A$1:$ZZ$501,$A308,AN$3)))</f>
        <v/>
      </c>
      <c r="AO308" s="124" t="str">
        <f>IF($B308="","",IF(AO$3=0,"n.b.",INDEX(SRC_ZPMW03!$A$1:$ZZ$501,$A308,AO$3)))</f>
        <v/>
      </c>
      <c r="AP308" s="124" t="str">
        <f>IF($B308="","",IF(AP$3=0,"n.b.",INDEX(SRC_ZPMW03!$A$1:$ZZ$501,$A308,AP$3)))</f>
        <v/>
      </c>
      <c r="AQ308" s="124" t="str">
        <f>IF($B308="","",IF(AQ$3=0,"n.b.",INDEX(SRC_ZPMW03!$A$1:$ZZ$501,$A308,AQ$3)))</f>
        <v/>
      </c>
      <c r="AR308" s="124" t="str">
        <f>IF($B308="","",IF(AR$3=0,"n.b.",INDEX(SRC_ZPMW03!$A$1:$ZZ$501,$A308,AR$3)))</f>
        <v/>
      </c>
      <c r="AS308" s="124" t="str">
        <f>IF($B308="","",IF(AS$3=0,"n.b.",INDEX(SRC_ZPMW03!$A$1:$ZZ$501,$A308,AS$3)))</f>
        <v/>
      </c>
      <c r="AT308" s="124" t="str">
        <f>IF($B308="","",IF(AT$3=0,"n.b.",INDEX(SRC_ZPMW03!$A$1:$ZZ$501,$A308,AT$3)))</f>
        <v/>
      </c>
      <c r="AU308" s="124" t="str">
        <f>IF($B308="","",IF(AU$3=0,"n.b.",INDEX(SRC_ZPMW03!$A$1:$ZZ$501,$A308,AU$3)))</f>
        <v/>
      </c>
      <c r="AV308" s="124" t="str">
        <f>IF($B308="","",IF(AV$3=0,"n.b.",INDEX(SRC_ZPMW03!$A$1:$ZZ$501,$A308,AV$3)))</f>
        <v/>
      </c>
      <c r="AW308" s="124" t="str">
        <f>IF($B308="","",IF(AW$3=0,"n.b.",INDEX(SRC_ZPMW03!$A$1:$ZZ$501,$A308,AW$3)))</f>
        <v/>
      </c>
      <c r="AX308" s="124" t="str">
        <f>IF($B308="","",IF(AX$3=0,"n.b.",INDEX(SRC_ZPMW03!$A$1:$ZZ$501,$A308,AX$3)))</f>
        <v/>
      </c>
      <c r="AY308" s="124" t="str">
        <f>IF($B308="","",IF(AY$3=0,"n.b.",INDEX(SRC_ZPMW03!$A$1:$ZZ$501,$A308,AY$3)))</f>
        <v/>
      </c>
      <c r="AZ308" s="124" t="str">
        <f>IF($B308="","",IF(AZ$3=0,"n.b.",INDEX(SRC_ZPMW03!$A$1:$ZZ$501,$A308,AZ$3)))</f>
        <v/>
      </c>
      <c r="BA308" s="124" t="str">
        <f>IF($B308="","",IF(BA$3=0,"n.b.",INDEX(SRC_ZPMW03!$A$1:$ZZ$501,$A308,BA$3)))</f>
        <v/>
      </c>
      <c r="BB308" s="124" t="str">
        <f>IF($B308="","",IF(BB$3=0,"n.b.",INDEX(SRC_ZPMW03!$A$1:$ZZ$501,$A308,BB$3)))</f>
        <v/>
      </c>
      <c r="BC308" s="124" t="str">
        <f>IF($B308="","",IF(BC$3=0,"n.b.",INDEX(SRC_ZPMW03!$A$1:$ZZ$501,$A308,BC$3)))</f>
        <v/>
      </c>
      <c r="BD308" s="124" t="str">
        <f>IF($B308="","",IF(BD$3=0,"n.b.",INDEX(SRC_ZPMW03!$A$1:$ZZ$501,$A308,BD$3)))</f>
        <v/>
      </c>
      <c r="BE308" s="124" t="str">
        <f>IF($B308="","",IF(BE$3=0,"n.b.",INDEX(SRC_ZPMW03!$A$1:$ZZ$501,$A308,BE$3)))</f>
        <v/>
      </c>
      <c r="BF308" s="124" t="str">
        <f>IF($B308="","",IF(BF$3=0,"n.b.",INDEX(SRC_ZPMW03!$A$1:$ZZ$501,$A308,BF$3)))</f>
        <v/>
      </c>
      <c r="BG308" t="str">
        <f>IF($B308="","",IF(BG$3=0,"n.b.",INDEX(SRC_ZPMW03!$A$1:$ZZ$501,$A308,BG$3)))</f>
        <v/>
      </c>
      <c r="BH308" t="str">
        <f>IF($B308="","",IF(BH$3=0,"n.b.",INDEX(SRC_ZPMW03!$A$1:$ZZ$501,$A308,BH$3)))</f>
        <v/>
      </c>
      <c r="BI308" t="str">
        <f>IF($B308="","",IF(BI$3=0,"n.b.",INDEX(SRC_ZPMW03!$A$1:$ZZ$501,$A308,BI$3)))</f>
        <v/>
      </c>
      <c r="BJ308" t="str">
        <f>IF($B308="","",IF(BJ$3=0,"n.b.",INDEX(SRC_ZPMW03!$A$1:$ZZ$501,$A308,BJ$3)))</f>
        <v/>
      </c>
      <c r="BK308" s="124" t="str">
        <f>IF($B308="","",IFERROR(-O308,"n.b."))</f>
        <v/>
      </c>
      <c r="BL308" s="124" t="str">
        <f>IF($B308="","",IFERROR(-Q308,"n.b."))</f>
        <v/>
      </c>
      <c r="BM308" s="124" t="str">
        <f>IF($B308="","",IFERROR(-AB308,"n.b."))</f>
        <v/>
      </c>
      <c r="BN308" s="124" t="str">
        <f>IF($B308="","",IFERROR(-AD308,"n.b."))</f>
        <v/>
      </c>
      <c r="BO308" s="124" t="str">
        <f>IF($B308="","",IFERROR(BK308+BM308,"n.b."))</f>
        <v/>
      </c>
      <c r="BP308" s="124" t="str">
        <f>IF($B308="","",IFERROR(BL308+BN308,"n.b."))</f>
        <v/>
      </c>
      <c r="BQ308" s="124" t="str">
        <f>IF($B308="","",IFERROR(-AM308,"n.b."))</f>
        <v/>
      </c>
      <c r="BR308" s="124" t="str">
        <f>IF($B308="","",IFERROR(-AO308,"n.b."))</f>
        <v/>
      </c>
      <c r="BS308" s="124" t="str">
        <f>IF($B308="","",IFERROR(-Z308,"n.b."))</f>
        <v/>
      </c>
      <c r="BT308" s="124" t="str">
        <f>IF($B308="","",IFERROR(-AA308,"n.b."))</f>
        <v/>
      </c>
      <c r="BU308" s="124" t="str">
        <f>IF($B308="","",IFERROR(-AE308,"n.b."))</f>
        <v/>
      </c>
      <c r="BV308" s="124" t="str">
        <f>IF($B308="","",IFERROR(-AF308,"n.b."))</f>
        <v/>
      </c>
      <c r="BW308" s="124" t="str">
        <f>IF($B308="","",IFERROR(-AG308,"n.b."))</f>
        <v/>
      </c>
      <c r="BX308" s="124" t="str">
        <f>IF($B308="","",IFERROR(-AH308,"n.b."))</f>
        <v/>
      </c>
      <c r="BY308" s="124" t="str">
        <f>IF($B308="","",IFERROR(-AI308,"n.b."))</f>
        <v/>
      </c>
      <c r="BZ308" s="124" t="str">
        <f>IF($B308="","",IFERROR(-AJ308,"n.b."))</f>
        <v/>
      </c>
      <c r="CA308" s="124" t="str">
        <f>IF($B308="","",IFERROR(-AK308,"n.b."))</f>
        <v/>
      </c>
      <c r="CB308" s="124" t="str">
        <f>IF($B308="","",IFERROR(-AL308,"n.b."))</f>
        <v/>
      </c>
      <c r="CC308" s="124" t="str">
        <f>IF($B308="","",IFERROR(-AP308,"n.b."))</f>
        <v/>
      </c>
      <c r="CD308" s="124" t="str">
        <f>IF($B308="","",IFERROR(-AQ308,"n.b."))</f>
        <v/>
      </c>
      <c r="CE308" s="124" t="str">
        <f>IF($B308="","",IFERROR(-AR308,"n.b."))</f>
        <v/>
      </c>
      <c r="CF308" s="124" t="str">
        <f>IF($B308="","",IFERROR(-AS308,"n.b."))</f>
        <v/>
      </c>
      <c r="CG308" s="124" t="str">
        <f>IF($B308="","",IFERROR(-AT308,"n.b."))</f>
        <v/>
      </c>
      <c r="CH308" s="124" t="str">
        <f>IF($B308="","",IFERROR(-AU308,"n.b."))</f>
        <v/>
      </c>
      <c r="CI308" s="124" t="str">
        <f>IF($B308="","",IFERROR(-AV308,"n.b."))</f>
        <v/>
      </c>
      <c r="CJ308" s="124" t="str">
        <f>IF($B308="","",IFERROR(-AW308,"n.b."))</f>
        <v/>
      </c>
      <c r="CK308" s="124" t="str">
        <f>IF($B308="","",IFERROR(-AX308,"n.b."))</f>
        <v/>
      </c>
      <c r="CL308" s="124" t="str">
        <f>IF($B308="","",IFERROR(-AY308,"n.b."))</f>
        <v/>
      </c>
      <c r="CM308" s="124" t="str">
        <f>IF($B308="","",IFERROR(-AZ308,"n.b."))</f>
        <v/>
      </c>
      <c r="CN308" s="124" t="str">
        <f>IF($B308="","",IFERROR(-BA308,"n.b."))</f>
        <v/>
      </c>
      <c r="CO308" s="124" t="str">
        <f>IF($B308="","",IFERROR(-BB308,"n.b."))</f>
        <v/>
      </c>
      <c r="CP308" s="124" t="str">
        <f>IF($B308="","",IFERROR(-BC308,"n.b."))</f>
        <v/>
      </c>
      <c r="CQ308" s="124" t="str">
        <f>IF($B308="","",IFERROR(-BD308,"n.b."))</f>
        <v/>
      </c>
      <c r="CR308" s="124" t="str">
        <f>IF($B308="","",IFERROR(-BE308,"n.b."))</f>
        <v/>
      </c>
      <c r="CS308" s="124" t="str">
        <f>IF($B308="","",IFERROR(IF(OR(ABS(T308+V308+X308+Z308-AB308)&gt;P_Tol,ABS(U308+W308+Y308+AA308-AD308)&gt;P_Tol,ABS(AE308+AG308+AI308+AK308-AM308)&gt;P_Tol,ABS(AF308+AH308+AJ308+AL308-AO308)&gt;P_Tol),1,0),1))</f>
        <v/>
      </c>
      <c r="CT308" s="124" t="str">
        <f>IF($B308="","",IFERROR(IF(OR(ABS(AB308+AC308-AD308)&gt;P_Tol,ABS(AM308+AN308-AO308)&gt;P_Tol,ABS(O308+P308-Q308)&gt;P_Tol),1,0),1))</f>
        <v/>
      </c>
      <c r="CU308" s="124" t="str">
        <f>IF($B308="","",IFERROR(IF(ABS(R308-(AB308+AM308+AP308+AR308+AT308+AV308+AX308+AZ308+BB308+BD308))&gt;P_Tol,1,0),1))</f>
        <v/>
      </c>
      <c r="CV308" s="124" t="str">
        <f>IF($B308="","",IFERROR(IF(ABS(M308-(N308+O308+R308))&gt;P_Tol,1,0),1))</f>
        <v/>
      </c>
      <c r="CW308" s="124" t="str">
        <f>IF($B308="","",IF(COUNTIF(Mapping!$A$5:$A$104,B308)&gt;0,1,0))</f>
        <v/>
      </c>
      <c r="CX308" s="124" t="str">
        <f>IF($B308="","",COUNTIF($B$6:$B$505,B308))</f>
        <v/>
      </c>
      <c r="CY308" s="124" t="str">
        <f>IF($B308="","",COUNTIF(STG_Woningetalage!$B$6:$B$505,B308))</f>
        <v/>
      </c>
      <c r="CZ308" s="124" t="str">
        <f>IF($B308="","",IF(CW308=0,COUNTIF($CW$6:CW308,0),""))</f>
        <v/>
      </c>
    </row>
    <row r="309">
      <c r="A309" s="15" t="n">
        <v>305</v>
      </c>
      <c r="B309" t="str">
        <f>IF(B$3=0,"",IF(INDEX(SRC_ZPMW03!$A$1:$ZZ$501,$A309,B$3)&amp;""="","",INDEX(SRC_ZPMW03!$A$1:$ZZ$501,$A309,B$3)&amp;""))</f>
        <v/>
      </c>
      <c r="C309" t="str">
        <f>IF($B309="","",IF(C$3=0,"n.b.",INDEX(SRC_ZPMW03!$A$1:$ZZ$501,$A309,C$3)))</f>
        <v/>
      </c>
      <c r="D309" t="str">
        <f>IF($B309="","",IF(D$3=0,"n.b.",INDEX(SRC_ZPMW03!$A$1:$ZZ$501,$A309,D$3)))</f>
        <v/>
      </c>
      <c r="E309" t="str">
        <f>IF($B309="","",IF(E$3=0,"n.b.",INDEX(SRC_ZPMW03!$A$1:$ZZ$501,$A309,E$3)))</f>
        <v/>
      </c>
      <c r="F309" t="str">
        <f>IF($B309="","",IF(F$3=0,"n.b.",INDEX(SRC_ZPMW03!$A$1:$ZZ$501,$A309,F$3)))</f>
        <v/>
      </c>
      <c r="G309" t="str">
        <f>IF($B309="","",IF(G$3=0,"n.b.",INDEX(SRC_ZPMW03!$A$1:$ZZ$501,$A309,G$3)))</f>
        <v/>
      </c>
      <c r="H309" t="str">
        <f>IF($B309="","",IF(H$3=0,"n.b.",INDEX(SRC_ZPMW03!$A$1:$ZZ$501,$A309,H$3)))</f>
        <v/>
      </c>
      <c r="I309" t="str">
        <f>IF($B309="","",IF(I$3=0,"n.b.",INDEX(SRC_ZPMW03!$A$1:$ZZ$501,$A309,I$3)))</f>
        <v/>
      </c>
      <c r="J309" t="str">
        <f>IF($B309="","",IF(J$3=0,"n.b.",INDEX(SRC_ZPMW03!$A$1:$ZZ$501,$A309,J$3)))</f>
        <v/>
      </c>
      <c r="K309" t="str">
        <f>IF($B309="","",IF(K$3=0,"n.b.",INDEX(SRC_ZPMW03!$A$1:$ZZ$501,$A309,K$3)))</f>
        <v/>
      </c>
      <c r="L309" s="124" t="str">
        <f>IF($B309="","",IF(L$3=0,"n.b.",INDEX(SRC_ZPMW03!$A$1:$ZZ$501,$A309,L$3)))</f>
        <v/>
      </c>
      <c r="M309" s="124" t="str">
        <f>IF($B309="","",IF(M$3=0,"n.b.",INDEX(SRC_ZPMW03!$A$1:$ZZ$501,$A309,M$3)))</f>
        <v/>
      </c>
      <c r="N309" s="124" t="str">
        <f>IF($B309="","",IF(N$3=0,"n.b.",INDEX(SRC_ZPMW03!$A$1:$ZZ$501,$A309,N$3)))</f>
        <v/>
      </c>
      <c r="O309" s="124" t="str">
        <f>IF($B309="","",IF(O$3=0,"n.b.",INDEX(SRC_ZPMW03!$A$1:$ZZ$501,$A309,O$3)))</f>
        <v/>
      </c>
      <c r="P309" s="124" t="str">
        <f>IF($B309="","",IF(P$3=0,"n.b.",INDEX(SRC_ZPMW03!$A$1:$ZZ$501,$A309,P$3)))</f>
        <v/>
      </c>
      <c r="Q309" s="124" t="str">
        <f>IF($B309="","",IF(Q$3=0,"n.b.",INDEX(SRC_ZPMW03!$A$1:$ZZ$501,$A309,Q$3)))</f>
        <v/>
      </c>
      <c r="R309" s="124" t="str">
        <f>IF($B309="","",IF(R$3=0,"n.b.",INDEX(SRC_ZPMW03!$A$1:$ZZ$501,$A309,R$3)))</f>
        <v/>
      </c>
      <c r="S309" s="124" t="str">
        <f>IF($B309="","",IF(S$3=0,"n.b.",INDEX(SRC_ZPMW03!$A$1:$ZZ$501,$A309,S$3)))</f>
        <v/>
      </c>
      <c r="T309" s="124" t="str">
        <f>IF($B309="","",IF(T$3=0,"n.b.",INDEX(SRC_ZPMW03!$A$1:$ZZ$501,$A309,T$3)))</f>
        <v/>
      </c>
      <c r="U309" s="124" t="str">
        <f>IF($B309="","",IF(U$3=0,"n.b.",INDEX(SRC_ZPMW03!$A$1:$ZZ$501,$A309,U$3)))</f>
        <v/>
      </c>
      <c r="V309" s="124" t="str">
        <f>IF($B309="","",IF(V$3=0,"n.b.",INDEX(SRC_ZPMW03!$A$1:$ZZ$501,$A309,V$3)))</f>
        <v/>
      </c>
      <c r="W309" s="124" t="str">
        <f>IF($B309="","",IF(W$3=0,"n.b.",INDEX(SRC_ZPMW03!$A$1:$ZZ$501,$A309,W$3)))</f>
        <v/>
      </c>
      <c r="X309" s="124" t="str">
        <f>IF($B309="","",IF(X$3=0,"n.b.",INDEX(SRC_ZPMW03!$A$1:$ZZ$501,$A309,X$3)))</f>
        <v/>
      </c>
      <c r="Y309" s="124" t="str">
        <f>IF($B309="","",IF(Y$3=0,"n.b.",INDEX(SRC_ZPMW03!$A$1:$ZZ$501,$A309,Y$3)))</f>
        <v/>
      </c>
      <c r="Z309" s="124" t="str">
        <f>IF($B309="","",IF(Z$3=0,"n.b.",INDEX(SRC_ZPMW03!$A$1:$ZZ$501,$A309,Z$3)))</f>
        <v/>
      </c>
      <c r="AA309" s="124" t="str">
        <f>IF($B309="","",IF(AA$3=0,"n.b.",INDEX(SRC_ZPMW03!$A$1:$ZZ$501,$A309,AA$3)))</f>
        <v/>
      </c>
      <c r="AB309" s="124" t="str">
        <f>IF($B309="","",IF(AB$3=0,"n.b.",INDEX(SRC_ZPMW03!$A$1:$ZZ$501,$A309,AB$3)))</f>
        <v/>
      </c>
      <c r="AC309" s="124" t="str">
        <f>IF($B309="","",IF(AC$3=0,"n.b.",INDEX(SRC_ZPMW03!$A$1:$ZZ$501,$A309,AC$3)))</f>
        <v/>
      </c>
      <c r="AD309" s="124" t="str">
        <f>IF($B309="","",IF(AD$3=0,"n.b.",INDEX(SRC_ZPMW03!$A$1:$ZZ$501,$A309,AD$3)))</f>
        <v/>
      </c>
      <c r="AE309" s="124" t="str">
        <f>IF($B309="","",IF(AE$3=0,"n.b.",INDEX(SRC_ZPMW03!$A$1:$ZZ$501,$A309,AE$3)))</f>
        <v/>
      </c>
      <c r="AF309" s="124" t="str">
        <f>IF($B309="","",IF(AF$3=0,"n.b.",INDEX(SRC_ZPMW03!$A$1:$ZZ$501,$A309,AF$3)))</f>
        <v/>
      </c>
      <c r="AG309" s="124" t="str">
        <f>IF($B309="","",IF(AG$3=0,"n.b.",INDEX(SRC_ZPMW03!$A$1:$ZZ$501,$A309,AG$3)))</f>
        <v/>
      </c>
      <c r="AH309" s="124" t="str">
        <f>IF($B309="","",IF(AH$3=0,"n.b.",INDEX(SRC_ZPMW03!$A$1:$ZZ$501,$A309,AH$3)))</f>
        <v/>
      </c>
      <c r="AI309" s="124" t="str">
        <f>IF($B309="","",IF(AI$3=0,"n.b.",INDEX(SRC_ZPMW03!$A$1:$ZZ$501,$A309,AI$3)))</f>
        <v/>
      </c>
      <c r="AJ309" s="124" t="str">
        <f>IF($B309="","",IF(AJ$3=0,"n.b.",INDEX(SRC_ZPMW03!$A$1:$ZZ$501,$A309,AJ$3)))</f>
        <v/>
      </c>
      <c r="AK309" s="124" t="str">
        <f>IF($B309="","",IF(AK$3=0,"n.b.",INDEX(SRC_ZPMW03!$A$1:$ZZ$501,$A309,AK$3)))</f>
        <v/>
      </c>
      <c r="AL309" s="124" t="str">
        <f>IF($B309="","",IF(AL$3=0,"n.b.",INDEX(SRC_ZPMW03!$A$1:$ZZ$501,$A309,AL$3)))</f>
        <v/>
      </c>
      <c r="AM309" s="124" t="str">
        <f>IF($B309="","",IF(AM$3=0,"n.b.",INDEX(SRC_ZPMW03!$A$1:$ZZ$501,$A309,AM$3)))</f>
        <v/>
      </c>
      <c r="AN309" s="124" t="str">
        <f>IF($B309="","",IF(AN$3=0,"n.b.",INDEX(SRC_ZPMW03!$A$1:$ZZ$501,$A309,AN$3)))</f>
        <v/>
      </c>
      <c r="AO309" s="124" t="str">
        <f>IF($B309="","",IF(AO$3=0,"n.b.",INDEX(SRC_ZPMW03!$A$1:$ZZ$501,$A309,AO$3)))</f>
        <v/>
      </c>
      <c r="AP309" s="124" t="str">
        <f>IF($B309="","",IF(AP$3=0,"n.b.",INDEX(SRC_ZPMW03!$A$1:$ZZ$501,$A309,AP$3)))</f>
        <v/>
      </c>
      <c r="AQ309" s="124" t="str">
        <f>IF($B309="","",IF(AQ$3=0,"n.b.",INDEX(SRC_ZPMW03!$A$1:$ZZ$501,$A309,AQ$3)))</f>
        <v/>
      </c>
      <c r="AR309" s="124" t="str">
        <f>IF($B309="","",IF(AR$3=0,"n.b.",INDEX(SRC_ZPMW03!$A$1:$ZZ$501,$A309,AR$3)))</f>
        <v/>
      </c>
      <c r="AS309" s="124" t="str">
        <f>IF($B309="","",IF(AS$3=0,"n.b.",INDEX(SRC_ZPMW03!$A$1:$ZZ$501,$A309,AS$3)))</f>
        <v/>
      </c>
      <c r="AT309" s="124" t="str">
        <f>IF($B309="","",IF(AT$3=0,"n.b.",INDEX(SRC_ZPMW03!$A$1:$ZZ$501,$A309,AT$3)))</f>
        <v/>
      </c>
      <c r="AU309" s="124" t="str">
        <f>IF($B309="","",IF(AU$3=0,"n.b.",INDEX(SRC_ZPMW03!$A$1:$ZZ$501,$A309,AU$3)))</f>
        <v/>
      </c>
      <c r="AV309" s="124" t="str">
        <f>IF($B309="","",IF(AV$3=0,"n.b.",INDEX(SRC_ZPMW03!$A$1:$ZZ$501,$A309,AV$3)))</f>
        <v/>
      </c>
      <c r="AW309" s="124" t="str">
        <f>IF($B309="","",IF(AW$3=0,"n.b.",INDEX(SRC_ZPMW03!$A$1:$ZZ$501,$A309,AW$3)))</f>
        <v/>
      </c>
      <c r="AX309" s="124" t="str">
        <f>IF($B309="","",IF(AX$3=0,"n.b.",INDEX(SRC_ZPMW03!$A$1:$ZZ$501,$A309,AX$3)))</f>
        <v/>
      </c>
      <c r="AY309" s="124" t="str">
        <f>IF($B309="","",IF(AY$3=0,"n.b.",INDEX(SRC_ZPMW03!$A$1:$ZZ$501,$A309,AY$3)))</f>
        <v/>
      </c>
      <c r="AZ309" s="124" t="str">
        <f>IF($B309="","",IF(AZ$3=0,"n.b.",INDEX(SRC_ZPMW03!$A$1:$ZZ$501,$A309,AZ$3)))</f>
        <v/>
      </c>
      <c r="BA309" s="124" t="str">
        <f>IF($B309="","",IF(BA$3=0,"n.b.",INDEX(SRC_ZPMW03!$A$1:$ZZ$501,$A309,BA$3)))</f>
        <v/>
      </c>
      <c r="BB309" s="124" t="str">
        <f>IF($B309="","",IF(BB$3=0,"n.b.",INDEX(SRC_ZPMW03!$A$1:$ZZ$501,$A309,BB$3)))</f>
        <v/>
      </c>
      <c r="BC309" s="124" t="str">
        <f>IF($B309="","",IF(BC$3=0,"n.b.",INDEX(SRC_ZPMW03!$A$1:$ZZ$501,$A309,BC$3)))</f>
        <v/>
      </c>
      <c r="BD309" s="124" t="str">
        <f>IF($B309="","",IF(BD$3=0,"n.b.",INDEX(SRC_ZPMW03!$A$1:$ZZ$501,$A309,BD$3)))</f>
        <v/>
      </c>
      <c r="BE309" s="124" t="str">
        <f>IF($B309="","",IF(BE$3=0,"n.b.",INDEX(SRC_ZPMW03!$A$1:$ZZ$501,$A309,BE$3)))</f>
        <v/>
      </c>
      <c r="BF309" s="124" t="str">
        <f>IF($B309="","",IF(BF$3=0,"n.b.",INDEX(SRC_ZPMW03!$A$1:$ZZ$501,$A309,BF$3)))</f>
        <v/>
      </c>
      <c r="BG309" t="str">
        <f>IF($B309="","",IF(BG$3=0,"n.b.",INDEX(SRC_ZPMW03!$A$1:$ZZ$501,$A309,BG$3)))</f>
        <v/>
      </c>
      <c r="BH309" t="str">
        <f>IF($B309="","",IF(BH$3=0,"n.b.",INDEX(SRC_ZPMW03!$A$1:$ZZ$501,$A309,BH$3)))</f>
        <v/>
      </c>
      <c r="BI309" t="str">
        <f>IF($B309="","",IF(BI$3=0,"n.b.",INDEX(SRC_ZPMW03!$A$1:$ZZ$501,$A309,BI$3)))</f>
        <v/>
      </c>
      <c r="BJ309" t="str">
        <f>IF($B309="","",IF(BJ$3=0,"n.b.",INDEX(SRC_ZPMW03!$A$1:$ZZ$501,$A309,BJ$3)))</f>
        <v/>
      </c>
      <c r="BK309" s="124" t="str">
        <f>IF($B309="","",IFERROR(-O309,"n.b."))</f>
        <v/>
      </c>
      <c r="BL309" s="124" t="str">
        <f>IF($B309="","",IFERROR(-Q309,"n.b."))</f>
        <v/>
      </c>
      <c r="BM309" s="124" t="str">
        <f>IF($B309="","",IFERROR(-AB309,"n.b."))</f>
        <v/>
      </c>
      <c r="BN309" s="124" t="str">
        <f>IF($B309="","",IFERROR(-AD309,"n.b."))</f>
        <v/>
      </c>
      <c r="BO309" s="124" t="str">
        <f>IF($B309="","",IFERROR(BK309+BM309,"n.b."))</f>
        <v/>
      </c>
      <c r="BP309" s="124" t="str">
        <f>IF($B309="","",IFERROR(BL309+BN309,"n.b."))</f>
        <v/>
      </c>
      <c r="BQ309" s="124" t="str">
        <f>IF($B309="","",IFERROR(-AM309,"n.b."))</f>
        <v/>
      </c>
      <c r="BR309" s="124" t="str">
        <f>IF($B309="","",IFERROR(-AO309,"n.b."))</f>
        <v/>
      </c>
      <c r="BS309" s="124" t="str">
        <f>IF($B309="","",IFERROR(-Z309,"n.b."))</f>
        <v/>
      </c>
      <c r="BT309" s="124" t="str">
        <f>IF($B309="","",IFERROR(-AA309,"n.b."))</f>
        <v/>
      </c>
      <c r="BU309" s="124" t="str">
        <f>IF($B309="","",IFERROR(-AE309,"n.b."))</f>
        <v/>
      </c>
      <c r="BV309" s="124" t="str">
        <f>IF($B309="","",IFERROR(-AF309,"n.b."))</f>
        <v/>
      </c>
      <c r="BW309" s="124" t="str">
        <f>IF($B309="","",IFERROR(-AG309,"n.b."))</f>
        <v/>
      </c>
      <c r="BX309" s="124" t="str">
        <f>IF($B309="","",IFERROR(-AH309,"n.b."))</f>
        <v/>
      </c>
      <c r="BY309" s="124" t="str">
        <f>IF($B309="","",IFERROR(-AI309,"n.b."))</f>
        <v/>
      </c>
      <c r="BZ309" s="124" t="str">
        <f>IF($B309="","",IFERROR(-AJ309,"n.b."))</f>
        <v/>
      </c>
      <c r="CA309" s="124" t="str">
        <f>IF($B309="","",IFERROR(-AK309,"n.b."))</f>
        <v/>
      </c>
      <c r="CB309" s="124" t="str">
        <f>IF($B309="","",IFERROR(-AL309,"n.b."))</f>
        <v/>
      </c>
      <c r="CC309" s="124" t="str">
        <f>IF($B309="","",IFERROR(-AP309,"n.b."))</f>
        <v/>
      </c>
      <c r="CD309" s="124" t="str">
        <f>IF($B309="","",IFERROR(-AQ309,"n.b."))</f>
        <v/>
      </c>
      <c r="CE309" s="124" t="str">
        <f>IF($B309="","",IFERROR(-AR309,"n.b."))</f>
        <v/>
      </c>
      <c r="CF309" s="124" t="str">
        <f>IF($B309="","",IFERROR(-AS309,"n.b."))</f>
        <v/>
      </c>
      <c r="CG309" s="124" t="str">
        <f>IF($B309="","",IFERROR(-AT309,"n.b."))</f>
        <v/>
      </c>
      <c r="CH309" s="124" t="str">
        <f>IF($B309="","",IFERROR(-AU309,"n.b."))</f>
        <v/>
      </c>
      <c r="CI309" s="124" t="str">
        <f>IF($B309="","",IFERROR(-AV309,"n.b."))</f>
        <v/>
      </c>
      <c r="CJ309" s="124" t="str">
        <f>IF($B309="","",IFERROR(-AW309,"n.b."))</f>
        <v/>
      </c>
      <c r="CK309" s="124" t="str">
        <f>IF($B309="","",IFERROR(-AX309,"n.b."))</f>
        <v/>
      </c>
      <c r="CL309" s="124" t="str">
        <f>IF($B309="","",IFERROR(-AY309,"n.b."))</f>
        <v/>
      </c>
      <c r="CM309" s="124" t="str">
        <f>IF($B309="","",IFERROR(-AZ309,"n.b."))</f>
        <v/>
      </c>
      <c r="CN309" s="124" t="str">
        <f>IF($B309="","",IFERROR(-BA309,"n.b."))</f>
        <v/>
      </c>
      <c r="CO309" s="124" t="str">
        <f>IF($B309="","",IFERROR(-BB309,"n.b."))</f>
        <v/>
      </c>
      <c r="CP309" s="124" t="str">
        <f>IF($B309="","",IFERROR(-BC309,"n.b."))</f>
        <v/>
      </c>
      <c r="CQ309" s="124" t="str">
        <f>IF($B309="","",IFERROR(-BD309,"n.b."))</f>
        <v/>
      </c>
      <c r="CR309" s="124" t="str">
        <f>IF($B309="","",IFERROR(-BE309,"n.b."))</f>
        <v/>
      </c>
      <c r="CS309" s="124" t="str">
        <f>IF($B309="","",IFERROR(IF(OR(ABS(T309+V309+X309+Z309-AB309)&gt;P_Tol,ABS(U309+W309+Y309+AA309-AD309)&gt;P_Tol,ABS(AE309+AG309+AI309+AK309-AM309)&gt;P_Tol,ABS(AF309+AH309+AJ309+AL309-AO309)&gt;P_Tol),1,0),1))</f>
        <v/>
      </c>
      <c r="CT309" s="124" t="str">
        <f>IF($B309="","",IFERROR(IF(OR(ABS(AB309+AC309-AD309)&gt;P_Tol,ABS(AM309+AN309-AO309)&gt;P_Tol,ABS(O309+P309-Q309)&gt;P_Tol),1,0),1))</f>
        <v/>
      </c>
      <c r="CU309" s="124" t="str">
        <f>IF($B309="","",IFERROR(IF(ABS(R309-(AB309+AM309+AP309+AR309+AT309+AV309+AX309+AZ309+BB309+BD309))&gt;P_Tol,1,0),1))</f>
        <v/>
      </c>
      <c r="CV309" s="124" t="str">
        <f>IF($B309="","",IFERROR(IF(ABS(M309-(N309+O309+R309))&gt;P_Tol,1,0),1))</f>
        <v/>
      </c>
      <c r="CW309" s="124" t="str">
        <f>IF($B309="","",IF(COUNTIF(Mapping!$A$5:$A$104,B309)&gt;0,1,0))</f>
        <v/>
      </c>
      <c r="CX309" s="124" t="str">
        <f>IF($B309="","",COUNTIF($B$6:$B$505,B309))</f>
        <v/>
      </c>
      <c r="CY309" s="124" t="str">
        <f>IF($B309="","",COUNTIF(STG_Woningetalage!$B$6:$B$505,B309))</f>
        <v/>
      </c>
      <c r="CZ309" s="124" t="str">
        <f>IF($B309="","",IF(CW309=0,COUNTIF($CW$6:CW309,0),""))</f>
        <v/>
      </c>
    </row>
    <row r="310">
      <c r="A310" s="15" t="n">
        <v>306</v>
      </c>
      <c r="B310" t="str">
        <f>IF(B$3=0,"",IF(INDEX(SRC_ZPMW03!$A$1:$ZZ$501,$A310,B$3)&amp;""="","",INDEX(SRC_ZPMW03!$A$1:$ZZ$501,$A310,B$3)&amp;""))</f>
        <v/>
      </c>
      <c r="C310" t="str">
        <f>IF($B310="","",IF(C$3=0,"n.b.",INDEX(SRC_ZPMW03!$A$1:$ZZ$501,$A310,C$3)))</f>
        <v/>
      </c>
      <c r="D310" t="str">
        <f>IF($B310="","",IF(D$3=0,"n.b.",INDEX(SRC_ZPMW03!$A$1:$ZZ$501,$A310,D$3)))</f>
        <v/>
      </c>
      <c r="E310" t="str">
        <f>IF($B310="","",IF(E$3=0,"n.b.",INDEX(SRC_ZPMW03!$A$1:$ZZ$501,$A310,E$3)))</f>
        <v/>
      </c>
      <c r="F310" t="str">
        <f>IF($B310="","",IF(F$3=0,"n.b.",INDEX(SRC_ZPMW03!$A$1:$ZZ$501,$A310,F$3)))</f>
        <v/>
      </c>
      <c r="G310" t="str">
        <f>IF($B310="","",IF(G$3=0,"n.b.",INDEX(SRC_ZPMW03!$A$1:$ZZ$501,$A310,G$3)))</f>
        <v/>
      </c>
      <c r="H310" t="str">
        <f>IF($B310="","",IF(H$3=0,"n.b.",INDEX(SRC_ZPMW03!$A$1:$ZZ$501,$A310,H$3)))</f>
        <v/>
      </c>
      <c r="I310" t="str">
        <f>IF($B310="","",IF(I$3=0,"n.b.",INDEX(SRC_ZPMW03!$A$1:$ZZ$501,$A310,I$3)))</f>
        <v/>
      </c>
      <c r="J310" t="str">
        <f>IF($B310="","",IF(J$3=0,"n.b.",INDEX(SRC_ZPMW03!$A$1:$ZZ$501,$A310,J$3)))</f>
        <v/>
      </c>
      <c r="K310" t="str">
        <f>IF($B310="","",IF(K$3=0,"n.b.",INDEX(SRC_ZPMW03!$A$1:$ZZ$501,$A310,K$3)))</f>
        <v/>
      </c>
      <c r="L310" s="124" t="str">
        <f>IF($B310="","",IF(L$3=0,"n.b.",INDEX(SRC_ZPMW03!$A$1:$ZZ$501,$A310,L$3)))</f>
        <v/>
      </c>
      <c r="M310" s="124" t="str">
        <f>IF($B310="","",IF(M$3=0,"n.b.",INDEX(SRC_ZPMW03!$A$1:$ZZ$501,$A310,M$3)))</f>
        <v/>
      </c>
      <c r="N310" s="124" t="str">
        <f>IF($B310="","",IF(N$3=0,"n.b.",INDEX(SRC_ZPMW03!$A$1:$ZZ$501,$A310,N$3)))</f>
        <v/>
      </c>
      <c r="O310" s="124" t="str">
        <f>IF($B310="","",IF(O$3=0,"n.b.",INDEX(SRC_ZPMW03!$A$1:$ZZ$501,$A310,O$3)))</f>
        <v/>
      </c>
      <c r="P310" s="124" t="str">
        <f>IF($B310="","",IF(P$3=0,"n.b.",INDEX(SRC_ZPMW03!$A$1:$ZZ$501,$A310,P$3)))</f>
        <v/>
      </c>
      <c r="Q310" s="124" t="str">
        <f>IF($B310="","",IF(Q$3=0,"n.b.",INDEX(SRC_ZPMW03!$A$1:$ZZ$501,$A310,Q$3)))</f>
        <v/>
      </c>
      <c r="R310" s="124" t="str">
        <f>IF($B310="","",IF(R$3=0,"n.b.",INDEX(SRC_ZPMW03!$A$1:$ZZ$501,$A310,R$3)))</f>
        <v/>
      </c>
      <c r="S310" s="124" t="str">
        <f>IF($B310="","",IF(S$3=0,"n.b.",INDEX(SRC_ZPMW03!$A$1:$ZZ$501,$A310,S$3)))</f>
        <v/>
      </c>
      <c r="T310" s="124" t="str">
        <f>IF($B310="","",IF(T$3=0,"n.b.",INDEX(SRC_ZPMW03!$A$1:$ZZ$501,$A310,T$3)))</f>
        <v/>
      </c>
      <c r="U310" s="124" t="str">
        <f>IF($B310="","",IF(U$3=0,"n.b.",INDEX(SRC_ZPMW03!$A$1:$ZZ$501,$A310,U$3)))</f>
        <v/>
      </c>
      <c r="V310" s="124" t="str">
        <f>IF($B310="","",IF(V$3=0,"n.b.",INDEX(SRC_ZPMW03!$A$1:$ZZ$501,$A310,V$3)))</f>
        <v/>
      </c>
      <c r="W310" s="124" t="str">
        <f>IF($B310="","",IF(W$3=0,"n.b.",INDEX(SRC_ZPMW03!$A$1:$ZZ$501,$A310,W$3)))</f>
        <v/>
      </c>
      <c r="X310" s="124" t="str">
        <f>IF($B310="","",IF(X$3=0,"n.b.",INDEX(SRC_ZPMW03!$A$1:$ZZ$501,$A310,X$3)))</f>
        <v/>
      </c>
      <c r="Y310" s="124" t="str">
        <f>IF($B310="","",IF(Y$3=0,"n.b.",INDEX(SRC_ZPMW03!$A$1:$ZZ$501,$A310,Y$3)))</f>
        <v/>
      </c>
      <c r="Z310" s="124" t="str">
        <f>IF($B310="","",IF(Z$3=0,"n.b.",INDEX(SRC_ZPMW03!$A$1:$ZZ$501,$A310,Z$3)))</f>
        <v/>
      </c>
      <c r="AA310" s="124" t="str">
        <f>IF($B310="","",IF(AA$3=0,"n.b.",INDEX(SRC_ZPMW03!$A$1:$ZZ$501,$A310,AA$3)))</f>
        <v/>
      </c>
      <c r="AB310" s="124" t="str">
        <f>IF($B310="","",IF(AB$3=0,"n.b.",INDEX(SRC_ZPMW03!$A$1:$ZZ$501,$A310,AB$3)))</f>
        <v/>
      </c>
      <c r="AC310" s="124" t="str">
        <f>IF($B310="","",IF(AC$3=0,"n.b.",INDEX(SRC_ZPMW03!$A$1:$ZZ$501,$A310,AC$3)))</f>
        <v/>
      </c>
      <c r="AD310" s="124" t="str">
        <f>IF($B310="","",IF(AD$3=0,"n.b.",INDEX(SRC_ZPMW03!$A$1:$ZZ$501,$A310,AD$3)))</f>
        <v/>
      </c>
      <c r="AE310" s="124" t="str">
        <f>IF($B310="","",IF(AE$3=0,"n.b.",INDEX(SRC_ZPMW03!$A$1:$ZZ$501,$A310,AE$3)))</f>
        <v/>
      </c>
      <c r="AF310" s="124" t="str">
        <f>IF($B310="","",IF(AF$3=0,"n.b.",INDEX(SRC_ZPMW03!$A$1:$ZZ$501,$A310,AF$3)))</f>
        <v/>
      </c>
      <c r="AG310" s="124" t="str">
        <f>IF($B310="","",IF(AG$3=0,"n.b.",INDEX(SRC_ZPMW03!$A$1:$ZZ$501,$A310,AG$3)))</f>
        <v/>
      </c>
      <c r="AH310" s="124" t="str">
        <f>IF($B310="","",IF(AH$3=0,"n.b.",INDEX(SRC_ZPMW03!$A$1:$ZZ$501,$A310,AH$3)))</f>
        <v/>
      </c>
      <c r="AI310" s="124" t="str">
        <f>IF($B310="","",IF(AI$3=0,"n.b.",INDEX(SRC_ZPMW03!$A$1:$ZZ$501,$A310,AI$3)))</f>
        <v/>
      </c>
      <c r="AJ310" s="124" t="str">
        <f>IF($B310="","",IF(AJ$3=0,"n.b.",INDEX(SRC_ZPMW03!$A$1:$ZZ$501,$A310,AJ$3)))</f>
        <v/>
      </c>
      <c r="AK310" s="124" t="str">
        <f>IF($B310="","",IF(AK$3=0,"n.b.",INDEX(SRC_ZPMW03!$A$1:$ZZ$501,$A310,AK$3)))</f>
        <v/>
      </c>
      <c r="AL310" s="124" t="str">
        <f>IF($B310="","",IF(AL$3=0,"n.b.",INDEX(SRC_ZPMW03!$A$1:$ZZ$501,$A310,AL$3)))</f>
        <v/>
      </c>
      <c r="AM310" s="124" t="str">
        <f>IF($B310="","",IF(AM$3=0,"n.b.",INDEX(SRC_ZPMW03!$A$1:$ZZ$501,$A310,AM$3)))</f>
        <v/>
      </c>
      <c r="AN310" s="124" t="str">
        <f>IF($B310="","",IF(AN$3=0,"n.b.",INDEX(SRC_ZPMW03!$A$1:$ZZ$501,$A310,AN$3)))</f>
        <v/>
      </c>
      <c r="AO310" s="124" t="str">
        <f>IF($B310="","",IF(AO$3=0,"n.b.",INDEX(SRC_ZPMW03!$A$1:$ZZ$501,$A310,AO$3)))</f>
        <v/>
      </c>
      <c r="AP310" s="124" t="str">
        <f>IF($B310="","",IF(AP$3=0,"n.b.",INDEX(SRC_ZPMW03!$A$1:$ZZ$501,$A310,AP$3)))</f>
        <v/>
      </c>
      <c r="AQ310" s="124" t="str">
        <f>IF($B310="","",IF(AQ$3=0,"n.b.",INDEX(SRC_ZPMW03!$A$1:$ZZ$501,$A310,AQ$3)))</f>
        <v/>
      </c>
      <c r="AR310" s="124" t="str">
        <f>IF($B310="","",IF(AR$3=0,"n.b.",INDEX(SRC_ZPMW03!$A$1:$ZZ$501,$A310,AR$3)))</f>
        <v/>
      </c>
      <c r="AS310" s="124" t="str">
        <f>IF($B310="","",IF(AS$3=0,"n.b.",INDEX(SRC_ZPMW03!$A$1:$ZZ$501,$A310,AS$3)))</f>
        <v/>
      </c>
      <c r="AT310" s="124" t="str">
        <f>IF($B310="","",IF(AT$3=0,"n.b.",INDEX(SRC_ZPMW03!$A$1:$ZZ$501,$A310,AT$3)))</f>
        <v/>
      </c>
      <c r="AU310" s="124" t="str">
        <f>IF($B310="","",IF(AU$3=0,"n.b.",INDEX(SRC_ZPMW03!$A$1:$ZZ$501,$A310,AU$3)))</f>
        <v/>
      </c>
      <c r="AV310" s="124" t="str">
        <f>IF($B310="","",IF(AV$3=0,"n.b.",INDEX(SRC_ZPMW03!$A$1:$ZZ$501,$A310,AV$3)))</f>
        <v/>
      </c>
      <c r="AW310" s="124" t="str">
        <f>IF($B310="","",IF(AW$3=0,"n.b.",INDEX(SRC_ZPMW03!$A$1:$ZZ$501,$A310,AW$3)))</f>
        <v/>
      </c>
      <c r="AX310" s="124" t="str">
        <f>IF($B310="","",IF(AX$3=0,"n.b.",INDEX(SRC_ZPMW03!$A$1:$ZZ$501,$A310,AX$3)))</f>
        <v/>
      </c>
      <c r="AY310" s="124" t="str">
        <f>IF($B310="","",IF(AY$3=0,"n.b.",INDEX(SRC_ZPMW03!$A$1:$ZZ$501,$A310,AY$3)))</f>
        <v/>
      </c>
      <c r="AZ310" s="124" t="str">
        <f>IF($B310="","",IF(AZ$3=0,"n.b.",INDEX(SRC_ZPMW03!$A$1:$ZZ$501,$A310,AZ$3)))</f>
        <v/>
      </c>
      <c r="BA310" s="124" t="str">
        <f>IF($B310="","",IF(BA$3=0,"n.b.",INDEX(SRC_ZPMW03!$A$1:$ZZ$501,$A310,BA$3)))</f>
        <v/>
      </c>
      <c r="BB310" s="124" t="str">
        <f>IF($B310="","",IF(BB$3=0,"n.b.",INDEX(SRC_ZPMW03!$A$1:$ZZ$501,$A310,BB$3)))</f>
        <v/>
      </c>
      <c r="BC310" s="124" t="str">
        <f>IF($B310="","",IF(BC$3=0,"n.b.",INDEX(SRC_ZPMW03!$A$1:$ZZ$501,$A310,BC$3)))</f>
        <v/>
      </c>
      <c r="BD310" s="124" t="str">
        <f>IF($B310="","",IF(BD$3=0,"n.b.",INDEX(SRC_ZPMW03!$A$1:$ZZ$501,$A310,BD$3)))</f>
        <v/>
      </c>
      <c r="BE310" s="124" t="str">
        <f>IF($B310="","",IF(BE$3=0,"n.b.",INDEX(SRC_ZPMW03!$A$1:$ZZ$501,$A310,BE$3)))</f>
        <v/>
      </c>
      <c r="BF310" s="124" t="str">
        <f>IF($B310="","",IF(BF$3=0,"n.b.",INDEX(SRC_ZPMW03!$A$1:$ZZ$501,$A310,BF$3)))</f>
        <v/>
      </c>
      <c r="BG310" t="str">
        <f>IF($B310="","",IF(BG$3=0,"n.b.",INDEX(SRC_ZPMW03!$A$1:$ZZ$501,$A310,BG$3)))</f>
        <v/>
      </c>
      <c r="BH310" t="str">
        <f>IF($B310="","",IF(BH$3=0,"n.b.",INDEX(SRC_ZPMW03!$A$1:$ZZ$501,$A310,BH$3)))</f>
        <v/>
      </c>
      <c r="BI310" t="str">
        <f>IF($B310="","",IF(BI$3=0,"n.b.",INDEX(SRC_ZPMW03!$A$1:$ZZ$501,$A310,BI$3)))</f>
        <v/>
      </c>
      <c r="BJ310" t="str">
        <f>IF($B310="","",IF(BJ$3=0,"n.b.",INDEX(SRC_ZPMW03!$A$1:$ZZ$501,$A310,BJ$3)))</f>
        <v/>
      </c>
      <c r="BK310" s="124" t="str">
        <f>IF($B310="","",IFERROR(-O310,"n.b."))</f>
        <v/>
      </c>
      <c r="BL310" s="124" t="str">
        <f>IF($B310="","",IFERROR(-Q310,"n.b."))</f>
        <v/>
      </c>
      <c r="BM310" s="124" t="str">
        <f>IF($B310="","",IFERROR(-AB310,"n.b."))</f>
        <v/>
      </c>
      <c r="BN310" s="124" t="str">
        <f>IF($B310="","",IFERROR(-AD310,"n.b."))</f>
        <v/>
      </c>
      <c r="BO310" s="124" t="str">
        <f>IF($B310="","",IFERROR(BK310+BM310,"n.b."))</f>
        <v/>
      </c>
      <c r="BP310" s="124" t="str">
        <f>IF($B310="","",IFERROR(BL310+BN310,"n.b."))</f>
        <v/>
      </c>
      <c r="BQ310" s="124" t="str">
        <f>IF($B310="","",IFERROR(-AM310,"n.b."))</f>
        <v/>
      </c>
      <c r="BR310" s="124" t="str">
        <f>IF($B310="","",IFERROR(-AO310,"n.b."))</f>
        <v/>
      </c>
      <c r="BS310" s="124" t="str">
        <f>IF($B310="","",IFERROR(-Z310,"n.b."))</f>
        <v/>
      </c>
      <c r="BT310" s="124" t="str">
        <f>IF($B310="","",IFERROR(-AA310,"n.b."))</f>
        <v/>
      </c>
      <c r="BU310" s="124" t="str">
        <f>IF($B310="","",IFERROR(-AE310,"n.b."))</f>
        <v/>
      </c>
      <c r="BV310" s="124" t="str">
        <f>IF($B310="","",IFERROR(-AF310,"n.b."))</f>
        <v/>
      </c>
      <c r="BW310" s="124" t="str">
        <f>IF($B310="","",IFERROR(-AG310,"n.b."))</f>
        <v/>
      </c>
      <c r="BX310" s="124" t="str">
        <f>IF($B310="","",IFERROR(-AH310,"n.b."))</f>
        <v/>
      </c>
      <c r="BY310" s="124" t="str">
        <f>IF($B310="","",IFERROR(-AI310,"n.b."))</f>
        <v/>
      </c>
      <c r="BZ310" s="124" t="str">
        <f>IF($B310="","",IFERROR(-AJ310,"n.b."))</f>
        <v/>
      </c>
      <c r="CA310" s="124" t="str">
        <f>IF($B310="","",IFERROR(-AK310,"n.b."))</f>
        <v/>
      </c>
      <c r="CB310" s="124" t="str">
        <f>IF($B310="","",IFERROR(-AL310,"n.b."))</f>
        <v/>
      </c>
      <c r="CC310" s="124" t="str">
        <f>IF($B310="","",IFERROR(-AP310,"n.b."))</f>
        <v/>
      </c>
      <c r="CD310" s="124" t="str">
        <f>IF($B310="","",IFERROR(-AQ310,"n.b."))</f>
        <v/>
      </c>
      <c r="CE310" s="124" t="str">
        <f>IF($B310="","",IFERROR(-AR310,"n.b."))</f>
        <v/>
      </c>
      <c r="CF310" s="124" t="str">
        <f>IF($B310="","",IFERROR(-AS310,"n.b."))</f>
        <v/>
      </c>
      <c r="CG310" s="124" t="str">
        <f>IF($B310="","",IFERROR(-AT310,"n.b."))</f>
        <v/>
      </c>
      <c r="CH310" s="124" t="str">
        <f>IF($B310="","",IFERROR(-AU310,"n.b."))</f>
        <v/>
      </c>
      <c r="CI310" s="124" t="str">
        <f>IF($B310="","",IFERROR(-AV310,"n.b."))</f>
        <v/>
      </c>
      <c r="CJ310" s="124" t="str">
        <f>IF($B310="","",IFERROR(-AW310,"n.b."))</f>
        <v/>
      </c>
      <c r="CK310" s="124" t="str">
        <f>IF($B310="","",IFERROR(-AX310,"n.b."))</f>
        <v/>
      </c>
      <c r="CL310" s="124" t="str">
        <f>IF($B310="","",IFERROR(-AY310,"n.b."))</f>
        <v/>
      </c>
      <c r="CM310" s="124" t="str">
        <f>IF($B310="","",IFERROR(-AZ310,"n.b."))</f>
        <v/>
      </c>
      <c r="CN310" s="124" t="str">
        <f>IF($B310="","",IFERROR(-BA310,"n.b."))</f>
        <v/>
      </c>
      <c r="CO310" s="124" t="str">
        <f>IF($B310="","",IFERROR(-BB310,"n.b."))</f>
        <v/>
      </c>
      <c r="CP310" s="124" t="str">
        <f>IF($B310="","",IFERROR(-BC310,"n.b."))</f>
        <v/>
      </c>
      <c r="CQ310" s="124" t="str">
        <f>IF($B310="","",IFERROR(-BD310,"n.b."))</f>
        <v/>
      </c>
      <c r="CR310" s="124" t="str">
        <f>IF($B310="","",IFERROR(-BE310,"n.b."))</f>
        <v/>
      </c>
      <c r="CS310" s="124" t="str">
        <f>IF($B310="","",IFERROR(IF(OR(ABS(T310+V310+X310+Z310-AB310)&gt;P_Tol,ABS(U310+W310+Y310+AA310-AD310)&gt;P_Tol,ABS(AE310+AG310+AI310+AK310-AM310)&gt;P_Tol,ABS(AF310+AH310+AJ310+AL310-AO310)&gt;P_Tol),1,0),1))</f>
        <v/>
      </c>
      <c r="CT310" s="124" t="str">
        <f>IF($B310="","",IFERROR(IF(OR(ABS(AB310+AC310-AD310)&gt;P_Tol,ABS(AM310+AN310-AO310)&gt;P_Tol,ABS(O310+P310-Q310)&gt;P_Tol),1,0),1))</f>
        <v/>
      </c>
      <c r="CU310" s="124" t="str">
        <f>IF($B310="","",IFERROR(IF(ABS(R310-(AB310+AM310+AP310+AR310+AT310+AV310+AX310+AZ310+BB310+BD310))&gt;P_Tol,1,0),1))</f>
        <v/>
      </c>
      <c r="CV310" s="124" t="str">
        <f>IF($B310="","",IFERROR(IF(ABS(M310-(N310+O310+R310))&gt;P_Tol,1,0),1))</f>
        <v/>
      </c>
      <c r="CW310" s="124" t="str">
        <f>IF($B310="","",IF(COUNTIF(Mapping!$A$5:$A$104,B310)&gt;0,1,0))</f>
        <v/>
      </c>
      <c r="CX310" s="124" t="str">
        <f>IF($B310="","",COUNTIF($B$6:$B$505,B310))</f>
        <v/>
      </c>
      <c r="CY310" s="124" t="str">
        <f>IF($B310="","",COUNTIF(STG_Woningetalage!$B$6:$B$505,B310))</f>
        <v/>
      </c>
      <c r="CZ310" s="124" t="str">
        <f>IF($B310="","",IF(CW310=0,COUNTIF($CW$6:CW310,0),""))</f>
        <v/>
      </c>
    </row>
    <row r="311">
      <c r="A311" s="15" t="n">
        <v>307</v>
      </c>
      <c r="B311" t="str">
        <f>IF(B$3=0,"",IF(INDEX(SRC_ZPMW03!$A$1:$ZZ$501,$A311,B$3)&amp;""="","",INDEX(SRC_ZPMW03!$A$1:$ZZ$501,$A311,B$3)&amp;""))</f>
        <v/>
      </c>
      <c r="C311" t="str">
        <f>IF($B311="","",IF(C$3=0,"n.b.",INDEX(SRC_ZPMW03!$A$1:$ZZ$501,$A311,C$3)))</f>
        <v/>
      </c>
      <c r="D311" t="str">
        <f>IF($B311="","",IF(D$3=0,"n.b.",INDEX(SRC_ZPMW03!$A$1:$ZZ$501,$A311,D$3)))</f>
        <v/>
      </c>
      <c r="E311" t="str">
        <f>IF($B311="","",IF(E$3=0,"n.b.",INDEX(SRC_ZPMW03!$A$1:$ZZ$501,$A311,E$3)))</f>
        <v/>
      </c>
      <c r="F311" t="str">
        <f>IF($B311="","",IF(F$3=0,"n.b.",INDEX(SRC_ZPMW03!$A$1:$ZZ$501,$A311,F$3)))</f>
        <v/>
      </c>
      <c r="G311" t="str">
        <f>IF($B311="","",IF(G$3=0,"n.b.",INDEX(SRC_ZPMW03!$A$1:$ZZ$501,$A311,G$3)))</f>
        <v/>
      </c>
      <c r="H311" t="str">
        <f>IF($B311="","",IF(H$3=0,"n.b.",INDEX(SRC_ZPMW03!$A$1:$ZZ$501,$A311,H$3)))</f>
        <v/>
      </c>
      <c r="I311" t="str">
        <f>IF($B311="","",IF(I$3=0,"n.b.",INDEX(SRC_ZPMW03!$A$1:$ZZ$501,$A311,I$3)))</f>
        <v/>
      </c>
      <c r="J311" t="str">
        <f>IF($B311="","",IF(J$3=0,"n.b.",INDEX(SRC_ZPMW03!$A$1:$ZZ$501,$A311,J$3)))</f>
        <v/>
      </c>
      <c r="K311" t="str">
        <f>IF($B311="","",IF(K$3=0,"n.b.",INDEX(SRC_ZPMW03!$A$1:$ZZ$501,$A311,K$3)))</f>
        <v/>
      </c>
      <c r="L311" s="124" t="str">
        <f>IF($B311="","",IF(L$3=0,"n.b.",INDEX(SRC_ZPMW03!$A$1:$ZZ$501,$A311,L$3)))</f>
        <v/>
      </c>
      <c r="M311" s="124" t="str">
        <f>IF($B311="","",IF(M$3=0,"n.b.",INDEX(SRC_ZPMW03!$A$1:$ZZ$501,$A311,M$3)))</f>
        <v/>
      </c>
      <c r="N311" s="124" t="str">
        <f>IF($B311="","",IF(N$3=0,"n.b.",INDEX(SRC_ZPMW03!$A$1:$ZZ$501,$A311,N$3)))</f>
        <v/>
      </c>
      <c r="O311" s="124" t="str">
        <f>IF($B311="","",IF(O$3=0,"n.b.",INDEX(SRC_ZPMW03!$A$1:$ZZ$501,$A311,O$3)))</f>
        <v/>
      </c>
      <c r="P311" s="124" t="str">
        <f>IF($B311="","",IF(P$3=0,"n.b.",INDEX(SRC_ZPMW03!$A$1:$ZZ$501,$A311,P$3)))</f>
        <v/>
      </c>
      <c r="Q311" s="124" t="str">
        <f>IF($B311="","",IF(Q$3=0,"n.b.",INDEX(SRC_ZPMW03!$A$1:$ZZ$501,$A311,Q$3)))</f>
        <v/>
      </c>
      <c r="R311" s="124" t="str">
        <f>IF($B311="","",IF(R$3=0,"n.b.",INDEX(SRC_ZPMW03!$A$1:$ZZ$501,$A311,R$3)))</f>
        <v/>
      </c>
      <c r="S311" s="124" t="str">
        <f>IF($B311="","",IF(S$3=0,"n.b.",INDEX(SRC_ZPMW03!$A$1:$ZZ$501,$A311,S$3)))</f>
        <v/>
      </c>
      <c r="T311" s="124" t="str">
        <f>IF($B311="","",IF(T$3=0,"n.b.",INDEX(SRC_ZPMW03!$A$1:$ZZ$501,$A311,T$3)))</f>
        <v/>
      </c>
      <c r="U311" s="124" t="str">
        <f>IF($B311="","",IF(U$3=0,"n.b.",INDEX(SRC_ZPMW03!$A$1:$ZZ$501,$A311,U$3)))</f>
        <v/>
      </c>
      <c r="V311" s="124" t="str">
        <f>IF($B311="","",IF(V$3=0,"n.b.",INDEX(SRC_ZPMW03!$A$1:$ZZ$501,$A311,V$3)))</f>
        <v/>
      </c>
      <c r="W311" s="124" t="str">
        <f>IF($B311="","",IF(W$3=0,"n.b.",INDEX(SRC_ZPMW03!$A$1:$ZZ$501,$A311,W$3)))</f>
        <v/>
      </c>
      <c r="X311" s="124" t="str">
        <f>IF($B311="","",IF(X$3=0,"n.b.",INDEX(SRC_ZPMW03!$A$1:$ZZ$501,$A311,X$3)))</f>
        <v/>
      </c>
      <c r="Y311" s="124" t="str">
        <f>IF($B311="","",IF(Y$3=0,"n.b.",INDEX(SRC_ZPMW03!$A$1:$ZZ$501,$A311,Y$3)))</f>
        <v/>
      </c>
      <c r="Z311" s="124" t="str">
        <f>IF($B311="","",IF(Z$3=0,"n.b.",INDEX(SRC_ZPMW03!$A$1:$ZZ$501,$A311,Z$3)))</f>
        <v/>
      </c>
      <c r="AA311" s="124" t="str">
        <f>IF($B311="","",IF(AA$3=0,"n.b.",INDEX(SRC_ZPMW03!$A$1:$ZZ$501,$A311,AA$3)))</f>
        <v/>
      </c>
      <c r="AB311" s="124" t="str">
        <f>IF($B311="","",IF(AB$3=0,"n.b.",INDEX(SRC_ZPMW03!$A$1:$ZZ$501,$A311,AB$3)))</f>
        <v/>
      </c>
      <c r="AC311" s="124" t="str">
        <f>IF($B311="","",IF(AC$3=0,"n.b.",INDEX(SRC_ZPMW03!$A$1:$ZZ$501,$A311,AC$3)))</f>
        <v/>
      </c>
      <c r="AD311" s="124" t="str">
        <f>IF($B311="","",IF(AD$3=0,"n.b.",INDEX(SRC_ZPMW03!$A$1:$ZZ$501,$A311,AD$3)))</f>
        <v/>
      </c>
      <c r="AE311" s="124" t="str">
        <f>IF($B311="","",IF(AE$3=0,"n.b.",INDEX(SRC_ZPMW03!$A$1:$ZZ$501,$A311,AE$3)))</f>
        <v/>
      </c>
      <c r="AF311" s="124" t="str">
        <f>IF($B311="","",IF(AF$3=0,"n.b.",INDEX(SRC_ZPMW03!$A$1:$ZZ$501,$A311,AF$3)))</f>
        <v/>
      </c>
      <c r="AG311" s="124" t="str">
        <f>IF($B311="","",IF(AG$3=0,"n.b.",INDEX(SRC_ZPMW03!$A$1:$ZZ$501,$A311,AG$3)))</f>
        <v/>
      </c>
      <c r="AH311" s="124" t="str">
        <f>IF($B311="","",IF(AH$3=0,"n.b.",INDEX(SRC_ZPMW03!$A$1:$ZZ$501,$A311,AH$3)))</f>
        <v/>
      </c>
      <c r="AI311" s="124" t="str">
        <f>IF($B311="","",IF(AI$3=0,"n.b.",INDEX(SRC_ZPMW03!$A$1:$ZZ$501,$A311,AI$3)))</f>
        <v/>
      </c>
      <c r="AJ311" s="124" t="str">
        <f>IF($B311="","",IF(AJ$3=0,"n.b.",INDEX(SRC_ZPMW03!$A$1:$ZZ$501,$A311,AJ$3)))</f>
        <v/>
      </c>
      <c r="AK311" s="124" t="str">
        <f>IF($B311="","",IF(AK$3=0,"n.b.",INDEX(SRC_ZPMW03!$A$1:$ZZ$501,$A311,AK$3)))</f>
        <v/>
      </c>
      <c r="AL311" s="124" t="str">
        <f>IF($B311="","",IF(AL$3=0,"n.b.",INDEX(SRC_ZPMW03!$A$1:$ZZ$501,$A311,AL$3)))</f>
        <v/>
      </c>
      <c r="AM311" s="124" t="str">
        <f>IF($B311="","",IF(AM$3=0,"n.b.",INDEX(SRC_ZPMW03!$A$1:$ZZ$501,$A311,AM$3)))</f>
        <v/>
      </c>
      <c r="AN311" s="124" t="str">
        <f>IF($B311="","",IF(AN$3=0,"n.b.",INDEX(SRC_ZPMW03!$A$1:$ZZ$501,$A311,AN$3)))</f>
        <v/>
      </c>
      <c r="AO311" s="124" t="str">
        <f>IF($B311="","",IF(AO$3=0,"n.b.",INDEX(SRC_ZPMW03!$A$1:$ZZ$501,$A311,AO$3)))</f>
        <v/>
      </c>
      <c r="AP311" s="124" t="str">
        <f>IF($B311="","",IF(AP$3=0,"n.b.",INDEX(SRC_ZPMW03!$A$1:$ZZ$501,$A311,AP$3)))</f>
        <v/>
      </c>
      <c r="AQ311" s="124" t="str">
        <f>IF($B311="","",IF(AQ$3=0,"n.b.",INDEX(SRC_ZPMW03!$A$1:$ZZ$501,$A311,AQ$3)))</f>
        <v/>
      </c>
      <c r="AR311" s="124" t="str">
        <f>IF($B311="","",IF(AR$3=0,"n.b.",INDEX(SRC_ZPMW03!$A$1:$ZZ$501,$A311,AR$3)))</f>
        <v/>
      </c>
      <c r="AS311" s="124" t="str">
        <f>IF($B311="","",IF(AS$3=0,"n.b.",INDEX(SRC_ZPMW03!$A$1:$ZZ$501,$A311,AS$3)))</f>
        <v/>
      </c>
      <c r="AT311" s="124" t="str">
        <f>IF($B311="","",IF(AT$3=0,"n.b.",INDEX(SRC_ZPMW03!$A$1:$ZZ$501,$A311,AT$3)))</f>
        <v/>
      </c>
      <c r="AU311" s="124" t="str">
        <f>IF($B311="","",IF(AU$3=0,"n.b.",INDEX(SRC_ZPMW03!$A$1:$ZZ$501,$A311,AU$3)))</f>
        <v/>
      </c>
      <c r="AV311" s="124" t="str">
        <f>IF($B311="","",IF(AV$3=0,"n.b.",INDEX(SRC_ZPMW03!$A$1:$ZZ$501,$A311,AV$3)))</f>
        <v/>
      </c>
      <c r="AW311" s="124" t="str">
        <f>IF($B311="","",IF(AW$3=0,"n.b.",INDEX(SRC_ZPMW03!$A$1:$ZZ$501,$A311,AW$3)))</f>
        <v/>
      </c>
      <c r="AX311" s="124" t="str">
        <f>IF($B311="","",IF(AX$3=0,"n.b.",INDEX(SRC_ZPMW03!$A$1:$ZZ$501,$A311,AX$3)))</f>
        <v/>
      </c>
      <c r="AY311" s="124" t="str">
        <f>IF($B311="","",IF(AY$3=0,"n.b.",INDEX(SRC_ZPMW03!$A$1:$ZZ$501,$A311,AY$3)))</f>
        <v/>
      </c>
      <c r="AZ311" s="124" t="str">
        <f>IF($B311="","",IF(AZ$3=0,"n.b.",INDEX(SRC_ZPMW03!$A$1:$ZZ$501,$A311,AZ$3)))</f>
        <v/>
      </c>
      <c r="BA311" s="124" t="str">
        <f>IF($B311="","",IF(BA$3=0,"n.b.",INDEX(SRC_ZPMW03!$A$1:$ZZ$501,$A311,BA$3)))</f>
        <v/>
      </c>
      <c r="BB311" s="124" t="str">
        <f>IF($B311="","",IF(BB$3=0,"n.b.",INDEX(SRC_ZPMW03!$A$1:$ZZ$501,$A311,BB$3)))</f>
        <v/>
      </c>
      <c r="BC311" s="124" t="str">
        <f>IF($B311="","",IF(BC$3=0,"n.b.",INDEX(SRC_ZPMW03!$A$1:$ZZ$501,$A311,BC$3)))</f>
        <v/>
      </c>
      <c r="BD311" s="124" t="str">
        <f>IF($B311="","",IF(BD$3=0,"n.b.",INDEX(SRC_ZPMW03!$A$1:$ZZ$501,$A311,BD$3)))</f>
        <v/>
      </c>
      <c r="BE311" s="124" t="str">
        <f>IF($B311="","",IF(BE$3=0,"n.b.",INDEX(SRC_ZPMW03!$A$1:$ZZ$501,$A311,BE$3)))</f>
        <v/>
      </c>
      <c r="BF311" s="124" t="str">
        <f>IF($B311="","",IF(BF$3=0,"n.b.",INDEX(SRC_ZPMW03!$A$1:$ZZ$501,$A311,BF$3)))</f>
        <v/>
      </c>
      <c r="BG311" t="str">
        <f>IF($B311="","",IF(BG$3=0,"n.b.",INDEX(SRC_ZPMW03!$A$1:$ZZ$501,$A311,BG$3)))</f>
        <v/>
      </c>
      <c r="BH311" t="str">
        <f>IF($B311="","",IF(BH$3=0,"n.b.",INDEX(SRC_ZPMW03!$A$1:$ZZ$501,$A311,BH$3)))</f>
        <v/>
      </c>
      <c r="BI311" t="str">
        <f>IF($B311="","",IF(BI$3=0,"n.b.",INDEX(SRC_ZPMW03!$A$1:$ZZ$501,$A311,BI$3)))</f>
        <v/>
      </c>
      <c r="BJ311" t="str">
        <f>IF($B311="","",IF(BJ$3=0,"n.b.",INDEX(SRC_ZPMW03!$A$1:$ZZ$501,$A311,BJ$3)))</f>
        <v/>
      </c>
      <c r="BK311" s="124" t="str">
        <f>IF($B311="","",IFERROR(-O311,"n.b."))</f>
        <v/>
      </c>
      <c r="BL311" s="124" t="str">
        <f>IF($B311="","",IFERROR(-Q311,"n.b."))</f>
        <v/>
      </c>
      <c r="BM311" s="124" t="str">
        <f>IF($B311="","",IFERROR(-AB311,"n.b."))</f>
        <v/>
      </c>
      <c r="BN311" s="124" t="str">
        <f>IF($B311="","",IFERROR(-AD311,"n.b."))</f>
        <v/>
      </c>
      <c r="BO311" s="124" t="str">
        <f>IF($B311="","",IFERROR(BK311+BM311,"n.b."))</f>
        <v/>
      </c>
      <c r="BP311" s="124" t="str">
        <f>IF($B311="","",IFERROR(BL311+BN311,"n.b."))</f>
        <v/>
      </c>
      <c r="BQ311" s="124" t="str">
        <f>IF($B311="","",IFERROR(-AM311,"n.b."))</f>
        <v/>
      </c>
      <c r="BR311" s="124" t="str">
        <f>IF($B311="","",IFERROR(-AO311,"n.b."))</f>
        <v/>
      </c>
      <c r="BS311" s="124" t="str">
        <f>IF($B311="","",IFERROR(-Z311,"n.b."))</f>
        <v/>
      </c>
      <c r="BT311" s="124" t="str">
        <f>IF($B311="","",IFERROR(-AA311,"n.b."))</f>
        <v/>
      </c>
      <c r="BU311" s="124" t="str">
        <f>IF($B311="","",IFERROR(-AE311,"n.b."))</f>
        <v/>
      </c>
      <c r="BV311" s="124" t="str">
        <f>IF($B311="","",IFERROR(-AF311,"n.b."))</f>
        <v/>
      </c>
      <c r="BW311" s="124" t="str">
        <f>IF($B311="","",IFERROR(-AG311,"n.b."))</f>
        <v/>
      </c>
      <c r="BX311" s="124" t="str">
        <f>IF($B311="","",IFERROR(-AH311,"n.b."))</f>
        <v/>
      </c>
      <c r="BY311" s="124" t="str">
        <f>IF($B311="","",IFERROR(-AI311,"n.b."))</f>
        <v/>
      </c>
      <c r="BZ311" s="124" t="str">
        <f>IF($B311="","",IFERROR(-AJ311,"n.b."))</f>
        <v/>
      </c>
      <c r="CA311" s="124" t="str">
        <f>IF($B311="","",IFERROR(-AK311,"n.b."))</f>
        <v/>
      </c>
      <c r="CB311" s="124" t="str">
        <f>IF($B311="","",IFERROR(-AL311,"n.b."))</f>
        <v/>
      </c>
      <c r="CC311" s="124" t="str">
        <f>IF($B311="","",IFERROR(-AP311,"n.b."))</f>
        <v/>
      </c>
      <c r="CD311" s="124" t="str">
        <f>IF($B311="","",IFERROR(-AQ311,"n.b."))</f>
        <v/>
      </c>
      <c r="CE311" s="124" t="str">
        <f>IF($B311="","",IFERROR(-AR311,"n.b."))</f>
        <v/>
      </c>
      <c r="CF311" s="124" t="str">
        <f>IF($B311="","",IFERROR(-AS311,"n.b."))</f>
        <v/>
      </c>
      <c r="CG311" s="124" t="str">
        <f>IF($B311="","",IFERROR(-AT311,"n.b."))</f>
        <v/>
      </c>
      <c r="CH311" s="124" t="str">
        <f>IF($B311="","",IFERROR(-AU311,"n.b."))</f>
        <v/>
      </c>
      <c r="CI311" s="124" t="str">
        <f>IF($B311="","",IFERROR(-AV311,"n.b."))</f>
        <v/>
      </c>
      <c r="CJ311" s="124" t="str">
        <f>IF($B311="","",IFERROR(-AW311,"n.b."))</f>
        <v/>
      </c>
      <c r="CK311" s="124" t="str">
        <f>IF($B311="","",IFERROR(-AX311,"n.b."))</f>
        <v/>
      </c>
      <c r="CL311" s="124" t="str">
        <f>IF($B311="","",IFERROR(-AY311,"n.b."))</f>
        <v/>
      </c>
      <c r="CM311" s="124" t="str">
        <f>IF($B311="","",IFERROR(-AZ311,"n.b."))</f>
        <v/>
      </c>
      <c r="CN311" s="124" t="str">
        <f>IF($B311="","",IFERROR(-BA311,"n.b."))</f>
        <v/>
      </c>
      <c r="CO311" s="124" t="str">
        <f>IF($B311="","",IFERROR(-BB311,"n.b."))</f>
        <v/>
      </c>
      <c r="CP311" s="124" t="str">
        <f>IF($B311="","",IFERROR(-BC311,"n.b."))</f>
        <v/>
      </c>
      <c r="CQ311" s="124" t="str">
        <f>IF($B311="","",IFERROR(-BD311,"n.b."))</f>
        <v/>
      </c>
      <c r="CR311" s="124" t="str">
        <f>IF($B311="","",IFERROR(-BE311,"n.b."))</f>
        <v/>
      </c>
      <c r="CS311" s="124" t="str">
        <f>IF($B311="","",IFERROR(IF(OR(ABS(T311+V311+X311+Z311-AB311)&gt;P_Tol,ABS(U311+W311+Y311+AA311-AD311)&gt;P_Tol,ABS(AE311+AG311+AI311+AK311-AM311)&gt;P_Tol,ABS(AF311+AH311+AJ311+AL311-AO311)&gt;P_Tol),1,0),1))</f>
        <v/>
      </c>
      <c r="CT311" s="124" t="str">
        <f>IF($B311="","",IFERROR(IF(OR(ABS(AB311+AC311-AD311)&gt;P_Tol,ABS(AM311+AN311-AO311)&gt;P_Tol,ABS(O311+P311-Q311)&gt;P_Tol),1,0),1))</f>
        <v/>
      </c>
      <c r="CU311" s="124" t="str">
        <f>IF($B311="","",IFERROR(IF(ABS(R311-(AB311+AM311+AP311+AR311+AT311+AV311+AX311+AZ311+BB311+BD311))&gt;P_Tol,1,0),1))</f>
        <v/>
      </c>
      <c r="CV311" s="124" t="str">
        <f>IF($B311="","",IFERROR(IF(ABS(M311-(N311+O311+R311))&gt;P_Tol,1,0),1))</f>
        <v/>
      </c>
      <c r="CW311" s="124" t="str">
        <f>IF($B311="","",IF(COUNTIF(Mapping!$A$5:$A$104,B311)&gt;0,1,0))</f>
        <v/>
      </c>
      <c r="CX311" s="124" t="str">
        <f>IF($B311="","",COUNTIF($B$6:$B$505,B311))</f>
        <v/>
      </c>
      <c r="CY311" s="124" t="str">
        <f>IF($B311="","",COUNTIF(STG_Woningetalage!$B$6:$B$505,B311))</f>
        <v/>
      </c>
      <c r="CZ311" s="124" t="str">
        <f>IF($B311="","",IF(CW311=0,COUNTIF($CW$6:CW311,0),""))</f>
        <v/>
      </c>
    </row>
    <row r="312">
      <c r="A312" s="15" t="n">
        <v>308</v>
      </c>
      <c r="B312" t="str">
        <f>IF(B$3=0,"",IF(INDEX(SRC_ZPMW03!$A$1:$ZZ$501,$A312,B$3)&amp;""="","",INDEX(SRC_ZPMW03!$A$1:$ZZ$501,$A312,B$3)&amp;""))</f>
        <v/>
      </c>
      <c r="C312" t="str">
        <f>IF($B312="","",IF(C$3=0,"n.b.",INDEX(SRC_ZPMW03!$A$1:$ZZ$501,$A312,C$3)))</f>
        <v/>
      </c>
      <c r="D312" t="str">
        <f>IF($B312="","",IF(D$3=0,"n.b.",INDEX(SRC_ZPMW03!$A$1:$ZZ$501,$A312,D$3)))</f>
        <v/>
      </c>
      <c r="E312" t="str">
        <f>IF($B312="","",IF(E$3=0,"n.b.",INDEX(SRC_ZPMW03!$A$1:$ZZ$501,$A312,E$3)))</f>
        <v/>
      </c>
      <c r="F312" t="str">
        <f>IF($B312="","",IF(F$3=0,"n.b.",INDEX(SRC_ZPMW03!$A$1:$ZZ$501,$A312,F$3)))</f>
        <v/>
      </c>
      <c r="G312" t="str">
        <f>IF($B312="","",IF(G$3=0,"n.b.",INDEX(SRC_ZPMW03!$A$1:$ZZ$501,$A312,G$3)))</f>
        <v/>
      </c>
      <c r="H312" t="str">
        <f>IF($B312="","",IF(H$3=0,"n.b.",INDEX(SRC_ZPMW03!$A$1:$ZZ$501,$A312,H$3)))</f>
        <v/>
      </c>
      <c r="I312" t="str">
        <f>IF($B312="","",IF(I$3=0,"n.b.",INDEX(SRC_ZPMW03!$A$1:$ZZ$501,$A312,I$3)))</f>
        <v/>
      </c>
      <c r="J312" t="str">
        <f>IF($B312="","",IF(J$3=0,"n.b.",INDEX(SRC_ZPMW03!$A$1:$ZZ$501,$A312,J$3)))</f>
        <v/>
      </c>
      <c r="K312" t="str">
        <f>IF($B312="","",IF(K$3=0,"n.b.",INDEX(SRC_ZPMW03!$A$1:$ZZ$501,$A312,K$3)))</f>
        <v/>
      </c>
      <c r="L312" s="124" t="str">
        <f>IF($B312="","",IF(L$3=0,"n.b.",INDEX(SRC_ZPMW03!$A$1:$ZZ$501,$A312,L$3)))</f>
        <v/>
      </c>
      <c r="M312" s="124" t="str">
        <f>IF($B312="","",IF(M$3=0,"n.b.",INDEX(SRC_ZPMW03!$A$1:$ZZ$501,$A312,M$3)))</f>
        <v/>
      </c>
      <c r="N312" s="124" t="str">
        <f>IF($B312="","",IF(N$3=0,"n.b.",INDEX(SRC_ZPMW03!$A$1:$ZZ$501,$A312,N$3)))</f>
        <v/>
      </c>
      <c r="O312" s="124" t="str">
        <f>IF($B312="","",IF(O$3=0,"n.b.",INDEX(SRC_ZPMW03!$A$1:$ZZ$501,$A312,O$3)))</f>
        <v/>
      </c>
      <c r="P312" s="124" t="str">
        <f>IF($B312="","",IF(P$3=0,"n.b.",INDEX(SRC_ZPMW03!$A$1:$ZZ$501,$A312,P$3)))</f>
        <v/>
      </c>
      <c r="Q312" s="124" t="str">
        <f>IF($B312="","",IF(Q$3=0,"n.b.",INDEX(SRC_ZPMW03!$A$1:$ZZ$501,$A312,Q$3)))</f>
        <v/>
      </c>
      <c r="R312" s="124" t="str">
        <f>IF($B312="","",IF(R$3=0,"n.b.",INDEX(SRC_ZPMW03!$A$1:$ZZ$501,$A312,R$3)))</f>
        <v/>
      </c>
      <c r="S312" s="124" t="str">
        <f>IF($B312="","",IF(S$3=0,"n.b.",INDEX(SRC_ZPMW03!$A$1:$ZZ$501,$A312,S$3)))</f>
        <v/>
      </c>
      <c r="T312" s="124" t="str">
        <f>IF($B312="","",IF(T$3=0,"n.b.",INDEX(SRC_ZPMW03!$A$1:$ZZ$501,$A312,T$3)))</f>
        <v/>
      </c>
      <c r="U312" s="124" t="str">
        <f>IF($B312="","",IF(U$3=0,"n.b.",INDEX(SRC_ZPMW03!$A$1:$ZZ$501,$A312,U$3)))</f>
        <v/>
      </c>
      <c r="V312" s="124" t="str">
        <f>IF($B312="","",IF(V$3=0,"n.b.",INDEX(SRC_ZPMW03!$A$1:$ZZ$501,$A312,V$3)))</f>
        <v/>
      </c>
      <c r="W312" s="124" t="str">
        <f>IF($B312="","",IF(W$3=0,"n.b.",INDEX(SRC_ZPMW03!$A$1:$ZZ$501,$A312,W$3)))</f>
        <v/>
      </c>
      <c r="X312" s="124" t="str">
        <f>IF($B312="","",IF(X$3=0,"n.b.",INDEX(SRC_ZPMW03!$A$1:$ZZ$501,$A312,X$3)))</f>
        <v/>
      </c>
      <c r="Y312" s="124" t="str">
        <f>IF($B312="","",IF(Y$3=0,"n.b.",INDEX(SRC_ZPMW03!$A$1:$ZZ$501,$A312,Y$3)))</f>
        <v/>
      </c>
      <c r="Z312" s="124" t="str">
        <f>IF($B312="","",IF(Z$3=0,"n.b.",INDEX(SRC_ZPMW03!$A$1:$ZZ$501,$A312,Z$3)))</f>
        <v/>
      </c>
      <c r="AA312" s="124" t="str">
        <f>IF($B312="","",IF(AA$3=0,"n.b.",INDEX(SRC_ZPMW03!$A$1:$ZZ$501,$A312,AA$3)))</f>
        <v/>
      </c>
      <c r="AB312" s="124" t="str">
        <f>IF($B312="","",IF(AB$3=0,"n.b.",INDEX(SRC_ZPMW03!$A$1:$ZZ$501,$A312,AB$3)))</f>
        <v/>
      </c>
      <c r="AC312" s="124" t="str">
        <f>IF($B312="","",IF(AC$3=0,"n.b.",INDEX(SRC_ZPMW03!$A$1:$ZZ$501,$A312,AC$3)))</f>
        <v/>
      </c>
      <c r="AD312" s="124" t="str">
        <f>IF($B312="","",IF(AD$3=0,"n.b.",INDEX(SRC_ZPMW03!$A$1:$ZZ$501,$A312,AD$3)))</f>
        <v/>
      </c>
      <c r="AE312" s="124" t="str">
        <f>IF($B312="","",IF(AE$3=0,"n.b.",INDEX(SRC_ZPMW03!$A$1:$ZZ$501,$A312,AE$3)))</f>
        <v/>
      </c>
      <c r="AF312" s="124" t="str">
        <f>IF($B312="","",IF(AF$3=0,"n.b.",INDEX(SRC_ZPMW03!$A$1:$ZZ$501,$A312,AF$3)))</f>
        <v/>
      </c>
      <c r="AG312" s="124" t="str">
        <f>IF($B312="","",IF(AG$3=0,"n.b.",INDEX(SRC_ZPMW03!$A$1:$ZZ$501,$A312,AG$3)))</f>
        <v/>
      </c>
      <c r="AH312" s="124" t="str">
        <f>IF($B312="","",IF(AH$3=0,"n.b.",INDEX(SRC_ZPMW03!$A$1:$ZZ$501,$A312,AH$3)))</f>
        <v/>
      </c>
      <c r="AI312" s="124" t="str">
        <f>IF($B312="","",IF(AI$3=0,"n.b.",INDEX(SRC_ZPMW03!$A$1:$ZZ$501,$A312,AI$3)))</f>
        <v/>
      </c>
      <c r="AJ312" s="124" t="str">
        <f>IF($B312="","",IF(AJ$3=0,"n.b.",INDEX(SRC_ZPMW03!$A$1:$ZZ$501,$A312,AJ$3)))</f>
        <v/>
      </c>
      <c r="AK312" s="124" t="str">
        <f>IF($B312="","",IF(AK$3=0,"n.b.",INDEX(SRC_ZPMW03!$A$1:$ZZ$501,$A312,AK$3)))</f>
        <v/>
      </c>
      <c r="AL312" s="124" t="str">
        <f>IF($B312="","",IF(AL$3=0,"n.b.",INDEX(SRC_ZPMW03!$A$1:$ZZ$501,$A312,AL$3)))</f>
        <v/>
      </c>
      <c r="AM312" s="124" t="str">
        <f>IF($B312="","",IF(AM$3=0,"n.b.",INDEX(SRC_ZPMW03!$A$1:$ZZ$501,$A312,AM$3)))</f>
        <v/>
      </c>
      <c r="AN312" s="124" t="str">
        <f>IF($B312="","",IF(AN$3=0,"n.b.",INDEX(SRC_ZPMW03!$A$1:$ZZ$501,$A312,AN$3)))</f>
        <v/>
      </c>
      <c r="AO312" s="124" t="str">
        <f>IF($B312="","",IF(AO$3=0,"n.b.",INDEX(SRC_ZPMW03!$A$1:$ZZ$501,$A312,AO$3)))</f>
        <v/>
      </c>
      <c r="AP312" s="124" t="str">
        <f>IF($B312="","",IF(AP$3=0,"n.b.",INDEX(SRC_ZPMW03!$A$1:$ZZ$501,$A312,AP$3)))</f>
        <v/>
      </c>
      <c r="AQ312" s="124" t="str">
        <f>IF($B312="","",IF(AQ$3=0,"n.b.",INDEX(SRC_ZPMW03!$A$1:$ZZ$501,$A312,AQ$3)))</f>
        <v/>
      </c>
      <c r="AR312" s="124" t="str">
        <f>IF($B312="","",IF(AR$3=0,"n.b.",INDEX(SRC_ZPMW03!$A$1:$ZZ$501,$A312,AR$3)))</f>
        <v/>
      </c>
      <c r="AS312" s="124" t="str">
        <f>IF($B312="","",IF(AS$3=0,"n.b.",INDEX(SRC_ZPMW03!$A$1:$ZZ$501,$A312,AS$3)))</f>
        <v/>
      </c>
      <c r="AT312" s="124" t="str">
        <f>IF($B312="","",IF(AT$3=0,"n.b.",INDEX(SRC_ZPMW03!$A$1:$ZZ$501,$A312,AT$3)))</f>
        <v/>
      </c>
      <c r="AU312" s="124" t="str">
        <f>IF($B312="","",IF(AU$3=0,"n.b.",INDEX(SRC_ZPMW03!$A$1:$ZZ$501,$A312,AU$3)))</f>
        <v/>
      </c>
      <c r="AV312" s="124" t="str">
        <f>IF($B312="","",IF(AV$3=0,"n.b.",INDEX(SRC_ZPMW03!$A$1:$ZZ$501,$A312,AV$3)))</f>
        <v/>
      </c>
      <c r="AW312" s="124" t="str">
        <f>IF($B312="","",IF(AW$3=0,"n.b.",INDEX(SRC_ZPMW03!$A$1:$ZZ$501,$A312,AW$3)))</f>
        <v/>
      </c>
      <c r="AX312" s="124" t="str">
        <f>IF($B312="","",IF(AX$3=0,"n.b.",INDEX(SRC_ZPMW03!$A$1:$ZZ$501,$A312,AX$3)))</f>
        <v/>
      </c>
      <c r="AY312" s="124" t="str">
        <f>IF($B312="","",IF(AY$3=0,"n.b.",INDEX(SRC_ZPMW03!$A$1:$ZZ$501,$A312,AY$3)))</f>
        <v/>
      </c>
      <c r="AZ312" s="124" t="str">
        <f>IF($B312="","",IF(AZ$3=0,"n.b.",INDEX(SRC_ZPMW03!$A$1:$ZZ$501,$A312,AZ$3)))</f>
        <v/>
      </c>
      <c r="BA312" s="124" t="str">
        <f>IF($B312="","",IF(BA$3=0,"n.b.",INDEX(SRC_ZPMW03!$A$1:$ZZ$501,$A312,BA$3)))</f>
        <v/>
      </c>
      <c r="BB312" s="124" t="str">
        <f>IF($B312="","",IF(BB$3=0,"n.b.",INDEX(SRC_ZPMW03!$A$1:$ZZ$501,$A312,BB$3)))</f>
        <v/>
      </c>
      <c r="BC312" s="124" t="str">
        <f>IF($B312="","",IF(BC$3=0,"n.b.",INDEX(SRC_ZPMW03!$A$1:$ZZ$501,$A312,BC$3)))</f>
        <v/>
      </c>
      <c r="BD312" s="124" t="str">
        <f>IF($B312="","",IF(BD$3=0,"n.b.",INDEX(SRC_ZPMW03!$A$1:$ZZ$501,$A312,BD$3)))</f>
        <v/>
      </c>
      <c r="BE312" s="124" t="str">
        <f>IF($B312="","",IF(BE$3=0,"n.b.",INDEX(SRC_ZPMW03!$A$1:$ZZ$501,$A312,BE$3)))</f>
        <v/>
      </c>
      <c r="BF312" s="124" t="str">
        <f>IF($B312="","",IF(BF$3=0,"n.b.",INDEX(SRC_ZPMW03!$A$1:$ZZ$501,$A312,BF$3)))</f>
        <v/>
      </c>
      <c r="BG312" t="str">
        <f>IF($B312="","",IF(BG$3=0,"n.b.",INDEX(SRC_ZPMW03!$A$1:$ZZ$501,$A312,BG$3)))</f>
        <v/>
      </c>
      <c r="BH312" t="str">
        <f>IF($B312="","",IF(BH$3=0,"n.b.",INDEX(SRC_ZPMW03!$A$1:$ZZ$501,$A312,BH$3)))</f>
        <v/>
      </c>
      <c r="BI312" t="str">
        <f>IF($B312="","",IF(BI$3=0,"n.b.",INDEX(SRC_ZPMW03!$A$1:$ZZ$501,$A312,BI$3)))</f>
        <v/>
      </c>
      <c r="BJ312" t="str">
        <f>IF($B312="","",IF(BJ$3=0,"n.b.",INDEX(SRC_ZPMW03!$A$1:$ZZ$501,$A312,BJ$3)))</f>
        <v/>
      </c>
      <c r="BK312" s="124" t="str">
        <f>IF($B312="","",IFERROR(-O312,"n.b."))</f>
        <v/>
      </c>
      <c r="BL312" s="124" t="str">
        <f>IF($B312="","",IFERROR(-Q312,"n.b."))</f>
        <v/>
      </c>
      <c r="BM312" s="124" t="str">
        <f>IF($B312="","",IFERROR(-AB312,"n.b."))</f>
        <v/>
      </c>
      <c r="BN312" s="124" t="str">
        <f>IF($B312="","",IFERROR(-AD312,"n.b."))</f>
        <v/>
      </c>
      <c r="BO312" s="124" t="str">
        <f>IF($B312="","",IFERROR(BK312+BM312,"n.b."))</f>
        <v/>
      </c>
      <c r="BP312" s="124" t="str">
        <f>IF($B312="","",IFERROR(BL312+BN312,"n.b."))</f>
        <v/>
      </c>
      <c r="BQ312" s="124" t="str">
        <f>IF($B312="","",IFERROR(-AM312,"n.b."))</f>
        <v/>
      </c>
      <c r="BR312" s="124" t="str">
        <f>IF($B312="","",IFERROR(-AO312,"n.b."))</f>
        <v/>
      </c>
      <c r="BS312" s="124" t="str">
        <f>IF($B312="","",IFERROR(-Z312,"n.b."))</f>
        <v/>
      </c>
      <c r="BT312" s="124" t="str">
        <f>IF($B312="","",IFERROR(-AA312,"n.b."))</f>
        <v/>
      </c>
      <c r="BU312" s="124" t="str">
        <f>IF($B312="","",IFERROR(-AE312,"n.b."))</f>
        <v/>
      </c>
      <c r="BV312" s="124" t="str">
        <f>IF($B312="","",IFERROR(-AF312,"n.b."))</f>
        <v/>
      </c>
      <c r="BW312" s="124" t="str">
        <f>IF($B312="","",IFERROR(-AG312,"n.b."))</f>
        <v/>
      </c>
      <c r="BX312" s="124" t="str">
        <f>IF($B312="","",IFERROR(-AH312,"n.b."))</f>
        <v/>
      </c>
      <c r="BY312" s="124" t="str">
        <f>IF($B312="","",IFERROR(-AI312,"n.b."))</f>
        <v/>
      </c>
      <c r="BZ312" s="124" t="str">
        <f>IF($B312="","",IFERROR(-AJ312,"n.b."))</f>
        <v/>
      </c>
      <c r="CA312" s="124" t="str">
        <f>IF($B312="","",IFERROR(-AK312,"n.b."))</f>
        <v/>
      </c>
      <c r="CB312" s="124" t="str">
        <f>IF($B312="","",IFERROR(-AL312,"n.b."))</f>
        <v/>
      </c>
      <c r="CC312" s="124" t="str">
        <f>IF($B312="","",IFERROR(-AP312,"n.b."))</f>
        <v/>
      </c>
      <c r="CD312" s="124" t="str">
        <f>IF($B312="","",IFERROR(-AQ312,"n.b."))</f>
        <v/>
      </c>
      <c r="CE312" s="124" t="str">
        <f>IF($B312="","",IFERROR(-AR312,"n.b."))</f>
        <v/>
      </c>
      <c r="CF312" s="124" t="str">
        <f>IF($B312="","",IFERROR(-AS312,"n.b."))</f>
        <v/>
      </c>
      <c r="CG312" s="124" t="str">
        <f>IF($B312="","",IFERROR(-AT312,"n.b."))</f>
        <v/>
      </c>
      <c r="CH312" s="124" t="str">
        <f>IF($B312="","",IFERROR(-AU312,"n.b."))</f>
        <v/>
      </c>
      <c r="CI312" s="124" t="str">
        <f>IF($B312="","",IFERROR(-AV312,"n.b."))</f>
        <v/>
      </c>
      <c r="CJ312" s="124" t="str">
        <f>IF($B312="","",IFERROR(-AW312,"n.b."))</f>
        <v/>
      </c>
      <c r="CK312" s="124" t="str">
        <f>IF($B312="","",IFERROR(-AX312,"n.b."))</f>
        <v/>
      </c>
      <c r="CL312" s="124" t="str">
        <f>IF($B312="","",IFERROR(-AY312,"n.b."))</f>
        <v/>
      </c>
      <c r="CM312" s="124" t="str">
        <f>IF($B312="","",IFERROR(-AZ312,"n.b."))</f>
        <v/>
      </c>
      <c r="CN312" s="124" t="str">
        <f>IF($B312="","",IFERROR(-BA312,"n.b."))</f>
        <v/>
      </c>
      <c r="CO312" s="124" t="str">
        <f>IF($B312="","",IFERROR(-BB312,"n.b."))</f>
        <v/>
      </c>
      <c r="CP312" s="124" t="str">
        <f>IF($B312="","",IFERROR(-BC312,"n.b."))</f>
        <v/>
      </c>
      <c r="CQ312" s="124" t="str">
        <f>IF($B312="","",IFERROR(-BD312,"n.b."))</f>
        <v/>
      </c>
      <c r="CR312" s="124" t="str">
        <f>IF($B312="","",IFERROR(-BE312,"n.b."))</f>
        <v/>
      </c>
      <c r="CS312" s="124" t="str">
        <f>IF($B312="","",IFERROR(IF(OR(ABS(T312+V312+X312+Z312-AB312)&gt;P_Tol,ABS(U312+W312+Y312+AA312-AD312)&gt;P_Tol,ABS(AE312+AG312+AI312+AK312-AM312)&gt;P_Tol,ABS(AF312+AH312+AJ312+AL312-AO312)&gt;P_Tol),1,0),1))</f>
        <v/>
      </c>
      <c r="CT312" s="124" t="str">
        <f>IF($B312="","",IFERROR(IF(OR(ABS(AB312+AC312-AD312)&gt;P_Tol,ABS(AM312+AN312-AO312)&gt;P_Tol,ABS(O312+P312-Q312)&gt;P_Tol),1,0),1))</f>
        <v/>
      </c>
      <c r="CU312" s="124" t="str">
        <f>IF($B312="","",IFERROR(IF(ABS(R312-(AB312+AM312+AP312+AR312+AT312+AV312+AX312+AZ312+BB312+BD312))&gt;P_Tol,1,0),1))</f>
        <v/>
      </c>
      <c r="CV312" s="124" t="str">
        <f>IF($B312="","",IFERROR(IF(ABS(M312-(N312+O312+R312))&gt;P_Tol,1,0),1))</f>
        <v/>
      </c>
      <c r="CW312" s="124" t="str">
        <f>IF($B312="","",IF(COUNTIF(Mapping!$A$5:$A$104,B312)&gt;0,1,0))</f>
        <v/>
      </c>
      <c r="CX312" s="124" t="str">
        <f>IF($B312="","",COUNTIF($B$6:$B$505,B312))</f>
        <v/>
      </c>
      <c r="CY312" s="124" t="str">
        <f>IF($B312="","",COUNTIF(STG_Woningetalage!$B$6:$B$505,B312))</f>
        <v/>
      </c>
      <c r="CZ312" s="124" t="str">
        <f>IF($B312="","",IF(CW312=0,COUNTIF($CW$6:CW312,0),""))</f>
        <v/>
      </c>
    </row>
    <row r="313">
      <c r="A313" s="15" t="n">
        <v>309</v>
      </c>
      <c r="B313" t="str">
        <f>IF(B$3=0,"",IF(INDEX(SRC_ZPMW03!$A$1:$ZZ$501,$A313,B$3)&amp;""="","",INDEX(SRC_ZPMW03!$A$1:$ZZ$501,$A313,B$3)&amp;""))</f>
        <v/>
      </c>
      <c r="C313" t="str">
        <f>IF($B313="","",IF(C$3=0,"n.b.",INDEX(SRC_ZPMW03!$A$1:$ZZ$501,$A313,C$3)))</f>
        <v/>
      </c>
      <c r="D313" t="str">
        <f>IF($B313="","",IF(D$3=0,"n.b.",INDEX(SRC_ZPMW03!$A$1:$ZZ$501,$A313,D$3)))</f>
        <v/>
      </c>
      <c r="E313" t="str">
        <f>IF($B313="","",IF(E$3=0,"n.b.",INDEX(SRC_ZPMW03!$A$1:$ZZ$501,$A313,E$3)))</f>
        <v/>
      </c>
      <c r="F313" t="str">
        <f>IF($B313="","",IF(F$3=0,"n.b.",INDEX(SRC_ZPMW03!$A$1:$ZZ$501,$A313,F$3)))</f>
        <v/>
      </c>
      <c r="G313" t="str">
        <f>IF($B313="","",IF(G$3=0,"n.b.",INDEX(SRC_ZPMW03!$A$1:$ZZ$501,$A313,G$3)))</f>
        <v/>
      </c>
      <c r="H313" t="str">
        <f>IF($B313="","",IF(H$3=0,"n.b.",INDEX(SRC_ZPMW03!$A$1:$ZZ$501,$A313,H$3)))</f>
        <v/>
      </c>
      <c r="I313" t="str">
        <f>IF($B313="","",IF(I$3=0,"n.b.",INDEX(SRC_ZPMW03!$A$1:$ZZ$501,$A313,I$3)))</f>
        <v/>
      </c>
      <c r="J313" t="str">
        <f>IF($B313="","",IF(J$3=0,"n.b.",INDEX(SRC_ZPMW03!$A$1:$ZZ$501,$A313,J$3)))</f>
        <v/>
      </c>
      <c r="K313" t="str">
        <f>IF($B313="","",IF(K$3=0,"n.b.",INDEX(SRC_ZPMW03!$A$1:$ZZ$501,$A313,K$3)))</f>
        <v/>
      </c>
      <c r="L313" s="124" t="str">
        <f>IF($B313="","",IF(L$3=0,"n.b.",INDEX(SRC_ZPMW03!$A$1:$ZZ$501,$A313,L$3)))</f>
        <v/>
      </c>
      <c r="M313" s="124" t="str">
        <f>IF($B313="","",IF(M$3=0,"n.b.",INDEX(SRC_ZPMW03!$A$1:$ZZ$501,$A313,M$3)))</f>
        <v/>
      </c>
      <c r="N313" s="124" t="str">
        <f>IF($B313="","",IF(N$3=0,"n.b.",INDEX(SRC_ZPMW03!$A$1:$ZZ$501,$A313,N$3)))</f>
        <v/>
      </c>
      <c r="O313" s="124" t="str">
        <f>IF($B313="","",IF(O$3=0,"n.b.",INDEX(SRC_ZPMW03!$A$1:$ZZ$501,$A313,O$3)))</f>
        <v/>
      </c>
      <c r="P313" s="124" t="str">
        <f>IF($B313="","",IF(P$3=0,"n.b.",INDEX(SRC_ZPMW03!$A$1:$ZZ$501,$A313,P$3)))</f>
        <v/>
      </c>
      <c r="Q313" s="124" t="str">
        <f>IF($B313="","",IF(Q$3=0,"n.b.",INDEX(SRC_ZPMW03!$A$1:$ZZ$501,$A313,Q$3)))</f>
        <v/>
      </c>
      <c r="R313" s="124" t="str">
        <f>IF($B313="","",IF(R$3=0,"n.b.",INDEX(SRC_ZPMW03!$A$1:$ZZ$501,$A313,R$3)))</f>
        <v/>
      </c>
      <c r="S313" s="124" t="str">
        <f>IF($B313="","",IF(S$3=0,"n.b.",INDEX(SRC_ZPMW03!$A$1:$ZZ$501,$A313,S$3)))</f>
        <v/>
      </c>
      <c r="T313" s="124" t="str">
        <f>IF($B313="","",IF(T$3=0,"n.b.",INDEX(SRC_ZPMW03!$A$1:$ZZ$501,$A313,T$3)))</f>
        <v/>
      </c>
      <c r="U313" s="124" t="str">
        <f>IF($B313="","",IF(U$3=0,"n.b.",INDEX(SRC_ZPMW03!$A$1:$ZZ$501,$A313,U$3)))</f>
        <v/>
      </c>
      <c r="V313" s="124" t="str">
        <f>IF($B313="","",IF(V$3=0,"n.b.",INDEX(SRC_ZPMW03!$A$1:$ZZ$501,$A313,V$3)))</f>
        <v/>
      </c>
      <c r="W313" s="124" t="str">
        <f>IF($B313="","",IF(W$3=0,"n.b.",INDEX(SRC_ZPMW03!$A$1:$ZZ$501,$A313,W$3)))</f>
        <v/>
      </c>
      <c r="X313" s="124" t="str">
        <f>IF($B313="","",IF(X$3=0,"n.b.",INDEX(SRC_ZPMW03!$A$1:$ZZ$501,$A313,X$3)))</f>
        <v/>
      </c>
      <c r="Y313" s="124" t="str">
        <f>IF($B313="","",IF(Y$3=0,"n.b.",INDEX(SRC_ZPMW03!$A$1:$ZZ$501,$A313,Y$3)))</f>
        <v/>
      </c>
      <c r="Z313" s="124" t="str">
        <f>IF($B313="","",IF(Z$3=0,"n.b.",INDEX(SRC_ZPMW03!$A$1:$ZZ$501,$A313,Z$3)))</f>
        <v/>
      </c>
      <c r="AA313" s="124" t="str">
        <f>IF($B313="","",IF(AA$3=0,"n.b.",INDEX(SRC_ZPMW03!$A$1:$ZZ$501,$A313,AA$3)))</f>
        <v/>
      </c>
      <c r="AB313" s="124" t="str">
        <f>IF($B313="","",IF(AB$3=0,"n.b.",INDEX(SRC_ZPMW03!$A$1:$ZZ$501,$A313,AB$3)))</f>
        <v/>
      </c>
      <c r="AC313" s="124" t="str">
        <f>IF($B313="","",IF(AC$3=0,"n.b.",INDEX(SRC_ZPMW03!$A$1:$ZZ$501,$A313,AC$3)))</f>
        <v/>
      </c>
      <c r="AD313" s="124" t="str">
        <f>IF($B313="","",IF(AD$3=0,"n.b.",INDEX(SRC_ZPMW03!$A$1:$ZZ$501,$A313,AD$3)))</f>
        <v/>
      </c>
      <c r="AE313" s="124" t="str">
        <f>IF($B313="","",IF(AE$3=0,"n.b.",INDEX(SRC_ZPMW03!$A$1:$ZZ$501,$A313,AE$3)))</f>
        <v/>
      </c>
      <c r="AF313" s="124" t="str">
        <f>IF($B313="","",IF(AF$3=0,"n.b.",INDEX(SRC_ZPMW03!$A$1:$ZZ$501,$A313,AF$3)))</f>
        <v/>
      </c>
      <c r="AG313" s="124" t="str">
        <f>IF($B313="","",IF(AG$3=0,"n.b.",INDEX(SRC_ZPMW03!$A$1:$ZZ$501,$A313,AG$3)))</f>
        <v/>
      </c>
      <c r="AH313" s="124" t="str">
        <f>IF($B313="","",IF(AH$3=0,"n.b.",INDEX(SRC_ZPMW03!$A$1:$ZZ$501,$A313,AH$3)))</f>
        <v/>
      </c>
      <c r="AI313" s="124" t="str">
        <f>IF($B313="","",IF(AI$3=0,"n.b.",INDEX(SRC_ZPMW03!$A$1:$ZZ$501,$A313,AI$3)))</f>
        <v/>
      </c>
      <c r="AJ313" s="124" t="str">
        <f>IF($B313="","",IF(AJ$3=0,"n.b.",INDEX(SRC_ZPMW03!$A$1:$ZZ$501,$A313,AJ$3)))</f>
        <v/>
      </c>
      <c r="AK313" s="124" t="str">
        <f>IF($B313="","",IF(AK$3=0,"n.b.",INDEX(SRC_ZPMW03!$A$1:$ZZ$501,$A313,AK$3)))</f>
        <v/>
      </c>
      <c r="AL313" s="124" t="str">
        <f>IF($B313="","",IF(AL$3=0,"n.b.",INDEX(SRC_ZPMW03!$A$1:$ZZ$501,$A313,AL$3)))</f>
        <v/>
      </c>
      <c r="AM313" s="124" t="str">
        <f>IF($B313="","",IF(AM$3=0,"n.b.",INDEX(SRC_ZPMW03!$A$1:$ZZ$501,$A313,AM$3)))</f>
        <v/>
      </c>
      <c r="AN313" s="124" t="str">
        <f>IF($B313="","",IF(AN$3=0,"n.b.",INDEX(SRC_ZPMW03!$A$1:$ZZ$501,$A313,AN$3)))</f>
        <v/>
      </c>
      <c r="AO313" s="124" t="str">
        <f>IF($B313="","",IF(AO$3=0,"n.b.",INDEX(SRC_ZPMW03!$A$1:$ZZ$501,$A313,AO$3)))</f>
        <v/>
      </c>
      <c r="AP313" s="124" t="str">
        <f>IF($B313="","",IF(AP$3=0,"n.b.",INDEX(SRC_ZPMW03!$A$1:$ZZ$501,$A313,AP$3)))</f>
        <v/>
      </c>
      <c r="AQ313" s="124" t="str">
        <f>IF($B313="","",IF(AQ$3=0,"n.b.",INDEX(SRC_ZPMW03!$A$1:$ZZ$501,$A313,AQ$3)))</f>
        <v/>
      </c>
      <c r="AR313" s="124" t="str">
        <f>IF($B313="","",IF(AR$3=0,"n.b.",INDEX(SRC_ZPMW03!$A$1:$ZZ$501,$A313,AR$3)))</f>
        <v/>
      </c>
      <c r="AS313" s="124" t="str">
        <f>IF($B313="","",IF(AS$3=0,"n.b.",INDEX(SRC_ZPMW03!$A$1:$ZZ$501,$A313,AS$3)))</f>
        <v/>
      </c>
      <c r="AT313" s="124" t="str">
        <f>IF($B313="","",IF(AT$3=0,"n.b.",INDEX(SRC_ZPMW03!$A$1:$ZZ$501,$A313,AT$3)))</f>
        <v/>
      </c>
      <c r="AU313" s="124" t="str">
        <f>IF($B313="","",IF(AU$3=0,"n.b.",INDEX(SRC_ZPMW03!$A$1:$ZZ$501,$A313,AU$3)))</f>
        <v/>
      </c>
      <c r="AV313" s="124" t="str">
        <f>IF($B313="","",IF(AV$3=0,"n.b.",INDEX(SRC_ZPMW03!$A$1:$ZZ$501,$A313,AV$3)))</f>
        <v/>
      </c>
      <c r="AW313" s="124" t="str">
        <f>IF($B313="","",IF(AW$3=0,"n.b.",INDEX(SRC_ZPMW03!$A$1:$ZZ$501,$A313,AW$3)))</f>
        <v/>
      </c>
      <c r="AX313" s="124" t="str">
        <f>IF($B313="","",IF(AX$3=0,"n.b.",INDEX(SRC_ZPMW03!$A$1:$ZZ$501,$A313,AX$3)))</f>
        <v/>
      </c>
      <c r="AY313" s="124" t="str">
        <f>IF($B313="","",IF(AY$3=0,"n.b.",INDEX(SRC_ZPMW03!$A$1:$ZZ$501,$A313,AY$3)))</f>
        <v/>
      </c>
      <c r="AZ313" s="124" t="str">
        <f>IF($B313="","",IF(AZ$3=0,"n.b.",INDEX(SRC_ZPMW03!$A$1:$ZZ$501,$A313,AZ$3)))</f>
        <v/>
      </c>
      <c r="BA313" s="124" t="str">
        <f>IF($B313="","",IF(BA$3=0,"n.b.",INDEX(SRC_ZPMW03!$A$1:$ZZ$501,$A313,BA$3)))</f>
        <v/>
      </c>
      <c r="BB313" s="124" t="str">
        <f>IF($B313="","",IF(BB$3=0,"n.b.",INDEX(SRC_ZPMW03!$A$1:$ZZ$501,$A313,BB$3)))</f>
        <v/>
      </c>
      <c r="BC313" s="124" t="str">
        <f>IF($B313="","",IF(BC$3=0,"n.b.",INDEX(SRC_ZPMW03!$A$1:$ZZ$501,$A313,BC$3)))</f>
        <v/>
      </c>
      <c r="BD313" s="124" t="str">
        <f>IF($B313="","",IF(BD$3=0,"n.b.",INDEX(SRC_ZPMW03!$A$1:$ZZ$501,$A313,BD$3)))</f>
        <v/>
      </c>
      <c r="BE313" s="124" t="str">
        <f>IF($B313="","",IF(BE$3=0,"n.b.",INDEX(SRC_ZPMW03!$A$1:$ZZ$501,$A313,BE$3)))</f>
        <v/>
      </c>
      <c r="BF313" s="124" t="str">
        <f>IF($B313="","",IF(BF$3=0,"n.b.",INDEX(SRC_ZPMW03!$A$1:$ZZ$501,$A313,BF$3)))</f>
        <v/>
      </c>
      <c r="BG313" t="str">
        <f>IF($B313="","",IF(BG$3=0,"n.b.",INDEX(SRC_ZPMW03!$A$1:$ZZ$501,$A313,BG$3)))</f>
        <v/>
      </c>
      <c r="BH313" t="str">
        <f>IF($B313="","",IF(BH$3=0,"n.b.",INDEX(SRC_ZPMW03!$A$1:$ZZ$501,$A313,BH$3)))</f>
        <v/>
      </c>
      <c r="BI313" t="str">
        <f>IF($B313="","",IF(BI$3=0,"n.b.",INDEX(SRC_ZPMW03!$A$1:$ZZ$501,$A313,BI$3)))</f>
        <v/>
      </c>
      <c r="BJ313" t="str">
        <f>IF($B313="","",IF(BJ$3=0,"n.b.",INDEX(SRC_ZPMW03!$A$1:$ZZ$501,$A313,BJ$3)))</f>
        <v/>
      </c>
      <c r="BK313" s="124" t="str">
        <f>IF($B313="","",IFERROR(-O313,"n.b."))</f>
        <v/>
      </c>
      <c r="BL313" s="124" t="str">
        <f>IF($B313="","",IFERROR(-Q313,"n.b."))</f>
        <v/>
      </c>
      <c r="BM313" s="124" t="str">
        <f>IF($B313="","",IFERROR(-AB313,"n.b."))</f>
        <v/>
      </c>
      <c r="BN313" s="124" t="str">
        <f>IF($B313="","",IFERROR(-AD313,"n.b."))</f>
        <v/>
      </c>
      <c r="BO313" s="124" t="str">
        <f>IF($B313="","",IFERROR(BK313+BM313,"n.b."))</f>
        <v/>
      </c>
      <c r="BP313" s="124" t="str">
        <f>IF($B313="","",IFERROR(BL313+BN313,"n.b."))</f>
        <v/>
      </c>
      <c r="BQ313" s="124" t="str">
        <f>IF($B313="","",IFERROR(-AM313,"n.b."))</f>
        <v/>
      </c>
      <c r="BR313" s="124" t="str">
        <f>IF($B313="","",IFERROR(-AO313,"n.b."))</f>
        <v/>
      </c>
      <c r="BS313" s="124" t="str">
        <f>IF($B313="","",IFERROR(-Z313,"n.b."))</f>
        <v/>
      </c>
      <c r="BT313" s="124" t="str">
        <f>IF($B313="","",IFERROR(-AA313,"n.b."))</f>
        <v/>
      </c>
      <c r="BU313" s="124" t="str">
        <f>IF($B313="","",IFERROR(-AE313,"n.b."))</f>
        <v/>
      </c>
      <c r="BV313" s="124" t="str">
        <f>IF($B313="","",IFERROR(-AF313,"n.b."))</f>
        <v/>
      </c>
      <c r="BW313" s="124" t="str">
        <f>IF($B313="","",IFERROR(-AG313,"n.b."))</f>
        <v/>
      </c>
      <c r="BX313" s="124" t="str">
        <f>IF($B313="","",IFERROR(-AH313,"n.b."))</f>
        <v/>
      </c>
      <c r="BY313" s="124" t="str">
        <f>IF($B313="","",IFERROR(-AI313,"n.b."))</f>
        <v/>
      </c>
      <c r="BZ313" s="124" t="str">
        <f>IF($B313="","",IFERROR(-AJ313,"n.b."))</f>
        <v/>
      </c>
      <c r="CA313" s="124" t="str">
        <f>IF($B313="","",IFERROR(-AK313,"n.b."))</f>
        <v/>
      </c>
      <c r="CB313" s="124" t="str">
        <f>IF($B313="","",IFERROR(-AL313,"n.b."))</f>
        <v/>
      </c>
      <c r="CC313" s="124" t="str">
        <f>IF($B313="","",IFERROR(-AP313,"n.b."))</f>
        <v/>
      </c>
      <c r="CD313" s="124" t="str">
        <f>IF($B313="","",IFERROR(-AQ313,"n.b."))</f>
        <v/>
      </c>
      <c r="CE313" s="124" t="str">
        <f>IF($B313="","",IFERROR(-AR313,"n.b."))</f>
        <v/>
      </c>
      <c r="CF313" s="124" t="str">
        <f>IF($B313="","",IFERROR(-AS313,"n.b."))</f>
        <v/>
      </c>
      <c r="CG313" s="124" t="str">
        <f>IF($B313="","",IFERROR(-AT313,"n.b."))</f>
        <v/>
      </c>
      <c r="CH313" s="124" t="str">
        <f>IF($B313="","",IFERROR(-AU313,"n.b."))</f>
        <v/>
      </c>
      <c r="CI313" s="124" t="str">
        <f>IF($B313="","",IFERROR(-AV313,"n.b."))</f>
        <v/>
      </c>
      <c r="CJ313" s="124" t="str">
        <f>IF($B313="","",IFERROR(-AW313,"n.b."))</f>
        <v/>
      </c>
      <c r="CK313" s="124" t="str">
        <f>IF($B313="","",IFERROR(-AX313,"n.b."))</f>
        <v/>
      </c>
      <c r="CL313" s="124" t="str">
        <f>IF($B313="","",IFERROR(-AY313,"n.b."))</f>
        <v/>
      </c>
      <c r="CM313" s="124" t="str">
        <f>IF($B313="","",IFERROR(-AZ313,"n.b."))</f>
        <v/>
      </c>
      <c r="CN313" s="124" t="str">
        <f>IF($B313="","",IFERROR(-BA313,"n.b."))</f>
        <v/>
      </c>
      <c r="CO313" s="124" t="str">
        <f>IF($B313="","",IFERROR(-BB313,"n.b."))</f>
        <v/>
      </c>
      <c r="CP313" s="124" t="str">
        <f>IF($B313="","",IFERROR(-BC313,"n.b."))</f>
        <v/>
      </c>
      <c r="CQ313" s="124" t="str">
        <f>IF($B313="","",IFERROR(-BD313,"n.b."))</f>
        <v/>
      </c>
      <c r="CR313" s="124" t="str">
        <f>IF($B313="","",IFERROR(-BE313,"n.b."))</f>
        <v/>
      </c>
      <c r="CS313" s="124" t="str">
        <f>IF($B313="","",IFERROR(IF(OR(ABS(T313+V313+X313+Z313-AB313)&gt;P_Tol,ABS(U313+W313+Y313+AA313-AD313)&gt;P_Tol,ABS(AE313+AG313+AI313+AK313-AM313)&gt;P_Tol,ABS(AF313+AH313+AJ313+AL313-AO313)&gt;P_Tol),1,0),1))</f>
        <v/>
      </c>
      <c r="CT313" s="124" t="str">
        <f>IF($B313="","",IFERROR(IF(OR(ABS(AB313+AC313-AD313)&gt;P_Tol,ABS(AM313+AN313-AO313)&gt;P_Tol,ABS(O313+P313-Q313)&gt;P_Tol),1,0),1))</f>
        <v/>
      </c>
      <c r="CU313" s="124" t="str">
        <f>IF($B313="","",IFERROR(IF(ABS(R313-(AB313+AM313+AP313+AR313+AT313+AV313+AX313+AZ313+BB313+BD313))&gt;P_Tol,1,0),1))</f>
        <v/>
      </c>
      <c r="CV313" s="124" t="str">
        <f>IF($B313="","",IFERROR(IF(ABS(M313-(N313+O313+R313))&gt;P_Tol,1,0),1))</f>
        <v/>
      </c>
      <c r="CW313" s="124" t="str">
        <f>IF($B313="","",IF(COUNTIF(Mapping!$A$5:$A$104,B313)&gt;0,1,0))</f>
        <v/>
      </c>
      <c r="CX313" s="124" t="str">
        <f>IF($B313="","",COUNTIF($B$6:$B$505,B313))</f>
        <v/>
      </c>
      <c r="CY313" s="124" t="str">
        <f>IF($B313="","",COUNTIF(STG_Woningetalage!$B$6:$B$505,B313))</f>
        <v/>
      </c>
      <c r="CZ313" s="124" t="str">
        <f>IF($B313="","",IF(CW313=0,COUNTIF($CW$6:CW313,0),""))</f>
        <v/>
      </c>
    </row>
    <row r="314">
      <c r="A314" s="15" t="n">
        <v>310</v>
      </c>
      <c r="B314" t="str">
        <f>IF(B$3=0,"",IF(INDEX(SRC_ZPMW03!$A$1:$ZZ$501,$A314,B$3)&amp;""="","",INDEX(SRC_ZPMW03!$A$1:$ZZ$501,$A314,B$3)&amp;""))</f>
        <v/>
      </c>
      <c r="C314" t="str">
        <f>IF($B314="","",IF(C$3=0,"n.b.",INDEX(SRC_ZPMW03!$A$1:$ZZ$501,$A314,C$3)))</f>
        <v/>
      </c>
      <c r="D314" t="str">
        <f>IF($B314="","",IF(D$3=0,"n.b.",INDEX(SRC_ZPMW03!$A$1:$ZZ$501,$A314,D$3)))</f>
        <v/>
      </c>
      <c r="E314" t="str">
        <f>IF($B314="","",IF(E$3=0,"n.b.",INDEX(SRC_ZPMW03!$A$1:$ZZ$501,$A314,E$3)))</f>
        <v/>
      </c>
      <c r="F314" t="str">
        <f>IF($B314="","",IF(F$3=0,"n.b.",INDEX(SRC_ZPMW03!$A$1:$ZZ$501,$A314,F$3)))</f>
        <v/>
      </c>
      <c r="G314" t="str">
        <f>IF($B314="","",IF(G$3=0,"n.b.",INDEX(SRC_ZPMW03!$A$1:$ZZ$501,$A314,G$3)))</f>
        <v/>
      </c>
      <c r="H314" t="str">
        <f>IF($B314="","",IF(H$3=0,"n.b.",INDEX(SRC_ZPMW03!$A$1:$ZZ$501,$A314,H$3)))</f>
        <v/>
      </c>
      <c r="I314" t="str">
        <f>IF($B314="","",IF(I$3=0,"n.b.",INDEX(SRC_ZPMW03!$A$1:$ZZ$501,$A314,I$3)))</f>
        <v/>
      </c>
      <c r="J314" t="str">
        <f>IF($B314="","",IF(J$3=0,"n.b.",INDEX(SRC_ZPMW03!$A$1:$ZZ$501,$A314,J$3)))</f>
        <v/>
      </c>
      <c r="K314" t="str">
        <f>IF($B314="","",IF(K$3=0,"n.b.",INDEX(SRC_ZPMW03!$A$1:$ZZ$501,$A314,K$3)))</f>
        <v/>
      </c>
      <c r="L314" s="124" t="str">
        <f>IF($B314="","",IF(L$3=0,"n.b.",INDEX(SRC_ZPMW03!$A$1:$ZZ$501,$A314,L$3)))</f>
        <v/>
      </c>
      <c r="M314" s="124" t="str">
        <f>IF($B314="","",IF(M$3=0,"n.b.",INDEX(SRC_ZPMW03!$A$1:$ZZ$501,$A314,M$3)))</f>
        <v/>
      </c>
      <c r="N314" s="124" t="str">
        <f>IF($B314="","",IF(N$3=0,"n.b.",INDEX(SRC_ZPMW03!$A$1:$ZZ$501,$A314,N$3)))</f>
        <v/>
      </c>
      <c r="O314" s="124" t="str">
        <f>IF($B314="","",IF(O$3=0,"n.b.",INDEX(SRC_ZPMW03!$A$1:$ZZ$501,$A314,O$3)))</f>
        <v/>
      </c>
      <c r="P314" s="124" t="str">
        <f>IF($B314="","",IF(P$3=0,"n.b.",INDEX(SRC_ZPMW03!$A$1:$ZZ$501,$A314,P$3)))</f>
        <v/>
      </c>
      <c r="Q314" s="124" t="str">
        <f>IF($B314="","",IF(Q$3=0,"n.b.",INDEX(SRC_ZPMW03!$A$1:$ZZ$501,$A314,Q$3)))</f>
        <v/>
      </c>
      <c r="R314" s="124" t="str">
        <f>IF($B314="","",IF(R$3=0,"n.b.",INDEX(SRC_ZPMW03!$A$1:$ZZ$501,$A314,R$3)))</f>
        <v/>
      </c>
      <c r="S314" s="124" t="str">
        <f>IF($B314="","",IF(S$3=0,"n.b.",INDEX(SRC_ZPMW03!$A$1:$ZZ$501,$A314,S$3)))</f>
        <v/>
      </c>
      <c r="T314" s="124" t="str">
        <f>IF($B314="","",IF(T$3=0,"n.b.",INDEX(SRC_ZPMW03!$A$1:$ZZ$501,$A314,T$3)))</f>
        <v/>
      </c>
      <c r="U314" s="124" t="str">
        <f>IF($B314="","",IF(U$3=0,"n.b.",INDEX(SRC_ZPMW03!$A$1:$ZZ$501,$A314,U$3)))</f>
        <v/>
      </c>
      <c r="V314" s="124" t="str">
        <f>IF($B314="","",IF(V$3=0,"n.b.",INDEX(SRC_ZPMW03!$A$1:$ZZ$501,$A314,V$3)))</f>
        <v/>
      </c>
      <c r="W314" s="124" t="str">
        <f>IF($B314="","",IF(W$3=0,"n.b.",INDEX(SRC_ZPMW03!$A$1:$ZZ$501,$A314,W$3)))</f>
        <v/>
      </c>
      <c r="X314" s="124" t="str">
        <f>IF($B314="","",IF(X$3=0,"n.b.",INDEX(SRC_ZPMW03!$A$1:$ZZ$501,$A314,X$3)))</f>
        <v/>
      </c>
      <c r="Y314" s="124" t="str">
        <f>IF($B314="","",IF(Y$3=0,"n.b.",INDEX(SRC_ZPMW03!$A$1:$ZZ$501,$A314,Y$3)))</f>
        <v/>
      </c>
      <c r="Z314" s="124" t="str">
        <f>IF($B314="","",IF(Z$3=0,"n.b.",INDEX(SRC_ZPMW03!$A$1:$ZZ$501,$A314,Z$3)))</f>
        <v/>
      </c>
      <c r="AA314" s="124" t="str">
        <f>IF($B314="","",IF(AA$3=0,"n.b.",INDEX(SRC_ZPMW03!$A$1:$ZZ$501,$A314,AA$3)))</f>
        <v/>
      </c>
      <c r="AB314" s="124" t="str">
        <f>IF($B314="","",IF(AB$3=0,"n.b.",INDEX(SRC_ZPMW03!$A$1:$ZZ$501,$A314,AB$3)))</f>
        <v/>
      </c>
      <c r="AC314" s="124" t="str">
        <f>IF($B314="","",IF(AC$3=0,"n.b.",INDEX(SRC_ZPMW03!$A$1:$ZZ$501,$A314,AC$3)))</f>
        <v/>
      </c>
      <c r="AD314" s="124" t="str">
        <f>IF($B314="","",IF(AD$3=0,"n.b.",INDEX(SRC_ZPMW03!$A$1:$ZZ$501,$A314,AD$3)))</f>
        <v/>
      </c>
      <c r="AE314" s="124" t="str">
        <f>IF($B314="","",IF(AE$3=0,"n.b.",INDEX(SRC_ZPMW03!$A$1:$ZZ$501,$A314,AE$3)))</f>
        <v/>
      </c>
      <c r="AF314" s="124" t="str">
        <f>IF($B314="","",IF(AF$3=0,"n.b.",INDEX(SRC_ZPMW03!$A$1:$ZZ$501,$A314,AF$3)))</f>
        <v/>
      </c>
      <c r="AG314" s="124" t="str">
        <f>IF($B314="","",IF(AG$3=0,"n.b.",INDEX(SRC_ZPMW03!$A$1:$ZZ$501,$A314,AG$3)))</f>
        <v/>
      </c>
      <c r="AH314" s="124" t="str">
        <f>IF($B314="","",IF(AH$3=0,"n.b.",INDEX(SRC_ZPMW03!$A$1:$ZZ$501,$A314,AH$3)))</f>
        <v/>
      </c>
      <c r="AI314" s="124" t="str">
        <f>IF($B314="","",IF(AI$3=0,"n.b.",INDEX(SRC_ZPMW03!$A$1:$ZZ$501,$A314,AI$3)))</f>
        <v/>
      </c>
      <c r="AJ314" s="124" t="str">
        <f>IF($B314="","",IF(AJ$3=0,"n.b.",INDEX(SRC_ZPMW03!$A$1:$ZZ$501,$A314,AJ$3)))</f>
        <v/>
      </c>
      <c r="AK314" s="124" t="str">
        <f>IF($B314="","",IF(AK$3=0,"n.b.",INDEX(SRC_ZPMW03!$A$1:$ZZ$501,$A314,AK$3)))</f>
        <v/>
      </c>
      <c r="AL314" s="124" t="str">
        <f>IF($B314="","",IF(AL$3=0,"n.b.",INDEX(SRC_ZPMW03!$A$1:$ZZ$501,$A314,AL$3)))</f>
        <v/>
      </c>
      <c r="AM314" s="124" t="str">
        <f>IF($B314="","",IF(AM$3=0,"n.b.",INDEX(SRC_ZPMW03!$A$1:$ZZ$501,$A314,AM$3)))</f>
        <v/>
      </c>
      <c r="AN314" s="124" t="str">
        <f>IF($B314="","",IF(AN$3=0,"n.b.",INDEX(SRC_ZPMW03!$A$1:$ZZ$501,$A314,AN$3)))</f>
        <v/>
      </c>
      <c r="AO314" s="124" t="str">
        <f>IF($B314="","",IF(AO$3=0,"n.b.",INDEX(SRC_ZPMW03!$A$1:$ZZ$501,$A314,AO$3)))</f>
        <v/>
      </c>
      <c r="AP314" s="124" t="str">
        <f>IF($B314="","",IF(AP$3=0,"n.b.",INDEX(SRC_ZPMW03!$A$1:$ZZ$501,$A314,AP$3)))</f>
        <v/>
      </c>
      <c r="AQ314" s="124" t="str">
        <f>IF($B314="","",IF(AQ$3=0,"n.b.",INDEX(SRC_ZPMW03!$A$1:$ZZ$501,$A314,AQ$3)))</f>
        <v/>
      </c>
      <c r="AR314" s="124" t="str">
        <f>IF($B314="","",IF(AR$3=0,"n.b.",INDEX(SRC_ZPMW03!$A$1:$ZZ$501,$A314,AR$3)))</f>
        <v/>
      </c>
      <c r="AS314" s="124" t="str">
        <f>IF($B314="","",IF(AS$3=0,"n.b.",INDEX(SRC_ZPMW03!$A$1:$ZZ$501,$A314,AS$3)))</f>
        <v/>
      </c>
      <c r="AT314" s="124" t="str">
        <f>IF($B314="","",IF(AT$3=0,"n.b.",INDEX(SRC_ZPMW03!$A$1:$ZZ$501,$A314,AT$3)))</f>
        <v/>
      </c>
      <c r="AU314" s="124" t="str">
        <f>IF($B314="","",IF(AU$3=0,"n.b.",INDEX(SRC_ZPMW03!$A$1:$ZZ$501,$A314,AU$3)))</f>
        <v/>
      </c>
      <c r="AV314" s="124" t="str">
        <f>IF($B314="","",IF(AV$3=0,"n.b.",INDEX(SRC_ZPMW03!$A$1:$ZZ$501,$A314,AV$3)))</f>
        <v/>
      </c>
      <c r="AW314" s="124" t="str">
        <f>IF($B314="","",IF(AW$3=0,"n.b.",INDEX(SRC_ZPMW03!$A$1:$ZZ$501,$A314,AW$3)))</f>
        <v/>
      </c>
      <c r="AX314" s="124" t="str">
        <f>IF($B314="","",IF(AX$3=0,"n.b.",INDEX(SRC_ZPMW03!$A$1:$ZZ$501,$A314,AX$3)))</f>
        <v/>
      </c>
      <c r="AY314" s="124" t="str">
        <f>IF($B314="","",IF(AY$3=0,"n.b.",INDEX(SRC_ZPMW03!$A$1:$ZZ$501,$A314,AY$3)))</f>
        <v/>
      </c>
      <c r="AZ314" s="124" t="str">
        <f>IF($B314="","",IF(AZ$3=0,"n.b.",INDEX(SRC_ZPMW03!$A$1:$ZZ$501,$A314,AZ$3)))</f>
        <v/>
      </c>
      <c r="BA314" s="124" t="str">
        <f>IF($B314="","",IF(BA$3=0,"n.b.",INDEX(SRC_ZPMW03!$A$1:$ZZ$501,$A314,BA$3)))</f>
        <v/>
      </c>
      <c r="BB314" s="124" t="str">
        <f>IF($B314="","",IF(BB$3=0,"n.b.",INDEX(SRC_ZPMW03!$A$1:$ZZ$501,$A314,BB$3)))</f>
        <v/>
      </c>
      <c r="BC314" s="124" t="str">
        <f>IF($B314="","",IF(BC$3=0,"n.b.",INDEX(SRC_ZPMW03!$A$1:$ZZ$501,$A314,BC$3)))</f>
        <v/>
      </c>
      <c r="BD314" s="124" t="str">
        <f>IF($B314="","",IF(BD$3=0,"n.b.",INDEX(SRC_ZPMW03!$A$1:$ZZ$501,$A314,BD$3)))</f>
        <v/>
      </c>
      <c r="BE314" s="124" t="str">
        <f>IF($B314="","",IF(BE$3=0,"n.b.",INDEX(SRC_ZPMW03!$A$1:$ZZ$501,$A314,BE$3)))</f>
        <v/>
      </c>
      <c r="BF314" s="124" t="str">
        <f>IF($B314="","",IF(BF$3=0,"n.b.",INDEX(SRC_ZPMW03!$A$1:$ZZ$501,$A314,BF$3)))</f>
        <v/>
      </c>
      <c r="BG314" t="str">
        <f>IF($B314="","",IF(BG$3=0,"n.b.",INDEX(SRC_ZPMW03!$A$1:$ZZ$501,$A314,BG$3)))</f>
        <v/>
      </c>
      <c r="BH314" t="str">
        <f>IF($B314="","",IF(BH$3=0,"n.b.",INDEX(SRC_ZPMW03!$A$1:$ZZ$501,$A314,BH$3)))</f>
        <v/>
      </c>
      <c r="BI314" t="str">
        <f>IF($B314="","",IF(BI$3=0,"n.b.",INDEX(SRC_ZPMW03!$A$1:$ZZ$501,$A314,BI$3)))</f>
        <v/>
      </c>
      <c r="BJ314" t="str">
        <f>IF($B314="","",IF(BJ$3=0,"n.b.",INDEX(SRC_ZPMW03!$A$1:$ZZ$501,$A314,BJ$3)))</f>
        <v/>
      </c>
      <c r="BK314" s="124" t="str">
        <f>IF($B314="","",IFERROR(-O314,"n.b."))</f>
        <v/>
      </c>
      <c r="BL314" s="124" t="str">
        <f>IF($B314="","",IFERROR(-Q314,"n.b."))</f>
        <v/>
      </c>
      <c r="BM314" s="124" t="str">
        <f>IF($B314="","",IFERROR(-AB314,"n.b."))</f>
        <v/>
      </c>
      <c r="BN314" s="124" t="str">
        <f>IF($B314="","",IFERROR(-AD314,"n.b."))</f>
        <v/>
      </c>
      <c r="BO314" s="124" t="str">
        <f>IF($B314="","",IFERROR(BK314+BM314,"n.b."))</f>
        <v/>
      </c>
      <c r="BP314" s="124" t="str">
        <f>IF($B314="","",IFERROR(BL314+BN314,"n.b."))</f>
        <v/>
      </c>
      <c r="BQ314" s="124" t="str">
        <f>IF($B314="","",IFERROR(-AM314,"n.b."))</f>
        <v/>
      </c>
      <c r="BR314" s="124" t="str">
        <f>IF($B314="","",IFERROR(-AO314,"n.b."))</f>
        <v/>
      </c>
      <c r="BS314" s="124" t="str">
        <f>IF($B314="","",IFERROR(-Z314,"n.b."))</f>
        <v/>
      </c>
      <c r="BT314" s="124" t="str">
        <f>IF($B314="","",IFERROR(-AA314,"n.b."))</f>
        <v/>
      </c>
      <c r="BU314" s="124" t="str">
        <f>IF($B314="","",IFERROR(-AE314,"n.b."))</f>
        <v/>
      </c>
      <c r="BV314" s="124" t="str">
        <f>IF($B314="","",IFERROR(-AF314,"n.b."))</f>
        <v/>
      </c>
      <c r="BW314" s="124" t="str">
        <f>IF($B314="","",IFERROR(-AG314,"n.b."))</f>
        <v/>
      </c>
      <c r="BX314" s="124" t="str">
        <f>IF($B314="","",IFERROR(-AH314,"n.b."))</f>
        <v/>
      </c>
      <c r="BY314" s="124" t="str">
        <f>IF($B314="","",IFERROR(-AI314,"n.b."))</f>
        <v/>
      </c>
      <c r="BZ314" s="124" t="str">
        <f>IF($B314="","",IFERROR(-AJ314,"n.b."))</f>
        <v/>
      </c>
      <c r="CA314" s="124" t="str">
        <f>IF($B314="","",IFERROR(-AK314,"n.b."))</f>
        <v/>
      </c>
      <c r="CB314" s="124" t="str">
        <f>IF($B314="","",IFERROR(-AL314,"n.b."))</f>
        <v/>
      </c>
      <c r="CC314" s="124" t="str">
        <f>IF($B314="","",IFERROR(-AP314,"n.b."))</f>
        <v/>
      </c>
      <c r="CD314" s="124" t="str">
        <f>IF($B314="","",IFERROR(-AQ314,"n.b."))</f>
        <v/>
      </c>
      <c r="CE314" s="124" t="str">
        <f>IF($B314="","",IFERROR(-AR314,"n.b."))</f>
        <v/>
      </c>
      <c r="CF314" s="124" t="str">
        <f>IF($B314="","",IFERROR(-AS314,"n.b."))</f>
        <v/>
      </c>
      <c r="CG314" s="124" t="str">
        <f>IF($B314="","",IFERROR(-AT314,"n.b."))</f>
        <v/>
      </c>
      <c r="CH314" s="124" t="str">
        <f>IF($B314="","",IFERROR(-AU314,"n.b."))</f>
        <v/>
      </c>
      <c r="CI314" s="124" t="str">
        <f>IF($B314="","",IFERROR(-AV314,"n.b."))</f>
        <v/>
      </c>
      <c r="CJ314" s="124" t="str">
        <f>IF($B314="","",IFERROR(-AW314,"n.b."))</f>
        <v/>
      </c>
      <c r="CK314" s="124" t="str">
        <f>IF($B314="","",IFERROR(-AX314,"n.b."))</f>
        <v/>
      </c>
      <c r="CL314" s="124" t="str">
        <f>IF($B314="","",IFERROR(-AY314,"n.b."))</f>
        <v/>
      </c>
      <c r="CM314" s="124" t="str">
        <f>IF($B314="","",IFERROR(-AZ314,"n.b."))</f>
        <v/>
      </c>
      <c r="CN314" s="124" t="str">
        <f>IF($B314="","",IFERROR(-BA314,"n.b."))</f>
        <v/>
      </c>
      <c r="CO314" s="124" t="str">
        <f>IF($B314="","",IFERROR(-BB314,"n.b."))</f>
        <v/>
      </c>
      <c r="CP314" s="124" t="str">
        <f>IF($B314="","",IFERROR(-BC314,"n.b."))</f>
        <v/>
      </c>
      <c r="CQ314" s="124" t="str">
        <f>IF($B314="","",IFERROR(-BD314,"n.b."))</f>
        <v/>
      </c>
      <c r="CR314" s="124" t="str">
        <f>IF($B314="","",IFERROR(-BE314,"n.b."))</f>
        <v/>
      </c>
      <c r="CS314" s="124" t="str">
        <f>IF($B314="","",IFERROR(IF(OR(ABS(T314+V314+X314+Z314-AB314)&gt;P_Tol,ABS(U314+W314+Y314+AA314-AD314)&gt;P_Tol,ABS(AE314+AG314+AI314+AK314-AM314)&gt;P_Tol,ABS(AF314+AH314+AJ314+AL314-AO314)&gt;P_Tol),1,0),1))</f>
        <v/>
      </c>
      <c r="CT314" s="124" t="str">
        <f>IF($B314="","",IFERROR(IF(OR(ABS(AB314+AC314-AD314)&gt;P_Tol,ABS(AM314+AN314-AO314)&gt;P_Tol,ABS(O314+P314-Q314)&gt;P_Tol),1,0),1))</f>
        <v/>
      </c>
      <c r="CU314" s="124" t="str">
        <f>IF($B314="","",IFERROR(IF(ABS(R314-(AB314+AM314+AP314+AR314+AT314+AV314+AX314+AZ314+BB314+BD314))&gt;P_Tol,1,0),1))</f>
        <v/>
      </c>
      <c r="CV314" s="124" t="str">
        <f>IF($B314="","",IFERROR(IF(ABS(M314-(N314+O314+R314))&gt;P_Tol,1,0),1))</f>
        <v/>
      </c>
      <c r="CW314" s="124" t="str">
        <f>IF($B314="","",IF(COUNTIF(Mapping!$A$5:$A$104,B314)&gt;0,1,0))</f>
        <v/>
      </c>
      <c r="CX314" s="124" t="str">
        <f>IF($B314="","",COUNTIF($B$6:$B$505,B314))</f>
        <v/>
      </c>
      <c r="CY314" s="124" t="str">
        <f>IF($B314="","",COUNTIF(STG_Woningetalage!$B$6:$B$505,B314))</f>
        <v/>
      </c>
      <c r="CZ314" s="124" t="str">
        <f>IF($B314="","",IF(CW314=0,COUNTIF($CW$6:CW314,0),""))</f>
        <v/>
      </c>
    </row>
    <row r="315">
      <c r="A315" s="15" t="n">
        <v>311</v>
      </c>
      <c r="B315" t="str">
        <f>IF(B$3=0,"",IF(INDEX(SRC_ZPMW03!$A$1:$ZZ$501,$A315,B$3)&amp;""="","",INDEX(SRC_ZPMW03!$A$1:$ZZ$501,$A315,B$3)&amp;""))</f>
        <v/>
      </c>
      <c r="C315" t="str">
        <f>IF($B315="","",IF(C$3=0,"n.b.",INDEX(SRC_ZPMW03!$A$1:$ZZ$501,$A315,C$3)))</f>
        <v/>
      </c>
      <c r="D315" t="str">
        <f>IF($B315="","",IF(D$3=0,"n.b.",INDEX(SRC_ZPMW03!$A$1:$ZZ$501,$A315,D$3)))</f>
        <v/>
      </c>
      <c r="E315" t="str">
        <f>IF($B315="","",IF(E$3=0,"n.b.",INDEX(SRC_ZPMW03!$A$1:$ZZ$501,$A315,E$3)))</f>
        <v/>
      </c>
      <c r="F315" t="str">
        <f>IF($B315="","",IF(F$3=0,"n.b.",INDEX(SRC_ZPMW03!$A$1:$ZZ$501,$A315,F$3)))</f>
        <v/>
      </c>
      <c r="G315" t="str">
        <f>IF($B315="","",IF(G$3=0,"n.b.",INDEX(SRC_ZPMW03!$A$1:$ZZ$501,$A315,G$3)))</f>
        <v/>
      </c>
      <c r="H315" t="str">
        <f>IF($B315="","",IF(H$3=0,"n.b.",INDEX(SRC_ZPMW03!$A$1:$ZZ$501,$A315,H$3)))</f>
        <v/>
      </c>
      <c r="I315" t="str">
        <f>IF($B315="","",IF(I$3=0,"n.b.",INDEX(SRC_ZPMW03!$A$1:$ZZ$501,$A315,I$3)))</f>
        <v/>
      </c>
      <c r="J315" t="str">
        <f>IF($B315="","",IF(J$3=0,"n.b.",INDEX(SRC_ZPMW03!$A$1:$ZZ$501,$A315,J$3)))</f>
        <v/>
      </c>
      <c r="K315" t="str">
        <f>IF($B315="","",IF(K$3=0,"n.b.",INDEX(SRC_ZPMW03!$A$1:$ZZ$501,$A315,K$3)))</f>
        <v/>
      </c>
      <c r="L315" s="124" t="str">
        <f>IF($B315="","",IF(L$3=0,"n.b.",INDEX(SRC_ZPMW03!$A$1:$ZZ$501,$A315,L$3)))</f>
        <v/>
      </c>
      <c r="M315" s="124" t="str">
        <f>IF($B315="","",IF(M$3=0,"n.b.",INDEX(SRC_ZPMW03!$A$1:$ZZ$501,$A315,M$3)))</f>
        <v/>
      </c>
      <c r="N315" s="124" t="str">
        <f>IF($B315="","",IF(N$3=0,"n.b.",INDEX(SRC_ZPMW03!$A$1:$ZZ$501,$A315,N$3)))</f>
        <v/>
      </c>
      <c r="O315" s="124" t="str">
        <f>IF($B315="","",IF(O$3=0,"n.b.",INDEX(SRC_ZPMW03!$A$1:$ZZ$501,$A315,O$3)))</f>
        <v/>
      </c>
      <c r="P315" s="124" t="str">
        <f>IF($B315="","",IF(P$3=0,"n.b.",INDEX(SRC_ZPMW03!$A$1:$ZZ$501,$A315,P$3)))</f>
        <v/>
      </c>
      <c r="Q315" s="124" t="str">
        <f>IF($B315="","",IF(Q$3=0,"n.b.",INDEX(SRC_ZPMW03!$A$1:$ZZ$501,$A315,Q$3)))</f>
        <v/>
      </c>
      <c r="R315" s="124" t="str">
        <f>IF($B315="","",IF(R$3=0,"n.b.",INDEX(SRC_ZPMW03!$A$1:$ZZ$501,$A315,R$3)))</f>
        <v/>
      </c>
      <c r="S315" s="124" t="str">
        <f>IF($B315="","",IF(S$3=0,"n.b.",INDEX(SRC_ZPMW03!$A$1:$ZZ$501,$A315,S$3)))</f>
        <v/>
      </c>
      <c r="T315" s="124" t="str">
        <f>IF($B315="","",IF(T$3=0,"n.b.",INDEX(SRC_ZPMW03!$A$1:$ZZ$501,$A315,T$3)))</f>
        <v/>
      </c>
      <c r="U315" s="124" t="str">
        <f>IF($B315="","",IF(U$3=0,"n.b.",INDEX(SRC_ZPMW03!$A$1:$ZZ$501,$A315,U$3)))</f>
        <v/>
      </c>
      <c r="V315" s="124" t="str">
        <f>IF($B315="","",IF(V$3=0,"n.b.",INDEX(SRC_ZPMW03!$A$1:$ZZ$501,$A315,V$3)))</f>
        <v/>
      </c>
      <c r="W315" s="124" t="str">
        <f>IF($B315="","",IF(W$3=0,"n.b.",INDEX(SRC_ZPMW03!$A$1:$ZZ$501,$A315,W$3)))</f>
        <v/>
      </c>
      <c r="X315" s="124" t="str">
        <f>IF($B315="","",IF(X$3=0,"n.b.",INDEX(SRC_ZPMW03!$A$1:$ZZ$501,$A315,X$3)))</f>
        <v/>
      </c>
      <c r="Y315" s="124" t="str">
        <f>IF($B315="","",IF(Y$3=0,"n.b.",INDEX(SRC_ZPMW03!$A$1:$ZZ$501,$A315,Y$3)))</f>
        <v/>
      </c>
      <c r="Z315" s="124" t="str">
        <f>IF($B315="","",IF(Z$3=0,"n.b.",INDEX(SRC_ZPMW03!$A$1:$ZZ$501,$A315,Z$3)))</f>
        <v/>
      </c>
      <c r="AA315" s="124" t="str">
        <f>IF($B315="","",IF(AA$3=0,"n.b.",INDEX(SRC_ZPMW03!$A$1:$ZZ$501,$A315,AA$3)))</f>
        <v/>
      </c>
      <c r="AB315" s="124" t="str">
        <f>IF($B315="","",IF(AB$3=0,"n.b.",INDEX(SRC_ZPMW03!$A$1:$ZZ$501,$A315,AB$3)))</f>
        <v/>
      </c>
      <c r="AC315" s="124" t="str">
        <f>IF($B315="","",IF(AC$3=0,"n.b.",INDEX(SRC_ZPMW03!$A$1:$ZZ$501,$A315,AC$3)))</f>
        <v/>
      </c>
      <c r="AD315" s="124" t="str">
        <f>IF($B315="","",IF(AD$3=0,"n.b.",INDEX(SRC_ZPMW03!$A$1:$ZZ$501,$A315,AD$3)))</f>
        <v/>
      </c>
      <c r="AE315" s="124" t="str">
        <f>IF($B315="","",IF(AE$3=0,"n.b.",INDEX(SRC_ZPMW03!$A$1:$ZZ$501,$A315,AE$3)))</f>
        <v/>
      </c>
      <c r="AF315" s="124" t="str">
        <f>IF($B315="","",IF(AF$3=0,"n.b.",INDEX(SRC_ZPMW03!$A$1:$ZZ$501,$A315,AF$3)))</f>
        <v/>
      </c>
      <c r="AG315" s="124" t="str">
        <f>IF($B315="","",IF(AG$3=0,"n.b.",INDEX(SRC_ZPMW03!$A$1:$ZZ$501,$A315,AG$3)))</f>
        <v/>
      </c>
      <c r="AH315" s="124" t="str">
        <f>IF($B315="","",IF(AH$3=0,"n.b.",INDEX(SRC_ZPMW03!$A$1:$ZZ$501,$A315,AH$3)))</f>
        <v/>
      </c>
      <c r="AI315" s="124" t="str">
        <f>IF($B315="","",IF(AI$3=0,"n.b.",INDEX(SRC_ZPMW03!$A$1:$ZZ$501,$A315,AI$3)))</f>
        <v/>
      </c>
      <c r="AJ315" s="124" t="str">
        <f>IF($B315="","",IF(AJ$3=0,"n.b.",INDEX(SRC_ZPMW03!$A$1:$ZZ$501,$A315,AJ$3)))</f>
        <v/>
      </c>
      <c r="AK315" s="124" t="str">
        <f>IF($B315="","",IF(AK$3=0,"n.b.",INDEX(SRC_ZPMW03!$A$1:$ZZ$501,$A315,AK$3)))</f>
        <v/>
      </c>
      <c r="AL315" s="124" t="str">
        <f>IF($B315="","",IF(AL$3=0,"n.b.",INDEX(SRC_ZPMW03!$A$1:$ZZ$501,$A315,AL$3)))</f>
        <v/>
      </c>
      <c r="AM315" s="124" t="str">
        <f>IF($B315="","",IF(AM$3=0,"n.b.",INDEX(SRC_ZPMW03!$A$1:$ZZ$501,$A315,AM$3)))</f>
        <v/>
      </c>
      <c r="AN315" s="124" t="str">
        <f>IF($B315="","",IF(AN$3=0,"n.b.",INDEX(SRC_ZPMW03!$A$1:$ZZ$501,$A315,AN$3)))</f>
        <v/>
      </c>
      <c r="AO315" s="124" t="str">
        <f>IF($B315="","",IF(AO$3=0,"n.b.",INDEX(SRC_ZPMW03!$A$1:$ZZ$501,$A315,AO$3)))</f>
        <v/>
      </c>
      <c r="AP315" s="124" t="str">
        <f>IF($B315="","",IF(AP$3=0,"n.b.",INDEX(SRC_ZPMW03!$A$1:$ZZ$501,$A315,AP$3)))</f>
        <v/>
      </c>
      <c r="AQ315" s="124" t="str">
        <f>IF($B315="","",IF(AQ$3=0,"n.b.",INDEX(SRC_ZPMW03!$A$1:$ZZ$501,$A315,AQ$3)))</f>
        <v/>
      </c>
      <c r="AR315" s="124" t="str">
        <f>IF($B315="","",IF(AR$3=0,"n.b.",INDEX(SRC_ZPMW03!$A$1:$ZZ$501,$A315,AR$3)))</f>
        <v/>
      </c>
      <c r="AS315" s="124" t="str">
        <f>IF($B315="","",IF(AS$3=0,"n.b.",INDEX(SRC_ZPMW03!$A$1:$ZZ$501,$A315,AS$3)))</f>
        <v/>
      </c>
      <c r="AT315" s="124" t="str">
        <f>IF($B315="","",IF(AT$3=0,"n.b.",INDEX(SRC_ZPMW03!$A$1:$ZZ$501,$A315,AT$3)))</f>
        <v/>
      </c>
      <c r="AU315" s="124" t="str">
        <f>IF($B315="","",IF(AU$3=0,"n.b.",INDEX(SRC_ZPMW03!$A$1:$ZZ$501,$A315,AU$3)))</f>
        <v/>
      </c>
      <c r="AV315" s="124" t="str">
        <f>IF($B315="","",IF(AV$3=0,"n.b.",INDEX(SRC_ZPMW03!$A$1:$ZZ$501,$A315,AV$3)))</f>
        <v/>
      </c>
      <c r="AW315" s="124" t="str">
        <f>IF($B315="","",IF(AW$3=0,"n.b.",INDEX(SRC_ZPMW03!$A$1:$ZZ$501,$A315,AW$3)))</f>
        <v/>
      </c>
      <c r="AX315" s="124" t="str">
        <f>IF($B315="","",IF(AX$3=0,"n.b.",INDEX(SRC_ZPMW03!$A$1:$ZZ$501,$A315,AX$3)))</f>
        <v/>
      </c>
      <c r="AY315" s="124" t="str">
        <f>IF($B315="","",IF(AY$3=0,"n.b.",INDEX(SRC_ZPMW03!$A$1:$ZZ$501,$A315,AY$3)))</f>
        <v/>
      </c>
      <c r="AZ315" s="124" t="str">
        <f>IF($B315="","",IF(AZ$3=0,"n.b.",INDEX(SRC_ZPMW03!$A$1:$ZZ$501,$A315,AZ$3)))</f>
        <v/>
      </c>
      <c r="BA315" s="124" t="str">
        <f>IF($B315="","",IF(BA$3=0,"n.b.",INDEX(SRC_ZPMW03!$A$1:$ZZ$501,$A315,BA$3)))</f>
        <v/>
      </c>
      <c r="BB315" s="124" t="str">
        <f>IF($B315="","",IF(BB$3=0,"n.b.",INDEX(SRC_ZPMW03!$A$1:$ZZ$501,$A315,BB$3)))</f>
        <v/>
      </c>
      <c r="BC315" s="124" t="str">
        <f>IF($B315="","",IF(BC$3=0,"n.b.",INDEX(SRC_ZPMW03!$A$1:$ZZ$501,$A315,BC$3)))</f>
        <v/>
      </c>
      <c r="BD315" s="124" t="str">
        <f>IF($B315="","",IF(BD$3=0,"n.b.",INDEX(SRC_ZPMW03!$A$1:$ZZ$501,$A315,BD$3)))</f>
        <v/>
      </c>
      <c r="BE315" s="124" t="str">
        <f>IF($B315="","",IF(BE$3=0,"n.b.",INDEX(SRC_ZPMW03!$A$1:$ZZ$501,$A315,BE$3)))</f>
        <v/>
      </c>
      <c r="BF315" s="124" t="str">
        <f>IF($B315="","",IF(BF$3=0,"n.b.",INDEX(SRC_ZPMW03!$A$1:$ZZ$501,$A315,BF$3)))</f>
        <v/>
      </c>
      <c r="BG315" t="str">
        <f>IF($B315="","",IF(BG$3=0,"n.b.",INDEX(SRC_ZPMW03!$A$1:$ZZ$501,$A315,BG$3)))</f>
        <v/>
      </c>
      <c r="BH315" t="str">
        <f>IF($B315="","",IF(BH$3=0,"n.b.",INDEX(SRC_ZPMW03!$A$1:$ZZ$501,$A315,BH$3)))</f>
        <v/>
      </c>
      <c r="BI315" t="str">
        <f>IF($B315="","",IF(BI$3=0,"n.b.",INDEX(SRC_ZPMW03!$A$1:$ZZ$501,$A315,BI$3)))</f>
        <v/>
      </c>
      <c r="BJ315" t="str">
        <f>IF($B315="","",IF(BJ$3=0,"n.b.",INDEX(SRC_ZPMW03!$A$1:$ZZ$501,$A315,BJ$3)))</f>
        <v/>
      </c>
      <c r="BK315" s="124" t="str">
        <f>IF($B315="","",IFERROR(-O315,"n.b."))</f>
        <v/>
      </c>
      <c r="BL315" s="124" t="str">
        <f>IF($B315="","",IFERROR(-Q315,"n.b."))</f>
        <v/>
      </c>
      <c r="BM315" s="124" t="str">
        <f>IF($B315="","",IFERROR(-AB315,"n.b."))</f>
        <v/>
      </c>
      <c r="BN315" s="124" t="str">
        <f>IF($B315="","",IFERROR(-AD315,"n.b."))</f>
        <v/>
      </c>
      <c r="BO315" s="124" t="str">
        <f>IF($B315="","",IFERROR(BK315+BM315,"n.b."))</f>
        <v/>
      </c>
      <c r="BP315" s="124" t="str">
        <f>IF($B315="","",IFERROR(BL315+BN315,"n.b."))</f>
        <v/>
      </c>
      <c r="BQ315" s="124" t="str">
        <f>IF($B315="","",IFERROR(-AM315,"n.b."))</f>
        <v/>
      </c>
      <c r="BR315" s="124" t="str">
        <f>IF($B315="","",IFERROR(-AO315,"n.b."))</f>
        <v/>
      </c>
      <c r="BS315" s="124" t="str">
        <f>IF($B315="","",IFERROR(-Z315,"n.b."))</f>
        <v/>
      </c>
      <c r="BT315" s="124" t="str">
        <f>IF($B315="","",IFERROR(-AA315,"n.b."))</f>
        <v/>
      </c>
      <c r="BU315" s="124" t="str">
        <f>IF($B315="","",IFERROR(-AE315,"n.b."))</f>
        <v/>
      </c>
      <c r="BV315" s="124" t="str">
        <f>IF($B315="","",IFERROR(-AF315,"n.b."))</f>
        <v/>
      </c>
      <c r="BW315" s="124" t="str">
        <f>IF($B315="","",IFERROR(-AG315,"n.b."))</f>
        <v/>
      </c>
      <c r="BX315" s="124" t="str">
        <f>IF($B315="","",IFERROR(-AH315,"n.b."))</f>
        <v/>
      </c>
      <c r="BY315" s="124" t="str">
        <f>IF($B315="","",IFERROR(-AI315,"n.b."))</f>
        <v/>
      </c>
      <c r="BZ315" s="124" t="str">
        <f>IF($B315="","",IFERROR(-AJ315,"n.b."))</f>
        <v/>
      </c>
      <c r="CA315" s="124" t="str">
        <f>IF($B315="","",IFERROR(-AK315,"n.b."))</f>
        <v/>
      </c>
      <c r="CB315" s="124" t="str">
        <f>IF($B315="","",IFERROR(-AL315,"n.b."))</f>
        <v/>
      </c>
      <c r="CC315" s="124" t="str">
        <f>IF($B315="","",IFERROR(-AP315,"n.b."))</f>
        <v/>
      </c>
      <c r="CD315" s="124" t="str">
        <f>IF($B315="","",IFERROR(-AQ315,"n.b."))</f>
        <v/>
      </c>
      <c r="CE315" s="124" t="str">
        <f>IF($B315="","",IFERROR(-AR315,"n.b."))</f>
        <v/>
      </c>
      <c r="CF315" s="124" t="str">
        <f>IF($B315="","",IFERROR(-AS315,"n.b."))</f>
        <v/>
      </c>
      <c r="CG315" s="124" t="str">
        <f>IF($B315="","",IFERROR(-AT315,"n.b."))</f>
        <v/>
      </c>
      <c r="CH315" s="124" t="str">
        <f>IF($B315="","",IFERROR(-AU315,"n.b."))</f>
        <v/>
      </c>
      <c r="CI315" s="124" t="str">
        <f>IF($B315="","",IFERROR(-AV315,"n.b."))</f>
        <v/>
      </c>
      <c r="CJ315" s="124" t="str">
        <f>IF($B315="","",IFERROR(-AW315,"n.b."))</f>
        <v/>
      </c>
      <c r="CK315" s="124" t="str">
        <f>IF($B315="","",IFERROR(-AX315,"n.b."))</f>
        <v/>
      </c>
      <c r="CL315" s="124" t="str">
        <f>IF($B315="","",IFERROR(-AY315,"n.b."))</f>
        <v/>
      </c>
      <c r="CM315" s="124" t="str">
        <f>IF($B315="","",IFERROR(-AZ315,"n.b."))</f>
        <v/>
      </c>
      <c r="CN315" s="124" t="str">
        <f>IF($B315="","",IFERROR(-BA315,"n.b."))</f>
        <v/>
      </c>
      <c r="CO315" s="124" t="str">
        <f>IF($B315="","",IFERROR(-BB315,"n.b."))</f>
        <v/>
      </c>
      <c r="CP315" s="124" t="str">
        <f>IF($B315="","",IFERROR(-BC315,"n.b."))</f>
        <v/>
      </c>
      <c r="CQ315" s="124" t="str">
        <f>IF($B315="","",IFERROR(-BD315,"n.b."))</f>
        <v/>
      </c>
      <c r="CR315" s="124" t="str">
        <f>IF($B315="","",IFERROR(-BE315,"n.b."))</f>
        <v/>
      </c>
      <c r="CS315" s="124" t="str">
        <f>IF($B315="","",IFERROR(IF(OR(ABS(T315+V315+X315+Z315-AB315)&gt;P_Tol,ABS(U315+W315+Y315+AA315-AD315)&gt;P_Tol,ABS(AE315+AG315+AI315+AK315-AM315)&gt;P_Tol,ABS(AF315+AH315+AJ315+AL315-AO315)&gt;P_Tol),1,0),1))</f>
        <v/>
      </c>
      <c r="CT315" s="124" t="str">
        <f>IF($B315="","",IFERROR(IF(OR(ABS(AB315+AC315-AD315)&gt;P_Tol,ABS(AM315+AN315-AO315)&gt;P_Tol,ABS(O315+P315-Q315)&gt;P_Tol),1,0),1))</f>
        <v/>
      </c>
      <c r="CU315" s="124" t="str">
        <f>IF($B315="","",IFERROR(IF(ABS(R315-(AB315+AM315+AP315+AR315+AT315+AV315+AX315+AZ315+BB315+BD315))&gt;P_Tol,1,0),1))</f>
        <v/>
      </c>
      <c r="CV315" s="124" t="str">
        <f>IF($B315="","",IFERROR(IF(ABS(M315-(N315+O315+R315))&gt;P_Tol,1,0),1))</f>
        <v/>
      </c>
      <c r="CW315" s="124" t="str">
        <f>IF($B315="","",IF(COUNTIF(Mapping!$A$5:$A$104,B315)&gt;0,1,0))</f>
        <v/>
      </c>
      <c r="CX315" s="124" t="str">
        <f>IF($B315="","",COUNTIF($B$6:$B$505,B315))</f>
        <v/>
      </c>
      <c r="CY315" s="124" t="str">
        <f>IF($B315="","",COUNTIF(STG_Woningetalage!$B$6:$B$505,B315))</f>
        <v/>
      </c>
      <c r="CZ315" s="124" t="str">
        <f>IF($B315="","",IF(CW315=0,COUNTIF($CW$6:CW315,0),""))</f>
        <v/>
      </c>
    </row>
    <row r="316">
      <c r="A316" s="15" t="n">
        <v>312</v>
      </c>
      <c r="B316" t="str">
        <f>IF(B$3=0,"",IF(INDEX(SRC_ZPMW03!$A$1:$ZZ$501,$A316,B$3)&amp;""="","",INDEX(SRC_ZPMW03!$A$1:$ZZ$501,$A316,B$3)&amp;""))</f>
        <v/>
      </c>
      <c r="C316" t="str">
        <f>IF($B316="","",IF(C$3=0,"n.b.",INDEX(SRC_ZPMW03!$A$1:$ZZ$501,$A316,C$3)))</f>
        <v/>
      </c>
      <c r="D316" t="str">
        <f>IF($B316="","",IF(D$3=0,"n.b.",INDEX(SRC_ZPMW03!$A$1:$ZZ$501,$A316,D$3)))</f>
        <v/>
      </c>
      <c r="E316" t="str">
        <f>IF($B316="","",IF(E$3=0,"n.b.",INDEX(SRC_ZPMW03!$A$1:$ZZ$501,$A316,E$3)))</f>
        <v/>
      </c>
      <c r="F316" t="str">
        <f>IF($B316="","",IF(F$3=0,"n.b.",INDEX(SRC_ZPMW03!$A$1:$ZZ$501,$A316,F$3)))</f>
        <v/>
      </c>
      <c r="G316" t="str">
        <f>IF($B316="","",IF(G$3=0,"n.b.",INDEX(SRC_ZPMW03!$A$1:$ZZ$501,$A316,G$3)))</f>
        <v/>
      </c>
      <c r="H316" t="str">
        <f>IF($B316="","",IF(H$3=0,"n.b.",INDEX(SRC_ZPMW03!$A$1:$ZZ$501,$A316,H$3)))</f>
        <v/>
      </c>
      <c r="I316" t="str">
        <f>IF($B316="","",IF(I$3=0,"n.b.",INDEX(SRC_ZPMW03!$A$1:$ZZ$501,$A316,I$3)))</f>
        <v/>
      </c>
      <c r="J316" t="str">
        <f>IF($B316="","",IF(J$3=0,"n.b.",INDEX(SRC_ZPMW03!$A$1:$ZZ$501,$A316,J$3)))</f>
        <v/>
      </c>
      <c r="K316" t="str">
        <f>IF($B316="","",IF(K$3=0,"n.b.",INDEX(SRC_ZPMW03!$A$1:$ZZ$501,$A316,K$3)))</f>
        <v/>
      </c>
      <c r="L316" s="124" t="str">
        <f>IF($B316="","",IF(L$3=0,"n.b.",INDEX(SRC_ZPMW03!$A$1:$ZZ$501,$A316,L$3)))</f>
        <v/>
      </c>
      <c r="M316" s="124" t="str">
        <f>IF($B316="","",IF(M$3=0,"n.b.",INDEX(SRC_ZPMW03!$A$1:$ZZ$501,$A316,M$3)))</f>
        <v/>
      </c>
      <c r="N316" s="124" t="str">
        <f>IF($B316="","",IF(N$3=0,"n.b.",INDEX(SRC_ZPMW03!$A$1:$ZZ$501,$A316,N$3)))</f>
        <v/>
      </c>
      <c r="O316" s="124" t="str">
        <f>IF($B316="","",IF(O$3=0,"n.b.",INDEX(SRC_ZPMW03!$A$1:$ZZ$501,$A316,O$3)))</f>
        <v/>
      </c>
      <c r="P316" s="124" t="str">
        <f>IF($B316="","",IF(P$3=0,"n.b.",INDEX(SRC_ZPMW03!$A$1:$ZZ$501,$A316,P$3)))</f>
        <v/>
      </c>
      <c r="Q316" s="124" t="str">
        <f>IF($B316="","",IF(Q$3=0,"n.b.",INDEX(SRC_ZPMW03!$A$1:$ZZ$501,$A316,Q$3)))</f>
        <v/>
      </c>
      <c r="R316" s="124" t="str">
        <f>IF($B316="","",IF(R$3=0,"n.b.",INDEX(SRC_ZPMW03!$A$1:$ZZ$501,$A316,R$3)))</f>
        <v/>
      </c>
      <c r="S316" s="124" t="str">
        <f>IF($B316="","",IF(S$3=0,"n.b.",INDEX(SRC_ZPMW03!$A$1:$ZZ$501,$A316,S$3)))</f>
        <v/>
      </c>
      <c r="T316" s="124" t="str">
        <f>IF($B316="","",IF(T$3=0,"n.b.",INDEX(SRC_ZPMW03!$A$1:$ZZ$501,$A316,T$3)))</f>
        <v/>
      </c>
      <c r="U316" s="124" t="str">
        <f>IF($B316="","",IF(U$3=0,"n.b.",INDEX(SRC_ZPMW03!$A$1:$ZZ$501,$A316,U$3)))</f>
        <v/>
      </c>
      <c r="V316" s="124" t="str">
        <f>IF($B316="","",IF(V$3=0,"n.b.",INDEX(SRC_ZPMW03!$A$1:$ZZ$501,$A316,V$3)))</f>
        <v/>
      </c>
      <c r="W316" s="124" t="str">
        <f>IF($B316="","",IF(W$3=0,"n.b.",INDEX(SRC_ZPMW03!$A$1:$ZZ$501,$A316,W$3)))</f>
        <v/>
      </c>
      <c r="X316" s="124" t="str">
        <f>IF($B316="","",IF(X$3=0,"n.b.",INDEX(SRC_ZPMW03!$A$1:$ZZ$501,$A316,X$3)))</f>
        <v/>
      </c>
      <c r="Y316" s="124" t="str">
        <f>IF($B316="","",IF(Y$3=0,"n.b.",INDEX(SRC_ZPMW03!$A$1:$ZZ$501,$A316,Y$3)))</f>
        <v/>
      </c>
      <c r="Z316" s="124" t="str">
        <f>IF($B316="","",IF(Z$3=0,"n.b.",INDEX(SRC_ZPMW03!$A$1:$ZZ$501,$A316,Z$3)))</f>
        <v/>
      </c>
      <c r="AA316" s="124" t="str">
        <f>IF($B316="","",IF(AA$3=0,"n.b.",INDEX(SRC_ZPMW03!$A$1:$ZZ$501,$A316,AA$3)))</f>
        <v/>
      </c>
      <c r="AB316" s="124" t="str">
        <f>IF($B316="","",IF(AB$3=0,"n.b.",INDEX(SRC_ZPMW03!$A$1:$ZZ$501,$A316,AB$3)))</f>
        <v/>
      </c>
      <c r="AC316" s="124" t="str">
        <f>IF($B316="","",IF(AC$3=0,"n.b.",INDEX(SRC_ZPMW03!$A$1:$ZZ$501,$A316,AC$3)))</f>
        <v/>
      </c>
      <c r="AD316" s="124" t="str">
        <f>IF($B316="","",IF(AD$3=0,"n.b.",INDEX(SRC_ZPMW03!$A$1:$ZZ$501,$A316,AD$3)))</f>
        <v/>
      </c>
      <c r="AE316" s="124" t="str">
        <f>IF($B316="","",IF(AE$3=0,"n.b.",INDEX(SRC_ZPMW03!$A$1:$ZZ$501,$A316,AE$3)))</f>
        <v/>
      </c>
      <c r="AF316" s="124" t="str">
        <f>IF($B316="","",IF(AF$3=0,"n.b.",INDEX(SRC_ZPMW03!$A$1:$ZZ$501,$A316,AF$3)))</f>
        <v/>
      </c>
      <c r="AG316" s="124" t="str">
        <f>IF($B316="","",IF(AG$3=0,"n.b.",INDEX(SRC_ZPMW03!$A$1:$ZZ$501,$A316,AG$3)))</f>
        <v/>
      </c>
      <c r="AH316" s="124" t="str">
        <f>IF($B316="","",IF(AH$3=0,"n.b.",INDEX(SRC_ZPMW03!$A$1:$ZZ$501,$A316,AH$3)))</f>
        <v/>
      </c>
      <c r="AI316" s="124" t="str">
        <f>IF($B316="","",IF(AI$3=0,"n.b.",INDEX(SRC_ZPMW03!$A$1:$ZZ$501,$A316,AI$3)))</f>
        <v/>
      </c>
      <c r="AJ316" s="124" t="str">
        <f>IF($B316="","",IF(AJ$3=0,"n.b.",INDEX(SRC_ZPMW03!$A$1:$ZZ$501,$A316,AJ$3)))</f>
        <v/>
      </c>
      <c r="AK316" s="124" t="str">
        <f>IF($B316="","",IF(AK$3=0,"n.b.",INDEX(SRC_ZPMW03!$A$1:$ZZ$501,$A316,AK$3)))</f>
        <v/>
      </c>
      <c r="AL316" s="124" t="str">
        <f>IF($B316="","",IF(AL$3=0,"n.b.",INDEX(SRC_ZPMW03!$A$1:$ZZ$501,$A316,AL$3)))</f>
        <v/>
      </c>
      <c r="AM316" s="124" t="str">
        <f>IF($B316="","",IF(AM$3=0,"n.b.",INDEX(SRC_ZPMW03!$A$1:$ZZ$501,$A316,AM$3)))</f>
        <v/>
      </c>
      <c r="AN316" s="124" t="str">
        <f>IF($B316="","",IF(AN$3=0,"n.b.",INDEX(SRC_ZPMW03!$A$1:$ZZ$501,$A316,AN$3)))</f>
        <v/>
      </c>
      <c r="AO316" s="124" t="str">
        <f>IF($B316="","",IF(AO$3=0,"n.b.",INDEX(SRC_ZPMW03!$A$1:$ZZ$501,$A316,AO$3)))</f>
        <v/>
      </c>
      <c r="AP316" s="124" t="str">
        <f>IF($B316="","",IF(AP$3=0,"n.b.",INDEX(SRC_ZPMW03!$A$1:$ZZ$501,$A316,AP$3)))</f>
        <v/>
      </c>
      <c r="AQ316" s="124" t="str">
        <f>IF($B316="","",IF(AQ$3=0,"n.b.",INDEX(SRC_ZPMW03!$A$1:$ZZ$501,$A316,AQ$3)))</f>
        <v/>
      </c>
      <c r="AR316" s="124" t="str">
        <f>IF($B316="","",IF(AR$3=0,"n.b.",INDEX(SRC_ZPMW03!$A$1:$ZZ$501,$A316,AR$3)))</f>
        <v/>
      </c>
      <c r="AS316" s="124" t="str">
        <f>IF($B316="","",IF(AS$3=0,"n.b.",INDEX(SRC_ZPMW03!$A$1:$ZZ$501,$A316,AS$3)))</f>
        <v/>
      </c>
      <c r="AT316" s="124" t="str">
        <f>IF($B316="","",IF(AT$3=0,"n.b.",INDEX(SRC_ZPMW03!$A$1:$ZZ$501,$A316,AT$3)))</f>
        <v/>
      </c>
      <c r="AU316" s="124" t="str">
        <f>IF($B316="","",IF(AU$3=0,"n.b.",INDEX(SRC_ZPMW03!$A$1:$ZZ$501,$A316,AU$3)))</f>
        <v/>
      </c>
      <c r="AV316" s="124" t="str">
        <f>IF($B316="","",IF(AV$3=0,"n.b.",INDEX(SRC_ZPMW03!$A$1:$ZZ$501,$A316,AV$3)))</f>
        <v/>
      </c>
      <c r="AW316" s="124" t="str">
        <f>IF($B316="","",IF(AW$3=0,"n.b.",INDEX(SRC_ZPMW03!$A$1:$ZZ$501,$A316,AW$3)))</f>
        <v/>
      </c>
      <c r="AX316" s="124" t="str">
        <f>IF($B316="","",IF(AX$3=0,"n.b.",INDEX(SRC_ZPMW03!$A$1:$ZZ$501,$A316,AX$3)))</f>
        <v/>
      </c>
      <c r="AY316" s="124" t="str">
        <f>IF($B316="","",IF(AY$3=0,"n.b.",INDEX(SRC_ZPMW03!$A$1:$ZZ$501,$A316,AY$3)))</f>
        <v/>
      </c>
      <c r="AZ316" s="124" t="str">
        <f>IF($B316="","",IF(AZ$3=0,"n.b.",INDEX(SRC_ZPMW03!$A$1:$ZZ$501,$A316,AZ$3)))</f>
        <v/>
      </c>
      <c r="BA316" s="124" t="str">
        <f>IF($B316="","",IF(BA$3=0,"n.b.",INDEX(SRC_ZPMW03!$A$1:$ZZ$501,$A316,BA$3)))</f>
        <v/>
      </c>
      <c r="BB316" s="124" t="str">
        <f>IF($B316="","",IF(BB$3=0,"n.b.",INDEX(SRC_ZPMW03!$A$1:$ZZ$501,$A316,BB$3)))</f>
        <v/>
      </c>
      <c r="BC316" s="124" t="str">
        <f>IF($B316="","",IF(BC$3=0,"n.b.",INDEX(SRC_ZPMW03!$A$1:$ZZ$501,$A316,BC$3)))</f>
        <v/>
      </c>
      <c r="BD316" s="124" t="str">
        <f>IF($B316="","",IF(BD$3=0,"n.b.",INDEX(SRC_ZPMW03!$A$1:$ZZ$501,$A316,BD$3)))</f>
        <v/>
      </c>
      <c r="BE316" s="124" t="str">
        <f>IF($B316="","",IF(BE$3=0,"n.b.",INDEX(SRC_ZPMW03!$A$1:$ZZ$501,$A316,BE$3)))</f>
        <v/>
      </c>
      <c r="BF316" s="124" t="str">
        <f>IF($B316="","",IF(BF$3=0,"n.b.",INDEX(SRC_ZPMW03!$A$1:$ZZ$501,$A316,BF$3)))</f>
        <v/>
      </c>
      <c r="BG316" t="str">
        <f>IF($B316="","",IF(BG$3=0,"n.b.",INDEX(SRC_ZPMW03!$A$1:$ZZ$501,$A316,BG$3)))</f>
        <v/>
      </c>
      <c r="BH316" t="str">
        <f>IF($B316="","",IF(BH$3=0,"n.b.",INDEX(SRC_ZPMW03!$A$1:$ZZ$501,$A316,BH$3)))</f>
        <v/>
      </c>
      <c r="BI316" t="str">
        <f>IF($B316="","",IF(BI$3=0,"n.b.",INDEX(SRC_ZPMW03!$A$1:$ZZ$501,$A316,BI$3)))</f>
        <v/>
      </c>
      <c r="BJ316" t="str">
        <f>IF($B316="","",IF(BJ$3=0,"n.b.",INDEX(SRC_ZPMW03!$A$1:$ZZ$501,$A316,BJ$3)))</f>
        <v/>
      </c>
      <c r="BK316" s="124" t="str">
        <f>IF($B316="","",IFERROR(-O316,"n.b."))</f>
        <v/>
      </c>
      <c r="BL316" s="124" t="str">
        <f>IF($B316="","",IFERROR(-Q316,"n.b."))</f>
        <v/>
      </c>
      <c r="BM316" s="124" t="str">
        <f>IF($B316="","",IFERROR(-AB316,"n.b."))</f>
        <v/>
      </c>
      <c r="BN316" s="124" t="str">
        <f>IF($B316="","",IFERROR(-AD316,"n.b."))</f>
        <v/>
      </c>
      <c r="BO316" s="124" t="str">
        <f>IF($B316="","",IFERROR(BK316+BM316,"n.b."))</f>
        <v/>
      </c>
      <c r="BP316" s="124" t="str">
        <f>IF($B316="","",IFERROR(BL316+BN316,"n.b."))</f>
        <v/>
      </c>
      <c r="BQ316" s="124" t="str">
        <f>IF($B316="","",IFERROR(-AM316,"n.b."))</f>
        <v/>
      </c>
      <c r="BR316" s="124" t="str">
        <f>IF($B316="","",IFERROR(-AO316,"n.b."))</f>
        <v/>
      </c>
      <c r="BS316" s="124" t="str">
        <f>IF($B316="","",IFERROR(-Z316,"n.b."))</f>
        <v/>
      </c>
      <c r="BT316" s="124" t="str">
        <f>IF($B316="","",IFERROR(-AA316,"n.b."))</f>
        <v/>
      </c>
      <c r="BU316" s="124" t="str">
        <f>IF($B316="","",IFERROR(-AE316,"n.b."))</f>
        <v/>
      </c>
      <c r="BV316" s="124" t="str">
        <f>IF($B316="","",IFERROR(-AF316,"n.b."))</f>
        <v/>
      </c>
      <c r="BW316" s="124" t="str">
        <f>IF($B316="","",IFERROR(-AG316,"n.b."))</f>
        <v/>
      </c>
      <c r="BX316" s="124" t="str">
        <f>IF($B316="","",IFERROR(-AH316,"n.b."))</f>
        <v/>
      </c>
      <c r="BY316" s="124" t="str">
        <f>IF($B316="","",IFERROR(-AI316,"n.b."))</f>
        <v/>
      </c>
      <c r="BZ316" s="124" t="str">
        <f>IF($B316="","",IFERROR(-AJ316,"n.b."))</f>
        <v/>
      </c>
      <c r="CA316" s="124" t="str">
        <f>IF($B316="","",IFERROR(-AK316,"n.b."))</f>
        <v/>
      </c>
      <c r="CB316" s="124" t="str">
        <f>IF($B316="","",IFERROR(-AL316,"n.b."))</f>
        <v/>
      </c>
      <c r="CC316" s="124" t="str">
        <f>IF($B316="","",IFERROR(-AP316,"n.b."))</f>
        <v/>
      </c>
      <c r="CD316" s="124" t="str">
        <f>IF($B316="","",IFERROR(-AQ316,"n.b."))</f>
        <v/>
      </c>
      <c r="CE316" s="124" t="str">
        <f>IF($B316="","",IFERROR(-AR316,"n.b."))</f>
        <v/>
      </c>
      <c r="CF316" s="124" t="str">
        <f>IF($B316="","",IFERROR(-AS316,"n.b."))</f>
        <v/>
      </c>
      <c r="CG316" s="124" t="str">
        <f>IF($B316="","",IFERROR(-AT316,"n.b."))</f>
        <v/>
      </c>
      <c r="CH316" s="124" t="str">
        <f>IF($B316="","",IFERROR(-AU316,"n.b."))</f>
        <v/>
      </c>
      <c r="CI316" s="124" t="str">
        <f>IF($B316="","",IFERROR(-AV316,"n.b."))</f>
        <v/>
      </c>
      <c r="CJ316" s="124" t="str">
        <f>IF($B316="","",IFERROR(-AW316,"n.b."))</f>
        <v/>
      </c>
      <c r="CK316" s="124" t="str">
        <f>IF($B316="","",IFERROR(-AX316,"n.b."))</f>
        <v/>
      </c>
      <c r="CL316" s="124" t="str">
        <f>IF($B316="","",IFERROR(-AY316,"n.b."))</f>
        <v/>
      </c>
      <c r="CM316" s="124" t="str">
        <f>IF($B316="","",IFERROR(-AZ316,"n.b."))</f>
        <v/>
      </c>
      <c r="CN316" s="124" t="str">
        <f>IF($B316="","",IFERROR(-BA316,"n.b."))</f>
        <v/>
      </c>
      <c r="CO316" s="124" t="str">
        <f>IF($B316="","",IFERROR(-BB316,"n.b."))</f>
        <v/>
      </c>
      <c r="CP316" s="124" t="str">
        <f>IF($B316="","",IFERROR(-BC316,"n.b."))</f>
        <v/>
      </c>
      <c r="CQ316" s="124" t="str">
        <f>IF($B316="","",IFERROR(-BD316,"n.b."))</f>
        <v/>
      </c>
      <c r="CR316" s="124" t="str">
        <f>IF($B316="","",IFERROR(-BE316,"n.b."))</f>
        <v/>
      </c>
      <c r="CS316" s="124" t="str">
        <f>IF($B316="","",IFERROR(IF(OR(ABS(T316+V316+X316+Z316-AB316)&gt;P_Tol,ABS(U316+W316+Y316+AA316-AD316)&gt;P_Tol,ABS(AE316+AG316+AI316+AK316-AM316)&gt;P_Tol,ABS(AF316+AH316+AJ316+AL316-AO316)&gt;P_Tol),1,0),1))</f>
        <v/>
      </c>
      <c r="CT316" s="124" t="str">
        <f>IF($B316="","",IFERROR(IF(OR(ABS(AB316+AC316-AD316)&gt;P_Tol,ABS(AM316+AN316-AO316)&gt;P_Tol,ABS(O316+P316-Q316)&gt;P_Tol),1,0),1))</f>
        <v/>
      </c>
      <c r="CU316" s="124" t="str">
        <f>IF($B316="","",IFERROR(IF(ABS(R316-(AB316+AM316+AP316+AR316+AT316+AV316+AX316+AZ316+BB316+BD316))&gt;P_Tol,1,0),1))</f>
        <v/>
      </c>
      <c r="CV316" s="124" t="str">
        <f>IF($B316="","",IFERROR(IF(ABS(M316-(N316+O316+R316))&gt;P_Tol,1,0),1))</f>
        <v/>
      </c>
      <c r="CW316" s="124" t="str">
        <f>IF($B316="","",IF(COUNTIF(Mapping!$A$5:$A$104,B316)&gt;0,1,0))</f>
        <v/>
      </c>
      <c r="CX316" s="124" t="str">
        <f>IF($B316="","",COUNTIF($B$6:$B$505,B316))</f>
        <v/>
      </c>
      <c r="CY316" s="124" t="str">
        <f>IF($B316="","",COUNTIF(STG_Woningetalage!$B$6:$B$505,B316))</f>
        <v/>
      </c>
      <c r="CZ316" s="124" t="str">
        <f>IF($B316="","",IF(CW316=0,COUNTIF($CW$6:CW316,0),""))</f>
        <v/>
      </c>
    </row>
    <row r="317">
      <c r="A317" s="15" t="n">
        <v>313</v>
      </c>
      <c r="B317" t="str">
        <f>IF(B$3=0,"",IF(INDEX(SRC_ZPMW03!$A$1:$ZZ$501,$A317,B$3)&amp;""="","",INDEX(SRC_ZPMW03!$A$1:$ZZ$501,$A317,B$3)&amp;""))</f>
        <v/>
      </c>
      <c r="C317" t="str">
        <f>IF($B317="","",IF(C$3=0,"n.b.",INDEX(SRC_ZPMW03!$A$1:$ZZ$501,$A317,C$3)))</f>
        <v/>
      </c>
      <c r="D317" t="str">
        <f>IF($B317="","",IF(D$3=0,"n.b.",INDEX(SRC_ZPMW03!$A$1:$ZZ$501,$A317,D$3)))</f>
        <v/>
      </c>
      <c r="E317" t="str">
        <f>IF($B317="","",IF(E$3=0,"n.b.",INDEX(SRC_ZPMW03!$A$1:$ZZ$501,$A317,E$3)))</f>
        <v/>
      </c>
      <c r="F317" t="str">
        <f>IF($B317="","",IF(F$3=0,"n.b.",INDEX(SRC_ZPMW03!$A$1:$ZZ$501,$A317,F$3)))</f>
        <v/>
      </c>
      <c r="G317" t="str">
        <f>IF($B317="","",IF(G$3=0,"n.b.",INDEX(SRC_ZPMW03!$A$1:$ZZ$501,$A317,G$3)))</f>
        <v/>
      </c>
      <c r="H317" t="str">
        <f>IF($B317="","",IF(H$3=0,"n.b.",INDEX(SRC_ZPMW03!$A$1:$ZZ$501,$A317,H$3)))</f>
        <v/>
      </c>
      <c r="I317" t="str">
        <f>IF($B317="","",IF(I$3=0,"n.b.",INDEX(SRC_ZPMW03!$A$1:$ZZ$501,$A317,I$3)))</f>
        <v/>
      </c>
      <c r="J317" t="str">
        <f>IF($B317="","",IF(J$3=0,"n.b.",INDEX(SRC_ZPMW03!$A$1:$ZZ$501,$A317,J$3)))</f>
        <v/>
      </c>
      <c r="K317" t="str">
        <f>IF($B317="","",IF(K$3=0,"n.b.",INDEX(SRC_ZPMW03!$A$1:$ZZ$501,$A317,K$3)))</f>
        <v/>
      </c>
      <c r="L317" s="124" t="str">
        <f>IF($B317="","",IF(L$3=0,"n.b.",INDEX(SRC_ZPMW03!$A$1:$ZZ$501,$A317,L$3)))</f>
        <v/>
      </c>
      <c r="M317" s="124" t="str">
        <f>IF($B317="","",IF(M$3=0,"n.b.",INDEX(SRC_ZPMW03!$A$1:$ZZ$501,$A317,M$3)))</f>
        <v/>
      </c>
      <c r="N317" s="124" t="str">
        <f>IF($B317="","",IF(N$3=0,"n.b.",INDEX(SRC_ZPMW03!$A$1:$ZZ$501,$A317,N$3)))</f>
        <v/>
      </c>
      <c r="O317" s="124" t="str">
        <f>IF($B317="","",IF(O$3=0,"n.b.",INDEX(SRC_ZPMW03!$A$1:$ZZ$501,$A317,O$3)))</f>
        <v/>
      </c>
      <c r="P317" s="124" t="str">
        <f>IF($B317="","",IF(P$3=0,"n.b.",INDEX(SRC_ZPMW03!$A$1:$ZZ$501,$A317,P$3)))</f>
        <v/>
      </c>
      <c r="Q317" s="124" t="str">
        <f>IF($B317="","",IF(Q$3=0,"n.b.",INDEX(SRC_ZPMW03!$A$1:$ZZ$501,$A317,Q$3)))</f>
        <v/>
      </c>
      <c r="R317" s="124" t="str">
        <f>IF($B317="","",IF(R$3=0,"n.b.",INDEX(SRC_ZPMW03!$A$1:$ZZ$501,$A317,R$3)))</f>
        <v/>
      </c>
      <c r="S317" s="124" t="str">
        <f>IF($B317="","",IF(S$3=0,"n.b.",INDEX(SRC_ZPMW03!$A$1:$ZZ$501,$A317,S$3)))</f>
        <v/>
      </c>
      <c r="T317" s="124" t="str">
        <f>IF($B317="","",IF(T$3=0,"n.b.",INDEX(SRC_ZPMW03!$A$1:$ZZ$501,$A317,T$3)))</f>
        <v/>
      </c>
      <c r="U317" s="124" t="str">
        <f>IF($B317="","",IF(U$3=0,"n.b.",INDEX(SRC_ZPMW03!$A$1:$ZZ$501,$A317,U$3)))</f>
        <v/>
      </c>
      <c r="V317" s="124" t="str">
        <f>IF($B317="","",IF(V$3=0,"n.b.",INDEX(SRC_ZPMW03!$A$1:$ZZ$501,$A317,V$3)))</f>
        <v/>
      </c>
      <c r="W317" s="124" t="str">
        <f>IF($B317="","",IF(W$3=0,"n.b.",INDEX(SRC_ZPMW03!$A$1:$ZZ$501,$A317,W$3)))</f>
        <v/>
      </c>
      <c r="X317" s="124" t="str">
        <f>IF($B317="","",IF(X$3=0,"n.b.",INDEX(SRC_ZPMW03!$A$1:$ZZ$501,$A317,X$3)))</f>
        <v/>
      </c>
      <c r="Y317" s="124" t="str">
        <f>IF($B317="","",IF(Y$3=0,"n.b.",INDEX(SRC_ZPMW03!$A$1:$ZZ$501,$A317,Y$3)))</f>
        <v/>
      </c>
      <c r="Z317" s="124" t="str">
        <f>IF($B317="","",IF(Z$3=0,"n.b.",INDEX(SRC_ZPMW03!$A$1:$ZZ$501,$A317,Z$3)))</f>
        <v/>
      </c>
      <c r="AA317" s="124" t="str">
        <f>IF($B317="","",IF(AA$3=0,"n.b.",INDEX(SRC_ZPMW03!$A$1:$ZZ$501,$A317,AA$3)))</f>
        <v/>
      </c>
      <c r="AB317" s="124" t="str">
        <f>IF($B317="","",IF(AB$3=0,"n.b.",INDEX(SRC_ZPMW03!$A$1:$ZZ$501,$A317,AB$3)))</f>
        <v/>
      </c>
      <c r="AC317" s="124" t="str">
        <f>IF($B317="","",IF(AC$3=0,"n.b.",INDEX(SRC_ZPMW03!$A$1:$ZZ$501,$A317,AC$3)))</f>
        <v/>
      </c>
      <c r="AD317" s="124" t="str">
        <f>IF($B317="","",IF(AD$3=0,"n.b.",INDEX(SRC_ZPMW03!$A$1:$ZZ$501,$A317,AD$3)))</f>
        <v/>
      </c>
      <c r="AE317" s="124" t="str">
        <f>IF($B317="","",IF(AE$3=0,"n.b.",INDEX(SRC_ZPMW03!$A$1:$ZZ$501,$A317,AE$3)))</f>
        <v/>
      </c>
      <c r="AF317" s="124" t="str">
        <f>IF($B317="","",IF(AF$3=0,"n.b.",INDEX(SRC_ZPMW03!$A$1:$ZZ$501,$A317,AF$3)))</f>
        <v/>
      </c>
      <c r="AG317" s="124" t="str">
        <f>IF($B317="","",IF(AG$3=0,"n.b.",INDEX(SRC_ZPMW03!$A$1:$ZZ$501,$A317,AG$3)))</f>
        <v/>
      </c>
      <c r="AH317" s="124" t="str">
        <f>IF($B317="","",IF(AH$3=0,"n.b.",INDEX(SRC_ZPMW03!$A$1:$ZZ$501,$A317,AH$3)))</f>
        <v/>
      </c>
      <c r="AI317" s="124" t="str">
        <f>IF($B317="","",IF(AI$3=0,"n.b.",INDEX(SRC_ZPMW03!$A$1:$ZZ$501,$A317,AI$3)))</f>
        <v/>
      </c>
      <c r="AJ317" s="124" t="str">
        <f>IF($B317="","",IF(AJ$3=0,"n.b.",INDEX(SRC_ZPMW03!$A$1:$ZZ$501,$A317,AJ$3)))</f>
        <v/>
      </c>
      <c r="AK317" s="124" t="str">
        <f>IF($B317="","",IF(AK$3=0,"n.b.",INDEX(SRC_ZPMW03!$A$1:$ZZ$501,$A317,AK$3)))</f>
        <v/>
      </c>
      <c r="AL317" s="124" t="str">
        <f>IF($B317="","",IF(AL$3=0,"n.b.",INDEX(SRC_ZPMW03!$A$1:$ZZ$501,$A317,AL$3)))</f>
        <v/>
      </c>
      <c r="AM317" s="124" t="str">
        <f>IF($B317="","",IF(AM$3=0,"n.b.",INDEX(SRC_ZPMW03!$A$1:$ZZ$501,$A317,AM$3)))</f>
        <v/>
      </c>
      <c r="AN317" s="124" t="str">
        <f>IF($B317="","",IF(AN$3=0,"n.b.",INDEX(SRC_ZPMW03!$A$1:$ZZ$501,$A317,AN$3)))</f>
        <v/>
      </c>
      <c r="AO317" s="124" t="str">
        <f>IF($B317="","",IF(AO$3=0,"n.b.",INDEX(SRC_ZPMW03!$A$1:$ZZ$501,$A317,AO$3)))</f>
        <v/>
      </c>
      <c r="AP317" s="124" t="str">
        <f>IF($B317="","",IF(AP$3=0,"n.b.",INDEX(SRC_ZPMW03!$A$1:$ZZ$501,$A317,AP$3)))</f>
        <v/>
      </c>
      <c r="AQ317" s="124" t="str">
        <f>IF($B317="","",IF(AQ$3=0,"n.b.",INDEX(SRC_ZPMW03!$A$1:$ZZ$501,$A317,AQ$3)))</f>
        <v/>
      </c>
      <c r="AR317" s="124" t="str">
        <f>IF($B317="","",IF(AR$3=0,"n.b.",INDEX(SRC_ZPMW03!$A$1:$ZZ$501,$A317,AR$3)))</f>
        <v/>
      </c>
      <c r="AS317" s="124" t="str">
        <f>IF($B317="","",IF(AS$3=0,"n.b.",INDEX(SRC_ZPMW03!$A$1:$ZZ$501,$A317,AS$3)))</f>
        <v/>
      </c>
      <c r="AT317" s="124" t="str">
        <f>IF($B317="","",IF(AT$3=0,"n.b.",INDEX(SRC_ZPMW03!$A$1:$ZZ$501,$A317,AT$3)))</f>
        <v/>
      </c>
      <c r="AU317" s="124" t="str">
        <f>IF($B317="","",IF(AU$3=0,"n.b.",INDEX(SRC_ZPMW03!$A$1:$ZZ$501,$A317,AU$3)))</f>
        <v/>
      </c>
      <c r="AV317" s="124" t="str">
        <f>IF($B317="","",IF(AV$3=0,"n.b.",INDEX(SRC_ZPMW03!$A$1:$ZZ$501,$A317,AV$3)))</f>
        <v/>
      </c>
      <c r="AW317" s="124" t="str">
        <f>IF($B317="","",IF(AW$3=0,"n.b.",INDEX(SRC_ZPMW03!$A$1:$ZZ$501,$A317,AW$3)))</f>
        <v/>
      </c>
      <c r="AX317" s="124" t="str">
        <f>IF($B317="","",IF(AX$3=0,"n.b.",INDEX(SRC_ZPMW03!$A$1:$ZZ$501,$A317,AX$3)))</f>
        <v/>
      </c>
      <c r="AY317" s="124" t="str">
        <f>IF($B317="","",IF(AY$3=0,"n.b.",INDEX(SRC_ZPMW03!$A$1:$ZZ$501,$A317,AY$3)))</f>
        <v/>
      </c>
      <c r="AZ317" s="124" t="str">
        <f>IF($B317="","",IF(AZ$3=0,"n.b.",INDEX(SRC_ZPMW03!$A$1:$ZZ$501,$A317,AZ$3)))</f>
        <v/>
      </c>
      <c r="BA317" s="124" t="str">
        <f>IF($B317="","",IF(BA$3=0,"n.b.",INDEX(SRC_ZPMW03!$A$1:$ZZ$501,$A317,BA$3)))</f>
        <v/>
      </c>
      <c r="BB317" s="124" t="str">
        <f>IF($B317="","",IF(BB$3=0,"n.b.",INDEX(SRC_ZPMW03!$A$1:$ZZ$501,$A317,BB$3)))</f>
        <v/>
      </c>
      <c r="BC317" s="124" t="str">
        <f>IF($B317="","",IF(BC$3=0,"n.b.",INDEX(SRC_ZPMW03!$A$1:$ZZ$501,$A317,BC$3)))</f>
        <v/>
      </c>
      <c r="BD317" s="124" t="str">
        <f>IF($B317="","",IF(BD$3=0,"n.b.",INDEX(SRC_ZPMW03!$A$1:$ZZ$501,$A317,BD$3)))</f>
        <v/>
      </c>
      <c r="BE317" s="124" t="str">
        <f>IF($B317="","",IF(BE$3=0,"n.b.",INDEX(SRC_ZPMW03!$A$1:$ZZ$501,$A317,BE$3)))</f>
        <v/>
      </c>
      <c r="BF317" s="124" t="str">
        <f>IF($B317="","",IF(BF$3=0,"n.b.",INDEX(SRC_ZPMW03!$A$1:$ZZ$501,$A317,BF$3)))</f>
        <v/>
      </c>
      <c r="BG317" t="str">
        <f>IF($B317="","",IF(BG$3=0,"n.b.",INDEX(SRC_ZPMW03!$A$1:$ZZ$501,$A317,BG$3)))</f>
        <v/>
      </c>
      <c r="BH317" t="str">
        <f>IF($B317="","",IF(BH$3=0,"n.b.",INDEX(SRC_ZPMW03!$A$1:$ZZ$501,$A317,BH$3)))</f>
        <v/>
      </c>
      <c r="BI317" t="str">
        <f>IF($B317="","",IF(BI$3=0,"n.b.",INDEX(SRC_ZPMW03!$A$1:$ZZ$501,$A317,BI$3)))</f>
        <v/>
      </c>
      <c r="BJ317" t="str">
        <f>IF($B317="","",IF(BJ$3=0,"n.b.",INDEX(SRC_ZPMW03!$A$1:$ZZ$501,$A317,BJ$3)))</f>
        <v/>
      </c>
      <c r="BK317" s="124" t="str">
        <f>IF($B317="","",IFERROR(-O317,"n.b."))</f>
        <v/>
      </c>
      <c r="BL317" s="124" t="str">
        <f>IF($B317="","",IFERROR(-Q317,"n.b."))</f>
        <v/>
      </c>
      <c r="BM317" s="124" t="str">
        <f>IF($B317="","",IFERROR(-AB317,"n.b."))</f>
        <v/>
      </c>
      <c r="BN317" s="124" t="str">
        <f>IF($B317="","",IFERROR(-AD317,"n.b."))</f>
        <v/>
      </c>
      <c r="BO317" s="124" t="str">
        <f>IF($B317="","",IFERROR(BK317+BM317,"n.b."))</f>
        <v/>
      </c>
      <c r="BP317" s="124" t="str">
        <f>IF($B317="","",IFERROR(BL317+BN317,"n.b."))</f>
        <v/>
      </c>
      <c r="BQ317" s="124" t="str">
        <f>IF($B317="","",IFERROR(-AM317,"n.b."))</f>
        <v/>
      </c>
      <c r="BR317" s="124" t="str">
        <f>IF($B317="","",IFERROR(-AO317,"n.b."))</f>
        <v/>
      </c>
      <c r="BS317" s="124" t="str">
        <f>IF($B317="","",IFERROR(-Z317,"n.b."))</f>
        <v/>
      </c>
      <c r="BT317" s="124" t="str">
        <f>IF($B317="","",IFERROR(-AA317,"n.b."))</f>
        <v/>
      </c>
      <c r="BU317" s="124" t="str">
        <f>IF($B317="","",IFERROR(-AE317,"n.b."))</f>
        <v/>
      </c>
      <c r="BV317" s="124" t="str">
        <f>IF($B317="","",IFERROR(-AF317,"n.b."))</f>
        <v/>
      </c>
      <c r="BW317" s="124" t="str">
        <f>IF($B317="","",IFERROR(-AG317,"n.b."))</f>
        <v/>
      </c>
      <c r="BX317" s="124" t="str">
        <f>IF($B317="","",IFERROR(-AH317,"n.b."))</f>
        <v/>
      </c>
      <c r="BY317" s="124" t="str">
        <f>IF($B317="","",IFERROR(-AI317,"n.b."))</f>
        <v/>
      </c>
      <c r="BZ317" s="124" t="str">
        <f>IF($B317="","",IFERROR(-AJ317,"n.b."))</f>
        <v/>
      </c>
      <c r="CA317" s="124" t="str">
        <f>IF($B317="","",IFERROR(-AK317,"n.b."))</f>
        <v/>
      </c>
      <c r="CB317" s="124" t="str">
        <f>IF($B317="","",IFERROR(-AL317,"n.b."))</f>
        <v/>
      </c>
      <c r="CC317" s="124" t="str">
        <f>IF($B317="","",IFERROR(-AP317,"n.b."))</f>
        <v/>
      </c>
      <c r="CD317" s="124" t="str">
        <f>IF($B317="","",IFERROR(-AQ317,"n.b."))</f>
        <v/>
      </c>
      <c r="CE317" s="124" t="str">
        <f>IF($B317="","",IFERROR(-AR317,"n.b."))</f>
        <v/>
      </c>
      <c r="CF317" s="124" t="str">
        <f>IF($B317="","",IFERROR(-AS317,"n.b."))</f>
        <v/>
      </c>
      <c r="CG317" s="124" t="str">
        <f>IF($B317="","",IFERROR(-AT317,"n.b."))</f>
        <v/>
      </c>
      <c r="CH317" s="124" t="str">
        <f>IF($B317="","",IFERROR(-AU317,"n.b."))</f>
        <v/>
      </c>
      <c r="CI317" s="124" t="str">
        <f>IF($B317="","",IFERROR(-AV317,"n.b."))</f>
        <v/>
      </c>
      <c r="CJ317" s="124" t="str">
        <f>IF($B317="","",IFERROR(-AW317,"n.b."))</f>
        <v/>
      </c>
      <c r="CK317" s="124" t="str">
        <f>IF($B317="","",IFERROR(-AX317,"n.b."))</f>
        <v/>
      </c>
      <c r="CL317" s="124" t="str">
        <f>IF($B317="","",IFERROR(-AY317,"n.b."))</f>
        <v/>
      </c>
      <c r="CM317" s="124" t="str">
        <f>IF($B317="","",IFERROR(-AZ317,"n.b."))</f>
        <v/>
      </c>
      <c r="CN317" s="124" t="str">
        <f>IF($B317="","",IFERROR(-BA317,"n.b."))</f>
        <v/>
      </c>
      <c r="CO317" s="124" t="str">
        <f>IF($B317="","",IFERROR(-BB317,"n.b."))</f>
        <v/>
      </c>
      <c r="CP317" s="124" t="str">
        <f>IF($B317="","",IFERROR(-BC317,"n.b."))</f>
        <v/>
      </c>
      <c r="CQ317" s="124" t="str">
        <f>IF($B317="","",IFERROR(-BD317,"n.b."))</f>
        <v/>
      </c>
      <c r="CR317" s="124" t="str">
        <f>IF($B317="","",IFERROR(-BE317,"n.b."))</f>
        <v/>
      </c>
      <c r="CS317" s="124" t="str">
        <f>IF($B317="","",IFERROR(IF(OR(ABS(T317+V317+X317+Z317-AB317)&gt;P_Tol,ABS(U317+W317+Y317+AA317-AD317)&gt;P_Tol,ABS(AE317+AG317+AI317+AK317-AM317)&gt;P_Tol,ABS(AF317+AH317+AJ317+AL317-AO317)&gt;P_Tol),1,0),1))</f>
        <v/>
      </c>
      <c r="CT317" s="124" t="str">
        <f>IF($B317="","",IFERROR(IF(OR(ABS(AB317+AC317-AD317)&gt;P_Tol,ABS(AM317+AN317-AO317)&gt;P_Tol,ABS(O317+P317-Q317)&gt;P_Tol),1,0),1))</f>
        <v/>
      </c>
      <c r="CU317" s="124" t="str">
        <f>IF($B317="","",IFERROR(IF(ABS(R317-(AB317+AM317+AP317+AR317+AT317+AV317+AX317+AZ317+BB317+BD317))&gt;P_Tol,1,0),1))</f>
        <v/>
      </c>
      <c r="CV317" s="124" t="str">
        <f>IF($B317="","",IFERROR(IF(ABS(M317-(N317+O317+R317))&gt;P_Tol,1,0),1))</f>
        <v/>
      </c>
      <c r="CW317" s="124" t="str">
        <f>IF($B317="","",IF(COUNTIF(Mapping!$A$5:$A$104,B317)&gt;0,1,0))</f>
        <v/>
      </c>
      <c r="CX317" s="124" t="str">
        <f>IF($B317="","",COUNTIF($B$6:$B$505,B317))</f>
        <v/>
      </c>
      <c r="CY317" s="124" t="str">
        <f>IF($B317="","",COUNTIF(STG_Woningetalage!$B$6:$B$505,B317))</f>
        <v/>
      </c>
      <c r="CZ317" s="124" t="str">
        <f>IF($B317="","",IF(CW317=0,COUNTIF($CW$6:CW317,0),""))</f>
        <v/>
      </c>
    </row>
    <row r="318">
      <c r="A318" s="15" t="n">
        <v>314</v>
      </c>
      <c r="B318" t="str">
        <f>IF(B$3=0,"",IF(INDEX(SRC_ZPMW03!$A$1:$ZZ$501,$A318,B$3)&amp;""="","",INDEX(SRC_ZPMW03!$A$1:$ZZ$501,$A318,B$3)&amp;""))</f>
        <v/>
      </c>
      <c r="C318" t="str">
        <f>IF($B318="","",IF(C$3=0,"n.b.",INDEX(SRC_ZPMW03!$A$1:$ZZ$501,$A318,C$3)))</f>
        <v/>
      </c>
      <c r="D318" t="str">
        <f>IF($B318="","",IF(D$3=0,"n.b.",INDEX(SRC_ZPMW03!$A$1:$ZZ$501,$A318,D$3)))</f>
        <v/>
      </c>
      <c r="E318" t="str">
        <f>IF($B318="","",IF(E$3=0,"n.b.",INDEX(SRC_ZPMW03!$A$1:$ZZ$501,$A318,E$3)))</f>
        <v/>
      </c>
      <c r="F318" t="str">
        <f>IF($B318="","",IF(F$3=0,"n.b.",INDEX(SRC_ZPMW03!$A$1:$ZZ$501,$A318,F$3)))</f>
        <v/>
      </c>
      <c r="G318" t="str">
        <f>IF($B318="","",IF(G$3=0,"n.b.",INDEX(SRC_ZPMW03!$A$1:$ZZ$501,$A318,G$3)))</f>
        <v/>
      </c>
      <c r="H318" t="str">
        <f>IF($B318="","",IF(H$3=0,"n.b.",INDEX(SRC_ZPMW03!$A$1:$ZZ$501,$A318,H$3)))</f>
        <v/>
      </c>
      <c r="I318" t="str">
        <f>IF($B318="","",IF(I$3=0,"n.b.",INDEX(SRC_ZPMW03!$A$1:$ZZ$501,$A318,I$3)))</f>
        <v/>
      </c>
      <c r="J318" t="str">
        <f>IF($B318="","",IF(J$3=0,"n.b.",INDEX(SRC_ZPMW03!$A$1:$ZZ$501,$A318,J$3)))</f>
        <v/>
      </c>
      <c r="K318" t="str">
        <f>IF($B318="","",IF(K$3=0,"n.b.",INDEX(SRC_ZPMW03!$A$1:$ZZ$501,$A318,K$3)))</f>
        <v/>
      </c>
      <c r="L318" s="124" t="str">
        <f>IF($B318="","",IF(L$3=0,"n.b.",INDEX(SRC_ZPMW03!$A$1:$ZZ$501,$A318,L$3)))</f>
        <v/>
      </c>
      <c r="M318" s="124" t="str">
        <f>IF($B318="","",IF(M$3=0,"n.b.",INDEX(SRC_ZPMW03!$A$1:$ZZ$501,$A318,M$3)))</f>
        <v/>
      </c>
      <c r="N318" s="124" t="str">
        <f>IF($B318="","",IF(N$3=0,"n.b.",INDEX(SRC_ZPMW03!$A$1:$ZZ$501,$A318,N$3)))</f>
        <v/>
      </c>
      <c r="O318" s="124" t="str">
        <f>IF($B318="","",IF(O$3=0,"n.b.",INDEX(SRC_ZPMW03!$A$1:$ZZ$501,$A318,O$3)))</f>
        <v/>
      </c>
      <c r="P318" s="124" t="str">
        <f>IF($B318="","",IF(P$3=0,"n.b.",INDEX(SRC_ZPMW03!$A$1:$ZZ$501,$A318,P$3)))</f>
        <v/>
      </c>
      <c r="Q318" s="124" t="str">
        <f>IF($B318="","",IF(Q$3=0,"n.b.",INDEX(SRC_ZPMW03!$A$1:$ZZ$501,$A318,Q$3)))</f>
        <v/>
      </c>
      <c r="R318" s="124" t="str">
        <f>IF($B318="","",IF(R$3=0,"n.b.",INDEX(SRC_ZPMW03!$A$1:$ZZ$501,$A318,R$3)))</f>
        <v/>
      </c>
      <c r="S318" s="124" t="str">
        <f>IF($B318="","",IF(S$3=0,"n.b.",INDEX(SRC_ZPMW03!$A$1:$ZZ$501,$A318,S$3)))</f>
        <v/>
      </c>
      <c r="T318" s="124" t="str">
        <f>IF($B318="","",IF(T$3=0,"n.b.",INDEX(SRC_ZPMW03!$A$1:$ZZ$501,$A318,T$3)))</f>
        <v/>
      </c>
      <c r="U318" s="124" t="str">
        <f>IF($B318="","",IF(U$3=0,"n.b.",INDEX(SRC_ZPMW03!$A$1:$ZZ$501,$A318,U$3)))</f>
        <v/>
      </c>
      <c r="V318" s="124" t="str">
        <f>IF($B318="","",IF(V$3=0,"n.b.",INDEX(SRC_ZPMW03!$A$1:$ZZ$501,$A318,V$3)))</f>
        <v/>
      </c>
      <c r="W318" s="124" t="str">
        <f>IF($B318="","",IF(W$3=0,"n.b.",INDEX(SRC_ZPMW03!$A$1:$ZZ$501,$A318,W$3)))</f>
        <v/>
      </c>
      <c r="X318" s="124" t="str">
        <f>IF($B318="","",IF(X$3=0,"n.b.",INDEX(SRC_ZPMW03!$A$1:$ZZ$501,$A318,X$3)))</f>
        <v/>
      </c>
      <c r="Y318" s="124" t="str">
        <f>IF($B318="","",IF(Y$3=0,"n.b.",INDEX(SRC_ZPMW03!$A$1:$ZZ$501,$A318,Y$3)))</f>
        <v/>
      </c>
      <c r="Z318" s="124" t="str">
        <f>IF($B318="","",IF(Z$3=0,"n.b.",INDEX(SRC_ZPMW03!$A$1:$ZZ$501,$A318,Z$3)))</f>
        <v/>
      </c>
      <c r="AA318" s="124" t="str">
        <f>IF($B318="","",IF(AA$3=0,"n.b.",INDEX(SRC_ZPMW03!$A$1:$ZZ$501,$A318,AA$3)))</f>
        <v/>
      </c>
      <c r="AB318" s="124" t="str">
        <f>IF($B318="","",IF(AB$3=0,"n.b.",INDEX(SRC_ZPMW03!$A$1:$ZZ$501,$A318,AB$3)))</f>
        <v/>
      </c>
      <c r="AC318" s="124" t="str">
        <f>IF($B318="","",IF(AC$3=0,"n.b.",INDEX(SRC_ZPMW03!$A$1:$ZZ$501,$A318,AC$3)))</f>
        <v/>
      </c>
      <c r="AD318" s="124" t="str">
        <f>IF($B318="","",IF(AD$3=0,"n.b.",INDEX(SRC_ZPMW03!$A$1:$ZZ$501,$A318,AD$3)))</f>
        <v/>
      </c>
      <c r="AE318" s="124" t="str">
        <f>IF($B318="","",IF(AE$3=0,"n.b.",INDEX(SRC_ZPMW03!$A$1:$ZZ$501,$A318,AE$3)))</f>
        <v/>
      </c>
      <c r="AF318" s="124" t="str">
        <f>IF($B318="","",IF(AF$3=0,"n.b.",INDEX(SRC_ZPMW03!$A$1:$ZZ$501,$A318,AF$3)))</f>
        <v/>
      </c>
      <c r="AG318" s="124" t="str">
        <f>IF($B318="","",IF(AG$3=0,"n.b.",INDEX(SRC_ZPMW03!$A$1:$ZZ$501,$A318,AG$3)))</f>
        <v/>
      </c>
      <c r="AH318" s="124" t="str">
        <f>IF($B318="","",IF(AH$3=0,"n.b.",INDEX(SRC_ZPMW03!$A$1:$ZZ$501,$A318,AH$3)))</f>
        <v/>
      </c>
      <c r="AI318" s="124" t="str">
        <f>IF($B318="","",IF(AI$3=0,"n.b.",INDEX(SRC_ZPMW03!$A$1:$ZZ$501,$A318,AI$3)))</f>
        <v/>
      </c>
      <c r="AJ318" s="124" t="str">
        <f>IF($B318="","",IF(AJ$3=0,"n.b.",INDEX(SRC_ZPMW03!$A$1:$ZZ$501,$A318,AJ$3)))</f>
        <v/>
      </c>
      <c r="AK318" s="124" t="str">
        <f>IF($B318="","",IF(AK$3=0,"n.b.",INDEX(SRC_ZPMW03!$A$1:$ZZ$501,$A318,AK$3)))</f>
        <v/>
      </c>
      <c r="AL318" s="124" t="str">
        <f>IF($B318="","",IF(AL$3=0,"n.b.",INDEX(SRC_ZPMW03!$A$1:$ZZ$501,$A318,AL$3)))</f>
        <v/>
      </c>
      <c r="AM318" s="124" t="str">
        <f>IF($B318="","",IF(AM$3=0,"n.b.",INDEX(SRC_ZPMW03!$A$1:$ZZ$501,$A318,AM$3)))</f>
        <v/>
      </c>
      <c r="AN318" s="124" t="str">
        <f>IF($B318="","",IF(AN$3=0,"n.b.",INDEX(SRC_ZPMW03!$A$1:$ZZ$501,$A318,AN$3)))</f>
        <v/>
      </c>
      <c r="AO318" s="124" t="str">
        <f>IF($B318="","",IF(AO$3=0,"n.b.",INDEX(SRC_ZPMW03!$A$1:$ZZ$501,$A318,AO$3)))</f>
        <v/>
      </c>
      <c r="AP318" s="124" t="str">
        <f>IF($B318="","",IF(AP$3=0,"n.b.",INDEX(SRC_ZPMW03!$A$1:$ZZ$501,$A318,AP$3)))</f>
        <v/>
      </c>
      <c r="AQ318" s="124" t="str">
        <f>IF($B318="","",IF(AQ$3=0,"n.b.",INDEX(SRC_ZPMW03!$A$1:$ZZ$501,$A318,AQ$3)))</f>
        <v/>
      </c>
      <c r="AR318" s="124" t="str">
        <f>IF($B318="","",IF(AR$3=0,"n.b.",INDEX(SRC_ZPMW03!$A$1:$ZZ$501,$A318,AR$3)))</f>
        <v/>
      </c>
      <c r="AS318" s="124" t="str">
        <f>IF($B318="","",IF(AS$3=0,"n.b.",INDEX(SRC_ZPMW03!$A$1:$ZZ$501,$A318,AS$3)))</f>
        <v/>
      </c>
      <c r="AT318" s="124" t="str">
        <f>IF($B318="","",IF(AT$3=0,"n.b.",INDEX(SRC_ZPMW03!$A$1:$ZZ$501,$A318,AT$3)))</f>
        <v/>
      </c>
      <c r="AU318" s="124" t="str">
        <f>IF($B318="","",IF(AU$3=0,"n.b.",INDEX(SRC_ZPMW03!$A$1:$ZZ$501,$A318,AU$3)))</f>
        <v/>
      </c>
      <c r="AV318" s="124" t="str">
        <f>IF($B318="","",IF(AV$3=0,"n.b.",INDEX(SRC_ZPMW03!$A$1:$ZZ$501,$A318,AV$3)))</f>
        <v/>
      </c>
      <c r="AW318" s="124" t="str">
        <f>IF($B318="","",IF(AW$3=0,"n.b.",INDEX(SRC_ZPMW03!$A$1:$ZZ$501,$A318,AW$3)))</f>
        <v/>
      </c>
      <c r="AX318" s="124" t="str">
        <f>IF($B318="","",IF(AX$3=0,"n.b.",INDEX(SRC_ZPMW03!$A$1:$ZZ$501,$A318,AX$3)))</f>
        <v/>
      </c>
      <c r="AY318" s="124" t="str">
        <f>IF($B318="","",IF(AY$3=0,"n.b.",INDEX(SRC_ZPMW03!$A$1:$ZZ$501,$A318,AY$3)))</f>
        <v/>
      </c>
      <c r="AZ318" s="124" t="str">
        <f>IF($B318="","",IF(AZ$3=0,"n.b.",INDEX(SRC_ZPMW03!$A$1:$ZZ$501,$A318,AZ$3)))</f>
        <v/>
      </c>
      <c r="BA318" s="124" t="str">
        <f>IF($B318="","",IF(BA$3=0,"n.b.",INDEX(SRC_ZPMW03!$A$1:$ZZ$501,$A318,BA$3)))</f>
        <v/>
      </c>
      <c r="BB318" s="124" t="str">
        <f>IF($B318="","",IF(BB$3=0,"n.b.",INDEX(SRC_ZPMW03!$A$1:$ZZ$501,$A318,BB$3)))</f>
        <v/>
      </c>
      <c r="BC318" s="124" t="str">
        <f>IF($B318="","",IF(BC$3=0,"n.b.",INDEX(SRC_ZPMW03!$A$1:$ZZ$501,$A318,BC$3)))</f>
        <v/>
      </c>
      <c r="BD318" s="124" t="str">
        <f>IF($B318="","",IF(BD$3=0,"n.b.",INDEX(SRC_ZPMW03!$A$1:$ZZ$501,$A318,BD$3)))</f>
        <v/>
      </c>
      <c r="BE318" s="124" t="str">
        <f>IF($B318="","",IF(BE$3=0,"n.b.",INDEX(SRC_ZPMW03!$A$1:$ZZ$501,$A318,BE$3)))</f>
        <v/>
      </c>
      <c r="BF318" s="124" t="str">
        <f>IF($B318="","",IF(BF$3=0,"n.b.",INDEX(SRC_ZPMW03!$A$1:$ZZ$501,$A318,BF$3)))</f>
        <v/>
      </c>
      <c r="BG318" t="str">
        <f>IF($B318="","",IF(BG$3=0,"n.b.",INDEX(SRC_ZPMW03!$A$1:$ZZ$501,$A318,BG$3)))</f>
        <v/>
      </c>
      <c r="BH318" t="str">
        <f>IF($B318="","",IF(BH$3=0,"n.b.",INDEX(SRC_ZPMW03!$A$1:$ZZ$501,$A318,BH$3)))</f>
        <v/>
      </c>
      <c r="BI318" t="str">
        <f>IF($B318="","",IF(BI$3=0,"n.b.",INDEX(SRC_ZPMW03!$A$1:$ZZ$501,$A318,BI$3)))</f>
        <v/>
      </c>
      <c r="BJ318" t="str">
        <f>IF($B318="","",IF(BJ$3=0,"n.b.",INDEX(SRC_ZPMW03!$A$1:$ZZ$501,$A318,BJ$3)))</f>
        <v/>
      </c>
      <c r="BK318" s="124" t="str">
        <f>IF($B318="","",IFERROR(-O318,"n.b."))</f>
        <v/>
      </c>
      <c r="BL318" s="124" t="str">
        <f>IF($B318="","",IFERROR(-Q318,"n.b."))</f>
        <v/>
      </c>
      <c r="BM318" s="124" t="str">
        <f>IF($B318="","",IFERROR(-AB318,"n.b."))</f>
        <v/>
      </c>
      <c r="BN318" s="124" t="str">
        <f>IF($B318="","",IFERROR(-AD318,"n.b."))</f>
        <v/>
      </c>
      <c r="BO318" s="124" t="str">
        <f>IF($B318="","",IFERROR(BK318+BM318,"n.b."))</f>
        <v/>
      </c>
      <c r="BP318" s="124" t="str">
        <f>IF($B318="","",IFERROR(BL318+BN318,"n.b."))</f>
        <v/>
      </c>
      <c r="BQ318" s="124" t="str">
        <f>IF($B318="","",IFERROR(-AM318,"n.b."))</f>
        <v/>
      </c>
      <c r="BR318" s="124" t="str">
        <f>IF($B318="","",IFERROR(-AO318,"n.b."))</f>
        <v/>
      </c>
      <c r="BS318" s="124" t="str">
        <f>IF($B318="","",IFERROR(-Z318,"n.b."))</f>
        <v/>
      </c>
      <c r="BT318" s="124" t="str">
        <f>IF($B318="","",IFERROR(-AA318,"n.b."))</f>
        <v/>
      </c>
      <c r="BU318" s="124" t="str">
        <f>IF($B318="","",IFERROR(-AE318,"n.b."))</f>
        <v/>
      </c>
      <c r="BV318" s="124" t="str">
        <f>IF($B318="","",IFERROR(-AF318,"n.b."))</f>
        <v/>
      </c>
      <c r="BW318" s="124" t="str">
        <f>IF($B318="","",IFERROR(-AG318,"n.b."))</f>
        <v/>
      </c>
      <c r="BX318" s="124" t="str">
        <f>IF($B318="","",IFERROR(-AH318,"n.b."))</f>
        <v/>
      </c>
      <c r="BY318" s="124" t="str">
        <f>IF($B318="","",IFERROR(-AI318,"n.b."))</f>
        <v/>
      </c>
      <c r="BZ318" s="124" t="str">
        <f>IF($B318="","",IFERROR(-AJ318,"n.b."))</f>
        <v/>
      </c>
      <c r="CA318" s="124" t="str">
        <f>IF($B318="","",IFERROR(-AK318,"n.b."))</f>
        <v/>
      </c>
      <c r="CB318" s="124" t="str">
        <f>IF($B318="","",IFERROR(-AL318,"n.b."))</f>
        <v/>
      </c>
      <c r="CC318" s="124" t="str">
        <f>IF($B318="","",IFERROR(-AP318,"n.b."))</f>
        <v/>
      </c>
      <c r="CD318" s="124" t="str">
        <f>IF($B318="","",IFERROR(-AQ318,"n.b."))</f>
        <v/>
      </c>
      <c r="CE318" s="124" t="str">
        <f>IF($B318="","",IFERROR(-AR318,"n.b."))</f>
        <v/>
      </c>
      <c r="CF318" s="124" t="str">
        <f>IF($B318="","",IFERROR(-AS318,"n.b."))</f>
        <v/>
      </c>
      <c r="CG318" s="124" t="str">
        <f>IF($B318="","",IFERROR(-AT318,"n.b."))</f>
        <v/>
      </c>
      <c r="CH318" s="124" t="str">
        <f>IF($B318="","",IFERROR(-AU318,"n.b."))</f>
        <v/>
      </c>
      <c r="CI318" s="124" t="str">
        <f>IF($B318="","",IFERROR(-AV318,"n.b."))</f>
        <v/>
      </c>
      <c r="CJ318" s="124" t="str">
        <f>IF($B318="","",IFERROR(-AW318,"n.b."))</f>
        <v/>
      </c>
      <c r="CK318" s="124" t="str">
        <f>IF($B318="","",IFERROR(-AX318,"n.b."))</f>
        <v/>
      </c>
      <c r="CL318" s="124" t="str">
        <f>IF($B318="","",IFERROR(-AY318,"n.b."))</f>
        <v/>
      </c>
      <c r="CM318" s="124" t="str">
        <f>IF($B318="","",IFERROR(-AZ318,"n.b."))</f>
        <v/>
      </c>
      <c r="CN318" s="124" t="str">
        <f>IF($B318="","",IFERROR(-BA318,"n.b."))</f>
        <v/>
      </c>
      <c r="CO318" s="124" t="str">
        <f>IF($B318="","",IFERROR(-BB318,"n.b."))</f>
        <v/>
      </c>
      <c r="CP318" s="124" t="str">
        <f>IF($B318="","",IFERROR(-BC318,"n.b."))</f>
        <v/>
      </c>
      <c r="CQ318" s="124" t="str">
        <f>IF($B318="","",IFERROR(-BD318,"n.b."))</f>
        <v/>
      </c>
      <c r="CR318" s="124" t="str">
        <f>IF($B318="","",IFERROR(-BE318,"n.b."))</f>
        <v/>
      </c>
      <c r="CS318" s="124" t="str">
        <f>IF($B318="","",IFERROR(IF(OR(ABS(T318+V318+X318+Z318-AB318)&gt;P_Tol,ABS(U318+W318+Y318+AA318-AD318)&gt;P_Tol,ABS(AE318+AG318+AI318+AK318-AM318)&gt;P_Tol,ABS(AF318+AH318+AJ318+AL318-AO318)&gt;P_Tol),1,0),1))</f>
        <v/>
      </c>
      <c r="CT318" s="124" t="str">
        <f>IF($B318="","",IFERROR(IF(OR(ABS(AB318+AC318-AD318)&gt;P_Tol,ABS(AM318+AN318-AO318)&gt;P_Tol,ABS(O318+P318-Q318)&gt;P_Tol),1,0),1))</f>
        <v/>
      </c>
      <c r="CU318" s="124" t="str">
        <f>IF($B318="","",IFERROR(IF(ABS(R318-(AB318+AM318+AP318+AR318+AT318+AV318+AX318+AZ318+BB318+BD318))&gt;P_Tol,1,0),1))</f>
        <v/>
      </c>
      <c r="CV318" s="124" t="str">
        <f>IF($B318="","",IFERROR(IF(ABS(M318-(N318+O318+R318))&gt;P_Tol,1,0),1))</f>
        <v/>
      </c>
      <c r="CW318" s="124" t="str">
        <f>IF($B318="","",IF(COUNTIF(Mapping!$A$5:$A$104,B318)&gt;0,1,0))</f>
        <v/>
      </c>
      <c r="CX318" s="124" t="str">
        <f>IF($B318="","",COUNTIF($B$6:$B$505,B318))</f>
        <v/>
      </c>
      <c r="CY318" s="124" t="str">
        <f>IF($B318="","",COUNTIF(STG_Woningetalage!$B$6:$B$505,B318))</f>
        <v/>
      </c>
      <c r="CZ318" s="124" t="str">
        <f>IF($B318="","",IF(CW318=0,COUNTIF($CW$6:CW318,0),""))</f>
        <v/>
      </c>
    </row>
    <row r="319">
      <c r="A319" s="15" t="n">
        <v>315</v>
      </c>
      <c r="B319" t="str">
        <f>IF(B$3=0,"",IF(INDEX(SRC_ZPMW03!$A$1:$ZZ$501,$A319,B$3)&amp;""="","",INDEX(SRC_ZPMW03!$A$1:$ZZ$501,$A319,B$3)&amp;""))</f>
        <v/>
      </c>
      <c r="C319" t="str">
        <f>IF($B319="","",IF(C$3=0,"n.b.",INDEX(SRC_ZPMW03!$A$1:$ZZ$501,$A319,C$3)))</f>
        <v/>
      </c>
      <c r="D319" t="str">
        <f>IF($B319="","",IF(D$3=0,"n.b.",INDEX(SRC_ZPMW03!$A$1:$ZZ$501,$A319,D$3)))</f>
        <v/>
      </c>
      <c r="E319" t="str">
        <f>IF($B319="","",IF(E$3=0,"n.b.",INDEX(SRC_ZPMW03!$A$1:$ZZ$501,$A319,E$3)))</f>
        <v/>
      </c>
      <c r="F319" t="str">
        <f>IF($B319="","",IF(F$3=0,"n.b.",INDEX(SRC_ZPMW03!$A$1:$ZZ$501,$A319,F$3)))</f>
        <v/>
      </c>
      <c r="G319" t="str">
        <f>IF($B319="","",IF(G$3=0,"n.b.",INDEX(SRC_ZPMW03!$A$1:$ZZ$501,$A319,G$3)))</f>
        <v/>
      </c>
      <c r="H319" t="str">
        <f>IF($B319="","",IF(H$3=0,"n.b.",INDEX(SRC_ZPMW03!$A$1:$ZZ$501,$A319,H$3)))</f>
        <v/>
      </c>
      <c r="I319" t="str">
        <f>IF($B319="","",IF(I$3=0,"n.b.",INDEX(SRC_ZPMW03!$A$1:$ZZ$501,$A319,I$3)))</f>
        <v/>
      </c>
      <c r="J319" t="str">
        <f>IF($B319="","",IF(J$3=0,"n.b.",INDEX(SRC_ZPMW03!$A$1:$ZZ$501,$A319,J$3)))</f>
        <v/>
      </c>
      <c r="K319" t="str">
        <f>IF($B319="","",IF(K$3=0,"n.b.",INDEX(SRC_ZPMW03!$A$1:$ZZ$501,$A319,K$3)))</f>
        <v/>
      </c>
      <c r="L319" s="124" t="str">
        <f>IF($B319="","",IF(L$3=0,"n.b.",INDEX(SRC_ZPMW03!$A$1:$ZZ$501,$A319,L$3)))</f>
        <v/>
      </c>
      <c r="M319" s="124" t="str">
        <f>IF($B319="","",IF(M$3=0,"n.b.",INDEX(SRC_ZPMW03!$A$1:$ZZ$501,$A319,M$3)))</f>
        <v/>
      </c>
      <c r="N319" s="124" t="str">
        <f>IF($B319="","",IF(N$3=0,"n.b.",INDEX(SRC_ZPMW03!$A$1:$ZZ$501,$A319,N$3)))</f>
        <v/>
      </c>
      <c r="O319" s="124" t="str">
        <f>IF($B319="","",IF(O$3=0,"n.b.",INDEX(SRC_ZPMW03!$A$1:$ZZ$501,$A319,O$3)))</f>
        <v/>
      </c>
      <c r="P319" s="124" t="str">
        <f>IF($B319="","",IF(P$3=0,"n.b.",INDEX(SRC_ZPMW03!$A$1:$ZZ$501,$A319,P$3)))</f>
        <v/>
      </c>
      <c r="Q319" s="124" t="str">
        <f>IF($B319="","",IF(Q$3=0,"n.b.",INDEX(SRC_ZPMW03!$A$1:$ZZ$501,$A319,Q$3)))</f>
        <v/>
      </c>
      <c r="R319" s="124" t="str">
        <f>IF($B319="","",IF(R$3=0,"n.b.",INDEX(SRC_ZPMW03!$A$1:$ZZ$501,$A319,R$3)))</f>
        <v/>
      </c>
      <c r="S319" s="124" t="str">
        <f>IF($B319="","",IF(S$3=0,"n.b.",INDEX(SRC_ZPMW03!$A$1:$ZZ$501,$A319,S$3)))</f>
        <v/>
      </c>
      <c r="T319" s="124" t="str">
        <f>IF($B319="","",IF(T$3=0,"n.b.",INDEX(SRC_ZPMW03!$A$1:$ZZ$501,$A319,T$3)))</f>
        <v/>
      </c>
      <c r="U319" s="124" t="str">
        <f>IF($B319="","",IF(U$3=0,"n.b.",INDEX(SRC_ZPMW03!$A$1:$ZZ$501,$A319,U$3)))</f>
        <v/>
      </c>
      <c r="V319" s="124" t="str">
        <f>IF($B319="","",IF(V$3=0,"n.b.",INDEX(SRC_ZPMW03!$A$1:$ZZ$501,$A319,V$3)))</f>
        <v/>
      </c>
      <c r="W319" s="124" t="str">
        <f>IF($B319="","",IF(W$3=0,"n.b.",INDEX(SRC_ZPMW03!$A$1:$ZZ$501,$A319,W$3)))</f>
        <v/>
      </c>
      <c r="X319" s="124" t="str">
        <f>IF($B319="","",IF(X$3=0,"n.b.",INDEX(SRC_ZPMW03!$A$1:$ZZ$501,$A319,X$3)))</f>
        <v/>
      </c>
      <c r="Y319" s="124" t="str">
        <f>IF($B319="","",IF(Y$3=0,"n.b.",INDEX(SRC_ZPMW03!$A$1:$ZZ$501,$A319,Y$3)))</f>
        <v/>
      </c>
      <c r="Z319" s="124" t="str">
        <f>IF($B319="","",IF(Z$3=0,"n.b.",INDEX(SRC_ZPMW03!$A$1:$ZZ$501,$A319,Z$3)))</f>
        <v/>
      </c>
      <c r="AA319" s="124" t="str">
        <f>IF($B319="","",IF(AA$3=0,"n.b.",INDEX(SRC_ZPMW03!$A$1:$ZZ$501,$A319,AA$3)))</f>
        <v/>
      </c>
      <c r="AB319" s="124" t="str">
        <f>IF($B319="","",IF(AB$3=0,"n.b.",INDEX(SRC_ZPMW03!$A$1:$ZZ$501,$A319,AB$3)))</f>
        <v/>
      </c>
      <c r="AC319" s="124" t="str">
        <f>IF($B319="","",IF(AC$3=0,"n.b.",INDEX(SRC_ZPMW03!$A$1:$ZZ$501,$A319,AC$3)))</f>
        <v/>
      </c>
      <c r="AD319" s="124" t="str">
        <f>IF($B319="","",IF(AD$3=0,"n.b.",INDEX(SRC_ZPMW03!$A$1:$ZZ$501,$A319,AD$3)))</f>
        <v/>
      </c>
      <c r="AE319" s="124" t="str">
        <f>IF($B319="","",IF(AE$3=0,"n.b.",INDEX(SRC_ZPMW03!$A$1:$ZZ$501,$A319,AE$3)))</f>
        <v/>
      </c>
      <c r="AF319" s="124" t="str">
        <f>IF($B319="","",IF(AF$3=0,"n.b.",INDEX(SRC_ZPMW03!$A$1:$ZZ$501,$A319,AF$3)))</f>
        <v/>
      </c>
      <c r="AG319" s="124" t="str">
        <f>IF($B319="","",IF(AG$3=0,"n.b.",INDEX(SRC_ZPMW03!$A$1:$ZZ$501,$A319,AG$3)))</f>
        <v/>
      </c>
      <c r="AH319" s="124" t="str">
        <f>IF($B319="","",IF(AH$3=0,"n.b.",INDEX(SRC_ZPMW03!$A$1:$ZZ$501,$A319,AH$3)))</f>
        <v/>
      </c>
      <c r="AI319" s="124" t="str">
        <f>IF($B319="","",IF(AI$3=0,"n.b.",INDEX(SRC_ZPMW03!$A$1:$ZZ$501,$A319,AI$3)))</f>
        <v/>
      </c>
      <c r="AJ319" s="124" t="str">
        <f>IF($B319="","",IF(AJ$3=0,"n.b.",INDEX(SRC_ZPMW03!$A$1:$ZZ$501,$A319,AJ$3)))</f>
        <v/>
      </c>
      <c r="AK319" s="124" t="str">
        <f>IF($B319="","",IF(AK$3=0,"n.b.",INDEX(SRC_ZPMW03!$A$1:$ZZ$501,$A319,AK$3)))</f>
        <v/>
      </c>
      <c r="AL319" s="124" t="str">
        <f>IF($B319="","",IF(AL$3=0,"n.b.",INDEX(SRC_ZPMW03!$A$1:$ZZ$501,$A319,AL$3)))</f>
        <v/>
      </c>
      <c r="AM319" s="124" t="str">
        <f>IF($B319="","",IF(AM$3=0,"n.b.",INDEX(SRC_ZPMW03!$A$1:$ZZ$501,$A319,AM$3)))</f>
        <v/>
      </c>
      <c r="AN319" s="124" t="str">
        <f>IF($B319="","",IF(AN$3=0,"n.b.",INDEX(SRC_ZPMW03!$A$1:$ZZ$501,$A319,AN$3)))</f>
        <v/>
      </c>
      <c r="AO319" s="124" t="str">
        <f>IF($B319="","",IF(AO$3=0,"n.b.",INDEX(SRC_ZPMW03!$A$1:$ZZ$501,$A319,AO$3)))</f>
        <v/>
      </c>
      <c r="AP319" s="124" t="str">
        <f>IF($B319="","",IF(AP$3=0,"n.b.",INDEX(SRC_ZPMW03!$A$1:$ZZ$501,$A319,AP$3)))</f>
        <v/>
      </c>
      <c r="AQ319" s="124" t="str">
        <f>IF($B319="","",IF(AQ$3=0,"n.b.",INDEX(SRC_ZPMW03!$A$1:$ZZ$501,$A319,AQ$3)))</f>
        <v/>
      </c>
      <c r="AR319" s="124" t="str">
        <f>IF($B319="","",IF(AR$3=0,"n.b.",INDEX(SRC_ZPMW03!$A$1:$ZZ$501,$A319,AR$3)))</f>
        <v/>
      </c>
      <c r="AS319" s="124" t="str">
        <f>IF($B319="","",IF(AS$3=0,"n.b.",INDEX(SRC_ZPMW03!$A$1:$ZZ$501,$A319,AS$3)))</f>
        <v/>
      </c>
      <c r="AT319" s="124" t="str">
        <f>IF($B319="","",IF(AT$3=0,"n.b.",INDEX(SRC_ZPMW03!$A$1:$ZZ$501,$A319,AT$3)))</f>
        <v/>
      </c>
      <c r="AU319" s="124" t="str">
        <f>IF($B319="","",IF(AU$3=0,"n.b.",INDEX(SRC_ZPMW03!$A$1:$ZZ$501,$A319,AU$3)))</f>
        <v/>
      </c>
      <c r="AV319" s="124" t="str">
        <f>IF($B319="","",IF(AV$3=0,"n.b.",INDEX(SRC_ZPMW03!$A$1:$ZZ$501,$A319,AV$3)))</f>
        <v/>
      </c>
      <c r="AW319" s="124" t="str">
        <f>IF($B319="","",IF(AW$3=0,"n.b.",INDEX(SRC_ZPMW03!$A$1:$ZZ$501,$A319,AW$3)))</f>
        <v/>
      </c>
      <c r="AX319" s="124" t="str">
        <f>IF($B319="","",IF(AX$3=0,"n.b.",INDEX(SRC_ZPMW03!$A$1:$ZZ$501,$A319,AX$3)))</f>
        <v/>
      </c>
      <c r="AY319" s="124" t="str">
        <f>IF($B319="","",IF(AY$3=0,"n.b.",INDEX(SRC_ZPMW03!$A$1:$ZZ$501,$A319,AY$3)))</f>
        <v/>
      </c>
      <c r="AZ319" s="124" t="str">
        <f>IF($B319="","",IF(AZ$3=0,"n.b.",INDEX(SRC_ZPMW03!$A$1:$ZZ$501,$A319,AZ$3)))</f>
        <v/>
      </c>
      <c r="BA319" s="124" t="str">
        <f>IF($B319="","",IF(BA$3=0,"n.b.",INDEX(SRC_ZPMW03!$A$1:$ZZ$501,$A319,BA$3)))</f>
        <v/>
      </c>
      <c r="BB319" s="124" t="str">
        <f>IF($B319="","",IF(BB$3=0,"n.b.",INDEX(SRC_ZPMW03!$A$1:$ZZ$501,$A319,BB$3)))</f>
        <v/>
      </c>
      <c r="BC319" s="124" t="str">
        <f>IF($B319="","",IF(BC$3=0,"n.b.",INDEX(SRC_ZPMW03!$A$1:$ZZ$501,$A319,BC$3)))</f>
        <v/>
      </c>
      <c r="BD319" s="124" t="str">
        <f>IF($B319="","",IF(BD$3=0,"n.b.",INDEX(SRC_ZPMW03!$A$1:$ZZ$501,$A319,BD$3)))</f>
        <v/>
      </c>
      <c r="BE319" s="124" t="str">
        <f>IF($B319="","",IF(BE$3=0,"n.b.",INDEX(SRC_ZPMW03!$A$1:$ZZ$501,$A319,BE$3)))</f>
        <v/>
      </c>
      <c r="BF319" s="124" t="str">
        <f>IF($B319="","",IF(BF$3=0,"n.b.",INDEX(SRC_ZPMW03!$A$1:$ZZ$501,$A319,BF$3)))</f>
        <v/>
      </c>
      <c r="BG319" t="str">
        <f>IF($B319="","",IF(BG$3=0,"n.b.",INDEX(SRC_ZPMW03!$A$1:$ZZ$501,$A319,BG$3)))</f>
        <v/>
      </c>
      <c r="BH319" t="str">
        <f>IF($B319="","",IF(BH$3=0,"n.b.",INDEX(SRC_ZPMW03!$A$1:$ZZ$501,$A319,BH$3)))</f>
        <v/>
      </c>
      <c r="BI319" t="str">
        <f>IF($B319="","",IF(BI$3=0,"n.b.",INDEX(SRC_ZPMW03!$A$1:$ZZ$501,$A319,BI$3)))</f>
        <v/>
      </c>
      <c r="BJ319" t="str">
        <f>IF($B319="","",IF(BJ$3=0,"n.b.",INDEX(SRC_ZPMW03!$A$1:$ZZ$501,$A319,BJ$3)))</f>
        <v/>
      </c>
      <c r="BK319" s="124" t="str">
        <f>IF($B319="","",IFERROR(-O319,"n.b."))</f>
        <v/>
      </c>
      <c r="BL319" s="124" t="str">
        <f>IF($B319="","",IFERROR(-Q319,"n.b."))</f>
        <v/>
      </c>
      <c r="BM319" s="124" t="str">
        <f>IF($B319="","",IFERROR(-AB319,"n.b."))</f>
        <v/>
      </c>
      <c r="BN319" s="124" t="str">
        <f>IF($B319="","",IFERROR(-AD319,"n.b."))</f>
        <v/>
      </c>
      <c r="BO319" s="124" t="str">
        <f>IF($B319="","",IFERROR(BK319+BM319,"n.b."))</f>
        <v/>
      </c>
      <c r="BP319" s="124" t="str">
        <f>IF($B319="","",IFERROR(BL319+BN319,"n.b."))</f>
        <v/>
      </c>
      <c r="BQ319" s="124" t="str">
        <f>IF($B319="","",IFERROR(-AM319,"n.b."))</f>
        <v/>
      </c>
      <c r="BR319" s="124" t="str">
        <f>IF($B319="","",IFERROR(-AO319,"n.b."))</f>
        <v/>
      </c>
      <c r="BS319" s="124" t="str">
        <f>IF($B319="","",IFERROR(-Z319,"n.b."))</f>
        <v/>
      </c>
      <c r="BT319" s="124" t="str">
        <f>IF($B319="","",IFERROR(-AA319,"n.b."))</f>
        <v/>
      </c>
      <c r="BU319" s="124" t="str">
        <f>IF($B319="","",IFERROR(-AE319,"n.b."))</f>
        <v/>
      </c>
      <c r="BV319" s="124" t="str">
        <f>IF($B319="","",IFERROR(-AF319,"n.b."))</f>
        <v/>
      </c>
      <c r="BW319" s="124" t="str">
        <f>IF($B319="","",IFERROR(-AG319,"n.b."))</f>
        <v/>
      </c>
      <c r="BX319" s="124" t="str">
        <f>IF($B319="","",IFERROR(-AH319,"n.b."))</f>
        <v/>
      </c>
      <c r="BY319" s="124" t="str">
        <f>IF($B319="","",IFERROR(-AI319,"n.b."))</f>
        <v/>
      </c>
      <c r="BZ319" s="124" t="str">
        <f>IF($B319="","",IFERROR(-AJ319,"n.b."))</f>
        <v/>
      </c>
      <c r="CA319" s="124" t="str">
        <f>IF($B319="","",IFERROR(-AK319,"n.b."))</f>
        <v/>
      </c>
      <c r="CB319" s="124" t="str">
        <f>IF($B319="","",IFERROR(-AL319,"n.b."))</f>
        <v/>
      </c>
      <c r="CC319" s="124" t="str">
        <f>IF($B319="","",IFERROR(-AP319,"n.b."))</f>
        <v/>
      </c>
      <c r="CD319" s="124" t="str">
        <f>IF($B319="","",IFERROR(-AQ319,"n.b."))</f>
        <v/>
      </c>
      <c r="CE319" s="124" t="str">
        <f>IF($B319="","",IFERROR(-AR319,"n.b."))</f>
        <v/>
      </c>
      <c r="CF319" s="124" t="str">
        <f>IF($B319="","",IFERROR(-AS319,"n.b."))</f>
        <v/>
      </c>
      <c r="CG319" s="124" t="str">
        <f>IF($B319="","",IFERROR(-AT319,"n.b."))</f>
        <v/>
      </c>
      <c r="CH319" s="124" t="str">
        <f>IF($B319="","",IFERROR(-AU319,"n.b."))</f>
        <v/>
      </c>
      <c r="CI319" s="124" t="str">
        <f>IF($B319="","",IFERROR(-AV319,"n.b."))</f>
        <v/>
      </c>
      <c r="CJ319" s="124" t="str">
        <f>IF($B319="","",IFERROR(-AW319,"n.b."))</f>
        <v/>
      </c>
      <c r="CK319" s="124" t="str">
        <f>IF($B319="","",IFERROR(-AX319,"n.b."))</f>
        <v/>
      </c>
      <c r="CL319" s="124" t="str">
        <f>IF($B319="","",IFERROR(-AY319,"n.b."))</f>
        <v/>
      </c>
      <c r="CM319" s="124" t="str">
        <f>IF($B319="","",IFERROR(-AZ319,"n.b."))</f>
        <v/>
      </c>
      <c r="CN319" s="124" t="str">
        <f>IF($B319="","",IFERROR(-BA319,"n.b."))</f>
        <v/>
      </c>
      <c r="CO319" s="124" t="str">
        <f>IF($B319="","",IFERROR(-BB319,"n.b."))</f>
        <v/>
      </c>
      <c r="CP319" s="124" t="str">
        <f>IF($B319="","",IFERROR(-BC319,"n.b."))</f>
        <v/>
      </c>
      <c r="CQ319" s="124" t="str">
        <f>IF($B319="","",IFERROR(-BD319,"n.b."))</f>
        <v/>
      </c>
      <c r="CR319" s="124" t="str">
        <f>IF($B319="","",IFERROR(-BE319,"n.b."))</f>
        <v/>
      </c>
      <c r="CS319" s="124" t="str">
        <f>IF($B319="","",IFERROR(IF(OR(ABS(T319+V319+X319+Z319-AB319)&gt;P_Tol,ABS(U319+W319+Y319+AA319-AD319)&gt;P_Tol,ABS(AE319+AG319+AI319+AK319-AM319)&gt;P_Tol,ABS(AF319+AH319+AJ319+AL319-AO319)&gt;P_Tol),1,0),1))</f>
        <v/>
      </c>
      <c r="CT319" s="124" t="str">
        <f>IF($B319="","",IFERROR(IF(OR(ABS(AB319+AC319-AD319)&gt;P_Tol,ABS(AM319+AN319-AO319)&gt;P_Tol,ABS(O319+P319-Q319)&gt;P_Tol),1,0),1))</f>
        <v/>
      </c>
      <c r="CU319" s="124" t="str">
        <f>IF($B319="","",IFERROR(IF(ABS(R319-(AB319+AM319+AP319+AR319+AT319+AV319+AX319+AZ319+BB319+BD319))&gt;P_Tol,1,0),1))</f>
        <v/>
      </c>
      <c r="CV319" s="124" t="str">
        <f>IF($B319="","",IFERROR(IF(ABS(M319-(N319+O319+R319))&gt;P_Tol,1,0),1))</f>
        <v/>
      </c>
      <c r="CW319" s="124" t="str">
        <f>IF($B319="","",IF(COUNTIF(Mapping!$A$5:$A$104,B319)&gt;0,1,0))</f>
        <v/>
      </c>
      <c r="CX319" s="124" t="str">
        <f>IF($B319="","",COUNTIF($B$6:$B$505,B319))</f>
        <v/>
      </c>
      <c r="CY319" s="124" t="str">
        <f>IF($B319="","",COUNTIF(STG_Woningetalage!$B$6:$B$505,B319))</f>
        <v/>
      </c>
      <c r="CZ319" s="124" t="str">
        <f>IF($B319="","",IF(CW319=0,COUNTIF($CW$6:CW319,0),""))</f>
        <v/>
      </c>
    </row>
    <row r="320">
      <c r="A320" s="15" t="n">
        <v>316</v>
      </c>
      <c r="B320" t="str">
        <f>IF(B$3=0,"",IF(INDEX(SRC_ZPMW03!$A$1:$ZZ$501,$A320,B$3)&amp;""="","",INDEX(SRC_ZPMW03!$A$1:$ZZ$501,$A320,B$3)&amp;""))</f>
        <v/>
      </c>
      <c r="C320" t="str">
        <f>IF($B320="","",IF(C$3=0,"n.b.",INDEX(SRC_ZPMW03!$A$1:$ZZ$501,$A320,C$3)))</f>
        <v/>
      </c>
      <c r="D320" t="str">
        <f>IF($B320="","",IF(D$3=0,"n.b.",INDEX(SRC_ZPMW03!$A$1:$ZZ$501,$A320,D$3)))</f>
        <v/>
      </c>
      <c r="E320" t="str">
        <f>IF($B320="","",IF(E$3=0,"n.b.",INDEX(SRC_ZPMW03!$A$1:$ZZ$501,$A320,E$3)))</f>
        <v/>
      </c>
      <c r="F320" t="str">
        <f>IF($B320="","",IF(F$3=0,"n.b.",INDEX(SRC_ZPMW03!$A$1:$ZZ$501,$A320,F$3)))</f>
        <v/>
      </c>
      <c r="G320" t="str">
        <f>IF($B320="","",IF(G$3=0,"n.b.",INDEX(SRC_ZPMW03!$A$1:$ZZ$501,$A320,G$3)))</f>
        <v/>
      </c>
      <c r="H320" t="str">
        <f>IF($B320="","",IF(H$3=0,"n.b.",INDEX(SRC_ZPMW03!$A$1:$ZZ$501,$A320,H$3)))</f>
        <v/>
      </c>
      <c r="I320" t="str">
        <f>IF($B320="","",IF(I$3=0,"n.b.",INDEX(SRC_ZPMW03!$A$1:$ZZ$501,$A320,I$3)))</f>
        <v/>
      </c>
      <c r="J320" t="str">
        <f>IF($B320="","",IF(J$3=0,"n.b.",INDEX(SRC_ZPMW03!$A$1:$ZZ$501,$A320,J$3)))</f>
        <v/>
      </c>
      <c r="K320" t="str">
        <f>IF($B320="","",IF(K$3=0,"n.b.",INDEX(SRC_ZPMW03!$A$1:$ZZ$501,$A320,K$3)))</f>
        <v/>
      </c>
      <c r="L320" s="124" t="str">
        <f>IF($B320="","",IF(L$3=0,"n.b.",INDEX(SRC_ZPMW03!$A$1:$ZZ$501,$A320,L$3)))</f>
        <v/>
      </c>
      <c r="M320" s="124" t="str">
        <f>IF($B320="","",IF(M$3=0,"n.b.",INDEX(SRC_ZPMW03!$A$1:$ZZ$501,$A320,M$3)))</f>
        <v/>
      </c>
      <c r="N320" s="124" t="str">
        <f>IF($B320="","",IF(N$3=0,"n.b.",INDEX(SRC_ZPMW03!$A$1:$ZZ$501,$A320,N$3)))</f>
        <v/>
      </c>
      <c r="O320" s="124" t="str">
        <f>IF($B320="","",IF(O$3=0,"n.b.",INDEX(SRC_ZPMW03!$A$1:$ZZ$501,$A320,O$3)))</f>
        <v/>
      </c>
      <c r="P320" s="124" t="str">
        <f>IF($B320="","",IF(P$3=0,"n.b.",INDEX(SRC_ZPMW03!$A$1:$ZZ$501,$A320,P$3)))</f>
        <v/>
      </c>
      <c r="Q320" s="124" t="str">
        <f>IF($B320="","",IF(Q$3=0,"n.b.",INDEX(SRC_ZPMW03!$A$1:$ZZ$501,$A320,Q$3)))</f>
        <v/>
      </c>
      <c r="R320" s="124" t="str">
        <f>IF($B320="","",IF(R$3=0,"n.b.",INDEX(SRC_ZPMW03!$A$1:$ZZ$501,$A320,R$3)))</f>
        <v/>
      </c>
      <c r="S320" s="124" t="str">
        <f>IF($B320="","",IF(S$3=0,"n.b.",INDEX(SRC_ZPMW03!$A$1:$ZZ$501,$A320,S$3)))</f>
        <v/>
      </c>
      <c r="T320" s="124" t="str">
        <f>IF($B320="","",IF(T$3=0,"n.b.",INDEX(SRC_ZPMW03!$A$1:$ZZ$501,$A320,T$3)))</f>
        <v/>
      </c>
      <c r="U320" s="124" t="str">
        <f>IF($B320="","",IF(U$3=0,"n.b.",INDEX(SRC_ZPMW03!$A$1:$ZZ$501,$A320,U$3)))</f>
        <v/>
      </c>
      <c r="V320" s="124" t="str">
        <f>IF($B320="","",IF(V$3=0,"n.b.",INDEX(SRC_ZPMW03!$A$1:$ZZ$501,$A320,V$3)))</f>
        <v/>
      </c>
      <c r="W320" s="124" t="str">
        <f>IF($B320="","",IF(W$3=0,"n.b.",INDEX(SRC_ZPMW03!$A$1:$ZZ$501,$A320,W$3)))</f>
        <v/>
      </c>
      <c r="X320" s="124" t="str">
        <f>IF($B320="","",IF(X$3=0,"n.b.",INDEX(SRC_ZPMW03!$A$1:$ZZ$501,$A320,X$3)))</f>
        <v/>
      </c>
      <c r="Y320" s="124" t="str">
        <f>IF($B320="","",IF(Y$3=0,"n.b.",INDEX(SRC_ZPMW03!$A$1:$ZZ$501,$A320,Y$3)))</f>
        <v/>
      </c>
      <c r="Z320" s="124" t="str">
        <f>IF($B320="","",IF(Z$3=0,"n.b.",INDEX(SRC_ZPMW03!$A$1:$ZZ$501,$A320,Z$3)))</f>
        <v/>
      </c>
      <c r="AA320" s="124" t="str">
        <f>IF($B320="","",IF(AA$3=0,"n.b.",INDEX(SRC_ZPMW03!$A$1:$ZZ$501,$A320,AA$3)))</f>
        <v/>
      </c>
      <c r="AB320" s="124" t="str">
        <f>IF($B320="","",IF(AB$3=0,"n.b.",INDEX(SRC_ZPMW03!$A$1:$ZZ$501,$A320,AB$3)))</f>
        <v/>
      </c>
      <c r="AC320" s="124" t="str">
        <f>IF($B320="","",IF(AC$3=0,"n.b.",INDEX(SRC_ZPMW03!$A$1:$ZZ$501,$A320,AC$3)))</f>
        <v/>
      </c>
      <c r="AD320" s="124" t="str">
        <f>IF($B320="","",IF(AD$3=0,"n.b.",INDEX(SRC_ZPMW03!$A$1:$ZZ$501,$A320,AD$3)))</f>
        <v/>
      </c>
      <c r="AE320" s="124" t="str">
        <f>IF($B320="","",IF(AE$3=0,"n.b.",INDEX(SRC_ZPMW03!$A$1:$ZZ$501,$A320,AE$3)))</f>
        <v/>
      </c>
      <c r="AF320" s="124" t="str">
        <f>IF($B320="","",IF(AF$3=0,"n.b.",INDEX(SRC_ZPMW03!$A$1:$ZZ$501,$A320,AF$3)))</f>
        <v/>
      </c>
      <c r="AG320" s="124" t="str">
        <f>IF($B320="","",IF(AG$3=0,"n.b.",INDEX(SRC_ZPMW03!$A$1:$ZZ$501,$A320,AG$3)))</f>
        <v/>
      </c>
      <c r="AH320" s="124" t="str">
        <f>IF($B320="","",IF(AH$3=0,"n.b.",INDEX(SRC_ZPMW03!$A$1:$ZZ$501,$A320,AH$3)))</f>
        <v/>
      </c>
      <c r="AI320" s="124" t="str">
        <f>IF($B320="","",IF(AI$3=0,"n.b.",INDEX(SRC_ZPMW03!$A$1:$ZZ$501,$A320,AI$3)))</f>
        <v/>
      </c>
      <c r="AJ320" s="124" t="str">
        <f>IF($B320="","",IF(AJ$3=0,"n.b.",INDEX(SRC_ZPMW03!$A$1:$ZZ$501,$A320,AJ$3)))</f>
        <v/>
      </c>
      <c r="AK320" s="124" t="str">
        <f>IF($B320="","",IF(AK$3=0,"n.b.",INDEX(SRC_ZPMW03!$A$1:$ZZ$501,$A320,AK$3)))</f>
        <v/>
      </c>
      <c r="AL320" s="124" t="str">
        <f>IF($B320="","",IF(AL$3=0,"n.b.",INDEX(SRC_ZPMW03!$A$1:$ZZ$501,$A320,AL$3)))</f>
        <v/>
      </c>
      <c r="AM320" s="124" t="str">
        <f>IF($B320="","",IF(AM$3=0,"n.b.",INDEX(SRC_ZPMW03!$A$1:$ZZ$501,$A320,AM$3)))</f>
        <v/>
      </c>
      <c r="AN320" s="124" t="str">
        <f>IF($B320="","",IF(AN$3=0,"n.b.",INDEX(SRC_ZPMW03!$A$1:$ZZ$501,$A320,AN$3)))</f>
        <v/>
      </c>
      <c r="AO320" s="124" t="str">
        <f>IF($B320="","",IF(AO$3=0,"n.b.",INDEX(SRC_ZPMW03!$A$1:$ZZ$501,$A320,AO$3)))</f>
        <v/>
      </c>
      <c r="AP320" s="124" t="str">
        <f>IF($B320="","",IF(AP$3=0,"n.b.",INDEX(SRC_ZPMW03!$A$1:$ZZ$501,$A320,AP$3)))</f>
        <v/>
      </c>
      <c r="AQ320" s="124" t="str">
        <f>IF($B320="","",IF(AQ$3=0,"n.b.",INDEX(SRC_ZPMW03!$A$1:$ZZ$501,$A320,AQ$3)))</f>
        <v/>
      </c>
      <c r="AR320" s="124" t="str">
        <f>IF($B320="","",IF(AR$3=0,"n.b.",INDEX(SRC_ZPMW03!$A$1:$ZZ$501,$A320,AR$3)))</f>
        <v/>
      </c>
      <c r="AS320" s="124" t="str">
        <f>IF($B320="","",IF(AS$3=0,"n.b.",INDEX(SRC_ZPMW03!$A$1:$ZZ$501,$A320,AS$3)))</f>
        <v/>
      </c>
      <c r="AT320" s="124" t="str">
        <f>IF($B320="","",IF(AT$3=0,"n.b.",INDEX(SRC_ZPMW03!$A$1:$ZZ$501,$A320,AT$3)))</f>
        <v/>
      </c>
      <c r="AU320" s="124" t="str">
        <f>IF($B320="","",IF(AU$3=0,"n.b.",INDEX(SRC_ZPMW03!$A$1:$ZZ$501,$A320,AU$3)))</f>
        <v/>
      </c>
      <c r="AV320" s="124" t="str">
        <f>IF($B320="","",IF(AV$3=0,"n.b.",INDEX(SRC_ZPMW03!$A$1:$ZZ$501,$A320,AV$3)))</f>
        <v/>
      </c>
      <c r="AW320" s="124" t="str">
        <f>IF($B320="","",IF(AW$3=0,"n.b.",INDEX(SRC_ZPMW03!$A$1:$ZZ$501,$A320,AW$3)))</f>
        <v/>
      </c>
      <c r="AX320" s="124" t="str">
        <f>IF($B320="","",IF(AX$3=0,"n.b.",INDEX(SRC_ZPMW03!$A$1:$ZZ$501,$A320,AX$3)))</f>
        <v/>
      </c>
      <c r="AY320" s="124" t="str">
        <f>IF($B320="","",IF(AY$3=0,"n.b.",INDEX(SRC_ZPMW03!$A$1:$ZZ$501,$A320,AY$3)))</f>
        <v/>
      </c>
      <c r="AZ320" s="124" t="str">
        <f>IF($B320="","",IF(AZ$3=0,"n.b.",INDEX(SRC_ZPMW03!$A$1:$ZZ$501,$A320,AZ$3)))</f>
        <v/>
      </c>
      <c r="BA320" s="124" t="str">
        <f>IF($B320="","",IF(BA$3=0,"n.b.",INDEX(SRC_ZPMW03!$A$1:$ZZ$501,$A320,BA$3)))</f>
        <v/>
      </c>
      <c r="BB320" s="124" t="str">
        <f>IF($B320="","",IF(BB$3=0,"n.b.",INDEX(SRC_ZPMW03!$A$1:$ZZ$501,$A320,BB$3)))</f>
        <v/>
      </c>
      <c r="BC320" s="124" t="str">
        <f>IF($B320="","",IF(BC$3=0,"n.b.",INDEX(SRC_ZPMW03!$A$1:$ZZ$501,$A320,BC$3)))</f>
        <v/>
      </c>
      <c r="BD320" s="124" t="str">
        <f>IF($B320="","",IF(BD$3=0,"n.b.",INDEX(SRC_ZPMW03!$A$1:$ZZ$501,$A320,BD$3)))</f>
        <v/>
      </c>
      <c r="BE320" s="124" t="str">
        <f>IF($B320="","",IF(BE$3=0,"n.b.",INDEX(SRC_ZPMW03!$A$1:$ZZ$501,$A320,BE$3)))</f>
        <v/>
      </c>
      <c r="BF320" s="124" t="str">
        <f>IF($B320="","",IF(BF$3=0,"n.b.",INDEX(SRC_ZPMW03!$A$1:$ZZ$501,$A320,BF$3)))</f>
        <v/>
      </c>
      <c r="BG320" t="str">
        <f>IF($B320="","",IF(BG$3=0,"n.b.",INDEX(SRC_ZPMW03!$A$1:$ZZ$501,$A320,BG$3)))</f>
        <v/>
      </c>
      <c r="BH320" t="str">
        <f>IF($B320="","",IF(BH$3=0,"n.b.",INDEX(SRC_ZPMW03!$A$1:$ZZ$501,$A320,BH$3)))</f>
        <v/>
      </c>
      <c r="BI320" t="str">
        <f>IF($B320="","",IF(BI$3=0,"n.b.",INDEX(SRC_ZPMW03!$A$1:$ZZ$501,$A320,BI$3)))</f>
        <v/>
      </c>
      <c r="BJ320" t="str">
        <f>IF($B320="","",IF(BJ$3=0,"n.b.",INDEX(SRC_ZPMW03!$A$1:$ZZ$501,$A320,BJ$3)))</f>
        <v/>
      </c>
      <c r="BK320" s="124" t="str">
        <f>IF($B320="","",IFERROR(-O320,"n.b."))</f>
        <v/>
      </c>
      <c r="BL320" s="124" t="str">
        <f>IF($B320="","",IFERROR(-Q320,"n.b."))</f>
        <v/>
      </c>
      <c r="BM320" s="124" t="str">
        <f>IF($B320="","",IFERROR(-AB320,"n.b."))</f>
        <v/>
      </c>
      <c r="BN320" s="124" t="str">
        <f>IF($B320="","",IFERROR(-AD320,"n.b."))</f>
        <v/>
      </c>
      <c r="BO320" s="124" t="str">
        <f>IF($B320="","",IFERROR(BK320+BM320,"n.b."))</f>
        <v/>
      </c>
      <c r="BP320" s="124" t="str">
        <f>IF($B320="","",IFERROR(BL320+BN320,"n.b."))</f>
        <v/>
      </c>
      <c r="BQ320" s="124" t="str">
        <f>IF($B320="","",IFERROR(-AM320,"n.b."))</f>
        <v/>
      </c>
      <c r="BR320" s="124" t="str">
        <f>IF($B320="","",IFERROR(-AO320,"n.b."))</f>
        <v/>
      </c>
      <c r="BS320" s="124" t="str">
        <f>IF($B320="","",IFERROR(-Z320,"n.b."))</f>
        <v/>
      </c>
      <c r="BT320" s="124" t="str">
        <f>IF($B320="","",IFERROR(-AA320,"n.b."))</f>
        <v/>
      </c>
      <c r="BU320" s="124" t="str">
        <f>IF($B320="","",IFERROR(-AE320,"n.b."))</f>
        <v/>
      </c>
      <c r="BV320" s="124" t="str">
        <f>IF($B320="","",IFERROR(-AF320,"n.b."))</f>
        <v/>
      </c>
      <c r="BW320" s="124" t="str">
        <f>IF($B320="","",IFERROR(-AG320,"n.b."))</f>
        <v/>
      </c>
      <c r="BX320" s="124" t="str">
        <f>IF($B320="","",IFERROR(-AH320,"n.b."))</f>
        <v/>
      </c>
      <c r="BY320" s="124" t="str">
        <f>IF($B320="","",IFERROR(-AI320,"n.b."))</f>
        <v/>
      </c>
      <c r="BZ320" s="124" t="str">
        <f>IF($B320="","",IFERROR(-AJ320,"n.b."))</f>
        <v/>
      </c>
      <c r="CA320" s="124" t="str">
        <f>IF($B320="","",IFERROR(-AK320,"n.b."))</f>
        <v/>
      </c>
      <c r="CB320" s="124" t="str">
        <f>IF($B320="","",IFERROR(-AL320,"n.b."))</f>
        <v/>
      </c>
      <c r="CC320" s="124" t="str">
        <f>IF($B320="","",IFERROR(-AP320,"n.b."))</f>
        <v/>
      </c>
      <c r="CD320" s="124" t="str">
        <f>IF($B320="","",IFERROR(-AQ320,"n.b."))</f>
        <v/>
      </c>
      <c r="CE320" s="124" t="str">
        <f>IF($B320="","",IFERROR(-AR320,"n.b."))</f>
        <v/>
      </c>
      <c r="CF320" s="124" t="str">
        <f>IF($B320="","",IFERROR(-AS320,"n.b."))</f>
        <v/>
      </c>
      <c r="CG320" s="124" t="str">
        <f>IF($B320="","",IFERROR(-AT320,"n.b."))</f>
        <v/>
      </c>
      <c r="CH320" s="124" t="str">
        <f>IF($B320="","",IFERROR(-AU320,"n.b."))</f>
        <v/>
      </c>
      <c r="CI320" s="124" t="str">
        <f>IF($B320="","",IFERROR(-AV320,"n.b."))</f>
        <v/>
      </c>
      <c r="CJ320" s="124" t="str">
        <f>IF($B320="","",IFERROR(-AW320,"n.b."))</f>
        <v/>
      </c>
      <c r="CK320" s="124" t="str">
        <f>IF($B320="","",IFERROR(-AX320,"n.b."))</f>
        <v/>
      </c>
      <c r="CL320" s="124" t="str">
        <f>IF($B320="","",IFERROR(-AY320,"n.b."))</f>
        <v/>
      </c>
      <c r="CM320" s="124" t="str">
        <f>IF($B320="","",IFERROR(-AZ320,"n.b."))</f>
        <v/>
      </c>
      <c r="CN320" s="124" t="str">
        <f>IF($B320="","",IFERROR(-BA320,"n.b."))</f>
        <v/>
      </c>
      <c r="CO320" s="124" t="str">
        <f>IF($B320="","",IFERROR(-BB320,"n.b."))</f>
        <v/>
      </c>
      <c r="CP320" s="124" t="str">
        <f>IF($B320="","",IFERROR(-BC320,"n.b."))</f>
        <v/>
      </c>
      <c r="CQ320" s="124" t="str">
        <f>IF($B320="","",IFERROR(-BD320,"n.b."))</f>
        <v/>
      </c>
      <c r="CR320" s="124" t="str">
        <f>IF($B320="","",IFERROR(-BE320,"n.b."))</f>
        <v/>
      </c>
      <c r="CS320" s="124" t="str">
        <f>IF($B320="","",IFERROR(IF(OR(ABS(T320+V320+X320+Z320-AB320)&gt;P_Tol,ABS(U320+W320+Y320+AA320-AD320)&gt;P_Tol,ABS(AE320+AG320+AI320+AK320-AM320)&gt;P_Tol,ABS(AF320+AH320+AJ320+AL320-AO320)&gt;P_Tol),1,0),1))</f>
        <v/>
      </c>
      <c r="CT320" s="124" t="str">
        <f>IF($B320="","",IFERROR(IF(OR(ABS(AB320+AC320-AD320)&gt;P_Tol,ABS(AM320+AN320-AO320)&gt;P_Tol,ABS(O320+P320-Q320)&gt;P_Tol),1,0),1))</f>
        <v/>
      </c>
      <c r="CU320" s="124" t="str">
        <f>IF($B320="","",IFERROR(IF(ABS(R320-(AB320+AM320+AP320+AR320+AT320+AV320+AX320+AZ320+BB320+BD320))&gt;P_Tol,1,0),1))</f>
        <v/>
      </c>
      <c r="CV320" s="124" t="str">
        <f>IF($B320="","",IFERROR(IF(ABS(M320-(N320+O320+R320))&gt;P_Tol,1,0),1))</f>
        <v/>
      </c>
      <c r="CW320" s="124" t="str">
        <f>IF($B320="","",IF(COUNTIF(Mapping!$A$5:$A$104,B320)&gt;0,1,0))</f>
        <v/>
      </c>
      <c r="CX320" s="124" t="str">
        <f>IF($B320="","",COUNTIF($B$6:$B$505,B320))</f>
        <v/>
      </c>
      <c r="CY320" s="124" t="str">
        <f>IF($B320="","",COUNTIF(STG_Woningetalage!$B$6:$B$505,B320))</f>
        <v/>
      </c>
      <c r="CZ320" s="124" t="str">
        <f>IF($B320="","",IF(CW320=0,COUNTIF($CW$6:CW320,0),""))</f>
        <v/>
      </c>
    </row>
    <row r="321">
      <c r="A321" s="15" t="n">
        <v>317</v>
      </c>
      <c r="B321" t="str">
        <f>IF(B$3=0,"",IF(INDEX(SRC_ZPMW03!$A$1:$ZZ$501,$A321,B$3)&amp;""="","",INDEX(SRC_ZPMW03!$A$1:$ZZ$501,$A321,B$3)&amp;""))</f>
        <v/>
      </c>
      <c r="C321" t="str">
        <f>IF($B321="","",IF(C$3=0,"n.b.",INDEX(SRC_ZPMW03!$A$1:$ZZ$501,$A321,C$3)))</f>
        <v/>
      </c>
      <c r="D321" t="str">
        <f>IF($B321="","",IF(D$3=0,"n.b.",INDEX(SRC_ZPMW03!$A$1:$ZZ$501,$A321,D$3)))</f>
        <v/>
      </c>
      <c r="E321" t="str">
        <f>IF($B321="","",IF(E$3=0,"n.b.",INDEX(SRC_ZPMW03!$A$1:$ZZ$501,$A321,E$3)))</f>
        <v/>
      </c>
      <c r="F321" t="str">
        <f>IF($B321="","",IF(F$3=0,"n.b.",INDEX(SRC_ZPMW03!$A$1:$ZZ$501,$A321,F$3)))</f>
        <v/>
      </c>
      <c r="G321" t="str">
        <f>IF($B321="","",IF(G$3=0,"n.b.",INDEX(SRC_ZPMW03!$A$1:$ZZ$501,$A321,G$3)))</f>
        <v/>
      </c>
      <c r="H321" t="str">
        <f>IF($B321="","",IF(H$3=0,"n.b.",INDEX(SRC_ZPMW03!$A$1:$ZZ$501,$A321,H$3)))</f>
        <v/>
      </c>
      <c r="I321" t="str">
        <f>IF($B321="","",IF(I$3=0,"n.b.",INDEX(SRC_ZPMW03!$A$1:$ZZ$501,$A321,I$3)))</f>
        <v/>
      </c>
      <c r="J321" t="str">
        <f>IF($B321="","",IF(J$3=0,"n.b.",INDEX(SRC_ZPMW03!$A$1:$ZZ$501,$A321,J$3)))</f>
        <v/>
      </c>
      <c r="K321" t="str">
        <f>IF($B321="","",IF(K$3=0,"n.b.",INDEX(SRC_ZPMW03!$A$1:$ZZ$501,$A321,K$3)))</f>
        <v/>
      </c>
      <c r="L321" s="124" t="str">
        <f>IF($B321="","",IF(L$3=0,"n.b.",INDEX(SRC_ZPMW03!$A$1:$ZZ$501,$A321,L$3)))</f>
        <v/>
      </c>
      <c r="M321" s="124" t="str">
        <f>IF($B321="","",IF(M$3=0,"n.b.",INDEX(SRC_ZPMW03!$A$1:$ZZ$501,$A321,M$3)))</f>
        <v/>
      </c>
      <c r="N321" s="124" t="str">
        <f>IF($B321="","",IF(N$3=0,"n.b.",INDEX(SRC_ZPMW03!$A$1:$ZZ$501,$A321,N$3)))</f>
        <v/>
      </c>
      <c r="O321" s="124" t="str">
        <f>IF($B321="","",IF(O$3=0,"n.b.",INDEX(SRC_ZPMW03!$A$1:$ZZ$501,$A321,O$3)))</f>
        <v/>
      </c>
      <c r="P321" s="124" t="str">
        <f>IF($B321="","",IF(P$3=0,"n.b.",INDEX(SRC_ZPMW03!$A$1:$ZZ$501,$A321,P$3)))</f>
        <v/>
      </c>
      <c r="Q321" s="124" t="str">
        <f>IF($B321="","",IF(Q$3=0,"n.b.",INDEX(SRC_ZPMW03!$A$1:$ZZ$501,$A321,Q$3)))</f>
        <v/>
      </c>
      <c r="R321" s="124" t="str">
        <f>IF($B321="","",IF(R$3=0,"n.b.",INDEX(SRC_ZPMW03!$A$1:$ZZ$501,$A321,R$3)))</f>
        <v/>
      </c>
      <c r="S321" s="124" t="str">
        <f>IF($B321="","",IF(S$3=0,"n.b.",INDEX(SRC_ZPMW03!$A$1:$ZZ$501,$A321,S$3)))</f>
        <v/>
      </c>
      <c r="T321" s="124" t="str">
        <f>IF($B321="","",IF(T$3=0,"n.b.",INDEX(SRC_ZPMW03!$A$1:$ZZ$501,$A321,T$3)))</f>
        <v/>
      </c>
      <c r="U321" s="124" t="str">
        <f>IF($B321="","",IF(U$3=0,"n.b.",INDEX(SRC_ZPMW03!$A$1:$ZZ$501,$A321,U$3)))</f>
        <v/>
      </c>
      <c r="V321" s="124" t="str">
        <f>IF($B321="","",IF(V$3=0,"n.b.",INDEX(SRC_ZPMW03!$A$1:$ZZ$501,$A321,V$3)))</f>
        <v/>
      </c>
      <c r="W321" s="124" t="str">
        <f>IF($B321="","",IF(W$3=0,"n.b.",INDEX(SRC_ZPMW03!$A$1:$ZZ$501,$A321,W$3)))</f>
        <v/>
      </c>
      <c r="X321" s="124" t="str">
        <f>IF($B321="","",IF(X$3=0,"n.b.",INDEX(SRC_ZPMW03!$A$1:$ZZ$501,$A321,X$3)))</f>
        <v/>
      </c>
      <c r="Y321" s="124" t="str">
        <f>IF($B321="","",IF(Y$3=0,"n.b.",INDEX(SRC_ZPMW03!$A$1:$ZZ$501,$A321,Y$3)))</f>
        <v/>
      </c>
      <c r="Z321" s="124" t="str">
        <f>IF($B321="","",IF(Z$3=0,"n.b.",INDEX(SRC_ZPMW03!$A$1:$ZZ$501,$A321,Z$3)))</f>
        <v/>
      </c>
      <c r="AA321" s="124" t="str">
        <f>IF($B321="","",IF(AA$3=0,"n.b.",INDEX(SRC_ZPMW03!$A$1:$ZZ$501,$A321,AA$3)))</f>
        <v/>
      </c>
      <c r="AB321" s="124" t="str">
        <f>IF($B321="","",IF(AB$3=0,"n.b.",INDEX(SRC_ZPMW03!$A$1:$ZZ$501,$A321,AB$3)))</f>
        <v/>
      </c>
      <c r="AC321" s="124" t="str">
        <f>IF($B321="","",IF(AC$3=0,"n.b.",INDEX(SRC_ZPMW03!$A$1:$ZZ$501,$A321,AC$3)))</f>
        <v/>
      </c>
      <c r="AD321" s="124" t="str">
        <f>IF($B321="","",IF(AD$3=0,"n.b.",INDEX(SRC_ZPMW03!$A$1:$ZZ$501,$A321,AD$3)))</f>
        <v/>
      </c>
      <c r="AE321" s="124" t="str">
        <f>IF($B321="","",IF(AE$3=0,"n.b.",INDEX(SRC_ZPMW03!$A$1:$ZZ$501,$A321,AE$3)))</f>
        <v/>
      </c>
      <c r="AF321" s="124" t="str">
        <f>IF($B321="","",IF(AF$3=0,"n.b.",INDEX(SRC_ZPMW03!$A$1:$ZZ$501,$A321,AF$3)))</f>
        <v/>
      </c>
      <c r="AG321" s="124" t="str">
        <f>IF($B321="","",IF(AG$3=0,"n.b.",INDEX(SRC_ZPMW03!$A$1:$ZZ$501,$A321,AG$3)))</f>
        <v/>
      </c>
      <c r="AH321" s="124" t="str">
        <f>IF($B321="","",IF(AH$3=0,"n.b.",INDEX(SRC_ZPMW03!$A$1:$ZZ$501,$A321,AH$3)))</f>
        <v/>
      </c>
      <c r="AI321" s="124" t="str">
        <f>IF($B321="","",IF(AI$3=0,"n.b.",INDEX(SRC_ZPMW03!$A$1:$ZZ$501,$A321,AI$3)))</f>
        <v/>
      </c>
      <c r="AJ321" s="124" t="str">
        <f>IF($B321="","",IF(AJ$3=0,"n.b.",INDEX(SRC_ZPMW03!$A$1:$ZZ$501,$A321,AJ$3)))</f>
        <v/>
      </c>
      <c r="AK321" s="124" t="str">
        <f>IF($B321="","",IF(AK$3=0,"n.b.",INDEX(SRC_ZPMW03!$A$1:$ZZ$501,$A321,AK$3)))</f>
        <v/>
      </c>
      <c r="AL321" s="124" t="str">
        <f>IF($B321="","",IF(AL$3=0,"n.b.",INDEX(SRC_ZPMW03!$A$1:$ZZ$501,$A321,AL$3)))</f>
        <v/>
      </c>
      <c r="AM321" s="124" t="str">
        <f>IF($B321="","",IF(AM$3=0,"n.b.",INDEX(SRC_ZPMW03!$A$1:$ZZ$501,$A321,AM$3)))</f>
        <v/>
      </c>
      <c r="AN321" s="124" t="str">
        <f>IF($B321="","",IF(AN$3=0,"n.b.",INDEX(SRC_ZPMW03!$A$1:$ZZ$501,$A321,AN$3)))</f>
        <v/>
      </c>
      <c r="AO321" s="124" t="str">
        <f>IF($B321="","",IF(AO$3=0,"n.b.",INDEX(SRC_ZPMW03!$A$1:$ZZ$501,$A321,AO$3)))</f>
        <v/>
      </c>
      <c r="AP321" s="124" t="str">
        <f>IF($B321="","",IF(AP$3=0,"n.b.",INDEX(SRC_ZPMW03!$A$1:$ZZ$501,$A321,AP$3)))</f>
        <v/>
      </c>
      <c r="AQ321" s="124" t="str">
        <f>IF($B321="","",IF(AQ$3=0,"n.b.",INDEX(SRC_ZPMW03!$A$1:$ZZ$501,$A321,AQ$3)))</f>
        <v/>
      </c>
      <c r="AR321" s="124" t="str">
        <f>IF($B321="","",IF(AR$3=0,"n.b.",INDEX(SRC_ZPMW03!$A$1:$ZZ$501,$A321,AR$3)))</f>
        <v/>
      </c>
      <c r="AS321" s="124" t="str">
        <f>IF($B321="","",IF(AS$3=0,"n.b.",INDEX(SRC_ZPMW03!$A$1:$ZZ$501,$A321,AS$3)))</f>
        <v/>
      </c>
      <c r="AT321" s="124" t="str">
        <f>IF($B321="","",IF(AT$3=0,"n.b.",INDEX(SRC_ZPMW03!$A$1:$ZZ$501,$A321,AT$3)))</f>
        <v/>
      </c>
      <c r="AU321" s="124" t="str">
        <f>IF($B321="","",IF(AU$3=0,"n.b.",INDEX(SRC_ZPMW03!$A$1:$ZZ$501,$A321,AU$3)))</f>
        <v/>
      </c>
      <c r="AV321" s="124" t="str">
        <f>IF($B321="","",IF(AV$3=0,"n.b.",INDEX(SRC_ZPMW03!$A$1:$ZZ$501,$A321,AV$3)))</f>
        <v/>
      </c>
      <c r="AW321" s="124" t="str">
        <f>IF($B321="","",IF(AW$3=0,"n.b.",INDEX(SRC_ZPMW03!$A$1:$ZZ$501,$A321,AW$3)))</f>
        <v/>
      </c>
      <c r="AX321" s="124" t="str">
        <f>IF($B321="","",IF(AX$3=0,"n.b.",INDEX(SRC_ZPMW03!$A$1:$ZZ$501,$A321,AX$3)))</f>
        <v/>
      </c>
      <c r="AY321" s="124" t="str">
        <f>IF($B321="","",IF(AY$3=0,"n.b.",INDEX(SRC_ZPMW03!$A$1:$ZZ$501,$A321,AY$3)))</f>
        <v/>
      </c>
      <c r="AZ321" s="124" t="str">
        <f>IF($B321="","",IF(AZ$3=0,"n.b.",INDEX(SRC_ZPMW03!$A$1:$ZZ$501,$A321,AZ$3)))</f>
        <v/>
      </c>
      <c r="BA321" s="124" t="str">
        <f>IF($B321="","",IF(BA$3=0,"n.b.",INDEX(SRC_ZPMW03!$A$1:$ZZ$501,$A321,BA$3)))</f>
        <v/>
      </c>
      <c r="BB321" s="124" t="str">
        <f>IF($B321="","",IF(BB$3=0,"n.b.",INDEX(SRC_ZPMW03!$A$1:$ZZ$501,$A321,BB$3)))</f>
        <v/>
      </c>
      <c r="BC321" s="124" t="str">
        <f>IF($B321="","",IF(BC$3=0,"n.b.",INDEX(SRC_ZPMW03!$A$1:$ZZ$501,$A321,BC$3)))</f>
        <v/>
      </c>
      <c r="BD321" s="124" t="str">
        <f>IF($B321="","",IF(BD$3=0,"n.b.",INDEX(SRC_ZPMW03!$A$1:$ZZ$501,$A321,BD$3)))</f>
        <v/>
      </c>
      <c r="BE321" s="124" t="str">
        <f>IF($B321="","",IF(BE$3=0,"n.b.",INDEX(SRC_ZPMW03!$A$1:$ZZ$501,$A321,BE$3)))</f>
        <v/>
      </c>
      <c r="BF321" s="124" t="str">
        <f>IF($B321="","",IF(BF$3=0,"n.b.",INDEX(SRC_ZPMW03!$A$1:$ZZ$501,$A321,BF$3)))</f>
        <v/>
      </c>
      <c r="BG321" t="str">
        <f>IF($B321="","",IF(BG$3=0,"n.b.",INDEX(SRC_ZPMW03!$A$1:$ZZ$501,$A321,BG$3)))</f>
        <v/>
      </c>
      <c r="BH321" t="str">
        <f>IF($B321="","",IF(BH$3=0,"n.b.",INDEX(SRC_ZPMW03!$A$1:$ZZ$501,$A321,BH$3)))</f>
        <v/>
      </c>
      <c r="BI321" t="str">
        <f>IF($B321="","",IF(BI$3=0,"n.b.",INDEX(SRC_ZPMW03!$A$1:$ZZ$501,$A321,BI$3)))</f>
        <v/>
      </c>
      <c r="BJ321" t="str">
        <f>IF($B321="","",IF(BJ$3=0,"n.b.",INDEX(SRC_ZPMW03!$A$1:$ZZ$501,$A321,BJ$3)))</f>
        <v/>
      </c>
      <c r="BK321" s="124" t="str">
        <f>IF($B321="","",IFERROR(-O321,"n.b."))</f>
        <v/>
      </c>
      <c r="BL321" s="124" t="str">
        <f>IF($B321="","",IFERROR(-Q321,"n.b."))</f>
        <v/>
      </c>
      <c r="BM321" s="124" t="str">
        <f>IF($B321="","",IFERROR(-AB321,"n.b."))</f>
        <v/>
      </c>
      <c r="BN321" s="124" t="str">
        <f>IF($B321="","",IFERROR(-AD321,"n.b."))</f>
        <v/>
      </c>
      <c r="BO321" s="124" t="str">
        <f>IF($B321="","",IFERROR(BK321+BM321,"n.b."))</f>
        <v/>
      </c>
      <c r="BP321" s="124" t="str">
        <f>IF($B321="","",IFERROR(BL321+BN321,"n.b."))</f>
        <v/>
      </c>
      <c r="BQ321" s="124" t="str">
        <f>IF($B321="","",IFERROR(-AM321,"n.b."))</f>
        <v/>
      </c>
      <c r="BR321" s="124" t="str">
        <f>IF($B321="","",IFERROR(-AO321,"n.b."))</f>
        <v/>
      </c>
      <c r="BS321" s="124" t="str">
        <f>IF($B321="","",IFERROR(-Z321,"n.b."))</f>
        <v/>
      </c>
      <c r="BT321" s="124" t="str">
        <f>IF($B321="","",IFERROR(-AA321,"n.b."))</f>
        <v/>
      </c>
      <c r="BU321" s="124" t="str">
        <f>IF($B321="","",IFERROR(-AE321,"n.b."))</f>
        <v/>
      </c>
      <c r="BV321" s="124" t="str">
        <f>IF($B321="","",IFERROR(-AF321,"n.b."))</f>
        <v/>
      </c>
      <c r="BW321" s="124" t="str">
        <f>IF($B321="","",IFERROR(-AG321,"n.b."))</f>
        <v/>
      </c>
      <c r="BX321" s="124" t="str">
        <f>IF($B321="","",IFERROR(-AH321,"n.b."))</f>
        <v/>
      </c>
      <c r="BY321" s="124" t="str">
        <f>IF($B321="","",IFERROR(-AI321,"n.b."))</f>
        <v/>
      </c>
      <c r="BZ321" s="124" t="str">
        <f>IF($B321="","",IFERROR(-AJ321,"n.b."))</f>
        <v/>
      </c>
      <c r="CA321" s="124" t="str">
        <f>IF($B321="","",IFERROR(-AK321,"n.b."))</f>
        <v/>
      </c>
      <c r="CB321" s="124" t="str">
        <f>IF($B321="","",IFERROR(-AL321,"n.b."))</f>
        <v/>
      </c>
      <c r="CC321" s="124" t="str">
        <f>IF($B321="","",IFERROR(-AP321,"n.b."))</f>
        <v/>
      </c>
      <c r="CD321" s="124" t="str">
        <f>IF($B321="","",IFERROR(-AQ321,"n.b."))</f>
        <v/>
      </c>
      <c r="CE321" s="124" t="str">
        <f>IF($B321="","",IFERROR(-AR321,"n.b."))</f>
        <v/>
      </c>
      <c r="CF321" s="124" t="str">
        <f>IF($B321="","",IFERROR(-AS321,"n.b."))</f>
        <v/>
      </c>
      <c r="CG321" s="124" t="str">
        <f>IF($B321="","",IFERROR(-AT321,"n.b."))</f>
        <v/>
      </c>
      <c r="CH321" s="124" t="str">
        <f>IF($B321="","",IFERROR(-AU321,"n.b."))</f>
        <v/>
      </c>
      <c r="CI321" s="124" t="str">
        <f>IF($B321="","",IFERROR(-AV321,"n.b."))</f>
        <v/>
      </c>
      <c r="CJ321" s="124" t="str">
        <f>IF($B321="","",IFERROR(-AW321,"n.b."))</f>
        <v/>
      </c>
      <c r="CK321" s="124" t="str">
        <f>IF($B321="","",IFERROR(-AX321,"n.b."))</f>
        <v/>
      </c>
      <c r="CL321" s="124" t="str">
        <f>IF($B321="","",IFERROR(-AY321,"n.b."))</f>
        <v/>
      </c>
      <c r="CM321" s="124" t="str">
        <f>IF($B321="","",IFERROR(-AZ321,"n.b."))</f>
        <v/>
      </c>
      <c r="CN321" s="124" t="str">
        <f>IF($B321="","",IFERROR(-BA321,"n.b."))</f>
        <v/>
      </c>
      <c r="CO321" s="124" t="str">
        <f>IF($B321="","",IFERROR(-BB321,"n.b."))</f>
        <v/>
      </c>
      <c r="CP321" s="124" t="str">
        <f>IF($B321="","",IFERROR(-BC321,"n.b."))</f>
        <v/>
      </c>
      <c r="CQ321" s="124" t="str">
        <f>IF($B321="","",IFERROR(-BD321,"n.b."))</f>
        <v/>
      </c>
      <c r="CR321" s="124" t="str">
        <f>IF($B321="","",IFERROR(-BE321,"n.b."))</f>
        <v/>
      </c>
      <c r="CS321" s="124" t="str">
        <f>IF($B321="","",IFERROR(IF(OR(ABS(T321+V321+X321+Z321-AB321)&gt;P_Tol,ABS(U321+W321+Y321+AA321-AD321)&gt;P_Tol,ABS(AE321+AG321+AI321+AK321-AM321)&gt;P_Tol,ABS(AF321+AH321+AJ321+AL321-AO321)&gt;P_Tol),1,0),1))</f>
        <v/>
      </c>
      <c r="CT321" s="124" t="str">
        <f>IF($B321="","",IFERROR(IF(OR(ABS(AB321+AC321-AD321)&gt;P_Tol,ABS(AM321+AN321-AO321)&gt;P_Tol,ABS(O321+P321-Q321)&gt;P_Tol),1,0),1))</f>
        <v/>
      </c>
      <c r="CU321" s="124" t="str">
        <f>IF($B321="","",IFERROR(IF(ABS(R321-(AB321+AM321+AP321+AR321+AT321+AV321+AX321+AZ321+BB321+BD321))&gt;P_Tol,1,0),1))</f>
        <v/>
      </c>
      <c r="CV321" s="124" t="str">
        <f>IF($B321="","",IFERROR(IF(ABS(M321-(N321+O321+R321))&gt;P_Tol,1,0),1))</f>
        <v/>
      </c>
      <c r="CW321" s="124" t="str">
        <f>IF($B321="","",IF(COUNTIF(Mapping!$A$5:$A$104,B321)&gt;0,1,0))</f>
        <v/>
      </c>
      <c r="CX321" s="124" t="str">
        <f>IF($B321="","",COUNTIF($B$6:$B$505,B321))</f>
        <v/>
      </c>
      <c r="CY321" s="124" t="str">
        <f>IF($B321="","",COUNTIF(STG_Woningetalage!$B$6:$B$505,B321))</f>
        <v/>
      </c>
      <c r="CZ321" s="124" t="str">
        <f>IF($B321="","",IF(CW321=0,COUNTIF($CW$6:CW321,0),""))</f>
        <v/>
      </c>
    </row>
    <row r="322">
      <c r="A322" s="15" t="n">
        <v>318</v>
      </c>
      <c r="B322" t="str">
        <f>IF(B$3=0,"",IF(INDEX(SRC_ZPMW03!$A$1:$ZZ$501,$A322,B$3)&amp;""="","",INDEX(SRC_ZPMW03!$A$1:$ZZ$501,$A322,B$3)&amp;""))</f>
        <v/>
      </c>
      <c r="C322" t="str">
        <f>IF($B322="","",IF(C$3=0,"n.b.",INDEX(SRC_ZPMW03!$A$1:$ZZ$501,$A322,C$3)))</f>
        <v/>
      </c>
      <c r="D322" t="str">
        <f>IF($B322="","",IF(D$3=0,"n.b.",INDEX(SRC_ZPMW03!$A$1:$ZZ$501,$A322,D$3)))</f>
        <v/>
      </c>
      <c r="E322" t="str">
        <f>IF($B322="","",IF(E$3=0,"n.b.",INDEX(SRC_ZPMW03!$A$1:$ZZ$501,$A322,E$3)))</f>
        <v/>
      </c>
      <c r="F322" t="str">
        <f>IF($B322="","",IF(F$3=0,"n.b.",INDEX(SRC_ZPMW03!$A$1:$ZZ$501,$A322,F$3)))</f>
        <v/>
      </c>
      <c r="G322" t="str">
        <f>IF($B322="","",IF(G$3=0,"n.b.",INDEX(SRC_ZPMW03!$A$1:$ZZ$501,$A322,G$3)))</f>
        <v/>
      </c>
      <c r="H322" t="str">
        <f>IF($B322="","",IF(H$3=0,"n.b.",INDEX(SRC_ZPMW03!$A$1:$ZZ$501,$A322,H$3)))</f>
        <v/>
      </c>
      <c r="I322" t="str">
        <f>IF($B322="","",IF(I$3=0,"n.b.",INDEX(SRC_ZPMW03!$A$1:$ZZ$501,$A322,I$3)))</f>
        <v/>
      </c>
      <c r="J322" t="str">
        <f>IF($B322="","",IF(J$3=0,"n.b.",INDEX(SRC_ZPMW03!$A$1:$ZZ$501,$A322,J$3)))</f>
        <v/>
      </c>
      <c r="K322" t="str">
        <f>IF($B322="","",IF(K$3=0,"n.b.",INDEX(SRC_ZPMW03!$A$1:$ZZ$501,$A322,K$3)))</f>
        <v/>
      </c>
      <c r="L322" s="124" t="str">
        <f>IF($B322="","",IF(L$3=0,"n.b.",INDEX(SRC_ZPMW03!$A$1:$ZZ$501,$A322,L$3)))</f>
        <v/>
      </c>
      <c r="M322" s="124" t="str">
        <f>IF($B322="","",IF(M$3=0,"n.b.",INDEX(SRC_ZPMW03!$A$1:$ZZ$501,$A322,M$3)))</f>
        <v/>
      </c>
      <c r="N322" s="124" t="str">
        <f>IF($B322="","",IF(N$3=0,"n.b.",INDEX(SRC_ZPMW03!$A$1:$ZZ$501,$A322,N$3)))</f>
        <v/>
      </c>
      <c r="O322" s="124" t="str">
        <f>IF($B322="","",IF(O$3=0,"n.b.",INDEX(SRC_ZPMW03!$A$1:$ZZ$501,$A322,O$3)))</f>
        <v/>
      </c>
      <c r="P322" s="124" t="str">
        <f>IF($B322="","",IF(P$3=0,"n.b.",INDEX(SRC_ZPMW03!$A$1:$ZZ$501,$A322,P$3)))</f>
        <v/>
      </c>
      <c r="Q322" s="124" t="str">
        <f>IF($B322="","",IF(Q$3=0,"n.b.",INDEX(SRC_ZPMW03!$A$1:$ZZ$501,$A322,Q$3)))</f>
        <v/>
      </c>
      <c r="R322" s="124" t="str">
        <f>IF($B322="","",IF(R$3=0,"n.b.",INDEX(SRC_ZPMW03!$A$1:$ZZ$501,$A322,R$3)))</f>
        <v/>
      </c>
      <c r="S322" s="124" t="str">
        <f>IF($B322="","",IF(S$3=0,"n.b.",INDEX(SRC_ZPMW03!$A$1:$ZZ$501,$A322,S$3)))</f>
        <v/>
      </c>
      <c r="T322" s="124" t="str">
        <f>IF($B322="","",IF(T$3=0,"n.b.",INDEX(SRC_ZPMW03!$A$1:$ZZ$501,$A322,T$3)))</f>
        <v/>
      </c>
      <c r="U322" s="124" t="str">
        <f>IF($B322="","",IF(U$3=0,"n.b.",INDEX(SRC_ZPMW03!$A$1:$ZZ$501,$A322,U$3)))</f>
        <v/>
      </c>
      <c r="V322" s="124" t="str">
        <f>IF($B322="","",IF(V$3=0,"n.b.",INDEX(SRC_ZPMW03!$A$1:$ZZ$501,$A322,V$3)))</f>
        <v/>
      </c>
      <c r="W322" s="124" t="str">
        <f>IF($B322="","",IF(W$3=0,"n.b.",INDEX(SRC_ZPMW03!$A$1:$ZZ$501,$A322,W$3)))</f>
        <v/>
      </c>
      <c r="X322" s="124" t="str">
        <f>IF($B322="","",IF(X$3=0,"n.b.",INDEX(SRC_ZPMW03!$A$1:$ZZ$501,$A322,X$3)))</f>
        <v/>
      </c>
      <c r="Y322" s="124" t="str">
        <f>IF($B322="","",IF(Y$3=0,"n.b.",INDEX(SRC_ZPMW03!$A$1:$ZZ$501,$A322,Y$3)))</f>
        <v/>
      </c>
      <c r="Z322" s="124" t="str">
        <f>IF($B322="","",IF(Z$3=0,"n.b.",INDEX(SRC_ZPMW03!$A$1:$ZZ$501,$A322,Z$3)))</f>
        <v/>
      </c>
      <c r="AA322" s="124" t="str">
        <f>IF($B322="","",IF(AA$3=0,"n.b.",INDEX(SRC_ZPMW03!$A$1:$ZZ$501,$A322,AA$3)))</f>
        <v/>
      </c>
      <c r="AB322" s="124" t="str">
        <f>IF($B322="","",IF(AB$3=0,"n.b.",INDEX(SRC_ZPMW03!$A$1:$ZZ$501,$A322,AB$3)))</f>
        <v/>
      </c>
      <c r="AC322" s="124" t="str">
        <f>IF($B322="","",IF(AC$3=0,"n.b.",INDEX(SRC_ZPMW03!$A$1:$ZZ$501,$A322,AC$3)))</f>
        <v/>
      </c>
      <c r="AD322" s="124" t="str">
        <f>IF($B322="","",IF(AD$3=0,"n.b.",INDEX(SRC_ZPMW03!$A$1:$ZZ$501,$A322,AD$3)))</f>
        <v/>
      </c>
      <c r="AE322" s="124" t="str">
        <f>IF($B322="","",IF(AE$3=0,"n.b.",INDEX(SRC_ZPMW03!$A$1:$ZZ$501,$A322,AE$3)))</f>
        <v/>
      </c>
      <c r="AF322" s="124" t="str">
        <f>IF($B322="","",IF(AF$3=0,"n.b.",INDEX(SRC_ZPMW03!$A$1:$ZZ$501,$A322,AF$3)))</f>
        <v/>
      </c>
      <c r="AG322" s="124" t="str">
        <f>IF($B322="","",IF(AG$3=0,"n.b.",INDEX(SRC_ZPMW03!$A$1:$ZZ$501,$A322,AG$3)))</f>
        <v/>
      </c>
      <c r="AH322" s="124" t="str">
        <f>IF($B322="","",IF(AH$3=0,"n.b.",INDEX(SRC_ZPMW03!$A$1:$ZZ$501,$A322,AH$3)))</f>
        <v/>
      </c>
      <c r="AI322" s="124" t="str">
        <f>IF($B322="","",IF(AI$3=0,"n.b.",INDEX(SRC_ZPMW03!$A$1:$ZZ$501,$A322,AI$3)))</f>
        <v/>
      </c>
      <c r="AJ322" s="124" t="str">
        <f>IF($B322="","",IF(AJ$3=0,"n.b.",INDEX(SRC_ZPMW03!$A$1:$ZZ$501,$A322,AJ$3)))</f>
        <v/>
      </c>
      <c r="AK322" s="124" t="str">
        <f>IF($B322="","",IF(AK$3=0,"n.b.",INDEX(SRC_ZPMW03!$A$1:$ZZ$501,$A322,AK$3)))</f>
        <v/>
      </c>
      <c r="AL322" s="124" t="str">
        <f>IF($B322="","",IF(AL$3=0,"n.b.",INDEX(SRC_ZPMW03!$A$1:$ZZ$501,$A322,AL$3)))</f>
        <v/>
      </c>
      <c r="AM322" s="124" t="str">
        <f>IF($B322="","",IF(AM$3=0,"n.b.",INDEX(SRC_ZPMW03!$A$1:$ZZ$501,$A322,AM$3)))</f>
        <v/>
      </c>
      <c r="AN322" s="124" t="str">
        <f>IF($B322="","",IF(AN$3=0,"n.b.",INDEX(SRC_ZPMW03!$A$1:$ZZ$501,$A322,AN$3)))</f>
        <v/>
      </c>
      <c r="AO322" s="124" t="str">
        <f>IF($B322="","",IF(AO$3=0,"n.b.",INDEX(SRC_ZPMW03!$A$1:$ZZ$501,$A322,AO$3)))</f>
        <v/>
      </c>
      <c r="AP322" s="124" t="str">
        <f>IF($B322="","",IF(AP$3=0,"n.b.",INDEX(SRC_ZPMW03!$A$1:$ZZ$501,$A322,AP$3)))</f>
        <v/>
      </c>
      <c r="AQ322" s="124" t="str">
        <f>IF($B322="","",IF(AQ$3=0,"n.b.",INDEX(SRC_ZPMW03!$A$1:$ZZ$501,$A322,AQ$3)))</f>
        <v/>
      </c>
      <c r="AR322" s="124" t="str">
        <f>IF($B322="","",IF(AR$3=0,"n.b.",INDEX(SRC_ZPMW03!$A$1:$ZZ$501,$A322,AR$3)))</f>
        <v/>
      </c>
      <c r="AS322" s="124" t="str">
        <f>IF($B322="","",IF(AS$3=0,"n.b.",INDEX(SRC_ZPMW03!$A$1:$ZZ$501,$A322,AS$3)))</f>
        <v/>
      </c>
      <c r="AT322" s="124" t="str">
        <f>IF($B322="","",IF(AT$3=0,"n.b.",INDEX(SRC_ZPMW03!$A$1:$ZZ$501,$A322,AT$3)))</f>
        <v/>
      </c>
      <c r="AU322" s="124" t="str">
        <f>IF($B322="","",IF(AU$3=0,"n.b.",INDEX(SRC_ZPMW03!$A$1:$ZZ$501,$A322,AU$3)))</f>
        <v/>
      </c>
      <c r="AV322" s="124" t="str">
        <f>IF($B322="","",IF(AV$3=0,"n.b.",INDEX(SRC_ZPMW03!$A$1:$ZZ$501,$A322,AV$3)))</f>
        <v/>
      </c>
      <c r="AW322" s="124" t="str">
        <f>IF($B322="","",IF(AW$3=0,"n.b.",INDEX(SRC_ZPMW03!$A$1:$ZZ$501,$A322,AW$3)))</f>
        <v/>
      </c>
      <c r="AX322" s="124" t="str">
        <f>IF($B322="","",IF(AX$3=0,"n.b.",INDEX(SRC_ZPMW03!$A$1:$ZZ$501,$A322,AX$3)))</f>
        <v/>
      </c>
      <c r="AY322" s="124" t="str">
        <f>IF($B322="","",IF(AY$3=0,"n.b.",INDEX(SRC_ZPMW03!$A$1:$ZZ$501,$A322,AY$3)))</f>
        <v/>
      </c>
      <c r="AZ322" s="124" t="str">
        <f>IF($B322="","",IF(AZ$3=0,"n.b.",INDEX(SRC_ZPMW03!$A$1:$ZZ$501,$A322,AZ$3)))</f>
        <v/>
      </c>
      <c r="BA322" s="124" t="str">
        <f>IF($B322="","",IF(BA$3=0,"n.b.",INDEX(SRC_ZPMW03!$A$1:$ZZ$501,$A322,BA$3)))</f>
        <v/>
      </c>
      <c r="BB322" s="124" t="str">
        <f>IF($B322="","",IF(BB$3=0,"n.b.",INDEX(SRC_ZPMW03!$A$1:$ZZ$501,$A322,BB$3)))</f>
        <v/>
      </c>
      <c r="BC322" s="124" t="str">
        <f>IF($B322="","",IF(BC$3=0,"n.b.",INDEX(SRC_ZPMW03!$A$1:$ZZ$501,$A322,BC$3)))</f>
        <v/>
      </c>
      <c r="BD322" s="124" t="str">
        <f>IF($B322="","",IF(BD$3=0,"n.b.",INDEX(SRC_ZPMW03!$A$1:$ZZ$501,$A322,BD$3)))</f>
        <v/>
      </c>
      <c r="BE322" s="124" t="str">
        <f>IF($B322="","",IF(BE$3=0,"n.b.",INDEX(SRC_ZPMW03!$A$1:$ZZ$501,$A322,BE$3)))</f>
        <v/>
      </c>
      <c r="BF322" s="124" t="str">
        <f>IF($B322="","",IF(BF$3=0,"n.b.",INDEX(SRC_ZPMW03!$A$1:$ZZ$501,$A322,BF$3)))</f>
        <v/>
      </c>
      <c r="BG322" t="str">
        <f>IF($B322="","",IF(BG$3=0,"n.b.",INDEX(SRC_ZPMW03!$A$1:$ZZ$501,$A322,BG$3)))</f>
        <v/>
      </c>
      <c r="BH322" t="str">
        <f>IF($B322="","",IF(BH$3=0,"n.b.",INDEX(SRC_ZPMW03!$A$1:$ZZ$501,$A322,BH$3)))</f>
        <v/>
      </c>
      <c r="BI322" t="str">
        <f>IF($B322="","",IF(BI$3=0,"n.b.",INDEX(SRC_ZPMW03!$A$1:$ZZ$501,$A322,BI$3)))</f>
        <v/>
      </c>
      <c r="BJ322" t="str">
        <f>IF($B322="","",IF(BJ$3=0,"n.b.",INDEX(SRC_ZPMW03!$A$1:$ZZ$501,$A322,BJ$3)))</f>
        <v/>
      </c>
      <c r="BK322" s="124" t="str">
        <f>IF($B322="","",IFERROR(-O322,"n.b."))</f>
        <v/>
      </c>
      <c r="BL322" s="124" t="str">
        <f>IF($B322="","",IFERROR(-Q322,"n.b."))</f>
        <v/>
      </c>
      <c r="BM322" s="124" t="str">
        <f>IF($B322="","",IFERROR(-AB322,"n.b."))</f>
        <v/>
      </c>
      <c r="BN322" s="124" t="str">
        <f>IF($B322="","",IFERROR(-AD322,"n.b."))</f>
        <v/>
      </c>
      <c r="BO322" s="124" t="str">
        <f>IF($B322="","",IFERROR(BK322+BM322,"n.b."))</f>
        <v/>
      </c>
      <c r="BP322" s="124" t="str">
        <f>IF($B322="","",IFERROR(BL322+BN322,"n.b."))</f>
        <v/>
      </c>
      <c r="BQ322" s="124" t="str">
        <f>IF($B322="","",IFERROR(-AM322,"n.b."))</f>
        <v/>
      </c>
      <c r="BR322" s="124" t="str">
        <f>IF($B322="","",IFERROR(-AO322,"n.b."))</f>
        <v/>
      </c>
      <c r="BS322" s="124" t="str">
        <f>IF($B322="","",IFERROR(-Z322,"n.b."))</f>
        <v/>
      </c>
      <c r="BT322" s="124" t="str">
        <f>IF($B322="","",IFERROR(-AA322,"n.b."))</f>
        <v/>
      </c>
      <c r="BU322" s="124" t="str">
        <f>IF($B322="","",IFERROR(-AE322,"n.b."))</f>
        <v/>
      </c>
      <c r="BV322" s="124" t="str">
        <f>IF($B322="","",IFERROR(-AF322,"n.b."))</f>
        <v/>
      </c>
      <c r="BW322" s="124" t="str">
        <f>IF($B322="","",IFERROR(-AG322,"n.b."))</f>
        <v/>
      </c>
      <c r="BX322" s="124" t="str">
        <f>IF($B322="","",IFERROR(-AH322,"n.b."))</f>
        <v/>
      </c>
      <c r="BY322" s="124" t="str">
        <f>IF($B322="","",IFERROR(-AI322,"n.b."))</f>
        <v/>
      </c>
      <c r="BZ322" s="124" t="str">
        <f>IF($B322="","",IFERROR(-AJ322,"n.b."))</f>
        <v/>
      </c>
      <c r="CA322" s="124" t="str">
        <f>IF($B322="","",IFERROR(-AK322,"n.b."))</f>
        <v/>
      </c>
      <c r="CB322" s="124" t="str">
        <f>IF($B322="","",IFERROR(-AL322,"n.b."))</f>
        <v/>
      </c>
      <c r="CC322" s="124" t="str">
        <f>IF($B322="","",IFERROR(-AP322,"n.b."))</f>
        <v/>
      </c>
      <c r="CD322" s="124" t="str">
        <f>IF($B322="","",IFERROR(-AQ322,"n.b."))</f>
        <v/>
      </c>
      <c r="CE322" s="124" t="str">
        <f>IF($B322="","",IFERROR(-AR322,"n.b."))</f>
        <v/>
      </c>
      <c r="CF322" s="124" t="str">
        <f>IF($B322="","",IFERROR(-AS322,"n.b."))</f>
        <v/>
      </c>
      <c r="CG322" s="124" t="str">
        <f>IF($B322="","",IFERROR(-AT322,"n.b."))</f>
        <v/>
      </c>
      <c r="CH322" s="124" t="str">
        <f>IF($B322="","",IFERROR(-AU322,"n.b."))</f>
        <v/>
      </c>
      <c r="CI322" s="124" t="str">
        <f>IF($B322="","",IFERROR(-AV322,"n.b."))</f>
        <v/>
      </c>
      <c r="CJ322" s="124" t="str">
        <f>IF($B322="","",IFERROR(-AW322,"n.b."))</f>
        <v/>
      </c>
      <c r="CK322" s="124" t="str">
        <f>IF($B322="","",IFERROR(-AX322,"n.b."))</f>
        <v/>
      </c>
      <c r="CL322" s="124" t="str">
        <f>IF($B322="","",IFERROR(-AY322,"n.b."))</f>
        <v/>
      </c>
      <c r="CM322" s="124" t="str">
        <f>IF($B322="","",IFERROR(-AZ322,"n.b."))</f>
        <v/>
      </c>
      <c r="CN322" s="124" t="str">
        <f>IF($B322="","",IFERROR(-BA322,"n.b."))</f>
        <v/>
      </c>
      <c r="CO322" s="124" t="str">
        <f>IF($B322="","",IFERROR(-BB322,"n.b."))</f>
        <v/>
      </c>
      <c r="CP322" s="124" t="str">
        <f>IF($B322="","",IFERROR(-BC322,"n.b."))</f>
        <v/>
      </c>
      <c r="CQ322" s="124" t="str">
        <f>IF($B322="","",IFERROR(-BD322,"n.b."))</f>
        <v/>
      </c>
      <c r="CR322" s="124" t="str">
        <f>IF($B322="","",IFERROR(-BE322,"n.b."))</f>
        <v/>
      </c>
      <c r="CS322" s="124" t="str">
        <f>IF($B322="","",IFERROR(IF(OR(ABS(T322+V322+X322+Z322-AB322)&gt;P_Tol,ABS(U322+W322+Y322+AA322-AD322)&gt;P_Tol,ABS(AE322+AG322+AI322+AK322-AM322)&gt;P_Tol,ABS(AF322+AH322+AJ322+AL322-AO322)&gt;P_Tol),1,0),1))</f>
        <v/>
      </c>
      <c r="CT322" s="124" t="str">
        <f>IF($B322="","",IFERROR(IF(OR(ABS(AB322+AC322-AD322)&gt;P_Tol,ABS(AM322+AN322-AO322)&gt;P_Tol,ABS(O322+P322-Q322)&gt;P_Tol),1,0),1))</f>
        <v/>
      </c>
      <c r="CU322" s="124" t="str">
        <f>IF($B322="","",IFERROR(IF(ABS(R322-(AB322+AM322+AP322+AR322+AT322+AV322+AX322+AZ322+BB322+BD322))&gt;P_Tol,1,0),1))</f>
        <v/>
      </c>
      <c r="CV322" s="124" t="str">
        <f>IF($B322="","",IFERROR(IF(ABS(M322-(N322+O322+R322))&gt;P_Tol,1,0),1))</f>
        <v/>
      </c>
      <c r="CW322" s="124" t="str">
        <f>IF($B322="","",IF(COUNTIF(Mapping!$A$5:$A$104,B322)&gt;0,1,0))</f>
        <v/>
      </c>
      <c r="CX322" s="124" t="str">
        <f>IF($B322="","",COUNTIF($B$6:$B$505,B322))</f>
        <v/>
      </c>
      <c r="CY322" s="124" t="str">
        <f>IF($B322="","",COUNTIF(STG_Woningetalage!$B$6:$B$505,B322))</f>
        <v/>
      </c>
      <c r="CZ322" s="124" t="str">
        <f>IF($B322="","",IF(CW322=0,COUNTIF($CW$6:CW322,0),""))</f>
        <v/>
      </c>
    </row>
    <row r="323">
      <c r="A323" s="15" t="n">
        <v>319</v>
      </c>
      <c r="B323" t="str">
        <f>IF(B$3=0,"",IF(INDEX(SRC_ZPMW03!$A$1:$ZZ$501,$A323,B$3)&amp;""="","",INDEX(SRC_ZPMW03!$A$1:$ZZ$501,$A323,B$3)&amp;""))</f>
        <v/>
      </c>
      <c r="C323" t="str">
        <f>IF($B323="","",IF(C$3=0,"n.b.",INDEX(SRC_ZPMW03!$A$1:$ZZ$501,$A323,C$3)))</f>
        <v/>
      </c>
      <c r="D323" t="str">
        <f>IF($B323="","",IF(D$3=0,"n.b.",INDEX(SRC_ZPMW03!$A$1:$ZZ$501,$A323,D$3)))</f>
        <v/>
      </c>
      <c r="E323" t="str">
        <f>IF($B323="","",IF(E$3=0,"n.b.",INDEX(SRC_ZPMW03!$A$1:$ZZ$501,$A323,E$3)))</f>
        <v/>
      </c>
      <c r="F323" t="str">
        <f>IF($B323="","",IF(F$3=0,"n.b.",INDEX(SRC_ZPMW03!$A$1:$ZZ$501,$A323,F$3)))</f>
        <v/>
      </c>
      <c r="G323" t="str">
        <f>IF($B323="","",IF(G$3=0,"n.b.",INDEX(SRC_ZPMW03!$A$1:$ZZ$501,$A323,G$3)))</f>
        <v/>
      </c>
      <c r="H323" t="str">
        <f>IF($B323="","",IF(H$3=0,"n.b.",INDEX(SRC_ZPMW03!$A$1:$ZZ$501,$A323,H$3)))</f>
        <v/>
      </c>
      <c r="I323" t="str">
        <f>IF($B323="","",IF(I$3=0,"n.b.",INDEX(SRC_ZPMW03!$A$1:$ZZ$501,$A323,I$3)))</f>
        <v/>
      </c>
      <c r="J323" t="str">
        <f>IF($B323="","",IF(J$3=0,"n.b.",INDEX(SRC_ZPMW03!$A$1:$ZZ$501,$A323,J$3)))</f>
        <v/>
      </c>
      <c r="K323" t="str">
        <f>IF($B323="","",IF(K$3=0,"n.b.",INDEX(SRC_ZPMW03!$A$1:$ZZ$501,$A323,K$3)))</f>
        <v/>
      </c>
      <c r="L323" s="124" t="str">
        <f>IF($B323="","",IF(L$3=0,"n.b.",INDEX(SRC_ZPMW03!$A$1:$ZZ$501,$A323,L$3)))</f>
        <v/>
      </c>
      <c r="M323" s="124" t="str">
        <f>IF($B323="","",IF(M$3=0,"n.b.",INDEX(SRC_ZPMW03!$A$1:$ZZ$501,$A323,M$3)))</f>
        <v/>
      </c>
      <c r="N323" s="124" t="str">
        <f>IF($B323="","",IF(N$3=0,"n.b.",INDEX(SRC_ZPMW03!$A$1:$ZZ$501,$A323,N$3)))</f>
        <v/>
      </c>
      <c r="O323" s="124" t="str">
        <f>IF($B323="","",IF(O$3=0,"n.b.",INDEX(SRC_ZPMW03!$A$1:$ZZ$501,$A323,O$3)))</f>
        <v/>
      </c>
      <c r="P323" s="124" t="str">
        <f>IF($B323="","",IF(P$3=0,"n.b.",INDEX(SRC_ZPMW03!$A$1:$ZZ$501,$A323,P$3)))</f>
        <v/>
      </c>
      <c r="Q323" s="124" t="str">
        <f>IF($B323="","",IF(Q$3=0,"n.b.",INDEX(SRC_ZPMW03!$A$1:$ZZ$501,$A323,Q$3)))</f>
        <v/>
      </c>
      <c r="R323" s="124" t="str">
        <f>IF($B323="","",IF(R$3=0,"n.b.",INDEX(SRC_ZPMW03!$A$1:$ZZ$501,$A323,R$3)))</f>
        <v/>
      </c>
      <c r="S323" s="124" t="str">
        <f>IF($B323="","",IF(S$3=0,"n.b.",INDEX(SRC_ZPMW03!$A$1:$ZZ$501,$A323,S$3)))</f>
        <v/>
      </c>
      <c r="T323" s="124" t="str">
        <f>IF($B323="","",IF(T$3=0,"n.b.",INDEX(SRC_ZPMW03!$A$1:$ZZ$501,$A323,T$3)))</f>
        <v/>
      </c>
      <c r="U323" s="124" t="str">
        <f>IF($B323="","",IF(U$3=0,"n.b.",INDEX(SRC_ZPMW03!$A$1:$ZZ$501,$A323,U$3)))</f>
        <v/>
      </c>
      <c r="V323" s="124" t="str">
        <f>IF($B323="","",IF(V$3=0,"n.b.",INDEX(SRC_ZPMW03!$A$1:$ZZ$501,$A323,V$3)))</f>
        <v/>
      </c>
      <c r="W323" s="124" t="str">
        <f>IF($B323="","",IF(W$3=0,"n.b.",INDEX(SRC_ZPMW03!$A$1:$ZZ$501,$A323,W$3)))</f>
        <v/>
      </c>
      <c r="X323" s="124" t="str">
        <f>IF($B323="","",IF(X$3=0,"n.b.",INDEX(SRC_ZPMW03!$A$1:$ZZ$501,$A323,X$3)))</f>
        <v/>
      </c>
      <c r="Y323" s="124" t="str">
        <f>IF($B323="","",IF(Y$3=0,"n.b.",INDEX(SRC_ZPMW03!$A$1:$ZZ$501,$A323,Y$3)))</f>
        <v/>
      </c>
      <c r="Z323" s="124" t="str">
        <f>IF($B323="","",IF(Z$3=0,"n.b.",INDEX(SRC_ZPMW03!$A$1:$ZZ$501,$A323,Z$3)))</f>
        <v/>
      </c>
      <c r="AA323" s="124" t="str">
        <f>IF($B323="","",IF(AA$3=0,"n.b.",INDEX(SRC_ZPMW03!$A$1:$ZZ$501,$A323,AA$3)))</f>
        <v/>
      </c>
      <c r="AB323" s="124" t="str">
        <f>IF($B323="","",IF(AB$3=0,"n.b.",INDEX(SRC_ZPMW03!$A$1:$ZZ$501,$A323,AB$3)))</f>
        <v/>
      </c>
      <c r="AC323" s="124" t="str">
        <f>IF($B323="","",IF(AC$3=0,"n.b.",INDEX(SRC_ZPMW03!$A$1:$ZZ$501,$A323,AC$3)))</f>
        <v/>
      </c>
      <c r="AD323" s="124" t="str">
        <f>IF($B323="","",IF(AD$3=0,"n.b.",INDEX(SRC_ZPMW03!$A$1:$ZZ$501,$A323,AD$3)))</f>
        <v/>
      </c>
      <c r="AE323" s="124" t="str">
        <f>IF($B323="","",IF(AE$3=0,"n.b.",INDEX(SRC_ZPMW03!$A$1:$ZZ$501,$A323,AE$3)))</f>
        <v/>
      </c>
      <c r="AF323" s="124" t="str">
        <f>IF($B323="","",IF(AF$3=0,"n.b.",INDEX(SRC_ZPMW03!$A$1:$ZZ$501,$A323,AF$3)))</f>
        <v/>
      </c>
      <c r="AG323" s="124" t="str">
        <f>IF($B323="","",IF(AG$3=0,"n.b.",INDEX(SRC_ZPMW03!$A$1:$ZZ$501,$A323,AG$3)))</f>
        <v/>
      </c>
      <c r="AH323" s="124" t="str">
        <f>IF($B323="","",IF(AH$3=0,"n.b.",INDEX(SRC_ZPMW03!$A$1:$ZZ$501,$A323,AH$3)))</f>
        <v/>
      </c>
      <c r="AI323" s="124" t="str">
        <f>IF($B323="","",IF(AI$3=0,"n.b.",INDEX(SRC_ZPMW03!$A$1:$ZZ$501,$A323,AI$3)))</f>
        <v/>
      </c>
      <c r="AJ323" s="124" t="str">
        <f>IF($B323="","",IF(AJ$3=0,"n.b.",INDEX(SRC_ZPMW03!$A$1:$ZZ$501,$A323,AJ$3)))</f>
        <v/>
      </c>
      <c r="AK323" s="124" t="str">
        <f>IF($B323="","",IF(AK$3=0,"n.b.",INDEX(SRC_ZPMW03!$A$1:$ZZ$501,$A323,AK$3)))</f>
        <v/>
      </c>
      <c r="AL323" s="124" t="str">
        <f>IF($B323="","",IF(AL$3=0,"n.b.",INDEX(SRC_ZPMW03!$A$1:$ZZ$501,$A323,AL$3)))</f>
        <v/>
      </c>
      <c r="AM323" s="124" t="str">
        <f>IF($B323="","",IF(AM$3=0,"n.b.",INDEX(SRC_ZPMW03!$A$1:$ZZ$501,$A323,AM$3)))</f>
        <v/>
      </c>
      <c r="AN323" s="124" t="str">
        <f>IF($B323="","",IF(AN$3=0,"n.b.",INDEX(SRC_ZPMW03!$A$1:$ZZ$501,$A323,AN$3)))</f>
        <v/>
      </c>
      <c r="AO323" s="124" t="str">
        <f>IF($B323="","",IF(AO$3=0,"n.b.",INDEX(SRC_ZPMW03!$A$1:$ZZ$501,$A323,AO$3)))</f>
        <v/>
      </c>
      <c r="AP323" s="124" t="str">
        <f>IF($B323="","",IF(AP$3=0,"n.b.",INDEX(SRC_ZPMW03!$A$1:$ZZ$501,$A323,AP$3)))</f>
        <v/>
      </c>
      <c r="AQ323" s="124" t="str">
        <f>IF($B323="","",IF(AQ$3=0,"n.b.",INDEX(SRC_ZPMW03!$A$1:$ZZ$501,$A323,AQ$3)))</f>
        <v/>
      </c>
      <c r="AR323" s="124" t="str">
        <f>IF($B323="","",IF(AR$3=0,"n.b.",INDEX(SRC_ZPMW03!$A$1:$ZZ$501,$A323,AR$3)))</f>
        <v/>
      </c>
      <c r="AS323" s="124" t="str">
        <f>IF($B323="","",IF(AS$3=0,"n.b.",INDEX(SRC_ZPMW03!$A$1:$ZZ$501,$A323,AS$3)))</f>
        <v/>
      </c>
      <c r="AT323" s="124" t="str">
        <f>IF($B323="","",IF(AT$3=0,"n.b.",INDEX(SRC_ZPMW03!$A$1:$ZZ$501,$A323,AT$3)))</f>
        <v/>
      </c>
      <c r="AU323" s="124" t="str">
        <f>IF($B323="","",IF(AU$3=0,"n.b.",INDEX(SRC_ZPMW03!$A$1:$ZZ$501,$A323,AU$3)))</f>
        <v/>
      </c>
      <c r="AV323" s="124" t="str">
        <f>IF($B323="","",IF(AV$3=0,"n.b.",INDEX(SRC_ZPMW03!$A$1:$ZZ$501,$A323,AV$3)))</f>
        <v/>
      </c>
      <c r="AW323" s="124" t="str">
        <f>IF($B323="","",IF(AW$3=0,"n.b.",INDEX(SRC_ZPMW03!$A$1:$ZZ$501,$A323,AW$3)))</f>
        <v/>
      </c>
      <c r="AX323" s="124" t="str">
        <f>IF($B323="","",IF(AX$3=0,"n.b.",INDEX(SRC_ZPMW03!$A$1:$ZZ$501,$A323,AX$3)))</f>
        <v/>
      </c>
      <c r="AY323" s="124" t="str">
        <f>IF($B323="","",IF(AY$3=0,"n.b.",INDEX(SRC_ZPMW03!$A$1:$ZZ$501,$A323,AY$3)))</f>
        <v/>
      </c>
      <c r="AZ323" s="124" t="str">
        <f>IF($B323="","",IF(AZ$3=0,"n.b.",INDEX(SRC_ZPMW03!$A$1:$ZZ$501,$A323,AZ$3)))</f>
        <v/>
      </c>
      <c r="BA323" s="124" t="str">
        <f>IF($B323="","",IF(BA$3=0,"n.b.",INDEX(SRC_ZPMW03!$A$1:$ZZ$501,$A323,BA$3)))</f>
        <v/>
      </c>
      <c r="BB323" s="124" t="str">
        <f>IF($B323="","",IF(BB$3=0,"n.b.",INDEX(SRC_ZPMW03!$A$1:$ZZ$501,$A323,BB$3)))</f>
        <v/>
      </c>
      <c r="BC323" s="124" t="str">
        <f>IF($B323="","",IF(BC$3=0,"n.b.",INDEX(SRC_ZPMW03!$A$1:$ZZ$501,$A323,BC$3)))</f>
        <v/>
      </c>
      <c r="BD323" s="124" t="str">
        <f>IF($B323="","",IF(BD$3=0,"n.b.",INDEX(SRC_ZPMW03!$A$1:$ZZ$501,$A323,BD$3)))</f>
        <v/>
      </c>
      <c r="BE323" s="124" t="str">
        <f>IF($B323="","",IF(BE$3=0,"n.b.",INDEX(SRC_ZPMW03!$A$1:$ZZ$501,$A323,BE$3)))</f>
        <v/>
      </c>
      <c r="BF323" s="124" t="str">
        <f>IF($B323="","",IF(BF$3=0,"n.b.",INDEX(SRC_ZPMW03!$A$1:$ZZ$501,$A323,BF$3)))</f>
        <v/>
      </c>
      <c r="BG323" t="str">
        <f>IF($B323="","",IF(BG$3=0,"n.b.",INDEX(SRC_ZPMW03!$A$1:$ZZ$501,$A323,BG$3)))</f>
        <v/>
      </c>
      <c r="BH323" t="str">
        <f>IF($B323="","",IF(BH$3=0,"n.b.",INDEX(SRC_ZPMW03!$A$1:$ZZ$501,$A323,BH$3)))</f>
        <v/>
      </c>
      <c r="BI323" t="str">
        <f>IF($B323="","",IF(BI$3=0,"n.b.",INDEX(SRC_ZPMW03!$A$1:$ZZ$501,$A323,BI$3)))</f>
        <v/>
      </c>
      <c r="BJ323" t="str">
        <f>IF($B323="","",IF(BJ$3=0,"n.b.",INDEX(SRC_ZPMW03!$A$1:$ZZ$501,$A323,BJ$3)))</f>
        <v/>
      </c>
      <c r="BK323" s="124" t="str">
        <f>IF($B323="","",IFERROR(-O323,"n.b."))</f>
        <v/>
      </c>
      <c r="BL323" s="124" t="str">
        <f>IF($B323="","",IFERROR(-Q323,"n.b."))</f>
        <v/>
      </c>
      <c r="BM323" s="124" t="str">
        <f>IF($B323="","",IFERROR(-AB323,"n.b."))</f>
        <v/>
      </c>
      <c r="BN323" s="124" t="str">
        <f>IF($B323="","",IFERROR(-AD323,"n.b."))</f>
        <v/>
      </c>
      <c r="BO323" s="124" t="str">
        <f>IF($B323="","",IFERROR(BK323+BM323,"n.b."))</f>
        <v/>
      </c>
      <c r="BP323" s="124" t="str">
        <f>IF($B323="","",IFERROR(BL323+BN323,"n.b."))</f>
        <v/>
      </c>
      <c r="BQ323" s="124" t="str">
        <f>IF($B323="","",IFERROR(-AM323,"n.b."))</f>
        <v/>
      </c>
      <c r="BR323" s="124" t="str">
        <f>IF($B323="","",IFERROR(-AO323,"n.b."))</f>
        <v/>
      </c>
      <c r="BS323" s="124" t="str">
        <f>IF($B323="","",IFERROR(-Z323,"n.b."))</f>
        <v/>
      </c>
      <c r="BT323" s="124" t="str">
        <f>IF($B323="","",IFERROR(-AA323,"n.b."))</f>
        <v/>
      </c>
      <c r="BU323" s="124" t="str">
        <f>IF($B323="","",IFERROR(-AE323,"n.b."))</f>
        <v/>
      </c>
      <c r="BV323" s="124" t="str">
        <f>IF($B323="","",IFERROR(-AF323,"n.b."))</f>
        <v/>
      </c>
      <c r="BW323" s="124" t="str">
        <f>IF($B323="","",IFERROR(-AG323,"n.b."))</f>
        <v/>
      </c>
      <c r="BX323" s="124" t="str">
        <f>IF($B323="","",IFERROR(-AH323,"n.b."))</f>
        <v/>
      </c>
      <c r="BY323" s="124" t="str">
        <f>IF($B323="","",IFERROR(-AI323,"n.b."))</f>
        <v/>
      </c>
      <c r="BZ323" s="124" t="str">
        <f>IF($B323="","",IFERROR(-AJ323,"n.b."))</f>
        <v/>
      </c>
      <c r="CA323" s="124" t="str">
        <f>IF($B323="","",IFERROR(-AK323,"n.b."))</f>
        <v/>
      </c>
      <c r="CB323" s="124" t="str">
        <f>IF($B323="","",IFERROR(-AL323,"n.b."))</f>
        <v/>
      </c>
      <c r="CC323" s="124" t="str">
        <f>IF($B323="","",IFERROR(-AP323,"n.b."))</f>
        <v/>
      </c>
      <c r="CD323" s="124" t="str">
        <f>IF($B323="","",IFERROR(-AQ323,"n.b."))</f>
        <v/>
      </c>
      <c r="CE323" s="124" t="str">
        <f>IF($B323="","",IFERROR(-AR323,"n.b."))</f>
        <v/>
      </c>
      <c r="CF323" s="124" t="str">
        <f>IF($B323="","",IFERROR(-AS323,"n.b."))</f>
        <v/>
      </c>
      <c r="CG323" s="124" t="str">
        <f>IF($B323="","",IFERROR(-AT323,"n.b."))</f>
        <v/>
      </c>
      <c r="CH323" s="124" t="str">
        <f>IF($B323="","",IFERROR(-AU323,"n.b."))</f>
        <v/>
      </c>
      <c r="CI323" s="124" t="str">
        <f>IF($B323="","",IFERROR(-AV323,"n.b."))</f>
        <v/>
      </c>
      <c r="CJ323" s="124" t="str">
        <f>IF($B323="","",IFERROR(-AW323,"n.b."))</f>
        <v/>
      </c>
      <c r="CK323" s="124" t="str">
        <f>IF($B323="","",IFERROR(-AX323,"n.b."))</f>
        <v/>
      </c>
      <c r="CL323" s="124" t="str">
        <f>IF($B323="","",IFERROR(-AY323,"n.b."))</f>
        <v/>
      </c>
      <c r="CM323" s="124" t="str">
        <f>IF($B323="","",IFERROR(-AZ323,"n.b."))</f>
        <v/>
      </c>
      <c r="CN323" s="124" t="str">
        <f>IF($B323="","",IFERROR(-BA323,"n.b."))</f>
        <v/>
      </c>
      <c r="CO323" s="124" t="str">
        <f>IF($B323="","",IFERROR(-BB323,"n.b."))</f>
        <v/>
      </c>
      <c r="CP323" s="124" t="str">
        <f>IF($B323="","",IFERROR(-BC323,"n.b."))</f>
        <v/>
      </c>
      <c r="CQ323" s="124" t="str">
        <f>IF($B323="","",IFERROR(-BD323,"n.b."))</f>
        <v/>
      </c>
      <c r="CR323" s="124" t="str">
        <f>IF($B323="","",IFERROR(-BE323,"n.b."))</f>
        <v/>
      </c>
      <c r="CS323" s="124" t="str">
        <f>IF($B323="","",IFERROR(IF(OR(ABS(T323+V323+X323+Z323-AB323)&gt;P_Tol,ABS(U323+W323+Y323+AA323-AD323)&gt;P_Tol,ABS(AE323+AG323+AI323+AK323-AM323)&gt;P_Tol,ABS(AF323+AH323+AJ323+AL323-AO323)&gt;P_Tol),1,0),1))</f>
        <v/>
      </c>
      <c r="CT323" s="124" t="str">
        <f>IF($B323="","",IFERROR(IF(OR(ABS(AB323+AC323-AD323)&gt;P_Tol,ABS(AM323+AN323-AO323)&gt;P_Tol,ABS(O323+P323-Q323)&gt;P_Tol),1,0),1))</f>
        <v/>
      </c>
      <c r="CU323" s="124" t="str">
        <f>IF($B323="","",IFERROR(IF(ABS(R323-(AB323+AM323+AP323+AR323+AT323+AV323+AX323+AZ323+BB323+BD323))&gt;P_Tol,1,0),1))</f>
        <v/>
      </c>
      <c r="CV323" s="124" t="str">
        <f>IF($B323="","",IFERROR(IF(ABS(M323-(N323+O323+R323))&gt;P_Tol,1,0),1))</f>
        <v/>
      </c>
      <c r="CW323" s="124" t="str">
        <f>IF($B323="","",IF(COUNTIF(Mapping!$A$5:$A$104,B323)&gt;0,1,0))</f>
        <v/>
      </c>
      <c r="CX323" s="124" t="str">
        <f>IF($B323="","",COUNTIF($B$6:$B$505,B323))</f>
        <v/>
      </c>
      <c r="CY323" s="124" t="str">
        <f>IF($B323="","",COUNTIF(STG_Woningetalage!$B$6:$B$505,B323))</f>
        <v/>
      </c>
      <c r="CZ323" s="124" t="str">
        <f>IF($B323="","",IF(CW323=0,COUNTIF($CW$6:CW323,0),""))</f>
        <v/>
      </c>
    </row>
    <row r="324">
      <c r="A324" s="15" t="n">
        <v>320</v>
      </c>
      <c r="B324" t="str">
        <f>IF(B$3=0,"",IF(INDEX(SRC_ZPMW03!$A$1:$ZZ$501,$A324,B$3)&amp;""="","",INDEX(SRC_ZPMW03!$A$1:$ZZ$501,$A324,B$3)&amp;""))</f>
        <v/>
      </c>
      <c r="C324" t="str">
        <f>IF($B324="","",IF(C$3=0,"n.b.",INDEX(SRC_ZPMW03!$A$1:$ZZ$501,$A324,C$3)))</f>
        <v/>
      </c>
      <c r="D324" t="str">
        <f>IF($B324="","",IF(D$3=0,"n.b.",INDEX(SRC_ZPMW03!$A$1:$ZZ$501,$A324,D$3)))</f>
        <v/>
      </c>
      <c r="E324" t="str">
        <f>IF($B324="","",IF(E$3=0,"n.b.",INDEX(SRC_ZPMW03!$A$1:$ZZ$501,$A324,E$3)))</f>
        <v/>
      </c>
      <c r="F324" t="str">
        <f>IF($B324="","",IF(F$3=0,"n.b.",INDEX(SRC_ZPMW03!$A$1:$ZZ$501,$A324,F$3)))</f>
        <v/>
      </c>
      <c r="G324" t="str">
        <f>IF($B324="","",IF(G$3=0,"n.b.",INDEX(SRC_ZPMW03!$A$1:$ZZ$501,$A324,G$3)))</f>
        <v/>
      </c>
      <c r="H324" t="str">
        <f>IF($B324="","",IF(H$3=0,"n.b.",INDEX(SRC_ZPMW03!$A$1:$ZZ$501,$A324,H$3)))</f>
        <v/>
      </c>
      <c r="I324" t="str">
        <f>IF($B324="","",IF(I$3=0,"n.b.",INDEX(SRC_ZPMW03!$A$1:$ZZ$501,$A324,I$3)))</f>
        <v/>
      </c>
      <c r="J324" t="str">
        <f>IF($B324="","",IF(J$3=0,"n.b.",INDEX(SRC_ZPMW03!$A$1:$ZZ$501,$A324,J$3)))</f>
        <v/>
      </c>
      <c r="K324" t="str">
        <f>IF($B324="","",IF(K$3=0,"n.b.",INDEX(SRC_ZPMW03!$A$1:$ZZ$501,$A324,K$3)))</f>
        <v/>
      </c>
      <c r="L324" s="124" t="str">
        <f>IF($B324="","",IF(L$3=0,"n.b.",INDEX(SRC_ZPMW03!$A$1:$ZZ$501,$A324,L$3)))</f>
        <v/>
      </c>
      <c r="M324" s="124" t="str">
        <f>IF($B324="","",IF(M$3=0,"n.b.",INDEX(SRC_ZPMW03!$A$1:$ZZ$501,$A324,M$3)))</f>
        <v/>
      </c>
      <c r="N324" s="124" t="str">
        <f>IF($B324="","",IF(N$3=0,"n.b.",INDEX(SRC_ZPMW03!$A$1:$ZZ$501,$A324,N$3)))</f>
        <v/>
      </c>
      <c r="O324" s="124" t="str">
        <f>IF($B324="","",IF(O$3=0,"n.b.",INDEX(SRC_ZPMW03!$A$1:$ZZ$501,$A324,O$3)))</f>
        <v/>
      </c>
      <c r="P324" s="124" t="str">
        <f>IF($B324="","",IF(P$3=0,"n.b.",INDEX(SRC_ZPMW03!$A$1:$ZZ$501,$A324,P$3)))</f>
        <v/>
      </c>
      <c r="Q324" s="124" t="str">
        <f>IF($B324="","",IF(Q$3=0,"n.b.",INDEX(SRC_ZPMW03!$A$1:$ZZ$501,$A324,Q$3)))</f>
        <v/>
      </c>
      <c r="R324" s="124" t="str">
        <f>IF($B324="","",IF(R$3=0,"n.b.",INDEX(SRC_ZPMW03!$A$1:$ZZ$501,$A324,R$3)))</f>
        <v/>
      </c>
      <c r="S324" s="124" t="str">
        <f>IF($B324="","",IF(S$3=0,"n.b.",INDEX(SRC_ZPMW03!$A$1:$ZZ$501,$A324,S$3)))</f>
        <v/>
      </c>
      <c r="T324" s="124" t="str">
        <f>IF($B324="","",IF(T$3=0,"n.b.",INDEX(SRC_ZPMW03!$A$1:$ZZ$501,$A324,T$3)))</f>
        <v/>
      </c>
      <c r="U324" s="124" t="str">
        <f>IF($B324="","",IF(U$3=0,"n.b.",INDEX(SRC_ZPMW03!$A$1:$ZZ$501,$A324,U$3)))</f>
        <v/>
      </c>
      <c r="V324" s="124" t="str">
        <f>IF($B324="","",IF(V$3=0,"n.b.",INDEX(SRC_ZPMW03!$A$1:$ZZ$501,$A324,V$3)))</f>
        <v/>
      </c>
      <c r="W324" s="124" t="str">
        <f>IF($B324="","",IF(W$3=0,"n.b.",INDEX(SRC_ZPMW03!$A$1:$ZZ$501,$A324,W$3)))</f>
        <v/>
      </c>
      <c r="X324" s="124" t="str">
        <f>IF($B324="","",IF(X$3=0,"n.b.",INDEX(SRC_ZPMW03!$A$1:$ZZ$501,$A324,X$3)))</f>
        <v/>
      </c>
      <c r="Y324" s="124" t="str">
        <f>IF($B324="","",IF(Y$3=0,"n.b.",INDEX(SRC_ZPMW03!$A$1:$ZZ$501,$A324,Y$3)))</f>
        <v/>
      </c>
      <c r="Z324" s="124" t="str">
        <f>IF($B324="","",IF(Z$3=0,"n.b.",INDEX(SRC_ZPMW03!$A$1:$ZZ$501,$A324,Z$3)))</f>
        <v/>
      </c>
      <c r="AA324" s="124" t="str">
        <f>IF($B324="","",IF(AA$3=0,"n.b.",INDEX(SRC_ZPMW03!$A$1:$ZZ$501,$A324,AA$3)))</f>
        <v/>
      </c>
      <c r="AB324" s="124" t="str">
        <f>IF($B324="","",IF(AB$3=0,"n.b.",INDEX(SRC_ZPMW03!$A$1:$ZZ$501,$A324,AB$3)))</f>
        <v/>
      </c>
      <c r="AC324" s="124" t="str">
        <f>IF($B324="","",IF(AC$3=0,"n.b.",INDEX(SRC_ZPMW03!$A$1:$ZZ$501,$A324,AC$3)))</f>
        <v/>
      </c>
      <c r="AD324" s="124" t="str">
        <f>IF($B324="","",IF(AD$3=0,"n.b.",INDEX(SRC_ZPMW03!$A$1:$ZZ$501,$A324,AD$3)))</f>
        <v/>
      </c>
      <c r="AE324" s="124" t="str">
        <f>IF($B324="","",IF(AE$3=0,"n.b.",INDEX(SRC_ZPMW03!$A$1:$ZZ$501,$A324,AE$3)))</f>
        <v/>
      </c>
      <c r="AF324" s="124" t="str">
        <f>IF($B324="","",IF(AF$3=0,"n.b.",INDEX(SRC_ZPMW03!$A$1:$ZZ$501,$A324,AF$3)))</f>
        <v/>
      </c>
      <c r="AG324" s="124" t="str">
        <f>IF($B324="","",IF(AG$3=0,"n.b.",INDEX(SRC_ZPMW03!$A$1:$ZZ$501,$A324,AG$3)))</f>
        <v/>
      </c>
      <c r="AH324" s="124" t="str">
        <f>IF($B324="","",IF(AH$3=0,"n.b.",INDEX(SRC_ZPMW03!$A$1:$ZZ$501,$A324,AH$3)))</f>
        <v/>
      </c>
      <c r="AI324" s="124" t="str">
        <f>IF($B324="","",IF(AI$3=0,"n.b.",INDEX(SRC_ZPMW03!$A$1:$ZZ$501,$A324,AI$3)))</f>
        <v/>
      </c>
      <c r="AJ324" s="124" t="str">
        <f>IF($B324="","",IF(AJ$3=0,"n.b.",INDEX(SRC_ZPMW03!$A$1:$ZZ$501,$A324,AJ$3)))</f>
        <v/>
      </c>
      <c r="AK324" s="124" t="str">
        <f>IF($B324="","",IF(AK$3=0,"n.b.",INDEX(SRC_ZPMW03!$A$1:$ZZ$501,$A324,AK$3)))</f>
        <v/>
      </c>
      <c r="AL324" s="124" t="str">
        <f>IF($B324="","",IF(AL$3=0,"n.b.",INDEX(SRC_ZPMW03!$A$1:$ZZ$501,$A324,AL$3)))</f>
        <v/>
      </c>
      <c r="AM324" s="124" t="str">
        <f>IF($B324="","",IF(AM$3=0,"n.b.",INDEX(SRC_ZPMW03!$A$1:$ZZ$501,$A324,AM$3)))</f>
        <v/>
      </c>
      <c r="AN324" s="124" t="str">
        <f>IF($B324="","",IF(AN$3=0,"n.b.",INDEX(SRC_ZPMW03!$A$1:$ZZ$501,$A324,AN$3)))</f>
        <v/>
      </c>
      <c r="AO324" s="124" t="str">
        <f>IF($B324="","",IF(AO$3=0,"n.b.",INDEX(SRC_ZPMW03!$A$1:$ZZ$501,$A324,AO$3)))</f>
        <v/>
      </c>
      <c r="AP324" s="124" t="str">
        <f>IF($B324="","",IF(AP$3=0,"n.b.",INDEX(SRC_ZPMW03!$A$1:$ZZ$501,$A324,AP$3)))</f>
        <v/>
      </c>
      <c r="AQ324" s="124" t="str">
        <f>IF($B324="","",IF(AQ$3=0,"n.b.",INDEX(SRC_ZPMW03!$A$1:$ZZ$501,$A324,AQ$3)))</f>
        <v/>
      </c>
      <c r="AR324" s="124" t="str">
        <f>IF($B324="","",IF(AR$3=0,"n.b.",INDEX(SRC_ZPMW03!$A$1:$ZZ$501,$A324,AR$3)))</f>
        <v/>
      </c>
      <c r="AS324" s="124" t="str">
        <f>IF($B324="","",IF(AS$3=0,"n.b.",INDEX(SRC_ZPMW03!$A$1:$ZZ$501,$A324,AS$3)))</f>
        <v/>
      </c>
      <c r="AT324" s="124" t="str">
        <f>IF($B324="","",IF(AT$3=0,"n.b.",INDEX(SRC_ZPMW03!$A$1:$ZZ$501,$A324,AT$3)))</f>
        <v/>
      </c>
      <c r="AU324" s="124" t="str">
        <f>IF($B324="","",IF(AU$3=0,"n.b.",INDEX(SRC_ZPMW03!$A$1:$ZZ$501,$A324,AU$3)))</f>
        <v/>
      </c>
      <c r="AV324" s="124" t="str">
        <f>IF($B324="","",IF(AV$3=0,"n.b.",INDEX(SRC_ZPMW03!$A$1:$ZZ$501,$A324,AV$3)))</f>
        <v/>
      </c>
      <c r="AW324" s="124" t="str">
        <f>IF($B324="","",IF(AW$3=0,"n.b.",INDEX(SRC_ZPMW03!$A$1:$ZZ$501,$A324,AW$3)))</f>
        <v/>
      </c>
      <c r="AX324" s="124" t="str">
        <f>IF($B324="","",IF(AX$3=0,"n.b.",INDEX(SRC_ZPMW03!$A$1:$ZZ$501,$A324,AX$3)))</f>
        <v/>
      </c>
      <c r="AY324" s="124" t="str">
        <f>IF($B324="","",IF(AY$3=0,"n.b.",INDEX(SRC_ZPMW03!$A$1:$ZZ$501,$A324,AY$3)))</f>
        <v/>
      </c>
      <c r="AZ324" s="124" t="str">
        <f>IF($B324="","",IF(AZ$3=0,"n.b.",INDEX(SRC_ZPMW03!$A$1:$ZZ$501,$A324,AZ$3)))</f>
        <v/>
      </c>
      <c r="BA324" s="124" t="str">
        <f>IF($B324="","",IF(BA$3=0,"n.b.",INDEX(SRC_ZPMW03!$A$1:$ZZ$501,$A324,BA$3)))</f>
        <v/>
      </c>
      <c r="BB324" s="124" t="str">
        <f>IF($B324="","",IF(BB$3=0,"n.b.",INDEX(SRC_ZPMW03!$A$1:$ZZ$501,$A324,BB$3)))</f>
        <v/>
      </c>
      <c r="BC324" s="124" t="str">
        <f>IF($B324="","",IF(BC$3=0,"n.b.",INDEX(SRC_ZPMW03!$A$1:$ZZ$501,$A324,BC$3)))</f>
        <v/>
      </c>
      <c r="BD324" s="124" t="str">
        <f>IF($B324="","",IF(BD$3=0,"n.b.",INDEX(SRC_ZPMW03!$A$1:$ZZ$501,$A324,BD$3)))</f>
        <v/>
      </c>
      <c r="BE324" s="124" t="str">
        <f>IF($B324="","",IF(BE$3=0,"n.b.",INDEX(SRC_ZPMW03!$A$1:$ZZ$501,$A324,BE$3)))</f>
        <v/>
      </c>
      <c r="BF324" s="124" t="str">
        <f>IF($B324="","",IF(BF$3=0,"n.b.",INDEX(SRC_ZPMW03!$A$1:$ZZ$501,$A324,BF$3)))</f>
        <v/>
      </c>
      <c r="BG324" t="str">
        <f>IF($B324="","",IF(BG$3=0,"n.b.",INDEX(SRC_ZPMW03!$A$1:$ZZ$501,$A324,BG$3)))</f>
        <v/>
      </c>
      <c r="BH324" t="str">
        <f>IF($B324="","",IF(BH$3=0,"n.b.",INDEX(SRC_ZPMW03!$A$1:$ZZ$501,$A324,BH$3)))</f>
        <v/>
      </c>
      <c r="BI324" t="str">
        <f>IF($B324="","",IF(BI$3=0,"n.b.",INDEX(SRC_ZPMW03!$A$1:$ZZ$501,$A324,BI$3)))</f>
        <v/>
      </c>
      <c r="BJ324" t="str">
        <f>IF($B324="","",IF(BJ$3=0,"n.b.",INDEX(SRC_ZPMW03!$A$1:$ZZ$501,$A324,BJ$3)))</f>
        <v/>
      </c>
      <c r="BK324" s="124" t="str">
        <f>IF($B324="","",IFERROR(-O324,"n.b."))</f>
        <v/>
      </c>
      <c r="BL324" s="124" t="str">
        <f>IF($B324="","",IFERROR(-Q324,"n.b."))</f>
        <v/>
      </c>
      <c r="BM324" s="124" t="str">
        <f>IF($B324="","",IFERROR(-AB324,"n.b."))</f>
        <v/>
      </c>
      <c r="BN324" s="124" t="str">
        <f>IF($B324="","",IFERROR(-AD324,"n.b."))</f>
        <v/>
      </c>
      <c r="BO324" s="124" t="str">
        <f>IF($B324="","",IFERROR(BK324+BM324,"n.b."))</f>
        <v/>
      </c>
      <c r="BP324" s="124" t="str">
        <f>IF($B324="","",IFERROR(BL324+BN324,"n.b."))</f>
        <v/>
      </c>
      <c r="BQ324" s="124" t="str">
        <f>IF($B324="","",IFERROR(-AM324,"n.b."))</f>
        <v/>
      </c>
      <c r="BR324" s="124" t="str">
        <f>IF($B324="","",IFERROR(-AO324,"n.b."))</f>
        <v/>
      </c>
      <c r="BS324" s="124" t="str">
        <f>IF($B324="","",IFERROR(-Z324,"n.b."))</f>
        <v/>
      </c>
      <c r="BT324" s="124" t="str">
        <f>IF($B324="","",IFERROR(-AA324,"n.b."))</f>
        <v/>
      </c>
      <c r="BU324" s="124" t="str">
        <f>IF($B324="","",IFERROR(-AE324,"n.b."))</f>
        <v/>
      </c>
      <c r="BV324" s="124" t="str">
        <f>IF($B324="","",IFERROR(-AF324,"n.b."))</f>
        <v/>
      </c>
      <c r="BW324" s="124" t="str">
        <f>IF($B324="","",IFERROR(-AG324,"n.b."))</f>
        <v/>
      </c>
      <c r="BX324" s="124" t="str">
        <f>IF($B324="","",IFERROR(-AH324,"n.b."))</f>
        <v/>
      </c>
      <c r="BY324" s="124" t="str">
        <f>IF($B324="","",IFERROR(-AI324,"n.b."))</f>
        <v/>
      </c>
      <c r="BZ324" s="124" t="str">
        <f>IF($B324="","",IFERROR(-AJ324,"n.b."))</f>
        <v/>
      </c>
      <c r="CA324" s="124" t="str">
        <f>IF($B324="","",IFERROR(-AK324,"n.b."))</f>
        <v/>
      </c>
      <c r="CB324" s="124" t="str">
        <f>IF($B324="","",IFERROR(-AL324,"n.b."))</f>
        <v/>
      </c>
      <c r="CC324" s="124" t="str">
        <f>IF($B324="","",IFERROR(-AP324,"n.b."))</f>
        <v/>
      </c>
      <c r="CD324" s="124" t="str">
        <f>IF($B324="","",IFERROR(-AQ324,"n.b."))</f>
        <v/>
      </c>
      <c r="CE324" s="124" t="str">
        <f>IF($B324="","",IFERROR(-AR324,"n.b."))</f>
        <v/>
      </c>
      <c r="CF324" s="124" t="str">
        <f>IF($B324="","",IFERROR(-AS324,"n.b."))</f>
        <v/>
      </c>
      <c r="CG324" s="124" t="str">
        <f>IF($B324="","",IFERROR(-AT324,"n.b."))</f>
        <v/>
      </c>
      <c r="CH324" s="124" t="str">
        <f>IF($B324="","",IFERROR(-AU324,"n.b."))</f>
        <v/>
      </c>
      <c r="CI324" s="124" t="str">
        <f>IF($B324="","",IFERROR(-AV324,"n.b."))</f>
        <v/>
      </c>
      <c r="CJ324" s="124" t="str">
        <f>IF($B324="","",IFERROR(-AW324,"n.b."))</f>
        <v/>
      </c>
      <c r="CK324" s="124" t="str">
        <f>IF($B324="","",IFERROR(-AX324,"n.b."))</f>
        <v/>
      </c>
      <c r="CL324" s="124" t="str">
        <f>IF($B324="","",IFERROR(-AY324,"n.b."))</f>
        <v/>
      </c>
      <c r="CM324" s="124" t="str">
        <f>IF($B324="","",IFERROR(-AZ324,"n.b."))</f>
        <v/>
      </c>
      <c r="CN324" s="124" t="str">
        <f>IF($B324="","",IFERROR(-BA324,"n.b."))</f>
        <v/>
      </c>
      <c r="CO324" s="124" t="str">
        <f>IF($B324="","",IFERROR(-BB324,"n.b."))</f>
        <v/>
      </c>
      <c r="CP324" s="124" t="str">
        <f>IF($B324="","",IFERROR(-BC324,"n.b."))</f>
        <v/>
      </c>
      <c r="CQ324" s="124" t="str">
        <f>IF($B324="","",IFERROR(-BD324,"n.b."))</f>
        <v/>
      </c>
      <c r="CR324" s="124" t="str">
        <f>IF($B324="","",IFERROR(-BE324,"n.b."))</f>
        <v/>
      </c>
      <c r="CS324" s="124" t="str">
        <f>IF($B324="","",IFERROR(IF(OR(ABS(T324+V324+X324+Z324-AB324)&gt;P_Tol,ABS(U324+W324+Y324+AA324-AD324)&gt;P_Tol,ABS(AE324+AG324+AI324+AK324-AM324)&gt;P_Tol,ABS(AF324+AH324+AJ324+AL324-AO324)&gt;P_Tol),1,0),1))</f>
        <v/>
      </c>
      <c r="CT324" s="124" t="str">
        <f>IF($B324="","",IFERROR(IF(OR(ABS(AB324+AC324-AD324)&gt;P_Tol,ABS(AM324+AN324-AO324)&gt;P_Tol,ABS(O324+P324-Q324)&gt;P_Tol),1,0),1))</f>
        <v/>
      </c>
      <c r="CU324" s="124" t="str">
        <f>IF($B324="","",IFERROR(IF(ABS(R324-(AB324+AM324+AP324+AR324+AT324+AV324+AX324+AZ324+BB324+BD324))&gt;P_Tol,1,0),1))</f>
        <v/>
      </c>
      <c r="CV324" s="124" t="str">
        <f>IF($B324="","",IFERROR(IF(ABS(M324-(N324+O324+R324))&gt;P_Tol,1,0),1))</f>
        <v/>
      </c>
      <c r="CW324" s="124" t="str">
        <f>IF($B324="","",IF(COUNTIF(Mapping!$A$5:$A$104,B324)&gt;0,1,0))</f>
        <v/>
      </c>
      <c r="CX324" s="124" t="str">
        <f>IF($B324="","",COUNTIF($B$6:$B$505,B324))</f>
        <v/>
      </c>
      <c r="CY324" s="124" t="str">
        <f>IF($B324="","",COUNTIF(STG_Woningetalage!$B$6:$B$505,B324))</f>
        <v/>
      </c>
      <c r="CZ324" s="124" t="str">
        <f>IF($B324="","",IF(CW324=0,COUNTIF($CW$6:CW324,0),""))</f>
        <v/>
      </c>
    </row>
    <row r="325">
      <c r="A325" s="15" t="n">
        <v>321</v>
      </c>
      <c r="B325" t="str">
        <f>IF(B$3=0,"",IF(INDEX(SRC_ZPMW03!$A$1:$ZZ$501,$A325,B$3)&amp;""="","",INDEX(SRC_ZPMW03!$A$1:$ZZ$501,$A325,B$3)&amp;""))</f>
        <v/>
      </c>
      <c r="C325" t="str">
        <f>IF($B325="","",IF(C$3=0,"n.b.",INDEX(SRC_ZPMW03!$A$1:$ZZ$501,$A325,C$3)))</f>
        <v/>
      </c>
      <c r="D325" t="str">
        <f>IF($B325="","",IF(D$3=0,"n.b.",INDEX(SRC_ZPMW03!$A$1:$ZZ$501,$A325,D$3)))</f>
        <v/>
      </c>
      <c r="E325" t="str">
        <f>IF($B325="","",IF(E$3=0,"n.b.",INDEX(SRC_ZPMW03!$A$1:$ZZ$501,$A325,E$3)))</f>
        <v/>
      </c>
      <c r="F325" t="str">
        <f>IF($B325="","",IF(F$3=0,"n.b.",INDEX(SRC_ZPMW03!$A$1:$ZZ$501,$A325,F$3)))</f>
        <v/>
      </c>
      <c r="G325" t="str">
        <f>IF($B325="","",IF(G$3=0,"n.b.",INDEX(SRC_ZPMW03!$A$1:$ZZ$501,$A325,G$3)))</f>
        <v/>
      </c>
      <c r="H325" t="str">
        <f>IF($B325="","",IF(H$3=0,"n.b.",INDEX(SRC_ZPMW03!$A$1:$ZZ$501,$A325,H$3)))</f>
        <v/>
      </c>
      <c r="I325" t="str">
        <f>IF($B325="","",IF(I$3=0,"n.b.",INDEX(SRC_ZPMW03!$A$1:$ZZ$501,$A325,I$3)))</f>
        <v/>
      </c>
      <c r="J325" t="str">
        <f>IF($B325="","",IF(J$3=0,"n.b.",INDEX(SRC_ZPMW03!$A$1:$ZZ$501,$A325,J$3)))</f>
        <v/>
      </c>
      <c r="K325" t="str">
        <f>IF($B325="","",IF(K$3=0,"n.b.",INDEX(SRC_ZPMW03!$A$1:$ZZ$501,$A325,K$3)))</f>
        <v/>
      </c>
      <c r="L325" s="124" t="str">
        <f>IF($B325="","",IF(L$3=0,"n.b.",INDEX(SRC_ZPMW03!$A$1:$ZZ$501,$A325,L$3)))</f>
        <v/>
      </c>
      <c r="M325" s="124" t="str">
        <f>IF($B325="","",IF(M$3=0,"n.b.",INDEX(SRC_ZPMW03!$A$1:$ZZ$501,$A325,M$3)))</f>
        <v/>
      </c>
      <c r="N325" s="124" t="str">
        <f>IF($B325="","",IF(N$3=0,"n.b.",INDEX(SRC_ZPMW03!$A$1:$ZZ$501,$A325,N$3)))</f>
        <v/>
      </c>
      <c r="O325" s="124" t="str">
        <f>IF($B325="","",IF(O$3=0,"n.b.",INDEX(SRC_ZPMW03!$A$1:$ZZ$501,$A325,O$3)))</f>
        <v/>
      </c>
      <c r="P325" s="124" t="str">
        <f>IF($B325="","",IF(P$3=0,"n.b.",INDEX(SRC_ZPMW03!$A$1:$ZZ$501,$A325,P$3)))</f>
        <v/>
      </c>
      <c r="Q325" s="124" t="str">
        <f>IF($B325="","",IF(Q$3=0,"n.b.",INDEX(SRC_ZPMW03!$A$1:$ZZ$501,$A325,Q$3)))</f>
        <v/>
      </c>
      <c r="R325" s="124" t="str">
        <f>IF($B325="","",IF(R$3=0,"n.b.",INDEX(SRC_ZPMW03!$A$1:$ZZ$501,$A325,R$3)))</f>
        <v/>
      </c>
      <c r="S325" s="124" t="str">
        <f>IF($B325="","",IF(S$3=0,"n.b.",INDEX(SRC_ZPMW03!$A$1:$ZZ$501,$A325,S$3)))</f>
        <v/>
      </c>
      <c r="T325" s="124" t="str">
        <f>IF($B325="","",IF(T$3=0,"n.b.",INDEX(SRC_ZPMW03!$A$1:$ZZ$501,$A325,T$3)))</f>
        <v/>
      </c>
      <c r="U325" s="124" t="str">
        <f>IF($B325="","",IF(U$3=0,"n.b.",INDEX(SRC_ZPMW03!$A$1:$ZZ$501,$A325,U$3)))</f>
        <v/>
      </c>
      <c r="V325" s="124" t="str">
        <f>IF($B325="","",IF(V$3=0,"n.b.",INDEX(SRC_ZPMW03!$A$1:$ZZ$501,$A325,V$3)))</f>
        <v/>
      </c>
      <c r="W325" s="124" t="str">
        <f>IF($B325="","",IF(W$3=0,"n.b.",INDEX(SRC_ZPMW03!$A$1:$ZZ$501,$A325,W$3)))</f>
        <v/>
      </c>
      <c r="X325" s="124" t="str">
        <f>IF($B325="","",IF(X$3=0,"n.b.",INDEX(SRC_ZPMW03!$A$1:$ZZ$501,$A325,X$3)))</f>
        <v/>
      </c>
      <c r="Y325" s="124" t="str">
        <f>IF($B325="","",IF(Y$3=0,"n.b.",INDEX(SRC_ZPMW03!$A$1:$ZZ$501,$A325,Y$3)))</f>
        <v/>
      </c>
      <c r="Z325" s="124" t="str">
        <f>IF($B325="","",IF(Z$3=0,"n.b.",INDEX(SRC_ZPMW03!$A$1:$ZZ$501,$A325,Z$3)))</f>
        <v/>
      </c>
      <c r="AA325" s="124" t="str">
        <f>IF($B325="","",IF(AA$3=0,"n.b.",INDEX(SRC_ZPMW03!$A$1:$ZZ$501,$A325,AA$3)))</f>
        <v/>
      </c>
      <c r="AB325" s="124" t="str">
        <f>IF($B325="","",IF(AB$3=0,"n.b.",INDEX(SRC_ZPMW03!$A$1:$ZZ$501,$A325,AB$3)))</f>
        <v/>
      </c>
      <c r="AC325" s="124" t="str">
        <f>IF($B325="","",IF(AC$3=0,"n.b.",INDEX(SRC_ZPMW03!$A$1:$ZZ$501,$A325,AC$3)))</f>
        <v/>
      </c>
      <c r="AD325" s="124" t="str">
        <f>IF($B325="","",IF(AD$3=0,"n.b.",INDEX(SRC_ZPMW03!$A$1:$ZZ$501,$A325,AD$3)))</f>
        <v/>
      </c>
      <c r="AE325" s="124" t="str">
        <f>IF($B325="","",IF(AE$3=0,"n.b.",INDEX(SRC_ZPMW03!$A$1:$ZZ$501,$A325,AE$3)))</f>
        <v/>
      </c>
      <c r="AF325" s="124" t="str">
        <f>IF($B325="","",IF(AF$3=0,"n.b.",INDEX(SRC_ZPMW03!$A$1:$ZZ$501,$A325,AF$3)))</f>
        <v/>
      </c>
      <c r="AG325" s="124" t="str">
        <f>IF($B325="","",IF(AG$3=0,"n.b.",INDEX(SRC_ZPMW03!$A$1:$ZZ$501,$A325,AG$3)))</f>
        <v/>
      </c>
      <c r="AH325" s="124" t="str">
        <f>IF($B325="","",IF(AH$3=0,"n.b.",INDEX(SRC_ZPMW03!$A$1:$ZZ$501,$A325,AH$3)))</f>
        <v/>
      </c>
      <c r="AI325" s="124" t="str">
        <f>IF($B325="","",IF(AI$3=0,"n.b.",INDEX(SRC_ZPMW03!$A$1:$ZZ$501,$A325,AI$3)))</f>
        <v/>
      </c>
      <c r="AJ325" s="124" t="str">
        <f>IF($B325="","",IF(AJ$3=0,"n.b.",INDEX(SRC_ZPMW03!$A$1:$ZZ$501,$A325,AJ$3)))</f>
        <v/>
      </c>
      <c r="AK325" s="124" t="str">
        <f>IF($B325="","",IF(AK$3=0,"n.b.",INDEX(SRC_ZPMW03!$A$1:$ZZ$501,$A325,AK$3)))</f>
        <v/>
      </c>
      <c r="AL325" s="124" t="str">
        <f>IF($B325="","",IF(AL$3=0,"n.b.",INDEX(SRC_ZPMW03!$A$1:$ZZ$501,$A325,AL$3)))</f>
        <v/>
      </c>
      <c r="AM325" s="124" t="str">
        <f>IF($B325="","",IF(AM$3=0,"n.b.",INDEX(SRC_ZPMW03!$A$1:$ZZ$501,$A325,AM$3)))</f>
        <v/>
      </c>
      <c r="AN325" s="124" t="str">
        <f>IF($B325="","",IF(AN$3=0,"n.b.",INDEX(SRC_ZPMW03!$A$1:$ZZ$501,$A325,AN$3)))</f>
        <v/>
      </c>
      <c r="AO325" s="124" t="str">
        <f>IF($B325="","",IF(AO$3=0,"n.b.",INDEX(SRC_ZPMW03!$A$1:$ZZ$501,$A325,AO$3)))</f>
        <v/>
      </c>
      <c r="AP325" s="124" t="str">
        <f>IF($B325="","",IF(AP$3=0,"n.b.",INDEX(SRC_ZPMW03!$A$1:$ZZ$501,$A325,AP$3)))</f>
        <v/>
      </c>
      <c r="AQ325" s="124" t="str">
        <f>IF($B325="","",IF(AQ$3=0,"n.b.",INDEX(SRC_ZPMW03!$A$1:$ZZ$501,$A325,AQ$3)))</f>
        <v/>
      </c>
      <c r="AR325" s="124" t="str">
        <f>IF($B325="","",IF(AR$3=0,"n.b.",INDEX(SRC_ZPMW03!$A$1:$ZZ$501,$A325,AR$3)))</f>
        <v/>
      </c>
      <c r="AS325" s="124" t="str">
        <f>IF($B325="","",IF(AS$3=0,"n.b.",INDEX(SRC_ZPMW03!$A$1:$ZZ$501,$A325,AS$3)))</f>
        <v/>
      </c>
      <c r="AT325" s="124" t="str">
        <f>IF($B325="","",IF(AT$3=0,"n.b.",INDEX(SRC_ZPMW03!$A$1:$ZZ$501,$A325,AT$3)))</f>
        <v/>
      </c>
      <c r="AU325" s="124" t="str">
        <f>IF($B325="","",IF(AU$3=0,"n.b.",INDEX(SRC_ZPMW03!$A$1:$ZZ$501,$A325,AU$3)))</f>
        <v/>
      </c>
      <c r="AV325" s="124" t="str">
        <f>IF($B325="","",IF(AV$3=0,"n.b.",INDEX(SRC_ZPMW03!$A$1:$ZZ$501,$A325,AV$3)))</f>
        <v/>
      </c>
      <c r="AW325" s="124" t="str">
        <f>IF($B325="","",IF(AW$3=0,"n.b.",INDEX(SRC_ZPMW03!$A$1:$ZZ$501,$A325,AW$3)))</f>
        <v/>
      </c>
      <c r="AX325" s="124" t="str">
        <f>IF($B325="","",IF(AX$3=0,"n.b.",INDEX(SRC_ZPMW03!$A$1:$ZZ$501,$A325,AX$3)))</f>
        <v/>
      </c>
      <c r="AY325" s="124" t="str">
        <f>IF($B325="","",IF(AY$3=0,"n.b.",INDEX(SRC_ZPMW03!$A$1:$ZZ$501,$A325,AY$3)))</f>
        <v/>
      </c>
      <c r="AZ325" s="124" t="str">
        <f>IF($B325="","",IF(AZ$3=0,"n.b.",INDEX(SRC_ZPMW03!$A$1:$ZZ$501,$A325,AZ$3)))</f>
        <v/>
      </c>
      <c r="BA325" s="124" t="str">
        <f>IF($B325="","",IF(BA$3=0,"n.b.",INDEX(SRC_ZPMW03!$A$1:$ZZ$501,$A325,BA$3)))</f>
        <v/>
      </c>
      <c r="BB325" s="124" t="str">
        <f>IF($B325="","",IF(BB$3=0,"n.b.",INDEX(SRC_ZPMW03!$A$1:$ZZ$501,$A325,BB$3)))</f>
        <v/>
      </c>
      <c r="BC325" s="124" t="str">
        <f>IF($B325="","",IF(BC$3=0,"n.b.",INDEX(SRC_ZPMW03!$A$1:$ZZ$501,$A325,BC$3)))</f>
        <v/>
      </c>
      <c r="BD325" s="124" t="str">
        <f>IF($B325="","",IF(BD$3=0,"n.b.",INDEX(SRC_ZPMW03!$A$1:$ZZ$501,$A325,BD$3)))</f>
        <v/>
      </c>
      <c r="BE325" s="124" t="str">
        <f>IF($B325="","",IF(BE$3=0,"n.b.",INDEX(SRC_ZPMW03!$A$1:$ZZ$501,$A325,BE$3)))</f>
        <v/>
      </c>
      <c r="BF325" s="124" t="str">
        <f>IF($B325="","",IF(BF$3=0,"n.b.",INDEX(SRC_ZPMW03!$A$1:$ZZ$501,$A325,BF$3)))</f>
        <v/>
      </c>
      <c r="BG325" t="str">
        <f>IF($B325="","",IF(BG$3=0,"n.b.",INDEX(SRC_ZPMW03!$A$1:$ZZ$501,$A325,BG$3)))</f>
        <v/>
      </c>
      <c r="BH325" t="str">
        <f>IF($B325="","",IF(BH$3=0,"n.b.",INDEX(SRC_ZPMW03!$A$1:$ZZ$501,$A325,BH$3)))</f>
        <v/>
      </c>
      <c r="BI325" t="str">
        <f>IF($B325="","",IF(BI$3=0,"n.b.",INDEX(SRC_ZPMW03!$A$1:$ZZ$501,$A325,BI$3)))</f>
        <v/>
      </c>
      <c r="BJ325" t="str">
        <f>IF($B325="","",IF(BJ$3=0,"n.b.",INDEX(SRC_ZPMW03!$A$1:$ZZ$501,$A325,BJ$3)))</f>
        <v/>
      </c>
      <c r="BK325" s="124" t="str">
        <f>IF($B325="","",IFERROR(-O325,"n.b."))</f>
        <v/>
      </c>
      <c r="BL325" s="124" t="str">
        <f>IF($B325="","",IFERROR(-Q325,"n.b."))</f>
        <v/>
      </c>
      <c r="BM325" s="124" t="str">
        <f>IF($B325="","",IFERROR(-AB325,"n.b."))</f>
        <v/>
      </c>
      <c r="BN325" s="124" t="str">
        <f>IF($B325="","",IFERROR(-AD325,"n.b."))</f>
        <v/>
      </c>
      <c r="BO325" s="124" t="str">
        <f>IF($B325="","",IFERROR(BK325+BM325,"n.b."))</f>
        <v/>
      </c>
      <c r="BP325" s="124" t="str">
        <f>IF($B325="","",IFERROR(BL325+BN325,"n.b."))</f>
        <v/>
      </c>
      <c r="BQ325" s="124" t="str">
        <f>IF($B325="","",IFERROR(-AM325,"n.b."))</f>
        <v/>
      </c>
      <c r="BR325" s="124" t="str">
        <f>IF($B325="","",IFERROR(-AO325,"n.b."))</f>
        <v/>
      </c>
      <c r="BS325" s="124" t="str">
        <f>IF($B325="","",IFERROR(-Z325,"n.b."))</f>
        <v/>
      </c>
      <c r="BT325" s="124" t="str">
        <f>IF($B325="","",IFERROR(-AA325,"n.b."))</f>
        <v/>
      </c>
      <c r="BU325" s="124" t="str">
        <f>IF($B325="","",IFERROR(-AE325,"n.b."))</f>
        <v/>
      </c>
      <c r="BV325" s="124" t="str">
        <f>IF($B325="","",IFERROR(-AF325,"n.b."))</f>
        <v/>
      </c>
      <c r="BW325" s="124" t="str">
        <f>IF($B325="","",IFERROR(-AG325,"n.b."))</f>
        <v/>
      </c>
      <c r="BX325" s="124" t="str">
        <f>IF($B325="","",IFERROR(-AH325,"n.b."))</f>
        <v/>
      </c>
      <c r="BY325" s="124" t="str">
        <f>IF($B325="","",IFERROR(-AI325,"n.b."))</f>
        <v/>
      </c>
      <c r="BZ325" s="124" t="str">
        <f>IF($B325="","",IFERROR(-AJ325,"n.b."))</f>
        <v/>
      </c>
      <c r="CA325" s="124" t="str">
        <f>IF($B325="","",IFERROR(-AK325,"n.b."))</f>
        <v/>
      </c>
      <c r="CB325" s="124" t="str">
        <f>IF($B325="","",IFERROR(-AL325,"n.b."))</f>
        <v/>
      </c>
      <c r="CC325" s="124" t="str">
        <f>IF($B325="","",IFERROR(-AP325,"n.b."))</f>
        <v/>
      </c>
      <c r="CD325" s="124" t="str">
        <f>IF($B325="","",IFERROR(-AQ325,"n.b."))</f>
        <v/>
      </c>
      <c r="CE325" s="124" t="str">
        <f>IF($B325="","",IFERROR(-AR325,"n.b."))</f>
        <v/>
      </c>
      <c r="CF325" s="124" t="str">
        <f>IF($B325="","",IFERROR(-AS325,"n.b."))</f>
        <v/>
      </c>
      <c r="CG325" s="124" t="str">
        <f>IF($B325="","",IFERROR(-AT325,"n.b."))</f>
        <v/>
      </c>
      <c r="CH325" s="124" t="str">
        <f>IF($B325="","",IFERROR(-AU325,"n.b."))</f>
        <v/>
      </c>
      <c r="CI325" s="124" t="str">
        <f>IF($B325="","",IFERROR(-AV325,"n.b."))</f>
        <v/>
      </c>
      <c r="CJ325" s="124" t="str">
        <f>IF($B325="","",IFERROR(-AW325,"n.b."))</f>
        <v/>
      </c>
      <c r="CK325" s="124" t="str">
        <f>IF($B325="","",IFERROR(-AX325,"n.b."))</f>
        <v/>
      </c>
      <c r="CL325" s="124" t="str">
        <f>IF($B325="","",IFERROR(-AY325,"n.b."))</f>
        <v/>
      </c>
      <c r="CM325" s="124" t="str">
        <f>IF($B325="","",IFERROR(-AZ325,"n.b."))</f>
        <v/>
      </c>
      <c r="CN325" s="124" t="str">
        <f>IF($B325="","",IFERROR(-BA325,"n.b."))</f>
        <v/>
      </c>
      <c r="CO325" s="124" t="str">
        <f>IF($B325="","",IFERROR(-BB325,"n.b."))</f>
        <v/>
      </c>
      <c r="CP325" s="124" t="str">
        <f>IF($B325="","",IFERROR(-BC325,"n.b."))</f>
        <v/>
      </c>
      <c r="CQ325" s="124" t="str">
        <f>IF($B325="","",IFERROR(-BD325,"n.b."))</f>
        <v/>
      </c>
      <c r="CR325" s="124" t="str">
        <f>IF($B325="","",IFERROR(-BE325,"n.b."))</f>
        <v/>
      </c>
      <c r="CS325" s="124" t="str">
        <f>IF($B325="","",IFERROR(IF(OR(ABS(T325+V325+X325+Z325-AB325)&gt;P_Tol,ABS(U325+W325+Y325+AA325-AD325)&gt;P_Tol,ABS(AE325+AG325+AI325+AK325-AM325)&gt;P_Tol,ABS(AF325+AH325+AJ325+AL325-AO325)&gt;P_Tol),1,0),1))</f>
        <v/>
      </c>
      <c r="CT325" s="124" t="str">
        <f>IF($B325="","",IFERROR(IF(OR(ABS(AB325+AC325-AD325)&gt;P_Tol,ABS(AM325+AN325-AO325)&gt;P_Tol,ABS(O325+P325-Q325)&gt;P_Tol),1,0),1))</f>
        <v/>
      </c>
      <c r="CU325" s="124" t="str">
        <f>IF($B325="","",IFERROR(IF(ABS(R325-(AB325+AM325+AP325+AR325+AT325+AV325+AX325+AZ325+BB325+BD325))&gt;P_Tol,1,0),1))</f>
        <v/>
      </c>
      <c r="CV325" s="124" t="str">
        <f>IF($B325="","",IFERROR(IF(ABS(M325-(N325+O325+R325))&gt;P_Tol,1,0),1))</f>
        <v/>
      </c>
      <c r="CW325" s="124" t="str">
        <f>IF($B325="","",IF(COUNTIF(Mapping!$A$5:$A$104,B325)&gt;0,1,0))</f>
        <v/>
      </c>
      <c r="CX325" s="124" t="str">
        <f>IF($B325="","",COUNTIF($B$6:$B$505,B325))</f>
        <v/>
      </c>
      <c r="CY325" s="124" t="str">
        <f>IF($B325="","",COUNTIF(STG_Woningetalage!$B$6:$B$505,B325))</f>
        <v/>
      </c>
      <c r="CZ325" s="124" t="str">
        <f>IF($B325="","",IF(CW325=0,COUNTIF($CW$6:CW325,0),""))</f>
        <v/>
      </c>
    </row>
    <row r="326">
      <c r="A326" s="15" t="n">
        <v>322</v>
      </c>
      <c r="B326" t="str">
        <f>IF(B$3=0,"",IF(INDEX(SRC_ZPMW03!$A$1:$ZZ$501,$A326,B$3)&amp;""="","",INDEX(SRC_ZPMW03!$A$1:$ZZ$501,$A326,B$3)&amp;""))</f>
        <v/>
      </c>
      <c r="C326" t="str">
        <f>IF($B326="","",IF(C$3=0,"n.b.",INDEX(SRC_ZPMW03!$A$1:$ZZ$501,$A326,C$3)))</f>
        <v/>
      </c>
      <c r="D326" t="str">
        <f>IF($B326="","",IF(D$3=0,"n.b.",INDEX(SRC_ZPMW03!$A$1:$ZZ$501,$A326,D$3)))</f>
        <v/>
      </c>
      <c r="E326" t="str">
        <f>IF($B326="","",IF(E$3=0,"n.b.",INDEX(SRC_ZPMW03!$A$1:$ZZ$501,$A326,E$3)))</f>
        <v/>
      </c>
      <c r="F326" t="str">
        <f>IF($B326="","",IF(F$3=0,"n.b.",INDEX(SRC_ZPMW03!$A$1:$ZZ$501,$A326,F$3)))</f>
        <v/>
      </c>
      <c r="G326" t="str">
        <f>IF($B326="","",IF(G$3=0,"n.b.",INDEX(SRC_ZPMW03!$A$1:$ZZ$501,$A326,G$3)))</f>
        <v/>
      </c>
      <c r="H326" t="str">
        <f>IF($B326="","",IF(H$3=0,"n.b.",INDEX(SRC_ZPMW03!$A$1:$ZZ$501,$A326,H$3)))</f>
        <v/>
      </c>
      <c r="I326" t="str">
        <f>IF($B326="","",IF(I$3=0,"n.b.",INDEX(SRC_ZPMW03!$A$1:$ZZ$501,$A326,I$3)))</f>
        <v/>
      </c>
      <c r="J326" t="str">
        <f>IF($B326="","",IF(J$3=0,"n.b.",INDEX(SRC_ZPMW03!$A$1:$ZZ$501,$A326,J$3)))</f>
        <v/>
      </c>
      <c r="K326" t="str">
        <f>IF($B326="","",IF(K$3=0,"n.b.",INDEX(SRC_ZPMW03!$A$1:$ZZ$501,$A326,K$3)))</f>
        <v/>
      </c>
      <c r="L326" s="124" t="str">
        <f>IF($B326="","",IF(L$3=0,"n.b.",INDEX(SRC_ZPMW03!$A$1:$ZZ$501,$A326,L$3)))</f>
        <v/>
      </c>
      <c r="M326" s="124" t="str">
        <f>IF($B326="","",IF(M$3=0,"n.b.",INDEX(SRC_ZPMW03!$A$1:$ZZ$501,$A326,M$3)))</f>
        <v/>
      </c>
      <c r="N326" s="124" t="str">
        <f>IF($B326="","",IF(N$3=0,"n.b.",INDEX(SRC_ZPMW03!$A$1:$ZZ$501,$A326,N$3)))</f>
        <v/>
      </c>
      <c r="O326" s="124" t="str">
        <f>IF($B326="","",IF(O$3=0,"n.b.",INDEX(SRC_ZPMW03!$A$1:$ZZ$501,$A326,O$3)))</f>
        <v/>
      </c>
      <c r="P326" s="124" t="str">
        <f>IF($B326="","",IF(P$3=0,"n.b.",INDEX(SRC_ZPMW03!$A$1:$ZZ$501,$A326,P$3)))</f>
        <v/>
      </c>
      <c r="Q326" s="124" t="str">
        <f>IF($B326="","",IF(Q$3=0,"n.b.",INDEX(SRC_ZPMW03!$A$1:$ZZ$501,$A326,Q$3)))</f>
        <v/>
      </c>
      <c r="R326" s="124" t="str">
        <f>IF($B326="","",IF(R$3=0,"n.b.",INDEX(SRC_ZPMW03!$A$1:$ZZ$501,$A326,R$3)))</f>
        <v/>
      </c>
      <c r="S326" s="124" t="str">
        <f>IF($B326="","",IF(S$3=0,"n.b.",INDEX(SRC_ZPMW03!$A$1:$ZZ$501,$A326,S$3)))</f>
        <v/>
      </c>
      <c r="T326" s="124" t="str">
        <f>IF($B326="","",IF(T$3=0,"n.b.",INDEX(SRC_ZPMW03!$A$1:$ZZ$501,$A326,T$3)))</f>
        <v/>
      </c>
      <c r="U326" s="124" t="str">
        <f>IF($B326="","",IF(U$3=0,"n.b.",INDEX(SRC_ZPMW03!$A$1:$ZZ$501,$A326,U$3)))</f>
        <v/>
      </c>
      <c r="V326" s="124" t="str">
        <f>IF($B326="","",IF(V$3=0,"n.b.",INDEX(SRC_ZPMW03!$A$1:$ZZ$501,$A326,V$3)))</f>
        <v/>
      </c>
      <c r="W326" s="124" t="str">
        <f>IF($B326="","",IF(W$3=0,"n.b.",INDEX(SRC_ZPMW03!$A$1:$ZZ$501,$A326,W$3)))</f>
        <v/>
      </c>
      <c r="X326" s="124" t="str">
        <f>IF($B326="","",IF(X$3=0,"n.b.",INDEX(SRC_ZPMW03!$A$1:$ZZ$501,$A326,X$3)))</f>
        <v/>
      </c>
      <c r="Y326" s="124" t="str">
        <f>IF($B326="","",IF(Y$3=0,"n.b.",INDEX(SRC_ZPMW03!$A$1:$ZZ$501,$A326,Y$3)))</f>
        <v/>
      </c>
      <c r="Z326" s="124" t="str">
        <f>IF($B326="","",IF(Z$3=0,"n.b.",INDEX(SRC_ZPMW03!$A$1:$ZZ$501,$A326,Z$3)))</f>
        <v/>
      </c>
      <c r="AA326" s="124" t="str">
        <f>IF($B326="","",IF(AA$3=0,"n.b.",INDEX(SRC_ZPMW03!$A$1:$ZZ$501,$A326,AA$3)))</f>
        <v/>
      </c>
      <c r="AB326" s="124" t="str">
        <f>IF($B326="","",IF(AB$3=0,"n.b.",INDEX(SRC_ZPMW03!$A$1:$ZZ$501,$A326,AB$3)))</f>
        <v/>
      </c>
      <c r="AC326" s="124" t="str">
        <f>IF($B326="","",IF(AC$3=0,"n.b.",INDEX(SRC_ZPMW03!$A$1:$ZZ$501,$A326,AC$3)))</f>
        <v/>
      </c>
      <c r="AD326" s="124" t="str">
        <f>IF($B326="","",IF(AD$3=0,"n.b.",INDEX(SRC_ZPMW03!$A$1:$ZZ$501,$A326,AD$3)))</f>
        <v/>
      </c>
      <c r="AE326" s="124" t="str">
        <f>IF($B326="","",IF(AE$3=0,"n.b.",INDEX(SRC_ZPMW03!$A$1:$ZZ$501,$A326,AE$3)))</f>
        <v/>
      </c>
      <c r="AF326" s="124" t="str">
        <f>IF($B326="","",IF(AF$3=0,"n.b.",INDEX(SRC_ZPMW03!$A$1:$ZZ$501,$A326,AF$3)))</f>
        <v/>
      </c>
      <c r="AG326" s="124" t="str">
        <f>IF($B326="","",IF(AG$3=0,"n.b.",INDEX(SRC_ZPMW03!$A$1:$ZZ$501,$A326,AG$3)))</f>
        <v/>
      </c>
      <c r="AH326" s="124" t="str">
        <f>IF($B326="","",IF(AH$3=0,"n.b.",INDEX(SRC_ZPMW03!$A$1:$ZZ$501,$A326,AH$3)))</f>
        <v/>
      </c>
      <c r="AI326" s="124" t="str">
        <f>IF($B326="","",IF(AI$3=0,"n.b.",INDEX(SRC_ZPMW03!$A$1:$ZZ$501,$A326,AI$3)))</f>
        <v/>
      </c>
      <c r="AJ326" s="124" t="str">
        <f>IF($B326="","",IF(AJ$3=0,"n.b.",INDEX(SRC_ZPMW03!$A$1:$ZZ$501,$A326,AJ$3)))</f>
        <v/>
      </c>
      <c r="AK326" s="124" t="str">
        <f>IF($B326="","",IF(AK$3=0,"n.b.",INDEX(SRC_ZPMW03!$A$1:$ZZ$501,$A326,AK$3)))</f>
        <v/>
      </c>
      <c r="AL326" s="124" t="str">
        <f>IF($B326="","",IF(AL$3=0,"n.b.",INDEX(SRC_ZPMW03!$A$1:$ZZ$501,$A326,AL$3)))</f>
        <v/>
      </c>
      <c r="AM326" s="124" t="str">
        <f>IF($B326="","",IF(AM$3=0,"n.b.",INDEX(SRC_ZPMW03!$A$1:$ZZ$501,$A326,AM$3)))</f>
        <v/>
      </c>
      <c r="AN326" s="124" t="str">
        <f>IF($B326="","",IF(AN$3=0,"n.b.",INDEX(SRC_ZPMW03!$A$1:$ZZ$501,$A326,AN$3)))</f>
        <v/>
      </c>
      <c r="AO326" s="124" t="str">
        <f>IF($B326="","",IF(AO$3=0,"n.b.",INDEX(SRC_ZPMW03!$A$1:$ZZ$501,$A326,AO$3)))</f>
        <v/>
      </c>
      <c r="AP326" s="124" t="str">
        <f>IF($B326="","",IF(AP$3=0,"n.b.",INDEX(SRC_ZPMW03!$A$1:$ZZ$501,$A326,AP$3)))</f>
        <v/>
      </c>
      <c r="AQ326" s="124" t="str">
        <f>IF($B326="","",IF(AQ$3=0,"n.b.",INDEX(SRC_ZPMW03!$A$1:$ZZ$501,$A326,AQ$3)))</f>
        <v/>
      </c>
      <c r="AR326" s="124" t="str">
        <f>IF($B326="","",IF(AR$3=0,"n.b.",INDEX(SRC_ZPMW03!$A$1:$ZZ$501,$A326,AR$3)))</f>
        <v/>
      </c>
      <c r="AS326" s="124" t="str">
        <f>IF($B326="","",IF(AS$3=0,"n.b.",INDEX(SRC_ZPMW03!$A$1:$ZZ$501,$A326,AS$3)))</f>
        <v/>
      </c>
      <c r="AT326" s="124" t="str">
        <f>IF($B326="","",IF(AT$3=0,"n.b.",INDEX(SRC_ZPMW03!$A$1:$ZZ$501,$A326,AT$3)))</f>
        <v/>
      </c>
      <c r="AU326" s="124" t="str">
        <f>IF($B326="","",IF(AU$3=0,"n.b.",INDEX(SRC_ZPMW03!$A$1:$ZZ$501,$A326,AU$3)))</f>
        <v/>
      </c>
      <c r="AV326" s="124" t="str">
        <f>IF($B326="","",IF(AV$3=0,"n.b.",INDEX(SRC_ZPMW03!$A$1:$ZZ$501,$A326,AV$3)))</f>
        <v/>
      </c>
      <c r="AW326" s="124" t="str">
        <f>IF($B326="","",IF(AW$3=0,"n.b.",INDEX(SRC_ZPMW03!$A$1:$ZZ$501,$A326,AW$3)))</f>
        <v/>
      </c>
      <c r="AX326" s="124" t="str">
        <f>IF($B326="","",IF(AX$3=0,"n.b.",INDEX(SRC_ZPMW03!$A$1:$ZZ$501,$A326,AX$3)))</f>
        <v/>
      </c>
      <c r="AY326" s="124" t="str">
        <f>IF($B326="","",IF(AY$3=0,"n.b.",INDEX(SRC_ZPMW03!$A$1:$ZZ$501,$A326,AY$3)))</f>
        <v/>
      </c>
      <c r="AZ326" s="124" t="str">
        <f>IF($B326="","",IF(AZ$3=0,"n.b.",INDEX(SRC_ZPMW03!$A$1:$ZZ$501,$A326,AZ$3)))</f>
        <v/>
      </c>
      <c r="BA326" s="124" t="str">
        <f>IF($B326="","",IF(BA$3=0,"n.b.",INDEX(SRC_ZPMW03!$A$1:$ZZ$501,$A326,BA$3)))</f>
        <v/>
      </c>
      <c r="BB326" s="124" t="str">
        <f>IF($B326="","",IF(BB$3=0,"n.b.",INDEX(SRC_ZPMW03!$A$1:$ZZ$501,$A326,BB$3)))</f>
        <v/>
      </c>
      <c r="BC326" s="124" t="str">
        <f>IF($B326="","",IF(BC$3=0,"n.b.",INDEX(SRC_ZPMW03!$A$1:$ZZ$501,$A326,BC$3)))</f>
        <v/>
      </c>
      <c r="BD326" s="124" t="str">
        <f>IF($B326="","",IF(BD$3=0,"n.b.",INDEX(SRC_ZPMW03!$A$1:$ZZ$501,$A326,BD$3)))</f>
        <v/>
      </c>
      <c r="BE326" s="124" t="str">
        <f>IF($B326="","",IF(BE$3=0,"n.b.",INDEX(SRC_ZPMW03!$A$1:$ZZ$501,$A326,BE$3)))</f>
        <v/>
      </c>
      <c r="BF326" s="124" t="str">
        <f>IF($B326="","",IF(BF$3=0,"n.b.",INDEX(SRC_ZPMW03!$A$1:$ZZ$501,$A326,BF$3)))</f>
        <v/>
      </c>
      <c r="BG326" t="str">
        <f>IF($B326="","",IF(BG$3=0,"n.b.",INDEX(SRC_ZPMW03!$A$1:$ZZ$501,$A326,BG$3)))</f>
        <v/>
      </c>
      <c r="BH326" t="str">
        <f>IF($B326="","",IF(BH$3=0,"n.b.",INDEX(SRC_ZPMW03!$A$1:$ZZ$501,$A326,BH$3)))</f>
        <v/>
      </c>
      <c r="BI326" t="str">
        <f>IF($B326="","",IF(BI$3=0,"n.b.",INDEX(SRC_ZPMW03!$A$1:$ZZ$501,$A326,BI$3)))</f>
        <v/>
      </c>
      <c r="BJ326" t="str">
        <f>IF($B326="","",IF(BJ$3=0,"n.b.",INDEX(SRC_ZPMW03!$A$1:$ZZ$501,$A326,BJ$3)))</f>
        <v/>
      </c>
      <c r="BK326" s="124" t="str">
        <f>IF($B326="","",IFERROR(-O326,"n.b."))</f>
        <v/>
      </c>
      <c r="BL326" s="124" t="str">
        <f>IF($B326="","",IFERROR(-Q326,"n.b."))</f>
        <v/>
      </c>
      <c r="BM326" s="124" t="str">
        <f>IF($B326="","",IFERROR(-AB326,"n.b."))</f>
        <v/>
      </c>
      <c r="BN326" s="124" t="str">
        <f>IF($B326="","",IFERROR(-AD326,"n.b."))</f>
        <v/>
      </c>
      <c r="BO326" s="124" t="str">
        <f>IF($B326="","",IFERROR(BK326+BM326,"n.b."))</f>
        <v/>
      </c>
      <c r="BP326" s="124" t="str">
        <f>IF($B326="","",IFERROR(BL326+BN326,"n.b."))</f>
        <v/>
      </c>
      <c r="BQ326" s="124" t="str">
        <f>IF($B326="","",IFERROR(-AM326,"n.b."))</f>
        <v/>
      </c>
      <c r="BR326" s="124" t="str">
        <f>IF($B326="","",IFERROR(-AO326,"n.b."))</f>
        <v/>
      </c>
      <c r="BS326" s="124" t="str">
        <f>IF($B326="","",IFERROR(-Z326,"n.b."))</f>
        <v/>
      </c>
      <c r="BT326" s="124" t="str">
        <f>IF($B326="","",IFERROR(-AA326,"n.b."))</f>
        <v/>
      </c>
      <c r="BU326" s="124" t="str">
        <f>IF($B326="","",IFERROR(-AE326,"n.b."))</f>
        <v/>
      </c>
      <c r="BV326" s="124" t="str">
        <f>IF($B326="","",IFERROR(-AF326,"n.b."))</f>
        <v/>
      </c>
      <c r="BW326" s="124" t="str">
        <f>IF($B326="","",IFERROR(-AG326,"n.b."))</f>
        <v/>
      </c>
      <c r="BX326" s="124" t="str">
        <f>IF($B326="","",IFERROR(-AH326,"n.b."))</f>
        <v/>
      </c>
      <c r="BY326" s="124" t="str">
        <f>IF($B326="","",IFERROR(-AI326,"n.b."))</f>
        <v/>
      </c>
      <c r="BZ326" s="124" t="str">
        <f>IF($B326="","",IFERROR(-AJ326,"n.b."))</f>
        <v/>
      </c>
      <c r="CA326" s="124" t="str">
        <f>IF($B326="","",IFERROR(-AK326,"n.b."))</f>
        <v/>
      </c>
      <c r="CB326" s="124" t="str">
        <f>IF($B326="","",IFERROR(-AL326,"n.b."))</f>
        <v/>
      </c>
      <c r="CC326" s="124" t="str">
        <f>IF($B326="","",IFERROR(-AP326,"n.b."))</f>
        <v/>
      </c>
      <c r="CD326" s="124" t="str">
        <f>IF($B326="","",IFERROR(-AQ326,"n.b."))</f>
        <v/>
      </c>
      <c r="CE326" s="124" t="str">
        <f>IF($B326="","",IFERROR(-AR326,"n.b."))</f>
        <v/>
      </c>
      <c r="CF326" s="124" t="str">
        <f>IF($B326="","",IFERROR(-AS326,"n.b."))</f>
        <v/>
      </c>
      <c r="CG326" s="124" t="str">
        <f>IF($B326="","",IFERROR(-AT326,"n.b."))</f>
        <v/>
      </c>
      <c r="CH326" s="124" t="str">
        <f>IF($B326="","",IFERROR(-AU326,"n.b."))</f>
        <v/>
      </c>
      <c r="CI326" s="124" t="str">
        <f>IF($B326="","",IFERROR(-AV326,"n.b."))</f>
        <v/>
      </c>
      <c r="CJ326" s="124" t="str">
        <f>IF($B326="","",IFERROR(-AW326,"n.b."))</f>
        <v/>
      </c>
      <c r="CK326" s="124" t="str">
        <f>IF($B326="","",IFERROR(-AX326,"n.b."))</f>
        <v/>
      </c>
      <c r="CL326" s="124" t="str">
        <f>IF($B326="","",IFERROR(-AY326,"n.b."))</f>
        <v/>
      </c>
      <c r="CM326" s="124" t="str">
        <f>IF($B326="","",IFERROR(-AZ326,"n.b."))</f>
        <v/>
      </c>
      <c r="CN326" s="124" t="str">
        <f>IF($B326="","",IFERROR(-BA326,"n.b."))</f>
        <v/>
      </c>
      <c r="CO326" s="124" t="str">
        <f>IF($B326="","",IFERROR(-BB326,"n.b."))</f>
        <v/>
      </c>
      <c r="CP326" s="124" t="str">
        <f>IF($B326="","",IFERROR(-BC326,"n.b."))</f>
        <v/>
      </c>
      <c r="CQ326" s="124" t="str">
        <f>IF($B326="","",IFERROR(-BD326,"n.b."))</f>
        <v/>
      </c>
      <c r="CR326" s="124" t="str">
        <f>IF($B326="","",IFERROR(-BE326,"n.b."))</f>
        <v/>
      </c>
      <c r="CS326" s="124" t="str">
        <f>IF($B326="","",IFERROR(IF(OR(ABS(T326+V326+X326+Z326-AB326)&gt;P_Tol,ABS(U326+W326+Y326+AA326-AD326)&gt;P_Tol,ABS(AE326+AG326+AI326+AK326-AM326)&gt;P_Tol,ABS(AF326+AH326+AJ326+AL326-AO326)&gt;P_Tol),1,0),1))</f>
        <v/>
      </c>
      <c r="CT326" s="124" t="str">
        <f>IF($B326="","",IFERROR(IF(OR(ABS(AB326+AC326-AD326)&gt;P_Tol,ABS(AM326+AN326-AO326)&gt;P_Tol,ABS(O326+P326-Q326)&gt;P_Tol),1,0),1))</f>
        <v/>
      </c>
      <c r="CU326" s="124" t="str">
        <f>IF($B326="","",IFERROR(IF(ABS(R326-(AB326+AM326+AP326+AR326+AT326+AV326+AX326+AZ326+BB326+BD326))&gt;P_Tol,1,0),1))</f>
        <v/>
      </c>
      <c r="CV326" s="124" t="str">
        <f>IF($B326="","",IFERROR(IF(ABS(M326-(N326+O326+R326))&gt;P_Tol,1,0),1))</f>
        <v/>
      </c>
      <c r="CW326" s="124" t="str">
        <f>IF($B326="","",IF(COUNTIF(Mapping!$A$5:$A$104,B326)&gt;0,1,0))</f>
        <v/>
      </c>
      <c r="CX326" s="124" t="str">
        <f>IF($B326="","",COUNTIF($B$6:$B$505,B326))</f>
        <v/>
      </c>
      <c r="CY326" s="124" t="str">
        <f>IF($B326="","",COUNTIF(STG_Woningetalage!$B$6:$B$505,B326))</f>
        <v/>
      </c>
      <c r="CZ326" s="124" t="str">
        <f>IF($B326="","",IF(CW326=0,COUNTIF($CW$6:CW326,0),""))</f>
        <v/>
      </c>
    </row>
    <row r="327">
      <c r="A327" s="15" t="n">
        <v>323</v>
      </c>
      <c r="B327" t="str">
        <f>IF(B$3=0,"",IF(INDEX(SRC_ZPMW03!$A$1:$ZZ$501,$A327,B$3)&amp;""="","",INDEX(SRC_ZPMW03!$A$1:$ZZ$501,$A327,B$3)&amp;""))</f>
        <v/>
      </c>
      <c r="C327" t="str">
        <f>IF($B327="","",IF(C$3=0,"n.b.",INDEX(SRC_ZPMW03!$A$1:$ZZ$501,$A327,C$3)))</f>
        <v/>
      </c>
      <c r="D327" t="str">
        <f>IF($B327="","",IF(D$3=0,"n.b.",INDEX(SRC_ZPMW03!$A$1:$ZZ$501,$A327,D$3)))</f>
        <v/>
      </c>
      <c r="E327" t="str">
        <f>IF($B327="","",IF(E$3=0,"n.b.",INDEX(SRC_ZPMW03!$A$1:$ZZ$501,$A327,E$3)))</f>
        <v/>
      </c>
      <c r="F327" t="str">
        <f>IF($B327="","",IF(F$3=0,"n.b.",INDEX(SRC_ZPMW03!$A$1:$ZZ$501,$A327,F$3)))</f>
        <v/>
      </c>
      <c r="G327" t="str">
        <f>IF($B327="","",IF(G$3=0,"n.b.",INDEX(SRC_ZPMW03!$A$1:$ZZ$501,$A327,G$3)))</f>
        <v/>
      </c>
      <c r="H327" t="str">
        <f>IF($B327="","",IF(H$3=0,"n.b.",INDEX(SRC_ZPMW03!$A$1:$ZZ$501,$A327,H$3)))</f>
        <v/>
      </c>
      <c r="I327" t="str">
        <f>IF($B327="","",IF(I$3=0,"n.b.",INDEX(SRC_ZPMW03!$A$1:$ZZ$501,$A327,I$3)))</f>
        <v/>
      </c>
      <c r="J327" t="str">
        <f>IF($B327="","",IF(J$3=0,"n.b.",INDEX(SRC_ZPMW03!$A$1:$ZZ$501,$A327,J$3)))</f>
        <v/>
      </c>
      <c r="K327" t="str">
        <f>IF($B327="","",IF(K$3=0,"n.b.",INDEX(SRC_ZPMW03!$A$1:$ZZ$501,$A327,K$3)))</f>
        <v/>
      </c>
      <c r="L327" s="124" t="str">
        <f>IF($B327="","",IF(L$3=0,"n.b.",INDEX(SRC_ZPMW03!$A$1:$ZZ$501,$A327,L$3)))</f>
        <v/>
      </c>
      <c r="M327" s="124" t="str">
        <f>IF($B327="","",IF(M$3=0,"n.b.",INDEX(SRC_ZPMW03!$A$1:$ZZ$501,$A327,M$3)))</f>
        <v/>
      </c>
      <c r="N327" s="124" t="str">
        <f>IF($B327="","",IF(N$3=0,"n.b.",INDEX(SRC_ZPMW03!$A$1:$ZZ$501,$A327,N$3)))</f>
        <v/>
      </c>
      <c r="O327" s="124" t="str">
        <f>IF($B327="","",IF(O$3=0,"n.b.",INDEX(SRC_ZPMW03!$A$1:$ZZ$501,$A327,O$3)))</f>
        <v/>
      </c>
      <c r="P327" s="124" t="str">
        <f>IF($B327="","",IF(P$3=0,"n.b.",INDEX(SRC_ZPMW03!$A$1:$ZZ$501,$A327,P$3)))</f>
        <v/>
      </c>
      <c r="Q327" s="124" t="str">
        <f>IF($B327="","",IF(Q$3=0,"n.b.",INDEX(SRC_ZPMW03!$A$1:$ZZ$501,$A327,Q$3)))</f>
        <v/>
      </c>
      <c r="R327" s="124" t="str">
        <f>IF($B327="","",IF(R$3=0,"n.b.",INDEX(SRC_ZPMW03!$A$1:$ZZ$501,$A327,R$3)))</f>
        <v/>
      </c>
      <c r="S327" s="124" t="str">
        <f>IF($B327="","",IF(S$3=0,"n.b.",INDEX(SRC_ZPMW03!$A$1:$ZZ$501,$A327,S$3)))</f>
        <v/>
      </c>
      <c r="T327" s="124" t="str">
        <f>IF($B327="","",IF(T$3=0,"n.b.",INDEX(SRC_ZPMW03!$A$1:$ZZ$501,$A327,T$3)))</f>
        <v/>
      </c>
      <c r="U327" s="124" t="str">
        <f>IF($B327="","",IF(U$3=0,"n.b.",INDEX(SRC_ZPMW03!$A$1:$ZZ$501,$A327,U$3)))</f>
        <v/>
      </c>
      <c r="V327" s="124" t="str">
        <f>IF($B327="","",IF(V$3=0,"n.b.",INDEX(SRC_ZPMW03!$A$1:$ZZ$501,$A327,V$3)))</f>
        <v/>
      </c>
      <c r="W327" s="124" t="str">
        <f>IF($B327="","",IF(W$3=0,"n.b.",INDEX(SRC_ZPMW03!$A$1:$ZZ$501,$A327,W$3)))</f>
        <v/>
      </c>
      <c r="X327" s="124" t="str">
        <f>IF($B327="","",IF(X$3=0,"n.b.",INDEX(SRC_ZPMW03!$A$1:$ZZ$501,$A327,X$3)))</f>
        <v/>
      </c>
      <c r="Y327" s="124" t="str">
        <f>IF($B327="","",IF(Y$3=0,"n.b.",INDEX(SRC_ZPMW03!$A$1:$ZZ$501,$A327,Y$3)))</f>
        <v/>
      </c>
      <c r="Z327" s="124" t="str">
        <f>IF($B327="","",IF(Z$3=0,"n.b.",INDEX(SRC_ZPMW03!$A$1:$ZZ$501,$A327,Z$3)))</f>
        <v/>
      </c>
      <c r="AA327" s="124" t="str">
        <f>IF($B327="","",IF(AA$3=0,"n.b.",INDEX(SRC_ZPMW03!$A$1:$ZZ$501,$A327,AA$3)))</f>
        <v/>
      </c>
      <c r="AB327" s="124" t="str">
        <f>IF($B327="","",IF(AB$3=0,"n.b.",INDEX(SRC_ZPMW03!$A$1:$ZZ$501,$A327,AB$3)))</f>
        <v/>
      </c>
      <c r="AC327" s="124" t="str">
        <f>IF($B327="","",IF(AC$3=0,"n.b.",INDEX(SRC_ZPMW03!$A$1:$ZZ$501,$A327,AC$3)))</f>
        <v/>
      </c>
      <c r="AD327" s="124" t="str">
        <f>IF($B327="","",IF(AD$3=0,"n.b.",INDEX(SRC_ZPMW03!$A$1:$ZZ$501,$A327,AD$3)))</f>
        <v/>
      </c>
      <c r="AE327" s="124" t="str">
        <f>IF($B327="","",IF(AE$3=0,"n.b.",INDEX(SRC_ZPMW03!$A$1:$ZZ$501,$A327,AE$3)))</f>
        <v/>
      </c>
      <c r="AF327" s="124" t="str">
        <f>IF($B327="","",IF(AF$3=0,"n.b.",INDEX(SRC_ZPMW03!$A$1:$ZZ$501,$A327,AF$3)))</f>
        <v/>
      </c>
      <c r="AG327" s="124" t="str">
        <f>IF($B327="","",IF(AG$3=0,"n.b.",INDEX(SRC_ZPMW03!$A$1:$ZZ$501,$A327,AG$3)))</f>
        <v/>
      </c>
      <c r="AH327" s="124" t="str">
        <f>IF($B327="","",IF(AH$3=0,"n.b.",INDEX(SRC_ZPMW03!$A$1:$ZZ$501,$A327,AH$3)))</f>
        <v/>
      </c>
      <c r="AI327" s="124" t="str">
        <f>IF($B327="","",IF(AI$3=0,"n.b.",INDEX(SRC_ZPMW03!$A$1:$ZZ$501,$A327,AI$3)))</f>
        <v/>
      </c>
      <c r="AJ327" s="124" t="str">
        <f>IF($B327="","",IF(AJ$3=0,"n.b.",INDEX(SRC_ZPMW03!$A$1:$ZZ$501,$A327,AJ$3)))</f>
        <v/>
      </c>
      <c r="AK327" s="124" t="str">
        <f>IF($B327="","",IF(AK$3=0,"n.b.",INDEX(SRC_ZPMW03!$A$1:$ZZ$501,$A327,AK$3)))</f>
        <v/>
      </c>
      <c r="AL327" s="124" t="str">
        <f>IF($B327="","",IF(AL$3=0,"n.b.",INDEX(SRC_ZPMW03!$A$1:$ZZ$501,$A327,AL$3)))</f>
        <v/>
      </c>
      <c r="AM327" s="124" t="str">
        <f>IF($B327="","",IF(AM$3=0,"n.b.",INDEX(SRC_ZPMW03!$A$1:$ZZ$501,$A327,AM$3)))</f>
        <v/>
      </c>
      <c r="AN327" s="124" t="str">
        <f>IF($B327="","",IF(AN$3=0,"n.b.",INDEX(SRC_ZPMW03!$A$1:$ZZ$501,$A327,AN$3)))</f>
        <v/>
      </c>
      <c r="AO327" s="124" t="str">
        <f>IF($B327="","",IF(AO$3=0,"n.b.",INDEX(SRC_ZPMW03!$A$1:$ZZ$501,$A327,AO$3)))</f>
        <v/>
      </c>
      <c r="AP327" s="124" t="str">
        <f>IF($B327="","",IF(AP$3=0,"n.b.",INDEX(SRC_ZPMW03!$A$1:$ZZ$501,$A327,AP$3)))</f>
        <v/>
      </c>
      <c r="AQ327" s="124" t="str">
        <f>IF($B327="","",IF(AQ$3=0,"n.b.",INDEX(SRC_ZPMW03!$A$1:$ZZ$501,$A327,AQ$3)))</f>
        <v/>
      </c>
      <c r="AR327" s="124" t="str">
        <f>IF($B327="","",IF(AR$3=0,"n.b.",INDEX(SRC_ZPMW03!$A$1:$ZZ$501,$A327,AR$3)))</f>
        <v/>
      </c>
      <c r="AS327" s="124" t="str">
        <f>IF($B327="","",IF(AS$3=0,"n.b.",INDEX(SRC_ZPMW03!$A$1:$ZZ$501,$A327,AS$3)))</f>
        <v/>
      </c>
      <c r="AT327" s="124" t="str">
        <f>IF($B327="","",IF(AT$3=0,"n.b.",INDEX(SRC_ZPMW03!$A$1:$ZZ$501,$A327,AT$3)))</f>
        <v/>
      </c>
      <c r="AU327" s="124" t="str">
        <f>IF($B327="","",IF(AU$3=0,"n.b.",INDEX(SRC_ZPMW03!$A$1:$ZZ$501,$A327,AU$3)))</f>
        <v/>
      </c>
      <c r="AV327" s="124" t="str">
        <f>IF($B327="","",IF(AV$3=0,"n.b.",INDEX(SRC_ZPMW03!$A$1:$ZZ$501,$A327,AV$3)))</f>
        <v/>
      </c>
      <c r="AW327" s="124" t="str">
        <f>IF($B327="","",IF(AW$3=0,"n.b.",INDEX(SRC_ZPMW03!$A$1:$ZZ$501,$A327,AW$3)))</f>
        <v/>
      </c>
      <c r="AX327" s="124" t="str">
        <f>IF($B327="","",IF(AX$3=0,"n.b.",INDEX(SRC_ZPMW03!$A$1:$ZZ$501,$A327,AX$3)))</f>
        <v/>
      </c>
      <c r="AY327" s="124" t="str">
        <f>IF($B327="","",IF(AY$3=0,"n.b.",INDEX(SRC_ZPMW03!$A$1:$ZZ$501,$A327,AY$3)))</f>
        <v/>
      </c>
      <c r="AZ327" s="124" t="str">
        <f>IF($B327="","",IF(AZ$3=0,"n.b.",INDEX(SRC_ZPMW03!$A$1:$ZZ$501,$A327,AZ$3)))</f>
        <v/>
      </c>
      <c r="BA327" s="124" t="str">
        <f>IF($B327="","",IF(BA$3=0,"n.b.",INDEX(SRC_ZPMW03!$A$1:$ZZ$501,$A327,BA$3)))</f>
        <v/>
      </c>
      <c r="BB327" s="124" t="str">
        <f>IF($B327="","",IF(BB$3=0,"n.b.",INDEX(SRC_ZPMW03!$A$1:$ZZ$501,$A327,BB$3)))</f>
        <v/>
      </c>
      <c r="BC327" s="124" t="str">
        <f>IF($B327="","",IF(BC$3=0,"n.b.",INDEX(SRC_ZPMW03!$A$1:$ZZ$501,$A327,BC$3)))</f>
        <v/>
      </c>
      <c r="BD327" s="124" t="str">
        <f>IF($B327="","",IF(BD$3=0,"n.b.",INDEX(SRC_ZPMW03!$A$1:$ZZ$501,$A327,BD$3)))</f>
        <v/>
      </c>
      <c r="BE327" s="124" t="str">
        <f>IF($B327="","",IF(BE$3=0,"n.b.",INDEX(SRC_ZPMW03!$A$1:$ZZ$501,$A327,BE$3)))</f>
        <v/>
      </c>
      <c r="BF327" s="124" t="str">
        <f>IF($B327="","",IF(BF$3=0,"n.b.",INDEX(SRC_ZPMW03!$A$1:$ZZ$501,$A327,BF$3)))</f>
        <v/>
      </c>
      <c r="BG327" t="str">
        <f>IF($B327="","",IF(BG$3=0,"n.b.",INDEX(SRC_ZPMW03!$A$1:$ZZ$501,$A327,BG$3)))</f>
        <v/>
      </c>
      <c r="BH327" t="str">
        <f>IF($B327="","",IF(BH$3=0,"n.b.",INDEX(SRC_ZPMW03!$A$1:$ZZ$501,$A327,BH$3)))</f>
        <v/>
      </c>
      <c r="BI327" t="str">
        <f>IF($B327="","",IF(BI$3=0,"n.b.",INDEX(SRC_ZPMW03!$A$1:$ZZ$501,$A327,BI$3)))</f>
        <v/>
      </c>
      <c r="BJ327" t="str">
        <f>IF($B327="","",IF(BJ$3=0,"n.b.",INDEX(SRC_ZPMW03!$A$1:$ZZ$501,$A327,BJ$3)))</f>
        <v/>
      </c>
      <c r="BK327" s="124" t="str">
        <f>IF($B327="","",IFERROR(-O327,"n.b."))</f>
        <v/>
      </c>
      <c r="BL327" s="124" t="str">
        <f>IF($B327="","",IFERROR(-Q327,"n.b."))</f>
        <v/>
      </c>
      <c r="BM327" s="124" t="str">
        <f>IF($B327="","",IFERROR(-AB327,"n.b."))</f>
        <v/>
      </c>
      <c r="BN327" s="124" t="str">
        <f>IF($B327="","",IFERROR(-AD327,"n.b."))</f>
        <v/>
      </c>
      <c r="BO327" s="124" t="str">
        <f>IF($B327="","",IFERROR(BK327+BM327,"n.b."))</f>
        <v/>
      </c>
      <c r="BP327" s="124" t="str">
        <f>IF($B327="","",IFERROR(BL327+BN327,"n.b."))</f>
        <v/>
      </c>
      <c r="BQ327" s="124" t="str">
        <f>IF($B327="","",IFERROR(-AM327,"n.b."))</f>
        <v/>
      </c>
      <c r="BR327" s="124" t="str">
        <f>IF($B327="","",IFERROR(-AO327,"n.b."))</f>
        <v/>
      </c>
      <c r="BS327" s="124" t="str">
        <f>IF($B327="","",IFERROR(-Z327,"n.b."))</f>
        <v/>
      </c>
      <c r="BT327" s="124" t="str">
        <f>IF($B327="","",IFERROR(-AA327,"n.b."))</f>
        <v/>
      </c>
      <c r="BU327" s="124" t="str">
        <f>IF($B327="","",IFERROR(-AE327,"n.b."))</f>
        <v/>
      </c>
      <c r="BV327" s="124" t="str">
        <f>IF($B327="","",IFERROR(-AF327,"n.b."))</f>
        <v/>
      </c>
      <c r="BW327" s="124" t="str">
        <f>IF($B327="","",IFERROR(-AG327,"n.b."))</f>
        <v/>
      </c>
      <c r="BX327" s="124" t="str">
        <f>IF($B327="","",IFERROR(-AH327,"n.b."))</f>
        <v/>
      </c>
      <c r="BY327" s="124" t="str">
        <f>IF($B327="","",IFERROR(-AI327,"n.b."))</f>
        <v/>
      </c>
      <c r="BZ327" s="124" t="str">
        <f>IF($B327="","",IFERROR(-AJ327,"n.b."))</f>
        <v/>
      </c>
      <c r="CA327" s="124" t="str">
        <f>IF($B327="","",IFERROR(-AK327,"n.b."))</f>
        <v/>
      </c>
      <c r="CB327" s="124" t="str">
        <f>IF($B327="","",IFERROR(-AL327,"n.b."))</f>
        <v/>
      </c>
      <c r="CC327" s="124" t="str">
        <f>IF($B327="","",IFERROR(-AP327,"n.b."))</f>
        <v/>
      </c>
      <c r="CD327" s="124" t="str">
        <f>IF($B327="","",IFERROR(-AQ327,"n.b."))</f>
        <v/>
      </c>
      <c r="CE327" s="124" t="str">
        <f>IF($B327="","",IFERROR(-AR327,"n.b."))</f>
        <v/>
      </c>
      <c r="CF327" s="124" t="str">
        <f>IF($B327="","",IFERROR(-AS327,"n.b."))</f>
        <v/>
      </c>
      <c r="CG327" s="124" t="str">
        <f>IF($B327="","",IFERROR(-AT327,"n.b."))</f>
        <v/>
      </c>
      <c r="CH327" s="124" t="str">
        <f>IF($B327="","",IFERROR(-AU327,"n.b."))</f>
        <v/>
      </c>
      <c r="CI327" s="124" t="str">
        <f>IF($B327="","",IFERROR(-AV327,"n.b."))</f>
        <v/>
      </c>
      <c r="CJ327" s="124" t="str">
        <f>IF($B327="","",IFERROR(-AW327,"n.b."))</f>
        <v/>
      </c>
      <c r="CK327" s="124" t="str">
        <f>IF($B327="","",IFERROR(-AX327,"n.b."))</f>
        <v/>
      </c>
      <c r="CL327" s="124" t="str">
        <f>IF($B327="","",IFERROR(-AY327,"n.b."))</f>
        <v/>
      </c>
      <c r="CM327" s="124" t="str">
        <f>IF($B327="","",IFERROR(-AZ327,"n.b."))</f>
        <v/>
      </c>
      <c r="CN327" s="124" t="str">
        <f>IF($B327="","",IFERROR(-BA327,"n.b."))</f>
        <v/>
      </c>
      <c r="CO327" s="124" t="str">
        <f>IF($B327="","",IFERROR(-BB327,"n.b."))</f>
        <v/>
      </c>
      <c r="CP327" s="124" t="str">
        <f>IF($B327="","",IFERROR(-BC327,"n.b."))</f>
        <v/>
      </c>
      <c r="CQ327" s="124" t="str">
        <f>IF($B327="","",IFERROR(-BD327,"n.b."))</f>
        <v/>
      </c>
      <c r="CR327" s="124" t="str">
        <f>IF($B327="","",IFERROR(-BE327,"n.b."))</f>
        <v/>
      </c>
      <c r="CS327" s="124" t="str">
        <f>IF($B327="","",IFERROR(IF(OR(ABS(T327+V327+X327+Z327-AB327)&gt;P_Tol,ABS(U327+W327+Y327+AA327-AD327)&gt;P_Tol,ABS(AE327+AG327+AI327+AK327-AM327)&gt;P_Tol,ABS(AF327+AH327+AJ327+AL327-AO327)&gt;P_Tol),1,0),1))</f>
        <v/>
      </c>
      <c r="CT327" s="124" t="str">
        <f>IF($B327="","",IFERROR(IF(OR(ABS(AB327+AC327-AD327)&gt;P_Tol,ABS(AM327+AN327-AO327)&gt;P_Tol,ABS(O327+P327-Q327)&gt;P_Tol),1,0),1))</f>
        <v/>
      </c>
      <c r="CU327" s="124" t="str">
        <f>IF($B327="","",IFERROR(IF(ABS(R327-(AB327+AM327+AP327+AR327+AT327+AV327+AX327+AZ327+BB327+BD327))&gt;P_Tol,1,0),1))</f>
        <v/>
      </c>
      <c r="CV327" s="124" t="str">
        <f>IF($B327="","",IFERROR(IF(ABS(M327-(N327+O327+R327))&gt;P_Tol,1,0),1))</f>
        <v/>
      </c>
      <c r="CW327" s="124" t="str">
        <f>IF($B327="","",IF(COUNTIF(Mapping!$A$5:$A$104,B327)&gt;0,1,0))</f>
        <v/>
      </c>
      <c r="CX327" s="124" t="str">
        <f>IF($B327="","",COUNTIF($B$6:$B$505,B327))</f>
        <v/>
      </c>
      <c r="CY327" s="124" t="str">
        <f>IF($B327="","",COUNTIF(STG_Woningetalage!$B$6:$B$505,B327))</f>
        <v/>
      </c>
      <c r="CZ327" s="124" t="str">
        <f>IF($B327="","",IF(CW327=0,COUNTIF($CW$6:CW327,0),""))</f>
        <v/>
      </c>
    </row>
    <row r="328">
      <c r="A328" s="15" t="n">
        <v>324</v>
      </c>
      <c r="B328" t="str">
        <f>IF(B$3=0,"",IF(INDEX(SRC_ZPMW03!$A$1:$ZZ$501,$A328,B$3)&amp;""="","",INDEX(SRC_ZPMW03!$A$1:$ZZ$501,$A328,B$3)&amp;""))</f>
        <v/>
      </c>
      <c r="C328" t="str">
        <f>IF($B328="","",IF(C$3=0,"n.b.",INDEX(SRC_ZPMW03!$A$1:$ZZ$501,$A328,C$3)))</f>
        <v/>
      </c>
      <c r="D328" t="str">
        <f>IF($B328="","",IF(D$3=0,"n.b.",INDEX(SRC_ZPMW03!$A$1:$ZZ$501,$A328,D$3)))</f>
        <v/>
      </c>
      <c r="E328" t="str">
        <f>IF($B328="","",IF(E$3=0,"n.b.",INDEX(SRC_ZPMW03!$A$1:$ZZ$501,$A328,E$3)))</f>
        <v/>
      </c>
      <c r="F328" t="str">
        <f>IF($B328="","",IF(F$3=0,"n.b.",INDEX(SRC_ZPMW03!$A$1:$ZZ$501,$A328,F$3)))</f>
        <v/>
      </c>
      <c r="G328" t="str">
        <f>IF($B328="","",IF(G$3=0,"n.b.",INDEX(SRC_ZPMW03!$A$1:$ZZ$501,$A328,G$3)))</f>
        <v/>
      </c>
      <c r="H328" t="str">
        <f>IF($B328="","",IF(H$3=0,"n.b.",INDEX(SRC_ZPMW03!$A$1:$ZZ$501,$A328,H$3)))</f>
        <v/>
      </c>
      <c r="I328" t="str">
        <f>IF($B328="","",IF(I$3=0,"n.b.",INDEX(SRC_ZPMW03!$A$1:$ZZ$501,$A328,I$3)))</f>
        <v/>
      </c>
      <c r="J328" t="str">
        <f>IF($B328="","",IF(J$3=0,"n.b.",INDEX(SRC_ZPMW03!$A$1:$ZZ$501,$A328,J$3)))</f>
        <v/>
      </c>
      <c r="K328" t="str">
        <f>IF($B328="","",IF(K$3=0,"n.b.",INDEX(SRC_ZPMW03!$A$1:$ZZ$501,$A328,K$3)))</f>
        <v/>
      </c>
      <c r="L328" s="124" t="str">
        <f>IF($B328="","",IF(L$3=0,"n.b.",INDEX(SRC_ZPMW03!$A$1:$ZZ$501,$A328,L$3)))</f>
        <v/>
      </c>
      <c r="M328" s="124" t="str">
        <f>IF($B328="","",IF(M$3=0,"n.b.",INDEX(SRC_ZPMW03!$A$1:$ZZ$501,$A328,M$3)))</f>
        <v/>
      </c>
      <c r="N328" s="124" t="str">
        <f>IF($B328="","",IF(N$3=0,"n.b.",INDEX(SRC_ZPMW03!$A$1:$ZZ$501,$A328,N$3)))</f>
        <v/>
      </c>
      <c r="O328" s="124" t="str">
        <f>IF($B328="","",IF(O$3=0,"n.b.",INDEX(SRC_ZPMW03!$A$1:$ZZ$501,$A328,O$3)))</f>
        <v/>
      </c>
      <c r="P328" s="124" t="str">
        <f>IF($B328="","",IF(P$3=0,"n.b.",INDEX(SRC_ZPMW03!$A$1:$ZZ$501,$A328,P$3)))</f>
        <v/>
      </c>
      <c r="Q328" s="124" t="str">
        <f>IF($B328="","",IF(Q$3=0,"n.b.",INDEX(SRC_ZPMW03!$A$1:$ZZ$501,$A328,Q$3)))</f>
        <v/>
      </c>
      <c r="R328" s="124" t="str">
        <f>IF($B328="","",IF(R$3=0,"n.b.",INDEX(SRC_ZPMW03!$A$1:$ZZ$501,$A328,R$3)))</f>
        <v/>
      </c>
      <c r="S328" s="124" t="str">
        <f>IF($B328="","",IF(S$3=0,"n.b.",INDEX(SRC_ZPMW03!$A$1:$ZZ$501,$A328,S$3)))</f>
        <v/>
      </c>
      <c r="T328" s="124" t="str">
        <f>IF($B328="","",IF(T$3=0,"n.b.",INDEX(SRC_ZPMW03!$A$1:$ZZ$501,$A328,T$3)))</f>
        <v/>
      </c>
      <c r="U328" s="124" t="str">
        <f>IF($B328="","",IF(U$3=0,"n.b.",INDEX(SRC_ZPMW03!$A$1:$ZZ$501,$A328,U$3)))</f>
        <v/>
      </c>
      <c r="V328" s="124" t="str">
        <f>IF($B328="","",IF(V$3=0,"n.b.",INDEX(SRC_ZPMW03!$A$1:$ZZ$501,$A328,V$3)))</f>
        <v/>
      </c>
      <c r="W328" s="124" t="str">
        <f>IF($B328="","",IF(W$3=0,"n.b.",INDEX(SRC_ZPMW03!$A$1:$ZZ$501,$A328,W$3)))</f>
        <v/>
      </c>
      <c r="X328" s="124" t="str">
        <f>IF($B328="","",IF(X$3=0,"n.b.",INDEX(SRC_ZPMW03!$A$1:$ZZ$501,$A328,X$3)))</f>
        <v/>
      </c>
      <c r="Y328" s="124" t="str">
        <f>IF($B328="","",IF(Y$3=0,"n.b.",INDEX(SRC_ZPMW03!$A$1:$ZZ$501,$A328,Y$3)))</f>
        <v/>
      </c>
      <c r="Z328" s="124" t="str">
        <f>IF($B328="","",IF(Z$3=0,"n.b.",INDEX(SRC_ZPMW03!$A$1:$ZZ$501,$A328,Z$3)))</f>
        <v/>
      </c>
      <c r="AA328" s="124" t="str">
        <f>IF($B328="","",IF(AA$3=0,"n.b.",INDEX(SRC_ZPMW03!$A$1:$ZZ$501,$A328,AA$3)))</f>
        <v/>
      </c>
      <c r="AB328" s="124" t="str">
        <f>IF($B328="","",IF(AB$3=0,"n.b.",INDEX(SRC_ZPMW03!$A$1:$ZZ$501,$A328,AB$3)))</f>
        <v/>
      </c>
      <c r="AC328" s="124" t="str">
        <f>IF($B328="","",IF(AC$3=0,"n.b.",INDEX(SRC_ZPMW03!$A$1:$ZZ$501,$A328,AC$3)))</f>
        <v/>
      </c>
      <c r="AD328" s="124" t="str">
        <f>IF($B328="","",IF(AD$3=0,"n.b.",INDEX(SRC_ZPMW03!$A$1:$ZZ$501,$A328,AD$3)))</f>
        <v/>
      </c>
      <c r="AE328" s="124" t="str">
        <f>IF($B328="","",IF(AE$3=0,"n.b.",INDEX(SRC_ZPMW03!$A$1:$ZZ$501,$A328,AE$3)))</f>
        <v/>
      </c>
      <c r="AF328" s="124" t="str">
        <f>IF($B328="","",IF(AF$3=0,"n.b.",INDEX(SRC_ZPMW03!$A$1:$ZZ$501,$A328,AF$3)))</f>
        <v/>
      </c>
      <c r="AG328" s="124" t="str">
        <f>IF($B328="","",IF(AG$3=0,"n.b.",INDEX(SRC_ZPMW03!$A$1:$ZZ$501,$A328,AG$3)))</f>
        <v/>
      </c>
      <c r="AH328" s="124" t="str">
        <f>IF($B328="","",IF(AH$3=0,"n.b.",INDEX(SRC_ZPMW03!$A$1:$ZZ$501,$A328,AH$3)))</f>
        <v/>
      </c>
      <c r="AI328" s="124" t="str">
        <f>IF($B328="","",IF(AI$3=0,"n.b.",INDEX(SRC_ZPMW03!$A$1:$ZZ$501,$A328,AI$3)))</f>
        <v/>
      </c>
      <c r="AJ328" s="124" t="str">
        <f>IF($B328="","",IF(AJ$3=0,"n.b.",INDEX(SRC_ZPMW03!$A$1:$ZZ$501,$A328,AJ$3)))</f>
        <v/>
      </c>
      <c r="AK328" s="124" t="str">
        <f>IF($B328="","",IF(AK$3=0,"n.b.",INDEX(SRC_ZPMW03!$A$1:$ZZ$501,$A328,AK$3)))</f>
        <v/>
      </c>
      <c r="AL328" s="124" t="str">
        <f>IF($B328="","",IF(AL$3=0,"n.b.",INDEX(SRC_ZPMW03!$A$1:$ZZ$501,$A328,AL$3)))</f>
        <v/>
      </c>
      <c r="AM328" s="124" t="str">
        <f>IF($B328="","",IF(AM$3=0,"n.b.",INDEX(SRC_ZPMW03!$A$1:$ZZ$501,$A328,AM$3)))</f>
        <v/>
      </c>
      <c r="AN328" s="124" t="str">
        <f>IF($B328="","",IF(AN$3=0,"n.b.",INDEX(SRC_ZPMW03!$A$1:$ZZ$501,$A328,AN$3)))</f>
        <v/>
      </c>
      <c r="AO328" s="124" t="str">
        <f>IF($B328="","",IF(AO$3=0,"n.b.",INDEX(SRC_ZPMW03!$A$1:$ZZ$501,$A328,AO$3)))</f>
        <v/>
      </c>
      <c r="AP328" s="124" t="str">
        <f>IF($B328="","",IF(AP$3=0,"n.b.",INDEX(SRC_ZPMW03!$A$1:$ZZ$501,$A328,AP$3)))</f>
        <v/>
      </c>
      <c r="AQ328" s="124" t="str">
        <f>IF($B328="","",IF(AQ$3=0,"n.b.",INDEX(SRC_ZPMW03!$A$1:$ZZ$501,$A328,AQ$3)))</f>
        <v/>
      </c>
      <c r="AR328" s="124" t="str">
        <f>IF($B328="","",IF(AR$3=0,"n.b.",INDEX(SRC_ZPMW03!$A$1:$ZZ$501,$A328,AR$3)))</f>
        <v/>
      </c>
      <c r="AS328" s="124" t="str">
        <f>IF($B328="","",IF(AS$3=0,"n.b.",INDEX(SRC_ZPMW03!$A$1:$ZZ$501,$A328,AS$3)))</f>
        <v/>
      </c>
      <c r="AT328" s="124" t="str">
        <f>IF($B328="","",IF(AT$3=0,"n.b.",INDEX(SRC_ZPMW03!$A$1:$ZZ$501,$A328,AT$3)))</f>
        <v/>
      </c>
      <c r="AU328" s="124" t="str">
        <f>IF($B328="","",IF(AU$3=0,"n.b.",INDEX(SRC_ZPMW03!$A$1:$ZZ$501,$A328,AU$3)))</f>
        <v/>
      </c>
      <c r="AV328" s="124" t="str">
        <f>IF($B328="","",IF(AV$3=0,"n.b.",INDEX(SRC_ZPMW03!$A$1:$ZZ$501,$A328,AV$3)))</f>
        <v/>
      </c>
      <c r="AW328" s="124" t="str">
        <f>IF($B328="","",IF(AW$3=0,"n.b.",INDEX(SRC_ZPMW03!$A$1:$ZZ$501,$A328,AW$3)))</f>
        <v/>
      </c>
      <c r="AX328" s="124" t="str">
        <f>IF($B328="","",IF(AX$3=0,"n.b.",INDEX(SRC_ZPMW03!$A$1:$ZZ$501,$A328,AX$3)))</f>
        <v/>
      </c>
      <c r="AY328" s="124" t="str">
        <f>IF($B328="","",IF(AY$3=0,"n.b.",INDEX(SRC_ZPMW03!$A$1:$ZZ$501,$A328,AY$3)))</f>
        <v/>
      </c>
      <c r="AZ328" s="124" t="str">
        <f>IF($B328="","",IF(AZ$3=0,"n.b.",INDEX(SRC_ZPMW03!$A$1:$ZZ$501,$A328,AZ$3)))</f>
        <v/>
      </c>
      <c r="BA328" s="124" t="str">
        <f>IF($B328="","",IF(BA$3=0,"n.b.",INDEX(SRC_ZPMW03!$A$1:$ZZ$501,$A328,BA$3)))</f>
        <v/>
      </c>
      <c r="BB328" s="124" t="str">
        <f>IF($B328="","",IF(BB$3=0,"n.b.",INDEX(SRC_ZPMW03!$A$1:$ZZ$501,$A328,BB$3)))</f>
        <v/>
      </c>
      <c r="BC328" s="124" t="str">
        <f>IF($B328="","",IF(BC$3=0,"n.b.",INDEX(SRC_ZPMW03!$A$1:$ZZ$501,$A328,BC$3)))</f>
        <v/>
      </c>
      <c r="BD328" s="124" t="str">
        <f>IF($B328="","",IF(BD$3=0,"n.b.",INDEX(SRC_ZPMW03!$A$1:$ZZ$501,$A328,BD$3)))</f>
        <v/>
      </c>
      <c r="BE328" s="124" t="str">
        <f>IF($B328="","",IF(BE$3=0,"n.b.",INDEX(SRC_ZPMW03!$A$1:$ZZ$501,$A328,BE$3)))</f>
        <v/>
      </c>
      <c r="BF328" s="124" t="str">
        <f>IF($B328="","",IF(BF$3=0,"n.b.",INDEX(SRC_ZPMW03!$A$1:$ZZ$501,$A328,BF$3)))</f>
        <v/>
      </c>
      <c r="BG328" t="str">
        <f>IF($B328="","",IF(BG$3=0,"n.b.",INDEX(SRC_ZPMW03!$A$1:$ZZ$501,$A328,BG$3)))</f>
        <v/>
      </c>
      <c r="BH328" t="str">
        <f>IF($B328="","",IF(BH$3=0,"n.b.",INDEX(SRC_ZPMW03!$A$1:$ZZ$501,$A328,BH$3)))</f>
        <v/>
      </c>
      <c r="BI328" t="str">
        <f>IF($B328="","",IF(BI$3=0,"n.b.",INDEX(SRC_ZPMW03!$A$1:$ZZ$501,$A328,BI$3)))</f>
        <v/>
      </c>
      <c r="BJ328" t="str">
        <f>IF($B328="","",IF(BJ$3=0,"n.b.",INDEX(SRC_ZPMW03!$A$1:$ZZ$501,$A328,BJ$3)))</f>
        <v/>
      </c>
      <c r="BK328" s="124" t="str">
        <f>IF($B328="","",IFERROR(-O328,"n.b."))</f>
        <v/>
      </c>
      <c r="BL328" s="124" t="str">
        <f>IF($B328="","",IFERROR(-Q328,"n.b."))</f>
        <v/>
      </c>
      <c r="BM328" s="124" t="str">
        <f>IF($B328="","",IFERROR(-AB328,"n.b."))</f>
        <v/>
      </c>
      <c r="BN328" s="124" t="str">
        <f>IF($B328="","",IFERROR(-AD328,"n.b."))</f>
        <v/>
      </c>
      <c r="BO328" s="124" t="str">
        <f>IF($B328="","",IFERROR(BK328+BM328,"n.b."))</f>
        <v/>
      </c>
      <c r="BP328" s="124" t="str">
        <f>IF($B328="","",IFERROR(BL328+BN328,"n.b."))</f>
        <v/>
      </c>
      <c r="BQ328" s="124" t="str">
        <f>IF($B328="","",IFERROR(-AM328,"n.b."))</f>
        <v/>
      </c>
      <c r="BR328" s="124" t="str">
        <f>IF($B328="","",IFERROR(-AO328,"n.b."))</f>
        <v/>
      </c>
      <c r="BS328" s="124" t="str">
        <f>IF($B328="","",IFERROR(-Z328,"n.b."))</f>
        <v/>
      </c>
      <c r="BT328" s="124" t="str">
        <f>IF($B328="","",IFERROR(-AA328,"n.b."))</f>
        <v/>
      </c>
      <c r="BU328" s="124" t="str">
        <f>IF($B328="","",IFERROR(-AE328,"n.b."))</f>
        <v/>
      </c>
      <c r="BV328" s="124" t="str">
        <f>IF($B328="","",IFERROR(-AF328,"n.b."))</f>
        <v/>
      </c>
      <c r="BW328" s="124" t="str">
        <f>IF($B328="","",IFERROR(-AG328,"n.b."))</f>
        <v/>
      </c>
      <c r="BX328" s="124" t="str">
        <f>IF($B328="","",IFERROR(-AH328,"n.b."))</f>
        <v/>
      </c>
      <c r="BY328" s="124" t="str">
        <f>IF($B328="","",IFERROR(-AI328,"n.b."))</f>
        <v/>
      </c>
      <c r="BZ328" s="124" t="str">
        <f>IF($B328="","",IFERROR(-AJ328,"n.b."))</f>
        <v/>
      </c>
      <c r="CA328" s="124" t="str">
        <f>IF($B328="","",IFERROR(-AK328,"n.b."))</f>
        <v/>
      </c>
      <c r="CB328" s="124" t="str">
        <f>IF($B328="","",IFERROR(-AL328,"n.b."))</f>
        <v/>
      </c>
      <c r="CC328" s="124" t="str">
        <f>IF($B328="","",IFERROR(-AP328,"n.b."))</f>
        <v/>
      </c>
      <c r="CD328" s="124" t="str">
        <f>IF($B328="","",IFERROR(-AQ328,"n.b."))</f>
        <v/>
      </c>
      <c r="CE328" s="124" t="str">
        <f>IF($B328="","",IFERROR(-AR328,"n.b."))</f>
        <v/>
      </c>
      <c r="CF328" s="124" t="str">
        <f>IF($B328="","",IFERROR(-AS328,"n.b."))</f>
        <v/>
      </c>
      <c r="CG328" s="124" t="str">
        <f>IF($B328="","",IFERROR(-AT328,"n.b."))</f>
        <v/>
      </c>
      <c r="CH328" s="124" t="str">
        <f>IF($B328="","",IFERROR(-AU328,"n.b."))</f>
        <v/>
      </c>
      <c r="CI328" s="124" t="str">
        <f>IF($B328="","",IFERROR(-AV328,"n.b."))</f>
        <v/>
      </c>
      <c r="CJ328" s="124" t="str">
        <f>IF($B328="","",IFERROR(-AW328,"n.b."))</f>
        <v/>
      </c>
      <c r="CK328" s="124" t="str">
        <f>IF($B328="","",IFERROR(-AX328,"n.b."))</f>
        <v/>
      </c>
      <c r="CL328" s="124" t="str">
        <f>IF($B328="","",IFERROR(-AY328,"n.b."))</f>
        <v/>
      </c>
      <c r="CM328" s="124" t="str">
        <f>IF($B328="","",IFERROR(-AZ328,"n.b."))</f>
        <v/>
      </c>
      <c r="CN328" s="124" t="str">
        <f>IF($B328="","",IFERROR(-BA328,"n.b."))</f>
        <v/>
      </c>
      <c r="CO328" s="124" t="str">
        <f>IF($B328="","",IFERROR(-BB328,"n.b."))</f>
        <v/>
      </c>
      <c r="CP328" s="124" t="str">
        <f>IF($B328="","",IFERROR(-BC328,"n.b."))</f>
        <v/>
      </c>
      <c r="CQ328" s="124" t="str">
        <f>IF($B328="","",IFERROR(-BD328,"n.b."))</f>
        <v/>
      </c>
      <c r="CR328" s="124" t="str">
        <f>IF($B328="","",IFERROR(-BE328,"n.b."))</f>
        <v/>
      </c>
      <c r="CS328" s="124" t="str">
        <f>IF($B328="","",IFERROR(IF(OR(ABS(T328+V328+X328+Z328-AB328)&gt;P_Tol,ABS(U328+W328+Y328+AA328-AD328)&gt;P_Tol,ABS(AE328+AG328+AI328+AK328-AM328)&gt;P_Tol,ABS(AF328+AH328+AJ328+AL328-AO328)&gt;P_Tol),1,0),1))</f>
        <v/>
      </c>
      <c r="CT328" s="124" t="str">
        <f>IF($B328="","",IFERROR(IF(OR(ABS(AB328+AC328-AD328)&gt;P_Tol,ABS(AM328+AN328-AO328)&gt;P_Tol,ABS(O328+P328-Q328)&gt;P_Tol),1,0),1))</f>
        <v/>
      </c>
      <c r="CU328" s="124" t="str">
        <f>IF($B328="","",IFERROR(IF(ABS(R328-(AB328+AM328+AP328+AR328+AT328+AV328+AX328+AZ328+BB328+BD328))&gt;P_Tol,1,0),1))</f>
        <v/>
      </c>
      <c r="CV328" s="124" t="str">
        <f>IF($B328="","",IFERROR(IF(ABS(M328-(N328+O328+R328))&gt;P_Tol,1,0),1))</f>
        <v/>
      </c>
      <c r="CW328" s="124" t="str">
        <f>IF($B328="","",IF(COUNTIF(Mapping!$A$5:$A$104,B328)&gt;0,1,0))</f>
        <v/>
      </c>
      <c r="CX328" s="124" t="str">
        <f>IF($B328="","",COUNTIF($B$6:$B$505,B328))</f>
        <v/>
      </c>
      <c r="CY328" s="124" t="str">
        <f>IF($B328="","",COUNTIF(STG_Woningetalage!$B$6:$B$505,B328))</f>
        <v/>
      </c>
      <c r="CZ328" s="124" t="str">
        <f>IF($B328="","",IF(CW328=0,COUNTIF($CW$6:CW328,0),""))</f>
        <v/>
      </c>
    </row>
    <row r="329">
      <c r="A329" s="15" t="n">
        <v>325</v>
      </c>
      <c r="B329" t="str">
        <f>IF(B$3=0,"",IF(INDEX(SRC_ZPMW03!$A$1:$ZZ$501,$A329,B$3)&amp;""="","",INDEX(SRC_ZPMW03!$A$1:$ZZ$501,$A329,B$3)&amp;""))</f>
        <v/>
      </c>
      <c r="C329" t="str">
        <f>IF($B329="","",IF(C$3=0,"n.b.",INDEX(SRC_ZPMW03!$A$1:$ZZ$501,$A329,C$3)))</f>
        <v/>
      </c>
      <c r="D329" t="str">
        <f>IF($B329="","",IF(D$3=0,"n.b.",INDEX(SRC_ZPMW03!$A$1:$ZZ$501,$A329,D$3)))</f>
        <v/>
      </c>
      <c r="E329" t="str">
        <f>IF($B329="","",IF(E$3=0,"n.b.",INDEX(SRC_ZPMW03!$A$1:$ZZ$501,$A329,E$3)))</f>
        <v/>
      </c>
      <c r="F329" t="str">
        <f>IF($B329="","",IF(F$3=0,"n.b.",INDEX(SRC_ZPMW03!$A$1:$ZZ$501,$A329,F$3)))</f>
        <v/>
      </c>
      <c r="G329" t="str">
        <f>IF($B329="","",IF(G$3=0,"n.b.",INDEX(SRC_ZPMW03!$A$1:$ZZ$501,$A329,G$3)))</f>
        <v/>
      </c>
      <c r="H329" t="str">
        <f>IF($B329="","",IF(H$3=0,"n.b.",INDEX(SRC_ZPMW03!$A$1:$ZZ$501,$A329,H$3)))</f>
        <v/>
      </c>
      <c r="I329" t="str">
        <f>IF($B329="","",IF(I$3=0,"n.b.",INDEX(SRC_ZPMW03!$A$1:$ZZ$501,$A329,I$3)))</f>
        <v/>
      </c>
      <c r="J329" t="str">
        <f>IF($B329="","",IF(J$3=0,"n.b.",INDEX(SRC_ZPMW03!$A$1:$ZZ$501,$A329,J$3)))</f>
        <v/>
      </c>
      <c r="K329" t="str">
        <f>IF($B329="","",IF(K$3=0,"n.b.",INDEX(SRC_ZPMW03!$A$1:$ZZ$501,$A329,K$3)))</f>
        <v/>
      </c>
      <c r="L329" s="124" t="str">
        <f>IF($B329="","",IF(L$3=0,"n.b.",INDEX(SRC_ZPMW03!$A$1:$ZZ$501,$A329,L$3)))</f>
        <v/>
      </c>
      <c r="M329" s="124" t="str">
        <f>IF($B329="","",IF(M$3=0,"n.b.",INDEX(SRC_ZPMW03!$A$1:$ZZ$501,$A329,M$3)))</f>
        <v/>
      </c>
      <c r="N329" s="124" t="str">
        <f>IF($B329="","",IF(N$3=0,"n.b.",INDEX(SRC_ZPMW03!$A$1:$ZZ$501,$A329,N$3)))</f>
        <v/>
      </c>
      <c r="O329" s="124" t="str">
        <f>IF($B329="","",IF(O$3=0,"n.b.",INDEX(SRC_ZPMW03!$A$1:$ZZ$501,$A329,O$3)))</f>
        <v/>
      </c>
      <c r="P329" s="124" t="str">
        <f>IF($B329="","",IF(P$3=0,"n.b.",INDEX(SRC_ZPMW03!$A$1:$ZZ$501,$A329,P$3)))</f>
        <v/>
      </c>
      <c r="Q329" s="124" t="str">
        <f>IF($B329="","",IF(Q$3=0,"n.b.",INDEX(SRC_ZPMW03!$A$1:$ZZ$501,$A329,Q$3)))</f>
        <v/>
      </c>
      <c r="R329" s="124" t="str">
        <f>IF($B329="","",IF(R$3=0,"n.b.",INDEX(SRC_ZPMW03!$A$1:$ZZ$501,$A329,R$3)))</f>
        <v/>
      </c>
      <c r="S329" s="124" t="str">
        <f>IF($B329="","",IF(S$3=0,"n.b.",INDEX(SRC_ZPMW03!$A$1:$ZZ$501,$A329,S$3)))</f>
        <v/>
      </c>
      <c r="T329" s="124" t="str">
        <f>IF($B329="","",IF(T$3=0,"n.b.",INDEX(SRC_ZPMW03!$A$1:$ZZ$501,$A329,T$3)))</f>
        <v/>
      </c>
      <c r="U329" s="124" t="str">
        <f>IF($B329="","",IF(U$3=0,"n.b.",INDEX(SRC_ZPMW03!$A$1:$ZZ$501,$A329,U$3)))</f>
        <v/>
      </c>
      <c r="V329" s="124" t="str">
        <f>IF($B329="","",IF(V$3=0,"n.b.",INDEX(SRC_ZPMW03!$A$1:$ZZ$501,$A329,V$3)))</f>
        <v/>
      </c>
      <c r="W329" s="124" t="str">
        <f>IF($B329="","",IF(W$3=0,"n.b.",INDEX(SRC_ZPMW03!$A$1:$ZZ$501,$A329,W$3)))</f>
        <v/>
      </c>
      <c r="X329" s="124" t="str">
        <f>IF($B329="","",IF(X$3=0,"n.b.",INDEX(SRC_ZPMW03!$A$1:$ZZ$501,$A329,X$3)))</f>
        <v/>
      </c>
      <c r="Y329" s="124" t="str">
        <f>IF($B329="","",IF(Y$3=0,"n.b.",INDEX(SRC_ZPMW03!$A$1:$ZZ$501,$A329,Y$3)))</f>
        <v/>
      </c>
      <c r="Z329" s="124" t="str">
        <f>IF($B329="","",IF(Z$3=0,"n.b.",INDEX(SRC_ZPMW03!$A$1:$ZZ$501,$A329,Z$3)))</f>
        <v/>
      </c>
      <c r="AA329" s="124" t="str">
        <f>IF($B329="","",IF(AA$3=0,"n.b.",INDEX(SRC_ZPMW03!$A$1:$ZZ$501,$A329,AA$3)))</f>
        <v/>
      </c>
      <c r="AB329" s="124" t="str">
        <f>IF($B329="","",IF(AB$3=0,"n.b.",INDEX(SRC_ZPMW03!$A$1:$ZZ$501,$A329,AB$3)))</f>
        <v/>
      </c>
      <c r="AC329" s="124" t="str">
        <f>IF($B329="","",IF(AC$3=0,"n.b.",INDEX(SRC_ZPMW03!$A$1:$ZZ$501,$A329,AC$3)))</f>
        <v/>
      </c>
      <c r="AD329" s="124" t="str">
        <f>IF($B329="","",IF(AD$3=0,"n.b.",INDEX(SRC_ZPMW03!$A$1:$ZZ$501,$A329,AD$3)))</f>
        <v/>
      </c>
      <c r="AE329" s="124" t="str">
        <f>IF($B329="","",IF(AE$3=0,"n.b.",INDEX(SRC_ZPMW03!$A$1:$ZZ$501,$A329,AE$3)))</f>
        <v/>
      </c>
      <c r="AF329" s="124" t="str">
        <f>IF($B329="","",IF(AF$3=0,"n.b.",INDEX(SRC_ZPMW03!$A$1:$ZZ$501,$A329,AF$3)))</f>
        <v/>
      </c>
      <c r="AG329" s="124" t="str">
        <f>IF($B329="","",IF(AG$3=0,"n.b.",INDEX(SRC_ZPMW03!$A$1:$ZZ$501,$A329,AG$3)))</f>
        <v/>
      </c>
      <c r="AH329" s="124" t="str">
        <f>IF($B329="","",IF(AH$3=0,"n.b.",INDEX(SRC_ZPMW03!$A$1:$ZZ$501,$A329,AH$3)))</f>
        <v/>
      </c>
      <c r="AI329" s="124" t="str">
        <f>IF($B329="","",IF(AI$3=0,"n.b.",INDEX(SRC_ZPMW03!$A$1:$ZZ$501,$A329,AI$3)))</f>
        <v/>
      </c>
      <c r="AJ329" s="124" t="str">
        <f>IF($B329="","",IF(AJ$3=0,"n.b.",INDEX(SRC_ZPMW03!$A$1:$ZZ$501,$A329,AJ$3)))</f>
        <v/>
      </c>
      <c r="AK329" s="124" t="str">
        <f>IF($B329="","",IF(AK$3=0,"n.b.",INDEX(SRC_ZPMW03!$A$1:$ZZ$501,$A329,AK$3)))</f>
        <v/>
      </c>
      <c r="AL329" s="124" t="str">
        <f>IF($B329="","",IF(AL$3=0,"n.b.",INDEX(SRC_ZPMW03!$A$1:$ZZ$501,$A329,AL$3)))</f>
        <v/>
      </c>
      <c r="AM329" s="124" t="str">
        <f>IF($B329="","",IF(AM$3=0,"n.b.",INDEX(SRC_ZPMW03!$A$1:$ZZ$501,$A329,AM$3)))</f>
        <v/>
      </c>
      <c r="AN329" s="124" t="str">
        <f>IF($B329="","",IF(AN$3=0,"n.b.",INDEX(SRC_ZPMW03!$A$1:$ZZ$501,$A329,AN$3)))</f>
        <v/>
      </c>
      <c r="AO329" s="124" t="str">
        <f>IF($B329="","",IF(AO$3=0,"n.b.",INDEX(SRC_ZPMW03!$A$1:$ZZ$501,$A329,AO$3)))</f>
        <v/>
      </c>
      <c r="AP329" s="124" t="str">
        <f>IF($B329="","",IF(AP$3=0,"n.b.",INDEX(SRC_ZPMW03!$A$1:$ZZ$501,$A329,AP$3)))</f>
        <v/>
      </c>
      <c r="AQ329" s="124" t="str">
        <f>IF($B329="","",IF(AQ$3=0,"n.b.",INDEX(SRC_ZPMW03!$A$1:$ZZ$501,$A329,AQ$3)))</f>
        <v/>
      </c>
      <c r="AR329" s="124" t="str">
        <f>IF($B329="","",IF(AR$3=0,"n.b.",INDEX(SRC_ZPMW03!$A$1:$ZZ$501,$A329,AR$3)))</f>
        <v/>
      </c>
      <c r="AS329" s="124" t="str">
        <f>IF($B329="","",IF(AS$3=0,"n.b.",INDEX(SRC_ZPMW03!$A$1:$ZZ$501,$A329,AS$3)))</f>
        <v/>
      </c>
      <c r="AT329" s="124" t="str">
        <f>IF($B329="","",IF(AT$3=0,"n.b.",INDEX(SRC_ZPMW03!$A$1:$ZZ$501,$A329,AT$3)))</f>
        <v/>
      </c>
      <c r="AU329" s="124" t="str">
        <f>IF($B329="","",IF(AU$3=0,"n.b.",INDEX(SRC_ZPMW03!$A$1:$ZZ$501,$A329,AU$3)))</f>
        <v/>
      </c>
      <c r="AV329" s="124" t="str">
        <f>IF($B329="","",IF(AV$3=0,"n.b.",INDEX(SRC_ZPMW03!$A$1:$ZZ$501,$A329,AV$3)))</f>
        <v/>
      </c>
      <c r="AW329" s="124" t="str">
        <f>IF($B329="","",IF(AW$3=0,"n.b.",INDEX(SRC_ZPMW03!$A$1:$ZZ$501,$A329,AW$3)))</f>
        <v/>
      </c>
      <c r="AX329" s="124" t="str">
        <f>IF($B329="","",IF(AX$3=0,"n.b.",INDEX(SRC_ZPMW03!$A$1:$ZZ$501,$A329,AX$3)))</f>
        <v/>
      </c>
      <c r="AY329" s="124" t="str">
        <f>IF($B329="","",IF(AY$3=0,"n.b.",INDEX(SRC_ZPMW03!$A$1:$ZZ$501,$A329,AY$3)))</f>
        <v/>
      </c>
      <c r="AZ329" s="124" t="str">
        <f>IF($B329="","",IF(AZ$3=0,"n.b.",INDEX(SRC_ZPMW03!$A$1:$ZZ$501,$A329,AZ$3)))</f>
        <v/>
      </c>
      <c r="BA329" s="124" t="str">
        <f>IF($B329="","",IF(BA$3=0,"n.b.",INDEX(SRC_ZPMW03!$A$1:$ZZ$501,$A329,BA$3)))</f>
        <v/>
      </c>
      <c r="BB329" s="124" t="str">
        <f>IF($B329="","",IF(BB$3=0,"n.b.",INDEX(SRC_ZPMW03!$A$1:$ZZ$501,$A329,BB$3)))</f>
        <v/>
      </c>
      <c r="BC329" s="124" t="str">
        <f>IF($B329="","",IF(BC$3=0,"n.b.",INDEX(SRC_ZPMW03!$A$1:$ZZ$501,$A329,BC$3)))</f>
        <v/>
      </c>
      <c r="BD329" s="124" t="str">
        <f>IF($B329="","",IF(BD$3=0,"n.b.",INDEX(SRC_ZPMW03!$A$1:$ZZ$501,$A329,BD$3)))</f>
        <v/>
      </c>
      <c r="BE329" s="124" t="str">
        <f>IF($B329="","",IF(BE$3=0,"n.b.",INDEX(SRC_ZPMW03!$A$1:$ZZ$501,$A329,BE$3)))</f>
        <v/>
      </c>
      <c r="BF329" s="124" t="str">
        <f>IF($B329="","",IF(BF$3=0,"n.b.",INDEX(SRC_ZPMW03!$A$1:$ZZ$501,$A329,BF$3)))</f>
        <v/>
      </c>
      <c r="BG329" t="str">
        <f>IF($B329="","",IF(BG$3=0,"n.b.",INDEX(SRC_ZPMW03!$A$1:$ZZ$501,$A329,BG$3)))</f>
        <v/>
      </c>
      <c r="BH329" t="str">
        <f>IF($B329="","",IF(BH$3=0,"n.b.",INDEX(SRC_ZPMW03!$A$1:$ZZ$501,$A329,BH$3)))</f>
        <v/>
      </c>
      <c r="BI329" t="str">
        <f>IF($B329="","",IF(BI$3=0,"n.b.",INDEX(SRC_ZPMW03!$A$1:$ZZ$501,$A329,BI$3)))</f>
        <v/>
      </c>
      <c r="BJ329" t="str">
        <f>IF($B329="","",IF(BJ$3=0,"n.b.",INDEX(SRC_ZPMW03!$A$1:$ZZ$501,$A329,BJ$3)))</f>
        <v/>
      </c>
      <c r="BK329" s="124" t="str">
        <f>IF($B329="","",IFERROR(-O329,"n.b."))</f>
        <v/>
      </c>
      <c r="BL329" s="124" t="str">
        <f>IF($B329="","",IFERROR(-Q329,"n.b."))</f>
        <v/>
      </c>
      <c r="BM329" s="124" t="str">
        <f>IF($B329="","",IFERROR(-AB329,"n.b."))</f>
        <v/>
      </c>
      <c r="BN329" s="124" t="str">
        <f>IF($B329="","",IFERROR(-AD329,"n.b."))</f>
        <v/>
      </c>
      <c r="BO329" s="124" t="str">
        <f>IF($B329="","",IFERROR(BK329+BM329,"n.b."))</f>
        <v/>
      </c>
      <c r="BP329" s="124" t="str">
        <f>IF($B329="","",IFERROR(BL329+BN329,"n.b."))</f>
        <v/>
      </c>
      <c r="BQ329" s="124" t="str">
        <f>IF($B329="","",IFERROR(-AM329,"n.b."))</f>
        <v/>
      </c>
      <c r="BR329" s="124" t="str">
        <f>IF($B329="","",IFERROR(-AO329,"n.b."))</f>
        <v/>
      </c>
      <c r="BS329" s="124" t="str">
        <f>IF($B329="","",IFERROR(-Z329,"n.b."))</f>
        <v/>
      </c>
      <c r="BT329" s="124" t="str">
        <f>IF($B329="","",IFERROR(-AA329,"n.b."))</f>
        <v/>
      </c>
      <c r="BU329" s="124" t="str">
        <f>IF($B329="","",IFERROR(-AE329,"n.b."))</f>
        <v/>
      </c>
      <c r="BV329" s="124" t="str">
        <f>IF($B329="","",IFERROR(-AF329,"n.b."))</f>
        <v/>
      </c>
      <c r="BW329" s="124" t="str">
        <f>IF($B329="","",IFERROR(-AG329,"n.b."))</f>
        <v/>
      </c>
      <c r="BX329" s="124" t="str">
        <f>IF($B329="","",IFERROR(-AH329,"n.b."))</f>
        <v/>
      </c>
      <c r="BY329" s="124" t="str">
        <f>IF($B329="","",IFERROR(-AI329,"n.b."))</f>
        <v/>
      </c>
      <c r="BZ329" s="124" t="str">
        <f>IF($B329="","",IFERROR(-AJ329,"n.b."))</f>
        <v/>
      </c>
      <c r="CA329" s="124" t="str">
        <f>IF($B329="","",IFERROR(-AK329,"n.b."))</f>
        <v/>
      </c>
      <c r="CB329" s="124" t="str">
        <f>IF($B329="","",IFERROR(-AL329,"n.b."))</f>
        <v/>
      </c>
      <c r="CC329" s="124" t="str">
        <f>IF($B329="","",IFERROR(-AP329,"n.b."))</f>
        <v/>
      </c>
      <c r="CD329" s="124" t="str">
        <f>IF($B329="","",IFERROR(-AQ329,"n.b."))</f>
        <v/>
      </c>
      <c r="CE329" s="124" t="str">
        <f>IF($B329="","",IFERROR(-AR329,"n.b."))</f>
        <v/>
      </c>
      <c r="CF329" s="124" t="str">
        <f>IF($B329="","",IFERROR(-AS329,"n.b."))</f>
        <v/>
      </c>
      <c r="CG329" s="124" t="str">
        <f>IF($B329="","",IFERROR(-AT329,"n.b."))</f>
        <v/>
      </c>
      <c r="CH329" s="124" t="str">
        <f>IF($B329="","",IFERROR(-AU329,"n.b."))</f>
        <v/>
      </c>
      <c r="CI329" s="124" t="str">
        <f>IF($B329="","",IFERROR(-AV329,"n.b."))</f>
        <v/>
      </c>
      <c r="CJ329" s="124" t="str">
        <f>IF($B329="","",IFERROR(-AW329,"n.b."))</f>
        <v/>
      </c>
      <c r="CK329" s="124" t="str">
        <f>IF($B329="","",IFERROR(-AX329,"n.b."))</f>
        <v/>
      </c>
      <c r="CL329" s="124" t="str">
        <f>IF($B329="","",IFERROR(-AY329,"n.b."))</f>
        <v/>
      </c>
      <c r="CM329" s="124" t="str">
        <f>IF($B329="","",IFERROR(-AZ329,"n.b."))</f>
        <v/>
      </c>
      <c r="CN329" s="124" t="str">
        <f>IF($B329="","",IFERROR(-BA329,"n.b."))</f>
        <v/>
      </c>
      <c r="CO329" s="124" t="str">
        <f>IF($B329="","",IFERROR(-BB329,"n.b."))</f>
        <v/>
      </c>
      <c r="CP329" s="124" t="str">
        <f>IF($B329="","",IFERROR(-BC329,"n.b."))</f>
        <v/>
      </c>
      <c r="CQ329" s="124" t="str">
        <f>IF($B329="","",IFERROR(-BD329,"n.b."))</f>
        <v/>
      </c>
      <c r="CR329" s="124" t="str">
        <f>IF($B329="","",IFERROR(-BE329,"n.b."))</f>
        <v/>
      </c>
      <c r="CS329" s="124" t="str">
        <f>IF($B329="","",IFERROR(IF(OR(ABS(T329+V329+X329+Z329-AB329)&gt;P_Tol,ABS(U329+W329+Y329+AA329-AD329)&gt;P_Tol,ABS(AE329+AG329+AI329+AK329-AM329)&gt;P_Tol,ABS(AF329+AH329+AJ329+AL329-AO329)&gt;P_Tol),1,0),1))</f>
        <v/>
      </c>
      <c r="CT329" s="124" t="str">
        <f>IF($B329="","",IFERROR(IF(OR(ABS(AB329+AC329-AD329)&gt;P_Tol,ABS(AM329+AN329-AO329)&gt;P_Tol,ABS(O329+P329-Q329)&gt;P_Tol),1,0),1))</f>
        <v/>
      </c>
      <c r="CU329" s="124" t="str">
        <f>IF($B329="","",IFERROR(IF(ABS(R329-(AB329+AM329+AP329+AR329+AT329+AV329+AX329+AZ329+BB329+BD329))&gt;P_Tol,1,0),1))</f>
        <v/>
      </c>
      <c r="CV329" s="124" t="str">
        <f>IF($B329="","",IFERROR(IF(ABS(M329-(N329+O329+R329))&gt;P_Tol,1,0),1))</f>
        <v/>
      </c>
      <c r="CW329" s="124" t="str">
        <f>IF($B329="","",IF(COUNTIF(Mapping!$A$5:$A$104,B329)&gt;0,1,0))</f>
        <v/>
      </c>
      <c r="CX329" s="124" t="str">
        <f>IF($B329="","",COUNTIF($B$6:$B$505,B329))</f>
        <v/>
      </c>
      <c r="CY329" s="124" t="str">
        <f>IF($B329="","",COUNTIF(STG_Woningetalage!$B$6:$B$505,B329))</f>
        <v/>
      </c>
      <c r="CZ329" s="124" t="str">
        <f>IF($B329="","",IF(CW329=0,COUNTIF($CW$6:CW329,0),""))</f>
        <v/>
      </c>
    </row>
    <row r="330">
      <c r="A330" s="15" t="n">
        <v>326</v>
      </c>
      <c r="B330" t="str">
        <f>IF(B$3=0,"",IF(INDEX(SRC_ZPMW03!$A$1:$ZZ$501,$A330,B$3)&amp;""="","",INDEX(SRC_ZPMW03!$A$1:$ZZ$501,$A330,B$3)&amp;""))</f>
        <v/>
      </c>
      <c r="C330" t="str">
        <f>IF($B330="","",IF(C$3=0,"n.b.",INDEX(SRC_ZPMW03!$A$1:$ZZ$501,$A330,C$3)))</f>
        <v/>
      </c>
      <c r="D330" t="str">
        <f>IF($B330="","",IF(D$3=0,"n.b.",INDEX(SRC_ZPMW03!$A$1:$ZZ$501,$A330,D$3)))</f>
        <v/>
      </c>
      <c r="E330" t="str">
        <f>IF($B330="","",IF(E$3=0,"n.b.",INDEX(SRC_ZPMW03!$A$1:$ZZ$501,$A330,E$3)))</f>
        <v/>
      </c>
      <c r="F330" t="str">
        <f>IF($B330="","",IF(F$3=0,"n.b.",INDEX(SRC_ZPMW03!$A$1:$ZZ$501,$A330,F$3)))</f>
        <v/>
      </c>
      <c r="G330" t="str">
        <f>IF($B330="","",IF(G$3=0,"n.b.",INDEX(SRC_ZPMW03!$A$1:$ZZ$501,$A330,G$3)))</f>
        <v/>
      </c>
      <c r="H330" t="str">
        <f>IF($B330="","",IF(H$3=0,"n.b.",INDEX(SRC_ZPMW03!$A$1:$ZZ$501,$A330,H$3)))</f>
        <v/>
      </c>
      <c r="I330" t="str">
        <f>IF($B330="","",IF(I$3=0,"n.b.",INDEX(SRC_ZPMW03!$A$1:$ZZ$501,$A330,I$3)))</f>
        <v/>
      </c>
      <c r="J330" t="str">
        <f>IF($B330="","",IF(J$3=0,"n.b.",INDEX(SRC_ZPMW03!$A$1:$ZZ$501,$A330,J$3)))</f>
        <v/>
      </c>
      <c r="K330" t="str">
        <f>IF($B330="","",IF(K$3=0,"n.b.",INDEX(SRC_ZPMW03!$A$1:$ZZ$501,$A330,K$3)))</f>
        <v/>
      </c>
      <c r="L330" s="124" t="str">
        <f>IF($B330="","",IF(L$3=0,"n.b.",INDEX(SRC_ZPMW03!$A$1:$ZZ$501,$A330,L$3)))</f>
        <v/>
      </c>
      <c r="M330" s="124" t="str">
        <f>IF($B330="","",IF(M$3=0,"n.b.",INDEX(SRC_ZPMW03!$A$1:$ZZ$501,$A330,M$3)))</f>
        <v/>
      </c>
      <c r="N330" s="124" t="str">
        <f>IF($B330="","",IF(N$3=0,"n.b.",INDEX(SRC_ZPMW03!$A$1:$ZZ$501,$A330,N$3)))</f>
        <v/>
      </c>
      <c r="O330" s="124" t="str">
        <f>IF($B330="","",IF(O$3=0,"n.b.",INDEX(SRC_ZPMW03!$A$1:$ZZ$501,$A330,O$3)))</f>
        <v/>
      </c>
      <c r="P330" s="124" t="str">
        <f>IF($B330="","",IF(P$3=0,"n.b.",INDEX(SRC_ZPMW03!$A$1:$ZZ$501,$A330,P$3)))</f>
        <v/>
      </c>
      <c r="Q330" s="124" t="str">
        <f>IF($B330="","",IF(Q$3=0,"n.b.",INDEX(SRC_ZPMW03!$A$1:$ZZ$501,$A330,Q$3)))</f>
        <v/>
      </c>
      <c r="R330" s="124" t="str">
        <f>IF($B330="","",IF(R$3=0,"n.b.",INDEX(SRC_ZPMW03!$A$1:$ZZ$501,$A330,R$3)))</f>
        <v/>
      </c>
      <c r="S330" s="124" t="str">
        <f>IF($B330="","",IF(S$3=0,"n.b.",INDEX(SRC_ZPMW03!$A$1:$ZZ$501,$A330,S$3)))</f>
        <v/>
      </c>
      <c r="T330" s="124" t="str">
        <f>IF($B330="","",IF(T$3=0,"n.b.",INDEX(SRC_ZPMW03!$A$1:$ZZ$501,$A330,T$3)))</f>
        <v/>
      </c>
      <c r="U330" s="124" t="str">
        <f>IF($B330="","",IF(U$3=0,"n.b.",INDEX(SRC_ZPMW03!$A$1:$ZZ$501,$A330,U$3)))</f>
        <v/>
      </c>
      <c r="V330" s="124" t="str">
        <f>IF($B330="","",IF(V$3=0,"n.b.",INDEX(SRC_ZPMW03!$A$1:$ZZ$501,$A330,V$3)))</f>
        <v/>
      </c>
      <c r="W330" s="124" t="str">
        <f>IF($B330="","",IF(W$3=0,"n.b.",INDEX(SRC_ZPMW03!$A$1:$ZZ$501,$A330,W$3)))</f>
        <v/>
      </c>
      <c r="X330" s="124" t="str">
        <f>IF($B330="","",IF(X$3=0,"n.b.",INDEX(SRC_ZPMW03!$A$1:$ZZ$501,$A330,X$3)))</f>
        <v/>
      </c>
      <c r="Y330" s="124" t="str">
        <f>IF($B330="","",IF(Y$3=0,"n.b.",INDEX(SRC_ZPMW03!$A$1:$ZZ$501,$A330,Y$3)))</f>
        <v/>
      </c>
      <c r="Z330" s="124" t="str">
        <f>IF($B330="","",IF(Z$3=0,"n.b.",INDEX(SRC_ZPMW03!$A$1:$ZZ$501,$A330,Z$3)))</f>
        <v/>
      </c>
      <c r="AA330" s="124" t="str">
        <f>IF($B330="","",IF(AA$3=0,"n.b.",INDEX(SRC_ZPMW03!$A$1:$ZZ$501,$A330,AA$3)))</f>
        <v/>
      </c>
      <c r="AB330" s="124" t="str">
        <f>IF($B330="","",IF(AB$3=0,"n.b.",INDEX(SRC_ZPMW03!$A$1:$ZZ$501,$A330,AB$3)))</f>
        <v/>
      </c>
      <c r="AC330" s="124" t="str">
        <f>IF($B330="","",IF(AC$3=0,"n.b.",INDEX(SRC_ZPMW03!$A$1:$ZZ$501,$A330,AC$3)))</f>
        <v/>
      </c>
      <c r="AD330" s="124" t="str">
        <f>IF($B330="","",IF(AD$3=0,"n.b.",INDEX(SRC_ZPMW03!$A$1:$ZZ$501,$A330,AD$3)))</f>
        <v/>
      </c>
      <c r="AE330" s="124" t="str">
        <f>IF($B330="","",IF(AE$3=0,"n.b.",INDEX(SRC_ZPMW03!$A$1:$ZZ$501,$A330,AE$3)))</f>
        <v/>
      </c>
      <c r="AF330" s="124" t="str">
        <f>IF($B330="","",IF(AF$3=0,"n.b.",INDEX(SRC_ZPMW03!$A$1:$ZZ$501,$A330,AF$3)))</f>
        <v/>
      </c>
      <c r="AG330" s="124" t="str">
        <f>IF($B330="","",IF(AG$3=0,"n.b.",INDEX(SRC_ZPMW03!$A$1:$ZZ$501,$A330,AG$3)))</f>
        <v/>
      </c>
      <c r="AH330" s="124" t="str">
        <f>IF($B330="","",IF(AH$3=0,"n.b.",INDEX(SRC_ZPMW03!$A$1:$ZZ$501,$A330,AH$3)))</f>
        <v/>
      </c>
      <c r="AI330" s="124" t="str">
        <f>IF($B330="","",IF(AI$3=0,"n.b.",INDEX(SRC_ZPMW03!$A$1:$ZZ$501,$A330,AI$3)))</f>
        <v/>
      </c>
      <c r="AJ330" s="124" t="str">
        <f>IF($B330="","",IF(AJ$3=0,"n.b.",INDEX(SRC_ZPMW03!$A$1:$ZZ$501,$A330,AJ$3)))</f>
        <v/>
      </c>
      <c r="AK330" s="124" t="str">
        <f>IF($B330="","",IF(AK$3=0,"n.b.",INDEX(SRC_ZPMW03!$A$1:$ZZ$501,$A330,AK$3)))</f>
        <v/>
      </c>
      <c r="AL330" s="124" t="str">
        <f>IF($B330="","",IF(AL$3=0,"n.b.",INDEX(SRC_ZPMW03!$A$1:$ZZ$501,$A330,AL$3)))</f>
        <v/>
      </c>
      <c r="AM330" s="124" t="str">
        <f>IF($B330="","",IF(AM$3=0,"n.b.",INDEX(SRC_ZPMW03!$A$1:$ZZ$501,$A330,AM$3)))</f>
        <v/>
      </c>
      <c r="AN330" s="124" t="str">
        <f>IF($B330="","",IF(AN$3=0,"n.b.",INDEX(SRC_ZPMW03!$A$1:$ZZ$501,$A330,AN$3)))</f>
        <v/>
      </c>
      <c r="AO330" s="124" t="str">
        <f>IF($B330="","",IF(AO$3=0,"n.b.",INDEX(SRC_ZPMW03!$A$1:$ZZ$501,$A330,AO$3)))</f>
        <v/>
      </c>
      <c r="AP330" s="124" t="str">
        <f>IF($B330="","",IF(AP$3=0,"n.b.",INDEX(SRC_ZPMW03!$A$1:$ZZ$501,$A330,AP$3)))</f>
        <v/>
      </c>
      <c r="AQ330" s="124" t="str">
        <f>IF($B330="","",IF(AQ$3=0,"n.b.",INDEX(SRC_ZPMW03!$A$1:$ZZ$501,$A330,AQ$3)))</f>
        <v/>
      </c>
      <c r="AR330" s="124" t="str">
        <f>IF($B330="","",IF(AR$3=0,"n.b.",INDEX(SRC_ZPMW03!$A$1:$ZZ$501,$A330,AR$3)))</f>
        <v/>
      </c>
      <c r="AS330" s="124" t="str">
        <f>IF($B330="","",IF(AS$3=0,"n.b.",INDEX(SRC_ZPMW03!$A$1:$ZZ$501,$A330,AS$3)))</f>
        <v/>
      </c>
      <c r="AT330" s="124" t="str">
        <f>IF($B330="","",IF(AT$3=0,"n.b.",INDEX(SRC_ZPMW03!$A$1:$ZZ$501,$A330,AT$3)))</f>
        <v/>
      </c>
      <c r="AU330" s="124" t="str">
        <f>IF($B330="","",IF(AU$3=0,"n.b.",INDEX(SRC_ZPMW03!$A$1:$ZZ$501,$A330,AU$3)))</f>
        <v/>
      </c>
      <c r="AV330" s="124" t="str">
        <f>IF($B330="","",IF(AV$3=0,"n.b.",INDEX(SRC_ZPMW03!$A$1:$ZZ$501,$A330,AV$3)))</f>
        <v/>
      </c>
      <c r="AW330" s="124" t="str">
        <f>IF($B330="","",IF(AW$3=0,"n.b.",INDEX(SRC_ZPMW03!$A$1:$ZZ$501,$A330,AW$3)))</f>
        <v/>
      </c>
      <c r="AX330" s="124" t="str">
        <f>IF($B330="","",IF(AX$3=0,"n.b.",INDEX(SRC_ZPMW03!$A$1:$ZZ$501,$A330,AX$3)))</f>
        <v/>
      </c>
      <c r="AY330" s="124" t="str">
        <f>IF($B330="","",IF(AY$3=0,"n.b.",INDEX(SRC_ZPMW03!$A$1:$ZZ$501,$A330,AY$3)))</f>
        <v/>
      </c>
      <c r="AZ330" s="124" t="str">
        <f>IF($B330="","",IF(AZ$3=0,"n.b.",INDEX(SRC_ZPMW03!$A$1:$ZZ$501,$A330,AZ$3)))</f>
        <v/>
      </c>
      <c r="BA330" s="124" t="str">
        <f>IF($B330="","",IF(BA$3=0,"n.b.",INDEX(SRC_ZPMW03!$A$1:$ZZ$501,$A330,BA$3)))</f>
        <v/>
      </c>
      <c r="BB330" s="124" t="str">
        <f>IF($B330="","",IF(BB$3=0,"n.b.",INDEX(SRC_ZPMW03!$A$1:$ZZ$501,$A330,BB$3)))</f>
        <v/>
      </c>
      <c r="BC330" s="124" t="str">
        <f>IF($B330="","",IF(BC$3=0,"n.b.",INDEX(SRC_ZPMW03!$A$1:$ZZ$501,$A330,BC$3)))</f>
        <v/>
      </c>
      <c r="BD330" s="124" t="str">
        <f>IF($B330="","",IF(BD$3=0,"n.b.",INDEX(SRC_ZPMW03!$A$1:$ZZ$501,$A330,BD$3)))</f>
        <v/>
      </c>
      <c r="BE330" s="124" t="str">
        <f>IF($B330="","",IF(BE$3=0,"n.b.",INDEX(SRC_ZPMW03!$A$1:$ZZ$501,$A330,BE$3)))</f>
        <v/>
      </c>
      <c r="BF330" s="124" t="str">
        <f>IF($B330="","",IF(BF$3=0,"n.b.",INDEX(SRC_ZPMW03!$A$1:$ZZ$501,$A330,BF$3)))</f>
        <v/>
      </c>
      <c r="BG330" t="str">
        <f>IF($B330="","",IF(BG$3=0,"n.b.",INDEX(SRC_ZPMW03!$A$1:$ZZ$501,$A330,BG$3)))</f>
        <v/>
      </c>
      <c r="BH330" t="str">
        <f>IF($B330="","",IF(BH$3=0,"n.b.",INDEX(SRC_ZPMW03!$A$1:$ZZ$501,$A330,BH$3)))</f>
        <v/>
      </c>
      <c r="BI330" t="str">
        <f>IF($B330="","",IF(BI$3=0,"n.b.",INDEX(SRC_ZPMW03!$A$1:$ZZ$501,$A330,BI$3)))</f>
        <v/>
      </c>
      <c r="BJ330" t="str">
        <f>IF($B330="","",IF(BJ$3=0,"n.b.",INDEX(SRC_ZPMW03!$A$1:$ZZ$501,$A330,BJ$3)))</f>
        <v/>
      </c>
      <c r="BK330" s="124" t="str">
        <f>IF($B330="","",IFERROR(-O330,"n.b."))</f>
        <v/>
      </c>
      <c r="BL330" s="124" t="str">
        <f>IF($B330="","",IFERROR(-Q330,"n.b."))</f>
        <v/>
      </c>
      <c r="BM330" s="124" t="str">
        <f>IF($B330="","",IFERROR(-AB330,"n.b."))</f>
        <v/>
      </c>
      <c r="BN330" s="124" t="str">
        <f>IF($B330="","",IFERROR(-AD330,"n.b."))</f>
        <v/>
      </c>
      <c r="BO330" s="124" t="str">
        <f>IF($B330="","",IFERROR(BK330+BM330,"n.b."))</f>
        <v/>
      </c>
      <c r="BP330" s="124" t="str">
        <f>IF($B330="","",IFERROR(BL330+BN330,"n.b."))</f>
        <v/>
      </c>
      <c r="BQ330" s="124" t="str">
        <f>IF($B330="","",IFERROR(-AM330,"n.b."))</f>
        <v/>
      </c>
      <c r="BR330" s="124" t="str">
        <f>IF($B330="","",IFERROR(-AO330,"n.b."))</f>
        <v/>
      </c>
      <c r="BS330" s="124" t="str">
        <f>IF($B330="","",IFERROR(-Z330,"n.b."))</f>
        <v/>
      </c>
      <c r="BT330" s="124" t="str">
        <f>IF($B330="","",IFERROR(-AA330,"n.b."))</f>
        <v/>
      </c>
      <c r="BU330" s="124" t="str">
        <f>IF($B330="","",IFERROR(-AE330,"n.b."))</f>
        <v/>
      </c>
      <c r="BV330" s="124" t="str">
        <f>IF($B330="","",IFERROR(-AF330,"n.b."))</f>
        <v/>
      </c>
      <c r="BW330" s="124" t="str">
        <f>IF($B330="","",IFERROR(-AG330,"n.b."))</f>
        <v/>
      </c>
      <c r="BX330" s="124" t="str">
        <f>IF($B330="","",IFERROR(-AH330,"n.b."))</f>
        <v/>
      </c>
      <c r="BY330" s="124" t="str">
        <f>IF($B330="","",IFERROR(-AI330,"n.b."))</f>
        <v/>
      </c>
      <c r="BZ330" s="124" t="str">
        <f>IF($B330="","",IFERROR(-AJ330,"n.b."))</f>
        <v/>
      </c>
      <c r="CA330" s="124" t="str">
        <f>IF($B330="","",IFERROR(-AK330,"n.b."))</f>
        <v/>
      </c>
      <c r="CB330" s="124" t="str">
        <f>IF($B330="","",IFERROR(-AL330,"n.b."))</f>
        <v/>
      </c>
      <c r="CC330" s="124" t="str">
        <f>IF($B330="","",IFERROR(-AP330,"n.b."))</f>
        <v/>
      </c>
      <c r="CD330" s="124" t="str">
        <f>IF($B330="","",IFERROR(-AQ330,"n.b."))</f>
        <v/>
      </c>
      <c r="CE330" s="124" t="str">
        <f>IF($B330="","",IFERROR(-AR330,"n.b."))</f>
        <v/>
      </c>
      <c r="CF330" s="124" t="str">
        <f>IF($B330="","",IFERROR(-AS330,"n.b."))</f>
        <v/>
      </c>
      <c r="CG330" s="124" t="str">
        <f>IF($B330="","",IFERROR(-AT330,"n.b."))</f>
        <v/>
      </c>
      <c r="CH330" s="124" t="str">
        <f>IF($B330="","",IFERROR(-AU330,"n.b."))</f>
        <v/>
      </c>
      <c r="CI330" s="124" t="str">
        <f>IF($B330="","",IFERROR(-AV330,"n.b."))</f>
        <v/>
      </c>
      <c r="CJ330" s="124" t="str">
        <f>IF($B330="","",IFERROR(-AW330,"n.b."))</f>
        <v/>
      </c>
      <c r="CK330" s="124" t="str">
        <f>IF($B330="","",IFERROR(-AX330,"n.b."))</f>
        <v/>
      </c>
      <c r="CL330" s="124" t="str">
        <f>IF($B330="","",IFERROR(-AY330,"n.b."))</f>
        <v/>
      </c>
      <c r="CM330" s="124" t="str">
        <f>IF($B330="","",IFERROR(-AZ330,"n.b."))</f>
        <v/>
      </c>
      <c r="CN330" s="124" t="str">
        <f>IF($B330="","",IFERROR(-BA330,"n.b."))</f>
        <v/>
      </c>
      <c r="CO330" s="124" t="str">
        <f>IF($B330="","",IFERROR(-BB330,"n.b."))</f>
        <v/>
      </c>
      <c r="CP330" s="124" t="str">
        <f>IF($B330="","",IFERROR(-BC330,"n.b."))</f>
        <v/>
      </c>
      <c r="CQ330" s="124" t="str">
        <f>IF($B330="","",IFERROR(-BD330,"n.b."))</f>
        <v/>
      </c>
      <c r="CR330" s="124" t="str">
        <f>IF($B330="","",IFERROR(-BE330,"n.b."))</f>
        <v/>
      </c>
      <c r="CS330" s="124" t="str">
        <f>IF($B330="","",IFERROR(IF(OR(ABS(T330+V330+X330+Z330-AB330)&gt;P_Tol,ABS(U330+W330+Y330+AA330-AD330)&gt;P_Tol,ABS(AE330+AG330+AI330+AK330-AM330)&gt;P_Tol,ABS(AF330+AH330+AJ330+AL330-AO330)&gt;P_Tol),1,0),1))</f>
        <v/>
      </c>
      <c r="CT330" s="124" t="str">
        <f>IF($B330="","",IFERROR(IF(OR(ABS(AB330+AC330-AD330)&gt;P_Tol,ABS(AM330+AN330-AO330)&gt;P_Tol,ABS(O330+P330-Q330)&gt;P_Tol),1,0),1))</f>
        <v/>
      </c>
      <c r="CU330" s="124" t="str">
        <f>IF($B330="","",IFERROR(IF(ABS(R330-(AB330+AM330+AP330+AR330+AT330+AV330+AX330+AZ330+BB330+BD330))&gt;P_Tol,1,0),1))</f>
        <v/>
      </c>
      <c r="CV330" s="124" t="str">
        <f>IF($B330="","",IFERROR(IF(ABS(M330-(N330+O330+R330))&gt;P_Tol,1,0),1))</f>
        <v/>
      </c>
      <c r="CW330" s="124" t="str">
        <f>IF($B330="","",IF(COUNTIF(Mapping!$A$5:$A$104,B330)&gt;0,1,0))</f>
        <v/>
      </c>
      <c r="CX330" s="124" t="str">
        <f>IF($B330="","",COUNTIF($B$6:$B$505,B330))</f>
        <v/>
      </c>
      <c r="CY330" s="124" t="str">
        <f>IF($B330="","",COUNTIF(STG_Woningetalage!$B$6:$B$505,B330))</f>
        <v/>
      </c>
      <c r="CZ330" s="124" t="str">
        <f>IF($B330="","",IF(CW330=0,COUNTIF($CW$6:CW330,0),""))</f>
        <v/>
      </c>
    </row>
    <row r="331">
      <c r="A331" s="15" t="n">
        <v>327</v>
      </c>
      <c r="B331" t="str">
        <f>IF(B$3=0,"",IF(INDEX(SRC_ZPMW03!$A$1:$ZZ$501,$A331,B$3)&amp;""="","",INDEX(SRC_ZPMW03!$A$1:$ZZ$501,$A331,B$3)&amp;""))</f>
        <v/>
      </c>
      <c r="C331" t="str">
        <f>IF($B331="","",IF(C$3=0,"n.b.",INDEX(SRC_ZPMW03!$A$1:$ZZ$501,$A331,C$3)))</f>
        <v/>
      </c>
      <c r="D331" t="str">
        <f>IF($B331="","",IF(D$3=0,"n.b.",INDEX(SRC_ZPMW03!$A$1:$ZZ$501,$A331,D$3)))</f>
        <v/>
      </c>
      <c r="E331" t="str">
        <f>IF($B331="","",IF(E$3=0,"n.b.",INDEX(SRC_ZPMW03!$A$1:$ZZ$501,$A331,E$3)))</f>
        <v/>
      </c>
      <c r="F331" t="str">
        <f>IF($B331="","",IF(F$3=0,"n.b.",INDEX(SRC_ZPMW03!$A$1:$ZZ$501,$A331,F$3)))</f>
        <v/>
      </c>
      <c r="G331" t="str">
        <f>IF($B331="","",IF(G$3=0,"n.b.",INDEX(SRC_ZPMW03!$A$1:$ZZ$501,$A331,G$3)))</f>
        <v/>
      </c>
      <c r="H331" t="str">
        <f>IF($B331="","",IF(H$3=0,"n.b.",INDEX(SRC_ZPMW03!$A$1:$ZZ$501,$A331,H$3)))</f>
        <v/>
      </c>
      <c r="I331" t="str">
        <f>IF($B331="","",IF(I$3=0,"n.b.",INDEX(SRC_ZPMW03!$A$1:$ZZ$501,$A331,I$3)))</f>
        <v/>
      </c>
      <c r="J331" t="str">
        <f>IF($B331="","",IF(J$3=0,"n.b.",INDEX(SRC_ZPMW03!$A$1:$ZZ$501,$A331,J$3)))</f>
        <v/>
      </c>
      <c r="K331" t="str">
        <f>IF($B331="","",IF(K$3=0,"n.b.",INDEX(SRC_ZPMW03!$A$1:$ZZ$501,$A331,K$3)))</f>
        <v/>
      </c>
      <c r="L331" s="124" t="str">
        <f>IF($B331="","",IF(L$3=0,"n.b.",INDEX(SRC_ZPMW03!$A$1:$ZZ$501,$A331,L$3)))</f>
        <v/>
      </c>
      <c r="M331" s="124" t="str">
        <f>IF($B331="","",IF(M$3=0,"n.b.",INDEX(SRC_ZPMW03!$A$1:$ZZ$501,$A331,M$3)))</f>
        <v/>
      </c>
      <c r="N331" s="124" t="str">
        <f>IF($B331="","",IF(N$3=0,"n.b.",INDEX(SRC_ZPMW03!$A$1:$ZZ$501,$A331,N$3)))</f>
        <v/>
      </c>
      <c r="O331" s="124" t="str">
        <f>IF($B331="","",IF(O$3=0,"n.b.",INDEX(SRC_ZPMW03!$A$1:$ZZ$501,$A331,O$3)))</f>
        <v/>
      </c>
      <c r="P331" s="124" t="str">
        <f>IF($B331="","",IF(P$3=0,"n.b.",INDEX(SRC_ZPMW03!$A$1:$ZZ$501,$A331,P$3)))</f>
        <v/>
      </c>
      <c r="Q331" s="124" t="str">
        <f>IF($B331="","",IF(Q$3=0,"n.b.",INDEX(SRC_ZPMW03!$A$1:$ZZ$501,$A331,Q$3)))</f>
        <v/>
      </c>
      <c r="R331" s="124" t="str">
        <f>IF($B331="","",IF(R$3=0,"n.b.",INDEX(SRC_ZPMW03!$A$1:$ZZ$501,$A331,R$3)))</f>
        <v/>
      </c>
      <c r="S331" s="124" t="str">
        <f>IF($B331="","",IF(S$3=0,"n.b.",INDEX(SRC_ZPMW03!$A$1:$ZZ$501,$A331,S$3)))</f>
        <v/>
      </c>
      <c r="T331" s="124" t="str">
        <f>IF($B331="","",IF(T$3=0,"n.b.",INDEX(SRC_ZPMW03!$A$1:$ZZ$501,$A331,T$3)))</f>
        <v/>
      </c>
      <c r="U331" s="124" t="str">
        <f>IF($B331="","",IF(U$3=0,"n.b.",INDEX(SRC_ZPMW03!$A$1:$ZZ$501,$A331,U$3)))</f>
        <v/>
      </c>
      <c r="V331" s="124" t="str">
        <f>IF($B331="","",IF(V$3=0,"n.b.",INDEX(SRC_ZPMW03!$A$1:$ZZ$501,$A331,V$3)))</f>
        <v/>
      </c>
      <c r="W331" s="124" t="str">
        <f>IF($B331="","",IF(W$3=0,"n.b.",INDEX(SRC_ZPMW03!$A$1:$ZZ$501,$A331,W$3)))</f>
        <v/>
      </c>
      <c r="X331" s="124" t="str">
        <f>IF($B331="","",IF(X$3=0,"n.b.",INDEX(SRC_ZPMW03!$A$1:$ZZ$501,$A331,X$3)))</f>
        <v/>
      </c>
      <c r="Y331" s="124" t="str">
        <f>IF($B331="","",IF(Y$3=0,"n.b.",INDEX(SRC_ZPMW03!$A$1:$ZZ$501,$A331,Y$3)))</f>
        <v/>
      </c>
      <c r="Z331" s="124" t="str">
        <f>IF($B331="","",IF(Z$3=0,"n.b.",INDEX(SRC_ZPMW03!$A$1:$ZZ$501,$A331,Z$3)))</f>
        <v/>
      </c>
      <c r="AA331" s="124" t="str">
        <f>IF($B331="","",IF(AA$3=0,"n.b.",INDEX(SRC_ZPMW03!$A$1:$ZZ$501,$A331,AA$3)))</f>
        <v/>
      </c>
      <c r="AB331" s="124" t="str">
        <f>IF($B331="","",IF(AB$3=0,"n.b.",INDEX(SRC_ZPMW03!$A$1:$ZZ$501,$A331,AB$3)))</f>
        <v/>
      </c>
      <c r="AC331" s="124" t="str">
        <f>IF($B331="","",IF(AC$3=0,"n.b.",INDEX(SRC_ZPMW03!$A$1:$ZZ$501,$A331,AC$3)))</f>
        <v/>
      </c>
      <c r="AD331" s="124" t="str">
        <f>IF($B331="","",IF(AD$3=0,"n.b.",INDEX(SRC_ZPMW03!$A$1:$ZZ$501,$A331,AD$3)))</f>
        <v/>
      </c>
      <c r="AE331" s="124" t="str">
        <f>IF($B331="","",IF(AE$3=0,"n.b.",INDEX(SRC_ZPMW03!$A$1:$ZZ$501,$A331,AE$3)))</f>
        <v/>
      </c>
      <c r="AF331" s="124" t="str">
        <f>IF($B331="","",IF(AF$3=0,"n.b.",INDEX(SRC_ZPMW03!$A$1:$ZZ$501,$A331,AF$3)))</f>
        <v/>
      </c>
      <c r="AG331" s="124" t="str">
        <f>IF($B331="","",IF(AG$3=0,"n.b.",INDEX(SRC_ZPMW03!$A$1:$ZZ$501,$A331,AG$3)))</f>
        <v/>
      </c>
      <c r="AH331" s="124" t="str">
        <f>IF($B331="","",IF(AH$3=0,"n.b.",INDEX(SRC_ZPMW03!$A$1:$ZZ$501,$A331,AH$3)))</f>
        <v/>
      </c>
      <c r="AI331" s="124" t="str">
        <f>IF($B331="","",IF(AI$3=0,"n.b.",INDEX(SRC_ZPMW03!$A$1:$ZZ$501,$A331,AI$3)))</f>
        <v/>
      </c>
      <c r="AJ331" s="124" t="str">
        <f>IF($B331="","",IF(AJ$3=0,"n.b.",INDEX(SRC_ZPMW03!$A$1:$ZZ$501,$A331,AJ$3)))</f>
        <v/>
      </c>
      <c r="AK331" s="124" t="str">
        <f>IF($B331="","",IF(AK$3=0,"n.b.",INDEX(SRC_ZPMW03!$A$1:$ZZ$501,$A331,AK$3)))</f>
        <v/>
      </c>
      <c r="AL331" s="124" t="str">
        <f>IF($B331="","",IF(AL$3=0,"n.b.",INDEX(SRC_ZPMW03!$A$1:$ZZ$501,$A331,AL$3)))</f>
        <v/>
      </c>
      <c r="AM331" s="124" t="str">
        <f>IF($B331="","",IF(AM$3=0,"n.b.",INDEX(SRC_ZPMW03!$A$1:$ZZ$501,$A331,AM$3)))</f>
        <v/>
      </c>
      <c r="AN331" s="124" t="str">
        <f>IF($B331="","",IF(AN$3=0,"n.b.",INDEX(SRC_ZPMW03!$A$1:$ZZ$501,$A331,AN$3)))</f>
        <v/>
      </c>
      <c r="AO331" s="124" t="str">
        <f>IF($B331="","",IF(AO$3=0,"n.b.",INDEX(SRC_ZPMW03!$A$1:$ZZ$501,$A331,AO$3)))</f>
        <v/>
      </c>
      <c r="AP331" s="124" t="str">
        <f>IF($B331="","",IF(AP$3=0,"n.b.",INDEX(SRC_ZPMW03!$A$1:$ZZ$501,$A331,AP$3)))</f>
        <v/>
      </c>
      <c r="AQ331" s="124" t="str">
        <f>IF($B331="","",IF(AQ$3=0,"n.b.",INDEX(SRC_ZPMW03!$A$1:$ZZ$501,$A331,AQ$3)))</f>
        <v/>
      </c>
      <c r="AR331" s="124" t="str">
        <f>IF($B331="","",IF(AR$3=0,"n.b.",INDEX(SRC_ZPMW03!$A$1:$ZZ$501,$A331,AR$3)))</f>
        <v/>
      </c>
      <c r="AS331" s="124" t="str">
        <f>IF($B331="","",IF(AS$3=0,"n.b.",INDEX(SRC_ZPMW03!$A$1:$ZZ$501,$A331,AS$3)))</f>
        <v/>
      </c>
      <c r="AT331" s="124" t="str">
        <f>IF($B331="","",IF(AT$3=0,"n.b.",INDEX(SRC_ZPMW03!$A$1:$ZZ$501,$A331,AT$3)))</f>
        <v/>
      </c>
      <c r="AU331" s="124" t="str">
        <f>IF($B331="","",IF(AU$3=0,"n.b.",INDEX(SRC_ZPMW03!$A$1:$ZZ$501,$A331,AU$3)))</f>
        <v/>
      </c>
      <c r="AV331" s="124" t="str">
        <f>IF($B331="","",IF(AV$3=0,"n.b.",INDEX(SRC_ZPMW03!$A$1:$ZZ$501,$A331,AV$3)))</f>
        <v/>
      </c>
      <c r="AW331" s="124" t="str">
        <f>IF($B331="","",IF(AW$3=0,"n.b.",INDEX(SRC_ZPMW03!$A$1:$ZZ$501,$A331,AW$3)))</f>
        <v/>
      </c>
      <c r="AX331" s="124" t="str">
        <f>IF($B331="","",IF(AX$3=0,"n.b.",INDEX(SRC_ZPMW03!$A$1:$ZZ$501,$A331,AX$3)))</f>
        <v/>
      </c>
      <c r="AY331" s="124" t="str">
        <f>IF($B331="","",IF(AY$3=0,"n.b.",INDEX(SRC_ZPMW03!$A$1:$ZZ$501,$A331,AY$3)))</f>
        <v/>
      </c>
      <c r="AZ331" s="124" t="str">
        <f>IF($B331="","",IF(AZ$3=0,"n.b.",INDEX(SRC_ZPMW03!$A$1:$ZZ$501,$A331,AZ$3)))</f>
        <v/>
      </c>
      <c r="BA331" s="124" t="str">
        <f>IF($B331="","",IF(BA$3=0,"n.b.",INDEX(SRC_ZPMW03!$A$1:$ZZ$501,$A331,BA$3)))</f>
        <v/>
      </c>
      <c r="BB331" s="124" t="str">
        <f>IF($B331="","",IF(BB$3=0,"n.b.",INDEX(SRC_ZPMW03!$A$1:$ZZ$501,$A331,BB$3)))</f>
        <v/>
      </c>
      <c r="BC331" s="124" t="str">
        <f>IF($B331="","",IF(BC$3=0,"n.b.",INDEX(SRC_ZPMW03!$A$1:$ZZ$501,$A331,BC$3)))</f>
        <v/>
      </c>
      <c r="BD331" s="124" t="str">
        <f>IF($B331="","",IF(BD$3=0,"n.b.",INDEX(SRC_ZPMW03!$A$1:$ZZ$501,$A331,BD$3)))</f>
        <v/>
      </c>
      <c r="BE331" s="124" t="str">
        <f>IF($B331="","",IF(BE$3=0,"n.b.",INDEX(SRC_ZPMW03!$A$1:$ZZ$501,$A331,BE$3)))</f>
        <v/>
      </c>
      <c r="BF331" s="124" t="str">
        <f>IF($B331="","",IF(BF$3=0,"n.b.",INDEX(SRC_ZPMW03!$A$1:$ZZ$501,$A331,BF$3)))</f>
        <v/>
      </c>
      <c r="BG331" t="str">
        <f>IF($B331="","",IF(BG$3=0,"n.b.",INDEX(SRC_ZPMW03!$A$1:$ZZ$501,$A331,BG$3)))</f>
        <v/>
      </c>
      <c r="BH331" t="str">
        <f>IF($B331="","",IF(BH$3=0,"n.b.",INDEX(SRC_ZPMW03!$A$1:$ZZ$501,$A331,BH$3)))</f>
        <v/>
      </c>
      <c r="BI331" t="str">
        <f>IF($B331="","",IF(BI$3=0,"n.b.",INDEX(SRC_ZPMW03!$A$1:$ZZ$501,$A331,BI$3)))</f>
        <v/>
      </c>
      <c r="BJ331" t="str">
        <f>IF($B331="","",IF(BJ$3=0,"n.b.",INDEX(SRC_ZPMW03!$A$1:$ZZ$501,$A331,BJ$3)))</f>
        <v/>
      </c>
      <c r="BK331" s="124" t="str">
        <f>IF($B331="","",IFERROR(-O331,"n.b."))</f>
        <v/>
      </c>
      <c r="BL331" s="124" t="str">
        <f>IF($B331="","",IFERROR(-Q331,"n.b."))</f>
        <v/>
      </c>
      <c r="BM331" s="124" t="str">
        <f>IF($B331="","",IFERROR(-AB331,"n.b."))</f>
        <v/>
      </c>
      <c r="BN331" s="124" t="str">
        <f>IF($B331="","",IFERROR(-AD331,"n.b."))</f>
        <v/>
      </c>
      <c r="BO331" s="124" t="str">
        <f>IF($B331="","",IFERROR(BK331+BM331,"n.b."))</f>
        <v/>
      </c>
      <c r="BP331" s="124" t="str">
        <f>IF($B331="","",IFERROR(BL331+BN331,"n.b."))</f>
        <v/>
      </c>
      <c r="BQ331" s="124" t="str">
        <f>IF($B331="","",IFERROR(-AM331,"n.b."))</f>
        <v/>
      </c>
      <c r="BR331" s="124" t="str">
        <f>IF($B331="","",IFERROR(-AO331,"n.b."))</f>
        <v/>
      </c>
      <c r="BS331" s="124" t="str">
        <f>IF($B331="","",IFERROR(-Z331,"n.b."))</f>
        <v/>
      </c>
      <c r="BT331" s="124" t="str">
        <f>IF($B331="","",IFERROR(-AA331,"n.b."))</f>
        <v/>
      </c>
      <c r="BU331" s="124" t="str">
        <f>IF($B331="","",IFERROR(-AE331,"n.b."))</f>
        <v/>
      </c>
      <c r="BV331" s="124" t="str">
        <f>IF($B331="","",IFERROR(-AF331,"n.b."))</f>
        <v/>
      </c>
      <c r="BW331" s="124" t="str">
        <f>IF($B331="","",IFERROR(-AG331,"n.b."))</f>
        <v/>
      </c>
      <c r="BX331" s="124" t="str">
        <f>IF($B331="","",IFERROR(-AH331,"n.b."))</f>
        <v/>
      </c>
      <c r="BY331" s="124" t="str">
        <f>IF($B331="","",IFERROR(-AI331,"n.b."))</f>
        <v/>
      </c>
      <c r="BZ331" s="124" t="str">
        <f>IF($B331="","",IFERROR(-AJ331,"n.b."))</f>
        <v/>
      </c>
      <c r="CA331" s="124" t="str">
        <f>IF($B331="","",IFERROR(-AK331,"n.b."))</f>
        <v/>
      </c>
      <c r="CB331" s="124" t="str">
        <f>IF($B331="","",IFERROR(-AL331,"n.b."))</f>
        <v/>
      </c>
      <c r="CC331" s="124" t="str">
        <f>IF($B331="","",IFERROR(-AP331,"n.b."))</f>
        <v/>
      </c>
      <c r="CD331" s="124" t="str">
        <f>IF($B331="","",IFERROR(-AQ331,"n.b."))</f>
        <v/>
      </c>
      <c r="CE331" s="124" t="str">
        <f>IF($B331="","",IFERROR(-AR331,"n.b."))</f>
        <v/>
      </c>
      <c r="CF331" s="124" t="str">
        <f>IF($B331="","",IFERROR(-AS331,"n.b."))</f>
        <v/>
      </c>
      <c r="CG331" s="124" t="str">
        <f>IF($B331="","",IFERROR(-AT331,"n.b."))</f>
        <v/>
      </c>
      <c r="CH331" s="124" t="str">
        <f>IF($B331="","",IFERROR(-AU331,"n.b."))</f>
        <v/>
      </c>
      <c r="CI331" s="124" t="str">
        <f>IF($B331="","",IFERROR(-AV331,"n.b."))</f>
        <v/>
      </c>
      <c r="CJ331" s="124" t="str">
        <f>IF($B331="","",IFERROR(-AW331,"n.b."))</f>
        <v/>
      </c>
      <c r="CK331" s="124" t="str">
        <f>IF($B331="","",IFERROR(-AX331,"n.b."))</f>
        <v/>
      </c>
      <c r="CL331" s="124" t="str">
        <f>IF($B331="","",IFERROR(-AY331,"n.b."))</f>
        <v/>
      </c>
      <c r="CM331" s="124" t="str">
        <f>IF($B331="","",IFERROR(-AZ331,"n.b."))</f>
        <v/>
      </c>
      <c r="CN331" s="124" t="str">
        <f>IF($B331="","",IFERROR(-BA331,"n.b."))</f>
        <v/>
      </c>
      <c r="CO331" s="124" t="str">
        <f>IF($B331="","",IFERROR(-BB331,"n.b."))</f>
        <v/>
      </c>
      <c r="CP331" s="124" t="str">
        <f>IF($B331="","",IFERROR(-BC331,"n.b."))</f>
        <v/>
      </c>
      <c r="CQ331" s="124" t="str">
        <f>IF($B331="","",IFERROR(-BD331,"n.b."))</f>
        <v/>
      </c>
      <c r="CR331" s="124" t="str">
        <f>IF($B331="","",IFERROR(-BE331,"n.b."))</f>
        <v/>
      </c>
      <c r="CS331" s="124" t="str">
        <f>IF($B331="","",IFERROR(IF(OR(ABS(T331+V331+X331+Z331-AB331)&gt;P_Tol,ABS(U331+W331+Y331+AA331-AD331)&gt;P_Tol,ABS(AE331+AG331+AI331+AK331-AM331)&gt;P_Tol,ABS(AF331+AH331+AJ331+AL331-AO331)&gt;P_Tol),1,0),1))</f>
        <v/>
      </c>
      <c r="CT331" s="124" t="str">
        <f>IF($B331="","",IFERROR(IF(OR(ABS(AB331+AC331-AD331)&gt;P_Tol,ABS(AM331+AN331-AO331)&gt;P_Tol,ABS(O331+P331-Q331)&gt;P_Tol),1,0),1))</f>
        <v/>
      </c>
      <c r="CU331" s="124" t="str">
        <f>IF($B331="","",IFERROR(IF(ABS(R331-(AB331+AM331+AP331+AR331+AT331+AV331+AX331+AZ331+BB331+BD331))&gt;P_Tol,1,0),1))</f>
        <v/>
      </c>
      <c r="CV331" s="124" t="str">
        <f>IF($B331="","",IFERROR(IF(ABS(M331-(N331+O331+R331))&gt;P_Tol,1,0),1))</f>
        <v/>
      </c>
      <c r="CW331" s="124" t="str">
        <f>IF($B331="","",IF(COUNTIF(Mapping!$A$5:$A$104,B331)&gt;0,1,0))</f>
        <v/>
      </c>
      <c r="CX331" s="124" t="str">
        <f>IF($B331="","",COUNTIF($B$6:$B$505,B331))</f>
        <v/>
      </c>
      <c r="CY331" s="124" t="str">
        <f>IF($B331="","",COUNTIF(STG_Woningetalage!$B$6:$B$505,B331))</f>
        <v/>
      </c>
      <c r="CZ331" s="124" t="str">
        <f>IF($B331="","",IF(CW331=0,COUNTIF($CW$6:CW331,0),""))</f>
        <v/>
      </c>
    </row>
    <row r="332">
      <c r="A332" s="15" t="n">
        <v>328</v>
      </c>
      <c r="B332" t="str">
        <f>IF(B$3=0,"",IF(INDEX(SRC_ZPMW03!$A$1:$ZZ$501,$A332,B$3)&amp;""="","",INDEX(SRC_ZPMW03!$A$1:$ZZ$501,$A332,B$3)&amp;""))</f>
        <v/>
      </c>
      <c r="C332" t="str">
        <f>IF($B332="","",IF(C$3=0,"n.b.",INDEX(SRC_ZPMW03!$A$1:$ZZ$501,$A332,C$3)))</f>
        <v/>
      </c>
      <c r="D332" t="str">
        <f>IF($B332="","",IF(D$3=0,"n.b.",INDEX(SRC_ZPMW03!$A$1:$ZZ$501,$A332,D$3)))</f>
        <v/>
      </c>
      <c r="E332" t="str">
        <f>IF($B332="","",IF(E$3=0,"n.b.",INDEX(SRC_ZPMW03!$A$1:$ZZ$501,$A332,E$3)))</f>
        <v/>
      </c>
      <c r="F332" t="str">
        <f>IF($B332="","",IF(F$3=0,"n.b.",INDEX(SRC_ZPMW03!$A$1:$ZZ$501,$A332,F$3)))</f>
        <v/>
      </c>
      <c r="G332" t="str">
        <f>IF($B332="","",IF(G$3=0,"n.b.",INDEX(SRC_ZPMW03!$A$1:$ZZ$501,$A332,G$3)))</f>
        <v/>
      </c>
      <c r="H332" t="str">
        <f>IF($B332="","",IF(H$3=0,"n.b.",INDEX(SRC_ZPMW03!$A$1:$ZZ$501,$A332,H$3)))</f>
        <v/>
      </c>
      <c r="I332" t="str">
        <f>IF($B332="","",IF(I$3=0,"n.b.",INDEX(SRC_ZPMW03!$A$1:$ZZ$501,$A332,I$3)))</f>
        <v/>
      </c>
      <c r="J332" t="str">
        <f>IF($B332="","",IF(J$3=0,"n.b.",INDEX(SRC_ZPMW03!$A$1:$ZZ$501,$A332,J$3)))</f>
        <v/>
      </c>
      <c r="K332" t="str">
        <f>IF($B332="","",IF(K$3=0,"n.b.",INDEX(SRC_ZPMW03!$A$1:$ZZ$501,$A332,K$3)))</f>
        <v/>
      </c>
      <c r="L332" s="124" t="str">
        <f>IF($B332="","",IF(L$3=0,"n.b.",INDEX(SRC_ZPMW03!$A$1:$ZZ$501,$A332,L$3)))</f>
        <v/>
      </c>
      <c r="M332" s="124" t="str">
        <f>IF($B332="","",IF(M$3=0,"n.b.",INDEX(SRC_ZPMW03!$A$1:$ZZ$501,$A332,M$3)))</f>
        <v/>
      </c>
      <c r="N332" s="124" t="str">
        <f>IF($B332="","",IF(N$3=0,"n.b.",INDEX(SRC_ZPMW03!$A$1:$ZZ$501,$A332,N$3)))</f>
        <v/>
      </c>
      <c r="O332" s="124" t="str">
        <f>IF($B332="","",IF(O$3=0,"n.b.",INDEX(SRC_ZPMW03!$A$1:$ZZ$501,$A332,O$3)))</f>
        <v/>
      </c>
      <c r="P332" s="124" t="str">
        <f>IF($B332="","",IF(P$3=0,"n.b.",INDEX(SRC_ZPMW03!$A$1:$ZZ$501,$A332,P$3)))</f>
        <v/>
      </c>
      <c r="Q332" s="124" t="str">
        <f>IF($B332="","",IF(Q$3=0,"n.b.",INDEX(SRC_ZPMW03!$A$1:$ZZ$501,$A332,Q$3)))</f>
        <v/>
      </c>
      <c r="R332" s="124" t="str">
        <f>IF($B332="","",IF(R$3=0,"n.b.",INDEX(SRC_ZPMW03!$A$1:$ZZ$501,$A332,R$3)))</f>
        <v/>
      </c>
      <c r="S332" s="124" t="str">
        <f>IF($B332="","",IF(S$3=0,"n.b.",INDEX(SRC_ZPMW03!$A$1:$ZZ$501,$A332,S$3)))</f>
        <v/>
      </c>
      <c r="T332" s="124" t="str">
        <f>IF($B332="","",IF(T$3=0,"n.b.",INDEX(SRC_ZPMW03!$A$1:$ZZ$501,$A332,T$3)))</f>
        <v/>
      </c>
      <c r="U332" s="124" t="str">
        <f>IF($B332="","",IF(U$3=0,"n.b.",INDEX(SRC_ZPMW03!$A$1:$ZZ$501,$A332,U$3)))</f>
        <v/>
      </c>
      <c r="V332" s="124" t="str">
        <f>IF($B332="","",IF(V$3=0,"n.b.",INDEX(SRC_ZPMW03!$A$1:$ZZ$501,$A332,V$3)))</f>
        <v/>
      </c>
      <c r="W332" s="124" t="str">
        <f>IF($B332="","",IF(W$3=0,"n.b.",INDEX(SRC_ZPMW03!$A$1:$ZZ$501,$A332,W$3)))</f>
        <v/>
      </c>
      <c r="X332" s="124" t="str">
        <f>IF($B332="","",IF(X$3=0,"n.b.",INDEX(SRC_ZPMW03!$A$1:$ZZ$501,$A332,X$3)))</f>
        <v/>
      </c>
      <c r="Y332" s="124" t="str">
        <f>IF($B332="","",IF(Y$3=0,"n.b.",INDEX(SRC_ZPMW03!$A$1:$ZZ$501,$A332,Y$3)))</f>
        <v/>
      </c>
      <c r="Z332" s="124" t="str">
        <f>IF($B332="","",IF(Z$3=0,"n.b.",INDEX(SRC_ZPMW03!$A$1:$ZZ$501,$A332,Z$3)))</f>
        <v/>
      </c>
      <c r="AA332" s="124" t="str">
        <f>IF($B332="","",IF(AA$3=0,"n.b.",INDEX(SRC_ZPMW03!$A$1:$ZZ$501,$A332,AA$3)))</f>
        <v/>
      </c>
      <c r="AB332" s="124" t="str">
        <f>IF($B332="","",IF(AB$3=0,"n.b.",INDEX(SRC_ZPMW03!$A$1:$ZZ$501,$A332,AB$3)))</f>
        <v/>
      </c>
      <c r="AC332" s="124" t="str">
        <f>IF($B332="","",IF(AC$3=0,"n.b.",INDEX(SRC_ZPMW03!$A$1:$ZZ$501,$A332,AC$3)))</f>
        <v/>
      </c>
      <c r="AD332" s="124" t="str">
        <f>IF($B332="","",IF(AD$3=0,"n.b.",INDEX(SRC_ZPMW03!$A$1:$ZZ$501,$A332,AD$3)))</f>
        <v/>
      </c>
      <c r="AE332" s="124" t="str">
        <f>IF($B332="","",IF(AE$3=0,"n.b.",INDEX(SRC_ZPMW03!$A$1:$ZZ$501,$A332,AE$3)))</f>
        <v/>
      </c>
      <c r="AF332" s="124" t="str">
        <f>IF($B332="","",IF(AF$3=0,"n.b.",INDEX(SRC_ZPMW03!$A$1:$ZZ$501,$A332,AF$3)))</f>
        <v/>
      </c>
      <c r="AG332" s="124" t="str">
        <f>IF($B332="","",IF(AG$3=0,"n.b.",INDEX(SRC_ZPMW03!$A$1:$ZZ$501,$A332,AG$3)))</f>
        <v/>
      </c>
      <c r="AH332" s="124" t="str">
        <f>IF($B332="","",IF(AH$3=0,"n.b.",INDEX(SRC_ZPMW03!$A$1:$ZZ$501,$A332,AH$3)))</f>
        <v/>
      </c>
      <c r="AI332" s="124" t="str">
        <f>IF($B332="","",IF(AI$3=0,"n.b.",INDEX(SRC_ZPMW03!$A$1:$ZZ$501,$A332,AI$3)))</f>
        <v/>
      </c>
      <c r="AJ332" s="124" t="str">
        <f>IF($B332="","",IF(AJ$3=0,"n.b.",INDEX(SRC_ZPMW03!$A$1:$ZZ$501,$A332,AJ$3)))</f>
        <v/>
      </c>
      <c r="AK332" s="124" t="str">
        <f>IF($B332="","",IF(AK$3=0,"n.b.",INDEX(SRC_ZPMW03!$A$1:$ZZ$501,$A332,AK$3)))</f>
        <v/>
      </c>
      <c r="AL332" s="124" t="str">
        <f>IF($B332="","",IF(AL$3=0,"n.b.",INDEX(SRC_ZPMW03!$A$1:$ZZ$501,$A332,AL$3)))</f>
        <v/>
      </c>
      <c r="AM332" s="124" t="str">
        <f>IF($B332="","",IF(AM$3=0,"n.b.",INDEX(SRC_ZPMW03!$A$1:$ZZ$501,$A332,AM$3)))</f>
        <v/>
      </c>
      <c r="AN332" s="124" t="str">
        <f>IF($B332="","",IF(AN$3=0,"n.b.",INDEX(SRC_ZPMW03!$A$1:$ZZ$501,$A332,AN$3)))</f>
        <v/>
      </c>
      <c r="AO332" s="124" t="str">
        <f>IF($B332="","",IF(AO$3=0,"n.b.",INDEX(SRC_ZPMW03!$A$1:$ZZ$501,$A332,AO$3)))</f>
        <v/>
      </c>
      <c r="AP332" s="124" t="str">
        <f>IF($B332="","",IF(AP$3=0,"n.b.",INDEX(SRC_ZPMW03!$A$1:$ZZ$501,$A332,AP$3)))</f>
        <v/>
      </c>
      <c r="AQ332" s="124" t="str">
        <f>IF($B332="","",IF(AQ$3=0,"n.b.",INDEX(SRC_ZPMW03!$A$1:$ZZ$501,$A332,AQ$3)))</f>
        <v/>
      </c>
      <c r="AR332" s="124" t="str">
        <f>IF($B332="","",IF(AR$3=0,"n.b.",INDEX(SRC_ZPMW03!$A$1:$ZZ$501,$A332,AR$3)))</f>
        <v/>
      </c>
      <c r="AS332" s="124" t="str">
        <f>IF($B332="","",IF(AS$3=0,"n.b.",INDEX(SRC_ZPMW03!$A$1:$ZZ$501,$A332,AS$3)))</f>
        <v/>
      </c>
      <c r="AT332" s="124" t="str">
        <f>IF($B332="","",IF(AT$3=0,"n.b.",INDEX(SRC_ZPMW03!$A$1:$ZZ$501,$A332,AT$3)))</f>
        <v/>
      </c>
      <c r="AU332" s="124" t="str">
        <f>IF($B332="","",IF(AU$3=0,"n.b.",INDEX(SRC_ZPMW03!$A$1:$ZZ$501,$A332,AU$3)))</f>
        <v/>
      </c>
      <c r="AV332" s="124" t="str">
        <f>IF($B332="","",IF(AV$3=0,"n.b.",INDEX(SRC_ZPMW03!$A$1:$ZZ$501,$A332,AV$3)))</f>
        <v/>
      </c>
      <c r="AW332" s="124" t="str">
        <f>IF($B332="","",IF(AW$3=0,"n.b.",INDEX(SRC_ZPMW03!$A$1:$ZZ$501,$A332,AW$3)))</f>
        <v/>
      </c>
      <c r="AX332" s="124" t="str">
        <f>IF($B332="","",IF(AX$3=0,"n.b.",INDEX(SRC_ZPMW03!$A$1:$ZZ$501,$A332,AX$3)))</f>
        <v/>
      </c>
      <c r="AY332" s="124" t="str">
        <f>IF($B332="","",IF(AY$3=0,"n.b.",INDEX(SRC_ZPMW03!$A$1:$ZZ$501,$A332,AY$3)))</f>
        <v/>
      </c>
      <c r="AZ332" s="124" t="str">
        <f>IF($B332="","",IF(AZ$3=0,"n.b.",INDEX(SRC_ZPMW03!$A$1:$ZZ$501,$A332,AZ$3)))</f>
        <v/>
      </c>
      <c r="BA332" s="124" t="str">
        <f>IF($B332="","",IF(BA$3=0,"n.b.",INDEX(SRC_ZPMW03!$A$1:$ZZ$501,$A332,BA$3)))</f>
        <v/>
      </c>
      <c r="BB332" s="124" t="str">
        <f>IF($B332="","",IF(BB$3=0,"n.b.",INDEX(SRC_ZPMW03!$A$1:$ZZ$501,$A332,BB$3)))</f>
        <v/>
      </c>
      <c r="BC332" s="124" t="str">
        <f>IF($B332="","",IF(BC$3=0,"n.b.",INDEX(SRC_ZPMW03!$A$1:$ZZ$501,$A332,BC$3)))</f>
        <v/>
      </c>
      <c r="BD332" s="124" t="str">
        <f>IF($B332="","",IF(BD$3=0,"n.b.",INDEX(SRC_ZPMW03!$A$1:$ZZ$501,$A332,BD$3)))</f>
        <v/>
      </c>
      <c r="BE332" s="124" t="str">
        <f>IF($B332="","",IF(BE$3=0,"n.b.",INDEX(SRC_ZPMW03!$A$1:$ZZ$501,$A332,BE$3)))</f>
        <v/>
      </c>
      <c r="BF332" s="124" t="str">
        <f>IF($B332="","",IF(BF$3=0,"n.b.",INDEX(SRC_ZPMW03!$A$1:$ZZ$501,$A332,BF$3)))</f>
        <v/>
      </c>
      <c r="BG332" t="str">
        <f>IF($B332="","",IF(BG$3=0,"n.b.",INDEX(SRC_ZPMW03!$A$1:$ZZ$501,$A332,BG$3)))</f>
        <v/>
      </c>
      <c r="BH332" t="str">
        <f>IF($B332="","",IF(BH$3=0,"n.b.",INDEX(SRC_ZPMW03!$A$1:$ZZ$501,$A332,BH$3)))</f>
        <v/>
      </c>
      <c r="BI332" t="str">
        <f>IF($B332="","",IF(BI$3=0,"n.b.",INDEX(SRC_ZPMW03!$A$1:$ZZ$501,$A332,BI$3)))</f>
        <v/>
      </c>
      <c r="BJ332" t="str">
        <f>IF($B332="","",IF(BJ$3=0,"n.b.",INDEX(SRC_ZPMW03!$A$1:$ZZ$501,$A332,BJ$3)))</f>
        <v/>
      </c>
      <c r="BK332" s="124" t="str">
        <f>IF($B332="","",IFERROR(-O332,"n.b."))</f>
        <v/>
      </c>
      <c r="BL332" s="124" t="str">
        <f>IF($B332="","",IFERROR(-Q332,"n.b."))</f>
        <v/>
      </c>
      <c r="BM332" s="124" t="str">
        <f>IF($B332="","",IFERROR(-AB332,"n.b."))</f>
        <v/>
      </c>
      <c r="BN332" s="124" t="str">
        <f>IF($B332="","",IFERROR(-AD332,"n.b."))</f>
        <v/>
      </c>
      <c r="BO332" s="124" t="str">
        <f>IF($B332="","",IFERROR(BK332+BM332,"n.b."))</f>
        <v/>
      </c>
      <c r="BP332" s="124" t="str">
        <f>IF($B332="","",IFERROR(BL332+BN332,"n.b."))</f>
        <v/>
      </c>
      <c r="BQ332" s="124" t="str">
        <f>IF($B332="","",IFERROR(-AM332,"n.b."))</f>
        <v/>
      </c>
      <c r="BR332" s="124" t="str">
        <f>IF($B332="","",IFERROR(-AO332,"n.b."))</f>
        <v/>
      </c>
      <c r="BS332" s="124" t="str">
        <f>IF($B332="","",IFERROR(-Z332,"n.b."))</f>
        <v/>
      </c>
      <c r="BT332" s="124" t="str">
        <f>IF($B332="","",IFERROR(-AA332,"n.b."))</f>
        <v/>
      </c>
      <c r="BU332" s="124" t="str">
        <f>IF($B332="","",IFERROR(-AE332,"n.b."))</f>
        <v/>
      </c>
      <c r="BV332" s="124" t="str">
        <f>IF($B332="","",IFERROR(-AF332,"n.b."))</f>
        <v/>
      </c>
      <c r="BW332" s="124" t="str">
        <f>IF($B332="","",IFERROR(-AG332,"n.b."))</f>
        <v/>
      </c>
      <c r="BX332" s="124" t="str">
        <f>IF($B332="","",IFERROR(-AH332,"n.b."))</f>
        <v/>
      </c>
      <c r="BY332" s="124" t="str">
        <f>IF($B332="","",IFERROR(-AI332,"n.b."))</f>
        <v/>
      </c>
      <c r="BZ332" s="124" t="str">
        <f>IF($B332="","",IFERROR(-AJ332,"n.b."))</f>
        <v/>
      </c>
      <c r="CA332" s="124" t="str">
        <f>IF($B332="","",IFERROR(-AK332,"n.b."))</f>
        <v/>
      </c>
      <c r="CB332" s="124" t="str">
        <f>IF($B332="","",IFERROR(-AL332,"n.b."))</f>
        <v/>
      </c>
      <c r="CC332" s="124" t="str">
        <f>IF($B332="","",IFERROR(-AP332,"n.b."))</f>
        <v/>
      </c>
      <c r="CD332" s="124" t="str">
        <f>IF($B332="","",IFERROR(-AQ332,"n.b."))</f>
        <v/>
      </c>
      <c r="CE332" s="124" t="str">
        <f>IF($B332="","",IFERROR(-AR332,"n.b."))</f>
        <v/>
      </c>
      <c r="CF332" s="124" t="str">
        <f>IF($B332="","",IFERROR(-AS332,"n.b."))</f>
        <v/>
      </c>
      <c r="CG332" s="124" t="str">
        <f>IF($B332="","",IFERROR(-AT332,"n.b."))</f>
        <v/>
      </c>
      <c r="CH332" s="124" t="str">
        <f>IF($B332="","",IFERROR(-AU332,"n.b."))</f>
        <v/>
      </c>
      <c r="CI332" s="124" t="str">
        <f>IF($B332="","",IFERROR(-AV332,"n.b."))</f>
        <v/>
      </c>
      <c r="CJ332" s="124" t="str">
        <f>IF($B332="","",IFERROR(-AW332,"n.b."))</f>
        <v/>
      </c>
      <c r="CK332" s="124" t="str">
        <f>IF($B332="","",IFERROR(-AX332,"n.b."))</f>
        <v/>
      </c>
      <c r="CL332" s="124" t="str">
        <f>IF($B332="","",IFERROR(-AY332,"n.b."))</f>
        <v/>
      </c>
      <c r="CM332" s="124" t="str">
        <f>IF($B332="","",IFERROR(-AZ332,"n.b."))</f>
        <v/>
      </c>
      <c r="CN332" s="124" t="str">
        <f>IF($B332="","",IFERROR(-BA332,"n.b."))</f>
        <v/>
      </c>
      <c r="CO332" s="124" t="str">
        <f>IF($B332="","",IFERROR(-BB332,"n.b."))</f>
        <v/>
      </c>
      <c r="CP332" s="124" t="str">
        <f>IF($B332="","",IFERROR(-BC332,"n.b."))</f>
        <v/>
      </c>
      <c r="CQ332" s="124" t="str">
        <f>IF($B332="","",IFERROR(-BD332,"n.b."))</f>
        <v/>
      </c>
      <c r="CR332" s="124" t="str">
        <f>IF($B332="","",IFERROR(-BE332,"n.b."))</f>
        <v/>
      </c>
      <c r="CS332" s="124" t="str">
        <f>IF($B332="","",IFERROR(IF(OR(ABS(T332+V332+X332+Z332-AB332)&gt;P_Tol,ABS(U332+W332+Y332+AA332-AD332)&gt;P_Tol,ABS(AE332+AG332+AI332+AK332-AM332)&gt;P_Tol,ABS(AF332+AH332+AJ332+AL332-AO332)&gt;P_Tol),1,0),1))</f>
        <v/>
      </c>
      <c r="CT332" s="124" t="str">
        <f>IF($B332="","",IFERROR(IF(OR(ABS(AB332+AC332-AD332)&gt;P_Tol,ABS(AM332+AN332-AO332)&gt;P_Tol,ABS(O332+P332-Q332)&gt;P_Tol),1,0),1))</f>
        <v/>
      </c>
      <c r="CU332" s="124" t="str">
        <f>IF($B332="","",IFERROR(IF(ABS(R332-(AB332+AM332+AP332+AR332+AT332+AV332+AX332+AZ332+BB332+BD332))&gt;P_Tol,1,0),1))</f>
        <v/>
      </c>
      <c r="CV332" s="124" t="str">
        <f>IF($B332="","",IFERROR(IF(ABS(M332-(N332+O332+R332))&gt;P_Tol,1,0),1))</f>
        <v/>
      </c>
      <c r="CW332" s="124" t="str">
        <f>IF($B332="","",IF(COUNTIF(Mapping!$A$5:$A$104,B332)&gt;0,1,0))</f>
        <v/>
      </c>
      <c r="CX332" s="124" t="str">
        <f>IF($B332="","",COUNTIF($B$6:$B$505,B332))</f>
        <v/>
      </c>
      <c r="CY332" s="124" t="str">
        <f>IF($B332="","",COUNTIF(STG_Woningetalage!$B$6:$B$505,B332))</f>
        <v/>
      </c>
      <c r="CZ332" s="124" t="str">
        <f>IF($B332="","",IF(CW332=0,COUNTIF($CW$6:CW332,0),""))</f>
        <v/>
      </c>
    </row>
    <row r="333">
      <c r="A333" s="15" t="n">
        <v>329</v>
      </c>
      <c r="B333" t="str">
        <f>IF(B$3=0,"",IF(INDEX(SRC_ZPMW03!$A$1:$ZZ$501,$A333,B$3)&amp;""="","",INDEX(SRC_ZPMW03!$A$1:$ZZ$501,$A333,B$3)&amp;""))</f>
        <v/>
      </c>
      <c r="C333" t="str">
        <f>IF($B333="","",IF(C$3=0,"n.b.",INDEX(SRC_ZPMW03!$A$1:$ZZ$501,$A333,C$3)))</f>
        <v/>
      </c>
      <c r="D333" t="str">
        <f>IF($B333="","",IF(D$3=0,"n.b.",INDEX(SRC_ZPMW03!$A$1:$ZZ$501,$A333,D$3)))</f>
        <v/>
      </c>
      <c r="E333" t="str">
        <f>IF($B333="","",IF(E$3=0,"n.b.",INDEX(SRC_ZPMW03!$A$1:$ZZ$501,$A333,E$3)))</f>
        <v/>
      </c>
      <c r="F333" t="str">
        <f>IF($B333="","",IF(F$3=0,"n.b.",INDEX(SRC_ZPMW03!$A$1:$ZZ$501,$A333,F$3)))</f>
        <v/>
      </c>
      <c r="G333" t="str">
        <f>IF($B333="","",IF(G$3=0,"n.b.",INDEX(SRC_ZPMW03!$A$1:$ZZ$501,$A333,G$3)))</f>
        <v/>
      </c>
      <c r="H333" t="str">
        <f>IF($B333="","",IF(H$3=0,"n.b.",INDEX(SRC_ZPMW03!$A$1:$ZZ$501,$A333,H$3)))</f>
        <v/>
      </c>
      <c r="I333" t="str">
        <f>IF($B333="","",IF(I$3=0,"n.b.",INDEX(SRC_ZPMW03!$A$1:$ZZ$501,$A333,I$3)))</f>
        <v/>
      </c>
      <c r="J333" t="str">
        <f>IF($B333="","",IF(J$3=0,"n.b.",INDEX(SRC_ZPMW03!$A$1:$ZZ$501,$A333,J$3)))</f>
        <v/>
      </c>
      <c r="K333" t="str">
        <f>IF($B333="","",IF(K$3=0,"n.b.",INDEX(SRC_ZPMW03!$A$1:$ZZ$501,$A333,K$3)))</f>
        <v/>
      </c>
      <c r="L333" s="124" t="str">
        <f>IF($B333="","",IF(L$3=0,"n.b.",INDEX(SRC_ZPMW03!$A$1:$ZZ$501,$A333,L$3)))</f>
        <v/>
      </c>
      <c r="M333" s="124" t="str">
        <f>IF($B333="","",IF(M$3=0,"n.b.",INDEX(SRC_ZPMW03!$A$1:$ZZ$501,$A333,M$3)))</f>
        <v/>
      </c>
      <c r="N333" s="124" t="str">
        <f>IF($B333="","",IF(N$3=0,"n.b.",INDEX(SRC_ZPMW03!$A$1:$ZZ$501,$A333,N$3)))</f>
        <v/>
      </c>
      <c r="O333" s="124" t="str">
        <f>IF($B333="","",IF(O$3=0,"n.b.",INDEX(SRC_ZPMW03!$A$1:$ZZ$501,$A333,O$3)))</f>
        <v/>
      </c>
      <c r="P333" s="124" t="str">
        <f>IF($B333="","",IF(P$3=0,"n.b.",INDEX(SRC_ZPMW03!$A$1:$ZZ$501,$A333,P$3)))</f>
        <v/>
      </c>
      <c r="Q333" s="124" t="str">
        <f>IF($B333="","",IF(Q$3=0,"n.b.",INDEX(SRC_ZPMW03!$A$1:$ZZ$501,$A333,Q$3)))</f>
        <v/>
      </c>
      <c r="R333" s="124" t="str">
        <f>IF($B333="","",IF(R$3=0,"n.b.",INDEX(SRC_ZPMW03!$A$1:$ZZ$501,$A333,R$3)))</f>
        <v/>
      </c>
      <c r="S333" s="124" t="str">
        <f>IF($B333="","",IF(S$3=0,"n.b.",INDEX(SRC_ZPMW03!$A$1:$ZZ$501,$A333,S$3)))</f>
        <v/>
      </c>
      <c r="T333" s="124" t="str">
        <f>IF($B333="","",IF(T$3=0,"n.b.",INDEX(SRC_ZPMW03!$A$1:$ZZ$501,$A333,T$3)))</f>
        <v/>
      </c>
      <c r="U333" s="124" t="str">
        <f>IF($B333="","",IF(U$3=0,"n.b.",INDEX(SRC_ZPMW03!$A$1:$ZZ$501,$A333,U$3)))</f>
        <v/>
      </c>
      <c r="V333" s="124" t="str">
        <f>IF($B333="","",IF(V$3=0,"n.b.",INDEX(SRC_ZPMW03!$A$1:$ZZ$501,$A333,V$3)))</f>
        <v/>
      </c>
      <c r="W333" s="124" t="str">
        <f>IF($B333="","",IF(W$3=0,"n.b.",INDEX(SRC_ZPMW03!$A$1:$ZZ$501,$A333,W$3)))</f>
        <v/>
      </c>
      <c r="X333" s="124" t="str">
        <f>IF($B333="","",IF(X$3=0,"n.b.",INDEX(SRC_ZPMW03!$A$1:$ZZ$501,$A333,X$3)))</f>
        <v/>
      </c>
      <c r="Y333" s="124" t="str">
        <f>IF($B333="","",IF(Y$3=0,"n.b.",INDEX(SRC_ZPMW03!$A$1:$ZZ$501,$A333,Y$3)))</f>
        <v/>
      </c>
      <c r="Z333" s="124" t="str">
        <f>IF($B333="","",IF(Z$3=0,"n.b.",INDEX(SRC_ZPMW03!$A$1:$ZZ$501,$A333,Z$3)))</f>
        <v/>
      </c>
      <c r="AA333" s="124" t="str">
        <f>IF($B333="","",IF(AA$3=0,"n.b.",INDEX(SRC_ZPMW03!$A$1:$ZZ$501,$A333,AA$3)))</f>
        <v/>
      </c>
      <c r="AB333" s="124" t="str">
        <f>IF($B333="","",IF(AB$3=0,"n.b.",INDEX(SRC_ZPMW03!$A$1:$ZZ$501,$A333,AB$3)))</f>
        <v/>
      </c>
      <c r="AC333" s="124" t="str">
        <f>IF($B333="","",IF(AC$3=0,"n.b.",INDEX(SRC_ZPMW03!$A$1:$ZZ$501,$A333,AC$3)))</f>
        <v/>
      </c>
      <c r="AD333" s="124" t="str">
        <f>IF($B333="","",IF(AD$3=0,"n.b.",INDEX(SRC_ZPMW03!$A$1:$ZZ$501,$A333,AD$3)))</f>
        <v/>
      </c>
      <c r="AE333" s="124" t="str">
        <f>IF($B333="","",IF(AE$3=0,"n.b.",INDEX(SRC_ZPMW03!$A$1:$ZZ$501,$A333,AE$3)))</f>
        <v/>
      </c>
      <c r="AF333" s="124" t="str">
        <f>IF($B333="","",IF(AF$3=0,"n.b.",INDEX(SRC_ZPMW03!$A$1:$ZZ$501,$A333,AF$3)))</f>
        <v/>
      </c>
      <c r="AG333" s="124" t="str">
        <f>IF($B333="","",IF(AG$3=0,"n.b.",INDEX(SRC_ZPMW03!$A$1:$ZZ$501,$A333,AG$3)))</f>
        <v/>
      </c>
      <c r="AH333" s="124" t="str">
        <f>IF($B333="","",IF(AH$3=0,"n.b.",INDEX(SRC_ZPMW03!$A$1:$ZZ$501,$A333,AH$3)))</f>
        <v/>
      </c>
      <c r="AI333" s="124" t="str">
        <f>IF($B333="","",IF(AI$3=0,"n.b.",INDEX(SRC_ZPMW03!$A$1:$ZZ$501,$A333,AI$3)))</f>
        <v/>
      </c>
      <c r="AJ333" s="124" t="str">
        <f>IF($B333="","",IF(AJ$3=0,"n.b.",INDEX(SRC_ZPMW03!$A$1:$ZZ$501,$A333,AJ$3)))</f>
        <v/>
      </c>
      <c r="AK333" s="124" t="str">
        <f>IF($B333="","",IF(AK$3=0,"n.b.",INDEX(SRC_ZPMW03!$A$1:$ZZ$501,$A333,AK$3)))</f>
        <v/>
      </c>
      <c r="AL333" s="124" t="str">
        <f>IF($B333="","",IF(AL$3=0,"n.b.",INDEX(SRC_ZPMW03!$A$1:$ZZ$501,$A333,AL$3)))</f>
        <v/>
      </c>
      <c r="AM333" s="124" t="str">
        <f>IF($B333="","",IF(AM$3=0,"n.b.",INDEX(SRC_ZPMW03!$A$1:$ZZ$501,$A333,AM$3)))</f>
        <v/>
      </c>
      <c r="AN333" s="124" t="str">
        <f>IF($B333="","",IF(AN$3=0,"n.b.",INDEX(SRC_ZPMW03!$A$1:$ZZ$501,$A333,AN$3)))</f>
        <v/>
      </c>
      <c r="AO333" s="124" t="str">
        <f>IF($B333="","",IF(AO$3=0,"n.b.",INDEX(SRC_ZPMW03!$A$1:$ZZ$501,$A333,AO$3)))</f>
        <v/>
      </c>
      <c r="AP333" s="124" t="str">
        <f>IF($B333="","",IF(AP$3=0,"n.b.",INDEX(SRC_ZPMW03!$A$1:$ZZ$501,$A333,AP$3)))</f>
        <v/>
      </c>
      <c r="AQ333" s="124" t="str">
        <f>IF($B333="","",IF(AQ$3=0,"n.b.",INDEX(SRC_ZPMW03!$A$1:$ZZ$501,$A333,AQ$3)))</f>
        <v/>
      </c>
      <c r="AR333" s="124" t="str">
        <f>IF($B333="","",IF(AR$3=0,"n.b.",INDEX(SRC_ZPMW03!$A$1:$ZZ$501,$A333,AR$3)))</f>
        <v/>
      </c>
      <c r="AS333" s="124" t="str">
        <f>IF($B333="","",IF(AS$3=0,"n.b.",INDEX(SRC_ZPMW03!$A$1:$ZZ$501,$A333,AS$3)))</f>
        <v/>
      </c>
      <c r="AT333" s="124" t="str">
        <f>IF($B333="","",IF(AT$3=0,"n.b.",INDEX(SRC_ZPMW03!$A$1:$ZZ$501,$A333,AT$3)))</f>
        <v/>
      </c>
      <c r="AU333" s="124" t="str">
        <f>IF($B333="","",IF(AU$3=0,"n.b.",INDEX(SRC_ZPMW03!$A$1:$ZZ$501,$A333,AU$3)))</f>
        <v/>
      </c>
      <c r="AV333" s="124" t="str">
        <f>IF($B333="","",IF(AV$3=0,"n.b.",INDEX(SRC_ZPMW03!$A$1:$ZZ$501,$A333,AV$3)))</f>
        <v/>
      </c>
      <c r="AW333" s="124" t="str">
        <f>IF($B333="","",IF(AW$3=0,"n.b.",INDEX(SRC_ZPMW03!$A$1:$ZZ$501,$A333,AW$3)))</f>
        <v/>
      </c>
      <c r="AX333" s="124" t="str">
        <f>IF($B333="","",IF(AX$3=0,"n.b.",INDEX(SRC_ZPMW03!$A$1:$ZZ$501,$A333,AX$3)))</f>
        <v/>
      </c>
      <c r="AY333" s="124" t="str">
        <f>IF($B333="","",IF(AY$3=0,"n.b.",INDEX(SRC_ZPMW03!$A$1:$ZZ$501,$A333,AY$3)))</f>
        <v/>
      </c>
      <c r="AZ333" s="124" t="str">
        <f>IF($B333="","",IF(AZ$3=0,"n.b.",INDEX(SRC_ZPMW03!$A$1:$ZZ$501,$A333,AZ$3)))</f>
        <v/>
      </c>
      <c r="BA333" s="124" t="str">
        <f>IF($B333="","",IF(BA$3=0,"n.b.",INDEX(SRC_ZPMW03!$A$1:$ZZ$501,$A333,BA$3)))</f>
        <v/>
      </c>
      <c r="BB333" s="124" t="str">
        <f>IF($B333="","",IF(BB$3=0,"n.b.",INDEX(SRC_ZPMW03!$A$1:$ZZ$501,$A333,BB$3)))</f>
        <v/>
      </c>
      <c r="BC333" s="124" t="str">
        <f>IF($B333="","",IF(BC$3=0,"n.b.",INDEX(SRC_ZPMW03!$A$1:$ZZ$501,$A333,BC$3)))</f>
        <v/>
      </c>
      <c r="BD333" s="124" t="str">
        <f>IF($B333="","",IF(BD$3=0,"n.b.",INDEX(SRC_ZPMW03!$A$1:$ZZ$501,$A333,BD$3)))</f>
        <v/>
      </c>
      <c r="BE333" s="124" t="str">
        <f>IF($B333="","",IF(BE$3=0,"n.b.",INDEX(SRC_ZPMW03!$A$1:$ZZ$501,$A333,BE$3)))</f>
        <v/>
      </c>
      <c r="BF333" s="124" t="str">
        <f>IF($B333="","",IF(BF$3=0,"n.b.",INDEX(SRC_ZPMW03!$A$1:$ZZ$501,$A333,BF$3)))</f>
        <v/>
      </c>
      <c r="BG333" t="str">
        <f>IF($B333="","",IF(BG$3=0,"n.b.",INDEX(SRC_ZPMW03!$A$1:$ZZ$501,$A333,BG$3)))</f>
        <v/>
      </c>
      <c r="BH333" t="str">
        <f>IF($B333="","",IF(BH$3=0,"n.b.",INDEX(SRC_ZPMW03!$A$1:$ZZ$501,$A333,BH$3)))</f>
        <v/>
      </c>
      <c r="BI333" t="str">
        <f>IF($B333="","",IF(BI$3=0,"n.b.",INDEX(SRC_ZPMW03!$A$1:$ZZ$501,$A333,BI$3)))</f>
        <v/>
      </c>
      <c r="BJ333" t="str">
        <f>IF($B333="","",IF(BJ$3=0,"n.b.",INDEX(SRC_ZPMW03!$A$1:$ZZ$501,$A333,BJ$3)))</f>
        <v/>
      </c>
      <c r="BK333" s="124" t="str">
        <f>IF($B333="","",IFERROR(-O333,"n.b."))</f>
        <v/>
      </c>
      <c r="BL333" s="124" t="str">
        <f>IF($B333="","",IFERROR(-Q333,"n.b."))</f>
        <v/>
      </c>
      <c r="BM333" s="124" t="str">
        <f>IF($B333="","",IFERROR(-AB333,"n.b."))</f>
        <v/>
      </c>
      <c r="BN333" s="124" t="str">
        <f>IF($B333="","",IFERROR(-AD333,"n.b."))</f>
        <v/>
      </c>
      <c r="BO333" s="124" t="str">
        <f>IF($B333="","",IFERROR(BK333+BM333,"n.b."))</f>
        <v/>
      </c>
      <c r="BP333" s="124" t="str">
        <f>IF($B333="","",IFERROR(BL333+BN333,"n.b."))</f>
        <v/>
      </c>
      <c r="BQ333" s="124" t="str">
        <f>IF($B333="","",IFERROR(-AM333,"n.b."))</f>
        <v/>
      </c>
      <c r="BR333" s="124" t="str">
        <f>IF($B333="","",IFERROR(-AO333,"n.b."))</f>
        <v/>
      </c>
      <c r="BS333" s="124" t="str">
        <f>IF($B333="","",IFERROR(-Z333,"n.b."))</f>
        <v/>
      </c>
      <c r="BT333" s="124" t="str">
        <f>IF($B333="","",IFERROR(-AA333,"n.b."))</f>
        <v/>
      </c>
      <c r="BU333" s="124" t="str">
        <f>IF($B333="","",IFERROR(-AE333,"n.b."))</f>
        <v/>
      </c>
      <c r="BV333" s="124" t="str">
        <f>IF($B333="","",IFERROR(-AF333,"n.b."))</f>
        <v/>
      </c>
      <c r="BW333" s="124" t="str">
        <f>IF($B333="","",IFERROR(-AG333,"n.b."))</f>
        <v/>
      </c>
      <c r="BX333" s="124" t="str">
        <f>IF($B333="","",IFERROR(-AH333,"n.b."))</f>
        <v/>
      </c>
      <c r="BY333" s="124" t="str">
        <f>IF($B333="","",IFERROR(-AI333,"n.b."))</f>
        <v/>
      </c>
      <c r="BZ333" s="124" t="str">
        <f>IF($B333="","",IFERROR(-AJ333,"n.b."))</f>
        <v/>
      </c>
      <c r="CA333" s="124" t="str">
        <f>IF($B333="","",IFERROR(-AK333,"n.b."))</f>
        <v/>
      </c>
      <c r="CB333" s="124" t="str">
        <f>IF($B333="","",IFERROR(-AL333,"n.b."))</f>
        <v/>
      </c>
      <c r="CC333" s="124" t="str">
        <f>IF($B333="","",IFERROR(-AP333,"n.b."))</f>
        <v/>
      </c>
      <c r="CD333" s="124" t="str">
        <f>IF($B333="","",IFERROR(-AQ333,"n.b."))</f>
        <v/>
      </c>
      <c r="CE333" s="124" t="str">
        <f>IF($B333="","",IFERROR(-AR333,"n.b."))</f>
        <v/>
      </c>
      <c r="CF333" s="124" t="str">
        <f>IF($B333="","",IFERROR(-AS333,"n.b."))</f>
        <v/>
      </c>
      <c r="CG333" s="124" t="str">
        <f>IF($B333="","",IFERROR(-AT333,"n.b."))</f>
        <v/>
      </c>
      <c r="CH333" s="124" t="str">
        <f>IF($B333="","",IFERROR(-AU333,"n.b."))</f>
        <v/>
      </c>
      <c r="CI333" s="124" t="str">
        <f>IF($B333="","",IFERROR(-AV333,"n.b."))</f>
        <v/>
      </c>
      <c r="CJ333" s="124" t="str">
        <f>IF($B333="","",IFERROR(-AW333,"n.b."))</f>
        <v/>
      </c>
      <c r="CK333" s="124" t="str">
        <f>IF($B333="","",IFERROR(-AX333,"n.b."))</f>
        <v/>
      </c>
      <c r="CL333" s="124" t="str">
        <f>IF($B333="","",IFERROR(-AY333,"n.b."))</f>
        <v/>
      </c>
      <c r="CM333" s="124" t="str">
        <f>IF($B333="","",IFERROR(-AZ333,"n.b."))</f>
        <v/>
      </c>
      <c r="CN333" s="124" t="str">
        <f>IF($B333="","",IFERROR(-BA333,"n.b."))</f>
        <v/>
      </c>
      <c r="CO333" s="124" t="str">
        <f>IF($B333="","",IFERROR(-BB333,"n.b."))</f>
        <v/>
      </c>
      <c r="CP333" s="124" t="str">
        <f>IF($B333="","",IFERROR(-BC333,"n.b."))</f>
        <v/>
      </c>
      <c r="CQ333" s="124" t="str">
        <f>IF($B333="","",IFERROR(-BD333,"n.b."))</f>
        <v/>
      </c>
      <c r="CR333" s="124" t="str">
        <f>IF($B333="","",IFERROR(-BE333,"n.b."))</f>
        <v/>
      </c>
      <c r="CS333" s="124" t="str">
        <f>IF($B333="","",IFERROR(IF(OR(ABS(T333+V333+X333+Z333-AB333)&gt;P_Tol,ABS(U333+W333+Y333+AA333-AD333)&gt;P_Tol,ABS(AE333+AG333+AI333+AK333-AM333)&gt;P_Tol,ABS(AF333+AH333+AJ333+AL333-AO333)&gt;P_Tol),1,0),1))</f>
        <v/>
      </c>
      <c r="CT333" s="124" t="str">
        <f>IF($B333="","",IFERROR(IF(OR(ABS(AB333+AC333-AD333)&gt;P_Tol,ABS(AM333+AN333-AO333)&gt;P_Tol,ABS(O333+P333-Q333)&gt;P_Tol),1,0),1))</f>
        <v/>
      </c>
      <c r="CU333" s="124" t="str">
        <f>IF($B333="","",IFERROR(IF(ABS(R333-(AB333+AM333+AP333+AR333+AT333+AV333+AX333+AZ333+BB333+BD333))&gt;P_Tol,1,0),1))</f>
        <v/>
      </c>
      <c r="CV333" s="124" t="str">
        <f>IF($B333="","",IFERROR(IF(ABS(M333-(N333+O333+R333))&gt;P_Tol,1,0),1))</f>
        <v/>
      </c>
      <c r="CW333" s="124" t="str">
        <f>IF($B333="","",IF(COUNTIF(Mapping!$A$5:$A$104,B333)&gt;0,1,0))</f>
        <v/>
      </c>
      <c r="CX333" s="124" t="str">
        <f>IF($B333="","",COUNTIF($B$6:$B$505,B333))</f>
        <v/>
      </c>
      <c r="CY333" s="124" t="str">
        <f>IF($B333="","",COUNTIF(STG_Woningetalage!$B$6:$B$505,B333))</f>
        <v/>
      </c>
      <c r="CZ333" s="124" t="str">
        <f>IF($B333="","",IF(CW333=0,COUNTIF($CW$6:CW333,0),""))</f>
        <v/>
      </c>
    </row>
    <row r="334">
      <c r="A334" s="15" t="n">
        <v>330</v>
      </c>
      <c r="B334" t="str">
        <f>IF(B$3=0,"",IF(INDEX(SRC_ZPMW03!$A$1:$ZZ$501,$A334,B$3)&amp;""="","",INDEX(SRC_ZPMW03!$A$1:$ZZ$501,$A334,B$3)&amp;""))</f>
        <v/>
      </c>
      <c r="C334" t="str">
        <f>IF($B334="","",IF(C$3=0,"n.b.",INDEX(SRC_ZPMW03!$A$1:$ZZ$501,$A334,C$3)))</f>
        <v/>
      </c>
      <c r="D334" t="str">
        <f>IF($B334="","",IF(D$3=0,"n.b.",INDEX(SRC_ZPMW03!$A$1:$ZZ$501,$A334,D$3)))</f>
        <v/>
      </c>
      <c r="E334" t="str">
        <f>IF($B334="","",IF(E$3=0,"n.b.",INDEX(SRC_ZPMW03!$A$1:$ZZ$501,$A334,E$3)))</f>
        <v/>
      </c>
      <c r="F334" t="str">
        <f>IF($B334="","",IF(F$3=0,"n.b.",INDEX(SRC_ZPMW03!$A$1:$ZZ$501,$A334,F$3)))</f>
        <v/>
      </c>
      <c r="G334" t="str">
        <f>IF($B334="","",IF(G$3=0,"n.b.",INDEX(SRC_ZPMW03!$A$1:$ZZ$501,$A334,G$3)))</f>
        <v/>
      </c>
      <c r="H334" t="str">
        <f>IF($B334="","",IF(H$3=0,"n.b.",INDEX(SRC_ZPMW03!$A$1:$ZZ$501,$A334,H$3)))</f>
        <v/>
      </c>
      <c r="I334" t="str">
        <f>IF($B334="","",IF(I$3=0,"n.b.",INDEX(SRC_ZPMW03!$A$1:$ZZ$501,$A334,I$3)))</f>
        <v/>
      </c>
      <c r="J334" t="str">
        <f>IF($B334="","",IF(J$3=0,"n.b.",INDEX(SRC_ZPMW03!$A$1:$ZZ$501,$A334,J$3)))</f>
        <v/>
      </c>
      <c r="K334" t="str">
        <f>IF($B334="","",IF(K$3=0,"n.b.",INDEX(SRC_ZPMW03!$A$1:$ZZ$501,$A334,K$3)))</f>
        <v/>
      </c>
      <c r="L334" s="124" t="str">
        <f>IF($B334="","",IF(L$3=0,"n.b.",INDEX(SRC_ZPMW03!$A$1:$ZZ$501,$A334,L$3)))</f>
        <v/>
      </c>
      <c r="M334" s="124" t="str">
        <f>IF($B334="","",IF(M$3=0,"n.b.",INDEX(SRC_ZPMW03!$A$1:$ZZ$501,$A334,M$3)))</f>
        <v/>
      </c>
      <c r="N334" s="124" t="str">
        <f>IF($B334="","",IF(N$3=0,"n.b.",INDEX(SRC_ZPMW03!$A$1:$ZZ$501,$A334,N$3)))</f>
        <v/>
      </c>
      <c r="O334" s="124" t="str">
        <f>IF($B334="","",IF(O$3=0,"n.b.",INDEX(SRC_ZPMW03!$A$1:$ZZ$501,$A334,O$3)))</f>
        <v/>
      </c>
      <c r="P334" s="124" t="str">
        <f>IF($B334="","",IF(P$3=0,"n.b.",INDEX(SRC_ZPMW03!$A$1:$ZZ$501,$A334,P$3)))</f>
        <v/>
      </c>
      <c r="Q334" s="124" t="str">
        <f>IF($B334="","",IF(Q$3=0,"n.b.",INDEX(SRC_ZPMW03!$A$1:$ZZ$501,$A334,Q$3)))</f>
        <v/>
      </c>
      <c r="R334" s="124" t="str">
        <f>IF($B334="","",IF(R$3=0,"n.b.",INDEX(SRC_ZPMW03!$A$1:$ZZ$501,$A334,R$3)))</f>
        <v/>
      </c>
      <c r="S334" s="124" t="str">
        <f>IF($B334="","",IF(S$3=0,"n.b.",INDEX(SRC_ZPMW03!$A$1:$ZZ$501,$A334,S$3)))</f>
        <v/>
      </c>
      <c r="T334" s="124" t="str">
        <f>IF($B334="","",IF(T$3=0,"n.b.",INDEX(SRC_ZPMW03!$A$1:$ZZ$501,$A334,T$3)))</f>
        <v/>
      </c>
      <c r="U334" s="124" t="str">
        <f>IF($B334="","",IF(U$3=0,"n.b.",INDEX(SRC_ZPMW03!$A$1:$ZZ$501,$A334,U$3)))</f>
        <v/>
      </c>
      <c r="V334" s="124" t="str">
        <f>IF($B334="","",IF(V$3=0,"n.b.",INDEX(SRC_ZPMW03!$A$1:$ZZ$501,$A334,V$3)))</f>
        <v/>
      </c>
      <c r="W334" s="124" t="str">
        <f>IF($B334="","",IF(W$3=0,"n.b.",INDEX(SRC_ZPMW03!$A$1:$ZZ$501,$A334,W$3)))</f>
        <v/>
      </c>
      <c r="X334" s="124" t="str">
        <f>IF($B334="","",IF(X$3=0,"n.b.",INDEX(SRC_ZPMW03!$A$1:$ZZ$501,$A334,X$3)))</f>
        <v/>
      </c>
      <c r="Y334" s="124" t="str">
        <f>IF($B334="","",IF(Y$3=0,"n.b.",INDEX(SRC_ZPMW03!$A$1:$ZZ$501,$A334,Y$3)))</f>
        <v/>
      </c>
      <c r="Z334" s="124" t="str">
        <f>IF($B334="","",IF(Z$3=0,"n.b.",INDEX(SRC_ZPMW03!$A$1:$ZZ$501,$A334,Z$3)))</f>
        <v/>
      </c>
      <c r="AA334" s="124" t="str">
        <f>IF($B334="","",IF(AA$3=0,"n.b.",INDEX(SRC_ZPMW03!$A$1:$ZZ$501,$A334,AA$3)))</f>
        <v/>
      </c>
      <c r="AB334" s="124" t="str">
        <f>IF($B334="","",IF(AB$3=0,"n.b.",INDEX(SRC_ZPMW03!$A$1:$ZZ$501,$A334,AB$3)))</f>
        <v/>
      </c>
      <c r="AC334" s="124" t="str">
        <f>IF($B334="","",IF(AC$3=0,"n.b.",INDEX(SRC_ZPMW03!$A$1:$ZZ$501,$A334,AC$3)))</f>
        <v/>
      </c>
      <c r="AD334" s="124" t="str">
        <f>IF($B334="","",IF(AD$3=0,"n.b.",INDEX(SRC_ZPMW03!$A$1:$ZZ$501,$A334,AD$3)))</f>
        <v/>
      </c>
      <c r="AE334" s="124" t="str">
        <f>IF($B334="","",IF(AE$3=0,"n.b.",INDEX(SRC_ZPMW03!$A$1:$ZZ$501,$A334,AE$3)))</f>
        <v/>
      </c>
      <c r="AF334" s="124" t="str">
        <f>IF($B334="","",IF(AF$3=0,"n.b.",INDEX(SRC_ZPMW03!$A$1:$ZZ$501,$A334,AF$3)))</f>
        <v/>
      </c>
      <c r="AG334" s="124" t="str">
        <f>IF($B334="","",IF(AG$3=0,"n.b.",INDEX(SRC_ZPMW03!$A$1:$ZZ$501,$A334,AG$3)))</f>
        <v/>
      </c>
      <c r="AH334" s="124" t="str">
        <f>IF($B334="","",IF(AH$3=0,"n.b.",INDEX(SRC_ZPMW03!$A$1:$ZZ$501,$A334,AH$3)))</f>
        <v/>
      </c>
      <c r="AI334" s="124" t="str">
        <f>IF($B334="","",IF(AI$3=0,"n.b.",INDEX(SRC_ZPMW03!$A$1:$ZZ$501,$A334,AI$3)))</f>
        <v/>
      </c>
      <c r="AJ334" s="124" t="str">
        <f>IF($B334="","",IF(AJ$3=0,"n.b.",INDEX(SRC_ZPMW03!$A$1:$ZZ$501,$A334,AJ$3)))</f>
        <v/>
      </c>
      <c r="AK334" s="124" t="str">
        <f>IF($B334="","",IF(AK$3=0,"n.b.",INDEX(SRC_ZPMW03!$A$1:$ZZ$501,$A334,AK$3)))</f>
        <v/>
      </c>
      <c r="AL334" s="124" t="str">
        <f>IF($B334="","",IF(AL$3=0,"n.b.",INDEX(SRC_ZPMW03!$A$1:$ZZ$501,$A334,AL$3)))</f>
        <v/>
      </c>
      <c r="AM334" s="124" t="str">
        <f>IF($B334="","",IF(AM$3=0,"n.b.",INDEX(SRC_ZPMW03!$A$1:$ZZ$501,$A334,AM$3)))</f>
        <v/>
      </c>
      <c r="AN334" s="124" t="str">
        <f>IF($B334="","",IF(AN$3=0,"n.b.",INDEX(SRC_ZPMW03!$A$1:$ZZ$501,$A334,AN$3)))</f>
        <v/>
      </c>
      <c r="AO334" s="124" t="str">
        <f>IF($B334="","",IF(AO$3=0,"n.b.",INDEX(SRC_ZPMW03!$A$1:$ZZ$501,$A334,AO$3)))</f>
        <v/>
      </c>
      <c r="AP334" s="124" t="str">
        <f>IF($B334="","",IF(AP$3=0,"n.b.",INDEX(SRC_ZPMW03!$A$1:$ZZ$501,$A334,AP$3)))</f>
        <v/>
      </c>
      <c r="AQ334" s="124" t="str">
        <f>IF($B334="","",IF(AQ$3=0,"n.b.",INDEX(SRC_ZPMW03!$A$1:$ZZ$501,$A334,AQ$3)))</f>
        <v/>
      </c>
      <c r="AR334" s="124" t="str">
        <f>IF($B334="","",IF(AR$3=0,"n.b.",INDEX(SRC_ZPMW03!$A$1:$ZZ$501,$A334,AR$3)))</f>
        <v/>
      </c>
      <c r="AS334" s="124" t="str">
        <f>IF($B334="","",IF(AS$3=0,"n.b.",INDEX(SRC_ZPMW03!$A$1:$ZZ$501,$A334,AS$3)))</f>
        <v/>
      </c>
      <c r="AT334" s="124" t="str">
        <f>IF($B334="","",IF(AT$3=0,"n.b.",INDEX(SRC_ZPMW03!$A$1:$ZZ$501,$A334,AT$3)))</f>
        <v/>
      </c>
      <c r="AU334" s="124" t="str">
        <f>IF($B334="","",IF(AU$3=0,"n.b.",INDEX(SRC_ZPMW03!$A$1:$ZZ$501,$A334,AU$3)))</f>
        <v/>
      </c>
      <c r="AV334" s="124" t="str">
        <f>IF($B334="","",IF(AV$3=0,"n.b.",INDEX(SRC_ZPMW03!$A$1:$ZZ$501,$A334,AV$3)))</f>
        <v/>
      </c>
      <c r="AW334" s="124" t="str">
        <f>IF($B334="","",IF(AW$3=0,"n.b.",INDEX(SRC_ZPMW03!$A$1:$ZZ$501,$A334,AW$3)))</f>
        <v/>
      </c>
      <c r="AX334" s="124" t="str">
        <f>IF($B334="","",IF(AX$3=0,"n.b.",INDEX(SRC_ZPMW03!$A$1:$ZZ$501,$A334,AX$3)))</f>
        <v/>
      </c>
      <c r="AY334" s="124" t="str">
        <f>IF($B334="","",IF(AY$3=0,"n.b.",INDEX(SRC_ZPMW03!$A$1:$ZZ$501,$A334,AY$3)))</f>
        <v/>
      </c>
      <c r="AZ334" s="124" t="str">
        <f>IF($B334="","",IF(AZ$3=0,"n.b.",INDEX(SRC_ZPMW03!$A$1:$ZZ$501,$A334,AZ$3)))</f>
        <v/>
      </c>
      <c r="BA334" s="124" t="str">
        <f>IF($B334="","",IF(BA$3=0,"n.b.",INDEX(SRC_ZPMW03!$A$1:$ZZ$501,$A334,BA$3)))</f>
        <v/>
      </c>
      <c r="BB334" s="124" t="str">
        <f>IF($B334="","",IF(BB$3=0,"n.b.",INDEX(SRC_ZPMW03!$A$1:$ZZ$501,$A334,BB$3)))</f>
        <v/>
      </c>
      <c r="BC334" s="124" t="str">
        <f>IF($B334="","",IF(BC$3=0,"n.b.",INDEX(SRC_ZPMW03!$A$1:$ZZ$501,$A334,BC$3)))</f>
        <v/>
      </c>
      <c r="BD334" s="124" t="str">
        <f>IF($B334="","",IF(BD$3=0,"n.b.",INDEX(SRC_ZPMW03!$A$1:$ZZ$501,$A334,BD$3)))</f>
        <v/>
      </c>
      <c r="BE334" s="124" t="str">
        <f>IF($B334="","",IF(BE$3=0,"n.b.",INDEX(SRC_ZPMW03!$A$1:$ZZ$501,$A334,BE$3)))</f>
        <v/>
      </c>
      <c r="BF334" s="124" t="str">
        <f>IF($B334="","",IF(BF$3=0,"n.b.",INDEX(SRC_ZPMW03!$A$1:$ZZ$501,$A334,BF$3)))</f>
        <v/>
      </c>
      <c r="BG334" t="str">
        <f>IF($B334="","",IF(BG$3=0,"n.b.",INDEX(SRC_ZPMW03!$A$1:$ZZ$501,$A334,BG$3)))</f>
        <v/>
      </c>
      <c r="BH334" t="str">
        <f>IF($B334="","",IF(BH$3=0,"n.b.",INDEX(SRC_ZPMW03!$A$1:$ZZ$501,$A334,BH$3)))</f>
        <v/>
      </c>
      <c r="BI334" t="str">
        <f>IF($B334="","",IF(BI$3=0,"n.b.",INDEX(SRC_ZPMW03!$A$1:$ZZ$501,$A334,BI$3)))</f>
        <v/>
      </c>
      <c r="BJ334" t="str">
        <f>IF($B334="","",IF(BJ$3=0,"n.b.",INDEX(SRC_ZPMW03!$A$1:$ZZ$501,$A334,BJ$3)))</f>
        <v/>
      </c>
      <c r="BK334" s="124" t="str">
        <f>IF($B334="","",IFERROR(-O334,"n.b."))</f>
        <v/>
      </c>
      <c r="BL334" s="124" t="str">
        <f>IF($B334="","",IFERROR(-Q334,"n.b."))</f>
        <v/>
      </c>
      <c r="BM334" s="124" t="str">
        <f>IF($B334="","",IFERROR(-AB334,"n.b."))</f>
        <v/>
      </c>
      <c r="BN334" s="124" t="str">
        <f>IF($B334="","",IFERROR(-AD334,"n.b."))</f>
        <v/>
      </c>
      <c r="BO334" s="124" t="str">
        <f>IF($B334="","",IFERROR(BK334+BM334,"n.b."))</f>
        <v/>
      </c>
      <c r="BP334" s="124" t="str">
        <f>IF($B334="","",IFERROR(BL334+BN334,"n.b."))</f>
        <v/>
      </c>
      <c r="BQ334" s="124" t="str">
        <f>IF($B334="","",IFERROR(-AM334,"n.b."))</f>
        <v/>
      </c>
      <c r="BR334" s="124" t="str">
        <f>IF($B334="","",IFERROR(-AO334,"n.b."))</f>
        <v/>
      </c>
      <c r="BS334" s="124" t="str">
        <f>IF($B334="","",IFERROR(-Z334,"n.b."))</f>
        <v/>
      </c>
      <c r="BT334" s="124" t="str">
        <f>IF($B334="","",IFERROR(-AA334,"n.b."))</f>
        <v/>
      </c>
      <c r="BU334" s="124" t="str">
        <f>IF($B334="","",IFERROR(-AE334,"n.b."))</f>
        <v/>
      </c>
      <c r="BV334" s="124" t="str">
        <f>IF($B334="","",IFERROR(-AF334,"n.b."))</f>
        <v/>
      </c>
      <c r="BW334" s="124" t="str">
        <f>IF($B334="","",IFERROR(-AG334,"n.b."))</f>
        <v/>
      </c>
      <c r="BX334" s="124" t="str">
        <f>IF($B334="","",IFERROR(-AH334,"n.b."))</f>
        <v/>
      </c>
      <c r="BY334" s="124" t="str">
        <f>IF($B334="","",IFERROR(-AI334,"n.b."))</f>
        <v/>
      </c>
      <c r="BZ334" s="124" t="str">
        <f>IF($B334="","",IFERROR(-AJ334,"n.b."))</f>
        <v/>
      </c>
      <c r="CA334" s="124" t="str">
        <f>IF($B334="","",IFERROR(-AK334,"n.b."))</f>
        <v/>
      </c>
      <c r="CB334" s="124" t="str">
        <f>IF($B334="","",IFERROR(-AL334,"n.b."))</f>
        <v/>
      </c>
      <c r="CC334" s="124" t="str">
        <f>IF($B334="","",IFERROR(-AP334,"n.b."))</f>
        <v/>
      </c>
      <c r="CD334" s="124" t="str">
        <f>IF($B334="","",IFERROR(-AQ334,"n.b."))</f>
        <v/>
      </c>
      <c r="CE334" s="124" t="str">
        <f>IF($B334="","",IFERROR(-AR334,"n.b."))</f>
        <v/>
      </c>
      <c r="CF334" s="124" t="str">
        <f>IF($B334="","",IFERROR(-AS334,"n.b."))</f>
        <v/>
      </c>
      <c r="CG334" s="124" t="str">
        <f>IF($B334="","",IFERROR(-AT334,"n.b."))</f>
        <v/>
      </c>
      <c r="CH334" s="124" t="str">
        <f>IF($B334="","",IFERROR(-AU334,"n.b."))</f>
        <v/>
      </c>
      <c r="CI334" s="124" t="str">
        <f>IF($B334="","",IFERROR(-AV334,"n.b."))</f>
        <v/>
      </c>
      <c r="CJ334" s="124" t="str">
        <f>IF($B334="","",IFERROR(-AW334,"n.b."))</f>
        <v/>
      </c>
      <c r="CK334" s="124" t="str">
        <f>IF($B334="","",IFERROR(-AX334,"n.b."))</f>
        <v/>
      </c>
      <c r="CL334" s="124" t="str">
        <f>IF($B334="","",IFERROR(-AY334,"n.b."))</f>
        <v/>
      </c>
      <c r="CM334" s="124" t="str">
        <f>IF($B334="","",IFERROR(-AZ334,"n.b."))</f>
        <v/>
      </c>
      <c r="CN334" s="124" t="str">
        <f>IF($B334="","",IFERROR(-BA334,"n.b."))</f>
        <v/>
      </c>
      <c r="CO334" s="124" t="str">
        <f>IF($B334="","",IFERROR(-BB334,"n.b."))</f>
        <v/>
      </c>
      <c r="CP334" s="124" t="str">
        <f>IF($B334="","",IFERROR(-BC334,"n.b."))</f>
        <v/>
      </c>
      <c r="CQ334" s="124" t="str">
        <f>IF($B334="","",IFERROR(-BD334,"n.b."))</f>
        <v/>
      </c>
      <c r="CR334" s="124" t="str">
        <f>IF($B334="","",IFERROR(-BE334,"n.b."))</f>
        <v/>
      </c>
      <c r="CS334" s="124" t="str">
        <f>IF($B334="","",IFERROR(IF(OR(ABS(T334+V334+X334+Z334-AB334)&gt;P_Tol,ABS(U334+W334+Y334+AA334-AD334)&gt;P_Tol,ABS(AE334+AG334+AI334+AK334-AM334)&gt;P_Tol,ABS(AF334+AH334+AJ334+AL334-AO334)&gt;P_Tol),1,0),1))</f>
        <v/>
      </c>
      <c r="CT334" s="124" t="str">
        <f>IF($B334="","",IFERROR(IF(OR(ABS(AB334+AC334-AD334)&gt;P_Tol,ABS(AM334+AN334-AO334)&gt;P_Tol,ABS(O334+P334-Q334)&gt;P_Tol),1,0),1))</f>
        <v/>
      </c>
      <c r="CU334" s="124" t="str">
        <f>IF($B334="","",IFERROR(IF(ABS(R334-(AB334+AM334+AP334+AR334+AT334+AV334+AX334+AZ334+BB334+BD334))&gt;P_Tol,1,0),1))</f>
        <v/>
      </c>
      <c r="CV334" s="124" t="str">
        <f>IF($B334="","",IFERROR(IF(ABS(M334-(N334+O334+R334))&gt;P_Tol,1,0),1))</f>
        <v/>
      </c>
      <c r="CW334" s="124" t="str">
        <f>IF($B334="","",IF(COUNTIF(Mapping!$A$5:$A$104,B334)&gt;0,1,0))</f>
        <v/>
      </c>
      <c r="CX334" s="124" t="str">
        <f>IF($B334="","",COUNTIF($B$6:$B$505,B334))</f>
        <v/>
      </c>
      <c r="CY334" s="124" t="str">
        <f>IF($B334="","",COUNTIF(STG_Woningetalage!$B$6:$B$505,B334))</f>
        <v/>
      </c>
      <c r="CZ334" s="124" t="str">
        <f>IF($B334="","",IF(CW334=0,COUNTIF($CW$6:CW334,0),""))</f>
        <v/>
      </c>
    </row>
    <row r="335">
      <c r="A335" s="15" t="n">
        <v>331</v>
      </c>
      <c r="B335" t="str">
        <f>IF(B$3=0,"",IF(INDEX(SRC_ZPMW03!$A$1:$ZZ$501,$A335,B$3)&amp;""="","",INDEX(SRC_ZPMW03!$A$1:$ZZ$501,$A335,B$3)&amp;""))</f>
        <v/>
      </c>
      <c r="C335" t="str">
        <f>IF($B335="","",IF(C$3=0,"n.b.",INDEX(SRC_ZPMW03!$A$1:$ZZ$501,$A335,C$3)))</f>
        <v/>
      </c>
      <c r="D335" t="str">
        <f>IF($B335="","",IF(D$3=0,"n.b.",INDEX(SRC_ZPMW03!$A$1:$ZZ$501,$A335,D$3)))</f>
        <v/>
      </c>
      <c r="E335" t="str">
        <f>IF($B335="","",IF(E$3=0,"n.b.",INDEX(SRC_ZPMW03!$A$1:$ZZ$501,$A335,E$3)))</f>
        <v/>
      </c>
      <c r="F335" t="str">
        <f>IF($B335="","",IF(F$3=0,"n.b.",INDEX(SRC_ZPMW03!$A$1:$ZZ$501,$A335,F$3)))</f>
        <v/>
      </c>
      <c r="G335" t="str">
        <f>IF($B335="","",IF(G$3=0,"n.b.",INDEX(SRC_ZPMW03!$A$1:$ZZ$501,$A335,G$3)))</f>
        <v/>
      </c>
      <c r="H335" t="str">
        <f>IF($B335="","",IF(H$3=0,"n.b.",INDEX(SRC_ZPMW03!$A$1:$ZZ$501,$A335,H$3)))</f>
        <v/>
      </c>
      <c r="I335" t="str">
        <f>IF($B335="","",IF(I$3=0,"n.b.",INDEX(SRC_ZPMW03!$A$1:$ZZ$501,$A335,I$3)))</f>
        <v/>
      </c>
      <c r="J335" t="str">
        <f>IF($B335="","",IF(J$3=0,"n.b.",INDEX(SRC_ZPMW03!$A$1:$ZZ$501,$A335,J$3)))</f>
        <v/>
      </c>
      <c r="K335" t="str">
        <f>IF($B335="","",IF(K$3=0,"n.b.",INDEX(SRC_ZPMW03!$A$1:$ZZ$501,$A335,K$3)))</f>
        <v/>
      </c>
      <c r="L335" s="124" t="str">
        <f>IF($B335="","",IF(L$3=0,"n.b.",INDEX(SRC_ZPMW03!$A$1:$ZZ$501,$A335,L$3)))</f>
        <v/>
      </c>
      <c r="M335" s="124" t="str">
        <f>IF($B335="","",IF(M$3=0,"n.b.",INDEX(SRC_ZPMW03!$A$1:$ZZ$501,$A335,M$3)))</f>
        <v/>
      </c>
      <c r="N335" s="124" t="str">
        <f>IF($B335="","",IF(N$3=0,"n.b.",INDEX(SRC_ZPMW03!$A$1:$ZZ$501,$A335,N$3)))</f>
        <v/>
      </c>
      <c r="O335" s="124" t="str">
        <f>IF($B335="","",IF(O$3=0,"n.b.",INDEX(SRC_ZPMW03!$A$1:$ZZ$501,$A335,O$3)))</f>
        <v/>
      </c>
      <c r="P335" s="124" t="str">
        <f>IF($B335="","",IF(P$3=0,"n.b.",INDEX(SRC_ZPMW03!$A$1:$ZZ$501,$A335,P$3)))</f>
        <v/>
      </c>
      <c r="Q335" s="124" t="str">
        <f>IF($B335="","",IF(Q$3=0,"n.b.",INDEX(SRC_ZPMW03!$A$1:$ZZ$501,$A335,Q$3)))</f>
        <v/>
      </c>
      <c r="R335" s="124" t="str">
        <f>IF($B335="","",IF(R$3=0,"n.b.",INDEX(SRC_ZPMW03!$A$1:$ZZ$501,$A335,R$3)))</f>
        <v/>
      </c>
      <c r="S335" s="124" t="str">
        <f>IF($B335="","",IF(S$3=0,"n.b.",INDEX(SRC_ZPMW03!$A$1:$ZZ$501,$A335,S$3)))</f>
        <v/>
      </c>
      <c r="T335" s="124" t="str">
        <f>IF($B335="","",IF(T$3=0,"n.b.",INDEX(SRC_ZPMW03!$A$1:$ZZ$501,$A335,T$3)))</f>
        <v/>
      </c>
      <c r="U335" s="124" t="str">
        <f>IF($B335="","",IF(U$3=0,"n.b.",INDEX(SRC_ZPMW03!$A$1:$ZZ$501,$A335,U$3)))</f>
        <v/>
      </c>
      <c r="V335" s="124" t="str">
        <f>IF($B335="","",IF(V$3=0,"n.b.",INDEX(SRC_ZPMW03!$A$1:$ZZ$501,$A335,V$3)))</f>
        <v/>
      </c>
      <c r="W335" s="124" t="str">
        <f>IF($B335="","",IF(W$3=0,"n.b.",INDEX(SRC_ZPMW03!$A$1:$ZZ$501,$A335,W$3)))</f>
        <v/>
      </c>
      <c r="X335" s="124" t="str">
        <f>IF($B335="","",IF(X$3=0,"n.b.",INDEX(SRC_ZPMW03!$A$1:$ZZ$501,$A335,X$3)))</f>
        <v/>
      </c>
      <c r="Y335" s="124" t="str">
        <f>IF($B335="","",IF(Y$3=0,"n.b.",INDEX(SRC_ZPMW03!$A$1:$ZZ$501,$A335,Y$3)))</f>
        <v/>
      </c>
      <c r="Z335" s="124" t="str">
        <f>IF($B335="","",IF(Z$3=0,"n.b.",INDEX(SRC_ZPMW03!$A$1:$ZZ$501,$A335,Z$3)))</f>
        <v/>
      </c>
      <c r="AA335" s="124" t="str">
        <f>IF($B335="","",IF(AA$3=0,"n.b.",INDEX(SRC_ZPMW03!$A$1:$ZZ$501,$A335,AA$3)))</f>
        <v/>
      </c>
      <c r="AB335" s="124" t="str">
        <f>IF($B335="","",IF(AB$3=0,"n.b.",INDEX(SRC_ZPMW03!$A$1:$ZZ$501,$A335,AB$3)))</f>
        <v/>
      </c>
      <c r="AC335" s="124" t="str">
        <f>IF($B335="","",IF(AC$3=0,"n.b.",INDEX(SRC_ZPMW03!$A$1:$ZZ$501,$A335,AC$3)))</f>
        <v/>
      </c>
      <c r="AD335" s="124" t="str">
        <f>IF($B335="","",IF(AD$3=0,"n.b.",INDEX(SRC_ZPMW03!$A$1:$ZZ$501,$A335,AD$3)))</f>
        <v/>
      </c>
      <c r="AE335" s="124" t="str">
        <f>IF($B335="","",IF(AE$3=0,"n.b.",INDEX(SRC_ZPMW03!$A$1:$ZZ$501,$A335,AE$3)))</f>
        <v/>
      </c>
      <c r="AF335" s="124" t="str">
        <f>IF($B335="","",IF(AF$3=0,"n.b.",INDEX(SRC_ZPMW03!$A$1:$ZZ$501,$A335,AF$3)))</f>
        <v/>
      </c>
      <c r="AG335" s="124" t="str">
        <f>IF($B335="","",IF(AG$3=0,"n.b.",INDEX(SRC_ZPMW03!$A$1:$ZZ$501,$A335,AG$3)))</f>
        <v/>
      </c>
      <c r="AH335" s="124" t="str">
        <f>IF($B335="","",IF(AH$3=0,"n.b.",INDEX(SRC_ZPMW03!$A$1:$ZZ$501,$A335,AH$3)))</f>
        <v/>
      </c>
      <c r="AI335" s="124" t="str">
        <f>IF($B335="","",IF(AI$3=0,"n.b.",INDEX(SRC_ZPMW03!$A$1:$ZZ$501,$A335,AI$3)))</f>
        <v/>
      </c>
      <c r="AJ335" s="124" t="str">
        <f>IF($B335="","",IF(AJ$3=0,"n.b.",INDEX(SRC_ZPMW03!$A$1:$ZZ$501,$A335,AJ$3)))</f>
        <v/>
      </c>
      <c r="AK335" s="124" t="str">
        <f>IF($B335="","",IF(AK$3=0,"n.b.",INDEX(SRC_ZPMW03!$A$1:$ZZ$501,$A335,AK$3)))</f>
        <v/>
      </c>
      <c r="AL335" s="124" t="str">
        <f>IF($B335="","",IF(AL$3=0,"n.b.",INDEX(SRC_ZPMW03!$A$1:$ZZ$501,$A335,AL$3)))</f>
        <v/>
      </c>
      <c r="AM335" s="124" t="str">
        <f>IF($B335="","",IF(AM$3=0,"n.b.",INDEX(SRC_ZPMW03!$A$1:$ZZ$501,$A335,AM$3)))</f>
        <v/>
      </c>
      <c r="AN335" s="124" t="str">
        <f>IF($B335="","",IF(AN$3=0,"n.b.",INDEX(SRC_ZPMW03!$A$1:$ZZ$501,$A335,AN$3)))</f>
        <v/>
      </c>
      <c r="AO335" s="124" t="str">
        <f>IF($B335="","",IF(AO$3=0,"n.b.",INDEX(SRC_ZPMW03!$A$1:$ZZ$501,$A335,AO$3)))</f>
        <v/>
      </c>
      <c r="AP335" s="124" t="str">
        <f>IF($B335="","",IF(AP$3=0,"n.b.",INDEX(SRC_ZPMW03!$A$1:$ZZ$501,$A335,AP$3)))</f>
        <v/>
      </c>
      <c r="AQ335" s="124" t="str">
        <f>IF($B335="","",IF(AQ$3=0,"n.b.",INDEX(SRC_ZPMW03!$A$1:$ZZ$501,$A335,AQ$3)))</f>
        <v/>
      </c>
      <c r="AR335" s="124" t="str">
        <f>IF($B335="","",IF(AR$3=0,"n.b.",INDEX(SRC_ZPMW03!$A$1:$ZZ$501,$A335,AR$3)))</f>
        <v/>
      </c>
      <c r="AS335" s="124" t="str">
        <f>IF($B335="","",IF(AS$3=0,"n.b.",INDEX(SRC_ZPMW03!$A$1:$ZZ$501,$A335,AS$3)))</f>
        <v/>
      </c>
      <c r="AT335" s="124" t="str">
        <f>IF($B335="","",IF(AT$3=0,"n.b.",INDEX(SRC_ZPMW03!$A$1:$ZZ$501,$A335,AT$3)))</f>
        <v/>
      </c>
      <c r="AU335" s="124" t="str">
        <f>IF($B335="","",IF(AU$3=0,"n.b.",INDEX(SRC_ZPMW03!$A$1:$ZZ$501,$A335,AU$3)))</f>
        <v/>
      </c>
      <c r="AV335" s="124" t="str">
        <f>IF($B335="","",IF(AV$3=0,"n.b.",INDEX(SRC_ZPMW03!$A$1:$ZZ$501,$A335,AV$3)))</f>
        <v/>
      </c>
      <c r="AW335" s="124" t="str">
        <f>IF($B335="","",IF(AW$3=0,"n.b.",INDEX(SRC_ZPMW03!$A$1:$ZZ$501,$A335,AW$3)))</f>
        <v/>
      </c>
      <c r="AX335" s="124" t="str">
        <f>IF($B335="","",IF(AX$3=0,"n.b.",INDEX(SRC_ZPMW03!$A$1:$ZZ$501,$A335,AX$3)))</f>
        <v/>
      </c>
      <c r="AY335" s="124" t="str">
        <f>IF($B335="","",IF(AY$3=0,"n.b.",INDEX(SRC_ZPMW03!$A$1:$ZZ$501,$A335,AY$3)))</f>
        <v/>
      </c>
      <c r="AZ335" s="124" t="str">
        <f>IF($B335="","",IF(AZ$3=0,"n.b.",INDEX(SRC_ZPMW03!$A$1:$ZZ$501,$A335,AZ$3)))</f>
        <v/>
      </c>
      <c r="BA335" s="124" t="str">
        <f>IF($B335="","",IF(BA$3=0,"n.b.",INDEX(SRC_ZPMW03!$A$1:$ZZ$501,$A335,BA$3)))</f>
        <v/>
      </c>
      <c r="BB335" s="124" t="str">
        <f>IF($B335="","",IF(BB$3=0,"n.b.",INDEX(SRC_ZPMW03!$A$1:$ZZ$501,$A335,BB$3)))</f>
        <v/>
      </c>
      <c r="BC335" s="124" t="str">
        <f>IF($B335="","",IF(BC$3=0,"n.b.",INDEX(SRC_ZPMW03!$A$1:$ZZ$501,$A335,BC$3)))</f>
        <v/>
      </c>
      <c r="BD335" s="124" t="str">
        <f>IF($B335="","",IF(BD$3=0,"n.b.",INDEX(SRC_ZPMW03!$A$1:$ZZ$501,$A335,BD$3)))</f>
        <v/>
      </c>
      <c r="BE335" s="124" t="str">
        <f>IF($B335="","",IF(BE$3=0,"n.b.",INDEX(SRC_ZPMW03!$A$1:$ZZ$501,$A335,BE$3)))</f>
        <v/>
      </c>
      <c r="BF335" s="124" t="str">
        <f>IF($B335="","",IF(BF$3=0,"n.b.",INDEX(SRC_ZPMW03!$A$1:$ZZ$501,$A335,BF$3)))</f>
        <v/>
      </c>
      <c r="BG335" t="str">
        <f>IF($B335="","",IF(BG$3=0,"n.b.",INDEX(SRC_ZPMW03!$A$1:$ZZ$501,$A335,BG$3)))</f>
        <v/>
      </c>
      <c r="BH335" t="str">
        <f>IF($B335="","",IF(BH$3=0,"n.b.",INDEX(SRC_ZPMW03!$A$1:$ZZ$501,$A335,BH$3)))</f>
        <v/>
      </c>
      <c r="BI335" t="str">
        <f>IF($B335="","",IF(BI$3=0,"n.b.",INDEX(SRC_ZPMW03!$A$1:$ZZ$501,$A335,BI$3)))</f>
        <v/>
      </c>
      <c r="BJ335" t="str">
        <f>IF($B335="","",IF(BJ$3=0,"n.b.",INDEX(SRC_ZPMW03!$A$1:$ZZ$501,$A335,BJ$3)))</f>
        <v/>
      </c>
      <c r="BK335" s="124" t="str">
        <f>IF($B335="","",IFERROR(-O335,"n.b."))</f>
        <v/>
      </c>
      <c r="BL335" s="124" t="str">
        <f>IF($B335="","",IFERROR(-Q335,"n.b."))</f>
        <v/>
      </c>
      <c r="BM335" s="124" t="str">
        <f>IF($B335="","",IFERROR(-AB335,"n.b."))</f>
        <v/>
      </c>
      <c r="BN335" s="124" t="str">
        <f>IF($B335="","",IFERROR(-AD335,"n.b."))</f>
        <v/>
      </c>
      <c r="BO335" s="124" t="str">
        <f>IF($B335="","",IFERROR(BK335+BM335,"n.b."))</f>
        <v/>
      </c>
      <c r="BP335" s="124" t="str">
        <f>IF($B335="","",IFERROR(BL335+BN335,"n.b."))</f>
        <v/>
      </c>
      <c r="BQ335" s="124" t="str">
        <f>IF($B335="","",IFERROR(-AM335,"n.b."))</f>
        <v/>
      </c>
      <c r="BR335" s="124" t="str">
        <f>IF($B335="","",IFERROR(-AO335,"n.b."))</f>
        <v/>
      </c>
      <c r="BS335" s="124" t="str">
        <f>IF($B335="","",IFERROR(-Z335,"n.b."))</f>
        <v/>
      </c>
      <c r="BT335" s="124" t="str">
        <f>IF($B335="","",IFERROR(-AA335,"n.b."))</f>
        <v/>
      </c>
      <c r="BU335" s="124" t="str">
        <f>IF($B335="","",IFERROR(-AE335,"n.b."))</f>
        <v/>
      </c>
      <c r="BV335" s="124" t="str">
        <f>IF($B335="","",IFERROR(-AF335,"n.b."))</f>
        <v/>
      </c>
      <c r="BW335" s="124" t="str">
        <f>IF($B335="","",IFERROR(-AG335,"n.b."))</f>
        <v/>
      </c>
      <c r="BX335" s="124" t="str">
        <f>IF($B335="","",IFERROR(-AH335,"n.b."))</f>
        <v/>
      </c>
      <c r="BY335" s="124" t="str">
        <f>IF($B335="","",IFERROR(-AI335,"n.b."))</f>
        <v/>
      </c>
      <c r="BZ335" s="124" t="str">
        <f>IF($B335="","",IFERROR(-AJ335,"n.b."))</f>
        <v/>
      </c>
      <c r="CA335" s="124" t="str">
        <f>IF($B335="","",IFERROR(-AK335,"n.b."))</f>
        <v/>
      </c>
      <c r="CB335" s="124" t="str">
        <f>IF($B335="","",IFERROR(-AL335,"n.b."))</f>
        <v/>
      </c>
      <c r="CC335" s="124" t="str">
        <f>IF($B335="","",IFERROR(-AP335,"n.b."))</f>
        <v/>
      </c>
      <c r="CD335" s="124" t="str">
        <f>IF($B335="","",IFERROR(-AQ335,"n.b."))</f>
        <v/>
      </c>
      <c r="CE335" s="124" t="str">
        <f>IF($B335="","",IFERROR(-AR335,"n.b."))</f>
        <v/>
      </c>
      <c r="CF335" s="124" t="str">
        <f>IF($B335="","",IFERROR(-AS335,"n.b."))</f>
        <v/>
      </c>
      <c r="CG335" s="124" t="str">
        <f>IF($B335="","",IFERROR(-AT335,"n.b."))</f>
        <v/>
      </c>
      <c r="CH335" s="124" t="str">
        <f>IF($B335="","",IFERROR(-AU335,"n.b."))</f>
        <v/>
      </c>
      <c r="CI335" s="124" t="str">
        <f>IF($B335="","",IFERROR(-AV335,"n.b."))</f>
        <v/>
      </c>
      <c r="CJ335" s="124" t="str">
        <f>IF($B335="","",IFERROR(-AW335,"n.b."))</f>
        <v/>
      </c>
      <c r="CK335" s="124" t="str">
        <f>IF($B335="","",IFERROR(-AX335,"n.b."))</f>
        <v/>
      </c>
      <c r="CL335" s="124" t="str">
        <f>IF($B335="","",IFERROR(-AY335,"n.b."))</f>
        <v/>
      </c>
      <c r="CM335" s="124" t="str">
        <f>IF($B335="","",IFERROR(-AZ335,"n.b."))</f>
        <v/>
      </c>
      <c r="CN335" s="124" t="str">
        <f>IF($B335="","",IFERROR(-BA335,"n.b."))</f>
        <v/>
      </c>
      <c r="CO335" s="124" t="str">
        <f>IF($B335="","",IFERROR(-BB335,"n.b."))</f>
        <v/>
      </c>
      <c r="CP335" s="124" t="str">
        <f>IF($B335="","",IFERROR(-BC335,"n.b."))</f>
        <v/>
      </c>
      <c r="CQ335" s="124" t="str">
        <f>IF($B335="","",IFERROR(-BD335,"n.b."))</f>
        <v/>
      </c>
      <c r="CR335" s="124" t="str">
        <f>IF($B335="","",IFERROR(-BE335,"n.b."))</f>
        <v/>
      </c>
      <c r="CS335" s="124" t="str">
        <f>IF($B335="","",IFERROR(IF(OR(ABS(T335+V335+X335+Z335-AB335)&gt;P_Tol,ABS(U335+W335+Y335+AA335-AD335)&gt;P_Tol,ABS(AE335+AG335+AI335+AK335-AM335)&gt;P_Tol,ABS(AF335+AH335+AJ335+AL335-AO335)&gt;P_Tol),1,0),1))</f>
        <v/>
      </c>
      <c r="CT335" s="124" t="str">
        <f>IF($B335="","",IFERROR(IF(OR(ABS(AB335+AC335-AD335)&gt;P_Tol,ABS(AM335+AN335-AO335)&gt;P_Tol,ABS(O335+P335-Q335)&gt;P_Tol),1,0),1))</f>
        <v/>
      </c>
      <c r="CU335" s="124" t="str">
        <f>IF($B335="","",IFERROR(IF(ABS(R335-(AB335+AM335+AP335+AR335+AT335+AV335+AX335+AZ335+BB335+BD335))&gt;P_Tol,1,0),1))</f>
        <v/>
      </c>
      <c r="CV335" s="124" t="str">
        <f>IF($B335="","",IFERROR(IF(ABS(M335-(N335+O335+R335))&gt;P_Tol,1,0),1))</f>
        <v/>
      </c>
      <c r="CW335" s="124" t="str">
        <f>IF($B335="","",IF(COUNTIF(Mapping!$A$5:$A$104,B335)&gt;0,1,0))</f>
        <v/>
      </c>
      <c r="CX335" s="124" t="str">
        <f>IF($B335="","",COUNTIF($B$6:$B$505,B335))</f>
        <v/>
      </c>
      <c r="CY335" s="124" t="str">
        <f>IF($B335="","",COUNTIF(STG_Woningetalage!$B$6:$B$505,B335))</f>
        <v/>
      </c>
      <c r="CZ335" s="124" t="str">
        <f>IF($B335="","",IF(CW335=0,COUNTIF($CW$6:CW335,0),""))</f>
        <v/>
      </c>
    </row>
    <row r="336">
      <c r="A336" s="15" t="n">
        <v>332</v>
      </c>
      <c r="B336" t="str">
        <f>IF(B$3=0,"",IF(INDEX(SRC_ZPMW03!$A$1:$ZZ$501,$A336,B$3)&amp;""="","",INDEX(SRC_ZPMW03!$A$1:$ZZ$501,$A336,B$3)&amp;""))</f>
        <v/>
      </c>
      <c r="C336" t="str">
        <f>IF($B336="","",IF(C$3=0,"n.b.",INDEX(SRC_ZPMW03!$A$1:$ZZ$501,$A336,C$3)))</f>
        <v/>
      </c>
      <c r="D336" t="str">
        <f>IF($B336="","",IF(D$3=0,"n.b.",INDEX(SRC_ZPMW03!$A$1:$ZZ$501,$A336,D$3)))</f>
        <v/>
      </c>
      <c r="E336" t="str">
        <f>IF($B336="","",IF(E$3=0,"n.b.",INDEX(SRC_ZPMW03!$A$1:$ZZ$501,$A336,E$3)))</f>
        <v/>
      </c>
      <c r="F336" t="str">
        <f>IF($B336="","",IF(F$3=0,"n.b.",INDEX(SRC_ZPMW03!$A$1:$ZZ$501,$A336,F$3)))</f>
        <v/>
      </c>
      <c r="G336" t="str">
        <f>IF($B336="","",IF(G$3=0,"n.b.",INDEX(SRC_ZPMW03!$A$1:$ZZ$501,$A336,G$3)))</f>
        <v/>
      </c>
      <c r="H336" t="str">
        <f>IF($B336="","",IF(H$3=0,"n.b.",INDEX(SRC_ZPMW03!$A$1:$ZZ$501,$A336,H$3)))</f>
        <v/>
      </c>
      <c r="I336" t="str">
        <f>IF($B336="","",IF(I$3=0,"n.b.",INDEX(SRC_ZPMW03!$A$1:$ZZ$501,$A336,I$3)))</f>
        <v/>
      </c>
      <c r="J336" t="str">
        <f>IF($B336="","",IF(J$3=0,"n.b.",INDEX(SRC_ZPMW03!$A$1:$ZZ$501,$A336,J$3)))</f>
        <v/>
      </c>
      <c r="K336" t="str">
        <f>IF($B336="","",IF(K$3=0,"n.b.",INDEX(SRC_ZPMW03!$A$1:$ZZ$501,$A336,K$3)))</f>
        <v/>
      </c>
      <c r="L336" s="124" t="str">
        <f>IF($B336="","",IF(L$3=0,"n.b.",INDEX(SRC_ZPMW03!$A$1:$ZZ$501,$A336,L$3)))</f>
        <v/>
      </c>
      <c r="M336" s="124" t="str">
        <f>IF($B336="","",IF(M$3=0,"n.b.",INDEX(SRC_ZPMW03!$A$1:$ZZ$501,$A336,M$3)))</f>
        <v/>
      </c>
      <c r="N336" s="124" t="str">
        <f>IF($B336="","",IF(N$3=0,"n.b.",INDEX(SRC_ZPMW03!$A$1:$ZZ$501,$A336,N$3)))</f>
        <v/>
      </c>
      <c r="O336" s="124" t="str">
        <f>IF($B336="","",IF(O$3=0,"n.b.",INDEX(SRC_ZPMW03!$A$1:$ZZ$501,$A336,O$3)))</f>
        <v/>
      </c>
      <c r="P336" s="124" t="str">
        <f>IF($B336="","",IF(P$3=0,"n.b.",INDEX(SRC_ZPMW03!$A$1:$ZZ$501,$A336,P$3)))</f>
        <v/>
      </c>
      <c r="Q336" s="124" t="str">
        <f>IF($B336="","",IF(Q$3=0,"n.b.",INDEX(SRC_ZPMW03!$A$1:$ZZ$501,$A336,Q$3)))</f>
        <v/>
      </c>
      <c r="R336" s="124" t="str">
        <f>IF($B336="","",IF(R$3=0,"n.b.",INDEX(SRC_ZPMW03!$A$1:$ZZ$501,$A336,R$3)))</f>
        <v/>
      </c>
      <c r="S336" s="124" t="str">
        <f>IF($B336="","",IF(S$3=0,"n.b.",INDEX(SRC_ZPMW03!$A$1:$ZZ$501,$A336,S$3)))</f>
        <v/>
      </c>
      <c r="T336" s="124" t="str">
        <f>IF($B336="","",IF(T$3=0,"n.b.",INDEX(SRC_ZPMW03!$A$1:$ZZ$501,$A336,T$3)))</f>
        <v/>
      </c>
      <c r="U336" s="124" t="str">
        <f>IF($B336="","",IF(U$3=0,"n.b.",INDEX(SRC_ZPMW03!$A$1:$ZZ$501,$A336,U$3)))</f>
        <v/>
      </c>
      <c r="V336" s="124" t="str">
        <f>IF($B336="","",IF(V$3=0,"n.b.",INDEX(SRC_ZPMW03!$A$1:$ZZ$501,$A336,V$3)))</f>
        <v/>
      </c>
      <c r="W336" s="124" t="str">
        <f>IF($B336="","",IF(W$3=0,"n.b.",INDEX(SRC_ZPMW03!$A$1:$ZZ$501,$A336,W$3)))</f>
        <v/>
      </c>
      <c r="X336" s="124" t="str">
        <f>IF($B336="","",IF(X$3=0,"n.b.",INDEX(SRC_ZPMW03!$A$1:$ZZ$501,$A336,X$3)))</f>
        <v/>
      </c>
      <c r="Y336" s="124" t="str">
        <f>IF($B336="","",IF(Y$3=0,"n.b.",INDEX(SRC_ZPMW03!$A$1:$ZZ$501,$A336,Y$3)))</f>
        <v/>
      </c>
      <c r="Z336" s="124" t="str">
        <f>IF($B336="","",IF(Z$3=0,"n.b.",INDEX(SRC_ZPMW03!$A$1:$ZZ$501,$A336,Z$3)))</f>
        <v/>
      </c>
      <c r="AA336" s="124" t="str">
        <f>IF($B336="","",IF(AA$3=0,"n.b.",INDEX(SRC_ZPMW03!$A$1:$ZZ$501,$A336,AA$3)))</f>
        <v/>
      </c>
      <c r="AB336" s="124" t="str">
        <f>IF($B336="","",IF(AB$3=0,"n.b.",INDEX(SRC_ZPMW03!$A$1:$ZZ$501,$A336,AB$3)))</f>
        <v/>
      </c>
      <c r="AC336" s="124" t="str">
        <f>IF($B336="","",IF(AC$3=0,"n.b.",INDEX(SRC_ZPMW03!$A$1:$ZZ$501,$A336,AC$3)))</f>
        <v/>
      </c>
      <c r="AD336" s="124" t="str">
        <f>IF($B336="","",IF(AD$3=0,"n.b.",INDEX(SRC_ZPMW03!$A$1:$ZZ$501,$A336,AD$3)))</f>
        <v/>
      </c>
      <c r="AE336" s="124" t="str">
        <f>IF($B336="","",IF(AE$3=0,"n.b.",INDEX(SRC_ZPMW03!$A$1:$ZZ$501,$A336,AE$3)))</f>
        <v/>
      </c>
      <c r="AF336" s="124" t="str">
        <f>IF($B336="","",IF(AF$3=0,"n.b.",INDEX(SRC_ZPMW03!$A$1:$ZZ$501,$A336,AF$3)))</f>
        <v/>
      </c>
      <c r="AG336" s="124" t="str">
        <f>IF($B336="","",IF(AG$3=0,"n.b.",INDEX(SRC_ZPMW03!$A$1:$ZZ$501,$A336,AG$3)))</f>
        <v/>
      </c>
      <c r="AH336" s="124" t="str">
        <f>IF($B336="","",IF(AH$3=0,"n.b.",INDEX(SRC_ZPMW03!$A$1:$ZZ$501,$A336,AH$3)))</f>
        <v/>
      </c>
      <c r="AI336" s="124" t="str">
        <f>IF($B336="","",IF(AI$3=0,"n.b.",INDEX(SRC_ZPMW03!$A$1:$ZZ$501,$A336,AI$3)))</f>
        <v/>
      </c>
      <c r="AJ336" s="124" t="str">
        <f>IF($B336="","",IF(AJ$3=0,"n.b.",INDEX(SRC_ZPMW03!$A$1:$ZZ$501,$A336,AJ$3)))</f>
        <v/>
      </c>
      <c r="AK336" s="124" t="str">
        <f>IF($B336="","",IF(AK$3=0,"n.b.",INDEX(SRC_ZPMW03!$A$1:$ZZ$501,$A336,AK$3)))</f>
        <v/>
      </c>
      <c r="AL336" s="124" t="str">
        <f>IF($B336="","",IF(AL$3=0,"n.b.",INDEX(SRC_ZPMW03!$A$1:$ZZ$501,$A336,AL$3)))</f>
        <v/>
      </c>
      <c r="AM336" s="124" t="str">
        <f>IF($B336="","",IF(AM$3=0,"n.b.",INDEX(SRC_ZPMW03!$A$1:$ZZ$501,$A336,AM$3)))</f>
        <v/>
      </c>
      <c r="AN336" s="124" t="str">
        <f>IF($B336="","",IF(AN$3=0,"n.b.",INDEX(SRC_ZPMW03!$A$1:$ZZ$501,$A336,AN$3)))</f>
        <v/>
      </c>
      <c r="AO336" s="124" t="str">
        <f>IF($B336="","",IF(AO$3=0,"n.b.",INDEX(SRC_ZPMW03!$A$1:$ZZ$501,$A336,AO$3)))</f>
        <v/>
      </c>
      <c r="AP336" s="124" t="str">
        <f>IF($B336="","",IF(AP$3=0,"n.b.",INDEX(SRC_ZPMW03!$A$1:$ZZ$501,$A336,AP$3)))</f>
        <v/>
      </c>
      <c r="AQ336" s="124" t="str">
        <f>IF($B336="","",IF(AQ$3=0,"n.b.",INDEX(SRC_ZPMW03!$A$1:$ZZ$501,$A336,AQ$3)))</f>
        <v/>
      </c>
      <c r="AR336" s="124" t="str">
        <f>IF($B336="","",IF(AR$3=0,"n.b.",INDEX(SRC_ZPMW03!$A$1:$ZZ$501,$A336,AR$3)))</f>
        <v/>
      </c>
      <c r="AS336" s="124" t="str">
        <f>IF($B336="","",IF(AS$3=0,"n.b.",INDEX(SRC_ZPMW03!$A$1:$ZZ$501,$A336,AS$3)))</f>
        <v/>
      </c>
      <c r="AT336" s="124" t="str">
        <f>IF($B336="","",IF(AT$3=0,"n.b.",INDEX(SRC_ZPMW03!$A$1:$ZZ$501,$A336,AT$3)))</f>
        <v/>
      </c>
      <c r="AU336" s="124" t="str">
        <f>IF($B336="","",IF(AU$3=0,"n.b.",INDEX(SRC_ZPMW03!$A$1:$ZZ$501,$A336,AU$3)))</f>
        <v/>
      </c>
      <c r="AV336" s="124" t="str">
        <f>IF($B336="","",IF(AV$3=0,"n.b.",INDEX(SRC_ZPMW03!$A$1:$ZZ$501,$A336,AV$3)))</f>
        <v/>
      </c>
      <c r="AW336" s="124" t="str">
        <f>IF($B336="","",IF(AW$3=0,"n.b.",INDEX(SRC_ZPMW03!$A$1:$ZZ$501,$A336,AW$3)))</f>
        <v/>
      </c>
      <c r="AX336" s="124" t="str">
        <f>IF($B336="","",IF(AX$3=0,"n.b.",INDEX(SRC_ZPMW03!$A$1:$ZZ$501,$A336,AX$3)))</f>
        <v/>
      </c>
      <c r="AY336" s="124" t="str">
        <f>IF($B336="","",IF(AY$3=0,"n.b.",INDEX(SRC_ZPMW03!$A$1:$ZZ$501,$A336,AY$3)))</f>
        <v/>
      </c>
      <c r="AZ336" s="124" t="str">
        <f>IF($B336="","",IF(AZ$3=0,"n.b.",INDEX(SRC_ZPMW03!$A$1:$ZZ$501,$A336,AZ$3)))</f>
        <v/>
      </c>
      <c r="BA336" s="124" t="str">
        <f>IF($B336="","",IF(BA$3=0,"n.b.",INDEX(SRC_ZPMW03!$A$1:$ZZ$501,$A336,BA$3)))</f>
        <v/>
      </c>
      <c r="BB336" s="124" t="str">
        <f>IF($B336="","",IF(BB$3=0,"n.b.",INDEX(SRC_ZPMW03!$A$1:$ZZ$501,$A336,BB$3)))</f>
        <v/>
      </c>
      <c r="BC336" s="124" t="str">
        <f>IF($B336="","",IF(BC$3=0,"n.b.",INDEX(SRC_ZPMW03!$A$1:$ZZ$501,$A336,BC$3)))</f>
        <v/>
      </c>
      <c r="BD336" s="124" t="str">
        <f>IF($B336="","",IF(BD$3=0,"n.b.",INDEX(SRC_ZPMW03!$A$1:$ZZ$501,$A336,BD$3)))</f>
        <v/>
      </c>
      <c r="BE336" s="124" t="str">
        <f>IF($B336="","",IF(BE$3=0,"n.b.",INDEX(SRC_ZPMW03!$A$1:$ZZ$501,$A336,BE$3)))</f>
        <v/>
      </c>
      <c r="BF336" s="124" t="str">
        <f>IF($B336="","",IF(BF$3=0,"n.b.",INDEX(SRC_ZPMW03!$A$1:$ZZ$501,$A336,BF$3)))</f>
        <v/>
      </c>
      <c r="BG336" t="str">
        <f>IF($B336="","",IF(BG$3=0,"n.b.",INDEX(SRC_ZPMW03!$A$1:$ZZ$501,$A336,BG$3)))</f>
        <v/>
      </c>
      <c r="BH336" t="str">
        <f>IF($B336="","",IF(BH$3=0,"n.b.",INDEX(SRC_ZPMW03!$A$1:$ZZ$501,$A336,BH$3)))</f>
        <v/>
      </c>
      <c r="BI336" t="str">
        <f>IF($B336="","",IF(BI$3=0,"n.b.",INDEX(SRC_ZPMW03!$A$1:$ZZ$501,$A336,BI$3)))</f>
        <v/>
      </c>
      <c r="BJ336" t="str">
        <f>IF($B336="","",IF(BJ$3=0,"n.b.",INDEX(SRC_ZPMW03!$A$1:$ZZ$501,$A336,BJ$3)))</f>
        <v/>
      </c>
      <c r="BK336" s="124" t="str">
        <f>IF($B336="","",IFERROR(-O336,"n.b."))</f>
        <v/>
      </c>
      <c r="BL336" s="124" t="str">
        <f>IF($B336="","",IFERROR(-Q336,"n.b."))</f>
        <v/>
      </c>
      <c r="BM336" s="124" t="str">
        <f>IF($B336="","",IFERROR(-AB336,"n.b."))</f>
        <v/>
      </c>
      <c r="BN336" s="124" t="str">
        <f>IF($B336="","",IFERROR(-AD336,"n.b."))</f>
        <v/>
      </c>
      <c r="BO336" s="124" t="str">
        <f>IF($B336="","",IFERROR(BK336+BM336,"n.b."))</f>
        <v/>
      </c>
      <c r="BP336" s="124" t="str">
        <f>IF($B336="","",IFERROR(BL336+BN336,"n.b."))</f>
        <v/>
      </c>
      <c r="BQ336" s="124" t="str">
        <f>IF($B336="","",IFERROR(-AM336,"n.b."))</f>
        <v/>
      </c>
      <c r="BR336" s="124" t="str">
        <f>IF($B336="","",IFERROR(-AO336,"n.b."))</f>
        <v/>
      </c>
      <c r="BS336" s="124" t="str">
        <f>IF($B336="","",IFERROR(-Z336,"n.b."))</f>
        <v/>
      </c>
      <c r="BT336" s="124" t="str">
        <f>IF($B336="","",IFERROR(-AA336,"n.b."))</f>
        <v/>
      </c>
      <c r="BU336" s="124" t="str">
        <f>IF($B336="","",IFERROR(-AE336,"n.b."))</f>
        <v/>
      </c>
      <c r="BV336" s="124" t="str">
        <f>IF($B336="","",IFERROR(-AF336,"n.b."))</f>
        <v/>
      </c>
      <c r="BW336" s="124" t="str">
        <f>IF($B336="","",IFERROR(-AG336,"n.b."))</f>
        <v/>
      </c>
      <c r="BX336" s="124" t="str">
        <f>IF($B336="","",IFERROR(-AH336,"n.b."))</f>
        <v/>
      </c>
      <c r="BY336" s="124" t="str">
        <f>IF($B336="","",IFERROR(-AI336,"n.b."))</f>
        <v/>
      </c>
      <c r="BZ336" s="124" t="str">
        <f>IF($B336="","",IFERROR(-AJ336,"n.b."))</f>
        <v/>
      </c>
      <c r="CA336" s="124" t="str">
        <f>IF($B336="","",IFERROR(-AK336,"n.b."))</f>
        <v/>
      </c>
      <c r="CB336" s="124" t="str">
        <f>IF($B336="","",IFERROR(-AL336,"n.b."))</f>
        <v/>
      </c>
      <c r="CC336" s="124" t="str">
        <f>IF($B336="","",IFERROR(-AP336,"n.b."))</f>
        <v/>
      </c>
      <c r="CD336" s="124" t="str">
        <f>IF($B336="","",IFERROR(-AQ336,"n.b."))</f>
        <v/>
      </c>
      <c r="CE336" s="124" t="str">
        <f>IF($B336="","",IFERROR(-AR336,"n.b."))</f>
        <v/>
      </c>
      <c r="CF336" s="124" t="str">
        <f>IF($B336="","",IFERROR(-AS336,"n.b."))</f>
        <v/>
      </c>
      <c r="CG336" s="124" t="str">
        <f>IF($B336="","",IFERROR(-AT336,"n.b."))</f>
        <v/>
      </c>
      <c r="CH336" s="124" t="str">
        <f>IF($B336="","",IFERROR(-AU336,"n.b."))</f>
        <v/>
      </c>
      <c r="CI336" s="124" t="str">
        <f>IF($B336="","",IFERROR(-AV336,"n.b."))</f>
        <v/>
      </c>
      <c r="CJ336" s="124" t="str">
        <f>IF($B336="","",IFERROR(-AW336,"n.b."))</f>
        <v/>
      </c>
      <c r="CK336" s="124" t="str">
        <f>IF($B336="","",IFERROR(-AX336,"n.b."))</f>
        <v/>
      </c>
      <c r="CL336" s="124" t="str">
        <f>IF($B336="","",IFERROR(-AY336,"n.b."))</f>
        <v/>
      </c>
      <c r="CM336" s="124" t="str">
        <f>IF($B336="","",IFERROR(-AZ336,"n.b."))</f>
        <v/>
      </c>
      <c r="CN336" s="124" t="str">
        <f>IF($B336="","",IFERROR(-BA336,"n.b."))</f>
        <v/>
      </c>
      <c r="CO336" s="124" t="str">
        <f>IF($B336="","",IFERROR(-BB336,"n.b."))</f>
        <v/>
      </c>
      <c r="CP336" s="124" t="str">
        <f>IF($B336="","",IFERROR(-BC336,"n.b."))</f>
        <v/>
      </c>
      <c r="CQ336" s="124" t="str">
        <f>IF($B336="","",IFERROR(-BD336,"n.b."))</f>
        <v/>
      </c>
      <c r="CR336" s="124" t="str">
        <f>IF($B336="","",IFERROR(-BE336,"n.b."))</f>
        <v/>
      </c>
      <c r="CS336" s="124" t="str">
        <f>IF($B336="","",IFERROR(IF(OR(ABS(T336+V336+X336+Z336-AB336)&gt;P_Tol,ABS(U336+W336+Y336+AA336-AD336)&gt;P_Tol,ABS(AE336+AG336+AI336+AK336-AM336)&gt;P_Tol,ABS(AF336+AH336+AJ336+AL336-AO336)&gt;P_Tol),1,0),1))</f>
        <v/>
      </c>
      <c r="CT336" s="124" t="str">
        <f>IF($B336="","",IFERROR(IF(OR(ABS(AB336+AC336-AD336)&gt;P_Tol,ABS(AM336+AN336-AO336)&gt;P_Tol,ABS(O336+P336-Q336)&gt;P_Tol),1,0),1))</f>
        <v/>
      </c>
      <c r="CU336" s="124" t="str">
        <f>IF($B336="","",IFERROR(IF(ABS(R336-(AB336+AM336+AP336+AR336+AT336+AV336+AX336+AZ336+BB336+BD336))&gt;P_Tol,1,0),1))</f>
        <v/>
      </c>
      <c r="CV336" s="124" t="str">
        <f>IF($B336="","",IFERROR(IF(ABS(M336-(N336+O336+R336))&gt;P_Tol,1,0),1))</f>
        <v/>
      </c>
      <c r="CW336" s="124" t="str">
        <f>IF($B336="","",IF(COUNTIF(Mapping!$A$5:$A$104,B336)&gt;0,1,0))</f>
        <v/>
      </c>
      <c r="CX336" s="124" t="str">
        <f>IF($B336="","",COUNTIF($B$6:$B$505,B336))</f>
        <v/>
      </c>
      <c r="CY336" s="124" t="str">
        <f>IF($B336="","",COUNTIF(STG_Woningetalage!$B$6:$B$505,B336))</f>
        <v/>
      </c>
      <c r="CZ336" s="124" t="str">
        <f>IF($B336="","",IF(CW336=0,COUNTIF($CW$6:CW336,0),""))</f>
        <v/>
      </c>
    </row>
    <row r="337">
      <c r="A337" s="15" t="n">
        <v>333</v>
      </c>
      <c r="B337" t="str">
        <f>IF(B$3=0,"",IF(INDEX(SRC_ZPMW03!$A$1:$ZZ$501,$A337,B$3)&amp;""="","",INDEX(SRC_ZPMW03!$A$1:$ZZ$501,$A337,B$3)&amp;""))</f>
        <v/>
      </c>
      <c r="C337" t="str">
        <f>IF($B337="","",IF(C$3=0,"n.b.",INDEX(SRC_ZPMW03!$A$1:$ZZ$501,$A337,C$3)))</f>
        <v/>
      </c>
      <c r="D337" t="str">
        <f>IF($B337="","",IF(D$3=0,"n.b.",INDEX(SRC_ZPMW03!$A$1:$ZZ$501,$A337,D$3)))</f>
        <v/>
      </c>
      <c r="E337" t="str">
        <f>IF($B337="","",IF(E$3=0,"n.b.",INDEX(SRC_ZPMW03!$A$1:$ZZ$501,$A337,E$3)))</f>
        <v/>
      </c>
      <c r="F337" t="str">
        <f>IF($B337="","",IF(F$3=0,"n.b.",INDEX(SRC_ZPMW03!$A$1:$ZZ$501,$A337,F$3)))</f>
        <v/>
      </c>
      <c r="G337" t="str">
        <f>IF($B337="","",IF(G$3=0,"n.b.",INDEX(SRC_ZPMW03!$A$1:$ZZ$501,$A337,G$3)))</f>
        <v/>
      </c>
      <c r="H337" t="str">
        <f>IF($B337="","",IF(H$3=0,"n.b.",INDEX(SRC_ZPMW03!$A$1:$ZZ$501,$A337,H$3)))</f>
        <v/>
      </c>
      <c r="I337" t="str">
        <f>IF($B337="","",IF(I$3=0,"n.b.",INDEX(SRC_ZPMW03!$A$1:$ZZ$501,$A337,I$3)))</f>
        <v/>
      </c>
      <c r="J337" t="str">
        <f>IF($B337="","",IF(J$3=0,"n.b.",INDEX(SRC_ZPMW03!$A$1:$ZZ$501,$A337,J$3)))</f>
        <v/>
      </c>
      <c r="K337" t="str">
        <f>IF($B337="","",IF(K$3=0,"n.b.",INDEX(SRC_ZPMW03!$A$1:$ZZ$501,$A337,K$3)))</f>
        <v/>
      </c>
      <c r="L337" s="124" t="str">
        <f>IF($B337="","",IF(L$3=0,"n.b.",INDEX(SRC_ZPMW03!$A$1:$ZZ$501,$A337,L$3)))</f>
        <v/>
      </c>
      <c r="M337" s="124" t="str">
        <f>IF($B337="","",IF(M$3=0,"n.b.",INDEX(SRC_ZPMW03!$A$1:$ZZ$501,$A337,M$3)))</f>
        <v/>
      </c>
      <c r="N337" s="124" t="str">
        <f>IF($B337="","",IF(N$3=0,"n.b.",INDEX(SRC_ZPMW03!$A$1:$ZZ$501,$A337,N$3)))</f>
        <v/>
      </c>
      <c r="O337" s="124" t="str">
        <f>IF($B337="","",IF(O$3=0,"n.b.",INDEX(SRC_ZPMW03!$A$1:$ZZ$501,$A337,O$3)))</f>
        <v/>
      </c>
      <c r="P337" s="124" t="str">
        <f>IF($B337="","",IF(P$3=0,"n.b.",INDEX(SRC_ZPMW03!$A$1:$ZZ$501,$A337,P$3)))</f>
        <v/>
      </c>
      <c r="Q337" s="124" t="str">
        <f>IF($B337="","",IF(Q$3=0,"n.b.",INDEX(SRC_ZPMW03!$A$1:$ZZ$501,$A337,Q$3)))</f>
        <v/>
      </c>
      <c r="R337" s="124" t="str">
        <f>IF($B337="","",IF(R$3=0,"n.b.",INDEX(SRC_ZPMW03!$A$1:$ZZ$501,$A337,R$3)))</f>
        <v/>
      </c>
      <c r="S337" s="124" t="str">
        <f>IF($B337="","",IF(S$3=0,"n.b.",INDEX(SRC_ZPMW03!$A$1:$ZZ$501,$A337,S$3)))</f>
        <v/>
      </c>
      <c r="T337" s="124" t="str">
        <f>IF($B337="","",IF(T$3=0,"n.b.",INDEX(SRC_ZPMW03!$A$1:$ZZ$501,$A337,T$3)))</f>
        <v/>
      </c>
      <c r="U337" s="124" t="str">
        <f>IF($B337="","",IF(U$3=0,"n.b.",INDEX(SRC_ZPMW03!$A$1:$ZZ$501,$A337,U$3)))</f>
        <v/>
      </c>
      <c r="V337" s="124" t="str">
        <f>IF($B337="","",IF(V$3=0,"n.b.",INDEX(SRC_ZPMW03!$A$1:$ZZ$501,$A337,V$3)))</f>
        <v/>
      </c>
      <c r="W337" s="124" t="str">
        <f>IF($B337="","",IF(W$3=0,"n.b.",INDEX(SRC_ZPMW03!$A$1:$ZZ$501,$A337,W$3)))</f>
        <v/>
      </c>
      <c r="X337" s="124" t="str">
        <f>IF($B337="","",IF(X$3=0,"n.b.",INDEX(SRC_ZPMW03!$A$1:$ZZ$501,$A337,X$3)))</f>
        <v/>
      </c>
      <c r="Y337" s="124" t="str">
        <f>IF($B337="","",IF(Y$3=0,"n.b.",INDEX(SRC_ZPMW03!$A$1:$ZZ$501,$A337,Y$3)))</f>
        <v/>
      </c>
      <c r="Z337" s="124" t="str">
        <f>IF($B337="","",IF(Z$3=0,"n.b.",INDEX(SRC_ZPMW03!$A$1:$ZZ$501,$A337,Z$3)))</f>
        <v/>
      </c>
      <c r="AA337" s="124" t="str">
        <f>IF($B337="","",IF(AA$3=0,"n.b.",INDEX(SRC_ZPMW03!$A$1:$ZZ$501,$A337,AA$3)))</f>
        <v/>
      </c>
      <c r="AB337" s="124" t="str">
        <f>IF($B337="","",IF(AB$3=0,"n.b.",INDEX(SRC_ZPMW03!$A$1:$ZZ$501,$A337,AB$3)))</f>
        <v/>
      </c>
      <c r="AC337" s="124" t="str">
        <f>IF($B337="","",IF(AC$3=0,"n.b.",INDEX(SRC_ZPMW03!$A$1:$ZZ$501,$A337,AC$3)))</f>
        <v/>
      </c>
      <c r="AD337" s="124" t="str">
        <f>IF($B337="","",IF(AD$3=0,"n.b.",INDEX(SRC_ZPMW03!$A$1:$ZZ$501,$A337,AD$3)))</f>
        <v/>
      </c>
      <c r="AE337" s="124" t="str">
        <f>IF($B337="","",IF(AE$3=0,"n.b.",INDEX(SRC_ZPMW03!$A$1:$ZZ$501,$A337,AE$3)))</f>
        <v/>
      </c>
      <c r="AF337" s="124" t="str">
        <f>IF($B337="","",IF(AF$3=0,"n.b.",INDEX(SRC_ZPMW03!$A$1:$ZZ$501,$A337,AF$3)))</f>
        <v/>
      </c>
      <c r="AG337" s="124" t="str">
        <f>IF($B337="","",IF(AG$3=0,"n.b.",INDEX(SRC_ZPMW03!$A$1:$ZZ$501,$A337,AG$3)))</f>
        <v/>
      </c>
      <c r="AH337" s="124" t="str">
        <f>IF($B337="","",IF(AH$3=0,"n.b.",INDEX(SRC_ZPMW03!$A$1:$ZZ$501,$A337,AH$3)))</f>
        <v/>
      </c>
      <c r="AI337" s="124" t="str">
        <f>IF($B337="","",IF(AI$3=0,"n.b.",INDEX(SRC_ZPMW03!$A$1:$ZZ$501,$A337,AI$3)))</f>
        <v/>
      </c>
      <c r="AJ337" s="124" t="str">
        <f>IF($B337="","",IF(AJ$3=0,"n.b.",INDEX(SRC_ZPMW03!$A$1:$ZZ$501,$A337,AJ$3)))</f>
        <v/>
      </c>
      <c r="AK337" s="124" t="str">
        <f>IF($B337="","",IF(AK$3=0,"n.b.",INDEX(SRC_ZPMW03!$A$1:$ZZ$501,$A337,AK$3)))</f>
        <v/>
      </c>
      <c r="AL337" s="124" t="str">
        <f>IF($B337="","",IF(AL$3=0,"n.b.",INDEX(SRC_ZPMW03!$A$1:$ZZ$501,$A337,AL$3)))</f>
        <v/>
      </c>
      <c r="AM337" s="124" t="str">
        <f>IF($B337="","",IF(AM$3=0,"n.b.",INDEX(SRC_ZPMW03!$A$1:$ZZ$501,$A337,AM$3)))</f>
        <v/>
      </c>
      <c r="AN337" s="124" t="str">
        <f>IF($B337="","",IF(AN$3=0,"n.b.",INDEX(SRC_ZPMW03!$A$1:$ZZ$501,$A337,AN$3)))</f>
        <v/>
      </c>
      <c r="AO337" s="124" t="str">
        <f>IF($B337="","",IF(AO$3=0,"n.b.",INDEX(SRC_ZPMW03!$A$1:$ZZ$501,$A337,AO$3)))</f>
        <v/>
      </c>
      <c r="AP337" s="124" t="str">
        <f>IF($B337="","",IF(AP$3=0,"n.b.",INDEX(SRC_ZPMW03!$A$1:$ZZ$501,$A337,AP$3)))</f>
        <v/>
      </c>
      <c r="AQ337" s="124" t="str">
        <f>IF($B337="","",IF(AQ$3=0,"n.b.",INDEX(SRC_ZPMW03!$A$1:$ZZ$501,$A337,AQ$3)))</f>
        <v/>
      </c>
      <c r="AR337" s="124" t="str">
        <f>IF($B337="","",IF(AR$3=0,"n.b.",INDEX(SRC_ZPMW03!$A$1:$ZZ$501,$A337,AR$3)))</f>
        <v/>
      </c>
      <c r="AS337" s="124" t="str">
        <f>IF($B337="","",IF(AS$3=0,"n.b.",INDEX(SRC_ZPMW03!$A$1:$ZZ$501,$A337,AS$3)))</f>
        <v/>
      </c>
      <c r="AT337" s="124" t="str">
        <f>IF($B337="","",IF(AT$3=0,"n.b.",INDEX(SRC_ZPMW03!$A$1:$ZZ$501,$A337,AT$3)))</f>
        <v/>
      </c>
      <c r="AU337" s="124" t="str">
        <f>IF($B337="","",IF(AU$3=0,"n.b.",INDEX(SRC_ZPMW03!$A$1:$ZZ$501,$A337,AU$3)))</f>
        <v/>
      </c>
      <c r="AV337" s="124" t="str">
        <f>IF($B337="","",IF(AV$3=0,"n.b.",INDEX(SRC_ZPMW03!$A$1:$ZZ$501,$A337,AV$3)))</f>
        <v/>
      </c>
      <c r="AW337" s="124" t="str">
        <f>IF($B337="","",IF(AW$3=0,"n.b.",INDEX(SRC_ZPMW03!$A$1:$ZZ$501,$A337,AW$3)))</f>
        <v/>
      </c>
      <c r="AX337" s="124" t="str">
        <f>IF($B337="","",IF(AX$3=0,"n.b.",INDEX(SRC_ZPMW03!$A$1:$ZZ$501,$A337,AX$3)))</f>
        <v/>
      </c>
      <c r="AY337" s="124" t="str">
        <f>IF($B337="","",IF(AY$3=0,"n.b.",INDEX(SRC_ZPMW03!$A$1:$ZZ$501,$A337,AY$3)))</f>
        <v/>
      </c>
      <c r="AZ337" s="124" t="str">
        <f>IF($B337="","",IF(AZ$3=0,"n.b.",INDEX(SRC_ZPMW03!$A$1:$ZZ$501,$A337,AZ$3)))</f>
        <v/>
      </c>
      <c r="BA337" s="124" t="str">
        <f>IF($B337="","",IF(BA$3=0,"n.b.",INDEX(SRC_ZPMW03!$A$1:$ZZ$501,$A337,BA$3)))</f>
        <v/>
      </c>
      <c r="BB337" s="124" t="str">
        <f>IF($B337="","",IF(BB$3=0,"n.b.",INDEX(SRC_ZPMW03!$A$1:$ZZ$501,$A337,BB$3)))</f>
        <v/>
      </c>
      <c r="BC337" s="124" t="str">
        <f>IF($B337="","",IF(BC$3=0,"n.b.",INDEX(SRC_ZPMW03!$A$1:$ZZ$501,$A337,BC$3)))</f>
        <v/>
      </c>
      <c r="BD337" s="124" t="str">
        <f>IF($B337="","",IF(BD$3=0,"n.b.",INDEX(SRC_ZPMW03!$A$1:$ZZ$501,$A337,BD$3)))</f>
        <v/>
      </c>
      <c r="BE337" s="124" t="str">
        <f>IF($B337="","",IF(BE$3=0,"n.b.",INDEX(SRC_ZPMW03!$A$1:$ZZ$501,$A337,BE$3)))</f>
        <v/>
      </c>
      <c r="BF337" s="124" t="str">
        <f>IF($B337="","",IF(BF$3=0,"n.b.",INDEX(SRC_ZPMW03!$A$1:$ZZ$501,$A337,BF$3)))</f>
        <v/>
      </c>
      <c r="BG337" t="str">
        <f>IF($B337="","",IF(BG$3=0,"n.b.",INDEX(SRC_ZPMW03!$A$1:$ZZ$501,$A337,BG$3)))</f>
        <v/>
      </c>
      <c r="BH337" t="str">
        <f>IF($B337="","",IF(BH$3=0,"n.b.",INDEX(SRC_ZPMW03!$A$1:$ZZ$501,$A337,BH$3)))</f>
        <v/>
      </c>
      <c r="BI337" t="str">
        <f>IF($B337="","",IF(BI$3=0,"n.b.",INDEX(SRC_ZPMW03!$A$1:$ZZ$501,$A337,BI$3)))</f>
        <v/>
      </c>
      <c r="BJ337" t="str">
        <f>IF($B337="","",IF(BJ$3=0,"n.b.",INDEX(SRC_ZPMW03!$A$1:$ZZ$501,$A337,BJ$3)))</f>
        <v/>
      </c>
      <c r="BK337" s="124" t="str">
        <f>IF($B337="","",IFERROR(-O337,"n.b."))</f>
        <v/>
      </c>
      <c r="BL337" s="124" t="str">
        <f>IF($B337="","",IFERROR(-Q337,"n.b."))</f>
        <v/>
      </c>
      <c r="BM337" s="124" t="str">
        <f>IF($B337="","",IFERROR(-AB337,"n.b."))</f>
        <v/>
      </c>
      <c r="BN337" s="124" t="str">
        <f>IF($B337="","",IFERROR(-AD337,"n.b."))</f>
        <v/>
      </c>
      <c r="BO337" s="124" t="str">
        <f>IF($B337="","",IFERROR(BK337+BM337,"n.b."))</f>
        <v/>
      </c>
      <c r="BP337" s="124" t="str">
        <f>IF($B337="","",IFERROR(BL337+BN337,"n.b."))</f>
        <v/>
      </c>
      <c r="BQ337" s="124" t="str">
        <f>IF($B337="","",IFERROR(-AM337,"n.b."))</f>
        <v/>
      </c>
      <c r="BR337" s="124" t="str">
        <f>IF($B337="","",IFERROR(-AO337,"n.b."))</f>
        <v/>
      </c>
      <c r="BS337" s="124" t="str">
        <f>IF($B337="","",IFERROR(-Z337,"n.b."))</f>
        <v/>
      </c>
      <c r="BT337" s="124" t="str">
        <f>IF($B337="","",IFERROR(-AA337,"n.b."))</f>
        <v/>
      </c>
      <c r="BU337" s="124" t="str">
        <f>IF($B337="","",IFERROR(-AE337,"n.b."))</f>
        <v/>
      </c>
      <c r="BV337" s="124" t="str">
        <f>IF($B337="","",IFERROR(-AF337,"n.b."))</f>
        <v/>
      </c>
      <c r="BW337" s="124" t="str">
        <f>IF($B337="","",IFERROR(-AG337,"n.b."))</f>
        <v/>
      </c>
      <c r="BX337" s="124" t="str">
        <f>IF($B337="","",IFERROR(-AH337,"n.b."))</f>
        <v/>
      </c>
      <c r="BY337" s="124" t="str">
        <f>IF($B337="","",IFERROR(-AI337,"n.b."))</f>
        <v/>
      </c>
      <c r="BZ337" s="124" t="str">
        <f>IF($B337="","",IFERROR(-AJ337,"n.b."))</f>
        <v/>
      </c>
      <c r="CA337" s="124" t="str">
        <f>IF($B337="","",IFERROR(-AK337,"n.b."))</f>
        <v/>
      </c>
      <c r="CB337" s="124" t="str">
        <f>IF($B337="","",IFERROR(-AL337,"n.b."))</f>
        <v/>
      </c>
      <c r="CC337" s="124" t="str">
        <f>IF($B337="","",IFERROR(-AP337,"n.b."))</f>
        <v/>
      </c>
      <c r="CD337" s="124" t="str">
        <f>IF($B337="","",IFERROR(-AQ337,"n.b."))</f>
        <v/>
      </c>
      <c r="CE337" s="124" t="str">
        <f>IF($B337="","",IFERROR(-AR337,"n.b."))</f>
        <v/>
      </c>
      <c r="CF337" s="124" t="str">
        <f>IF($B337="","",IFERROR(-AS337,"n.b."))</f>
        <v/>
      </c>
      <c r="CG337" s="124" t="str">
        <f>IF($B337="","",IFERROR(-AT337,"n.b."))</f>
        <v/>
      </c>
      <c r="CH337" s="124" t="str">
        <f>IF($B337="","",IFERROR(-AU337,"n.b."))</f>
        <v/>
      </c>
      <c r="CI337" s="124" t="str">
        <f>IF($B337="","",IFERROR(-AV337,"n.b."))</f>
        <v/>
      </c>
      <c r="CJ337" s="124" t="str">
        <f>IF($B337="","",IFERROR(-AW337,"n.b."))</f>
        <v/>
      </c>
      <c r="CK337" s="124" t="str">
        <f>IF($B337="","",IFERROR(-AX337,"n.b."))</f>
        <v/>
      </c>
      <c r="CL337" s="124" t="str">
        <f>IF($B337="","",IFERROR(-AY337,"n.b."))</f>
        <v/>
      </c>
      <c r="CM337" s="124" t="str">
        <f>IF($B337="","",IFERROR(-AZ337,"n.b."))</f>
        <v/>
      </c>
      <c r="CN337" s="124" t="str">
        <f>IF($B337="","",IFERROR(-BA337,"n.b."))</f>
        <v/>
      </c>
      <c r="CO337" s="124" t="str">
        <f>IF($B337="","",IFERROR(-BB337,"n.b."))</f>
        <v/>
      </c>
      <c r="CP337" s="124" t="str">
        <f>IF($B337="","",IFERROR(-BC337,"n.b."))</f>
        <v/>
      </c>
      <c r="CQ337" s="124" t="str">
        <f>IF($B337="","",IFERROR(-BD337,"n.b."))</f>
        <v/>
      </c>
      <c r="CR337" s="124" t="str">
        <f>IF($B337="","",IFERROR(-BE337,"n.b."))</f>
        <v/>
      </c>
      <c r="CS337" s="124" t="str">
        <f>IF($B337="","",IFERROR(IF(OR(ABS(T337+V337+X337+Z337-AB337)&gt;P_Tol,ABS(U337+W337+Y337+AA337-AD337)&gt;P_Tol,ABS(AE337+AG337+AI337+AK337-AM337)&gt;P_Tol,ABS(AF337+AH337+AJ337+AL337-AO337)&gt;P_Tol),1,0),1))</f>
        <v/>
      </c>
      <c r="CT337" s="124" t="str">
        <f>IF($B337="","",IFERROR(IF(OR(ABS(AB337+AC337-AD337)&gt;P_Tol,ABS(AM337+AN337-AO337)&gt;P_Tol,ABS(O337+P337-Q337)&gt;P_Tol),1,0),1))</f>
        <v/>
      </c>
      <c r="CU337" s="124" t="str">
        <f>IF($B337="","",IFERROR(IF(ABS(R337-(AB337+AM337+AP337+AR337+AT337+AV337+AX337+AZ337+BB337+BD337))&gt;P_Tol,1,0),1))</f>
        <v/>
      </c>
      <c r="CV337" s="124" t="str">
        <f>IF($B337="","",IFERROR(IF(ABS(M337-(N337+O337+R337))&gt;P_Tol,1,0),1))</f>
        <v/>
      </c>
      <c r="CW337" s="124" t="str">
        <f>IF($B337="","",IF(COUNTIF(Mapping!$A$5:$A$104,B337)&gt;0,1,0))</f>
        <v/>
      </c>
      <c r="CX337" s="124" t="str">
        <f>IF($B337="","",COUNTIF($B$6:$B$505,B337))</f>
        <v/>
      </c>
      <c r="CY337" s="124" t="str">
        <f>IF($B337="","",COUNTIF(STG_Woningetalage!$B$6:$B$505,B337))</f>
        <v/>
      </c>
      <c r="CZ337" s="124" t="str">
        <f>IF($B337="","",IF(CW337=0,COUNTIF($CW$6:CW337,0),""))</f>
        <v/>
      </c>
    </row>
    <row r="338">
      <c r="A338" s="15" t="n">
        <v>334</v>
      </c>
      <c r="B338" t="str">
        <f>IF(B$3=0,"",IF(INDEX(SRC_ZPMW03!$A$1:$ZZ$501,$A338,B$3)&amp;""="","",INDEX(SRC_ZPMW03!$A$1:$ZZ$501,$A338,B$3)&amp;""))</f>
        <v/>
      </c>
      <c r="C338" t="str">
        <f>IF($B338="","",IF(C$3=0,"n.b.",INDEX(SRC_ZPMW03!$A$1:$ZZ$501,$A338,C$3)))</f>
        <v/>
      </c>
      <c r="D338" t="str">
        <f>IF($B338="","",IF(D$3=0,"n.b.",INDEX(SRC_ZPMW03!$A$1:$ZZ$501,$A338,D$3)))</f>
        <v/>
      </c>
      <c r="E338" t="str">
        <f>IF($B338="","",IF(E$3=0,"n.b.",INDEX(SRC_ZPMW03!$A$1:$ZZ$501,$A338,E$3)))</f>
        <v/>
      </c>
      <c r="F338" t="str">
        <f>IF($B338="","",IF(F$3=0,"n.b.",INDEX(SRC_ZPMW03!$A$1:$ZZ$501,$A338,F$3)))</f>
        <v/>
      </c>
      <c r="G338" t="str">
        <f>IF($B338="","",IF(G$3=0,"n.b.",INDEX(SRC_ZPMW03!$A$1:$ZZ$501,$A338,G$3)))</f>
        <v/>
      </c>
      <c r="H338" t="str">
        <f>IF($B338="","",IF(H$3=0,"n.b.",INDEX(SRC_ZPMW03!$A$1:$ZZ$501,$A338,H$3)))</f>
        <v/>
      </c>
      <c r="I338" t="str">
        <f>IF($B338="","",IF(I$3=0,"n.b.",INDEX(SRC_ZPMW03!$A$1:$ZZ$501,$A338,I$3)))</f>
        <v/>
      </c>
      <c r="J338" t="str">
        <f>IF($B338="","",IF(J$3=0,"n.b.",INDEX(SRC_ZPMW03!$A$1:$ZZ$501,$A338,J$3)))</f>
        <v/>
      </c>
      <c r="K338" t="str">
        <f>IF($B338="","",IF(K$3=0,"n.b.",INDEX(SRC_ZPMW03!$A$1:$ZZ$501,$A338,K$3)))</f>
        <v/>
      </c>
      <c r="L338" s="124" t="str">
        <f>IF($B338="","",IF(L$3=0,"n.b.",INDEX(SRC_ZPMW03!$A$1:$ZZ$501,$A338,L$3)))</f>
        <v/>
      </c>
      <c r="M338" s="124" t="str">
        <f>IF($B338="","",IF(M$3=0,"n.b.",INDEX(SRC_ZPMW03!$A$1:$ZZ$501,$A338,M$3)))</f>
        <v/>
      </c>
      <c r="N338" s="124" t="str">
        <f>IF($B338="","",IF(N$3=0,"n.b.",INDEX(SRC_ZPMW03!$A$1:$ZZ$501,$A338,N$3)))</f>
        <v/>
      </c>
      <c r="O338" s="124" t="str">
        <f>IF($B338="","",IF(O$3=0,"n.b.",INDEX(SRC_ZPMW03!$A$1:$ZZ$501,$A338,O$3)))</f>
        <v/>
      </c>
      <c r="P338" s="124" t="str">
        <f>IF($B338="","",IF(P$3=0,"n.b.",INDEX(SRC_ZPMW03!$A$1:$ZZ$501,$A338,P$3)))</f>
        <v/>
      </c>
      <c r="Q338" s="124" t="str">
        <f>IF($B338="","",IF(Q$3=0,"n.b.",INDEX(SRC_ZPMW03!$A$1:$ZZ$501,$A338,Q$3)))</f>
        <v/>
      </c>
      <c r="R338" s="124" t="str">
        <f>IF($B338="","",IF(R$3=0,"n.b.",INDEX(SRC_ZPMW03!$A$1:$ZZ$501,$A338,R$3)))</f>
        <v/>
      </c>
      <c r="S338" s="124" t="str">
        <f>IF($B338="","",IF(S$3=0,"n.b.",INDEX(SRC_ZPMW03!$A$1:$ZZ$501,$A338,S$3)))</f>
        <v/>
      </c>
      <c r="T338" s="124" t="str">
        <f>IF($B338="","",IF(T$3=0,"n.b.",INDEX(SRC_ZPMW03!$A$1:$ZZ$501,$A338,T$3)))</f>
        <v/>
      </c>
      <c r="U338" s="124" t="str">
        <f>IF($B338="","",IF(U$3=0,"n.b.",INDEX(SRC_ZPMW03!$A$1:$ZZ$501,$A338,U$3)))</f>
        <v/>
      </c>
      <c r="V338" s="124" t="str">
        <f>IF($B338="","",IF(V$3=0,"n.b.",INDEX(SRC_ZPMW03!$A$1:$ZZ$501,$A338,V$3)))</f>
        <v/>
      </c>
      <c r="W338" s="124" t="str">
        <f>IF($B338="","",IF(W$3=0,"n.b.",INDEX(SRC_ZPMW03!$A$1:$ZZ$501,$A338,W$3)))</f>
        <v/>
      </c>
      <c r="X338" s="124" t="str">
        <f>IF($B338="","",IF(X$3=0,"n.b.",INDEX(SRC_ZPMW03!$A$1:$ZZ$501,$A338,X$3)))</f>
        <v/>
      </c>
      <c r="Y338" s="124" t="str">
        <f>IF($B338="","",IF(Y$3=0,"n.b.",INDEX(SRC_ZPMW03!$A$1:$ZZ$501,$A338,Y$3)))</f>
        <v/>
      </c>
      <c r="Z338" s="124" t="str">
        <f>IF($B338="","",IF(Z$3=0,"n.b.",INDEX(SRC_ZPMW03!$A$1:$ZZ$501,$A338,Z$3)))</f>
        <v/>
      </c>
      <c r="AA338" s="124" t="str">
        <f>IF($B338="","",IF(AA$3=0,"n.b.",INDEX(SRC_ZPMW03!$A$1:$ZZ$501,$A338,AA$3)))</f>
        <v/>
      </c>
      <c r="AB338" s="124" t="str">
        <f>IF($B338="","",IF(AB$3=0,"n.b.",INDEX(SRC_ZPMW03!$A$1:$ZZ$501,$A338,AB$3)))</f>
        <v/>
      </c>
      <c r="AC338" s="124" t="str">
        <f>IF($B338="","",IF(AC$3=0,"n.b.",INDEX(SRC_ZPMW03!$A$1:$ZZ$501,$A338,AC$3)))</f>
        <v/>
      </c>
      <c r="AD338" s="124" t="str">
        <f>IF($B338="","",IF(AD$3=0,"n.b.",INDEX(SRC_ZPMW03!$A$1:$ZZ$501,$A338,AD$3)))</f>
        <v/>
      </c>
      <c r="AE338" s="124" t="str">
        <f>IF($B338="","",IF(AE$3=0,"n.b.",INDEX(SRC_ZPMW03!$A$1:$ZZ$501,$A338,AE$3)))</f>
        <v/>
      </c>
      <c r="AF338" s="124" t="str">
        <f>IF($B338="","",IF(AF$3=0,"n.b.",INDEX(SRC_ZPMW03!$A$1:$ZZ$501,$A338,AF$3)))</f>
        <v/>
      </c>
      <c r="AG338" s="124" t="str">
        <f>IF($B338="","",IF(AG$3=0,"n.b.",INDEX(SRC_ZPMW03!$A$1:$ZZ$501,$A338,AG$3)))</f>
        <v/>
      </c>
      <c r="AH338" s="124" t="str">
        <f>IF($B338="","",IF(AH$3=0,"n.b.",INDEX(SRC_ZPMW03!$A$1:$ZZ$501,$A338,AH$3)))</f>
        <v/>
      </c>
      <c r="AI338" s="124" t="str">
        <f>IF($B338="","",IF(AI$3=0,"n.b.",INDEX(SRC_ZPMW03!$A$1:$ZZ$501,$A338,AI$3)))</f>
        <v/>
      </c>
      <c r="AJ338" s="124" t="str">
        <f>IF($B338="","",IF(AJ$3=0,"n.b.",INDEX(SRC_ZPMW03!$A$1:$ZZ$501,$A338,AJ$3)))</f>
        <v/>
      </c>
      <c r="AK338" s="124" t="str">
        <f>IF($B338="","",IF(AK$3=0,"n.b.",INDEX(SRC_ZPMW03!$A$1:$ZZ$501,$A338,AK$3)))</f>
        <v/>
      </c>
      <c r="AL338" s="124" t="str">
        <f>IF($B338="","",IF(AL$3=0,"n.b.",INDEX(SRC_ZPMW03!$A$1:$ZZ$501,$A338,AL$3)))</f>
        <v/>
      </c>
      <c r="AM338" s="124" t="str">
        <f>IF($B338="","",IF(AM$3=0,"n.b.",INDEX(SRC_ZPMW03!$A$1:$ZZ$501,$A338,AM$3)))</f>
        <v/>
      </c>
      <c r="AN338" s="124" t="str">
        <f>IF($B338="","",IF(AN$3=0,"n.b.",INDEX(SRC_ZPMW03!$A$1:$ZZ$501,$A338,AN$3)))</f>
        <v/>
      </c>
      <c r="AO338" s="124" t="str">
        <f>IF($B338="","",IF(AO$3=0,"n.b.",INDEX(SRC_ZPMW03!$A$1:$ZZ$501,$A338,AO$3)))</f>
        <v/>
      </c>
      <c r="AP338" s="124" t="str">
        <f>IF($B338="","",IF(AP$3=0,"n.b.",INDEX(SRC_ZPMW03!$A$1:$ZZ$501,$A338,AP$3)))</f>
        <v/>
      </c>
      <c r="AQ338" s="124" t="str">
        <f>IF($B338="","",IF(AQ$3=0,"n.b.",INDEX(SRC_ZPMW03!$A$1:$ZZ$501,$A338,AQ$3)))</f>
        <v/>
      </c>
      <c r="AR338" s="124" t="str">
        <f>IF($B338="","",IF(AR$3=0,"n.b.",INDEX(SRC_ZPMW03!$A$1:$ZZ$501,$A338,AR$3)))</f>
        <v/>
      </c>
      <c r="AS338" s="124" t="str">
        <f>IF($B338="","",IF(AS$3=0,"n.b.",INDEX(SRC_ZPMW03!$A$1:$ZZ$501,$A338,AS$3)))</f>
        <v/>
      </c>
      <c r="AT338" s="124" t="str">
        <f>IF($B338="","",IF(AT$3=0,"n.b.",INDEX(SRC_ZPMW03!$A$1:$ZZ$501,$A338,AT$3)))</f>
        <v/>
      </c>
      <c r="AU338" s="124" t="str">
        <f>IF($B338="","",IF(AU$3=0,"n.b.",INDEX(SRC_ZPMW03!$A$1:$ZZ$501,$A338,AU$3)))</f>
        <v/>
      </c>
      <c r="AV338" s="124" t="str">
        <f>IF($B338="","",IF(AV$3=0,"n.b.",INDEX(SRC_ZPMW03!$A$1:$ZZ$501,$A338,AV$3)))</f>
        <v/>
      </c>
      <c r="AW338" s="124" t="str">
        <f>IF($B338="","",IF(AW$3=0,"n.b.",INDEX(SRC_ZPMW03!$A$1:$ZZ$501,$A338,AW$3)))</f>
        <v/>
      </c>
      <c r="AX338" s="124" t="str">
        <f>IF($B338="","",IF(AX$3=0,"n.b.",INDEX(SRC_ZPMW03!$A$1:$ZZ$501,$A338,AX$3)))</f>
        <v/>
      </c>
      <c r="AY338" s="124" t="str">
        <f>IF($B338="","",IF(AY$3=0,"n.b.",INDEX(SRC_ZPMW03!$A$1:$ZZ$501,$A338,AY$3)))</f>
        <v/>
      </c>
      <c r="AZ338" s="124" t="str">
        <f>IF($B338="","",IF(AZ$3=0,"n.b.",INDEX(SRC_ZPMW03!$A$1:$ZZ$501,$A338,AZ$3)))</f>
        <v/>
      </c>
      <c r="BA338" s="124" t="str">
        <f>IF($B338="","",IF(BA$3=0,"n.b.",INDEX(SRC_ZPMW03!$A$1:$ZZ$501,$A338,BA$3)))</f>
        <v/>
      </c>
      <c r="BB338" s="124" t="str">
        <f>IF($B338="","",IF(BB$3=0,"n.b.",INDEX(SRC_ZPMW03!$A$1:$ZZ$501,$A338,BB$3)))</f>
        <v/>
      </c>
      <c r="BC338" s="124" t="str">
        <f>IF($B338="","",IF(BC$3=0,"n.b.",INDEX(SRC_ZPMW03!$A$1:$ZZ$501,$A338,BC$3)))</f>
        <v/>
      </c>
      <c r="BD338" s="124" t="str">
        <f>IF($B338="","",IF(BD$3=0,"n.b.",INDEX(SRC_ZPMW03!$A$1:$ZZ$501,$A338,BD$3)))</f>
        <v/>
      </c>
      <c r="BE338" s="124" t="str">
        <f>IF($B338="","",IF(BE$3=0,"n.b.",INDEX(SRC_ZPMW03!$A$1:$ZZ$501,$A338,BE$3)))</f>
        <v/>
      </c>
      <c r="BF338" s="124" t="str">
        <f>IF($B338="","",IF(BF$3=0,"n.b.",INDEX(SRC_ZPMW03!$A$1:$ZZ$501,$A338,BF$3)))</f>
        <v/>
      </c>
      <c r="BG338" t="str">
        <f>IF($B338="","",IF(BG$3=0,"n.b.",INDEX(SRC_ZPMW03!$A$1:$ZZ$501,$A338,BG$3)))</f>
        <v/>
      </c>
      <c r="BH338" t="str">
        <f>IF($B338="","",IF(BH$3=0,"n.b.",INDEX(SRC_ZPMW03!$A$1:$ZZ$501,$A338,BH$3)))</f>
        <v/>
      </c>
      <c r="BI338" t="str">
        <f>IF($B338="","",IF(BI$3=0,"n.b.",INDEX(SRC_ZPMW03!$A$1:$ZZ$501,$A338,BI$3)))</f>
        <v/>
      </c>
      <c r="BJ338" t="str">
        <f>IF($B338="","",IF(BJ$3=0,"n.b.",INDEX(SRC_ZPMW03!$A$1:$ZZ$501,$A338,BJ$3)))</f>
        <v/>
      </c>
      <c r="BK338" s="124" t="str">
        <f>IF($B338="","",IFERROR(-O338,"n.b."))</f>
        <v/>
      </c>
      <c r="BL338" s="124" t="str">
        <f>IF($B338="","",IFERROR(-Q338,"n.b."))</f>
        <v/>
      </c>
      <c r="BM338" s="124" t="str">
        <f>IF($B338="","",IFERROR(-AB338,"n.b."))</f>
        <v/>
      </c>
      <c r="BN338" s="124" t="str">
        <f>IF($B338="","",IFERROR(-AD338,"n.b."))</f>
        <v/>
      </c>
      <c r="BO338" s="124" t="str">
        <f>IF($B338="","",IFERROR(BK338+BM338,"n.b."))</f>
        <v/>
      </c>
      <c r="BP338" s="124" t="str">
        <f>IF($B338="","",IFERROR(BL338+BN338,"n.b."))</f>
        <v/>
      </c>
      <c r="BQ338" s="124" t="str">
        <f>IF($B338="","",IFERROR(-AM338,"n.b."))</f>
        <v/>
      </c>
      <c r="BR338" s="124" t="str">
        <f>IF($B338="","",IFERROR(-AO338,"n.b."))</f>
        <v/>
      </c>
      <c r="BS338" s="124" t="str">
        <f>IF($B338="","",IFERROR(-Z338,"n.b."))</f>
        <v/>
      </c>
      <c r="BT338" s="124" t="str">
        <f>IF($B338="","",IFERROR(-AA338,"n.b."))</f>
        <v/>
      </c>
      <c r="BU338" s="124" t="str">
        <f>IF($B338="","",IFERROR(-AE338,"n.b."))</f>
        <v/>
      </c>
      <c r="BV338" s="124" t="str">
        <f>IF($B338="","",IFERROR(-AF338,"n.b."))</f>
        <v/>
      </c>
      <c r="BW338" s="124" t="str">
        <f>IF($B338="","",IFERROR(-AG338,"n.b."))</f>
        <v/>
      </c>
      <c r="BX338" s="124" t="str">
        <f>IF($B338="","",IFERROR(-AH338,"n.b."))</f>
        <v/>
      </c>
      <c r="BY338" s="124" t="str">
        <f>IF($B338="","",IFERROR(-AI338,"n.b."))</f>
        <v/>
      </c>
      <c r="BZ338" s="124" t="str">
        <f>IF($B338="","",IFERROR(-AJ338,"n.b."))</f>
        <v/>
      </c>
      <c r="CA338" s="124" t="str">
        <f>IF($B338="","",IFERROR(-AK338,"n.b."))</f>
        <v/>
      </c>
      <c r="CB338" s="124" t="str">
        <f>IF($B338="","",IFERROR(-AL338,"n.b."))</f>
        <v/>
      </c>
      <c r="CC338" s="124" t="str">
        <f>IF($B338="","",IFERROR(-AP338,"n.b."))</f>
        <v/>
      </c>
      <c r="CD338" s="124" t="str">
        <f>IF($B338="","",IFERROR(-AQ338,"n.b."))</f>
        <v/>
      </c>
      <c r="CE338" s="124" t="str">
        <f>IF($B338="","",IFERROR(-AR338,"n.b."))</f>
        <v/>
      </c>
      <c r="CF338" s="124" t="str">
        <f>IF($B338="","",IFERROR(-AS338,"n.b."))</f>
        <v/>
      </c>
      <c r="CG338" s="124" t="str">
        <f>IF($B338="","",IFERROR(-AT338,"n.b."))</f>
        <v/>
      </c>
      <c r="CH338" s="124" t="str">
        <f>IF($B338="","",IFERROR(-AU338,"n.b."))</f>
        <v/>
      </c>
      <c r="CI338" s="124" t="str">
        <f>IF($B338="","",IFERROR(-AV338,"n.b."))</f>
        <v/>
      </c>
      <c r="CJ338" s="124" t="str">
        <f>IF($B338="","",IFERROR(-AW338,"n.b."))</f>
        <v/>
      </c>
      <c r="CK338" s="124" t="str">
        <f>IF($B338="","",IFERROR(-AX338,"n.b."))</f>
        <v/>
      </c>
      <c r="CL338" s="124" t="str">
        <f>IF($B338="","",IFERROR(-AY338,"n.b."))</f>
        <v/>
      </c>
      <c r="CM338" s="124" t="str">
        <f>IF($B338="","",IFERROR(-AZ338,"n.b."))</f>
        <v/>
      </c>
      <c r="CN338" s="124" t="str">
        <f>IF($B338="","",IFERROR(-BA338,"n.b."))</f>
        <v/>
      </c>
      <c r="CO338" s="124" t="str">
        <f>IF($B338="","",IFERROR(-BB338,"n.b."))</f>
        <v/>
      </c>
      <c r="CP338" s="124" t="str">
        <f>IF($B338="","",IFERROR(-BC338,"n.b."))</f>
        <v/>
      </c>
      <c r="CQ338" s="124" t="str">
        <f>IF($B338="","",IFERROR(-BD338,"n.b."))</f>
        <v/>
      </c>
      <c r="CR338" s="124" t="str">
        <f>IF($B338="","",IFERROR(-BE338,"n.b."))</f>
        <v/>
      </c>
      <c r="CS338" s="124" t="str">
        <f>IF($B338="","",IFERROR(IF(OR(ABS(T338+V338+X338+Z338-AB338)&gt;P_Tol,ABS(U338+W338+Y338+AA338-AD338)&gt;P_Tol,ABS(AE338+AG338+AI338+AK338-AM338)&gt;P_Tol,ABS(AF338+AH338+AJ338+AL338-AO338)&gt;P_Tol),1,0),1))</f>
        <v/>
      </c>
      <c r="CT338" s="124" t="str">
        <f>IF($B338="","",IFERROR(IF(OR(ABS(AB338+AC338-AD338)&gt;P_Tol,ABS(AM338+AN338-AO338)&gt;P_Tol,ABS(O338+P338-Q338)&gt;P_Tol),1,0),1))</f>
        <v/>
      </c>
      <c r="CU338" s="124" t="str">
        <f>IF($B338="","",IFERROR(IF(ABS(R338-(AB338+AM338+AP338+AR338+AT338+AV338+AX338+AZ338+BB338+BD338))&gt;P_Tol,1,0),1))</f>
        <v/>
      </c>
      <c r="CV338" s="124" t="str">
        <f>IF($B338="","",IFERROR(IF(ABS(M338-(N338+O338+R338))&gt;P_Tol,1,0),1))</f>
        <v/>
      </c>
      <c r="CW338" s="124" t="str">
        <f>IF($B338="","",IF(COUNTIF(Mapping!$A$5:$A$104,B338)&gt;0,1,0))</f>
        <v/>
      </c>
      <c r="CX338" s="124" t="str">
        <f>IF($B338="","",COUNTIF($B$6:$B$505,B338))</f>
        <v/>
      </c>
      <c r="CY338" s="124" t="str">
        <f>IF($B338="","",COUNTIF(STG_Woningetalage!$B$6:$B$505,B338))</f>
        <v/>
      </c>
      <c r="CZ338" s="124" t="str">
        <f>IF($B338="","",IF(CW338=0,COUNTIF($CW$6:CW338,0),""))</f>
        <v/>
      </c>
    </row>
    <row r="339">
      <c r="A339" s="15" t="n">
        <v>335</v>
      </c>
      <c r="B339" t="str">
        <f>IF(B$3=0,"",IF(INDEX(SRC_ZPMW03!$A$1:$ZZ$501,$A339,B$3)&amp;""="","",INDEX(SRC_ZPMW03!$A$1:$ZZ$501,$A339,B$3)&amp;""))</f>
        <v/>
      </c>
      <c r="C339" t="str">
        <f>IF($B339="","",IF(C$3=0,"n.b.",INDEX(SRC_ZPMW03!$A$1:$ZZ$501,$A339,C$3)))</f>
        <v/>
      </c>
      <c r="D339" t="str">
        <f>IF($B339="","",IF(D$3=0,"n.b.",INDEX(SRC_ZPMW03!$A$1:$ZZ$501,$A339,D$3)))</f>
        <v/>
      </c>
      <c r="E339" t="str">
        <f>IF($B339="","",IF(E$3=0,"n.b.",INDEX(SRC_ZPMW03!$A$1:$ZZ$501,$A339,E$3)))</f>
        <v/>
      </c>
      <c r="F339" t="str">
        <f>IF($B339="","",IF(F$3=0,"n.b.",INDEX(SRC_ZPMW03!$A$1:$ZZ$501,$A339,F$3)))</f>
        <v/>
      </c>
      <c r="G339" t="str">
        <f>IF($B339="","",IF(G$3=0,"n.b.",INDEX(SRC_ZPMW03!$A$1:$ZZ$501,$A339,G$3)))</f>
        <v/>
      </c>
      <c r="H339" t="str">
        <f>IF($B339="","",IF(H$3=0,"n.b.",INDEX(SRC_ZPMW03!$A$1:$ZZ$501,$A339,H$3)))</f>
        <v/>
      </c>
      <c r="I339" t="str">
        <f>IF($B339="","",IF(I$3=0,"n.b.",INDEX(SRC_ZPMW03!$A$1:$ZZ$501,$A339,I$3)))</f>
        <v/>
      </c>
      <c r="J339" t="str">
        <f>IF($B339="","",IF(J$3=0,"n.b.",INDEX(SRC_ZPMW03!$A$1:$ZZ$501,$A339,J$3)))</f>
        <v/>
      </c>
      <c r="K339" t="str">
        <f>IF($B339="","",IF(K$3=0,"n.b.",INDEX(SRC_ZPMW03!$A$1:$ZZ$501,$A339,K$3)))</f>
        <v/>
      </c>
      <c r="L339" s="124" t="str">
        <f>IF($B339="","",IF(L$3=0,"n.b.",INDEX(SRC_ZPMW03!$A$1:$ZZ$501,$A339,L$3)))</f>
        <v/>
      </c>
      <c r="M339" s="124" t="str">
        <f>IF($B339="","",IF(M$3=0,"n.b.",INDEX(SRC_ZPMW03!$A$1:$ZZ$501,$A339,M$3)))</f>
        <v/>
      </c>
      <c r="N339" s="124" t="str">
        <f>IF($B339="","",IF(N$3=0,"n.b.",INDEX(SRC_ZPMW03!$A$1:$ZZ$501,$A339,N$3)))</f>
        <v/>
      </c>
      <c r="O339" s="124" t="str">
        <f>IF($B339="","",IF(O$3=0,"n.b.",INDEX(SRC_ZPMW03!$A$1:$ZZ$501,$A339,O$3)))</f>
        <v/>
      </c>
      <c r="P339" s="124" t="str">
        <f>IF($B339="","",IF(P$3=0,"n.b.",INDEX(SRC_ZPMW03!$A$1:$ZZ$501,$A339,P$3)))</f>
        <v/>
      </c>
      <c r="Q339" s="124" t="str">
        <f>IF($B339="","",IF(Q$3=0,"n.b.",INDEX(SRC_ZPMW03!$A$1:$ZZ$501,$A339,Q$3)))</f>
        <v/>
      </c>
      <c r="R339" s="124" t="str">
        <f>IF($B339="","",IF(R$3=0,"n.b.",INDEX(SRC_ZPMW03!$A$1:$ZZ$501,$A339,R$3)))</f>
        <v/>
      </c>
      <c r="S339" s="124" t="str">
        <f>IF($B339="","",IF(S$3=0,"n.b.",INDEX(SRC_ZPMW03!$A$1:$ZZ$501,$A339,S$3)))</f>
        <v/>
      </c>
      <c r="T339" s="124" t="str">
        <f>IF($B339="","",IF(T$3=0,"n.b.",INDEX(SRC_ZPMW03!$A$1:$ZZ$501,$A339,T$3)))</f>
        <v/>
      </c>
      <c r="U339" s="124" t="str">
        <f>IF($B339="","",IF(U$3=0,"n.b.",INDEX(SRC_ZPMW03!$A$1:$ZZ$501,$A339,U$3)))</f>
        <v/>
      </c>
      <c r="V339" s="124" t="str">
        <f>IF($B339="","",IF(V$3=0,"n.b.",INDEX(SRC_ZPMW03!$A$1:$ZZ$501,$A339,V$3)))</f>
        <v/>
      </c>
      <c r="W339" s="124" t="str">
        <f>IF($B339="","",IF(W$3=0,"n.b.",INDEX(SRC_ZPMW03!$A$1:$ZZ$501,$A339,W$3)))</f>
        <v/>
      </c>
      <c r="X339" s="124" t="str">
        <f>IF($B339="","",IF(X$3=0,"n.b.",INDEX(SRC_ZPMW03!$A$1:$ZZ$501,$A339,X$3)))</f>
        <v/>
      </c>
      <c r="Y339" s="124" t="str">
        <f>IF($B339="","",IF(Y$3=0,"n.b.",INDEX(SRC_ZPMW03!$A$1:$ZZ$501,$A339,Y$3)))</f>
        <v/>
      </c>
      <c r="Z339" s="124" t="str">
        <f>IF($B339="","",IF(Z$3=0,"n.b.",INDEX(SRC_ZPMW03!$A$1:$ZZ$501,$A339,Z$3)))</f>
        <v/>
      </c>
      <c r="AA339" s="124" t="str">
        <f>IF($B339="","",IF(AA$3=0,"n.b.",INDEX(SRC_ZPMW03!$A$1:$ZZ$501,$A339,AA$3)))</f>
        <v/>
      </c>
      <c r="AB339" s="124" t="str">
        <f>IF($B339="","",IF(AB$3=0,"n.b.",INDEX(SRC_ZPMW03!$A$1:$ZZ$501,$A339,AB$3)))</f>
        <v/>
      </c>
      <c r="AC339" s="124" t="str">
        <f>IF($B339="","",IF(AC$3=0,"n.b.",INDEX(SRC_ZPMW03!$A$1:$ZZ$501,$A339,AC$3)))</f>
        <v/>
      </c>
      <c r="AD339" s="124" t="str">
        <f>IF($B339="","",IF(AD$3=0,"n.b.",INDEX(SRC_ZPMW03!$A$1:$ZZ$501,$A339,AD$3)))</f>
        <v/>
      </c>
      <c r="AE339" s="124" t="str">
        <f>IF($B339="","",IF(AE$3=0,"n.b.",INDEX(SRC_ZPMW03!$A$1:$ZZ$501,$A339,AE$3)))</f>
        <v/>
      </c>
      <c r="AF339" s="124" t="str">
        <f>IF($B339="","",IF(AF$3=0,"n.b.",INDEX(SRC_ZPMW03!$A$1:$ZZ$501,$A339,AF$3)))</f>
        <v/>
      </c>
      <c r="AG339" s="124" t="str">
        <f>IF($B339="","",IF(AG$3=0,"n.b.",INDEX(SRC_ZPMW03!$A$1:$ZZ$501,$A339,AG$3)))</f>
        <v/>
      </c>
      <c r="AH339" s="124" t="str">
        <f>IF($B339="","",IF(AH$3=0,"n.b.",INDEX(SRC_ZPMW03!$A$1:$ZZ$501,$A339,AH$3)))</f>
        <v/>
      </c>
      <c r="AI339" s="124" t="str">
        <f>IF($B339="","",IF(AI$3=0,"n.b.",INDEX(SRC_ZPMW03!$A$1:$ZZ$501,$A339,AI$3)))</f>
        <v/>
      </c>
      <c r="AJ339" s="124" t="str">
        <f>IF($B339="","",IF(AJ$3=0,"n.b.",INDEX(SRC_ZPMW03!$A$1:$ZZ$501,$A339,AJ$3)))</f>
        <v/>
      </c>
      <c r="AK339" s="124" t="str">
        <f>IF($B339="","",IF(AK$3=0,"n.b.",INDEX(SRC_ZPMW03!$A$1:$ZZ$501,$A339,AK$3)))</f>
        <v/>
      </c>
      <c r="AL339" s="124" t="str">
        <f>IF($B339="","",IF(AL$3=0,"n.b.",INDEX(SRC_ZPMW03!$A$1:$ZZ$501,$A339,AL$3)))</f>
        <v/>
      </c>
      <c r="AM339" s="124" t="str">
        <f>IF($B339="","",IF(AM$3=0,"n.b.",INDEX(SRC_ZPMW03!$A$1:$ZZ$501,$A339,AM$3)))</f>
        <v/>
      </c>
      <c r="AN339" s="124" t="str">
        <f>IF($B339="","",IF(AN$3=0,"n.b.",INDEX(SRC_ZPMW03!$A$1:$ZZ$501,$A339,AN$3)))</f>
        <v/>
      </c>
      <c r="AO339" s="124" t="str">
        <f>IF($B339="","",IF(AO$3=0,"n.b.",INDEX(SRC_ZPMW03!$A$1:$ZZ$501,$A339,AO$3)))</f>
        <v/>
      </c>
      <c r="AP339" s="124" t="str">
        <f>IF($B339="","",IF(AP$3=0,"n.b.",INDEX(SRC_ZPMW03!$A$1:$ZZ$501,$A339,AP$3)))</f>
        <v/>
      </c>
      <c r="AQ339" s="124" t="str">
        <f>IF($B339="","",IF(AQ$3=0,"n.b.",INDEX(SRC_ZPMW03!$A$1:$ZZ$501,$A339,AQ$3)))</f>
        <v/>
      </c>
      <c r="AR339" s="124" t="str">
        <f>IF($B339="","",IF(AR$3=0,"n.b.",INDEX(SRC_ZPMW03!$A$1:$ZZ$501,$A339,AR$3)))</f>
        <v/>
      </c>
      <c r="AS339" s="124" t="str">
        <f>IF($B339="","",IF(AS$3=0,"n.b.",INDEX(SRC_ZPMW03!$A$1:$ZZ$501,$A339,AS$3)))</f>
        <v/>
      </c>
      <c r="AT339" s="124" t="str">
        <f>IF($B339="","",IF(AT$3=0,"n.b.",INDEX(SRC_ZPMW03!$A$1:$ZZ$501,$A339,AT$3)))</f>
        <v/>
      </c>
      <c r="AU339" s="124" t="str">
        <f>IF($B339="","",IF(AU$3=0,"n.b.",INDEX(SRC_ZPMW03!$A$1:$ZZ$501,$A339,AU$3)))</f>
        <v/>
      </c>
      <c r="AV339" s="124" t="str">
        <f>IF($B339="","",IF(AV$3=0,"n.b.",INDEX(SRC_ZPMW03!$A$1:$ZZ$501,$A339,AV$3)))</f>
        <v/>
      </c>
      <c r="AW339" s="124" t="str">
        <f>IF($B339="","",IF(AW$3=0,"n.b.",INDEX(SRC_ZPMW03!$A$1:$ZZ$501,$A339,AW$3)))</f>
        <v/>
      </c>
      <c r="AX339" s="124" t="str">
        <f>IF($B339="","",IF(AX$3=0,"n.b.",INDEX(SRC_ZPMW03!$A$1:$ZZ$501,$A339,AX$3)))</f>
        <v/>
      </c>
      <c r="AY339" s="124" t="str">
        <f>IF($B339="","",IF(AY$3=0,"n.b.",INDEX(SRC_ZPMW03!$A$1:$ZZ$501,$A339,AY$3)))</f>
        <v/>
      </c>
      <c r="AZ339" s="124" t="str">
        <f>IF($B339="","",IF(AZ$3=0,"n.b.",INDEX(SRC_ZPMW03!$A$1:$ZZ$501,$A339,AZ$3)))</f>
        <v/>
      </c>
      <c r="BA339" s="124" t="str">
        <f>IF($B339="","",IF(BA$3=0,"n.b.",INDEX(SRC_ZPMW03!$A$1:$ZZ$501,$A339,BA$3)))</f>
        <v/>
      </c>
      <c r="BB339" s="124" t="str">
        <f>IF($B339="","",IF(BB$3=0,"n.b.",INDEX(SRC_ZPMW03!$A$1:$ZZ$501,$A339,BB$3)))</f>
        <v/>
      </c>
      <c r="BC339" s="124" t="str">
        <f>IF($B339="","",IF(BC$3=0,"n.b.",INDEX(SRC_ZPMW03!$A$1:$ZZ$501,$A339,BC$3)))</f>
        <v/>
      </c>
      <c r="BD339" s="124" t="str">
        <f>IF($B339="","",IF(BD$3=0,"n.b.",INDEX(SRC_ZPMW03!$A$1:$ZZ$501,$A339,BD$3)))</f>
        <v/>
      </c>
      <c r="BE339" s="124" t="str">
        <f>IF($B339="","",IF(BE$3=0,"n.b.",INDEX(SRC_ZPMW03!$A$1:$ZZ$501,$A339,BE$3)))</f>
        <v/>
      </c>
      <c r="BF339" s="124" t="str">
        <f>IF($B339="","",IF(BF$3=0,"n.b.",INDEX(SRC_ZPMW03!$A$1:$ZZ$501,$A339,BF$3)))</f>
        <v/>
      </c>
      <c r="BG339" t="str">
        <f>IF($B339="","",IF(BG$3=0,"n.b.",INDEX(SRC_ZPMW03!$A$1:$ZZ$501,$A339,BG$3)))</f>
        <v/>
      </c>
      <c r="BH339" t="str">
        <f>IF($B339="","",IF(BH$3=0,"n.b.",INDEX(SRC_ZPMW03!$A$1:$ZZ$501,$A339,BH$3)))</f>
        <v/>
      </c>
      <c r="BI339" t="str">
        <f>IF($B339="","",IF(BI$3=0,"n.b.",INDEX(SRC_ZPMW03!$A$1:$ZZ$501,$A339,BI$3)))</f>
        <v/>
      </c>
      <c r="BJ339" t="str">
        <f>IF($B339="","",IF(BJ$3=0,"n.b.",INDEX(SRC_ZPMW03!$A$1:$ZZ$501,$A339,BJ$3)))</f>
        <v/>
      </c>
      <c r="BK339" s="124" t="str">
        <f>IF($B339="","",IFERROR(-O339,"n.b."))</f>
        <v/>
      </c>
      <c r="BL339" s="124" t="str">
        <f>IF($B339="","",IFERROR(-Q339,"n.b."))</f>
        <v/>
      </c>
      <c r="BM339" s="124" t="str">
        <f>IF($B339="","",IFERROR(-AB339,"n.b."))</f>
        <v/>
      </c>
      <c r="BN339" s="124" t="str">
        <f>IF($B339="","",IFERROR(-AD339,"n.b."))</f>
        <v/>
      </c>
      <c r="BO339" s="124" t="str">
        <f>IF($B339="","",IFERROR(BK339+BM339,"n.b."))</f>
        <v/>
      </c>
      <c r="BP339" s="124" t="str">
        <f>IF($B339="","",IFERROR(BL339+BN339,"n.b."))</f>
        <v/>
      </c>
      <c r="BQ339" s="124" t="str">
        <f>IF($B339="","",IFERROR(-AM339,"n.b."))</f>
        <v/>
      </c>
      <c r="BR339" s="124" t="str">
        <f>IF($B339="","",IFERROR(-AO339,"n.b."))</f>
        <v/>
      </c>
      <c r="BS339" s="124" t="str">
        <f>IF($B339="","",IFERROR(-Z339,"n.b."))</f>
        <v/>
      </c>
      <c r="BT339" s="124" t="str">
        <f>IF($B339="","",IFERROR(-AA339,"n.b."))</f>
        <v/>
      </c>
      <c r="BU339" s="124" t="str">
        <f>IF($B339="","",IFERROR(-AE339,"n.b."))</f>
        <v/>
      </c>
      <c r="BV339" s="124" t="str">
        <f>IF($B339="","",IFERROR(-AF339,"n.b."))</f>
        <v/>
      </c>
      <c r="BW339" s="124" t="str">
        <f>IF($B339="","",IFERROR(-AG339,"n.b."))</f>
        <v/>
      </c>
      <c r="BX339" s="124" t="str">
        <f>IF($B339="","",IFERROR(-AH339,"n.b."))</f>
        <v/>
      </c>
      <c r="BY339" s="124" t="str">
        <f>IF($B339="","",IFERROR(-AI339,"n.b."))</f>
        <v/>
      </c>
      <c r="BZ339" s="124" t="str">
        <f>IF($B339="","",IFERROR(-AJ339,"n.b."))</f>
        <v/>
      </c>
      <c r="CA339" s="124" t="str">
        <f>IF($B339="","",IFERROR(-AK339,"n.b."))</f>
        <v/>
      </c>
      <c r="CB339" s="124" t="str">
        <f>IF($B339="","",IFERROR(-AL339,"n.b."))</f>
        <v/>
      </c>
      <c r="CC339" s="124" t="str">
        <f>IF($B339="","",IFERROR(-AP339,"n.b."))</f>
        <v/>
      </c>
      <c r="CD339" s="124" t="str">
        <f>IF($B339="","",IFERROR(-AQ339,"n.b."))</f>
        <v/>
      </c>
      <c r="CE339" s="124" t="str">
        <f>IF($B339="","",IFERROR(-AR339,"n.b."))</f>
        <v/>
      </c>
      <c r="CF339" s="124" t="str">
        <f>IF($B339="","",IFERROR(-AS339,"n.b."))</f>
        <v/>
      </c>
      <c r="CG339" s="124" t="str">
        <f>IF($B339="","",IFERROR(-AT339,"n.b."))</f>
        <v/>
      </c>
      <c r="CH339" s="124" t="str">
        <f>IF($B339="","",IFERROR(-AU339,"n.b."))</f>
        <v/>
      </c>
      <c r="CI339" s="124" t="str">
        <f>IF($B339="","",IFERROR(-AV339,"n.b."))</f>
        <v/>
      </c>
      <c r="CJ339" s="124" t="str">
        <f>IF($B339="","",IFERROR(-AW339,"n.b."))</f>
        <v/>
      </c>
      <c r="CK339" s="124" t="str">
        <f>IF($B339="","",IFERROR(-AX339,"n.b."))</f>
        <v/>
      </c>
      <c r="CL339" s="124" t="str">
        <f>IF($B339="","",IFERROR(-AY339,"n.b."))</f>
        <v/>
      </c>
      <c r="CM339" s="124" t="str">
        <f>IF($B339="","",IFERROR(-AZ339,"n.b."))</f>
        <v/>
      </c>
      <c r="CN339" s="124" t="str">
        <f>IF($B339="","",IFERROR(-BA339,"n.b."))</f>
        <v/>
      </c>
      <c r="CO339" s="124" t="str">
        <f>IF($B339="","",IFERROR(-BB339,"n.b."))</f>
        <v/>
      </c>
      <c r="CP339" s="124" t="str">
        <f>IF($B339="","",IFERROR(-BC339,"n.b."))</f>
        <v/>
      </c>
      <c r="CQ339" s="124" t="str">
        <f>IF($B339="","",IFERROR(-BD339,"n.b."))</f>
        <v/>
      </c>
      <c r="CR339" s="124" t="str">
        <f>IF($B339="","",IFERROR(-BE339,"n.b."))</f>
        <v/>
      </c>
      <c r="CS339" s="124" t="str">
        <f>IF($B339="","",IFERROR(IF(OR(ABS(T339+V339+X339+Z339-AB339)&gt;P_Tol,ABS(U339+W339+Y339+AA339-AD339)&gt;P_Tol,ABS(AE339+AG339+AI339+AK339-AM339)&gt;P_Tol,ABS(AF339+AH339+AJ339+AL339-AO339)&gt;P_Tol),1,0),1))</f>
        <v/>
      </c>
      <c r="CT339" s="124" t="str">
        <f>IF($B339="","",IFERROR(IF(OR(ABS(AB339+AC339-AD339)&gt;P_Tol,ABS(AM339+AN339-AO339)&gt;P_Tol,ABS(O339+P339-Q339)&gt;P_Tol),1,0),1))</f>
        <v/>
      </c>
      <c r="CU339" s="124" t="str">
        <f>IF($B339="","",IFERROR(IF(ABS(R339-(AB339+AM339+AP339+AR339+AT339+AV339+AX339+AZ339+BB339+BD339))&gt;P_Tol,1,0),1))</f>
        <v/>
      </c>
      <c r="CV339" s="124" t="str">
        <f>IF($B339="","",IFERROR(IF(ABS(M339-(N339+O339+R339))&gt;P_Tol,1,0),1))</f>
        <v/>
      </c>
      <c r="CW339" s="124" t="str">
        <f>IF($B339="","",IF(COUNTIF(Mapping!$A$5:$A$104,B339)&gt;0,1,0))</f>
        <v/>
      </c>
      <c r="CX339" s="124" t="str">
        <f>IF($B339="","",COUNTIF($B$6:$B$505,B339))</f>
        <v/>
      </c>
      <c r="CY339" s="124" t="str">
        <f>IF($B339="","",COUNTIF(STG_Woningetalage!$B$6:$B$505,B339))</f>
        <v/>
      </c>
      <c r="CZ339" s="124" t="str">
        <f>IF($B339="","",IF(CW339=0,COUNTIF($CW$6:CW339,0),""))</f>
        <v/>
      </c>
    </row>
    <row r="340">
      <c r="A340" s="15" t="n">
        <v>336</v>
      </c>
      <c r="B340" t="str">
        <f>IF(B$3=0,"",IF(INDEX(SRC_ZPMW03!$A$1:$ZZ$501,$A340,B$3)&amp;""="","",INDEX(SRC_ZPMW03!$A$1:$ZZ$501,$A340,B$3)&amp;""))</f>
        <v/>
      </c>
      <c r="C340" t="str">
        <f>IF($B340="","",IF(C$3=0,"n.b.",INDEX(SRC_ZPMW03!$A$1:$ZZ$501,$A340,C$3)))</f>
        <v/>
      </c>
      <c r="D340" t="str">
        <f>IF($B340="","",IF(D$3=0,"n.b.",INDEX(SRC_ZPMW03!$A$1:$ZZ$501,$A340,D$3)))</f>
        <v/>
      </c>
      <c r="E340" t="str">
        <f>IF($B340="","",IF(E$3=0,"n.b.",INDEX(SRC_ZPMW03!$A$1:$ZZ$501,$A340,E$3)))</f>
        <v/>
      </c>
      <c r="F340" t="str">
        <f>IF($B340="","",IF(F$3=0,"n.b.",INDEX(SRC_ZPMW03!$A$1:$ZZ$501,$A340,F$3)))</f>
        <v/>
      </c>
      <c r="G340" t="str">
        <f>IF($B340="","",IF(G$3=0,"n.b.",INDEX(SRC_ZPMW03!$A$1:$ZZ$501,$A340,G$3)))</f>
        <v/>
      </c>
      <c r="H340" t="str">
        <f>IF($B340="","",IF(H$3=0,"n.b.",INDEX(SRC_ZPMW03!$A$1:$ZZ$501,$A340,H$3)))</f>
        <v/>
      </c>
      <c r="I340" t="str">
        <f>IF($B340="","",IF(I$3=0,"n.b.",INDEX(SRC_ZPMW03!$A$1:$ZZ$501,$A340,I$3)))</f>
        <v/>
      </c>
      <c r="J340" t="str">
        <f>IF($B340="","",IF(J$3=0,"n.b.",INDEX(SRC_ZPMW03!$A$1:$ZZ$501,$A340,J$3)))</f>
        <v/>
      </c>
      <c r="K340" t="str">
        <f>IF($B340="","",IF(K$3=0,"n.b.",INDEX(SRC_ZPMW03!$A$1:$ZZ$501,$A340,K$3)))</f>
        <v/>
      </c>
      <c r="L340" s="124" t="str">
        <f>IF($B340="","",IF(L$3=0,"n.b.",INDEX(SRC_ZPMW03!$A$1:$ZZ$501,$A340,L$3)))</f>
        <v/>
      </c>
      <c r="M340" s="124" t="str">
        <f>IF($B340="","",IF(M$3=0,"n.b.",INDEX(SRC_ZPMW03!$A$1:$ZZ$501,$A340,M$3)))</f>
        <v/>
      </c>
      <c r="N340" s="124" t="str">
        <f>IF($B340="","",IF(N$3=0,"n.b.",INDEX(SRC_ZPMW03!$A$1:$ZZ$501,$A340,N$3)))</f>
        <v/>
      </c>
      <c r="O340" s="124" t="str">
        <f>IF($B340="","",IF(O$3=0,"n.b.",INDEX(SRC_ZPMW03!$A$1:$ZZ$501,$A340,O$3)))</f>
        <v/>
      </c>
      <c r="P340" s="124" t="str">
        <f>IF($B340="","",IF(P$3=0,"n.b.",INDEX(SRC_ZPMW03!$A$1:$ZZ$501,$A340,P$3)))</f>
        <v/>
      </c>
      <c r="Q340" s="124" t="str">
        <f>IF($B340="","",IF(Q$3=0,"n.b.",INDEX(SRC_ZPMW03!$A$1:$ZZ$501,$A340,Q$3)))</f>
        <v/>
      </c>
      <c r="R340" s="124" t="str">
        <f>IF($B340="","",IF(R$3=0,"n.b.",INDEX(SRC_ZPMW03!$A$1:$ZZ$501,$A340,R$3)))</f>
        <v/>
      </c>
      <c r="S340" s="124" t="str">
        <f>IF($B340="","",IF(S$3=0,"n.b.",INDEX(SRC_ZPMW03!$A$1:$ZZ$501,$A340,S$3)))</f>
        <v/>
      </c>
      <c r="T340" s="124" t="str">
        <f>IF($B340="","",IF(T$3=0,"n.b.",INDEX(SRC_ZPMW03!$A$1:$ZZ$501,$A340,T$3)))</f>
        <v/>
      </c>
      <c r="U340" s="124" t="str">
        <f>IF($B340="","",IF(U$3=0,"n.b.",INDEX(SRC_ZPMW03!$A$1:$ZZ$501,$A340,U$3)))</f>
        <v/>
      </c>
      <c r="V340" s="124" t="str">
        <f>IF($B340="","",IF(V$3=0,"n.b.",INDEX(SRC_ZPMW03!$A$1:$ZZ$501,$A340,V$3)))</f>
        <v/>
      </c>
      <c r="W340" s="124" t="str">
        <f>IF($B340="","",IF(W$3=0,"n.b.",INDEX(SRC_ZPMW03!$A$1:$ZZ$501,$A340,W$3)))</f>
        <v/>
      </c>
      <c r="X340" s="124" t="str">
        <f>IF($B340="","",IF(X$3=0,"n.b.",INDEX(SRC_ZPMW03!$A$1:$ZZ$501,$A340,X$3)))</f>
        <v/>
      </c>
      <c r="Y340" s="124" t="str">
        <f>IF($B340="","",IF(Y$3=0,"n.b.",INDEX(SRC_ZPMW03!$A$1:$ZZ$501,$A340,Y$3)))</f>
        <v/>
      </c>
      <c r="Z340" s="124" t="str">
        <f>IF($B340="","",IF(Z$3=0,"n.b.",INDEX(SRC_ZPMW03!$A$1:$ZZ$501,$A340,Z$3)))</f>
        <v/>
      </c>
      <c r="AA340" s="124" t="str">
        <f>IF($B340="","",IF(AA$3=0,"n.b.",INDEX(SRC_ZPMW03!$A$1:$ZZ$501,$A340,AA$3)))</f>
        <v/>
      </c>
      <c r="AB340" s="124" t="str">
        <f>IF($B340="","",IF(AB$3=0,"n.b.",INDEX(SRC_ZPMW03!$A$1:$ZZ$501,$A340,AB$3)))</f>
        <v/>
      </c>
      <c r="AC340" s="124" t="str">
        <f>IF($B340="","",IF(AC$3=0,"n.b.",INDEX(SRC_ZPMW03!$A$1:$ZZ$501,$A340,AC$3)))</f>
        <v/>
      </c>
      <c r="AD340" s="124" t="str">
        <f>IF($B340="","",IF(AD$3=0,"n.b.",INDEX(SRC_ZPMW03!$A$1:$ZZ$501,$A340,AD$3)))</f>
        <v/>
      </c>
      <c r="AE340" s="124" t="str">
        <f>IF($B340="","",IF(AE$3=0,"n.b.",INDEX(SRC_ZPMW03!$A$1:$ZZ$501,$A340,AE$3)))</f>
        <v/>
      </c>
      <c r="AF340" s="124" t="str">
        <f>IF($B340="","",IF(AF$3=0,"n.b.",INDEX(SRC_ZPMW03!$A$1:$ZZ$501,$A340,AF$3)))</f>
        <v/>
      </c>
      <c r="AG340" s="124" t="str">
        <f>IF($B340="","",IF(AG$3=0,"n.b.",INDEX(SRC_ZPMW03!$A$1:$ZZ$501,$A340,AG$3)))</f>
        <v/>
      </c>
      <c r="AH340" s="124" t="str">
        <f>IF($B340="","",IF(AH$3=0,"n.b.",INDEX(SRC_ZPMW03!$A$1:$ZZ$501,$A340,AH$3)))</f>
        <v/>
      </c>
      <c r="AI340" s="124" t="str">
        <f>IF($B340="","",IF(AI$3=0,"n.b.",INDEX(SRC_ZPMW03!$A$1:$ZZ$501,$A340,AI$3)))</f>
        <v/>
      </c>
      <c r="AJ340" s="124" t="str">
        <f>IF($B340="","",IF(AJ$3=0,"n.b.",INDEX(SRC_ZPMW03!$A$1:$ZZ$501,$A340,AJ$3)))</f>
        <v/>
      </c>
      <c r="AK340" s="124" t="str">
        <f>IF($B340="","",IF(AK$3=0,"n.b.",INDEX(SRC_ZPMW03!$A$1:$ZZ$501,$A340,AK$3)))</f>
        <v/>
      </c>
      <c r="AL340" s="124" t="str">
        <f>IF($B340="","",IF(AL$3=0,"n.b.",INDEX(SRC_ZPMW03!$A$1:$ZZ$501,$A340,AL$3)))</f>
        <v/>
      </c>
      <c r="AM340" s="124" t="str">
        <f>IF($B340="","",IF(AM$3=0,"n.b.",INDEX(SRC_ZPMW03!$A$1:$ZZ$501,$A340,AM$3)))</f>
        <v/>
      </c>
      <c r="AN340" s="124" t="str">
        <f>IF($B340="","",IF(AN$3=0,"n.b.",INDEX(SRC_ZPMW03!$A$1:$ZZ$501,$A340,AN$3)))</f>
        <v/>
      </c>
      <c r="AO340" s="124" t="str">
        <f>IF($B340="","",IF(AO$3=0,"n.b.",INDEX(SRC_ZPMW03!$A$1:$ZZ$501,$A340,AO$3)))</f>
        <v/>
      </c>
      <c r="AP340" s="124" t="str">
        <f>IF($B340="","",IF(AP$3=0,"n.b.",INDEX(SRC_ZPMW03!$A$1:$ZZ$501,$A340,AP$3)))</f>
        <v/>
      </c>
      <c r="AQ340" s="124" t="str">
        <f>IF($B340="","",IF(AQ$3=0,"n.b.",INDEX(SRC_ZPMW03!$A$1:$ZZ$501,$A340,AQ$3)))</f>
        <v/>
      </c>
      <c r="AR340" s="124" t="str">
        <f>IF($B340="","",IF(AR$3=0,"n.b.",INDEX(SRC_ZPMW03!$A$1:$ZZ$501,$A340,AR$3)))</f>
        <v/>
      </c>
      <c r="AS340" s="124" t="str">
        <f>IF($B340="","",IF(AS$3=0,"n.b.",INDEX(SRC_ZPMW03!$A$1:$ZZ$501,$A340,AS$3)))</f>
        <v/>
      </c>
      <c r="AT340" s="124" t="str">
        <f>IF($B340="","",IF(AT$3=0,"n.b.",INDEX(SRC_ZPMW03!$A$1:$ZZ$501,$A340,AT$3)))</f>
        <v/>
      </c>
      <c r="AU340" s="124" t="str">
        <f>IF($B340="","",IF(AU$3=0,"n.b.",INDEX(SRC_ZPMW03!$A$1:$ZZ$501,$A340,AU$3)))</f>
        <v/>
      </c>
      <c r="AV340" s="124" t="str">
        <f>IF($B340="","",IF(AV$3=0,"n.b.",INDEX(SRC_ZPMW03!$A$1:$ZZ$501,$A340,AV$3)))</f>
        <v/>
      </c>
      <c r="AW340" s="124" t="str">
        <f>IF($B340="","",IF(AW$3=0,"n.b.",INDEX(SRC_ZPMW03!$A$1:$ZZ$501,$A340,AW$3)))</f>
        <v/>
      </c>
      <c r="AX340" s="124" t="str">
        <f>IF($B340="","",IF(AX$3=0,"n.b.",INDEX(SRC_ZPMW03!$A$1:$ZZ$501,$A340,AX$3)))</f>
        <v/>
      </c>
      <c r="AY340" s="124" t="str">
        <f>IF($B340="","",IF(AY$3=0,"n.b.",INDEX(SRC_ZPMW03!$A$1:$ZZ$501,$A340,AY$3)))</f>
        <v/>
      </c>
      <c r="AZ340" s="124" t="str">
        <f>IF($B340="","",IF(AZ$3=0,"n.b.",INDEX(SRC_ZPMW03!$A$1:$ZZ$501,$A340,AZ$3)))</f>
        <v/>
      </c>
      <c r="BA340" s="124" t="str">
        <f>IF($B340="","",IF(BA$3=0,"n.b.",INDEX(SRC_ZPMW03!$A$1:$ZZ$501,$A340,BA$3)))</f>
        <v/>
      </c>
      <c r="BB340" s="124" t="str">
        <f>IF($B340="","",IF(BB$3=0,"n.b.",INDEX(SRC_ZPMW03!$A$1:$ZZ$501,$A340,BB$3)))</f>
        <v/>
      </c>
      <c r="BC340" s="124" t="str">
        <f>IF($B340="","",IF(BC$3=0,"n.b.",INDEX(SRC_ZPMW03!$A$1:$ZZ$501,$A340,BC$3)))</f>
        <v/>
      </c>
      <c r="BD340" s="124" t="str">
        <f>IF($B340="","",IF(BD$3=0,"n.b.",INDEX(SRC_ZPMW03!$A$1:$ZZ$501,$A340,BD$3)))</f>
        <v/>
      </c>
      <c r="BE340" s="124" t="str">
        <f>IF($B340="","",IF(BE$3=0,"n.b.",INDEX(SRC_ZPMW03!$A$1:$ZZ$501,$A340,BE$3)))</f>
        <v/>
      </c>
      <c r="BF340" s="124" t="str">
        <f>IF($B340="","",IF(BF$3=0,"n.b.",INDEX(SRC_ZPMW03!$A$1:$ZZ$501,$A340,BF$3)))</f>
        <v/>
      </c>
      <c r="BG340" t="str">
        <f>IF($B340="","",IF(BG$3=0,"n.b.",INDEX(SRC_ZPMW03!$A$1:$ZZ$501,$A340,BG$3)))</f>
        <v/>
      </c>
      <c r="BH340" t="str">
        <f>IF($B340="","",IF(BH$3=0,"n.b.",INDEX(SRC_ZPMW03!$A$1:$ZZ$501,$A340,BH$3)))</f>
        <v/>
      </c>
      <c r="BI340" t="str">
        <f>IF($B340="","",IF(BI$3=0,"n.b.",INDEX(SRC_ZPMW03!$A$1:$ZZ$501,$A340,BI$3)))</f>
        <v/>
      </c>
      <c r="BJ340" t="str">
        <f>IF($B340="","",IF(BJ$3=0,"n.b.",INDEX(SRC_ZPMW03!$A$1:$ZZ$501,$A340,BJ$3)))</f>
        <v/>
      </c>
      <c r="BK340" s="124" t="str">
        <f>IF($B340="","",IFERROR(-O340,"n.b."))</f>
        <v/>
      </c>
      <c r="BL340" s="124" t="str">
        <f>IF($B340="","",IFERROR(-Q340,"n.b."))</f>
        <v/>
      </c>
      <c r="BM340" s="124" t="str">
        <f>IF($B340="","",IFERROR(-AB340,"n.b."))</f>
        <v/>
      </c>
      <c r="BN340" s="124" t="str">
        <f>IF($B340="","",IFERROR(-AD340,"n.b."))</f>
        <v/>
      </c>
      <c r="BO340" s="124" t="str">
        <f>IF($B340="","",IFERROR(BK340+BM340,"n.b."))</f>
        <v/>
      </c>
      <c r="BP340" s="124" t="str">
        <f>IF($B340="","",IFERROR(BL340+BN340,"n.b."))</f>
        <v/>
      </c>
      <c r="BQ340" s="124" t="str">
        <f>IF($B340="","",IFERROR(-AM340,"n.b."))</f>
        <v/>
      </c>
      <c r="BR340" s="124" t="str">
        <f>IF($B340="","",IFERROR(-AO340,"n.b."))</f>
        <v/>
      </c>
      <c r="BS340" s="124" t="str">
        <f>IF($B340="","",IFERROR(-Z340,"n.b."))</f>
        <v/>
      </c>
      <c r="BT340" s="124" t="str">
        <f>IF($B340="","",IFERROR(-AA340,"n.b."))</f>
        <v/>
      </c>
      <c r="BU340" s="124" t="str">
        <f>IF($B340="","",IFERROR(-AE340,"n.b."))</f>
        <v/>
      </c>
      <c r="BV340" s="124" t="str">
        <f>IF($B340="","",IFERROR(-AF340,"n.b."))</f>
        <v/>
      </c>
      <c r="BW340" s="124" t="str">
        <f>IF($B340="","",IFERROR(-AG340,"n.b."))</f>
        <v/>
      </c>
      <c r="BX340" s="124" t="str">
        <f>IF($B340="","",IFERROR(-AH340,"n.b."))</f>
        <v/>
      </c>
      <c r="BY340" s="124" t="str">
        <f>IF($B340="","",IFERROR(-AI340,"n.b."))</f>
        <v/>
      </c>
      <c r="BZ340" s="124" t="str">
        <f>IF($B340="","",IFERROR(-AJ340,"n.b."))</f>
        <v/>
      </c>
      <c r="CA340" s="124" t="str">
        <f>IF($B340="","",IFERROR(-AK340,"n.b."))</f>
        <v/>
      </c>
      <c r="CB340" s="124" t="str">
        <f>IF($B340="","",IFERROR(-AL340,"n.b."))</f>
        <v/>
      </c>
      <c r="CC340" s="124" t="str">
        <f>IF($B340="","",IFERROR(-AP340,"n.b."))</f>
        <v/>
      </c>
      <c r="CD340" s="124" t="str">
        <f>IF($B340="","",IFERROR(-AQ340,"n.b."))</f>
        <v/>
      </c>
      <c r="CE340" s="124" t="str">
        <f>IF($B340="","",IFERROR(-AR340,"n.b."))</f>
        <v/>
      </c>
      <c r="CF340" s="124" t="str">
        <f>IF($B340="","",IFERROR(-AS340,"n.b."))</f>
        <v/>
      </c>
      <c r="CG340" s="124" t="str">
        <f>IF($B340="","",IFERROR(-AT340,"n.b."))</f>
        <v/>
      </c>
      <c r="CH340" s="124" t="str">
        <f>IF($B340="","",IFERROR(-AU340,"n.b."))</f>
        <v/>
      </c>
      <c r="CI340" s="124" t="str">
        <f>IF($B340="","",IFERROR(-AV340,"n.b."))</f>
        <v/>
      </c>
      <c r="CJ340" s="124" t="str">
        <f>IF($B340="","",IFERROR(-AW340,"n.b."))</f>
        <v/>
      </c>
      <c r="CK340" s="124" t="str">
        <f>IF($B340="","",IFERROR(-AX340,"n.b."))</f>
        <v/>
      </c>
      <c r="CL340" s="124" t="str">
        <f>IF($B340="","",IFERROR(-AY340,"n.b."))</f>
        <v/>
      </c>
      <c r="CM340" s="124" t="str">
        <f>IF($B340="","",IFERROR(-AZ340,"n.b."))</f>
        <v/>
      </c>
      <c r="CN340" s="124" t="str">
        <f>IF($B340="","",IFERROR(-BA340,"n.b."))</f>
        <v/>
      </c>
      <c r="CO340" s="124" t="str">
        <f>IF($B340="","",IFERROR(-BB340,"n.b."))</f>
        <v/>
      </c>
      <c r="CP340" s="124" t="str">
        <f>IF($B340="","",IFERROR(-BC340,"n.b."))</f>
        <v/>
      </c>
      <c r="CQ340" s="124" t="str">
        <f>IF($B340="","",IFERROR(-BD340,"n.b."))</f>
        <v/>
      </c>
      <c r="CR340" s="124" t="str">
        <f>IF($B340="","",IFERROR(-BE340,"n.b."))</f>
        <v/>
      </c>
      <c r="CS340" s="124" t="str">
        <f>IF($B340="","",IFERROR(IF(OR(ABS(T340+V340+X340+Z340-AB340)&gt;P_Tol,ABS(U340+W340+Y340+AA340-AD340)&gt;P_Tol,ABS(AE340+AG340+AI340+AK340-AM340)&gt;P_Tol,ABS(AF340+AH340+AJ340+AL340-AO340)&gt;P_Tol),1,0),1))</f>
        <v/>
      </c>
      <c r="CT340" s="124" t="str">
        <f>IF($B340="","",IFERROR(IF(OR(ABS(AB340+AC340-AD340)&gt;P_Tol,ABS(AM340+AN340-AO340)&gt;P_Tol,ABS(O340+P340-Q340)&gt;P_Tol),1,0),1))</f>
        <v/>
      </c>
      <c r="CU340" s="124" t="str">
        <f>IF($B340="","",IFERROR(IF(ABS(R340-(AB340+AM340+AP340+AR340+AT340+AV340+AX340+AZ340+BB340+BD340))&gt;P_Tol,1,0),1))</f>
        <v/>
      </c>
      <c r="CV340" s="124" t="str">
        <f>IF($B340="","",IFERROR(IF(ABS(M340-(N340+O340+R340))&gt;P_Tol,1,0),1))</f>
        <v/>
      </c>
      <c r="CW340" s="124" t="str">
        <f>IF($B340="","",IF(COUNTIF(Mapping!$A$5:$A$104,B340)&gt;0,1,0))</f>
        <v/>
      </c>
      <c r="CX340" s="124" t="str">
        <f>IF($B340="","",COUNTIF($B$6:$B$505,B340))</f>
        <v/>
      </c>
      <c r="CY340" s="124" t="str">
        <f>IF($B340="","",COUNTIF(STG_Woningetalage!$B$6:$B$505,B340))</f>
        <v/>
      </c>
      <c r="CZ340" s="124" t="str">
        <f>IF($B340="","",IF(CW340=0,COUNTIF($CW$6:CW340,0),""))</f>
        <v/>
      </c>
    </row>
    <row r="341">
      <c r="A341" s="15" t="n">
        <v>337</v>
      </c>
      <c r="B341" t="str">
        <f>IF(B$3=0,"",IF(INDEX(SRC_ZPMW03!$A$1:$ZZ$501,$A341,B$3)&amp;""="","",INDEX(SRC_ZPMW03!$A$1:$ZZ$501,$A341,B$3)&amp;""))</f>
        <v/>
      </c>
      <c r="C341" t="str">
        <f>IF($B341="","",IF(C$3=0,"n.b.",INDEX(SRC_ZPMW03!$A$1:$ZZ$501,$A341,C$3)))</f>
        <v/>
      </c>
      <c r="D341" t="str">
        <f>IF($B341="","",IF(D$3=0,"n.b.",INDEX(SRC_ZPMW03!$A$1:$ZZ$501,$A341,D$3)))</f>
        <v/>
      </c>
      <c r="E341" t="str">
        <f>IF($B341="","",IF(E$3=0,"n.b.",INDEX(SRC_ZPMW03!$A$1:$ZZ$501,$A341,E$3)))</f>
        <v/>
      </c>
      <c r="F341" t="str">
        <f>IF($B341="","",IF(F$3=0,"n.b.",INDEX(SRC_ZPMW03!$A$1:$ZZ$501,$A341,F$3)))</f>
        <v/>
      </c>
      <c r="G341" t="str">
        <f>IF($B341="","",IF(G$3=0,"n.b.",INDEX(SRC_ZPMW03!$A$1:$ZZ$501,$A341,G$3)))</f>
        <v/>
      </c>
      <c r="H341" t="str">
        <f>IF($B341="","",IF(H$3=0,"n.b.",INDEX(SRC_ZPMW03!$A$1:$ZZ$501,$A341,H$3)))</f>
        <v/>
      </c>
      <c r="I341" t="str">
        <f>IF($B341="","",IF(I$3=0,"n.b.",INDEX(SRC_ZPMW03!$A$1:$ZZ$501,$A341,I$3)))</f>
        <v/>
      </c>
      <c r="J341" t="str">
        <f>IF($B341="","",IF(J$3=0,"n.b.",INDEX(SRC_ZPMW03!$A$1:$ZZ$501,$A341,J$3)))</f>
        <v/>
      </c>
      <c r="K341" t="str">
        <f>IF($B341="","",IF(K$3=0,"n.b.",INDEX(SRC_ZPMW03!$A$1:$ZZ$501,$A341,K$3)))</f>
        <v/>
      </c>
      <c r="L341" s="124" t="str">
        <f>IF($B341="","",IF(L$3=0,"n.b.",INDEX(SRC_ZPMW03!$A$1:$ZZ$501,$A341,L$3)))</f>
        <v/>
      </c>
      <c r="M341" s="124" t="str">
        <f>IF($B341="","",IF(M$3=0,"n.b.",INDEX(SRC_ZPMW03!$A$1:$ZZ$501,$A341,M$3)))</f>
        <v/>
      </c>
      <c r="N341" s="124" t="str">
        <f>IF($B341="","",IF(N$3=0,"n.b.",INDEX(SRC_ZPMW03!$A$1:$ZZ$501,$A341,N$3)))</f>
        <v/>
      </c>
      <c r="O341" s="124" t="str">
        <f>IF($B341="","",IF(O$3=0,"n.b.",INDEX(SRC_ZPMW03!$A$1:$ZZ$501,$A341,O$3)))</f>
        <v/>
      </c>
      <c r="P341" s="124" t="str">
        <f>IF($B341="","",IF(P$3=0,"n.b.",INDEX(SRC_ZPMW03!$A$1:$ZZ$501,$A341,P$3)))</f>
        <v/>
      </c>
      <c r="Q341" s="124" t="str">
        <f>IF($B341="","",IF(Q$3=0,"n.b.",INDEX(SRC_ZPMW03!$A$1:$ZZ$501,$A341,Q$3)))</f>
        <v/>
      </c>
      <c r="R341" s="124" t="str">
        <f>IF($B341="","",IF(R$3=0,"n.b.",INDEX(SRC_ZPMW03!$A$1:$ZZ$501,$A341,R$3)))</f>
        <v/>
      </c>
      <c r="S341" s="124" t="str">
        <f>IF($B341="","",IF(S$3=0,"n.b.",INDEX(SRC_ZPMW03!$A$1:$ZZ$501,$A341,S$3)))</f>
        <v/>
      </c>
      <c r="T341" s="124" t="str">
        <f>IF($B341="","",IF(T$3=0,"n.b.",INDEX(SRC_ZPMW03!$A$1:$ZZ$501,$A341,T$3)))</f>
        <v/>
      </c>
      <c r="U341" s="124" t="str">
        <f>IF($B341="","",IF(U$3=0,"n.b.",INDEX(SRC_ZPMW03!$A$1:$ZZ$501,$A341,U$3)))</f>
        <v/>
      </c>
      <c r="V341" s="124" t="str">
        <f>IF($B341="","",IF(V$3=0,"n.b.",INDEX(SRC_ZPMW03!$A$1:$ZZ$501,$A341,V$3)))</f>
        <v/>
      </c>
      <c r="W341" s="124" t="str">
        <f>IF($B341="","",IF(W$3=0,"n.b.",INDEX(SRC_ZPMW03!$A$1:$ZZ$501,$A341,W$3)))</f>
        <v/>
      </c>
      <c r="X341" s="124" t="str">
        <f>IF($B341="","",IF(X$3=0,"n.b.",INDEX(SRC_ZPMW03!$A$1:$ZZ$501,$A341,X$3)))</f>
        <v/>
      </c>
      <c r="Y341" s="124" t="str">
        <f>IF($B341="","",IF(Y$3=0,"n.b.",INDEX(SRC_ZPMW03!$A$1:$ZZ$501,$A341,Y$3)))</f>
        <v/>
      </c>
      <c r="Z341" s="124" t="str">
        <f>IF($B341="","",IF(Z$3=0,"n.b.",INDEX(SRC_ZPMW03!$A$1:$ZZ$501,$A341,Z$3)))</f>
        <v/>
      </c>
      <c r="AA341" s="124" t="str">
        <f>IF($B341="","",IF(AA$3=0,"n.b.",INDEX(SRC_ZPMW03!$A$1:$ZZ$501,$A341,AA$3)))</f>
        <v/>
      </c>
      <c r="AB341" s="124" t="str">
        <f>IF($B341="","",IF(AB$3=0,"n.b.",INDEX(SRC_ZPMW03!$A$1:$ZZ$501,$A341,AB$3)))</f>
        <v/>
      </c>
      <c r="AC341" s="124" t="str">
        <f>IF($B341="","",IF(AC$3=0,"n.b.",INDEX(SRC_ZPMW03!$A$1:$ZZ$501,$A341,AC$3)))</f>
        <v/>
      </c>
      <c r="AD341" s="124" t="str">
        <f>IF($B341="","",IF(AD$3=0,"n.b.",INDEX(SRC_ZPMW03!$A$1:$ZZ$501,$A341,AD$3)))</f>
        <v/>
      </c>
      <c r="AE341" s="124" t="str">
        <f>IF($B341="","",IF(AE$3=0,"n.b.",INDEX(SRC_ZPMW03!$A$1:$ZZ$501,$A341,AE$3)))</f>
        <v/>
      </c>
      <c r="AF341" s="124" t="str">
        <f>IF($B341="","",IF(AF$3=0,"n.b.",INDEX(SRC_ZPMW03!$A$1:$ZZ$501,$A341,AF$3)))</f>
        <v/>
      </c>
      <c r="AG341" s="124" t="str">
        <f>IF($B341="","",IF(AG$3=0,"n.b.",INDEX(SRC_ZPMW03!$A$1:$ZZ$501,$A341,AG$3)))</f>
        <v/>
      </c>
      <c r="AH341" s="124" t="str">
        <f>IF($B341="","",IF(AH$3=0,"n.b.",INDEX(SRC_ZPMW03!$A$1:$ZZ$501,$A341,AH$3)))</f>
        <v/>
      </c>
      <c r="AI341" s="124" t="str">
        <f>IF($B341="","",IF(AI$3=0,"n.b.",INDEX(SRC_ZPMW03!$A$1:$ZZ$501,$A341,AI$3)))</f>
        <v/>
      </c>
      <c r="AJ341" s="124" t="str">
        <f>IF($B341="","",IF(AJ$3=0,"n.b.",INDEX(SRC_ZPMW03!$A$1:$ZZ$501,$A341,AJ$3)))</f>
        <v/>
      </c>
      <c r="AK341" s="124" t="str">
        <f>IF($B341="","",IF(AK$3=0,"n.b.",INDEX(SRC_ZPMW03!$A$1:$ZZ$501,$A341,AK$3)))</f>
        <v/>
      </c>
      <c r="AL341" s="124" t="str">
        <f>IF($B341="","",IF(AL$3=0,"n.b.",INDEX(SRC_ZPMW03!$A$1:$ZZ$501,$A341,AL$3)))</f>
        <v/>
      </c>
      <c r="AM341" s="124" t="str">
        <f>IF($B341="","",IF(AM$3=0,"n.b.",INDEX(SRC_ZPMW03!$A$1:$ZZ$501,$A341,AM$3)))</f>
        <v/>
      </c>
      <c r="AN341" s="124" t="str">
        <f>IF($B341="","",IF(AN$3=0,"n.b.",INDEX(SRC_ZPMW03!$A$1:$ZZ$501,$A341,AN$3)))</f>
        <v/>
      </c>
      <c r="AO341" s="124" t="str">
        <f>IF($B341="","",IF(AO$3=0,"n.b.",INDEX(SRC_ZPMW03!$A$1:$ZZ$501,$A341,AO$3)))</f>
        <v/>
      </c>
      <c r="AP341" s="124" t="str">
        <f>IF($B341="","",IF(AP$3=0,"n.b.",INDEX(SRC_ZPMW03!$A$1:$ZZ$501,$A341,AP$3)))</f>
        <v/>
      </c>
      <c r="AQ341" s="124" t="str">
        <f>IF($B341="","",IF(AQ$3=0,"n.b.",INDEX(SRC_ZPMW03!$A$1:$ZZ$501,$A341,AQ$3)))</f>
        <v/>
      </c>
      <c r="AR341" s="124" t="str">
        <f>IF($B341="","",IF(AR$3=0,"n.b.",INDEX(SRC_ZPMW03!$A$1:$ZZ$501,$A341,AR$3)))</f>
        <v/>
      </c>
      <c r="AS341" s="124" t="str">
        <f>IF($B341="","",IF(AS$3=0,"n.b.",INDEX(SRC_ZPMW03!$A$1:$ZZ$501,$A341,AS$3)))</f>
        <v/>
      </c>
      <c r="AT341" s="124" t="str">
        <f>IF($B341="","",IF(AT$3=0,"n.b.",INDEX(SRC_ZPMW03!$A$1:$ZZ$501,$A341,AT$3)))</f>
        <v/>
      </c>
      <c r="AU341" s="124" t="str">
        <f>IF($B341="","",IF(AU$3=0,"n.b.",INDEX(SRC_ZPMW03!$A$1:$ZZ$501,$A341,AU$3)))</f>
        <v/>
      </c>
      <c r="AV341" s="124" t="str">
        <f>IF($B341="","",IF(AV$3=0,"n.b.",INDEX(SRC_ZPMW03!$A$1:$ZZ$501,$A341,AV$3)))</f>
        <v/>
      </c>
      <c r="AW341" s="124" t="str">
        <f>IF($B341="","",IF(AW$3=0,"n.b.",INDEX(SRC_ZPMW03!$A$1:$ZZ$501,$A341,AW$3)))</f>
        <v/>
      </c>
      <c r="AX341" s="124" t="str">
        <f>IF($B341="","",IF(AX$3=0,"n.b.",INDEX(SRC_ZPMW03!$A$1:$ZZ$501,$A341,AX$3)))</f>
        <v/>
      </c>
      <c r="AY341" s="124" t="str">
        <f>IF($B341="","",IF(AY$3=0,"n.b.",INDEX(SRC_ZPMW03!$A$1:$ZZ$501,$A341,AY$3)))</f>
        <v/>
      </c>
      <c r="AZ341" s="124" t="str">
        <f>IF($B341="","",IF(AZ$3=0,"n.b.",INDEX(SRC_ZPMW03!$A$1:$ZZ$501,$A341,AZ$3)))</f>
        <v/>
      </c>
      <c r="BA341" s="124" t="str">
        <f>IF($B341="","",IF(BA$3=0,"n.b.",INDEX(SRC_ZPMW03!$A$1:$ZZ$501,$A341,BA$3)))</f>
        <v/>
      </c>
      <c r="BB341" s="124" t="str">
        <f>IF($B341="","",IF(BB$3=0,"n.b.",INDEX(SRC_ZPMW03!$A$1:$ZZ$501,$A341,BB$3)))</f>
        <v/>
      </c>
      <c r="BC341" s="124" t="str">
        <f>IF($B341="","",IF(BC$3=0,"n.b.",INDEX(SRC_ZPMW03!$A$1:$ZZ$501,$A341,BC$3)))</f>
        <v/>
      </c>
      <c r="BD341" s="124" t="str">
        <f>IF($B341="","",IF(BD$3=0,"n.b.",INDEX(SRC_ZPMW03!$A$1:$ZZ$501,$A341,BD$3)))</f>
        <v/>
      </c>
      <c r="BE341" s="124" t="str">
        <f>IF($B341="","",IF(BE$3=0,"n.b.",INDEX(SRC_ZPMW03!$A$1:$ZZ$501,$A341,BE$3)))</f>
        <v/>
      </c>
      <c r="BF341" s="124" t="str">
        <f>IF($B341="","",IF(BF$3=0,"n.b.",INDEX(SRC_ZPMW03!$A$1:$ZZ$501,$A341,BF$3)))</f>
        <v/>
      </c>
      <c r="BG341" t="str">
        <f>IF($B341="","",IF(BG$3=0,"n.b.",INDEX(SRC_ZPMW03!$A$1:$ZZ$501,$A341,BG$3)))</f>
        <v/>
      </c>
      <c r="BH341" t="str">
        <f>IF($B341="","",IF(BH$3=0,"n.b.",INDEX(SRC_ZPMW03!$A$1:$ZZ$501,$A341,BH$3)))</f>
        <v/>
      </c>
      <c r="BI341" t="str">
        <f>IF($B341="","",IF(BI$3=0,"n.b.",INDEX(SRC_ZPMW03!$A$1:$ZZ$501,$A341,BI$3)))</f>
        <v/>
      </c>
      <c r="BJ341" t="str">
        <f>IF($B341="","",IF(BJ$3=0,"n.b.",INDEX(SRC_ZPMW03!$A$1:$ZZ$501,$A341,BJ$3)))</f>
        <v/>
      </c>
      <c r="BK341" s="124" t="str">
        <f>IF($B341="","",IFERROR(-O341,"n.b."))</f>
        <v/>
      </c>
      <c r="BL341" s="124" t="str">
        <f>IF($B341="","",IFERROR(-Q341,"n.b."))</f>
        <v/>
      </c>
      <c r="BM341" s="124" t="str">
        <f>IF($B341="","",IFERROR(-AB341,"n.b."))</f>
        <v/>
      </c>
      <c r="BN341" s="124" t="str">
        <f>IF($B341="","",IFERROR(-AD341,"n.b."))</f>
        <v/>
      </c>
      <c r="BO341" s="124" t="str">
        <f>IF($B341="","",IFERROR(BK341+BM341,"n.b."))</f>
        <v/>
      </c>
      <c r="BP341" s="124" t="str">
        <f>IF($B341="","",IFERROR(BL341+BN341,"n.b."))</f>
        <v/>
      </c>
      <c r="BQ341" s="124" t="str">
        <f>IF($B341="","",IFERROR(-AM341,"n.b."))</f>
        <v/>
      </c>
      <c r="BR341" s="124" t="str">
        <f>IF($B341="","",IFERROR(-AO341,"n.b."))</f>
        <v/>
      </c>
      <c r="BS341" s="124" t="str">
        <f>IF($B341="","",IFERROR(-Z341,"n.b."))</f>
        <v/>
      </c>
      <c r="BT341" s="124" t="str">
        <f>IF($B341="","",IFERROR(-AA341,"n.b."))</f>
        <v/>
      </c>
      <c r="BU341" s="124" t="str">
        <f>IF($B341="","",IFERROR(-AE341,"n.b."))</f>
        <v/>
      </c>
      <c r="BV341" s="124" t="str">
        <f>IF($B341="","",IFERROR(-AF341,"n.b."))</f>
        <v/>
      </c>
      <c r="BW341" s="124" t="str">
        <f>IF($B341="","",IFERROR(-AG341,"n.b."))</f>
        <v/>
      </c>
      <c r="BX341" s="124" t="str">
        <f>IF($B341="","",IFERROR(-AH341,"n.b."))</f>
        <v/>
      </c>
      <c r="BY341" s="124" t="str">
        <f>IF($B341="","",IFERROR(-AI341,"n.b."))</f>
        <v/>
      </c>
      <c r="BZ341" s="124" t="str">
        <f>IF($B341="","",IFERROR(-AJ341,"n.b."))</f>
        <v/>
      </c>
      <c r="CA341" s="124" t="str">
        <f>IF($B341="","",IFERROR(-AK341,"n.b."))</f>
        <v/>
      </c>
      <c r="CB341" s="124" t="str">
        <f>IF($B341="","",IFERROR(-AL341,"n.b."))</f>
        <v/>
      </c>
      <c r="CC341" s="124" t="str">
        <f>IF($B341="","",IFERROR(-AP341,"n.b."))</f>
        <v/>
      </c>
      <c r="CD341" s="124" t="str">
        <f>IF($B341="","",IFERROR(-AQ341,"n.b."))</f>
        <v/>
      </c>
      <c r="CE341" s="124" t="str">
        <f>IF($B341="","",IFERROR(-AR341,"n.b."))</f>
        <v/>
      </c>
      <c r="CF341" s="124" t="str">
        <f>IF($B341="","",IFERROR(-AS341,"n.b."))</f>
        <v/>
      </c>
      <c r="CG341" s="124" t="str">
        <f>IF($B341="","",IFERROR(-AT341,"n.b."))</f>
        <v/>
      </c>
      <c r="CH341" s="124" t="str">
        <f>IF($B341="","",IFERROR(-AU341,"n.b."))</f>
        <v/>
      </c>
      <c r="CI341" s="124" t="str">
        <f>IF($B341="","",IFERROR(-AV341,"n.b."))</f>
        <v/>
      </c>
      <c r="CJ341" s="124" t="str">
        <f>IF($B341="","",IFERROR(-AW341,"n.b."))</f>
        <v/>
      </c>
      <c r="CK341" s="124" t="str">
        <f>IF($B341="","",IFERROR(-AX341,"n.b."))</f>
        <v/>
      </c>
      <c r="CL341" s="124" t="str">
        <f>IF($B341="","",IFERROR(-AY341,"n.b."))</f>
        <v/>
      </c>
      <c r="CM341" s="124" t="str">
        <f>IF($B341="","",IFERROR(-AZ341,"n.b."))</f>
        <v/>
      </c>
      <c r="CN341" s="124" t="str">
        <f>IF($B341="","",IFERROR(-BA341,"n.b."))</f>
        <v/>
      </c>
      <c r="CO341" s="124" t="str">
        <f>IF($B341="","",IFERROR(-BB341,"n.b."))</f>
        <v/>
      </c>
      <c r="CP341" s="124" t="str">
        <f>IF($B341="","",IFERROR(-BC341,"n.b."))</f>
        <v/>
      </c>
      <c r="CQ341" s="124" t="str">
        <f>IF($B341="","",IFERROR(-BD341,"n.b."))</f>
        <v/>
      </c>
      <c r="CR341" s="124" t="str">
        <f>IF($B341="","",IFERROR(-BE341,"n.b."))</f>
        <v/>
      </c>
      <c r="CS341" s="124" t="str">
        <f>IF($B341="","",IFERROR(IF(OR(ABS(T341+V341+X341+Z341-AB341)&gt;P_Tol,ABS(U341+W341+Y341+AA341-AD341)&gt;P_Tol,ABS(AE341+AG341+AI341+AK341-AM341)&gt;P_Tol,ABS(AF341+AH341+AJ341+AL341-AO341)&gt;P_Tol),1,0),1))</f>
        <v/>
      </c>
      <c r="CT341" s="124" t="str">
        <f>IF($B341="","",IFERROR(IF(OR(ABS(AB341+AC341-AD341)&gt;P_Tol,ABS(AM341+AN341-AO341)&gt;P_Tol,ABS(O341+P341-Q341)&gt;P_Tol),1,0),1))</f>
        <v/>
      </c>
      <c r="CU341" s="124" t="str">
        <f>IF($B341="","",IFERROR(IF(ABS(R341-(AB341+AM341+AP341+AR341+AT341+AV341+AX341+AZ341+BB341+BD341))&gt;P_Tol,1,0),1))</f>
        <v/>
      </c>
      <c r="CV341" s="124" t="str">
        <f>IF($B341="","",IFERROR(IF(ABS(M341-(N341+O341+R341))&gt;P_Tol,1,0),1))</f>
        <v/>
      </c>
      <c r="CW341" s="124" t="str">
        <f>IF($B341="","",IF(COUNTIF(Mapping!$A$5:$A$104,B341)&gt;0,1,0))</f>
        <v/>
      </c>
      <c r="CX341" s="124" t="str">
        <f>IF($B341="","",COUNTIF($B$6:$B$505,B341))</f>
        <v/>
      </c>
      <c r="CY341" s="124" t="str">
        <f>IF($B341="","",COUNTIF(STG_Woningetalage!$B$6:$B$505,B341))</f>
        <v/>
      </c>
      <c r="CZ341" s="124" t="str">
        <f>IF($B341="","",IF(CW341=0,COUNTIF($CW$6:CW341,0),""))</f>
        <v/>
      </c>
    </row>
    <row r="342">
      <c r="A342" s="15" t="n">
        <v>338</v>
      </c>
      <c r="B342" t="str">
        <f>IF(B$3=0,"",IF(INDEX(SRC_ZPMW03!$A$1:$ZZ$501,$A342,B$3)&amp;""="","",INDEX(SRC_ZPMW03!$A$1:$ZZ$501,$A342,B$3)&amp;""))</f>
        <v/>
      </c>
      <c r="C342" t="str">
        <f>IF($B342="","",IF(C$3=0,"n.b.",INDEX(SRC_ZPMW03!$A$1:$ZZ$501,$A342,C$3)))</f>
        <v/>
      </c>
      <c r="D342" t="str">
        <f>IF($B342="","",IF(D$3=0,"n.b.",INDEX(SRC_ZPMW03!$A$1:$ZZ$501,$A342,D$3)))</f>
        <v/>
      </c>
      <c r="E342" t="str">
        <f>IF($B342="","",IF(E$3=0,"n.b.",INDEX(SRC_ZPMW03!$A$1:$ZZ$501,$A342,E$3)))</f>
        <v/>
      </c>
      <c r="F342" t="str">
        <f>IF($B342="","",IF(F$3=0,"n.b.",INDEX(SRC_ZPMW03!$A$1:$ZZ$501,$A342,F$3)))</f>
        <v/>
      </c>
      <c r="G342" t="str">
        <f>IF($B342="","",IF(G$3=0,"n.b.",INDEX(SRC_ZPMW03!$A$1:$ZZ$501,$A342,G$3)))</f>
        <v/>
      </c>
      <c r="H342" t="str">
        <f>IF($B342="","",IF(H$3=0,"n.b.",INDEX(SRC_ZPMW03!$A$1:$ZZ$501,$A342,H$3)))</f>
        <v/>
      </c>
      <c r="I342" t="str">
        <f>IF($B342="","",IF(I$3=0,"n.b.",INDEX(SRC_ZPMW03!$A$1:$ZZ$501,$A342,I$3)))</f>
        <v/>
      </c>
      <c r="J342" t="str">
        <f>IF($B342="","",IF(J$3=0,"n.b.",INDEX(SRC_ZPMW03!$A$1:$ZZ$501,$A342,J$3)))</f>
        <v/>
      </c>
      <c r="K342" t="str">
        <f>IF($B342="","",IF(K$3=0,"n.b.",INDEX(SRC_ZPMW03!$A$1:$ZZ$501,$A342,K$3)))</f>
        <v/>
      </c>
      <c r="L342" s="124" t="str">
        <f>IF($B342="","",IF(L$3=0,"n.b.",INDEX(SRC_ZPMW03!$A$1:$ZZ$501,$A342,L$3)))</f>
        <v/>
      </c>
      <c r="M342" s="124" t="str">
        <f>IF($B342="","",IF(M$3=0,"n.b.",INDEX(SRC_ZPMW03!$A$1:$ZZ$501,$A342,M$3)))</f>
        <v/>
      </c>
      <c r="N342" s="124" t="str">
        <f>IF($B342="","",IF(N$3=0,"n.b.",INDEX(SRC_ZPMW03!$A$1:$ZZ$501,$A342,N$3)))</f>
        <v/>
      </c>
      <c r="O342" s="124" t="str">
        <f>IF($B342="","",IF(O$3=0,"n.b.",INDEX(SRC_ZPMW03!$A$1:$ZZ$501,$A342,O$3)))</f>
        <v/>
      </c>
      <c r="P342" s="124" t="str">
        <f>IF($B342="","",IF(P$3=0,"n.b.",INDEX(SRC_ZPMW03!$A$1:$ZZ$501,$A342,P$3)))</f>
        <v/>
      </c>
      <c r="Q342" s="124" t="str">
        <f>IF($B342="","",IF(Q$3=0,"n.b.",INDEX(SRC_ZPMW03!$A$1:$ZZ$501,$A342,Q$3)))</f>
        <v/>
      </c>
      <c r="R342" s="124" t="str">
        <f>IF($B342="","",IF(R$3=0,"n.b.",INDEX(SRC_ZPMW03!$A$1:$ZZ$501,$A342,R$3)))</f>
        <v/>
      </c>
      <c r="S342" s="124" t="str">
        <f>IF($B342="","",IF(S$3=0,"n.b.",INDEX(SRC_ZPMW03!$A$1:$ZZ$501,$A342,S$3)))</f>
        <v/>
      </c>
      <c r="T342" s="124" t="str">
        <f>IF($B342="","",IF(T$3=0,"n.b.",INDEX(SRC_ZPMW03!$A$1:$ZZ$501,$A342,T$3)))</f>
        <v/>
      </c>
      <c r="U342" s="124" t="str">
        <f>IF($B342="","",IF(U$3=0,"n.b.",INDEX(SRC_ZPMW03!$A$1:$ZZ$501,$A342,U$3)))</f>
        <v/>
      </c>
      <c r="V342" s="124" t="str">
        <f>IF($B342="","",IF(V$3=0,"n.b.",INDEX(SRC_ZPMW03!$A$1:$ZZ$501,$A342,V$3)))</f>
        <v/>
      </c>
      <c r="W342" s="124" t="str">
        <f>IF($B342="","",IF(W$3=0,"n.b.",INDEX(SRC_ZPMW03!$A$1:$ZZ$501,$A342,W$3)))</f>
        <v/>
      </c>
      <c r="X342" s="124" t="str">
        <f>IF($B342="","",IF(X$3=0,"n.b.",INDEX(SRC_ZPMW03!$A$1:$ZZ$501,$A342,X$3)))</f>
        <v/>
      </c>
      <c r="Y342" s="124" t="str">
        <f>IF($B342="","",IF(Y$3=0,"n.b.",INDEX(SRC_ZPMW03!$A$1:$ZZ$501,$A342,Y$3)))</f>
        <v/>
      </c>
      <c r="Z342" s="124" t="str">
        <f>IF($B342="","",IF(Z$3=0,"n.b.",INDEX(SRC_ZPMW03!$A$1:$ZZ$501,$A342,Z$3)))</f>
        <v/>
      </c>
      <c r="AA342" s="124" t="str">
        <f>IF($B342="","",IF(AA$3=0,"n.b.",INDEX(SRC_ZPMW03!$A$1:$ZZ$501,$A342,AA$3)))</f>
        <v/>
      </c>
      <c r="AB342" s="124" t="str">
        <f>IF($B342="","",IF(AB$3=0,"n.b.",INDEX(SRC_ZPMW03!$A$1:$ZZ$501,$A342,AB$3)))</f>
        <v/>
      </c>
      <c r="AC342" s="124" t="str">
        <f>IF($B342="","",IF(AC$3=0,"n.b.",INDEX(SRC_ZPMW03!$A$1:$ZZ$501,$A342,AC$3)))</f>
        <v/>
      </c>
      <c r="AD342" s="124" t="str">
        <f>IF($B342="","",IF(AD$3=0,"n.b.",INDEX(SRC_ZPMW03!$A$1:$ZZ$501,$A342,AD$3)))</f>
        <v/>
      </c>
      <c r="AE342" s="124" t="str">
        <f>IF($B342="","",IF(AE$3=0,"n.b.",INDEX(SRC_ZPMW03!$A$1:$ZZ$501,$A342,AE$3)))</f>
        <v/>
      </c>
      <c r="AF342" s="124" t="str">
        <f>IF($B342="","",IF(AF$3=0,"n.b.",INDEX(SRC_ZPMW03!$A$1:$ZZ$501,$A342,AF$3)))</f>
        <v/>
      </c>
      <c r="AG342" s="124" t="str">
        <f>IF($B342="","",IF(AG$3=0,"n.b.",INDEX(SRC_ZPMW03!$A$1:$ZZ$501,$A342,AG$3)))</f>
        <v/>
      </c>
      <c r="AH342" s="124" t="str">
        <f>IF($B342="","",IF(AH$3=0,"n.b.",INDEX(SRC_ZPMW03!$A$1:$ZZ$501,$A342,AH$3)))</f>
        <v/>
      </c>
      <c r="AI342" s="124" t="str">
        <f>IF($B342="","",IF(AI$3=0,"n.b.",INDEX(SRC_ZPMW03!$A$1:$ZZ$501,$A342,AI$3)))</f>
        <v/>
      </c>
      <c r="AJ342" s="124" t="str">
        <f>IF($B342="","",IF(AJ$3=0,"n.b.",INDEX(SRC_ZPMW03!$A$1:$ZZ$501,$A342,AJ$3)))</f>
        <v/>
      </c>
      <c r="AK342" s="124" t="str">
        <f>IF($B342="","",IF(AK$3=0,"n.b.",INDEX(SRC_ZPMW03!$A$1:$ZZ$501,$A342,AK$3)))</f>
        <v/>
      </c>
      <c r="AL342" s="124" t="str">
        <f>IF($B342="","",IF(AL$3=0,"n.b.",INDEX(SRC_ZPMW03!$A$1:$ZZ$501,$A342,AL$3)))</f>
        <v/>
      </c>
      <c r="AM342" s="124" t="str">
        <f>IF($B342="","",IF(AM$3=0,"n.b.",INDEX(SRC_ZPMW03!$A$1:$ZZ$501,$A342,AM$3)))</f>
        <v/>
      </c>
      <c r="AN342" s="124" t="str">
        <f>IF($B342="","",IF(AN$3=0,"n.b.",INDEX(SRC_ZPMW03!$A$1:$ZZ$501,$A342,AN$3)))</f>
        <v/>
      </c>
      <c r="AO342" s="124" t="str">
        <f>IF($B342="","",IF(AO$3=0,"n.b.",INDEX(SRC_ZPMW03!$A$1:$ZZ$501,$A342,AO$3)))</f>
        <v/>
      </c>
      <c r="AP342" s="124" t="str">
        <f>IF($B342="","",IF(AP$3=0,"n.b.",INDEX(SRC_ZPMW03!$A$1:$ZZ$501,$A342,AP$3)))</f>
        <v/>
      </c>
      <c r="AQ342" s="124" t="str">
        <f>IF($B342="","",IF(AQ$3=0,"n.b.",INDEX(SRC_ZPMW03!$A$1:$ZZ$501,$A342,AQ$3)))</f>
        <v/>
      </c>
      <c r="AR342" s="124" t="str">
        <f>IF($B342="","",IF(AR$3=0,"n.b.",INDEX(SRC_ZPMW03!$A$1:$ZZ$501,$A342,AR$3)))</f>
        <v/>
      </c>
      <c r="AS342" s="124" t="str">
        <f>IF($B342="","",IF(AS$3=0,"n.b.",INDEX(SRC_ZPMW03!$A$1:$ZZ$501,$A342,AS$3)))</f>
        <v/>
      </c>
      <c r="AT342" s="124" t="str">
        <f>IF($B342="","",IF(AT$3=0,"n.b.",INDEX(SRC_ZPMW03!$A$1:$ZZ$501,$A342,AT$3)))</f>
        <v/>
      </c>
      <c r="AU342" s="124" t="str">
        <f>IF($B342="","",IF(AU$3=0,"n.b.",INDEX(SRC_ZPMW03!$A$1:$ZZ$501,$A342,AU$3)))</f>
        <v/>
      </c>
      <c r="AV342" s="124" t="str">
        <f>IF($B342="","",IF(AV$3=0,"n.b.",INDEX(SRC_ZPMW03!$A$1:$ZZ$501,$A342,AV$3)))</f>
        <v/>
      </c>
      <c r="AW342" s="124" t="str">
        <f>IF($B342="","",IF(AW$3=0,"n.b.",INDEX(SRC_ZPMW03!$A$1:$ZZ$501,$A342,AW$3)))</f>
        <v/>
      </c>
      <c r="AX342" s="124" t="str">
        <f>IF($B342="","",IF(AX$3=0,"n.b.",INDEX(SRC_ZPMW03!$A$1:$ZZ$501,$A342,AX$3)))</f>
        <v/>
      </c>
      <c r="AY342" s="124" t="str">
        <f>IF($B342="","",IF(AY$3=0,"n.b.",INDEX(SRC_ZPMW03!$A$1:$ZZ$501,$A342,AY$3)))</f>
        <v/>
      </c>
      <c r="AZ342" s="124" t="str">
        <f>IF($B342="","",IF(AZ$3=0,"n.b.",INDEX(SRC_ZPMW03!$A$1:$ZZ$501,$A342,AZ$3)))</f>
        <v/>
      </c>
      <c r="BA342" s="124" t="str">
        <f>IF($B342="","",IF(BA$3=0,"n.b.",INDEX(SRC_ZPMW03!$A$1:$ZZ$501,$A342,BA$3)))</f>
        <v/>
      </c>
      <c r="BB342" s="124" t="str">
        <f>IF($B342="","",IF(BB$3=0,"n.b.",INDEX(SRC_ZPMW03!$A$1:$ZZ$501,$A342,BB$3)))</f>
        <v/>
      </c>
      <c r="BC342" s="124" t="str">
        <f>IF($B342="","",IF(BC$3=0,"n.b.",INDEX(SRC_ZPMW03!$A$1:$ZZ$501,$A342,BC$3)))</f>
        <v/>
      </c>
      <c r="BD342" s="124" t="str">
        <f>IF($B342="","",IF(BD$3=0,"n.b.",INDEX(SRC_ZPMW03!$A$1:$ZZ$501,$A342,BD$3)))</f>
        <v/>
      </c>
      <c r="BE342" s="124" t="str">
        <f>IF($B342="","",IF(BE$3=0,"n.b.",INDEX(SRC_ZPMW03!$A$1:$ZZ$501,$A342,BE$3)))</f>
        <v/>
      </c>
      <c r="BF342" s="124" t="str">
        <f>IF($B342="","",IF(BF$3=0,"n.b.",INDEX(SRC_ZPMW03!$A$1:$ZZ$501,$A342,BF$3)))</f>
        <v/>
      </c>
      <c r="BG342" t="str">
        <f>IF($B342="","",IF(BG$3=0,"n.b.",INDEX(SRC_ZPMW03!$A$1:$ZZ$501,$A342,BG$3)))</f>
        <v/>
      </c>
      <c r="BH342" t="str">
        <f>IF($B342="","",IF(BH$3=0,"n.b.",INDEX(SRC_ZPMW03!$A$1:$ZZ$501,$A342,BH$3)))</f>
        <v/>
      </c>
      <c r="BI342" t="str">
        <f>IF($B342="","",IF(BI$3=0,"n.b.",INDEX(SRC_ZPMW03!$A$1:$ZZ$501,$A342,BI$3)))</f>
        <v/>
      </c>
      <c r="BJ342" t="str">
        <f>IF($B342="","",IF(BJ$3=0,"n.b.",INDEX(SRC_ZPMW03!$A$1:$ZZ$501,$A342,BJ$3)))</f>
        <v/>
      </c>
      <c r="BK342" s="124" t="str">
        <f>IF($B342="","",IFERROR(-O342,"n.b."))</f>
        <v/>
      </c>
      <c r="BL342" s="124" t="str">
        <f>IF($B342="","",IFERROR(-Q342,"n.b."))</f>
        <v/>
      </c>
      <c r="BM342" s="124" t="str">
        <f>IF($B342="","",IFERROR(-AB342,"n.b."))</f>
        <v/>
      </c>
      <c r="BN342" s="124" t="str">
        <f>IF($B342="","",IFERROR(-AD342,"n.b."))</f>
        <v/>
      </c>
      <c r="BO342" s="124" t="str">
        <f>IF($B342="","",IFERROR(BK342+BM342,"n.b."))</f>
        <v/>
      </c>
      <c r="BP342" s="124" t="str">
        <f>IF($B342="","",IFERROR(BL342+BN342,"n.b."))</f>
        <v/>
      </c>
      <c r="BQ342" s="124" t="str">
        <f>IF($B342="","",IFERROR(-AM342,"n.b."))</f>
        <v/>
      </c>
      <c r="BR342" s="124" t="str">
        <f>IF($B342="","",IFERROR(-AO342,"n.b."))</f>
        <v/>
      </c>
      <c r="BS342" s="124" t="str">
        <f>IF($B342="","",IFERROR(-Z342,"n.b."))</f>
        <v/>
      </c>
      <c r="BT342" s="124" t="str">
        <f>IF($B342="","",IFERROR(-AA342,"n.b."))</f>
        <v/>
      </c>
      <c r="BU342" s="124" t="str">
        <f>IF($B342="","",IFERROR(-AE342,"n.b."))</f>
        <v/>
      </c>
      <c r="BV342" s="124" t="str">
        <f>IF($B342="","",IFERROR(-AF342,"n.b."))</f>
        <v/>
      </c>
      <c r="BW342" s="124" t="str">
        <f>IF($B342="","",IFERROR(-AG342,"n.b."))</f>
        <v/>
      </c>
      <c r="BX342" s="124" t="str">
        <f>IF($B342="","",IFERROR(-AH342,"n.b."))</f>
        <v/>
      </c>
      <c r="BY342" s="124" t="str">
        <f>IF($B342="","",IFERROR(-AI342,"n.b."))</f>
        <v/>
      </c>
      <c r="BZ342" s="124" t="str">
        <f>IF($B342="","",IFERROR(-AJ342,"n.b."))</f>
        <v/>
      </c>
      <c r="CA342" s="124" t="str">
        <f>IF($B342="","",IFERROR(-AK342,"n.b."))</f>
        <v/>
      </c>
      <c r="CB342" s="124" t="str">
        <f>IF($B342="","",IFERROR(-AL342,"n.b."))</f>
        <v/>
      </c>
      <c r="CC342" s="124" t="str">
        <f>IF($B342="","",IFERROR(-AP342,"n.b."))</f>
        <v/>
      </c>
      <c r="CD342" s="124" t="str">
        <f>IF($B342="","",IFERROR(-AQ342,"n.b."))</f>
        <v/>
      </c>
      <c r="CE342" s="124" t="str">
        <f>IF($B342="","",IFERROR(-AR342,"n.b."))</f>
        <v/>
      </c>
      <c r="CF342" s="124" t="str">
        <f>IF($B342="","",IFERROR(-AS342,"n.b."))</f>
        <v/>
      </c>
      <c r="CG342" s="124" t="str">
        <f>IF($B342="","",IFERROR(-AT342,"n.b."))</f>
        <v/>
      </c>
      <c r="CH342" s="124" t="str">
        <f>IF($B342="","",IFERROR(-AU342,"n.b."))</f>
        <v/>
      </c>
      <c r="CI342" s="124" t="str">
        <f>IF($B342="","",IFERROR(-AV342,"n.b."))</f>
        <v/>
      </c>
      <c r="CJ342" s="124" t="str">
        <f>IF($B342="","",IFERROR(-AW342,"n.b."))</f>
        <v/>
      </c>
      <c r="CK342" s="124" t="str">
        <f>IF($B342="","",IFERROR(-AX342,"n.b."))</f>
        <v/>
      </c>
      <c r="CL342" s="124" t="str">
        <f>IF($B342="","",IFERROR(-AY342,"n.b."))</f>
        <v/>
      </c>
      <c r="CM342" s="124" t="str">
        <f>IF($B342="","",IFERROR(-AZ342,"n.b."))</f>
        <v/>
      </c>
      <c r="CN342" s="124" t="str">
        <f>IF($B342="","",IFERROR(-BA342,"n.b."))</f>
        <v/>
      </c>
      <c r="CO342" s="124" t="str">
        <f>IF($B342="","",IFERROR(-BB342,"n.b."))</f>
        <v/>
      </c>
      <c r="CP342" s="124" t="str">
        <f>IF($B342="","",IFERROR(-BC342,"n.b."))</f>
        <v/>
      </c>
      <c r="CQ342" s="124" t="str">
        <f>IF($B342="","",IFERROR(-BD342,"n.b."))</f>
        <v/>
      </c>
      <c r="CR342" s="124" t="str">
        <f>IF($B342="","",IFERROR(-BE342,"n.b."))</f>
        <v/>
      </c>
      <c r="CS342" s="124" t="str">
        <f>IF($B342="","",IFERROR(IF(OR(ABS(T342+V342+X342+Z342-AB342)&gt;P_Tol,ABS(U342+W342+Y342+AA342-AD342)&gt;P_Tol,ABS(AE342+AG342+AI342+AK342-AM342)&gt;P_Tol,ABS(AF342+AH342+AJ342+AL342-AO342)&gt;P_Tol),1,0),1))</f>
        <v/>
      </c>
      <c r="CT342" s="124" t="str">
        <f>IF($B342="","",IFERROR(IF(OR(ABS(AB342+AC342-AD342)&gt;P_Tol,ABS(AM342+AN342-AO342)&gt;P_Tol,ABS(O342+P342-Q342)&gt;P_Tol),1,0),1))</f>
        <v/>
      </c>
      <c r="CU342" s="124" t="str">
        <f>IF($B342="","",IFERROR(IF(ABS(R342-(AB342+AM342+AP342+AR342+AT342+AV342+AX342+AZ342+BB342+BD342))&gt;P_Tol,1,0),1))</f>
        <v/>
      </c>
      <c r="CV342" s="124" t="str">
        <f>IF($B342="","",IFERROR(IF(ABS(M342-(N342+O342+R342))&gt;P_Tol,1,0),1))</f>
        <v/>
      </c>
      <c r="CW342" s="124" t="str">
        <f>IF($B342="","",IF(COUNTIF(Mapping!$A$5:$A$104,B342)&gt;0,1,0))</f>
        <v/>
      </c>
      <c r="CX342" s="124" t="str">
        <f>IF($B342="","",COUNTIF($B$6:$B$505,B342))</f>
        <v/>
      </c>
      <c r="CY342" s="124" t="str">
        <f>IF($B342="","",COUNTIF(STG_Woningetalage!$B$6:$B$505,B342))</f>
        <v/>
      </c>
      <c r="CZ342" s="124" t="str">
        <f>IF($B342="","",IF(CW342=0,COUNTIF($CW$6:CW342,0),""))</f>
        <v/>
      </c>
    </row>
    <row r="343">
      <c r="A343" s="15" t="n">
        <v>339</v>
      </c>
      <c r="B343" t="str">
        <f>IF(B$3=0,"",IF(INDEX(SRC_ZPMW03!$A$1:$ZZ$501,$A343,B$3)&amp;""="","",INDEX(SRC_ZPMW03!$A$1:$ZZ$501,$A343,B$3)&amp;""))</f>
        <v/>
      </c>
      <c r="C343" t="str">
        <f>IF($B343="","",IF(C$3=0,"n.b.",INDEX(SRC_ZPMW03!$A$1:$ZZ$501,$A343,C$3)))</f>
        <v/>
      </c>
      <c r="D343" t="str">
        <f>IF($B343="","",IF(D$3=0,"n.b.",INDEX(SRC_ZPMW03!$A$1:$ZZ$501,$A343,D$3)))</f>
        <v/>
      </c>
      <c r="E343" t="str">
        <f>IF($B343="","",IF(E$3=0,"n.b.",INDEX(SRC_ZPMW03!$A$1:$ZZ$501,$A343,E$3)))</f>
        <v/>
      </c>
      <c r="F343" t="str">
        <f>IF($B343="","",IF(F$3=0,"n.b.",INDEX(SRC_ZPMW03!$A$1:$ZZ$501,$A343,F$3)))</f>
        <v/>
      </c>
      <c r="G343" t="str">
        <f>IF($B343="","",IF(G$3=0,"n.b.",INDEX(SRC_ZPMW03!$A$1:$ZZ$501,$A343,G$3)))</f>
        <v/>
      </c>
      <c r="H343" t="str">
        <f>IF($B343="","",IF(H$3=0,"n.b.",INDEX(SRC_ZPMW03!$A$1:$ZZ$501,$A343,H$3)))</f>
        <v/>
      </c>
      <c r="I343" t="str">
        <f>IF($B343="","",IF(I$3=0,"n.b.",INDEX(SRC_ZPMW03!$A$1:$ZZ$501,$A343,I$3)))</f>
        <v/>
      </c>
      <c r="J343" t="str">
        <f>IF($B343="","",IF(J$3=0,"n.b.",INDEX(SRC_ZPMW03!$A$1:$ZZ$501,$A343,J$3)))</f>
        <v/>
      </c>
      <c r="K343" t="str">
        <f>IF($B343="","",IF(K$3=0,"n.b.",INDEX(SRC_ZPMW03!$A$1:$ZZ$501,$A343,K$3)))</f>
        <v/>
      </c>
      <c r="L343" s="124" t="str">
        <f>IF($B343="","",IF(L$3=0,"n.b.",INDEX(SRC_ZPMW03!$A$1:$ZZ$501,$A343,L$3)))</f>
        <v/>
      </c>
      <c r="M343" s="124" t="str">
        <f>IF($B343="","",IF(M$3=0,"n.b.",INDEX(SRC_ZPMW03!$A$1:$ZZ$501,$A343,M$3)))</f>
        <v/>
      </c>
      <c r="N343" s="124" t="str">
        <f>IF($B343="","",IF(N$3=0,"n.b.",INDEX(SRC_ZPMW03!$A$1:$ZZ$501,$A343,N$3)))</f>
        <v/>
      </c>
      <c r="O343" s="124" t="str">
        <f>IF($B343="","",IF(O$3=0,"n.b.",INDEX(SRC_ZPMW03!$A$1:$ZZ$501,$A343,O$3)))</f>
        <v/>
      </c>
      <c r="P343" s="124" t="str">
        <f>IF($B343="","",IF(P$3=0,"n.b.",INDEX(SRC_ZPMW03!$A$1:$ZZ$501,$A343,P$3)))</f>
        <v/>
      </c>
      <c r="Q343" s="124" t="str">
        <f>IF($B343="","",IF(Q$3=0,"n.b.",INDEX(SRC_ZPMW03!$A$1:$ZZ$501,$A343,Q$3)))</f>
        <v/>
      </c>
      <c r="R343" s="124" t="str">
        <f>IF($B343="","",IF(R$3=0,"n.b.",INDEX(SRC_ZPMW03!$A$1:$ZZ$501,$A343,R$3)))</f>
        <v/>
      </c>
      <c r="S343" s="124" t="str">
        <f>IF($B343="","",IF(S$3=0,"n.b.",INDEX(SRC_ZPMW03!$A$1:$ZZ$501,$A343,S$3)))</f>
        <v/>
      </c>
      <c r="T343" s="124" t="str">
        <f>IF($B343="","",IF(T$3=0,"n.b.",INDEX(SRC_ZPMW03!$A$1:$ZZ$501,$A343,T$3)))</f>
        <v/>
      </c>
      <c r="U343" s="124" t="str">
        <f>IF($B343="","",IF(U$3=0,"n.b.",INDEX(SRC_ZPMW03!$A$1:$ZZ$501,$A343,U$3)))</f>
        <v/>
      </c>
      <c r="V343" s="124" t="str">
        <f>IF($B343="","",IF(V$3=0,"n.b.",INDEX(SRC_ZPMW03!$A$1:$ZZ$501,$A343,V$3)))</f>
        <v/>
      </c>
      <c r="W343" s="124" t="str">
        <f>IF($B343="","",IF(W$3=0,"n.b.",INDEX(SRC_ZPMW03!$A$1:$ZZ$501,$A343,W$3)))</f>
        <v/>
      </c>
      <c r="X343" s="124" t="str">
        <f>IF($B343="","",IF(X$3=0,"n.b.",INDEX(SRC_ZPMW03!$A$1:$ZZ$501,$A343,X$3)))</f>
        <v/>
      </c>
      <c r="Y343" s="124" t="str">
        <f>IF($B343="","",IF(Y$3=0,"n.b.",INDEX(SRC_ZPMW03!$A$1:$ZZ$501,$A343,Y$3)))</f>
        <v/>
      </c>
      <c r="Z343" s="124" t="str">
        <f>IF($B343="","",IF(Z$3=0,"n.b.",INDEX(SRC_ZPMW03!$A$1:$ZZ$501,$A343,Z$3)))</f>
        <v/>
      </c>
      <c r="AA343" s="124" t="str">
        <f>IF($B343="","",IF(AA$3=0,"n.b.",INDEX(SRC_ZPMW03!$A$1:$ZZ$501,$A343,AA$3)))</f>
        <v/>
      </c>
      <c r="AB343" s="124" t="str">
        <f>IF($B343="","",IF(AB$3=0,"n.b.",INDEX(SRC_ZPMW03!$A$1:$ZZ$501,$A343,AB$3)))</f>
        <v/>
      </c>
      <c r="AC343" s="124" t="str">
        <f>IF($B343="","",IF(AC$3=0,"n.b.",INDEX(SRC_ZPMW03!$A$1:$ZZ$501,$A343,AC$3)))</f>
        <v/>
      </c>
      <c r="AD343" s="124" t="str">
        <f>IF($B343="","",IF(AD$3=0,"n.b.",INDEX(SRC_ZPMW03!$A$1:$ZZ$501,$A343,AD$3)))</f>
        <v/>
      </c>
      <c r="AE343" s="124" t="str">
        <f>IF($B343="","",IF(AE$3=0,"n.b.",INDEX(SRC_ZPMW03!$A$1:$ZZ$501,$A343,AE$3)))</f>
        <v/>
      </c>
      <c r="AF343" s="124" t="str">
        <f>IF($B343="","",IF(AF$3=0,"n.b.",INDEX(SRC_ZPMW03!$A$1:$ZZ$501,$A343,AF$3)))</f>
        <v/>
      </c>
      <c r="AG343" s="124" t="str">
        <f>IF($B343="","",IF(AG$3=0,"n.b.",INDEX(SRC_ZPMW03!$A$1:$ZZ$501,$A343,AG$3)))</f>
        <v/>
      </c>
      <c r="AH343" s="124" t="str">
        <f>IF($B343="","",IF(AH$3=0,"n.b.",INDEX(SRC_ZPMW03!$A$1:$ZZ$501,$A343,AH$3)))</f>
        <v/>
      </c>
      <c r="AI343" s="124" t="str">
        <f>IF($B343="","",IF(AI$3=0,"n.b.",INDEX(SRC_ZPMW03!$A$1:$ZZ$501,$A343,AI$3)))</f>
        <v/>
      </c>
      <c r="AJ343" s="124" t="str">
        <f>IF($B343="","",IF(AJ$3=0,"n.b.",INDEX(SRC_ZPMW03!$A$1:$ZZ$501,$A343,AJ$3)))</f>
        <v/>
      </c>
      <c r="AK343" s="124" t="str">
        <f>IF($B343="","",IF(AK$3=0,"n.b.",INDEX(SRC_ZPMW03!$A$1:$ZZ$501,$A343,AK$3)))</f>
        <v/>
      </c>
      <c r="AL343" s="124" t="str">
        <f>IF($B343="","",IF(AL$3=0,"n.b.",INDEX(SRC_ZPMW03!$A$1:$ZZ$501,$A343,AL$3)))</f>
        <v/>
      </c>
      <c r="AM343" s="124" t="str">
        <f>IF($B343="","",IF(AM$3=0,"n.b.",INDEX(SRC_ZPMW03!$A$1:$ZZ$501,$A343,AM$3)))</f>
        <v/>
      </c>
      <c r="AN343" s="124" t="str">
        <f>IF($B343="","",IF(AN$3=0,"n.b.",INDEX(SRC_ZPMW03!$A$1:$ZZ$501,$A343,AN$3)))</f>
        <v/>
      </c>
      <c r="AO343" s="124" t="str">
        <f>IF($B343="","",IF(AO$3=0,"n.b.",INDEX(SRC_ZPMW03!$A$1:$ZZ$501,$A343,AO$3)))</f>
        <v/>
      </c>
      <c r="AP343" s="124" t="str">
        <f>IF($B343="","",IF(AP$3=0,"n.b.",INDEX(SRC_ZPMW03!$A$1:$ZZ$501,$A343,AP$3)))</f>
        <v/>
      </c>
      <c r="AQ343" s="124" t="str">
        <f>IF($B343="","",IF(AQ$3=0,"n.b.",INDEX(SRC_ZPMW03!$A$1:$ZZ$501,$A343,AQ$3)))</f>
        <v/>
      </c>
      <c r="AR343" s="124" t="str">
        <f>IF($B343="","",IF(AR$3=0,"n.b.",INDEX(SRC_ZPMW03!$A$1:$ZZ$501,$A343,AR$3)))</f>
        <v/>
      </c>
      <c r="AS343" s="124" t="str">
        <f>IF($B343="","",IF(AS$3=0,"n.b.",INDEX(SRC_ZPMW03!$A$1:$ZZ$501,$A343,AS$3)))</f>
        <v/>
      </c>
      <c r="AT343" s="124" t="str">
        <f>IF($B343="","",IF(AT$3=0,"n.b.",INDEX(SRC_ZPMW03!$A$1:$ZZ$501,$A343,AT$3)))</f>
        <v/>
      </c>
      <c r="AU343" s="124" t="str">
        <f>IF($B343="","",IF(AU$3=0,"n.b.",INDEX(SRC_ZPMW03!$A$1:$ZZ$501,$A343,AU$3)))</f>
        <v/>
      </c>
      <c r="AV343" s="124" t="str">
        <f>IF($B343="","",IF(AV$3=0,"n.b.",INDEX(SRC_ZPMW03!$A$1:$ZZ$501,$A343,AV$3)))</f>
        <v/>
      </c>
      <c r="AW343" s="124" t="str">
        <f>IF($B343="","",IF(AW$3=0,"n.b.",INDEX(SRC_ZPMW03!$A$1:$ZZ$501,$A343,AW$3)))</f>
        <v/>
      </c>
      <c r="AX343" s="124" t="str">
        <f>IF($B343="","",IF(AX$3=0,"n.b.",INDEX(SRC_ZPMW03!$A$1:$ZZ$501,$A343,AX$3)))</f>
        <v/>
      </c>
      <c r="AY343" s="124" t="str">
        <f>IF($B343="","",IF(AY$3=0,"n.b.",INDEX(SRC_ZPMW03!$A$1:$ZZ$501,$A343,AY$3)))</f>
        <v/>
      </c>
      <c r="AZ343" s="124" t="str">
        <f>IF($B343="","",IF(AZ$3=0,"n.b.",INDEX(SRC_ZPMW03!$A$1:$ZZ$501,$A343,AZ$3)))</f>
        <v/>
      </c>
      <c r="BA343" s="124" t="str">
        <f>IF($B343="","",IF(BA$3=0,"n.b.",INDEX(SRC_ZPMW03!$A$1:$ZZ$501,$A343,BA$3)))</f>
        <v/>
      </c>
      <c r="BB343" s="124" t="str">
        <f>IF($B343="","",IF(BB$3=0,"n.b.",INDEX(SRC_ZPMW03!$A$1:$ZZ$501,$A343,BB$3)))</f>
        <v/>
      </c>
      <c r="BC343" s="124" t="str">
        <f>IF($B343="","",IF(BC$3=0,"n.b.",INDEX(SRC_ZPMW03!$A$1:$ZZ$501,$A343,BC$3)))</f>
        <v/>
      </c>
      <c r="BD343" s="124" t="str">
        <f>IF($B343="","",IF(BD$3=0,"n.b.",INDEX(SRC_ZPMW03!$A$1:$ZZ$501,$A343,BD$3)))</f>
        <v/>
      </c>
      <c r="BE343" s="124" t="str">
        <f>IF($B343="","",IF(BE$3=0,"n.b.",INDEX(SRC_ZPMW03!$A$1:$ZZ$501,$A343,BE$3)))</f>
        <v/>
      </c>
      <c r="BF343" s="124" t="str">
        <f>IF($B343="","",IF(BF$3=0,"n.b.",INDEX(SRC_ZPMW03!$A$1:$ZZ$501,$A343,BF$3)))</f>
        <v/>
      </c>
      <c r="BG343" t="str">
        <f>IF($B343="","",IF(BG$3=0,"n.b.",INDEX(SRC_ZPMW03!$A$1:$ZZ$501,$A343,BG$3)))</f>
        <v/>
      </c>
      <c r="BH343" t="str">
        <f>IF($B343="","",IF(BH$3=0,"n.b.",INDEX(SRC_ZPMW03!$A$1:$ZZ$501,$A343,BH$3)))</f>
        <v/>
      </c>
      <c r="BI343" t="str">
        <f>IF($B343="","",IF(BI$3=0,"n.b.",INDEX(SRC_ZPMW03!$A$1:$ZZ$501,$A343,BI$3)))</f>
        <v/>
      </c>
      <c r="BJ343" t="str">
        <f>IF($B343="","",IF(BJ$3=0,"n.b.",INDEX(SRC_ZPMW03!$A$1:$ZZ$501,$A343,BJ$3)))</f>
        <v/>
      </c>
      <c r="BK343" s="124" t="str">
        <f>IF($B343="","",IFERROR(-O343,"n.b."))</f>
        <v/>
      </c>
      <c r="BL343" s="124" t="str">
        <f>IF($B343="","",IFERROR(-Q343,"n.b."))</f>
        <v/>
      </c>
      <c r="BM343" s="124" t="str">
        <f>IF($B343="","",IFERROR(-AB343,"n.b."))</f>
        <v/>
      </c>
      <c r="BN343" s="124" t="str">
        <f>IF($B343="","",IFERROR(-AD343,"n.b."))</f>
        <v/>
      </c>
      <c r="BO343" s="124" t="str">
        <f>IF($B343="","",IFERROR(BK343+BM343,"n.b."))</f>
        <v/>
      </c>
      <c r="BP343" s="124" t="str">
        <f>IF($B343="","",IFERROR(BL343+BN343,"n.b."))</f>
        <v/>
      </c>
      <c r="BQ343" s="124" t="str">
        <f>IF($B343="","",IFERROR(-AM343,"n.b."))</f>
        <v/>
      </c>
      <c r="BR343" s="124" t="str">
        <f>IF($B343="","",IFERROR(-AO343,"n.b."))</f>
        <v/>
      </c>
      <c r="BS343" s="124" t="str">
        <f>IF($B343="","",IFERROR(-Z343,"n.b."))</f>
        <v/>
      </c>
      <c r="BT343" s="124" t="str">
        <f>IF($B343="","",IFERROR(-AA343,"n.b."))</f>
        <v/>
      </c>
      <c r="BU343" s="124" t="str">
        <f>IF($B343="","",IFERROR(-AE343,"n.b."))</f>
        <v/>
      </c>
      <c r="BV343" s="124" t="str">
        <f>IF($B343="","",IFERROR(-AF343,"n.b."))</f>
        <v/>
      </c>
      <c r="BW343" s="124" t="str">
        <f>IF($B343="","",IFERROR(-AG343,"n.b."))</f>
        <v/>
      </c>
      <c r="BX343" s="124" t="str">
        <f>IF($B343="","",IFERROR(-AH343,"n.b."))</f>
        <v/>
      </c>
      <c r="BY343" s="124" t="str">
        <f>IF($B343="","",IFERROR(-AI343,"n.b."))</f>
        <v/>
      </c>
      <c r="BZ343" s="124" t="str">
        <f>IF($B343="","",IFERROR(-AJ343,"n.b."))</f>
        <v/>
      </c>
      <c r="CA343" s="124" t="str">
        <f>IF($B343="","",IFERROR(-AK343,"n.b."))</f>
        <v/>
      </c>
      <c r="CB343" s="124" t="str">
        <f>IF($B343="","",IFERROR(-AL343,"n.b."))</f>
        <v/>
      </c>
      <c r="CC343" s="124" t="str">
        <f>IF($B343="","",IFERROR(-AP343,"n.b."))</f>
        <v/>
      </c>
      <c r="CD343" s="124" t="str">
        <f>IF($B343="","",IFERROR(-AQ343,"n.b."))</f>
        <v/>
      </c>
      <c r="CE343" s="124" t="str">
        <f>IF($B343="","",IFERROR(-AR343,"n.b."))</f>
        <v/>
      </c>
      <c r="CF343" s="124" t="str">
        <f>IF($B343="","",IFERROR(-AS343,"n.b."))</f>
        <v/>
      </c>
      <c r="CG343" s="124" t="str">
        <f>IF($B343="","",IFERROR(-AT343,"n.b."))</f>
        <v/>
      </c>
      <c r="CH343" s="124" t="str">
        <f>IF($B343="","",IFERROR(-AU343,"n.b."))</f>
        <v/>
      </c>
      <c r="CI343" s="124" t="str">
        <f>IF($B343="","",IFERROR(-AV343,"n.b."))</f>
        <v/>
      </c>
      <c r="CJ343" s="124" t="str">
        <f>IF($B343="","",IFERROR(-AW343,"n.b."))</f>
        <v/>
      </c>
      <c r="CK343" s="124" t="str">
        <f>IF($B343="","",IFERROR(-AX343,"n.b."))</f>
        <v/>
      </c>
      <c r="CL343" s="124" t="str">
        <f>IF($B343="","",IFERROR(-AY343,"n.b."))</f>
        <v/>
      </c>
      <c r="CM343" s="124" t="str">
        <f>IF($B343="","",IFERROR(-AZ343,"n.b."))</f>
        <v/>
      </c>
      <c r="CN343" s="124" t="str">
        <f>IF($B343="","",IFERROR(-BA343,"n.b."))</f>
        <v/>
      </c>
      <c r="CO343" s="124" t="str">
        <f>IF($B343="","",IFERROR(-BB343,"n.b."))</f>
        <v/>
      </c>
      <c r="CP343" s="124" t="str">
        <f>IF($B343="","",IFERROR(-BC343,"n.b."))</f>
        <v/>
      </c>
      <c r="CQ343" s="124" t="str">
        <f>IF($B343="","",IFERROR(-BD343,"n.b."))</f>
        <v/>
      </c>
      <c r="CR343" s="124" t="str">
        <f>IF($B343="","",IFERROR(-BE343,"n.b."))</f>
        <v/>
      </c>
      <c r="CS343" s="124" t="str">
        <f>IF($B343="","",IFERROR(IF(OR(ABS(T343+V343+X343+Z343-AB343)&gt;P_Tol,ABS(U343+W343+Y343+AA343-AD343)&gt;P_Tol,ABS(AE343+AG343+AI343+AK343-AM343)&gt;P_Tol,ABS(AF343+AH343+AJ343+AL343-AO343)&gt;P_Tol),1,0),1))</f>
        <v/>
      </c>
      <c r="CT343" s="124" t="str">
        <f>IF($B343="","",IFERROR(IF(OR(ABS(AB343+AC343-AD343)&gt;P_Tol,ABS(AM343+AN343-AO343)&gt;P_Tol,ABS(O343+P343-Q343)&gt;P_Tol),1,0),1))</f>
        <v/>
      </c>
      <c r="CU343" s="124" t="str">
        <f>IF($B343="","",IFERROR(IF(ABS(R343-(AB343+AM343+AP343+AR343+AT343+AV343+AX343+AZ343+BB343+BD343))&gt;P_Tol,1,0),1))</f>
        <v/>
      </c>
      <c r="CV343" s="124" t="str">
        <f>IF($B343="","",IFERROR(IF(ABS(M343-(N343+O343+R343))&gt;P_Tol,1,0),1))</f>
        <v/>
      </c>
      <c r="CW343" s="124" t="str">
        <f>IF($B343="","",IF(COUNTIF(Mapping!$A$5:$A$104,B343)&gt;0,1,0))</f>
        <v/>
      </c>
      <c r="CX343" s="124" t="str">
        <f>IF($B343="","",COUNTIF($B$6:$B$505,B343))</f>
        <v/>
      </c>
      <c r="CY343" s="124" t="str">
        <f>IF($B343="","",COUNTIF(STG_Woningetalage!$B$6:$B$505,B343))</f>
        <v/>
      </c>
      <c r="CZ343" s="124" t="str">
        <f>IF($B343="","",IF(CW343=0,COUNTIF($CW$6:CW343,0),""))</f>
        <v/>
      </c>
    </row>
    <row r="344">
      <c r="A344" s="15" t="n">
        <v>340</v>
      </c>
      <c r="B344" t="str">
        <f>IF(B$3=0,"",IF(INDEX(SRC_ZPMW03!$A$1:$ZZ$501,$A344,B$3)&amp;""="","",INDEX(SRC_ZPMW03!$A$1:$ZZ$501,$A344,B$3)&amp;""))</f>
        <v/>
      </c>
      <c r="C344" t="str">
        <f>IF($B344="","",IF(C$3=0,"n.b.",INDEX(SRC_ZPMW03!$A$1:$ZZ$501,$A344,C$3)))</f>
        <v/>
      </c>
      <c r="D344" t="str">
        <f>IF($B344="","",IF(D$3=0,"n.b.",INDEX(SRC_ZPMW03!$A$1:$ZZ$501,$A344,D$3)))</f>
        <v/>
      </c>
      <c r="E344" t="str">
        <f>IF($B344="","",IF(E$3=0,"n.b.",INDEX(SRC_ZPMW03!$A$1:$ZZ$501,$A344,E$3)))</f>
        <v/>
      </c>
      <c r="F344" t="str">
        <f>IF($B344="","",IF(F$3=0,"n.b.",INDEX(SRC_ZPMW03!$A$1:$ZZ$501,$A344,F$3)))</f>
        <v/>
      </c>
      <c r="G344" t="str">
        <f>IF($B344="","",IF(G$3=0,"n.b.",INDEX(SRC_ZPMW03!$A$1:$ZZ$501,$A344,G$3)))</f>
        <v/>
      </c>
      <c r="H344" t="str">
        <f>IF($B344="","",IF(H$3=0,"n.b.",INDEX(SRC_ZPMW03!$A$1:$ZZ$501,$A344,H$3)))</f>
        <v/>
      </c>
      <c r="I344" t="str">
        <f>IF($B344="","",IF(I$3=0,"n.b.",INDEX(SRC_ZPMW03!$A$1:$ZZ$501,$A344,I$3)))</f>
        <v/>
      </c>
      <c r="J344" t="str">
        <f>IF($B344="","",IF(J$3=0,"n.b.",INDEX(SRC_ZPMW03!$A$1:$ZZ$501,$A344,J$3)))</f>
        <v/>
      </c>
      <c r="K344" t="str">
        <f>IF($B344="","",IF(K$3=0,"n.b.",INDEX(SRC_ZPMW03!$A$1:$ZZ$501,$A344,K$3)))</f>
        <v/>
      </c>
      <c r="L344" s="124" t="str">
        <f>IF($B344="","",IF(L$3=0,"n.b.",INDEX(SRC_ZPMW03!$A$1:$ZZ$501,$A344,L$3)))</f>
        <v/>
      </c>
      <c r="M344" s="124" t="str">
        <f>IF($B344="","",IF(M$3=0,"n.b.",INDEX(SRC_ZPMW03!$A$1:$ZZ$501,$A344,M$3)))</f>
        <v/>
      </c>
      <c r="N344" s="124" t="str">
        <f>IF($B344="","",IF(N$3=0,"n.b.",INDEX(SRC_ZPMW03!$A$1:$ZZ$501,$A344,N$3)))</f>
        <v/>
      </c>
      <c r="O344" s="124" t="str">
        <f>IF($B344="","",IF(O$3=0,"n.b.",INDEX(SRC_ZPMW03!$A$1:$ZZ$501,$A344,O$3)))</f>
        <v/>
      </c>
      <c r="P344" s="124" t="str">
        <f>IF($B344="","",IF(P$3=0,"n.b.",INDEX(SRC_ZPMW03!$A$1:$ZZ$501,$A344,P$3)))</f>
        <v/>
      </c>
      <c r="Q344" s="124" t="str">
        <f>IF($B344="","",IF(Q$3=0,"n.b.",INDEX(SRC_ZPMW03!$A$1:$ZZ$501,$A344,Q$3)))</f>
        <v/>
      </c>
      <c r="R344" s="124" t="str">
        <f>IF($B344="","",IF(R$3=0,"n.b.",INDEX(SRC_ZPMW03!$A$1:$ZZ$501,$A344,R$3)))</f>
        <v/>
      </c>
      <c r="S344" s="124" t="str">
        <f>IF($B344="","",IF(S$3=0,"n.b.",INDEX(SRC_ZPMW03!$A$1:$ZZ$501,$A344,S$3)))</f>
        <v/>
      </c>
      <c r="T344" s="124" t="str">
        <f>IF($B344="","",IF(T$3=0,"n.b.",INDEX(SRC_ZPMW03!$A$1:$ZZ$501,$A344,T$3)))</f>
        <v/>
      </c>
      <c r="U344" s="124" t="str">
        <f>IF($B344="","",IF(U$3=0,"n.b.",INDEX(SRC_ZPMW03!$A$1:$ZZ$501,$A344,U$3)))</f>
        <v/>
      </c>
      <c r="V344" s="124" t="str">
        <f>IF($B344="","",IF(V$3=0,"n.b.",INDEX(SRC_ZPMW03!$A$1:$ZZ$501,$A344,V$3)))</f>
        <v/>
      </c>
      <c r="W344" s="124" t="str">
        <f>IF($B344="","",IF(W$3=0,"n.b.",INDEX(SRC_ZPMW03!$A$1:$ZZ$501,$A344,W$3)))</f>
        <v/>
      </c>
      <c r="X344" s="124" t="str">
        <f>IF($B344="","",IF(X$3=0,"n.b.",INDEX(SRC_ZPMW03!$A$1:$ZZ$501,$A344,X$3)))</f>
        <v/>
      </c>
      <c r="Y344" s="124" t="str">
        <f>IF($B344="","",IF(Y$3=0,"n.b.",INDEX(SRC_ZPMW03!$A$1:$ZZ$501,$A344,Y$3)))</f>
        <v/>
      </c>
      <c r="Z344" s="124" t="str">
        <f>IF($B344="","",IF(Z$3=0,"n.b.",INDEX(SRC_ZPMW03!$A$1:$ZZ$501,$A344,Z$3)))</f>
        <v/>
      </c>
      <c r="AA344" s="124" t="str">
        <f>IF($B344="","",IF(AA$3=0,"n.b.",INDEX(SRC_ZPMW03!$A$1:$ZZ$501,$A344,AA$3)))</f>
        <v/>
      </c>
      <c r="AB344" s="124" t="str">
        <f>IF($B344="","",IF(AB$3=0,"n.b.",INDEX(SRC_ZPMW03!$A$1:$ZZ$501,$A344,AB$3)))</f>
        <v/>
      </c>
      <c r="AC344" s="124" t="str">
        <f>IF($B344="","",IF(AC$3=0,"n.b.",INDEX(SRC_ZPMW03!$A$1:$ZZ$501,$A344,AC$3)))</f>
        <v/>
      </c>
      <c r="AD344" s="124" t="str">
        <f>IF($B344="","",IF(AD$3=0,"n.b.",INDEX(SRC_ZPMW03!$A$1:$ZZ$501,$A344,AD$3)))</f>
        <v/>
      </c>
      <c r="AE344" s="124" t="str">
        <f>IF($B344="","",IF(AE$3=0,"n.b.",INDEX(SRC_ZPMW03!$A$1:$ZZ$501,$A344,AE$3)))</f>
        <v/>
      </c>
      <c r="AF344" s="124" t="str">
        <f>IF($B344="","",IF(AF$3=0,"n.b.",INDEX(SRC_ZPMW03!$A$1:$ZZ$501,$A344,AF$3)))</f>
        <v/>
      </c>
      <c r="AG344" s="124" t="str">
        <f>IF($B344="","",IF(AG$3=0,"n.b.",INDEX(SRC_ZPMW03!$A$1:$ZZ$501,$A344,AG$3)))</f>
        <v/>
      </c>
      <c r="AH344" s="124" t="str">
        <f>IF($B344="","",IF(AH$3=0,"n.b.",INDEX(SRC_ZPMW03!$A$1:$ZZ$501,$A344,AH$3)))</f>
        <v/>
      </c>
      <c r="AI344" s="124" t="str">
        <f>IF($B344="","",IF(AI$3=0,"n.b.",INDEX(SRC_ZPMW03!$A$1:$ZZ$501,$A344,AI$3)))</f>
        <v/>
      </c>
      <c r="AJ344" s="124" t="str">
        <f>IF($B344="","",IF(AJ$3=0,"n.b.",INDEX(SRC_ZPMW03!$A$1:$ZZ$501,$A344,AJ$3)))</f>
        <v/>
      </c>
      <c r="AK344" s="124" t="str">
        <f>IF($B344="","",IF(AK$3=0,"n.b.",INDEX(SRC_ZPMW03!$A$1:$ZZ$501,$A344,AK$3)))</f>
        <v/>
      </c>
      <c r="AL344" s="124" t="str">
        <f>IF($B344="","",IF(AL$3=0,"n.b.",INDEX(SRC_ZPMW03!$A$1:$ZZ$501,$A344,AL$3)))</f>
        <v/>
      </c>
      <c r="AM344" s="124" t="str">
        <f>IF($B344="","",IF(AM$3=0,"n.b.",INDEX(SRC_ZPMW03!$A$1:$ZZ$501,$A344,AM$3)))</f>
        <v/>
      </c>
      <c r="AN344" s="124" t="str">
        <f>IF($B344="","",IF(AN$3=0,"n.b.",INDEX(SRC_ZPMW03!$A$1:$ZZ$501,$A344,AN$3)))</f>
        <v/>
      </c>
      <c r="AO344" s="124" t="str">
        <f>IF($B344="","",IF(AO$3=0,"n.b.",INDEX(SRC_ZPMW03!$A$1:$ZZ$501,$A344,AO$3)))</f>
        <v/>
      </c>
      <c r="AP344" s="124" t="str">
        <f>IF($B344="","",IF(AP$3=0,"n.b.",INDEX(SRC_ZPMW03!$A$1:$ZZ$501,$A344,AP$3)))</f>
        <v/>
      </c>
      <c r="AQ344" s="124" t="str">
        <f>IF($B344="","",IF(AQ$3=0,"n.b.",INDEX(SRC_ZPMW03!$A$1:$ZZ$501,$A344,AQ$3)))</f>
        <v/>
      </c>
      <c r="AR344" s="124" t="str">
        <f>IF($B344="","",IF(AR$3=0,"n.b.",INDEX(SRC_ZPMW03!$A$1:$ZZ$501,$A344,AR$3)))</f>
        <v/>
      </c>
      <c r="AS344" s="124" t="str">
        <f>IF($B344="","",IF(AS$3=0,"n.b.",INDEX(SRC_ZPMW03!$A$1:$ZZ$501,$A344,AS$3)))</f>
        <v/>
      </c>
      <c r="AT344" s="124" t="str">
        <f>IF($B344="","",IF(AT$3=0,"n.b.",INDEX(SRC_ZPMW03!$A$1:$ZZ$501,$A344,AT$3)))</f>
        <v/>
      </c>
      <c r="AU344" s="124" t="str">
        <f>IF($B344="","",IF(AU$3=0,"n.b.",INDEX(SRC_ZPMW03!$A$1:$ZZ$501,$A344,AU$3)))</f>
        <v/>
      </c>
      <c r="AV344" s="124" t="str">
        <f>IF($B344="","",IF(AV$3=0,"n.b.",INDEX(SRC_ZPMW03!$A$1:$ZZ$501,$A344,AV$3)))</f>
        <v/>
      </c>
      <c r="AW344" s="124" t="str">
        <f>IF($B344="","",IF(AW$3=0,"n.b.",INDEX(SRC_ZPMW03!$A$1:$ZZ$501,$A344,AW$3)))</f>
        <v/>
      </c>
      <c r="AX344" s="124" t="str">
        <f>IF($B344="","",IF(AX$3=0,"n.b.",INDEX(SRC_ZPMW03!$A$1:$ZZ$501,$A344,AX$3)))</f>
        <v/>
      </c>
      <c r="AY344" s="124" t="str">
        <f>IF($B344="","",IF(AY$3=0,"n.b.",INDEX(SRC_ZPMW03!$A$1:$ZZ$501,$A344,AY$3)))</f>
        <v/>
      </c>
      <c r="AZ344" s="124" t="str">
        <f>IF($B344="","",IF(AZ$3=0,"n.b.",INDEX(SRC_ZPMW03!$A$1:$ZZ$501,$A344,AZ$3)))</f>
        <v/>
      </c>
      <c r="BA344" s="124" t="str">
        <f>IF($B344="","",IF(BA$3=0,"n.b.",INDEX(SRC_ZPMW03!$A$1:$ZZ$501,$A344,BA$3)))</f>
        <v/>
      </c>
      <c r="BB344" s="124" t="str">
        <f>IF($B344="","",IF(BB$3=0,"n.b.",INDEX(SRC_ZPMW03!$A$1:$ZZ$501,$A344,BB$3)))</f>
        <v/>
      </c>
      <c r="BC344" s="124" t="str">
        <f>IF($B344="","",IF(BC$3=0,"n.b.",INDEX(SRC_ZPMW03!$A$1:$ZZ$501,$A344,BC$3)))</f>
        <v/>
      </c>
      <c r="BD344" s="124" t="str">
        <f>IF($B344="","",IF(BD$3=0,"n.b.",INDEX(SRC_ZPMW03!$A$1:$ZZ$501,$A344,BD$3)))</f>
        <v/>
      </c>
      <c r="BE344" s="124" t="str">
        <f>IF($B344="","",IF(BE$3=0,"n.b.",INDEX(SRC_ZPMW03!$A$1:$ZZ$501,$A344,BE$3)))</f>
        <v/>
      </c>
      <c r="BF344" s="124" t="str">
        <f>IF($B344="","",IF(BF$3=0,"n.b.",INDEX(SRC_ZPMW03!$A$1:$ZZ$501,$A344,BF$3)))</f>
        <v/>
      </c>
      <c r="BG344" t="str">
        <f>IF($B344="","",IF(BG$3=0,"n.b.",INDEX(SRC_ZPMW03!$A$1:$ZZ$501,$A344,BG$3)))</f>
        <v/>
      </c>
      <c r="BH344" t="str">
        <f>IF($B344="","",IF(BH$3=0,"n.b.",INDEX(SRC_ZPMW03!$A$1:$ZZ$501,$A344,BH$3)))</f>
        <v/>
      </c>
      <c r="BI344" t="str">
        <f>IF($B344="","",IF(BI$3=0,"n.b.",INDEX(SRC_ZPMW03!$A$1:$ZZ$501,$A344,BI$3)))</f>
        <v/>
      </c>
      <c r="BJ344" t="str">
        <f>IF($B344="","",IF(BJ$3=0,"n.b.",INDEX(SRC_ZPMW03!$A$1:$ZZ$501,$A344,BJ$3)))</f>
        <v/>
      </c>
      <c r="BK344" s="124" t="str">
        <f>IF($B344="","",IFERROR(-O344,"n.b."))</f>
        <v/>
      </c>
      <c r="BL344" s="124" t="str">
        <f>IF($B344="","",IFERROR(-Q344,"n.b."))</f>
        <v/>
      </c>
      <c r="BM344" s="124" t="str">
        <f>IF($B344="","",IFERROR(-AB344,"n.b."))</f>
        <v/>
      </c>
      <c r="BN344" s="124" t="str">
        <f>IF($B344="","",IFERROR(-AD344,"n.b."))</f>
        <v/>
      </c>
      <c r="BO344" s="124" t="str">
        <f>IF($B344="","",IFERROR(BK344+BM344,"n.b."))</f>
        <v/>
      </c>
      <c r="BP344" s="124" t="str">
        <f>IF($B344="","",IFERROR(BL344+BN344,"n.b."))</f>
        <v/>
      </c>
      <c r="BQ344" s="124" t="str">
        <f>IF($B344="","",IFERROR(-AM344,"n.b."))</f>
        <v/>
      </c>
      <c r="BR344" s="124" t="str">
        <f>IF($B344="","",IFERROR(-AO344,"n.b."))</f>
        <v/>
      </c>
      <c r="BS344" s="124" t="str">
        <f>IF($B344="","",IFERROR(-Z344,"n.b."))</f>
        <v/>
      </c>
      <c r="BT344" s="124" t="str">
        <f>IF($B344="","",IFERROR(-AA344,"n.b."))</f>
        <v/>
      </c>
      <c r="BU344" s="124" t="str">
        <f>IF($B344="","",IFERROR(-AE344,"n.b."))</f>
        <v/>
      </c>
      <c r="BV344" s="124" t="str">
        <f>IF($B344="","",IFERROR(-AF344,"n.b."))</f>
        <v/>
      </c>
      <c r="BW344" s="124" t="str">
        <f>IF($B344="","",IFERROR(-AG344,"n.b."))</f>
        <v/>
      </c>
      <c r="BX344" s="124" t="str">
        <f>IF($B344="","",IFERROR(-AH344,"n.b."))</f>
        <v/>
      </c>
      <c r="BY344" s="124" t="str">
        <f>IF($B344="","",IFERROR(-AI344,"n.b."))</f>
        <v/>
      </c>
      <c r="BZ344" s="124" t="str">
        <f>IF($B344="","",IFERROR(-AJ344,"n.b."))</f>
        <v/>
      </c>
      <c r="CA344" s="124" t="str">
        <f>IF($B344="","",IFERROR(-AK344,"n.b."))</f>
        <v/>
      </c>
      <c r="CB344" s="124" t="str">
        <f>IF($B344="","",IFERROR(-AL344,"n.b."))</f>
        <v/>
      </c>
      <c r="CC344" s="124" t="str">
        <f>IF($B344="","",IFERROR(-AP344,"n.b."))</f>
        <v/>
      </c>
      <c r="CD344" s="124" t="str">
        <f>IF($B344="","",IFERROR(-AQ344,"n.b."))</f>
        <v/>
      </c>
      <c r="CE344" s="124" t="str">
        <f>IF($B344="","",IFERROR(-AR344,"n.b."))</f>
        <v/>
      </c>
      <c r="CF344" s="124" t="str">
        <f>IF($B344="","",IFERROR(-AS344,"n.b."))</f>
        <v/>
      </c>
      <c r="CG344" s="124" t="str">
        <f>IF($B344="","",IFERROR(-AT344,"n.b."))</f>
        <v/>
      </c>
      <c r="CH344" s="124" t="str">
        <f>IF($B344="","",IFERROR(-AU344,"n.b."))</f>
        <v/>
      </c>
      <c r="CI344" s="124" t="str">
        <f>IF($B344="","",IFERROR(-AV344,"n.b."))</f>
        <v/>
      </c>
      <c r="CJ344" s="124" t="str">
        <f>IF($B344="","",IFERROR(-AW344,"n.b."))</f>
        <v/>
      </c>
      <c r="CK344" s="124" t="str">
        <f>IF($B344="","",IFERROR(-AX344,"n.b."))</f>
        <v/>
      </c>
      <c r="CL344" s="124" t="str">
        <f>IF($B344="","",IFERROR(-AY344,"n.b."))</f>
        <v/>
      </c>
      <c r="CM344" s="124" t="str">
        <f>IF($B344="","",IFERROR(-AZ344,"n.b."))</f>
        <v/>
      </c>
      <c r="CN344" s="124" t="str">
        <f>IF($B344="","",IFERROR(-BA344,"n.b."))</f>
        <v/>
      </c>
      <c r="CO344" s="124" t="str">
        <f>IF($B344="","",IFERROR(-BB344,"n.b."))</f>
        <v/>
      </c>
      <c r="CP344" s="124" t="str">
        <f>IF($B344="","",IFERROR(-BC344,"n.b."))</f>
        <v/>
      </c>
      <c r="CQ344" s="124" t="str">
        <f>IF($B344="","",IFERROR(-BD344,"n.b."))</f>
        <v/>
      </c>
      <c r="CR344" s="124" t="str">
        <f>IF($B344="","",IFERROR(-BE344,"n.b."))</f>
        <v/>
      </c>
      <c r="CS344" s="124" t="str">
        <f>IF($B344="","",IFERROR(IF(OR(ABS(T344+V344+X344+Z344-AB344)&gt;P_Tol,ABS(U344+W344+Y344+AA344-AD344)&gt;P_Tol,ABS(AE344+AG344+AI344+AK344-AM344)&gt;P_Tol,ABS(AF344+AH344+AJ344+AL344-AO344)&gt;P_Tol),1,0),1))</f>
        <v/>
      </c>
      <c r="CT344" s="124" t="str">
        <f>IF($B344="","",IFERROR(IF(OR(ABS(AB344+AC344-AD344)&gt;P_Tol,ABS(AM344+AN344-AO344)&gt;P_Tol,ABS(O344+P344-Q344)&gt;P_Tol),1,0),1))</f>
        <v/>
      </c>
      <c r="CU344" s="124" t="str">
        <f>IF($B344="","",IFERROR(IF(ABS(R344-(AB344+AM344+AP344+AR344+AT344+AV344+AX344+AZ344+BB344+BD344))&gt;P_Tol,1,0),1))</f>
        <v/>
      </c>
      <c r="CV344" s="124" t="str">
        <f>IF($B344="","",IFERROR(IF(ABS(M344-(N344+O344+R344))&gt;P_Tol,1,0),1))</f>
        <v/>
      </c>
      <c r="CW344" s="124" t="str">
        <f>IF($B344="","",IF(COUNTIF(Mapping!$A$5:$A$104,B344)&gt;0,1,0))</f>
        <v/>
      </c>
      <c r="CX344" s="124" t="str">
        <f>IF($B344="","",COUNTIF($B$6:$B$505,B344))</f>
        <v/>
      </c>
      <c r="CY344" s="124" t="str">
        <f>IF($B344="","",COUNTIF(STG_Woningetalage!$B$6:$B$505,B344))</f>
        <v/>
      </c>
      <c r="CZ344" s="124" t="str">
        <f>IF($B344="","",IF(CW344=0,COUNTIF($CW$6:CW344,0),""))</f>
        <v/>
      </c>
    </row>
    <row r="345">
      <c r="A345" s="15" t="n">
        <v>341</v>
      </c>
      <c r="B345" t="str">
        <f>IF(B$3=0,"",IF(INDEX(SRC_ZPMW03!$A$1:$ZZ$501,$A345,B$3)&amp;""="","",INDEX(SRC_ZPMW03!$A$1:$ZZ$501,$A345,B$3)&amp;""))</f>
        <v/>
      </c>
      <c r="C345" t="str">
        <f>IF($B345="","",IF(C$3=0,"n.b.",INDEX(SRC_ZPMW03!$A$1:$ZZ$501,$A345,C$3)))</f>
        <v/>
      </c>
      <c r="D345" t="str">
        <f>IF($B345="","",IF(D$3=0,"n.b.",INDEX(SRC_ZPMW03!$A$1:$ZZ$501,$A345,D$3)))</f>
        <v/>
      </c>
      <c r="E345" t="str">
        <f>IF($B345="","",IF(E$3=0,"n.b.",INDEX(SRC_ZPMW03!$A$1:$ZZ$501,$A345,E$3)))</f>
        <v/>
      </c>
      <c r="F345" t="str">
        <f>IF($B345="","",IF(F$3=0,"n.b.",INDEX(SRC_ZPMW03!$A$1:$ZZ$501,$A345,F$3)))</f>
        <v/>
      </c>
      <c r="G345" t="str">
        <f>IF($B345="","",IF(G$3=0,"n.b.",INDEX(SRC_ZPMW03!$A$1:$ZZ$501,$A345,G$3)))</f>
        <v/>
      </c>
      <c r="H345" t="str">
        <f>IF($B345="","",IF(H$3=0,"n.b.",INDEX(SRC_ZPMW03!$A$1:$ZZ$501,$A345,H$3)))</f>
        <v/>
      </c>
      <c r="I345" t="str">
        <f>IF($B345="","",IF(I$3=0,"n.b.",INDEX(SRC_ZPMW03!$A$1:$ZZ$501,$A345,I$3)))</f>
        <v/>
      </c>
      <c r="J345" t="str">
        <f>IF($B345="","",IF(J$3=0,"n.b.",INDEX(SRC_ZPMW03!$A$1:$ZZ$501,$A345,J$3)))</f>
        <v/>
      </c>
      <c r="K345" t="str">
        <f>IF($B345="","",IF(K$3=0,"n.b.",INDEX(SRC_ZPMW03!$A$1:$ZZ$501,$A345,K$3)))</f>
        <v/>
      </c>
      <c r="L345" s="124" t="str">
        <f>IF($B345="","",IF(L$3=0,"n.b.",INDEX(SRC_ZPMW03!$A$1:$ZZ$501,$A345,L$3)))</f>
        <v/>
      </c>
      <c r="M345" s="124" t="str">
        <f>IF($B345="","",IF(M$3=0,"n.b.",INDEX(SRC_ZPMW03!$A$1:$ZZ$501,$A345,M$3)))</f>
        <v/>
      </c>
      <c r="N345" s="124" t="str">
        <f>IF($B345="","",IF(N$3=0,"n.b.",INDEX(SRC_ZPMW03!$A$1:$ZZ$501,$A345,N$3)))</f>
        <v/>
      </c>
      <c r="O345" s="124" t="str">
        <f>IF($B345="","",IF(O$3=0,"n.b.",INDEX(SRC_ZPMW03!$A$1:$ZZ$501,$A345,O$3)))</f>
        <v/>
      </c>
      <c r="P345" s="124" t="str">
        <f>IF($B345="","",IF(P$3=0,"n.b.",INDEX(SRC_ZPMW03!$A$1:$ZZ$501,$A345,P$3)))</f>
        <v/>
      </c>
      <c r="Q345" s="124" t="str">
        <f>IF($B345="","",IF(Q$3=0,"n.b.",INDEX(SRC_ZPMW03!$A$1:$ZZ$501,$A345,Q$3)))</f>
        <v/>
      </c>
      <c r="R345" s="124" t="str">
        <f>IF($B345="","",IF(R$3=0,"n.b.",INDEX(SRC_ZPMW03!$A$1:$ZZ$501,$A345,R$3)))</f>
        <v/>
      </c>
      <c r="S345" s="124" t="str">
        <f>IF($B345="","",IF(S$3=0,"n.b.",INDEX(SRC_ZPMW03!$A$1:$ZZ$501,$A345,S$3)))</f>
        <v/>
      </c>
      <c r="T345" s="124" t="str">
        <f>IF($B345="","",IF(T$3=0,"n.b.",INDEX(SRC_ZPMW03!$A$1:$ZZ$501,$A345,T$3)))</f>
        <v/>
      </c>
      <c r="U345" s="124" t="str">
        <f>IF($B345="","",IF(U$3=0,"n.b.",INDEX(SRC_ZPMW03!$A$1:$ZZ$501,$A345,U$3)))</f>
        <v/>
      </c>
      <c r="V345" s="124" t="str">
        <f>IF($B345="","",IF(V$3=0,"n.b.",INDEX(SRC_ZPMW03!$A$1:$ZZ$501,$A345,V$3)))</f>
        <v/>
      </c>
      <c r="W345" s="124" t="str">
        <f>IF($B345="","",IF(W$3=0,"n.b.",INDEX(SRC_ZPMW03!$A$1:$ZZ$501,$A345,W$3)))</f>
        <v/>
      </c>
      <c r="X345" s="124" t="str">
        <f>IF($B345="","",IF(X$3=0,"n.b.",INDEX(SRC_ZPMW03!$A$1:$ZZ$501,$A345,X$3)))</f>
        <v/>
      </c>
      <c r="Y345" s="124" t="str">
        <f>IF($B345="","",IF(Y$3=0,"n.b.",INDEX(SRC_ZPMW03!$A$1:$ZZ$501,$A345,Y$3)))</f>
        <v/>
      </c>
      <c r="Z345" s="124" t="str">
        <f>IF($B345="","",IF(Z$3=0,"n.b.",INDEX(SRC_ZPMW03!$A$1:$ZZ$501,$A345,Z$3)))</f>
        <v/>
      </c>
      <c r="AA345" s="124" t="str">
        <f>IF($B345="","",IF(AA$3=0,"n.b.",INDEX(SRC_ZPMW03!$A$1:$ZZ$501,$A345,AA$3)))</f>
        <v/>
      </c>
      <c r="AB345" s="124" t="str">
        <f>IF($B345="","",IF(AB$3=0,"n.b.",INDEX(SRC_ZPMW03!$A$1:$ZZ$501,$A345,AB$3)))</f>
        <v/>
      </c>
      <c r="AC345" s="124" t="str">
        <f>IF($B345="","",IF(AC$3=0,"n.b.",INDEX(SRC_ZPMW03!$A$1:$ZZ$501,$A345,AC$3)))</f>
        <v/>
      </c>
      <c r="AD345" s="124" t="str">
        <f>IF($B345="","",IF(AD$3=0,"n.b.",INDEX(SRC_ZPMW03!$A$1:$ZZ$501,$A345,AD$3)))</f>
        <v/>
      </c>
      <c r="AE345" s="124" t="str">
        <f>IF($B345="","",IF(AE$3=0,"n.b.",INDEX(SRC_ZPMW03!$A$1:$ZZ$501,$A345,AE$3)))</f>
        <v/>
      </c>
      <c r="AF345" s="124" t="str">
        <f>IF($B345="","",IF(AF$3=0,"n.b.",INDEX(SRC_ZPMW03!$A$1:$ZZ$501,$A345,AF$3)))</f>
        <v/>
      </c>
      <c r="AG345" s="124" t="str">
        <f>IF($B345="","",IF(AG$3=0,"n.b.",INDEX(SRC_ZPMW03!$A$1:$ZZ$501,$A345,AG$3)))</f>
        <v/>
      </c>
      <c r="AH345" s="124" t="str">
        <f>IF($B345="","",IF(AH$3=0,"n.b.",INDEX(SRC_ZPMW03!$A$1:$ZZ$501,$A345,AH$3)))</f>
        <v/>
      </c>
      <c r="AI345" s="124" t="str">
        <f>IF($B345="","",IF(AI$3=0,"n.b.",INDEX(SRC_ZPMW03!$A$1:$ZZ$501,$A345,AI$3)))</f>
        <v/>
      </c>
      <c r="AJ345" s="124" t="str">
        <f>IF($B345="","",IF(AJ$3=0,"n.b.",INDEX(SRC_ZPMW03!$A$1:$ZZ$501,$A345,AJ$3)))</f>
        <v/>
      </c>
      <c r="AK345" s="124" t="str">
        <f>IF($B345="","",IF(AK$3=0,"n.b.",INDEX(SRC_ZPMW03!$A$1:$ZZ$501,$A345,AK$3)))</f>
        <v/>
      </c>
      <c r="AL345" s="124" t="str">
        <f>IF($B345="","",IF(AL$3=0,"n.b.",INDEX(SRC_ZPMW03!$A$1:$ZZ$501,$A345,AL$3)))</f>
        <v/>
      </c>
      <c r="AM345" s="124" t="str">
        <f>IF($B345="","",IF(AM$3=0,"n.b.",INDEX(SRC_ZPMW03!$A$1:$ZZ$501,$A345,AM$3)))</f>
        <v/>
      </c>
      <c r="AN345" s="124" t="str">
        <f>IF($B345="","",IF(AN$3=0,"n.b.",INDEX(SRC_ZPMW03!$A$1:$ZZ$501,$A345,AN$3)))</f>
        <v/>
      </c>
      <c r="AO345" s="124" t="str">
        <f>IF($B345="","",IF(AO$3=0,"n.b.",INDEX(SRC_ZPMW03!$A$1:$ZZ$501,$A345,AO$3)))</f>
        <v/>
      </c>
      <c r="AP345" s="124" t="str">
        <f>IF($B345="","",IF(AP$3=0,"n.b.",INDEX(SRC_ZPMW03!$A$1:$ZZ$501,$A345,AP$3)))</f>
        <v/>
      </c>
      <c r="AQ345" s="124" t="str">
        <f>IF($B345="","",IF(AQ$3=0,"n.b.",INDEX(SRC_ZPMW03!$A$1:$ZZ$501,$A345,AQ$3)))</f>
        <v/>
      </c>
      <c r="AR345" s="124" t="str">
        <f>IF($B345="","",IF(AR$3=0,"n.b.",INDEX(SRC_ZPMW03!$A$1:$ZZ$501,$A345,AR$3)))</f>
        <v/>
      </c>
      <c r="AS345" s="124" t="str">
        <f>IF($B345="","",IF(AS$3=0,"n.b.",INDEX(SRC_ZPMW03!$A$1:$ZZ$501,$A345,AS$3)))</f>
        <v/>
      </c>
      <c r="AT345" s="124" t="str">
        <f>IF($B345="","",IF(AT$3=0,"n.b.",INDEX(SRC_ZPMW03!$A$1:$ZZ$501,$A345,AT$3)))</f>
        <v/>
      </c>
      <c r="AU345" s="124" t="str">
        <f>IF($B345="","",IF(AU$3=0,"n.b.",INDEX(SRC_ZPMW03!$A$1:$ZZ$501,$A345,AU$3)))</f>
        <v/>
      </c>
      <c r="AV345" s="124" t="str">
        <f>IF($B345="","",IF(AV$3=0,"n.b.",INDEX(SRC_ZPMW03!$A$1:$ZZ$501,$A345,AV$3)))</f>
        <v/>
      </c>
      <c r="AW345" s="124" t="str">
        <f>IF($B345="","",IF(AW$3=0,"n.b.",INDEX(SRC_ZPMW03!$A$1:$ZZ$501,$A345,AW$3)))</f>
        <v/>
      </c>
      <c r="AX345" s="124" t="str">
        <f>IF($B345="","",IF(AX$3=0,"n.b.",INDEX(SRC_ZPMW03!$A$1:$ZZ$501,$A345,AX$3)))</f>
        <v/>
      </c>
      <c r="AY345" s="124" t="str">
        <f>IF($B345="","",IF(AY$3=0,"n.b.",INDEX(SRC_ZPMW03!$A$1:$ZZ$501,$A345,AY$3)))</f>
        <v/>
      </c>
      <c r="AZ345" s="124" t="str">
        <f>IF($B345="","",IF(AZ$3=0,"n.b.",INDEX(SRC_ZPMW03!$A$1:$ZZ$501,$A345,AZ$3)))</f>
        <v/>
      </c>
      <c r="BA345" s="124" t="str">
        <f>IF($B345="","",IF(BA$3=0,"n.b.",INDEX(SRC_ZPMW03!$A$1:$ZZ$501,$A345,BA$3)))</f>
        <v/>
      </c>
      <c r="BB345" s="124" t="str">
        <f>IF($B345="","",IF(BB$3=0,"n.b.",INDEX(SRC_ZPMW03!$A$1:$ZZ$501,$A345,BB$3)))</f>
        <v/>
      </c>
      <c r="BC345" s="124" t="str">
        <f>IF($B345="","",IF(BC$3=0,"n.b.",INDEX(SRC_ZPMW03!$A$1:$ZZ$501,$A345,BC$3)))</f>
        <v/>
      </c>
      <c r="BD345" s="124" t="str">
        <f>IF($B345="","",IF(BD$3=0,"n.b.",INDEX(SRC_ZPMW03!$A$1:$ZZ$501,$A345,BD$3)))</f>
        <v/>
      </c>
      <c r="BE345" s="124" t="str">
        <f>IF($B345="","",IF(BE$3=0,"n.b.",INDEX(SRC_ZPMW03!$A$1:$ZZ$501,$A345,BE$3)))</f>
        <v/>
      </c>
      <c r="BF345" s="124" t="str">
        <f>IF($B345="","",IF(BF$3=0,"n.b.",INDEX(SRC_ZPMW03!$A$1:$ZZ$501,$A345,BF$3)))</f>
        <v/>
      </c>
      <c r="BG345" t="str">
        <f>IF($B345="","",IF(BG$3=0,"n.b.",INDEX(SRC_ZPMW03!$A$1:$ZZ$501,$A345,BG$3)))</f>
        <v/>
      </c>
      <c r="BH345" t="str">
        <f>IF($B345="","",IF(BH$3=0,"n.b.",INDEX(SRC_ZPMW03!$A$1:$ZZ$501,$A345,BH$3)))</f>
        <v/>
      </c>
      <c r="BI345" t="str">
        <f>IF($B345="","",IF(BI$3=0,"n.b.",INDEX(SRC_ZPMW03!$A$1:$ZZ$501,$A345,BI$3)))</f>
        <v/>
      </c>
      <c r="BJ345" t="str">
        <f>IF($B345="","",IF(BJ$3=0,"n.b.",INDEX(SRC_ZPMW03!$A$1:$ZZ$501,$A345,BJ$3)))</f>
        <v/>
      </c>
      <c r="BK345" s="124" t="str">
        <f>IF($B345="","",IFERROR(-O345,"n.b."))</f>
        <v/>
      </c>
      <c r="BL345" s="124" t="str">
        <f>IF($B345="","",IFERROR(-Q345,"n.b."))</f>
        <v/>
      </c>
      <c r="BM345" s="124" t="str">
        <f>IF($B345="","",IFERROR(-AB345,"n.b."))</f>
        <v/>
      </c>
      <c r="BN345" s="124" t="str">
        <f>IF($B345="","",IFERROR(-AD345,"n.b."))</f>
        <v/>
      </c>
      <c r="BO345" s="124" t="str">
        <f>IF($B345="","",IFERROR(BK345+BM345,"n.b."))</f>
        <v/>
      </c>
      <c r="BP345" s="124" t="str">
        <f>IF($B345="","",IFERROR(BL345+BN345,"n.b."))</f>
        <v/>
      </c>
      <c r="BQ345" s="124" t="str">
        <f>IF($B345="","",IFERROR(-AM345,"n.b."))</f>
        <v/>
      </c>
      <c r="BR345" s="124" t="str">
        <f>IF($B345="","",IFERROR(-AO345,"n.b."))</f>
        <v/>
      </c>
      <c r="BS345" s="124" t="str">
        <f>IF($B345="","",IFERROR(-Z345,"n.b."))</f>
        <v/>
      </c>
      <c r="BT345" s="124" t="str">
        <f>IF($B345="","",IFERROR(-AA345,"n.b."))</f>
        <v/>
      </c>
      <c r="BU345" s="124" t="str">
        <f>IF($B345="","",IFERROR(-AE345,"n.b."))</f>
        <v/>
      </c>
      <c r="BV345" s="124" t="str">
        <f>IF($B345="","",IFERROR(-AF345,"n.b."))</f>
        <v/>
      </c>
      <c r="BW345" s="124" t="str">
        <f>IF($B345="","",IFERROR(-AG345,"n.b."))</f>
        <v/>
      </c>
      <c r="BX345" s="124" t="str">
        <f>IF($B345="","",IFERROR(-AH345,"n.b."))</f>
        <v/>
      </c>
      <c r="BY345" s="124" t="str">
        <f>IF($B345="","",IFERROR(-AI345,"n.b."))</f>
        <v/>
      </c>
      <c r="BZ345" s="124" t="str">
        <f>IF($B345="","",IFERROR(-AJ345,"n.b."))</f>
        <v/>
      </c>
      <c r="CA345" s="124" t="str">
        <f>IF($B345="","",IFERROR(-AK345,"n.b."))</f>
        <v/>
      </c>
      <c r="CB345" s="124" t="str">
        <f>IF($B345="","",IFERROR(-AL345,"n.b."))</f>
        <v/>
      </c>
      <c r="CC345" s="124" t="str">
        <f>IF($B345="","",IFERROR(-AP345,"n.b."))</f>
        <v/>
      </c>
      <c r="CD345" s="124" t="str">
        <f>IF($B345="","",IFERROR(-AQ345,"n.b."))</f>
        <v/>
      </c>
      <c r="CE345" s="124" t="str">
        <f>IF($B345="","",IFERROR(-AR345,"n.b."))</f>
        <v/>
      </c>
      <c r="CF345" s="124" t="str">
        <f>IF($B345="","",IFERROR(-AS345,"n.b."))</f>
        <v/>
      </c>
      <c r="CG345" s="124" t="str">
        <f>IF($B345="","",IFERROR(-AT345,"n.b."))</f>
        <v/>
      </c>
      <c r="CH345" s="124" t="str">
        <f>IF($B345="","",IFERROR(-AU345,"n.b."))</f>
        <v/>
      </c>
      <c r="CI345" s="124" t="str">
        <f>IF($B345="","",IFERROR(-AV345,"n.b."))</f>
        <v/>
      </c>
      <c r="CJ345" s="124" t="str">
        <f>IF($B345="","",IFERROR(-AW345,"n.b."))</f>
        <v/>
      </c>
      <c r="CK345" s="124" t="str">
        <f>IF($B345="","",IFERROR(-AX345,"n.b."))</f>
        <v/>
      </c>
      <c r="CL345" s="124" t="str">
        <f>IF($B345="","",IFERROR(-AY345,"n.b."))</f>
        <v/>
      </c>
      <c r="CM345" s="124" t="str">
        <f>IF($B345="","",IFERROR(-AZ345,"n.b."))</f>
        <v/>
      </c>
      <c r="CN345" s="124" t="str">
        <f>IF($B345="","",IFERROR(-BA345,"n.b."))</f>
        <v/>
      </c>
      <c r="CO345" s="124" t="str">
        <f>IF($B345="","",IFERROR(-BB345,"n.b."))</f>
        <v/>
      </c>
      <c r="CP345" s="124" t="str">
        <f>IF($B345="","",IFERROR(-BC345,"n.b."))</f>
        <v/>
      </c>
      <c r="CQ345" s="124" t="str">
        <f>IF($B345="","",IFERROR(-BD345,"n.b."))</f>
        <v/>
      </c>
      <c r="CR345" s="124" t="str">
        <f>IF($B345="","",IFERROR(-BE345,"n.b."))</f>
        <v/>
      </c>
      <c r="CS345" s="124" t="str">
        <f>IF($B345="","",IFERROR(IF(OR(ABS(T345+V345+X345+Z345-AB345)&gt;P_Tol,ABS(U345+W345+Y345+AA345-AD345)&gt;P_Tol,ABS(AE345+AG345+AI345+AK345-AM345)&gt;P_Tol,ABS(AF345+AH345+AJ345+AL345-AO345)&gt;P_Tol),1,0),1))</f>
        <v/>
      </c>
      <c r="CT345" s="124" t="str">
        <f>IF($B345="","",IFERROR(IF(OR(ABS(AB345+AC345-AD345)&gt;P_Tol,ABS(AM345+AN345-AO345)&gt;P_Tol,ABS(O345+P345-Q345)&gt;P_Tol),1,0),1))</f>
        <v/>
      </c>
      <c r="CU345" s="124" t="str">
        <f>IF($B345="","",IFERROR(IF(ABS(R345-(AB345+AM345+AP345+AR345+AT345+AV345+AX345+AZ345+BB345+BD345))&gt;P_Tol,1,0),1))</f>
        <v/>
      </c>
      <c r="CV345" s="124" t="str">
        <f>IF($B345="","",IFERROR(IF(ABS(M345-(N345+O345+R345))&gt;P_Tol,1,0),1))</f>
        <v/>
      </c>
      <c r="CW345" s="124" t="str">
        <f>IF($B345="","",IF(COUNTIF(Mapping!$A$5:$A$104,B345)&gt;0,1,0))</f>
        <v/>
      </c>
      <c r="CX345" s="124" t="str">
        <f>IF($B345="","",COUNTIF($B$6:$B$505,B345))</f>
        <v/>
      </c>
      <c r="CY345" s="124" t="str">
        <f>IF($B345="","",COUNTIF(STG_Woningetalage!$B$6:$B$505,B345))</f>
        <v/>
      </c>
      <c r="CZ345" s="124" t="str">
        <f>IF($B345="","",IF(CW345=0,COUNTIF($CW$6:CW345,0),""))</f>
        <v/>
      </c>
    </row>
    <row r="346">
      <c r="A346" s="15" t="n">
        <v>342</v>
      </c>
      <c r="B346" t="str">
        <f>IF(B$3=0,"",IF(INDEX(SRC_ZPMW03!$A$1:$ZZ$501,$A346,B$3)&amp;""="","",INDEX(SRC_ZPMW03!$A$1:$ZZ$501,$A346,B$3)&amp;""))</f>
        <v/>
      </c>
      <c r="C346" t="str">
        <f>IF($B346="","",IF(C$3=0,"n.b.",INDEX(SRC_ZPMW03!$A$1:$ZZ$501,$A346,C$3)))</f>
        <v/>
      </c>
      <c r="D346" t="str">
        <f>IF($B346="","",IF(D$3=0,"n.b.",INDEX(SRC_ZPMW03!$A$1:$ZZ$501,$A346,D$3)))</f>
        <v/>
      </c>
      <c r="E346" t="str">
        <f>IF($B346="","",IF(E$3=0,"n.b.",INDEX(SRC_ZPMW03!$A$1:$ZZ$501,$A346,E$3)))</f>
        <v/>
      </c>
      <c r="F346" t="str">
        <f>IF($B346="","",IF(F$3=0,"n.b.",INDEX(SRC_ZPMW03!$A$1:$ZZ$501,$A346,F$3)))</f>
        <v/>
      </c>
      <c r="G346" t="str">
        <f>IF($B346="","",IF(G$3=0,"n.b.",INDEX(SRC_ZPMW03!$A$1:$ZZ$501,$A346,G$3)))</f>
        <v/>
      </c>
      <c r="H346" t="str">
        <f>IF($B346="","",IF(H$3=0,"n.b.",INDEX(SRC_ZPMW03!$A$1:$ZZ$501,$A346,H$3)))</f>
        <v/>
      </c>
      <c r="I346" t="str">
        <f>IF($B346="","",IF(I$3=0,"n.b.",INDEX(SRC_ZPMW03!$A$1:$ZZ$501,$A346,I$3)))</f>
        <v/>
      </c>
      <c r="J346" t="str">
        <f>IF($B346="","",IF(J$3=0,"n.b.",INDEX(SRC_ZPMW03!$A$1:$ZZ$501,$A346,J$3)))</f>
        <v/>
      </c>
      <c r="K346" t="str">
        <f>IF($B346="","",IF(K$3=0,"n.b.",INDEX(SRC_ZPMW03!$A$1:$ZZ$501,$A346,K$3)))</f>
        <v/>
      </c>
      <c r="L346" s="124" t="str">
        <f>IF($B346="","",IF(L$3=0,"n.b.",INDEX(SRC_ZPMW03!$A$1:$ZZ$501,$A346,L$3)))</f>
        <v/>
      </c>
      <c r="M346" s="124" t="str">
        <f>IF($B346="","",IF(M$3=0,"n.b.",INDEX(SRC_ZPMW03!$A$1:$ZZ$501,$A346,M$3)))</f>
        <v/>
      </c>
      <c r="N346" s="124" t="str">
        <f>IF($B346="","",IF(N$3=0,"n.b.",INDEX(SRC_ZPMW03!$A$1:$ZZ$501,$A346,N$3)))</f>
        <v/>
      </c>
      <c r="O346" s="124" t="str">
        <f>IF($B346="","",IF(O$3=0,"n.b.",INDEX(SRC_ZPMW03!$A$1:$ZZ$501,$A346,O$3)))</f>
        <v/>
      </c>
      <c r="P346" s="124" t="str">
        <f>IF($B346="","",IF(P$3=0,"n.b.",INDEX(SRC_ZPMW03!$A$1:$ZZ$501,$A346,P$3)))</f>
        <v/>
      </c>
      <c r="Q346" s="124" t="str">
        <f>IF($B346="","",IF(Q$3=0,"n.b.",INDEX(SRC_ZPMW03!$A$1:$ZZ$501,$A346,Q$3)))</f>
        <v/>
      </c>
      <c r="R346" s="124" t="str">
        <f>IF($B346="","",IF(R$3=0,"n.b.",INDEX(SRC_ZPMW03!$A$1:$ZZ$501,$A346,R$3)))</f>
        <v/>
      </c>
      <c r="S346" s="124" t="str">
        <f>IF($B346="","",IF(S$3=0,"n.b.",INDEX(SRC_ZPMW03!$A$1:$ZZ$501,$A346,S$3)))</f>
        <v/>
      </c>
      <c r="T346" s="124" t="str">
        <f>IF($B346="","",IF(T$3=0,"n.b.",INDEX(SRC_ZPMW03!$A$1:$ZZ$501,$A346,T$3)))</f>
        <v/>
      </c>
      <c r="U346" s="124" t="str">
        <f>IF($B346="","",IF(U$3=0,"n.b.",INDEX(SRC_ZPMW03!$A$1:$ZZ$501,$A346,U$3)))</f>
        <v/>
      </c>
      <c r="V346" s="124" t="str">
        <f>IF($B346="","",IF(V$3=0,"n.b.",INDEX(SRC_ZPMW03!$A$1:$ZZ$501,$A346,V$3)))</f>
        <v/>
      </c>
      <c r="W346" s="124" t="str">
        <f>IF($B346="","",IF(W$3=0,"n.b.",INDEX(SRC_ZPMW03!$A$1:$ZZ$501,$A346,W$3)))</f>
        <v/>
      </c>
      <c r="X346" s="124" t="str">
        <f>IF($B346="","",IF(X$3=0,"n.b.",INDEX(SRC_ZPMW03!$A$1:$ZZ$501,$A346,X$3)))</f>
        <v/>
      </c>
      <c r="Y346" s="124" t="str">
        <f>IF($B346="","",IF(Y$3=0,"n.b.",INDEX(SRC_ZPMW03!$A$1:$ZZ$501,$A346,Y$3)))</f>
        <v/>
      </c>
      <c r="Z346" s="124" t="str">
        <f>IF($B346="","",IF(Z$3=0,"n.b.",INDEX(SRC_ZPMW03!$A$1:$ZZ$501,$A346,Z$3)))</f>
        <v/>
      </c>
      <c r="AA346" s="124" t="str">
        <f>IF($B346="","",IF(AA$3=0,"n.b.",INDEX(SRC_ZPMW03!$A$1:$ZZ$501,$A346,AA$3)))</f>
        <v/>
      </c>
      <c r="AB346" s="124" t="str">
        <f>IF($B346="","",IF(AB$3=0,"n.b.",INDEX(SRC_ZPMW03!$A$1:$ZZ$501,$A346,AB$3)))</f>
        <v/>
      </c>
      <c r="AC346" s="124" t="str">
        <f>IF($B346="","",IF(AC$3=0,"n.b.",INDEX(SRC_ZPMW03!$A$1:$ZZ$501,$A346,AC$3)))</f>
        <v/>
      </c>
      <c r="AD346" s="124" t="str">
        <f>IF($B346="","",IF(AD$3=0,"n.b.",INDEX(SRC_ZPMW03!$A$1:$ZZ$501,$A346,AD$3)))</f>
        <v/>
      </c>
      <c r="AE346" s="124" t="str">
        <f>IF($B346="","",IF(AE$3=0,"n.b.",INDEX(SRC_ZPMW03!$A$1:$ZZ$501,$A346,AE$3)))</f>
        <v/>
      </c>
      <c r="AF346" s="124" t="str">
        <f>IF($B346="","",IF(AF$3=0,"n.b.",INDEX(SRC_ZPMW03!$A$1:$ZZ$501,$A346,AF$3)))</f>
        <v/>
      </c>
      <c r="AG346" s="124" t="str">
        <f>IF($B346="","",IF(AG$3=0,"n.b.",INDEX(SRC_ZPMW03!$A$1:$ZZ$501,$A346,AG$3)))</f>
        <v/>
      </c>
      <c r="AH346" s="124" t="str">
        <f>IF($B346="","",IF(AH$3=0,"n.b.",INDEX(SRC_ZPMW03!$A$1:$ZZ$501,$A346,AH$3)))</f>
        <v/>
      </c>
      <c r="AI346" s="124" t="str">
        <f>IF($B346="","",IF(AI$3=0,"n.b.",INDEX(SRC_ZPMW03!$A$1:$ZZ$501,$A346,AI$3)))</f>
        <v/>
      </c>
      <c r="AJ346" s="124" t="str">
        <f>IF($B346="","",IF(AJ$3=0,"n.b.",INDEX(SRC_ZPMW03!$A$1:$ZZ$501,$A346,AJ$3)))</f>
        <v/>
      </c>
      <c r="AK346" s="124" t="str">
        <f>IF($B346="","",IF(AK$3=0,"n.b.",INDEX(SRC_ZPMW03!$A$1:$ZZ$501,$A346,AK$3)))</f>
        <v/>
      </c>
      <c r="AL346" s="124" t="str">
        <f>IF($B346="","",IF(AL$3=0,"n.b.",INDEX(SRC_ZPMW03!$A$1:$ZZ$501,$A346,AL$3)))</f>
        <v/>
      </c>
      <c r="AM346" s="124" t="str">
        <f>IF($B346="","",IF(AM$3=0,"n.b.",INDEX(SRC_ZPMW03!$A$1:$ZZ$501,$A346,AM$3)))</f>
        <v/>
      </c>
      <c r="AN346" s="124" t="str">
        <f>IF($B346="","",IF(AN$3=0,"n.b.",INDEX(SRC_ZPMW03!$A$1:$ZZ$501,$A346,AN$3)))</f>
        <v/>
      </c>
      <c r="AO346" s="124" t="str">
        <f>IF($B346="","",IF(AO$3=0,"n.b.",INDEX(SRC_ZPMW03!$A$1:$ZZ$501,$A346,AO$3)))</f>
        <v/>
      </c>
      <c r="AP346" s="124" t="str">
        <f>IF($B346="","",IF(AP$3=0,"n.b.",INDEX(SRC_ZPMW03!$A$1:$ZZ$501,$A346,AP$3)))</f>
        <v/>
      </c>
      <c r="AQ346" s="124" t="str">
        <f>IF($B346="","",IF(AQ$3=0,"n.b.",INDEX(SRC_ZPMW03!$A$1:$ZZ$501,$A346,AQ$3)))</f>
        <v/>
      </c>
      <c r="AR346" s="124" t="str">
        <f>IF($B346="","",IF(AR$3=0,"n.b.",INDEX(SRC_ZPMW03!$A$1:$ZZ$501,$A346,AR$3)))</f>
        <v/>
      </c>
      <c r="AS346" s="124" t="str">
        <f>IF($B346="","",IF(AS$3=0,"n.b.",INDEX(SRC_ZPMW03!$A$1:$ZZ$501,$A346,AS$3)))</f>
        <v/>
      </c>
      <c r="AT346" s="124" t="str">
        <f>IF($B346="","",IF(AT$3=0,"n.b.",INDEX(SRC_ZPMW03!$A$1:$ZZ$501,$A346,AT$3)))</f>
        <v/>
      </c>
      <c r="AU346" s="124" t="str">
        <f>IF($B346="","",IF(AU$3=0,"n.b.",INDEX(SRC_ZPMW03!$A$1:$ZZ$501,$A346,AU$3)))</f>
        <v/>
      </c>
      <c r="AV346" s="124" t="str">
        <f>IF($B346="","",IF(AV$3=0,"n.b.",INDEX(SRC_ZPMW03!$A$1:$ZZ$501,$A346,AV$3)))</f>
        <v/>
      </c>
      <c r="AW346" s="124" t="str">
        <f>IF($B346="","",IF(AW$3=0,"n.b.",INDEX(SRC_ZPMW03!$A$1:$ZZ$501,$A346,AW$3)))</f>
        <v/>
      </c>
      <c r="AX346" s="124" t="str">
        <f>IF($B346="","",IF(AX$3=0,"n.b.",INDEX(SRC_ZPMW03!$A$1:$ZZ$501,$A346,AX$3)))</f>
        <v/>
      </c>
      <c r="AY346" s="124" t="str">
        <f>IF($B346="","",IF(AY$3=0,"n.b.",INDEX(SRC_ZPMW03!$A$1:$ZZ$501,$A346,AY$3)))</f>
        <v/>
      </c>
      <c r="AZ346" s="124" t="str">
        <f>IF($B346="","",IF(AZ$3=0,"n.b.",INDEX(SRC_ZPMW03!$A$1:$ZZ$501,$A346,AZ$3)))</f>
        <v/>
      </c>
      <c r="BA346" s="124" t="str">
        <f>IF($B346="","",IF(BA$3=0,"n.b.",INDEX(SRC_ZPMW03!$A$1:$ZZ$501,$A346,BA$3)))</f>
        <v/>
      </c>
      <c r="BB346" s="124" t="str">
        <f>IF($B346="","",IF(BB$3=0,"n.b.",INDEX(SRC_ZPMW03!$A$1:$ZZ$501,$A346,BB$3)))</f>
        <v/>
      </c>
      <c r="BC346" s="124" t="str">
        <f>IF($B346="","",IF(BC$3=0,"n.b.",INDEX(SRC_ZPMW03!$A$1:$ZZ$501,$A346,BC$3)))</f>
        <v/>
      </c>
      <c r="BD346" s="124" t="str">
        <f>IF($B346="","",IF(BD$3=0,"n.b.",INDEX(SRC_ZPMW03!$A$1:$ZZ$501,$A346,BD$3)))</f>
        <v/>
      </c>
      <c r="BE346" s="124" t="str">
        <f>IF($B346="","",IF(BE$3=0,"n.b.",INDEX(SRC_ZPMW03!$A$1:$ZZ$501,$A346,BE$3)))</f>
        <v/>
      </c>
      <c r="BF346" s="124" t="str">
        <f>IF($B346="","",IF(BF$3=0,"n.b.",INDEX(SRC_ZPMW03!$A$1:$ZZ$501,$A346,BF$3)))</f>
        <v/>
      </c>
      <c r="BG346" t="str">
        <f>IF($B346="","",IF(BG$3=0,"n.b.",INDEX(SRC_ZPMW03!$A$1:$ZZ$501,$A346,BG$3)))</f>
        <v/>
      </c>
      <c r="BH346" t="str">
        <f>IF($B346="","",IF(BH$3=0,"n.b.",INDEX(SRC_ZPMW03!$A$1:$ZZ$501,$A346,BH$3)))</f>
        <v/>
      </c>
      <c r="BI346" t="str">
        <f>IF($B346="","",IF(BI$3=0,"n.b.",INDEX(SRC_ZPMW03!$A$1:$ZZ$501,$A346,BI$3)))</f>
        <v/>
      </c>
      <c r="BJ346" t="str">
        <f>IF($B346="","",IF(BJ$3=0,"n.b.",INDEX(SRC_ZPMW03!$A$1:$ZZ$501,$A346,BJ$3)))</f>
        <v/>
      </c>
      <c r="BK346" s="124" t="str">
        <f>IF($B346="","",IFERROR(-O346,"n.b."))</f>
        <v/>
      </c>
      <c r="BL346" s="124" t="str">
        <f>IF($B346="","",IFERROR(-Q346,"n.b."))</f>
        <v/>
      </c>
      <c r="BM346" s="124" t="str">
        <f>IF($B346="","",IFERROR(-AB346,"n.b."))</f>
        <v/>
      </c>
      <c r="BN346" s="124" t="str">
        <f>IF($B346="","",IFERROR(-AD346,"n.b."))</f>
        <v/>
      </c>
      <c r="BO346" s="124" t="str">
        <f>IF($B346="","",IFERROR(BK346+BM346,"n.b."))</f>
        <v/>
      </c>
      <c r="BP346" s="124" t="str">
        <f>IF($B346="","",IFERROR(BL346+BN346,"n.b."))</f>
        <v/>
      </c>
      <c r="BQ346" s="124" t="str">
        <f>IF($B346="","",IFERROR(-AM346,"n.b."))</f>
        <v/>
      </c>
      <c r="BR346" s="124" t="str">
        <f>IF($B346="","",IFERROR(-AO346,"n.b."))</f>
        <v/>
      </c>
      <c r="BS346" s="124" t="str">
        <f>IF($B346="","",IFERROR(-Z346,"n.b."))</f>
        <v/>
      </c>
      <c r="BT346" s="124" t="str">
        <f>IF($B346="","",IFERROR(-AA346,"n.b."))</f>
        <v/>
      </c>
      <c r="BU346" s="124" t="str">
        <f>IF($B346="","",IFERROR(-AE346,"n.b."))</f>
        <v/>
      </c>
      <c r="BV346" s="124" t="str">
        <f>IF($B346="","",IFERROR(-AF346,"n.b."))</f>
        <v/>
      </c>
      <c r="BW346" s="124" t="str">
        <f>IF($B346="","",IFERROR(-AG346,"n.b."))</f>
        <v/>
      </c>
      <c r="BX346" s="124" t="str">
        <f>IF($B346="","",IFERROR(-AH346,"n.b."))</f>
        <v/>
      </c>
      <c r="BY346" s="124" t="str">
        <f>IF($B346="","",IFERROR(-AI346,"n.b."))</f>
        <v/>
      </c>
      <c r="BZ346" s="124" t="str">
        <f>IF($B346="","",IFERROR(-AJ346,"n.b."))</f>
        <v/>
      </c>
      <c r="CA346" s="124" t="str">
        <f>IF($B346="","",IFERROR(-AK346,"n.b."))</f>
        <v/>
      </c>
      <c r="CB346" s="124" t="str">
        <f>IF($B346="","",IFERROR(-AL346,"n.b."))</f>
        <v/>
      </c>
      <c r="CC346" s="124" t="str">
        <f>IF($B346="","",IFERROR(-AP346,"n.b."))</f>
        <v/>
      </c>
      <c r="CD346" s="124" t="str">
        <f>IF($B346="","",IFERROR(-AQ346,"n.b."))</f>
        <v/>
      </c>
      <c r="CE346" s="124" t="str">
        <f>IF($B346="","",IFERROR(-AR346,"n.b."))</f>
        <v/>
      </c>
      <c r="CF346" s="124" t="str">
        <f>IF($B346="","",IFERROR(-AS346,"n.b."))</f>
        <v/>
      </c>
      <c r="CG346" s="124" t="str">
        <f>IF($B346="","",IFERROR(-AT346,"n.b."))</f>
        <v/>
      </c>
      <c r="CH346" s="124" t="str">
        <f>IF($B346="","",IFERROR(-AU346,"n.b."))</f>
        <v/>
      </c>
      <c r="CI346" s="124" t="str">
        <f>IF($B346="","",IFERROR(-AV346,"n.b."))</f>
        <v/>
      </c>
      <c r="CJ346" s="124" t="str">
        <f>IF($B346="","",IFERROR(-AW346,"n.b."))</f>
        <v/>
      </c>
      <c r="CK346" s="124" t="str">
        <f>IF($B346="","",IFERROR(-AX346,"n.b."))</f>
        <v/>
      </c>
      <c r="CL346" s="124" t="str">
        <f>IF($B346="","",IFERROR(-AY346,"n.b."))</f>
        <v/>
      </c>
      <c r="CM346" s="124" t="str">
        <f>IF($B346="","",IFERROR(-AZ346,"n.b."))</f>
        <v/>
      </c>
      <c r="CN346" s="124" t="str">
        <f>IF($B346="","",IFERROR(-BA346,"n.b."))</f>
        <v/>
      </c>
      <c r="CO346" s="124" t="str">
        <f>IF($B346="","",IFERROR(-BB346,"n.b."))</f>
        <v/>
      </c>
      <c r="CP346" s="124" t="str">
        <f>IF($B346="","",IFERROR(-BC346,"n.b."))</f>
        <v/>
      </c>
      <c r="CQ346" s="124" t="str">
        <f>IF($B346="","",IFERROR(-BD346,"n.b."))</f>
        <v/>
      </c>
      <c r="CR346" s="124" t="str">
        <f>IF($B346="","",IFERROR(-BE346,"n.b."))</f>
        <v/>
      </c>
      <c r="CS346" s="124" t="str">
        <f>IF($B346="","",IFERROR(IF(OR(ABS(T346+V346+X346+Z346-AB346)&gt;P_Tol,ABS(U346+W346+Y346+AA346-AD346)&gt;P_Tol,ABS(AE346+AG346+AI346+AK346-AM346)&gt;P_Tol,ABS(AF346+AH346+AJ346+AL346-AO346)&gt;P_Tol),1,0),1))</f>
        <v/>
      </c>
      <c r="CT346" s="124" t="str">
        <f>IF($B346="","",IFERROR(IF(OR(ABS(AB346+AC346-AD346)&gt;P_Tol,ABS(AM346+AN346-AO346)&gt;P_Tol,ABS(O346+P346-Q346)&gt;P_Tol),1,0),1))</f>
        <v/>
      </c>
      <c r="CU346" s="124" t="str">
        <f>IF($B346="","",IFERROR(IF(ABS(R346-(AB346+AM346+AP346+AR346+AT346+AV346+AX346+AZ346+BB346+BD346))&gt;P_Tol,1,0),1))</f>
        <v/>
      </c>
      <c r="CV346" s="124" t="str">
        <f>IF($B346="","",IFERROR(IF(ABS(M346-(N346+O346+R346))&gt;P_Tol,1,0),1))</f>
        <v/>
      </c>
      <c r="CW346" s="124" t="str">
        <f>IF($B346="","",IF(COUNTIF(Mapping!$A$5:$A$104,B346)&gt;0,1,0))</f>
        <v/>
      </c>
      <c r="CX346" s="124" t="str">
        <f>IF($B346="","",COUNTIF($B$6:$B$505,B346))</f>
        <v/>
      </c>
      <c r="CY346" s="124" t="str">
        <f>IF($B346="","",COUNTIF(STG_Woningetalage!$B$6:$B$505,B346))</f>
        <v/>
      </c>
      <c r="CZ346" s="124" t="str">
        <f>IF($B346="","",IF(CW346=0,COUNTIF($CW$6:CW346,0),""))</f>
        <v/>
      </c>
    </row>
    <row r="347">
      <c r="A347" s="15" t="n">
        <v>343</v>
      </c>
      <c r="B347" t="str">
        <f>IF(B$3=0,"",IF(INDEX(SRC_ZPMW03!$A$1:$ZZ$501,$A347,B$3)&amp;""="","",INDEX(SRC_ZPMW03!$A$1:$ZZ$501,$A347,B$3)&amp;""))</f>
        <v/>
      </c>
      <c r="C347" t="str">
        <f>IF($B347="","",IF(C$3=0,"n.b.",INDEX(SRC_ZPMW03!$A$1:$ZZ$501,$A347,C$3)))</f>
        <v/>
      </c>
      <c r="D347" t="str">
        <f>IF($B347="","",IF(D$3=0,"n.b.",INDEX(SRC_ZPMW03!$A$1:$ZZ$501,$A347,D$3)))</f>
        <v/>
      </c>
      <c r="E347" t="str">
        <f>IF($B347="","",IF(E$3=0,"n.b.",INDEX(SRC_ZPMW03!$A$1:$ZZ$501,$A347,E$3)))</f>
        <v/>
      </c>
      <c r="F347" t="str">
        <f>IF($B347="","",IF(F$3=0,"n.b.",INDEX(SRC_ZPMW03!$A$1:$ZZ$501,$A347,F$3)))</f>
        <v/>
      </c>
      <c r="G347" t="str">
        <f>IF($B347="","",IF(G$3=0,"n.b.",INDEX(SRC_ZPMW03!$A$1:$ZZ$501,$A347,G$3)))</f>
        <v/>
      </c>
      <c r="H347" t="str">
        <f>IF($B347="","",IF(H$3=0,"n.b.",INDEX(SRC_ZPMW03!$A$1:$ZZ$501,$A347,H$3)))</f>
        <v/>
      </c>
      <c r="I347" t="str">
        <f>IF($B347="","",IF(I$3=0,"n.b.",INDEX(SRC_ZPMW03!$A$1:$ZZ$501,$A347,I$3)))</f>
        <v/>
      </c>
      <c r="J347" t="str">
        <f>IF($B347="","",IF(J$3=0,"n.b.",INDEX(SRC_ZPMW03!$A$1:$ZZ$501,$A347,J$3)))</f>
        <v/>
      </c>
      <c r="K347" t="str">
        <f>IF($B347="","",IF(K$3=0,"n.b.",INDEX(SRC_ZPMW03!$A$1:$ZZ$501,$A347,K$3)))</f>
        <v/>
      </c>
      <c r="L347" s="124" t="str">
        <f>IF($B347="","",IF(L$3=0,"n.b.",INDEX(SRC_ZPMW03!$A$1:$ZZ$501,$A347,L$3)))</f>
        <v/>
      </c>
      <c r="M347" s="124" t="str">
        <f>IF($B347="","",IF(M$3=0,"n.b.",INDEX(SRC_ZPMW03!$A$1:$ZZ$501,$A347,M$3)))</f>
        <v/>
      </c>
      <c r="N347" s="124" t="str">
        <f>IF($B347="","",IF(N$3=0,"n.b.",INDEX(SRC_ZPMW03!$A$1:$ZZ$501,$A347,N$3)))</f>
        <v/>
      </c>
      <c r="O347" s="124" t="str">
        <f>IF($B347="","",IF(O$3=0,"n.b.",INDEX(SRC_ZPMW03!$A$1:$ZZ$501,$A347,O$3)))</f>
        <v/>
      </c>
      <c r="P347" s="124" t="str">
        <f>IF($B347="","",IF(P$3=0,"n.b.",INDEX(SRC_ZPMW03!$A$1:$ZZ$501,$A347,P$3)))</f>
        <v/>
      </c>
      <c r="Q347" s="124" t="str">
        <f>IF($B347="","",IF(Q$3=0,"n.b.",INDEX(SRC_ZPMW03!$A$1:$ZZ$501,$A347,Q$3)))</f>
        <v/>
      </c>
      <c r="R347" s="124" t="str">
        <f>IF($B347="","",IF(R$3=0,"n.b.",INDEX(SRC_ZPMW03!$A$1:$ZZ$501,$A347,R$3)))</f>
        <v/>
      </c>
      <c r="S347" s="124" t="str">
        <f>IF($B347="","",IF(S$3=0,"n.b.",INDEX(SRC_ZPMW03!$A$1:$ZZ$501,$A347,S$3)))</f>
        <v/>
      </c>
      <c r="T347" s="124" t="str">
        <f>IF($B347="","",IF(T$3=0,"n.b.",INDEX(SRC_ZPMW03!$A$1:$ZZ$501,$A347,T$3)))</f>
        <v/>
      </c>
      <c r="U347" s="124" t="str">
        <f>IF($B347="","",IF(U$3=0,"n.b.",INDEX(SRC_ZPMW03!$A$1:$ZZ$501,$A347,U$3)))</f>
        <v/>
      </c>
      <c r="V347" s="124" t="str">
        <f>IF($B347="","",IF(V$3=0,"n.b.",INDEX(SRC_ZPMW03!$A$1:$ZZ$501,$A347,V$3)))</f>
        <v/>
      </c>
      <c r="W347" s="124" t="str">
        <f>IF($B347="","",IF(W$3=0,"n.b.",INDEX(SRC_ZPMW03!$A$1:$ZZ$501,$A347,W$3)))</f>
        <v/>
      </c>
      <c r="X347" s="124" t="str">
        <f>IF($B347="","",IF(X$3=0,"n.b.",INDEX(SRC_ZPMW03!$A$1:$ZZ$501,$A347,X$3)))</f>
        <v/>
      </c>
      <c r="Y347" s="124" t="str">
        <f>IF($B347="","",IF(Y$3=0,"n.b.",INDEX(SRC_ZPMW03!$A$1:$ZZ$501,$A347,Y$3)))</f>
        <v/>
      </c>
      <c r="Z347" s="124" t="str">
        <f>IF($B347="","",IF(Z$3=0,"n.b.",INDEX(SRC_ZPMW03!$A$1:$ZZ$501,$A347,Z$3)))</f>
        <v/>
      </c>
      <c r="AA347" s="124" t="str">
        <f>IF($B347="","",IF(AA$3=0,"n.b.",INDEX(SRC_ZPMW03!$A$1:$ZZ$501,$A347,AA$3)))</f>
        <v/>
      </c>
      <c r="AB347" s="124" t="str">
        <f>IF($B347="","",IF(AB$3=0,"n.b.",INDEX(SRC_ZPMW03!$A$1:$ZZ$501,$A347,AB$3)))</f>
        <v/>
      </c>
      <c r="AC347" s="124" t="str">
        <f>IF($B347="","",IF(AC$3=0,"n.b.",INDEX(SRC_ZPMW03!$A$1:$ZZ$501,$A347,AC$3)))</f>
        <v/>
      </c>
      <c r="AD347" s="124" t="str">
        <f>IF($B347="","",IF(AD$3=0,"n.b.",INDEX(SRC_ZPMW03!$A$1:$ZZ$501,$A347,AD$3)))</f>
        <v/>
      </c>
      <c r="AE347" s="124" t="str">
        <f>IF($B347="","",IF(AE$3=0,"n.b.",INDEX(SRC_ZPMW03!$A$1:$ZZ$501,$A347,AE$3)))</f>
        <v/>
      </c>
      <c r="AF347" s="124" t="str">
        <f>IF($B347="","",IF(AF$3=0,"n.b.",INDEX(SRC_ZPMW03!$A$1:$ZZ$501,$A347,AF$3)))</f>
        <v/>
      </c>
      <c r="AG347" s="124" t="str">
        <f>IF($B347="","",IF(AG$3=0,"n.b.",INDEX(SRC_ZPMW03!$A$1:$ZZ$501,$A347,AG$3)))</f>
        <v/>
      </c>
      <c r="AH347" s="124" t="str">
        <f>IF($B347="","",IF(AH$3=0,"n.b.",INDEX(SRC_ZPMW03!$A$1:$ZZ$501,$A347,AH$3)))</f>
        <v/>
      </c>
      <c r="AI347" s="124" t="str">
        <f>IF($B347="","",IF(AI$3=0,"n.b.",INDEX(SRC_ZPMW03!$A$1:$ZZ$501,$A347,AI$3)))</f>
        <v/>
      </c>
      <c r="AJ347" s="124" t="str">
        <f>IF($B347="","",IF(AJ$3=0,"n.b.",INDEX(SRC_ZPMW03!$A$1:$ZZ$501,$A347,AJ$3)))</f>
        <v/>
      </c>
      <c r="AK347" s="124" t="str">
        <f>IF($B347="","",IF(AK$3=0,"n.b.",INDEX(SRC_ZPMW03!$A$1:$ZZ$501,$A347,AK$3)))</f>
        <v/>
      </c>
      <c r="AL347" s="124" t="str">
        <f>IF($B347="","",IF(AL$3=0,"n.b.",INDEX(SRC_ZPMW03!$A$1:$ZZ$501,$A347,AL$3)))</f>
        <v/>
      </c>
      <c r="AM347" s="124" t="str">
        <f>IF($B347="","",IF(AM$3=0,"n.b.",INDEX(SRC_ZPMW03!$A$1:$ZZ$501,$A347,AM$3)))</f>
        <v/>
      </c>
      <c r="AN347" s="124" t="str">
        <f>IF($B347="","",IF(AN$3=0,"n.b.",INDEX(SRC_ZPMW03!$A$1:$ZZ$501,$A347,AN$3)))</f>
        <v/>
      </c>
      <c r="AO347" s="124" t="str">
        <f>IF($B347="","",IF(AO$3=0,"n.b.",INDEX(SRC_ZPMW03!$A$1:$ZZ$501,$A347,AO$3)))</f>
        <v/>
      </c>
      <c r="AP347" s="124" t="str">
        <f>IF($B347="","",IF(AP$3=0,"n.b.",INDEX(SRC_ZPMW03!$A$1:$ZZ$501,$A347,AP$3)))</f>
        <v/>
      </c>
      <c r="AQ347" s="124" t="str">
        <f>IF($B347="","",IF(AQ$3=0,"n.b.",INDEX(SRC_ZPMW03!$A$1:$ZZ$501,$A347,AQ$3)))</f>
        <v/>
      </c>
      <c r="AR347" s="124" t="str">
        <f>IF($B347="","",IF(AR$3=0,"n.b.",INDEX(SRC_ZPMW03!$A$1:$ZZ$501,$A347,AR$3)))</f>
        <v/>
      </c>
      <c r="AS347" s="124" t="str">
        <f>IF($B347="","",IF(AS$3=0,"n.b.",INDEX(SRC_ZPMW03!$A$1:$ZZ$501,$A347,AS$3)))</f>
        <v/>
      </c>
      <c r="AT347" s="124" t="str">
        <f>IF($B347="","",IF(AT$3=0,"n.b.",INDEX(SRC_ZPMW03!$A$1:$ZZ$501,$A347,AT$3)))</f>
        <v/>
      </c>
      <c r="AU347" s="124" t="str">
        <f>IF($B347="","",IF(AU$3=0,"n.b.",INDEX(SRC_ZPMW03!$A$1:$ZZ$501,$A347,AU$3)))</f>
        <v/>
      </c>
      <c r="AV347" s="124" t="str">
        <f>IF($B347="","",IF(AV$3=0,"n.b.",INDEX(SRC_ZPMW03!$A$1:$ZZ$501,$A347,AV$3)))</f>
        <v/>
      </c>
      <c r="AW347" s="124" t="str">
        <f>IF($B347="","",IF(AW$3=0,"n.b.",INDEX(SRC_ZPMW03!$A$1:$ZZ$501,$A347,AW$3)))</f>
        <v/>
      </c>
      <c r="AX347" s="124" t="str">
        <f>IF($B347="","",IF(AX$3=0,"n.b.",INDEX(SRC_ZPMW03!$A$1:$ZZ$501,$A347,AX$3)))</f>
        <v/>
      </c>
      <c r="AY347" s="124" t="str">
        <f>IF($B347="","",IF(AY$3=0,"n.b.",INDEX(SRC_ZPMW03!$A$1:$ZZ$501,$A347,AY$3)))</f>
        <v/>
      </c>
      <c r="AZ347" s="124" t="str">
        <f>IF($B347="","",IF(AZ$3=0,"n.b.",INDEX(SRC_ZPMW03!$A$1:$ZZ$501,$A347,AZ$3)))</f>
        <v/>
      </c>
      <c r="BA347" s="124" t="str">
        <f>IF($B347="","",IF(BA$3=0,"n.b.",INDEX(SRC_ZPMW03!$A$1:$ZZ$501,$A347,BA$3)))</f>
        <v/>
      </c>
      <c r="BB347" s="124" t="str">
        <f>IF($B347="","",IF(BB$3=0,"n.b.",INDEX(SRC_ZPMW03!$A$1:$ZZ$501,$A347,BB$3)))</f>
        <v/>
      </c>
      <c r="BC347" s="124" t="str">
        <f>IF($B347="","",IF(BC$3=0,"n.b.",INDEX(SRC_ZPMW03!$A$1:$ZZ$501,$A347,BC$3)))</f>
        <v/>
      </c>
      <c r="BD347" s="124" t="str">
        <f>IF($B347="","",IF(BD$3=0,"n.b.",INDEX(SRC_ZPMW03!$A$1:$ZZ$501,$A347,BD$3)))</f>
        <v/>
      </c>
      <c r="BE347" s="124" t="str">
        <f>IF($B347="","",IF(BE$3=0,"n.b.",INDEX(SRC_ZPMW03!$A$1:$ZZ$501,$A347,BE$3)))</f>
        <v/>
      </c>
      <c r="BF347" s="124" t="str">
        <f>IF($B347="","",IF(BF$3=0,"n.b.",INDEX(SRC_ZPMW03!$A$1:$ZZ$501,$A347,BF$3)))</f>
        <v/>
      </c>
      <c r="BG347" t="str">
        <f>IF($B347="","",IF(BG$3=0,"n.b.",INDEX(SRC_ZPMW03!$A$1:$ZZ$501,$A347,BG$3)))</f>
        <v/>
      </c>
      <c r="BH347" t="str">
        <f>IF($B347="","",IF(BH$3=0,"n.b.",INDEX(SRC_ZPMW03!$A$1:$ZZ$501,$A347,BH$3)))</f>
        <v/>
      </c>
      <c r="BI347" t="str">
        <f>IF($B347="","",IF(BI$3=0,"n.b.",INDEX(SRC_ZPMW03!$A$1:$ZZ$501,$A347,BI$3)))</f>
        <v/>
      </c>
      <c r="BJ347" t="str">
        <f>IF($B347="","",IF(BJ$3=0,"n.b.",INDEX(SRC_ZPMW03!$A$1:$ZZ$501,$A347,BJ$3)))</f>
        <v/>
      </c>
      <c r="BK347" s="124" t="str">
        <f>IF($B347="","",IFERROR(-O347,"n.b."))</f>
        <v/>
      </c>
      <c r="BL347" s="124" t="str">
        <f>IF($B347="","",IFERROR(-Q347,"n.b."))</f>
        <v/>
      </c>
      <c r="BM347" s="124" t="str">
        <f>IF($B347="","",IFERROR(-AB347,"n.b."))</f>
        <v/>
      </c>
      <c r="BN347" s="124" t="str">
        <f>IF($B347="","",IFERROR(-AD347,"n.b."))</f>
        <v/>
      </c>
      <c r="BO347" s="124" t="str">
        <f>IF($B347="","",IFERROR(BK347+BM347,"n.b."))</f>
        <v/>
      </c>
      <c r="BP347" s="124" t="str">
        <f>IF($B347="","",IFERROR(BL347+BN347,"n.b."))</f>
        <v/>
      </c>
      <c r="BQ347" s="124" t="str">
        <f>IF($B347="","",IFERROR(-AM347,"n.b."))</f>
        <v/>
      </c>
      <c r="BR347" s="124" t="str">
        <f>IF($B347="","",IFERROR(-AO347,"n.b."))</f>
        <v/>
      </c>
      <c r="BS347" s="124" t="str">
        <f>IF($B347="","",IFERROR(-Z347,"n.b."))</f>
        <v/>
      </c>
      <c r="BT347" s="124" t="str">
        <f>IF($B347="","",IFERROR(-AA347,"n.b."))</f>
        <v/>
      </c>
      <c r="BU347" s="124" t="str">
        <f>IF($B347="","",IFERROR(-AE347,"n.b."))</f>
        <v/>
      </c>
      <c r="BV347" s="124" t="str">
        <f>IF($B347="","",IFERROR(-AF347,"n.b."))</f>
        <v/>
      </c>
      <c r="BW347" s="124" t="str">
        <f>IF($B347="","",IFERROR(-AG347,"n.b."))</f>
        <v/>
      </c>
      <c r="BX347" s="124" t="str">
        <f>IF($B347="","",IFERROR(-AH347,"n.b."))</f>
        <v/>
      </c>
      <c r="BY347" s="124" t="str">
        <f>IF($B347="","",IFERROR(-AI347,"n.b."))</f>
        <v/>
      </c>
      <c r="BZ347" s="124" t="str">
        <f>IF($B347="","",IFERROR(-AJ347,"n.b."))</f>
        <v/>
      </c>
      <c r="CA347" s="124" t="str">
        <f>IF($B347="","",IFERROR(-AK347,"n.b."))</f>
        <v/>
      </c>
      <c r="CB347" s="124" t="str">
        <f>IF($B347="","",IFERROR(-AL347,"n.b."))</f>
        <v/>
      </c>
      <c r="CC347" s="124" t="str">
        <f>IF($B347="","",IFERROR(-AP347,"n.b."))</f>
        <v/>
      </c>
      <c r="CD347" s="124" t="str">
        <f>IF($B347="","",IFERROR(-AQ347,"n.b."))</f>
        <v/>
      </c>
      <c r="CE347" s="124" t="str">
        <f>IF($B347="","",IFERROR(-AR347,"n.b."))</f>
        <v/>
      </c>
      <c r="CF347" s="124" t="str">
        <f>IF($B347="","",IFERROR(-AS347,"n.b."))</f>
        <v/>
      </c>
      <c r="CG347" s="124" t="str">
        <f>IF($B347="","",IFERROR(-AT347,"n.b."))</f>
        <v/>
      </c>
      <c r="CH347" s="124" t="str">
        <f>IF($B347="","",IFERROR(-AU347,"n.b."))</f>
        <v/>
      </c>
      <c r="CI347" s="124" t="str">
        <f>IF($B347="","",IFERROR(-AV347,"n.b."))</f>
        <v/>
      </c>
      <c r="CJ347" s="124" t="str">
        <f>IF($B347="","",IFERROR(-AW347,"n.b."))</f>
        <v/>
      </c>
      <c r="CK347" s="124" t="str">
        <f>IF($B347="","",IFERROR(-AX347,"n.b."))</f>
        <v/>
      </c>
      <c r="CL347" s="124" t="str">
        <f>IF($B347="","",IFERROR(-AY347,"n.b."))</f>
        <v/>
      </c>
      <c r="CM347" s="124" t="str">
        <f>IF($B347="","",IFERROR(-AZ347,"n.b."))</f>
        <v/>
      </c>
      <c r="CN347" s="124" t="str">
        <f>IF($B347="","",IFERROR(-BA347,"n.b."))</f>
        <v/>
      </c>
      <c r="CO347" s="124" t="str">
        <f>IF($B347="","",IFERROR(-BB347,"n.b."))</f>
        <v/>
      </c>
      <c r="CP347" s="124" t="str">
        <f>IF($B347="","",IFERROR(-BC347,"n.b."))</f>
        <v/>
      </c>
      <c r="CQ347" s="124" t="str">
        <f>IF($B347="","",IFERROR(-BD347,"n.b."))</f>
        <v/>
      </c>
      <c r="CR347" s="124" t="str">
        <f>IF($B347="","",IFERROR(-BE347,"n.b."))</f>
        <v/>
      </c>
      <c r="CS347" s="124" t="str">
        <f>IF($B347="","",IFERROR(IF(OR(ABS(T347+V347+X347+Z347-AB347)&gt;P_Tol,ABS(U347+W347+Y347+AA347-AD347)&gt;P_Tol,ABS(AE347+AG347+AI347+AK347-AM347)&gt;P_Tol,ABS(AF347+AH347+AJ347+AL347-AO347)&gt;P_Tol),1,0),1))</f>
        <v/>
      </c>
      <c r="CT347" s="124" t="str">
        <f>IF($B347="","",IFERROR(IF(OR(ABS(AB347+AC347-AD347)&gt;P_Tol,ABS(AM347+AN347-AO347)&gt;P_Tol,ABS(O347+P347-Q347)&gt;P_Tol),1,0),1))</f>
        <v/>
      </c>
      <c r="CU347" s="124" t="str">
        <f>IF($B347="","",IFERROR(IF(ABS(R347-(AB347+AM347+AP347+AR347+AT347+AV347+AX347+AZ347+BB347+BD347))&gt;P_Tol,1,0),1))</f>
        <v/>
      </c>
      <c r="CV347" s="124" t="str">
        <f>IF($B347="","",IFERROR(IF(ABS(M347-(N347+O347+R347))&gt;P_Tol,1,0),1))</f>
        <v/>
      </c>
      <c r="CW347" s="124" t="str">
        <f>IF($B347="","",IF(COUNTIF(Mapping!$A$5:$A$104,B347)&gt;0,1,0))</f>
        <v/>
      </c>
      <c r="CX347" s="124" t="str">
        <f>IF($B347="","",COUNTIF($B$6:$B$505,B347))</f>
        <v/>
      </c>
      <c r="CY347" s="124" t="str">
        <f>IF($B347="","",COUNTIF(STG_Woningetalage!$B$6:$B$505,B347))</f>
        <v/>
      </c>
      <c r="CZ347" s="124" t="str">
        <f>IF($B347="","",IF(CW347=0,COUNTIF($CW$6:CW347,0),""))</f>
        <v/>
      </c>
    </row>
    <row r="348">
      <c r="A348" s="15" t="n">
        <v>344</v>
      </c>
      <c r="B348" t="str">
        <f>IF(B$3=0,"",IF(INDEX(SRC_ZPMW03!$A$1:$ZZ$501,$A348,B$3)&amp;""="","",INDEX(SRC_ZPMW03!$A$1:$ZZ$501,$A348,B$3)&amp;""))</f>
        <v/>
      </c>
      <c r="C348" t="str">
        <f>IF($B348="","",IF(C$3=0,"n.b.",INDEX(SRC_ZPMW03!$A$1:$ZZ$501,$A348,C$3)))</f>
        <v/>
      </c>
      <c r="D348" t="str">
        <f>IF($B348="","",IF(D$3=0,"n.b.",INDEX(SRC_ZPMW03!$A$1:$ZZ$501,$A348,D$3)))</f>
        <v/>
      </c>
      <c r="E348" t="str">
        <f>IF($B348="","",IF(E$3=0,"n.b.",INDEX(SRC_ZPMW03!$A$1:$ZZ$501,$A348,E$3)))</f>
        <v/>
      </c>
      <c r="F348" t="str">
        <f>IF($B348="","",IF(F$3=0,"n.b.",INDEX(SRC_ZPMW03!$A$1:$ZZ$501,$A348,F$3)))</f>
        <v/>
      </c>
      <c r="G348" t="str">
        <f>IF($B348="","",IF(G$3=0,"n.b.",INDEX(SRC_ZPMW03!$A$1:$ZZ$501,$A348,G$3)))</f>
        <v/>
      </c>
      <c r="H348" t="str">
        <f>IF($B348="","",IF(H$3=0,"n.b.",INDEX(SRC_ZPMW03!$A$1:$ZZ$501,$A348,H$3)))</f>
        <v/>
      </c>
      <c r="I348" t="str">
        <f>IF($B348="","",IF(I$3=0,"n.b.",INDEX(SRC_ZPMW03!$A$1:$ZZ$501,$A348,I$3)))</f>
        <v/>
      </c>
      <c r="J348" t="str">
        <f>IF($B348="","",IF(J$3=0,"n.b.",INDEX(SRC_ZPMW03!$A$1:$ZZ$501,$A348,J$3)))</f>
        <v/>
      </c>
      <c r="K348" t="str">
        <f>IF($B348="","",IF(K$3=0,"n.b.",INDEX(SRC_ZPMW03!$A$1:$ZZ$501,$A348,K$3)))</f>
        <v/>
      </c>
      <c r="L348" s="124" t="str">
        <f>IF($B348="","",IF(L$3=0,"n.b.",INDEX(SRC_ZPMW03!$A$1:$ZZ$501,$A348,L$3)))</f>
        <v/>
      </c>
      <c r="M348" s="124" t="str">
        <f>IF($B348="","",IF(M$3=0,"n.b.",INDEX(SRC_ZPMW03!$A$1:$ZZ$501,$A348,M$3)))</f>
        <v/>
      </c>
      <c r="N348" s="124" t="str">
        <f>IF($B348="","",IF(N$3=0,"n.b.",INDEX(SRC_ZPMW03!$A$1:$ZZ$501,$A348,N$3)))</f>
        <v/>
      </c>
      <c r="O348" s="124" t="str">
        <f>IF($B348="","",IF(O$3=0,"n.b.",INDEX(SRC_ZPMW03!$A$1:$ZZ$501,$A348,O$3)))</f>
        <v/>
      </c>
      <c r="P348" s="124" t="str">
        <f>IF($B348="","",IF(P$3=0,"n.b.",INDEX(SRC_ZPMW03!$A$1:$ZZ$501,$A348,P$3)))</f>
        <v/>
      </c>
      <c r="Q348" s="124" t="str">
        <f>IF($B348="","",IF(Q$3=0,"n.b.",INDEX(SRC_ZPMW03!$A$1:$ZZ$501,$A348,Q$3)))</f>
        <v/>
      </c>
      <c r="R348" s="124" t="str">
        <f>IF($B348="","",IF(R$3=0,"n.b.",INDEX(SRC_ZPMW03!$A$1:$ZZ$501,$A348,R$3)))</f>
        <v/>
      </c>
      <c r="S348" s="124" t="str">
        <f>IF($B348="","",IF(S$3=0,"n.b.",INDEX(SRC_ZPMW03!$A$1:$ZZ$501,$A348,S$3)))</f>
        <v/>
      </c>
      <c r="T348" s="124" t="str">
        <f>IF($B348="","",IF(T$3=0,"n.b.",INDEX(SRC_ZPMW03!$A$1:$ZZ$501,$A348,T$3)))</f>
        <v/>
      </c>
      <c r="U348" s="124" t="str">
        <f>IF($B348="","",IF(U$3=0,"n.b.",INDEX(SRC_ZPMW03!$A$1:$ZZ$501,$A348,U$3)))</f>
        <v/>
      </c>
      <c r="V348" s="124" t="str">
        <f>IF($B348="","",IF(V$3=0,"n.b.",INDEX(SRC_ZPMW03!$A$1:$ZZ$501,$A348,V$3)))</f>
        <v/>
      </c>
      <c r="W348" s="124" t="str">
        <f>IF($B348="","",IF(W$3=0,"n.b.",INDEX(SRC_ZPMW03!$A$1:$ZZ$501,$A348,W$3)))</f>
        <v/>
      </c>
      <c r="X348" s="124" t="str">
        <f>IF($B348="","",IF(X$3=0,"n.b.",INDEX(SRC_ZPMW03!$A$1:$ZZ$501,$A348,X$3)))</f>
        <v/>
      </c>
      <c r="Y348" s="124" t="str">
        <f>IF($B348="","",IF(Y$3=0,"n.b.",INDEX(SRC_ZPMW03!$A$1:$ZZ$501,$A348,Y$3)))</f>
        <v/>
      </c>
      <c r="Z348" s="124" t="str">
        <f>IF($B348="","",IF(Z$3=0,"n.b.",INDEX(SRC_ZPMW03!$A$1:$ZZ$501,$A348,Z$3)))</f>
        <v/>
      </c>
      <c r="AA348" s="124" t="str">
        <f>IF($B348="","",IF(AA$3=0,"n.b.",INDEX(SRC_ZPMW03!$A$1:$ZZ$501,$A348,AA$3)))</f>
        <v/>
      </c>
      <c r="AB348" s="124" t="str">
        <f>IF($B348="","",IF(AB$3=0,"n.b.",INDEX(SRC_ZPMW03!$A$1:$ZZ$501,$A348,AB$3)))</f>
        <v/>
      </c>
      <c r="AC348" s="124" t="str">
        <f>IF($B348="","",IF(AC$3=0,"n.b.",INDEX(SRC_ZPMW03!$A$1:$ZZ$501,$A348,AC$3)))</f>
        <v/>
      </c>
      <c r="AD348" s="124" t="str">
        <f>IF($B348="","",IF(AD$3=0,"n.b.",INDEX(SRC_ZPMW03!$A$1:$ZZ$501,$A348,AD$3)))</f>
        <v/>
      </c>
      <c r="AE348" s="124" t="str">
        <f>IF($B348="","",IF(AE$3=0,"n.b.",INDEX(SRC_ZPMW03!$A$1:$ZZ$501,$A348,AE$3)))</f>
        <v/>
      </c>
      <c r="AF348" s="124" t="str">
        <f>IF($B348="","",IF(AF$3=0,"n.b.",INDEX(SRC_ZPMW03!$A$1:$ZZ$501,$A348,AF$3)))</f>
        <v/>
      </c>
      <c r="AG348" s="124" t="str">
        <f>IF($B348="","",IF(AG$3=0,"n.b.",INDEX(SRC_ZPMW03!$A$1:$ZZ$501,$A348,AG$3)))</f>
        <v/>
      </c>
      <c r="AH348" s="124" t="str">
        <f>IF($B348="","",IF(AH$3=0,"n.b.",INDEX(SRC_ZPMW03!$A$1:$ZZ$501,$A348,AH$3)))</f>
        <v/>
      </c>
      <c r="AI348" s="124" t="str">
        <f>IF($B348="","",IF(AI$3=0,"n.b.",INDEX(SRC_ZPMW03!$A$1:$ZZ$501,$A348,AI$3)))</f>
        <v/>
      </c>
      <c r="AJ348" s="124" t="str">
        <f>IF($B348="","",IF(AJ$3=0,"n.b.",INDEX(SRC_ZPMW03!$A$1:$ZZ$501,$A348,AJ$3)))</f>
        <v/>
      </c>
      <c r="AK348" s="124" t="str">
        <f>IF($B348="","",IF(AK$3=0,"n.b.",INDEX(SRC_ZPMW03!$A$1:$ZZ$501,$A348,AK$3)))</f>
        <v/>
      </c>
      <c r="AL348" s="124" t="str">
        <f>IF($B348="","",IF(AL$3=0,"n.b.",INDEX(SRC_ZPMW03!$A$1:$ZZ$501,$A348,AL$3)))</f>
        <v/>
      </c>
      <c r="AM348" s="124" t="str">
        <f>IF($B348="","",IF(AM$3=0,"n.b.",INDEX(SRC_ZPMW03!$A$1:$ZZ$501,$A348,AM$3)))</f>
        <v/>
      </c>
      <c r="AN348" s="124" t="str">
        <f>IF($B348="","",IF(AN$3=0,"n.b.",INDEX(SRC_ZPMW03!$A$1:$ZZ$501,$A348,AN$3)))</f>
        <v/>
      </c>
      <c r="AO348" s="124" t="str">
        <f>IF($B348="","",IF(AO$3=0,"n.b.",INDEX(SRC_ZPMW03!$A$1:$ZZ$501,$A348,AO$3)))</f>
        <v/>
      </c>
      <c r="AP348" s="124" t="str">
        <f>IF($B348="","",IF(AP$3=0,"n.b.",INDEX(SRC_ZPMW03!$A$1:$ZZ$501,$A348,AP$3)))</f>
        <v/>
      </c>
      <c r="AQ348" s="124" t="str">
        <f>IF($B348="","",IF(AQ$3=0,"n.b.",INDEX(SRC_ZPMW03!$A$1:$ZZ$501,$A348,AQ$3)))</f>
        <v/>
      </c>
      <c r="AR348" s="124" t="str">
        <f>IF($B348="","",IF(AR$3=0,"n.b.",INDEX(SRC_ZPMW03!$A$1:$ZZ$501,$A348,AR$3)))</f>
        <v/>
      </c>
      <c r="AS348" s="124" t="str">
        <f>IF($B348="","",IF(AS$3=0,"n.b.",INDEX(SRC_ZPMW03!$A$1:$ZZ$501,$A348,AS$3)))</f>
        <v/>
      </c>
      <c r="AT348" s="124" t="str">
        <f>IF($B348="","",IF(AT$3=0,"n.b.",INDEX(SRC_ZPMW03!$A$1:$ZZ$501,$A348,AT$3)))</f>
        <v/>
      </c>
      <c r="AU348" s="124" t="str">
        <f>IF($B348="","",IF(AU$3=0,"n.b.",INDEX(SRC_ZPMW03!$A$1:$ZZ$501,$A348,AU$3)))</f>
        <v/>
      </c>
      <c r="AV348" s="124" t="str">
        <f>IF($B348="","",IF(AV$3=0,"n.b.",INDEX(SRC_ZPMW03!$A$1:$ZZ$501,$A348,AV$3)))</f>
        <v/>
      </c>
      <c r="AW348" s="124" t="str">
        <f>IF($B348="","",IF(AW$3=0,"n.b.",INDEX(SRC_ZPMW03!$A$1:$ZZ$501,$A348,AW$3)))</f>
        <v/>
      </c>
      <c r="AX348" s="124" t="str">
        <f>IF($B348="","",IF(AX$3=0,"n.b.",INDEX(SRC_ZPMW03!$A$1:$ZZ$501,$A348,AX$3)))</f>
        <v/>
      </c>
      <c r="AY348" s="124" t="str">
        <f>IF($B348="","",IF(AY$3=0,"n.b.",INDEX(SRC_ZPMW03!$A$1:$ZZ$501,$A348,AY$3)))</f>
        <v/>
      </c>
      <c r="AZ348" s="124" t="str">
        <f>IF($B348="","",IF(AZ$3=0,"n.b.",INDEX(SRC_ZPMW03!$A$1:$ZZ$501,$A348,AZ$3)))</f>
        <v/>
      </c>
      <c r="BA348" s="124" t="str">
        <f>IF($B348="","",IF(BA$3=0,"n.b.",INDEX(SRC_ZPMW03!$A$1:$ZZ$501,$A348,BA$3)))</f>
        <v/>
      </c>
      <c r="BB348" s="124" t="str">
        <f>IF($B348="","",IF(BB$3=0,"n.b.",INDEX(SRC_ZPMW03!$A$1:$ZZ$501,$A348,BB$3)))</f>
        <v/>
      </c>
      <c r="BC348" s="124" t="str">
        <f>IF($B348="","",IF(BC$3=0,"n.b.",INDEX(SRC_ZPMW03!$A$1:$ZZ$501,$A348,BC$3)))</f>
        <v/>
      </c>
      <c r="BD348" s="124" t="str">
        <f>IF($B348="","",IF(BD$3=0,"n.b.",INDEX(SRC_ZPMW03!$A$1:$ZZ$501,$A348,BD$3)))</f>
        <v/>
      </c>
      <c r="BE348" s="124" t="str">
        <f>IF($B348="","",IF(BE$3=0,"n.b.",INDEX(SRC_ZPMW03!$A$1:$ZZ$501,$A348,BE$3)))</f>
        <v/>
      </c>
      <c r="BF348" s="124" t="str">
        <f>IF($B348="","",IF(BF$3=0,"n.b.",INDEX(SRC_ZPMW03!$A$1:$ZZ$501,$A348,BF$3)))</f>
        <v/>
      </c>
      <c r="BG348" t="str">
        <f>IF($B348="","",IF(BG$3=0,"n.b.",INDEX(SRC_ZPMW03!$A$1:$ZZ$501,$A348,BG$3)))</f>
        <v/>
      </c>
      <c r="BH348" t="str">
        <f>IF($B348="","",IF(BH$3=0,"n.b.",INDEX(SRC_ZPMW03!$A$1:$ZZ$501,$A348,BH$3)))</f>
        <v/>
      </c>
      <c r="BI348" t="str">
        <f>IF($B348="","",IF(BI$3=0,"n.b.",INDEX(SRC_ZPMW03!$A$1:$ZZ$501,$A348,BI$3)))</f>
        <v/>
      </c>
      <c r="BJ348" t="str">
        <f>IF($B348="","",IF(BJ$3=0,"n.b.",INDEX(SRC_ZPMW03!$A$1:$ZZ$501,$A348,BJ$3)))</f>
        <v/>
      </c>
      <c r="BK348" s="124" t="str">
        <f>IF($B348="","",IFERROR(-O348,"n.b."))</f>
        <v/>
      </c>
      <c r="BL348" s="124" t="str">
        <f>IF($B348="","",IFERROR(-Q348,"n.b."))</f>
        <v/>
      </c>
      <c r="BM348" s="124" t="str">
        <f>IF($B348="","",IFERROR(-AB348,"n.b."))</f>
        <v/>
      </c>
      <c r="BN348" s="124" t="str">
        <f>IF($B348="","",IFERROR(-AD348,"n.b."))</f>
        <v/>
      </c>
      <c r="BO348" s="124" t="str">
        <f>IF($B348="","",IFERROR(BK348+BM348,"n.b."))</f>
        <v/>
      </c>
      <c r="BP348" s="124" t="str">
        <f>IF($B348="","",IFERROR(BL348+BN348,"n.b."))</f>
        <v/>
      </c>
      <c r="BQ348" s="124" t="str">
        <f>IF($B348="","",IFERROR(-AM348,"n.b."))</f>
        <v/>
      </c>
      <c r="BR348" s="124" t="str">
        <f>IF($B348="","",IFERROR(-AO348,"n.b."))</f>
        <v/>
      </c>
      <c r="BS348" s="124" t="str">
        <f>IF($B348="","",IFERROR(-Z348,"n.b."))</f>
        <v/>
      </c>
      <c r="BT348" s="124" t="str">
        <f>IF($B348="","",IFERROR(-AA348,"n.b."))</f>
        <v/>
      </c>
      <c r="BU348" s="124" t="str">
        <f>IF($B348="","",IFERROR(-AE348,"n.b."))</f>
        <v/>
      </c>
      <c r="BV348" s="124" t="str">
        <f>IF($B348="","",IFERROR(-AF348,"n.b."))</f>
        <v/>
      </c>
      <c r="BW348" s="124" t="str">
        <f>IF($B348="","",IFERROR(-AG348,"n.b."))</f>
        <v/>
      </c>
      <c r="BX348" s="124" t="str">
        <f>IF($B348="","",IFERROR(-AH348,"n.b."))</f>
        <v/>
      </c>
      <c r="BY348" s="124" t="str">
        <f>IF($B348="","",IFERROR(-AI348,"n.b."))</f>
        <v/>
      </c>
      <c r="BZ348" s="124" t="str">
        <f>IF($B348="","",IFERROR(-AJ348,"n.b."))</f>
        <v/>
      </c>
      <c r="CA348" s="124" t="str">
        <f>IF($B348="","",IFERROR(-AK348,"n.b."))</f>
        <v/>
      </c>
      <c r="CB348" s="124" t="str">
        <f>IF($B348="","",IFERROR(-AL348,"n.b."))</f>
        <v/>
      </c>
      <c r="CC348" s="124" t="str">
        <f>IF($B348="","",IFERROR(-AP348,"n.b."))</f>
        <v/>
      </c>
      <c r="CD348" s="124" t="str">
        <f>IF($B348="","",IFERROR(-AQ348,"n.b."))</f>
        <v/>
      </c>
      <c r="CE348" s="124" t="str">
        <f>IF($B348="","",IFERROR(-AR348,"n.b."))</f>
        <v/>
      </c>
      <c r="CF348" s="124" t="str">
        <f>IF($B348="","",IFERROR(-AS348,"n.b."))</f>
        <v/>
      </c>
      <c r="CG348" s="124" t="str">
        <f>IF($B348="","",IFERROR(-AT348,"n.b."))</f>
        <v/>
      </c>
      <c r="CH348" s="124" t="str">
        <f>IF($B348="","",IFERROR(-AU348,"n.b."))</f>
        <v/>
      </c>
      <c r="CI348" s="124" t="str">
        <f>IF($B348="","",IFERROR(-AV348,"n.b."))</f>
        <v/>
      </c>
      <c r="CJ348" s="124" t="str">
        <f>IF($B348="","",IFERROR(-AW348,"n.b."))</f>
        <v/>
      </c>
      <c r="CK348" s="124" t="str">
        <f>IF($B348="","",IFERROR(-AX348,"n.b."))</f>
        <v/>
      </c>
      <c r="CL348" s="124" t="str">
        <f>IF($B348="","",IFERROR(-AY348,"n.b."))</f>
        <v/>
      </c>
      <c r="CM348" s="124" t="str">
        <f>IF($B348="","",IFERROR(-AZ348,"n.b."))</f>
        <v/>
      </c>
      <c r="CN348" s="124" t="str">
        <f>IF($B348="","",IFERROR(-BA348,"n.b."))</f>
        <v/>
      </c>
      <c r="CO348" s="124" t="str">
        <f>IF($B348="","",IFERROR(-BB348,"n.b."))</f>
        <v/>
      </c>
      <c r="CP348" s="124" t="str">
        <f>IF($B348="","",IFERROR(-BC348,"n.b."))</f>
        <v/>
      </c>
      <c r="CQ348" s="124" t="str">
        <f>IF($B348="","",IFERROR(-BD348,"n.b."))</f>
        <v/>
      </c>
      <c r="CR348" s="124" t="str">
        <f>IF($B348="","",IFERROR(-BE348,"n.b."))</f>
        <v/>
      </c>
      <c r="CS348" s="124" t="str">
        <f>IF($B348="","",IFERROR(IF(OR(ABS(T348+V348+X348+Z348-AB348)&gt;P_Tol,ABS(U348+W348+Y348+AA348-AD348)&gt;P_Tol,ABS(AE348+AG348+AI348+AK348-AM348)&gt;P_Tol,ABS(AF348+AH348+AJ348+AL348-AO348)&gt;P_Tol),1,0),1))</f>
        <v/>
      </c>
      <c r="CT348" s="124" t="str">
        <f>IF($B348="","",IFERROR(IF(OR(ABS(AB348+AC348-AD348)&gt;P_Tol,ABS(AM348+AN348-AO348)&gt;P_Tol,ABS(O348+P348-Q348)&gt;P_Tol),1,0),1))</f>
        <v/>
      </c>
      <c r="CU348" s="124" t="str">
        <f>IF($B348="","",IFERROR(IF(ABS(R348-(AB348+AM348+AP348+AR348+AT348+AV348+AX348+AZ348+BB348+BD348))&gt;P_Tol,1,0),1))</f>
        <v/>
      </c>
      <c r="CV348" s="124" t="str">
        <f>IF($B348="","",IFERROR(IF(ABS(M348-(N348+O348+R348))&gt;P_Tol,1,0),1))</f>
        <v/>
      </c>
      <c r="CW348" s="124" t="str">
        <f>IF($B348="","",IF(COUNTIF(Mapping!$A$5:$A$104,B348)&gt;0,1,0))</f>
        <v/>
      </c>
      <c r="CX348" s="124" t="str">
        <f>IF($B348="","",COUNTIF($B$6:$B$505,B348))</f>
        <v/>
      </c>
      <c r="CY348" s="124" t="str">
        <f>IF($B348="","",COUNTIF(STG_Woningetalage!$B$6:$B$505,B348))</f>
        <v/>
      </c>
      <c r="CZ348" s="124" t="str">
        <f>IF($B348="","",IF(CW348=0,COUNTIF($CW$6:CW348,0),""))</f>
        <v/>
      </c>
    </row>
    <row r="349">
      <c r="A349" s="15" t="n">
        <v>345</v>
      </c>
      <c r="B349" t="str">
        <f>IF(B$3=0,"",IF(INDEX(SRC_ZPMW03!$A$1:$ZZ$501,$A349,B$3)&amp;""="","",INDEX(SRC_ZPMW03!$A$1:$ZZ$501,$A349,B$3)&amp;""))</f>
        <v/>
      </c>
      <c r="C349" t="str">
        <f>IF($B349="","",IF(C$3=0,"n.b.",INDEX(SRC_ZPMW03!$A$1:$ZZ$501,$A349,C$3)))</f>
        <v/>
      </c>
      <c r="D349" t="str">
        <f>IF($B349="","",IF(D$3=0,"n.b.",INDEX(SRC_ZPMW03!$A$1:$ZZ$501,$A349,D$3)))</f>
        <v/>
      </c>
      <c r="E349" t="str">
        <f>IF($B349="","",IF(E$3=0,"n.b.",INDEX(SRC_ZPMW03!$A$1:$ZZ$501,$A349,E$3)))</f>
        <v/>
      </c>
      <c r="F349" t="str">
        <f>IF($B349="","",IF(F$3=0,"n.b.",INDEX(SRC_ZPMW03!$A$1:$ZZ$501,$A349,F$3)))</f>
        <v/>
      </c>
      <c r="G349" t="str">
        <f>IF($B349="","",IF(G$3=0,"n.b.",INDEX(SRC_ZPMW03!$A$1:$ZZ$501,$A349,G$3)))</f>
        <v/>
      </c>
      <c r="H349" t="str">
        <f>IF($B349="","",IF(H$3=0,"n.b.",INDEX(SRC_ZPMW03!$A$1:$ZZ$501,$A349,H$3)))</f>
        <v/>
      </c>
      <c r="I349" t="str">
        <f>IF($B349="","",IF(I$3=0,"n.b.",INDEX(SRC_ZPMW03!$A$1:$ZZ$501,$A349,I$3)))</f>
        <v/>
      </c>
      <c r="J349" t="str">
        <f>IF($B349="","",IF(J$3=0,"n.b.",INDEX(SRC_ZPMW03!$A$1:$ZZ$501,$A349,J$3)))</f>
        <v/>
      </c>
      <c r="K349" t="str">
        <f>IF($B349="","",IF(K$3=0,"n.b.",INDEX(SRC_ZPMW03!$A$1:$ZZ$501,$A349,K$3)))</f>
        <v/>
      </c>
      <c r="L349" s="124" t="str">
        <f>IF($B349="","",IF(L$3=0,"n.b.",INDEX(SRC_ZPMW03!$A$1:$ZZ$501,$A349,L$3)))</f>
        <v/>
      </c>
      <c r="M349" s="124" t="str">
        <f>IF($B349="","",IF(M$3=0,"n.b.",INDEX(SRC_ZPMW03!$A$1:$ZZ$501,$A349,M$3)))</f>
        <v/>
      </c>
      <c r="N349" s="124" t="str">
        <f>IF($B349="","",IF(N$3=0,"n.b.",INDEX(SRC_ZPMW03!$A$1:$ZZ$501,$A349,N$3)))</f>
        <v/>
      </c>
      <c r="O349" s="124" t="str">
        <f>IF($B349="","",IF(O$3=0,"n.b.",INDEX(SRC_ZPMW03!$A$1:$ZZ$501,$A349,O$3)))</f>
        <v/>
      </c>
      <c r="P349" s="124" t="str">
        <f>IF($B349="","",IF(P$3=0,"n.b.",INDEX(SRC_ZPMW03!$A$1:$ZZ$501,$A349,P$3)))</f>
        <v/>
      </c>
      <c r="Q349" s="124" t="str">
        <f>IF($B349="","",IF(Q$3=0,"n.b.",INDEX(SRC_ZPMW03!$A$1:$ZZ$501,$A349,Q$3)))</f>
        <v/>
      </c>
      <c r="R349" s="124" t="str">
        <f>IF($B349="","",IF(R$3=0,"n.b.",INDEX(SRC_ZPMW03!$A$1:$ZZ$501,$A349,R$3)))</f>
        <v/>
      </c>
      <c r="S349" s="124" t="str">
        <f>IF($B349="","",IF(S$3=0,"n.b.",INDEX(SRC_ZPMW03!$A$1:$ZZ$501,$A349,S$3)))</f>
        <v/>
      </c>
      <c r="T349" s="124" t="str">
        <f>IF($B349="","",IF(T$3=0,"n.b.",INDEX(SRC_ZPMW03!$A$1:$ZZ$501,$A349,T$3)))</f>
        <v/>
      </c>
      <c r="U349" s="124" t="str">
        <f>IF($B349="","",IF(U$3=0,"n.b.",INDEX(SRC_ZPMW03!$A$1:$ZZ$501,$A349,U$3)))</f>
        <v/>
      </c>
      <c r="V349" s="124" t="str">
        <f>IF($B349="","",IF(V$3=0,"n.b.",INDEX(SRC_ZPMW03!$A$1:$ZZ$501,$A349,V$3)))</f>
        <v/>
      </c>
      <c r="W349" s="124" t="str">
        <f>IF($B349="","",IF(W$3=0,"n.b.",INDEX(SRC_ZPMW03!$A$1:$ZZ$501,$A349,W$3)))</f>
        <v/>
      </c>
      <c r="X349" s="124" t="str">
        <f>IF($B349="","",IF(X$3=0,"n.b.",INDEX(SRC_ZPMW03!$A$1:$ZZ$501,$A349,X$3)))</f>
        <v/>
      </c>
      <c r="Y349" s="124" t="str">
        <f>IF($B349="","",IF(Y$3=0,"n.b.",INDEX(SRC_ZPMW03!$A$1:$ZZ$501,$A349,Y$3)))</f>
        <v/>
      </c>
      <c r="Z349" s="124" t="str">
        <f>IF($B349="","",IF(Z$3=0,"n.b.",INDEX(SRC_ZPMW03!$A$1:$ZZ$501,$A349,Z$3)))</f>
        <v/>
      </c>
      <c r="AA349" s="124" t="str">
        <f>IF($B349="","",IF(AA$3=0,"n.b.",INDEX(SRC_ZPMW03!$A$1:$ZZ$501,$A349,AA$3)))</f>
        <v/>
      </c>
      <c r="AB349" s="124" t="str">
        <f>IF($B349="","",IF(AB$3=0,"n.b.",INDEX(SRC_ZPMW03!$A$1:$ZZ$501,$A349,AB$3)))</f>
        <v/>
      </c>
      <c r="AC349" s="124" t="str">
        <f>IF($B349="","",IF(AC$3=0,"n.b.",INDEX(SRC_ZPMW03!$A$1:$ZZ$501,$A349,AC$3)))</f>
        <v/>
      </c>
      <c r="AD349" s="124" t="str">
        <f>IF($B349="","",IF(AD$3=0,"n.b.",INDEX(SRC_ZPMW03!$A$1:$ZZ$501,$A349,AD$3)))</f>
        <v/>
      </c>
      <c r="AE349" s="124" t="str">
        <f>IF($B349="","",IF(AE$3=0,"n.b.",INDEX(SRC_ZPMW03!$A$1:$ZZ$501,$A349,AE$3)))</f>
        <v/>
      </c>
      <c r="AF349" s="124" t="str">
        <f>IF($B349="","",IF(AF$3=0,"n.b.",INDEX(SRC_ZPMW03!$A$1:$ZZ$501,$A349,AF$3)))</f>
        <v/>
      </c>
      <c r="AG349" s="124" t="str">
        <f>IF($B349="","",IF(AG$3=0,"n.b.",INDEX(SRC_ZPMW03!$A$1:$ZZ$501,$A349,AG$3)))</f>
        <v/>
      </c>
      <c r="AH349" s="124" t="str">
        <f>IF($B349="","",IF(AH$3=0,"n.b.",INDEX(SRC_ZPMW03!$A$1:$ZZ$501,$A349,AH$3)))</f>
        <v/>
      </c>
      <c r="AI349" s="124" t="str">
        <f>IF($B349="","",IF(AI$3=0,"n.b.",INDEX(SRC_ZPMW03!$A$1:$ZZ$501,$A349,AI$3)))</f>
        <v/>
      </c>
      <c r="AJ349" s="124" t="str">
        <f>IF($B349="","",IF(AJ$3=0,"n.b.",INDEX(SRC_ZPMW03!$A$1:$ZZ$501,$A349,AJ$3)))</f>
        <v/>
      </c>
      <c r="AK349" s="124" t="str">
        <f>IF($B349="","",IF(AK$3=0,"n.b.",INDEX(SRC_ZPMW03!$A$1:$ZZ$501,$A349,AK$3)))</f>
        <v/>
      </c>
      <c r="AL349" s="124" t="str">
        <f>IF($B349="","",IF(AL$3=0,"n.b.",INDEX(SRC_ZPMW03!$A$1:$ZZ$501,$A349,AL$3)))</f>
        <v/>
      </c>
      <c r="AM349" s="124" t="str">
        <f>IF($B349="","",IF(AM$3=0,"n.b.",INDEX(SRC_ZPMW03!$A$1:$ZZ$501,$A349,AM$3)))</f>
        <v/>
      </c>
      <c r="AN349" s="124" t="str">
        <f>IF($B349="","",IF(AN$3=0,"n.b.",INDEX(SRC_ZPMW03!$A$1:$ZZ$501,$A349,AN$3)))</f>
        <v/>
      </c>
      <c r="AO349" s="124" t="str">
        <f>IF($B349="","",IF(AO$3=0,"n.b.",INDEX(SRC_ZPMW03!$A$1:$ZZ$501,$A349,AO$3)))</f>
        <v/>
      </c>
      <c r="AP349" s="124" t="str">
        <f>IF($B349="","",IF(AP$3=0,"n.b.",INDEX(SRC_ZPMW03!$A$1:$ZZ$501,$A349,AP$3)))</f>
        <v/>
      </c>
      <c r="AQ349" s="124" t="str">
        <f>IF($B349="","",IF(AQ$3=0,"n.b.",INDEX(SRC_ZPMW03!$A$1:$ZZ$501,$A349,AQ$3)))</f>
        <v/>
      </c>
      <c r="AR349" s="124" t="str">
        <f>IF($B349="","",IF(AR$3=0,"n.b.",INDEX(SRC_ZPMW03!$A$1:$ZZ$501,$A349,AR$3)))</f>
        <v/>
      </c>
      <c r="AS349" s="124" t="str">
        <f>IF($B349="","",IF(AS$3=0,"n.b.",INDEX(SRC_ZPMW03!$A$1:$ZZ$501,$A349,AS$3)))</f>
        <v/>
      </c>
      <c r="AT349" s="124" t="str">
        <f>IF($B349="","",IF(AT$3=0,"n.b.",INDEX(SRC_ZPMW03!$A$1:$ZZ$501,$A349,AT$3)))</f>
        <v/>
      </c>
      <c r="AU349" s="124" t="str">
        <f>IF($B349="","",IF(AU$3=0,"n.b.",INDEX(SRC_ZPMW03!$A$1:$ZZ$501,$A349,AU$3)))</f>
        <v/>
      </c>
      <c r="AV349" s="124" t="str">
        <f>IF($B349="","",IF(AV$3=0,"n.b.",INDEX(SRC_ZPMW03!$A$1:$ZZ$501,$A349,AV$3)))</f>
        <v/>
      </c>
      <c r="AW349" s="124" t="str">
        <f>IF($B349="","",IF(AW$3=0,"n.b.",INDEX(SRC_ZPMW03!$A$1:$ZZ$501,$A349,AW$3)))</f>
        <v/>
      </c>
      <c r="AX349" s="124" t="str">
        <f>IF($B349="","",IF(AX$3=0,"n.b.",INDEX(SRC_ZPMW03!$A$1:$ZZ$501,$A349,AX$3)))</f>
        <v/>
      </c>
      <c r="AY349" s="124" t="str">
        <f>IF($B349="","",IF(AY$3=0,"n.b.",INDEX(SRC_ZPMW03!$A$1:$ZZ$501,$A349,AY$3)))</f>
        <v/>
      </c>
      <c r="AZ349" s="124" t="str">
        <f>IF($B349="","",IF(AZ$3=0,"n.b.",INDEX(SRC_ZPMW03!$A$1:$ZZ$501,$A349,AZ$3)))</f>
        <v/>
      </c>
      <c r="BA349" s="124" t="str">
        <f>IF($B349="","",IF(BA$3=0,"n.b.",INDEX(SRC_ZPMW03!$A$1:$ZZ$501,$A349,BA$3)))</f>
        <v/>
      </c>
      <c r="BB349" s="124" t="str">
        <f>IF($B349="","",IF(BB$3=0,"n.b.",INDEX(SRC_ZPMW03!$A$1:$ZZ$501,$A349,BB$3)))</f>
        <v/>
      </c>
      <c r="BC349" s="124" t="str">
        <f>IF($B349="","",IF(BC$3=0,"n.b.",INDEX(SRC_ZPMW03!$A$1:$ZZ$501,$A349,BC$3)))</f>
        <v/>
      </c>
      <c r="BD349" s="124" t="str">
        <f>IF($B349="","",IF(BD$3=0,"n.b.",INDEX(SRC_ZPMW03!$A$1:$ZZ$501,$A349,BD$3)))</f>
        <v/>
      </c>
      <c r="BE349" s="124" t="str">
        <f>IF($B349="","",IF(BE$3=0,"n.b.",INDEX(SRC_ZPMW03!$A$1:$ZZ$501,$A349,BE$3)))</f>
        <v/>
      </c>
      <c r="BF349" s="124" t="str">
        <f>IF($B349="","",IF(BF$3=0,"n.b.",INDEX(SRC_ZPMW03!$A$1:$ZZ$501,$A349,BF$3)))</f>
        <v/>
      </c>
      <c r="BG349" t="str">
        <f>IF($B349="","",IF(BG$3=0,"n.b.",INDEX(SRC_ZPMW03!$A$1:$ZZ$501,$A349,BG$3)))</f>
        <v/>
      </c>
      <c r="BH349" t="str">
        <f>IF($B349="","",IF(BH$3=0,"n.b.",INDEX(SRC_ZPMW03!$A$1:$ZZ$501,$A349,BH$3)))</f>
        <v/>
      </c>
      <c r="BI349" t="str">
        <f>IF($B349="","",IF(BI$3=0,"n.b.",INDEX(SRC_ZPMW03!$A$1:$ZZ$501,$A349,BI$3)))</f>
        <v/>
      </c>
      <c r="BJ349" t="str">
        <f>IF($B349="","",IF(BJ$3=0,"n.b.",INDEX(SRC_ZPMW03!$A$1:$ZZ$501,$A349,BJ$3)))</f>
        <v/>
      </c>
      <c r="BK349" s="124" t="str">
        <f>IF($B349="","",IFERROR(-O349,"n.b."))</f>
        <v/>
      </c>
      <c r="BL349" s="124" t="str">
        <f>IF($B349="","",IFERROR(-Q349,"n.b."))</f>
        <v/>
      </c>
      <c r="BM349" s="124" t="str">
        <f>IF($B349="","",IFERROR(-AB349,"n.b."))</f>
        <v/>
      </c>
      <c r="BN349" s="124" t="str">
        <f>IF($B349="","",IFERROR(-AD349,"n.b."))</f>
        <v/>
      </c>
      <c r="BO349" s="124" t="str">
        <f>IF($B349="","",IFERROR(BK349+BM349,"n.b."))</f>
        <v/>
      </c>
      <c r="BP349" s="124" t="str">
        <f>IF($B349="","",IFERROR(BL349+BN349,"n.b."))</f>
        <v/>
      </c>
      <c r="BQ349" s="124" t="str">
        <f>IF($B349="","",IFERROR(-AM349,"n.b."))</f>
        <v/>
      </c>
      <c r="BR349" s="124" t="str">
        <f>IF($B349="","",IFERROR(-AO349,"n.b."))</f>
        <v/>
      </c>
      <c r="BS349" s="124" t="str">
        <f>IF($B349="","",IFERROR(-Z349,"n.b."))</f>
        <v/>
      </c>
      <c r="BT349" s="124" t="str">
        <f>IF($B349="","",IFERROR(-AA349,"n.b."))</f>
        <v/>
      </c>
      <c r="BU349" s="124" t="str">
        <f>IF($B349="","",IFERROR(-AE349,"n.b."))</f>
        <v/>
      </c>
      <c r="BV349" s="124" t="str">
        <f>IF($B349="","",IFERROR(-AF349,"n.b."))</f>
        <v/>
      </c>
      <c r="BW349" s="124" t="str">
        <f>IF($B349="","",IFERROR(-AG349,"n.b."))</f>
        <v/>
      </c>
      <c r="BX349" s="124" t="str">
        <f>IF($B349="","",IFERROR(-AH349,"n.b."))</f>
        <v/>
      </c>
      <c r="BY349" s="124" t="str">
        <f>IF($B349="","",IFERROR(-AI349,"n.b."))</f>
        <v/>
      </c>
      <c r="BZ349" s="124" t="str">
        <f>IF($B349="","",IFERROR(-AJ349,"n.b."))</f>
        <v/>
      </c>
      <c r="CA349" s="124" t="str">
        <f>IF($B349="","",IFERROR(-AK349,"n.b."))</f>
        <v/>
      </c>
      <c r="CB349" s="124" t="str">
        <f>IF($B349="","",IFERROR(-AL349,"n.b."))</f>
        <v/>
      </c>
      <c r="CC349" s="124" t="str">
        <f>IF($B349="","",IFERROR(-AP349,"n.b."))</f>
        <v/>
      </c>
      <c r="CD349" s="124" t="str">
        <f>IF($B349="","",IFERROR(-AQ349,"n.b."))</f>
        <v/>
      </c>
      <c r="CE349" s="124" t="str">
        <f>IF($B349="","",IFERROR(-AR349,"n.b."))</f>
        <v/>
      </c>
      <c r="CF349" s="124" t="str">
        <f>IF($B349="","",IFERROR(-AS349,"n.b."))</f>
        <v/>
      </c>
      <c r="CG349" s="124" t="str">
        <f>IF($B349="","",IFERROR(-AT349,"n.b."))</f>
        <v/>
      </c>
      <c r="CH349" s="124" t="str">
        <f>IF($B349="","",IFERROR(-AU349,"n.b."))</f>
        <v/>
      </c>
      <c r="CI349" s="124" t="str">
        <f>IF($B349="","",IFERROR(-AV349,"n.b."))</f>
        <v/>
      </c>
      <c r="CJ349" s="124" t="str">
        <f>IF($B349="","",IFERROR(-AW349,"n.b."))</f>
        <v/>
      </c>
      <c r="CK349" s="124" t="str">
        <f>IF($B349="","",IFERROR(-AX349,"n.b."))</f>
        <v/>
      </c>
      <c r="CL349" s="124" t="str">
        <f>IF($B349="","",IFERROR(-AY349,"n.b."))</f>
        <v/>
      </c>
      <c r="CM349" s="124" t="str">
        <f>IF($B349="","",IFERROR(-AZ349,"n.b."))</f>
        <v/>
      </c>
      <c r="CN349" s="124" t="str">
        <f>IF($B349="","",IFERROR(-BA349,"n.b."))</f>
        <v/>
      </c>
      <c r="CO349" s="124" t="str">
        <f>IF($B349="","",IFERROR(-BB349,"n.b."))</f>
        <v/>
      </c>
      <c r="CP349" s="124" t="str">
        <f>IF($B349="","",IFERROR(-BC349,"n.b."))</f>
        <v/>
      </c>
      <c r="CQ349" s="124" t="str">
        <f>IF($B349="","",IFERROR(-BD349,"n.b."))</f>
        <v/>
      </c>
      <c r="CR349" s="124" t="str">
        <f>IF($B349="","",IFERROR(-BE349,"n.b."))</f>
        <v/>
      </c>
      <c r="CS349" s="124" t="str">
        <f>IF($B349="","",IFERROR(IF(OR(ABS(T349+V349+X349+Z349-AB349)&gt;P_Tol,ABS(U349+W349+Y349+AA349-AD349)&gt;P_Tol,ABS(AE349+AG349+AI349+AK349-AM349)&gt;P_Tol,ABS(AF349+AH349+AJ349+AL349-AO349)&gt;P_Tol),1,0),1))</f>
        <v/>
      </c>
      <c r="CT349" s="124" t="str">
        <f>IF($B349="","",IFERROR(IF(OR(ABS(AB349+AC349-AD349)&gt;P_Tol,ABS(AM349+AN349-AO349)&gt;P_Tol,ABS(O349+P349-Q349)&gt;P_Tol),1,0),1))</f>
        <v/>
      </c>
      <c r="CU349" s="124" t="str">
        <f>IF($B349="","",IFERROR(IF(ABS(R349-(AB349+AM349+AP349+AR349+AT349+AV349+AX349+AZ349+BB349+BD349))&gt;P_Tol,1,0),1))</f>
        <v/>
      </c>
      <c r="CV349" s="124" t="str">
        <f>IF($B349="","",IFERROR(IF(ABS(M349-(N349+O349+R349))&gt;P_Tol,1,0),1))</f>
        <v/>
      </c>
      <c r="CW349" s="124" t="str">
        <f>IF($B349="","",IF(COUNTIF(Mapping!$A$5:$A$104,B349)&gt;0,1,0))</f>
        <v/>
      </c>
      <c r="CX349" s="124" t="str">
        <f>IF($B349="","",COUNTIF($B$6:$B$505,B349))</f>
        <v/>
      </c>
      <c r="CY349" s="124" t="str">
        <f>IF($B349="","",COUNTIF(STG_Woningetalage!$B$6:$B$505,B349))</f>
        <v/>
      </c>
      <c r="CZ349" s="124" t="str">
        <f>IF($B349="","",IF(CW349=0,COUNTIF($CW$6:CW349,0),""))</f>
        <v/>
      </c>
    </row>
    <row r="350">
      <c r="A350" s="15" t="n">
        <v>346</v>
      </c>
      <c r="B350" t="str">
        <f>IF(B$3=0,"",IF(INDEX(SRC_ZPMW03!$A$1:$ZZ$501,$A350,B$3)&amp;""="","",INDEX(SRC_ZPMW03!$A$1:$ZZ$501,$A350,B$3)&amp;""))</f>
        <v/>
      </c>
      <c r="C350" t="str">
        <f>IF($B350="","",IF(C$3=0,"n.b.",INDEX(SRC_ZPMW03!$A$1:$ZZ$501,$A350,C$3)))</f>
        <v/>
      </c>
      <c r="D350" t="str">
        <f>IF($B350="","",IF(D$3=0,"n.b.",INDEX(SRC_ZPMW03!$A$1:$ZZ$501,$A350,D$3)))</f>
        <v/>
      </c>
      <c r="E350" t="str">
        <f>IF($B350="","",IF(E$3=0,"n.b.",INDEX(SRC_ZPMW03!$A$1:$ZZ$501,$A350,E$3)))</f>
        <v/>
      </c>
      <c r="F350" t="str">
        <f>IF($B350="","",IF(F$3=0,"n.b.",INDEX(SRC_ZPMW03!$A$1:$ZZ$501,$A350,F$3)))</f>
        <v/>
      </c>
      <c r="G350" t="str">
        <f>IF($B350="","",IF(G$3=0,"n.b.",INDEX(SRC_ZPMW03!$A$1:$ZZ$501,$A350,G$3)))</f>
        <v/>
      </c>
      <c r="H350" t="str">
        <f>IF($B350="","",IF(H$3=0,"n.b.",INDEX(SRC_ZPMW03!$A$1:$ZZ$501,$A350,H$3)))</f>
        <v/>
      </c>
      <c r="I350" t="str">
        <f>IF($B350="","",IF(I$3=0,"n.b.",INDEX(SRC_ZPMW03!$A$1:$ZZ$501,$A350,I$3)))</f>
        <v/>
      </c>
      <c r="J350" t="str">
        <f>IF($B350="","",IF(J$3=0,"n.b.",INDEX(SRC_ZPMW03!$A$1:$ZZ$501,$A350,J$3)))</f>
        <v/>
      </c>
      <c r="K350" t="str">
        <f>IF($B350="","",IF(K$3=0,"n.b.",INDEX(SRC_ZPMW03!$A$1:$ZZ$501,$A350,K$3)))</f>
        <v/>
      </c>
      <c r="L350" s="124" t="str">
        <f>IF($B350="","",IF(L$3=0,"n.b.",INDEX(SRC_ZPMW03!$A$1:$ZZ$501,$A350,L$3)))</f>
        <v/>
      </c>
      <c r="M350" s="124" t="str">
        <f>IF($B350="","",IF(M$3=0,"n.b.",INDEX(SRC_ZPMW03!$A$1:$ZZ$501,$A350,M$3)))</f>
        <v/>
      </c>
      <c r="N350" s="124" t="str">
        <f>IF($B350="","",IF(N$3=0,"n.b.",INDEX(SRC_ZPMW03!$A$1:$ZZ$501,$A350,N$3)))</f>
        <v/>
      </c>
      <c r="O350" s="124" t="str">
        <f>IF($B350="","",IF(O$3=0,"n.b.",INDEX(SRC_ZPMW03!$A$1:$ZZ$501,$A350,O$3)))</f>
        <v/>
      </c>
      <c r="P350" s="124" t="str">
        <f>IF($B350="","",IF(P$3=0,"n.b.",INDEX(SRC_ZPMW03!$A$1:$ZZ$501,$A350,P$3)))</f>
        <v/>
      </c>
      <c r="Q350" s="124" t="str">
        <f>IF($B350="","",IF(Q$3=0,"n.b.",INDEX(SRC_ZPMW03!$A$1:$ZZ$501,$A350,Q$3)))</f>
        <v/>
      </c>
      <c r="R350" s="124" t="str">
        <f>IF($B350="","",IF(R$3=0,"n.b.",INDEX(SRC_ZPMW03!$A$1:$ZZ$501,$A350,R$3)))</f>
        <v/>
      </c>
      <c r="S350" s="124" t="str">
        <f>IF($B350="","",IF(S$3=0,"n.b.",INDEX(SRC_ZPMW03!$A$1:$ZZ$501,$A350,S$3)))</f>
        <v/>
      </c>
      <c r="T350" s="124" t="str">
        <f>IF($B350="","",IF(T$3=0,"n.b.",INDEX(SRC_ZPMW03!$A$1:$ZZ$501,$A350,T$3)))</f>
        <v/>
      </c>
      <c r="U350" s="124" t="str">
        <f>IF($B350="","",IF(U$3=0,"n.b.",INDEX(SRC_ZPMW03!$A$1:$ZZ$501,$A350,U$3)))</f>
        <v/>
      </c>
      <c r="V350" s="124" t="str">
        <f>IF($B350="","",IF(V$3=0,"n.b.",INDEX(SRC_ZPMW03!$A$1:$ZZ$501,$A350,V$3)))</f>
        <v/>
      </c>
      <c r="W350" s="124" t="str">
        <f>IF($B350="","",IF(W$3=0,"n.b.",INDEX(SRC_ZPMW03!$A$1:$ZZ$501,$A350,W$3)))</f>
        <v/>
      </c>
      <c r="X350" s="124" t="str">
        <f>IF($B350="","",IF(X$3=0,"n.b.",INDEX(SRC_ZPMW03!$A$1:$ZZ$501,$A350,X$3)))</f>
        <v/>
      </c>
      <c r="Y350" s="124" t="str">
        <f>IF($B350="","",IF(Y$3=0,"n.b.",INDEX(SRC_ZPMW03!$A$1:$ZZ$501,$A350,Y$3)))</f>
        <v/>
      </c>
      <c r="Z350" s="124" t="str">
        <f>IF($B350="","",IF(Z$3=0,"n.b.",INDEX(SRC_ZPMW03!$A$1:$ZZ$501,$A350,Z$3)))</f>
        <v/>
      </c>
      <c r="AA350" s="124" t="str">
        <f>IF($B350="","",IF(AA$3=0,"n.b.",INDEX(SRC_ZPMW03!$A$1:$ZZ$501,$A350,AA$3)))</f>
        <v/>
      </c>
      <c r="AB350" s="124" t="str">
        <f>IF($B350="","",IF(AB$3=0,"n.b.",INDEX(SRC_ZPMW03!$A$1:$ZZ$501,$A350,AB$3)))</f>
        <v/>
      </c>
      <c r="AC350" s="124" t="str">
        <f>IF($B350="","",IF(AC$3=0,"n.b.",INDEX(SRC_ZPMW03!$A$1:$ZZ$501,$A350,AC$3)))</f>
        <v/>
      </c>
      <c r="AD350" s="124" t="str">
        <f>IF($B350="","",IF(AD$3=0,"n.b.",INDEX(SRC_ZPMW03!$A$1:$ZZ$501,$A350,AD$3)))</f>
        <v/>
      </c>
      <c r="AE350" s="124" t="str">
        <f>IF($B350="","",IF(AE$3=0,"n.b.",INDEX(SRC_ZPMW03!$A$1:$ZZ$501,$A350,AE$3)))</f>
        <v/>
      </c>
      <c r="AF350" s="124" t="str">
        <f>IF($B350="","",IF(AF$3=0,"n.b.",INDEX(SRC_ZPMW03!$A$1:$ZZ$501,$A350,AF$3)))</f>
        <v/>
      </c>
      <c r="AG350" s="124" t="str">
        <f>IF($B350="","",IF(AG$3=0,"n.b.",INDEX(SRC_ZPMW03!$A$1:$ZZ$501,$A350,AG$3)))</f>
        <v/>
      </c>
      <c r="AH350" s="124" t="str">
        <f>IF($B350="","",IF(AH$3=0,"n.b.",INDEX(SRC_ZPMW03!$A$1:$ZZ$501,$A350,AH$3)))</f>
        <v/>
      </c>
      <c r="AI350" s="124" t="str">
        <f>IF($B350="","",IF(AI$3=0,"n.b.",INDEX(SRC_ZPMW03!$A$1:$ZZ$501,$A350,AI$3)))</f>
        <v/>
      </c>
      <c r="AJ350" s="124" t="str">
        <f>IF($B350="","",IF(AJ$3=0,"n.b.",INDEX(SRC_ZPMW03!$A$1:$ZZ$501,$A350,AJ$3)))</f>
        <v/>
      </c>
      <c r="AK350" s="124" t="str">
        <f>IF($B350="","",IF(AK$3=0,"n.b.",INDEX(SRC_ZPMW03!$A$1:$ZZ$501,$A350,AK$3)))</f>
        <v/>
      </c>
      <c r="AL350" s="124" t="str">
        <f>IF($B350="","",IF(AL$3=0,"n.b.",INDEX(SRC_ZPMW03!$A$1:$ZZ$501,$A350,AL$3)))</f>
        <v/>
      </c>
      <c r="AM350" s="124" t="str">
        <f>IF($B350="","",IF(AM$3=0,"n.b.",INDEX(SRC_ZPMW03!$A$1:$ZZ$501,$A350,AM$3)))</f>
        <v/>
      </c>
      <c r="AN350" s="124" t="str">
        <f>IF($B350="","",IF(AN$3=0,"n.b.",INDEX(SRC_ZPMW03!$A$1:$ZZ$501,$A350,AN$3)))</f>
        <v/>
      </c>
      <c r="AO350" s="124" t="str">
        <f>IF($B350="","",IF(AO$3=0,"n.b.",INDEX(SRC_ZPMW03!$A$1:$ZZ$501,$A350,AO$3)))</f>
        <v/>
      </c>
      <c r="AP350" s="124" t="str">
        <f>IF($B350="","",IF(AP$3=0,"n.b.",INDEX(SRC_ZPMW03!$A$1:$ZZ$501,$A350,AP$3)))</f>
        <v/>
      </c>
      <c r="AQ350" s="124" t="str">
        <f>IF($B350="","",IF(AQ$3=0,"n.b.",INDEX(SRC_ZPMW03!$A$1:$ZZ$501,$A350,AQ$3)))</f>
        <v/>
      </c>
      <c r="AR350" s="124" t="str">
        <f>IF($B350="","",IF(AR$3=0,"n.b.",INDEX(SRC_ZPMW03!$A$1:$ZZ$501,$A350,AR$3)))</f>
        <v/>
      </c>
      <c r="AS350" s="124" t="str">
        <f>IF($B350="","",IF(AS$3=0,"n.b.",INDEX(SRC_ZPMW03!$A$1:$ZZ$501,$A350,AS$3)))</f>
        <v/>
      </c>
      <c r="AT350" s="124" t="str">
        <f>IF($B350="","",IF(AT$3=0,"n.b.",INDEX(SRC_ZPMW03!$A$1:$ZZ$501,$A350,AT$3)))</f>
        <v/>
      </c>
      <c r="AU350" s="124" t="str">
        <f>IF($B350="","",IF(AU$3=0,"n.b.",INDEX(SRC_ZPMW03!$A$1:$ZZ$501,$A350,AU$3)))</f>
        <v/>
      </c>
      <c r="AV350" s="124" t="str">
        <f>IF($B350="","",IF(AV$3=0,"n.b.",INDEX(SRC_ZPMW03!$A$1:$ZZ$501,$A350,AV$3)))</f>
        <v/>
      </c>
      <c r="AW350" s="124" t="str">
        <f>IF($B350="","",IF(AW$3=0,"n.b.",INDEX(SRC_ZPMW03!$A$1:$ZZ$501,$A350,AW$3)))</f>
        <v/>
      </c>
      <c r="AX350" s="124" t="str">
        <f>IF($B350="","",IF(AX$3=0,"n.b.",INDEX(SRC_ZPMW03!$A$1:$ZZ$501,$A350,AX$3)))</f>
        <v/>
      </c>
      <c r="AY350" s="124" t="str">
        <f>IF($B350="","",IF(AY$3=0,"n.b.",INDEX(SRC_ZPMW03!$A$1:$ZZ$501,$A350,AY$3)))</f>
        <v/>
      </c>
      <c r="AZ350" s="124" t="str">
        <f>IF($B350="","",IF(AZ$3=0,"n.b.",INDEX(SRC_ZPMW03!$A$1:$ZZ$501,$A350,AZ$3)))</f>
        <v/>
      </c>
      <c r="BA350" s="124" t="str">
        <f>IF($B350="","",IF(BA$3=0,"n.b.",INDEX(SRC_ZPMW03!$A$1:$ZZ$501,$A350,BA$3)))</f>
        <v/>
      </c>
      <c r="BB350" s="124" t="str">
        <f>IF($B350="","",IF(BB$3=0,"n.b.",INDEX(SRC_ZPMW03!$A$1:$ZZ$501,$A350,BB$3)))</f>
        <v/>
      </c>
      <c r="BC350" s="124" t="str">
        <f>IF($B350="","",IF(BC$3=0,"n.b.",INDEX(SRC_ZPMW03!$A$1:$ZZ$501,$A350,BC$3)))</f>
        <v/>
      </c>
      <c r="BD350" s="124" t="str">
        <f>IF($B350="","",IF(BD$3=0,"n.b.",INDEX(SRC_ZPMW03!$A$1:$ZZ$501,$A350,BD$3)))</f>
        <v/>
      </c>
      <c r="BE350" s="124" t="str">
        <f>IF($B350="","",IF(BE$3=0,"n.b.",INDEX(SRC_ZPMW03!$A$1:$ZZ$501,$A350,BE$3)))</f>
        <v/>
      </c>
      <c r="BF350" s="124" t="str">
        <f>IF($B350="","",IF(BF$3=0,"n.b.",INDEX(SRC_ZPMW03!$A$1:$ZZ$501,$A350,BF$3)))</f>
        <v/>
      </c>
      <c r="BG350" t="str">
        <f>IF($B350="","",IF(BG$3=0,"n.b.",INDEX(SRC_ZPMW03!$A$1:$ZZ$501,$A350,BG$3)))</f>
        <v/>
      </c>
      <c r="BH350" t="str">
        <f>IF($B350="","",IF(BH$3=0,"n.b.",INDEX(SRC_ZPMW03!$A$1:$ZZ$501,$A350,BH$3)))</f>
        <v/>
      </c>
      <c r="BI350" t="str">
        <f>IF($B350="","",IF(BI$3=0,"n.b.",INDEX(SRC_ZPMW03!$A$1:$ZZ$501,$A350,BI$3)))</f>
        <v/>
      </c>
      <c r="BJ350" t="str">
        <f>IF($B350="","",IF(BJ$3=0,"n.b.",INDEX(SRC_ZPMW03!$A$1:$ZZ$501,$A350,BJ$3)))</f>
        <v/>
      </c>
      <c r="BK350" s="124" t="str">
        <f>IF($B350="","",IFERROR(-O350,"n.b."))</f>
        <v/>
      </c>
      <c r="BL350" s="124" t="str">
        <f>IF($B350="","",IFERROR(-Q350,"n.b."))</f>
        <v/>
      </c>
      <c r="BM350" s="124" t="str">
        <f>IF($B350="","",IFERROR(-AB350,"n.b."))</f>
        <v/>
      </c>
      <c r="BN350" s="124" t="str">
        <f>IF($B350="","",IFERROR(-AD350,"n.b."))</f>
        <v/>
      </c>
      <c r="BO350" s="124" t="str">
        <f>IF($B350="","",IFERROR(BK350+BM350,"n.b."))</f>
        <v/>
      </c>
      <c r="BP350" s="124" t="str">
        <f>IF($B350="","",IFERROR(BL350+BN350,"n.b."))</f>
        <v/>
      </c>
      <c r="BQ350" s="124" t="str">
        <f>IF($B350="","",IFERROR(-AM350,"n.b."))</f>
        <v/>
      </c>
      <c r="BR350" s="124" t="str">
        <f>IF($B350="","",IFERROR(-AO350,"n.b."))</f>
        <v/>
      </c>
      <c r="BS350" s="124" t="str">
        <f>IF($B350="","",IFERROR(-Z350,"n.b."))</f>
        <v/>
      </c>
      <c r="BT350" s="124" t="str">
        <f>IF($B350="","",IFERROR(-AA350,"n.b."))</f>
        <v/>
      </c>
      <c r="BU350" s="124" t="str">
        <f>IF($B350="","",IFERROR(-AE350,"n.b."))</f>
        <v/>
      </c>
      <c r="BV350" s="124" t="str">
        <f>IF($B350="","",IFERROR(-AF350,"n.b."))</f>
        <v/>
      </c>
      <c r="BW350" s="124" t="str">
        <f>IF($B350="","",IFERROR(-AG350,"n.b."))</f>
        <v/>
      </c>
      <c r="BX350" s="124" t="str">
        <f>IF($B350="","",IFERROR(-AH350,"n.b."))</f>
        <v/>
      </c>
      <c r="BY350" s="124" t="str">
        <f>IF($B350="","",IFERROR(-AI350,"n.b."))</f>
        <v/>
      </c>
      <c r="BZ350" s="124" t="str">
        <f>IF($B350="","",IFERROR(-AJ350,"n.b."))</f>
        <v/>
      </c>
      <c r="CA350" s="124" t="str">
        <f>IF($B350="","",IFERROR(-AK350,"n.b."))</f>
        <v/>
      </c>
      <c r="CB350" s="124" t="str">
        <f>IF($B350="","",IFERROR(-AL350,"n.b."))</f>
        <v/>
      </c>
      <c r="CC350" s="124" t="str">
        <f>IF($B350="","",IFERROR(-AP350,"n.b."))</f>
        <v/>
      </c>
      <c r="CD350" s="124" t="str">
        <f>IF($B350="","",IFERROR(-AQ350,"n.b."))</f>
        <v/>
      </c>
      <c r="CE350" s="124" t="str">
        <f>IF($B350="","",IFERROR(-AR350,"n.b."))</f>
        <v/>
      </c>
      <c r="CF350" s="124" t="str">
        <f>IF($B350="","",IFERROR(-AS350,"n.b."))</f>
        <v/>
      </c>
      <c r="CG350" s="124" t="str">
        <f>IF($B350="","",IFERROR(-AT350,"n.b."))</f>
        <v/>
      </c>
      <c r="CH350" s="124" t="str">
        <f>IF($B350="","",IFERROR(-AU350,"n.b."))</f>
        <v/>
      </c>
      <c r="CI350" s="124" t="str">
        <f>IF($B350="","",IFERROR(-AV350,"n.b."))</f>
        <v/>
      </c>
      <c r="CJ350" s="124" t="str">
        <f>IF($B350="","",IFERROR(-AW350,"n.b."))</f>
        <v/>
      </c>
      <c r="CK350" s="124" t="str">
        <f>IF($B350="","",IFERROR(-AX350,"n.b."))</f>
        <v/>
      </c>
      <c r="CL350" s="124" t="str">
        <f>IF($B350="","",IFERROR(-AY350,"n.b."))</f>
        <v/>
      </c>
      <c r="CM350" s="124" t="str">
        <f>IF($B350="","",IFERROR(-AZ350,"n.b."))</f>
        <v/>
      </c>
      <c r="CN350" s="124" t="str">
        <f>IF($B350="","",IFERROR(-BA350,"n.b."))</f>
        <v/>
      </c>
      <c r="CO350" s="124" t="str">
        <f>IF($B350="","",IFERROR(-BB350,"n.b."))</f>
        <v/>
      </c>
      <c r="CP350" s="124" t="str">
        <f>IF($B350="","",IFERROR(-BC350,"n.b."))</f>
        <v/>
      </c>
      <c r="CQ350" s="124" t="str">
        <f>IF($B350="","",IFERROR(-BD350,"n.b."))</f>
        <v/>
      </c>
      <c r="CR350" s="124" t="str">
        <f>IF($B350="","",IFERROR(-BE350,"n.b."))</f>
        <v/>
      </c>
      <c r="CS350" s="124" t="str">
        <f>IF($B350="","",IFERROR(IF(OR(ABS(T350+V350+X350+Z350-AB350)&gt;P_Tol,ABS(U350+W350+Y350+AA350-AD350)&gt;P_Tol,ABS(AE350+AG350+AI350+AK350-AM350)&gt;P_Tol,ABS(AF350+AH350+AJ350+AL350-AO350)&gt;P_Tol),1,0),1))</f>
        <v/>
      </c>
      <c r="CT350" s="124" t="str">
        <f>IF($B350="","",IFERROR(IF(OR(ABS(AB350+AC350-AD350)&gt;P_Tol,ABS(AM350+AN350-AO350)&gt;P_Tol,ABS(O350+P350-Q350)&gt;P_Tol),1,0),1))</f>
        <v/>
      </c>
      <c r="CU350" s="124" t="str">
        <f>IF($B350="","",IFERROR(IF(ABS(R350-(AB350+AM350+AP350+AR350+AT350+AV350+AX350+AZ350+BB350+BD350))&gt;P_Tol,1,0),1))</f>
        <v/>
      </c>
      <c r="CV350" s="124" t="str">
        <f>IF($B350="","",IFERROR(IF(ABS(M350-(N350+O350+R350))&gt;P_Tol,1,0),1))</f>
        <v/>
      </c>
      <c r="CW350" s="124" t="str">
        <f>IF($B350="","",IF(COUNTIF(Mapping!$A$5:$A$104,B350)&gt;0,1,0))</f>
        <v/>
      </c>
      <c r="CX350" s="124" t="str">
        <f>IF($B350="","",COUNTIF($B$6:$B$505,B350))</f>
        <v/>
      </c>
      <c r="CY350" s="124" t="str">
        <f>IF($B350="","",COUNTIF(STG_Woningetalage!$B$6:$B$505,B350))</f>
        <v/>
      </c>
      <c r="CZ350" s="124" t="str">
        <f>IF($B350="","",IF(CW350=0,COUNTIF($CW$6:CW350,0),""))</f>
        <v/>
      </c>
    </row>
    <row r="351">
      <c r="A351" s="15" t="n">
        <v>347</v>
      </c>
      <c r="B351" t="str">
        <f>IF(B$3=0,"",IF(INDEX(SRC_ZPMW03!$A$1:$ZZ$501,$A351,B$3)&amp;""="","",INDEX(SRC_ZPMW03!$A$1:$ZZ$501,$A351,B$3)&amp;""))</f>
        <v/>
      </c>
      <c r="C351" t="str">
        <f>IF($B351="","",IF(C$3=0,"n.b.",INDEX(SRC_ZPMW03!$A$1:$ZZ$501,$A351,C$3)))</f>
        <v/>
      </c>
      <c r="D351" t="str">
        <f>IF($B351="","",IF(D$3=0,"n.b.",INDEX(SRC_ZPMW03!$A$1:$ZZ$501,$A351,D$3)))</f>
        <v/>
      </c>
      <c r="E351" t="str">
        <f>IF($B351="","",IF(E$3=0,"n.b.",INDEX(SRC_ZPMW03!$A$1:$ZZ$501,$A351,E$3)))</f>
        <v/>
      </c>
      <c r="F351" t="str">
        <f>IF($B351="","",IF(F$3=0,"n.b.",INDEX(SRC_ZPMW03!$A$1:$ZZ$501,$A351,F$3)))</f>
        <v/>
      </c>
      <c r="G351" t="str">
        <f>IF($B351="","",IF(G$3=0,"n.b.",INDEX(SRC_ZPMW03!$A$1:$ZZ$501,$A351,G$3)))</f>
        <v/>
      </c>
      <c r="H351" t="str">
        <f>IF($B351="","",IF(H$3=0,"n.b.",INDEX(SRC_ZPMW03!$A$1:$ZZ$501,$A351,H$3)))</f>
        <v/>
      </c>
      <c r="I351" t="str">
        <f>IF($B351="","",IF(I$3=0,"n.b.",INDEX(SRC_ZPMW03!$A$1:$ZZ$501,$A351,I$3)))</f>
        <v/>
      </c>
      <c r="J351" t="str">
        <f>IF($B351="","",IF(J$3=0,"n.b.",INDEX(SRC_ZPMW03!$A$1:$ZZ$501,$A351,J$3)))</f>
        <v/>
      </c>
      <c r="K351" t="str">
        <f>IF($B351="","",IF(K$3=0,"n.b.",INDEX(SRC_ZPMW03!$A$1:$ZZ$501,$A351,K$3)))</f>
        <v/>
      </c>
      <c r="L351" s="124" t="str">
        <f>IF($B351="","",IF(L$3=0,"n.b.",INDEX(SRC_ZPMW03!$A$1:$ZZ$501,$A351,L$3)))</f>
        <v/>
      </c>
      <c r="M351" s="124" t="str">
        <f>IF($B351="","",IF(M$3=0,"n.b.",INDEX(SRC_ZPMW03!$A$1:$ZZ$501,$A351,M$3)))</f>
        <v/>
      </c>
      <c r="N351" s="124" t="str">
        <f>IF($B351="","",IF(N$3=0,"n.b.",INDEX(SRC_ZPMW03!$A$1:$ZZ$501,$A351,N$3)))</f>
        <v/>
      </c>
      <c r="O351" s="124" t="str">
        <f>IF($B351="","",IF(O$3=0,"n.b.",INDEX(SRC_ZPMW03!$A$1:$ZZ$501,$A351,O$3)))</f>
        <v/>
      </c>
      <c r="P351" s="124" t="str">
        <f>IF($B351="","",IF(P$3=0,"n.b.",INDEX(SRC_ZPMW03!$A$1:$ZZ$501,$A351,P$3)))</f>
        <v/>
      </c>
      <c r="Q351" s="124" t="str">
        <f>IF($B351="","",IF(Q$3=0,"n.b.",INDEX(SRC_ZPMW03!$A$1:$ZZ$501,$A351,Q$3)))</f>
        <v/>
      </c>
      <c r="R351" s="124" t="str">
        <f>IF($B351="","",IF(R$3=0,"n.b.",INDEX(SRC_ZPMW03!$A$1:$ZZ$501,$A351,R$3)))</f>
        <v/>
      </c>
      <c r="S351" s="124" t="str">
        <f>IF($B351="","",IF(S$3=0,"n.b.",INDEX(SRC_ZPMW03!$A$1:$ZZ$501,$A351,S$3)))</f>
        <v/>
      </c>
      <c r="T351" s="124" t="str">
        <f>IF($B351="","",IF(T$3=0,"n.b.",INDEX(SRC_ZPMW03!$A$1:$ZZ$501,$A351,T$3)))</f>
        <v/>
      </c>
      <c r="U351" s="124" t="str">
        <f>IF($B351="","",IF(U$3=0,"n.b.",INDEX(SRC_ZPMW03!$A$1:$ZZ$501,$A351,U$3)))</f>
        <v/>
      </c>
      <c r="V351" s="124" t="str">
        <f>IF($B351="","",IF(V$3=0,"n.b.",INDEX(SRC_ZPMW03!$A$1:$ZZ$501,$A351,V$3)))</f>
        <v/>
      </c>
      <c r="W351" s="124" t="str">
        <f>IF($B351="","",IF(W$3=0,"n.b.",INDEX(SRC_ZPMW03!$A$1:$ZZ$501,$A351,W$3)))</f>
        <v/>
      </c>
      <c r="X351" s="124" t="str">
        <f>IF($B351="","",IF(X$3=0,"n.b.",INDEX(SRC_ZPMW03!$A$1:$ZZ$501,$A351,X$3)))</f>
        <v/>
      </c>
      <c r="Y351" s="124" t="str">
        <f>IF($B351="","",IF(Y$3=0,"n.b.",INDEX(SRC_ZPMW03!$A$1:$ZZ$501,$A351,Y$3)))</f>
        <v/>
      </c>
      <c r="Z351" s="124" t="str">
        <f>IF($B351="","",IF(Z$3=0,"n.b.",INDEX(SRC_ZPMW03!$A$1:$ZZ$501,$A351,Z$3)))</f>
        <v/>
      </c>
      <c r="AA351" s="124" t="str">
        <f>IF($B351="","",IF(AA$3=0,"n.b.",INDEX(SRC_ZPMW03!$A$1:$ZZ$501,$A351,AA$3)))</f>
        <v/>
      </c>
      <c r="AB351" s="124" t="str">
        <f>IF($B351="","",IF(AB$3=0,"n.b.",INDEX(SRC_ZPMW03!$A$1:$ZZ$501,$A351,AB$3)))</f>
        <v/>
      </c>
      <c r="AC351" s="124" t="str">
        <f>IF($B351="","",IF(AC$3=0,"n.b.",INDEX(SRC_ZPMW03!$A$1:$ZZ$501,$A351,AC$3)))</f>
        <v/>
      </c>
      <c r="AD351" s="124" t="str">
        <f>IF($B351="","",IF(AD$3=0,"n.b.",INDEX(SRC_ZPMW03!$A$1:$ZZ$501,$A351,AD$3)))</f>
        <v/>
      </c>
      <c r="AE351" s="124" t="str">
        <f>IF($B351="","",IF(AE$3=0,"n.b.",INDEX(SRC_ZPMW03!$A$1:$ZZ$501,$A351,AE$3)))</f>
        <v/>
      </c>
      <c r="AF351" s="124" t="str">
        <f>IF($B351="","",IF(AF$3=0,"n.b.",INDEX(SRC_ZPMW03!$A$1:$ZZ$501,$A351,AF$3)))</f>
        <v/>
      </c>
      <c r="AG351" s="124" t="str">
        <f>IF($B351="","",IF(AG$3=0,"n.b.",INDEX(SRC_ZPMW03!$A$1:$ZZ$501,$A351,AG$3)))</f>
        <v/>
      </c>
      <c r="AH351" s="124" t="str">
        <f>IF($B351="","",IF(AH$3=0,"n.b.",INDEX(SRC_ZPMW03!$A$1:$ZZ$501,$A351,AH$3)))</f>
        <v/>
      </c>
      <c r="AI351" s="124" t="str">
        <f>IF($B351="","",IF(AI$3=0,"n.b.",INDEX(SRC_ZPMW03!$A$1:$ZZ$501,$A351,AI$3)))</f>
        <v/>
      </c>
      <c r="AJ351" s="124" t="str">
        <f>IF($B351="","",IF(AJ$3=0,"n.b.",INDEX(SRC_ZPMW03!$A$1:$ZZ$501,$A351,AJ$3)))</f>
        <v/>
      </c>
      <c r="AK351" s="124" t="str">
        <f>IF($B351="","",IF(AK$3=0,"n.b.",INDEX(SRC_ZPMW03!$A$1:$ZZ$501,$A351,AK$3)))</f>
        <v/>
      </c>
      <c r="AL351" s="124" t="str">
        <f>IF($B351="","",IF(AL$3=0,"n.b.",INDEX(SRC_ZPMW03!$A$1:$ZZ$501,$A351,AL$3)))</f>
        <v/>
      </c>
      <c r="AM351" s="124" t="str">
        <f>IF($B351="","",IF(AM$3=0,"n.b.",INDEX(SRC_ZPMW03!$A$1:$ZZ$501,$A351,AM$3)))</f>
        <v/>
      </c>
      <c r="AN351" s="124" t="str">
        <f>IF($B351="","",IF(AN$3=0,"n.b.",INDEX(SRC_ZPMW03!$A$1:$ZZ$501,$A351,AN$3)))</f>
        <v/>
      </c>
      <c r="AO351" s="124" t="str">
        <f>IF($B351="","",IF(AO$3=0,"n.b.",INDEX(SRC_ZPMW03!$A$1:$ZZ$501,$A351,AO$3)))</f>
        <v/>
      </c>
      <c r="AP351" s="124" t="str">
        <f>IF($B351="","",IF(AP$3=0,"n.b.",INDEX(SRC_ZPMW03!$A$1:$ZZ$501,$A351,AP$3)))</f>
        <v/>
      </c>
      <c r="AQ351" s="124" t="str">
        <f>IF($B351="","",IF(AQ$3=0,"n.b.",INDEX(SRC_ZPMW03!$A$1:$ZZ$501,$A351,AQ$3)))</f>
        <v/>
      </c>
      <c r="AR351" s="124" t="str">
        <f>IF($B351="","",IF(AR$3=0,"n.b.",INDEX(SRC_ZPMW03!$A$1:$ZZ$501,$A351,AR$3)))</f>
        <v/>
      </c>
      <c r="AS351" s="124" t="str">
        <f>IF($B351="","",IF(AS$3=0,"n.b.",INDEX(SRC_ZPMW03!$A$1:$ZZ$501,$A351,AS$3)))</f>
        <v/>
      </c>
      <c r="AT351" s="124" t="str">
        <f>IF($B351="","",IF(AT$3=0,"n.b.",INDEX(SRC_ZPMW03!$A$1:$ZZ$501,$A351,AT$3)))</f>
        <v/>
      </c>
      <c r="AU351" s="124" t="str">
        <f>IF($B351="","",IF(AU$3=0,"n.b.",INDEX(SRC_ZPMW03!$A$1:$ZZ$501,$A351,AU$3)))</f>
        <v/>
      </c>
      <c r="AV351" s="124" t="str">
        <f>IF($B351="","",IF(AV$3=0,"n.b.",INDEX(SRC_ZPMW03!$A$1:$ZZ$501,$A351,AV$3)))</f>
        <v/>
      </c>
      <c r="AW351" s="124" t="str">
        <f>IF($B351="","",IF(AW$3=0,"n.b.",INDEX(SRC_ZPMW03!$A$1:$ZZ$501,$A351,AW$3)))</f>
        <v/>
      </c>
      <c r="AX351" s="124" t="str">
        <f>IF($B351="","",IF(AX$3=0,"n.b.",INDEX(SRC_ZPMW03!$A$1:$ZZ$501,$A351,AX$3)))</f>
        <v/>
      </c>
      <c r="AY351" s="124" t="str">
        <f>IF($B351="","",IF(AY$3=0,"n.b.",INDEX(SRC_ZPMW03!$A$1:$ZZ$501,$A351,AY$3)))</f>
        <v/>
      </c>
      <c r="AZ351" s="124" t="str">
        <f>IF($B351="","",IF(AZ$3=0,"n.b.",INDEX(SRC_ZPMW03!$A$1:$ZZ$501,$A351,AZ$3)))</f>
        <v/>
      </c>
      <c r="BA351" s="124" t="str">
        <f>IF($B351="","",IF(BA$3=0,"n.b.",INDEX(SRC_ZPMW03!$A$1:$ZZ$501,$A351,BA$3)))</f>
        <v/>
      </c>
      <c r="BB351" s="124" t="str">
        <f>IF($B351="","",IF(BB$3=0,"n.b.",INDEX(SRC_ZPMW03!$A$1:$ZZ$501,$A351,BB$3)))</f>
        <v/>
      </c>
      <c r="BC351" s="124" t="str">
        <f>IF($B351="","",IF(BC$3=0,"n.b.",INDEX(SRC_ZPMW03!$A$1:$ZZ$501,$A351,BC$3)))</f>
        <v/>
      </c>
      <c r="BD351" s="124" t="str">
        <f>IF($B351="","",IF(BD$3=0,"n.b.",INDEX(SRC_ZPMW03!$A$1:$ZZ$501,$A351,BD$3)))</f>
        <v/>
      </c>
      <c r="BE351" s="124" t="str">
        <f>IF($B351="","",IF(BE$3=0,"n.b.",INDEX(SRC_ZPMW03!$A$1:$ZZ$501,$A351,BE$3)))</f>
        <v/>
      </c>
      <c r="BF351" s="124" t="str">
        <f>IF($B351="","",IF(BF$3=0,"n.b.",INDEX(SRC_ZPMW03!$A$1:$ZZ$501,$A351,BF$3)))</f>
        <v/>
      </c>
      <c r="BG351" t="str">
        <f>IF($B351="","",IF(BG$3=0,"n.b.",INDEX(SRC_ZPMW03!$A$1:$ZZ$501,$A351,BG$3)))</f>
        <v/>
      </c>
      <c r="BH351" t="str">
        <f>IF($B351="","",IF(BH$3=0,"n.b.",INDEX(SRC_ZPMW03!$A$1:$ZZ$501,$A351,BH$3)))</f>
        <v/>
      </c>
      <c r="BI351" t="str">
        <f>IF($B351="","",IF(BI$3=0,"n.b.",INDEX(SRC_ZPMW03!$A$1:$ZZ$501,$A351,BI$3)))</f>
        <v/>
      </c>
      <c r="BJ351" t="str">
        <f>IF($B351="","",IF(BJ$3=0,"n.b.",INDEX(SRC_ZPMW03!$A$1:$ZZ$501,$A351,BJ$3)))</f>
        <v/>
      </c>
      <c r="BK351" s="124" t="str">
        <f>IF($B351="","",IFERROR(-O351,"n.b."))</f>
        <v/>
      </c>
      <c r="BL351" s="124" t="str">
        <f>IF($B351="","",IFERROR(-Q351,"n.b."))</f>
        <v/>
      </c>
      <c r="BM351" s="124" t="str">
        <f>IF($B351="","",IFERROR(-AB351,"n.b."))</f>
        <v/>
      </c>
      <c r="BN351" s="124" t="str">
        <f>IF($B351="","",IFERROR(-AD351,"n.b."))</f>
        <v/>
      </c>
      <c r="BO351" s="124" t="str">
        <f>IF($B351="","",IFERROR(BK351+BM351,"n.b."))</f>
        <v/>
      </c>
      <c r="BP351" s="124" t="str">
        <f>IF($B351="","",IFERROR(BL351+BN351,"n.b."))</f>
        <v/>
      </c>
      <c r="BQ351" s="124" t="str">
        <f>IF($B351="","",IFERROR(-AM351,"n.b."))</f>
        <v/>
      </c>
      <c r="BR351" s="124" t="str">
        <f>IF($B351="","",IFERROR(-AO351,"n.b."))</f>
        <v/>
      </c>
      <c r="BS351" s="124" t="str">
        <f>IF($B351="","",IFERROR(-Z351,"n.b."))</f>
        <v/>
      </c>
      <c r="BT351" s="124" t="str">
        <f>IF($B351="","",IFERROR(-AA351,"n.b."))</f>
        <v/>
      </c>
      <c r="BU351" s="124" t="str">
        <f>IF($B351="","",IFERROR(-AE351,"n.b."))</f>
        <v/>
      </c>
      <c r="BV351" s="124" t="str">
        <f>IF($B351="","",IFERROR(-AF351,"n.b."))</f>
        <v/>
      </c>
      <c r="BW351" s="124" t="str">
        <f>IF($B351="","",IFERROR(-AG351,"n.b."))</f>
        <v/>
      </c>
      <c r="BX351" s="124" t="str">
        <f>IF($B351="","",IFERROR(-AH351,"n.b."))</f>
        <v/>
      </c>
      <c r="BY351" s="124" t="str">
        <f>IF($B351="","",IFERROR(-AI351,"n.b."))</f>
        <v/>
      </c>
      <c r="BZ351" s="124" t="str">
        <f>IF($B351="","",IFERROR(-AJ351,"n.b."))</f>
        <v/>
      </c>
      <c r="CA351" s="124" t="str">
        <f>IF($B351="","",IFERROR(-AK351,"n.b."))</f>
        <v/>
      </c>
      <c r="CB351" s="124" t="str">
        <f>IF($B351="","",IFERROR(-AL351,"n.b."))</f>
        <v/>
      </c>
      <c r="CC351" s="124" t="str">
        <f>IF($B351="","",IFERROR(-AP351,"n.b."))</f>
        <v/>
      </c>
      <c r="CD351" s="124" t="str">
        <f>IF($B351="","",IFERROR(-AQ351,"n.b."))</f>
        <v/>
      </c>
      <c r="CE351" s="124" t="str">
        <f>IF($B351="","",IFERROR(-AR351,"n.b."))</f>
        <v/>
      </c>
      <c r="CF351" s="124" t="str">
        <f>IF($B351="","",IFERROR(-AS351,"n.b."))</f>
        <v/>
      </c>
      <c r="CG351" s="124" t="str">
        <f>IF($B351="","",IFERROR(-AT351,"n.b."))</f>
        <v/>
      </c>
      <c r="CH351" s="124" t="str">
        <f>IF($B351="","",IFERROR(-AU351,"n.b."))</f>
        <v/>
      </c>
      <c r="CI351" s="124" t="str">
        <f>IF($B351="","",IFERROR(-AV351,"n.b."))</f>
        <v/>
      </c>
      <c r="CJ351" s="124" t="str">
        <f>IF($B351="","",IFERROR(-AW351,"n.b."))</f>
        <v/>
      </c>
      <c r="CK351" s="124" t="str">
        <f>IF($B351="","",IFERROR(-AX351,"n.b."))</f>
        <v/>
      </c>
      <c r="CL351" s="124" t="str">
        <f>IF($B351="","",IFERROR(-AY351,"n.b."))</f>
        <v/>
      </c>
      <c r="CM351" s="124" t="str">
        <f>IF($B351="","",IFERROR(-AZ351,"n.b."))</f>
        <v/>
      </c>
      <c r="CN351" s="124" t="str">
        <f>IF($B351="","",IFERROR(-BA351,"n.b."))</f>
        <v/>
      </c>
      <c r="CO351" s="124" t="str">
        <f>IF($B351="","",IFERROR(-BB351,"n.b."))</f>
        <v/>
      </c>
      <c r="CP351" s="124" t="str">
        <f>IF($B351="","",IFERROR(-BC351,"n.b."))</f>
        <v/>
      </c>
      <c r="CQ351" s="124" t="str">
        <f>IF($B351="","",IFERROR(-BD351,"n.b."))</f>
        <v/>
      </c>
      <c r="CR351" s="124" t="str">
        <f>IF($B351="","",IFERROR(-BE351,"n.b."))</f>
        <v/>
      </c>
      <c r="CS351" s="124" t="str">
        <f>IF($B351="","",IFERROR(IF(OR(ABS(T351+V351+X351+Z351-AB351)&gt;P_Tol,ABS(U351+W351+Y351+AA351-AD351)&gt;P_Tol,ABS(AE351+AG351+AI351+AK351-AM351)&gt;P_Tol,ABS(AF351+AH351+AJ351+AL351-AO351)&gt;P_Tol),1,0),1))</f>
        <v/>
      </c>
      <c r="CT351" s="124" t="str">
        <f>IF($B351="","",IFERROR(IF(OR(ABS(AB351+AC351-AD351)&gt;P_Tol,ABS(AM351+AN351-AO351)&gt;P_Tol,ABS(O351+P351-Q351)&gt;P_Tol),1,0),1))</f>
        <v/>
      </c>
      <c r="CU351" s="124" t="str">
        <f>IF($B351="","",IFERROR(IF(ABS(R351-(AB351+AM351+AP351+AR351+AT351+AV351+AX351+AZ351+BB351+BD351))&gt;P_Tol,1,0),1))</f>
        <v/>
      </c>
      <c r="CV351" s="124" t="str">
        <f>IF($B351="","",IFERROR(IF(ABS(M351-(N351+O351+R351))&gt;P_Tol,1,0),1))</f>
        <v/>
      </c>
      <c r="CW351" s="124" t="str">
        <f>IF($B351="","",IF(COUNTIF(Mapping!$A$5:$A$104,B351)&gt;0,1,0))</f>
        <v/>
      </c>
      <c r="CX351" s="124" t="str">
        <f>IF($B351="","",COUNTIF($B$6:$B$505,B351))</f>
        <v/>
      </c>
      <c r="CY351" s="124" t="str">
        <f>IF($B351="","",COUNTIF(STG_Woningetalage!$B$6:$B$505,B351))</f>
        <v/>
      </c>
      <c r="CZ351" s="124" t="str">
        <f>IF($B351="","",IF(CW351=0,COUNTIF($CW$6:CW351,0),""))</f>
        <v/>
      </c>
    </row>
    <row r="352">
      <c r="A352" s="15" t="n">
        <v>348</v>
      </c>
      <c r="B352" t="str">
        <f>IF(B$3=0,"",IF(INDEX(SRC_ZPMW03!$A$1:$ZZ$501,$A352,B$3)&amp;""="","",INDEX(SRC_ZPMW03!$A$1:$ZZ$501,$A352,B$3)&amp;""))</f>
        <v/>
      </c>
      <c r="C352" t="str">
        <f>IF($B352="","",IF(C$3=0,"n.b.",INDEX(SRC_ZPMW03!$A$1:$ZZ$501,$A352,C$3)))</f>
        <v/>
      </c>
      <c r="D352" t="str">
        <f>IF($B352="","",IF(D$3=0,"n.b.",INDEX(SRC_ZPMW03!$A$1:$ZZ$501,$A352,D$3)))</f>
        <v/>
      </c>
      <c r="E352" t="str">
        <f>IF($B352="","",IF(E$3=0,"n.b.",INDEX(SRC_ZPMW03!$A$1:$ZZ$501,$A352,E$3)))</f>
        <v/>
      </c>
      <c r="F352" t="str">
        <f>IF($B352="","",IF(F$3=0,"n.b.",INDEX(SRC_ZPMW03!$A$1:$ZZ$501,$A352,F$3)))</f>
        <v/>
      </c>
      <c r="G352" t="str">
        <f>IF($B352="","",IF(G$3=0,"n.b.",INDEX(SRC_ZPMW03!$A$1:$ZZ$501,$A352,G$3)))</f>
        <v/>
      </c>
      <c r="H352" t="str">
        <f>IF($B352="","",IF(H$3=0,"n.b.",INDEX(SRC_ZPMW03!$A$1:$ZZ$501,$A352,H$3)))</f>
        <v/>
      </c>
      <c r="I352" t="str">
        <f>IF($B352="","",IF(I$3=0,"n.b.",INDEX(SRC_ZPMW03!$A$1:$ZZ$501,$A352,I$3)))</f>
        <v/>
      </c>
      <c r="J352" t="str">
        <f>IF($B352="","",IF(J$3=0,"n.b.",INDEX(SRC_ZPMW03!$A$1:$ZZ$501,$A352,J$3)))</f>
        <v/>
      </c>
      <c r="K352" t="str">
        <f>IF($B352="","",IF(K$3=0,"n.b.",INDEX(SRC_ZPMW03!$A$1:$ZZ$501,$A352,K$3)))</f>
        <v/>
      </c>
      <c r="L352" s="124" t="str">
        <f>IF($B352="","",IF(L$3=0,"n.b.",INDEX(SRC_ZPMW03!$A$1:$ZZ$501,$A352,L$3)))</f>
        <v/>
      </c>
      <c r="M352" s="124" t="str">
        <f>IF($B352="","",IF(M$3=0,"n.b.",INDEX(SRC_ZPMW03!$A$1:$ZZ$501,$A352,M$3)))</f>
        <v/>
      </c>
      <c r="N352" s="124" t="str">
        <f>IF($B352="","",IF(N$3=0,"n.b.",INDEX(SRC_ZPMW03!$A$1:$ZZ$501,$A352,N$3)))</f>
        <v/>
      </c>
      <c r="O352" s="124" t="str">
        <f>IF($B352="","",IF(O$3=0,"n.b.",INDEX(SRC_ZPMW03!$A$1:$ZZ$501,$A352,O$3)))</f>
        <v/>
      </c>
      <c r="P352" s="124" t="str">
        <f>IF($B352="","",IF(P$3=0,"n.b.",INDEX(SRC_ZPMW03!$A$1:$ZZ$501,$A352,P$3)))</f>
        <v/>
      </c>
      <c r="Q352" s="124" t="str">
        <f>IF($B352="","",IF(Q$3=0,"n.b.",INDEX(SRC_ZPMW03!$A$1:$ZZ$501,$A352,Q$3)))</f>
        <v/>
      </c>
      <c r="R352" s="124" t="str">
        <f>IF($B352="","",IF(R$3=0,"n.b.",INDEX(SRC_ZPMW03!$A$1:$ZZ$501,$A352,R$3)))</f>
        <v/>
      </c>
      <c r="S352" s="124" t="str">
        <f>IF($B352="","",IF(S$3=0,"n.b.",INDEX(SRC_ZPMW03!$A$1:$ZZ$501,$A352,S$3)))</f>
        <v/>
      </c>
      <c r="T352" s="124" t="str">
        <f>IF($B352="","",IF(T$3=0,"n.b.",INDEX(SRC_ZPMW03!$A$1:$ZZ$501,$A352,T$3)))</f>
        <v/>
      </c>
      <c r="U352" s="124" t="str">
        <f>IF($B352="","",IF(U$3=0,"n.b.",INDEX(SRC_ZPMW03!$A$1:$ZZ$501,$A352,U$3)))</f>
        <v/>
      </c>
      <c r="V352" s="124" t="str">
        <f>IF($B352="","",IF(V$3=0,"n.b.",INDEX(SRC_ZPMW03!$A$1:$ZZ$501,$A352,V$3)))</f>
        <v/>
      </c>
      <c r="W352" s="124" t="str">
        <f>IF($B352="","",IF(W$3=0,"n.b.",INDEX(SRC_ZPMW03!$A$1:$ZZ$501,$A352,W$3)))</f>
        <v/>
      </c>
      <c r="X352" s="124" t="str">
        <f>IF($B352="","",IF(X$3=0,"n.b.",INDEX(SRC_ZPMW03!$A$1:$ZZ$501,$A352,X$3)))</f>
        <v/>
      </c>
      <c r="Y352" s="124" t="str">
        <f>IF($B352="","",IF(Y$3=0,"n.b.",INDEX(SRC_ZPMW03!$A$1:$ZZ$501,$A352,Y$3)))</f>
        <v/>
      </c>
      <c r="Z352" s="124" t="str">
        <f>IF($B352="","",IF(Z$3=0,"n.b.",INDEX(SRC_ZPMW03!$A$1:$ZZ$501,$A352,Z$3)))</f>
        <v/>
      </c>
      <c r="AA352" s="124" t="str">
        <f>IF($B352="","",IF(AA$3=0,"n.b.",INDEX(SRC_ZPMW03!$A$1:$ZZ$501,$A352,AA$3)))</f>
        <v/>
      </c>
      <c r="AB352" s="124" t="str">
        <f>IF($B352="","",IF(AB$3=0,"n.b.",INDEX(SRC_ZPMW03!$A$1:$ZZ$501,$A352,AB$3)))</f>
        <v/>
      </c>
      <c r="AC352" s="124" t="str">
        <f>IF($B352="","",IF(AC$3=0,"n.b.",INDEX(SRC_ZPMW03!$A$1:$ZZ$501,$A352,AC$3)))</f>
        <v/>
      </c>
      <c r="AD352" s="124" t="str">
        <f>IF($B352="","",IF(AD$3=0,"n.b.",INDEX(SRC_ZPMW03!$A$1:$ZZ$501,$A352,AD$3)))</f>
        <v/>
      </c>
      <c r="AE352" s="124" t="str">
        <f>IF($B352="","",IF(AE$3=0,"n.b.",INDEX(SRC_ZPMW03!$A$1:$ZZ$501,$A352,AE$3)))</f>
        <v/>
      </c>
      <c r="AF352" s="124" t="str">
        <f>IF($B352="","",IF(AF$3=0,"n.b.",INDEX(SRC_ZPMW03!$A$1:$ZZ$501,$A352,AF$3)))</f>
        <v/>
      </c>
      <c r="AG352" s="124" t="str">
        <f>IF($B352="","",IF(AG$3=0,"n.b.",INDEX(SRC_ZPMW03!$A$1:$ZZ$501,$A352,AG$3)))</f>
        <v/>
      </c>
      <c r="AH352" s="124" t="str">
        <f>IF($B352="","",IF(AH$3=0,"n.b.",INDEX(SRC_ZPMW03!$A$1:$ZZ$501,$A352,AH$3)))</f>
        <v/>
      </c>
      <c r="AI352" s="124" t="str">
        <f>IF($B352="","",IF(AI$3=0,"n.b.",INDEX(SRC_ZPMW03!$A$1:$ZZ$501,$A352,AI$3)))</f>
        <v/>
      </c>
      <c r="AJ352" s="124" t="str">
        <f>IF($B352="","",IF(AJ$3=0,"n.b.",INDEX(SRC_ZPMW03!$A$1:$ZZ$501,$A352,AJ$3)))</f>
        <v/>
      </c>
      <c r="AK352" s="124" t="str">
        <f>IF($B352="","",IF(AK$3=0,"n.b.",INDEX(SRC_ZPMW03!$A$1:$ZZ$501,$A352,AK$3)))</f>
        <v/>
      </c>
      <c r="AL352" s="124" t="str">
        <f>IF($B352="","",IF(AL$3=0,"n.b.",INDEX(SRC_ZPMW03!$A$1:$ZZ$501,$A352,AL$3)))</f>
        <v/>
      </c>
      <c r="AM352" s="124" t="str">
        <f>IF($B352="","",IF(AM$3=0,"n.b.",INDEX(SRC_ZPMW03!$A$1:$ZZ$501,$A352,AM$3)))</f>
        <v/>
      </c>
      <c r="AN352" s="124" t="str">
        <f>IF($B352="","",IF(AN$3=0,"n.b.",INDEX(SRC_ZPMW03!$A$1:$ZZ$501,$A352,AN$3)))</f>
        <v/>
      </c>
      <c r="AO352" s="124" t="str">
        <f>IF($B352="","",IF(AO$3=0,"n.b.",INDEX(SRC_ZPMW03!$A$1:$ZZ$501,$A352,AO$3)))</f>
        <v/>
      </c>
      <c r="AP352" s="124" t="str">
        <f>IF($B352="","",IF(AP$3=0,"n.b.",INDEX(SRC_ZPMW03!$A$1:$ZZ$501,$A352,AP$3)))</f>
        <v/>
      </c>
      <c r="AQ352" s="124" t="str">
        <f>IF($B352="","",IF(AQ$3=0,"n.b.",INDEX(SRC_ZPMW03!$A$1:$ZZ$501,$A352,AQ$3)))</f>
        <v/>
      </c>
      <c r="AR352" s="124" t="str">
        <f>IF($B352="","",IF(AR$3=0,"n.b.",INDEX(SRC_ZPMW03!$A$1:$ZZ$501,$A352,AR$3)))</f>
        <v/>
      </c>
      <c r="AS352" s="124" t="str">
        <f>IF($B352="","",IF(AS$3=0,"n.b.",INDEX(SRC_ZPMW03!$A$1:$ZZ$501,$A352,AS$3)))</f>
        <v/>
      </c>
      <c r="AT352" s="124" t="str">
        <f>IF($B352="","",IF(AT$3=0,"n.b.",INDEX(SRC_ZPMW03!$A$1:$ZZ$501,$A352,AT$3)))</f>
        <v/>
      </c>
      <c r="AU352" s="124" t="str">
        <f>IF($B352="","",IF(AU$3=0,"n.b.",INDEX(SRC_ZPMW03!$A$1:$ZZ$501,$A352,AU$3)))</f>
        <v/>
      </c>
      <c r="AV352" s="124" t="str">
        <f>IF($B352="","",IF(AV$3=0,"n.b.",INDEX(SRC_ZPMW03!$A$1:$ZZ$501,$A352,AV$3)))</f>
        <v/>
      </c>
      <c r="AW352" s="124" t="str">
        <f>IF($B352="","",IF(AW$3=0,"n.b.",INDEX(SRC_ZPMW03!$A$1:$ZZ$501,$A352,AW$3)))</f>
        <v/>
      </c>
      <c r="AX352" s="124" t="str">
        <f>IF($B352="","",IF(AX$3=0,"n.b.",INDEX(SRC_ZPMW03!$A$1:$ZZ$501,$A352,AX$3)))</f>
        <v/>
      </c>
      <c r="AY352" s="124" t="str">
        <f>IF($B352="","",IF(AY$3=0,"n.b.",INDEX(SRC_ZPMW03!$A$1:$ZZ$501,$A352,AY$3)))</f>
        <v/>
      </c>
      <c r="AZ352" s="124" t="str">
        <f>IF($B352="","",IF(AZ$3=0,"n.b.",INDEX(SRC_ZPMW03!$A$1:$ZZ$501,$A352,AZ$3)))</f>
        <v/>
      </c>
      <c r="BA352" s="124" t="str">
        <f>IF($B352="","",IF(BA$3=0,"n.b.",INDEX(SRC_ZPMW03!$A$1:$ZZ$501,$A352,BA$3)))</f>
        <v/>
      </c>
      <c r="BB352" s="124" t="str">
        <f>IF($B352="","",IF(BB$3=0,"n.b.",INDEX(SRC_ZPMW03!$A$1:$ZZ$501,$A352,BB$3)))</f>
        <v/>
      </c>
      <c r="BC352" s="124" t="str">
        <f>IF($B352="","",IF(BC$3=0,"n.b.",INDEX(SRC_ZPMW03!$A$1:$ZZ$501,$A352,BC$3)))</f>
        <v/>
      </c>
      <c r="BD352" s="124" t="str">
        <f>IF($B352="","",IF(BD$3=0,"n.b.",INDEX(SRC_ZPMW03!$A$1:$ZZ$501,$A352,BD$3)))</f>
        <v/>
      </c>
      <c r="BE352" s="124" t="str">
        <f>IF($B352="","",IF(BE$3=0,"n.b.",INDEX(SRC_ZPMW03!$A$1:$ZZ$501,$A352,BE$3)))</f>
        <v/>
      </c>
      <c r="BF352" s="124" t="str">
        <f>IF($B352="","",IF(BF$3=0,"n.b.",INDEX(SRC_ZPMW03!$A$1:$ZZ$501,$A352,BF$3)))</f>
        <v/>
      </c>
      <c r="BG352" t="str">
        <f>IF($B352="","",IF(BG$3=0,"n.b.",INDEX(SRC_ZPMW03!$A$1:$ZZ$501,$A352,BG$3)))</f>
        <v/>
      </c>
      <c r="BH352" t="str">
        <f>IF($B352="","",IF(BH$3=0,"n.b.",INDEX(SRC_ZPMW03!$A$1:$ZZ$501,$A352,BH$3)))</f>
        <v/>
      </c>
      <c r="BI352" t="str">
        <f>IF($B352="","",IF(BI$3=0,"n.b.",INDEX(SRC_ZPMW03!$A$1:$ZZ$501,$A352,BI$3)))</f>
        <v/>
      </c>
      <c r="BJ352" t="str">
        <f>IF($B352="","",IF(BJ$3=0,"n.b.",INDEX(SRC_ZPMW03!$A$1:$ZZ$501,$A352,BJ$3)))</f>
        <v/>
      </c>
      <c r="BK352" s="124" t="str">
        <f>IF($B352="","",IFERROR(-O352,"n.b."))</f>
        <v/>
      </c>
      <c r="BL352" s="124" t="str">
        <f>IF($B352="","",IFERROR(-Q352,"n.b."))</f>
        <v/>
      </c>
      <c r="BM352" s="124" t="str">
        <f>IF($B352="","",IFERROR(-AB352,"n.b."))</f>
        <v/>
      </c>
      <c r="BN352" s="124" t="str">
        <f>IF($B352="","",IFERROR(-AD352,"n.b."))</f>
        <v/>
      </c>
      <c r="BO352" s="124" t="str">
        <f>IF($B352="","",IFERROR(BK352+BM352,"n.b."))</f>
        <v/>
      </c>
      <c r="BP352" s="124" t="str">
        <f>IF($B352="","",IFERROR(BL352+BN352,"n.b."))</f>
        <v/>
      </c>
      <c r="BQ352" s="124" t="str">
        <f>IF($B352="","",IFERROR(-AM352,"n.b."))</f>
        <v/>
      </c>
      <c r="BR352" s="124" t="str">
        <f>IF($B352="","",IFERROR(-AO352,"n.b."))</f>
        <v/>
      </c>
      <c r="BS352" s="124" t="str">
        <f>IF($B352="","",IFERROR(-Z352,"n.b."))</f>
        <v/>
      </c>
      <c r="BT352" s="124" t="str">
        <f>IF($B352="","",IFERROR(-AA352,"n.b."))</f>
        <v/>
      </c>
      <c r="BU352" s="124" t="str">
        <f>IF($B352="","",IFERROR(-AE352,"n.b."))</f>
        <v/>
      </c>
      <c r="BV352" s="124" t="str">
        <f>IF($B352="","",IFERROR(-AF352,"n.b."))</f>
        <v/>
      </c>
      <c r="BW352" s="124" t="str">
        <f>IF($B352="","",IFERROR(-AG352,"n.b."))</f>
        <v/>
      </c>
      <c r="BX352" s="124" t="str">
        <f>IF($B352="","",IFERROR(-AH352,"n.b."))</f>
        <v/>
      </c>
      <c r="BY352" s="124" t="str">
        <f>IF($B352="","",IFERROR(-AI352,"n.b."))</f>
        <v/>
      </c>
      <c r="BZ352" s="124" t="str">
        <f>IF($B352="","",IFERROR(-AJ352,"n.b."))</f>
        <v/>
      </c>
      <c r="CA352" s="124" t="str">
        <f>IF($B352="","",IFERROR(-AK352,"n.b."))</f>
        <v/>
      </c>
      <c r="CB352" s="124" t="str">
        <f>IF($B352="","",IFERROR(-AL352,"n.b."))</f>
        <v/>
      </c>
      <c r="CC352" s="124" t="str">
        <f>IF($B352="","",IFERROR(-AP352,"n.b."))</f>
        <v/>
      </c>
      <c r="CD352" s="124" t="str">
        <f>IF($B352="","",IFERROR(-AQ352,"n.b."))</f>
        <v/>
      </c>
      <c r="CE352" s="124" t="str">
        <f>IF($B352="","",IFERROR(-AR352,"n.b."))</f>
        <v/>
      </c>
      <c r="CF352" s="124" t="str">
        <f>IF($B352="","",IFERROR(-AS352,"n.b."))</f>
        <v/>
      </c>
      <c r="CG352" s="124" t="str">
        <f>IF($B352="","",IFERROR(-AT352,"n.b."))</f>
        <v/>
      </c>
      <c r="CH352" s="124" t="str">
        <f>IF($B352="","",IFERROR(-AU352,"n.b."))</f>
        <v/>
      </c>
      <c r="CI352" s="124" t="str">
        <f>IF($B352="","",IFERROR(-AV352,"n.b."))</f>
        <v/>
      </c>
      <c r="CJ352" s="124" t="str">
        <f>IF($B352="","",IFERROR(-AW352,"n.b."))</f>
        <v/>
      </c>
      <c r="CK352" s="124" t="str">
        <f>IF($B352="","",IFERROR(-AX352,"n.b."))</f>
        <v/>
      </c>
      <c r="CL352" s="124" t="str">
        <f>IF($B352="","",IFERROR(-AY352,"n.b."))</f>
        <v/>
      </c>
      <c r="CM352" s="124" t="str">
        <f>IF($B352="","",IFERROR(-AZ352,"n.b."))</f>
        <v/>
      </c>
      <c r="CN352" s="124" t="str">
        <f>IF($B352="","",IFERROR(-BA352,"n.b."))</f>
        <v/>
      </c>
      <c r="CO352" s="124" t="str">
        <f>IF($B352="","",IFERROR(-BB352,"n.b."))</f>
        <v/>
      </c>
      <c r="CP352" s="124" t="str">
        <f>IF($B352="","",IFERROR(-BC352,"n.b."))</f>
        <v/>
      </c>
      <c r="CQ352" s="124" t="str">
        <f>IF($B352="","",IFERROR(-BD352,"n.b."))</f>
        <v/>
      </c>
      <c r="CR352" s="124" t="str">
        <f>IF($B352="","",IFERROR(-BE352,"n.b."))</f>
        <v/>
      </c>
      <c r="CS352" s="124" t="str">
        <f>IF($B352="","",IFERROR(IF(OR(ABS(T352+V352+X352+Z352-AB352)&gt;P_Tol,ABS(U352+W352+Y352+AA352-AD352)&gt;P_Tol,ABS(AE352+AG352+AI352+AK352-AM352)&gt;P_Tol,ABS(AF352+AH352+AJ352+AL352-AO352)&gt;P_Tol),1,0),1))</f>
        <v/>
      </c>
      <c r="CT352" s="124" t="str">
        <f>IF($B352="","",IFERROR(IF(OR(ABS(AB352+AC352-AD352)&gt;P_Tol,ABS(AM352+AN352-AO352)&gt;P_Tol,ABS(O352+P352-Q352)&gt;P_Tol),1,0),1))</f>
        <v/>
      </c>
      <c r="CU352" s="124" t="str">
        <f>IF($B352="","",IFERROR(IF(ABS(R352-(AB352+AM352+AP352+AR352+AT352+AV352+AX352+AZ352+BB352+BD352))&gt;P_Tol,1,0),1))</f>
        <v/>
      </c>
      <c r="CV352" s="124" t="str">
        <f>IF($B352="","",IFERROR(IF(ABS(M352-(N352+O352+R352))&gt;P_Tol,1,0),1))</f>
        <v/>
      </c>
      <c r="CW352" s="124" t="str">
        <f>IF($B352="","",IF(COUNTIF(Mapping!$A$5:$A$104,B352)&gt;0,1,0))</f>
        <v/>
      </c>
      <c r="CX352" s="124" t="str">
        <f>IF($B352="","",COUNTIF($B$6:$B$505,B352))</f>
        <v/>
      </c>
      <c r="CY352" s="124" t="str">
        <f>IF($B352="","",COUNTIF(STG_Woningetalage!$B$6:$B$505,B352))</f>
        <v/>
      </c>
      <c r="CZ352" s="124" t="str">
        <f>IF($B352="","",IF(CW352=0,COUNTIF($CW$6:CW352,0),""))</f>
        <v/>
      </c>
    </row>
    <row r="353">
      <c r="A353" s="15" t="n">
        <v>349</v>
      </c>
      <c r="B353" t="str">
        <f>IF(B$3=0,"",IF(INDEX(SRC_ZPMW03!$A$1:$ZZ$501,$A353,B$3)&amp;""="","",INDEX(SRC_ZPMW03!$A$1:$ZZ$501,$A353,B$3)&amp;""))</f>
        <v/>
      </c>
      <c r="C353" t="str">
        <f>IF($B353="","",IF(C$3=0,"n.b.",INDEX(SRC_ZPMW03!$A$1:$ZZ$501,$A353,C$3)))</f>
        <v/>
      </c>
      <c r="D353" t="str">
        <f>IF($B353="","",IF(D$3=0,"n.b.",INDEX(SRC_ZPMW03!$A$1:$ZZ$501,$A353,D$3)))</f>
        <v/>
      </c>
      <c r="E353" t="str">
        <f>IF($B353="","",IF(E$3=0,"n.b.",INDEX(SRC_ZPMW03!$A$1:$ZZ$501,$A353,E$3)))</f>
        <v/>
      </c>
      <c r="F353" t="str">
        <f>IF($B353="","",IF(F$3=0,"n.b.",INDEX(SRC_ZPMW03!$A$1:$ZZ$501,$A353,F$3)))</f>
        <v/>
      </c>
      <c r="G353" t="str">
        <f>IF($B353="","",IF(G$3=0,"n.b.",INDEX(SRC_ZPMW03!$A$1:$ZZ$501,$A353,G$3)))</f>
        <v/>
      </c>
      <c r="H353" t="str">
        <f>IF($B353="","",IF(H$3=0,"n.b.",INDEX(SRC_ZPMW03!$A$1:$ZZ$501,$A353,H$3)))</f>
        <v/>
      </c>
      <c r="I353" t="str">
        <f>IF($B353="","",IF(I$3=0,"n.b.",INDEX(SRC_ZPMW03!$A$1:$ZZ$501,$A353,I$3)))</f>
        <v/>
      </c>
      <c r="J353" t="str">
        <f>IF($B353="","",IF(J$3=0,"n.b.",INDEX(SRC_ZPMW03!$A$1:$ZZ$501,$A353,J$3)))</f>
        <v/>
      </c>
      <c r="K353" t="str">
        <f>IF($B353="","",IF(K$3=0,"n.b.",INDEX(SRC_ZPMW03!$A$1:$ZZ$501,$A353,K$3)))</f>
        <v/>
      </c>
      <c r="L353" s="124" t="str">
        <f>IF($B353="","",IF(L$3=0,"n.b.",INDEX(SRC_ZPMW03!$A$1:$ZZ$501,$A353,L$3)))</f>
        <v/>
      </c>
      <c r="M353" s="124" t="str">
        <f>IF($B353="","",IF(M$3=0,"n.b.",INDEX(SRC_ZPMW03!$A$1:$ZZ$501,$A353,M$3)))</f>
        <v/>
      </c>
      <c r="N353" s="124" t="str">
        <f>IF($B353="","",IF(N$3=0,"n.b.",INDEX(SRC_ZPMW03!$A$1:$ZZ$501,$A353,N$3)))</f>
        <v/>
      </c>
      <c r="O353" s="124" t="str">
        <f>IF($B353="","",IF(O$3=0,"n.b.",INDEX(SRC_ZPMW03!$A$1:$ZZ$501,$A353,O$3)))</f>
        <v/>
      </c>
      <c r="P353" s="124" t="str">
        <f>IF($B353="","",IF(P$3=0,"n.b.",INDEX(SRC_ZPMW03!$A$1:$ZZ$501,$A353,P$3)))</f>
        <v/>
      </c>
      <c r="Q353" s="124" t="str">
        <f>IF($B353="","",IF(Q$3=0,"n.b.",INDEX(SRC_ZPMW03!$A$1:$ZZ$501,$A353,Q$3)))</f>
        <v/>
      </c>
      <c r="R353" s="124" t="str">
        <f>IF($B353="","",IF(R$3=0,"n.b.",INDEX(SRC_ZPMW03!$A$1:$ZZ$501,$A353,R$3)))</f>
        <v/>
      </c>
      <c r="S353" s="124" t="str">
        <f>IF($B353="","",IF(S$3=0,"n.b.",INDEX(SRC_ZPMW03!$A$1:$ZZ$501,$A353,S$3)))</f>
        <v/>
      </c>
      <c r="T353" s="124" t="str">
        <f>IF($B353="","",IF(T$3=0,"n.b.",INDEX(SRC_ZPMW03!$A$1:$ZZ$501,$A353,T$3)))</f>
        <v/>
      </c>
      <c r="U353" s="124" t="str">
        <f>IF($B353="","",IF(U$3=0,"n.b.",INDEX(SRC_ZPMW03!$A$1:$ZZ$501,$A353,U$3)))</f>
        <v/>
      </c>
      <c r="V353" s="124" t="str">
        <f>IF($B353="","",IF(V$3=0,"n.b.",INDEX(SRC_ZPMW03!$A$1:$ZZ$501,$A353,V$3)))</f>
        <v/>
      </c>
      <c r="W353" s="124" t="str">
        <f>IF($B353="","",IF(W$3=0,"n.b.",INDEX(SRC_ZPMW03!$A$1:$ZZ$501,$A353,W$3)))</f>
        <v/>
      </c>
      <c r="X353" s="124" t="str">
        <f>IF($B353="","",IF(X$3=0,"n.b.",INDEX(SRC_ZPMW03!$A$1:$ZZ$501,$A353,X$3)))</f>
        <v/>
      </c>
      <c r="Y353" s="124" t="str">
        <f>IF($B353="","",IF(Y$3=0,"n.b.",INDEX(SRC_ZPMW03!$A$1:$ZZ$501,$A353,Y$3)))</f>
        <v/>
      </c>
      <c r="Z353" s="124" t="str">
        <f>IF($B353="","",IF(Z$3=0,"n.b.",INDEX(SRC_ZPMW03!$A$1:$ZZ$501,$A353,Z$3)))</f>
        <v/>
      </c>
      <c r="AA353" s="124" t="str">
        <f>IF($B353="","",IF(AA$3=0,"n.b.",INDEX(SRC_ZPMW03!$A$1:$ZZ$501,$A353,AA$3)))</f>
        <v/>
      </c>
      <c r="AB353" s="124" t="str">
        <f>IF($B353="","",IF(AB$3=0,"n.b.",INDEX(SRC_ZPMW03!$A$1:$ZZ$501,$A353,AB$3)))</f>
        <v/>
      </c>
      <c r="AC353" s="124" t="str">
        <f>IF($B353="","",IF(AC$3=0,"n.b.",INDEX(SRC_ZPMW03!$A$1:$ZZ$501,$A353,AC$3)))</f>
        <v/>
      </c>
      <c r="AD353" s="124" t="str">
        <f>IF($B353="","",IF(AD$3=0,"n.b.",INDEX(SRC_ZPMW03!$A$1:$ZZ$501,$A353,AD$3)))</f>
        <v/>
      </c>
      <c r="AE353" s="124" t="str">
        <f>IF($B353="","",IF(AE$3=0,"n.b.",INDEX(SRC_ZPMW03!$A$1:$ZZ$501,$A353,AE$3)))</f>
        <v/>
      </c>
      <c r="AF353" s="124" t="str">
        <f>IF($B353="","",IF(AF$3=0,"n.b.",INDEX(SRC_ZPMW03!$A$1:$ZZ$501,$A353,AF$3)))</f>
        <v/>
      </c>
      <c r="AG353" s="124" t="str">
        <f>IF($B353="","",IF(AG$3=0,"n.b.",INDEX(SRC_ZPMW03!$A$1:$ZZ$501,$A353,AG$3)))</f>
        <v/>
      </c>
      <c r="AH353" s="124" t="str">
        <f>IF($B353="","",IF(AH$3=0,"n.b.",INDEX(SRC_ZPMW03!$A$1:$ZZ$501,$A353,AH$3)))</f>
        <v/>
      </c>
      <c r="AI353" s="124" t="str">
        <f>IF($B353="","",IF(AI$3=0,"n.b.",INDEX(SRC_ZPMW03!$A$1:$ZZ$501,$A353,AI$3)))</f>
        <v/>
      </c>
      <c r="AJ353" s="124" t="str">
        <f>IF($B353="","",IF(AJ$3=0,"n.b.",INDEX(SRC_ZPMW03!$A$1:$ZZ$501,$A353,AJ$3)))</f>
        <v/>
      </c>
      <c r="AK353" s="124" t="str">
        <f>IF($B353="","",IF(AK$3=0,"n.b.",INDEX(SRC_ZPMW03!$A$1:$ZZ$501,$A353,AK$3)))</f>
        <v/>
      </c>
      <c r="AL353" s="124" t="str">
        <f>IF($B353="","",IF(AL$3=0,"n.b.",INDEX(SRC_ZPMW03!$A$1:$ZZ$501,$A353,AL$3)))</f>
        <v/>
      </c>
      <c r="AM353" s="124" t="str">
        <f>IF($B353="","",IF(AM$3=0,"n.b.",INDEX(SRC_ZPMW03!$A$1:$ZZ$501,$A353,AM$3)))</f>
        <v/>
      </c>
      <c r="AN353" s="124" t="str">
        <f>IF($B353="","",IF(AN$3=0,"n.b.",INDEX(SRC_ZPMW03!$A$1:$ZZ$501,$A353,AN$3)))</f>
        <v/>
      </c>
      <c r="AO353" s="124" t="str">
        <f>IF($B353="","",IF(AO$3=0,"n.b.",INDEX(SRC_ZPMW03!$A$1:$ZZ$501,$A353,AO$3)))</f>
        <v/>
      </c>
      <c r="AP353" s="124" t="str">
        <f>IF($B353="","",IF(AP$3=0,"n.b.",INDEX(SRC_ZPMW03!$A$1:$ZZ$501,$A353,AP$3)))</f>
        <v/>
      </c>
      <c r="AQ353" s="124" t="str">
        <f>IF($B353="","",IF(AQ$3=0,"n.b.",INDEX(SRC_ZPMW03!$A$1:$ZZ$501,$A353,AQ$3)))</f>
        <v/>
      </c>
      <c r="AR353" s="124" t="str">
        <f>IF($B353="","",IF(AR$3=0,"n.b.",INDEX(SRC_ZPMW03!$A$1:$ZZ$501,$A353,AR$3)))</f>
        <v/>
      </c>
      <c r="AS353" s="124" t="str">
        <f>IF($B353="","",IF(AS$3=0,"n.b.",INDEX(SRC_ZPMW03!$A$1:$ZZ$501,$A353,AS$3)))</f>
        <v/>
      </c>
      <c r="AT353" s="124" t="str">
        <f>IF($B353="","",IF(AT$3=0,"n.b.",INDEX(SRC_ZPMW03!$A$1:$ZZ$501,$A353,AT$3)))</f>
        <v/>
      </c>
      <c r="AU353" s="124" t="str">
        <f>IF($B353="","",IF(AU$3=0,"n.b.",INDEX(SRC_ZPMW03!$A$1:$ZZ$501,$A353,AU$3)))</f>
        <v/>
      </c>
      <c r="AV353" s="124" t="str">
        <f>IF($B353="","",IF(AV$3=0,"n.b.",INDEX(SRC_ZPMW03!$A$1:$ZZ$501,$A353,AV$3)))</f>
        <v/>
      </c>
      <c r="AW353" s="124" t="str">
        <f>IF($B353="","",IF(AW$3=0,"n.b.",INDEX(SRC_ZPMW03!$A$1:$ZZ$501,$A353,AW$3)))</f>
        <v/>
      </c>
      <c r="AX353" s="124" t="str">
        <f>IF($B353="","",IF(AX$3=0,"n.b.",INDEX(SRC_ZPMW03!$A$1:$ZZ$501,$A353,AX$3)))</f>
        <v/>
      </c>
      <c r="AY353" s="124" t="str">
        <f>IF($B353="","",IF(AY$3=0,"n.b.",INDEX(SRC_ZPMW03!$A$1:$ZZ$501,$A353,AY$3)))</f>
        <v/>
      </c>
      <c r="AZ353" s="124" t="str">
        <f>IF($B353="","",IF(AZ$3=0,"n.b.",INDEX(SRC_ZPMW03!$A$1:$ZZ$501,$A353,AZ$3)))</f>
        <v/>
      </c>
      <c r="BA353" s="124" t="str">
        <f>IF($B353="","",IF(BA$3=0,"n.b.",INDEX(SRC_ZPMW03!$A$1:$ZZ$501,$A353,BA$3)))</f>
        <v/>
      </c>
      <c r="BB353" s="124" t="str">
        <f>IF($B353="","",IF(BB$3=0,"n.b.",INDEX(SRC_ZPMW03!$A$1:$ZZ$501,$A353,BB$3)))</f>
        <v/>
      </c>
      <c r="BC353" s="124" t="str">
        <f>IF($B353="","",IF(BC$3=0,"n.b.",INDEX(SRC_ZPMW03!$A$1:$ZZ$501,$A353,BC$3)))</f>
        <v/>
      </c>
      <c r="BD353" s="124" t="str">
        <f>IF($B353="","",IF(BD$3=0,"n.b.",INDEX(SRC_ZPMW03!$A$1:$ZZ$501,$A353,BD$3)))</f>
        <v/>
      </c>
      <c r="BE353" s="124" t="str">
        <f>IF($B353="","",IF(BE$3=0,"n.b.",INDEX(SRC_ZPMW03!$A$1:$ZZ$501,$A353,BE$3)))</f>
        <v/>
      </c>
      <c r="BF353" s="124" t="str">
        <f>IF($B353="","",IF(BF$3=0,"n.b.",INDEX(SRC_ZPMW03!$A$1:$ZZ$501,$A353,BF$3)))</f>
        <v/>
      </c>
      <c r="BG353" t="str">
        <f>IF($B353="","",IF(BG$3=0,"n.b.",INDEX(SRC_ZPMW03!$A$1:$ZZ$501,$A353,BG$3)))</f>
        <v/>
      </c>
      <c r="BH353" t="str">
        <f>IF($B353="","",IF(BH$3=0,"n.b.",INDEX(SRC_ZPMW03!$A$1:$ZZ$501,$A353,BH$3)))</f>
        <v/>
      </c>
      <c r="BI353" t="str">
        <f>IF($B353="","",IF(BI$3=0,"n.b.",INDEX(SRC_ZPMW03!$A$1:$ZZ$501,$A353,BI$3)))</f>
        <v/>
      </c>
      <c r="BJ353" t="str">
        <f>IF($B353="","",IF(BJ$3=0,"n.b.",INDEX(SRC_ZPMW03!$A$1:$ZZ$501,$A353,BJ$3)))</f>
        <v/>
      </c>
      <c r="BK353" s="124" t="str">
        <f>IF($B353="","",IFERROR(-O353,"n.b."))</f>
        <v/>
      </c>
      <c r="BL353" s="124" t="str">
        <f>IF($B353="","",IFERROR(-Q353,"n.b."))</f>
        <v/>
      </c>
      <c r="BM353" s="124" t="str">
        <f>IF($B353="","",IFERROR(-AB353,"n.b."))</f>
        <v/>
      </c>
      <c r="BN353" s="124" t="str">
        <f>IF($B353="","",IFERROR(-AD353,"n.b."))</f>
        <v/>
      </c>
      <c r="BO353" s="124" t="str">
        <f>IF($B353="","",IFERROR(BK353+BM353,"n.b."))</f>
        <v/>
      </c>
      <c r="BP353" s="124" t="str">
        <f>IF($B353="","",IFERROR(BL353+BN353,"n.b."))</f>
        <v/>
      </c>
      <c r="BQ353" s="124" t="str">
        <f>IF($B353="","",IFERROR(-AM353,"n.b."))</f>
        <v/>
      </c>
      <c r="BR353" s="124" t="str">
        <f>IF($B353="","",IFERROR(-AO353,"n.b."))</f>
        <v/>
      </c>
      <c r="BS353" s="124" t="str">
        <f>IF($B353="","",IFERROR(-Z353,"n.b."))</f>
        <v/>
      </c>
      <c r="BT353" s="124" t="str">
        <f>IF($B353="","",IFERROR(-AA353,"n.b."))</f>
        <v/>
      </c>
      <c r="BU353" s="124" t="str">
        <f>IF($B353="","",IFERROR(-AE353,"n.b."))</f>
        <v/>
      </c>
      <c r="BV353" s="124" t="str">
        <f>IF($B353="","",IFERROR(-AF353,"n.b."))</f>
        <v/>
      </c>
      <c r="BW353" s="124" t="str">
        <f>IF($B353="","",IFERROR(-AG353,"n.b."))</f>
        <v/>
      </c>
      <c r="BX353" s="124" t="str">
        <f>IF($B353="","",IFERROR(-AH353,"n.b."))</f>
        <v/>
      </c>
      <c r="BY353" s="124" t="str">
        <f>IF($B353="","",IFERROR(-AI353,"n.b."))</f>
        <v/>
      </c>
      <c r="BZ353" s="124" t="str">
        <f>IF($B353="","",IFERROR(-AJ353,"n.b."))</f>
        <v/>
      </c>
      <c r="CA353" s="124" t="str">
        <f>IF($B353="","",IFERROR(-AK353,"n.b."))</f>
        <v/>
      </c>
      <c r="CB353" s="124" t="str">
        <f>IF($B353="","",IFERROR(-AL353,"n.b."))</f>
        <v/>
      </c>
      <c r="CC353" s="124" t="str">
        <f>IF($B353="","",IFERROR(-AP353,"n.b."))</f>
        <v/>
      </c>
      <c r="CD353" s="124" t="str">
        <f>IF($B353="","",IFERROR(-AQ353,"n.b."))</f>
        <v/>
      </c>
      <c r="CE353" s="124" t="str">
        <f>IF($B353="","",IFERROR(-AR353,"n.b."))</f>
        <v/>
      </c>
      <c r="CF353" s="124" t="str">
        <f>IF($B353="","",IFERROR(-AS353,"n.b."))</f>
        <v/>
      </c>
      <c r="CG353" s="124" t="str">
        <f>IF($B353="","",IFERROR(-AT353,"n.b."))</f>
        <v/>
      </c>
      <c r="CH353" s="124" t="str">
        <f>IF($B353="","",IFERROR(-AU353,"n.b."))</f>
        <v/>
      </c>
      <c r="CI353" s="124" t="str">
        <f>IF($B353="","",IFERROR(-AV353,"n.b."))</f>
        <v/>
      </c>
      <c r="CJ353" s="124" t="str">
        <f>IF($B353="","",IFERROR(-AW353,"n.b."))</f>
        <v/>
      </c>
      <c r="CK353" s="124" t="str">
        <f>IF($B353="","",IFERROR(-AX353,"n.b."))</f>
        <v/>
      </c>
      <c r="CL353" s="124" t="str">
        <f>IF($B353="","",IFERROR(-AY353,"n.b."))</f>
        <v/>
      </c>
      <c r="CM353" s="124" t="str">
        <f>IF($B353="","",IFERROR(-AZ353,"n.b."))</f>
        <v/>
      </c>
      <c r="CN353" s="124" t="str">
        <f>IF($B353="","",IFERROR(-BA353,"n.b."))</f>
        <v/>
      </c>
      <c r="CO353" s="124" t="str">
        <f>IF($B353="","",IFERROR(-BB353,"n.b."))</f>
        <v/>
      </c>
      <c r="CP353" s="124" t="str">
        <f>IF($B353="","",IFERROR(-BC353,"n.b."))</f>
        <v/>
      </c>
      <c r="CQ353" s="124" t="str">
        <f>IF($B353="","",IFERROR(-BD353,"n.b."))</f>
        <v/>
      </c>
      <c r="CR353" s="124" t="str">
        <f>IF($B353="","",IFERROR(-BE353,"n.b."))</f>
        <v/>
      </c>
      <c r="CS353" s="124" t="str">
        <f>IF($B353="","",IFERROR(IF(OR(ABS(T353+V353+X353+Z353-AB353)&gt;P_Tol,ABS(U353+W353+Y353+AA353-AD353)&gt;P_Tol,ABS(AE353+AG353+AI353+AK353-AM353)&gt;P_Tol,ABS(AF353+AH353+AJ353+AL353-AO353)&gt;P_Tol),1,0),1))</f>
        <v/>
      </c>
      <c r="CT353" s="124" t="str">
        <f>IF($B353="","",IFERROR(IF(OR(ABS(AB353+AC353-AD353)&gt;P_Tol,ABS(AM353+AN353-AO353)&gt;P_Tol,ABS(O353+P353-Q353)&gt;P_Tol),1,0),1))</f>
        <v/>
      </c>
      <c r="CU353" s="124" t="str">
        <f>IF($B353="","",IFERROR(IF(ABS(R353-(AB353+AM353+AP353+AR353+AT353+AV353+AX353+AZ353+BB353+BD353))&gt;P_Tol,1,0),1))</f>
        <v/>
      </c>
      <c r="CV353" s="124" t="str">
        <f>IF($B353="","",IFERROR(IF(ABS(M353-(N353+O353+R353))&gt;P_Tol,1,0),1))</f>
        <v/>
      </c>
      <c r="CW353" s="124" t="str">
        <f>IF($B353="","",IF(COUNTIF(Mapping!$A$5:$A$104,B353)&gt;0,1,0))</f>
        <v/>
      </c>
      <c r="CX353" s="124" t="str">
        <f>IF($B353="","",COUNTIF($B$6:$B$505,B353))</f>
        <v/>
      </c>
      <c r="CY353" s="124" t="str">
        <f>IF($B353="","",COUNTIF(STG_Woningetalage!$B$6:$B$505,B353))</f>
        <v/>
      </c>
      <c r="CZ353" s="124" t="str">
        <f>IF($B353="","",IF(CW353=0,COUNTIF($CW$6:CW353,0),""))</f>
        <v/>
      </c>
    </row>
    <row r="354">
      <c r="A354" s="15" t="n">
        <v>350</v>
      </c>
      <c r="B354" t="str">
        <f>IF(B$3=0,"",IF(INDEX(SRC_ZPMW03!$A$1:$ZZ$501,$A354,B$3)&amp;""="","",INDEX(SRC_ZPMW03!$A$1:$ZZ$501,$A354,B$3)&amp;""))</f>
        <v/>
      </c>
      <c r="C354" t="str">
        <f>IF($B354="","",IF(C$3=0,"n.b.",INDEX(SRC_ZPMW03!$A$1:$ZZ$501,$A354,C$3)))</f>
        <v/>
      </c>
      <c r="D354" t="str">
        <f>IF($B354="","",IF(D$3=0,"n.b.",INDEX(SRC_ZPMW03!$A$1:$ZZ$501,$A354,D$3)))</f>
        <v/>
      </c>
      <c r="E354" t="str">
        <f>IF($B354="","",IF(E$3=0,"n.b.",INDEX(SRC_ZPMW03!$A$1:$ZZ$501,$A354,E$3)))</f>
        <v/>
      </c>
      <c r="F354" t="str">
        <f>IF($B354="","",IF(F$3=0,"n.b.",INDEX(SRC_ZPMW03!$A$1:$ZZ$501,$A354,F$3)))</f>
        <v/>
      </c>
      <c r="G354" t="str">
        <f>IF($B354="","",IF(G$3=0,"n.b.",INDEX(SRC_ZPMW03!$A$1:$ZZ$501,$A354,G$3)))</f>
        <v/>
      </c>
      <c r="H354" t="str">
        <f>IF($B354="","",IF(H$3=0,"n.b.",INDEX(SRC_ZPMW03!$A$1:$ZZ$501,$A354,H$3)))</f>
        <v/>
      </c>
      <c r="I354" t="str">
        <f>IF($B354="","",IF(I$3=0,"n.b.",INDEX(SRC_ZPMW03!$A$1:$ZZ$501,$A354,I$3)))</f>
        <v/>
      </c>
      <c r="J354" t="str">
        <f>IF($B354="","",IF(J$3=0,"n.b.",INDEX(SRC_ZPMW03!$A$1:$ZZ$501,$A354,J$3)))</f>
        <v/>
      </c>
      <c r="K354" t="str">
        <f>IF($B354="","",IF(K$3=0,"n.b.",INDEX(SRC_ZPMW03!$A$1:$ZZ$501,$A354,K$3)))</f>
        <v/>
      </c>
      <c r="L354" s="124" t="str">
        <f>IF($B354="","",IF(L$3=0,"n.b.",INDEX(SRC_ZPMW03!$A$1:$ZZ$501,$A354,L$3)))</f>
        <v/>
      </c>
      <c r="M354" s="124" t="str">
        <f>IF($B354="","",IF(M$3=0,"n.b.",INDEX(SRC_ZPMW03!$A$1:$ZZ$501,$A354,M$3)))</f>
        <v/>
      </c>
      <c r="N354" s="124" t="str">
        <f>IF($B354="","",IF(N$3=0,"n.b.",INDEX(SRC_ZPMW03!$A$1:$ZZ$501,$A354,N$3)))</f>
        <v/>
      </c>
      <c r="O354" s="124" t="str">
        <f>IF($B354="","",IF(O$3=0,"n.b.",INDEX(SRC_ZPMW03!$A$1:$ZZ$501,$A354,O$3)))</f>
        <v/>
      </c>
      <c r="P354" s="124" t="str">
        <f>IF($B354="","",IF(P$3=0,"n.b.",INDEX(SRC_ZPMW03!$A$1:$ZZ$501,$A354,P$3)))</f>
        <v/>
      </c>
      <c r="Q354" s="124" t="str">
        <f>IF($B354="","",IF(Q$3=0,"n.b.",INDEX(SRC_ZPMW03!$A$1:$ZZ$501,$A354,Q$3)))</f>
        <v/>
      </c>
      <c r="R354" s="124" t="str">
        <f>IF($B354="","",IF(R$3=0,"n.b.",INDEX(SRC_ZPMW03!$A$1:$ZZ$501,$A354,R$3)))</f>
        <v/>
      </c>
      <c r="S354" s="124" t="str">
        <f>IF($B354="","",IF(S$3=0,"n.b.",INDEX(SRC_ZPMW03!$A$1:$ZZ$501,$A354,S$3)))</f>
        <v/>
      </c>
      <c r="T354" s="124" t="str">
        <f>IF($B354="","",IF(T$3=0,"n.b.",INDEX(SRC_ZPMW03!$A$1:$ZZ$501,$A354,T$3)))</f>
        <v/>
      </c>
      <c r="U354" s="124" t="str">
        <f>IF($B354="","",IF(U$3=0,"n.b.",INDEX(SRC_ZPMW03!$A$1:$ZZ$501,$A354,U$3)))</f>
        <v/>
      </c>
      <c r="V354" s="124" t="str">
        <f>IF($B354="","",IF(V$3=0,"n.b.",INDEX(SRC_ZPMW03!$A$1:$ZZ$501,$A354,V$3)))</f>
        <v/>
      </c>
      <c r="W354" s="124" t="str">
        <f>IF($B354="","",IF(W$3=0,"n.b.",INDEX(SRC_ZPMW03!$A$1:$ZZ$501,$A354,W$3)))</f>
        <v/>
      </c>
      <c r="X354" s="124" t="str">
        <f>IF($B354="","",IF(X$3=0,"n.b.",INDEX(SRC_ZPMW03!$A$1:$ZZ$501,$A354,X$3)))</f>
        <v/>
      </c>
      <c r="Y354" s="124" t="str">
        <f>IF($B354="","",IF(Y$3=0,"n.b.",INDEX(SRC_ZPMW03!$A$1:$ZZ$501,$A354,Y$3)))</f>
        <v/>
      </c>
      <c r="Z354" s="124" t="str">
        <f>IF($B354="","",IF(Z$3=0,"n.b.",INDEX(SRC_ZPMW03!$A$1:$ZZ$501,$A354,Z$3)))</f>
        <v/>
      </c>
      <c r="AA354" s="124" t="str">
        <f>IF($B354="","",IF(AA$3=0,"n.b.",INDEX(SRC_ZPMW03!$A$1:$ZZ$501,$A354,AA$3)))</f>
        <v/>
      </c>
      <c r="AB354" s="124" t="str">
        <f>IF($B354="","",IF(AB$3=0,"n.b.",INDEX(SRC_ZPMW03!$A$1:$ZZ$501,$A354,AB$3)))</f>
        <v/>
      </c>
      <c r="AC354" s="124" t="str">
        <f>IF($B354="","",IF(AC$3=0,"n.b.",INDEX(SRC_ZPMW03!$A$1:$ZZ$501,$A354,AC$3)))</f>
        <v/>
      </c>
      <c r="AD354" s="124" t="str">
        <f>IF($B354="","",IF(AD$3=0,"n.b.",INDEX(SRC_ZPMW03!$A$1:$ZZ$501,$A354,AD$3)))</f>
        <v/>
      </c>
      <c r="AE354" s="124" t="str">
        <f>IF($B354="","",IF(AE$3=0,"n.b.",INDEX(SRC_ZPMW03!$A$1:$ZZ$501,$A354,AE$3)))</f>
        <v/>
      </c>
      <c r="AF354" s="124" t="str">
        <f>IF($B354="","",IF(AF$3=0,"n.b.",INDEX(SRC_ZPMW03!$A$1:$ZZ$501,$A354,AF$3)))</f>
        <v/>
      </c>
      <c r="AG354" s="124" t="str">
        <f>IF($B354="","",IF(AG$3=0,"n.b.",INDEX(SRC_ZPMW03!$A$1:$ZZ$501,$A354,AG$3)))</f>
        <v/>
      </c>
      <c r="AH354" s="124" t="str">
        <f>IF($B354="","",IF(AH$3=0,"n.b.",INDEX(SRC_ZPMW03!$A$1:$ZZ$501,$A354,AH$3)))</f>
        <v/>
      </c>
      <c r="AI354" s="124" t="str">
        <f>IF($B354="","",IF(AI$3=0,"n.b.",INDEX(SRC_ZPMW03!$A$1:$ZZ$501,$A354,AI$3)))</f>
        <v/>
      </c>
      <c r="AJ354" s="124" t="str">
        <f>IF($B354="","",IF(AJ$3=0,"n.b.",INDEX(SRC_ZPMW03!$A$1:$ZZ$501,$A354,AJ$3)))</f>
        <v/>
      </c>
      <c r="AK354" s="124" t="str">
        <f>IF($B354="","",IF(AK$3=0,"n.b.",INDEX(SRC_ZPMW03!$A$1:$ZZ$501,$A354,AK$3)))</f>
        <v/>
      </c>
      <c r="AL354" s="124" t="str">
        <f>IF($B354="","",IF(AL$3=0,"n.b.",INDEX(SRC_ZPMW03!$A$1:$ZZ$501,$A354,AL$3)))</f>
        <v/>
      </c>
      <c r="AM354" s="124" t="str">
        <f>IF($B354="","",IF(AM$3=0,"n.b.",INDEX(SRC_ZPMW03!$A$1:$ZZ$501,$A354,AM$3)))</f>
        <v/>
      </c>
      <c r="AN354" s="124" t="str">
        <f>IF($B354="","",IF(AN$3=0,"n.b.",INDEX(SRC_ZPMW03!$A$1:$ZZ$501,$A354,AN$3)))</f>
        <v/>
      </c>
      <c r="AO354" s="124" t="str">
        <f>IF($B354="","",IF(AO$3=0,"n.b.",INDEX(SRC_ZPMW03!$A$1:$ZZ$501,$A354,AO$3)))</f>
        <v/>
      </c>
      <c r="AP354" s="124" t="str">
        <f>IF($B354="","",IF(AP$3=0,"n.b.",INDEX(SRC_ZPMW03!$A$1:$ZZ$501,$A354,AP$3)))</f>
        <v/>
      </c>
      <c r="AQ354" s="124" t="str">
        <f>IF($B354="","",IF(AQ$3=0,"n.b.",INDEX(SRC_ZPMW03!$A$1:$ZZ$501,$A354,AQ$3)))</f>
        <v/>
      </c>
      <c r="AR354" s="124" t="str">
        <f>IF($B354="","",IF(AR$3=0,"n.b.",INDEX(SRC_ZPMW03!$A$1:$ZZ$501,$A354,AR$3)))</f>
        <v/>
      </c>
      <c r="AS354" s="124" t="str">
        <f>IF($B354="","",IF(AS$3=0,"n.b.",INDEX(SRC_ZPMW03!$A$1:$ZZ$501,$A354,AS$3)))</f>
        <v/>
      </c>
      <c r="AT354" s="124" t="str">
        <f>IF($B354="","",IF(AT$3=0,"n.b.",INDEX(SRC_ZPMW03!$A$1:$ZZ$501,$A354,AT$3)))</f>
        <v/>
      </c>
      <c r="AU354" s="124" t="str">
        <f>IF($B354="","",IF(AU$3=0,"n.b.",INDEX(SRC_ZPMW03!$A$1:$ZZ$501,$A354,AU$3)))</f>
        <v/>
      </c>
      <c r="AV354" s="124" t="str">
        <f>IF($B354="","",IF(AV$3=0,"n.b.",INDEX(SRC_ZPMW03!$A$1:$ZZ$501,$A354,AV$3)))</f>
        <v/>
      </c>
      <c r="AW354" s="124" t="str">
        <f>IF($B354="","",IF(AW$3=0,"n.b.",INDEX(SRC_ZPMW03!$A$1:$ZZ$501,$A354,AW$3)))</f>
        <v/>
      </c>
      <c r="AX354" s="124" t="str">
        <f>IF($B354="","",IF(AX$3=0,"n.b.",INDEX(SRC_ZPMW03!$A$1:$ZZ$501,$A354,AX$3)))</f>
        <v/>
      </c>
      <c r="AY354" s="124" t="str">
        <f>IF($B354="","",IF(AY$3=0,"n.b.",INDEX(SRC_ZPMW03!$A$1:$ZZ$501,$A354,AY$3)))</f>
        <v/>
      </c>
      <c r="AZ354" s="124" t="str">
        <f>IF($B354="","",IF(AZ$3=0,"n.b.",INDEX(SRC_ZPMW03!$A$1:$ZZ$501,$A354,AZ$3)))</f>
        <v/>
      </c>
      <c r="BA354" s="124" t="str">
        <f>IF($B354="","",IF(BA$3=0,"n.b.",INDEX(SRC_ZPMW03!$A$1:$ZZ$501,$A354,BA$3)))</f>
        <v/>
      </c>
      <c r="BB354" s="124" t="str">
        <f>IF($B354="","",IF(BB$3=0,"n.b.",INDEX(SRC_ZPMW03!$A$1:$ZZ$501,$A354,BB$3)))</f>
        <v/>
      </c>
      <c r="BC354" s="124" t="str">
        <f>IF($B354="","",IF(BC$3=0,"n.b.",INDEX(SRC_ZPMW03!$A$1:$ZZ$501,$A354,BC$3)))</f>
        <v/>
      </c>
      <c r="BD354" s="124" t="str">
        <f>IF($B354="","",IF(BD$3=0,"n.b.",INDEX(SRC_ZPMW03!$A$1:$ZZ$501,$A354,BD$3)))</f>
        <v/>
      </c>
      <c r="BE354" s="124" t="str">
        <f>IF($B354="","",IF(BE$3=0,"n.b.",INDEX(SRC_ZPMW03!$A$1:$ZZ$501,$A354,BE$3)))</f>
        <v/>
      </c>
      <c r="BF354" s="124" t="str">
        <f>IF($B354="","",IF(BF$3=0,"n.b.",INDEX(SRC_ZPMW03!$A$1:$ZZ$501,$A354,BF$3)))</f>
        <v/>
      </c>
      <c r="BG354" t="str">
        <f>IF($B354="","",IF(BG$3=0,"n.b.",INDEX(SRC_ZPMW03!$A$1:$ZZ$501,$A354,BG$3)))</f>
        <v/>
      </c>
      <c r="BH354" t="str">
        <f>IF($B354="","",IF(BH$3=0,"n.b.",INDEX(SRC_ZPMW03!$A$1:$ZZ$501,$A354,BH$3)))</f>
        <v/>
      </c>
      <c r="BI354" t="str">
        <f>IF($B354="","",IF(BI$3=0,"n.b.",INDEX(SRC_ZPMW03!$A$1:$ZZ$501,$A354,BI$3)))</f>
        <v/>
      </c>
      <c r="BJ354" t="str">
        <f>IF($B354="","",IF(BJ$3=0,"n.b.",INDEX(SRC_ZPMW03!$A$1:$ZZ$501,$A354,BJ$3)))</f>
        <v/>
      </c>
      <c r="BK354" s="124" t="str">
        <f>IF($B354="","",IFERROR(-O354,"n.b."))</f>
        <v/>
      </c>
      <c r="BL354" s="124" t="str">
        <f>IF($B354="","",IFERROR(-Q354,"n.b."))</f>
        <v/>
      </c>
      <c r="BM354" s="124" t="str">
        <f>IF($B354="","",IFERROR(-AB354,"n.b."))</f>
        <v/>
      </c>
      <c r="BN354" s="124" t="str">
        <f>IF($B354="","",IFERROR(-AD354,"n.b."))</f>
        <v/>
      </c>
      <c r="BO354" s="124" t="str">
        <f>IF($B354="","",IFERROR(BK354+BM354,"n.b."))</f>
        <v/>
      </c>
      <c r="BP354" s="124" t="str">
        <f>IF($B354="","",IFERROR(BL354+BN354,"n.b."))</f>
        <v/>
      </c>
      <c r="BQ354" s="124" t="str">
        <f>IF($B354="","",IFERROR(-AM354,"n.b."))</f>
        <v/>
      </c>
      <c r="BR354" s="124" t="str">
        <f>IF($B354="","",IFERROR(-AO354,"n.b."))</f>
        <v/>
      </c>
      <c r="BS354" s="124" t="str">
        <f>IF($B354="","",IFERROR(-Z354,"n.b."))</f>
        <v/>
      </c>
      <c r="BT354" s="124" t="str">
        <f>IF($B354="","",IFERROR(-AA354,"n.b."))</f>
        <v/>
      </c>
      <c r="BU354" s="124" t="str">
        <f>IF($B354="","",IFERROR(-AE354,"n.b."))</f>
        <v/>
      </c>
      <c r="BV354" s="124" t="str">
        <f>IF($B354="","",IFERROR(-AF354,"n.b."))</f>
        <v/>
      </c>
      <c r="BW354" s="124" t="str">
        <f>IF($B354="","",IFERROR(-AG354,"n.b."))</f>
        <v/>
      </c>
      <c r="BX354" s="124" t="str">
        <f>IF($B354="","",IFERROR(-AH354,"n.b."))</f>
        <v/>
      </c>
      <c r="BY354" s="124" t="str">
        <f>IF($B354="","",IFERROR(-AI354,"n.b."))</f>
        <v/>
      </c>
      <c r="BZ354" s="124" t="str">
        <f>IF($B354="","",IFERROR(-AJ354,"n.b."))</f>
        <v/>
      </c>
      <c r="CA354" s="124" t="str">
        <f>IF($B354="","",IFERROR(-AK354,"n.b."))</f>
        <v/>
      </c>
      <c r="CB354" s="124" t="str">
        <f>IF($B354="","",IFERROR(-AL354,"n.b."))</f>
        <v/>
      </c>
      <c r="CC354" s="124" t="str">
        <f>IF($B354="","",IFERROR(-AP354,"n.b."))</f>
        <v/>
      </c>
      <c r="CD354" s="124" t="str">
        <f>IF($B354="","",IFERROR(-AQ354,"n.b."))</f>
        <v/>
      </c>
      <c r="CE354" s="124" t="str">
        <f>IF($B354="","",IFERROR(-AR354,"n.b."))</f>
        <v/>
      </c>
      <c r="CF354" s="124" t="str">
        <f>IF($B354="","",IFERROR(-AS354,"n.b."))</f>
        <v/>
      </c>
      <c r="CG354" s="124" t="str">
        <f>IF($B354="","",IFERROR(-AT354,"n.b."))</f>
        <v/>
      </c>
      <c r="CH354" s="124" t="str">
        <f>IF($B354="","",IFERROR(-AU354,"n.b."))</f>
        <v/>
      </c>
      <c r="CI354" s="124" t="str">
        <f>IF($B354="","",IFERROR(-AV354,"n.b."))</f>
        <v/>
      </c>
      <c r="CJ354" s="124" t="str">
        <f>IF($B354="","",IFERROR(-AW354,"n.b."))</f>
        <v/>
      </c>
      <c r="CK354" s="124" t="str">
        <f>IF($B354="","",IFERROR(-AX354,"n.b."))</f>
        <v/>
      </c>
      <c r="CL354" s="124" t="str">
        <f>IF($B354="","",IFERROR(-AY354,"n.b."))</f>
        <v/>
      </c>
      <c r="CM354" s="124" t="str">
        <f>IF($B354="","",IFERROR(-AZ354,"n.b."))</f>
        <v/>
      </c>
      <c r="CN354" s="124" t="str">
        <f>IF($B354="","",IFERROR(-BA354,"n.b."))</f>
        <v/>
      </c>
      <c r="CO354" s="124" t="str">
        <f>IF($B354="","",IFERROR(-BB354,"n.b."))</f>
        <v/>
      </c>
      <c r="CP354" s="124" t="str">
        <f>IF($B354="","",IFERROR(-BC354,"n.b."))</f>
        <v/>
      </c>
      <c r="CQ354" s="124" t="str">
        <f>IF($B354="","",IFERROR(-BD354,"n.b."))</f>
        <v/>
      </c>
      <c r="CR354" s="124" t="str">
        <f>IF($B354="","",IFERROR(-BE354,"n.b."))</f>
        <v/>
      </c>
      <c r="CS354" s="124" t="str">
        <f>IF($B354="","",IFERROR(IF(OR(ABS(T354+V354+X354+Z354-AB354)&gt;P_Tol,ABS(U354+W354+Y354+AA354-AD354)&gt;P_Tol,ABS(AE354+AG354+AI354+AK354-AM354)&gt;P_Tol,ABS(AF354+AH354+AJ354+AL354-AO354)&gt;P_Tol),1,0),1))</f>
        <v/>
      </c>
      <c r="CT354" s="124" t="str">
        <f>IF($B354="","",IFERROR(IF(OR(ABS(AB354+AC354-AD354)&gt;P_Tol,ABS(AM354+AN354-AO354)&gt;P_Tol,ABS(O354+P354-Q354)&gt;P_Tol),1,0),1))</f>
        <v/>
      </c>
      <c r="CU354" s="124" t="str">
        <f>IF($B354="","",IFERROR(IF(ABS(R354-(AB354+AM354+AP354+AR354+AT354+AV354+AX354+AZ354+BB354+BD354))&gt;P_Tol,1,0),1))</f>
        <v/>
      </c>
      <c r="CV354" s="124" t="str">
        <f>IF($B354="","",IFERROR(IF(ABS(M354-(N354+O354+R354))&gt;P_Tol,1,0),1))</f>
        <v/>
      </c>
      <c r="CW354" s="124" t="str">
        <f>IF($B354="","",IF(COUNTIF(Mapping!$A$5:$A$104,B354)&gt;0,1,0))</f>
        <v/>
      </c>
      <c r="CX354" s="124" t="str">
        <f>IF($B354="","",COUNTIF($B$6:$B$505,B354))</f>
        <v/>
      </c>
      <c r="CY354" s="124" t="str">
        <f>IF($B354="","",COUNTIF(STG_Woningetalage!$B$6:$B$505,B354))</f>
        <v/>
      </c>
      <c r="CZ354" s="124" t="str">
        <f>IF($B354="","",IF(CW354=0,COUNTIF($CW$6:CW354,0),""))</f>
        <v/>
      </c>
    </row>
    <row r="355">
      <c r="A355" s="15" t="n">
        <v>351</v>
      </c>
      <c r="B355" t="str">
        <f>IF(B$3=0,"",IF(INDEX(SRC_ZPMW03!$A$1:$ZZ$501,$A355,B$3)&amp;""="","",INDEX(SRC_ZPMW03!$A$1:$ZZ$501,$A355,B$3)&amp;""))</f>
        <v/>
      </c>
      <c r="C355" t="str">
        <f>IF($B355="","",IF(C$3=0,"n.b.",INDEX(SRC_ZPMW03!$A$1:$ZZ$501,$A355,C$3)))</f>
        <v/>
      </c>
      <c r="D355" t="str">
        <f>IF($B355="","",IF(D$3=0,"n.b.",INDEX(SRC_ZPMW03!$A$1:$ZZ$501,$A355,D$3)))</f>
        <v/>
      </c>
      <c r="E355" t="str">
        <f>IF($B355="","",IF(E$3=0,"n.b.",INDEX(SRC_ZPMW03!$A$1:$ZZ$501,$A355,E$3)))</f>
        <v/>
      </c>
      <c r="F355" t="str">
        <f>IF($B355="","",IF(F$3=0,"n.b.",INDEX(SRC_ZPMW03!$A$1:$ZZ$501,$A355,F$3)))</f>
        <v/>
      </c>
      <c r="G355" t="str">
        <f>IF($B355="","",IF(G$3=0,"n.b.",INDEX(SRC_ZPMW03!$A$1:$ZZ$501,$A355,G$3)))</f>
        <v/>
      </c>
      <c r="H355" t="str">
        <f>IF($B355="","",IF(H$3=0,"n.b.",INDEX(SRC_ZPMW03!$A$1:$ZZ$501,$A355,H$3)))</f>
        <v/>
      </c>
      <c r="I355" t="str">
        <f>IF($B355="","",IF(I$3=0,"n.b.",INDEX(SRC_ZPMW03!$A$1:$ZZ$501,$A355,I$3)))</f>
        <v/>
      </c>
      <c r="J355" t="str">
        <f>IF($B355="","",IF(J$3=0,"n.b.",INDEX(SRC_ZPMW03!$A$1:$ZZ$501,$A355,J$3)))</f>
        <v/>
      </c>
      <c r="K355" t="str">
        <f>IF($B355="","",IF(K$3=0,"n.b.",INDEX(SRC_ZPMW03!$A$1:$ZZ$501,$A355,K$3)))</f>
        <v/>
      </c>
      <c r="L355" s="124" t="str">
        <f>IF($B355="","",IF(L$3=0,"n.b.",INDEX(SRC_ZPMW03!$A$1:$ZZ$501,$A355,L$3)))</f>
        <v/>
      </c>
      <c r="M355" s="124" t="str">
        <f>IF($B355="","",IF(M$3=0,"n.b.",INDEX(SRC_ZPMW03!$A$1:$ZZ$501,$A355,M$3)))</f>
        <v/>
      </c>
      <c r="N355" s="124" t="str">
        <f>IF($B355="","",IF(N$3=0,"n.b.",INDEX(SRC_ZPMW03!$A$1:$ZZ$501,$A355,N$3)))</f>
        <v/>
      </c>
      <c r="O355" s="124" t="str">
        <f>IF($B355="","",IF(O$3=0,"n.b.",INDEX(SRC_ZPMW03!$A$1:$ZZ$501,$A355,O$3)))</f>
        <v/>
      </c>
      <c r="P355" s="124" t="str">
        <f>IF($B355="","",IF(P$3=0,"n.b.",INDEX(SRC_ZPMW03!$A$1:$ZZ$501,$A355,P$3)))</f>
        <v/>
      </c>
      <c r="Q355" s="124" t="str">
        <f>IF($B355="","",IF(Q$3=0,"n.b.",INDEX(SRC_ZPMW03!$A$1:$ZZ$501,$A355,Q$3)))</f>
        <v/>
      </c>
      <c r="R355" s="124" t="str">
        <f>IF($B355="","",IF(R$3=0,"n.b.",INDEX(SRC_ZPMW03!$A$1:$ZZ$501,$A355,R$3)))</f>
        <v/>
      </c>
      <c r="S355" s="124" t="str">
        <f>IF($B355="","",IF(S$3=0,"n.b.",INDEX(SRC_ZPMW03!$A$1:$ZZ$501,$A355,S$3)))</f>
        <v/>
      </c>
      <c r="T355" s="124" t="str">
        <f>IF($B355="","",IF(T$3=0,"n.b.",INDEX(SRC_ZPMW03!$A$1:$ZZ$501,$A355,T$3)))</f>
        <v/>
      </c>
      <c r="U355" s="124" t="str">
        <f>IF($B355="","",IF(U$3=0,"n.b.",INDEX(SRC_ZPMW03!$A$1:$ZZ$501,$A355,U$3)))</f>
        <v/>
      </c>
      <c r="V355" s="124" t="str">
        <f>IF($B355="","",IF(V$3=0,"n.b.",INDEX(SRC_ZPMW03!$A$1:$ZZ$501,$A355,V$3)))</f>
        <v/>
      </c>
      <c r="W355" s="124" t="str">
        <f>IF($B355="","",IF(W$3=0,"n.b.",INDEX(SRC_ZPMW03!$A$1:$ZZ$501,$A355,W$3)))</f>
        <v/>
      </c>
      <c r="X355" s="124" t="str">
        <f>IF($B355="","",IF(X$3=0,"n.b.",INDEX(SRC_ZPMW03!$A$1:$ZZ$501,$A355,X$3)))</f>
        <v/>
      </c>
      <c r="Y355" s="124" t="str">
        <f>IF($B355="","",IF(Y$3=0,"n.b.",INDEX(SRC_ZPMW03!$A$1:$ZZ$501,$A355,Y$3)))</f>
        <v/>
      </c>
      <c r="Z355" s="124" t="str">
        <f>IF($B355="","",IF(Z$3=0,"n.b.",INDEX(SRC_ZPMW03!$A$1:$ZZ$501,$A355,Z$3)))</f>
        <v/>
      </c>
      <c r="AA355" s="124" t="str">
        <f>IF($B355="","",IF(AA$3=0,"n.b.",INDEX(SRC_ZPMW03!$A$1:$ZZ$501,$A355,AA$3)))</f>
        <v/>
      </c>
      <c r="AB355" s="124" t="str">
        <f>IF($B355="","",IF(AB$3=0,"n.b.",INDEX(SRC_ZPMW03!$A$1:$ZZ$501,$A355,AB$3)))</f>
        <v/>
      </c>
      <c r="AC355" s="124" t="str">
        <f>IF($B355="","",IF(AC$3=0,"n.b.",INDEX(SRC_ZPMW03!$A$1:$ZZ$501,$A355,AC$3)))</f>
        <v/>
      </c>
      <c r="AD355" s="124" t="str">
        <f>IF($B355="","",IF(AD$3=0,"n.b.",INDEX(SRC_ZPMW03!$A$1:$ZZ$501,$A355,AD$3)))</f>
        <v/>
      </c>
      <c r="AE355" s="124" t="str">
        <f>IF($B355="","",IF(AE$3=0,"n.b.",INDEX(SRC_ZPMW03!$A$1:$ZZ$501,$A355,AE$3)))</f>
        <v/>
      </c>
      <c r="AF355" s="124" t="str">
        <f>IF($B355="","",IF(AF$3=0,"n.b.",INDEX(SRC_ZPMW03!$A$1:$ZZ$501,$A355,AF$3)))</f>
        <v/>
      </c>
      <c r="AG355" s="124" t="str">
        <f>IF($B355="","",IF(AG$3=0,"n.b.",INDEX(SRC_ZPMW03!$A$1:$ZZ$501,$A355,AG$3)))</f>
        <v/>
      </c>
      <c r="AH355" s="124" t="str">
        <f>IF($B355="","",IF(AH$3=0,"n.b.",INDEX(SRC_ZPMW03!$A$1:$ZZ$501,$A355,AH$3)))</f>
        <v/>
      </c>
      <c r="AI355" s="124" t="str">
        <f>IF($B355="","",IF(AI$3=0,"n.b.",INDEX(SRC_ZPMW03!$A$1:$ZZ$501,$A355,AI$3)))</f>
        <v/>
      </c>
      <c r="AJ355" s="124" t="str">
        <f>IF($B355="","",IF(AJ$3=0,"n.b.",INDEX(SRC_ZPMW03!$A$1:$ZZ$501,$A355,AJ$3)))</f>
        <v/>
      </c>
      <c r="AK355" s="124" t="str">
        <f>IF($B355="","",IF(AK$3=0,"n.b.",INDEX(SRC_ZPMW03!$A$1:$ZZ$501,$A355,AK$3)))</f>
        <v/>
      </c>
      <c r="AL355" s="124" t="str">
        <f>IF($B355="","",IF(AL$3=0,"n.b.",INDEX(SRC_ZPMW03!$A$1:$ZZ$501,$A355,AL$3)))</f>
        <v/>
      </c>
      <c r="AM355" s="124" t="str">
        <f>IF($B355="","",IF(AM$3=0,"n.b.",INDEX(SRC_ZPMW03!$A$1:$ZZ$501,$A355,AM$3)))</f>
        <v/>
      </c>
      <c r="AN355" s="124" t="str">
        <f>IF($B355="","",IF(AN$3=0,"n.b.",INDEX(SRC_ZPMW03!$A$1:$ZZ$501,$A355,AN$3)))</f>
        <v/>
      </c>
      <c r="AO355" s="124" t="str">
        <f>IF($B355="","",IF(AO$3=0,"n.b.",INDEX(SRC_ZPMW03!$A$1:$ZZ$501,$A355,AO$3)))</f>
        <v/>
      </c>
      <c r="AP355" s="124" t="str">
        <f>IF($B355="","",IF(AP$3=0,"n.b.",INDEX(SRC_ZPMW03!$A$1:$ZZ$501,$A355,AP$3)))</f>
        <v/>
      </c>
      <c r="AQ355" s="124" t="str">
        <f>IF($B355="","",IF(AQ$3=0,"n.b.",INDEX(SRC_ZPMW03!$A$1:$ZZ$501,$A355,AQ$3)))</f>
        <v/>
      </c>
      <c r="AR355" s="124" t="str">
        <f>IF($B355="","",IF(AR$3=0,"n.b.",INDEX(SRC_ZPMW03!$A$1:$ZZ$501,$A355,AR$3)))</f>
        <v/>
      </c>
      <c r="AS355" s="124" t="str">
        <f>IF($B355="","",IF(AS$3=0,"n.b.",INDEX(SRC_ZPMW03!$A$1:$ZZ$501,$A355,AS$3)))</f>
        <v/>
      </c>
      <c r="AT355" s="124" t="str">
        <f>IF($B355="","",IF(AT$3=0,"n.b.",INDEX(SRC_ZPMW03!$A$1:$ZZ$501,$A355,AT$3)))</f>
        <v/>
      </c>
      <c r="AU355" s="124" t="str">
        <f>IF($B355="","",IF(AU$3=0,"n.b.",INDEX(SRC_ZPMW03!$A$1:$ZZ$501,$A355,AU$3)))</f>
        <v/>
      </c>
      <c r="AV355" s="124" t="str">
        <f>IF($B355="","",IF(AV$3=0,"n.b.",INDEX(SRC_ZPMW03!$A$1:$ZZ$501,$A355,AV$3)))</f>
        <v/>
      </c>
      <c r="AW355" s="124" t="str">
        <f>IF($B355="","",IF(AW$3=0,"n.b.",INDEX(SRC_ZPMW03!$A$1:$ZZ$501,$A355,AW$3)))</f>
        <v/>
      </c>
      <c r="AX355" s="124" t="str">
        <f>IF($B355="","",IF(AX$3=0,"n.b.",INDEX(SRC_ZPMW03!$A$1:$ZZ$501,$A355,AX$3)))</f>
        <v/>
      </c>
      <c r="AY355" s="124" t="str">
        <f>IF($B355="","",IF(AY$3=0,"n.b.",INDEX(SRC_ZPMW03!$A$1:$ZZ$501,$A355,AY$3)))</f>
        <v/>
      </c>
      <c r="AZ355" s="124" t="str">
        <f>IF($B355="","",IF(AZ$3=0,"n.b.",INDEX(SRC_ZPMW03!$A$1:$ZZ$501,$A355,AZ$3)))</f>
        <v/>
      </c>
      <c r="BA355" s="124" t="str">
        <f>IF($B355="","",IF(BA$3=0,"n.b.",INDEX(SRC_ZPMW03!$A$1:$ZZ$501,$A355,BA$3)))</f>
        <v/>
      </c>
      <c r="BB355" s="124" t="str">
        <f>IF($B355="","",IF(BB$3=0,"n.b.",INDEX(SRC_ZPMW03!$A$1:$ZZ$501,$A355,BB$3)))</f>
        <v/>
      </c>
      <c r="BC355" s="124" t="str">
        <f>IF($B355="","",IF(BC$3=0,"n.b.",INDEX(SRC_ZPMW03!$A$1:$ZZ$501,$A355,BC$3)))</f>
        <v/>
      </c>
      <c r="BD355" s="124" t="str">
        <f>IF($B355="","",IF(BD$3=0,"n.b.",INDEX(SRC_ZPMW03!$A$1:$ZZ$501,$A355,BD$3)))</f>
        <v/>
      </c>
      <c r="BE355" s="124" t="str">
        <f>IF($B355="","",IF(BE$3=0,"n.b.",INDEX(SRC_ZPMW03!$A$1:$ZZ$501,$A355,BE$3)))</f>
        <v/>
      </c>
      <c r="BF355" s="124" t="str">
        <f>IF($B355="","",IF(BF$3=0,"n.b.",INDEX(SRC_ZPMW03!$A$1:$ZZ$501,$A355,BF$3)))</f>
        <v/>
      </c>
      <c r="BG355" t="str">
        <f>IF($B355="","",IF(BG$3=0,"n.b.",INDEX(SRC_ZPMW03!$A$1:$ZZ$501,$A355,BG$3)))</f>
        <v/>
      </c>
      <c r="BH355" t="str">
        <f>IF($B355="","",IF(BH$3=0,"n.b.",INDEX(SRC_ZPMW03!$A$1:$ZZ$501,$A355,BH$3)))</f>
        <v/>
      </c>
      <c r="BI355" t="str">
        <f>IF($B355="","",IF(BI$3=0,"n.b.",INDEX(SRC_ZPMW03!$A$1:$ZZ$501,$A355,BI$3)))</f>
        <v/>
      </c>
      <c r="BJ355" t="str">
        <f>IF($B355="","",IF(BJ$3=0,"n.b.",INDEX(SRC_ZPMW03!$A$1:$ZZ$501,$A355,BJ$3)))</f>
        <v/>
      </c>
      <c r="BK355" s="124" t="str">
        <f>IF($B355="","",IFERROR(-O355,"n.b."))</f>
        <v/>
      </c>
      <c r="BL355" s="124" t="str">
        <f>IF($B355="","",IFERROR(-Q355,"n.b."))</f>
        <v/>
      </c>
      <c r="BM355" s="124" t="str">
        <f>IF($B355="","",IFERROR(-AB355,"n.b."))</f>
        <v/>
      </c>
      <c r="BN355" s="124" t="str">
        <f>IF($B355="","",IFERROR(-AD355,"n.b."))</f>
        <v/>
      </c>
      <c r="BO355" s="124" t="str">
        <f>IF($B355="","",IFERROR(BK355+BM355,"n.b."))</f>
        <v/>
      </c>
      <c r="BP355" s="124" t="str">
        <f>IF($B355="","",IFERROR(BL355+BN355,"n.b."))</f>
        <v/>
      </c>
      <c r="BQ355" s="124" t="str">
        <f>IF($B355="","",IFERROR(-AM355,"n.b."))</f>
        <v/>
      </c>
      <c r="BR355" s="124" t="str">
        <f>IF($B355="","",IFERROR(-AO355,"n.b."))</f>
        <v/>
      </c>
      <c r="BS355" s="124" t="str">
        <f>IF($B355="","",IFERROR(-Z355,"n.b."))</f>
        <v/>
      </c>
      <c r="BT355" s="124" t="str">
        <f>IF($B355="","",IFERROR(-AA355,"n.b."))</f>
        <v/>
      </c>
      <c r="BU355" s="124" t="str">
        <f>IF($B355="","",IFERROR(-AE355,"n.b."))</f>
        <v/>
      </c>
      <c r="BV355" s="124" t="str">
        <f>IF($B355="","",IFERROR(-AF355,"n.b."))</f>
        <v/>
      </c>
      <c r="BW355" s="124" t="str">
        <f>IF($B355="","",IFERROR(-AG355,"n.b."))</f>
        <v/>
      </c>
      <c r="BX355" s="124" t="str">
        <f>IF($B355="","",IFERROR(-AH355,"n.b."))</f>
        <v/>
      </c>
      <c r="BY355" s="124" t="str">
        <f>IF($B355="","",IFERROR(-AI355,"n.b."))</f>
        <v/>
      </c>
      <c r="BZ355" s="124" t="str">
        <f>IF($B355="","",IFERROR(-AJ355,"n.b."))</f>
        <v/>
      </c>
      <c r="CA355" s="124" t="str">
        <f>IF($B355="","",IFERROR(-AK355,"n.b."))</f>
        <v/>
      </c>
      <c r="CB355" s="124" t="str">
        <f>IF($B355="","",IFERROR(-AL355,"n.b."))</f>
        <v/>
      </c>
      <c r="CC355" s="124" t="str">
        <f>IF($B355="","",IFERROR(-AP355,"n.b."))</f>
        <v/>
      </c>
      <c r="CD355" s="124" t="str">
        <f>IF($B355="","",IFERROR(-AQ355,"n.b."))</f>
        <v/>
      </c>
      <c r="CE355" s="124" t="str">
        <f>IF($B355="","",IFERROR(-AR355,"n.b."))</f>
        <v/>
      </c>
      <c r="CF355" s="124" t="str">
        <f>IF($B355="","",IFERROR(-AS355,"n.b."))</f>
        <v/>
      </c>
      <c r="CG355" s="124" t="str">
        <f>IF($B355="","",IFERROR(-AT355,"n.b."))</f>
        <v/>
      </c>
      <c r="CH355" s="124" t="str">
        <f>IF($B355="","",IFERROR(-AU355,"n.b."))</f>
        <v/>
      </c>
      <c r="CI355" s="124" t="str">
        <f>IF($B355="","",IFERROR(-AV355,"n.b."))</f>
        <v/>
      </c>
      <c r="CJ355" s="124" t="str">
        <f>IF($B355="","",IFERROR(-AW355,"n.b."))</f>
        <v/>
      </c>
      <c r="CK355" s="124" t="str">
        <f>IF($B355="","",IFERROR(-AX355,"n.b."))</f>
        <v/>
      </c>
      <c r="CL355" s="124" t="str">
        <f>IF($B355="","",IFERROR(-AY355,"n.b."))</f>
        <v/>
      </c>
      <c r="CM355" s="124" t="str">
        <f>IF($B355="","",IFERROR(-AZ355,"n.b."))</f>
        <v/>
      </c>
      <c r="CN355" s="124" t="str">
        <f>IF($B355="","",IFERROR(-BA355,"n.b."))</f>
        <v/>
      </c>
      <c r="CO355" s="124" t="str">
        <f>IF($B355="","",IFERROR(-BB355,"n.b."))</f>
        <v/>
      </c>
      <c r="CP355" s="124" t="str">
        <f>IF($B355="","",IFERROR(-BC355,"n.b."))</f>
        <v/>
      </c>
      <c r="CQ355" s="124" t="str">
        <f>IF($B355="","",IFERROR(-BD355,"n.b."))</f>
        <v/>
      </c>
      <c r="CR355" s="124" t="str">
        <f>IF($B355="","",IFERROR(-BE355,"n.b."))</f>
        <v/>
      </c>
      <c r="CS355" s="124" t="str">
        <f>IF($B355="","",IFERROR(IF(OR(ABS(T355+V355+X355+Z355-AB355)&gt;P_Tol,ABS(U355+W355+Y355+AA355-AD355)&gt;P_Tol,ABS(AE355+AG355+AI355+AK355-AM355)&gt;P_Tol,ABS(AF355+AH355+AJ355+AL355-AO355)&gt;P_Tol),1,0),1))</f>
        <v/>
      </c>
      <c r="CT355" s="124" t="str">
        <f>IF($B355="","",IFERROR(IF(OR(ABS(AB355+AC355-AD355)&gt;P_Tol,ABS(AM355+AN355-AO355)&gt;P_Tol,ABS(O355+P355-Q355)&gt;P_Tol),1,0),1))</f>
        <v/>
      </c>
      <c r="CU355" s="124" t="str">
        <f>IF($B355="","",IFERROR(IF(ABS(R355-(AB355+AM355+AP355+AR355+AT355+AV355+AX355+AZ355+BB355+BD355))&gt;P_Tol,1,0),1))</f>
        <v/>
      </c>
      <c r="CV355" s="124" t="str">
        <f>IF($B355="","",IFERROR(IF(ABS(M355-(N355+O355+R355))&gt;P_Tol,1,0),1))</f>
        <v/>
      </c>
      <c r="CW355" s="124" t="str">
        <f>IF($B355="","",IF(COUNTIF(Mapping!$A$5:$A$104,B355)&gt;0,1,0))</f>
        <v/>
      </c>
      <c r="CX355" s="124" t="str">
        <f>IF($B355="","",COUNTIF($B$6:$B$505,B355))</f>
        <v/>
      </c>
      <c r="CY355" s="124" t="str">
        <f>IF($B355="","",COUNTIF(STG_Woningetalage!$B$6:$B$505,B355))</f>
        <v/>
      </c>
      <c r="CZ355" s="124" t="str">
        <f>IF($B355="","",IF(CW355=0,COUNTIF($CW$6:CW355,0),""))</f>
        <v/>
      </c>
    </row>
    <row r="356">
      <c r="A356" s="15" t="n">
        <v>352</v>
      </c>
      <c r="B356" t="str">
        <f>IF(B$3=0,"",IF(INDEX(SRC_ZPMW03!$A$1:$ZZ$501,$A356,B$3)&amp;""="","",INDEX(SRC_ZPMW03!$A$1:$ZZ$501,$A356,B$3)&amp;""))</f>
        <v/>
      </c>
      <c r="C356" t="str">
        <f>IF($B356="","",IF(C$3=0,"n.b.",INDEX(SRC_ZPMW03!$A$1:$ZZ$501,$A356,C$3)))</f>
        <v/>
      </c>
      <c r="D356" t="str">
        <f>IF($B356="","",IF(D$3=0,"n.b.",INDEX(SRC_ZPMW03!$A$1:$ZZ$501,$A356,D$3)))</f>
        <v/>
      </c>
      <c r="E356" t="str">
        <f>IF($B356="","",IF(E$3=0,"n.b.",INDEX(SRC_ZPMW03!$A$1:$ZZ$501,$A356,E$3)))</f>
        <v/>
      </c>
      <c r="F356" t="str">
        <f>IF($B356="","",IF(F$3=0,"n.b.",INDEX(SRC_ZPMW03!$A$1:$ZZ$501,$A356,F$3)))</f>
        <v/>
      </c>
      <c r="G356" t="str">
        <f>IF($B356="","",IF(G$3=0,"n.b.",INDEX(SRC_ZPMW03!$A$1:$ZZ$501,$A356,G$3)))</f>
        <v/>
      </c>
      <c r="H356" t="str">
        <f>IF($B356="","",IF(H$3=0,"n.b.",INDEX(SRC_ZPMW03!$A$1:$ZZ$501,$A356,H$3)))</f>
        <v/>
      </c>
      <c r="I356" t="str">
        <f>IF($B356="","",IF(I$3=0,"n.b.",INDEX(SRC_ZPMW03!$A$1:$ZZ$501,$A356,I$3)))</f>
        <v/>
      </c>
      <c r="J356" t="str">
        <f>IF($B356="","",IF(J$3=0,"n.b.",INDEX(SRC_ZPMW03!$A$1:$ZZ$501,$A356,J$3)))</f>
        <v/>
      </c>
      <c r="K356" t="str">
        <f>IF($B356="","",IF(K$3=0,"n.b.",INDEX(SRC_ZPMW03!$A$1:$ZZ$501,$A356,K$3)))</f>
        <v/>
      </c>
      <c r="L356" s="124" t="str">
        <f>IF($B356="","",IF(L$3=0,"n.b.",INDEX(SRC_ZPMW03!$A$1:$ZZ$501,$A356,L$3)))</f>
        <v/>
      </c>
      <c r="M356" s="124" t="str">
        <f>IF($B356="","",IF(M$3=0,"n.b.",INDEX(SRC_ZPMW03!$A$1:$ZZ$501,$A356,M$3)))</f>
        <v/>
      </c>
      <c r="N356" s="124" t="str">
        <f>IF($B356="","",IF(N$3=0,"n.b.",INDEX(SRC_ZPMW03!$A$1:$ZZ$501,$A356,N$3)))</f>
        <v/>
      </c>
      <c r="O356" s="124" t="str">
        <f>IF($B356="","",IF(O$3=0,"n.b.",INDEX(SRC_ZPMW03!$A$1:$ZZ$501,$A356,O$3)))</f>
        <v/>
      </c>
      <c r="P356" s="124" t="str">
        <f>IF($B356="","",IF(P$3=0,"n.b.",INDEX(SRC_ZPMW03!$A$1:$ZZ$501,$A356,P$3)))</f>
        <v/>
      </c>
      <c r="Q356" s="124" t="str">
        <f>IF($B356="","",IF(Q$3=0,"n.b.",INDEX(SRC_ZPMW03!$A$1:$ZZ$501,$A356,Q$3)))</f>
        <v/>
      </c>
      <c r="R356" s="124" t="str">
        <f>IF($B356="","",IF(R$3=0,"n.b.",INDEX(SRC_ZPMW03!$A$1:$ZZ$501,$A356,R$3)))</f>
        <v/>
      </c>
      <c r="S356" s="124" t="str">
        <f>IF($B356="","",IF(S$3=0,"n.b.",INDEX(SRC_ZPMW03!$A$1:$ZZ$501,$A356,S$3)))</f>
        <v/>
      </c>
      <c r="T356" s="124" t="str">
        <f>IF($B356="","",IF(T$3=0,"n.b.",INDEX(SRC_ZPMW03!$A$1:$ZZ$501,$A356,T$3)))</f>
        <v/>
      </c>
      <c r="U356" s="124" t="str">
        <f>IF($B356="","",IF(U$3=0,"n.b.",INDEX(SRC_ZPMW03!$A$1:$ZZ$501,$A356,U$3)))</f>
        <v/>
      </c>
      <c r="V356" s="124" t="str">
        <f>IF($B356="","",IF(V$3=0,"n.b.",INDEX(SRC_ZPMW03!$A$1:$ZZ$501,$A356,V$3)))</f>
        <v/>
      </c>
      <c r="W356" s="124" t="str">
        <f>IF($B356="","",IF(W$3=0,"n.b.",INDEX(SRC_ZPMW03!$A$1:$ZZ$501,$A356,W$3)))</f>
        <v/>
      </c>
      <c r="X356" s="124" t="str">
        <f>IF($B356="","",IF(X$3=0,"n.b.",INDEX(SRC_ZPMW03!$A$1:$ZZ$501,$A356,X$3)))</f>
        <v/>
      </c>
      <c r="Y356" s="124" t="str">
        <f>IF($B356="","",IF(Y$3=0,"n.b.",INDEX(SRC_ZPMW03!$A$1:$ZZ$501,$A356,Y$3)))</f>
        <v/>
      </c>
      <c r="Z356" s="124" t="str">
        <f>IF($B356="","",IF(Z$3=0,"n.b.",INDEX(SRC_ZPMW03!$A$1:$ZZ$501,$A356,Z$3)))</f>
        <v/>
      </c>
      <c r="AA356" s="124" t="str">
        <f>IF($B356="","",IF(AA$3=0,"n.b.",INDEX(SRC_ZPMW03!$A$1:$ZZ$501,$A356,AA$3)))</f>
        <v/>
      </c>
      <c r="AB356" s="124" t="str">
        <f>IF($B356="","",IF(AB$3=0,"n.b.",INDEX(SRC_ZPMW03!$A$1:$ZZ$501,$A356,AB$3)))</f>
        <v/>
      </c>
      <c r="AC356" s="124" t="str">
        <f>IF($B356="","",IF(AC$3=0,"n.b.",INDEX(SRC_ZPMW03!$A$1:$ZZ$501,$A356,AC$3)))</f>
        <v/>
      </c>
      <c r="AD356" s="124" t="str">
        <f>IF($B356="","",IF(AD$3=0,"n.b.",INDEX(SRC_ZPMW03!$A$1:$ZZ$501,$A356,AD$3)))</f>
        <v/>
      </c>
      <c r="AE356" s="124" t="str">
        <f>IF($B356="","",IF(AE$3=0,"n.b.",INDEX(SRC_ZPMW03!$A$1:$ZZ$501,$A356,AE$3)))</f>
        <v/>
      </c>
      <c r="AF356" s="124" t="str">
        <f>IF($B356="","",IF(AF$3=0,"n.b.",INDEX(SRC_ZPMW03!$A$1:$ZZ$501,$A356,AF$3)))</f>
        <v/>
      </c>
      <c r="AG356" s="124" t="str">
        <f>IF($B356="","",IF(AG$3=0,"n.b.",INDEX(SRC_ZPMW03!$A$1:$ZZ$501,$A356,AG$3)))</f>
        <v/>
      </c>
      <c r="AH356" s="124" t="str">
        <f>IF($B356="","",IF(AH$3=0,"n.b.",INDEX(SRC_ZPMW03!$A$1:$ZZ$501,$A356,AH$3)))</f>
        <v/>
      </c>
      <c r="AI356" s="124" t="str">
        <f>IF($B356="","",IF(AI$3=0,"n.b.",INDEX(SRC_ZPMW03!$A$1:$ZZ$501,$A356,AI$3)))</f>
        <v/>
      </c>
      <c r="AJ356" s="124" t="str">
        <f>IF($B356="","",IF(AJ$3=0,"n.b.",INDEX(SRC_ZPMW03!$A$1:$ZZ$501,$A356,AJ$3)))</f>
        <v/>
      </c>
      <c r="AK356" s="124" t="str">
        <f>IF($B356="","",IF(AK$3=0,"n.b.",INDEX(SRC_ZPMW03!$A$1:$ZZ$501,$A356,AK$3)))</f>
        <v/>
      </c>
      <c r="AL356" s="124" t="str">
        <f>IF($B356="","",IF(AL$3=0,"n.b.",INDEX(SRC_ZPMW03!$A$1:$ZZ$501,$A356,AL$3)))</f>
        <v/>
      </c>
      <c r="AM356" s="124" t="str">
        <f>IF($B356="","",IF(AM$3=0,"n.b.",INDEX(SRC_ZPMW03!$A$1:$ZZ$501,$A356,AM$3)))</f>
        <v/>
      </c>
      <c r="AN356" s="124" t="str">
        <f>IF($B356="","",IF(AN$3=0,"n.b.",INDEX(SRC_ZPMW03!$A$1:$ZZ$501,$A356,AN$3)))</f>
        <v/>
      </c>
      <c r="AO356" s="124" t="str">
        <f>IF($B356="","",IF(AO$3=0,"n.b.",INDEX(SRC_ZPMW03!$A$1:$ZZ$501,$A356,AO$3)))</f>
        <v/>
      </c>
      <c r="AP356" s="124" t="str">
        <f>IF($B356="","",IF(AP$3=0,"n.b.",INDEX(SRC_ZPMW03!$A$1:$ZZ$501,$A356,AP$3)))</f>
        <v/>
      </c>
      <c r="AQ356" s="124" t="str">
        <f>IF($B356="","",IF(AQ$3=0,"n.b.",INDEX(SRC_ZPMW03!$A$1:$ZZ$501,$A356,AQ$3)))</f>
        <v/>
      </c>
      <c r="AR356" s="124" t="str">
        <f>IF($B356="","",IF(AR$3=0,"n.b.",INDEX(SRC_ZPMW03!$A$1:$ZZ$501,$A356,AR$3)))</f>
        <v/>
      </c>
      <c r="AS356" s="124" t="str">
        <f>IF($B356="","",IF(AS$3=0,"n.b.",INDEX(SRC_ZPMW03!$A$1:$ZZ$501,$A356,AS$3)))</f>
        <v/>
      </c>
      <c r="AT356" s="124" t="str">
        <f>IF($B356="","",IF(AT$3=0,"n.b.",INDEX(SRC_ZPMW03!$A$1:$ZZ$501,$A356,AT$3)))</f>
        <v/>
      </c>
      <c r="AU356" s="124" t="str">
        <f>IF($B356="","",IF(AU$3=0,"n.b.",INDEX(SRC_ZPMW03!$A$1:$ZZ$501,$A356,AU$3)))</f>
        <v/>
      </c>
      <c r="AV356" s="124" t="str">
        <f>IF($B356="","",IF(AV$3=0,"n.b.",INDEX(SRC_ZPMW03!$A$1:$ZZ$501,$A356,AV$3)))</f>
        <v/>
      </c>
      <c r="AW356" s="124" t="str">
        <f>IF($B356="","",IF(AW$3=0,"n.b.",INDEX(SRC_ZPMW03!$A$1:$ZZ$501,$A356,AW$3)))</f>
        <v/>
      </c>
      <c r="AX356" s="124" t="str">
        <f>IF($B356="","",IF(AX$3=0,"n.b.",INDEX(SRC_ZPMW03!$A$1:$ZZ$501,$A356,AX$3)))</f>
        <v/>
      </c>
      <c r="AY356" s="124" t="str">
        <f>IF($B356="","",IF(AY$3=0,"n.b.",INDEX(SRC_ZPMW03!$A$1:$ZZ$501,$A356,AY$3)))</f>
        <v/>
      </c>
      <c r="AZ356" s="124" t="str">
        <f>IF($B356="","",IF(AZ$3=0,"n.b.",INDEX(SRC_ZPMW03!$A$1:$ZZ$501,$A356,AZ$3)))</f>
        <v/>
      </c>
      <c r="BA356" s="124" t="str">
        <f>IF($B356="","",IF(BA$3=0,"n.b.",INDEX(SRC_ZPMW03!$A$1:$ZZ$501,$A356,BA$3)))</f>
        <v/>
      </c>
      <c r="BB356" s="124" t="str">
        <f>IF($B356="","",IF(BB$3=0,"n.b.",INDEX(SRC_ZPMW03!$A$1:$ZZ$501,$A356,BB$3)))</f>
        <v/>
      </c>
      <c r="BC356" s="124" t="str">
        <f>IF($B356="","",IF(BC$3=0,"n.b.",INDEX(SRC_ZPMW03!$A$1:$ZZ$501,$A356,BC$3)))</f>
        <v/>
      </c>
      <c r="BD356" s="124" t="str">
        <f>IF($B356="","",IF(BD$3=0,"n.b.",INDEX(SRC_ZPMW03!$A$1:$ZZ$501,$A356,BD$3)))</f>
        <v/>
      </c>
      <c r="BE356" s="124" t="str">
        <f>IF($B356="","",IF(BE$3=0,"n.b.",INDEX(SRC_ZPMW03!$A$1:$ZZ$501,$A356,BE$3)))</f>
        <v/>
      </c>
      <c r="BF356" s="124" t="str">
        <f>IF($B356="","",IF(BF$3=0,"n.b.",INDEX(SRC_ZPMW03!$A$1:$ZZ$501,$A356,BF$3)))</f>
        <v/>
      </c>
      <c r="BG356" t="str">
        <f>IF($B356="","",IF(BG$3=0,"n.b.",INDEX(SRC_ZPMW03!$A$1:$ZZ$501,$A356,BG$3)))</f>
        <v/>
      </c>
      <c r="BH356" t="str">
        <f>IF($B356="","",IF(BH$3=0,"n.b.",INDEX(SRC_ZPMW03!$A$1:$ZZ$501,$A356,BH$3)))</f>
        <v/>
      </c>
      <c r="BI356" t="str">
        <f>IF($B356="","",IF(BI$3=0,"n.b.",INDEX(SRC_ZPMW03!$A$1:$ZZ$501,$A356,BI$3)))</f>
        <v/>
      </c>
      <c r="BJ356" t="str">
        <f>IF($B356="","",IF(BJ$3=0,"n.b.",INDEX(SRC_ZPMW03!$A$1:$ZZ$501,$A356,BJ$3)))</f>
        <v/>
      </c>
      <c r="BK356" s="124" t="str">
        <f>IF($B356="","",IFERROR(-O356,"n.b."))</f>
        <v/>
      </c>
      <c r="BL356" s="124" t="str">
        <f>IF($B356="","",IFERROR(-Q356,"n.b."))</f>
        <v/>
      </c>
      <c r="BM356" s="124" t="str">
        <f>IF($B356="","",IFERROR(-AB356,"n.b."))</f>
        <v/>
      </c>
      <c r="BN356" s="124" t="str">
        <f>IF($B356="","",IFERROR(-AD356,"n.b."))</f>
        <v/>
      </c>
      <c r="BO356" s="124" t="str">
        <f>IF($B356="","",IFERROR(BK356+BM356,"n.b."))</f>
        <v/>
      </c>
      <c r="BP356" s="124" t="str">
        <f>IF($B356="","",IFERROR(BL356+BN356,"n.b."))</f>
        <v/>
      </c>
      <c r="BQ356" s="124" t="str">
        <f>IF($B356="","",IFERROR(-AM356,"n.b."))</f>
        <v/>
      </c>
      <c r="BR356" s="124" t="str">
        <f>IF($B356="","",IFERROR(-AO356,"n.b."))</f>
        <v/>
      </c>
      <c r="BS356" s="124" t="str">
        <f>IF($B356="","",IFERROR(-Z356,"n.b."))</f>
        <v/>
      </c>
      <c r="BT356" s="124" t="str">
        <f>IF($B356="","",IFERROR(-AA356,"n.b."))</f>
        <v/>
      </c>
      <c r="BU356" s="124" t="str">
        <f>IF($B356="","",IFERROR(-AE356,"n.b."))</f>
        <v/>
      </c>
      <c r="BV356" s="124" t="str">
        <f>IF($B356="","",IFERROR(-AF356,"n.b."))</f>
        <v/>
      </c>
      <c r="BW356" s="124" t="str">
        <f>IF($B356="","",IFERROR(-AG356,"n.b."))</f>
        <v/>
      </c>
      <c r="BX356" s="124" t="str">
        <f>IF($B356="","",IFERROR(-AH356,"n.b."))</f>
        <v/>
      </c>
      <c r="BY356" s="124" t="str">
        <f>IF($B356="","",IFERROR(-AI356,"n.b."))</f>
        <v/>
      </c>
      <c r="BZ356" s="124" t="str">
        <f>IF($B356="","",IFERROR(-AJ356,"n.b."))</f>
        <v/>
      </c>
      <c r="CA356" s="124" t="str">
        <f>IF($B356="","",IFERROR(-AK356,"n.b."))</f>
        <v/>
      </c>
      <c r="CB356" s="124" t="str">
        <f>IF($B356="","",IFERROR(-AL356,"n.b."))</f>
        <v/>
      </c>
      <c r="CC356" s="124" t="str">
        <f>IF($B356="","",IFERROR(-AP356,"n.b."))</f>
        <v/>
      </c>
      <c r="CD356" s="124" t="str">
        <f>IF($B356="","",IFERROR(-AQ356,"n.b."))</f>
        <v/>
      </c>
      <c r="CE356" s="124" t="str">
        <f>IF($B356="","",IFERROR(-AR356,"n.b."))</f>
        <v/>
      </c>
      <c r="CF356" s="124" t="str">
        <f>IF($B356="","",IFERROR(-AS356,"n.b."))</f>
        <v/>
      </c>
      <c r="CG356" s="124" t="str">
        <f>IF($B356="","",IFERROR(-AT356,"n.b."))</f>
        <v/>
      </c>
      <c r="CH356" s="124" t="str">
        <f>IF($B356="","",IFERROR(-AU356,"n.b."))</f>
        <v/>
      </c>
      <c r="CI356" s="124" t="str">
        <f>IF($B356="","",IFERROR(-AV356,"n.b."))</f>
        <v/>
      </c>
      <c r="CJ356" s="124" t="str">
        <f>IF($B356="","",IFERROR(-AW356,"n.b."))</f>
        <v/>
      </c>
      <c r="CK356" s="124" t="str">
        <f>IF($B356="","",IFERROR(-AX356,"n.b."))</f>
        <v/>
      </c>
      <c r="CL356" s="124" t="str">
        <f>IF($B356="","",IFERROR(-AY356,"n.b."))</f>
        <v/>
      </c>
      <c r="CM356" s="124" t="str">
        <f>IF($B356="","",IFERROR(-AZ356,"n.b."))</f>
        <v/>
      </c>
      <c r="CN356" s="124" t="str">
        <f>IF($B356="","",IFERROR(-BA356,"n.b."))</f>
        <v/>
      </c>
      <c r="CO356" s="124" t="str">
        <f>IF($B356="","",IFERROR(-BB356,"n.b."))</f>
        <v/>
      </c>
      <c r="CP356" s="124" t="str">
        <f>IF($B356="","",IFERROR(-BC356,"n.b."))</f>
        <v/>
      </c>
      <c r="CQ356" s="124" t="str">
        <f>IF($B356="","",IFERROR(-BD356,"n.b."))</f>
        <v/>
      </c>
      <c r="CR356" s="124" t="str">
        <f>IF($B356="","",IFERROR(-BE356,"n.b."))</f>
        <v/>
      </c>
      <c r="CS356" s="124" t="str">
        <f>IF($B356="","",IFERROR(IF(OR(ABS(T356+V356+X356+Z356-AB356)&gt;P_Tol,ABS(U356+W356+Y356+AA356-AD356)&gt;P_Tol,ABS(AE356+AG356+AI356+AK356-AM356)&gt;P_Tol,ABS(AF356+AH356+AJ356+AL356-AO356)&gt;P_Tol),1,0),1))</f>
        <v/>
      </c>
      <c r="CT356" s="124" t="str">
        <f>IF($B356="","",IFERROR(IF(OR(ABS(AB356+AC356-AD356)&gt;P_Tol,ABS(AM356+AN356-AO356)&gt;P_Tol,ABS(O356+P356-Q356)&gt;P_Tol),1,0),1))</f>
        <v/>
      </c>
      <c r="CU356" s="124" t="str">
        <f>IF($B356="","",IFERROR(IF(ABS(R356-(AB356+AM356+AP356+AR356+AT356+AV356+AX356+AZ356+BB356+BD356))&gt;P_Tol,1,0),1))</f>
        <v/>
      </c>
      <c r="CV356" s="124" t="str">
        <f>IF($B356="","",IFERROR(IF(ABS(M356-(N356+O356+R356))&gt;P_Tol,1,0),1))</f>
        <v/>
      </c>
      <c r="CW356" s="124" t="str">
        <f>IF($B356="","",IF(COUNTIF(Mapping!$A$5:$A$104,B356)&gt;0,1,0))</f>
        <v/>
      </c>
      <c r="CX356" s="124" t="str">
        <f>IF($B356="","",COUNTIF($B$6:$B$505,B356))</f>
        <v/>
      </c>
      <c r="CY356" s="124" t="str">
        <f>IF($B356="","",COUNTIF(STG_Woningetalage!$B$6:$B$505,B356))</f>
        <v/>
      </c>
      <c r="CZ356" s="124" t="str">
        <f>IF($B356="","",IF(CW356=0,COUNTIF($CW$6:CW356,0),""))</f>
        <v/>
      </c>
    </row>
    <row r="357">
      <c r="A357" s="15" t="n">
        <v>353</v>
      </c>
      <c r="B357" t="str">
        <f>IF(B$3=0,"",IF(INDEX(SRC_ZPMW03!$A$1:$ZZ$501,$A357,B$3)&amp;""="","",INDEX(SRC_ZPMW03!$A$1:$ZZ$501,$A357,B$3)&amp;""))</f>
        <v/>
      </c>
      <c r="C357" t="str">
        <f>IF($B357="","",IF(C$3=0,"n.b.",INDEX(SRC_ZPMW03!$A$1:$ZZ$501,$A357,C$3)))</f>
        <v/>
      </c>
      <c r="D357" t="str">
        <f>IF($B357="","",IF(D$3=0,"n.b.",INDEX(SRC_ZPMW03!$A$1:$ZZ$501,$A357,D$3)))</f>
        <v/>
      </c>
      <c r="E357" t="str">
        <f>IF($B357="","",IF(E$3=0,"n.b.",INDEX(SRC_ZPMW03!$A$1:$ZZ$501,$A357,E$3)))</f>
        <v/>
      </c>
      <c r="F357" t="str">
        <f>IF($B357="","",IF(F$3=0,"n.b.",INDEX(SRC_ZPMW03!$A$1:$ZZ$501,$A357,F$3)))</f>
        <v/>
      </c>
      <c r="G357" t="str">
        <f>IF($B357="","",IF(G$3=0,"n.b.",INDEX(SRC_ZPMW03!$A$1:$ZZ$501,$A357,G$3)))</f>
        <v/>
      </c>
      <c r="H357" t="str">
        <f>IF($B357="","",IF(H$3=0,"n.b.",INDEX(SRC_ZPMW03!$A$1:$ZZ$501,$A357,H$3)))</f>
        <v/>
      </c>
      <c r="I357" t="str">
        <f>IF($B357="","",IF(I$3=0,"n.b.",INDEX(SRC_ZPMW03!$A$1:$ZZ$501,$A357,I$3)))</f>
        <v/>
      </c>
      <c r="J357" t="str">
        <f>IF($B357="","",IF(J$3=0,"n.b.",INDEX(SRC_ZPMW03!$A$1:$ZZ$501,$A357,J$3)))</f>
        <v/>
      </c>
      <c r="K357" t="str">
        <f>IF($B357="","",IF(K$3=0,"n.b.",INDEX(SRC_ZPMW03!$A$1:$ZZ$501,$A357,K$3)))</f>
        <v/>
      </c>
      <c r="L357" s="124" t="str">
        <f>IF($B357="","",IF(L$3=0,"n.b.",INDEX(SRC_ZPMW03!$A$1:$ZZ$501,$A357,L$3)))</f>
        <v/>
      </c>
      <c r="M357" s="124" t="str">
        <f>IF($B357="","",IF(M$3=0,"n.b.",INDEX(SRC_ZPMW03!$A$1:$ZZ$501,$A357,M$3)))</f>
        <v/>
      </c>
      <c r="N357" s="124" t="str">
        <f>IF($B357="","",IF(N$3=0,"n.b.",INDEX(SRC_ZPMW03!$A$1:$ZZ$501,$A357,N$3)))</f>
        <v/>
      </c>
      <c r="O357" s="124" t="str">
        <f>IF($B357="","",IF(O$3=0,"n.b.",INDEX(SRC_ZPMW03!$A$1:$ZZ$501,$A357,O$3)))</f>
        <v/>
      </c>
      <c r="P357" s="124" t="str">
        <f>IF($B357="","",IF(P$3=0,"n.b.",INDEX(SRC_ZPMW03!$A$1:$ZZ$501,$A357,P$3)))</f>
        <v/>
      </c>
      <c r="Q357" s="124" t="str">
        <f>IF($B357="","",IF(Q$3=0,"n.b.",INDEX(SRC_ZPMW03!$A$1:$ZZ$501,$A357,Q$3)))</f>
        <v/>
      </c>
      <c r="R357" s="124" t="str">
        <f>IF($B357="","",IF(R$3=0,"n.b.",INDEX(SRC_ZPMW03!$A$1:$ZZ$501,$A357,R$3)))</f>
        <v/>
      </c>
      <c r="S357" s="124" t="str">
        <f>IF($B357="","",IF(S$3=0,"n.b.",INDEX(SRC_ZPMW03!$A$1:$ZZ$501,$A357,S$3)))</f>
        <v/>
      </c>
      <c r="T357" s="124" t="str">
        <f>IF($B357="","",IF(T$3=0,"n.b.",INDEX(SRC_ZPMW03!$A$1:$ZZ$501,$A357,T$3)))</f>
        <v/>
      </c>
      <c r="U357" s="124" t="str">
        <f>IF($B357="","",IF(U$3=0,"n.b.",INDEX(SRC_ZPMW03!$A$1:$ZZ$501,$A357,U$3)))</f>
        <v/>
      </c>
      <c r="V357" s="124" t="str">
        <f>IF($B357="","",IF(V$3=0,"n.b.",INDEX(SRC_ZPMW03!$A$1:$ZZ$501,$A357,V$3)))</f>
        <v/>
      </c>
      <c r="W357" s="124" t="str">
        <f>IF($B357="","",IF(W$3=0,"n.b.",INDEX(SRC_ZPMW03!$A$1:$ZZ$501,$A357,W$3)))</f>
        <v/>
      </c>
      <c r="X357" s="124" t="str">
        <f>IF($B357="","",IF(X$3=0,"n.b.",INDEX(SRC_ZPMW03!$A$1:$ZZ$501,$A357,X$3)))</f>
        <v/>
      </c>
      <c r="Y357" s="124" t="str">
        <f>IF($B357="","",IF(Y$3=0,"n.b.",INDEX(SRC_ZPMW03!$A$1:$ZZ$501,$A357,Y$3)))</f>
        <v/>
      </c>
      <c r="Z357" s="124" t="str">
        <f>IF($B357="","",IF(Z$3=0,"n.b.",INDEX(SRC_ZPMW03!$A$1:$ZZ$501,$A357,Z$3)))</f>
        <v/>
      </c>
      <c r="AA357" s="124" t="str">
        <f>IF($B357="","",IF(AA$3=0,"n.b.",INDEX(SRC_ZPMW03!$A$1:$ZZ$501,$A357,AA$3)))</f>
        <v/>
      </c>
      <c r="AB357" s="124" t="str">
        <f>IF($B357="","",IF(AB$3=0,"n.b.",INDEX(SRC_ZPMW03!$A$1:$ZZ$501,$A357,AB$3)))</f>
        <v/>
      </c>
      <c r="AC357" s="124" t="str">
        <f>IF($B357="","",IF(AC$3=0,"n.b.",INDEX(SRC_ZPMW03!$A$1:$ZZ$501,$A357,AC$3)))</f>
        <v/>
      </c>
      <c r="AD357" s="124" t="str">
        <f>IF($B357="","",IF(AD$3=0,"n.b.",INDEX(SRC_ZPMW03!$A$1:$ZZ$501,$A357,AD$3)))</f>
        <v/>
      </c>
      <c r="AE357" s="124" t="str">
        <f>IF($B357="","",IF(AE$3=0,"n.b.",INDEX(SRC_ZPMW03!$A$1:$ZZ$501,$A357,AE$3)))</f>
        <v/>
      </c>
      <c r="AF357" s="124" t="str">
        <f>IF($B357="","",IF(AF$3=0,"n.b.",INDEX(SRC_ZPMW03!$A$1:$ZZ$501,$A357,AF$3)))</f>
        <v/>
      </c>
      <c r="AG357" s="124" t="str">
        <f>IF($B357="","",IF(AG$3=0,"n.b.",INDEX(SRC_ZPMW03!$A$1:$ZZ$501,$A357,AG$3)))</f>
        <v/>
      </c>
      <c r="AH357" s="124" t="str">
        <f>IF($B357="","",IF(AH$3=0,"n.b.",INDEX(SRC_ZPMW03!$A$1:$ZZ$501,$A357,AH$3)))</f>
        <v/>
      </c>
      <c r="AI357" s="124" t="str">
        <f>IF($B357="","",IF(AI$3=0,"n.b.",INDEX(SRC_ZPMW03!$A$1:$ZZ$501,$A357,AI$3)))</f>
        <v/>
      </c>
      <c r="AJ357" s="124" t="str">
        <f>IF($B357="","",IF(AJ$3=0,"n.b.",INDEX(SRC_ZPMW03!$A$1:$ZZ$501,$A357,AJ$3)))</f>
        <v/>
      </c>
      <c r="AK357" s="124" t="str">
        <f>IF($B357="","",IF(AK$3=0,"n.b.",INDEX(SRC_ZPMW03!$A$1:$ZZ$501,$A357,AK$3)))</f>
        <v/>
      </c>
      <c r="AL357" s="124" t="str">
        <f>IF($B357="","",IF(AL$3=0,"n.b.",INDEX(SRC_ZPMW03!$A$1:$ZZ$501,$A357,AL$3)))</f>
        <v/>
      </c>
      <c r="AM357" s="124" t="str">
        <f>IF($B357="","",IF(AM$3=0,"n.b.",INDEX(SRC_ZPMW03!$A$1:$ZZ$501,$A357,AM$3)))</f>
        <v/>
      </c>
      <c r="AN357" s="124" t="str">
        <f>IF($B357="","",IF(AN$3=0,"n.b.",INDEX(SRC_ZPMW03!$A$1:$ZZ$501,$A357,AN$3)))</f>
        <v/>
      </c>
      <c r="AO357" s="124" t="str">
        <f>IF($B357="","",IF(AO$3=0,"n.b.",INDEX(SRC_ZPMW03!$A$1:$ZZ$501,$A357,AO$3)))</f>
        <v/>
      </c>
      <c r="AP357" s="124" t="str">
        <f>IF($B357="","",IF(AP$3=0,"n.b.",INDEX(SRC_ZPMW03!$A$1:$ZZ$501,$A357,AP$3)))</f>
        <v/>
      </c>
      <c r="AQ357" s="124" t="str">
        <f>IF($B357="","",IF(AQ$3=0,"n.b.",INDEX(SRC_ZPMW03!$A$1:$ZZ$501,$A357,AQ$3)))</f>
        <v/>
      </c>
      <c r="AR357" s="124" t="str">
        <f>IF($B357="","",IF(AR$3=0,"n.b.",INDEX(SRC_ZPMW03!$A$1:$ZZ$501,$A357,AR$3)))</f>
        <v/>
      </c>
      <c r="AS357" s="124" t="str">
        <f>IF($B357="","",IF(AS$3=0,"n.b.",INDEX(SRC_ZPMW03!$A$1:$ZZ$501,$A357,AS$3)))</f>
        <v/>
      </c>
      <c r="AT357" s="124" t="str">
        <f>IF($B357="","",IF(AT$3=0,"n.b.",INDEX(SRC_ZPMW03!$A$1:$ZZ$501,$A357,AT$3)))</f>
        <v/>
      </c>
      <c r="AU357" s="124" t="str">
        <f>IF($B357="","",IF(AU$3=0,"n.b.",INDEX(SRC_ZPMW03!$A$1:$ZZ$501,$A357,AU$3)))</f>
        <v/>
      </c>
      <c r="AV357" s="124" t="str">
        <f>IF($B357="","",IF(AV$3=0,"n.b.",INDEX(SRC_ZPMW03!$A$1:$ZZ$501,$A357,AV$3)))</f>
        <v/>
      </c>
      <c r="AW357" s="124" t="str">
        <f>IF($B357="","",IF(AW$3=0,"n.b.",INDEX(SRC_ZPMW03!$A$1:$ZZ$501,$A357,AW$3)))</f>
        <v/>
      </c>
      <c r="AX357" s="124" t="str">
        <f>IF($B357="","",IF(AX$3=0,"n.b.",INDEX(SRC_ZPMW03!$A$1:$ZZ$501,$A357,AX$3)))</f>
        <v/>
      </c>
      <c r="AY357" s="124" t="str">
        <f>IF($B357="","",IF(AY$3=0,"n.b.",INDEX(SRC_ZPMW03!$A$1:$ZZ$501,$A357,AY$3)))</f>
        <v/>
      </c>
      <c r="AZ357" s="124" t="str">
        <f>IF($B357="","",IF(AZ$3=0,"n.b.",INDEX(SRC_ZPMW03!$A$1:$ZZ$501,$A357,AZ$3)))</f>
        <v/>
      </c>
      <c r="BA357" s="124" t="str">
        <f>IF($B357="","",IF(BA$3=0,"n.b.",INDEX(SRC_ZPMW03!$A$1:$ZZ$501,$A357,BA$3)))</f>
        <v/>
      </c>
      <c r="BB357" s="124" t="str">
        <f>IF($B357="","",IF(BB$3=0,"n.b.",INDEX(SRC_ZPMW03!$A$1:$ZZ$501,$A357,BB$3)))</f>
        <v/>
      </c>
      <c r="BC357" s="124" t="str">
        <f>IF($B357="","",IF(BC$3=0,"n.b.",INDEX(SRC_ZPMW03!$A$1:$ZZ$501,$A357,BC$3)))</f>
        <v/>
      </c>
      <c r="BD357" s="124" t="str">
        <f>IF($B357="","",IF(BD$3=0,"n.b.",INDEX(SRC_ZPMW03!$A$1:$ZZ$501,$A357,BD$3)))</f>
        <v/>
      </c>
      <c r="BE357" s="124" t="str">
        <f>IF($B357="","",IF(BE$3=0,"n.b.",INDEX(SRC_ZPMW03!$A$1:$ZZ$501,$A357,BE$3)))</f>
        <v/>
      </c>
      <c r="BF357" s="124" t="str">
        <f>IF($B357="","",IF(BF$3=0,"n.b.",INDEX(SRC_ZPMW03!$A$1:$ZZ$501,$A357,BF$3)))</f>
        <v/>
      </c>
      <c r="BG357" t="str">
        <f>IF($B357="","",IF(BG$3=0,"n.b.",INDEX(SRC_ZPMW03!$A$1:$ZZ$501,$A357,BG$3)))</f>
        <v/>
      </c>
      <c r="BH357" t="str">
        <f>IF($B357="","",IF(BH$3=0,"n.b.",INDEX(SRC_ZPMW03!$A$1:$ZZ$501,$A357,BH$3)))</f>
        <v/>
      </c>
      <c r="BI357" t="str">
        <f>IF($B357="","",IF(BI$3=0,"n.b.",INDEX(SRC_ZPMW03!$A$1:$ZZ$501,$A357,BI$3)))</f>
        <v/>
      </c>
      <c r="BJ357" t="str">
        <f>IF($B357="","",IF(BJ$3=0,"n.b.",INDEX(SRC_ZPMW03!$A$1:$ZZ$501,$A357,BJ$3)))</f>
        <v/>
      </c>
      <c r="BK357" s="124" t="str">
        <f>IF($B357="","",IFERROR(-O357,"n.b."))</f>
        <v/>
      </c>
      <c r="BL357" s="124" t="str">
        <f>IF($B357="","",IFERROR(-Q357,"n.b."))</f>
        <v/>
      </c>
      <c r="BM357" s="124" t="str">
        <f>IF($B357="","",IFERROR(-AB357,"n.b."))</f>
        <v/>
      </c>
      <c r="BN357" s="124" t="str">
        <f>IF($B357="","",IFERROR(-AD357,"n.b."))</f>
        <v/>
      </c>
      <c r="BO357" s="124" t="str">
        <f>IF($B357="","",IFERROR(BK357+BM357,"n.b."))</f>
        <v/>
      </c>
      <c r="BP357" s="124" t="str">
        <f>IF($B357="","",IFERROR(BL357+BN357,"n.b."))</f>
        <v/>
      </c>
      <c r="BQ357" s="124" t="str">
        <f>IF($B357="","",IFERROR(-AM357,"n.b."))</f>
        <v/>
      </c>
      <c r="BR357" s="124" t="str">
        <f>IF($B357="","",IFERROR(-AO357,"n.b."))</f>
        <v/>
      </c>
      <c r="BS357" s="124" t="str">
        <f>IF($B357="","",IFERROR(-Z357,"n.b."))</f>
        <v/>
      </c>
      <c r="BT357" s="124" t="str">
        <f>IF($B357="","",IFERROR(-AA357,"n.b."))</f>
        <v/>
      </c>
      <c r="BU357" s="124" t="str">
        <f>IF($B357="","",IFERROR(-AE357,"n.b."))</f>
        <v/>
      </c>
      <c r="BV357" s="124" t="str">
        <f>IF($B357="","",IFERROR(-AF357,"n.b."))</f>
        <v/>
      </c>
      <c r="BW357" s="124" t="str">
        <f>IF($B357="","",IFERROR(-AG357,"n.b."))</f>
        <v/>
      </c>
      <c r="BX357" s="124" t="str">
        <f>IF($B357="","",IFERROR(-AH357,"n.b."))</f>
        <v/>
      </c>
      <c r="BY357" s="124" t="str">
        <f>IF($B357="","",IFERROR(-AI357,"n.b."))</f>
        <v/>
      </c>
      <c r="BZ357" s="124" t="str">
        <f>IF($B357="","",IFERROR(-AJ357,"n.b."))</f>
        <v/>
      </c>
      <c r="CA357" s="124" t="str">
        <f>IF($B357="","",IFERROR(-AK357,"n.b."))</f>
        <v/>
      </c>
      <c r="CB357" s="124" t="str">
        <f>IF($B357="","",IFERROR(-AL357,"n.b."))</f>
        <v/>
      </c>
      <c r="CC357" s="124" t="str">
        <f>IF($B357="","",IFERROR(-AP357,"n.b."))</f>
        <v/>
      </c>
      <c r="CD357" s="124" t="str">
        <f>IF($B357="","",IFERROR(-AQ357,"n.b."))</f>
        <v/>
      </c>
      <c r="CE357" s="124" t="str">
        <f>IF($B357="","",IFERROR(-AR357,"n.b."))</f>
        <v/>
      </c>
      <c r="CF357" s="124" t="str">
        <f>IF($B357="","",IFERROR(-AS357,"n.b."))</f>
        <v/>
      </c>
      <c r="CG357" s="124" t="str">
        <f>IF($B357="","",IFERROR(-AT357,"n.b."))</f>
        <v/>
      </c>
      <c r="CH357" s="124" t="str">
        <f>IF($B357="","",IFERROR(-AU357,"n.b."))</f>
        <v/>
      </c>
      <c r="CI357" s="124" t="str">
        <f>IF($B357="","",IFERROR(-AV357,"n.b."))</f>
        <v/>
      </c>
      <c r="CJ357" s="124" t="str">
        <f>IF($B357="","",IFERROR(-AW357,"n.b."))</f>
        <v/>
      </c>
      <c r="CK357" s="124" t="str">
        <f>IF($B357="","",IFERROR(-AX357,"n.b."))</f>
        <v/>
      </c>
      <c r="CL357" s="124" t="str">
        <f>IF($B357="","",IFERROR(-AY357,"n.b."))</f>
        <v/>
      </c>
      <c r="CM357" s="124" t="str">
        <f>IF($B357="","",IFERROR(-AZ357,"n.b."))</f>
        <v/>
      </c>
      <c r="CN357" s="124" t="str">
        <f>IF($B357="","",IFERROR(-BA357,"n.b."))</f>
        <v/>
      </c>
      <c r="CO357" s="124" t="str">
        <f>IF($B357="","",IFERROR(-BB357,"n.b."))</f>
        <v/>
      </c>
      <c r="CP357" s="124" t="str">
        <f>IF($B357="","",IFERROR(-BC357,"n.b."))</f>
        <v/>
      </c>
      <c r="CQ357" s="124" t="str">
        <f>IF($B357="","",IFERROR(-BD357,"n.b."))</f>
        <v/>
      </c>
      <c r="CR357" s="124" t="str">
        <f>IF($B357="","",IFERROR(-BE357,"n.b."))</f>
        <v/>
      </c>
      <c r="CS357" s="124" t="str">
        <f>IF($B357="","",IFERROR(IF(OR(ABS(T357+V357+X357+Z357-AB357)&gt;P_Tol,ABS(U357+W357+Y357+AA357-AD357)&gt;P_Tol,ABS(AE357+AG357+AI357+AK357-AM357)&gt;P_Tol,ABS(AF357+AH357+AJ357+AL357-AO357)&gt;P_Tol),1,0),1))</f>
        <v/>
      </c>
      <c r="CT357" s="124" t="str">
        <f>IF($B357="","",IFERROR(IF(OR(ABS(AB357+AC357-AD357)&gt;P_Tol,ABS(AM357+AN357-AO357)&gt;P_Tol,ABS(O357+P357-Q357)&gt;P_Tol),1,0),1))</f>
        <v/>
      </c>
      <c r="CU357" s="124" t="str">
        <f>IF($B357="","",IFERROR(IF(ABS(R357-(AB357+AM357+AP357+AR357+AT357+AV357+AX357+AZ357+BB357+BD357))&gt;P_Tol,1,0),1))</f>
        <v/>
      </c>
      <c r="CV357" s="124" t="str">
        <f>IF($B357="","",IFERROR(IF(ABS(M357-(N357+O357+R357))&gt;P_Tol,1,0),1))</f>
        <v/>
      </c>
      <c r="CW357" s="124" t="str">
        <f>IF($B357="","",IF(COUNTIF(Mapping!$A$5:$A$104,B357)&gt;0,1,0))</f>
        <v/>
      </c>
      <c r="CX357" s="124" t="str">
        <f>IF($B357="","",COUNTIF($B$6:$B$505,B357))</f>
        <v/>
      </c>
      <c r="CY357" s="124" t="str">
        <f>IF($B357="","",COUNTIF(STG_Woningetalage!$B$6:$B$505,B357))</f>
        <v/>
      </c>
      <c r="CZ357" s="124" t="str">
        <f>IF($B357="","",IF(CW357=0,COUNTIF($CW$6:CW357,0),""))</f>
        <v/>
      </c>
    </row>
    <row r="358">
      <c r="A358" s="15" t="n">
        <v>354</v>
      </c>
      <c r="B358" t="str">
        <f>IF(B$3=0,"",IF(INDEX(SRC_ZPMW03!$A$1:$ZZ$501,$A358,B$3)&amp;""="","",INDEX(SRC_ZPMW03!$A$1:$ZZ$501,$A358,B$3)&amp;""))</f>
        <v/>
      </c>
      <c r="C358" t="str">
        <f>IF($B358="","",IF(C$3=0,"n.b.",INDEX(SRC_ZPMW03!$A$1:$ZZ$501,$A358,C$3)))</f>
        <v/>
      </c>
      <c r="D358" t="str">
        <f>IF($B358="","",IF(D$3=0,"n.b.",INDEX(SRC_ZPMW03!$A$1:$ZZ$501,$A358,D$3)))</f>
        <v/>
      </c>
      <c r="E358" t="str">
        <f>IF($B358="","",IF(E$3=0,"n.b.",INDEX(SRC_ZPMW03!$A$1:$ZZ$501,$A358,E$3)))</f>
        <v/>
      </c>
      <c r="F358" t="str">
        <f>IF($B358="","",IF(F$3=0,"n.b.",INDEX(SRC_ZPMW03!$A$1:$ZZ$501,$A358,F$3)))</f>
        <v/>
      </c>
      <c r="G358" t="str">
        <f>IF($B358="","",IF(G$3=0,"n.b.",INDEX(SRC_ZPMW03!$A$1:$ZZ$501,$A358,G$3)))</f>
        <v/>
      </c>
      <c r="H358" t="str">
        <f>IF($B358="","",IF(H$3=0,"n.b.",INDEX(SRC_ZPMW03!$A$1:$ZZ$501,$A358,H$3)))</f>
        <v/>
      </c>
      <c r="I358" t="str">
        <f>IF($B358="","",IF(I$3=0,"n.b.",INDEX(SRC_ZPMW03!$A$1:$ZZ$501,$A358,I$3)))</f>
        <v/>
      </c>
      <c r="J358" t="str">
        <f>IF($B358="","",IF(J$3=0,"n.b.",INDEX(SRC_ZPMW03!$A$1:$ZZ$501,$A358,J$3)))</f>
        <v/>
      </c>
      <c r="K358" t="str">
        <f>IF($B358="","",IF(K$3=0,"n.b.",INDEX(SRC_ZPMW03!$A$1:$ZZ$501,$A358,K$3)))</f>
        <v/>
      </c>
      <c r="L358" s="124" t="str">
        <f>IF($B358="","",IF(L$3=0,"n.b.",INDEX(SRC_ZPMW03!$A$1:$ZZ$501,$A358,L$3)))</f>
        <v/>
      </c>
      <c r="M358" s="124" t="str">
        <f>IF($B358="","",IF(M$3=0,"n.b.",INDEX(SRC_ZPMW03!$A$1:$ZZ$501,$A358,M$3)))</f>
        <v/>
      </c>
      <c r="N358" s="124" t="str">
        <f>IF($B358="","",IF(N$3=0,"n.b.",INDEX(SRC_ZPMW03!$A$1:$ZZ$501,$A358,N$3)))</f>
        <v/>
      </c>
      <c r="O358" s="124" t="str">
        <f>IF($B358="","",IF(O$3=0,"n.b.",INDEX(SRC_ZPMW03!$A$1:$ZZ$501,$A358,O$3)))</f>
        <v/>
      </c>
      <c r="P358" s="124" t="str">
        <f>IF($B358="","",IF(P$3=0,"n.b.",INDEX(SRC_ZPMW03!$A$1:$ZZ$501,$A358,P$3)))</f>
        <v/>
      </c>
      <c r="Q358" s="124" t="str">
        <f>IF($B358="","",IF(Q$3=0,"n.b.",INDEX(SRC_ZPMW03!$A$1:$ZZ$501,$A358,Q$3)))</f>
        <v/>
      </c>
      <c r="R358" s="124" t="str">
        <f>IF($B358="","",IF(R$3=0,"n.b.",INDEX(SRC_ZPMW03!$A$1:$ZZ$501,$A358,R$3)))</f>
        <v/>
      </c>
      <c r="S358" s="124" t="str">
        <f>IF($B358="","",IF(S$3=0,"n.b.",INDEX(SRC_ZPMW03!$A$1:$ZZ$501,$A358,S$3)))</f>
        <v/>
      </c>
      <c r="T358" s="124" t="str">
        <f>IF($B358="","",IF(T$3=0,"n.b.",INDEX(SRC_ZPMW03!$A$1:$ZZ$501,$A358,T$3)))</f>
        <v/>
      </c>
      <c r="U358" s="124" t="str">
        <f>IF($B358="","",IF(U$3=0,"n.b.",INDEX(SRC_ZPMW03!$A$1:$ZZ$501,$A358,U$3)))</f>
        <v/>
      </c>
      <c r="V358" s="124" t="str">
        <f>IF($B358="","",IF(V$3=0,"n.b.",INDEX(SRC_ZPMW03!$A$1:$ZZ$501,$A358,V$3)))</f>
        <v/>
      </c>
      <c r="W358" s="124" t="str">
        <f>IF($B358="","",IF(W$3=0,"n.b.",INDEX(SRC_ZPMW03!$A$1:$ZZ$501,$A358,W$3)))</f>
        <v/>
      </c>
      <c r="X358" s="124" t="str">
        <f>IF($B358="","",IF(X$3=0,"n.b.",INDEX(SRC_ZPMW03!$A$1:$ZZ$501,$A358,X$3)))</f>
        <v/>
      </c>
      <c r="Y358" s="124" t="str">
        <f>IF($B358="","",IF(Y$3=0,"n.b.",INDEX(SRC_ZPMW03!$A$1:$ZZ$501,$A358,Y$3)))</f>
        <v/>
      </c>
      <c r="Z358" s="124" t="str">
        <f>IF($B358="","",IF(Z$3=0,"n.b.",INDEX(SRC_ZPMW03!$A$1:$ZZ$501,$A358,Z$3)))</f>
        <v/>
      </c>
      <c r="AA358" s="124" t="str">
        <f>IF($B358="","",IF(AA$3=0,"n.b.",INDEX(SRC_ZPMW03!$A$1:$ZZ$501,$A358,AA$3)))</f>
        <v/>
      </c>
      <c r="AB358" s="124" t="str">
        <f>IF($B358="","",IF(AB$3=0,"n.b.",INDEX(SRC_ZPMW03!$A$1:$ZZ$501,$A358,AB$3)))</f>
        <v/>
      </c>
      <c r="AC358" s="124" t="str">
        <f>IF($B358="","",IF(AC$3=0,"n.b.",INDEX(SRC_ZPMW03!$A$1:$ZZ$501,$A358,AC$3)))</f>
        <v/>
      </c>
      <c r="AD358" s="124" t="str">
        <f>IF($B358="","",IF(AD$3=0,"n.b.",INDEX(SRC_ZPMW03!$A$1:$ZZ$501,$A358,AD$3)))</f>
        <v/>
      </c>
      <c r="AE358" s="124" t="str">
        <f>IF($B358="","",IF(AE$3=0,"n.b.",INDEX(SRC_ZPMW03!$A$1:$ZZ$501,$A358,AE$3)))</f>
        <v/>
      </c>
      <c r="AF358" s="124" t="str">
        <f>IF($B358="","",IF(AF$3=0,"n.b.",INDEX(SRC_ZPMW03!$A$1:$ZZ$501,$A358,AF$3)))</f>
        <v/>
      </c>
      <c r="AG358" s="124" t="str">
        <f>IF($B358="","",IF(AG$3=0,"n.b.",INDEX(SRC_ZPMW03!$A$1:$ZZ$501,$A358,AG$3)))</f>
        <v/>
      </c>
      <c r="AH358" s="124" t="str">
        <f>IF($B358="","",IF(AH$3=0,"n.b.",INDEX(SRC_ZPMW03!$A$1:$ZZ$501,$A358,AH$3)))</f>
        <v/>
      </c>
      <c r="AI358" s="124" t="str">
        <f>IF($B358="","",IF(AI$3=0,"n.b.",INDEX(SRC_ZPMW03!$A$1:$ZZ$501,$A358,AI$3)))</f>
        <v/>
      </c>
      <c r="AJ358" s="124" t="str">
        <f>IF($B358="","",IF(AJ$3=0,"n.b.",INDEX(SRC_ZPMW03!$A$1:$ZZ$501,$A358,AJ$3)))</f>
        <v/>
      </c>
      <c r="AK358" s="124" t="str">
        <f>IF($B358="","",IF(AK$3=0,"n.b.",INDEX(SRC_ZPMW03!$A$1:$ZZ$501,$A358,AK$3)))</f>
        <v/>
      </c>
      <c r="AL358" s="124" t="str">
        <f>IF($B358="","",IF(AL$3=0,"n.b.",INDEX(SRC_ZPMW03!$A$1:$ZZ$501,$A358,AL$3)))</f>
        <v/>
      </c>
      <c r="AM358" s="124" t="str">
        <f>IF($B358="","",IF(AM$3=0,"n.b.",INDEX(SRC_ZPMW03!$A$1:$ZZ$501,$A358,AM$3)))</f>
        <v/>
      </c>
      <c r="AN358" s="124" t="str">
        <f>IF($B358="","",IF(AN$3=0,"n.b.",INDEX(SRC_ZPMW03!$A$1:$ZZ$501,$A358,AN$3)))</f>
        <v/>
      </c>
      <c r="AO358" s="124" t="str">
        <f>IF($B358="","",IF(AO$3=0,"n.b.",INDEX(SRC_ZPMW03!$A$1:$ZZ$501,$A358,AO$3)))</f>
        <v/>
      </c>
      <c r="AP358" s="124" t="str">
        <f>IF($B358="","",IF(AP$3=0,"n.b.",INDEX(SRC_ZPMW03!$A$1:$ZZ$501,$A358,AP$3)))</f>
        <v/>
      </c>
      <c r="AQ358" s="124" t="str">
        <f>IF($B358="","",IF(AQ$3=0,"n.b.",INDEX(SRC_ZPMW03!$A$1:$ZZ$501,$A358,AQ$3)))</f>
        <v/>
      </c>
      <c r="AR358" s="124" t="str">
        <f>IF($B358="","",IF(AR$3=0,"n.b.",INDEX(SRC_ZPMW03!$A$1:$ZZ$501,$A358,AR$3)))</f>
        <v/>
      </c>
      <c r="AS358" s="124" t="str">
        <f>IF($B358="","",IF(AS$3=0,"n.b.",INDEX(SRC_ZPMW03!$A$1:$ZZ$501,$A358,AS$3)))</f>
        <v/>
      </c>
      <c r="AT358" s="124" t="str">
        <f>IF($B358="","",IF(AT$3=0,"n.b.",INDEX(SRC_ZPMW03!$A$1:$ZZ$501,$A358,AT$3)))</f>
        <v/>
      </c>
      <c r="AU358" s="124" t="str">
        <f>IF($B358="","",IF(AU$3=0,"n.b.",INDEX(SRC_ZPMW03!$A$1:$ZZ$501,$A358,AU$3)))</f>
        <v/>
      </c>
      <c r="AV358" s="124" t="str">
        <f>IF($B358="","",IF(AV$3=0,"n.b.",INDEX(SRC_ZPMW03!$A$1:$ZZ$501,$A358,AV$3)))</f>
        <v/>
      </c>
      <c r="AW358" s="124" t="str">
        <f>IF($B358="","",IF(AW$3=0,"n.b.",INDEX(SRC_ZPMW03!$A$1:$ZZ$501,$A358,AW$3)))</f>
        <v/>
      </c>
      <c r="AX358" s="124" t="str">
        <f>IF($B358="","",IF(AX$3=0,"n.b.",INDEX(SRC_ZPMW03!$A$1:$ZZ$501,$A358,AX$3)))</f>
        <v/>
      </c>
      <c r="AY358" s="124" t="str">
        <f>IF($B358="","",IF(AY$3=0,"n.b.",INDEX(SRC_ZPMW03!$A$1:$ZZ$501,$A358,AY$3)))</f>
        <v/>
      </c>
      <c r="AZ358" s="124" t="str">
        <f>IF($B358="","",IF(AZ$3=0,"n.b.",INDEX(SRC_ZPMW03!$A$1:$ZZ$501,$A358,AZ$3)))</f>
        <v/>
      </c>
      <c r="BA358" s="124" t="str">
        <f>IF($B358="","",IF(BA$3=0,"n.b.",INDEX(SRC_ZPMW03!$A$1:$ZZ$501,$A358,BA$3)))</f>
        <v/>
      </c>
      <c r="BB358" s="124" t="str">
        <f>IF($B358="","",IF(BB$3=0,"n.b.",INDEX(SRC_ZPMW03!$A$1:$ZZ$501,$A358,BB$3)))</f>
        <v/>
      </c>
      <c r="BC358" s="124" t="str">
        <f>IF($B358="","",IF(BC$3=0,"n.b.",INDEX(SRC_ZPMW03!$A$1:$ZZ$501,$A358,BC$3)))</f>
        <v/>
      </c>
      <c r="BD358" s="124" t="str">
        <f>IF($B358="","",IF(BD$3=0,"n.b.",INDEX(SRC_ZPMW03!$A$1:$ZZ$501,$A358,BD$3)))</f>
        <v/>
      </c>
      <c r="BE358" s="124" t="str">
        <f>IF($B358="","",IF(BE$3=0,"n.b.",INDEX(SRC_ZPMW03!$A$1:$ZZ$501,$A358,BE$3)))</f>
        <v/>
      </c>
      <c r="BF358" s="124" t="str">
        <f>IF($B358="","",IF(BF$3=0,"n.b.",INDEX(SRC_ZPMW03!$A$1:$ZZ$501,$A358,BF$3)))</f>
        <v/>
      </c>
      <c r="BG358" t="str">
        <f>IF($B358="","",IF(BG$3=0,"n.b.",INDEX(SRC_ZPMW03!$A$1:$ZZ$501,$A358,BG$3)))</f>
        <v/>
      </c>
      <c r="BH358" t="str">
        <f>IF($B358="","",IF(BH$3=0,"n.b.",INDEX(SRC_ZPMW03!$A$1:$ZZ$501,$A358,BH$3)))</f>
        <v/>
      </c>
      <c r="BI358" t="str">
        <f>IF($B358="","",IF(BI$3=0,"n.b.",INDEX(SRC_ZPMW03!$A$1:$ZZ$501,$A358,BI$3)))</f>
        <v/>
      </c>
      <c r="BJ358" t="str">
        <f>IF($B358="","",IF(BJ$3=0,"n.b.",INDEX(SRC_ZPMW03!$A$1:$ZZ$501,$A358,BJ$3)))</f>
        <v/>
      </c>
      <c r="BK358" s="124" t="str">
        <f>IF($B358="","",IFERROR(-O358,"n.b."))</f>
        <v/>
      </c>
      <c r="BL358" s="124" t="str">
        <f>IF($B358="","",IFERROR(-Q358,"n.b."))</f>
        <v/>
      </c>
      <c r="BM358" s="124" t="str">
        <f>IF($B358="","",IFERROR(-AB358,"n.b."))</f>
        <v/>
      </c>
      <c r="BN358" s="124" t="str">
        <f>IF($B358="","",IFERROR(-AD358,"n.b."))</f>
        <v/>
      </c>
      <c r="BO358" s="124" t="str">
        <f>IF($B358="","",IFERROR(BK358+BM358,"n.b."))</f>
        <v/>
      </c>
      <c r="BP358" s="124" t="str">
        <f>IF($B358="","",IFERROR(BL358+BN358,"n.b."))</f>
        <v/>
      </c>
      <c r="BQ358" s="124" t="str">
        <f>IF($B358="","",IFERROR(-AM358,"n.b."))</f>
        <v/>
      </c>
      <c r="BR358" s="124" t="str">
        <f>IF($B358="","",IFERROR(-AO358,"n.b."))</f>
        <v/>
      </c>
      <c r="BS358" s="124" t="str">
        <f>IF($B358="","",IFERROR(-Z358,"n.b."))</f>
        <v/>
      </c>
      <c r="BT358" s="124" t="str">
        <f>IF($B358="","",IFERROR(-AA358,"n.b."))</f>
        <v/>
      </c>
      <c r="BU358" s="124" t="str">
        <f>IF($B358="","",IFERROR(-AE358,"n.b."))</f>
        <v/>
      </c>
      <c r="BV358" s="124" t="str">
        <f>IF($B358="","",IFERROR(-AF358,"n.b."))</f>
        <v/>
      </c>
      <c r="BW358" s="124" t="str">
        <f>IF($B358="","",IFERROR(-AG358,"n.b."))</f>
        <v/>
      </c>
      <c r="BX358" s="124" t="str">
        <f>IF($B358="","",IFERROR(-AH358,"n.b."))</f>
        <v/>
      </c>
      <c r="BY358" s="124" t="str">
        <f>IF($B358="","",IFERROR(-AI358,"n.b."))</f>
        <v/>
      </c>
      <c r="BZ358" s="124" t="str">
        <f>IF($B358="","",IFERROR(-AJ358,"n.b."))</f>
        <v/>
      </c>
      <c r="CA358" s="124" t="str">
        <f>IF($B358="","",IFERROR(-AK358,"n.b."))</f>
        <v/>
      </c>
      <c r="CB358" s="124" t="str">
        <f>IF($B358="","",IFERROR(-AL358,"n.b."))</f>
        <v/>
      </c>
      <c r="CC358" s="124" t="str">
        <f>IF($B358="","",IFERROR(-AP358,"n.b."))</f>
        <v/>
      </c>
      <c r="CD358" s="124" t="str">
        <f>IF($B358="","",IFERROR(-AQ358,"n.b."))</f>
        <v/>
      </c>
      <c r="CE358" s="124" t="str">
        <f>IF($B358="","",IFERROR(-AR358,"n.b."))</f>
        <v/>
      </c>
      <c r="CF358" s="124" t="str">
        <f>IF($B358="","",IFERROR(-AS358,"n.b."))</f>
        <v/>
      </c>
      <c r="CG358" s="124" t="str">
        <f>IF($B358="","",IFERROR(-AT358,"n.b."))</f>
        <v/>
      </c>
      <c r="CH358" s="124" t="str">
        <f>IF($B358="","",IFERROR(-AU358,"n.b."))</f>
        <v/>
      </c>
      <c r="CI358" s="124" t="str">
        <f>IF($B358="","",IFERROR(-AV358,"n.b."))</f>
        <v/>
      </c>
      <c r="CJ358" s="124" t="str">
        <f>IF($B358="","",IFERROR(-AW358,"n.b."))</f>
        <v/>
      </c>
      <c r="CK358" s="124" t="str">
        <f>IF($B358="","",IFERROR(-AX358,"n.b."))</f>
        <v/>
      </c>
      <c r="CL358" s="124" t="str">
        <f>IF($B358="","",IFERROR(-AY358,"n.b."))</f>
        <v/>
      </c>
      <c r="CM358" s="124" t="str">
        <f>IF($B358="","",IFERROR(-AZ358,"n.b."))</f>
        <v/>
      </c>
      <c r="CN358" s="124" t="str">
        <f>IF($B358="","",IFERROR(-BA358,"n.b."))</f>
        <v/>
      </c>
      <c r="CO358" s="124" t="str">
        <f>IF($B358="","",IFERROR(-BB358,"n.b."))</f>
        <v/>
      </c>
      <c r="CP358" s="124" t="str">
        <f>IF($B358="","",IFERROR(-BC358,"n.b."))</f>
        <v/>
      </c>
      <c r="CQ358" s="124" t="str">
        <f>IF($B358="","",IFERROR(-BD358,"n.b."))</f>
        <v/>
      </c>
      <c r="CR358" s="124" t="str">
        <f>IF($B358="","",IFERROR(-BE358,"n.b."))</f>
        <v/>
      </c>
      <c r="CS358" s="124" t="str">
        <f>IF($B358="","",IFERROR(IF(OR(ABS(T358+V358+X358+Z358-AB358)&gt;P_Tol,ABS(U358+W358+Y358+AA358-AD358)&gt;P_Tol,ABS(AE358+AG358+AI358+AK358-AM358)&gt;P_Tol,ABS(AF358+AH358+AJ358+AL358-AO358)&gt;P_Tol),1,0),1))</f>
        <v/>
      </c>
      <c r="CT358" s="124" t="str">
        <f>IF($B358="","",IFERROR(IF(OR(ABS(AB358+AC358-AD358)&gt;P_Tol,ABS(AM358+AN358-AO358)&gt;P_Tol,ABS(O358+P358-Q358)&gt;P_Tol),1,0),1))</f>
        <v/>
      </c>
      <c r="CU358" s="124" t="str">
        <f>IF($B358="","",IFERROR(IF(ABS(R358-(AB358+AM358+AP358+AR358+AT358+AV358+AX358+AZ358+BB358+BD358))&gt;P_Tol,1,0),1))</f>
        <v/>
      </c>
      <c r="CV358" s="124" t="str">
        <f>IF($B358="","",IFERROR(IF(ABS(M358-(N358+O358+R358))&gt;P_Tol,1,0),1))</f>
        <v/>
      </c>
      <c r="CW358" s="124" t="str">
        <f>IF($B358="","",IF(COUNTIF(Mapping!$A$5:$A$104,B358)&gt;0,1,0))</f>
        <v/>
      </c>
      <c r="CX358" s="124" t="str">
        <f>IF($B358="","",COUNTIF($B$6:$B$505,B358))</f>
        <v/>
      </c>
      <c r="CY358" s="124" t="str">
        <f>IF($B358="","",COUNTIF(STG_Woningetalage!$B$6:$B$505,B358))</f>
        <v/>
      </c>
      <c r="CZ358" s="124" t="str">
        <f>IF($B358="","",IF(CW358=0,COUNTIF($CW$6:CW358,0),""))</f>
        <v/>
      </c>
    </row>
    <row r="359">
      <c r="A359" s="15" t="n">
        <v>355</v>
      </c>
      <c r="B359" t="str">
        <f>IF(B$3=0,"",IF(INDEX(SRC_ZPMW03!$A$1:$ZZ$501,$A359,B$3)&amp;""="","",INDEX(SRC_ZPMW03!$A$1:$ZZ$501,$A359,B$3)&amp;""))</f>
        <v/>
      </c>
      <c r="C359" t="str">
        <f>IF($B359="","",IF(C$3=0,"n.b.",INDEX(SRC_ZPMW03!$A$1:$ZZ$501,$A359,C$3)))</f>
        <v/>
      </c>
      <c r="D359" t="str">
        <f>IF($B359="","",IF(D$3=0,"n.b.",INDEX(SRC_ZPMW03!$A$1:$ZZ$501,$A359,D$3)))</f>
        <v/>
      </c>
      <c r="E359" t="str">
        <f>IF($B359="","",IF(E$3=0,"n.b.",INDEX(SRC_ZPMW03!$A$1:$ZZ$501,$A359,E$3)))</f>
        <v/>
      </c>
      <c r="F359" t="str">
        <f>IF($B359="","",IF(F$3=0,"n.b.",INDEX(SRC_ZPMW03!$A$1:$ZZ$501,$A359,F$3)))</f>
        <v/>
      </c>
      <c r="G359" t="str">
        <f>IF($B359="","",IF(G$3=0,"n.b.",INDEX(SRC_ZPMW03!$A$1:$ZZ$501,$A359,G$3)))</f>
        <v/>
      </c>
      <c r="H359" t="str">
        <f>IF($B359="","",IF(H$3=0,"n.b.",INDEX(SRC_ZPMW03!$A$1:$ZZ$501,$A359,H$3)))</f>
        <v/>
      </c>
      <c r="I359" t="str">
        <f>IF($B359="","",IF(I$3=0,"n.b.",INDEX(SRC_ZPMW03!$A$1:$ZZ$501,$A359,I$3)))</f>
        <v/>
      </c>
      <c r="J359" t="str">
        <f>IF($B359="","",IF(J$3=0,"n.b.",INDEX(SRC_ZPMW03!$A$1:$ZZ$501,$A359,J$3)))</f>
        <v/>
      </c>
      <c r="K359" t="str">
        <f>IF($B359="","",IF(K$3=0,"n.b.",INDEX(SRC_ZPMW03!$A$1:$ZZ$501,$A359,K$3)))</f>
        <v/>
      </c>
      <c r="L359" s="124" t="str">
        <f>IF($B359="","",IF(L$3=0,"n.b.",INDEX(SRC_ZPMW03!$A$1:$ZZ$501,$A359,L$3)))</f>
        <v/>
      </c>
      <c r="M359" s="124" t="str">
        <f>IF($B359="","",IF(M$3=0,"n.b.",INDEX(SRC_ZPMW03!$A$1:$ZZ$501,$A359,M$3)))</f>
        <v/>
      </c>
      <c r="N359" s="124" t="str">
        <f>IF($B359="","",IF(N$3=0,"n.b.",INDEX(SRC_ZPMW03!$A$1:$ZZ$501,$A359,N$3)))</f>
        <v/>
      </c>
      <c r="O359" s="124" t="str">
        <f>IF($B359="","",IF(O$3=0,"n.b.",INDEX(SRC_ZPMW03!$A$1:$ZZ$501,$A359,O$3)))</f>
        <v/>
      </c>
      <c r="P359" s="124" t="str">
        <f>IF($B359="","",IF(P$3=0,"n.b.",INDEX(SRC_ZPMW03!$A$1:$ZZ$501,$A359,P$3)))</f>
        <v/>
      </c>
      <c r="Q359" s="124" t="str">
        <f>IF($B359="","",IF(Q$3=0,"n.b.",INDEX(SRC_ZPMW03!$A$1:$ZZ$501,$A359,Q$3)))</f>
        <v/>
      </c>
      <c r="R359" s="124" t="str">
        <f>IF($B359="","",IF(R$3=0,"n.b.",INDEX(SRC_ZPMW03!$A$1:$ZZ$501,$A359,R$3)))</f>
        <v/>
      </c>
      <c r="S359" s="124" t="str">
        <f>IF($B359="","",IF(S$3=0,"n.b.",INDEX(SRC_ZPMW03!$A$1:$ZZ$501,$A359,S$3)))</f>
        <v/>
      </c>
      <c r="T359" s="124" t="str">
        <f>IF($B359="","",IF(T$3=0,"n.b.",INDEX(SRC_ZPMW03!$A$1:$ZZ$501,$A359,T$3)))</f>
        <v/>
      </c>
      <c r="U359" s="124" t="str">
        <f>IF($B359="","",IF(U$3=0,"n.b.",INDEX(SRC_ZPMW03!$A$1:$ZZ$501,$A359,U$3)))</f>
        <v/>
      </c>
      <c r="V359" s="124" t="str">
        <f>IF($B359="","",IF(V$3=0,"n.b.",INDEX(SRC_ZPMW03!$A$1:$ZZ$501,$A359,V$3)))</f>
        <v/>
      </c>
      <c r="W359" s="124" t="str">
        <f>IF($B359="","",IF(W$3=0,"n.b.",INDEX(SRC_ZPMW03!$A$1:$ZZ$501,$A359,W$3)))</f>
        <v/>
      </c>
      <c r="X359" s="124" t="str">
        <f>IF($B359="","",IF(X$3=0,"n.b.",INDEX(SRC_ZPMW03!$A$1:$ZZ$501,$A359,X$3)))</f>
        <v/>
      </c>
      <c r="Y359" s="124" t="str">
        <f>IF($B359="","",IF(Y$3=0,"n.b.",INDEX(SRC_ZPMW03!$A$1:$ZZ$501,$A359,Y$3)))</f>
        <v/>
      </c>
      <c r="Z359" s="124" t="str">
        <f>IF($B359="","",IF(Z$3=0,"n.b.",INDEX(SRC_ZPMW03!$A$1:$ZZ$501,$A359,Z$3)))</f>
        <v/>
      </c>
      <c r="AA359" s="124" t="str">
        <f>IF($B359="","",IF(AA$3=0,"n.b.",INDEX(SRC_ZPMW03!$A$1:$ZZ$501,$A359,AA$3)))</f>
        <v/>
      </c>
      <c r="AB359" s="124" t="str">
        <f>IF($B359="","",IF(AB$3=0,"n.b.",INDEX(SRC_ZPMW03!$A$1:$ZZ$501,$A359,AB$3)))</f>
        <v/>
      </c>
      <c r="AC359" s="124" t="str">
        <f>IF($B359="","",IF(AC$3=0,"n.b.",INDEX(SRC_ZPMW03!$A$1:$ZZ$501,$A359,AC$3)))</f>
        <v/>
      </c>
      <c r="AD359" s="124" t="str">
        <f>IF($B359="","",IF(AD$3=0,"n.b.",INDEX(SRC_ZPMW03!$A$1:$ZZ$501,$A359,AD$3)))</f>
        <v/>
      </c>
      <c r="AE359" s="124" t="str">
        <f>IF($B359="","",IF(AE$3=0,"n.b.",INDEX(SRC_ZPMW03!$A$1:$ZZ$501,$A359,AE$3)))</f>
        <v/>
      </c>
      <c r="AF359" s="124" t="str">
        <f>IF($B359="","",IF(AF$3=0,"n.b.",INDEX(SRC_ZPMW03!$A$1:$ZZ$501,$A359,AF$3)))</f>
        <v/>
      </c>
      <c r="AG359" s="124" t="str">
        <f>IF($B359="","",IF(AG$3=0,"n.b.",INDEX(SRC_ZPMW03!$A$1:$ZZ$501,$A359,AG$3)))</f>
        <v/>
      </c>
      <c r="AH359" s="124" t="str">
        <f>IF($B359="","",IF(AH$3=0,"n.b.",INDEX(SRC_ZPMW03!$A$1:$ZZ$501,$A359,AH$3)))</f>
        <v/>
      </c>
      <c r="AI359" s="124" t="str">
        <f>IF($B359="","",IF(AI$3=0,"n.b.",INDEX(SRC_ZPMW03!$A$1:$ZZ$501,$A359,AI$3)))</f>
        <v/>
      </c>
      <c r="AJ359" s="124" t="str">
        <f>IF($B359="","",IF(AJ$3=0,"n.b.",INDEX(SRC_ZPMW03!$A$1:$ZZ$501,$A359,AJ$3)))</f>
        <v/>
      </c>
      <c r="AK359" s="124" t="str">
        <f>IF($B359="","",IF(AK$3=0,"n.b.",INDEX(SRC_ZPMW03!$A$1:$ZZ$501,$A359,AK$3)))</f>
        <v/>
      </c>
      <c r="AL359" s="124" t="str">
        <f>IF($B359="","",IF(AL$3=0,"n.b.",INDEX(SRC_ZPMW03!$A$1:$ZZ$501,$A359,AL$3)))</f>
        <v/>
      </c>
      <c r="AM359" s="124" t="str">
        <f>IF($B359="","",IF(AM$3=0,"n.b.",INDEX(SRC_ZPMW03!$A$1:$ZZ$501,$A359,AM$3)))</f>
        <v/>
      </c>
      <c r="AN359" s="124" t="str">
        <f>IF($B359="","",IF(AN$3=0,"n.b.",INDEX(SRC_ZPMW03!$A$1:$ZZ$501,$A359,AN$3)))</f>
        <v/>
      </c>
      <c r="AO359" s="124" t="str">
        <f>IF($B359="","",IF(AO$3=0,"n.b.",INDEX(SRC_ZPMW03!$A$1:$ZZ$501,$A359,AO$3)))</f>
        <v/>
      </c>
      <c r="AP359" s="124" t="str">
        <f>IF($B359="","",IF(AP$3=0,"n.b.",INDEX(SRC_ZPMW03!$A$1:$ZZ$501,$A359,AP$3)))</f>
        <v/>
      </c>
      <c r="AQ359" s="124" t="str">
        <f>IF($B359="","",IF(AQ$3=0,"n.b.",INDEX(SRC_ZPMW03!$A$1:$ZZ$501,$A359,AQ$3)))</f>
        <v/>
      </c>
      <c r="AR359" s="124" t="str">
        <f>IF($B359="","",IF(AR$3=0,"n.b.",INDEX(SRC_ZPMW03!$A$1:$ZZ$501,$A359,AR$3)))</f>
        <v/>
      </c>
      <c r="AS359" s="124" t="str">
        <f>IF($B359="","",IF(AS$3=0,"n.b.",INDEX(SRC_ZPMW03!$A$1:$ZZ$501,$A359,AS$3)))</f>
        <v/>
      </c>
      <c r="AT359" s="124" t="str">
        <f>IF($B359="","",IF(AT$3=0,"n.b.",INDEX(SRC_ZPMW03!$A$1:$ZZ$501,$A359,AT$3)))</f>
        <v/>
      </c>
      <c r="AU359" s="124" t="str">
        <f>IF($B359="","",IF(AU$3=0,"n.b.",INDEX(SRC_ZPMW03!$A$1:$ZZ$501,$A359,AU$3)))</f>
        <v/>
      </c>
      <c r="AV359" s="124" t="str">
        <f>IF($B359="","",IF(AV$3=0,"n.b.",INDEX(SRC_ZPMW03!$A$1:$ZZ$501,$A359,AV$3)))</f>
        <v/>
      </c>
      <c r="AW359" s="124" t="str">
        <f>IF($B359="","",IF(AW$3=0,"n.b.",INDEX(SRC_ZPMW03!$A$1:$ZZ$501,$A359,AW$3)))</f>
        <v/>
      </c>
      <c r="AX359" s="124" t="str">
        <f>IF($B359="","",IF(AX$3=0,"n.b.",INDEX(SRC_ZPMW03!$A$1:$ZZ$501,$A359,AX$3)))</f>
        <v/>
      </c>
      <c r="AY359" s="124" t="str">
        <f>IF($B359="","",IF(AY$3=0,"n.b.",INDEX(SRC_ZPMW03!$A$1:$ZZ$501,$A359,AY$3)))</f>
        <v/>
      </c>
      <c r="AZ359" s="124" t="str">
        <f>IF($B359="","",IF(AZ$3=0,"n.b.",INDEX(SRC_ZPMW03!$A$1:$ZZ$501,$A359,AZ$3)))</f>
        <v/>
      </c>
      <c r="BA359" s="124" t="str">
        <f>IF($B359="","",IF(BA$3=0,"n.b.",INDEX(SRC_ZPMW03!$A$1:$ZZ$501,$A359,BA$3)))</f>
        <v/>
      </c>
      <c r="BB359" s="124" t="str">
        <f>IF($B359="","",IF(BB$3=0,"n.b.",INDEX(SRC_ZPMW03!$A$1:$ZZ$501,$A359,BB$3)))</f>
        <v/>
      </c>
      <c r="BC359" s="124" t="str">
        <f>IF($B359="","",IF(BC$3=0,"n.b.",INDEX(SRC_ZPMW03!$A$1:$ZZ$501,$A359,BC$3)))</f>
        <v/>
      </c>
      <c r="BD359" s="124" t="str">
        <f>IF($B359="","",IF(BD$3=0,"n.b.",INDEX(SRC_ZPMW03!$A$1:$ZZ$501,$A359,BD$3)))</f>
        <v/>
      </c>
      <c r="BE359" s="124" t="str">
        <f>IF($B359="","",IF(BE$3=0,"n.b.",INDEX(SRC_ZPMW03!$A$1:$ZZ$501,$A359,BE$3)))</f>
        <v/>
      </c>
      <c r="BF359" s="124" t="str">
        <f>IF($B359="","",IF(BF$3=0,"n.b.",INDEX(SRC_ZPMW03!$A$1:$ZZ$501,$A359,BF$3)))</f>
        <v/>
      </c>
      <c r="BG359" t="str">
        <f>IF($B359="","",IF(BG$3=0,"n.b.",INDEX(SRC_ZPMW03!$A$1:$ZZ$501,$A359,BG$3)))</f>
        <v/>
      </c>
      <c r="BH359" t="str">
        <f>IF($B359="","",IF(BH$3=0,"n.b.",INDEX(SRC_ZPMW03!$A$1:$ZZ$501,$A359,BH$3)))</f>
        <v/>
      </c>
      <c r="BI359" t="str">
        <f>IF($B359="","",IF(BI$3=0,"n.b.",INDEX(SRC_ZPMW03!$A$1:$ZZ$501,$A359,BI$3)))</f>
        <v/>
      </c>
      <c r="BJ359" t="str">
        <f>IF($B359="","",IF(BJ$3=0,"n.b.",INDEX(SRC_ZPMW03!$A$1:$ZZ$501,$A359,BJ$3)))</f>
        <v/>
      </c>
      <c r="BK359" s="124" t="str">
        <f>IF($B359="","",IFERROR(-O359,"n.b."))</f>
        <v/>
      </c>
      <c r="BL359" s="124" t="str">
        <f>IF($B359="","",IFERROR(-Q359,"n.b."))</f>
        <v/>
      </c>
      <c r="BM359" s="124" t="str">
        <f>IF($B359="","",IFERROR(-AB359,"n.b."))</f>
        <v/>
      </c>
      <c r="BN359" s="124" t="str">
        <f>IF($B359="","",IFERROR(-AD359,"n.b."))</f>
        <v/>
      </c>
      <c r="BO359" s="124" t="str">
        <f>IF($B359="","",IFERROR(BK359+BM359,"n.b."))</f>
        <v/>
      </c>
      <c r="BP359" s="124" t="str">
        <f>IF($B359="","",IFERROR(BL359+BN359,"n.b."))</f>
        <v/>
      </c>
      <c r="BQ359" s="124" t="str">
        <f>IF($B359="","",IFERROR(-AM359,"n.b."))</f>
        <v/>
      </c>
      <c r="BR359" s="124" t="str">
        <f>IF($B359="","",IFERROR(-AO359,"n.b."))</f>
        <v/>
      </c>
      <c r="BS359" s="124" t="str">
        <f>IF($B359="","",IFERROR(-Z359,"n.b."))</f>
        <v/>
      </c>
      <c r="BT359" s="124" t="str">
        <f>IF($B359="","",IFERROR(-AA359,"n.b."))</f>
        <v/>
      </c>
      <c r="BU359" s="124" t="str">
        <f>IF($B359="","",IFERROR(-AE359,"n.b."))</f>
        <v/>
      </c>
      <c r="BV359" s="124" t="str">
        <f>IF($B359="","",IFERROR(-AF359,"n.b."))</f>
        <v/>
      </c>
      <c r="BW359" s="124" t="str">
        <f>IF($B359="","",IFERROR(-AG359,"n.b."))</f>
        <v/>
      </c>
      <c r="BX359" s="124" t="str">
        <f>IF($B359="","",IFERROR(-AH359,"n.b."))</f>
        <v/>
      </c>
      <c r="BY359" s="124" t="str">
        <f>IF($B359="","",IFERROR(-AI359,"n.b."))</f>
        <v/>
      </c>
      <c r="BZ359" s="124" t="str">
        <f>IF($B359="","",IFERROR(-AJ359,"n.b."))</f>
        <v/>
      </c>
      <c r="CA359" s="124" t="str">
        <f>IF($B359="","",IFERROR(-AK359,"n.b."))</f>
        <v/>
      </c>
      <c r="CB359" s="124" t="str">
        <f>IF($B359="","",IFERROR(-AL359,"n.b."))</f>
        <v/>
      </c>
      <c r="CC359" s="124" t="str">
        <f>IF($B359="","",IFERROR(-AP359,"n.b."))</f>
        <v/>
      </c>
      <c r="CD359" s="124" t="str">
        <f>IF($B359="","",IFERROR(-AQ359,"n.b."))</f>
        <v/>
      </c>
      <c r="CE359" s="124" t="str">
        <f>IF($B359="","",IFERROR(-AR359,"n.b."))</f>
        <v/>
      </c>
      <c r="CF359" s="124" t="str">
        <f>IF($B359="","",IFERROR(-AS359,"n.b."))</f>
        <v/>
      </c>
      <c r="CG359" s="124" t="str">
        <f>IF($B359="","",IFERROR(-AT359,"n.b."))</f>
        <v/>
      </c>
      <c r="CH359" s="124" t="str">
        <f>IF($B359="","",IFERROR(-AU359,"n.b."))</f>
        <v/>
      </c>
      <c r="CI359" s="124" t="str">
        <f>IF($B359="","",IFERROR(-AV359,"n.b."))</f>
        <v/>
      </c>
      <c r="CJ359" s="124" t="str">
        <f>IF($B359="","",IFERROR(-AW359,"n.b."))</f>
        <v/>
      </c>
      <c r="CK359" s="124" t="str">
        <f>IF($B359="","",IFERROR(-AX359,"n.b."))</f>
        <v/>
      </c>
      <c r="CL359" s="124" t="str">
        <f>IF($B359="","",IFERROR(-AY359,"n.b."))</f>
        <v/>
      </c>
      <c r="CM359" s="124" t="str">
        <f>IF($B359="","",IFERROR(-AZ359,"n.b."))</f>
        <v/>
      </c>
      <c r="CN359" s="124" t="str">
        <f>IF($B359="","",IFERROR(-BA359,"n.b."))</f>
        <v/>
      </c>
      <c r="CO359" s="124" t="str">
        <f>IF($B359="","",IFERROR(-BB359,"n.b."))</f>
        <v/>
      </c>
      <c r="CP359" s="124" t="str">
        <f>IF($B359="","",IFERROR(-BC359,"n.b."))</f>
        <v/>
      </c>
      <c r="CQ359" s="124" t="str">
        <f>IF($B359="","",IFERROR(-BD359,"n.b."))</f>
        <v/>
      </c>
      <c r="CR359" s="124" t="str">
        <f>IF($B359="","",IFERROR(-BE359,"n.b."))</f>
        <v/>
      </c>
      <c r="CS359" s="124" t="str">
        <f>IF($B359="","",IFERROR(IF(OR(ABS(T359+V359+X359+Z359-AB359)&gt;P_Tol,ABS(U359+W359+Y359+AA359-AD359)&gt;P_Tol,ABS(AE359+AG359+AI359+AK359-AM359)&gt;P_Tol,ABS(AF359+AH359+AJ359+AL359-AO359)&gt;P_Tol),1,0),1))</f>
        <v/>
      </c>
      <c r="CT359" s="124" t="str">
        <f>IF($B359="","",IFERROR(IF(OR(ABS(AB359+AC359-AD359)&gt;P_Tol,ABS(AM359+AN359-AO359)&gt;P_Tol,ABS(O359+P359-Q359)&gt;P_Tol),1,0),1))</f>
        <v/>
      </c>
      <c r="CU359" s="124" t="str">
        <f>IF($B359="","",IFERROR(IF(ABS(R359-(AB359+AM359+AP359+AR359+AT359+AV359+AX359+AZ359+BB359+BD359))&gt;P_Tol,1,0),1))</f>
        <v/>
      </c>
      <c r="CV359" s="124" t="str">
        <f>IF($B359="","",IFERROR(IF(ABS(M359-(N359+O359+R359))&gt;P_Tol,1,0),1))</f>
        <v/>
      </c>
      <c r="CW359" s="124" t="str">
        <f>IF($B359="","",IF(COUNTIF(Mapping!$A$5:$A$104,B359)&gt;0,1,0))</f>
        <v/>
      </c>
      <c r="CX359" s="124" t="str">
        <f>IF($B359="","",COUNTIF($B$6:$B$505,B359))</f>
        <v/>
      </c>
      <c r="CY359" s="124" t="str">
        <f>IF($B359="","",COUNTIF(STG_Woningetalage!$B$6:$B$505,B359))</f>
        <v/>
      </c>
      <c r="CZ359" s="124" t="str">
        <f>IF($B359="","",IF(CW359=0,COUNTIF($CW$6:CW359,0),""))</f>
        <v/>
      </c>
    </row>
    <row r="360">
      <c r="A360" s="15" t="n">
        <v>356</v>
      </c>
      <c r="B360" t="str">
        <f>IF(B$3=0,"",IF(INDEX(SRC_ZPMW03!$A$1:$ZZ$501,$A360,B$3)&amp;""="","",INDEX(SRC_ZPMW03!$A$1:$ZZ$501,$A360,B$3)&amp;""))</f>
        <v/>
      </c>
      <c r="C360" t="str">
        <f>IF($B360="","",IF(C$3=0,"n.b.",INDEX(SRC_ZPMW03!$A$1:$ZZ$501,$A360,C$3)))</f>
        <v/>
      </c>
      <c r="D360" t="str">
        <f>IF($B360="","",IF(D$3=0,"n.b.",INDEX(SRC_ZPMW03!$A$1:$ZZ$501,$A360,D$3)))</f>
        <v/>
      </c>
      <c r="E360" t="str">
        <f>IF($B360="","",IF(E$3=0,"n.b.",INDEX(SRC_ZPMW03!$A$1:$ZZ$501,$A360,E$3)))</f>
        <v/>
      </c>
      <c r="F360" t="str">
        <f>IF($B360="","",IF(F$3=0,"n.b.",INDEX(SRC_ZPMW03!$A$1:$ZZ$501,$A360,F$3)))</f>
        <v/>
      </c>
      <c r="G360" t="str">
        <f>IF($B360="","",IF(G$3=0,"n.b.",INDEX(SRC_ZPMW03!$A$1:$ZZ$501,$A360,G$3)))</f>
        <v/>
      </c>
      <c r="H360" t="str">
        <f>IF($B360="","",IF(H$3=0,"n.b.",INDEX(SRC_ZPMW03!$A$1:$ZZ$501,$A360,H$3)))</f>
        <v/>
      </c>
      <c r="I360" t="str">
        <f>IF($B360="","",IF(I$3=0,"n.b.",INDEX(SRC_ZPMW03!$A$1:$ZZ$501,$A360,I$3)))</f>
        <v/>
      </c>
      <c r="J360" t="str">
        <f>IF($B360="","",IF(J$3=0,"n.b.",INDEX(SRC_ZPMW03!$A$1:$ZZ$501,$A360,J$3)))</f>
        <v/>
      </c>
      <c r="K360" t="str">
        <f>IF($B360="","",IF(K$3=0,"n.b.",INDEX(SRC_ZPMW03!$A$1:$ZZ$501,$A360,K$3)))</f>
        <v/>
      </c>
      <c r="L360" s="124" t="str">
        <f>IF($B360="","",IF(L$3=0,"n.b.",INDEX(SRC_ZPMW03!$A$1:$ZZ$501,$A360,L$3)))</f>
        <v/>
      </c>
      <c r="M360" s="124" t="str">
        <f>IF($B360="","",IF(M$3=0,"n.b.",INDEX(SRC_ZPMW03!$A$1:$ZZ$501,$A360,M$3)))</f>
        <v/>
      </c>
      <c r="N360" s="124" t="str">
        <f>IF($B360="","",IF(N$3=0,"n.b.",INDEX(SRC_ZPMW03!$A$1:$ZZ$501,$A360,N$3)))</f>
        <v/>
      </c>
      <c r="O360" s="124" t="str">
        <f>IF($B360="","",IF(O$3=0,"n.b.",INDEX(SRC_ZPMW03!$A$1:$ZZ$501,$A360,O$3)))</f>
        <v/>
      </c>
      <c r="P360" s="124" t="str">
        <f>IF($B360="","",IF(P$3=0,"n.b.",INDEX(SRC_ZPMW03!$A$1:$ZZ$501,$A360,P$3)))</f>
        <v/>
      </c>
      <c r="Q360" s="124" t="str">
        <f>IF($B360="","",IF(Q$3=0,"n.b.",INDEX(SRC_ZPMW03!$A$1:$ZZ$501,$A360,Q$3)))</f>
        <v/>
      </c>
      <c r="R360" s="124" t="str">
        <f>IF($B360="","",IF(R$3=0,"n.b.",INDEX(SRC_ZPMW03!$A$1:$ZZ$501,$A360,R$3)))</f>
        <v/>
      </c>
      <c r="S360" s="124" t="str">
        <f>IF($B360="","",IF(S$3=0,"n.b.",INDEX(SRC_ZPMW03!$A$1:$ZZ$501,$A360,S$3)))</f>
        <v/>
      </c>
      <c r="T360" s="124" t="str">
        <f>IF($B360="","",IF(T$3=0,"n.b.",INDEX(SRC_ZPMW03!$A$1:$ZZ$501,$A360,T$3)))</f>
        <v/>
      </c>
      <c r="U360" s="124" t="str">
        <f>IF($B360="","",IF(U$3=0,"n.b.",INDEX(SRC_ZPMW03!$A$1:$ZZ$501,$A360,U$3)))</f>
        <v/>
      </c>
      <c r="V360" s="124" t="str">
        <f>IF($B360="","",IF(V$3=0,"n.b.",INDEX(SRC_ZPMW03!$A$1:$ZZ$501,$A360,V$3)))</f>
        <v/>
      </c>
      <c r="W360" s="124" t="str">
        <f>IF($B360="","",IF(W$3=0,"n.b.",INDEX(SRC_ZPMW03!$A$1:$ZZ$501,$A360,W$3)))</f>
        <v/>
      </c>
      <c r="X360" s="124" t="str">
        <f>IF($B360="","",IF(X$3=0,"n.b.",INDEX(SRC_ZPMW03!$A$1:$ZZ$501,$A360,X$3)))</f>
        <v/>
      </c>
      <c r="Y360" s="124" t="str">
        <f>IF($B360="","",IF(Y$3=0,"n.b.",INDEX(SRC_ZPMW03!$A$1:$ZZ$501,$A360,Y$3)))</f>
        <v/>
      </c>
      <c r="Z360" s="124" t="str">
        <f>IF($B360="","",IF(Z$3=0,"n.b.",INDEX(SRC_ZPMW03!$A$1:$ZZ$501,$A360,Z$3)))</f>
        <v/>
      </c>
      <c r="AA360" s="124" t="str">
        <f>IF($B360="","",IF(AA$3=0,"n.b.",INDEX(SRC_ZPMW03!$A$1:$ZZ$501,$A360,AA$3)))</f>
        <v/>
      </c>
      <c r="AB360" s="124" t="str">
        <f>IF($B360="","",IF(AB$3=0,"n.b.",INDEX(SRC_ZPMW03!$A$1:$ZZ$501,$A360,AB$3)))</f>
        <v/>
      </c>
      <c r="AC360" s="124" t="str">
        <f>IF($B360="","",IF(AC$3=0,"n.b.",INDEX(SRC_ZPMW03!$A$1:$ZZ$501,$A360,AC$3)))</f>
        <v/>
      </c>
      <c r="AD360" s="124" t="str">
        <f>IF($B360="","",IF(AD$3=0,"n.b.",INDEX(SRC_ZPMW03!$A$1:$ZZ$501,$A360,AD$3)))</f>
        <v/>
      </c>
      <c r="AE360" s="124" t="str">
        <f>IF($B360="","",IF(AE$3=0,"n.b.",INDEX(SRC_ZPMW03!$A$1:$ZZ$501,$A360,AE$3)))</f>
        <v/>
      </c>
      <c r="AF360" s="124" t="str">
        <f>IF($B360="","",IF(AF$3=0,"n.b.",INDEX(SRC_ZPMW03!$A$1:$ZZ$501,$A360,AF$3)))</f>
        <v/>
      </c>
      <c r="AG360" s="124" t="str">
        <f>IF($B360="","",IF(AG$3=0,"n.b.",INDEX(SRC_ZPMW03!$A$1:$ZZ$501,$A360,AG$3)))</f>
        <v/>
      </c>
      <c r="AH360" s="124" t="str">
        <f>IF($B360="","",IF(AH$3=0,"n.b.",INDEX(SRC_ZPMW03!$A$1:$ZZ$501,$A360,AH$3)))</f>
        <v/>
      </c>
      <c r="AI360" s="124" t="str">
        <f>IF($B360="","",IF(AI$3=0,"n.b.",INDEX(SRC_ZPMW03!$A$1:$ZZ$501,$A360,AI$3)))</f>
        <v/>
      </c>
      <c r="AJ360" s="124" t="str">
        <f>IF($B360="","",IF(AJ$3=0,"n.b.",INDEX(SRC_ZPMW03!$A$1:$ZZ$501,$A360,AJ$3)))</f>
        <v/>
      </c>
      <c r="AK360" s="124" t="str">
        <f>IF($B360="","",IF(AK$3=0,"n.b.",INDEX(SRC_ZPMW03!$A$1:$ZZ$501,$A360,AK$3)))</f>
        <v/>
      </c>
      <c r="AL360" s="124" t="str">
        <f>IF($B360="","",IF(AL$3=0,"n.b.",INDEX(SRC_ZPMW03!$A$1:$ZZ$501,$A360,AL$3)))</f>
        <v/>
      </c>
      <c r="AM360" s="124" t="str">
        <f>IF($B360="","",IF(AM$3=0,"n.b.",INDEX(SRC_ZPMW03!$A$1:$ZZ$501,$A360,AM$3)))</f>
        <v/>
      </c>
      <c r="AN360" s="124" t="str">
        <f>IF($B360="","",IF(AN$3=0,"n.b.",INDEX(SRC_ZPMW03!$A$1:$ZZ$501,$A360,AN$3)))</f>
        <v/>
      </c>
      <c r="AO360" s="124" t="str">
        <f>IF($B360="","",IF(AO$3=0,"n.b.",INDEX(SRC_ZPMW03!$A$1:$ZZ$501,$A360,AO$3)))</f>
        <v/>
      </c>
      <c r="AP360" s="124" t="str">
        <f>IF($B360="","",IF(AP$3=0,"n.b.",INDEX(SRC_ZPMW03!$A$1:$ZZ$501,$A360,AP$3)))</f>
        <v/>
      </c>
      <c r="AQ360" s="124" t="str">
        <f>IF($B360="","",IF(AQ$3=0,"n.b.",INDEX(SRC_ZPMW03!$A$1:$ZZ$501,$A360,AQ$3)))</f>
        <v/>
      </c>
      <c r="AR360" s="124" t="str">
        <f>IF($B360="","",IF(AR$3=0,"n.b.",INDEX(SRC_ZPMW03!$A$1:$ZZ$501,$A360,AR$3)))</f>
        <v/>
      </c>
      <c r="AS360" s="124" t="str">
        <f>IF($B360="","",IF(AS$3=0,"n.b.",INDEX(SRC_ZPMW03!$A$1:$ZZ$501,$A360,AS$3)))</f>
        <v/>
      </c>
      <c r="AT360" s="124" t="str">
        <f>IF($B360="","",IF(AT$3=0,"n.b.",INDEX(SRC_ZPMW03!$A$1:$ZZ$501,$A360,AT$3)))</f>
        <v/>
      </c>
      <c r="AU360" s="124" t="str">
        <f>IF($B360="","",IF(AU$3=0,"n.b.",INDEX(SRC_ZPMW03!$A$1:$ZZ$501,$A360,AU$3)))</f>
        <v/>
      </c>
      <c r="AV360" s="124" t="str">
        <f>IF($B360="","",IF(AV$3=0,"n.b.",INDEX(SRC_ZPMW03!$A$1:$ZZ$501,$A360,AV$3)))</f>
        <v/>
      </c>
      <c r="AW360" s="124" t="str">
        <f>IF($B360="","",IF(AW$3=0,"n.b.",INDEX(SRC_ZPMW03!$A$1:$ZZ$501,$A360,AW$3)))</f>
        <v/>
      </c>
      <c r="AX360" s="124" t="str">
        <f>IF($B360="","",IF(AX$3=0,"n.b.",INDEX(SRC_ZPMW03!$A$1:$ZZ$501,$A360,AX$3)))</f>
        <v/>
      </c>
      <c r="AY360" s="124" t="str">
        <f>IF($B360="","",IF(AY$3=0,"n.b.",INDEX(SRC_ZPMW03!$A$1:$ZZ$501,$A360,AY$3)))</f>
        <v/>
      </c>
      <c r="AZ360" s="124" t="str">
        <f>IF($B360="","",IF(AZ$3=0,"n.b.",INDEX(SRC_ZPMW03!$A$1:$ZZ$501,$A360,AZ$3)))</f>
        <v/>
      </c>
      <c r="BA360" s="124" t="str">
        <f>IF($B360="","",IF(BA$3=0,"n.b.",INDEX(SRC_ZPMW03!$A$1:$ZZ$501,$A360,BA$3)))</f>
        <v/>
      </c>
      <c r="BB360" s="124" t="str">
        <f>IF($B360="","",IF(BB$3=0,"n.b.",INDEX(SRC_ZPMW03!$A$1:$ZZ$501,$A360,BB$3)))</f>
        <v/>
      </c>
      <c r="BC360" s="124" t="str">
        <f>IF($B360="","",IF(BC$3=0,"n.b.",INDEX(SRC_ZPMW03!$A$1:$ZZ$501,$A360,BC$3)))</f>
        <v/>
      </c>
      <c r="BD360" s="124" t="str">
        <f>IF($B360="","",IF(BD$3=0,"n.b.",INDEX(SRC_ZPMW03!$A$1:$ZZ$501,$A360,BD$3)))</f>
        <v/>
      </c>
      <c r="BE360" s="124" t="str">
        <f>IF($B360="","",IF(BE$3=0,"n.b.",INDEX(SRC_ZPMW03!$A$1:$ZZ$501,$A360,BE$3)))</f>
        <v/>
      </c>
      <c r="BF360" s="124" t="str">
        <f>IF($B360="","",IF(BF$3=0,"n.b.",INDEX(SRC_ZPMW03!$A$1:$ZZ$501,$A360,BF$3)))</f>
        <v/>
      </c>
      <c r="BG360" t="str">
        <f>IF($B360="","",IF(BG$3=0,"n.b.",INDEX(SRC_ZPMW03!$A$1:$ZZ$501,$A360,BG$3)))</f>
        <v/>
      </c>
      <c r="BH360" t="str">
        <f>IF($B360="","",IF(BH$3=0,"n.b.",INDEX(SRC_ZPMW03!$A$1:$ZZ$501,$A360,BH$3)))</f>
        <v/>
      </c>
      <c r="BI360" t="str">
        <f>IF($B360="","",IF(BI$3=0,"n.b.",INDEX(SRC_ZPMW03!$A$1:$ZZ$501,$A360,BI$3)))</f>
        <v/>
      </c>
      <c r="BJ360" t="str">
        <f>IF($B360="","",IF(BJ$3=0,"n.b.",INDEX(SRC_ZPMW03!$A$1:$ZZ$501,$A360,BJ$3)))</f>
        <v/>
      </c>
      <c r="BK360" s="124" t="str">
        <f>IF($B360="","",IFERROR(-O360,"n.b."))</f>
        <v/>
      </c>
      <c r="BL360" s="124" t="str">
        <f>IF($B360="","",IFERROR(-Q360,"n.b."))</f>
        <v/>
      </c>
      <c r="BM360" s="124" t="str">
        <f>IF($B360="","",IFERROR(-AB360,"n.b."))</f>
        <v/>
      </c>
      <c r="BN360" s="124" t="str">
        <f>IF($B360="","",IFERROR(-AD360,"n.b."))</f>
        <v/>
      </c>
      <c r="BO360" s="124" t="str">
        <f>IF($B360="","",IFERROR(BK360+BM360,"n.b."))</f>
        <v/>
      </c>
      <c r="BP360" s="124" t="str">
        <f>IF($B360="","",IFERROR(BL360+BN360,"n.b."))</f>
        <v/>
      </c>
      <c r="BQ360" s="124" t="str">
        <f>IF($B360="","",IFERROR(-AM360,"n.b."))</f>
        <v/>
      </c>
      <c r="BR360" s="124" t="str">
        <f>IF($B360="","",IFERROR(-AO360,"n.b."))</f>
        <v/>
      </c>
      <c r="BS360" s="124" t="str">
        <f>IF($B360="","",IFERROR(-Z360,"n.b."))</f>
        <v/>
      </c>
      <c r="BT360" s="124" t="str">
        <f>IF($B360="","",IFERROR(-AA360,"n.b."))</f>
        <v/>
      </c>
      <c r="BU360" s="124" t="str">
        <f>IF($B360="","",IFERROR(-AE360,"n.b."))</f>
        <v/>
      </c>
      <c r="BV360" s="124" t="str">
        <f>IF($B360="","",IFERROR(-AF360,"n.b."))</f>
        <v/>
      </c>
      <c r="BW360" s="124" t="str">
        <f>IF($B360="","",IFERROR(-AG360,"n.b."))</f>
        <v/>
      </c>
      <c r="BX360" s="124" t="str">
        <f>IF($B360="","",IFERROR(-AH360,"n.b."))</f>
        <v/>
      </c>
      <c r="BY360" s="124" t="str">
        <f>IF($B360="","",IFERROR(-AI360,"n.b."))</f>
        <v/>
      </c>
      <c r="BZ360" s="124" t="str">
        <f>IF($B360="","",IFERROR(-AJ360,"n.b."))</f>
        <v/>
      </c>
      <c r="CA360" s="124" t="str">
        <f>IF($B360="","",IFERROR(-AK360,"n.b."))</f>
        <v/>
      </c>
      <c r="CB360" s="124" t="str">
        <f>IF($B360="","",IFERROR(-AL360,"n.b."))</f>
        <v/>
      </c>
      <c r="CC360" s="124" t="str">
        <f>IF($B360="","",IFERROR(-AP360,"n.b."))</f>
        <v/>
      </c>
      <c r="CD360" s="124" t="str">
        <f>IF($B360="","",IFERROR(-AQ360,"n.b."))</f>
        <v/>
      </c>
      <c r="CE360" s="124" t="str">
        <f>IF($B360="","",IFERROR(-AR360,"n.b."))</f>
        <v/>
      </c>
      <c r="CF360" s="124" t="str">
        <f>IF($B360="","",IFERROR(-AS360,"n.b."))</f>
        <v/>
      </c>
      <c r="CG360" s="124" t="str">
        <f>IF($B360="","",IFERROR(-AT360,"n.b."))</f>
        <v/>
      </c>
      <c r="CH360" s="124" t="str">
        <f>IF($B360="","",IFERROR(-AU360,"n.b."))</f>
        <v/>
      </c>
      <c r="CI360" s="124" t="str">
        <f>IF($B360="","",IFERROR(-AV360,"n.b."))</f>
        <v/>
      </c>
      <c r="CJ360" s="124" t="str">
        <f>IF($B360="","",IFERROR(-AW360,"n.b."))</f>
        <v/>
      </c>
      <c r="CK360" s="124" t="str">
        <f>IF($B360="","",IFERROR(-AX360,"n.b."))</f>
        <v/>
      </c>
      <c r="CL360" s="124" t="str">
        <f>IF($B360="","",IFERROR(-AY360,"n.b."))</f>
        <v/>
      </c>
      <c r="CM360" s="124" t="str">
        <f>IF($B360="","",IFERROR(-AZ360,"n.b."))</f>
        <v/>
      </c>
      <c r="CN360" s="124" t="str">
        <f>IF($B360="","",IFERROR(-BA360,"n.b."))</f>
        <v/>
      </c>
      <c r="CO360" s="124" t="str">
        <f>IF($B360="","",IFERROR(-BB360,"n.b."))</f>
        <v/>
      </c>
      <c r="CP360" s="124" t="str">
        <f>IF($B360="","",IFERROR(-BC360,"n.b."))</f>
        <v/>
      </c>
      <c r="CQ360" s="124" t="str">
        <f>IF($B360="","",IFERROR(-BD360,"n.b."))</f>
        <v/>
      </c>
      <c r="CR360" s="124" t="str">
        <f>IF($B360="","",IFERROR(-BE360,"n.b."))</f>
        <v/>
      </c>
      <c r="CS360" s="124" t="str">
        <f>IF($B360="","",IFERROR(IF(OR(ABS(T360+V360+X360+Z360-AB360)&gt;P_Tol,ABS(U360+W360+Y360+AA360-AD360)&gt;P_Tol,ABS(AE360+AG360+AI360+AK360-AM360)&gt;P_Tol,ABS(AF360+AH360+AJ360+AL360-AO360)&gt;P_Tol),1,0),1))</f>
        <v/>
      </c>
      <c r="CT360" s="124" t="str">
        <f>IF($B360="","",IFERROR(IF(OR(ABS(AB360+AC360-AD360)&gt;P_Tol,ABS(AM360+AN360-AO360)&gt;P_Tol,ABS(O360+P360-Q360)&gt;P_Tol),1,0),1))</f>
        <v/>
      </c>
      <c r="CU360" s="124" t="str">
        <f>IF($B360="","",IFERROR(IF(ABS(R360-(AB360+AM360+AP360+AR360+AT360+AV360+AX360+AZ360+BB360+BD360))&gt;P_Tol,1,0),1))</f>
        <v/>
      </c>
      <c r="CV360" s="124" t="str">
        <f>IF($B360="","",IFERROR(IF(ABS(M360-(N360+O360+R360))&gt;P_Tol,1,0),1))</f>
        <v/>
      </c>
      <c r="CW360" s="124" t="str">
        <f>IF($B360="","",IF(COUNTIF(Mapping!$A$5:$A$104,B360)&gt;0,1,0))</f>
        <v/>
      </c>
      <c r="CX360" s="124" t="str">
        <f>IF($B360="","",COUNTIF($B$6:$B$505,B360))</f>
        <v/>
      </c>
      <c r="CY360" s="124" t="str">
        <f>IF($B360="","",COUNTIF(STG_Woningetalage!$B$6:$B$505,B360))</f>
        <v/>
      </c>
      <c r="CZ360" s="124" t="str">
        <f>IF($B360="","",IF(CW360=0,COUNTIF($CW$6:CW360,0),""))</f>
        <v/>
      </c>
    </row>
    <row r="361">
      <c r="A361" s="15" t="n">
        <v>357</v>
      </c>
      <c r="B361" t="str">
        <f>IF(B$3=0,"",IF(INDEX(SRC_ZPMW03!$A$1:$ZZ$501,$A361,B$3)&amp;""="","",INDEX(SRC_ZPMW03!$A$1:$ZZ$501,$A361,B$3)&amp;""))</f>
        <v/>
      </c>
      <c r="C361" t="str">
        <f>IF($B361="","",IF(C$3=0,"n.b.",INDEX(SRC_ZPMW03!$A$1:$ZZ$501,$A361,C$3)))</f>
        <v/>
      </c>
      <c r="D361" t="str">
        <f>IF($B361="","",IF(D$3=0,"n.b.",INDEX(SRC_ZPMW03!$A$1:$ZZ$501,$A361,D$3)))</f>
        <v/>
      </c>
      <c r="E361" t="str">
        <f>IF($B361="","",IF(E$3=0,"n.b.",INDEX(SRC_ZPMW03!$A$1:$ZZ$501,$A361,E$3)))</f>
        <v/>
      </c>
      <c r="F361" t="str">
        <f>IF($B361="","",IF(F$3=0,"n.b.",INDEX(SRC_ZPMW03!$A$1:$ZZ$501,$A361,F$3)))</f>
        <v/>
      </c>
      <c r="G361" t="str">
        <f>IF($B361="","",IF(G$3=0,"n.b.",INDEX(SRC_ZPMW03!$A$1:$ZZ$501,$A361,G$3)))</f>
        <v/>
      </c>
      <c r="H361" t="str">
        <f>IF($B361="","",IF(H$3=0,"n.b.",INDEX(SRC_ZPMW03!$A$1:$ZZ$501,$A361,H$3)))</f>
        <v/>
      </c>
      <c r="I361" t="str">
        <f>IF($B361="","",IF(I$3=0,"n.b.",INDEX(SRC_ZPMW03!$A$1:$ZZ$501,$A361,I$3)))</f>
        <v/>
      </c>
      <c r="J361" t="str">
        <f>IF($B361="","",IF(J$3=0,"n.b.",INDEX(SRC_ZPMW03!$A$1:$ZZ$501,$A361,J$3)))</f>
        <v/>
      </c>
      <c r="K361" t="str">
        <f>IF($B361="","",IF(K$3=0,"n.b.",INDEX(SRC_ZPMW03!$A$1:$ZZ$501,$A361,K$3)))</f>
        <v/>
      </c>
      <c r="L361" s="124" t="str">
        <f>IF($B361="","",IF(L$3=0,"n.b.",INDEX(SRC_ZPMW03!$A$1:$ZZ$501,$A361,L$3)))</f>
        <v/>
      </c>
      <c r="M361" s="124" t="str">
        <f>IF($B361="","",IF(M$3=0,"n.b.",INDEX(SRC_ZPMW03!$A$1:$ZZ$501,$A361,M$3)))</f>
        <v/>
      </c>
      <c r="N361" s="124" t="str">
        <f>IF($B361="","",IF(N$3=0,"n.b.",INDEX(SRC_ZPMW03!$A$1:$ZZ$501,$A361,N$3)))</f>
        <v/>
      </c>
      <c r="O361" s="124" t="str">
        <f>IF($B361="","",IF(O$3=0,"n.b.",INDEX(SRC_ZPMW03!$A$1:$ZZ$501,$A361,O$3)))</f>
        <v/>
      </c>
      <c r="P361" s="124" t="str">
        <f>IF($B361="","",IF(P$3=0,"n.b.",INDEX(SRC_ZPMW03!$A$1:$ZZ$501,$A361,P$3)))</f>
        <v/>
      </c>
      <c r="Q361" s="124" t="str">
        <f>IF($B361="","",IF(Q$3=0,"n.b.",INDEX(SRC_ZPMW03!$A$1:$ZZ$501,$A361,Q$3)))</f>
        <v/>
      </c>
      <c r="R361" s="124" t="str">
        <f>IF($B361="","",IF(R$3=0,"n.b.",INDEX(SRC_ZPMW03!$A$1:$ZZ$501,$A361,R$3)))</f>
        <v/>
      </c>
      <c r="S361" s="124" t="str">
        <f>IF($B361="","",IF(S$3=0,"n.b.",INDEX(SRC_ZPMW03!$A$1:$ZZ$501,$A361,S$3)))</f>
        <v/>
      </c>
      <c r="T361" s="124" t="str">
        <f>IF($B361="","",IF(T$3=0,"n.b.",INDEX(SRC_ZPMW03!$A$1:$ZZ$501,$A361,T$3)))</f>
        <v/>
      </c>
      <c r="U361" s="124" t="str">
        <f>IF($B361="","",IF(U$3=0,"n.b.",INDEX(SRC_ZPMW03!$A$1:$ZZ$501,$A361,U$3)))</f>
        <v/>
      </c>
      <c r="V361" s="124" t="str">
        <f>IF($B361="","",IF(V$3=0,"n.b.",INDEX(SRC_ZPMW03!$A$1:$ZZ$501,$A361,V$3)))</f>
        <v/>
      </c>
      <c r="W361" s="124" t="str">
        <f>IF($B361="","",IF(W$3=0,"n.b.",INDEX(SRC_ZPMW03!$A$1:$ZZ$501,$A361,W$3)))</f>
        <v/>
      </c>
      <c r="X361" s="124" t="str">
        <f>IF($B361="","",IF(X$3=0,"n.b.",INDEX(SRC_ZPMW03!$A$1:$ZZ$501,$A361,X$3)))</f>
        <v/>
      </c>
      <c r="Y361" s="124" t="str">
        <f>IF($B361="","",IF(Y$3=0,"n.b.",INDEX(SRC_ZPMW03!$A$1:$ZZ$501,$A361,Y$3)))</f>
        <v/>
      </c>
      <c r="Z361" s="124" t="str">
        <f>IF($B361="","",IF(Z$3=0,"n.b.",INDEX(SRC_ZPMW03!$A$1:$ZZ$501,$A361,Z$3)))</f>
        <v/>
      </c>
      <c r="AA361" s="124" t="str">
        <f>IF($B361="","",IF(AA$3=0,"n.b.",INDEX(SRC_ZPMW03!$A$1:$ZZ$501,$A361,AA$3)))</f>
        <v/>
      </c>
      <c r="AB361" s="124" t="str">
        <f>IF($B361="","",IF(AB$3=0,"n.b.",INDEX(SRC_ZPMW03!$A$1:$ZZ$501,$A361,AB$3)))</f>
        <v/>
      </c>
      <c r="AC361" s="124" t="str">
        <f>IF($B361="","",IF(AC$3=0,"n.b.",INDEX(SRC_ZPMW03!$A$1:$ZZ$501,$A361,AC$3)))</f>
        <v/>
      </c>
      <c r="AD361" s="124" t="str">
        <f>IF($B361="","",IF(AD$3=0,"n.b.",INDEX(SRC_ZPMW03!$A$1:$ZZ$501,$A361,AD$3)))</f>
        <v/>
      </c>
      <c r="AE361" s="124" t="str">
        <f>IF($B361="","",IF(AE$3=0,"n.b.",INDEX(SRC_ZPMW03!$A$1:$ZZ$501,$A361,AE$3)))</f>
        <v/>
      </c>
      <c r="AF361" s="124" t="str">
        <f>IF($B361="","",IF(AF$3=0,"n.b.",INDEX(SRC_ZPMW03!$A$1:$ZZ$501,$A361,AF$3)))</f>
        <v/>
      </c>
      <c r="AG361" s="124" t="str">
        <f>IF($B361="","",IF(AG$3=0,"n.b.",INDEX(SRC_ZPMW03!$A$1:$ZZ$501,$A361,AG$3)))</f>
        <v/>
      </c>
      <c r="AH361" s="124" t="str">
        <f>IF($B361="","",IF(AH$3=0,"n.b.",INDEX(SRC_ZPMW03!$A$1:$ZZ$501,$A361,AH$3)))</f>
        <v/>
      </c>
      <c r="AI361" s="124" t="str">
        <f>IF($B361="","",IF(AI$3=0,"n.b.",INDEX(SRC_ZPMW03!$A$1:$ZZ$501,$A361,AI$3)))</f>
        <v/>
      </c>
      <c r="AJ361" s="124" t="str">
        <f>IF($B361="","",IF(AJ$3=0,"n.b.",INDEX(SRC_ZPMW03!$A$1:$ZZ$501,$A361,AJ$3)))</f>
        <v/>
      </c>
      <c r="AK361" s="124" t="str">
        <f>IF($B361="","",IF(AK$3=0,"n.b.",INDEX(SRC_ZPMW03!$A$1:$ZZ$501,$A361,AK$3)))</f>
        <v/>
      </c>
      <c r="AL361" s="124" t="str">
        <f>IF($B361="","",IF(AL$3=0,"n.b.",INDEX(SRC_ZPMW03!$A$1:$ZZ$501,$A361,AL$3)))</f>
        <v/>
      </c>
      <c r="AM361" s="124" t="str">
        <f>IF($B361="","",IF(AM$3=0,"n.b.",INDEX(SRC_ZPMW03!$A$1:$ZZ$501,$A361,AM$3)))</f>
        <v/>
      </c>
      <c r="AN361" s="124" t="str">
        <f>IF($B361="","",IF(AN$3=0,"n.b.",INDEX(SRC_ZPMW03!$A$1:$ZZ$501,$A361,AN$3)))</f>
        <v/>
      </c>
      <c r="AO361" s="124" t="str">
        <f>IF($B361="","",IF(AO$3=0,"n.b.",INDEX(SRC_ZPMW03!$A$1:$ZZ$501,$A361,AO$3)))</f>
        <v/>
      </c>
      <c r="AP361" s="124" t="str">
        <f>IF($B361="","",IF(AP$3=0,"n.b.",INDEX(SRC_ZPMW03!$A$1:$ZZ$501,$A361,AP$3)))</f>
        <v/>
      </c>
      <c r="AQ361" s="124" t="str">
        <f>IF($B361="","",IF(AQ$3=0,"n.b.",INDEX(SRC_ZPMW03!$A$1:$ZZ$501,$A361,AQ$3)))</f>
        <v/>
      </c>
      <c r="AR361" s="124" t="str">
        <f>IF($B361="","",IF(AR$3=0,"n.b.",INDEX(SRC_ZPMW03!$A$1:$ZZ$501,$A361,AR$3)))</f>
        <v/>
      </c>
      <c r="AS361" s="124" t="str">
        <f>IF($B361="","",IF(AS$3=0,"n.b.",INDEX(SRC_ZPMW03!$A$1:$ZZ$501,$A361,AS$3)))</f>
        <v/>
      </c>
      <c r="AT361" s="124" t="str">
        <f>IF($B361="","",IF(AT$3=0,"n.b.",INDEX(SRC_ZPMW03!$A$1:$ZZ$501,$A361,AT$3)))</f>
        <v/>
      </c>
      <c r="AU361" s="124" t="str">
        <f>IF($B361="","",IF(AU$3=0,"n.b.",INDEX(SRC_ZPMW03!$A$1:$ZZ$501,$A361,AU$3)))</f>
        <v/>
      </c>
      <c r="AV361" s="124" t="str">
        <f>IF($B361="","",IF(AV$3=0,"n.b.",INDEX(SRC_ZPMW03!$A$1:$ZZ$501,$A361,AV$3)))</f>
        <v/>
      </c>
      <c r="AW361" s="124" t="str">
        <f>IF($B361="","",IF(AW$3=0,"n.b.",INDEX(SRC_ZPMW03!$A$1:$ZZ$501,$A361,AW$3)))</f>
        <v/>
      </c>
      <c r="AX361" s="124" t="str">
        <f>IF($B361="","",IF(AX$3=0,"n.b.",INDEX(SRC_ZPMW03!$A$1:$ZZ$501,$A361,AX$3)))</f>
        <v/>
      </c>
      <c r="AY361" s="124" t="str">
        <f>IF($B361="","",IF(AY$3=0,"n.b.",INDEX(SRC_ZPMW03!$A$1:$ZZ$501,$A361,AY$3)))</f>
        <v/>
      </c>
      <c r="AZ361" s="124" t="str">
        <f>IF($B361="","",IF(AZ$3=0,"n.b.",INDEX(SRC_ZPMW03!$A$1:$ZZ$501,$A361,AZ$3)))</f>
        <v/>
      </c>
      <c r="BA361" s="124" t="str">
        <f>IF($B361="","",IF(BA$3=0,"n.b.",INDEX(SRC_ZPMW03!$A$1:$ZZ$501,$A361,BA$3)))</f>
        <v/>
      </c>
      <c r="BB361" s="124" t="str">
        <f>IF($B361="","",IF(BB$3=0,"n.b.",INDEX(SRC_ZPMW03!$A$1:$ZZ$501,$A361,BB$3)))</f>
        <v/>
      </c>
      <c r="BC361" s="124" t="str">
        <f>IF($B361="","",IF(BC$3=0,"n.b.",INDEX(SRC_ZPMW03!$A$1:$ZZ$501,$A361,BC$3)))</f>
        <v/>
      </c>
      <c r="BD361" s="124" t="str">
        <f>IF($B361="","",IF(BD$3=0,"n.b.",INDEX(SRC_ZPMW03!$A$1:$ZZ$501,$A361,BD$3)))</f>
        <v/>
      </c>
      <c r="BE361" s="124" t="str">
        <f>IF($B361="","",IF(BE$3=0,"n.b.",INDEX(SRC_ZPMW03!$A$1:$ZZ$501,$A361,BE$3)))</f>
        <v/>
      </c>
      <c r="BF361" s="124" t="str">
        <f>IF($B361="","",IF(BF$3=0,"n.b.",INDEX(SRC_ZPMW03!$A$1:$ZZ$501,$A361,BF$3)))</f>
        <v/>
      </c>
      <c r="BG361" t="str">
        <f>IF($B361="","",IF(BG$3=0,"n.b.",INDEX(SRC_ZPMW03!$A$1:$ZZ$501,$A361,BG$3)))</f>
        <v/>
      </c>
      <c r="BH361" t="str">
        <f>IF($B361="","",IF(BH$3=0,"n.b.",INDEX(SRC_ZPMW03!$A$1:$ZZ$501,$A361,BH$3)))</f>
        <v/>
      </c>
      <c r="BI361" t="str">
        <f>IF($B361="","",IF(BI$3=0,"n.b.",INDEX(SRC_ZPMW03!$A$1:$ZZ$501,$A361,BI$3)))</f>
        <v/>
      </c>
      <c r="BJ361" t="str">
        <f>IF($B361="","",IF(BJ$3=0,"n.b.",INDEX(SRC_ZPMW03!$A$1:$ZZ$501,$A361,BJ$3)))</f>
        <v/>
      </c>
      <c r="BK361" s="124" t="str">
        <f>IF($B361="","",IFERROR(-O361,"n.b."))</f>
        <v/>
      </c>
      <c r="BL361" s="124" t="str">
        <f>IF($B361="","",IFERROR(-Q361,"n.b."))</f>
        <v/>
      </c>
      <c r="BM361" s="124" t="str">
        <f>IF($B361="","",IFERROR(-AB361,"n.b."))</f>
        <v/>
      </c>
      <c r="BN361" s="124" t="str">
        <f>IF($B361="","",IFERROR(-AD361,"n.b."))</f>
        <v/>
      </c>
      <c r="BO361" s="124" t="str">
        <f>IF($B361="","",IFERROR(BK361+BM361,"n.b."))</f>
        <v/>
      </c>
      <c r="BP361" s="124" t="str">
        <f>IF($B361="","",IFERROR(BL361+BN361,"n.b."))</f>
        <v/>
      </c>
      <c r="BQ361" s="124" t="str">
        <f>IF($B361="","",IFERROR(-AM361,"n.b."))</f>
        <v/>
      </c>
      <c r="BR361" s="124" t="str">
        <f>IF($B361="","",IFERROR(-AO361,"n.b."))</f>
        <v/>
      </c>
      <c r="BS361" s="124" t="str">
        <f>IF($B361="","",IFERROR(-Z361,"n.b."))</f>
        <v/>
      </c>
      <c r="BT361" s="124" t="str">
        <f>IF($B361="","",IFERROR(-AA361,"n.b."))</f>
        <v/>
      </c>
      <c r="BU361" s="124" t="str">
        <f>IF($B361="","",IFERROR(-AE361,"n.b."))</f>
        <v/>
      </c>
      <c r="BV361" s="124" t="str">
        <f>IF($B361="","",IFERROR(-AF361,"n.b."))</f>
        <v/>
      </c>
      <c r="BW361" s="124" t="str">
        <f>IF($B361="","",IFERROR(-AG361,"n.b."))</f>
        <v/>
      </c>
      <c r="BX361" s="124" t="str">
        <f>IF($B361="","",IFERROR(-AH361,"n.b."))</f>
        <v/>
      </c>
      <c r="BY361" s="124" t="str">
        <f>IF($B361="","",IFERROR(-AI361,"n.b."))</f>
        <v/>
      </c>
      <c r="BZ361" s="124" t="str">
        <f>IF($B361="","",IFERROR(-AJ361,"n.b."))</f>
        <v/>
      </c>
      <c r="CA361" s="124" t="str">
        <f>IF($B361="","",IFERROR(-AK361,"n.b."))</f>
        <v/>
      </c>
      <c r="CB361" s="124" t="str">
        <f>IF($B361="","",IFERROR(-AL361,"n.b."))</f>
        <v/>
      </c>
      <c r="CC361" s="124" t="str">
        <f>IF($B361="","",IFERROR(-AP361,"n.b."))</f>
        <v/>
      </c>
      <c r="CD361" s="124" t="str">
        <f>IF($B361="","",IFERROR(-AQ361,"n.b."))</f>
        <v/>
      </c>
      <c r="CE361" s="124" t="str">
        <f>IF($B361="","",IFERROR(-AR361,"n.b."))</f>
        <v/>
      </c>
      <c r="CF361" s="124" t="str">
        <f>IF($B361="","",IFERROR(-AS361,"n.b."))</f>
        <v/>
      </c>
      <c r="CG361" s="124" t="str">
        <f>IF($B361="","",IFERROR(-AT361,"n.b."))</f>
        <v/>
      </c>
      <c r="CH361" s="124" t="str">
        <f>IF($B361="","",IFERROR(-AU361,"n.b."))</f>
        <v/>
      </c>
      <c r="CI361" s="124" t="str">
        <f>IF($B361="","",IFERROR(-AV361,"n.b."))</f>
        <v/>
      </c>
      <c r="CJ361" s="124" t="str">
        <f>IF($B361="","",IFERROR(-AW361,"n.b."))</f>
        <v/>
      </c>
      <c r="CK361" s="124" t="str">
        <f>IF($B361="","",IFERROR(-AX361,"n.b."))</f>
        <v/>
      </c>
      <c r="CL361" s="124" t="str">
        <f>IF($B361="","",IFERROR(-AY361,"n.b."))</f>
        <v/>
      </c>
      <c r="CM361" s="124" t="str">
        <f>IF($B361="","",IFERROR(-AZ361,"n.b."))</f>
        <v/>
      </c>
      <c r="CN361" s="124" t="str">
        <f>IF($B361="","",IFERROR(-BA361,"n.b."))</f>
        <v/>
      </c>
      <c r="CO361" s="124" t="str">
        <f>IF($B361="","",IFERROR(-BB361,"n.b."))</f>
        <v/>
      </c>
      <c r="CP361" s="124" t="str">
        <f>IF($B361="","",IFERROR(-BC361,"n.b."))</f>
        <v/>
      </c>
      <c r="CQ361" s="124" t="str">
        <f>IF($B361="","",IFERROR(-BD361,"n.b."))</f>
        <v/>
      </c>
      <c r="CR361" s="124" t="str">
        <f>IF($B361="","",IFERROR(-BE361,"n.b."))</f>
        <v/>
      </c>
      <c r="CS361" s="124" t="str">
        <f>IF($B361="","",IFERROR(IF(OR(ABS(T361+V361+X361+Z361-AB361)&gt;P_Tol,ABS(U361+W361+Y361+AA361-AD361)&gt;P_Tol,ABS(AE361+AG361+AI361+AK361-AM361)&gt;P_Tol,ABS(AF361+AH361+AJ361+AL361-AO361)&gt;P_Tol),1,0),1))</f>
        <v/>
      </c>
      <c r="CT361" s="124" t="str">
        <f>IF($B361="","",IFERROR(IF(OR(ABS(AB361+AC361-AD361)&gt;P_Tol,ABS(AM361+AN361-AO361)&gt;P_Tol,ABS(O361+P361-Q361)&gt;P_Tol),1,0),1))</f>
        <v/>
      </c>
      <c r="CU361" s="124" t="str">
        <f>IF($B361="","",IFERROR(IF(ABS(R361-(AB361+AM361+AP361+AR361+AT361+AV361+AX361+AZ361+BB361+BD361))&gt;P_Tol,1,0),1))</f>
        <v/>
      </c>
      <c r="CV361" s="124" t="str">
        <f>IF($B361="","",IFERROR(IF(ABS(M361-(N361+O361+R361))&gt;P_Tol,1,0),1))</f>
        <v/>
      </c>
      <c r="CW361" s="124" t="str">
        <f>IF($B361="","",IF(COUNTIF(Mapping!$A$5:$A$104,B361)&gt;0,1,0))</f>
        <v/>
      </c>
      <c r="CX361" s="124" t="str">
        <f>IF($B361="","",COUNTIF($B$6:$B$505,B361))</f>
        <v/>
      </c>
      <c r="CY361" s="124" t="str">
        <f>IF($B361="","",COUNTIF(STG_Woningetalage!$B$6:$B$505,B361))</f>
        <v/>
      </c>
      <c r="CZ361" s="124" t="str">
        <f>IF($B361="","",IF(CW361=0,COUNTIF($CW$6:CW361,0),""))</f>
        <v/>
      </c>
    </row>
    <row r="362">
      <c r="A362" s="15" t="n">
        <v>358</v>
      </c>
      <c r="B362" t="str">
        <f>IF(B$3=0,"",IF(INDEX(SRC_ZPMW03!$A$1:$ZZ$501,$A362,B$3)&amp;""="","",INDEX(SRC_ZPMW03!$A$1:$ZZ$501,$A362,B$3)&amp;""))</f>
        <v/>
      </c>
      <c r="C362" t="str">
        <f>IF($B362="","",IF(C$3=0,"n.b.",INDEX(SRC_ZPMW03!$A$1:$ZZ$501,$A362,C$3)))</f>
        <v/>
      </c>
      <c r="D362" t="str">
        <f>IF($B362="","",IF(D$3=0,"n.b.",INDEX(SRC_ZPMW03!$A$1:$ZZ$501,$A362,D$3)))</f>
        <v/>
      </c>
      <c r="E362" t="str">
        <f>IF($B362="","",IF(E$3=0,"n.b.",INDEX(SRC_ZPMW03!$A$1:$ZZ$501,$A362,E$3)))</f>
        <v/>
      </c>
      <c r="F362" t="str">
        <f>IF($B362="","",IF(F$3=0,"n.b.",INDEX(SRC_ZPMW03!$A$1:$ZZ$501,$A362,F$3)))</f>
        <v/>
      </c>
      <c r="G362" t="str">
        <f>IF($B362="","",IF(G$3=0,"n.b.",INDEX(SRC_ZPMW03!$A$1:$ZZ$501,$A362,G$3)))</f>
        <v/>
      </c>
      <c r="H362" t="str">
        <f>IF($B362="","",IF(H$3=0,"n.b.",INDEX(SRC_ZPMW03!$A$1:$ZZ$501,$A362,H$3)))</f>
        <v/>
      </c>
      <c r="I362" t="str">
        <f>IF($B362="","",IF(I$3=0,"n.b.",INDEX(SRC_ZPMW03!$A$1:$ZZ$501,$A362,I$3)))</f>
        <v/>
      </c>
      <c r="J362" t="str">
        <f>IF($B362="","",IF(J$3=0,"n.b.",INDEX(SRC_ZPMW03!$A$1:$ZZ$501,$A362,J$3)))</f>
        <v/>
      </c>
      <c r="K362" t="str">
        <f>IF($B362="","",IF(K$3=0,"n.b.",INDEX(SRC_ZPMW03!$A$1:$ZZ$501,$A362,K$3)))</f>
        <v/>
      </c>
      <c r="L362" s="124" t="str">
        <f>IF($B362="","",IF(L$3=0,"n.b.",INDEX(SRC_ZPMW03!$A$1:$ZZ$501,$A362,L$3)))</f>
        <v/>
      </c>
      <c r="M362" s="124" t="str">
        <f>IF($B362="","",IF(M$3=0,"n.b.",INDEX(SRC_ZPMW03!$A$1:$ZZ$501,$A362,M$3)))</f>
        <v/>
      </c>
      <c r="N362" s="124" t="str">
        <f>IF($B362="","",IF(N$3=0,"n.b.",INDEX(SRC_ZPMW03!$A$1:$ZZ$501,$A362,N$3)))</f>
        <v/>
      </c>
      <c r="O362" s="124" t="str">
        <f>IF($B362="","",IF(O$3=0,"n.b.",INDEX(SRC_ZPMW03!$A$1:$ZZ$501,$A362,O$3)))</f>
        <v/>
      </c>
      <c r="P362" s="124" t="str">
        <f>IF($B362="","",IF(P$3=0,"n.b.",INDEX(SRC_ZPMW03!$A$1:$ZZ$501,$A362,P$3)))</f>
        <v/>
      </c>
      <c r="Q362" s="124" t="str">
        <f>IF($B362="","",IF(Q$3=0,"n.b.",INDEX(SRC_ZPMW03!$A$1:$ZZ$501,$A362,Q$3)))</f>
        <v/>
      </c>
      <c r="R362" s="124" t="str">
        <f>IF($B362="","",IF(R$3=0,"n.b.",INDEX(SRC_ZPMW03!$A$1:$ZZ$501,$A362,R$3)))</f>
        <v/>
      </c>
      <c r="S362" s="124" t="str">
        <f>IF($B362="","",IF(S$3=0,"n.b.",INDEX(SRC_ZPMW03!$A$1:$ZZ$501,$A362,S$3)))</f>
        <v/>
      </c>
      <c r="T362" s="124" t="str">
        <f>IF($B362="","",IF(T$3=0,"n.b.",INDEX(SRC_ZPMW03!$A$1:$ZZ$501,$A362,T$3)))</f>
        <v/>
      </c>
      <c r="U362" s="124" t="str">
        <f>IF($B362="","",IF(U$3=0,"n.b.",INDEX(SRC_ZPMW03!$A$1:$ZZ$501,$A362,U$3)))</f>
        <v/>
      </c>
      <c r="V362" s="124" t="str">
        <f>IF($B362="","",IF(V$3=0,"n.b.",INDEX(SRC_ZPMW03!$A$1:$ZZ$501,$A362,V$3)))</f>
        <v/>
      </c>
      <c r="W362" s="124" t="str">
        <f>IF($B362="","",IF(W$3=0,"n.b.",INDEX(SRC_ZPMW03!$A$1:$ZZ$501,$A362,W$3)))</f>
        <v/>
      </c>
      <c r="X362" s="124" t="str">
        <f>IF($B362="","",IF(X$3=0,"n.b.",INDEX(SRC_ZPMW03!$A$1:$ZZ$501,$A362,X$3)))</f>
        <v/>
      </c>
      <c r="Y362" s="124" t="str">
        <f>IF($B362="","",IF(Y$3=0,"n.b.",INDEX(SRC_ZPMW03!$A$1:$ZZ$501,$A362,Y$3)))</f>
        <v/>
      </c>
      <c r="Z362" s="124" t="str">
        <f>IF($B362="","",IF(Z$3=0,"n.b.",INDEX(SRC_ZPMW03!$A$1:$ZZ$501,$A362,Z$3)))</f>
        <v/>
      </c>
      <c r="AA362" s="124" t="str">
        <f>IF($B362="","",IF(AA$3=0,"n.b.",INDEX(SRC_ZPMW03!$A$1:$ZZ$501,$A362,AA$3)))</f>
        <v/>
      </c>
      <c r="AB362" s="124" t="str">
        <f>IF($B362="","",IF(AB$3=0,"n.b.",INDEX(SRC_ZPMW03!$A$1:$ZZ$501,$A362,AB$3)))</f>
        <v/>
      </c>
      <c r="AC362" s="124" t="str">
        <f>IF($B362="","",IF(AC$3=0,"n.b.",INDEX(SRC_ZPMW03!$A$1:$ZZ$501,$A362,AC$3)))</f>
        <v/>
      </c>
      <c r="AD362" s="124" t="str">
        <f>IF($B362="","",IF(AD$3=0,"n.b.",INDEX(SRC_ZPMW03!$A$1:$ZZ$501,$A362,AD$3)))</f>
        <v/>
      </c>
      <c r="AE362" s="124" t="str">
        <f>IF($B362="","",IF(AE$3=0,"n.b.",INDEX(SRC_ZPMW03!$A$1:$ZZ$501,$A362,AE$3)))</f>
        <v/>
      </c>
      <c r="AF362" s="124" t="str">
        <f>IF($B362="","",IF(AF$3=0,"n.b.",INDEX(SRC_ZPMW03!$A$1:$ZZ$501,$A362,AF$3)))</f>
        <v/>
      </c>
      <c r="AG362" s="124" t="str">
        <f>IF($B362="","",IF(AG$3=0,"n.b.",INDEX(SRC_ZPMW03!$A$1:$ZZ$501,$A362,AG$3)))</f>
        <v/>
      </c>
      <c r="AH362" s="124" t="str">
        <f>IF($B362="","",IF(AH$3=0,"n.b.",INDEX(SRC_ZPMW03!$A$1:$ZZ$501,$A362,AH$3)))</f>
        <v/>
      </c>
      <c r="AI362" s="124" t="str">
        <f>IF($B362="","",IF(AI$3=0,"n.b.",INDEX(SRC_ZPMW03!$A$1:$ZZ$501,$A362,AI$3)))</f>
        <v/>
      </c>
      <c r="AJ362" s="124" t="str">
        <f>IF($B362="","",IF(AJ$3=0,"n.b.",INDEX(SRC_ZPMW03!$A$1:$ZZ$501,$A362,AJ$3)))</f>
        <v/>
      </c>
      <c r="AK362" s="124" t="str">
        <f>IF($B362="","",IF(AK$3=0,"n.b.",INDEX(SRC_ZPMW03!$A$1:$ZZ$501,$A362,AK$3)))</f>
        <v/>
      </c>
      <c r="AL362" s="124" t="str">
        <f>IF($B362="","",IF(AL$3=0,"n.b.",INDEX(SRC_ZPMW03!$A$1:$ZZ$501,$A362,AL$3)))</f>
        <v/>
      </c>
      <c r="AM362" s="124" t="str">
        <f>IF($B362="","",IF(AM$3=0,"n.b.",INDEX(SRC_ZPMW03!$A$1:$ZZ$501,$A362,AM$3)))</f>
        <v/>
      </c>
      <c r="AN362" s="124" t="str">
        <f>IF($B362="","",IF(AN$3=0,"n.b.",INDEX(SRC_ZPMW03!$A$1:$ZZ$501,$A362,AN$3)))</f>
        <v/>
      </c>
      <c r="AO362" s="124" t="str">
        <f>IF($B362="","",IF(AO$3=0,"n.b.",INDEX(SRC_ZPMW03!$A$1:$ZZ$501,$A362,AO$3)))</f>
        <v/>
      </c>
      <c r="AP362" s="124" t="str">
        <f>IF($B362="","",IF(AP$3=0,"n.b.",INDEX(SRC_ZPMW03!$A$1:$ZZ$501,$A362,AP$3)))</f>
        <v/>
      </c>
      <c r="AQ362" s="124" t="str">
        <f>IF($B362="","",IF(AQ$3=0,"n.b.",INDEX(SRC_ZPMW03!$A$1:$ZZ$501,$A362,AQ$3)))</f>
        <v/>
      </c>
      <c r="AR362" s="124" t="str">
        <f>IF($B362="","",IF(AR$3=0,"n.b.",INDEX(SRC_ZPMW03!$A$1:$ZZ$501,$A362,AR$3)))</f>
        <v/>
      </c>
      <c r="AS362" s="124" t="str">
        <f>IF($B362="","",IF(AS$3=0,"n.b.",INDEX(SRC_ZPMW03!$A$1:$ZZ$501,$A362,AS$3)))</f>
        <v/>
      </c>
      <c r="AT362" s="124" t="str">
        <f>IF($B362="","",IF(AT$3=0,"n.b.",INDEX(SRC_ZPMW03!$A$1:$ZZ$501,$A362,AT$3)))</f>
        <v/>
      </c>
      <c r="AU362" s="124" t="str">
        <f>IF($B362="","",IF(AU$3=0,"n.b.",INDEX(SRC_ZPMW03!$A$1:$ZZ$501,$A362,AU$3)))</f>
        <v/>
      </c>
      <c r="AV362" s="124" t="str">
        <f>IF($B362="","",IF(AV$3=0,"n.b.",INDEX(SRC_ZPMW03!$A$1:$ZZ$501,$A362,AV$3)))</f>
        <v/>
      </c>
      <c r="AW362" s="124" t="str">
        <f>IF($B362="","",IF(AW$3=0,"n.b.",INDEX(SRC_ZPMW03!$A$1:$ZZ$501,$A362,AW$3)))</f>
        <v/>
      </c>
      <c r="AX362" s="124" t="str">
        <f>IF($B362="","",IF(AX$3=0,"n.b.",INDEX(SRC_ZPMW03!$A$1:$ZZ$501,$A362,AX$3)))</f>
        <v/>
      </c>
      <c r="AY362" s="124" t="str">
        <f>IF($B362="","",IF(AY$3=0,"n.b.",INDEX(SRC_ZPMW03!$A$1:$ZZ$501,$A362,AY$3)))</f>
        <v/>
      </c>
      <c r="AZ362" s="124" t="str">
        <f>IF($B362="","",IF(AZ$3=0,"n.b.",INDEX(SRC_ZPMW03!$A$1:$ZZ$501,$A362,AZ$3)))</f>
        <v/>
      </c>
      <c r="BA362" s="124" t="str">
        <f>IF($B362="","",IF(BA$3=0,"n.b.",INDEX(SRC_ZPMW03!$A$1:$ZZ$501,$A362,BA$3)))</f>
        <v/>
      </c>
      <c r="BB362" s="124" t="str">
        <f>IF($B362="","",IF(BB$3=0,"n.b.",INDEX(SRC_ZPMW03!$A$1:$ZZ$501,$A362,BB$3)))</f>
        <v/>
      </c>
      <c r="BC362" s="124" t="str">
        <f>IF($B362="","",IF(BC$3=0,"n.b.",INDEX(SRC_ZPMW03!$A$1:$ZZ$501,$A362,BC$3)))</f>
        <v/>
      </c>
      <c r="BD362" s="124" t="str">
        <f>IF($B362="","",IF(BD$3=0,"n.b.",INDEX(SRC_ZPMW03!$A$1:$ZZ$501,$A362,BD$3)))</f>
        <v/>
      </c>
      <c r="BE362" s="124" t="str">
        <f>IF($B362="","",IF(BE$3=0,"n.b.",INDEX(SRC_ZPMW03!$A$1:$ZZ$501,$A362,BE$3)))</f>
        <v/>
      </c>
      <c r="BF362" s="124" t="str">
        <f>IF($B362="","",IF(BF$3=0,"n.b.",INDEX(SRC_ZPMW03!$A$1:$ZZ$501,$A362,BF$3)))</f>
        <v/>
      </c>
      <c r="BG362" t="str">
        <f>IF($B362="","",IF(BG$3=0,"n.b.",INDEX(SRC_ZPMW03!$A$1:$ZZ$501,$A362,BG$3)))</f>
        <v/>
      </c>
      <c r="BH362" t="str">
        <f>IF($B362="","",IF(BH$3=0,"n.b.",INDEX(SRC_ZPMW03!$A$1:$ZZ$501,$A362,BH$3)))</f>
        <v/>
      </c>
      <c r="BI362" t="str">
        <f>IF($B362="","",IF(BI$3=0,"n.b.",INDEX(SRC_ZPMW03!$A$1:$ZZ$501,$A362,BI$3)))</f>
        <v/>
      </c>
      <c r="BJ362" t="str">
        <f>IF($B362="","",IF(BJ$3=0,"n.b.",INDEX(SRC_ZPMW03!$A$1:$ZZ$501,$A362,BJ$3)))</f>
        <v/>
      </c>
      <c r="BK362" s="124" t="str">
        <f>IF($B362="","",IFERROR(-O362,"n.b."))</f>
        <v/>
      </c>
      <c r="BL362" s="124" t="str">
        <f>IF($B362="","",IFERROR(-Q362,"n.b."))</f>
        <v/>
      </c>
      <c r="BM362" s="124" t="str">
        <f>IF($B362="","",IFERROR(-AB362,"n.b."))</f>
        <v/>
      </c>
      <c r="BN362" s="124" t="str">
        <f>IF($B362="","",IFERROR(-AD362,"n.b."))</f>
        <v/>
      </c>
      <c r="BO362" s="124" t="str">
        <f>IF($B362="","",IFERROR(BK362+BM362,"n.b."))</f>
        <v/>
      </c>
      <c r="BP362" s="124" t="str">
        <f>IF($B362="","",IFERROR(BL362+BN362,"n.b."))</f>
        <v/>
      </c>
      <c r="BQ362" s="124" t="str">
        <f>IF($B362="","",IFERROR(-AM362,"n.b."))</f>
        <v/>
      </c>
      <c r="BR362" s="124" t="str">
        <f>IF($B362="","",IFERROR(-AO362,"n.b."))</f>
        <v/>
      </c>
      <c r="BS362" s="124" t="str">
        <f>IF($B362="","",IFERROR(-Z362,"n.b."))</f>
        <v/>
      </c>
      <c r="BT362" s="124" t="str">
        <f>IF($B362="","",IFERROR(-AA362,"n.b."))</f>
        <v/>
      </c>
      <c r="BU362" s="124" t="str">
        <f>IF($B362="","",IFERROR(-AE362,"n.b."))</f>
        <v/>
      </c>
      <c r="BV362" s="124" t="str">
        <f>IF($B362="","",IFERROR(-AF362,"n.b."))</f>
        <v/>
      </c>
      <c r="BW362" s="124" t="str">
        <f>IF($B362="","",IFERROR(-AG362,"n.b."))</f>
        <v/>
      </c>
      <c r="BX362" s="124" t="str">
        <f>IF($B362="","",IFERROR(-AH362,"n.b."))</f>
        <v/>
      </c>
      <c r="BY362" s="124" t="str">
        <f>IF($B362="","",IFERROR(-AI362,"n.b."))</f>
        <v/>
      </c>
      <c r="BZ362" s="124" t="str">
        <f>IF($B362="","",IFERROR(-AJ362,"n.b."))</f>
        <v/>
      </c>
      <c r="CA362" s="124" t="str">
        <f>IF($B362="","",IFERROR(-AK362,"n.b."))</f>
        <v/>
      </c>
      <c r="CB362" s="124" t="str">
        <f>IF($B362="","",IFERROR(-AL362,"n.b."))</f>
        <v/>
      </c>
      <c r="CC362" s="124" t="str">
        <f>IF($B362="","",IFERROR(-AP362,"n.b."))</f>
        <v/>
      </c>
      <c r="CD362" s="124" t="str">
        <f>IF($B362="","",IFERROR(-AQ362,"n.b."))</f>
        <v/>
      </c>
      <c r="CE362" s="124" t="str">
        <f>IF($B362="","",IFERROR(-AR362,"n.b."))</f>
        <v/>
      </c>
      <c r="CF362" s="124" t="str">
        <f>IF($B362="","",IFERROR(-AS362,"n.b."))</f>
        <v/>
      </c>
      <c r="CG362" s="124" t="str">
        <f>IF($B362="","",IFERROR(-AT362,"n.b."))</f>
        <v/>
      </c>
      <c r="CH362" s="124" t="str">
        <f>IF($B362="","",IFERROR(-AU362,"n.b."))</f>
        <v/>
      </c>
      <c r="CI362" s="124" t="str">
        <f>IF($B362="","",IFERROR(-AV362,"n.b."))</f>
        <v/>
      </c>
      <c r="CJ362" s="124" t="str">
        <f>IF($B362="","",IFERROR(-AW362,"n.b."))</f>
        <v/>
      </c>
      <c r="CK362" s="124" t="str">
        <f>IF($B362="","",IFERROR(-AX362,"n.b."))</f>
        <v/>
      </c>
      <c r="CL362" s="124" t="str">
        <f>IF($B362="","",IFERROR(-AY362,"n.b."))</f>
        <v/>
      </c>
      <c r="CM362" s="124" t="str">
        <f>IF($B362="","",IFERROR(-AZ362,"n.b."))</f>
        <v/>
      </c>
      <c r="CN362" s="124" t="str">
        <f>IF($B362="","",IFERROR(-BA362,"n.b."))</f>
        <v/>
      </c>
      <c r="CO362" s="124" t="str">
        <f>IF($B362="","",IFERROR(-BB362,"n.b."))</f>
        <v/>
      </c>
      <c r="CP362" s="124" t="str">
        <f>IF($B362="","",IFERROR(-BC362,"n.b."))</f>
        <v/>
      </c>
      <c r="CQ362" s="124" t="str">
        <f>IF($B362="","",IFERROR(-BD362,"n.b."))</f>
        <v/>
      </c>
      <c r="CR362" s="124" t="str">
        <f>IF($B362="","",IFERROR(-BE362,"n.b."))</f>
        <v/>
      </c>
      <c r="CS362" s="124" t="str">
        <f>IF($B362="","",IFERROR(IF(OR(ABS(T362+V362+X362+Z362-AB362)&gt;P_Tol,ABS(U362+W362+Y362+AA362-AD362)&gt;P_Tol,ABS(AE362+AG362+AI362+AK362-AM362)&gt;P_Tol,ABS(AF362+AH362+AJ362+AL362-AO362)&gt;P_Tol),1,0),1))</f>
        <v/>
      </c>
      <c r="CT362" s="124" t="str">
        <f>IF($B362="","",IFERROR(IF(OR(ABS(AB362+AC362-AD362)&gt;P_Tol,ABS(AM362+AN362-AO362)&gt;P_Tol,ABS(O362+P362-Q362)&gt;P_Tol),1,0),1))</f>
        <v/>
      </c>
      <c r="CU362" s="124" t="str">
        <f>IF($B362="","",IFERROR(IF(ABS(R362-(AB362+AM362+AP362+AR362+AT362+AV362+AX362+AZ362+BB362+BD362))&gt;P_Tol,1,0),1))</f>
        <v/>
      </c>
      <c r="CV362" s="124" t="str">
        <f>IF($B362="","",IFERROR(IF(ABS(M362-(N362+O362+R362))&gt;P_Tol,1,0),1))</f>
        <v/>
      </c>
      <c r="CW362" s="124" t="str">
        <f>IF($B362="","",IF(COUNTIF(Mapping!$A$5:$A$104,B362)&gt;0,1,0))</f>
        <v/>
      </c>
      <c r="CX362" s="124" t="str">
        <f>IF($B362="","",COUNTIF($B$6:$B$505,B362))</f>
        <v/>
      </c>
      <c r="CY362" s="124" t="str">
        <f>IF($B362="","",COUNTIF(STG_Woningetalage!$B$6:$B$505,B362))</f>
        <v/>
      </c>
      <c r="CZ362" s="124" t="str">
        <f>IF($B362="","",IF(CW362=0,COUNTIF($CW$6:CW362,0),""))</f>
        <v/>
      </c>
    </row>
    <row r="363">
      <c r="A363" s="15" t="n">
        <v>359</v>
      </c>
      <c r="B363" t="str">
        <f>IF(B$3=0,"",IF(INDEX(SRC_ZPMW03!$A$1:$ZZ$501,$A363,B$3)&amp;""="","",INDEX(SRC_ZPMW03!$A$1:$ZZ$501,$A363,B$3)&amp;""))</f>
        <v/>
      </c>
      <c r="C363" t="str">
        <f>IF($B363="","",IF(C$3=0,"n.b.",INDEX(SRC_ZPMW03!$A$1:$ZZ$501,$A363,C$3)))</f>
        <v/>
      </c>
      <c r="D363" t="str">
        <f>IF($B363="","",IF(D$3=0,"n.b.",INDEX(SRC_ZPMW03!$A$1:$ZZ$501,$A363,D$3)))</f>
        <v/>
      </c>
      <c r="E363" t="str">
        <f>IF($B363="","",IF(E$3=0,"n.b.",INDEX(SRC_ZPMW03!$A$1:$ZZ$501,$A363,E$3)))</f>
        <v/>
      </c>
      <c r="F363" t="str">
        <f>IF($B363="","",IF(F$3=0,"n.b.",INDEX(SRC_ZPMW03!$A$1:$ZZ$501,$A363,F$3)))</f>
        <v/>
      </c>
      <c r="G363" t="str">
        <f>IF($B363="","",IF(G$3=0,"n.b.",INDEX(SRC_ZPMW03!$A$1:$ZZ$501,$A363,G$3)))</f>
        <v/>
      </c>
      <c r="H363" t="str">
        <f>IF($B363="","",IF(H$3=0,"n.b.",INDEX(SRC_ZPMW03!$A$1:$ZZ$501,$A363,H$3)))</f>
        <v/>
      </c>
      <c r="I363" t="str">
        <f>IF($B363="","",IF(I$3=0,"n.b.",INDEX(SRC_ZPMW03!$A$1:$ZZ$501,$A363,I$3)))</f>
        <v/>
      </c>
      <c r="J363" t="str">
        <f>IF($B363="","",IF(J$3=0,"n.b.",INDEX(SRC_ZPMW03!$A$1:$ZZ$501,$A363,J$3)))</f>
        <v/>
      </c>
      <c r="K363" t="str">
        <f>IF($B363="","",IF(K$3=0,"n.b.",INDEX(SRC_ZPMW03!$A$1:$ZZ$501,$A363,K$3)))</f>
        <v/>
      </c>
      <c r="L363" s="124" t="str">
        <f>IF($B363="","",IF(L$3=0,"n.b.",INDEX(SRC_ZPMW03!$A$1:$ZZ$501,$A363,L$3)))</f>
        <v/>
      </c>
      <c r="M363" s="124" t="str">
        <f>IF($B363="","",IF(M$3=0,"n.b.",INDEX(SRC_ZPMW03!$A$1:$ZZ$501,$A363,M$3)))</f>
        <v/>
      </c>
      <c r="N363" s="124" t="str">
        <f>IF($B363="","",IF(N$3=0,"n.b.",INDEX(SRC_ZPMW03!$A$1:$ZZ$501,$A363,N$3)))</f>
        <v/>
      </c>
      <c r="O363" s="124" t="str">
        <f>IF($B363="","",IF(O$3=0,"n.b.",INDEX(SRC_ZPMW03!$A$1:$ZZ$501,$A363,O$3)))</f>
        <v/>
      </c>
      <c r="P363" s="124" t="str">
        <f>IF($B363="","",IF(P$3=0,"n.b.",INDEX(SRC_ZPMW03!$A$1:$ZZ$501,$A363,P$3)))</f>
        <v/>
      </c>
      <c r="Q363" s="124" t="str">
        <f>IF($B363="","",IF(Q$3=0,"n.b.",INDEX(SRC_ZPMW03!$A$1:$ZZ$501,$A363,Q$3)))</f>
        <v/>
      </c>
      <c r="R363" s="124" t="str">
        <f>IF($B363="","",IF(R$3=0,"n.b.",INDEX(SRC_ZPMW03!$A$1:$ZZ$501,$A363,R$3)))</f>
        <v/>
      </c>
      <c r="S363" s="124" t="str">
        <f>IF($B363="","",IF(S$3=0,"n.b.",INDEX(SRC_ZPMW03!$A$1:$ZZ$501,$A363,S$3)))</f>
        <v/>
      </c>
      <c r="T363" s="124" t="str">
        <f>IF($B363="","",IF(T$3=0,"n.b.",INDEX(SRC_ZPMW03!$A$1:$ZZ$501,$A363,T$3)))</f>
        <v/>
      </c>
      <c r="U363" s="124" t="str">
        <f>IF($B363="","",IF(U$3=0,"n.b.",INDEX(SRC_ZPMW03!$A$1:$ZZ$501,$A363,U$3)))</f>
        <v/>
      </c>
      <c r="V363" s="124" t="str">
        <f>IF($B363="","",IF(V$3=0,"n.b.",INDEX(SRC_ZPMW03!$A$1:$ZZ$501,$A363,V$3)))</f>
        <v/>
      </c>
      <c r="W363" s="124" t="str">
        <f>IF($B363="","",IF(W$3=0,"n.b.",INDEX(SRC_ZPMW03!$A$1:$ZZ$501,$A363,W$3)))</f>
        <v/>
      </c>
      <c r="X363" s="124" t="str">
        <f>IF($B363="","",IF(X$3=0,"n.b.",INDEX(SRC_ZPMW03!$A$1:$ZZ$501,$A363,X$3)))</f>
        <v/>
      </c>
      <c r="Y363" s="124" t="str">
        <f>IF($B363="","",IF(Y$3=0,"n.b.",INDEX(SRC_ZPMW03!$A$1:$ZZ$501,$A363,Y$3)))</f>
        <v/>
      </c>
      <c r="Z363" s="124" t="str">
        <f>IF($B363="","",IF(Z$3=0,"n.b.",INDEX(SRC_ZPMW03!$A$1:$ZZ$501,$A363,Z$3)))</f>
        <v/>
      </c>
      <c r="AA363" s="124" t="str">
        <f>IF($B363="","",IF(AA$3=0,"n.b.",INDEX(SRC_ZPMW03!$A$1:$ZZ$501,$A363,AA$3)))</f>
        <v/>
      </c>
      <c r="AB363" s="124" t="str">
        <f>IF($B363="","",IF(AB$3=0,"n.b.",INDEX(SRC_ZPMW03!$A$1:$ZZ$501,$A363,AB$3)))</f>
        <v/>
      </c>
      <c r="AC363" s="124" t="str">
        <f>IF($B363="","",IF(AC$3=0,"n.b.",INDEX(SRC_ZPMW03!$A$1:$ZZ$501,$A363,AC$3)))</f>
        <v/>
      </c>
      <c r="AD363" s="124" t="str">
        <f>IF($B363="","",IF(AD$3=0,"n.b.",INDEX(SRC_ZPMW03!$A$1:$ZZ$501,$A363,AD$3)))</f>
        <v/>
      </c>
      <c r="AE363" s="124" t="str">
        <f>IF($B363="","",IF(AE$3=0,"n.b.",INDEX(SRC_ZPMW03!$A$1:$ZZ$501,$A363,AE$3)))</f>
        <v/>
      </c>
      <c r="AF363" s="124" t="str">
        <f>IF($B363="","",IF(AF$3=0,"n.b.",INDEX(SRC_ZPMW03!$A$1:$ZZ$501,$A363,AF$3)))</f>
        <v/>
      </c>
      <c r="AG363" s="124" t="str">
        <f>IF($B363="","",IF(AG$3=0,"n.b.",INDEX(SRC_ZPMW03!$A$1:$ZZ$501,$A363,AG$3)))</f>
        <v/>
      </c>
      <c r="AH363" s="124" t="str">
        <f>IF($B363="","",IF(AH$3=0,"n.b.",INDEX(SRC_ZPMW03!$A$1:$ZZ$501,$A363,AH$3)))</f>
        <v/>
      </c>
      <c r="AI363" s="124" t="str">
        <f>IF($B363="","",IF(AI$3=0,"n.b.",INDEX(SRC_ZPMW03!$A$1:$ZZ$501,$A363,AI$3)))</f>
        <v/>
      </c>
      <c r="AJ363" s="124" t="str">
        <f>IF($B363="","",IF(AJ$3=0,"n.b.",INDEX(SRC_ZPMW03!$A$1:$ZZ$501,$A363,AJ$3)))</f>
        <v/>
      </c>
      <c r="AK363" s="124" t="str">
        <f>IF($B363="","",IF(AK$3=0,"n.b.",INDEX(SRC_ZPMW03!$A$1:$ZZ$501,$A363,AK$3)))</f>
        <v/>
      </c>
      <c r="AL363" s="124" t="str">
        <f>IF($B363="","",IF(AL$3=0,"n.b.",INDEX(SRC_ZPMW03!$A$1:$ZZ$501,$A363,AL$3)))</f>
        <v/>
      </c>
      <c r="AM363" s="124" t="str">
        <f>IF($B363="","",IF(AM$3=0,"n.b.",INDEX(SRC_ZPMW03!$A$1:$ZZ$501,$A363,AM$3)))</f>
        <v/>
      </c>
      <c r="AN363" s="124" t="str">
        <f>IF($B363="","",IF(AN$3=0,"n.b.",INDEX(SRC_ZPMW03!$A$1:$ZZ$501,$A363,AN$3)))</f>
        <v/>
      </c>
      <c r="AO363" s="124" t="str">
        <f>IF($B363="","",IF(AO$3=0,"n.b.",INDEX(SRC_ZPMW03!$A$1:$ZZ$501,$A363,AO$3)))</f>
        <v/>
      </c>
      <c r="AP363" s="124" t="str">
        <f>IF($B363="","",IF(AP$3=0,"n.b.",INDEX(SRC_ZPMW03!$A$1:$ZZ$501,$A363,AP$3)))</f>
        <v/>
      </c>
      <c r="AQ363" s="124" t="str">
        <f>IF($B363="","",IF(AQ$3=0,"n.b.",INDEX(SRC_ZPMW03!$A$1:$ZZ$501,$A363,AQ$3)))</f>
        <v/>
      </c>
      <c r="AR363" s="124" t="str">
        <f>IF($B363="","",IF(AR$3=0,"n.b.",INDEX(SRC_ZPMW03!$A$1:$ZZ$501,$A363,AR$3)))</f>
        <v/>
      </c>
      <c r="AS363" s="124" t="str">
        <f>IF($B363="","",IF(AS$3=0,"n.b.",INDEX(SRC_ZPMW03!$A$1:$ZZ$501,$A363,AS$3)))</f>
        <v/>
      </c>
      <c r="AT363" s="124" t="str">
        <f>IF($B363="","",IF(AT$3=0,"n.b.",INDEX(SRC_ZPMW03!$A$1:$ZZ$501,$A363,AT$3)))</f>
        <v/>
      </c>
      <c r="AU363" s="124" t="str">
        <f>IF($B363="","",IF(AU$3=0,"n.b.",INDEX(SRC_ZPMW03!$A$1:$ZZ$501,$A363,AU$3)))</f>
        <v/>
      </c>
      <c r="AV363" s="124" t="str">
        <f>IF($B363="","",IF(AV$3=0,"n.b.",INDEX(SRC_ZPMW03!$A$1:$ZZ$501,$A363,AV$3)))</f>
        <v/>
      </c>
      <c r="AW363" s="124" t="str">
        <f>IF($B363="","",IF(AW$3=0,"n.b.",INDEX(SRC_ZPMW03!$A$1:$ZZ$501,$A363,AW$3)))</f>
        <v/>
      </c>
      <c r="AX363" s="124" t="str">
        <f>IF($B363="","",IF(AX$3=0,"n.b.",INDEX(SRC_ZPMW03!$A$1:$ZZ$501,$A363,AX$3)))</f>
        <v/>
      </c>
      <c r="AY363" s="124" t="str">
        <f>IF($B363="","",IF(AY$3=0,"n.b.",INDEX(SRC_ZPMW03!$A$1:$ZZ$501,$A363,AY$3)))</f>
        <v/>
      </c>
      <c r="AZ363" s="124" t="str">
        <f>IF($B363="","",IF(AZ$3=0,"n.b.",INDEX(SRC_ZPMW03!$A$1:$ZZ$501,$A363,AZ$3)))</f>
        <v/>
      </c>
      <c r="BA363" s="124" t="str">
        <f>IF($B363="","",IF(BA$3=0,"n.b.",INDEX(SRC_ZPMW03!$A$1:$ZZ$501,$A363,BA$3)))</f>
        <v/>
      </c>
      <c r="BB363" s="124" t="str">
        <f>IF($B363="","",IF(BB$3=0,"n.b.",INDEX(SRC_ZPMW03!$A$1:$ZZ$501,$A363,BB$3)))</f>
        <v/>
      </c>
      <c r="BC363" s="124" t="str">
        <f>IF($B363="","",IF(BC$3=0,"n.b.",INDEX(SRC_ZPMW03!$A$1:$ZZ$501,$A363,BC$3)))</f>
        <v/>
      </c>
      <c r="BD363" s="124" t="str">
        <f>IF($B363="","",IF(BD$3=0,"n.b.",INDEX(SRC_ZPMW03!$A$1:$ZZ$501,$A363,BD$3)))</f>
        <v/>
      </c>
      <c r="BE363" s="124" t="str">
        <f>IF($B363="","",IF(BE$3=0,"n.b.",INDEX(SRC_ZPMW03!$A$1:$ZZ$501,$A363,BE$3)))</f>
        <v/>
      </c>
      <c r="BF363" s="124" t="str">
        <f>IF($B363="","",IF(BF$3=0,"n.b.",INDEX(SRC_ZPMW03!$A$1:$ZZ$501,$A363,BF$3)))</f>
        <v/>
      </c>
      <c r="BG363" t="str">
        <f>IF($B363="","",IF(BG$3=0,"n.b.",INDEX(SRC_ZPMW03!$A$1:$ZZ$501,$A363,BG$3)))</f>
        <v/>
      </c>
      <c r="BH363" t="str">
        <f>IF($B363="","",IF(BH$3=0,"n.b.",INDEX(SRC_ZPMW03!$A$1:$ZZ$501,$A363,BH$3)))</f>
        <v/>
      </c>
      <c r="BI363" t="str">
        <f>IF($B363="","",IF(BI$3=0,"n.b.",INDEX(SRC_ZPMW03!$A$1:$ZZ$501,$A363,BI$3)))</f>
        <v/>
      </c>
      <c r="BJ363" t="str">
        <f>IF($B363="","",IF(BJ$3=0,"n.b.",INDEX(SRC_ZPMW03!$A$1:$ZZ$501,$A363,BJ$3)))</f>
        <v/>
      </c>
      <c r="BK363" s="124" t="str">
        <f>IF($B363="","",IFERROR(-O363,"n.b."))</f>
        <v/>
      </c>
      <c r="BL363" s="124" t="str">
        <f>IF($B363="","",IFERROR(-Q363,"n.b."))</f>
        <v/>
      </c>
      <c r="BM363" s="124" t="str">
        <f>IF($B363="","",IFERROR(-AB363,"n.b."))</f>
        <v/>
      </c>
      <c r="BN363" s="124" t="str">
        <f>IF($B363="","",IFERROR(-AD363,"n.b."))</f>
        <v/>
      </c>
      <c r="BO363" s="124" t="str">
        <f>IF($B363="","",IFERROR(BK363+BM363,"n.b."))</f>
        <v/>
      </c>
      <c r="BP363" s="124" t="str">
        <f>IF($B363="","",IFERROR(BL363+BN363,"n.b."))</f>
        <v/>
      </c>
      <c r="BQ363" s="124" t="str">
        <f>IF($B363="","",IFERROR(-AM363,"n.b."))</f>
        <v/>
      </c>
      <c r="BR363" s="124" t="str">
        <f>IF($B363="","",IFERROR(-AO363,"n.b."))</f>
        <v/>
      </c>
      <c r="BS363" s="124" t="str">
        <f>IF($B363="","",IFERROR(-Z363,"n.b."))</f>
        <v/>
      </c>
      <c r="BT363" s="124" t="str">
        <f>IF($B363="","",IFERROR(-AA363,"n.b."))</f>
        <v/>
      </c>
      <c r="BU363" s="124" t="str">
        <f>IF($B363="","",IFERROR(-AE363,"n.b."))</f>
        <v/>
      </c>
      <c r="BV363" s="124" t="str">
        <f>IF($B363="","",IFERROR(-AF363,"n.b."))</f>
        <v/>
      </c>
      <c r="BW363" s="124" t="str">
        <f>IF($B363="","",IFERROR(-AG363,"n.b."))</f>
        <v/>
      </c>
      <c r="BX363" s="124" t="str">
        <f>IF($B363="","",IFERROR(-AH363,"n.b."))</f>
        <v/>
      </c>
      <c r="BY363" s="124" t="str">
        <f>IF($B363="","",IFERROR(-AI363,"n.b."))</f>
        <v/>
      </c>
      <c r="BZ363" s="124" t="str">
        <f>IF($B363="","",IFERROR(-AJ363,"n.b."))</f>
        <v/>
      </c>
      <c r="CA363" s="124" t="str">
        <f>IF($B363="","",IFERROR(-AK363,"n.b."))</f>
        <v/>
      </c>
      <c r="CB363" s="124" t="str">
        <f>IF($B363="","",IFERROR(-AL363,"n.b."))</f>
        <v/>
      </c>
      <c r="CC363" s="124" t="str">
        <f>IF($B363="","",IFERROR(-AP363,"n.b."))</f>
        <v/>
      </c>
      <c r="CD363" s="124" t="str">
        <f>IF($B363="","",IFERROR(-AQ363,"n.b."))</f>
        <v/>
      </c>
      <c r="CE363" s="124" t="str">
        <f>IF($B363="","",IFERROR(-AR363,"n.b."))</f>
        <v/>
      </c>
      <c r="CF363" s="124" t="str">
        <f>IF($B363="","",IFERROR(-AS363,"n.b."))</f>
        <v/>
      </c>
      <c r="CG363" s="124" t="str">
        <f>IF($B363="","",IFERROR(-AT363,"n.b."))</f>
        <v/>
      </c>
      <c r="CH363" s="124" t="str">
        <f>IF($B363="","",IFERROR(-AU363,"n.b."))</f>
        <v/>
      </c>
      <c r="CI363" s="124" t="str">
        <f>IF($B363="","",IFERROR(-AV363,"n.b."))</f>
        <v/>
      </c>
      <c r="CJ363" s="124" t="str">
        <f>IF($B363="","",IFERROR(-AW363,"n.b."))</f>
        <v/>
      </c>
      <c r="CK363" s="124" t="str">
        <f>IF($B363="","",IFERROR(-AX363,"n.b."))</f>
        <v/>
      </c>
      <c r="CL363" s="124" t="str">
        <f>IF($B363="","",IFERROR(-AY363,"n.b."))</f>
        <v/>
      </c>
      <c r="CM363" s="124" t="str">
        <f>IF($B363="","",IFERROR(-AZ363,"n.b."))</f>
        <v/>
      </c>
      <c r="CN363" s="124" t="str">
        <f>IF($B363="","",IFERROR(-BA363,"n.b."))</f>
        <v/>
      </c>
      <c r="CO363" s="124" t="str">
        <f>IF($B363="","",IFERROR(-BB363,"n.b."))</f>
        <v/>
      </c>
      <c r="CP363" s="124" t="str">
        <f>IF($B363="","",IFERROR(-BC363,"n.b."))</f>
        <v/>
      </c>
      <c r="CQ363" s="124" t="str">
        <f>IF($B363="","",IFERROR(-BD363,"n.b."))</f>
        <v/>
      </c>
      <c r="CR363" s="124" t="str">
        <f>IF($B363="","",IFERROR(-BE363,"n.b."))</f>
        <v/>
      </c>
      <c r="CS363" s="124" t="str">
        <f>IF($B363="","",IFERROR(IF(OR(ABS(T363+V363+X363+Z363-AB363)&gt;P_Tol,ABS(U363+W363+Y363+AA363-AD363)&gt;P_Tol,ABS(AE363+AG363+AI363+AK363-AM363)&gt;P_Tol,ABS(AF363+AH363+AJ363+AL363-AO363)&gt;P_Tol),1,0),1))</f>
        <v/>
      </c>
      <c r="CT363" s="124" t="str">
        <f>IF($B363="","",IFERROR(IF(OR(ABS(AB363+AC363-AD363)&gt;P_Tol,ABS(AM363+AN363-AO363)&gt;P_Tol,ABS(O363+P363-Q363)&gt;P_Tol),1,0),1))</f>
        <v/>
      </c>
      <c r="CU363" s="124" t="str">
        <f>IF($B363="","",IFERROR(IF(ABS(R363-(AB363+AM363+AP363+AR363+AT363+AV363+AX363+AZ363+BB363+BD363))&gt;P_Tol,1,0),1))</f>
        <v/>
      </c>
      <c r="CV363" s="124" t="str">
        <f>IF($B363="","",IFERROR(IF(ABS(M363-(N363+O363+R363))&gt;P_Tol,1,0),1))</f>
        <v/>
      </c>
      <c r="CW363" s="124" t="str">
        <f>IF($B363="","",IF(COUNTIF(Mapping!$A$5:$A$104,B363)&gt;0,1,0))</f>
        <v/>
      </c>
      <c r="CX363" s="124" t="str">
        <f>IF($B363="","",COUNTIF($B$6:$B$505,B363))</f>
        <v/>
      </c>
      <c r="CY363" s="124" t="str">
        <f>IF($B363="","",COUNTIF(STG_Woningetalage!$B$6:$B$505,B363))</f>
        <v/>
      </c>
      <c r="CZ363" s="124" t="str">
        <f>IF($B363="","",IF(CW363=0,COUNTIF($CW$6:CW363,0),""))</f>
        <v/>
      </c>
    </row>
    <row r="364">
      <c r="A364" s="15" t="n">
        <v>360</v>
      </c>
      <c r="B364" t="str">
        <f>IF(B$3=0,"",IF(INDEX(SRC_ZPMW03!$A$1:$ZZ$501,$A364,B$3)&amp;""="","",INDEX(SRC_ZPMW03!$A$1:$ZZ$501,$A364,B$3)&amp;""))</f>
        <v/>
      </c>
      <c r="C364" t="str">
        <f>IF($B364="","",IF(C$3=0,"n.b.",INDEX(SRC_ZPMW03!$A$1:$ZZ$501,$A364,C$3)))</f>
        <v/>
      </c>
      <c r="D364" t="str">
        <f>IF($B364="","",IF(D$3=0,"n.b.",INDEX(SRC_ZPMW03!$A$1:$ZZ$501,$A364,D$3)))</f>
        <v/>
      </c>
      <c r="E364" t="str">
        <f>IF($B364="","",IF(E$3=0,"n.b.",INDEX(SRC_ZPMW03!$A$1:$ZZ$501,$A364,E$3)))</f>
        <v/>
      </c>
      <c r="F364" t="str">
        <f>IF($B364="","",IF(F$3=0,"n.b.",INDEX(SRC_ZPMW03!$A$1:$ZZ$501,$A364,F$3)))</f>
        <v/>
      </c>
      <c r="G364" t="str">
        <f>IF($B364="","",IF(G$3=0,"n.b.",INDEX(SRC_ZPMW03!$A$1:$ZZ$501,$A364,G$3)))</f>
        <v/>
      </c>
      <c r="H364" t="str">
        <f>IF($B364="","",IF(H$3=0,"n.b.",INDEX(SRC_ZPMW03!$A$1:$ZZ$501,$A364,H$3)))</f>
        <v/>
      </c>
      <c r="I364" t="str">
        <f>IF($B364="","",IF(I$3=0,"n.b.",INDEX(SRC_ZPMW03!$A$1:$ZZ$501,$A364,I$3)))</f>
        <v/>
      </c>
      <c r="J364" t="str">
        <f>IF($B364="","",IF(J$3=0,"n.b.",INDEX(SRC_ZPMW03!$A$1:$ZZ$501,$A364,J$3)))</f>
        <v/>
      </c>
      <c r="K364" t="str">
        <f>IF($B364="","",IF(K$3=0,"n.b.",INDEX(SRC_ZPMW03!$A$1:$ZZ$501,$A364,K$3)))</f>
        <v/>
      </c>
      <c r="L364" s="124" t="str">
        <f>IF($B364="","",IF(L$3=0,"n.b.",INDEX(SRC_ZPMW03!$A$1:$ZZ$501,$A364,L$3)))</f>
        <v/>
      </c>
      <c r="M364" s="124" t="str">
        <f>IF($B364="","",IF(M$3=0,"n.b.",INDEX(SRC_ZPMW03!$A$1:$ZZ$501,$A364,M$3)))</f>
        <v/>
      </c>
      <c r="N364" s="124" t="str">
        <f>IF($B364="","",IF(N$3=0,"n.b.",INDEX(SRC_ZPMW03!$A$1:$ZZ$501,$A364,N$3)))</f>
        <v/>
      </c>
      <c r="O364" s="124" t="str">
        <f>IF($B364="","",IF(O$3=0,"n.b.",INDEX(SRC_ZPMW03!$A$1:$ZZ$501,$A364,O$3)))</f>
        <v/>
      </c>
      <c r="P364" s="124" t="str">
        <f>IF($B364="","",IF(P$3=0,"n.b.",INDEX(SRC_ZPMW03!$A$1:$ZZ$501,$A364,P$3)))</f>
        <v/>
      </c>
      <c r="Q364" s="124" t="str">
        <f>IF($B364="","",IF(Q$3=0,"n.b.",INDEX(SRC_ZPMW03!$A$1:$ZZ$501,$A364,Q$3)))</f>
        <v/>
      </c>
      <c r="R364" s="124" t="str">
        <f>IF($B364="","",IF(R$3=0,"n.b.",INDEX(SRC_ZPMW03!$A$1:$ZZ$501,$A364,R$3)))</f>
        <v/>
      </c>
      <c r="S364" s="124" t="str">
        <f>IF($B364="","",IF(S$3=0,"n.b.",INDEX(SRC_ZPMW03!$A$1:$ZZ$501,$A364,S$3)))</f>
        <v/>
      </c>
      <c r="T364" s="124" t="str">
        <f>IF($B364="","",IF(T$3=0,"n.b.",INDEX(SRC_ZPMW03!$A$1:$ZZ$501,$A364,T$3)))</f>
        <v/>
      </c>
      <c r="U364" s="124" t="str">
        <f>IF($B364="","",IF(U$3=0,"n.b.",INDEX(SRC_ZPMW03!$A$1:$ZZ$501,$A364,U$3)))</f>
        <v/>
      </c>
      <c r="V364" s="124" t="str">
        <f>IF($B364="","",IF(V$3=0,"n.b.",INDEX(SRC_ZPMW03!$A$1:$ZZ$501,$A364,V$3)))</f>
        <v/>
      </c>
      <c r="W364" s="124" t="str">
        <f>IF($B364="","",IF(W$3=0,"n.b.",INDEX(SRC_ZPMW03!$A$1:$ZZ$501,$A364,W$3)))</f>
        <v/>
      </c>
      <c r="X364" s="124" t="str">
        <f>IF($B364="","",IF(X$3=0,"n.b.",INDEX(SRC_ZPMW03!$A$1:$ZZ$501,$A364,X$3)))</f>
        <v/>
      </c>
      <c r="Y364" s="124" t="str">
        <f>IF($B364="","",IF(Y$3=0,"n.b.",INDEX(SRC_ZPMW03!$A$1:$ZZ$501,$A364,Y$3)))</f>
        <v/>
      </c>
      <c r="Z364" s="124" t="str">
        <f>IF($B364="","",IF(Z$3=0,"n.b.",INDEX(SRC_ZPMW03!$A$1:$ZZ$501,$A364,Z$3)))</f>
        <v/>
      </c>
      <c r="AA364" s="124" t="str">
        <f>IF($B364="","",IF(AA$3=0,"n.b.",INDEX(SRC_ZPMW03!$A$1:$ZZ$501,$A364,AA$3)))</f>
        <v/>
      </c>
      <c r="AB364" s="124" t="str">
        <f>IF($B364="","",IF(AB$3=0,"n.b.",INDEX(SRC_ZPMW03!$A$1:$ZZ$501,$A364,AB$3)))</f>
        <v/>
      </c>
      <c r="AC364" s="124" t="str">
        <f>IF($B364="","",IF(AC$3=0,"n.b.",INDEX(SRC_ZPMW03!$A$1:$ZZ$501,$A364,AC$3)))</f>
        <v/>
      </c>
      <c r="AD364" s="124" t="str">
        <f>IF($B364="","",IF(AD$3=0,"n.b.",INDEX(SRC_ZPMW03!$A$1:$ZZ$501,$A364,AD$3)))</f>
        <v/>
      </c>
      <c r="AE364" s="124" t="str">
        <f>IF($B364="","",IF(AE$3=0,"n.b.",INDEX(SRC_ZPMW03!$A$1:$ZZ$501,$A364,AE$3)))</f>
        <v/>
      </c>
      <c r="AF364" s="124" t="str">
        <f>IF($B364="","",IF(AF$3=0,"n.b.",INDEX(SRC_ZPMW03!$A$1:$ZZ$501,$A364,AF$3)))</f>
        <v/>
      </c>
      <c r="AG364" s="124" t="str">
        <f>IF($B364="","",IF(AG$3=0,"n.b.",INDEX(SRC_ZPMW03!$A$1:$ZZ$501,$A364,AG$3)))</f>
        <v/>
      </c>
      <c r="AH364" s="124" t="str">
        <f>IF($B364="","",IF(AH$3=0,"n.b.",INDEX(SRC_ZPMW03!$A$1:$ZZ$501,$A364,AH$3)))</f>
        <v/>
      </c>
      <c r="AI364" s="124" t="str">
        <f>IF($B364="","",IF(AI$3=0,"n.b.",INDEX(SRC_ZPMW03!$A$1:$ZZ$501,$A364,AI$3)))</f>
        <v/>
      </c>
      <c r="AJ364" s="124" t="str">
        <f>IF($B364="","",IF(AJ$3=0,"n.b.",INDEX(SRC_ZPMW03!$A$1:$ZZ$501,$A364,AJ$3)))</f>
        <v/>
      </c>
      <c r="AK364" s="124" t="str">
        <f>IF($B364="","",IF(AK$3=0,"n.b.",INDEX(SRC_ZPMW03!$A$1:$ZZ$501,$A364,AK$3)))</f>
        <v/>
      </c>
      <c r="AL364" s="124" t="str">
        <f>IF($B364="","",IF(AL$3=0,"n.b.",INDEX(SRC_ZPMW03!$A$1:$ZZ$501,$A364,AL$3)))</f>
        <v/>
      </c>
      <c r="AM364" s="124" t="str">
        <f>IF($B364="","",IF(AM$3=0,"n.b.",INDEX(SRC_ZPMW03!$A$1:$ZZ$501,$A364,AM$3)))</f>
        <v/>
      </c>
      <c r="AN364" s="124" t="str">
        <f>IF($B364="","",IF(AN$3=0,"n.b.",INDEX(SRC_ZPMW03!$A$1:$ZZ$501,$A364,AN$3)))</f>
        <v/>
      </c>
      <c r="AO364" s="124" t="str">
        <f>IF($B364="","",IF(AO$3=0,"n.b.",INDEX(SRC_ZPMW03!$A$1:$ZZ$501,$A364,AO$3)))</f>
        <v/>
      </c>
      <c r="AP364" s="124" t="str">
        <f>IF($B364="","",IF(AP$3=0,"n.b.",INDEX(SRC_ZPMW03!$A$1:$ZZ$501,$A364,AP$3)))</f>
        <v/>
      </c>
      <c r="AQ364" s="124" t="str">
        <f>IF($B364="","",IF(AQ$3=0,"n.b.",INDEX(SRC_ZPMW03!$A$1:$ZZ$501,$A364,AQ$3)))</f>
        <v/>
      </c>
      <c r="AR364" s="124" t="str">
        <f>IF($B364="","",IF(AR$3=0,"n.b.",INDEX(SRC_ZPMW03!$A$1:$ZZ$501,$A364,AR$3)))</f>
        <v/>
      </c>
      <c r="AS364" s="124" t="str">
        <f>IF($B364="","",IF(AS$3=0,"n.b.",INDEX(SRC_ZPMW03!$A$1:$ZZ$501,$A364,AS$3)))</f>
        <v/>
      </c>
      <c r="AT364" s="124" t="str">
        <f>IF($B364="","",IF(AT$3=0,"n.b.",INDEX(SRC_ZPMW03!$A$1:$ZZ$501,$A364,AT$3)))</f>
        <v/>
      </c>
      <c r="AU364" s="124" t="str">
        <f>IF($B364="","",IF(AU$3=0,"n.b.",INDEX(SRC_ZPMW03!$A$1:$ZZ$501,$A364,AU$3)))</f>
        <v/>
      </c>
      <c r="AV364" s="124" t="str">
        <f>IF($B364="","",IF(AV$3=0,"n.b.",INDEX(SRC_ZPMW03!$A$1:$ZZ$501,$A364,AV$3)))</f>
        <v/>
      </c>
      <c r="AW364" s="124" t="str">
        <f>IF($B364="","",IF(AW$3=0,"n.b.",INDEX(SRC_ZPMW03!$A$1:$ZZ$501,$A364,AW$3)))</f>
        <v/>
      </c>
      <c r="AX364" s="124" t="str">
        <f>IF($B364="","",IF(AX$3=0,"n.b.",INDEX(SRC_ZPMW03!$A$1:$ZZ$501,$A364,AX$3)))</f>
        <v/>
      </c>
      <c r="AY364" s="124" t="str">
        <f>IF($B364="","",IF(AY$3=0,"n.b.",INDEX(SRC_ZPMW03!$A$1:$ZZ$501,$A364,AY$3)))</f>
        <v/>
      </c>
      <c r="AZ364" s="124" t="str">
        <f>IF($B364="","",IF(AZ$3=0,"n.b.",INDEX(SRC_ZPMW03!$A$1:$ZZ$501,$A364,AZ$3)))</f>
        <v/>
      </c>
      <c r="BA364" s="124" t="str">
        <f>IF($B364="","",IF(BA$3=0,"n.b.",INDEX(SRC_ZPMW03!$A$1:$ZZ$501,$A364,BA$3)))</f>
        <v/>
      </c>
      <c r="BB364" s="124" t="str">
        <f>IF($B364="","",IF(BB$3=0,"n.b.",INDEX(SRC_ZPMW03!$A$1:$ZZ$501,$A364,BB$3)))</f>
        <v/>
      </c>
      <c r="BC364" s="124" t="str">
        <f>IF($B364="","",IF(BC$3=0,"n.b.",INDEX(SRC_ZPMW03!$A$1:$ZZ$501,$A364,BC$3)))</f>
        <v/>
      </c>
      <c r="BD364" s="124" t="str">
        <f>IF($B364="","",IF(BD$3=0,"n.b.",INDEX(SRC_ZPMW03!$A$1:$ZZ$501,$A364,BD$3)))</f>
        <v/>
      </c>
      <c r="BE364" s="124" t="str">
        <f>IF($B364="","",IF(BE$3=0,"n.b.",INDEX(SRC_ZPMW03!$A$1:$ZZ$501,$A364,BE$3)))</f>
        <v/>
      </c>
      <c r="BF364" s="124" t="str">
        <f>IF($B364="","",IF(BF$3=0,"n.b.",INDEX(SRC_ZPMW03!$A$1:$ZZ$501,$A364,BF$3)))</f>
        <v/>
      </c>
      <c r="BG364" t="str">
        <f>IF($B364="","",IF(BG$3=0,"n.b.",INDEX(SRC_ZPMW03!$A$1:$ZZ$501,$A364,BG$3)))</f>
        <v/>
      </c>
      <c r="BH364" t="str">
        <f>IF($B364="","",IF(BH$3=0,"n.b.",INDEX(SRC_ZPMW03!$A$1:$ZZ$501,$A364,BH$3)))</f>
        <v/>
      </c>
      <c r="BI364" t="str">
        <f>IF($B364="","",IF(BI$3=0,"n.b.",INDEX(SRC_ZPMW03!$A$1:$ZZ$501,$A364,BI$3)))</f>
        <v/>
      </c>
      <c r="BJ364" t="str">
        <f>IF($B364="","",IF(BJ$3=0,"n.b.",INDEX(SRC_ZPMW03!$A$1:$ZZ$501,$A364,BJ$3)))</f>
        <v/>
      </c>
      <c r="BK364" s="124" t="str">
        <f>IF($B364="","",IFERROR(-O364,"n.b."))</f>
        <v/>
      </c>
      <c r="BL364" s="124" t="str">
        <f>IF($B364="","",IFERROR(-Q364,"n.b."))</f>
        <v/>
      </c>
      <c r="BM364" s="124" t="str">
        <f>IF($B364="","",IFERROR(-AB364,"n.b."))</f>
        <v/>
      </c>
      <c r="BN364" s="124" t="str">
        <f>IF($B364="","",IFERROR(-AD364,"n.b."))</f>
        <v/>
      </c>
      <c r="BO364" s="124" t="str">
        <f>IF($B364="","",IFERROR(BK364+BM364,"n.b."))</f>
        <v/>
      </c>
      <c r="BP364" s="124" t="str">
        <f>IF($B364="","",IFERROR(BL364+BN364,"n.b."))</f>
        <v/>
      </c>
      <c r="BQ364" s="124" t="str">
        <f>IF($B364="","",IFERROR(-AM364,"n.b."))</f>
        <v/>
      </c>
      <c r="BR364" s="124" t="str">
        <f>IF($B364="","",IFERROR(-AO364,"n.b."))</f>
        <v/>
      </c>
      <c r="BS364" s="124" t="str">
        <f>IF($B364="","",IFERROR(-Z364,"n.b."))</f>
        <v/>
      </c>
      <c r="BT364" s="124" t="str">
        <f>IF($B364="","",IFERROR(-AA364,"n.b."))</f>
        <v/>
      </c>
      <c r="BU364" s="124" t="str">
        <f>IF($B364="","",IFERROR(-AE364,"n.b."))</f>
        <v/>
      </c>
      <c r="BV364" s="124" t="str">
        <f>IF($B364="","",IFERROR(-AF364,"n.b."))</f>
        <v/>
      </c>
      <c r="BW364" s="124" t="str">
        <f>IF($B364="","",IFERROR(-AG364,"n.b."))</f>
        <v/>
      </c>
      <c r="BX364" s="124" t="str">
        <f>IF($B364="","",IFERROR(-AH364,"n.b."))</f>
        <v/>
      </c>
      <c r="BY364" s="124" t="str">
        <f>IF($B364="","",IFERROR(-AI364,"n.b."))</f>
        <v/>
      </c>
      <c r="BZ364" s="124" t="str">
        <f>IF($B364="","",IFERROR(-AJ364,"n.b."))</f>
        <v/>
      </c>
      <c r="CA364" s="124" t="str">
        <f>IF($B364="","",IFERROR(-AK364,"n.b."))</f>
        <v/>
      </c>
      <c r="CB364" s="124" t="str">
        <f>IF($B364="","",IFERROR(-AL364,"n.b."))</f>
        <v/>
      </c>
      <c r="CC364" s="124" t="str">
        <f>IF($B364="","",IFERROR(-AP364,"n.b."))</f>
        <v/>
      </c>
      <c r="CD364" s="124" t="str">
        <f>IF($B364="","",IFERROR(-AQ364,"n.b."))</f>
        <v/>
      </c>
      <c r="CE364" s="124" t="str">
        <f>IF($B364="","",IFERROR(-AR364,"n.b."))</f>
        <v/>
      </c>
      <c r="CF364" s="124" t="str">
        <f>IF($B364="","",IFERROR(-AS364,"n.b."))</f>
        <v/>
      </c>
      <c r="CG364" s="124" t="str">
        <f>IF($B364="","",IFERROR(-AT364,"n.b."))</f>
        <v/>
      </c>
      <c r="CH364" s="124" t="str">
        <f>IF($B364="","",IFERROR(-AU364,"n.b."))</f>
        <v/>
      </c>
      <c r="CI364" s="124" t="str">
        <f>IF($B364="","",IFERROR(-AV364,"n.b."))</f>
        <v/>
      </c>
      <c r="CJ364" s="124" t="str">
        <f>IF($B364="","",IFERROR(-AW364,"n.b."))</f>
        <v/>
      </c>
      <c r="CK364" s="124" t="str">
        <f>IF($B364="","",IFERROR(-AX364,"n.b."))</f>
        <v/>
      </c>
      <c r="CL364" s="124" t="str">
        <f>IF($B364="","",IFERROR(-AY364,"n.b."))</f>
        <v/>
      </c>
      <c r="CM364" s="124" t="str">
        <f>IF($B364="","",IFERROR(-AZ364,"n.b."))</f>
        <v/>
      </c>
      <c r="CN364" s="124" t="str">
        <f>IF($B364="","",IFERROR(-BA364,"n.b."))</f>
        <v/>
      </c>
      <c r="CO364" s="124" t="str">
        <f>IF($B364="","",IFERROR(-BB364,"n.b."))</f>
        <v/>
      </c>
      <c r="CP364" s="124" t="str">
        <f>IF($B364="","",IFERROR(-BC364,"n.b."))</f>
        <v/>
      </c>
      <c r="CQ364" s="124" t="str">
        <f>IF($B364="","",IFERROR(-BD364,"n.b."))</f>
        <v/>
      </c>
      <c r="CR364" s="124" t="str">
        <f>IF($B364="","",IFERROR(-BE364,"n.b."))</f>
        <v/>
      </c>
      <c r="CS364" s="124" t="str">
        <f>IF($B364="","",IFERROR(IF(OR(ABS(T364+V364+X364+Z364-AB364)&gt;P_Tol,ABS(U364+W364+Y364+AA364-AD364)&gt;P_Tol,ABS(AE364+AG364+AI364+AK364-AM364)&gt;P_Tol,ABS(AF364+AH364+AJ364+AL364-AO364)&gt;P_Tol),1,0),1))</f>
        <v/>
      </c>
      <c r="CT364" s="124" t="str">
        <f>IF($B364="","",IFERROR(IF(OR(ABS(AB364+AC364-AD364)&gt;P_Tol,ABS(AM364+AN364-AO364)&gt;P_Tol,ABS(O364+P364-Q364)&gt;P_Tol),1,0),1))</f>
        <v/>
      </c>
      <c r="CU364" s="124" t="str">
        <f>IF($B364="","",IFERROR(IF(ABS(R364-(AB364+AM364+AP364+AR364+AT364+AV364+AX364+AZ364+BB364+BD364))&gt;P_Tol,1,0),1))</f>
        <v/>
      </c>
      <c r="CV364" s="124" t="str">
        <f>IF($B364="","",IFERROR(IF(ABS(M364-(N364+O364+R364))&gt;P_Tol,1,0),1))</f>
        <v/>
      </c>
      <c r="CW364" s="124" t="str">
        <f>IF($B364="","",IF(COUNTIF(Mapping!$A$5:$A$104,B364)&gt;0,1,0))</f>
        <v/>
      </c>
      <c r="CX364" s="124" t="str">
        <f>IF($B364="","",COUNTIF($B$6:$B$505,B364))</f>
        <v/>
      </c>
      <c r="CY364" s="124" t="str">
        <f>IF($B364="","",COUNTIF(STG_Woningetalage!$B$6:$B$505,B364))</f>
        <v/>
      </c>
      <c r="CZ364" s="124" t="str">
        <f>IF($B364="","",IF(CW364=0,COUNTIF($CW$6:CW364,0),""))</f>
        <v/>
      </c>
    </row>
    <row r="365">
      <c r="A365" s="15" t="n">
        <v>361</v>
      </c>
      <c r="B365" t="str">
        <f>IF(B$3=0,"",IF(INDEX(SRC_ZPMW03!$A$1:$ZZ$501,$A365,B$3)&amp;""="","",INDEX(SRC_ZPMW03!$A$1:$ZZ$501,$A365,B$3)&amp;""))</f>
        <v/>
      </c>
      <c r="C365" t="str">
        <f>IF($B365="","",IF(C$3=0,"n.b.",INDEX(SRC_ZPMW03!$A$1:$ZZ$501,$A365,C$3)))</f>
        <v/>
      </c>
      <c r="D365" t="str">
        <f>IF($B365="","",IF(D$3=0,"n.b.",INDEX(SRC_ZPMW03!$A$1:$ZZ$501,$A365,D$3)))</f>
        <v/>
      </c>
      <c r="E365" t="str">
        <f>IF($B365="","",IF(E$3=0,"n.b.",INDEX(SRC_ZPMW03!$A$1:$ZZ$501,$A365,E$3)))</f>
        <v/>
      </c>
      <c r="F365" t="str">
        <f>IF($B365="","",IF(F$3=0,"n.b.",INDEX(SRC_ZPMW03!$A$1:$ZZ$501,$A365,F$3)))</f>
        <v/>
      </c>
      <c r="G365" t="str">
        <f>IF($B365="","",IF(G$3=0,"n.b.",INDEX(SRC_ZPMW03!$A$1:$ZZ$501,$A365,G$3)))</f>
        <v/>
      </c>
      <c r="H365" t="str">
        <f>IF($B365="","",IF(H$3=0,"n.b.",INDEX(SRC_ZPMW03!$A$1:$ZZ$501,$A365,H$3)))</f>
        <v/>
      </c>
      <c r="I365" t="str">
        <f>IF($B365="","",IF(I$3=0,"n.b.",INDEX(SRC_ZPMW03!$A$1:$ZZ$501,$A365,I$3)))</f>
        <v/>
      </c>
      <c r="J365" t="str">
        <f>IF($B365="","",IF(J$3=0,"n.b.",INDEX(SRC_ZPMW03!$A$1:$ZZ$501,$A365,J$3)))</f>
        <v/>
      </c>
      <c r="K365" t="str">
        <f>IF($B365="","",IF(K$3=0,"n.b.",INDEX(SRC_ZPMW03!$A$1:$ZZ$501,$A365,K$3)))</f>
        <v/>
      </c>
      <c r="L365" s="124" t="str">
        <f>IF($B365="","",IF(L$3=0,"n.b.",INDEX(SRC_ZPMW03!$A$1:$ZZ$501,$A365,L$3)))</f>
        <v/>
      </c>
      <c r="M365" s="124" t="str">
        <f>IF($B365="","",IF(M$3=0,"n.b.",INDEX(SRC_ZPMW03!$A$1:$ZZ$501,$A365,M$3)))</f>
        <v/>
      </c>
      <c r="N365" s="124" t="str">
        <f>IF($B365="","",IF(N$3=0,"n.b.",INDEX(SRC_ZPMW03!$A$1:$ZZ$501,$A365,N$3)))</f>
        <v/>
      </c>
      <c r="O365" s="124" t="str">
        <f>IF($B365="","",IF(O$3=0,"n.b.",INDEX(SRC_ZPMW03!$A$1:$ZZ$501,$A365,O$3)))</f>
        <v/>
      </c>
      <c r="P365" s="124" t="str">
        <f>IF($B365="","",IF(P$3=0,"n.b.",INDEX(SRC_ZPMW03!$A$1:$ZZ$501,$A365,P$3)))</f>
        <v/>
      </c>
      <c r="Q365" s="124" t="str">
        <f>IF($B365="","",IF(Q$3=0,"n.b.",INDEX(SRC_ZPMW03!$A$1:$ZZ$501,$A365,Q$3)))</f>
        <v/>
      </c>
      <c r="R365" s="124" t="str">
        <f>IF($B365="","",IF(R$3=0,"n.b.",INDEX(SRC_ZPMW03!$A$1:$ZZ$501,$A365,R$3)))</f>
        <v/>
      </c>
      <c r="S365" s="124" t="str">
        <f>IF($B365="","",IF(S$3=0,"n.b.",INDEX(SRC_ZPMW03!$A$1:$ZZ$501,$A365,S$3)))</f>
        <v/>
      </c>
      <c r="T365" s="124" t="str">
        <f>IF($B365="","",IF(T$3=0,"n.b.",INDEX(SRC_ZPMW03!$A$1:$ZZ$501,$A365,T$3)))</f>
        <v/>
      </c>
      <c r="U365" s="124" t="str">
        <f>IF($B365="","",IF(U$3=0,"n.b.",INDEX(SRC_ZPMW03!$A$1:$ZZ$501,$A365,U$3)))</f>
        <v/>
      </c>
      <c r="V365" s="124" t="str">
        <f>IF($B365="","",IF(V$3=0,"n.b.",INDEX(SRC_ZPMW03!$A$1:$ZZ$501,$A365,V$3)))</f>
        <v/>
      </c>
      <c r="W365" s="124" t="str">
        <f>IF($B365="","",IF(W$3=0,"n.b.",INDEX(SRC_ZPMW03!$A$1:$ZZ$501,$A365,W$3)))</f>
        <v/>
      </c>
      <c r="X365" s="124" t="str">
        <f>IF($B365="","",IF(X$3=0,"n.b.",INDEX(SRC_ZPMW03!$A$1:$ZZ$501,$A365,X$3)))</f>
        <v/>
      </c>
      <c r="Y365" s="124" t="str">
        <f>IF($B365="","",IF(Y$3=0,"n.b.",INDEX(SRC_ZPMW03!$A$1:$ZZ$501,$A365,Y$3)))</f>
        <v/>
      </c>
      <c r="Z365" s="124" t="str">
        <f>IF($B365="","",IF(Z$3=0,"n.b.",INDEX(SRC_ZPMW03!$A$1:$ZZ$501,$A365,Z$3)))</f>
        <v/>
      </c>
      <c r="AA365" s="124" t="str">
        <f>IF($B365="","",IF(AA$3=0,"n.b.",INDEX(SRC_ZPMW03!$A$1:$ZZ$501,$A365,AA$3)))</f>
        <v/>
      </c>
      <c r="AB365" s="124" t="str">
        <f>IF($B365="","",IF(AB$3=0,"n.b.",INDEX(SRC_ZPMW03!$A$1:$ZZ$501,$A365,AB$3)))</f>
        <v/>
      </c>
      <c r="AC365" s="124" t="str">
        <f>IF($B365="","",IF(AC$3=0,"n.b.",INDEX(SRC_ZPMW03!$A$1:$ZZ$501,$A365,AC$3)))</f>
        <v/>
      </c>
      <c r="AD365" s="124" t="str">
        <f>IF($B365="","",IF(AD$3=0,"n.b.",INDEX(SRC_ZPMW03!$A$1:$ZZ$501,$A365,AD$3)))</f>
        <v/>
      </c>
      <c r="AE365" s="124" t="str">
        <f>IF($B365="","",IF(AE$3=0,"n.b.",INDEX(SRC_ZPMW03!$A$1:$ZZ$501,$A365,AE$3)))</f>
        <v/>
      </c>
      <c r="AF365" s="124" t="str">
        <f>IF($B365="","",IF(AF$3=0,"n.b.",INDEX(SRC_ZPMW03!$A$1:$ZZ$501,$A365,AF$3)))</f>
        <v/>
      </c>
      <c r="AG365" s="124" t="str">
        <f>IF($B365="","",IF(AG$3=0,"n.b.",INDEX(SRC_ZPMW03!$A$1:$ZZ$501,$A365,AG$3)))</f>
        <v/>
      </c>
      <c r="AH365" s="124" t="str">
        <f>IF($B365="","",IF(AH$3=0,"n.b.",INDEX(SRC_ZPMW03!$A$1:$ZZ$501,$A365,AH$3)))</f>
        <v/>
      </c>
      <c r="AI365" s="124" t="str">
        <f>IF($B365="","",IF(AI$3=0,"n.b.",INDEX(SRC_ZPMW03!$A$1:$ZZ$501,$A365,AI$3)))</f>
        <v/>
      </c>
      <c r="AJ365" s="124" t="str">
        <f>IF($B365="","",IF(AJ$3=0,"n.b.",INDEX(SRC_ZPMW03!$A$1:$ZZ$501,$A365,AJ$3)))</f>
        <v/>
      </c>
      <c r="AK365" s="124" t="str">
        <f>IF($B365="","",IF(AK$3=0,"n.b.",INDEX(SRC_ZPMW03!$A$1:$ZZ$501,$A365,AK$3)))</f>
        <v/>
      </c>
      <c r="AL365" s="124" t="str">
        <f>IF($B365="","",IF(AL$3=0,"n.b.",INDEX(SRC_ZPMW03!$A$1:$ZZ$501,$A365,AL$3)))</f>
        <v/>
      </c>
      <c r="AM365" s="124" t="str">
        <f>IF($B365="","",IF(AM$3=0,"n.b.",INDEX(SRC_ZPMW03!$A$1:$ZZ$501,$A365,AM$3)))</f>
        <v/>
      </c>
      <c r="AN365" s="124" t="str">
        <f>IF($B365="","",IF(AN$3=0,"n.b.",INDEX(SRC_ZPMW03!$A$1:$ZZ$501,$A365,AN$3)))</f>
        <v/>
      </c>
      <c r="AO365" s="124" t="str">
        <f>IF($B365="","",IF(AO$3=0,"n.b.",INDEX(SRC_ZPMW03!$A$1:$ZZ$501,$A365,AO$3)))</f>
        <v/>
      </c>
      <c r="AP365" s="124" t="str">
        <f>IF($B365="","",IF(AP$3=0,"n.b.",INDEX(SRC_ZPMW03!$A$1:$ZZ$501,$A365,AP$3)))</f>
        <v/>
      </c>
      <c r="AQ365" s="124" t="str">
        <f>IF($B365="","",IF(AQ$3=0,"n.b.",INDEX(SRC_ZPMW03!$A$1:$ZZ$501,$A365,AQ$3)))</f>
        <v/>
      </c>
      <c r="AR365" s="124" t="str">
        <f>IF($B365="","",IF(AR$3=0,"n.b.",INDEX(SRC_ZPMW03!$A$1:$ZZ$501,$A365,AR$3)))</f>
        <v/>
      </c>
      <c r="AS365" s="124" t="str">
        <f>IF($B365="","",IF(AS$3=0,"n.b.",INDEX(SRC_ZPMW03!$A$1:$ZZ$501,$A365,AS$3)))</f>
        <v/>
      </c>
      <c r="AT365" s="124" t="str">
        <f>IF($B365="","",IF(AT$3=0,"n.b.",INDEX(SRC_ZPMW03!$A$1:$ZZ$501,$A365,AT$3)))</f>
        <v/>
      </c>
      <c r="AU365" s="124" t="str">
        <f>IF($B365="","",IF(AU$3=0,"n.b.",INDEX(SRC_ZPMW03!$A$1:$ZZ$501,$A365,AU$3)))</f>
        <v/>
      </c>
      <c r="AV365" s="124" t="str">
        <f>IF($B365="","",IF(AV$3=0,"n.b.",INDEX(SRC_ZPMW03!$A$1:$ZZ$501,$A365,AV$3)))</f>
        <v/>
      </c>
      <c r="AW365" s="124" t="str">
        <f>IF($B365="","",IF(AW$3=0,"n.b.",INDEX(SRC_ZPMW03!$A$1:$ZZ$501,$A365,AW$3)))</f>
        <v/>
      </c>
      <c r="AX365" s="124" t="str">
        <f>IF($B365="","",IF(AX$3=0,"n.b.",INDEX(SRC_ZPMW03!$A$1:$ZZ$501,$A365,AX$3)))</f>
        <v/>
      </c>
      <c r="AY365" s="124" t="str">
        <f>IF($B365="","",IF(AY$3=0,"n.b.",INDEX(SRC_ZPMW03!$A$1:$ZZ$501,$A365,AY$3)))</f>
        <v/>
      </c>
      <c r="AZ365" s="124" t="str">
        <f>IF($B365="","",IF(AZ$3=0,"n.b.",INDEX(SRC_ZPMW03!$A$1:$ZZ$501,$A365,AZ$3)))</f>
        <v/>
      </c>
      <c r="BA365" s="124" t="str">
        <f>IF($B365="","",IF(BA$3=0,"n.b.",INDEX(SRC_ZPMW03!$A$1:$ZZ$501,$A365,BA$3)))</f>
        <v/>
      </c>
      <c r="BB365" s="124" t="str">
        <f>IF($B365="","",IF(BB$3=0,"n.b.",INDEX(SRC_ZPMW03!$A$1:$ZZ$501,$A365,BB$3)))</f>
        <v/>
      </c>
      <c r="BC365" s="124" t="str">
        <f>IF($B365="","",IF(BC$3=0,"n.b.",INDEX(SRC_ZPMW03!$A$1:$ZZ$501,$A365,BC$3)))</f>
        <v/>
      </c>
      <c r="BD365" s="124" t="str">
        <f>IF($B365="","",IF(BD$3=0,"n.b.",INDEX(SRC_ZPMW03!$A$1:$ZZ$501,$A365,BD$3)))</f>
        <v/>
      </c>
      <c r="BE365" s="124" t="str">
        <f>IF($B365="","",IF(BE$3=0,"n.b.",INDEX(SRC_ZPMW03!$A$1:$ZZ$501,$A365,BE$3)))</f>
        <v/>
      </c>
      <c r="BF365" s="124" t="str">
        <f>IF($B365="","",IF(BF$3=0,"n.b.",INDEX(SRC_ZPMW03!$A$1:$ZZ$501,$A365,BF$3)))</f>
        <v/>
      </c>
      <c r="BG365" t="str">
        <f>IF($B365="","",IF(BG$3=0,"n.b.",INDEX(SRC_ZPMW03!$A$1:$ZZ$501,$A365,BG$3)))</f>
        <v/>
      </c>
      <c r="BH365" t="str">
        <f>IF($B365="","",IF(BH$3=0,"n.b.",INDEX(SRC_ZPMW03!$A$1:$ZZ$501,$A365,BH$3)))</f>
        <v/>
      </c>
      <c r="BI365" t="str">
        <f>IF($B365="","",IF(BI$3=0,"n.b.",INDEX(SRC_ZPMW03!$A$1:$ZZ$501,$A365,BI$3)))</f>
        <v/>
      </c>
      <c r="BJ365" t="str">
        <f>IF($B365="","",IF(BJ$3=0,"n.b.",INDEX(SRC_ZPMW03!$A$1:$ZZ$501,$A365,BJ$3)))</f>
        <v/>
      </c>
      <c r="BK365" s="124" t="str">
        <f>IF($B365="","",IFERROR(-O365,"n.b."))</f>
        <v/>
      </c>
      <c r="BL365" s="124" t="str">
        <f>IF($B365="","",IFERROR(-Q365,"n.b."))</f>
        <v/>
      </c>
      <c r="BM365" s="124" t="str">
        <f>IF($B365="","",IFERROR(-AB365,"n.b."))</f>
        <v/>
      </c>
      <c r="BN365" s="124" t="str">
        <f>IF($B365="","",IFERROR(-AD365,"n.b."))</f>
        <v/>
      </c>
      <c r="BO365" s="124" t="str">
        <f>IF($B365="","",IFERROR(BK365+BM365,"n.b."))</f>
        <v/>
      </c>
      <c r="BP365" s="124" t="str">
        <f>IF($B365="","",IFERROR(BL365+BN365,"n.b."))</f>
        <v/>
      </c>
      <c r="BQ365" s="124" t="str">
        <f>IF($B365="","",IFERROR(-AM365,"n.b."))</f>
        <v/>
      </c>
      <c r="BR365" s="124" t="str">
        <f>IF($B365="","",IFERROR(-AO365,"n.b."))</f>
        <v/>
      </c>
      <c r="BS365" s="124" t="str">
        <f>IF($B365="","",IFERROR(-Z365,"n.b."))</f>
        <v/>
      </c>
      <c r="BT365" s="124" t="str">
        <f>IF($B365="","",IFERROR(-AA365,"n.b."))</f>
        <v/>
      </c>
      <c r="BU365" s="124" t="str">
        <f>IF($B365="","",IFERROR(-AE365,"n.b."))</f>
        <v/>
      </c>
      <c r="BV365" s="124" t="str">
        <f>IF($B365="","",IFERROR(-AF365,"n.b."))</f>
        <v/>
      </c>
      <c r="BW365" s="124" t="str">
        <f>IF($B365="","",IFERROR(-AG365,"n.b."))</f>
        <v/>
      </c>
      <c r="BX365" s="124" t="str">
        <f>IF($B365="","",IFERROR(-AH365,"n.b."))</f>
        <v/>
      </c>
      <c r="BY365" s="124" t="str">
        <f>IF($B365="","",IFERROR(-AI365,"n.b."))</f>
        <v/>
      </c>
      <c r="BZ365" s="124" t="str">
        <f>IF($B365="","",IFERROR(-AJ365,"n.b."))</f>
        <v/>
      </c>
      <c r="CA365" s="124" t="str">
        <f>IF($B365="","",IFERROR(-AK365,"n.b."))</f>
        <v/>
      </c>
      <c r="CB365" s="124" t="str">
        <f>IF($B365="","",IFERROR(-AL365,"n.b."))</f>
        <v/>
      </c>
      <c r="CC365" s="124" t="str">
        <f>IF($B365="","",IFERROR(-AP365,"n.b."))</f>
        <v/>
      </c>
      <c r="CD365" s="124" t="str">
        <f>IF($B365="","",IFERROR(-AQ365,"n.b."))</f>
        <v/>
      </c>
      <c r="CE365" s="124" t="str">
        <f>IF($B365="","",IFERROR(-AR365,"n.b."))</f>
        <v/>
      </c>
      <c r="CF365" s="124" t="str">
        <f>IF($B365="","",IFERROR(-AS365,"n.b."))</f>
        <v/>
      </c>
      <c r="CG365" s="124" t="str">
        <f>IF($B365="","",IFERROR(-AT365,"n.b."))</f>
        <v/>
      </c>
      <c r="CH365" s="124" t="str">
        <f>IF($B365="","",IFERROR(-AU365,"n.b."))</f>
        <v/>
      </c>
      <c r="CI365" s="124" t="str">
        <f>IF($B365="","",IFERROR(-AV365,"n.b."))</f>
        <v/>
      </c>
      <c r="CJ365" s="124" t="str">
        <f>IF($B365="","",IFERROR(-AW365,"n.b."))</f>
        <v/>
      </c>
      <c r="CK365" s="124" t="str">
        <f>IF($B365="","",IFERROR(-AX365,"n.b."))</f>
        <v/>
      </c>
      <c r="CL365" s="124" t="str">
        <f>IF($B365="","",IFERROR(-AY365,"n.b."))</f>
        <v/>
      </c>
      <c r="CM365" s="124" t="str">
        <f>IF($B365="","",IFERROR(-AZ365,"n.b."))</f>
        <v/>
      </c>
      <c r="CN365" s="124" t="str">
        <f>IF($B365="","",IFERROR(-BA365,"n.b."))</f>
        <v/>
      </c>
      <c r="CO365" s="124" t="str">
        <f>IF($B365="","",IFERROR(-BB365,"n.b."))</f>
        <v/>
      </c>
      <c r="CP365" s="124" t="str">
        <f>IF($B365="","",IFERROR(-BC365,"n.b."))</f>
        <v/>
      </c>
      <c r="CQ365" s="124" t="str">
        <f>IF($B365="","",IFERROR(-BD365,"n.b."))</f>
        <v/>
      </c>
      <c r="CR365" s="124" t="str">
        <f>IF($B365="","",IFERROR(-BE365,"n.b."))</f>
        <v/>
      </c>
      <c r="CS365" s="124" t="str">
        <f>IF($B365="","",IFERROR(IF(OR(ABS(T365+V365+X365+Z365-AB365)&gt;P_Tol,ABS(U365+W365+Y365+AA365-AD365)&gt;P_Tol,ABS(AE365+AG365+AI365+AK365-AM365)&gt;P_Tol,ABS(AF365+AH365+AJ365+AL365-AO365)&gt;P_Tol),1,0),1))</f>
        <v/>
      </c>
      <c r="CT365" s="124" t="str">
        <f>IF($B365="","",IFERROR(IF(OR(ABS(AB365+AC365-AD365)&gt;P_Tol,ABS(AM365+AN365-AO365)&gt;P_Tol,ABS(O365+P365-Q365)&gt;P_Tol),1,0),1))</f>
        <v/>
      </c>
      <c r="CU365" s="124" t="str">
        <f>IF($B365="","",IFERROR(IF(ABS(R365-(AB365+AM365+AP365+AR365+AT365+AV365+AX365+AZ365+BB365+BD365))&gt;P_Tol,1,0),1))</f>
        <v/>
      </c>
      <c r="CV365" s="124" t="str">
        <f>IF($B365="","",IFERROR(IF(ABS(M365-(N365+O365+R365))&gt;P_Tol,1,0),1))</f>
        <v/>
      </c>
      <c r="CW365" s="124" t="str">
        <f>IF($B365="","",IF(COUNTIF(Mapping!$A$5:$A$104,B365)&gt;0,1,0))</f>
        <v/>
      </c>
      <c r="CX365" s="124" t="str">
        <f>IF($B365="","",COUNTIF($B$6:$B$505,B365))</f>
        <v/>
      </c>
      <c r="CY365" s="124" t="str">
        <f>IF($B365="","",COUNTIF(STG_Woningetalage!$B$6:$B$505,B365))</f>
        <v/>
      </c>
      <c r="CZ365" s="124" t="str">
        <f>IF($B365="","",IF(CW365=0,COUNTIF($CW$6:CW365,0),""))</f>
        <v/>
      </c>
    </row>
    <row r="366">
      <c r="A366" s="15" t="n">
        <v>362</v>
      </c>
      <c r="B366" t="str">
        <f>IF(B$3=0,"",IF(INDEX(SRC_ZPMW03!$A$1:$ZZ$501,$A366,B$3)&amp;""="","",INDEX(SRC_ZPMW03!$A$1:$ZZ$501,$A366,B$3)&amp;""))</f>
        <v/>
      </c>
      <c r="C366" t="str">
        <f>IF($B366="","",IF(C$3=0,"n.b.",INDEX(SRC_ZPMW03!$A$1:$ZZ$501,$A366,C$3)))</f>
        <v/>
      </c>
      <c r="D366" t="str">
        <f>IF($B366="","",IF(D$3=0,"n.b.",INDEX(SRC_ZPMW03!$A$1:$ZZ$501,$A366,D$3)))</f>
        <v/>
      </c>
      <c r="E366" t="str">
        <f>IF($B366="","",IF(E$3=0,"n.b.",INDEX(SRC_ZPMW03!$A$1:$ZZ$501,$A366,E$3)))</f>
        <v/>
      </c>
      <c r="F366" t="str">
        <f>IF($B366="","",IF(F$3=0,"n.b.",INDEX(SRC_ZPMW03!$A$1:$ZZ$501,$A366,F$3)))</f>
        <v/>
      </c>
      <c r="G366" t="str">
        <f>IF($B366="","",IF(G$3=0,"n.b.",INDEX(SRC_ZPMW03!$A$1:$ZZ$501,$A366,G$3)))</f>
        <v/>
      </c>
      <c r="H366" t="str">
        <f>IF($B366="","",IF(H$3=0,"n.b.",INDEX(SRC_ZPMW03!$A$1:$ZZ$501,$A366,H$3)))</f>
        <v/>
      </c>
      <c r="I366" t="str">
        <f>IF($B366="","",IF(I$3=0,"n.b.",INDEX(SRC_ZPMW03!$A$1:$ZZ$501,$A366,I$3)))</f>
        <v/>
      </c>
      <c r="J366" t="str">
        <f>IF($B366="","",IF(J$3=0,"n.b.",INDEX(SRC_ZPMW03!$A$1:$ZZ$501,$A366,J$3)))</f>
        <v/>
      </c>
      <c r="K366" t="str">
        <f>IF($B366="","",IF(K$3=0,"n.b.",INDEX(SRC_ZPMW03!$A$1:$ZZ$501,$A366,K$3)))</f>
        <v/>
      </c>
      <c r="L366" s="124" t="str">
        <f>IF($B366="","",IF(L$3=0,"n.b.",INDEX(SRC_ZPMW03!$A$1:$ZZ$501,$A366,L$3)))</f>
        <v/>
      </c>
      <c r="M366" s="124" t="str">
        <f>IF($B366="","",IF(M$3=0,"n.b.",INDEX(SRC_ZPMW03!$A$1:$ZZ$501,$A366,M$3)))</f>
        <v/>
      </c>
      <c r="N366" s="124" t="str">
        <f>IF($B366="","",IF(N$3=0,"n.b.",INDEX(SRC_ZPMW03!$A$1:$ZZ$501,$A366,N$3)))</f>
        <v/>
      </c>
      <c r="O366" s="124" t="str">
        <f>IF($B366="","",IF(O$3=0,"n.b.",INDEX(SRC_ZPMW03!$A$1:$ZZ$501,$A366,O$3)))</f>
        <v/>
      </c>
      <c r="P366" s="124" t="str">
        <f>IF($B366="","",IF(P$3=0,"n.b.",INDEX(SRC_ZPMW03!$A$1:$ZZ$501,$A366,P$3)))</f>
        <v/>
      </c>
      <c r="Q366" s="124" t="str">
        <f>IF($B366="","",IF(Q$3=0,"n.b.",INDEX(SRC_ZPMW03!$A$1:$ZZ$501,$A366,Q$3)))</f>
        <v/>
      </c>
      <c r="R366" s="124" t="str">
        <f>IF($B366="","",IF(R$3=0,"n.b.",INDEX(SRC_ZPMW03!$A$1:$ZZ$501,$A366,R$3)))</f>
        <v/>
      </c>
      <c r="S366" s="124" t="str">
        <f>IF($B366="","",IF(S$3=0,"n.b.",INDEX(SRC_ZPMW03!$A$1:$ZZ$501,$A366,S$3)))</f>
        <v/>
      </c>
      <c r="T366" s="124" t="str">
        <f>IF($B366="","",IF(T$3=0,"n.b.",INDEX(SRC_ZPMW03!$A$1:$ZZ$501,$A366,T$3)))</f>
        <v/>
      </c>
      <c r="U366" s="124" t="str">
        <f>IF($B366="","",IF(U$3=0,"n.b.",INDEX(SRC_ZPMW03!$A$1:$ZZ$501,$A366,U$3)))</f>
        <v/>
      </c>
      <c r="V366" s="124" t="str">
        <f>IF($B366="","",IF(V$3=0,"n.b.",INDEX(SRC_ZPMW03!$A$1:$ZZ$501,$A366,V$3)))</f>
        <v/>
      </c>
      <c r="W366" s="124" t="str">
        <f>IF($B366="","",IF(W$3=0,"n.b.",INDEX(SRC_ZPMW03!$A$1:$ZZ$501,$A366,W$3)))</f>
        <v/>
      </c>
      <c r="X366" s="124" t="str">
        <f>IF($B366="","",IF(X$3=0,"n.b.",INDEX(SRC_ZPMW03!$A$1:$ZZ$501,$A366,X$3)))</f>
        <v/>
      </c>
      <c r="Y366" s="124" t="str">
        <f>IF($B366="","",IF(Y$3=0,"n.b.",INDEX(SRC_ZPMW03!$A$1:$ZZ$501,$A366,Y$3)))</f>
        <v/>
      </c>
      <c r="Z366" s="124" t="str">
        <f>IF($B366="","",IF(Z$3=0,"n.b.",INDEX(SRC_ZPMW03!$A$1:$ZZ$501,$A366,Z$3)))</f>
        <v/>
      </c>
      <c r="AA366" s="124" t="str">
        <f>IF($B366="","",IF(AA$3=0,"n.b.",INDEX(SRC_ZPMW03!$A$1:$ZZ$501,$A366,AA$3)))</f>
        <v/>
      </c>
      <c r="AB366" s="124" t="str">
        <f>IF($B366="","",IF(AB$3=0,"n.b.",INDEX(SRC_ZPMW03!$A$1:$ZZ$501,$A366,AB$3)))</f>
        <v/>
      </c>
      <c r="AC366" s="124" t="str">
        <f>IF($B366="","",IF(AC$3=0,"n.b.",INDEX(SRC_ZPMW03!$A$1:$ZZ$501,$A366,AC$3)))</f>
        <v/>
      </c>
      <c r="AD366" s="124" t="str">
        <f>IF($B366="","",IF(AD$3=0,"n.b.",INDEX(SRC_ZPMW03!$A$1:$ZZ$501,$A366,AD$3)))</f>
        <v/>
      </c>
      <c r="AE366" s="124" t="str">
        <f>IF($B366="","",IF(AE$3=0,"n.b.",INDEX(SRC_ZPMW03!$A$1:$ZZ$501,$A366,AE$3)))</f>
        <v/>
      </c>
      <c r="AF366" s="124" t="str">
        <f>IF($B366="","",IF(AF$3=0,"n.b.",INDEX(SRC_ZPMW03!$A$1:$ZZ$501,$A366,AF$3)))</f>
        <v/>
      </c>
      <c r="AG366" s="124" t="str">
        <f>IF($B366="","",IF(AG$3=0,"n.b.",INDEX(SRC_ZPMW03!$A$1:$ZZ$501,$A366,AG$3)))</f>
        <v/>
      </c>
      <c r="AH366" s="124" t="str">
        <f>IF($B366="","",IF(AH$3=0,"n.b.",INDEX(SRC_ZPMW03!$A$1:$ZZ$501,$A366,AH$3)))</f>
        <v/>
      </c>
      <c r="AI366" s="124" t="str">
        <f>IF($B366="","",IF(AI$3=0,"n.b.",INDEX(SRC_ZPMW03!$A$1:$ZZ$501,$A366,AI$3)))</f>
        <v/>
      </c>
      <c r="AJ366" s="124" t="str">
        <f>IF($B366="","",IF(AJ$3=0,"n.b.",INDEX(SRC_ZPMW03!$A$1:$ZZ$501,$A366,AJ$3)))</f>
        <v/>
      </c>
      <c r="AK366" s="124" t="str">
        <f>IF($B366="","",IF(AK$3=0,"n.b.",INDEX(SRC_ZPMW03!$A$1:$ZZ$501,$A366,AK$3)))</f>
        <v/>
      </c>
      <c r="AL366" s="124" t="str">
        <f>IF($B366="","",IF(AL$3=0,"n.b.",INDEX(SRC_ZPMW03!$A$1:$ZZ$501,$A366,AL$3)))</f>
        <v/>
      </c>
      <c r="AM366" s="124" t="str">
        <f>IF($B366="","",IF(AM$3=0,"n.b.",INDEX(SRC_ZPMW03!$A$1:$ZZ$501,$A366,AM$3)))</f>
        <v/>
      </c>
      <c r="AN366" s="124" t="str">
        <f>IF($B366="","",IF(AN$3=0,"n.b.",INDEX(SRC_ZPMW03!$A$1:$ZZ$501,$A366,AN$3)))</f>
        <v/>
      </c>
      <c r="AO366" s="124" t="str">
        <f>IF($B366="","",IF(AO$3=0,"n.b.",INDEX(SRC_ZPMW03!$A$1:$ZZ$501,$A366,AO$3)))</f>
        <v/>
      </c>
      <c r="AP366" s="124" t="str">
        <f>IF($B366="","",IF(AP$3=0,"n.b.",INDEX(SRC_ZPMW03!$A$1:$ZZ$501,$A366,AP$3)))</f>
        <v/>
      </c>
      <c r="AQ366" s="124" t="str">
        <f>IF($B366="","",IF(AQ$3=0,"n.b.",INDEX(SRC_ZPMW03!$A$1:$ZZ$501,$A366,AQ$3)))</f>
        <v/>
      </c>
      <c r="AR366" s="124" t="str">
        <f>IF($B366="","",IF(AR$3=0,"n.b.",INDEX(SRC_ZPMW03!$A$1:$ZZ$501,$A366,AR$3)))</f>
        <v/>
      </c>
      <c r="AS366" s="124" t="str">
        <f>IF($B366="","",IF(AS$3=0,"n.b.",INDEX(SRC_ZPMW03!$A$1:$ZZ$501,$A366,AS$3)))</f>
        <v/>
      </c>
      <c r="AT366" s="124" t="str">
        <f>IF($B366="","",IF(AT$3=0,"n.b.",INDEX(SRC_ZPMW03!$A$1:$ZZ$501,$A366,AT$3)))</f>
        <v/>
      </c>
      <c r="AU366" s="124" t="str">
        <f>IF($B366="","",IF(AU$3=0,"n.b.",INDEX(SRC_ZPMW03!$A$1:$ZZ$501,$A366,AU$3)))</f>
        <v/>
      </c>
      <c r="AV366" s="124" t="str">
        <f>IF($B366="","",IF(AV$3=0,"n.b.",INDEX(SRC_ZPMW03!$A$1:$ZZ$501,$A366,AV$3)))</f>
        <v/>
      </c>
      <c r="AW366" s="124" t="str">
        <f>IF($B366="","",IF(AW$3=0,"n.b.",INDEX(SRC_ZPMW03!$A$1:$ZZ$501,$A366,AW$3)))</f>
        <v/>
      </c>
      <c r="AX366" s="124" t="str">
        <f>IF($B366="","",IF(AX$3=0,"n.b.",INDEX(SRC_ZPMW03!$A$1:$ZZ$501,$A366,AX$3)))</f>
        <v/>
      </c>
      <c r="AY366" s="124" t="str">
        <f>IF($B366="","",IF(AY$3=0,"n.b.",INDEX(SRC_ZPMW03!$A$1:$ZZ$501,$A366,AY$3)))</f>
        <v/>
      </c>
      <c r="AZ366" s="124" t="str">
        <f>IF($B366="","",IF(AZ$3=0,"n.b.",INDEX(SRC_ZPMW03!$A$1:$ZZ$501,$A366,AZ$3)))</f>
        <v/>
      </c>
      <c r="BA366" s="124" t="str">
        <f>IF($B366="","",IF(BA$3=0,"n.b.",INDEX(SRC_ZPMW03!$A$1:$ZZ$501,$A366,BA$3)))</f>
        <v/>
      </c>
      <c r="BB366" s="124" t="str">
        <f>IF($B366="","",IF(BB$3=0,"n.b.",INDEX(SRC_ZPMW03!$A$1:$ZZ$501,$A366,BB$3)))</f>
        <v/>
      </c>
      <c r="BC366" s="124" t="str">
        <f>IF($B366="","",IF(BC$3=0,"n.b.",INDEX(SRC_ZPMW03!$A$1:$ZZ$501,$A366,BC$3)))</f>
        <v/>
      </c>
      <c r="BD366" s="124" t="str">
        <f>IF($B366="","",IF(BD$3=0,"n.b.",INDEX(SRC_ZPMW03!$A$1:$ZZ$501,$A366,BD$3)))</f>
        <v/>
      </c>
      <c r="BE366" s="124" t="str">
        <f>IF($B366="","",IF(BE$3=0,"n.b.",INDEX(SRC_ZPMW03!$A$1:$ZZ$501,$A366,BE$3)))</f>
        <v/>
      </c>
      <c r="BF366" s="124" t="str">
        <f>IF($B366="","",IF(BF$3=0,"n.b.",INDEX(SRC_ZPMW03!$A$1:$ZZ$501,$A366,BF$3)))</f>
        <v/>
      </c>
      <c r="BG366" t="str">
        <f>IF($B366="","",IF(BG$3=0,"n.b.",INDEX(SRC_ZPMW03!$A$1:$ZZ$501,$A366,BG$3)))</f>
        <v/>
      </c>
      <c r="BH366" t="str">
        <f>IF($B366="","",IF(BH$3=0,"n.b.",INDEX(SRC_ZPMW03!$A$1:$ZZ$501,$A366,BH$3)))</f>
        <v/>
      </c>
      <c r="BI366" t="str">
        <f>IF($B366="","",IF(BI$3=0,"n.b.",INDEX(SRC_ZPMW03!$A$1:$ZZ$501,$A366,BI$3)))</f>
        <v/>
      </c>
      <c r="BJ366" t="str">
        <f>IF($B366="","",IF(BJ$3=0,"n.b.",INDEX(SRC_ZPMW03!$A$1:$ZZ$501,$A366,BJ$3)))</f>
        <v/>
      </c>
      <c r="BK366" s="124" t="str">
        <f>IF($B366="","",IFERROR(-O366,"n.b."))</f>
        <v/>
      </c>
      <c r="BL366" s="124" t="str">
        <f>IF($B366="","",IFERROR(-Q366,"n.b."))</f>
        <v/>
      </c>
      <c r="BM366" s="124" t="str">
        <f>IF($B366="","",IFERROR(-AB366,"n.b."))</f>
        <v/>
      </c>
      <c r="BN366" s="124" t="str">
        <f>IF($B366="","",IFERROR(-AD366,"n.b."))</f>
        <v/>
      </c>
      <c r="BO366" s="124" t="str">
        <f>IF($B366="","",IFERROR(BK366+BM366,"n.b."))</f>
        <v/>
      </c>
      <c r="BP366" s="124" t="str">
        <f>IF($B366="","",IFERROR(BL366+BN366,"n.b."))</f>
        <v/>
      </c>
      <c r="BQ366" s="124" t="str">
        <f>IF($B366="","",IFERROR(-AM366,"n.b."))</f>
        <v/>
      </c>
      <c r="BR366" s="124" t="str">
        <f>IF($B366="","",IFERROR(-AO366,"n.b."))</f>
        <v/>
      </c>
      <c r="BS366" s="124" t="str">
        <f>IF($B366="","",IFERROR(-Z366,"n.b."))</f>
        <v/>
      </c>
      <c r="BT366" s="124" t="str">
        <f>IF($B366="","",IFERROR(-AA366,"n.b."))</f>
        <v/>
      </c>
      <c r="BU366" s="124" t="str">
        <f>IF($B366="","",IFERROR(-AE366,"n.b."))</f>
        <v/>
      </c>
      <c r="BV366" s="124" t="str">
        <f>IF($B366="","",IFERROR(-AF366,"n.b."))</f>
        <v/>
      </c>
      <c r="BW366" s="124" t="str">
        <f>IF($B366="","",IFERROR(-AG366,"n.b."))</f>
        <v/>
      </c>
      <c r="BX366" s="124" t="str">
        <f>IF($B366="","",IFERROR(-AH366,"n.b."))</f>
        <v/>
      </c>
      <c r="BY366" s="124" t="str">
        <f>IF($B366="","",IFERROR(-AI366,"n.b."))</f>
        <v/>
      </c>
      <c r="BZ366" s="124" t="str">
        <f>IF($B366="","",IFERROR(-AJ366,"n.b."))</f>
        <v/>
      </c>
      <c r="CA366" s="124" t="str">
        <f>IF($B366="","",IFERROR(-AK366,"n.b."))</f>
        <v/>
      </c>
      <c r="CB366" s="124" t="str">
        <f>IF($B366="","",IFERROR(-AL366,"n.b."))</f>
        <v/>
      </c>
      <c r="CC366" s="124" t="str">
        <f>IF($B366="","",IFERROR(-AP366,"n.b."))</f>
        <v/>
      </c>
      <c r="CD366" s="124" t="str">
        <f>IF($B366="","",IFERROR(-AQ366,"n.b."))</f>
        <v/>
      </c>
      <c r="CE366" s="124" t="str">
        <f>IF($B366="","",IFERROR(-AR366,"n.b."))</f>
        <v/>
      </c>
      <c r="CF366" s="124" t="str">
        <f>IF($B366="","",IFERROR(-AS366,"n.b."))</f>
        <v/>
      </c>
      <c r="CG366" s="124" t="str">
        <f>IF($B366="","",IFERROR(-AT366,"n.b."))</f>
        <v/>
      </c>
      <c r="CH366" s="124" t="str">
        <f>IF($B366="","",IFERROR(-AU366,"n.b."))</f>
        <v/>
      </c>
      <c r="CI366" s="124" t="str">
        <f>IF($B366="","",IFERROR(-AV366,"n.b."))</f>
        <v/>
      </c>
      <c r="CJ366" s="124" t="str">
        <f>IF($B366="","",IFERROR(-AW366,"n.b."))</f>
        <v/>
      </c>
      <c r="CK366" s="124" t="str">
        <f>IF($B366="","",IFERROR(-AX366,"n.b."))</f>
        <v/>
      </c>
      <c r="CL366" s="124" t="str">
        <f>IF($B366="","",IFERROR(-AY366,"n.b."))</f>
        <v/>
      </c>
      <c r="CM366" s="124" t="str">
        <f>IF($B366="","",IFERROR(-AZ366,"n.b."))</f>
        <v/>
      </c>
      <c r="CN366" s="124" t="str">
        <f>IF($B366="","",IFERROR(-BA366,"n.b."))</f>
        <v/>
      </c>
      <c r="CO366" s="124" t="str">
        <f>IF($B366="","",IFERROR(-BB366,"n.b."))</f>
        <v/>
      </c>
      <c r="CP366" s="124" t="str">
        <f>IF($B366="","",IFERROR(-BC366,"n.b."))</f>
        <v/>
      </c>
      <c r="CQ366" s="124" t="str">
        <f>IF($B366="","",IFERROR(-BD366,"n.b."))</f>
        <v/>
      </c>
      <c r="CR366" s="124" t="str">
        <f>IF($B366="","",IFERROR(-BE366,"n.b."))</f>
        <v/>
      </c>
      <c r="CS366" s="124" t="str">
        <f>IF($B366="","",IFERROR(IF(OR(ABS(T366+V366+X366+Z366-AB366)&gt;P_Tol,ABS(U366+W366+Y366+AA366-AD366)&gt;P_Tol,ABS(AE366+AG366+AI366+AK366-AM366)&gt;P_Tol,ABS(AF366+AH366+AJ366+AL366-AO366)&gt;P_Tol),1,0),1))</f>
        <v/>
      </c>
      <c r="CT366" s="124" t="str">
        <f>IF($B366="","",IFERROR(IF(OR(ABS(AB366+AC366-AD366)&gt;P_Tol,ABS(AM366+AN366-AO366)&gt;P_Tol,ABS(O366+P366-Q366)&gt;P_Tol),1,0),1))</f>
        <v/>
      </c>
      <c r="CU366" s="124" t="str">
        <f>IF($B366="","",IFERROR(IF(ABS(R366-(AB366+AM366+AP366+AR366+AT366+AV366+AX366+AZ366+BB366+BD366))&gt;P_Tol,1,0),1))</f>
        <v/>
      </c>
      <c r="CV366" s="124" t="str">
        <f>IF($B366="","",IFERROR(IF(ABS(M366-(N366+O366+R366))&gt;P_Tol,1,0),1))</f>
        <v/>
      </c>
      <c r="CW366" s="124" t="str">
        <f>IF($B366="","",IF(COUNTIF(Mapping!$A$5:$A$104,B366)&gt;0,1,0))</f>
        <v/>
      </c>
      <c r="CX366" s="124" t="str">
        <f>IF($B366="","",COUNTIF($B$6:$B$505,B366))</f>
        <v/>
      </c>
      <c r="CY366" s="124" t="str">
        <f>IF($B366="","",COUNTIF(STG_Woningetalage!$B$6:$B$505,B366))</f>
        <v/>
      </c>
      <c r="CZ366" s="124" t="str">
        <f>IF($B366="","",IF(CW366=0,COUNTIF($CW$6:CW366,0),""))</f>
        <v/>
      </c>
    </row>
    <row r="367">
      <c r="A367" s="15" t="n">
        <v>363</v>
      </c>
      <c r="B367" t="str">
        <f>IF(B$3=0,"",IF(INDEX(SRC_ZPMW03!$A$1:$ZZ$501,$A367,B$3)&amp;""="","",INDEX(SRC_ZPMW03!$A$1:$ZZ$501,$A367,B$3)&amp;""))</f>
        <v/>
      </c>
      <c r="C367" t="str">
        <f>IF($B367="","",IF(C$3=0,"n.b.",INDEX(SRC_ZPMW03!$A$1:$ZZ$501,$A367,C$3)))</f>
        <v/>
      </c>
      <c r="D367" t="str">
        <f>IF($B367="","",IF(D$3=0,"n.b.",INDEX(SRC_ZPMW03!$A$1:$ZZ$501,$A367,D$3)))</f>
        <v/>
      </c>
      <c r="E367" t="str">
        <f>IF($B367="","",IF(E$3=0,"n.b.",INDEX(SRC_ZPMW03!$A$1:$ZZ$501,$A367,E$3)))</f>
        <v/>
      </c>
      <c r="F367" t="str">
        <f>IF($B367="","",IF(F$3=0,"n.b.",INDEX(SRC_ZPMW03!$A$1:$ZZ$501,$A367,F$3)))</f>
        <v/>
      </c>
      <c r="G367" t="str">
        <f>IF($B367="","",IF(G$3=0,"n.b.",INDEX(SRC_ZPMW03!$A$1:$ZZ$501,$A367,G$3)))</f>
        <v/>
      </c>
      <c r="H367" t="str">
        <f>IF($B367="","",IF(H$3=0,"n.b.",INDEX(SRC_ZPMW03!$A$1:$ZZ$501,$A367,H$3)))</f>
        <v/>
      </c>
      <c r="I367" t="str">
        <f>IF($B367="","",IF(I$3=0,"n.b.",INDEX(SRC_ZPMW03!$A$1:$ZZ$501,$A367,I$3)))</f>
        <v/>
      </c>
      <c r="J367" t="str">
        <f>IF($B367="","",IF(J$3=0,"n.b.",INDEX(SRC_ZPMW03!$A$1:$ZZ$501,$A367,J$3)))</f>
        <v/>
      </c>
      <c r="K367" t="str">
        <f>IF($B367="","",IF(K$3=0,"n.b.",INDEX(SRC_ZPMW03!$A$1:$ZZ$501,$A367,K$3)))</f>
        <v/>
      </c>
      <c r="L367" s="124" t="str">
        <f>IF($B367="","",IF(L$3=0,"n.b.",INDEX(SRC_ZPMW03!$A$1:$ZZ$501,$A367,L$3)))</f>
        <v/>
      </c>
      <c r="M367" s="124" t="str">
        <f>IF($B367="","",IF(M$3=0,"n.b.",INDEX(SRC_ZPMW03!$A$1:$ZZ$501,$A367,M$3)))</f>
        <v/>
      </c>
      <c r="N367" s="124" t="str">
        <f>IF($B367="","",IF(N$3=0,"n.b.",INDEX(SRC_ZPMW03!$A$1:$ZZ$501,$A367,N$3)))</f>
        <v/>
      </c>
      <c r="O367" s="124" t="str">
        <f>IF($B367="","",IF(O$3=0,"n.b.",INDEX(SRC_ZPMW03!$A$1:$ZZ$501,$A367,O$3)))</f>
        <v/>
      </c>
      <c r="P367" s="124" t="str">
        <f>IF($B367="","",IF(P$3=0,"n.b.",INDEX(SRC_ZPMW03!$A$1:$ZZ$501,$A367,P$3)))</f>
        <v/>
      </c>
      <c r="Q367" s="124" t="str">
        <f>IF($B367="","",IF(Q$3=0,"n.b.",INDEX(SRC_ZPMW03!$A$1:$ZZ$501,$A367,Q$3)))</f>
        <v/>
      </c>
      <c r="R367" s="124" t="str">
        <f>IF($B367="","",IF(R$3=0,"n.b.",INDEX(SRC_ZPMW03!$A$1:$ZZ$501,$A367,R$3)))</f>
        <v/>
      </c>
      <c r="S367" s="124" t="str">
        <f>IF($B367="","",IF(S$3=0,"n.b.",INDEX(SRC_ZPMW03!$A$1:$ZZ$501,$A367,S$3)))</f>
        <v/>
      </c>
      <c r="T367" s="124" t="str">
        <f>IF($B367="","",IF(T$3=0,"n.b.",INDEX(SRC_ZPMW03!$A$1:$ZZ$501,$A367,T$3)))</f>
        <v/>
      </c>
      <c r="U367" s="124" t="str">
        <f>IF($B367="","",IF(U$3=0,"n.b.",INDEX(SRC_ZPMW03!$A$1:$ZZ$501,$A367,U$3)))</f>
        <v/>
      </c>
      <c r="V367" s="124" t="str">
        <f>IF($B367="","",IF(V$3=0,"n.b.",INDEX(SRC_ZPMW03!$A$1:$ZZ$501,$A367,V$3)))</f>
        <v/>
      </c>
      <c r="W367" s="124" t="str">
        <f>IF($B367="","",IF(W$3=0,"n.b.",INDEX(SRC_ZPMW03!$A$1:$ZZ$501,$A367,W$3)))</f>
        <v/>
      </c>
      <c r="X367" s="124" t="str">
        <f>IF($B367="","",IF(X$3=0,"n.b.",INDEX(SRC_ZPMW03!$A$1:$ZZ$501,$A367,X$3)))</f>
        <v/>
      </c>
      <c r="Y367" s="124" t="str">
        <f>IF($B367="","",IF(Y$3=0,"n.b.",INDEX(SRC_ZPMW03!$A$1:$ZZ$501,$A367,Y$3)))</f>
        <v/>
      </c>
      <c r="Z367" s="124" t="str">
        <f>IF($B367="","",IF(Z$3=0,"n.b.",INDEX(SRC_ZPMW03!$A$1:$ZZ$501,$A367,Z$3)))</f>
        <v/>
      </c>
      <c r="AA367" s="124" t="str">
        <f>IF($B367="","",IF(AA$3=0,"n.b.",INDEX(SRC_ZPMW03!$A$1:$ZZ$501,$A367,AA$3)))</f>
        <v/>
      </c>
      <c r="AB367" s="124" t="str">
        <f>IF($B367="","",IF(AB$3=0,"n.b.",INDEX(SRC_ZPMW03!$A$1:$ZZ$501,$A367,AB$3)))</f>
        <v/>
      </c>
      <c r="AC367" s="124" t="str">
        <f>IF($B367="","",IF(AC$3=0,"n.b.",INDEX(SRC_ZPMW03!$A$1:$ZZ$501,$A367,AC$3)))</f>
        <v/>
      </c>
      <c r="AD367" s="124" t="str">
        <f>IF($B367="","",IF(AD$3=0,"n.b.",INDEX(SRC_ZPMW03!$A$1:$ZZ$501,$A367,AD$3)))</f>
        <v/>
      </c>
      <c r="AE367" s="124" t="str">
        <f>IF($B367="","",IF(AE$3=0,"n.b.",INDEX(SRC_ZPMW03!$A$1:$ZZ$501,$A367,AE$3)))</f>
        <v/>
      </c>
      <c r="AF367" s="124" t="str">
        <f>IF($B367="","",IF(AF$3=0,"n.b.",INDEX(SRC_ZPMW03!$A$1:$ZZ$501,$A367,AF$3)))</f>
        <v/>
      </c>
      <c r="AG367" s="124" t="str">
        <f>IF($B367="","",IF(AG$3=0,"n.b.",INDEX(SRC_ZPMW03!$A$1:$ZZ$501,$A367,AG$3)))</f>
        <v/>
      </c>
      <c r="AH367" s="124" t="str">
        <f>IF($B367="","",IF(AH$3=0,"n.b.",INDEX(SRC_ZPMW03!$A$1:$ZZ$501,$A367,AH$3)))</f>
        <v/>
      </c>
      <c r="AI367" s="124" t="str">
        <f>IF($B367="","",IF(AI$3=0,"n.b.",INDEX(SRC_ZPMW03!$A$1:$ZZ$501,$A367,AI$3)))</f>
        <v/>
      </c>
      <c r="AJ367" s="124" t="str">
        <f>IF($B367="","",IF(AJ$3=0,"n.b.",INDEX(SRC_ZPMW03!$A$1:$ZZ$501,$A367,AJ$3)))</f>
        <v/>
      </c>
      <c r="AK367" s="124" t="str">
        <f>IF($B367="","",IF(AK$3=0,"n.b.",INDEX(SRC_ZPMW03!$A$1:$ZZ$501,$A367,AK$3)))</f>
        <v/>
      </c>
      <c r="AL367" s="124" t="str">
        <f>IF($B367="","",IF(AL$3=0,"n.b.",INDEX(SRC_ZPMW03!$A$1:$ZZ$501,$A367,AL$3)))</f>
        <v/>
      </c>
      <c r="AM367" s="124" t="str">
        <f>IF($B367="","",IF(AM$3=0,"n.b.",INDEX(SRC_ZPMW03!$A$1:$ZZ$501,$A367,AM$3)))</f>
        <v/>
      </c>
      <c r="AN367" s="124" t="str">
        <f>IF($B367="","",IF(AN$3=0,"n.b.",INDEX(SRC_ZPMW03!$A$1:$ZZ$501,$A367,AN$3)))</f>
        <v/>
      </c>
      <c r="AO367" s="124" t="str">
        <f>IF($B367="","",IF(AO$3=0,"n.b.",INDEX(SRC_ZPMW03!$A$1:$ZZ$501,$A367,AO$3)))</f>
        <v/>
      </c>
      <c r="AP367" s="124" t="str">
        <f>IF($B367="","",IF(AP$3=0,"n.b.",INDEX(SRC_ZPMW03!$A$1:$ZZ$501,$A367,AP$3)))</f>
        <v/>
      </c>
      <c r="AQ367" s="124" t="str">
        <f>IF($B367="","",IF(AQ$3=0,"n.b.",INDEX(SRC_ZPMW03!$A$1:$ZZ$501,$A367,AQ$3)))</f>
        <v/>
      </c>
      <c r="AR367" s="124" t="str">
        <f>IF($B367="","",IF(AR$3=0,"n.b.",INDEX(SRC_ZPMW03!$A$1:$ZZ$501,$A367,AR$3)))</f>
        <v/>
      </c>
      <c r="AS367" s="124" t="str">
        <f>IF($B367="","",IF(AS$3=0,"n.b.",INDEX(SRC_ZPMW03!$A$1:$ZZ$501,$A367,AS$3)))</f>
        <v/>
      </c>
      <c r="AT367" s="124" t="str">
        <f>IF($B367="","",IF(AT$3=0,"n.b.",INDEX(SRC_ZPMW03!$A$1:$ZZ$501,$A367,AT$3)))</f>
        <v/>
      </c>
      <c r="AU367" s="124" t="str">
        <f>IF($B367="","",IF(AU$3=0,"n.b.",INDEX(SRC_ZPMW03!$A$1:$ZZ$501,$A367,AU$3)))</f>
        <v/>
      </c>
      <c r="AV367" s="124" t="str">
        <f>IF($B367="","",IF(AV$3=0,"n.b.",INDEX(SRC_ZPMW03!$A$1:$ZZ$501,$A367,AV$3)))</f>
        <v/>
      </c>
      <c r="AW367" s="124" t="str">
        <f>IF($B367="","",IF(AW$3=0,"n.b.",INDEX(SRC_ZPMW03!$A$1:$ZZ$501,$A367,AW$3)))</f>
        <v/>
      </c>
      <c r="AX367" s="124" t="str">
        <f>IF($B367="","",IF(AX$3=0,"n.b.",INDEX(SRC_ZPMW03!$A$1:$ZZ$501,$A367,AX$3)))</f>
        <v/>
      </c>
      <c r="AY367" s="124" t="str">
        <f>IF($B367="","",IF(AY$3=0,"n.b.",INDEX(SRC_ZPMW03!$A$1:$ZZ$501,$A367,AY$3)))</f>
        <v/>
      </c>
      <c r="AZ367" s="124" t="str">
        <f>IF($B367="","",IF(AZ$3=0,"n.b.",INDEX(SRC_ZPMW03!$A$1:$ZZ$501,$A367,AZ$3)))</f>
        <v/>
      </c>
      <c r="BA367" s="124" t="str">
        <f>IF($B367="","",IF(BA$3=0,"n.b.",INDEX(SRC_ZPMW03!$A$1:$ZZ$501,$A367,BA$3)))</f>
        <v/>
      </c>
      <c r="BB367" s="124" t="str">
        <f>IF($B367="","",IF(BB$3=0,"n.b.",INDEX(SRC_ZPMW03!$A$1:$ZZ$501,$A367,BB$3)))</f>
        <v/>
      </c>
      <c r="BC367" s="124" t="str">
        <f>IF($B367="","",IF(BC$3=0,"n.b.",INDEX(SRC_ZPMW03!$A$1:$ZZ$501,$A367,BC$3)))</f>
        <v/>
      </c>
      <c r="BD367" s="124" t="str">
        <f>IF($B367="","",IF(BD$3=0,"n.b.",INDEX(SRC_ZPMW03!$A$1:$ZZ$501,$A367,BD$3)))</f>
        <v/>
      </c>
      <c r="BE367" s="124" t="str">
        <f>IF($B367="","",IF(BE$3=0,"n.b.",INDEX(SRC_ZPMW03!$A$1:$ZZ$501,$A367,BE$3)))</f>
        <v/>
      </c>
      <c r="BF367" s="124" t="str">
        <f>IF($B367="","",IF(BF$3=0,"n.b.",INDEX(SRC_ZPMW03!$A$1:$ZZ$501,$A367,BF$3)))</f>
        <v/>
      </c>
      <c r="BG367" t="str">
        <f>IF($B367="","",IF(BG$3=0,"n.b.",INDEX(SRC_ZPMW03!$A$1:$ZZ$501,$A367,BG$3)))</f>
        <v/>
      </c>
      <c r="BH367" t="str">
        <f>IF($B367="","",IF(BH$3=0,"n.b.",INDEX(SRC_ZPMW03!$A$1:$ZZ$501,$A367,BH$3)))</f>
        <v/>
      </c>
      <c r="BI367" t="str">
        <f>IF($B367="","",IF(BI$3=0,"n.b.",INDEX(SRC_ZPMW03!$A$1:$ZZ$501,$A367,BI$3)))</f>
        <v/>
      </c>
      <c r="BJ367" t="str">
        <f>IF($B367="","",IF(BJ$3=0,"n.b.",INDEX(SRC_ZPMW03!$A$1:$ZZ$501,$A367,BJ$3)))</f>
        <v/>
      </c>
      <c r="BK367" s="124" t="str">
        <f>IF($B367="","",IFERROR(-O367,"n.b."))</f>
        <v/>
      </c>
      <c r="BL367" s="124" t="str">
        <f>IF($B367="","",IFERROR(-Q367,"n.b."))</f>
        <v/>
      </c>
      <c r="BM367" s="124" t="str">
        <f>IF($B367="","",IFERROR(-AB367,"n.b."))</f>
        <v/>
      </c>
      <c r="BN367" s="124" t="str">
        <f>IF($B367="","",IFERROR(-AD367,"n.b."))</f>
        <v/>
      </c>
      <c r="BO367" s="124" t="str">
        <f>IF($B367="","",IFERROR(BK367+BM367,"n.b."))</f>
        <v/>
      </c>
      <c r="BP367" s="124" t="str">
        <f>IF($B367="","",IFERROR(BL367+BN367,"n.b."))</f>
        <v/>
      </c>
      <c r="BQ367" s="124" t="str">
        <f>IF($B367="","",IFERROR(-AM367,"n.b."))</f>
        <v/>
      </c>
      <c r="BR367" s="124" t="str">
        <f>IF($B367="","",IFERROR(-AO367,"n.b."))</f>
        <v/>
      </c>
      <c r="BS367" s="124" t="str">
        <f>IF($B367="","",IFERROR(-Z367,"n.b."))</f>
        <v/>
      </c>
      <c r="BT367" s="124" t="str">
        <f>IF($B367="","",IFERROR(-AA367,"n.b."))</f>
        <v/>
      </c>
      <c r="BU367" s="124" t="str">
        <f>IF($B367="","",IFERROR(-AE367,"n.b."))</f>
        <v/>
      </c>
      <c r="BV367" s="124" t="str">
        <f>IF($B367="","",IFERROR(-AF367,"n.b."))</f>
        <v/>
      </c>
      <c r="BW367" s="124" t="str">
        <f>IF($B367="","",IFERROR(-AG367,"n.b."))</f>
        <v/>
      </c>
      <c r="BX367" s="124" t="str">
        <f>IF($B367="","",IFERROR(-AH367,"n.b."))</f>
        <v/>
      </c>
      <c r="BY367" s="124" t="str">
        <f>IF($B367="","",IFERROR(-AI367,"n.b."))</f>
        <v/>
      </c>
      <c r="BZ367" s="124" t="str">
        <f>IF($B367="","",IFERROR(-AJ367,"n.b."))</f>
        <v/>
      </c>
      <c r="CA367" s="124" t="str">
        <f>IF($B367="","",IFERROR(-AK367,"n.b."))</f>
        <v/>
      </c>
      <c r="CB367" s="124" t="str">
        <f>IF($B367="","",IFERROR(-AL367,"n.b."))</f>
        <v/>
      </c>
      <c r="CC367" s="124" t="str">
        <f>IF($B367="","",IFERROR(-AP367,"n.b."))</f>
        <v/>
      </c>
      <c r="CD367" s="124" t="str">
        <f>IF($B367="","",IFERROR(-AQ367,"n.b."))</f>
        <v/>
      </c>
      <c r="CE367" s="124" t="str">
        <f>IF($B367="","",IFERROR(-AR367,"n.b."))</f>
        <v/>
      </c>
      <c r="CF367" s="124" t="str">
        <f>IF($B367="","",IFERROR(-AS367,"n.b."))</f>
        <v/>
      </c>
      <c r="CG367" s="124" t="str">
        <f>IF($B367="","",IFERROR(-AT367,"n.b."))</f>
        <v/>
      </c>
      <c r="CH367" s="124" t="str">
        <f>IF($B367="","",IFERROR(-AU367,"n.b."))</f>
        <v/>
      </c>
      <c r="CI367" s="124" t="str">
        <f>IF($B367="","",IFERROR(-AV367,"n.b."))</f>
        <v/>
      </c>
      <c r="CJ367" s="124" t="str">
        <f>IF($B367="","",IFERROR(-AW367,"n.b."))</f>
        <v/>
      </c>
      <c r="CK367" s="124" t="str">
        <f>IF($B367="","",IFERROR(-AX367,"n.b."))</f>
        <v/>
      </c>
      <c r="CL367" s="124" t="str">
        <f>IF($B367="","",IFERROR(-AY367,"n.b."))</f>
        <v/>
      </c>
      <c r="CM367" s="124" t="str">
        <f>IF($B367="","",IFERROR(-AZ367,"n.b."))</f>
        <v/>
      </c>
      <c r="CN367" s="124" t="str">
        <f>IF($B367="","",IFERROR(-BA367,"n.b."))</f>
        <v/>
      </c>
      <c r="CO367" s="124" t="str">
        <f>IF($B367="","",IFERROR(-BB367,"n.b."))</f>
        <v/>
      </c>
      <c r="CP367" s="124" t="str">
        <f>IF($B367="","",IFERROR(-BC367,"n.b."))</f>
        <v/>
      </c>
      <c r="CQ367" s="124" t="str">
        <f>IF($B367="","",IFERROR(-BD367,"n.b."))</f>
        <v/>
      </c>
      <c r="CR367" s="124" t="str">
        <f>IF($B367="","",IFERROR(-BE367,"n.b."))</f>
        <v/>
      </c>
      <c r="CS367" s="124" t="str">
        <f>IF($B367="","",IFERROR(IF(OR(ABS(T367+V367+X367+Z367-AB367)&gt;P_Tol,ABS(U367+W367+Y367+AA367-AD367)&gt;P_Tol,ABS(AE367+AG367+AI367+AK367-AM367)&gt;P_Tol,ABS(AF367+AH367+AJ367+AL367-AO367)&gt;P_Tol),1,0),1))</f>
        <v/>
      </c>
      <c r="CT367" s="124" t="str">
        <f>IF($B367="","",IFERROR(IF(OR(ABS(AB367+AC367-AD367)&gt;P_Tol,ABS(AM367+AN367-AO367)&gt;P_Tol,ABS(O367+P367-Q367)&gt;P_Tol),1,0),1))</f>
        <v/>
      </c>
      <c r="CU367" s="124" t="str">
        <f>IF($B367="","",IFERROR(IF(ABS(R367-(AB367+AM367+AP367+AR367+AT367+AV367+AX367+AZ367+BB367+BD367))&gt;P_Tol,1,0),1))</f>
        <v/>
      </c>
      <c r="CV367" s="124" t="str">
        <f>IF($B367="","",IFERROR(IF(ABS(M367-(N367+O367+R367))&gt;P_Tol,1,0),1))</f>
        <v/>
      </c>
      <c r="CW367" s="124" t="str">
        <f>IF($B367="","",IF(COUNTIF(Mapping!$A$5:$A$104,B367)&gt;0,1,0))</f>
        <v/>
      </c>
      <c r="CX367" s="124" t="str">
        <f>IF($B367="","",COUNTIF($B$6:$B$505,B367))</f>
        <v/>
      </c>
      <c r="CY367" s="124" t="str">
        <f>IF($B367="","",COUNTIF(STG_Woningetalage!$B$6:$B$505,B367))</f>
        <v/>
      </c>
      <c r="CZ367" s="124" t="str">
        <f>IF($B367="","",IF(CW367=0,COUNTIF($CW$6:CW367,0),""))</f>
        <v/>
      </c>
    </row>
    <row r="368">
      <c r="A368" s="15" t="n">
        <v>364</v>
      </c>
      <c r="B368" t="str">
        <f>IF(B$3=0,"",IF(INDEX(SRC_ZPMW03!$A$1:$ZZ$501,$A368,B$3)&amp;""="","",INDEX(SRC_ZPMW03!$A$1:$ZZ$501,$A368,B$3)&amp;""))</f>
        <v/>
      </c>
      <c r="C368" t="str">
        <f>IF($B368="","",IF(C$3=0,"n.b.",INDEX(SRC_ZPMW03!$A$1:$ZZ$501,$A368,C$3)))</f>
        <v/>
      </c>
      <c r="D368" t="str">
        <f>IF($B368="","",IF(D$3=0,"n.b.",INDEX(SRC_ZPMW03!$A$1:$ZZ$501,$A368,D$3)))</f>
        <v/>
      </c>
      <c r="E368" t="str">
        <f>IF($B368="","",IF(E$3=0,"n.b.",INDEX(SRC_ZPMW03!$A$1:$ZZ$501,$A368,E$3)))</f>
        <v/>
      </c>
      <c r="F368" t="str">
        <f>IF($B368="","",IF(F$3=0,"n.b.",INDEX(SRC_ZPMW03!$A$1:$ZZ$501,$A368,F$3)))</f>
        <v/>
      </c>
      <c r="G368" t="str">
        <f>IF($B368="","",IF(G$3=0,"n.b.",INDEX(SRC_ZPMW03!$A$1:$ZZ$501,$A368,G$3)))</f>
        <v/>
      </c>
      <c r="H368" t="str">
        <f>IF($B368="","",IF(H$3=0,"n.b.",INDEX(SRC_ZPMW03!$A$1:$ZZ$501,$A368,H$3)))</f>
        <v/>
      </c>
      <c r="I368" t="str">
        <f>IF($B368="","",IF(I$3=0,"n.b.",INDEX(SRC_ZPMW03!$A$1:$ZZ$501,$A368,I$3)))</f>
        <v/>
      </c>
      <c r="J368" t="str">
        <f>IF($B368="","",IF(J$3=0,"n.b.",INDEX(SRC_ZPMW03!$A$1:$ZZ$501,$A368,J$3)))</f>
        <v/>
      </c>
      <c r="K368" t="str">
        <f>IF($B368="","",IF(K$3=0,"n.b.",INDEX(SRC_ZPMW03!$A$1:$ZZ$501,$A368,K$3)))</f>
        <v/>
      </c>
      <c r="L368" s="124" t="str">
        <f>IF($B368="","",IF(L$3=0,"n.b.",INDEX(SRC_ZPMW03!$A$1:$ZZ$501,$A368,L$3)))</f>
        <v/>
      </c>
      <c r="M368" s="124" t="str">
        <f>IF($B368="","",IF(M$3=0,"n.b.",INDEX(SRC_ZPMW03!$A$1:$ZZ$501,$A368,M$3)))</f>
        <v/>
      </c>
      <c r="N368" s="124" t="str">
        <f>IF($B368="","",IF(N$3=0,"n.b.",INDEX(SRC_ZPMW03!$A$1:$ZZ$501,$A368,N$3)))</f>
        <v/>
      </c>
      <c r="O368" s="124" t="str">
        <f>IF($B368="","",IF(O$3=0,"n.b.",INDEX(SRC_ZPMW03!$A$1:$ZZ$501,$A368,O$3)))</f>
        <v/>
      </c>
      <c r="P368" s="124" t="str">
        <f>IF($B368="","",IF(P$3=0,"n.b.",INDEX(SRC_ZPMW03!$A$1:$ZZ$501,$A368,P$3)))</f>
        <v/>
      </c>
      <c r="Q368" s="124" t="str">
        <f>IF($B368="","",IF(Q$3=0,"n.b.",INDEX(SRC_ZPMW03!$A$1:$ZZ$501,$A368,Q$3)))</f>
        <v/>
      </c>
      <c r="R368" s="124" t="str">
        <f>IF($B368="","",IF(R$3=0,"n.b.",INDEX(SRC_ZPMW03!$A$1:$ZZ$501,$A368,R$3)))</f>
        <v/>
      </c>
      <c r="S368" s="124" t="str">
        <f>IF($B368="","",IF(S$3=0,"n.b.",INDEX(SRC_ZPMW03!$A$1:$ZZ$501,$A368,S$3)))</f>
        <v/>
      </c>
      <c r="T368" s="124" t="str">
        <f>IF($B368="","",IF(T$3=0,"n.b.",INDEX(SRC_ZPMW03!$A$1:$ZZ$501,$A368,T$3)))</f>
        <v/>
      </c>
      <c r="U368" s="124" t="str">
        <f>IF($B368="","",IF(U$3=0,"n.b.",INDEX(SRC_ZPMW03!$A$1:$ZZ$501,$A368,U$3)))</f>
        <v/>
      </c>
      <c r="V368" s="124" t="str">
        <f>IF($B368="","",IF(V$3=0,"n.b.",INDEX(SRC_ZPMW03!$A$1:$ZZ$501,$A368,V$3)))</f>
        <v/>
      </c>
      <c r="W368" s="124" t="str">
        <f>IF($B368="","",IF(W$3=0,"n.b.",INDEX(SRC_ZPMW03!$A$1:$ZZ$501,$A368,W$3)))</f>
        <v/>
      </c>
      <c r="X368" s="124" t="str">
        <f>IF($B368="","",IF(X$3=0,"n.b.",INDEX(SRC_ZPMW03!$A$1:$ZZ$501,$A368,X$3)))</f>
        <v/>
      </c>
      <c r="Y368" s="124" t="str">
        <f>IF($B368="","",IF(Y$3=0,"n.b.",INDEX(SRC_ZPMW03!$A$1:$ZZ$501,$A368,Y$3)))</f>
        <v/>
      </c>
      <c r="Z368" s="124" t="str">
        <f>IF($B368="","",IF(Z$3=0,"n.b.",INDEX(SRC_ZPMW03!$A$1:$ZZ$501,$A368,Z$3)))</f>
        <v/>
      </c>
      <c r="AA368" s="124" t="str">
        <f>IF($B368="","",IF(AA$3=0,"n.b.",INDEX(SRC_ZPMW03!$A$1:$ZZ$501,$A368,AA$3)))</f>
        <v/>
      </c>
      <c r="AB368" s="124" t="str">
        <f>IF($B368="","",IF(AB$3=0,"n.b.",INDEX(SRC_ZPMW03!$A$1:$ZZ$501,$A368,AB$3)))</f>
        <v/>
      </c>
      <c r="AC368" s="124" t="str">
        <f>IF($B368="","",IF(AC$3=0,"n.b.",INDEX(SRC_ZPMW03!$A$1:$ZZ$501,$A368,AC$3)))</f>
        <v/>
      </c>
      <c r="AD368" s="124" t="str">
        <f>IF($B368="","",IF(AD$3=0,"n.b.",INDEX(SRC_ZPMW03!$A$1:$ZZ$501,$A368,AD$3)))</f>
        <v/>
      </c>
      <c r="AE368" s="124" t="str">
        <f>IF($B368="","",IF(AE$3=0,"n.b.",INDEX(SRC_ZPMW03!$A$1:$ZZ$501,$A368,AE$3)))</f>
        <v/>
      </c>
      <c r="AF368" s="124" t="str">
        <f>IF($B368="","",IF(AF$3=0,"n.b.",INDEX(SRC_ZPMW03!$A$1:$ZZ$501,$A368,AF$3)))</f>
        <v/>
      </c>
      <c r="AG368" s="124" t="str">
        <f>IF($B368="","",IF(AG$3=0,"n.b.",INDEX(SRC_ZPMW03!$A$1:$ZZ$501,$A368,AG$3)))</f>
        <v/>
      </c>
      <c r="AH368" s="124" t="str">
        <f>IF($B368="","",IF(AH$3=0,"n.b.",INDEX(SRC_ZPMW03!$A$1:$ZZ$501,$A368,AH$3)))</f>
        <v/>
      </c>
      <c r="AI368" s="124" t="str">
        <f>IF($B368="","",IF(AI$3=0,"n.b.",INDEX(SRC_ZPMW03!$A$1:$ZZ$501,$A368,AI$3)))</f>
        <v/>
      </c>
      <c r="AJ368" s="124" t="str">
        <f>IF($B368="","",IF(AJ$3=0,"n.b.",INDEX(SRC_ZPMW03!$A$1:$ZZ$501,$A368,AJ$3)))</f>
        <v/>
      </c>
      <c r="AK368" s="124" t="str">
        <f>IF($B368="","",IF(AK$3=0,"n.b.",INDEX(SRC_ZPMW03!$A$1:$ZZ$501,$A368,AK$3)))</f>
        <v/>
      </c>
      <c r="AL368" s="124" t="str">
        <f>IF($B368="","",IF(AL$3=0,"n.b.",INDEX(SRC_ZPMW03!$A$1:$ZZ$501,$A368,AL$3)))</f>
        <v/>
      </c>
      <c r="AM368" s="124" t="str">
        <f>IF($B368="","",IF(AM$3=0,"n.b.",INDEX(SRC_ZPMW03!$A$1:$ZZ$501,$A368,AM$3)))</f>
        <v/>
      </c>
      <c r="AN368" s="124" t="str">
        <f>IF($B368="","",IF(AN$3=0,"n.b.",INDEX(SRC_ZPMW03!$A$1:$ZZ$501,$A368,AN$3)))</f>
        <v/>
      </c>
      <c r="AO368" s="124" t="str">
        <f>IF($B368="","",IF(AO$3=0,"n.b.",INDEX(SRC_ZPMW03!$A$1:$ZZ$501,$A368,AO$3)))</f>
        <v/>
      </c>
      <c r="AP368" s="124" t="str">
        <f>IF($B368="","",IF(AP$3=0,"n.b.",INDEX(SRC_ZPMW03!$A$1:$ZZ$501,$A368,AP$3)))</f>
        <v/>
      </c>
      <c r="AQ368" s="124" t="str">
        <f>IF($B368="","",IF(AQ$3=0,"n.b.",INDEX(SRC_ZPMW03!$A$1:$ZZ$501,$A368,AQ$3)))</f>
        <v/>
      </c>
      <c r="AR368" s="124" t="str">
        <f>IF($B368="","",IF(AR$3=0,"n.b.",INDEX(SRC_ZPMW03!$A$1:$ZZ$501,$A368,AR$3)))</f>
        <v/>
      </c>
      <c r="AS368" s="124" t="str">
        <f>IF($B368="","",IF(AS$3=0,"n.b.",INDEX(SRC_ZPMW03!$A$1:$ZZ$501,$A368,AS$3)))</f>
        <v/>
      </c>
      <c r="AT368" s="124" t="str">
        <f>IF($B368="","",IF(AT$3=0,"n.b.",INDEX(SRC_ZPMW03!$A$1:$ZZ$501,$A368,AT$3)))</f>
        <v/>
      </c>
      <c r="AU368" s="124" t="str">
        <f>IF($B368="","",IF(AU$3=0,"n.b.",INDEX(SRC_ZPMW03!$A$1:$ZZ$501,$A368,AU$3)))</f>
        <v/>
      </c>
      <c r="AV368" s="124" t="str">
        <f>IF($B368="","",IF(AV$3=0,"n.b.",INDEX(SRC_ZPMW03!$A$1:$ZZ$501,$A368,AV$3)))</f>
        <v/>
      </c>
      <c r="AW368" s="124" t="str">
        <f>IF($B368="","",IF(AW$3=0,"n.b.",INDEX(SRC_ZPMW03!$A$1:$ZZ$501,$A368,AW$3)))</f>
        <v/>
      </c>
      <c r="AX368" s="124" t="str">
        <f>IF($B368="","",IF(AX$3=0,"n.b.",INDEX(SRC_ZPMW03!$A$1:$ZZ$501,$A368,AX$3)))</f>
        <v/>
      </c>
      <c r="AY368" s="124" t="str">
        <f>IF($B368="","",IF(AY$3=0,"n.b.",INDEX(SRC_ZPMW03!$A$1:$ZZ$501,$A368,AY$3)))</f>
        <v/>
      </c>
      <c r="AZ368" s="124" t="str">
        <f>IF($B368="","",IF(AZ$3=0,"n.b.",INDEX(SRC_ZPMW03!$A$1:$ZZ$501,$A368,AZ$3)))</f>
        <v/>
      </c>
      <c r="BA368" s="124" t="str">
        <f>IF($B368="","",IF(BA$3=0,"n.b.",INDEX(SRC_ZPMW03!$A$1:$ZZ$501,$A368,BA$3)))</f>
        <v/>
      </c>
      <c r="BB368" s="124" t="str">
        <f>IF($B368="","",IF(BB$3=0,"n.b.",INDEX(SRC_ZPMW03!$A$1:$ZZ$501,$A368,BB$3)))</f>
        <v/>
      </c>
      <c r="BC368" s="124" t="str">
        <f>IF($B368="","",IF(BC$3=0,"n.b.",INDEX(SRC_ZPMW03!$A$1:$ZZ$501,$A368,BC$3)))</f>
        <v/>
      </c>
      <c r="BD368" s="124" t="str">
        <f>IF($B368="","",IF(BD$3=0,"n.b.",INDEX(SRC_ZPMW03!$A$1:$ZZ$501,$A368,BD$3)))</f>
        <v/>
      </c>
      <c r="BE368" s="124" t="str">
        <f>IF($B368="","",IF(BE$3=0,"n.b.",INDEX(SRC_ZPMW03!$A$1:$ZZ$501,$A368,BE$3)))</f>
        <v/>
      </c>
      <c r="BF368" s="124" t="str">
        <f>IF($B368="","",IF(BF$3=0,"n.b.",INDEX(SRC_ZPMW03!$A$1:$ZZ$501,$A368,BF$3)))</f>
        <v/>
      </c>
      <c r="BG368" t="str">
        <f>IF($B368="","",IF(BG$3=0,"n.b.",INDEX(SRC_ZPMW03!$A$1:$ZZ$501,$A368,BG$3)))</f>
        <v/>
      </c>
      <c r="BH368" t="str">
        <f>IF($B368="","",IF(BH$3=0,"n.b.",INDEX(SRC_ZPMW03!$A$1:$ZZ$501,$A368,BH$3)))</f>
        <v/>
      </c>
      <c r="BI368" t="str">
        <f>IF($B368="","",IF(BI$3=0,"n.b.",INDEX(SRC_ZPMW03!$A$1:$ZZ$501,$A368,BI$3)))</f>
        <v/>
      </c>
      <c r="BJ368" t="str">
        <f>IF($B368="","",IF(BJ$3=0,"n.b.",INDEX(SRC_ZPMW03!$A$1:$ZZ$501,$A368,BJ$3)))</f>
        <v/>
      </c>
      <c r="BK368" s="124" t="str">
        <f>IF($B368="","",IFERROR(-O368,"n.b."))</f>
        <v/>
      </c>
      <c r="BL368" s="124" t="str">
        <f>IF($B368="","",IFERROR(-Q368,"n.b."))</f>
        <v/>
      </c>
      <c r="BM368" s="124" t="str">
        <f>IF($B368="","",IFERROR(-AB368,"n.b."))</f>
        <v/>
      </c>
      <c r="BN368" s="124" t="str">
        <f>IF($B368="","",IFERROR(-AD368,"n.b."))</f>
        <v/>
      </c>
      <c r="BO368" s="124" t="str">
        <f>IF($B368="","",IFERROR(BK368+BM368,"n.b."))</f>
        <v/>
      </c>
      <c r="BP368" s="124" t="str">
        <f>IF($B368="","",IFERROR(BL368+BN368,"n.b."))</f>
        <v/>
      </c>
      <c r="BQ368" s="124" t="str">
        <f>IF($B368="","",IFERROR(-AM368,"n.b."))</f>
        <v/>
      </c>
      <c r="BR368" s="124" t="str">
        <f>IF($B368="","",IFERROR(-AO368,"n.b."))</f>
        <v/>
      </c>
      <c r="BS368" s="124" t="str">
        <f>IF($B368="","",IFERROR(-Z368,"n.b."))</f>
        <v/>
      </c>
      <c r="BT368" s="124" t="str">
        <f>IF($B368="","",IFERROR(-AA368,"n.b."))</f>
        <v/>
      </c>
      <c r="BU368" s="124" t="str">
        <f>IF($B368="","",IFERROR(-AE368,"n.b."))</f>
        <v/>
      </c>
      <c r="BV368" s="124" t="str">
        <f>IF($B368="","",IFERROR(-AF368,"n.b."))</f>
        <v/>
      </c>
      <c r="BW368" s="124" t="str">
        <f>IF($B368="","",IFERROR(-AG368,"n.b."))</f>
        <v/>
      </c>
      <c r="BX368" s="124" t="str">
        <f>IF($B368="","",IFERROR(-AH368,"n.b."))</f>
        <v/>
      </c>
      <c r="BY368" s="124" t="str">
        <f>IF($B368="","",IFERROR(-AI368,"n.b."))</f>
        <v/>
      </c>
      <c r="BZ368" s="124" t="str">
        <f>IF($B368="","",IFERROR(-AJ368,"n.b."))</f>
        <v/>
      </c>
      <c r="CA368" s="124" t="str">
        <f>IF($B368="","",IFERROR(-AK368,"n.b."))</f>
        <v/>
      </c>
      <c r="CB368" s="124" t="str">
        <f>IF($B368="","",IFERROR(-AL368,"n.b."))</f>
        <v/>
      </c>
      <c r="CC368" s="124" t="str">
        <f>IF($B368="","",IFERROR(-AP368,"n.b."))</f>
        <v/>
      </c>
      <c r="CD368" s="124" t="str">
        <f>IF($B368="","",IFERROR(-AQ368,"n.b."))</f>
        <v/>
      </c>
      <c r="CE368" s="124" t="str">
        <f>IF($B368="","",IFERROR(-AR368,"n.b."))</f>
        <v/>
      </c>
      <c r="CF368" s="124" t="str">
        <f>IF($B368="","",IFERROR(-AS368,"n.b."))</f>
        <v/>
      </c>
      <c r="CG368" s="124" t="str">
        <f>IF($B368="","",IFERROR(-AT368,"n.b."))</f>
        <v/>
      </c>
      <c r="CH368" s="124" t="str">
        <f>IF($B368="","",IFERROR(-AU368,"n.b."))</f>
        <v/>
      </c>
      <c r="CI368" s="124" t="str">
        <f>IF($B368="","",IFERROR(-AV368,"n.b."))</f>
        <v/>
      </c>
      <c r="CJ368" s="124" t="str">
        <f>IF($B368="","",IFERROR(-AW368,"n.b."))</f>
        <v/>
      </c>
      <c r="CK368" s="124" t="str">
        <f>IF($B368="","",IFERROR(-AX368,"n.b."))</f>
        <v/>
      </c>
      <c r="CL368" s="124" t="str">
        <f>IF($B368="","",IFERROR(-AY368,"n.b."))</f>
        <v/>
      </c>
      <c r="CM368" s="124" t="str">
        <f>IF($B368="","",IFERROR(-AZ368,"n.b."))</f>
        <v/>
      </c>
      <c r="CN368" s="124" t="str">
        <f>IF($B368="","",IFERROR(-BA368,"n.b."))</f>
        <v/>
      </c>
      <c r="CO368" s="124" t="str">
        <f>IF($B368="","",IFERROR(-BB368,"n.b."))</f>
        <v/>
      </c>
      <c r="CP368" s="124" t="str">
        <f>IF($B368="","",IFERROR(-BC368,"n.b."))</f>
        <v/>
      </c>
      <c r="CQ368" s="124" t="str">
        <f>IF($B368="","",IFERROR(-BD368,"n.b."))</f>
        <v/>
      </c>
      <c r="CR368" s="124" t="str">
        <f>IF($B368="","",IFERROR(-BE368,"n.b."))</f>
        <v/>
      </c>
      <c r="CS368" s="124" t="str">
        <f>IF($B368="","",IFERROR(IF(OR(ABS(T368+V368+X368+Z368-AB368)&gt;P_Tol,ABS(U368+W368+Y368+AA368-AD368)&gt;P_Tol,ABS(AE368+AG368+AI368+AK368-AM368)&gt;P_Tol,ABS(AF368+AH368+AJ368+AL368-AO368)&gt;P_Tol),1,0),1))</f>
        <v/>
      </c>
      <c r="CT368" s="124" t="str">
        <f>IF($B368="","",IFERROR(IF(OR(ABS(AB368+AC368-AD368)&gt;P_Tol,ABS(AM368+AN368-AO368)&gt;P_Tol,ABS(O368+P368-Q368)&gt;P_Tol),1,0),1))</f>
        <v/>
      </c>
      <c r="CU368" s="124" t="str">
        <f>IF($B368="","",IFERROR(IF(ABS(R368-(AB368+AM368+AP368+AR368+AT368+AV368+AX368+AZ368+BB368+BD368))&gt;P_Tol,1,0),1))</f>
        <v/>
      </c>
      <c r="CV368" s="124" t="str">
        <f>IF($B368="","",IFERROR(IF(ABS(M368-(N368+O368+R368))&gt;P_Tol,1,0),1))</f>
        <v/>
      </c>
      <c r="CW368" s="124" t="str">
        <f>IF($B368="","",IF(COUNTIF(Mapping!$A$5:$A$104,B368)&gt;0,1,0))</f>
        <v/>
      </c>
      <c r="CX368" s="124" t="str">
        <f>IF($B368="","",COUNTIF($B$6:$B$505,B368))</f>
        <v/>
      </c>
      <c r="CY368" s="124" t="str">
        <f>IF($B368="","",COUNTIF(STG_Woningetalage!$B$6:$B$505,B368))</f>
        <v/>
      </c>
      <c r="CZ368" s="124" t="str">
        <f>IF($B368="","",IF(CW368=0,COUNTIF($CW$6:CW368,0),""))</f>
        <v/>
      </c>
    </row>
    <row r="369">
      <c r="A369" s="15" t="n">
        <v>365</v>
      </c>
      <c r="B369" t="str">
        <f>IF(B$3=0,"",IF(INDEX(SRC_ZPMW03!$A$1:$ZZ$501,$A369,B$3)&amp;""="","",INDEX(SRC_ZPMW03!$A$1:$ZZ$501,$A369,B$3)&amp;""))</f>
        <v/>
      </c>
      <c r="C369" t="str">
        <f>IF($B369="","",IF(C$3=0,"n.b.",INDEX(SRC_ZPMW03!$A$1:$ZZ$501,$A369,C$3)))</f>
        <v/>
      </c>
      <c r="D369" t="str">
        <f>IF($B369="","",IF(D$3=0,"n.b.",INDEX(SRC_ZPMW03!$A$1:$ZZ$501,$A369,D$3)))</f>
        <v/>
      </c>
      <c r="E369" t="str">
        <f>IF($B369="","",IF(E$3=0,"n.b.",INDEX(SRC_ZPMW03!$A$1:$ZZ$501,$A369,E$3)))</f>
        <v/>
      </c>
      <c r="F369" t="str">
        <f>IF($B369="","",IF(F$3=0,"n.b.",INDEX(SRC_ZPMW03!$A$1:$ZZ$501,$A369,F$3)))</f>
        <v/>
      </c>
      <c r="G369" t="str">
        <f>IF($B369="","",IF(G$3=0,"n.b.",INDEX(SRC_ZPMW03!$A$1:$ZZ$501,$A369,G$3)))</f>
        <v/>
      </c>
      <c r="H369" t="str">
        <f>IF($B369="","",IF(H$3=0,"n.b.",INDEX(SRC_ZPMW03!$A$1:$ZZ$501,$A369,H$3)))</f>
        <v/>
      </c>
      <c r="I369" t="str">
        <f>IF($B369="","",IF(I$3=0,"n.b.",INDEX(SRC_ZPMW03!$A$1:$ZZ$501,$A369,I$3)))</f>
        <v/>
      </c>
      <c r="J369" t="str">
        <f>IF($B369="","",IF(J$3=0,"n.b.",INDEX(SRC_ZPMW03!$A$1:$ZZ$501,$A369,J$3)))</f>
        <v/>
      </c>
      <c r="K369" t="str">
        <f>IF($B369="","",IF(K$3=0,"n.b.",INDEX(SRC_ZPMW03!$A$1:$ZZ$501,$A369,K$3)))</f>
        <v/>
      </c>
      <c r="L369" s="124" t="str">
        <f>IF($B369="","",IF(L$3=0,"n.b.",INDEX(SRC_ZPMW03!$A$1:$ZZ$501,$A369,L$3)))</f>
        <v/>
      </c>
      <c r="M369" s="124" t="str">
        <f>IF($B369="","",IF(M$3=0,"n.b.",INDEX(SRC_ZPMW03!$A$1:$ZZ$501,$A369,M$3)))</f>
        <v/>
      </c>
      <c r="N369" s="124" t="str">
        <f>IF($B369="","",IF(N$3=0,"n.b.",INDEX(SRC_ZPMW03!$A$1:$ZZ$501,$A369,N$3)))</f>
        <v/>
      </c>
      <c r="O369" s="124" t="str">
        <f>IF($B369="","",IF(O$3=0,"n.b.",INDEX(SRC_ZPMW03!$A$1:$ZZ$501,$A369,O$3)))</f>
        <v/>
      </c>
      <c r="P369" s="124" t="str">
        <f>IF($B369="","",IF(P$3=0,"n.b.",INDEX(SRC_ZPMW03!$A$1:$ZZ$501,$A369,P$3)))</f>
        <v/>
      </c>
      <c r="Q369" s="124" t="str">
        <f>IF($B369="","",IF(Q$3=0,"n.b.",INDEX(SRC_ZPMW03!$A$1:$ZZ$501,$A369,Q$3)))</f>
        <v/>
      </c>
      <c r="R369" s="124" t="str">
        <f>IF($B369="","",IF(R$3=0,"n.b.",INDEX(SRC_ZPMW03!$A$1:$ZZ$501,$A369,R$3)))</f>
        <v/>
      </c>
      <c r="S369" s="124" t="str">
        <f>IF($B369="","",IF(S$3=0,"n.b.",INDEX(SRC_ZPMW03!$A$1:$ZZ$501,$A369,S$3)))</f>
        <v/>
      </c>
      <c r="T369" s="124" t="str">
        <f>IF($B369="","",IF(T$3=0,"n.b.",INDEX(SRC_ZPMW03!$A$1:$ZZ$501,$A369,T$3)))</f>
        <v/>
      </c>
      <c r="U369" s="124" t="str">
        <f>IF($B369="","",IF(U$3=0,"n.b.",INDEX(SRC_ZPMW03!$A$1:$ZZ$501,$A369,U$3)))</f>
        <v/>
      </c>
      <c r="V369" s="124" t="str">
        <f>IF($B369="","",IF(V$3=0,"n.b.",INDEX(SRC_ZPMW03!$A$1:$ZZ$501,$A369,V$3)))</f>
        <v/>
      </c>
      <c r="W369" s="124" t="str">
        <f>IF($B369="","",IF(W$3=0,"n.b.",INDEX(SRC_ZPMW03!$A$1:$ZZ$501,$A369,W$3)))</f>
        <v/>
      </c>
      <c r="X369" s="124" t="str">
        <f>IF($B369="","",IF(X$3=0,"n.b.",INDEX(SRC_ZPMW03!$A$1:$ZZ$501,$A369,X$3)))</f>
        <v/>
      </c>
      <c r="Y369" s="124" t="str">
        <f>IF($B369="","",IF(Y$3=0,"n.b.",INDEX(SRC_ZPMW03!$A$1:$ZZ$501,$A369,Y$3)))</f>
        <v/>
      </c>
      <c r="Z369" s="124" t="str">
        <f>IF($B369="","",IF(Z$3=0,"n.b.",INDEX(SRC_ZPMW03!$A$1:$ZZ$501,$A369,Z$3)))</f>
        <v/>
      </c>
      <c r="AA369" s="124" t="str">
        <f>IF($B369="","",IF(AA$3=0,"n.b.",INDEX(SRC_ZPMW03!$A$1:$ZZ$501,$A369,AA$3)))</f>
        <v/>
      </c>
      <c r="AB369" s="124" t="str">
        <f>IF($B369="","",IF(AB$3=0,"n.b.",INDEX(SRC_ZPMW03!$A$1:$ZZ$501,$A369,AB$3)))</f>
        <v/>
      </c>
      <c r="AC369" s="124" t="str">
        <f>IF($B369="","",IF(AC$3=0,"n.b.",INDEX(SRC_ZPMW03!$A$1:$ZZ$501,$A369,AC$3)))</f>
        <v/>
      </c>
      <c r="AD369" s="124" t="str">
        <f>IF($B369="","",IF(AD$3=0,"n.b.",INDEX(SRC_ZPMW03!$A$1:$ZZ$501,$A369,AD$3)))</f>
        <v/>
      </c>
      <c r="AE369" s="124" t="str">
        <f>IF($B369="","",IF(AE$3=0,"n.b.",INDEX(SRC_ZPMW03!$A$1:$ZZ$501,$A369,AE$3)))</f>
        <v/>
      </c>
      <c r="AF369" s="124" t="str">
        <f>IF($B369="","",IF(AF$3=0,"n.b.",INDEX(SRC_ZPMW03!$A$1:$ZZ$501,$A369,AF$3)))</f>
        <v/>
      </c>
      <c r="AG369" s="124" t="str">
        <f>IF($B369="","",IF(AG$3=0,"n.b.",INDEX(SRC_ZPMW03!$A$1:$ZZ$501,$A369,AG$3)))</f>
        <v/>
      </c>
      <c r="AH369" s="124" t="str">
        <f>IF($B369="","",IF(AH$3=0,"n.b.",INDEX(SRC_ZPMW03!$A$1:$ZZ$501,$A369,AH$3)))</f>
        <v/>
      </c>
      <c r="AI369" s="124" t="str">
        <f>IF($B369="","",IF(AI$3=0,"n.b.",INDEX(SRC_ZPMW03!$A$1:$ZZ$501,$A369,AI$3)))</f>
        <v/>
      </c>
      <c r="AJ369" s="124" t="str">
        <f>IF($B369="","",IF(AJ$3=0,"n.b.",INDEX(SRC_ZPMW03!$A$1:$ZZ$501,$A369,AJ$3)))</f>
        <v/>
      </c>
      <c r="AK369" s="124" t="str">
        <f>IF($B369="","",IF(AK$3=0,"n.b.",INDEX(SRC_ZPMW03!$A$1:$ZZ$501,$A369,AK$3)))</f>
        <v/>
      </c>
      <c r="AL369" s="124" t="str">
        <f>IF($B369="","",IF(AL$3=0,"n.b.",INDEX(SRC_ZPMW03!$A$1:$ZZ$501,$A369,AL$3)))</f>
        <v/>
      </c>
      <c r="AM369" s="124" t="str">
        <f>IF($B369="","",IF(AM$3=0,"n.b.",INDEX(SRC_ZPMW03!$A$1:$ZZ$501,$A369,AM$3)))</f>
        <v/>
      </c>
      <c r="AN369" s="124" t="str">
        <f>IF($B369="","",IF(AN$3=0,"n.b.",INDEX(SRC_ZPMW03!$A$1:$ZZ$501,$A369,AN$3)))</f>
        <v/>
      </c>
      <c r="AO369" s="124" t="str">
        <f>IF($B369="","",IF(AO$3=0,"n.b.",INDEX(SRC_ZPMW03!$A$1:$ZZ$501,$A369,AO$3)))</f>
        <v/>
      </c>
      <c r="AP369" s="124" t="str">
        <f>IF($B369="","",IF(AP$3=0,"n.b.",INDEX(SRC_ZPMW03!$A$1:$ZZ$501,$A369,AP$3)))</f>
        <v/>
      </c>
      <c r="AQ369" s="124" t="str">
        <f>IF($B369="","",IF(AQ$3=0,"n.b.",INDEX(SRC_ZPMW03!$A$1:$ZZ$501,$A369,AQ$3)))</f>
        <v/>
      </c>
      <c r="AR369" s="124" t="str">
        <f>IF($B369="","",IF(AR$3=0,"n.b.",INDEX(SRC_ZPMW03!$A$1:$ZZ$501,$A369,AR$3)))</f>
        <v/>
      </c>
      <c r="AS369" s="124" t="str">
        <f>IF($B369="","",IF(AS$3=0,"n.b.",INDEX(SRC_ZPMW03!$A$1:$ZZ$501,$A369,AS$3)))</f>
        <v/>
      </c>
      <c r="AT369" s="124" t="str">
        <f>IF($B369="","",IF(AT$3=0,"n.b.",INDEX(SRC_ZPMW03!$A$1:$ZZ$501,$A369,AT$3)))</f>
        <v/>
      </c>
      <c r="AU369" s="124" t="str">
        <f>IF($B369="","",IF(AU$3=0,"n.b.",INDEX(SRC_ZPMW03!$A$1:$ZZ$501,$A369,AU$3)))</f>
        <v/>
      </c>
      <c r="AV369" s="124" t="str">
        <f>IF($B369="","",IF(AV$3=0,"n.b.",INDEX(SRC_ZPMW03!$A$1:$ZZ$501,$A369,AV$3)))</f>
        <v/>
      </c>
      <c r="AW369" s="124" t="str">
        <f>IF($B369="","",IF(AW$3=0,"n.b.",INDEX(SRC_ZPMW03!$A$1:$ZZ$501,$A369,AW$3)))</f>
        <v/>
      </c>
      <c r="AX369" s="124" t="str">
        <f>IF($B369="","",IF(AX$3=0,"n.b.",INDEX(SRC_ZPMW03!$A$1:$ZZ$501,$A369,AX$3)))</f>
        <v/>
      </c>
      <c r="AY369" s="124" t="str">
        <f>IF($B369="","",IF(AY$3=0,"n.b.",INDEX(SRC_ZPMW03!$A$1:$ZZ$501,$A369,AY$3)))</f>
        <v/>
      </c>
      <c r="AZ369" s="124" t="str">
        <f>IF($B369="","",IF(AZ$3=0,"n.b.",INDEX(SRC_ZPMW03!$A$1:$ZZ$501,$A369,AZ$3)))</f>
        <v/>
      </c>
      <c r="BA369" s="124" t="str">
        <f>IF($B369="","",IF(BA$3=0,"n.b.",INDEX(SRC_ZPMW03!$A$1:$ZZ$501,$A369,BA$3)))</f>
        <v/>
      </c>
      <c r="BB369" s="124" t="str">
        <f>IF($B369="","",IF(BB$3=0,"n.b.",INDEX(SRC_ZPMW03!$A$1:$ZZ$501,$A369,BB$3)))</f>
        <v/>
      </c>
      <c r="BC369" s="124" t="str">
        <f>IF($B369="","",IF(BC$3=0,"n.b.",INDEX(SRC_ZPMW03!$A$1:$ZZ$501,$A369,BC$3)))</f>
        <v/>
      </c>
      <c r="BD369" s="124" t="str">
        <f>IF($B369="","",IF(BD$3=0,"n.b.",INDEX(SRC_ZPMW03!$A$1:$ZZ$501,$A369,BD$3)))</f>
        <v/>
      </c>
      <c r="BE369" s="124" t="str">
        <f>IF($B369="","",IF(BE$3=0,"n.b.",INDEX(SRC_ZPMW03!$A$1:$ZZ$501,$A369,BE$3)))</f>
        <v/>
      </c>
      <c r="BF369" s="124" t="str">
        <f>IF($B369="","",IF(BF$3=0,"n.b.",INDEX(SRC_ZPMW03!$A$1:$ZZ$501,$A369,BF$3)))</f>
        <v/>
      </c>
      <c r="BG369" t="str">
        <f>IF($B369="","",IF(BG$3=0,"n.b.",INDEX(SRC_ZPMW03!$A$1:$ZZ$501,$A369,BG$3)))</f>
        <v/>
      </c>
      <c r="BH369" t="str">
        <f>IF($B369="","",IF(BH$3=0,"n.b.",INDEX(SRC_ZPMW03!$A$1:$ZZ$501,$A369,BH$3)))</f>
        <v/>
      </c>
      <c r="BI369" t="str">
        <f>IF($B369="","",IF(BI$3=0,"n.b.",INDEX(SRC_ZPMW03!$A$1:$ZZ$501,$A369,BI$3)))</f>
        <v/>
      </c>
      <c r="BJ369" t="str">
        <f>IF($B369="","",IF(BJ$3=0,"n.b.",INDEX(SRC_ZPMW03!$A$1:$ZZ$501,$A369,BJ$3)))</f>
        <v/>
      </c>
      <c r="BK369" s="124" t="str">
        <f>IF($B369="","",IFERROR(-O369,"n.b."))</f>
        <v/>
      </c>
      <c r="BL369" s="124" t="str">
        <f>IF($B369="","",IFERROR(-Q369,"n.b."))</f>
        <v/>
      </c>
      <c r="BM369" s="124" t="str">
        <f>IF($B369="","",IFERROR(-AB369,"n.b."))</f>
        <v/>
      </c>
      <c r="BN369" s="124" t="str">
        <f>IF($B369="","",IFERROR(-AD369,"n.b."))</f>
        <v/>
      </c>
      <c r="BO369" s="124" t="str">
        <f>IF($B369="","",IFERROR(BK369+BM369,"n.b."))</f>
        <v/>
      </c>
      <c r="BP369" s="124" t="str">
        <f>IF($B369="","",IFERROR(BL369+BN369,"n.b."))</f>
        <v/>
      </c>
      <c r="BQ369" s="124" t="str">
        <f>IF($B369="","",IFERROR(-AM369,"n.b."))</f>
        <v/>
      </c>
      <c r="BR369" s="124" t="str">
        <f>IF($B369="","",IFERROR(-AO369,"n.b."))</f>
        <v/>
      </c>
      <c r="BS369" s="124" t="str">
        <f>IF($B369="","",IFERROR(-Z369,"n.b."))</f>
        <v/>
      </c>
      <c r="BT369" s="124" t="str">
        <f>IF($B369="","",IFERROR(-AA369,"n.b."))</f>
        <v/>
      </c>
      <c r="BU369" s="124" t="str">
        <f>IF($B369="","",IFERROR(-AE369,"n.b."))</f>
        <v/>
      </c>
      <c r="BV369" s="124" t="str">
        <f>IF($B369="","",IFERROR(-AF369,"n.b."))</f>
        <v/>
      </c>
      <c r="BW369" s="124" t="str">
        <f>IF($B369="","",IFERROR(-AG369,"n.b."))</f>
        <v/>
      </c>
      <c r="BX369" s="124" t="str">
        <f>IF($B369="","",IFERROR(-AH369,"n.b."))</f>
        <v/>
      </c>
      <c r="BY369" s="124" t="str">
        <f>IF($B369="","",IFERROR(-AI369,"n.b."))</f>
        <v/>
      </c>
      <c r="BZ369" s="124" t="str">
        <f>IF($B369="","",IFERROR(-AJ369,"n.b."))</f>
        <v/>
      </c>
      <c r="CA369" s="124" t="str">
        <f>IF($B369="","",IFERROR(-AK369,"n.b."))</f>
        <v/>
      </c>
      <c r="CB369" s="124" t="str">
        <f>IF($B369="","",IFERROR(-AL369,"n.b."))</f>
        <v/>
      </c>
      <c r="CC369" s="124" t="str">
        <f>IF($B369="","",IFERROR(-AP369,"n.b."))</f>
        <v/>
      </c>
      <c r="CD369" s="124" t="str">
        <f>IF($B369="","",IFERROR(-AQ369,"n.b."))</f>
        <v/>
      </c>
      <c r="CE369" s="124" t="str">
        <f>IF($B369="","",IFERROR(-AR369,"n.b."))</f>
        <v/>
      </c>
      <c r="CF369" s="124" t="str">
        <f>IF($B369="","",IFERROR(-AS369,"n.b."))</f>
        <v/>
      </c>
      <c r="CG369" s="124" t="str">
        <f>IF($B369="","",IFERROR(-AT369,"n.b."))</f>
        <v/>
      </c>
      <c r="CH369" s="124" t="str">
        <f>IF($B369="","",IFERROR(-AU369,"n.b."))</f>
        <v/>
      </c>
      <c r="CI369" s="124" t="str">
        <f>IF($B369="","",IFERROR(-AV369,"n.b."))</f>
        <v/>
      </c>
      <c r="CJ369" s="124" t="str">
        <f>IF($B369="","",IFERROR(-AW369,"n.b."))</f>
        <v/>
      </c>
      <c r="CK369" s="124" t="str">
        <f>IF($B369="","",IFERROR(-AX369,"n.b."))</f>
        <v/>
      </c>
      <c r="CL369" s="124" t="str">
        <f>IF($B369="","",IFERROR(-AY369,"n.b."))</f>
        <v/>
      </c>
      <c r="CM369" s="124" t="str">
        <f>IF($B369="","",IFERROR(-AZ369,"n.b."))</f>
        <v/>
      </c>
      <c r="CN369" s="124" t="str">
        <f>IF($B369="","",IFERROR(-BA369,"n.b."))</f>
        <v/>
      </c>
      <c r="CO369" s="124" t="str">
        <f>IF($B369="","",IFERROR(-BB369,"n.b."))</f>
        <v/>
      </c>
      <c r="CP369" s="124" t="str">
        <f>IF($B369="","",IFERROR(-BC369,"n.b."))</f>
        <v/>
      </c>
      <c r="CQ369" s="124" t="str">
        <f>IF($B369="","",IFERROR(-BD369,"n.b."))</f>
        <v/>
      </c>
      <c r="CR369" s="124" t="str">
        <f>IF($B369="","",IFERROR(-BE369,"n.b."))</f>
        <v/>
      </c>
      <c r="CS369" s="124" t="str">
        <f>IF($B369="","",IFERROR(IF(OR(ABS(T369+V369+X369+Z369-AB369)&gt;P_Tol,ABS(U369+W369+Y369+AA369-AD369)&gt;P_Tol,ABS(AE369+AG369+AI369+AK369-AM369)&gt;P_Tol,ABS(AF369+AH369+AJ369+AL369-AO369)&gt;P_Tol),1,0),1))</f>
        <v/>
      </c>
      <c r="CT369" s="124" t="str">
        <f>IF($B369="","",IFERROR(IF(OR(ABS(AB369+AC369-AD369)&gt;P_Tol,ABS(AM369+AN369-AO369)&gt;P_Tol,ABS(O369+P369-Q369)&gt;P_Tol),1,0),1))</f>
        <v/>
      </c>
      <c r="CU369" s="124" t="str">
        <f>IF($B369="","",IFERROR(IF(ABS(R369-(AB369+AM369+AP369+AR369+AT369+AV369+AX369+AZ369+BB369+BD369))&gt;P_Tol,1,0),1))</f>
        <v/>
      </c>
      <c r="CV369" s="124" t="str">
        <f>IF($B369="","",IFERROR(IF(ABS(M369-(N369+O369+R369))&gt;P_Tol,1,0),1))</f>
        <v/>
      </c>
      <c r="CW369" s="124" t="str">
        <f>IF($B369="","",IF(COUNTIF(Mapping!$A$5:$A$104,B369)&gt;0,1,0))</f>
        <v/>
      </c>
      <c r="CX369" s="124" t="str">
        <f>IF($B369="","",COUNTIF($B$6:$B$505,B369))</f>
        <v/>
      </c>
      <c r="CY369" s="124" t="str">
        <f>IF($B369="","",COUNTIF(STG_Woningetalage!$B$6:$B$505,B369))</f>
        <v/>
      </c>
      <c r="CZ369" s="124" t="str">
        <f>IF($B369="","",IF(CW369=0,COUNTIF($CW$6:CW369,0),""))</f>
        <v/>
      </c>
    </row>
    <row r="370">
      <c r="A370" s="15" t="n">
        <v>366</v>
      </c>
      <c r="B370" t="str">
        <f>IF(B$3=0,"",IF(INDEX(SRC_ZPMW03!$A$1:$ZZ$501,$A370,B$3)&amp;""="","",INDEX(SRC_ZPMW03!$A$1:$ZZ$501,$A370,B$3)&amp;""))</f>
        <v/>
      </c>
      <c r="C370" t="str">
        <f>IF($B370="","",IF(C$3=0,"n.b.",INDEX(SRC_ZPMW03!$A$1:$ZZ$501,$A370,C$3)))</f>
        <v/>
      </c>
      <c r="D370" t="str">
        <f>IF($B370="","",IF(D$3=0,"n.b.",INDEX(SRC_ZPMW03!$A$1:$ZZ$501,$A370,D$3)))</f>
        <v/>
      </c>
      <c r="E370" t="str">
        <f>IF($B370="","",IF(E$3=0,"n.b.",INDEX(SRC_ZPMW03!$A$1:$ZZ$501,$A370,E$3)))</f>
        <v/>
      </c>
      <c r="F370" t="str">
        <f>IF($B370="","",IF(F$3=0,"n.b.",INDEX(SRC_ZPMW03!$A$1:$ZZ$501,$A370,F$3)))</f>
        <v/>
      </c>
      <c r="G370" t="str">
        <f>IF($B370="","",IF(G$3=0,"n.b.",INDEX(SRC_ZPMW03!$A$1:$ZZ$501,$A370,G$3)))</f>
        <v/>
      </c>
      <c r="H370" t="str">
        <f>IF($B370="","",IF(H$3=0,"n.b.",INDEX(SRC_ZPMW03!$A$1:$ZZ$501,$A370,H$3)))</f>
        <v/>
      </c>
      <c r="I370" t="str">
        <f>IF($B370="","",IF(I$3=0,"n.b.",INDEX(SRC_ZPMW03!$A$1:$ZZ$501,$A370,I$3)))</f>
        <v/>
      </c>
      <c r="J370" t="str">
        <f>IF($B370="","",IF(J$3=0,"n.b.",INDEX(SRC_ZPMW03!$A$1:$ZZ$501,$A370,J$3)))</f>
        <v/>
      </c>
      <c r="K370" t="str">
        <f>IF($B370="","",IF(K$3=0,"n.b.",INDEX(SRC_ZPMW03!$A$1:$ZZ$501,$A370,K$3)))</f>
        <v/>
      </c>
      <c r="L370" s="124" t="str">
        <f>IF($B370="","",IF(L$3=0,"n.b.",INDEX(SRC_ZPMW03!$A$1:$ZZ$501,$A370,L$3)))</f>
        <v/>
      </c>
      <c r="M370" s="124" t="str">
        <f>IF($B370="","",IF(M$3=0,"n.b.",INDEX(SRC_ZPMW03!$A$1:$ZZ$501,$A370,M$3)))</f>
        <v/>
      </c>
      <c r="N370" s="124" t="str">
        <f>IF($B370="","",IF(N$3=0,"n.b.",INDEX(SRC_ZPMW03!$A$1:$ZZ$501,$A370,N$3)))</f>
        <v/>
      </c>
      <c r="O370" s="124" t="str">
        <f>IF($B370="","",IF(O$3=0,"n.b.",INDEX(SRC_ZPMW03!$A$1:$ZZ$501,$A370,O$3)))</f>
        <v/>
      </c>
      <c r="P370" s="124" t="str">
        <f>IF($B370="","",IF(P$3=0,"n.b.",INDEX(SRC_ZPMW03!$A$1:$ZZ$501,$A370,P$3)))</f>
        <v/>
      </c>
      <c r="Q370" s="124" t="str">
        <f>IF($B370="","",IF(Q$3=0,"n.b.",INDEX(SRC_ZPMW03!$A$1:$ZZ$501,$A370,Q$3)))</f>
        <v/>
      </c>
      <c r="R370" s="124" t="str">
        <f>IF($B370="","",IF(R$3=0,"n.b.",INDEX(SRC_ZPMW03!$A$1:$ZZ$501,$A370,R$3)))</f>
        <v/>
      </c>
      <c r="S370" s="124" t="str">
        <f>IF($B370="","",IF(S$3=0,"n.b.",INDEX(SRC_ZPMW03!$A$1:$ZZ$501,$A370,S$3)))</f>
        <v/>
      </c>
      <c r="T370" s="124" t="str">
        <f>IF($B370="","",IF(T$3=0,"n.b.",INDEX(SRC_ZPMW03!$A$1:$ZZ$501,$A370,T$3)))</f>
        <v/>
      </c>
      <c r="U370" s="124" t="str">
        <f>IF($B370="","",IF(U$3=0,"n.b.",INDEX(SRC_ZPMW03!$A$1:$ZZ$501,$A370,U$3)))</f>
        <v/>
      </c>
      <c r="V370" s="124" t="str">
        <f>IF($B370="","",IF(V$3=0,"n.b.",INDEX(SRC_ZPMW03!$A$1:$ZZ$501,$A370,V$3)))</f>
        <v/>
      </c>
      <c r="W370" s="124" t="str">
        <f>IF($B370="","",IF(W$3=0,"n.b.",INDEX(SRC_ZPMW03!$A$1:$ZZ$501,$A370,W$3)))</f>
        <v/>
      </c>
      <c r="X370" s="124" t="str">
        <f>IF($B370="","",IF(X$3=0,"n.b.",INDEX(SRC_ZPMW03!$A$1:$ZZ$501,$A370,X$3)))</f>
        <v/>
      </c>
      <c r="Y370" s="124" t="str">
        <f>IF($B370="","",IF(Y$3=0,"n.b.",INDEX(SRC_ZPMW03!$A$1:$ZZ$501,$A370,Y$3)))</f>
        <v/>
      </c>
      <c r="Z370" s="124" t="str">
        <f>IF($B370="","",IF(Z$3=0,"n.b.",INDEX(SRC_ZPMW03!$A$1:$ZZ$501,$A370,Z$3)))</f>
        <v/>
      </c>
      <c r="AA370" s="124" t="str">
        <f>IF($B370="","",IF(AA$3=0,"n.b.",INDEX(SRC_ZPMW03!$A$1:$ZZ$501,$A370,AA$3)))</f>
        <v/>
      </c>
      <c r="AB370" s="124" t="str">
        <f>IF($B370="","",IF(AB$3=0,"n.b.",INDEX(SRC_ZPMW03!$A$1:$ZZ$501,$A370,AB$3)))</f>
        <v/>
      </c>
      <c r="AC370" s="124" t="str">
        <f>IF($B370="","",IF(AC$3=0,"n.b.",INDEX(SRC_ZPMW03!$A$1:$ZZ$501,$A370,AC$3)))</f>
        <v/>
      </c>
      <c r="AD370" s="124" t="str">
        <f>IF($B370="","",IF(AD$3=0,"n.b.",INDEX(SRC_ZPMW03!$A$1:$ZZ$501,$A370,AD$3)))</f>
        <v/>
      </c>
      <c r="AE370" s="124" t="str">
        <f>IF($B370="","",IF(AE$3=0,"n.b.",INDEX(SRC_ZPMW03!$A$1:$ZZ$501,$A370,AE$3)))</f>
        <v/>
      </c>
      <c r="AF370" s="124" t="str">
        <f>IF($B370="","",IF(AF$3=0,"n.b.",INDEX(SRC_ZPMW03!$A$1:$ZZ$501,$A370,AF$3)))</f>
        <v/>
      </c>
      <c r="AG370" s="124" t="str">
        <f>IF($B370="","",IF(AG$3=0,"n.b.",INDEX(SRC_ZPMW03!$A$1:$ZZ$501,$A370,AG$3)))</f>
        <v/>
      </c>
      <c r="AH370" s="124" t="str">
        <f>IF($B370="","",IF(AH$3=0,"n.b.",INDEX(SRC_ZPMW03!$A$1:$ZZ$501,$A370,AH$3)))</f>
        <v/>
      </c>
      <c r="AI370" s="124" t="str">
        <f>IF($B370="","",IF(AI$3=0,"n.b.",INDEX(SRC_ZPMW03!$A$1:$ZZ$501,$A370,AI$3)))</f>
        <v/>
      </c>
      <c r="AJ370" s="124" t="str">
        <f>IF($B370="","",IF(AJ$3=0,"n.b.",INDEX(SRC_ZPMW03!$A$1:$ZZ$501,$A370,AJ$3)))</f>
        <v/>
      </c>
      <c r="AK370" s="124" t="str">
        <f>IF($B370="","",IF(AK$3=0,"n.b.",INDEX(SRC_ZPMW03!$A$1:$ZZ$501,$A370,AK$3)))</f>
        <v/>
      </c>
      <c r="AL370" s="124" t="str">
        <f>IF($B370="","",IF(AL$3=0,"n.b.",INDEX(SRC_ZPMW03!$A$1:$ZZ$501,$A370,AL$3)))</f>
        <v/>
      </c>
      <c r="AM370" s="124" t="str">
        <f>IF($B370="","",IF(AM$3=0,"n.b.",INDEX(SRC_ZPMW03!$A$1:$ZZ$501,$A370,AM$3)))</f>
        <v/>
      </c>
      <c r="AN370" s="124" t="str">
        <f>IF($B370="","",IF(AN$3=0,"n.b.",INDEX(SRC_ZPMW03!$A$1:$ZZ$501,$A370,AN$3)))</f>
        <v/>
      </c>
      <c r="AO370" s="124" t="str">
        <f>IF($B370="","",IF(AO$3=0,"n.b.",INDEX(SRC_ZPMW03!$A$1:$ZZ$501,$A370,AO$3)))</f>
        <v/>
      </c>
      <c r="AP370" s="124" t="str">
        <f>IF($B370="","",IF(AP$3=0,"n.b.",INDEX(SRC_ZPMW03!$A$1:$ZZ$501,$A370,AP$3)))</f>
        <v/>
      </c>
      <c r="AQ370" s="124" t="str">
        <f>IF($B370="","",IF(AQ$3=0,"n.b.",INDEX(SRC_ZPMW03!$A$1:$ZZ$501,$A370,AQ$3)))</f>
        <v/>
      </c>
      <c r="AR370" s="124" t="str">
        <f>IF($B370="","",IF(AR$3=0,"n.b.",INDEX(SRC_ZPMW03!$A$1:$ZZ$501,$A370,AR$3)))</f>
        <v/>
      </c>
      <c r="AS370" s="124" t="str">
        <f>IF($B370="","",IF(AS$3=0,"n.b.",INDEX(SRC_ZPMW03!$A$1:$ZZ$501,$A370,AS$3)))</f>
        <v/>
      </c>
      <c r="AT370" s="124" t="str">
        <f>IF($B370="","",IF(AT$3=0,"n.b.",INDEX(SRC_ZPMW03!$A$1:$ZZ$501,$A370,AT$3)))</f>
        <v/>
      </c>
      <c r="AU370" s="124" t="str">
        <f>IF($B370="","",IF(AU$3=0,"n.b.",INDEX(SRC_ZPMW03!$A$1:$ZZ$501,$A370,AU$3)))</f>
        <v/>
      </c>
      <c r="AV370" s="124" t="str">
        <f>IF($B370="","",IF(AV$3=0,"n.b.",INDEX(SRC_ZPMW03!$A$1:$ZZ$501,$A370,AV$3)))</f>
        <v/>
      </c>
      <c r="AW370" s="124" t="str">
        <f>IF($B370="","",IF(AW$3=0,"n.b.",INDEX(SRC_ZPMW03!$A$1:$ZZ$501,$A370,AW$3)))</f>
        <v/>
      </c>
      <c r="AX370" s="124" t="str">
        <f>IF($B370="","",IF(AX$3=0,"n.b.",INDEX(SRC_ZPMW03!$A$1:$ZZ$501,$A370,AX$3)))</f>
        <v/>
      </c>
      <c r="AY370" s="124" t="str">
        <f>IF($B370="","",IF(AY$3=0,"n.b.",INDEX(SRC_ZPMW03!$A$1:$ZZ$501,$A370,AY$3)))</f>
        <v/>
      </c>
      <c r="AZ370" s="124" t="str">
        <f>IF($B370="","",IF(AZ$3=0,"n.b.",INDEX(SRC_ZPMW03!$A$1:$ZZ$501,$A370,AZ$3)))</f>
        <v/>
      </c>
      <c r="BA370" s="124" t="str">
        <f>IF($B370="","",IF(BA$3=0,"n.b.",INDEX(SRC_ZPMW03!$A$1:$ZZ$501,$A370,BA$3)))</f>
        <v/>
      </c>
      <c r="BB370" s="124" t="str">
        <f>IF($B370="","",IF(BB$3=0,"n.b.",INDEX(SRC_ZPMW03!$A$1:$ZZ$501,$A370,BB$3)))</f>
        <v/>
      </c>
      <c r="BC370" s="124" t="str">
        <f>IF($B370="","",IF(BC$3=0,"n.b.",INDEX(SRC_ZPMW03!$A$1:$ZZ$501,$A370,BC$3)))</f>
        <v/>
      </c>
      <c r="BD370" s="124" t="str">
        <f>IF($B370="","",IF(BD$3=0,"n.b.",INDEX(SRC_ZPMW03!$A$1:$ZZ$501,$A370,BD$3)))</f>
        <v/>
      </c>
      <c r="BE370" s="124" t="str">
        <f>IF($B370="","",IF(BE$3=0,"n.b.",INDEX(SRC_ZPMW03!$A$1:$ZZ$501,$A370,BE$3)))</f>
        <v/>
      </c>
      <c r="BF370" s="124" t="str">
        <f>IF($B370="","",IF(BF$3=0,"n.b.",INDEX(SRC_ZPMW03!$A$1:$ZZ$501,$A370,BF$3)))</f>
        <v/>
      </c>
      <c r="BG370" t="str">
        <f>IF($B370="","",IF(BG$3=0,"n.b.",INDEX(SRC_ZPMW03!$A$1:$ZZ$501,$A370,BG$3)))</f>
        <v/>
      </c>
      <c r="BH370" t="str">
        <f>IF($B370="","",IF(BH$3=0,"n.b.",INDEX(SRC_ZPMW03!$A$1:$ZZ$501,$A370,BH$3)))</f>
        <v/>
      </c>
      <c r="BI370" t="str">
        <f>IF($B370="","",IF(BI$3=0,"n.b.",INDEX(SRC_ZPMW03!$A$1:$ZZ$501,$A370,BI$3)))</f>
        <v/>
      </c>
      <c r="BJ370" t="str">
        <f>IF($B370="","",IF(BJ$3=0,"n.b.",INDEX(SRC_ZPMW03!$A$1:$ZZ$501,$A370,BJ$3)))</f>
        <v/>
      </c>
      <c r="BK370" s="124" t="str">
        <f>IF($B370="","",IFERROR(-O370,"n.b."))</f>
        <v/>
      </c>
      <c r="BL370" s="124" t="str">
        <f>IF($B370="","",IFERROR(-Q370,"n.b."))</f>
        <v/>
      </c>
      <c r="BM370" s="124" t="str">
        <f>IF($B370="","",IFERROR(-AB370,"n.b."))</f>
        <v/>
      </c>
      <c r="BN370" s="124" t="str">
        <f>IF($B370="","",IFERROR(-AD370,"n.b."))</f>
        <v/>
      </c>
      <c r="BO370" s="124" t="str">
        <f>IF($B370="","",IFERROR(BK370+BM370,"n.b."))</f>
        <v/>
      </c>
      <c r="BP370" s="124" t="str">
        <f>IF($B370="","",IFERROR(BL370+BN370,"n.b."))</f>
        <v/>
      </c>
      <c r="BQ370" s="124" t="str">
        <f>IF($B370="","",IFERROR(-AM370,"n.b."))</f>
        <v/>
      </c>
      <c r="BR370" s="124" t="str">
        <f>IF($B370="","",IFERROR(-AO370,"n.b."))</f>
        <v/>
      </c>
      <c r="BS370" s="124" t="str">
        <f>IF($B370="","",IFERROR(-Z370,"n.b."))</f>
        <v/>
      </c>
      <c r="BT370" s="124" t="str">
        <f>IF($B370="","",IFERROR(-AA370,"n.b."))</f>
        <v/>
      </c>
      <c r="BU370" s="124" t="str">
        <f>IF($B370="","",IFERROR(-AE370,"n.b."))</f>
        <v/>
      </c>
      <c r="BV370" s="124" t="str">
        <f>IF($B370="","",IFERROR(-AF370,"n.b."))</f>
        <v/>
      </c>
      <c r="BW370" s="124" t="str">
        <f>IF($B370="","",IFERROR(-AG370,"n.b."))</f>
        <v/>
      </c>
      <c r="BX370" s="124" t="str">
        <f>IF($B370="","",IFERROR(-AH370,"n.b."))</f>
        <v/>
      </c>
      <c r="BY370" s="124" t="str">
        <f>IF($B370="","",IFERROR(-AI370,"n.b."))</f>
        <v/>
      </c>
      <c r="BZ370" s="124" t="str">
        <f>IF($B370="","",IFERROR(-AJ370,"n.b."))</f>
        <v/>
      </c>
      <c r="CA370" s="124" t="str">
        <f>IF($B370="","",IFERROR(-AK370,"n.b."))</f>
        <v/>
      </c>
      <c r="CB370" s="124" t="str">
        <f>IF($B370="","",IFERROR(-AL370,"n.b."))</f>
        <v/>
      </c>
      <c r="CC370" s="124" t="str">
        <f>IF($B370="","",IFERROR(-AP370,"n.b."))</f>
        <v/>
      </c>
      <c r="CD370" s="124" t="str">
        <f>IF($B370="","",IFERROR(-AQ370,"n.b."))</f>
        <v/>
      </c>
      <c r="CE370" s="124" t="str">
        <f>IF($B370="","",IFERROR(-AR370,"n.b."))</f>
        <v/>
      </c>
      <c r="CF370" s="124" t="str">
        <f>IF($B370="","",IFERROR(-AS370,"n.b."))</f>
        <v/>
      </c>
      <c r="CG370" s="124" t="str">
        <f>IF($B370="","",IFERROR(-AT370,"n.b."))</f>
        <v/>
      </c>
      <c r="CH370" s="124" t="str">
        <f>IF($B370="","",IFERROR(-AU370,"n.b."))</f>
        <v/>
      </c>
      <c r="CI370" s="124" t="str">
        <f>IF($B370="","",IFERROR(-AV370,"n.b."))</f>
        <v/>
      </c>
      <c r="CJ370" s="124" t="str">
        <f>IF($B370="","",IFERROR(-AW370,"n.b."))</f>
        <v/>
      </c>
      <c r="CK370" s="124" t="str">
        <f>IF($B370="","",IFERROR(-AX370,"n.b."))</f>
        <v/>
      </c>
      <c r="CL370" s="124" t="str">
        <f>IF($B370="","",IFERROR(-AY370,"n.b."))</f>
        <v/>
      </c>
      <c r="CM370" s="124" t="str">
        <f>IF($B370="","",IFERROR(-AZ370,"n.b."))</f>
        <v/>
      </c>
      <c r="CN370" s="124" t="str">
        <f>IF($B370="","",IFERROR(-BA370,"n.b."))</f>
        <v/>
      </c>
      <c r="CO370" s="124" t="str">
        <f>IF($B370="","",IFERROR(-BB370,"n.b."))</f>
        <v/>
      </c>
      <c r="CP370" s="124" t="str">
        <f>IF($B370="","",IFERROR(-BC370,"n.b."))</f>
        <v/>
      </c>
      <c r="CQ370" s="124" t="str">
        <f>IF($B370="","",IFERROR(-BD370,"n.b."))</f>
        <v/>
      </c>
      <c r="CR370" s="124" t="str">
        <f>IF($B370="","",IFERROR(-BE370,"n.b."))</f>
        <v/>
      </c>
      <c r="CS370" s="124" t="str">
        <f>IF($B370="","",IFERROR(IF(OR(ABS(T370+V370+X370+Z370-AB370)&gt;P_Tol,ABS(U370+W370+Y370+AA370-AD370)&gt;P_Tol,ABS(AE370+AG370+AI370+AK370-AM370)&gt;P_Tol,ABS(AF370+AH370+AJ370+AL370-AO370)&gt;P_Tol),1,0),1))</f>
        <v/>
      </c>
      <c r="CT370" s="124" t="str">
        <f>IF($B370="","",IFERROR(IF(OR(ABS(AB370+AC370-AD370)&gt;P_Tol,ABS(AM370+AN370-AO370)&gt;P_Tol,ABS(O370+P370-Q370)&gt;P_Tol),1,0),1))</f>
        <v/>
      </c>
      <c r="CU370" s="124" t="str">
        <f>IF($B370="","",IFERROR(IF(ABS(R370-(AB370+AM370+AP370+AR370+AT370+AV370+AX370+AZ370+BB370+BD370))&gt;P_Tol,1,0),1))</f>
        <v/>
      </c>
      <c r="CV370" s="124" t="str">
        <f>IF($B370="","",IFERROR(IF(ABS(M370-(N370+O370+R370))&gt;P_Tol,1,0),1))</f>
        <v/>
      </c>
      <c r="CW370" s="124" t="str">
        <f>IF($B370="","",IF(COUNTIF(Mapping!$A$5:$A$104,B370)&gt;0,1,0))</f>
        <v/>
      </c>
      <c r="CX370" s="124" t="str">
        <f>IF($B370="","",COUNTIF($B$6:$B$505,B370))</f>
        <v/>
      </c>
      <c r="CY370" s="124" t="str">
        <f>IF($B370="","",COUNTIF(STG_Woningetalage!$B$6:$B$505,B370))</f>
        <v/>
      </c>
      <c r="CZ370" s="124" t="str">
        <f>IF($B370="","",IF(CW370=0,COUNTIF($CW$6:CW370,0),""))</f>
        <v/>
      </c>
    </row>
    <row r="371">
      <c r="A371" s="15" t="n">
        <v>367</v>
      </c>
      <c r="B371" t="str">
        <f>IF(B$3=0,"",IF(INDEX(SRC_ZPMW03!$A$1:$ZZ$501,$A371,B$3)&amp;""="","",INDEX(SRC_ZPMW03!$A$1:$ZZ$501,$A371,B$3)&amp;""))</f>
        <v/>
      </c>
      <c r="C371" t="str">
        <f>IF($B371="","",IF(C$3=0,"n.b.",INDEX(SRC_ZPMW03!$A$1:$ZZ$501,$A371,C$3)))</f>
        <v/>
      </c>
      <c r="D371" t="str">
        <f>IF($B371="","",IF(D$3=0,"n.b.",INDEX(SRC_ZPMW03!$A$1:$ZZ$501,$A371,D$3)))</f>
        <v/>
      </c>
      <c r="E371" t="str">
        <f>IF($B371="","",IF(E$3=0,"n.b.",INDEX(SRC_ZPMW03!$A$1:$ZZ$501,$A371,E$3)))</f>
        <v/>
      </c>
      <c r="F371" t="str">
        <f>IF($B371="","",IF(F$3=0,"n.b.",INDEX(SRC_ZPMW03!$A$1:$ZZ$501,$A371,F$3)))</f>
        <v/>
      </c>
      <c r="G371" t="str">
        <f>IF($B371="","",IF(G$3=0,"n.b.",INDEX(SRC_ZPMW03!$A$1:$ZZ$501,$A371,G$3)))</f>
        <v/>
      </c>
      <c r="H371" t="str">
        <f>IF($B371="","",IF(H$3=0,"n.b.",INDEX(SRC_ZPMW03!$A$1:$ZZ$501,$A371,H$3)))</f>
        <v/>
      </c>
      <c r="I371" t="str">
        <f>IF($B371="","",IF(I$3=0,"n.b.",INDEX(SRC_ZPMW03!$A$1:$ZZ$501,$A371,I$3)))</f>
        <v/>
      </c>
      <c r="J371" t="str">
        <f>IF($B371="","",IF(J$3=0,"n.b.",INDEX(SRC_ZPMW03!$A$1:$ZZ$501,$A371,J$3)))</f>
        <v/>
      </c>
      <c r="K371" t="str">
        <f>IF($B371="","",IF(K$3=0,"n.b.",INDEX(SRC_ZPMW03!$A$1:$ZZ$501,$A371,K$3)))</f>
        <v/>
      </c>
      <c r="L371" s="124" t="str">
        <f>IF($B371="","",IF(L$3=0,"n.b.",INDEX(SRC_ZPMW03!$A$1:$ZZ$501,$A371,L$3)))</f>
        <v/>
      </c>
      <c r="M371" s="124" t="str">
        <f>IF($B371="","",IF(M$3=0,"n.b.",INDEX(SRC_ZPMW03!$A$1:$ZZ$501,$A371,M$3)))</f>
        <v/>
      </c>
      <c r="N371" s="124" t="str">
        <f>IF($B371="","",IF(N$3=0,"n.b.",INDEX(SRC_ZPMW03!$A$1:$ZZ$501,$A371,N$3)))</f>
        <v/>
      </c>
      <c r="O371" s="124" t="str">
        <f>IF($B371="","",IF(O$3=0,"n.b.",INDEX(SRC_ZPMW03!$A$1:$ZZ$501,$A371,O$3)))</f>
        <v/>
      </c>
      <c r="P371" s="124" t="str">
        <f>IF($B371="","",IF(P$3=0,"n.b.",INDEX(SRC_ZPMW03!$A$1:$ZZ$501,$A371,P$3)))</f>
        <v/>
      </c>
      <c r="Q371" s="124" t="str">
        <f>IF($B371="","",IF(Q$3=0,"n.b.",INDEX(SRC_ZPMW03!$A$1:$ZZ$501,$A371,Q$3)))</f>
        <v/>
      </c>
      <c r="R371" s="124" t="str">
        <f>IF($B371="","",IF(R$3=0,"n.b.",INDEX(SRC_ZPMW03!$A$1:$ZZ$501,$A371,R$3)))</f>
        <v/>
      </c>
      <c r="S371" s="124" t="str">
        <f>IF($B371="","",IF(S$3=0,"n.b.",INDEX(SRC_ZPMW03!$A$1:$ZZ$501,$A371,S$3)))</f>
        <v/>
      </c>
      <c r="T371" s="124" t="str">
        <f>IF($B371="","",IF(T$3=0,"n.b.",INDEX(SRC_ZPMW03!$A$1:$ZZ$501,$A371,T$3)))</f>
        <v/>
      </c>
      <c r="U371" s="124" t="str">
        <f>IF($B371="","",IF(U$3=0,"n.b.",INDEX(SRC_ZPMW03!$A$1:$ZZ$501,$A371,U$3)))</f>
        <v/>
      </c>
      <c r="V371" s="124" t="str">
        <f>IF($B371="","",IF(V$3=0,"n.b.",INDEX(SRC_ZPMW03!$A$1:$ZZ$501,$A371,V$3)))</f>
        <v/>
      </c>
      <c r="W371" s="124" t="str">
        <f>IF($B371="","",IF(W$3=0,"n.b.",INDEX(SRC_ZPMW03!$A$1:$ZZ$501,$A371,W$3)))</f>
        <v/>
      </c>
      <c r="X371" s="124" t="str">
        <f>IF($B371="","",IF(X$3=0,"n.b.",INDEX(SRC_ZPMW03!$A$1:$ZZ$501,$A371,X$3)))</f>
        <v/>
      </c>
      <c r="Y371" s="124" t="str">
        <f>IF($B371="","",IF(Y$3=0,"n.b.",INDEX(SRC_ZPMW03!$A$1:$ZZ$501,$A371,Y$3)))</f>
        <v/>
      </c>
      <c r="Z371" s="124" t="str">
        <f>IF($B371="","",IF(Z$3=0,"n.b.",INDEX(SRC_ZPMW03!$A$1:$ZZ$501,$A371,Z$3)))</f>
        <v/>
      </c>
      <c r="AA371" s="124" t="str">
        <f>IF($B371="","",IF(AA$3=0,"n.b.",INDEX(SRC_ZPMW03!$A$1:$ZZ$501,$A371,AA$3)))</f>
        <v/>
      </c>
      <c r="AB371" s="124" t="str">
        <f>IF($B371="","",IF(AB$3=0,"n.b.",INDEX(SRC_ZPMW03!$A$1:$ZZ$501,$A371,AB$3)))</f>
        <v/>
      </c>
      <c r="AC371" s="124" t="str">
        <f>IF($B371="","",IF(AC$3=0,"n.b.",INDEX(SRC_ZPMW03!$A$1:$ZZ$501,$A371,AC$3)))</f>
        <v/>
      </c>
      <c r="AD371" s="124" t="str">
        <f>IF($B371="","",IF(AD$3=0,"n.b.",INDEX(SRC_ZPMW03!$A$1:$ZZ$501,$A371,AD$3)))</f>
        <v/>
      </c>
      <c r="AE371" s="124" t="str">
        <f>IF($B371="","",IF(AE$3=0,"n.b.",INDEX(SRC_ZPMW03!$A$1:$ZZ$501,$A371,AE$3)))</f>
        <v/>
      </c>
      <c r="AF371" s="124" t="str">
        <f>IF($B371="","",IF(AF$3=0,"n.b.",INDEX(SRC_ZPMW03!$A$1:$ZZ$501,$A371,AF$3)))</f>
        <v/>
      </c>
      <c r="AG371" s="124" t="str">
        <f>IF($B371="","",IF(AG$3=0,"n.b.",INDEX(SRC_ZPMW03!$A$1:$ZZ$501,$A371,AG$3)))</f>
        <v/>
      </c>
      <c r="AH371" s="124" t="str">
        <f>IF($B371="","",IF(AH$3=0,"n.b.",INDEX(SRC_ZPMW03!$A$1:$ZZ$501,$A371,AH$3)))</f>
        <v/>
      </c>
      <c r="AI371" s="124" t="str">
        <f>IF($B371="","",IF(AI$3=0,"n.b.",INDEX(SRC_ZPMW03!$A$1:$ZZ$501,$A371,AI$3)))</f>
        <v/>
      </c>
      <c r="AJ371" s="124" t="str">
        <f>IF($B371="","",IF(AJ$3=0,"n.b.",INDEX(SRC_ZPMW03!$A$1:$ZZ$501,$A371,AJ$3)))</f>
        <v/>
      </c>
      <c r="AK371" s="124" t="str">
        <f>IF($B371="","",IF(AK$3=0,"n.b.",INDEX(SRC_ZPMW03!$A$1:$ZZ$501,$A371,AK$3)))</f>
        <v/>
      </c>
      <c r="AL371" s="124" t="str">
        <f>IF($B371="","",IF(AL$3=0,"n.b.",INDEX(SRC_ZPMW03!$A$1:$ZZ$501,$A371,AL$3)))</f>
        <v/>
      </c>
      <c r="AM371" s="124" t="str">
        <f>IF($B371="","",IF(AM$3=0,"n.b.",INDEX(SRC_ZPMW03!$A$1:$ZZ$501,$A371,AM$3)))</f>
        <v/>
      </c>
      <c r="AN371" s="124" t="str">
        <f>IF($B371="","",IF(AN$3=0,"n.b.",INDEX(SRC_ZPMW03!$A$1:$ZZ$501,$A371,AN$3)))</f>
        <v/>
      </c>
      <c r="AO371" s="124" t="str">
        <f>IF($B371="","",IF(AO$3=0,"n.b.",INDEX(SRC_ZPMW03!$A$1:$ZZ$501,$A371,AO$3)))</f>
        <v/>
      </c>
      <c r="AP371" s="124" t="str">
        <f>IF($B371="","",IF(AP$3=0,"n.b.",INDEX(SRC_ZPMW03!$A$1:$ZZ$501,$A371,AP$3)))</f>
        <v/>
      </c>
      <c r="AQ371" s="124" t="str">
        <f>IF($B371="","",IF(AQ$3=0,"n.b.",INDEX(SRC_ZPMW03!$A$1:$ZZ$501,$A371,AQ$3)))</f>
        <v/>
      </c>
      <c r="AR371" s="124" t="str">
        <f>IF($B371="","",IF(AR$3=0,"n.b.",INDEX(SRC_ZPMW03!$A$1:$ZZ$501,$A371,AR$3)))</f>
        <v/>
      </c>
      <c r="AS371" s="124" t="str">
        <f>IF($B371="","",IF(AS$3=0,"n.b.",INDEX(SRC_ZPMW03!$A$1:$ZZ$501,$A371,AS$3)))</f>
        <v/>
      </c>
      <c r="AT371" s="124" t="str">
        <f>IF($B371="","",IF(AT$3=0,"n.b.",INDEX(SRC_ZPMW03!$A$1:$ZZ$501,$A371,AT$3)))</f>
        <v/>
      </c>
      <c r="AU371" s="124" t="str">
        <f>IF($B371="","",IF(AU$3=0,"n.b.",INDEX(SRC_ZPMW03!$A$1:$ZZ$501,$A371,AU$3)))</f>
        <v/>
      </c>
      <c r="AV371" s="124" t="str">
        <f>IF($B371="","",IF(AV$3=0,"n.b.",INDEX(SRC_ZPMW03!$A$1:$ZZ$501,$A371,AV$3)))</f>
        <v/>
      </c>
      <c r="AW371" s="124" t="str">
        <f>IF($B371="","",IF(AW$3=0,"n.b.",INDEX(SRC_ZPMW03!$A$1:$ZZ$501,$A371,AW$3)))</f>
        <v/>
      </c>
      <c r="AX371" s="124" t="str">
        <f>IF($B371="","",IF(AX$3=0,"n.b.",INDEX(SRC_ZPMW03!$A$1:$ZZ$501,$A371,AX$3)))</f>
        <v/>
      </c>
      <c r="AY371" s="124" t="str">
        <f>IF($B371="","",IF(AY$3=0,"n.b.",INDEX(SRC_ZPMW03!$A$1:$ZZ$501,$A371,AY$3)))</f>
        <v/>
      </c>
      <c r="AZ371" s="124" t="str">
        <f>IF($B371="","",IF(AZ$3=0,"n.b.",INDEX(SRC_ZPMW03!$A$1:$ZZ$501,$A371,AZ$3)))</f>
        <v/>
      </c>
      <c r="BA371" s="124" t="str">
        <f>IF($B371="","",IF(BA$3=0,"n.b.",INDEX(SRC_ZPMW03!$A$1:$ZZ$501,$A371,BA$3)))</f>
        <v/>
      </c>
      <c r="BB371" s="124" t="str">
        <f>IF($B371="","",IF(BB$3=0,"n.b.",INDEX(SRC_ZPMW03!$A$1:$ZZ$501,$A371,BB$3)))</f>
        <v/>
      </c>
      <c r="BC371" s="124" t="str">
        <f>IF($B371="","",IF(BC$3=0,"n.b.",INDEX(SRC_ZPMW03!$A$1:$ZZ$501,$A371,BC$3)))</f>
        <v/>
      </c>
      <c r="BD371" s="124" t="str">
        <f>IF($B371="","",IF(BD$3=0,"n.b.",INDEX(SRC_ZPMW03!$A$1:$ZZ$501,$A371,BD$3)))</f>
        <v/>
      </c>
      <c r="BE371" s="124" t="str">
        <f>IF($B371="","",IF(BE$3=0,"n.b.",INDEX(SRC_ZPMW03!$A$1:$ZZ$501,$A371,BE$3)))</f>
        <v/>
      </c>
      <c r="BF371" s="124" t="str">
        <f>IF($B371="","",IF(BF$3=0,"n.b.",INDEX(SRC_ZPMW03!$A$1:$ZZ$501,$A371,BF$3)))</f>
        <v/>
      </c>
      <c r="BG371" t="str">
        <f>IF($B371="","",IF(BG$3=0,"n.b.",INDEX(SRC_ZPMW03!$A$1:$ZZ$501,$A371,BG$3)))</f>
        <v/>
      </c>
      <c r="BH371" t="str">
        <f>IF($B371="","",IF(BH$3=0,"n.b.",INDEX(SRC_ZPMW03!$A$1:$ZZ$501,$A371,BH$3)))</f>
        <v/>
      </c>
      <c r="BI371" t="str">
        <f>IF($B371="","",IF(BI$3=0,"n.b.",INDEX(SRC_ZPMW03!$A$1:$ZZ$501,$A371,BI$3)))</f>
        <v/>
      </c>
      <c r="BJ371" t="str">
        <f>IF($B371="","",IF(BJ$3=0,"n.b.",INDEX(SRC_ZPMW03!$A$1:$ZZ$501,$A371,BJ$3)))</f>
        <v/>
      </c>
      <c r="BK371" s="124" t="str">
        <f>IF($B371="","",IFERROR(-O371,"n.b."))</f>
        <v/>
      </c>
      <c r="BL371" s="124" t="str">
        <f>IF($B371="","",IFERROR(-Q371,"n.b."))</f>
        <v/>
      </c>
      <c r="BM371" s="124" t="str">
        <f>IF($B371="","",IFERROR(-AB371,"n.b."))</f>
        <v/>
      </c>
      <c r="BN371" s="124" t="str">
        <f>IF($B371="","",IFERROR(-AD371,"n.b."))</f>
        <v/>
      </c>
      <c r="BO371" s="124" t="str">
        <f>IF($B371="","",IFERROR(BK371+BM371,"n.b."))</f>
        <v/>
      </c>
      <c r="BP371" s="124" t="str">
        <f>IF($B371="","",IFERROR(BL371+BN371,"n.b."))</f>
        <v/>
      </c>
      <c r="BQ371" s="124" t="str">
        <f>IF($B371="","",IFERROR(-AM371,"n.b."))</f>
        <v/>
      </c>
      <c r="BR371" s="124" t="str">
        <f>IF($B371="","",IFERROR(-AO371,"n.b."))</f>
        <v/>
      </c>
      <c r="BS371" s="124" t="str">
        <f>IF($B371="","",IFERROR(-Z371,"n.b."))</f>
        <v/>
      </c>
      <c r="BT371" s="124" t="str">
        <f>IF($B371="","",IFERROR(-AA371,"n.b."))</f>
        <v/>
      </c>
      <c r="BU371" s="124" t="str">
        <f>IF($B371="","",IFERROR(-AE371,"n.b."))</f>
        <v/>
      </c>
      <c r="BV371" s="124" t="str">
        <f>IF($B371="","",IFERROR(-AF371,"n.b."))</f>
        <v/>
      </c>
      <c r="BW371" s="124" t="str">
        <f>IF($B371="","",IFERROR(-AG371,"n.b."))</f>
        <v/>
      </c>
      <c r="BX371" s="124" t="str">
        <f>IF($B371="","",IFERROR(-AH371,"n.b."))</f>
        <v/>
      </c>
      <c r="BY371" s="124" t="str">
        <f>IF($B371="","",IFERROR(-AI371,"n.b."))</f>
        <v/>
      </c>
      <c r="BZ371" s="124" t="str">
        <f>IF($B371="","",IFERROR(-AJ371,"n.b."))</f>
        <v/>
      </c>
      <c r="CA371" s="124" t="str">
        <f>IF($B371="","",IFERROR(-AK371,"n.b."))</f>
        <v/>
      </c>
      <c r="CB371" s="124" t="str">
        <f>IF($B371="","",IFERROR(-AL371,"n.b."))</f>
        <v/>
      </c>
      <c r="CC371" s="124" t="str">
        <f>IF($B371="","",IFERROR(-AP371,"n.b."))</f>
        <v/>
      </c>
      <c r="CD371" s="124" t="str">
        <f>IF($B371="","",IFERROR(-AQ371,"n.b."))</f>
        <v/>
      </c>
      <c r="CE371" s="124" t="str">
        <f>IF($B371="","",IFERROR(-AR371,"n.b."))</f>
        <v/>
      </c>
      <c r="CF371" s="124" t="str">
        <f>IF($B371="","",IFERROR(-AS371,"n.b."))</f>
        <v/>
      </c>
      <c r="CG371" s="124" t="str">
        <f>IF($B371="","",IFERROR(-AT371,"n.b."))</f>
        <v/>
      </c>
      <c r="CH371" s="124" t="str">
        <f>IF($B371="","",IFERROR(-AU371,"n.b."))</f>
        <v/>
      </c>
      <c r="CI371" s="124" t="str">
        <f>IF($B371="","",IFERROR(-AV371,"n.b."))</f>
        <v/>
      </c>
      <c r="CJ371" s="124" t="str">
        <f>IF($B371="","",IFERROR(-AW371,"n.b."))</f>
        <v/>
      </c>
      <c r="CK371" s="124" t="str">
        <f>IF($B371="","",IFERROR(-AX371,"n.b."))</f>
        <v/>
      </c>
      <c r="CL371" s="124" t="str">
        <f>IF($B371="","",IFERROR(-AY371,"n.b."))</f>
        <v/>
      </c>
      <c r="CM371" s="124" t="str">
        <f>IF($B371="","",IFERROR(-AZ371,"n.b."))</f>
        <v/>
      </c>
      <c r="CN371" s="124" t="str">
        <f>IF($B371="","",IFERROR(-BA371,"n.b."))</f>
        <v/>
      </c>
      <c r="CO371" s="124" t="str">
        <f>IF($B371="","",IFERROR(-BB371,"n.b."))</f>
        <v/>
      </c>
      <c r="CP371" s="124" t="str">
        <f>IF($B371="","",IFERROR(-BC371,"n.b."))</f>
        <v/>
      </c>
      <c r="CQ371" s="124" t="str">
        <f>IF($B371="","",IFERROR(-BD371,"n.b."))</f>
        <v/>
      </c>
      <c r="CR371" s="124" t="str">
        <f>IF($B371="","",IFERROR(-BE371,"n.b."))</f>
        <v/>
      </c>
      <c r="CS371" s="124" t="str">
        <f>IF($B371="","",IFERROR(IF(OR(ABS(T371+V371+X371+Z371-AB371)&gt;P_Tol,ABS(U371+W371+Y371+AA371-AD371)&gt;P_Tol,ABS(AE371+AG371+AI371+AK371-AM371)&gt;P_Tol,ABS(AF371+AH371+AJ371+AL371-AO371)&gt;P_Tol),1,0),1))</f>
        <v/>
      </c>
      <c r="CT371" s="124" t="str">
        <f>IF($B371="","",IFERROR(IF(OR(ABS(AB371+AC371-AD371)&gt;P_Tol,ABS(AM371+AN371-AO371)&gt;P_Tol,ABS(O371+P371-Q371)&gt;P_Tol),1,0),1))</f>
        <v/>
      </c>
      <c r="CU371" s="124" t="str">
        <f>IF($B371="","",IFERROR(IF(ABS(R371-(AB371+AM371+AP371+AR371+AT371+AV371+AX371+AZ371+BB371+BD371))&gt;P_Tol,1,0),1))</f>
        <v/>
      </c>
      <c r="CV371" s="124" t="str">
        <f>IF($B371="","",IFERROR(IF(ABS(M371-(N371+O371+R371))&gt;P_Tol,1,0),1))</f>
        <v/>
      </c>
      <c r="CW371" s="124" t="str">
        <f>IF($B371="","",IF(COUNTIF(Mapping!$A$5:$A$104,B371)&gt;0,1,0))</f>
        <v/>
      </c>
      <c r="CX371" s="124" t="str">
        <f>IF($B371="","",COUNTIF($B$6:$B$505,B371))</f>
        <v/>
      </c>
      <c r="CY371" s="124" t="str">
        <f>IF($B371="","",COUNTIF(STG_Woningetalage!$B$6:$B$505,B371))</f>
        <v/>
      </c>
      <c r="CZ371" s="124" t="str">
        <f>IF($B371="","",IF(CW371=0,COUNTIF($CW$6:CW371,0),""))</f>
        <v/>
      </c>
    </row>
    <row r="372">
      <c r="A372" s="15" t="n">
        <v>368</v>
      </c>
      <c r="B372" t="str">
        <f>IF(B$3=0,"",IF(INDEX(SRC_ZPMW03!$A$1:$ZZ$501,$A372,B$3)&amp;""="","",INDEX(SRC_ZPMW03!$A$1:$ZZ$501,$A372,B$3)&amp;""))</f>
        <v/>
      </c>
      <c r="C372" t="str">
        <f>IF($B372="","",IF(C$3=0,"n.b.",INDEX(SRC_ZPMW03!$A$1:$ZZ$501,$A372,C$3)))</f>
        <v/>
      </c>
      <c r="D372" t="str">
        <f>IF($B372="","",IF(D$3=0,"n.b.",INDEX(SRC_ZPMW03!$A$1:$ZZ$501,$A372,D$3)))</f>
        <v/>
      </c>
      <c r="E372" t="str">
        <f>IF($B372="","",IF(E$3=0,"n.b.",INDEX(SRC_ZPMW03!$A$1:$ZZ$501,$A372,E$3)))</f>
        <v/>
      </c>
      <c r="F372" t="str">
        <f>IF($B372="","",IF(F$3=0,"n.b.",INDEX(SRC_ZPMW03!$A$1:$ZZ$501,$A372,F$3)))</f>
        <v/>
      </c>
      <c r="G372" t="str">
        <f>IF($B372="","",IF(G$3=0,"n.b.",INDEX(SRC_ZPMW03!$A$1:$ZZ$501,$A372,G$3)))</f>
        <v/>
      </c>
      <c r="H372" t="str">
        <f>IF($B372="","",IF(H$3=0,"n.b.",INDEX(SRC_ZPMW03!$A$1:$ZZ$501,$A372,H$3)))</f>
        <v/>
      </c>
      <c r="I372" t="str">
        <f>IF($B372="","",IF(I$3=0,"n.b.",INDEX(SRC_ZPMW03!$A$1:$ZZ$501,$A372,I$3)))</f>
        <v/>
      </c>
      <c r="J372" t="str">
        <f>IF($B372="","",IF(J$3=0,"n.b.",INDEX(SRC_ZPMW03!$A$1:$ZZ$501,$A372,J$3)))</f>
        <v/>
      </c>
      <c r="K372" t="str">
        <f>IF($B372="","",IF(K$3=0,"n.b.",INDEX(SRC_ZPMW03!$A$1:$ZZ$501,$A372,K$3)))</f>
        <v/>
      </c>
      <c r="L372" s="124" t="str">
        <f>IF($B372="","",IF(L$3=0,"n.b.",INDEX(SRC_ZPMW03!$A$1:$ZZ$501,$A372,L$3)))</f>
        <v/>
      </c>
      <c r="M372" s="124" t="str">
        <f>IF($B372="","",IF(M$3=0,"n.b.",INDEX(SRC_ZPMW03!$A$1:$ZZ$501,$A372,M$3)))</f>
        <v/>
      </c>
      <c r="N372" s="124" t="str">
        <f>IF($B372="","",IF(N$3=0,"n.b.",INDEX(SRC_ZPMW03!$A$1:$ZZ$501,$A372,N$3)))</f>
        <v/>
      </c>
      <c r="O372" s="124" t="str">
        <f>IF($B372="","",IF(O$3=0,"n.b.",INDEX(SRC_ZPMW03!$A$1:$ZZ$501,$A372,O$3)))</f>
        <v/>
      </c>
      <c r="P372" s="124" t="str">
        <f>IF($B372="","",IF(P$3=0,"n.b.",INDEX(SRC_ZPMW03!$A$1:$ZZ$501,$A372,P$3)))</f>
        <v/>
      </c>
      <c r="Q372" s="124" t="str">
        <f>IF($B372="","",IF(Q$3=0,"n.b.",INDEX(SRC_ZPMW03!$A$1:$ZZ$501,$A372,Q$3)))</f>
        <v/>
      </c>
      <c r="R372" s="124" t="str">
        <f>IF($B372="","",IF(R$3=0,"n.b.",INDEX(SRC_ZPMW03!$A$1:$ZZ$501,$A372,R$3)))</f>
        <v/>
      </c>
      <c r="S372" s="124" t="str">
        <f>IF($B372="","",IF(S$3=0,"n.b.",INDEX(SRC_ZPMW03!$A$1:$ZZ$501,$A372,S$3)))</f>
        <v/>
      </c>
      <c r="T372" s="124" t="str">
        <f>IF($B372="","",IF(T$3=0,"n.b.",INDEX(SRC_ZPMW03!$A$1:$ZZ$501,$A372,T$3)))</f>
        <v/>
      </c>
      <c r="U372" s="124" t="str">
        <f>IF($B372="","",IF(U$3=0,"n.b.",INDEX(SRC_ZPMW03!$A$1:$ZZ$501,$A372,U$3)))</f>
        <v/>
      </c>
      <c r="V372" s="124" t="str">
        <f>IF($B372="","",IF(V$3=0,"n.b.",INDEX(SRC_ZPMW03!$A$1:$ZZ$501,$A372,V$3)))</f>
        <v/>
      </c>
      <c r="W372" s="124" t="str">
        <f>IF($B372="","",IF(W$3=0,"n.b.",INDEX(SRC_ZPMW03!$A$1:$ZZ$501,$A372,W$3)))</f>
        <v/>
      </c>
      <c r="X372" s="124" t="str">
        <f>IF($B372="","",IF(X$3=0,"n.b.",INDEX(SRC_ZPMW03!$A$1:$ZZ$501,$A372,X$3)))</f>
        <v/>
      </c>
      <c r="Y372" s="124" t="str">
        <f>IF($B372="","",IF(Y$3=0,"n.b.",INDEX(SRC_ZPMW03!$A$1:$ZZ$501,$A372,Y$3)))</f>
        <v/>
      </c>
      <c r="Z372" s="124" t="str">
        <f>IF($B372="","",IF(Z$3=0,"n.b.",INDEX(SRC_ZPMW03!$A$1:$ZZ$501,$A372,Z$3)))</f>
        <v/>
      </c>
      <c r="AA372" s="124" t="str">
        <f>IF($B372="","",IF(AA$3=0,"n.b.",INDEX(SRC_ZPMW03!$A$1:$ZZ$501,$A372,AA$3)))</f>
        <v/>
      </c>
      <c r="AB372" s="124" t="str">
        <f>IF($B372="","",IF(AB$3=0,"n.b.",INDEX(SRC_ZPMW03!$A$1:$ZZ$501,$A372,AB$3)))</f>
        <v/>
      </c>
      <c r="AC372" s="124" t="str">
        <f>IF($B372="","",IF(AC$3=0,"n.b.",INDEX(SRC_ZPMW03!$A$1:$ZZ$501,$A372,AC$3)))</f>
        <v/>
      </c>
      <c r="AD372" s="124" t="str">
        <f>IF($B372="","",IF(AD$3=0,"n.b.",INDEX(SRC_ZPMW03!$A$1:$ZZ$501,$A372,AD$3)))</f>
        <v/>
      </c>
      <c r="AE372" s="124" t="str">
        <f>IF($B372="","",IF(AE$3=0,"n.b.",INDEX(SRC_ZPMW03!$A$1:$ZZ$501,$A372,AE$3)))</f>
        <v/>
      </c>
      <c r="AF372" s="124" t="str">
        <f>IF($B372="","",IF(AF$3=0,"n.b.",INDEX(SRC_ZPMW03!$A$1:$ZZ$501,$A372,AF$3)))</f>
        <v/>
      </c>
      <c r="AG372" s="124" t="str">
        <f>IF($B372="","",IF(AG$3=0,"n.b.",INDEX(SRC_ZPMW03!$A$1:$ZZ$501,$A372,AG$3)))</f>
        <v/>
      </c>
      <c r="AH372" s="124" t="str">
        <f>IF($B372="","",IF(AH$3=0,"n.b.",INDEX(SRC_ZPMW03!$A$1:$ZZ$501,$A372,AH$3)))</f>
        <v/>
      </c>
      <c r="AI372" s="124" t="str">
        <f>IF($B372="","",IF(AI$3=0,"n.b.",INDEX(SRC_ZPMW03!$A$1:$ZZ$501,$A372,AI$3)))</f>
        <v/>
      </c>
      <c r="AJ372" s="124" t="str">
        <f>IF($B372="","",IF(AJ$3=0,"n.b.",INDEX(SRC_ZPMW03!$A$1:$ZZ$501,$A372,AJ$3)))</f>
        <v/>
      </c>
      <c r="AK372" s="124" t="str">
        <f>IF($B372="","",IF(AK$3=0,"n.b.",INDEX(SRC_ZPMW03!$A$1:$ZZ$501,$A372,AK$3)))</f>
        <v/>
      </c>
      <c r="AL372" s="124" t="str">
        <f>IF($B372="","",IF(AL$3=0,"n.b.",INDEX(SRC_ZPMW03!$A$1:$ZZ$501,$A372,AL$3)))</f>
        <v/>
      </c>
      <c r="AM372" s="124" t="str">
        <f>IF($B372="","",IF(AM$3=0,"n.b.",INDEX(SRC_ZPMW03!$A$1:$ZZ$501,$A372,AM$3)))</f>
        <v/>
      </c>
      <c r="AN372" s="124" t="str">
        <f>IF($B372="","",IF(AN$3=0,"n.b.",INDEX(SRC_ZPMW03!$A$1:$ZZ$501,$A372,AN$3)))</f>
        <v/>
      </c>
      <c r="AO372" s="124" t="str">
        <f>IF($B372="","",IF(AO$3=0,"n.b.",INDEX(SRC_ZPMW03!$A$1:$ZZ$501,$A372,AO$3)))</f>
        <v/>
      </c>
      <c r="AP372" s="124" t="str">
        <f>IF($B372="","",IF(AP$3=0,"n.b.",INDEX(SRC_ZPMW03!$A$1:$ZZ$501,$A372,AP$3)))</f>
        <v/>
      </c>
      <c r="AQ372" s="124" t="str">
        <f>IF($B372="","",IF(AQ$3=0,"n.b.",INDEX(SRC_ZPMW03!$A$1:$ZZ$501,$A372,AQ$3)))</f>
        <v/>
      </c>
      <c r="AR372" s="124" t="str">
        <f>IF($B372="","",IF(AR$3=0,"n.b.",INDEX(SRC_ZPMW03!$A$1:$ZZ$501,$A372,AR$3)))</f>
        <v/>
      </c>
      <c r="AS372" s="124" t="str">
        <f>IF($B372="","",IF(AS$3=0,"n.b.",INDEX(SRC_ZPMW03!$A$1:$ZZ$501,$A372,AS$3)))</f>
        <v/>
      </c>
      <c r="AT372" s="124" t="str">
        <f>IF($B372="","",IF(AT$3=0,"n.b.",INDEX(SRC_ZPMW03!$A$1:$ZZ$501,$A372,AT$3)))</f>
        <v/>
      </c>
      <c r="AU372" s="124" t="str">
        <f>IF($B372="","",IF(AU$3=0,"n.b.",INDEX(SRC_ZPMW03!$A$1:$ZZ$501,$A372,AU$3)))</f>
        <v/>
      </c>
      <c r="AV372" s="124" t="str">
        <f>IF($B372="","",IF(AV$3=0,"n.b.",INDEX(SRC_ZPMW03!$A$1:$ZZ$501,$A372,AV$3)))</f>
        <v/>
      </c>
      <c r="AW372" s="124" t="str">
        <f>IF($B372="","",IF(AW$3=0,"n.b.",INDEX(SRC_ZPMW03!$A$1:$ZZ$501,$A372,AW$3)))</f>
        <v/>
      </c>
      <c r="AX372" s="124" t="str">
        <f>IF($B372="","",IF(AX$3=0,"n.b.",INDEX(SRC_ZPMW03!$A$1:$ZZ$501,$A372,AX$3)))</f>
        <v/>
      </c>
      <c r="AY372" s="124" t="str">
        <f>IF($B372="","",IF(AY$3=0,"n.b.",INDEX(SRC_ZPMW03!$A$1:$ZZ$501,$A372,AY$3)))</f>
        <v/>
      </c>
      <c r="AZ372" s="124" t="str">
        <f>IF($B372="","",IF(AZ$3=0,"n.b.",INDEX(SRC_ZPMW03!$A$1:$ZZ$501,$A372,AZ$3)))</f>
        <v/>
      </c>
      <c r="BA372" s="124" t="str">
        <f>IF($B372="","",IF(BA$3=0,"n.b.",INDEX(SRC_ZPMW03!$A$1:$ZZ$501,$A372,BA$3)))</f>
        <v/>
      </c>
      <c r="BB372" s="124" t="str">
        <f>IF($B372="","",IF(BB$3=0,"n.b.",INDEX(SRC_ZPMW03!$A$1:$ZZ$501,$A372,BB$3)))</f>
        <v/>
      </c>
      <c r="BC372" s="124" t="str">
        <f>IF($B372="","",IF(BC$3=0,"n.b.",INDEX(SRC_ZPMW03!$A$1:$ZZ$501,$A372,BC$3)))</f>
        <v/>
      </c>
      <c r="BD372" s="124" t="str">
        <f>IF($B372="","",IF(BD$3=0,"n.b.",INDEX(SRC_ZPMW03!$A$1:$ZZ$501,$A372,BD$3)))</f>
        <v/>
      </c>
      <c r="BE372" s="124" t="str">
        <f>IF($B372="","",IF(BE$3=0,"n.b.",INDEX(SRC_ZPMW03!$A$1:$ZZ$501,$A372,BE$3)))</f>
        <v/>
      </c>
      <c r="BF372" s="124" t="str">
        <f>IF($B372="","",IF(BF$3=0,"n.b.",INDEX(SRC_ZPMW03!$A$1:$ZZ$501,$A372,BF$3)))</f>
        <v/>
      </c>
      <c r="BG372" t="str">
        <f>IF($B372="","",IF(BG$3=0,"n.b.",INDEX(SRC_ZPMW03!$A$1:$ZZ$501,$A372,BG$3)))</f>
        <v/>
      </c>
      <c r="BH372" t="str">
        <f>IF($B372="","",IF(BH$3=0,"n.b.",INDEX(SRC_ZPMW03!$A$1:$ZZ$501,$A372,BH$3)))</f>
        <v/>
      </c>
      <c r="BI372" t="str">
        <f>IF($B372="","",IF(BI$3=0,"n.b.",INDEX(SRC_ZPMW03!$A$1:$ZZ$501,$A372,BI$3)))</f>
        <v/>
      </c>
      <c r="BJ372" t="str">
        <f>IF($B372="","",IF(BJ$3=0,"n.b.",INDEX(SRC_ZPMW03!$A$1:$ZZ$501,$A372,BJ$3)))</f>
        <v/>
      </c>
      <c r="BK372" s="124" t="str">
        <f>IF($B372="","",IFERROR(-O372,"n.b."))</f>
        <v/>
      </c>
      <c r="BL372" s="124" t="str">
        <f>IF($B372="","",IFERROR(-Q372,"n.b."))</f>
        <v/>
      </c>
      <c r="BM372" s="124" t="str">
        <f>IF($B372="","",IFERROR(-AB372,"n.b."))</f>
        <v/>
      </c>
      <c r="BN372" s="124" t="str">
        <f>IF($B372="","",IFERROR(-AD372,"n.b."))</f>
        <v/>
      </c>
      <c r="BO372" s="124" t="str">
        <f>IF($B372="","",IFERROR(BK372+BM372,"n.b."))</f>
        <v/>
      </c>
      <c r="BP372" s="124" t="str">
        <f>IF($B372="","",IFERROR(BL372+BN372,"n.b."))</f>
        <v/>
      </c>
      <c r="BQ372" s="124" t="str">
        <f>IF($B372="","",IFERROR(-AM372,"n.b."))</f>
        <v/>
      </c>
      <c r="BR372" s="124" t="str">
        <f>IF($B372="","",IFERROR(-AO372,"n.b."))</f>
        <v/>
      </c>
      <c r="BS372" s="124" t="str">
        <f>IF($B372="","",IFERROR(-Z372,"n.b."))</f>
        <v/>
      </c>
      <c r="BT372" s="124" t="str">
        <f>IF($B372="","",IFERROR(-AA372,"n.b."))</f>
        <v/>
      </c>
      <c r="BU372" s="124" t="str">
        <f>IF($B372="","",IFERROR(-AE372,"n.b."))</f>
        <v/>
      </c>
      <c r="BV372" s="124" t="str">
        <f>IF($B372="","",IFERROR(-AF372,"n.b."))</f>
        <v/>
      </c>
      <c r="BW372" s="124" t="str">
        <f>IF($B372="","",IFERROR(-AG372,"n.b."))</f>
        <v/>
      </c>
      <c r="BX372" s="124" t="str">
        <f>IF($B372="","",IFERROR(-AH372,"n.b."))</f>
        <v/>
      </c>
      <c r="BY372" s="124" t="str">
        <f>IF($B372="","",IFERROR(-AI372,"n.b."))</f>
        <v/>
      </c>
      <c r="BZ372" s="124" t="str">
        <f>IF($B372="","",IFERROR(-AJ372,"n.b."))</f>
        <v/>
      </c>
      <c r="CA372" s="124" t="str">
        <f>IF($B372="","",IFERROR(-AK372,"n.b."))</f>
        <v/>
      </c>
      <c r="CB372" s="124" t="str">
        <f>IF($B372="","",IFERROR(-AL372,"n.b."))</f>
        <v/>
      </c>
      <c r="CC372" s="124" t="str">
        <f>IF($B372="","",IFERROR(-AP372,"n.b."))</f>
        <v/>
      </c>
      <c r="CD372" s="124" t="str">
        <f>IF($B372="","",IFERROR(-AQ372,"n.b."))</f>
        <v/>
      </c>
      <c r="CE372" s="124" t="str">
        <f>IF($B372="","",IFERROR(-AR372,"n.b."))</f>
        <v/>
      </c>
      <c r="CF372" s="124" t="str">
        <f>IF($B372="","",IFERROR(-AS372,"n.b."))</f>
        <v/>
      </c>
      <c r="CG372" s="124" t="str">
        <f>IF($B372="","",IFERROR(-AT372,"n.b."))</f>
        <v/>
      </c>
      <c r="CH372" s="124" t="str">
        <f>IF($B372="","",IFERROR(-AU372,"n.b."))</f>
        <v/>
      </c>
      <c r="CI372" s="124" t="str">
        <f>IF($B372="","",IFERROR(-AV372,"n.b."))</f>
        <v/>
      </c>
      <c r="CJ372" s="124" t="str">
        <f>IF($B372="","",IFERROR(-AW372,"n.b."))</f>
        <v/>
      </c>
      <c r="CK372" s="124" t="str">
        <f>IF($B372="","",IFERROR(-AX372,"n.b."))</f>
        <v/>
      </c>
      <c r="CL372" s="124" t="str">
        <f>IF($B372="","",IFERROR(-AY372,"n.b."))</f>
        <v/>
      </c>
      <c r="CM372" s="124" t="str">
        <f>IF($B372="","",IFERROR(-AZ372,"n.b."))</f>
        <v/>
      </c>
      <c r="CN372" s="124" t="str">
        <f>IF($B372="","",IFERROR(-BA372,"n.b."))</f>
        <v/>
      </c>
      <c r="CO372" s="124" t="str">
        <f>IF($B372="","",IFERROR(-BB372,"n.b."))</f>
        <v/>
      </c>
      <c r="CP372" s="124" t="str">
        <f>IF($B372="","",IFERROR(-BC372,"n.b."))</f>
        <v/>
      </c>
      <c r="CQ372" s="124" t="str">
        <f>IF($B372="","",IFERROR(-BD372,"n.b."))</f>
        <v/>
      </c>
      <c r="CR372" s="124" t="str">
        <f>IF($B372="","",IFERROR(-BE372,"n.b."))</f>
        <v/>
      </c>
      <c r="CS372" s="124" t="str">
        <f>IF($B372="","",IFERROR(IF(OR(ABS(T372+V372+X372+Z372-AB372)&gt;P_Tol,ABS(U372+W372+Y372+AA372-AD372)&gt;P_Tol,ABS(AE372+AG372+AI372+AK372-AM372)&gt;P_Tol,ABS(AF372+AH372+AJ372+AL372-AO372)&gt;P_Tol),1,0),1))</f>
        <v/>
      </c>
      <c r="CT372" s="124" t="str">
        <f>IF($B372="","",IFERROR(IF(OR(ABS(AB372+AC372-AD372)&gt;P_Tol,ABS(AM372+AN372-AO372)&gt;P_Tol,ABS(O372+P372-Q372)&gt;P_Tol),1,0),1))</f>
        <v/>
      </c>
      <c r="CU372" s="124" t="str">
        <f>IF($B372="","",IFERROR(IF(ABS(R372-(AB372+AM372+AP372+AR372+AT372+AV372+AX372+AZ372+BB372+BD372))&gt;P_Tol,1,0),1))</f>
        <v/>
      </c>
      <c r="CV372" s="124" t="str">
        <f>IF($B372="","",IFERROR(IF(ABS(M372-(N372+O372+R372))&gt;P_Tol,1,0),1))</f>
        <v/>
      </c>
      <c r="CW372" s="124" t="str">
        <f>IF($B372="","",IF(COUNTIF(Mapping!$A$5:$A$104,B372)&gt;0,1,0))</f>
        <v/>
      </c>
      <c r="CX372" s="124" t="str">
        <f>IF($B372="","",COUNTIF($B$6:$B$505,B372))</f>
        <v/>
      </c>
      <c r="CY372" s="124" t="str">
        <f>IF($B372="","",COUNTIF(STG_Woningetalage!$B$6:$B$505,B372))</f>
        <v/>
      </c>
      <c r="CZ372" s="124" t="str">
        <f>IF($B372="","",IF(CW372=0,COUNTIF($CW$6:CW372,0),""))</f>
        <v/>
      </c>
    </row>
    <row r="373">
      <c r="A373" s="15" t="n">
        <v>369</v>
      </c>
      <c r="B373" t="str">
        <f>IF(B$3=0,"",IF(INDEX(SRC_ZPMW03!$A$1:$ZZ$501,$A373,B$3)&amp;""="","",INDEX(SRC_ZPMW03!$A$1:$ZZ$501,$A373,B$3)&amp;""))</f>
        <v/>
      </c>
      <c r="C373" t="str">
        <f>IF($B373="","",IF(C$3=0,"n.b.",INDEX(SRC_ZPMW03!$A$1:$ZZ$501,$A373,C$3)))</f>
        <v/>
      </c>
      <c r="D373" t="str">
        <f>IF($B373="","",IF(D$3=0,"n.b.",INDEX(SRC_ZPMW03!$A$1:$ZZ$501,$A373,D$3)))</f>
        <v/>
      </c>
      <c r="E373" t="str">
        <f>IF($B373="","",IF(E$3=0,"n.b.",INDEX(SRC_ZPMW03!$A$1:$ZZ$501,$A373,E$3)))</f>
        <v/>
      </c>
      <c r="F373" t="str">
        <f>IF($B373="","",IF(F$3=0,"n.b.",INDEX(SRC_ZPMW03!$A$1:$ZZ$501,$A373,F$3)))</f>
        <v/>
      </c>
      <c r="G373" t="str">
        <f>IF($B373="","",IF(G$3=0,"n.b.",INDEX(SRC_ZPMW03!$A$1:$ZZ$501,$A373,G$3)))</f>
        <v/>
      </c>
      <c r="H373" t="str">
        <f>IF($B373="","",IF(H$3=0,"n.b.",INDEX(SRC_ZPMW03!$A$1:$ZZ$501,$A373,H$3)))</f>
        <v/>
      </c>
      <c r="I373" t="str">
        <f>IF($B373="","",IF(I$3=0,"n.b.",INDEX(SRC_ZPMW03!$A$1:$ZZ$501,$A373,I$3)))</f>
        <v/>
      </c>
      <c r="J373" t="str">
        <f>IF($B373="","",IF(J$3=0,"n.b.",INDEX(SRC_ZPMW03!$A$1:$ZZ$501,$A373,J$3)))</f>
        <v/>
      </c>
      <c r="K373" t="str">
        <f>IF($B373="","",IF(K$3=0,"n.b.",INDEX(SRC_ZPMW03!$A$1:$ZZ$501,$A373,K$3)))</f>
        <v/>
      </c>
      <c r="L373" s="124" t="str">
        <f>IF($B373="","",IF(L$3=0,"n.b.",INDEX(SRC_ZPMW03!$A$1:$ZZ$501,$A373,L$3)))</f>
        <v/>
      </c>
      <c r="M373" s="124" t="str">
        <f>IF($B373="","",IF(M$3=0,"n.b.",INDEX(SRC_ZPMW03!$A$1:$ZZ$501,$A373,M$3)))</f>
        <v/>
      </c>
      <c r="N373" s="124" t="str">
        <f>IF($B373="","",IF(N$3=0,"n.b.",INDEX(SRC_ZPMW03!$A$1:$ZZ$501,$A373,N$3)))</f>
        <v/>
      </c>
      <c r="O373" s="124" t="str">
        <f>IF($B373="","",IF(O$3=0,"n.b.",INDEX(SRC_ZPMW03!$A$1:$ZZ$501,$A373,O$3)))</f>
        <v/>
      </c>
      <c r="P373" s="124" t="str">
        <f>IF($B373="","",IF(P$3=0,"n.b.",INDEX(SRC_ZPMW03!$A$1:$ZZ$501,$A373,P$3)))</f>
        <v/>
      </c>
      <c r="Q373" s="124" t="str">
        <f>IF($B373="","",IF(Q$3=0,"n.b.",INDEX(SRC_ZPMW03!$A$1:$ZZ$501,$A373,Q$3)))</f>
        <v/>
      </c>
      <c r="R373" s="124" t="str">
        <f>IF($B373="","",IF(R$3=0,"n.b.",INDEX(SRC_ZPMW03!$A$1:$ZZ$501,$A373,R$3)))</f>
        <v/>
      </c>
      <c r="S373" s="124" t="str">
        <f>IF($B373="","",IF(S$3=0,"n.b.",INDEX(SRC_ZPMW03!$A$1:$ZZ$501,$A373,S$3)))</f>
        <v/>
      </c>
      <c r="T373" s="124" t="str">
        <f>IF($B373="","",IF(T$3=0,"n.b.",INDEX(SRC_ZPMW03!$A$1:$ZZ$501,$A373,T$3)))</f>
        <v/>
      </c>
      <c r="U373" s="124" t="str">
        <f>IF($B373="","",IF(U$3=0,"n.b.",INDEX(SRC_ZPMW03!$A$1:$ZZ$501,$A373,U$3)))</f>
        <v/>
      </c>
      <c r="V373" s="124" t="str">
        <f>IF($B373="","",IF(V$3=0,"n.b.",INDEX(SRC_ZPMW03!$A$1:$ZZ$501,$A373,V$3)))</f>
        <v/>
      </c>
      <c r="W373" s="124" t="str">
        <f>IF($B373="","",IF(W$3=0,"n.b.",INDEX(SRC_ZPMW03!$A$1:$ZZ$501,$A373,W$3)))</f>
        <v/>
      </c>
      <c r="X373" s="124" t="str">
        <f>IF($B373="","",IF(X$3=0,"n.b.",INDEX(SRC_ZPMW03!$A$1:$ZZ$501,$A373,X$3)))</f>
        <v/>
      </c>
      <c r="Y373" s="124" t="str">
        <f>IF($B373="","",IF(Y$3=0,"n.b.",INDEX(SRC_ZPMW03!$A$1:$ZZ$501,$A373,Y$3)))</f>
        <v/>
      </c>
      <c r="Z373" s="124" t="str">
        <f>IF($B373="","",IF(Z$3=0,"n.b.",INDEX(SRC_ZPMW03!$A$1:$ZZ$501,$A373,Z$3)))</f>
        <v/>
      </c>
      <c r="AA373" s="124" t="str">
        <f>IF($B373="","",IF(AA$3=0,"n.b.",INDEX(SRC_ZPMW03!$A$1:$ZZ$501,$A373,AA$3)))</f>
        <v/>
      </c>
      <c r="AB373" s="124" t="str">
        <f>IF($B373="","",IF(AB$3=0,"n.b.",INDEX(SRC_ZPMW03!$A$1:$ZZ$501,$A373,AB$3)))</f>
        <v/>
      </c>
      <c r="AC373" s="124" t="str">
        <f>IF($B373="","",IF(AC$3=0,"n.b.",INDEX(SRC_ZPMW03!$A$1:$ZZ$501,$A373,AC$3)))</f>
        <v/>
      </c>
      <c r="AD373" s="124" t="str">
        <f>IF($B373="","",IF(AD$3=0,"n.b.",INDEX(SRC_ZPMW03!$A$1:$ZZ$501,$A373,AD$3)))</f>
        <v/>
      </c>
      <c r="AE373" s="124" t="str">
        <f>IF($B373="","",IF(AE$3=0,"n.b.",INDEX(SRC_ZPMW03!$A$1:$ZZ$501,$A373,AE$3)))</f>
        <v/>
      </c>
      <c r="AF373" s="124" t="str">
        <f>IF($B373="","",IF(AF$3=0,"n.b.",INDEX(SRC_ZPMW03!$A$1:$ZZ$501,$A373,AF$3)))</f>
        <v/>
      </c>
      <c r="AG373" s="124" t="str">
        <f>IF($B373="","",IF(AG$3=0,"n.b.",INDEX(SRC_ZPMW03!$A$1:$ZZ$501,$A373,AG$3)))</f>
        <v/>
      </c>
      <c r="AH373" s="124" t="str">
        <f>IF($B373="","",IF(AH$3=0,"n.b.",INDEX(SRC_ZPMW03!$A$1:$ZZ$501,$A373,AH$3)))</f>
        <v/>
      </c>
      <c r="AI373" s="124" t="str">
        <f>IF($B373="","",IF(AI$3=0,"n.b.",INDEX(SRC_ZPMW03!$A$1:$ZZ$501,$A373,AI$3)))</f>
        <v/>
      </c>
      <c r="AJ373" s="124" t="str">
        <f>IF($B373="","",IF(AJ$3=0,"n.b.",INDEX(SRC_ZPMW03!$A$1:$ZZ$501,$A373,AJ$3)))</f>
        <v/>
      </c>
      <c r="AK373" s="124" t="str">
        <f>IF($B373="","",IF(AK$3=0,"n.b.",INDEX(SRC_ZPMW03!$A$1:$ZZ$501,$A373,AK$3)))</f>
        <v/>
      </c>
      <c r="AL373" s="124" t="str">
        <f>IF($B373="","",IF(AL$3=0,"n.b.",INDEX(SRC_ZPMW03!$A$1:$ZZ$501,$A373,AL$3)))</f>
        <v/>
      </c>
      <c r="AM373" s="124" t="str">
        <f>IF($B373="","",IF(AM$3=0,"n.b.",INDEX(SRC_ZPMW03!$A$1:$ZZ$501,$A373,AM$3)))</f>
        <v/>
      </c>
      <c r="AN373" s="124" t="str">
        <f>IF($B373="","",IF(AN$3=0,"n.b.",INDEX(SRC_ZPMW03!$A$1:$ZZ$501,$A373,AN$3)))</f>
        <v/>
      </c>
      <c r="AO373" s="124" t="str">
        <f>IF($B373="","",IF(AO$3=0,"n.b.",INDEX(SRC_ZPMW03!$A$1:$ZZ$501,$A373,AO$3)))</f>
        <v/>
      </c>
      <c r="AP373" s="124" t="str">
        <f>IF($B373="","",IF(AP$3=0,"n.b.",INDEX(SRC_ZPMW03!$A$1:$ZZ$501,$A373,AP$3)))</f>
        <v/>
      </c>
      <c r="AQ373" s="124" t="str">
        <f>IF($B373="","",IF(AQ$3=0,"n.b.",INDEX(SRC_ZPMW03!$A$1:$ZZ$501,$A373,AQ$3)))</f>
        <v/>
      </c>
      <c r="AR373" s="124" t="str">
        <f>IF($B373="","",IF(AR$3=0,"n.b.",INDEX(SRC_ZPMW03!$A$1:$ZZ$501,$A373,AR$3)))</f>
        <v/>
      </c>
      <c r="AS373" s="124" t="str">
        <f>IF($B373="","",IF(AS$3=0,"n.b.",INDEX(SRC_ZPMW03!$A$1:$ZZ$501,$A373,AS$3)))</f>
        <v/>
      </c>
      <c r="AT373" s="124" t="str">
        <f>IF($B373="","",IF(AT$3=0,"n.b.",INDEX(SRC_ZPMW03!$A$1:$ZZ$501,$A373,AT$3)))</f>
        <v/>
      </c>
      <c r="AU373" s="124" t="str">
        <f>IF($B373="","",IF(AU$3=0,"n.b.",INDEX(SRC_ZPMW03!$A$1:$ZZ$501,$A373,AU$3)))</f>
        <v/>
      </c>
      <c r="AV373" s="124" t="str">
        <f>IF($B373="","",IF(AV$3=0,"n.b.",INDEX(SRC_ZPMW03!$A$1:$ZZ$501,$A373,AV$3)))</f>
        <v/>
      </c>
      <c r="AW373" s="124" t="str">
        <f>IF($B373="","",IF(AW$3=0,"n.b.",INDEX(SRC_ZPMW03!$A$1:$ZZ$501,$A373,AW$3)))</f>
        <v/>
      </c>
      <c r="AX373" s="124" t="str">
        <f>IF($B373="","",IF(AX$3=0,"n.b.",INDEX(SRC_ZPMW03!$A$1:$ZZ$501,$A373,AX$3)))</f>
        <v/>
      </c>
      <c r="AY373" s="124" t="str">
        <f>IF($B373="","",IF(AY$3=0,"n.b.",INDEX(SRC_ZPMW03!$A$1:$ZZ$501,$A373,AY$3)))</f>
        <v/>
      </c>
      <c r="AZ373" s="124" t="str">
        <f>IF($B373="","",IF(AZ$3=0,"n.b.",INDEX(SRC_ZPMW03!$A$1:$ZZ$501,$A373,AZ$3)))</f>
        <v/>
      </c>
      <c r="BA373" s="124" t="str">
        <f>IF($B373="","",IF(BA$3=0,"n.b.",INDEX(SRC_ZPMW03!$A$1:$ZZ$501,$A373,BA$3)))</f>
        <v/>
      </c>
      <c r="BB373" s="124" t="str">
        <f>IF($B373="","",IF(BB$3=0,"n.b.",INDEX(SRC_ZPMW03!$A$1:$ZZ$501,$A373,BB$3)))</f>
        <v/>
      </c>
      <c r="BC373" s="124" t="str">
        <f>IF($B373="","",IF(BC$3=0,"n.b.",INDEX(SRC_ZPMW03!$A$1:$ZZ$501,$A373,BC$3)))</f>
        <v/>
      </c>
      <c r="BD373" s="124" t="str">
        <f>IF($B373="","",IF(BD$3=0,"n.b.",INDEX(SRC_ZPMW03!$A$1:$ZZ$501,$A373,BD$3)))</f>
        <v/>
      </c>
      <c r="BE373" s="124" t="str">
        <f>IF($B373="","",IF(BE$3=0,"n.b.",INDEX(SRC_ZPMW03!$A$1:$ZZ$501,$A373,BE$3)))</f>
        <v/>
      </c>
      <c r="BF373" s="124" t="str">
        <f>IF($B373="","",IF(BF$3=0,"n.b.",INDEX(SRC_ZPMW03!$A$1:$ZZ$501,$A373,BF$3)))</f>
        <v/>
      </c>
      <c r="BG373" t="str">
        <f>IF($B373="","",IF(BG$3=0,"n.b.",INDEX(SRC_ZPMW03!$A$1:$ZZ$501,$A373,BG$3)))</f>
        <v/>
      </c>
      <c r="BH373" t="str">
        <f>IF($B373="","",IF(BH$3=0,"n.b.",INDEX(SRC_ZPMW03!$A$1:$ZZ$501,$A373,BH$3)))</f>
        <v/>
      </c>
      <c r="BI373" t="str">
        <f>IF($B373="","",IF(BI$3=0,"n.b.",INDEX(SRC_ZPMW03!$A$1:$ZZ$501,$A373,BI$3)))</f>
        <v/>
      </c>
      <c r="BJ373" t="str">
        <f>IF($B373="","",IF(BJ$3=0,"n.b.",INDEX(SRC_ZPMW03!$A$1:$ZZ$501,$A373,BJ$3)))</f>
        <v/>
      </c>
      <c r="BK373" s="124" t="str">
        <f>IF($B373="","",IFERROR(-O373,"n.b."))</f>
        <v/>
      </c>
      <c r="BL373" s="124" t="str">
        <f>IF($B373="","",IFERROR(-Q373,"n.b."))</f>
        <v/>
      </c>
      <c r="BM373" s="124" t="str">
        <f>IF($B373="","",IFERROR(-AB373,"n.b."))</f>
        <v/>
      </c>
      <c r="BN373" s="124" t="str">
        <f>IF($B373="","",IFERROR(-AD373,"n.b."))</f>
        <v/>
      </c>
      <c r="BO373" s="124" t="str">
        <f>IF($B373="","",IFERROR(BK373+BM373,"n.b."))</f>
        <v/>
      </c>
      <c r="BP373" s="124" t="str">
        <f>IF($B373="","",IFERROR(BL373+BN373,"n.b."))</f>
        <v/>
      </c>
      <c r="BQ373" s="124" t="str">
        <f>IF($B373="","",IFERROR(-AM373,"n.b."))</f>
        <v/>
      </c>
      <c r="BR373" s="124" t="str">
        <f>IF($B373="","",IFERROR(-AO373,"n.b."))</f>
        <v/>
      </c>
      <c r="BS373" s="124" t="str">
        <f>IF($B373="","",IFERROR(-Z373,"n.b."))</f>
        <v/>
      </c>
      <c r="BT373" s="124" t="str">
        <f>IF($B373="","",IFERROR(-AA373,"n.b."))</f>
        <v/>
      </c>
      <c r="BU373" s="124" t="str">
        <f>IF($B373="","",IFERROR(-AE373,"n.b."))</f>
        <v/>
      </c>
      <c r="BV373" s="124" t="str">
        <f>IF($B373="","",IFERROR(-AF373,"n.b."))</f>
        <v/>
      </c>
      <c r="BW373" s="124" t="str">
        <f>IF($B373="","",IFERROR(-AG373,"n.b."))</f>
        <v/>
      </c>
      <c r="BX373" s="124" t="str">
        <f>IF($B373="","",IFERROR(-AH373,"n.b."))</f>
        <v/>
      </c>
      <c r="BY373" s="124" t="str">
        <f>IF($B373="","",IFERROR(-AI373,"n.b."))</f>
        <v/>
      </c>
      <c r="BZ373" s="124" t="str">
        <f>IF($B373="","",IFERROR(-AJ373,"n.b."))</f>
        <v/>
      </c>
      <c r="CA373" s="124" t="str">
        <f>IF($B373="","",IFERROR(-AK373,"n.b."))</f>
        <v/>
      </c>
      <c r="CB373" s="124" t="str">
        <f>IF($B373="","",IFERROR(-AL373,"n.b."))</f>
        <v/>
      </c>
      <c r="CC373" s="124" t="str">
        <f>IF($B373="","",IFERROR(-AP373,"n.b."))</f>
        <v/>
      </c>
      <c r="CD373" s="124" t="str">
        <f>IF($B373="","",IFERROR(-AQ373,"n.b."))</f>
        <v/>
      </c>
      <c r="CE373" s="124" t="str">
        <f>IF($B373="","",IFERROR(-AR373,"n.b."))</f>
        <v/>
      </c>
      <c r="CF373" s="124" t="str">
        <f>IF($B373="","",IFERROR(-AS373,"n.b."))</f>
        <v/>
      </c>
      <c r="CG373" s="124" t="str">
        <f>IF($B373="","",IFERROR(-AT373,"n.b."))</f>
        <v/>
      </c>
      <c r="CH373" s="124" t="str">
        <f>IF($B373="","",IFERROR(-AU373,"n.b."))</f>
        <v/>
      </c>
      <c r="CI373" s="124" t="str">
        <f>IF($B373="","",IFERROR(-AV373,"n.b."))</f>
        <v/>
      </c>
      <c r="CJ373" s="124" t="str">
        <f>IF($B373="","",IFERROR(-AW373,"n.b."))</f>
        <v/>
      </c>
      <c r="CK373" s="124" t="str">
        <f>IF($B373="","",IFERROR(-AX373,"n.b."))</f>
        <v/>
      </c>
      <c r="CL373" s="124" t="str">
        <f>IF($B373="","",IFERROR(-AY373,"n.b."))</f>
        <v/>
      </c>
      <c r="CM373" s="124" t="str">
        <f>IF($B373="","",IFERROR(-AZ373,"n.b."))</f>
        <v/>
      </c>
      <c r="CN373" s="124" t="str">
        <f>IF($B373="","",IFERROR(-BA373,"n.b."))</f>
        <v/>
      </c>
      <c r="CO373" s="124" t="str">
        <f>IF($B373="","",IFERROR(-BB373,"n.b."))</f>
        <v/>
      </c>
      <c r="CP373" s="124" t="str">
        <f>IF($B373="","",IFERROR(-BC373,"n.b."))</f>
        <v/>
      </c>
      <c r="CQ373" s="124" t="str">
        <f>IF($B373="","",IFERROR(-BD373,"n.b."))</f>
        <v/>
      </c>
      <c r="CR373" s="124" t="str">
        <f>IF($B373="","",IFERROR(-BE373,"n.b."))</f>
        <v/>
      </c>
      <c r="CS373" s="124" t="str">
        <f>IF($B373="","",IFERROR(IF(OR(ABS(T373+V373+X373+Z373-AB373)&gt;P_Tol,ABS(U373+W373+Y373+AA373-AD373)&gt;P_Tol,ABS(AE373+AG373+AI373+AK373-AM373)&gt;P_Tol,ABS(AF373+AH373+AJ373+AL373-AO373)&gt;P_Tol),1,0),1))</f>
        <v/>
      </c>
      <c r="CT373" s="124" t="str">
        <f>IF($B373="","",IFERROR(IF(OR(ABS(AB373+AC373-AD373)&gt;P_Tol,ABS(AM373+AN373-AO373)&gt;P_Tol,ABS(O373+P373-Q373)&gt;P_Tol),1,0),1))</f>
        <v/>
      </c>
      <c r="CU373" s="124" t="str">
        <f>IF($B373="","",IFERROR(IF(ABS(R373-(AB373+AM373+AP373+AR373+AT373+AV373+AX373+AZ373+BB373+BD373))&gt;P_Tol,1,0),1))</f>
        <v/>
      </c>
      <c r="CV373" s="124" t="str">
        <f>IF($B373="","",IFERROR(IF(ABS(M373-(N373+O373+R373))&gt;P_Tol,1,0),1))</f>
        <v/>
      </c>
      <c r="CW373" s="124" t="str">
        <f>IF($B373="","",IF(COUNTIF(Mapping!$A$5:$A$104,B373)&gt;0,1,0))</f>
        <v/>
      </c>
      <c r="CX373" s="124" t="str">
        <f>IF($B373="","",COUNTIF($B$6:$B$505,B373))</f>
        <v/>
      </c>
      <c r="CY373" s="124" t="str">
        <f>IF($B373="","",COUNTIF(STG_Woningetalage!$B$6:$B$505,B373))</f>
        <v/>
      </c>
      <c r="CZ373" s="124" t="str">
        <f>IF($B373="","",IF(CW373=0,COUNTIF($CW$6:CW373,0),""))</f>
        <v/>
      </c>
    </row>
    <row r="374">
      <c r="A374" s="15" t="n">
        <v>370</v>
      </c>
      <c r="B374" t="str">
        <f>IF(B$3=0,"",IF(INDEX(SRC_ZPMW03!$A$1:$ZZ$501,$A374,B$3)&amp;""="","",INDEX(SRC_ZPMW03!$A$1:$ZZ$501,$A374,B$3)&amp;""))</f>
        <v/>
      </c>
      <c r="C374" t="str">
        <f>IF($B374="","",IF(C$3=0,"n.b.",INDEX(SRC_ZPMW03!$A$1:$ZZ$501,$A374,C$3)))</f>
        <v/>
      </c>
      <c r="D374" t="str">
        <f>IF($B374="","",IF(D$3=0,"n.b.",INDEX(SRC_ZPMW03!$A$1:$ZZ$501,$A374,D$3)))</f>
        <v/>
      </c>
      <c r="E374" t="str">
        <f>IF($B374="","",IF(E$3=0,"n.b.",INDEX(SRC_ZPMW03!$A$1:$ZZ$501,$A374,E$3)))</f>
        <v/>
      </c>
      <c r="F374" t="str">
        <f>IF($B374="","",IF(F$3=0,"n.b.",INDEX(SRC_ZPMW03!$A$1:$ZZ$501,$A374,F$3)))</f>
        <v/>
      </c>
      <c r="G374" t="str">
        <f>IF($B374="","",IF(G$3=0,"n.b.",INDEX(SRC_ZPMW03!$A$1:$ZZ$501,$A374,G$3)))</f>
        <v/>
      </c>
      <c r="H374" t="str">
        <f>IF($B374="","",IF(H$3=0,"n.b.",INDEX(SRC_ZPMW03!$A$1:$ZZ$501,$A374,H$3)))</f>
        <v/>
      </c>
      <c r="I374" t="str">
        <f>IF($B374="","",IF(I$3=0,"n.b.",INDEX(SRC_ZPMW03!$A$1:$ZZ$501,$A374,I$3)))</f>
        <v/>
      </c>
      <c r="J374" t="str">
        <f>IF($B374="","",IF(J$3=0,"n.b.",INDEX(SRC_ZPMW03!$A$1:$ZZ$501,$A374,J$3)))</f>
        <v/>
      </c>
      <c r="K374" t="str">
        <f>IF($B374="","",IF(K$3=0,"n.b.",INDEX(SRC_ZPMW03!$A$1:$ZZ$501,$A374,K$3)))</f>
        <v/>
      </c>
      <c r="L374" s="124" t="str">
        <f>IF($B374="","",IF(L$3=0,"n.b.",INDEX(SRC_ZPMW03!$A$1:$ZZ$501,$A374,L$3)))</f>
        <v/>
      </c>
      <c r="M374" s="124" t="str">
        <f>IF($B374="","",IF(M$3=0,"n.b.",INDEX(SRC_ZPMW03!$A$1:$ZZ$501,$A374,M$3)))</f>
        <v/>
      </c>
      <c r="N374" s="124" t="str">
        <f>IF($B374="","",IF(N$3=0,"n.b.",INDEX(SRC_ZPMW03!$A$1:$ZZ$501,$A374,N$3)))</f>
        <v/>
      </c>
      <c r="O374" s="124" t="str">
        <f>IF($B374="","",IF(O$3=0,"n.b.",INDEX(SRC_ZPMW03!$A$1:$ZZ$501,$A374,O$3)))</f>
        <v/>
      </c>
      <c r="P374" s="124" t="str">
        <f>IF($B374="","",IF(P$3=0,"n.b.",INDEX(SRC_ZPMW03!$A$1:$ZZ$501,$A374,P$3)))</f>
        <v/>
      </c>
      <c r="Q374" s="124" t="str">
        <f>IF($B374="","",IF(Q$3=0,"n.b.",INDEX(SRC_ZPMW03!$A$1:$ZZ$501,$A374,Q$3)))</f>
        <v/>
      </c>
      <c r="R374" s="124" t="str">
        <f>IF($B374="","",IF(R$3=0,"n.b.",INDEX(SRC_ZPMW03!$A$1:$ZZ$501,$A374,R$3)))</f>
        <v/>
      </c>
      <c r="S374" s="124" t="str">
        <f>IF($B374="","",IF(S$3=0,"n.b.",INDEX(SRC_ZPMW03!$A$1:$ZZ$501,$A374,S$3)))</f>
        <v/>
      </c>
      <c r="T374" s="124" t="str">
        <f>IF($B374="","",IF(T$3=0,"n.b.",INDEX(SRC_ZPMW03!$A$1:$ZZ$501,$A374,T$3)))</f>
        <v/>
      </c>
      <c r="U374" s="124" t="str">
        <f>IF($B374="","",IF(U$3=0,"n.b.",INDEX(SRC_ZPMW03!$A$1:$ZZ$501,$A374,U$3)))</f>
        <v/>
      </c>
      <c r="V374" s="124" t="str">
        <f>IF($B374="","",IF(V$3=0,"n.b.",INDEX(SRC_ZPMW03!$A$1:$ZZ$501,$A374,V$3)))</f>
        <v/>
      </c>
      <c r="W374" s="124" t="str">
        <f>IF($B374="","",IF(W$3=0,"n.b.",INDEX(SRC_ZPMW03!$A$1:$ZZ$501,$A374,W$3)))</f>
        <v/>
      </c>
      <c r="X374" s="124" t="str">
        <f>IF($B374="","",IF(X$3=0,"n.b.",INDEX(SRC_ZPMW03!$A$1:$ZZ$501,$A374,X$3)))</f>
        <v/>
      </c>
      <c r="Y374" s="124" t="str">
        <f>IF($B374="","",IF(Y$3=0,"n.b.",INDEX(SRC_ZPMW03!$A$1:$ZZ$501,$A374,Y$3)))</f>
        <v/>
      </c>
      <c r="Z374" s="124" t="str">
        <f>IF($B374="","",IF(Z$3=0,"n.b.",INDEX(SRC_ZPMW03!$A$1:$ZZ$501,$A374,Z$3)))</f>
        <v/>
      </c>
      <c r="AA374" s="124" t="str">
        <f>IF($B374="","",IF(AA$3=0,"n.b.",INDEX(SRC_ZPMW03!$A$1:$ZZ$501,$A374,AA$3)))</f>
        <v/>
      </c>
      <c r="AB374" s="124" t="str">
        <f>IF($B374="","",IF(AB$3=0,"n.b.",INDEX(SRC_ZPMW03!$A$1:$ZZ$501,$A374,AB$3)))</f>
        <v/>
      </c>
      <c r="AC374" s="124" t="str">
        <f>IF($B374="","",IF(AC$3=0,"n.b.",INDEX(SRC_ZPMW03!$A$1:$ZZ$501,$A374,AC$3)))</f>
        <v/>
      </c>
      <c r="AD374" s="124" t="str">
        <f>IF($B374="","",IF(AD$3=0,"n.b.",INDEX(SRC_ZPMW03!$A$1:$ZZ$501,$A374,AD$3)))</f>
        <v/>
      </c>
      <c r="AE374" s="124" t="str">
        <f>IF($B374="","",IF(AE$3=0,"n.b.",INDEX(SRC_ZPMW03!$A$1:$ZZ$501,$A374,AE$3)))</f>
        <v/>
      </c>
      <c r="AF374" s="124" t="str">
        <f>IF($B374="","",IF(AF$3=0,"n.b.",INDEX(SRC_ZPMW03!$A$1:$ZZ$501,$A374,AF$3)))</f>
        <v/>
      </c>
      <c r="AG374" s="124" t="str">
        <f>IF($B374="","",IF(AG$3=0,"n.b.",INDEX(SRC_ZPMW03!$A$1:$ZZ$501,$A374,AG$3)))</f>
        <v/>
      </c>
      <c r="AH374" s="124" t="str">
        <f>IF($B374="","",IF(AH$3=0,"n.b.",INDEX(SRC_ZPMW03!$A$1:$ZZ$501,$A374,AH$3)))</f>
        <v/>
      </c>
      <c r="AI374" s="124" t="str">
        <f>IF($B374="","",IF(AI$3=0,"n.b.",INDEX(SRC_ZPMW03!$A$1:$ZZ$501,$A374,AI$3)))</f>
        <v/>
      </c>
      <c r="AJ374" s="124" t="str">
        <f>IF($B374="","",IF(AJ$3=0,"n.b.",INDEX(SRC_ZPMW03!$A$1:$ZZ$501,$A374,AJ$3)))</f>
        <v/>
      </c>
      <c r="AK374" s="124" t="str">
        <f>IF($B374="","",IF(AK$3=0,"n.b.",INDEX(SRC_ZPMW03!$A$1:$ZZ$501,$A374,AK$3)))</f>
        <v/>
      </c>
      <c r="AL374" s="124" t="str">
        <f>IF($B374="","",IF(AL$3=0,"n.b.",INDEX(SRC_ZPMW03!$A$1:$ZZ$501,$A374,AL$3)))</f>
        <v/>
      </c>
      <c r="AM374" s="124" t="str">
        <f>IF($B374="","",IF(AM$3=0,"n.b.",INDEX(SRC_ZPMW03!$A$1:$ZZ$501,$A374,AM$3)))</f>
        <v/>
      </c>
      <c r="AN374" s="124" t="str">
        <f>IF($B374="","",IF(AN$3=0,"n.b.",INDEX(SRC_ZPMW03!$A$1:$ZZ$501,$A374,AN$3)))</f>
        <v/>
      </c>
      <c r="AO374" s="124" t="str">
        <f>IF($B374="","",IF(AO$3=0,"n.b.",INDEX(SRC_ZPMW03!$A$1:$ZZ$501,$A374,AO$3)))</f>
        <v/>
      </c>
      <c r="AP374" s="124" t="str">
        <f>IF($B374="","",IF(AP$3=0,"n.b.",INDEX(SRC_ZPMW03!$A$1:$ZZ$501,$A374,AP$3)))</f>
        <v/>
      </c>
      <c r="AQ374" s="124" t="str">
        <f>IF($B374="","",IF(AQ$3=0,"n.b.",INDEX(SRC_ZPMW03!$A$1:$ZZ$501,$A374,AQ$3)))</f>
        <v/>
      </c>
      <c r="AR374" s="124" t="str">
        <f>IF($B374="","",IF(AR$3=0,"n.b.",INDEX(SRC_ZPMW03!$A$1:$ZZ$501,$A374,AR$3)))</f>
        <v/>
      </c>
      <c r="AS374" s="124" t="str">
        <f>IF($B374="","",IF(AS$3=0,"n.b.",INDEX(SRC_ZPMW03!$A$1:$ZZ$501,$A374,AS$3)))</f>
        <v/>
      </c>
      <c r="AT374" s="124" t="str">
        <f>IF($B374="","",IF(AT$3=0,"n.b.",INDEX(SRC_ZPMW03!$A$1:$ZZ$501,$A374,AT$3)))</f>
        <v/>
      </c>
      <c r="AU374" s="124" t="str">
        <f>IF($B374="","",IF(AU$3=0,"n.b.",INDEX(SRC_ZPMW03!$A$1:$ZZ$501,$A374,AU$3)))</f>
        <v/>
      </c>
      <c r="AV374" s="124" t="str">
        <f>IF($B374="","",IF(AV$3=0,"n.b.",INDEX(SRC_ZPMW03!$A$1:$ZZ$501,$A374,AV$3)))</f>
        <v/>
      </c>
      <c r="AW374" s="124" t="str">
        <f>IF($B374="","",IF(AW$3=0,"n.b.",INDEX(SRC_ZPMW03!$A$1:$ZZ$501,$A374,AW$3)))</f>
        <v/>
      </c>
      <c r="AX374" s="124" t="str">
        <f>IF($B374="","",IF(AX$3=0,"n.b.",INDEX(SRC_ZPMW03!$A$1:$ZZ$501,$A374,AX$3)))</f>
        <v/>
      </c>
      <c r="AY374" s="124" t="str">
        <f>IF($B374="","",IF(AY$3=0,"n.b.",INDEX(SRC_ZPMW03!$A$1:$ZZ$501,$A374,AY$3)))</f>
        <v/>
      </c>
      <c r="AZ374" s="124" t="str">
        <f>IF($B374="","",IF(AZ$3=0,"n.b.",INDEX(SRC_ZPMW03!$A$1:$ZZ$501,$A374,AZ$3)))</f>
        <v/>
      </c>
      <c r="BA374" s="124" t="str">
        <f>IF($B374="","",IF(BA$3=0,"n.b.",INDEX(SRC_ZPMW03!$A$1:$ZZ$501,$A374,BA$3)))</f>
        <v/>
      </c>
      <c r="BB374" s="124" t="str">
        <f>IF($B374="","",IF(BB$3=0,"n.b.",INDEX(SRC_ZPMW03!$A$1:$ZZ$501,$A374,BB$3)))</f>
        <v/>
      </c>
      <c r="BC374" s="124" t="str">
        <f>IF($B374="","",IF(BC$3=0,"n.b.",INDEX(SRC_ZPMW03!$A$1:$ZZ$501,$A374,BC$3)))</f>
        <v/>
      </c>
      <c r="BD374" s="124" t="str">
        <f>IF($B374="","",IF(BD$3=0,"n.b.",INDEX(SRC_ZPMW03!$A$1:$ZZ$501,$A374,BD$3)))</f>
        <v/>
      </c>
      <c r="BE374" s="124" t="str">
        <f>IF($B374="","",IF(BE$3=0,"n.b.",INDEX(SRC_ZPMW03!$A$1:$ZZ$501,$A374,BE$3)))</f>
        <v/>
      </c>
      <c r="BF374" s="124" t="str">
        <f>IF($B374="","",IF(BF$3=0,"n.b.",INDEX(SRC_ZPMW03!$A$1:$ZZ$501,$A374,BF$3)))</f>
        <v/>
      </c>
      <c r="BG374" t="str">
        <f>IF($B374="","",IF(BG$3=0,"n.b.",INDEX(SRC_ZPMW03!$A$1:$ZZ$501,$A374,BG$3)))</f>
        <v/>
      </c>
      <c r="BH374" t="str">
        <f>IF($B374="","",IF(BH$3=0,"n.b.",INDEX(SRC_ZPMW03!$A$1:$ZZ$501,$A374,BH$3)))</f>
        <v/>
      </c>
      <c r="BI374" t="str">
        <f>IF($B374="","",IF(BI$3=0,"n.b.",INDEX(SRC_ZPMW03!$A$1:$ZZ$501,$A374,BI$3)))</f>
        <v/>
      </c>
      <c r="BJ374" t="str">
        <f>IF($B374="","",IF(BJ$3=0,"n.b.",INDEX(SRC_ZPMW03!$A$1:$ZZ$501,$A374,BJ$3)))</f>
        <v/>
      </c>
      <c r="BK374" s="124" t="str">
        <f>IF($B374="","",IFERROR(-O374,"n.b."))</f>
        <v/>
      </c>
      <c r="BL374" s="124" t="str">
        <f>IF($B374="","",IFERROR(-Q374,"n.b."))</f>
        <v/>
      </c>
      <c r="BM374" s="124" t="str">
        <f>IF($B374="","",IFERROR(-AB374,"n.b."))</f>
        <v/>
      </c>
      <c r="BN374" s="124" t="str">
        <f>IF($B374="","",IFERROR(-AD374,"n.b."))</f>
        <v/>
      </c>
      <c r="BO374" s="124" t="str">
        <f>IF($B374="","",IFERROR(BK374+BM374,"n.b."))</f>
        <v/>
      </c>
      <c r="BP374" s="124" t="str">
        <f>IF($B374="","",IFERROR(BL374+BN374,"n.b."))</f>
        <v/>
      </c>
      <c r="BQ374" s="124" t="str">
        <f>IF($B374="","",IFERROR(-AM374,"n.b."))</f>
        <v/>
      </c>
      <c r="BR374" s="124" t="str">
        <f>IF($B374="","",IFERROR(-AO374,"n.b."))</f>
        <v/>
      </c>
      <c r="BS374" s="124" t="str">
        <f>IF($B374="","",IFERROR(-Z374,"n.b."))</f>
        <v/>
      </c>
      <c r="BT374" s="124" t="str">
        <f>IF($B374="","",IFERROR(-AA374,"n.b."))</f>
        <v/>
      </c>
      <c r="BU374" s="124" t="str">
        <f>IF($B374="","",IFERROR(-AE374,"n.b."))</f>
        <v/>
      </c>
      <c r="BV374" s="124" t="str">
        <f>IF($B374="","",IFERROR(-AF374,"n.b."))</f>
        <v/>
      </c>
      <c r="BW374" s="124" t="str">
        <f>IF($B374="","",IFERROR(-AG374,"n.b."))</f>
        <v/>
      </c>
      <c r="BX374" s="124" t="str">
        <f>IF($B374="","",IFERROR(-AH374,"n.b."))</f>
        <v/>
      </c>
      <c r="BY374" s="124" t="str">
        <f>IF($B374="","",IFERROR(-AI374,"n.b."))</f>
        <v/>
      </c>
      <c r="BZ374" s="124" t="str">
        <f>IF($B374="","",IFERROR(-AJ374,"n.b."))</f>
        <v/>
      </c>
      <c r="CA374" s="124" t="str">
        <f>IF($B374="","",IFERROR(-AK374,"n.b."))</f>
        <v/>
      </c>
      <c r="CB374" s="124" t="str">
        <f>IF($B374="","",IFERROR(-AL374,"n.b."))</f>
        <v/>
      </c>
      <c r="CC374" s="124" t="str">
        <f>IF($B374="","",IFERROR(-AP374,"n.b."))</f>
        <v/>
      </c>
      <c r="CD374" s="124" t="str">
        <f>IF($B374="","",IFERROR(-AQ374,"n.b."))</f>
        <v/>
      </c>
      <c r="CE374" s="124" t="str">
        <f>IF($B374="","",IFERROR(-AR374,"n.b."))</f>
        <v/>
      </c>
      <c r="CF374" s="124" t="str">
        <f>IF($B374="","",IFERROR(-AS374,"n.b."))</f>
        <v/>
      </c>
      <c r="CG374" s="124" t="str">
        <f>IF($B374="","",IFERROR(-AT374,"n.b."))</f>
        <v/>
      </c>
      <c r="CH374" s="124" t="str">
        <f>IF($B374="","",IFERROR(-AU374,"n.b."))</f>
        <v/>
      </c>
      <c r="CI374" s="124" t="str">
        <f>IF($B374="","",IFERROR(-AV374,"n.b."))</f>
        <v/>
      </c>
      <c r="CJ374" s="124" t="str">
        <f>IF($B374="","",IFERROR(-AW374,"n.b."))</f>
        <v/>
      </c>
      <c r="CK374" s="124" t="str">
        <f>IF($B374="","",IFERROR(-AX374,"n.b."))</f>
        <v/>
      </c>
      <c r="CL374" s="124" t="str">
        <f>IF($B374="","",IFERROR(-AY374,"n.b."))</f>
        <v/>
      </c>
      <c r="CM374" s="124" t="str">
        <f>IF($B374="","",IFERROR(-AZ374,"n.b."))</f>
        <v/>
      </c>
      <c r="CN374" s="124" t="str">
        <f>IF($B374="","",IFERROR(-BA374,"n.b."))</f>
        <v/>
      </c>
      <c r="CO374" s="124" t="str">
        <f>IF($B374="","",IFERROR(-BB374,"n.b."))</f>
        <v/>
      </c>
      <c r="CP374" s="124" t="str">
        <f>IF($B374="","",IFERROR(-BC374,"n.b."))</f>
        <v/>
      </c>
      <c r="CQ374" s="124" t="str">
        <f>IF($B374="","",IFERROR(-BD374,"n.b."))</f>
        <v/>
      </c>
      <c r="CR374" s="124" t="str">
        <f>IF($B374="","",IFERROR(-BE374,"n.b."))</f>
        <v/>
      </c>
      <c r="CS374" s="124" t="str">
        <f>IF($B374="","",IFERROR(IF(OR(ABS(T374+V374+X374+Z374-AB374)&gt;P_Tol,ABS(U374+W374+Y374+AA374-AD374)&gt;P_Tol,ABS(AE374+AG374+AI374+AK374-AM374)&gt;P_Tol,ABS(AF374+AH374+AJ374+AL374-AO374)&gt;P_Tol),1,0),1))</f>
        <v/>
      </c>
      <c r="CT374" s="124" t="str">
        <f>IF($B374="","",IFERROR(IF(OR(ABS(AB374+AC374-AD374)&gt;P_Tol,ABS(AM374+AN374-AO374)&gt;P_Tol,ABS(O374+P374-Q374)&gt;P_Tol),1,0),1))</f>
        <v/>
      </c>
      <c r="CU374" s="124" t="str">
        <f>IF($B374="","",IFERROR(IF(ABS(R374-(AB374+AM374+AP374+AR374+AT374+AV374+AX374+AZ374+BB374+BD374))&gt;P_Tol,1,0),1))</f>
        <v/>
      </c>
      <c r="CV374" s="124" t="str">
        <f>IF($B374="","",IFERROR(IF(ABS(M374-(N374+O374+R374))&gt;P_Tol,1,0),1))</f>
        <v/>
      </c>
      <c r="CW374" s="124" t="str">
        <f>IF($B374="","",IF(COUNTIF(Mapping!$A$5:$A$104,B374)&gt;0,1,0))</f>
        <v/>
      </c>
      <c r="CX374" s="124" t="str">
        <f>IF($B374="","",COUNTIF($B$6:$B$505,B374))</f>
        <v/>
      </c>
      <c r="CY374" s="124" t="str">
        <f>IF($B374="","",COUNTIF(STG_Woningetalage!$B$6:$B$505,B374))</f>
        <v/>
      </c>
      <c r="CZ374" s="124" t="str">
        <f>IF($B374="","",IF(CW374=0,COUNTIF($CW$6:CW374,0),""))</f>
        <v/>
      </c>
    </row>
    <row r="375">
      <c r="A375" s="15" t="n">
        <v>371</v>
      </c>
      <c r="B375" t="str">
        <f>IF(B$3=0,"",IF(INDEX(SRC_ZPMW03!$A$1:$ZZ$501,$A375,B$3)&amp;""="","",INDEX(SRC_ZPMW03!$A$1:$ZZ$501,$A375,B$3)&amp;""))</f>
        <v/>
      </c>
      <c r="C375" t="str">
        <f>IF($B375="","",IF(C$3=0,"n.b.",INDEX(SRC_ZPMW03!$A$1:$ZZ$501,$A375,C$3)))</f>
        <v/>
      </c>
      <c r="D375" t="str">
        <f>IF($B375="","",IF(D$3=0,"n.b.",INDEX(SRC_ZPMW03!$A$1:$ZZ$501,$A375,D$3)))</f>
        <v/>
      </c>
      <c r="E375" t="str">
        <f>IF($B375="","",IF(E$3=0,"n.b.",INDEX(SRC_ZPMW03!$A$1:$ZZ$501,$A375,E$3)))</f>
        <v/>
      </c>
      <c r="F375" t="str">
        <f>IF($B375="","",IF(F$3=0,"n.b.",INDEX(SRC_ZPMW03!$A$1:$ZZ$501,$A375,F$3)))</f>
        <v/>
      </c>
      <c r="G375" t="str">
        <f>IF($B375="","",IF(G$3=0,"n.b.",INDEX(SRC_ZPMW03!$A$1:$ZZ$501,$A375,G$3)))</f>
        <v/>
      </c>
      <c r="H375" t="str">
        <f>IF($B375="","",IF(H$3=0,"n.b.",INDEX(SRC_ZPMW03!$A$1:$ZZ$501,$A375,H$3)))</f>
        <v/>
      </c>
      <c r="I375" t="str">
        <f>IF($B375="","",IF(I$3=0,"n.b.",INDEX(SRC_ZPMW03!$A$1:$ZZ$501,$A375,I$3)))</f>
        <v/>
      </c>
      <c r="J375" t="str">
        <f>IF($B375="","",IF(J$3=0,"n.b.",INDEX(SRC_ZPMW03!$A$1:$ZZ$501,$A375,J$3)))</f>
        <v/>
      </c>
      <c r="K375" t="str">
        <f>IF($B375="","",IF(K$3=0,"n.b.",INDEX(SRC_ZPMW03!$A$1:$ZZ$501,$A375,K$3)))</f>
        <v/>
      </c>
      <c r="L375" s="124" t="str">
        <f>IF($B375="","",IF(L$3=0,"n.b.",INDEX(SRC_ZPMW03!$A$1:$ZZ$501,$A375,L$3)))</f>
        <v/>
      </c>
      <c r="M375" s="124" t="str">
        <f>IF($B375="","",IF(M$3=0,"n.b.",INDEX(SRC_ZPMW03!$A$1:$ZZ$501,$A375,M$3)))</f>
        <v/>
      </c>
      <c r="N375" s="124" t="str">
        <f>IF($B375="","",IF(N$3=0,"n.b.",INDEX(SRC_ZPMW03!$A$1:$ZZ$501,$A375,N$3)))</f>
        <v/>
      </c>
      <c r="O375" s="124" t="str">
        <f>IF($B375="","",IF(O$3=0,"n.b.",INDEX(SRC_ZPMW03!$A$1:$ZZ$501,$A375,O$3)))</f>
        <v/>
      </c>
      <c r="P375" s="124" t="str">
        <f>IF($B375="","",IF(P$3=0,"n.b.",INDEX(SRC_ZPMW03!$A$1:$ZZ$501,$A375,P$3)))</f>
        <v/>
      </c>
      <c r="Q375" s="124" t="str">
        <f>IF($B375="","",IF(Q$3=0,"n.b.",INDEX(SRC_ZPMW03!$A$1:$ZZ$501,$A375,Q$3)))</f>
        <v/>
      </c>
      <c r="R375" s="124" t="str">
        <f>IF($B375="","",IF(R$3=0,"n.b.",INDEX(SRC_ZPMW03!$A$1:$ZZ$501,$A375,R$3)))</f>
        <v/>
      </c>
      <c r="S375" s="124" t="str">
        <f>IF($B375="","",IF(S$3=0,"n.b.",INDEX(SRC_ZPMW03!$A$1:$ZZ$501,$A375,S$3)))</f>
        <v/>
      </c>
      <c r="T375" s="124" t="str">
        <f>IF($B375="","",IF(T$3=0,"n.b.",INDEX(SRC_ZPMW03!$A$1:$ZZ$501,$A375,T$3)))</f>
        <v/>
      </c>
      <c r="U375" s="124" t="str">
        <f>IF($B375="","",IF(U$3=0,"n.b.",INDEX(SRC_ZPMW03!$A$1:$ZZ$501,$A375,U$3)))</f>
        <v/>
      </c>
      <c r="V375" s="124" t="str">
        <f>IF($B375="","",IF(V$3=0,"n.b.",INDEX(SRC_ZPMW03!$A$1:$ZZ$501,$A375,V$3)))</f>
        <v/>
      </c>
      <c r="W375" s="124" t="str">
        <f>IF($B375="","",IF(W$3=0,"n.b.",INDEX(SRC_ZPMW03!$A$1:$ZZ$501,$A375,W$3)))</f>
        <v/>
      </c>
      <c r="X375" s="124" t="str">
        <f>IF($B375="","",IF(X$3=0,"n.b.",INDEX(SRC_ZPMW03!$A$1:$ZZ$501,$A375,X$3)))</f>
        <v/>
      </c>
      <c r="Y375" s="124" t="str">
        <f>IF($B375="","",IF(Y$3=0,"n.b.",INDEX(SRC_ZPMW03!$A$1:$ZZ$501,$A375,Y$3)))</f>
        <v/>
      </c>
      <c r="Z375" s="124" t="str">
        <f>IF($B375="","",IF(Z$3=0,"n.b.",INDEX(SRC_ZPMW03!$A$1:$ZZ$501,$A375,Z$3)))</f>
        <v/>
      </c>
      <c r="AA375" s="124" t="str">
        <f>IF($B375="","",IF(AA$3=0,"n.b.",INDEX(SRC_ZPMW03!$A$1:$ZZ$501,$A375,AA$3)))</f>
        <v/>
      </c>
      <c r="AB375" s="124" t="str">
        <f>IF($B375="","",IF(AB$3=0,"n.b.",INDEX(SRC_ZPMW03!$A$1:$ZZ$501,$A375,AB$3)))</f>
        <v/>
      </c>
      <c r="AC375" s="124" t="str">
        <f>IF($B375="","",IF(AC$3=0,"n.b.",INDEX(SRC_ZPMW03!$A$1:$ZZ$501,$A375,AC$3)))</f>
        <v/>
      </c>
      <c r="AD375" s="124" t="str">
        <f>IF($B375="","",IF(AD$3=0,"n.b.",INDEX(SRC_ZPMW03!$A$1:$ZZ$501,$A375,AD$3)))</f>
        <v/>
      </c>
      <c r="AE375" s="124" t="str">
        <f>IF($B375="","",IF(AE$3=0,"n.b.",INDEX(SRC_ZPMW03!$A$1:$ZZ$501,$A375,AE$3)))</f>
        <v/>
      </c>
      <c r="AF375" s="124" t="str">
        <f>IF($B375="","",IF(AF$3=0,"n.b.",INDEX(SRC_ZPMW03!$A$1:$ZZ$501,$A375,AF$3)))</f>
        <v/>
      </c>
      <c r="AG375" s="124" t="str">
        <f>IF($B375="","",IF(AG$3=0,"n.b.",INDEX(SRC_ZPMW03!$A$1:$ZZ$501,$A375,AG$3)))</f>
        <v/>
      </c>
      <c r="AH375" s="124" t="str">
        <f>IF($B375="","",IF(AH$3=0,"n.b.",INDEX(SRC_ZPMW03!$A$1:$ZZ$501,$A375,AH$3)))</f>
        <v/>
      </c>
      <c r="AI375" s="124" t="str">
        <f>IF($B375="","",IF(AI$3=0,"n.b.",INDEX(SRC_ZPMW03!$A$1:$ZZ$501,$A375,AI$3)))</f>
        <v/>
      </c>
      <c r="AJ375" s="124" t="str">
        <f>IF($B375="","",IF(AJ$3=0,"n.b.",INDEX(SRC_ZPMW03!$A$1:$ZZ$501,$A375,AJ$3)))</f>
        <v/>
      </c>
      <c r="AK375" s="124" t="str">
        <f>IF($B375="","",IF(AK$3=0,"n.b.",INDEX(SRC_ZPMW03!$A$1:$ZZ$501,$A375,AK$3)))</f>
        <v/>
      </c>
      <c r="AL375" s="124" t="str">
        <f>IF($B375="","",IF(AL$3=0,"n.b.",INDEX(SRC_ZPMW03!$A$1:$ZZ$501,$A375,AL$3)))</f>
        <v/>
      </c>
      <c r="AM375" s="124" t="str">
        <f>IF($B375="","",IF(AM$3=0,"n.b.",INDEX(SRC_ZPMW03!$A$1:$ZZ$501,$A375,AM$3)))</f>
        <v/>
      </c>
      <c r="AN375" s="124" t="str">
        <f>IF($B375="","",IF(AN$3=0,"n.b.",INDEX(SRC_ZPMW03!$A$1:$ZZ$501,$A375,AN$3)))</f>
        <v/>
      </c>
      <c r="AO375" s="124" t="str">
        <f>IF($B375="","",IF(AO$3=0,"n.b.",INDEX(SRC_ZPMW03!$A$1:$ZZ$501,$A375,AO$3)))</f>
        <v/>
      </c>
      <c r="AP375" s="124" t="str">
        <f>IF($B375="","",IF(AP$3=0,"n.b.",INDEX(SRC_ZPMW03!$A$1:$ZZ$501,$A375,AP$3)))</f>
        <v/>
      </c>
      <c r="AQ375" s="124" t="str">
        <f>IF($B375="","",IF(AQ$3=0,"n.b.",INDEX(SRC_ZPMW03!$A$1:$ZZ$501,$A375,AQ$3)))</f>
        <v/>
      </c>
      <c r="AR375" s="124" t="str">
        <f>IF($B375="","",IF(AR$3=0,"n.b.",INDEX(SRC_ZPMW03!$A$1:$ZZ$501,$A375,AR$3)))</f>
        <v/>
      </c>
      <c r="AS375" s="124" t="str">
        <f>IF($B375="","",IF(AS$3=0,"n.b.",INDEX(SRC_ZPMW03!$A$1:$ZZ$501,$A375,AS$3)))</f>
        <v/>
      </c>
      <c r="AT375" s="124" t="str">
        <f>IF($B375="","",IF(AT$3=0,"n.b.",INDEX(SRC_ZPMW03!$A$1:$ZZ$501,$A375,AT$3)))</f>
        <v/>
      </c>
      <c r="AU375" s="124" t="str">
        <f>IF($B375="","",IF(AU$3=0,"n.b.",INDEX(SRC_ZPMW03!$A$1:$ZZ$501,$A375,AU$3)))</f>
        <v/>
      </c>
      <c r="AV375" s="124" t="str">
        <f>IF($B375="","",IF(AV$3=0,"n.b.",INDEX(SRC_ZPMW03!$A$1:$ZZ$501,$A375,AV$3)))</f>
        <v/>
      </c>
      <c r="AW375" s="124" t="str">
        <f>IF($B375="","",IF(AW$3=0,"n.b.",INDEX(SRC_ZPMW03!$A$1:$ZZ$501,$A375,AW$3)))</f>
        <v/>
      </c>
      <c r="AX375" s="124" t="str">
        <f>IF($B375="","",IF(AX$3=0,"n.b.",INDEX(SRC_ZPMW03!$A$1:$ZZ$501,$A375,AX$3)))</f>
        <v/>
      </c>
      <c r="AY375" s="124" t="str">
        <f>IF($B375="","",IF(AY$3=0,"n.b.",INDEX(SRC_ZPMW03!$A$1:$ZZ$501,$A375,AY$3)))</f>
        <v/>
      </c>
      <c r="AZ375" s="124" t="str">
        <f>IF($B375="","",IF(AZ$3=0,"n.b.",INDEX(SRC_ZPMW03!$A$1:$ZZ$501,$A375,AZ$3)))</f>
        <v/>
      </c>
      <c r="BA375" s="124" t="str">
        <f>IF($B375="","",IF(BA$3=0,"n.b.",INDEX(SRC_ZPMW03!$A$1:$ZZ$501,$A375,BA$3)))</f>
        <v/>
      </c>
      <c r="BB375" s="124" t="str">
        <f>IF($B375="","",IF(BB$3=0,"n.b.",INDEX(SRC_ZPMW03!$A$1:$ZZ$501,$A375,BB$3)))</f>
        <v/>
      </c>
      <c r="BC375" s="124" t="str">
        <f>IF($B375="","",IF(BC$3=0,"n.b.",INDEX(SRC_ZPMW03!$A$1:$ZZ$501,$A375,BC$3)))</f>
        <v/>
      </c>
      <c r="BD375" s="124" t="str">
        <f>IF($B375="","",IF(BD$3=0,"n.b.",INDEX(SRC_ZPMW03!$A$1:$ZZ$501,$A375,BD$3)))</f>
        <v/>
      </c>
      <c r="BE375" s="124" t="str">
        <f>IF($B375="","",IF(BE$3=0,"n.b.",INDEX(SRC_ZPMW03!$A$1:$ZZ$501,$A375,BE$3)))</f>
        <v/>
      </c>
      <c r="BF375" s="124" t="str">
        <f>IF($B375="","",IF(BF$3=0,"n.b.",INDEX(SRC_ZPMW03!$A$1:$ZZ$501,$A375,BF$3)))</f>
        <v/>
      </c>
      <c r="BG375" t="str">
        <f>IF($B375="","",IF(BG$3=0,"n.b.",INDEX(SRC_ZPMW03!$A$1:$ZZ$501,$A375,BG$3)))</f>
        <v/>
      </c>
      <c r="BH375" t="str">
        <f>IF($B375="","",IF(BH$3=0,"n.b.",INDEX(SRC_ZPMW03!$A$1:$ZZ$501,$A375,BH$3)))</f>
        <v/>
      </c>
      <c r="BI375" t="str">
        <f>IF($B375="","",IF(BI$3=0,"n.b.",INDEX(SRC_ZPMW03!$A$1:$ZZ$501,$A375,BI$3)))</f>
        <v/>
      </c>
      <c r="BJ375" t="str">
        <f>IF($B375="","",IF(BJ$3=0,"n.b.",INDEX(SRC_ZPMW03!$A$1:$ZZ$501,$A375,BJ$3)))</f>
        <v/>
      </c>
      <c r="BK375" s="124" t="str">
        <f>IF($B375="","",IFERROR(-O375,"n.b."))</f>
        <v/>
      </c>
      <c r="BL375" s="124" t="str">
        <f>IF($B375="","",IFERROR(-Q375,"n.b."))</f>
        <v/>
      </c>
      <c r="BM375" s="124" t="str">
        <f>IF($B375="","",IFERROR(-AB375,"n.b."))</f>
        <v/>
      </c>
      <c r="BN375" s="124" t="str">
        <f>IF($B375="","",IFERROR(-AD375,"n.b."))</f>
        <v/>
      </c>
      <c r="BO375" s="124" t="str">
        <f>IF($B375="","",IFERROR(BK375+BM375,"n.b."))</f>
        <v/>
      </c>
      <c r="BP375" s="124" t="str">
        <f>IF($B375="","",IFERROR(BL375+BN375,"n.b."))</f>
        <v/>
      </c>
      <c r="BQ375" s="124" t="str">
        <f>IF($B375="","",IFERROR(-AM375,"n.b."))</f>
        <v/>
      </c>
      <c r="BR375" s="124" t="str">
        <f>IF($B375="","",IFERROR(-AO375,"n.b."))</f>
        <v/>
      </c>
      <c r="BS375" s="124" t="str">
        <f>IF($B375="","",IFERROR(-Z375,"n.b."))</f>
        <v/>
      </c>
      <c r="BT375" s="124" t="str">
        <f>IF($B375="","",IFERROR(-AA375,"n.b."))</f>
        <v/>
      </c>
      <c r="BU375" s="124" t="str">
        <f>IF($B375="","",IFERROR(-AE375,"n.b."))</f>
        <v/>
      </c>
      <c r="BV375" s="124" t="str">
        <f>IF($B375="","",IFERROR(-AF375,"n.b."))</f>
        <v/>
      </c>
      <c r="BW375" s="124" t="str">
        <f>IF($B375="","",IFERROR(-AG375,"n.b."))</f>
        <v/>
      </c>
      <c r="BX375" s="124" t="str">
        <f>IF($B375="","",IFERROR(-AH375,"n.b."))</f>
        <v/>
      </c>
      <c r="BY375" s="124" t="str">
        <f>IF($B375="","",IFERROR(-AI375,"n.b."))</f>
        <v/>
      </c>
      <c r="BZ375" s="124" t="str">
        <f>IF($B375="","",IFERROR(-AJ375,"n.b."))</f>
        <v/>
      </c>
      <c r="CA375" s="124" t="str">
        <f>IF($B375="","",IFERROR(-AK375,"n.b."))</f>
        <v/>
      </c>
      <c r="CB375" s="124" t="str">
        <f>IF($B375="","",IFERROR(-AL375,"n.b."))</f>
        <v/>
      </c>
      <c r="CC375" s="124" t="str">
        <f>IF($B375="","",IFERROR(-AP375,"n.b."))</f>
        <v/>
      </c>
      <c r="CD375" s="124" t="str">
        <f>IF($B375="","",IFERROR(-AQ375,"n.b."))</f>
        <v/>
      </c>
      <c r="CE375" s="124" t="str">
        <f>IF($B375="","",IFERROR(-AR375,"n.b."))</f>
        <v/>
      </c>
      <c r="CF375" s="124" t="str">
        <f>IF($B375="","",IFERROR(-AS375,"n.b."))</f>
        <v/>
      </c>
      <c r="CG375" s="124" t="str">
        <f>IF($B375="","",IFERROR(-AT375,"n.b."))</f>
        <v/>
      </c>
      <c r="CH375" s="124" t="str">
        <f>IF($B375="","",IFERROR(-AU375,"n.b."))</f>
        <v/>
      </c>
      <c r="CI375" s="124" t="str">
        <f>IF($B375="","",IFERROR(-AV375,"n.b."))</f>
        <v/>
      </c>
      <c r="CJ375" s="124" t="str">
        <f>IF($B375="","",IFERROR(-AW375,"n.b."))</f>
        <v/>
      </c>
      <c r="CK375" s="124" t="str">
        <f>IF($B375="","",IFERROR(-AX375,"n.b."))</f>
        <v/>
      </c>
      <c r="CL375" s="124" t="str">
        <f>IF($B375="","",IFERROR(-AY375,"n.b."))</f>
        <v/>
      </c>
      <c r="CM375" s="124" t="str">
        <f>IF($B375="","",IFERROR(-AZ375,"n.b."))</f>
        <v/>
      </c>
      <c r="CN375" s="124" t="str">
        <f>IF($B375="","",IFERROR(-BA375,"n.b."))</f>
        <v/>
      </c>
      <c r="CO375" s="124" t="str">
        <f>IF($B375="","",IFERROR(-BB375,"n.b."))</f>
        <v/>
      </c>
      <c r="CP375" s="124" t="str">
        <f>IF($B375="","",IFERROR(-BC375,"n.b."))</f>
        <v/>
      </c>
      <c r="CQ375" s="124" t="str">
        <f>IF($B375="","",IFERROR(-BD375,"n.b."))</f>
        <v/>
      </c>
      <c r="CR375" s="124" t="str">
        <f>IF($B375="","",IFERROR(-BE375,"n.b."))</f>
        <v/>
      </c>
      <c r="CS375" s="124" t="str">
        <f>IF($B375="","",IFERROR(IF(OR(ABS(T375+V375+X375+Z375-AB375)&gt;P_Tol,ABS(U375+W375+Y375+AA375-AD375)&gt;P_Tol,ABS(AE375+AG375+AI375+AK375-AM375)&gt;P_Tol,ABS(AF375+AH375+AJ375+AL375-AO375)&gt;P_Tol),1,0),1))</f>
        <v/>
      </c>
      <c r="CT375" s="124" t="str">
        <f>IF($B375="","",IFERROR(IF(OR(ABS(AB375+AC375-AD375)&gt;P_Tol,ABS(AM375+AN375-AO375)&gt;P_Tol,ABS(O375+P375-Q375)&gt;P_Tol),1,0),1))</f>
        <v/>
      </c>
      <c r="CU375" s="124" t="str">
        <f>IF($B375="","",IFERROR(IF(ABS(R375-(AB375+AM375+AP375+AR375+AT375+AV375+AX375+AZ375+BB375+BD375))&gt;P_Tol,1,0),1))</f>
        <v/>
      </c>
      <c r="CV375" s="124" t="str">
        <f>IF($B375="","",IFERROR(IF(ABS(M375-(N375+O375+R375))&gt;P_Tol,1,0),1))</f>
        <v/>
      </c>
      <c r="CW375" s="124" t="str">
        <f>IF($B375="","",IF(COUNTIF(Mapping!$A$5:$A$104,B375)&gt;0,1,0))</f>
        <v/>
      </c>
      <c r="CX375" s="124" t="str">
        <f>IF($B375="","",COUNTIF($B$6:$B$505,B375))</f>
        <v/>
      </c>
      <c r="CY375" s="124" t="str">
        <f>IF($B375="","",COUNTIF(STG_Woningetalage!$B$6:$B$505,B375))</f>
        <v/>
      </c>
      <c r="CZ375" s="124" t="str">
        <f>IF($B375="","",IF(CW375=0,COUNTIF($CW$6:CW375,0),""))</f>
        <v/>
      </c>
    </row>
    <row r="376">
      <c r="A376" s="15" t="n">
        <v>372</v>
      </c>
      <c r="B376" t="str">
        <f>IF(B$3=0,"",IF(INDEX(SRC_ZPMW03!$A$1:$ZZ$501,$A376,B$3)&amp;""="","",INDEX(SRC_ZPMW03!$A$1:$ZZ$501,$A376,B$3)&amp;""))</f>
        <v/>
      </c>
      <c r="C376" t="str">
        <f>IF($B376="","",IF(C$3=0,"n.b.",INDEX(SRC_ZPMW03!$A$1:$ZZ$501,$A376,C$3)))</f>
        <v/>
      </c>
      <c r="D376" t="str">
        <f>IF($B376="","",IF(D$3=0,"n.b.",INDEX(SRC_ZPMW03!$A$1:$ZZ$501,$A376,D$3)))</f>
        <v/>
      </c>
      <c r="E376" t="str">
        <f>IF($B376="","",IF(E$3=0,"n.b.",INDEX(SRC_ZPMW03!$A$1:$ZZ$501,$A376,E$3)))</f>
        <v/>
      </c>
      <c r="F376" t="str">
        <f>IF($B376="","",IF(F$3=0,"n.b.",INDEX(SRC_ZPMW03!$A$1:$ZZ$501,$A376,F$3)))</f>
        <v/>
      </c>
      <c r="G376" t="str">
        <f>IF($B376="","",IF(G$3=0,"n.b.",INDEX(SRC_ZPMW03!$A$1:$ZZ$501,$A376,G$3)))</f>
        <v/>
      </c>
      <c r="H376" t="str">
        <f>IF($B376="","",IF(H$3=0,"n.b.",INDEX(SRC_ZPMW03!$A$1:$ZZ$501,$A376,H$3)))</f>
        <v/>
      </c>
      <c r="I376" t="str">
        <f>IF($B376="","",IF(I$3=0,"n.b.",INDEX(SRC_ZPMW03!$A$1:$ZZ$501,$A376,I$3)))</f>
        <v/>
      </c>
      <c r="J376" t="str">
        <f>IF($B376="","",IF(J$3=0,"n.b.",INDEX(SRC_ZPMW03!$A$1:$ZZ$501,$A376,J$3)))</f>
        <v/>
      </c>
      <c r="K376" t="str">
        <f>IF($B376="","",IF(K$3=0,"n.b.",INDEX(SRC_ZPMW03!$A$1:$ZZ$501,$A376,K$3)))</f>
        <v/>
      </c>
      <c r="L376" s="124" t="str">
        <f>IF($B376="","",IF(L$3=0,"n.b.",INDEX(SRC_ZPMW03!$A$1:$ZZ$501,$A376,L$3)))</f>
        <v/>
      </c>
      <c r="M376" s="124" t="str">
        <f>IF($B376="","",IF(M$3=0,"n.b.",INDEX(SRC_ZPMW03!$A$1:$ZZ$501,$A376,M$3)))</f>
        <v/>
      </c>
      <c r="N376" s="124" t="str">
        <f>IF($B376="","",IF(N$3=0,"n.b.",INDEX(SRC_ZPMW03!$A$1:$ZZ$501,$A376,N$3)))</f>
        <v/>
      </c>
      <c r="O376" s="124" t="str">
        <f>IF($B376="","",IF(O$3=0,"n.b.",INDEX(SRC_ZPMW03!$A$1:$ZZ$501,$A376,O$3)))</f>
        <v/>
      </c>
      <c r="P376" s="124" t="str">
        <f>IF($B376="","",IF(P$3=0,"n.b.",INDEX(SRC_ZPMW03!$A$1:$ZZ$501,$A376,P$3)))</f>
        <v/>
      </c>
      <c r="Q376" s="124" t="str">
        <f>IF($B376="","",IF(Q$3=0,"n.b.",INDEX(SRC_ZPMW03!$A$1:$ZZ$501,$A376,Q$3)))</f>
        <v/>
      </c>
      <c r="R376" s="124" t="str">
        <f>IF($B376="","",IF(R$3=0,"n.b.",INDEX(SRC_ZPMW03!$A$1:$ZZ$501,$A376,R$3)))</f>
        <v/>
      </c>
      <c r="S376" s="124" t="str">
        <f>IF($B376="","",IF(S$3=0,"n.b.",INDEX(SRC_ZPMW03!$A$1:$ZZ$501,$A376,S$3)))</f>
        <v/>
      </c>
      <c r="T376" s="124" t="str">
        <f>IF($B376="","",IF(T$3=0,"n.b.",INDEX(SRC_ZPMW03!$A$1:$ZZ$501,$A376,T$3)))</f>
        <v/>
      </c>
      <c r="U376" s="124" t="str">
        <f>IF($B376="","",IF(U$3=0,"n.b.",INDEX(SRC_ZPMW03!$A$1:$ZZ$501,$A376,U$3)))</f>
        <v/>
      </c>
      <c r="V376" s="124" t="str">
        <f>IF($B376="","",IF(V$3=0,"n.b.",INDEX(SRC_ZPMW03!$A$1:$ZZ$501,$A376,V$3)))</f>
        <v/>
      </c>
      <c r="W376" s="124" t="str">
        <f>IF($B376="","",IF(W$3=0,"n.b.",INDEX(SRC_ZPMW03!$A$1:$ZZ$501,$A376,W$3)))</f>
        <v/>
      </c>
      <c r="X376" s="124" t="str">
        <f>IF($B376="","",IF(X$3=0,"n.b.",INDEX(SRC_ZPMW03!$A$1:$ZZ$501,$A376,X$3)))</f>
        <v/>
      </c>
      <c r="Y376" s="124" t="str">
        <f>IF($B376="","",IF(Y$3=0,"n.b.",INDEX(SRC_ZPMW03!$A$1:$ZZ$501,$A376,Y$3)))</f>
        <v/>
      </c>
      <c r="Z376" s="124" t="str">
        <f>IF($B376="","",IF(Z$3=0,"n.b.",INDEX(SRC_ZPMW03!$A$1:$ZZ$501,$A376,Z$3)))</f>
        <v/>
      </c>
      <c r="AA376" s="124" t="str">
        <f>IF($B376="","",IF(AA$3=0,"n.b.",INDEX(SRC_ZPMW03!$A$1:$ZZ$501,$A376,AA$3)))</f>
        <v/>
      </c>
      <c r="AB376" s="124" t="str">
        <f>IF($B376="","",IF(AB$3=0,"n.b.",INDEX(SRC_ZPMW03!$A$1:$ZZ$501,$A376,AB$3)))</f>
        <v/>
      </c>
      <c r="AC376" s="124" t="str">
        <f>IF($B376="","",IF(AC$3=0,"n.b.",INDEX(SRC_ZPMW03!$A$1:$ZZ$501,$A376,AC$3)))</f>
        <v/>
      </c>
      <c r="AD376" s="124" t="str">
        <f>IF($B376="","",IF(AD$3=0,"n.b.",INDEX(SRC_ZPMW03!$A$1:$ZZ$501,$A376,AD$3)))</f>
        <v/>
      </c>
      <c r="AE376" s="124" t="str">
        <f>IF($B376="","",IF(AE$3=0,"n.b.",INDEX(SRC_ZPMW03!$A$1:$ZZ$501,$A376,AE$3)))</f>
        <v/>
      </c>
      <c r="AF376" s="124" t="str">
        <f>IF($B376="","",IF(AF$3=0,"n.b.",INDEX(SRC_ZPMW03!$A$1:$ZZ$501,$A376,AF$3)))</f>
        <v/>
      </c>
      <c r="AG376" s="124" t="str">
        <f>IF($B376="","",IF(AG$3=0,"n.b.",INDEX(SRC_ZPMW03!$A$1:$ZZ$501,$A376,AG$3)))</f>
        <v/>
      </c>
      <c r="AH376" s="124" t="str">
        <f>IF($B376="","",IF(AH$3=0,"n.b.",INDEX(SRC_ZPMW03!$A$1:$ZZ$501,$A376,AH$3)))</f>
        <v/>
      </c>
      <c r="AI376" s="124" t="str">
        <f>IF($B376="","",IF(AI$3=0,"n.b.",INDEX(SRC_ZPMW03!$A$1:$ZZ$501,$A376,AI$3)))</f>
        <v/>
      </c>
      <c r="AJ376" s="124" t="str">
        <f>IF($B376="","",IF(AJ$3=0,"n.b.",INDEX(SRC_ZPMW03!$A$1:$ZZ$501,$A376,AJ$3)))</f>
        <v/>
      </c>
      <c r="AK376" s="124" t="str">
        <f>IF($B376="","",IF(AK$3=0,"n.b.",INDEX(SRC_ZPMW03!$A$1:$ZZ$501,$A376,AK$3)))</f>
        <v/>
      </c>
      <c r="AL376" s="124" t="str">
        <f>IF($B376="","",IF(AL$3=0,"n.b.",INDEX(SRC_ZPMW03!$A$1:$ZZ$501,$A376,AL$3)))</f>
        <v/>
      </c>
      <c r="AM376" s="124" t="str">
        <f>IF($B376="","",IF(AM$3=0,"n.b.",INDEX(SRC_ZPMW03!$A$1:$ZZ$501,$A376,AM$3)))</f>
        <v/>
      </c>
      <c r="AN376" s="124" t="str">
        <f>IF($B376="","",IF(AN$3=0,"n.b.",INDEX(SRC_ZPMW03!$A$1:$ZZ$501,$A376,AN$3)))</f>
        <v/>
      </c>
      <c r="AO376" s="124" t="str">
        <f>IF($B376="","",IF(AO$3=0,"n.b.",INDEX(SRC_ZPMW03!$A$1:$ZZ$501,$A376,AO$3)))</f>
        <v/>
      </c>
      <c r="AP376" s="124" t="str">
        <f>IF($B376="","",IF(AP$3=0,"n.b.",INDEX(SRC_ZPMW03!$A$1:$ZZ$501,$A376,AP$3)))</f>
        <v/>
      </c>
      <c r="AQ376" s="124" t="str">
        <f>IF($B376="","",IF(AQ$3=0,"n.b.",INDEX(SRC_ZPMW03!$A$1:$ZZ$501,$A376,AQ$3)))</f>
        <v/>
      </c>
      <c r="AR376" s="124" t="str">
        <f>IF($B376="","",IF(AR$3=0,"n.b.",INDEX(SRC_ZPMW03!$A$1:$ZZ$501,$A376,AR$3)))</f>
        <v/>
      </c>
      <c r="AS376" s="124" t="str">
        <f>IF($B376="","",IF(AS$3=0,"n.b.",INDEX(SRC_ZPMW03!$A$1:$ZZ$501,$A376,AS$3)))</f>
        <v/>
      </c>
      <c r="AT376" s="124" t="str">
        <f>IF($B376="","",IF(AT$3=0,"n.b.",INDEX(SRC_ZPMW03!$A$1:$ZZ$501,$A376,AT$3)))</f>
        <v/>
      </c>
      <c r="AU376" s="124" t="str">
        <f>IF($B376="","",IF(AU$3=0,"n.b.",INDEX(SRC_ZPMW03!$A$1:$ZZ$501,$A376,AU$3)))</f>
        <v/>
      </c>
      <c r="AV376" s="124" t="str">
        <f>IF($B376="","",IF(AV$3=0,"n.b.",INDEX(SRC_ZPMW03!$A$1:$ZZ$501,$A376,AV$3)))</f>
        <v/>
      </c>
      <c r="AW376" s="124" t="str">
        <f>IF($B376="","",IF(AW$3=0,"n.b.",INDEX(SRC_ZPMW03!$A$1:$ZZ$501,$A376,AW$3)))</f>
        <v/>
      </c>
      <c r="AX376" s="124" t="str">
        <f>IF($B376="","",IF(AX$3=0,"n.b.",INDEX(SRC_ZPMW03!$A$1:$ZZ$501,$A376,AX$3)))</f>
        <v/>
      </c>
      <c r="AY376" s="124" t="str">
        <f>IF($B376="","",IF(AY$3=0,"n.b.",INDEX(SRC_ZPMW03!$A$1:$ZZ$501,$A376,AY$3)))</f>
        <v/>
      </c>
      <c r="AZ376" s="124" t="str">
        <f>IF($B376="","",IF(AZ$3=0,"n.b.",INDEX(SRC_ZPMW03!$A$1:$ZZ$501,$A376,AZ$3)))</f>
        <v/>
      </c>
      <c r="BA376" s="124" t="str">
        <f>IF($B376="","",IF(BA$3=0,"n.b.",INDEX(SRC_ZPMW03!$A$1:$ZZ$501,$A376,BA$3)))</f>
        <v/>
      </c>
      <c r="BB376" s="124" t="str">
        <f>IF($B376="","",IF(BB$3=0,"n.b.",INDEX(SRC_ZPMW03!$A$1:$ZZ$501,$A376,BB$3)))</f>
        <v/>
      </c>
      <c r="BC376" s="124" t="str">
        <f>IF($B376="","",IF(BC$3=0,"n.b.",INDEX(SRC_ZPMW03!$A$1:$ZZ$501,$A376,BC$3)))</f>
        <v/>
      </c>
      <c r="BD376" s="124" t="str">
        <f>IF($B376="","",IF(BD$3=0,"n.b.",INDEX(SRC_ZPMW03!$A$1:$ZZ$501,$A376,BD$3)))</f>
        <v/>
      </c>
      <c r="BE376" s="124" t="str">
        <f>IF($B376="","",IF(BE$3=0,"n.b.",INDEX(SRC_ZPMW03!$A$1:$ZZ$501,$A376,BE$3)))</f>
        <v/>
      </c>
      <c r="BF376" s="124" t="str">
        <f>IF($B376="","",IF(BF$3=0,"n.b.",INDEX(SRC_ZPMW03!$A$1:$ZZ$501,$A376,BF$3)))</f>
        <v/>
      </c>
      <c r="BG376" t="str">
        <f>IF($B376="","",IF(BG$3=0,"n.b.",INDEX(SRC_ZPMW03!$A$1:$ZZ$501,$A376,BG$3)))</f>
        <v/>
      </c>
      <c r="BH376" t="str">
        <f>IF($B376="","",IF(BH$3=0,"n.b.",INDEX(SRC_ZPMW03!$A$1:$ZZ$501,$A376,BH$3)))</f>
        <v/>
      </c>
      <c r="BI376" t="str">
        <f>IF($B376="","",IF(BI$3=0,"n.b.",INDEX(SRC_ZPMW03!$A$1:$ZZ$501,$A376,BI$3)))</f>
        <v/>
      </c>
      <c r="BJ376" t="str">
        <f>IF($B376="","",IF(BJ$3=0,"n.b.",INDEX(SRC_ZPMW03!$A$1:$ZZ$501,$A376,BJ$3)))</f>
        <v/>
      </c>
      <c r="BK376" s="124" t="str">
        <f>IF($B376="","",IFERROR(-O376,"n.b."))</f>
        <v/>
      </c>
      <c r="BL376" s="124" t="str">
        <f>IF($B376="","",IFERROR(-Q376,"n.b."))</f>
        <v/>
      </c>
      <c r="BM376" s="124" t="str">
        <f>IF($B376="","",IFERROR(-AB376,"n.b."))</f>
        <v/>
      </c>
      <c r="BN376" s="124" t="str">
        <f>IF($B376="","",IFERROR(-AD376,"n.b."))</f>
        <v/>
      </c>
      <c r="BO376" s="124" t="str">
        <f>IF($B376="","",IFERROR(BK376+BM376,"n.b."))</f>
        <v/>
      </c>
      <c r="BP376" s="124" t="str">
        <f>IF($B376="","",IFERROR(BL376+BN376,"n.b."))</f>
        <v/>
      </c>
      <c r="BQ376" s="124" t="str">
        <f>IF($B376="","",IFERROR(-AM376,"n.b."))</f>
        <v/>
      </c>
      <c r="BR376" s="124" t="str">
        <f>IF($B376="","",IFERROR(-AO376,"n.b."))</f>
        <v/>
      </c>
      <c r="BS376" s="124" t="str">
        <f>IF($B376="","",IFERROR(-Z376,"n.b."))</f>
        <v/>
      </c>
      <c r="BT376" s="124" t="str">
        <f>IF($B376="","",IFERROR(-AA376,"n.b."))</f>
        <v/>
      </c>
      <c r="BU376" s="124" t="str">
        <f>IF($B376="","",IFERROR(-AE376,"n.b."))</f>
        <v/>
      </c>
      <c r="BV376" s="124" t="str">
        <f>IF($B376="","",IFERROR(-AF376,"n.b."))</f>
        <v/>
      </c>
      <c r="BW376" s="124" t="str">
        <f>IF($B376="","",IFERROR(-AG376,"n.b."))</f>
        <v/>
      </c>
      <c r="BX376" s="124" t="str">
        <f>IF($B376="","",IFERROR(-AH376,"n.b."))</f>
        <v/>
      </c>
      <c r="BY376" s="124" t="str">
        <f>IF($B376="","",IFERROR(-AI376,"n.b."))</f>
        <v/>
      </c>
      <c r="BZ376" s="124" t="str">
        <f>IF($B376="","",IFERROR(-AJ376,"n.b."))</f>
        <v/>
      </c>
      <c r="CA376" s="124" t="str">
        <f>IF($B376="","",IFERROR(-AK376,"n.b."))</f>
        <v/>
      </c>
      <c r="CB376" s="124" t="str">
        <f>IF($B376="","",IFERROR(-AL376,"n.b."))</f>
        <v/>
      </c>
      <c r="CC376" s="124" t="str">
        <f>IF($B376="","",IFERROR(-AP376,"n.b."))</f>
        <v/>
      </c>
      <c r="CD376" s="124" t="str">
        <f>IF($B376="","",IFERROR(-AQ376,"n.b."))</f>
        <v/>
      </c>
      <c r="CE376" s="124" t="str">
        <f>IF($B376="","",IFERROR(-AR376,"n.b."))</f>
        <v/>
      </c>
      <c r="CF376" s="124" t="str">
        <f>IF($B376="","",IFERROR(-AS376,"n.b."))</f>
        <v/>
      </c>
      <c r="CG376" s="124" t="str">
        <f>IF($B376="","",IFERROR(-AT376,"n.b."))</f>
        <v/>
      </c>
      <c r="CH376" s="124" t="str">
        <f>IF($B376="","",IFERROR(-AU376,"n.b."))</f>
        <v/>
      </c>
      <c r="CI376" s="124" t="str">
        <f>IF($B376="","",IFERROR(-AV376,"n.b."))</f>
        <v/>
      </c>
      <c r="CJ376" s="124" t="str">
        <f>IF($B376="","",IFERROR(-AW376,"n.b."))</f>
        <v/>
      </c>
      <c r="CK376" s="124" t="str">
        <f>IF($B376="","",IFERROR(-AX376,"n.b."))</f>
        <v/>
      </c>
      <c r="CL376" s="124" t="str">
        <f>IF($B376="","",IFERROR(-AY376,"n.b."))</f>
        <v/>
      </c>
      <c r="CM376" s="124" t="str">
        <f>IF($B376="","",IFERROR(-AZ376,"n.b."))</f>
        <v/>
      </c>
      <c r="CN376" s="124" t="str">
        <f>IF($B376="","",IFERROR(-BA376,"n.b."))</f>
        <v/>
      </c>
      <c r="CO376" s="124" t="str">
        <f>IF($B376="","",IFERROR(-BB376,"n.b."))</f>
        <v/>
      </c>
      <c r="CP376" s="124" t="str">
        <f>IF($B376="","",IFERROR(-BC376,"n.b."))</f>
        <v/>
      </c>
      <c r="CQ376" s="124" t="str">
        <f>IF($B376="","",IFERROR(-BD376,"n.b."))</f>
        <v/>
      </c>
      <c r="CR376" s="124" t="str">
        <f>IF($B376="","",IFERROR(-BE376,"n.b."))</f>
        <v/>
      </c>
      <c r="CS376" s="124" t="str">
        <f>IF($B376="","",IFERROR(IF(OR(ABS(T376+V376+X376+Z376-AB376)&gt;P_Tol,ABS(U376+W376+Y376+AA376-AD376)&gt;P_Tol,ABS(AE376+AG376+AI376+AK376-AM376)&gt;P_Tol,ABS(AF376+AH376+AJ376+AL376-AO376)&gt;P_Tol),1,0),1))</f>
        <v/>
      </c>
      <c r="CT376" s="124" t="str">
        <f>IF($B376="","",IFERROR(IF(OR(ABS(AB376+AC376-AD376)&gt;P_Tol,ABS(AM376+AN376-AO376)&gt;P_Tol,ABS(O376+P376-Q376)&gt;P_Tol),1,0),1))</f>
        <v/>
      </c>
      <c r="CU376" s="124" t="str">
        <f>IF($B376="","",IFERROR(IF(ABS(R376-(AB376+AM376+AP376+AR376+AT376+AV376+AX376+AZ376+BB376+BD376))&gt;P_Tol,1,0),1))</f>
        <v/>
      </c>
      <c r="CV376" s="124" t="str">
        <f>IF($B376="","",IFERROR(IF(ABS(M376-(N376+O376+R376))&gt;P_Tol,1,0),1))</f>
        <v/>
      </c>
      <c r="CW376" s="124" t="str">
        <f>IF($B376="","",IF(COUNTIF(Mapping!$A$5:$A$104,B376)&gt;0,1,0))</f>
        <v/>
      </c>
      <c r="CX376" s="124" t="str">
        <f>IF($B376="","",COUNTIF($B$6:$B$505,B376))</f>
        <v/>
      </c>
      <c r="CY376" s="124" t="str">
        <f>IF($B376="","",COUNTIF(STG_Woningetalage!$B$6:$B$505,B376))</f>
        <v/>
      </c>
      <c r="CZ376" s="124" t="str">
        <f>IF($B376="","",IF(CW376=0,COUNTIF($CW$6:CW376,0),""))</f>
        <v/>
      </c>
    </row>
    <row r="377">
      <c r="A377" s="15" t="n">
        <v>373</v>
      </c>
      <c r="B377" t="str">
        <f>IF(B$3=0,"",IF(INDEX(SRC_ZPMW03!$A$1:$ZZ$501,$A377,B$3)&amp;""="","",INDEX(SRC_ZPMW03!$A$1:$ZZ$501,$A377,B$3)&amp;""))</f>
        <v/>
      </c>
      <c r="C377" t="str">
        <f>IF($B377="","",IF(C$3=0,"n.b.",INDEX(SRC_ZPMW03!$A$1:$ZZ$501,$A377,C$3)))</f>
        <v/>
      </c>
      <c r="D377" t="str">
        <f>IF($B377="","",IF(D$3=0,"n.b.",INDEX(SRC_ZPMW03!$A$1:$ZZ$501,$A377,D$3)))</f>
        <v/>
      </c>
      <c r="E377" t="str">
        <f>IF($B377="","",IF(E$3=0,"n.b.",INDEX(SRC_ZPMW03!$A$1:$ZZ$501,$A377,E$3)))</f>
        <v/>
      </c>
      <c r="F377" t="str">
        <f>IF($B377="","",IF(F$3=0,"n.b.",INDEX(SRC_ZPMW03!$A$1:$ZZ$501,$A377,F$3)))</f>
        <v/>
      </c>
      <c r="G377" t="str">
        <f>IF($B377="","",IF(G$3=0,"n.b.",INDEX(SRC_ZPMW03!$A$1:$ZZ$501,$A377,G$3)))</f>
        <v/>
      </c>
      <c r="H377" t="str">
        <f>IF($B377="","",IF(H$3=0,"n.b.",INDEX(SRC_ZPMW03!$A$1:$ZZ$501,$A377,H$3)))</f>
        <v/>
      </c>
      <c r="I377" t="str">
        <f>IF($B377="","",IF(I$3=0,"n.b.",INDEX(SRC_ZPMW03!$A$1:$ZZ$501,$A377,I$3)))</f>
        <v/>
      </c>
      <c r="J377" t="str">
        <f>IF($B377="","",IF(J$3=0,"n.b.",INDEX(SRC_ZPMW03!$A$1:$ZZ$501,$A377,J$3)))</f>
        <v/>
      </c>
      <c r="K377" t="str">
        <f>IF($B377="","",IF(K$3=0,"n.b.",INDEX(SRC_ZPMW03!$A$1:$ZZ$501,$A377,K$3)))</f>
        <v/>
      </c>
      <c r="L377" s="124" t="str">
        <f>IF($B377="","",IF(L$3=0,"n.b.",INDEX(SRC_ZPMW03!$A$1:$ZZ$501,$A377,L$3)))</f>
        <v/>
      </c>
      <c r="M377" s="124" t="str">
        <f>IF($B377="","",IF(M$3=0,"n.b.",INDEX(SRC_ZPMW03!$A$1:$ZZ$501,$A377,M$3)))</f>
        <v/>
      </c>
      <c r="N377" s="124" t="str">
        <f>IF($B377="","",IF(N$3=0,"n.b.",INDEX(SRC_ZPMW03!$A$1:$ZZ$501,$A377,N$3)))</f>
        <v/>
      </c>
      <c r="O377" s="124" t="str">
        <f>IF($B377="","",IF(O$3=0,"n.b.",INDEX(SRC_ZPMW03!$A$1:$ZZ$501,$A377,O$3)))</f>
        <v/>
      </c>
      <c r="P377" s="124" t="str">
        <f>IF($B377="","",IF(P$3=0,"n.b.",INDEX(SRC_ZPMW03!$A$1:$ZZ$501,$A377,P$3)))</f>
        <v/>
      </c>
      <c r="Q377" s="124" t="str">
        <f>IF($B377="","",IF(Q$3=0,"n.b.",INDEX(SRC_ZPMW03!$A$1:$ZZ$501,$A377,Q$3)))</f>
        <v/>
      </c>
      <c r="R377" s="124" t="str">
        <f>IF($B377="","",IF(R$3=0,"n.b.",INDEX(SRC_ZPMW03!$A$1:$ZZ$501,$A377,R$3)))</f>
        <v/>
      </c>
      <c r="S377" s="124" t="str">
        <f>IF($B377="","",IF(S$3=0,"n.b.",INDEX(SRC_ZPMW03!$A$1:$ZZ$501,$A377,S$3)))</f>
        <v/>
      </c>
      <c r="T377" s="124" t="str">
        <f>IF($B377="","",IF(T$3=0,"n.b.",INDEX(SRC_ZPMW03!$A$1:$ZZ$501,$A377,T$3)))</f>
        <v/>
      </c>
      <c r="U377" s="124" t="str">
        <f>IF($B377="","",IF(U$3=0,"n.b.",INDEX(SRC_ZPMW03!$A$1:$ZZ$501,$A377,U$3)))</f>
        <v/>
      </c>
      <c r="V377" s="124" t="str">
        <f>IF($B377="","",IF(V$3=0,"n.b.",INDEX(SRC_ZPMW03!$A$1:$ZZ$501,$A377,V$3)))</f>
        <v/>
      </c>
      <c r="W377" s="124" t="str">
        <f>IF($B377="","",IF(W$3=0,"n.b.",INDEX(SRC_ZPMW03!$A$1:$ZZ$501,$A377,W$3)))</f>
        <v/>
      </c>
      <c r="X377" s="124" t="str">
        <f>IF($B377="","",IF(X$3=0,"n.b.",INDEX(SRC_ZPMW03!$A$1:$ZZ$501,$A377,X$3)))</f>
        <v/>
      </c>
      <c r="Y377" s="124" t="str">
        <f>IF($B377="","",IF(Y$3=0,"n.b.",INDEX(SRC_ZPMW03!$A$1:$ZZ$501,$A377,Y$3)))</f>
        <v/>
      </c>
      <c r="Z377" s="124" t="str">
        <f>IF($B377="","",IF(Z$3=0,"n.b.",INDEX(SRC_ZPMW03!$A$1:$ZZ$501,$A377,Z$3)))</f>
        <v/>
      </c>
      <c r="AA377" s="124" t="str">
        <f>IF($B377="","",IF(AA$3=0,"n.b.",INDEX(SRC_ZPMW03!$A$1:$ZZ$501,$A377,AA$3)))</f>
        <v/>
      </c>
      <c r="AB377" s="124" t="str">
        <f>IF($B377="","",IF(AB$3=0,"n.b.",INDEX(SRC_ZPMW03!$A$1:$ZZ$501,$A377,AB$3)))</f>
        <v/>
      </c>
      <c r="AC377" s="124" t="str">
        <f>IF($B377="","",IF(AC$3=0,"n.b.",INDEX(SRC_ZPMW03!$A$1:$ZZ$501,$A377,AC$3)))</f>
        <v/>
      </c>
      <c r="AD377" s="124" t="str">
        <f>IF($B377="","",IF(AD$3=0,"n.b.",INDEX(SRC_ZPMW03!$A$1:$ZZ$501,$A377,AD$3)))</f>
        <v/>
      </c>
      <c r="AE377" s="124" t="str">
        <f>IF($B377="","",IF(AE$3=0,"n.b.",INDEX(SRC_ZPMW03!$A$1:$ZZ$501,$A377,AE$3)))</f>
        <v/>
      </c>
      <c r="AF377" s="124" t="str">
        <f>IF($B377="","",IF(AF$3=0,"n.b.",INDEX(SRC_ZPMW03!$A$1:$ZZ$501,$A377,AF$3)))</f>
        <v/>
      </c>
      <c r="AG377" s="124" t="str">
        <f>IF($B377="","",IF(AG$3=0,"n.b.",INDEX(SRC_ZPMW03!$A$1:$ZZ$501,$A377,AG$3)))</f>
        <v/>
      </c>
      <c r="AH377" s="124" t="str">
        <f>IF($B377="","",IF(AH$3=0,"n.b.",INDEX(SRC_ZPMW03!$A$1:$ZZ$501,$A377,AH$3)))</f>
        <v/>
      </c>
      <c r="AI377" s="124" t="str">
        <f>IF($B377="","",IF(AI$3=0,"n.b.",INDEX(SRC_ZPMW03!$A$1:$ZZ$501,$A377,AI$3)))</f>
        <v/>
      </c>
      <c r="AJ377" s="124" t="str">
        <f>IF($B377="","",IF(AJ$3=0,"n.b.",INDEX(SRC_ZPMW03!$A$1:$ZZ$501,$A377,AJ$3)))</f>
        <v/>
      </c>
      <c r="AK377" s="124" t="str">
        <f>IF($B377="","",IF(AK$3=0,"n.b.",INDEX(SRC_ZPMW03!$A$1:$ZZ$501,$A377,AK$3)))</f>
        <v/>
      </c>
      <c r="AL377" s="124" t="str">
        <f>IF($B377="","",IF(AL$3=0,"n.b.",INDEX(SRC_ZPMW03!$A$1:$ZZ$501,$A377,AL$3)))</f>
        <v/>
      </c>
      <c r="AM377" s="124" t="str">
        <f>IF($B377="","",IF(AM$3=0,"n.b.",INDEX(SRC_ZPMW03!$A$1:$ZZ$501,$A377,AM$3)))</f>
        <v/>
      </c>
      <c r="AN377" s="124" t="str">
        <f>IF($B377="","",IF(AN$3=0,"n.b.",INDEX(SRC_ZPMW03!$A$1:$ZZ$501,$A377,AN$3)))</f>
        <v/>
      </c>
      <c r="AO377" s="124" t="str">
        <f>IF($B377="","",IF(AO$3=0,"n.b.",INDEX(SRC_ZPMW03!$A$1:$ZZ$501,$A377,AO$3)))</f>
        <v/>
      </c>
      <c r="AP377" s="124" t="str">
        <f>IF($B377="","",IF(AP$3=0,"n.b.",INDEX(SRC_ZPMW03!$A$1:$ZZ$501,$A377,AP$3)))</f>
        <v/>
      </c>
      <c r="AQ377" s="124" t="str">
        <f>IF($B377="","",IF(AQ$3=0,"n.b.",INDEX(SRC_ZPMW03!$A$1:$ZZ$501,$A377,AQ$3)))</f>
        <v/>
      </c>
      <c r="AR377" s="124" t="str">
        <f>IF($B377="","",IF(AR$3=0,"n.b.",INDEX(SRC_ZPMW03!$A$1:$ZZ$501,$A377,AR$3)))</f>
        <v/>
      </c>
      <c r="AS377" s="124" t="str">
        <f>IF($B377="","",IF(AS$3=0,"n.b.",INDEX(SRC_ZPMW03!$A$1:$ZZ$501,$A377,AS$3)))</f>
        <v/>
      </c>
      <c r="AT377" s="124" t="str">
        <f>IF($B377="","",IF(AT$3=0,"n.b.",INDEX(SRC_ZPMW03!$A$1:$ZZ$501,$A377,AT$3)))</f>
        <v/>
      </c>
      <c r="AU377" s="124" t="str">
        <f>IF($B377="","",IF(AU$3=0,"n.b.",INDEX(SRC_ZPMW03!$A$1:$ZZ$501,$A377,AU$3)))</f>
        <v/>
      </c>
      <c r="AV377" s="124" t="str">
        <f>IF($B377="","",IF(AV$3=0,"n.b.",INDEX(SRC_ZPMW03!$A$1:$ZZ$501,$A377,AV$3)))</f>
        <v/>
      </c>
      <c r="AW377" s="124" t="str">
        <f>IF($B377="","",IF(AW$3=0,"n.b.",INDEX(SRC_ZPMW03!$A$1:$ZZ$501,$A377,AW$3)))</f>
        <v/>
      </c>
      <c r="AX377" s="124" t="str">
        <f>IF($B377="","",IF(AX$3=0,"n.b.",INDEX(SRC_ZPMW03!$A$1:$ZZ$501,$A377,AX$3)))</f>
        <v/>
      </c>
      <c r="AY377" s="124" t="str">
        <f>IF($B377="","",IF(AY$3=0,"n.b.",INDEX(SRC_ZPMW03!$A$1:$ZZ$501,$A377,AY$3)))</f>
        <v/>
      </c>
      <c r="AZ377" s="124" t="str">
        <f>IF($B377="","",IF(AZ$3=0,"n.b.",INDEX(SRC_ZPMW03!$A$1:$ZZ$501,$A377,AZ$3)))</f>
        <v/>
      </c>
      <c r="BA377" s="124" t="str">
        <f>IF($B377="","",IF(BA$3=0,"n.b.",INDEX(SRC_ZPMW03!$A$1:$ZZ$501,$A377,BA$3)))</f>
        <v/>
      </c>
      <c r="BB377" s="124" t="str">
        <f>IF($B377="","",IF(BB$3=0,"n.b.",INDEX(SRC_ZPMW03!$A$1:$ZZ$501,$A377,BB$3)))</f>
        <v/>
      </c>
      <c r="BC377" s="124" t="str">
        <f>IF($B377="","",IF(BC$3=0,"n.b.",INDEX(SRC_ZPMW03!$A$1:$ZZ$501,$A377,BC$3)))</f>
        <v/>
      </c>
      <c r="BD377" s="124" t="str">
        <f>IF($B377="","",IF(BD$3=0,"n.b.",INDEX(SRC_ZPMW03!$A$1:$ZZ$501,$A377,BD$3)))</f>
        <v/>
      </c>
      <c r="BE377" s="124" t="str">
        <f>IF($B377="","",IF(BE$3=0,"n.b.",INDEX(SRC_ZPMW03!$A$1:$ZZ$501,$A377,BE$3)))</f>
        <v/>
      </c>
      <c r="BF377" s="124" t="str">
        <f>IF($B377="","",IF(BF$3=0,"n.b.",INDEX(SRC_ZPMW03!$A$1:$ZZ$501,$A377,BF$3)))</f>
        <v/>
      </c>
      <c r="BG377" t="str">
        <f>IF($B377="","",IF(BG$3=0,"n.b.",INDEX(SRC_ZPMW03!$A$1:$ZZ$501,$A377,BG$3)))</f>
        <v/>
      </c>
      <c r="BH377" t="str">
        <f>IF($B377="","",IF(BH$3=0,"n.b.",INDEX(SRC_ZPMW03!$A$1:$ZZ$501,$A377,BH$3)))</f>
        <v/>
      </c>
      <c r="BI377" t="str">
        <f>IF($B377="","",IF(BI$3=0,"n.b.",INDEX(SRC_ZPMW03!$A$1:$ZZ$501,$A377,BI$3)))</f>
        <v/>
      </c>
      <c r="BJ377" t="str">
        <f>IF($B377="","",IF(BJ$3=0,"n.b.",INDEX(SRC_ZPMW03!$A$1:$ZZ$501,$A377,BJ$3)))</f>
        <v/>
      </c>
      <c r="BK377" s="124" t="str">
        <f>IF($B377="","",IFERROR(-O377,"n.b."))</f>
        <v/>
      </c>
      <c r="BL377" s="124" t="str">
        <f>IF($B377="","",IFERROR(-Q377,"n.b."))</f>
        <v/>
      </c>
      <c r="BM377" s="124" t="str">
        <f>IF($B377="","",IFERROR(-AB377,"n.b."))</f>
        <v/>
      </c>
      <c r="BN377" s="124" t="str">
        <f>IF($B377="","",IFERROR(-AD377,"n.b."))</f>
        <v/>
      </c>
      <c r="BO377" s="124" t="str">
        <f>IF($B377="","",IFERROR(BK377+BM377,"n.b."))</f>
        <v/>
      </c>
      <c r="BP377" s="124" t="str">
        <f>IF($B377="","",IFERROR(BL377+BN377,"n.b."))</f>
        <v/>
      </c>
      <c r="BQ377" s="124" t="str">
        <f>IF($B377="","",IFERROR(-AM377,"n.b."))</f>
        <v/>
      </c>
      <c r="BR377" s="124" t="str">
        <f>IF($B377="","",IFERROR(-AO377,"n.b."))</f>
        <v/>
      </c>
      <c r="BS377" s="124" t="str">
        <f>IF($B377="","",IFERROR(-Z377,"n.b."))</f>
        <v/>
      </c>
      <c r="BT377" s="124" t="str">
        <f>IF($B377="","",IFERROR(-AA377,"n.b."))</f>
        <v/>
      </c>
      <c r="BU377" s="124" t="str">
        <f>IF($B377="","",IFERROR(-AE377,"n.b."))</f>
        <v/>
      </c>
      <c r="BV377" s="124" t="str">
        <f>IF($B377="","",IFERROR(-AF377,"n.b."))</f>
        <v/>
      </c>
      <c r="BW377" s="124" t="str">
        <f>IF($B377="","",IFERROR(-AG377,"n.b."))</f>
        <v/>
      </c>
      <c r="BX377" s="124" t="str">
        <f>IF($B377="","",IFERROR(-AH377,"n.b."))</f>
        <v/>
      </c>
      <c r="BY377" s="124" t="str">
        <f>IF($B377="","",IFERROR(-AI377,"n.b."))</f>
        <v/>
      </c>
      <c r="BZ377" s="124" t="str">
        <f>IF($B377="","",IFERROR(-AJ377,"n.b."))</f>
        <v/>
      </c>
      <c r="CA377" s="124" t="str">
        <f>IF($B377="","",IFERROR(-AK377,"n.b."))</f>
        <v/>
      </c>
      <c r="CB377" s="124" t="str">
        <f>IF($B377="","",IFERROR(-AL377,"n.b."))</f>
        <v/>
      </c>
      <c r="CC377" s="124" t="str">
        <f>IF($B377="","",IFERROR(-AP377,"n.b."))</f>
        <v/>
      </c>
      <c r="CD377" s="124" t="str">
        <f>IF($B377="","",IFERROR(-AQ377,"n.b."))</f>
        <v/>
      </c>
      <c r="CE377" s="124" t="str">
        <f>IF($B377="","",IFERROR(-AR377,"n.b."))</f>
        <v/>
      </c>
      <c r="CF377" s="124" t="str">
        <f>IF($B377="","",IFERROR(-AS377,"n.b."))</f>
        <v/>
      </c>
      <c r="CG377" s="124" t="str">
        <f>IF($B377="","",IFERROR(-AT377,"n.b."))</f>
        <v/>
      </c>
      <c r="CH377" s="124" t="str">
        <f>IF($B377="","",IFERROR(-AU377,"n.b."))</f>
        <v/>
      </c>
      <c r="CI377" s="124" t="str">
        <f>IF($B377="","",IFERROR(-AV377,"n.b."))</f>
        <v/>
      </c>
      <c r="CJ377" s="124" t="str">
        <f>IF($B377="","",IFERROR(-AW377,"n.b."))</f>
        <v/>
      </c>
      <c r="CK377" s="124" t="str">
        <f>IF($B377="","",IFERROR(-AX377,"n.b."))</f>
        <v/>
      </c>
      <c r="CL377" s="124" t="str">
        <f>IF($B377="","",IFERROR(-AY377,"n.b."))</f>
        <v/>
      </c>
      <c r="CM377" s="124" t="str">
        <f>IF($B377="","",IFERROR(-AZ377,"n.b."))</f>
        <v/>
      </c>
      <c r="CN377" s="124" t="str">
        <f>IF($B377="","",IFERROR(-BA377,"n.b."))</f>
        <v/>
      </c>
      <c r="CO377" s="124" t="str">
        <f>IF($B377="","",IFERROR(-BB377,"n.b."))</f>
        <v/>
      </c>
      <c r="CP377" s="124" t="str">
        <f>IF($B377="","",IFERROR(-BC377,"n.b."))</f>
        <v/>
      </c>
      <c r="CQ377" s="124" t="str">
        <f>IF($B377="","",IFERROR(-BD377,"n.b."))</f>
        <v/>
      </c>
      <c r="CR377" s="124" t="str">
        <f>IF($B377="","",IFERROR(-BE377,"n.b."))</f>
        <v/>
      </c>
      <c r="CS377" s="124" t="str">
        <f>IF($B377="","",IFERROR(IF(OR(ABS(T377+V377+X377+Z377-AB377)&gt;P_Tol,ABS(U377+W377+Y377+AA377-AD377)&gt;P_Tol,ABS(AE377+AG377+AI377+AK377-AM377)&gt;P_Tol,ABS(AF377+AH377+AJ377+AL377-AO377)&gt;P_Tol),1,0),1))</f>
        <v/>
      </c>
      <c r="CT377" s="124" t="str">
        <f>IF($B377="","",IFERROR(IF(OR(ABS(AB377+AC377-AD377)&gt;P_Tol,ABS(AM377+AN377-AO377)&gt;P_Tol,ABS(O377+P377-Q377)&gt;P_Tol),1,0),1))</f>
        <v/>
      </c>
      <c r="CU377" s="124" t="str">
        <f>IF($B377="","",IFERROR(IF(ABS(R377-(AB377+AM377+AP377+AR377+AT377+AV377+AX377+AZ377+BB377+BD377))&gt;P_Tol,1,0),1))</f>
        <v/>
      </c>
      <c r="CV377" s="124" t="str">
        <f>IF($B377="","",IFERROR(IF(ABS(M377-(N377+O377+R377))&gt;P_Tol,1,0),1))</f>
        <v/>
      </c>
      <c r="CW377" s="124" t="str">
        <f>IF($B377="","",IF(COUNTIF(Mapping!$A$5:$A$104,B377)&gt;0,1,0))</f>
        <v/>
      </c>
      <c r="CX377" s="124" t="str">
        <f>IF($B377="","",COUNTIF($B$6:$B$505,B377))</f>
        <v/>
      </c>
      <c r="CY377" s="124" t="str">
        <f>IF($B377="","",COUNTIF(STG_Woningetalage!$B$6:$B$505,B377))</f>
        <v/>
      </c>
      <c r="CZ377" s="124" t="str">
        <f>IF($B377="","",IF(CW377=0,COUNTIF($CW$6:CW377,0),""))</f>
        <v/>
      </c>
    </row>
    <row r="378">
      <c r="A378" s="15" t="n">
        <v>374</v>
      </c>
      <c r="B378" t="str">
        <f>IF(B$3=0,"",IF(INDEX(SRC_ZPMW03!$A$1:$ZZ$501,$A378,B$3)&amp;""="","",INDEX(SRC_ZPMW03!$A$1:$ZZ$501,$A378,B$3)&amp;""))</f>
        <v/>
      </c>
      <c r="C378" t="str">
        <f>IF($B378="","",IF(C$3=0,"n.b.",INDEX(SRC_ZPMW03!$A$1:$ZZ$501,$A378,C$3)))</f>
        <v/>
      </c>
      <c r="D378" t="str">
        <f>IF($B378="","",IF(D$3=0,"n.b.",INDEX(SRC_ZPMW03!$A$1:$ZZ$501,$A378,D$3)))</f>
        <v/>
      </c>
      <c r="E378" t="str">
        <f>IF($B378="","",IF(E$3=0,"n.b.",INDEX(SRC_ZPMW03!$A$1:$ZZ$501,$A378,E$3)))</f>
        <v/>
      </c>
      <c r="F378" t="str">
        <f>IF($B378="","",IF(F$3=0,"n.b.",INDEX(SRC_ZPMW03!$A$1:$ZZ$501,$A378,F$3)))</f>
        <v/>
      </c>
      <c r="G378" t="str">
        <f>IF($B378="","",IF(G$3=0,"n.b.",INDEX(SRC_ZPMW03!$A$1:$ZZ$501,$A378,G$3)))</f>
        <v/>
      </c>
      <c r="H378" t="str">
        <f>IF($B378="","",IF(H$3=0,"n.b.",INDEX(SRC_ZPMW03!$A$1:$ZZ$501,$A378,H$3)))</f>
        <v/>
      </c>
      <c r="I378" t="str">
        <f>IF($B378="","",IF(I$3=0,"n.b.",INDEX(SRC_ZPMW03!$A$1:$ZZ$501,$A378,I$3)))</f>
        <v/>
      </c>
      <c r="J378" t="str">
        <f>IF($B378="","",IF(J$3=0,"n.b.",INDEX(SRC_ZPMW03!$A$1:$ZZ$501,$A378,J$3)))</f>
        <v/>
      </c>
      <c r="K378" t="str">
        <f>IF($B378="","",IF(K$3=0,"n.b.",INDEX(SRC_ZPMW03!$A$1:$ZZ$501,$A378,K$3)))</f>
        <v/>
      </c>
      <c r="L378" s="124" t="str">
        <f>IF($B378="","",IF(L$3=0,"n.b.",INDEX(SRC_ZPMW03!$A$1:$ZZ$501,$A378,L$3)))</f>
        <v/>
      </c>
      <c r="M378" s="124" t="str">
        <f>IF($B378="","",IF(M$3=0,"n.b.",INDEX(SRC_ZPMW03!$A$1:$ZZ$501,$A378,M$3)))</f>
        <v/>
      </c>
      <c r="N378" s="124" t="str">
        <f>IF($B378="","",IF(N$3=0,"n.b.",INDEX(SRC_ZPMW03!$A$1:$ZZ$501,$A378,N$3)))</f>
        <v/>
      </c>
      <c r="O378" s="124" t="str">
        <f>IF($B378="","",IF(O$3=0,"n.b.",INDEX(SRC_ZPMW03!$A$1:$ZZ$501,$A378,O$3)))</f>
        <v/>
      </c>
      <c r="P378" s="124" t="str">
        <f>IF($B378="","",IF(P$3=0,"n.b.",INDEX(SRC_ZPMW03!$A$1:$ZZ$501,$A378,P$3)))</f>
        <v/>
      </c>
      <c r="Q378" s="124" t="str">
        <f>IF($B378="","",IF(Q$3=0,"n.b.",INDEX(SRC_ZPMW03!$A$1:$ZZ$501,$A378,Q$3)))</f>
        <v/>
      </c>
      <c r="R378" s="124" t="str">
        <f>IF($B378="","",IF(R$3=0,"n.b.",INDEX(SRC_ZPMW03!$A$1:$ZZ$501,$A378,R$3)))</f>
        <v/>
      </c>
      <c r="S378" s="124" t="str">
        <f>IF($B378="","",IF(S$3=0,"n.b.",INDEX(SRC_ZPMW03!$A$1:$ZZ$501,$A378,S$3)))</f>
        <v/>
      </c>
      <c r="T378" s="124" t="str">
        <f>IF($B378="","",IF(T$3=0,"n.b.",INDEX(SRC_ZPMW03!$A$1:$ZZ$501,$A378,T$3)))</f>
        <v/>
      </c>
      <c r="U378" s="124" t="str">
        <f>IF($B378="","",IF(U$3=0,"n.b.",INDEX(SRC_ZPMW03!$A$1:$ZZ$501,$A378,U$3)))</f>
        <v/>
      </c>
      <c r="V378" s="124" t="str">
        <f>IF($B378="","",IF(V$3=0,"n.b.",INDEX(SRC_ZPMW03!$A$1:$ZZ$501,$A378,V$3)))</f>
        <v/>
      </c>
      <c r="W378" s="124" t="str">
        <f>IF($B378="","",IF(W$3=0,"n.b.",INDEX(SRC_ZPMW03!$A$1:$ZZ$501,$A378,W$3)))</f>
        <v/>
      </c>
      <c r="X378" s="124" t="str">
        <f>IF($B378="","",IF(X$3=0,"n.b.",INDEX(SRC_ZPMW03!$A$1:$ZZ$501,$A378,X$3)))</f>
        <v/>
      </c>
      <c r="Y378" s="124" t="str">
        <f>IF($B378="","",IF(Y$3=0,"n.b.",INDEX(SRC_ZPMW03!$A$1:$ZZ$501,$A378,Y$3)))</f>
        <v/>
      </c>
      <c r="Z378" s="124" t="str">
        <f>IF($B378="","",IF(Z$3=0,"n.b.",INDEX(SRC_ZPMW03!$A$1:$ZZ$501,$A378,Z$3)))</f>
        <v/>
      </c>
      <c r="AA378" s="124" t="str">
        <f>IF($B378="","",IF(AA$3=0,"n.b.",INDEX(SRC_ZPMW03!$A$1:$ZZ$501,$A378,AA$3)))</f>
        <v/>
      </c>
      <c r="AB378" s="124" t="str">
        <f>IF($B378="","",IF(AB$3=0,"n.b.",INDEX(SRC_ZPMW03!$A$1:$ZZ$501,$A378,AB$3)))</f>
        <v/>
      </c>
      <c r="AC378" s="124" t="str">
        <f>IF($B378="","",IF(AC$3=0,"n.b.",INDEX(SRC_ZPMW03!$A$1:$ZZ$501,$A378,AC$3)))</f>
        <v/>
      </c>
      <c r="AD378" s="124" t="str">
        <f>IF($B378="","",IF(AD$3=0,"n.b.",INDEX(SRC_ZPMW03!$A$1:$ZZ$501,$A378,AD$3)))</f>
        <v/>
      </c>
      <c r="AE378" s="124" t="str">
        <f>IF($B378="","",IF(AE$3=0,"n.b.",INDEX(SRC_ZPMW03!$A$1:$ZZ$501,$A378,AE$3)))</f>
        <v/>
      </c>
      <c r="AF378" s="124" t="str">
        <f>IF($B378="","",IF(AF$3=0,"n.b.",INDEX(SRC_ZPMW03!$A$1:$ZZ$501,$A378,AF$3)))</f>
        <v/>
      </c>
      <c r="AG378" s="124" t="str">
        <f>IF($B378="","",IF(AG$3=0,"n.b.",INDEX(SRC_ZPMW03!$A$1:$ZZ$501,$A378,AG$3)))</f>
        <v/>
      </c>
      <c r="AH378" s="124" t="str">
        <f>IF($B378="","",IF(AH$3=0,"n.b.",INDEX(SRC_ZPMW03!$A$1:$ZZ$501,$A378,AH$3)))</f>
        <v/>
      </c>
      <c r="AI378" s="124" t="str">
        <f>IF($B378="","",IF(AI$3=0,"n.b.",INDEX(SRC_ZPMW03!$A$1:$ZZ$501,$A378,AI$3)))</f>
        <v/>
      </c>
      <c r="AJ378" s="124" t="str">
        <f>IF($B378="","",IF(AJ$3=0,"n.b.",INDEX(SRC_ZPMW03!$A$1:$ZZ$501,$A378,AJ$3)))</f>
        <v/>
      </c>
      <c r="AK378" s="124" t="str">
        <f>IF($B378="","",IF(AK$3=0,"n.b.",INDEX(SRC_ZPMW03!$A$1:$ZZ$501,$A378,AK$3)))</f>
        <v/>
      </c>
      <c r="AL378" s="124" t="str">
        <f>IF($B378="","",IF(AL$3=0,"n.b.",INDEX(SRC_ZPMW03!$A$1:$ZZ$501,$A378,AL$3)))</f>
        <v/>
      </c>
      <c r="AM378" s="124" t="str">
        <f>IF($B378="","",IF(AM$3=0,"n.b.",INDEX(SRC_ZPMW03!$A$1:$ZZ$501,$A378,AM$3)))</f>
        <v/>
      </c>
      <c r="AN378" s="124" t="str">
        <f>IF($B378="","",IF(AN$3=0,"n.b.",INDEX(SRC_ZPMW03!$A$1:$ZZ$501,$A378,AN$3)))</f>
        <v/>
      </c>
      <c r="AO378" s="124" t="str">
        <f>IF($B378="","",IF(AO$3=0,"n.b.",INDEX(SRC_ZPMW03!$A$1:$ZZ$501,$A378,AO$3)))</f>
        <v/>
      </c>
      <c r="AP378" s="124" t="str">
        <f>IF($B378="","",IF(AP$3=0,"n.b.",INDEX(SRC_ZPMW03!$A$1:$ZZ$501,$A378,AP$3)))</f>
        <v/>
      </c>
      <c r="AQ378" s="124" t="str">
        <f>IF($B378="","",IF(AQ$3=0,"n.b.",INDEX(SRC_ZPMW03!$A$1:$ZZ$501,$A378,AQ$3)))</f>
        <v/>
      </c>
      <c r="AR378" s="124" t="str">
        <f>IF($B378="","",IF(AR$3=0,"n.b.",INDEX(SRC_ZPMW03!$A$1:$ZZ$501,$A378,AR$3)))</f>
        <v/>
      </c>
      <c r="AS378" s="124" t="str">
        <f>IF($B378="","",IF(AS$3=0,"n.b.",INDEX(SRC_ZPMW03!$A$1:$ZZ$501,$A378,AS$3)))</f>
        <v/>
      </c>
      <c r="AT378" s="124" t="str">
        <f>IF($B378="","",IF(AT$3=0,"n.b.",INDEX(SRC_ZPMW03!$A$1:$ZZ$501,$A378,AT$3)))</f>
        <v/>
      </c>
      <c r="AU378" s="124" t="str">
        <f>IF($B378="","",IF(AU$3=0,"n.b.",INDEX(SRC_ZPMW03!$A$1:$ZZ$501,$A378,AU$3)))</f>
        <v/>
      </c>
      <c r="AV378" s="124" t="str">
        <f>IF($B378="","",IF(AV$3=0,"n.b.",INDEX(SRC_ZPMW03!$A$1:$ZZ$501,$A378,AV$3)))</f>
        <v/>
      </c>
      <c r="AW378" s="124" t="str">
        <f>IF($B378="","",IF(AW$3=0,"n.b.",INDEX(SRC_ZPMW03!$A$1:$ZZ$501,$A378,AW$3)))</f>
        <v/>
      </c>
      <c r="AX378" s="124" t="str">
        <f>IF($B378="","",IF(AX$3=0,"n.b.",INDEX(SRC_ZPMW03!$A$1:$ZZ$501,$A378,AX$3)))</f>
        <v/>
      </c>
      <c r="AY378" s="124" t="str">
        <f>IF($B378="","",IF(AY$3=0,"n.b.",INDEX(SRC_ZPMW03!$A$1:$ZZ$501,$A378,AY$3)))</f>
        <v/>
      </c>
      <c r="AZ378" s="124" t="str">
        <f>IF($B378="","",IF(AZ$3=0,"n.b.",INDEX(SRC_ZPMW03!$A$1:$ZZ$501,$A378,AZ$3)))</f>
        <v/>
      </c>
      <c r="BA378" s="124" t="str">
        <f>IF($B378="","",IF(BA$3=0,"n.b.",INDEX(SRC_ZPMW03!$A$1:$ZZ$501,$A378,BA$3)))</f>
        <v/>
      </c>
      <c r="BB378" s="124" t="str">
        <f>IF($B378="","",IF(BB$3=0,"n.b.",INDEX(SRC_ZPMW03!$A$1:$ZZ$501,$A378,BB$3)))</f>
        <v/>
      </c>
      <c r="BC378" s="124" t="str">
        <f>IF($B378="","",IF(BC$3=0,"n.b.",INDEX(SRC_ZPMW03!$A$1:$ZZ$501,$A378,BC$3)))</f>
        <v/>
      </c>
      <c r="BD378" s="124" t="str">
        <f>IF($B378="","",IF(BD$3=0,"n.b.",INDEX(SRC_ZPMW03!$A$1:$ZZ$501,$A378,BD$3)))</f>
        <v/>
      </c>
      <c r="BE378" s="124" t="str">
        <f>IF($B378="","",IF(BE$3=0,"n.b.",INDEX(SRC_ZPMW03!$A$1:$ZZ$501,$A378,BE$3)))</f>
        <v/>
      </c>
      <c r="BF378" s="124" t="str">
        <f>IF($B378="","",IF(BF$3=0,"n.b.",INDEX(SRC_ZPMW03!$A$1:$ZZ$501,$A378,BF$3)))</f>
        <v/>
      </c>
      <c r="BG378" t="str">
        <f>IF($B378="","",IF(BG$3=0,"n.b.",INDEX(SRC_ZPMW03!$A$1:$ZZ$501,$A378,BG$3)))</f>
        <v/>
      </c>
      <c r="BH378" t="str">
        <f>IF($B378="","",IF(BH$3=0,"n.b.",INDEX(SRC_ZPMW03!$A$1:$ZZ$501,$A378,BH$3)))</f>
        <v/>
      </c>
      <c r="BI378" t="str">
        <f>IF($B378="","",IF(BI$3=0,"n.b.",INDEX(SRC_ZPMW03!$A$1:$ZZ$501,$A378,BI$3)))</f>
        <v/>
      </c>
      <c r="BJ378" t="str">
        <f>IF($B378="","",IF(BJ$3=0,"n.b.",INDEX(SRC_ZPMW03!$A$1:$ZZ$501,$A378,BJ$3)))</f>
        <v/>
      </c>
      <c r="BK378" s="124" t="str">
        <f>IF($B378="","",IFERROR(-O378,"n.b."))</f>
        <v/>
      </c>
      <c r="BL378" s="124" t="str">
        <f>IF($B378="","",IFERROR(-Q378,"n.b."))</f>
        <v/>
      </c>
      <c r="BM378" s="124" t="str">
        <f>IF($B378="","",IFERROR(-AB378,"n.b."))</f>
        <v/>
      </c>
      <c r="BN378" s="124" t="str">
        <f>IF($B378="","",IFERROR(-AD378,"n.b."))</f>
        <v/>
      </c>
      <c r="BO378" s="124" t="str">
        <f>IF($B378="","",IFERROR(BK378+BM378,"n.b."))</f>
        <v/>
      </c>
      <c r="BP378" s="124" t="str">
        <f>IF($B378="","",IFERROR(BL378+BN378,"n.b."))</f>
        <v/>
      </c>
      <c r="BQ378" s="124" t="str">
        <f>IF($B378="","",IFERROR(-AM378,"n.b."))</f>
        <v/>
      </c>
      <c r="BR378" s="124" t="str">
        <f>IF($B378="","",IFERROR(-AO378,"n.b."))</f>
        <v/>
      </c>
      <c r="BS378" s="124" t="str">
        <f>IF($B378="","",IFERROR(-Z378,"n.b."))</f>
        <v/>
      </c>
      <c r="BT378" s="124" t="str">
        <f>IF($B378="","",IFERROR(-AA378,"n.b."))</f>
        <v/>
      </c>
      <c r="BU378" s="124" t="str">
        <f>IF($B378="","",IFERROR(-AE378,"n.b."))</f>
        <v/>
      </c>
      <c r="BV378" s="124" t="str">
        <f>IF($B378="","",IFERROR(-AF378,"n.b."))</f>
        <v/>
      </c>
      <c r="BW378" s="124" t="str">
        <f>IF($B378="","",IFERROR(-AG378,"n.b."))</f>
        <v/>
      </c>
      <c r="BX378" s="124" t="str">
        <f>IF($B378="","",IFERROR(-AH378,"n.b."))</f>
        <v/>
      </c>
      <c r="BY378" s="124" t="str">
        <f>IF($B378="","",IFERROR(-AI378,"n.b."))</f>
        <v/>
      </c>
      <c r="BZ378" s="124" t="str">
        <f>IF($B378="","",IFERROR(-AJ378,"n.b."))</f>
        <v/>
      </c>
      <c r="CA378" s="124" t="str">
        <f>IF($B378="","",IFERROR(-AK378,"n.b."))</f>
        <v/>
      </c>
      <c r="CB378" s="124" t="str">
        <f>IF($B378="","",IFERROR(-AL378,"n.b."))</f>
        <v/>
      </c>
      <c r="CC378" s="124" t="str">
        <f>IF($B378="","",IFERROR(-AP378,"n.b."))</f>
        <v/>
      </c>
      <c r="CD378" s="124" t="str">
        <f>IF($B378="","",IFERROR(-AQ378,"n.b."))</f>
        <v/>
      </c>
      <c r="CE378" s="124" t="str">
        <f>IF($B378="","",IFERROR(-AR378,"n.b."))</f>
        <v/>
      </c>
      <c r="CF378" s="124" t="str">
        <f>IF($B378="","",IFERROR(-AS378,"n.b."))</f>
        <v/>
      </c>
      <c r="CG378" s="124" t="str">
        <f>IF($B378="","",IFERROR(-AT378,"n.b."))</f>
        <v/>
      </c>
      <c r="CH378" s="124" t="str">
        <f>IF($B378="","",IFERROR(-AU378,"n.b."))</f>
        <v/>
      </c>
      <c r="CI378" s="124" t="str">
        <f>IF($B378="","",IFERROR(-AV378,"n.b."))</f>
        <v/>
      </c>
      <c r="CJ378" s="124" t="str">
        <f>IF($B378="","",IFERROR(-AW378,"n.b."))</f>
        <v/>
      </c>
      <c r="CK378" s="124" t="str">
        <f>IF($B378="","",IFERROR(-AX378,"n.b."))</f>
        <v/>
      </c>
      <c r="CL378" s="124" t="str">
        <f>IF($B378="","",IFERROR(-AY378,"n.b."))</f>
        <v/>
      </c>
      <c r="CM378" s="124" t="str">
        <f>IF($B378="","",IFERROR(-AZ378,"n.b."))</f>
        <v/>
      </c>
      <c r="CN378" s="124" t="str">
        <f>IF($B378="","",IFERROR(-BA378,"n.b."))</f>
        <v/>
      </c>
      <c r="CO378" s="124" t="str">
        <f>IF($B378="","",IFERROR(-BB378,"n.b."))</f>
        <v/>
      </c>
      <c r="CP378" s="124" t="str">
        <f>IF($B378="","",IFERROR(-BC378,"n.b."))</f>
        <v/>
      </c>
      <c r="CQ378" s="124" t="str">
        <f>IF($B378="","",IFERROR(-BD378,"n.b."))</f>
        <v/>
      </c>
      <c r="CR378" s="124" t="str">
        <f>IF($B378="","",IFERROR(-BE378,"n.b."))</f>
        <v/>
      </c>
      <c r="CS378" s="124" t="str">
        <f>IF($B378="","",IFERROR(IF(OR(ABS(T378+V378+X378+Z378-AB378)&gt;P_Tol,ABS(U378+W378+Y378+AA378-AD378)&gt;P_Tol,ABS(AE378+AG378+AI378+AK378-AM378)&gt;P_Tol,ABS(AF378+AH378+AJ378+AL378-AO378)&gt;P_Tol),1,0),1))</f>
        <v/>
      </c>
      <c r="CT378" s="124" t="str">
        <f>IF($B378="","",IFERROR(IF(OR(ABS(AB378+AC378-AD378)&gt;P_Tol,ABS(AM378+AN378-AO378)&gt;P_Tol,ABS(O378+P378-Q378)&gt;P_Tol),1,0),1))</f>
        <v/>
      </c>
      <c r="CU378" s="124" t="str">
        <f>IF($B378="","",IFERROR(IF(ABS(R378-(AB378+AM378+AP378+AR378+AT378+AV378+AX378+AZ378+BB378+BD378))&gt;P_Tol,1,0),1))</f>
        <v/>
      </c>
      <c r="CV378" s="124" t="str">
        <f>IF($B378="","",IFERROR(IF(ABS(M378-(N378+O378+R378))&gt;P_Tol,1,0),1))</f>
        <v/>
      </c>
      <c r="CW378" s="124" t="str">
        <f>IF($B378="","",IF(COUNTIF(Mapping!$A$5:$A$104,B378)&gt;0,1,0))</f>
        <v/>
      </c>
      <c r="CX378" s="124" t="str">
        <f>IF($B378="","",COUNTIF($B$6:$B$505,B378))</f>
        <v/>
      </c>
      <c r="CY378" s="124" t="str">
        <f>IF($B378="","",COUNTIF(STG_Woningetalage!$B$6:$B$505,B378))</f>
        <v/>
      </c>
      <c r="CZ378" s="124" t="str">
        <f>IF($B378="","",IF(CW378=0,COUNTIF($CW$6:CW378,0),""))</f>
        <v/>
      </c>
    </row>
    <row r="379">
      <c r="A379" s="15" t="n">
        <v>375</v>
      </c>
      <c r="B379" t="str">
        <f>IF(B$3=0,"",IF(INDEX(SRC_ZPMW03!$A$1:$ZZ$501,$A379,B$3)&amp;""="","",INDEX(SRC_ZPMW03!$A$1:$ZZ$501,$A379,B$3)&amp;""))</f>
        <v/>
      </c>
      <c r="C379" t="str">
        <f>IF($B379="","",IF(C$3=0,"n.b.",INDEX(SRC_ZPMW03!$A$1:$ZZ$501,$A379,C$3)))</f>
        <v/>
      </c>
      <c r="D379" t="str">
        <f>IF($B379="","",IF(D$3=0,"n.b.",INDEX(SRC_ZPMW03!$A$1:$ZZ$501,$A379,D$3)))</f>
        <v/>
      </c>
      <c r="E379" t="str">
        <f>IF($B379="","",IF(E$3=0,"n.b.",INDEX(SRC_ZPMW03!$A$1:$ZZ$501,$A379,E$3)))</f>
        <v/>
      </c>
      <c r="F379" t="str">
        <f>IF($B379="","",IF(F$3=0,"n.b.",INDEX(SRC_ZPMW03!$A$1:$ZZ$501,$A379,F$3)))</f>
        <v/>
      </c>
      <c r="G379" t="str">
        <f>IF($B379="","",IF(G$3=0,"n.b.",INDEX(SRC_ZPMW03!$A$1:$ZZ$501,$A379,G$3)))</f>
        <v/>
      </c>
      <c r="H379" t="str">
        <f>IF($B379="","",IF(H$3=0,"n.b.",INDEX(SRC_ZPMW03!$A$1:$ZZ$501,$A379,H$3)))</f>
        <v/>
      </c>
      <c r="I379" t="str">
        <f>IF($B379="","",IF(I$3=0,"n.b.",INDEX(SRC_ZPMW03!$A$1:$ZZ$501,$A379,I$3)))</f>
        <v/>
      </c>
      <c r="J379" t="str">
        <f>IF($B379="","",IF(J$3=0,"n.b.",INDEX(SRC_ZPMW03!$A$1:$ZZ$501,$A379,J$3)))</f>
        <v/>
      </c>
      <c r="K379" t="str">
        <f>IF($B379="","",IF(K$3=0,"n.b.",INDEX(SRC_ZPMW03!$A$1:$ZZ$501,$A379,K$3)))</f>
        <v/>
      </c>
      <c r="L379" s="124" t="str">
        <f>IF($B379="","",IF(L$3=0,"n.b.",INDEX(SRC_ZPMW03!$A$1:$ZZ$501,$A379,L$3)))</f>
        <v/>
      </c>
      <c r="M379" s="124" t="str">
        <f>IF($B379="","",IF(M$3=0,"n.b.",INDEX(SRC_ZPMW03!$A$1:$ZZ$501,$A379,M$3)))</f>
        <v/>
      </c>
      <c r="N379" s="124" t="str">
        <f>IF($B379="","",IF(N$3=0,"n.b.",INDEX(SRC_ZPMW03!$A$1:$ZZ$501,$A379,N$3)))</f>
        <v/>
      </c>
      <c r="O379" s="124" t="str">
        <f>IF($B379="","",IF(O$3=0,"n.b.",INDEX(SRC_ZPMW03!$A$1:$ZZ$501,$A379,O$3)))</f>
        <v/>
      </c>
      <c r="P379" s="124" t="str">
        <f>IF($B379="","",IF(P$3=0,"n.b.",INDEX(SRC_ZPMW03!$A$1:$ZZ$501,$A379,P$3)))</f>
        <v/>
      </c>
      <c r="Q379" s="124" t="str">
        <f>IF($B379="","",IF(Q$3=0,"n.b.",INDEX(SRC_ZPMW03!$A$1:$ZZ$501,$A379,Q$3)))</f>
        <v/>
      </c>
      <c r="R379" s="124" t="str">
        <f>IF($B379="","",IF(R$3=0,"n.b.",INDEX(SRC_ZPMW03!$A$1:$ZZ$501,$A379,R$3)))</f>
        <v/>
      </c>
      <c r="S379" s="124" t="str">
        <f>IF($B379="","",IF(S$3=0,"n.b.",INDEX(SRC_ZPMW03!$A$1:$ZZ$501,$A379,S$3)))</f>
        <v/>
      </c>
      <c r="T379" s="124" t="str">
        <f>IF($B379="","",IF(T$3=0,"n.b.",INDEX(SRC_ZPMW03!$A$1:$ZZ$501,$A379,T$3)))</f>
        <v/>
      </c>
      <c r="U379" s="124" t="str">
        <f>IF($B379="","",IF(U$3=0,"n.b.",INDEX(SRC_ZPMW03!$A$1:$ZZ$501,$A379,U$3)))</f>
        <v/>
      </c>
      <c r="V379" s="124" t="str">
        <f>IF($B379="","",IF(V$3=0,"n.b.",INDEX(SRC_ZPMW03!$A$1:$ZZ$501,$A379,V$3)))</f>
        <v/>
      </c>
      <c r="W379" s="124" t="str">
        <f>IF($B379="","",IF(W$3=0,"n.b.",INDEX(SRC_ZPMW03!$A$1:$ZZ$501,$A379,W$3)))</f>
        <v/>
      </c>
      <c r="X379" s="124" t="str">
        <f>IF($B379="","",IF(X$3=0,"n.b.",INDEX(SRC_ZPMW03!$A$1:$ZZ$501,$A379,X$3)))</f>
        <v/>
      </c>
      <c r="Y379" s="124" t="str">
        <f>IF($B379="","",IF(Y$3=0,"n.b.",INDEX(SRC_ZPMW03!$A$1:$ZZ$501,$A379,Y$3)))</f>
        <v/>
      </c>
      <c r="Z379" s="124" t="str">
        <f>IF($B379="","",IF(Z$3=0,"n.b.",INDEX(SRC_ZPMW03!$A$1:$ZZ$501,$A379,Z$3)))</f>
        <v/>
      </c>
      <c r="AA379" s="124" t="str">
        <f>IF($B379="","",IF(AA$3=0,"n.b.",INDEX(SRC_ZPMW03!$A$1:$ZZ$501,$A379,AA$3)))</f>
        <v/>
      </c>
      <c r="AB379" s="124" t="str">
        <f>IF($B379="","",IF(AB$3=0,"n.b.",INDEX(SRC_ZPMW03!$A$1:$ZZ$501,$A379,AB$3)))</f>
        <v/>
      </c>
      <c r="AC379" s="124" t="str">
        <f>IF($B379="","",IF(AC$3=0,"n.b.",INDEX(SRC_ZPMW03!$A$1:$ZZ$501,$A379,AC$3)))</f>
        <v/>
      </c>
      <c r="AD379" s="124" t="str">
        <f>IF($B379="","",IF(AD$3=0,"n.b.",INDEX(SRC_ZPMW03!$A$1:$ZZ$501,$A379,AD$3)))</f>
        <v/>
      </c>
      <c r="AE379" s="124" t="str">
        <f>IF($B379="","",IF(AE$3=0,"n.b.",INDEX(SRC_ZPMW03!$A$1:$ZZ$501,$A379,AE$3)))</f>
        <v/>
      </c>
      <c r="AF379" s="124" t="str">
        <f>IF($B379="","",IF(AF$3=0,"n.b.",INDEX(SRC_ZPMW03!$A$1:$ZZ$501,$A379,AF$3)))</f>
        <v/>
      </c>
      <c r="AG379" s="124" t="str">
        <f>IF($B379="","",IF(AG$3=0,"n.b.",INDEX(SRC_ZPMW03!$A$1:$ZZ$501,$A379,AG$3)))</f>
        <v/>
      </c>
      <c r="AH379" s="124" t="str">
        <f>IF($B379="","",IF(AH$3=0,"n.b.",INDEX(SRC_ZPMW03!$A$1:$ZZ$501,$A379,AH$3)))</f>
        <v/>
      </c>
      <c r="AI379" s="124" t="str">
        <f>IF($B379="","",IF(AI$3=0,"n.b.",INDEX(SRC_ZPMW03!$A$1:$ZZ$501,$A379,AI$3)))</f>
        <v/>
      </c>
      <c r="AJ379" s="124" t="str">
        <f>IF($B379="","",IF(AJ$3=0,"n.b.",INDEX(SRC_ZPMW03!$A$1:$ZZ$501,$A379,AJ$3)))</f>
        <v/>
      </c>
      <c r="AK379" s="124" t="str">
        <f>IF($B379="","",IF(AK$3=0,"n.b.",INDEX(SRC_ZPMW03!$A$1:$ZZ$501,$A379,AK$3)))</f>
        <v/>
      </c>
      <c r="AL379" s="124" t="str">
        <f>IF($B379="","",IF(AL$3=0,"n.b.",INDEX(SRC_ZPMW03!$A$1:$ZZ$501,$A379,AL$3)))</f>
        <v/>
      </c>
      <c r="AM379" s="124" t="str">
        <f>IF($B379="","",IF(AM$3=0,"n.b.",INDEX(SRC_ZPMW03!$A$1:$ZZ$501,$A379,AM$3)))</f>
        <v/>
      </c>
      <c r="AN379" s="124" t="str">
        <f>IF($B379="","",IF(AN$3=0,"n.b.",INDEX(SRC_ZPMW03!$A$1:$ZZ$501,$A379,AN$3)))</f>
        <v/>
      </c>
      <c r="AO379" s="124" t="str">
        <f>IF($B379="","",IF(AO$3=0,"n.b.",INDEX(SRC_ZPMW03!$A$1:$ZZ$501,$A379,AO$3)))</f>
        <v/>
      </c>
      <c r="AP379" s="124" t="str">
        <f>IF($B379="","",IF(AP$3=0,"n.b.",INDEX(SRC_ZPMW03!$A$1:$ZZ$501,$A379,AP$3)))</f>
        <v/>
      </c>
      <c r="AQ379" s="124" t="str">
        <f>IF($B379="","",IF(AQ$3=0,"n.b.",INDEX(SRC_ZPMW03!$A$1:$ZZ$501,$A379,AQ$3)))</f>
        <v/>
      </c>
      <c r="AR379" s="124" t="str">
        <f>IF($B379="","",IF(AR$3=0,"n.b.",INDEX(SRC_ZPMW03!$A$1:$ZZ$501,$A379,AR$3)))</f>
        <v/>
      </c>
      <c r="AS379" s="124" t="str">
        <f>IF($B379="","",IF(AS$3=0,"n.b.",INDEX(SRC_ZPMW03!$A$1:$ZZ$501,$A379,AS$3)))</f>
        <v/>
      </c>
      <c r="AT379" s="124" t="str">
        <f>IF($B379="","",IF(AT$3=0,"n.b.",INDEX(SRC_ZPMW03!$A$1:$ZZ$501,$A379,AT$3)))</f>
        <v/>
      </c>
      <c r="AU379" s="124" t="str">
        <f>IF($B379="","",IF(AU$3=0,"n.b.",INDEX(SRC_ZPMW03!$A$1:$ZZ$501,$A379,AU$3)))</f>
        <v/>
      </c>
      <c r="AV379" s="124" t="str">
        <f>IF($B379="","",IF(AV$3=0,"n.b.",INDEX(SRC_ZPMW03!$A$1:$ZZ$501,$A379,AV$3)))</f>
        <v/>
      </c>
      <c r="AW379" s="124" t="str">
        <f>IF($B379="","",IF(AW$3=0,"n.b.",INDEX(SRC_ZPMW03!$A$1:$ZZ$501,$A379,AW$3)))</f>
        <v/>
      </c>
      <c r="AX379" s="124" t="str">
        <f>IF($B379="","",IF(AX$3=0,"n.b.",INDEX(SRC_ZPMW03!$A$1:$ZZ$501,$A379,AX$3)))</f>
        <v/>
      </c>
      <c r="AY379" s="124" t="str">
        <f>IF($B379="","",IF(AY$3=0,"n.b.",INDEX(SRC_ZPMW03!$A$1:$ZZ$501,$A379,AY$3)))</f>
        <v/>
      </c>
      <c r="AZ379" s="124" t="str">
        <f>IF($B379="","",IF(AZ$3=0,"n.b.",INDEX(SRC_ZPMW03!$A$1:$ZZ$501,$A379,AZ$3)))</f>
        <v/>
      </c>
      <c r="BA379" s="124" t="str">
        <f>IF($B379="","",IF(BA$3=0,"n.b.",INDEX(SRC_ZPMW03!$A$1:$ZZ$501,$A379,BA$3)))</f>
        <v/>
      </c>
      <c r="BB379" s="124" t="str">
        <f>IF($B379="","",IF(BB$3=0,"n.b.",INDEX(SRC_ZPMW03!$A$1:$ZZ$501,$A379,BB$3)))</f>
        <v/>
      </c>
      <c r="BC379" s="124" t="str">
        <f>IF($B379="","",IF(BC$3=0,"n.b.",INDEX(SRC_ZPMW03!$A$1:$ZZ$501,$A379,BC$3)))</f>
        <v/>
      </c>
      <c r="BD379" s="124" t="str">
        <f>IF($B379="","",IF(BD$3=0,"n.b.",INDEX(SRC_ZPMW03!$A$1:$ZZ$501,$A379,BD$3)))</f>
        <v/>
      </c>
      <c r="BE379" s="124" t="str">
        <f>IF($B379="","",IF(BE$3=0,"n.b.",INDEX(SRC_ZPMW03!$A$1:$ZZ$501,$A379,BE$3)))</f>
        <v/>
      </c>
      <c r="BF379" s="124" t="str">
        <f>IF($B379="","",IF(BF$3=0,"n.b.",INDEX(SRC_ZPMW03!$A$1:$ZZ$501,$A379,BF$3)))</f>
        <v/>
      </c>
      <c r="BG379" t="str">
        <f>IF($B379="","",IF(BG$3=0,"n.b.",INDEX(SRC_ZPMW03!$A$1:$ZZ$501,$A379,BG$3)))</f>
        <v/>
      </c>
      <c r="BH379" t="str">
        <f>IF($B379="","",IF(BH$3=0,"n.b.",INDEX(SRC_ZPMW03!$A$1:$ZZ$501,$A379,BH$3)))</f>
        <v/>
      </c>
      <c r="BI379" t="str">
        <f>IF($B379="","",IF(BI$3=0,"n.b.",INDEX(SRC_ZPMW03!$A$1:$ZZ$501,$A379,BI$3)))</f>
        <v/>
      </c>
      <c r="BJ379" t="str">
        <f>IF($B379="","",IF(BJ$3=0,"n.b.",INDEX(SRC_ZPMW03!$A$1:$ZZ$501,$A379,BJ$3)))</f>
        <v/>
      </c>
      <c r="BK379" s="124" t="str">
        <f>IF($B379="","",IFERROR(-O379,"n.b."))</f>
        <v/>
      </c>
      <c r="BL379" s="124" t="str">
        <f>IF($B379="","",IFERROR(-Q379,"n.b."))</f>
        <v/>
      </c>
      <c r="BM379" s="124" t="str">
        <f>IF($B379="","",IFERROR(-AB379,"n.b."))</f>
        <v/>
      </c>
      <c r="BN379" s="124" t="str">
        <f>IF($B379="","",IFERROR(-AD379,"n.b."))</f>
        <v/>
      </c>
      <c r="BO379" s="124" t="str">
        <f>IF($B379="","",IFERROR(BK379+BM379,"n.b."))</f>
        <v/>
      </c>
      <c r="BP379" s="124" t="str">
        <f>IF($B379="","",IFERROR(BL379+BN379,"n.b."))</f>
        <v/>
      </c>
      <c r="BQ379" s="124" t="str">
        <f>IF($B379="","",IFERROR(-AM379,"n.b."))</f>
        <v/>
      </c>
      <c r="BR379" s="124" t="str">
        <f>IF($B379="","",IFERROR(-AO379,"n.b."))</f>
        <v/>
      </c>
      <c r="BS379" s="124" t="str">
        <f>IF($B379="","",IFERROR(-Z379,"n.b."))</f>
        <v/>
      </c>
      <c r="BT379" s="124" t="str">
        <f>IF($B379="","",IFERROR(-AA379,"n.b."))</f>
        <v/>
      </c>
      <c r="BU379" s="124" t="str">
        <f>IF($B379="","",IFERROR(-AE379,"n.b."))</f>
        <v/>
      </c>
      <c r="BV379" s="124" t="str">
        <f>IF($B379="","",IFERROR(-AF379,"n.b."))</f>
        <v/>
      </c>
      <c r="BW379" s="124" t="str">
        <f>IF($B379="","",IFERROR(-AG379,"n.b."))</f>
        <v/>
      </c>
      <c r="BX379" s="124" t="str">
        <f>IF($B379="","",IFERROR(-AH379,"n.b."))</f>
        <v/>
      </c>
      <c r="BY379" s="124" t="str">
        <f>IF($B379="","",IFERROR(-AI379,"n.b."))</f>
        <v/>
      </c>
      <c r="BZ379" s="124" t="str">
        <f>IF($B379="","",IFERROR(-AJ379,"n.b."))</f>
        <v/>
      </c>
      <c r="CA379" s="124" t="str">
        <f>IF($B379="","",IFERROR(-AK379,"n.b."))</f>
        <v/>
      </c>
      <c r="CB379" s="124" t="str">
        <f>IF($B379="","",IFERROR(-AL379,"n.b."))</f>
        <v/>
      </c>
      <c r="CC379" s="124" t="str">
        <f>IF($B379="","",IFERROR(-AP379,"n.b."))</f>
        <v/>
      </c>
      <c r="CD379" s="124" t="str">
        <f>IF($B379="","",IFERROR(-AQ379,"n.b."))</f>
        <v/>
      </c>
      <c r="CE379" s="124" t="str">
        <f>IF($B379="","",IFERROR(-AR379,"n.b."))</f>
        <v/>
      </c>
      <c r="CF379" s="124" t="str">
        <f>IF($B379="","",IFERROR(-AS379,"n.b."))</f>
        <v/>
      </c>
      <c r="CG379" s="124" t="str">
        <f>IF($B379="","",IFERROR(-AT379,"n.b."))</f>
        <v/>
      </c>
      <c r="CH379" s="124" t="str">
        <f>IF($B379="","",IFERROR(-AU379,"n.b."))</f>
        <v/>
      </c>
      <c r="CI379" s="124" t="str">
        <f>IF($B379="","",IFERROR(-AV379,"n.b."))</f>
        <v/>
      </c>
      <c r="CJ379" s="124" t="str">
        <f>IF($B379="","",IFERROR(-AW379,"n.b."))</f>
        <v/>
      </c>
      <c r="CK379" s="124" t="str">
        <f>IF($B379="","",IFERROR(-AX379,"n.b."))</f>
        <v/>
      </c>
      <c r="CL379" s="124" t="str">
        <f>IF($B379="","",IFERROR(-AY379,"n.b."))</f>
        <v/>
      </c>
      <c r="CM379" s="124" t="str">
        <f>IF($B379="","",IFERROR(-AZ379,"n.b."))</f>
        <v/>
      </c>
      <c r="CN379" s="124" t="str">
        <f>IF($B379="","",IFERROR(-BA379,"n.b."))</f>
        <v/>
      </c>
      <c r="CO379" s="124" t="str">
        <f>IF($B379="","",IFERROR(-BB379,"n.b."))</f>
        <v/>
      </c>
      <c r="CP379" s="124" t="str">
        <f>IF($B379="","",IFERROR(-BC379,"n.b."))</f>
        <v/>
      </c>
      <c r="CQ379" s="124" t="str">
        <f>IF($B379="","",IFERROR(-BD379,"n.b."))</f>
        <v/>
      </c>
      <c r="CR379" s="124" t="str">
        <f>IF($B379="","",IFERROR(-BE379,"n.b."))</f>
        <v/>
      </c>
      <c r="CS379" s="124" t="str">
        <f>IF($B379="","",IFERROR(IF(OR(ABS(T379+V379+X379+Z379-AB379)&gt;P_Tol,ABS(U379+W379+Y379+AA379-AD379)&gt;P_Tol,ABS(AE379+AG379+AI379+AK379-AM379)&gt;P_Tol,ABS(AF379+AH379+AJ379+AL379-AO379)&gt;P_Tol),1,0),1))</f>
        <v/>
      </c>
      <c r="CT379" s="124" t="str">
        <f>IF($B379="","",IFERROR(IF(OR(ABS(AB379+AC379-AD379)&gt;P_Tol,ABS(AM379+AN379-AO379)&gt;P_Tol,ABS(O379+P379-Q379)&gt;P_Tol),1,0),1))</f>
        <v/>
      </c>
      <c r="CU379" s="124" t="str">
        <f>IF($B379="","",IFERROR(IF(ABS(R379-(AB379+AM379+AP379+AR379+AT379+AV379+AX379+AZ379+BB379+BD379))&gt;P_Tol,1,0),1))</f>
        <v/>
      </c>
      <c r="CV379" s="124" t="str">
        <f>IF($B379="","",IFERROR(IF(ABS(M379-(N379+O379+R379))&gt;P_Tol,1,0),1))</f>
        <v/>
      </c>
      <c r="CW379" s="124" t="str">
        <f>IF($B379="","",IF(COUNTIF(Mapping!$A$5:$A$104,B379)&gt;0,1,0))</f>
        <v/>
      </c>
      <c r="CX379" s="124" t="str">
        <f>IF($B379="","",COUNTIF($B$6:$B$505,B379))</f>
        <v/>
      </c>
      <c r="CY379" s="124" t="str">
        <f>IF($B379="","",COUNTIF(STG_Woningetalage!$B$6:$B$505,B379))</f>
        <v/>
      </c>
      <c r="CZ379" s="124" t="str">
        <f>IF($B379="","",IF(CW379=0,COUNTIF($CW$6:CW379,0),""))</f>
        <v/>
      </c>
    </row>
    <row r="380">
      <c r="A380" s="15" t="n">
        <v>376</v>
      </c>
      <c r="B380" t="str">
        <f>IF(B$3=0,"",IF(INDEX(SRC_ZPMW03!$A$1:$ZZ$501,$A380,B$3)&amp;""="","",INDEX(SRC_ZPMW03!$A$1:$ZZ$501,$A380,B$3)&amp;""))</f>
        <v/>
      </c>
      <c r="C380" t="str">
        <f>IF($B380="","",IF(C$3=0,"n.b.",INDEX(SRC_ZPMW03!$A$1:$ZZ$501,$A380,C$3)))</f>
        <v/>
      </c>
      <c r="D380" t="str">
        <f>IF($B380="","",IF(D$3=0,"n.b.",INDEX(SRC_ZPMW03!$A$1:$ZZ$501,$A380,D$3)))</f>
        <v/>
      </c>
      <c r="E380" t="str">
        <f>IF($B380="","",IF(E$3=0,"n.b.",INDEX(SRC_ZPMW03!$A$1:$ZZ$501,$A380,E$3)))</f>
        <v/>
      </c>
      <c r="F380" t="str">
        <f>IF($B380="","",IF(F$3=0,"n.b.",INDEX(SRC_ZPMW03!$A$1:$ZZ$501,$A380,F$3)))</f>
        <v/>
      </c>
      <c r="G380" t="str">
        <f>IF($B380="","",IF(G$3=0,"n.b.",INDEX(SRC_ZPMW03!$A$1:$ZZ$501,$A380,G$3)))</f>
        <v/>
      </c>
      <c r="H380" t="str">
        <f>IF($B380="","",IF(H$3=0,"n.b.",INDEX(SRC_ZPMW03!$A$1:$ZZ$501,$A380,H$3)))</f>
        <v/>
      </c>
      <c r="I380" t="str">
        <f>IF($B380="","",IF(I$3=0,"n.b.",INDEX(SRC_ZPMW03!$A$1:$ZZ$501,$A380,I$3)))</f>
        <v/>
      </c>
      <c r="J380" t="str">
        <f>IF($B380="","",IF(J$3=0,"n.b.",INDEX(SRC_ZPMW03!$A$1:$ZZ$501,$A380,J$3)))</f>
        <v/>
      </c>
      <c r="K380" t="str">
        <f>IF($B380="","",IF(K$3=0,"n.b.",INDEX(SRC_ZPMW03!$A$1:$ZZ$501,$A380,K$3)))</f>
        <v/>
      </c>
      <c r="L380" s="124" t="str">
        <f>IF($B380="","",IF(L$3=0,"n.b.",INDEX(SRC_ZPMW03!$A$1:$ZZ$501,$A380,L$3)))</f>
        <v/>
      </c>
      <c r="M380" s="124" t="str">
        <f>IF($B380="","",IF(M$3=0,"n.b.",INDEX(SRC_ZPMW03!$A$1:$ZZ$501,$A380,M$3)))</f>
        <v/>
      </c>
      <c r="N380" s="124" t="str">
        <f>IF($B380="","",IF(N$3=0,"n.b.",INDEX(SRC_ZPMW03!$A$1:$ZZ$501,$A380,N$3)))</f>
        <v/>
      </c>
      <c r="O380" s="124" t="str">
        <f>IF($B380="","",IF(O$3=0,"n.b.",INDEX(SRC_ZPMW03!$A$1:$ZZ$501,$A380,O$3)))</f>
        <v/>
      </c>
      <c r="P380" s="124" t="str">
        <f>IF($B380="","",IF(P$3=0,"n.b.",INDEX(SRC_ZPMW03!$A$1:$ZZ$501,$A380,P$3)))</f>
        <v/>
      </c>
      <c r="Q380" s="124" t="str">
        <f>IF($B380="","",IF(Q$3=0,"n.b.",INDEX(SRC_ZPMW03!$A$1:$ZZ$501,$A380,Q$3)))</f>
        <v/>
      </c>
      <c r="R380" s="124" t="str">
        <f>IF($B380="","",IF(R$3=0,"n.b.",INDEX(SRC_ZPMW03!$A$1:$ZZ$501,$A380,R$3)))</f>
        <v/>
      </c>
      <c r="S380" s="124" t="str">
        <f>IF($B380="","",IF(S$3=0,"n.b.",INDEX(SRC_ZPMW03!$A$1:$ZZ$501,$A380,S$3)))</f>
        <v/>
      </c>
      <c r="T380" s="124" t="str">
        <f>IF($B380="","",IF(T$3=0,"n.b.",INDEX(SRC_ZPMW03!$A$1:$ZZ$501,$A380,T$3)))</f>
        <v/>
      </c>
      <c r="U380" s="124" t="str">
        <f>IF($B380="","",IF(U$3=0,"n.b.",INDEX(SRC_ZPMW03!$A$1:$ZZ$501,$A380,U$3)))</f>
        <v/>
      </c>
      <c r="V380" s="124" t="str">
        <f>IF($B380="","",IF(V$3=0,"n.b.",INDEX(SRC_ZPMW03!$A$1:$ZZ$501,$A380,V$3)))</f>
        <v/>
      </c>
      <c r="W380" s="124" t="str">
        <f>IF($B380="","",IF(W$3=0,"n.b.",INDEX(SRC_ZPMW03!$A$1:$ZZ$501,$A380,W$3)))</f>
        <v/>
      </c>
      <c r="X380" s="124" t="str">
        <f>IF($B380="","",IF(X$3=0,"n.b.",INDEX(SRC_ZPMW03!$A$1:$ZZ$501,$A380,X$3)))</f>
        <v/>
      </c>
      <c r="Y380" s="124" t="str">
        <f>IF($B380="","",IF(Y$3=0,"n.b.",INDEX(SRC_ZPMW03!$A$1:$ZZ$501,$A380,Y$3)))</f>
        <v/>
      </c>
      <c r="Z380" s="124" t="str">
        <f>IF($B380="","",IF(Z$3=0,"n.b.",INDEX(SRC_ZPMW03!$A$1:$ZZ$501,$A380,Z$3)))</f>
        <v/>
      </c>
      <c r="AA380" s="124" t="str">
        <f>IF($B380="","",IF(AA$3=0,"n.b.",INDEX(SRC_ZPMW03!$A$1:$ZZ$501,$A380,AA$3)))</f>
        <v/>
      </c>
      <c r="AB380" s="124" t="str">
        <f>IF($B380="","",IF(AB$3=0,"n.b.",INDEX(SRC_ZPMW03!$A$1:$ZZ$501,$A380,AB$3)))</f>
        <v/>
      </c>
      <c r="AC380" s="124" t="str">
        <f>IF($B380="","",IF(AC$3=0,"n.b.",INDEX(SRC_ZPMW03!$A$1:$ZZ$501,$A380,AC$3)))</f>
        <v/>
      </c>
      <c r="AD380" s="124" t="str">
        <f>IF($B380="","",IF(AD$3=0,"n.b.",INDEX(SRC_ZPMW03!$A$1:$ZZ$501,$A380,AD$3)))</f>
        <v/>
      </c>
      <c r="AE380" s="124" t="str">
        <f>IF($B380="","",IF(AE$3=0,"n.b.",INDEX(SRC_ZPMW03!$A$1:$ZZ$501,$A380,AE$3)))</f>
        <v/>
      </c>
      <c r="AF380" s="124" t="str">
        <f>IF($B380="","",IF(AF$3=0,"n.b.",INDEX(SRC_ZPMW03!$A$1:$ZZ$501,$A380,AF$3)))</f>
        <v/>
      </c>
      <c r="AG380" s="124" t="str">
        <f>IF($B380="","",IF(AG$3=0,"n.b.",INDEX(SRC_ZPMW03!$A$1:$ZZ$501,$A380,AG$3)))</f>
        <v/>
      </c>
      <c r="AH380" s="124" t="str">
        <f>IF($B380="","",IF(AH$3=0,"n.b.",INDEX(SRC_ZPMW03!$A$1:$ZZ$501,$A380,AH$3)))</f>
        <v/>
      </c>
      <c r="AI380" s="124" t="str">
        <f>IF($B380="","",IF(AI$3=0,"n.b.",INDEX(SRC_ZPMW03!$A$1:$ZZ$501,$A380,AI$3)))</f>
        <v/>
      </c>
      <c r="AJ380" s="124" t="str">
        <f>IF($B380="","",IF(AJ$3=0,"n.b.",INDEX(SRC_ZPMW03!$A$1:$ZZ$501,$A380,AJ$3)))</f>
        <v/>
      </c>
      <c r="AK380" s="124" t="str">
        <f>IF($B380="","",IF(AK$3=0,"n.b.",INDEX(SRC_ZPMW03!$A$1:$ZZ$501,$A380,AK$3)))</f>
        <v/>
      </c>
      <c r="AL380" s="124" t="str">
        <f>IF($B380="","",IF(AL$3=0,"n.b.",INDEX(SRC_ZPMW03!$A$1:$ZZ$501,$A380,AL$3)))</f>
        <v/>
      </c>
      <c r="AM380" s="124" t="str">
        <f>IF($B380="","",IF(AM$3=0,"n.b.",INDEX(SRC_ZPMW03!$A$1:$ZZ$501,$A380,AM$3)))</f>
        <v/>
      </c>
      <c r="AN380" s="124" t="str">
        <f>IF($B380="","",IF(AN$3=0,"n.b.",INDEX(SRC_ZPMW03!$A$1:$ZZ$501,$A380,AN$3)))</f>
        <v/>
      </c>
      <c r="AO380" s="124" t="str">
        <f>IF($B380="","",IF(AO$3=0,"n.b.",INDEX(SRC_ZPMW03!$A$1:$ZZ$501,$A380,AO$3)))</f>
        <v/>
      </c>
      <c r="AP380" s="124" t="str">
        <f>IF($B380="","",IF(AP$3=0,"n.b.",INDEX(SRC_ZPMW03!$A$1:$ZZ$501,$A380,AP$3)))</f>
        <v/>
      </c>
      <c r="AQ380" s="124" t="str">
        <f>IF($B380="","",IF(AQ$3=0,"n.b.",INDEX(SRC_ZPMW03!$A$1:$ZZ$501,$A380,AQ$3)))</f>
        <v/>
      </c>
      <c r="AR380" s="124" t="str">
        <f>IF($B380="","",IF(AR$3=0,"n.b.",INDEX(SRC_ZPMW03!$A$1:$ZZ$501,$A380,AR$3)))</f>
        <v/>
      </c>
      <c r="AS380" s="124" t="str">
        <f>IF($B380="","",IF(AS$3=0,"n.b.",INDEX(SRC_ZPMW03!$A$1:$ZZ$501,$A380,AS$3)))</f>
        <v/>
      </c>
      <c r="AT380" s="124" t="str">
        <f>IF($B380="","",IF(AT$3=0,"n.b.",INDEX(SRC_ZPMW03!$A$1:$ZZ$501,$A380,AT$3)))</f>
        <v/>
      </c>
      <c r="AU380" s="124" t="str">
        <f>IF($B380="","",IF(AU$3=0,"n.b.",INDEX(SRC_ZPMW03!$A$1:$ZZ$501,$A380,AU$3)))</f>
        <v/>
      </c>
      <c r="AV380" s="124" t="str">
        <f>IF($B380="","",IF(AV$3=0,"n.b.",INDEX(SRC_ZPMW03!$A$1:$ZZ$501,$A380,AV$3)))</f>
        <v/>
      </c>
      <c r="AW380" s="124" t="str">
        <f>IF($B380="","",IF(AW$3=0,"n.b.",INDEX(SRC_ZPMW03!$A$1:$ZZ$501,$A380,AW$3)))</f>
        <v/>
      </c>
      <c r="AX380" s="124" t="str">
        <f>IF($B380="","",IF(AX$3=0,"n.b.",INDEX(SRC_ZPMW03!$A$1:$ZZ$501,$A380,AX$3)))</f>
        <v/>
      </c>
      <c r="AY380" s="124" t="str">
        <f>IF($B380="","",IF(AY$3=0,"n.b.",INDEX(SRC_ZPMW03!$A$1:$ZZ$501,$A380,AY$3)))</f>
        <v/>
      </c>
      <c r="AZ380" s="124" t="str">
        <f>IF($B380="","",IF(AZ$3=0,"n.b.",INDEX(SRC_ZPMW03!$A$1:$ZZ$501,$A380,AZ$3)))</f>
        <v/>
      </c>
      <c r="BA380" s="124" t="str">
        <f>IF($B380="","",IF(BA$3=0,"n.b.",INDEX(SRC_ZPMW03!$A$1:$ZZ$501,$A380,BA$3)))</f>
        <v/>
      </c>
      <c r="BB380" s="124" t="str">
        <f>IF($B380="","",IF(BB$3=0,"n.b.",INDEX(SRC_ZPMW03!$A$1:$ZZ$501,$A380,BB$3)))</f>
        <v/>
      </c>
      <c r="BC380" s="124" t="str">
        <f>IF($B380="","",IF(BC$3=0,"n.b.",INDEX(SRC_ZPMW03!$A$1:$ZZ$501,$A380,BC$3)))</f>
        <v/>
      </c>
      <c r="BD380" s="124" t="str">
        <f>IF($B380="","",IF(BD$3=0,"n.b.",INDEX(SRC_ZPMW03!$A$1:$ZZ$501,$A380,BD$3)))</f>
        <v/>
      </c>
      <c r="BE380" s="124" t="str">
        <f>IF($B380="","",IF(BE$3=0,"n.b.",INDEX(SRC_ZPMW03!$A$1:$ZZ$501,$A380,BE$3)))</f>
        <v/>
      </c>
      <c r="BF380" s="124" t="str">
        <f>IF($B380="","",IF(BF$3=0,"n.b.",INDEX(SRC_ZPMW03!$A$1:$ZZ$501,$A380,BF$3)))</f>
        <v/>
      </c>
      <c r="BG380" t="str">
        <f>IF($B380="","",IF(BG$3=0,"n.b.",INDEX(SRC_ZPMW03!$A$1:$ZZ$501,$A380,BG$3)))</f>
        <v/>
      </c>
      <c r="BH380" t="str">
        <f>IF($B380="","",IF(BH$3=0,"n.b.",INDEX(SRC_ZPMW03!$A$1:$ZZ$501,$A380,BH$3)))</f>
        <v/>
      </c>
      <c r="BI380" t="str">
        <f>IF($B380="","",IF(BI$3=0,"n.b.",INDEX(SRC_ZPMW03!$A$1:$ZZ$501,$A380,BI$3)))</f>
        <v/>
      </c>
      <c r="BJ380" t="str">
        <f>IF($B380="","",IF(BJ$3=0,"n.b.",INDEX(SRC_ZPMW03!$A$1:$ZZ$501,$A380,BJ$3)))</f>
        <v/>
      </c>
      <c r="BK380" s="124" t="str">
        <f>IF($B380="","",IFERROR(-O380,"n.b."))</f>
        <v/>
      </c>
      <c r="BL380" s="124" t="str">
        <f>IF($B380="","",IFERROR(-Q380,"n.b."))</f>
        <v/>
      </c>
      <c r="BM380" s="124" t="str">
        <f>IF($B380="","",IFERROR(-AB380,"n.b."))</f>
        <v/>
      </c>
      <c r="BN380" s="124" t="str">
        <f>IF($B380="","",IFERROR(-AD380,"n.b."))</f>
        <v/>
      </c>
      <c r="BO380" s="124" t="str">
        <f>IF($B380="","",IFERROR(BK380+BM380,"n.b."))</f>
        <v/>
      </c>
      <c r="BP380" s="124" t="str">
        <f>IF($B380="","",IFERROR(BL380+BN380,"n.b."))</f>
        <v/>
      </c>
      <c r="BQ380" s="124" t="str">
        <f>IF($B380="","",IFERROR(-AM380,"n.b."))</f>
        <v/>
      </c>
      <c r="BR380" s="124" t="str">
        <f>IF($B380="","",IFERROR(-AO380,"n.b."))</f>
        <v/>
      </c>
      <c r="BS380" s="124" t="str">
        <f>IF($B380="","",IFERROR(-Z380,"n.b."))</f>
        <v/>
      </c>
      <c r="BT380" s="124" t="str">
        <f>IF($B380="","",IFERROR(-AA380,"n.b."))</f>
        <v/>
      </c>
      <c r="BU380" s="124" t="str">
        <f>IF($B380="","",IFERROR(-AE380,"n.b."))</f>
        <v/>
      </c>
      <c r="BV380" s="124" t="str">
        <f>IF($B380="","",IFERROR(-AF380,"n.b."))</f>
        <v/>
      </c>
      <c r="BW380" s="124" t="str">
        <f>IF($B380="","",IFERROR(-AG380,"n.b."))</f>
        <v/>
      </c>
      <c r="BX380" s="124" t="str">
        <f>IF($B380="","",IFERROR(-AH380,"n.b."))</f>
        <v/>
      </c>
      <c r="BY380" s="124" t="str">
        <f>IF($B380="","",IFERROR(-AI380,"n.b."))</f>
        <v/>
      </c>
      <c r="BZ380" s="124" t="str">
        <f>IF($B380="","",IFERROR(-AJ380,"n.b."))</f>
        <v/>
      </c>
      <c r="CA380" s="124" t="str">
        <f>IF($B380="","",IFERROR(-AK380,"n.b."))</f>
        <v/>
      </c>
      <c r="CB380" s="124" t="str">
        <f>IF($B380="","",IFERROR(-AL380,"n.b."))</f>
        <v/>
      </c>
      <c r="CC380" s="124" t="str">
        <f>IF($B380="","",IFERROR(-AP380,"n.b."))</f>
        <v/>
      </c>
      <c r="CD380" s="124" t="str">
        <f>IF($B380="","",IFERROR(-AQ380,"n.b."))</f>
        <v/>
      </c>
      <c r="CE380" s="124" t="str">
        <f>IF($B380="","",IFERROR(-AR380,"n.b."))</f>
        <v/>
      </c>
      <c r="CF380" s="124" t="str">
        <f>IF($B380="","",IFERROR(-AS380,"n.b."))</f>
        <v/>
      </c>
      <c r="CG380" s="124" t="str">
        <f>IF($B380="","",IFERROR(-AT380,"n.b."))</f>
        <v/>
      </c>
      <c r="CH380" s="124" t="str">
        <f>IF($B380="","",IFERROR(-AU380,"n.b."))</f>
        <v/>
      </c>
      <c r="CI380" s="124" t="str">
        <f>IF($B380="","",IFERROR(-AV380,"n.b."))</f>
        <v/>
      </c>
      <c r="CJ380" s="124" t="str">
        <f>IF($B380="","",IFERROR(-AW380,"n.b."))</f>
        <v/>
      </c>
      <c r="CK380" s="124" t="str">
        <f>IF($B380="","",IFERROR(-AX380,"n.b."))</f>
        <v/>
      </c>
      <c r="CL380" s="124" t="str">
        <f>IF($B380="","",IFERROR(-AY380,"n.b."))</f>
        <v/>
      </c>
      <c r="CM380" s="124" t="str">
        <f>IF($B380="","",IFERROR(-AZ380,"n.b."))</f>
        <v/>
      </c>
      <c r="CN380" s="124" t="str">
        <f>IF($B380="","",IFERROR(-BA380,"n.b."))</f>
        <v/>
      </c>
      <c r="CO380" s="124" t="str">
        <f>IF($B380="","",IFERROR(-BB380,"n.b."))</f>
        <v/>
      </c>
      <c r="CP380" s="124" t="str">
        <f>IF($B380="","",IFERROR(-BC380,"n.b."))</f>
        <v/>
      </c>
      <c r="CQ380" s="124" t="str">
        <f>IF($B380="","",IFERROR(-BD380,"n.b."))</f>
        <v/>
      </c>
      <c r="CR380" s="124" t="str">
        <f>IF($B380="","",IFERROR(-BE380,"n.b."))</f>
        <v/>
      </c>
      <c r="CS380" s="124" t="str">
        <f>IF($B380="","",IFERROR(IF(OR(ABS(T380+V380+X380+Z380-AB380)&gt;P_Tol,ABS(U380+W380+Y380+AA380-AD380)&gt;P_Tol,ABS(AE380+AG380+AI380+AK380-AM380)&gt;P_Tol,ABS(AF380+AH380+AJ380+AL380-AO380)&gt;P_Tol),1,0),1))</f>
        <v/>
      </c>
      <c r="CT380" s="124" t="str">
        <f>IF($B380="","",IFERROR(IF(OR(ABS(AB380+AC380-AD380)&gt;P_Tol,ABS(AM380+AN380-AO380)&gt;P_Tol,ABS(O380+P380-Q380)&gt;P_Tol),1,0),1))</f>
        <v/>
      </c>
      <c r="CU380" s="124" t="str">
        <f>IF($B380="","",IFERROR(IF(ABS(R380-(AB380+AM380+AP380+AR380+AT380+AV380+AX380+AZ380+BB380+BD380))&gt;P_Tol,1,0),1))</f>
        <v/>
      </c>
      <c r="CV380" s="124" t="str">
        <f>IF($B380="","",IFERROR(IF(ABS(M380-(N380+O380+R380))&gt;P_Tol,1,0),1))</f>
        <v/>
      </c>
      <c r="CW380" s="124" t="str">
        <f>IF($B380="","",IF(COUNTIF(Mapping!$A$5:$A$104,B380)&gt;0,1,0))</f>
        <v/>
      </c>
      <c r="CX380" s="124" t="str">
        <f>IF($B380="","",COUNTIF($B$6:$B$505,B380))</f>
        <v/>
      </c>
      <c r="CY380" s="124" t="str">
        <f>IF($B380="","",COUNTIF(STG_Woningetalage!$B$6:$B$505,B380))</f>
        <v/>
      </c>
      <c r="CZ380" s="124" t="str">
        <f>IF($B380="","",IF(CW380=0,COUNTIF($CW$6:CW380,0),""))</f>
        <v/>
      </c>
    </row>
    <row r="381">
      <c r="A381" s="15" t="n">
        <v>377</v>
      </c>
      <c r="B381" t="str">
        <f>IF(B$3=0,"",IF(INDEX(SRC_ZPMW03!$A$1:$ZZ$501,$A381,B$3)&amp;""="","",INDEX(SRC_ZPMW03!$A$1:$ZZ$501,$A381,B$3)&amp;""))</f>
        <v/>
      </c>
      <c r="C381" t="str">
        <f>IF($B381="","",IF(C$3=0,"n.b.",INDEX(SRC_ZPMW03!$A$1:$ZZ$501,$A381,C$3)))</f>
        <v/>
      </c>
      <c r="D381" t="str">
        <f>IF($B381="","",IF(D$3=0,"n.b.",INDEX(SRC_ZPMW03!$A$1:$ZZ$501,$A381,D$3)))</f>
        <v/>
      </c>
      <c r="E381" t="str">
        <f>IF($B381="","",IF(E$3=0,"n.b.",INDEX(SRC_ZPMW03!$A$1:$ZZ$501,$A381,E$3)))</f>
        <v/>
      </c>
      <c r="F381" t="str">
        <f>IF($B381="","",IF(F$3=0,"n.b.",INDEX(SRC_ZPMW03!$A$1:$ZZ$501,$A381,F$3)))</f>
        <v/>
      </c>
      <c r="G381" t="str">
        <f>IF($B381="","",IF(G$3=0,"n.b.",INDEX(SRC_ZPMW03!$A$1:$ZZ$501,$A381,G$3)))</f>
        <v/>
      </c>
      <c r="H381" t="str">
        <f>IF($B381="","",IF(H$3=0,"n.b.",INDEX(SRC_ZPMW03!$A$1:$ZZ$501,$A381,H$3)))</f>
        <v/>
      </c>
      <c r="I381" t="str">
        <f>IF($B381="","",IF(I$3=0,"n.b.",INDEX(SRC_ZPMW03!$A$1:$ZZ$501,$A381,I$3)))</f>
        <v/>
      </c>
      <c r="J381" t="str">
        <f>IF($B381="","",IF(J$3=0,"n.b.",INDEX(SRC_ZPMW03!$A$1:$ZZ$501,$A381,J$3)))</f>
        <v/>
      </c>
      <c r="K381" t="str">
        <f>IF($B381="","",IF(K$3=0,"n.b.",INDEX(SRC_ZPMW03!$A$1:$ZZ$501,$A381,K$3)))</f>
        <v/>
      </c>
      <c r="L381" s="124" t="str">
        <f>IF($B381="","",IF(L$3=0,"n.b.",INDEX(SRC_ZPMW03!$A$1:$ZZ$501,$A381,L$3)))</f>
        <v/>
      </c>
      <c r="M381" s="124" t="str">
        <f>IF($B381="","",IF(M$3=0,"n.b.",INDEX(SRC_ZPMW03!$A$1:$ZZ$501,$A381,M$3)))</f>
        <v/>
      </c>
      <c r="N381" s="124" t="str">
        <f>IF($B381="","",IF(N$3=0,"n.b.",INDEX(SRC_ZPMW03!$A$1:$ZZ$501,$A381,N$3)))</f>
        <v/>
      </c>
      <c r="O381" s="124" t="str">
        <f>IF($B381="","",IF(O$3=0,"n.b.",INDEX(SRC_ZPMW03!$A$1:$ZZ$501,$A381,O$3)))</f>
        <v/>
      </c>
      <c r="P381" s="124" t="str">
        <f>IF($B381="","",IF(P$3=0,"n.b.",INDEX(SRC_ZPMW03!$A$1:$ZZ$501,$A381,P$3)))</f>
        <v/>
      </c>
      <c r="Q381" s="124" t="str">
        <f>IF($B381="","",IF(Q$3=0,"n.b.",INDEX(SRC_ZPMW03!$A$1:$ZZ$501,$A381,Q$3)))</f>
        <v/>
      </c>
      <c r="R381" s="124" t="str">
        <f>IF($B381="","",IF(R$3=0,"n.b.",INDEX(SRC_ZPMW03!$A$1:$ZZ$501,$A381,R$3)))</f>
        <v/>
      </c>
      <c r="S381" s="124" t="str">
        <f>IF($B381="","",IF(S$3=0,"n.b.",INDEX(SRC_ZPMW03!$A$1:$ZZ$501,$A381,S$3)))</f>
        <v/>
      </c>
      <c r="T381" s="124" t="str">
        <f>IF($B381="","",IF(T$3=0,"n.b.",INDEX(SRC_ZPMW03!$A$1:$ZZ$501,$A381,T$3)))</f>
        <v/>
      </c>
      <c r="U381" s="124" t="str">
        <f>IF($B381="","",IF(U$3=0,"n.b.",INDEX(SRC_ZPMW03!$A$1:$ZZ$501,$A381,U$3)))</f>
        <v/>
      </c>
      <c r="V381" s="124" t="str">
        <f>IF($B381="","",IF(V$3=0,"n.b.",INDEX(SRC_ZPMW03!$A$1:$ZZ$501,$A381,V$3)))</f>
        <v/>
      </c>
      <c r="W381" s="124" t="str">
        <f>IF($B381="","",IF(W$3=0,"n.b.",INDEX(SRC_ZPMW03!$A$1:$ZZ$501,$A381,W$3)))</f>
        <v/>
      </c>
      <c r="X381" s="124" t="str">
        <f>IF($B381="","",IF(X$3=0,"n.b.",INDEX(SRC_ZPMW03!$A$1:$ZZ$501,$A381,X$3)))</f>
        <v/>
      </c>
      <c r="Y381" s="124" t="str">
        <f>IF($B381="","",IF(Y$3=0,"n.b.",INDEX(SRC_ZPMW03!$A$1:$ZZ$501,$A381,Y$3)))</f>
        <v/>
      </c>
      <c r="Z381" s="124" t="str">
        <f>IF($B381="","",IF(Z$3=0,"n.b.",INDEX(SRC_ZPMW03!$A$1:$ZZ$501,$A381,Z$3)))</f>
        <v/>
      </c>
      <c r="AA381" s="124" t="str">
        <f>IF($B381="","",IF(AA$3=0,"n.b.",INDEX(SRC_ZPMW03!$A$1:$ZZ$501,$A381,AA$3)))</f>
        <v/>
      </c>
      <c r="AB381" s="124" t="str">
        <f>IF($B381="","",IF(AB$3=0,"n.b.",INDEX(SRC_ZPMW03!$A$1:$ZZ$501,$A381,AB$3)))</f>
        <v/>
      </c>
      <c r="AC381" s="124" t="str">
        <f>IF($B381="","",IF(AC$3=0,"n.b.",INDEX(SRC_ZPMW03!$A$1:$ZZ$501,$A381,AC$3)))</f>
        <v/>
      </c>
      <c r="AD381" s="124" t="str">
        <f>IF($B381="","",IF(AD$3=0,"n.b.",INDEX(SRC_ZPMW03!$A$1:$ZZ$501,$A381,AD$3)))</f>
        <v/>
      </c>
      <c r="AE381" s="124" t="str">
        <f>IF($B381="","",IF(AE$3=0,"n.b.",INDEX(SRC_ZPMW03!$A$1:$ZZ$501,$A381,AE$3)))</f>
        <v/>
      </c>
      <c r="AF381" s="124" t="str">
        <f>IF($B381="","",IF(AF$3=0,"n.b.",INDEX(SRC_ZPMW03!$A$1:$ZZ$501,$A381,AF$3)))</f>
        <v/>
      </c>
      <c r="AG381" s="124" t="str">
        <f>IF($B381="","",IF(AG$3=0,"n.b.",INDEX(SRC_ZPMW03!$A$1:$ZZ$501,$A381,AG$3)))</f>
        <v/>
      </c>
      <c r="AH381" s="124" t="str">
        <f>IF($B381="","",IF(AH$3=0,"n.b.",INDEX(SRC_ZPMW03!$A$1:$ZZ$501,$A381,AH$3)))</f>
        <v/>
      </c>
      <c r="AI381" s="124" t="str">
        <f>IF($B381="","",IF(AI$3=0,"n.b.",INDEX(SRC_ZPMW03!$A$1:$ZZ$501,$A381,AI$3)))</f>
        <v/>
      </c>
      <c r="AJ381" s="124" t="str">
        <f>IF($B381="","",IF(AJ$3=0,"n.b.",INDEX(SRC_ZPMW03!$A$1:$ZZ$501,$A381,AJ$3)))</f>
        <v/>
      </c>
      <c r="AK381" s="124" t="str">
        <f>IF($B381="","",IF(AK$3=0,"n.b.",INDEX(SRC_ZPMW03!$A$1:$ZZ$501,$A381,AK$3)))</f>
        <v/>
      </c>
      <c r="AL381" s="124" t="str">
        <f>IF($B381="","",IF(AL$3=0,"n.b.",INDEX(SRC_ZPMW03!$A$1:$ZZ$501,$A381,AL$3)))</f>
        <v/>
      </c>
      <c r="AM381" s="124" t="str">
        <f>IF($B381="","",IF(AM$3=0,"n.b.",INDEX(SRC_ZPMW03!$A$1:$ZZ$501,$A381,AM$3)))</f>
        <v/>
      </c>
      <c r="AN381" s="124" t="str">
        <f>IF($B381="","",IF(AN$3=0,"n.b.",INDEX(SRC_ZPMW03!$A$1:$ZZ$501,$A381,AN$3)))</f>
        <v/>
      </c>
      <c r="AO381" s="124" t="str">
        <f>IF($B381="","",IF(AO$3=0,"n.b.",INDEX(SRC_ZPMW03!$A$1:$ZZ$501,$A381,AO$3)))</f>
        <v/>
      </c>
      <c r="AP381" s="124" t="str">
        <f>IF($B381="","",IF(AP$3=0,"n.b.",INDEX(SRC_ZPMW03!$A$1:$ZZ$501,$A381,AP$3)))</f>
        <v/>
      </c>
      <c r="AQ381" s="124" t="str">
        <f>IF($B381="","",IF(AQ$3=0,"n.b.",INDEX(SRC_ZPMW03!$A$1:$ZZ$501,$A381,AQ$3)))</f>
        <v/>
      </c>
      <c r="AR381" s="124" t="str">
        <f>IF($B381="","",IF(AR$3=0,"n.b.",INDEX(SRC_ZPMW03!$A$1:$ZZ$501,$A381,AR$3)))</f>
        <v/>
      </c>
      <c r="AS381" s="124" t="str">
        <f>IF($B381="","",IF(AS$3=0,"n.b.",INDEX(SRC_ZPMW03!$A$1:$ZZ$501,$A381,AS$3)))</f>
        <v/>
      </c>
      <c r="AT381" s="124" t="str">
        <f>IF($B381="","",IF(AT$3=0,"n.b.",INDEX(SRC_ZPMW03!$A$1:$ZZ$501,$A381,AT$3)))</f>
        <v/>
      </c>
      <c r="AU381" s="124" t="str">
        <f>IF($B381="","",IF(AU$3=0,"n.b.",INDEX(SRC_ZPMW03!$A$1:$ZZ$501,$A381,AU$3)))</f>
        <v/>
      </c>
      <c r="AV381" s="124" t="str">
        <f>IF($B381="","",IF(AV$3=0,"n.b.",INDEX(SRC_ZPMW03!$A$1:$ZZ$501,$A381,AV$3)))</f>
        <v/>
      </c>
      <c r="AW381" s="124" t="str">
        <f>IF($B381="","",IF(AW$3=0,"n.b.",INDEX(SRC_ZPMW03!$A$1:$ZZ$501,$A381,AW$3)))</f>
        <v/>
      </c>
      <c r="AX381" s="124" t="str">
        <f>IF($B381="","",IF(AX$3=0,"n.b.",INDEX(SRC_ZPMW03!$A$1:$ZZ$501,$A381,AX$3)))</f>
        <v/>
      </c>
      <c r="AY381" s="124" t="str">
        <f>IF($B381="","",IF(AY$3=0,"n.b.",INDEX(SRC_ZPMW03!$A$1:$ZZ$501,$A381,AY$3)))</f>
        <v/>
      </c>
      <c r="AZ381" s="124" t="str">
        <f>IF($B381="","",IF(AZ$3=0,"n.b.",INDEX(SRC_ZPMW03!$A$1:$ZZ$501,$A381,AZ$3)))</f>
        <v/>
      </c>
      <c r="BA381" s="124" t="str">
        <f>IF($B381="","",IF(BA$3=0,"n.b.",INDEX(SRC_ZPMW03!$A$1:$ZZ$501,$A381,BA$3)))</f>
        <v/>
      </c>
      <c r="BB381" s="124" t="str">
        <f>IF($B381="","",IF(BB$3=0,"n.b.",INDEX(SRC_ZPMW03!$A$1:$ZZ$501,$A381,BB$3)))</f>
        <v/>
      </c>
      <c r="BC381" s="124" t="str">
        <f>IF($B381="","",IF(BC$3=0,"n.b.",INDEX(SRC_ZPMW03!$A$1:$ZZ$501,$A381,BC$3)))</f>
        <v/>
      </c>
      <c r="BD381" s="124" t="str">
        <f>IF($B381="","",IF(BD$3=0,"n.b.",INDEX(SRC_ZPMW03!$A$1:$ZZ$501,$A381,BD$3)))</f>
        <v/>
      </c>
      <c r="BE381" s="124" t="str">
        <f>IF($B381="","",IF(BE$3=0,"n.b.",INDEX(SRC_ZPMW03!$A$1:$ZZ$501,$A381,BE$3)))</f>
        <v/>
      </c>
      <c r="BF381" s="124" t="str">
        <f>IF($B381="","",IF(BF$3=0,"n.b.",INDEX(SRC_ZPMW03!$A$1:$ZZ$501,$A381,BF$3)))</f>
        <v/>
      </c>
      <c r="BG381" t="str">
        <f>IF($B381="","",IF(BG$3=0,"n.b.",INDEX(SRC_ZPMW03!$A$1:$ZZ$501,$A381,BG$3)))</f>
        <v/>
      </c>
      <c r="BH381" t="str">
        <f>IF($B381="","",IF(BH$3=0,"n.b.",INDEX(SRC_ZPMW03!$A$1:$ZZ$501,$A381,BH$3)))</f>
        <v/>
      </c>
      <c r="BI381" t="str">
        <f>IF($B381="","",IF(BI$3=0,"n.b.",INDEX(SRC_ZPMW03!$A$1:$ZZ$501,$A381,BI$3)))</f>
        <v/>
      </c>
      <c r="BJ381" t="str">
        <f>IF($B381="","",IF(BJ$3=0,"n.b.",INDEX(SRC_ZPMW03!$A$1:$ZZ$501,$A381,BJ$3)))</f>
        <v/>
      </c>
      <c r="BK381" s="124" t="str">
        <f>IF($B381="","",IFERROR(-O381,"n.b."))</f>
        <v/>
      </c>
      <c r="BL381" s="124" t="str">
        <f>IF($B381="","",IFERROR(-Q381,"n.b."))</f>
        <v/>
      </c>
      <c r="BM381" s="124" t="str">
        <f>IF($B381="","",IFERROR(-AB381,"n.b."))</f>
        <v/>
      </c>
      <c r="BN381" s="124" t="str">
        <f>IF($B381="","",IFERROR(-AD381,"n.b."))</f>
        <v/>
      </c>
      <c r="BO381" s="124" t="str">
        <f>IF($B381="","",IFERROR(BK381+BM381,"n.b."))</f>
        <v/>
      </c>
      <c r="BP381" s="124" t="str">
        <f>IF($B381="","",IFERROR(BL381+BN381,"n.b."))</f>
        <v/>
      </c>
      <c r="BQ381" s="124" t="str">
        <f>IF($B381="","",IFERROR(-AM381,"n.b."))</f>
        <v/>
      </c>
      <c r="BR381" s="124" t="str">
        <f>IF($B381="","",IFERROR(-AO381,"n.b."))</f>
        <v/>
      </c>
      <c r="BS381" s="124" t="str">
        <f>IF($B381="","",IFERROR(-Z381,"n.b."))</f>
        <v/>
      </c>
      <c r="BT381" s="124" t="str">
        <f>IF($B381="","",IFERROR(-AA381,"n.b."))</f>
        <v/>
      </c>
      <c r="BU381" s="124" t="str">
        <f>IF($B381="","",IFERROR(-AE381,"n.b."))</f>
        <v/>
      </c>
      <c r="BV381" s="124" t="str">
        <f>IF($B381="","",IFERROR(-AF381,"n.b."))</f>
        <v/>
      </c>
      <c r="BW381" s="124" t="str">
        <f>IF($B381="","",IFERROR(-AG381,"n.b."))</f>
        <v/>
      </c>
      <c r="BX381" s="124" t="str">
        <f>IF($B381="","",IFERROR(-AH381,"n.b."))</f>
        <v/>
      </c>
      <c r="BY381" s="124" t="str">
        <f>IF($B381="","",IFERROR(-AI381,"n.b."))</f>
        <v/>
      </c>
      <c r="BZ381" s="124" t="str">
        <f>IF($B381="","",IFERROR(-AJ381,"n.b."))</f>
        <v/>
      </c>
      <c r="CA381" s="124" t="str">
        <f>IF($B381="","",IFERROR(-AK381,"n.b."))</f>
        <v/>
      </c>
      <c r="CB381" s="124" t="str">
        <f>IF($B381="","",IFERROR(-AL381,"n.b."))</f>
        <v/>
      </c>
      <c r="CC381" s="124" t="str">
        <f>IF($B381="","",IFERROR(-AP381,"n.b."))</f>
        <v/>
      </c>
      <c r="CD381" s="124" t="str">
        <f>IF($B381="","",IFERROR(-AQ381,"n.b."))</f>
        <v/>
      </c>
      <c r="CE381" s="124" t="str">
        <f>IF($B381="","",IFERROR(-AR381,"n.b."))</f>
        <v/>
      </c>
      <c r="CF381" s="124" t="str">
        <f>IF($B381="","",IFERROR(-AS381,"n.b."))</f>
        <v/>
      </c>
      <c r="CG381" s="124" t="str">
        <f>IF($B381="","",IFERROR(-AT381,"n.b."))</f>
        <v/>
      </c>
      <c r="CH381" s="124" t="str">
        <f>IF($B381="","",IFERROR(-AU381,"n.b."))</f>
        <v/>
      </c>
      <c r="CI381" s="124" t="str">
        <f>IF($B381="","",IFERROR(-AV381,"n.b."))</f>
        <v/>
      </c>
      <c r="CJ381" s="124" t="str">
        <f>IF($B381="","",IFERROR(-AW381,"n.b."))</f>
        <v/>
      </c>
      <c r="CK381" s="124" t="str">
        <f>IF($B381="","",IFERROR(-AX381,"n.b."))</f>
        <v/>
      </c>
      <c r="CL381" s="124" t="str">
        <f>IF($B381="","",IFERROR(-AY381,"n.b."))</f>
        <v/>
      </c>
      <c r="CM381" s="124" t="str">
        <f>IF($B381="","",IFERROR(-AZ381,"n.b."))</f>
        <v/>
      </c>
      <c r="CN381" s="124" t="str">
        <f>IF($B381="","",IFERROR(-BA381,"n.b."))</f>
        <v/>
      </c>
      <c r="CO381" s="124" t="str">
        <f>IF($B381="","",IFERROR(-BB381,"n.b."))</f>
        <v/>
      </c>
      <c r="CP381" s="124" t="str">
        <f>IF($B381="","",IFERROR(-BC381,"n.b."))</f>
        <v/>
      </c>
      <c r="CQ381" s="124" t="str">
        <f>IF($B381="","",IFERROR(-BD381,"n.b."))</f>
        <v/>
      </c>
      <c r="CR381" s="124" t="str">
        <f>IF($B381="","",IFERROR(-BE381,"n.b."))</f>
        <v/>
      </c>
      <c r="CS381" s="124" t="str">
        <f>IF($B381="","",IFERROR(IF(OR(ABS(T381+V381+X381+Z381-AB381)&gt;P_Tol,ABS(U381+W381+Y381+AA381-AD381)&gt;P_Tol,ABS(AE381+AG381+AI381+AK381-AM381)&gt;P_Tol,ABS(AF381+AH381+AJ381+AL381-AO381)&gt;P_Tol),1,0),1))</f>
        <v/>
      </c>
      <c r="CT381" s="124" t="str">
        <f>IF($B381="","",IFERROR(IF(OR(ABS(AB381+AC381-AD381)&gt;P_Tol,ABS(AM381+AN381-AO381)&gt;P_Tol,ABS(O381+P381-Q381)&gt;P_Tol),1,0),1))</f>
        <v/>
      </c>
      <c r="CU381" s="124" t="str">
        <f>IF($B381="","",IFERROR(IF(ABS(R381-(AB381+AM381+AP381+AR381+AT381+AV381+AX381+AZ381+BB381+BD381))&gt;P_Tol,1,0),1))</f>
        <v/>
      </c>
      <c r="CV381" s="124" t="str">
        <f>IF($B381="","",IFERROR(IF(ABS(M381-(N381+O381+R381))&gt;P_Tol,1,0),1))</f>
        <v/>
      </c>
      <c r="CW381" s="124" t="str">
        <f>IF($B381="","",IF(COUNTIF(Mapping!$A$5:$A$104,B381)&gt;0,1,0))</f>
        <v/>
      </c>
      <c r="CX381" s="124" t="str">
        <f>IF($B381="","",COUNTIF($B$6:$B$505,B381))</f>
        <v/>
      </c>
      <c r="CY381" s="124" t="str">
        <f>IF($B381="","",COUNTIF(STG_Woningetalage!$B$6:$B$505,B381))</f>
        <v/>
      </c>
      <c r="CZ381" s="124" t="str">
        <f>IF($B381="","",IF(CW381=0,COUNTIF($CW$6:CW381,0),""))</f>
        <v/>
      </c>
    </row>
    <row r="382">
      <c r="A382" s="15" t="n">
        <v>378</v>
      </c>
      <c r="B382" t="str">
        <f>IF(B$3=0,"",IF(INDEX(SRC_ZPMW03!$A$1:$ZZ$501,$A382,B$3)&amp;""="","",INDEX(SRC_ZPMW03!$A$1:$ZZ$501,$A382,B$3)&amp;""))</f>
        <v/>
      </c>
      <c r="C382" t="str">
        <f>IF($B382="","",IF(C$3=0,"n.b.",INDEX(SRC_ZPMW03!$A$1:$ZZ$501,$A382,C$3)))</f>
        <v/>
      </c>
      <c r="D382" t="str">
        <f>IF($B382="","",IF(D$3=0,"n.b.",INDEX(SRC_ZPMW03!$A$1:$ZZ$501,$A382,D$3)))</f>
        <v/>
      </c>
      <c r="E382" t="str">
        <f>IF($B382="","",IF(E$3=0,"n.b.",INDEX(SRC_ZPMW03!$A$1:$ZZ$501,$A382,E$3)))</f>
        <v/>
      </c>
      <c r="F382" t="str">
        <f>IF($B382="","",IF(F$3=0,"n.b.",INDEX(SRC_ZPMW03!$A$1:$ZZ$501,$A382,F$3)))</f>
        <v/>
      </c>
      <c r="G382" t="str">
        <f>IF($B382="","",IF(G$3=0,"n.b.",INDEX(SRC_ZPMW03!$A$1:$ZZ$501,$A382,G$3)))</f>
        <v/>
      </c>
      <c r="H382" t="str">
        <f>IF($B382="","",IF(H$3=0,"n.b.",INDEX(SRC_ZPMW03!$A$1:$ZZ$501,$A382,H$3)))</f>
        <v/>
      </c>
      <c r="I382" t="str">
        <f>IF($B382="","",IF(I$3=0,"n.b.",INDEX(SRC_ZPMW03!$A$1:$ZZ$501,$A382,I$3)))</f>
        <v/>
      </c>
      <c r="J382" t="str">
        <f>IF($B382="","",IF(J$3=0,"n.b.",INDEX(SRC_ZPMW03!$A$1:$ZZ$501,$A382,J$3)))</f>
        <v/>
      </c>
      <c r="K382" t="str">
        <f>IF($B382="","",IF(K$3=0,"n.b.",INDEX(SRC_ZPMW03!$A$1:$ZZ$501,$A382,K$3)))</f>
        <v/>
      </c>
      <c r="L382" s="124" t="str">
        <f>IF($B382="","",IF(L$3=0,"n.b.",INDEX(SRC_ZPMW03!$A$1:$ZZ$501,$A382,L$3)))</f>
        <v/>
      </c>
      <c r="M382" s="124" t="str">
        <f>IF($B382="","",IF(M$3=0,"n.b.",INDEX(SRC_ZPMW03!$A$1:$ZZ$501,$A382,M$3)))</f>
        <v/>
      </c>
      <c r="N382" s="124" t="str">
        <f>IF($B382="","",IF(N$3=0,"n.b.",INDEX(SRC_ZPMW03!$A$1:$ZZ$501,$A382,N$3)))</f>
        <v/>
      </c>
      <c r="O382" s="124" t="str">
        <f>IF($B382="","",IF(O$3=0,"n.b.",INDEX(SRC_ZPMW03!$A$1:$ZZ$501,$A382,O$3)))</f>
        <v/>
      </c>
      <c r="P382" s="124" t="str">
        <f>IF($B382="","",IF(P$3=0,"n.b.",INDEX(SRC_ZPMW03!$A$1:$ZZ$501,$A382,P$3)))</f>
        <v/>
      </c>
      <c r="Q382" s="124" t="str">
        <f>IF($B382="","",IF(Q$3=0,"n.b.",INDEX(SRC_ZPMW03!$A$1:$ZZ$501,$A382,Q$3)))</f>
        <v/>
      </c>
      <c r="R382" s="124" t="str">
        <f>IF($B382="","",IF(R$3=0,"n.b.",INDEX(SRC_ZPMW03!$A$1:$ZZ$501,$A382,R$3)))</f>
        <v/>
      </c>
      <c r="S382" s="124" t="str">
        <f>IF($B382="","",IF(S$3=0,"n.b.",INDEX(SRC_ZPMW03!$A$1:$ZZ$501,$A382,S$3)))</f>
        <v/>
      </c>
      <c r="T382" s="124" t="str">
        <f>IF($B382="","",IF(T$3=0,"n.b.",INDEX(SRC_ZPMW03!$A$1:$ZZ$501,$A382,T$3)))</f>
        <v/>
      </c>
      <c r="U382" s="124" t="str">
        <f>IF($B382="","",IF(U$3=0,"n.b.",INDEX(SRC_ZPMW03!$A$1:$ZZ$501,$A382,U$3)))</f>
        <v/>
      </c>
      <c r="V382" s="124" t="str">
        <f>IF($B382="","",IF(V$3=0,"n.b.",INDEX(SRC_ZPMW03!$A$1:$ZZ$501,$A382,V$3)))</f>
        <v/>
      </c>
      <c r="W382" s="124" t="str">
        <f>IF($B382="","",IF(W$3=0,"n.b.",INDEX(SRC_ZPMW03!$A$1:$ZZ$501,$A382,W$3)))</f>
        <v/>
      </c>
      <c r="X382" s="124" t="str">
        <f>IF($B382="","",IF(X$3=0,"n.b.",INDEX(SRC_ZPMW03!$A$1:$ZZ$501,$A382,X$3)))</f>
        <v/>
      </c>
      <c r="Y382" s="124" t="str">
        <f>IF($B382="","",IF(Y$3=0,"n.b.",INDEX(SRC_ZPMW03!$A$1:$ZZ$501,$A382,Y$3)))</f>
        <v/>
      </c>
      <c r="Z382" s="124" t="str">
        <f>IF($B382="","",IF(Z$3=0,"n.b.",INDEX(SRC_ZPMW03!$A$1:$ZZ$501,$A382,Z$3)))</f>
        <v/>
      </c>
      <c r="AA382" s="124" t="str">
        <f>IF($B382="","",IF(AA$3=0,"n.b.",INDEX(SRC_ZPMW03!$A$1:$ZZ$501,$A382,AA$3)))</f>
        <v/>
      </c>
      <c r="AB382" s="124" t="str">
        <f>IF($B382="","",IF(AB$3=0,"n.b.",INDEX(SRC_ZPMW03!$A$1:$ZZ$501,$A382,AB$3)))</f>
        <v/>
      </c>
      <c r="AC382" s="124" t="str">
        <f>IF($B382="","",IF(AC$3=0,"n.b.",INDEX(SRC_ZPMW03!$A$1:$ZZ$501,$A382,AC$3)))</f>
        <v/>
      </c>
      <c r="AD382" s="124" t="str">
        <f>IF($B382="","",IF(AD$3=0,"n.b.",INDEX(SRC_ZPMW03!$A$1:$ZZ$501,$A382,AD$3)))</f>
        <v/>
      </c>
      <c r="AE382" s="124" t="str">
        <f>IF($B382="","",IF(AE$3=0,"n.b.",INDEX(SRC_ZPMW03!$A$1:$ZZ$501,$A382,AE$3)))</f>
        <v/>
      </c>
      <c r="AF382" s="124" t="str">
        <f>IF($B382="","",IF(AF$3=0,"n.b.",INDEX(SRC_ZPMW03!$A$1:$ZZ$501,$A382,AF$3)))</f>
        <v/>
      </c>
      <c r="AG382" s="124" t="str">
        <f>IF($B382="","",IF(AG$3=0,"n.b.",INDEX(SRC_ZPMW03!$A$1:$ZZ$501,$A382,AG$3)))</f>
        <v/>
      </c>
      <c r="AH382" s="124" t="str">
        <f>IF($B382="","",IF(AH$3=0,"n.b.",INDEX(SRC_ZPMW03!$A$1:$ZZ$501,$A382,AH$3)))</f>
        <v/>
      </c>
      <c r="AI382" s="124" t="str">
        <f>IF($B382="","",IF(AI$3=0,"n.b.",INDEX(SRC_ZPMW03!$A$1:$ZZ$501,$A382,AI$3)))</f>
        <v/>
      </c>
      <c r="AJ382" s="124" t="str">
        <f>IF($B382="","",IF(AJ$3=0,"n.b.",INDEX(SRC_ZPMW03!$A$1:$ZZ$501,$A382,AJ$3)))</f>
        <v/>
      </c>
      <c r="AK382" s="124" t="str">
        <f>IF($B382="","",IF(AK$3=0,"n.b.",INDEX(SRC_ZPMW03!$A$1:$ZZ$501,$A382,AK$3)))</f>
        <v/>
      </c>
      <c r="AL382" s="124" t="str">
        <f>IF($B382="","",IF(AL$3=0,"n.b.",INDEX(SRC_ZPMW03!$A$1:$ZZ$501,$A382,AL$3)))</f>
        <v/>
      </c>
      <c r="AM382" s="124" t="str">
        <f>IF($B382="","",IF(AM$3=0,"n.b.",INDEX(SRC_ZPMW03!$A$1:$ZZ$501,$A382,AM$3)))</f>
        <v/>
      </c>
      <c r="AN382" s="124" t="str">
        <f>IF($B382="","",IF(AN$3=0,"n.b.",INDEX(SRC_ZPMW03!$A$1:$ZZ$501,$A382,AN$3)))</f>
        <v/>
      </c>
      <c r="AO382" s="124" t="str">
        <f>IF($B382="","",IF(AO$3=0,"n.b.",INDEX(SRC_ZPMW03!$A$1:$ZZ$501,$A382,AO$3)))</f>
        <v/>
      </c>
      <c r="AP382" s="124" t="str">
        <f>IF($B382="","",IF(AP$3=0,"n.b.",INDEX(SRC_ZPMW03!$A$1:$ZZ$501,$A382,AP$3)))</f>
        <v/>
      </c>
      <c r="AQ382" s="124" t="str">
        <f>IF($B382="","",IF(AQ$3=0,"n.b.",INDEX(SRC_ZPMW03!$A$1:$ZZ$501,$A382,AQ$3)))</f>
        <v/>
      </c>
      <c r="AR382" s="124" t="str">
        <f>IF($B382="","",IF(AR$3=0,"n.b.",INDEX(SRC_ZPMW03!$A$1:$ZZ$501,$A382,AR$3)))</f>
        <v/>
      </c>
      <c r="AS382" s="124" t="str">
        <f>IF($B382="","",IF(AS$3=0,"n.b.",INDEX(SRC_ZPMW03!$A$1:$ZZ$501,$A382,AS$3)))</f>
        <v/>
      </c>
      <c r="AT382" s="124" t="str">
        <f>IF($B382="","",IF(AT$3=0,"n.b.",INDEX(SRC_ZPMW03!$A$1:$ZZ$501,$A382,AT$3)))</f>
        <v/>
      </c>
      <c r="AU382" s="124" t="str">
        <f>IF($B382="","",IF(AU$3=0,"n.b.",INDEX(SRC_ZPMW03!$A$1:$ZZ$501,$A382,AU$3)))</f>
        <v/>
      </c>
      <c r="AV382" s="124" t="str">
        <f>IF($B382="","",IF(AV$3=0,"n.b.",INDEX(SRC_ZPMW03!$A$1:$ZZ$501,$A382,AV$3)))</f>
        <v/>
      </c>
      <c r="AW382" s="124" t="str">
        <f>IF($B382="","",IF(AW$3=0,"n.b.",INDEX(SRC_ZPMW03!$A$1:$ZZ$501,$A382,AW$3)))</f>
        <v/>
      </c>
      <c r="AX382" s="124" t="str">
        <f>IF($B382="","",IF(AX$3=0,"n.b.",INDEX(SRC_ZPMW03!$A$1:$ZZ$501,$A382,AX$3)))</f>
        <v/>
      </c>
      <c r="AY382" s="124" t="str">
        <f>IF($B382="","",IF(AY$3=0,"n.b.",INDEX(SRC_ZPMW03!$A$1:$ZZ$501,$A382,AY$3)))</f>
        <v/>
      </c>
      <c r="AZ382" s="124" t="str">
        <f>IF($B382="","",IF(AZ$3=0,"n.b.",INDEX(SRC_ZPMW03!$A$1:$ZZ$501,$A382,AZ$3)))</f>
        <v/>
      </c>
      <c r="BA382" s="124" t="str">
        <f>IF($B382="","",IF(BA$3=0,"n.b.",INDEX(SRC_ZPMW03!$A$1:$ZZ$501,$A382,BA$3)))</f>
        <v/>
      </c>
      <c r="BB382" s="124" t="str">
        <f>IF($B382="","",IF(BB$3=0,"n.b.",INDEX(SRC_ZPMW03!$A$1:$ZZ$501,$A382,BB$3)))</f>
        <v/>
      </c>
      <c r="BC382" s="124" t="str">
        <f>IF($B382="","",IF(BC$3=0,"n.b.",INDEX(SRC_ZPMW03!$A$1:$ZZ$501,$A382,BC$3)))</f>
        <v/>
      </c>
      <c r="BD382" s="124" t="str">
        <f>IF($B382="","",IF(BD$3=0,"n.b.",INDEX(SRC_ZPMW03!$A$1:$ZZ$501,$A382,BD$3)))</f>
        <v/>
      </c>
      <c r="BE382" s="124" t="str">
        <f>IF($B382="","",IF(BE$3=0,"n.b.",INDEX(SRC_ZPMW03!$A$1:$ZZ$501,$A382,BE$3)))</f>
        <v/>
      </c>
      <c r="BF382" s="124" t="str">
        <f>IF($B382="","",IF(BF$3=0,"n.b.",INDEX(SRC_ZPMW03!$A$1:$ZZ$501,$A382,BF$3)))</f>
        <v/>
      </c>
      <c r="BG382" t="str">
        <f>IF($B382="","",IF(BG$3=0,"n.b.",INDEX(SRC_ZPMW03!$A$1:$ZZ$501,$A382,BG$3)))</f>
        <v/>
      </c>
      <c r="BH382" t="str">
        <f>IF($B382="","",IF(BH$3=0,"n.b.",INDEX(SRC_ZPMW03!$A$1:$ZZ$501,$A382,BH$3)))</f>
        <v/>
      </c>
      <c r="BI382" t="str">
        <f>IF($B382="","",IF(BI$3=0,"n.b.",INDEX(SRC_ZPMW03!$A$1:$ZZ$501,$A382,BI$3)))</f>
        <v/>
      </c>
      <c r="BJ382" t="str">
        <f>IF($B382="","",IF(BJ$3=0,"n.b.",INDEX(SRC_ZPMW03!$A$1:$ZZ$501,$A382,BJ$3)))</f>
        <v/>
      </c>
      <c r="BK382" s="124" t="str">
        <f>IF($B382="","",IFERROR(-O382,"n.b."))</f>
        <v/>
      </c>
      <c r="BL382" s="124" t="str">
        <f>IF($B382="","",IFERROR(-Q382,"n.b."))</f>
        <v/>
      </c>
      <c r="BM382" s="124" t="str">
        <f>IF($B382="","",IFERROR(-AB382,"n.b."))</f>
        <v/>
      </c>
      <c r="BN382" s="124" t="str">
        <f>IF($B382="","",IFERROR(-AD382,"n.b."))</f>
        <v/>
      </c>
      <c r="BO382" s="124" t="str">
        <f>IF($B382="","",IFERROR(BK382+BM382,"n.b."))</f>
        <v/>
      </c>
      <c r="BP382" s="124" t="str">
        <f>IF($B382="","",IFERROR(BL382+BN382,"n.b."))</f>
        <v/>
      </c>
      <c r="BQ382" s="124" t="str">
        <f>IF($B382="","",IFERROR(-AM382,"n.b."))</f>
        <v/>
      </c>
      <c r="BR382" s="124" t="str">
        <f>IF($B382="","",IFERROR(-AO382,"n.b."))</f>
        <v/>
      </c>
      <c r="BS382" s="124" t="str">
        <f>IF($B382="","",IFERROR(-Z382,"n.b."))</f>
        <v/>
      </c>
      <c r="BT382" s="124" t="str">
        <f>IF($B382="","",IFERROR(-AA382,"n.b."))</f>
        <v/>
      </c>
      <c r="BU382" s="124" t="str">
        <f>IF($B382="","",IFERROR(-AE382,"n.b."))</f>
        <v/>
      </c>
      <c r="BV382" s="124" t="str">
        <f>IF($B382="","",IFERROR(-AF382,"n.b."))</f>
        <v/>
      </c>
      <c r="BW382" s="124" t="str">
        <f>IF($B382="","",IFERROR(-AG382,"n.b."))</f>
        <v/>
      </c>
      <c r="BX382" s="124" t="str">
        <f>IF($B382="","",IFERROR(-AH382,"n.b."))</f>
        <v/>
      </c>
      <c r="BY382" s="124" t="str">
        <f>IF($B382="","",IFERROR(-AI382,"n.b."))</f>
        <v/>
      </c>
      <c r="BZ382" s="124" t="str">
        <f>IF($B382="","",IFERROR(-AJ382,"n.b."))</f>
        <v/>
      </c>
      <c r="CA382" s="124" t="str">
        <f>IF($B382="","",IFERROR(-AK382,"n.b."))</f>
        <v/>
      </c>
      <c r="CB382" s="124" t="str">
        <f>IF($B382="","",IFERROR(-AL382,"n.b."))</f>
        <v/>
      </c>
      <c r="CC382" s="124" t="str">
        <f>IF($B382="","",IFERROR(-AP382,"n.b."))</f>
        <v/>
      </c>
      <c r="CD382" s="124" t="str">
        <f>IF($B382="","",IFERROR(-AQ382,"n.b."))</f>
        <v/>
      </c>
      <c r="CE382" s="124" t="str">
        <f>IF($B382="","",IFERROR(-AR382,"n.b."))</f>
        <v/>
      </c>
      <c r="CF382" s="124" t="str">
        <f>IF($B382="","",IFERROR(-AS382,"n.b."))</f>
        <v/>
      </c>
      <c r="CG382" s="124" t="str">
        <f>IF($B382="","",IFERROR(-AT382,"n.b."))</f>
        <v/>
      </c>
      <c r="CH382" s="124" t="str">
        <f>IF($B382="","",IFERROR(-AU382,"n.b."))</f>
        <v/>
      </c>
      <c r="CI382" s="124" t="str">
        <f>IF($B382="","",IFERROR(-AV382,"n.b."))</f>
        <v/>
      </c>
      <c r="CJ382" s="124" t="str">
        <f>IF($B382="","",IFERROR(-AW382,"n.b."))</f>
        <v/>
      </c>
      <c r="CK382" s="124" t="str">
        <f>IF($B382="","",IFERROR(-AX382,"n.b."))</f>
        <v/>
      </c>
      <c r="CL382" s="124" t="str">
        <f>IF($B382="","",IFERROR(-AY382,"n.b."))</f>
        <v/>
      </c>
      <c r="CM382" s="124" t="str">
        <f>IF($B382="","",IFERROR(-AZ382,"n.b."))</f>
        <v/>
      </c>
      <c r="CN382" s="124" t="str">
        <f>IF($B382="","",IFERROR(-BA382,"n.b."))</f>
        <v/>
      </c>
      <c r="CO382" s="124" t="str">
        <f>IF($B382="","",IFERROR(-BB382,"n.b."))</f>
        <v/>
      </c>
      <c r="CP382" s="124" t="str">
        <f>IF($B382="","",IFERROR(-BC382,"n.b."))</f>
        <v/>
      </c>
      <c r="CQ382" s="124" t="str">
        <f>IF($B382="","",IFERROR(-BD382,"n.b."))</f>
        <v/>
      </c>
      <c r="CR382" s="124" t="str">
        <f>IF($B382="","",IFERROR(-BE382,"n.b."))</f>
        <v/>
      </c>
      <c r="CS382" s="124" t="str">
        <f>IF($B382="","",IFERROR(IF(OR(ABS(T382+V382+X382+Z382-AB382)&gt;P_Tol,ABS(U382+W382+Y382+AA382-AD382)&gt;P_Tol,ABS(AE382+AG382+AI382+AK382-AM382)&gt;P_Tol,ABS(AF382+AH382+AJ382+AL382-AO382)&gt;P_Tol),1,0),1))</f>
        <v/>
      </c>
      <c r="CT382" s="124" t="str">
        <f>IF($B382="","",IFERROR(IF(OR(ABS(AB382+AC382-AD382)&gt;P_Tol,ABS(AM382+AN382-AO382)&gt;P_Tol,ABS(O382+P382-Q382)&gt;P_Tol),1,0),1))</f>
        <v/>
      </c>
      <c r="CU382" s="124" t="str">
        <f>IF($B382="","",IFERROR(IF(ABS(R382-(AB382+AM382+AP382+AR382+AT382+AV382+AX382+AZ382+BB382+BD382))&gt;P_Tol,1,0),1))</f>
        <v/>
      </c>
      <c r="CV382" s="124" t="str">
        <f>IF($B382="","",IFERROR(IF(ABS(M382-(N382+O382+R382))&gt;P_Tol,1,0),1))</f>
        <v/>
      </c>
      <c r="CW382" s="124" t="str">
        <f>IF($B382="","",IF(COUNTIF(Mapping!$A$5:$A$104,B382)&gt;0,1,0))</f>
        <v/>
      </c>
      <c r="CX382" s="124" t="str">
        <f>IF($B382="","",COUNTIF($B$6:$B$505,B382))</f>
        <v/>
      </c>
      <c r="CY382" s="124" t="str">
        <f>IF($B382="","",COUNTIF(STG_Woningetalage!$B$6:$B$505,B382))</f>
        <v/>
      </c>
      <c r="CZ382" s="124" t="str">
        <f>IF($B382="","",IF(CW382=0,COUNTIF($CW$6:CW382,0),""))</f>
        <v/>
      </c>
    </row>
    <row r="383">
      <c r="A383" s="15" t="n">
        <v>379</v>
      </c>
      <c r="B383" t="str">
        <f>IF(B$3=0,"",IF(INDEX(SRC_ZPMW03!$A$1:$ZZ$501,$A383,B$3)&amp;""="","",INDEX(SRC_ZPMW03!$A$1:$ZZ$501,$A383,B$3)&amp;""))</f>
        <v/>
      </c>
      <c r="C383" t="str">
        <f>IF($B383="","",IF(C$3=0,"n.b.",INDEX(SRC_ZPMW03!$A$1:$ZZ$501,$A383,C$3)))</f>
        <v/>
      </c>
      <c r="D383" t="str">
        <f>IF($B383="","",IF(D$3=0,"n.b.",INDEX(SRC_ZPMW03!$A$1:$ZZ$501,$A383,D$3)))</f>
        <v/>
      </c>
      <c r="E383" t="str">
        <f>IF($B383="","",IF(E$3=0,"n.b.",INDEX(SRC_ZPMW03!$A$1:$ZZ$501,$A383,E$3)))</f>
        <v/>
      </c>
      <c r="F383" t="str">
        <f>IF($B383="","",IF(F$3=0,"n.b.",INDEX(SRC_ZPMW03!$A$1:$ZZ$501,$A383,F$3)))</f>
        <v/>
      </c>
      <c r="G383" t="str">
        <f>IF($B383="","",IF(G$3=0,"n.b.",INDEX(SRC_ZPMW03!$A$1:$ZZ$501,$A383,G$3)))</f>
        <v/>
      </c>
      <c r="H383" t="str">
        <f>IF($B383="","",IF(H$3=0,"n.b.",INDEX(SRC_ZPMW03!$A$1:$ZZ$501,$A383,H$3)))</f>
        <v/>
      </c>
      <c r="I383" t="str">
        <f>IF($B383="","",IF(I$3=0,"n.b.",INDEX(SRC_ZPMW03!$A$1:$ZZ$501,$A383,I$3)))</f>
        <v/>
      </c>
      <c r="J383" t="str">
        <f>IF($B383="","",IF(J$3=0,"n.b.",INDEX(SRC_ZPMW03!$A$1:$ZZ$501,$A383,J$3)))</f>
        <v/>
      </c>
      <c r="K383" t="str">
        <f>IF($B383="","",IF(K$3=0,"n.b.",INDEX(SRC_ZPMW03!$A$1:$ZZ$501,$A383,K$3)))</f>
        <v/>
      </c>
      <c r="L383" s="124" t="str">
        <f>IF($B383="","",IF(L$3=0,"n.b.",INDEX(SRC_ZPMW03!$A$1:$ZZ$501,$A383,L$3)))</f>
        <v/>
      </c>
      <c r="M383" s="124" t="str">
        <f>IF($B383="","",IF(M$3=0,"n.b.",INDEX(SRC_ZPMW03!$A$1:$ZZ$501,$A383,M$3)))</f>
        <v/>
      </c>
      <c r="N383" s="124" t="str">
        <f>IF($B383="","",IF(N$3=0,"n.b.",INDEX(SRC_ZPMW03!$A$1:$ZZ$501,$A383,N$3)))</f>
        <v/>
      </c>
      <c r="O383" s="124" t="str">
        <f>IF($B383="","",IF(O$3=0,"n.b.",INDEX(SRC_ZPMW03!$A$1:$ZZ$501,$A383,O$3)))</f>
        <v/>
      </c>
      <c r="P383" s="124" t="str">
        <f>IF($B383="","",IF(P$3=0,"n.b.",INDEX(SRC_ZPMW03!$A$1:$ZZ$501,$A383,P$3)))</f>
        <v/>
      </c>
      <c r="Q383" s="124" t="str">
        <f>IF($B383="","",IF(Q$3=0,"n.b.",INDEX(SRC_ZPMW03!$A$1:$ZZ$501,$A383,Q$3)))</f>
        <v/>
      </c>
      <c r="R383" s="124" t="str">
        <f>IF($B383="","",IF(R$3=0,"n.b.",INDEX(SRC_ZPMW03!$A$1:$ZZ$501,$A383,R$3)))</f>
        <v/>
      </c>
      <c r="S383" s="124" t="str">
        <f>IF($B383="","",IF(S$3=0,"n.b.",INDEX(SRC_ZPMW03!$A$1:$ZZ$501,$A383,S$3)))</f>
        <v/>
      </c>
      <c r="T383" s="124" t="str">
        <f>IF($B383="","",IF(T$3=0,"n.b.",INDEX(SRC_ZPMW03!$A$1:$ZZ$501,$A383,T$3)))</f>
        <v/>
      </c>
      <c r="U383" s="124" t="str">
        <f>IF($B383="","",IF(U$3=0,"n.b.",INDEX(SRC_ZPMW03!$A$1:$ZZ$501,$A383,U$3)))</f>
        <v/>
      </c>
      <c r="V383" s="124" t="str">
        <f>IF($B383="","",IF(V$3=0,"n.b.",INDEX(SRC_ZPMW03!$A$1:$ZZ$501,$A383,V$3)))</f>
        <v/>
      </c>
      <c r="W383" s="124" t="str">
        <f>IF($B383="","",IF(W$3=0,"n.b.",INDEX(SRC_ZPMW03!$A$1:$ZZ$501,$A383,W$3)))</f>
        <v/>
      </c>
      <c r="X383" s="124" t="str">
        <f>IF($B383="","",IF(X$3=0,"n.b.",INDEX(SRC_ZPMW03!$A$1:$ZZ$501,$A383,X$3)))</f>
        <v/>
      </c>
      <c r="Y383" s="124" t="str">
        <f>IF($B383="","",IF(Y$3=0,"n.b.",INDEX(SRC_ZPMW03!$A$1:$ZZ$501,$A383,Y$3)))</f>
        <v/>
      </c>
      <c r="Z383" s="124" t="str">
        <f>IF($B383="","",IF(Z$3=0,"n.b.",INDEX(SRC_ZPMW03!$A$1:$ZZ$501,$A383,Z$3)))</f>
        <v/>
      </c>
      <c r="AA383" s="124" t="str">
        <f>IF($B383="","",IF(AA$3=0,"n.b.",INDEX(SRC_ZPMW03!$A$1:$ZZ$501,$A383,AA$3)))</f>
        <v/>
      </c>
      <c r="AB383" s="124" t="str">
        <f>IF($B383="","",IF(AB$3=0,"n.b.",INDEX(SRC_ZPMW03!$A$1:$ZZ$501,$A383,AB$3)))</f>
        <v/>
      </c>
      <c r="AC383" s="124" t="str">
        <f>IF($B383="","",IF(AC$3=0,"n.b.",INDEX(SRC_ZPMW03!$A$1:$ZZ$501,$A383,AC$3)))</f>
        <v/>
      </c>
      <c r="AD383" s="124" t="str">
        <f>IF($B383="","",IF(AD$3=0,"n.b.",INDEX(SRC_ZPMW03!$A$1:$ZZ$501,$A383,AD$3)))</f>
        <v/>
      </c>
      <c r="AE383" s="124" t="str">
        <f>IF($B383="","",IF(AE$3=0,"n.b.",INDEX(SRC_ZPMW03!$A$1:$ZZ$501,$A383,AE$3)))</f>
        <v/>
      </c>
      <c r="AF383" s="124" t="str">
        <f>IF($B383="","",IF(AF$3=0,"n.b.",INDEX(SRC_ZPMW03!$A$1:$ZZ$501,$A383,AF$3)))</f>
        <v/>
      </c>
      <c r="AG383" s="124" t="str">
        <f>IF($B383="","",IF(AG$3=0,"n.b.",INDEX(SRC_ZPMW03!$A$1:$ZZ$501,$A383,AG$3)))</f>
        <v/>
      </c>
      <c r="AH383" s="124" t="str">
        <f>IF($B383="","",IF(AH$3=0,"n.b.",INDEX(SRC_ZPMW03!$A$1:$ZZ$501,$A383,AH$3)))</f>
        <v/>
      </c>
      <c r="AI383" s="124" t="str">
        <f>IF($B383="","",IF(AI$3=0,"n.b.",INDEX(SRC_ZPMW03!$A$1:$ZZ$501,$A383,AI$3)))</f>
        <v/>
      </c>
      <c r="AJ383" s="124" t="str">
        <f>IF($B383="","",IF(AJ$3=0,"n.b.",INDEX(SRC_ZPMW03!$A$1:$ZZ$501,$A383,AJ$3)))</f>
        <v/>
      </c>
      <c r="AK383" s="124" t="str">
        <f>IF($B383="","",IF(AK$3=0,"n.b.",INDEX(SRC_ZPMW03!$A$1:$ZZ$501,$A383,AK$3)))</f>
        <v/>
      </c>
      <c r="AL383" s="124" t="str">
        <f>IF($B383="","",IF(AL$3=0,"n.b.",INDEX(SRC_ZPMW03!$A$1:$ZZ$501,$A383,AL$3)))</f>
        <v/>
      </c>
      <c r="AM383" s="124" t="str">
        <f>IF($B383="","",IF(AM$3=0,"n.b.",INDEX(SRC_ZPMW03!$A$1:$ZZ$501,$A383,AM$3)))</f>
        <v/>
      </c>
      <c r="AN383" s="124" t="str">
        <f>IF($B383="","",IF(AN$3=0,"n.b.",INDEX(SRC_ZPMW03!$A$1:$ZZ$501,$A383,AN$3)))</f>
        <v/>
      </c>
      <c r="AO383" s="124" t="str">
        <f>IF($B383="","",IF(AO$3=0,"n.b.",INDEX(SRC_ZPMW03!$A$1:$ZZ$501,$A383,AO$3)))</f>
        <v/>
      </c>
      <c r="AP383" s="124" t="str">
        <f>IF($B383="","",IF(AP$3=0,"n.b.",INDEX(SRC_ZPMW03!$A$1:$ZZ$501,$A383,AP$3)))</f>
        <v/>
      </c>
      <c r="AQ383" s="124" t="str">
        <f>IF($B383="","",IF(AQ$3=0,"n.b.",INDEX(SRC_ZPMW03!$A$1:$ZZ$501,$A383,AQ$3)))</f>
        <v/>
      </c>
      <c r="AR383" s="124" t="str">
        <f>IF($B383="","",IF(AR$3=0,"n.b.",INDEX(SRC_ZPMW03!$A$1:$ZZ$501,$A383,AR$3)))</f>
        <v/>
      </c>
      <c r="AS383" s="124" t="str">
        <f>IF($B383="","",IF(AS$3=0,"n.b.",INDEX(SRC_ZPMW03!$A$1:$ZZ$501,$A383,AS$3)))</f>
        <v/>
      </c>
      <c r="AT383" s="124" t="str">
        <f>IF($B383="","",IF(AT$3=0,"n.b.",INDEX(SRC_ZPMW03!$A$1:$ZZ$501,$A383,AT$3)))</f>
        <v/>
      </c>
      <c r="AU383" s="124" t="str">
        <f>IF($B383="","",IF(AU$3=0,"n.b.",INDEX(SRC_ZPMW03!$A$1:$ZZ$501,$A383,AU$3)))</f>
        <v/>
      </c>
      <c r="AV383" s="124" t="str">
        <f>IF($B383="","",IF(AV$3=0,"n.b.",INDEX(SRC_ZPMW03!$A$1:$ZZ$501,$A383,AV$3)))</f>
        <v/>
      </c>
      <c r="AW383" s="124" t="str">
        <f>IF($B383="","",IF(AW$3=0,"n.b.",INDEX(SRC_ZPMW03!$A$1:$ZZ$501,$A383,AW$3)))</f>
        <v/>
      </c>
      <c r="AX383" s="124" t="str">
        <f>IF($B383="","",IF(AX$3=0,"n.b.",INDEX(SRC_ZPMW03!$A$1:$ZZ$501,$A383,AX$3)))</f>
        <v/>
      </c>
      <c r="AY383" s="124" t="str">
        <f>IF($B383="","",IF(AY$3=0,"n.b.",INDEX(SRC_ZPMW03!$A$1:$ZZ$501,$A383,AY$3)))</f>
        <v/>
      </c>
      <c r="AZ383" s="124" t="str">
        <f>IF($B383="","",IF(AZ$3=0,"n.b.",INDEX(SRC_ZPMW03!$A$1:$ZZ$501,$A383,AZ$3)))</f>
        <v/>
      </c>
      <c r="BA383" s="124" t="str">
        <f>IF($B383="","",IF(BA$3=0,"n.b.",INDEX(SRC_ZPMW03!$A$1:$ZZ$501,$A383,BA$3)))</f>
        <v/>
      </c>
      <c r="BB383" s="124" t="str">
        <f>IF($B383="","",IF(BB$3=0,"n.b.",INDEX(SRC_ZPMW03!$A$1:$ZZ$501,$A383,BB$3)))</f>
        <v/>
      </c>
      <c r="BC383" s="124" t="str">
        <f>IF($B383="","",IF(BC$3=0,"n.b.",INDEX(SRC_ZPMW03!$A$1:$ZZ$501,$A383,BC$3)))</f>
        <v/>
      </c>
      <c r="BD383" s="124" t="str">
        <f>IF($B383="","",IF(BD$3=0,"n.b.",INDEX(SRC_ZPMW03!$A$1:$ZZ$501,$A383,BD$3)))</f>
        <v/>
      </c>
      <c r="BE383" s="124" t="str">
        <f>IF($B383="","",IF(BE$3=0,"n.b.",INDEX(SRC_ZPMW03!$A$1:$ZZ$501,$A383,BE$3)))</f>
        <v/>
      </c>
      <c r="BF383" s="124" t="str">
        <f>IF($B383="","",IF(BF$3=0,"n.b.",INDEX(SRC_ZPMW03!$A$1:$ZZ$501,$A383,BF$3)))</f>
        <v/>
      </c>
      <c r="BG383" t="str">
        <f>IF($B383="","",IF(BG$3=0,"n.b.",INDEX(SRC_ZPMW03!$A$1:$ZZ$501,$A383,BG$3)))</f>
        <v/>
      </c>
      <c r="BH383" t="str">
        <f>IF($B383="","",IF(BH$3=0,"n.b.",INDEX(SRC_ZPMW03!$A$1:$ZZ$501,$A383,BH$3)))</f>
        <v/>
      </c>
      <c r="BI383" t="str">
        <f>IF($B383="","",IF(BI$3=0,"n.b.",INDEX(SRC_ZPMW03!$A$1:$ZZ$501,$A383,BI$3)))</f>
        <v/>
      </c>
      <c r="BJ383" t="str">
        <f>IF($B383="","",IF(BJ$3=0,"n.b.",INDEX(SRC_ZPMW03!$A$1:$ZZ$501,$A383,BJ$3)))</f>
        <v/>
      </c>
      <c r="BK383" s="124" t="str">
        <f>IF($B383="","",IFERROR(-O383,"n.b."))</f>
        <v/>
      </c>
      <c r="BL383" s="124" t="str">
        <f>IF($B383="","",IFERROR(-Q383,"n.b."))</f>
        <v/>
      </c>
      <c r="BM383" s="124" t="str">
        <f>IF($B383="","",IFERROR(-AB383,"n.b."))</f>
        <v/>
      </c>
      <c r="BN383" s="124" t="str">
        <f>IF($B383="","",IFERROR(-AD383,"n.b."))</f>
        <v/>
      </c>
      <c r="BO383" s="124" t="str">
        <f>IF($B383="","",IFERROR(BK383+BM383,"n.b."))</f>
        <v/>
      </c>
      <c r="BP383" s="124" t="str">
        <f>IF($B383="","",IFERROR(BL383+BN383,"n.b."))</f>
        <v/>
      </c>
      <c r="BQ383" s="124" t="str">
        <f>IF($B383="","",IFERROR(-AM383,"n.b."))</f>
        <v/>
      </c>
      <c r="BR383" s="124" t="str">
        <f>IF($B383="","",IFERROR(-AO383,"n.b."))</f>
        <v/>
      </c>
      <c r="BS383" s="124" t="str">
        <f>IF($B383="","",IFERROR(-Z383,"n.b."))</f>
        <v/>
      </c>
      <c r="BT383" s="124" t="str">
        <f>IF($B383="","",IFERROR(-AA383,"n.b."))</f>
        <v/>
      </c>
      <c r="BU383" s="124" t="str">
        <f>IF($B383="","",IFERROR(-AE383,"n.b."))</f>
        <v/>
      </c>
      <c r="BV383" s="124" t="str">
        <f>IF($B383="","",IFERROR(-AF383,"n.b."))</f>
        <v/>
      </c>
      <c r="BW383" s="124" t="str">
        <f>IF($B383="","",IFERROR(-AG383,"n.b."))</f>
        <v/>
      </c>
      <c r="BX383" s="124" t="str">
        <f>IF($B383="","",IFERROR(-AH383,"n.b."))</f>
        <v/>
      </c>
      <c r="BY383" s="124" t="str">
        <f>IF($B383="","",IFERROR(-AI383,"n.b."))</f>
        <v/>
      </c>
      <c r="BZ383" s="124" t="str">
        <f>IF($B383="","",IFERROR(-AJ383,"n.b."))</f>
        <v/>
      </c>
      <c r="CA383" s="124" t="str">
        <f>IF($B383="","",IFERROR(-AK383,"n.b."))</f>
        <v/>
      </c>
      <c r="CB383" s="124" t="str">
        <f>IF($B383="","",IFERROR(-AL383,"n.b."))</f>
        <v/>
      </c>
      <c r="CC383" s="124" t="str">
        <f>IF($B383="","",IFERROR(-AP383,"n.b."))</f>
        <v/>
      </c>
      <c r="CD383" s="124" t="str">
        <f>IF($B383="","",IFERROR(-AQ383,"n.b."))</f>
        <v/>
      </c>
      <c r="CE383" s="124" t="str">
        <f>IF($B383="","",IFERROR(-AR383,"n.b."))</f>
        <v/>
      </c>
      <c r="CF383" s="124" t="str">
        <f>IF($B383="","",IFERROR(-AS383,"n.b."))</f>
        <v/>
      </c>
      <c r="CG383" s="124" t="str">
        <f>IF($B383="","",IFERROR(-AT383,"n.b."))</f>
        <v/>
      </c>
      <c r="CH383" s="124" t="str">
        <f>IF($B383="","",IFERROR(-AU383,"n.b."))</f>
        <v/>
      </c>
      <c r="CI383" s="124" t="str">
        <f>IF($B383="","",IFERROR(-AV383,"n.b."))</f>
        <v/>
      </c>
      <c r="CJ383" s="124" t="str">
        <f>IF($B383="","",IFERROR(-AW383,"n.b."))</f>
        <v/>
      </c>
      <c r="CK383" s="124" t="str">
        <f>IF($B383="","",IFERROR(-AX383,"n.b."))</f>
        <v/>
      </c>
      <c r="CL383" s="124" t="str">
        <f>IF($B383="","",IFERROR(-AY383,"n.b."))</f>
        <v/>
      </c>
      <c r="CM383" s="124" t="str">
        <f>IF($B383="","",IFERROR(-AZ383,"n.b."))</f>
        <v/>
      </c>
      <c r="CN383" s="124" t="str">
        <f>IF($B383="","",IFERROR(-BA383,"n.b."))</f>
        <v/>
      </c>
      <c r="CO383" s="124" t="str">
        <f>IF($B383="","",IFERROR(-BB383,"n.b."))</f>
        <v/>
      </c>
      <c r="CP383" s="124" t="str">
        <f>IF($B383="","",IFERROR(-BC383,"n.b."))</f>
        <v/>
      </c>
      <c r="CQ383" s="124" t="str">
        <f>IF($B383="","",IFERROR(-BD383,"n.b."))</f>
        <v/>
      </c>
      <c r="CR383" s="124" t="str">
        <f>IF($B383="","",IFERROR(-BE383,"n.b."))</f>
        <v/>
      </c>
      <c r="CS383" s="124" t="str">
        <f>IF($B383="","",IFERROR(IF(OR(ABS(T383+V383+X383+Z383-AB383)&gt;P_Tol,ABS(U383+W383+Y383+AA383-AD383)&gt;P_Tol,ABS(AE383+AG383+AI383+AK383-AM383)&gt;P_Tol,ABS(AF383+AH383+AJ383+AL383-AO383)&gt;P_Tol),1,0),1))</f>
        <v/>
      </c>
      <c r="CT383" s="124" t="str">
        <f>IF($B383="","",IFERROR(IF(OR(ABS(AB383+AC383-AD383)&gt;P_Tol,ABS(AM383+AN383-AO383)&gt;P_Tol,ABS(O383+P383-Q383)&gt;P_Tol),1,0),1))</f>
        <v/>
      </c>
      <c r="CU383" s="124" t="str">
        <f>IF($B383="","",IFERROR(IF(ABS(R383-(AB383+AM383+AP383+AR383+AT383+AV383+AX383+AZ383+BB383+BD383))&gt;P_Tol,1,0),1))</f>
        <v/>
      </c>
      <c r="CV383" s="124" t="str">
        <f>IF($B383="","",IFERROR(IF(ABS(M383-(N383+O383+R383))&gt;P_Tol,1,0),1))</f>
        <v/>
      </c>
      <c r="CW383" s="124" t="str">
        <f>IF($B383="","",IF(COUNTIF(Mapping!$A$5:$A$104,B383)&gt;0,1,0))</f>
        <v/>
      </c>
      <c r="CX383" s="124" t="str">
        <f>IF($B383="","",COUNTIF($B$6:$B$505,B383))</f>
        <v/>
      </c>
      <c r="CY383" s="124" t="str">
        <f>IF($B383="","",COUNTIF(STG_Woningetalage!$B$6:$B$505,B383))</f>
        <v/>
      </c>
      <c r="CZ383" s="124" t="str">
        <f>IF($B383="","",IF(CW383=0,COUNTIF($CW$6:CW383,0),""))</f>
        <v/>
      </c>
    </row>
    <row r="384">
      <c r="A384" s="15" t="n">
        <v>380</v>
      </c>
      <c r="B384" t="str">
        <f>IF(B$3=0,"",IF(INDEX(SRC_ZPMW03!$A$1:$ZZ$501,$A384,B$3)&amp;""="","",INDEX(SRC_ZPMW03!$A$1:$ZZ$501,$A384,B$3)&amp;""))</f>
        <v/>
      </c>
      <c r="C384" t="str">
        <f>IF($B384="","",IF(C$3=0,"n.b.",INDEX(SRC_ZPMW03!$A$1:$ZZ$501,$A384,C$3)))</f>
        <v/>
      </c>
      <c r="D384" t="str">
        <f>IF($B384="","",IF(D$3=0,"n.b.",INDEX(SRC_ZPMW03!$A$1:$ZZ$501,$A384,D$3)))</f>
        <v/>
      </c>
      <c r="E384" t="str">
        <f>IF($B384="","",IF(E$3=0,"n.b.",INDEX(SRC_ZPMW03!$A$1:$ZZ$501,$A384,E$3)))</f>
        <v/>
      </c>
      <c r="F384" t="str">
        <f>IF($B384="","",IF(F$3=0,"n.b.",INDEX(SRC_ZPMW03!$A$1:$ZZ$501,$A384,F$3)))</f>
        <v/>
      </c>
      <c r="G384" t="str">
        <f>IF($B384="","",IF(G$3=0,"n.b.",INDEX(SRC_ZPMW03!$A$1:$ZZ$501,$A384,G$3)))</f>
        <v/>
      </c>
      <c r="H384" t="str">
        <f>IF($B384="","",IF(H$3=0,"n.b.",INDEX(SRC_ZPMW03!$A$1:$ZZ$501,$A384,H$3)))</f>
        <v/>
      </c>
      <c r="I384" t="str">
        <f>IF($B384="","",IF(I$3=0,"n.b.",INDEX(SRC_ZPMW03!$A$1:$ZZ$501,$A384,I$3)))</f>
        <v/>
      </c>
      <c r="J384" t="str">
        <f>IF($B384="","",IF(J$3=0,"n.b.",INDEX(SRC_ZPMW03!$A$1:$ZZ$501,$A384,J$3)))</f>
        <v/>
      </c>
      <c r="K384" t="str">
        <f>IF($B384="","",IF(K$3=0,"n.b.",INDEX(SRC_ZPMW03!$A$1:$ZZ$501,$A384,K$3)))</f>
        <v/>
      </c>
      <c r="L384" s="124" t="str">
        <f>IF($B384="","",IF(L$3=0,"n.b.",INDEX(SRC_ZPMW03!$A$1:$ZZ$501,$A384,L$3)))</f>
        <v/>
      </c>
      <c r="M384" s="124" t="str">
        <f>IF($B384="","",IF(M$3=0,"n.b.",INDEX(SRC_ZPMW03!$A$1:$ZZ$501,$A384,M$3)))</f>
        <v/>
      </c>
      <c r="N384" s="124" t="str">
        <f>IF($B384="","",IF(N$3=0,"n.b.",INDEX(SRC_ZPMW03!$A$1:$ZZ$501,$A384,N$3)))</f>
        <v/>
      </c>
      <c r="O384" s="124" t="str">
        <f>IF($B384="","",IF(O$3=0,"n.b.",INDEX(SRC_ZPMW03!$A$1:$ZZ$501,$A384,O$3)))</f>
        <v/>
      </c>
      <c r="P384" s="124" t="str">
        <f>IF($B384="","",IF(P$3=0,"n.b.",INDEX(SRC_ZPMW03!$A$1:$ZZ$501,$A384,P$3)))</f>
        <v/>
      </c>
      <c r="Q384" s="124" t="str">
        <f>IF($B384="","",IF(Q$3=0,"n.b.",INDEX(SRC_ZPMW03!$A$1:$ZZ$501,$A384,Q$3)))</f>
        <v/>
      </c>
      <c r="R384" s="124" t="str">
        <f>IF($B384="","",IF(R$3=0,"n.b.",INDEX(SRC_ZPMW03!$A$1:$ZZ$501,$A384,R$3)))</f>
        <v/>
      </c>
      <c r="S384" s="124" t="str">
        <f>IF($B384="","",IF(S$3=0,"n.b.",INDEX(SRC_ZPMW03!$A$1:$ZZ$501,$A384,S$3)))</f>
        <v/>
      </c>
      <c r="T384" s="124" t="str">
        <f>IF($B384="","",IF(T$3=0,"n.b.",INDEX(SRC_ZPMW03!$A$1:$ZZ$501,$A384,T$3)))</f>
        <v/>
      </c>
      <c r="U384" s="124" t="str">
        <f>IF($B384="","",IF(U$3=0,"n.b.",INDEX(SRC_ZPMW03!$A$1:$ZZ$501,$A384,U$3)))</f>
        <v/>
      </c>
      <c r="V384" s="124" t="str">
        <f>IF($B384="","",IF(V$3=0,"n.b.",INDEX(SRC_ZPMW03!$A$1:$ZZ$501,$A384,V$3)))</f>
        <v/>
      </c>
      <c r="W384" s="124" t="str">
        <f>IF($B384="","",IF(W$3=0,"n.b.",INDEX(SRC_ZPMW03!$A$1:$ZZ$501,$A384,W$3)))</f>
        <v/>
      </c>
      <c r="X384" s="124" t="str">
        <f>IF($B384="","",IF(X$3=0,"n.b.",INDEX(SRC_ZPMW03!$A$1:$ZZ$501,$A384,X$3)))</f>
        <v/>
      </c>
      <c r="Y384" s="124" t="str">
        <f>IF($B384="","",IF(Y$3=0,"n.b.",INDEX(SRC_ZPMW03!$A$1:$ZZ$501,$A384,Y$3)))</f>
        <v/>
      </c>
      <c r="Z384" s="124" t="str">
        <f>IF($B384="","",IF(Z$3=0,"n.b.",INDEX(SRC_ZPMW03!$A$1:$ZZ$501,$A384,Z$3)))</f>
        <v/>
      </c>
      <c r="AA384" s="124" t="str">
        <f>IF($B384="","",IF(AA$3=0,"n.b.",INDEX(SRC_ZPMW03!$A$1:$ZZ$501,$A384,AA$3)))</f>
        <v/>
      </c>
      <c r="AB384" s="124" t="str">
        <f>IF($B384="","",IF(AB$3=0,"n.b.",INDEX(SRC_ZPMW03!$A$1:$ZZ$501,$A384,AB$3)))</f>
        <v/>
      </c>
      <c r="AC384" s="124" t="str">
        <f>IF($B384="","",IF(AC$3=0,"n.b.",INDEX(SRC_ZPMW03!$A$1:$ZZ$501,$A384,AC$3)))</f>
        <v/>
      </c>
      <c r="AD384" s="124" t="str">
        <f>IF($B384="","",IF(AD$3=0,"n.b.",INDEX(SRC_ZPMW03!$A$1:$ZZ$501,$A384,AD$3)))</f>
        <v/>
      </c>
      <c r="AE384" s="124" t="str">
        <f>IF($B384="","",IF(AE$3=0,"n.b.",INDEX(SRC_ZPMW03!$A$1:$ZZ$501,$A384,AE$3)))</f>
        <v/>
      </c>
      <c r="AF384" s="124" t="str">
        <f>IF($B384="","",IF(AF$3=0,"n.b.",INDEX(SRC_ZPMW03!$A$1:$ZZ$501,$A384,AF$3)))</f>
        <v/>
      </c>
      <c r="AG384" s="124" t="str">
        <f>IF($B384="","",IF(AG$3=0,"n.b.",INDEX(SRC_ZPMW03!$A$1:$ZZ$501,$A384,AG$3)))</f>
        <v/>
      </c>
      <c r="AH384" s="124" t="str">
        <f>IF($B384="","",IF(AH$3=0,"n.b.",INDEX(SRC_ZPMW03!$A$1:$ZZ$501,$A384,AH$3)))</f>
        <v/>
      </c>
      <c r="AI384" s="124" t="str">
        <f>IF($B384="","",IF(AI$3=0,"n.b.",INDEX(SRC_ZPMW03!$A$1:$ZZ$501,$A384,AI$3)))</f>
        <v/>
      </c>
      <c r="AJ384" s="124" t="str">
        <f>IF($B384="","",IF(AJ$3=0,"n.b.",INDEX(SRC_ZPMW03!$A$1:$ZZ$501,$A384,AJ$3)))</f>
        <v/>
      </c>
      <c r="AK384" s="124" t="str">
        <f>IF($B384="","",IF(AK$3=0,"n.b.",INDEX(SRC_ZPMW03!$A$1:$ZZ$501,$A384,AK$3)))</f>
        <v/>
      </c>
      <c r="AL384" s="124" t="str">
        <f>IF($B384="","",IF(AL$3=0,"n.b.",INDEX(SRC_ZPMW03!$A$1:$ZZ$501,$A384,AL$3)))</f>
        <v/>
      </c>
      <c r="AM384" s="124" t="str">
        <f>IF($B384="","",IF(AM$3=0,"n.b.",INDEX(SRC_ZPMW03!$A$1:$ZZ$501,$A384,AM$3)))</f>
        <v/>
      </c>
      <c r="AN384" s="124" t="str">
        <f>IF($B384="","",IF(AN$3=0,"n.b.",INDEX(SRC_ZPMW03!$A$1:$ZZ$501,$A384,AN$3)))</f>
        <v/>
      </c>
      <c r="AO384" s="124" t="str">
        <f>IF($B384="","",IF(AO$3=0,"n.b.",INDEX(SRC_ZPMW03!$A$1:$ZZ$501,$A384,AO$3)))</f>
        <v/>
      </c>
      <c r="AP384" s="124" t="str">
        <f>IF($B384="","",IF(AP$3=0,"n.b.",INDEX(SRC_ZPMW03!$A$1:$ZZ$501,$A384,AP$3)))</f>
        <v/>
      </c>
      <c r="AQ384" s="124" t="str">
        <f>IF($B384="","",IF(AQ$3=0,"n.b.",INDEX(SRC_ZPMW03!$A$1:$ZZ$501,$A384,AQ$3)))</f>
        <v/>
      </c>
      <c r="AR384" s="124" t="str">
        <f>IF($B384="","",IF(AR$3=0,"n.b.",INDEX(SRC_ZPMW03!$A$1:$ZZ$501,$A384,AR$3)))</f>
        <v/>
      </c>
      <c r="AS384" s="124" t="str">
        <f>IF($B384="","",IF(AS$3=0,"n.b.",INDEX(SRC_ZPMW03!$A$1:$ZZ$501,$A384,AS$3)))</f>
        <v/>
      </c>
      <c r="AT384" s="124" t="str">
        <f>IF($B384="","",IF(AT$3=0,"n.b.",INDEX(SRC_ZPMW03!$A$1:$ZZ$501,$A384,AT$3)))</f>
        <v/>
      </c>
      <c r="AU384" s="124" t="str">
        <f>IF($B384="","",IF(AU$3=0,"n.b.",INDEX(SRC_ZPMW03!$A$1:$ZZ$501,$A384,AU$3)))</f>
        <v/>
      </c>
      <c r="AV384" s="124" t="str">
        <f>IF($B384="","",IF(AV$3=0,"n.b.",INDEX(SRC_ZPMW03!$A$1:$ZZ$501,$A384,AV$3)))</f>
        <v/>
      </c>
      <c r="AW384" s="124" t="str">
        <f>IF($B384="","",IF(AW$3=0,"n.b.",INDEX(SRC_ZPMW03!$A$1:$ZZ$501,$A384,AW$3)))</f>
        <v/>
      </c>
      <c r="AX384" s="124" t="str">
        <f>IF($B384="","",IF(AX$3=0,"n.b.",INDEX(SRC_ZPMW03!$A$1:$ZZ$501,$A384,AX$3)))</f>
        <v/>
      </c>
      <c r="AY384" s="124" t="str">
        <f>IF($B384="","",IF(AY$3=0,"n.b.",INDEX(SRC_ZPMW03!$A$1:$ZZ$501,$A384,AY$3)))</f>
        <v/>
      </c>
      <c r="AZ384" s="124" t="str">
        <f>IF($B384="","",IF(AZ$3=0,"n.b.",INDEX(SRC_ZPMW03!$A$1:$ZZ$501,$A384,AZ$3)))</f>
        <v/>
      </c>
      <c r="BA384" s="124" t="str">
        <f>IF($B384="","",IF(BA$3=0,"n.b.",INDEX(SRC_ZPMW03!$A$1:$ZZ$501,$A384,BA$3)))</f>
        <v/>
      </c>
      <c r="BB384" s="124" t="str">
        <f>IF($B384="","",IF(BB$3=0,"n.b.",INDEX(SRC_ZPMW03!$A$1:$ZZ$501,$A384,BB$3)))</f>
        <v/>
      </c>
      <c r="BC384" s="124" t="str">
        <f>IF($B384="","",IF(BC$3=0,"n.b.",INDEX(SRC_ZPMW03!$A$1:$ZZ$501,$A384,BC$3)))</f>
        <v/>
      </c>
      <c r="BD384" s="124" t="str">
        <f>IF($B384="","",IF(BD$3=0,"n.b.",INDEX(SRC_ZPMW03!$A$1:$ZZ$501,$A384,BD$3)))</f>
        <v/>
      </c>
      <c r="BE384" s="124" t="str">
        <f>IF($B384="","",IF(BE$3=0,"n.b.",INDEX(SRC_ZPMW03!$A$1:$ZZ$501,$A384,BE$3)))</f>
        <v/>
      </c>
      <c r="BF384" s="124" t="str">
        <f>IF($B384="","",IF(BF$3=0,"n.b.",INDEX(SRC_ZPMW03!$A$1:$ZZ$501,$A384,BF$3)))</f>
        <v/>
      </c>
      <c r="BG384" t="str">
        <f>IF($B384="","",IF(BG$3=0,"n.b.",INDEX(SRC_ZPMW03!$A$1:$ZZ$501,$A384,BG$3)))</f>
        <v/>
      </c>
      <c r="BH384" t="str">
        <f>IF($B384="","",IF(BH$3=0,"n.b.",INDEX(SRC_ZPMW03!$A$1:$ZZ$501,$A384,BH$3)))</f>
        <v/>
      </c>
      <c r="BI384" t="str">
        <f>IF($B384="","",IF(BI$3=0,"n.b.",INDEX(SRC_ZPMW03!$A$1:$ZZ$501,$A384,BI$3)))</f>
        <v/>
      </c>
      <c r="BJ384" t="str">
        <f>IF($B384="","",IF(BJ$3=0,"n.b.",INDEX(SRC_ZPMW03!$A$1:$ZZ$501,$A384,BJ$3)))</f>
        <v/>
      </c>
      <c r="BK384" s="124" t="str">
        <f>IF($B384="","",IFERROR(-O384,"n.b."))</f>
        <v/>
      </c>
      <c r="BL384" s="124" t="str">
        <f>IF($B384="","",IFERROR(-Q384,"n.b."))</f>
        <v/>
      </c>
      <c r="BM384" s="124" t="str">
        <f>IF($B384="","",IFERROR(-AB384,"n.b."))</f>
        <v/>
      </c>
      <c r="BN384" s="124" t="str">
        <f>IF($B384="","",IFERROR(-AD384,"n.b."))</f>
        <v/>
      </c>
      <c r="BO384" s="124" t="str">
        <f>IF($B384="","",IFERROR(BK384+BM384,"n.b."))</f>
        <v/>
      </c>
      <c r="BP384" s="124" t="str">
        <f>IF($B384="","",IFERROR(BL384+BN384,"n.b."))</f>
        <v/>
      </c>
      <c r="BQ384" s="124" t="str">
        <f>IF($B384="","",IFERROR(-AM384,"n.b."))</f>
        <v/>
      </c>
      <c r="BR384" s="124" t="str">
        <f>IF($B384="","",IFERROR(-AO384,"n.b."))</f>
        <v/>
      </c>
      <c r="BS384" s="124" t="str">
        <f>IF($B384="","",IFERROR(-Z384,"n.b."))</f>
        <v/>
      </c>
      <c r="BT384" s="124" t="str">
        <f>IF($B384="","",IFERROR(-AA384,"n.b."))</f>
        <v/>
      </c>
      <c r="BU384" s="124" t="str">
        <f>IF($B384="","",IFERROR(-AE384,"n.b."))</f>
        <v/>
      </c>
      <c r="BV384" s="124" t="str">
        <f>IF($B384="","",IFERROR(-AF384,"n.b."))</f>
        <v/>
      </c>
      <c r="BW384" s="124" t="str">
        <f>IF($B384="","",IFERROR(-AG384,"n.b."))</f>
        <v/>
      </c>
      <c r="BX384" s="124" t="str">
        <f>IF($B384="","",IFERROR(-AH384,"n.b."))</f>
        <v/>
      </c>
      <c r="BY384" s="124" t="str">
        <f>IF($B384="","",IFERROR(-AI384,"n.b."))</f>
        <v/>
      </c>
      <c r="BZ384" s="124" t="str">
        <f>IF($B384="","",IFERROR(-AJ384,"n.b."))</f>
        <v/>
      </c>
      <c r="CA384" s="124" t="str">
        <f>IF($B384="","",IFERROR(-AK384,"n.b."))</f>
        <v/>
      </c>
      <c r="CB384" s="124" t="str">
        <f>IF($B384="","",IFERROR(-AL384,"n.b."))</f>
        <v/>
      </c>
      <c r="CC384" s="124" t="str">
        <f>IF($B384="","",IFERROR(-AP384,"n.b."))</f>
        <v/>
      </c>
      <c r="CD384" s="124" t="str">
        <f>IF($B384="","",IFERROR(-AQ384,"n.b."))</f>
        <v/>
      </c>
      <c r="CE384" s="124" t="str">
        <f>IF($B384="","",IFERROR(-AR384,"n.b."))</f>
        <v/>
      </c>
      <c r="CF384" s="124" t="str">
        <f>IF($B384="","",IFERROR(-AS384,"n.b."))</f>
        <v/>
      </c>
      <c r="CG384" s="124" t="str">
        <f>IF($B384="","",IFERROR(-AT384,"n.b."))</f>
        <v/>
      </c>
      <c r="CH384" s="124" t="str">
        <f>IF($B384="","",IFERROR(-AU384,"n.b."))</f>
        <v/>
      </c>
      <c r="CI384" s="124" t="str">
        <f>IF($B384="","",IFERROR(-AV384,"n.b."))</f>
        <v/>
      </c>
      <c r="CJ384" s="124" t="str">
        <f>IF($B384="","",IFERROR(-AW384,"n.b."))</f>
        <v/>
      </c>
      <c r="CK384" s="124" t="str">
        <f>IF($B384="","",IFERROR(-AX384,"n.b."))</f>
        <v/>
      </c>
      <c r="CL384" s="124" t="str">
        <f>IF($B384="","",IFERROR(-AY384,"n.b."))</f>
        <v/>
      </c>
      <c r="CM384" s="124" t="str">
        <f>IF($B384="","",IFERROR(-AZ384,"n.b."))</f>
        <v/>
      </c>
      <c r="CN384" s="124" t="str">
        <f>IF($B384="","",IFERROR(-BA384,"n.b."))</f>
        <v/>
      </c>
      <c r="CO384" s="124" t="str">
        <f>IF($B384="","",IFERROR(-BB384,"n.b."))</f>
        <v/>
      </c>
      <c r="CP384" s="124" t="str">
        <f>IF($B384="","",IFERROR(-BC384,"n.b."))</f>
        <v/>
      </c>
      <c r="CQ384" s="124" t="str">
        <f>IF($B384="","",IFERROR(-BD384,"n.b."))</f>
        <v/>
      </c>
      <c r="CR384" s="124" t="str">
        <f>IF($B384="","",IFERROR(-BE384,"n.b."))</f>
        <v/>
      </c>
      <c r="CS384" s="124" t="str">
        <f>IF($B384="","",IFERROR(IF(OR(ABS(T384+V384+X384+Z384-AB384)&gt;P_Tol,ABS(U384+W384+Y384+AA384-AD384)&gt;P_Tol,ABS(AE384+AG384+AI384+AK384-AM384)&gt;P_Tol,ABS(AF384+AH384+AJ384+AL384-AO384)&gt;P_Tol),1,0),1))</f>
        <v/>
      </c>
      <c r="CT384" s="124" t="str">
        <f>IF($B384="","",IFERROR(IF(OR(ABS(AB384+AC384-AD384)&gt;P_Tol,ABS(AM384+AN384-AO384)&gt;P_Tol,ABS(O384+P384-Q384)&gt;P_Tol),1,0),1))</f>
        <v/>
      </c>
      <c r="CU384" s="124" t="str">
        <f>IF($B384="","",IFERROR(IF(ABS(R384-(AB384+AM384+AP384+AR384+AT384+AV384+AX384+AZ384+BB384+BD384))&gt;P_Tol,1,0),1))</f>
        <v/>
      </c>
      <c r="CV384" s="124" t="str">
        <f>IF($B384="","",IFERROR(IF(ABS(M384-(N384+O384+R384))&gt;P_Tol,1,0),1))</f>
        <v/>
      </c>
      <c r="CW384" s="124" t="str">
        <f>IF($B384="","",IF(COUNTIF(Mapping!$A$5:$A$104,B384)&gt;0,1,0))</f>
        <v/>
      </c>
      <c r="CX384" s="124" t="str">
        <f>IF($B384="","",COUNTIF($B$6:$B$505,B384))</f>
        <v/>
      </c>
      <c r="CY384" s="124" t="str">
        <f>IF($B384="","",COUNTIF(STG_Woningetalage!$B$6:$B$505,B384))</f>
        <v/>
      </c>
      <c r="CZ384" s="124" t="str">
        <f>IF($B384="","",IF(CW384=0,COUNTIF($CW$6:CW384,0),""))</f>
        <v/>
      </c>
    </row>
    <row r="385">
      <c r="A385" s="15" t="n">
        <v>381</v>
      </c>
      <c r="B385" t="str">
        <f>IF(B$3=0,"",IF(INDEX(SRC_ZPMW03!$A$1:$ZZ$501,$A385,B$3)&amp;""="","",INDEX(SRC_ZPMW03!$A$1:$ZZ$501,$A385,B$3)&amp;""))</f>
        <v/>
      </c>
      <c r="C385" t="str">
        <f>IF($B385="","",IF(C$3=0,"n.b.",INDEX(SRC_ZPMW03!$A$1:$ZZ$501,$A385,C$3)))</f>
        <v/>
      </c>
      <c r="D385" t="str">
        <f>IF($B385="","",IF(D$3=0,"n.b.",INDEX(SRC_ZPMW03!$A$1:$ZZ$501,$A385,D$3)))</f>
        <v/>
      </c>
      <c r="E385" t="str">
        <f>IF($B385="","",IF(E$3=0,"n.b.",INDEX(SRC_ZPMW03!$A$1:$ZZ$501,$A385,E$3)))</f>
        <v/>
      </c>
      <c r="F385" t="str">
        <f>IF($B385="","",IF(F$3=0,"n.b.",INDEX(SRC_ZPMW03!$A$1:$ZZ$501,$A385,F$3)))</f>
        <v/>
      </c>
      <c r="G385" t="str">
        <f>IF($B385="","",IF(G$3=0,"n.b.",INDEX(SRC_ZPMW03!$A$1:$ZZ$501,$A385,G$3)))</f>
        <v/>
      </c>
      <c r="H385" t="str">
        <f>IF($B385="","",IF(H$3=0,"n.b.",INDEX(SRC_ZPMW03!$A$1:$ZZ$501,$A385,H$3)))</f>
        <v/>
      </c>
      <c r="I385" t="str">
        <f>IF($B385="","",IF(I$3=0,"n.b.",INDEX(SRC_ZPMW03!$A$1:$ZZ$501,$A385,I$3)))</f>
        <v/>
      </c>
      <c r="J385" t="str">
        <f>IF($B385="","",IF(J$3=0,"n.b.",INDEX(SRC_ZPMW03!$A$1:$ZZ$501,$A385,J$3)))</f>
        <v/>
      </c>
      <c r="K385" t="str">
        <f>IF($B385="","",IF(K$3=0,"n.b.",INDEX(SRC_ZPMW03!$A$1:$ZZ$501,$A385,K$3)))</f>
        <v/>
      </c>
      <c r="L385" s="124" t="str">
        <f>IF($B385="","",IF(L$3=0,"n.b.",INDEX(SRC_ZPMW03!$A$1:$ZZ$501,$A385,L$3)))</f>
        <v/>
      </c>
      <c r="M385" s="124" t="str">
        <f>IF($B385="","",IF(M$3=0,"n.b.",INDEX(SRC_ZPMW03!$A$1:$ZZ$501,$A385,M$3)))</f>
        <v/>
      </c>
      <c r="N385" s="124" t="str">
        <f>IF($B385="","",IF(N$3=0,"n.b.",INDEX(SRC_ZPMW03!$A$1:$ZZ$501,$A385,N$3)))</f>
        <v/>
      </c>
      <c r="O385" s="124" t="str">
        <f>IF($B385="","",IF(O$3=0,"n.b.",INDEX(SRC_ZPMW03!$A$1:$ZZ$501,$A385,O$3)))</f>
        <v/>
      </c>
      <c r="P385" s="124" t="str">
        <f>IF($B385="","",IF(P$3=0,"n.b.",INDEX(SRC_ZPMW03!$A$1:$ZZ$501,$A385,P$3)))</f>
        <v/>
      </c>
      <c r="Q385" s="124" t="str">
        <f>IF($B385="","",IF(Q$3=0,"n.b.",INDEX(SRC_ZPMW03!$A$1:$ZZ$501,$A385,Q$3)))</f>
        <v/>
      </c>
      <c r="R385" s="124" t="str">
        <f>IF($B385="","",IF(R$3=0,"n.b.",INDEX(SRC_ZPMW03!$A$1:$ZZ$501,$A385,R$3)))</f>
        <v/>
      </c>
      <c r="S385" s="124" t="str">
        <f>IF($B385="","",IF(S$3=0,"n.b.",INDEX(SRC_ZPMW03!$A$1:$ZZ$501,$A385,S$3)))</f>
        <v/>
      </c>
      <c r="T385" s="124" t="str">
        <f>IF($B385="","",IF(T$3=0,"n.b.",INDEX(SRC_ZPMW03!$A$1:$ZZ$501,$A385,T$3)))</f>
        <v/>
      </c>
      <c r="U385" s="124" t="str">
        <f>IF($B385="","",IF(U$3=0,"n.b.",INDEX(SRC_ZPMW03!$A$1:$ZZ$501,$A385,U$3)))</f>
        <v/>
      </c>
      <c r="V385" s="124" t="str">
        <f>IF($B385="","",IF(V$3=0,"n.b.",INDEX(SRC_ZPMW03!$A$1:$ZZ$501,$A385,V$3)))</f>
        <v/>
      </c>
      <c r="W385" s="124" t="str">
        <f>IF($B385="","",IF(W$3=0,"n.b.",INDEX(SRC_ZPMW03!$A$1:$ZZ$501,$A385,W$3)))</f>
        <v/>
      </c>
      <c r="X385" s="124" t="str">
        <f>IF($B385="","",IF(X$3=0,"n.b.",INDEX(SRC_ZPMW03!$A$1:$ZZ$501,$A385,X$3)))</f>
        <v/>
      </c>
      <c r="Y385" s="124" t="str">
        <f>IF($B385="","",IF(Y$3=0,"n.b.",INDEX(SRC_ZPMW03!$A$1:$ZZ$501,$A385,Y$3)))</f>
        <v/>
      </c>
      <c r="Z385" s="124" t="str">
        <f>IF($B385="","",IF(Z$3=0,"n.b.",INDEX(SRC_ZPMW03!$A$1:$ZZ$501,$A385,Z$3)))</f>
        <v/>
      </c>
      <c r="AA385" s="124" t="str">
        <f>IF($B385="","",IF(AA$3=0,"n.b.",INDEX(SRC_ZPMW03!$A$1:$ZZ$501,$A385,AA$3)))</f>
        <v/>
      </c>
      <c r="AB385" s="124" t="str">
        <f>IF($B385="","",IF(AB$3=0,"n.b.",INDEX(SRC_ZPMW03!$A$1:$ZZ$501,$A385,AB$3)))</f>
        <v/>
      </c>
      <c r="AC385" s="124" t="str">
        <f>IF($B385="","",IF(AC$3=0,"n.b.",INDEX(SRC_ZPMW03!$A$1:$ZZ$501,$A385,AC$3)))</f>
        <v/>
      </c>
      <c r="AD385" s="124" t="str">
        <f>IF($B385="","",IF(AD$3=0,"n.b.",INDEX(SRC_ZPMW03!$A$1:$ZZ$501,$A385,AD$3)))</f>
        <v/>
      </c>
      <c r="AE385" s="124" t="str">
        <f>IF($B385="","",IF(AE$3=0,"n.b.",INDEX(SRC_ZPMW03!$A$1:$ZZ$501,$A385,AE$3)))</f>
        <v/>
      </c>
      <c r="AF385" s="124" t="str">
        <f>IF($B385="","",IF(AF$3=0,"n.b.",INDEX(SRC_ZPMW03!$A$1:$ZZ$501,$A385,AF$3)))</f>
        <v/>
      </c>
      <c r="AG385" s="124" t="str">
        <f>IF($B385="","",IF(AG$3=0,"n.b.",INDEX(SRC_ZPMW03!$A$1:$ZZ$501,$A385,AG$3)))</f>
        <v/>
      </c>
      <c r="AH385" s="124" t="str">
        <f>IF($B385="","",IF(AH$3=0,"n.b.",INDEX(SRC_ZPMW03!$A$1:$ZZ$501,$A385,AH$3)))</f>
        <v/>
      </c>
      <c r="AI385" s="124" t="str">
        <f>IF($B385="","",IF(AI$3=0,"n.b.",INDEX(SRC_ZPMW03!$A$1:$ZZ$501,$A385,AI$3)))</f>
        <v/>
      </c>
      <c r="AJ385" s="124" t="str">
        <f>IF($B385="","",IF(AJ$3=0,"n.b.",INDEX(SRC_ZPMW03!$A$1:$ZZ$501,$A385,AJ$3)))</f>
        <v/>
      </c>
      <c r="AK385" s="124" t="str">
        <f>IF($B385="","",IF(AK$3=0,"n.b.",INDEX(SRC_ZPMW03!$A$1:$ZZ$501,$A385,AK$3)))</f>
        <v/>
      </c>
      <c r="AL385" s="124" t="str">
        <f>IF($B385="","",IF(AL$3=0,"n.b.",INDEX(SRC_ZPMW03!$A$1:$ZZ$501,$A385,AL$3)))</f>
        <v/>
      </c>
      <c r="AM385" s="124" t="str">
        <f>IF($B385="","",IF(AM$3=0,"n.b.",INDEX(SRC_ZPMW03!$A$1:$ZZ$501,$A385,AM$3)))</f>
        <v/>
      </c>
      <c r="AN385" s="124" t="str">
        <f>IF($B385="","",IF(AN$3=0,"n.b.",INDEX(SRC_ZPMW03!$A$1:$ZZ$501,$A385,AN$3)))</f>
        <v/>
      </c>
      <c r="AO385" s="124" t="str">
        <f>IF($B385="","",IF(AO$3=0,"n.b.",INDEX(SRC_ZPMW03!$A$1:$ZZ$501,$A385,AO$3)))</f>
        <v/>
      </c>
      <c r="AP385" s="124" t="str">
        <f>IF($B385="","",IF(AP$3=0,"n.b.",INDEX(SRC_ZPMW03!$A$1:$ZZ$501,$A385,AP$3)))</f>
        <v/>
      </c>
      <c r="AQ385" s="124" t="str">
        <f>IF($B385="","",IF(AQ$3=0,"n.b.",INDEX(SRC_ZPMW03!$A$1:$ZZ$501,$A385,AQ$3)))</f>
        <v/>
      </c>
      <c r="AR385" s="124" t="str">
        <f>IF($B385="","",IF(AR$3=0,"n.b.",INDEX(SRC_ZPMW03!$A$1:$ZZ$501,$A385,AR$3)))</f>
        <v/>
      </c>
      <c r="AS385" s="124" t="str">
        <f>IF($B385="","",IF(AS$3=0,"n.b.",INDEX(SRC_ZPMW03!$A$1:$ZZ$501,$A385,AS$3)))</f>
        <v/>
      </c>
      <c r="AT385" s="124" t="str">
        <f>IF($B385="","",IF(AT$3=0,"n.b.",INDEX(SRC_ZPMW03!$A$1:$ZZ$501,$A385,AT$3)))</f>
        <v/>
      </c>
      <c r="AU385" s="124" t="str">
        <f>IF($B385="","",IF(AU$3=0,"n.b.",INDEX(SRC_ZPMW03!$A$1:$ZZ$501,$A385,AU$3)))</f>
        <v/>
      </c>
      <c r="AV385" s="124" t="str">
        <f>IF($B385="","",IF(AV$3=0,"n.b.",INDEX(SRC_ZPMW03!$A$1:$ZZ$501,$A385,AV$3)))</f>
        <v/>
      </c>
      <c r="AW385" s="124" t="str">
        <f>IF($B385="","",IF(AW$3=0,"n.b.",INDEX(SRC_ZPMW03!$A$1:$ZZ$501,$A385,AW$3)))</f>
        <v/>
      </c>
      <c r="AX385" s="124" t="str">
        <f>IF($B385="","",IF(AX$3=0,"n.b.",INDEX(SRC_ZPMW03!$A$1:$ZZ$501,$A385,AX$3)))</f>
        <v/>
      </c>
      <c r="AY385" s="124" t="str">
        <f>IF($B385="","",IF(AY$3=0,"n.b.",INDEX(SRC_ZPMW03!$A$1:$ZZ$501,$A385,AY$3)))</f>
        <v/>
      </c>
      <c r="AZ385" s="124" t="str">
        <f>IF($B385="","",IF(AZ$3=0,"n.b.",INDEX(SRC_ZPMW03!$A$1:$ZZ$501,$A385,AZ$3)))</f>
        <v/>
      </c>
      <c r="BA385" s="124" t="str">
        <f>IF($B385="","",IF(BA$3=0,"n.b.",INDEX(SRC_ZPMW03!$A$1:$ZZ$501,$A385,BA$3)))</f>
        <v/>
      </c>
      <c r="BB385" s="124" t="str">
        <f>IF($B385="","",IF(BB$3=0,"n.b.",INDEX(SRC_ZPMW03!$A$1:$ZZ$501,$A385,BB$3)))</f>
        <v/>
      </c>
      <c r="BC385" s="124" t="str">
        <f>IF($B385="","",IF(BC$3=0,"n.b.",INDEX(SRC_ZPMW03!$A$1:$ZZ$501,$A385,BC$3)))</f>
        <v/>
      </c>
      <c r="BD385" s="124" t="str">
        <f>IF($B385="","",IF(BD$3=0,"n.b.",INDEX(SRC_ZPMW03!$A$1:$ZZ$501,$A385,BD$3)))</f>
        <v/>
      </c>
      <c r="BE385" s="124" t="str">
        <f>IF($B385="","",IF(BE$3=0,"n.b.",INDEX(SRC_ZPMW03!$A$1:$ZZ$501,$A385,BE$3)))</f>
        <v/>
      </c>
      <c r="BF385" s="124" t="str">
        <f>IF($B385="","",IF(BF$3=0,"n.b.",INDEX(SRC_ZPMW03!$A$1:$ZZ$501,$A385,BF$3)))</f>
        <v/>
      </c>
      <c r="BG385" t="str">
        <f>IF($B385="","",IF(BG$3=0,"n.b.",INDEX(SRC_ZPMW03!$A$1:$ZZ$501,$A385,BG$3)))</f>
        <v/>
      </c>
      <c r="BH385" t="str">
        <f>IF($B385="","",IF(BH$3=0,"n.b.",INDEX(SRC_ZPMW03!$A$1:$ZZ$501,$A385,BH$3)))</f>
        <v/>
      </c>
      <c r="BI385" t="str">
        <f>IF($B385="","",IF(BI$3=0,"n.b.",INDEX(SRC_ZPMW03!$A$1:$ZZ$501,$A385,BI$3)))</f>
        <v/>
      </c>
      <c r="BJ385" t="str">
        <f>IF($B385="","",IF(BJ$3=0,"n.b.",INDEX(SRC_ZPMW03!$A$1:$ZZ$501,$A385,BJ$3)))</f>
        <v/>
      </c>
      <c r="BK385" s="124" t="str">
        <f>IF($B385="","",IFERROR(-O385,"n.b."))</f>
        <v/>
      </c>
      <c r="BL385" s="124" t="str">
        <f>IF($B385="","",IFERROR(-Q385,"n.b."))</f>
        <v/>
      </c>
      <c r="BM385" s="124" t="str">
        <f>IF($B385="","",IFERROR(-AB385,"n.b."))</f>
        <v/>
      </c>
      <c r="BN385" s="124" t="str">
        <f>IF($B385="","",IFERROR(-AD385,"n.b."))</f>
        <v/>
      </c>
      <c r="BO385" s="124" t="str">
        <f>IF($B385="","",IFERROR(BK385+BM385,"n.b."))</f>
        <v/>
      </c>
      <c r="BP385" s="124" t="str">
        <f>IF($B385="","",IFERROR(BL385+BN385,"n.b."))</f>
        <v/>
      </c>
      <c r="BQ385" s="124" t="str">
        <f>IF($B385="","",IFERROR(-AM385,"n.b."))</f>
        <v/>
      </c>
      <c r="BR385" s="124" t="str">
        <f>IF($B385="","",IFERROR(-AO385,"n.b."))</f>
        <v/>
      </c>
      <c r="BS385" s="124" t="str">
        <f>IF($B385="","",IFERROR(-Z385,"n.b."))</f>
        <v/>
      </c>
      <c r="BT385" s="124" t="str">
        <f>IF($B385="","",IFERROR(-AA385,"n.b."))</f>
        <v/>
      </c>
      <c r="BU385" s="124" t="str">
        <f>IF($B385="","",IFERROR(-AE385,"n.b."))</f>
        <v/>
      </c>
      <c r="BV385" s="124" t="str">
        <f>IF($B385="","",IFERROR(-AF385,"n.b."))</f>
        <v/>
      </c>
      <c r="BW385" s="124" t="str">
        <f>IF($B385="","",IFERROR(-AG385,"n.b."))</f>
        <v/>
      </c>
      <c r="BX385" s="124" t="str">
        <f>IF($B385="","",IFERROR(-AH385,"n.b."))</f>
        <v/>
      </c>
      <c r="BY385" s="124" t="str">
        <f>IF($B385="","",IFERROR(-AI385,"n.b."))</f>
        <v/>
      </c>
      <c r="BZ385" s="124" t="str">
        <f>IF($B385="","",IFERROR(-AJ385,"n.b."))</f>
        <v/>
      </c>
      <c r="CA385" s="124" t="str">
        <f>IF($B385="","",IFERROR(-AK385,"n.b."))</f>
        <v/>
      </c>
      <c r="CB385" s="124" t="str">
        <f>IF($B385="","",IFERROR(-AL385,"n.b."))</f>
        <v/>
      </c>
      <c r="CC385" s="124" t="str">
        <f>IF($B385="","",IFERROR(-AP385,"n.b."))</f>
        <v/>
      </c>
      <c r="CD385" s="124" t="str">
        <f>IF($B385="","",IFERROR(-AQ385,"n.b."))</f>
        <v/>
      </c>
      <c r="CE385" s="124" t="str">
        <f>IF($B385="","",IFERROR(-AR385,"n.b."))</f>
        <v/>
      </c>
      <c r="CF385" s="124" t="str">
        <f>IF($B385="","",IFERROR(-AS385,"n.b."))</f>
        <v/>
      </c>
      <c r="CG385" s="124" t="str">
        <f>IF($B385="","",IFERROR(-AT385,"n.b."))</f>
        <v/>
      </c>
      <c r="CH385" s="124" t="str">
        <f>IF($B385="","",IFERROR(-AU385,"n.b."))</f>
        <v/>
      </c>
      <c r="CI385" s="124" t="str">
        <f>IF($B385="","",IFERROR(-AV385,"n.b."))</f>
        <v/>
      </c>
      <c r="CJ385" s="124" t="str">
        <f>IF($B385="","",IFERROR(-AW385,"n.b."))</f>
        <v/>
      </c>
      <c r="CK385" s="124" t="str">
        <f>IF($B385="","",IFERROR(-AX385,"n.b."))</f>
        <v/>
      </c>
      <c r="CL385" s="124" t="str">
        <f>IF($B385="","",IFERROR(-AY385,"n.b."))</f>
        <v/>
      </c>
      <c r="CM385" s="124" t="str">
        <f>IF($B385="","",IFERROR(-AZ385,"n.b."))</f>
        <v/>
      </c>
      <c r="CN385" s="124" t="str">
        <f>IF($B385="","",IFERROR(-BA385,"n.b."))</f>
        <v/>
      </c>
      <c r="CO385" s="124" t="str">
        <f>IF($B385="","",IFERROR(-BB385,"n.b."))</f>
        <v/>
      </c>
      <c r="CP385" s="124" t="str">
        <f>IF($B385="","",IFERROR(-BC385,"n.b."))</f>
        <v/>
      </c>
      <c r="CQ385" s="124" t="str">
        <f>IF($B385="","",IFERROR(-BD385,"n.b."))</f>
        <v/>
      </c>
      <c r="CR385" s="124" t="str">
        <f>IF($B385="","",IFERROR(-BE385,"n.b."))</f>
        <v/>
      </c>
      <c r="CS385" s="124" t="str">
        <f>IF($B385="","",IFERROR(IF(OR(ABS(T385+V385+X385+Z385-AB385)&gt;P_Tol,ABS(U385+W385+Y385+AA385-AD385)&gt;P_Tol,ABS(AE385+AG385+AI385+AK385-AM385)&gt;P_Tol,ABS(AF385+AH385+AJ385+AL385-AO385)&gt;P_Tol),1,0),1))</f>
        <v/>
      </c>
      <c r="CT385" s="124" t="str">
        <f>IF($B385="","",IFERROR(IF(OR(ABS(AB385+AC385-AD385)&gt;P_Tol,ABS(AM385+AN385-AO385)&gt;P_Tol,ABS(O385+P385-Q385)&gt;P_Tol),1,0),1))</f>
        <v/>
      </c>
      <c r="CU385" s="124" t="str">
        <f>IF($B385="","",IFERROR(IF(ABS(R385-(AB385+AM385+AP385+AR385+AT385+AV385+AX385+AZ385+BB385+BD385))&gt;P_Tol,1,0),1))</f>
        <v/>
      </c>
      <c r="CV385" s="124" t="str">
        <f>IF($B385="","",IFERROR(IF(ABS(M385-(N385+O385+R385))&gt;P_Tol,1,0),1))</f>
        <v/>
      </c>
      <c r="CW385" s="124" t="str">
        <f>IF($B385="","",IF(COUNTIF(Mapping!$A$5:$A$104,B385)&gt;0,1,0))</f>
        <v/>
      </c>
      <c r="CX385" s="124" t="str">
        <f>IF($B385="","",COUNTIF($B$6:$B$505,B385))</f>
        <v/>
      </c>
      <c r="CY385" s="124" t="str">
        <f>IF($B385="","",COUNTIF(STG_Woningetalage!$B$6:$B$505,B385))</f>
        <v/>
      </c>
      <c r="CZ385" s="124" t="str">
        <f>IF($B385="","",IF(CW385=0,COUNTIF($CW$6:CW385,0),""))</f>
        <v/>
      </c>
    </row>
    <row r="386">
      <c r="A386" s="15" t="n">
        <v>382</v>
      </c>
      <c r="B386" t="str">
        <f>IF(B$3=0,"",IF(INDEX(SRC_ZPMW03!$A$1:$ZZ$501,$A386,B$3)&amp;""="","",INDEX(SRC_ZPMW03!$A$1:$ZZ$501,$A386,B$3)&amp;""))</f>
        <v/>
      </c>
      <c r="C386" t="str">
        <f>IF($B386="","",IF(C$3=0,"n.b.",INDEX(SRC_ZPMW03!$A$1:$ZZ$501,$A386,C$3)))</f>
        <v/>
      </c>
      <c r="D386" t="str">
        <f>IF($B386="","",IF(D$3=0,"n.b.",INDEX(SRC_ZPMW03!$A$1:$ZZ$501,$A386,D$3)))</f>
        <v/>
      </c>
      <c r="E386" t="str">
        <f>IF($B386="","",IF(E$3=0,"n.b.",INDEX(SRC_ZPMW03!$A$1:$ZZ$501,$A386,E$3)))</f>
        <v/>
      </c>
      <c r="F386" t="str">
        <f>IF($B386="","",IF(F$3=0,"n.b.",INDEX(SRC_ZPMW03!$A$1:$ZZ$501,$A386,F$3)))</f>
        <v/>
      </c>
      <c r="G386" t="str">
        <f>IF($B386="","",IF(G$3=0,"n.b.",INDEX(SRC_ZPMW03!$A$1:$ZZ$501,$A386,G$3)))</f>
        <v/>
      </c>
      <c r="H386" t="str">
        <f>IF($B386="","",IF(H$3=0,"n.b.",INDEX(SRC_ZPMW03!$A$1:$ZZ$501,$A386,H$3)))</f>
        <v/>
      </c>
      <c r="I386" t="str">
        <f>IF($B386="","",IF(I$3=0,"n.b.",INDEX(SRC_ZPMW03!$A$1:$ZZ$501,$A386,I$3)))</f>
        <v/>
      </c>
      <c r="J386" t="str">
        <f>IF($B386="","",IF(J$3=0,"n.b.",INDEX(SRC_ZPMW03!$A$1:$ZZ$501,$A386,J$3)))</f>
        <v/>
      </c>
      <c r="K386" t="str">
        <f>IF($B386="","",IF(K$3=0,"n.b.",INDEX(SRC_ZPMW03!$A$1:$ZZ$501,$A386,K$3)))</f>
        <v/>
      </c>
      <c r="L386" s="124" t="str">
        <f>IF($B386="","",IF(L$3=0,"n.b.",INDEX(SRC_ZPMW03!$A$1:$ZZ$501,$A386,L$3)))</f>
        <v/>
      </c>
      <c r="M386" s="124" t="str">
        <f>IF($B386="","",IF(M$3=0,"n.b.",INDEX(SRC_ZPMW03!$A$1:$ZZ$501,$A386,M$3)))</f>
        <v/>
      </c>
      <c r="N386" s="124" t="str">
        <f>IF($B386="","",IF(N$3=0,"n.b.",INDEX(SRC_ZPMW03!$A$1:$ZZ$501,$A386,N$3)))</f>
        <v/>
      </c>
      <c r="O386" s="124" t="str">
        <f>IF($B386="","",IF(O$3=0,"n.b.",INDEX(SRC_ZPMW03!$A$1:$ZZ$501,$A386,O$3)))</f>
        <v/>
      </c>
      <c r="P386" s="124" t="str">
        <f>IF($B386="","",IF(P$3=0,"n.b.",INDEX(SRC_ZPMW03!$A$1:$ZZ$501,$A386,P$3)))</f>
        <v/>
      </c>
      <c r="Q386" s="124" t="str">
        <f>IF($B386="","",IF(Q$3=0,"n.b.",INDEX(SRC_ZPMW03!$A$1:$ZZ$501,$A386,Q$3)))</f>
        <v/>
      </c>
      <c r="R386" s="124" t="str">
        <f>IF($B386="","",IF(R$3=0,"n.b.",INDEX(SRC_ZPMW03!$A$1:$ZZ$501,$A386,R$3)))</f>
        <v/>
      </c>
      <c r="S386" s="124" t="str">
        <f>IF($B386="","",IF(S$3=0,"n.b.",INDEX(SRC_ZPMW03!$A$1:$ZZ$501,$A386,S$3)))</f>
        <v/>
      </c>
      <c r="T386" s="124" t="str">
        <f>IF($B386="","",IF(T$3=0,"n.b.",INDEX(SRC_ZPMW03!$A$1:$ZZ$501,$A386,T$3)))</f>
        <v/>
      </c>
      <c r="U386" s="124" t="str">
        <f>IF($B386="","",IF(U$3=0,"n.b.",INDEX(SRC_ZPMW03!$A$1:$ZZ$501,$A386,U$3)))</f>
        <v/>
      </c>
      <c r="V386" s="124" t="str">
        <f>IF($B386="","",IF(V$3=0,"n.b.",INDEX(SRC_ZPMW03!$A$1:$ZZ$501,$A386,V$3)))</f>
        <v/>
      </c>
      <c r="W386" s="124" t="str">
        <f>IF($B386="","",IF(W$3=0,"n.b.",INDEX(SRC_ZPMW03!$A$1:$ZZ$501,$A386,W$3)))</f>
        <v/>
      </c>
      <c r="X386" s="124" t="str">
        <f>IF($B386="","",IF(X$3=0,"n.b.",INDEX(SRC_ZPMW03!$A$1:$ZZ$501,$A386,X$3)))</f>
        <v/>
      </c>
      <c r="Y386" s="124" t="str">
        <f>IF($B386="","",IF(Y$3=0,"n.b.",INDEX(SRC_ZPMW03!$A$1:$ZZ$501,$A386,Y$3)))</f>
        <v/>
      </c>
      <c r="Z386" s="124" t="str">
        <f>IF($B386="","",IF(Z$3=0,"n.b.",INDEX(SRC_ZPMW03!$A$1:$ZZ$501,$A386,Z$3)))</f>
        <v/>
      </c>
      <c r="AA386" s="124" t="str">
        <f>IF($B386="","",IF(AA$3=0,"n.b.",INDEX(SRC_ZPMW03!$A$1:$ZZ$501,$A386,AA$3)))</f>
        <v/>
      </c>
      <c r="AB386" s="124" t="str">
        <f>IF($B386="","",IF(AB$3=0,"n.b.",INDEX(SRC_ZPMW03!$A$1:$ZZ$501,$A386,AB$3)))</f>
        <v/>
      </c>
      <c r="AC386" s="124" t="str">
        <f>IF($B386="","",IF(AC$3=0,"n.b.",INDEX(SRC_ZPMW03!$A$1:$ZZ$501,$A386,AC$3)))</f>
        <v/>
      </c>
      <c r="AD386" s="124" t="str">
        <f>IF($B386="","",IF(AD$3=0,"n.b.",INDEX(SRC_ZPMW03!$A$1:$ZZ$501,$A386,AD$3)))</f>
        <v/>
      </c>
      <c r="AE386" s="124" t="str">
        <f>IF($B386="","",IF(AE$3=0,"n.b.",INDEX(SRC_ZPMW03!$A$1:$ZZ$501,$A386,AE$3)))</f>
        <v/>
      </c>
      <c r="AF386" s="124" t="str">
        <f>IF($B386="","",IF(AF$3=0,"n.b.",INDEX(SRC_ZPMW03!$A$1:$ZZ$501,$A386,AF$3)))</f>
        <v/>
      </c>
      <c r="AG386" s="124" t="str">
        <f>IF($B386="","",IF(AG$3=0,"n.b.",INDEX(SRC_ZPMW03!$A$1:$ZZ$501,$A386,AG$3)))</f>
        <v/>
      </c>
      <c r="AH386" s="124" t="str">
        <f>IF($B386="","",IF(AH$3=0,"n.b.",INDEX(SRC_ZPMW03!$A$1:$ZZ$501,$A386,AH$3)))</f>
        <v/>
      </c>
      <c r="AI386" s="124" t="str">
        <f>IF($B386="","",IF(AI$3=0,"n.b.",INDEX(SRC_ZPMW03!$A$1:$ZZ$501,$A386,AI$3)))</f>
        <v/>
      </c>
      <c r="AJ386" s="124" t="str">
        <f>IF($B386="","",IF(AJ$3=0,"n.b.",INDEX(SRC_ZPMW03!$A$1:$ZZ$501,$A386,AJ$3)))</f>
        <v/>
      </c>
      <c r="AK386" s="124" t="str">
        <f>IF($B386="","",IF(AK$3=0,"n.b.",INDEX(SRC_ZPMW03!$A$1:$ZZ$501,$A386,AK$3)))</f>
        <v/>
      </c>
      <c r="AL386" s="124" t="str">
        <f>IF($B386="","",IF(AL$3=0,"n.b.",INDEX(SRC_ZPMW03!$A$1:$ZZ$501,$A386,AL$3)))</f>
        <v/>
      </c>
      <c r="AM386" s="124" t="str">
        <f>IF($B386="","",IF(AM$3=0,"n.b.",INDEX(SRC_ZPMW03!$A$1:$ZZ$501,$A386,AM$3)))</f>
        <v/>
      </c>
      <c r="AN386" s="124" t="str">
        <f>IF($B386="","",IF(AN$3=0,"n.b.",INDEX(SRC_ZPMW03!$A$1:$ZZ$501,$A386,AN$3)))</f>
        <v/>
      </c>
      <c r="AO386" s="124" t="str">
        <f>IF($B386="","",IF(AO$3=0,"n.b.",INDEX(SRC_ZPMW03!$A$1:$ZZ$501,$A386,AO$3)))</f>
        <v/>
      </c>
      <c r="AP386" s="124" t="str">
        <f>IF($B386="","",IF(AP$3=0,"n.b.",INDEX(SRC_ZPMW03!$A$1:$ZZ$501,$A386,AP$3)))</f>
        <v/>
      </c>
      <c r="AQ386" s="124" t="str">
        <f>IF($B386="","",IF(AQ$3=0,"n.b.",INDEX(SRC_ZPMW03!$A$1:$ZZ$501,$A386,AQ$3)))</f>
        <v/>
      </c>
      <c r="AR386" s="124" t="str">
        <f>IF($B386="","",IF(AR$3=0,"n.b.",INDEX(SRC_ZPMW03!$A$1:$ZZ$501,$A386,AR$3)))</f>
        <v/>
      </c>
      <c r="AS386" s="124" t="str">
        <f>IF($B386="","",IF(AS$3=0,"n.b.",INDEX(SRC_ZPMW03!$A$1:$ZZ$501,$A386,AS$3)))</f>
        <v/>
      </c>
      <c r="AT386" s="124" t="str">
        <f>IF($B386="","",IF(AT$3=0,"n.b.",INDEX(SRC_ZPMW03!$A$1:$ZZ$501,$A386,AT$3)))</f>
        <v/>
      </c>
      <c r="AU386" s="124" t="str">
        <f>IF($B386="","",IF(AU$3=0,"n.b.",INDEX(SRC_ZPMW03!$A$1:$ZZ$501,$A386,AU$3)))</f>
        <v/>
      </c>
      <c r="AV386" s="124" t="str">
        <f>IF($B386="","",IF(AV$3=0,"n.b.",INDEX(SRC_ZPMW03!$A$1:$ZZ$501,$A386,AV$3)))</f>
        <v/>
      </c>
      <c r="AW386" s="124" t="str">
        <f>IF($B386="","",IF(AW$3=0,"n.b.",INDEX(SRC_ZPMW03!$A$1:$ZZ$501,$A386,AW$3)))</f>
        <v/>
      </c>
      <c r="AX386" s="124" t="str">
        <f>IF($B386="","",IF(AX$3=0,"n.b.",INDEX(SRC_ZPMW03!$A$1:$ZZ$501,$A386,AX$3)))</f>
        <v/>
      </c>
      <c r="AY386" s="124" t="str">
        <f>IF($B386="","",IF(AY$3=0,"n.b.",INDEX(SRC_ZPMW03!$A$1:$ZZ$501,$A386,AY$3)))</f>
        <v/>
      </c>
      <c r="AZ386" s="124" t="str">
        <f>IF($B386="","",IF(AZ$3=0,"n.b.",INDEX(SRC_ZPMW03!$A$1:$ZZ$501,$A386,AZ$3)))</f>
        <v/>
      </c>
      <c r="BA386" s="124" t="str">
        <f>IF($B386="","",IF(BA$3=0,"n.b.",INDEX(SRC_ZPMW03!$A$1:$ZZ$501,$A386,BA$3)))</f>
        <v/>
      </c>
      <c r="BB386" s="124" t="str">
        <f>IF($B386="","",IF(BB$3=0,"n.b.",INDEX(SRC_ZPMW03!$A$1:$ZZ$501,$A386,BB$3)))</f>
        <v/>
      </c>
      <c r="BC386" s="124" t="str">
        <f>IF($B386="","",IF(BC$3=0,"n.b.",INDEX(SRC_ZPMW03!$A$1:$ZZ$501,$A386,BC$3)))</f>
        <v/>
      </c>
      <c r="BD386" s="124" t="str">
        <f>IF($B386="","",IF(BD$3=0,"n.b.",INDEX(SRC_ZPMW03!$A$1:$ZZ$501,$A386,BD$3)))</f>
        <v/>
      </c>
      <c r="BE386" s="124" t="str">
        <f>IF($B386="","",IF(BE$3=0,"n.b.",INDEX(SRC_ZPMW03!$A$1:$ZZ$501,$A386,BE$3)))</f>
        <v/>
      </c>
      <c r="BF386" s="124" t="str">
        <f>IF($B386="","",IF(BF$3=0,"n.b.",INDEX(SRC_ZPMW03!$A$1:$ZZ$501,$A386,BF$3)))</f>
        <v/>
      </c>
      <c r="BG386" t="str">
        <f>IF($B386="","",IF(BG$3=0,"n.b.",INDEX(SRC_ZPMW03!$A$1:$ZZ$501,$A386,BG$3)))</f>
        <v/>
      </c>
      <c r="BH386" t="str">
        <f>IF($B386="","",IF(BH$3=0,"n.b.",INDEX(SRC_ZPMW03!$A$1:$ZZ$501,$A386,BH$3)))</f>
        <v/>
      </c>
      <c r="BI386" t="str">
        <f>IF($B386="","",IF(BI$3=0,"n.b.",INDEX(SRC_ZPMW03!$A$1:$ZZ$501,$A386,BI$3)))</f>
        <v/>
      </c>
      <c r="BJ386" t="str">
        <f>IF($B386="","",IF(BJ$3=0,"n.b.",INDEX(SRC_ZPMW03!$A$1:$ZZ$501,$A386,BJ$3)))</f>
        <v/>
      </c>
      <c r="BK386" s="124" t="str">
        <f>IF($B386="","",IFERROR(-O386,"n.b."))</f>
        <v/>
      </c>
      <c r="BL386" s="124" t="str">
        <f>IF($B386="","",IFERROR(-Q386,"n.b."))</f>
        <v/>
      </c>
      <c r="BM386" s="124" t="str">
        <f>IF($B386="","",IFERROR(-AB386,"n.b."))</f>
        <v/>
      </c>
      <c r="BN386" s="124" t="str">
        <f>IF($B386="","",IFERROR(-AD386,"n.b."))</f>
        <v/>
      </c>
      <c r="BO386" s="124" t="str">
        <f>IF($B386="","",IFERROR(BK386+BM386,"n.b."))</f>
        <v/>
      </c>
      <c r="BP386" s="124" t="str">
        <f>IF($B386="","",IFERROR(BL386+BN386,"n.b."))</f>
        <v/>
      </c>
      <c r="BQ386" s="124" t="str">
        <f>IF($B386="","",IFERROR(-AM386,"n.b."))</f>
        <v/>
      </c>
      <c r="BR386" s="124" t="str">
        <f>IF($B386="","",IFERROR(-AO386,"n.b."))</f>
        <v/>
      </c>
      <c r="BS386" s="124" t="str">
        <f>IF($B386="","",IFERROR(-Z386,"n.b."))</f>
        <v/>
      </c>
      <c r="BT386" s="124" t="str">
        <f>IF($B386="","",IFERROR(-AA386,"n.b."))</f>
        <v/>
      </c>
      <c r="BU386" s="124" t="str">
        <f>IF($B386="","",IFERROR(-AE386,"n.b."))</f>
        <v/>
      </c>
      <c r="BV386" s="124" t="str">
        <f>IF($B386="","",IFERROR(-AF386,"n.b."))</f>
        <v/>
      </c>
      <c r="BW386" s="124" t="str">
        <f>IF($B386="","",IFERROR(-AG386,"n.b."))</f>
        <v/>
      </c>
      <c r="BX386" s="124" t="str">
        <f>IF($B386="","",IFERROR(-AH386,"n.b."))</f>
        <v/>
      </c>
      <c r="BY386" s="124" t="str">
        <f>IF($B386="","",IFERROR(-AI386,"n.b."))</f>
        <v/>
      </c>
      <c r="BZ386" s="124" t="str">
        <f>IF($B386="","",IFERROR(-AJ386,"n.b."))</f>
        <v/>
      </c>
      <c r="CA386" s="124" t="str">
        <f>IF($B386="","",IFERROR(-AK386,"n.b."))</f>
        <v/>
      </c>
      <c r="CB386" s="124" t="str">
        <f>IF($B386="","",IFERROR(-AL386,"n.b."))</f>
        <v/>
      </c>
      <c r="CC386" s="124" t="str">
        <f>IF($B386="","",IFERROR(-AP386,"n.b."))</f>
        <v/>
      </c>
      <c r="CD386" s="124" t="str">
        <f>IF($B386="","",IFERROR(-AQ386,"n.b."))</f>
        <v/>
      </c>
      <c r="CE386" s="124" t="str">
        <f>IF($B386="","",IFERROR(-AR386,"n.b."))</f>
        <v/>
      </c>
      <c r="CF386" s="124" t="str">
        <f>IF($B386="","",IFERROR(-AS386,"n.b."))</f>
        <v/>
      </c>
      <c r="CG386" s="124" t="str">
        <f>IF($B386="","",IFERROR(-AT386,"n.b."))</f>
        <v/>
      </c>
      <c r="CH386" s="124" t="str">
        <f>IF($B386="","",IFERROR(-AU386,"n.b."))</f>
        <v/>
      </c>
      <c r="CI386" s="124" t="str">
        <f>IF($B386="","",IFERROR(-AV386,"n.b."))</f>
        <v/>
      </c>
      <c r="CJ386" s="124" t="str">
        <f>IF($B386="","",IFERROR(-AW386,"n.b."))</f>
        <v/>
      </c>
      <c r="CK386" s="124" t="str">
        <f>IF($B386="","",IFERROR(-AX386,"n.b."))</f>
        <v/>
      </c>
      <c r="CL386" s="124" t="str">
        <f>IF($B386="","",IFERROR(-AY386,"n.b."))</f>
        <v/>
      </c>
      <c r="CM386" s="124" t="str">
        <f>IF($B386="","",IFERROR(-AZ386,"n.b."))</f>
        <v/>
      </c>
      <c r="CN386" s="124" t="str">
        <f>IF($B386="","",IFERROR(-BA386,"n.b."))</f>
        <v/>
      </c>
      <c r="CO386" s="124" t="str">
        <f>IF($B386="","",IFERROR(-BB386,"n.b."))</f>
        <v/>
      </c>
      <c r="CP386" s="124" t="str">
        <f>IF($B386="","",IFERROR(-BC386,"n.b."))</f>
        <v/>
      </c>
      <c r="CQ386" s="124" t="str">
        <f>IF($B386="","",IFERROR(-BD386,"n.b."))</f>
        <v/>
      </c>
      <c r="CR386" s="124" t="str">
        <f>IF($B386="","",IFERROR(-BE386,"n.b."))</f>
        <v/>
      </c>
      <c r="CS386" s="124" t="str">
        <f>IF($B386="","",IFERROR(IF(OR(ABS(T386+V386+X386+Z386-AB386)&gt;P_Tol,ABS(U386+W386+Y386+AA386-AD386)&gt;P_Tol,ABS(AE386+AG386+AI386+AK386-AM386)&gt;P_Tol,ABS(AF386+AH386+AJ386+AL386-AO386)&gt;P_Tol),1,0),1))</f>
        <v/>
      </c>
      <c r="CT386" s="124" t="str">
        <f>IF($B386="","",IFERROR(IF(OR(ABS(AB386+AC386-AD386)&gt;P_Tol,ABS(AM386+AN386-AO386)&gt;P_Tol,ABS(O386+P386-Q386)&gt;P_Tol),1,0),1))</f>
        <v/>
      </c>
      <c r="CU386" s="124" t="str">
        <f>IF($B386="","",IFERROR(IF(ABS(R386-(AB386+AM386+AP386+AR386+AT386+AV386+AX386+AZ386+BB386+BD386))&gt;P_Tol,1,0),1))</f>
        <v/>
      </c>
      <c r="CV386" s="124" t="str">
        <f>IF($B386="","",IFERROR(IF(ABS(M386-(N386+O386+R386))&gt;P_Tol,1,0),1))</f>
        <v/>
      </c>
      <c r="CW386" s="124" t="str">
        <f>IF($B386="","",IF(COUNTIF(Mapping!$A$5:$A$104,B386)&gt;0,1,0))</f>
        <v/>
      </c>
      <c r="CX386" s="124" t="str">
        <f>IF($B386="","",COUNTIF($B$6:$B$505,B386))</f>
        <v/>
      </c>
      <c r="CY386" s="124" t="str">
        <f>IF($B386="","",COUNTIF(STG_Woningetalage!$B$6:$B$505,B386))</f>
        <v/>
      </c>
      <c r="CZ386" s="124" t="str">
        <f>IF($B386="","",IF(CW386=0,COUNTIF($CW$6:CW386,0),""))</f>
        <v/>
      </c>
    </row>
    <row r="387">
      <c r="A387" s="15" t="n">
        <v>383</v>
      </c>
      <c r="B387" t="str">
        <f>IF(B$3=0,"",IF(INDEX(SRC_ZPMW03!$A$1:$ZZ$501,$A387,B$3)&amp;""="","",INDEX(SRC_ZPMW03!$A$1:$ZZ$501,$A387,B$3)&amp;""))</f>
        <v/>
      </c>
      <c r="C387" t="str">
        <f>IF($B387="","",IF(C$3=0,"n.b.",INDEX(SRC_ZPMW03!$A$1:$ZZ$501,$A387,C$3)))</f>
        <v/>
      </c>
      <c r="D387" t="str">
        <f>IF($B387="","",IF(D$3=0,"n.b.",INDEX(SRC_ZPMW03!$A$1:$ZZ$501,$A387,D$3)))</f>
        <v/>
      </c>
      <c r="E387" t="str">
        <f>IF($B387="","",IF(E$3=0,"n.b.",INDEX(SRC_ZPMW03!$A$1:$ZZ$501,$A387,E$3)))</f>
        <v/>
      </c>
      <c r="F387" t="str">
        <f>IF($B387="","",IF(F$3=0,"n.b.",INDEX(SRC_ZPMW03!$A$1:$ZZ$501,$A387,F$3)))</f>
        <v/>
      </c>
      <c r="G387" t="str">
        <f>IF($B387="","",IF(G$3=0,"n.b.",INDEX(SRC_ZPMW03!$A$1:$ZZ$501,$A387,G$3)))</f>
        <v/>
      </c>
      <c r="H387" t="str">
        <f>IF($B387="","",IF(H$3=0,"n.b.",INDEX(SRC_ZPMW03!$A$1:$ZZ$501,$A387,H$3)))</f>
        <v/>
      </c>
      <c r="I387" t="str">
        <f>IF($B387="","",IF(I$3=0,"n.b.",INDEX(SRC_ZPMW03!$A$1:$ZZ$501,$A387,I$3)))</f>
        <v/>
      </c>
      <c r="J387" t="str">
        <f>IF($B387="","",IF(J$3=0,"n.b.",INDEX(SRC_ZPMW03!$A$1:$ZZ$501,$A387,J$3)))</f>
        <v/>
      </c>
      <c r="K387" t="str">
        <f>IF($B387="","",IF(K$3=0,"n.b.",INDEX(SRC_ZPMW03!$A$1:$ZZ$501,$A387,K$3)))</f>
        <v/>
      </c>
      <c r="L387" s="124" t="str">
        <f>IF($B387="","",IF(L$3=0,"n.b.",INDEX(SRC_ZPMW03!$A$1:$ZZ$501,$A387,L$3)))</f>
        <v/>
      </c>
      <c r="M387" s="124" t="str">
        <f>IF($B387="","",IF(M$3=0,"n.b.",INDEX(SRC_ZPMW03!$A$1:$ZZ$501,$A387,M$3)))</f>
        <v/>
      </c>
      <c r="N387" s="124" t="str">
        <f>IF($B387="","",IF(N$3=0,"n.b.",INDEX(SRC_ZPMW03!$A$1:$ZZ$501,$A387,N$3)))</f>
        <v/>
      </c>
      <c r="O387" s="124" t="str">
        <f>IF($B387="","",IF(O$3=0,"n.b.",INDEX(SRC_ZPMW03!$A$1:$ZZ$501,$A387,O$3)))</f>
        <v/>
      </c>
      <c r="P387" s="124" t="str">
        <f>IF($B387="","",IF(P$3=0,"n.b.",INDEX(SRC_ZPMW03!$A$1:$ZZ$501,$A387,P$3)))</f>
        <v/>
      </c>
      <c r="Q387" s="124" t="str">
        <f>IF($B387="","",IF(Q$3=0,"n.b.",INDEX(SRC_ZPMW03!$A$1:$ZZ$501,$A387,Q$3)))</f>
        <v/>
      </c>
      <c r="R387" s="124" t="str">
        <f>IF($B387="","",IF(R$3=0,"n.b.",INDEX(SRC_ZPMW03!$A$1:$ZZ$501,$A387,R$3)))</f>
        <v/>
      </c>
      <c r="S387" s="124" t="str">
        <f>IF($B387="","",IF(S$3=0,"n.b.",INDEX(SRC_ZPMW03!$A$1:$ZZ$501,$A387,S$3)))</f>
        <v/>
      </c>
      <c r="T387" s="124" t="str">
        <f>IF($B387="","",IF(T$3=0,"n.b.",INDEX(SRC_ZPMW03!$A$1:$ZZ$501,$A387,T$3)))</f>
        <v/>
      </c>
      <c r="U387" s="124" t="str">
        <f>IF($B387="","",IF(U$3=0,"n.b.",INDEX(SRC_ZPMW03!$A$1:$ZZ$501,$A387,U$3)))</f>
        <v/>
      </c>
      <c r="V387" s="124" t="str">
        <f>IF($B387="","",IF(V$3=0,"n.b.",INDEX(SRC_ZPMW03!$A$1:$ZZ$501,$A387,V$3)))</f>
        <v/>
      </c>
      <c r="W387" s="124" t="str">
        <f>IF($B387="","",IF(W$3=0,"n.b.",INDEX(SRC_ZPMW03!$A$1:$ZZ$501,$A387,W$3)))</f>
        <v/>
      </c>
      <c r="X387" s="124" t="str">
        <f>IF($B387="","",IF(X$3=0,"n.b.",INDEX(SRC_ZPMW03!$A$1:$ZZ$501,$A387,X$3)))</f>
        <v/>
      </c>
      <c r="Y387" s="124" t="str">
        <f>IF($B387="","",IF(Y$3=0,"n.b.",INDEX(SRC_ZPMW03!$A$1:$ZZ$501,$A387,Y$3)))</f>
        <v/>
      </c>
      <c r="Z387" s="124" t="str">
        <f>IF($B387="","",IF(Z$3=0,"n.b.",INDEX(SRC_ZPMW03!$A$1:$ZZ$501,$A387,Z$3)))</f>
        <v/>
      </c>
      <c r="AA387" s="124" t="str">
        <f>IF($B387="","",IF(AA$3=0,"n.b.",INDEX(SRC_ZPMW03!$A$1:$ZZ$501,$A387,AA$3)))</f>
        <v/>
      </c>
      <c r="AB387" s="124" t="str">
        <f>IF($B387="","",IF(AB$3=0,"n.b.",INDEX(SRC_ZPMW03!$A$1:$ZZ$501,$A387,AB$3)))</f>
        <v/>
      </c>
      <c r="AC387" s="124" t="str">
        <f>IF($B387="","",IF(AC$3=0,"n.b.",INDEX(SRC_ZPMW03!$A$1:$ZZ$501,$A387,AC$3)))</f>
        <v/>
      </c>
      <c r="AD387" s="124" t="str">
        <f>IF($B387="","",IF(AD$3=0,"n.b.",INDEX(SRC_ZPMW03!$A$1:$ZZ$501,$A387,AD$3)))</f>
        <v/>
      </c>
      <c r="AE387" s="124" t="str">
        <f>IF($B387="","",IF(AE$3=0,"n.b.",INDEX(SRC_ZPMW03!$A$1:$ZZ$501,$A387,AE$3)))</f>
        <v/>
      </c>
      <c r="AF387" s="124" t="str">
        <f>IF($B387="","",IF(AF$3=0,"n.b.",INDEX(SRC_ZPMW03!$A$1:$ZZ$501,$A387,AF$3)))</f>
        <v/>
      </c>
      <c r="AG387" s="124" t="str">
        <f>IF($B387="","",IF(AG$3=0,"n.b.",INDEX(SRC_ZPMW03!$A$1:$ZZ$501,$A387,AG$3)))</f>
        <v/>
      </c>
      <c r="AH387" s="124" t="str">
        <f>IF($B387="","",IF(AH$3=0,"n.b.",INDEX(SRC_ZPMW03!$A$1:$ZZ$501,$A387,AH$3)))</f>
        <v/>
      </c>
      <c r="AI387" s="124" t="str">
        <f>IF($B387="","",IF(AI$3=0,"n.b.",INDEX(SRC_ZPMW03!$A$1:$ZZ$501,$A387,AI$3)))</f>
        <v/>
      </c>
      <c r="AJ387" s="124" t="str">
        <f>IF($B387="","",IF(AJ$3=0,"n.b.",INDEX(SRC_ZPMW03!$A$1:$ZZ$501,$A387,AJ$3)))</f>
        <v/>
      </c>
      <c r="AK387" s="124" t="str">
        <f>IF($B387="","",IF(AK$3=0,"n.b.",INDEX(SRC_ZPMW03!$A$1:$ZZ$501,$A387,AK$3)))</f>
        <v/>
      </c>
      <c r="AL387" s="124" t="str">
        <f>IF($B387="","",IF(AL$3=0,"n.b.",INDEX(SRC_ZPMW03!$A$1:$ZZ$501,$A387,AL$3)))</f>
        <v/>
      </c>
      <c r="AM387" s="124" t="str">
        <f>IF($B387="","",IF(AM$3=0,"n.b.",INDEX(SRC_ZPMW03!$A$1:$ZZ$501,$A387,AM$3)))</f>
        <v/>
      </c>
      <c r="AN387" s="124" t="str">
        <f>IF($B387="","",IF(AN$3=0,"n.b.",INDEX(SRC_ZPMW03!$A$1:$ZZ$501,$A387,AN$3)))</f>
        <v/>
      </c>
      <c r="AO387" s="124" t="str">
        <f>IF($B387="","",IF(AO$3=0,"n.b.",INDEX(SRC_ZPMW03!$A$1:$ZZ$501,$A387,AO$3)))</f>
        <v/>
      </c>
      <c r="AP387" s="124" t="str">
        <f>IF($B387="","",IF(AP$3=0,"n.b.",INDEX(SRC_ZPMW03!$A$1:$ZZ$501,$A387,AP$3)))</f>
        <v/>
      </c>
      <c r="AQ387" s="124" t="str">
        <f>IF($B387="","",IF(AQ$3=0,"n.b.",INDEX(SRC_ZPMW03!$A$1:$ZZ$501,$A387,AQ$3)))</f>
        <v/>
      </c>
      <c r="AR387" s="124" t="str">
        <f>IF($B387="","",IF(AR$3=0,"n.b.",INDEX(SRC_ZPMW03!$A$1:$ZZ$501,$A387,AR$3)))</f>
        <v/>
      </c>
      <c r="AS387" s="124" t="str">
        <f>IF($B387="","",IF(AS$3=0,"n.b.",INDEX(SRC_ZPMW03!$A$1:$ZZ$501,$A387,AS$3)))</f>
        <v/>
      </c>
      <c r="AT387" s="124" t="str">
        <f>IF($B387="","",IF(AT$3=0,"n.b.",INDEX(SRC_ZPMW03!$A$1:$ZZ$501,$A387,AT$3)))</f>
        <v/>
      </c>
      <c r="AU387" s="124" t="str">
        <f>IF($B387="","",IF(AU$3=0,"n.b.",INDEX(SRC_ZPMW03!$A$1:$ZZ$501,$A387,AU$3)))</f>
        <v/>
      </c>
      <c r="AV387" s="124" t="str">
        <f>IF($B387="","",IF(AV$3=0,"n.b.",INDEX(SRC_ZPMW03!$A$1:$ZZ$501,$A387,AV$3)))</f>
        <v/>
      </c>
      <c r="AW387" s="124" t="str">
        <f>IF($B387="","",IF(AW$3=0,"n.b.",INDEX(SRC_ZPMW03!$A$1:$ZZ$501,$A387,AW$3)))</f>
        <v/>
      </c>
      <c r="AX387" s="124" t="str">
        <f>IF($B387="","",IF(AX$3=0,"n.b.",INDEX(SRC_ZPMW03!$A$1:$ZZ$501,$A387,AX$3)))</f>
        <v/>
      </c>
      <c r="AY387" s="124" t="str">
        <f>IF($B387="","",IF(AY$3=0,"n.b.",INDEX(SRC_ZPMW03!$A$1:$ZZ$501,$A387,AY$3)))</f>
        <v/>
      </c>
      <c r="AZ387" s="124" t="str">
        <f>IF($B387="","",IF(AZ$3=0,"n.b.",INDEX(SRC_ZPMW03!$A$1:$ZZ$501,$A387,AZ$3)))</f>
        <v/>
      </c>
      <c r="BA387" s="124" t="str">
        <f>IF($B387="","",IF(BA$3=0,"n.b.",INDEX(SRC_ZPMW03!$A$1:$ZZ$501,$A387,BA$3)))</f>
        <v/>
      </c>
      <c r="BB387" s="124" t="str">
        <f>IF($B387="","",IF(BB$3=0,"n.b.",INDEX(SRC_ZPMW03!$A$1:$ZZ$501,$A387,BB$3)))</f>
        <v/>
      </c>
      <c r="BC387" s="124" t="str">
        <f>IF($B387="","",IF(BC$3=0,"n.b.",INDEX(SRC_ZPMW03!$A$1:$ZZ$501,$A387,BC$3)))</f>
        <v/>
      </c>
      <c r="BD387" s="124" t="str">
        <f>IF($B387="","",IF(BD$3=0,"n.b.",INDEX(SRC_ZPMW03!$A$1:$ZZ$501,$A387,BD$3)))</f>
        <v/>
      </c>
      <c r="BE387" s="124" t="str">
        <f>IF($B387="","",IF(BE$3=0,"n.b.",INDEX(SRC_ZPMW03!$A$1:$ZZ$501,$A387,BE$3)))</f>
        <v/>
      </c>
      <c r="BF387" s="124" t="str">
        <f>IF($B387="","",IF(BF$3=0,"n.b.",INDEX(SRC_ZPMW03!$A$1:$ZZ$501,$A387,BF$3)))</f>
        <v/>
      </c>
      <c r="BG387" t="str">
        <f>IF($B387="","",IF(BG$3=0,"n.b.",INDEX(SRC_ZPMW03!$A$1:$ZZ$501,$A387,BG$3)))</f>
        <v/>
      </c>
      <c r="BH387" t="str">
        <f>IF($B387="","",IF(BH$3=0,"n.b.",INDEX(SRC_ZPMW03!$A$1:$ZZ$501,$A387,BH$3)))</f>
        <v/>
      </c>
      <c r="BI387" t="str">
        <f>IF($B387="","",IF(BI$3=0,"n.b.",INDEX(SRC_ZPMW03!$A$1:$ZZ$501,$A387,BI$3)))</f>
        <v/>
      </c>
      <c r="BJ387" t="str">
        <f>IF($B387="","",IF(BJ$3=0,"n.b.",INDEX(SRC_ZPMW03!$A$1:$ZZ$501,$A387,BJ$3)))</f>
        <v/>
      </c>
      <c r="BK387" s="124" t="str">
        <f>IF($B387="","",IFERROR(-O387,"n.b."))</f>
        <v/>
      </c>
      <c r="BL387" s="124" t="str">
        <f>IF($B387="","",IFERROR(-Q387,"n.b."))</f>
        <v/>
      </c>
      <c r="BM387" s="124" t="str">
        <f>IF($B387="","",IFERROR(-AB387,"n.b."))</f>
        <v/>
      </c>
      <c r="BN387" s="124" t="str">
        <f>IF($B387="","",IFERROR(-AD387,"n.b."))</f>
        <v/>
      </c>
      <c r="BO387" s="124" t="str">
        <f>IF($B387="","",IFERROR(BK387+BM387,"n.b."))</f>
        <v/>
      </c>
      <c r="BP387" s="124" t="str">
        <f>IF($B387="","",IFERROR(BL387+BN387,"n.b."))</f>
        <v/>
      </c>
      <c r="BQ387" s="124" t="str">
        <f>IF($B387="","",IFERROR(-AM387,"n.b."))</f>
        <v/>
      </c>
      <c r="BR387" s="124" t="str">
        <f>IF($B387="","",IFERROR(-AO387,"n.b."))</f>
        <v/>
      </c>
      <c r="BS387" s="124" t="str">
        <f>IF($B387="","",IFERROR(-Z387,"n.b."))</f>
        <v/>
      </c>
      <c r="BT387" s="124" t="str">
        <f>IF($B387="","",IFERROR(-AA387,"n.b."))</f>
        <v/>
      </c>
      <c r="BU387" s="124" t="str">
        <f>IF($B387="","",IFERROR(-AE387,"n.b."))</f>
        <v/>
      </c>
      <c r="BV387" s="124" t="str">
        <f>IF($B387="","",IFERROR(-AF387,"n.b."))</f>
        <v/>
      </c>
      <c r="BW387" s="124" t="str">
        <f>IF($B387="","",IFERROR(-AG387,"n.b."))</f>
        <v/>
      </c>
      <c r="BX387" s="124" t="str">
        <f>IF($B387="","",IFERROR(-AH387,"n.b."))</f>
        <v/>
      </c>
      <c r="BY387" s="124" t="str">
        <f>IF($B387="","",IFERROR(-AI387,"n.b."))</f>
        <v/>
      </c>
      <c r="BZ387" s="124" t="str">
        <f>IF($B387="","",IFERROR(-AJ387,"n.b."))</f>
        <v/>
      </c>
      <c r="CA387" s="124" t="str">
        <f>IF($B387="","",IFERROR(-AK387,"n.b."))</f>
        <v/>
      </c>
      <c r="CB387" s="124" t="str">
        <f>IF($B387="","",IFERROR(-AL387,"n.b."))</f>
        <v/>
      </c>
      <c r="CC387" s="124" t="str">
        <f>IF($B387="","",IFERROR(-AP387,"n.b."))</f>
        <v/>
      </c>
      <c r="CD387" s="124" t="str">
        <f>IF($B387="","",IFERROR(-AQ387,"n.b."))</f>
        <v/>
      </c>
      <c r="CE387" s="124" t="str">
        <f>IF($B387="","",IFERROR(-AR387,"n.b."))</f>
        <v/>
      </c>
      <c r="CF387" s="124" t="str">
        <f>IF($B387="","",IFERROR(-AS387,"n.b."))</f>
        <v/>
      </c>
      <c r="CG387" s="124" t="str">
        <f>IF($B387="","",IFERROR(-AT387,"n.b."))</f>
        <v/>
      </c>
      <c r="CH387" s="124" t="str">
        <f>IF($B387="","",IFERROR(-AU387,"n.b."))</f>
        <v/>
      </c>
      <c r="CI387" s="124" t="str">
        <f>IF($B387="","",IFERROR(-AV387,"n.b."))</f>
        <v/>
      </c>
      <c r="CJ387" s="124" t="str">
        <f>IF($B387="","",IFERROR(-AW387,"n.b."))</f>
        <v/>
      </c>
      <c r="CK387" s="124" t="str">
        <f>IF($B387="","",IFERROR(-AX387,"n.b."))</f>
        <v/>
      </c>
      <c r="CL387" s="124" t="str">
        <f>IF($B387="","",IFERROR(-AY387,"n.b."))</f>
        <v/>
      </c>
      <c r="CM387" s="124" t="str">
        <f>IF($B387="","",IFERROR(-AZ387,"n.b."))</f>
        <v/>
      </c>
      <c r="CN387" s="124" t="str">
        <f>IF($B387="","",IFERROR(-BA387,"n.b."))</f>
        <v/>
      </c>
      <c r="CO387" s="124" t="str">
        <f>IF($B387="","",IFERROR(-BB387,"n.b."))</f>
        <v/>
      </c>
      <c r="CP387" s="124" t="str">
        <f>IF($B387="","",IFERROR(-BC387,"n.b."))</f>
        <v/>
      </c>
      <c r="CQ387" s="124" t="str">
        <f>IF($B387="","",IFERROR(-BD387,"n.b."))</f>
        <v/>
      </c>
      <c r="CR387" s="124" t="str">
        <f>IF($B387="","",IFERROR(-BE387,"n.b."))</f>
        <v/>
      </c>
      <c r="CS387" s="124" t="str">
        <f>IF($B387="","",IFERROR(IF(OR(ABS(T387+V387+X387+Z387-AB387)&gt;P_Tol,ABS(U387+W387+Y387+AA387-AD387)&gt;P_Tol,ABS(AE387+AG387+AI387+AK387-AM387)&gt;P_Tol,ABS(AF387+AH387+AJ387+AL387-AO387)&gt;P_Tol),1,0),1))</f>
        <v/>
      </c>
      <c r="CT387" s="124" t="str">
        <f>IF($B387="","",IFERROR(IF(OR(ABS(AB387+AC387-AD387)&gt;P_Tol,ABS(AM387+AN387-AO387)&gt;P_Tol,ABS(O387+P387-Q387)&gt;P_Tol),1,0),1))</f>
        <v/>
      </c>
      <c r="CU387" s="124" t="str">
        <f>IF($B387="","",IFERROR(IF(ABS(R387-(AB387+AM387+AP387+AR387+AT387+AV387+AX387+AZ387+BB387+BD387))&gt;P_Tol,1,0),1))</f>
        <v/>
      </c>
      <c r="CV387" s="124" t="str">
        <f>IF($B387="","",IFERROR(IF(ABS(M387-(N387+O387+R387))&gt;P_Tol,1,0),1))</f>
        <v/>
      </c>
      <c r="CW387" s="124" t="str">
        <f>IF($B387="","",IF(COUNTIF(Mapping!$A$5:$A$104,B387)&gt;0,1,0))</f>
        <v/>
      </c>
      <c r="CX387" s="124" t="str">
        <f>IF($B387="","",COUNTIF($B$6:$B$505,B387))</f>
        <v/>
      </c>
      <c r="CY387" s="124" t="str">
        <f>IF($B387="","",COUNTIF(STG_Woningetalage!$B$6:$B$505,B387))</f>
        <v/>
      </c>
      <c r="CZ387" s="124" t="str">
        <f>IF($B387="","",IF(CW387=0,COUNTIF($CW$6:CW387,0),""))</f>
        <v/>
      </c>
    </row>
    <row r="388">
      <c r="A388" s="15" t="n">
        <v>384</v>
      </c>
      <c r="B388" t="str">
        <f>IF(B$3=0,"",IF(INDEX(SRC_ZPMW03!$A$1:$ZZ$501,$A388,B$3)&amp;""="","",INDEX(SRC_ZPMW03!$A$1:$ZZ$501,$A388,B$3)&amp;""))</f>
        <v/>
      </c>
      <c r="C388" t="str">
        <f>IF($B388="","",IF(C$3=0,"n.b.",INDEX(SRC_ZPMW03!$A$1:$ZZ$501,$A388,C$3)))</f>
        <v/>
      </c>
      <c r="D388" t="str">
        <f>IF($B388="","",IF(D$3=0,"n.b.",INDEX(SRC_ZPMW03!$A$1:$ZZ$501,$A388,D$3)))</f>
        <v/>
      </c>
      <c r="E388" t="str">
        <f>IF($B388="","",IF(E$3=0,"n.b.",INDEX(SRC_ZPMW03!$A$1:$ZZ$501,$A388,E$3)))</f>
        <v/>
      </c>
      <c r="F388" t="str">
        <f>IF($B388="","",IF(F$3=0,"n.b.",INDEX(SRC_ZPMW03!$A$1:$ZZ$501,$A388,F$3)))</f>
        <v/>
      </c>
      <c r="G388" t="str">
        <f>IF($B388="","",IF(G$3=0,"n.b.",INDEX(SRC_ZPMW03!$A$1:$ZZ$501,$A388,G$3)))</f>
        <v/>
      </c>
      <c r="H388" t="str">
        <f>IF($B388="","",IF(H$3=0,"n.b.",INDEX(SRC_ZPMW03!$A$1:$ZZ$501,$A388,H$3)))</f>
        <v/>
      </c>
      <c r="I388" t="str">
        <f>IF($B388="","",IF(I$3=0,"n.b.",INDEX(SRC_ZPMW03!$A$1:$ZZ$501,$A388,I$3)))</f>
        <v/>
      </c>
      <c r="J388" t="str">
        <f>IF($B388="","",IF(J$3=0,"n.b.",INDEX(SRC_ZPMW03!$A$1:$ZZ$501,$A388,J$3)))</f>
        <v/>
      </c>
      <c r="K388" t="str">
        <f>IF($B388="","",IF(K$3=0,"n.b.",INDEX(SRC_ZPMW03!$A$1:$ZZ$501,$A388,K$3)))</f>
        <v/>
      </c>
      <c r="L388" s="124" t="str">
        <f>IF($B388="","",IF(L$3=0,"n.b.",INDEX(SRC_ZPMW03!$A$1:$ZZ$501,$A388,L$3)))</f>
        <v/>
      </c>
      <c r="M388" s="124" t="str">
        <f>IF($B388="","",IF(M$3=0,"n.b.",INDEX(SRC_ZPMW03!$A$1:$ZZ$501,$A388,M$3)))</f>
        <v/>
      </c>
      <c r="N388" s="124" t="str">
        <f>IF($B388="","",IF(N$3=0,"n.b.",INDEX(SRC_ZPMW03!$A$1:$ZZ$501,$A388,N$3)))</f>
        <v/>
      </c>
      <c r="O388" s="124" t="str">
        <f>IF($B388="","",IF(O$3=0,"n.b.",INDEX(SRC_ZPMW03!$A$1:$ZZ$501,$A388,O$3)))</f>
        <v/>
      </c>
      <c r="P388" s="124" t="str">
        <f>IF($B388="","",IF(P$3=0,"n.b.",INDEX(SRC_ZPMW03!$A$1:$ZZ$501,$A388,P$3)))</f>
        <v/>
      </c>
      <c r="Q388" s="124" t="str">
        <f>IF($B388="","",IF(Q$3=0,"n.b.",INDEX(SRC_ZPMW03!$A$1:$ZZ$501,$A388,Q$3)))</f>
        <v/>
      </c>
      <c r="R388" s="124" t="str">
        <f>IF($B388="","",IF(R$3=0,"n.b.",INDEX(SRC_ZPMW03!$A$1:$ZZ$501,$A388,R$3)))</f>
        <v/>
      </c>
      <c r="S388" s="124" t="str">
        <f>IF($B388="","",IF(S$3=0,"n.b.",INDEX(SRC_ZPMW03!$A$1:$ZZ$501,$A388,S$3)))</f>
        <v/>
      </c>
      <c r="T388" s="124" t="str">
        <f>IF($B388="","",IF(T$3=0,"n.b.",INDEX(SRC_ZPMW03!$A$1:$ZZ$501,$A388,T$3)))</f>
        <v/>
      </c>
      <c r="U388" s="124" t="str">
        <f>IF($B388="","",IF(U$3=0,"n.b.",INDEX(SRC_ZPMW03!$A$1:$ZZ$501,$A388,U$3)))</f>
        <v/>
      </c>
      <c r="V388" s="124" t="str">
        <f>IF($B388="","",IF(V$3=0,"n.b.",INDEX(SRC_ZPMW03!$A$1:$ZZ$501,$A388,V$3)))</f>
        <v/>
      </c>
      <c r="W388" s="124" t="str">
        <f>IF($B388="","",IF(W$3=0,"n.b.",INDEX(SRC_ZPMW03!$A$1:$ZZ$501,$A388,W$3)))</f>
        <v/>
      </c>
      <c r="X388" s="124" t="str">
        <f>IF($B388="","",IF(X$3=0,"n.b.",INDEX(SRC_ZPMW03!$A$1:$ZZ$501,$A388,X$3)))</f>
        <v/>
      </c>
      <c r="Y388" s="124" t="str">
        <f>IF($B388="","",IF(Y$3=0,"n.b.",INDEX(SRC_ZPMW03!$A$1:$ZZ$501,$A388,Y$3)))</f>
        <v/>
      </c>
      <c r="Z388" s="124" t="str">
        <f>IF($B388="","",IF(Z$3=0,"n.b.",INDEX(SRC_ZPMW03!$A$1:$ZZ$501,$A388,Z$3)))</f>
        <v/>
      </c>
      <c r="AA388" s="124" t="str">
        <f>IF($B388="","",IF(AA$3=0,"n.b.",INDEX(SRC_ZPMW03!$A$1:$ZZ$501,$A388,AA$3)))</f>
        <v/>
      </c>
      <c r="AB388" s="124" t="str">
        <f>IF($B388="","",IF(AB$3=0,"n.b.",INDEX(SRC_ZPMW03!$A$1:$ZZ$501,$A388,AB$3)))</f>
        <v/>
      </c>
      <c r="AC388" s="124" t="str">
        <f>IF($B388="","",IF(AC$3=0,"n.b.",INDEX(SRC_ZPMW03!$A$1:$ZZ$501,$A388,AC$3)))</f>
        <v/>
      </c>
      <c r="AD388" s="124" t="str">
        <f>IF($B388="","",IF(AD$3=0,"n.b.",INDEX(SRC_ZPMW03!$A$1:$ZZ$501,$A388,AD$3)))</f>
        <v/>
      </c>
      <c r="AE388" s="124" t="str">
        <f>IF($B388="","",IF(AE$3=0,"n.b.",INDEX(SRC_ZPMW03!$A$1:$ZZ$501,$A388,AE$3)))</f>
        <v/>
      </c>
      <c r="AF388" s="124" t="str">
        <f>IF($B388="","",IF(AF$3=0,"n.b.",INDEX(SRC_ZPMW03!$A$1:$ZZ$501,$A388,AF$3)))</f>
        <v/>
      </c>
      <c r="AG388" s="124" t="str">
        <f>IF($B388="","",IF(AG$3=0,"n.b.",INDEX(SRC_ZPMW03!$A$1:$ZZ$501,$A388,AG$3)))</f>
        <v/>
      </c>
      <c r="AH388" s="124" t="str">
        <f>IF($B388="","",IF(AH$3=0,"n.b.",INDEX(SRC_ZPMW03!$A$1:$ZZ$501,$A388,AH$3)))</f>
        <v/>
      </c>
      <c r="AI388" s="124" t="str">
        <f>IF($B388="","",IF(AI$3=0,"n.b.",INDEX(SRC_ZPMW03!$A$1:$ZZ$501,$A388,AI$3)))</f>
        <v/>
      </c>
      <c r="AJ388" s="124" t="str">
        <f>IF($B388="","",IF(AJ$3=0,"n.b.",INDEX(SRC_ZPMW03!$A$1:$ZZ$501,$A388,AJ$3)))</f>
        <v/>
      </c>
      <c r="AK388" s="124" t="str">
        <f>IF($B388="","",IF(AK$3=0,"n.b.",INDEX(SRC_ZPMW03!$A$1:$ZZ$501,$A388,AK$3)))</f>
        <v/>
      </c>
      <c r="AL388" s="124" t="str">
        <f>IF($B388="","",IF(AL$3=0,"n.b.",INDEX(SRC_ZPMW03!$A$1:$ZZ$501,$A388,AL$3)))</f>
        <v/>
      </c>
      <c r="AM388" s="124" t="str">
        <f>IF($B388="","",IF(AM$3=0,"n.b.",INDEX(SRC_ZPMW03!$A$1:$ZZ$501,$A388,AM$3)))</f>
        <v/>
      </c>
      <c r="AN388" s="124" t="str">
        <f>IF($B388="","",IF(AN$3=0,"n.b.",INDEX(SRC_ZPMW03!$A$1:$ZZ$501,$A388,AN$3)))</f>
        <v/>
      </c>
      <c r="AO388" s="124" t="str">
        <f>IF($B388="","",IF(AO$3=0,"n.b.",INDEX(SRC_ZPMW03!$A$1:$ZZ$501,$A388,AO$3)))</f>
        <v/>
      </c>
      <c r="AP388" s="124" t="str">
        <f>IF($B388="","",IF(AP$3=0,"n.b.",INDEX(SRC_ZPMW03!$A$1:$ZZ$501,$A388,AP$3)))</f>
        <v/>
      </c>
      <c r="AQ388" s="124" t="str">
        <f>IF($B388="","",IF(AQ$3=0,"n.b.",INDEX(SRC_ZPMW03!$A$1:$ZZ$501,$A388,AQ$3)))</f>
        <v/>
      </c>
      <c r="AR388" s="124" t="str">
        <f>IF($B388="","",IF(AR$3=0,"n.b.",INDEX(SRC_ZPMW03!$A$1:$ZZ$501,$A388,AR$3)))</f>
        <v/>
      </c>
      <c r="AS388" s="124" t="str">
        <f>IF($B388="","",IF(AS$3=0,"n.b.",INDEX(SRC_ZPMW03!$A$1:$ZZ$501,$A388,AS$3)))</f>
        <v/>
      </c>
      <c r="AT388" s="124" t="str">
        <f>IF($B388="","",IF(AT$3=0,"n.b.",INDEX(SRC_ZPMW03!$A$1:$ZZ$501,$A388,AT$3)))</f>
        <v/>
      </c>
      <c r="AU388" s="124" t="str">
        <f>IF($B388="","",IF(AU$3=0,"n.b.",INDEX(SRC_ZPMW03!$A$1:$ZZ$501,$A388,AU$3)))</f>
        <v/>
      </c>
      <c r="AV388" s="124" t="str">
        <f>IF($B388="","",IF(AV$3=0,"n.b.",INDEX(SRC_ZPMW03!$A$1:$ZZ$501,$A388,AV$3)))</f>
        <v/>
      </c>
      <c r="AW388" s="124" t="str">
        <f>IF($B388="","",IF(AW$3=0,"n.b.",INDEX(SRC_ZPMW03!$A$1:$ZZ$501,$A388,AW$3)))</f>
        <v/>
      </c>
      <c r="AX388" s="124" t="str">
        <f>IF($B388="","",IF(AX$3=0,"n.b.",INDEX(SRC_ZPMW03!$A$1:$ZZ$501,$A388,AX$3)))</f>
        <v/>
      </c>
      <c r="AY388" s="124" t="str">
        <f>IF($B388="","",IF(AY$3=0,"n.b.",INDEX(SRC_ZPMW03!$A$1:$ZZ$501,$A388,AY$3)))</f>
        <v/>
      </c>
      <c r="AZ388" s="124" t="str">
        <f>IF($B388="","",IF(AZ$3=0,"n.b.",INDEX(SRC_ZPMW03!$A$1:$ZZ$501,$A388,AZ$3)))</f>
        <v/>
      </c>
      <c r="BA388" s="124" t="str">
        <f>IF($B388="","",IF(BA$3=0,"n.b.",INDEX(SRC_ZPMW03!$A$1:$ZZ$501,$A388,BA$3)))</f>
        <v/>
      </c>
      <c r="BB388" s="124" t="str">
        <f>IF($B388="","",IF(BB$3=0,"n.b.",INDEX(SRC_ZPMW03!$A$1:$ZZ$501,$A388,BB$3)))</f>
        <v/>
      </c>
      <c r="BC388" s="124" t="str">
        <f>IF($B388="","",IF(BC$3=0,"n.b.",INDEX(SRC_ZPMW03!$A$1:$ZZ$501,$A388,BC$3)))</f>
        <v/>
      </c>
      <c r="BD388" s="124" t="str">
        <f>IF($B388="","",IF(BD$3=0,"n.b.",INDEX(SRC_ZPMW03!$A$1:$ZZ$501,$A388,BD$3)))</f>
        <v/>
      </c>
      <c r="BE388" s="124" t="str">
        <f>IF($B388="","",IF(BE$3=0,"n.b.",INDEX(SRC_ZPMW03!$A$1:$ZZ$501,$A388,BE$3)))</f>
        <v/>
      </c>
      <c r="BF388" s="124" t="str">
        <f>IF($B388="","",IF(BF$3=0,"n.b.",INDEX(SRC_ZPMW03!$A$1:$ZZ$501,$A388,BF$3)))</f>
        <v/>
      </c>
      <c r="BG388" t="str">
        <f>IF($B388="","",IF(BG$3=0,"n.b.",INDEX(SRC_ZPMW03!$A$1:$ZZ$501,$A388,BG$3)))</f>
        <v/>
      </c>
      <c r="BH388" t="str">
        <f>IF($B388="","",IF(BH$3=0,"n.b.",INDEX(SRC_ZPMW03!$A$1:$ZZ$501,$A388,BH$3)))</f>
        <v/>
      </c>
      <c r="BI388" t="str">
        <f>IF($B388="","",IF(BI$3=0,"n.b.",INDEX(SRC_ZPMW03!$A$1:$ZZ$501,$A388,BI$3)))</f>
        <v/>
      </c>
      <c r="BJ388" t="str">
        <f>IF($B388="","",IF(BJ$3=0,"n.b.",INDEX(SRC_ZPMW03!$A$1:$ZZ$501,$A388,BJ$3)))</f>
        <v/>
      </c>
      <c r="BK388" s="124" t="str">
        <f>IF($B388="","",IFERROR(-O388,"n.b."))</f>
        <v/>
      </c>
      <c r="BL388" s="124" t="str">
        <f>IF($B388="","",IFERROR(-Q388,"n.b."))</f>
        <v/>
      </c>
      <c r="BM388" s="124" t="str">
        <f>IF($B388="","",IFERROR(-AB388,"n.b."))</f>
        <v/>
      </c>
      <c r="BN388" s="124" t="str">
        <f>IF($B388="","",IFERROR(-AD388,"n.b."))</f>
        <v/>
      </c>
      <c r="BO388" s="124" t="str">
        <f>IF($B388="","",IFERROR(BK388+BM388,"n.b."))</f>
        <v/>
      </c>
      <c r="BP388" s="124" t="str">
        <f>IF($B388="","",IFERROR(BL388+BN388,"n.b."))</f>
        <v/>
      </c>
      <c r="BQ388" s="124" t="str">
        <f>IF($B388="","",IFERROR(-AM388,"n.b."))</f>
        <v/>
      </c>
      <c r="BR388" s="124" t="str">
        <f>IF($B388="","",IFERROR(-AO388,"n.b."))</f>
        <v/>
      </c>
      <c r="BS388" s="124" t="str">
        <f>IF($B388="","",IFERROR(-Z388,"n.b."))</f>
        <v/>
      </c>
      <c r="BT388" s="124" t="str">
        <f>IF($B388="","",IFERROR(-AA388,"n.b."))</f>
        <v/>
      </c>
      <c r="BU388" s="124" t="str">
        <f>IF($B388="","",IFERROR(-AE388,"n.b."))</f>
        <v/>
      </c>
      <c r="BV388" s="124" t="str">
        <f>IF($B388="","",IFERROR(-AF388,"n.b."))</f>
        <v/>
      </c>
      <c r="BW388" s="124" t="str">
        <f>IF($B388="","",IFERROR(-AG388,"n.b."))</f>
        <v/>
      </c>
      <c r="BX388" s="124" t="str">
        <f>IF($B388="","",IFERROR(-AH388,"n.b."))</f>
        <v/>
      </c>
      <c r="BY388" s="124" t="str">
        <f>IF($B388="","",IFERROR(-AI388,"n.b."))</f>
        <v/>
      </c>
      <c r="BZ388" s="124" t="str">
        <f>IF($B388="","",IFERROR(-AJ388,"n.b."))</f>
        <v/>
      </c>
      <c r="CA388" s="124" t="str">
        <f>IF($B388="","",IFERROR(-AK388,"n.b."))</f>
        <v/>
      </c>
      <c r="CB388" s="124" t="str">
        <f>IF($B388="","",IFERROR(-AL388,"n.b."))</f>
        <v/>
      </c>
      <c r="CC388" s="124" t="str">
        <f>IF($B388="","",IFERROR(-AP388,"n.b."))</f>
        <v/>
      </c>
      <c r="CD388" s="124" t="str">
        <f>IF($B388="","",IFERROR(-AQ388,"n.b."))</f>
        <v/>
      </c>
      <c r="CE388" s="124" t="str">
        <f>IF($B388="","",IFERROR(-AR388,"n.b."))</f>
        <v/>
      </c>
      <c r="CF388" s="124" t="str">
        <f>IF($B388="","",IFERROR(-AS388,"n.b."))</f>
        <v/>
      </c>
      <c r="CG388" s="124" t="str">
        <f>IF($B388="","",IFERROR(-AT388,"n.b."))</f>
        <v/>
      </c>
      <c r="CH388" s="124" t="str">
        <f>IF($B388="","",IFERROR(-AU388,"n.b."))</f>
        <v/>
      </c>
      <c r="CI388" s="124" t="str">
        <f>IF($B388="","",IFERROR(-AV388,"n.b."))</f>
        <v/>
      </c>
      <c r="CJ388" s="124" t="str">
        <f>IF($B388="","",IFERROR(-AW388,"n.b."))</f>
        <v/>
      </c>
      <c r="CK388" s="124" t="str">
        <f>IF($B388="","",IFERROR(-AX388,"n.b."))</f>
        <v/>
      </c>
      <c r="CL388" s="124" t="str">
        <f>IF($B388="","",IFERROR(-AY388,"n.b."))</f>
        <v/>
      </c>
      <c r="CM388" s="124" t="str">
        <f>IF($B388="","",IFERROR(-AZ388,"n.b."))</f>
        <v/>
      </c>
      <c r="CN388" s="124" t="str">
        <f>IF($B388="","",IFERROR(-BA388,"n.b."))</f>
        <v/>
      </c>
      <c r="CO388" s="124" t="str">
        <f>IF($B388="","",IFERROR(-BB388,"n.b."))</f>
        <v/>
      </c>
      <c r="CP388" s="124" t="str">
        <f>IF($B388="","",IFERROR(-BC388,"n.b."))</f>
        <v/>
      </c>
      <c r="CQ388" s="124" t="str">
        <f>IF($B388="","",IFERROR(-BD388,"n.b."))</f>
        <v/>
      </c>
      <c r="CR388" s="124" t="str">
        <f>IF($B388="","",IFERROR(-BE388,"n.b."))</f>
        <v/>
      </c>
      <c r="CS388" s="124" t="str">
        <f>IF($B388="","",IFERROR(IF(OR(ABS(T388+V388+X388+Z388-AB388)&gt;P_Tol,ABS(U388+W388+Y388+AA388-AD388)&gt;P_Tol,ABS(AE388+AG388+AI388+AK388-AM388)&gt;P_Tol,ABS(AF388+AH388+AJ388+AL388-AO388)&gt;P_Tol),1,0),1))</f>
        <v/>
      </c>
      <c r="CT388" s="124" t="str">
        <f>IF($B388="","",IFERROR(IF(OR(ABS(AB388+AC388-AD388)&gt;P_Tol,ABS(AM388+AN388-AO388)&gt;P_Tol,ABS(O388+P388-Q388)&gt;P_Tol),1,0),1))</f>
        <v/>
      </c>
      <c r="CU388" s="124" t="str">
        <f>IF($B388="","",IFERROR(IF(ABS(R388-(AB388+AM388+AP388+AR388+AT388+AV388+AX388+AZ388+BB388+BD388))&gt;P_Tol,1,0),1))</f>
        <v/>
      </c>
      <c r="CV388" s="124" t="str">
        <f>IF($B388="","",IFERROR(IF(ABS(M388-(N388+O388+R388))&gt;P_Tol,1,0),1))</f>
        <v/>
      </c>
      <c r="CW388" s="124" t="str">
        <f>IF($B388="","",IF(COUNTIF(Mapping!$A$5:$A$104,B388)&gt;0,1,0))</f>
        <v/>
      </c>
      <c r="CX388" s="124" t="str">
        <f>IF($B388="","",COUNTIF($B$6:$B$505,B388))</f>
        <v/>
      </c>
      <c r="CY388" s="124" t="str">
        <f>IF($B388="","",COUNTIF(STG_Woningetalage!$B$6:$B$505,B388))</f>
        <v/>
      </c>
      <c r="CZ388" s="124" t="str">
        <f>IF($B388="","",IF(CW388=0,COUNTIF($CW$6:CW388,0),""))</f>
        <v/>
      </c>
    </row>
    <row r="389">
      <c r="A389" s="15" t="n">
        <v>385</v>
      </c>
      <c r="B389" t="str">
        <f>IF(B$3=0,"",IF(INDEX(SRC_ZPMW03!$A$1:$ZZ$501,$A389,B$3)&amp;""="","",INDEX(SRC_ZPMW03!$A$1:$ZZ$501,$A389,B$3)&amp;""))</f>
        <v/>
      </c>
      <c r="C389" t="str">
        <f>IF($B389="","",IF(C$3=0,"n.b.",INDEX(SRC_ZPMW03!$A$1:$ZZ$501,$A389,C$3)))</f>
        <v/>
      </c>
      <c r="D389" t="str">
        <f>IF($B389="","",IF(D$3=0,"n.b.",INDEX(SRC_ZPMW03!$A$1:$ZZ$501,$A389,D$3)))</f>
        <v/>
      </c>
      <c r="E389" t="str">
        <f>IF($B389="","",IF(E$3=0,"n.b.",INDEX(SRC_ZPMW03!$A$1:$ZZ$501,$A389,E$3)))</f>
        <v/>
      </c>
      <c r="F389" t="str">
        <f>IF($B389="","",IF(F$3=0,"n.b.",INDEX(SRC_ZPMW03!$A$1:$ZZ$501,$A389,F$3)))</f>
        <v/>
      </c>
      <c r="G389" t="str">
        <f>IF($B389="","",IF(G$3=0,"n.b.",INDEX(SRC_ZPMW03!$A$1:$ZZ$501,$A389,G$3)))</f>
        <v/>
      </c>
      <c r="H389" t="str">
        <f>IF($B389="","",IF(H$3=0,"n.b.",INDEX(SRC_ZPMW03!$A$1:$ZZ$501,$A389,H$3)))</f>
        <v/>
      </c>
      <c r="I389" t="str">
        <f>IF($B389="","",IF(I$3=0,"n.b.",INDEX(SRC_ZPMW03!$A$1:$ZZ$501,$A389,I$3)))</f>
        <v/>
      </c>
      <c r="J389" t="str">
        <f>IF($B389="","",IF(J$3=0,"n.b.",INDEX(SRC_ZPMW03!$A$1:$ZZ$501,$A389,J$3)))</f>
        <v/>
      </c>
      <c r="K389" t="str">
        <f>IF($B389="","",IF(K$3=0,"n.b.",INDEX(SRC_ZPMW03!$A$1:$ZZ$501,$A389,K$3)))</f>
        <v/>
      </c>
      <c r="L389" s="124" t="str">
        <f>IF($B389="","",IF(L$3=0,"n.b.",INDEX(SRC_ZPMW03!$A$1:$ZZ$501,$A389,L$3)))</f>
        <v/>
      </c>
      <c r="M389" s="124" t="str">
        <f>IF($B389="","",IF(M$3=0,"n.b.",INDEX(SRC_ZPMW03!$A$1:$ZZ$501,$A389,M$3)))</f>
        <v/>
      </c>
      <c r="N389" s="124" t="str">
        <f>IF($B389="","",IF(N$3=0,"n.b.",INDEX(SRC_ZPMW03!$A$1:$ZZ$501,$A389,N$3)))</f>
        <v/>
      </c>
      <c r="O389" s="124" t="str">
        <f>IF($B389="","",IF(O$3=0,"n.b.",INDEX(SRC_ZPMW03!$A$1:$ZZ$501,$A389,O$3)))</f>
        <v/>
      </c>
      <c r="P389" s="124" t="str">
        <f>IF($B389="","",IF(P$3=0,"n.b.",INDEX(SRC_ZPMW03!$A$1:$ZZ$501,$A389,P$3)))</f>
        <v/>
      </c>
      <c r="Q389" s="124" t="str">
        <f>IF($B389="","",IF(Q$3=0,"n.b.",INDEX(SRC_ZPMW03!$A$1:$ZZ$501,$A389,Q$3)))</f>
        <v/>
      </c>
      <c r="R389" s="124" t="str">
        <f>IF($B389="","",IF(R$3=0,"n.b.",INDEX(SRC_ZPMW03!$A$1:$ZZ$501,$A389,R$3)))</f>
        <v/>
      </c>
      <c r="S389" s="124" t="str">
        <f>IF($B389="","",IF(S$3=0,"n.b.",INDEX(SRC_ZPMW03!$A$1:$ZZ$501,$A389,S$3)))</f>
        <v/>
      </c>
      <c r="T389" s="124" t="str">
        <f>IF($B389="","",IF(T$3=0,"n.b.",INDEX(SRC_ZPMW03!$A$1:$ZZ$501,$A389,T$3)))</f>
        <v/>
      </c>
      <c r="U389" s="124" t="str">
        <f>IF($B389="","",IF(U$3=0,"n.b.",INDEX(SRC_ZPMW03!$A$1:$ZZ$501,$A389,U$3)))</f>
        <v/>
      </c>
      <c r="V389" s="124" t="str">
        <f>IF($B389="","",IF(V$3=0,"n.b.",INDEX(SRC_ZPMW03!$A$1:$ZZ$501,$A389,V$3)))</f>
        <v/>
      </c>
      <c r="W389" s="124" t="str">
        <f>IF($B389="","",IF(W$3=0,"n.b.",INDEX(SRC_ZPMW03!$A$1:$ZZ$501,$A389,W$3)))</f>
        <v/>
      </c>
      <c r="X389" s="124" t="str">
        <f>IF($B389="","",IF(X$3=0,"n.b.",INDEX(SRC_ZPMW03!$A$1:$ZZ$501,$A389,X$3)))</f>
        <v/>
      </c>
      <c r="Y389" s="124" t="str">
        <f>IF($B389="","",IF(Y$3=0,"n.b.",INDEX(SRC_ZPMW03!$A$1:$ZZ$501,$A389,Y$3)))</f>
        <v/>
      </c>
      <c r="Z389" s="124" t="str">
        <f>IF($B389="","",IF(Z$3=0,"n.b.",INDEX(SRC_ZPMW03!$A$1:$ZZ$501,$A389,Z$3)))</f>
        <v/>
      </c>
      <c r="AA389" s="124" t="str">
        <f>IF($B389="","",IF(AA$3=0,"n.b.",INDEX(SRC_ZPMW03!$A$1:$ZZ$501,$A389,AA$3)))</f>
        <v/>
      </c>
      <c r="AB389" s="124" t="str">
        <f>IF($B389="","",IF(AB$3=0,"n.b.",INDEX(SRC_ZPMW03!$A$1:$ZZ$501,$A389,AB$3)))</f>
        <v/>
      </c>
      <c r="AC389" s="124" t="str">
        <f>IF($B389="","",IF(AC$3=0,"n.b.",INDEX(SRC_ZPMW03!$A$1:$ZZ$501,$A389,AC$3)))</f>
        <v/>
      </c>
      <c r="AD389" s="124" t="str">
        <f>IF($B389="","",IF(AD$3=0,"n.b.",INDEX(SRC_ZPMW03!$A$1:$ZZ$501,$A389,AD$3)))</f>
        <v/>
      </c>
      <c r="AE389" s="124" t="str">
        <f>IF($B389="","",IF(AE$3=0,"n.b.",INDEX(SRC_ZPMW03!$A$1:$ZZ$501,$A389,AE$3)))</f>
        <v/>
      </c>
      <c r="AF389" s="124" t="str">
        <f>IF($B389="","",IF(AF$3=0,"n.b.",INDEX(SRC_ZPMW03!$A$1:$ZZ$501,$A389,AF$3)))</f>
        <v/>
      </c>
      <c r="AG389" s="124" t="str">
        <f>IF($B389="","",IF(AG$3=0,"n.b.",INDEX(SRC_ZPMW03!$A$1:$ZZ$501,$A389,AG$3)))</f>
        <v/>
      </c>
      <c r="AH389" s="124" t="str">
        <f>IF($B389="","",IF(AH$3=0,"n.b.",INDEX(SRC_ZPMW03!$A$1:$ZZ$501,$A389,AH$3)))</f>
        <v/>
      </c>
      <c r="AI389" s="124" t="str">
        <f>IF($B389="","",IF(AI$3=0,"n.b.",INDEX(SRC_ZPMW03!$A$1:$ZZ$501,$A389,AI$3)))</f>
        <v/>
      </c>
      <c r="AJ389" s="124" t="str">
        <f>IF($B389="","",IF(AJ$3=0,"n.b.",INDEX(SRC_ZPMW03!$A$1:$ZZ$501,$A389,AJ$3)))</f>
        <v/>
      </c>
      <c r="AK389" s="124" t="str">
        <f>IF($B389="","",IF(AK$3=0,"n.b.",INDEX(SRC_ZPMW03!$A$1:$ZZ$501,$A389,AK$3)))</f>
        <v/>
      </c>
      <c r="AL389" s="124" t="str">
        <f>IF($B389="","",IF(AL$3=0,"n.b.",INDEX(SRC_ZPMW03!$A$1:$ZZ$501,$A389,AL$3)))</f>
        <v/>
      </c>
      <c r="AM389" s="124" t="str">
        <f>IF($B389="","",IF(AM$3=0,"n.b.",INDEX(SRC_ZPMW03!$A$1:$ZZ$501,$A389,AM$3)))</f>
        <v/>
      </c>
      <c r="AN389" s="124" t="str">
        <f>IF($B389="","",IF(AN$3=0,"n.b.",INDEX(SRC_ZPMW03!$A$1:$ZZ$501,$A389,AN$3)))</f>
        <v/>
      </c>
      <c r="AO389" s="124" t="str">
        <f>IF($B389="","",IF(AO$3=0,"n.b.",INDEX(SRC_ZPMW03!$A$1:$ZZ$501,$A389,AO$3)))</f>
        <v/>
      </c>
      <c r="AP389" s="124" t="str">
        <f>IF($B389="","",IF(AP$3=0,"n.b.",INDEX(SRC_ZPMW03!$A$1:$ZZ$501,$A389,AP$3)))</f>
        <v/>
      </c>
      <c r="AQ389" s="124" t="str">
        <f>IF($B389="","",IF(AQ$3=0,"n.b.",INDEX(SRC_ZPMW03!$A$1:$ZZ$501,$A389,AQ$3)))</f>
        <v/>
      </c>
      <c r="AR389" s="124" t="str">
        <f>IF($B389="","",IF(AR$3=0,"n.b.",INDEX(SRC_ZPMW03!$A$1:$ZZ$501,$A389,AR$3)))</f>
        <v/>
      </c>
      <c r="AS389" s="124" t="str">
        <f>IF($B389="","",IF(AS$3=0,"n.b.",INDEX(SRC_ZPMW03!$A$1:$ZZ$501,$A389,AS$3)))</f>
        <v/>
      </c>
      <c r="AT389" s="124" t="str">
        <f>IF($B389="","",IF(AT$3=0,"n.b.",INDEX(SRC_ZPMW03!$A$1:$ZZ$501,$A389,AT$3)))</f>
        <v/>
      </c>
      <c r="AU389" s="124" t="str">
        <f>IF($B389="","",IF(AU$3=0,"n.b.",INDEX(SRC_ZPMW03!$A$1:$ZZ$501,$A389,AU$3)))</f>
        <v/>
      </c>
      <c r="AV389" s="124" t="str">
        <f>IF($B389="","",IF(AV$3=0,"n.b.",INDEX(SRC_ZPMW03!$A$1:$ZZ$501,$A389,AV$3)))</f>
        <v/>
      </c>
      <c r="AW389" s="124" t="str">
        <f>IF($B389="","",IF(AW$3=0,"n.b.",INDEX(SRC_ZPMW03!$A$1:$ZZ$501,$A389,AW$3)))</f>
        <v/>
      </c>
      <c r="AX389" s="124" t="str">
        <f>IF($B389="","",IF(AX$3=0,"n.b.",INDEX(SRC_ZPMW03!$A$1:$ZZ$501,$A389,AX$3)))</f>
        <v/>
      </c>
      <c r="AY389" s="124" t="str">
        <f>IF($B389="","",IF(AY$3=0,"n.b.",INDEX(SRC_ZPMW03!$A$1:$ZZ$501,$A389,AY$3)))</f>
        <v/>
      </c>
      <c r="AZ389" s="124" t="str">
        <f>IF($B389="","",IF(AZ$3=0,"n.b.",INDEX(SRC_ZPMW03!$A$1:$ZZ$501,$A389,AZ$3)))</f>
        <v/>
      </c>
      <c r="BA389" s="124" t="str">
        <f>IF($B389="","",IF(BA$3=0,"n.b.",INDEX(SRC_ZPMW03!$A$1:$ZZ$501,$A389,BA$3)))</f>
        <v/>
      </c>
      <c r="BB389" s="124" t="str">
        <f>IF($B389="","",IF(BB$3=0,"n.b.",INDEX(SRC_ZPMW03!$A$1:$ZZ$501,$A389,BB$3)))</f>
        <v/>
      </c>
      <c r="BC389" s="124" t="str">
        <f>IF($B389="","",IF(BC$3=0,"n.b.",INDEX(SRC_ZPMW03!$A$1:$ZZ$501,$A389,BC$3)))</f>
        <v/>
      </c>
      <c r="BD389" s="124" t="str">
        <f>IF($B389="","",IF(BD$3=0,"n.b.",INDEX(SRC_ZPMW03!$A$1:$ZZ$501,$A389,BD$3)))</f>
        <v/>
      </c>
      <c r="BE389" s="124" t="str">
        <f>IF($B389="","",IF(BE$3=0,"n.b.",INDEX(SRC_ZPMW03!$A$1:$ZZ$501,$A389,BE$3)))</f>
        <v/>
      </c>
      <c r="BF389" s="124" t="str">
        <f>IF($B389="","",IF(BF$3=0,"n.b.",INDEX(SRC_ZPMW03!$A$1:$ZZ$501,$A389,BF$3)))</f>
        <v/>
      </c>
      <c r="BG389" t="str">
        <f>IF($B389="","",IF(BG$3=0,"n.b.",INDEX(SRC_ZPMW03!$A$1:$ZZ$501,$A389,BG$3)))</f>
        <v/>
      </c>
      <c r="BH389" t="str">
        <f>IF($B389="","",IF(BH$3=0,"n.b.",INDEX(SRC_ZPMW03!$A$1:$ZZ$501,$A389,BH$3)))</f>
        <v/>
      </c>
      <c r="BI389" t="str">
        <f>IF($B389="","",IF(BI$3=0,"n.b.",INDEX(SRC_ZPMW03!$A$1:$ZZ$501,$A389,BI$3)))</f>
        <v/>
      </c>
      <c r="BJ389" t="str">
        <f>IF($B389="","",IF(BJ$3=0,"n.b.",INDEX(SRC_ZPMW03!$A$1:$ZZ$501,$A389,BJ$3)))</f>
        <v/>
      </c>
      <c r="BK389" s="124" t="str">
        <f>IF($B389="","",IFERROR(-O389,"n.b."))</f>
        <v/>
      </c>
      <c r="BL389" s="124" t="str">
        <f>IF($B389="","",IFERROR(-Q389,"n.b."))</f>
        <v/>
      </c>
      <c r="BM389" s="124" t="str">
        <f>IF($B389="","",IFERROR(-AB389,"n.b."))</f>
        <v/>
      </c>
      <c r="BN389" s="124" t="str">
        <f>IF($B389="","",IFERROR(-AD389,"n.b."))</f>
        <v/>
      </c>
      <c r="BO389" s="124" t="str">
        <f>IF($B389="","",IFERROR(BK389+BM389,"n.b."))</f>
        <v/>
      </c>
      <c r="BP389" s="124" t="str">
        <f>IF($B389="","",IFERROR(BL389+BN389,"n.b."))</f>
        <v/>
      </c>
      <c r="BQ389" s="124" t="str">
        <f>IF($B389="","",IFERROR(-AM389,"n.b."))</f>
        <v/>
      </c>
      <c r="BR389" s="124" t="str">
        <f>IF($B389="","",IFERROR(-AO389,"n.b."))</f>
        <v/>
      </c>
      <c r="BS389" s="124" t="str">
        <f>IF($B389="","",IFERROR(-Z389,"n.b."))</f>
        <v/>
      </c>
      <c r="BT389" s="124" t="str">
        <f>IF($B389="","",IFERROR(-AA389,"n.b."))</f>
        <v/>
      </c>
      <c r="BU389" s="124" t="str">
        <f>IF($B389="","",IFERROR(-AE389,"n.b."))</f>
        <v/>
      </c>
      <c r="BV389" s="124" t="str">
        <f>IF($B389="","",IFERROR(-AF389,"n.b."))</f>
        <v/>
      </c>
      <c r="BW389" s="124" t="str">
        <f>IF($B389="","",IFERROR(-AG389,"n.b."))</f>
        <v/>
      </c>
      <c r="BX389" s="124" t="str">
        <f>IF($B389="","",IFERROR(-AH389,"n.b."))</f>
        <v/>
      </c>
      <c r="BY389" s="124" t="str">
        <f>IF($B389="","",IFERROR(-AI389,"n.b."))</f>
        <v/>
      </c>
      <c r="BZ389" s="124" t="str">
        <f>IF($B389="","",IFERROR(-AJ389,"n.b."))</f>
        <v/>
      </c>
      <c r="CA389" s="124" t="str">
        <f>IF($B389="","",IFERROR(-AK389,"n.b."))</f>
        <v/>
      </c>
      <c r="CB389" s="124" t="str">
        <f>IF($B389="","",IFERROR(-AL389,"n.b."))</f>
        <v/>
      </c>
      <c r="CC389" s="124" t="str">
        <f>IF($B389="","",IFERROR(-AP389,"n.b."))</f>
        <v/>
      </c>
      <c r="CD389" s="124" t="str">
        <f>IF($B389="","",IFERROR(-AQ389,"n.b."))</f>
        <v/>
      </c>
      <c r="CE389" s="124" t="str">
        <f>IF($B389="","",IFERROR(-AR389,"n.b."))</f>
        <v/>
      </c>
      <c r="CF389" s="124" t="str">
        <f>IF($B389="","",IFERROR(-AS389,"n.b."))</f>
        <v/>
      </c>
      <c r="CG389" s="124" t="str">
        <f>IF($B389="","",IFERROR(-AT389,"n.b."))</f>
        <v/>
      </c>
      <c r="CH389" s="124" t="str">
        <f>IF($B389="","",IFERROR(-AU389,"n.b."))</f>
        <v/>
      </c>
      <c r="CI389" s="124" t="str">
        <f>IF($B389="","",IFERROR(-AV389,"n.b."))</f>
        <v/>
      </c>
      <c r="CJ389" s="124" t="str">
        <f>IF($B389="","",IFERROR(-AW389,"n.b."))</f>
        <v/>
      </c>
      <c r="CK389" s="124" t="str">
        <f>IF($B389="","",IFERROR(-AX389,"n.b."))</f>
        <v/>
      </c>
      <c r="CL389" s="124" t="str">
        <f>IF($B389="","",IFERROR(-AY389,"n.b."))</f>
        <v/>
      </c>
      <c r="CM389" s="124" t="str">
        <f>IF($B389="","",IFERROR(-AZ389,"n.b."))</f>
        <v/>
      </c>
      <c r="CN389" s="124" t="str">
        <f>IF($B389="","",IFERROR(-BA389,"n.b."))</f>
        <v/>
      </c>
      <c r="CO389" s="124" t="str">
        <f>IF($B389="","",IFERROR(-BB389,"n.b."))</f>
        <v/>
      </c>
      <c r="CP389" s="124" t="str">
        <f>IF($B389="","",IFERROR(-BC389,"n.b."))</f>
        <v/>
      </c>
      <c r="CQ389" s="124" t="str">
        <f>IF($B389="","",IFERROR(-BD389,"n.b."))</f>
        <v/>
      </c>
      <c r="CR389" s="124" t="str">
        <f>IF($B389="","",IFERROR(-BE389,"n.b."))</f>
        <v/>
      </c>
      <c r="CS389" s="124" t="str">
        <f>IF($B389="","",IFERROR(IF(OR(ABS(T389+V389+X389+Z389-AB389)&gt;P_Tol,ABS(U389+W389+Y389+AA389-AD389)&gt;P_Tol,ABS(AE389+AG389+AI389+AK389-AM389)&gt;P_Tol,ABS(AF389+AH389+AJ389+AL389-AO389)&gt;P_Tol),1,0),1))</f>
        <v/>
      </c>
      <c r="CT389" s="124" t="str">
        <f>IF($B389="","",IFERROR(IF(OR(ABS(AB389+AC389-AD389)&gt;P_Tol,ABS(AM389+AN389-AO389)&gt;P_Tol,ABS(O389+P389-Q389)&gt;P_Tol),1,0),1))</f>
        <v/>
      </c>
      <c r="CU389" s="124" t="str">
        <f>IF($B389="","",IFERROR(IF(ABS(R389-(AB389+AM389+AP389+AR389+AT389+AV389+AX389+AZ389+BB389+BD389))&gt;P_Tol,1,0),1))</f>
        <v/>
      </c>
      <c r="CV389" s="124" t="str">
        <f>IF($B389="","",IFERROR(IF(ABS(M389-(N389+O389+R389))&gt;P_Tol,1,0),1))</f>
        <v/>
      </c>
      <c r="CW389" s="124" t="str">
        <f>IF($B389="","",IF(COUNTIF(Mapping!$A$5:$A$104,B389)&gt;0,1,0))</f>
        <v/>
      </c>
      <c r="CX389" s="124" t="str">
        <f>IF($B389="","",COUNTIF($B$6:$B$505,B389))</f>
        <v/>
      </c>
      <c r="CY389" s="124" t="str">
        <f>IF($B389="","",COUNTIF(STG_Woningetalage!$B$6:$B$505,B389))</f>
        <v/>
      </c>
      <c r="CZ389" s="124" t="str">
        <f>IF($B389="","",IF(CW389=0,COUNTIF($CW$6:CW389,0),""))</f>
        <v/>
      </c>
    </row>
    <row r="390">
      <c r="A390" s="15" t="n">
        <v>386</v>
      </c>
      <c r="B390" t="str">
        <f>IF(B$3=0,"",IF(INDEX(SRC_ZPMW03!$A$1:$ZZ$501,$A390,B$3)&amp;""="","",INDEX(SRC_ZPMW03!$A$1:$ZZ$501,$A390,B$3)&amp;""))</f>
        <v/>
      </c>
      <c r="C390" t="str">
        <f>IF($B390="","",IF(C$3=0,"n.b.",INDEX(SRC_ZPMW03!$A$1:$ZZ$501,$A390,C$3)))</f>
        <v/>
      </c>
      <c r="D390" t="str">
        <f>IF($B390="","",IF(D$3=0,"n.b.",INDEX(SRC_ZPMW03!$A$1:$ZZ$501,$A390,D$3)))</f>
        <v/>
      </c>
      <c r="E390" t="str">
        <f>IF($B390="","",IF(E$3=0,"n.b.",INDEX(SRC_ZPMW03!$A$1:$ZZ$501,$A390,E$3)))</f>
        <v/>
      </c>
      <c r="F390" t="str">
        <f>IF($B390="","",IF(F$3=0,"n.b.",INDEX(SRC_ZPMW03!$A$1:$ZZ$501,$A390,F$3)))</f>
        <v/>
      </c>
      <c r="G390" t="str">
        <f>IF($B390="","",IF(G$3=0,"n.b.",INDEX(SRC_ZPMW03!$A$1:$ZZ$501,$A390,G$3)))</f>
        <v/>
      </c>
      <c r="H390" t="str">
        <f>IF($B390="","",IF(H$3=0,"n.b.",INDEX(SRC_ZPMW03!$A$1:$ZZ$501,$A390,H$3)))</f>
        <v/>
      </c>
      <c r="I390" t="str">
        <f>IF($B390="","",IF(I$3=0,"n.b.",INDEX(SRC_ZPMW03!$A$1:$ZZ$501,$A390,I$3)))</f>
        <v/>
      </c>
      <c r="J390" t="str">
        <f>IF($B390="","",IF(J$3=0,"n.b.",INDEX(SRC_ZPMW03!$A$1:$ZZ$501,$A390,J$3)))</f>
        <v/>
      </c>
      <c r="K390" t="str">
        <f>IF($B390="","",IF(K$3=0,"n.b.",INDEX(SRC_ZPMW03!$A$1:$ZZ$501,$A390,K$3)))</f>
        <v/>
      </c>
      <c r="L390" s="124" t="str">
        <f>IF($B390="","",IF(L$3=0,"n.b.",INDEX(SRC_ZPMW03!$A$1:$ZZ$501,$A390,L$3)))</f>
        <v/>
      </c>
      <c r="M390" s="124" t="str">
        <f>IF($B390="","",IF(M$3=0,"n.b.",INDEX(SRC_ZPMW03!$A$1:$ZZ$501,$A390,M$3)))</f>
        <v/>
      </c>
      <c r="N390" s="124" t="str">
        <f>IF($B390="","",IF(N$3=0,"n.b.",INDEX(SRC_ZPMW03!$A$1:$ZZ$501,$A390,N$3)))</f>
        <v/>
      </c>
      <c r="O390" s="124" t="str">
        <f>IF($B390="","",IF(O$3=0,"n.b.",INDEX(SRC_ZPMW03!$A$1:$ZZ$501,$A390,O$3)))</f>
        <v/>
      </c>
      <c r="P390" s="124" t="str">
        <f>IF($B390="","",IF(P$3=0,"n.b.",INDEX(SRC_ZPMW03!$A$1:$ZZ$501,$A390,P$3)))</f>
        <v/>
      </c>
      <c r="Q390" s="124" t="str">
        <f>IF($B390="","",IF(Q$3=0,"n.b.",INDEX(SRC_ZPMW03!$A$1:$ZZ$501,$A390,Q$3)))</f>
        <v/>
      </c>
      <c r="R390" s="124" t="str">
        <f>IF($B390="","",IF(R$3=0,"n.b.",INDEX(SRC_ZPMW03!$A$1:$ZZ$501,$A390,R$3)))</f>
        <v/>
      </c>
      <c r="S390" s="124" t="str">
        <f>IF($B390="","",IF(S$3=0,"n.b.",INDEX(SRC_ZPMW03!$A$1:$ZZ$501,$A390,S$3)))</f>
        <v/>
      </c>
      <c r="T390" s="124" t="str">
        <f>IF($B390="","",IF(T$3=0,"n.b.",INDEX(SRC_ZPMW03!$A$1:$ZZ$501,$A390,T$3)))</f>
        <v/>
      </c>
      <c r="U390" s="124" t="str">
        <f>IF($B390="","",IF(U$3=0,"n.b.",INDEX(SRC_ZPMW03!$A$1:$ZZ$501,$A390,U$3)))</f>
        <v/>
      </c>
      <c r="V390" s="124" t="str">
        <f>IF($B390="","",IF(V$3=0,"n.b.",INDEX(SRC_ZPMW03!$A$1:$ZZ$501,$A390,V$3)))</f>
        <v/>
      </c>
      <c r="W390" s="124" t="str">
        <f>IF($B390="","",IF(W$3=0,"n.b.",INDEX(SRC_ZPMW03!$A$1:$ZZ$501,$A390,W$3)))</f>
        <v/>
      </c>
      <c r="X390" s="124" t="str">
        <f>IF($B390="","",IF(X$3=0,"n.b.",INDEX(SRC_ZPMW03!$A$1:$ZZ$501,$A390,X$3)))</f>
        <v/>
      </c>
      <c r="Y390" s="124" t="str">
        <f>IF($B390="","",IF(Y$3=0,"n.b.",INDEX(SRC_ZPMW03!$A$1:$ZZ$501,$A390,Y$3)))</f>
        <v/>
      </c>
      <c r="Z390" s="124" t="str">
        <f>IF($B390="","",IF(Z$3=0,"n.b.",INDEX(SRC_ZPMW03!$A$1:$ZZ$501,$A390,Z$3)))</f>
        <v/>
      </c>
      <c r="AA390" s="124" t="str">
        <f>IF($B390="","",IF(AA$3=0,"n.b.",INDEX(SRC_ZPMW03!$A$1:$ZZ$501,$A390,AA$3)))</f>
        <v/>
      </c>
      <c r="AB390" s="124" t="str">
        <f>IF($B390="","",IF(AB$3=0,"n.b.",INDEX(SRC_ZPMW03!$A$1:$ZZ$501,$A390,AB$3)))</f>
        <v/>
      </c>
      <c r="AC390" s="124" t="str">
        <f>IF($B390="","",IF(AC$3=0,"n.b.",INDEX(SRC_ZPMW03!$A$1:$ZZ$501,$A390,AC$3)))</f>
        <v/>
      </c>
      <c r="AD390" s="124" t="str">
        <f>IF($B390="","",IF(AD$3=0,"n.b.",INDEX(SRC_ZPMW03!$A$1:$ZZ$501,$A390,AD$3)))</f>
        <v/>
      </c>
      <c r="AE390" s="124" t="str">
        <f>IF($B390="","",IF(AE$3=0,"n.b.",INDEX(SRC_ZPMW03!$A$1:$ZZ$501,$A390,AE$3)))</f>
        <v/>
      </c>
      <c r="AF390" s="124" t="str">
        <f>IF($B390="","",IF(AF$3=0,"n.b.",INDEX(SRC_ZPMW03!$A$1:$ZZ$501,$A390,AF$3)))</f>
        <v/>
      </c>
      <c r="AG390" s="124" t="str">
        <f>IF($B390="","",IF(AG$3=0,"n.b.",INDEX(SRC_ZPMW03!$A$1:$ZZ$501,$A390,AG$3)))</f>
        <v/>
      </c>
      <c r="AH390" s="124" t="str">
        <f>IF($B390="","",IF(AH$3=0,"n.b.",INDEX(SRC_ZPMW03!$A$1:$ZZ$501,$A390,AH$3)))</f>
        <v/>
      </c>
      <c r="AI390" s="124" t="str">
        <f>IF($B390="","",IF(AI$3=0,"n.b.",INDEX(SRC_ZPMW03!$A$1:$ZZ$501,$A390,AI$3)))</f>
        <v/>
      </c>
      <c r="AJ390" s="124" t="str">
        <f>IF($B390="","",IF(AJ$3=0,"n.b.",INDEX(SRC_ZPMW03!$A$1:$ZZ$501,$A390,AJ$3)))</f>
        <v/>
      </c>
      <c r="AK390" s="124" t="str">
        <f>IF($B390="","",IF(AK$3=0,"n.b.",INDEX(SRC_ZPMW03!$A$1:$ZZ$501,$A390,AK$3)))</f>
        <v/>
      </c>
      <c r="AL390" s="124" t="str">
        <f>IF($B390="","",IF(AL$3=0,"n.b.",INDEX(SRC_ZPMW03!$A$1:$ZZ$501,$A390,AL$3)))</f>
        <v/>
      </c>
      <c r="AM390" s="124" t="str">
        <f>IF($B390="","",IF(AM$3=0,"n.b.",INDEX(SRC_ZPMW03!$A$1:$ZZ$501,$A390,AM$3)))</f>
        <v/>
      </c>
      <c r="AN390" s="124" t="str">
        <f>IF($B390="","",IF(AN$3=0,"n.b.",INDEX(SRC_ZPMW03!$A$1:$ZZ$501,$A390,AN$3)))</f>
        <v/>
      </c>
      <c r="AO390" s="124" t="str">
        <f>IF($B390="","",IF(AO$3=0,"n.b.",INDEX(SRC_ZPMW03!$A$1:$ZZ$501,$A390,AO$3)))</f>
        <v/>
      </c>
      <c r="AP390" s="124" t="str">
        <f>IF($B390="","",IF(AP$3=0,"n.b.",INDEX(SRC_ZPMW03!$A$1:$ZZ$501,$A390,AP$3)))</f>
        <v/>
      </c>
      <c r="AQ390" s="124" t="str">
        <f>IF($B390="","",IF(AQ$3=0,"n.b.",INDEX(SRC_ZPMW03!$A$1:$ZZ$501,$A390,AQ$3)))</f>
        <v/>
      </c>
      <c r="AR390" s="124" t="str">
        <f>IF($B390="","",IF(AR$3=0,"n.b.",INDEX(SRC_ZPMW03!$A$1:$ZZ$501,$A390,AR$3)))</f>
        <v/>
      </c>
      <c r="AS390" s="124" t="str">
        <f>IF($B390="","",IF(AS$3=0,"n.b.",INDEX(SRC_ZPMW03!$A$1:$ZZ$501,$A390,AS$3)))</f>
        <v/>
      </c>
      <c r="AT390" s="124" t="str">
        <f>IF($B390="","",IF(AT$3=0,"n.b.",INDEX(SRC_ZPMW03!$A$1:$ZZ$501,$A390,AT$3)))</f>
        <v/>
      </c>
      <c r="AU390" s="124" t="str">
        <f>IF($B390="","",IF(AU$3=0,"n.b.",INDEX(SRC_ZPMW03!$A$1:$ZZ$501,$A390,AU$3)))</f>
        <v/>
      </c>
      <c r="AV390" s="124" t="str">
        <f>IF($B390="","",IF(AV$3=0,"n.b.",INDEX(SRC_ZPMW03!$A$1:$ZZ$501,$A390,AV$3)))</f>
        <v/>
      </c>
      <c r="AW390" s="124" t="str">
        <f>IF($B390="","",IF(AW$3=0,"n.b.",INDEX(SRC_ZPMW03!$A$1:$ZZ$501,$A390,AW$3)))</f>
        <v/>
      </c>
      <c r="AX390" s="124" t="str">
        <f>IF($B390="","",IF(AX$3=0,"n.b.",INDEX(SRC_ZPMW03!$A$1:$ZZ$501,$A390,AX$3)))</f>
        <v/>
      </c>
      <c r="AY390" s="124" t="str">
        <f>IF($B390="","",IF(AY$3=0,"n.b.",INDEX(SRC_ZPMW03!$A$1:$ZZ$501,$A390,AY$3)))</f>
        <v/>
      </c>
      <c r="AZ390" s="124" t="str">
        <f>IF($B390="","",IF(AZ$3=0,"n.b.",INDEX(SRC_ZPMW03!$A$1:$ZZ$501,$A390,AZ$3)))</f>
        <v/>
      </c>
      <c r="BA390" s="124" t="str">
        <f>IF($B390="","",IF(BA$3=0,"n.b.",INDEX(SRC_ZPMW03!$A$1:$ZZ$501,$A390,BA$3)))</f>
        <v/>
      </c>
      <c r="BB390" s="124" t="str">
        <f>IF($B390="","",IF(BB$3=0,"n.b.",INDEX(SRC_ZPMW03!$A$1:$ZZ$501,$A390,BB$3)))</f>
        <v/>
      </c>
      <c r="BC390" s="124" t="str">
        <f>IF($B390="","",IF(BC$3=0,"n.b.",INDEX(SRC_ZPMW03!$A$1:$ZZ$501,$A390,BC$3)))</f>
        <v/>
      </c>
      <c r="BD390" s="124" t="str">
        <f>IF($B390="","",IF(BD$3=0,"n.b.",INDEX(SRC_ZPMW03!$A$1:$ZZ$501,$A390,BD$3)))</f>
        <v/>
      </c>
      <c r="BE390" s="124" t="str">
        <f>IF($B390="","",IF(BE$3=0,"n.b.",INDEX(SRC_ZPMW03!$A$1:$ZZ$501,$A390,BE$3)))</f>
        <v/>
      </c>
      <c r="BF390" s="124" t="str">
        <f>IF($B390="","",IF(BF$3=0,"n.b.",INDEX(SRC_ZPMW03!$A$1:$ZZ$501,$A390,BF$3)))</f>
        <v/>
      </c>
      <c r="BG390" t="str">
        <f>IF($B390="","",IF(BG$3=0,"n.b.",INDEX(SRC_ZPMW03!$A$1:$ZZ$501,$A390,BG$3)))</f>
        <v/>
      </c>
      <c r="BH390" t="str">
        <f>IF($B390="","",IF(BH$3=0,"n.b.",INDEX(SRC_ZPMW03!$A$1:$ZZ$501,$A390,BH$3)))</f>
        <v/>
      </c>
      <c r="BI390" t="str">
        <f>IF($B390="","",IF(BI$3=0,"n.b.",INDEX(SRC_ZPMW03!$A$1:$ZZ$501,$A390,BI$3)))</f>
        <v/>
      </c>
      <c r="BJ390" t="str">
        <f>IF($B390="","",IF(BJ$3=0,"n.b.",INDEX(SRC_ZPMW03!$A$1:$ZZ$501,$A390,BJ$3)))</f>
        <v/>
      </c>
      <c r="BK390" s="124" t="str">
        <f>IF($B390="","",IFERROR(-O390,"n.b."))</f>
        <v/>
      </c>
      <c r="BL390" s="124" t="str">
        <f>IF($B390="","",IFERROR(-Q390,"n.b."))</f>
        <v/>
      </c>
      <c r="BM390" s="124" t="str">
        <f>IF($B390="","",IFERROR(-AB390,"n.b."))</f>
        <v/>
      </c>
      <c r="BN390" s="124" t="str">
        <f>IF($B390="","",IFERROR(-AD390,"n.b."))</f>
        <v/>
      </c>
      <c r="BO390" s="124" t="str">
        <f>IF($B390="","",IFERROR(BK390+BM390,"n.b."))</f>
        <v/>
      </c>
      <c r="BP390" s="124" t="str">
        <f>IF($B390="","",IFERROR(BL390+BN390,"n.b."))</f>
        <v/>
      </c>
      <c r="BQ390" s="124" t="str">
        <f>IF($B390="","",IFERROR(-AM390,"n.b."))</f>
        <v/>
      </c>
      <c r="BR390" s="124" t="str">
        <f>IF($B390="","",IFERROR(-AO390,"n.b."))</f>
        <v/>
      </c>
      <c r="BS390" s="124" t="str">
        <f>IF($B390="","",IFERROR(-Z390,"n.b."))</f>
        <v/>
      </c>
      <c r="BT390" s="124" t="str">
        <f>IF($B390="","",IFERROR(-AA390,"n.b."))</f>
        <v/>
      </c>
      <c r="BU390" s="124" t="str">
        <f>IF($B390="","",IFERROR(-AE390,"n.b."))</f>
        <v/>
      </c>
      <c r="BV390" s="124" t="str">
        <f>IF($B390="","",IFERROR(-AF390,"n.b."))</f>
        <v/>
      </c>
      <c r="BW390" s="124" t="str">
        <f>IF($B390="","",IFERROR(-AG390,"n.b."))</f>
        <v/>
      </c>
      <c r="BX390" s="124" t="str">
        <f>IF($B390="","",IFERROR(-AH390,"n.b."))</f>
        <v/>
      </c>
      <c r="BY390" s="124" t="str">
        <f>IF($B390="","",IFERROR(-AI390,"n.b."))</f>
        <v/>
      </c>
      <c r="BZ390" s="124" t="str">
        <f>IF($B390="","",IFERROR(-AJ390,"n.b."))</f>
        <v/>
      </c>
      <c r="CA390" s="124" t="str">
        <f>IF($B390="","",IFERROR(-AK390,"n.b."))</f>
        <v/>
      </c>
      <c r="CB390" s="124" t="str">
        <f>IF($B390="","",IFERROR(-AL390,"n.b."))</f>
        <v/>
      </c>
      <c r="CC390" s="124" t="str">
        <f>IF($B390="","",IFERROR(-AP390,"n.b."))</f>
        <v/>
      </c>
      <c r="CD390" s="124" t="str">
        <f>IF($B390="","",IFERROR(-AQ390,"n.b."))</f>
        <v/>
      </c>
      <c r="CE390" s="124" t="str">
        <f>IF($B390="","",IFERROR(-AR390,"n.b."))</f>
        <v/>
      </c>
      <c r="CF390" s="124" t="str">
        <f>IF($B390="","",IFERROR(-AS390,"n.b."))</f>
        <v/>
      </c>
      <c r="CG390" s="124" t="str">
        <f>IF($B390="","",IFERROR(-AT390,"n.b."))</f>
        <v/>
      </c>
      <c r="CH390" s="124" t="str">
        <f>IF($B390="","",IFERROR(-AU390,"n.b."))</f>
        <v/>
      </c>
      <c r="CI390" s="124" t="str">
        <f>IF($B390="","",IFERROR(-AV390,"n.b."))</f>
        <v/>
      </c>
      <c r="CJ390" s="124" t="str">
        <f>IF($B390="","",IFERROR(-AW390,"n.b."))</f>
        <v/>
      </c>
      <c r="CK390" s="124" t="str">
        <f>IF($B390="","",IFERROR(-AX390,"n.b."))</f>
        <v/>
      </c>
      <c r="CL390" s="124" t="str">
        <f>IF($B390="","",IFERROR(-AY390,"n.b."))</f>
        <v/>
      </c>
      <c r="CM390" s="124" t="str">
        <f>IF($B390="","",IFERROR(-AZ390,"n.b."))</f>
        <v/>
      </c>
      <c r="CN390" s="124" t="str">
        <f>IF($B390="","",IFERROR(-BA390,"n.b."))</f>
        <v/>
      </c>
      <c r="CO390" s="124" t="str">
        <f>IF($B390="","",IFERROR(-BB390,"n.b."))</f>
        <v/>
      </c>
      <c r="CP390" s="124" t="str">
        <f>IF($B390="","",IFERROR(-BC390,"n.b."))</f>
        <v/>
      </c>
      <c r="CQ390" s="124" t="str">
        <f>IF($B390="","",IFERROR(-BD390,"n.b."))</f>
        <v/>
      </c>
      <c r="CR390" s="124" t="str">
        <f>IF($B390="","",IFERROR(-BE390,"n.b."))</f>
        <v/>
      </c>
      <c r="CS390" s="124" t="str">
        <f>IF($B390="","",IFERROR(IF(OR(ABS(T390+V390+X390+Z390-AB390)&gt;P_Tol,ABS(U390+W390+Y390+AA390-AD390)&gt;P_Tol,ABS(AE390+AG390+AI390+AK390-AM390)&gt;P_Tol,ABS(AF390+AH390+AJ390+AL390-AO390)&gt;P_Tol),1,0),1))</f>
        <v/>
      </c>
      <c r="CT390" s="124" t="str">
        <f>IF($B390="","",IFERROR(IF(OR(ABS(AB390+AC390-AD390)&gt;P_Tol,ABS(AM390+AN390-AO390)&gt;P_Tol,ABS(O390+P390-Q390)&gt;P_Tol),1,0),1))</f>
        <v/>
      </c>
      <c r="CU390" s="124" t="str">
        <f>IF($B390="","",IFERROR(IF(ABS(R390-(AB390+AM390+AP390+AR390+AT390+AV390+AX390+AZ390+BB390+BD390))&gt;P_Tol,1,0),1))</f>
        <v/>
      </c>
      <c r="CV390" s="124" t="str">
        <f>IF($B390="","",IFERROR(IF(ABS(M390-(N390+O390+R390))&gt;P_Tol,1,0),1))</f>
        <v/>
      </c>
      <c r="CW390" s="124" t="str">
        <f>IF($B390="","",IF(COUNTIF(Mapping!$A$5:$A$104,B390)&gt;0,1,0))</f>
        <v/>
      </c>
      <c r="CX390" s="124" t="str">
        <f>IF($B390="","",COUNTIF($B$6:$B$505,B390))</f>
        <v/>
      </c>
      <c r="CY390" s="124" t="str">
        <f>IF($B390="","",COUNTIF(STG_Woningetalage!$B$6:$B$505,B390))</f>
        <v/>
      </c>
      <c r="CZ390" s="124" t="str">
        <f>IF($B390="","",IF(CW390=0,COUNTIF($CW$6:CW390,0),""))</f>
        <v/>
      </c>
    </row>
    <row r="391">
      <c r="A391" s="15" t="n">
        <v>387</v>
      </c>
      <c r="B391" t="str">
        <f>IF(B$3=0,"",IF(INDEX(SRC_ZPMW03!$A$1:$ZZ$501,$A391,B$3)&amp;""="","",INDEX(SRC_ZPMW03!$A$1:$ZZ$501,$A391,B$3)&amp;""))</f>
        <v/>
      </c>
      <c r="C391" t="str">
        <f>IF($B391="","",IF(C$3=0,"n.b.",INDEX(SRC_ZPMW03!$A$1:$ZZ$501,$A391,C$3)))</f>
        <v/>
      </c>
      <c r="D391" t="str">
        <f>IF($B391="","",IF(D$3=0,"n.b.",INDEX(SRC_ZPMW03!$A$1:$ZZ$501,$A391,D$3)))</f>
        <v/>
      </c>
      <c r="E391" t="str">
        <f>IF($B391="","",IF(E$3=0,"n.b.",INDEX(SRC_ZPMW03!$A$1:$ZZ$501,$A391,E$3)))</f>
        <v/>
      </c>
      <c r="F391" t="str">
        <f>IF($B391="","",IF(F$3=0,"n.b.",INDEX(SRC_ZPMW03!$A$1:$ZZ$501,$A391,F$3)))</f>
        <v/>
      </c>
      <c r="G391" t="str">
        <f>IF($B391="","",IF(G$3=0,"n.b.",INDEX(SRC_ZPMW03!$A$1:$ZZ$501,$A391,G$3)))</f>
        <v/>
      </c>
      <c r="H391" t="str">
        <f>IF($B391="","",IF(H$3=0,"n.b.",INDEX(SRC_ZPMW03!$A$1:$ZZ$501,$A391,H$3)))</f>
        <v/>
      </c>
      <c r="I391" t="str">
        <f>IF($B391="","",IF(I$3=0,"n.b.",INDEX(SRC_ZPMW03!$A$1:$ZZ$501,$A391,I$3)))</f>
        <v/>
      </c>
      <c r="J391" t="str">
        <f>IF($B391="","",IF(J$3=0,"n.b.",INDEX(SRC_ZPMW03!$A$1:$ZZ$501,$A391,J$3)))</f>
        <v/>
      </c>
      <c r="K391" t="str">
        <f>IF($B391="","",IF(K$3=0,"n.b.",INDEX(SRC_ZPMW03!$A$1:$ZZ$501,$A391,K$3)))</f>
        <v/>
      </c>
      <c r="L391" s="124" t="str">
        <f>IF($B391="","",IF(L$3=0,"n.b.",INDEX(SRC_ZPMW03!$A$1:$ZZ$501,$A391,L$3)))</f>
        <v/>
      </c>
      <c r="M391" s="124" t="str">
        <f>IF($B391="","",IF(M$3=0,"n.b.",INDEX(SRC_ZPMW03!$A$1:$ZZ$501,$A391,M$3)))</f>
        <v/>
      </c>
      <c r="N391" s="124" t="str">
        <f>IF($B391="","",IF(N$3=0,"n.b.",INDEX(SRC_ZPMW03!$A$1:$ZZ$501,$A391,N$3)))</f>
        <v/>
      </c>
      <c r="O391" s="124" t="str">
        <f>IF($B391="","",IF(O$3=0,"n.b.",INDEX(SRC_ZPMW03!$A$1:$ZZ$501,$A391,O$3)))</f>
        <v/>
      </c>
      <c r="P391" s="124" t="str">
        <f>IF($B391="","",IF(P$3=0,"n.b.",INDEX(SRC_ZPMW03!$A$1:$ZZ$501,$A391,P$3)))</f>
        <v/>
      </c>
      <c r="Q391" s="124" t="str">
        <f>IF($B391="","",IF(Q$3=0,"n.b.",INDEX(SRC_ZPMW03!$A$1:$ZZ$501,$A391,Q$3)))</f>
        <v/>
      </c>
      <c r="R391" s="124" t="str">
        <f>IF($B391="","",IF(R$3=0,"n.b.",INDEX(SRC_ZPMW03!$A$1:$ZZ$501,$A391,R$3)))</f>
        <v/>
      </c>
      <c r="S391" s="124" t="str">
        <f>IF($B391="","",IF(S$3=0,"n.b.",INDEX(SRC_ZPMW03!$A$1:$ZZ$501,$A391,S$3)))</f>
        <v/>
      </c>
      <c r="T391" s="124" t="str">
        <f>IF($B391="","",IF(T$3=0,"n.b.",INDEX(SRC_ZPMW03!$A$1:$ZZ$501,$A391,T$3)))</f>
        <v/>
      </c>
      <c r="U391" s="124" t="str">
        <f>IF($B391="","",IF(U$3=0,"n.b.",INDEX(SRC_ZPMW03!$A$1:$ZZ$501,$A391,U$3)))</f>
        <v/>
      </c>
      <c r="V391" s="124" t="str">
        <f>IF($B391="","",IF(V$3=0,"n.b.",INDEX(SRC_ZPMW03!$A$1:$ZZ$501,$A391,V$3)))</f>
        <v/>
      </c>
      <c r="W391" s="124" t="str">
        <f>IF($B391="","",IF(W$3=0,"n.b.",INDEX(SRC_ZPMW03!$A$1:$ZZ$501,$A391,W$3)))</f>
        <v/>
      </c>
      <c r="X391" s="124" t="str">
        <f>IF($B391="","",IF(X$3=0,"n.b.",INDEX(SRC_ZPMW03!$A$1:$ZZ$501,$A391,X$3)))</f>
        <v/>
      </c>
      <c r="Y391" s="124" t="str">
        <f>IF($B391="","",IF(Y$3=0,"n.b.",INDEX(SRC_ZPMW03!$A$1:$ZZ$501,$A391,Y$3)))</f>
        <v/>
      </c>
      <c r="Z391" s="124" t="str">
        <f>IF($B391="","",IF(Z$3=0,"n.b.",INDEX(SRC_ZPMW03!$A$1:$ZZ$501,$A391,Z$3)))</f>
        <v/>
      </c>
      <c r="AA391" s="124" t="str">
        <f>IF($B391="","",IF(AA$3=0,"n.b.",INDEX(SRC_ZPMW03!$A$1:$ZZ$501,$A391,AA$3)))</f>
        <v/>
      </c>
      <c r="AB391" s="124" t="str">
        <f>IF($B391="","",IF(AB$3=0,"n.b.",INDEX(SRC_ZPMW03!$A$1:$ZZ$501,$A391,AB$3)))</f>
        <v/>
      </c>
      <c r="AC391" s="124" t="str">
        <f>IF($B391="","",IF(AC$3=0,"n.b.",INDEX(SRC_ZPMW03!$A$1:$ZZ$501,$A391,AC$3)))</f>
        <v/>
      </c>
      <c r="AD391" s="124" t="str">
        <f>IF($B391="","",IF(AD$3=0,"n.b.",INDEX(SRC_ZPMW03!$A$1:$ZZ$501,$A391,AD$3)))</f>
        <v/>
      </c>
      <c r="AE391" s="124" t="str">
        <f>IF($B391="","",IF(AE$3=0,"n.b.",INDEX(SRC_ZPMW03!$A$1:$ZZ$501,$A391,AE$3)))</f>
        <v/>
      </c>
      <c r="AF391" s="124" t="str">
        <f>IF($B391="","",IF(AF$3=0,"n.b.",INDEX(SRC_ZPMW03!$A$1:$ZZ$501,$A391,AF$3)))</f>
        <v/>
      </c>
      <c r="AG391" s="124" t="str">
        <f>IF($B391="","",IF(AG$3=0,"n.b.",INDEX(SRC_ZPMW03!$A$1:$ZZ$501,$A391,AG$3)))</f>
        <v/>
      </c>
      <c r="AH391" s="124" t="str">
        <f>IF($B391="","",IF(AH$3=0,"n.b.",INDEX(SRC_ZPMW03!$A$1:$ZZ$501,$A391,AH$3)))</f>
        <v/>
      </c>
      <c r="AI391" s="124" t="str">
        <f>IF($B391="","",IF(AI$3=0,"n.b.",INDEX(SRC_ZPMW03!$A$1:$ZZ$501,$A391,AI$3)))</f>
        <v/>
      </c>
      <c r="AJ391" s="124" t="str">
        <f>IF($B391="","",IF(AJ$3=0,"n.b.",INDEX(SRC_ZPMW03!$A$1:$ZZ$501,$A391,AJ$3)))</f>
        <v/>
      </c>
      <c r="AK391" s="124" t="str">
        <f>IF($B391="","",IF(AK$3=0,"n.b.",INDEX(SRC_ZPMW03!$A$1:$ZZ$501,$A391,AK$3)))</f>
        <v/>
      </c>
      <c r="AL391" s="124" t="str">
        <f>IF($B391="","",IF(AL$3=0,"n.b.",INDEX(SRC_ZPMW03!$A$1:$ZZ$501,$A391,AL$3)))</f>
        <v/>
      </c>
      <c r="AM391" s="124" t="str">
        <f>IF($B391="","",IF(AM$3=0,"n.b.",INDEX(SRC_ZPMW03!$A$1:$ZZ$501,$A391,AM$3)))</f>
        <v/>
      </c>
      <c r="AN391" s="124" t="str">
        <f>IF($B391="","",IF(AN$3=0,"n.b.",INDEX(SRC_ZPMW03!$A$1:$ZZ$501,$A391,AN$3)))</f>
        <v/>
      </c>
      <c r="AO391" s="124" t="str">
        <f>IF($B391="","",IF(AO$3=0,"n.b.",INDEX(SRC_ZPMW03!$A$1:$ZZ$501,$A391,AO$3)))</f>
        <v/>
      </c>
      <c r="AP391" s="124" t="str">
        <f>IF($B391="","",IF(AP$3=0,"n.b.",INDEX(SRC_ZPMW03!$A$1:$ZZ$501,$A391,AP$3)))</f>
        <v/>
      </c>
      <c r="AQ391" s="124" t="str">
        <f>IF($B391="","",IF(AQ$3=0,"n.b.",INDEX(SRC_ZPMW03!$A$1:$ZZ$501,$A391,AQ$3)))</f>
        <v/>
      </c>
      <c r="AR391" s="124" t="str">
        <f>IF($B391="","",IF(AR$3=0,"n.b.",INDEX(SRC_ZPMW03!$A$1:$ZZ$501,$A391,AR$3)))</f>
        <v/>
      </c>
      <c r="AS391" s="124" t="str">
        <f>IF($B391="","",IF(AS$3=0,"n.b.",INDEX(SRC_ZPMW03!$A$1:$ZZ$501,$A391,AS$3)))</f>
        <v/>
      </c>
      <c r="AT391" s="124" t="str">
        <f>IF($B391="","",IF(AT$3=0,"n.b.",INDEX(SRC_ZPMW03!$A$1:$ZZ$501,$A391,AT$3)))</f>
        <v/>
      </c>
      <c r="AU391" s="124" t="str">
        <f>IF($B391="","",IF(AU$3=0,"n.b.",INDEX(SRC_ZPMW03!$A$1:$ZZ$501,$A391,AU$3)))</f>
        <v/>
      </c>
      <c r="AV391" s="124" t="str">
        <f>IF($B391="","",IF(AV$3=0,"n.b.",INDEX(SRC_ZPMW03!$A$1:$ZZ$501,$A391,AV$3)))</f>
        <v/>
      </c>
      <c r="AW391" s="124" t="str">
        <f>IF($B391="","",IF(AW$3=0,"n.b.",INDEX(SRC_ZPMW03!$A$1:$ZZ$501,$A391,AW$3)))</f>
        <v/>
      </c>
      <c r="AX391" s="124" t="str">
        <f>IF($B391="","",IF(AX$3=0,"n.b.",INDEX(SRC_ZPMW03!$A$1:$ZZ$501,$A391,AX$3)))</f>
        <v/>
      </c>
      <c r="AY391" s="124" t="str">
        <f>IF($B391="","",IF(AY$3=0,"n.b.",INDEX(SRC_ZPMW03!$A$1:$ZZ$501,$A391,AY$3)))</f>
        <v/>
      </c>
      <c r="AZ391" s="124" t="str">
        <f>IF($B391="","",IF(AZ$3=0,"n.b.",INDEX(SRC_ZPMW03!$A$1:$ZZ$501,$A391,AZ$3)))</f>
        <v/>
      </c>
      <c r="BA391" s="124" t="str">
        <f>IF($B391="","",IF(BA$3=0,"n.b.",INDEX(SRC_ZPMW03!$A$1:$ZZ$501,$A391,BA$3)))</f>
        <v/>
      </c>
      <c r="BB391" s="124" t="str">
        <f>IF($B391="","",IF(BB$3=0,"n.b.",INDEX(SRC_ZPMW03!$A$1:$ZZ$501,$A391,BB$3)))</f>
        <v/>
      </c>
      <c r="BC391" s="124" t="str">
        <f>IF($B391="","",IF(BC$3=0,"n.b.",INDEX(SRC_ZPMW03!$A$1:$ZZ$501,$A391,BC$3)))</f>
        <v/>
      </c>
      <c r="BD391" s="124" t="str">
        <f>IF($B391="","",IF(BD$3=0,"n.b.",INDEX(SRC_ZPMW03!$A$1:$ZZ$501,$A391,BD$3)))</f>
        <v/>
      </c>
      <c r="BE391" s="124" t="str">
        <f>IF($B391="","",IF(BE$3=0,"n.b.",INDEX(SRC_ZPMW03!$A$1:$ZZ$501,$A391,BE$3)))</f>
        <v/>
      </c>
      <c r="BF391" s="124" t="str">
        <f>IF($B391="","",IF(BF$3=0,"n.b.",INDEX(SRC_ZPMW03!$A$1:$ZZ$501,$A391,BF$3)))</f>
        <v/>
      </c>
      <c r="BG391" t="str">
        <f>IF($B391="","",IF(BG$3=0,"n.b.",INDEX(SRC_ZPMW03!$A$1:$ZZ$501,$A391,BG$3)))</f>
        <v/>
      </c>
      <c r="BH391" t="str">
        <f>IF($B391="","",IF(BH$3=0,"n.b.",INDEX(SRC_ZPMW03!$A$1:$ZZ$501,$A391,BH$3)))</f>
        <v/>
      </c>
      <c r="BI391" t="str">
        <f>IF($B391="","",IF(BI$3=0,"n.b.",INDEX(SRC_ZPMW03!$A$1:$ZZ$501,$A391,BI$3)))</f>
        <v/>
      </c>
      <c r="BJ391" t="str">
        <f>IF($B391="","",IF(BJ$3=0,"n.b.",INDEX(SRC_ZPMW03!$A$1:$ZZ$501,$A391,BJ$3)))</f>
        <v/>
      </c>
      <c r="BK391" s="124" t="str">
        <f>IF($B391="","",IFERROR(-O391,"n.b."))</f>
        <v/>
      </c>
      <c r="BL391" s="124" t="str">
        <f>IF($B391="","",IFERROR(-Q391,"n.b."))</f>
        <v/>
      </c>
      <c r="BM391" s="124" t="str">
        <f>IF($B391="","",IFERROR(-AB391,"n.b."))</f>
        <v/>
      </c>
      <c r="BN391" s="124" t="str">
        <f>IF($B391="","",IFERROR(-AD391,"n.b."))</f>
        <v/>
      </c>
      <c r="BO391" s="124" t="str">
        <f>IF($B391="","",IFERROR(BK391+BM391,"n.b."))</f>
        <v/>
      </c>
      <c r="BP391" s="124" t="str">
        <f>IF($B391="","",IFERROR(BL391+BN391,"n.b."))</f>
        <v/>
      </c>
      <c r="BQ391" s="124" t="str">
        <f>IF($B391="","",IFERROR(-AM391,"n.b."))</f>
        <v/>
      </c>
      <c r="BR391" s="124" t="str">
        <f>IF($B391="","",IFERROR(-AO391,"n.b."))</f>
        <v/>
      </c>
      <c r="BS391" s="124" t="str">
        <f>IF($B391="","",IFERROR(-Z391,"n.b."))</f>
        <v/>
      </c>
      <c r="BT391" s="124" t="str">
        <f>IF($B391="","",IFERROR(-AA391,"n.b."))</f>
        <v/>
      </c>
      <c r="BU391" s="124" t="str">
        <f>IF($B391="","",IFERROR(-AE391,"n.b."))</f>
        <v/>
      </c>
      <c r="BV391" s="124" t="str">
        <f>IF($B391="","",IFERROR(-AF391,"n.b."))</f>
        <v/>
      </c>
      <c r="BW391" s="124" t="str">
        <f>IF($B391="","",IFERROR(-AG391,"n.b."))</f>
        <v/>
      </c>
      <c r="BX391" s="124" t="str">
        <f>IF($B391="","",IFERROR(-AH391,"n.b."))</f>
        <v/>
      </c>
      <c r="BY391" s="124" t="str">
        <f>IF($B391="","",IFERROR(-AI391,"n.b."))</f>
        <v/>
      </c>
      <c r="BZ391" s="124" t="str">
        <f>IF($B391="","",IFERROR(-AJ391,"n.b."))</f>
        <v/>
      </c>
      <c r="CA391" s="124" t="str">
        <f>IF($B391="","",IFERROR(-AK391,"n.b."))</f>
        <v/>
      </c>
      <c r="CB391" s="124" t="str">
        <f>IF($B391="","",IFERROR(-AL391,"n.b."))</f>
        <v/>
      </c>
      <c r="CC391" s="124" t="str">
        <f>IF($B391="","",IFERROR(-AP391,"n.b."))</f>
        <v/>
      </c>
      <c r="CD391" s="124" t="str">
        <f>IF($B391="","",IFERROR(-AQ391,"n.b."))</f>
        <v/>
      </c>
      <c r="CE391" s="124" t="str">
        <f>IF($B391="","",IFERROR(-AR391,"n.b."))</f>
        <v/>
      </c>
      <c r="CF391" s="124" t="str">
        <f>IF($B391="","",IFERROR(-AS391,"n.b."))</f>
        <v/>
      </c>
      <c r="CG391" s="124" t="str">
        <f>IF($B391="","",IFERROR(-AT391,"n.b."))</f>
        <v/>
      </c>
      <c r="CH391" s="124" t="str">
        <f>IF($B391="","",IFERROR(-AU391,"n.b."))</f>
        <v/>
      </c>
      <c r="CI391" s="124" t="str">
        <f>IF($B391="","",IFERROR(-AV391,"n.b."))</f>
        <v/>
      </c>
      <c r="CJ391" s="124" t="str">
        <f>IF($B391="","",IFERROR(-AW391,"n.b."))</f>
        <v/>
      </c>
      <c r="CK391" s="124" t="str">
        <f>IF($B391="","",IFERROR(-AX391,"n.b."))</f>
        <v/>
      </c>
      <c r="CL391" s="124" t="str">
        <f>IF($B391="","",IFERROR(-AY391,"n.b."))</f>
        <v/>
      </c>
      <c r="CM391" s="124" t="str">
        <f>IF($B391="","",IFERROR(-AZ391,"n.b."))</f>
        <v/>
      </c>
      <c r="CN391" s="124" t="str">
        <f>IF($B391="","",IFERROR(-BA391,"n.b."))</f>
        <v/>
      </c>
      <c r="CO391" s="124" t="str">
        <f>IF($B391="","",IFERROR(-BB391,"n.b."))</f>
        <v/>
      </c>
      <c r="CP391" s="124" t="str">
        <f>IF($B391="","",IFERROR(-BC391,"n.b."))</f>
        <v/>
      </c>
      <c r="CQ391" s="124" t="str">
        <f>IF($B391="","",IFERROR(-BD391,"n.b."))</f>
        <v/>
      </c>
      <c r="CR391" s="124" t="str">
        <f>IF($B391="","",IFERROR(-BE391,"n.b."))</f>
        <v/>
      </c>
      <c r="CS391" s="124" t="str">
        <f>IF($B391="","",IFERROR(IF(OR(ABS(T391+V391+X391+Z391-AB391)&gt;P_Tol,ABS(U391+W391+Y391+AA391-AD391)&gt;P_Tol,ABS(AE391+AG391+AI391+AK391-AM391)&gt;P_Tol,ABS(AF391+AH391+AJ391+AL391-AO391)&gt;P_Tol),1,0),1))</f>
        <v/>
      </c>
      <c r="CT391" s="124" t="str">
        <f>IF($B391="","",IFERROR(IF(OR(ABS(AB391+AC391-AD391)&gt;P_Tol,ABS(AM391+AN391-AO391)&gt;P_Tol,ABS(O391+P391-Q391)&gt;P_Tol),1,0),1))</f>
        <v/>
      </c>
      <c r="CU391" s="124" t="str">
        <f>IF($B391="","",IFERROR(IF(ABS(R391-(AB391+AM391+AP391+AR391+AT391+AV391+AX391+AZ391+BB391+BD391))&gt;P_Tol,1,0),1))</f>
        <v/>
      </c>
      <c r="CV391" s="124" t="str">
        <f>IF($B391="","",IFERROR(IF(ABS(M391-(N391+O391+R391))&gt;P_Tol,1,0),1))</f>
        <v/>
      </c>
      <c r="CW391" s="124" t="str">
        <f>IF($B391="","",IF(COUNTIF(Mapping!$A$5:$A$104,B391)&gt;0,1,0))</f>
        <v/>
      </c>
      <c r="CX391" s="124" t="str">
        <f>IF($B391="","",COUNTIF($B$6:$B$505,B391))</f>
        <v/>
      </c>
      <c r="CY391" s="124" t="str">
        <f>IF($B391="","",COUNTIF(STG_Woningetalage!$B$6:$B$505,B391))</f>
        <v/>
      </c>
      <c r="CZ391" s="124" t="str">
        <f>IF($B391="","",IF(CW391=0,COUNTIF($CW$6:CW391,0),""))</f>
        <v/>
      </c>
    </row>
    <row r="392">
      <c r="A392" s="15" t="n">
        <v>388</v>
      </c>
      <c r="B392" t="str">
        <f>IF(B$3=0,"",IF(INDEX(SRC_ZPMW03!$A$1:$ZZ$501,$A392,B$3)&amp;""="","",INDEX(SRC_ZPMW03!$A$1:$ZZ$501,$A392,B$3)&amp;""))</f>
        <v/>
      </c>
      <c r="C392" t="str">
        <f>IF($B392="","",IF(C$3=0,"n.b.",INDEX(SRC_ZPMW03!$A$1:$ZZ$501,$A392,C$3)))</f>
        <v/>
      </c>
      <c r="D392" t="str">
        <f>IF($B392="","",IF(D$3=0,"n.b.",INDEX(SRC_ZPMW03!$A$1:$ZZ$501,$A392,D$3)))</f>
        <v/>
      </c>
      <c r="E392" t="str">
        <f>IF($B392="","",IF(E$3=0,"n.b.",INDEX(SRC_ZPMW03!$A$1:$ZZ$501,$A392,E$3)))</f>
        <v/>
      </c>
      <c r="F392" t="str">
        <f>IF($B392="","",IF(F$3=0,"n.b.",INDEX(SRC_ZPMW03!$A$1:$ZZ$501,$A392,F$3)))</f>
        <v/>
      </c>
      <c r="G392" t="str">
        <f>IF($B392="","",IF(G$3=0,"n.b.",INDEX(SRC_ZPMW03!$A$1:$ZZ$501,$A392,G$3)))</f>
        <v/>
      </c>
      <c r="H392" t="str">
        <f>IF($B392="","",IF(H$3=0,"n.b.",INDEX(SRC_ZPMW03!$A$1:$ZZ$501,$A392,H$3)))</f>
        <v/>
      </c>
      <c r="I392" t="str">
        <f>IF($B392="","",IF(I$3=0,"n.b.",INDEX(SRC_ZPMW03!$A$1:$ZZ$501,$A392,I$3)))</f>
        <v/>
      </c>
      <c r="J392" t="str">
        <f>IF($B392="","",IF(J$3=0,"n.b.",INDEX(SRC_ZPMW03!$A$1:$ZZ$501,$A392,J$3)))</f>
        <v/>
      </c>
      <c r="K392" t="str">
        <f>IF($B392="","",IF(K$3=0,"n.b.",INDEX(SRC_ZPMW03!$A$1:$ZZ$501,$A392,K$3)))</f>
        <v/>
      </c>
      <c r="L392" s="124" t="str">
        <f>IF($B392="","",IF(L$3=0,"n.b.",INDEX(SRC_ZPMW03!$A$1:$ZZ$501,$A392,L$3)))</f>
        <v/>
      </c>
      <c r="M392" s="124" t="str">
        <f>IF($B392="","",IF(M$3=0,"n.b.",INDEX(SRC_ZPMW03!$A$1:$ZZ$501,$A392,M$3)))</f>
        <v/>
      </c>
      <c r="N392" s="124" t="str">
        <f>IF($B392="","",IF(N$3=0,"n.b.",INDEX(SRC_ZPMW03!$A$1:$ZZ$501,$A392,N$3)))</f>
        <v/>
      </c>
      <c r="O392" s="124" t="str">
        <f>IF($B392="","",IF(O$3=0,"n.b.",INDEX(SRC_ZPMW03!$A$1:$ZZ$501,$A392,O$3)))</f>
        <v/>
      </c>
      <c r="P392" s="124" t="str">
        <f>IF($B392="","",IF(P$3=0,"n.b.",INDEX(SRC_ZPMW03!$A$1:$ZZ$501,$A392,P$3)))</f>
        <v/>
      </c>
      <c r="Q392" s="124" t="str">
        <f>IF($B392="","",IF(Q$3=0,"n.b.",INDEX(SRC_ZPMW03!$A$1:$ZZ$501,$A392,Q$3)))</f>
        <v/>
      </c>
      <c r="R392" s="124" t="str">
        <f>IF($B392="","",IF(R$3=0,"n.b.",INDEX(SRC_ZPMW03!$A$1:$ZZ$501,$A392,R$3)))</f>
        <v/>
      </c>
      <c r="S392" s="124" t="str">
        <f>IF($B392="","",IF(S$3=0,"n.b.",INDEX(SRC_ZPMW03!$A$1:$ZZ$501,$A392,S$3)))</f>
        <v/>
      </c>
      <c r="T392" s="124" t="str">
        <f>IF($B392="","",IF(T$3=0,"n.b.",INDEX(SRC_ZPMW03!$A$1:$ZZ$501,$A392,T$3)))</f>
        <v/>
      </c>
      <c r="U392" s="124" t="str">
        <f>IF($B392="","",IF(U$3=0,"n.b.",INDEX(SRC_ZPMW03!$A$1:$ZZ$501,$A392,U$3)))</f>
        <v/>
      </c>
      <c r="V392" s="124" t="str">
        <f>IF($B392="","",IF(V$3=0,"n.b.",INDEX(SRC_ZPMW03!$A$1:$ZZ$501,$A392,V$3)))</f>
        <v/>
      </c>
      <c r="W392" s="124" t="str">
        <f>IF($B392="","",IF(W$3=0,"n.b.",INDEX(SRC_ZPMW03!$A$1:$ZZ$501,$A392,W$3)))</f>
        <v/>
      </c>
      <c r="X392" s="124" t="str">
        <f>IF($B392="","",IF(X$3=0,"n.b.",INDEX(SRC_ZPMW03!$A$1:$ZZ$501,$A392,X$3)))</f>
        <v/>
      </c>
      <c r="Y392" s="124" t="str">
        <f>IF($B392="","",IF(Y$3=0,"n.b.",INDEX(SRC_ZPMW03!$A$1:$ZZ$501,$A392,Y$3)))</f>
        <v/>
      </c>
      <c r="Z392" s="124" t="str">
        <f>IF($B392="","",IF(Z$3=0,"n.b.",INDEX(SRC_ZPMW03!$A$1:$ZZ$501,$A392,Z$3)))</f>
        <v/>
      </c>
      <c r="AA392" s="124" t="str">
        <f>IF($B392="","",IF(AA$3=0,"n.b.",INDEX(SRC_ZPMW03!$A$1:$ZZ$501,$A392,AA$3)))</f>
        <v/>
      </c>
      <c r="AB392" s="124" t="str">
        <f>IF($B392="","",IF(AB$3=0,"n.b.",INDEX(SRC_ZPMW03!$A$1:$ZZ$501,$A392,AB$3)))</f>
        <v/>
      </c>
      <c r="AC392" s="124" t="str">
        <f>IF($B392="","",IF(AC$3=0,"n.b.",INDEX(SRC_ZPMW03!$A$1:$ZZ$501,$A392,AC$3)))</f>
        <v/>
      </c>
      <c r="AD392" s="124" t="str">
        <f>IF($B392="","",IF(AD$3=0,"n.b.",INDEX(SRC_ZPMW03!$A$1:$ZZ$501,$A392,AD$3)))</f>
        <v/>
      </c>
      <c r="AE392" s="124" t="str">
        <f>IF($B392="","",IF(AE$3=0,"n.b.",INDEX(SRC_ZPMW03!$A$1:$ZZ$501,$A392,AE$3)))</f>
        <v/>
      </c>
      <c r="AF392" s="124" t="str">
        <f>IF($B392="","",IF(AF$3=0,"n.b.",INDEX(SRC_ZPMW03!$A$1:$ZZ$501,$A392,AF$3)))</f>
        <v/>
      </c>
      <c r="AG392" s="124" t="str">
        <f>IF($B392="","",IF(AG$3=0,"n.b.",INDEX(SRC_ZPMW03!$A$1:$ZZ$501,$A392,AG$3)))</f>
        <v/>
      </c>
      <c r="AH392" s="124" t="str">
        <f>IF($B392="","",IF(AH$3=0,"n.b.",INDEX(SRC_ZPMW03!$A$1:$ZZ$501,$A392,AH$3)))</f>
        <v/>
      </c>
      <c r="AI392" s="124" t="str">
        <f>IF($B392="","",IF(AI$3=0,"n.b.",INDEX(SRC_ZPMW03!$A$1:$ZZ$501,$A392,AI$3)))</f>
        <v/>
      </c>
      <c r="AJ392" s="124" t="str">
        <f>IF($B392="","",IF(AJ$3=0,"n.b.",INDEX(SRC_ZPMW03!$A$1:$ZZ$501,$A392,AJ$3)))</f>
        <v/>
      </c>
      <c r="AK392" s="124" t="str">
        <f>IF($B392="","",IF(AK$3=0,"n.b.",INDEX(SRC_ZPMW03!$A$1:$ZZ$501,$A392,AK$3)))</f>
        <v/>
      </c>
      <c r="AL392" s="124" t="str">
        <f>IF($B392="","",IF(AL$3=0,"n.b.",INDEX(SRC_ZPMW03!$A$1:$ZZ$501,$A392,AL$3)))</f>
        <v/>
      </c>
      <c r="AM392" s="124" t="str">
        <f>IF($B392="","",IF(AM$3=0,"n.b.",INDEX(SRC_ZPMW03!$A$1:$ZZ$501,$A392,AM$3)))</f>
        <v/>
      </c>
      <c r="AN392" s="124" t="str">
        <f>IF($B392="","",IF(AN$3=0,"n.b.",INDEX(SRC_ZPMW03!$A$1:$ZZ$501,$A392,AN$3)))</f>
        <v/>
      </c>
      <c r="AO392" s="124" t="str">
        <f>IF($B392="","",IF(AO$3=0,"n.b.",INDEX(SRC_ZPMW03!$A$1:$ZZ$501,$A392,AO$3)))</f>
        <v/>
      </c>
      <c r="AP392" s="124" t="str">
        <f>IF($B392="","",IF(AP$3=0,"n.b.",INDEX(SRC_ZPMW03!$A$1:$ZZ$501,$A392,AP$3)))</f>
        <v/>
      </c>
      <c r="AQ392" s="124" t="str">
        <f>IF($B392="","",IF(AQ$3=0,"n.b.",INDEX(SRC_ZPMW03!$A$1:$ZZ$501,$A392,AQ$3)))</f>
        <v/>
      </c>
      <c r="AR392" s="124" t="str">
        <f>IF($B392="","",IF(AR$3=0,"n.b.",INDEX(SRC_ZPMW03!$A$1:$ZZ$501,$A392,AR$3)))</f>
        <v/>
      </c>
      <c r="AS392" s="124" t="str">
        <f>IF($B392="","",IF(AS$3=0,"n.b.",INDEX(SRC_ZPMW03!$A$1:$ZZ$501,$A392,AS$3)))</f>
        <v/>
      </c>
      <c r="AT392" s="124" t="str">
        <f>IF($B392="","",IF(AT$3=0,"n.b.",INDEX(SRC_ZPMW03!$A$1:$ZZ$501,$A392,AT$3)))</f>
        <v/>
      </c>
      <c r="AU392" s="124" t="str">
        <f>IF($B392="","",IF(AU$3=0,"n.b.",INDEX(SRC_ZPMW03!$A$1:$ZZ$501,$A392,AU$3)))</f>
        <v/>
      </c>
      <c r="AV392" s="124" t="str">
        <f>IF($B392="","",IF(AV$3=0,"n.b.",INDEX(SRC_ZPMW03!$A$1:$ZZ$501,$A392,AV$3)))</f>
        <v/>
      </c>
      <c r="AW392" s="124" t="str">
        <f>IF($B392="","",IF(AW$3=0,"n.b.",INDEX(SRC_ZPMW03!$A$1:$ZZ$501,$A392,AW$3)))</f>
        <v/>
      </c>
      <c r="AX392" s="124" t="str">
        <f>IF($B392="","",IF(AX$3=0,"n.b.",INDEX(SRC_ZPMW03!$A$1:$ZZ$501,$A392,AX$3)))</f>
        <v/>
      </c>
      <c r="AY392" s="124" t="str">
        <f>IF($B392="","",IF(AY$3=0,"n.b.",INDEX(SRC_ZPMW03!$A$1:$ZZ$501,$A392,AY$3)))</f>
        <v/>
      </c>
      <c r="AZ392" s="124" t="str">
        <f>IF($B392="","",IF(AZ$3=0,"n.b.",INDEX(SRC_ZPMW03!$A$1:$ZZ$501,$A392,AZ$3)))</f>
        <v/>
      </c>
      <c r="BA392" s="124" t="str">
        <f>IF($B392="","",IF(BA$3=0,"n.b.",INDEX(SRC_ZPMW03!$A$1:$ZZ$501,$A392,BA$3)))</f>
        <v/>
      </c>
      <c r="BB392" s="124" t="str">
        <f>IF($B392="","",IF(BB$3=0,"n.b.",INDEX(SRC_ZPMW03!$A$1:$ZZ$501,$A392,BB$3)))</f>
        <v/>
      </c>
      <c r="BC392" s="124" t="str">
        <f>IF($B392="","",IF(BC$3=0,"n.b.",INDEX(SRC_ZPMW03!$A$1:$ZZ$501,$A392,BC$3)))</f>
        <v/>
      </c>
      <c r="BD392" s="124" t="str">
        <f>IF($B392="","",IF(BD$3=0,"n.b.",INDEX(SRC_ZPMW03!$A$1:$ZZ$501,$A392,BD$3)))</f>
        <v/>
      </c>
      <c r="BE392" s="124" t="str">
        <f>IF($B392="","",IF(BE$3=0,"n.b.",INDEX(SRC_ZPMW03!$A$1:$ZZ$501,$A392,BE$3)))</f>
        <v/>
      </c>
      <c r="BF392" s="124" t="str">
        <f>IF($B392="","",IF(BF$3=0,"n.b.",INDEX(SRC_ZPMW03!$A$1:$ZZ$501,$A392,BF$3)))</f>
        <v/>
      </c>
      <c r="BG392" t="str">
        <f>IF($B392="","",IF(BG$3=0,"n.b.",INDEX(SRC_ZPMW03!$A$1:$ZZ$501,$A392,BG$3)))</f>
        <v/>
      </c>
      <c r="BH392" t="str">
        <f>IF($B392="","",IF(BH$3=0,"n.b.",INDEX(SRC_ZPMW03!$A$1:$ZZ$501,$A392,BH$3)))</f>
        <v/>
      </c>
      <c r="BI392" t="str">
        <f>IF($B392="","",IF(BI$3=0,"n.b.",INDEX(SRC_ZPMW03!$A$1:$ZZ$501,$A392,BI$3)))</f>
        <v/>
      </c>
      <c r="BJ392" t="str">
        <f>IF($B392="","",IF(BJ$3=0,"n.b.",INDEX(SRC_ZPMW03!$A$1:$ZZ$501,$A392,BJ$3)))</f>
        <v/>
      </c>
      <c r="BK392" s="124" t="str">
        <f>IF($B392="","",IFERROR(-O392,"n.b."))</f>
        <v/>
      </c>
      <c r="BL392" s="124" t="str">
        <f>IF($B392="","",IFERROR(-Q392,"n.b."))</f>
        <v/>
      </c>
      <c r="BM392" s="124" t="str">
        <f>IF($B392="","",IFERROR(-AB392,"n.b."))</f>
        <v/>
      </c>
      <c r="BN392" s="124" t="str">
        <f>IF($B392="","",IFERROR(-AD392,"n.b."))</f>
        <v/>
      </c>
      <c r="BO392" s="124" t="str">
        <f>IF($B392="","",IFERROR(BK392+BM392,"n.b."))</f>
        <v/>
      </c>
      <c r="BP392" s="124" t="str">
        <f>IF($B392="","",IFERROR(BL392+BN392,"n.b."))</f>
        <v/>
      </c>
      <c r="BQ392" s="124" t="str">
        <f>IF($B392="","",IFERROR(-AM392,"n.b."))</f>
        <v/>
      </c>
      <c r="BR392" s="124" t="str">
        <f>IF($B392="","",IFERROR(-AO392,"n.b."))</f>
        <v/>
      </c>
      <c r="BS392" s="124" t="str">
        <f>IF($B392="","",IFERROR(-Z392,"n.b."))</f>
        <v/>
      </c>
      <c r="BT392" s="124" t="str">
        <f>IF($B392="","",IFERROR(-AA392,"n.b."))</f>
        <v/>
      </c>
      <c r="BU392" s="124" t="str">
        <f>IF($B392="","",IFERROR(-AE392,"n.b."))</f>
        <v/>
      </c>
      <c r="BV392" s="124" t="str">
        <f>IF($B392="","",IFERROR(-AF392,"n.b."))</f>
        <v/>
      </c>
      <c r="BW392" s="124" t="str">
        <f>IF($B392="","",IFERROR(-AG392,"n.b."))</f>
        <v/>
      </c>
      <c r="BX392" s="124" t="str">
        <f>IF($B392="","",IFERROR(-AH392,"n.b."))</f>
        <v/>
      </c>
      <c r="BY392" s="124" t="str">
        <f>IF($B392="","",IFERROR(-AI392,"n.b."))</f>
        <v/>
      </c>
      <c r="BZ392" s="124" t="str">
        <f>IF($B392="","",IFERROR(-AJ392,"n.b."))</f>
        <v/>
      </c>
      <c r="CA392" s="124" t="str">
        <f>IF($B392="","",IFERROR(-AK392,"n.b."))</f>
        <v/>
      </c>
      <c r="CB392" s="124" t="str">
        <f>IF($B392="","",IFERROR(-AL392,"n.b."))</f>
        <v/>
      </c>
      <c r="CC392" s="124" t="str">
        <f>IF($B392="","",IFERROR(-AP392,"n.b."))</f>
        <v/>
      </c>
      <c r="CD392" s="124" t="str">
        <f>IF($B392="","",IFERROR(-AQ392,"n.b."))</f>
        <v/>
      </c>
      <c r="CE392" s="124" t="str">
        <f>IF($B392="","",IFERROR(-AR392,"n.b."))</f>
        <v/>
      </c>
      <c r="CF392" s="124" t="str">
        <f>IF($B392="","",IFERROR(-AS392,"n.b."))</f>
        <v/>
      </c>
      <c r="CG392" s="124" t="str">
        <f>IF($B392="","",IFERROR(-AT392,"n.b."))</f>
        <v/>
      </c>
      <c r="CH392" s="124" t="str">
        <f>IF($B392="","",IFERROR(-AU392,"n.b."))</f>
        <v/>
      </c>
      <c r="CI392" s="124" t="str">
        <f>IF($B392="","",IFERROR(-AV392,"n.b."))</f>
        <v/>
      </c>
      <c r="CJ392" s="124" t="str">
        <f>IF($B392="","",IFERROR(-AW392,"n.b."))</f>
        <v/>
      </c>
      <c r="CK392" s="124" t="str">
        <f>IF($B392="","",IFERROR(-AX392,"n.b."))</f>
        <v/>
      </c>
      <c r="CL392" s="124" t="str">
        <f>IF($B392="","",IFERROR(-AY392,"n.b."))</f>
        <v/>
      </c>
      <c r="CM392" s="124" t="str">
        <f>IF($B392="","",IFERROR(-AZ392,"n.b."))</f>
        <v/>
      </c>
      <c r="CN392" s="124" t="str">
        <f>IF($B392="","",IFERROR(-BA392,"n.b."))</f>
        <v/>
      </c>
      <c r="CO392" s="124" t="str">
        <f>IF($B392="","",IFERROR(-BB392,"n.b."))</f>
        <v/>
      </c>
      <c r="CP392" s="124" t="str">
        <f>IF($B392="","",IFERROR(-BC392,"n.b."))</f>
        <v/>
      </c>
      <c r="CQ392" s="124" t="str">
        <f>IF($B392="","",IFERROR(-BD392,"n.b."))</f>
        <v/>
      </c>
      <c r="CR392" s="124" t="str">
        <f>IF($B392="","",IFERROR(-BE392,"n.b."))</f>
        <v/>
      </c>
      <c r="CS392" s="124" t="str">
        <f>IF($B392="","",IFERROR(IF(OR(ABS(T392+V392+X392+Z392-AB392)&gt;P_Tol,ABS(U392+W392+Y392+AA392-AD392)&gt;P_Tol,ABS(AE392+AG392+AI392+AK392-AM392)&gt;P_Tol,ABS(AF392+AH392+AJ392+AL392-AO392)&gt;P_Tol),1,0),1))</f>
        <v/>
      </c>
      <c r="CT392" s="124" t="str">
        <f>IF($B392="","",IFERROR(IF(OR(ABS(AB392+AC392-AD392)&gt;P_Tol,ABS(AM392+AN392-AO392)&gt;P_Tol,ABS(O392+P392-Q392)&gt;P_Tol),1,0),1))</f>
        <v/>
      </c>
      <c r="CU392" s="124" t="str">
        <f>IF($B392="","",IFERROR(IF(ABS(R392-(AB392+AM392+AP392+AR392+AT392+AV392+AX392+AZ392+BB392+BD392))&gt;P_Tol,1,0),1))</f>
        <v/>
      </c>
      <c r="CV392" s="124" t="str">
        <f>IF($B392="","",IFERROR(IF(ABS(M392-(N392+O392+R392))&gt;P_Tol,1,0),1))</f>
        <v/>
      </c>
      <c r="CW392" s="124" t="str">
        <f>IF($B392="","",IF(COUNTIF(Mapping!$A$5:$A$104,B392)&gt;0,1,0))</f>
        <v/>
      </c>
      <c r="CX392" s="124" t="str">
        <f>IF($B392="","",COUNTIF($B$6:$B$505,B392))</f>
        <v/>
      </c>
      <c r="CY392" s="124" t="str">
        <f>IF($B392="","",COUNTIF(STG_Woningetalage!$B$6:$B$505,B392))</f>
        <v/>
      </c>
      <c r="CZ392" s="124" t="str">
        <f>IF($B392="","",IF(CW392=0,COUNTIF($CW$6:CW392,0),""))</f>
        <v/>
      </c>
    </row>
    <row r="393">
      <c r="A393" s="15" t="n">
        <v>389</v>
      </c>
      <c r="B393" t="str">
        <f>IF(B$3=0,"",IF(INDEX(SRC_ZPMW03!$A$1:$ZZ$501,$A393,B$3)&amp;""="","",INDEX(SRC_ZPMW03!$A$1:$ZZ$501,$A393,B$3)&amp;""))</f>
        <v/>
      </c>
      <c r="C393" t="str">
        <f>IF($B393="","",IF(C$3=0,"n.b.",INDEX(SRC_ZPMW03!$A$1:$ZZ$501,$A393,C$3)))</f>
        <v/>
      </c>
      <c r="D393" t="str">
        <f>IF($B393="","",IF(D$3=0,"n.b.",INDEX(SRC_ZPMW03!$A$1:$ZZ$501,$A393,D$3)))</f>
        <v/>
      </c>
      <c r="E393" t="str">
        <f>IF($B393="","",IF(E$3=0,"n.b.",INDEX(SRC_ZPMW03!$A$1:$ZZ$501,$A393,E$3)))</f>
        <v/>
      </c>
      <c r="F393" t="str">
        <f>IF($B393="","",IF(F$3=0,"n.b.",INDEX(SRC_ZPMW03!$A$1:$ZZ$501,$A393,F$3)))</f>
        <v/>
      </c>
      <c r="G393" t="str">
        <f>IF($B393="","",IF(G$3=0,"n.b.",INDEX(SRC_ZPMW03!$A$1:$ZZ$501,$A393,G$3)))</f>
        <v/>
      </c>
      <c r="H393" t="str">
        <f>IF($B393="","",IF(H$3=0,"n.b.",INDEX(SRC_ZPMW03!$A$1:$ZZ$501,$A393,H$3)))</f>
        <v/>
      </c>
      <c r="I393" t="str">
        <f>IF($B393="","",IF(I$3=0,"n.b.",INDEX(SRC_ZPMW03!$A$1:$ZZ$501,$A393,I$3)))</f>
        <v/>
      </c>
      <c r="J393" t="str">
        <f>IF($B393="","",IF(J$3=0,"n.b.",INDEX(SRC_ZPMW03!$A$1:$ZZ$501,$A393,J$3)))</f>
        <v/>
      </c>
      <c r="K393" t="str">
        <f>IF($B393="","",IF(K$3=0,"n.b.",INDEX(SRC_ZPMW03!$A$1:$ZZ$501,$A393,K$3)))</f>
        <v/>
      </c>
      <c r="L393" s="124" t="str">
        <f>IF($B393="","",IF(L$3=0,"n.b.",INDEX(SRC_ZPMW03!$A$1:$ZZ$501,$A393,L$3)))</f>
        <v/>
      </c>
      <c r="M393" s="124" t="str">
        <f>IF($B393="","",IF(M$3=0,"n.b.",INDEX(SRC_ZPMW03!$A$1:$ZZ$501,$A393,M$3)))</f>
        <v/>
      </c>
      <c r="N393" s="124" t="str">
        <f>IF($B393="","",IF(N$3=0,"n.b.",INDEX(SRC_ZPMW03!$A$1:$ZZ$501,$A393,N$3)))</f>
        <v/>
      </c>
      <c r="O393" s="124" t="str">
        <f>IF($B393="","",IF(O$3=0,"n.b.",INDEX(SRC_ZPMW03!$A$1:$ZZ$501,$A393,O$3)))</f>
        <v/>
      </c>
      <c r="P393" s="124" t="str">
        <f>IF($B393="","",IF(P$3=0,"n.b.",INDEX(SRC_ZPMW03!$A$1:$ZZ$501,$A393,P$3)))</f>
        <v/>
      </c>
      <c r="Q393" s="124" t="str">
        <f>IF($B393="","",IF(Q$3=0,"n.b.",INDEX(SRC_ZPMW03!$A$1:$ZZ$501,$A393,Q$3)))</f>
        <v/>
      </c>
      <c r="R393" s="124" t="str">
        <f>IF($B393="","",IF(R$3=0,"n.b.",INDEX(SRC_ZPMW03!$A$1:$ZZ$501,$A393,R$3)))</f>
        <v/>
      </c>
      <c r="S393" s="124" t="str">
        <f>IF($B393="","",IF(S$3=0,"n.b.",INDEX(SRC_ZPMW03!$A$1:$ZZ$501,$A393,S$3)))</f>
        <v/>
      </c>
      <c r="T393" s="124" t="str">
        <f>IF($B393="","",IF(T$3=0,"n.b.",INDEX(SRC_ZPMW03!$A$1:$ZZ$501,$A393,T$3)))</f>
        <v/>
      </c>
      <c r="U393" s="124" t="str">
        <f>IF($B393="","",IF(U$3=0,"n.b.",INDEX(SRC_ZPMW03!$A$1:$ZZ$501,$A393,U$3)))</f>
        <v/>
      </c>
      <c r="V393" s="124" t="str">
        <f>IF($B393="","",IF(V$3=0,"n.b.",INDEX(SRC_ZPMW03!$A$1:$ZZ$501,$A393,V$3)))</f>
        <v/>
      </c>
      <c r="W393" s="124" t="str">
        <f>IF($B393="","",IF(W$3=0,"n.b.",INDEX(SRC_ZPMW03!$A$1:$ZZ$501,$A393,W$3)))</f>
        <v/>
      </c>
      <c r="X393" s="124" t="str">
        <f>IF($B393="","",IF(X$3=0,"n.b.",INDEX(SRC_ZPMW03!$A$1:$ZZ$501,$A393,X$3)))</f>
        <v/>
      </c>
      <c r="Y393" s="124" t="str">
        <f>IF($B393="","",IF(Y$3=0,"n.b.",INDEX(SRC_ZPMW03!$A$1:$ZZ$501,$A393,Y$3)))</f>
        <v/>
      </c>
      <c r="Z393" s="124" t="str">
        <f>IF($B393="","",IF(Z$3=0,"n.b.",INDEX(SRC_ZPMW03!$A$1:$ZZ$501,$A393,Z$3)))</f>
        <v/>
      </c>
      <c r="AA393" s="124" t="str">
        <f>IF($B393="","",IF(AA$3=0,"n.b.",INDEX(SRC_ZPMW03!$A$1:$ZZ$501,$A393,AA$3)))</f>
        <v/>
      </c>
      <c r="AB393" s="124" t="str">
        <f>IF($B393="","",IF(AB$3=0,"n.b.",INDEX(SRC_ZPMW03!$A$1:$ZZ$501,$A393,AB$3)))</f>
        <v/>
      </c>
      <c r="AC393" s="124" t="str">
        <f>IF($B393="","",IF(AC$3=0,"n.b.",INDEX(SRC_ZPMW03!$A$1:$ZZ$501,$A393,AC$3)))</f>
        <v/>
      </c>
      <c r="AD393" s="124" t="str">
        <f>IF($B393="","",IF(AD$3=0,"n.b.",INDEX(SRC_ZPMW03!$A$1:$ZZ$501,$A393,AD$3)))</f>
        <v/>
      </c>
      <c r="AE393" s="124" t="str">
        <f>IF($B393="","",IF(AE$3=0,"n.b.",INDEX(SRC_ZPMW03!$A$1:$ZZ$501,$A393,AE$3)))</f>
        <v/>
      </c>
      <c r="AF393" s="124" t="str">
        <f>IF($B393="","",IF(AF$3=0,"n.b.",INDEX(SRC_ZPMW03!$A$1:$ZZ$501,$A393,AF$3)))</f>
        <v/>
      </c>
      <c r="AG393" s="124" t="str">
        <f>IF($B393="","",IF(AG$3=0,"n.b.",INDEX(SRC_ZPMW03!$A$1:$ZZ$501,$A393,AG$3)))</f>
        <v/>
      </c>
      <c r="AH393" s="124" t="str">
        <f>IF($B393="","",IF(AH$3=0,"n.b.",INDEX(SRC_ZPMW03!$A$1:$ZZ$501,$A393,AH$3)))</f>
        <v/>
      </c>
      <c r="AI393" s="124" t="str">
        <f>IF($B393="","",IF(AI$3=0,"n.b.",INDEX(SRC_ZPMW03!$A$1:$ZZ$501,$A393,AI$3)))</f>
        <v/>
      </c>
      <c r="AJ393" s="124" t="str">
        <f>IF($B393="","",IF(AJ$3=0,"n.b.",INDEX(SRC_ZPMW03!$A$1:$ZZ$501,$A393,AJ$3)))</f>
        <v/>
      </c>
      <c r="AK393" s="124" t="str">
        <f>IF($B393="","",IF(AK$3=0,"n.b.",INDEX(SRC_ZPMW03!$A$1:$ZZ$501,$A393,AK$3)))</f>
        <v/>
      </c>
      <c r="AL393" s="124" t="str">
        <f>IF($B393="","",IF(AL$3=0,"n.b.",INDEX(SRC_ZPMW03!$A$1:$ZZ$501,$A393,AL$3)))</f>
        <v/>
      </c>
      <c r="AM393" s="124" t="str">
        <f>IF($B393="","",IF(AM$3=0,"n.b.",INDEX(SRC_ZPMW03!$A$1:$ZZ$501,$A393,AM$3)))</f>
        <v/>
      </c>
      <c r="AN393" s="124" t="str">
        <f>IF($B393="","",IF(AN$3=0,"n.b.",INDEX(SRC_ZPMW03!$A$1:$ZZ$501,$A393,AN$3)))</f>
        <v/>
      </c>
      <c r="AO393" s="124" t="str">
        <f>IF($B393="","",IF(AO$3=0,"n.b.",INDEX(SRC_ZPMW03!$A$1:$ZZ$501,$A393,AO$3)))</f>
        <v/>
      </c>
      <c r="AP393" s="124" t="str">
        <f>IF($B393="","",IF(AP$3=0,"n.b.",INDEX(SRC_ZPMW03!$A$1:$ZZ$501,$A393,AP$3)))</f>
        <v/>
      </c>
      <c r="AQ393" s="124" t="str">
        <f>IF($B393="","",IF(AQ$3=0,"n.b.",INDEX(SRC_ZPMW03!$A$1:$ZZ$501,$A393,AQ$3)))</f>
        <v/>
      </c>
      <c r="AR393" s="124" t="str">
        <f>IF($B393="","",IF(AR$3=0,"n.b.",INDEX(SRC_ZPMW03!$A$1:$ZZ$501,$A393,AR$3)))</f>
        <v/>
      </c>
      <c r="AS393" s="124" t="str">
        <f>IF($B393="","",IF(AS$3=0,"n.b.",INDEX(SRC_ZPMW03!$A$1:$ZZ$501,$A393,AS$3)))</f>
        <v/>
      </c>
      <c r="AT393" s="124" t="str">
        <f>IF($B393="","",IF(AT$3=0,"n.b.",INDEX(SRC_ZPMW03!$A$1:$ZZ$501,$A393,AT$3)))</f>
        <v/>
      </c>
      <c r="AU393" s="124" t="str">
        <f>IF($B393="","",IF(AU$3=0,"n.b.",INDEX(SRC_ZPMW03!$A$1:$ZZ$501,$A393,AU$3)))</f>
        <v/>
      </c>
      <c r="AV393" s="124" t="str">
        <f>IF($B393="","",IF(AV$3=0,"n.b.",INDEX(SRC_ZPMW03!$A$1:$ZZ$501,$A393,AV$3)))</f>
        <v/>
      </c>
      <c r="AW393" s="124" t="str">
        <f>IF($B393="","",IF(AW$3=0,"n.b.",INDEX(SRC_ZPMW03!$A$1:$ZZ$501,$A393,AW$3)))</f>
        <v/>
      </c>
      <c r="AX393" s="124" t="str">
        <f>IF($B393="","",IF(AX$3=0,"n.b.",INDEX(SRC_ZPMW03!$A$1:$ZZ$501,$A393,AX$3)))</f>
        <v/>
      </c>
      <c r="AY393" s="124" t="str">
        <f>IF($B393="","",IF(AY$3=0,"n.b.",INDEX(SRC_ZPMW03!$A$1:$ZZ$501,$A393,AY$3)))</f>
        <v/>
      </c>
      <c r="AZ393" s="124" t="str">
        <f>IF($B393="","",IF(AZ$3=0,"n.b.",INDEX(SRC_ZPMW03!$A$1:$ZZ$501,$A393,AZ$3)))</f>
        <v/>
      </c>
      <c r="BA393" s="124" t="str">
        <f>IF($B393="","",IF(BA$3=0,"n.b.",INDEX(SRC_ZPMW03!$A$1:$ZZ$501,$A393,BA$3)))</f>
        <v/>
      </c>
      <c r="BB393" s="124" t="str">
        <f>IF($B393="","",IF(BB$3=0,"n.b.",INDEX(SRC_ZPMW03!$A$1:$ZZ$501,$A393,BB$3)))</f>
        <v/>
      </c>
      <c r="BC393" s="124" t="str">
        <f>IF($B393="","",IF(BC$3=0,"n.b.",INDEX(SRC_ZPMW03!$A$1:$ZZ$501,$A393,BC$3)))</f>
        <v/>
      </c>
      <c r="BD393" s="124" t="str">
        <f>IF($B393="","",IF(BD$3=0,"n.b.",INDEX(SRC_ZPMW03!$A$1:$ZZ$501,$A393,BD$3)))</f>
        <v/>
      </c>
      <c r="BE393" s="124" t="str">
        <f>IF($B393="","",IF(BE$3=0,"n.b.",INDEX(SRC_ZPMW03!$A$1:$ZZ$501,$A393,BE$3)))</f>
        <v/>
      </c>
      <c r="BF393" s="124" t="str">
        <f>IF($B393="","",IF(BF$3=0,"n.b.",INDEX(SRC_ZPMW03!$A$1:$ZZ$501,$A393,BF$3)))</f>
        <v/>
      </c>
      <c r="BG393" t="str">
        <f>IF($B393="","",IF(BG$3=0,"n.b.",INDEX(SRC_ZPMW03!$A$1:$ZZ$501,$A393,BG$3)))</f>
        <v/>
      </c>
      <c r="BH393" t="str">
        <f>IF($B393="","",IF(BH$3=0,"n.b.",INDEX(SRC_ZPMW03!$A$1:$ZZ$501,$A393,BH$3)))</f>
        <v/>
      </c>
      <c r="BI393" t="str">
        <f>IF($B393="","",IF(BI$3=0,"n.b.",INDEX(SRC_ZPMW03!$A$1:$ZZ$501,$A393,BI$3)))</f>
        <v/>
      </c>
      <c r="BJ393" t="str">
        <f>IF($B393="","",IF(BJ$3=0,"n.b.",INDEX(SRC_ZPMW03!$A$1:$ZZ$501,$A393,BJ$3)))</f>
        <v/>
      </c>
      <c r="BK393" s="124" t="str">
        <f>IF($B393="","",IFERROR(-O393,"n.b."))</f>
        <v/>
      </c>
      <c r="BL393" s="124" t="str">
        <f>IF($B393="","",IFERROR(-Q393,"n.b."))</f>
        <v/>
      </c>
      <c r="BM393" s="124" t="str">
        <f>IF($B393="","",IFERROR(-AB393,"n.b."))</f>
        <v/>
      </c>
      <c r="BN393" s="124" t="str">
        <f>IF($B393="","",IFERROR(-AD393,"n.b."))</f>
        <v/>
      </c>
      <c r="BO393" s="124" t="str">
        <f>IF($B393="","",IFERROR(BK393+BM393,"n.b."))</f>
        <v/>
      </c>
      <c r="BP393" s="124" t="str">
        <f>IF($B393="","",IFERROR(BL393+BN393,"n.b."))</f>
        <v/>
      </c>
      <c r="BQ393" s="124" t="str">
        <f>IF($B393="","",IFERROR(-AM393,"n.b."))</f>
        <v/>
      </c>
      <c r="BR393" s="124" t="str">
        <f>IF($B393="","",IFERROR(-AO393,"n.b."))</f>
        <v/>
      </c>
      <c r="BS393" s="124" t="str">
        <f>IF($B393="","",IFERROR(-Z393,"n.b."))</f>
        <v/>
      </c>
      <c r="BT393" s="124" t="str">
        <f>IF($B393="","",IFERROR(-AA393,"n.b."))</f>
        <v/>
      </c>
      <c r="BU393" s="124" t="str">
        <f>IF($B393="","",IFERROR(-AE393,"n.b."))</f>
        <v/>
      </c>
      <c r="BV393" s="124" t="str">
        <f>IF($B393="","",IFERROR(-AF393,"n.b."))</f>
        <v/>
      </c>
      <c r="BW393" s="124" t="str">
        <f>IF($B393="","",IFERROR(-AG393,"n.b."))</f>
        <v/>
      </c>
      <c r="BX393" s="124" t="str">
        <f>IF($B393="","",IFERROR(-AH393,"n.b."))</f>
        <v/>
      </c>
      <c r="BY393" s="124" t="str">
        <f>IF($B393="","",IFERROR(-AI393,"n.b."))</f>
        <v/>
      </c>
      <c r="BZ393" s="124" t="str">
        <f>IF($B393="","",IFERROR(-AJ393,"n.b."))</f>
        <v/>
      </c>
      <c r="CA393" s="124" t="str">
        <f>IF($B393="","",IFERROR(-AK393,"n.b."))</f>
        <v/>
      </c>
      <c r="CB393" s="124" t="str">
        <f>IF($B393="","",IFERROR(-AL393,"n.b."))</f>
        <v/>
      </c>
      <c r="CC393" s="124" t="str">
        <f>IF($B393="","",IFERROR(-AP393,"n.b."))</f>
        <v/>
      </c>
      <c r="CD393" s="124" t="str">
        <f>IF($B393="","",IFERROR(-AQ393,"n.b."))</f>
        <v/>
      </c>
      <c r="CE393" s="124" t="str">
        <f>IF($B393="","",IFERROR(-AR393,"n.b."))</f>
        <v/>
      </c>
      <c r="CF393" s="124" t="str">
        <f>IF($B393="","",IFERROR(-AS393,"n.b."))</f>
        <v/>
      </c>
      <c r="CG393" s="124" t="str">
        <f>IF($B393="","",IFERROR(-AT393,"n.b."))</f>
        <v/>
      </c>
      <c r="CH393" s="124" t="str">
        <f>IF($B393="","",IFERROR(-AU393,"n.b."))</f>
        <v/>
      </c>
      <c r="CI393" s="124" t="str">
        <f>IF($B393="","",IFERROR(-AV393,"n.b."))</f>
        <v/>
      </c>
      <c r="CJ393" s="124" t="str">
        <f>IF($B393="","",IFERROR(-AW393,"n.b."))</f>
        <v/>
      </c>
      <c r="CK393" s="124" t="str">
        <f>IF($B393="","",IFERROR(-AX393,"n.b."))</f>
        <v/>
      </c>
      <c r="CL393" s="124" t="str">
        <f>IF($B393="","",IFERROR(-AY393,"n.b."))</f>
        <v/>
      </c>
      <c r="CM393" s="124" t="str">
        <f>IF($B393="","",IFERROR(-AZ393,"n.b."))</f>
        <v/>
      </c>
      <c r="CN393" s="124" t="str">
        <f>IF($B393="","",IFERROR(-BA393,"n.b."))</f>
        <v/>
      </c>
      <c r="CO393" s="124" t="str">
        <f>IF($B393="","",IFERROR(-BB393,"n.b."))</f>
        <v/>
      </c>
      <c r="CP393" s="124" t="str">
        <f>IF($B393="","",IFERROR(-BC393,"n.b."))</f>
        <v/>
      </c>
      <c r="CQ393" s="124" t="str">
        <f>IF($B393="","",IFERROR(-BD393,"n.b."))</f>
        <v/>
      </c>
      <c r="CR393" s="124" t="str">
        <f>IF($B393="","",IFERROR(-BE393,"n.b."))</f>
        <v/>
      </c>
      <c r="CS393" s="124" t="str">
        <f>IF($B393="","",IFERROR(IF(OR(ABS(T393+V393+X393+Z393-AB393)&gt;P_Tol,ABS(U393+W393+Y393+AA393-AD393)&gt;P_Tol,ABS(AE393+AG393+AI393+AK393-AM393)&gt;P_Tol,ABS(AF393+AH393+AJ393+AL393-AO393)&gt;P_Tol),1,0),1))</f>
        <v/>
      </c>
      <c r="CT393" s="124" t="str">
        <f>IF($B393="","",IFERROR(IF(OR(ABS(AB393+AC393-AD393)&gt;P_Tol,ABS(AM393+AN393-AO393)&gt;P_Tol,ABS(O393+P393-Q393)&gt;P_Tol),1,0),1))</f>
        <v/>
      </c>
      <c r="CU393" s="124" t="str">
        <f>IF($B393="","",IFERROR(IF(ABS(R393-(AB393+AM393+AP393+AR393+AT393+AV393+AX393+AZ393+BB393+BD393))&gt;P_Tol,1,0),1))</f>
        <v/>
      </c>
      <c r="CV393" s="124" t="str">
        <f>IF($B393="","",IFERROR(IF(ABS(M393-(N393+O393+R393))&gt;P_Tol,1,0),1))</f>
        <v/>
      </c>
      <c r="CW393" s="124" t="str">
        <f>IF($B393="","",IF(COUNTIF(Mapping!$A$5:$A$104,B393)&gt;0,1,0))</f>
        <v/>
      </c>
      <c r="CX393" s="124" t="str">
        <f>IF($B393="","",COUNTIF($B$6:$B$505,B393))</f>
        <v/>
      </c>
      <c r="CY393" s="124" t="str">
        <f>IF($B393="","",COUNTIF(STG_Woningetalage!$B$6:$B$505,B393))</f>
        <v/>
      </c>
      <c r="CZ393" s="124" t="str">
        <f>IF($B393="","",IF(CW393=0,COUNTIF($CW$6:CW393,0),""))</f>
        <v/>
      </c>
    </row>
    <row r="394">
      <c r="A394" s="15" t="n">
        <v>390</v>
      </c>
      <c r="B394" t="str">
        <f>IF(B$3=0,"",IF(INDEX(SRC_ZPMW03!$A$1:$ZZ$501,$A394,B$3)&amp;""="","",INDEX(SRC_ZPMW03!$A$1:$ZZ$501,$A394,B$3)&amp;""))</f>
        <v/>
      </c>
      <c r="C394" t="str">
        <f>IF($B394="","",IF(C$3=0,"n.b.",INDEX(SRC_ZPMW03!$A$1:$ZZ$501,$A394,C$3)))</f>
        <v/>
      </c>
      <c r="D394" t="str">
        <f>IF($B394="","",IF(D$3=0,"n.b.",INDEX(SRC_ZPMW03!$A$1:$ZZ$501,$A394,D$3)))</f>
        <v/>
      </c>
      <c r="E394" t="str">
        <f>IF($B394="","",IF(E$3=0,"n.b.",INDEX(SRC_ZPMW03!$A$1:$ZZ$501,$A394,E$3)))</f>
        <v/>
      </c>
      <c r="F394" t="str">
        <f>IF($B394="","",IF(F$3=0,"n.b.",INDEX(SRC_ZPMW03!$A$1:$ZZ$501,$A394,F$3)))</f>
        <v/>
      </c>
      <c r="G394" t="str">
        <f>IF($B394="","",IF(G$3=0,"n.b.",INDEX(SRC_ZPMW03!$A$1:$ZZ$501,$A394,G$3)))</f>
        <v/>
      </c>
      <c r="H394" t="str">
        <f>IF($B394="","",IF(H$3=0,"n.b.",INDEX(SRC_ZPMW03!$A$1:$ZZ$501,$A394,H$3)))</f>
        <v/>
      </c>
      <c r="I394" t="str">
        <f>IF($B394="","",IF(I$3=0,"n.b.",INDEX(SRC_ZPMW03!$A$1:$ZZ$501,$A394,I$3)))</f>
        <v/>
      </c>
      <c r="J394" t="str">
        <f>IF($B394="","",IF(J$3=0,"n.b.",INDEX(SRC_ZPMW03!$A$1:$ZZ$501,$A394,J$3)))</f>
        <v/>
      </c>
      <c r="K394" t="str">
        <f>IF($B394="","",IF(K$3=0,"n.b.",INDEX(SRC_ZPMW03!$A$1:$ZZ$501,$A394,K$3)))</f>
        <v/>
      </c>
      <c r="L394" s="124" t="str">
        <f>IF($B394="","",IF(L$3=0,"n.b.",INDEX(SRC_ZPMW03!$A$1:$ZZ$501,$A394,L$3)))</f>
        <v/>
      </c>
      <c r="M394" s="124" t="str">
        <f>IF($B394="","",IF(M$3=0,"n.b.",INDEX(SRC_ZPMW03!$A$1:$ZZ$501,$A394,M$3)))</f>
        <v/>
      </c>
      <c r="N394" s="124" t="str">
        <f>IF($B394="","",IF(N$3=0,"n.b.",INDEX(SRC_ZPMW03!$A$1:$ZZ$501,$A394,N$3)))</f>
        <v/>
      </c>
      <c r="O394" s="124" t="str">
        <f>IF($B394="","",IF(O$3=0,"n.b.",INDEX(SRC_ZPMW03!$A$1:$ZZ$501,$A394,O$3)))</f>
        <v/>
      </c>
      <c r="P394" s="124" t="str">
        <f>IF($B394="","",IF(P$3=0,"n.b.",INDEX(SRC_ZPMW03!$A$1:$ZZ$501,$A394,P$3)))</f>
        <v/>
      </c>
      <c r="Q394" s="124" t="str">
        <f>IF($B394="","",IF(Q$3=0,"n.b.",INDEX(SRC_ZPMW03!$A$1:$ZZ$501,$A394,Q$3)))</f>
        <v/>
      </c>
      <c r="R394" s="124" t="str">
        <f>IF($B394="","",IF(R$3=0,"n.b.",INDEX(SRC_ZPMW03!$A$1:$ZZ$501,$A394,R$3)))</f>
        <v/>
      </c>
      <c r="S394" s="124" t="str">
        <f>IF($B394="","",IF(S$3=0,"n.b.",INDEX(SRC_ZPMW03!$A$1:$ZZ$501,$A394,S$3)))</f>
        <v/>
      </c>
      <c r="T394" s="124" t="str">
        <f>IF($B394="","",IF(T$3=0,"n.b.",INDEX(SRC_ZPMW03!$A$1:$ZZ$501,$A394,T$3)))</f>
        <v/>
      </c>
      <c r="U394" s="124" t="str">
        <f>IF($B394="","",IF(U$3=0,"n.b.",INDEX(SRC_ZPMW03!$A$1:$ZZ$501,$A394,U$3)))</f>
        <v/>
      </c>
      <c r="V394" s="124" t="str">
        <f>IF($B394="","",IF(V$3=0,"n.b.",INDEX(SRC_ZPMW03!$A$1:$ZZ$501,$A394,V$3)))</f>
        <v/>
      </c>
      <c r="W394" s="124" t="str">
        <f>IF($B394="","",IF(W$3=0,"n.b.",INDEX(SRC_ZPMW03!$A$1:$ZZ$501,$A394,W$3)))</f>
        <v/>
      </c>
      <c r="X394" s="124" t="str">
        <f>IF($B394="","",IF(X$3=0,"n.b.",INDEX(SRC_ZPMW03!$A$1:$ZZ$501,$A394,X$3)))</f>
        <v/>
      </c>
      <c r="Y394" s="124" t="str">
        <f>IF($B394="","",IF(Y$3=0,"n.b.",INDEX(SRC_ZPMW03!$A$1:$ZZ$501,$A394,Y$3)))</f>
        <v/>
      </c>
      <c r="Z394" s="124" t="str">
        <f>IF($B394="","",IF(Z$3=0,"n.b.",INDEX(SRC_ZPMW03!$A$1:$ZZ$501,$A394,Z$3)))</f>
        <v/>
      </c>
      <c r="AA394" s="124" t="str">
        <f>IF($B394="","",IF(AA$3=0,"n.b.",INDEX(SRC_ZPMW03!$A$1:$ZZ$501,$A394,AA$3)))</f>
        <v/>
      </c>
      <c r="AB394" s="124" t="str">
        <f>IF($B394="","",IF(AB$3=0,"n.b.",INDEX(SRC_ZPMW03!$A$1:$ZZ$501,$A394,AB$3)))</f>
        <v/>
      </c>
      <c r="AC394" s="124" t="str">
        <f>IF($B394="","",IF(AC$3=0,"n.b.",INDEX(SRC_ZPMW03!$A$1:$ZZ$501,$A394,AC$3)))</f>
        <v/>
      </c>
      <c r="AD394" s="124" t="str">
        <f>IF($B394="","",IF(AD$3=0,"n.b.",INDEX(SRC_ZPMW03!$A$1:$ZZ$501,$A394,AD$3)))</f>
        <v/>
      </c>
      <c r="AE394" s="124" t="str">
        <f>IF($B394="","",IF(AE$3=0,"n.b.",INDEX(SRC_ZPMW03!$A$1:$ZZ$501,$A394,AE$3)))</f>
        <v/>
      </c>
      <c r="AF394" s="124" t="str">
        <f>IF($B394="","",IF(AF$3=0,"n.b.",INDEX(SRC_ZPMW03!$A$1:$ZZ$501,$A394,AF$3)))</f>
        <v/>
      </c>
      <c r="AG394" s="124" t="str">
        <f>IF($B394="","",IF(AG$3=0,"n.b.",INDEX(SRC_ZPMW03!$A$1:$ZZ$501,$A394,AG$3)))</f>
        <v/>
      </c>
      <c r="AH394" s="124" t="str">
        <f>IF($B394="","",IF(AH$3=0,"n.b.",INDEX(SRC_ZPMW03!$A$1:$ZZ$501,$A394,AH$3)))</f>
        <v/>
      </c>
      <c r="AI394" s="124" t="str">
        <f>IF($B394="","",IF(AI$3=0,"n.b.",INDEX(SRC_ZPMW03!$A$1:$ZZ$501,$A394,AI$3)))</f>
        <v/>
      </c>
      <c r="AJ394" s="124" t="str">
        <f>IF($B394="","",IF(AJ$3=0,"n.b.",INDEX(SRC_ZPMW03!$A$1:$ZZ$501,$A394,AJ$3)))</f>
        <v/>
      </c>
      <c r="AK394" s="124" t="str">
        <f>IF($B394="","",IF(AK$3=0,"n.b.",INDEX(SRC_ZPMW03!$A$1:$ZZ$501,$A394,AK$3)))</f>
        <v/>
      </c>
      <c r="AL394" s="124" t="str">
        <f>IF($B394="","",IF(AL$3=0,"n.b.",INDEX(SRC_ZPMW03!$A$1:$ZZ$501,$A394,AL$3)))</f>
        <v/>
      </c>
      <c r="AM394" s="124" t="str">
        <f>IF($B394="","",IF(AM$3=0,"n.b.",INDEX(SRC_ZPMW03!$A$1:$ZZ$501,$A394,AM$3)))</f>
        <v/>
      </c>
      <c r="AN394" s="124" t="str">
        <f>IF($B394="","",IF(AN$3=0,"n.b.",INDEX(SRC_ZPMW03!$A$1:$ZZ$501,$A394,AN$3)))</f>
        <v/>
      </c>
      <c r="AO394" s="124" t="str">
        <f>IF($B394="","",IF(AO$3=0,"n.b.",INDEX(SRC_ZPMW03!$A$1:$ZZ$501,$A394,AO$3)))</f>
        <v/>
      </c>
      <c r="AP394" s="124" t="str">
        <f>IF($B394="","",IF(AP$3=0,"n.b.",INDEX(SRC_ZPMW03!$A$1:$ZZ$501,$A394,AP$3)))</f>
        <v/>
      </c>
      <c r="AQ394" s="124" t="str">
        <f>IF($B394="","",IF(AQ$3=0,"n.b.",INDEX(SRC_ZPMW03!$A$1:$ZZ$501,$A394,AQ$3)))</f>
        <v/>
      </c>
      <c r="AR394" s="124" t="str">
        <f>IF($B394="","",IF(AR$3=0,"n.b.",INDEX(SRC_ZPMW03!$A$1:$ZZ$501,$A394,AR$3)))</f>
        <v/>
      </c>
      <c r="AS394" s="124" t="str">
        <f>IF($B394="","",IF(AS$3=0,"n.b.",INDEX(SRC_ZPMW03!$A$1:$ZZ$501,$A394,AS$3)))</f>
        <v/>
      </c>
      <c r="AT394" s="124" t="str">
        <f>IF($B394="","",IF(AT$3=0,"n.b.",INDEX(SRC_ZPMW03!$A$1:$ZZ$501,$A394,AT$3)))</f>
        <v/>
      </c>
      <c r="AU394" s="124" t="str">
        <f>IF($B394="","",IF(AU$3=0,"n.b.",INDEX(SRC_ZPMW03!$A$1:$ZZ$501,$A394,AU$3)))</f>
        <v/>
      </c>
      <c r="AV394" s="124" t="str">
        <f>IF($B394="","",IF(AV$3=0,"n.b.",INDEX(SRC_ZPMW03!$A$1:$ZZ$501,$A394,AV$3)))</f>
        <v/>
      </c>
      <c r="AW394" s="124" t="str">
        <f>IF($B394="","",IF(AW$3=0,"n.b.",INDEX(SRC_ZPMW03!$A$1:$ZZ$501,$A394,AW$3)))</f>
        <v/>
      </c>
      <c r="AX394" s="124" t="str">
        <f>IF($B394="","",IF(AX$3=0,"n.b.",INDEX(SRC_ZPMW03!$A$1:$ZZ$501,$A394,AX$3)))</f>
        <v/>
      </c>
      <c r="AY394" s="124" t="str">
        <f>IF($B394="","",IF(AY$3=0,"n.b.",INDEX(SRC_ZPMW03!$A$1:$ZZ$501,$A394,AY$3)))</f>
        <v/>
      </c>
      <c r="AZ394" s="124" t="str">
        <f>IF($B394="","",IF(AZ$3=0,"n.b.",INDEX(SRC_ZPMW03!$A$1:$ZZ$501,$A394,AZ$3)))</f>
        <v/>
      </c>
      <c r="BA394" s="124" t="str">
        <f>IF($B394="","",IF(BA$3=0,"n.b.",INDEX(SRC_ZPMW03!$A$1:$ZZ$501,$A394,BA$3)))</f>
        <v/>
      </c>
      <c r="BB394" s="124" t="str">
        <f>IF($B394="","",IF(BB$3=0,"n.b.",INDEX(SRC_ZPMW03!$A$1:$ZZ$501,$A394,BB$3)))</f>
        <v/>
      </c>
      <c r="BC394" s="124" t="str">
        <f>IF($B394="","",IF(BC$3=0,"n.b.",INDEX(SRC_ZPMW03!$A$1:$ZZ$501,$A394,BC$3)))</f>
        <v/>
      </c>
      <c r="BD394" s="124" t="str">
        <f>IF($B394="","",IF(BD$3=0,"n.b.",INDEX(SRC_ZPMW03!$A$1:$ZZ$501,$A394,BD$3)))</f>
        <v/>
      </c>
      <c r="BE394" s="124" t="str">
        <f>IF($B394="","",IF(BE$3=0,"n.b.",INDEX(SRC_ZPMW03!$A$1:$ZZ$501,$A394,BE$3)))</f>
        <v/>
      </c>
      <c r="BF394" s="124" t="str">
        <f>IF($B394="","",IF(BF$3=0,"n.b.",INDEX(SRC_ZPMW03!$A$1:$ZZ$501,$A394,BF$3)))</f>
        <v/>
      </c>
      <c r="BG394" t="str">
        <f>IF($B394="","",IF(BG$3=0,"n.b.",INDEX(SRC_ZPMW03!$A$1:$ZZ$501,$A394,BG$3)))</f>
        <v/>
      </c>
      <c r="BH394" t="str">
        <f>IF($B394="","",IF(BH$3=0,"n.b.",INDEX(SRC_ZPMW03!$A$1:$ZZ$501,$A394,BH$3)))</f>
        <v/>
      </c>
      <c r="BI394" t="str">
        <f>IF($B394="","",IF(BI$3=0,"n.b.",INDEX(SRC_ZPMW03!$A$1:$ZZ$501,$A394,BI$3)))</f>
        <v/>
      </c>
      <c r="BJ394" t="str">
        <f>IF($B394="","",IF(BJ$3=0,"n.b.",INDEX(SRC_ZPMW03!$A$1:$ZZ$501,$A394,BJ$3)))</f>
        <v/>
      </c>
      <c r="BK394" s="124" t="str">
        <f>IF($B394="","",IFERROR(-O394,"n.b."))</f>
        <v/>
      </c>
      <c r="BL394" s="124" t="str">
        <f>IF($B394="","",IFERROR(-Q394,"n.b."))</f>
        <v/>
      </c>
      <c r="BM394" s="124" t="str">
        <f>IF($B394="","",IFERROR(-AB394,"n.b."))</f>
        <v/>
      </c>
      <c r="BN394" s="124" t="str">
        <f>IF($B394="","",IFERROR(-AD394,"n.b."))</f>
        <v/>
      </c>
      <c r="BO394" s="124" t="str">
        <f>IF($B394="","",IFERROR(BK394+BM394,"n.b."))</f>
        <v/>
      </c>
      <c r="BP394" s="124" t="str">
        <f>IF($B394="","",IFERROR(BL394+BN394,"n.b."))</f>
        <v/>
      </c>
      <c r="BQ394" s="124" t="str">
        <f>IF($B394="","",IFERROR(-AM394,"n.b."))</f>
        <v/>
      </c>
      <c r="BR394" s="124" t="str">
        <f>IF($B394="","",IFERROR(-AO394,"n.b."))</f>
        <v/>
      </c>
      <c r="BS394" s="124" t="str">
        <f>IF($B394="","",IFERROR(-Z394,"n.b."))</f>
        <v/>
      </c>
      <c r="BT394" s="124" t="str">
        <f>IF($B394="","",IFERROR(-AA394,"n.b."))</f>
        <v/>
      </c>
      <c r="BU394" s="124" t="str">
        <f>IF($B394="","",IFERROR(-AE394,"n.b."))</f>
        <v/>
      </c>
      <c r="BV394" s="124" t="str">
        <f>IF($B394="","",IFERROR(-AF394,"n.b."))</f>
        <v/>
      </c>
      <c r="BW394" s="124" t="str">
        <f>IF($B394="","",IFERROR(-AG394,"n.b."))</f>
        <v/>
      </c>
      <c r="BX394" s="124" t="str">
        <f>IF($B394="","",IFERROR(-AH394,"n.b."))</f>
        <v/>
      </c>
      <c r="BY394" s="124" t="str">
        <f>IF($B394="","",IFERROR(-AI394,"n.b."))</f>
        <v/>
      </c>
      <c r="BZ394" s="124" t="str">
        <f>IF($B394="","",IFERROR(-AJ394,"n.b."))</f>
        <v/>
      </c>
      <c r="CA394" s="124" t="str">
        <f>IF($B394="","",IFERROR(-AK394,"n.b."))</f>
        <v/>
      </c>
      <c r="CB394" s="124" t="str">
        <f>IF($B394="","",IFERROR(-AL394,"n.b."))</f>
        <v/>
      </c>
      <c r="CC394" s="124" t="str">
        <f>IF($B394="","",IFERROR(-AP394,"n.b."))</f>
        <v/>
      </c>
      <c r="CD394" s="124" t="str">
        <f>IF($B394="","",IFERROR(-AQ394,"n.b."))</f>
        <v/>
      </c>
      <c r="CE394" s="124" t="str">
        <f>IF($B394="","",IFERROR(-AR394,"n.b."))</f>
        <v/>
      </c>
      <c r="CF394" s="124" t="str">
        <f>IF($B394="","",IFERROR(-AS394,"n.b."))</f>
        <v/>
      </c>
      <c r="CG394" s="124" t="str">
        <f>IF($B394="","",IFERROR(-AT394,"n.b."))</f>
        <v/>
      </c>
      <c r="CH394" s="124" t="str">
        <f>IF($B394="","",IFERROR(-AU394,"n.b."))</f>
        <v/>
      </c>
      <c r="CI394" s="124" t="str">
        <f>IF($B394="","",IFERROR(-AV394,"n.b."))</f>
        <v/>
      </c>
      <c r="CJ394" s="124" t="str">
        <f>IF($B394="","",IFERROR(-AW394,"n.b."))</f>
        <v/>
      </c>
      <c r="CK394" s="124" t="str">
        <f>IF($B394="","",IFERROR(-AX394,"n.b."))</f>
        <v/>
      </c>
      <c r="CL394" s="124" t="str">
        <f>IF($B394="","",IFERROR(-AY394,"n.b."))</f>
        <v/>
      </c>
      <c r="CM394" s="124" t="str">
        <f>IF($B394="","",IFERROR(-AZ394,"n.b."))</f>
        <v/>
      </c>
      <c r="CN394" s="124" t="str">
        <f>IF($B394="","",IFERROR(-BA394,"n.b."))</f>
        <v/>
      </c>
      <c r="CO394" s="124" t="str">
        <f>IF($B394="","",IFERROR(-BB394,"n.b."))</f>
        <v/>
      </c>
      <c r="CP394" s="124" t="str">
        <f>IF($B394="","",IFERROR(-BC394,"n.b."))</f>
        <v/>
      </c>
      <c r="CQ394" s="124" t="str">
        <f>IF($B394="","",IFERROR(-BD394,"n.b."))</f>
        <v/>
      </c>
      <c r="CR394" s="124" t="str">
        <f>IF($B394="","",IFERROR(-BE394,"n.b."))</f>
        <v/>
      </c>
      <c r="CS394" s="124" t="str">
        <f>IF($B394="","",IFERROR(IF(OR(ABS(T394+V394+X394+Z394-AB394)&gt;P_Tol,ABS(U394+W394+Y394+AA394-AD394)&gt;P_Tol,ABS(AE394+AG394+AI394+AK394-AM394)&gt;P_Tol,ABS(AF394+AH394+AJ394+AL394-AO394)&gt;P_Tol),1,0),1))</f>
        <v/>
      </c>
      <c r="CT394" s="124" t="str">
        <f>IF($B394="","",IFERROR(IF(OR(ABS(AB394+AC394-AD394)&gt;P_Tol,ABS(AM394+AN394-AO394)&gt;P_Tol,ABS(O394+P394-Q394)&gt;P_Tol),1,0),1))</f>
        <v/>
      </c>
      <c r="CU394" s="124" t="str">
        <f>IF($B394="","",IFERROR(IF(ABS(R394-(AB394+AM394+AP394+AR394+AT394+AV394+AX394+AZ394+BB394+BD394))&gt;P_Tol,1,0),1))</f>
        <v/>
      </c>
      <c r="CV394" s="124" t="str">
        <f>IF($B394="","",IFERROR(IF(ABS(M394-(N394+O394+R394))&gt;P_Tol,1,0),1))</f>
        <v/>
      </c>
      <c r="CW394" s="124" t="str">
        <f>IF($B394="","",IF(COUNTIF(Mapping!$A$5:$A$104,B394)&gt;0,1,0))</f>
        <v/>
      </c>
      <c r="CX394" s="124" t="str">
        <f>IF($B394="","",COUNTIF($B$6:$B$505,B394))</f>
        <v/>
      </c>
      <c r="CY394" s="124" t="str">
        <f>IF($B394="","",COUNTIF(STG_Woningetalage!$B$6:$B$505,B394))</f>
        <v/>
      </c>
      <c r="CZ394" s="124" t="str">
        <f>IF($B394="","",IF(CW394=0,COUNTIF($CW$6:CW394,0),""))</f>
        <v/>
      </c>
    </row>
    <row r="395">
      <c r="A395" s="15" t="n">
        <v>391</v>
      </c>
      <c r="B395" t="str">
        <f>IF(B$3=0,"",IF(INDEX(SRC_ZPMW03!$A$1:$ZZ$501,$A395,B$3)&amp;""="","",INDEX(SRC_ZPMW03!$A$1:$ZZ$501,$A395,B$3)&amp;""))</f>
        <v/>
      </c>
      <c r="C395" t="str">
        <f>IF($B395="","",IF(C$3=0,"n.b.",INDEX(SRC_ZPMW03!$A$1:$ZZ$501,$A395,C$3)))</f>
        <v/>
      </c>
      <c r="D395" t="str">
        <f>IF($B395="","",IF(D$3=0,"n.b.",INDEX(SRC_ZPMW03!$A$1:$ZZ$501,$A395,D$3)))</f>
        <v/>
      </c>
      <c r="E395" t="str">
        <f>IF($B395="","",IF(E$3=0,"n.b.",INDEX(SRC_ZPMW03!$A$1:$ZZ$501,$A395,E$3)))</f>
        <v/>
      </c>
      <c r="F395" t="str">
        <f>IF($B395="","",IF(F$3=0,"n.b.",INDEX(SRC_ZPMW03!$A$1:$ZZ$501,$A395,F$3)))</f>
        <v/>
      </c>
      <c r="G395" t="str">
        <f>IF($B395="","",IF(G$3=0,"n.b.",INDEX(SRC_ZPMW03!$A$1:$ZZ$501,$A395,G$3)))</f>
        <v/>
      </c>
      <c r="H395" t="str">
        <f>IF($B395="","",IF(H$3=0,"n.b.",INDEX(SRC_ZPMW03!$A$1:$ZZ$501,$A395,H$3)))</f>
        <v/>
      </c>
      <c r="I395" t="str">
        <f>IF($B395="","",IF(I$3=0,"n.b.",INDEX(SRC_ZPMW03!$A$1:$ZZ$501,$A395,I$3)))</f>
        <v/>
      </c>
      <c r="J395" t="str">
        <f>IF($B395="","",IF(J$3=0,"n.b.",INDEX(SRC_ZPMW03!$A$1:$ZZ$501,$A395,J$3)))</f>
        <v/>
      </c>
      <c r="K395" t="str">
        <f>IF($B395="","",IF(K$3=0,"n.b.",INDEX(SRC_ZPMW03!$A$1:$ZZ$501,$A395,K$3)))</f>
        <v/>
      </c>
      <c r="L395" s="124" t="str">
        <f>IF($B395="","",IF(L$3=0,"n.b.",INDEX(SRC_ZPMW03!$A$1:$ZZ$501,$A395,L$3)))</f>
        <v/>
      </c>
      <c r="M395" s="124" t="str">
        <f>IF($B395="","",IF(M$3=0,"n.b.",INDEX(SRC_ZPMW03!$A$1:$ZZ$501,$A395,M$3)))</f>
        <v/>
      </c>
      <c r="N395" s="124" t="str">
        <f>IF($B395="","",IF(N$3=0,"n.b.",INDEX(SRC_ZPMW03!$A$1:$ZZ$501,$A395,N$3)))</f>
        <v/>
      </c>
      <c r="O395" s="124" t="str">
        <f>IF($B395="","",IF(O$3=0,"n.b.",INDEX(SRC_ZPMW03!$A$1:$ZZ$501,$A395,O$3)))</f>
        <v/>
      </c>
      <c r="P395" s="124" t="str">
        <f>IF($B395="","",IF(P$3=0,"n.b.",INDEX(SRC_ZPMW03!$A$1:$ZZ$501,$A395,P$3)))</f>
        <v/>
      </c>
      <c r="Q395" s="124" t="str">
        <f>IF($B395="","",IF(Q$3=0,"n.b.",INDEX(SRC_ZPMW03!$A$1:$ZZ$501,$A395,Q$3)))</f>
        <v/>
      </c>
      <c r="R395" s="124" t="str">
        <f>IF($B395="","",IF(R$3=0,"n.b.",INDEX(SRC_ZPMW03!$A$1:$ZZ$501,$A395,R$3)))</f>
        <v/>
      </c>
      <c r="S395" s="124" t="str">
        <f>IF($B395="","",IF(S$3=0,"n.b.",INDEX(SRC_ZPMW03!$A$1:$ZZ$501,$A395,S$3)))</f>
        <v/>
      </c>
      <c r="T395" s="124" t="str">
        <f>IF($B395="","",IF(T$3=0,"n.b.",INDEX(SRC_ZPMW03!$A$1:$ZZ$501,$A395,T$3)))</f>
        <v/>
      </c>
      <c r="U395" s="124" t="str">
        <f>IF($B395="","",IF(U$3=0,"n.b.",INDEX(SRC_ZPMW03!$A$1:$ZZ$501,$A395,U$3)))</f>
        <v/>
      </c>
      <c r="V395" s="124" t="str">
        <f>IF($B395="","",IF(V$3=0,"n.b.",INDEX(SRC_ZPMW03!$A$1:$ZZ$501,$A395,V$3)))</f>
        <v/>
      </c>
      <c r="W395" s="124" t="str">
        <f>IF($B395="","",IF(W$3=0,"n.b.",INDEX(SRC_ZPMW03!$A$1:$ZZ$501,$A395,W$3)))</f>
        <v/>
      </c>
      <c r="X395" s="124" t="str">
        <f>IF($B395="","",IF(X$3=0,"n.b.",INDEX(SRC_ZPMW03!$A$1:$ZZ$501,$A395,X$3)))</f>
        <v/>
      </c>
      <c r="Y395" s="124" t="str">
        <f>IF($B395="","",IF(Y$3=0,"n.b.",INDEX(SRC_ZPMW03!$A$1:$ZZ$501,$A395,Y$3)))</f>
        <v/>
      </c>
      <c r="Z395" s="124" t="str">
        <f>IF($B395="","",IF(Z$3=0,"n.b.",INDEX(SRC_ZPMW03!$A$1:$ZZ$501,$A395,Z$3)))</f>
        <v/>
      </c>
      <c r="AA395" s="124" t="str">
        <f>IF($B395="","",IF(AA$3=0,"n.b.",INDEX(SRC_ZPMW03!$A$1:$ZZ$501,$A395,AA$3)))</f>
        <v/>
      </c>
      <c r="AB395" s="124" t="str">
        <f>IF($B395="","",IF(AB$3=0,"n.b.",INDEX(SRC_ZPMW03!$A$1:$ZZ$501,$A395,AB$3)))</f>
        <v/>
      </c>
      <c r="AC395" s="124" t="str">
        <f>IF($B395="","",IF(AC$3=0,"n.b.",INDEX(SRC_ZPMW03!$A$1:$ZZ$501,$A395,AC$3)))</f>
        <v/>
      </c>
      <c r="AD395" s="124" t="str">
        <f>IF($B395="","",IF(AD$3=0,"n.b.",INDEX(SRC_ZPMW03!$A$1:$ZZ$501,$A395,AD$3)))</f>
        <v/>
      </c>
      <c r="AE395" s="124" t="str">
        <f>IF($B395="","",IF(AE$3=0,"n.b.",INDEX(SRC_ZPMW03!$A$1:$ZZ$501,$A395,AE$3)))</f>
        <v/>
      </c>
      <c r="AF395" s="124" t="str">
        <f>IF($B395="","",IF(AF$3=0,"n.b.",INDEX(SRC_ZPMW03!$A$1:$ZZ$501,$A395,AF$3)))</f>
        <v/>
      </c>
      <c r="AG395" s="124" t="str">
        <f>IF($B395="","",IF(AG$3=0,"n.b.",INDEX(SRC_ZPMW03!$A$1:$ZZ$501,$A395,AG$3)))</f>
        <v/>
      </c>
      <c r="AH395" s="124" t="str">
        <f>IF($B395="","",IF(AH$3=0,"n.b.",INDEX(SRC_ZPMW03!$A$1:$ZZ$501,$A395,AH$3)))</f>
        <v/>
      </c>
      <c r="AI395" s="124" t="str">
        <f>IF($B395="","",IF(AI$3=0,"n.b.",INDEX(SRC_ZPMW03!$A$1:$ZZ$501,$A395,AI$3)))</f>
        <v/>
      </c>
      <c r="AJ395" s="124" t="str">
        <f>IF($B395="","",IF(AJ$3=0,"n.b.",INDEX(SRC_ZPMW03!$A$1:$ZZ$501,$A395,AJ$3)))</f>
        <v/>
      </c>
      <c r="AK395" s="124" t="str">
        <f>IF($B395="","",IF(AK$3=0,"n.b.",INDEX(SRC_ZPMW03!$A$1:$ZZ$501,$A395,AK$3)))</f>
        <v/>
      </c>
      <c r="AL395" s="124" t="str">
        <f>IF($B395="","",IF(AL$3=0,"n.b.",INDEX(SRC_ZPMW03!$A$1:$ZZ$501,$A395,AL$3)))</f>
        <v/>
      </c>
      <c r="AM395" s="124" t="str">
        <f>IF($B395="","",IF(AM$3=0,"n.b.",INDEX(SRC_ZPMW03!$A$1:$ZZ$501,$A395,AM$3)))</f>
        <v/>
      </c>
      <c r="AN395" s="124" t="str">
        <f>IF($B395="","",IF(AN$3=0,"n.b.",INDEX(SRC_ZPMW03!$A$1:$ZZ$501,$A395,AN$3)))</f>
        <v/>
      </c>
      <c r="AO395" s="124" t="str">
        <f>IF($B395="","",IF(AO$3=0,"n.b.",INDEX(SRC_ZPMW03!$A$1:$ZZ$501,$A395,AO$3)))</f>
        <v/>
      </c>
      <c r="AP395" s="124" t="str">
        <f>IF($B395="","",IF(AP$3=0,"n.b.",INDEX(SRC_ZPMW03!$A$1:$ZZ$501,$A395,AP$3)))</f>
        <v/>
      </c>
      <c r="AQ395" s="124" t="str">
        <f>IF($B395="","",IF(AQ$3=0,"n.b.",INDEX(SRC_ZPMW03!$A$1:$ZZ$501,$A395,AQ$3)))</f>
        <v/>
      </c>
      <c r="AR395" s="124" t="str">
        <f>IF($B395="","",IF(AR$3=0,"n.b.",INDEX(SRC_ZPMW03!$A$1:$ZZ$501,$A395,AR$3)))</f>
        <v/>
      </c>
      <c r="AS395" s="124" t="str">
        <f>IF($B395="","",IF(AS$3=0,"n.b.",INDEX(SRC_ZPMW03!$A$1:$ZZ$501,$A395,AS$3)))</f>
        <v/>
      </c>
      <c r="AT395" s="124" t="str">
        <f>IF($B395="","",IF(AT$3=0,"n.b.",INDEX(SRC_ZPMW03!$A$1:$ZZ$501,$A395,AT$3)))</f>
        <v/>
      </c>
      <c r="AU395" s="124" t="str">
        <f>IF($B395="","",IF(AU$3=0,"n.b.",INDEX(SRC_ZPMW03!$A$1:$ZZ$501,$A395,AU$3)))</f>
        <v/>
      </c>
      <c r="AV395" s="124" t="str">
        <f>IF($B395="","",IF(AV$3=0,"n.b.",INDEX(SRC_ZPMW03!$A$1:$ZZ$501,$A395,AV$3)))</f>
        <v/>
      </c>
      <c r="AW395" s="124" t="str">
        <f>IF($B395="","",IF(AW$3=0,"n.b.",INDEX(SRC_ZPMW03!$A$1:$ZZ$501,$A395,AW$3)))</f>
        <v/>
      </c>
      <c r="AX395" s="124" t="str">
        <f>IF($B395="","",IF(AX$3=0,"n.b.",INDEX(SRC_ZPMW03!$A$1:$ZZ$501,$A395,AX$3)))</f>
        <v/>
      </c>
      <c r="AY395" s="124" t="str">
        <f>IF($B395="","",IF(AY$3=0,"n.b.",INDEX(SRC_ZPMW03!$A$1:$ZZ$501,$A395,AY$3)))</f>
        <v/>
      </c>
      <c r="AZ395" s="124" t="str">
        <f>IF($B395="","",IF(AZ$3=0,"n.b.",INDEX(SRC_ZPMW03!$A$1:$ZZ$501,$A395,AZ$3)))</f>
        <v/>
      </c>
      <c r="BA395" s="124" t="str">
        <f>IF($B395="","",IF(BA$3=0,"n.b.",INDEX(SRC_ZPMW03!$A$1:$ZZ$501,$A395,BA$3)))</f>
        <v/>
      </c>
      <c r="BB395" s="124" t="str">
        <f>IF($B395="","",IF(BB$3=0,"n.b.",INDEX(SRC_ZPMW03!$A$1:$ZZ$501,$A395,BB$3)))</f>
        <v/>
      </c>
      <c r="BC395" s="124" t="str">
        <f>IF($B395="","",IF(BC$3=0,"n.b.",INDEX(SRC_ZPMW03!$A$1:$ZZ$501,$A395,BC$3)))</f>
        <v/>
      </c>
      <c r="BD395" s="124" t="str">
        <f>IF($B395="","",IF(BD$3=0,"n.b.",INDEX(SRC_ZPMW03!$A$1:$ZZ$501,$A395,BD$3)))</f>
        <v/>
      </c>
      <c r="BE395" s="124" t="str">
        <f>IF($B395="","",IF(BE$3=0,"n.b.",INDEX(SRC_ZPMW03!$A$1:$ZZ$501,$A395,BE$3)))</f>
        <v/>
      </c>
      <c r="BF395" s="124" t="str">
        <f>IF($B395="","",IF(BF$3=0,"n.b.",INDEX(SRC_ZPMW03!$A$1:$ZZ$501,$A395,BF$3)))</f>
        <v/>
      </c>
      <c r="BG395" t="str">
        <f>IF($B395="","",IF(BG$3=0,"n.b.",INDEX(SRC_ZPMW03!$A$1:$ZZ$501,$A395,BG$3)))</f>
        <v/>
      </c>
      <c r="BH395" t="str">
        <f>IF($B395="","",IF(BH$3=0,"n.b.",INDEX(SRC_ZPMW03!$A$1:$ZZ$501,$A395,BH$3)))</f>
        <v/>
      </c>
      <c r="BI395" t="str">
        <f>IF($B395="","",IF(BI$3=0,"n.b.",INDEX(SRC_ZPMW03!$A$1:$ZZ$501,$A395,BI$3)))</f>
        <v/>
      </c>
      <c r="BJ395" t="str">
        <f>IF($B395="","",IF(BJ$3=0,"n.b.",INDEX(SRC_ZPMW03!$A$1:$ZZ$501,$A395,BJ$3)))</f>
        <v/>
      </c>
      <c r="BK395" s="124" t="str">
        <f>IF($B395="","",IFERROR(-O395,"n.b."))</f>
        <v/>
      </c>
      <c r="BL395" s="124" t="str">
        <f>IF($B395="","",IFERROR(-Q395,"n.b."))</f>
        <v/>
      </c>
      <c r="BM395" s="124" t="str">
        <f>IF($B395="","",IFERROR(-AB395,"n.b."))</f>
        <v/>
      </c>
      <c r="BN395" s="124" t="str">
        <f>IF($B395="","",IFERROR(-AD395,"n.b."))</f>
        <v/>
      </c>
      <c r="BO395" s="124" t="str">
        <f>IF($B395="","",IFERROR(BK395+BM395,"n.b."))</f>
        <v/>
      </c>
      <c r="BP395" s="124" t="str">
        <f>IF($B395="","",IFERROR(BL395+BN395,"n.b."))</f>
        <v/>
      </c>
      <c r="BQ395" s="124" t="str">
        <f>IF($B395="","",IFERROR(-AM395,"n.b."))</f>
        <v/>
      </c>
      <c r="BR395" s="124" t="str">
        <f>IF($B395="","",IFERROR(-AO395,"n.b."))</f>
        <v/>
      </c>
      <c r="BS395" s="124" t="str">
        <f>IF($B395="","",IFERROR(-Z395,"n.b."))</f>
        <v/>
      </c>
      <c r="BT395" s="124" t="str">
        <f>IF($B395="","",IFERROR(-AA395,"n.b."))</f>
        <v/>
      </c>
      <c r="BU395" s="124" t="str">
        <f>IF($B395="","",IFERROR(-AE395,"n.b."))</f>
        <v/>
      </c>
      <c r="BV395" s="124" t="str">
        <f>IF($B395="","",IFERROR(-AF395,"n.b."))</f>
        <v/>
      </c>
      <c r="BW395" s="124" t="str">
        <f>IF($B395="","",IFERROR(-AG395,"n.b."))</f>
        <v/>
      </c>
      <c r="BX395" s="124" t="str">
        <f>IF($B395="","",IFERROR(-AH395,"n.b."))</f>
        <v/>
      </c>
      <c r="BY395" s="124" t="str">
        <f>IF($B395="","",IFERROR(-AI395,"n.b."))</f>
        <v/>
      </c>
      <c r="BZ395" s="124" t="str">
        <f>IF($B395="","",IFERROR(-AJ395,"n.b."))</f>
        <v/>
      </c>
      <c r="CA395" s="124" t="str">
        <f>IF($B395="","",IFERROR(-AK395,"n.b."))</f>
        <v/>
      </c>
      <c r="CB395" s="124" t="str">
        <f>IF($B395="","",IFERROR(-AL395,"n.b."))</f>
        <v/>
      </c>
      <c r="CC395" s="124" t="str">
        <f>IF($B395="","",IFERROR(-AP395,"n.b."))</f>
        <v/>
      </c>
      <c r="CD395" s="124" t="str">
        <f>IF($B395="","",IFERROR(-AQ395,"n.b."))</f>
        <v/>
      </c>
      <c r="CE395" s="124" t="str">
        <f>IF($B395="","",IFERROR(-AR395,"n.b."))</f>
        <v/>
      </c>
      <c r="CF395" s="124" t="str">
        <f>IF($B395="","",IFERROR(-AS395,"n.b."))</f>
        <v/>
      </c>
      <c r="CG395" s="124" t="str">
        <f>IF($B395="","",IFERROR(-AT395,"n.b."))</f>
        <v/>
      </c>
      <c r="CH395" s="124" t="str">
        <f>IF($B395="","",IFERROR(-AU395,"n.b."))</f>
        <v/>
      </c>
      <c r="CI395" s="124" t="str">
        <f>IF($B395="","",IFERROR(-AV395,"n.b."))</f>
        <v/>
      </c>
      <c r="CJ395" s="124" t="str">
        <f>IF($B395="","",IFERROR(-AW395,"n.b."))</f>
        <v/>
      </c>
      <c r="CK395" s="124" t="str">
        <f>IF($B395="","",IFERROR(-AX395,"n.b."))</f>
        <v/>
      </c>
      <c r="CL395" s="124" t="str">
        <f>IF($B395="","",IFERROR(-AY395,"n.b."))</f>
        <v/>
      </c>
      <c r="CM395" s="124" t="str">
        <f>IF($B395="","",IFERROR(-AZ395,"n.b."))</f>
        <v/>
      </c>
      <c r="CN395" s="124" t="str">
        <f>IF($B395="","",IFERROR(-BA395,"n.b."))</f>
        <v/>
      </c>
      <c r="CO395" s="124" t="str">
        <f>IF($B395="","",IFERROR(-BB395,"n.b."))</f>
        <v/>
      </c>
      <c r="CP395" s="124" t="str">
        <f>IF($B395="","",IFERROR(-BC395,"n.b."))</f>
        <v/>
      </c>
      <c r="CQ395" s="124" t="str">
        <f>IF($B395="","",IFERROR(-BD395,"n.b."))</f>
        <v/>
      </c>
      <c r="CR395" s="124" t="str">
        <f>IF($B395="","",IFERROR(-BE395,"n.b."))</f>
        <v/>
      </c>
      <c r="CS395" s="124" t="str">
        <f>IF($B395="","",IFERROR(IF(OR(ABS(T395+V395+X395+Z395-AB395)&gt;P_Tol,ABS(U395+W395+Y395+AA395-AD395)&gt;P_Tol,ABS(AE395+AG395+AI395+AK395-AM395)&gt;P_Tol,ABS(AF395+AH395+AJ395+AL395-AO395)&gt;P_Tol),1,0),1))</f>
        <v/>
      </c>
      <c r="CT395" s="124" t="str">
        <f>IF($B395="","",IFERROR(IF(OR(ABS(AB395+AC395-AD395)&gt;P_Tol,ABS(AM395+AN395-AO395)&gt;P_Tol,ABS(O395+P395-Q395)&gt;P_Tol),1,0),1))</f>
        <v/>
      </c>
      <c r="CU395" s="124" t="str">
        <f>IF($B395="","",IFERROR(IF(ABS(R395-(AB395+AM395+AP395+AR395+AT395+AV395+AX395+AZ395+BB395+BD395))&gt;P_Tol,1,0),1))</f>
        <v/>
      </c>
      <c r="CV395" s="124" t="str">
        <f>IF($B395="","",IFERROR(IF(ABS(M395-(N395+O395+R395))&gt;P_Tol,1,0),1))</f>
        <v/>
      </c>
      <c r="CW395" s="124" t="str">
        <f>IF($B395="","",IF(COUNTIF(Mapping!$A$5:$A$104,B395)&gt;0,1,0))</f>
        <v/>
      </c>
      <c r="CX395" s="124" t="str">
        <f>IF($B395="","",COUNTIF($B$6:$B$505,B395))</f>
        <v/>
      </c>
      <c r="CY395" s="124" t="str">
        <f>IF($B395="","",COUNTIF(STG_Woningetalage!$B$6:$B$505,B395))</f>
        <v/>
      </c>
      <c r="CZ395" s="124" t="str">
        <f>IF($B395="","",IF(CW395=0,COUNTIF($CW$6:CW395,0),""))</f>
        <v/>
      </c>
    </row>
    <row r="396">
      <c r="A396" s="15" t="n">
        <v>392</v>
      </c>
      <c r="B396" t="str">
        <f>IF(B$3=0,"",IF(INDEX(SRC_ZPMW03!$A$1:$ZZ$501,$A396,B$3)&amp;""="","",INDEX(SRC_ZPMW03!$A$1:$ZZ$501,$A396,B$3)&amp;""))</f>
        <v/>
      </c>
      <c r="C396" t="str">
        <f>IF($B396="","",IF(C$3=0,"n.b.",INDEX(SRC_ZPMW03!$A$1:$ZZ$501,$A396,C$3)))</f>
        <v/>
      </c>
      <c r="D396" t="str">
        <f>IF($B396="","",IF(D$3=0,"n.b.",INDEX(SRC_ZPMW03!$A$1:$ZZ$501,$A396,D$3)))</f>
        <v/>
      </c>
      <c r="E396" t="str">
        <f>IF($B396="","",IF(E$3=0,"n.b.",INDEX(SRC_ZPMW03!$A$1:$ZZ$501,$A396,E$3)))</f>
        <v/>
      </c>
      <c r="F396" t="str">
        <f>IF($B396="","",IF(F$3=0,"n.b.",INDEX(SRC_ZPMW03!$A$1:$ZZ$501,$A396,F$3)))</f>
        <v/>
      </c>
      <c r="G396" t="str">
        <f>IF($B396="","",IF(G$3=0,"n.b.",INDEX(SRC_ZPMW03!$A$1:$ZZ$501,$A396,G$3)))</f>
        <v/>
      </c>
      <c r="H396" t="str">
        <f>IF($B396="","",IF(H$3=0,"n.b.",INDEX(SRC_ZPMW03!$A$1:$ZZ$501,$A396,H$3)))</f>
        <v/>
      </c>
      <c r="I396" t="str">
        <f>IF($B396="","",IF(I$3=0,"n.b.",INDEX(SRC_ZPMW03!$A$1:$ZZ$501,$A396,I$3)))</f>
        <v/>
      </c>
      <c r="J396" t="str">
        <f>IF($B396="","",IF(J$3=0,"n.b.",INDEX(SRC_ZPMW03!$A$1:$ZZ$501,$A396,J$3)))</f>
        <v/>
      </c>
      <c r="K396" t="str">
        <f>IF($B396="","",IF(K$3=0,"n.b.",INDEX(SRC_ZPMW03!$A$1:$ZZ$501,$A396,K$3)))</f>
        <v/>
      </c>
      <c r="L396" s="124" t="str">
        <f>IF($B396="","",IF(L$3=0,"n.b.",INDEX(SRC_ZPMW03!$A$1:$ZZ$501,$A396,L$3)))</f>
        <v/>
      </c>
      <c r="M396" s="124" t="str">
        <f>IF($B396="","",IF(M$3=0,"n.b.",INDEX(SRC_ZPMW03!$A$1:$ZZ$501,$A396,M$3)))</f>
        <v/>
      </c>
      <c r="N396" s="124" t="str">
        <f>IF($B396="","",IF(N$3=0,"n.b.",INDEX(SRC_ZPMW03!$A$1:$ZZ$501,$A396,N$3)))</f>
        <v/>
      </c>
      <c r="O396" s="124" t="str">
        <f>IF($B396="","",IF(O$3=0,"n.b.",INDEX(SRC_ZPMW03!$A$1:$ZZ$501,$A396,O$3)))</f>
        <v/>
      </c>
      <c r="P396" s="124" t="str">
        <f>IF($B396="","",IF(P$3=0,"n.b.",INDEX(SRC_ZPMW03!$A$1:$ZZ$501,$A396,P$3)))</f>
        <v/>
      </c>
      <c r="Q396" s="124" t="str">
        <f>IF($B396="","",IF(Q$3=0,"n.b.",INDEX(SRC_ZPMW03!$A$1:$ZZ$501,$A396,Q$3)))</f>
        <v/>
      </c>
      <c r="R396" s="124" t="str">
        <f>IF($B396="","",IF(R$3=0,"n.b.",INDEX(SRC_ZPMW03!$A$1:$ZZ$501,$A396,R$3)))</f>
        <v/>
      </c>
      <c r="S396" s="124" t="str">
        <f>IF($B396="","",IF(S$3=0,"n.b.",INDEX(SRC_ZPMW03!$A$1:$ZZ$501,$A396,S$3)))</f>
        <v/>
      </c>
      <c r="T396" s="124" t="str">
        <f>IF($B396="","",IF(T$3=0,"n.b.",INDEX(SRC_ZPMW03!$A$1:$ZZ$501,$A396,T$3)))</f>
        <v/>
      </c>
      <c r="U396" s="124" t="str">
        <f>IF($B396="","",IF(U$3=0,"n.b.",INDEX(SRC_ZPMW03!$A$1:$ZZ$501,$A396,U$3)))</f>
        <v/>
      </c>
      <c r="V396" s="124" t="str">
        <f>IF($B396="","",IF(V$3=0,"n.b.",INDEX(SRC_ZPMW03!$A$1:$ZZ$501,$A396,V$3)))</f>
        <v/>
      </c>
      <c r="W396" s="124" t="str">
        <f>IF($B396="","",IF(W$3=0,"n.b.",INDEX(SRC_ZPMW03!$A$1:$ZZ$501,$A396,W$3)))</f>
        <v/>
      </c>
      <c r="X396" s="124" t="str">
        <f>IF($B396="","",IF(X$3=0,"n.b.",INDEX(SRC_ZPMW03!$A$1:$ZZ$501,$A396,X$3)))</f>
        <v/>
      </c>
      <c r="Y396" s="124" t="str">
        <f>IF($B396="","",IF(Y$3=0,"n.b.",INDEX(SRC_ZPMW03!$A$1:$ZZ$501,$A396,Y$3)))</f>
        <v/>
      </c>
      <c r="Z396" s="124" t="str">
        <f>IF($B396="","",IF(Z$3=0,"n.b.",INDEX(SRC_ZPMW03!$A$1:$ZZ$501,$A396,Z$3)))</f>
        <v/>
      </c>
      <c r="AA396" s="124" t="str">
        <f>IF($B396="","",IF(AA$3=0,"n.b.",INDEX(SRC_ZPMW03!$A$1:$ZZ$501,$A396,AA$3)))</f>
        <v/>
      </c>
      <c r="AB396" s="124" t="str">
        <f>IF($B396="","",IF(AB$3=0,"n.b.",INDEX(SRC_ZPMW03!$A$1:$ZZ$501,$A396,AB$3)))</f>
        <v/>
      </c>
      <c r="AC396" s="124" t="str">
        <f>IF($B396="","",IF(AC$3=0,"n.b.",INDEX(SRC_ZPMW03!$A$1:$ZZ$501,$A396,AC$3)))</f>
        <v/>
      </c>
      <c r="AD396" s="124" t="str">
        <f>IF($B396="","",IF(AD$3=0,"n.b.",INDEX(SRC_ZPMW03!$A$1:$ZZ$501,$A396,AD$3)))</f>
        <v/>
      </c>
      <c r="AE396" s="124" t="str">
        <f>IF($B396="","",IF(AE$3=0,"n.b.",INDEX(SRC_ZPMW03!$A$1:$ZZ$501,$A396,AE$3)))</f>
        <v/>
      </c>
      <c r="AF396" s="124" t="str">
        <f>IF($B396="","",IF(AF$3=0,"n.b.",INDEX(SRC_ZPMW03!$A$1:$ZZ$501,$A396,AF$3)))</f>
        <v/>
      </c>
      <c r="AG396" s="124" t="str">
        <f>IF($B396="","",IF(AG$3=0,"n.b.",INDEX(SRC_ZPMW03!$A$1:$ZZ$501,$A396,AG$3)))</f>
        <v/>
      </c>
      <c r="AH396" s="124" t="str">
        <f>IF($B396="","",IF(AH$3=0,"n.b.",INDEX(SRC_ZPMW03!$A$1:$ZZ$501,$A396,AH$3)))</f>
        <v/>
      </c>
      <c r="AI396" s="124" t="str">
        <f>IF($B396="","",IF(AI$3=0,"n.b.",INDEX(SRC_ZPMW03!$A$1:$ZZ$501,$A396,AI$3)))</f>
        <v/>
      </c>
      <c r="AJ396" s="124" t="str">
        <f>IF($B396="","",IF(AJ$3=0,"n.b.",INDEX(SRC_ZPMW03!$A$1:$ZZ$501,$A396,AJ$3)))</f>
        <v/>
      </c>
      <c r="AK396" s="124" t="str">
        <f>IF($B396="","",IF(AK$3=0,"n.b.",INDEX(SRC_ZPMW03!$A$1:$ZZ$501,$A396,AK$3)))</f>
        <v/>
      </c>
      <c r="AL396" s="124" t="str">
        <f>IF($B396="","",IF(AL$3=0,"n.b.",INDEX(SRC_ZPMW03!$A$1:$ZZ$501,$A396,AL$3)))</f>
        <v/>
      </c>
      <c r="AM396" s="124" t="str">
        <f>IF($B396="","",IF(AM$3=0,"n.b.",INDEX(SRC_ZPMW03!$A$1:$ZZ$501,$A396,AM$3)))</f>
        <v/>
      </c>
      <c r="AN396" s="124" t="str">
        <f>IF($B396="","",IF(AN$3=0,"n.b.",INDEX(SRC_ZPMW03!$A$1:$ZZ$501,$A396,AN$3)))</f>
        <v/>
      </c>
      <c r="AO396" s="124" t="str">
        <f>IF($B396="","",IF(AO$3=0,"n.b.",INDEX(SRC_ZPMW03!$A$1:$ZZ$501,$A396,AO$3)))</f>
        <v/>
      </c>
      <c r="AP396" s="124" t="str">
        <f>IF($B396="","",IF(AP$3=0,"n.b.",INDEX(SRC_ZPMW03!$A$1:$ZZ$501,$A396,AP$3)))</f>
        <v/>
      </c>
      <c r="AQ396" s="124" t="str">
        <f>IF($B396="","",IF(AQ$3=0,"n.b.",INDEX(SRC_ZPMW03!$A$1:$ZZ$501,$A396,AQ$3)))</f>
        <v/>
      </c>
      <c r="AR396" s="124" t="str">
        <f>IF($B396="","",IF(AR$3=0,"n.b.",INDEX(SRC_ZPMW03!$A$1:$ZZ$501,$A396,AR$3)))</f>
        <v/>
      </c>
      <c r="AS396" s="124" t="str">
        <f>IF($B396="","",IF(AS$3=0,"n.b.",INDEX(SRC_ZPMW03!$A$1:$ZZ$501,$A396,AS$3)))</f>
        <v/>
      </c>
      <c r="AT396" s="124" t="str">
        <f>IF($B396="","",IF(AT$3=0,"n.b.",INDEX(SRC_ZPMW03!$A$1:$ZZ$501,$A396,AT$3)))</f>
        <v/>
      </c>
      <c r="AU396" s="124" t="str">
        <f>IF($B396="","",IF(AU$3=0,"n.b.",INDEX(SRC_ZPMW03!$A$1:$ZZ$501,$A396,AU$3)))</f>
        <v/>
      </c>
      <c r="AV396" s="124" t="str">
        <f>IF($B396="","",IF(AV$3=0,"n.b.",INDEX(SRC_ZPMW03!$A$1:$ZZ$501,$A396,AV$3)))</f>
        <v/>
      </c>
      <c r="AW396" s="124" t="str">
        <f>IF($B396="","",IF(AW$3=0,"n.b.",INDEX(SRC_ZPMW03!$A$1:$ZZ$501,$A396,AW$3)))</f>
        <v/>
      </c>
      <c r="AX396" s="124" t="str">
        <f>IF($B396="","",IF(AX$3=0,"n.b.",INDEX(SRC_ZPMW03!$A$1:$ZZ$501,$A396,AX$3)))</f>
        <v/>
      </c>
      <c r="AY396" s="124" t="str">
        <f>IF($B396="","",IF(AY$3=0,"n.b.",INDEX(SRC_ZPMW03!$A$1:$ZZ$501,$A396,AY$3)))</f>
        <v/>
      </c>
      <c r="AZ396" s="124" t="str">
        <f>IF($B396="","",IF(AZ$3=0,"n.b.",INDEX(SRC_ZPMW03!$A$1:$ZZ$501,$A396,AZ$3)))</f>
        <v/>
      </c>
      <c r="BA396" s="124" t="str">
        <f>IF($B396="","",IF(BA$3=0,"n.b.",INDEX(SRC_ZPMW03!$A$1:$ZZ$501,$A396,BA$3)))</f>
        <v/>
      </c>
      <c r="BB396" s="124" t="str">
        <f>IF($B396="","",IF(BB$3=0,"n.b.",INDEX(SRC_ZPMW03!$A$1:$ZZ$501,$A396,BB$3)))</f>
        <v/>
      </c>
      <c r="BC396" s="124" t="str">
        <f>IF($B396="","",IF(BC$3=0,"n.b.",INDEX(SRC_ZPMW03!$A$1:$ZZ$501,$A396,BC$3)))</f>
        <v/>
      </c>
      <c r="BD396" s="124" t="str">
        <f>IF($B396="","",IF(BD$3=0,"n.b.",INDEX(SRC_ZPMW03!$A$1:$ZZ$501,$A396,BD$3)))</f>
        <v/>
      </c>
      <c r="BE396" s="124" t="str">
        <f>IF($B396="","",IF(BE$3=0,"n.b.",INDEX(SRC_ZPMW03!$A$1:$ZZ$501,$A396,BE$3)))</f>
        <v/>
      </c>
      <c r="BF396" s="124" t="str">
        <f>IF($B396="","",IF(BF$3=0,"n.b.",INDEX(SRC_ZPMW03!$A$1:$ZZ$501,$A396,BF$3)))</f>
        <v/>
      </c>
      <c r="BG396" t="str">
        <f>IF($B396="","",IF(BG$3=0,"n.b.",INDEX(SRC_ZPMW03!$A$1:$ZZ$501,$A396,BG$3)))</f>
        <v/>
      </c>
      <c r="BH396" t="str">
        <f>IF($B396="","",IF(BH$3=0,"n.b.",INDEX(SRC_ZPMW03!$A$1:$ZZ$501,$A396,BH$3)))</f>
        <v/>
      </c>
      <c r="BI396" t="str">
        <f>IF($B396="","",IF(BI$3=0,"n.b.",INDEX(SRC_ZPMW03!$A$1:$ZZ$501,$A396,BI$3)))</f>
        <v/>
      </c>
      <c r="BJ396" t="str">
        <f>IF($B396="","",IF(BJ$3=0,"n.b.",INDEX(SRC_ZPMW03!$A$1:$ZZ$501,$A396,BJ$3)))</f>
        <v/>
      </c>
      <c r="BK396" s="124" t="str">
        <f>IF($B396="","",IFERROR(-O396,"n.b."))</f>
        <v/>
      </c>
      <c r="BL396" s="124" t="str">
        <f>IF($B396="","",IFERROR(-Q396,"n.b."))</f>
        <v/>
      </c>
      <c r="BM396" s="124" t="str">
        <f>IF($B396="","",IFERROR(-AB396,"n.b."))</f>
        <v/>
      </c>
      <c r="BN396" s="124" t="str">
        <f>IF($B396="","",IFERROR(-AD396,"n.b."))</f>
        <v/>
      </c>
      <c r="BO396" s="124" t="str">
        <f>IF($B396="","",IFERROR(BK396+BM396,"n.b."))</f>
        <v/>
      </c>
      <c r="BP396" s="124" t="str">
        <f>IF($B396="","",IFERROR(BL396+BN396,"n.b."))</f>
        <v/>
      </c>
      <c r="BQ396" s="124" t="str">
        <f>IF($B396="","",IFERROR(-AM396,"n.b."))</f>
        <v/>
      </c>
      <c r="BR396" s="124" t="str">
        <f>IF($B396="","",IFERROR(-AO396,"n.b."))</f>
        <v/>
      </c>
      <c r="BS396" s="124" t="str">
        <f>IF($B396="","",IFERROR(-Z396,"n.b."))</f>
        <v/>
      </c>
      <c r="BT396" s="124" t="str">
        <f>IF($B396="","",IFERROR(-AA396,"n.b."))</f>
        <v/>
      </c>
      <c r="BU396" s="124" t="str">
        <f>IF($B396="","",IFERROR(-AE396,"n.b."))</f>
        <v/>
      </c>
      <c r="BV396" s="124" t="str">
        <f>IF($B396="","",IFERROR(-AF396,"n.b."))</f>
        <v/>
      </c>
      <c r="BW396" s="124" t="str">
        <f>IF($B396="","",IFERROR(-AG396,"n.b."))</f>
        <v/>
      </c>
      <c r="BX396" s="124" t="str">
        <f>IF($B396="","",IFERROR(-AH396,"n.b."))</f>
        <v/>
      </c>
      <c r="BY396" s="124" t="str">
        <f>IF($B396="","",IFERROR(-AI396,"n.b."))</f>
        <v/>
      </c>
      <c r="BZ396" s="124" t="str">
        <f>IF($B396="","",IFERROR(-AJ396,"n.b."))</f>
        <v/>
      </c>
      <c r="CA396" s="124" t="str">
        <f>IF($B396="","",IFERROR(-AK396,"n.b."))</f>
        <v/>
      </c>
      <c r="CB396" s="124" t="str">
        <f>IF($B396="","",IFERROR(-AL396,"n.b."))</f>
        <v/>
      </c>
      <c r="CC396" s="124" t="str">
        <f>IF($B396="","",IFERROR(-AP396,"n.b."))</f>
        <v/>
      </c>
      <c r="CD396" s="124" t="str">
        <f>IF($B396="","",IFERROR(-AQ396,"n.b."))</f>
        <v/>
      </c>
      <c r="CE396" s="124" t="str">
        <f>IF($B396="","",IFERROR(-AR396,"n.b."))</f>
        <v/>
      </c>
      <c r="CF396" s="124" t="str">
        <f>IF($B396="","",IFERROR(-AS396,"n.b."))</f>
        <v/>
      </c>
      <c r="CG396" s="124" t="str">
        <f>IF($B396="","",IFERROR(-AT396,"n.b."))</f>
        <v/>
      </c>
      <c r="CH396" s="124" t="str">
        <f>IF($B396="","",IFERROR(-AU396,"n.b."))</f>
        <v/>
      </c>
      <c r="CI396" s="124" t="str">
        <f>IF($B396="","",IFERROR(-AV396,"n.b."))</f>
        <v/>
      </c>
      <c r="CJ396" s="124" t="str">
        <f>IF($B396="","",IFERROR(-AW396,"n.b."))</f>
        <v/>
      </c>
      <c r="CK396" s="124" t="str">
        <f>IF($B396="","",IFERROR(-AX396,"n.b."))</f>
        <v/>
      </c>
      <c r="CL396" s="124" t="str">
        <f>IF($B396="","",IFERROR(-AY396,"n.b."))</f>
        <v/>
      </c>
      <c r="CM396" s="124" t="str">
        <f>IF($B396="","",IFERROR(-AZ396,"n.b."))</f>
        <v/>
      </c>
      <c r="CN396" s="124" t="str">
        <f>IF($B396="","",IFERROR(-BA396,"n.b."))</f>
        <v/>
      </c>
      <c r="CO396" s="124" t="str">
        <f>IF($B396="","",IFERROR(-BB396,"n.b."))</f>
        <v/>
      </c>
      <c r="CP396" s="124" t="str">
        <f>IF($B396="","",IFERROR(-BC396,"n.b."))</f>
        <v/>
      </c>
      <c r="CQ396" s="124" t="str">
        <f>IF($B396="","",IFERROR(-BD396,"n.b."))</f>
        <v/>
      </c>
      <c r="CR396" s="124" t="str">
        <f>IF($B396="","",IFERROR(-BE396,"n.b."))</f>
        <v/>
      </c>
      <c r="CS396" s="124" t="str">
        <f>IF($B396="","",IFERROR(IF(OR(ABS(T396+V396+X396+Z396-AB396)&gt;P_Tol,ABS(U396+W396+Y396+AA396-AD396)&gt;P_Tol,ABS(AE396+AG396+AI396+AK396-AM396)&gt;P_Tol,ABS(AF396+AH396+AJ396+AL396-AO396)&gt;P_Tol),1,0),1))</f>
        <v/>
      </c>
      <c r="CT396" s="124" t="str">
        <f>IF($B396="","",IFERROR(IF(OR(ABS(AB396+AC396-AD396)&gt;P_Tol,ABS(AM396+AN396-AO396)&gt;P_Tol,ABS(O396+P396-Q396)&gt;P_Tol),1,0),1))</f>
        <v/>
      </c>
      <c r="CU396" s="124" t="str">
        <f>IF($B396="","",IFERROR(IF(ABS(R396-(AB396+AM396+AP396+AR396+AT396+AV396+AX396+AZ396+BB396+BD396))&gt;P_Tol,1,0),1))</f>
        <v/>
      </c>
      <c r="CV396" s="124" t="str">
        <f>IF($B396="","",IFERROR(IF(ABS(M396-(N396+O396+R396))&gt;P_Tol,1,0),1))</f>
        <v/>
      </c>
      <c r="CW396" s="124" t="str">
        <f>IF($B396="","",IF(COUNTIF(Mapping!$A$5:$A$104,B396)&gt;0,1,0))</f>
        <v/>
      </c>
      <c r="CX396" s="124" t="str">
        <f>IF($B396="","",COUNTIF($B$6:$B$505,B396))</f>
        <v/>
      </c>
      <c r="CY396" s="124" t="str">
        <f>IF($B396="","",COUNTIF(STG_Woningetalage!$B$6:$B$505,B396))</f>
        <v/>
      </c>
      <c r="CZ396" s="124" t="str">
        <f>IF($B396="","",IF(CW396=0,COUNTIF($CW$6:CW396,0),""))</f>
        <v/>
      </c>
    </row>
    <row r="397">
      <c r="A397" s="15" t="n">
        <v>393</v>
      </c>
      <c r="B397" t="str">
        <f>IF(B$3=0,"",IF(INDEX(SRC_ZPMW03!$A$1:$ZZ$501,$A397,B$3)&amp;""="","",INDEX(SRC_ZPMW03!$A$1:$ZZ$501,$A397,B$3)&amp;""))</f>
        <v/>
      </c>
      <c r="C397" t="str">
        <f>IF($B397="","",IF(C$3=0,"n.b.",INDEX(SRC_ZPMW03!$A$1:$ZZ$501,$A397,C$3)))</f>
        <v/>
      </c>
      <c r="D397" t="str">
        <f>IF($B397="","",IF(D$3=0,"n.b.",INDEX(SRC_ZPMW03!$A$1:$ZZ$501,$A397,D$3)))</f>
        <v/>
      </c>
      <c r="E397" t="str">
        <f>IF($B397="","",IF(E$3=0,"n.b.",INDEX(SRC_ZPMW03!$A$1:$ZZ$501,$A397,E$3)))</f>
        <v/>
      </c>
      <c r="F397" t="str">
        <f>IF($B397="","",IF(F$3=0,"n.b.",INDEX(SRC_ZPMW03!$A$1:$ZZ$501,$A397,F$3)))</f>
        <v/>
      </c>
      <c r="G397" t="str">
        <f>IF($B397="","",IF(G$3=0,"n.b.",INDEX(SRC_ZPMW03!$A$1:$ZZ$501,$A397,G$3)))</f>
        <v/>
      </c>
      <c r="H397" t="str">
        <f>IF($B397="","",IF(H$3=0,"n.b.",INDEX(SRC_ZPMW03!$A$1:$ZZ$501,$A397,H$3)))</f>
        <v/>
      </c>
      <c r="I397" t="str">
        <f>IF($B397="","",IF(I$3=0,"n.b.",INDEX(SRC_ZPMW03!$A$1:$ZZ$501,$A397,I$3)))</f>
        <v/>
      </c>
      <c r="J397" t="str">
        <f>IF($B397="","",IF(J$3=0,"n.b.",INDEX(SRC_ZPMW03!$A$1:$ZZ$501,$A397,J$3)))</f>
        <v/>
      </c>
      <c r="K397" t="str">
        <f>IF($B397="","",IF(K$3=0,"n.b.",INDEX(SRC_ZPMW03!$A$1:$ZZ$501,$A397,K$3)))</f>
        <v/>
      </c>
      <c r="L397" s="124" t="str">
        <f>IF($B397="","",IF(L$3=0,"n.b.",INDEX(SRC_ZPMW03!$A$1:$ZZ$501,$A397,L$3)))</f>
        <v/>
      </c>
      <c r="M397" s="124" t="str">
        <f>IF($B397="","",IF(M$3=0,"n.b.",INDEX(SRC_ZPMW03!$A$1:$ZZ$501,$A397,M$3)))</f>
        <v/>
      </c>
      <c r="N397" s="124" t="str">
        <f>IF($B397="","",IF(N$3=0,"n.b.",INDEX(SRC_ZPMW03!$A$1:$ZZ$501,$A397,N$3)))</f>
        <v/>
      </c>
      <c r="O397" s="124" t="str">
        <f>IF($B397="","",IF(O$3=0,"n.b.",INDEX(SRC_ZPMW03!$A$1:$ZZ$501,$A397,O$3)))</f>
        <v/>
      </c>
      <c r="P397" s="124" t="str">
        <f>IF($B397="","",IF(P$3=0,"n.b.",INDEX(SRC_ZPMW03!$A$1:$ZZ$501,$A397,P$3)))</f>
        <v/>
      </c>
      <c r="Q397" s="124" t="str">
        <f>IF($B397="","",IF(Q$3=0,"n.b.",INDEX(SRC_ZPMW03!$A$1:$ZZ$501,$A397,Q$3)))</f>
        <v/>
      </c>
      <c r="R397" s="124" t="str">
        <f>IF($B397="","",IF(R$3=0,"n.b.",INDEX(SRC_ZPMW03!$A$1:$ZZ$501,$A397,R$3)))</f>
        <v/>
      </c>
      <c r="S397" s="124" t="str">
        <f>IF($B397="","",IF(S$3=0,"n.b.",INDEX(SRC_ZPMW03!$A$1:$ZZ$501,$A397,S$3)))</f>
        <v/>
      </c>
      <c r="T397" s="124" t="str">
        <f>IF($B397="","",IF(T$3=0,"n.b.",INDEX(SRC_ZPMW03!$A$1:$ZZ$501,$A397,T$3)))</f>
        <v/>
      </c>
      <c r="U397" s="124" t="str">
        <f>IF($B397="","",IF(U$3=0,"n.b.",INDEX(SRC_ZPMW03!$A$1:$ZZ$501,$A397,U$3)))</f>
        <v/>
      </c>
      <c r="V397" s="124" t="str">
        <f>IF($B397="","",IF(V$3=0,"n.b.",INDEX(SRC_ZPMW03!$A$1:$ZZ$501,$A397,V$3)))</f>
        <v/>
      </c>
      <c r="W397" s="124" t="str">
        <f>IF($B397="","",IF(W$3=0,"n.b.",INDEX(SRC_ZPMW03!$A$1:$ZZ$501,$A397,W$3)))</f>
        <v/>
      </c>
      <c r="X397" s="124" t="str">
        <f>IF($B397="","",IF(X$3=0,"n.b.",INDEX(SRC_ZPMW03!$A$1:$ZZ$501,$A397,X$3)))</f>
        <v/>
      </c>
      <c r="Y397" s="124" t="str">
        <f>IF($B397="","",IF(Y$3=0,"n.b.",INDEX(SRC_ZPMW03!$A$1:$ZZ$501,$A397,Y$3)))</f>
        <v/>
      </c>
      <c r="Z397" s="124" t="str">
        <f>IF($B397="","",IF(Z$3=0,"n.b.",INDEX(SRC_ZPMW03!$A$1:$ZZ$501,$A397,Z$3)))</f>
        <v/>
      </c>
      <c r="AA397" s="124" t="str">
        <f>IF($B397="","",IF(AA$3=0,"n.b.",INDEX(SRC_ZPMW03!$A$1:$ZZ$501,$A397,AA$3)))</f>
        <v/>
      </c>
      <c r="AB397" s="124" t="str">
        <f>IF($B397="","",IF(AB$3=0,"n.b.",INDEX(SRC_ZPMW03!$A$1:$ZZ$501,$A397,AB$3)))</f>
        <v/>
      </c>
      <c r="AC397" s="124" t="str">
        <f>IF($B397="","",IF(AC$3=0,"n.b.",INDEX(SRC_ZPMW03!$A$1:$ZZ$501,$A397,AC$3)))</f>
        <v/>
      </c>
      <c r="AD397" s="124" t="str">
        <f>IF($B397="","",IF(AD$3=0,"n.b.",INDEX(SRC_ZPMW03!$A$1:$ZZ$501,$A397,AD$3)))</f>
        <v/>
      </c>
      <c r="AE397" s="124" t="str">
        <f>IF($B397="","",IF(AE$3=0,"n.b.",INDEX(SRC_ZPMW03!$A$1:$ZZ$501,$A397,AE$3)))</f>
        <v/>
      </c>
      <c r="AF397" s="124" t="str">
        <f>IF($B397="","",IF(AF$3=0,"n.b.",INDEX(SRC_ZPMW03!$A$1:$ZZ$501,$A397,AF$3)))</f>
        <v/>
      </c>
      <c r="AG397" s="124" t="str">
        <f>IF($B397="","",IF(AG$3=0,"n.b.",INDEX(SRC_ZPMW03!$A$1:$ZZ$501,$A397,AG$3)))</f>
        <v/>
      </c>
      <c r="AH397" s="124" t="str">
        <f>IF($B397="","",IF(AH$3=0,"n.b.",INDEX(SRC_ZPMW03!$A$1:$ZZ$501,$A397,AH$3)))</f>
        <v/>
      </c>
      <c r="AI397" s="124" t="str">
        <f>IF($B397="","",IF(AI$3=0,"n.b.",INDEX(SRC_ZPMW03!$A$1:$ZZ$501,$A397,AI$3)))</f>
        <v/>
      </c>
      <c r="AJ397" s="124" t="str">
        <f>IF($B397="","",IF(AJ$3=0,"n.b.",INDEX(SRC_ZPMW03!$A$1:$ZZ$501,$A397,AJ$3)))</f>
        <v/>
      </c>
      <c r="AK397" s="124" t="str">
        <f>IF($B397="","",IF(AK$3=0,"n.b.",INDEX(SRC_ZPMW03!$A$1:$ZZ$501,$A397,AK$3)))</f>
        <v/>
      </c>
      <c r="AL397" s="124" t="str">
        <f>IF($B397="","",IF(AL$3=0,"n.b.",INDEX(SRC_ZPMW03!$A$1:$ZZ$501,$A397,AL$3)))</f>
        <v/>
      </c>
      <c r="AM397" s="124" t="str">
        <f>IF($B397="","",IF(AM$3=0,"n.b.",INDEX(SRC_ZPMW03!$A$1:$ZZ$501,$A397,AM$3)))</f>
        <v/>
      </c>
      <c r="AN397" s="124" t="str">
        <f>IF($B397="","",IF(AN$3=0,"n.b.",INDEX(SRC_ZPMW03!$A$1:$ZZ$501,$A397,AN$3)))</f>
        <v/>
      </c>
      <c r="AO397" s="124" t="str">
        <f>IF($B397="","",IF(AO$3=0,"n.b.",INDEX(SRC_ZPMW03!$A$1:$ZZ$501,$A397,AO$3)))</f>
        <v/>
      </c>
      <c r="AP397" s="124" t="str">
        <f>IF($B397="","",IF(AP$3=0,"n.b.",INDEX(SRC_ZPMW03!$A$1:$ZZ$501,$A397,AP$3)))</f>
        <v/>
      </c>
      <c r="AQ397" s="124" t="str">
        <f>IF($B397="","",IF(AQ$3=0,"n.b.",INDEX(SRC_ZPMW03!$A$1:$ZZ$501,$A397,AQ$3)))</f>
        <v/>
      </c>
      <c r="AR397" s="124" t="str">
        <f>IF($B397="","",IF(AR$3=0,"n.b.",INDEX(SRC_ZPMW03!$A$1:$ZZ$501,$A397,AR$3)))</f>
        <v/>
      </c>
      <c r="AS397" s="124" t="str">
        <f>IF($B397="","",IF(AS$3=0,"n.b.",INDEX(SRC_ZPMW03!$A$1:$ZZ$501,$A397,AS$3)))</f>
        <v/>
      </c>
      <c r="AT397" s="124" t="str">
        <f>IF($B397="","",IF(AT$3=0,"n.b.",INDEX(SRC_ZPMW03!$A$1:$ZZ$501,$A397,AT$3)))</f>
        <v/>
      </c>
      <c r="AU397" s="124" t="str">
        <f>IF($B397="","",IF(AU$3=0,"n.b.",INDEX(SRC_ZPMW03!$A$1:$ZZ$501,$A397,AU$3)))</f>
        <v/>
      </c>
      <c r="AV397" s="124" t="str">
        <f>IF($B397="","",IF(AV$3=0,"n.b.",INDEX(SRC_ZPMW03!$A$1:$ZZ$501,$A397,AV$3)))</f>
        <v/>
      </c>
      <c r="AW397" s="124" t="str">
        <f>IF($B397="","",IF(AW$3=0,"n.b.",INDEX(SRC_ZPMW03!$A$1:$ZZ$501,$A397,AW$3)))</f>
        <v/>
      </c>
      <c r="AX397" s="124" t="str">
        <f>IF($B397="","",IF(AX$3=0,"n.b.",INDEX(SRC_ZPMW03!$A$1:$ZZ$501,$A397,AX$3)))</f>
        <v/>
      </c>
      <c r="AY397" s="124" t="str">
        <f>IF($B397="","",IF(AY$3=0,"n.b.",INDEX(SRC_ZPMW03!$A$1:$ZZ$501,$A397,AY$3)))</f>
        <v/>
      </c>
      <c r="AZ397" s="124" t="str">
        <f>IF($B397="","",IF(AZ$3=0,"n.b.",INDEX(SRC_ZPMW03!$A$1:$ZZ$501,$A397,AZ$3)))</f>
        <v/>
      </c>
      <c r="BA397" s="124" t="str">
        <f>IF($B397="","",IF(BA$3=0,"n.b.",INDEX(SRC_ZPMW03!$A$1:$ZZ$501,$A397,BA$3)))</f>
        <v/>
      </c>
      <c r="BB397" s="124" t="str">
        <f>IF($B397="","",IF(BB$3=0,"n.b.",INDEX(SRC_ZPMW03!$A$1:$ZZ$501,$A397,BB$3)))</f>
        <v/>
      </c>
      <c r="BC397" s="124" t="str">
        <f>IF($B397="","",IF(BC$3=0,"n.b.",INDEX(SRC_ZPMW03!$A$1:$ZZ$501,$A397,BC$3)))</f>
        <v/>
      </c>
      <c r="BD397" s="124" t="str">
        <f>IF($B397="","",IF(BD$3=0,"n.b.",INDEX(SRC_ZPMW03!$A$1:$ZZ$501,$A397,BD$3)))</f>
        <v/>
      </c>
      <c r="BE397" s="124" t="str">
        <f>IF($B397="","",IF(BE$3=0,"n.b.",INDEX(SRC_ZPMW03!$A$1:$ZZ$501,$A397,BE$3)))</f>
        <v/>
      </c>
      <c r="BF397" s="124" t="str">
        <f>IF($B397="","",IF(BF$3=0,"n.b.",INDEX(SRC_ZPMW03!$A$1:$ZZ$501,$A397,BF$3)))</f>
        <v/>
      </c>
      <c r="BG397" t="str">
        <f>IF($B397="","",IF(BG$3=0,"n.b.",INDEX(SRC_ZPMW03!$A$1:$ZZ$501,$A397,BG$3)))</f>
        <v/>
      </c>
      <c r="BH397" t="str">
        <f>IF($B397="","",IF(BH$3=0,"n.b.",INDEX(SRC_ZPMW03!$A$1:$ZZ$501,$A397,BH$3)))</f>
        <v/>
      </c>
      <c r="BI397" t="str">
        <f>IF($B397="","",IF(BI$3=0,"n.b.",INDEX(SRC_ZPMW03!$A$1:$ZZ$501,$A397,BI$3)))</f>
        <v/>
      </c>
      <c r="BJ397" t="str">
        <f>IF($B397="","",IF(BJ$3=0,"n.b.",INDEX(SRC_ZPMW03!$A$1:$ZZ$501,$A397,BJ$3)))</f>
        <v/>
      </c>
      <c r="BK397" s="124" t="str">
        <f>IF($B397="","",IFERROR(-O397,"n.b."))</f>
        <v/>
      </c>
      <c r="BL397" s="124" t="str">
        <f>IF($B397="","",IFERROR(-Q397,"n.b."))</f>
        <v/>
      </c>
      <c r="BM397" s="124" t="str">
        <f>IF($B397="","",IFERROR(-AB397,"n.b."))</f>
        <v/>
      </c>
      <c r="BN397" s="124" t="str">
        <f>IF($B397="","",IFERROR(-AD397,"n.b."))</f>
        <v/>
      </c>
      <c r="BO397" s="124" t="str">
        <f>IF($B397="","",IFERROR(BK397+BM397,"n.b."))</f>
        <v/>
      </c>
      <c r="BP397" s="124" t="str">
        <f>IF($B397="","",IFERROR(BL397+BN397,"n.b."))</f>
        <v/>
      </c>
      <c r="BQ397" s="124" t="str">
        <f>IF($B397="","",IFERROR(-AM397,"n.b."))</f>
        <v/>
      </c>
      <c r="BR397" s="124" t="str">
        <f>IF($B397="","",IFERROR(-AO397,"n.b."))</f>
        <v/>
      </c>
      <c r="BS397" s="124" t="str">
        <f>IF($B397="","",IFERROR(-Z397,"n.b."))</f>
        <v/>
      </c>
      <c r="BT397" s="124" t="str">
        <f>IF($B397="","",IFERROR(-AA397,"n.b."))</f>
        <v/>
      </c>
      <c r="BU397" s="124" t="str">
        <f>IF($B397="","",IFERROR(-AE397,"n.b."))</f>
        <v/>
      </c>
      <c r="BV397" s="124" t="str">
        <f>IF($B397="","",IFERROR(-AF397,"n.b."))</f>
        <v/>
      </c>
      <c r="BW397" s="124" t="str">
        <f>IF($B397="","",IFERROR(-AG397,"n.b."))</f>
        <v/>
      </c>
      <c r="BX397" s="124" t="str">
        <f>IF($B397="","",IFERROR(-AH397,"n.b."))</f>
        <v/>
      </c>
      <c r="BY397" s="124" t="str">
        <f>IF($B397="","",IFERROR(-AI397,"n.b."))</f>
        <v/>
      </c>
      <c r="BZ397" s="124" t="str">
        <f>IF($B397="","",IFERROR(-AJ397,"n.b."))</f>
        <v/>
      </c>
      <c r="CA397" s="124" t="str">
        <f>IF($B397="","",IFERROR(-AK397,"n.b."))</f>
        <v/>
      </c>
      <c r="CB397" s="124" t="str">
        <f>IF($B397="","",IFERROR(-AL397,"n.b."))</f>
        <v/>
      </c>
      <c r="CC397" s="124" t="str">
        <f>IF($B397="","",IFERROR(-AP397,"n.b."))</f>
        <v/>
      </c>
      <c r="CD397" s="124" t="str">
        <f>IF($B397="","",IFERROR(-AQ397,"n.b."))</f>
        <v/>
      </c>
      <c r="CE397" s="124" t="str">
        <f>IF($B397="","",IFERROR(-AR397,"n.b."))</f>
        <v/>
      </c>
      <c r="CF397" s="124" t="str">
        <f>IF($B397="","",IFERROR(-AS397,"n.b."))</f>
        <v/>
      </c>
      <c r="CG397" s="124" t="str">
        <f>IF($B397="","",IFERROR(-AT397,"n.b."))</f>
        <v/>
      </c>
      <c r="CH397" s="124" t="str">
        <f>IF($B397="","",IFERROR(-AU397,"n.b."))</f>
        <v/>
      </c>
      <c r="CI397" s="124" t="str">
        <f>IF($B397="","",IFERROR(-AV397,"n.b."))</f>
        <v/>
      </c>
      <c r="CJ397" s="124" t="str">
        <f>IF($B397="","",IFERROR(-AW397,"n.b."))</f>
        <v/>
      </c>
      <c r="CK397" s="124" t="str">
        <f>IF($B397="","",IFERROR(-AX397,"n.b."))</f>
        <v/>
      </c>
      <c r="CL397" s="124" t="str">
        <f>IF($B397="","",IFERROR(-AY397,"n.b."))</f>
        <v/>
      </c>
      <c r="CM397" s="124" t="str">
        <f>IF($B397="","",IFERROR(-AZ397,"n.b."))</f>
        <v/>
      </c>
      <c r="CN397" s="124" t="str">
        <f>IF($B397="","",IFERROR(-BA397,"n.b."))</f>
        <v/>
      </c>
      <c r="CO397" s="124" t="str">
        <f>IF($B397="","",IFERROR(-BB397,"n.b."))</f>
        <v/>
      </c>
      <c r="CP397" s="124" t="str">
        <f>IF($B397="","",IFERROR(-BC397,"n.b."))</f>
        <v/>
      </c>
      <c r="CQ397" s="124" t="str">
        <f>IF($B397="","",IFERROR(-BD397,"n.b."))</f>
        <v/>
      </c>
      <c r="CR397" s="124" t="str">
        <f>IF($B397="","",IFERROR(-BE397,"n.b."))</f>
        <v/>
      </c>
      <c r="CS397" s="124" t="str">
        <f>IF($B397="","",IFERROR(IF(OR(ABS(T397+V397+X397+Z397-AB397)&gt;P_Tol,ABS(U397+W397+Y397+AA397-AD397)&gt;P_Tol,ABS(AE397+AG397+AI397+AK397-AM397)&gt;P_Tol,ABS(AF397+AH397+AJ397+AL397-AO397)&gt;P_Tol),1,0),1))</f>
        <v/>
      </c>
      <c r="CT397" s="124" t="str">
        <f>IF($B397="","",IFERROR(IF(OR(ABS(AB397+AC397-AD397)&gt;P_Tol,ABS(AM397+AN397-AO397)&gt;P_Tol,ABS(O397+P397-Q397)&gt;P_Tol),1,0),1))</f>
        <v/>
      </c>
      <c r="CU397" s="124" t="str">
        <f>IF($B397="","",IFERROR(IF(ABS(R397-(AB397+AM397+AP397+AR397+AT397+AV397+AX397+AZ397+BB397+BD397))&gt;P_Tol,1,0),1))</f>
        <v/>
      </c>
      <c r="CV397" s="124" t="str">
        <f>IF($B397="","",IFERROR(IF(ABS(M397-(N397+O397+R397))&gt;P_Tol,1,0),1))</f>
        <v/>
      </c>
      <c r="CW397" s="124" t="str">
        <f>IF($B397="","",IF(COUNTIF(Mapping!$A$5:$A$104,B397)&gt;0,1,0))</f>
        <v/>
      </c>
      <c r="CX397" s="124" t="str">
        <f>IF($B397="","",COUNTIF($B$6:$B$505,B397))</f>
        <v/>
      </c>
      <c r="CY397" s="124" t="str">
        <f>IF($B397="","",COUNTIF(STG_Woningetalage!$B$6:$B$505,B397))</f>
        <v/>
      </c>
      <c r="CZ397" s="124" t="str">
        <f>IF($B397="","",IF(CW397=0,COUNTIF($CW$6:CW397,0),""))</f>
        <v/>
      </c>
    </row>
    <row r="398">
      <c r="A398" s="15" t="n">
        <v>394</v>
      </c>
      <c r="B398" t="str">
        <f>IF(B$3=0,"",IF(INDEX(SRC_ZPMW03!$A$1:$ZZ$501,$A398,B$3)&amp;""="","",INDEX(SRC_ZPMW03!$A$1:$ZZ$501,$A398,B$3)&amp;""))</f>
        <v/>
      </c>
      <c r="C398" t="str">
        <f>IF($B398="","",IF(C$3=0,"n.b.",INDEX(SRC_ZPMW03!$A$1:$ZZ$501,$A398,C$3)))</f>
        <v/>
      </c>
      <c r="D398" t="str">
        <f>IF($B398="","",IF(D$3=0,"n.b.",INDEX(SRC_ZPMW03!$A$1:$ZZ$501,$A398,D$3)))</f>
        <v/>
      </c>
      <c r="E398" t="str">
        <f>IF($B398="","",IF(E$3=0,"n.b.",INDEX(SRC_ZPMW03!$A$1:$ZZ$501,$A398,E$3)))</f>
        <v/>
      </c>
      <c r="F398" t="str">
        <f>IF($B398="","",IF(F$3=0,"n.b.",INDEX(SRC_ZPMW03!$A$1:$ZZ$501,$A398,F$3)))</f>
        <v/>
      </c>
      <c r="G398" t="str">
        <f>IF($B398="","",IF(G$3=0,"n.b.",INDEX(SRC_ZPMW03!$A$1:$ZZ$501,$A398,G$3)))</f>
        <v/>
      </c>
      <c r="H398" t="str">
        <f>IF($B398="","",IF(H$3=0,"n.b.",INDEX(SRC_ZPMW03!$A$1:$ZZ$501,$A398,H$3)))</f>
        <v/>
      </c>
      <c r="I398" t="str">
        <f>IF($B398="","",IF(I$3=0,"n.b.",INDEX(SRC_ZPMW03!$A$1:$ZZ$501,$A398,I$3)))</f>
        <v/>
      </c>
      <c r="J398" t="str">
        <f>IF($B398="","",IF(J$3=0,"n.b.",INDEX(SRC_ZPMW03!$A$1:$ZZ$501,$A398,J$3)))</f>
        <v/>
      </c>
      <c r="K398" t="str">
        <f>IF($B398="","",IF(K$3=0,"n.b.",INDEX(SRC_ZPMW03!$A$1:$ZZ$501,$A398,K$3)))</f>
        <v/>
      </c>
      <c r="L398" s="124" t="str">
        <f>IF($B398="","",IF(L$3=0,"n.b.",INDEX(SRC_ZPMW03!$A$1:$ZZ$501,$A398,L$3)))</f>
        <v/>
      </c>
      <c r="M398" s="124" t="str">
        <f>IF($B398="","",IF(M$3=0,"n.b.",INDEX(SRC_ZPMW03!$A$1:$ZZ$501,$A398,M$3)))</f>
        <v/>
      </c>
      <c r="N398" s="124" t="str">
        <f>IF($B398="","",IF(N$3=0,"n.b.",INDEX(SRC_ZPMW03!$A$1:$ZZ$501,$A398,N$3)))</f>
        <v/>
      </c>
      <c r="O398" s="124" t="str">
        <f>IF($B398="","",IF(O$3=0,"n.b.",INDEX(SRC_ZPMW03!$A$1:$ZZ$501,$A398,O$3)))</f>
        <v/>
      </c>
      <c r="P398" s="124" t="str">
        <f>IF($B398="","",IF(P$3=0,"n.b.",INDEX(SRC_ZPMW03!$A$1:$ZZ$501,$A398,P$3)))</f>
        <v/>
      </c>
      <c r="Q398" s="124" t="str">
        <f>IF($B398="","",IF(Q$3=0,"n.b.",INDEX(SRC_ZPMW03!$A$1:$ZZ$501,$A398,Q$3)))</f>
        <v/>
      </c>
      <c r="R398" s="124" t="str">
        <f>IF($B398="","",IF(R$3=0,"n.b.",INDEX(SRC_ZPMW03!$A$1:$ZZ$501,$A398,R$3)))</f>
        <v/>
      </c>
      <c r="S398" s="124" t="str">
        <f>IF($B398="","",IF(S$3=0,"n.b.",INDEX(SRC_ZPMW03!$A$1:$ZZ$501,$A398,S$3)))</f>
        <v/>
      </c>
      <c r="T398" s="124" t="str">
        <f>IF($B398="","",IF(T$3=0,"n.b.",INDEX(SRC_ZPMW03!$A$1:$ZZ$501,$A398,T$3)))</f>
        <v/>
      </c>
      <c r="U398" s="124" t="str">
        <f>IF($B398="","",IF(U$3=0,"n.b.",INDEX(SRC_ZPMW03!$A$1:$ZZ$501,$A398,U$3)))</f>
        <v/>
      </c>
      <c r="V398" s="124" t="str">
        <f>IF($B398="","",IF(V$3=0,"n.b.",INDEX(SRC_ZPMW03!$A$1:$ZZ$501,$A398,V$3)))</f>
        <v/>
      </c>
      <c r="W398" s="124" t="str">
        <f>IF($B398="","",IF(W$3=0,"n.b.",INDEX(SRC_ZPMW03!$A$1:$ZZ$501,$A398,W$3)))</f>
        <v/>
      </c>
      <c r="X398" s="124" t="str">
        <f>IF($B398="","",IF(X$3=0,"n.b.",INDEX(SRC_ZPMW03!$A$1:$ZZ$501,$A398,X$3)))</f>
        <v/>
      </c>
      <c r="Y398" s="124" t="str">
        <f>IF($B398="","",IF(Y$3=0,"n.b.",INDEX(SRC_ZPMW03!$A$1:$ZZ$501,$A398,Y$3)))</f>
        <v/>
      </c>
      <c r="Z398" s="124" t="str">
        <f>IF($B398="","",IF(Z$3=0,"n.b.",INDEX(SRC_ZPMW03!$A$1:$ZZ$501,$A398,Z$3)))</f>
        <v/>
      </c>
      <c r="AA398" s="124" t="str">
        <f>IF($B398="","",IF(AA$3=0,"n.b.",INDEX(SRC_ZPMW03!$A$1:$ZZ$501,$A398,AA$3)))</f>
        <v/>
      </c>
      <c r="AB398" s="124" t="str">
        <f>IF($B398="","",IF(AB$3=0,"n.b.",INDEX(SRC_ZPMW03!$A$1:$ZZ$501,$A398,AB$3)))</f>
        <v/>
      </c>
      <c r="AC398" s="124" t="str">
        <f>IF($B398="","",IF(AC$3=0,"n.b.",INDEX(SRC_ZPMW03!$A$1:$ZZ$501,$A398,AC$3)))</f>
        <v/>
      </c>
      <c r="AD398" s="124" t="str">
        <f>IF($B398="","",IF(AD$3=0,"n.b.",INDEX(SRC_ZPMW03!$A$1:$ZZ$501,$A398,AD$3)))</f>
        <v/>
      </c>
      <c r="AE398" s="124" t="str">
        <f>IF($B398="","",IF(AE$3=0,"n.b.",INDEX(SRC_ZPMW03!$A$1:$ZZ$501,$A398,AE$3)))</f>
        <v/>
      </c>
      <c r="AF398" s="124" t="str">
        <f>IF($B398="","",IF(AF$3=0,"n.b.",INDEX(SRC_ZPMW03!$A$1:$ZZ$501,$A398,AF$3)))</f>
        <v/>
      </c>
      <c r="AG398" s="124" t="str">
        <f>IF($B398="","",IF(AG$3=0,"n.b.",INDEX(SRC_ZPMW03!$A$1:$ZZ$501,$A398,AG$3)))</f>
        <v/>
      </c>
      <c r="AH398" s="124" t="str">
        <f>IF($B398="","",IF(AH$3=0,"n.b.",INDEX(SRC_ZPMW03!$A$1:$ZZ$501,$A398,AH$3)))</f>
        <v/>
      </c>
      <c r="AI398" s="124" t="str">
        <f>IF($B398="","",IF(AI$3=0,"n.b.",INDEX(SRC_ZPMW03!$A$1:$ZZ$501,$A398,AI$3)))</f>
        <v/>
      </c>
      <c r="AJ398" s="124" t="str">
        <f>IF($B398="","",IF(AJ$3=0,"n.b.",INDEX(SRC_ZPMW03!$A$1:$ZZ$501,$A398,AJ$3)))</f>
        <v/>
      </c>
      <c r="AK398" s="124" t="str">
        <f>IF($B398="","",IF(AK$3=0,"n.b.",INDEX(SRC_ZPMW03!$A$1:$ZZ$501,$A398,AK$3)))</f>
        <v/>
      </c>
      <c r="AL398" s="124" t="str">
        <f>IF($B398="","",IF(AL$3=0,"n.b.",INDEX(SRC_ZPMW03!$A$1:$ZZ$501,$A398,AL$3)))</f>
        <v/>
      </c>
      <c r="AM398" s="124" t="str">
        <f>IF($B398="","",IF(AM$3=0,"n.b.",INDEX(SRC_ZPMW03!$A$1:$ZZ$501,$A398,AM$3)))</f>
        <v/>
      </c>
      <c r="AN398" s="124" t="str">
        <f>IF($B398="","",IF(AN$3=0,"n.b.",INDEX(SRC_ZPMW03!$A$1:$ZZ$501,$A398,AN$3)))</f>
        <v/>
      </c>
      <c r="AO398" s="124" t="str">
        <f>IF($B398="","",IF(AO$3=0,"n.b.",INDEX(SRC_ZPMW03!$A$1:$ZZ$501,$A398,AO$3)))</f>
        <v/>
      </c>
      <c r="AP398" s="124" t="str">
        <f>IF($B398="","",IF(AP$3=0,"n.b.",INDEX(SRC_ZPMW03!$A$1:$ZZ$501,$A398,AP$3)))</f>
        <v/>
      </c>
      <c r="AQ398" s="124" t="str">
        <f>IF($B398="","",IF(AQ$3=0,"n.b.",INDEX(SRC_ZPMW03!$A$1:$ZZ$501,$A398,AQ$3)))</f>
        <v/>
      </c>
      <c r="AR398" s="124" t="str">
        <f>IF($B398="","",IF(AR$3=0,"n.b.",INDEX(SRC_ZPMW03!$A$1:$ZZ$501,$A398,AR$3)))</f>
        <v/>
      </c>
      <c r="AS398" s="124" t="str">
        <f>IF($B398="","",IF(AS$3=0,"n.b.",INDEX(SRC_ZPMW03!$A$1:$ZZ$501,$A398,AS$3)))</f>
        <v/>
      </c>
      <c r="AT398" s="124" t="str">
        <f>IF($B398="","",IF(AT$3=0,"n.b.",INDEX(SRC_ZPMW03!$A$1:$ZZ$501,$A398,AT$3)))</f>
        <v/>
      </c>
      <c r="AU398" s="124" t="str">
        <f>IF($B398="","",IF(AU$3=0,"n.b.",INDEX(SRC_ZPMW03!$A$1:$ZZ$501,$A398,AU$3)))</f>
        <v/>
      </c>
      <c r="AV398" s="124" t="str">
        <f>IF($B398="","",IF(AV$3=0,"n.b.",INDEX(SRC_ZPMW03!$A$1:$ZZ$501,$A398,AV$3)))</f>
        <v/>
      </c>
      <c r="AW398" s="124" t="str">
        <f>IF($B398="","",IF(AW$3=0,"n.b.",INDEX(SRC_ZPMW03!$A$1:$ZZ$501,$A398,AW$3)))</f>
        <v/>
      </c>
      <c r="AX398" s="124" t="str">
        <f>IF($B398="","",IF(AX$3=0,"n.b.",INDEX(SRC_ZPMW03!$A$1:$ZZ$501,$A398,AX$3)))</f>
        <v/>
      </c>
      <c r="AY398" s="124" t="str">
        <f>IF($B398="","",IF(AY$3=0,"n.b.",INDEX(SRC_ZPMW03!$A$1:$ZZ$501,$A398,AY$3)))</f>
        <v/>
      </c>
      <c r="AZ398" s="124" t="str">
        <f>IF($B398="","",IF(AZ$3=0,"n.b.",INDEX(SRC_ZPMW03!$A$1:$ZZ$501,$A398,AZ$3)))</f>
        <v/>
      </c>
      <c r="BA398" s="124" t="str">
        <f>IF($B398="","",IF(BA$3=0,"n.b.",INDEX(SRC_ZPMW03!$A$1:$ZZ$501,$A398,BA$3)))</f>
        <v/>
      </c>
      <c r="BB398" s="124" t="str">
        <f>IF($B398="","",IF(BB$3=0,"n.b.",INDEX(SRC_ZPMW03!$A$1:$ZZ$501,$A398,BB$3)))</f>
        <v/>
      </c>
      <c r="BC398" s="124" t="str">
        <f>IF($B398="","",IF(BC$3=0,"n.b.",INDEX(SRC_ZPMW03!$A$1:$ZZ$501,$A398,BC$3)))</f>
        <v/>
      </c>
      <c r="BD398" s="124" t="str">
        <f>IF($B398="","",IF(BD$3=0,"n.b.",INDEX(SRC_ZPMW03!$A$1:$ZZ$501,$A398,BD$3)))</f>
        <v/>
      </c>
      <c r="BE398" s="124" t="str">
        <f>IF($B398="","",IF(BE$3=0,"n.b.",INDEX(SRC_ZPMW03!$A$1:$ZZ$501,$A398,BE$3)))</f>
        <v/>
      </c>
      <c r="BF398" s="124" t="str">
        <f>IF($B398="","",IF(BF$3=0,"n.b.",INDEX(SRC_ZPMW03!$A$1:$ZZ$501,$A398,BF$3)))</f>
        <v/>
      </c>
      <c r="BG398" t="str">
        <f>IF($B398="","",IF(BG$3=0,"n.b.",INDEX(SRC_ZPMW03!$A$1:$ZZ$501,$A398,BG$3)))</f>
        <v/>
      </c>
      <c r="BH398" t="str">
        <f>IF($B398="","",IF(BH$3=0,"n.b.",INDEX(SRC_ZPMW03!$A$1:$ZZ$501,$A398,BH$3)))</f>
        <v/>
      </c>
      <c r="BI398" t="str">
        <f>IF($B398="","",IF(BI$3=0,"n.b.",INDEX(SRC_ZPMW03!$A$1:$ZZ$501,$A398,BI$3)))</f>
        <v/>
      </c>
      <c r="BJ398" t="str">
        <f>IF($B398="","",IF(BJ$3=0,"n.b.",INDEX(SRC_ZPMW03!$A$1:$ZZ$501,$A398,BJ$3)))</f>
        <v/>
      </c>
      <c r="BK398" s="124" t="str">
        <f>IF($B398="","",IFERROR(-O398,"n.b."))</f>
        <v/>
      </c>
      <c r="BL398" s="124" t="str">
        <f>IF($B398="","",IFERROR(-Q398,"n.b."))</f>
        <v/>
      </c>
      <c r="BM398" s="124" t="str">
        <f>IF($B398="","",IFERROR(-AB398,"n.b."))</f>
        <v/>
      </c>
      <c r="BN398" s="124" t="str">
        <f>IF($B398="","",IFERROR(-AD398,"n.b."))</f>
        <v/>
      </c>
      <c r="BO398" s="124" t="str">
        <f>IF($B398="","",IFERROR(BK398+BM398,"n.b."))</f>
        <v/>
      </c>
      <c r="BP398" s="124" t="str">
        <f>IF($B398="","",IFERROR(BL398+BN398,"n.b."))</f>
        <v/>
      </c>
      <c r="BQ398" s="124" t="str">
        <f>IF($B398="","",IFERROR(-AM398,"n.b."))</f>
        <v/>
      </c>
      <c r="BR398" s="124" t="str">
        <f>IF($B398="","",IFERROR(-AO398,"n.b."))</f>
        <v/>
      </c>
      <c r="BS398" s="124" t="str">
        <f>IF($B398="","",IFERROR(-Z398,"n.b."))</f>
        <v/>
      </c>
      <c r="BT398" s="124" t="str">
        <f>IF($B398="","",IFERROR(-AA398,"n.b."))</f>
        <v/>
      </c>
      <c r="BU398" s="124" t="str">
        <f>IF($B398="","",IFERROR(-AE398,"n.b."))</f>
        <v/>
      </c>
      <c r="BV398" s="124" t="str">
        <f>IF($B398="","",IFERROR(-AF398,"n.b."))</f>
        <v/>
      </c>
      <c r="BW398" s="124" t="str">
        <f>IF($B398="","",IFERROR(-AG398,"n.b."))</f>
        <v/>
      </c>
      <c r="BX398" s="124" t="str">
        <f>IF($B398="","",IFERROR(-AH398,"n.b."))</f>
        <v/>
      </c>
      <c r="BY398" s="124" t="str">
        <f>IF($B398="","",IFERROR(-AI398,"n.b."))</f>
        <v/>
      </c>
      <c r="BZ398" s="124" t="str">
        <f>IF($B398="","",IFERROR(-AJ398,"n.b."))</f>
        <v/>
      </c>
      <c r="CA398" s="124" t="str">
        <f>IF($B398="","",IFERROR(-AK398,"n.b."))</f>
        <v/>
      </c>
      <c r="CB398" s="124" t="str">
        <f>IF($B398="","",IFERROR(-AL398,"n.b."))</f>
        <v/>
      </c>
      <c r="CC398" s="124" t="str">
        <f>IF($B398="","",IFERROR(-AP398,"n.b."))</f>
        <v/>
      </c>
      <c r="CD398" s="124" t="str">
        <f>IF($B398="","",IFERROR(-AQ398,"n.b."))</f>
        <v/>
      </c>
      <c r="CE398" s="124" t="str">
        <f>IF($B398="","",IFERROR(-AR398,"n.b."))</f>
        <v/>
      </c>
      <c r="CF398" s="124" t="str">
        <f>IF($B398="","",IFERROR(-AS398,"n.b."))</f>
        <v/>
      </c>
      <c r="CG398" s="124" t="str">
        <f>IF($B398="","",IFERROR(-AT398,"n.b."))</f>
        <v/>
      </c>
      <c r="CH398" s="124" t="str">
        <f>IF($B398="","",IFERROR(-AU398,"n.b."))</f>
        <v/>
      </c>
      <c r="CI398" s="124" t="str">
        <f>IF($B398="","",IFERROR(-AV398,"n.b."))</f>
        <v/>
      </c>
      <c r="CJ398" s="124" t="str">
        <f>IF($B398="","",IFERROR(-AW398,"n.b."))</f>
        <v/>
      </c>
      <c r="CK398" s="124" t="str">
        <f>IF($B398="","",IFERROR(-AX398,"n.b."))</f>
        <v/>
      </c>
      <c r="CL398" s="124" t="str">
        <f>IF($B398="","",IFERROR(-AY398,"n.b."))</f>
        <v/>
      </c>
      <c r="CM398" s="124" t="str">
        <f>IF($B398="","",IFERROR(-AZ398,"n.b."))</f>
        <v/>
      </c>
      <c r="CN398" s="124" t="str">
        <f>IF($B398="","",IFERROR(-BA398,"n.b."))</f>
        <v/>
      </c>
      <c r="CO398" s="124" t="str">
        <f>IF($B398="","",IFERROR(-BB398,"n.b."))</f>
        <v/>
      </c>
      <c r="CP398" s="124" t="str">
        <f>IF($B398="","",IFERROR(-BC398,"n.b."))</f>
        <v/>
      </c>
      <c r="CQ398" s="124" t="str">
        <f>IF($B398="","",IFERROR(-BD398,"n.b."))</f>
        <v/>
      </c>
      <c r="CR398" s="124" t="str">
        <f>IF($B398="","",IFERROR(-BE398,"n.b."))</f>
        <v/>
      </c>
      <c r="CS398" s="124" t="str">
        <f>IF($B398="","",IFERROR(IF(OR(ABS(T398+V398+X398+Z398-AB398)&gt;P_Tol,ABS(U398+W398+Y398+AA398-AD398)&gt;P_Tol,ABS(AE398+AG398+AI398+AK398-AM398)&gt;P_Tol,ABS(AF398+AH398+AJ398+AL398-AO398)&gt;P_Tol),1,0),1))</f>
        <v/>
      </c>
      <c r="CT398" s="124" t="str">
        <f>IF($B398="","",IFERROR(IF(OR(ABS(AB398+AC398-AD398)&gt;P_Tol,ABS(AM398+AN398-AO398)&gt;P_Tol,ABS(O398+P398-Q398)&gt;P_Tol),1,0),1))</f>
        <v/>
      </c>
      <c r="CU398" s="124" t="str">
        <f>IF($B398="","",IFERROR(IF(ABS(R398-(AB398+AM398+AP398+AR398+AT398+AV398+AX398+AZ398+BB398+BD398))&gt;P_Tol,1,0),1))</f>
        <v/>
      </c>
      <c r="CV398" s="124" t="str">
        <f>IF($B398="","",IFERROR(IF(ABS(M398-(N398+O398+R398))&gt;P_Tol,1,0),1))</f>
        <v/>
      </c>
      <c r="CW398" s="124" t="str">
        <f>IF($B398="","",IF(COUNTIF(Mapping!$A$5:$A$104,B398)&gt;0,1,0))</f>
        <v/>
      </c>
      <c r="CX398" s="124" t="str">
        <f>IF($B398="","",COUNTIF($B$6:$B$505,B398))</f>
        <v/>
      </c>
      <c r="CY398" s="124" t="str">
        <f>IF($B398="","",COUNTIF(STG_Woningetalage!$B$6:$B$505,B398))</f>
        <v/>
      </c>
      <c r="CZ398" s="124" t="str">
        <f>IF($B398="","",IF(CW398=0,COUNTIF($CW$6:CW398,0),""))</f>
        <v/>
      </c>
    </row>
    <row r="399">
      <c r="A399" s="15" t="n">
        <v>395</v>
      </c>
      <c r="B399" t="str">
        <f>IF(B$3=0,"",IF(INDEX(SRC_ZPMW03!$A$1:$ZZ$501,$A399,B$3)&amp;""="","",INDEX(SRC_ZPMW03!$A$1:$ZZ$501,$A399,B$3)&amp;""))</f>
        <v/>
      </c>
      <c r="C399" t="str">
        <f>IF($B399="","",IF(C$3=0,"n.b.",INDEX(SRC_ZPMW03!$A$1:$ZZ$501,$A399,C$3)))</f>
        <v/>
      </c>
      <c r="D399" t="str">
        <f>IF($B399="","",IF(D$3=0,"n.b.",INDEX(SRC_ZPMW03!$A$1:$ZZ$501,$A399,D$3)))</f>
        <v/>
      </c>
      <c r="E399" t="str">
        <f>IF($B399="","",IF(E$3=0,"n.b.",INDEX(SRC_ZPMW03!$A$1:$ZZ$501,$A399,E$3)))</f>
        <v/>
      </c>
      <c r="F399" t="str">
        <f>IF($B399="","",IF(F$3=0,"n.b.",INDEX(SRC_ZPMW03!$A$1:$ZZ$501,$A399,F$3)))</f>
        <v/>
      </c>
      <c r="G399" t="str">
        <f>IF($B399="","",IF(G$3=0,"n.b.",INDEX(SRC_ZPMW03!$A$1:$ZZ$501,$A399,G$3)))</f>
        <v/>
      </c>
      <c r="H399" t="str">
        <f>IF($B399="","",IF(H$3=0,"n.b.",INDEX(SRC_ZPMW03!$A$1:$ZZ$501,$A399,H$3)))</f>
        <v/>
      </c>
      <c r="I399" t="str">
        <f>IF($B399="","",IF(I$3=0,"n.b.",INDEX(SRC_ZPMW03!$A$1:$ZZ$501,$A399,I$3)))</f>
        <v/>
      </c>
      <c r="J399" t="str">
        <f>IF($B399="","",IF(J$3=0,"n.b.",INDEX(SRC_ZPMW03!$A$1:$ZZ$501,$A399,J$3)))</f>
        <v/>
      </c>
      <c r="K399" t="str">
        <f>IF($B399="","",IF(K$3=0,"n.b.",INDEX(SRC_ZPMW03!$A$1:$ZZ$501,$A399,K$3)))</f>
        <v/>
      </c>
      <c r="L399" s="124" t="str">
        <f>IF($B399="","",IF(L$3=0,"n.b.",INDEX(SRC_ZPMW03!$A$1:$ZZ$501,$A399,L$3)))</f>
        <v/>
      </c>
      <c r="M399" s="124" t="str">
        <f>IF($B399="","",IF(M$3=0,"n.b.",INDEX(SRC_ZPMW03!$A$1:$ZZ$501,$A399,M$3)))</f>
        <v/>
      </c>
      <c r="N399" s="124" t="str">
        <f>IF($B399="","",IF(N$3=0,"n.b.",INDEX(SRC_ZPMW03!$A$1:$ZZ$501,$A399,N$3)))</f>
        <v/>
      </c>
      <c r="O399" s="124" t="str">
        <f>IF($B399="","",IF(O$3=0,"n.b.",INDEX(SRC_ZPMW03!$A$1:$ZZ$501,$A399,O$3)))</f>
        <v/>
      </c>
      <c r="P399" s="124" t="str">
        <f>IF($B399="","",IF(P$3=0,"n.b.",INDEX(SRC_ZPMW03!$A$1:$ZZ$501,$A399,P$3)))</f>
        <v/>
      </c>
      <c r="Q399" s="124" t="str">
        <f>IF($B399="","",IF(Q$3=0,"n.b.",INDEX(SRC_ZPMW03!$A$1:$ZZ$501,$A399,Q$3)))</f>
        <v/>
      </c>
      <c r="R399" s="124" t="str">
        <f>IF($B399="","",IF(R$3=0,"n.b.",INDEX(SRC_ZPMW03!$A$1:$ZZ$501,$A399,R$3)))</f>
        <v/>
      </c>
      <c r="S399" s="124" t="str">
        <f>IF($B399="","",IF(S$3=0,"n.b.",INDEX(SRC_ZPMW03!$A$1:$ZZ$501,$A399,S$3)))</f>
        <v/>
      </c>
      <c r="T399" s="124" t="str">
        <f>IF($B399="","",IF(T$3=0,"n.b.",INDEX(SRC_ZPMW03!$A$1:$ZZ$501,$A399,T$3)))</f>
        <v/>
      </c>
      <c r="U399" s="124" t="str">
        <f>IF($B399="","",IF(U$3=0,"n.b.",INDEX(SRC_ZPMW03!$A$1:$ZZ$501,$A399,U$3)))</f>
        <v/>
      </c>
      <c r="V399" s="124" t="str">
        <f>IF($B399="","",IF(V$3=0,"n.b.",INDEX(SRC_ZPMW03!$A$1:$ZZ$501,$A399,V$3)))</f>
        <v/>
      </c>
      <c r="W399" s="124" t="str">
        <f>IF($B399="","",IF(W$3=0,"n.b.",INDEX(SRC_ZPMW03!$A$1:$ZZ$501,$A399,W$3)))</f>
        <v/>
      </c>
      <c r="X399" s="124" t="str">
        <f>IF($B399="","",IF(X$3=0,"n.b.",INDEX(SRC_ZPMW03!$A$1:$ZZ$501,$A399,X$3)))</f>
        <v/>
      </c>
      <c r="Y399" s="124" t="str">
        <f>IF($B399="","",IF(Y$3=0,"n.b.",INDEX(SRC_ZPMW03!$A$1:$ZZ$501,$A399,Y$3)))</f>
        <v/>
      </c>
      <c r="Z399" s="124" t="str">
        <f>IF($B399="","",IF(Z$3=0,"n.b.",INDEX(SRC_ZPMW03!$A$1:$ZZ$501,$A399,Z$3)))</f>
        <v/>
      </c>
      <c r="AA399" s="124" t="str">
        <f>IF($B399="","",IF(AA$3=0,"n.b.",INDEX(SRC_ZPMW03!$A$1:$ZZ$501,$A399,AA$3)))</f>
        <v/>
      </c>
      <c r="AB399" s="124" t="str">
        <f>IF($B399="","",IF(AB$3=0,"n.b.",INDEX(SRC_ZPMW03!$A$1:$ZZ$501,$A399,AB$3)))</f>
        <v/>
      </c>
      <c r="AC399" s="124" t="str">
        <f>IF($B399="","",IF(AC$3=0,"n.b.",INDEX(SRC_ZPMW03!$A$1:$ZZ$501,$A399,AC$3)))</f>
        <v/>
      </c>
      <c r="AD399" s="124" t="str">
        <f>IF($B399="","",IF(AD$3=0,"n.b.",INDEX(SRC_ZPMW03!$A$1:$ZZ$501,$A399,AD$3)))</f>
        <v/>
      </c>
      <c r="AE399" s="124" t="str">
        <f>IF($B399="","",IF(AE$3=0,"n.b.",INDEX(SRC_ZPMW03!$A$1:$ZZ$501,$A399,AE$3)))</f>
        <v/>
      </c>
      <c r="AF399" s="124" t="str">
        <f>IF($B399="","",IF(AF$3=0,"n.b.",INDEX(SRC_ZPMW03!$A$1:$ZZ$501,$A399,AF$3)))</f>
        <v/>
      </c>
      <c r="AG399" s="124" t="str">
        <f>IF($B399="","",IF(AG$3=0,"n.b.",INDEX(SRC_ZPMW03!$A$1:$ZZ$501,$A399,AG$3)))</f>
        <v/>
      </c>
      <c r="AH399" s="124" t="str">
        <f>IF($B399="","",IF(AH$3=0,"n.b.",INDEX(SRC_ZPMW03!$A$1:$ZZ$501,$A399,AH$3)))</f>
        <v/>
      </c>
      <c r="AI399" s="124" t="str">
        <f>IF($B399="","",IF(AI$3=0,"n.b.",INDEX(SRC_ZPMW03!$A$1:$ZZ$501,$A399,AI$3)))</f>
        <v/>
      </c>
      <c r="AJ399" s="124" t="str">
        <f>IF($B399="","",IF(AJ$3=0,"n.b.",INDEX(SRC_ZPMW03!$A$1:$ZZ$501,$A399,AJ$3)))</f>
        <v/>
      </c>
      <c r="AK399" s="124" t="str">
        <f>IF($B399="","",IF(AK$3=0,"n.b.",INDEX(SRC_ZPMW03!$A$1:$ZZ$501,$A399,AK$3)))</f>
        <v/>
      </c>
      <c r="AL399" s="124" t="str">
        <f>IF($B399="","",IF(AL$3=0,"n.b.",INDEX(SRC_ZPMW03!$A$1:$ZZ$501,$A399,AL$3)))</f>
        <v/>
      </c>
      <c r="AM399" s="124" t="str">
        <f>IF($B399="","",IF(AM$3=0,"n.b.",INDEX(SRC_ZPMW03!$A$1:$ZZ$501,$A399,AM$3)))</f>
        <v/>
      </c>
      <c r="AN399" s="124" t="str">
        <f>IF($B399="","",IF(AN$3=0,"n.b.",INDEX(SRC_ZPMW03!$A$1:$ZZ$501,$A399,AN$3)))</f>
        <v/>
      </c>
      <c r="AO399" s="124" t="str">
        <f>IF($B399="","",IF(AO$3=0,"n.b.",INDEX(SRC_ZPMW03!$A$1:$ZZ$501,$A399,AO$3)))</f>
        <v/>
      </c>
      <c r="AP399" s="124" t="str">
        <f>IF($B399="","",IF(AP$3=0,"n.b.",INDEX(SRC_ZPMW03!$A$1:$ZZ$501,$A399,AP$3)))</f>
        <v/>
      </c>
      <c r="AQ399" s="124" t="str">
        <f>IF($B399="","",IF(AQ$3=0,"n.b.",INDEX(SRC_ZPMW03!$A$1:$ZZ$501,$A399,AQ$3)))</f>
        <v/>
      </c>
      <c r="AR399" s="124" t="str">
        <f>IF($B399="","",IF(AR$3=0,"n.b.",INDEX(SRC_ZPMW03!$A$1:$ZZ$501,$A399,AR$3)))</f>
        <v/>
      </c>
      <c r="AS399" s="124" t="str">
        <f>IF($B399="","",IF(AS$3=0,"n.b.",INDEX(SRC_ZPMW03!$A$1:$ZZ$501,$A399,AS$3)))</f>
        <v/>
      </c>
      <c r="AT399" s="124" t="str">
        <f>IF($B399="","",IF(AT$3=0,"n.b.",INDEX(SRC_ZPMW03!$A$1:$ZZ$501,$A399,AT$3)))</f>
        <v/>
      </c>
      <c r="AU399" s="124" t="str">
        <f>IF($B399="","",IF(AU$3=0,"n.b.",INDEX(SRC_ZPMW03!$A$1:$ZZ$501,$A399,AU$3)))</f>
        <v/>
      </c>
      <c r="AV399" s="124" t="str">
        <f>IF($B399="","",IF(AV$3=0,"n.b.",INDEX(SRC_ZPMW03!$A$1:$ZZ$501,$A399,AV$3)))</f>
        <v/>
      </c>
      <c r="AW399" s="124" t="str">
        <f>IF($B399="","",IF(AW$3=0,"n.b.",INDEX(SRC_ZPMW03!$A$1:$ZZ$501,$A399,AW$3)))</f>
        <v/>
      </c>
      <c r="AX399" s="124" t="str">
        <f>IF($B399="","",IF(AX$3=0,"n.b.",INDEX(SRC_ZPMW03!$A$1:$ZZ$501,$A399,AX$3)))</f>
        <v/>
      </c>
      <c r="AY399" s="124" t="str">
        <f>IF($B399="","",IF(AY$3=0,"n.b.",INDEX(SRC_ZPMW03!$A$1:$ZZ$501,$A399,AY$3)))</f>
        <v/>
      </c>
      <c r="AZ399" s="124" t="str">
        <f>IF($B399="","",IF(AZ$3=0,"n.b.",INDEX(SRC_ZPMW03!$A$1:$ZZ$501,$A399,AZ$3)))</f>
        <v/>
      </c>
      <c r="BA399" s="124" t="str">
        <f>IF($B399="","",IF(BA$3=0,"n.b.",INDEX(SRC_ZPMW03!$A$1:$ZZ$501,$A399,BA$3)))</f>
        <v/>
      </c>
      <c r="BB399" s="124" t="str">
        <f>IF($B399="","",IF(BB$3=0,"n.b.",INDEX(SRC_ZPMW03!$A$1:$ZZ$501,$A399,BB$3)))</f>
        <v/>
      </c>
      <c r="BC399" s="124" t="str">
        <f>IF($B399="","",IF(BC$3=0,"n.b.",INDEX(SRC_ZPMW03!$A$1:$ZZ$501,$A399,BC$3)))</f>
        <v/>
      </c>
      <c r="BD399" s="124" t="str">
        <f>IF($B399="","",IF(BD$3=0,"n.b.",INDEX(SRC_ZPMW03!$A$1:$ZZ$501,$A399,BD$3)))</f>
        <v/>
      </c>
      <c r="BE399" s="124" t="str">
        <f>IF($B399="","",IF(BE$3=0,"n.b.",INDEX(SRC_ZPMW03!$A$1:$ZZ$501,$A399,BE$3)))</f>
        <v/>
      </c>
      <c r="BF399" s="124" t="str">
        <f>IF($B399="","",IF(BF$3=0,"n.b.",INDEX(SRC_ZPMW03!$A$1:$ZZ$501,$A399,BF$3)))</f>
        <v/>
      </c>
      <c r="BG399" t="str">
        <f>IF($B399="","",IF(BG$3=0,"n.b.",INDEX(SRC_ZPMW03!$A$1:$ZZ$501,$A399,BG$3)))</f>
        <v/>
      </c>
      <c r="BH399" t="str">
        <f>IF($B399="","",IF(BH$3=0,"n.b.",INDEX(SRC_ZPMW03!$A$1:$ZZ$501,$A399,BH$3)))</f>
        <v/>
      </c>
      <c r="BI399" t="str">
        <f>IF($B399="","",IF(BI$3=0,"n.b.",INDEX(SRC_ZPMW03!$A$1:$ZZ$501,$A399,BI$3)))</f>
        <v/>
      </c>
      <c r="BJ399" t="str">
        <f>IF($B399="","",IF(BJ$3=0,"n.b.",INDEX(SRC_ZPMW03!$A$1:$ZZ$501,$A399,BJ$3)))</f>
        <v/>
      </c>
      <c r="BK399" s="124" t="str">
        <f>IF($B399="","",IFERROR(-O399,"n.b."))</f>
        <v/>
      </c>
      <c r="BL399" s="124" t="str">
        <f>IF($B399="","",IFERROR(-Q399,"n.b."))</f>
        <v/>
      </c>
      <c r="BM399" s="124" t="str">
        <f>IF($B399="","",IFERROR(-AB399,"n.b."))</f>
        <v/>
      </c>
      <c r="BN399" s="124" t="str">
        <f>IF($B399="","",IFERROR(-AD399,"n.b."))</f>
        <v/>
      </c>
      <c r="BO399" s="124" t="str">
        <f>IF($B399="","",IFERROR(BK399+BM399,"n.b."))</f>
        <v/>
      </c>
      <c r="BP399" s="124" t="str">
        <f>IF($B399="","",IFERROR(BL399+BN399,"n.b."))</f>
        <v/>
      </c>
      <c r="BQ399" s="124" t="str">
        <f>IF($B399="","",IFERROR(-AM399,"n.b."))</f>
        <v/>
      </c>
      <c r="BR399" s="124" t="str">
        <f>IF($B399="","",IFERROR(-AO399,"n.b."))</f>
        <v/>
      </c>
      <c r="BS399" s="124" t="str">
        <f>IF($B399="","",IFERROR(-Z399,"n.b."))</f>
        <v/>
      </c>
      <c r="BT399" s="124" t="str">
        <f>IF($B399="","",IFERROR(-AA399,"n.b."))</f>
        <v/>
      </c>
      <c r="BU399" s="124" t="str">
        <f>IF($B399="","",IFERROR(-AE399,"n.b."))</f>
        <v/>
      </c>
      <c r="BV399" s="124" t="str">
        <f>IF($B399="","",IFERROR(-AF399,"n.b."))</f>
        <v/>
      </c>
      <c r="BW399" s="124" t="str">
        <f>IF($B399="","",IFERROR(-AG399,"n.b."))</f>
        <v/>
      </c>
      <c r="BX399" s="124" t="str">
        <f>IF($B399="","",IFERROR(-AH399,"n.b."))</f>
        <v/>
      </c>
      <c r="BY399" s="124" t="str">
        <f>IF($B399="","",IFERROR(-AI399,"n.b."))</f>
        <v/>
      </c>
      <c r="BZ399" s="124" t="str">
        <f>IF($B399="","",IFERROR(-AJ399,"n.b."))</f>
        <v/>
      </c>
      <c r="CA399" s="124" t="str">
        <f>IF($B399="","",IFERROR(-AK399,"n.b."))</f>
        <v/>
      </c>
      <c r="CB399" s="124" t="str">
        <f>IF($B399="","",IFERROR(-AL399,"n.b."))</f>
        <v/>
      </c>
      <c r="CC399" s="124" t="str">
        <f>IF($B399="","",IFERROR(-AP399,"n.b."))</f>
        <v/>
      </c>
      <c r="CD399" s="124" t="str">
        <f>IF($B399="","",IFERROR(-AQ399,"n.b."))</f>
        <v/>
      </c>
      <c r="CE399" s="124" t="str">
        <f>IF($B399="","",IFERROR(-AR399,"n.b."))</f>
        <v/>
      </c>
      <c r="CF399" s="124" t="str">
        <f>IF($B399="","",IFERROR(-AS399,"n.b."))</f>
        <v/>
      </c>
      <c r="CG399" s="124" t="str">
        <f>IF($B399="","",IFERROR(-AT399,"n.b."))</f>
        <v/>
      </c>
      <c r="CH399" s="124" t="str">
        <f>IF($B399="","",IFERROR(-AU399,"n.b."))</f>
        <v/>
      </c>
      <c r="CI399" s="124" t="str">
        <f>IF($B399="","",IFERROR(-AV399,"n.b."))</f>
        <v/>
      </c>
      <c r="CJ399" s="124" t="str">
        <f>IF($B399="","",IFERROR(-AW399,"n.b."))</f>
        <v/>
      </c>
      <c r="CK399" s="124" t="str">
        <f>IF($B399="","",IFERROR(-AX399,"n.b."))</f>
        <v/>
      </c>
      <c r="CL399" s="124" t="str">
        <f>IF($B399="","",IFERROR(-AY399,"n.b."))</f>
        <v/>
      </c>
      <c r="CM399" s="124" t="str">
        <f>IF($B399="","",IFERROR(-AZ399,"n.b."))</f>
        <v/>
      </c>
      <c r="CN399" s="124" t="str">
        <f>IF($B399="","",IFERROR(-BA399,"n.b."))</f>
        <v/>
      </c>
      <c r="CO399" s="124" t="str">
        <f>IF($B399="","",IFERROR(-BB399,"n.b."))</f>
        <v/>
      </c>
      <c r="CP399" s="124" t="str">
        <f>IF($B399="","",IFERROR(-BC399,"n.b."))</f>
        <v/>
      </c>
      <c r="CQ399" s="124" t="str">
        <f>IF($B399="","",IFERROR(-BD399,"n.b."))</f>
        <v/>
      </c>
      <c r="CR399" s="124" t="str">
        <f>IF($B399="","",IFERROR(-BE399,"n.b."))</f>
        <v/>
      </c>
      <c r="CS399" s="124" t="str">
        <f>IF($B399="","",IFERROR(IF(OR(ABS(T399+V399+X399+Z399-AB399)&gt;P_Tol,ABS(U399+W399+Y399+AA399-AD399)&gt;P_Tol,ABS(AE399+AG399+AI399+AK399-AM399)&gt;P_Tol,ABS(AF399+AH399+AJ399+AL399-AO399)&gt;P_Tol),1,0),1))</f>
        <v/>
      </c>
      <c r="CT399" s="124" t="str">
        <f>IF($B399="","",IFERROR(IF(OR(ABS(AB399+AC399-AD399)&gt;P_Tol,ABS(AM399+AN399-AO399)&gt;P_Tol,ABS(O399+P399-Q399)&gt;P_Tol),1,0),1))</f>
        <v/>
      </c>
      <c r="CU399" s="124" t="str">
        <f>IF($B399="","",IFERROR(IF(ABS(R399-(AB399+AM399+AP399+AR399+AT399+AV399+AX399+AZ399+BB399+BD399))&gt;P_Tol,1,0),1))</f>
        <v/>
      </c>
      <c r="CV399" s="124" t="str">
        <f>IF($B399="","",IFERROR(IF(ABS(M399-(N399+O399+R399))&gt;P_Tol,1,0),1))</f>
        <v/>
      </c>
      <c r="CW399" s="124" t="str">
        <f>IF($B399="","",IF(COUNTIF(Mapping!$A$5:$A$104,B399)&gt;0,1,0))</f>
        <v/>
      </c>
      <c r="CX399" s="124" t="str">
        <f>IF($B399="","",COUNTIF($B$6:$B$505,B399))</f>
        <v/>
      </c>
      <c r="CY399" s="124" t="str">
        <f>IF($B399="","",COUNTIF(STG_Woningetalage!$B$6:$B$505,B399))</f>
        <v/>
      </c>
      <c r="CZ399" s="124" t="str">
        <f>IF($B399="","",IF(CW399=0,COUNTIF($CW$6:CW399,0),""))</f>
        <v/>
      </c>
    </row>
    <row r="400">
      <c r="A400" s="15" t="n">
        <v>396</v>
      </c>
      <c r="B400" t="str">
        <f>IF(B$3=0,"",IF(INDEX(SRC_ZPMW03!$A$1:$ZZ$501,$A400,B$3)&amp;""="","",INDEX(SRC_ZPMW03!$A$1:$ZZ$501,$A400,B$3)&amp;""))</f>
        <v/>
      </c>
      <c r="C400" t="str">
        <f>IF($B400="","",IF(C$3=0,"n.b.",INDEX(SRC_ZPMW03!$A$1:$ZZ$501,$A400,C$3)))</f>
        <v/>
      </c>
      <c r="D400" t="str">
        <f>IF($B400="","",IF(D$3=0,"n.b.",INDEX(SRC_ZPMW03!$A$1:$ZZ$501,$A400,D$3)))</f>
        <v/>
      </c>
      <c r="E400" t="str">
        <f>IF($B400="","",IF(E$3=0,"n.b.",INDEX(SRC_ZPMW03!$A$1:$ZZ$501,$A400,E$3)))</f>
        <v/>
      </c>
      <c r="F400" t="str">
        <f>IF($B400="","",IF(F$3=0,"n.b.",INDEX(SRC_ZPMW03!$A$1:$ZZ$501,$A400,F$3)))</f>
        <v/>
      </c>
      <c r="G400" t="str">
        <f>IF($B400="","",IF(G$3=0,"n.b.",INDEX(SRC_ZPMW03!$A$1:$ZZ$501,$A400,G$3)))</f>
        <v/>
      </c>
      <c r="H400" t="str">
        <f>IF($B400="","",IF(H$3=0,"n.b.",INDEX(SRC_ZPMW03!$A$1:$ZZ$501,$A400,H$3)))</f>
        <v/>
      </c>
      <c r="I400" t="str">
        <f>IF($B400="","",IF(I$3=0,"n.b.",INDEX(SRC_ZPMW03!$A$1:$ZZ$501,$A400,I$3)))</f>
        <v/>
      </c>
      <c r="J400" t="str">
        <f>IF($B400="","",IF(J$3=0,"n.b.",INDEX(SRC_ZPMW03!$A$1:$ZZ$501,$A400,J$3)))</f>
        <v/>
      </c>
      <c r="K400" t="str">
        <f>IF($B400="","",IF(K$3=0,"n.b.",INDEX(SRC_ZPMW03!$A$1:$ZZ$501,$A400,K$3)))</f>
        <v/>
      </c>
      <c r="L400" s="124" t="str">
        <f>IF($B400="","",IF(L$3=0,"n.b.",INDEX(SRC_ZPMW03!$A$1:$ZZ$501,$A400,L$3)))</f>
        <v/>
      </c>
      <c r="M400" s="124" t="str">
        <f>IF($B400="","",IF(M$3=0,"n.b.",INDEX(SRC_ZPMW03!$A$1:$ZZ$501,$A400,M$3)))</f>
        <v/>
      </c>
      <c r="N400" s="124" t="str">
        <f>IF($B400="","",IF(N$3=0,"n.b.",INDEX(SRC_ZPMW03!$A$1:$ZZ$501,$A400,N$3)))</f>
        <v/>
      </c>
      <c r="O400" s="124" t="str">
        <f>IF($B400="","",IF(O$3=0,"n.b.",INDEX(SRC_ZPMW03!$A$1:$ZZ$501,$A400,O$3)))</f>
        <v/>
      </c>
      <c r="P400" s="124" t="str">
        <f>IF($B400="","",IF(P$3=0,"n.b.",INDEX(SRC_ZPMW03!$A$1:$ZZ$501,$A400,P$3)))</f>
        <v/>
      </c>
      <c r="Q400" s="124" t="str">
        <f>IF($B400="","",IF(Q$3=0,"n.b.",INDEX(SRC_ZPMW03!$A$1:$ZZ$501,$A400,Q$3)))</f>
        <v/>
      </c>
      <c r="R400" s="124" t="str">
        <f>IF($B400="","",IF(R$3=0,"n.b.",INDEX(SRC_ZPMW03!$A$1:$ZZ$501,$A400,R$3)))</f>
        <v/>
      </c>
      <c r="S400" s="124" t="str">
        <f>IF($B400="","",IF(S$3=0,"n.b.",INDEX(SRC_ZPMW03!$A$1:$ZZ$501,$A400,S$3)))</f>
        <v/>
      </c>
      <c r="T400" s="124" t="str">
        <f>IF($B400="","",IF(T$3=0,"n.b.",INDEX(SRC_ZPMW03!$A$1:$ZZ$501,$A400,T$3)))</f>
        <v/>
      </c>
      <c r="U400" s="124" t="str">
        <f>IF($B400="","",IF(U$3=0,"n.b.",INDEX(SRC_ZPMW03!$A$1:$ZZ$501,$A400,U$3)))</f>
        <v/>
      </c>
      <c r="V400" s="124" t="str">
        <f>IF($B400="","",IF(V$3=0,"n.b.",INDEX(SRC_ZPMW03!$A$1:$ZZ$501,$A400,V$3)))</f>
        <v/>
      </c>
      <c r="W400" s="124" t="str">
        <f>IF($B400="","",IF(W$3=0,"n.b.",INDEX(SRC_ZPMW03!$A$1:$ZZ$501,$A400,W$3)))</f>
        <v/>
      </c>
      <c r="X400" s="124" t="str">
        <f>IF($B400="","",IF(X$3=0,"n.b.",INDEX(SRC_ZPMW03!$A$1:$ZZ$501,$A400,X$3)))</f>
        <v/>
      </c>
      <c r="Y400" s="124" t="str">
        <f>IF($B400="","",IF(Y$3=0,"n.b.",INDEX(SRC_ZPMW03!$A$1:$ZZ$501,$A400,Y$3)))</f>
        <v/>
      </c>
      <c r="Z400" s="124" t="str">
        <f>IF($B400="","",IF(Z$3=0,"n.b.",INDEX(SRC_ZPMW03!$A$1:$ZZ$501,$A400,Z$3)))</f>
        <v/>
      </c>
      <c r="AA400" s="124" t="str">
        <f>IF($B400="","",IF(AA$3=0,"n.b.",INDEX(SRC_ZPMW03!$A$1:$ZZ$501,$A400,AA$3)))</f>
        <v/>
      </c>
      <c r="AB400" s="124" t="str">
        <f>IF($B400="","",IF(AB$3=0,"n.b.",INDEX(SRC_ZPMW03!$A$1:$ZZ$501,$A400,AB$3)))</f>
        <v/>
      </c>
      <c r="AC400" s="124" t="str">
        <f>IF($B400="","",IF(AC$3=0,"n.b.",INDEX(SRC_ZPMW03!$A$1:$ZZ$501,$A400,AC$3)))</f>
        <v/>
      </c>
      <c r="AD400" s="124" t="str">
        <f>IF($B400="","",IF(AD$3=0,"n.b.",INDEX(SRC_ZPMW03!$A$1:$ZZ$501,$A400,AD$3)))</f>
        <v/>
      </c>
      <c r="AE400" s="124" t="str">
        <f>IF($B400="","",IF(AE$3=0,"n.b.",INDEX(SRC_ZPMW03!$A$1:$ZZ$501,$A400,AE$3)))</f>
        <v/>
      </c>
      <c r="AF400" s="124" t="str">
        <f>IF($B400="","",IF(AF$3=0,"n.b.",INDEX(SRC_ZPMW03!$A$1:$ZZ$501,$A400,AF$3)))</f>
        <v/>
      </c>
      <c r="AG400" s="124" t="str">
        <f>IF($B400="","",IF(AG$3=0,"n.b.",INDEX(SRC_ZPMW03!$A$1:$ZZ$501,$A400,AG$3)))</f>
        <v/>
      </c>
      <c r="AH400" s="124" t="str">
        <f>IF($B400="","",IF(AH$3=0,"n.b.",INDEX(SRC_ZPMW03!$A$1:$ZZ$501,$A400,AH$3)))</f>
        <v/>
      </c>
      <c r="AI400" s="124" t="str">
        <f>IF($B400="","",IF(AI$3=0,"n.b.",INDEX(SRC_ZPMW03!$A$1:$ZZ$501,$A400,AI$3)))</f>
        <v/>
      </c>
      <c r="AJ400" s="124" t="str">
        <f>IF($B400="","",IF(AJ$3=0,"n.b.",INDEX(SRC_ZPMW03!$A$1:$ZZ$501,$A400,AJ$3)))</f>
        <v/>
      </c>
      <c r="AK400" s="124" t="str">
        <f>IF($B400="","",IF(AK$3=0,"n.b.",INDEX(SRC_ZPMW03!$A$1:$ZZ$501,$A400,AK$3)))</f>
        <v/>
      </c>
      <c r="AL400" s="124" t="str">
        <f>IF($B400="","",IF(AL$3=0,"n.b.",INDEX(SRC_ZPMW03!$A$1:$ZZ$501,$A400,AL$3)))</f>
        <v/>
      </c>
      <c r="AM400" s="124" t="str">
        <f>IF($B400="","",IF(AM$3=0,"n.b.",INDEX(SRC_ZPMW03!$A$1:$ZZ$501,$A400,AM$3)))</f>
        <v/>
      </c>
      <c r="AN400" s="124" t="str">
        <f>IF($B400="","",IF(AN$3=0,"n.b.",INDEX(SRC_ZPMW03!$A$1:$ZZ$501,$A400,AN$3)))</f>
        <v/>
      </c>
      <c r="AO400" s="124" t="str">
        <f>IF($B400="","",IF(AO$3=0,"n.b.",INDEX(SRC_ZPMW03!$A$1:$ZZ$501,$A400,AO$3)))</f>
        <v/>
      </c>
      <c r="AP400" s="124" t="str">
        <f>IF($B400="","",IF(AP$3=0,"n.b.",INDEX(SRC_ZPMW03!$A$1:$ZZ$501,$A400,AP$3)))</f>
        <v/>
      </c>
      <c r="AQ400" s="124" t="str">
        <f>IF($B400="","",IF(AQ$3=0,"n.b.",INDEX(SRC_ZPMW03!$A$1:$ZZ$501,$A400,AQ$3)))</f>
        <v/>
      </c>
      <c r="AR400" s="124" t="str">
        <f>IF($B400="","",IF(AR$3=0,"n.b.",INDEX(SRC_ZPMW03!$A$1:$ZZ$501,$A400,AR$3)))</f>
        <v/>
      </c>
      <c r="AS400" s="124" t="str">
        <f>IF($B400="","",IF(AS$3=0,"n.b.",INDEX(SRC_ZPMW03!$A$1:$ZZ$501,$A400,AS$3)))</f>
        <v/>
      </c>
      <c r="AT400" s="124" t="str">
        <f>IF($B400="","",IF(AT$3=0,"n.b.",INDEX(SRC_ZPMW03!$A$1:$ZZ$501,$A400,AT$3)))</f>
        <v/>
      </c>
      <c r="AU400" s="124" t="str">
        <f>IF($B400="","",IF(AU$3=0,"n.b.",INDEX(SRC_ZPMW03!$A$1:$ZZ$501,$A400,AU$3)))</f>
        <v/>
      </c>
      <c r="AV400" s="124" t="str">
        <f>IF($B400="","",IF(AV$3=0,"n.b.",INDEX(SRC_ZPMW03!$A$1:$ZZ$501,$A400,AV$3)))</f>
        <v/>
      </c>
      <c r="AW400" s="124" t="str">
        <f>IF($B400="","",IF(AW$3=0,"n.b.",INDEX(SRC_ZPMW03!$A$1:$ZZ$501,$A400,AW$3)))</f>
        <v/>
      </c>
      <c r="AX400" s="124" t="str">
        <f>IF($B400="","",IF(AX$3=0,"n.b.",INDEX(SRC_ZPMW03!$A$1:$ZZ$501,$A400,AX$3)))</f>
        <v/>
      </c>
      <c r="AY400" s="124" t="str">
        <f>IF($B400="","",IF(AY$3=0,"n.b.",INDEX(SRC_ZPMW03!$A$1:$ZZ$501,$A400,AY$3)))</f>
        <v/>
      </c>
      <c r="AZ400" s="124" t="str">
        <f>IF($B400="","",IF(AZ$3=0,"n.b.",INDEX(SRC_ZPMW03!$A$1:$ZZ$501,$A400,AZ$3)))</f>
        <v/>
      </c>
      <c r="BA400" s="124" t="str">
        <f>IF($B400="","",IF(BA$3=0,"n.b.",INDEX(SRC_ZPMW03!$A$1:$ZZ$501,$A400,BA$3)))</f>
        <v/>
      </c>
      <c r="BB400" s="124" t="str">
        <f>IF($B400="","",IF(BB$3=0,"n.b.",INDEX(SRC_ZPMW03!$A$1:$ZZ$501,$A400,BB$3)))</f>
        <v/>
      </c>
      <c r="BC400" s="124" t="str">
        <f>IF($B400="","",IF(BC$3=0,"n.b.",INDEX(SRC_ZPMW03!$A$1:$ZZ$501,$A400,BC$3)))</f>
        <v/>
      </c>
      <c r="BD400" s="124" t="str">
        <f>IF($B400="","",IF(BD$3=0,"n.b.",INDEX(SRC_ZPMW03!$A$1:$ZZ$501,$A400,BD$3)))</f>
        <v/>
      </c>
      <c r="BE400" s="124" t="str">
        <f>IF($B400="","",IF(BE$3=0,"n.b.",INDEX(SRC_ZPMW03!$A$1:$ZZ$501,$A400,BE$3)))</f>
        <v/>
      </c>
      <c r="BF400" s="124" t="str">
        <f>IF($B400="","",IF(BF$3=0,"n.b.",INDEX(SRC_ZPMW03!$A$1:$ZZ$501,$A400,BF$3)))</f>
        <v/>
      </c>
      <c r="BG400" t="str">
        <f>IF($B400="","",IF(BG$3=0,"n.b.",INDEX(SRC_ZPMW03!$A$1:$ZZ$501,$A400,BG$3)))</f>
        <v/>
      </c>
      <c r="BH400" t="str">
        <f>IF($B400="","",IF(BH$3=0,"n.b.",INDEX(SRC_ZPMW03!$A$1:$ZZ$501,$A400,BH$3)))</f>
        <v/>
      </c>
      <c r="BI400" t="str">
        <f>IF($B400="","",IF(BI$3=0,"n.b.",INDEX(SRC_ZPMW03!$A$1:$ZZ$501,$A400,BI$3)))</f>
        <v/>
      </c>
      <c r="BJ400" t="str">
        <f>IF($B400="","",IF(BJ$3=0,"n.b.",INDEX(SRC_ZPMW03!$A$1:$ZZ$501,$A400,BJ$3)))</f>
        <v/>
      </c>
      <c r="BK400" s="124" t="str">
        <f>IF($B400="","",IFERROR(-O400,"n.b."))</f>
        <v/>
      </c>
      <c r="BL400" s="124" t="str">
        <f>IF($B400="","",IFERROR(-Q400,"n.b."))</f>
        <v/>
      </c>
      <c r="BM400" s="124" t="str">
        <f>IF($B400="","",IFERROR(-AB400,"n.b."))</f>
        <v/>
      </c>
      <c r="BN400" s="124" t="str">
        <f>IF($B400="","",IFERROR(-AD400,"n.b."))</f>
        <v/>
      </c>
      <c r="BO400" s="124" t="str">
        <f>IF($B400="","",IFERROR(BK400+BM400,"n.b."))</f>
        <v/>
      </c>
      <c r="BP400" s="124" t="str">
        <f>IF($B400="","",IFERROR(BL400+BN400,"n.b."))</f>
        <v/>
      </c>
      <c r="BQ400" s="124" t="str">
        <f>IF($B400="","",IFERROR(-AM400,"n.b."))</f>
        <v/>
      </c>
      <c r="BR400" s="124" t="str">
        <f>IF($B400="","",IFERROR(-AO400,"n.b."))</f>
        <v/>
      </c>
      <c r="BS400" s="124" t="str">
        <f>IF($B400="","",IFERROR(-Z400,"n.b."))</f>
        <v/>
      </c>
      <c r="BT400" s="124" t="str">
        <f>IF($B400="","",IFERROR(-AA400,"n.b."))</f>
        <v/>
      </c>
      <c r="BU400" s="124" t="str">
        <f>IF($B400="","",IFERROR(-AE400,"n.b."))</f>
        <v/>
      </c>
      <c r="BV400" s="124" t="str">
        <f>IF($B400="","",IFERROR(-AF400,"n.b."))</f>
        <v/>
      </c>
      <c r="BW400" s="124" t="str">
        <f>IF($B400="","",IFERROR(-AG400,"n.b."))</f>
        <v/>
      </c>
      <c r="BX400" s="124" t="str">
        <f>IF($B400="","",IFERROR(-AH400,"n.b."))</f>
        <v/>
      </c>
      <c r="BY400" s="124" t="str">
        <f>IF($B400="","",IFERROR(-AI400,"n.b."))</f>
        <v/>
      </c>
      <c r="BZ400" s="124" t="str">
        <f>IF($B400="","",IFERROR(-AJ400,"n.b."))</f>
        <v/>
      </c>
      <c r="CA400" s="124" t="str">
        <f>IF($B400="","",IFERROR(-AK400,"n.b."))</f>
        <v/>
      </c>
      <c r="CB400" s="124" t="str">
        <f>IF($B400="","",IFERROR(-AL400,"n.b."))</f>
        <v/>
      </c>
      <c r="CC400" s="124" t="str">
        <f>IF($B400="","",IFERROR(-AP400,"n.b."))</f>
        <v/>
      </c>
      <c r="CD400" s="124" t="str">
        <f>IF($B400="","",IFERROR(-AQ400,"n.b."))</f>
        <v/>
      </c>
      <c r="CE400" s="124" t="str">
        <f>IF($B400="","",IFERROR(-AR400,"n.b."))</f>
        <v/>
      </c>
      <c r="CF400" s="124" t="str">
        <f>IF($B400="","",IFERROR(-AS400,"n.b."))</f>
        <v/>
      </c>
      <c r="CG400" s="124" t="str">
        <f>IF($B400="","",IFERROR(-AT400,"n.b."))</f>
        <v/>
      </c>
      <c r="CH400" s="124" t="str">
        <f>IF($B400="","",IFERROR(-AU400,"n.b."))</f>
        <v/>
      </c>
      <c r="CI400" s="124" t="str">
        <f>IF($B400="","",IFERROR(-AV400,"n.b."))</f>
        <v/>
      </c>
      <c r="CJ400" s="124" t="str">
        <f>IF($B400="","",IFERROR(-AW400,"n.b."))</f>
        <v/>
      </c>
      <c r="CK400" s="124" t="str">
        <f>IF($B400="","",IFERROR(-AX400,"n.b."))</f>
        <v/>
      </c>
      <c r="CL400" s="124" t="str">
        <f>IF($B400="","",IFERROR(-AY400,"n.b."))</f>
        <v/>
      </c>
      <c r="CM400" s="124" t="str">
        <f>IF($B400="","",IFERROR(-AZ400,"n.b."))</f>
        <v/>
      </c>
      <c r="CN400" s="124" t="str">
        <f>IF($B400="","",IFERROR(-BA400,"n.b."))</f>
        <v/>
      </c>
      <c r="CO400" s="124" t="str">
        <f>IF($B400="","",IFERROR(-BB400,"n.b."))</f>
        <v/>
      </c>
      <c r="CP400" s="124" t="str">
        <f>IF($B400="","",IFERROR(-BC400,"n.b."))</f>
        <v/>
      </c>
      <c r="CQ400" s="124" t="str">
        <f>IF($B400="","",IFERROR(-BD400,"n.b."))</f>
        <v/>
      </c>
      <c r="CR400" s="124" t="str">
        <f>IF($B400="","",IFERROR(-BE400,"n.b."))</f>
        <v/>
      </c>
      <c r="CS400" s="124" t="str">
        <f>IF($B400="","",IFERROR(IF(OR(ABS(T400+V400+X400+Z400-AB400)&gt;P_Tol,ABS(U400+W400+Y400+AA400-AD400)&gt;P_Tol,ABS(AE400+AG400+AI400+AK400-AM400)&gt;P_Tol,ABS(AF400+AH400+AJ400+AL400-AO400)&gt;P_Tol),1,0),1))</f>
        <v/>
      </c>
      <c r="CT400" s="124" t="str">
        <f>IF($B400="","",IFERROR(IF(OR(ABS(AB400+AC400-AD400)&gt;P_Tol,ABS(AM400+AN400-AO400)&gt;P_Tol,ABS(O400+P400-Q400)&gt;P_Tol),1,0),1))</f>
        <v/>
      </c>
      <c r="CU400" s="124" t="str">
        <f>IF($B400="","",IFERROR(IF(ABS(R400-(AB400+AM400+AP400+AR400+AT400+AV400+AX400+AZ400+BB400+BD400))&gt;P_Tol,1,0),1))</f>
        <v/>
      </c>
      <c r="CV400" s="124" t="str">
        <f>IF($B400="","",IFERROR(IF(ABS(M400-(N400+O400+R400))&gt;P_Tol,1,0),1))</f>
        <v/>
      </c>
      <c r="CW400" s="124" t="str">
        <f>IF($B400="","",IF(COUNTIF(Mapping!$A$5:$A$104,B400)&gt;0,1,0))</f>
        <v/>
      </c>
      <c r="CX400" s="124" t="str">
        <f>IF($B400="","",COUNTIF($B$6:$B$505,B400))</f>
        <v/>
      </c>
      <c r="CY400" s="124" t="str">
        <f>IF($B400="","",COUNTIF(STG_Woningetalage!$B$6:$B$505,B400))</f>
        <v/>
      </c>
      <c r="CZ400" s="124" t="str">
        <f>IF($B400="","",IF(CW400=0,COUNTIF($CW$6:CW400,0),""))</f>
        <v/>
      </c>
    </row>
    <row r="401">
      <c r="A401" s="15" t="n">
        <v>397</v>
      </c>
      <c r="B401" t="str">
        <f>IF(B$3=0,"",IF(INDEX(SRC_ZPMW03!$A$1:$ZZ$501,$A401,B$3)&amp;""="","",INDEX(SRC_ZPMW03!$A$1:$ZZ$501,$A401,B$3)&amp;""))</f>
        <v/>
      </c>
      <c r="C401" t="str">
        <f>IF($B401="","",IF(C$3=0,"n.b.",INDEX(SRC_ZPMW03!$A$1:$ZZ$501,$A401,C$3)))</f>
        <v/>
      </c>
      <c r="D401" t="str">
        <f>IF($B401="","",IF(D$3=0,"n.b.",INDEX(SRC_ZPMW03!$A$1:$ZZ$501,$A401,D$3)))</f>
        <v/>
      </c>
      <c r="E401" t="str">
        <f>IF($B401="","",IF(E$3=0,"n.b.",INDEX(SRC_ZPMW03!$A$1:$ZZ$501,$A401,E$3)))</f>
        <v/>
      </c>
      <c r="F401" t="str">
        <f>IF($B401="","",IF(F$3=0,"n.b.",INDEX(SRC_ZPMW03!$A$1:$ZZ$501,$A401,F$3)))</f>
        <v/>
      </c>
      <c r="G401" t="str">
        <f>IF($B401="","",IF(G$3=0,"n.b.",INDEX(SRC_ZPMW03!$A$1:$ZZ$501,$A401,G$3)))</f>
        <v/>
      </c>
      <c r="H401" t="str">
        <f>IF($B401="","",IF(H$3=0,"n.b.",INDEX(SRC_ZPMW03!$A$1:$ZZ$501,$A401,H$3)))</f>
        <v/>
      </c>
      <c r="I401" t="str">
        <f>IF($B401="","",IF(I$3=0,"n.b.",INDEX(SRC_ZPMW03!$A$1:$ZZ$501,$A401,I$3)))</f>
        <v/>
      </c>
      <c r="J401" t="str">
        <f>IF($B401="","",IF(J$3=0,"n.b.",INDEX(SRC_ZPMW03!$A$1:$ZZ$501,$A401,J$3)))</f>
        <v/>
      </c>
      <c r="K401" t="str">
        <f>IF($B401="","",IF(K$3=0,"n.b.",INDEX(SRC_ZPMW03!$A$1:$ZZ$501,$A401,K$3)))</f>
        <v/>
      </c>
      <c r="L401" s="124" t="str">
        <f>IF($B401="","",IF(L$3=0,"n.b.",INDEX(SRC_ZPMW03!$A$1:$ZZ$501,$A401,L$3)))</f>
        <v/>
      </c>
      <c r="M401" s="124" t="str">
        <f>IF($B401="","",IF(M$3=0,"n.b.",INDEX(SRC_ZPMW03!$A$1:$ZZ$501,$A401,M$3)))</f>
        <v/>
      </c>
      <c r="N401" s="124" t="str">
        <f>IF($B401="","",IF(N$3=0,"n.b.",INDEX(SRC_ZPMW03!$A$1:$ZZ$501,$A401,N$3)))</f>
        <v/>
      </c>
      <c r="O401" s="124" t="str">
        <f>IF($B401="","",IF(O$3=0,"n.b.",INDEX(SRC_ZPMW03!$A$1:$ZZ$501,$A401,O$3)))</f>
        <v/>
      </c>
      <c r="P401" s="124" t="str">
        <f>IF($B401="","",IF(P$3=0,"n.b.",INDEX(SRC_ZPMW03!$A$1:$ZZ$501,$A401,P$3)))</f>
        <v/>
      </c>
      <c r="Q401" s="124" t="str">
        <f>IF($B401="","",IF(Q$3=0,"n.b.",INDEX(SRC_ZPMW03!$A$1:$ZZ$501,$A401,Q$3)))</f>
        <v/>
      </c>
      <c r="R401" s="124" t="str">
        <f>IF($B401="","",IF(R$3=0,"n.b.",INDEX(SRC_ZPMW03!$A$1:$ZZ$501,$A401,R$3)))</f>
        <v/>
      </c>
      <c r="S401" s="124" t="str">
        <f>IF($B401="","",IF(S$3=0,"n.b.",INDEX(SRC_ZPMW03!$A$1:$ZZ$501,$A401,S$3)))</f>
        <v/>
      </c>
      <c r="T401" s="124" t="str">
        <f>IF($B401="","",IF(T$3=0,"n.b.",INDEX(SRC_ZPMW03!$A$1:$ZZ$501,$A401,T$3)))</f>
        <v/>
      </c>
      <c r="U401" s="124" t="str">
        <f>IF($B401="","",IF(U$3=0,"n.b.",INDEX(SRC_ZPMW03!$A$1:$ZZ$501,$A401,U$3)))</f>
        <v/>
      </c>
      <c r="V401" s="124" t="str">
        <f>IF($B401="","",IF(V$3=0,"n.b.",INDEX(SRC_ZPMW03!$A$1:$ZZ$501,$A401,V$3)))</f>
        <v/>
      </c>
      <c r="W401" s="124" t="str">
        <f>IF($B401="","",IF(W$3=0,"n.b.",INDEX(SRC_ZPMW03!$A$1:$ZZ$501,$A401,W$3)))</f>
        <v/>
      </c>
      <c r="X401" s="124" t="str">
        <f>IF($B401="","",IF(X$3=0,"n.b.",INDEX(SRC_ZPMW03!$A$1:$ZZ$501,$A401,X$3)))</f>
        <v/>
      </c>
      <c r="Y401" s="124" t="str">
        <f>IF($B401="","",IF(Y$3=0,"n.b.",INDEX(SRC_ZPMW03!$A$1:$ZZ$501,$A401,Y$3)))</f>
        <v/>
      </c>
      <c r="Z401" s="124" t="str">
        <f>IF($B401="","",IF(Z$3=0,"n.b.",INDEX(SRC_ZPMW03!$A$1:$ZZ$501,$A401,Z$3)))</f>
        <v/>
      </c>
      <c r="AA401" s="124" t="str">
        <f>IF($B401="","",IF(AA$3=0,"n.b.",INDEX(SRC_ZPMW03!$A$1:$ZZ$501,$A401,AA$3)))</f>
        <v/>
      </c>
      <c r="AB401" s="124" t="str">
        <f>IF($B401="","",IF(AB$3=0,"n.b.",INDEX(SRC_ZPMW03!$A$1:$ZZ$501,$A401,AB$3)))</f>
        <v/>
      </c>
      <c r="AC401" s="124" t="str">
        <f>IF($B401="","",IF(AC$3=0,"n.b.",INDEX(SRC_ZPMW03!$A$1:$ZZ$501,$A401,AC$3)))</f>
        <v/>
      </c>
      <c r="AD401" s="124" t="str">
        <f>IF($B401="","",IF(AD$3=0,"n.b.",INDEX(SRC_ZPMW03!$A$1:$ZZ$501,$A401,AD$3)))</f>
        <v/>
      </c>
      <c r="AE401" s="124" t="str">
        <f>IF($B401="","",IF(AE$3=0,"n.b.",INDEX(SRC_ZPMW03!$A$1:$ZZ$501,$A401,AE$3)))</f>
        <v/>
      </c>
      <c r="AF401" s="124" t="str">
        <f>IF($B401="","",IF(AF$3=0,"n.b.",INDEX(SRC_ZPMW03!$A$1:$ZZ$501,$A401,AF$3)))</f>
        <v/>
      </c>
      <c r="AG401" s="124" t="str">
        <f>IF($B401="","",IF(AG$3=0,"n.b.",INDEX(SRC_ZPMW03!$A$1:$ZZ$501,$A401,AG$3)))</f>
        <v/>
      </c>
      <c r="AH401" s="124" t="str">
        <f>IF($B401="","",IF(AH$3=0,"n.b.",INDEX(SRC_ZPMW03!$A$1:$ZZ$501,$A401,AH$3)))</f>
        <v/>
      </c>
      <c r="AI401" s="124" t="str">
        <f>IF($B401="","",IF(AI$3=0,"n.b.",INDEX(SRC_ZPMW03!$A$1:$ZZ$501,$A401,AI$3)))</f>
        <v/>
      </c>
      <c r="AJ401" s="124" t="str">
        <f>IF($B401="","",IF(AJ$3=0,"n.b.",INDEX(SRC_ZPMW03!$A$1:$ZZ$501,$A401,AJ$3)))</f>
        <v/>
      </c>
      <c r="AK401" s="124" t="str">
        <f>IF($B401="","",IF(AK$3=0,"n.b.",INDEX(SRC_ZPMW03!$A$1:$ZZ$501,$A401,AK$3)))</f>
        <v/>
      </c>
      <c r="AL401" s="124" t="str">
        <f>IF($B401="","",IF(AL$3=0,"n.b.",INDEX(SRC_ZPMW03!$A$1:$ZZ$501,$A401,AL$3)))</f>
        <v/>
      </c>
      <c r="AM401" s="124" t="str">
        <f>IF($B401="","",IF(AM$3=0,"n.b.",INDEX(SRC_ZPMW03!$A$1:$ZZ$501,$A401,AM$3)))</f>
        <v/>
      </c>
      <c r="AN401" s="124" t="str">
        <f>IF($B401="","",IF(AN$3=0,"n.b.",INDEX(SRC_ZPMW03!$A$1:$ZZ$501,$A401,AN$3)))</f>
        <v/>
      </c>
      <c r="AO401" s="124" t="str">
        <f>IF($B401="","",IF(AO$3=0,"n.b.",INDEX(SRC_ZPMW03!$A$1:$ZZ$501,$A401,AO$3)))</f>
        <v/>
      </c>
      <c r="AP401" s="124" t="str">
        <f>IF($B401="","",IF(AP$3=0,"n.b.",INDEX(SRC_ZPMW03!$A$1:$ZZ$501,$A401,AP$3)))</f>
        <v/>
      </c>
      <c r="AQ401" s="124" t="str">
        <f>IF($B401="","",IF(AQ$3=0,"n.b.",INDEX(SRC_ZPMW03!$A$1:$ZZ$501,$A401,AQ$3)))</f>
        <v/>
      </c>
      <c r="AR401" s="124" t="str">
        <f>IF($B401="","",IF(AR$3=0,"n.b.",INDEX(SRC_ZPMW03!$A$1:$ZZ$501,$A401,AR$3)))</f>
        <v/>
      </c>
      <c r="AS401" s="124" t="str">
        <f>IF($B401="","",IF(AS$3=0,"n.b.",INDEX(SRC_ZPMW03!$A$1:$ZZ$501,$A401,AS$3)))</f>
        <v/>
      </c>
      <c r="AT401" s="124" t="str">
        <f>IF($B401="","",IF(AT$3=0,"n.b.",INDEX(SRC_ZPMW03!$A$1:$ZZ$501,$A401,AT$3)))</f>
        <v/>
      </c>
      <c r="AU401" s="124" t="str">
        <f>IF($B401="","",IF(AU$3=0,"n.b.",INDEX(SRC_ZPMW03!$A$1:$ZZ$501,$A401,AU$3)))</f>
        <v/>
      </c>
      <c r="AV401" s="124" t="str">
        <f>IF($B401="","",IF(AV$3=0,"n.b.",INDEX(SRC_ZPMW03!$A$1:$ZZ$501,$A401,AV$3)))</f>
        <v/>
      </c>
      <c r="AW401" s="124" t="str">
        <f>IF($B401="","",IF(AW$3=0,"n.b.",INDEX(SRC_ZPMW03!$A$1:$ZZ$501,$A401,AW$3)))</f>
        <v/>
      </c>
      <c r="AX401" s="124" t="str">
        <f>IF($B401="","",IF(AX$3=0,"n.b.",INDEX(SRC_ZPMW03!$A$1:$ZZ$501,$A401,AX$3)))</f>
        <v/>
      </c>
      <c r="AY401" s="124" t="str">
        <f>IF($B401="","",IF(AY$3=0,"n.b.",INDEX(SRC_ZPMW03!$A$1:$ZZ$501,$A401,AY$3)))</f>
        <v/>
      </c>
      <c r="AZ401" s="124" t="str">
        <f>IF($B401="","",IF(AZ$3=0,"n.b.",INDEX(SRC_ZPMW03!$A$1:$ZZ$501,$A401,AZ$3)))</f>
        <v/>
      </c>
      <c r="BA401" s="124" t="str">
        <f>IF($B401="","",IF(BA$3=0,"n.b.",INDEX(SRC_ZPMW03!$A$1:$ZZ$501,$A401,BA$3)))</f>
        <v/>
      </c>
      <c r="BB401" s="124" t="str">
        <f>IF($B401="","",IF(BB$3=0,"n.b.",INDEX(SRC_ZPMW03!$A$1:$ZZ$501,$A401,BB$3)))</f>
        <v/>
      </c>
      <c r="BC401" s="124" t="str">
        <f>IF($B401="","",IF(BC$3=0,"n.b.",INDEX(SRC_ZPMW03!$A$1:$ZZ$501,$A401,BC$3)))</f>
        <v/>
      </c>
      <c r="BD401" s="124" t="str">
        <f>IF($B401="","",IF(BD$3=0,"n.b.",INDEX(SRC_ZPMW03!$A$1:$ZZ$501,$A401,BD$3)))</f>
        <v/>
      </c>
      <c r="BE401" s="124" t="str">
        <f>IF($B401="","",IF(BE$3=0,"n.b.",INDEX(SRC_ZPMW03!$A$1:$ZZ$501,$A401,BE$3)))</f>
        <v/>
      </c>
      <c r="BF401" s="124" t="str">
        <f>IF($B401="","",IF(BF$3=0,"n.b.",INDEX(SRC_ZPMW03!$A$1:$ZZ$501,$A401,BF$3)))</f>
        <v/>
      </c>
      <c r="BG401" t="str">
        <f>IF($B401="","",IF(BG$3=0,"n.b.",INDEX(SRC_ZPMW03!$A$1:$ZZ$501,$A401,BG$3)))</f>
        <v/>
      </c>
      <c r="BH401" t="str">
        <f>IF($B401="","",IF(BH$3=0,"n.b.",INDEX(SRC_ZPMW03!$A$1:$ZZ$501,$A401,BH$3)))</f>
        <v/>
      </c>
      <c r="BI401" t="str">
        <f>IF($B401="","",IF(BI$3=0,"n.b.",INDEX(SRC_ZPMW03!$A$1:$ZZ$501,$A401,BI$3)))</f>
        <v/>
      </c>
      <c r="BJ401" t="str">
        <f>IF($B401="","",IF(BJ$3=0,"n.b.",INDEX(SRC_ZPMW03!$A$1:$ZZ$501,$A401,BJ$3)))</f>
        <v/>
      </c>
      <c r="BK401" s="124" t="str">
        <f>IF($B401="","",IFERROR(-O401,"n.b."))</f>
        <v/>
      </c>
      <c r="BL401" s="124" t="str">
        <f>IF($B401="","",IFERROR(-Q401,"n.b."))</f>
        <v/>
      </c>
      <c r="BM401" s="124" t="str">
        <f>IF($B401="","",IFERROR(-AB401,"n.b."))</f>
        <v/>
      </c>
      <c r="BN401" s="124" t="str">
        <f>IF($B401="","",IFERROR(-AD401,"n.b."))</f>
        <v/>
      </c>
      <c r="BO401" s="124" t="str">
        <f>IF($B401="","",IFERROR(BK401+BM401,"n.b."))</f>
        <v/>
      </c>
      <c r="BP401" s="124" t="str">
        <f>IF($B401="","",IFERROR(BL401+BN401,"n.b."))</f>
        <v/>
      </c>
      <c r="BQ401" s="124" t="str">
        <f>IF($B401="","",IFERROR(-AM401,"n.b."))</f>
        <v/>
      </c>
      <c r="BR401" s="124" t="str">
        <f>IF($B401="","",IFERROR(-AO401,"n.b."))</f>
        <v/>
      </c>
      <c r="BS401" s="124" t="str">
        <f>IF($B401="","",IFERROR(-Z401,"n.b."))</f>
        <v/>
      </c>
      <c r="BT401" s="124" t="str">
        <f>IF($B401="","",IFERROR(-AA401,"n.b."))</f>
        <v/>
      </c>
      <c r="BU401" s="124" t="str">
        <f>IF($B401="","",IFERROR(-AE401,"n.b."))</f>
        <v/>
      </c>
      <c r="BV401" s="124" t="str">
        <f>IF($B401="","",IFERROR(-AF401,"n.b."))</f>
        <v/>
      </c>
      <c r="BW401" s="124" t="str">
        <f>IF($B401="","",IFERROR(-AG401,"n.b."))</f>
        <v/>
      </c>
      <c r="BX401" s="124" t="str">
        <f>IF($B401="","",IFERROR(-AH401,"n.b."))</f>
        <v/>
      </c>
      <c r="BY401" s="124" t="str">
        <f>IF($B401="","",IFERROR(-AI401,"n.b."))</f>
        <v/>
      </c>
      <c r="BZ401" s="124" t="str">
        <f>IF($B401="","",IFERROR(-AJ401,"n.b."))</f>
        <v/>
      </c>
      <c r="CA401" s="124" t="str">
        <f>IF($B401="","",IFERROR(-AK401,"n.b."))</f>
        <v/>
      </c>
      <c r="CB401" s="124" t="str">
        <f>IF($B401="","",IFERROR(-AL401,"n.b."))</f>
        <v/>
      </c>
      <c r="CC401" s="124" t="str">
        <f>IF($B401="","",IFERROR(-AP401,"n.b."))</f>
        <v/>
      </c>
      <c r="CD401" s="124" t="str">
        <f>IF($B401="","",IFERROR(-AQ401,"n.b."))</f>
        <v/>
      </c>
      <c r="CE401" s="124" t="str">
        <f>IF($B401="","",IFERROR(-AR401,"n.b."))</f>
        <v/>
      </c>
      <c r="CF401" s="124" t="str">
        <f>IF($B401="","",IFERROR(-AS401,"n.b."))</f>
        <v/>
      </c>
      <c r="CG401" s="124" t="str">
        <f>IF($B401="","",IFERROR(-AT401,"n.b."))</f>
        <v/>
      </c>
      <c r="CH401" s="124" t="str">
        <f>IF($B401="","",IFERROR(-AU401,"n.b."))</f>
        <v/>
      </c>
      <c r="CI401" s="124" t="str">
        <f>IF($B401="","",IFERROR(-AV401,"n.b."))</f>
        <v/>
      </c>
      <c r="CJ401" s="124" t="str">
        <f>IF($B401="","",IFERROR(-AW401,"n.b."))</f>
        <v/>
      </c>
      <c r="CK401" s="124" t="str">
        <f>IF($B401="","",IFERROR(-AX401,"n.b."))</f>
        <v/>
      </c>
      <c r="CL401" s="124" t="str">
        <f>IF($B401="","",IFERROR(-AY401,"n.b."))</f>
        <v/>
      </c>
      <c r="CM401" s="124" t="str">
        <f>IF($B401="","",IFERROR(-AZ401,"n.b."))</f>
        <v/>
      </c>
      <c r="CN401" s="124" t="str">
        <f>IF($B401="","",IFERROR(-BA401,"n.b."))</f>
        <v/>
      </c>
      <c r="CO401" s="124" t="str">
        <f>IF($B401="","",IFERROR(-BB401,"n.b."))</f>
        <v/>
      </c>
      <c r="CP401" s="124" t="str">
        <f>IF($B401="","",IFERROR(-BC401,"n.b."))</f>
        <v/>
      </c>
      <c r="CQ401" s="124" t="str">
        <f>IF($B401="","",IFERROR(-BD401,"n.b."))</f>
        <v/>
      </c>
      <c r="CR401" s="124" t="str">
        <f>IF($B401="","",IFERROR(-BE401,"n.b."))</f>
        <v/>
      </c>
      <c r="CS401" s="124" t="str">
        <f>IF($B401="","",IFERROR(IF(OR(ABS(T401+V401+X401+Z401-AB401)&gt;P_Tol,ABS(U401+W401+Y401+AA401-AD401)&gt;P_Tol,ABS(AE401+AG401+AI401+AK401-AM401)&gt;P_Tol,ABS(AF401+AH401+AJ401+AL401-AO401)&gt;P_Tol),1,0),1))</f>
        <v/>
      </c>
      <c r="CT401" s="124" t="str">
        <f>IF($B401="","",IFERROR(IF(OR(ABS(AB401+AC401-AD401)&gt;P_Tol,ABS(AM401+AN401-AO401)&gt;P_Tol,ABS(O401+P401-Q401)&gt;P_Tol),1,0),1))</f>
        <v/>
      </c>
      <c r="CU401" s="124" t="str">
        <f>IF($B401="","",IFERROR(IF(ABS(R401-(AB401+AM401+AP401+AR401+AT401+AV401+AX401+AZ401+BB401+BD401))&gt;P_Tol,1,0),1))</f>
        <v/>
      </c>
      <c r="CV401" s="124" t="str">
        <f>IF($B401="","",IFERROR(IF(ABS(M401-(N401+O401+R401))&gt;P_Tol,1,0),1))</f>
        <v/>
      </c>
      <c r="CW401" s="124" t="str">
        <f>IF($B401="","",IF(COUNTIF(Mapping!$A$5:$A$104,B401)&gt;0,1,0))</f>
        <v/>
      </c>
      <c r="CX401" s="124" t="str">
        <f>IF($B401="","",COUNTIF($B$6:$B$505,B401))</f>
        <v/>
      </c>
      <c r="CY401" s="124" t="str">
        <f>IF($B401="","",COUNTIF(STG_Woningetalage!$B$6:$B$505,B401))</f>
        <v/>
      </c>
      <c r="CZ401" s="124" t="str">
        <f>IF($B401="","",IF(CW401=0,COUNTIF($CW$6:CW401,0),""))</f>
        <v/>
      </c>
    </row>
    <row r="402">
      <c r="A402" s="15" t="n">
        <v>398</v>
      </c>
      <c r="B402" t="str">
        <f>IF(B$3=0,"",IF(INDEX(SRC_ZPMW03!$A$1:$ZZ$501,$A402,B$3)&amp;""="","",INDEX(SRC_ZPMW03!$A$1:$ZZ$501,$A402,B$3)&amp;""))</f>
        <v/>
      </c>
      <c r="C402" t="str">
        <f>IF($B402="","",IF(C$3=0,"n.b.",INDEX(SRC_ZPMW03!$A$1:$ZZ$501,$A402,C$3)))</f>
        <v/>
      </c>
      <c r="D402" t="str">
        <f>IF($B402="","",IF(D$3=0,"n.b.",INDEX(SRC_ZPMW03!$A$1:$ZZ$501,$A402,D$3)))</f>
        <v/>
      </c>
      <c r="E402" t="str">
        <f>IF($B402="","",IF(E$3=0,"n.b.",INDEX(SRC_ZPMW03!$A$1:$ZZ$501,$A402,E$3)))</f>
        <v/>
      </c>
      <c r="F402" t="str">
        <f>IF($B402="","",IF(F$3=0,"n.b.",INDEX(SRC_ZPMW03!$A$1:$ZZ$501,$A402,F$3)))</f>
        <v/>
      </c>
      <c r="G402" t="str">
        <f>IF($B402="","",IF(G$3=0,"n.b.",INDEX(SRC_ZPMW03!$A$1:$ZZ$501,$A402,G$3)))</f>
        <v/>
      </c>
      <c r="H402" t="str">
        <f>IF($B402="","",IF(H$3=0,"n.b.",INDEX(SRC_ZPMW03!$A$1:$ZZ$501,$A402,H$3)))</f>
        <v/>
      </c>
      <c r="I402" t="str">
        <f>IF($B402="","",IF(I$3=0,"n.b.",INDEX(SRC_ZPMW03!$A$1:$ZZ$501,$A402,I$3)))</f>
        <v/>
      </c>
      <c r="J402" t="str">
        <f>IF($B402="","",IF(J$3=0,"n.b.",INDEX(SRC_ZPMW03!$A$1:$ZZ$501,$A402,J$3)))</f>
        <v/>
      </c>
      <c r="K402" t="str">
        <f>IF($B402="","",IF(K$3=0,"n.b.",INDEX(SRC_ZPMW03!$A$1:$ZZ$501,$A402,K$3)))</f>
        <v/>
      </c>
      <c r="L402" s="124" t="str">
        <f>IF($B402="","",IF(L$3=0,"n.b.",INDEX(SRC_ZPMW03!$A$1:$ZZ$501,$A402,L$3)))</f>
        <v/>
      </c>
      <c r="M402" s="124" t="str">
        <f>IF($B402="","",IF(M$3=0,"n.b.",INDEX(SRC_ZPMW03!$A$1:$ZZ$501,$A402,M$3)))</f>
        <v/>
      </c>
      <c r="N402" s="124" t="str">
        <f>IF($B402="","",IF(N$3=0,"n.b.",INDEX(SRC_ZPMW03!$A$1:$ZZ$501,$A402,N$3)))</f>
        <v/>
      </c>
      <c r="O402" s="124" t="str">
        <f>IF($B402="","",IF(O$3=0,"n.b.",INDEX(SRC_ZPMW03!$A$1:$ZZ$501,$A402,O$3)))</f>
        <v/>
      </c>
      <c r="P402" s="124" t="str">
        <f>IF($B402="","",IF(P$3=0,"n.b.",INDEX(SRC_ZPMW03!$A$1:$ZZ$501,$A402,P$3)))</f>
        <v/>
      </c>
      <c r="Q402" s="124" t="str">
        <f>IF($B402="","",IF(Q$3=0,"n.b.",INDEX(SRC_ZPMW03!$A$1:$ZZ$501,$A402,Q$3)))</f>
        <v/>
      </c>
      <c r="R402" s="124" t="str">
        <f>IF($B402="","",IF(R$3=0,"n.b.",INDEX(SRC_ZPMW03!$A$1:$ZZ$501,$A402,R$3)))</f>
        <v/>
      </c>
      <c r="S402" s="124" t="str">
        <f>IF($B402="","",IF(S$3=0,"n.b.",INDEX(SRC_ZPMW03!$A$1:$ZZ$501,$A402,S$3)))</f>
        <v/>
      </c>
      <c r="T402" s="124" t="str">
        <f>IF($B402="","",IF(T$3=0,"n.b.",INDEX(SRC_ZPMW03!$A$1:$ZZ$501,$A402,T$3)))</f>
        <v/>
      </c>
      <c r="U402" s="124" t="str">
        <f>IF($B402="","",IF(U$3=0,"n.b.",INDEX(SRC_ZPMW03!$A$1:$ZZ$501,$A402,U$3)))</f>
        <v/>
      </c>
      <c r="V402" s="124" t="str">
        <f>IF($B402="","",IF(V$3=0,"n.b.",INDEX(SRC_ZPMW03!$A$1:$ZZ$501,$A402,V$3)))</f>
        <v/>
      </c>
      <c r="W402" s="124" t="str">
        <f>IF($B402="","",IF(W$3=0,"n.b.",INDEX(SRC_ZPMW03!$A$1:$ZZ$501,$A402,W$3)))</f>
        <v/>
      </c>
      <c r="X402" s="124" t="str">
        <f>IF($B402="","",IF(X$3=0,"n.b.",INDEX(SRC_ZPMW03!$A$1:$ZZ$501,$A402,X$3)))</f>
        <v/>
      </c>
      <c r="Y402" s="124" t="str">
        <f>IF($B402="","",IF(Y$3=0,"n.b.",INDEX(SRC_ZPMW03!$A$1:$ZZ$501,$A402,Y$3)))</f>
        <v/>
      </c>
      <c r="Z402" s="124" t="str">
        <f>IF($B402="","",IF(Z$3=0,"n.b.",INDEX(SRC_ZPMW03!$A$1:$ZZ$501,$A402,Z$3)))</f>
        <v/>
      </c>
      <c r="AA402" s="124" t="str">
        <f>IF($B402="","",IF(AA$3=0,"n.b.",INDEX(SRC_ZPMW03!$A$1:$ZZ$501,$A402,AA$3)))</f>
        <v/>
      </c>
      <c r="AB402" s="124" t="str">
        <f>IF($B402="","",IF(AB$3=0,"n.b.",INDEX(SRC_ZPMW03!$A$1:$ZZ$501,$A402,AB$3)))</f>
        <v/>
      </c>
      <c r="AC402" s="124" t="str">
        <f>IF($B402="","",IF(AC$3=0,"n.b.",INDEX(SRC_ZPMW03!$A$1:$ZZ$501,$A402,AC$3)))</f>
        <v/>
      </c>
      <c r="AD402" s="124" t="str">
        <f>IF($B402="","",IF(AD$3=0,"n.b.",INDEX(SRC_ZPMW03!$A$1:$ZZ$501,$A402,AD$3)))</f>
        <v/>
      </c>
      <c r="AE402" s="124" t="str">
        <f>IF($B402="","",IF(AE$3=0,"n.b.",INDEX(SRC_ZPMW03!$A$1:$ZZ$501,$A402,AE$3)))</f>
        <v/>
      </c>
      <c r="AF402" s="124" t="str">
        <f>IF($B402="","",IF(AF$3=0,"n.b.",INDEX(SRC_ZPMW03!$A$1:$ZZ$501,$A402,AF$3)))</f>
        <v/>
      </c>
      <c r="AG402" s="124" t="str">
        <f>IF($B402="","",IF(AG$3=0,"n.b.",INDEX(SRC_ZPMW03!$A$1:$ZZ$501,$A402,AG$3)))</f>
        <v/>
      </c>
      <c r="AH402" s="124" t="str">
        <f>IF($B402="","",IF(AH$3=0,"n.b.",INDEX(SRC_ZPMW03!$A$1:$ZZ$501,$A402,AH$3)))</f>
        <v/>
      </c>
      <c r="AI402" s="124" t="str">
        <f>IF($B402="","",IF(AI$3=0,"n.b.",INDEX(SRC_ZPMW03!$A$1:$ZZ$501,$A402,AI$3)))</f>
        <v/>
      </c>
      <c r="AJ402" s="124" t="str">
        <f>IF($B402="","",IF(AJ$3=0,"n.b.",INDEX(SRC_ZPMW03!$A$1:$ZZ$501,$A402,AJ$3)))</f>
        <v/>
      </c>
      <c r="AK402" s="124" t="str">
        <f>IF($B402="","",IF(AK$3=0,"n.b.",INDEX(SRC_ZPMW03!$A$1:$ZZ$501,$A402,AK$3)))</f>
        <v/>
      </c>
      <c r="AL402" s="124" t="str">
        <f>IF($B402="","",IF(AL$3=0,"n.b.",INDEX(SRC_ZPMW03!$A$1:$ZZ$501,$A402,AL$3)))</f>
        <v/>
      </c>
      <c r="AM402" s="124" t="str">
        <f>IF($B402="","",IF(AM$3=0,"n.b.",INDEX(SRC_ZPMW03!$A$1:$ZZ$501,$A402,AM$3)))</f>
        <v/>
      </c>
      <c r="AN402" s="124" t="str">
        <f>IF($B402="","",IF(AN$3=0,"n.b.",INDEX(SRC_ZPMW03!$A$1:$ZZ$501,$A402,AN$3)))</f>
        <v/>
      </c>
      <c r="AO402" s="124" t="str">
        <f>IF($B402="","",IF(AO$3=0,"n.b.",INDEX(SRC_ZPMW03!$A$1:$ZZ$501,$A402,AO$3)))</f>
        <v/>
      </c>
      <c r="AP402" s="124" t="str">
        <f>IF($B402="","",IF(AP$3=0,"n.b.",INDEX(SRC_ZPMW03!$A$1:$ZZ$501,$A402,AP$3)))</f>
        <v/>
      </c>
      <c r="AQ402" s="124" t="str">
        <f>IF($B402="","",IF(AQ$3=0,"n.b.",INDEX(SRC_ZPMW03!$A$1:$ZZ$501,$A402,AQ$3)))</f>
        <v/>
      </c>
      <c r="AR402" s="124" t="str">
        <f>IF($B402="","",IF(AR$3=0,"n.b.",INDEX(SRC_ZPMW03!$A$1:$ZZ$501,$A402,AR$3)))</f>
        <v/>
      </c>
      <c r="AS402" s="124" t="str">
        <f>IF($B402="","",IF(AS$3=0,"n.b.",INDEX(SRC_ZPMW03!$A$1:$ZZ$501,$A402,AS$3)))</f>
        <v/>
      </c>
      <c r="AT402" s="124" t="str">
        <f>IF($B402="","",IF(AT$3=0,"n.b.",INDEX(SRC_ZPMW03!$A$1:$ZZ$501,$A402,AT$3)))</f>
        <v/>
      </c>
      <c r="AU402" s="124" t="str">
        <f>IF($B402="","",IF(AU$3=0,"n.b.",INDEX(SRC_ZPMW03!$A$1:$ZZ$501,$A402,AU$3)))</f>
        <v/>
      </c>
      <c r="AV402" s="124" t="str">
        <f>IF($B402="","",IF(AV$3=0,"n.b.",INDEX(SRC_ZPMW03!$A$1:$ZZ$501,$A402,AV$3)))</f>
        <v/>
      </c>
      <c r="AW402" s="124" t="str">
        <f>IF($B402="","",IF(AW$3=0,"n.b.",INDEX(SRC_ZPMW03!$A$1:$ZZ$501,$A402,AW$3)))</f>
        <v/>
      </c>
      <c r="AX402" s="124" t="str">
        <f>IF($B402="","",IF(AX$3=0,"n.b.",INDEX(SRC_ZPMW03!$A$1:$ZZ$501,$A402,AX$3)))</f>
        <v/>
      </c>
      <c r="AY402" s="124" t="str">
        <f>IF($B402="","",IF(AY$3=0,"n.b.",INDEX(SRC_ZPMW03!$A$1:$ZZ$501,$A402,AY$3)))</f>
        <v/>
      </c>
      <c r="AZ402" s="124" t="str">
        <f>IF($B402="","",IF(AZ$3=0,"n.b.",INDEX(SRC_ZPMW03!$A$1:$ZZ$501,$A402,AZ$3)))</f>
        <v/>
      </c>
      <c r="BA402" s="124" t="str">
        <f>IF($B402="","",IF(BA$3=0,"n.b.",INDEX(SRC_ZPMW03!$A$1:$ZZ$501,$A402,BA$3)))</f>
        <v/>
      </c>
      <c r="BB402" s="124" t="str">
        <f>IF($B402="","",IF(BB$3=0,"n.b.",INDEX(SRC_ZPMW03!$A$1:$ZZ$501,$A402,BB$3)))</f>
        <v/>
      </c>
      <c r="BC402" s="124" t="str">
        <f>IF($B402="","",IF(BC$3=0,"n.b.",INDEX(SRC_ZPMW03!$A$1:$ZZ$501,$A402,BC$3)))</f>
        <v/>
      </c>
      <c r="BD402" s="124" t="str">
        <f>IF($B402="","",IF(BD$3=0,"n.b.",INDEX(SRC_ZPMW03!$A$1:$ZZ$501,$A402,BD$3)))</f>
        <v/>
      </c>
      <c r="BE402" s="124" t="str">
        <f>IF($B402="","",IF(BE$3=0,"n.b.",INDEX(SRC_ZPMW03!$A$1:$ZZ$501,$A402,BE$3)))</f>
        <v/>
      </c>
      <c r="BF402" s="124" t="str">
        <f>IF($B402="","",IF(BF$3=0,"n.b.",INDEX(SRC_ZPMW03!$A$1:$ZZ$501,$A402,BF$3)))</f>
        <v/>
      </c>
      <c r="BG402" t="str">
        <f>IF($B402="","",IF(BG$3=0,"n.b.",INDEX(SRC_ZPMW03!$A$1:$ZZ$501,$A402,BG$3)))</f>
        <v/>
      </c>
      <c r="BH402" t="str">
        <f>IF($B402="","",IF(BH$3=0,"n.b.",INDEX(SRC_ZPMW03!$A$1:$ZZ$501,$A402,BH$3)))</f>
        <v/>
      </c>
      <c r="BI402" t="str">
        <f>IF($B402="","",IF(BI$3=0,"n.b.",INDEX(SRC_ZPMW03!$A$1:$ZZ$501,$A402,BI$3)))</f>
        <v/>
      </c>
      <c r="BJ402" t="str">
        <f>IF($B402="","",IF(BJ$3=0,"n.b.",INDEX(SRC_ZPMW03!$A$1:$ZZ$501,$A402,BJ$3)))</f>
        <v/>
      </c>
      <c r="BK402" s="124" t="str">
        <f>IF($B402="","",IFERROR(-O402,"n.b."))</f>
        <v/>
      </c>
      <c r="BL402" s="124" t="str">
        <f>IF($B402="","",IFERROR(-Q402,"n.b."))</f>
        <v/>
      </c>
      <c r="BM402" s="124" t="str">
        <f>IF($B402="","",IFERROR(-AB402,"n.b."))</f>
        <v/>
      </c>
      <c r="BN402" s="124" t="str">
        <f>IF($B402="","",IFERROR(-AD402,"n.b."))</f>
        <v/>
      </c>
      <c r="BO402" s="124" t="str">
        <f>IF($B402="","",IFERROR(BK402+BM402,"n.b."))</f>
        <v/>
      </c>
      <c r="BP402" s="124" t="str">
        <f>IF($B402="","",IFERROR(BL402+BN402,"n.b."))</f>
        <v/>
      </c>
      <c r="BQ402" s="124" t="str">
        <f>IF($B402="","",IFERROR(-AM402,"n.b."))</f>
        <v/>
      </c>
      <c r="BR402" s="124" t="str">
        <f>IF($B402="","",IFERROR(-AO402,"n.b."))</f>
        <v/>
      </c>
      <c r="BS402" s="124" t="str">
        <f>IF($B402="","",IFERROR(-Z402,"n.b."))</f>
        <v/>
      </c>
      <c r="BT402" s="124" t="str">
        <f>IF($B402="","",IFERROR(-AA402,"n.b."))</f>
        <v/>
      </c>
      <c r="BU402" s="124" t="str">
        <f>IF($B402="","",IFERROR(-AE402,"n.b."))</f>
        <v/>
      </c>
      <c r="BV402" s="124" t="str">
        <f>IF($B402="","",IFERROR(-AF402,"n.b."))</f>
        <v/>
      </c>
      <c r="BW402" s="124" t="str">
        <f>IF($B402="","",IFERROR(-AG402,"n.b."))</f>
        <v/>
      </c>
      <c r="BX402" s="124" t="str">
        <f>IF($B402="","",IFERROR(-AH402,"n.b."))</f>
        <v/>
      </c>
      <c r="BY402" s="124" t="str">
        <f>IF($B402="","",IFERROR(-AI402,"n.b."))</f>
        <v/>
      </c>
      <c r="BZ402" s="124" t="str">
        <f>IF($B402="","",IFERROR(-AJ402,"n.b."))</f>
        <v/>
      </c>
      <c r="CA402" s="124" t="str">
        <f>IF($B402="","",IFERROR(-AK402,"n.b."))</f>
        <v/>
      </c>
      <c r="CB402" s="124" t="str">
        <f>IF($B402="","",IFERROR(-AL402,"n.b."))</f>
        <v/>
      </c>
      <c r="CC402" s="124" t="str">
        <f>IF($B402="","",IFERROR(-AP402,"n.b."))</f>
        <v/>
      </c>
      <c r="CD402" s="124" t="str">
        <f>IF($B402="","",IFERROR(-AQ402,"n.b."))</f>
        <v/>
      </c>
      <c r="CE402" s="124" t="str">
        <f>IF($B402="","",IFERROR(-AR402,"n.b."))</f>
        <v/>
      </c>
      <c r="CF402" s="124" t="str">
        <f>IF($B402="","",IFERROR(-AS402,"n.b."))</f>
        <v/>
      </c>
      <c r="CG402" s="124" t="str">
        <f>IF($B402="","",IFERROR(-AT402,"n.b."))</f>
        <v/>
      </c>
      <c r="CH402" s="124" t="str">
        <f>IF($B402="","",IFERROR(-AU402,"n.b."))</f>
        <v/>
      </c>
      <c r="CI402" s="124" t="str">
        <f>IF($B402="","",IFERROR(-AV402,"n.b."))</f>
        <v/>
      </c>
      <c r="CJ402" s="124" t="str">
        <f>IF($B402="","",IFERROR(-AW402,"n.b."))</f>
        <v/>
      </c>
      <c r="CK402" s="124" t="str">
        <f>IF($B402="","",IFERROR(-AX402,"n.b."))</f>
        <v/>
      </c>
      <c r="CL402" s="124" t="str">
        <f>IF($B402="","",IFERROR(-AY402,"n.b."))</f>
        <v/>
      </c>
      <c r="CM402" s="124" t="str">
        <f>IF($B402="","",IFERROR(-AZ402,"n.b."))</f>
        <v/>
      </c>
      <c r="CN402" s="124" t="str">
        <f>IF($B402="","",IFERROR(-BA402,"n.b."))</f>
        <v/>
      </c>
      <c r="CO402" s="124" t="str">
        <f>IF($B402="","",IFERROR(-BB402,"n.b."))</f>
        <v/>
      </c>
      <c r="CP402" s="124" t="str">
        <f>IF($B402="","",IFERROR(-BC402,"n.b."))</f>
        <v/>
      </c>
      <c r="CQ402" s="124" t="str">
        <f>IF($B402="","",IFERROR(-BD402,"n.b."))</f>
        <v/>
      </c>
      <c r="CR402" s="124" t="str">
        <f>IF($B402="","",IFERROR(-BE402,"n.b."))</f>
        <v/>
      </c>
      <c r="CS402" s="124" t="str">
        <f>IF($B402="","",IFERROR(IF(OR(ABS(T402+V402+X402+Z402-AB402)&gt;P_Tol,ABS(U402+W402+Y402+AA402-AD402)&gt;P_Tol,ABS(AE402+AG402+AI402+AK402-AM402)&gt;P_Tol,ABS(AF402+AH402+AJ402+AL402-AO402)&gt;P_Tol),1,0),1))</f>
        <v/>
      </c>
      <c r="CT402" s="124" t="str">
        <f>IF($B402="","",IFERROR(IF(OR(ABS(AB402+AC402-AD402)&gt;P_Tol,ABS(AM402+AN402-AO402)&gt;P_Tol,ABS(O402+P402-Q402)&gt;P_Tol),1,0),1))</f>
        <v/>
      </c>
      <c r="CU402" s="124" t="str">
        <f>IF($B402="","",IFERROR(IF(ABS(R402-(AB402+AM402+AP402+AR402+AT402+AV402+AX402+AZ402+BB402+BD402))&gt;P_Tol,1,0),1))</f>
        <v/>
      </c>
      <c r="CV402" s="124" t="str">
        <f>IF($B402="","",IFERROR(IF(ABS(M402-(N402+O402+R402))&gt;P_Tol,1,0),1))</f>
        <v/>
      </c>
      <c r="CW402" s="124" t="str">
        <f>IF($B402="","",IF(COUNTIF(Mapping!$A$5:$A$104,B402)&gt;0,1,0))</f>
        <v/>
      </c>
      <c r="CX402" s="124" t="str">
        <f>IF($B402="","",COUNTIF($B$6:$B$505,B402))</f>
        <v/>
      </c>
      <c r="CY402" s="124" t="str">
        <f>IF($B402="","",COUNTIF(STG_Woningetalage!$B$6:$B$505,B402))</f>
        <v/>
      </c>
      <c r="CZ402" s="124" t="str">
        <f>IF($B402="","",IF(CW402=0,COUNTIF($CW$6:CW402,0),""))</f>
        <v/>
      </c>
    </row>
    <row r="403">
      <c r="A403" s="15" t="n">
        <v>399</v>
      </c>
      <c r="B403" t="str">
        <f>IF(B$3=0,"",IF(INDEX(SRC_ZPMW03!$A$1:$ZZ$501,$A403,B$3)&amp;""="","",INDEX(SRC_ZPMW03!$A$1:$ZZ$501,$A403,B$3)&amp;""))</f>
        <v/>
      </c>
      <c r="C403" t="str">
        <f>IF($B403="","",IF(C$3=0,"n.b.",INDEX(SRC_ZPMW03!$A$1:$ZZ$501,$A403,C$3)))</f>
        <v/>
      </c>
      <c r="D403" t="str">
        <f>IF($B403="","",IF(D$3=0,"n.b.",INDEX(SRC_ZPMW03!$A$1:$ZZ$501,$A403,D$3)))</f>
        <v/>
      </c>
      <c r="E403" t="str">
        <f>IF($B403="","",IF(E$3=0,"n.b.",INDEX(SRC_ZPMW03!$A$1:$ZZ$501,$A403,E$3)))</f>
        <v/>
      </c>
      <c r="F403" t="str">
        <f>IF($B403="","",IF(F$3=0,"n.b.",INDEX(SRC_ZPMW03!$A$1:$ZZ$501,$A403,F$3)))</f>
        <v/>
      </c>
      <c r="G403" t="str">
        <f>IF($B403="","",IF(G$3=0,"n.b.",INDEX(SRC_ZPMW03!$A$1:$ZZ$501,$A403,G$3)))</f>
        <v/>
      </c>
      <c r="H403" t="str">
        <f>IF($B403="","",IF(H$3=0,"n.b.",INDEX(SRC_ZPMW03!$A$1:$ZZ$501,$A403,H$3)))</f>
        <v/>
      </c>
      <c r="I403" t="str">
        <f>IF($B403="","",IF(I$3=0,"n.b.",INDEX(SRC_ZPMW03!$A$1:$ZZ$501,$A403,I$3)))</f>
        <v/>
      </c>
      <c r="J403" t="str">
        <f>IF($B403="","",IF(J$3=0,"n.b.",INDEX(SRC_ZPMW03!$A$1:$ZZ$501,$A403,J$3)))</f>
        <v/>
      </c>
      <c r="K403" t="str">
        <f>IF($B403="","",IF(K$3=0,"n.b.",INDEX(SRC_ZPMW03!$A$1:$ZZ$501,$A403,K$3)))</f>
        <v/>
      </c>
      <c r="L403" s="124" t="str">
        <f>IF($B403="","",IF(L$3=0,"n.b.",INDEX(SRC_ZPMW03!$A$1:$ZZ$501,$A403,L$3)))</f>
        <v/>
      </c>
      <c r="M403" s="124" t="str">
        <f>IF($B403="","",IF(M$3=0,"n.b.",INDEX(SRC_ZPMW03!$A$1:$ZZ$501,$A403,M$3)))</f>
        <v/>
      </c>
      <c r="N403" s="124" t="str">
        <f>IF($B403="","",IF(N$3=0,"n.b.",INDEX(SRC_ZPMW03!$A$1:$ZZ$501,$A403,N$3)))</f>
        <v/>
      </c>
      <c r="O403" s="124" t="str">
        <f>IF($B403="","",IF(O$3=0,"n.b.",INDEX(SRC_ZPMW03!$A$1:$ZZ$501,$A403,O$3)))</f>
        <v/>
      </c>
      <c r="P403" s="124" t="str">
        <f>IF($B403="","",IF(P$3=0,"n.b.",INDEX(SRC_ZPMW03!$A$1:$ZZ$501,$A403,P$3)))</f>
        <v/>
      </c>
      <c r="Q403" s="124" t="str">
        <f>IF($B403="","",IF(Q$3=0,"n.b.",INDEX(SRC_ZPMW03!$A$1:$ZZ$501,$A403,Q$3)))</f>
        <v/>
      </c>
      <c r="R403" s="124" t="str">
        <f>IF($B403="","",IF(R$3=0,"n.b.",INDEX(SRC_ZPMW03!$A$1:$ZZ$501,$A403,R$3)))</f>
        <v/>
      </c>
      <c r="S403" s="124" t="str">
        <f>IF($B403="","",IF(S$3=0,"n.b.",INDEX(SRC_ZPMW03!$A$1:$ZZ$501,$A403,S$3)))</f>
        <v/>
      </c>
      <c r="T403" s="124" t="str">
        <f>IF($B403="","",IF(T$3=0,"n.b.",INDEX(SRC_ZPMW03!$A$1:$ZZ$501,$A403,T$3)))</f>
        <v/>
      </c>
      <c r="U403" s="124" t="str">
        <f>IF($B403="","",IF(U$3=0,"n.b.",INDEX(SRC_ZPMW03!$A$1:$ZZ$501,$A403,U$3)))</f>
        <v/>
      </c>
      <c r="V403" s="124" t="str">
        <f>IF($B403="","",IF(V$3=0,"n.b.",INDEX(SRC_ZPMW03!$A$1:$ZZ$501,$A403,V$3)))</f>
        <v/>
      </c>
      <c r="W403" s="124" t="str">
        <f>IF($B403="","",IF(W$3=0,"n.b.",INDEX(SRC_ZPMW03!$A$1:$ZZ$501,$A403,W$3)))</f>
        <v/>
      </c>
      <c r="X403" s="124" t="str">
        <f>IF($B403="","",IF(X$3=0,"n.b.",INDEX(SRC_ZPMW03!$A$1:$ZZ$501,$A403,X$3)))</f>
        <v/>
      </c>
      <c r="Y403" s="124" t="str">
        <f>IF($B403="","",IF(Y$3=0,"n.b.",INDEX(SRC_ZPMW03!$A$1:$ZZ$501,$A403,Y$3)))</f>
        <v/>
      </c>
      <c r="Z403" s="124" t="str">
        <f>IF($B403="","",IF(Z$3=0,"n.b.",INDEX(SRC_ZPMW03!$A$1:$ZZ$501,$A403,Z$3)))</f>
        <v/>
      </c>
      <c r="AA403" s="124" t="str">
        <f>IF($B403="","",IF(AA$3=0,"n.b.",INDEX(SRC_ZPMW03!$A$1:$ZZ$501,$A403,AA$3)))</f>
        <v/>
      </c>
      <c r="AB403" s="124" t="str">
        <f>IF($B403="","",IF(AB$3=0,"n.b.",INDEX(SRC_ZPMW03!$A$1:$ZZ$501,$A403,AB$3)))</f>
        <v/>
      </c>
      <c r="AC403" s="124" t="str">
        <f>IF($B403="","",IF(AC$3=0,"n.b.",INDEX(SRC_ZPMW03!$A$1:$ZZ$501,$A403,AC$3)))</f>
        <v/>
      </c>
      <c r="AD403" s="124" t="str">
        <f>IF($B403="","",IF(AD$3=0,"n.b.",INDEX(SRC_ZPMW03!$A$1:$ZZ$501,$A403,AD$3)))</f>
        <v/>
      </c>
      <c r="AE403" s="124" t="str">
        <f>IF($B403="","",IF(AE$3=0,"n.b.",INDEX(SRC_ZPMW03!$A$1:$ZZ$501,$A403,AE$3)))</f>
        <v/>
      </c>
      <c r="AF403" s="124" t="str">
        <f>IF($B403="","",IF(AF$3=0,"n.b.",INDEX(SRC_ZPMW03!$A$1:$ZZ$501,$A403,AF$3)))</f>
        <v/>
      </c>
      <c r="AG403" s="124" t="str">
        <f>IF($B403="","",IF(AG$3=0,"n.b.",INDEX(SRC_ZPMW03!$A$1:$ZZ$501,$A403,AG$3)))</f>
        <v/>
      </c>
      <c r="AH403" s="124" t="str">
        <f>IF($B403="","",IF(AH$3=0,"n.b.",INDEX(SRC_ZPMW03!$A$1:$ZZ$501,$A403,AH$3)))</f>
        <v/>
      </c>
      <c r="AI403" s="124" t="str">
        <f>IF($B403="","",IF(AI$3=0,"n.b.",INDEX(SRC_ZPMW03!$A$1:$ZZ$501,$A403,AI$3)))</f>
        <v/>
      </c>
      <c r="AJ403" s="124" t="str">
        <f>IF($B403="","",IF(AJ$3=0,"n.b.",INDEX(SRC_ZPMW03!$A$1:$ZZ$501,$A403,AJ$3)))</f>
        <v/>
      </c>
      <c r="AK403" s="124" t="str">
        <f>IF($B403="","",IF(AK$3=0,"n.b.",INDEX(SRC_ZPMW03!$A$1:$ZZ$501,$A403,AK$3)))</f>
        <v/>
      </c>
      <c r="AL403" s="124" t="str">
        <f>IF($B403="","",IF(AL$3=0,"n.b.",INDEX(SRC_ZPMW03!$A$1:$ZZ$501,$A403,AL$3)))</f>
        <v/>
      </c>
      <c r="AM403" s="124" t="str">
        <f>IF($B403="","",IF(AM$3=0,"n.b.",INDEX(SRC_ZPMW03!$A$1:$ZZ$501,$A403,AM$3)))</f>
        <v/>
      </c>
      <c r="AN403" s="124" t="str">
        <f>IF($B403="","",IF(AN$3=0,"n.b.",INDEX(SRC_ZPMW03!$A$1:$ZZ$501,$A403,AN$3)))</f>
        <v/>
      </c>
      <c r="AO403" s="124" t="str">
        <f>IF($B403="","",IF(AO$3=0,"n.b.",INDEX(SRC_ZPMW03!$A$1:$ZZ$501,$A403,AO$3)))</f>
        <v/>
      </c>
      <c r="AP403" s="124" t="str">
        <f>IF($B403="","",IF(AP$3=0,"n.b.",INDEX(SRC_ZPMW03!$A$1:$ZZ$501,$A403,AP$3)))</f>
        <v/>
      </c>
      <c r="AQ403" s="124" t="str">
        <f>IF($B403="","",IF(AQ$3=0,"n.b.",INDEX(SRC_ZPMW03!$A$1:$ZZ$501,$A403,AQ$3)))</f>
        <v/>
      </c>
      <c r="AR403" s="124" t="str">
        <f>IF($B403="","",IF(AR$3=0,"n.b.",INDEX(SRC_ZPMW03!$A$1:$ZZ$501,$A403,AR$3)))</f>
        <v/>
      </c>
      <c r="AS403" s="124" t="str">
        <f>IF($B403="","",IF(AS$3=0,"n.b.",INDEX(SRC_ZPMW03!$A$1:$ZZ$501,$A403,AS$3)))</f>
        <v/>
      </c>
      <c r="AT403" s="124" t="str">
        <f>IF($B403="","",IF(AT$3=0,"n.b.",INDEX(SRC_ZPMW03!$A$1:$ZZ$501,$A403,AT$3)))</f>
        <v/>
      </c>
      <c r="AU403" s="124" t="str">
        <f>IF($B403="","",IF(AU$3=0,"n.b.",INDEX(SRC_ZPMW03!$A$1:$ZZ$501,$A403,AU$3)))</f>
        <v/>
      </c>
      <c r="AV403" s="124" t="str">
        <f>IF($B403="","",IF(AV$3=0,"n.b.",INDEX(SRC_ZPMW03!$A$1:$ZZ$501,$A403,AV$3)))</f>
        <v/>
      </c>
      <c r="AW403" s="124" t="str">
        <f>IF($B403="","",IF(AW$3=0,"n.b.",INDEX(SRC_ZPMW03!$A$1:$ZZ$501,$A403,AW$3)))</f>
        <v/>
      </c>
      <c r="AX403" s="124" t="str">
        <f>IF($B403="","",IF(AX$3=0,"n.b.",INDEX(SRC_ZPMW03!$A$1:$ZZ$501,$A403,AX$3)))</f>
        <v/>
      </c>
      <c r="AY403" s="124" t="str">
        <f>IF($B403="","",IF(AY$3=0,"n.b.",INDEX(SRC_ZPMW03!$A$1:$ZZ$501,$A403,AY$3)))</f>
        <v/>
      </c>
      <c r="AZ403" s="124" t="str">
        <f>IF($B403="","",IF(AZ$3=0,"n.b.",INDEX(SRC_ZPMW03!$A$1:$ZZ$501,$A403,AZ$3)))</f>
        <v/>
      </c>
      <c r="BA403" s="124" t="str">
        <f>IF($B403="","",IF(BA$3=0,"n.b.",INDEX(SRC_ZPMW03!$A$1:$ZZ$501,$A403,BA$3)))</f>
        <v/>
      </c>
      <c r="BB403" s="124" t="str">
        <f>IF($B403="","",IF(BB$3=0,"n.b.",INDEX(SRC_ZPMW03!$A$1:$ZZ$501,$A403,BB$3)))</f>
        <v/>
      </c>
      <c r="BC403" s="124" t="str">
        <f>IF($B403="","",IF(BC$3=0,"n.b.",INDEX(SRC_ZPMW03!$A$1:$ZZ$501,$A403,BC$3)))</f>
        <v/>
      </c>
      <c r="BD403" s="124" t="str">
        <f>IF($B403="","",IF(BD$3=0,"n.b.",INDEX(SRC_ZPMW03!$A$1:$ZZ$501,$A403,BD$3)))</f>
        <v/>
      </c>
      <c r="BE403" s="124" t="str">
        <f>IF($B403="","",IF(BE$3=0,"n.b.",INDEX(SRC_ZPMW03!$A$1:$ZZ$501,$A403,BE$3)))</f>
        <v/>
      </c>
      <c r="BF403" s="124" t="str">
        <f>IF($B403="","",IF(BF$3=0,"n.b.",INDEX(SRC_ZPMW03!$A$1:$ZZ$501,$A403,BF$3)))</f>
        <v/>
      </c>
      <c r="BG403" t="str">
        <f>IF($B403="","",IF(BG$3=0,"n.b.",INDEX(SRC_ZPMW03!$A$1:$ZZ$501,$A403,BG$3)))</f>
        <v/>
      </c>
      <c r="BH403" t="str">
        <f>IF($B403="","",IF(BH$3=0,"n.b.",INDEX(SRC_ZPMW03!$A$1:$ZZ$501,$A403,BH$3)))</f>
        <v/>
      </c>
      <c r="BI403" t="str">
        <f>IF($B403="","",IF(BI$3=0,"n.b.",INDEX(SRC_ZPMW03!$A$1:$ZZ$501,$A403,BI$3)))</f>
        <v/>
      </c>
      <c r="BJ403" t="str">
        <f>IF($B403="","",IF(BJ$3=0,"n.b.",INDEX(SRC_ZPMW03!$A$1:$ZZ$501,$A403,BJ$3)))</f>
        <v/>
      </c>
      <c r="BK403" s="124" t="str">
        <f>IF($B403="","",IFERROR(-O403,"n.b."))</f>
        <v/>
      </c>
      <c r="BL403" s="124" t="str">
        <f>IF($B403="","",IFERROR(-Q403,"n.b."))</f>
        <v/>
      </c>
      <c r="BM403" s="124" t="str">
        <f>IF($B403="","",IFERROR(-AB403,"n.b."))</f>
        <v/>
      </c>
      <c r="BN403" s="124" t="str">
        <f>IF($B403="","",IFERROR(-AD403,"n.b."))</f>
        <v/>
      </c>
      <c r="BO403" s="124" t="str">
        <f>IF($B403="","",IFERROR(BK403+BM403,"n.b."))</f>
        <v/>
      </c>
      <c r="BP403" s="124" t="str">
        <f>IF($B403="","",IFERROR(BL403+BN403,"n.b."))</f>
        <v/>
      </c>
      <c r="BQ403" s="124" t="str">
        <f>IF($B403="","",IFERROR(-AM403,"n.b."))</f>
        <v/>
      </c>
      <c r="BR403" s="124" t="str">
        <f>IF($B403="","",IFERROR(-AO403,"n.b."))</f>
        <v/>
      </c>
      <c r="BS403" s="124" t="str">
        <f>IF($B403="","",IFERROR(-Z403,"n.b."))</f>
        <v/>
      </c>
      <c r="BT403" s="124" t="str">
        <f>IF($B403="","",IFERROR(-AA403,"n.b."))</f>
        <v/>
      </c>
      <c r="BU403" s="124" t="str">
        <f>IF($B403="","",IFERROR(-AE403,"n.b."))</f>
        <v/>
      </c>
      <c r="BV403" s="124" t="str">
        <f>IF($B403="","",IFERROR(-AF403,"n.b."))</f>
        <v/>
      </c>
      <c r="BW403" s="124" t="str">
        <f>IF($B403="","",IFERROR(-AG403,"n.b."))</f>
        <v/>
      </c>
      <c r="BX403" s="124" t="str">
        <f>IF($B403="","",IFERROR(-AH403,"n.b."))</f>
        <v/>
      </c>
      <c r="BY403" s="124" t="str">
        <f>IF($B403="","",IFERROR(-AI403,"n.b."))</f>
        <v/>
      </c>
      <c r="BZ403" s="124" t="str">
        <f>IF($B403="","",IFERROR(-AJ403,"n.b."))</f>
        <v/>
      </c>
      <c r="CA403" s="124" t="str">
        <f>IF($B403="","",IFERROR(-AK403,"n.b."))</f>
        <v/>
      </c>
      <c r="CB403" s="124" t="str">
        <f>IF($B403="","",IFERROR(-AL403,"n.b."))</f>
        <v/>
      </c>
      <c r="CC403" s="124" t="str">
        <f>IF($B403="","",IFERROR(-AP403,"n.b."))</f>
        <v/>
      </c>
      <c r="CD403" s="124" t="str">
        <f>IF($B403="","",IFERROR(-AQ403,"n.b."))</f>
        <v/>
      </c>
      <c r="CE403" s="124" t="str">
        <f>IF($B403="","",IFERROR(-AR403,"n.b."))</f>
        <v/>
      </c>
      <c r="CF403" s="124" t="str">
        <f>IF($B403="","",IFERROR(-AS403,"n.b."))</f>
        <v/>
      </c>
      <c r="CG403" s="124" t="str">
        <f>IF($B403="","",IFERROR(-AT403,"n.b."))</f>
        <v/>
      </c>
      <c r="CH403" s="124" t="str">
        <f>IF($B403="","",IFERROR(-AU403,"n.b."))</f>
        <v/>
      </c>
      <c r="CI403" s="124" t="str">
        <f>IF($B403="","",IFERROR(-AV403,"n.b."))</f>
        <v/>
      </c>
      <c r="CJ403" s="124" t="str">
        <f>IF($B403="","",IFERROR(-AW403,"n.b."))</f>
        <v/>
      </c>
      <c r="CK403" s="124" t="str">
        <f>IF($B403="","",IFERROR(-AX403,"n.b."))</f>
        <v/>
      </c>
      <c r="CL403" s="124" t="str">
        <f>IF($B403="","",IFERROR(-AY403,"n.b."))</f>
        <v/>
      </c>
      <c r="CM403" s="124" t="str">
        <f>IF($B403="","",IFERROR(-AZ403,"n.b."))</f>
        <v/>
      </c>
      <c r="CN403" s="124" t="str">
        <f>IF($B403="","",IFERROR(-BA403,"n.b."))</f>
        <v/>
      </c>
      <c r="CO403" s="124" t="str">
        <f>IF($B403="","",IFERROR(-BB403,"n.b."))</f>
        <v/>
      </c>
      <c r="CP403" s="124" t="str">
        <f>IF($B403="","",IFERROR(-BC403,"n.b."))</f>
        <v/>
      </c>
      <c r="CQ403" s="124" t="str">
        <f>IF($B403="","",IFERROR(-BD403,"n.b."))</f>
        <v/>
      </c>
      <c r="CR403" s="124" t="str">
        <f>IF($B403="","",IFERROR(-BE403,"n.b."))</f>
        <v/>
      </c>
      <c r="CS403" s="124" t="str">
        <f>IF($B403="","",IFERROR(IF(OR(ABS(T403+V403+X403+Z403-AB403)&gt;P_Tol,ABS(U403+W403+Y403+AA403-AD403)&gt;P_Tol,ABS(AE403+AG403+AI403+AK403-AM403)&gt;P_Tol,ABS(AF403+AH403+AJ403+AL403-AO403)&gt;P_Tol),1,0),1))</f>
        <v/>
      </c>
      <c r="CT403" s="124" t="str">
        <f>IF($B403="","",IFERROR(IF(OR(ABS(AB403+AC403-AD403)&gt;P_Tol,ABS(AM403+AN403-AO403)&gt;P_Tol,ABS(O403+P403-Q403)&gt;P_Tol),1,0),1))</f>
        <v/>
      </c>
      <c r="CU403" s="124" t="str">
        <f>IF($B403="","",IFERROR(IF(ABS(R403-(AB403+AM403+AP403+AR403+AT403+AV403+AX403+AZ403+BB403+BD403))&gt;P_Tol,1,0),1))</f>
        <v/>
      </c>
      <c r="CV403" s="124" t="str">
        <f>IF($B403="","",IFERROR(IF(ABS(M403-(N403+O403+R403))&gt;P_Tol,1,0),1))</f>
        <v/>
      </c>
      <c r="CW403" s="124" t="str">
        <f>IF($B403="","",IF(COUNTIF(Mapping!$A$5:$A$104,B403)&gt;0,1,0))</f>
        <v/>
      </c>
      <c r="CX403" s="124" t="str">
        <f>IF($B403="","",COUNTIF($B$6:$B$505,B403))</f>
        <v/>
      </c>
      <c r="CY403" s="124" t="str">
        <f>IF($B403="","",COUNTIF(STG_Woningetalage!$B$6:$B$505,B403))</f>
        <v/>
      </c>
      <c r="CZ403" s="124" t="str">
        <f>IF($B403="","",IF(CW403=0,COUNTIF($CW$6:CW403,0),""))</f>
        <v/>
      </c>
    </row>
    <row r="404">
      <c r="A404" s="15" t="n">
        <v>400</v>
      </c>
      <c r="B404" t="str">
        <f>IF(B$3=0,"",IF(INDEX(SRC_ZPMW03!$A$1:$ZZ$501,$A404,B$3)&amp;""="","",INDEX(SRC_ZPMW03!$A$1:$ZZ$501,$A404,B$3)&amp;""))</f>
        <v/>
      </c>
      <c r="C404" t="str">
        <f>IF($B404="","",IF(C$3=0,"n.b.",INDEX(SRC_ZPMW03!$A$1:$ZZ$501,$A404,C$3)))</f>
        <v/>
      </c>
      <c r="D404" t="str">
        <f>IF($B404="","",IF(D$3=0,"n.b.",INDEX(SRC_ZPMW03!$A$1:$ZZ$501,$A404,D$3)))</f>
        <v/>
      </c>
      <c r="E404" t="str">
        <f>IF($B404="","",IF(E$3=0,"n.b.",INDEX(SRC_ZPMW03!$A$1:$ZZ$501,$A404,E$3)))</f>
        <v/>
      </c>
      <c r="F404" t="str">
        <f>IF($B404="","",IF(F$3=0,"n.b.",INDEX(SRC_ZPMW03!$A$1:$ZZ$501,$A404,F$3)))</f>
        <v/>
      </c>
      <c r="G404" t="str">
        <f>IF($B404="","",IF(G$3=0,"n.b.",INDEX(SRC_ZPMW03!$A$1:$ZZ$501,$A404,G$3)))</f>
        <v/>
      </c>
      <c r="H404" t="str">
        <f>IF($B404="","",IF(H$3=0,"n.b.",INDEX(SRC_ZPMW03!$A$1:$ZZ$501,$A404,H$3)))</f>
        <v/>
      </c>
      <c r="I404" t="str">
        <f>IF($B404="","",IF(I$3=0,"n.b.",INDEX(SRC_ZPMW03!$A$1:$ZZ$501,$A404,I$3)))</f>
        <v/>
      </c>
      <c r="J404" t="str">
        <f>IF($B404="","",IF(J$3=0,"n.b.",INDEX(SRC_ZPMW03!$A$1:$ZZ$501,$A404,J$3)))</f>
        <v/>
      </c>
      <c r="K404" t="str">
        <f>IF($B404="","",IF(K$3=0,"n.b.",INDEX(SRC_ZPMW03!$A$1:$ZZ$501,$A404,K$3)))</f>
        <v/>
      </c>
      <c r="L404" s="124" t="str">
        <f>IF($B404="","",IF(L$3=0,"n.b.",INDEX(SRC_ZPMW03!$A$1:$ZZ$501,$A404,L$3)))</f>
        <v/>
      </c>
      <c r="M404" s="124" t="str">
        <f>IF($B404="","",IF(M$3=0,"n.b.",INDEX(SRC_ZPMW03!$A$1:$ZZ$501,$A404,M$3)))</f>
        <v/>
      </c>
      <c r="N404" s="124" t="str">
        <f>IF($B404="","",IF(N$3=0,"n.b.",INDEX(SRC_ZPMW03!$A$1:$ZZ$501,$A404,N$3)))</f>
        <v/>
      </c>
      <c r="O404" s="124" t="str">
        <f>IF($B404="","",IF(O$3=0,"n.b.",INDEX(SRC_ZPMW03!$A$1:$ZZ$501,$A404,O$3)))</f>
        <v/>
      </c>
      <c r="P404" s="124" t="str">
        <f>IF($B404="","",IF(P$3=0,"n.b.",INDEX(SRC_ZPMW03!$A$1:$ZZ$501,$A404,P$3)))</f>
        <v/>
      </c>
      <c r="Q404" s="124" t="str">
        <f>IF($B404="","",IF(Q$3=0,"n.b.",INDEX(SRC_ZPMW03!$A$1:$ZZ$501,$A404,Q$3)))</f>
        <v/>
      </c>
      <c r="R404" s="124" t="str">
        <f>IF($B404="","",IF(R$3=0,"n.b.",INDEX(SRC_ZPMW03!$A$1:$ZZ$501,$A404,R$3)))</f>
        <v/>
      </c>
      <c r="S404" s="124" t="str">
        <f>IF($B404="","",IF(S$3=0,"n.b.",INDEX(SRC_ZPMW03!$A$1:$ZZ$501,$A404,S$3)))</f>
        <v/>
      </c>
      <c r="T404" s="124" t="str">
        <f>IF($B404="","",IF(T$3=0,"n.b.",INDEX(SRC_ZPMW03!$A$1:$ZZ$501,$A404,T$3)))</f>
        <v/>
      </c>
      <c r="U404" s="124" t="str">
        <f>IF($B404="","",IF(U$3=0,"n.b.",INDEX(SRC_ZPMW03!$A$1:$ZZ$501,$A404,U$3)))</f>
        <v/>
      </c>
      <c r="V404" s="124" t="str">
        <f>IF($B404="","",IF(V$3=0,"n.b.",INDEX(SRC_ZPMW03!$A$1:$ZZ$501,$A404,V$3)))</f>
        <v/>
      </c>
      <c r="W404" s="124" t="str">
        <f>IF($B404="","",IF(W$3=0,"n.b.",INDEX(SRC_ZPMW03!$A$1:$ZZ$501,$A404,W$3)))</f>
        <v/>
      </c>
      <c r="X404" s="124" t="str">
        <f>IF($B404="","",IF(X$3=0,"n.b.",INDEX(SRC_ZPMW03!$A$1:$ZZ$501,$A404,X$3)))</f>
        <v/>
      </c>
      <c r="Y404" s="124" t="str">
        <f>IF($B404="","",IF(Y$3=0,"n.b.",INDEX(SRC_ZPMW03!$A$1:$ZZ$501,$A404,Y$3)))</f>
        <v/>
      </c>
      <c r="Z404" s="124" t="str">
        <f>IF($B404="","",IF(Z$3=0,"n.b.",INDEX(SRC_ZPMW03!$A$1:$ZZ$501,$A404,Z$3)))</f>
        <v/>
      </c>
      <c r="AA404" s="124" t="str">
        <f>IF($B404="","",IF(AA$3=0,"n.b.",INDEX(SRC_ZPMW03!$A$1:$ZZ$501,$A404,AA$3)))</f>
        <v/>
      </c>
      <c r="AB404" s="124" t="str">
        <f>IF($B404="","",IF(AB$3=0,"n.b.",INDEX(SRC_ZPMW03!$A$1:$ZZ$501,$A404,AB$3)))</f>
        <v/>
      </c>
      <c r="AC404" s="124" t="str">
        <f>IF($B404="","",IF(AC$3=0,"n.b.",INDEX(SRC_ZPMW03!$A$1:$ZZ$501,$A404,AC$3)))</f>
        <v/>
      </c>
      <c r="AD404" s="124" t="str">
        <f>IF($B404="","",IF(AD$3=0,"n.b.",INDEX(SRC_ZPMW03!$A$1:$ZZ$501,$A404,AD$3)))</f>
        <v/>
      </c>
      <c r="AE404" s="124" t="str">
        <f>IF($B404="","",IF(AE$3=0,"n.b.",INDEX(SRC_ZPMW03!$A$1:$ZZ$501,$A404,AE$3)))</f>
        <v/>
      </c>
      <c r="AF404" s="124" t="str">
        <f>IF($B404="","",IF(AF$3=0,"n.b.",INDEX(SRC_ZPMW03!$A$1:$ZZ$501,$A404,AF$3)))</f>
        <v/>
      </c>
      <c r="AG404" s="124" t="str">
        <f>IF($B404="","",IF(AG$3=0,"n.b.",INDEX(SRC_ZPMW03!$A$1:$ZZ$501,$A404,AG$3)))</f>
        <v/>
      </c>
      <c r="AH404" s="124" t="str">
        <f>IF($B404="","",IF(AH$3=0,"n.b.",INDEX(SRC_ZPMW03!$A$1:$ZZ$501,$A404,AH$3)))</f>
        <v/>
      </c>
      <c r="AI404" s="124" t="str">
        <f>IF($B404="","",IF(AI$3=0,"n.b.",INDEX(SRC_ZPMW03!$A$1:$ZZ$501,$A404,AI$3)))</f>
        <v/>
      </c>
      <c r="AJ404" s="124" t="str">
        <f>IF($B404="","",IF(AJ$3=0,"n.b.",INDEX(SRC_ZPMW03!$A$1:$ZZ$501,$A404,AJ$3)))</f>
        <v/>
      </c>
      <c r="AK404" s="124" t="str">
        <f>IF($B404="","",IF(AK$3=0,"n.b.",INDEX(SRC_ZPMW03!$A$1:$ZZ$501,$A404,AK$3)))</f>
        <v/>
      </c>
      <c r="AL404" s="124" t="str">
        <f>IF($B404="","",IF(AL$3=0,"n.b.",INDEX(SRC_ZPMW03!$A$1:$ZZ$501,$A404,AL$3)))</f>
        <v/>
      </c>
      <c r="AM404" s="124" t="str">
        <f>IF($B404="","",IF(AM$3=0,"n.b.",INDEX(SRC_ZPMW03!$A$1:$ZZ$501,$A404,AM$3)))</f>
        <v/>
      </c>
      <c r="AN404" s="124" t="str">
        <f>IF($B404="","",IF(AN$3=0,"n.b.",INDEX(SRC_ZPMW03!$A$1:$ZZ$501,$A404,AN$3)))</f>
        <v/>
      </c>
      <c r="AO404" s="124" t="str">
        <f>IF($B404="","",IF(AO$3=0,"n.b.",INDEX(SRC_ZPMW03!$A$1:$ZZ$501,$A404,AO$3)))</f>
        <v/>
      </c>
      <c r="AP404" s="124" t="str">
        <f>IF($B404="","",IF(AP$3=0,"n.b.",INDEX(SRC_ZPMW03!$A$1:$ZZ$501,$A404,AP$3)))</f>
        <v/>
      </c>
      <c r="AQ404" s="124" t="str">
        <f>IF($B404="","",IF(AQ$3=0,"n.b.",INDEX(SRC_ZPMW03!$A$1:$ZZ$501,$A404,AQ$3)))</f>
        <v/>
      </c>
      <c r="AR404" s="124" t="str">
        <f>IF($B404="","",IF(AR$3=0,"n.b.",INDEX(SRC_ZPMW03!$A$1:$ZZ$501,$A404,AR$3)))</f>
        <v/>
      </c>
      <c r="AS404" s="124" t="str">
        <f>IF($B404="","",IF(AS$3=0,"n.b.",INDEX(SRC_ZPMW03!$A$1:$ZZ$501,$A404,AS$3)))</f>
        <v/>
      </c>
      <c r="AT404" s="124" t="str">
        <f>IF($B404="","",IF(AT$3=0,"n.b.",INDEX(SRC_ZPMW03!$A$1:$ZZ$501,$A404,AT$3)))</f>
        <v/>
      </c>
      <c r="AU404" s="124" t="str">
        <f>IF($B404="","",IF(AU$3=0,"n.b.",INDEX(SRC_ZPMW03!$A$1:$ZZ$501,$A404,AU$3)))</f>
        <v/>
      </c>
      <c r="AV404" s="124" t="str">
        <f>IF($B404="","",IF(AV$3=0,"n.b.",INDEX(SRC_ZPMW03!$A$1:$ZZ$501,$A404,AV$3)))</f>
        <v/>
      </c>
      <c r="AW404" s="124" t="str">
        <f>IF($B404="","",IF(AW$3=0,"n.b.",INDEX(SRC_ZPMW03!$A$1:$ZZ$501,$A404,AW$3)))</f>
        <v/>
      </c>
      <c r="AX404" s="124" t="str">
        <f>IF($B404="","",IF(AX$3=0,"n.b.",INDEX(SRC_ZPMW03!$A$1:$ZZ$501,$A404,AX$3)))</f>
        <v/>
      </c>
      <c r="AY404" s="124" t="str">
        <f>IF($B404="","",IF(AY$3=0,"n.b.",INDEX(SRC_ZPMW03!$A$1:$ZZ$501,$A404,AY$3)))</f>
        <v/>
      </c>
      <c r="AZ404" s="124" t="str">
        <f>IF($B404="","",IF(AZ$3=0,"n.b.",INDEX(SRC_ZPMW03!$A$1:$ZZ$501,$A404,AZ$3)))</f>
        <v/>
      </c>
      <c r="BA404" s="124" t="str">
        <f>IF($B404="","",IF(BA$3=0,"n.b.",INDEX(SRC_ZPMW03!$A$1:$ZZ$501,$A404,BA$3)))</f>
        <v/>
      </c>
      <c r="BB404" s="124" t="str">
        <f>IF($B404="","",IF(BB$3=0,"n.b.",INDEX(SRC_ZPMW03!$A$1:$ZZ$501,$A404,BB$3)))</f>
        <v/>
      </c>
      <c r="BC404" s="124" t="str">
        <f>IF($B404="","",IF(BC$3=0,"n.b.",INDEX(SRC_ZPMW03!$A$1:$ZZ$501,$A404,BC$3)))</f>
        <v/>
      </c>
      <c r="BD404" s="124" t="str">
        <f>IF($B404="","",IF(BD$3=0,"n.b.",INDEX(SRC_ZPMW03!$A$1:$ZZ$501,$A404,BD$3)))</f>
        <v/>
      </c>
      <c r="BE404" s="124" t="str">
        <f>IF($B404="","",IF(BE$3=0,"n.b.",INDEX(SRC_ZPMW03!$A$1:$ZZ$501,$A404,BE$3)))</f>
        <v/>
      </c>
      <c r="BF404" s="124" t="str">
        <f>IF($B404="","",IF(BF$3=0,"n.b.",INDEX(SRC_ZPMW03!$A$1:$ZZ$501,$A404,BF$3)))</f>
        <v/>
      </c>
      <c r="BG404" t="str">
        <f>IF($B404="","",IF(BG$3=0,"n.b.",INDEX(SRC_ZPMW03!$A$1:$ZZ$501,$A404,BG$3)))</f>
        <v/>
      </c>
      <c r="BH404" t="str">
        <f>IF($B404="","",IF(BH$3=0,"n.b.",INDEX(SRC_ZPMW03!$A$1:$ZZ$501,$A404,BH$3)))</f>
        <v/>
      </c>
      <c r="BI404" t="str">
        <f>IF($B404="","",IF(BI$3=0,"n.b.",INDEX(SRC_ZPMW03!$A$1:$ZZ$501,$A404,BI$3)))</f>
        <v/>
      </c>
      <c r="BJ404" t="str">
        <f>IF($B404="","",IF(BJ$3=0,"n.b.",INDEX(SRC_ZPMW03!$A$1:$ZZ$501,$A404,BJ$3)))</f>
        <v/>
      </c>
      <c r="BK404" s="124" t="str">
        <f>IF($B404="","",IFERROR(-O404,"n.b."))</f>
        <v/>
      </c>
      <c r="BL404" s="124" t="str">
        <f>IF($B404="","",IFERROR(-Q404,"n.b."))</f>
        <v/>
      </c>
      <c r="BM404" s="124" t="str">
        <f>IF($B404="","",IFERROR(-AB404,"n.b."))</f>
        <v/>
      </c>
      <c r="BN404" s="124" t="str">
        <f>IF($B404="","",IFERROR(-AD404,"n.b."))</f>
        <v/>
      </c>
      <c r="BO404" s="124" t="str">
        <f>IF($B404="","",IFERROR(BK404+BM404,"n.b."))</f>
        <v/>
      </c>
      <c r="BP404" s="124" t="str">
        <f>IF($B404="","",IFERROR(BL404+BN404,"n.b."))</f>
        <v/>
      </c>
      <c r="BQ404" s="124" t="str">
        <f>IF($B404="","",IFERROR(-AM404,"n.b."))</f>
        <v/>
      </c>
      <c r="BR404" s="124" t="str">
        <f>IF($B404="","",IFERROR(-AO404,"n.b."))</f>
        <v/>
      </c>
      <c r="BS404" s="124" t="str">
        <f>IF($B404="","",IFERROR(-Z404,"n.b."))</f>
        <v/>
      </c>
      <c r="BT404" s="124" t="str">
        <f>IF($B404="","",IFERROR(-AA404,"n.b."))</f>
        <v/>
      </c>
      <c r="BU404" s="124" t="str">
        <f>IF($B404="","",IFERROR(-AE404,"n.b."))</f>
        <v/>
      </c>
      <c r="BV404" s="124" t="str">
        <f>IF($B404="","",IFERROR(-AF404,"n.b."))</f>
        <v/>
      </c>
      <c r="BW404" s="124" t="str">
        <f>IF($B404="","",IFERROR(-AG404,"n.b."))</f>
        <v/>
      </c>
      <c r="BX404" s="124" t="str">
        <f>IF($B404="","",IFERROR(-AH404,"n.b."))</f>
        <v/>
      </c>
      <c r="BY404" s="124" t="str">
        <f>IF($B404="","",IFERROR(-AI404,"n.b."))</f>
        <v/>
      </c>
      <c r="BZ404" s="124" t="str">
        <f>IF($B404="","",IFERROR(-AJ404,"n.b."))</f>
        <v/>
      </c>
      <c r="CA404" s="124" t="str">
        <f>IF($B404="","",IFERROR(-AK404,"n.b."))</f>
        <v/>
      </c>
      <c r="CB404" s="124" t="str">
        <f>IF($B404="","",IFERROR(-AL404,"n.b."))</f>
        <v/>
      </c>
      <c r="CC404" s="124" t="str">
        <f>IF($B404="","",IFERROR(-AP404,"n.b."))</f>
        <v/>
      </c>
      <c r="CD404" s="124" t="str">
        <f>IF($B404="","",IFERROR(-AQ404,"n.b."))</f>
        <v/>
      </c>
      <c r="CE404" s="124" t="str">
        <f>IF($B404="","",IFERROR(-AR404,"n.b."))</f>
        <v/>
      </c>
      <c r="CF404" s="124" t="str">
        <f>IF($B404="","",IFERROR(-AS404,"n.b."))</f>
        <v/>
      </c>
      <c r="CG404" s="124" t="str">
        <f>IF($B404="","",IFERROR(-AT404,"n.b."))</f>
        <v/>
      </c>
      <c r="CH404" s="124" t="str">
        <f>IF($B404="","",IFERROR(-AU404,"n.b."))</f>
        <v/>
      </c>
      <c r="CI404" s="124" t="str">
        <f>IF($B404="","",IFERROR(-AV404,"n.b."))</f>
        <v/>
      </c>
      <c r="CJ404" s="124" t="str">
        <f>IF($B404="","",IFERROR(-AW404,"n.b."))</f>
        <v/>
      </c>
      <c r="CK404" s="124" t="str">
        <f>IF($B404="","",IFERROR(-AX404,"n.b."))</f>
        <v/>
      </c>
      <c r="CL404" s="124" t="str">
        <f>IF($B404="","",IFERROR(-AY404,"n.b."))</f>
        <v/>
      </c>
      <c r="CM404" s="124" t="str">
        <f>IF($B404="","",IFERROR(-AZ404,"n.b."))</f>
        <v/>
      </c>
      <c r="CN404" s="124" t="str">
        <f>IF($B404="","",IFERROR(-BA404,"n.b."))</f>
        <v/>
      </c>
      <c r="CO404" s="124" t="str">
        <f>IF($B404="","",IFERROR(-BB404,"n.b."))</f>
        <v/>
      </c>
      <c r="CP404" s="124" t="str">
        <f>IF($B404="","",IFERROR(-BC404,"n.b."))</f>
        <v/>
      </c>
      <c r="CQ404" s="124" t="str">
        <f>IF($B404="","",IFERROR(-BD404,"n.b."))</f>
        <v/>
      </c>
      <c r="CR404" s="124" t="str">
        <f>IF($B404="","",IFERROR(-BE404,"n.b."))</f>
        <v/>
      </c>
      <c r="CS404" s="124" t="str">
        <f>IF($B404="","",IFERROR(IF(OR(ABS(T404+V404+X404+Z404-AB404)&gt;P_Tol,ABS(U404+W404+Y404+AA404-AD404)&gt;P_Tol,ABS(AE404+AG404+AI404+AK404-AM404)&gt;P_Tol,ABS(AF404+AH404+AJ404+AL404-AO404)&gt;P_Tol),1,0),1))</f>
        <v/>
      </c>
      <c r="CT404" s="124" t="str">
        <f>IF($B404="","",IFERROR(IF(OR(ABS(AB404+AC404-AD404)&gt;P_Tol,ABS(AM404+AN404-AO404)&gt;P_Tol,ABS(O404+P404-Q404)&gt;P_Tol),1,0),1))</f>
        <v/>
      </c>
      <c r="CU404" s="124" t="str">
        <f>IF($B404="","",IFERROR(IF(ABS(R404-(AB404+AM404+AP404+AR404+AT404+AV404+AX404+AZ404+BB404+BD404))&gt;P_Tol,1,0),1))</f>
        <v/>
      </c>
      <c r="CV404" s="124" t="str">
        <f>IF($B404="","",IFERROR(IF(ABS(M404-(N404+O404+R404))&gt;P_Tol,1,0),1))</f>
        <v/>
      </c>
      <c r="CW404" s="124" t="str">
        <f>IF($B404="","",IF(COUNTIF(Mapping!$A$5:$A$104,B404)&gt;0,1,0))</f>
        <v/>
      </c>
      <c r="CX404" s="124" t="str">
        <f>IF($B404="","",COUNTIF($B$6:$B$505,B404))</f>
        <v/>
      </c>
      <c r="CY404" s="124" t="str">
        <f>IF($B404="","",COUNTIF(STG_Woningetalage!$B$6:$B$505,B404))</f>
        <v/>
      </c>
      <c r="CZ404" s="124" t="str">
        <f>IF($B404="","",IF(CW404=0,COUNTIF($CW$6:CW404,0),""))</f>
        <v/>
      </c>
    </row>
    <row r="405">
      <c r="A405" s="15" t="n">
        <v>401</v>
      </c>
      <c r="B405" t="str">
        <f>IF(B$3=0,"",IF(INDEX(SRC_ZPMW03!$A$1:$ZZ$501,$A405,B$3)&amp;""="","",INDEX(SRC_ZPMW03!$A$1:$ZZ$501,$A405,B$3)&amp;""))</f>
        <v/>
      </c>
      <c r="C405" t="str">
        <f>IF($B405="","",IF(C$3=0,"n.b.",INDEX(SRC_ZPMW03!$A$1:$ZZ$501,$A405,C$3)))</f>
        <v/>
      </c>
      <c r="D405" t="str">
        <f>IF($B405="","",IF(D$3=0,"n.b.",INDEX(SRC_ZPMW03!$A$1:$ZZ$501,$A405,D$3)))</f>
        <v/>
      </c>
      <c r="E405" t="str">
        <f>IF($B405="","",IF(E$3=0,"n.b.",INDEX(SRC_ZPMW03!$A$1:$ZZ$501,$A405,E$3)))</f>
        <v/>
      </c>
      <c r="F405" t="str">
        <f>IF($B405="","",IF(F$3=0,"n.b.",INDEX(SRC_ZPMW03!$A$1:$ZZ$501,$A405,F$3)))</f>
        <v/>
      </c>
      <c r="G405" t="str">
        <f>IF($B405="","",IF(G$3=0,"n.b.",INDEX(SRC_ZPMW03!$A$1:$ZZ$501,$A405,G$3)))</f>
        <v/>
      </c>
      <c r="H405" t="str">
        <f>IF($B405="","",IF(H$3=0,"n.b.",INDEX(SRC_ZPMW03!$A$1:$ZZ$501,$A405,H$3)))</f>
        <v/>
      </c>
      <c r="I405" t="str">
        <f>IF($B405="","",IF(I$3=0,"n.b.",INDEX(SRC_ZPMW03!$A$1:$ZZ$501,$A405,I$3)))</f>
        <v/>
      </c>
      <c r="J405" t="str">
        <f>IF($B405="","",IF(J$3=0,"n.b.",INDEX(SRC_ZPMW03!$A$1:$ZZ$501,$A405,J$3)))</f>
        <v/>
      </c>
      <c r="K405" t="str">
        <f>IF($B405="","",IF(K$3=0,"n.b.",INDEX(SRC_ZPMW03!$A$1:$ZZ$501,$A405,K$3)))</f>
        <v/>
      </c>
      <c r="L405" s="124" t="str">
        <f>IF($B405="","",IF(L$3=0,"n.b.",INDEX(SRC_ZPMW03!$A$1:$ZZ$501,$A405,L$3)))</f>
        <v/>
      </c>
      <c r="M405" s="124" t="str">
        <f>IF($B405="","",IF(M$3=0,"n.b.",INDEX(SRC_ZPMW03!$A$1:$ZZ$501,$A405,M$3)))</f>
        <v/>
      </c>
      <c r="N405" s="124" t="str">
        <f>IF($B405="","",IF(N$3=0,"n.b.",INDEX(SRC_ZPMW03!$A$1:$ZZ$501,$A405,N$3)))</f>
        <v/>
      </c>
      <c r="O405" s="124" t="str">
        <f>IF($B405="","",IF(O$3=0,"n.b.",INDEX(SRC_ZPMW03!$A$1:$ZZ$501,$A405,O$3)))</f>
        <v/>
      </c>
      <c r="P405" s="124" t="str">
        <f>IF($B405="","",IF(P$3=0,"n.b.",INDEX(SRC_ZPMW03!$A$1:$ZZ$501,$A405,P$3)))</f>
        <v/>
      </c>
      <c r="Q405" s="124" t="str">
        <f>IF($B405="","",IF(Q$3=0,"n.b.",INDEX(SRC_ZPMW03!$A$1:$ZZ$501,$A405,Q$3)))</f>
        <v/>
      </c>
      <c r="R405" s="124" t="str">
        <f>IF($B405="","",IF(R$3=0,"n.b.",INDEX(SRC_ZPMW03!$A$1:$ZZ$501,$A405,R$3)))</f>
        <v/>
      </c>
      <c r="S405" s="124" t="str">
        <f>IF($B405="","",IF(S$3=0,"n.b.",INDEX(SRC_ZPMW03!$A$1:$ZZ$501,$A405,S$3)))</f>
        <v/>
      </c>
      <c r="T405" s="124" t="str">
        <f>IF($B405="","",IF(T$3=0,"n.b.",INDEX(SRC_ZPMW03!$A$1:$ZZ$501,$A405,T$3)))</f>
        <v/>
      </c>
      <c r="U405" s="124" t="str">
        <f>IF($B405="","",IF(U$3=0,"n.b.",INDEX(SRC_ZPMW03!$A$1:$ZZ$501,$A405,U$3)))</f>
        <v/>
      </c>
      <c r="V405" s="124" t="str">
        <f>IF($B405="","",IF(V$3=0,"n.b.",INDEX(SRC_ZPMW03!$A$1:$ZZ$501,$A405,V$3)))</f>
        <v/>
      </c>
      <c r="W405" s="124" t="str">
        <f>IF($B405="","",IF(W$3=0,"n.b.",INDEX(SRC_ZPMW03!$A$1:$ZZ$501,$A405,W$3)))</f>
        <v/>
      </c>
      <c r="X405" s="124" t="str">
        <f>IF($B405="","",IF(X$3=0,"n.b.",INDEX(SRC_ZPMW03!$A$1:$ZZ$501,$A405,X$3)))</f>
        <v/>
      </c>
      <c r="Y405" s="124" t="str">
        <f>IF($B405="","",IF(Y$3=0,"n.b.",INDEX(SRC_ZPMW03!$A$1:$ZZ$501,$A405,Y$3)))</f>
        <v/>
      </c>
      <c r="Z405" s="124" t="str">
        <f>IF($B405="","",IF(Z$3=0,"n.b.",INDEX(SRC_ZPMW03!$A$1:$ZZ$501,$A405,Z$3)))</f>
        <v/>
      </c>
      <c r="AA405" s="124" t="str">
        <f>IF($B405="","",IF(AA$3=0,"n.b.",INDEX(SRC_ZPMW03!$A$1:$ZZ$501,$A405,AA$3)))</f>
        <v/>
      </c>
      <c r="AB405" s="124" t="str">
        <f>IF($B405="","",IF(AB$3=0,"n.b.",INDEX(SRC_ZPMW03!$A$1:$ZZ$501,$A405,AB$3)))</f>
        <v/>
      </c>
      <c r="AC405" s="124" t="str">
        <f>IF($B405="","",IF(AC$3=0,"n.b.",INDEX(SRC_ZPMW03!$A$1:$ZZ$501,$A405,AC$3)))</f>
        <v/>
      </c>
      <c r="AD405" s="124" t="str">
        <f>IF($B405="","",IF(AD$3=0,"n.b.",INDEX(SRC_ZPMW03!$A$1:$ZZ$501,$A405,AD$3)))</f>
        <v/>
      </c>
      <c r="AE405" s="124" t="str">
        <f>IF($B405="","",IF(AE$3=0,"n.b.",INDEX(SRC_ZPMW03!$A$1:$ZZ$501,$A405,AE$3)))</f>
        <v/>
      </c>
      <c r="AF405" s="124" t="str">
        <f>IF($B405="","",IF(AF$3=0,"n.b.",INDEX(SRC_ZPMW03!$A$1:$ZZ$501,$A405,AF$3)))</f>
        <v/>
      </c>
      <c r="AG405" s="124" t="str">
        <f>IF($B405="","",IF(AG$3=0,"n.b.",INDEX(SRC_ZPMW03!$A$1:$ZZ$501,$A405,AG$3)))</f>
        <v/>
      </c>
      <c r="AH405" s="124" t="str">
        <f>IF($B405="","",IF(AH$3=0,"n.b.",INDEX(SRC_ZPMW03!$A$1:$ZZ$501,$A405,AH$3)))</f>
        <v/>
      </c>
      <c r="AI405" s="124" t="str">
        <f>IF($B405="","",IF(AI$3=0,"n.b.",INDEX(SRC_ZPMW03!$A$1:$ZZ$501,$A405,AI$3)))</f>
        <v/>
      </c>
      <c r="AJ405" s="124" t="str">
        <f>IF($B405="","",IF(AJ$3=0,"n.b.",INDEX(SRC_ZPMW03!$A$1:$ZZ$501,$A405,AJ$3)))</f>
        <v/>
      </c>
      <c r="AK405" s="124" t="str">
        <f>IF($B405="","",IF(AK$3=0,"n.b.",INDEX(SRC_ZPMW03!$A$1:$ZZ$501,$A405,AK$3)))</f>
        <v/>
      </c>
      <c r="AL405" s="124" t="str">
        <f>IF($B405="","",IF(AL$3=0,"n.b.",INDEX(SRC_ZPMW03!$A$1:$ZZ$501,$A405,AL$3)))</f>
        <v/>
      </c>
      <c r="AM405" s="124" t="str">
        <f>IF($B405="","",IF(AM$3=0,"n.b.",INDEX(SRC_ZPMW03!$A$1:$ZZ$501,$A405,AM$3)))</f>
        <v/>
      </c>
      <c r="AN405" s="124" t="str">
        <f>IF($B405="","",IF(AN$3=0,"n.b.",INDEX(SRC_ZPMW03!$A$1:$ZZ$501,$A405,AN$3)))</f>
        <v/>
      </c>
      <c r="AO405" s="124" t="str">
        <f>IF($B405="","",IF(AO$3=0,"n.b.",INDEX(SRC_ZPMW03!$A$1:$ZZ$501,$A405,AO$3)))</f>
        <v/>
      </c>
      <c r="AP405" s="124" t="str">
        <f>IF($B405="","",IF(AP$3=0,"n.b.",INDEX(SRC_ZPMW03!$A$1:$ZZ$501,$A405,AP$3)))</f>
        <v/>
      </c>
      <c r="AQ405" s="124" t="str">
        <f>IF($B405="","",IF(AQ$3=0,"n.b.",INDEX(SRC_ZPMW03!$A$1:$ZZ$501,$A405,AQ$3)))</f>
        <v/>
      </c>
      <c r="AR405" s="124" t="str">
        <f>IF($B405="","",IF(AR$3=0,"n.b.",INDEX(SRC_ZPMW03!$A$1:$ZZ$501,$A405,AR$3)))</f>
        <v/>
      </c>
      <c r="AS405" s="124" t="str">
        <f>IF($B405="","",IF(AS$3=0,"n.b.",INDEX(SRC_ZPMW03!$A$1:$ZZ$501,$A405,AS$3)))</f>
        <v/>
      </c>
      <c r="AT405" s="124" t="str">
        <f>IF($B405="","",IF(AT$3=0,"n.b.",INDEX(SRC_ZPMW03!$A$1:$ZZ$501,$A405,AT$3)))</f>
        <v/>
      </c>
      <c r="AU405" s="124" t="str">
        <f>IF($B405="","",IF(AU$3=0,"n.b.",INDEX(SRC_ZPMW03!$A$1:$ZZ$501,$A405,AU$3)))</f>
        <v/>
      </c>
      <c r="AV405" s="124" t="str">
        <f>IF($B405="","",IF(AV$3=0,"n.b.",INDEX(SRC_ZPMW03!$A$1:$ZZ$501,$A405,AV$3)))</f>
        <v/>
      </c>
      <c r="AW405" s="124" t="str">
        <f>IF($B405="","",IF(AW$3=0,"n.b.",INDEX(SRC_ZPMW03!$A$1:$ZZ$501,$A405,AW$3)))</f>
        <v/>
      </c>
      <c r="AX405" s="124" t="str">
        <f>IF($B405="","",IF(AX$3=0,"n.b.",INDEX(SRC_ZPMW03!$A$1:$ZZ$501,$A405,AX$3)))</f>
        <v/>
      </c>
      <c r="AY405" s="124" t="str">
        <f>IF($B405="","",IF(AY$3=0,"n.b.",INDEX(SRC_ZPMW03!$A$1:$ZZ$501,$A405,AY$3)))</f>
        <v/>
      </c>
      <c r="AZ405" s="124" t="str">
        <f>IF($B405="","",IF(AZ$3=0,"n.b.",INDEX(SRC_ZPMW03!$A$1:$ZZ$501,$A405,AZ$3)))</f>
        <v/>
      </c>
      <c r="BA405" s="124" t="str">
        <f>IF($B405="","",IF(BA$3=0,"n.b.",INDEX(SRC_ZPMW03!$A$1:$ZZ$501,$A405,BA$3)))</f>
        <v/>
      </c>
      <c r="BB405" s="124" t="str">
        <f>IF($B405="","",IF(BB$3=0,"n.b.",INDEX(SRC_ZPMW03!$A$1:$ZZ$501,$A405,BB$3)))</f>
        <v/>
      </c>
      <c r="BC405" s="124" t="str">
        <f>IF($B405="","",IF(BC$3=0,"n.b.",INDEX(SRC_ZPMW03!$A$1:$ZZ$501,$A405,BC$3)))</f>
        <v/>
      </c>
      <c r="BD405" s="124" t="str">
        <f>IF($B405="","",IF(BD$3=0,"n.b.",INDEX(SRC_ZPMW03!$A$1:$ZZ$501,$A405,BD$3)))</f>
        <v/>
      </c>
      <c r="BE405" s="124" t="str">
        <f>IF($B405="","",IF(BE$3=0,"n.b.",INDEX(SRC_ZPMW03!$A$1:$ZZ$501,$A405,BE$3)))</f>
        <v/>
      </c>
      <c r="BF405" s="124" t="str">
        <f>IF($B405="","",IF(BF$3=0,"n.b.",INDEX(SRC_ZPMW03!$A$1:$ZZ$501,$A405,BF$3)))</f>
        <v/>
      </c>
      <c r="BG405" t="str">
        <f>IF($B405="","",IF(BG$3=0,"n.b.",INDEX(SRC_ZPMW03!$A$1:$ZZ$501,$A405,BG$3)))</f>
        <v/>
      </c>
      <c r="BH405" t="str">
        <f>IF($B405="","",IF(BH$3=0,"n.b.",INDEX(SRC_ZPMW03!$A$1:$ZZ$501,$A405,BH$3)))</f>
        <v/>
      </c>
      <c r="BI405" t="str">
        <f>IF($B405="","",IF(BI$3=0,"n.b.",INDEX(SRC_ZPMW03!$A$1:$ZZ$501,$A405,BI$3)))</f>
        <v/>
      </c>
      <c r="BJ405" t="str">
        <f>IF($B405="","",IF(BJ$3=0,"n.b.",INDEX(SRC_ZPMW03!$A$1:$ZZ$501,$A405,BJ$3)))</f>
        <v/>
      </c>
      <c r="BK405" s="124" t="str">
        <f>IF($B405="","",IFERROR(-O405,"n.b."))</f>
        <v/>
      </c>
      <c r="BL405" s="124" t="str">
        <f>IF($B405="","",IFERROR(-Q405,"n.b."))</f>
        <v/>
      </c>
      <c r="BM405" s="124" t="str">
        <f>IF($B405="","",IFERROR(-AB405,"n.b."))</f>
        <v/>
      </c>
      <c r="BN405" s="124" t="str">
        <f>IF($B405="","",IFERROR(-AD405,"n.b."))</f>
        <v/>
      </c>
      <c r="BO405" s="124" t="str">
        <f>IF($B405="","",IFERROR(BK405+BM405,"n.b."))</f>
        <v/>
      </c>
      <c r="BP405" s="124" t="str">
        <f>IF($B405="","",IFERROR(BL405+BN405,"n.b."))</f>
        <v/>
      </c>
      <c r="BQ405" s="124" t="str">
        <f>IF($B405="","",IFERROR(-AM405,"n.b."))</f>
        <v/>
      </c>
      <c r="BR405" s="124" t="str">
        <f>IF($B405="","",IFERROR(-AO405,"n.b."))</f>
        <v/>
      </c>
      <c r="BS405" s="124" t="str">
        <f>IF($B405="","",IFERROR(-Z405,"n.b."))</f>
        <v/>
      </c>
      <c r="BT405" s="124" t="str">
        <f>IF($B405="","",IFERROR(-AA405,"n.b."))</f>
        <v/>
      </c>
      <c r="BU405" s="124" t="str">
        <f>IF($B405="","",IFERROR(-AE405,"n.b."))</f>
        <v/>
      </c>
      <c r="BV405" s="124" t="str">
        <f>IF($B405="","",IFERROR(-AF405,"n.b."))</f>
        <v/>
      </c>
      <c r="BW405" s="124" t="str">
        <f>IF($B405="","",IFERROR(-AG405,"n.b."))</f>
        <v/>
      </c>
      <c r="BX405" s="124" t="str">
        <f>IF($B405="","",IFERROR(-AH405,"n.b."))</f>
        <v/>
      </c>
      <c r="BY405" s="124" t="str">
        <f>IF($B405="","",IFERROR(-AI405,"n.b."))</f>
        <v/>
      </c>
      <c r="BZ405" s="124" t="str">
        <f>IF($B405="","",IFERROR(-AJ405,"n.b."))</f>
        <v/>
      </c>
      <c r="CA405" s="124" t="str">
        <f>IF($B405="","",IFERROR(-AK405,"n.b."))</f>
        <v/>
      </c>
      <c r="CB405" s="124" t="str">
        <f>IF($B405="","",IFERROR(-AL405,"n.b."))</f>
        <v/>
      </c>
      <c r="CC405" s="124" t="str">
        <f>IF($B405="","",IFERROR(-AP405,"n.b."))</f>
        <v/>
      </c>
      <c r="CD405" s="124" t="str">
        <f>IF($B405="","",IFERROR(-AQ405,"n.b."))</f>
        <v/>
      </c>
      <c r="CE405" s="124" t="str">
        <f>IF($B405="","",IFERROR(-AR405,"n.b."))</f>
        <v/>
      </c>
      <c r="CF405" s="124" t="str">
        <f>IF($B405="","",IFERROR(-AS405,"n.b."))</f>
        <v/>
      </c>
      <c r="CG405" s="124" t="str">
        <f>IF($B405="","",IFERROR(-AT405,"n.b."))</f>
        <v/>
      </c>
      <c r="CH405" s="124" t="str">
        <f>IF($B405="","",IFERROR(-AU405,"n.b."))</f>
        <v/>
      </c>
      <c r="CI405" s="124" t="str">
        <f>IF($B405="","",IFERROR(-AV405,"n.b."))</f>
        <v/>
      </c>
      <c r="CJ405" s="124" t="str">
        <f>IF($B405="","",IFERROR(-AW405,"n.b."))</f>
        <v/>
      </c>
      <c r="CK405" s="124" t="str">
        <f>IF($B405="","",IFERROR(-AX405,"n.b."))</f>
        <v/>
      </c>
      <c r="CL405" s="124" t="str">
        <f>IF($B405="","",IFERROR(-AY405,"n.b."))</f>
        <v/>
      </c>
      <c r="CM405" s="124" t="str">
        <f>IF($B405="","",IFERROR(-AZ405,"n.b."))</f>
        <v/>
      </c>
      <c r="CN405" s="124" t="str">
        <f>IF($B405="","",IFERROR(-BA405,"n.b."))</f>
        <v/>
      </c>
      <c r="CO405" s="124" t="str">
        <f>IF($B405="","",IFERROR(-BB405,"n.b."))</f>
        <v/>
      </c>
      <c r="CP405" s="124" t="str">
        <f>IF($B405="","",IFERROR(-BC405,"n.b."))</f>
        <v/>
      </c>
      <c r="CQ405" s="124" t="str">
        <f>IF($B405="","",IFERROR(-BD405,"n.b."))</f>
        <v/>
      </c>
      <c r="CR405" s="124" t="str">
        <f>IF($B405="","",IFERROR(-BE405,"n.b."))</f>
        <v/>
      </c>
      <c r="CS405" s="124" t="str">
        <f>IF($B405="","",IFERROR(IF(OR(ABS(T405+V405+X405+Z405-AB405)&gt;P_Tol,ABS(U405+W405+Y405+AA405-AD405)&gt;P_Tol,ABS(AE405+AG405+AI405+AK405-AM405)&gt;P_Tol,ABS(AF405+AH405+AJ405+AL405-AO405)&gt;P_Tol),1,0),1))</f>
        <v/>
      </c>
      <c r="CT405" s="124" t="str">
        <f>IF($B405="","",IFERROR(IF(OR(ABS(AB405+AC405-AD405)&gt;P_Tol,ABS(AM405+AN405-AO405)&gt;P_Tol,ABS(O405+P405-Q405)&gt;P_Tol),1,0),1))</f>
        <v/>
      </c>
      <c r="CU405" s="124" t="str">
        <f>IF($B405="","",IFERROR(IF(ABS(R405-(AB405+AM405+AP405+AR405+AT405+AV405+AX405+AZ405+BB405+BD405))&gt;P_Tol,1,0),1))</f>
        <v/>
      </c>
      <c r="CV405" s="124" t="str">
        <f>IF($B405="","",IFERROR(IF(ABS(M405-(N405+O405+R405))&gt;P_Tol,1,0),1))</f>
        <v/>
      </c>
      <c r="CW405" s="124" t="str">
        <f>IF($B405="","",IF(COUNTIF(Mapping!$A$5:$A$104,B405)&gt;0,1,0))</f>
        <v/>
      </c>
      <c r="CX405" s="124" t="str">
        <f>IF($B405="","",COUNTIF($B$6:$B$505,B405))</f>
        <v/>
      </c>
      <c r="CY405" s="124" t="str">
        <f>IF($B405="","",COUNTIF(STG_Woningetalage!$B$6:$B$505,B405))</f>
        <v/>
      </c>
      <c r="CZ405" s="124" t="str">
        <f>IF($B405="","",IF(CW405=0,COUNTIF($CW$6:CW405,0),""))</f>
        <v/>
      </c>
    </row>
    <row r="406">
      <c r="A406" s="15" t="n">
        <v>402</v>
      </c>
      <c r="B406" t="str">
        <f>IF(B$3=0,"",IF(INDEX(SRC_ZPMW03!$A$1:$ZZ$501,$A406,B$3)&amp;""="","",INDEX(SRC_ZPMW03!$A$1:$ZZ$501,$A406,B$3)&amp;""))</f>
        <v/>
      </c>
      <c r="C406" t="str">
        <f>IF($B406="","",IF(C$3=0,"n.b.",INDEX(SRC_ZPMW03!$A$1:$ZZ$501,$A406,C$3)))</f>
        <v/>
      </c>
      <c r="D406" t="str">
        <f>IF($B406="","",IF(D$3=0,"n.b.",INDEX(SRC_ZPMW03!$A$1:$ZZ$501,$A406,D$3)))</f>
        <v/>
      </c>
      <c r="E406" t="str">
        <f>IF($B406="","",IF(E$3=0,"n.b.",INDEX(SRC_ZPMW03!$A$1:$ZZ$501,$A406,E$3)))</f>
        <v/>
      </c>
      <c r="F406" t="str">
        <f>IF($B406="","",IF(F$3=0,"n.b.",INDEX(SRC_ZPMW03!$A$1:$ZZ$501,$A406,F$3)))</f>
        <v/>
      </c>
      <c r="G406" t="str">
        <f>IF($B406="","",IF(G$3=0,"n.b.",INDEX(SRC_ZPMW03!$A$1:$ZZ$501,$A406,G$3)))</f>
        <v/>
      </c>
      <c r="H406" t="str">
        <f>IF($B406="","",IF(H$3=0,"n.b.",INDEX(SRC_ZPMW03!$A$1:$ZZ$501,$A406,H$3)))</f>
        <v/>
      </c>
      <c r="I406" t="str">
        <f>IF($B406="","",IF(I$3=0,"n.b.",INDEX(SRC_ZPMW03!$A$1:$ZZ$501,$A406,I$3)))</f>
        <v/>
      </c>
      <c r="J406" t="str">
        <f>IF($B406="","",IF(J$3=0,"n.b.",INDEX(SRC_ZPMW03!$A$1:$ZZ$501,$A406,J$3)))</f>
        <v/>
      </c>
      <c r="K406" t="str">
        <f>IF($B406="","",IF(K$3=0,"n.b.",INDEX(SRC_ZPMW03!$A$1:$ZZ$501,$A406,K$3)))</f>
        <v/>
      </c>
      <c r="L406" s="124" t="str">
        <f>IF($B406="","",IF(L$3=0,"n.b.",INDEX(SRC_ZPMW03!$A$1:$ZZ$501,$A406,L$3)))</f>
        <v/>
      </c>
      <c r="M406" s="124" t="str">
        <f>IF($B406="","",IF(M$3=0,"n.b.",INDEX(SRC_ZPMW03!$A$1:$ZZ$501,$A406,M$3)))</f>
        <v/>
      </c>
      <c r="N406" s="124" t="str">
        <f>IF($B406="","",IF(N$3=0,"n.b.",INDEX(SRC_ZPMW03!$A$1:$ZZ$501,$A406,N$3)))</f>
        <v/>
      </c>
      <c r="O406" s="124" t="str">
        <f>IF($B406="","",IF(O$3=0,"n.b.",INDEX(SRC_ZPMW03!$A$1:$ZZ$501,$A406,O$3)))</f>
        <v/>
      </c>
      <c r="P406" s="124" t="str">
        <f>IF($B406="","",IF(P$3=0,"n.b.",INDEX(SRC_ZPMW03!$A$1:$ZZ$501,$A406,P$3)))</f>
        <v/>
      </c>
      <c r="Q406" s="124" t="str">
        <f>IF($B406="","",IF(Q$3=0,"n.b.",INDEX(SRC_ZPMW03!$A$1:$ZZ$501,$A406,Q$3)))</f>
        <v/>
      </c>
      <c r="R406" s="124" t="str">
        <f>IF($B406="","",IF(R$3=0,"n.b.",INDEX(SRC_ZPMW03!$A$1:$ZZ$501,$A406,R$3)))</f>
        <v/>
      </c>
      <c r="S406" s="124" t="str">
        <f>IF($B406="","",IF(S$3=0,"n.b.",INDEX(SRC_ZPMW03!$A$1:$ZZ$501,$A406,S$3)))</f>
        <v/>
      </c>
      <c r="T406" s="124" t="str">
        <f>IF($B406="","",IF(T$3=0,"n.b.",INDEX(SRC_ZPMW03!$A$1:$ZZ$501,$A406,T$3)))</f>
        <v/>
      </c>
      <c r="U406" s="124" t="str">
        <f>IF($B406="","",IF(U$3=0,"n.b.",INDEX(SRC_ZPMW03!$A$1:$ZZ$501,$A406,U$3)))</f>
        <v/>
      </c>
      <c r="V406" s="124" t="str">
        <f>IF($B406="","",IF(V$3=0,"n.b.",INDEX(SRC_ZPMW03!$A$1:$ZZ$501,$A406,V$3)))</f>
        <v/>
      </c>
      <c r="W406" s="124" t="str">
        <f>IF($B406="","",IF(W$3=0,"n.b.",INDEX(SRC_ZPMW03!$A$1:$ZZ$501,$A406,W$3)))</f>
        <v/>
      </c>
      <c r="X406" s="124" t="str">
        <f>IF($B406="","",IF(X$3=0,"n.b.",INDEX(SRC_ZPMW03!$A$1:$ZZ$501,$A406,X$3)))</f>
        <v/>
      </c>
      <c r="Y406" s="124" t="str">
        <f>IF($B406="","",IF(Y$3=0,"n.b.",INDEX(SRC_ZPMW03!$A$1:$ZZ$501,$A406,Y$3)))</f>
        <v/>
      </c>
      <c r="Z406" s="124" t="str">
        <f>IF($B406="","",IF(Z$3=0,"n.b.",INDEX(SRC_ZPMW03!$A$1:$ZZ$501,$A406,Z$3)))</f>
        <v/>
      </c>
      <c r="AA406" s="124" t="str">
        <f>IF($B406="","",IF(AA$3=0,"n.b.",INDEX(SRC_ZPMW03!$A$1:$ZZ$501,$A406,AA$3)))</f>
        <v/>
      </c>
      <c r="AB406" s="124" t="str">
        <f>IF($B406="","",IF(AB$3=0,"n.b.",INDEX(SRC_ZPMW03!$A$1:$ZZ$501,$A406,AB$3)))</f>
        <v/>
      </c>
      <c r="AC406" s="124" t="str">
        <f>IF($B406="","",IF(AC$3=0,"n.b.",INDEX(SRC_ZPMW03!$A$1:$ZZ$501,$A406,AC$3)))</f>
        <v/>
      </c>
      <c r="AD406" s="124" t="str">
        <f>IF($B406="","",IF(AD$3=0,"n.b.",INDEX(SRC_ZPMW03!$A$1:$ZZ$501,$A406,AD$3)))</f>
        <v/>
      </c>
      <c r="AE406" s="124" t="str">
        <f>IF($B406="","",IF(AE$3=0,"n.b.",INDEX(SRC_ZPMW03!$A$1:$ZZ$501,$A406,AE$3)))</f>
        <v/>
      </c>
      <c r="AF406" s="124" t="str">
        <f>IF($B406="","",IF(AF$3=0,"n.b.",INDEX(SRC_ZPMW03!$A$1:$ZZ$501,$A406,AF$3)))</f>
        <v/>
      </c>
      <c r="AG406" s="124" t="str">
        <f>IF($B406="","",IF(AG$3=0,"n.b.",INDEX(SRC_ZPMW03!$A$1:$ZZ$501,$A406,AG$3)))</f>
        <v/>
      </c>
      <c r="AH406" s="124" t="str">
        <f>IF($B406="","",IF(AH$3=0,"n.b.",INDEX(SRC_ZPMW03!$A$1:$ZZ$501,$A406,AH$3)))</f>
        <v/>
      </c>
      <c r="AI406" s="124" t="str">
        <f>IF($B406="","",IF(AI$3=0,"n.b.",INDEX(SRC_ZPMW03!$A$1:$ZZ$501,$A406,AI$3)))</f>
        <v/>
      </c>
      <c r="AJ406" s="124" t="str">
        <f>IF($B406="","",IF(AJ$3=0,"n.b.",INDEX(SRC_ZPMW03!$A$1:$ZZ$501,$A406,AJ$3)))</f>
        <v/>
      </c>
      <c r="AK406" s="124" t="str">
        <f>IF($B406="","",IF(AK$3=0,"n.b.",INDEX(SRC_ZPMW03!$A$1:$ZZ$501,$A406,AK$3)))</f>
        <v/>
      </c>
      <c r="AL406" s="124" t="str">
        <f>IF($B406="","",IF(AL$3=0,"n.b.",INDEX(SRC_ZPMW03!$A$1:$ZZ$501,$A406,AL$3)))</f>
        <v/>
      </c>
      <c r="AM406" s="124" t="str">
        <f>IF($B406="","",IF(AM$3=0,"n.b.",INDEX(SRC_ZPMW03!$A$1:$ZZ$501,$A406,AM$3)))</f>
        <v/>
      </c>
      <c r="AN406" s="124" t="str">
        <f>IF($B406="","",IF(AN$3=0,"n.b.",INDEX(SRC_ZPMW03!$A$1:$ZZ$501,$A406,AN$3)))</f>
        <v/>
      </c>
      <c r="AO406" s="124" t="str">
        <f>IF($B406="","",IF(AO$3=0,"n.b.",INDEX(SRC_ZPMW03!$A$1:$ZZ$501,$A406,AO$3)))</f>
        <v/>
      </c>
      <c r="AP406" s="124" t="str">
        <f>IF($B406="","",IF(AP$3=0,"n.b.",INDEX(SRC_ZPMW03!$A$1:$ZZ$501,$A406,AP$3)))</f>
        <v/>
      </c>
      <c r="AQ406" s="124" t="str">
        <f>IF($B406="","",IF(AQ$3=0,"n.b.",INDEX(SRC_ZPMW03!$A$1:$ZZ$501,$A406,AQ$3)))</f>
        <v/>
      </c>
      <c r="AR406" s="124" t="str">
        <f>IF($B406="","",IF(AR$3=0,"n.b.",INDEX(SRC_ZPMW03!$A$1:$ZZ$501,$A406,AR$3)))</f>
        <v/>
      </c>
      <c r="AS406" s="124" t="str">
        <f>IF($B406="","",IF(AS$3=0,"n.b.",INDEX(SRC_ZPMW03!$A$1:$ZZ$501,$A406,AS$3)))</f>
        <v/>
      </c>
      <c r="AT406" s="124" t="str">
        <f>IF($B406="","",IF(AT$3=0,"n.b.",INDEX(SRC_ZPMW03!$A$1:$ZZ$501,$A406,AT$3)))</f>
        <v/>
      </c>
      <c r="AU406" s="124" t="str">
        <f>IF($B406="","",IF(AU$3=0,"n.b.",INDEX(SRC_ZPMW03!$A$1:$ZZ$501,$A406,AU$3)))</f>
        <v/>
      </c>
      <c r="AV406" s="124" t="str">
        <f>IF($B406="","",IF(AV$3=0,"n.b.",INDEX(SRC_ZPMW03!$A$1:$ZZ$501,$A406,AV$3)))</f>
        <v/>
      </c>
      <c r="AW406" s="124" t="str">
        <f>IF($B406="","",IF(AW$3=0,"n.b.",INDEX(SRC_ZPMW03!$A$1:$ZZ$501,$A406,AW$3)))</f>
        <v/>
      </c>
      <c r="AX406" s="124" t="str">
        <f>IF($B406="","",IF(AX$3=0,"n.b.",INDEX(SRC_ZPMW03!$A$1:$ZZ$501,$A406,AX$3)))</f>
        <v/>
      </c>
      <c r="AY406" s="124" t="str">
        <f>IF($B406="","",IF(AY$3=0,"n.b.",INDEX(SRC_ZPMW03!$A$1:$ZZ$501,$A406,AY$3)))</f>
        <v/>
      </c>
      <c r="AZ406" s="124" t="str">
        <f>IF($B406="","",IF(AZ$3=0,"n.b.",INDEX(SRC_ZPMW03!$A$1:$ZZ$501,$A406,AZ$3)))</f>
        <v/>
      </c>
      <c r="BA406" s="124" t="str">
        <f>IF($B406="","",IF(BA$3=0,"n.b.",INDEX(SRC_ZPMW03!$A$1:$ZZ$501,$A406,BA$3)))</f>
        <v/>
      </c>
      <c r="BB406" s="124" t="str">
        <f>IF($B406="","",IF(BB$3=0,"n.b.",INDEX(SRC_ZPMW03!$A$1:$ZZ$501,$A406,BB$3)))</f>
        <v/>
      </c>
      <c r="BC406" s="124" t="str">
        <f>IF($B406="","",IF(BC$3=0,"n.b.",INDEX(SRC_ZPMW03!$A$1:$ZZ$501,$A406,BC$3)))</f>
        <v/>
      </c>
      <c r="BD406" s="124" t="str">
        <f>IF($B406="","",IF(BD$3=0,"n.b.",INDEX(SRC_ZPMW03!$A$1:$ZZ$501,$A406,BD$3)))</f>
        <v/>
      </c>
      <c r="BE406" s="124" t="str">
        <f>IF($B406="","",IF(BE$3=0,"n.b.",INDEX(SRC_ZPMW03!$A$1:$ZZ$501,$A406,BE$3)))</f>
        <v/>
      </c>
      <c r="BF406" s="124" t="str">
        <f>IF($B406="","",IF(BF$3=0,"n.b.",INDEX(SRC_ZPMW03!$A$1:$ZZ$501,$A406,BF$3)))</f>
        <v/>
      </c>
      <c r="BG406" t="str">
        <f>IF($B406="","",IF(BG$3=0,"n.b.",INDEX(SRC_ZPMW03!$A$1:$ZZ$501,$A406,BG$3)))</f>
        <v/>
      </c>
      <c r="BH406" t="str">
        <f>IF($B406="","",IF(BH$3=0,"n.b.",INDEX(SRC_ZPMW03!$A$1:$ZZ$501,$A406,BH$3)))</f>
        <v/>
      </c>
      <c r="BI406" t="str">
        <f>IF($B406="","",IF(BI$3=0,"n.b.",INDEX(SRC_ZPMW03!$A$1:$ZZ$501,$A406,BI$3)))</f>
        <v/>
      </c>
      <c r="BJ406" t="str">
        <f>IF($B406="","",IF(BJ$3=0,"n.b.",INDEX(SRC_ZPMW03!$A$1:$ZZ$501,$A406,BJ$3)))</f>
        <v/>
      </c>
      <c r="BK406" s="124" t="str">
        <f>IF($B406="","",IFERROR(-O406,"n.b."))</f>
        <v/>
      </c>
      <c r="BL406" s="124" t="str">
        <f>IF($B406="","",IFERROR(-Q406,"n.b."))</f>
        <v/>
      </c>
      <c r="BM406" s="124" t="str">
        <f>IF($B406="","",IFERROR(-AB406,"n.b."))</f>
        <v/>
      </c>
      <c r="BN406" s="124" t="str">
        <f>IF($B406="","",IFERROR(-AD406,"n.b."))</f>
        <v/>
      </c>
      <c r="BO406" s="124" t="str">
        <f>IF($B406="","",IFERROR(BK406+BM406,"n.b."))</f>
        <v/>
      </c>
      <c r="BP406" s="124" t="str">
        <f>IF($B406="","",IFERROR(BL406+BN406,"n.b."))</f>
        <v/>
      </c>
      <c r="BQ406" s="124" t="str">
        <f>IF($B406="","",IFERROR(-AM406,"n.b."))</f>
        <v/>
      </c>
      <c r="BR406" s="124" t="str">
        <f>IF($B406="","",IFERROR(-AO406,"n.b."))</f>
        <v/>
      </c>
      <c r="BS406" s="124" t="str">
        <f>IF($B406="","",IFERROR(-Z406,"n.b."))</f>
        <v/>
      </c>
      <c r="BT406" s="124" t="str">
        <f>IF($B406="","",IFERROR(-AA406,"n.b."))</f>
        <v/>
      </c>
      <c r="BU406" s="124" t="str">
        <f>IF($B406="","",IFERROR(-AE406,"n.b."))</f>
        <v/>
      </c>
      <c r="BV406" s="124" t="str">
        <f>IF($B406="","",IFERROR(-AF406,"n.b."))</f>
        <v/>
      </c>
      <c r="BW406" s="124" t="str">
        <f>IF($B406="","",IFERROR(-AG406,"n.b."))</f>
        <v/>
      </c>
      <c r="BX406" s="124" t="str">
        <f>IF($B406="","",IFERROR(-AH406,"n.b."))</f>
        <v/>
      </c>
      <c r="BY406" s="124" t="str">
        <f>IF($B406="","",IFERROR(-AI406,"n.b."))</f>
        <v/>
      </c>
      <c r="BZ406" s="124" t="str">
        <f>IF($B406="","",IFERROR(-AJ406,"n.b."))</f>
        <v/>
      </c>
      <c r="CA406" s="124" t="str">
        <f>IF($B406="","",IFERROR(-AK406,"n.b."))</f>
        <v/>
      </c>
      <c r="CB406" s="124" t="str">
        <f>IF($B406="","",IFERROR(-AL406,"n.b."))</f>
        <v/>
      </c>
      <c r="CC406" s="124" t="str">
        <f>IF($B406="","",IFERROR(-AP406,"n.b."))</f>
        <v/>
      </c>
      <c r="CD406" s="124" t="str">
        <f>IF($B406="","",IFERROR(-AQ406,"n.b."))</f>
        <v/>
      </c>
      <c r="CE406" s="124" t="str">
        <f>IF($B406="","",IFERROR(-AR406,"n.b."))</f>
        <v/>
      </c>
      <c r="CF406" s="124" t="str">
        <f>IF($B406="","",IFERROR(-AS406,"n.b."))</f>
        <v/>
      </c>
      <c r="CG406" s="124" t="str">
        <f>IF($B406="","",IFERROR(-AT406,"n.b."))</f>
        <v/>
      </c>
      <c r="CH406" s="124" t="str">
        <f>IF($B406="","",IFERROR(-AU406,"n.b."))</f>
        <v/>
      </c>
      <c r="CI406" s="124" t="str">
        <f>IF($B406="","",IFERROR(-AV406,"n.b."))</f>
        <v/>
      </c>
      <c r="CJ406" s="124" t="str">
        <f>IF($B406="","",IFERROR(-AW406,"n.b."))</f>
        <v/>
      </c>
      <c r="CK406" s="124" t="str">
        <f>IF($B406="","",IFERROR(-AX406,"n.b."))</f>
        <v/>
      </c>
      <c r="CL406" s="124" t="str">
        <f>IF($B406="","",IFERROR(-AY406,"n.b."))</f>
        <v/>
      </c>
      <c r="CM406" s="124" t="str">
        <f>IF($B406="","",IFERROR(-AZ406,"n.b."))</f>
        <v/>
      </c>
      <c r="CN406" s="124" t="str">
        <f>IF($B406="","",IFERROR(-BA406,"n.b."))</f>
        <v/>
      </c>
      <c r="CO406" s="124" t="str">
        <f>IF($B406="","",IFERROR(-BB406,"n.b."))</f>
        <v/>
      </c>
      <c r="CP406" s="124" t="str">
        <f>IF($B406="","",IFERROR(-BC406,"n.b."))</f>
        <v/>
      </c>
      <c r="CQ406" s="124" t="str">
        <f>IF($B406="","",IFERROR(-BD406,"n.b."))</f>
        <v/>
      </c>
      <c r="CR406" s="124" t="str">
        <f>IF($B406="","",IFERROR(-BE406,"n.b."))</f>
        <v/>
      </c>
      <c r="CS406" s="124" t="str">
        <f>IF($B406="","",IFERROR(IF(OR(ABS(T406+V406+X406+Z406-AB406)&gt;P_Tol,ABS(U406+W406+Y406+AA406-AD406)&gt;P_Tol,ABS(AE406+AG406+AI406+AK406-AM406)&gt;P_Tol,ABS(AF406+AH406+AJ406+AL406-AO406)&gt;P_Tol),1,0),1))</f>
        <v/>
      </c>
      <c r="CT406" s="124" t="str">
        <f>IF($B406="","",IFERROR(IF(OR(ABS(AB406+AC406-AD406)&gt;P_Tol,ABS(AM406+AN406-AO406)&gt;P_Tol,ABS(O406+P406-Q406)&gt;P_Tol),1,0),1))</f>
        <v/>
      </c>
      <c r="CU406" s="124" t="str">
        <f>IF($B406="","",IFERROR(IF(ABS(R406-(AB406+AM406+AP406+AR406+AT406+AV406+AX406+AZ406+BB406+BD406))&gt;P_Tol,1,0),1))</f>
        <v/>
      </c>
      <c r="CV406" s="124" t="str">
        <f>IF($B406="","",IFERROR(IF(ABS(M406-(N406+O406+R406))&gt;P_Tol,1,0),1))</f>
        <v/>
      </c>
      <c r="CW406" s="124" t="str">
        <f>IF($B406="","",IF(COUNTIF(Mapping!$A$5:$A$104,B406)&gt;0,1,0))</f>
        <v/>
      </c>
      <c r="CX406" s="124" t="str">
        <f>IF($B406="","",COUNTIF($B$6:$B$505,B406))</f>
        <v/>
      </c>
      <c r="CY406" s="124" t="str">
        <f>IF($B406="","",COUNTIF(STG_Woningetalage!$B$6:$B$505,B406))</f>
        <v/>
      </c>
      <c r="CZ406" s="124" t="str">
        <f>IF($B406="","",IF(CW406=0,COUNTIF($CW$6:CW406,0),""))</f>
        <v/>
      </c>
    </row>
    <row r="407">
      <c r="A407" s="15" t="n">
        <v>403</v>
      </c>
      <c r="B407" t="str">
        <f>IF(B$3=0,"",IF(INDEX(SRC_ZPMW03!$A$1:$ZZ$501,$A407,B$3)&amp;""="","",INDEX(SRC_ZPMW03!$A$1:$ZZ$501,$A407,B$3)&amp;""))</f>
        <v/>
      </c>
      <c r="C407" t="str">
        <f>IF($B407="","",IF(C$3=0,"n.b.",INDEX(SRC_ZPMW03!$A$1:$ZZ$501,$A407,C$3)))</f>
        <v/>
      </c>
      <c r="D407" t="str">
        <f>IF($B407="","",IF(D$3=0,"n.b.",INDEX(SRC_ZPMW03!$A$1:$ZZ$501,$A407,D$3)))</f>
        <v/>
      </c>
      <c r="E407" t="str">
        <f>IF($B407="","",IF(E$3=0,"n.b.",INDEX(SRC_ZPMW03!$A$1:$ZZ$501,$A407,E$3)))</f>
        <v/>
      </c>
      <c r="F407" t="str">
        <f>IF($B407="","",IF(F$3=0,"n.b.",INDEX(SRC_ZPMW03!$A$1:$ZZ$501,$A407,F$3)))</f>
        <v/>
      </c>
      <c r="G407" t="str">
        <f>IF($B407="","",IF(G$3=0,"n.b.",INDEX(SRC_ZPMW03!$A$1:$ZZ$501,$A407,G$3)))</f>
        <v/>
      </c>
      <c r="H407" t="str">
        <f>IF($B407="","",IF(H$3=0,"n.b.",INDEX(SRC_ZPMW03!$A$1:$ZZ$501,$A407,H$3)))</f>
        <v/>
      </c>
      <c r="I407" t="str">
        <f>IF($B407="","",IF(I$3=0,"n.b.",INDEX(SRC_ZPMW03!$A$1:$ZZ$501,$A407,I$3)))</f>
        <v/>
      </c>
      <c r="J407" t="str">
        <f>IF($B407="","",IF(J$3=0,"n.b.",INDEX(SRC_ZPMW03!$A$1:$ZZ$501,$A407,J$3)))</f>
        <v/>
      </c>
      <c r="K407" t="str">
        <f>IF($B407="","",IF(K$3=0,"n.b.",INDEX(SRC_ZPMW03!$A$1:$ZZ$501,$A407,K$3)))</f>
        <v/>
      </c>
      <c r="L407" s="124" t="str">
        <f>IF($B407="","",IF(L$3=0,"n.b.",INDEX(SRC_ZPMW03!$A$1:$ZZ$501,$A407,L$3)))</f>
        <v/>
      </c>
      <c r="M407" s="124" t="str">
        <f>IF($B407="","",IF(M$3=0,"n.b.",INDEX(SRC_ZPMW03!$A$1:$ZZ$501,$A407,M$3)))</f>
        <v/>
      </c>
      <c r="N407" s="124" t="str">
        <f>IF($B407="","",IF(N$3=0,"n.b.",INDEX(SRC_ZPMW03!$A$1:$ZZ$501,$A407,N$3)))</f>
        <v/>
      </c>
      <c r="O407" s="124" t="str">
        <f>IF($B407="","",IF(O$3=0,"n.b.",INDEX(SRC_ZPMW03!$A$1:$ZZ$501,$A407,O$3)))</f>
        <v/>
      </c>
      <c r="P407" s="124" t="str">
        <f>IF($B407="","",IF(P$3=0,"n.b.",INDEX(SRC_ZPMW03!$A$1:$ZZ$501,$A407,P$3)))</f>
        <v/>
      </c>
      <c r="Q407" s="124" t="str">
        <f>IF($B407="","",IF(Q$3=0,"n.b.",INDEX(SRC_ZPMW03!$A$1:$ZZ$501,$A407,Q$3)))</f>
        <v/>
      </c>
      <c r="R407" s="124" t="str">
        <f>IF($B407="","",IF(R$3=0,"n.b.",INDEX(SRC_ZPMW03!$A$1:$ZZ$501,$A407,R$3)))</f>
        <v/>
      </c>
      <c r="S407" s="124" t="str">
        <f>IF($B407="","",IF(S$3=0,"n.b.",INDEX(SRC_ZPMW03!$A$1:$ZZ$501,$A407,S$3)))</f>
        <v/>
      </c>
      <c r="T407" s="124" t="str">
        <f>IF($B407="","",IF(T$3=0,"n.b.",INDEX(SRC_ZPMW03!$A$1:$ZZ$501,$A407,T$3)))</f>
        <v/>
      </c>
      <c r="U407" s="124" t="str">
        <f>IF($B407="","",IF(U$3=0,"n.b.",INDEX(SRC_ZPMW03!$A$1:$ZZ$501,$A407,U$3)))</f>
        <v/>
      </c>
      <c r="V407" s="124" t="str">
        <f>IF($B407="","",IF(V$3=0,"n.b.",INDEX(SRC_ZPMW03!$A$1:$ZZ$501,$A407,V$3)))</f>
        <v/>
      </c>
      <c r="W407" s="124" t="str">
        <f>IF($B407="","",IF(W$3=0,"n.b.",INDEX(SRC_ZPMW03!$A$1:$ZZ$501,$A407,W$3)))</f>
        <v/>
      </c>
      <c r="X407" s="124" t="str">
        <f>IF($B407="","",IF(X$3=0,"n.b.",INDEX(SRC_ZPMW03!$A$1:$ZZ$501,$A407,X$3)))</f>
        <v/>
      </c>
      <c r="Y407" s="124" t="str">
        <f>IF($B407="","",IF(Y$3=0,"n.b.",INDEX(SRC_ZPMW03!$A$1:$ZZ$501,$A407,Y$3)))</f>
        <v/>
      </c>
      <c r="Z407" s="124" t="str">
        <f>IF($B407="","",IF(Z$3=0,"n.b.",INDEX(SRC_ZPMW03!$A$1:$ZZ$501,$A407,Z$3)))</f>
        <v/>
      </c>
      <c r="AA407" s="124" t="str">
        <f>IF($B407="","",IF(AA$3=0,"n.b.",INDEX(SRC_ZPMW03!$A$1:$ZZ$501,$A407,AA$3)))</f>
        <v/>
      </c>
      <c r="AB407" s="124" t="str">
        <f>IF($B407="","",IF(AB$3=0,"n.b.",INDEX(SRC_ZPMW03!$A$1:$ZZ$501,$A407,AB$3)))</f>
        <v/>
      </c>
      <c r="AC407" s="124" t="str">
        <f>IF($B407="","",IF(AC$3=0,"n.b.",INDEX(SRC_ZPMW03!$A$1:$ZZ$501,$A407,AC$3)))</f>
        <v/>
      </c>
      <c r="AD407" s="124" t="str">
        <f>IF($B407="","",IF(AD$3=0,"n.b.",INDEX(SRC_ZPMW03!$A$1:$ZZ$501,$A407,AD$3)))</f>
        <v/>
      </c>
      <c r="AE407" s="124" t="str">
        <f>IF($B407="","",IF(AE$3=0,"n.b.",INDEX(SRC_ZPMW03!$A$1:$ZZ$501,$A407,AE$3)))</f>
        <v/>
      </c>
      <c r="AF407" s="124" t="str">
        <f>IF($B407="","",IF(AF$3=0,"n.b.",INDEX(SRC_ZPMW03!$A$1:$ZZ$501,$A407,AF$3)))</f>
        <v/>
      </c>
      <c r="AG407" s="124" t="str">
        <f>IF($B407="","",IF(AG$3=0,"n.b.",INDEX(SRC_ZPMW03!$A$1:$ZZ$501,$A407,AG$3)))</f>
        <v/>
      </c>
      <c r="AH407" s="124" t="str">
        <f>IF($B407="","",IF(AH$3=0,"n.b.",INDEX(SRC_ZPMW03!$A$1:$ZZ$501,$A407,AH$3)))</f>
        <v/>
      </c>
      <c r="AI407" s="124" t="str">
        <f>IF($B407="","",IF(AI$3=0,"n.b.",INDEX(SRC_ZPMW03!$A$1:$ZZ$501,$A407,AI$3)))</f>
        <v/>
      </c>
      <c r="AJ407" s="124" t="str">
        <f>IF($B407="","",IF(AJ$3=0,"n.b.",INDEX(SRC_ZPMW03!$A$1:$ZZ$501,$A407,AJ$3)))</f>
        <v/>
      </c>
      <c r="AK407" s="124" t="str">
        <f>IF($B407="","",IF(AK$3=0,"n.b.",INDEX(SRC_ZPMW03!$A$1:$ZZ$501,$A407,AK$3)))</f>
        <v/>
      </c>
      <c r="AL407" s="124" t="str">
        <f>IF($B407="","",IF(AL$3=0,"n.b.",INDEX(SRC_ZPMW03!$A$1:$ZZ$501,$A407,AL$3)))</f>
        <v/>
      </c>
      <c r="AM407" s="124" t="str">
        <f>IF($B407="","",IF(AM$3=0,"n.b.",INDEX(SRC_ZPMW03!$A$1:$ZZ$501,$A407,AM$3)))</f>
        <v/>
      </c>
      <c r="AN407" s="124" t="str">
        <f>IF($B407="","",IF(AN$3=0,"n.b.",INDEX(SRC_ZPMW03!$A$1:$ZZ$501,$A407,AN$3)))</f>
        <v/>
      </c>
      <c r="AO407" s="124" t="str">
        <f>IF($B407="","",IF(AO$3=0,"n.b.",INDEX(SRC_ZPMW03!$A$1:$ZZ$501,$A407,AO$3)))</f>
        <v/>
      </c>
      <c r="AP407" s="124" t="str">
        <f>IF($B407="","",IF(AP$3=0,"n.b.",INDEX(SRC_ZPMW03!$A$1:$ZZ$501,$A407,AP$3)))</f>
        <v/>
      </c>
      <c r="AQ407" s="124" t="str">
        <f>IF($B407="","",IF(AQ$3=0,"n.b.",INDEX(SRC_ZPMW03!$A$1:$ZZ$501,$A407,AQ$3)))</f>
        <v/>
      </c>
      <c r="AR407" s="124" t="str">
        <f>IF($B407="","",IF(AR$3=0,"n.b.",INDEX(SRC_ZPMW03!$A$1:$ZZ$501,$A407,AR$3)))</f>
        <v/>
      </c>
      <c r="AS407" s="124" t="str">
        <f>IF($B407="","",IF(AS$3=0,"n.b.",INDEX(SRC_ZPMW03!$A$1:$ZZ$501,$A407,AS$3)))</f>
        <v/>
      </c>
      <c r="AT407" s="124" t="str">
        <f>IF($B407="","",IF(AT$3=0,"n.b.",INDEX(SRC_ZPMW03!$A$1:$ZZ$501,$A407,AT$3)))</f>
        <v/>
      </c>
      <c r="AU407" s="124" t="str">
        <f>IF($B407="","",IF(AU$3=0,"n.b.",INDEX(SRC_ZPMW03!$A$1:$ZZ$501,$A407,AU$3)))</f>
        <v/>
      </c>
      <c r="AV407" s="124" t="str">
        <f>IF($B407="","",IF(AV$3=0,"n.b.",INDEX(SRC_ZPMW03!$A$1:$ZZ$501,$A407,AV$3)))</f>
        <v/>
      </c>
      <c r="AW407" s="124" t="str">
        <f>IF($B407="","",IF(AW$3=0,"n.b.",INDEX(SRC_ZPMW03!$A$1:$ZZ$501,$A407,AW$3)))</f>
        <v/>
      </c>
      <c r="AX407" s="124" t="str">
        <f>IF($B407="","",IF(AX$3=0,"n.b.",INDEX(SRC_ZPMW03!$A$1:$ZZ$501,$A407,AX$3)))</f>
        <v/>
      </c>
      <c r="AY407" s="124" t="str">
        <f>IF($B407="","",IF(AY$3=0,"n.b.",INDEX(SRC_ZPMW03!$A$1:$ZZ$501,$A407,AY$3)))</f>
        <v/>
      </c>
      <c r="AZ407" s="124" t="str">
        <f>IF($B407="","",IF(AZ$3=0,"n.b.",INDEX(SRC_ZPMW03!$A$1:$ZZ$501,$A407,AZ$3)))</f>
        <v/>
      </c>
      <c r="BA407" s="124" t="str">
        <f>IF($B407="","",IF(BA$3=0,"n.b.",INDEX(SRC_ZPMW03!$A$1:$ZZ$501,$A407,BA$3)))</f>
        <v/>
      </c>
      <c r="BB407" s="124" t="str">
        <f>IF($B407="","",IF(BB$3=0,"n.b.",INDEX(SRC_ZPMW03!$A$1:$ZZ$501,$A407,BB$3)))</f>
        <v/>
      </c>
      <c r="BC407" s="124" t="str">
        <f>IF($B407="","",IF(BC$3=0,"n.b.",INDEX(SRC_ZPMW03!$A$1:$ZZ$501,$A407,BC$3)))</f>
        <v/>
      </c>
      <c r="BD407" s="124" t="str">
        <f>IF($B407="","",IF(BD$3=0,"n.b.",INDEX(SRC_ZPMW03!$A$1:$ZZ$501,$A407,BD$3)))</f>
        <v/>
      </c>
      <c r="BE407" s="124" t="str">
        <f>IF($B407="","",IF(BE$3=0,"n.b.",INDEX(SRC_ZPMW03!$A$1:$ZZ$501,$A407,BE$3)))</f>
        <v/>
      </c>
      <c r="BF407" s="124" t="str">
        <f>IF($B407="","",IF(BF$3=0,"n.b.",INDEX(SRC_ZPMW03!$A$1:$ZZ$501,$A407,BF$3)))</f>
        <v/>
      </c>
      <c r="BG407" t="str">
        <f>IF($B407="","",IF(BG$3=0,"n.b.",INDEX(SRC_ZPMW03!$A$1:$ZZ$501,$A407,BG$3)))</f>
        <v/>
      </c>
      <c r="BH407" t="str">
        <f>IF($B407="","",IF(BH$3=0,"n.b.",INDEX(SRC_ZPMW03!$A$1:$ZZ$501,$A407,BH$3)))</f>
        <v/>
      </c>
      <c r="BI407" t="str">
        <f>IF($B407="","",IF(BI$3=0,"n.b.",INDEX(SRC_ZPMW03!$A$1:$ZZ$501,$A407,BI$3)))</f>
        <v/>
      </c>
      <c r="BJ407" t="str">
        <f>IF($B407="","",IF(BJ$3=0,"n.b.",INDEX(SRC_ZPMW03!$A$1:$ZZ$501,$A407,BJ$3)))</f>
        <v/>
      </c>
      <c r="BK407" s="124" t="str">
        <f>IF($B407="","",IFERROR(-O407,"n.b."))</f>
        <v/>
      </c>
      <c r="BL407" s="124" t="str">
        <f>IF($B407="","",IFERROR(-Q407,"n.b."))</f>
        <v/>
      </c>
      <c r="BM407" s="124" t="str">
        <f>IF($B407="","",IFERROR(-AB407,"n.b."))</f>
        <v/>
      </c>
      <c r="BN407" s="124" t="str">
        <f>IF($B407="","",IFERROR(-AD407,"n.b."))</f>
        <v/>
      </c>
      <c r="BO407" s="124" t="str">
        <f>IF($B407="","",IFERROR(BK407+BM407,"n.b."))</f>
        <v/>
      </c>
      <c r="BP407" s="124" t="str">
        <f>IF($B407="","",IFERROR(BL407+BN407,"n.b."))</f>
        <v/>
      </c>
      <c r="BQ407" s="124" t="str">
        <f>IF($B407="","",IFERROR(-AM407,"n.b."))</f>
        <v/>
      </c>
      <c r="BR407" s="124" t="str">
        <f>IF($B407="","",IFERROR(-AO407,"n.b."))</f>
        <v/>
      </c>
      <c r="BS407" s="124" t="str">
        <f>IF($B407="","",IFERROR(-Z407,"n.b."))</f>
        <v/>
      </c>
      <c r="BT407" s="124" t="str">
        <f>IF($B407="","",IFERROR(-AA407,"n.b."))</f>
        <v/>
      </c>
      <c r="BU407" s="124" t="str">
        <f>IF($B407="","",IFERROR(-AE407,"n.b."))</f>
        <v/>
      </c>
      <c r="BV407" s="124" t="str">
        <f>IF($B407="","",IFERROR(-AF407,"n.b."))</f>
        <v/>
      </c>
      <c r="BW407" s="124" t="str">
        <f>IF($B407="","",IFERROR(-AG407,"n.b."))</f>
        <v/>
      </c>
      <c r="BX407" s="124" t="str">
        <f>IF($B407="","",IFERROR(-AH407,"n.b."))</f>
        <v/>
      </c>
      <c r="BY407" s="124" t="str">
        <f>IF($B407="","",IFERROR(-AI407,"n.b."))</f>
        <v/>
      </c>
      <c r="BZ407" s="124" t="str">
        <f>IF($B407="","",IFERROR(-AJ407,"n.b."))</f>
        <v/>
      </c>
      <c r="CA407" s="124" t="str">
        <f>IF($B407="","",IFERROR(-AK407,"n.b."))</f>
        <v/>
      </c>
      <c r="CB407" s="124" t="str">
        <f>IF($B407="","",IFERROR(-AL407,"n.b."))</f>
        <v/>
      </c>
      <c r="CC407" s="124" t="str">
        <f>IF($B407="","",IFERROR(-AP407,"n.b."))</f>
        <v/>
      </c>
      <c r="CD407" s="124" t="str">
        <f>IF($B407="","",IFERROR(-AQ407,"n.b."))</f>
        <v/>
      </c>
      <c r="CE407" s="124" t="str">
        <f>IF($B407="","",IFERROR(-AR407,"n.b."))</f>
        <v/>
      </c>
      <c r="CF407" s="124" t="str">
        <f>IF($B407="","",IFERROR(-AS407,"n.b."))</f>
        <v/>
      </c>
      <c r="CG407" s="124" t="str">
        <f>IF($B407="","",IFERROR(-AT407,"n.b."))</f>
        <v/>
      </c>
      <c r="CH407" s="124" t="str">
        <f>IF($B407="","",IFERROR(-AU407,"n.b."))</f>
        <v/>
      </c>
      <c r="CI407" s="124" t="str">
        <f>IF($B407="","",IFERROR(-AV407,"n.b."))</f>
        <v/>
      </c>
      <c r="CJ407" s="124" t="str">
        <f>IF($B407="","",IFERROR(-AW407,"n.b."))</f>
        <v/>
      </c>
      <c r="CK407" s="124" t="str">
        <f>IF($B407="","",IFERROR(-AX407,"n.b."))</f>
        <v/>
      </c>
      <c r="CL407" s="124" t="str">
        <f>IF($B407="","",IFERROR(-AY407,"n.b."))</f>
        <v/>
      </c>
      <c r="CM407" s="124" t="str">
        <f>IF($B407="","",IFERROR(-AZ407,"n.b."))</f>
        <v/>
      </c>
      <c r="CN407" s="124" t="str">
        <f>IF($B407="","",IFERROR(-BA407,"n.b."))</f>
        <v/>
      </c>
      <c r="CO407" s="124" t="str">
        <f>IF($B407="","",IFERROR(-BB407,"n.b."))</f>
        <v/>
      </c>
      <c r="CP407" s="124" t="str">
        <f>IF($B407="","",IFERROR(-BC407,"n.b."))</f>
        <v/>
      </c>
      <c r="CQ407" s="124" t="str">
        <f>IF($B407="","",IFERROR(-BD407,"n.b."))</f>
        <v/>
      </c>
      <c r="CR407" s="124" t="str">
        <f>IF($B407="","",IFERROR(-BE407,"n.b."))</f>
        <v/>
      </c>
      <c r="CS407" s="124" t="str">
        <f>IF($B407="","",IFERROR(IF(OR(ABS(T407+V407+X407+Z407-AB407)&gt;P_Tol,ABS(U407+W407+Y407+AA407-AD407)&gt;P_Tol,ABS(AE407+AG407+AI407+AK407-AM407)&gt;P_Tol,ABS(AF407+AH407+AJ407+AL407-AO407)&gt;P_Tol),1,0),1))</f>
        <v/>
      </c>
      <c r="CT407" s="124" t="str">
        <f>IF($B407="","",IFERROR(IF(OR(ABS(AB407+AC407-AD407)&gt;P_Tol,ABS(AM407+AN407-AO407)&gt;P_Tol,ABS(O407+P407-Q407)&gt;P_Tol),1,0),1))</f>
        <v/>
      </c>
      <c r="CU407" s="124" t="str">
        <f>IF($B407="","",IFERROR(IF(ABS(R407-(AB407+AM407+AP407+AR407+AT407+AV407+AX407+AZ407+BB407+BD407))&gt;P_Tol,1,0),1))</f>
        <v/>
      </c>
      <c r="CV407" s="124" t="str">
        <f>IF($B407="","",IFERROR(IF(ABS(M407-(N407+O407+R407))&gt;P_Tol,1,0),1))</f>
        <v/>
      </c>
      <c r="CW407" s="124" t="str">
        <f>IF($B407="","",IF(COUNTIF(Mapping!$A$5:$A$104,B407)&gt;0,1,0))</f>
        <v/>
      </c>
      <c r="CX407" s="124" t="str">
        <f>IF($B407="","",COUNTIF($B$6:$B$505,B407))</f>
        <v/>
      </c>
      <c r="CY407" s="124" t="str">
        <f>IF($B407="","",COUNTIF(STG_Woningetalage!$B$6:$B$505,B407))</f>
        <v/>
      </c>
      <c r="CZ407" s="124" t="str">
        <f>IF($B407="","",IF(CW407=0,COUNTIF($CW$6:CW407,0),""))</f>
        <v/>
      </c>
    </row>
    <row r="408">
      <c r="A408" s="15" t="n">
        <v>404</v>
      </c>
      <c r="B408" t="str">
        <f>IF(B$3=0,"",IF(INDEX(SRC_ZPMW03!$A$1:$ZZ$501,$A408,B$3)&amp;""="","",INDEX(SRC_ZPMW03!$A$1:$ZZ$501,$A408,B$3)&amp;""))</f>
        <v/>
      </c>
      <c r="C408" t="str">
        <f>IF($B408="","",IF(C$3=0,"n.b.",INDEX(SRC_ZPMW03!$A$1:$ZZ$501,$A408,C$3)))</f>
        <v/>
      </c>
      <c r="D408" t="str">
        <f>IF($B408="","",IF(D$3=0,"n.b.",INDEX(SRC_ZPMW03!$A$1:$ZZ$501,$A408,D$3)))</f>
        <v/>
      </c>
      <c r="E408" t="str">
        <f>IF($B408="","",IF(E$3=0,"n.b.",INDEX(SRC_ZPMW03!$A$1:$ZZ$501,$A408,E$3)))</f>
        <v/>
      </c>
      <c r="F408" t="str">
        <f>IF($B408="","",IF(F$3=0,"n.b.",INDEX(SRC_ZPMW03!$A$1:$ZZ$501,$A408,F$3)))</f>
        <v/>
      </c>
      <c r="G408" t="str">
        <f>IF($B408="","",IF(G$3=0,"n.b.",INDEX(SRC_ZPMW03!$A$1:$ZZ$501,$A408,G$3)))</f>
        <v/>
      </c>
      <c r="H408" t="str">
        <f>IF($B408="","",IF(H$3=0,"n.b.",INDEX(SRC_ZPMW03!$A$1:$ZZ$501,$A408,H$3)))</f>
        <v/>
      </c>
      <c r="I408" t="str">
        <f>IF($B408="","",IF(I$3=0,"n.b.",INDEX(SRC_ZPMW03!$A$1:$ZZ$501,$A408,I$3)))</f>
        <v/>
      </c>
      <c r="J408" t="str">
        <f>IF($B408="","",IF(J$3=0,"n.b.",INDEX(SRC_ZPMW03!$A$1:$ZZ$501,$A408,J$3)))</f>
        <v/>
      </c>
      <c r="K408" t="str">
        <f>IF($B408="","",IF(K$3=0,"n.b.",INDEX(SRC_ZPMW03!$A$1:$ZZ$501,$A408,K$3)))</f>
        <v/>
      </c>
      <c r="L408" s="124" t="str">
        <f>IF($B408="","",IF(L$3=0,"n.b.",INDEX(SRC_ZPMW03!$A$1:$ZZ$501,$A408,L$3)))</f>
        <v/>
      </c>
      <c r="M408" s="124" t="str">
        <f>IF($B408="","",IF(M$3=0,"n.b.",INDEX(SRC_ZPMW03!$A$1:$ZZ$501,$A408,M$3)))</f>
        <v/>
      </c>
      <c r="N408" s="124" t="str">
        <f>IF($B408="","",IF(N$3=0,"n.b.",INDEX(SRC_ZPMW03!$A$1:$ZZ$501,$A408,N$3)))</f>
        <v/>
      </c>
      <c r="O408" s="124" t="str">
        <f>IF($B408="","",IF(O$3=0,"n.b.",INDEX(SRC_ZPMW03!$A$1:$ZZ$501,$A408,O$3)))</f>
        <v/>
      </c>
      <c r="P408" s="124" t="str">
        <f>IF($B408="","",IF(P$3=0,"n.b.",INDEX(SRC_ZPMW03!$A$1:$ZZ$501,$A408,P$3)))</f>
        <v/>
      </c>
      <c r="Q408" s="124" t="str">
        <f>IF($B408="","",IF(Q$3=0,"n.b.",INDEX(SRC_ZPMW03!$A$1:$ZZ$501,$A408,Q$3)))</f>
        <v/>
      </c>
      <c r="R408" s="124" t="str">
        <f>IF($B408="","",IF(R$3=0,"n.b.",INDEX(SRC_ZPMW03!$A$1:$ZZ$501,$A408,R$3)))</f>
        <v/>
      </c>
      <c r="S408" s="124" t="str">
        <f>IF($B408="","",IF(S$3=0,"n.b.",INDEX(SRC_ZPMW03!$A$1:$ZZ$501,$A408,S$3)))</f>
        <v/>
      </c>
      <c r="T408" s="124" t="str">
        <f>IF($B408="","",IF(T$3=0,"n.b.",INDEX(SRC_ZPMW03!$A$1:$ZZ$501,$A408,T$3)))</f>
        <v/>
      </c>
      <c r="U408" s="124" t="str">
        <f>IF($B408="","",IF(U$3=0,"n.b.",INDEX(SRC_ZPMW03!$A$1:$ZZ$501,$A408,U$3)))</f>
        <v/>
      </c>
      <c r="V408" s="124" t="str">
        <f>IF($B408="","",IF(V$3=0,"n.b.",INDEX(SRC_ZPMW03!$A$1:$ZZ$501,$A408,V$3)))</f>
        <v/>
      </c>
      <c r="W408" s="124" t="str">
        <f>IF($B408="","",IF(W$3=0,"n.b.",INDEX(SRC_ZPMW03!$A$1:$ZZ$501,$A408,W$3)))</f>
        <v/>
      </c>
      <c r="X408" s="124" t="str">
        <f>IF($B408="","",IF(X$3=0,"n.b.",INDEX(SRC_ZPMW03!$A$1:$ZZ$501,$A408,X$3)))</f>
        <v/>
      </c>
      <c r="Y408" s="124" t="str">
        <f>IF($B408="","",IF(Y$3=0,"n.b.",INDEX(SRC_ZPMW03!$A$1:$ZZ$501,$A408,Y$3)))</f>
        <v/>
      </c>
      <c r="Z408" s="124" t="str">
        <f>IF($B408="","",IF(Z$3=0,"n.b.",INDEX(SRC_ZPMW03!$A$1:$ZZ$501,$A408,Z$3)))</f>
        <v/>
      </c>
      <c r="AA408" s="124" t="str">
        <f>IF($B408="","",IF(AA$3=0,"n.b.",INDEX(SRC_ZPMW03!$A$1:$ZZ$501,$A408,AA$3)))</f>
        <v/>
      </c>
      <c r="AB408" s="124" t="str">
        <f>IF($B408="","",IF(AB$3=0,"n.b.",INDEX(SRC_ZPMW03!$A$1:$ZZ$501,$A408,AB$3)))</f>
        <v/>
      </c>
      <c r="AC408" s="124" t="str">
        <f>IF($B408="","",IF(AC$3=0,"n.b.",INDEX(SRC_ZPMW03!$A$1:$ZZ$501,$A408,AC$3)))</f>
        <v/>
      </c>
      <c r="AD408" s="124" t="str">
        <f>IF($B408="","",IF(AD$3=0,"n.b.",INDEX(SRC_ZPMW03!$A$1:$ZZ$501,$A408,AD$3)))</f>
        <v/>
      </c>
      <c r="AE408" s="124" t="str">
        <f>IF($B408="","",IF(AE$3=0,"n.b.",INDEX(SRC_ZPMW03!$A$1:$ZZ$501,$A408,AE$3)))</f>
        <v/>
      </c>
      <c r="AF408" s="124" t="str">
        <f>IF($B408="","",IF(AF$3=0,"n.b.",INDEX(SRC_ZPMW03!$A$1:$ZZ$501,$A408,AF$3)))</f>
        <v/>
      </c>
      <c r="AG408" s="124" t="str">
        <f>IF($B408="","",IF(AG$3=0,"n.b.",INDEX(SRC_ZPMW03!$A$1:$ZZ$501,$A408,AG$3)))</f>
        <v/>
      </c>
      <c r="AH408" s="124" t="str">
        <f>IF($B408="","",IF(AH$3=0,"n.b.",INDEX(SRC_ZPMW03!$A$1:$ZZ$501,$A408,AH$3)))</f>
        <v/>
      </c>
      <c r="AI408" s="124" t="str">
        <f>IF($B408="","",IF(AI$3=0,"n.b.",INDEX(SRC_ZPMW03!$A$1:$ZZ$501,$A408,AI$3)))</f>
        <v/>
      </c>
      <c r="AJ408" s="124" t="str">
        <f>IF($B408="","",IF(AJ$3=0,"n.b.",INDEX(SRC_ZPMW03!$A$1:$ZZ$501,$A408,AJ$3)))</f>
        <v/>
      </c>
      <c r="AK408" s="124" t="str">
        <f>IF($B408="","",IF(AK$3=0,"n.b.",INDEX(SRC_ZPMW03!$A$1:$ZZ$501,$A408,AK$3)))</f>
        <v/>
      </c>
      <c r="AL408" s="124" t="str">
        <f>IF($B408="","",IF(AL$3=0,"n.b.",INDEX(SRC_ZPMW03!$A$1:$ZZ$501,$A408,AL$3)))</f>
        <v/>
      </c>
      <c r="AM408" s="124" t="str">
        <f>IF($B408="","",IF(AM$3=0,"n.b.",INDEX(SRC_ZPMW03!$A$1:$ZZ$501,$A408,AM$3)))</f>
        <v/>
      </c>
      <c r="AN408" s="124" t="str">
        <f>IF($B408="","",IF(AN$3=0,"n.b.",INDEX(SRC_ZPMW03!$A$1:$ZZ$501,$A408,AN$3)))</f>
        <v/>
      </c>
      <c r="AO408" s="124" t="str">
        <f>IF($B408="","",IF(AO$3=0,"n.b.",INDEX(SRC_ZPMW03!$A$1:$ZZ$501,$A408,AO$3)))</f>
        <v/>
      </c>
      <c r="AP408" s="124" t="str">
        <f>IF($B408="","",IF(AP$3=0,"n.b.",INDEX(SRC_ZPMW03!$A$1:$ZZ$501,$A408,AP$3)))</f>
        <v/>
      </c>
      <c r="AQ408" s="124" t="str">
        <f>IF($B408="","",IF(AQ$3=0,"n.b.",INDEX(SRC_ZPMW03!$A$1:$ZZ$501,$A408,AQ$3)))</f>
        <v/>
      </c>
      <c r="AR408" s="124" t="str">
        <f>IF($B408="","",IF(AR$3=0,"n.b.",INDEX(SRC_ZPMW03!$A$1:$ZZ$501,$A408,AR$3)))</f>
        <v/>
      </c>
      <c r="AS408" s="124" t="str">
        <f>IF($B408="","",IF(AS$3=0,"n.b.",INDEX(SRC_ZPMW03!$A$1:$ZZ$501,$A408,AS$3)))</f>
        <v/>
      </c>
      <c r="AT408" s="124" t="str">
        <f>IF($B408="","",IF(AT$3=0,"n.b.",INDEX(SRC_ZPMW03!$A$1:$ZZ$501,$A408,AT$3)))</f>
        <v/>
      </c>
      <c r="AU408" s="124" t="str">
        <f>IF($B408="","",IF(AU$3=0,"n.b.",INDEX(SRC_ZPMW03!$A$1:$ZZ$501,$A408,AU$3)))</f>
        <v/>
      </c>
      <c r="AV408" s="124" t="str">
        <f>IF($B408="","",IF(AV$3=0,"n.b.",INDEX(SRC_ZPMW03!$A$1:$ZZ$501,$A408,AV$3)))</f>
        <v/>
      </c>
      <c r="AW408" s="124" t="str">
        <f>IF($B408="","",IF(AW$3=0,"n.b.",INDEX(SRC_ZPMW03!$A$1:$ZZ$501,$A408,AW$3)))</f>
        <v/>
      </c>
      <c r="AX408" s="124" t="str">
        <f>IF($B408="","",IF(AX$3=0,"n.b.",INDEX(SRC_ZPMW03!$A$1:$ZZ$501,$A408,AX$3)))</f>
        <v/>
      </c>
      <c r="AY408" s="124" t="str">
        <f>IF($B408="","",IF(AY$3=0,"n.b.",INDEX(SRC_ZPMW03!$A$1:$ZZ$501,$A408,AY$3)))</f>
        <v/>
      </c>
      <c r="AZ408" s="124" t="str">
        <f>IF($B408="","",IF(AZ$3=0,"n.b.",INDEX(SRC_ZPMW03!$A$1:$ZZ$501,$A408,AZ$3)))</f>
        <v/>
      </c>
      <c r="BA408" s="124" t="str">
        <f>IF($B408="","",IF(BA$3=0,"n.b.",INDEX(SRC_ZPMW03!$A$1:$ZZ$501,$A408,BA$3)))</f>
        <v/>
      </c>
      <c r="BB408" s="124" t="str">
        <f>IF($B408="","",IF(BB$3=0,"n.b.",INDEX(SRC_ZPMW03!$A$1:$ZZ$501,$A408,BB$3)))</f>
        <v/>
      </c>
      <c r="BC408" s="124" t="str">
        <f>IF($B408="","",IF(BC$3=0,"n.b.",INDEX(SRC_ZPMW03!$A$1:$ZZ$501,$A408,BC$3)))</f>
        <v/>
      </c>
      <c r="BD408" s="124" t="str">
        <f>IF($B408="","",IF(BD$3=0,"n.b.",INDEX(SRC_ZPMW03!$A$1:$ZZ$501,$A408,BD$3)))</f>
        <v/>
      </c>
      <c r="BE408" s="124" t="str">
        <f>IF($B408="","",IF(BE$3=0,"n.b.",INDEX(SRC_ZPMW03!$A$1:$ZZ$501,$A408,BE$3)))</f>
        <v/>
      </c>
      <c r="BF408" s="124" t="str">
        <f>IF($B408="","",IF(BF$3=0,"n.b.",INDEX(SRC_ZPMW03!$A$1:$ZZ$501,$A408,BF$3)))</f>
        <v/>
      </c>
      <c r="BG408" t="str">
        <f>IF($B408="","",IF(BG$3=0,"n.b.",INDEX(SRC_ZPMW03!$A$1:$ZZ$501,$A408,BG$3)))</f>
        <v/>
      </c>
      <c r="BH408" t="str">
        <f>IF($B408="","",IF(BH$3=0,"n.b.",INDEX(SRC_ZPMW03!$A$1:$ZZ$501,$A408,BH$3)))</f>
        <v/>
      </c>
      <c r="BI408" t="str">
        <f>IF($B408="","",IF(BI$3=0,"n.b.",INDEX(SRC_ZPMW03!$A$1:$ZZ$501,$A408,BI$3)))</f>
        <v/>
      </c>
      <c r="BJ408" t="str">
        <f>IF($B408="","",IF(BJ$3=0,"n.b.",INDEX(SRC_ZPMW03!$A$1:$ZZ$501,$A408,BJ$3)))</f>
        <v/>
      </c>
      <c r="BK408" s="124" t="str">
        <f>IF($B408="","",IFERROR(-O408,"n.b."))</f>
        <v/>
      </c>
      <c r="BL408" s="124" t="str">
        <f>IF($B408="","",IFERROR(-Q408,"n.b."))</f>
        <v/>
      </c>
      <c r="BM408" s="124" t="str">
        <f>IF($B408="","",IFERROR(-AB408,"n.b."))</f>
        <v/>
      </c>
      <c r="BN408" s="124" t="str">
        <f>IF($B408="","",IFERROR(-AD408,"n.b."))</f>
        <v/>
      </c>
      <c r="BO408" s="124" t="str">
        <f>IF($B408="","",IFERROR(BK408+BM408,"n.b."))</f>
        <v/>
      </c>
      <c r="BP408" s="124" t="str">
        <f>IF($B408="","",IFERROR(BL408+BN408,"n.b."))</f>
        <v/>
      </c>
      <c r="BQ408" s="124" t="str">
        <f>IF($B408="","",IFERROR(-AM408,"n.b."))</f>
        <v/>
      </c>
      <c r="BR408" s="124" t="str">
        <f>IF($B408="","",IFERROR(-AO408,"n.b."))</f>
        <v/>
      </c>
      <c r="BS408" s="124" t="str">
        <f>IF($B408="","",IFERROR(-Z408,"n.b."))</f>
        <v/>
      </c>
      <c r="BT408" s="124" t="str">
        <f>IF($B408="","",IFERROR(-AA408,"n.b."))</f>
        <v/>
      </c>
      <c r="BU408" s="124" t="str">
        <f>IF($B408="","",IFERROR(-AE408,"n.b."))</f>
        <v/>
      </c>
      <c r="BV408" s="124" t="str">
        <f>IF($B408="","",IFERROR(-AF408,"n.b."))</f>
        <v/>
      </c>
      <c r="BW408" s="124" t="str">
        <f>IF($B408="","",IFERROR(-AG408,"n.b."))</f>
        <v/>
      </c>
      <c r="BX408" s="124" t="str">
        <f>IF($B408="","",IFERROR(-AH408,"n.b."))</f>
        <v/>
      </c>
      <c r="BY408" s="124" t="str">
        <f>IF($B408="","",IFERROR(-AI408,"n.b."))</f>
        <v/>
      </c>
      <c r="BZ408" s="124" t="str">
        <f>IF($B408="","",IFERROR(-AJ408,"n.b."))</f>
        <v/>
      </c>
      <c r="CA408" s="124" t="str">
        <f>IF($B408="","",IFERROR(-AK408,"n.b."))</f>
        <v/>
      </c>
      <c r="CB408" s="124" t="str">
        <f>IF($B408="","",IFERROR(-AL408,"n.b."))</f>
        <v/>
      </c>
      <c r="CC408" s="124" t="str">
        <f>IF($B408="","",IFERROR(-AP408,"n.b."))</f>
        <v/>
      </c>
      <c r="CD408" s="124" t="str">
        <f>IF($B408="","",IFERROR(-AQ408,"n.b."))</f>
        <v/>
      </c>
      <c r="CE408" s="124" t="str">
        <f>IF($B408="","",IFERROR(-AR408,"n.b."))</f>
        <v/>
      </c>
      <c r="CF408" s="124" t="str">
        <f>IF($B408="","",IFERROR(-AS408,"n.b."))</f>
        <v/>
      </c>
      <c r="CG408" s="124" t="str">
        <f>IF($B408="","",IFERROR(-AT408,"n.b."))</f>
        <v/>
      </c>
      <c r="CH408" s="124" t="str">
        <f>IF($B408="","",IFERROR(-AU408,"n.b."))</f>
        <v/>
      </c>
      <c r="CI408" s="124" t="str">
        <f>IF($B408="","",IFERROR(-AV408,"n.b."))</f>
        <v/>
      </c>
      <c r="CJ408" s="124" t="str">
        <f>IF($B408="","",IFERROR(-AW408,"n.b."))</f>
        <v/>
      </c>
      <c r="CK408" s="124" t="str">
        <f>IF($B408="","",IFERROR(-AX408,"n.b."))</f>
        <v/>
      </c>
      <c r="CL408" s="124" t="str">
        <f>IF($B408="","",IFERROR(-AY408,"n.b."))</f>
        <v/>
      </c>
      <c r="CM408" s="124" t="str">
        <f>IF($B408="","",IFERROR(-AZ408,"n.b."))</f>
        <v/>
      </c>
      <c r="CN408" s="124" t="str">
        <f>IF($B408="","",IFERROR(-BA408,"n.b."))</f>
        <v/>
      </c>
      <c r="CO408" s="124" t="str">
        <f>IF($B408="","",IFERROR(-BB408,"n.b."))</f>
        <v/>
      </c>
      <c r="CP408" s="124" t="str">
        <f>IF($B408="","",IFERROR(-BC408,"n.b."))</f>
        <v/>
      </c>
      <c r="CQ408" s="124" t="str">
        <f>IF($B408="","",IFERROR(-BD408,"n.b."))</f>
        <v/>
      </c>
      <c r="CR408" s="124" t="str">
        <f>IF($B408="","",IFERROR(-BE408,"n.b."))</f>
        <v/>
      </c>
      <c r="CS408" s="124" t="str">
        <f>IF($B408="","",IFERROR(IF(OR(ABS(T408+V408+X408+Z408-AB408)&gt;P_Tol,ABS(U408+W408+Y408+AA408-AD408)&gt;P_Tol,ABS(AE408+AG408+AI408+AK408-AM408)&gt;P_Tol,ABS(AF408+AH408+AJ408+AL408-AO408)&gt;P_Tol),1,0),1))</f>
        <v/>
      </c>
      <c r="CT408" s="124" t="str">
        <f>IF($B408="","",IFERROR(IF(OR(ABS(AB408+AC408-AD408)&gt;P_Tol,ABS(AM408+AN408-AO408)&gt;P_Tol,ABS(O408+P408-Q408)&gt;P_Tol),1,0),1))</f>
        <v/>
      </c>
      <c r="CU408" s="124" t="str">
        <f>IF($B408="","",IFERROR(IF(ABS(R408-(AB408+AM408+AP408+AR408+AT408+AV408+AX408+AZ408+BB408+BD408))&gt;P_Tol,1,0),1))</f>
        <v/>
      </c>
      <c r="CV408" s="124" t="str">
        <f>IF($B408="","",IFERROR(IF(ABS(M408-(N408+O408+R408))&gt;P_Tol,1,0),1))</f>
        <v/>
      </c>
      <c r="CW408" s="124" t="str">
        <f>IF($B408="","",IF(COUNTIF(Mapping!$A$5:$A$104,B408)&gt;0,1,0))</f>
        <v/>
      </c>
      <c r="CX408" s="124" t="str">
        <f>IF($B408="","",COUNTIF($B$6:$B$505,B408))</f>
        <v/>
      </c>
      <c r="CY408" s="124" t="str">
        <f>IF($B408="","",COUNTIF(STG_Woningetalage!$B$6:$B$505,B408))</f>
        <v/>
      </c>
      <c r="CZ408" s="124" t="str">
        <f>IF($B408="","",IF(CW408=0,COUNTIF($CW$6:CW408,0),""))</f>
        <v/>
      </c>
    </row>
    <row r="409">
      <c r="A409" s="15" t="n">
        <v>405</v>
      </c>
      <c r="B409" t="str">
        <f>IF(B$3=0,"",IF(INDEX(SRC_ZPMW03!$A$1:$ZZ$501,$A409,B$3)&amp;""="","",INDEX(SRC_ZPMW03!$A$1:$ZZ$501,$A409,B$3)&amp;""))</f>
        <v/>
      </c>
      <c r="C409" t="str">
        <f>IF($B409="","",IF(C$3=0,"n.b.",INDEX(SRC_ZPMW03!$A$1:$ZZ$501,$A409,C$3)))</f>
        <v/>
      </c>
      <c r="D409" t="str">
        <f>IF($B409="","",IF(D$3=0,"n.b.",INDEX(SRC_ZPMW03!$A$1:$ZZ$501,$A409,D$3)))</f>
        <v/>
      </c>
      <c r="E409" t="str">
        <f>IF($B409="","",IF(E$3=0,"n.b.",INDEX(SRC_ZPMW03!$A$1:$ZZ$501,$A409,E$3)))</f>
        <v/>
      </c>
      <c r="F409" t="str">
        <f>IF($B409="","",IF(F$3=0,"n.b.",INDEX(SRC_ZPMW03!$A$1:$ZZ$501,$A409,F$3)))</f>
        <v/>
      </c>
      <c r="G409" t="str">
        <f>IF($B409="","",IF(G$3=0,"n.b.",INDEX(SRC_ZPMW03!$A$1:$ZZ$501,$A409,G$3)))</f>
        <v/>
      </c>
      <c r="H409" t="str">
        <f>IF($B409="","",IF(H$3=0,"n.b.",INDEX(SRC_ZPMW03!$A$1:$ZZ$501,$A409,H$3)))</f>
        <v/>
      </c>
      <c r="I409" t="str">
        <f>IF($B409="","",IF(I$3=0,"n.b.",INDEX(SRC_ZPMW03!$A$1:$ZZ$501,$A409,I$3)))</f>
        <v/>
      </c>
      <c r="J409" t="str">
        <f>IF($B409="","",IF(J$3=0,"n.b.",INDEX(SRC_ZPMW03!$A$1:$ZZ$501,$A409,J$3)))</f>
        <v/>
      </c>
      <c r="K409" t="str">
        <f>IF($B409="","",IF(K$3=0,"n.b.",INDEX(SRC_ZPMW03!$A$1:$ZZ$501,$A409,K$3)))</f>
        <v/>
      </c>
      <c r="L409" s="124" t="str">
        <f>IF($B409="","",IF(L$3=0,"n.b.",INDEX(SRC_ZPMW03!$A$1:$ZZ$501,$A409,L$3)))</f>
        <v/>
      </c>
      <c r="M409" s="124" t="str">
        <f>IF($B409="","",IF(M$3=0,"n.b.",INDEX(SRC_ZPMW03!$A$1:$ZZ$501,$A409,M$3)))</f>
        <v/>
      </c>
      <c r="N409" s="124" t="str">
        <f>IF($B409="","",IF(N$3=0,"n.b.",INDEX(SRC_ZPMW03!$A$1:$ZZ$501,$A409,N$3)))</f>
        <v/>
      </c>
      <c r="O409" s="124" t="str">
        <f>IF($B409="","",IF(O$3=0,"n.b.",INDEX(SRC_ZPMW03!$A$1:$ZZ$501,$A409,O$3)))</f>
        <v/>
      </c>
      <c r="P409" s="124" t="str">
        <f>IF($B409="","",IF(P$3=0,"n.b.",INDEX(SRC_ZPMW03!$A$1:$ZZ$501,$A409,P$3)))</f>
        <v/>
      </c>
      <c r="Q409" s="124" t="str">
        <f>IF($B409="","",IF(Q$3=0,"n.b.",INDEX(SRC_ZPMW03!$A$1:$ZZ$501,$A409,Q$3)))</f>
        <v/>
      </c>
      <c r="R409" s="124" t="str">
        <f>IF($B409="","",IF(R$3=0,"n.b.",INDEX(SRC_ZPMW03!$A$1:$ZZ$501,$A409,R$3)))</f>
        <v/>
      </c>
      <c r="S409" s="124" t="str">
        <f>IF($B409="","",IF(S$3=0,"n.b.",INDEX(SRC_ZPMW03!$A$1:$ZZ$501,$A409,S$3)))</f>
        <v/>
      </c>
      <c r="T409" s="124" t="str">
        <f>IF($B409="","",IF(T$3=0,"n.b.",INDEX(SRC_ZPMW03!$A$1:$ZZ$501,$A409,T$3)))</f>
        <v/>
      </c>
      <c r="U409" s="124" t="str">
        <f>IF($B409="","",IF(U$3=0,"n.b.",INDEX(SRC_ZPMW03!$A$1:$ZZ$501,$A409,U$3)))</f>
        <v/>
      </c>
      <c r="V409" s="124" t="str">
        <f>IF($B409="","",IF(V$3=0,"n.b.",INDEX(SRC_ZPMW03!$A$1:$ZZ$501,$A409,V$3)))</f>
        <v/>
      </c>
      <c r="W409" s="124" t="str">
        <f>IF($B409="","",IF(W$3=0,"n.b.",INDEX(SRC_ZPMW03!$A$1:$ZZ$501,$A409,W$3)))</f>
        <v/>
      </c>
      <c r="X409" s="124" t="str">
        <f>IF($B409="","",IF(X$3=0,"n.b.",INDEX(SRC_ZPMW03!$A$1:$ZZ$501,$A409,X$3)))</f>
        <v/>
      </c>
      <c r="Y409" s="124" t="str">
        <f>IF($B409="","",IF(Y$3=0,"n.b.",INDEX(SRC_ZPMW03!$A$1:$ZZ$501,$A409,Y$3)))</f>
        <v/>
      </c>
      <c r="Z409" s="124" t="str">
        <f>IF($B409="","",IF(Z$3=0,"n.b.",INDEX(SRC_ZPMW03!$A$1:$ZZ$501,$A409,Z$3)))</f>
        <v/>
      </c>
      <c r="AA409" s="124" t="str">
        <f>IF($B409="","",IF(AA$3=0,"n.b.",INDEX(SRC_ZPMW03!$A$1:$ZZ$501,$A409,AA$3)))</f>
        <v/>
      </c>
      <c r="AB409" s="124" t="str">
        <f>IF($B409="","",IF(AB$3=0,"n.b.",INDEX(SRC_ZPMW03!$A$1:$ZZ$501,$A409,AB$3)))</f>
        <v/>
      </c>
      <c r="AC409" s="124" t="str">
        <f>IF($B409="","",IF(AC$3=0,"n.b.",INDEX(SRC_ZPMW03!$A$1:$ZZ$501,$A409,AC$3)))</f>
        <v/>
      </c>
      <c r="AD409" s="124" t="str">
        <f>IF($B409="","",IF(AD$3=0,"n.b.",INDEX(SRC_ZPMW03!$A$1:$ZZ$501,$A409,AD$3)))</f>
        <v/>
      </c>
      <c r="AE409" s="124" t="str">
        <f>IF($B409="","",IF(AE$3=0,"n.b.",INDEX(SRC_ZPMW03!$A$1:$ZZ$501,$A409,AE$3)))</f>
        <v/>
      </c>
      <c r="AF409" s="124" t="str">
        <f>IF($B409="","",IF(AF$3=0,"n.b.",INDEX(SRC_ZPMW03!$A$1:$ZZ$501,$A409,AF$3)))</f>
        <v/>
      </c>
      <c r="AG409" s="124" t="str">
        <f>IF($B409="","",IF(AG$3=0,"n.b.",INDEX(SRC_ZPMW03!$A$1:$ZZ$501,$A409,AG$3)))</f>
        <v/>
      </c>
      <c r="AH409" s="124" t="str">
        <f>IF($B409="","",IF(AH$3=0,"n.b.",INDEX(SRC_ZPMW03!$A$1:$ZZ$501,$A409,AH$3)))</f>
        <v/>
      </c>
      <c r="AI409" s="124" t="str">
        <f>IF($B409="","",IF(AI$3=0,"n.b.",INDEX(SRC_ZPMW03!$A$1:$ZZ$501,$A409,AI$3)))</f>
        <v/>
      </c>
      <c r="AJ409" s="124" t="str">
        <f>IF($B409="","",IF(AJ$3=0,"n.b.",INDEX(SRC_ZPMW03!$A$1:$ZZ$501,$A409,AJ$3)))</f>
        <v/>
      </c>
      <c r="AK409" s="124" t="str">
        <f>IF($B409="","",IF(AK$3=0,"n.b.",INDEX(SRC_ZPMW03!$A$1:$ZZ$501,$A409,AK$3)))</f>
        <v/>
      </c>
      <c r="AL409" s="124" t="str">
        <f>IF($B409="","",IF(AL$3=0,"n.b.",INDEX(SRC_ZPMW03!$A$1:$ZZ$501,$A409,AL$3)))</f>
        <v/>
      </c>
      <c r="AM409" s="124" t="str">
        <f>IF($B409="","",IF(AM$3=0,"n.b.",INDEX(SRC_ZPMW03!$A$1:$ZZ$501,$A409,AM$3)))</f>
        <v/>
      </c>
      <c r="AN409" s="124" t="str">
        <f>IF($B409="","",IF(AN$3=0,"n.b.",INDEX(SRC_ZPMW03!$A$1:$ZZ$501,$A409,AN$3)))</f>
        <v/>
      </c>
      <c r="AO409" s="124" t="str">
        <f>IF($B409="","",IF(AO$3=0,"n.b.",INDEX(SRC_ZPMW03!$A$1:$ZZ$501,$A409,AO$3)))</f>
        <v/>
      </c>
      <c r="AP409" s="124" t="str">
        <f>IF($B409="","",IF(AP$3=0,"n.b.",INDEX(SRC_ZPMW03!$A$1:$ZZ$501,$A409,AP$3)))</f>
        <v/>
      </c>
      <c r="AQ409" s="124" t="str">
        <f>IF($B409="","",IF(AQ$3=0,"n.b.",INDEX(SRC_ZPMW03!$A$1:$ZZ$501,$A409,AQ$3)))</f>
        <v/>
      </c>
      <c r="AR409" s="124" t="str">
        <f>IF($B409="","",IF(AR$3=0,"n.b.",INDEX(SRC_ZPMW03!$A$1:$ZZ$501,$A409,AR$3)))</f>
        <v/>
      </c>
      <c r="AS409" s="124" t="str">
        <f>IF($B409="","",IF(AS$3=0,"n.b.",INDEX(SRC_ZPMW03!$A$1:$ZZ$501,$A409,AS$3)))</f>
        <v/>
      </c>
      <c r="AT409" s="124" t="str">
        <f>IF($B409="","",IF(AT$3=0,"n.b.",INDEX(SRC_ZPMW03!$A$1:$ZZ$501,$A409,AT$3)))</f>
        <v/>
      </c>
      <c r="AU409" s="124" t="str">
        <f>IF($B409="","",IF(AU$3=0,"n.b.",INDEX(SRC_ZPMW03!$A$1:$ZZ$501,$A409,AU$3)))</f>
        <v/>
      </c>
      <c r="AV409" s="124" t="str">
        <f>IF($B409="","",IF(AV$3=0,"n.b.",INDEX(SRC_ZPMW03!$A$1:$ZZ$501,$A409,AV$3)))</f>
        <v/>
      </c>
      <c r="AW409" s="124" t="str">
        <f>IF($B409="","",IF(AW$3=0,"n.b.",INDEX(SRC_ZPMW03!$A$1:$ZZ$501,$A409,AW$3)))</f>
        <v/>
      </c>
      <c r="AX409" s="124" t="str">
        <f>IF($B409="","",IF(AX$3=0,"n.b.",INDEX(SRC_ZPMW03!$A$1:$ZZ$501,$A409,AX$3)))</f>
        <v/>
      </c>
      <c r="AY409" s="124" t="str">
        <f>IF($B409="","",IF(AY$3=0,"n.b.",INDEX(SRC_ZPMW03!$A$1:$ZZ$501,$A409,AY$3)))</f>
        <v/>
      </c>
      <c r="AZ409" s="124" t="str">
        <f>IF($B409="","",IF(AZ$3=0,"n.b.",INDEX(SRC_ZPMW03!$A$1:$ZZ$501,$A409,AZ$3)))</f>
        <v/>
      </c>
      <c r="BA409" s="124" t="str">
        <f>IF($B409="","",IF(BA$3=0,"n.b.",INDEX(SRC_ZPMW03!$A$1:$ZZ$501,$A409,BA$3)))</f>
        <v/>
      </c>
      <c r="BB409" s="124" t="str">
        <f>IF($B409="","",IF(BB$3=0,"n.b.",INDEX(SRC_ZPMW03!$A$1:$ZZ$501,$A409,BB$3)))</f>
        <v/>
      </c>
      <c r="BC409" s="124" t="str">
        <f>IF($B409="","",IF(BC$3=0,"n.b.",INDEX(SRC_ZPMW03!$A$1:$ZZ$501,$A409,BC$3)))</f>
        <v/>
      </c>
      <c r="BD409" s="124" t="str">
        <f>IF($B409="","",IF(BD$3=0,"n.b.",INDEX(SRC_ZPMW03!$A$1:$ZZ$501,$A409,BD$3)))</f>
        <v/>
      </c>
      <c r="BE409" s="124" t="str">
        <f>IF($B409="","",IF(BE$3=0,"n.b.",INDEX(SRC_ZPMW03!$A$1:$ZZ$501,$A409,BE$3)))</f>
        <v/>
      </c>
      <c r="BF409" s="124" t="str">
        <f>IF($B409="","",IF(BF$3=0,"n.b.",INDEX(SRC_ZPMW03!$A$1:$ZZ$501,$A409,BF$3)))</f>
        <v/>
      </c>
      <c r="BG409" t="str">
        <f>IF($B409="","",IF(BG$3=0,"n.b.",INDEX(SRC_ZPMW03!$A$1:$ZZ$501,$A409,BG$3)))</f>
        <v/>
      </c>
      <c r="BH409" t="str">
        <f>IF($B409="","",IF(BH$3=0,"n.b.",INDEX(SRC_ZPMW03!$A$1:$ZZ$501,$A409,BH$3)))</f>
        <v/>
      </c>
      <c r="BI409" t="str">
        <f>IF($B409="","",IF(BI$3=0,"n.b.",INDEX(SRC_ZPMW03!$A$1:$ZZ$501,$A409,BI$3)))</f>
        <v/>
      </c>
      <c r="BJ409" t="str">
        <f>IF($B409="","",IF(BJ$3=0,"n.b.",INDEX(SRC_ZPMW03!$A$1:$ZZ$501,$A409,BJ$3)))</f>
        <v/>
      </c>
      <c r="BK409" s="124" t="str">
        <f>IF($B409="","",IFERROR(-O409,"n.b."))</f>
        <v/>
      </c>
      <c r="BL409" s="124" t="str">
        <f>IF($B409="","",IFERROR(-Q409,"n.b."))</f>
        <v/>
      </c>
      <c r="BM409" s="124" t="str">
        <f>IF($B409="","",IFERROR(-AB409,"n.b."))</f>
        <v/>
      </c>
      <c r="BN409" s="124" t="str">
        <f>IF($B409="","",IFERROR(-AD409,"n.b."))</f>
        <v/>
      </c>
      <c r="BO409" s="124" t="str">
        <f>IF($B409="","",IFERROR(BK409+BM409,"n.b."))</f>
        <v/>
      </c>
      <c r="BP409" s="124" t="str">
        <f>IF($B409="","",IFERROR(BL409+BN409,"n.b."))</f>
        <v/>
      </c>
      <c r="BQ409" s="124" t="str">
        <f>IF($B409="","",IFERROR(-AM409,"n.b."))</f>
        <v/>
      </c>
      <c r="BR409" s="124" t="str">
        <f>IF($B409="","",IFERROR(-AO409,"n.b."))</f>
        <v/>
      </c>
      <c r="BS409" s="124" t="str">
        <f>IF($B409="","",IFERROR(-Z409,"n.b."))</f>
        <v/>
      </c>
      <c r="BT409" s="124" t="str">
        <f>IF($B409="","",IFERROR(-AA409,"n.b."))</f>
        <v/>
      </c>
      <c r="BU409" s="124" t="str">
        <f>IF($B409="","",IFERROR(-AE409,"n.b."))</f>
        <v/>
      </c>
      <c r="BV409" s="124" t="str">
        <f>IF($B409="","",IFERROR(-AF409,"n.b."))</f>
        <v/>
      </c>
      <c r="BW409" s="124" t="str">
        <f>IF($B409="","",IFERROR(-AG409,"n.b."))</f>
        <v/>
      </c>
      <c r="BX409" s="124" t="str">
        <f>IF($B409="","",IFERROR(-AH409,"n.b."))</f>
        <v/>
      </c>
      <c r="BY409" s="124" t="str">
        <f>IF($B409="","",IFERROR(-AI409,"n.b."))</f>
        <v/>
      </c>
      <c r="BZ409" s="124" t="str">
        <f>IF($B409="","",IFERROR(-AJ409,"n.b."))</f>
        <v/>
      </c>
      <c r="CA409" s="124" t="str">
        <f>IF($B409="","",IFERROR(-AK409,"n.b."))</f>
        <v/>
      </c>
      <c r="CB409" s="124" t="str">
        <f>IF($B409="","",IFERROR(-AL409,"n.b."))</f>
        <v/>
      </c>
      <c r="CC409" s="124" t="str">
        <f>IF($B409="","",IFERROR(-AP409,"n.b."))</f>
        <v/>
      </c>
      <c r="CD409" s="124" t="str">
        <f>IF($B409="","",IFERROR(-AQ409,"n.b."))</f>
        <v/>
      </c>
      <c r="CE409" s="124" t="str">
        <f>IF($B409="","",IFERROR(-AR409,"n.b."))</f>
        <v/>
      </c>
      <c r="CF409" s="124" t="str">
        <f>IF($B409="","",IFERROR(-AS409,"n.b."))</f>
        <v/>
      </c>
      <c r="CG409" s="124" t="str">
        <f>IF($B409="","",IFERROR(-AT409,"n.b."))</f>
        <v/>
      </c>
      <c r="CH409" s="124" t="str">
        <f>IF($B409="","",IFERROR(-AU409,"n.b."))</f>
        <v/>
      </c>
      <c r="CI409" s="124" t="str">
        <f>IF($B409="","",IFERROR(-AV409,"n.b."))</f>
        <v/>
      </c>
      <c r="CJ409" s="124" t="str">
        <f>IF($B409="","",IFERROR(-AW409,"n.b."))</f>
        <v/>
      </c>
      <c r="CK409" s="124" t="str">
        <f>IF($B409="","",IFERROR(-AX409,"n.b."))</f>
        <v/>
      </c>
      <c r="CL409" s="124" t="str">
        <f>IF($B409="","",IFERROR(-AY409,"n.b."))</f>
        <v/>
      </c>
      <c r="CM409" s="124" t="str">
        <f>IF($B409="","",IFERROR(-AZ409,"n.b."))</f>
        <v/>
      </c>
      <c r="CN409" s="124" t="str">
        <f>IF($B409="","",IFERROR(-BA409,"n.b."))</f>
        <v/>
      </c>
      <c r="CO409" s="124" t="str">
        <f>IF($B409="","",IFERROR(-BB409,"n.b."))</f>
        <v/>
      </c>
      <c r="CP409" s="124" t="str">
        <f>IF($B409="","",IFERROR(-BC409,"n.b."))</f>
        <v/>
      </c>
      <c r="CQ409" s="124" t="str">
        <f>IF($B409="","",IFERROR(-BD409,"n.b."))</f>
        <v/>
      </c>
      <c r="CR409" s="124" t="str">
        <f>IF($B409="","",IFERROR(-BE409,"n.b."))</f>
        <v/>
      </c>
      <c r="CS409" s="124" t="str">
        <f>IF($B409="","",IFERROR(IF(OR(ABS(T409+V409+X409+Z409-AB409)&gt;P_Tol,ABS(U409+W409+Y409+AA409-AD409)&gt;P_Tol,ABS(AE409+AG409+AI409+AK409-AM409)&gt;P_Tol,ABS(AF409+AH409+AJ409+AL409-AO409)&gt;P_Tol),1,0),1))</f>
        <v/>
      </c>
      <c r="CT409" s="124" t="str">
        <f>IF($B409="","",IFERROR(IF(OR(ABS(AB409+AC409-AD409)&gt;P_Tol,ABS(AM409+AN409-AO409)&gt;P_Tol,ABS(O409+P409-Q409)&gt;P_Tol),1,0),1))</f>
        <v/>
      </c>
      <c r="CU409" s="124" t="str">
        <f>IF($B409="","",IFERROR(IF(ABS(R409-(AB409+AM409+AP409+AR409+AT409+AV409+AX409+AZ409+BB409+BD409))&gt;P_Tol,1,0),1))</f>
        <v/>
      </c>
      <c r="CV409" s="124" t="str">
        <f>IF($B409="","",IFERROR(IF(ABS(M409-(N409+O409+R409))&gt;P_Tol,1,0),1))</f>
        <v/>
      </c>
      <c r="CW409" s="124" t="str">
        <f>IF($B409="","",IF(COUNTIF(Mapping!$A$5:$A$104,B409)&gt;0,1,0))</f>
        <v/>
      </c>
      <c r="CX409" s="124" t="str">
        <f>IF($B409="","",COUNTIF($B$6:$B$505,B409))</f>
        <v/>
      </c>
      <c r="CY409" s="124" t="str">
        <f>IF($B409="","",COUNTIF(STG_Woningetalage!$B$6:$B$505,B409))</f>
        <v/>
      </c>
      <c r="CZ409" s="124" t="str">
        <f>IF($B409="","",IF(CW409=0,COUNTIF($CW$6:CW409,0),""))</f>
        <v/>
      </c>
    </row>
    <row r="410">
      <c r="A410" s="15" t="n">
        <v>406</v>
      </c>
      <c r="B410" t="str">
        <f>IF(B$3=0,"",IF(INDEX(SRC_ZPMW03!$A$1:$ZZ$501,$A410,B$3)&amp;""="","",INDEX(SRC_ZPMW03!$A$1:$ZZ$501,$A410,B$3)&amp;""))</f>
        <v/>
      </c>
      <c r="C410" t="str">
        <f>IF($B410="","",IF(C$3=0,"n.b.",INDEX(SRC_ZPMW03!$A$1:$ZZ$501,$A410,C$3)))</f>
        <v/>
      </c>
      <c r="D410" t="str">
        <f>IF($B410="","",IF(D$3=0,"n.b.",INDEX(SRC_ZPMW03!$A$1:$ZZ$501,$A410,D$3)))</f>
        <v/>
      </c>
      <c r="E410" t="str">
        <f>IF($B410="","",IF(E$3=0,"n.b.",INDEX(SRC_ZPMW03!$A$1:$ZZ$501,$A410,E$3)))</f>
        <v/>
      </c>
      <c r="F410" t="str">
        <f>IF($B410="","",IF(F$3=0,"n.b.",INDEX(SRC_ZPMW03!$A$1:$ZZ$501,$A410,F$3)))</f>
        <v/>
      </c>
      <c r="G410" t="str">
        <f>IF($B410="","",IF(G$3=0,"n.b.",INDEX(SRC_ZPMW03!$A$1:$ZZ$501,$A410,G$3)))</f>
        <v/>
      </c>
      <c r="H410" t="str">
        <f>IF($B410="","",IF(H$3=0,"n.b.",INDEX(SRC_ZPMW03!$A$1:$ZZ$501,$A410,H$3)))</f>
        <v/>
      </c>
      <c r="I410" t="str">
        <f>IF($B410="","",IF(I$3=0,"n.b.",INDEX(SRC_ZPMW03!$A$1:$ZZ$501,$A410,I$3)))</f>
        <v/>
      </c>
      <c r="J410" t="str">
        <f>IF($B410="","",IF(J$3=0,"n.b.",INDEX(SRC_ZPMW03!$A$1:$ZZ$501,$A410,J$3)))</f>
        <v/>
      </c>
      <c r="K410" t="str">
        <f>IF($B410="","",IF(K$3=0,"n.b.",INDEX(SRC_ZPMW03!$A$1:$ZZ$501,$A410,K$3)))</f>
        <v/>
      </c>
      <c r="L410" s="124" t="str">
        <f>IF($B410="","",IF(L$3=0,"n.b.",INDEX(SRC_ZPMW03!$A$1:$ZZ$501,$A410,L$3)))</f>
        <v/>
      </c>
      <c r="M410" s="124" t="str">
        <f>IF($B410="","",IF(M$3=0,"n.b.",INDEX(SRC_ZPMW03!$A$1:$ZZ$501,$A410,M$3)))</f>
        <v/>
      </c>
      <c r="N410" s="124" t="str">
        <f>IF($B410="","",IF(N$3=0,"n.b.",INDEX(SRC_ZPMW03!$A$1:$ZZ$501,$A410,N$3)))</f>
        <v/>
      </c>
      <c r="O410" s="124" t="str">
        <f>IF($B410="","",IF(O$3=0,"n.b.",INDEX(SRC_ZPMW03!$A$1:$ZZ$501,$A410,O$3)))</f>
        <v/>
      </c>
      <c r="P410" s="124" t="str">
        <f>IF($B410="","",IF(P$3=0,"n.b.",INDEX(SRC_ZPMW03!$A$1:$ZZ$501,$A410,P$3)))</f>
        <v/>
      </c>
      <c r="Q410" s="124" t="str">
        <f>IF($B410="","",IF(Q$3=0,"n.b.",INDEX(SRC_ZPMW03!$A$1:$ZZ$501,$A410,Q$3)))</f>
        <v/>
      </c>
      <c r="R410" s="124" t="str">
        <f>IF($B410="","",IF(R$3=0,"n.b.",INDEX(SRC_ZPMW03!$A$1:$ZZ$501,$A410,R$3)))</f>
        <v/>
      </c>
      <c r="S410" s="124" t="str">
        <f>IF($B410="","",IF(S$3=0,"n.b.",INDEX(SRC_ZPMW03!$A$1:$ZZ$501,$A410,S$3)))</f>
        <v/>
      </c>
      <c r="T410" s="124" t="str">
        <f>IF($B410="","",IF(T$3=0,"n.b.",INDEX(SRC_ZPMW03!$A$1:$ZZ$501,$A410,T$3)))</f>
        <v/>
      </c>
      <c r="U410" s="124" t="str">
        <f>IF($B410="","",IF(U$3=0,"n.b.",INDEX(SRC_ZPMW03!$A$1:$ZZ$501,$A410,U$3)))</f>
        <v/>
      </c>
      <c r="V410" s="124" t="str">
        <f>IF($B410="","",IF(V$3=0,"n.b.",INDEX(SRC_ZPMW03!$A$1:$ZZ$501,$A410,V$3)))</f>
        <v/>
      </c>
      <c r="W410" s="124" t="str">
        <f>IF($B410="","",IF(W$3=0,"n.b.",INDEX(SRC_ZPMW03!$A$1:$ZZ$501,$A410,W$3)))</f>
        <v/>
      </c>
      <c r="X410" s="124" t="str">
        <f>IF($B410="","",IF(X$3=0,"n.b.",INDEX(SRC_ZPMW03!$A$1:$ZZ$501,$A410,X$3)))</f>
        <v/>
      </c>
      <c r="Y410" s="124" t="str">
        <f>IF($B410="","",IF(Y$3=0,"n.b.",INDEX(SRC_ZPMW03!$A$1:$ZZ$501,$A410,Y$3)))</f>
        <v/>
      </c>
      <c r="Z410" s="124" t="str">
        <f>IF($B410="","",IF(Z$3=0,"n.b.",INDEX(SRC_ZPMW03!$A$1:$ZZ$501,$A410,Z$3)))</f>
        <v/>
      </c>
      <c r="AA410" s="124" t="str">
        <f>IF($B410="","",IF(AA$3=0,"n.b.",INDEX(SRC_ZPMW03!$A$1:$ZZ$501,$A410,AA$3)))</f>
        <v/>
      </c>
      <c r="AB410" s="124" t="str">
        <f>IF($B410="","",IF(AB$3=0,"n.b.",INDEX(SRC_ZPMW03!$A$1:$ZZ$501,$A410,AB$3)))</f>
        <v/>
      </c>
      <c r="AC410" s="124" t="str">
        <f>IF($B410="","",IF(AC$3=0,"n.b.",INDEX(SRC_ZPMW03!$A$1:$ZZ$501,$A410,AC$3)))</f>
        <v/>
      </c>
      <c r="AD410" s="124" t="str">
        <f>IF($B410="","",IF(AD$3=0,"n.b.",INDEX(SRC_ZPMW03!$A$1:$ZZ$501,$A410,AD$3)))</f>
        <v/>
      </c>
      <c r="AE410" s="124" t="str">
        <f>IF($B410="","",IF(AE$3=0,"n.b.",INDEX(SRC_ZPMW03!$A$1:$ZZ$501,$A410,AE$3)))</f>
        <v/>
      </c>
      <c r="AF410" s="124" t="str">
        <f>IF($B410="","",IF(AF$3=0,"n.b.",INDEX(SRC_ZPMW03!$A$1:$ZZ$501,$A410,AF$3)))</f>
        <v/>
      </c>
      <c r="AG410" s="124" t="str">
        <f>IF($B410="","",IF(AG$3=0,"n.b.",INDEX(SRC_ZPMW03!$A$1:$ZZ$501,$A410,AG$3)))</f>
        <v/>
      </c>
      <c r="AH410" s="124" t="str">
        <f>IF($B410="","",IF(AH$3=0,"n.b.",INDEX(SRC_ZPMW03!$A$1:$ZZ$501,$A410,AH$3)))</f>
        <v/>
      </c>
      <c r="AI410" s="124" t="str">
        <f>IF($B410="","",IF(AI$3=0,"n.b.",INDEX(SRC_ZPMW03!$A$1:$ZZ$501,$A410,AI$3)))</f>
        <v/>
      </c>
      <c r="AJ410" s="124" t="str">
        <f>IF($B410="","",IF(AJ$3=0,"n.b.",INDEX(SRC_ZPMW03!$A$1:$ZZ$501,$A410,AJ$3)))</f>
        <v/>
      </c>
      <c r="AK410" s="124" t="str">
        <f>IF($B410="","",IF(AK$3=0,"n.b.",INDEX(SRC_ZPMW03!$A$1:$ZZ$501,$A410,AK$3)))</f>
        <v/>
      </c>
      <c r="AL410" s="124" t="str">
        <f>IF($B410="","",IF(AL$3=0,"n.b.",INDEX(SRC_ZPMW03!$A$1:$ZZ$501,$A410,AL$3)))</f>
        <v/>
      </c>
      <c r="AM410" s="124" t="str">
        <f>IF($B410="","",IF(AM$3=0,"n.b.",INDEX(SRC_ZPMW03!$A$1:$ZZ$501,$A410,AM$3)))</f>
        <v/>
      </c>
      <c r="AN410" s="124" t="str">
        <f>IF($B410="","",IF(AN$3=0,"n.b.",INDEX(SRC_ZPMW03!$A$1:$ZZ$501,$A410,AN$3)))</f>
        <v/>
      </c>
      <c r="AO410" s="124" t="str">
        <f>IF($B410="","",IF(AO$3=0,"n.b.",INDEX(SRC_ZPMW03!$A$1:$ZZ$501,$A410,AO$3)))</f>
        <v/>
      </c>
      <c r="AP410" s="124" t="str">
        <f>IF($B410="","",IF(AP$3=0,"n.b.",INDEX(SRC_ZPMW03!$A$1:$ZZ$501,$A410,AP$3)))</f>
        <v/>
      </c>
      <c r="AQ410" s="124" t="str">
        <f>IF($B410="","",IF(AQ$3=0,"n.b.",INDEX(SRC_ZPMW03!$A$1:$ZZ$501,$A410,AQ$3)))</f>
        <v/>
      </c>
      <c r="AR410" s="124" t="str">
        <f>IF($B410="","",IF(AR$3=0,"n.b.",INDEX(SRC_ZPMW03!$A$1:$ZZ$501,$A410,AR$3)))</f>
        <v/>
      </c>
      <c r="AS410" s="124" t="str">
        <f>IF($B410="","",IF(AS$3=0,"n.b.",INDEX(SRC_ZPMW03!$A$1:$ZZ$501,$A410,AS$3)))</f>
        <v/>
      </c>
      <c r="AT410" s="124" t="str">
        <f>IF($B410="","",IF(AT$3=0,"n.b.",INDEX(SRC_ZPMW03!$A$1:$ZZ$501,$A410,AT$3)))</f>
        <v/>
      </c>
      <c r="AU410" s="124" t="str">
        <f>IF($B410="","",IF(AU$3=0,"n.b.",INDEX(SRC_ZPMW03!$A$1:$ZZ$501,$A410,AU$3)))</f>
        <v/>
      </c>
      <c r="AV410" s="124" t="str">
        <f>IF($B410="","",IF(AV$3=0,"n.b.",INDEX(SRC_ZPMW03!$A$1:$ZZ$501,$A410,AV$3)))</f>
        <v/>
      </c>
      <c r="AW410" s="124" t="str">
        <f>IF($B410="","",IF(AW$3=0,"n.b.",INDEX(SRC_ZPMW03!$A$1:$ZZ$501,$A410,AW$3)))</f>
        <v/>
      </c>
      <c r="AX410" s="124" t="str">
        <f>IF($B410="","",IF(AX$3=0,"n.b.",INDEX(SRC_ZPMW03!$A$1:$ZZ$501,$A410,AX$3)))</f>
        <v/>
      </c>
      <c r="AY410" s="124" t="str">
        <f>IF($B410="","",IF(AY$3=0,"n.b.",INDEX(SRC_ZPMW03!$A$1:$ZZ$501,$A410,AY$3)))</f>
        <v/>
      </c>
      <c r="AZ410" s="124" t="str">
        <f>IF($B410="","",IF(AZ$3=0,"n.b.",INDEX(SRC_ZPMW03!$A$1:$ZZ$501,$A410,AZ$3)))</f>
        <v/>
      </c>
      <c r="BA410" s="124" t="str">
        <f>IF($B410="","",IF(BA$3=0,"n.b.",INDEX(SRC_ZPMW03!$A$1:$ZZ$501,$A410,BA$3)))</f>
        <v/>
      </c>
      <c r="BB410" s="124" t="str">
        <f>IF($B410="","",IF(BB$3=0,"n.b.",INDEX(SRC_ZPMW03!$A$1:$ZZ$501,$A410,BB$3)))</f>
        <v/>
      </c>
      <c r="BC410" s="124" t="str">
        <f>IF($B410="","",IF(BC$3=0,"n.b.",INDEX(SRC_ZPMW03!$A$1:$ZZ$501,$A410,BC$3)))</f>
        <v/>
      </c>
      <c r="BD410" s="124" t="str">
        <f>IF($B410="","",IF(BD$3=0,"n.b.",INDEX(SRC_ZPMW03!$A$1:$ZZ$501,$A410,BD$3)))</f>
        <v/>
      </c>
      <c r="BE410" s="124" t="str">
        <f>IF($B410="","",IF(BE$3=0,"n.b.",INDEX(SRC_ZPMW03!$A$1:$ZZ$501,$A410,BE$3)))</f>
        <v/>
      </c>
      <c r="BF410" s="124" t="str">
        <f>IF($B410="","",IF(BF$3=0,"n.b.",INDEX(SRC_ZPMW03!$A$1:$ZZ$501,$A410,BF$3)))</f>
        <v/>
      </c>
      <c r="BG410" t="str">
        <f>IF($B410="","",IF(BG$3=0,"n.b.",INDEX(SRC_ZPMW03!$A$1:$ZZ$501,$A410,BG$3)))</f>
        <v/>
      </c>
      <c r="BH410" t="str">
        <f>IF($B410="","",IF(BH$3=0,"n.b.",INDEX(SRC_ZPMW03!$A$1:$ZZ$501,$A410,BH$3)))</f>
        <v/>
      </c>
      <c r="BI410" t="str">
        <f>IF($B410="","",IF(BI$3=0,"n.b.",INDEX(SRC_ZPMW03!$A$1:$ZZ$501,$A410,BI$3)))</f>
        <v/>
      </c>
      <c r="BJ410" t="str">
        <f>IF($B410="","",IF(BJ$3=0,"n.b.",INDEX(SRC_ZPMW03!$A$1:$ZZ$501,$A410,BJ$3)))</f>
        <v/>
      </c>
      <c r="BK410" s="124" t="str">
        <f>IF($B410="","",IFERROR(-O410,"n.b."))</f>
        <v/>
      </c>
      <c r="BL410" s="124" t="str">
        <f>IF($B410="","",IFERROR(-Q410,"n.b."))</f>
        <v/>
      </c>
      <c r="BM410" s="124" t="str">
        <f>IF($B410="","",IFERROR(-AB410,"n.b."))</f>
        <v/>
      </c>
      <c r="BN410" s="124" t="str">
        <f>IF($B410="","",IFERROR(-AD410,"n.b."))</f>
        <v/>
      </c>
      <c r="BO410" s="124" t="str">
        <f>IF($B410="","",IFERROR(BK410+BM410,"n.b."))</f>
        <v/>
      </c>
      <c r="BP410" s="124" t="str">
        <f>IF($B410="","",IFERROR(BL410+BN410,"n.b."))</f>
        <v/>
      </c>
      <c r="BQ410" s="124" t="str">
        <f>IF($B410="","",IFERROR(-AM410,"n.b."))</f>
        <v/>
      </c>
      <c r="BR410" s="124" t="str">
        <f>IF($B410="","",IFERROR(-AO410,"n.b."))</f>
        <v/>
      </c>
      <c r="BS410" s="124" t="str">
        <f>IF($B410="","",IFERROR(-Z410,"n.b."))</f>
        <v/>
      </c>
      <c r="BT410" s="124" t="str">
        <f>IF($B410="","",IFERROR(-AA410,"n.b."))</f>
        <v/>
      </c>
      <c r="BU410" s="124" t="str">
        <f>IF($B410="","",IFERROR(-AE410,"n.b."))</f>
        <v/>
      </c>
      <c r="BV410" s="124" t="str">
        <f>IF($B410="","",IFERROR(-AF410,"n.b."))</f>
        <v/>
      </c>
      <c r="BW410" s="124" t="str">
        <f>IF($B410="","",IFERROR(-AG410,"n.b."))</f>
        <v/>
      </c>
      <c r="BX410" s="124" t="str">
        <f>IF($B410="","",IFERROR(-AH410,"n.b."))</f>
        <v/>
      </c>
      <c r="BY410" s="124" t="str">
        <f>IF($B410="","",IFERROR(-AI410,"n.b."))</f>
        <v/>
      </c>
      <c r="BZ410" s="124" t="str">
        <f>IF($B410="","",IFERROR(-AJ410,"n.b."))</f>
        <v/>
      </c>
      <c r="CA410" s="124" t="str">
        <f>IF($B410="","",IFERROR(-AK410,"n.b."))</f>
        <v/>
      </c>
      <c r="CB410" s="124" t="str">
        <f>IF($B410="","",IFERROR(-AL410,"n.b."))</f>
        <v/>
      </c>
      <c r="CC410" s="124" t="str">
        <f>IF($B410="","",IFERROR(-AP410,"n.b."))</f>
        <v/>
      </c>
      <c r="CD410" s="124" t="str">
        <f>IF($B410="","",IFERROR(-AQ410,"n.b."))</f>
        <v/>
      </c>
      <c r="CE410" s="124" t="str">
        <f>IF($B410="","",IFERROR(-AR410,"n.b."))</f>
        <v/>
      </c>
      <c r="CF410" s="124" t="str">
        <f>IF($B410="","",IFERROR(-AS410,"n.b."))</f>
        <v/>
      </c>
      <c r="CG410" s="124" t="str">
        <f>IF($B410="","",IFERROR(-AT410,"n.b."))</f>
        <v/>
      </c>
      <c r="CH410" s="124" t="str">
        <f>IF($B410="","",IFERROR(-AU410,"n.b."))</f>
        <v/>
      </c>
      <c r="CI410" s="124" t="str">
        <f>IF($B410="","",IFERROR(-AV410,"n.b."))</f>
        <v/>
      </c>
      <c r="CJ410" s="124" t="str">
        <f>IF($B410="","",IFERROR(-AW410,"n.b."))</f>
        <v/>
      </c>
      <c r="CK410" s="124" t="str">
        <f>IF($B410="","",IFERROR(-AX410,"n.b."))</f>
        <v/>
      </c>
      <c r="CL410" s="124" t="str">
        <f>IF($B410="","",IFERROR(-AY410,"n.b."))</f>
        <v/>
      </c>
      <c r="CM410" s="124" t="str">
        <f>IF($B410="","",IFERROR(-AZ410,"n.b."))</f>
        <v/>
      </c>
      <c r="CN410" s="124" t="str">
        <f>IF($B410="","",IFERROR(-BA410,"n.b."))</f>
        <v/>
      </c>
      <c r="CO410" s="124" t="str">
        <f>IF($B410="","",IFERROR(-BB410,"n.b."))</f>
        <v/>
      </c>
      <c r="CP410" s="124" t="str">
        <f>IF($B410="","",IFERROR(-BC410,"n.b."))</f>
        <v/>
      </c>
      <c r="CQ410" s="124" t="str">
        <f>IF($B410="","",IFERROR(-BD410,"n.b."))</f>
        <v/>
      </c>
      <c r="CR410" s="124" t="str">
        <f>IF($B410="","",IFERROR(-BE410,"n.b."))</f>
        <v/>
      </c>
      <c r="CS410" s="124" t="str">
        <f>IF($B410="","",IFERROR(IF(OR(ABS(T410+V410+X410+Z410-AB410)&gt;P_Tol,ABS(U410+W410+Y410+AA410-AD410)&gt;P_Tol,ABS(AE410+AG410+AI410+AK410-AM410)&gt;P_Tol,ABS(AF410+AH410+AJ410+AL410-AO410)&gt;P_Tol),1,0),1))</f>
        <v/>
      </c>
      <c r="CT410" s="124" t="str">
        <f>IF($B410="","",IFERROR(IF(OR(ABS(AB410+AC410-AD410)&gt;P_Tol,ABS(AM410+AN410-AO410)&gt;P_Tol,ABS(O410+P410-Q410)&gt;P_Tol),1,0),1))</f>
        <v/>
      </c>
      <c r="CU410" s="124" t="str">
        <f>IF($B410="","",IFERROR(IF(ABS(R410-(AB410+AM410+AP410+AR410+AT410+AV410+AX410+AZ410+BB410+BD410))&gt;P_Tol,1,0),1))</f>
        <v/>
      </c>
      <c r="CV410" s="124" t="str">
        <f>IF($B410="","",IFERROR(IF(ABS(M410-(N410+O410+R410))&gt;P_Tol,1,0),1))</f>
        <v/>
      </c>
      <c r="CW410" s="124" t="str">
        <f>IF($B410="","",IF(COUNTIF(Mapping!$A$5:$A$104,B410)&gt;0,1,0))</f>
        <v/>
      </c>
      <c r="CX410" s="124" t="str">
        <f>IF($B410="","",COUNTIF($B$6:$B$505,B410))</f>
        <v/>
      </c>
      <c r="CY410" s="124" t="str">
        <f>IF($B410="","",COUNTIF(STG_Woningetalage!$B$6:$B$505,B410))</f>
        <v/>
      </c>
      <c r="CZ410" s="124" t="str">
        <f>IF($B410="","",IF(CW410=0,COUNTIF($CW$6:CW410,0),""))</f>
        <v/>
      </c>
    </row>
    <row r="411">
      <c r="A411" s="15" t="n">
        <v>407</v>
      </c>
      <c r="B411" t="str">
        <f>IF(B$3=0,"",IF(INDEX(SRC_ZPMW03!$A$1:$ZZ$501,$A411,B$3)&amp;""="","",INDEX(SRC_ZPMW03!$A$1:$ZZ$501,$A411,B$3)&amp;""))</f>
        <v/>
      </c>
      <c r="C411" t="str">
        <f>IF($B411="","",IF(C$3=0,"n.b.",INDEX(SRC_ZPMW03!$A$1:$ZZ$501,$A411,C$3)))</f>
        <v/>
      </c>
      <c r="D411" t="str">
        <f>IF($B411="","",IF(D$3=0,"n.b.",INDEX(SRC_ZPMW03!$A$1:$ZZ$501,$A411,D$3)))</f>
        <v/>
      </c>
      <c r="E411" t="str">
        <f>IF($B411="","",IF(E$3=0,"n.b.",INDEX(SRC_ZPMW03!$A$1:$ZZ$501,$A411,E$3)))</f>
        <v/>
      </c>
      <c r="F411" t="str">
        <f>IF($B411="","",IF(F$3=0,"n.b.",INDEX(SRC_ZPMW03!$A$1:$ZZ$501,$A411,F$3)))</f>
        <v/>
      </c>
      <c r="G411" t="str">
        <f>IF($B411="","",IF(G$3=0,"n.b.",INDEX(SRC_ZPMW03!$A$1:$ZZ$501,$A411,G$3)))</f>
        <v/>
      </c>
      <c r="H411" t="str">
        <f>IF($B411="","",IF(H$3=0,"n.b.",INDEX(SRC_ZPMW03!$A$1:$ZZ$501,$A411,H$3)))</f>
        <v/>
      </c>
      <c r="I411" t="str">
        <f>IF($B411="","",IF(I$3=0,"n.b.",INDEX(SRC_ZPMW03!$A$1:$ZZ$501,$A411,I$3)))</f>
        <v/>
      </c>
      <c r="J411" t="str">
        <f>IF($B411="","",IF(J$3=0,"n.b.",INDEX(SRC_ZPMW03!$A$1:$ZZ$501,$A411,J$3)))</f>
        <v/>
      </c>
      <c r="K411" t="str">
        <f>IF($B411="","",IF(K$3=0,"n.b.",INDEX(SRC_ZPMW03!$A$1:$ZZ$501,$A411,K$3)))</f>
        <v/>
      </c>
      <c r="L411" s="124" t="str">
        <f>IF($B411="","",IF(L$3=0,"n.b.",INDEX(SRC_ZPMW03!$A$1:$ZZ$501,$A411,L$3)))</f>
        <v/>
      </c>
      <c r="M411" s="124" t="str">
        <f>IF($B411="","",IF(M$3=0,"n.b.",INDEX(SRC_ZPMW03!$A$1:$ZZ$501,$A411,M$3)))</f>
        <v/>
      </c>
      <c r="N411" s="124" t="str">
        <f>IF($B411="","",IF(N$3=0,"n.b.",INDEX(SRC_ZPMW03!$A$1:$ZZ$501,$A411,N$3)))</f>
        <v/>
      </c>
      <c r="O411" s="124" t="str">
        <f>IF($B411="","",IF(O$3=0,"n.b.",INDEX(SRC_ZPMW03!$A$1:$ZZ$501,$A411,O$3)))</f>
        <v/>
      </c>
      <c r="P411" s="124" t="str">
        <f>IF($B411="","",IF(P$3=0,"n.b.",INDEX(SRC_ZPMW03!$A$1:$ZZ$501,$A411,P$3)))</f>
        <v/>
      </c>
      <c r="Q411" s="124" t="str">
        <f>IF($B411="","",IF(Q$3=0,"n.b.",INDEX(SRC_ZPMW03!$A$1:$ZZ$501,$A411,Q$3)))</f>
        <v/>
      </c>
      <c r="R411" s="124" t="str">
        <f>IF($B411="","",IF(R$3=0,"n.b.",INDEX(SRC_ZPMW03!$A$1:$ZZ$501,$A411,R$3)))</f>
        <v/>
      </c>
      <c r="S411" s="124" t="str">
        <f>IF($B411="","",IF(S$3=0,"n.b.",INDEX(SRC_ZPMW03!$A$1:$ZZ$501,$A411,S$3)))</f>
        <v/>
      </c>
      <c r="T411" s="124" t="str">
        <f>IF($B411="","",IF(T$3=0,"n.b.",INDEX(SRC_ZPMW03!$A$1:$ZZ$501,$A411,T$3)))</f>
        <v/>
      </c>
      <c r="U411" s="124" t="str">
        <f>IF($B411="","",IF(U$3=0,"n.b.",INDEX(SRC_ZPMW03!$A$1:$ZZ$501,$A411,U$3)))</f>
        <v/>
      </c>
      <c r="V411" s="124" t="str">
        <f>IF($B411="","",IF(V$3=0,"n.b.",INDEX(SRC_ZPMW03!$A$1:$ZZ$501,$A411,V$3)))</f>
        <v/>
      </c>
      <c r="W411" s="124" t="str">
        <f>IF($B411="","",IF(W$3=0,"n.b.",INDEX(SRC_ZPMW03!$A$1:$ZZ$501,$A411,W$3)))</f>
        <v/>
      </c>
      <c r="X411" s="124" t="str">
        <f>IF($B411="","",IF(X$3=0,"n.b.",INDEX(SRC_ZPMW03!$A$1:$ZZ$501,$A411,X$3)))</f>
        <v/>
      </c>
      <c r="Y411" s="124" t="str">
        <f>IF($B411="","",IF(Y$3=0,"n.b.",INDEX(SRC_ZPMW03!$A$1:$ZZ$501,$A411,Y$3)))</f>
        <v/>
      </c>
      <c r="Z411" s="124" t="str">
        <f>IF($B411="","",IF(Z$3=0,"n.b.",INDEX(SRC_ZPMW03!$A$1:$ZZ$501,$A411,Z$3)))</f>
        <v/>
      </c>
      <c r="AA411" s="124" t="str">
        <f>IF($B411="","",IF(AA$3=0,"n.b.",INDEX(SRC_ZPMW03!$A$1:$ZZ$501,$A411,AA$3)))</f>
        <v/>
      </c>
      <c r="AB411" s="124" t="str">
        <f>IF($B411="","",IF(AB$3=0,"n.b.",INDEX(SRC_ZPMW03!$A$1:$ZZ$501,$A411,AB$3)))</f>
        <v/>
      </c>
      <c r="AC411" s="124" t="str">
        <f>IF($B411="","",IF(AC$3=0,"n.b.",INDEX(SRC_ZPMW03!$A$1:$ZZ$501,$A411,AC$3)))</f>
        <v/>
      </c>
      <c r="AD411" s="124" t="str">
        <f>IF($B411="","",IF(AD$3=0,"n.b.",INDEX(SRC_ZPMW03!$A$1:$ZZ$501,$A411,AD$3)))</f>
        <v/>
      </c>
      <c r="AE411" s="124" t="str">
        <f>IF($B411="","",IF(AE$3=0,"n.b.",INDEX(SRC_ZPMW03!$A$1:$ZZ$501,$A411,AE$3)))</f>
        <v/>
      </c>
      <c r="AF411" s="124" t="str">
        <f>IF($B411="","",IF(AF$3=0,"n.b.",INDEX(SRC_ZPMW03!$A$1:$ZZ$501,$A411,AF$3)))</f>
        <v/>
      </c>
      <c r="AG411" s="124" t="str">
        <f>IF($B411="","",IF(AG$3=0,"n.b.",INDEX(SRC_ZPMW03!$A$1:$ZZ$501,$A411,AG$3)))</f>
        <v/>
      </c>
      <c r="AH411" s="124" t="str">
        <f>IF($B411="","",IF(AH$3=0,"n.b.",INDEX(SRC_ZPMW03!$A$1:$ZZ$501,$A411,AH$3)))</f>
        <v/>
      </c>
      <c r="AI411" s="124" t="str">
        <f>IF($B411="","",IF(AI$3=0,"n.b.",INDEX(SRC_ZPMW03!$A$1:$ZZ$501,$A411,AI$3)))</f>
        <v/>
      </c>
      <c r="AJ411" s="124" t="str">
        <f>IF($B411="","",IF(AJ$3=0,"n.b.",INDEX(SRC_ZPMW03!$A$1:$ZZ$501,$A411,AJ$3)))</f>
        <v/>
      </c>
      <c r="AK411" s="124" t="str">
        <f>IF($B411="","",IF(AK$3=0,"n.b.",INDEX(SRC_ZPMW03!$A$1:$ZZ$501,$A411,AK$3)))</f>
        <v/>
      </c>
      <c r="AL411" s="124" t="str">
        <f>IF($B411="","",IF(AL$3=0,"n.b.",INDEX(SRC_ZPMW03!$A$1:$ZZ$501,$A411,AL$3)))</f>
        <v/>
      </c>
      <c r="AM411" s="124" t="str">
        <f>IF($B411="","",IF(AM$3=0,"n.b.",INDEX(SRC_ZPMW03!$A$1:$ZZ$501,$A411,AM$3)))</f>
        <v/>
      </c>
      <c r="AN411" s="124" t="str">
        <f>IF($B411="","",IF(AN$3=0,"n.b.",INDEX(SRC_ZPMW03!$A$1:$ZZ$501,$A411,AN$3)))</f>
        <v/>
      </c>
      <c r="AO411" s="124" t="str">
        <f>IF($B411="","",IF(AO$3=0,"n.b.",INDEX(SRC_ZPMW03!$A$1:$ZZ$501,$A411,AO$3)))</f>
        <v/>
      </c>
      <c r="AP411" s="124" t="str">
        <f>IF($B411="","",IF(AP$3=0,"n.b.",INDEX(SRC_ZPMW03!$A$1:$ZZ$501,$A411,AP$3)))</f>
        <v/>
      </c>
      <c r="AQ411" s="124" t="str">
        <f>IF($B411="","",IF(AQ$3=0,"n.b.",INDEX(SRC_ZPMW03!$A$1:$ZZ$501,$A411,AQ$3)))</f>
        <v/>
      </c>
      <c r="AR411" s="124" t="str">
        <f>IF($B411="","",IF(AR$3=0,"n.b.",INDEX(SRC_ZPMW03!$A$1:$ZZ$501,$A411,AR$3)))</f>
        <v/>
      </c>
      <c r="AS411" s="124" t="str">
        <f>IF($B411="","",IF(AS$3=0,"n.b.",INDEX(SRC_ZPMW03!$A$1:$ZZ$501,$A411,AS$3)))</f>
        <v/>
      </c>
      <c r="AT411" s="124" t="str">
        <f>IF($B411="","",IF(AT$3=0,"n.b.",INDEX(SRC_ZPMW03!$A$1:$ZZ$501,$A411,AT$3)))</f>
        <v/>
      </c>
      <c r="AU411" s="124" t="str">
        <f>IF($B411="","",IF(AU$3=0,"n.b.",INDEX(SRC_ZPMW03!$A$1:$ZZ$501,$A411,AU$3)))</f>
        <v/>
      </c>
      <c r="AV411" s="124" t="str">
        <f>IF($B411="","",IF(AV$3=0,"n.b.",INDEX(SRC_ZPMW03!$A$1:$ZZ$501,$A411,AV$3)))</f>
        <v/>
      </c>
      <c r="AW411" s="124" t="str">
        <f>IF($B411="","",IF(AW$3=0,"n.b.",INDEX(SRC_ZPMW03!$A$1:$ZZ$501,$A411,AW$3)))</f>
        <v/>
      </c>
      <c r="AX411" s="124" t="str">
        <f>IF($B411="","",IF(AX$3=0,"n.b.",INDEX(SRC_ZPMW03!$A$1:$ZZ$501,$A411,AX$3)))</f>
        <v/>
      </c>
      <c r="AY411" s="124" t="str">
        <f>IF($B411="","",IF(AY$3=0,"n.b.",INDEX(SRC_ZPMW03!$A$1:$ZZ$501,$A411,AY$3)))</f>
        <v/>
      </c>
      <c r="AZ411" s="124" t="str">
        <f>IF($B411="","",IF(AZ$3=0,"n.b.",INDEX(SRC_ZPMW03!$A$1:$ZZ$501,$A411,AZ$3)))</f>
        <v/>
      </c>
      <c r="BA411" s="124" t="str">
        <f>IF($B411="","",IF(BA$3=0,"n.b.",INDEX(SRC_ZPMW03!$A$1:$ZZ$501,$A411,BA$3)))</f>
        <v/>
      </c>
      <c r="BB411" s="124" t="str">
        <f>IF($B411="","",IF(BB$3=0,"n.b.",INDEX(SRC_ZPMW03!$A$1:$ZZ$501,$A411,BB$3)))</f>
        <v/>
      </c>
      <c r="BC411" s="124" t="str">
        <f>IF($B411="","",IF(BC$3=0,"n.b.",INDEX(SRC_ZPMW03!$A$1:$ZZ$501,$A411,BC$3)))</f>
        <v/>
      </c>
      <c r="BD411" s="124" t="str">
        <f>IF($B411="","",IF(BD$3=0,"n.b.",INDEX(SRC_ZPMW03!$A$1:$ZZ$501,$A411,BD$3)))</f>
        <v/>
      </c>
      <c r="BE411" s="124" t="str">
        <f>IF($B411="","",IF(BE$3=0,"n.b.",INDEX(SRC_ZPMW03!$A$1:$ZZ$501,$A411,BE$3)))</f>
        <v/>
      </c>
      <c r="BF411" s="124" t="str">
        <f>IF($B411="","",IF(BF$3=0,"n.b.",INDEX(SRC_ZPMW03!$A$1:$ZZ$501,$A411,BF$3)))</f>
        <v/>
      </c>
      <c r="BG411" t="str">
        <f>IF($B411="","",IF(BG$3=0,"n.b.",INDEX(SRC_ZPMW03!$A$1:$ZZ$501,$A411,BG$3)))</f>
        <v/>
      </c>
      <c r="BH411" t="str">
        <f>IF($B411="","",IF(BH$3=0,"n.b.",INDEX(SRC_ZPMW03!$A$1:$ZZ$501,$A411,BH$3)))</f>
        <v/>
      </c>
      <c r="BI411" t="str">
        <f>IF($B411="","",IF(BI$3=0,"n.b.",INDEX(SRC_ZPMW03!$A$1:$ZZ$501,$A411,BI$3)))</f>
        <v/>
      </c>
      <c r="BJ411" t="str">
        <f>IF($B411="","",IF(BJ$3=0,"n.b.",INDEX(SRC_ZPMW03!$A$1:$ZZ$501,$A411,BJ$3)))</f>
        <v/>
      </c>
      <c r="BK411" s="124" t="str">
        <f>IF($B411="","",IFERROR(-O411,"n.b."))</f>
        <v/>
      </c>
      <c r="BL411" s="124" t="str">
        <f>IF($B411="","",IFERROR(-Q411,"n.b."))</f>
        <v/>
      </c>
      <c r="BM411" s="124" t="str">
        <f>IF($B411="","",IFERROR(-AB411,"n.b."))</f>
        <v/>
      </c>
      <c r="BN411" s="124" t="str">
        <f>IF($B411="","",IFERROR(-AD411,"n.b."))</f>
        <v/>
      </c>
      <c r="BO411" s="124" t="str">
        <f>IF($B411="","",IFERROR(BK411+BM411,"n.b."))</f>
        <v/>
      </c>
      <c r="BP411" s="124" t="str">
        <f>IF($B411="","",IFERROR(BL411+BN411,"n.b."))</f>
        <v/>
      </c>
      <c r="BQ411" s="124" t="str">
        <f>IF($B411="","",IFERROR(-AM411,"n.b."))</f>
        <v/>
      </c>
      <c r="BR411" s="124" t="str">
        <f>IF($B411="","",IFERROR(-AO411,"n.b."))</f>
        <v/>
      </c>
      <c r="BS411" s="124" t="str">
        <f>IF($B411="","",IFERROR(-Z411,"n.b."))</f>
        <v/>
      </c>
      <c r="BT411" s="124" t="str">
        <f>IF($B411="","",IFERROR(-AA411,"n.b."))</f>
        <v/>
      </c>
      <c r="BU411" s="124" t="str">
        <f>IF($B411="","",IFERROR(-AE411,"n.b."))</f>
        <v/>
      </c>
      <c r="BV411" s="124" t="str">
        <f>IF($B411="","",IFERROR(-AF411,"n.b."))</f>
        <v/>
      </c>
      <c r="BW411" s="124" t="str">
        <f>IF($B411="","",IFERROR(-AG411,"n.b."))</f>
        <v/>
      </c>
      <c r="BX411" s="124" t="str">
        <f>IF($B411="","",IFERROR(-AH411,"n.b."))</f>
        <v/>
      </c>
      <c r="BY411" s="124" t="str">
        <f>IF($B411="","",IFERROR(-AI411,"n.b."))</f>
        <v/>
      </c>
      <c r="BZ411" s="124" t="str">
        <f>IF($B411="","",IFERROR(-AJ411,"n.b."))</f>
        <v/>
      </c>
      <c r="CA411" s="124" t="str">
        <f>IF($B411="","",IFERROR(-AK411,"n.b."))</f>
        <v/>
      </c>
      <c r="CB411" s="124" t="str">
        <f>IF($B411="","",IFERROR(-AL411,"n.b."))</f>
        <v/>
      </c>
      <c r="CC411" s="124" t="str">
        <f>IF($B411="","",IFERROR(-AP411,"n.b."))</f>
        <v/>
      </c>
      <c r="CD411" s="124" t="str">
        <f>IF($B411="","",IFERROR(-AQ411,"n.b."))</f>
        <v/>
      </c>
      <c r="CE411" s="124" t="str">
        <f>IF($B411="","",IFERROR(-AR411,"n.b."))</f>
        <v/>
      </c>
      <c r="CF411" s="124" t="str">
        <f>IF($B411="","",IFERROR(-AS411,"n.b."))</f>
        <v/>
      </c>
      <c r="CG411" s="124" t="str">
        <f>IF($B411="","",IFERROR(-AT411,"n.b."))</f>
        <v/>
      </c>
      <c r="CH411" s="124" t="str">
        <f>IF($B411="","",IFERROR(-AU411,"n.b."))</f>
        <v/>
      </c>
      <c r="CI411" s="124" t="str">
        <f>IF($B411="","",IFERROR(-AV411,"n.b."))</f>
        <v/>
      </c>
      <c r="CJ411" s="124" t="str">
        <f>IF($B411="","",IFERROR(-AW411,"n.b."))</f>
        <v/>
      </c>
      <c r="CK411" s="124" t="str">
        <f>IF($B411="","",IFERROR(-AX411,"n.b."))</f>
        <v/>
      </c>
      <c r="CL411" s="124" t="str">
        <f>IF($B411="","",IFERROR(-AY411,"n.b."))</f>
        <v/>
      </c>
      <c r="CM411" s="124" t="str">
        <f>IF($B411="","",IFERROR(-AZ411,"n.b."))</f>
        <v/>
      </c>
      <c r="CN411" s="124" t="str">
        <f>IF($B411="","",IFERROR(-BA411,"n.b."))</f>
        <v/>
      </c>
      <c r="CO411" s="124" t="str">
        <f>IF($B411="","",IFERROR(-BB411,"n.b."))</f>
        <v/>
      </c>
      <c r="CP411" s="124" t="str">
        <f>IF($B411="","",IFERROR(-BC411,"n.b."))</f>
        <v/>
      </c>
      <c r="CQ411" s="124" t="str">
        <f>IF($B411="","",IFERROR(-BD411,"n.b."))</f>
        <v/>
      </c>
      <c r="CR411" s="124" t="str">
        <f>IF($B411="","",IFERROR(-BE411,"n.b."))</f>
        <v/>
      </c>
      <c r="CS411" s="124" t="str">
        <f>IF($B411="","",IFERROR(IF(OR(ABS(T411+V411+X411+Z411-AB411)&gt;P_Tol,ABS(U411+W411+Y411+AA411-AD411)&gt;P_Tol,ABS(AE411+AG411+AI411+AK411-AM411)&gt;P_Tol,ABS(AF411+AH411+AJ411+AL411-AO411)&gt;P_Tol),1,0),1))</f>
        <v/>
      </c>
      <c r="CT411" s="124" t="str">
        <f>IF($B411="","",IFERROR(IF(OR(ABS(AB411+AC411-AD411)&gt;P_Tol,ABS(AM411+AN411-AO411)&gt;P_Tol,ABS(O411+P411-Q411)&gt;P_Tol),1,0),1))</f>
        <v/>
      </c>
      <c r="CU411" s="124" t="str">
        <f>IF($B411="","",IFERROR(IF(ABS(R411-(AB411+AM411+AP411+AR411+AT411+AV411+AX411+AZ411+BB411+BD411))&gt;P_Tol,1,0),1))</f>
        <v/>
      </c>
      <c r="CV411" s="124" t="str">
        <f>IF($B411="","",IFERROR(IF(ABS(M411-(N411+O411+R411))&gt;P_Tol,1,0),1))</f>
        <v/>
      </c>
      <c r="CW411" s="124" t="str">
        <f>IF($B411="","",IF(COUNTIF(Mapping!$A$5:$A$104,B411)&gt;0,1,0))</f>
        <v/>
      </c>
      <c r="CX411" s="124" t="str">
        <f>IF($B411="","",COUNTIF($B$6:$B$505,B411))</f>
        <v/>
      </c>
      <c r="CY411" s="124" t="str">
        <f>IF($B411="","",COUNTIF(STG_Woningetalage!$B$6:$B$505,B411))</f>
        <v/>
      </c>
      <c r="CZ411" s="124" t="str">
        <f>IF($B411="","",IF(CW411=0,COUNTIF($CW$6:CW411,0),""))</f>
        <v/>
      </c>
    </row>
    <row r="412">
      <c r="A412" s="15" t="n">
        <v>408</v>
      </c>
      <c r="B412" t="str">
        <f>IF(B$3=0,"",IF(INDEX(SRC_ZPMW03!$A$1:$ZZ$501,$A412,B$3)&amp;""="","",INDEX(SRC_ZPMW03!$A$1:$ZZ$501,$A412,B$3)&amp;""))</f>
        <v/>
      </c>
      <c r="C412" t="str">
        <f>IF($B412="","",IF(C$3=0,"n.b.",INDEX(SRC_ZPMW03!$A$1:$ZZ$501,$A412,C$3)))</f>
        <v/>
      </c>
      <c r="D412" t="str">
        <f>IF($B412="","",IF(D$3=0,"n.b.",INDEX(SRC_ZPMW03!$A$1:$ZZ$501,$A412,D$3)))</f>
        <v/>
      </c>
      <c r="E412" t="str">
        <f>IF($B412="","",IF(E$3=0,"n.b.",INDEX(SRC_ZPMW03!$A$1:$ZZ$501,$A412,E$3)))</f>
        <v/>
      </c>
      <c r="F412" t="str">
        <f>IF($B412="","",IF(F$3=0,"n.b.",INDEX(SRC_ZPMW03!$A$1:$ZZ$501,$A412,F$3)))</f>
        <v/>
      </c>
      <c r="G412" t="str">
        <f>IF($B412="","",IF(G$3=0,"n.b.",INDEX(SRC_ZPMW03!$A$1:$ZZ$501,$A412,G$3)))</f>
        <v/>
      </c>
      <c r="H412" t="str">
        <f>IF($B412="","",IF(H$3=0,"n.b.",INDEX(SRC_ZPMW03!$A$1:$ZZ$501,$A412,H$3)))</f>
        <v/>
      </c>
      <c r="I412" t="str">
        <f>IF($B412="","",IF(I$3=0,"n.b.",INDEX(SRC_ZPMW03!$A$1:$ZZ$501,$A412,I$3)))</f>
        <v/>
      </c>
      <c r="J412" t="str">
        <f>IF($B412="","",IF(J$3=0,"n.b.",INDEX(SRC_ZPMW03!$A$1:$ZZ$501,$A412,J$3)))</f>
        <v/>
      </c>
      <c r="K412" t="str">
        <f>IF($B412="","",IF(K$3=0,"n.b.",INDEX(SRC_ZPMW03!$A$1:$ZZ$501,$A412,K$3)))</f>
        <v/>
      </c>
      <c r="L412" s="124" t="str">
        <f>IF($B412="","",IF(L$3=0,"n.b.",INDEX(SRC_ZPMW03!$A$1:$ZZ$501,$A412,L$3)))</f>
        <v/>
      </c>
      <c r="M412" s="124" t="str">
        <f>IF($B412="","",IF(M$3=0,"n.b.",INDEX(SRC_ZPMW03!$A$1:$ZZ$501,$A412,M$3)))</f>
        <v/>
      </c>
      <c r="N412" s="124" t="str">
        <f>IF($B412="","",IF(N$3=0,"n.b.",INDEX(SRC_ZPMW03!$A$1:$ZZ$501,$A412,N$3)))</f>
        <v/>
      </c>
      <c r="O412" s="124" t="str">
        <f>IF($B412="","",IF(O$3=0,"n.b.",INDEX(SRC_ZPMW03!$A$1:$ZZ$501,$A412,O$3)))</f>
        <v/>
      </c>
      <c r="P412" s="124" t="str">
        <f>IF($B412="","",IF(P$3=0,"n.b.",INDEX(SRC_ZPMW03!$A$1:$ZZ$501,$A412,P$3)))</f>
        <v/>
      </c>
      <c r="Q412" s="124" t="str">
        <f>IF($B412="","",IF(Q$3=0,"n.b.",INDEX(SRC_ZPMW03!$A$1:$ZZ$501,$A412,Q$3)))</f>
        <v/>
      </c>
      <c r="R412" s="124" t="str">
        <f>IF($B412="","",IF(R$3=0,"n.b.",INDEX(SRC_ZPMW03!$A$1:$ZZ$501,$A412,R$3)))</f>
        <v/>
      </c>
      <c r="S412" s="124" t="str">
        <f>IF($B412="","",IF(S$3=0,"n.b.",INDEX(SRC_ZPMW03!$A$1:$ZZ$501,$A412,S$3)))</f>
        <v/>
      </c>
      <c r="T412" s="124" t="str">
        <f>IF($B412="","",IF(T$3=0,"n.b.",INDEX(SRC_ZPMW03!$A$1:$ZZ$501,$A412,T$3)))</f>
        <v/>
      </c>
      <c r="U412" s="124" t="str">
        <f>IF($B412="","",IF(U$3=0,"n.b.",INDEX(SRC_ZPMW03!$A$1:$ZZ$501,$A412,U$3)))</f>
        <v/>
      </c>
      <c r="V412" s="124" t="str">
        <f>IF($B412="","",IF(V$3=0,"n.b.",INDEX(SRC_ZPMW03!$A$1:$ZZ$501,$A412,V$3)))</f>
        <v/>
      </c>
      <c r="W412" s="124" t="str">
        <f>IF($B412="","",IF(W$3=0,"n.b.",INDEX(SRC_ZPMW03!$A$1:$ZZ$501,$A412,W$3)))</f>
        <v/>
      </c>
      <c r="X412" s="124" t="str">
        <f>IF($B412="","",IF(X$3=0,"n.b.",INDEX(SRC_ZPMW03!$A$1:$ZZ$501,$A412,X$3)))</f>
        <v/>
      </c>
      <c r="Y412" s="124" t="str">
        <f>IF($B412="","",IF(Y$3=0,"n.b.",INDEX(SRC_ZPMW03!$A$1:$ZZ$501,$A412,Y$3)))</f>
        <v/>
      </c>
      <c r="Z412" s="124" t="str">
        <f>IF($B412="","",IF(Z$3=0,"n.b.",INDEX(SRC_ZPMW03!$A$1:$ZZ$501,$A412,Z$3)))</f>
        <v/>
      </c>
      <c r="AA412" s="124" t="str">
        <f>IF($B412="","",IF(AA$3=0,"n.b.",INDEX(SRC_ZPMW03!$A$1:$ZZ$501,$A412,AA$3)))</f>
        <v/>
      </c>
      <c r="AB412" s="124" t="str">
        <f>IF($B412="","",IF(AB$3=0,"n.b.",INDEX(SRC_ZPMW03!$A$1:$ZZ$501,$A412,AB$3)))</f>
        <v/>
      </c>
      <c r="AC412" s="124" t="str">
        <f>IF($B412="","",IF(AC$3=0,"n.b.",INDEX(SRC_ZPMW03!$A$1:$ZZ$501,$A412,AC$3)))</f>
        <v/>
      </c>
      <c r="AD412" s="124" t="str">
        <f>IF($B412="","",IF(AD$3=0,"n.b.",INDEX(SRC_ZPMW03!$A$1:$ZZ$501,$A412,AD$3)))</f>
        <v/>
      </c>
      <c r="AE412" s="124" t="str">
        <f>IF($B412="","",IF(AE$3=0,"n.b.",INDEX(SRC_ZPMW03!$A$1:$ZZ$501,$A412,AE$3)))</f>
        <v/>
      </c>
      <c r="AF412" s="124" t="str">
        <f>IF($B412="","",IF(AF$3=0,"n.b.",INDEX(SRC_ZPMW03!$A$1:$ZZ$501,$A412,AF$3)))</f>
        <v/>
      </c>
      <c r="AG412" s="124" t="str">
        <f>IF($B412="","",IF(AG$3=0,"n.b.",INDEX(SRC_ZPMW03!$A$1:$ZZ$501,$A412,AG$3)))</f>
        <v/>
      </c>
      <c r="AH412" s="124" t="str">
        <f>IF($B412="","",IF(AH$3=0,"n.b.",INDEX(SRC_ZPMW03!$A$1:$ZZ$501,$A412,AH$3)))</f>
        <v/>
      </c>
      <c r="AI412" s="124" t="str">
        <f>IF($B412="","",IF(AI$3=0,"n.b.",INDEX(SRC_ZPMW03!$A$1:$ZZ$501,$A412,AI$3)))</f>
        <v/>
      </c>
      <c r="AJ412" s="124" t="str">
        <f>IF($B412="","",IF(AJ$3=0,"n.b.",INDEX(SRC_ZPMW03!$A$1:$ZZ$501,$A412,AJ$3)))</f>
        <v/>
      </c>
      <c r="AK412" s="124" t="str">
        <f>IF($B412="","",IF(AK$3=0,"n.b.",INDEX(SRC_ZPMW03!$A$1:$ZZ$501,$A412,AK$3)))</f>
        <v/>
      </c>
      <c r="AL412" s="124" t="str">
        <f>IF($B412="","",IF(AL$3=0,"n.b.",INDEX(SRC_ZPMW03!$A$1:$ZZ$501,$A412,AL$3)))</f>
        <v/>
      </c>
      <c r="AM412" s="124" t="str">
        <f>IF($B412="","",IF(AM$3=0,"n.b.",INDEX(SRC_ZPMW03!$A$1:$ZZ$501,$A412,AM$3)))</f>
        <v/>
      </c>
      <c r="AN412" s="124" t="str">
        <f>IF($B412="","",IF(AN$3=0,"n.b.",INDEX(SRC_ZPMW03!$A$1:$ZZ$501,$A412,AN$3)))</f>
        <v/>
      </c>
      <c r="AO412" s="124" t="str">
        <f>IF($B412="","",IF(AO$3=0,"n.b.",INDEX(SRC_ZPMW03!$A$1:$ZZ$501,$A412,AO$3)))</f>
        <v/>
      </c>
      <c r="AP412" s="124" t="str">
        <f>IF($B412="","",IF(AP$3=0,"n.b.",INDEX(SRC_ZPMW03!$A$1:$ZZ$501,$A412,AP$3)))</f>
        <v/>
      </c>
      <c r="AQ412" s="124" t="str">
        <f>IF($B412="","",IF(AQ$3=0,"n.b.",INDEX(SRC_ZPMW03!$A$1:$ZZ$501,$A412,AQ$3)))</f>
        <v/>
      </c>
      <c r="AR412" s="124" t="str">
        <f>IF($B412="","",IF(AR$3=0,"n.b.",INDEX(SRC_ZPMW03!$A$1:$ZZ$501,$A412,AR$3)))</f>
        <v/>
      </c>
      <c r="AS412" s="124" t="str">
        <f>IF($B412="","",IF(AS$3=0,"n.b.",INDEX(SRC_ZPMW03!$A$1:$ZZ$501,$A412,AS$3)))</f>
        <v/>
      </c>
      <c r="AT412" s="124" t="str">
        <f>IF($B412="","",IF(AT$3=0,"n.b.",INDEX(SRC_ZPMW03!$A$1:$ZZ$501,$A412,AT$3)))</f>
        <v/>
      </c>
      <c r="AU412" s="124" t="str">
        <f>IF($B412="","",IF(AU$3=0,"n.b.",INDEX(SRC_ZPMW03!$A$1:$ZZ$501,$A412,AU$3)))</f>
        <v/>
      </c>
      <c r="AV412" s="124" t="str">
        <f>IF($B412="","",IF(AV$3=0,"n.b.",INDEX(SRC_ZPMW03!$A$1:$ZZ$501,$A412,AV$3)))</f>
        <v/>
      </c>
      <c r="AW412" s="124" t="str">
        <f>IF($B412="","",IF(AW$3=0,"n.b.",INDEX(SRC_ZPMW03!$A$1:$ZZ$501,$A412,AW$3)))</f>
        <v/>
      </c>
      <c r="AX412" s="124" t="str">
        <f>IF($B412="","",IF(AX$3=0,"n.b.",INDEX(SRC_ZPMW03!$A$1:$ZZ$501,$A412,AX$3)))</f>
        <v/>
      </c>
      <c r="AY412" s="124" t="str">
        <f>IF($B412="","",IF(AY$3=0,"n.b.",INDEX(SRC_ZPMW03!$A$1:$ZZ$501,$A412,AY$3)))</f>
        <v/>
      </c>
      <c r="AZ412" s="124" t="str">
        <f>IF($B412="","",IF(AZ$3=0,"n.b.",INDEX(SRC_ZPMW03!$A$1:$ZZ$501,$A412,AZ$3)))</f>
        <v/>
      </c>
      <c r="BA412" s="124" t="str">
        <f>IF($B412="","",IF(BA$3=0,"n.b.",INDEX(SRC_ZPMW03!$A$1:$ZZ$501,$A412,BA$3)))</f>
        <v/>
      </c>
      <c r="BB412" s="124" t="str">
        <f>IF($B412="","",IF(BB$3=0,"n.b.",INDEX(SRC_ZPMW03!$A$1:$ZZ$501,$A412,BB$3)))</f>
        <v/>
      </c>
      <c r="BC412" s="124" t="str">
        <f>IF($B412="","",IF(BC$3=0,"n.b.",INDEX(SRC_ZPMW03!$A$1:$ZZ$501,$A412,BC$3)))</f>
        <v/>
      </c>
      <c r="BD412" s="124" t="str">
        <f>IF($B412="","",IF(BD$3=0,"n.b.",INDEX(SRC_ZPMW03!$A$1:$ZZ$501,$A412,BD$3)))</f>
        <v/>
      </c>
      <c r="BE412" s="124" t="str">
        <f>IF($B412="","",IF(BE$3=0,"n.b.",INDEX(SRC_ZPMW03!$A$1:$ZZ$501,$A412,BE$3)))</f>
        <v/>
      </c>
      <c r="BF412" s="124" t="str">
        <f>IF($B412="","",IF(BF$3=0,"n.b.",INDEX(SRC_ZPMW03!$A$1:$ZZ$501,$A412,BF$3)))</f>
        <v/>
      </c>
      <c r="BG412" t="str">
        <f>IF($B412="","",IF(BG$3=0,"n.b.",INDEX(SRC_ZPMW03!$A$1:$ZZ$501,$A412,BG$3)))</f>
        <v/>
      </c>
      <c r="BH412" t="str">
        <f>IF($B412="","",IF(BH$3=0,"n.b.",INDEX(SRC_ZPMW03!$A$1:$ZZ$501,$A412,BH$3)))</f>
        <v/>
      </c>
      <c r="BI412" t="str">
        <f>IF($B412="","",IF(BI$3=0,"n.b.",INDEX(SRC_ZPMW03!$A$1:$ZZ$501,$A412,BI$3)))</f>
        <v/>
      </c>
      <c r="BJ412" t="str">
        <f>IF($B412="","",IF(BJ$3=0,"n.b.",INDEX(SRC_ZPMW03!$A$1:$ZZ$501,$A412,BJ$3)))</f>
        <v/>
      </c>
      <c r="BK412" s="124" t="str">
        <f>IF($B412="","",IFERROR(-O412,"n.b."))</f>
        <v/>
      </c>
      <c r="BL412" s="124" t="str">
        <f>IF($B412="","",IFERROR(-Q412,"n.b."))</f>
        <v/>
      </c>
      <c r="BM412" s="124" t="str">
        <f>IF($B412="","",IFERROR(-AB412,"n.b."))</f>
        <v/>
      </c>
      <c r="BN412" s="124" t="str">
        <f>IF($B412="","",IFERROR(-AD412,"n.b."))</f>
        <v/>
      </c>
      <c r="BO412" s="124" t="str">
        <f>IF($B412="","",IFERROR(BK412+BM412,"n.b."))</f>
        <v/>
      </c>
      <c r="BP412" s="124" t="str">
        <f>IF($B412="","",IFERROR(BL412+BN412,"n.b."))</f>
        <v/>
      </c>
      <c r="BQ412" s="124" t="str">
        <f>IF($B412="","",IFERROR(-AM412,"n.b."))</f>
        <v/>
      </c>
      <c r="BR412" s="124" t="str">
        <f>IF($B412="","",IFERROR(-AO412,"n.b."))</f>
        <v/>
      </c>
      <c r="BS412" s="124" t="str">
        <f>IF($B412="","",IFERROR(-Z412,"n.b."))</f>
        <v/>
      </c>
      <c r="BT412" s="124" t="str">
        <f>IF($B412="","",IFERROR(-AA412,"n.b."))</f>
        <v/>
      </c>
      <c r="BU412" s="124" t="str">
        <f>IF($B412="","",IFERROR(-AE412,"n.b."))</f>
        <v/>
      </c>
      <c r="BV412" s="124" t="str">
        <f>IF($B412="","",IFERROR(-AF412,"n.b."))</f>
        <v/>
      </c>
      <c r="BW412" s="124" t="str">
        <f>IF($B412="","",IFERROR(-AG412,"n.b."))</f>
        <v/>
      </c>
      <c r="BX412" s="124" t="str">
        <f>IF($B412="","",IFERROR(-AH412,"n.b."))</f>
        <v/>
      </c>
      <c r="BY412" s="124" t="str">
        <f>IF($B412="","",IFERROR(-AI412,"n.b."))</f>
        <v/>
      </c>
      <c r="BZ412" s="124" t="str">
        <f>IF($B412="","",IFERROR(-AJ412,"n.b."))</f>
        <v/>
      </c>
      <c r="CA412" s="124" t="str">
        <f>IF($B412="","",IFERROR(-AK412,"n.b."))</f>
        <v/>
      </c>
      <c r="CB412" s="124" t="str">
        <f>IF($B412="","",IFERROR(-AL412,"n.b."))</f>
        <v/>
      </c>
      <c r="CC412" s="124" t="str">
        <f>IF($B412="","",IFERROR(-AP412,"n.b."))</f>
        <v/>
      </c>
      <c r="CD412" s="124" t="str">
        <f>IF($B412="","",IFERROR(-AQ412,"n.b."))</f>
        <v/>
      </c>
      <c r="CE412" s="124" t="str">
        <f>IF($B412="","",IFERROR(-AR412,"n.b."))</f>
        <v/>
      </c>
      <c r="CF412" s="124" t="str">
        <f>IF($B412="","",IFERROR(-AS412,"n.b."))</f>
        <v/>
      </c>
      <c r="CG412" s="124" t="str">
        <f>IF($B412="","",IFERROR(-AT412,"n.b."))</f>
        <v/>
      </c>
      <c r="CH412" s="124" t="str">
        <f>IF($B412="","",IFERROR(-AU412,"n.b."))</f>
        <v/>
      </c>
      <c r="CI412" s="124" t="str">
        <f>IF($B412="","",IFERROR(-AV412,"n.b."))</f>
        <v/>
      </c>
      <c r="CJ412" s="124" t="str">
        <f>IF($B412="","",IFERROR(-AW412,"n.b."))</f>
        <v/>
      </c>
      <c r="CK412" s="124" t="str">
        <f>IF($B412="","",IFERROR(-AX412,"n.b."))</f>
        <v/>
      </c>
      <c r="CL412" s="124" t="str">
        <f>IF($B412="","",IFERROR(-AY412,"n.b."))</f>
        <v/>
      </c>
      <c r="CM412" s="124" t="str">
        <f>IF($B412="","",IFERROR(-AZ412,"n.b."))</f>
        <v/>
      </c>
      <c r="CN412" s="124" t="str">
        <f>IF($B412="","",IFERROR(-BA412,"n.b."))</f>
        <v/>
      </c>
      <c r="CO412" s="124" t="str">
        <f>IF($B412="","",IFERROR(-BB412,"n.b."))</f>
        <v/>
      </c>
      <c r="CP412" s="124" t="str">
        <f>IF($B412="","",IFERROR(-BC412,"n.b."))</f>
        <v/>
      </c>
      <c r="CQ412" s="124" t="str">
        <f>IF($B412="","",IFERROR(-BD412,"n.b."))</f>
        <v/>
      </c>
      <c r="CR412" s="124" t="str">
        <f>IF($B412="","",IFERROR(-BE412,"n.b."))</f>
        <v/>
      </c>
      <c r="CS412" s="124" t="str">
        <f>IF($B412="","",IFERROR(IF(OR(ABS(T412+V412+X412+Z412-AB412)&gt;P_Tol,ABS(U412+W412+Y412+AA412-AD412)&gt;P_Tol,ABS(AE412+AG412+AI412+AK412-AM412)&gt;P_Tol,ABS(AF412+AH412+AJ412+AL412-AO412)&gt;P_Tol),1,0),1))</f>
        <v/>
      </c>
      <c r="CT412" s="124" t="str">
        <f>IF($B412="","",IFERROR(IF(OR(ABS(AB412+AC412-AD412)&gt;P_Tol,ABS(AM412+AN412-AO412)&gt;P_Tol,ABS(O412+P412-Q412)&gt;P_Tol),1,0),1))</f>
        <v/>
      </c>
      <c r="CU412" s="124" t="str">
        <f>IF($B412="","",IFERROR(IF(ABS(R412-(AB412+AM412+AP412+AR412+AT412+AV412+AX412+AZ412+BB412+BD412))&gt;P_Tol,1,0),1))</f>
        <v/>
      </c>
      <c r="CV412" s="124" t="str">
        <f>IF($B412="","",IFERROR(IF(ABS(M412-(N412+O412+R412))&gt;P_Tol,1,0),1))</f>
        <v/>
      </c>
      <c r="CW412" s="124" t="str">
        <f>IF($B412="","",IF(COUNTIF(Mapping!$A$5:$A$104,B412)&gt;0,1,0))</f>
        <v/>
      </c>
      <c r="CX412" s="124" t="str">
        <f>IF($B412="","",COUNTIF($B$6:$B$505,B412))</f>
        <v/>
      </c>
      <c r="CY412" s="124" t="str">
        <f>IF($B412="","",COUNTIF(STG_Woningetalage!$B$6:$B$505,B412))</f>
        <v/>
      </c>
      <c r="CZ412" s="124" t="str">
        <f>IF($B412="","",IF(CW412=0,COUNTIF($CW$6:CW412,0),""))</f>
        <v/>
      </c>
    </row>
    <row r="413">
      <c r="A413" s="15" t="n">
        <v>409</v>
      </c>
      <c r="B413" t="str">
        <f>IF(B$3=0,"",IF(INDEX(SRC_ZPMW03!$A$1:$ZZ$501,$A413,B$3)&amp;""="","",INDEX(SRC_ZPMW03!$A$1:$ZZ$501,$A413,B$3)&amp;""))</f>
        <v/>
      </c>
      <c r="C413" t="str">
        <f>IF($B413="","",IF(C$3=0,"n.b.",INDEX(SRC_ZPMW03!$A$1:$ZZ$501,$A413,C$3)))</f>
        <v/>
      </c>
      <c r="D413" t="str">
        <f>IF($B413="","",IF(D$3=0,"n.b.",INDEX(SRC_ZPMW03!$A$1:$ZZ$501,$A413,D$3)))</f>
        <v/>
      </c>
      <c r="E413" t="str">
        <f>IF($B413="","",IF(E$3=0,"n.b.",INDEX(SRC_ZPMW03!$A$1:$ZZ$501,$A413,E$3)))</f>
        <v/>
      </c>
      <c r="F413" t="str">
        <f>IF($B413="","",IF(F$3=0,"n.b.",INDEX(SRC_ZPMW03!$A$1:$ZZ$501,$A413,F$3)))</f>
        <v/>
      </c>
      <c r="G413" t="str">
        <f>IF($B413="","",IF(G$3=0,"n.b.",INDEX(SRC_ZPMW03!$A$1:$ZZ$501,$A413,G$3)))</f>
        <v/>
      </c>
      <c r="H413" t="str">
        <f>IF($B413="","",IF(H$3=0,"n.b.",INDEX(SRC_ZPMW03!$A$1:$ZZ$501,$A413,H$3)))</f>
        <v/>
      </c>
      <c r="I413" t="str">
        <f>IF($B413="","",IF(I$3=0,"n.b.",INDEX(SRC_ZPMW03!$A$1:$ZZ$501,$A413,I$3)))</f>
        <v/>
      </c>
      <c r="J413" t="str">
        <f>IF($B413="","",IF(J$3=0,"n.b.",INDEX(SRC_ZPMW03!$A$1:$ZZ$501,$A413,J$3)))</f>
        <v/>
      </c>
      <c r="K413" t="str">
        <f>IF($B413="","",IF(K$3=0,"n.b.",INDEX(SRC_ZPMW03!$A$1:$ZZ$501,$A413,K$3)))</f>
        <v/>
      </c>
      <c r="L413" s="124" t="str">
        <f>IF($B413="","",IF(L$3=0,"n.b.",INDEX(SRC_ZPMW03!$A$1:$ZZ$501,$A413,L$3)))</f>
        <v/>
      </c>
      <c r="M413" s="124" t="str">
        <f>IF($B413="","",IF(M$3=0,"n.b.",INDEX(SRC_ZPMW03!$A$1:$ZZ$501,$A413,M$3)))</f>
        <v/>
      </c>
      <c r="N413" s="124" t="str">
        <f>IF($B413="","",IF(N$3=0,"n.b.",INDEX(SRC_ZPMW03!$A$1:$ZZ$501,$A413,N$3)))</f>
        <v/>
      </c>
      <c r="O413" s="124" t="str">
        <f>IF($B413="","",IF(O$3=0,"n.b.",INDEX(SRC_ZPMW03!$A$1:$ZZ$501,$A413,O$3)))</f>
        <v/>
      </c>
      <c r="P413" s="124" t="str">
        <f>IF($B413="","",IF(P$3=0,"n.b.",INDEX(SRC_ZPMW03!$A$1:$ZZ$501,$A413,P$3)))</f>
        <v/>
      </c>
      <c r="Q413" s="124" t="str">
        <f>IF($B413="","",IF(Q$3=0,"n.b.",INDEX(SRC_ZPMW03!$A$1:$ZZ$501,$A413,Q$3)))</f>
        <v/>
      </c>
      <c r="R413" s="124" t="str">
        <f>IF($B413="","",IF(R$3=0,"n.b.",INDEX(SRC_ZPMW03!$A$1:$ZZ$501,$A413,R$3)))</f>
        <v/>
      </c>
      <c r="S413" s="124" t="str">
        <f>IF($B413="","",IF(S$3=0,"n.b.",INDEX(SRC_ZPMW03!$A$1:$ZZ$501,$A413,S$3)))</f>
        <v/>
      </c>
      <c r="T413" s="124" t="str">
        <f>IF($B413="","",IF(T$3=0,"n.b.",INDEX(SRC_ZPMW03!$A$1:$ZZ$501,$A413,T$3)))</f>
        <v/>
      </c>
      <c r="U413" s="124" t="str">
        <f>IF($B413="","",IF(U$3=0,"n.b.",INDEX(SRC_ZPMW03!$A$1:$ZZ$501,$A413,U$3)))</f>
        <v/>
      </c>
      <c r="V413" s="124" t="str">
        <f>IF($B413="","",IF(V$3=0,"n.b.",INDEX(SRC_ZPMW03!$A$1:$ZZ$501,$A413,V$3)))</f>
        <v/>
      </c>
      <c r="W413" s="124" t="str">
        <f>IF($B413="","",IF(W$3=0,"n.b.",INDEX(SRC_ZPMW03!$A$1:$ZZ$501,$A413,W$3)))</f>
        <v/>
      </c>
      <c r="X413" s="124" t="str">
        <f>IF($B413="","",IF(X$3=0,"n.b.",INDEX(SRC_ZPMW03!$A$1:$ZZ$501,$A413,X$3)))</f>
        <v/>
      </c>
      <c r="Y413" s="124" t="str">
        <f>IF($B413="","",IF(Y$3=0,"n.b.",INDEX(SRC_ZPMW03!$A$1:$ZZ$501,$A413,Y$3)))</f>
        <v/>
      </c>
      <c r="Z413" s="124" t="str">
        <f>IF($B413="","",IF(Z$3=0,"n.b.",INDEX(SRC_ZPMW03!$A$1:$ZZ$501,$A413,Z$3)))</f>
        <v/>
      </c>
      <c r="AA413" s="124" t="str">
        <f>IF($B413="","",IF(AA$3=0,"n.b.",INDEX(SRC_ZPMW03!$A$1:$ZZ$501,$A413,AA$3)))</f>
        <v/>
      </c>
      <c r="AB413" s="124" t="str">
        <f>IF($B413="","",IF(AB$3=0,"n.b.",INDEX(SRC_ZPMW03!$A$1:$ZZ$501,$A413,AB$3)))</f>
        <v/>
      </c>
      <c r="AC413" s="124" t="str">
        <f>IF($B413="","",IF(AC$3=0,"n.b.",INDEX(SRC_ZPMW03!$A$1:$ZZ$501,$A413,AC$3)))</f>
        <v/>
      </c>
      <c r="AD413" s="124" t="str">
        <f>IF($B413="","",IF(AD$3=0,"n.b.",INDEX(SRC_ZPMW03!$A$1:$ZZ$501,$A413,AD$3)))</f>
        <v/>
      </c>
      <c r="AE413" s="124" t="str">
        <f>IF($B413="","",IF(AE$3=0,"n.b.",INDEX(SRC_ZPMW03!$A$1:$ZZ$501,$A413,AE$3)))</f>
        <v/>
      </c>
      <c r="AF413" s="124" t="str">
        <f>IF($B413="","",IF(AF$3=0,"n.b.",INDEX(SRC_ZPMW03!$A$1:$ZZ$501,$A413,AF$3)))</f>
        <v/>
      </c>
      <c r="AG413" s="124" t="str">
        <f>IF($B413="","",IF(AG$3=0,"n.b.",INDEX(SRC_ZPMW03!$A$1:$ZZ$501,$A413,AG$3)))</f>
        <v/>
      </c>
      <c r="AH413" s="124" t="str">
        <f>IF($B413="","",IF(AH$3=0,"n.b.",INDEX(SRC_ZPMW03!$A$1:$ZZ$501,$A413,AH$3)))</f>
        <v/>
      </c>
      <c r="AI413" s="124" t="str">
        <f>IF($B413="","",IF(AI$3=0,"n.b.",INDEX(SRC_ZPMW03!$A$1:$ZZ$501,$A413,AI$3)))</f>
        <v/>
      </c>
      <c r="AJ413" s="124" t="str">
        <f>IF($B413="","",IF(AJ$3=0,"n.b.",INDEX(SRC_ZPMW03!$A$1:$ZZ$501,$A413,AJ$3)))</f>
        <v/>
      </c>
      <c r="AK413" s="124" t="str">
        <f>IF($B413="","",IF(AK$3=0,"n.b.",INDEX(SRC_ZPMW03!$A$1:$ZZ$501,$A413,AK$3)))</f>
        <v/>
      </c>
      <c r="AL413" s="124" t="str">
        <f>IF($B413="","",IF(AL$3=0,"n.b.",INDEX(SRC_ZPMW03!$A$1:$ZZ$501,$A413,AL$3)))</f>
        <v/>
      </c>
      <c r="AM413" s="124" t="str">
        <f>IF($B413="","",IF(AM$3=0,"n.b.",INDEX(SRC_ZPMW03!$A$1:$ZZ$501,$A413,AM$3)))</f>
        <v/>
      </c>
      <c r="AN413" s="124" t="str">
        <f>IF($B413="","",IF(AN$3=0,"n.b.",INDEX(SRC_ZPMW03!$A$1:$ZZ$501,$A413,AN$3)))</f>
        <v/>
      </c>
      <c r="AO413" s="124" t="str">
        <f>IF($B413="","",IF(AO$3=0,"n.b.",INDEX(SRC_ZPMW03!$A$1:$ZZ$501,$A413,AO$3)))</f>
        <v/>
      </c>
      <c r="AP413" s="124" t="str">
        <f>IF($B413="","",IF(AP$3=0,"n.b.",INDEX(SRC_ZPMW03!$A$1:$ZZ$501,$A413,AP$3)))</f>
        <v/>
      </c>
      <c r="AQ413" s="124" t="str">
        <f>IF($B413="","",IF(AQ$3=0,"n.b.",INDEX(SRC_ZPMW03!$A$1:$ZZ$501,$A413,AQ$3)))</f>
        <v/>
      </c>
      <c r="AR413" s="124" t="str">
        <f>IF($B413="","",IF(AR$3=0,"n.b.",INDEX(SRC_ZPMW03!$A$1:$ZZ$501,$A413,AR$3)))</f>
        <v/>
      </c>
      <c r="AS413" s="124" t="str">
        <f>IF($B413="","",IF(AS$3=0,"n.b.",INDEX(SRC_ZPMW03!$A$1:$ZZ$501,$A413,AS$3)))</f>
        <v/>
      </c>
      <c r="AT413" s="124" t="str">
        <f>IF($B413="","",IF(AT$3=0,"n.b.",INDEX(SRC_ZPMW03!$A$1:$ZZ$501,$A413,AT$3)))</f>
        <v/>
      </c>
      <c r="AU413" s="124" t="str">
        <f>IF($B413="","",IF(AU$3=0,"n.b.",INDEX(SRC_ZPMW03!$A$1:$ZZ$501,$A413,AU$3)))</f>
        <v/>
      </c>
      <c r="AV413" s="124" t="str">
        <f>IF($B413="","",IF(AV$3=0,"n.b.",INDEX(SRC_ZPMW03!$A$1:$ZZ$501,$A413,AV$3)))</f>
        <v/>
      </c>
      <c r="AW413" s="124" t="str">
        <f>IF($B413="","",IF(AW$3=0,"n.b.",INDEX(SRC_ZPMW03!$A$1:$ZZ$501,$A413,AW$3)))</f>
        <v/>
      </c>
      <c r="AX413" s="124" t="str">
        <f>IF($B413="","",IF(AX$3=0,"n.b.",INDEX(SRC_ZPMW03!$A$1:$ZZ$501,$A413,AX$3)))</f>
        <v/>
      </c>
      <c r="AY413" s="124" t="str">
        <f>IF($B413="","",IF(AY$3=0,"n.b.",INDEX(SRC_ZPMW03!$A$1:$ZZ$501,$A413,AY$3)))</f>
        <v/>
      </c>
      <c r="AZ413" s="124" t="str">
        <f>IF($B413="","",IF(AZ$3=0,"n.b.",INDEX(SRC_ZPMW03!$A$1:$ZZ$501,$A413,AZ$3)))</f>
        <v/>
      </c>
      <c r="BA413" s="124" t="str">
        <f>IF($B413="","",IF(BA$3=0,"n.b.",INDEX(SRC_ZPMW03!$A$1:$ZZ$501,$A413,BA$3)))</f>
        <v/>
      </c>
      <c r="BB413" s="124" t="str">
        <f>IF($B413="","",IF(BB$3=0,"n.b.",INDEX(SRC_ZPMW03!$A$1:$ZZ$501,$A413,BB$3)))</f>
        <v/>
      </c>
      <c r="BC413" s="124" t="str">
        <f>IF($B413="","",IF(BC$3=0,"n.b.",INDEX(SRC_ZPMW03!$A$1:$ZZ$501,$A413,BC$3)))</f>
        <v/>
      </c>
      <c r="BD413" s="124" t="str">
        <f>IF($B413="","",IF(BD$3=0,"n.b.",INDEX(SRC_ZPMW03!$A$1:$ZZ$501,$A413,BD$3)))</f>
        <v/>
      </c>
      <c r="BE413" s="124" t="str">
        <f>IF($B413="","",IF(BE$3=0,"n.b.",INDEX(SRC_ZPMW03!$A$1:$ZZ$501,$A413,BE$3)))</f>
        <v/>
      </c>
      <c r="BF413" s="124" t="str">
        <f>IF($B413="","",IF(BF$3=0,"n.b.",INDEX(SRC_ZPMW03!$A$1:$ZZ$501,$A413,BF$3)))</f>
        <v/>
      </c>
      <c r="BG413" t="str">
        <f>IF($B413="","",IF(BG$3=0,"n.b.",INDEX(SRC_ZPMW03!$A$1:$ZZ$501,$A413,BG$3)))</f>
        <v/>
      </c>
      <c r="BH413" t="str">
        <f>IF($B413="","",IF(BH$3=0,"n.b.",INDEX(SRC_ZPMW03!$A$1:$ZZ$501,$A413,BH$3)))</f>
        <v/>
      </c>
      <c r="BI413" t="str">
        <f>IF($B413="","",IF(BI$3=0,"n.b.",INDEX(SRC_ZPMW03!$A$1:$ZZ$501,$A413,BI$3)))</f>
        <v/>
      </c>
      <c r="BJ413" t="str">
        <f>IF($B413="","",IF(BJ$3=0,"n.b.",INDEX(SRC_ZPMW03!$A$1:$ZZ$501,$A413,BJ$3)))</f>
        <v/>
      </c>
      <c r="BK413" s="124" t="str">
        <f>IF($B413="","",IFERROR(-O413,"n.b."))</f>
        <v/>
      </c>
      <c r="BL413" s="124" t="str">
        <f>IF($B413="","",IFERROR(-Q413,"n.b."))</f>
        <v/>
      </c>
      <c r="BM413" s="124" t="str">
        <f>IF($B413="","",IFERROR(-AB413,"n.b."))</f>
        <v/>
      </c>
      <c r="BN413" s="124" t="str">
        <f>IF($B413="","",IFERROR(-AD413,"n.b."))</f>
        <v/>
      </c>
      <c r="BO413" s="124" t="str">
        <f>IF($B413="","",IFERROR(BK413+BM413,"n.b."))</f>
        <v/>
      </c>
      <c r="BP413" s="124" t="str">
        <f>IF($B413="","",IFERROR(BL413+BN413,"n.b."))</f>
        <v/>
      </c>
      <c r="BQ413" s="124" t="str">
        <f>IF($B413="","",IFERROR(-AM413,"n.b."))</f>
        <v/>
      </c>
      <c r="BR413" s="124" t="str">
        <f>IF($B413="","",IFERROR(-AO413,"n.b."))</f>
        <v/>
      </c>
      <c r="BS413" s="124" t="str">
        <f>IF($B413="","",IFERROR(-Z413,"n.b."))</f>
        <v/>
      </c>
      <c r="BT413" s="124" t="str">
        <f>IF($B413="","",IFERROR(-AA413,"n.b."))</f>
        <v/>
      </c>
      <c r="BU413" s="124" t="str">
        <f>IF($B413="","",IFERROR(-AE413,"n.b."))</f>
        <v/>
      </c>
      <c r="BV413" s="124" t="str">
        <f>IF($B413="","",IFERROR(-AF413,"n.b."))</f>
        <v/>
      </c>
      <c r="BW413" s="124" t="str">
        <f>IF($B413="","",IFERROR(-AG413,"n.b."))</f>
        <v/>
      </c>
      <c r="BX413" s="124" t="str">
        <f>IF($B413="","",IFERROR(-AH413,"n.b."))</f>
        <v/>
      </c>
      <c r="BY413" s="124" t="str">
        <f>IF($B413="","",IFERROR(-AI413,"n.b."))</f>
        <v/>
      </c>
      <c r="BZ413" s="124" t="str">
        <f>IF($B413="","",IFERROR(-AJ413,"n.b."))</f>
        <v/>
      </c>
      <c r="CA413" s="124" t="str">
        <f>IF($B413="","",IFERROR(-AK413,"n.b."))</f>
        <v/>
      </c>
      <c r="CB413" s="124" t="str">
        <f>IF($B413="","",IFERROR(-AL413,"n.b."))</f>
        <v/>
      </c>
      <c r="CC413" s="124" t="str">
        <f>IF($B413="","",IFERROR(-AP413,"n.b."))</f>
        <v/>
      </c>
      <c r="CD413" s="124" t="str">
        <f>IF($B413="","",IFERROR(-AQ413,"n.b."))</f>
        <v/>
      </c>
      <c r="CE413" s="124" t="str">
        <f>IF($B413="","",IFERROR(-AR413,"n.b."))</f>
        <v/>
      </c>
      <c r="CF413" s="124" t="str">
        <f>IF($B413="","",IFERROR(-AS413,"n.b."))</f>
        <v/>
      </c>
      <c r="CG413" s="124" t="str">
        <f>IF($B413="","",IFERROR(-AT413,"n.b."))</f>
        <v/>
      </c>
      <c r="CH413" s="124" t="str">
        <f>IF($B413="","",IFERROR(-AU413,"n.b."))</f>
        <v/>
      </c>
      <c r="CI413" s="124" t="str">
        <f>IF($B413="","",IFERROR(-AV413,"n.b."))</f>
        <v/>
      </c>
      <c r="CJ413" s="124" t="str">
        <f>IF($B413="","",IFERROR(-AW413,"n.b."))</f>
        <v/>
      </c>
      <c r="CK413" s="124" t="str">
        <f>IF($B413="","",IFERROR(-AX413,"n.b."))</f>
        <v/>
      </c>
      <c r="CL413" s="124" t="str">
        <f>IF($B413="","",IFERROR(-AY413,"n.b."))</f>
        <v/>
      </c>
      <c r="CM413" s="124" t="str">
        <f>IF($B413="","",IFERROR(-AZ413,"n.b."))</f>
        <v/>
      </c>
      <c r="CN413" s="124" t="str">
        <f>IF($B413="","",IFERROR(-BA413,"n.b."))</f>
        <v/>
      </c>
      <c r="CO413" s="124" t="str">
        <f>IF($B413="","",IFERROR(-BB413,"n.b."))</f>
        <v/>
      </c>
      <c r="CP413" s="124" t="str">
        <f>IF($B413="","",IFERROR(-BC413,"n.b."))</f>
        <v/>
      </c>
      <c r="CQ413" s="124" t="str">
        <f>IF($B413="","",IFERROR(-BD413,"n.b."))</f>
        <v/>
      </c>
      <c r="CR413" s="124" t="str">
        <f>IF($B413="","",IFERROR(-BE413,"n.b."))</f>
        <v/>
      </c>
      <c r="CS413" s="124" t="str">
        <f>IF($B413="","",IFERROR(IF(OR(ABS(T413+V413+X413+Z413-AB413)&gt;P_Tol,ABS(U413+W413+Y413+AA413-AD413)&gt;P_Tol,ABS(AE413+AG413+AI413+AK413-AM413)&gt;P_Tol,ABS(AF413+AH413+AJ413+AL413-AO413)&gt;P_Tol),1,0),1))</f>
        <v/>
      </c>
      <c r="CT413" s="124" t="str">
        <f>IF($B413="","",IFERROR(IF(OR(ABS(AB413+AC413-AD413)&gt;P_Tol,ABS(AM413+AN413-AO413)&gt;P_Tol,ABS(O413+P413-Q413)&gt;P_Tol),1,0),1))</f>
        <v/>
      </c>
      <c r="CU413" s="124" t="str">
        <f>IF($B413="","",IFERROR(IF(ABS(R413-(AB413+AM413+AP413+AR413+AT413+AV413+AX413+AZ413+BB413+BD413))&gt;P_Tol,1,0),1))</f>
        <v/>
      </c>
      <c r="CV413" s="124" t="str">
        <f>IF($B413="","",IFERROR(IF(ABS(M413-(N413+O413+R413))&gt;P_Tol,1,0),1))</f>
        <v/>
      </c>
      <c r="CW413" s="124" t="str">
        <f>IF($B413="","",IF(COUNTIF(Mapping!$A$5:$A$104,B413)&gt;0,1,0))</f>
        <v/>
      </c>
      <c r="CX413" s="124" t="str">
        <f>IF($B413="","",COUNTIF($B$6:$B$505,B413))</f>
        <v/>
      </c>
      <c r="CY413" s="124" t="str">
        <f>IF($B413="","",COUNTIF(STG_Woningetalage!$B$6:$B$505,B413))</f>
        <v/>
      </c>
      <c r="CZ413" s="124" t="str">
        <f>IF($B413="","",IF(CW413=0,COUNTIF($CW$6:CW413,0),""))</f>
        <v/>
      </c>
    </row>
    <row r="414">
      <c r="A414" s="15" t="n">
        <v>410</v>
      </c>
      <c r="B414" t="str">
        <f>IF(B$3=0,"",IF(INDEX(SRC_ZPMW03!$A$1:$ZZ$501,$A414,B$3)&amp;""="","",INDEX(SRC_ZPMW03!$A$1:$ZZ$501,$A414,B$3)&amp;""))</f>
        <v/>
      </c>
      <c r="C414" t="str">
        <f>IF($B414="","",IF(C$3=0,"n.b.",INDEX(SRC_ZPMW03!$A$1:$ZZ$501,$A414,C$3)))</f>
        <v/>
      </c>
      <c r="D414" t="str">
        <f>IF($B414="","",IF(D$3=0,"n.b.",INDEX(SRC_ZPMW03!$A$1:$ZZ$501,$A414,D$3)))</f>
        <v/>
      </c>
      <c r="E414" t="str">
        <f>IF($B414="","",IF(E$3=0,"n.b.",INDEX(SRC_ZPMW03!$A$1:$ZZ$501,$A414,E$3)))</f>
        <v/>
      </c>
      <c r="F414" t="str">
        <f>IF($B414="","",IF(F$3=0,"n.b.",INDEX(SRC_ZPMW03!$A$1:$ZZ$501,$A414,F$3)))</f>
        <v/>
      </c>
      <c r="G414" t="str">
        <f>IF($B414="","",IF(G$3=0,"n.b.",INDEX(SRC_ZPMW03!$A$1:$ZZ$501,$A414,G$3)))</f>
        <v/>
      </c>
      <c r="H414" t="str">
        <f>IF($B414="","",IF(H$3=0,"n.b.",INDEX(SRC_ZPMW03!$A$1:$ZZ$501,$A414,H$3)))</f>
        <v/>
      </c>
      <c r="I414" t="str">
        <f>IF($B414="","",IF(I$3=0,"n.b.",INDEX(SRC_ZPMW03!$A$1:$ZZ$501,$A414,I$3)))</f>
        <v/>
      </c>
      <c r="J414" t="str">
        <f>IF($B414="","",IF(J$3=0,"n.b.",INDEX(SRC_ZPMW03!$A$1:$ZZ$501,$A414,J$3)))</f>
        <v/>
      </c>
      <c r="K414" t="str">
        <f>IF($B414="","",IF(K$3=0,"n.b.",INDEX(SRC_ZPMW03!$A$1:$ZZ$501,$A414,K$3)))</f>
        <v/>
      </c>
      <c r="L414" s="124" t="str">
        <f>IF($B414="","",IF(L$3=0,"n.b.",INDEX(SRC_ZPMW03!$A$1:$ZZ$501,$A414,L$3)))</f>
        <v/>
      </c>
      <c r="M414" s="124" t="str">
        <f>IF($B414="","",IF(M$3=0,"n.b.",INDEX(SRC_ZPMW03!$A$1:$ZZ$501,$A414,M$3)))</f>
        <v/>
      </c>
      <c r="N414" s="124" t="str">
        <f>IF($B414="","",IF(N$3=0,"n.b.",INDEX(SRC_ZPMW03!$A$1:$ZZ$501,$A414,N$3)))</f>
        <v/>
      </c>
      <c r="O414" s="124" t="str">
        <f>IF($B414="","",IF(O$3=0,"n.b.",INDEX(SRC_ZPMW03!$A$1:$ZZ$501,$A414,O$3)))</f>
        <v/>
      </c>
      <c r="P414" s="124" t="str">
        <f>IF($B414="","",IF(P$3=0,"n.b.",INDEX(SRC_ZPMW03!$A$1:$ZZ$501,$A414,P$3)))</f>
        <v/>
      </c>
      <c r="Q414" s="124" t="str">
        <f>IF($B414="","",IF(Q$3=0,"n.b.",INDEX(SRC_ZPMW03!$A$1:$ZZ$501,$A414,Q$3)))</f>
        <v/>
      </c>
      <c r="R414" s="124" t="str">
        <f>IF($B414="","",IF(R$3=0,"n.b.",INDEX(SRC_ZPMW03!$A$1:$ZZ$501,$A414,R$3)))</f>
        <v/>
      </c>
      <c r="S414" s="124" t="str">
        <f>IF($B414="","",IF(S$3=0,"n.b.",INDEX(SRC_ZPMW03!$A$1:$ZZ$501,$A414,S$3)))</f>
        <v/>
      </c>
      <c r="T414" s="124" t="str">
        <f>IF($B414="","",IF(T$3=0,"n.b.",INDEX(SRC_ZPMW03!$A$1:$ZZ$501,$A414,T$3)))</f>
        <v/>
      </c>
      <c r="U414" s="124" t="str">
        <f>IF($B414="","",IF(U$3=0,"n.b.",INDEX(SRC_ZPMW03!$A$1:$ZZ$501,$A414,U$3)))</f>
        <v/>
      </c>
      <c r="V414" s="124" t="str">
        <f>IF($B414="","",IF(V$3=0,"n.b.",INDEX(SRC_ZPMW03!$A$1:$ZZ$501,$A414,V$3)))</f>
        <v/>
      </c>
      <c r="W414" s="124" t="str">
        <f>IF($B414="","",IF(W$3=0,"n.b.",INDEX(SRC_ZPMW03!$A$1:$ZZ$501,$A414,W$3)))</f>
        <v/>
      </c>
      <c r="X414" s="124" t="str">
        <f>IF($B414="","",IF(X$3=0,"n.b.",INDEX(SRC_ZPMW03!$A$1:$ZZ$501,$A414,X$3)))</f>
        <v/>
      </c>
      <c r="Y414" s="124" t="str">
        <f>IF($B414="","",IF(Y$3=0,"n.b.",INDEX(SRC_ZPMW03!$A$1:$ZZ$501,$A414,Y$3)))</f>
        <v/>
      </c>
      <c r="Z414" s="124" t="str">
        <f>IF($B414="","",IF(Z$3=0,"n.b.",INDEX(SRC_ZPMW03!$A$1:$ZZ$501,$A414,Z$3)))</f>
        <v/>
      </c>
      <c r="AA414" s="124" t="str">
        <f>IF($B414="","",IF(AA$3=0,"n.b.",INDEX(SRC_ZPMW03!$A$1:$ZZ$501,$A414,AA$3)))</f>
        <v/>
      </c>
      <c r="AB414" s="124" t="str">
        <f>IF($B414="","",IF(AB$3=0,"n.b.",INDEX(SRC_ZPMW03!$A$1:$ZZ$501,$A414,AB$3)))</f>
        <v/>
      </c>
      <c r="AC414" s="124" t="str">
        <f>IF($B414="","",IF(AC$3=0,"n.b.",INDEX(SRC_ZPMW03!$A$1:$ZZ$501,$A414,AC$3)))</f>
        <v/>
      </c>
      <c r="AD414" s="124" t="str">
        <f>IF($B414="","",IF(AD$3=0,"n.b.",INDEX(SRC_ZPMW03!$A$1:$ZZ$501,$A414,AD$3)))</f>
        <v/>
      </c>
      <c r="AE414" s="124" t="str">
        <f>IF($B414="","",IF(AE$3=0,"n.b.",INDEX(SRC_ZPMW03!$A$1:$ZZ$501,$A414,AE$3)))</f>
        <v/>
      </c>
      <c r="AF414" s="124" t="str">
        <f>IF($B414="","",IF(AF$3=0,"n.b.",INDEX(SRC_ZPMW03!$A$1:$ZZ$501,$A414,AF$3)))</f>
        <v/>
      </c>
      <c r="AG414" s="124" t="str">
        <f>IF($B414="","",IF(AG$3=0,"n.b.",INDEX(SRC_ZPMW03!$A$1:$ZZ$501,$A414,AG$3)))</f>
        <v/>
      </c>
      <c r="AH414" s="124" t="str">
        <f>IF($B414="","",IF(AH$3=0,"n.b.",INDEX(SRC_ZPMW03!$A$1:$ZZ$501,$A414,AH$3)))</f>
        <v/>
      </c>
      <c r="AI414" s="124" t="str">
        <f>IF($B414="","",IF(AI$3=0,"n.b.",INDEX(SRC_ZPMW03!$A$1:$ZZ$501,$A414,AI$3)))</f>
        <v/>
      </c>
      <c r="AJ414" s="124" t="str">
        <f>IF($B414="","",IF(AJ$3=0,"n.b.",INDEX(SRC_ZPMW03!$A$1:$ZZ$501,$A414,AJ$3)))</f>
        <v/>
      </c>
      <c r="AK414" s="124" t="str">
        <f>IF($B414="","",IF(AK$3=0,"n.b.",INDEX(SRC_ZPMW03!$A$1:$ZZ$501,$A414,AK$3)))</f>
        <v/>
      </c>
      <c r="AL414" s="124" t="str">
        <f>IF($B414="","",IF(AL$3=0,"n.b.",INDEX(SRC_ZPMW03!$A$1:$ZZ$501,$A414,AL$3)))</f>
        <v/>
      </c>
      <c r="AM414" s="124" t="str">
        <f>IF($B414="","",IF(AM$3=0,"n.b.",INDEX(SRC_ZPMW03!$A$1:$ZZ$501,$A414,AM$3)))</f>
        <v/>
      </c>
      <c r="AN414" s="124" t="str">
        <f>IF($B414="","",IF(AN$3=0,"n.b.",INDEX(SRC_ZPMW03!$A$1:$ZZ$501,$A414,AN$3)))</f>
        <v/>
      </c>
      <c r="AO414" s="124" t="str">
        <f>IF($B414="","",IF(AO$3=0,"n.b.",INDEX(SRC_ZPMW03!$A$1:$ZZ$501,$A414,AO$3)))</f>
        <v/>
      </c>
      <c r="AP414" s="124" t="str">
        <f>IF($B414="","",IF(AP$3=0,"n.b.",INDEX(SRC_ZPMW03!$A$1:$ZZ$501,$A414,AP$3)))</f>
        <v/>
      </c>
      <c r="AQ414" s="124" t="str">
        <f>IF($B414="","",IF(AQ$3=0,"n.b.",INDEX(SRC_ZPMW03!$A$1:$ZZ$501,$A414,AQ$3)))</f>
        <v/>
      </c>
      <c r="AR414" s="124" t="str">
        <f>IF($B414="","",IF(AR$3=0,"n.b.",INDEX(SRC_ZPMW03!$A$1:$ZZ$501,$A414,AR$3)))</f>
        <v/>
      </c>
      <c r="AS414" s="124" t="str">
        <f>IF($B414="","",IF(AS$3=0,"n.b.",INDEX(SRC_ZPMW03!$A$1:$ZZ$501,$A414,AS$3)))</f>
        <v/>
      </c>
      <c r="AT414" s="124" t="str">
        <f>IF($B414="","",IF(AT$3=0,"n.b.",INDEX(SRC_ZPMW03!$A$1:$ZZ$501,$A414,AT$3)))</f>
        <v/>
      </c>
      <c r="AU414" s="124" t="str">
        <f>IF($B414="","",IF(AU$3=0,"n.b.",INDEX(SRC_ZPMW03!$A$1:$ZZ$501,$A414,AU$3)))</f>
        <v/>
      </c>
      <c r="AV414" s="124" t="str">
        <f>IF($B414="","",IF(AV$3=0,"n.b.",INDEX(SRC_ZPMW03!$A$1:$ZZ$501,$A414,AV$3)))</f>
        <v/>
      </c>
      <c r="AW414" s="124" t="str">
        <f>IF($B414="","",IF(AW$3=0,"n.b.",INDEX(SRC_ZPMW03!$A$1:$ZZ$501,$A414,AW$3)))</f>
        <v/>
      </c>
      <c r="AX414" s="124" t="str">
        <f>IF($B414="","",IF(AX$3=0,"n.b.",INDEX(SRC_ZPMW03!$A$1:$ZZ$501,$A414,AX$3)))</f>
        <v/>
      </c>
      <c r="AY414" s="124" t="str">
        <f>IF($B414="","",IF(AY$3=0,"n.b.",INDEX(SRC_ZPMW03!$A$1:$ZZ$501,$A414,AY$3)))</f>
        <v/>
      </c>
      <c r="AZ414" s="124" t="str">
        <f>IF($B414="","",IF(AZ$3=0,"n.b.",INDEX(SRC_ZPMW03!$A$1:$ZZ$501,$A414,AZ$3)))</f>
        <v/>
      </c>
      <c r="BA414" s="124" t="str">
        <f>IF($B414="","",IF(BA$3=0,"n.b.",INDEX(SRC_ZPMW03!$A$1:$ZZ$501,$A414,BA$3)))</f>
        <v/>
      </c>
      <c r="BB414" s="124" t="str">
        <f>IF($B414="","",IF(BB$3=0,"n.b.",INDEX(SRC_ZPMW03!$A$1:$ZZ$501,$A414,BB$3)))</f>
        <v/>
      </c>
      <c r="BC414" s="124" t="str">
        <f>IF($B414="","",IF(BC$3=0,"n.b.",INDEX(SRC_ZPMW03!$A$1:$ZZ$501,$A414,BC$3)))</f>
        <v/>
      </c>
      <c r="BD414" s="124" t="str">
        <f>IF($B414="","",IF(BD$3=0,"n.b.",INDEX(SRC_ZPMW03!$A$1:$ZZ$501,$A414,BD$3)))</f>
        <v/>
      </c>
      <c r="BE414" s="124" t="str">
        <f>IF($B414="","",IF(BE$3=0,"n.b.",INDEX(SRC_ZPMW03!$A$1:$ZZ$501,$A414,BE$3)))</f>
        <v/>
      </c>
      <c r="BF414" s="124" t="str">
        <f>IF($B414="","",IF(BF$3=0,"n.b.",INDEX(SRC_ZPMW03!$A$1:$ZZ$501,$A414,BF$3)))</f>
        <v/>
      </c>
      <c r="BG414" t="str">
        <f>IF($B414="","",IF(BG$3=0,"n.b.",INDEX(SRC_ZPMW03!$A$1:$ZZ$501,$A414,BG$3)))</f>
        <v/>
      </c>
      <c r="BH414" t="str">
        <f>IF($B414="","",IF(BH$3=0,"n.b.",INDEX(SRC_ZPMW03!$A$1:$ZZ$501,$A414,BH$3)))</f>
        <v/>
      </c>
      <c r="BI414" t="str">
        <f>IF($B414="","",IF(BI$3=0,"n.b.",INDEX(SRC_ZPMW03!$A$1:$ZZ$501,$A414,BI$3)))</f>
        <v/>
      </c>
      <c r="BJ414" t="str">
        <f>IF($B414="","",IF(BJ$3=0,"n.b.",INDEX(SRC_ZPMW03!$A$1:$ZZ$501,$A414,BJ$3)))</f>
        <v/>
      </c>
      <c r="BK414" s="124" t="str">
        <f>IF($B414="","",IFERROR(-O414,"n.b."))</f>
        <v/>
      </c>
      <c r="BL414" s="124" t="str">
        <f>IF($B414="","",IFERROR(-Q414,"n.b."))</f>
        <v/>
      </c>
      <c r="BM414" s="124" t="str">
        <f>IF($B414="","",IFERROR(-AB414,"n.b."))</f>
        <v/>
      </c>
      <c r="BN414" s="124" t="str">
        <f>IF($B414="","",IFERROR(-AD414,"n.b."))</f>
        <v/>
      </c>
      <c r="BO414" s="124" t="str">
        <f>IF($B414="","",IFERROR(BK414+BM414,"n.b."))</f>
        <v/>
      </c>
      <c r="BP414" s="124" t="str">
        <f>IF($B414="","",IFERROR(BL414+BN414,"n.b."))</f>
        <v/>
      </c>
      <c r="BQ414" s="124" t="str">
        <f>IF($B414="","",IFERROR(-AM414,"n.b."))</f>
        <v/>
      </c>
      <c r="BR414" s="124" t="str">
        <f>IF($B414="","",IFERROR(-AO414,"n.b."))</f>
        <v/>
      </c>
      <c r="BS414" s="124" t="str">
        <f>IF($B414="","",IFERROR(-Z414,"n.b."))</f>
        <v/>
      </c>
      <c r="BT414" s="124" t="str">
        <f>IF($B414="","",IFERROR(-AA414,"n.b."))</f>
        <v/>
      </c>
      <c r="BU414" s="124" t="str">
        <f>IF($B414="","",IFERROR(-AE414,"n.b."))</f>
        <v/>
      </c>
      <c r="BV414" s="124" t="str">
        <f>IF($B414="","",IFERROR(-AF414,"n.b."))</f>
        <v/>
      </c>
      <c r="BW414" s="124" t="str">
        <f>IF($B414="","",IFERROR(-AG414,"n.b."))</f>
        <v/>
      </c>
      <c r="BX414" s="124" t="str">
        <f>IF($B414="","",IFERROR(-AH414,"n.b."))</f>
        <v/>
      </c>
      <c r="BY414" s="124" t="str">
        <f>IF($B414="","",IFERROR(-AI414,"n.b."))</f>
        <v/>
      </c>
      <c r="BZ414" s="124" t="str">
        <f>IF($B414="","",IFERROR(-AJ414,"n.b."))</f>
        <v/>
      </c>
      <c r="CA414" s="124" t="str">
        <f>IF($B414="","",IFERROR(-AK414,"n.b."))</f>
        <v/>
      </c>
      <c r="CB414" s="124" t="str">
        <f>IF($B414="","",IFERROR(-AL414,"n.b."))</f>
        <v/>
      </c>
      <c r="CC414" s="124" t="str">
        <f>IF($B414="","",IFERROR(-AP414,"n.b."))</f>
        <v/>
      </c>
      <c r="CD414" s="124" t="str">
        <f>IF($B414="","",IFERROR(-AQ414,"n.b."))</f>
        <v/>
      </c>
      <c r="CE414" s="124" t="str">
        <f>IF($B414="","",IFERROR(-AR414,"n.b."))</f>
        <v/>
      </c>
      <c r="CF414" s="124" t="str">
        <f>IF($B414="","",IFERROR(-AS414,"n.b."))</f>
        <v/>
      </c>
      <c r="CG414" s="124" t="str">
        <f>IF($B414="","",IFERROR(-AT414,"n.b."))</f>
        <v/>
      </c>
      <c r="CH414" s="124" t="str">
        <f>IF($B414="","",IFERROR(-AU414,"n.b."))</f>
        <v/>
      </c>
      <c r="CI414" s="124" t="str">
        <f>IF($B414="","",IFERROR(-AV414,"n.b."))</f>
        <v/>
      </c>
      <c r="CJ414" s="124" t="str">
        <f>IF($B414="","",IFERROR(-AW414,"n.b."))</f>
        <v/>
      </c>
      <c r="CK414" s="124" t="str">
        <f>IF($B414="","",IFERROR(-AX414,"n.b."))</f>
        <v/>
      </c>
      <c r="CL414" s="124" t="str">
        <f>IF($B414="","",IFERROR(-AY414,"n.b."))</f>
        <v/>
      </c>
      <c r="CM414" s="124" t="str">
        <f>IF($B414="","",IFERROR(-AZ414,"n.b."))</f>
        <v/>
      </c>
      <c r="CN414" s="124" t="str">
        <f>IF($B414="","",IFERROR(-BA414,"n.b."))</f>
        <v/>
      </c>
      <c r="CO414" s="124" t="str">
        <f>IF($B414="","",IFERROR(-BB414,"n.b."))</f>
        <v/>
      </c>
      <c r="CP414" s="124" t="str">
        <f>IF($B414="","",IFERROR(-BC414,"n.b."))</f>
        <v/>
      </c>
      <c r="CQ414" s="124" t="str">
        <f>IF($B414="","",IFERROR(-BD414,"n.b."))</f>
        <v/>
      </c>
      <c r="CR414" s="124" t="str">
        <f>IF($B414="","",IFERROR(-BE414,"n.b."))</f>
        <v/>
      </c>
      <c r="CS414" s="124" t="str">
        <f>IF($B414="","",IFERROR(IF(OR(ABS(T414+V414+X414+Z414-AB414)&gt;P_Tol,ABS(U414+W414+Y414+AA414-AD414)&gt;P_Tol,ABS(AE414+AG414+AI414+AK414-AM414)&gt;P_Tol,ABS(AF414+AH414+AJ414+AL414-AO414)&gt;P_Tol),1,0),1))</f>
        <v/>
      </c>
      <c r="CT414" s="124" t="str">
        <f>IF($B414="","",IFERROR(IF(OR(ABS(AB414+AC414-AD414)&gt;P_Tol,ABS(AM414+AN414-AO414)&gt;P_Tol,ABS(O414+P414-Q414)&gt;P_Tol),1,0),1))</f>
        <v/>
      </c>
      <c r="CU414" s="124" t="str">
        <f>IF($B414="","",IFERROR(IF(ABS(R414-(AB414+AM414+AP414+AR414+AT414+AV414+AX414+AZ414+BB414+BD414))&gt;P_Tol,1,0),1))</f>
        <v/>
      </c>
      <c r="CV414" s="124" t="str">
        <f>IF($B414="","",IFERROR(IF(ABS(M414-(N414+O414+R414))&gt;P_Tol,1,0),1))</f>
        <v/>
      </c>
      <c r="CW414" s="124" t="str">
        <f>IF($B414="","",IF(COUNTIF(Mapping!$A$5:$A$104,B414)&gt;0,1,0))</f>
        <v/>
      </c>
      <c r="CX414" s="124" t="str">
        <f>IF($B414="","",COUNTIF($B$6:$B$505,B414))</f>
        <v/>
      </c>
      <c r="CY414" s="124" t="str">
        <f>IF($B414="","",COUNTIF(STG_Woningetalage!$B$6:$B$505,B414))</f>
        <v/>
      </c>
      <c r="CZ414" s="124" t="str">
        <f>IF($B414="","",IF(CW414=0,COUNTIF($CW$6:CW414,0),""))</f>
        <v/>
      </c>
    </row>
    <row r="415">
      <c r="A415" s="15" t="n">
        <v>411</v>
      </c>
      <c r="B415" t="str">
        <f>IF(B$3=0,"",IF(INDEX(SRC_ZPMW03!$A$1:$ZZ$501,$A415,B$3)&amp;""="","",INDEX(SRC_ZPMW03!$A$1:$ZZ$501,$A415,B$3)&amp;""))</f>
        <v/>
      </c>
      <c r="C415" t="str">
        <f>IF($B415="","",IF(C$3=0,"n.b.",INDEX(SRC_ZPMW03!$A$1:$ZZ$501,$A415,C$3)))</f>
        <v/>
      </c>
      <c r="D415" t="str">
        <f>IF($B415="","",IF(D$3=0,"n.b.",INDEX(SRC_ZPMW03!$A$1:$ZZ$501,$A415,D$3)))</f>
        <v/>
      </c>
      <c r="E415" t="str">
        <f>IF($B415="","",IF(E$3=0,"n.b.",INDEX(SRC_ZPMW03!$A$1:$ZZ$501,$A415,E$3)))</f>
        <v/>
      </c>
      <c r="F415" t="str">
        <f>IF($B415="","",IF(F$3=0,"n.b.",INDEX(SRC_ZPMW03!$A$1:$ZZ$501,$A415,F$3)))</f>
        <v/>
      </c>
      <c r="G415" t="str">
        <f>IF($B415="","",IF(G$3=0,"n.b.",INDEX(SRC_ZPMW03!$A$1:$ZZ$501,$A415,G$3)))</f>
        <v/>
      </c>
      <c r="H415" t="str">
        <f>IF($B415="","",IF(H$3=0,"n.b.",INDEX(SRC_ZPMW03!$A$1:$ZZ$501,$A415,H$3)))</f>
        <v/>
      </c>
      <c r="I415" t="str">
        <f>IF($B415="","",IF(I$3=0,"n.b.",INDEX(SRC_ZPMW03!$A$1:$ZZ$501,$A415,I$3)))</f>
        <v/>
      </c>
      <c r="J415" t="str">
        <f>IF($B415="","",IF(J$3=0,"n.b.",INDEX(SRC_ZPMW03!$A$1:$ZZ$501,$A415,J$3)))</f>
        <v/>
      </c>
      <c r="K415" t="str">
        <f>IF($B415="","",IF(K$3=0,"n.b.",INDEX(SRC_ZPMW03!$A$1:$ZZ$501,$A415,K$3)))</f>
        <v/>
      </c>
      <c r="L415" s="124" t="str">
        <f>IF($B415="","",IF(L$3=0,"n.b.",INDEX(SRC_ZPMW03!$A$1:$ZZ$501,$A415,L$3)))</f>
        <v/>
      </c>
      <c r="M415" s="124" t="str">
        <f>IF($B415="","",IF(M$3=0,"n.b.",INDEX(SRC_ZPMW03!$A$1:$ZZ$501,$A415,M$3)))</f>
        <v/>
      </c>
      <c r="N415" s="124" t="str">
        <f>IF($B415="","",IF(N$3=0,"n.b.",INDEX(SRC_ZPMW03!$A$1:$ZZ$501,$A415,N$3)))</f>
        <v/>
      </c>
      <c r="O415" s="124" t="str">
        <f>IF($B415="","",IF(O$3=0,"n.b.",INDEX(SRC_ZPMW03!$A$1:$ZZ$501,$A415,O$3)))</f>
        <v/>
      </c>
      <c r="P415" s="124" t="str">
        <f>IF($B415="","",IF(P$3=0,"n.b.",INDEX(SRC_ZPMW03!$A$1:$ZZ$501,$A415,P$3)))</f>
        <v/>
      </c>
      <c r="Q415" s="124" t="str">
        <f>IF($B415="","",IF(Q$3=0,"n.b.",INDEX(SRC_ZPMW03!$A$1:$ZZ$501,$A415,Q$3)))</f>
        <v/>
      </c>
      <c r="R415" s="124" t="str">
        <f>IF($B415="","",IF(R$3=0,"n.b.",INDEX(SRC_ZPMW03!$A$1:$ZZ$501,$A415,R$3)))</f>
        <v/>
      </c>
      <c r="S415" s="124" t="str">
        <f>IF($B415="","",IF(S$3=0,"n.b.",INDEX(SRC_ZPMW03!$A$1:$ZZ$501,$A415,S$3)))</f>
        <v/>
      </c>
      <c r="T415" s="124" t="str">
        <f>IF($B415="","",IF(T$3=0,"n.b.",INDEX(SRC_ZPMW03!$A$1:$ZZ$501,$A415,T$3)))</f>
        <v/>
      </c>
      <c r="U415" s="124" t="str">
        <f>IF($B415="","",IF(U$3=0,"n.b.",INDEX(SRC_ZPMW03!$A$1:$ZZ$501,$A415,U$3)))</f>
        <v/>
      </c>
      <c r="V415" s="124" t="str">
        <f>IF($B415="","",IF(V$3=0,"n.b.",INDEX(SRC_ZPMW03!$A$1:$ZZ$501,$A415,V$3)))</f>
        <v/>
      </c>
      <c r="W415" s="124" t="str">
        <f>IF($B415="","",IF(W$3=0,"n.b.",INDEX(SRC_ZPMW03!$A$1:$ZZ$501,$A415,W$3)))</f>
        <v/>
      </c>
      <c r="X415" s="124" t="str">
        <f>IF($B415="","",IF(X$3=0,"n.b.",INDEX(SRC_ZPMW03!$A$1:$ZZ$501,$A415,X$3)))</f>
        <v/>
      </c>
      <c r="Y415" s="124" t="str">
        <f>IF($B415="","",IF(Y$3=0,"n.b.",INDEX(SRC_ZPMW03!$A$1:$ZZ$501,$A415,Y$3)))</f>
        <v/>
      </c>
      <c r="Z415" s="124" t="str">
        <f>IF($B415="","",IF(Z$3=0,"n.b.",INDEX(SRC_ZPMW03!$A$1:$ZZ$501,$A415,Z$3)))</f>
        <v/>
      </c>
      <c r="AA415" s="124" t="str">
        <f>IF($B415="","",IF(AA$3=0,"n.b.",INDEX(SRC_ZPMW03!$A$1:$ZZ$501,$A415,AA$3)))</f>
        <v/>
      </c>
      <c r="AB415" s="124" t="str">
        <f>IF($B415="","",IF(AB$3=0,"n.b.",INDEX(SRC_ZPMW03!$A$1:$ZZ$501,$A415,AB$3)))</f>
        <v/>
      </c>
      <c r="AC415" s="124" t="str">
        <f>IF($B415="","",IF(AC$3=0,"n.b.",INDEX(SRC_ZPMW03!$A$1:$ZZ$501,$A415,AC$3)))</f>
        <v/>
      </c>
      <c r="AD415" s="124" t="str">
        <f>IF($B415="","",IF(AD$3=0,"n.b.",INDEX(SRC_ZPMW03!$A$1:$ZZ$501,$A415,AD$3)))</f>
        <v/>
      </c>
      <c r="AE415" s="124" t="str">
        <f>IF($B415="","",IF(AE$3=0,"n.b.",INDEX(SRC_ZPMW03!$A$1:$ZZ$501,$A415,AE$3)))</f>
        <v/>
      </c>
      <c r="AF415" s="124" t="str">
        <f>IF($B415="","",IF(AF$3=0,"n.b.",INDEX(SRC_ZPMW03!$A$1:$ZZ$501,$A415,AF$3)))</f>
        <v/>
      </c>
      <c r="AG415" s="124" t="str">
        <f>IF($B415="","",IF(AG$3=0,"n.b.",INDEX(SRC_ZPMW03!$A$1:$ZZ$501,$A415,AG$3)))</f>
        <v/>
      </c>
      <c r="AH415" s="124" t="str">
        <f>IF($B415="","",IF(AH$3=0,"n.b.",INDEX(SRC_ZPMW03!$A$1:$ZZ$501,$A415,AH$3)))</f>
        <v/>
      </c>
      <c r="AI415" s="124" t="str">
        <f>IF($B415="","",IF(AI$3=0,"n.b.",INDEX(SRC_ZPMW03!$A$1:$ZZ$501,$A415,AI$3)))</f>
        <v/>
      </c>
      <c r="AJ415" s="124" t="str">
        <f>IF($B415="","",IF(AJ$3=0,"n.b.",INDEX(SRC_ZPMW03!$A$1:$ZZ$501,$A415,AJ$3)))</f>
        <v/>
      </c>
      <c r="AK415" s="124" t="str">
        <f>IF($B415="","",IF(AK$3=0,"n.b.",INDEX(SRC_ZPMW03!$A$1:$ZZ$501,$A415,AK$3)))</f>
        <v/>
      </c>
      <c r="AL415" s="124" t="str">
        <f>IF($B415="","",IF(AL$3=0,"n.b.",INDEX(SRC_ZPMW03!$A$1:$ZZ$501,$A415,AL$3)))</f>
        <v/>
      </c>
      <c r="AM415" s="124" t="str">
        <f>IF($B415="","",IF(AM$3=0,"n.b.",INDEX(SRC_ZPMW03!$A$1:$ZZ$501,$A415,AM$3)))</f>
        <v/>
      </c>
      <c r="AN415" s="124" t="str">
        <f>IF($B415="","",IF(AN$3=0,"n.b.",INDEX(SRC_ZPMW03!$A$1:$ZZ$501,$A415,AN$3)))</f>
        <v/>
      </c>
      <c r="AO415" s="124" t="str">
        <f>IF($B415="","",IF(AO$3=0,"n.b.",INDEX(SRC_ZPMW03!$A$1:$ZZ$501,$A415,AO$3)))</f>
        <v/>
      </c>
      <c r="AP415" s="124" t="str">
        <f>IF($B415="","",IF(AP$3=0,"n.b.",INDEX(SRC_ZPMW03!$A$1:$ZZ$501,$A415,AP$3)))</f>
        <v/>
      </c>
      <c r="AQ415" s="124" t="str">
        <f>IF($B415="","",IF(AQ$3=0,"n.b.",INDEX(SRC_ZPMW03!$A$1:$ZZ$501,$A415,AQ$3)))</f>
        <v/>
      </c>
      <c r="AR415" s="124" t="str">
        <f>IF($B415="","",IF(AR$3=0,"n.b.",INDEX(SRC_ZPMW03!$A$1:$ZZ$501,$A415,AR$3)))</f>
        <v/>
      </c>
      <c r="AS415" s="124" t="str">
        <f>IF($B415="","",IF(AS$3=0,"n.b.",INDEX(SRC_ZPMW03!$A$1:$ZZ$501,$A415,AS$3)))</f>
        <v/>
      </c>
      <c r="AT415" s="124" t="str">
        <f>IF($B415="","",IF(AT$3=0,"n.b.",INDEX(SRC_ZPMW03!$A$1:$ZZ$501,$A415,AT$3)))</f>
        <v/>
      </c>
      <c r="AU415" s="124" t="str">
        <f>IF($B415="","",IF(AU$3=0,"n.b.",INDEX(SRC_ZPMW03!$A$1:$ZZ$501,$A415,AU$3)))</f>
        <v/>
      </c>
      <c r="AV415" s="124" t="str">
        <f>IF($B415="","",IF(AV$3=0,"n.b.",INDEX(SRC_ZPMW03!$A$1:$ZZ$501,$A415,AV$3)))</f>
        <v/>
      </c>
      <c r="AW415" s="124" t="str">
        <f>IF($B415="","",IF(AW$3=0,"n.b.",INDEX(SRC_ZPMW03!$A$1:$ZZ$501,$A415,AW$3)))</f>
        <v/>
      </c>
      <c r="AX415" s="124" t="str">
        <f>IF($B415="","",IF(AX$3=0,"n.b.",INDEX(SRC_ZPMW03!$A$1:$ZZ$501,$A415,AX$3)))</f>
        <v/>
      </c>
      <c r="AY415" s="124" t="str">
        <f>IF($B415="","",IF(AY$3=0,"n.b.",INDEX(SRC_ZPMW03!$A$1:$ZZ$501,$A415,AY$3)))</f>
        <v/>
      </c>
      <c r="AZ415" s="124" t="str">
        <f>IF($B415="","",IF(AZ$3=0,"n.b.",INDEX(SRC_ZPMW03!$A$1:$ZZ$501,$A415,AZ$3)))</f>
        <v/>
      </c>
      <c r="BA415" s="124" t="str">
        <f>IF($B415="","",IF(BA$3=0,"n.b.",INDEX(SRC_ZPMW03!$A$1:$ZZ$501,$A415,BA$3)))</f>
        <v/>
      </c>
      <c r="BB415" s="124" t="str">
        <f>IF($B415="","",IF(BB$3=0,"n.b.",INDEX(SRC_ZPMW03!$A$1:$ZZ$501,$A415,BB$3)))</f>
        <v/>
      </c>
      <c r="BC415" s="124" t="str">
        <f>IF($B415="","",IF(BC$3=0,"n.b.",INDEX(SRC_ZPMW03!$A$1:$ZZ$501,$A415,BC$3)))</f>
        <v/>
      </c>
      <c r="BD415" s="124" t="str">
        <f>IF($B415="","",IF(BD$3=0,"n.b.",INDEX(SRC_ZPMW03!$A$1:$ZZ$501,$A415,BD$3)))</f>
        <v/>
      </c>
      <c r="BE415" s="124" t="str">
        <f>IF($B415="","",IF(BE$3=0,"n.b.",INDEX(SRC_ZPMW03!$A$1:$ZZ$501,$A415,BE$3)))</f>
        <v/>
      </c>
      <c r="BF415" s="124" t="str">
        <f>IF($B415="","",IF(BF$3=0,"n.b.",INDEX(SRC_ZPMW03!$A$1:$ZZ$501,$A415,BF$3)))</f>
        <v/>
      </c>
      <c r="BG415" t="str">
        <f>IF($B415="","",IF(BG$3=0,"n.b.",INDEX(SRC_ZPMW03!$A$1:$ZZ$501,$A415,BG$3)))</f>
        <v/>
      </c>
      <c r="BH415" t="str">
        <f>IF($B415="","",IF(BH$3=0,"n.b.",INDEX(SRC_ZPMW03!$A$1:$ZZ$501,$A415,BH$3)))</f>
        <v/>
      </c>
      <c r="BI415" t="str">
        <f>IF($B415="","",IF(BI$3=0,"n.b.",INDEX(SRC_ZPMW03!$A$1:$ZZ$501,$A415,BI$3)))</f>
        <v/>
      </c>
      <c r="BJ415" t="str">
        <f>IF($B415="","",IF(BJ$3=0,"n.b.",INDEX(SRC_ZPMW03!$A$1:$ZZ$501,$A415,BJ$3)))</f>
        <v/>
      </c>
      <c r="BK415" s="124" t="str">
        <f>IF($B415="","",IFERROR(-O415,"n.b."))</f>
        <v/>
      </c>
      <c r="BL415" s="124" t="str">
        <f>IF($B415="","",IFERROR(-Q415,"n.b."))</f>
        <v/>
      </c>
      <c r="BM415" s="124" t="str">
        <f>IF($B415="","",IFERROR(-AB415,"n.b."))</f>
        <v/>
      </c>
      <c r="BN415" s="124" t="str">
        <f>IF($B415="","",IFERROR(-AD415,"n.b."))</f>
        <v/>
      </c>
      <c r="BO415" s="124" t="str">
        <f>IF($B415="","",IFERROR(BK415+BM415,"n.b."))</f>
        <v/>
      </c>
      <c r="BP415" s="124" t="str">
        <f>IF($B415="","",IFERROR(BL415+BN415,"n.b."))</f>
        <v/>
      </c>
      <c r="BQ415" s="124" t="str">
        <f>IF($B415="","",IFERROR(-AM415,"n.b."))</f>
        <v/>
      </c>
      <c r="BR415" s="124" t="str">
        <f>IF($B415="","",IFERROR(-AO415,"n.b."))</f>
        <v/>
      </c>
      <c r="BS415" s="124" t="str">
        <f>IF($B415="","",IFERROR(-Z415,"n.b."))</f>
        <v/>
      </c>
      <c r="BT415" s="124" t="str">
        <f>IF($B415="","",IFERROR(-AA415,"n.b."))</f>
        <v/>
      </c>
      <c r="BU415" s="124" t="str">
        <f>IF($B415="","",IFERROR(-AE415,"n.b."))</f>
        <v/>
      </c>
      <c r="BV415" s="124" t="str">
        <f>IF($B415="","",IFERROR(-AF415,"n.b."))</f>
        <v/>
      </c>
      <c r="BW415" s="124" t="str">
        <f>IF($B415="","",IFERROR(-AG415,"n.b."))</f>
        <v/>
      </c>
      <c r="BX415" s="124" t="str">
        <f>IF($B415="","",IFERROR(-AH415,"n.b."))</f>
        <v/>
      </c>
      <c r="BY415" s="124" t="str">
        <f>IF($B415="","",IFERROR(-AI415,"n.b."))</f>
        <v/>
      </c>
      <c r="BZ415" s="124" t="str">
        <f>IF($B415="","",IFERROR(-AJ415,"n.b."))</f>
        <v/>
      </c>
      <c r="CA415" s="124" t="str">
        <f>IF($B415="","",IFERROR(-AK415,"n.b."))</f>
        <v/>
      </c>
      <c r="CB415" s="124" t="str">
        <f>IF($B415="","",IFERROR(-AL415,"n.b."))</f>
        <v/>
      </c>
      <c r="CC415" s="124" t="str">
        <f>IF($B415="","",IFERROR(-AP415,"n.b."))</f>
        <v/>
      </c>
      <c r="CD415" s="124" t="str">
        <f>IF($B415="","",IFERROR(-AQ415,"n.b."))</f>
        <v/>
      </c>
      <c r="CE415" s="124" t="str">
        <f>IF($B415="","",IFERROR(-AR415,"n.b."))</f>
        <v/>
      </c>
      <c r="CF415" s="124" t="str">
        <f>IF($B415="","",IFERROR(-AS415,"n.b."))</f>
        <v/>
      </c>
      <c r="CG415" s="124" t="str">
        <f>IF($B415="","",IFERROR(-AT415,"n.b."))</f>
        <v/>
      </c>
      <c r="CH415" s="124" t="str">
        <f>IF($B415="","",IFERROR(-AU415,"n.b."))</f>
        <v/>
      </c>
      <c r="CI415" s="124" t="str">
        <f>IF($B415="","",IFERROR(-AV415,"n.b."))</f>
        <v/>
      </c>
      <c r="CJ415" s="124" t="str">
        <f>IF($B415="","",IFERROR(-AW415,"n.b."))</f>
        <v/>
      </c>
      <c r="CK415" s="124" t="str">
        <f>IF($B415="","",IFERROR(-AX415,"n.b."))</f>
        <v/>
      </c>
      <c r="CL415" s="124" t="str">
        <f>IF($B415="","",IFERROR(-AY415,"n.b."))</f>
        <v/>
      </c>
      <c r="CM415" s="124" t="str">
        <f>IF($B415="","",IFERROR(-AZ415,"n.b."))</f>
        <v/>
      </c>
      <c r="CN415" s="124" t="str">
        <f>IF($B415="","",IFERROR(-BA415,"n.b."))</f>
        <v/>
      </c>
      <c r="CO415" s="124" t="str">
        <f>IF($B415="","",IFERROR(-BB415,"n.b."))</f>
        <v/>
      </c>
      <c r="CP415" s="124" t="str">
        <f>IF($B415="","",IFERROR(-BC415,"n.b."))</f>
        <v/>
      </c>
      <c r="CQ415" s="124" t="str">
        <f>IF($B415="","",IFERROR(-BD415,"n.b."))</f>
        <v/>
      </c>
      <c r="CR415" s="124" t="str">
        <f>IF($B415="","",IFERROR(-BE415,"n.b."))</f>
        <v/>
      </c>
      <c r="CS415" s="124" t="str">
        <f>IF($B415="","",IFERROR(IF(OR(ABS(T415+V415+X415+Z415-AB415)&gt;P_Tol,ABS(U415+W415+Y415+AA415-AD415)&gt;P_Tol,ABS(AE415+AG415+AI415+AK415-AM415)&gt;P_Tol,ABS(AF415+AH415+AJ415+AL415-AO415)&gt;P_Tol),1,0),1))</f>
        <v/>
      </c>
      <c r="CT415" s="124" t="str">
        <f>IF($B415="","",IFERROR(IF(OR(ABS(AB415+AC415-AD415)&gt;P_Tol,ABS(AM415+AN415-AO415)&gt;P_Tol,ABS(O415+P415-Q415)&gt;P_Tol),1,0),1))</f>
        <v/>
      </c>
      <c r="CU415" s="124" t="str">
        <f>IF($B415="","",IFERROR(IF(ABS(R415-(AB415+AM415+AP415+AR415+AT415+AV415+AX415+AZ415+BB415+BD415))&gt;P_Tol,1,0),1))</f>
        <v/>
      </c>
      <c r="CV415" s="124" t="str">
        <f>IF($B415="","",IFERROR(IF(ABS(M415-(N415+O415+R415))&gt;P_Tol,1,0),1))</f>
        <v/>
      </c>
      <c r="CW415" s="124" t="str">
        <f>IF($B415="","",IF(COUNTIF(Mapping!$A$5:$A$104,B415)&gt;0,1,0))</f>
        <v/>
      </c>
      <c r="CX415" s="124" t="str">
        <f>IF($B415="","",COUNTIF($B$6:$B$505,B415))</f>
        <v/>
      </c>
      <c r="CY415" s="124" t="str">
        <f>IF($B415="","",COUNTIF(STG_Woningetalage!$B$6:$B$505,B415))</f>
        <v/>
      </c>
      <c r="CZ415" s="124" t="str">
        <f>IF($B415="","",IF(CW415=0,COUNTIF($CW$6:CW415,0),""))</f>
        <v/>
      </c>
    </row>
    <row r="416">
      <c r="A416" s="15" t="n">
        <v>412</v>
      </c>
      <c r="B416" t="str">
        <f>IF(B$3=0,"",IF(INDEX(SRC_ZPMW03!$A$1:$ZZ$501,$A416,B$3)&amp;""="","",INDEX(SRC_ZPMW03!$A$1:$ZZ$501,$A416,B$3)&amp;""))</f>
        <v/>
      </c>
      <c r="C416" t="str">
        <f>IF($B416="","",IF(C$3=0,"n.b.",INDEX(SRC_ZPMW03!$A$1:$ZZ$501,$A416,C$3)))</f>
        <v/>
      </c>
      <c r="D416" t="str">
        <f>IF($B416="","",IF(D$3=0,"n.b.",INDEX(SRC_ZPMW03!$A$1:$ZZ$501,$A416,D$3)))</f>
        <v/>
      </c>
      <c r="E416" t="str">
        <f>IF($B416="","",IF(E$3=0,"n.b.",INDEX(SRC_ZPMW03!$A$1:$ZZ$501,$A416,E$3)))</f>
        <v/>
      </c>
      <c r="F416" t="str">
        <f>IF($B416="","",IF(F$3=0,"n.b.",INDEX(SRC_ZPMW03!$A$1:$ZZ$501,$A416,F$3)))</f>
        <v/>
      </c>
      <c r="G416" t="str">
        <f>IF($B416="","",IF(G$3=0,"n.b.",INDEX(SRC_ZPMW03!$A$1:$ZZ$501,$A416,G$3)))</f>
        <v/>
      </c>
      <c r="H416" t="str">
        <f>IF($B416="","",IF(H$3=0,"n.b.",INDEX(SRC_ZPMW03!$A$1:$ZZ$501,$A416,H$3)))</f>
        <v/>
      </c>
      <c r="I416" t="str">
        <f>IF($B416="","",IF(I$3=0,"n.b.",INDEX(SRC_ZPMW03!$A$1:$ZZ$501,$A416,I$3)))</f>
        <v/>
      </c>
      <c r="J416" t="str">
        <f>IF($B416="","",IF(J$3=0,"n.b.",INDEX(SRC_ZPMW03!$A$1:$ZZ$501,$A416,J$3)))</f>
        <v/>
      </c>
      <c r="K416" t="str">
        <f>IF($B416="","",IF(K$3=0,"n.b.",INDEX(SRC_ZPMW03!$A$1:$ZZ$501,$A416,K$3)))</f>
        <v/>
      </c>
      <c r="L416" s="124" t="str">
        <f>IF($B416="","",IF(L$3=0,"n.b.",INDEX(SRC_ZPMW03!$A$1:$ZZ$501,$A416,L$3)))</f>
        <v/>
      </c>
      <c r="M416" s="124" t="str">
        <f>IF($B416="","",IF(M$3=0,"n.b.",INDEX(SRC_ZPMW03!$A$1:$ZZ$501,$A416,M$3)))</f>
        <v/>
      </c>
      <c r="N416" s="124" t="str">
        <f>IF($B416="","",IF(N$3=0,"n.b.",INDEX(SRC_ZPMW03!$A$1:$ZZ$501,$A416,N$3)))</f>
        <v/>
      </c>
      <c r="O416" s="124" t="str">
        <f>IF($B416="","",IF(O$3=0,"n.b.",INDEX(SRC_ZPMW03!$A$1:$ZZ$501,$A416,O$3)))</f>
        <v/>
      </c>
      <c r="P416" s="124" t="str">
        <f>IF($B416="","",IF(P$3=0,"n.b.",INDEX(SRC_ZPMW03!$A$1:$ZZ$501,$A416,P$3)))</f>
        <v/>
      </c>
      <c r="Q416" s="124" t="str">
        <f>IF($B416="","",IF(Q$3=0,"n.b.",INDEX(SRC_ZPMW03!$A$1:$ZZ$501,$A416,Q$3)))</f>
        <v/>
      </c>
      <c r="R416" s="124" t="str">
        <f>IF($B416="","",IF(R$3=0,"n.b.",INDEX(SRC_ZPMW03!$A$1:$ZZ$501,$A416,R$3)))</f>
        <v/>
      </c>
      <c r="S416" s="124" t="str">
        <f>IF($B416="","",IF(S$3=0,"n.b.",INDEX(SRC_ZPMW03!$A$1:$ZZ$501,$A416,S$3)))</f>
        <v/>
      </c>
      <c r="T416" s="124" t="str">
        <f>IF($B416="","",IF(T$3=0,"n.b.",INDEX(SRC_ZPMW03!$A$1:$ZZ$501,$A416,T$3)))</f>
        <v/>
      </c>
      <c r="U416" s="124" t="str">
        <f>IF($B416="","",IF(U$3=0,"n.b.",INDEX(SRC_ZPMW03!$A$1:$ZZ$501,$A416,U$3)))</f>
        <v/>
      </c>
      <c r="V416" s="124" t="str">
        <f>IF($B416="","",IF(V$3=0,"n.b.",INDEX(SRC_ZPMW03!$A$1:$ZZ$501,$A416,V$3)))</f>
        <v/>
      </c>
      <c r="W416" s="124" t="str">
        <f>IF($B416="","",IF(W$3=0,"n.b.",INDEX(SRC_ZPMW03!$A$1:$ZZ$501,$A416,W$3)))</f>
        <v/>
      </c>
      <c r="X416" s="124" t="str">
        <f>IF($B416="","",IF(X$3=0,"n.b.",INDEX(SRC_ZPMW03!$A$1:$ZZ$501,$A416,X$3)))</f>
        <v/>
      </c>
      <c r="Y416" s="124" t="str">
        <f>IF($B416="","",IF(Y$3=0,"n.b.",INDEX(SRC_ZPMW03!$A$1:$ZZ$501,$A416,Y$3)))</f>
        <v/>
      </c>
      <c r="Z416" s="124" t="str">
        <f>IF($B416="","",IF(Z$3=0,"n.b.",INDEX(SRC_ZPMW03!$A$1:$ZZ$501,$A416,Z$3)))</f>
        <v/>
      </c>
      <c r="AA416" s="124" t="str">
        <f>IF($B416="","",IF(AA$3=0,"n.b.",INDEX(SRC_ZPMW03!$A$1:$ZZ$501,$A416,AA$3)))</f>
        <v/>
      </c>
      <c r="AB416" s="124" t="str">
        <f>IF($B416="","",IF(AB$3=0,"n.b.",INDEX(SRC_ZPMW03!$A$1:$ZZ$501,$A416,AB$3)))</f>
        <v/>
      </c>
      <c r="AC416" s="124" t="str">
        <f>IF($B416="","",IF(AC$3=0,"n.b.",INDEX(SRC_ZPMW03!$A$1:$ZZ$501,$A416,AC$3)))</f>
        <v/>
      </c>
      <c r="AD416" s="124" t="str">
        <f>IF($B416="","",IF(AD$3=0,"n.b.",INDEX(SRC_ZPMW03!$A$1:$ZZ$501,$A416,AD$3)))</f>
        <v/>
      </c>
      <c r="AE416" s="124" t="str">
        <f>IF($B416="","",IF(AE$3=0,"n.b.",INDEX(SRC_ZPMW03!$A$1:$ZZ$501,$A416,AE$3)))</f>
        <v/>
      </c>
      <c r="AF416" s="124" t="str">
        <f>IF($B416="","",IF(AF$3=0,"n.b.",INDEX(SRC_ZPMW03!$A$1:$ZZ$501,$A416,AF$3)))</f>
        <v/>
      </c>
      <c r="AG416" s="124" t="str">
        <f>IF($B416="","",IF(AG$3=0,"n.b.",INDEX(SRC_ZPMW03!$A$1:$ZZ$501,$A416,AG$3)))</f>
        <v/>
      </c>
      <c r="AH416" s="124" t="str">
        <f>IF($B416="","",IF(AH$3=0,"n.b.",INDEX(SRC_ZPMW03!$A$1:$ZZ$501,$A416,AH$3)))</f>
        <v/>
      </c>
      <c r="AI416" s="124" t="str">
        <f>IF($B416="","",IF(AI$3=0,"n.b.",INDEX(SRC_ZPMW03!$A$1:$ZZ$501,$A416,AI$3)))</f>
        <v/>
      </c>
      <c r="AJ416" s="124" t="str">
        <f>IF($B416="","",IF(AJ$3=0,"n.b.",INDEX(SRC_ZPMW03!$A$1:$ZZ$501,$A416,AJ$3)))</f>
        <v/>
      </c>
      <c r="AK416" s="124" t="str">
        <f>IF($B416="","",IF(AK$3=0,"n.b.",INDEX(SRC_ZPMW03!$A$1:$ZZ$501,$A416,AK$3)))</f>
        <v/>
      </c>
      <c r="AL416" s="124" t="str">
        <f>IF($B416="","",IF(AL$3=0,"n.b.",INDEX(SRC_ZPMW03!$A$1:$ZZ$501,$A416,AL$3)))</f>
        <v/>
      </c>
      <c r="AM416" s="124" t="str">
        <f>IF($B416="","",IF(AM$3=0,"n.b.",INDEX(SRC_ZPMW03!$A$1:$ZZ$501,$A416,AM$3)))</f>
        <v/>
      </c>
      <c r="AN416" s="124" t="str">
        <f>IF($B416="","",IF(AN$3=0,"n.b.",INDEX(SRC_ZPMW03!$A$1:$ZZ$501,$A416,AN$3)))</f>
        <v/>
      </c>
      <c r="AO416" s="124" t="str">
        <f>IF($B416="","",IF(AO$3=0,"n.b.",INDEX(SRC_ZPMW03!$A$1:$ZZ$501,$A416,AO$3)))</f>
        <v/>
      </c>
      <c r="AP416" s="124" t="str">
        <f>IF($B416="","",IF(AP$3=0,"n.b.",INDEX(SRC_ZPMW03!$A$1:$ZZ$501,$A416,AP$3)))</f>
        <v/>
      </c>
      <c r="AQ416" s="124" t="str">
        <f>IF($B416="","",IF(AQ$3=0,"n.b.",INDEX(SRC_ZPMW03!$A$1:$ZZ$501,$A416,AQ$3)))</f>
        <v/>
      </c>
      <c r="AR416" s="124" t="str">
        <f>IF($B416="","",IF(AR$3=0,"n.b.",INDEX(SRC_ZPMW03!$A$1:$ZZ$501,$A416,AR$3)))</f>
        <v/>
      </c>
      <c r="AS416" s="124" t="str">
        <f>IF($B416="","",IF(AS$3=0,"n.b.",INDEX(SRC_ZPMW03!$A$1:$ZZ$501,$A416,AS$3)))</f>
        <v/>
      </c>
      <c r="AT416" s="124" t="str">
        <f>IF($B416="","",IF(AT$3=0,"n.b.",INDEX(SRC_ZPMW03!$A$1:$ZZ$501,$A416,AT$3)))</f>
        <v/>
      </c>
      <c r="AU416" s="124" t="str">
        <f>IF($B416="","",IF(AU$3=0,"n.b.",INDEX(SRC_ZPMW03!$A$1:$ZZ$501,$A416,AU$3)))</f>
        <v/>
      </c>
      <c r="AV416" s="124" t="str">
        <f>IF($B416="","",IF(AV$3=0,"n.b.",INDEX(SRC_ZPMW03!$A$1:$ZZ$501,$A416,AV$3)))</f>
        <v/>
      </c>
      <c r="AW416" s="124" t="str">
        <f>IF($B416="","",IF(AW$3=0,"n.b.",INDEX(SRC_ZPMW03!$A$1:$ZZ$501,$A416,AW$3)))</f>
        <v/>
      </c>
      <c r="AX416" s="124" t="str">
        <f>IF($B416="","",IF(AX$3=0,"n.b.",INDEX(SRC_ZPMW03!$A$1:$ZZ$501,$A416,AX$3)))</f>
        <v/>
      </c>
      <c r="AY416" s="124" t="str">
        <f>IF($B416="","",IF(AY$3=0,"n.b.",INDEX(SRC_ZPMW03!$A$1:$ZZ$501,$A416,AY$3)))</f>
        <v/>
      </c>
      <c r="AZ416" s="124" t="str">
        <f>IF($B416="","",IF(AZ$3=0,"n.b.",INDEX(SRC_ZPMW03!$A$1:$ZZ$501,$A416,AZ$3)))</f>
        <v/>
      </c>
      <c r="BA416" s="124" t="str">
        <f>IF($B416="","",IF(BA$3=0,"n.b.",INDEX(SRC_ZPMW03!$A$1:$ZZ$501,$A416,BA$3)))</f>
        <v/>
      </c>
      <c r="BB416" s="124" t="str">
        <f>IF($B416="","",IF(BB$3=0,"n.b.",INDEX(SRC_ZPMW03!$A$1:$ZZ$501,$A416,BB$3)))</f>
        <v/>
      </c>
      <c r="BC416" s="124" t="str">
        <f>IF($B416="","",IF(BC$3=0,"n.b.",INDEX(SRC_ZPMW03!$A$1:$ZZ$501,$A416,BC$3)))</f>
        <v/>
      </c>
      <c r="BD416" s="124" t="str">
        <f>IF($B416="","",IF(BD$3=0,"n.b.",INDEX(SRC_ZPMW03!$A$1:$ZZ$501,$A416,BD$3)))</f>
        <v/>
      </c>
      <c r="BE416" s="124" t="str">
        <f>IF($B416="","",IF(BE$3=0,"n.b.",INDEX(SRC_ZPMW03!$A$1:$ZZ$501,$A416,BE$3)))</f>
        <v/>
      </c>
      <c r="BF416" s="124" t="str">
        <f>IF($B416="","",IF(BF$3=0,"n.b.",INDEX(SRC_ZPMW03!$A$1:$ZZ$501,$A416,BF$3)))</f>
        <v/>
      </c>
      <c r="BG416" t="str">
        <f>IF($B416="","",IF(BG$3=0,"n.b.",INDEX(SRC_ZPMW03!$A$1:$ZZ$501,$A416,BG$3)))</f>
        <v/>
      </c>
      <c r="BH416" t="str">
        <f>IF($B416="","",IF(BH$3=0,"n.b.",INDEX(SRC_ZPMW03!$A$1:$ZZ$501,$A416,BH$3)))</f>
        <v/>
      </c>
      <c r="BI416" t="str">
        <f>IF($B416="","",IF(BI$3=0,"n.b.",INDEX(SRC_ZPMW03!$A$1:$ZZ$501,$A416,BI$3)))</f>
        <v/>
      </c>
      <c r="BJ416" t="str">
        <f>IF($B416="","",IF(BJ$3=0,"n.b.",INDEX(SRC_ZPMW03!$A$1:$ZZ$501,$A416,BJ$3)))</f>
        <v/>
      </c>
      <c r="BK416" s="124" t="str">
        <f>IF($B416="","",IFERROR(-O416,"n.b."))</f>
        <v/>
      </c>
      <c r="BL416" s="124" t="str">
        <f>IF($B416="","",IFERROR(-Q416,"n.b."))</f>
        <v/>
      </c>
      <c r="BM416" s="124" t="str">
        <f>IF($B416="","",IFERROR(-AB416,"n.b."))</f>
        <v/>
      </c>
      <c r="BN416" s="124" t="str">
        <f>IF($B416="","",IFERROR(-AD416,"n.b."))</f>
        <v/>
      </c>
      <c r="BO416" s="124" t="str">
        <f>IF($B416="","",IFERROR(BK416+BM416,"n.b."))</f>
        <v/>
      </c>
      <c r="BP416" s="124" t="str">
        <f>IF($B416="","",IFERROR(BL416+BN416,"n.b."))</f>
        <v/>
      </c>
      <c r="BQ416" s="124" t="str">
        <f>IF($B416="","",IFERROR(-AM416,"n.b."))</f>
        <v/>
      </c>
      <c r="BR416" s="124" t="str">
        <f>IF($B416="","",IFERROR(-AO416,"n.b."))</f>
        <v/>
      </c>
      <c r="BS416" s="124" t="str">
        <f>IF($B416="","",IFERROR(-Z416,"n.b."))</f>
        <v/>
      </c>
      <c r="BT416" s="124" t="str">
        <f>IF($B416="","",IFERROR(-AA416,"n.b."))</f>
        <v/>
      </c>
      <c r="BU416" s="124" t="str">
        <f>IF($B416="","",IFERROR(-AE416,"n.b."))</f>
        <v/>
      </c>
      <c r="BV416" s="124" t="str">
        <f>IF($B416="","",IFERROR(-AF416,"n.b."))</f>
        <v/>
      </c>
      <c r="BW416" s="124" t="str">
        <f>IF($B416="","",IFERROR(-AG416,"n.b."))</f>
        <v/>
      </c>
      <c r="BX416" s="124" t="str">
        <f>IF($B416="","",IFERROR(-AH416,"n.b."))</f>
        <v/>
      </c>
      <c r="BY416" s="124" t="str">
        <f>IF($B416="","",IFERROR(-AI416,"n.b."))</f>
        <v/>
      </c>
      <c r="BZ416" s="124" t="str">
        <f>IF($B416="","",IFERROR(-AJ416,"n.b."))</f>
        <v/>
      </c>
      <c r="CA416" s="124" t="str">
        <f>IF($B416="","",IFERROR(-AK416,"n.b."))</f>
        <v/>
      </c>
      <c r="CB416" s="124" t="str">
        <f>IF($B416="","",IFERROR(-AL416,"n.b."))</f>
        <v/>
      </c>
      <c r="CC416" s="124" t="str">
        <f>IF($B416="","",IFERROR(-AP416,"n.b."))</f>
        <v/>
      </c>
      <c r="CD416" s="124" t="str">
        <f>IF($B416="","",IFERROR(-AQ416,"n.b."))</f>
        <v/>
      </c>
      <c r="CE416" s="124" t="str">
        <f>IF($B416="","",IFERROR(-AR416,"n.b."))</f>
        <v/>
      </c>
      <c r="CF416" s="124" t="str">
        <f>IF($B416="","",IFERROR(-AS416,"n.b."))</f>
        <v/>
      </c>
      <c r="CG416" s="124" t="str">
        <f>IF($B416="","",IFERROR(-AT416,"n.b."))</f>
        <v/>
      </c>
      <c r="CH416" s="124" t="str">
        <f>IF($B416="","",IFERROR(-AU416,"n.b."))</f>
        <v/>
      </c>
      <c r="CI416" s="124" t="str">
        <f>IF($B416="","",IFERROR(-AV416,"n.b."))</f>
        <v/>
      </c>
      <c r="CJ416" s="124" t="str">
        <f>IF($B416="","",IFERROR(-AW416,"n.b."))</f>
        <v/>
      </c>
      <c r="CK416" s="124" t="str">
        <f>IF($B416="","",IFERROR(-AX416,"n.b."))</f>
        <v/>
      </c>
      <c r="CL416" s="124" t="str">
        <f>IF($B416="","",IFERROR(-AY416,"n.b."))</f>
        <v/>
      </c>
      <c r="CM416" s="124" t="str">
        <f>IF($B416="","",IFERROR(-AZ416,"n.b."))</f>
        <v/>
      </c>
      <c r="CN416" s="124" t="str">
        <f>IF($B416="","",IFERROR(-BA416,"n.b."))</f>
        <v/>
      </c>
      <c r="CO416" s="124" t="str">
        <f>IF($B416="","",IFERROR(-BB416,"n.b."))</f>
        <v/>
      </c>
      <c r="CP416" s="124" t="str">
        <f>IF($B416="","",IFERROR(-BC416,"n.b."))</f>
        <v/>
      </c>
      <c r="CQ416" s="124" t="str">
        <f>IF($B416="","",IFERROR(-BD416,"n.b."))</f>
        <v/>
      </c>
      <c r="CR416" s="124" t="str">
        <f>IF($B416="","",IFERROR(-BE416,"n.b."))</f>
        <v/>
      </c>
      <c r="CS416" s="124" t="str">
        <f>IF($B416="","",IFERROR(IF(OR(ABS(T416+V416+X416+Z416-AB416)&gt;P_Tol,ABS(U416+W416+Y416+AA416-AD416)&gt;P_Tol,ABS(AE416+AG416+AI416+AK416-AM416)&gt;P_Tol,ABS(AF416+AH416+AJ416+AL416-AO416)&gt;P_Tol),1,0),1))</f>
        <v/>
      </c>
      <c r="CT416" s="124" t="str">
        <f>IF($B416="","",IFERROR(IF(OR(ABS(AB416+AC416-AD416)&gt;P_Tol,ABS(AM416+AN416-AO416)&gt;P_Tol,ABS(O416+P416-Q416)&gt;P_Tol),1,0),1))</f>
        <v/>
      </c>
      <c r="CU416" s="124" t="str">
        <f>IF($B416="","",IFERROR(IF(ABS(R416-(AB416+AM416+AP416+AR416+AT416+AV416+AX416+AZ416+BB416+BD416))&gt;P_Tol,1,0),1))</f>
        <v/>
      </c>
      <c r="CV416" s="124" t="str">
        <f>IF($B416="","",IFERROR(IF(ABS(M416-(N416+O416+R416))&gt;P_Tol,1,0),1))</f>
        <v/>
      </c>
      <c r="CW416" s="124" t="str">
        <f>IF($B416="","",IF(COUNTIF(Mapping!$A$5:$A$104,B416)&gt;0,1,0))</f>
        <v/>
      </c>
      <c r="CX416" s="124" t="str">
        <f>IF($B416="","",COUNTIF($B$6:$B$505,B416))</f>
        <v/>
      </c>
      <c r="CY416" s="124" t="str">
        <f>IF($B416="","",COUNTIF(STG_Woningetalage!$B$6:$B$505,B416))</f>
        <v/>
      </c>
      <c r="CZ416" s="124" t="str">
        <f>IF($B416="","",IF(CW416=0,COUNTIF($CW$6:CW416,0),""))</f>
        <v/>
      </c>
    </row>
    <row r="417">
      <c r="A417" s="15" t="n">
        <v>413</v>
      </c>
      <c r="B417" t="str">
        <f>IF(B$3=0,"",IF(INDEX(SRC_ZPMW03!$A$1:$ZZ$501,$A417,B$3)&amp;""="","",INDEX(SRC_ZPMW03!$A$1:$ZZ$501,$A417,B$3)&amp;""))</f>
        <v/>
      </c>
      <c r="C417" t="str">
        <f>IF($B417="","",IF(C$3=0,"n.b.",INDEX(SRC_ZPMW03!$A$1:$ZZ$501,$A417,C$3)))</f>
        <v/>
      </c>
      <c r="D417" t="str">
        <f>IF($B417="","",IF(D$3=0,"n.b.",INDEX(SRC_ZPMW03!$A$1:$ZZ$501,$A417,D$3)))</f>
        <v/>
      </c>
      <c r="E417" t="str">
        <f>IF($B417="","",IF(E$3=0,"n.b.",INDEX(SRC_ZPMW03!$A$1:$ZZ$501,$A417,E$3)))</f>
        <v/>
      </c>
      <c r="F417" t="str">
        <f>IF($B417="","",IF(F$3=0,"n.b.",INDEX(SRC_ZPMW03!$A$1:$ZZ$501,$A417,F$3)))</f>
        <v/>
      </c>
      <c r="G417" t="str">
        <f>IF($B417="","",IF(G$3=0,"n.b.",INDEX(SRC_ZPMW03!$A$1:$ZZ$501,$A417,G$3)))</f>
        <v/>
      </c>
      <c r="H417" t="str">
        <f>IF($B417="","",IF(H$3=0,"n.b.",INDEX(SRC_ZPMW03!$A$1:$ZZ$501,$A417,H$3)))</f>
        <v/>
      </c>
      <c r="I417" t="str">
        <f>IF($B417="","",IF(I$3=0,"n.b.",INDEX(SRC_ZPMW03!$A$1:$ZZ$501,$A417,I$3)))</f>
        <v/>
      </c>
      <c r="J417" t="str">
        <f>IF($B417="","",IF(J$3=0,"n.b.",INDEX(SRC_ZPMW03!$A$1:$ZZ$501,$A417,J$3)))</f>
        <v/>
      </c>
      <c r="K417" t="str">
        <f>IF($B417="","",IF(K$3=0,"n.b.",INDEX(SRC_ZPMW03!$A$1:$ZZ$501,$A417,K$3)))</f>
        <v/>
      </c>
      <c r="L417" s="124" t="str">
        <f>IF($B417="","",IF(L$3=0,"n.b.",INDEX(SRC_ZPMW03!$A$1:$ZZ$501,$A417,L$3)))</f>
        <v/>
      </c>
      <c r="M417" s="124" t="str">
        <f>IF($B417="","",IF(M$3=0,"n.b.",INDEX(SRC_ZPMW03!$A$1:$ZZ$501,$A417,M$3)))</f>
        <v/>
      </c>
      <c r="N417" s="124" t="str">
        <f>IF($B417="","",IF(N$3=0,"n.b.",INDEX(SRC_ZPMW03!$A$1:$ZZ$501,$A417,N$3)))</f>
        <v/>
      </c>
      <c r="O417" s="124" t="str">
        <f>IF($B417="","",IF(O$3=0,"n.b.",INDEX(SRC_ZPMW03!$A$1:$ZZ$501,$A417,O$3)))</f>
        <v/>
      </c>
      <c r="P417" s="124" t="str">
        <f>IF($B417="","",IF(P$3=0,"n.b.",INDEX(SRC_ZPMW03!$A$1:$ZZ$501,$A417,P$3)))</f>
        <v/>
      </c>
      <c r="Q417" s="124" t="str">
        <f>IF($B417="","",IF(Q$3=0,"n.b.",INDEX(SRC_ZPMW03!$A$1:$ZZ$501,$A417,Q$3)))</f>
        <v/>
      </c>
      <c r="R417" s="124" t="str">
        <f>IF($B417="","",IF(R$3=0,"n.b.",INDEX(SRC_ZPMW03!$A$1:$ZZ$501,$A417,R$3)))</f>
        <v/>
      </c>
      <c r="S417" s="124" t="str">
        <f>IF($B417="","",IF(S$3=0,"n.b.",INDEX(SRC_ZPMW03!$A$1:$ZZ$501,$A417,S$3)))</f>
        <v/>
      </c>
      <c r="T417" s="124" t="str">
        <f>IF($B417="","",IF(T$3=0,"n.b.",INDEX(SRC_ZPMW03!$A$1:$ZZ$501,$A417,T$3)))</f>
        <v/>
      </c>
      <c r="U417" s="124" t="str">
        <f>IF($B417="","",IF(U$3=0,"n.b.",INDEX(SRC_ZPMW03!$A$1:$ZZ$501,$A417,U$3)))</f>
        <v/>
      </c>
      <c r="V417" s="124" t="str">
        <f>IF($B417="","",IF(V$3=0,"n.b.",INDEX(SRC_ZPMW03!$A$1:$ZZ$501,$A417,V$3)))</f>
        <v/>
      </c>
      <c r="W417" s="124" t="str">
        <f>IF($B417="","",IF(W$3=0,"n.b.",INDEX(SRC_ZPMW03!$A$1:$ZZ$501,$A417,W$3)))</f>
        <v/>
      </c>
      <c r="X417" s="124" t="str">
        <f>IF($B417="","",IF(X$3=0,"n.b.",INDEX(SRC_ZPMW03!$A$1:$ZZ$501,$A417,X$3)))</f>
        <v/>
      </c>
      <c r="Y417" s="124" t="str">
        <f>IF($B417="","",IF(Y$3=0,"n.b.",INDEX(SRC_ZPMW03!$A$1:$ZZ$501,$A417,Y$3)))</f>
        <v/>
      </c>
      <c r="Z417" s="124" t="str">
        <f>IF($B417="","",IF(Z$3=0,"n.b.",INDEX(SRC_ZPMW03!$A$1:$ZZ$501,$A417,Z$3)))</f>
        <v/>
      </c>
      <c r="AA417" s="124" t="str">
        <f>IF($B417="","",IF(AA$3=0,"n.b.",INDEX(SRC_ZPMW03!$A$1:$ZZ$501,$A417,AA$3)))</f>
        <v/>
      </c>
      <c r="AB417" s="124" t="str">
        <f>IF($B417="","",IF(AB$3=0,"n.b.",INDEX(SRC_ZPMW03!$A$1:$ZZ$501,$A417,AB$3)))</f>
        <v/>
      </c>
      <c r="AC417" s="124" t="str">
        <f>IF($B417="","",IF(AC$3=0,"n.b.",INDEX(SRC_ZPMW03!$A$1:$ZZ$501,$A417,AC$3)))</f>
        <v/>
      </c>
      <c r="AD417" s="124" t="str">
        <f>IF($B417="","",IF(AD$3=0,"n.b.",INDEX(SRC_ZPMW03!$A$1:$ZZ$501,$A417,AD$3)))</f>
        <v/>
      </c>
      <c r="AE417" s="124" t="str">
        <f>IF($B417="","",IF(AE$3=0,"n.b.",INDEX(SRC_ZPMW03!$A$1:$ZZ$501,$A417,AE$3)))</f>
        <v/>
      </c>
      <c r="AF417" s="124" t="str">
        <f>IF($B417="","",IF(AF$3=0,"n.b.",INDEX(SRC_ZPMW03!$A$1:$ZZ$501,$A417,AF$3)))</f>
        <v/>
      </c>
      <c r="AG417" s="124" t="str">
        <f>IF($B417="","",IF(AG$3=0,"n.b.",INDEX(SRC_ZPMW03!$A$1:$ZZ$501,$A417,AG$3)))</f>
        <v/>
      </c>
      <c r="AH417" s="124" t="str">
        <f>IF($B417="","",IF(AH$3=0,"n.b.",INDEX(SRC_ZPMW03!$A$1:$ZZ$501,$A417,AH$3)))</f>
        <v/>
      </c>
      <c r="AI417" s="124" t="str">
        <f>IF($B417="","",IF(AI$3=0,"n.b.",INDEX(SRC_ZPMW03!$A$1:$ZZ$501,$A417,AI$3)))</f>
        <v/>
      </c>
      <c r="AJ417" s="124" t="str">
        <f>IF($B417="","",IF(AJ$3=0,"n.b.",INDEX(SRC_ZPMW03!$A$1:$ZZ$501,$A417,AJ$3)))</f>
        <v/>
      </c>
      <c r="AK417" s="124" t="str">
        <f>IF($B417="","",IF(AK$3=0,"n.b.",INDEX(SRC_ZPMW03!$A$1:$ZZ$501,$A417,AK$3)))</f>
        <v/>
      </c>
      <c r="AL417" s="124" t="str">
        <f>IF($B417="","",IF(AL$3=0,"n.b.",INDEX(SRC_ZPMW03!$A$1:$ZZ$501,$A417,AL$3)))</f>
        <v/>
      </c>
      <c r="AM417" s="124" t="str">
        <f>IF($B417="","",IF(AM$3=0,"n.b.",INDEX(SRC_ZPMW03!$A$1:$ZZ$501,$A417,AM$3)))</f>
        <v/>
      </c>
      <c r="AN417" s="124" t="str">
        <f>IF($B417="","",IF(AN$3=0,"n.b.",INDEX(SRC_ZPMW03!$A$1:$ZZ$501,$A417,AN$3)))</f>
        <v/>
      </c>
      <c r="AO417" s="124" t="str">
        <f>IF($B417="","",IF(AO$3=0,"n.b.",INDEX(SRC_ZPMW03!$A$1:$ZZ$501,$A417,AO$3)))</f>
        <v/>
      </c>
      <c r="AP417" s="124" t="str">
        <f>IF($B417="","",IF(AP$3=0,"n.b.",INDEX(SRC_ZPMW03!$A$1:$ZZ$501,$A417,AP$3)))</f>
        <v/>
      </c>
      <c r="AQ417" s="124" t="str">
        <f>IF($B417="","",IF(AQ$3=0,"n.b.",INDEX(SRC_ZPMW03!$A$1:$ZZ$501,$A417,AQ$3)))</f>
        <v/>
      </c>
      <c r="AR417" s="124" t="str">
        <f>IF($B417="","",IF(AR$3=0,"n.b.",INDEX(SRC_ZPMW03!$A$1:$ZZ$501,$A417,AR$3)))</f>
        <v/>
      </c>
      <c r="AS417" s="124" t="str">
        <f>IF($B417="","",IF(AS$3=0,"n.b.",INDEX(SRC_ZPMW03!$A$1:$ZZ$501,$A417,AS$3)))</f>
        <v/>
      </c>
      <c r="AT417" s="124" t="str">
        <f>IF($B417="","",IF(AT$3=0,"n.b.",INDEX(SRC_ZPMW03!$A$1:$ZZ$501,$A417,AT$3)))</f>
        <v/>
      </c>
      <c r="AU417" s="124" t="str">
        <f>IF($B417="","",IF(AU$3=0,"n.b.",INDEX(SRC_ZPMW03!$A$1:$ZZ$501,$A417,AU$3)))</f>
        <v/>
      </c>
      <c r="AV417" s="124" t="str">
        <f>IF($B417="","",IF(AV$3=0,"n.b.",INDEX(SRC_ZPMW03!$A$1:$ZZ$501,$A417,AV$3)))</f>
        <v/>
      </c>
      <c r="AW417" s="124" t="str">
        <f>IF($B417="","",IF(AW$3=0,"n.b.",INDEX(SRC_ZPMW03!$A$1:$ZZ$501,$A417,AW$3)))</f>
        <v/>
      </c>
      <c r="AX417" s="124" t="str">
        <f>IF($B417="","",IF(AX$3=0,"n.b.",INDEX(SRC_ZPMW03!$A$1:$ZZ$501,$A417,AX$3)))</f>
        <v/>
      </c>
      <c r="AY417" s="124" t="str">
        <f>IF($B417="","",IF(AY$3=0,"n.b.",INDEX(SRC_ZPMW03!$A$1:$ZZ$501,$A417,AY$3)))</f>
        <v/>
      </c>
      <c r="AZ417" s="124" t="str">
        <f>IF($B417="","",IF(AZ$3=0,"n.b.",INDEX(SRC_ZPMW03!$A$1:$ZZ$501,$A417,AZ$3)))</f>
        <v/>
      </c>
      <c r="BA417" s="124" t="str">
        <f>IF($B417="","",IF(BA$3=0,"n.b.",INDEX(SRC_ZPMW03!$A$1:$ZZ$501,$A417,BA$3)))</f>
        <v/>
      </c>
      <c r="BB417" s="124" t="str">
        <f>IF($B417="","",IF(BB$3=0,"n.b.",INDEX(SRC_ZPMW03!$A$1:$ZZ$501,$A417,BB$3)))</f>
        <v/>
      </c>
      <c r="BC417" s="124" t="str">
        <f>IF($B417="","",IF(BC$3=0,"n.b.",INDEX(SRC_ZPMW03!$A$1:$ZZ$501,$A417,BC$3)))</f>
        <v/>
      </c>
      <c r="BD417" s="124" t="str">
        <f>IF($B417="","",IF(BD$3=0,"n.b.",INDEX(SRC_ZPMW03!$A$1:$ZZ$501,$A417,BD$3)))</f>
        <v/>
      </c>
      <c r="BE417" s="124" t="str">
        <f>IF($B417="","",IF(BE$3=0,"n.b.",INDEX(SRC_ZPMW03!$A$1:$ZZ$501,$A417,BE$3)))</f>
        <v/>
      </c>
      <c r="BF417" s="124" t="str">
        <f>IF($B417="","",IF(BF$3=0,"n.b.",INDEX(SRC_ZPMW03!$A$1:$ZZ$501,$A417,BF$3)))</f>
        <v/>
      </c>
      <c r="BG417" t="str">
        <f>IF($B417="","",IF(BG$3=0,"n.b.",INDEX(SRC_ZPMW03!$A$1:$ZZ$501,$A417,BG$3)))</f>
        <v/>
      </c>
      <c r="BH417" t="str">
        <f>IF($B417="","",IF(BH$3=0,"n.b.",INDEX(SRC_ZPMW03!$A$1:$ZZ$501,$A417,BH$3)))</f>
        <v/>
      </c>
      <c r="BI417" t="str">
        <f>IF($B417="","",IF(BI$3=0,"n.b.",INDEX(SRC_ZPMW03!$A$1:$ZZ$501,$A417,BI$3)))</f>
        <v/>
      </c>
      <c r="BJ417" t="str">
        <f>IF($B417="","",IF(BJ$3=0,"n.b.",INDEX(SRC_ZPMW03!$A$1:$ZZ$501,$A417,BJ$3)))</f>
        <v/>
      </c>
      <c r="BK417" s="124" t="str">
        <f>IF($B417="","",IFERROR(-O417,"n.b."))</f>
        <v/>
      </c>
      <c r="BL417" s="124" t="str">
        <f>IF($B417="","",IFERROR(-Q417,"n.b."))</f>
        <v/>
      </c>
      <c r="BM417" s="124" t="str">
        <f>IF($B417="","",IFERROR(-AB417,"n.b."))</f>
        <v/>
      </c>
      <c r="BN417" s="124" t="str">
        <f>IF($B417="","",IFERROR(-AD417,"n.b."))</f>
        <v/>
      </c>
      <c r="BO417" s="124" t="str">
        <f>IF($B417="","",IFERROR(BK417+BM417,"n.b."))</f>
        <v/>
      </c>
      <c r="BP417" s="124" t="str">
        <f>IF($B417="","",IFERROR(BL417+BN417,"n.b."))</f>
        <v/>
      </c>
      <c r="BQ417" s="124" t="str">
        <f>IF($B417="","",IFERROR(-AM417,"n.b."))</f>
        <v/>
      </c>
      <c r="BR417" s="124" t="str">
        <f>IF($B417="","",IFERROR(-AO417,"n.b."))</f>
        <v/>
      </c>
      <c r="BS417" s="124" t="str">
        <f>IF($B417="","",IFERROR(-Z417,"n.b."))</f>
        <v/>
      </c>
      <c r="BT417" s="124" t="str">
        <f>IF($B417="","",IFERROR(-AA417,"n.b."))</f>
        <v/>
      </c>
      <c r="BU417" s="124" t="str">
        <f>IF($B417="","",IFERROR(-AE417,"n.b."))</f>
        <v/>
      </c>
      <c r="BV417" s="124" t="str">
        <f>IF($B417="","",IFERROR(-AF417,"n.b."))</f>
        <v/>
      </c>
      <c r="BW417" s="124" t="str">
        <f>IF($B417="","",IFERROR(-AG417,"n.b."))</f>
        <v/>
      </c>
      <c r="BX417" s="124" t="str">
        <f>IF($B417="","",IFERROR(-AH417,"n.b."))</f>
        <v/>
      </c>
      <c r="BY417" s="124" t="str">
        <f>IF($B417="","",IFERROR(-AI417,"n.b."))</f>
        <v/>
      </c>
      <c r="BZ417" s="124" t="str">
        <f>IF($B417="","",IFERROR(-AJ417,"n.b."))</f>
        <v/>
      </c>
      <c r="CA417" s="124" t="str">
        <f>IF($B417="","",IFERROR(-AK417,"n.b."))</f>
        <v/>
      </c>
      <c r="CB417" s="124" t="str">
        <f>IF($B417="","",IFERROR(-AL417,"n.b."))</f>
        <v/>
      </c>
      <c r="CC417" s="124" t="str">
        <f>IF($B417="","",IFERROR(-AP417,"n.b."))</f>
        <v/>
      </c>
      <c r="CD417" s="124" t="str">
        <f>IF($B417="","",IFERROR(-AQ417,"n.b."))</f>
        <v/>
      </c>
      <c r="CE417" s="124" t="str">
        <f>IF($B417="","",IFERROR(-AR417,"n.b."))</f>
        <v/>
      </c>
      <c r="CF417" s="124" t="str">
        <f>IF($B417="","",IFERROR(-AS417,"n.b."))</f>
        <v/>
      </c>
      <c r="CG417" s="124" t="str">
        <f>IF($B417="","",IFERROR(-AT417,"n.b."))</f>
        <v/>
      </c>
      <c r="CH417" s="124" t="str">
        <f>IF($B417="","",IFERROR(-AU417,"n.b."))</f>
        <v/>
      </c>
      <c r="CI417" s="124" t="str">
        <f>IF($B417="","",IFERROR(-AV417,"n.b."))</f>
        <v/>
      </c>
      <c r="CJ417" s="124" t="str">
        <f>IF($B417="","",IFERROR(-AW417,"n.b."))</f>
        <v/>
      </c>
      <c r="CK417" s="124" t="str">
        <f>IF($B417="","",IFERROR(-AX417,"n.b."))</f>
        <v/>
      </c>
      <c r="CL417" s="124" t="str">
        <f>IF($B417="","",IFERROR(-AY417,"n.b."))</f>
        <v/>
      </c>
      <c r="CM417" s="124" t="str">
        <f>IF($B417="","",IFERROR(-AZ417,"n.b."))</f>
        <v/>
      </c>
      <c r="CN417" s="124" t="str">
        <f>IF($B417="","",IFERROR(-BA417,"n.b."))</f>
        <v/>
      </c>
      <c r="CO417" s="124" t="str">
        <f>IF($B417="","",IFERROR(-BB417,"n.b."))</f>
        <v/>
      </c>
      <c r="CP417" s="124" t="str">
        <f>IF($B417="","",IFERROR(-BC417,"n.b."))</f>
        <v/>
      </c>
      <c r="CQ417" s="124" t="str">
        <f>IF($B417="","",IFERROR(-BD417,"n.b."))</f>
        <v/>
      </c>
      <c r="CR417" s="124" t="str">
        <f>IF($B417="","",IFERROR(-BE417,"n.b."))</f>
        <v/>
      </c>
      <c r="CS417" s="124" t="str">
        <f>IF($B417="","",IFERROR(IF(OR(ABS(T417+V417+X417+Z417-AB417)&gt;P_Tol,ABS(U417+W417+Y417+AA417-AD417)&gt;P_Tol,ABS(AE417+AG417+AI417+AK417-AM417)&gt;P_Tol,ABS(AF417+AH417+AJ417+AL417-AO417)&gt;P_Tol),1,0),1))</f>
        <v/>
      </c>
      <c r="CT417" s="124" t="str">
        <f>IF($B417="","",IFERROR(IF(OR(ABS(AB417+AC417-AD417)&gt;P_Tol,ABS(AM417+AN417-AO417)&gt;P_Tol,ABS(O417+P417-Q417)&gt;P_Tol),1,0),1))</f>
        <v/>
      </c>
      <c r="CU417" s="124" t="str">
        <f>IF($B417="","",IFERROR(IF(ABS(R417-(AB417+AM417+AP417+AR417+AT417+AV417+AX417+AZ417+BB417+BD417))&gt;P_Tol,1,0),1))</f>
        <v/>
      </c>
      <c r="CV417" s="124" t="str">
        <f>IF($B417="","",IFERROR(IF(ABS(M417-(N417+O417+R417))&gt;P_Tol,1,0),1))</f>
        <v/>
      </c>
      <c r="CW417" s="124" t="str">
        <f>IF($B417="","",IF(COUNTIF(Mapping!$A$5:$A$104,B417)&gt;0,1,0))</f>
        <v/>
      </c>
      <c r="CX417" s="124" t="str">
        <f>IF($B417="","",COUNTIF($B$6:$B$505,B417))</f>
        <v/>
      </c>
      <c r="CY417" s="124" t="str">
        <f>IF($B417="","",COUNTIF(STG_Woningetalage!$B$6:$B$505,B417))</f>
        <v/>
      </c>
      <c r="CZ417" s="124" t="str">
        <f>IF($B417="","",IF(CW417=0,COUNTIF($CW$6:CW417,0),""))</f>
        <v/>
      </c>
    </row>
    <row r="418">
      <c r="A418" s="15" t="n">
        <v>414</v>
      </c>
      <c r="B418" t="str">
        <f>IF(B$3=0,"",IF(INDEX(SRC_ZPMW03!$A$1:$ZZ$501,$A418,B$3)&amp;""="","",INDEX(SRC_ZPMW03!$A$1:$ZZ$501,$A418,B$3)&amp;""))</f>
        <v/>
      </c>
      <c r="C418" t="str">
        <f>IF($B418="","",IF(C$3=0,"n.b.",INDEX(SRC_ZPMW03!$A$1:$ZZ$501,$A418,C$3)))</f>
        <v/>
      </c>
      <c r="D418" t="str">
        <f>IF($B418="","",IF(D$3=0,"n.b.",INDEX(SRC_ZPMW03!$A$1:$ZZ$501,$A418,D$3)))</f>
        <v/>
      </c>
      <c r="E418" t="str">
        <f>IF($B418="","",IF(E$3=0,"n.b.",INDEX(SRC_ZPMW03!$A$1:$ZZ$501,$A418,E$3)))</f>
        <v/>
      </c>
      <c r="F418" t="str">
        <f>IF($B418="","",IF(F$3=0,"n.b.",INDEX(SRC_ZPMW03!$A$1:$ZZ$501,$A418,F$3)))</f>
        <v/>
      </c>
      <c r="G418" t="str">
        <f>IF($B418="","",IF(G$3=0,"n.b.",INDEX(SRC_ZPMW03!$A$1:$ZZ$501,$A418,G$3)))</f>
        <v/>
      </c>
      <c r="H418" t="str">
        <f>IF($B418="","",IF(H$3=0,"n.b.",INDEX(SRC_ZPMW03!$A$1:$ZZ$501,$A418,H$3)))</f>
        <v/>
      </c>
      <c r="I418" t="str">
        <f>IF($B418="","",IF(I$3=0,"n.b.",INDEX(SRC_ZPMW03!$A$1:$ZZ$501,$A418,I$3)))</f>
        <v/>
      </c>
      <c r="J418" t="str">
        <f>IF($B418="","",IF(J$3=0,"n.b.",INDEX(SRC_ZPMW03!$A$1:$ZZ$501,$A418,J$3)))</f>
        <v/>
      </c>
      <c r="K418" t="str">
        <f>IF($B418="","",IF(K$3=0,"n.b.",INDEX(SRC_ZPMW03!$A$1:$ZZ$501,$A418,K$3)))</f>
        <v/>
      </c>
      <c r="L418" s="124" t="str">
        <f>IF($B418="","",IF(L$3=0,"n.b.",INDEX(SRC_ZPMW03!$A$1:$ZZ$501,$A418,L$3)))</f>
        <v/>
      </c>
      <c r="M418" s="124" t="str">
        <f>IF($B418="","",IF(M$3=0,"n.b.",INDEX(SRC_ZPMW03!$A$1:$ZZ$501,$A418,M$3)))</f>
        <v/>
      </c>
      <c r="N418" s="124" t="str">
        <f>IF($B418="","",IF(N$3=0,"n.b.",INDEX(SRC_ZPMW03!$A$1:$ZZ$501,$A418,N$3)))</f>
        <v/>
      </c>
      <c r="O418" s="124" t="str">
        <f>IF($B418="","",IF(O$3=0,"n.b.",INDEX(SRC_ZPMW03!$A$1:$ZZ$501,$A418,O$3)))</f>
        <v/>
      </c>
      <c r="P418" s="124" t="str">
        <f>IF($B418="","",IF(P$3=0,"n.b.",INDEX(SRC_ZPMW03!$A$1:$ZZ$501,$A418,P$3)))</f>
        <v/>
      </c>
      <c r="Q418" s="124" t="str">
        <f>IF($B418="","",IF(Q$3=0,"n.b.",INDEX(SRC_ZPMW03!$A$1:$ZZ$501,$A418,Q$3)))</f>
        <v/>
      </c>
      <c r="R418" s="124" t="str">
        <f>IF($B418="","",IF(R$3=0,"n.b.",INDEX(SRC_ZPMW03!$A$1:$ZZ$501,$A418,R$3)))</f>
        <v/>
      </c>
      <c r="S418" s="124" t="str">
        <f>IF($B418="","",IF(S$3=0,"n.b.",INDEX(SRC_ZPMW03!$A$1:$ZZ$501,$A418,S$3)))</f>
        <v/>
      </c>
      <c r="T418" s="124" t="str">
        <f>IF($B418="","",IF(T$3=0,"n.b.",INDEX(SRC_ZPMW03!$A$1:$ZZ$501,$A418,T$3)))</f>
        <v/>
      </c>
      <c r="U418" s="124" t="str">
        <f>IF($B418="","",IF(U$3=0,"n.b.",INDEX(SRC_ZPMW03!$A$1:$ZZ$501,$A418,U$3)))</f>
        <v/>
      </c>
      <c r="V418" s="124" t="str">
        <f>IF($B418="","",IF(V$3=0,"n.b.",INDEX(SRC_ZPMW03!$A$1:$ZZ$501,$A418,V$3)))</f>
        <v/>
      </c>
      <c r="W418" s="124" t="str">
        <f>IF($B418="","",IF(W$3=0,"n.b.",INDEX(SRC_ZPMW03!$A$1:$ZZ$501,$A418,W$3)))</f>
        <v/>
      </c>
      <c r="X418" s="124" t="str">
        <f>IF($B418="","",IF(X$3=0,"n.b.",INDEX(SRC_ZPMW03!$A$1:$ZZ$501,$A418,X$3)))</f>
        <v/>
      </c>
      <c r="Y418" s="124" t="str">
        <f>IF($B418="","",IF(Y$3=0,"n.b.",INDEX(SRC_ZPMW03!$A$1:$ZZ$501,$A418,Y$3)))</f>
        <v/>
      </c>
      <c r="Z418" s="124" t="str">
        <f>IF($B418="","",IF(Z$3=0,"n.b.",INDEX(SRC_ZPMW03!$A$1:$ZZ$501,$A418,Z$3)))</f>
        <v/>
      </c>
      <c r="AA418" s="124" t="str">
        <f>IF($B418="","",IF(AA$3=0,"n.b.",INDEX(SRC_ZPMW03!$A$1:$ZZ$501,$A418,AA$3)))</f>
        <v/>
      </c>
      <c r="AB418" s="124" t="str">
        <f>IF($B418="","",IF(AB$3=0,"n.b.",INDEX(SRC_ZPMW03!$A$1:$ZZ$501,$A418,AB$3)))</f>
        <v/>
      </c>
      <c r="AC418" s="124" t="str">
        <f>IF($B418="","",IF(AC$3=0,"n.b.",INDEX(SRC_ZPMW03!$A$1:$ZZ$501,$A418,AC$3)))</f>
        <v/>
      </c>
      <c r="AD418" s="124" t="str">
        <f>IF($B418="","",IF(AD$3=0,"n.b.",INDEX(SRC_ZPMW03!$A$1:$ZZ$501,$A418,AD$3)))</f>
        <v/>
      </c>
      <c r="AE418" s="124" t="str">
        <f>IF($B418="","",IF(AE$3=0,"n.b.",INDEX(SRC_ZPMW03!$A$1:$ZZ$501,$A418,AE$3)))</f>
        <v/>
      </c>
      <c r="AF418" s="124" t="str">
        <f>IF($B418="","",IF(AF$3=0,"n.b.",INDEX(SRC_ZPMW03!$A$1:$ZZ$501,$A418,AF$3)))</f>
        <v/>
      </c>
      <c r="AG418" s="124" t="str">
        <f>IF($B418="","",IF(AG$3=0,"n.b.",INDEX(SRC_ZPMW03!$A$1:$ZZ$501,$A418,AG$3)))</f>
        <v/>
      </c>
      <c r="AH418" s="124" t="str">
        <f>IF($B418="","",IF(AH$3=0,"n.b.",INDEX(SRC_ZPMW03!$A$1:$ZZ$501,$A418,AH$3)))</f>
        <v/>
      </c>
      <c r="AI418" s="124" t="str">
        <f>IF($B418="","",IF(AI$3=0,"n.b.",INDEX(SRC_ZPMW03!$A$1:$ZZ$501,$A418,AI$3)))</f>
        <v/>
      </c>
      <c r="AJ418" s="124" t="str">
        <f>IF($B418="","",IF(AJ$3=0,"n.b.",INDEX(SRC_ZPMW03!$A$1:$ZZ$501,$A418,AJ$3)))</f>
        <v/>
      </c>
      <c r="AK418" s="124" t="str">
        <f>IF($B418="","",IF(AK$3=0,"n.b.",INDEX(SRC_ZPMW03!$A$1:$ZZ$501,$A418,AK$3)))</f>
        <v/>
      </c>
      <c r="AL418" s="124" t="str">
        <f>IF($B418="","",IF(AL$3=0,"n.b.",INDEX(SRC_ZPMW03!$A$1:$ZZ$501,$A418,AL$3)))</f>
        <v/>
      </c>
      <c r="AM418" s="124" t="str">
        <f>IF($B418="","",IF(AM$3=0,"n.b.",INDEX(SRC_ZPMW03!$A$1:$ZZ$501,$A418,AM$3)))</f>
        <v/>
      </c>
      <c r="AN418" s="124" t="str">
        <f>IF($B418="","",IF(AN$3=0,"n.b.",INDEX(SRC_ZPMW03!$A$1:$ZZ$501,$A418,AN$3)))</f>
        <v/>
      </c>
      <c r="AO418" s="124" t="str">
        <f>IF($B418="","",IF(AO$3=0,"n.b.",INDEX(SRC_ZPMW03!$A$1:$ZZ$501,$A418,AO$3)))</f>
        <v/>
      </c>
      <c r="AP418" s="124" t="str">
        <f>IF($B418="","",IF(AP$3=0,"n.b.",INDEX(SRC_ZPMW03!$A$1:$ZZ$501,$A418,AP$3)))</f>
        <v/>
      </c>
      <c r="AQ418" s="124" t="str">
        <f>IF($B418="","",IF(AQ$3=0,"n.b.",INDEX(SRC_ZPMW03!$A$1:$ZZ$501,$A418,AQ$3)))</f>
        <v/>
      </c>
      <c r="AR418" s="124" t="str">
        <f>IF($B418="","",IF(AR$3=0,"n.b.",INDEX(SRC_ZPMW03!$A$1:$ZZ$501,$A418,AR$3)))</f>
        <v/>
      </c>
      <c r="AS418" s="124" t="str">
        <f>IF($B418="","",IF(AS$3=0,"n.b.",INDEX(SRC_ZPMW03!$A$1:$ZZ$501,$A418,AS$3)))</f>
        <v/>
      </c>
      <c r="AT418" s="124" t="str">
        <f>IF($B418="","",IF(AT$3=0,"n.b.",INDEX(SRC_ZPMW03!$A$1:$ZZ$501,$A418,AT$3)))</f>
        <v/>
      </c>
      <c r="AU418" s="124" t="str">
        <f>IF($B418="","",IF(AU$3=0,"n.b.",INDEX(SRC_ZPMW03!$A$1:$ZZ$501,$A418,AU$3)))</f>
        <v/>
      </c>
      <c r="AV418" s="124" t="str">
        <f>IF($B418="","",IF(AV$3=0,"n.b.",INDEX(SRC_ZPMW03!$A$1:$ZZ$501,$A418,AV$3)))</f>
        <v/>
      </c>
      <c r="AW418" s="124" t="str">
        <f>IF($B418="","",IF(AW$3=0,"n.b.",INDEX(SRC_ZPMW03!$A$1:$ZZ$501,$A418,AW$3)))</f>
        <v/>
      </c>
      <c r="AX418" s="124" t="str">
        <f>IF($B418="","",IF(AX$3=0,"n.b.",INDEX(SRC_ZPMW03!$A$1:$ZZ$501,$A418,AX$3)))</f>
        <v/>
      </c>
      <c r="AY418" s="124" t="str">
        <f>IF($B418="","",IF(AY$3=0,"n.b.",INDEX(SRC_ZPMW03!$A$1:$ZZ$501,$A418,AY$3)))</f>
        <v/>
      </c>
      <c r="AZ418" s="124" t="str">
        <f>IF($B418="","",IF(AZ$3=0,"n.b.",INDEX(SRC_ZPMW03!$A$1:$ZZ$501,$A418,AZ$3)))</f>
        <v/>
      </c>
      <c r="BA418" s="124" t="str">
        <f>IF($B418="","",IF(BA$3=0,"n.b.",INDEX(SRC_ZPMW03!$A$1:$ZZ$501,$A418,BA$3)))</f>
        <v/>
      </c>
      <c r="BB418" s="124" t="str">
        <f>IF($B418="","",IF(BB$3=0,"n.b.",INDEX(SRC_ZPMW03!$A$1:$ZZ$501,$A418,BB$3)))</f>
        <v/>
      </c>
      <c r="BC418" s="124" t="str">
        <f>IF($B418="","",IF(BC$3=0,"n.b.",INDEX(SRC_ZPMW03!$A$1:$ZZ$501,$A418,BC$3)))</f>
        <v/>
      </c>
      <c r="BD418" s="124" t="str">
        <f>IF($B418="","",IF(BD$3=0,"n.b.",INDEX(SRC_ZPMW03!$A$1:$ZZ$501,$A418,BD$3)))</f>
        <v/>
      </c>
      <c r="BE418" s="124" t="str">
        <f>IF($B418="","",IF(BE$3=0,"n.b.",INDEX(SRC_ZPMW03!$A$1:$ZZ$501,$A418,BE$3)))</f>
        <v/>
      </c>
      <c r="BF418" s="124" t="str">
        <f>IF($B418="","",IF(BF$3=0,"n.b.",INDEX(SRC_ZPMW03!$A$1:$ZZ$501,$A418,BF$3)))</f>
        <v/>
      </c>
      <c r="BG418" t="str">
        <f>IF($B418="","",IF(BG$3=0,"n.b.",INDEX(SRC_ZPMW03!$A$1:$ZZ$501,$A418,BG$3)))</f>
        <v/>
      </c>
      <c r="BH418" t="str">
        <f>IF($B418="","",IF(BH$3=0,"n.b.",INDEX(SRC_ZPMW03!$A$1:$ZZ$501,$A418,BH$3)))</f>
        <v/>
      </c>
      <c r="BI418" t="str">
        <f>IF($B418="","",IF(BI$3=0,"n.b.",INDEX(SRC_ZPMW03!$A$1:$ZZ$501,$A418,BI$3)))</f>
        <v/>
      </c>
      <c r="BJ418" t="str">
        <f>IF($B418="","",IF(BJ$3=0,"n.b.",INDEX(SRC_ZPMW03!$A$1:$ZZ$501,$A418,BJ$3)))</f>
        <v/>
      </c>
      <c r="BK418" s="124" t="str">
        <f>IF($B418="","",IFERROR(-O418,"n.b."))</f>
        <v/>
      </c>
      <c r="BL418" s="124" t="str">
        <f>IF($B418="","",IFERROR(-Q418,"n.b."))</f>
        <v/>
      </c>
      <c r="BM418" s="124" t="str">
        <f>IF($B418="","",IFERROR(-AB418,"n.b."))</f>
        <v/>
      </c>
      <c r="BN418" s="124" t="str">
        <f>IF($B418="","",IFERROR(-AD418,"n.b."))</f>
        <v/>
      </c>
      <c r="BO418" s="124" t="str">
        <f>IF($B418="","",IFERROR(BK418+BM418,"n.b."))</f>
        <v/>
      </c>
      <c r="BP418" s="124" t="str">
        <f>IF($B418="","",IFERROR(BL418+BN418,"n.b."))</f>
        <v/>
      </c>
      <c r="BQ418" s="124" t="str">
        <f>IF($B418="","",IFERROR(-AM418,"n.b."))</f>
        <v/>
      </c>
      <c r="BR418" s="124" t="str">
        <f>IF($B418="","",IFERROR(-AO418,"n.b."))</f>
        <v/>
      </c>
      <c r="BS418" s="124" t="str">
        <f>IF($B418="","",IFERROR(-Z418,"n.b."))</f>
        <v/>
      </c>
      <c r="BT418" s="124" t="str">
        <f>IF($B418="","",IFERROR(-AA418,"n.b."))</f>
        <v/>
      </c>
      <c r="BU418" s="124" t="str">
        <f>IF($B418="","",IFERROR(-AE418,"n.b."))</f>
        <v/>
      </c>
      <c r="BV418" s="124" t="str">
        <f>IF($B418="","",IFERROR(-AF418,"n.b."))</f>
        <v/>
      </c>
      <c r="BW418" s="124" t="str">
        <f>IF($B418="","",IFERROR(-AG418,"n.b."))</f>
        <v/>
      </c>
      <c r="BX418" s="124" t="str">
        <f>IF($B418="","",IFERROR(-AH418,"n.b."))</f>
        <v/>
      </c>
      <c r="BY418" s="124" t="str">
        <f>IF($B418="","",IFERROR(-AI418,"n.b."))</f>
        <v/>
      </c>
      <c r="BZ418" s="124" t="str">
        <f>IF($B418="","",IFERROR(-AJ418,"n.b."))</f>
        <v/>
      </c>
      <c r="CA418" s="124" t="str">
        <f>IF($B418="","",IFERROR(-AK418,"n.b."))</f>
        <v/>
      </c>
      <c r="CB418" s="124" t="str">
        <f>IF($B418="","",IFERROR(-AL418,"n.b."))</f>
        <v/>
      </c>
      <c r="CC418" s="124" t="str">
        <f>IF($B418="","",IFERROR(-AP418,"n.b."))</f>
        <v/>
      </c>
      <c r="CD418" s="124" t="str">
        <f>IF($B418="","",IFERROR(-AQ418,"n.b."))</f>
        <v/>
      </c>
      <c r="CE418" s="124" t="str">
        <f>IF($B418="","",IFERROR(-AR418,"n.b."))</f>
        <v/>
      </c>
      <c r="CF418" s="124" t="str">
        <f>IF($B418="","",IFERROR(-AS418,"n.b."))</f>
        <v/>
      </c>
      <c r="CG418" s="124" t="str">
        <f>IF($B418="","",IFERROR(-AT418,"n.b."))</f>
        <v/>
      </c>
      <c r="CH418" s="124" t="str">
        <f>IF($B418="","",IFERROR(-AU418,"n.b."))</f>
        <v/>
      </c>
      <c r="CI418" s="124" t="str">
        <f>IF($B418="","",IFERROR(-AV418,"n.b."))</f>
        <v/>
      </c>
      <c r="CJ418" s="124" t="str">
        <f>IF($B418="","",IFERROR(-AW418,"n.b."))</f>
        <v/>
      </c>
      <c r="CK418" s="124" t="str">
        <f>IF($B418="","",IFERROR(-AX418,"n.b."))</f>
        <v/>
      </c>
      <c r="CL418" s="124" t="str">
        <f>IF($B418="","",IFERROR(-AY418,"n.b."))</f>
        <v/>
      </c>
      <c r="CM418" s="124" t="str">
        <f>IF($B418="","",IFERROR(-AZ418,"n.b."))</f>
        <v/>
      </c>
      <c r="CN418" s="124" t="str">
        <f>IF($B418="","",IFERROR(-BA418,"n.b."))</f>
        <v/>
      </c>
      <c r="CO418" s="124" t="str">
        <f>IF($B418="","",IFERROR(-BB418,"n.b."))</f>
        <v/>
      </c>
      <c r="CP418" s="124" t="str">
        <f>IF($B418="","",IFERROR(-BC418,"n.b."))</f>
        <v/>
      </c>
      <c r="CQ418" s="124" t="str">
        <f>IF($B418="","",IFERROR(-BD418,"n.b."))</f>
        <v/>
      </c>
      <c r="CR418" s="124" t="str">
        <f>IF($B418="","",IFERROR(-BE418,"n.b."))</f>
        <v/>
      </c>
      <c r="CS418" s="124" t="str">
        <f>IF($B418="","",IFERROR(IF(OR(ABS(T418+V418+X418+Z418-AB418)&gt;P_Tol,ABS(U418+W418+Y418+AA418-AD418)&gt;P_Tol,ABS(AE418+AG418+AI418+AK418-AM418)&gt;P_Tol,ABS(AF418+AH418+AJ418+AL418-AO418)&gt;P_Tol),1,0),1))</f>
        <v/>
      </c>
      <c r="CT418" s="124" t="str">
        <f>IF($B418="","",IFERROR(IF(OR(ABS(AB418+AC418-AD418)&gt;P_Tol,ABS(AM418+AN418-AO418)&gt;P_Tol,ABS(O418+P418-Q418)&gt;P_Tol),1,0),1))</f>
        <v/>
      </c>
      <c r="CU418" s="124" t="str">
        <f>IF($B418="","",IFERROR(IF(ABS(R418-(AB418+AM418+AP418+AR418+AT418+AV418+AX418+AZ418+BB418+BD418))&gt;P_Tol,1,0),1))</f>
        <v/>
      </c>
      <c r="CV418" s="124" t="str">
        <f>IF($B418="","",IFERROR(IF(ABS(M418-(N418+O418+R418))&gt;P_Tol,1,0),1))</f>
        <v/>
      </c>
      <c r="CW418" s="124" t="str">
        <f>IF($B418="","",IF(COUNTIF(Mapping!$A$5:$A$104,B418)&gt;0,1,0))</f>
        <v/>
      </c>
      <c r="CX418" s="124" t="str">
        <f>IF($B418="","",COUNTIF($B$6:$B$505,B418))</f>
        <v/>
      </c>
      <c r="CY418" s="124" t="str">
        <f>IF($B418="","",COUNTIF(STG_Woningetalage!$B$6:$B$505,B418))</f>
        <v/>
      </c>
      <c r="CZ418" s="124" t="str">
        <f>IF($B418="","",IF(CW418=0,COUNTIF($CW$6:CW418,0),""))</f>
        <v/>
      </c>
    </row>
    <row r="419">
      <c r="A419" s="15" t="n">
        <v>415</v>
      </c>
      <c r="B419" t="str">
        <f>IF(B$3=0,"",IF(INDEX(SRC_ZPMW03!$A$1:$ZZ$501,$A419,B$3)&amp;""="","",INDEX(SRC_ZPMW03!$A$1:$ZZ$501,$A419,B$3)&amp;""))</f>
        <v/>
      </c>
      <c r="C419" t="str">
        <f>IF($B419="","",IF(C$3=0,"n.b.",INDEX(SRC_ZPMW03!$A$1:$ZZ$501,$A419,C$3)))</f>
        <v/>
      </c>
      <c r="D419" t="str">
        <f>IF($B419="","",IF(D$3=0,"n.b.",INDEX(SRC_ZPMW03!$A$1:$ZZ$501,$A419,D$3)))</f>
        <v/>
      </c>
      <c r="E419" t="str">
        <f>IF($B419="","",IF(E$3=0,"n.b.",INDEX(SRC_ZPMW03!$A$1:$ZZ$501,$A419,E$3)))</f>
        <v/>
      </c>
      <c r="F419" t="str">
        <f>IF($B419="","",IF(F$3=0,"n.b.",INDEX(SRC_ZPMW03!$A$1:$ZZ$501,$A419,F$3)))</f>
        <v/>
      </c>
      <c r="G419" t="str">
        <f>IF($B419="","",IF(G$3=0,"n.b.",INDEX(SRC_ZPMW03!$A$1:$ZZ$501,$A419,G$3)))</f>
        <v/>
      </c>
      <c r="H419" t="str">
        <f>IF($B419="","",IF(H$3=0,"n.b.",INDEX(SRC_ZPMW03!$A$1:$ZZ$501,$A419,H$3)))</f>
        <v/>
      </c>
      <c r="I419" t="str">
        <f>IF($B419="","",IF(I$3=0,"n.b.",INDEX(SRC_ZPMW03!$A$1:$ZZ$501,$A419,I$3)))</f>
        <v/>
      </c>
      <c r="J419" t="str">
        <f>IF($B419="","",IF(J$3=0,"n.b.",INDEX(SRC_ZPMW03!$A$1:$ZZ$501,$A419,J$3)))</f>
        <v/>
      </c>
      <c r="K419" t="str">
        <f>IF($B419="","",IF(K$3=0,"n.b.",INDEX(SRC_ZPMW03!$A$1:$ZZ$501,$A419,K$3)))</f>
        <v/>
      </c>
      <c r="L419" s="124" t="str">
        <f>IF($B419="","",IF(L$3=0,"n.b.",INDEX(SRC_ZPMW03!$A$1:$ZZ$501,$A419,L$3)))</f>
        <v/>
      </c>
      <c r="M419" s="124" t="str">
        <f>IF($B419="","",IF(M$3=0,"n.b.",INDEX(SRC_ZPMW03!$A$1:$ZZ$501,$A419,M$3)))</f>
        <v/>
      </c>
      <c r="N419" s="124" t="str">
        <f>IF($B419="","",IF(N$3=0,"n.b.",INDEX(SRC_ZPMW03!$A$1:$ZZ$501,$A419,N$3)))</f>
        <v/>
      </c>
      <c r="O419" s="124" t="str">
        <f>IF($B419="","",IF(O$3=0,"n.b.",INDEX(SRC_ZPMW03!$A$1:$ZZ$501,$A419,O$3)))</f>
        <v/>
      </c>
      <c r="P419" s="124" t="str">
        <f>IF($B419="","",IF(P$3=0,"n.b.",INDEX(SRC_ZPMW03!$A$1:$ZZ$501,$A419,P$3)))</f>
        <v/>
      </c>
      <c r="Q419" s="124" t="str">
        <f>IF($B419="","",IF(Q$3=0,"n.b.",INDEX(SRC_ZPMW03!$A$1:$ZZ$501,$A419,Q$3)))</f>
        <v/>
      </c>
      <c r="R419" s="124" t="str">
        <f>IF($B419="","",IF(R$3=0,"n.b.",INDEX(SRC_ZPMW03!$A$1:$ZZ$501,$A419,R$3)))</f>
        <v/>
      </c>
      <c r="S419" s="124" t="str">
        <f>IF($B419="","",IF(S$3=0,"n.b.",INDEX(SRC_ZPMW03!$A$1:$ZZ$501,$A419,S$3)))</f>
        <v/>
      </c>
      <c r="T419" s="124" t="str">
        <f>IF($B419="","",IF(T$3=0,"n.b.",INDEX(SRC_ZPMW03!$A$1:$ZZ$501,$A419,T$3)))</f>
        <v/>
      </c>
      <c r="U419" s="124" t="str">
        <f>IF($B419="","",IF(U$3=0,"n.b.",INDEX(SRC_ZPMW03!$A$1:$ZZ$501,$A419,U$3)))</f>
        <v/>
      </c>
      <c r="V419" s="124" t="str">
        <f>IF($B419="","",IF(V$3=0,"n.b.",INDEX(SRC_ZPMW03!$A$1:$ZZ$501,$A419,V$3)))</f>
        <v/>
      </c>
      <c r="W419" s="124" t="str">
        <f>IF($B419="","",IF(W$3=0,"n.b.",INDEX(SRC_ZPMW03!$A$1:$ZZ$501,$A419,W$3)))</f>
        <v/>
      </c>
      <c r="X419" s="124" t="str">
        <f>IF($B419="","",IF(X$3=0,"n.b.",INDEX(SRC_ZPMW03!$A$1:$ZZ$501,$A419,X$3)))</f>
        <v/>
      </c>
      <c r="Y419" s="124" t="str">
        <f>IF($B419="","",IF(Y$3=0,"n.b.",INDEX(SRC_ZPMW03!$A$1:$ZZ$501,$A419,Y$3)))</f>
        <v/>
      </c>
      <c r="Z419" s="124" t="str">
        <f>IF($B419="","",IF(Z$3=0,"n.b.",INDEX(SRC_ZPMW03!$A$1:$ZZ$501,$A419,Z$3)))</f>
        <v/>
      </c>
      <c r="AA419" s="124" t="str">
        <f>IF($B419="","",IF(AA$3=0,"n.b.",INDEX(SRC_ZPMW03!$A$1:$ZZ$501,$A419,AA$3)))</f>
        <v/>
      </c>
      <c r="AB419" s="124" t="str">
        <f>IF($B419="","",IF(AB$3=0,"n.b.",INDEX(SRC_ZPMW03!$A$1:$ZZ$501,$A419,AB$3)))</f>
        <v/>
      </c>
      <c r="AC419" s="124" t="str">
        <f>IF($B419="","",IF(AC$3=0,"n.b.",INDEX(SRC_ZPMW03!$A$1:$ZZ$501,$A419,AC$3)))</f>
        <v/>
      </c>
      <c r="AD419" s="124" t="str">
        <f>IF($B419="","",IF(AD$3=0,"n.b.",INDEX(SRC_ZPMW03!$A$1:$ZZ$501,$A419,AD$3)))</f>
        <v/>
      </c>
      <c r="AE419" s="124" t="str">
        <f>IF($B419="","",IF(AE$3=0,"n.b.",INDEX(SRC_ZPMW03!$A$1:$ZZ$501,$A419,AE$3)))</f>
        <v/>
      </c>
      <c r="AF419" s="124" t="str">
        <f>IF($B419="","",IF(AF$3=0,"n.b.",INDEX(SRC_ZPMW03!$A$1:$ZZ$501,$A419,AF$3)))</f>
        <v/>
      </c>
      <c r="AG419" s="124" t="str">
        <f>IF($B419="","",IF(AG$3=0,"n.b.",INDEX(SRC_ZPMW03!$A$1:$ZZ$501,$A419,AG$3)))</f>
        <v/>
      </c>
      <c r="AH419" s="124" t="str">
        <f>IF($B419="","",IF(AH$3=0,"n.b.",INDEX(SRC_ZPMW03!$A$1:$ZZ$501,$A419,AH$3)))</f>
        <v/>
      </c>
      <c r="AI419" s="124" t="str">
        <f>IF($B419="","",IF(AI$3=0,"n.b.",INDEX(SRC_ZPMW03!$A$1:$ZZ$501,$A419,AI$3)))</f>
        <v/>
      </c>
      <c r="AJ419" s="124" t="str">
        <f>IF($B419="","",IF(AJ$3=0,"n.b.",INDEX(SRC_ZPMW03!$A$1:$ZZ$501,$A419,AJ$3)))</f>
        <v/>
      </c>
      <c r="AK419" s="124" t="str">
        <f>IF($B419="","",IF(AK$3=0,"n.b.",INDEX(SRC_ZPMW03!$A$1:$ZZ$501,$A419,AK$3)))</f>
        <v/>
      </c>
      <c r="AL419" s="124" t="str">
        <f>IF($B419="","",IF(AL$3=0,"n.b.",INDEX(SRC_ZPMW03!$A$1:$ZZ$501,$A419,AL$3)))</f>
        <v/>
      </c>
      <c r="AM419" s="124" t="str">
        <f>IF($B419="","",IF(AM$3=0,"n.b.",INDEX(SRC_ZPMW03!$A$1:$ZZ$501,$A419,AM$3)))</f>
        <v/>
      </c>
      <c r="AN419" s="124" t="str">
        <f>IF($B419="","",IF(AN$3=0,"n.b.",INDEX(SRC_ZPMW03!$A$1:$ZZ$501,$A419,AN$3)))</f>
        <v/>
      </c>
      <c r="AO419" s="124" t="str">
        <f>IF($B419="","",IF(AO$3=0,"n.b.",INDEX(SRC_ZPMW03!$A$1:$ZZ$501,$A419,AO$3)))</f>
        <v/>
      </c>
      <c r="AP419" s="124" t="str">
        <f>IF($B419="","",IF(AP$3=0,"n.b.",INDEX(SRC_ZPMW03!$A$1:$ZZ$501,$A419,AP$3)))</f>
        <v/>
      </c>
      <c r="AQ419" s="124" t="str">
        <f>IF($B419="","",IF(AQ$3=0,"n.b.",INDEX(SRC_ZPMW03!$A$1:$ZZ$501,$A419,AQ$3)))</f>
        <v/>
      </c>
      <c r="AR419" s="124" t="str">
        <f>IF($B419="","",IF(AR$3=0,"n.b.",INDEX(SRC_ZPMW03!$A$1:$ZZ$501,$A419,AR$3)))</f>
        <v/>
      </c>
      <c r="AS419" s="124" t="str">
        <f>IF($B419="","",IF(AS$3=0,"n.b.",INDEX(SRC_ZPMW03!$A$1:$ZZ$501,$A419,AS$3)))</f>
        <v/>
      </c>
      <c r="AT419" s="124" t="str">
        <f>IF($B419="","",IF(AT$3=0,"n.b.",INDEX(SRC_ZPMW03!$A$1:$ZZ$501,$A419,AT$3)))</f>
        <v/>
      </c>
      <c r="AU419" s="124" t="str">
        <f>IF($B419="","",IF(AU$3=0,"n.b.",INDEX(SRC_ZPMW03!$A$1:$ZZ$501,$A419,AU$3)))</f>
        <v/>
      </c>
      <c r="AV419" s="124" t="str">
        <f>IF($B419="","",IF(AV$3=0,"n.b.",INDEX(SRC_ZPMW03!$A$1:$ZZ$501,$A419,AV$3)))</f>
        <v/>
      </c>
      <c r="AW419" s="124" t="str">
        <f>IF($B419="","",IF(AW$3=0,"n.b.",INDEX(SRC_ZPMW03!$A$1:$ZZ$501,$A419,AW$3)))</f>
        <v/>
      </c>
      <c r="AX419" s="124" t="str">
        <f>IF($B419="","",IF(AX$3=0,"n.b.",INDEX(SRC_ZPMW03!$A$1:$ZZ$501,$A419,AX$3)))</f>
        <v/>
      </c>
      <c r="AY419" s="124" t="str">
        <f>IF($B419="","",IF(AY$3=0,"n.b.",INDEX(SRC_ZPMW03!$A$1:$ZZ$501,$A419,AY$3)))</f>
        <v/>
      </c>
      <c r="AZ419" s="124" t="str">
        <f>IF($B419="","",IF(AZ$3=0,"n.b.",INDEX(SRC_ZPMW03!$A$1:$ZZ$501,$A419,AZ$3)))</f>
        <v/>
      </c>
      <c r="BA419" s="124" t="str">
        <f>IF($B419="","",IF(BA$3=0,"n.b.",INDEX(SRC_ZPMW03!$A$1:$ZZ$501,$A419,BA$3)))</f>
        <v/>
      </c>
      <c r="BB419" s="124" t="str">
        <f>IF($B419="","",IF(BB$3=0,"n.b.",INDEX(SRC_ZPMW03!$A$1:$ZZ$501,$A419,BB$3)))</f>
        <v/>
      </c>
      <c r="BC419" s="124" t="str">
        <f>IF($B419="","",IF(BC$3=0,"n.b.",INDEX(SRC_ZPMW03!$A$1:$ZZ$501,$A419,BC$3)))</f>
        <v/>
      </c>
      <c r="BD419" s="124" t="str">
        <f>IF($B419="","",IF(BD$3=0,"n.b.",INDEX(SRC_ZPMW03!$A$1:$ZZ$501,$A419,BD$3)))</f>
        <v/>
      </c>
      <c r="BE419" s="124" t="str">
        <f>IF($B419="","",IF(BE$3=0,"n.b.",INDEX(SRC_ZPMW03!$A$1:$ZZ$501,$A419,BE$3)))</f>
        <v/>
      </c>
      <c r="BF419" s="124" t="str">
        <f>IF($B419="","",IF(BF$3=0,"n.b.",INDEX(SRC_ZPMW03!$A$1:$ZZ$501,$A419,BF$3)))</f>
        <v/>
      </c>
      <c r="BG419" t="str">
        <f>IF($B419="","",IF(BG$3=0,"n.b.",INDEX(SRC_ZPMW03!$A$1:$ZZ$501,$A419,BG$3)))</f>
        <v/>
      </c>
      <c r="BH419" t="str">
        <f>IF($B419="","",IF(BH$3=0,"n.b.",INDEX(SRC_ZPMW03!$A$1:$ZZ$501,$A419,BH$3)))</f>
        <v/>
      </c>
      <c r="BI419" t="str">
        <f>IF($B419="","",IF(BI$3=0,"n.b.",INDEX(SRC_ZPMW03!$A$1:$ZZ$501,$A419,BI$3)))</f>
        <v/>
      </c>
      <c r="BJ419" t="str">
        <f>IF($B419="","",IF(BJ$3=0,"n.b.",INDEX(SRC_ZPMW03!$A$1:$ZZ$501,$A419,BJ$3)))</f>
        <v/>
      </c>
      <c r="BK419" s="124" t="str">
        <f>IF($B419="","",IFERROR(-O419,"n.b."))</f>
        <v/>
      </c>
      <c r="BL419" s="124" t="str">
        <f>IF($B419="","",IFERROR(-Q419,"n.b."))</f>
        <v/>
      </c>
      <c r="BM419" s="124" t="str">
        <f>IF($B419="","",IFERROR(-AB419,"n.b."))</f>
        <v/>
      </c>
      <c r="BN419" s="124" t="str">
        <f>IF($B419="","",IFERROR(-AD419,"n.b."))</f>
        <v/>
      </c>
      <c r="BO419" s="124" t="str">
        <f>IF($B419="","",IFERROR(BK419+BM419,"n.b."))</f>
        <v/>
      </c>
      <c r="BP419" s="124" t="str">
        <f>IF($B419="","",IFERROR(BL419+BN419,"n.b."))</f>
        <v/>
      </c>
      <c r="BQ419" s="124" t="str">
        <f>IF($B419="","",IFERROR(-AM419,"n.b."))</f>
        <v/>
      </c>
      <c r="BR419" s="124" t="str">
        <f>IF($B419="","",IFERROR(-AO419,"n.b."))</f>
        <v/>
      </c>
      <c r="BS419" s="124" t="str">
        <f>IF($B419="","",IFERROR(-Z419,"n.b."))</f>
        <v/>
      </c>
      <c r="BT419" s="124" t="str">
        <f>IF($B419="","",IFERROR(-AA419,"n.b."))</f>
        <v/>
      </c>
      <c r="BU419" s="124" t="str">
        <f>IF($B419="","",IFERROR(-AE419,"n.b."))</f>
        <v/>
      </c>
      <c r="BV419" s="124" t="str">
        <f>IF($B419="","",IFERROR(-AF419,"n.b."))</f>
        <v/>
      </c>
      <c r="BW419" s="124" t="str">
        <f>IF($B419="","",IFERROR(-AG419,"n.b."))</f>
        <v/>
      </c>
      <c r="BX419" s="124" t="str">
        <f>IF($B419="","",IFERROR(-AH419,"n.b."))</f>
        <v/>
      </c>
      <c r="BY419" s="124" t="str">
        <f>IF($B419="","",IFERROR(-AI419,"n.b."))</f>
        <v/>
      </c>
      <c r="BZ419" s="124" t="str">
        <f>IF($B419="","",IFERROR(-AJ419,"n.b."))</f>
        <v/>
      </c>
      <c r="CA419" s="124" t="str">
        <f>IF($B419="","",IFERROR(-AK419,"n.b."))</f>
        <v/>
      </c>
      <c r="CB419" s="124" t="str">
        <f>IF($B419="","",IFERROR(-AL419,"n.b."))</f>
        <v/>
      </c>
      <c r="CC419" s="124" t="str">
        <f>IF($B419="","",IFERROR(-AP419,"n.b."))</f>
        <v/>
      </c>
      <c r="CD419" s="124" t="str">
        <f>IF($B419="","",IFERROR(-AQ419,"n.b."))</f>
        <v/>
      </c>
      <c r="CE419" s="124" t="str">
        <f>IF($B419="","",IFERROR(-AR419,"n.b."))</f>
        <v/>
      </c>
      <c r="CF419" s="124" t="str">
        <f>IF($B419="","",IFERROR(-AS419,"n.b."))</f>
        <v/>
      </c>
      <c r="CG419" s="124" t="str">
        <f>IF($B419="","",IFERROR(-AT419,"n.b."))</f>
        <v/>
      </c>
      <c r="CH419" s="124" t="str">
        <f>IF($B419="","",IFERROR(-AU419,"n.b."))</f>
        <v/>
      </c>
      <c r="CI419" s="124" t="str">
        <f>IF($B419="","",IFERROR(-AV419,"n.b."))</f>
        <v/>
      </c>
      <c r="CJ419" s="124" t="str">
        <f>IF($B419="","",IFERROR(-AW419,"n.b."))</f>
        <v/>
      </c>
      <c r="CK419" s="124" t="str">
        <f>IF($B419="","",IFERROR(-AX419,"n.b."))</f>
        <v/>
      </c>
      <c r="CL419" s="124" t="str">
        <f>IF($B419="","",IFERROR(-AY419,"n.b."))</f>
        <v/>
      </c>
      <c r="CM419" s="124" t="str">
        <f>IF($B419="","",IFERROR(-AZ419,"n.b."))</f>
        <v/>
      </c>
      <c r="CN419" s="124" t="str">
        <f>IF($B419="","",IFERROR(-BA419,"n.b."))</f>
        <v/>
      </c>
      <c r="CO419" s="124" t="str">
        <f>IF($B419="","",IFERROR(-BB419,"n.b."))</f>
        <v/>
      </c>
      <c r="CP419" s="124" t="str">
        <f>IF($B419="","",IFERROR(-BC419,"n.b."))</f>
        <v/>
      </c>
      <c r="CQ419" s="124" t="str">
        <f>IF($B419="","",IFERROR(-BD419,"n.b."))</f>
        <v/>
      </c>
      <c r="CR419" s="124" t="str">
        <f>IF($B419="","",IFERROR(-BE419,"n.b."))</f>
        <v/>
      </c>
      <c r="CS419" s="124" t="str">
        <f>IF($B419="","",IFERROR(IF(OR(ABS(T419+V419+X419+Z419-AB419)&gt;P_Tol,ABS(U419+W419+Y419+AA419-AD419)&gt;P_Tol,ABS(AE419+AG419+AI419+AK419-AM419)&gt;P_Tol,ABS(AF419+AH419+AJ419+AL419-AO419)&gt;P_Tol),1,0),1))</f>
        <v/>
      </c>
      <c r="CT419" s="124" t="str">
        <f>IF($B419="","",IFERROR(IF(OR(ABS(AB419+AC419-AD419)&gt;P_Tol,ABS(AM419+AN419-AO419)&gt;P_Tol,ABS(O419+P419-Q419)&gt;P_Tol),1,0),1))</f>
        <v/>
      </c>
      <c r="CU419" s="124" t="str">
        <f>IF($B419="","",IFERROR(IF(ABS(R419-(AB419+AM419+AP419+AR419+AT419+AV419+AX419+AZ419+BB419+BD419))&gt;P_Tol,1,0),1))</f>
        <v/>
      </c>
      <c r="CV419" s="124" t="str">
        <f>IF($B419="","",IFERROR(IF(ABS(M419-(N419+O419+R419))&gt;P_Tol,1,0),1))</f>
        <v/>
      </c>
      <c r="CW419" s="124" t="str">
        <f>IF($B419="","",IF(COUNTIF(Mapping!$A$5:$A$104,B419)&gt;0,1,0))</f>
        <v/>
      </c>
      <c r="CX419" s="124" t="str">
        <f>IF($B419="","",COUNTIF($B$6:$B$505,B419))</f>
        <v/>
      </c>
      <c r="CY419" s="124" t="str">
        <f>IF($B419="","",COUNTIF(STG_Woningetalage!$B$6:$B$505,B419))</f>
        <v/>
      </c>
      <c r="CZ419" s="124" t="str">
        <f>IF($B419="","",IF(CW419=0,COUNTIF($CW$6:CW419,0),""))</f>
        <v/>
      </c>
    </row>
    <row r="420">
      <c r="A420" s="15" t="n">
        <v>416</v>
      </c>
      <c r="B420" t="str">
        <f>IF(B$3=0,"",IF(INDEX(SRC_ZPMW03!$A$1:$ZZ$501,$A420,B$3)&amp;""="","",INDEX(SRC_ZPMW03!$A$1:$ZZ$501,$A420,B$3)&amp;""))</f>
        <v/>
      </c>
      <c r="C420" t="str">
        <f>IF($B420="","",IF(C$3=0,"n.b.",INDEX(SRC_ZPMW03!$A$1:$ZZ$501,$A420,C$3)))</f>
        <v/>
      </c>
      <c r="D420" t="str">
        <f>IF($B420="","",IF(D$3=0,"n.b.",INDEX(SRC_ZPMW03!$A$1:$ZZ$501,$A420,D$3)))</f>
        <v/>
      </c>
      <c r="E420" t="str">
        <f>IF($B420="","",IF(E$3=0,"n.b.",INDEX(SRC_ZPMW03!$A$1:$ZZ$501,$A420,E$3)))</f>
        <v/>
      </c>
      <c r="F420" t="str">
        <f>IF($B420="","",IF(F$3=0,"n.b.",INDEX(SRC_ZPMW03!$A$1:$ZZ$501,$A420,F$3)))</f>
        <v/>
      </c>
      <c r="G420" t="str">
        <f>IF($B420="","",IF(G$3=0,"n.b.",INDEX(SRC_ZPMW03!$A$1:$ZZ$501,$A420,G$3)))</f>
        <v/>
      </c>
      <c r="H420" t="str">
        <f>IF($B420="","",IF(H$3=0,"n.b.",INDEX(SRC_ZPMW03!$A$1:$ZZ$501,$A420,H$3)))</f>
        <v/>
      </c>
      <c r="I420" t="str">
        <f>IF($B420="","",IF(I$3=0,"n.b.",INDEX(SRC_ZPMW03!$A$1:$ZZ$501,$A420,I$3)))</f>
        <v/>
      </c>
      <c r="J420" t="str">
        <f>IF($B420="","",IF(J$3=0,"n.b.",INDEX(SRC_ZPMW03!$A$1:$ZZ$501,$A420,J$3)))</f>
        <v/>
      </c>
      <c r="K420" t="str">
        <f>IF($B420="","",IF(K$3=0,"n.b.",INDEX(SRC_ZPMW03!$A$1:$ZZ$501,$A420,K$3)))</f>
        <v/>
      </c>
      <c r="L420" s="124" t="str">
        <f>IF($B420="","",IF(L$3=0,"n.b.",INDEX(SRC_ZPMW03!$A$1:$ZZ$501,$A420,L$3)))</f>
        <v/>
      </c>
      <c r="M420" s="124" t="str">
        <f>IF($B420="","",IF(M$3=0,"n.b.",INDEX(SRC_ZPMW03!$A$1:$ZZ$501,$A420,M$3)))</f>
        <v/>
      </c>
      <c r="N420" s="124" t="str">
        <f>IF($B420="","",IF(N$3=0,"n.b.",INDEX(SRC_ZPMW03!$A$1:$ZZ$501,$A420,N$3)))</f>
        <v/>
      </c>
      <c r="O420" s="124" t="str">
        <f>IF($B420="","",IF(O$3=0,"n.b.",INDEX(SRC_ZPMW03!$A$1:$ZZ$501,$A420,O$3)))</f>
        <v/>
      </c>
      <c r="P420" s="124" t="str">
        <f>IF($B420="","",IF(P$3=0,"n.b.",INDEX(SRC_ZPMW03!$A$1:$ZZ$501,$A420,P$3)))</f>
        <v/>
      </c>
      <c r="Q420" s="124" t="str">
        <f>IF($B420="","",IF(Q$3=0,"n.b.",INDEX(SRC_ZPMW03!$A$1:$ZZ$501,$A420,Q$3)))</f>
        <v/>
      </c>
      <c r="R420" s="124" t="str">
        <f>IF($B420="","",IF(R$3=0,"n.b.",INDEX(SRC_ZPMW03!$A$1:$ZZ$501,$A420,R$3)))</f>
        <v/>
      </c>
      <c r="S420" s="124" t="str">
        <f>IF($B420="","",IF(S$3=0,"n.b.",INDEX(SRC_ZPMW03!$A$1:$ZZ$501,$A420,S$3)))</f>
        <v/>
      </c>
      <c r="T420" s="124" t="str">
        <f>IF($B420="","",IF(T$3=0,"n.b.",INDEX(SRC_ZPMW03!$A$1:$ZZ$501,$A420,T$3)))</f>
        <v/>
      </c>
      <c r="U420" s="124" t="str">
        <f>IF($B420="","",IF(U$3=0,"n.b.",INDEX(SRC_ZPMW03!$A$1:$ZZ$501,$A420,U$3)))</f>
        <v/>
      </c>
      <c r="V420" s="124" t="str">
        <f>IF($B420="","",IF(V$3=0,"n.b.",INDEX(SRC_ZPMW03!$A$1:$ZZ$501,$A420,V$3)))</f>
        <v/>
      </c>
      <c r="W420" s="124" t="str">
        <f>IF($B420="","",IF(W$3=0,"n.b.",INDEX(SRC_ZPMW03!$A$1:$ZZ$501,$A420,W$3)))</f>
        <v/>
      </c>
      <c r="X420" s="124" t="str">
        <f>IF($B420="","",IF(X$3=0,"n.b.",INDEX(SRC_ZPMW03!$A$1:$ZZ$501,$A420,X$3)))</f>
        <v/>
      </c>
      <c r="Y420" s="124" t="str">
        <f>IF($B420="","",IF(Y$3=0,"n.b.",INDEX(SRC_ZPMW03!$A$1:$ZZ$501,$A420,Y$3)))</f>
        <v/>
      </c>
      <c r="Z420" s="124" t="str">
        <f>IF($B420="","",IF(Z$3=0,"n.b.",INDEX(SRC_ZPMW03!$A$1:$ZZ$501,$A420,Z$3)))</f>
        <v/>
      </c>
      <c r="AA420" s="124" t="str">
        <f>IF($B420="","",IF(AA$3=0,"n.b.",INDEX(SRC_ZPMW03!$A$1:$ZZ$501,$A420,AA$3)))</f>
        <v/>
      </c>
      <c r="AB420" s="124" t="str">
        <f>IF($B420="","",IF(AB$3=0,"n.b.",INDEX(SRC_ZPMW03!$A$1:$ZZ$501,$A420,AB$3)))</f>
        <v/>
      </c>
      <c r="AC420" s="124" t="str">
        <f>IF($B420="","",IF(AC$3=0,"n.b.",INDEX(SRC_ZPMW03!$A$1:$ZZ$501,$A420,AC$3)))</f>
        <v/>
      </c>
      <c r="AD420" s="124" t="str">
        <f>IF($B420="","",IF(AD$3=0,"n.b.",INDEX(SRC_ZPMW03!$A$1:$ZZ$501,$A420,AD$3)))</f>
        <v/>
      </c>
      <c r="AE420" s="124" t="str">
        <f>IF($B420="","",IF(AE$3=0,"n.b.",INDEX(SRC_ZPMW03!$A$1:$ZZ$501,$A420,AE$3)))</f>
        <v/>
      </c>
      <c r="AF420" s="124" t="str">
        <f>IF($B420="","",IF(AF$3=0,"n.b.",INDEX(SRC_ZPMW03!$A$1:$ZZ$501,$A420,AF$3)))</f>
        <v/>
      </c>
      <c r="AG420" s="124" t="str">
        <f>IF($B420="","",IF(AG$3=0,"n.b.",INDEX(SRC_ZPMW03!$A$1:$ZZ$501,$A420,AG$3)))</f>
        <v/>
      </c>
      <c r="AH420" s="124" t="str">
        <f>IF($B420="","",IF(AH$3=0,"n.b.",INDEX(SRC_ZPMW03!$A$1:$ZZ$501,$A420,AH$3)))</f>
        <v/>
      </c>
      <c r="AI420" s="124" t="str">
        <f>IF($B420="","",IF(AI$3=0,"n.b.",INDEX(SRC_ZPMW03!$A$1:$ZZ$501,$A420,AI$3)))</f>
        <v/>
      </c>
      <c r="AJ420" s="124" t="str">
        <f>IF($B420="","",IF(AJ$3=0,"n.b.",INDEX(SRC_ZPMW03!$A$1:$ZZ$501,$A420,AJ$3)))</f>
        <v/>
      </c>
      <c r="AK420" s="124" t="str">
        <f>IF($B420="","",IF(AK$3=0,"n.b.",INDEX(SRC_ZPMW03!$A$1:$ZZ$501,$A420,AK$3)))</f>
        <v/>
      </c>
      <c r="AL420" s="124" t="str">
        <f>IF($B420="","",IF(AL$3=0,"n.b.",INDEX(SRC_ZPMW03!$A$1:$ZZ$501,$A420,AL$3)))</f>
        <v/>
      </c>
      <c r="AM420" s="124" t="str">
        <f>IF($B420="","",IF(AM$3=0,"n.b.",INDEX(SRC_ZPMW03!$A$1:$ZZ$501,$A420,AM$3)))</f>
        <v/>
      </c>
      <c r="AN420" s="124" t="str">
        <f>IF($B420="","",IF(AN$3=0,"n.b.",INDEX(SRC_ZPMW03!$A$1:$ZZ$501,$A420,AN$3)))</f>
        <v/>
      </c>
      <c r="AO420" s="124" t="str">
        <f>IF($B420="","",IF(AO$3=0,"n.b.",INDEX(SRC_ZPMW03!$A$1:$ZZ$501,$A420,AO$3)))</f>
        <v/>
      </c>
      <c r="AP420" s="124" t="str">
        <f>IF($B420="","",IF(AP$3=0,"n.b.",INDEX(SRC_ZPMW03!$A$1:$ZZ$501,$A420,AP$3)))</f>
        <v/>
      </c>
      <c r="AQ420" s="124" t="str">
        <f>IF($B420="","",IF(AQ$3=0,"n.b.",INDEX(SRC_ZPMW03!$A$1:$ZZ$501,$A420,AQ$3)))</f>
        <v/>
      </c>
      <c r="AR420" s="124" t="str">
        <f>IF($B420="","",IF(AR$3=0,"n.b.",INDEX(SRC_ZPMW03!$A$1:$ZZ$501,$A420,AR$3)))</f>
        <v/>
      </c>
      <c r="AS420" s="124" t="str">
        <f>IF($B420="","",IF(AS$3=0,"n.b.",INDEX(SRC_ZPMW03!$A$1:$ZZ$501,$A420,AS$3)))</f>
        <v/>
      </c>
      <c r="AT420" s="124" t="str">
        <f>IF($B420="","",IF(AT$3=0,"n.b.",INDEX(SRC_ZPMW03!$A$1:$ZZ$501,$A420,AT$3)))</f>
        <v/>
      </c>
      <c r="AU420" s="124" t="str">
        <f>IF($B420="","",IF(AU$3=0,"n.b.",INDEX(SRC_ZPMW03!$A$1:$ZZ$501,$A420,AU$3)))</f>
        <v/>
      </c>
      <c r="AV420" s="124" t="str">
        <f>IF($B420="","",IF(AV$3=0,"n.b.",INDEX(SRC_ZPMW03!$A$1:$ZZ$501,$A420,AV$3)))</f>
        <v/>
      </c>
      <c r="AW420" s="124" t="str">
        <f>IF($B420="","",IF(AW$3=0,"n.b.",INDEX(SRC_ZPMW03!$A$1:$ZZ$501,$A420,AW$3)))</f>
        <v/>
      </c>
      <c r="AX420" s="124" t="str">
        <f>IF($B420="","",IF(AX$3=0,"n.b.",INDEX(SRC_ZPMW03!$A$1:$ZZ$501,$A420,AX$3)))</f>
        <v/>
      </c>
      <c r="AY420" s="124" t="str">
        <f>IF($B420="","",IF(AY$3=0,"n.b.",INDEX(SRC_ZPMW03!$A$1:$ZZ$501,$A420,AY$3)))</f>
        <v/>
      </c>
      <c r="AZ420" s="124" t="str">
        <f>IF($B420="","",IF(AZ$3=0,"n.b.",INDEX(SRC_ZPMW03!$A$1:$ZZ$501,$A420,AZ$3)))</f>
        <v/>
      </c>
      <c r="BA420" s="124" t="str">
        <f>IF($B420="","",IF(BA$3=0,"n.b.",INDEX(SRC_ZPMW03!$A$1:$ZZ$501,$A420,BA$3)))</f>
        <v/>
      </c>
      <c r="BB420" s="124" t="str">
        <f>IF($B420="","",IF(BB$3=0,"n.b.",INDEX(SRC_ZPMW03!$A$1:$ZZ$501,$A420,BB$3)))</f>
        <v/>
      </c>
      <c r="BC420" s="124" t="str">
        <f>IF($B420="","",IF(BC$3=0,"n.b.",INDEX(SRC_ZPMW03!$A$1:$ZZ$501,$A420,BC$3)))</f>
        <v/>
      </c>
      <c r="BD420" s="124" t="str">
        <f>IF($B420="","",IF(BD$3=0,"n.b.",INDEX(SRC_ZPMW03!$A$1:$ZZ$501,$A420,BD$3)))</f>
        <v/>
      </c>
      <c r="BE420" s="124" t="str">
        <f>IF($B420="","",IF(BE$3=0,"n.b.",INDEX(SRC_ZPMW03!$A$1:$ZZ$501,$A420,BE$3)))</f>
        <v/>
      </c>
      <c r="BF420" s="124" t="str">
        <f>IF($B420="","",IF(BF$3=0,"n.b.",INDEX(SRC_ZPMW03!$A$1:$ZZ$501,$A420,BF$3)))</f>
        <v/>
      </c>
      <c r="BG420" t="str">
        <f>IF($B420="","",IF(BG$3=0,"n.b.",INDEX(SRC_ZPMW03!$A$1:$ZZ$501,$A420,BG$3)))</f>
        <v/>
      </c>
      <c r="BH420" t="str">
        <f>IF($B420="","",IF(BH$3=0,"n.b.",INDEX(SRC_ZPMW03!$A$1:$ZZ$501,$A420,BH$3)))</f>
        <v/>
      </c>
      <c r="BI420" t="str">
        <f>IF($B420="","",IF(BI$3=0,"n.b.",INDEX(SRC_ZPMW03!$A$1:$ZZ$501,$A420,BI$3)))</f>
        <v/>
      </c>
      <c r="BJ420" t="str">
        <f>IF($B420="","",IF(BJ$3=0,"n.b.",INDEX(SRC_ZPMW03!$A$1:$ZZ$501,$A420,BJ$3)))</f>
        <v/>
      </c>
      <c r="BK420" s="124" t="str">
        <f>IF($B420="","",IFERROR(-O420,"n.b."))</f>
        <v/>
      </c>
      <c r="BL420" s="124" t="str">
        <f>IF($B420="","",IFERROR(-Q420,"n.b."))</f>
        <v/>
      </c>
      <c r="BM420" s="124" t="str">
        <f>IF($B420="","",IFERROR(-AB420,"n.b."))</f>
        <v/>
      </c>
      <c r="BN420" s="124" t="str">
        <f>IF($B420="","",IFERROR(-AD420,"n.b."))</f>
        <v/>
      </c>
      <c r="BO420" s="124" t="str">
        <f>IF($B420="","",IFERROR(BK420+BM420,"n.b."))</f>
        <v/>
      </c>
      <c r="BP420" s="124" t="str">
        <f>IF($B420="","",IFERROR(BL420+BN420,"n.b."))</f>
        <v/>
      </c>
      <c r="BQ420" s="124" t="str">
        <f>IF($B420="","",IFERROR(-AM420,"n.b."))</f>
        <v/>
      </c>
      <c r="BR420" s="124" t="str">
        <f>IF($B420="","",IFERROR(-AO420,"n.b."))</f>
        <v/>
      </c>
      <c r="BS420" s="124" t="str">
        <f>IF($B420="","",IFERROR(-Z420,"n.b."))</f>
        <v/>
      </c>
      <c r="BT420" s="124" t="str">
        <f>IF($B420="","",IFERROR(-AA420,"n.b."))</f>
        <v/>
      </c>
      <c r="BU420" s="124" t="str">
        <f>IF($B420="","",IFERROR(-AE420,"n.b."))</f>
        <v/>
      </c>
      <c r="BV420" s="124" t="str">
        <f>IF($B420="","",IFERROR(-AF420,"n.b."))</f>
        <v/>
      </c>
      <c r="BW420" s="124" t="str">
        <f>IF($B420="","",IFERROR(-AG420,"n.b."))</f>
        <v/>
      </c>
      <c r="BX420" s="124" t="str">
        <f>IF($B420="","",IFERROR(-AH420,"n.b."))</f>
        <v/>
      </c>
      <c r="BY420" s="124" t="str">
        <f>IF($B420="","",IFERROR(-AI420,"n.b."))</f>
        <v/>
      </c>
      <c r="BZ420" s="124" t="str">
        <f>IF($B420="","",IFERROR(-AJ420,"n.b."))</f>
        <v/>
      </c>
      <c r="CA420" s="124" t="str">
        <f>IF($B420="","",IFERROR(-AK420,"n.b."))</f>
        <v/>
      </c>
      <c r="CB420" s="124" t="str">
        <f>IF($B420="","",IFERROR(-AL420,"n.b."))</f>
        <v/>
      </c>
      <c r="CC420" s="124" t="str">
        <f>IF($B420="","",IFERROR(-AP420,"n.b."))</f>
        <v/>
      </c>
      <c r="CD420" s="124" t="str">
        <f>IF($B420="","",IFERROR(-AQ420,"n.b."))</f>
        <v/>
      </c>
      <c r="CE420" s="124" t="str">
        <f>IF($B420="","",IFERROR(-AR420,"n.b."))</f>
        <v/>
      </c>
      <c r="CF420" s="124" t="str">
        <f>IF($B420="","",IFERROR(-AS420,"n.b."))</f>
        <v/>
      </c>
      <c r="CG420" s="124" t="str">
        <f>IF($B420="","",IFERROR(-AT420,"n.b."))</f>
        <v/>
      </c>
      <c r="CH420" s="124" t="str">
        <f>IF($B420="","",IFERROR(-AU420,"n.b."))</f>
        <v/>
      </c>
      <c r="CI420" s="124" t="str">
        <f>IF($B420="","",IFERROR(-AV420,"n.b."))</f>
        <v/>
      </c>
      <c r="CJ420" s="124" t="str">
        <f>IF($B420="","",IFERROR(-AW420,"n.b."))</f>
        <v/>
      </c>
      <c r="CK420" s="124" t="str">
        <f>IF($B420="","",IFERROR(-AX420,"n.b."))</f>
        <v/>
      </c>
      <c r="CL420" s="124" t="str">
        <f>IF($B420="","",IFERROR(-AY420,"n.b."))</f>
        <v/>
      </c>
      <c r="CM420" s="124" t="str">
        <f>IF($B420="","",IFERROR(-AZ420,"n.b."))</f>
        <v/>
      </c>
      <c r="CN420" s="124" t="str">
        <f>IF($B420="","",IFERROR(-BA420,"n.b."))</f>
        <v/>
      </c>
      <c r="CO420" s="124" t="str">
        <f>IF($B420="","",IFERROR(-BB420,"n.b."))</f>
        <v/>
      </c>
      <c r="CP420" s="124" t="str">
        <f>IF($B420="","",IFERROR(-BC420,"n.b."))</f>
        <v/>
      </c>
      <c r="CQ420" s="124" t="str">
        <f>IF($B420="","",IFERROR(-BD420,"n.b."))</f>
        <v/>
      </c>
      <c r="CR420" s="124" t="str">
        <f>IF($B420="","",IFERROR(-BE420,"n.b."))</f>
        <v/>
      </c>
      <c r="CS420" s="124" t="str">
        <f>IF($B420="","",IFERROR(IF(OR(ABS(T420+V420+X420+Z420-AB420)&gt;P_Tol,ABS(U420+W420+Y420+AA420-AD420)&gt;P_Tol,ABS(AE420+AG420+AI420+AK420-AM420)&gt;P_Tol,ABS(AF420+AH420+AJ420+AL420-AO420)&gt;P_Tol),1,0),1))</f>
        <v/>
      </c>
      <c r="CT420" s="124" t="str">
        <f>IF($B420="","",IFERROR(IF(OR(ABS(AB420+AC420-AD420)&gt;P_Tol,ABS(AM420+AN420-AO420)&gt;P_Tol,ABS(O420+P420-Q420)&gt;P_Tol),1,0),1))</f>
        <v/>
      </c>
      <c r="CU420" s="124" t="str">
        <f>IF($B420="","",IFERROR(IF(ABS(R420-(AB420+AM420+AP420+AR420+AT420+AV420+AX420+AZ420+BB420+BD420))&gt;P_Tol,1,0),1))</f>
        <v/>
      </c>
      <c r="CV420" s="124" t="str">
        <f>IF($B420="","",IFERROR(IF(ABS(M420-(N420+O420+R420))&gt;P_Tol,1,0),1))</f>
        <v/>
      </c>
      <c r="CW420" s="124" t="str">
        <f>IF($B420="","",IF(COUNTIF(Mapping!$A$5:$A$104,B420)&gt;0,1,0))</f>
        <v/>
      </c>
      <c r="CX420" s="124" t="str">
        <f>IF($B420="","",COUNTIF($B$6:$B$505,B420))</f>
        <v/>
      </c>
      <c r="CY420" s="124" t="str">
        <f>IF($B420="","",COUNTIF(STG_Woningetalage!$B$6:$B$505,B420))</f>
        <v/>
      </c>
      <c r="CZ420" s="124" t="str">
        <f>IF($B420="","",IF(CW420=0,COUNTIF($CW$6:CW420,0),""))</f>
        <v/>
      </c>
    </row>
    <row r="421">
      <c r="A421" s="15" t="n">
        <v>417</v>
      </c>
      <c r="B421" t="str">
        <f>IF(B$3=0,"",IF(INDEX(SRC_ZPMW03!$A$1:$ZZ$501,$A421,B$3)&amp;""="","",INDEX(SRC_ZPMW03!$A$1:$ZZ$501,$A421,B$3)&amp;""))</f>
        <v/>
      </c>
      <c r="C421" t="str">
        <f>IF($B421="","",IF(C$3=0,"n.b.",INDEX(SRC_ZPMW03!$A$1:$ZZ$501,$A421,C$3)))</f>
        <v/>
      </c>
      <c r="D421" t="str">
        <f>IF($B421="","",IF(D$3=0,"n.b.",INDEX(SRC_ZPMW03!$A$1:$ZZ$501,$A421,D$3)))</f>
        <v/>
      </c>
      <c r="E421" t="str">
        <f>IF($B421="","",IF(E$3=0,"n.b.",INDEX(SRC_ZPMW03!$A$1:$ZZ$501,$A421,E$3)))</f>
        <v/>
      </c>
      <c r="F421" t="str">
        <f>IF($B421="","",IF(F$3=0,"n.b.",INDEX(SRC_ZPMW03!$A$1:$ZZ$501,$A421,F$3)))</f>
        <v/>
      </c>
      <c r="G421" t="str">
        <f>IF($B421="","",IF(G$3=0,"n.b.",INDEX(SRC_ZPMW03!$A$1:$ZZ$501,$A421,G$3)))</f>
        <v/>
      </c>
      <c r="H421" t="str">
        <f>IF($B421="","",IF(H$3=0,"n.b.",INDEX(SRC_ZPMW03!$A$1:$ZZ$501,$A421,H$3)))</f>
        <v/>
      </c>
      <c r="I421" t="str">
        <f>IF($B421="","",IF(I$3=0,"n.b.",INDEX(SRC_ZPMW03!$A$1:$ZZ$501,$A421,I$3)))</f>
        <v/>
      </c>
      <c r="J421" t="str">
        <f>IF($B421="","",IF(J$3=0,"n.b.",INDEX(SRC_ZPMW03!$A$1:$ZZ$501,$A421,J$3)))</f>
        <v/>
      </c>
      <c r="K421" t="str">
        <f>IF($B421="","",IF(K$3=0,"n.b.",INDEX(SRC_ZPMW03!$A$1:$ZZ$501,$A421,K$3)))</f>
        <v/>
      </c>
      <c r="L421" s="124" t="str">
        <f>IF($B421="","",IF(L$3=0,"n.b.",INDEX(SRC_ZPMW03!$A$1:$ZZ$501,$A421,L$3)))</f>
        <v/>
      </c>
      <c r="M421" s="124" t="str">
        <f>IF($B421="","",IF(M$3=0,"n.b.",INDEX(SRC_ZPMW03!$A$1:$ZZ$501,$A421,M$3)))</f>
        <v/>
      </c>
      <c r="N421" s="124" t="str">
        <f>IF($B421="","",IF(N$3=0,"n.b.",INDEX(SRC_ZPMW03!$A$1:$ZZ$501,$A421,N$3)))</f>
        <v/>
      </c>
      <c r="O421" s="124" t="str">
        <f>IF($B421="","",IF(O$3=0,"n.b.",INDEX(SRC_ZPMW03!$A$1:$ZZ$501,$A421,O$3)))</f>
        <v/>
      </c>
      <c r="P421" s="124" t="str">
        <f>IF($B421="","",IF(P$3=0,"n.b.",INDEX(SRC_ZPMW03!$A$1:$ZZ$501,$A421,P$3)))</f>
        <v/>
      </c>
      <c r="Q421" s="124" t="str">
        <f>IF($B421="","",IF(Q$3=0,"n.b.",INDEX(SRC_ZPMW03!$A$1:$ZZ$501,$A421,Q$3)))</f>
        <v/>
      </c>
      <c r="R421" s="124" t="str">
        <f>IF($B421="","",IF(R$3=0,"n.b.",INDEX(SRC_ZPMW03!$A$1:$ZZ$501,$A421,R$3)))</f>
        <v/>
      </c>
      <c r="S421" s="124" t="str">
        <f>IF($B421="","",IF(S$3=0,"n.b.",INDEX(SRC_ZPMW03!$A$1:$ZZ$501,$A421,S$3)))</f>
        <v/>
      </c>
      <c r="T421" s="124" t="str">
        <f>IF($B421="","",IF(T$3=0,"n.b.",INDEX(SRC_ZPMW03!$A$1:$ZZ$501,$A421,T$3)))</f>
        <v/>
      </c>
      <c r="U421" s="124" t="str">
        <f>IF($B421="","",IF(U$3=0,"n.b.",INDEX(SRC_ZPMW03!$A$1:$ZZ$501,$A421,U$3)))</f>
        <v/>
      </c>
      <c r="V421" s="124" t="str">
        <f>IF($B421="","",IF(V$3=0,"n.b.",INDEX(SRC_ZPMW03!$A$1:$ZZ$501,$A421,V$3)))</f>
        <v/>
      </c>
      <c r="W421" s="124" t="str">
        <f>IF($B421="","",IF(W$3=0,"n.b.",INDEX(SRC_ZPMW03!$A$1:$ZZ$501,$A421,W$3)))</f>
        <v/>
      </c>
      <c r="X421" s="124" t="str">
        <f>IF($B421="","",IF(X$3=0,"n.b.",INDEX(SRC_ZPMW03!$A$1:$ZZ$501,$A421,X$3)))</f>
        <v/>
      </c>
      <c r="Y421" s="124" t="str">
        <f>IF($B421="","",IF(Y$3=0,"n.b.",INDEX(SRC_ZPMW03!$A$1:$ZZ$501,$A421,Y$3)))</f>
        <v/>
      </c>
      <c r="Z421" s="124" t="str">
        <f>IF($B421="","",IF(Z$3=0,"n.b.",INDEX(SRC_ZPMW03!$A$1:$ZZ$501,$A421,Z$3)))</f>
        <v/>
      </c>
      <c r="AA421" s="124" t="str">
        <f>IF($B421="","",IF(AA$3=0,"n.b.",INDEX(SRC_ZPMW03!$A$1:$ZZ$501,$A421,AA$3)))</f>
        <v/>
      </c>
      <c r="AB421" s="124" t="str">
        <f>IF($B421="","",IF(AB$3=0,"n.b.",INDEX(SRC_ZPMW03!$A$1:$ZZ$501,$A421,AB$3)))</f>
        <v/>
      </c>
      <c r="AC421" s="124" t="str">
        <f>IF($B421="","",IF(AC$3=0,"n.b.",INDEX(SRC_ZPMW03!$A$1:$ZZ$501,$A421,AC$3)))</f>
        <v/>
      </c>
      <c r="AD421" s="124" t="str">
        <f>IF($B421="","",IF(AD$3=0,"n.b.",INDEX(SRC_ZPMW03!$A$1:$ZZ$501,$A421,AD$3)))</f>
        <v/>
      </c>
      <c r="AE421" s="124" t="str">
        <f>IF($B421="","",IF(AE$3=0,"n.b.",INDEX(SRC_ZPMW03!$A$1:$ZZ$501,$A421,AE$3)))</f>
        <v/>
      </c>
      <c r="AF421" s="124" t="str">
        <f>IF($B421="","",IF(AF$3=0,"n.b.",INDEX(SRC_ZPMW03!$A$1:$ZZ$501,$A421,AF$3)))</f>
        <v/>
      </c>
      <c r="AG421" s="124" t="str">
        <f>IF($B421="","",IF(AG$3=0,"n.b.",INDEX(SRC_ZPMW03!$A$1:$ZZ$501,$A421,AG$3)))</f>
        <v/>
      </c>
      <c r="AH421" s="124" t="str">
        <f>IF($B421="","",IF(AH$3=0,"n.b.",INDEX(SRC_ZPMW03!$A$1:$ZZ$501,$A421,AH$3)))</f>
        <v/>
      </c>
      <c r="AI421" s="124" t="str">
        <f>IF($B421="","",IF(AI$3=0,"n.b.",INDEX(SRC_ZPMW03!$A$1:$ZZ$501,$A421,AI$3)))</f>
        <v/>
      </c>
      <c r="AJ421" s="124" t="str">
        <f>IF($B421="","",IF(AJ$3=0,"n.b.",INDEX(SRC_ZPMW03!$A$1:$ZZ$501,$A421,AJ$3)))</f>
        <v/>
      </c>
      <c r="AK421" s="124" t="str">
        <f>IF($B421="","",IF(AK$3=0,"n.b.",INDEX(SRC_ZPMW03!$A$1:$ZZ$501,$A421,AK$3)))</f>
        <v/>
      </c>
      <c r="AL421" s="124" t="str">
        <f>IF($B421="","",IF(AL$3=0,"n.b.",INDEX(SRC_ZPMW03!$A$1:$ZZ$501,$A421,AL$3)))</f>
        <v/>
      </c>
      <c r="AM421" s="124" t="str">
        <f>IF($B421="","",IF(AM$3=0,"n.b.",INDEX(SRC_ZPMW03!$A$1:$ZZ$501,$A421,AM$3)))</f>
        <v/>
      </c>
      <c r="AN421" s="124" t="str">
        <f>IF($B421="","",IF(AN$3=0,"n.b.",INDEX(SRC_ZPMW03!$A$1:$ZZ$501,$A421,AN$3)))</f>
        <v/>
      </c>
      <c r="AO421" s="124" t="str">
        <f>IF($B421="","",IF(AO$3=0,"n.b.",INDEX(SRC_ZPMW03!$A$1:$ZZ$501,$A421,AO$3)))</f>
        <v/>
      </c>
      <c r="AP421" s="124" t="str">
        <f>IF($B421="","",IF(AP$3=0,"n.b.",INDEX(SRC_ZPMW03!$A$1:$ZZ$501,$A421,AP$3)))</f>
        <v/>
      </c>
      <c r="AQ421" s="124" t="str">
        <f>IF($B421="","",IF(AQ$3=0,"n.b.",INDEX(SRC_ZPMW03!$A$1:$ZZ$501,$A421,AQ$3)))</f>
        <v/>
      </c>
      <c r="AR421" s="124" t="str">
        <f>IF($B421="","",IF(AR$3=0,"n.b.",INDEX(SRC_ZPMW03!$A$1:$ZZ$501,$A421,AR$3)))</f>
        <v/>
      </c>
      <c r="AS421" s="124" t="str">
        <f>IF($B421="","",IF(AS$3=0,"n.b.",INDEX(SRC_ZPMW03!$A$1:$ZZ$501,$A421,AS$3)))</f>
        <v/>
      </c>
      <c r="AT421" s="124" t="str">
        <f>IF($B421="","",IF(AT$3=0,"n.b.",INDEX(SRC_ZPMW03!$A$1:$ZZ$501,$A421,AT$3)))</f>
        <v/>
      </c>
      <c r="AU421" s="124" t="str">
        <f>IF($B421="","",IF(AU$3=0,"n.b.",INDEX(SRC_ZPMW03!$A$1:$ZZ$501,$A421,AU$3)))</f>
        <v/>
      </c>
      <c r="AV421" s="124" t="str">
        <f>IF($B421="","",IF(AV$3=0,"n.b.",INDEX(SRC_ZPMW03!$A$1:$ZZ$501,$A421,AV$3)))</f>
        <v/>
      </c>
      <c r="AW421" s="124" t="str">
        <f>IF($B421="","",IF(AW$3=0,"n.b.",INDEX(SRC_ZPMW03!$A$1:$ZZ$501,$A421,AW$3)))</f>
        <v/>
      </c>
      <c r="AX421" s="124" t="str">
        <f>IF($B421="","",IF(AX$3=0,"n.b.",INDEX(SRC_ZPMW03!$A$1:$ZZ$501,$A421,AX$3)))</f>
        <v/>
      </c>
      <c r="AY421" s="124" t="str">
        <f>IF($B421="","",IF(AY$3=0,"n.b.",INDEX(SRC_ZPMW03!$A$1:$ZZ$501,$A421,AY$3)))</f>
        <v/>
      </c>
      <c r="AZ421" s="124" t="str">
        <f>IF($B421="","",IF(AZ$3=0,"n.b.",INDEX(SRC_ZPMW03!$A$1:$ZZ$501,$A421,AZ$3)))</f>
        <v/>
      </c>
      <c r="BA421" s="124" t="str">
        <f>IF($B421="","",IF(BA$3=0,"n.b.",INDEX(SRC_ZPMW03!$A$1:$ZZ$501,$A421,BA$3)))</f>
        <v/>
      </c>
      <c r="BB421" s="124" t="str">
        <f>IF($B421="","",IF(BB$3=0,"n.b.",INDEX(SRC_ZPMW03!$A$1:$ZZ$501,$A421,BB$3)))</f>
        <v/>
      </c>
      <c r="BC421" s="124" t="str">
        <f>IF($B421="","",IF(BC$3=0,"n.b.",INDEX(SRC_ZPMW03!$A$1:$ZZ$501,$A421,BC$3)))</f>
        <v/>
      </c>
      <c r="BD421" s="124" t="str">
        <f>IF($B421="","",IF(BD$3=0,"n.b.",INDEX(SRC_ZPMW03!$A$1:$ZZ$501,$A421,BD$3)))</f>
        <v/>
      </c>
      <c r="BE421" s="124" t="str">
        <f>IF($B421="","",IF(BE$3=0,"n.b.",INDEX(SRC_ZPMW03!$A$1:$ZZ$501,$A421,BE$3)))</f>
        <v/>
      </c>
      <c r="BF421" s="124" t="str">
        <f>IF($B421="","",IF(BF$3=0,"n.b.",INDEX(SRC_ZPMW03!$A$1:$ZZ$501,$A421,BF$3)))</f>
        <v/>
      </c>
      <c r="BG421" t="str">
        <f>IF($B421="","",IF(BG$3=0,"n.b.",INDEX(SRC_ZPMW03!$A$1:$ZZ$501,$A421,BG$3)))</f>
        <v/>
      </c>
      <c r="BH421" t="str">
        <f>IF($B421="","",IF(BH$3=0,"n.b.",INDEX(SRC_ZPMW03!$A$1:$ZZ$501,$A421,BH$3)))</f>
        <v/>
      </c>
      <c r="BI421" t="str">
        <f>IF($B421="","",IF(BI$3=0,"n.b.",INDEX(SRC_ZPMW03!$A$1:$ZZ$501,$A421,BI$3)))</f>
        <v/>
      </c>
      <c r="BJ421" t="str">
        <f>IF($B421="","",IF(BJ$3=0,"n.b.",INDEX(SRC_ZPMW03!$A$1:$ZZ$501,$A421,BJ$3)))</f>
        <v/>
      </c>
      <c r="BK421" s="124" t="str">
        <f>IF($B421="","",IFERROR(-O421,"n.b."))</f>
        <v/>
      </c>
      <c r="BL421" s="124" t="str">
        <f>IF($B421="","",IFERROR(-Q421,"n.b."))</f>
        <v/>
      </c>
      <c r="BM421" s="124" t="str">
        <f>IF($B421="","",IFERROR(-AB421,"n.b."))</f>
        <v/>
      </c>
      <c r="BN421" s="124" t="str">
        <f>IF($B421="","",IFERROR(-AD421,"n.b."))</f>
        <v/>
      </c>
      <c r="BO421" s="124" t="str">
        <f>IF($B421="","",IFERROR(BK421+BM421,"n.b."))</f>
        <v/>
      </c>
      <c r="BP421" s="124" t="str">
        <f>IF($B421="","",IFERROR(BL421+BN421,"n.b."))</f>
        <v/>
      </c>
      <c r="BQ421" s="124" t="str">
        <f>IF($B421="","",IFERROR(-AM421,"n.b."))</f>
        <v/>
      </c>
      <c r="BR421" s="124" t="str">
        <f>IF($B421="","",IFERROR(-AO421,"n.b."))</f>
        <v/>
      </c>
      <c r="BS421" s="124" t="str">
        <f>IF($B421="","",IFERROR(-Z421,"n.b."))</f>
        <v/>
      </c>
      <c r="BT421" s="124" t="str">
        <f>IF($B421="","",IFERROR(-AA421,"n.b."))</f>
        <v/>
      </c>
      <c r="BU421" s="124" t="str">
        <f>IF($B421="","",IFERROR(-AE421,"n.b."))</f>
        <v/>
      </c>
      <c r="BV421" s="124" t="str">
        <f>IF($B421="","",IFERROR(-AF421,"n.b."))</f>
        <v/>
      </c>
      <c r="BW421" s="124" t="str">
        <f>IF($B421="","",IFERROR(-AG421,"n.b."))</f>
        <v/>
      </c>
      <c r="BX421" s="124" t="str">
        <f>IF($B421="","",IFERROR(-AH421,"n.b."))</f>
        <v/>
      </c>
      <c r="BY421" s="124" t="str">
        <f>IF($B421="","",IFERROR(-AI421,"n.b."))</f>
        <v/>
      </c>
      <c r="BZ421" s="124" t="str">
        <f>IF($B421="","",IFERROR(-AJ421,"n.b."))</f>
        <v/>
      </c>
      <c r="CA421" s="124" t="str">
        <f>IF($B421="","",IFERROR(-AK421,"n.b."))</f>
        <v/>
      </c>
      <c r="CB421" s="124" t="str">
        <f>IF($B421="","",IFERROR(-AL421,"n.b."))</f>
        <v/>
      </c>
      <c r="CC421" s="124" t="str">
        <f>IF($B421="","",IFERROR(-AP421,"n.b."))</f>
        <v/>
      </c>
      <c r="CD421" s="124" t="str">
        <f>IF($B421="","",IFERROR(-AQ421,"n.b."))</f>
        <v/>
      </c>
      <c r="CE421" s="124" t="str">
        <f>IF($B421="","",IFERROR(-AR421,"n.b."))</f>
        <v/>
      </c>
      <c r="CF421" s="124" t="str">
        <f>IF($B421="","",IFERROR(-AS421,"n.b."))</f>
        <v/>
      </c>
      <c r="CG421" s="124" t="str">
        <f>IF($B421="","",IFERROR(-AT421,"n.b."))</f>
        <v/>
      </c>
      <c r="CH421" s="124" t="str">
        <f>IF($B421="","",IFERROR(-AU421,"n.b."))</f>
        <v/>
      </c>
      <c r="CI421" s="124" t="str">
        <f>IF($B421="","",IFERROR(-AV421,"n.b."))</f>
        <v/>
      </c>
      <c r="CJ421" s="124" t="str">
        <f>IF($B421="","",IFERROR(-AW421,"n.b."))</f>
        <v/>
      </c>
      <c r="CK421" s="124" t="str">
        <f>IF($B421="","",IFERROR(-AX421,"n.b."))</f>
        <v/>
      </c>
      <c r="CL421" s="124" t="str">
        <f>IF($B421="","",IFERROR(-AY421,"n.b."))</f>
        <v/>
      </c>
      <c r="CM421" s="124" t="str">
        <f>IF($B421="","",IFERROR(-AZ421,"n.b."))</f>
        <v/>
      </c>
      <c r="CN421" s="124" t="str">
        <f>IF($B421="","",IFERROR(-BA421,"n.b."))</f>
        <v/>
      </c>
      <c r="CO421" s="124" t="str">
        <f>IF($B421="","",IFERROR(-BB421,"n.b."))</f>
        <v/>
      </c>
      <c r="CP421" s="124" t="str">
        <f>IF($B421="","",IFERROR(-BC421,"n.b."))</f>
        <v/>
      </c>
      <c r="CQ421" s="124" t="str">
        <f>IF($B421="","",IFERROR(-BD421,"n.b."))</f>
        <v/>
      </c>
      <c r="CR421" s="124" t="str">
        <f>IF($B421="","",IFERROR(-BE421,"n.b."))</f>
        <v/>
      </c>
      <c r="CS421" s="124" t="str">
        <f>IF($B421="","",IFERROR(IF(OR(ABS(T421+V421+X421+Z421-AB421)&gt;P_Tol,ABS(U421+W421+Y421+AA421-AD421)&gt;P_Tol,ABS(AE421+AG421+AI421+AK421-AM421)&gt;P_Tol,ABS(AF421+AH421+AJ421+AL421-AO421)&gt;P_Tol),1,0),1))</f>
        <v/>
      </c>
      <c r="CT421" s="124" t="str">
        <f>IF($B421="","",IFERROR(IF(OR(ABS(AB421+AC421-AD421)&gt;P_Tol,ABS(AM421+AN421-AO421)&gt;P_Tol,ABS(O421+P421-Q421)&gt;P_Tol),1,0),1))</f>
        <v/>
      </c>
      <c r="CU421" s="124" t="str">
        <f>IF($B421="","",IFERROR(IF(ABS(R421-(AB421+AM421+AP421+AR421+AT421+AV421+AX421+AZ421+BB421+BD421))&gt;P_Tol,1,0),1))</f>
        <v/>
      </c>
      <c r="CV421" s="124" t="str">
        <f>IF($B421="","",IFERROR(IF(ABS(M421-(N421+O421+R421))&gt;P_Tol,1,0),1))</f>
        <v/>
      </c>
      <c r="CW421" s="124" t="str">
        <f>IF($B421="","",IF(COUNTIF(Mapping!$A$5:$A$104,B421)&gt;0,1,0))</f>
        <v/>
      </c>
      <c r="CX421" s="124" t="str">
        <f>IF($B421="","",COUNTIF($B$6:$B$505,B421))</f>
        <v/>
      </c>
      <c r="CY421" s="124" t="str">
        <f>IF($B421="","",COUNTIF(STG_Woningetalage!$B$6:$B$505,B421))</f>
        <v/>
      </c>
      <c r="CZ421" s="124" t="str">
        <f>IF($B421="","",IF(CW421=0,COUNTIF($CW$6:CW421,0),""))</f>
        <v/>
      </c>
    </row>
    <row r="422">
      <c r="A422" s="15" t="n">
        <v>418</v>
      </c>
      <c r="B422" t="str">
        <f>IF(B$3=0,"",IF(INDEX(SRC_ZPMW03!$A$1:$ZZ$501,$A422,B$3)&amp;""="","",INDEX(SRC_ZPMW03!$A$1:$ZZ$501,$A422,B$3)&amp;""))</f>
        <v/>
      </c>
      <c r="C422" t="str">
        <f>IF($B422="","",IF(C$3=0,"n.b.",INDEX(SRC_ZPMW03!$A$1:$ZZ$501,$A422,C$3)))</f>
        <v/>
      </c>
      <c r="D422" t="str">
        <f>IF($B422="","",IF(D$3=0,"n.b.",INDEX(SRC_ZPMW03!$A$1:$ZZ$501,$A422,D$3)))</f>
        <v/>
      </c>
      <c r="E422" t="str">
        <f>IF($B422="","",IF(E$3=0,"n.b.",INDEX(SRC_ZPMW03!$A$1:$ZZ$501,$A422,E$3)))</f>
        <v/>
      </c>
      <c r="F422" t="str">
        <f>IF($B422="","",IF(F$3=0,"n.b.",INDEX(SRC_ZPMW03!$A$1:$ZZ$501,$A422,F$3)))</f>
        <v/>
      </c>
      <c r="G422" t="str">
        <f>IF($B422="","",IF(G$3=0,"n.b.",INDEX(SRC_ZPMW03!$A$1:$ZZ$501,$A422,G$3)))</f>
        <v/>
      </c>
      <c r="H422" t="str">
        <f>IF($B422="","",IF(H$3=0,"n.b.",INDEX(SRC_ZPMW03!$A$1:$ZZ$501,$A422,H$3)))</f>
        <v/>
      </c>
      <c r="I422" t="str">
        <f>IF($B422="","",IF(I$3=0,"n.b.",INDEX(SRC_ZPMW03!$A$1:$ZZ$501,$A422,I$3)))</f>
        <v/>
      </c>
      <c r="J422" t="str">
        <f>IF($B422="","",IF(J$3=0,"n.b.",INDEX(SRC_ZPMW03!$A$1:$ZZ$501,$A422,J$3)))</f>
        <v/>
      </c>
      <c r="K422" t="str">
        <f>IF($B422="","",IF(K$3=0,"n.b.",INDEX(SRC_ZPMW03!$A$1:$ZZ$501,$A422,K$3)))</f>
        <v/>
      </c>
      <c r="L422" s="124" t="str">
        <f>IF($B422="","",IF(L$3=0,"n.b.",INDEX(SRC_ZPMW03!$A$1:$ZZ$501,$A422,L$3)))</f>
        <v/>
      </c>
      <c r="M422" s="124" t="str">
        <f>IF($B422="","",IF(M$3=0,"n.b.",INDEX(SRC_ZPMW03!$A$1:$ZZ$501,$A422,M$3)))</f>
        <v/>
      </c>
      <c r="N422" s="124" t="str">
        <f>IF($B422="","",IF(N$3=0,"n.b.",INDEX(SRC_ZPMW03!$A$1:$ZZ$501,$A422,N$3)))</f>
        <v/>
      </c>
      <c r="O422" s="124" t="str">
        <f>IF($B422="","",IF(O$3=0,"n.b.",INDEX(SRC_ZPMW03!$A$1:$ZZ$501,$A422,O$3)))</f>
        <v/>
      </c>
      <c r="P422" s="124" t="str">
        <f>IF($B422="","",IF(P$3=0,"n.b.",INDEX(SRC_ZPMW03!$A$1:$ZZ$501,$A422,P$3)))</f>
        <v/>
      </c>
      <c r="Q422" s="124" t="str">
        <f>IF($B422="","",IF(Q$3=0,"n.b.",INDEX(SRC_ZPMW03!$A$1:$ZZ$501,$A422,Q$3)))</f>
        <v/>
      </c>
      <c r="R422" s="124" t="str">
        <f>IF($B422="","",IF(R$3=0,"n.b.",INDEX(SRC_ZPMW03!$A$1:$ZZ$501,$A422,R$3)))</f>
        <v/>
      </c>
      <c r="S422" s="124" t="str">
        <f>IF($B422="","",IF(S$3=0,"n.b.",INDEX(SRC_ZPMW03!$A$1:$ZZ$501,$A422,S$3)))</f>
        <v/>
      </c>
      <c r="T422" s="124" t="str">
        <f>IF($B422="","",IF(T$3=0,"n.b.",INDEX(SRC_ZPMW03!$A$1:$ZZ$501,$A422,T$3)))</f>
        <v/>
      </c>
      <c r="U422" s="124" t="str">
        <f>IF($B422="","",IF(U$3=0,"n.b.",INDEX(SRC_ZPMW03!$A$1:$ZZ$501,$A422,U$3)))</f>
        <v/>
      </c>
      <c r="V422" s="124" t="str">
        <f>IF($B422="","",IF(V$3=0,"n.b.",INDEX(SRC_ZPMW03!$A$1:$ZZ$501,$A422,V$3)))</f>
        <v/>
      </c>
      <c r="W422" s="124" t="str">
        <f>IF($B422="","",IF(W$3=0,"n.b.",INDEX(SRC_ZPMW03!$A$1:$ZZ$501,$A422,W$3)))</f>
        <v/>
      </c>
      <c r="X422" s="124" t="str">
        <f>IF($B422="","",IF(X$3=0,"n.b.",INDEX(SRC_ZPMW03!$A$1:$ZZ$501,$A422,X$3)))</f>
        <v/>
      </c>
      <c r="Y422" s="124" t="str">
        <f>IF($B422="","",IF(Y$3=0,"n.b.",INDEX(SRC_ZPMW03!$A$1:$ZZ$501,$A422,Y$3)))</f>
        <v/>
      </c>
      <c r="Z422" s="124" t="str">
        <f>IF($B422="","",IF(Z$3=0,"n.b.",INDEX(SRC_ZPMW03!$A$1:$ZZ$501,$A422,Z$3)))</f>
        <v/>
      </c>
      <c r="AA422" s="124" t="str">
        <f>IF($B422="","",IF(AA$3=0,"n.b.",INDEX(SRC_ZPMW03!$A$1:$ZZ$501,$A422,AA$3)))</f>
        <v/>
      </c>
      <c r="AB422" s="124" t="str">
        <f>IF($B422="","",IF(AB$3=0,"n.b.",INDEX(SRC_ZPMW03!$A$1:$ZZ$501,$A422,AB$3)))</f>
        <v/>
      </c>
      <c r="AC422" s="124" t="str">
        <f>IF($B422="","",IF(AC$3=0,"n.b.",INDEX(SRC_ZPMW03!$A$1:$ZZ$501,$A422,AC$3)))</f>
        <v/>
      </c>
      <c r="AD422" s="124" t="str">
        <f>IF($B422="","",IF(AD$3=0,"n.b.",INDEX(SRC_ZPMW03!$A$1:$ZZ$501,$A422,AD$3)))</f>
        <v/>
      </c>
      <c r="AE422" s="124" t="str">
        <f>IF($B422="","",IF(AE$3=0,"n.b.",INDEX(SRC_ZPMW03!$A$1:$ZZ$501,$A422,AE$3)))</f>
        <v/>
      </c>
      <c r="AF422" s="124" t="str">
        <f>IF($B422="","",IF(AF$3=0,"n.b.",INDEX(SRC_ZPMW03!$A$1:$ZZ$501,$A422,AF$3)))</f>
        <v/>
      </c>
      <c r="AG422" s="124" t="str">
        <f>IF($B422="","",IF(AG$3=0,"n.b.",INDEX(SRC_ZPMW03!$A$1:$ZZ$501,$A422,AG$3)))</f>
        <v/>
      </c>
      <c r="AH422" s="124" t="str">
        <f>IF($B422="","",IF(AH$3=0,"n.b.",INDEX(SRC_ZPMW03!$A$1:$ZZ$501,$A422,AH$3)))</f>
        <v/>
      </c>
      <c r="AI422" s="124" t="str">
        <f>IF($B422="","",IF(AI$3=0,"n.b.",INDEX(SRC_ZPMW03!$A$1:$ZZ$501,$A422,AI$3)))</f>
        <v/>
      </c>
      <c r="AJ422" s="124" t="str">
        <f>IF($B422="","",IF(AJ$3=0,"n.b.",INDEX(SRC_ZPMW03!$A$1:$ZZ$501,$A422,AJ$3)))</f>
        <v/>
      </c>
      <c r="AK422" s="124" t="str">
        <f>IF($B422="","",IF(AK$3=0,"n.b.",INDEX(SRC_ZPMW03!$A$1:$ZZ$501,$A422,AK$3)))</f>
        <v/>
      </c>
      <c r="AL422" s="124" t="str">
        <f>IF($B422="","",IF(AL$3=0,"n.b.",INDEX(SRC_ZPMW03!$A$1:$ZZ$501,$A422,AL$3)))</f>
        <v/>
      </c>
      <c r="AM422" s="124" t="str">
        <f>IF($B422="","",IF(AM$3=0,"n.b.",INDEX(SRC_ZPMW03!$A$1:$ZZ$501,$A422,AM$3)))</f>
        <v/>
      </c>
      <c r="AN422" s="124" t="str">
        <f>IF($B422="","",IF(AN$3=0,"n.b.",INDEX(SRC_ZPMW03!$A$1:$ZZ$501,$A422,AN$3)))</f>
        <v/>
      </c>
      <c r="AO422" s="124" t="str">
        <f>IF($B422="","",IF(AO$3=0,"n.b.",INDEX(SRC_ZPMW03!$A$1:$ZZ$501,$A422,AO$3)))</f>
        <v/>
      </c>
      <c r="AP422" s="124" t="str">
        <f>IF($B422="","",IF(AP$3=0,"n.b.",INDEX(SRC_ZPMW03!$A$1:$ZZ$501,$A422,AP$3)))</f>
        <v/>
      </c>
      <c r="AQ422" s="124" t="str">
        <f>IF($B422="","",IF(AQ$3=0,"n.b.",INDEX(SRC_ZPMW03!$A$1:$ZZ$501,$A422,AQ$3)))</f>
        <v/>
      </c>
      <c r="AR422" s="124" t="str">
        <f>IF($B422="","",IF(AR$3=0,"n.b.",INDEX(SRC_ZPMW03!$A$1:$ZZ$501,$A422,AR$3)))</f>
        <v/>
      </c>
      <c r="AS422" s="124" t="str">
        <f>IF($B422="","",IF(AS$3=0,"n.b.",INDEX(SRC_ZPMW03!$A$1:$ZZ$501,$A422,AS$3)))</f>
        <v/>
      </c>
      <c r="AT422" s="124" t="str">
        <f>IF($B422="","",IF(AT$3=0,"n.b.",INDEX(SRC_ZPMW03!$A$1:$ZZ$501,$A422,AT$3)))</f>
        <v/>
      </c>
      <c r="AU422" s="124" t="str">
        <f>IF($B422="","",IF(AU$3=0,"n.b.",INDEX(SRC_ZPMW03!$A$1:$ZZ$501,$A422,AU$3)))</f>
        <v/>
      </c>
      <c r="AV422" s="124" t="str">
        <f>IF($B422="","",IF(AV$3=0,"n.b.",INDEX(SRC_ZPMW03!$A$1:$ZZ$501,$A422,AV$3)))</f>
        <v/>
      </c>
      <c r="AW422" s="124" t="str">
        <f>IF($B422="","",IF(AW$3=0,"n.b.",INDEX(SRC_ZPMW03!$A$1:$ZZ$501,$A422,AW$3)))</f>
        <v/>
      </c>
      <c r="AX422" s="124" t="str">
        <f>IF($B422="","",IF(AX$3=0,"n.b.",INDEX(SRC_ZPMW03!$A$1:$ZZ$501,$A422,AX$3)))</f>
        <v/>
      </c>
      <c r="AY422" s="124" t="str">
        <f>IF($B422="","",IF(AY$3=0,"n.b.",INDEX(SRC_ZPMW03!$A$1:$ZZ$501,$A422,AY$3)))</f>
        <v/>
      </c>
      <c r="AZ422" s="124" t="str">
        <f>IF($B422="","",IF(AZ$3=0,"n.b.",INDEX(SRC_ZPMW03!$A$1:$ZZ$501,$A422,AZ$3)))</f>
        <v/>
      </c>
      <c r="BA422" s="124" t="str">
        <f>IF($B422="","",IF(BA$3=0,"n.b.",INDEX(SRC_ZPMW03!$A$1:$ZZ$501,$A422,BA$3)))</f>
        <v/>
      </c>
      <c r="BB422" s="124" t="str">
        <f>IF($B422="","",IF(BB$3=0,"n.b.",INDEX(SRC_ZPMW03!$A$1:$ZZ$501,$A422,BB$3)))</f>
        <v/>
      </c>
      <c r="BC422" s="124" t="str">
        <f>IF($B422="","",IF(BC$3=0,"n.b.",INDEX(SRC_ZPMW03!$A$1:$ZZ$501,$A422,BC$3)))</f>
        <v/>
      </c>
      <c r="BD422" s="124" t="str">
        <f>IF($B422="","",IF(BD$3=0,"n.b.",INDEX(SRC_ZPMW03!$A$1:$ZZ$501,$A422,BD$3)))</f>
        <v/>
      </c>
      <c r="BE422" s="124" t="str">
        <f>IF($B422="","",IF(BE$3=0,"n.b.",INDEX(SRC_ZPMW03!$A$1:$ZZ$501,$A422,BE$3)))</f>
        <v/>
      </c>
      <c r="BF422" s="124" t="str">
        <f>IF($B422="","",IF(BF$3=0,"n.b.",INDEX(SRC_ZPMW03!$A$1:$ZZ$501,$A422,BF$3)))</f>
        <v/>
      </c>
      <c r="BG422" t="str">
        <f>IF($B422="","",IF(BG$3=0,"n.b.",INDEX(SRC_ZPMW03!$A$1:$ZZ$501,$A422,BG$3)))</f>
        <v/>
      </c>
      <c r="BH422" t="str">
        <f>IF($B422="","",IF(BH$3=0,"n.b.",INDEX(SRC_ZPMW03!$A$1:$ZZ$501,$A422,BH$3)))</f>
        <v/>
      </c>
      <c r="BI422" t="str">
        <f>IF($B422="","",IF(BI$3=0,"n.b.",INDEX(SRC_ZPMW03!$A$1:$ZZ$501,$A422,BI$3)))</f>
        <v/>
      </c>
      <c r="BJ422" t="str">
        <f>IF($B422="","",IF(BJ$3=0,"n.b.",INDEX(SRC_ZPMW03!$A$1:$ZZ$501,$A422,BJ$3)))</f>
        <v/>
      </c>
      <c r="BK422" s="124" t="str">
        <f>IF($B422="","",IFERROR(-O422,"n.b."))</f>
        <v/>
      </c>
      <c r="BL422" s="124" t="str">
        <f>IF($B422="","",IFERROR(-Q422,"n.b."))</f>
        <v/>
      </c>
      <c r="BM422" s="124" t="str">
        <f>IF($B422="","",IFERROR(-AB422,"n.b."))</f>
        <v/>
      </c>
      <c r="BN422" s="124" t="str">
        <f>IF($B422="","",IFERROR(-AD422,"n.b."))</f>
        <v/>
      </c>
      <c r="BO422" s="124" t="str">
        <f>IF($B422="","",IFERROR(BK422+BM422,"n.b."))</f>
        <v/>
      </c>
      <c r="BP422" s="124" t="str">
        <f>IF($B422="","",IFERROR(BL422+BN422,"n.b."))</f>
        <v/>
      </c>
      <c r="BQ422" s="124" t="str">
        <f>IF($B422="","",IFERROR(-AM422,"n.b."))</f>
        <v/>
      </c>
      <c r="BR422" s="124" t="str">
        <f>IF($B422="","",IFERROR(-AO422,"n.b."))</f>
        <v/>
      </c>
      <c r="BS422" s="124" t="str">
        <f>IF($B422="","",IFERROR(-Z422,"n.b."))</f>
        <v/>
      </c>
      <c r="BT422" s="124" t="str">
        <f>IF($B422="","",IFERROR(-AA422,"n.b."))</f>
        <v/>
      </c>
      <c r="BU422" s="124" t="str">
        <f>IF($B422="","",IFERROR(-AE422,"n.b."))</f>
        <v/>
      </c>
      <c r="BV422" s="124" t="str">
        <f>IF($B422="","",IFERROR(-AF422,"n.b."))</f>
        <v/>
      </c>
      <c r="BW422" s="124" t="str">
        <f>IF($B422="","",IFERROR(-AG422,"n.b."))</f>
        <v/>
      </c>
      <c r="BX422" s="124" t="str">
        <f>IF($B422="","",IFERROR(-AH422,"n.b."))</f>
        <v/>
      </c>
      <c r="BY422" s="124" t="str">
        <f>IF($B422="","",IFERROR(-AI422,"n.b."))</f>
        <v/>
      </c>
      <c r="BZ422" s="124" t="str">
        <f>IF($B422="","",IFERROR(-AJ422,"n.b."))</f>
        <v/>
      </c>
      <c r="CA422" s="124" t="str">
        <f>IF($B422="","",IFERROR(-AK422,"n.b."))</f>
        <v/>
      </c>
      <c r="CB422" s="124" t="str">
        <f>IF($B422="","",IFERROR(-AL422,"n.b."))</f>
        <v/>
      </c>
      <c r="CC422" s="124" t="str">
        <f>IF($B422="","",IFERROR(-AP422,"n.b."))</f>
        <v/>
      </c>
      <c r="CD422" s="124" t="str">
        <f>IF($B422="","",IFERROR(-AQ422,"n.b."))</f>
        <v/>
      </c>
      <c r="CE422" s="124" t="str">
        <f>IF($B422="","",IFERROR(-AR422,"n.b."))</f>
        <v/>
      </c>
      <c r="CF422" s="124" t="str">
        <f>IF($B422="","",IFERROR(-AS422,"n.b."))</f>
        <v/>
      </c>
      <c r="CG422" s="124" t="str">
        <f>IF($B422="","",IFERROR(-AT422,"n.b."))</f>
        <v/>
      </c>
      <c r="CH422" s="124" t="str">
        <f>IF($B422="","",IFERROR(-AU422,"n.b."))</f>
        <v/>
      </c>
      <c r="CI422" s="124" t="str">
        <f>IF($B422="","",IFERROR(-AV422,"n.b."))</f>
        <v/>
      </c>
      <c r="CJ422" s="124" t="str">
        <f>IF($B422="","",IFERROR(-AW422,"n.b."))</f>
        <v/>
      </c>
      <c r="CK422" s="124" t="str">
        <f>IF($B422="","",IFERROR(-AX422,"n.b."))</f>
        <v/>
      </c>
      <c r="CL422" s="124" t="str">
        <f>IF($B422="","",IFERROR(-AY422,"n.b."))</f>
        <v/>
      </c>
      <c r="CM422" s="124" t="str">
        <f>IF($B422="","",IFERROR(-AZ422,"n.b."))</f>
        <v/>
      </c>
      <c r="CN422" s="124" t="str">
        <f>IF($B422="","",IFERROR(-BA422,"n.b."))</f>
        <v/>
      </c>
      <c r="CO422" s="124" t="str">
        <f>IF($B422="","",IFERROR(-BB422,"n.b."))</f>
        <v/>
      </c>
      <c r="CP422" s="124" t="str">
        <f>IF($B422="","",IFERROR(-BC422,"n.b."))</f>
        <v/>
      </c>
      <c r="CQ422" s="124" t="str">
        <f>IF($B422="","",IFERROR(-BD422,"n.b."))</f>
        <v/>
      </c>
      <c r="CR422" s="124" t="str">
        <f>IF($B422="","",IFERROR(-BE422,"n.b."))</f>
        <v/>
      </c>
      <c r="CS422" s="124" t="str">
        <f>IF($B422="","",IFERROR(IF(OR(ABS(T422+V422+X422+Z422-AB422)&gt;P_Tol,ABS(U422+W422+Y422+AA422-AD422)&gt;P_Tol,ABS(AE422+AG422+AI422+AK422-AM422)&gt;P_Tol,ABS(AF422+AH422+AJ422+AL422-AO422)&gt;P_Tol),1,0),1))</f>
        <v/>
      </c>
      <c r="CT422" s="124" t="str">
        <f>IF($B422="","",IFERROR(IF(OR(ABS(AB422+AC422-AD422)&gt;P_Tol,ABS(AM422+AN422-AO422)&gt;P_Tol,ABS(O422+P422-Q422)&gt;P_Tol),1,0),1))</f>
        <v/>
      </c>
      <c r="CU422" s="124" t="str">
        <f>IF($B422="","",IFERROR(IF(ABS(R422-(AB422+AM422+AP422+AR422+AT422+AV422+AX422+AZ422+BB422+BD422))&gt;P_Tol,1,0),1))</f>
        <v/>
      </c>
      <c r="CV422" s="124" t="str">
        <f>IF($B422="","",IFERROR(IF(ABS(M422-(N422+O422+R422))&gt;P_Tol,1,0),1))</f>
        <v/>
      </c>
      <c r="CW422" s="124" t="str">
        <f>IF($B422="","",IF(COUNTIF(Mapping!$A$5:$A$104,B422)&gt;0,1,0))</f>
        <v/>
      </c>
      <c r="CX422" s="124" t="str">
        <f>IF($B422="","",COUNTIF($B$6:$B$505,B422))</f>
        <v/>
      </c>
      <c r="CY422" s="124" t="str">
        <f>IF($B422="","",COUNTIF(STG_Woningetalage!$B$6:$B$505,B422))</f>
        <v/>
      </c>
      <c r="CZ422" s="124" t="str">
        <f>IF($B422="","",IF(CW422=0,COUNTIF($CW$6:CW422,0),""))</f>
        <v/>
      </c>
    </row>
    <row r="423">
      <c r="A423" s="15" t="n">
        <v>419</v>
      </c>
      <c r="B423" t="str">
        <f>IF(B$3=0,"",IF(INDEX(SRC_ZPMW03!$A$1:$ZZ$501,$A423,B$3)&amp;""="","",INDEX(SRC_ZPMW03!$A$1:$ZZ$501,$A423,B$3)&amp;""))</f>
        <v/>
      </c>
      <c r="C423" t="str">
        <f>IF($B423="","",IF(C$3=0,"n.b.",INDEX(SRC_ZPMW03!$A$1:$ZZ$501,$A423,C$3)))</f>
        <v/>
      </c>
      <c r="D423" t="str">
        <f>IF($B423="","",IF(D$3=0,"n.b.",INDEX(SRC_ZPMW03!$A$1:$ZZ$501,$A423,D$3)))</f>
        <v/>
      </c>
      <c r="E423" t="str">
        <f>IF($B423="","",IF(E$3=0,"n.b.",INDEX(SRC_ZPMW03!$A$1:$ZZ$501,$A423,E$3)))</f>
        <v/>
      </c>
      <c r="F423" t="str">
        <f>IF($B423="","",IF(F$3=0,"n.b.",INDEX(SRC_ZPMW03!$A$1:$ZZ$501,$A423,F$3)))</f>
        <v/>
      </c>
      <c r="G423" t="str">
        <f>IF($B423="","",IF(G$3=0,"n.b.",INDEX(SRC_ZPMW03!$A$1:$ZZ$501,$A423,G$3)))</f>
        <v/>
      </c>
      <c r="H423" t="str">
        <f>IF($B423="","",IF(H$3=0,"n.b.",INDEX(SRC_ZPMW03!$A$1:$ZZ$501,$A423,H$3)))</f>
        <v/>
      </c>
      <c r="I423" t="str">
        <f>IF($B423="","",IF(I$3=0,"n.b.",INDEX(SRC_ZPMW03!$A$1:$ZZ$501,$A423,I$3)))</f>
        <v/>
      </c>
      <c r="J423" t="str">
        <f>IF($B423="","",IF(J$3=0,"n.b.",INDEX(SRC_ZPMW03!$A$1:$ZZ$501,$A423,J$3)))</f>
        <v/>
      </c>
      <c r="K423" t="str">
        <f>IF($B423="","",IF(K$3=0,"n.b.",INDEX(SRC_ZPMW03!$A$1:$ZZ$501,$A423,K$3)))</f>
        <v/>
      </c>
      <c r="L423" s="124" t="str">
        <f>IF($B423="","",IF(L$3=0,"n.b.",INDEX(SRC_ZPMW03!$A$1:$ZZ$501,$A423,L$3)))</f>
        <v/>
      </c>
      <c r="M423" s="124" t="str">
        <f>IF($B423="","",IF(M$3=0,"n.b.",INDEX(SRC_ZPMW03!$A$1:$ZZ$501,$A423,M$3)))</f>
        <v/>
      </c>
      <c r="N423" s="124" t="str">
        <f>IF($B423="","",IF(N$3=0,"n.b.",INDEX(SRC_ZPMW03!$A$1:$ZZ$501,$A423,N$3)))</f>
        <v/>
      </c>
      <c r="O423" s="124" t="str">
        <f>IF($B423="","",IF(O$3=0,"n.b.",INDEX(SRC_ZPMW03!$A$1:$ZZ$501,$A423,O$3)))</f>
        <v/>
      </c>
      <c r="P423" s="124" t="str">
        <f>IF($B423="","",IF(P$3=0,"n.b.",INDEX(SRC_ZPMW03!$A$1:$ZZ$501,$A423,P$3)))</f>
        <v/>
      </c>
      <c r="Q423" s="124" t="str">
        <f>IF($B423="","",IF(Q$3=0,"n.b.",INDEX(SRC_ZPMW03!$A$1:$ZZ$501,$A423,Q$3)))</f>
        <v/>
      </c>
      <c r="R423" s="124" t="str">
        <f>IF($B423="","",IF(R$3=0,"n.b.",INDEX(SRC_ZPMW03!$A$1:$ZZ$501,$A423,R$3)))</f>
        <v/>
      </c>
      <c r="S423" s="124" t="str">
        <f>IF($B423="","",IF(S$3=0,"n.b.",INDEX(SRC_ZPMW03!$A$1:$ZZ$501,$A423,S$3)))</f>
        <v/>
      </c>
      <c r="T423" s="124" t="str">
        <f>IF($B423="","",IF(T$3=0,"n.b.",INDEX(SRC_ZPMW03!$A$1:$ZZ$501,$A423,T$3)))</f>
        <v/>
      </c>
      <c r="U423" s="124" t="str">
        <f>IF($B423="","",IF(U$3=0,"n.b.",INDEX(SRC_ZPMW03!$A$1:$ZZ$501,$A423,U$3)))</f>
        <v/>
      </c>
      <c r="V423" s="124" t="str">
        <f>IF($B423="","",IF(V$3=0,"n.b.",INDEX(SRC_ZPMW03!$A$1:$ZZ$501,$A423,V$3)))</f>
        <v/>
      </c>
      <c r="W423" s="124" t="str">
        <f>IF($B423="","",IF(W$3=0,"n.b.",INDEX(SRC_ZPMW03!$A$1:$ZZ$501,$A423,W$3)))</f>
        <v/>
      </c>
      <c r="X423" s="124" t="str">
        <f>IF($B423="","",IF(X$3=0,"n.b.",INDEX(SRC_ZPMW03!$A$1:$ZZ$501,$A423,X$3)))</f>
        <v/>
      </c>
      <c r="Y423" s="124" t="str">
        <f>IF($B423="","",IF(Y$3=0,"n.b.",INDEX(SRC_ZPMW03!$A$1:$ZZ$501,$A423,Y$3)))</f>
        <v/>
      </c>
      <c r="Z423" s="124" t="str">
        <f>IF($B423="","",IF(Z$3=0,"n.b.",INDEX(SRC_ZPMW03!$A$1:$ZZ$501,$A423,Z$3)))</f>
        <v/>
      </c>
      <c r="AA423" s="124" t="str">
        <f>IF($B423="","",IF(AA$3=0,"n.b.",INDEX(SRC_ZPMW03!$A$1:$ZZ$501,$A423,AA$3)))</f>
        <v/>
      </c>
      <c r="AB423" s="124" t="str">
        <f>IF($B423="","",IF(AB$3=0,"n.b.",INDEX(SRC_ZPMW03!$A$1:$ZZ$501,$A423,AB$3)))</f>
        <v/>
      </c>
      <c r="AC423" s="124" t="str">
        <f>IF($B423="","",IF(AC$3=0,"n.b.",INDEX(SRC_ZPMW03!$A$1:$ZZ$501,$A423,AC$3)))</f>
        <v/>
      </c>
      <c r="AD423" s="124" t="str">
        <f>IF($B423="","",IF(AD$3=0,"n.b.",INDEX(SRC_ZPMW03!$A$1:$ZZ$501,$A423,AD$3)))</f>
        <v/>
      </c>
      <c r="AE423" s="124" t="str">
        <f>IF($B423="","",IF(AE$3=0,"n.b.",INDEX(SRC_ZPMW03!$A$1:$ZZ$501,$A423,AE$3)))</f>
        <v/>
      </c>
      <c r="AF423" s="124" t="str">
        <f>IF($B423="","",IF(AF$3=0,"n.b.",INDEX(SRC_ZPMW03!$A$1:$ZZ$501,$A423,AF$3)))</f>
        <v/>
      </c>
      <c r="AG423" s="124" t="str">
        <f>IF($B423="","",IF(AG$3=0,"n.b.",INDEX(SRC_ZPMW03!$A$1:$ZZ$501,$A423,AG$3)))</f>
        <v/>
      </c>
      <c r="AH423" s="124" t="str">
        <f>IF($B423="","",IF(AH$3=0,"n.b.",INDEX(SRC_ZPMW03!$A$1:$ZZ$501,$A423,AH$3)))</f>
        <v/>
      </c>
      <c r="AI423" s="124" t="str">
        <f>IF($B423="","",IF(AI$3=0,"n.b.",INDEX(SRC_ZPMW03!$A$1:$ZZ$501,$A423,AI$3)))</f>
        <v/>
      </c>
      <c r="AJ423" s="124" t="str">
        <f>IF($B423="","",IF(AJ$3=0,"n.b.",INDEX(SRC_ZPMW03!$A$1:$ZZ$501,$A423,AJ$3)))</f>
        <v/>
      </c>
      <c r="AK423" s="124" t="str">
        <f>IF($B423="","",IF(AK$3=0,"n.b.",INDEX(SRC_ZPMW03!$A$1:$ZZ$501,$A423,AK$3)))</f>
        <v/>
      </c>
      <c r="AL423" s="124" t="str">
        <f>IF($B423="","",IF(AL$3=0,"n.b.",INDEX(SRC_ZPMW03!$A$1:$ZZ$501,$A423,AL$3)))</f>
        <v/>
      </c>
      <c r="AM423" s="124" t="str">
        <f>IF($B423="","",IF(AM$3=0,"n.b.",INDEX(SRC_ZPMW03!$A$1:$ZZ$501,$A423,AM$3)))</f>
        <v/>
      </c>
      <c r="AN423" s="124" t="str">
        <f>IF($B423="","",IF(AN$3=0,"n.b.",INDEX(SRC_ZPMW03!$A$1:$ZZ$501,$A423,AN$3)))</f>
        <v/>
      </c>
      <c r="AO423" s="124" t="str">
        <f>IF($B423="","",IF(AO$3=0,"n.b.",INDEX(SRC_ZPMW03!$A$1:$ZZ$501,$A423,AO$3)))</f>
        <v/>
      </c>
      <c r="AP423" s="124" t="str">
        <f>IF($B423="","",IF(AP$3=0,"n.b.",INDEX(SRC_ZPMW03!$A$1:$ZZ$501,$A423,AP$3)))</f>
        <v/>
      </c>
      <c r="AQ423" s="124" t="str">
        <f>IF($B423="","",IF(AQ$3=0,"n.b.",INDEX(SRC_ZPMW03!$A$1:$ZZ$501,$A423,AQ$3)))</f>
        <v/>
      </c>
      <c r="AR423" s="124" t="str">
        <f>IF($B423="","",IF(AR$3=0,"n.b.",INDEX(SRC_ZPMW03!$A$1:$ZZ$501,$A423,AR$3)))</f>
        <v/>
      </c>
      <c r="AS423" s="124" t="str">
        <f>IF($B423="","",IF(AS$3=0,"n.b.",INDEX(SRC_ZPMW03!$A$1:$ZZ$501,$A423,AS$3)))</f>
        <v/>
      </c>
      <c r="AT423" s="124" t="str">
        <f>IF($B423="","",IF(AT$3=0,"n.b.",INDEX(SRC_ZPMW03!$A$1:$ZZ$501,$A423,AT$3)))</f>
        <v/>
      </c>
      <c r="AU423" s="124" t="str">
        <f>IF($B423="","",IF(AU$3=0,"n.b.",INDEX(SRC_ZPMW03!$A$1:$ZZ$501,$A423,AU$3)))</f>
        <v/>
      </c>
      <c r="AV423" s="124" t="str">
        <f>IF($B423="","",IF(AV$3=0,"n.b.",INDEX(SRC_ZPMW03!$A$1:$ZZ$501,$A423,AV$3)))</f>
        <v/>
      </c>
      <c r="AW423" s="124" t="str">
        <f>IF($B423="","",IF(AW$3=0,"n.b.",INDEX(SRC_ZPMW03!$A$1:$ZZ$501,$A423,AW$3)))</f>
        <v/>
      </c>
      <c r="AX423" s="124" t="str">
        <f>IF($B423="","",IF(AX$3=0,"n.b.",INDEX(SRC_ZPMW03!$A$1:$ZZ$501,$A423,AX$3)))</f>
        <v/>
      </c>
      <c r="AY423" s="124" t="str">
        <f>IF($B423="","",IF(AY$3=0,"n.b.",INDEX(SRC_ZPMW03!$A$1:$ZZ$501,$A423,AY$3)))</f>
        <v/>
      </c>
      <c r="AZ423" s="124" t="str">
        <f>IF($B423="","",IF(AZ$3=0,"n.b.",INDEX(SRC_ZPMW03!$A$1:$ZZ$501,$A423,AZ$3)))</f>
        <v/>
      </c>
      <c r="BA423" s="124" t="str">
        <f>IF($B423="","",IF(BA$3=0,"n.b.",INDEX(SRC_ZPMW03!$A$1:$ZZ$501,$A423,BA$3)))</f>
        <v/>
      </c>
      <c r="BB423" s="124" t="str">
        <f>IF($B423="","",IF(BB$3=0,"n.b.",INDEX(SRC_ZPMW03!$A$1:$ZZ$501,$A423,BB$3)))</f>
        <v/>
      </c>
      <c r="BC423" s="124" t="str">
        <f>IF($B423="","",IF(BC$3=0,"n.b.",INDEX(SRC_ZPMW03!$A$1:$ZZ$501,$A423,BC$3)))</f>
        <v/>
      </c>
      <c r="BD423" s="124" t="str">
        <f>IF($B423="","",IF(BD$3=0,"n.b.",INDEX(SRC_ZPMW03!$A$1:$ZZ$501,$A423,BD$3)))</f>
        <v/>
      </c>
      <c r="BE423" s="124" t="str">
        <f>IF($B423="","",IF(BE$3=0,"n.b.",INDEX(SRC_ZPMW03!$A$1:$ZZ$501,$A423,BE$3)))</f>
        <v/>
      </c>
      <c r="BF423" s="124" t="str">
        <f>IF($B423="","",IF(BF$3=0,"n.b.",INDEX(SRC_ZPMW03!$A$1:$ZZ$501,$A423,BF$3)))</f>
        <v/>
      </c>
      <c r="BG423" t="str">
        <f>IF($B423="","",IF(BG$3=0,"n.b.",INDEX(SRC_ZPMW03!$A$1:$ZZ$501,$A423,BG$3)))</f>
        <v/>
      </c>
      <c r="BH423" t="str">
        <f>IF($B423="","",IF(BH$3=0,"n.b.",INDEX(SRC_ZPMW03!$A$1:$ZZ$501,$A423,BH$3)))</f>
        <v/>
      </c>
      <c r="BI423" t="str">
        <f>IF($B423="","",IF(BI$3=0,"n.b.",INDEX(SRC_ZPMW03!$A$1:$ZZ$501,$A423,BI$3)))</f>
        <v/>
      </c>
      <c r="BJ423" t="str">
        <f>IF($B423="","",IF(BJ$3=0,"n.b.",INDEX(SRC_ZPMW03!$A$1:$ZZ$501,$A423,BJ$3)))</f>
        <v/>
      </c>
      <c r="BK423" s="124" t="str">
        <f>IF($B423="","",IFERROR(-O423,"n.b."))</f>
        <v/>
      </c>
      <c r="BL423" s="124" t="str">
        <f>IF($B423="","",IFERROR(-Q423,"n.b."))</f>
        <v/>
      </c>
      <c r="BM423" s="124" t="str">
        <f>IF($B423="","",IFERROR(-AB423,"n.b."))</f>
        <v/>
      </c>
      <c r="BN423" s="124" t="str">
        <f>IF($B423="","",IFERROR(-AD423,"n.b."))</f>
        <v/>
      </c>
      <c r="BO423" s="124" t="str">
        <f>IF($B423="","",IFERROR(BK423+BM423,"n.b."))</f>
        <v/>
      </c>
      <c r="BP423" s="124" t="str">
        <f>IF($B423="","",IFERROR(BL423+BN423,"n.b."))</f>
        <v/>
      </c>
      <c r="BQ423" s="124" t="str">
        <f>IF($B423="","",IFERROR(-AM423,"n.b."))</f>
        <v/>
      </c>
      <c r="BR423" s="124" t="str">
        <f>IF($B423="","",IFERROR(-AO423,"n.b."))</f>
        <v/>
      </c>
      <c r="BS423" s="124" t="str">
        <f>IF($B423="","",IFERROR(-Z423,"n.b."))</f>
        <v/>
      </c>
      <c r="BT423" s="124" t="str">
        <f>IF($B423="","",IFERROR(-AA423,"n.b."))</f>
        <v/>
      </c>
      <c r="BU423" s="124" t="str">
        <f>IF($B423="","",IFERROR(-AE423,"n.b."))</f>
        <v/>
      </c>
      <c r="BV423" s="124" t="str">
        <f>IF($B423="","",IFERROR(-AF423,"n.b."))</f>
        <v/>
      </c>
      <c r="BW423" s="124" t="str">
        <f>IF($B423="","",IFERROR(-AG423,"n.b."))</f>
        <v/>
      </c>
      <c r="BX423" s="124" t="str">
        <f>IF($B423="","",IFERROR(-AH423,"n.b."))</f>
        <v/>
      </c>
      <c r="BY423" s="124" t="str">
        <f>IF($B423="","",IFERROR(-AI423,"n.b."))</f>
        <v/>
      </c>
      <c r="BZ423" s="124" t="str">
        <f>IF($B423="","",IFERROR(-AJ423,"n.b."))</f>
        <v/>
      </c>
      <c r="CA423" s="124" t="str">
        <f>IF($B423="","",IFERROR(-AK423,"n.b."))</f>
        <v/>
      </c>
      <c r="CB423" s="124" t="str">
        <f>IF($B423="","",IFERROR(-AL423,"n.b."))</f>
        <v/>
      </c>
      <c r="CC423" s="124" t="str">
        <f>IF($B423="","",IFERROR(-AP423,"n.b."))</f>
        <v/>
      </c>
      <c r="CD423" s="124" t="str">
        <f>IF($B423="","",IFERROR(-AQ423,"n.b."))</f>
        <v/>
      </c>
      <c r="CE423" s="124" t="str">
        <f>IF($B423="","",IFERROR(-AR423,"n.b."))</f>
        <v/>
      </c>
      <c r="CF423" s="124" t="str">
        <f>IF($B423="","",IFERROR(-AS423,"n.b."))</f>
        <v/>
      </c>
      <c r="CG423" s="124" t="str">
        <f>IF($B423="","",IFERROR(-AT423,"n.b."))</f>
        <v/>
      </c>
      <c r="CH423" s="124" t="str">
        <f>IF($B423="","",IFERROR(-AU423,"n.b."))</f>
        <v/>
      </c>
      <c r="CI423" s="124" t="str">
        <f>IF($B423="","",IFERROR(-AV423,"n.b."))</f>
        <v/>
      </c>
      <c r="CJ423" s="124" t="str">
        <f>IF($B423="","",IFERROR(-AW423,"n.b."))</f>
        <v/>
      </c>
      <c r="CK423" s="124" t="str">
        <f>IF($B423="","",IFERROR(-AX423,"n.b."))</f>
        <v/>
      </c>
      <c r="CL423" s="124" t="str">
        <f>IF($B423="","",IFERROR(-AY423,"n.b."))</f>
        <v/>
      </c>
      <c r="CM423" s="124" t="str">
        <f>IF($B423="","",IFERROR(-AZ423,"n.b."))</f>
        <v/>
      </c>
      <c r="CN423" s="124" t="str">
        <f>IF($B423="","",IFERROR(-BA423,"n.b."))</f>
        <v/>
      </c>
      <c r="CO423" s="124" t="str">
        <f>IF($B423="","",IFERROR(-BB423,"n.b."))</f>
        <v/>
      </c>
      <c r="CP423" s="124" t="str">
        <f>IF($B423="","",IFERROR(-BC423,"n.b."))</f>
        <v/>
      </c>
      <c r="CQ423" s="124" t="str">
        <f>IF($B423="","",IFERROR(-BD423,"n.b."))</f>
        <v/>
      </c>
      <c r="CR423" s="124" t="str">
        <f>IF($B423="","",IFERROR(-BE423,"n.b."))</f>
        <v/>
      </c>
      <c r="CS423" s="124" t="str">
        <f>IF($B423="","",IFERROR(IF(OR(ABS(T423+V423+X423+Z423-AB423)&gt;P_Tol,ABS(U423+W423+Y423+AA423-AD423)&gt;P_Tol,ABS(AE423+AG423+AI423+AK423-AM423)&gt;P_Tol,ABS(AF423+AH423+AJ423+AL423-AO423)&gt;P_Tol),1,0),1))</f>
        <v/>
      </c>
      <c r="CT423" s="124" t="str">
        <f>IF($B423="","",IFERROR(IF(OR(ABS(AB423+AC423-AD423)&gt;P_Tol,ABS(AM423+AN423-AO423)&gt;P_Tol,ABS(O423+P423-Q423)&gt;P_Tol),1,0),1))</f>
        <v/>
      </c>
      <c r="CU423" s="124" t="str">
        <f>IF($B423="","",IFERROR(IF(ABS(R423-(AB423+AM423+AP423+AR423+AT423+AV423+AX423+AZ423+BB423+BD423))&gt;P_Tol,1,0),1))</f>
        <v/>
      </c>
      <c r="CV423" s="124" t="str">
        <f>IF($B423="","",IFERROR(IF(ABS(M423-(N423+O423+R423))&gt;P_Tol,1,0),1))</f>
        <v/>
      </c>
      <c r="CW423" s="124" t="str">
        <f>IF($B423="","",IF(COUNTIF(Mapping!$A$5:$A$104,B423)&gt;0,1,0))</f>
        <v/>
      </c>
      <c r="CX423" s="124" t="str">
        <f>IF($B423="","",COUNTIF($B$6:$B$505,B423))</f>
        <v/>
      </c>
      <c r="CY423" s="124" t="str">
        <f>IF($B423="","",COUNTIF(STG_Woningetalage!$B$6:$B$505,B423))</f>
        <v/>
      </c>
      <c r="CZ423" s="124" t="str">
        <f>IF($B423="","",IF(CW423=0,COUNTIF($CW$6:CW423,0),""))</f>
        <v/>
      </c>
    </row>
    <row r="424">
      <c r="A424" s="15" t="n">
        <v>420</v>
      </c>
      <c r="B424" t="str">
        <f>IF(B$3=0,"",IF(INDEX(SRC_ZPMW03!$A$1:$ZZ$501,$A424,B$3)&amp;""="","",INDEX(SRC_ZPMW03!$A$1:$ZZ$501,$A424,B$3)&amp;""))</f>
        <v/>
      </c>
      <c r="C424" t="str">
        <f>IF($B424="","",IF(C$3=0,"n.b.",INDEX(SRC_ZPMW03!$A$1:$ZZ$501,$A424,C$3)))</f>
        <v/>
      </c>
      <c r="D424" t="str">
        <f>IF($B424="","",IF(D$3=0,"n.b.",INDEX(SRC_ZPMW03!$A$1:$ZZ$501,$A424,D$3)))</f>
        <v/>
      </c>
      <c r="E424" t="str">
        <f>IF($B424="","",IF(E$3=0,"n.b.",INDEX(SRC_ZPMW03!$A$1:$ZZ$501,$A424,E$3)))</f>
        <v/>
      </c>
      <c r="F424" t="str">
        <f>IF($B424="","",IF(F$3=0,"n.b.",INDEX(SRC_ZPMW03!$A$1:$ZZ$501,$A424,F$3)))</f>
        <v/>
      </c>
      <c r="G424" t="str">
        <f>IF($B424="","",IF(G$3=0,"n.b.",INDEX(SRC_ZPMW03!$A$1:$ZZ$501,$A424,G$3)))</f>
        <v/>
      </c>
      <c r="H424" t="str">
        <f>IF($B424="","",IF(H$3=0,"n.b.",INDEX(SRC_ZPMW03!$A$1:$ZZ$501,$A424,H$3)))</f>
        <v/>
      </c>
      <c r="I424" t="str">
        <f>IF($B424="","",IF(I$3=0,"n.b.",INDEX(SRC_ZPMW03!$A$1:$ZZ$501,$A424,I$3)))</f>
        <v/>
      </c>
      <c r="J424" t="str">
        <f>IF($B424="","",IF(J$3=0,"n.b.",INDEX(SRC_ZPMW03!$A$1:$ZZ$501,$A424,J$3)))</f>
        <v/>
      </c>
      <c r="K424" t="str">
        <f>IF($B424="","",IF(K$3=0,"n.b.",INDEX(SRC_ZPMW03!$A$1:$ZZ$501,$A424,K$3)))</f>
        <v/>
      </c>
      <c r="L424" s="124" t="str">
        <f>IF($B424="","",IF(L$3=0,"n.b.",INDEX(SRC_ZPMW03!$A$1:$ZZ$501,$A424,L$3)))</f>
        <v/>
      </c>
      <c r="M424" s="124" t="str">
        <f>IF($B424="","",IF(M$3=0,"n.b.",INDEX(SRC_ZPMW03!$A$1:$ZZ$501,$A424,M$3)))</f>
        <v/>
      </c>
      <c r="N424" s="124" t="str">
        <f>IF($B424="","",IF(N$3=0,"n.b.",INDEX(SRC_ZPMW03!$A$1:$ZZ$501,$A424,N$3)))</f>
        <v/>
      </c>
      <c r="O424" s="124" t="str">
        <f>IF($B424="","",IF(O$3=0,"n.b.",INDEX(SRC_ZPMW03!$A$1:$ZZ$501,$A424,O$3)))</f>
        <v/>
      </c>
      <c r="P424" s="124" t="str">
        <f>IF($B424="","",IF(P$3=0,"n.b.",INDEX(SRC_ZPMW03!$A$1:$ZZ$501,$A424,P$3)))</f>
        <v/>
      </c>
      <c r="Q424" s="124" t="str">
        <f>IF($B424="","",IF(Q$3=0,"n.b.",INDEX(SRC_ZPMW03!$A$1:$ZZ$501,$A424,Q$3)))</f>
        <v/>
      </c>
      <c r="R424" s="124" t="str">
        <f>IF($B424="","",IF(R$3=0,"n.b.",INDEX(SRC_ZPMW03!$A$1:$ZZ$501,$A424,R$3)))</f>
        <v/>
      </c>
      <c r="S424" s="124" t="str">
        <f>IF($B424="","",IF(S$3=0,"n.b.",INDEX(SRC_ZPMW03!$A$1:$ZZ$501,$A424,S$3)))</f>
        <v/>
      </c>
      <c r="T424" s="124" t="str">
        <f>IF($B424="","",IF(T$3=0,"n.b.",INDEX(SRC_ZPMW03!$A$1:$ZZ$501,$A424,T$3)))</f>
        <v/>
      </c>
      <c r="U424" s="124" t="str">
        <f>IF($B424="","",IF(U$3=0,"n.b.",INDEX(SRC_ZPMW03!$A$1:$ZZ$501,$A424,U$3)))</f>
        <v/>
      </c>
      <c r="V424" s="124" t="str">
        <f>IF($B424="","",IF(V$3=0,"n.b.",INDEX(SRC_ZPMW03!$A$1:$ZZ$501,$A424,V$3)))</f>
        <v/>
      </c>
      <c r="W424" s="124" t="str">
        <f>IF($B424="","",IF(W$3=0,"n.b.",INDEX(SRC_ZPMW03!$A$1:$ZZ$501,$A424,W$3)))</f>
        <v/>
      </c>
      <c r="X424" s="124" t="str">
        <f>IF($B424="","",IF(X$3=0,"n.b.",INDEX(SRC_ZPMW03!$A$1:$ZZ$501,$A424,X$3)))</f>
        <v/>
      </c>
      <c r="Y424" s="124" t="str">
        <f>IF($B424="","",IF(Y$3=0,"n.b.",INDEX(SRC_ZPMW03!$A$1:$ZZ$501,$A424,Y$3)))</f>
        <v/>
      </c>
      <c r="Z424" s="124" t="str">
        <f>IF($B424="","",IF(Z$3=0,"n.b.",INDEX(SRC_ZPMW03!$A$1:$ZZ$501,$A424,Z$3)))</f>
        <v/>
      </c>
      <c r="AA424" s="124" t="str">
        <f>IF($B424="","",IF(AA$3=0,"n.b.",INDEX(SRC_ZPMW03!$A$1:$ZZ$501,$A424,AA$3)))</f>
        <v/>
      </c>
      <c r="AB424" s="124" t="str">
        <f>IF($B424="","",IF(AB$3=0,"n.b.",INDEX(SRC_ZPMW03!$A$1:$ZZ$501,$A424,AB$3)))</f>
        <v/>
      </c>
      <c r="AC424" s="124" t="str">
        <f>IF($B424="","",IF(AC$3=0,"n.b.",INDEX(SRC_ZPMW03!$A$1:$ZZ$501,$A424,AC$3)))</f>
        <v/>
      </c>
      <c r="AD424" s="124" t="str">
        <f>IF($B424="","",IF(AD$3=0,"n.b.",INDEX(SRC_ZPMW03!$A$1:$ZZ$501,$A424,AD$3)))</f>
        <v/>
      </c>
      <c r="AE424" s="124" t="str">
        <f>IF($B424="","",IF(AE$3=0,"n.b.",INDEX(SRC_ZPMW03!$A$1:$ZZ$501,$A424,AE$3)))</f>
        <v/>
      </c>
      <c r="AF424" s="124" t="str">
        <f>IF($B424="","",IF(AF$3=0,"n.b.",INDEX(SRC_ZPMW03!$A$1:$ZZ$501,$A424,AF$3)))</f>
        <v/>
      </c>
      <c r="AG424" s="124" t="str">
        <f>IF($B424="","",IF(AG$3=0,"n.b.",INDEX(SRC_ZPMW03!$A$1:$ZZ$501,$A424,AG$3)))</f>
        <v/>
      </c>
      <c r="AH424" s="124" t="str">
        <f>IF($B424="","",IF(AH$3=0,"n.b.",INDEX(SRC_ZPMW03!$A$1:$ZZ$501,$A424,AH$3)))</f>
        <v/>
      </c>
      <c r="AI424" s="124" t="str">
        <f>IF($B424="","",IF(AI$3=0,"n.b.",INDEX(SRC_ZPMW03!$A$1:$ZZ$501,$A424,AI$3)))</f>
        <v/>
      </c>
      <c r="AJ424" s="124" t="str">
        <f>IF($B424="","",IF(AJ$3=0,"n.b.",INDEX(SRC_ZPMW03!$A$1:$ZZ$501,$A424,AJ$3)))</f>
        <v/>
      </c>
      <c r="AK424" s="124" t="str">
        <f>IF($B424="","",IF(AK$3=0,"n.b.",INDEX(SRC_ZPMW03!$A$1:$ZZ$501,$A424,AK$3)))</f>
        <v/>
      </c>
      <c r="AL424" s="124" t="str">
        <f>IF($B424="","",IF(AL$3=0,"n.b.",INDEX(SRC_ZPMW03!$A$1:$ZZ$501,$A424,AL$3)))</f>
        <v/>
      </c>
      <c r="AM424" s="124" t="str">
        <f>IF($B424="","",IF(AM$3=0,"n.b.",INDEX(SRC_ZPMW03!$A$1:$ZZ$501,$A424,AM$3)))</f>
        <v/>
      </c>
      <c r="AN424" s="124" t="str">
        <f>IF($B424="","",IF(AN$3=0,"n.b.",INDEX(SRC_ZPMW03!$A$1:$ZZ$501,$A424,AN$3)))</f>
        <v/>
      </c>
      <c r="AO424" s="124" t="str">
        <f>IF($B424="","",IF(AO$3=0,"n.b.",INDEX(SRC_ZPMW03!$A$1:$ZZ$501,$A424,AO$3)))</f>
        <v/>
      </c>
      <c r="AP424" s="124" t="str">
        <f>IF($B424="","",IF(AP$3=0,"n.b.",INDEX(SRC_ZPMW03!$A$1:$ZZ$501,$A424,AP$3)))</f>
        <v/>
      </c>
      <c r="AQ424" s="124" t="str">
        <f>IF($B424="","",IF(AQ$3=0,"n.b.",INDEX(SRC_ZPMW03!$A$1:$ZZ$501,$A424,AQ$3)))</f>
        <v/>
      </c>
      <c r="AR424" s="124" t="str">
        <f>IF($B424="","",IF(AR$3=0,"n.b.",INDEX(SRC_ZPMW03!$A$1:$ZZ$501,$A424,AR$3)))</f>
        <v/>
      </c>
      <c r="AS424" s="124" t="str">
        <f>IF($B424="","",IF(AS$3=0,"n.b.",INDEX(SRC_ZPMW03!$A$1:$ZZ$501,$A424,AS$3)))</f>
        <v/>
      </c>
      <c r="AT424" s="124" t="str">
        <f>IF($B424="","",IF(AT$3=0,"n.b.",INDEX(SRC_ZPMW03!$A$1:$ZZ$501,$A424,AT$3)))</f>
        <v/>
      </c>
      <c r="AU424" s="124" t="str">
        <f>IF($B424="","",IF(AU$3=0,"n.b.",INDEX(SRC_ZPMW03!$A$1:$ZZ$501,$A424,AU$3)))</f>
        <v/>
      </c>
      <c r="AV424" s="124" t="str">
        <f>IF($B424="","",IF(AV$3=0,"n.b.",INDEX(SRC_ZPMW03!$A$1:$ZZ$501,$A424,AV$3)))</f>
        <v/>
      </c>
      <c r="AW424" s="124" t="str">
        <f>IF($B424="","",IF(AW$3=0,"n.b.",INDEX(SRC_ZPMW03!$A$1:$ZZ$501,$A424,AW$3)))</f>
        <v/>
      </c>
      <c r="AX424" s="124" t="str">
        <f>IF($B424="","",IF(AX$3=0,"n.b.",INDEX(SRC_ZPMW03!$A$1:$ZZ$501,$A424,AX$3)))</f>
        <v/>
      </c>
      <c r="AY424" s="124" t="str">
        <f>IF($B424="","",IF(AY$3=0,"n.b.",INDEX(SRC_ZPMW03!$A$1:$ZZ$501,$A424,AY$3)))</f>
        <v/>
      </c>
      <c r="AZ424" s="124" t="str">
        <f>IF($B424="","",IF(AZ$3=0,"n.b.",INDEX(SRC_ZPMW03!$A$1:$ZZ$501,$A424,AZ$3)))</f>
        <v/>
      </c>
      <c r="BA424" s="124" t="str">
        <f>IF($B424="","",IF(BA$3=0,"n.b.",INDEX(SRC_ZPMW03!$A$1:$ZZ$501,$A424,BA$3)))</f>
        <v/>
      </c>
      <c r="BB424" s="124" t="str">
        <f>IF($B424="","",IF(BB$3=0,"n.b.",INDEX(SRC_ZPMW03!$A$1:$ZZ$501,$A424,BB$3)))</f>
        <v/>
      </c>
      <c r="BC424" s="124" t="str">
        <f>IF($B424="","",IF(BC$3=0,"n.b.",INDEX(SRC_ZPMW03!$A$1:$ZZ$501,$A424,BC$3)))</f>
        <v/>
      </c>
      <c r="BD424" s="124" t="str">
        <f>IF($B424="","",IF(BD$3=0,"n.b.",INDEX(SRC_ZPMW03!$A$1:$ZZ$501,$A424,BD$3)))</f>
        <v/>
      </c>
      <c r="BE424" s="124" t="str">
        <f>IF($B424="","",IF(BE$3=0,"n.b.",INDEX(SRC_ZPMW03!$A$1:$ZZ$501,$A424,BE$3)))</f>
        <v/>
      </c>
      <c r="BF424" s="124" t="str">
        <f>IF($B424="","",IF(BF$3=0,"n.b.",INDEX(SRC_ZPMW03!$A$1:$ZZ$501,$A424,BF$3)))</f>
        <v/>
      </c>
      <c r="BG424" t="str">
        <f>IF($B424="","",IF(BG$3=0,"n.b.",INDEX(SRC_ZPMW03!$A$1:$ZZ$501,$A424,BG$3)))</f>
        <v/>
      </c>
      <c r="BH424" t="str">
        <f>IF($B424="","",IF(BH$3=0,"n.b.",INDEX(SRC_ZPMW03!$A$1:$ZZ$501,$A424,BH$3)))</f>
        <v/>
      </c>
      <c r="BI424" t="str">
        <f>IF($B424="","",IF(BI$3=0,"n.b.",INDEX(SRC_ZPMW03!$A$1:$ZZ$501,$A424,BI$3)))</f>
        <v/>
      </c>
      <c r="BJ424" t="str">
        <f>IF($B424="","",IF(BJ$3=0,"n.b.",INDEX(SRC_ZPMW03!$A$1:$ZZ$501,$A424,BJ$3)))</f>
        <v/>
      </c>
      <c r="BK424" s="124" t="str">
        <f>IF($B424="","",IFERROR(-O424,"n.b."))</f>
        <v/>
      </c>
      <c r="BL424" s="124" t="str">
        <f>IF($B424="","",IFERROR(-Q424,"n.b."))</f>
        <v/>
      </c>
      <c r="BM424" s="124" t="str">
        <f>IF($B424="","",IFERROR(-AB424,"n.b."))</f>
        <v/>
      </c>
      <c r="BN424" s="124" t="str">
        <f>IF($B424="","",IFERROR(-AD424,"n.b."))</f>
        <v/>
      </c>
      <c r="BO424" s="124" t="str">
        <f>IF($B424="","",IFERROR(BK424+BM424,"n.b."))</f>
        <v/>
      </c>
      <c r="BP424" s="124" t="str">
        <f>IF($B424="","",IFERROR(BL424+BN424,"n.b."))</f>
        <v/>
      </c>
      <c r="BQ424" s="124" t="str">
        <f>IF($B424="","",IFERROR(-AM424,"n.b."))</f>
        <v/>
      </c>
      <c r="BR424" s="124" t="str">
        <f>IF($B424="","",IFERROR(-AO424,"n.b."))</f>
        <v/>
      </c>
      <c r="BS424" s="124" t="str">
        <f>IF($B424="","",IFERROR(-Z424,"n.b."))</f>
        <v/>
      </c>
      <c r="BT424" s="124" t="str">
        <f>IF($B424="","",IFERROR(-AA424,"n.b."))</f>
        <v/>
      </c>
      <c r="BU424" s="124" t="str">
        <f>IF($B424="","",IFERROR(-AE424,"n.b."))</f>
        <v/>
      </c>
      <c r="BV424" s="124" t="str">
        <f>IF($B424="","",IFERROR(-AF424,"n.b."))</f>
        <v/>
      </c>
      <c r="BW424" s="124" t="str">
        <f>IF($B424="","",IFERROR(-AG424,"n.b."))</f>
        <v/>
      </c>
      <c r="BX424" s="124" t="str">
        <f>IF($B424="","",IFERROR(-AH424,"n.b."))</f>
        <v/>
      </c>
      <c r="BY424" s="124" t="str">
        <f>IF($B424="","",IFERROR(-AI424,"n.b."))</f>
        <v/>
      </c>
      <c r="BZ424" s="124" t="str">
        <f>IF($B424="","",IFERROR(-AJ424,"n.b."))</f>
        <v/>
      </c>
      <c r="CA424" s="124" t="str">
        <f>IF($B424="","",IFERROR(-AK424,"n.b."))</f>
        <v/>
      </c>
      <c r="CB424" s="124" t="str">
        <f>IF($B424="","",IFERROR(-AL424,"n.b."))</f>
        <v/>
      </c>
      <c r="CC424" s="124" t="str">
        <f>IF($B424="","",IFERROR(-AP424,"n.b."))</f>
        <v/>
      </c>
      <c r="CD424" s="124" t="str">
        <f>IF($B424="","",IFERROR(-AQ424,"n.b."))</f>
        <v/>
      </c>
      <c r="CE424" s="124" t="str">
        <f>IF($B424="","",IFERROR(-AR424,"n.b."))</f>
        <v/>
      </c>
      <c r="CF424" s="124" t="str">
        <f>IF($B424="","",IFERROR(-AS424,"n.b."))</f>
        <v/>
      </c>
      <c r="CG424" s="124" t="str">
        <f>IF($B424="","",IFERROR(-AT424,"n.b."))</f>
        <v/>
      </c>
      <c r="CH424" s="124" t="str">
        <f>IF($B424="","",IFERROR(-AU424,"n.b."))</f>
        <v/>
      </c>
      <c r="CI424" s="124" t="str">
        <f>IF($B424="","",IFERROR(-AV424,"n.b."))</f>
        <v/>
      </c>
      <c r="CJ424" s="124" t="str">
        <f>IF($B424="","",IFERROR(-AW424,"n.b."))</f>
        <v/>
      </c>
      <c r="CK424" s="124" t="str">
        <f>IF($B424="","",IFERROR(-AX424,"n.b."))</f>
        <v/>
      </c>
      <c r="CL424" s="124" t="str">
        <f>IF($B424="","",IFERROR(-AY424,"n.b."))</f>
        <v/>
      </c>
      <c r="CM424" s="124" t="str">
        <f>IF($B424="","",IFERROR(-AZ424,"n.b."))</f>
        <v/>
      </c>
      <c r="CN424" s="124" t="str">
        <f>IF($B424="","",IFERROR(-BA424,"n.b."))</f>
        <v/>
      </c>
      <c r="CO424" s="124" t="str">
        <f>IF($B424="","",IFERROR(-BB424,"n.b."))</f>
        <v/>
      </c>
      <c r="CP424" s="124" t="str">
        <f>IF($B424="","",IFERROR(-BC424,"n.b."))</f>
        <v/>
      </c>
      <c r="CQ424" s="124" t="str">
        <f>IF($B424="","",IFERROR(-BD424,"n.b."))</f>
        <v/>
      </c>
      <c r="CR424" s="124" t="str">
        <f>IF($B424="","",IFERROR(-BE424,"n.b."))</f>
        <v/>
      </c>
      <c r="CS424" s="124" t="str">
        <f>IF($B424="","",IFERROR(IF(OR(ABS(T424+V424+X424+Z424-AB424)&gt;P_Tol,ABS(U424+W424+Y424+AA424-AD424)&gt;P_Tol,ABS(AE424+AG424+AI424+AK424-AM424)&gt;P_Tol,ABS(AF424+AH424+AJ424+AL424-AO424)&gt;P_Tol),1,0),1))</f>
        <v/>
      </c>
      <c r="CT424" s="124" t="str">
        <f>IF($B424="","",IFERROR(IF(OR(ABS(AB424+AC424-AD424)&gt;P_Tol,ABS(AM424+AN424-AO424)&gt;P_Tol,ABS(O424+P424-Q424)&gt;P_Tol),1,0),1))</f>
        <v/>
      </c>
      <c r="CU424" s="124" t="str">
        <f>IF($B424="","",IFERROR(IF(ABS(R424-(AB424+AM424+AP424+AR424+AT424+AV424+AX424+AZ424+BB424+BD424))&gt;P_Tol,1,0),1))</f>
        <v/>
      </c>
      <c r="CV424" s="124" t="str">
        <f>IF($B424="","",IFERROR(IF(ABS(M424-(N424+O424+R424))&gt;P_Tol,1,0),1))</f>
        <v/>
      </c>
      <c r="CW424" s="124" t="str">
        <f>IF($B424="","",IF(COUNTIF(Mapping!$A$5:$A$104,B424)&gt;0,1,0))</f>
        <v/>
      </c>
      <c r="CX424" s="124" t="str">
        <f>IF($B424="","",COUNTIF($B$6:$B$505,B424))</f>
        <v/>
      </c>
      <c r="CY424" s="124" t="str">
        <f>IF($B424="","",COUNTIF(STG_Woningetalage!$B$6:$B$505,B424))</f>
        <v/>
      </c>
      <c r="CZ424" s="124" t="str">
        <f>IF($B424="","",IF(CW424=0,COUNTIF($CW$6:CW424,0),""))</f>
        <v/>
      </c>
    </row>
    <row r="425">
      <c r="A425" s="15" t="n">
        <v>421</v>
      </c>
      <c r="B425" t="str">
        <f>IF(B$3=0,"",IF(INDEX(SRC_ZPMW03!$A$1:$ZZ$501,$A425,B$3)&amp;""="","",INDEX(SRC_ZPMW03!$A$1:$ZZ$501,$A425,B$3)&amp;""))</f>
        <v/>
      </c>
      <c r="C425" t="str">
        <f>IF($B425="","",IF(C$3=0,"n.b.",INDEX(SRC_ZPMW03!$A$1:$ZZ$501,$A425,C$3)))</f>
        <v/>
      </c>
      <c r="D425" t="str">
        <f>IF($B425="","",IF(D$3=0,"n.b.",INDEX(SRC_ZPMW03!$A$1:$ZZ$501,$A425,D$3)))</f>
        <v/>
      </c>
      <c r="E425" t="str">
        <f>IF($B425="","",IF(E$3=0,"n.b.",INDEX(SRC_ZPMW03!$A$1:$ZZ$501,$A425,E$3)))</f>
        <v/>
      </c>
      <c r="F425" t="str">
        <f>IF($B425="","",IF(F$3=0,"n.b.",INDEX(SRC_ZPMW03!$A$1:$ZZ$501,$A425,F$3)))</f>
        <v/>
      </c>
      <c r="G425" t="str">
        <f>IF($B425="","",IF(G$3=0,"n.b.",INDEX(SRC_ZPMW03!$A$1:$ZZ$501,$A425,G$3)))</f>
        <v/>
      </c>
      <c r="H425" t="str">
        <f>IF($B425="","",IF(H$3=0,"n.b.",INDEX(SRC_ZPMW03!$A$1:$ZZ$501,$A425,H$3)))</f>
        <v/>
      </c>
      <c r="I425" t="str">
        <f>IF($B425="","",IF(I$3=0,"n.b.",INDEX(SRC_ZPMW03!$A$1:$ZZ$501,$A425,I$3)))</f>
        <v/>
      </c>
      <c r="J425" t="str">
        <f>IF($B425="","",IF(J$3=0,"n.b.",INDEX(SRC_ZPMW03!$A$1:$ZZ$501,$A425,J$3)))</f>
        <v/>
      </c>
      <c r="K425" t="str">
        <f>IF($B425="","",IF(K$3=0,"n.b.",INDEX(SRC_ZPMW03!$A$1:$ZZ$501,$A425,K$3)))</f>
        <v/>
      </c>
      <c r="L425" s="124" t="str">
        <f>IF($B425="","",IF(L$3=0,"n.b.",INDEX(SRC_ZPMW03!$A$1:$ZZ$501,$A425,L$3)))</f>
        <v/>
      </c>
      <c r="M425" s="124" t="str">
        <f>IF($B425="","",IF(M$3=0,"n.b.",INDEX(SRC_ZPMW03!$A$1:$ZZ$501,$A425,M$3)))</f>
        <v/>
      </c>
      <c r="N425" s="124" t="str">
        <f>IF($B425="","",IF(N$3=0,"n.b.",INDEX(SRC_ZPMW03!$A$1:$ZZ$501,$A425,N$3)))</f>
        <v/>
      </c>
      <c r="O425" s="124" t="str">
        <f>IF($B425="","",IF(O$3=0,"n.b.",INDEX(SRC_ZPMW03!$A$1:$ZZ$501,$A425,O$3)))</f>
        <v/>
      </c>
      <c r="P425" s="124" t="str">
        <f>IF($B425="","",IF(P$3=0,"n.b.",INDEX(SRC_ZPMW03!$A$1:$ZZ$501,$A425,P$3)))</f>
        <v/>
      </c>
      <c r="Q425" s="124" t="str">
        <f>IF($B425="","",IF(Q$3=0,"n.b.",INDEX(SRC_ZPMW03!$A$1:$ZZ$501,$A425,Q$3)))</f>
        <v/>
      </c>
      <c r="R425" s="124" t="str">
        <f>IF($B425="","",IF(R$3=0,"n.b.",INDEX(SRC_ZPMW03!$A$1:$ZZ$501,$A425,R$3)))</f>
        <v/>
      </c>
      <c r="S425" s="124" t="str">
        <f>IF($B425="","",IF(S$3=0,"n.b.",INDEX(SRC_ZPMW03!$A$1:$ZZ$501,$A425,S$3)))</f>
        <v/>
      </c>
      <c r="T425" s="124" t="str">
        <f>IF($B425="","",IF(T$3=0,"n.b.",INDEX(SRC_ZPMW03!$A$1:$ZZ$501,$A425,T$3)))</f>
        <v/>
      </c>
      <c r="U425" s="124" t="str">
        <f>IF($B425="","",IF(U$3=0,"n.b.",INDEX(SRC_ZPMW03!$A$1:$ZZ$501,$A425,U$3)))</f>
        <v/>
      </c>
      <c r="V425" s="124" t="str">
        <f>IF($B425="","",IF(V$3=0,"n.b.",INDEX(SRC_ZPMW03!$A$1:$ZZ$501,$A425,V$3)))</f>
        <v/>
      </c>
      <c r="W425" s="124" t="str">
        <f>IF($B425="","",IF(W$3=0,"n.b.",INDEX(SRC_ZPMW03!$A$1:$ZZ$501,$A425,W$3)))</f>
        <v/>
      </c>
      <c r="X425" s="124" t="str">
        <f>IF($B425="","",IF(X$3=0,"n.b.",INDEX(SRC_ZPMW03!$A$1:$ZZ$501,$A425,X$3)))</f>
        <v/>
      </c>
      <c r="Y425" s="124" t="str">
        <f>IF($B425="","",IF(Y$3=0,"n.b.",INDEX(SRC_ZPMW03!$A$1:$ZZ$501,$A425,Y$3)))</f>
        <v/>
      </c>
      <c r="Z425" s="124" t="str">
        <f>IF($B425="","",IF(Z$3=0,"n.b.",INDEX(SRC_ZPMW03!$A$1:$ZZ$501,$A425,Z$3)))</f>
        <v/>
      </c>
      <c r="AA425" s="124" t="str">
        <f>IF($B425="","",IF(AA$3=0,"n.b.",INDEX(SRC_ZPMW03!$A$1:$ZZ$501,$A425,AA$3)))</f>
        <v/>
      </c>
      <c r="AB425" s="124" t="str">
        <f>IF($B425="","",IF(AB$3=0,"n.b.",INDEX(SRC_ZPMW03!$A$1:$ZZ$501,$A425,AB$3)))</f>
        <v/>
      </c>
      <c r="AC425" s="124" t="str">
        <f>IF($B425="","",IF(AC$3=0,"n.b.",INDEX(SRC_ZPMW03!$A$1:$ZZ$501,$A425,AC$3)))</f>
        <v/>
      </c>
      <c r="AD425" s="124" t="str">
        <f>IF($B425="","",IF(AD$3=0,"n.b.",INDEX(SRC_ZPMW03!$A$1:$ZZ$501,$A425,AD$3)))</f>
        <v/>
      </c>
      <c r="AE425" s="124" t="str">
        <f>IF($B425="","",IF(AE$3=0,"n.b.",INDEX(SRC_ZPMW03!$A$1:$ZZ$501,$A425,AE$3)))</f>
        <v/>
      </c>
      <c r="AF425" s="124" t="str">
        <f>IF($B425="","",IF(AF$3=0,"n.b.",INDEX(SRC_ZPMW03!$A$1:$ZZ$501,$A425,AF$3)))</f>
        <v/>
      </c>
      <c r="AG425" s="124" t="str">
        <f>IF($B425="","",IF(AG$3=0,"n.b.",INDEX(SRC_ZPMW03!$A$1:$ZZ$501,$A425,AG$3)))</f>
        <v/>
      </c>
      <c r="AH425" s="124" t="str">
        <f>IF($B425="","",IF(AH$3=0,"n.b.",INDEX(SRC_ZPMW03!$A$1:$ZZ$501,$A425,AH$3)))</f>
        <v/>
      </c>
      <c r="AI425" s="124" t="str">
        <f>IF($B425="","",IF(AI$3=0,"n.b.",INDEX(SRC_ZPMW03!$A$1:$ZZ$501,$A425,AI$3)))</f>
        <v/>
      </c>
      <c r="AJ425" s="124" t="str">
        <f>IF($B425="","",IF(AJ$3=0,"n.b.",INDEX(SRC_ZPMW03!$A$1:$ZZ$501,$A425,AJ$3)))</f>
        <v/>
      </c>
      <c r="AK425" s="124" t="str">
        <f>IF($B425="","",IF(AK$3=0,"n.b.",INDEX(SRC_ZPMW03!$A$1:$ZZ$501,$A425,AK$3)))</f>
        <v/>
      </c>
      <c r="AL425" s="124" t="str">
        <f>IF($B425="","",IF(AL$3=0,"n.b.",INDEX(SRC_ZPMW03!$A$1:$ZZ$501,$A425,AL$3)))</f>
        <v/>
      </c>
      <c r="AM425" s="124" t="str">
        <f>IF($B425="","",IF(AM$3=0,"n.b.",INDEX(SRC_ZPMW03!$A$1:$ZZ$501,$A425,AM$3)))</f>
        <v/>
      </c>
      <c r="AN425" s="124" t="str">
        <f>IF($B425="","",IF(AN$3=0,"n.b.",INDEX(SRC_ZPMW03!$A$1:$ZZ$501,$A425,AN$3)))</f>
        <v/>
      </c>
      <c r="AO425" s="124" t="str">
        <f>IF($B425="","",IF(AO$3=0,"n.b.",INDEX(SRC_ZPMW03!$A$1:$ZZ$501,$A425,AO$3)))</f>
        <v/>
      </c>
      <c r="AP425" s="124" t="str">
        <f>IF($B425="","",IF(AP$3=0,"n.b.",INDEX(SRC_ZPMW03!$A$1:$ZZ$501,$A425,AP$3)))</f>
        <v/>
      </c>
      <c r="AQ425" s="124" t="str">
        <f>IF($B425="","",IF(AQ$3=0,"n.b.",INDEX(SRC_ZPMW03!$A$1:$ZZ$501,$A425,AQ$3)))</f>
        <v/>
      </c>
      <c r="AR425" s="124" t="str">
        <f>IF($B425="","",IF(AR$3=0,"n.b.",INDEX(SRC_ZPMW03!$A$1:$ZZ$501,$A425,AR$3)))</f>
        <v/>
      </c>
      <c r="AS425" s="124" t="str">
        <f>IF($B425="","",IF(AS$3=0,"n.b.",INDEX(SRC_ZPMW03!$A$1:$ZZ$501,$A425,AS$3)))</f>
        <v/>
      </c>
      <c r="AT425" s="124" t="str">
        <f>IF($B425="","",IF(AT$3=0,"n.b.",INDEX(SRC_ZPMW03!$A$1:$ZZ$501,$A425,AT$3)))</f>
        <v/>
      </c>
      <c r="AU425" s="124" t="str">
        <f>IF($B425="","",IF(AU$3=0,"n.b.",INDEX(SRC_ZPMW03!$A$1:$ZZ$501,$A425,AU$3)))</f>
        <v/>
      </c>
      <c r="AV425" s="124" t="str">
        <f>IF($B425="","",IF(AV$3=0,"n.b.",INDEX(SRC_ZPMW03!$A$1:$ZZ$501,$A425,AV$3)))</f>
        <v/>
      </c>
      <c r="AW425" s="124" t="str">
        <f>IF($B425="","",IF(AW$3=0,"n.b.",INDEX(SRC_ZPMW03!$A$1:$ZZ$501,$A425,AW$3)))</f>
        <v/>
      </c>
      <c r="AX425" s="124" t="str">
        <f>IF($B425="","",IF(AX$3=0,"n.b.",INDEX(SRC_ZPMW03!$A$1:$ZZ$501,$A425,AX$3)))</f>
        <v/>
      </c>
      <c r="AY425" s="124" t="str">
        <f>IF($B425="","",IF(AY$3=0,"n.b.",INDEX(SRC_ZPMW03!$A$1:$ZZ$501,$A425,AY$3)))</f>
        <v/>
      </c>
      <c r="AZ425" s="124" t="str">
        <f>IF($B425="","",IF(AZ$3=0,"n.b.",INDEX(SRC_ZPMW03!$A$1:$ZZ$501,$A425,AZ$3)))</f>
        <v/>
      </c>
      <c r="BA425" s="124" t="str">
        <f>IF($B425="","",IF(BA$3=0,"n.b.",INDEX(SRC_ZPMW03!$A$1:$ZZ$501,$A425,BA$3)))</f>
        <v/>
      </c>
      <c r="BB425" s="124" t="str">
        <f>IF($B425="","",IF(BB$3=0,"n.b.",INDEX(SRC_ZPMW03!$A$1:$ZZ$501,$A425,BB$3)))</f>
        <v/>
      </c>
      <c r="BC425" s="124" t="str">
        <f>IF($B425="","",IF(BC$3=0,"n.b.",INDEX(SRC_ZPMW03!$A$1:$ZZ$501,$A425,BC$3)))</f>
        <v/>
      </c>
      <c r="BD425" s="124" t="str">
        <f>IF($B425="","",IF(BD$3=0,"n.b.",INDEX(SRC_ZPMW03!$A$1:$ZZ$501,$A425,BD$3)))</f>
        <v/>
      </c>
      <c r="BE425" s="124" t="str">
        <f>IF($B425="","",IF(BE$3=0,"n.b.",INDEX(SRC_ZPMW03!$A$1:$ZZ$501,$A425,BE$3)))</f>
        <v/>
      </c>
      <c r="BF425" s="124" t="str">
        <f>IF($B425="","",IF(BF$3=0,"n.b.",INDEX(SRC_ZPMW03!$A$1:$ZZ$501,$A425,BF$3)))</f>
        <v/>
      </c>
      <c r="BG425" t="str">
        <f>IF($B425="","",IF(BG$3=0,"n.b.",INDEX(SRC_ZPMW03!$A$1:$ZZ$501,$A425,BG$3)))</f>
        <v/>
      </c>
      <c r="BH425" t="str">
        <f>IF($B425="","",IF(BH$3=0,"n.b.",INDEX(SRC_ZPMW03!$A$1:$ZZ$501,$A425,BH$3)))</f>
        <v/>
      </c>
      <c r="BI425" t="str">
        <f>IF($B425="","",IF(BI$3=0,"n.b.",INDEX(SRC_ZPMW03!$A$1:$ZZ$501,$A425,BI$3)))</f>
        <v/>
      </c>
      <c r="BJ425" t="str">
        <f>IF($B425="","",IF(BJ$3=0,"n.b.",INDEX(SRC_ZPMW03!$A$1:$ZZ$501,$A425,BJ$3)))</f>
        <v/>
      </c>
      <c r="BK425" s="124" t="str">
        <f>IF($B425="","",IFERROR(-O425,"n.b."))</f>
        <v/>
      </c>
      <c r="BL425" s="124" t="str">
        <f>IF($B425="","",IFERROR(-Q425,"n.b."))</f>
        <v/>
      </c>
      <c r="BM425" s="124" t="str">
        <f>IF($B425="","",IFERROR(-AB425,"n.b."))</f>
        <v/>
      </c>
      <c r="BN425" s="124" t="str">
        <f>IF($B425="","",IFERROR(-AD425,"n.b."))</f>
        <v/>
      </c>
      <c r="BO425" s="124" t="str">
        <f>IF($B425="","",IFERROR(BK425+BM425,"n.b."))</f>
        <v/>
      </c>
      <c r="BP425" s="124" t="str">
        <f>IF($B425="","",IFERROR(BL425+BN425,"n.b."))</f>
        <v/>
      </c>
      <c r="BQ425" s="124" t="str">
        <f>IF($B425="","",IFERROR(-AM425,"n.b."))</f>
        <v/>
      </c>
      <c r="BR425" s="124" t="str">
        <f>IF($B425="","",IFERROR(-AO425,"n.b."))</f>
        <v/>
      </c>
      <c r="BS425" s="124" t="str">
        <f>IF($B425="","",IFERROR(-Z425,"n.b."))</f>
        <v/>
      </c>
      <c r="BT425" s="124" t="str">
        <f>IF($B425="","",IFERROR(-AA425,"n.b."))</f>
        <v/>
      </c>
      <c r="BU425" s="124" t="str">
        <f>IF($B425="","",IFERROR(-AE425,"n.b."))</f>
        <v/>
      </c>
      <c r="BV425" s="124" t="str">
        <f>IF($B425="","",IFERROR(-AF425,"n.b."))</f>
        <v/>
      </c>
      <c r="BW425" s="124" t="str">
        <f>IF($B425="","",IFERROR(-AG425,"n.b."))</f>
        <v/>
      </c>
      <c r="BX425" s="124" t="str">
        <f>IF($B425="","",IFERROR(-AH425,"n.b."))</f>
        <v/>
      </c>
      <c r="BY425" s="124" t="str">
        <f>IF($B425="","",IFERROR(-AI425,"n.b."))</f>
        <v/>
      </c>
      <c r="BZ425" s="124" t="str">
        <f>IF($B425="","",IFERROR(-AJ425,"n.b."))</f>
        <v/>
      </c>
      <c r="CA425" s="124" t="str">
        <f>IF($B425="","",IFERROR(-AK425,"n.b."))</f>
        <v/>
      </c>
      <c r="CB425" s="124" t="str">
        <f>IF($B425="","",IFERROR(-AL425,"n.b."))</f>
        <v/>
      </c>
      <c r="CC425" s="124" t="str">
        <f>IF($B425="","",IFERROR(-AP425,"n.b."))</f>
        <v/>
      </c>
      <c r="CD425" s="124" t="str">
        <f>IF($B425="","",IFERROR(-AQ425,"n.b."))</f>
        <v/>
      </c>
      <c r="CE425" s="124" t="str">
        <f>IF($B425="","",IFERROR(-AR425,"n.b."))</f>
        <v/>
      </c>
      <c r="CF425" s="124" t="str">
        <f>IF($B425="","",IFERROR(-AS425,"n.b."))</f>
        <v/>
      </c>
      <c r="CG425" s="124" t="str">
        <f>IF($B425="","",IFERROR(-AT425,"n.b."))</f>
        <v/>
      </c>
      <c r="CH425" s="124" t="str">
        <f>IF($B425="","",IFERROR(-AU425,"n.b."))</f>
        <v/>
      </c>
      <c r="CI425" s="124" t="str">
        <f>IF($B425="","",IFERROR(-AV425,"n.b."))</f>
        <v/>
      </c>
      <c r="CJ425" s="124" t="str">
        <f>IF($B425="","",IFERROR(-AW425,"n.b."))</f>
        <v/>
      </c>
      <c r="CK425" s="124" t="str">
        <f>IF($B425="","",IFERROR(-AX425,"n.b."))</f>
        <v/>
      </c>
      <c r="CL425" s="124" t="str">
        <f>IF($B425="","",IFERROR(-AY425,"n.b."))</f>
        <v/>
      </c>
      <c r="CM425" s="124" t="str">
        <f>IF($B425="","",IFERROR(-AZ425,"n.b."))</f>
        <v/>
      </c>
      <c r="CN425" s="124" t="str">
        <f>IF($B425="","",IFERROR(-BA425,"n.b."))</f>
        <v/>
      </c>
      <c r="CO425" s="124" t="str">
        <f>IF($B425="","",IFERROR(-BB425,"n.b."))</f>
        <v/>
      </c>
      <c r="CP425" s="124" t="str">
        <f>IF($B425="","",IFERROR(-BC425,"n.b."))</f>
        <v/>
      </c>
      <c r="CQ425" s="124" t="str">
        <f>IF($B425="","",IFERROR(-BD425,"n.b."))</f>
        <v/>
      </c>
      <c r="CR425" s="124" t="str">
        <f>IF($B425="","",IFERROR(-BE425,"n.b."))</f>
        <v/>
      </c>
      <c r="CS425" s="124" t="str">
        <f>IF($B425="","",IFERROR(IF(OR(ABS(T425+V425+X425+Z425-AB425)&gt;P_Tol,ABS(U425+W425+Y425+AA425-AD425)&gt;P_Tol,ABS(AE425+AG425+AI425+AK425-AM425)&gt;P_Tol,ABS(AF425+AH425+AJ425+AL425-AO425)&gt;P_Tol),1,0),1))</f>
        <v/>
      </c>
      <c r="CT425" s="124" t="str">
        <f>IF($B425="","",IFERROR(IF(OR(ABS(AB425+AC425-AD425)&gt;P_Tol,ABS(AM425+AN425-AO425)&gt;P_Tol,ABS(O425+P425-Q425)&gt;P_Tol),1,0),1))</f>
        <v/>
      </c>
      <c r="CU425" s="124" t="str">
        <f>IF($B425="","",IFERROR(IF(ABS(R425-(AB425+AM425+AP425+AR425+AT425+AV425+AX425+AZ425+BB425+BD425))&gt;P_Tol,1,0),1))</f>
        <v/>
      </c>
      <c r="CV425" s="124" t="str">
        <f>IF($B425="","",IFERROR(IF(ABS(M425-(N425+O425+R425))&gt;P_Tol,1,0),1))</f>
        <v/>
      </c>
      <c r="CW425" s="124" t="str">
        <f>IF($B425="","",IF(COUNTIF(Mapping!$A$5:$A$104,B425)&gt;0,1,0))</f>
        <v/>
      </c>
      <c r="CX425" s="124" t="str">
        <f>IF($B425="","",COUNTIF($B$6:$B$505,B425))</f>
        <v/>
      </c>
      <c r="CY425" s="124" t="str">
        <f>IF($B425="","",COUNTIF(STG_Woningetalage!$B$6:$B$505,B425))</f>
        <v/>
      </c>
      <c r="CZ425" s="124" t="str">
        <f>IF($B425="","",IF(CW425=0,COUNTIF($CW$6:CW425,0),""))</f>
        <v/>
      </c>
    </row>
    <row r="426">
      <c r="A426" s="15" t="n">
        <v>422</v>
      </c>
      <c r="B426" t="str">
        <f>IF(B$3=0,"",IF(INDEX(SRC_ZPMW03!$A$1:$ZZ$501,$A426,B$3)&amp;""="","",INDEX(SRC_ZPMW03!$A$1:$ZZ$501,$A426,B$3)&amp;""))</f>
        <v/>
      </c>
      <c r="C426" t="str">
        <f>IF($B426="","",IF(C$3=0,"n.b.",INDEX(SRC_ZPMW03!$A$1:$ZZ$501,$A426,C$3)))</f>
        <v/>
      </c>
      <c r="D426" t="str">
        <f>IF($B426="","",IF(D$3=0,"n.b.",INDEX(SRC_ZPMW03!$A$1:$ZZ$501,$A426,D$3)))</f>
        <v/>
      </c>
      <c r="E426" t="str">
        <f>IF($B426="","",IF(E$3=0,"n.b.",INDEX(SRC_ZPMW03!$A$1:$ZZ$501,$A426,E$3)))</f>
        <v/>
      </c>
      <c r="F426" t="str">
        <f>IF($B426="","",IF(F$3=0,"n.b.",INDEX(SRC_ZPMW03!$A$1:$ZZ$501,$A426,F$3)))</f>
        <v/>
      </c>
      <c r="G426" t="str">
        <f>IF($B426="","",IF(G$3=0,"n.b.",INDEX(SRC_ZPMW03!$A$1:$ZZ$501,$A426,G$3)))</f>
        <v/>
      </c>
      <c r="H426" t="str">
        <f>IF($B426="","",IF(H$3=0,"n.b.",INDEX(SRC_ZPMW03!$A$1:$ZZ$501,$A426,H$3)))</f>
        <v/>
      </c>
      <c r="I426" t="str">
        <f>IF($B426="","",IF(I$3=0,"n.b.",INDEX(SRC_ZPMW03!$A$1:$ZZ$501,$A426,I$3)))</f>
        <v/>
      </c>
      <c r="J426" t="str">
        <f>IF($B426="","",IF(J$3=0,"n.b.",INDEX(SRC_ZPMW03!$A$1:$ZZ$501,$A426,J$3)))</f>
        <v/>
      </c>
      <c r="K426" t="str">
        <f>IF($B426="","",IF(K$3=0,"n.b.",INDEX(SRC_ZPMW03!$A$1:$ZZ$501,$A426,K$3)))</f>
        <v/>
      </c>
      <c r="L426" s="124" t="str">
        <f>IF($B426="","",IF(L$3=0,"n.b.",INDEX(SRC_ZPMW03!$A$1:$ZZ$501,$A426,L$3)))</f>
        <v/>
      </c>
      <c r="M426" s="124" t="str">
        <f>IF($B426="","",IF(M$3=0,"n.b.",INDEX(SRC_ZPMW03!$A$1:$ZZ$501,$A426,M$3)))</f>
        <v/>
      </c>
      <c r="N426" s="124" t="str">
        <f>IF($B426="","",IF(N$3=0,"n.b.",INDEX(SRC_ZPMW03!$A$1:$ZZ$501,$A426,N$3)))</f>
        <v/>
      </c>
      <c r="O426" s="124" t="str">
        <f>IF($B426="","",IF(O$3=0,"n.b.",INDEX(SRC_ZPMW03!$A$1:$ZZ$501,$A426,O$3)))</f>
        <v/>
      </c>
      <c r="P426" s="124" t="str">
        <f>IF($B426="","",IF(P$3=0,"n.b.",INDEX(SRC_ZPMW03!$A$1:$ZZ$501,$A426,P$3)))</f>
        <v/>
      </c>
      <c r="Q426" s="124" t="str">
        <f>IF($B426="","",IF(Q$3=0,"n.b.",INDEX(SRC_ZPMW03!$A$1:$ZZ$501,$A426,Q$3)))</f>
        <v/>
      </c>
      <c r="R426" s="124" t="str">
        <f>IF($B426="","",IF(R$3=0,"n.b.",INDEX(SRC_ZPMW03!$A$1:$ZZ$501,$A426,R$3)))</f>
        <v/>
      </c>
      <c r="S426" s="124" t="str">
        <f>IF($B426="","",IF(S$3=0,"n.b.",INDEX(SRC_ZPMW03!$A$1:$ZZ$501,$A426,S$3)))</f>
        <v/>
      </c>
      <c r="T426" s="124" t="str">
        <f>IF($B426="","",IF(T$3=0,"n.b.",INDEX(SRC_ZPMW03!$A$1:$ZZ$501,$A426,T$3)))</f>
        <v/>
      </c>
      <c r="U426" s="124" t="str">
        <f>IF($B426="","",IF(U$3=0,"n.b.",INDEX(SRC_ZPMW03!$A$1:$ZZ$501,$A426,U$3)))</f>
        <v/>
      </c>
      <c r="V426" s="124" t="str">
        <f>IF($B426="","",IF(V$3=0,"n.b.",INDEX(SRC_ZPMW03!$A$1:$ZZ$501,$A426,V$3)))</f>
        <v/>
      </c>
      <c r="W426" s="124" t="str">
        <f>IF($B426="","",IF(W$3=0,"n.b.",INDEX(SRC_ZPMW03!$A$1:$ZZ$501,$A426,W$3)))</f>
        <v/>
      </c>
      <c r="X426" s="124" t="str">
        <f>IF($B426="","",IF(X$3=0,"n.b.",INDEX(SRC_ZPMW03!$A$1:$ZZ$501,$A426,X$3)))</f>
        <v/>
      </c>
      <c r="Y426" s="124" t="str">
        <f>IF($B426="","",IF(Y$3=0,"n.b.",INDEX(SRC_ZPMW03!$A$1:$ZZ$501,$A426,Y$3)))</f>
        <v/>
      </c>
      <c r="Z426" s="124" t="str">
        <f>IF($B426="","",IF(Z$3=0,"n.b.",INDEX(SRC_ZPMW03!$A$1:$ZZ$501,$A426,Z$3)))</f>
        <v/>
      </c>
      <c r="AA426" s="124" t="str">
        <f>IF($B426="","",IF(AA$3=0,"n.b.",INDEX(SRC_ZPMW03!$A$1:$ZZ$501,$A426,AA$3)))</f>
        <v/>
      </c>
      <c r="AB426" s="124" t="str">
        <f>IF($B426="","",IF(AB$3=0,"n.b.",INDEX(SRC_ZPMW03!$A$1:$ZZ$501,$A426,AB$3)))</f>
        <v/>
      </c>
      <c r="AC426" s="124" t="str">
        <f>IF($B426="","",IF(AC$3=0,"n.b.",INDEX(SRC_ZPMW03!$A$1:$ZZ$501,$A426,AC$3)))</f>
        <v/>
      </c>
      <c r="AD426" s="124" t="str">
        <f>IF($B426="","",IF(AD$3=0,"n.b.",INDEX(SRC_ZPMW03!$A$1:$ZZ$501,$A426,AD$3)))</f>
        <v/>
      </c>
      <c r="AE426" s="124" t="str">
        <f>IF($B426="","",IF(AE$3=0,"n.b.",INDEX(SRC_ZPMW03!$A$1:$ZZ$501,$A426,AE$3)))</f>
        <v/>
      </c>
      <c r="AF426" s="124" t="str">
        <f>IF($B426="","",IF(AF$3=0,"n.b.",INDEX(SRC_ZPMW03!$A$1:$ZZ$501,$A426,AF$3)))</f>
        <v/>
      </c>
      <c r="AG426" s="124" t="str">
        <f>IF($B426="","",IF(AG$3=0,"n.b.",INDEX(SRC_ZPMW03!$A$1:$ZZ$501,$A426,AG$3)))</f>
        <v/>
      </c>
      <c r="AH426" s="124" t="str">
        <f>IF($B426="","",IF(AH$3=0,"n.b.",INDEX(SRC_ZPMW03!$A$1:$ZZ$501,$A426,AH$3)))</f>
        <v/>
      </c>
      <c r="AI426" s="124" t="str">
        <f>IF($B426="","",IF(AI$3=0,"n.b.",INDEX(SRC_ZPMW03!$A$1:$ZZ$501,$A426,AI$3)))</f>
        <v/>
      </c>
      <c r="AJ426" s="124" t="str">
        <f>IF($B426="","",IF(AJ$3=0,"n.b.",INDEX(SRC_ZPMW03!$A$1:$ZZ$501,$A426,AJ$3)))</f>
        <v/>
      </c>
      <c r="AK426" s="124" t="str">
        <f>IF($B426="","",IF(AK$3=0,"n.b.",INDEX(SRC_ZPMW03!$A$1:$ZZ$501,$A426,AK$3)))</f>
        <v/>
      </c>
      <c r="AL426" s="124" t="str">
        <f>IF($B426="","",IF(AL$3=0,"n.b.",INDEX(SRC_ZPMW03!$A$1:$ZZ$501,$A426,AL$3)))</f>
        <v/>
      </c>
      <c r="AM426" s="124" t="str">
        <f>IF($B426="","",IF(AM$3=0,"n.b.",INDEX(SRC_ZPMW03!$A$1:$ZZ$501,$A426,AM$3)))</f>
        <v/>
      </c>
      <c r="AN426" s="124" t="str">
        <f>IF($B426="","",IF(AN$3=0,"n.b.",INDEX(SRC_ZPMW03!$A$1:$ZZ$501,$A426,AN$3)))</f>
        <v/>
      </c>
      <c r="AO426" s="124" t="str">
        <f>IF($B426="","",IF(AO$3=0,"n.b.",INDEX(SRC_ZPMW03!$A$1:$ZZ$501,$A426,AO$3)))</f>
        <v/>
      </c>
      <c r="AP426" s="124" t="str">
        <f>IF($B426="","",IF(AP$3=0,"n.b.",INDEX(SRC_ZPMW03!$A$1:$ZZ$501,$A426,AP$3)))</f>
        <v/>
      </c>
      <c r="AQ426" s="124" t="str">
        <f>IF($B426="","",IF(AQ$3=0,"n.b.",INDEX(SRC_ZPMW03!$A$1:$ZZ$501,$A426,AQ$3)))</f>
        <v/>
      </c>
      <c r="AR426" s="124" t="str">
        <f>IF($B426="","",IF(AR$3=0,"n.b.",INDEX(SRC_ZPMW03!$A$1:$ZZ$501,$A426,AR$3)))</f>
        <v/>
      </c>
      <c r="AS426" s="124" t="str">
        <f>IF($B426="","",IF(AS$3=0,"n.b.",INDEX(SRC_ZPMW03!$A$1:$ZZ$501,$A426,AS$3)))</f>
        <v/>
      </c>
      <c r="AT426" s="124" t="str">
        <f>IF($B426="","",IF(AT$3=0,"n.b.",INDEX(SRC_ZPMW03!$A$1:$ZZ$501,$A426,AT$3)))</f>
        <v/>
      </c>
      <c r="AU426" s="124" t="str">
        <f>IF($B426="","",IF(AU$3=0,"n.b.",INDEX(SRC_ZPMW03!$A$1:$ZZ$501,$A426,AU$3)))</f>
        <v/>
      </c>
      <c r="AV426" s="124" t="str">
        <f>IF($B426="","",IF(AV$3=0,"n.b.",INDEX(SRC_ZPMW03!$A$1:$ZZ$501,$A426,AV$3)))</f>
        <v/>
      </c>
      <c r="AW426" s="124" t="str">
        <f>IF($B426="","",IF(AW$3=0,"n.b.",INDEX(SRC_ZPMW03!$A$1:$ZZ$501,$A426,AW$3)))</f>
        <v/>
      </c>
      <c r="AX426" s="124" t="str">
        <f>IF($B426="","",IF(AX$3=0,"n.b.",INDEX(SRC_ZPMW03!$A$1:$ZZ$501,$A426,AX$3)))</f>
        <v/>
      </c>
      <c r="AY426" s="124" t="str">
        <f>IF($B426="","",IF(AY$3=0,"n.b.",INDEX(SRC_ZPMW03!$A$1:$ZZ$501,$A426,AY$3)))</f>
        <v/>
      </c>
      <c r="AZ426" s="124" t="str">
        <f>IF($B426="","",IF(AZ$3=0,"n.b.",INDEX(SRC_ZPMW03!$A$1:$ZZ$501,$A426,AZ$3)))</f>
        <v/>
      </c>
      <c r="BA426" s="124" t="str">
        <f>IF($B426="","",IF(BA$3=0,"n.b.",INDEX(SRC_ZPMW03!$A$1:$ZZ$501,$A426,BA$3)))</f>
        <v/>
      </c>
      <c r="BB426" s="124" t="str">
        <f>IF($B426="","",IF(BB$3=0,"n.b.",INDEX(SRC_ZPMW03!$A$1:$ZZ$501,$A426,BB$3)))</f>
        <v/>
      </c>
      <c r="BC426" s="124" t="str">
        <f>IF($B426="","",IF(BC$3=0,"n.b.",INDEX(SRC_ZPMW03!$A$1:$ZZ$501,$A426,BC$3)))</f>
        <v/>
      </c>
      <c r="BD426" s="124" t="str">
        <f>IF($B426="","",IF(BD$3=0,"n.b.",INDEX(SRC_ZPMW03!$A$1:$ZZ$501,$A426,BD$3)))</f>
        <v/>
      </c>
      <c r="BE426" s="124" t="str">
        <f>IF($B426="","",IF(BE$3=0,"n.b.",INDEX(SRC_ZPMW03!$A$1:$ZZ$501,$A426,BE$3)))</f>
        <v/>
      </c>
      <c r="BF426" s="124" t="str">
        <f>IF($B426="","",IF(BF$3=0,"n.b.",INDEX(SRC_ZPMW03!$A$1:$ZZ$501,$A426,BF$3)))</f>
        <v/>
      </c>
      <c r="BG426" t="str">
        <f>IF($B426="","",IF(BG$3=0,"n.b.",INDEX(SRC_ZPMW03!$A$1:$ZZ$501,$A426,BG$3)))</f>
        <v/>
      </c>
      <c r="BH426" t="str">
        <f>IF($B426="","",IF(BH$3=0,"n.b.",INDEX(SRC_ZPMW03!$A$1:$ZZ$501,$A426,BH$3)))</f>
        <v/>
      </c>
      <c r="BI426" t="str">
        <f>IF($B426="","",IF(BI$3=0,"n.b.",INDEX(SRC_ZPMW03!$A$1:$ZZ$501,$A426,BI$3)))</f>
        <v/>
      </c>
      <c r="BJ426" t="str">
        <f>IF($B426="","",IF(BJ$3=0,"n.b.",INDEX(SRC_ZPMW03!$A$1:$ZZ$501,$A426,BJ$3)))</f>
        <v/>
      </c>
      <c r="BK426" s="124" t="str">
        <f>IF($B426="","",IFERROR(-O426,"n.b."))</f>
        <v/>
      </c>
      <c r="BL426" s="124" t="str">
        <f>IF($B426="","",IFERROR(-Q426,"n.b."))</f>
        <v/>
      </c>
      <c r="BM426" s="124" t="str">
        <f>IF($B426="","",IFERROR(-AB426,"n.b."))</f>
        <v/>
      </c>
      <c r="BN426" s="124" t="str">
        <f>IF($B426="","",IFERROR(-AD426,"n.b."))</f>
        <v/>
      </c>
      <c r="BO426" s="124" t="str">
        <f>IF($B426="","",IFERROR(BK426+BM426,"n.b."))</f>
        <v/>
      </c>
      <c r="BP426" s="124" t="str">
        <f>IF($B426="","",IFERROR(BL426+BN426,"n.b."))</f>
        <v/>
      </c>
      <c r="BQ426" s="124" t="str">
        <f>IF($B426="","",IFERROR(-AM426,"n.b."))</f>
        <v/>
      </c>
      <c r="BR426" s="124" t="str">
        <f>IF($B426="","",IFERROR(-AO426,"n.b."))</f>
        <v/>
      </c>
      <c r="BS426" s="124" t="str">
        <f>IF($B426="","",IFERROR(-Z426,"n.b."))</f>
        <v/>
      </c>
      <c r="BT426" s="124" t="str">
        <f>IF($B426="","",IFERROR(-AA426,"n.b."))</f>
        <v/>
      </c>
      <c r="BU426" s="124" t="str">
        <f>IF($B426="","",IFERROR(-AE426,"n.b."))</f>
        <v/>
      </c>
      <c r="BV426" s="124" t="str">
        <f>IF($B426="","",IFERROR(-AF426,"n.b."))</f>
        <v/>
      </c>
      <c r="BW426" s="124" t="str">
        <f>IF($B426="","",IFERROR(-AG426,"n.b."))</f>
        <v/>
      </c>
      <c r="BX426" s="124" t="str">
        <f>IF($B426="","",IFERROR(-AH426,"n.b."))</f>
        <v/>
      </c>
      <c r="BY426" s="124" t="str">
        <f>IF($B426="","",IFERROR(-AI426,"n.b."))</f>
        <v/>
      </c>
      <c r="BZ426" s="124" t="str">
        <f>IF($B426="","",IFERROR(-AJ426,"n.b."))</f>
        <v/>
      </c>
      <c r="CA426" s="124" t="str">
        <f>IF($B426="","",IFERROR(-AK426,"n.b."))</f>
        <v/>
      </c>
      <c r="CB426" s="124" t="str">
        <f>IF($B426="","",IFERROR(-AL426,"n.b."))</f>
        <v/>
      </c>
      <c r="CC426" s="124" t="str">
        <f>IF($B426="","",IFERROR(-AP426,"n.b."))</f>
        <v/>
      </c>
      <c r="CD426" s="124" t="str">
        <f>IF($B426="","",IFERROR(-AQ426,"n.b."))</f>
        <v/>
      </c>
      <c r="CE426" s="124" t="str">
        <f>IF($B426="","",IFERROR(-AR426,"n.b."))</f>
        <v/>
      </c>
      <c r="CF426" s="124" t="str">
        <f>IF($B426="","",IFERROR(-AS426,"n.b."))</f>
        <v/>
      </c>
      <c r="CG426" s="124" t="str">
        <f>IF($B426="","",IFERROR(-AT426,"n.b."))</f>
        <v/>
      </c>
      <c r="CH426" s="124" t="str">
        <f>IF($B426="","",IFERROR(-AU426,"n.b."))</f>
        <v/>
      </c>
      <c r="CI426" s="124" t="str">
        <f>IF($B426="","",IFERROR(-AV426,"n.b."))</f>
        <v/>
      </c>
      <c r="CJ426" s="124" t="str">
        <f>IF($B426="","",IFERROR(-AW426,"n.b."))</f>
        <v/>
      </c>
      <c r="CK426" s="124" t="str">
        <f>IF($B426="","",IFERROR(-AX426,"n.b."))</f>
        <v/>
      </c>
      <c r="CL426" s="124" t="str">
        <f>IF($B426="","",IFERROR(-AY426,"n.b."))</f>
        <v/>
      </c>
      <c r="CM426" s="124" t="str">
        <f>IF($B426="","",IFERROR(-AZ426,"n.b."))</f>
        <v/>
      </c>
      <c r="CN426" s="124" t="str">
        <f>IF($B426="","",IFERROR(-BA426,"n.b."))</f>
        <v/>
      </c>
      <c r="CO426" s="124" t="str">
        <f>IF($B426="","",IFERROR(-BB426,"n.b."))</f>
        <v/>
      </c>
      <c r="CP426" s="124" t="str">
        <f>IF($B426="","",IFERROR(-BC426,"n.b."))</f>
        <v/>
      </c>
      <c r="CQ426" s="124" t="str">
        <f>IF($B426="","",IFERROR(-BD426,"n.b."))</f>
        <v/>
      </c>
      <c r="CR426" s="124" t="str">
        <f>IF($B426="","",IFERROR(-BE426,"n.b."))</f>
        <v/>
      </c>
      <c r="CS426" s="124" t="str">
        <f>IF($B426="","",IFERROR(IF(OR(ABS(T426+V426+X426+Z426-AB426)&gt;P_Tol,ABS(U426+W426+Y426+AA426-AD426)&gt;P_Tol,ABS(AE426+AG426+AI426+AK426-AM426)&gt;P_Tol,ABS(AF426+AH426+AJ426+AL426-AO426)&gt;P_Tol),1,0),1))</f>
        <v/>
      </c>
      <c r="CT426" s="124" t="str">
        <f>IF($B426="","",IFERROR(IF(OR(ABS(AB426+AC426-AD426)&gt;P_Tol,ABS(AM426+AN426-AO426)&gt;P_Tol,ABS(O426+P426-Q426)&gt;P_Tol),1,0),1))</f>
        <v/>
      </c>
      <c r="CU426" s="124" t="str">
        <f>IF($B426="","",IFERROR(IF(ABS(R426-(AB426+AM426+AP426+AR426+AT426+AV426+AX426+AZ426+BB426+BD426))&gt;P_Tol,1,0),1))</f>
        <v/>
      </c>
      <c r="CV426" s="124" t="str">
        <f>IF($B426="","",IFERROR(IF(ABS(M426-(N426+O426+R426))&gt;P_Tol,1,0),1))</f>
        <v/>
      </c>
      <c r="CW426" s="124" t="str">
        <f>IF($B426="","",IF(COUNTIF(Mapping!$A$5:$A$104,B426)&gt;0,1,0))</f>
        <v/>
      </c>
      <c r="CX426" s="124" t="str">
        <f>IF($B426="","",COUNTIF($B$6:$B$505,B426))</f>
        <v/>
      </c>
      <c r="CY426" s="124" t="str">
        <f>IF($B426="","",COUNTIF(STG_Woningetalage!$B$6:$B$505,B426))</f>
        <v/>
      </c>
      <c r="CZ426" s="124" t="str">
        <f>IF($B426="","",IF(CW426=0,COUNTIF($CW$6:CW426,0),""))</f>
        <v/>
      </c>
    </row>
    <row r="427">
      <c r="A427" s="15" t="n">
        <v>423</v>
      </c>
      <c r="B427" t="str">
        <f>IF(B$3=0,"",IF(INDEX(SRC_ZPMW03!$A$1:$ZZ$501,$A427,B$3)&amp;""="","",INDEX(SRC_ZPMW03!$A$1:$ZZ$501,$A427,B$3)&amp;""))</f>
        <v/>
      </c>
      <c r="C427" t="str">
        <f>IF($B427="","",IF(C$3=0,"n.b.",INDEX(SRC_ZPMW03!$A$1:$ZZ$501,$A427,C$3)))</f>
        <v/>
      </c>
      <c r="D427" t="str">
        <f>IF($B427="","",IF(D$3=0,"n.b.",INDEX(SRC_ZPMW03!$A$1:$ZZ$501,$A427,D$3)))</f>
        <v/>
      </c>
      <c r="E427" t="str">
        <f>IF($B427="","",IF(E$3=0,"n.b.",INDEX(SRC_ZPMW03!$A$1:$ZZ$501,$A427,E$3)))</f>
        <v/>
      </c>
      <c r="F427" t="str">
        <f>IF($B427="","",IF(F$3=0,"n.b.",INDEX(SRC_ZPMW03!$A$1:$ZZ$501,$A427,F$3)))</f>
        <v/>
      </c>
      <c r="G427" t="str">
        <f>IF($B427="","",IF(G$3=0,"n.b.",INDEX(SRC_ZPMW03!$A$1:$ZZ$501,$A427,G$3)))</f>
        <v/>
      </c>
      <c r="H427" t="str">
        <f>IF($B427="","",IF(H$3=0,"n.b.",INDEX(SRC_ZPMW03!$A$1:$ZZ$501,$A427,H$3)))</f>
        <v/>
      </c>
      <c r="I427" t="str">
        <f>IF($B427="","",IF(I$3=0,"n.b.",INDEX(SRC_ZPMW03!$A$1:$ZZ$501,$A427,I$3)))</f>
        <v/>
      </c>
      <c r="J427" t="str">
        <f>IF($B427="","",IF(J$3=0,"n.b.",INDEX(SRC_ZPMW03!$A$1:$ZZ$501,$A427,J$3)))</f>
        <v/>
      </c>
      <c r="K427" t="str">
        <f>IF($B427="","",IF(K$3=0,"n.b.",INDEX(SRC_ZPMW03!$A$1:$ZZ$501,$A427,K$3)))</f>
        <v/>
      </c>
      <c r="L427" s="124" t="str">
        <f>IF($B427="","",IF(L$3=0,"n.b.",INDEX(SRC_ZPMW03!$A$1:$ZZ$501,$A427,L$3)))</f>
        <v/>
      </c>
      <c r="M427" s="124" t="str">
        <f>IF($B427="","",IF(M$3=0,"n.b.",INDEX(SRC_ZPMW03!$A$1:$ZZ$501,$A427,M$3)))</f>
        <v/>
      </c>
      <c r="N427" s="124" t="str">
        <f>IF($B427="","",IF(N$3=0,"n.b.",INDEX(SRC_ZPMW03!$A$1:$ZZ$501,$A427,N$3)))</f>
        <v/>
      </c>
      <c r="O427" s="124" t="str">
        <f>IF($B427="","",IF(O$3=0,"n.b.",INDEX(SRC_ZPMW03!$A$1:$ZZ$501,$A427,O$3)))</f>
        <v/>
      </c>
      <c r="P427" s="124" t="str">
        <f>IF($B427="","",IF(P$3=0,"n.b.",INDEX(SRC_ZPMW03!$A$1:$ZZ$501,$A427,P$3)))</f>
        <v/>
      </c>
      <c r="Q427" s="124" t="str">
        <f>IF($B427="","",IF(Q$3=0,"n.b.",INDEX(SRC_ZPMW03!$A$1:$ZZ$501,$A427,Q$3)))</f>
        <v/>
      </c>
      <c r="R427" s="124" t="str">
        <f>IF($B427="","",IF(R$3=0,"n.b.",INDEX(SRC_ZPMW03!$A$1:$ZZ$501,$A427,R$3)))</f>
        <v/>
      </c>
      <c r="S427" s="124" t="str">
        <f>IF($B427="","",IF(S$3=0,"n.b.",INDEX(SRC_ZPMW03!$A$1:$ZZ$501,$A427,S$3)))</f>
        <v/>
      </c>
      <c r="T427" s="124" t="str">
        <f>IF($B427="","",IF(T$3=0,"n.b.",INDEX(SRC_ZPMW03!$A$1:$ZZ$501,$A427,T$3)))</f>
        <v/>
      </c>
      <c r="U427" s="124" t="str">
        <f>IF($B427="","",IF(U$3=0,"n.b.",INDEX(SRC_ZPMW03!$A$1:$ZZ$501,$A427,U$3)))</f>
        <v/>
      </c>
      <c r="V427" s="124" t="str">
        <f>IF($B427="","",IF(V$3=0,"n.b.",INDEX(SRC_ZPMW03!$A$1:$ZZ$501,$A427,V$3)))</f>
        <v/>
      </c>
      <c r="W427" s="124" t="str">
        <f>IF($B427="","",IF(W$3=0,"n.b.",INDEX(SRC_ZPMW03!$A$1:$ZZ$501,$A427,W$3)))</f>
        <v/>
      </c>
      <c r="X427" s="124" t="str">
        <f>IF($B427="","",IF(X$3=0,"n.b.",INDEX(SRC_ZPMW03!$A$1:$ZZ$501,$A427,X$3)))</f>
        <v/>
      </c>
      <c r="Y427" s="124" t="str">
        <f>IF($B427="","",IF(Y$3=0,"n.b.",INDEX(SRC_ZPMW03!$A$1:$ZZ$501,$A427,Y$3)))</f>
        <v/>
      </c>
      <c r="Z427" s="124" t="str">
        <f>IF($B427="","",IF(Z$3=0,"n.b.",INDEX(SRC_ZPMW03!$A$1:$ZZ$501,$A427,Z$3)))</f>
        <v/>
      </c>
      <c r="AA427" s="124" t="str">
        <f>IF($B427="","",IF(AA$3=0,"n.b.",INDEX(SRC_ZPMW03!$A$1:$ZZ$501,$A427,AA$3)))</f>
        <v/>
      </c>
      <c r="AB427" s="124" t="str">
        <f>IF($B427="","",IF(AB$3=0,"n.b.",INDEX(SRC_ZPMW03!$A$1:$ZZ$501,$A427,AB$3)))</f>
        <v/>
      </c>
      <c r="AC427" s="124" t="str">
        <f>IF($B427="","",IF(AC$3=0,"n.b.",INDEX(SRC_ZPMW03!$A$1:$ZZ$501,$A427,AC$3)))</f>
        <v/>
      </c>
      <c r="AD427" s="124" t="str">
        <f>IF($B427="","",IF(AD$3=0,"n.b.",INDEX(SRC_ZPMW03!$A$1:$ZZ$501,$A427,AD$3)))</f>
        <v/>
      </c>
      <c r="AE427" s="124" t="str">
        <f>IF($B427="","",IF(AE$3=0,"n.b.",INDEX(SRC_ZPMW03!$A$1:$ZZ$501,$A427,AE$3)))</f>
        <v/>
      </c>
      <c r="AF427" s="124" t="str">
        <f>IF($B427="","",IF(AF$3=0,"n.b.",INDEX(SRC_ZPMW03!$A$1:$ZZ$501,$A427,AF$3)))</f>
        <v/>
      </c>
      <c r="AG427" s="124" t="str">
        <f>IF($B427="","",IF(AG$3=0,"n.b.",INDEX(SRC_ZPMW03!$A$1:$ZZ$501,$A427,AG$3)))</f>
        <v/>
      </c>
      <c r="AH427" s="124" t="str">
        <f>IF($B427="","",IF(AH$3=0,"n.b.",INDEX(SRC_ZPMW03!$A$1:$ZZ$501,$A427,AH$3)))</f>
        <v/>
      </c>
      <c r="AI427" s="124" t="str">
        <f>IF($B427="","",IF(AI$3=0,"n.b.",INDEX(SRC_ZPMW03!$A$1:$ZZ$501,$A427,AI$3)))</f>
        <v/>
      </c>
      <c r="AJ427" s="124" t="str">
        <f>IF($B427="","",IF(AJ$3=0,"n.b.",INDEX(SRC_ZPMW03!$A$1:$ZZ$501,$A427,AJ$3)))</f>
        <v/>
      </c>
      <c r="AK427" s="124" t="str">
        <f>IF($B427="","",IF(AK$3=0,"n.b.",INDEX(SRC_ZPMW03!$A$1:$ZZ$501,$A427,AK$3)))</f>
        <v/>
      </c>
      <c r="AL427" s="124" t="str">
        <f>IF($B427="","",IF(AL$3=0,"n.b.",INDEX(SRC_ZPMW03!$A$1:$ZZ$501,$A427,AL$3)))</f>
        <v/>
      </c>
      <c r="AM427" s="124" t="str">
        <f>IF($B427="","",IF(AM$3=0,"n.b.",INDEX(SRC_ZPMW03!$A$1:$ZZ$501,$A427,AM$3)))</f>
        <v/>
      </c>
      <c r="AN427" s="124" t="str">
        <f>IF($B427="","",IF(AN$3=0,"n.b.",INDEX(SRC_ZPMW03!$A$1:$ZZ$501,$A427,AN$3)))</f>
        <v/>
      </c>
      <c r="AO427" s="124" t="str">
        <f>IF($B427="","",IF(AO$3=0,"n.b.",INDEX(SRC_ZPMW03!$A$1:$ZZ$501,$A427,AO$3)))</f>
        <v/>
      </c>
      <c r="AP427" s="124" t="str">
        <f>IF($B427="","",IF(AP$3=0,"n.b.",INDEX(SRC_ZPMW03!$A$1:$ZZ$501,$A427,AP$3)))</f>
        <v/>
      </c>
      <c r="AQ427" s="124" t="str">
        <f>IF($B427="","",IF(AQ$3=0,"n.b.",INDEX(SRC_ZPMW03!$A$1:$ZZ$501,$A427,AQ$3)))</f>
        <v/>
      </c>
      <c r="AR427" s="124" t="str">
        <f>IF($B427="","",IF(AR$3=0,"n.b.",INDEX(SRC_ZPMW03!$A$1:$ZZ$501,$A427,AR$3)))</f>
        <v/>
      </c>
      <c r="AS427" s="124" t="str">
        <f>IF($B427="","",IF(AS$3=0,"n.b.",INDEX(SRC_ZPMW03!$A$1:$ZZ$501,$A427,AS$3)))</f>
        <v/>
      </c>
      <c r="AT427" s="124" t="str">
        <f>IF($B427="","",IF(AT$3=0,"n.b.",INDEX(SRC_ZPMW03!$A$1:$ZZ$501,$A427,AT$3)))</f>
        <v/>
      </c>
      <c r="AU427" s="124" t="str">
        <f>IF($B427="","",IF(AU$3=0,"n.b.",INDEX(SRC_ZPMW03!$A$1:$ZZ$501,$A427,AU$3)))</f>
        <v/>
      </c>
      <c r="AV427" s="124" t="str">
        <f>IF($B427="","",IF(AV$3=0,"n.b.",INDEX(SRC_ZPMW03!$A$1:$ZZ$501,$A427,AV$3)))</f>
        <v/>
      </c>
      <c r="AW427" s="124" t="str">
        <f>IF($B427="","",IF(AW$3=0,"n.b.",INDEX(SRC_ZPMW03!$A$1:$ZZ$501,$A427,AW$3)))</f>
        <v/>
      </c>
      <c r="AX427" s="124" t="str">
        <f>IF($B427="","",IF(AX$3=0,"n.b.",INDEX(SRC_ZPMW03!$A$1:$ZZ$501,$A427,AX$3)))</f>
        <v/>
      </c>
      <c r="AY427" s="124" t="str">
        <f>IF($B427="","",IF(AY$3=0,"n.b.",INDEX(SRC_ZPMW03!$A$1:$ZZ$501,$A427,AY$3)))</f>
        <v/>
      </c>
      <c r="AZ427" s="124" t="str">
        <f>IF($B427="","",IF(AZ$3=0,"n.b.",INDEX(SRC_ZPMW03!$A$1:$ZZ$501,$A427,AZ$3)))</f>
        <v/>
      </c>
      <c r="BA427" s="124" t="str">
        <f>IF($B427="","",IF(BA$3=0,"n.b.",INDEX(SRC_ZPMW03!$A$1:$ZZ$501,$A427,BA$3)))</f>
        <v/>
      </c>
      <c r="BB427" s="124" t="str">
        <f>IF($B427="","",IF(BB$3=0,"n.b.",INDEX(SRC_ZPMW03!$A$1:$ZZ$501,$A427,BB$3)))</f>
        <v/>
      </c>
      <c r="BC427" s="124" t="str">
        <f>IF($B427="","",IF(BC$3=0,"n.b.",INDEX(SRC_ZPMW03!$A$1:$ZZ$501,$A427,BC$3)))</f>
        <v/>
      </c>
      <c r="BD427" s="124" t="str">
        <f>IF($B427="","",IF(BD$3=0,"n.b.",INDEX(SRC_ZPMW03!$A$1:$ZZ$501,$A427,BD$3)))</f>
        <v/>
      </c>
      <c r="BE427" s="124" t="str">
        <f>IF($B427="","",IF(BE$3=0,"n.b.",INDEX(SRC_ZPMW03!$A$1:$ZZ$501,$A427,BE$3)))</f>
        <v/>
      </c>
      <c r="BF427" s="124" t="str">
        <f>IF($B427="","",IF(BF$3=0,"n.b.",INDEX(SRC_ZPMW03!$A$1:$ZZ$501,$A427,BF$3)))</f>
        <v/>
      </c>
      <c r="BG427" t="str">
        <f>IF($B427="","",IF(BG$3=0,"n.b.",INDEX(SRC_ZPMW03!$A$1:$ZZ$501,$A427,BG$3)))</f>
        <v/>
      </c>
      <c r="BH427" t="str">
        <f>IF($B427="","",IF(BH$3=0,"n.b.",INDEX(SRC_ZPMW03!$A$1:$ZZ$501,$A427,BH$3)))</f>
        <v/>
      </c>
      <c r="BI427" t="str">
        <f>IF($B427="","",IF(BI$3=0,"n.b.",INDEX(SRC_ZPMW03!$A$1:$ZZ$501,$A427,BI$3)))</f>
        <v/>
      </c>
      <c r="BJ427" t="str">
        <f>IF($B427="","",IF(BJ$3=0,"n.b.",INDEX(SRC_ZPMW03!$A$1:$ZZ$501,$A427,BJ$3)))</f>
        <v/>
      </c>
      <c r="BK427" s="124" t="str">
        <f>IF($B427="","",IFERROR(-O427,"n.b."))</f>
        <v/>
      </c>
      <c r="BL427" s="124" t="str">
        <f>IF($B427="","",IFERROR(-Q427,"n.b."))</f>
        <v/>
      </c>
      <c r="BM427" s="124" t="str">
        <f>IF($B427="","",IFERROR(-AB427,"n.b."))</f>
        <v/>
      </c>
      <c r="BN427" s="124" t="str">
        <f>IF($B427="","",IFERROR(-AD427,"n.b."))</f>
        <v/>
      </c>
      <c r="BO427" s="124" t="str">
        <f>IF($B427="","",IFERROR(BK427+BM427,"n.b."))</f>
        <v/>
      </c>
      <c r="BP427" s="124" t="str">
        <f>IF($B427="","",IFERROR(BL427+BN427,"n.b."))</f>
        <v/>
      </c>
      <c r="BQ427" s="124" t="str">
        <f>IF($B427="","",IFERROR(-AM427,"n.b."))</f>
        <v/>
      </c>
      <c r="BR427" s="124" t="str">
        <f>IF($B427="","",IFERROR(-AO427,"n.b."))</f>
        <v/>
      </c>
      <c r="BS427" s="124" t="str">
        <f>IF($B427="","",IFERROR(-Z427,"n.b."))</f>
        <v/>
      </c>
      <c r="BT427" s="124" t="str">
        <f>IF($B427="","",IFERROR(-AA427,"n.b."))</f>
        <v/>
      </c>
      <c r="BU427" s="124" t="str">
        <f>IF($B427="","",IFERROR(-AE427,"n.b."))</f>
        <v/>
      </c>
      <c r="BV427" s="124" t="str">
        <f>IF($B427="","",IFERROR(-AF427,"n.b."))</f>
        <v/>
      </c>
      <c r="BW427" s="124" t="str">
        <f>IF($B427="","",IFERROR(-AG427,"n.b."))</f>
        <v/>
      </c>
      <c r="BX427" s="124" t="str">
        <f>IF($B427="","",IFERROR(-AH427,"n.b."))</f>
        <v/>
      </c>
      <c r="BY427" s="124" t="str">
        <f>IF($B427="","",IFERROR(-AI427,"n.b."))</f>
        <v/>
      </c>
      <c r="BZ427" s="124" t="str">
        <f>IF($B427="","",IFERROR(-AJ427,"n.b."))</f>
        <v/>
      </c>
      <c r="CA427" s="124" t="str">
        <f>IF($B427="","",IFERROR(-AK427,"n.b."))</f>
        <v/>
      </c>
      <c r="CB427" s="124" t="str">
        <f>IF($B427="","",IFERROR(-AL427,"n.b."))</f>
        <v/>
      </c>
      <c r="CC427" s="124" t="str">
        <f>IF($B427="","",IFERROR(-AP427,"n.b."))</f>
        <v/>
      </c>
      <c r="CD427" s="124" t="str">
        <f>IF($B427="","",IFERROR(-AQ427,"n.b."))</f>
        <v/>
      </c>
      <c r="CE427" s="124" t="str">
        <f>IF($B427="","",IFERROR(-AR427,"n.b."))</f>
        <v/>
      </c>
      <c r="CF427" s="124" t="str">
        <f>IF($B427="","",IFERROR(-AS427,"n.b."))</f>
        <v/>
      </c>
      <c r="CG427" s="124" t="str">
        <f>IF($B427="","",IFERROR(-AT427,"n.b."))</f>
        <v/>
      </c>
      <c r="CH427" s="124" t="str">
        <f>IF($B427="","",IFERROR(-AU427,"n.b."))</f>
        <v/>
      </c>
      <c r="CI427" s="124" t="str">
        <f>IF($B427="","",IFERROR(-AV427,"n.b."))</f>
        <v/>
      </c>
      <c r="CJ427" s="124" t="str">
        <f>IF($B427="","",IFERROR(-AW427,"n.b."))</f>
        <v/>
      </c>
      <c r="CK427" s="124" t="str">
        <f>IF($B427="","",IFERROR(-AX427,"n.b."))</f>
        <v/>
      </c>
      <c r="CL427" s="124" t="str">
        <f>IF($B427="","",IFERROR(-AY427,"n.b."))</f>
        <v/>
      </c>
      <c r="CM427" s="124" t="str">
        <f>IF($B427="","",IFERROR(-AZ427,"n.b."))</f>
        <v/>
      </c>
      <c r="CN427" s="124" t="str">
        <f>IF($B427="","",IFERROR(-BA427,"n.b."))</f>
        <v/>
      </c>
      <c r="CO427" s="124" t="str">
        <f>IF($B427="","",IFERROR(-BB427,"n.b."))</f>
        <v/>
      </c>
      <c r="CP427" s="124" t="str">
        <f>IF($B427="","",IFERROR(-BC427,"n.b."))</f>
        <v/>
      </c>
      <c r="CQ427" s="124" t="str">
        <f>IF($B427="","",IFERROR(-BD427,"n.b."))</f>
        <v/>
      </c>
      <c r="CR427" s="124" t="str">
        <f>IF($B427="","",IFERROR(-BE427,"n.b."))</f>
        <v/>
      </c>
      <c r="CS427" s="124" t="str">
        <f>IF($B427="","",IFERROR(IF(OR(ABS(T427+V427+X427+Z427-AB427)&gt;P_Tol,ABS(U427+W427+Y427+AA427-AD427)&gt;P_Tol,ABS(AE427+AG427+AI427+AK427-AM427)&gt;P_Tol,ABS(AF427+AH427+AJ427+AL427-AO427)&gt;P_Tol),1,0),1))</f>
        <v/>
      </c>
      <c r="CT427" s="124" t="str">
        <f>IF($B427="","",IFERROR(IF(OR(ABS(AB427+AC427-AD427)&gt;P_Tol,ABS(AM427+AN427-AO427)&gt;P_Tol,ABS(O427+P427-Q427)&gt;P_Tol),1,0),1))</f>
        <v/>
      </c>
      <c r="CU427" s="124" t="str">
        <f>IF($B427="","",IFERROR(IF(ABS(R427-(AB427+AM427+AP427+AR427+AT427+AV427+AX427+AZ427+BB427+BD427))&gt;P_Tol,1,0),1))</f>
        <v/>
      </c>
      <c r="CV427" s="124" t="str">
        <f>IF($B427="","",IFERROR(IF(ABS(M427-(N427+O427+R427))&gt;P_Tol,1,0),1))</f>
        <v/>
      </c>
      <c r="CW427" s="124" t="str">
        <f>IF($B427="","",IF(COUNTIF(Mapping!$A$5:$A$104,B427)&gt;0,1,0))</f>
        <v/>
      </c>
      <c r="CX427" s="124" t="str">
        <f>IF($B427="","",COUNTIF($B$6:$B$505,B427))</f>
        <v/>
      </c>
      <c r="CY427" s="124" t="str">
        <f>IF($B427="","",COUNTIF(STG_Woningetalage!$B$6:$B$505,B427))</f>
        <v/>
      </c>
      <c r="CZ427" s="124" t="str">
        <f>IF($B427="","",IF(CW427=0,COUNTIF($CW$6:CW427,0),""))</f>
        <v/>
      </c>
    </row>
    <row r="428">
      <c r="A428" s="15" t="n">
        <v>424</v>
      </c>
      <c r="B428" t="str">
        <f>IF(B$3=0,"",IF(INDEX(SRC_ZPMW03!$A$1:$ZZ$501,$A428,B$3)&amp;""="","",INDEX(SRC_ZPMW03!$A$1:$ZZ$501,$A428,B$3)&amp;""))</f>
        <v/>
      </c>
      <c r="C428" t="str">
        <f>IF($B428="","",IF(C$3=0,"n.b.",INDEX(SRC_ZPMW03!$A$1:$ZZ$501,$A428,C$3)))</f>
        <v/>
      </c>
      <c r="D428" t="str">
        <f>IF($B428="","",IF(D$3=0,"n.b.",INDEX(SRC_ZPMW03!$A$1:$ZZ$501,$A428,D$3)))</f>
        <v/>
      </c>
      <c r="E428" t="str">
        <f>IF($B428="","",IF(E$3=0,"n.b.",INDEX(SRC_ZPMW03!$A$1:$ZZ$501,$A428,E$3)))</f>
        <v/>
      </c>
      <c r="F428" t="str">
        <f>IF($B428="","",IF(F$3=0,"n.b.",INDEX(SRC_ZPMW03!$A$1:$ZZ$501,$A428,F$3)))</f>
        <v/>
      </c>
      <c r="G428" t="str">
        <f>IF($B428="","",IF(G$3=0,"n.b.",INDEX(SRC_ZPMW03!$A$1:$ZZ$501,$A428,G$3)))</f>
        <v/>
      </c>
      <c r="H428" t="str">
        <f>IF($B428="","",IF(H$3=0,"n.b.",INDEX(SRC_ZPMW03!$A$1:$ZZ$501,$A428,H$3)))</f>
        <v/>
      </c>
      <c r="I428" t="str">
        <f>IF($B428="","",IF(I$3=0,"n.b.",INDEX(SRC_ZPMW03!$A$1:$ZZ$501,$A428,I$3)))</f>
        <v/>
      </c>
      <c r="J428" t="str">
        <f>IF($B428="","",IF(J$3=0,"n.b.",INDEX(SRC_ZPMW03!$A$1:$ZZ$501,$A428,J$3)))</f>
        <v/>
      </c>
      <c r="K428" t="str">
        <f>IF($B428="","",IF(K$3=0,"n.b.",INDEX(SRC_ZPMW03!$A$1:$ZZ$501,$A428,K$3)))</f>
        <v/>
      </c>
      <c r="L428" s="124" t="str">
        <f>IF($B428="","",IF(L$3=0,"n.b.",INDEX(SRC_ZPMW03!$A$1:$ZZ$501,$A428,L$3)))</f>
        <v/>
      </c>
      <c r="M428" s="124" t="str">
        <f>IF($B428="","",IF(M$3=0,"n.b.",INDEX(SRC_ZPMW03!$A$1:$ZZ$501,$A428,M$3)))</f>
        <v/>
      </c>
      <c r="N428" s="124" t="str">
        <f>IF($B428="","",IF(N$3=0,"n.b.",INDEX(SRC_ZPMW03!$A$1:$ZZ$501,$A428,N$3)))</f>
        <v/>
      </c>
      <c r="O428" s="124" t="str">
        <f>IF($B428="","",IF(O$3=0,"n.b.",INDEX(SRC_ZPMW03!$A$1:$ZZ$501,$A428,O$3)))</f>
        <v/>
      </c>
      <c r="P428" s="124" t="str">
        <f>IF($B428="","",IF(P$3=0,"n.b.",INDEX(SRC_ZPMW03!$A$1:$ZZ$501,$A428,P$3)))</f>
        <v/>
      </c>
      <c r="Q428" s="124" t="str">
        <f>IF($B428="","",IF(Q$3=0,"n.b.",INDEX(SRC_ZPMW03!$A$1:$ZZ$501,$A428,Q$3)))</f>
        <v/>
      </c>
      <c r="R428" s="124" t="str">
        <f>IF($B428="","",IF(R$3=0,"n.b.",INDEX(SRC_ZPMW03!$A$1:$ZZ$501,$A428,R$3)))</f>
        <v/>
      </c>
      <c r="S428" s="124" t="str">
        <f>IF($B428="","",IF(S$3=0,"n.b.",INDEX(SRC_ZPMW03!$A$1:$ZZ$501,$A428,S$3)))</f>
        <v/>
      </c>
      <c r="T428" s="124" t="str">
        <f>IF($B428="","",IF(T$3=0,"n.b.",INDEX(SRC_ZPMW03!$A$1:$ZZ$501,$A428,T$3)))</f>
        <v/>
      </c>
      <c r="U428" s="124" t="str">
        <f>IF($B428="","",IF(U$3=0,"n.b.",INDEX(SRC_ZPMW03!$A$1:$ZZ$501,$A428,U$3)))</f>
        <v/>
      </c>
      <c r="V428" s="124" t="str">
        <f>IF($B428="","",IF(V$3=0,"n.b.",INDEX(SRC_ZPMW03!$A$1:$ZZ$501,$A428,V$3)))</f>
        <v/>
      </c>
      <c r="W428" s="124" t="str">
        <f>IF($B428="","",IF(W$3=0,"n.b.",INDEX(SRC_ZPMW03!$A$1:$ZZ$501,$A428,W$3)))</f>
        <v/>
      </c>
      <c r="X428" s="124" t="str">
        <f>IF($B428="","",IF(X$3=0,"n.b.",INDEX(SRC_ZPMW03!$A$1:$ZZ$501,$A428,X$3)))</f>
        <v/>
      </c>
      <c r="Y428" s="124" t="str">
        <f>IF($B428="","",IF(Y$3=0,"n.b.",INDEX(SRC_ZPMW03!$A$1:$ZZ$501,$A428,Y$3)))</f>
        <v/>
      </c>
      <c r="Z428" s="124" t="str">
        <f>IF($B428="","",IF(Z$3=0,"n.b.",INDEX(SRC_ZPMW03!$A$1:$ZZ$501,$A428,Z$3)))</f>
        <v/>
      </c>
      <c r="AA428" s="124" t="str">
        <f>IF($B428="","",IF(AA$3=0,"n.b.",INDEX(SRC_ZPMW03!$A$1:$ZZ$501,$A428,AA$3)))</f>
        <v/>
      </c>
      <c r="AB428" s="124" t="str">
        <f>IF($B428="","",IF(AB$3=0,"n.b.",INDEX(SRC_ZPMW03!$A$1:$ZZ$501,$A428,AB$3)))</f>
        <v/>
      </c>
      <c r="AC428" s="124" t="str">
        <f>IF($B428="","",IF(AC$3=0,"n.b.",INDEX(SRC_ZPMW03!$A$1:$ZZ$501,$A428,AC$3)))</f>
        <v/>
      </c>
      <c r="AD428" s="124" t="str">
        <f>IF($B428="","",IF(AD$3=0,"n.b.",INDEX(SRC_ZPMW03!$A$1:$ZZ$501,$A428,AD$3)))</f>
        <v/>
      </c>
      <c r="AE428" s="124" t="str">
        <f>IF($B428="","",IF(AE$3=0,"n.b.",INDEX(SRC_ZPMW03!$A$1:$ZZ$501,$A428,AE$3)))</f>
        <v/>
      </c>
      <c r="AF428" s="124" t="str">
        <f>IF($B428="","",IF(AF$3=0,"n.b.",INDEX(SRC_ZPMW03!$A$1:$ZZ$501,$A428,AF$3)))</f>
        <v/>
      </c>
      <c r="AG428" s="124" t="str">
        <f>IF($B428="","",IF(AG$3=0,"n.b.",INDEX(SRC_ZPMW03!$A$1:$ZZ$501,$A428,AG$3)))</f>
        <v/>
      </c>
      <c r="AH428" s="124" t="str">
        <f>IF($B428="","",IF(AH$3=0,"n.b.",INDEX(SRC_ZPMW03!$A$1:$ZZ$501,$A428,AH$3)))</f>
        <v/>
      </c>
      <c r="AI428" s="124" t="str">
        <f>IF($B428="","",IF(AI$3=0,"n.b.",INDEX(SRC_ZPMW03!$A$1:$ZZ$501,$A428,AI$3)))</f>
        <v/>
      </c>
      <c r="AJ428" s="124" t="str">
        <f>IF($B428="","",IF(AJ$3=0,"n.b.",INDEX(SRC_ZPMW03!$A$1:$ZZ$501,$A428,AJ$3)))</f>
        <v/>
      </c>
      <c r="AK428" s="124" t="str">
        <f>IF($B428="","",IF(AK$3=0,"n.b.",INDEX(SRC_ZPMW03!$A$1:$ZZ$501,$A428,AK$3)))</f>
        <v/>
      </c>
      <c r="AL428" s="124" t="str">
        <f>IF($B428="","",IF(AL$3=0,"n.b.",INDEX(SRC_ZPMW03!$A$1:$ZZ$501,$A428,AL$3)))</f>
        <v/>
      </c>
      <c r="AM428" s="124" t="str">
        <f>IF($B428="","",IF(AM$3=0,"n.b.",INDEX(SRC_ZPMW03!$A$1:$ZZ$501,$A428,AM$3)))</f>
        <v/>
      </c>
      <c r="AN428" s="124" t="str">
        <f>IF($B428="","",IF(AN$3=0,"n.b.",INDEX(SRC_ZPMW03!$A$1:$ZZ$501,$A428,AN$3)))</f>
        <v/>
      </c>
      <c r="AO428" s="124" t="str">
        <f>IF($B428="","",IF(AO$3=0,"n.b.",INDEX(SRC_ZPMW03!$A$1:$ZZ$501,$A428,AO$3)))</f>
        <v/>
      </c>
      <c r="AP428" s="124" t="str">
        <f>IF($B428="","",IF(AP$3=0,"n.b.",INDEX(SRC_ZPMW03!$A$1:$ZZ$501,$A428,AP$3)))</f>
        <v/>
      </c>
      <c r="AQ428" s="124" t="str">
        <f>IF($B428="","",IF(AQ$3=0,"n.b.",INDEX(SRC_ZPMW03!$A$1:$ZZ$501,$A428,AQ$3)))</f>
        <v/>
      </c>
      <c r="AR428" s="124" t="str">
        <f>IF($B428="","",IF(AR$3=0,"n.b.",INDEX(SRC_ZPMW03!$A$1:$ZZ$501,$A428,AR$3)))</f>
        <v/>
      </c>
      <c r="AS428" s="124" t="str">
        <f>IF($B428="","",IF(AS$3=0,"n.b.",INDEX(SRC_ZPMW03!$A$1:$ZZ$501,$A428,AS$3)))</f>
        <v/>
      </c>
      <c r="AT428" s="124" t="str">
        <f>IF($B428="","",IF(AT$3=0,"n.b.",INDEX(SRC_ZPMW03!$A$1:$ZZ$501,$A428,AT$3)))</f>
        <v/>
      </c>
      <c r="AU428" s="124" t="str">
        <f>IF($B428="","",IF(AU$3=0,"n.b.",INDEX(SRC_ZPMW03!$A$1:$ZZ$501,$A428,AU$3)))</f>
        <v/>
      </c>
      <c r="AV428" s="124" t="str">
        <f>IF($B428="","",IF(AV$3=0,"n.b.",INDEX(SRC_ZPMW03!$A$1:$ZZ$501,$A428,AV$3)))</f>
        <v/>
      </c>
      <c r="AW428" s="124" t="str">
        <f>IF($B428="","",IF(AW$3=0,"n.b.",INDEX(SRC_ZPMW03!$A$1:$ZZ$501,$A428,AW$3)))</f>
        <v/>
      </c>
      <c r="AX428" s="124" t="str">
        <f>IF($B428="","",IF(AX$3=0,"n.b.",INDEX(SRC_ZPMW03!$A$1:$ZZ$501,$A428,AX$3)))</f>
        <v/>
      </c>
      <c r="AY428" s="124" t="str">
        <f>IF($B428="","",IF(AY$3=0,"n.b.",INDEX(SRC_ZPMW03!$A$1:$ZZ$501,$A428,AY$3)))</f>
        <v/>
      </c>
      <c r="AZ428" s="124" t="str">
        <f>IF($B428="","",IF(AZ$3=0,"n.b.",INDEX(SRC_ZPMW03!$A$1:$ZZ$501,$A428,AZ$3)))</f>
        <v/>
      </c>
      <c r="BA428" s="124" t="str">
        <f>IF($B428="","",IF(BA$3=0,"n.b.",INDEX(SRC_ZPMW03!$A$1:$ZZ$501,$A428,BA$3)))</f>
        <v/>
      </c>
      <c r="BB428" s="124" t="str">
        <f>IF($B428="","",IF(BB$3=0,"n.b.",INDEX(SRC_ZPMW03!$A$1:$ZZ$501,$A428,BB$3)))</f>
        <v/>
      </c>
      <c r="BC428" s="124" t="str">
        <f>IF($B428="","",IF(BC$3=0,"n.b.",INDEX(SRC_ZPMW03!$A$1:$ZZ$501,$A428,BC$3)))</f>
        <v/>
      </c>
      <c r="BD428" s="124" t="str">
        <f>IF($B428="","",IF(BD$3=0,"n.b.",INDEX(SRC_ZPMW03!$A$1:$ZZ$501,$A428,BD$3)))</f>
        <v/>
      </c>
      <c r="BE428" s="124" t="str">
        <f>IF($B428="","",IF(BE$3=0,"n.b.",INDEX(SRC_ZPMW03!$A$1:$ZZ$501,$A428,BE$3)))</f>
        <v/>
      </c>
      <c r="BF428" s="124" t="str">
        <f>IF($B428="","",IF(BF$3=0,"n.b.",INDEX(SRC_ZPMW03!$A$1:$ZZ$501,$A428,BF$3)))</f>
        <v/>
      </c>
      <c r="BG428" t="str">
        <f>IF($B428="","",IF(BG$3=0,"n.b.",INDEX(SRC_ZPMW03!$A$1:$ZZ$501,$A428,BG$3)))</f>
        <v/>
      </c>
      <c r="BH428" t="str">
        <f>IF($B428="","",IF(BH$3=0,"n.b.",INDEX(SRC_ZPMW03!$A$1:$ZZ$501,$A428,BH$3)))</f>
        <v/>
      </c>
      <c r="BI428" t="str">
        <f>IF($B428="","",IF(BI$3=0,"n.b.",INDEX(SRC_ZPMW03!$A$1:$ZZ$501,$A428,BI$3)))</f>
        <v/>
      </c>
      <c r="BJ428" t="str">
        <f>IF($B428="","",IF(BJ$3=0,"n.b.",INDEX(SRC_ZPMW03!$A$1:$ZZ$501,$A428,BJ$3)))</f>
        <v/>
      </c>
      <c r="BK428" s="124" t="str">
        <f>IF($B428="","",IFERROR(-O428,"n.b."))</f>
        <v/>
      </c>
      <c r="BL428" s="124" t="str">
        <f>IF($B428="","",IFERROR(-Q428,"n.b."))</f>
        <v/>
      </c>
      <c r="BM428" s="124" t="str">
        <f>IF($B428="","",IFERROR(-AB428,"n.b."))</f>
        <v/>
      </c>
      <c r="BN428" s="124" t="str">
        <f>IF($B428="","",IFERROR(-AD428,"n.b."))</f>
        <v/>
      </c>
      <c r="BO428" s="124" t="str">
        <f>IF($B428="","",IFERROR(BK428+BM428,"n.b."))</f>
        <v/>
      </c>
      <c r="BP428" s="124" t="str">
        <f>IF($B428="","",IFERROR(BL428+BN428,"n.b."))</f>
        <v/>
      </c>
      <c r="BQ428" s="124" t="str">
        <f>IF($B428="","",IFERROR(-AM428,"n.b."))</f>
        <v/>
      </c>
      <c r="BR428" s="124" t="str">
        <f>IF($B428="","",IFERROR(-AO428,"n.b."))</f>
        <v/>
      </c>
      <c r="BS428" s="124" t="str">
        <f>IF($B428="","",IFERROR(-Z428,"n.b."))</f>
        <v/>
      </c>
      <c r="BT428" s="124" t="str">
        <f>IF($B428="","",IFERROR(-AA428,"n.b."))</f>
        <v/>
      </c>
      <c r="BU428" s="124" t="str">
        <f>IF($B428="","",IFERROR(-AE428,"n.b."))</f>
        <v/>
      </c>
      <c r="BV428" s="124" t="str">
        <f>IF($B428="","",IFERROR(-AF428,"n.b."))</f>
        <v/>
      </c>
      <c r="BW428" s="124" t="str">
        <f>IF($B428="","",IFERROR(-AG428,"n.b."))</f>
        <v/>
      </c>
      <c r="BX428" s="124" t="str">
        <f>IF($B428="","",IFERROR(-AH428,"n.b."))</f>
        <v/>
      </c>
      <c r="BY428" s="124" t="str">
        <f>IF($B428="","",IFERROR(-AI428,"n.b."))</f>
        <v/>
      </c>
      <c r="BZ428" s="124" t="str">
        <f>IF($B428="","",IFERROR(-AJ428,"n.b."))</f>
        <v/>
      </c>
      <c r="CA428" s="124" t="str">
        <f>IF($B428="","",IFERROR(-AK428,"n.b."))</f>
        <v/>
      </c>
      <c r="CB428" s="124" t="str">
        <f>IF($B428="","",IFERROR(-AL428,"n.b."))</f>
        <v/>
      </c>
      <c r="CC428" s="124" t="str">
        <f>IF($B428="","",IFERROR(-AP428,"n.b."))</f>
        <v/>
      </c>
      <c r="CD428" s="124" t="str">
        <f>IF($B428="","",IFERROR(-AQ428,"n.b."))</f>
        <v/>
      </c>
      <c r="CE428" s="124" t="str">
        <f>IF($B428="","",IFERROR(-AR428,"n.b."))</f>
        <v/>
      </c>
      <c r="CF428" s="124" t="str">
        <f>IF($B428="","",IFERROR(-AS428,"n.b."))</f>
        <v/>
      </c>
      <c r="CG428" s="124" t="str">
        <f>IF($B428="","",IFERROR(-AT428,"n.b."))</f>
        <v/>
      </c>
      <c r="CH428" s="124" t="str">
        <f>IF($B428="","",IFERROR(-AU428,"n.b."))</f>
        <v/>
      </c>
      <c r="CI428" s="124" t="str">
        <f>IF($B428="","",IFERROR(-AV428,"n.b."))</f>
        <v/>
      </c>
      <c r="CJ428" s="124" t="str">
        <f>IF($B428="","",IFERROR(-AW428,"n.b."))</f>
        <v/>
      </c>
      <c r="CK428" s="124" t="str">
        <f>IF($B428="","",IFERROR(-AX428,"n.b."))</f>
        <v/>
      </c>
      <c r="CL428" s="124" t="str">
        <f>IF($B428="","",IFERROR(-AY428,"n.b."))</f>
        <v/>
      </c>
      <c r="CM428" s="124" t="str">
        <f>IF($B428="","",IFERROR(-AZ428,"n.b."))</f>
        <v/>
      </c>
      <c r="CN428" s="124" t="str">
        <f>IF($B428="","",IFERROR(-BA428,"n.b."))</f>
        <v/>
      </c>
      <c r="CO428" s="124" t="str">
        <f>IF($B428="","",IFERROR(-BB428,"n.b."))</f>
        <v/>
      </c>
      <c r="CP428" s="124" t="str">
        <f>IF($B428="","",IFERROR(-BC428,"n.b."))</f>
        <v/>
      </c>
      <c r="CQ428" s="124" t="str">
        <f>IF($B428="","",IFERROR(-BD428,"n.b."))</f>
        <v/>
      </c>
      <c r="CR428" s="124" t="str">
        <f>IF($B428="","",IFERROR(-BE428,"n.b."))</f>
        <v/>
      </c>
      <c r="CS428" s="124" t="str">
        <f>IF($B428="","",IFERROR(IF(OR(ABS(T428+V428+X428+Z428-AB428)&gt;P_Tol,ABS(U428+W428+Y428+AA428-AD428)&gt;P_Tol,ABS(AE428+AG428+AI428+AK428-AM428)&gt;P_Tol,ABS(AF428+AH428+AJ428+AL428-AO428)&gt;P_Tol),1,0),1))</f>
        <v/>
      </c>
      <c r="CT428" s="124" t="str">
        <f>IF($B428="","",IFERROR(IF(OR(ABS(AB428+AC428-AD428)&gt;P_Tol,ABS(AM428+AN428-AO428)&gt;P_Tol,ABS(O428+P428-Q428)&gt;P_Tol),1,0),1))</f>
        <v/>
      </c>
      <c r="CU428" s="124" t="str">
        <f>IF($B428="","",IFERROR(IF(ABS(R428-(AB428+AM428+AP428+AR428+AT428+AV428+AX428+AZ428+BB428+BD428))&gt;P_Tol,1,0),1))</f>
        <v/>
      </c>
      <c r="CV428" s="124" t="str">
        <f>IF($B428="","",IFERROR(IF(ABS(M428-(N428+O428+R428))&gt;P_Tol,1,0),1))</f>
        <v/>
      </c>
      <c r="CW428" s="124" t="str">
        <f>IF($B428="","",IF(COUNTIF(Mapping!$A$5:$A$104,B428)&gt;0,1,0))</f>
        <v/>
      </c>
      <c r="CX428" s="124" t="str">
        <f>IF($B428="","",COUNTIF($B$6:$B$505,B428))</f>
        <v/>
      </c>
      <c r="CY428" s="124" t="str">
        <f>IF($B428="","",COUNTIF(STG_Woningetalage!$B$6:$B$505,B428))</f>
        <v/>
      </c>
      <c r="CZ428" s="124" t="str">
        <f>IF($B428="","",IF(CW428=0,COUNTIF($CW$6:CW428,0),""))</f>
        <v/>
      </c>
    </row>
    <row r="429">
      <c r="A429" s="15" t="n">
        <v>425</v>
      </c>
      <c r="B429" t="str">
        <f>IF(B$3=0,"",IF(INDEX(SRC_ZPMW03!$A$1:$ZZ$501,$A429,B$3)&amp;""="","",INDEX(SRC_ZPMW03!$A$1:$ZZ$501,$A429,B$3)&amp;""))</f>
        <v/>
      </c>
      <c r="C429" t="str">
        <f>IF($B429="","",IF(C$3=0,"n.b.",INDEX(SRC_ZPMW03!$A$1:$ZZ$501,$A429,C$3)))</f>
        <v/>
      </c>
      <c r="D429" t="str">
        <f>IF($B429="","",IF(D$3=0,"n.b.",INDEX(SRC_ZPMW03!$A$1:$ZZ$501,$A429,D$3)))</f>
        <v/>
      </c>
      <c r="E429" t="str">
        <f>IF($B429="","",IF(E$3=0,"n.b.",INDEX(SRC_ZPMW03!$A$1:$ZZ$501,$A429,E$3)))</f>
        <v/>
      </c>
      <c r="F429" t="str">
        <f>IF($B429="","",IF(F$3=0,"n.b.",INDEX(SRC_ZPMW03!$A$1:$ZZ$501,$A429,F$3)))</f>
        <v/>
      </c>
      <c r="G429" t="str">
        <f>IF($B429="","",IF(G$3=0,"n.b.",INDEX(SRC_ZPMW03!$A$1:$ZZ$501,$A429,G$3)))</f>
        <v/>
      </c>
      <c r="H429" t="str">
        <f>IF($B429="","",IF(H$3=0,"n.b.",INDEX(SRC_ZPMW03!$A$1:$ZZ$501,$A429,H$3)))</f>
        <v/>
      </c>
      <c r="I429" t="str">
        <f>IF($B429="","",IF(I$3=0,"n.b.",INDEX(SRC_ZPMW03!$A$1:$ZZ$501,$A429,I$3)))</f>
        <v/>
      </c>
      <c r="J429" t="str">
        <f>IF($B429="","",IF(J$3=0,"n.b.",INDEX(SRC_ZPMW03!$A$1:$ZZ$501,$A429,J$3)))</f>
        <v/>
      </c>
      <c r="K429" t="str">
        <f>IF($B429="","",IF(K$3=0,"n.b.",INDEX(SRC_ZPMW03!$A$1:$ZZ$501,$A429,K$3)))</f>
        <v/>
      </c>
      <c r="L429" s="124" t="str">
        <f>IF($B429="","",IF(L$3=0,"n.b.",INDEX(SRC_ZPMW03!$A$1:$ZZ$501,$A429,L$3)))</f>
        <v/>
      </c>
      <c r="M429" s="124" t="str">
        <f>IF($B429="","",IF(M$3=0,"n.b.",INDEX(SRC_ZPMW03!$A$1:$ZZ$501,$A429,M$3)))</f>
        <v/>
      </c>
      <c r="N429" s="124" t="str">
        <f>IF($B429="","",IF(N$3=0,"n.b.",INDEX(SRC_ZPMW03!$A$1:$ZZ$501,$A429,N$3)))</f>
        <v/>
      </c>
      <c r="O429" s="124" t="str">
        <f>IF($B429="","",IF(O$3=0,"n.b.",INDEX(SRC_ZPMW03!$A$1:$ZZ$501,$A429,O$3)))</f>
        <v/>
      </c>
      <c r="P429" s="124" t="str">
        <f>IF($B429="","",IF(P$3=0,"n.b.",INDEX(SRC_ZPMW03!$A$1:$ZZ$501,$A429,P$3)))</f>
        <v/>
      </c>
      <c r="Q429" s="124" t="str">
        <f>IF($B429="","",IF(Q$3=0,"n.b.",INDEX(SRC_ZPMW03!$A$1:$ZZ$501,$A429,Q$3)))</f>
        <v/>
      </c>
      <c r="R429" s="124" t="str">
        <f>IF($B429="","",IF(R$3=0,"n.b.",INDEX(SRC_ZPMW03!$A$1:$ZZ$501,$A429,R$3)))</f>
        <v/>
      </c>
      <c r="S429" s="124" t="str">
        <f>IF($B429="","",IF(S$3=0,"n.b.",INDEX(SRC_ZPMW03!$A$1:$ZZ$501,$A429,S$3)))</f>
        <v/>
      </c>
      <c r="T429" s="124" t="str">
        <f>IF($B429="","",IF(T$3=0,"n.b.",INDEX(SRC_ZPMW03!$A$1:$ZZ$501,$A429,T$3)))</f>
        <v/>
      </c>
      <c r="U429" s="124" t="str">
        <f>IF($B429="","",IF(U$3=0,"n.b.",INDEX(SRC_ZPMW03!$A$1:$ZZ$501,$A429,U$3)))</f>
        <v/>
      </c>
      <c r="V429" s="124" t="str">
        <f>IF($B429="","",IF(V$3=0,"n.b.",INDEX(SRC_ZPMW03!$A$1:$ZZ$501,$A429,V$3)))</f>
        <v/>
      </c>
      <c r="W429" s="124" t="str">
        <f>IF($B429="","",IF(W$3=0,"n.b.",INDEX(SRC_ZPMW03!$A$1:$ZZ$501,$A429,W$3)))</f>
        <v/>
      </c>
      <c r="X429" s="124" t="str">
        <f>IF($B429="","",IF(X$3=0,"n.b.",INDEX(SRC_ZPMW03!$A$1:$ZZ$501,$A429,X$3)))</f>
        <v/>
      </c>
      <c r="Y429" s="124" t="str">
        <f>IF($B429="","",IF(Y$3=0,"n.b.",INDEX(SRC_ZPMW03!$A$1:$ZZ$501,$A429,Y$3)))</f>
        <v/>
      </c>
      <c r="Z429" s="124" t="str">
        <f>IF($B429="","",IF(Z$3=0,"n.b.",INDEX(SRC_ZPMW03!$A$1:$ZZ$501,$A429,Z$3)))</f>
        <v/>
      </c>
      <c r="AA429" s="124" t="str">
        <f>IF($B429="","",IF(AA$3=0,"n.b.",INDEX(SRC_ZPMW03!$A$1:$ZZ$501,$A429,AA$3)))</f>
        <v/>
      </c>
      <c r="AB429" s="124" t="str">
        <f>IF($B429="","",IF(AB$3=0,"n.b.",INDEX(SRC_ZPMW03!$A$1:$ZZ$501,$A429,AB$3)))</f>
        <v/>
      </c>
      <c r="AC429" s="124" t="str">
        <f>IF($B429="","",IF(AC$3=0,"n.b.",INDEX(SRC_ZPMW03!$A$1:$ZZ$501,$A429,AC$3)))</f>
        <v/>
      </c>
      <c r="AD429" s="124" t="str">
        <f>IF($B429="","",IF(AD$3=0,"n.b.",INDEX(SRC_ZPMW03!$A$1:$ZZ$501,$A429,AD$3)))</f>
        <v/>
      </c>
      <c r="AE429" s="124" t="str">
        <f>IF($B429="","",IF(AE$3=0,"n.b.",INDEX(SRC_ZPMW03!$A$1:$ZZ$501,$A429,AE$3)))</f>
        <v/>
      </c>
      <c r="AF429" s="124" t="str">
        <f>IF($B429="","",IF(AF$3=0,"n.b.",INDEX(SRC_ZPMW03!$A$1:$ZZ$501,$A429,AF$3)))</f>
        <v/>
      </c>
      <c r="AG429" s="124" t="str">
        <f>IF($B429="","",IF(AG$3=0,"n.b.",INDEX(SRC_ZPMW03!$A$1:$ZZ$501,$A429,AG$3)))</f>
        <v/>
      </c>
      <c r="AH429" s="124" t="str">
        <f>IF($B429="","",IF(AH$3=0,"n.b.",INDEX(SRC_ZPMW03!$A$1:$ZZ$501,$A429,AH$3)))</f>
        <v/>
      </c>
      <c r="AI429" s="124" t="str">
        <f>IF($B429="","",IF(AI$3=0,"n.b.",INDEX(SRC_ZPMW03!$A$1:$ZZ$501,$A429,AI$3)))</f>
        <v/>
      </c>
      <c r="AJ429" s="124" t="str">
        <f>IF($B429="","",IF(AJ$3=0,"n.b.",INDEX(SRC_ZPMW03!$A$1:$ZZ$501,$A429,AJ$3)))</f>
        <v/>
      </c>
      <c r="AK429" s="124" t="str">
        <f>IF($B429="","",IF(AK$3=0,"n.b.",INDEX(SRC_ZPMW03!$A$1:$ZZ$501,$A429,AK$3)))</f>
        <v/>
      </c>
      <c r="AL429" s="124" t="str">
        <f>IF($B429="","",IF(AL$3=0,"n.b.",INDEX(SRC_ZPMW03!$A$1:$ZZ$501,$A429,AL$3)))</f>
        <v/>
      </c>
      <c r="AM429" s="124" t="str">
        <f>IF($B429="","",IF(AM$3=0,"n.b.",INDEX(SRC_ZPMW03!$A$1:$ZZ$501,$A429,AM$3)))</f>
        <v/>
      </c>
      <c r="AN429" s="124" t="str">
        <f>IF($B429="","",IF(AN$3=0,"n.b.",INDEX(SRC_ZPMW03!$A$1:$ZZ$501,$A429,AN$3)))</f>
        <v/>
      </c>
      <c r="AO429" s="124" t="str">
        <f>IF($B429="","",IF(AO$3=0,"n.b.",INDEX(SRC_ZPMW03!$A$1:$ZZ$501,$A429,AO$3)))</f>
        <v/>
      </c>
      <c r="AP429" s="124" t="str">
        <f>IF($B429="","",IF(AP$3=0,"n.b.",INDEX(SRC_ZPMW03!$A$1:$ZZ$501,$A429,AP$3)))</f>
        <v/>
      </c>
      <c r="AQ429" s="124" t="str">
        <f>IF($B429="","",IF(AQ$3=0,"n.b.",INDEX(SRC_ZPMW03!$A$1:$ZZ$501,$A429,AQ$3)))</f>
        <v/>
      </c>
      <c r="AR429" s="124" t="str">
        <f>IF($B429="","",IF(AR$3=0,"n.b.",INDEX(SRC_ZPMW03!$A$1:$ZZ$501,$A429,AR$3)))</f>
        <v/>
      </c>
      <c r="AS429" s="124" t="str">
        <f>IF($B429="","",IF(AS$3=0,"n.b.",INDEX(SRC_ZPMW03!$A$1:$ZZ$501,$A429,AS$3)))</f>
        <v/>
      </c>
      <c r="AT429" s="124" t="str">
        <f>IF($B429="","",IF(AT$3=0,"n.b.",INDEX(SRC_ZPMW03!$A$1:$ZZ$501,$A429,AT$3)))</f>
        <v/>
      </c>
      <c r="AU429" s="124" t="str">
        <f>IF($B429="","",IF(AU$3=0,"n.b.",INDEX(SRC_ZPMW03!$A$1:$ZZ$501,$A429,AU$3)))</f>
        <v/>
      </c>
      <c r="AV429" s="124" t="str">
        <f>IF($B429="","",IF(AV$3=0,"n.b.",INDEX(SRC_ZPMW03!$A$1:$ZZ$501,$A429,AV$3)))</f>
        <v/>
      </c>
      <c r="AW429" s="124" t="str">
        <f>IF($B429="","",IF(AW$3=0,"n.b.",INDEX(SRC_ZPMW03!$A$1:$ZZ$501,$A429,AW$3)))</f>
        <v/>
      </c>
      <c r="AX429" s="124" t="str">
        <f>IF($B429="","",IF(AX$3=0,"n.b.",INDEX(SRC_ZPMW03!$A$1:$ZZ$501,$A429,AX$3)))</f>
        <v/>
      </c>
      <c r="AY429" s="124" t="str">
        <f>IF($B429="","",IF(AY$3=0,"n.b.",INDEX(SRC_ZPMW03!$A$1:$ZZ$501,$A429,AY$3)))</f>
        <v/>
      </c>
      <c r="AZ429" s="124" t="str">
        <f>IF($B429="","",IF(AZ$3=0,"n.b.",INDEX(SRC_ZPMW03!$A$1:$ZZ$501,$A429,AZ$3)))</f>
        <v/>
      </c>
      <c r="BA429" s="124" t="str">
        <f>IF($B429="","",IF(BA$3=0,"n.b.",INDEX(SRC_ZPMW03!$A$1:$ZZ$501,$A429,BA$3)))</f>
        <v/>
      </c>
      <c r="BB429" s="124" t="str">
        <f>IF($B429="","",IF(BB$3=0,"n.b.",INDEX(SRC_ZPMW03!$A$1:$ZZ$501,$A429,BB$3)))</f>
        <v/>
      </c>
      <c r="BC429" s="124" t="str">
        <f>IF($B429="","",IF(BC$3=0,"n.b.",INDEX(SRC_ZPMW03!$A$1:$ZZ$501,$A429,BC$3)))</f>
        <v/>
      </c>
      <c r="BD429" s="124" t="str">
        <f>IF($B429="","",IF(BD$3=0,"n.b.",INDEX(SRC_ZPMW03!$A$1:$ZZ$501,$A429,BD$3)))</f>
        <v/>
      </c>
      <c r="BE429" s="124" t="str">
        <f>IF($B429="","",IF(BE$3=0,"n.b.",INDEX(SRC_ZPMW03!$A$1:$ZZ$501,$A429,BE$3)))</f>
        <v/>
      </c>
      <c r="BF429" s="124" t="str">
        <f>IF($B429="","",IF(BF$3=0,"n.b.",INDEX(SRC_ZPMW03!$A$1:$ZZ$501,$A429,BF$3)))</f>
        <v/>
      </c>
      <c r="BG429" t="str">
        <f>IF($B429="","",IF(BG$3=0,"n.b.",INDEX(SRC_ZPMW03!$A$1:$ZZ$501,$A429,BG$3)))</f>
        <v/>
      </c>
      <c r="BH429" t="str">
        <f>IF($B429="","",IF(BH$3=0,"n.b.",INDEX(SRC_ZPMW03!$A$1:$ZZ$501,$A429,BH$3)))</f>
        <v/>
      </c>
      <c r="BI429" t="str">
        <f>IF($B429="","",IF(BI$3=0,"n.b.",INDEX(SRC_ZPMW03!$A$1:$ZZ$501,$A429,BI$3)))</f>
        <v/>
      </c>
      <c r="BJ429" t="str">
        <f>IF($B429="","",IF(BJ$3=0,"n.b.",INDEX(SRC_ZPMW03!$A$1:$ZZ$501,$A429,BJ$3)))</f>
        <v/>
      </c>
      <c r="BK429" s="124" t="str">
        <f>IF($B429="","",IFERROR(-O429,"n.b."))</f>
        <v/>
      </c>
      <c r="BL429" s="124" t="str">
        <f>IF($B429="","",IFERROR(-Q429,"n.b."))</f>
        <v/>
      </c>
      <c r="BM429" s="124" t="str">
        <f>IF($B429="","",IFERROR(-AB429,"n.b."))</f>
        <v/>
      </c>
      <c r="BN429" s="124" t="str">
        <f>IF($B429="","",IFERROR(-AD429,"n.b."))</f>
        <v/>
      </c>
      <c r="BO429" s="124" t="str">
        <f>IF($B429="","",IFERROR(BK429+BM429,"n.b."))</f>
        <v/>
      </c>
      <c r="BP429" s="124" t="str">
        <f>IF($B429="","",IFERROR(BL429+BN429,"n.b."))</f>
        <v/>
      </c>
      <c r="BQ429" s="124" t="str">
        <f>IF($B429="","",IFERROR(-AM429,"n.b."))</f>
        <v/>
      </c>
      <c r="BR429" s="124" t="str">
        <f>IF($B429="","",IFERROR(-AO429,"n.b."))</f>
        <v/>
      </c>
      <c r="BS429" s="124" t="str">
        <f>IF($B429="","",IFERROR(-Z429,"n.b."))</f>
        <v/>
      </c>
      <c r="BT429" s="124" t="str">
        <f>IF($B429="","",IFERROR(-AA429,"n.b."))</f>
        <v/>
      </c>
      <c r="BU429" s="124" t="str">
        <f>IF($B429="","",IFERROR(-AE429,"n.b."))</f>
        <v/>
      </c>
      <c r="BV429" s="124" t="str">
        <f>IF($B429="","",IFERROR(-AF429,"n.b."))</f>
        <v/>
      </c>
      <c r="BW429" s="124" t="str">
        <f>IF($B429="","",IFERROR(-AG429,"n.b."))</f>
        <v/>
      </c>
      <c r="BX429" s="124" t="str">
        <f>IF($B429="","",IFERROR(-AH429,"n.b."))</f>
        <v/>
      </c>
      <c r="BY429" s="124" t="str">
        <f>IF($B429="","",IFERROR(-AI429,"n.b."))</f>
        <v/>
      </c>
      <c r="BZ429" s="124" t="str">
        <f>IF($B429="","",IFERROR(-AJ429,"n.b."))</f>
        <v/>
      </c>
      <c r="CA429" s="124" t="str">
        <f>IF($B429="","",IFERROR(-AK429,"n.b."))</f>
        <v/>
      </c>
      <c r="CB429" s="124" t="str">
        <f>IF($B429="","",IFERROR(-AL429,"n.b."))</f>
        <v/>
      </c>
      <c r="CC429" s="124" t="str">
        <f>IF($B429="","",IFERROR(-AP429,"n.b."))</f>
        <v/>
      </c>
      <c r="CD429" s="124" t="str">
        <f>IF($B429="","",IFERROR(-AQ429,"n.b."))</f>
        <v/>
      </c>
      <c r="CE429" s="124" t="str">
        <f>IF($B429="","",IFERROR(-AR429,"n.b."))</f>
        <v/>
      </c>
      <c r="CF429" s="124" t="str">
        <f>IF($B429="","",IFERROR(-AS429,"n.b."))</f>
        <v/>
      </c>
      <c r="CG429" s="124" t="str">
        <f>IF($B429="","",IFERROR(-AT429,"n.b."))</f>
        <v/>
      </c>
      <c r="CH429" s="124" t="str">
        <f>IF($B429="","",IFERROR(-AU429,"n.b."))</f>
        <v/>
      </c>
      <c r="CI429" s="124" t="str">
        <f>IF($B429="","",IFERROR(-AV429,"n.b."))</f>
        <v/>
      </c>
      <c r="CJ429" s="124" t="str">
        <f>IF($B429="","",IFERROR(-AW429,"n.b."))</f>
        <v/>
      </c>
      <c r="CK429" s="124" t="str">
        <f>IF($B429="","",IFERROR(-AX429,"n.b."))</f>
        <v/>
      </c>
      <c r="CL429" s="124" t="str">
        <f>IF($B429="","",IFERROR(-AY429,"n.b."))</f>
        <v/>
      </c>
      <c r="CM429" s="124" t="str">
        <f>IF($B429="","",IFERROR(-AZ429,"n.b."))</f>
        <v/>
      </c>
      <c r="CN429" s="124" t="str">
        <f>IF($B429="","",IFERROR(-BA429,"n.b."))</f>
        <v/>
      </c>
      <c r="CO429" s="124" t="str">
        <f>IF($B429="","",IFERROR(-BB429,"n.b."))</f>
        <v/>
      </c>
      <c r="CP429" s="124" t="str">
        <f>IF($B429="","",IFERROR(-BC429,"n.b."))</f>
        <v/>
      </c>
      <c r="CQ429" s="124" t="str">
        <f>IF($B429="","",IFERROR(-BD429,"n.b."))</f>
        <v/>
      </c>
      <c r="CR429" s="124" t="str">
        <f>IF($B429="","",IFERROR(-BE429,"n.b."))</f>
        <v/>
      </c>
      <c r="CS429" s="124" t="str">
        <f>IF($B429="","",IFERROR(IF(OR(ABS(T429+V429+X429+Z429-AB429)&gt;P_Tol,ABS(U429+W429+Y429+AA429-AD429)&gt;P_Tol,ABS(AE429+AG429+AI429+AK429-AM429)&gt;P_Tol,ABS(AF429+AH429+AJ429+AL429-AO429)&gt;P_Tol),1,0),1))</f>
        <v/>
      </c>
      <c r="CT429" s="124" t="str">
        <f>IF($B429="","",IFERROR(IF(OR(ABS(AB429+AC429-AD429)&gt;P_Tol,ABS(AM429+AN429-AO429)&gt;P_Tol,ABS(O429+P429-Q429)&gt;P_Tol),1,0),1))</f>
        <v/>
      </c>
      <c r="CU429" s="124" t="str">
        <f>IF($B429="","",IFERROR(IF(ABS(R429-(AB429+AM429+AP429+AR429+AT429+AV429+AX429+AZ429+BB429+BD429))&gt;P_Tol,1,0),1))</f>
        <v/>
      </c>
      <c r="CV429" s="124" t="str">
        <f>IF($B429="","",IFERROR(IF(ABS(M429-(N429+O429+R429))&gt;P_Tol,1,0),1))</f>
        <v/>
      </c>
      <c r="CW429" s="124" t="str">
        <f>IF($B429="","",IF(COUNTIF(Mapping!$A$5:$A$104,B429)&gt;0,1,0))</f>
        <v/>
      </c>
      <c r="CX429" s="124" t="str">
        <f>IF($B429="","",COUNTIF($B$6:$B$505,B429))</f>
        <v/>
      </c>
      <c r="CY429" s="124" t="str">
        <f>IF($B429="","",COUNTIF(STG_Woningetalage!$B$6:$B$505,B429))</f>
        <v/>
      </c>
      <c r="CZ429" s="124" t="str">
        <f>IF($B429="","",IF(CW429=0,COUNTIF($CW$6:CW429,0),""))</f>
        <v/>
      </c>
    </row>
    <row r="430">
      <c r="A430" s="15" t="n">
        <v>426</v>
      </c>
      <c r="B430" t="str">
        <f>IF(B$3=0,"",IF(INDEX(SRC_ZPMW03!$A$1:$ZZ$501,$A430,B$3)&amp;""="","",INDEX(SRC_ZPMW03!$A$1:$ZZ$501,$A430,B$3)&amp;""))</f>
        <v/>
      </c>
      <c r="C430" t="str">
        <f>IF($B430="","",IF(C$3=0,"n.b.",INDEX(SRC_ZPMW03!$A$1:$ZZ$501,$A430,C$3)))</f>
        <v/>
      </c>
      <c r="D430" t="str">
        <f>IF($B430="","",IF(D$3=0,"n.b.",INDEX(SRC_ZPMW03!$A$1:$ZZ$501,$A430,D$3)))</f>
        <v/>
      </c>
      <c r="E430" t="str">
        <f>IF($B430="","",IF(E$3=0,"n.b.",INDEX(SRC_ZPMW03!$A$1:$ZZ$501,$A430,E$3)))</f>
        <v/>
      </c>
      <c r="F430" t="str">
        <f>IF($B430="","",IF(F$3=0,"n.b.",INDEX(SRC_ZPMW03!$A$1:$ZZ$501,$A430,F$3)))</f>
        <v/>
      </c>
      <c r="G430" t="str">
        <f>IF($B430="","",IF(G$3=0,"n.b.",INDEX(SRC_ZPMW03!$A$1:$ZZ$501,$A430,G$3)))</f>
        <v/>
      </c>
      <c r="H430" t="str">
        <f>IF($B430="","",IF(H$3=0,"n.b.",INDEX(SRC_ZPMW03!$A$1:$ZZ$501,$A430,H$3)))</f>
        <v/>
      </c>
      <c r="I430" t="str">
        <f>IF($B430="","",IF(I$3=0,"n.b.",INDEX(SRC_ZPMW03!$A$1:$ZZ$501,$A430,I$3)))</f>
        <v/>
      </c>
      <c r="J430" t="str">
        <f>IF($B430="","",IF(J$3=0,"n.b.",INDEX(SRC_ZPMW03!$A$1:$ZZ$501,$A430,J$3)))</f>
        <v/>
      </c>
      <c r="K430" t="str">
        <f>IF($B430="","",IF(K$3=0,"n.b.",INDEX(SRC_ZPMW03!$A$1:$ZZ$501,$A430,K$3)))</f>
        <v/>
      </c>
      <c r="L430" s="124" t="str">
        <f>IF($B430="","",IF(L$3=0,"n.b.",INDEX(SRC_ZPMW03!$A$1:$ZZ$501,$A430,L$3)))</f>
        <v/>
      </c>
      <c r="M430" s="124" t="str">
        <f>IF($B430="","",IF(M$3=0,"n.b.",INDEX(SRC_ZPMW03!$A$1:$ZZ$501,$A430,M$3)))</f>
        <v/>
      </c>
      <c r="N430" s="124" t="str">
        <f>IF($B430="","",IF(N$3=0,"n.b.",INDEX(SRC_ZPMW03!$A$1:$ZZ$501,$A430,N$3)))</f>
        <v/>
      </c>
      <c r="O430" s="124" t="str">
        <f>IF($B430="","",IF(O$3=0,"n.b.",INDEX(SRC_ZPMW03!$A$1:$ZZ$501,$A430,O$3)))</f>
        <v/>
      </c>
      <c r="P430" s="124" t="str">
        <f>IF($B430="","",IF(P$3=0,"n.b.",INDEX(SRC_ZPMW03!$A$1:$ZZ$501,$A430,P$3)))</f>
        <v/>
      </c>
      <c r="Q430" s="124" t="str">
        <f>IF($B430="","",IF(Q$3=0,"n.b.",INDEX(SRC_ZPMW03!$A$1:$ZZ$501,$A430,Q$3)))</f>
        <v/>
      </c>
      <c r="R430" s="124" t="str">
        <f>IF($B430="","",IF(R$3=0,"n.b.",INDEX(SRC_ZPMW03!$A$1:$ZZ$501,$A430,R$3)))</f>
        <v/>
      </c>
      <c r="S430" s="124" t="str">
        <f>IF($B430="","",IF(S$3=0,"n.b.",INDEX(SRC_ZPMW03!$A$1:$ZZ$501,$A430,S$3)))</f>
        <v/>
      </c>
      <c r="T430" s="124" t="str">
        <f>IF($B430="","",IF(T$3=0,"n.b.",INDEX(SRC_ZPMW03!$A$1:$ZZ$501,$A430,T$3)))</f>
        <v/>
      </c>
      <c r="U430" s="124" t="str">
        <f>IF($B430="","",IF(U$3=0,"n.b.",INDEX(SRC_ZPMW03!$A$1:$ZZ$501,$A430,U$3)))</f>
        <v/>
      </c>
      <c r="V430" s="124" t="str">
        <f>IF($B430="","",IF(V$3=0,"n.b.",INDEX(SRC_ZPMW03!$A$1:$ZZ$501,$A430,V$3)))</f>
        <v/>
      </c>
      <c r="W430" s="124" t="str">
        <f>IF($B430="","",IF(W$3=0,"n.b.",INDEX(SRC_ZPMW03!$A$1:$ZZ$501,$A430,W$3)))</f>
        <v/>
      </c>
      <c r="X430" s="124" t="str">
        <f>IF($B430="","",IF(X$3=0,"n.b.",INDEX(SRC_ZPMW03!$A$1:$ZZ$501,$A430,X$3)))</f>
        <v/>
      </c>
      <c r="Y430" s="124" t="str">
        <f>IF($B430="","",IF(Y$3=0,"n.b.",INDEX(SRC_ZPMW03!$A$1:$ZZ$501,$A430,Y$3)))</f>
        <v/>
      </c>
      <c r="Z430" s="124" t="str">
        <f>IF($B430="","",IF(Z$3=0,"n.b.",INDEX(SRC_ZPMW03!$A$1:$ZZ$501,$A430,Z$3)))</f>
        <v/>
      </c>
      <c r="AA430" s="124" t="str">
        <f>IF($B430="","",IF(AA$3=0,"n.b.",INDEX(SRC_ZPMW03!$A$1:$ZZ$501,$A430,AA$3)))</f>
        <v/>
      </c>
      <c r="AB430" s="124" t="str">
        <f>IF($B430="","",IF(AB$3=0,"n.b.",INDEX(SRC_ZPMW03!$A$1:$ZZ$501,$A430,AB$3)))</f>
        <v/>
      </c>
      <c r="AC430" s="124" t="str">
        <f>IF($B430="","",IF(AC$3=0,"n.b.",INDEX(SRC_ZPMW03!$A$1:$ZZ$501,$A430,AC$3)))</f>
        <v/>
      </c>
      <c r="AD430" s="124" t="str">
        <f>IF($B430="","",IF(AD$3=0,"n.b.",INDEX(SRC_ZPMW03!$A$1:$ZZ$501,$A430,AD$3)))</f>
        <v/>
      </c>
      <c r="AE430" s="124" t="str">
        <f>IF($B430="","",IF(AE$3=0,"n.b.",INDEX(SRC_ZPMW03!$A$1:$ZZ$501,$A430,AE$3)))</f>
        <v/>
      </c>
      <c r="AF430" s="124" t="str">
        <f>IF($B430="","",IF(AF$3=0,"n.b.",INDEX(SRC_ZPMW03!$A$1:$ZZ$501,$A430,AF$3)))</f>
        <v/>
      </c>
      <c r="AG430" s="124" t="str">
        <f>IF($B430="","",IF(AG$3=0,"n.b.",INDEX(SRC_ZPMW03!$A$1:$ZZ$501,$A430,AG$3)))</f>
        <v/>
      </c>
      <c r="AH430" s="124" t="str">
        <f>IF($B430="","",IF(AH$3=0,"n.b.",INDEX(SRC_ZPMW03!$A$1:$ZZ$501,$A430,AH$3)))</f>
        <v/>
      </c>
      <c r="AI430" s="124" t="str">
        <f>IF($B430="","",IF(AI$3=0,"n.b.",INDEX(SRC_ZPMW03!$A$1:$ZZ$501,$A430,AI$3)))</f>
        <v/>
      </c>
      <c r="AJ430" s="124" t="str">
        <f>IF($B430="","",IF(AJ$3=0,"n.b.",INDEX(SRC_ZPMW03!$A$1:$ZZ$501,$A430,AJ$3)))</f>
        <v/>
      </c>
      <c r="AK430" s="124" t="str">
        <f>IF($B430="","",IF(AK$3=0,"n.b.",INDEX(SRC_ZPMW03!$A$1:$ZZ$501,$A430,AK$3)))</f>
        <v/>
      </c>
      <c r="AL430" s="124" t="str">
        <f>IF($B430="","",IF(AL$3=0,"n.b.",INDEX(SRC_ZPMW03!$A$1:$ZZ$501,$A430,AL$3)))</f>
        <v/>
      </c>
      <c r="AM430" s="124" t="str">
        <f>IF($B430="","",IF(AM$3=0,"n.b.",INDEX(SRC_ZPMW03!$A$1:$ZZ$501,$A430,AM$3)))</f>
        <v/>
      </c>
      <c r="AN430" s="124" t="str">
        <f>IF($B430="","",IF(AN$3=0,"n.b.",INDEX(SRC_ZPMW03!$A$1:$ZZ$501,$A430,AN$3)))</f>
        <v/>
      </c>
      <c r="AO430" s="124" t="str">
        <f>IF($B430="","",IF(AO$3=0,"n.b.",INDEX(SRC_ZPMW03!$A$1:$ZZ$501,$A430,AO$3)))</f>
        <v/>
      </c>
      <c r="AP430" s="124" t="str">
        <f>IF($B430="","",IF(AP$3=0,"n.b.",INDEX(SRC_ZPMW03!$A$1:$ZZ$501,$A430,AP$3)))</f>
        <v/>
      </c>
      <c r="AQ430" s="124" t="str">
        <f>IF($B430="","",IF(AQ$3=0,"n.b.",INDEX(SRC_ZPMW03!$A$1:$ZZ$501,$A430,AQ$3)))</f>
        <v/>
      </c>
      <c r="AR430" s="124" t="str">
        <f>IF($B430="","",IF(AR$3=0,"n.b.",INDEX(SRC_ZPMW03!$A$1:$ZZ$501,$A430,AR$3)))</f>
        <v/>
      </c>
      <c r="AS430" s="124" t="str">
        <f>IF($B430="","",IF(AS$3=0,"n.b.",INDEX(SRC_ZPMW03!$A$1:$ZZ$501,$A430,AS$3)))</f>
        <v/>
      </c>
      <c r="AT430" s="124" t="str">
        <f>IF($B430="","",IF(AT$3=0,"n.b.",INDEX(SRC_ZPMW03!$A$1:$ZZ$501,$A430,AT$3)))</f>
        <v/>
      </c>
      <c r="AU430" s="124" t="str">
        <f>IF($B430="","",IF(AU$3=0,"n.b.",INDEX(SRC_ZPMW03!$A$1:$ZZ$501,$A430,AU$3)))</f>
        <v/>
      </c>
      <c r="AV430" s="124" t="str">
        <f>IF($B430="","",IF(AV$3=0,"n.b.",INDEX(SRC_ZPMW03!$A$1:$ZZ$501,$A430,AV$3)))</f>
        <v/>
      </c>
      <c r="AW430" s="124" t="str">
        <f>IF($B430="","",IF(AW$3=0,"n.b.",INDEX(SRC_ZPMW03!$A$1:$ZZ$501,$A430,AW$3)))</f>
        <v/>
      </c>
      <c r="AX430" s="124" t="str">
        <f>IF($B430="","",IF(AX$3=0,"n.b.",INDEX(SRC_ZPMW03!$A$1:$ZZ$501,$A430,AX$3)))</f>
        <v/>
      </c>
      <c r="AY430" s="124" t="str">
        <f>IF($B430="","",IF(AY$3=0,"n.b.",INDEX(SRC_ZPMW03!$A$1:$ZZ$501,$A430,AY$3)))</f>
        <v/>
      </c>
      <c r="AZ430" s="124" t="str">
        <f>IF($B430="","",IF(AZ$3=0,"n.b.",INDEX(SRC_ZPMW03!$A$1:$ZZ$501,$A430,AZ$3)))</f>
        <v/>
      </c>
      <c r="BA430" s="124" t="str">
        <f>IF($B430="","",IF(BA$3=0,"n.b.",INDEX(SRC_ZPMW03!$A$1:$ZZ$501,$A430,BA$3)))</f>
        <v/>
      </c>
      <c r="BB430" s="124" t="str">
        <f>IF($B430="","",IF(BB$3=0,"n.b.",INDEX(SRC_ZPMW03!$A$1:$ZZ$501,$A430,BB$3)))</f>
        <v/>
      </c>
      <c r="BC430" s="124" t="str">
        <f>IF($B430="","",IF(BC$3=0,"n.b.",INDEX(SRC_ZPMW03!$A$1:$ZZ$501,$A430,BC$3)))</f>
        <v/>
      </c>
      <c r="BD430" s="124" t="str">
        <f>IF($B430="","",IF(BD$3=0,"n.b.",INDEX(SRC_ZPMW03!$A$1:$ZZ$501,$A430,BD$3)))</f>
        <v/>
      </c>
      <c r="BE430" s="124" t="str">
        <f>IF($B430="","",IF(BE$3=0,"n.b.",INDEX(SRC_ZPMW03!$A$1:$ZZ$501,$A430,BE$3)))</f>
        <v/>
      </c>
      <c r="BF430" s="124" t="str">
        <f>IF($B430="","",IF(BF$3=0,"n.b.",INDEX(SRC_ZPMW03!$A$1:$ZZ$501,$A430,BF$3)))</f>
        <v/>
      </c>
      <c r="BG430" t="str">
        <f>IF($B430="","",IF(BG$3=0,"n.b.",INDEX(SRC_ZPMW03!$A$1:$ZZ$501,$A430,BG$3)))</f>
        <v/>
      </c>
      <c r="BH430" t="str">
        <f>IF($B430="","",IF(BH$3=0,"n.b.",INDEX(SRC_ZPMW03!$A$1:$ZZ$501,$A430,BH$3)))</f>
        <v/>
      </c>
      <c r="BI430" t="str">
        <f>IF($B430="","",IF(BI$3=0,"n.b.",INDEX(SRC_ZPMW03!$A$1:$ZZ$501,$A430,BI$3)))</f>
        <v/>
      </c>
      <c r="BJ430" t="str">
        <f>IF($B430="","",IF(BJ$3=0,"n.b.",INDEX(SRC_ZPMW03!$A$1:$ZZ$501,$A430,BJ$3)))</f>
        <v/>
      </c>
      <c r="BK430" s="124" t="str">
        <f>IF($B430="","",IFERROR(-O430,"n.b."))</f>
        <v/>
      </c>
      <c r="BL430" s="124" t="str">
        <f>IF($B430="","",IFERROR(-Q430,"n.b."))</f>
        <v/>
      </c>
      <c r="BM430" s="124" t="str">
        <f>IF($B430="","",IFERROR(-AB430,"n.b."))</f>
        <v/>
      </c>
      <c r="BN430" s="124" t="str">
        <f>IF($B430="","",IFERROR(-AD430,"n.b."))</f>
        <v/>
      </c>
      <c r="BO430" s="124" t="str">
        <f>IF($B430="","",IFERROR(BK430+BM430,"n.b."))</f>
        <v/>
      </c>
      <c r="BP430" s="124" t="str">
        <f>IF($B430="","",IFERROR(BL430+BN430,"n.b."))</f>
        <v/>
      </c>
      <c r="BQ430" s="124" t="str">
        <f>IF($B430="","",IFERROR(-AM430,"n.b."))</f>
        <v/>
      </c>
      <c r="BR430" s="124" t="str">
        <f>IF($B430="","",IFERROR(-AO430,"n.b."))</f>
        <v/>
      </c>
      <c r="BS430" s="124" t="str">
        <f>IF($B430="","",IFERROR(-Z430,"n.b."))</f>
        <v/>
      </c>
      <c r="BT430" s="124" t="str">
        <f>IF($B430="","",IFERROR(-AA430,"n.b."))</f>
        <v/>
      </c>
      <c r="BU430" s="124" t="str">
        <f>IF($B430="","",IFERROR(-AE430,"n.b."))</f>
        <v/>
      </c>
      <c r="BV430" s="124" t="str">
        <f>IF($B430="","",IFERROR(-AF430,"n.b."))</f>
        <v/>
      </c>
      <c r="BW430" s="124" t="str">
        <f>IF($B430="","",IFERROR(-AG430,"n.b."))</f>
        <v/>
      </c>
      <c r="BX430" s="124" t="str">
        <f>IF($B430="","",IFERROR(-AH430,"n.b."))</f>
        <v/>
      </c>
      <c r="BY430" s="124" t="str">
        <f>IF($B430="","",IFERROR(-AI430,"n.b."))</f>
        <v/>
      </c>
      <c r="BZ430" s="124" t="str">
        <f>IF($B430="","",IFERROR(-AJ430,"n.b."))</f>
        <v/>
      </c>
      <c r="CA430" s="124" t="str">
        <f>IF($B430="","",IFERROR(-AK430,"n.b."))</f>
        <v/>
      </c>
      <c r="CB430" s="124" t="str">
        <f>IF($B430="","",IFERROR(-AL430,"n.b."))</f>
        <v/>
      </c>
      <c r="CC430" s="124" t="str">
        <f>IF($B430="","",IFERROR(-AP430,"n.b."))</f>
        <v/>
      </c>
      <c r="CD430" s="124" t="str">
        <f>IF($B430="","",IFERROR(-AQ430,"n.b."))</f>
        <v/>
      </c>
      <c r="CE430" s="124" t="str">
        <f>IF($B430="","",IFERROR(-AR430,"n.b."))</f>
        <v/>
      </c>
      <c r="CF430" s="124" t="str">
        <f>IF($B430="","",IFERROR(-AS430,"n.b."))</f>
        <v/>
      </c>
      <c r="CG430" s="124" t="str">
        <f>IF($B430="","",IFERROR(-AT430,"n.b."))</f>
        <v/>
      </c>
      <c r="CH430" s="124" t="str">
        <f>IF($B430="","",IFERROR(-AU430,"n.b."))</f>
        <v/>
      </c>
      <c r="CI430" s="124" t="str">
        <f>IF($B430="","",IFERROR(-AV430,"n.b."))</f>
        <v/>
      </c>
      <c r="CJ430" s="124" t="str">
        <f>IF($B430="","",IFERROR(-AW430,"n.b."))</f>
        <v/>
      </c>
      <c r="CK430" s="124" t="str">
        <f>IF($B430="","",IFERROR(-AX430,"n.b."))</f>
        <v/>
      </c>
      <c r="CL430" s="124" t="str">
        <f>IF($B430="","",IFERROR(-AY430,"n.b."))</f>
        <v/>
      </c>
      <c r="CM430" s="124" t="str">
        <f>IF($B430="","",IFERROR(-AZ430,"n.b."))</f>
        <v/>
      </c>
      <c r="CN430" s="124" t="str">
        <f>IF($B430="","",IFERROR(-BA430,"n.b."))</f>
        <v/>
      </c>
      <c r="CO430" s="124" t="str">
        <f>IF($B430="","",IFERROR(-BB430,"n.b."))</f>
        <v/>
      </c>
      <c r="CP430" s="124" t="str">
        <f>IF($B430="","",IFERROR(-BC430,"n.b."))</f>
        <v/>
      </c>
      <c r="CQ430" s="124" t="str">
        <f>IF($B430="","",IFERROR(-BD430,"n.b."))</f>
        <v/>
      </c>
      <c r="CR430" s="124" t="str">
        <f>IF($B430="","",IFERROR(-BE430,"n.b."))</f>
        <v/>
      </c>
      <c r="CS430" s="124" t="str">
        <f>IF($B430="","",IFERROR(IF(OR(ABS(T430+V430+X430+Z430-AB430)&gt;P_Tol,ABS(U430+W430+Y430+AA430-AD430)&gt;P_Tol,ABS(AE430+AG430+AI430+AK430-AM430)&gt;P_Tol,ABS(AF430+AH430+AJ430+AL430-AO430)&gt;P_Tol),1,0),1))</f>
        <v/>
      </c>
      <c r="CT430" s="124" t="str">
        <f>IF($B430="","",IFERROR(IF(OR(ABS(AB430+AC430-AD430)&gt;P_Tol,ABS(AM430+AN430-AO430)&gt;P_Tol,ABS(O430+P430-Q430)&gt;P_Tol),1,0),1))</f>
        <v/>
      </c>
      <c r="CU430" s="124" t="str">
        <f>IF($B430="","",IFERROR(IF(ABS(R430-(AB430+AM430+AP430+AR430+AT430+AV430+AX430+AZ430+BB430+BD430))&gt;P_Tol,1,0),1))</f>
        <v/>
      </c>
      <c r="CV430" s="124" t="str">
        <f>IF($B430="","",IFERROR(IF(ABS(M430-(N430+O430+R430))&gt;P_Tol,1,0),1))</f>
        <v/>
      </c>
      <c r="CW430" s="124" t="str">
        <f>IF($B430="","",IF(COUNTIF(Mapping!$A$5:$A$104,B430)&gt;0,1,0))</f>
        <v/>
      </c>
      <c r="CX430" s="124" t="str">
        <f>IF($B430="","",COUNTIF($B$6:$B$505,B430))</f>
        <v/>
      </c>
      <c r="CY430" s="124" t="str">
        <f>IF($B430="","",COUNTIF(STG_Woningetalage!$B$6:$B$505,B430))</f>
        <v/>
      </c>
      <c r="CZ430" s="124" t="str">
        <f>IF($B430="","",IF(CW430=0,COUNTIF($CW$6:CW430,0),""))</f>
        <v/>
      </c>
    </row>
    <row r="431">
      <c r="A431" s="15" t="n">
        <v>427</v>
      </c>
      <c r="B431" t="str">
        <f>IF(B$3=0,"",IF(INDEX(SRC_ZPMW03!$A$1:$ZZ$501,$A431,B$3)&amp;""="","",INDEX(SRC_ZPMW03!$A$1:$ZZ$501,$A431,B$3)&amp;""))</f>
        <v/>
      </c>
      <c r="C431" t="str">
        <f>IF($B431="","",IF(C$3=0,"n.b.",INDEX(SRC_ZPMW03!$A$1:$ZZ$501,$A431,C$3)))</f>
        <v/>
      </c>
      <c r="D431" t="str">
        <f>IF($B431="","",IF(D$3=0,"n.b.",INDEX(SRC_ZPMW03!$A$1:$ZZ$501,$A431,D$3)))</f>
        <v/>
      </c>
      <c r="E431" t="str">
        <f>IF($B431="","",IF(E$3=0,"n.b.",INDEX(SRC_ZPMW03!$A$1:$ZZ$501,$A431,E$3)))</f>
        <v/>
      </c>
      <c r="F431" t="str">
        <f>IF($B431="","",IF(F$3=0,"n.b.",INDEX(SRC_ZPMW03!$A$1:$ZZ$501,$A431,F$3)))</f>
        <v/>
      </c>
      <c r="G431" t="str">
        <f>IF($B431="","",IF(G$3=0,"n.b.",INDEX(SRC_ZPMW03!$A$1:$ZZ$501,$A431,G$3)))</f>
        <v/>
      </c>
      <c r="H431" t="str">
        <f>IF($B431="","",IF(H$3=0,"n.b.",INDEX(SRC_ZPMW03!$A$1:$ZZ$501,$A431,H$3)))</f>
        <v/>
      </c>
      <c r="I431" t="str">
        <f>IF($B431="","",IF(I$3=0,"n.b.",INDEX(SRC_ZPMW03!$A$1:$ZZ$501,$A431,I$3)))</f>
        <v/>
      </c>
      <c r="J431" t="str">
        <f>IF($B431="","",IF(J$3=0,"n.b.",INDEX(SRC_ZPMW03!$A$1:$ZZ$501,$A431,J$3)))</f>
        <v/>
      </c>
      <c r="K431" t="str">
        <f>IF($B431="","",IF(K$3=0,"n.b.",INDEX(SRC_ZPMW03!$A$1:$ZZ$501,$A431,K$3)))</f>
        <v/>
      </c>
      <c r="L431" s="124" t="str">
        <f>IF($B431="","",IF(L$3=0,"n.b.",INDEX(SRC_ZPMW03!$A$1:$ZZ$501,$A431,L$3)))</f>
        <v/>
      </c>
      <c r="M431" s="124" t="str">
        <f>IF($B431="","",IF(M$3=0,"n.b.",INDEX(SRC_ZPMW03!$A$1:$ZZ$501,$A431,M$3)))</f>
        <v/>
      </c>
      <c r="N431" s="124" t="str">
        <f>IF($B431="","",IF(N$3=0,"n.b.",INDEX(SRC_ZPMW03!$A$1:$ZZ$501,$A431,N$3)))</f>
        <v/>
      </c>
      <c r="O431" s="124" t="str">
        <f>IF($B431="","",IF(O$3=0,"n.b.",INDEX(SRC_ZPMW03!$A$1:$ZZ$501,$A431,O$3)))</f>
        <v/>
      </c>
      <c r="P431" s="124" t="str">
        <f>IF($B431="","",IF(P$3=0,"n.b.",INDEX(SRC_ZPMW03!$A$1:$ZZ$501,$A431,P$3)))</f>
        <v/>
      </c>
      <c r="Q431" s="124" t="str">
        <f>IF($B431="","",IF(Q$3=0,"n.b.",INDEX(SRC_ZPMW03!$A$1:$ZZ$501,$A431,Q$3)))</f>
        <v/>
      </c>
      <c r="R431" s="124" t="str">
        <f>IF($B431="","",IF(R$3=0,"n.b.",INDEX(SRC_ZPMW03!$A$1:$ZZ$501,$A431,R$3)))</f>
        <v/>
      </c>
      <c r="S431" s="124" t="str">
        <f>IF($B431="","",IF(S$3=0,"n.b.",INDEX(SRC_ZPMW03!$A$1:$ZZ$501,$A431,S$3)))</f>
        <v/>
      </c>
      <c r="T431" s="124" t="str">
        <f>IF($B431="","",IF(T$3=0,"n.b.",INDEX(SRC_ZPMW03!$A$1:$ZZ$501,$A431,T$3)))</f>
        <v/>
      </c>
      <c r="U431" s="124" t="str">
        <f>IF($B431="","",IF(U$3=0,"n.b.",INDEX(SRC_ZPMW03!$A$1:$ZZ$501,$A431,U$3)))</f>
        <v/>
      </c>
      <c r="V431" s="124" t="str">
        <f>IF($B431="","",IF(V$3=0,"n.b.",INDEX(SRC_ZPMW03!$A$1:$ZZ$501,$A431,V$3)))</f>
        <v/>
      </c>
      <c r="W431" s="124" t="str">
        <f>IF($B431="","",IF(W$3=0,"n.b.",INDEX(SRC_ZPMW03!$A$1:$ZZ$501,$A431,W$3)))</f>
        <v/>
      </c>
      <c r="X431" s="124" t="str">
        <f>IF($B431="","",IF(X$3=0,"n.b.",INDEX(SRC_ZPMW03!$A$1:$ZZ$501,$A431,X$3)))</f>
        <v/>
      </c>
      <c r="Y431" s="124" t="str">
        <f>IF($B431="","",IF(Y$3=0,"n.b.",INDEX(SRC_ZPMW03!$A$1:$ZZ$501,$A431,Y$3)))</f>
        <v/>
      </c>
      <c r="Z431" s="124" t="str">
        <f>IF($B431="","",IF(Z$3=0,"n.b.",INDEX(SRC_ZPMW03!$A$1:$ZZ$501,$A431,Z$3)))</f>
        <v/>
      </c>
      <c r="AA431" s="124" t="str">
        <f>IF($B431="","",IF(AA$3=0,"n.b.",INDEX(SRC_ZPMW03!$A$1:$ZZ$501,$A431,AA$3)))</f>
        <v/>
      </c>
      <c r="AB431" s="124" t="str">
        <f>IF($B431="","",IF(AB$3=0,"n.b.",INDEX(SRC_ZPMW03!$A$1:$ZZ$501,$A431,AB$3)))</f>
        <v/>
      </c>
      <c r="AC431" s="124" t="str">
        <f>IF($B431="","",IF(AC$3=0,"n.b.",INDEX(SRC_ZPMW03!$A$1:$ZZ$501,$A431,AC$3)))</f>
        <v/>
      </c>
      <c r="AD431" s="124" t="str">
        <f>IF($B431="","",IF(AD$3=0,"n.b.",INDEX(SRC_ZPMW03!$A$1:$ZZ$501,$A431,AD$3)))</f>
        <v/>
      </c>
      <c r="AE431" s="124" t="str">
        <f>IF($B431="","",IF(AE$3=0,"n.b.",INDEX(SRC_ZPMW03!$A$1:$ZZ$501,$A431,AE$3)))</f>
        <v/>
      </c>
      <c r="AF431" s="124" t="str">
        <f>IF($B431="","",IF(AF$3=0,"n.b.",INDEX(SRC_ZPMW03!$A$1:$ZZ$501,$A431,AF$3)))</f>
        <v/>
      </c>
      <c r="AG431" s="124" t="str">
        <f>IF($B431="","",IF(AG$3=0,"n.b.",INDEX(SRC_ZPMW03!$A$1:$ZZ$501,$A431,AG$3)))</f>
        <v/>
      </c>
      <c r="AH431" s="124" t="str">
        <f>IF($B431="","",IF(AH$3=0,"n.b.",INDEX(SRC_ZPMW03!$A$1:$ZZ$501,$A431,AH$3)))</f>
        <v/>
      </c>
      <c r="AI431" s="124" t="str">
        <f>IF($B431="","",IF(AI$3=0,"n.b.",INDEX(SRC_ZPMW03!$A$1:$ZZ$501,$A431,AI$3)))</f>
        <v/>
      </c>
      <c r="AJ431" s="124" t="str">
        <f>IF($B431="","",IF(AJ$3=0,"n.b.",INDEX(SRC_ZPMW03!$A$1:$ZZ$501,$A431,AJ$3)))</f>
        <v/>
      </c>
      <c r="AK431" s="124" t="str">
        <f>IF($B431="","",IF(AK$3=0,"n.b.",INDEX(SRC_ZPMW03!$A$1:$ZZ$501,$A431,AK$3)))</f>
        <v/>
      </c>
      <c r="AL431" s="124" t="str">
        <f>IF($B431="","",IF(AL$3=0,"n.b.",INDEX(SRC_ZPMW03!$A$1:$ZZ$501,$A431,AL$3)))</f>
        <v/>
      </c>
      <c r="AM431" s="124" t="str">
        <f>IF($B431="","",IF(AM$3=0,"n.b.",INDEX(SRC_ZPMW03!$A$1:$ZZ$501,$A431,AM$3)))</f>
        <v/>
      </c>
      <c r="AN431" s="124" t="str">
        <f>IF($B431="","",IF(AN$3=0,"n.b.",INDEX(SRC_ZPMW03!$A$1:$ZZ$501,$A431,AN$3)))</f>
        <v/>
      </c>
      <c r="AO431" s="124" t="str">
        <f>IF($B431="","",IF(AO$3=0,"n.b.",INDEX(SRC_ZPMW03!$A$1:$ZZ$501,$A431,AO$3)))</f>
        <v/>
      </c>
      <c r="AP431" s="124" t="str">
        <f>IF($B431="","",IF(AP$3=0,"n.b.",INDEX(SRC_ZPMW03!$A$1:$ZZ$501,$A431,AP$3)))</f>
        <v/>
      </c>
      <c r="AQ431" s="124" t="str">
        <f>IF($B431="","",IF(AQ$3=0,"n.b.",INDEX(SRC_ZPMW03!$A$1:$ZZ$501,$A431,AQ$3)))</f>
        <v/>
      </c>
      <c r="AR431" s="124" t="str">
        <f>IF($B431="","",IF(AR$3=0,"n.b.",INDEX(SRC_ZPMW03!$A$1:$ZZ$501,$A431,AR$3)))</f>
        <v/>
      </c>
      <c r="AS431" s="124" t="str">
        <f>IF($B431="","",IF(AS$3=0,"n.b.",INDEX(SRC_ZPMW03!$A$1:$ZZ$501,$A431,AS$3)))</f>
        <v/>
      </c>
      <c r="AT431" s="124" t="str">
        <f>IF($B431="","",IF(AT$3=0,"n.b.",INDEX(SRC_ZPMW03!$A$1:$ZZ$501,$A431,AT$3)))</f>
        <v/>
      </c>
      <c r="AU431" s="124" t="str">
        <f>IF($B431="","",IF(AU$3=0,"n.b.",INDEX(SRC_ZPMW03!$A$1:$ZZ$501,$A431,AU$3)))</f>
        <v/>
      </c>
      <c r="AV431" s="124" t="str">
        <f>IF($B431="","",IF(AV$3=0,"n.b.",INDEX(SRC_ZPMW03!$A$1:$ZZ$501,$A431,AV$3)))</f>
        <v/>
      </c>
      <c r="AW431" s="124" t="str">
        <f>IF($B431="","",IF(AW$3=0,"n.b.",INDEX(SRC_ZPMW03!$A$1:$ZZ$501,$A431,AW$3)))</f>
        <v/>
      </c>
      <c r="AX431" s="124" t="str">
        <f>IF($B431="","",IF(AX$3=0,"n.b.",INDEX(SRC_ZPMW03!$A$1:$ZZ$501,$A431,AX$3)))</f>
        <v/>
      </c>
      <c r="AY431" s="124" t="str">
        <f>IF($B431="","",IF(AY$3=0,"n.b.",INDEX(SRC_ZPMW03!$A$1:$ZZ$501,$A431,AY$3)))</f>
        <v/>
      </c>
      <c r="AZ431" s="124" t="str">
        <f>IF($B431="","",IF(AZ$3=0,"n.b.",INDEX(SRC_ZPMW03!$A$1:$ZZ$501,$A431,AZ$3)))</f>
        <v/>
      </c>
      <c r="BA431" s="124" t="str">
        <f>IF($B431="","",IF(BA$3=0,"n.b.",INDEX(SRC_ZPMW03!$A$1:$ZZ$501,$A431,BA$3)))</f>
        <v/>
      </c>
      <c r="BB431" s="124" t="str">
        <f>IF($B431="","",IF(BB$3=0,"n.b.",INDEX(SRC_ZPMW03!$A$1:$ZZ$501,$A431,BB$3)))</f>
        <v/>
      </c>
      <c r="BC431" s="124" t="str">
        <f>IF($B431="","",IF(BC$3=0,"n.b.",INDEX(SRC_ZPMW03!$A$1:$ZZ$501,$A431,BC$3)))</f>
        <v/>
      </c>
      <c r="BD431" s="124" t="str">
        <f>IF($B431="","",IF(BD$3=0,"n.b.",INDEX(SRC_ZPMW03!$A$1:$ZZ$501,$A431,BD$3)))</f>
        <v/>
      </c>
      <c r="BE431" s="124" t="str">
        <f>IF($B431="","",IF(BE$3=0,"n.b.",INDEX(SRC_ZPMW03!$A$1:$ZZ$501,$A431,BE$3)))</f>
        <v/>
      </c>
      <c r="BF431" s="124" t="str">
        <f>IF($B431="","",IF(BF$3=0,"n.b.",INDEX(SRC_ZPMW03!$A$1:$ZZ$501,$A431,BF$3)))</f>
        <v/>
      </c>
      <c r="BG431" t="str">
        <f>IF($B431="","",IF(BG$3=0,"n.b.",INDEX(SRC_ZPMW03!$A$1:$ZZ$501,$A431,BG$3)))</f>
        <v/>
      </c>
      <c r="BH431" t="str">
        <f>IF($B431="","",IF(BH$3=0,"n.b.",INDEX(SRC_ZPMW03!$A$1:$ZZ$501,$A431,BH$3)))</f>
        <v/>
      </c>
      <c r="BI431" t="str">
        <f>IF($B431="","",IF(BI$3=0,"n.b.",INDEX(SRC_ZPMW03!$A$1:$ZZ$501,$A431,BI$3)))</f>
        <v/>
      </c>
      <c r="BJ431" t="str">
        <f>IF($B431="","",IF(BJ$3=0,"n.b.",INDEX(SRC_ZPMW03!$A$1:$ZZ$501,$A431,BJ$3)))</f>
        <v/>
      </c>
      <c r="BK431" s="124" t="str">
        <f>IF($B431="","",IFERROR(-O431,"n.b."))</f>
        <v/>
      </c>
      <c r="BL431" s="124" t="str">
        <f>IF($B431="","",IFERROR(-Q431,"n.b."))</f>
        <v/>
      </c>
      <c r="BM431" s="124" t="str">
        <f>IF($B431="","",IFERROR(-AB431,"n.b."))</f>
        <v/>
      </c>
      <c r="BN431" s="124" t="str">
        <f>IF($B431="","",IFERROR(-AD431,"n.b."))</f>
        <v/>
      </c>
      <c r="BO431" s="124" t="str">
        <f>IF($B431="","",IFERROR(BK431+BM431,"n.b."))</f>
        <v/>
      </c>
      <c r="BP431" s="124" t="str">
        <f>IF($B431="","",IFERROR(BL431+BN431,"n.b."))</f>
        <v/>
      </c>
      <c r="BQ431" s="124" t="str">
        <f>IF($B431="","",IFERROR(-AM431,"n.b."))</f>
        <v/>
      </c>
      <c r="BR431" s="124" t="str">
        <f>IF($B431="","",IFERROR(-AO431,"n.b."))</f>
        <v/>
      </c>
      <c r="BS431" s="124" t="str">
        <f>IF($B431="","",IFERROR(-Z431,"n.b."))</f>
        <v/>
      </c>
      <c r="BT431" s="124" t="str">
        <f>IF($B431="","",IFERROR(-AA431,"n.b."))</f>
        <v/>
      </c>
      <c r="BU431" s="124" t="str">
        <f>IF($B431="","",IFERROR(-AE431,"n.b."))</f>
        <v/>
      </c>
      <c r="BV431" s="124" t="str">
        <f>IF($B431="","",IFERROR(-AF431,"n.b."))</f>
        <v/>
      </c>
      <c r="BW431" s="124" t="str">
        <f>IF($B431="","",IFERROR(-AG431,"n.b."))</f>
        <v/>
      </c>
      <c r="BX431" s="124" t="str">
        <f>IF($B431="","",IFERROR(-AH431,"n.b."))</f>
        <v/>
      </c>
      <c r="BY431" s="124" t="str">
        <f>IF($B431="","",IFERROR(-AI431,"n.b."))</f>
        <v/>
      </c>
      <c r="BZ431" s="124" t="str">
        <f>IF($B431="","",IFERROR(-AJ431,"n.b."))</f>
        <v/>
      </c>
      <c r="CA431" s="124" t="str">
        <f>IF($B431="","",IFERROR(-AK431,"n.b."))</f>
        <v/>
      </c>
      <c r="CB431" s="124" t="str">
        <f>IF($B431="","",IFERROR(-AL431,"n.b."))</f>
        <v/>
      </c>
      <c r="CC431" s="124" t="str">
        <f>IF($B431="","",IFERROR(-AP431,"n.b."))</f>
        <v/>
      </c>
      <c r="CD431" s="124" t="str">
        <f>IF($B431="","",IFERROR(-AQ431,"n.b."))</f>
        <v/>
      </c>
      <c r="CE431" s="124" t="str">
        <f>IF($B431="","",IFERROR(-AR431,"n.b."))</f>
        <v/>
      </c>
      <c r="CF431" s="124" t="str">
        <f>IF($B431="","",IFERROR(-AS431,"n.b."))</f>
        <v/>
      </c>
      <c r="CG431" s="124" t="str">
        <f>IF($B431="","",IFERROR(-AT431,"n.b."))</f>
        <v/>
      </c>
      <c r="CH431" s="124" t="str">
        <f>IF($B431="","",IFERROR(-AU431,"n.b."))</f>
        <v/>
      </c>
      <c r="CI431" s="124" t="str">
        <f>IF($B431="","",IFERROR(-AV431,"n.b."))</f>
        <v/>
      </c>
      <c r="CJ431" s="124" t="str">
        <f>IF($B431="","",IFERROR(-AW431,"n.b."))</f>
        <v/>
      </c>
      <c r="CK431" s="124" t="str">
        <f>IF($B431="","",IFERROR(-AX431,"n.b."))</f>
        <v/>
      </c>
      <c r="CL431" s="124" t="str">
        <f>IF($B431="","",IFERROR(-AY431,"n.b."))</f>
        <v/>
      </c>
      <c r="CM431" s="124" t="str">
        <f>IF($B431="","",IFERROR(-AZ431,"n.b."))</f>
        <v/>
      </c>
      <c r="CN431" s="124" t="str">
        <f>IF($B431="","",IFERROR(-BA431,"n.b."))</f>
        <v/>
      </c>
      <c r="CO431" s="124" t="str">
        <f>IF($B431="","",IFERROR(-BB431,"n.b."))</f>
        <v/>
      </c>
      <c r="CP431" s="124" t="str">
        <f>IF($B431="","",IFERROR(-BC431,"n.b."))</f>
        <v/>
      </c>
      <c r="CQ431" s="124" t="str">
        <f>IF($B431="","",IFERROR(-BD431,"n.b."))</f>
        <v/>
      </c>
      <c r="CR431" s="124" t="str">
        <f>IF($B431="","",IFERROR(-BE431,"n.b."))</f>
        <v/>
      </c>
      <c r="CS431" s="124" t="str">
        <f>IF($B431="","",IFERROR(IF(OR(ABS(T431+V431+X431+Z431-AB431)&gt;P_Tol,ABS(U431+W431+Y431+AA431-AD431)&gt;P_Tol,ABS(AE431+AG431+AI431+AK431-AM431)&gt;P_Tol,ABS(AF431+AH431+AJ431+AL431-AO431)&gt;P_Tol),1,0),1))</f>
        <v/>
      </c>
      <c r="CT431" s="124" t="str">
        <f>IF($B431="","",IFERROR(IF(OR(ABS(AB431+AC431-AD431)&gt;P_Tol,ABS(AM431+AN431-AO431)&gt;P_Tol,ABS(O431+P431-Q431)&gt;P_Tol),1,0),1))</f>
        <v/>
      </c>
      <c r="CU431" s="124" t="str">
        <f>IF($B431="","",IFERROR(IF(ABS(R431-(AB431+AM431+AP431+AR431+AT431+AV431+AX431+AZ431+BB431+BD431))&gt;P_Tol,1,0),1))</f>
        <v/>
      </c>
      <c r="CV431" s="124" t="str">
        <f>IF($B431="","",IFERROR(IF(ABS(M431-(N431+O431+R431))&gt;P_Tol,1,0),1))</f>
        <v/>
      </c>
      <c r="CW431" s="124" t="str">
        <f>IF($B431="","",IF(COUNTIF(Mapping!$A$5:$A$104,B431)&gt;0,1,0))</f>
        <v/>
      </c>
      <c r="CX431" s="124" t="str">
        <f>IF($B431="","",COUNTIF($B$6:$B$505,B431))</f>
        <v/>
      </c>
      <c r="CY431" s="124" t="str">
        <f>IF($B431="","",COUNTIF(STG_Woningetalage!$B$6:$B$505,B431))</f>
        <v/>
      </c>
      <c r="CZ431" s="124" t="str">
        <f>IF($B431="","",IF(CW431=0,COUNTIF($CW$6:CW431,0),""))</f>
        <v/>
      </c>
    </row>
    <row r="432">
      <c r="A432" s="15" t="n">
        <v>428</v>
      </c>
      <c r="B432" t="str">
        <f>IF(B$3=0,"",IF(INDEX(SRC_ZPMW03!$A$1:$ZZ$501,$A432,B$3)&amp;""="","",INDEX(SRC_ZPMW03!$A$1:$ZZ$501,$A432,B$3)&amp;""))</f>
        <v/>
      </c>
      <c r="C432" t="str">
        <f>IF($B432="","",IF(C$3=0,"n.b.",INDEX(SRC_ZPMW03!$A$1:$ZZ$501,$A432,C$3)))</f>
        <v/>
      </c>
      <c r="D432" t="str">
        <f>IF($B432="","",IF(D$3=0,"n.b.",INDEX(SRC_ZPMW03!$A$1:$ZZ$501,$A432,D$3)))</f>
        <v/>
      </c>
      <c r="E432" t="str">
        <f>IF($B432="","",IF(E$3=0,"n.b.",INDEX(SRC_ZPMW03!$A$1:$ZZ$501,$A432,E$3)))</f>
        <v/>
      </c>
      <c r="F432" t="str">
        <f>IF($B432="","",IF(F$3=0,"n.b.",INDEX(SRC_ZPMW03!$A$1:$ZZ$501,$A432,F$3)))</f>
        <v/>
      </c>
      <c r="G432" t="str">
        <f>IF($B432="","",IF(G$3=0,"n.b.",INDEX(SRC_ZPMW03!$A$1:$ZZ$501,$A432,G$3)))</f>
        <v/>
      </c>
      <c r="H432" t="str">
        <f>IF($B432="","",IF(H$3=0,"n.b.",INDEX(SRC_ZPMW03!$A$1:$ZZ$501,$A432,H$3)))</f>
        <v/>
      </c>
      <c r="I432" t="str">
        <f>IF($B432="","",IF(I$3=0,"n.b.",INDEX(SRC_ZPMW03!$A$1:$ZZ$501,$A432,I$3)))</f>
        <v/>
      </c>
      <c r="J432" t="str">
        <f>IF($B432="","",IF(J$3=0,"n.b.",INDEX(SRC_ZPMW03!$A$1:$ZZ$501,$A432,J$3)))</f>
        <v/>
      </c>
      <c r="K432" t="str">
        <f>IF($B432="","",IF(K$3=0,"n.b.",INDEX(SRC_ZPMW03!$A$1:$ZZ$501,$A432,K$3)))</f>
        <v/>
      </c>
      <c r="L432" s="124" t="str">
        <f>IF($B432="","",IF(L$3=0,"n.b.",INDEX(SRC_ZPMW03!$A$1:$ZZ$501,$A432,L$3)))</f>
        <v/>
      </c>
      <c r="M432" s="124" t="str">
        <f>IF($B432="","",IF(M$3=0,"n.b.",INDEX(SRC_ZPMW03!$A$1:$ZZ$501,$A432,M$3)))</f>
        <v/>
      </c>
      <c r="N432" s="124" t="str">
        <f>IF($B432="","",IF(N$3=0,"n.b.",INDEX(SRC_ZPMW03!$A$1:$ZZ$501,$A432,N$3)))</f>
        <v/>
      </c>
      <c r="O432" s="124" t="str">
        <f>IF($B432="","",IF(O$3=0,"n.b.",INDEX(SRC_ZPMW03!$A$1:$ZZ$501,$A432,O$3)))</f>
        <v/>
      </c>
      <c r="P432" s="124" t="str">
        <f>IF($B432="","",IF(P$3=0,"n.b.",INDEX(SRC_ZPMW03!$A$1:$ZZ$501,$A432,P$3)))</f>
        <v/>
      </c>
      <c r="Q432" s="124" t="str">
        <f>IF($B432="","",IF(Q$3=0,"n.b.",INDEX(SRC_ZPMW03!$A$1:$ZZ$501,$A432,Q$3)))</f>
        <v/>
      </c>
      <c r="R432" s="124" t="str">
        <f>IF($B432="","",IF(R$3=0,"n.b.",INDEX(SRC_ZPMW03!$A$1:$ZZ$501,$A432,R$3)))</f>
        <v/>
      </c>
      <c r="S432" s="124" t="str">
        <f>IF($B432="","",IF(S$3=0,"n.b.",INDEX(SRC_ZPMW03!$A$1:$ZZ$501,$A432,S$3)))</f>
        <v/>
      </c>
      <c r="T432" s="124" t="str">
        <f>IF($B432="","",IF(T$3=0,"n.b.",INDEX(SRC_ZPMW03!$A$1:$ZZ$501,$A432,T$3)))</f>
        <v/>
      </c>
      <c r="U432" s="124" t="str">
        <f>IF($B432="","",IF(U$3=0,"n.b.",INDEX(SRC_ZPMW03!$A$1:$ZZ$501,$A432,U$3)))</f>
        <v/>
      </c>
      <c r="V432" s="124" t="str">
        <f>IF($B432="","",IF(V$3=0,"n.b.",INDEX(SRC_ZPMW03!$A$1:$ZZ$501,$A432,V$3)))</f>
        <v/>
      </c>
      <c r="W432" s="124" t="str">
        <f>IF($B432="","",IF(W$3=0,"n.b.",INDEX(SRC_ZPMW03!$A$1:$ZZ$501,$A432,W$3)))</f>
        <v/>
      </c>
      <c r="X432" s="124" t="str">
        <f>IF($B432="","",IF(X$3=0,"n.b.",INDEX(SRC_ZPMW03!$A$1:$ZZ$501,$A432,X$3)))</f>
        <v/>
      </c>
      <c r="Y432" s="124" t="str">
        <f>IF($B432="","",IF(Y$3=0,"n.b.",INDEX(SRC_ZPMW03!$A$1:$ZZ$501,$A432,Y$3)))</f>
        <v/>
      </c>
      <c r="Z432" s="124" t="str">
        <f>IF($B432="","",IF(Z$3=0,"n.b.",INDEX(SRC_ZPMW03!$A$1:$ZZ$501,$A432,Z$3)))</f>
        <v/>
      </c>
      <c r="AA432" s="124" t="str">
        <f>IF($B432="","",IF(AA$3=0,"n.b.",INDEX(SRC_ZPMW03!$A$1:$ZZ$501,$A432,AA$3)))</f>
        <v/>
      </c>
      <c r="AB432" s="124" t="str">
        <f>IF($B432="","",IF(AB$3=0,"n.b.",INDEX(SRC_ZPMW03!$A$1:$ZZ$501,$A432,AB$3)))</f>
        <v/>
      </c>
      <c r="AC432" s="124" t="str">
        <f>IF($B432="","",IF(AC$3=0,"n.b.",INDEX(SRC_ZPMW03!$A$1:$ZZ$501,$A432,AC$3)))</f>
        <v/>
      </c>
      <c r="AD432" s="124" t="str">
        <f>IF($B432="","",IF(AD$3=0,"n.b.",INDEX(SRC_ZPMW03!$A$1:$ZZ$501,$A432,AD$3)))</f>
        <v/>
      </c>
      <c r="AE432" s="124" t="str">
        <f>IF($B432="","",IF(AE$3=0,"n.b.",INDEX(SRC_ZPMW03!$A$1:$ZZ$501,$A432,AE$3)))</f>
        <v/>
      </c>
      <c r="AF432" s="124" t="str">
        <f>IF($B432="","",IF(AF$3=0,"n.b.",INDEX(SRC_ZPMW03!$A$1:$ZZ$501,$A432,AF$3)))</f>
        <v/>
      </c>
      <c r="AG432" s="124" t="str">
        <f>IF($B432="","",IF(AG$3=0,"n.b.",INDEX(SRC_ZPMW03!$A$1:$ZZ$501,$A432,AG$3)))</f>
        <v/>
      </c>
      <c r="AH432" s="124" t="str">
        <f>IF($B432="","",IF(AH$3=0,"n.b.",INDEX(SRC_ZPMW03!$A$1:$ZZ$501,$A432,AH$3)))</f>
        <v/>
      </c>
      <c r="AI432" s="124" t="str">
        <f>IF($B432="","",IF(AI$3=0,"n.b.",INDEX(SRC_ZPMW03!$A$1:$ZZ$501,$A432,AI$3)))</f>
        <v/>
      </c>
      <c r="AJ432" s="124" t="str">
        <f>IF($B432="","",IF(AJ$3=0,"n.b.",INDEX(SRC_ZPMW03!$A$1:$ZZ$501,$A432,AJ$3)))</f>
        <v/>
      </c>
      <c r="AK432" s="124" t="str">
        <f>IF($B432="","",IF(AK$3=0,"n.b.",INDEX(SRC_ZPMW03!$A$1:$ZZ$501,$A432,AK$3)))</f>
        <v/>
      </c>
      <c r="AL432" s="124" t="str">
        <f>IF($B432="","",IF(AL$3=0,"n.b.",INDEX(SRC_ZPMW03!$A$1:$ZZ$501,$A432,AL$3)))</f>
        <v/>
      </c>
      <c r="AM432" s="124" t="str">
        <f>IF($B432="","",IF(AM$3=0,"n.b.",INDEX(SRC_ZPMW03!$A$1:$ZZ$501,$A432,AM$3)))</f>
        <v/>
      </c>
      <c r="AN432" s="124" t="str">
        <f>IF($B432="","",IF(AN$3=0,"n.b.",INDEX(SRC_ZPMW03!$A$1:$ZZ$501,$A432,AN$3)))</f>
        <v/>
      </c>
      <c r="AO432" s="124" t="str">
        <f>IF($B432="","",IF(AO$3=0,"n.b.",INDEX(SRC_ZPMW03!$A$1:$ZZ$501,$A432,AO$3)))</f>
        <v/>
      </c>
      <c r="AP432" s="124" t="str">
        <f>IF($B432="","",IF(AP$3=0,"n.b.",INDEX(SRC_ZPMW03!$A$1:$ZZ$501,$A432,AP$3)))</f>
        <v/>
      </c>
      <c r="AQ432" s="124" t="str">
        <f>IF($B432="","",IF(AQ$3=0,"n.b.",INDEX(SRC_ZPMW03!$A$1:$ZZ$501,$A432,AQ$3)))</f>
        <v/>
      </c>
      <c r="AR432" s="124" t="str">
        <f>IF($B432="","",IF(AR$3=0,"n.b.",INDEX(SRC_ZPMW03!$A$1:$ZZ$501,$A432,AR$3)))</f>
        <v/>
      </c>
      <c r="AS432" s="124" t="str">
        <f>IF($B432="","",IF(AS$3=0,"n.b.",INDEX(SRC_ZPMW03!$A$1:$ZZ$501,$A432,AS$3)))</f>
        <v/>
      </c>
      <c r="AT432" s="124" t="str">
        <f>IF($B432="","",IF(AT$3=0,"n.b.",INDEX(SRC_ZPMW03!$A$1:$ZZ$501,$A432,AT$3)))</f>
        <v/>
      </c>
      <c r="AU432" s="124" t="str">
        <f>IF($B432="","",IF(AU$3=0,"n.b.",INDEX(SRC_ZPMW03!$A$1:$ZZ$501,$A432,AU$3)))</f>
        <v/>
      </c>
      <c r="AV432" s="124" t="str">
        <f>IF($B432="","",IF(AV$3=0,"n.b.",INDEX(SRC_ZPMW03!$A$1:$ZZ$501,$A432,AV$3)))</f>
        <v/>
      </c>
      <c r="AW432" s="124" t="str">
        <f>IF($B432="","",IF(AW$3=0,"n.b.",INDEX(SRC_ZPMW03!$A$1:$ZZ$501,$A432,AW$3)))</f>
        <v/>
      </c>
      <c r="AX432" s="124" t="str">
        <f>IF($B432="","",IF(AX$3=0,"n.b.",INDEX(SRC_ZPMW03!$A$1:$ZZ$501,$A432,AX$3)))</f>
        <v/>
      </c>
      <c r="AY432" s="124" t="str">
        <f>IF($B432="","",IF(AY$3=0,"n.b.",INDEX(SRC_ZPMW03!$A$1:$ZZ$501,$A432,AY$3)))</f>
        <v/>
      </c>
      <c r="AZ432" s="124" t="str">
        <f>IF($B432="","",IF(AZ$3=0,"n.b.",INDEX(SRC_ZPMW03!$A$1:$ZZ$501,$A432,AZ$3)))</f>
        <v/>
      </c>
      <c r="BA432" s="124" t="str">
        <f>IF($B432="","",IF(BA$3=0,"n.b.",INDEX(SRC_ZPMW03!$A$1:$ZZ$501,$A432,BA$3)))</f>
        <v/>
      </c>
      <c r="BB432" s="124" t="str">
        <f>IF($B432="","",IF(BB$3=0,"n.b.",INDEX(SRC_ZPMW03!$A$1:$ZZ$501,$A432,BB$3)))</f>
        <v/>
      </c>
      <c r="BC432" s="124" t="str">
        <f>IF($B432="","",IF(BC$3=0,"n.b.",INDEX(SRC_ZPMW03!$A$1:$ZZ$501,$A432,BC$3)))</f>
        <v/>
      </c>
      <c r="BD432" s="124" t="str">
        <f>IF($B432="","",IF(BD$3=0,"n.b.",INDEX(SRC_ZPMW03!$A$1:$ZZ$501,$A432,BD$3)))</f>
        <v/>
      </c>
      <c r="BE432" s="124" t="str">
        <f>IF($B432="","",IF(BE$3=0,"n.b.",INDEX(SRC_ZPMW03!$A$1:$ZZ$501,$A432,BE$3)))</f>
        <v/>
      </c>
      <c r="BF432" s="124" t="str">
        <f>IF($B432="","",IF(BF$3=0,"n.b.",INDEX(SRC_ZPMW03!$A$1:$ZZ$501,$A432,BF$3)))</f>
        <v/>
      </c>
      <c r="BG432" t="str">
        <f>IF($B432="","",IF(BG$3=0,"n.b.",INDEX(SRC_ZPMW03!$A$1:$ZZ$501,$A432,BG$3)))</f>
        <v/>
      </c>
      <c r="BH432" t="str">
        <f>IF($B432="","",IF(BH$3=0,"n.b.",INDEX(SRC_ZPMW03!$A$1:$ZZ$501,$A432,BH$3)))</f>
        <v/>
      </c>
      <c r="BI432" t="str">
        <f>IF($B432="","",IF(BI$3=0,"n.b.",INDEX(SRC_ZPMW03!$A$1:$ZZ$501,$A432,BI$3)))</f>
        <v/>
      </c>
      <c r="BJ432" t="str">
        <f>IF($B432="","",IF(BJ$3=0,"n.b.",INDEX(SRC_ZPMW03!$A$1:$ZZ$501,$A432,BJ$3)))</f>
        <v/>
      </c>
      <c r="BK432" s="124" t="str">
        <f>IF($B432="","",IFERROR(-O432,"n.b."))</f>
        <v/>
      </c>
      <c r="BL432" s="124" t="str">
        <f>IF($B432="","",IFERROR(-Q432,"n.b."))</f>
        <v/>
      </c>
      <c r="BM432" s="124" t="str">
        <f>IF($B432="","",IFERROR(-AB432,"n.b."))</f>
        <v/>
      </c>
      <c r="BN432" s="124" t="str">
        <f>IF($B432="","",IFERROR(-AD432,"n.b."))</f>
        <v/>
      </c>
      <c r="BO432" s="124" t="str">
        <f>IF($B432="","",IFERROR(BK432+BM432,"n.b."))</f>
        <v/>
      </c>
      <c r="BP432" s="124" t="str">
        <f>IF($B432="","",IFERROR(BL432+BN432,"n.b."))</f>
        <v/>
      </c>
      <c r="BQ432" s="124" t="str">
        <f>IF($B432="","",IFERROR(-AM432,"n.b."))</f>
        <v/>
      </c>
      <c r="BR432" s="124" t="str">
        <f>IF($B432="","",IFERROR(-AO432,"n.b."))</f>
        <v/>
      </c>
      <c r="BS432" s="124" t="str">
        <f>IF($B432="","",IFERROR(-Z432,"n.b."))</f>
        <v/>
      </c>
      <c r="BT432" s="124" t="str">
        <f>IF($B432="","",IFERROR(-AA432,"n.b."))</f>
        <v/>
      </c>
      <c r="BU432" s="124" t="str">
        <f>IF($B432="","",IFERROR(-AE432,"n.b."))</f>
        <v/>
      </c>
      <c r="BV432" s="124" t="str">
        <f>IF($B432="","",IFERROR(-AF432,"n.b."))</f>
        <v/>
      </c>
      <c r="BW432" s="124" t="str">
        <f>IF($B432="","",IFERROR(-AG432,"n.b."))</f>
        <v/>
      </c>
      <c r="BX432" s="124" t="str">
        <f>IF($B432="","",IFERROR(-AH432,"n.b."))</f>
        <v/>
      </c>
      <c r="BY432" s="124" t="str">
        <f>IF($B432="","",IFERROR(-AI432,"n.b."))</f>
        <v/>
      </c>
      <c r="BZ432" s="124" t="str">
        <f>IF($B432="","",IFERROR(-AJ432,"n.b."))</f>
        <v/>
      </c>
      <c r="CA432" s="124" t="str">
        <f>IF($B432="","",IFERROR(-AK432,"n.b."))</f>
        <v/>
      </c>
      <c r="CB432" s="124" t="str">
        <f>IF($B432="","",IFERROR(-AL432,"n.b."))</f>
        <v/>
      </c>
      <c r="CC432" s="124" t="str">
        <f>IF($B432="","",IFERROR(-AP432,"n.b."))</f>
        <v/>
      </c>
      <c r="CD432" s="124" t="str">
        <f>IF($B432="","",IFERROR(-AQ432,"n.b."))</f>
        <v/>
      </c>
      <c r="CE432" s="124" t="str">
        <f>IF($B432="","",IFERROR(-AR432,"n.b."))</f>
        <v/>
      </c>
      <c r="CF432" s="124" t="str">
        <f>IF($B432="","",IFERROR(-AS432,"n.b."))</f>
        <v/>
      </c>
      <c r="CG432" s="124" t="str">
        <f>IF($B432="","",IFERROR(-AT432,"n.b."))</f>
        <v/>
      </c>
      <c r="CH432" s="124" t="str">
        <f>IF($B432="","",IFERROR(-AU432,"n.b."))</f>
        <v/>
      </c>
      <c r="CI432" s="124" t="str">
        <f>IF($B432="","",IFERROR(-AV432,"n.b."))</f>
        <v/>
      </c>
      <c r="CJ432" s="124" t="str">
        <f>IF($B432="","",IFERROR(-AW432,"n.b."))</f>
        <v/>
      </c>
      <c r="CK432" s="124" t="str">
        <f>IF($B432="","",IFERROR(-AX432,"n.b."))</f>
        <v/>
      </c>
      <c r="CL432" s="124" t="str">
        <f>IF($B432="","",IFERROR(-AY432,"n.b."))</f>
        <v/>
      </c>
      <c r="CM432" s="124" t="str">
        <f>IF($B432="","",IFERROR(-AZ432,"n.b."))</f>
        <v/>
      </c>
      <c r="CN432" s="124" t="str">
        <f>IF($B432="","",IFERROR(-BA432,"n.b."))</f>
        <v/>
      </c>
      <c r="CO432" s="124" t="str">
        <f>IF($B432="","",IFERROR(-BB432,"n.b."))</f>
        <v/>
      </c>
      <c r="CP432" s="124" t="str">
        <f>IF($B432="","",IFERROR(-BC432,"n.b."))</f>
        <v/>
      </c>
      <c r="CQ432" s="124" t="str">
        <f>IF($B432="","",IFERROR(-BD432,"n.b."))</f>
        <v/>
      </c>
      <c r="CR432" s="124" t="str">
        <f>IF($B432="","",IFERROR(-BE432,"n.b."))</f>
        <v/>
      </c>
      <c r="CS432" s="124" t="str">
        <f>IF($B432="","",IFERROR(IF(OR(ABS(T432+V432+X432+Z432-AB432)&gt;P_Tol,ABS(U432+W432+Y432+AA432-AD432)&gt;P_Tol,ABS(AE432+AG432+AI432+AK432-AM432)&gt;P_Tol,ABS(AF432+AH432+AJ432+AL432-AO432)&gt;P_Tol),1,0),1))</f>
        <v/>
      </c>
      <c r="CT432" s="124" t="str">
        <f>IF($B432="","",IFERROR(IF(OR(ABS(AB432+AC432-AD432)&gt;P_Tol,ABS(AM432+AN432-AO432)&gt;P_Tol,ABS(O432+P432-Q432)&gt;P_Tol),1,0),1))</f>
        <v/>
      </c>
      <c r="CU432" s="124" t="str">
        <f>IF($B432="","",IFERROR(IF(ABS(R432-(AB432+AM432+AP432+AR432+AT432+AV432+AX432+AZ432+BB432+BD432))&gt;P_Tol,1,0),1))</f>
        <v/>
      </c>
      <c r="CV432" s="124" t="str">
        <f>IF($B432="","",IFERROR(IF(ABS(M432-(N432+O432+R432))&gt;P_Tol,1,0),1))</f>
        <v/>
      </c>
      <c r="CW432" s="124" t="str">
        <f>IF($B432="","",IF(COUNTIF(Mapping!$A$5:$A$104,B432)&gt;0,1,0))</f>
        <v/>
      </c>
      <c r="CX432" s="124" t="str">
        <f>IF($B432="","",COUNTIF($B$6:$B$505,B432))</f>
        <v/>
      </c>
      <c r="CY432" s="124" t="str">
        <f>IF($B432="","",COUNTIF(STG_Woningetalage!$B$6:$B$505,B432))</f>
        <v/>
      </c>
      <c r="CZ432" s="124" t="str">
        <f>IF($B432="","",IF(CW432=0,COUNTIF($CW$6:CW432,0),""))</f>
        <v/>
      </c>
    </row>
    <row r="433">
      <c r="A433" s="15" t="n">
        <v>429</v>
      </c>
      <c r="B433" t="str">
        <f>IF(B$3=0,"",IF(INDEX(SRC_ZPMW03!$A$1:$ZZ$501,$A433,B$3)&amp;""="","",INDEX(SRC_ZPMW03!$A$1:$ZZ$501,$A433,B$3)&amp;""))</f>
        <v/>
      </c>
      <c r="C433" t="str">
        <f>IF($B433="","",IF(C$3=0,"n.b.",INDEX(SRC_ZPMW03!$A$1:$ZZ$501,$A433,C$3)))</f>
        <v/>
      </c>
      <c r="D433" t="str">
        <f>IF($B433="","",IF(D$3=0,"n.b.",INDEX(SRC_ZPMW03!$A$1:$ZZ$501,$A433,D$3)))</f>
        <v/>
      </c>
      <c r="E433" t="str">
        <f>IF($B433="","",IF(E$3=0,"n.b.",INDEX(SRC_ZPMW03!$A$1:$ZZ$501,$A433,E$3)))</f>
        <v/>
      </c>
      <c r="F433" t="str">
        <f>IF($B433="","",IF(F$3=0,"n.b.",INDEX(SRC_ZPMW03!$A$1:$ZZ$501,$A433,F$3)))</f>
        <v/>
      </c>
      <c r="G433" t="str">
        <f>IF($B433="","",IF(G$3=0,"n.b.",INDEX(SRC_ZPMW03!$A$1:$ZZ$501,$A433,G$3)))</f>
        <v/>
      </c>
      <c r="H433" t="str">
        <f>IF($B433="","",IF(H$3=0,"n.b.",INDEX(SRC_ZPMW03!$A$1:$ZZ$501,$A433,H$3)))</f>
        <v/>
      </c>
      <c r="I433" t="str">
        <f>IF($B433="","",IF(I$3=0,"n.b.",INDEX(SRC_ZPMW03!$A$1:$ZZ$501,$A433,I$3)))</f>
        <v/>
      </c>
      <c r="J433" t="str">
        <f>IF($B433="","",IF(J$3=0,"n.b.",INDEX(SRC_ZPMW03!$A$1:$ZZ$501,$A433,J$3)))</f>
        <v/>
      </c>
      <c r="K433" t="str">
        <f>IF($B433="","",IF(K$3=0,"n.b.",INDEX(SRC_ZPMW03!$A$1:$ZZ$501,$A433,K$3)))</f>
        <v/>
      </c>
      <c r="L433" s="124" t="str">
        <f>IF($B433="","",IF(L$3=0,"n.b.",INDEX(SRC_ZPMW03!$A$1:$ZZ$501,$A433,L$3)))</f>
        <v/>
      </c>
      <c r="M433" s="124" t="str">
        <f>IF($B433="","",IF(M$3=0,"n.b.",INDEX(SRC_ZPMW03!$A$1:$ZZ$501,$A433,M$3)))</f>
        <v/>
      </c>
      <c r="N433" s="124" t="str">
        <f>IF($B433="","",IF(N$3=0,"n.b.",INDEX(SRC_ZPMW03!$A$1:$ZZ$501,$A433,N$3)))</f>
        <v/>
      </c>
      <c r="O433" s="124" t="str">
        <f>IF($B433="","",IF(O$3=0,"n.b.",INDEX(SRC_ZPMW03!$A$1:$ZZ$501,$A433,O$3)))</f>
        <v/>
      </c>
      <c r="P433" s="124" t="str">
        <f>IF($B433="","",IF(P$3=0,"n.b.",INDEX(SRC_ZPMW03!$A$1:$ZZ$501,$A433,P$3)))</f>
        <v/>
      </c>
      <c r="Q433" s="124" t="str">
        <f>IF($B433="","",IF(Q$3=0,"n.b.",INDEX(SRC_ZPMW03!$A$1:$ZZ$501,$A433,Q$3)))</f>
        <v/>
      </c>
      <c r="R433" s="124" t="str">
        <f>IF($B433="","",IF(R$3=0,"n.b.",INDEX(SRC_ZPMW03!$A$1:$ZZ$501,$A433,R$3)))</f>
        <v/>
      </c>
      <c r="S433" s="124" t="str">
        <f>IF($B433="","",IF(S$3=0,"n.b.",INDEX(SRC_ZPMW03!$A$1:$ZZ$501,$A433,S$3)))</f>
        <v/>
      </c>
      <c r="T433" s="124" t="str">
        <f>IF($B433="","",IF(T$3=0,"n.b.",INDEX(SRC_ZPMW03!$A$1:$ZZ$501,$A433,T$3)))</f>
        <v/>
      </c>
      <c r="U433" s="124" t="str">
        <f>IF($B433="","",IF(U$3=0,"n.b.",INDEX(SRC_ZPMW03!$A$1:$ZZ$501,$A433,U$3)))</f>
        <v/>
      </c>
      <c r="V433" s="124" t="str">
        <f>IF($B433="","",IF(V$3=0,"n.b.",INDEX(SRC_ZPMW03!$A$1:$ZZ$501,$A433,V$3)))</f>
        <v/>
      </c>
      <c r="W433" s="124" t="str">
        <f>IF($B433="","",IF(W$3=0,"n.b.",INDEX(SRC_ZPMW03!$A$1:$ZZ$501,$A433,W$3)))</f>
        <v/>
      </c>
      <c r="X433" s="124" t="str">
        <f>IF($B433="","",IF(X$3=0,"n.b.",INDEX(SRC_ZPMW03!$A$1:$ZZ$501,$A433,X$3)))</f>
        <v/>
      </c>
      <c r="Y433" s="124" t="str">
        <f>IF($B433="","",IF(Y$3=0,"n.b.",INDEX(SRC_ZPMW03!$A$1:$ZZ$501,$A433,Y$3)))</f>
        <v/>
      </c>
      <c r="Z433" s="124" t="str">
        <f>IF($B433="","",IF(Z$3=0,"n.b.",INDEX(SRC_ZPMW03!$A$1:$ZZ$501,$A433,Z$3)))</f>
        <v/>
      </c>
      <c r="AA433" s="124" t="str">
        <f>IF($B433="","",IF(AA$3=0,"n.b.",INDEX(SRC_ZPMW03!$A$1:$ZZ$501,$A433,AA$3)))</f>
        <v/>
      </c>
      <c r="AB433" s="124" t="str">
        <f>IF($B433="","",IF(AB$3=0,"n.b.",INDEX(SRC_ZPMW03!$A$1:$ZZ$501,$A433,AB$3)))</f>
        <v/>
      </c>
      <c r="AC433" s="124" t="str">
        <f>IF($B433="","",IF(AC$3=0,"n.b.",INDEX(SRC_ZPMW03!$A$1:$ZZ$501,$A433,AC$3)))</f>
        <v/>
      </c>
      <c r="AD433" s="124" t="str">
        <f>IF($B433="","",IF(AD$3=0,"n.b.",INDEX(SRC_ZPMW03!$A$1:$ZZ$501,$A433,AD$3)))</f>
        <v/>
      </c>
      <c r="AE433" s="124" t="str">
        <f>IF($B433="","",IF(AE$3=0,"n.b.",INDEX(SRC_ZPMW03!$A$1:$ZZ$501,$A433,AE$3)))</f>
        <v/>
      </c>
      <c r="AF433" s="124" t="str">
        <f>IF($B433="","",IF(AF$3=0,"n.b.",INDEX(SRC_ZPMW03!$A$1:$ZZ$501,$A433,AF$3)))</f>
        <v/>
      </c>
      <c r="AG433" s="124" t="str">
        <f>IF($B433="","",IF(AG$3=0,"n.b.",INDEX(SRC_ZPMW03!$A$1:$ZZ$501,$A433,AG$3)))</f>
        <v/>
      </c>
      <c r="AH433" s="124" t="str">
        <f>IF($B433="","",IF(AH$3=0,"n.b.",INDEX(SRC_ZPMW03!$A$1:$ZZ$501,$A433,AH$3)))</f>
        <v/>
      </c>
      <c r="AI433" s="124" t="str">
        <f>IF($B433="","",IF(AI$3=0,"n.b.",INDEX(SRC_ZPMW03!$A$1:$ZZ$501,$A433,AI$3)))</f>
        <v/>
      </c>
      <c r="AJ433" s="124" t="str">
        <f>IF($B433="","",IF(AJ$3=0,"n.b.",INDEX(SRC_ZPMW03!$A$1:$ZZ$501,$A433,AJ$3)))</f>
        <v/>
      </c>
      <c r="AK433" s="124" t="str">
        <f>IF($B433="","",IF(AK$3=0,"n.b.",INDEX(SRC_ZPMW03!$A$1:$ZZ$501,$A433,AK$3)))</f>
        <v/>
      </c>
      <c r="AL433" s="124" t="str">
        <f>IF($B433="","",IF(AL$3=0,"n.b.",INDEX(SRC_ZPMW03!$A$1:$ZZ$501,$A433,AL$3)))</f>
        <v/>
      </c>
      <c r="AM433" s="124" t="str">
        <f>IF($B433="","",IF(AM$3=0,"n.b.",INDEX(SRC_ZPMW03!$A$1:$ZZ$501,$A433,AM$3)))</f>
        <v/>
      </c>
      <c r="AN433" s="124" t="str">
        <f>IF($B433="","",IF(AN$3=0,"n.b.",INDEX(SRC_ZPMW03!$A$1:$ZZ$501,$A433,AN$3)))</f>
        <v/>
      </c>
      <c r="AO433" s="124" t="str">
        <f>IF($B433="","",IF(AO$3=0,"n.b.",INDEX(SRC_ZPMW03!$A$1:$ZZ$501,$A433,AO$3)))</f>
        <v/>
      </c>
      <c r="AP433" s="124" t="str">
        <f>IF($B433="","",IF(AP$3=0,"n.b.",INDEX(SRC_ZPMW03!$A$1:$ZZ$501,$A433,AP$3)))</f>
        <v/>
      </c>
      <c r="AQ433" s="124" t="str">
        <f>IF($B433="","",IF(AQ$3=0,"n.b.",INDEX(SRC_ZPMW03!$A$1:$ZZ$501,$A433,AQ$3)))</f>
        <v/>
      </c>
      <c r="AR433" s="124" t="str">
        <f>IF($B433="","",IF(AR$3=0,"n.b.",INDEX(SRC_ZPMW03!$A$1:$ZZ$501,$A433,AR$3)))</f>
        <v/>
      </c>
      <c r="AS433" s="124" t="str">
        <f>IF($B433="","",IF(AS$3=0,"n.b.",INDEX(SRC_ZPMW03!$A$1:$ZZ$501,$A433,AS$3)))</f>
        <v/>
      </c>
      <c r="AT433" s="124" t="str">
        <f>IF($B433="","",IF(AT$3=0,"n.b.",INDEX(SRC_ZPMW03!$A$1:$ZZ$501,$A433,AT$3)))</f>
        <v/>
      </c>
      <c r="AU433" s="124" t="str">
        <f>IF($B433="","",IF(AU$3=0,"n.b.",INDEX(SRC_ZPMW03!$A$1:$ZZ$501,$A433,AU$3)))</f>
        <v/>
      </c>
      <c r="AV433" s="124" t="str">
        <f>IF($B433="","",IF(AV$3=0,"n.b.",INDEX(SRC_ZPMW03!$A$1:$ZZ$501,$A433,AV$3)))</f>
        <v/>
      </c>
      <c r="AW433" s="124" t="str">
        <f>IF($B433="","",IF(AW$3=0,"n.b.",INDEX(SRC_ZPMW03!$A$1:$ZZ$501,$A433,AW$3)))</f>
        <v/>
      </c>
      <c r="AX433" s="124" t="str">
        <f>IF($B433="","",IF(AX$3=0,"n.b.",INDEX(SRC_ZPMW03!$A$1:$ZZ$501,$A433,AX$3)))</f>
        <v/>
      </c>
      <c r="AY433" s="124" t="str">
        <f>IF($B433="","",IF(AY$3=0,"n.b.",INDEX(SRC_ZPMW03!$A$1:$ZZ$501,$A433,AY$3)))</f>
        <v/>
      </c>
      <c r="AZ433" s="124" t="str">
        <f>IF($B433="","",IF(AZ$3=0,"n.b.",INDEX(SRC_ZPMW03!$A$1:$ZZ$501,$A433,AZ$3)))</f>
        <v/>
      </c>
      <c r="BA433" s="124" t="str">
        <f>IF($B433="","",IF(BA$3=0,"n.b.",INDEX(SRC_ZPMW03!$A$1:$ZZ$501,$A433,BA$3)))</f>
        <v/>
      </c>
      <c r="BB433" s="124" t="str">
        <f>IF($B433="","",IF(BB$3=0,"n.b.",INDEX(SRC_ZPMW03!$A$1:$ZZ$501,$A433,BB$3)))</f>
        <v/>
      </c>
      <c r="BC433" s="124" t="str">
        <f>IF($B433="","",IF(BC$3=0,"n.b.",INDEX(SRC_ZPMW03!$A$1:$ZZ$501,$A433,BC$3)))</f>
        <v/>
      </c>
      <c r="BD433" s="124" t="str">
        <f>IF($B433="","",IF(BD$3=0,"n.b.",INDEX(SRC_ZPMW03!$A$1:$ZZ$501,$A433,BD$3)))</f>
        <v/>
      </c>
      <c r="BE433" s="124" t="str">
        <f>IF($B433="","",IF(BE$3=0,"n.b.",INDEX(SRC_ZPMW03!$A$1:$ZZ$501,$A433,BE$3)))</f>
        <v/>
      </c>
      <c r="BF433" s="124" t="str">
        <f>IF($B433="","",IF(BF$3=0,"n.b.",INDEX(SRC_ZPMW03!$A$1:$ZZ$501,$A433,BF$3)))</f>
        <v/>
      </c>
      <c r="BG433" t="str">
        <f>IF($B433="","",IF(BG$3=0,"n.b.",INDEX(SRC_ZPMW03!$A$1:$ZZ$501,$A433,BG$3)))</f>
        <v/>
      </c>
      <c r="BH433" t="str">
        <f>IF($B433="","",IF(BH$3=0,"n.b.",INDEX(SRC_ZPMW03!$A$1:$ZZ$501,$A433,BH$3)))</f>
        <v/>
      </c>
      <c r="BI433" t="str">
        <f>IF($B433="","",IF(BI$3=0,"n.b.",INDEX(SRC_ZPMW03!$A$1:$ZZ$501,$A433,BI$3)))</f>
        <v/>
      </c>
      <c r="BJ433" t="str">
        <f>IF($B433="","",IF(BJ$3=0,"n.b.",INDEX(SRC_ZPMW03!$A$1:$ZZ$501,$A433,BJ$3)))</f>
        <v/>
      </c>
      <c r="BK433" s="124" t="str">
        <f>IF($B433="","",IFERROR(-O433,"n.b."))</f>
        <v/>
      </c>
      <c r="BL433" s="124" t="str">
        <f>IF($B433="","",IFERROR(-Q433,"n.b."))</f>
        <v/>
      </c>
      <c r="BM433" s="124" t="str">
        <f>IF($B433="","",IFERROR(-AB433,"n.b."))</f>
        <v/>
      </c>
      <c r="BN433" s="124" t="str">
        <f>IF($B433="","",IFERROR(-AD433,"n.b."))</f>
        <v/>
      </c>
      <c r="BO433" s="124" t="str">
        <f>IF($B433="","",IFERROR(BK433+BM433,"n.b."))</f>
        <v/>
      </c>
      <c r="BP433" s="124" t="str">
        <f>IF($B433="","",IFERROR(BL433+BN433,"n.b."))</f>
        <v/>
      </c>
      <c r="BQ433" s="124" t="str">
        <f>IF($B433="","",IFERROR(-AM433,"n.b."))</f>
        <v/>
      </c>
      <c r="BR433" s="124" t="str">
        <f>IF($B433="","",IFERROR(-AO433,"n.b."))</f>
        <v/>
      </c>
      <c r="BS433" s="124" t="str">
        <f>IF($B433="","",IFERROR(-Z433,"n.b."))</f>
        <v/>
      </c>
      <c r="BT433" s="124" t="str">
        <f>IF($B433="","",IFERROR(-AA433,"n.b."))</f>
        <v/>
      </c>
      <c r="BU433" s="124" t="str">
        <f>IF($B433="","",IFERROR(-AE433,"n.b."))</f>
        <v/>
      </c>
      <c r="BV433" s="124" t="str">
        <f>IF($B433="","",IFERROR(-AF433,"n.b."))</f>
        <v/>
      </c>
      <c r="BW433" s="124" t="str">
        <f>IF($B433="","",IFERROR(-AG433,"n.b."))</f>
        <v/>
      </c>
      <c r="BX433" s="124" t="str">
        <f>IF($B433="","",IFERROR(-AH433,"n.b."))</f>
        <v/>
      </c>
      <c r="BY433" s="124" t="str">
        <f>IF($B433="","",IFERROR(-AI433,"n.b."))</f>
        <v/>
      </c>
      <c r="BZ433" s="124" t="str">
        <f>IF($B433="","",IFERROR(-AJ433,"n.b."))</f>
        <v/>
      </c>
      <c r="CA433" s="124" t="str">
        <f>IF($B433="","",IFERROR(-AK433,"n.b."))</f>
        <v/>
      </c>
      <c r="CB433" s="124" t="str">
        <f>IF($B433="","",IFERROR(-AL433,"n.b."))</f>
        <v/>
      </c>
      <c r="CC433" s="124" t="str">
        <f>IF($B433="","",IFERROR(-AP433,"n.b."))</f>
        <v/>
      </c>
      <c r="CD433" s="124" t="str">
        <f>IF($B433="","",IFERROR(-AQ433,"n.b."))</f>
        <v/>
      </c>
      <c r="CE433" s="124" t="str">
        <f>IF($B433="","",IFERROR(-AR433,"n.b."))</f>
        <v/>
      </c>
      <c r="CF433" s="124" t="str">
        <f>IF($B433="","",IFERROR(-AS433,"n.b."))</f>
        <v/>
      </c>
      <c r="CG433" s="124" t="str">
        <f>IF($B433="","",IFERROR(-AT433,"n.b."))</f>
        <v/>
      </c>
      <c r="CH433" s="124" t="str">
        <f>IF($B433="","",IFERROR(-AU433,"n.b."))</f>
        <v/>
      </c>
      <c r="CI433" s="124" t="str">
        <f>IF($B433="","",IFERROR(-AV433,"n.b."))</f>
        <v/>
      </c>
      <c r="CJ433" s="124" t="str">
        <f>IF($B433="","",IFERROR(-AW433,"n.b."))</f>
        <v/>
      </c>
      <c r="CK433" s="124" t="str">
        <f>IF($B433="","",IFERROR(-AX433,"n.b."))</f>
        <v/>
      </c>
      <c r="CL433" s="124" t="str">
        <f>IF($B433="","",IFERROR(-AY433,"n.b."))</f>
        <v/>
      </c>
      <c r="CM433" s="124" t="str">
        <f>IF($B433="","",IFERROR(-AZ433,"n.b."))</f>
        <v/>
      </c>
      <c r="CN433" s="124" t="str">
        <f>IF($B433="","",IFERROR(-BA433,"n.b."))</f>
        <v/>
      </c>
      <c r="CO433" s="124" t="str">
        <f>IF($B433="","",IFERROR(-BB433,"n.b."))</f>
        <v/>
      </c>
      <c r="CP433" s="124" t="str">
        <f>IF($B433="","",IFERROR(-BC433,"n.b."))</f>
        <v/>
      </c>
      <c r="CQ433" s="124" t="str">
        <f>IF($B433="","",IFERROR(-BD433,"n.b."))</f>
        <v/>
      </c>
      <c r="CR433" s="124" t="str">
        <f>IF($B433="","",IFERROR(-BE433,"n.b."))</f>
        <v/>
      </c>
      <c r="CS433" s="124" t="str">
        <f>IF($B433="","",IFERROR(IF(OR(ABS(T433+V433+X433+Z433-AB433)&gt;P_Tol,ABS(U433+W433+Y433+AA433-AD433)&gt;P_Tol,ABS(AE433+AG433+AI433+AK433-AM433)&gt;P_Tol,ABS(AF433+AH433+AJ433+AL433-AO433)&gt;P_Tol),1,0),1))</f>
        <v/>
      </c>
      <c r="CT433" s="124" t="str">
        <f>IF($B433="","",IFERROR(IF(OR(ABS(AB433+AC433-AD433)&gt;P_Tol,ABS(AM433+AN433-AO433)&gt;P_Tol,ABS(O433+P433-Q433)&gt;P_Tol),1,0),1))</f>
        <v/>
      </c>
      <c r="CU433" s="124" t="str">
        <f>IF($B433="","",IFERROR(IF(ABS(R433-(AB433+AM433+AP433+AR433+AT433+AV433+AX433+AZ433+BB433+BD433))&gt;P_Tol,1,0),1))</f>
        <v/>
      </c>
      <c r="CV433" s="124" t="str">
        <f>IF($B433="","",IFERROR(IF(ABS(M433-(N433+O433+R433))&gt;P_Tol,1,0),1))</f>
        <v/>
      </c>
      <c r="CW433" s="124" t="str">
        <f>IF($B433="","",IF(COUNTIF(Mapping!$A$5:$A$104,B433)&gt;0,1,0))</f>
        <v/>
      </c>
      <c r="CX433" s="124" t="str">
        <f>IF($B433="","",COUNTIF($B$6:$B$505,B433))</f>
        <v/>
      </c>
      <c r="CY433" s="124" t="str">
        <f>IF($B433="","",COUNTIF(STG_Woningetalage!$B$6:$B$505,B433))</f>
        <v/>
      </c>
      <c r="CZ433" s="124" t="str">
        <f>IF($B433="","",IF(CW433=0,COUNTIF($CW$6:CW433,0),""))</f>
        <v/>
      </c>
    </row>
    <row r="434">
      <c r="A434" s="15" t="n">
        <v>430</v>
      </c>
      <c r="B434" t="str">
        <f>IF(B$3=0,"",IF(INDEX(SRC_ZPMW03!$A$1:$ZZ$501,$A434,B$3)&amp;""="","",INDEX(SRC_ZPMW03!$A$1:$ZZ$501,$A434,B$3)&amp;""))</f>
        <v/>
      </c>
      <c r="C434" t="str">
        <f>IF($B434="","",IF(C$3=0,"n.b.",INDEX(SRC_ZPMW03!$A$1:$ZZ$501,$A434,C$3)))</f>
        <v/>
      </c>
      <c r="D434" t="str">
        <f>IF($B434="","",IF(D$3=0,"n.b.",INDEX(SRC_ZPMW03!$A$1:$ZZ$501,$A434,D$3)))</f>
        <v/>
      </c>
      <c r="E434" t="str">
        <f>IF($B434="","",IF(E$3=0,"n.b.",INDEX(SRC_ZPMW03!$A$1:$ZZ$501,$A434,E$3)))</f>
        <v/>
      </c>
      <c r="F434" t="str">
        <f>IF($B434="","",IF(F$3=0,"n.b.",INDEX(SRC_ZPMW03!$A$1:$ZZ$501,$A434,F$3)))</f>
        <v/>
      </c>
      <c r="G434" t="str">
        <f>IF($B434="","",IF(G$3=0,"n.b.",INDEX(SRC_ZPMW03!$A$1:$ZZ$501,$A434,G$3)))</f>
        <v/>
      </c>
      <c r="H434" t="str">
        <f>IF($B434="","",IF(H$3=0,"n.b.",INDEX(SRC_ZPMW03!$A$1:$ZZ$501,$A434,H$3)))</f>
        <v/>
      </c>
      <c r="I434" t="str">
        <f>IF($B434="","",IF(I$3=0,"n.b.",INDEX(SRC_ZPMW03!$A$1:$ZZ$501,$A434,I$3)))</f>
        <v/>
      </c>
      <c r="J434" t="str">
        <f>IF($B434="","",IF(J$3=0,"n.b.",INDEX(SRC_ZPMW03!$A$1:$ZZ$501,$A434,J$3)))</f>
        <v/>
      </c>
      <c r="K434" t="str">
        <f>IF($B434="","",IF(K$3=0,"n.b.",INDEX(SRC_ZPMW03!$A$1:$ZZ$501,$A434,K$3)))</f>
        <v/>
      </c>
      <c r="L434" s="124" t="str">
        <f>IF($B434="","",IF(L$3=0,"n.b.",INDEX(SRC_ZPMW03!$A$1:$ZZ$501,$A434,L$3)))</f>
        <v/>
      </c>
      <c r="M434" s="124" t="str">
        <f>IF($B434="","",IF(M$3=0,"n.b.",INDEX(SRC_ZPMW03!$A$1:$ZZ$501,$A434,M$3)))</f>
        <v/>
      </c>
      <c r="N434" s="124" t="str">
        <f>IF($B434="","",IF(N$3=0,"n.b.",INDEX(SRC_ZPMW03!$A$1:$ZZ$501,$A434,N$3)))</f>
        <v/>
      </c>
      <c r="O434" s="124" t="str">
        <f>IF($B434="","",IF(O$3=0,"n.b.",INDEX(SRC_ZPMW03!$A$1:$ZZ$501,$A434,O$3)))</f>
        <v/>
      </c>
      <c r="P434" s="124" t="str">
        <f>IF($B434="","",IF(P$3=0,"n.b.",INDEX(SRC_ZPMW03!$A$1:$ZZ$501,$A434,P$3)))</f>
        <v/>
      </c>
      <c r="Q434" s="124" t="str">
        <f>IF($B434="","",IF(Q$3=0,"n.b.",INDEX(SRC_ZPMW03!$A$1:$ZZ$501,$A434,Q$3)))</f>
        <v/>
      </c>
      <c r="R434" s="124" t="str">
        <f>IF($B434="","",IF(R$3=0,"n.b.",INDEX(SRC_ZPMW03!$A$1:$ZZ$501,$A434,R$3)))</f>
        <v/>
      </c>
      <c r="S434" s="124" t="str">
        <f>IF($B434="","",IF(S$3=0,"n.b.",INDEX(SRC_ZPMW03!$A$1:$ZZ$501,$A434,S$3)))</f>
        <v/>
      </c>
      <c r="T434" s="124" t="str">
        <f>IF($B434="","",IF(T$3=0,"n.b.",INDEX(SRC_ZPMW03!$A$1:$ZZ$501,$A434,T$3)))</f>
        <v/>
      </c>
      <c r="U434" s="124" t="str">
        <f>IF($B434="","",IF(U$3=0,"n.b.",INDEX(SRC_ZPMW03!$A$1:$ZZ$501,$A434,U$3)))</f>
        <v/>
      </c>
      <c r="V434" s="124" t="str">
        <f>IF($B434="","",IF(V$3=0,"n.b.",INDEX(SRC_ZPMW03!$A$1:$ZZ$501,$A434,V$3)))</f>
        <v/>
      </c>
      <c r="W434" s="124" t="str">
        <f>IF($B434="","",IF(W$3=0,"n.b.",INDEX(SRC_ZPMW03!$A$1:$ZZ$501,$A434,W$3)))</f>
        <v/>
      </c>
      <c r="X434" s="124" t="str">
        <f>IF($B434="","",IF(X$3=0,"n.b.",INDEX(SRC_ZPMW03!$A$1:$ZZ$501,$A434,X$3)))</f>
        <v/>
      </c>
      <c r="Y434" s="124" t="str">
        <f>IF($B434="","",IF(Y$3=0,"n.b.",INDEX(SRC_ZPMW03!$A$1:$ZZ$501,$A434,Y$3)))</f>
        <v/>
      </c>
      <c r="Z434" s="124" t="str">
        <f>IF($B434="","",IF(Z$3=0,"n.b.",INDEX(SRC_ZPMW03!$A$1:$ZZ$501,$A434,Z$3)))</f>
        <v/>
      </c>
      <c r="AA434" s="124" t="str">
        <f>IF($B434="","",IF(AA$3=0,"n.b.",INDEX(SRC_ZPMW03!$A$1:$ZZ$501,$A434,AA$3)))</f>
        <v/>
      </c>
      <c r="AB434" s="124" t="str">
        <f>IF($B434="","",IF(AB$3=0,"n.b.",INDEX(SRC_ZPMW03!$A$1:$ZZ$501,$A434,AB$3)))</f>
        <v/>
      </c>
      <c r="AC434" s="124" t="str">
        <f>IF($B434="","",IF(AC$3=0,"n.b.",INDEX(SRC_ZPMW03!$A$1:$ZZ$501,$A434,AC$3)))</f>
        <v/>
      </c>
      <c r="AD434" s="124" t="str">
        <f>IF($B434="","",IF(AD$3=0,"n.b.",INDEX(SRC_ZPMW03!$A$1:$ZZ$501,$A434,AD$3)))</f>
        <v/>
      </c>
      <c r="AE434" s="124" t="str">
        <f>IF($B434="","",IF(AE$3=0,"n.b.",INDEX(SRC_ZPMW03!$A$1:$ZZ$501,$A434,AE$3)))</f>
        <v/>
      </c>
      <c r="AF434" s="124" t="str">
        <f>IF($B434="","",IF(AF$3=0,"n.b.",INDEX(SRC_ZPMW03!$A$1:$ZZ$501,$A434,AF$3)))</f>
        <v/>
      </c>
      <c r="AG434" s="124" t="str">
        <f>IF($B434="","",IF(AG$3=0,"n.b.",INDEX(SRC_ZPMW03!$A$1:$ZZ$501,$A434,AG$3)))</f>
        <v/>
      </c>
      <c r="AH434" s="124" t="str">
        <f>IF($B434="","",IF(AH$3=0,"n.b.",INDEX(SRC_ZPMW03!$A$1:$ZZ$501,$A434,AH$3)))</f>
        <v/>
      </c>
      <c r="AI434" s="124" t="str">
        <f>IF($B434="","",IF(AI$3=0,"n.b.",INDEX(SRC_ZPMW03!$A$1:$ZZ$501,$A434,AI$3)))</f>
        <v/>
      </c>
      <c r="AJ434" s="124" t="str">
        <f>IF($B434="","",IF(AJ$3=0,"n.b.",INDEX(SRC_ZPMW03!$A$1:$ZZ$501,$A434,AJ$3)))</f>
        <v/>
      </c>
      <c r="AK434" s="124" t="str">
        <f>IF($B434="","",IF(AK$3=0,"n.b.",INDEX(SRC_ZPMW03!$A$1:$ZZ$501,$A434,AK$3)))</f>
        <v/>
      </c>
      <c r="AL434" s="124" t="str">
        <f>IF($B434="","",IF(AL$3=0,"n.b.",INDEX(SRC_ZPMW03!$A$1:$ZZ$501,$A434,AL$3)))</f>
        <v/>
      </c>
      <c r="AM434" s="124" t="str">
        <f>IF($B434="","",IF(AM$3=0,"n.b.",INDEX(SRC_ZPMW03!$A$1:$ZZ$501,$A434,AM$3)))</f>
        <v/>
      </c>
      <c r="AN434" s="124" t="str">
        <f>IF($B434="","",IF(AN$3=0,"n.b.",INDEX(SRC_ZPMW03!$A$1:$ZZ$501,$A434,AN$3)))</f>
        <v/>
      </c>
      <c r="AO434" s="124" t="str">
        <f>IF($B434="","",IF(AO$3=0,"n.b.",INDEX(SRC_ZPMW03!$A$1:$ZZ$501,$A434,AO$3)))</f>
        <v/>
      </c>
      <c r="AP434" s="124" t="str">
        <f>IF($B434="","",IF(AP$3=0,"n.b.",INDEX(SRC_ZPMW03!$A$1:$ZZ$501,$A434,AP$3)))</f>
        <v/>
      </c>
      <c r="AQ434" s="124" t="str">
        <f>IF($B434="","",IF(AQ$3=0,"n.b.",INDEX(SRC_ZPMW03!$A$1:$ZZ$501,$A434,AQ$3)))</f>
        <v/>
      </c>
      <c r="AR434" s="124" t="str">
        <f>IF($B434="","",IF(AR$3=0,"n.b.",INDEX(SRC_ZPMW03!$A$1:$ZZ$501,$A434,AR$3)))</f>
        <v/>
      </c>
      <c r="AS434" s="124" t="str">
        <f>IF($B434="","",IF(AS$3=0,"n.b.",INDEX(SRC_ZPMW03!$A$1:$ZZ$501,$A434,AS$3)))</f>
        <v/>
      </c>
      <c r="AT434" s="124" t="str">
        <f>IF($B434="","",IF(AT$3=0,"n.b.",INDEX(SRC_ZPMW03!$A$1:$ZZ$501,$A434,AT$3)))</f>
        <v/>
      </c>
      <c r="AU434" s="124" t="str">
        <f>IF($B434="","",IF(AU$3=0,"n.b.",INDEX(SRC_ZPMW03!$A$1:$ZZ$501,$A434,AU$3)))</f>
        <v/>
      </c>
      <c r="AV434" s="124" t="str">
        <f>IF($B434="","",IF(AV$3=0,"n.b.",INDEX(SRC_ZPMW03!$A$1:$ZZ$501,$A434,AV$3)))</f>
        <v/>
      </c>
      <c r="AW434" s="124" t="str">
        <f>IF($B434="","",IF(AW$3=0,"n.b.",INDEX(SRC_ZPMW03!$A$1:$ZZ$501,$A434,AW$3)))</f>
        <v/>
      </c>
      <c r="AX434" s="124" t="str">
        <f>IF($B434="","",IF(AX$3=0,"n.b.",INDEX(SRC_ZPMW03!$A$1:$ZZ$501,$A434,AX$3)))</f>
        <v/>
      </c>
      <c r="AY434" s="124" t="str">
        <f>IF($B434="","",IF(AY$3=0,"n.b.",INDEX(SRC_ZPMW03!$A$1:$ZZ$501,$A434,AY$3)))</f>
        <v/>
      </c>
      <c r="AZ434" s="124" t="str">
        <f>IF($B434="","",IF(AZ$3=0,"n.b.",INDEX(SRC_ZPMW03!$A$1:$ZZ$501,$A434,AZ$3)))</f>
        <v/>
      </c>
      <c r="BA434" s="124" t="str">
        <f>IF($B434="","",IF(BA$3=0,"n.b.",INDEX(SRC_ZPMW03!$A$1:$ZZ$501,$A434,BA$3)))</f>
        <v/>
      </c>
      <c r="BB434" s="124" t="str">
        <f>IF($B434="","",IF(BB$3=0,"n.b.",INDEX(SRC_ZPMW03!$A$1:$ZZ$501,$A434,BB$3)))</f>
        <v/>
      </c>
      <c r="BC434" s="124" t="str">
        <f>IF($B434="","",IF(BC$3=0,"n.b.",INDEX(SRC_ZPMW03!$A$1:$ZZ$501,$A434,BC$3)))</f>
        <v/>
      </c>
      <c r="BD434" s="124" t="str">
        <f>IF($B434="","",IF(BD$3=0,"n.b.",INDEX(SRC_ZPMW03!$A$1:$ZZ$501,$A434,BD$3)))</f>
        <v/>
      </c>
      <c r="BE434" s="124" t="str">
        <f>IF($B434="","",IF(BE$3=0,"n.b.",INDEX(SRC_ZPMW03!$A$1:$ZZ$501,$A434,BE$3)))</f>
        <v/>
      </c>
      <c r="BF434" s="124" t="str">
        <f>IF($B434="","",IF(BF$3=0,"n.b.",INDEX(SRC_ZPMW03!$A$1:$ZZ$501,$A434,BF$3)))</f>
        <v/>
      </c>
      <c r="BG434" t="str">
        <f>IF($B434="","",IF(BG$3=0,"n.b.",INDEX(SRC_ZPMW03!$A$1:$ZZ$501,$A434,BG$3)))</f>
        <v/>
      </c>
      <c r="BH434" t="str">
        <f>IF($B434="","",IF(BH$3=0,"n.b.",INDEX(SRC_ZPMW03!$A$1:$ZZ$501,$A434,BH$3)))</f>
        <v/>
      </c>
      <c r="BI434" t="str">
        <f>IF($B434="","",IF(BI$3=0,"n.b.",INDEX(SRC_ZPMW03!$A$1:$ZZ$501,$A434,BI$3)))</f>
        <v/>
      </c>
      <c r="BJ434" t="str">
        <f>IF($B434="","",IF(BJ$3=0,"n.b.",INDEX(SRC_ZPMW03!$A$1:$ZZ$501,$A434,BJ$3)))</f>
        <v/>
      </c>
      <c r="BK434" s="124" t="str">
        <f>IF($B434="","",IFERROR(-O434,"n.b."))</f>
        <v/>
      </c>
      <c r="BL434" s="124" t="str">
        <f>IF($B434="","",IFERROR(-Q434,"n.b."))</f>
        <v/>
      </c>
      <c r="BM434" s="124" t="str">
        <f>IF($B434="","",IFERROR(-AB434,"n.b."))</f>
        <v/>
      </c>
      <c r="BN434" s="124" t="str">
        <f>IF($B434="","",IFERROR(-AD434,"n.b."))</f>
        <v/>
      </c>
      <c r="BO434" s="124" t="str">
        <f>IF($B434="","",IFERROR(BK434+BM434,"n.b."))</f>
        <v/>
      </c>
      <c r="BP434" s="124" t="str">
        <f>IF($B434="","",IFERROR(BL434+BN434,"n.b."))</f>
        <v/>
      </c>
      <c r="BQ434" s="124" t="str">
        <f>IF($B434="","",IFERROR(-AM434,"n.b."))</f>
        <v/>
      </c>
      <c r="BR434" s="124" t="str">
        <f>IF($B434="","",IFERROR(-AO434,"n.b."))</f>
        <v/>
      </c>
      <c r="BS434" s="124" t="str">
        <f>IF($B434="","",IFERROR(-Z434,"n.b."))</f>
        <v/>
      </c>
      <c r="BT434" s="124" t="str">
        <f>IF($B434="","",IFERROR(-AA434,"n.b."))</f>
        <v/>
      </c>
      <c r="BU434" s="124" t="str">
        <f>IF($B434="","",IFERROR(-AE434,"n.b."))</f>
        <v/>
      </c>
      <c r="BV434" s="124" t="str">
        <f>IF($B434="","",IFERROR(-AF434,"n.b."))</f>
        <v/>
      </c>
      <c r="BW434" s="124" t="str">
        <f>IF($B434="","",IFERROR(-AG434,"n.b."))</f>
        <v/>
      </c>
      <c r="BX434" s="124" t="str">
        <f>IF($B434="","",IFERROR(-AH434,"n.b."))</f>
        <v/>
      </c>
      <c r="BY434" s="124" t="str">
        <f>IF($B434="","",IFERROR(-AI434,"n.b."))</f>
        <v/>
      </c>
      <c r="BZ434" s="124" t="str">
        <f>IF($B434="","",IFERROR(-AJ434,"n.b."))</f>
        <v/>
      </c>
      <c r="CA434" s="124" t="str">
        <f>IF($B434="","",IFERROR(-AK434,"n.b."))</f>
        <v/>
      </c>
      <c r="CB434" s="124" t="str">
        <f>IF($B434="","",IFERROR(-AL434,"n.b."))</f>
        <v/>
      </c>
      <c r="CC434" s="124" t="str">
        <f>IF($B434="","",IFERROR(-AP434,"n.b."))</f>
        <v/>
      </c>
      <c r="CD434" s="124" t="str">
        <f>IF($B434="","",IFERROR(-AQ434,"n.b."))</f>
        <v/>
      </c>
      <c r="CE434" s="124" t="str">
        <f>IF($B434="","",IFERROR(-AR434,"n.b."))</f>
        <v/>
      </c>
      <c r="CF434" s="124" t="str">
        <f>IF($B434="","",IFERROR(-AS434,"n.b."))</f>
        <v/>
      </c>
      <c r="CG434" s="124" t="str">
        <f>IF($B434="","",IFERROR(-AT434,"n.b."))</f>
        <v/>
      </c>
      <c r="CH434" s="124" t="str">
        <f>IF($B434="","",IFERROR(-AU434,"n.b."))</f>
        <v/>
      </c>
      <c r="CI434" s="124" t="str">
        <f>IF($B434="","",IFERROR(-AV434,"n.b."))</f>
        <v/>
      </c>
      <c r="CJ434" s="124" t="str">
        <f>IF($B434="","",IFERROR(-AW434,"n.b."))</f>
        <v/>
      </c>
      <c r="CK434" s="124" t="str">
        <f>IF($B434="","",IFERROR(-AX434,"n.b."))</f>
        <v/>
      </c>
      <c r="CL434" s="124" t="str">
        <f>IF($B434="","",IFERROR(-AY434,"n.b."))</f>
        <v/>
      </c>
      <c r="CM434" s="124" t="str">
        <f>IF($B434="","",IFERROR(-AZ434,"n.b."))</f>
        <v/>
      </c>
      <c r="CN434" s="124" t="str">
        <f>IF($B434="","",IFERROR(-BA434,"n.b."))</f>
        <v/>
      </c>
      <c r="CO434" s="124" t="str">
        <f>IF($B434="","",IFERROR(-BB434,"n.b."))</f>
        <v/>
      </c>
      <c r="CP434" s="124" t="str">
        <f>IF($B434="","",IFERROR(-BC434,"n.b."))</f>
        <v/>
      </c>
      <c r="CQ434" s="124" t="str">
        <f>IF($B434="","",IFERROR(-BD434,"n.b."))</f>
        <v/>
      </c>
      <c r="CR434" s="124" t="str">
        <f>IF($B434="","",IFERROR(-BE434,"n.b."))</f>
        <v/>
      </c>
      <c r="CS434" s="124" t="str">
        <f>IF($B434="","",IFERROR(IF(OR(ABS(T434+V434+X434+Z434-AB434)&gt;P_Tol,ABS(U434+W434+Y434+AA434-AD434)&gt;P_Tol,ABS(AE434+AG434+AI434+AK434-AM434)&gt;P_Tol,ABS(AF434+AH434+AJ434+AL434-AO434)&gt;P_Tol),1,0),1))</f>
        <v/>
      </c>
      <c r="CT434" s="124" t="str">
        <f>IF($B434="","",IFERROR(IF(OR(ABS(AB434+AC434-AD434)&gt;P_Tol,ABS(AM434+AN434-AO434)&gt;P_Tol,ABS(O434+P434-Q434)&gt;P_Tol),1,0),1))</f>
        <v/>
      </c>
      <c r="CU434" s="124" t="str">
        <f>IF($B434="","",IFERROR(IF(ABS(R434-(AB434+AM434+AP434+AR434+AT434+AV434+AX434+AZ434+BB434+BD434))&gt;P_Tol,1,0),1))</f>
        <v/>
      </c>
      <c r="CV434" s="124" t="str">
        <f>IF($B434="","",IFERROR(IF(ABS(M434-(N434+O434+R434))&gt;P_Tol,1,0),1))</f>
        <v/>
      </c>
      <c r="CW434" s="124" t="str">
        <f>IF($B434="","",IF(COUNTIF(Mapping!$A$5:$A$104,B434)&gt;0,1,0))</f>
        <v/>
      </c>
      <c r="CX434" s="124" t="str">
        <f>IF($B434="","",COUNTIF($B$6:$B$505,B434))</f>
        <v/>
      </c>
      <c r="CY434" s="124" t="str">
        <f>IF($B434="","",COUNTIF(STG_Woningetalage!$B$6:$B$505,B434))</f>
        <v/>
      </c>
      <c r="CZ434" s="124" t="str">
        <f>IF($B434="","",IF(CW434=0,COUNTIF($CW$6:CW434,0),""))</f>
        <v/>
      </c>
    </row>
    <row r="435">
      <c r="A435" s="15" t="n">
        <v>431</v>
      </c>
      <c r="B435" t="str">
        <f>IF(B$3=0,"",IF(INDEX(SRC_ZPMW03!$A$1:$ZZ$501,$A435,B$3)&amp;""="","",INDEX(SRC_ZPMW03!$A$1:$ZZ$501,$A435,B$3)&amp;""))</f>
        <v/>
      </c>
      <c r="C435" t="str">
        <f>IF($B435="","",IF(C$3=0,"n.b.",INDEX(SRC_ZPMW03!$A$1:$ZZ$501,$A435,C$3)))</f>
        <v/>
      </c>
      <c r="D435" t="str">
        <f>IF($B435="","",IF(D$3=0,"n.b.",INDEX(SRC_ZPMW03!$A$1:$ZZ$501,$A435,D$3)))</f>
        <v/>
      </c>
      <c r="E435" t="str">
        <f>IF($B435="","",IF(E$3=0,"n.b.",INDEX(SRC_ZPMW03!$A$1:$ZZ$501,$A435,E$3)))</f>
        <v/>
      </c>
      <c r="F435" t="str">
        <f>IF($B435="","",IF(F$3=0,"n.b.",INDEX(SRC_ZPMW03!$A$1:$ZZ$501,$A435,F$3)))</f>
        <v/>
      </c>
      <c r="G435" t="str">
        <f>IF($B435="","",IF(G$3=0,"n.b.",INDEX(SRC_ZPMW03!$A$1:$ZZ$501,$A435,G$3)))</f>
        <v/>
      </c>
      <c r="H435" t="str">
        <f>IF($B435="","",IF(H$3=0,"n.b.",INDEX(SRC_ZPMW03!$A$1:$ZZ$501,$A435,H$3)))</f>
        <v/>
      </c>
      <c r="I435" t="str">
        <f>IF($B435="","",IF(I$3=0,"n.b.",INDEX(SRC_ZPMW03!$A$1:$ZZ$501,$A435,I$3)))</f>
        <v/>
      </c>
      <c r="J435" t="str">
        <f>IF($B435="","",IF(J$3=0,"n.b.",INDEX(SRC_ZPMW03!$A$1:$ZZ$501,$A435,J$3)))</f>
        <v/>
      </c>
      <c r="K435" t="str">
        <f>IF($B435="","",IF(K$3=0,"n.b.",INDEX(SRC_ZPMW03!$A$1:$ZZ$501,$A435,K$3)))</f>
        <v/>
      </c>
      <c r="L435" s="124" t="str">
        <f>IF($B435="","",IF(L$3=0,"n.b.",INDEX(SRC_ZPMW03!$A$1:$ZZ$501,$A435,L$3)))</f>
        <v/>
      </c>
      <c r="M435" s="124" t="str">
        <f>IF($B435="","",IF(M$3=0,"n.b.",INDEX(SRC_ZPMW03!$A$1:$ZZ$501,$A435,M$3)))</f>
        <v/>
      </c>
      <c r="N435" s="124" t="str">
        <f>IF($B435="","",IF(N$3=0,"n.b.",INDEX(SRC_ZPMW03!$A$1:$ZZ$501,$A435,N$3)))</f>
        <v/>
      </c>
      <c r="O435" s="124" t="str">
        <f>IF($B435="","",IF(O$3=0,"n.b.",INDEX(SRC_ZPMW03!$A$1:$ZZ$501,$A435,O$3)))</f>
        <v/>
      </c>
      <c r="P435" s="124" t="str">
        <f>IF($B435="","",IF(P$3=0,"n.b.",INDEX(SRC_ZPMW03!$A$1:$ZZ$501,$A435,P$3)))</f>
        <v/>
      </c>
      <c r="Q435" s="124" t="str">
        <f>IF($B435="","",IF(Q$3=0,"n.b.",INDEX(SRC_ZPMW03!$A$1:$ZZ$501,$A435,Q$3)))</f>
        <v/>
      </c>
      <c r="R435" s="124" t="str">
        <f>IF($B435="","",IF(R$3=0,"n.b.",INDEX(SRC_ZPMW03!$A$1:$ZZ$501,$A435,R$3)))</f>
        <v/>
      </c>
      <c r="S435" s="124" t="str">
        <f>IF($B435="","",IF(S$3=0,"n.b.",INDEX(SRC_ZPMW03!$A$1:$ZZ$501,$A435,S$3)))</f>
        <v/>
      </c>
      <c r="T435" s="124" t="str">
        <f>IF($B435="","",IF(T$3=0,"n.b.",INDEX(SRC_ZPMW03!$A$1:$ZZ$501,$A435,T$3)))</f>
        <v/>
      </c>
      <c r="U435" s="124" t="str">
        <f>IF($B435="","",IF(U$3=0,"n.b.",INDEX(SRC_ZPMW03!$A$1:$ZZ$501,$A435,U$3)))</f>
        <v/>
      </c>
      <c r="V435" s="124" t="str">
        <f>IF($B435="","",IF(V$3=0,"n.b.",INDEX(SRC_ZPMW03!$A$1:$ZZ$501,$A435,V$3)))</f>
        <v/>
      </c>
      <c r="W435" s="124" t="str">
        <f>IF($B435="","",IF(W$3=0,"n.b.",INDEX(SRC_ZPMW03!$A$1:$ZZ$501,$A435,W$3)))</f>
        <v/>
      </c>
      <c r="X435" s="124" t="str">
        <f>IF($B435="","",IF(X$3=0,"n.b.",INDEX(SRC_ZPMW03!$A$1:$ZZ$501,$A435,X$3)))</f>
        <v/>
      </c>
      <c r="Y435" s="124" t="str">
        <f>IF($B435="","",IF(Y$3=0,"n.b.",INDEX(SRC_ZPMW03!$A$1:$ZZ$501,$A435,Y$3)))</f>
        <v/>
      </c>
      <c r="Z435" s="124" t="str">
        <f>IF($B435="","",IF(Z$3=0,"n.b.",INDEX(SRC_ZPMW03!$A$1:$ZZ$501,$A435,Z$3)))</f>
        <v/>
      </c>
      <c r="AA435" s="124" t="str">
        <f>IF($B435="","",IF(AA$3=0,"n.b.",INDEX(SRC_ZPMW03!$A$1:$ZZ$501,$A435,AA$3)))</f>
        <v/>
      </c>
      <c r="AB435" s="124" t="str">
        <f>IF($B435="","",IF(AB$3=0,"n.b.",INDEX(SRC_ZPMW03!$A$1:$ZZ$501,$A435,AB$3)))</f>
        <v/>
      </c>
      <c r="AC435" s="124" t="str">
        <f>IF($B435="","",IF(AC$3=0,"n.b.",INDEX(SRC_ZPMW03!$A$1:$ZZ$501,$A435,AC$3)))</f>
        <v/>
      </c>
      <c r="AD435" s="124" t="str">
        <f>IF($B435="","",IF(AD$3=0,"n.b.",INDEX(SRC_ZPMW03!$A$1:$ZZ$501,$A435,AD$3)))</f>
        <v/>
      </c>
      <c r="AE435" s="124" t="str">
        <f>IF($B435="","",IF(AE$3=0,"n.b.",INDEX(SRC_ZPMW03!$A$1:$ZZ$501,$A435,AE$3)))</f>
        <v/>
      </c>
      <c r="AF435" s="124" t="str">
        <f>IF($B435="","",IF(AF$3=0,"n.b.",INDEX(SRC_ZPMW03!$A$1:$ZZ$501,$A435,AF$3)))</f>
        <v/>
      </c>
      <c r="AG435" s="124" t="str">
        <f>IF($B435="","",IF(AG$3=0,"n.b.",INDEX(SRC_ZPMW03!$A$1:$ZZ$501,$A435,AG$3)))</f>
        <v/>
      </c>
      <c r="AH435" s="124" t="str">
        <f>IF($B435="","",IF(AH$3=0,"n.b.",INDEX(SRC_ZPMW03!$A$1:$ZZ$501,$A435,AH$3)))</f>
        <v/>
      </c>
      <c r="AI435" s="124" t="str">
        <f>IF($B435="","",IF(AI$3=0,"n.b.",INDEX(SRC_ZPMW03!$A$1:$ZZ$501,$A435,AI$3)))</f>
        <v/>
      </c>
      <c r="AJ435" s="124" t="str">
        <f>IF($B435="","",IF(AJ$3=0,"n.b.",INDEX(SRC_ZPMW03!$A$1:$ZZ$501,$A435,AJ$3)))</f>
        <v/>
      </c>
      <c r="AK435" s="124" t="str">
        <f>IF($B435="","",IF(AK$3=0,"n.b.",INDEX(SRC_ZPMW03!$A$1:$ZZ$501,$A435,AK$3)))</f>
        <v/>
      </c>
      <c r="AL435" s="124" t="str">
        <f>IF($B435="","",IF(AL$3=0,"n.b.",INDEX(SRC_ZPMW03!$A$1:$ZZ$501,$A435,AL$3)))</f>
        <v/>
      </c>
      <c r="AM435" s="124" t="str">
        <f>IF($B435="","",IF(AM$3=0,"n.b.",INDEX(SRC_ZPMW03!$A$1:$ZZ$501,$A435,AM$3)))</f>
        <v/>
      </c>
      <c r="AN435" s="124" t="str">
        <f>IF($B435="","",IF(AN$3=0,"n.b.",INDEX(SRC_ZPMW03!$A$1:$ZZ$501,$A435,AN$3)))</f>
        <v/>
      </c>
      <c r="AO435" s="124" t="str">
        <f>IF($B435="","",IF(AO$3=0,"n.b.",INDEX(SRC_ZPMW03!$A$1:$ZZ$501,$A435,AO$3)))</f>
        <v/>
      </c>
      <c r="AP435" s="124" t="str">
        <f>IF($B435="","",IF(AP$3=0,"n.b.",INDEX(SRC_ZPMW03!$A$1:$ZZ$501,$A435,AP$3)))</f>
        <v/>
      </c>
      <c r="AQ435" s="124" t="str">
        <f>IF($B435="","",IF(AQ$3=0,"n.b.",INDEX(SRC_ZPMW03!$A$1:$ZZ$501,$A435,AQ$3)))</f>
        <v/>
      </c>
      <c r="AR435" s="124" t="str">
        <f>IF($B435="","",IF(AR$3=0,"n.b.",INDEX(SRC_ZPMW03!$A$1:$ZZ$501,$A435,AR$3)))</f>
        <v/>
      </c>
      <c r="AS435" s="124" t="str">
        <f>IF($B435="","",IF(AS$3=0,"n.b.",INDEX(SRC_ZPMW03!$A$1:$ZZ$501,$A435,AS$3)))</f>
        <v/>
      </c>
      <c r="AT435" s="124" t="str">
        <f>IF($B435="","",IF(AT$3=0,"n.b.",INDEX(SRC_ZPMW03!$A$1:$ZZ$501,$A435,AT$3)))</f>
        <v/>
      </c>
      <c r="AU435" s="124" t="str">
        <f>IF($B435="","",IF(AU$3=0,"n.b.",INDEX(SRC_ZPMW03!$A$1:$ZZ$501,$A435,AU$3)))</f>
        <v/>
      </c>
      <c r="AV435" s="124" t="str">
        <f>IF($B435="","",IF(AV$3=0,"n.b.",INDEX(SRC_ZPMW03!$A$1:$ZZ$501,$A435,AV$3)))</f>
        <v/>
      </c>
      <c r="AW435" s="124" t="str">
        <f>IF($B435="","",IF(AW$3=0,"n.b.",INDEX(SRC_ZPMW03!$A$1:$ZZ$501,$A435,AW$3)))</f>
        <v/>
      </c>
      <c r="AX435" s="124" t="str">
        <f>IF($B435="","",IF(AX$3=0,"n.b.",INDEX(SRC_ZPMW03!$A$1:$ZZ$501,$A435,AX$3)))</f>
        <v/>
      </c>
      <c r="AY435" s="124" t="str">
        <f>IF($B435="","",IF(AY$3=0,"n.b.",INDEX(SRC_ZPMW03!$A$1:$ZZ$501,$A435,AY$3)))</f>
        <v/>
      </c>
      <c r="AZ435" s="124" t="str">
        <f>IF($B435="","",IF(AZ$3=0,"n.b.",INDEX(SRC_ZPMW03!$A$1:$ZZ$501,$A435,AZ$3)))</f>
        <v/>
      </c>
      <c r="BA435" s="124" t="str">
        <f>IF($B435="","",IF(BA$3=0,"n.b.",INDEX(SRC_ZPMW03!$A$1:$ZZ$501,$A435,BA$3)))</f>
        <v/>
      </c>
      <c r="BB435" s="124" t="str">
        <f>IF($B435="","",IF(BB$3=0,"n.b.",INDEX(SRC_ZPMW03!$A$1:$ZZ$501,$A435,BB$3)))</f>
        <v/>
      </c>
      <c r="BC435" s="124" t="str">
        <f>IF($B435="","",IF(BC$3=0,"n.b.",INDEX(SRC_ZPMW03!$A$1:$ZZ$501,$A435,BC$3)))</f>
        <v/>
      </c>
      <c r="BD435" s="124" t="str">
        <f>IF($B435="","",IF(BD$3=0,"n.b.",INDEX(SRC_ZPMW03!$A$1:$ZZ$501,$A435,BD$3)))</f>
        <v/>
      </c>
      <c r="BE435" s="124" t="str">
        <f>IF($B435="","",IF(BE$3=0,"n.b.",INDEX(SRC_ZPMW03!$A$1:$ZZ$501,$A435,BE$3)))</f>
        <v/>
      </c>
      <c r="BF435" s="124" t="str">
        <f>IF($B435="","",IF(BF$3=0,"n.b.",INDEX(SRC_ZPMW03!$A$1:$ZZ$501,$A435,BF$3)))</f>
        <v/>
      </c>
      <c r="BG435" t="str">
        <f>IF($B435="","",IF(BG$3=0,"n.b.",INDEX(SRC_ZPMW03!$A$1:$ZZ$501,$A435,BG$3)))</f>
        <v/>
      </c>
      <c r="BH435" t="str">
        <f>IF($B435="","",IF(BH$3=0,"n.b.",INDEX(SRC_ZPMW03!$A$1:$ZZ$501,$A435,BH$3)))</f>
        <v/>
      </c>
      <c r="BI435" t="str">
        <f>IF($B435="","",IF(BI$3=0,"n.b.",INDEX(SRC_ZPMW03!$A$1:$ZZ$501,$A435,BI$3)))</f>
        <v/>
      </c>
      <c r="BJ435" t="str">
        <f>IF($B435="","",IF(BJ$3=0,"n.b.",INDEX(SRC_ZPMW03!$A$1:$ZZ$501,$A435,BJ$3)))</f>
        <v/>
      </c>
      <c r="BK435" s="124" t="str">
        <f>IF($B435="","",IFERROR(-O435,"n.b."))</f>
        <v/>
      </c>
      <c r="BL435" s="124" t="str">
        <f>IF($B435="","",IFERROR(-Q435,"n.b."))</f>
        <v/>
      </c>
      <c r="BM435" s="124" t="str">
        <f>IF($B435="","",IFERROR(-AB435,"n.b."))</f>
        <v/>
      </c>
      <c r="BN435" s="124" t="str">
        <f>IF($B435="","",IFERROR(-AD435,"n.b."))</f>
        <v/>
      </c>
      <c r="BO435" s="124" t="str">
        <f>IF($B435="","",IFERROR(BK435+BM435,"n.b."))</f>
        <v/>
      </c>
      <c r="BP435" s="124" t="str">
        <f>IF($B435="","",IFERROR(BL435+BN435,"n.b."))</f>
        <v/>
      </c>
      <c r="BQ435" s="124" t="str">
        <f>IF($B435="","",IFERROR(-AM435,"n.b."))</f>
        <v/>
      </c>
      <c r="BR435" s="124" t="str">
        <f>IF($B435="","",IFERROR(-AO435,"n.b."))</f>
        <v/>
      </c>
      <c r="BS435" s="124" t="str">
        <f>IF($B435="","",IFERROR(-Z435,"n.b."))</f>
        <v/>
      </c>
      <c r="BT435" s="124" t="str">
        <f>IF($B435="","",IFERROR(-AA435,"n.b."))</f>
        <v/>
      </c>
      <c r="BU435" s="124" t="str">
        <f>IF($B435="","",IFERROR(-AE435,"n.b."))</f>
        <v/>
      </c>
      <c r="BV435" s="124" t="str">
        <f>IF($B435="","",IFERROR(-AF435,"n.b."))</f>
        <v/>
      </c>
      <c r="BW435" s="124" t="str">
        <f>IF($B435="","",IFERROR(-AG435,"n.b."))</f>
        <v/>
      </c>
      <c r="BX435" s="124" t="str">
        <f>IF($B435="","",IFERROR(-AH435,"n.b."))</f>
        <v/>
      </c>
      <c r="BY435" s="124" t="str">
        <f>IF($B435="","",IFERROR(-AI435,"n.b."))</f>
        <v/>
      </c>
      <c r="BZ435" s="124" t="str">
        <f>IF($B435="","",IFERROR(-AJ435,"n.b."))</f>
        <v/>
      </c>
      <c r="CA435" s="124" t="str">
        <f>IF($B435="","",IFERROR(-AK435,"n.b."))</f>
        <v/>
      </c>
      <c r="CB435" s="124" t="str">
        <f>IF($B435="","",IFERROR(-AL435,"n.b."))</f>
        <v/>
      </c>
      <c r="CC435" s="124" t="str">
        <f>IF($B435="","",IFERROR(-AP435,"n.b."))</f>
        <v/>
      </c>
      <c r="CD435" s="124" t="str">
        <f>IF($B435="","",IFERROR(-AQ435,"n.b."))</f>
        <v/>
      </c>
      <c r="CE435" s="124" t="str">
        <f>IF($B435="","",IFERROR(-AR435,"n.b."))</f>
        <v/>
      </c>
      <c r="CF435" s="124" t="str">
        <f>IF($B435="","",IFERROR(-AS435,"n.b."))</f>
        <v/>
      </c>
      <c r="CG435" s="124" t="str">
        <f>IF($B435="","",IFERROR(-AT435,"n.b."))</f>
        <v/>
      </c>
      <c r="CH435" s="124" t="str">
        <f>IF($B435="","",IFERROR(-AU435,"n.b."))</f>
        <v/>
      </c>
      <c r="CI435" s="124" t="str">
        <f>IF($B435="","",IFERROR(-AV435,"n.b."))</f>
        <v/>
      </c>
      <c r="CJ435" s="124" t="str">
        <f>IF($B435="","",IFERROR(-AW435,"n.b."))</f>
        <v/>
      </c>
      <c r="CK435" s="124" t="str">
        <f>IF($B435="","",IFERROR(-AX435,"n.b."))</f>
        <v/>
      </c>
      <c r="CL435" s="124" t="str">
        <f>IF($B435="","",IFERROR(-AY435,"n.b."))</f>
        <v/>
      </c>
      <c r="CM435" s="124" t="str">
        <f>IF($B435="","",IFERROR(-AZ435,"n.b."))</f>
        <v/>
      </c>
      <c r="CN435" s="124" t="str">
        <f>IF($B435="","",IFERROR(-BA435,"n.b."))</f>
        <v/>
      </c>
      <c r="CO435" s="124" t="str">
        <f>IF($B435="","",IFERROR(-BB435,"n.b."))</f>
        <v/>
      </c>
      <c r="CP435" s="124" t="str">
        <f>IF($B435="","",IFERROR(-BC435,"n.b."))</f>
        <v/>
      </c>
      <c r="CQ435" s="124" t="str">
        <f>IF($B435="","",IFERROR(-BD435,"n.b."))</f>
        <v/>
      </c>
      <c r="CR435" s="124" t="str">
        <f>IF($B435="","",IFERROR(-BE435,"n.b."))</f>
        <v/>
      </c>
      <c r="CS435" s="124" t="str">
        <f>IF($B435="","",IFERROR(IF(OR(ABS(T435+V435+X435+Z435-AB435)&gt;P_Tol,ABS(U435+W435+Y435+AA435-AD435)&gt;P_Tol,ABS(AE435+AG435+AI435+AK435-AM435)&gt;P_Tol,ABS(AF435+AH435+AJ435+AL435-AO435)&gt;P_Tol),1,0),1))</f>
        <v/>
      </c>
      <c r="CT435" s="124" t="str">
        <f>IF($B435="","",IFERROR(IF(OR(ABS(AB435+AC435-AD435)&gt;P_Tol,ABS(AM435+AN435-AO435)&gt;P_Tol,ABS(O435+P435-Q435)&gt;P_Tol),1,0),1))</f>
        <v/>
      </c>
      <c r="CU435" s="124" t="str">
        <f>IF($B435="","",IFERROR(IF(ABS(R435-(AB435+AM435+AP435+AR435+AT435+AV435+AX435+AZ435+BB435+BD435))&gt;P_Tol,1,0),1))</f>
        <v/>
      </c>
      <c r="CV435" s="124" t="str">
        <f>IF($B435="","",IFERROR(IF(ABS(M435-(N435+O435+R435))&gt;P_Tol,1,0),1))</f>
        <v/>
      </c>
      <c r="CW435" s="124" t="str">
        <f>IF($B435="","",IF(COUNTIF(Mapping!$A$5:$A$104,B435)&gt;0,1,0))</f>
        <v/>
      </c>
      <c r="CX435" s="124" t="str">
        <f>IF($B435="","",COUNTIF($B$6:$B$505,B435))</f>
        <v/>
      </c>
      <c r="CY435" s="124" t="str">
        <f>IF($B435="","",COUNTIF(STG_Woningetalage!$B$6:$B$505,B435))</f>
        <v/>
      </c>
      <c r="CZ435" s="124" t="str">
        <f>IF($B435="","",IF(CW435=0,COUNTIF($CW$6:CW435,0),""))</f>
        <v/>
      </c>
    </row>
    <row r="436">
      <c r="A436" s="15" t="n">
        <v>432</v>
      </c>
      <c r="B436" t="str">
        <f>IF(B$3=0,"",IF(INDEX(SRC_ZPMW03!$A$1:$ZZ$501,$A436,B$3)&amp;""="","",INDEX(SRC_ZPMW03!$A$1:$ZZ$501,$A436,B$3)&amp;""))</f>
        <v/>
      </c>
      <c r="C436" t="str">
        <f>IF($B436="","",IF(C$3=0,"n.b.",INDEX(SRC_ZPMW03!$A$1:$ZZ$501,$A436,C$3)))</f>
        <v/>
      </c>
      <c r="D436" t="str">
        <f>IF($B436="","",IF(D$3=0,"n.b.",INDEX(SRC_ZPMW03!$A$1:$ZZ$501,$A436,D$3)))</f>
        <v/>
      </c>
      <c r="E436" t="str">
        <f>IF($B436="","",IF(E$3=0,"n.b.",INDEX(SRC_ZPMW03!$A$1:$ZZ$501,$A436,E$3)))</f>
        <v/>
      </c>
      <c r="F436" t="str">
        <f>IF($B436="","",IF(F$3=0,"n.b.",INDEX(SRC_ZPMW03!$A$1:$ZZ$501,$A436,F$3)))</f>
        <v/>
      </c>
      <c r="G436" t="str">
        <f>IF($B436="","",IF(G$3=0,"n.b.",INDEX(SRC_ZPMW03!$A$1:$ZZ$501,$A436,G$3)))</f>
        <v/>
      </c>
      <c r="H436" t="str">
        <f>IF($B436="","",IF(H$3=0,"n.b.",INDEX(SRC_ZPMW03!$A$1:$ZZ$501,$A436,H$3)))</f>
        <v/>
      </c>
      <c r="I436" t="str">
        <f>IF($B436="","",IF(I$3=0,"n.b.",INDEX(SRC_ZPMW03!$A$1:$ZZ$501,$A436,I$3)))</f>
        <v/>
      </c>
      <c r="J436" t="str">
        <f>IF($B436="","",IF(J$3=0,"n.b.",INDEX(SRC_ZPMW03!$A$1:$ZZ$501,$A436,J$3)))</f>
        <v/>
      </c>
      <c r="K436" t="str">
        <f>IF($B436="","",IF(K$3=0,"n.b.",INDEX(SRC_ZPMW03!$A$1:$ZZ$501,$A436,K$3)))</f>
        <v/>
      </c>
      <c r="L436" s="124" t="str">
        <f>IF($B436="","",IF(L$3=0,"n.b.",INDEX(SRC_ZPMW03!$A$1:$ZZ$501,$A436,L$3)))</f>
        <v/>
      </c>
      <c r="M436" s="124" t="str">
        <f>IF($B436="","",IF(M$3=0,"n.b.",INDEX(SRC_ZPMW03!$A$1:$ZZ$501,$A436,M$3)))</f>
        <v/>
      </c>
      <c r="N436" s="124" t="str">
        <f>IF($B436="","",IF(N$3=0,"n.b.",INDEX(SRC_ZPMW03!$A$1:$ZZ$501,$A436,N$3)))</f>
        <v/>
      </c>
      <c r="O436" s="124" t="str">
        <f>IF($B436="","",IF(O$3=0,"n.b.",INDEX(SRC_ZPMW03!$A$1:$ZZ$501,$A436,O$3)))</f>
        <v/>
      </c>
      <c r="P436" s="124" t="str">
        <f>IF($B436="","",IF(P$3=0,"n.b.",INDEX(SRC_ZPMW03!$A$1:$ZZ$501,$A436,P$3)))</f>
        <v/>
      </c>
      <c r="Q436" s="124" t="str">
        <f>IF($B436="","",IF(Q$3=0,"n.b.",INDEX(SRC_ZPMW03!$A$1:$ZZ$501,$A436,Q$3)))</f>
        <v/>
      </c>
      <c r="R436" s="124" t="str">
        <f>IF($B436="","",IF(R$3=0,"n.b.",INDEX(SRC_ZPMW03!$A$1:$ZZ$501,$A436,R$3)))</f>
        <v/>
      </c>
      <c r="S436" s="124" t="str">
        <f>IF($B436="","",IF(S$3=0,"n.b.",INDEX(SRC_ZPMW03!$A$1:$ZZ$501,$A436,S$3)))</f>
        <v/>
      </c>
      <c r="T436" s="124" t="str">
        <f>IF($B436="","",IF(T$3=0,"n.b.",INDEX(SRC_ZPMW03!$A$1:$ZZ$501,$A436,T$3)))</f>
        <v/>
      </c>
      <c r="U436" s="124" t="str">
        <f>IF($B436="","",IF(U$3=0,"n.b.",INDEX(SRC_ZPMW03!$A$1:$ZZ$501,$A436,U$3)))</f>
        <v/>
      </c>
      <c r="V436" s="124" t="str">
        <f>IF($B436="","",IF(V$3=0,"n.b.",INDEX(SRC_ZPMW03!$A$1:$ZZ$501,$A436,V$3)))</f>
        <v/>
      </c>
      <c r="W436" s="124" t="str">
        <f>IF($B436="","",IF(W$3=0,"n.b.",INDEX(SRC_ZPMW03!$A$1:$ZZ$501,$A436,W$3)))</f>
        <v/>
      </c>
      <c r="X436" s="124" t="str">
        <f>IF($B436="","",IF(X$3=0,"n.b.",INDEX(SRC_ZPMW03!$A$1:$ZZ$501,$A436,X$3)))</f>
        <v/>
      </c>
      <c r="Y436" s="124" t="str">
        <f>IF($B436="","",IF(Y$3=0,"n.b.",INDEX(SRC_ZPMW03!$A$1:$ZZ$501,$A436,Y$3)))</f>
        <v/>
      </c>
      <c r="Z436" s="124" t="str">
        <f>IF($B436="","",IF(Z$3=0,"n.b.",INDEX(SRC_ZPMW03!$A$1:$ZZ$501,$A436,Z$3)))</f>
        <v/>
      </c>
      <c r="AA436" s="124" t="str">
        <f>IF($B436="","",IF(AA$3=0,"n.b.",INDEX(SRC_ZPMW03!$A$1:$ZZ$501,$A436,AA$3)))</f>
        <v/>
      </c>
      <c r="AB436" s="124" t="str">
        <f>IF($B436="","",IF(AB$3=0,"n.b.",INDEX(SRC_ZPMW03!$A$1:$ZZ$501,$A436,AB$3)))</f>
        <v/>
      </c>
      <c r="AC436" s="124" t="str">
        <f>IF($B436="","",IF(AC$3=0,"n.b.",INDEX(SRC_ZPMW03!$A$1:$ZZ$501,$A436,AC$3)))</f>
        <v/>
      </c>
      <c r="AD436" s="124" t="str">
        <f>IF($B436="","",IF(AD$3=0,"n.b.",INDEX(SRC_ZPMW03!$A$1:$ZZ$501,$A436,AD$3)))</f>
        <v/>
      </c>
      <c r="AE436" s="124" t="str">
        <f>IF($B436="","",IF(AE$3=0,"n.b.",INDEX(SRC_ZPMW03!$A$1:$ZZ$501,$A436,AE$3)))</f>
        <v/>
      </c>
      <c r="AF436" s="124" t="str">
        <f>IF($B436="","",IF(AF$3=0,"n.b.",INDEX(SRC_ZPMW03!$A$1:$ZZ$501,$A436,AF$3)))</f>
        <v/>
      </c>
      <c r="AG436" s="124" t="str">
        <f>IF($B436="","",IF(AG$3=0,"n.b.",INDEX(SRC_ZPMW03!$A$1:$ZZ$501,$A436,AG$3)))</f>
        <v/>
      </c>
      <c r="AH436" s="124" t="str">
        <f>IF($B436="","",IF(AH$3=0,"n.b.",INDEX(SRC_ZPMW03!$A$1:$ZZ$501,$A436,AH$3)))</f>
        <v/>
      </c>
      <c r="AI436" s="124" t="str">
        <f>IF($B436="","",IF(AI$3=0,"n.b.",INDEX(SRC_ZPMW03!$A$1:$ZZ$501,$A436,AI$3)))</f>
        <v/>
      </c>
      <c r="AJ436" s="124" t="str">
        <f>IF($B436="","",IF(AJ$3=0,"n.b.",INDEX(SRC_ZPMW03!$A$1:$ZZ$501,$A436,AJ$3)))</f>
        <v/>
      </c>
      <c r="AK436" s="124" t="str">
        <f>IF($B436="","",IF(AK$3=0,"n.b.",INDEX(SRC_ZPMW03!$A$1:$ZZ$501,$A436,AK$3)))</f>
        <v/>
      </c>
      <c r="AL436" s="124" t="str">
        <f>IF($B436="","",IF(AL$3=0,"n.b.",INDEX(SRC_ZPMW03!$A$1:$ZZ$501,$A436,AL$3)))</f>
        <v/>
      </c>
      <c r="AM436" s="124" t="str">
        <f>IF($B436="","",IF(AM$3=0,"n.b.",INDEX(SRC_ZPMW03!$A$1:$ZZ$501,$A436,AM$3)))</f>
        <v/>
      </c>
      <c r="AN436" s="124" t="str">
        <f>IF($B436="","",IF(AN$3=0,"n.b.",INDEX(SRC_ZPMW03!$A$1:$ZZ$501,$A436,AN$3)))</f>
        <v/>
      </c>
      <c r="AO436" s="124" t="str">
        <f>IF($B436="","",IF(AO$3=0,"n.b.",INDEX(SRC_ZPMW03!$A$1:$ZZ$501,$A436,AO$3)))</f>
        <v/>
      </c>
      <c r="AP436" s="124" t="str">
        <f>IF($B436="","",IF(AP$3=0,"n.b.",INDEX(SRC_ZPMW03!$A$1:$ZZ$501,$A436,AP$3)))</f>
        <v/>
      </c>
      <c r="AQ436" s="124" t="str">
        <f>IF($B436="","",IF(AQ$3=0,"n.b.",INDEX(SRC_ZPMW03!$A$1:$ZZ$501,$A436,AQ$3)))</f>
        <v/>
      </c>
      <c r="AR436" s="124" t="str">
        <f>IF($B436="","",IF(AR$3=0,"n.b.",INDEX(SRC_ZPMW03!$A$1:$ZZ$501,$A436,AR$3)))</f>
        <v/>
      </c>
      <c r="AS436" s="124" t="str">
        <f>IF($B436="","",IF(AS$3=0,"n.b.",INDEX(SRC_ZPMW03!$A$1:$ZZ$501,$A436,AS$3)))</f>
        <v/>
      </c>
      <c r="AT436" s="124" t="str">
        <f>IF($B436="","",IF(AT$3=0,"n.b.",INDEX(SRC_ZPMW03!$A$1:$ZZ$501,$A436,AT$3)))</f>
        <v/>
      </c>
      <c r="AU436" s="124" t="str">
        <f>IF($B436="","",IF(AU$3=0,"n.b.",INDEX(SRC_ZPMW03!$A$1:$ZZ$501,$A436,AU$3)))</f>
        <v/>
      </c>
      <c r="AV436" s="124" t="str">
        <f>IF($B436="","",IF(AV$3=0,"n.b.",INDEX(SRC_ZPMW03!$A$1:$ZZ$501,$A436,AV$3)))</f>
        <v/>
      </c>
      <c r="AW436" s="124" t="str">
        <f>IF($B436="","",IF(AW$3=0,"n.b.",INDEX(SRC_ZPMW03!$A$1:$ZZ$501,$A436,AW$3)))</f>
        <v/>
      </c>
      <c r="AX436" s="124" t="str">
        <f>IF($B436="","",IF(AX$3=0,"n.b.",INDEX(SRC_ZPMW03!$A$1:$ZZ$501,$A436,AX$3)))</f>
        <v/>
      </c>
      <c r="AY436" s="124" t="str">
        <f>IF($B436="","",IF(AY$3=0,"n.b.",INDEX(SRC_ZPMW03!$A$1:$ZZ$501,$A436,AY$3)))</f>
        <v/>
      </c>
      <c r="AZ436" s="124" t="str">
        <f>IF($B436="","",IF(AZ$3=0,"n.b.",INDEX(SRC_ZPMW03!$A$1:$ZZ$501,$A436,AZ$3)))</f>
        <v/>
      </c>
      <c r="BA436" s="124" t="str">
        <f>IF($B436="","",IF(BA$3=0,"n.b.",INDEX(SRC_ZPMW03!$A$1:$ZZ$501,$A436,BA$3)))</f>
        <v/>
      </c>
      <c r="BB436" s="124" t="str">
        <f>IF($B436="","",IF(BB$3=0,"n.b.",INDEX(SRC_ZPMW03!$A$1:$ZZ$501,$A436,BB$3)))</f>
        <v/>
      </c>
      <c r="BC436" s="124" t="str">
        <f>IF($B436="","",IF(BC$3=0,"n.b.",INDEX(SRC_ZPMW03!$A$1:$ZZ$501,$A436,BC$3)))</f>
        <v/>
      </c>
      <c r="BD436" s="124" t="str">
        <f>IF($B436="","",IF(BD$3=0,"n.b.",INDEX(SRC_ZPMW03!$A$1:$ZZ$501,$A436,BD$3)))</f>
        <v/>
      </c>
      <c r="BE436" s="124" t="str">
        <f>IF($B436="","",IF(BE$3=0,"n.b.",INDEX(SRC_ZPMW03!$A$1:$ZZ$501,$A436,BE$3)))</f>
        <v/>
      </c>
      <c r="BF436" s="124" t="str">
        <f>IF($B436="","",IF(BF$3=0,"n.b.",INDEX(SRC_ZPMW03!$A$1:$ZZ$501,$A436,BF$3)))</f>
        <v/>
      </c>
      <c r="BG436" t="str">
        <f>IF($B436="","",IF(BG$3=0,"n.b.",INDEX(SRC_ZPMW03!$A$1:$ZZ$501,$A436,BG$3)))</f>
        <v/>
      </c>
      <c r="BH436" t="str">
        <f>IF($B436="","",IF(BH$3=0,"n.b.",INDEX(SRC_ZPMW03!$A$1:$ZZ$501,$A436,BH$3)))</f>
        <v/>
      </c>
      <c r="BI436" t="str">
        <f>IF($B436="","",IF(BI$3=0,"n.b.",INDEX(SRC_ZPMW03!$A$1:$ZZ$501,$A436,BI$3)))</f>
        <v/>
      </c>
      <c r="BJ436" t="str">
        <f>IF($B436="","",IF(BJ$3=0,"n.b.",INDEX(SRC_ZPMW03!$A$1:$ZZ$501,$A436,BJ$3)))</f>
        <v/>
      </c>
      <c r="BK436" s="124" t="str">
        <f>IF($B436="","",IFERROR(-O436,"n.b."))</f>
        <v/>
      </c>
      <c r="BL436" s="124" t="str">
        <f>IF($B436="","",IFERROR(-Q436,"n.b."))</f>
        <v/>
      </c>
      <c r="BM436" s="124" t="str">
        <f>IF($B436="","",IFERROR(-AB436,"n.b."))</f>
        <v/>
      </c>
      <c r="BN436" s="124" t="str">
        <f>IF($B436="","",IFERROR(-AD436,"n.b."))</f>
        <v/>
      </c>
      <c r="BO436" s="124" t="str">
        <f>IF($B436="","",IFERROR(BK436+BM436,"n.b."))</f>
        <v/>
      </c>
      <c r="BP436" s="124" t="str">
        <f>IF($B436="","",IFERROR(BL436+BN436,"n.b."))</f>
        <v/>
      </c>
      <c r="BQ436" s="124" t="str">
        <f>IF($B436="","",IFERROR(-AM436,"n.b."))</f>
        <v/>
      </c>
      <c r="BR436" s="124" t="str">
        <f>IF($B436="","",IFERROR(-AO436,"n.b."))</f>
        <v/>
      </c>
      <c r="BS436" s="124" t="str">
        <f>IF($B436="","",IFERROR(-Z436,"n.b."))</f>
        <v/>
      </c>
      <c r="BT436" s="124" t="str">
        <f>IF($B436="","",IFERROR(-AA436,"n.b."))</f>
        <v/>
      </c>
      <c r="BU436" s="124" t="str">
        <f>IF($B436="","",IFERROR(-AE436,"n.b."))</f>
        <v/>
      </c>
      <c r="BV436" s="124" t="str">
        <f>IF($B436="","",IFERROR(-AF436,"n.b."))</f>
        <v/>
      </c>
      <c r="BW436" s="124" t="str">
        <f>IF($B436="","",IFERROR(-AG436,"n.b."))</f>
        <v/>
      </c>
      <c r="BX436" s="124" t="str">
        <f>IF($B436="","",IFERROR(-AH436,"n.b."))</f>
        <v/>
      </c>
      <c r="BY436" s="124" t="str">
        <f>IF($B436="","",IFERROR(-AI436,"n.b."))</f>
        <v/>
      </c>
      <c r="BZ436" s="124" t="str">
        <f>IF($B436="","",IFERROR(-AJ436,"n.b."))</f>
        <v/>
      </c>
      <c r="CA436" s="124" t="str">
        <f>IF($B436="","",IFERROR(-AK436,"n.b."))</f>
        <v/>
      </c>
      <c r="CB436" s="124" t="str">
        <f>IF($B436="","",IFERROR(-AL436,"n.b."))</f>
        <v/>
      </c>
      <c r="CC436" s="124" t="str">
        <f>IF($B436="","",IFERROR(-AP436,"n.b."))</f>
        <v/>
      </c>
      <c r="CD436" s="124" t="str">
        <f>IF($B436="","",IFERROR(-AQ436,"n.b."))</f>
        <v/>
      </c>
      <c r="CE436" s="124" t="str">
        <f>IF($B436="","",IFERROR(-AR436,"n.b."))</f>
        <v/>
      </c>
      <c r="CF436" s="124" t="str">
        <f>IF($B436="","",IFERROR(-AS436,"n.b."))</f>
        <v/>
      </c>
      <c r="CG436" s="124" t="str">
        <f>IF($B436="","",IFERROR(-AT436,"n.b."))</f>
        <v/>
      </c>
      <c r="CH436" s="124" t="str">
        <f>IF($B436="","",IFERROR(-AU436,"n.b."))</f>
        <v/>
      </c>
      <c r="CI436" s="124" t="str">
        <f>IF($B436="","",IFERROR(-AV436,"n.b."))</f>
        <v/>
      </c>
      <c r="CJ436" s="124" t="str">
        <f>IF($B436="","",IFERROR(-AW436,"n.b."))</f>
        <v/>
      </c>
      <c r="CK436" s="124" t="str">
        <f>IF($B436="","",IFERROR(-AX436,"n.b."))</f>
        <v/>
      </c>
      <c r="CL436" s="124" t="str">
        <f>IF($B436="","",IFERROR(-AY436,"n.b."))</f>
        <v/>
      </c>
      <c r="CM436" s="124" t="str">
        <f>IF($B436="","",IFERROR(-AZ436,"n.b."))</f>
        <v/>
      </c>
      <c r="CN436" s="124" t="str">
        <f>IF($B436="","",IFERROR(-BA436,"n.b."))</f>
        <v/>
      </c>
      <c r="CO436" s="124" t="str">
        <f>IF($B436="","",IFERROR(-BB436,"n.b."))</f>
        <v/>
      </c>
      <c r="CP436" s="124" t="str">
        <f>IF($B436="","",IFERROR(-BC436,"n.b."))</f>
        <v/>
      </c>
      <c r="CQ436" s="124" t="str">
        <f>IF($B436="","",IFERROR(-BD436,"n.b."))</f>
        <v/>
      </c>
      <c r="CR436" s="124" t="str">
        <f>IF($B436="","",IFERROR(-BE436,"n.b."))</f>
        <v/>
      </c>
      <c r="CS436" s="124" t="str">
        <f>IF($B436="","",IFERROR(IF(OR(ABS(T436+V436+X436+Z436-AB436)&gt;P_Tol,ABS(U436+W436+Y436+AA436-AD436)&gt;P_Tol,ABS(AE436+AG436+AI436+AK436-AM436)&gt;P_Tol,ABS(AF436+AH436+AJ436+AL436-AO436)&gt;P_Tol),1,0),1))</f>
        <v/>
      </c>
      <c r="CT436" s="124" t="str">
        <f>IF($B436="","",IFERROR(IF(OR(ABS(AB436+AC436-AD436)&gt;P_Tol,ABS(AM436+AN436-AO436)&gt;P_Tol,ABS(O436+P436-Q436)&gt;P_Tol),1,0),1))</f>
        <v/>
      </c>
      <c r="CU436" s="124" t="str">
        <f>IF($B436="","",IFERROR(IF(ABS(R436-(AB436+AM436+AP436+AR436+AT436+AV436+AX436+AZ436+BB436+BD436))&gt;P_Tol,1,0),1))</f>
        <v/>
      </c>
      <c r="CV436" s="124" t="str">
        <f>IF($B436="","",IFERROR(IF(ABS(M436-(N436+O436+R436))&gt;P_Tol,1,0),1))</f>
        <v/>
      </c>
      <c r="CW436" s="124" t="str">
        <f>IF($B436="","",IF(COUNTIF(Mapping!$A$5:$A$104,B436)&gt;0,1,0))</f>
        <v/>
      </c>
      <c r="CX436" s="124" t="str">
        <f>IF($B436="","",COUNTIF($B$6:$B$505,B436))</f>
        <v/>
      </c>
      <c r="CY436" s="124" t="str">
        <f>IF($B436="","",COUNTIF(STG_Woningetalage!$B$6:$B$505,B436))</f>
        <v/>
      </c>
      <c r="CZ436" s="124" t="str">
        <f>IF($B436="","",IF(CW436=0,COUNTIF($CW$6:CW436,0),""))</f>
        <v/>
      </c>
    </row>
    <row r="437">
      <c r="A437" s="15" t="n">
        <v>433</v>
      </c>
      <c r="B437" t="str">
        <f>IF(B$3=0,"",IF(INDEX(SRC_ZPMW03!$A$1:$ZZ$501,$A437,B$3)&amp;""="","",INDEX(SRC_ZPMW03!$A$1:$ZZ$501,$A437,B$3)&amp;""))</f>
        <v/>
      </c>
      <c r="C437" t="str">
        <f>IF($B437="","",IF(C$3=0,"n.b.",INDEX(SRC_ZPMW03!$A$1:$ZZ$501,$A437,C$3)))</f>
        <v/>
      </c>
      <c r="D437" t="str">
        <f>IF($B437="","",IF(D$3=0,"n.b.",INDEX(SRC_ZPMW03!$A$1:$ZZ$501,$A437,D$3)))</f>
        <v/>
      </c>
      <c r="E437" t="str">
        <f>IF($B437="","",IF(E$3=0,"n.b.",INDEX(SRC_ZPMW03!$A$1:$ZZ$501,$A437,E$3)))</f>
        <v/>
      </c>
      <c r="F437" t="str">
        <f>IF($B437="","",IF(F$3=0,"n.b.",INDEX(SRC_ZPMW03!$A$1:$ZZ$501,$A437,F$3)))</f>
        <v/>
      </c>
      <c r="G437" t="str">
        <f>IF($B437="","",IF(G$3=0,"n.b.",INDEX(SRC_ZPMW03!$A$1:$ZZ$501,$A437,G$3)))</f>
        <v/>
      </c>
      <c r="H437" t="str">
        <f>IF($B437="","",IF(H$3=0,"n.b.",INDEX(SRC_ZPMW03!$A$1:$ZZ$501,$A437,H$3)))</f>
        <v/>
      </c>
      <c r="I437" t="str">
        <f>IF($B437="","",IF(I$3=0,"n.b.",INDEX(SRC_ZPMW03!$A$1:$ZZ$501,$A437,I$3)))</f>
        <v/>
      </c>
      <c r="J437" t="str">
        <f>IF($B437="","",IF(J$3=0,"n.b.",INDEX(SRC_ZPMW03!$A$1:$ZZ$501,$A437,J$3)))</f>
        <v/>
      </c>
      <c r="K437" t="str">
        <f>IF($B437="","",IF(K$3=0,"n.b.",INDEX(SRC_ZPMW03!$A$1:$ZZ$501,$A437,K$3)))</f>
        <v/>
      </c>
      <c r="L437" s="124" t="str">
        <f>IF($B437="","",IF(L$3=0,"n.b.",INDEX(SRC_ZPMW03!$A$1:$ZZ$501,$A437,L$3)))</f>
        <v/>
      </c>
      <c r="M437" s="124" t="str">
        <f>IF($B437="","",IF(M$3=0,"n.b.",INDEX(SRC_ZPMW03!$A$1:$ZZ$501,$A437,M$3)))</f>
        <v/>
      </c>
      <c r="N437" s="124" t="str">
        <f>IF($B437="","",IF(N$3=0,"n.b.",INDEX(SRC_ZPMW03!$A$1:$ZZ$501,$A437,N$3)))</f>
        <v/>
      </c>
      <c r="O437" s="124" t="str">
        <f>IF($B437="","",IF(O$3=0,"n.b.",INDEX(SRC_ZPMW03!$A$1:$ZZ$501,$A437,O$3)))</f>
        <v/>
      </c>
      <c r="P437" s="124" t="str">
        <f>IF($B437="","",IF(P$3=0,"n.b.",INDEX(SRC_ZPMW03!$A$1:$ZZ$501,$A437,P$3)))</f>
        <v/>
      </c>
      <c r="Q437" s="124" t="str">
        <f>IF($B437="","",IF(Q$3=0,"n.b.",INDEX(SRC_ZPMW03!$A$1:$ZZ$501,$A437,Q$3)))</f>
        <v/>
      </c>
      <c r="R437" s="124" t="str">
        <f>IF($B437="","",IF(R$3=0,"n.b.",INDEX(SRC_ZPMW03!$A$1:$ZZ$501,$A437,R$3)))</f>
        <v/>
      </c>
      <c r="S437" s="124" t="str">
        <f>IF($B437="","",IF(S$3=0,"n.b.",INDEX(SRC_ZPMW03!$A$1:$ZZ$501,$A437,S$3)))</f>
        <v/>
      </c>
      <c r="T437" s="124" t="str">
        <f>IF($B437="","",IF(T$3=0,"n.b.",INDEX(SRC_ZPMW03!$A$1:$ZZ$501,$A437,T$3)))</f>
        <v/>
      </c>
      <c r="U437" s="124" t="str">
        <f>IF($B437="","",IF(U$3=0,"n.b.",INDEX(SRC_ZPMW03!$A$1:$ZZ$501,$A437,U$3)))</f>
        <v/>
      </c>
      <c r="V437" s="124" t="str">
        <f>IF($B437="","",IF(V$3=0,"n.b.",INDEX(SRC_ZPMW03!$A$1:$ZZ$501,$A437,V$3)))</f>
        <v/>
      </c>
      <c r="W437" s="124" t="str">
        <f>IF($B437="","",IF(W$3=0,"n.b.",INDEX(SRC_ZPMW03!$A$1:$ZZ$501,$A437,W$3)))</f>
        <v/>
      </c>
      <c r="X437" s="124" t="str">
        <f>IF($B437="","",IF(X$3=0,"n.b.",INDEX(SRC_ZPMW03!$A$1:$ZZ$501,$A437,X$3)))</f>
        <v/>
      </c>
      <c r="Y437" s="124" t="str">
        <f>IF($B437="","",IF(Y$3=0,"n.b.",INDEX(SRC_ZPMW03!$A$1:$ZZ$501,$A437,Y$3)))</f>
        <v/>
      </c>
      <c r="Z437" s="124" t="str">
        <f>IF($B437="","",IF(Z$3=0,"n.b.",INDEX(SRC_ZPMW03!$A$1:$ZZ$501,$A437,Z$3)))</f>
        <v/>
      </c>
      <c r="AA437" s="124" t="str">
        <f>IF($B437="","",IF(AA$3=0,"n.b.",INDEX(SRC_ZPMW03!$A$1:$ZZ$501,$A437,AA$3)))</f>
        <v/>
      </c>
      <c r="AB437" s="124" t="str">
        <f>IF($B437="","",IF(AB$3=0,"n.b.",INDEX(SRC_ZPMW03!$A$1:$ZZ$501,$A437,AB$3)))</f>
        <v/>
      </c>
      <c r="AC437" s="124" t="str">
        <f>IF($B437="","",IF(AC$3=0,"n.b.",INDEX(SRC_ZPMW03!$A$1:$ZZ$501,$A437,AC$3)))</f>
        <v/>
      </c>
      <c r="AD437" s="124" t="str">
        <f>IF($B437="","",IF(AD$3=0,"n.b.",INDEX(SRC_ZPMW03!$A$1:$ZZ$501,$A437,AD$3)))</f>
        <v/>
      </c>
      <c r="AE437" s="124" t="str">
        <f>IF($B437="","",IF(AE$3=0,"n.b.",INDEX(SRC_ZPMW03!$A$1:$ZZ$501,$A437,AE$3)))</f>
        <v/>
      </c>
      <c r="AF437" s="124" t="str">
        <f>IF($B437="","",IF(AF$3=0,"n.b.",INDEX(SRC_ZPMW03!$A$1:$ZZ$501,$A437,AF$3)))</f>
        <v/>
      </c>
      <c r="AG437" s="124" t="str">
        <f>IF($B437="","",IF(AG$3=0,"n.b.",INDEX(SRC_ZPMW03!$A$1:$ZZ$501,$A437,AG$3)))</f>
        <v/>
      </c>
      <c r="AH437" s="124" t="str">
        <f>IF($B437="","",IF(AH$3=0,"n.b.",INDEX(SRC_ZPMW03!$A$1:$ZZ$501,$A437,AH$3)))</f>
        <v/>
      </c>
      <c r="AI437" s="124" t="str">
        <f>IF($B437="","",IF(AI$3=0,"n.b.",INDEX(SRC_ZPMW03!$A$1:$ZZ$501,$A437,AI$3)))</f>
        <v/>
      </c>
      <c r="AJ437" s="124" t="str">
        <f>IF($B437="","",IF(AJ$3=0,"n.b.",INDEX(SRC_ZPMW03!$A$1:$ZZ$501,$A437,AJ$3)))</f>
        <v/>
      </c>
      <c r="AK437" s="124" t="str">
        <f>IF($B437="","",IF(AK$3=0,"n.b.",INDEX(SRC_ZPMW03!$A$1:$ZZ$501,$A437,AK$3)))</f>
        <v/>
      </c>
      <c r="AL437" s="124" t="str">
        <f>IF($B437="","",IF(AL$3=0,"n.b.",INDEX(SRC_ZPMW03!$A$1:$ZZ$501,$A437,AL$3)))</f>
        <v/>
      </c>
      <c r="AM437" s="124" t="str">
        <f>IF($B437="","",IF(AM$3=0,"n.b.",INDEX(SRC_ZPMW03!$A$1:$ZZ$501,$A437,AM$3)))</f>
        <v/>
      </c>
      <c r="AN437" s="124" t="str">
        <f>IF($B437="","",IF(AN$3=0,"n.b.",INDEX(SRC_ZPMW03!$A$1:$ZZ$501,$A437,AN$3)))</f>
        <v/>
      </c>
      <c r="AO437" s="124" t="str">
        <f>IF($B437="","",IF(AO$3=0,"n.b.",INDEX(SRC_ZPMW03!$A$1:$ZZ$501,$A437,AO$3)))</f>
        <v/>
      </c>
      <c r="AP437" s="124" t="str">
        <f>IF($B437="","",IF(AP$3=0,"n.b.",INDEX(SRC_ZPMW03!$A$1:$ZZ$501,$A437,AP$3)))</f>
        <v/>
      </c>
      <c r="AQ437" s="124" t="str">
        <f>IF($B437="","",IF(AQ$3=0,"n.b.",INDEX(SRC_ZPMW03!$A$1:$ZZ$501,$A437,AQ$3)))</f>
        <v/>
      </c>
      <c r="AR437" s="124" t="str">
        <f>IF($B437="","",IF(AR$3=0,"n.b.",INDEX(SRC_ZPMW03!$A$1:$ZZ$501,$A437,AR$3)))</f>
        <v/>
      </c>
      <c r="AS437" s="124" t="str">
        <f>IF($B437="","",IF(AS$3=0,"n.b.",INDEX(SRC_ZPMW03!$A$1:$ZZ$501,$A437,AS$3)))</f>
        <v/>
      </c>
      <c r="AT437" s="124" t="str">
        <f>IF($B437="","",IF(AT$3=0,"n.b.",INDEX(SRC_ZPMW03!$A$1:$ZZ$501,$A437,AT$3)))</f>
        <v/>
      </c>
      <c r="AU437" s="124" t="str">
        <f>IF($B437="","",IF(AU$3=0,"n.b.",INDEX(SRC_ZPMW03!$A$1:$ZZ$501,$A437,AU$3)))</f>
        <v/>
      </c>
      <c r="AV437" s="124" t="str">
        <f>IF($B437="","",IF(AV$3=0,"n.b.",INDEX(SRC_ZPMW03!$A$1:$ZZ$501,$A437,AV$3)))</f>
        <v/>
      </c>
      <c r="AW437" s="124" t="str">
        <f>IF($B437="","",IF(AW$3=0,"n.b.",INDEX(SRC_ZPMW03!$A$1:$ZZ$501,$A437,AW$3)))</f>
        <v/>
      </c>
      <c r="AX437" s="124" t="str">
        <f>IF($B437="","",IF(AX$3=0,"n.b.",INDEX(SRC_ZPMW03!$A$1:$ZZ$501,$A437,AX$3)))</f>
        <v/>
      </c>
      <c r="AY437" s="124" t="str">
        <f>IF($B437="","",IF(AY$3=0,"n.b.",INDEX(SRC_ZPMW03!$A$1:$ZZ$501,$A437,AY$3)))</f>
        <v/>
      </c>
      <c r="AZ437" s="124" t="str">
        <f>IF($B437="","",IF(AZ$3=0,"n.b.",INDEX(SRC_ZPMW03!$A$1:$ZZ$501,$A437,AZ$3)))</f>
        <v/>
      </c>
      <c r="BA437" s="124" t="str">
        <f>IF($B437="","",IF(BA$3=0,"n.b.",INDEX(SRC_ZPMW03!$A$1:$ZZ$501,$A437,BA$3)))</f>
        <v/>
      </c>
      <c r="BB437" s="124" t="str">
        <f>IF($B437="","",IF(BB$3=0,"n.b.",INDEX(SRC_ZPMW03!$A$1:$ZZ$501,$A437,BB$3)))</f>
        <v/>
      </c>
      <c r="BC437" s="124" t="str">
        <f>IF($B437="","",IF(BC$3=0,"n.b.",INDEX(SRC_ZPMW03!$A$1:$ZZ$501,$A437,BC$3)))</f>
        <v/>
      </c>
      <c r="BD437" s="124" t="str">
        <f>IF($B437="","",IF(BD$3=0,"n.b.",INDEX(SRC_ZPMW03!$A$1:$ZZ$501,$A437,BD$3)))</f>
        <v/>
      </c>
      <c r="BE437" s="124" t="str">
        <f>IF($B437="","",IF(BE$3=0,"n.b.",INDEX(SRC_ZPMW03!$A$1:$ZZ$501,$A437,BE$3)))</f>
        <v/>
      </c>
      <c r="BF437" s="124" t="str">
        <f>IF($B437="","",IF(BF$3=0,"n.b.",INDEX(SRC_ZPMW03!$A$1:$ZZ$501,$A437,BF$3)))</f>
        <v/>
      </c>
      <c r="BG437" t="str">
        <f>IF($B437="","",IF(BG$3=0,"n.b.",INDEX(SRC_ZPMW03!$A$1:$ZZ$501,$A437,BG$3)))</f>
        <v/>
      </c>
      <c r="BH437" t="str">
        <f>IF($B437="","",IF(BH$3=0,"n.b.",INDEX(SRC_ZPMW03!$A$1:$ZZ$501,$A437,BH$3)))</f>
        <v/>
      </c>
      <c r="BI437" t="str">
        <f>IF($B437="","",IF(BI$3=0,"n.b.",INDEX(SRC_ZPMW03!$A$1:$ZZ$501,$A437,BI$3)))</f>
        <v/>
      </c>
      <c r="BJ437" t="str">
        <f>IF($B437="","",IF(BJ$3=0,"n.b.",INDEX(SRC_ZPMW03!$A$1:$ZZ$501,$A437,BJ$3)))</f>
        <v/>
      </c>
      <c r="BK437" s="124" t="str">
        <f>IF($B437="","",IFERROR(-O437,"n.b."))</f>
        <v/>
      </c>
      <c r="BL437" s="124" t="str">
        <f>IF($B437="","",IFERROR(-Q437,"n.b."))</f>
        <v/>
      </c>
      <c r="BM437" s="124" t="str">
        <f>IF($B437="","",IFERROR(-AB437,"n.b."))</f>
        <v/>
      </c>
      <c r="BN437" s="124" t="str">
        <f>IF($B437="","",IFERROR(-AD437,"n.b."))</f>
        <v/>
      </c>
      <c r="BO437" s="124" t="str">
        <f>IF($B437="","",IFERROR(BK437+BM437,"n.b."))</f>
        <v/>
      </c>
      <c r="BP437" s="124" t="str">
        <f>IF($B437="","",IFERROR(BL437+BN437,"n.b."))</f>
        <v/>
      </c>
      <c r="BQ437" s="124" t="str">
        <f>IF($B437="","",IFERROR(-AM437,"n.b."))</f>
        <v/>
      </c>
      <c r="BR437" s="124" t="str">
        <f>IF($B437="","",IFERROR(-AO437,"n.b."))</f>
        <v/>
      </c>
      <c r="BS437" s="124" t="str">
        <f>IF($B437="","",IFERROR(-Z437,"n.b."))</f>
        <v/>
      </c>
      <c r="BT437" s="124" t="str">
        <f>IF($B437="","",IFERROR(-AA437,"n.b."))</f>
        <v/>
      </c>
      <c r="BU437" s="124" t="str">
        <f>IF($B437="","",IFERROR(-AE437,"n.b."))</f>
        <v/>
      </c>
      <c r="BV437" s="124" t="str">
        <f>IF($B437="","",IFERROR(-AF437,"n.b."))</f>
        <v/>
      </c>
      <c r="BW437" s="124" t="str">
        <f>IF($B437="","",IFERROR(-AG437,"n.b."))</f>
        <v/>
      </c>
      <c r="BX437" s="124" t="str">
        <f>IF($B437="","",IFERROR(-AH437,"n.b."))</f>
        <v/>
      </c>
      <c r="BY437" s="124" t="str">
        <f>IF($B437="","",IFERROR(-AI437,"n.b."))</f>
        <v/>
      </c>
      <c r="BZ437" s="124" t="str">
        <f>IF($B437="","",IFERROR(-AJ437,"n.b."))</f>
        <v/>
      </c>
      <c r="CA437" s="124" t="str">
        <f>IF($B437="","",IFERROR(-AK437,"n.b."))</f>
        <v/>
      </c>
      <c r="CB437" s="124" t="str">
        <f>IF($B437="","",IFERROR(-AL437,"n.b."))</f>
        <v/>
      </c>
      <c r="CC437" s="124" t="str">
        <f>IF($B437="","",IFERROR(-AP437,"n.b."))</f>
        <v/>
      </c>
      <c r="CD437" s="124" t="str">
        <f>IF($B437="","",IFERROR(-AQ437,"n.b."))</f>
        <v/>
      </c>
      <c r="CE437" s="124" t="str">
        <f>IF($B437="","",IFERROR(-AR437,"n.b."))</f>
        <v/>
      </c>
      <c r="CF437" s="124" t="str">
        <f>IF($B437="","",IFERROR(-AS437,"n.b."))</f>
        <v/>
      </c>
      <c r="CG437" s="124" t="str">
        <f>IF($B437="","",IFERROR(-AT437,"n.b."))</f>
        <v/>
      </c>
      <c r="CH437" s="124" t="str">
        <f>IF($B437="","",IFERROR(-AU437,"n.b."))</f>
        <v/>
      </c>
      <c r="CI437" s="124" t="str">
        <f>IF($B437="","",IFERROR(-AV437,"n.b."))</f>
        <v/>
      </c>
      <c r="CJ437" s="124" t="str">
        <f>IF($B437="","",IFERROR(-AW437,"n.b."))</f>
        <v/>
      </c>
      <c r="CK437" s="124" t="str">
        <f>IF($B437="","",IFERROR(-AX437,"n.b."))</f>
        <v/>
      </c>
      <c r="CL437" s="124" t="str">
        <f>IF($B437="","",IFERROR(-AY437,"n.b."))</f>
        <v/>
      </c>
      <c r="CM437" s="124" t="str">
        <f>IF($B437="","",IFERROR(-AZ437,"n.b."))</f>
        <v/>
      </c>
      <c r="CN437" s="124" t="str">
        <f>IF($B437="","",IFERROR(-BA437,"n.b."))</f>
        <v/>
      </c>
      <c r="CO437" s="124" t="str">
        <f>IF($B437="","",IFERROR(-BB437,"n.b."))</f>
        <v/>
      </c>
      <c r="CP437" s="124" t="str">
        <f>IF($B437="","",IFERROR(-BC437,"n.b."))</f>
        <v/>
      </c>
      <c r="CQ437" s="124" t="str">
        <f>IF($B437="","",IFERROR(-BD437,"n.b."))</f>
        <v/>
      </c>
      <c r="CR437" s="124" t="str">
        <f>IF($B437="","",IFERROR(-BE437,"n.b."))</f>
        <v/>
      </c>
      <c r="CS437" s="124" t="str">
        <f>IF($B437="","",IFERROR(IF(OR(ABS(T437+V437+X437+Z437-AB437)&gt;P_Tol,ABS(U437+W437+Y437+AA437-AD437)&gt;P_Tol,ABS(AE437+AG437+AI437+AK437-AM437)&gt;P_Tol,ABS(AF437+AH437+AJ437+AL437-AO437)&gt;P_Tol),1,0),1))</f>
        <v/>
      </c>
      <c r="CT437" s="124" t="str">
        <f>IF($B437="","",IFERROR(IF(OR(ABS(AB437+AC437-AD437)&gt;P_Tol,ABS(AM437+AN437-AO437)&gt;P_Tol,ABS(O437+P437-Q437)&gt;P_Tol),1,0),1))</f>
        <v/>
      </c>
      <c r="CU437" s="124" t="str">
        <f>IF($B437="","",IFERROR(IF(ABS(R437-(AB437+AM437+AP437+AR437+AT437+AV437+AX437+AZ437+BB437+BD437))&gt;P_Tol,1,0),1))</f>
        <v/>
      </c>
      <c r="CV437" s="124" t="str">
        <f>IF($B437="","",IFERROR(IF(ABS(M437-(N437+O437+R437))&gt;P_Tol,1,0),1))</f>
        <v/>
      </c>
      <c r="CW437" s="124" t="str">
        <f>IF($B437="","",IF(COUNTIF(Mapping!$A$5:$A$104,B437)&gt;0,1,0))</f>
        <v/>
      </c>
      <c r="CX437" s="124" t="str">
        <f>IF($B437="","",COUNTIF($B$6:$B$505,B437))</f>
        <v/>
      </c>
      <c r="CY437" s="124" t="str">
        <f>IF($B437="","",COUNTIF(STG_Woningetalage!$B$6:$B$505,B437))</f>
        <v/>
      </c>
      <c r="CZ437" s="124" t="str">
        <f>IF($B437="","",IF(CW437=0,COUNTIF($CW$6:CW437,0),""))</f>
        <v/>
      </c>
    </row>
    <row r="438">
      <c r="A438" s="15" t="n">
        <v>434</v>
      </c>
      <c r="B438" t="str">
        <f>IF(B$3=0,"",IF(INDEX(SRC_ZPMW03!$A$1:$ZZ$501,$A438,B$3)&amp;""="","",INDEX(SRC_ZPMW03!$A$1:$ZZ$501,$A438,B$3)&amp;""))</f>
        <v/>
      </c>
      <c r="C438" t="str">
        <f>IF($B438="","",IF(C$3=0,"n.b.",INDEX(SRC_ZPMW03!$A$1:$ZZ$501,$A438,C$3)))</f>
        <v/>
      </c>
      <c r="D438" t="str">
        <f>IF($B438="","",IF(D$3=0,"n.b.",INDEX(SRC_ZPMW03!$A$1:$ZZ$501,$A438,D$3)))</f>
        <v/>
      </c>
      <c r="E438" t="str">
        <f>IF($B438="","",IF(E$3=0,"n.b.",INDEX(SRC_ZPMW03!$A$1:$ZZ$501,$A438,E$3)))</f>
        <v/>
      </c>
      <c r="F438" t="str">
        <f>IF($B438="","",IF(F$3=0,"n.b.",INDEX(SRC_ZPMW03!$A$1:$ZZ$501,$A438,F$3)))</f>
        <v/>
      </c>
      <c r="G438" t="str">
        <f>IF($B438="","",IF(G$3=0,"n.b.",INDEX(SRC_ZPMW03!$A$1:$ZZ$501,$A438,G$3)))</f>
        <v/>
      </c>
      <c r="H438" t="str">
        <f>IF($B438="","",IF(H$3=0,"n.b.",INDEX(SRC_ZPMW03!$A$1:$ZZ$501,$A438,H$3)))</f>
        <v/>
      </c>
      <c r="I438" t="str">
        <f>IF($B438="","",IF(I$3=0,"n.b.",INDEX(SRC_ZPMW03!$A$1:$ZZ$501,$A438,I$3)))</f>
        <v/>
      </c>
      <c r="J438" t="str">
        <f>IF($B438="","",IF(J$3=0,"n.b.",INDEX(SRC_ZPMW03!$A$1:$ZZ$501,$A438,J$3)))</f>
        <v/>
      </c>
      <c r="K438" t="str">
        <f>IF($B438="","",IF(K$3=0,"n.b.",INDEX(SRC_ZPMW03!$A$1:$ZZ$501,$A438,K$3)))</f>
        <v/>
      </c>
      <c r="L438" s="124" t="str">
        <f>IF($B438="","",IF(L$3=0,"n.b.",INDEX(SRC_ZPMW03!$A$1:$ZZ$501,$A438,L$3)))</f>
        <v/>
      </c>
      <c r="M438" s="124" t="str">
        <f>IF($B438="","",IF(M$3=0,"n.b.",INDEX(SRC_ZPMW03!$A$1:$ZZ$501,$A438,M$3)))</f>
        <v/>
      </c>
      <c r="N438" s="124" t="str">
        <f>IF($B438="","",IF(N$3=0,"n.b.",INDEX(SRC_ZPMW03!$A$1:$ZZ$501,$A438,N$3)))</f>
        <v/>
      </c>
      <c r="O438" s="124" t="str">
        <f>IF($B438="","",IF(O$3=0,"n.b.",INDEX(SRC_ZPMW03!$A$1:$ZZ$501,$A438,O$3)))</f>
        <v/>
      </c>
      <c r="P438" s="124" t="str">
        <f>IF($B438="","",IF(P$3=0,"n.b.",INDEX(SRC_ZPMW03!$A$1:$ZZ$501,$A438,P$3)))</f>
        <v/>
      </c>
      <c r="Q438" s="124" t="str">
        <f>IF($B438="","",IF(Q$3=0,"n.b.",INDEX(SRC_ZPMW03!$A$1:$ZZ$501,$A438,Q$3)))</f>
        <v/>
      </c>
      <c r="R438" s="124" t="str">
        <f>IF($B438="","",IF(R$3=0,"n.b.",INDEX(SRC_ZPMW03!$A$1:$ZZ$501,$A438,R$3)))</f>
        <v/>
      </c>
      <c r="S438" s="124" t="str">
        <f>IF($B438="","",IF(S$3=0,"n.b.",INDEX(SRC_ZPMW03!$A$1:$ZZ$501,$A438,S$3)))</f>
        <v/>
      </c>
      <c r="T438" s="124" t="str">
        <f>IF($B438="","",IF(T$3=0,"n.b.",INDEX(SRC_ZPMW03!$A$1:$ZZ$501,$A438,T$3)))</f>
        <v/>
      </c>
      <c r="U438" s="124" t="str">
        <f>IF($B438="","",IF(U$3=0,"n.b.",INDEX(SRC_ZPMW03!$A$1:$ZZ$501,$A438,U$3)))</f>
        <v/>
      </c>
      <c r="V438" s="124" t="str">
        <f>IF($B438="","",IF(V$3=0,"n.b.",INDEX(SRC_ZPMW03!$A$1:$ZZ$501,$A438,V$3)))</f>
        <v/>
      </c>
      <c r="W438" s="124" t="str">
        <f>IF($B438="","",IF(W$3=0,"n.b.",INDEX(SRC_ZPMW03!$A$1:$ZZ$501,$A438,W$3)))</f>
        <v/>
      </c>
      <c r="X438" s="124" t="str">
        <f>IF($B438="","",IF(X$3=0,"n.b.",INDEX(SRC_ZPMW03!$A$1:$ZZ$501,$A438,X$3)))</f>
        <v/>
      </c>
      <c r="Y438" s="124" t="str">
        <f>IF($B438="","",IF(Y$3=0,"n.b.",INDEX(SRC_ZPMW03!$A$1:$ZZ$501,$A438,Y$3)))</f>
        <v/>
      </c>
      <c r="Z438" s="124" t="str">
        <f>IF($B438="","",IF(Z$3=0,"n.b.",INDEX(SRC_ZPMW03!$A$1:$ZZ$501,$A438,Z$3)))</f>
        <v/>
      </c>
      <c r="AA438" s="124" t="str">
        <f>IF($B438="","",IF(AA$3=0,"n.b.",INDEX(SRC_ZPMW03!$A$1:$ZZ$501,$A438,AA$3)))</f>
        <v/>
      </c>
      <c r="AB438" s="124" t="str">
        <f>IF($B438="","",IF(AB$3=0,"n.b.",INDEX(SRC_ZPMW03!$A$1:$ZZ$501,$A438,AB$3)))</f>
        <v/>
      </c>
      <c r="AC438" s="124" t="str">
        <f>IF($B438="","",IF(AC$3=0,"n.b.",INDEX(SRC_ZPMW03!$A$1:$ZZ$501,$A438,AC$3)))</f>
        <v/>
      </c>
      <c r="AD438" s="124" t="str">
        <f>IF($B438="","",IF(AD$3=0,"n.b.",INDEX(SRC_ZPMW03!$A$1:$ZZ$501,$A438,AD$3)))</f>
        <v/>
      </c>
      <c r="AE438" s="124" t="str">
        <f>IF($B438="","",IF(AE$3=0,"n.b.",INDEX(SRC_ZPMW03!$A$1:$ZZ$501,$A438,AE$3)))</f>
        <v/>
      </c>
      <c r="AF438" s="124" t="str">
        <f>IF($B438="","",IF(AF$3=0,"n.b.",INDEX(SRC_ZPMW03!$A$1:$ZZ$501,$A438,AF$3)))</f>
        <v/>
      </c>
      <c r="AG438" s="124" t="str">
        <f>IF($B438="","",IF(AG$3=0,"n.b.",INDEX(SRC_ZPMW03!$A$1:$ZZ$501,$A438,AG$3)))</f>
        <v/>
      </c>
      <c r="AH438" s="124" t="str">
        <f>IF($B438="","",IF(AH$3=0,"n.b.",INDEX(SRC_ZPMW03!$A$1:$ZZ$501,$A438,AH$3)))</f>
        <v/>
      </c>
      <c r="AI438" s="124" t="str">
        <f>IF($B438="","",IF(AI$3=0,"n.b.",INDEX(SRC_ZPMW03!$A$1:$ZZ$501,$A438,AI$3)))</f>
        <v/>
      </c>
      <c r="AJ438" s="124" t="str">
        <f>IF($B438="","",IF(AJ$3=0,"n.b.",INDEX(SRC_ZPMW03!$A$1:$ZZ$501,$A438,AJ$3)))</f>
        <v/>
      </c>
      <c r="AK438" s="124" t="str">
        <f>IF($B438="","",IF(AK$3=0,"n.b.",INDEX(SRC_ZPMW03!$A$1:$ZZ$501,$A438,AK$3)))</f>
        <v/>
      </c>
      <c r="AL438" s="124" t="str">
        <f>IF($B438="","",IF(AL$3=0,"n.b.",INDEX(SRC_ZPMW03!$A$1:$ZZ$501,$A438,AL$3)))</f>
        <v/>
      </c>
      <c r="AM438" s="124" t="str">
        <f>IF($B438="","",IF(AM$3=0,"n.b.",INDEX(SRC_ZPMW03!$A$1:$ZZ$501,$A438,AM$3)))</f>
        <v/>
      </c>
      <c r="AN438" s="124" t="str">
        <f>IF($B438="","",IF(AN$3=0,"n.b.",INDEX(SRC_ZPMW03!$A$1:$ZZ$501,$A438,AN$3)))</f>
        <v/>
      </c>
      <c r="AO438" s="124" t="str">
        <f>IF($B438="","",IF(AO$3=0,"n.b.",INDEX(SRC_ZPMW03!$A$1:$ZZ$501,$A438,AO$3)))</f>
        <v/>
      </c>
      <c r="AP438" s="124" t="str">
        <f>IF($B438="","",IF(AP$3=0,"n.b.",INDEX(SRC_ZPMW03!$A$1:$ZZ$501,$A438,AP$3)))</f>
        <v/>
      </c>
      <c r="AQ438" s="124" t="str">
        <f>IF($B438="","",IF(AQ$3=0,"n.b.",INDEX(SRC_ZPMW03!$A$1:$ZZ$501,$A438,AQ$3)))</f>
        <v/>
      </c>
      <c r="AR438" s="124" t="str">
        <f>IF($B438="","",IF(AR$3=0,"n.b.",INDEX(SRC_ZPMW03!$A$1:$ZZ$501,$A438,AR$3)))</f>
        <v/>
      </c>
      <c r="AS438" s="124" t="str">
        <f>IF($B438="","",IF(AS$3=0,"n.b.",INDEX(SRC_ZPMW03!$A$1:$ZZ$501,$A438,AS$3)))</f>
        <v/>
      </c>
      <c r="AT438" s="124" t="str">
        <f>IF($B438="","",IF(AT$3=0,"n.b.",INDEX(SRC_ZPMW03!$A$1:$ZZ$501,$A438,AT$3)))</f>
        <v/>
      </c>
      <c r="AU438" s="124" t="str">
        <f>IF($B438="","",IF(AU$3=0,"n.b.",INDEX(SRC_ZPMW03!$A$1:$ZZ$501,$A438,AU$3)))</f>
        <v/>
      </c>
      <c r="AV438" s="124" t="str">
        <f>IF($B438="","",IF(AV$3=0,"n.b.",INDEX(SRC_ZPMW03!$A$1:$ZZ$501,$A438,AV$3)))</f>
        <v/>
      </c>
      <c r="AW438" s="124" t="str">
        <f>IF($B438="","",IF(AW$3=0,"n.b.",INDEX(SRC_ZPMW03!$A$1:$ZZ$501,$A438,AW$3)))</f>
        <v/>
      </c>
      <c r="AX438" s="124" t="str">
        <f>IF($B438="","",IF(AX$3=0,"n.b.",INDEX(SRC_ZPMW03!$A$1:$ZZ$501,$A438,AX$3)))</f>
        <v/>
      </c>
      <c r="AY438" s="124" t="str">
        <f>IF($B438="","",IF(AY$3=0,"n.b.",INDEX(SRC_ZPMW03!$A$1:$ZZ$501,$A438,AY$3)))</f>
        <v/>
      </c>
      <c r="AZ438" s="124" t="str">
        <f>IF($B438="","",IF(AZ$3=0,"n.b.",INDEX(SRC_ZPMW03!$A$1:$ZZ$501,$A438,AZ$3)))</f>
        <v/>
      </c>
      <c r="BA438" s="124" t="str">
        <f>IF($B438="","",IF(BA$3=0,"n.b.",INDEX(SRC_ZPMW03!$A$1:$ZZ$501,$A438,BA$3)))</f>
        <v/>
      </c>
      <c r="BB438" s="124" t="str">
        <f>IF($B438="","",IF(BB$3=0,"n.b.",INDEX(SRC_ZPMW03!$A$1:$ZZ$501,$A438,BB$3)))</f>
        <v/>
      </c>
      <c r="BC438" s="124" t="str">
        <f>IF($B438="","",IF(BC$3=0,"n.b.",INDEX(SRC_ZPMW03!$A$1:$ZZ$501,$A438,BC$3)))</f>
        <v/>
      </c>
      <c r="BD438" s="124" t="str">
        <f>IF($B438="","",IF(BD$3=0,"n.b.",INDEX(SRC_ZPMW03!$A$1:$ZZ$501,$A438,BD$3)))</f>
        <v/>
      </c>
      <c r="BE438" s="124" t="str">
        <f>IF($B438="","",IF(BE$3=0,"n.b.",INDEX(SRC_ZPMW03!$A$1:$ZZ$501,$A438,BE$3)))</f>
        <v/>
      </c>
      <c r="BF438" s="124" t="str">
        <f>IF($B438="","",IF(BF$3=0,"n.b.",INDEX(SRC_ZPMW03!$A$1:$ZZ$501,$A438,BF$3)))</f>
        <v/>
      </c>
      <c r="BG438" t="str">
        <f>IF($B438="","",IF(BG$3=0,"n.b.",INDEX(SRC_ZPMW03!$A$1:$ZZ$501,$A438,BG$3)))</f>
        <v/>
      </c>
      <c r="BH438" t="str">
        <f>IF($B438="","",IF(BH$3=0,"n.b.",INDEX(SRC_ZPMW03!$A$1:$ZZ$501,$A438,BH$3)))</f>
        <v/>
      </c>
      <c r="BI438" t="str">
        <f>IF($B438="","",IF(BI$3=0,"n.b.",INDEX(SRC_ZPMW03!$A$1:$ZZ$501,$A438,BI$3)))</f>
        <v/>
      </c>
      <c r="BJ438" t="str">
        <f>IF($B438="","",IF(BJ$3=0,"n.b.",INDEX(SRC_ZPMW03!$A$1:$ZZ$501,$A438,BJ$3)))</f>
        <v/>
      </c>
      <c r="BK438" s="124" t="str">
        <f>IF($B438="","",IFERROR(-O438,"n.b."))</f>
        <v/>
      </c>
      <c r="BL438" s="124" t="str">
        <f>IF($B438="","",IFERROR(-Q438,"n.b."))</f>
        <v/>
      </c>
      <c r="BM438" s="124" t="str">
        <f>IF($B438="","",IFERROR(-AB438,"n.b."))</f>
        <v/>
      </c>
      <c r="BN438" s="124" t="str">
        <f>IF($B438="","",IFERROR(-AD438,"n.b."))</f>
        <v/>
      </c>
      <c r="BO438" s="124" t="str">
        <f>IF($B438="","",IFERROR(BK438+BM438,"n.b."))</f>
        <v/>
      </c>
      <c r="BP438" s="124" t="str">
        <f>IF($B438="","",IFERROR(BL438+BN438,"n.b."))</f>
        <v/>
      </c>
      <c r="BQ438" s="124" t="str">
        <f>IF($B438="","",IFERROR(-AM438,"n.b."))</f>
        <v/>
      </c>
      <c r="BR438" s="124" t="str">
        <f>IF($B438="","",IFERROR(-AO438,"n.b."))</f>
        <v/>
      </c>
      <c r="BS438" s="124" t="str">
        <f>IF($B438="","",IFERROR(-Z438,"n.b."))</f>
        <v/>
      </c>
      <c r="BT438" s="124" t="str">
        <f>IF($B438="","",IFERROR(-AA438,"n.b."))</f>
        <v/>
      </c>
      <c r="BU438" s="124" t="str">
        <f>IF($B438="","",IFERROR(-AE438,"n.b."))</f>
        <v/>
      </c>
      <c r="BV438" s="124" t="str">
        <f>IF($B438="","",IFERROR(-AF438,"n.b."))</f>
        <v/>
      </c>
      <c r="BW438" s="124" t="str">
        <f>IF($B438="","",IFERROR(-AG438,"n.b."))</f>
        <v/>
      </c>
      <c r="BX438" s="124" t="str">
        <f>IF($B438="","",IFERROR(-AH438,"n.b."))</f>
        <v/>
      </c>
      <c r="BY438" s="124" t="str">
        <f>IF($B438="","",IFERROR(-AI438,"n.b."))</f>
        <v/>
      </c>
      <c r="BZ438" s="124" t="str">
        <f>IF($B438="","",IFERROR(-AJ438,"n.b."))</f>
        <v/>
      </c>
      <c r="CA438" s="124" t="str">
        <f>IF($B438="","",IFERROR(-AK438,"n.b."))</f>
        <v/>
      </c>
      <c r="CB438" s="124" t="str">
        <f>IF($B438="","",IFERROR(-AL438,"n.b."))</f>
        <v/>
      </c>
      <c r="CC438" s="124" t="str">
        <f>IF($B438="","",IFERROR(-AP438,"n.b."))</f>
        <v/>
      </c>
      <c r="CD438" s="124" t="str">
        <f>IF($B438="","",IFERROR(-AQ438,"n.b."))</f>
        <v/>
      </c>
      <c r="CE438" s="124" t="str">
        <f>IF($B438="","",IFERROR(-AR438,"n.b."))</f>
        <v/>
      </c>
      <c r="CF438" s="124" t="str">
        <f>IF($B438="","",IFERROR(-AS438,"n.b."))</f>
        <v/>
      </c>
      <c r="CG438" s="124" t="str">
        <f>IF($B438="","",IFERROR(-AT438,"n.b."))</f>
        <v/>
      </c>
      <c r="CH438" s="124" t="str">
        <f>IF($B438="","",IFERROR(-AU438,"n.b."))</f>
        <v/>
      </c>
      <c r="CI438" s="124" t="str">
        <f>IF($B438="","",IFERROR(-AV438,"n.b."))</f>
        <v/>
      </c>
      <c r="CJ438" s="124" t="str">
        <f>IF($B438="","",IFERROR(-AW438,"n.b."))</f>
        <v/>
      </c>
      <c r="CK438" s="124" t="str">
        <f>IF($B438="","",IFERROR(-AX438,"n.b."))</f>
        <v/>
      </c>
      <c r="CL438" s="124" t="str">
        <f>IF($B438="","",IFERROR(-AY438,"n.b."))</f>
        <v/>
      </c>
      <c r="CM438" s="124" t="str">
        <f>IF($B438="","",IFERROR(-AZ438,"n.b."))</f>
        <v/>
      </c>
      <c r="CN438" s="124" t="str">
        <f>IF($B438="","",IFERROR(-BA438,"n.b."))</f>
        <v/>
      </c>
      <c r="CO438" s="124" t="str">
        <f>IF($B438="","",IFERROR(-BB438,"n.b."))</f>
        <v/>
      </c>
      <c r="CP438" s="124" t="str">
        <f>IF($B438="","",IFERROR(-BC438,"n.b."))</f>
        <v/>
      </c>
      <c r="CQ438" s="124" t="str">
        <f>IF($B438="","",IFERROR(-BD438,"n.b."))</f>
        <v/>
      </c>
      <c r="CR438" s="124" t="str">
        <f>IF($B438="","",IFERROR(-BE438,"n.b."))</f>
        <v/>
      </c>
      <c r="CS438" s="124" t="str">
        <f>IF($B438="","",IFERROR(IF(OR(ABS(T438+V438+X438+Z438-AB438)&gt;P_Tol,ABS(U438+W438+Y438+AA438-AD438)&gt;P_Tol,ABS(AE438+AG438+AI438+AK438-AM438)&gt;P_Tol,ABS(AF438+AH438+AJ438+AL438-AO438)&gt;P_Tol),1,0),1))</f>
        <v/>
      </c>
      <c r="CT438" s="124" t="str">
        <f>IF($B438="","",IFERROR(IF(OR(ABS(AB438+AC438-AD438)&gt;P_Tol,ABS(AM438+AN438-AO438)&gt;P_Tol,ABS(O438+P438-Q438)&gt;P_Tol),1,0),1))</f>
        <v/>
      </c>
      <c r="CU438" s="124" t="str">
        <f>IF($B438="","",IFERROR(IF(ABS(R438-(AB438+AM438+AP438+AR438+AT438+AV438+AX438+AZ438+BB438+BD438))&gt;P_Tol,1,0),1))</f>
        <v/>
      </c>
      <c r="CV438" s="124" t="str">
        <f>IF($B438="","",IFERROR(IF(ABS(M438-(N438+O438+R438))&gt;P_Tol,1,0),1))</f>
        <v/>
      </c>
      <c r="CW438" s="124" t="str">
        <f>IF($B438="","",IF(COUNTIF(Mapping!$A$5:$A$104,B438)&gt;0,1,0))</f>
        <v/>
      </c>
      <c r="CX438" s="124" t="str">
        <f>IF($B438="","",COUNTIF($B$6:$B$505,B438))</f>
        <v/>
      </c>
      <c r="CY438" s="124" t="str">
        <f>IF($B438="","",COUNTIF(STG_Woningetalage!$B$6:$B$505,B438))</f>
        <v/>
      </c>
      <c r="CZ438" s="124" t="str">
        <f>IF($B438="","",IF(CW438=0,COUNTIF($CW$6:CW438,0),""))</f>
        <v/>
      </c>
    </row>
    <row r="439">
      <c r="A439" s="15" t="n">
        <v>435</v>
      </c>
      <c r="B439" t="str">
        <f>IF(B$3=0,"",IF(INDEX(SRC_ZPMW03!$A$1:$ZZ$501,$A439,B$3)&amp;""="","",INDEX(SRC_ZPMW03!$A$1:$ZZ$501,$A439,B$3)&amp;""))</f>
        <v/>
      </c>
      <c r="C439" t="str">
        <f>IF($B439="","",IF(C$3=0,"n.b.",INDEX(SRC_ZPMW03!$A$1:$ZZ$501,$A439,C$3)))</f>
        <v/>
      </c>
      <c r="D439" t="str">
        <f>IF($B439="","",IF(D$3=0,"n.b.",INDEX(SRC_ZPMW03!$A$1:$ZZ$501,$A439,D$3)))</f>
        <v/>
      </c>
      <c r="E439" t="str">
        <f>IF($B439="","",IF(E$3=0,"n.b.",INDEX(SRC_ZPMW03!$A$1:$ZZ$501,$A439,E$3)))</f>
        <v/>
      </c>
      <c r="F439" t="str">
        <f>IF($B439="","",IF(F$3=0,"n.b.",INDEX(SRC_ZPMW03!$A$1:$ZZ$501,$A439,F$3)))</f>
        <v/>
      </c>
      <c r="G439" t="str">
        <f>IF($B439="","",IF(G$3=0,"n.b.",INDEX(SRC_ZPMW03!$A$1:$ZZ$501,$A439,G$3)))</f>
        <v/>
      </c>
      <c r="H439" t="str">
        <f>IF($B439="","",IF(H$3=0,"n.b.",INDEX(SRC_ZPMW03!$A$1:$ZZ$501,$A439,H$3)))</f>
        <v/>
      </c>
      <c r="I439" t="str">
        <f>IF($B439="","",IF(I$3=0,"n.b.",INDEX(SRC_ZPMW03!$A$1:$ZZ$501,$A439,I$3)))</f>
        <v/>
      </c>
      <c r="J439" t="str">
        <f>IF($B439="","",IF(J$3=0,"n.b.",INDEX(SRC_ZPMW03!$A$1:$ZZ$501,$A439,J$3)))</f>
        <v/>
      </c>
      <c r="K439" t="str">
        <f>IF($B439="","",IF(K$3=0,"n.b.",INDEX(SRC_ZPMW03!$A$1:$ZZ$501,$A439,K$3)))</f>
        <v/>
      </c>
      <c r="L439" s="124" t="str">
        <f>IF($B439="","",IF(L$3=0,"n.b.",INDEX(SRC_ZPMW03!$A$1:$ZZ$501,$A439,L$3)))</f>
        <v/>
      </c>
      <c r="M439" s="124" t="str">
        <f>IF($B439="","",IF(M$3=0,"n.b.",INDEX(SRC_ZPMW03!$A$1:$ZZ$501,$A439,M$3)))</f>
        <v/>
      </c>
      <c r="N439" s="124" t="str">
        <f>IF($B439="","",IF(N$3=0,"n.b.",INDEX(SRC_ZPMW03!$A$1:$ZZ$501,$A439,N$3)))</f>
        <v/>
      </c>
      <c r="O439" s="124" t="str">
        <f>IF($B439="","",IF(O$3=0,"n.b.",INDEX(SRC_ZPMW03!$A$1:$ZZ$501,$A439,O$3)))</f>
        <v/>
      </c>
      <c r="P439" s="124" t="str">
        <f>IF($B439="","",IF(P$3=0,"n.b.",INDEX(SRC_ZPMW03!$A$1:$ZZ$501,$A439,P$3)))</f>
        <v/>
      </c>
      <c r="Q439" s="124" t="str">
        <f>IF($B439="","",IF(Q$3=0,"n.b.",INDEX(SRC_ZPMW03!$A$1:$ZZ$501,$A439,Q$3)))</f>
        <v/>
      </c>
      <c r="R439" s="124" t="str">
        <f>IF($B439="","",IF(R$3=0,"n.b.",INDEX(SRC_ZPMW03!$A$1:$ZZ$501,$A439,R$3)))</f>
        <v/>
      </c>
      <c r="S439" s="124" t="str">
        <f>IF($B439="","",IF(S$3=0,"n.b.",INDEX(SRC_ZPMW03!$A$1:$ZZ$501,$A439,S$3)))</f>
        <v/>
      </c>
      <c r="T439" s="124" t="str">
        <f>IF($B439="","",IF(T$3=0,"n.b.",INDEX(SRC_ZPMW03!$A$1:$ZZ$501,$A439,T$3)))</f>
        <v/>
      </c>
      <c r="U439" s="124" t="str">
        <f>IF($B439="","",IF(U$3=0,"n.b.",INDEX(SRC_ZPMW03!$A$1:$ZZ$501,$A439,U$3)))</f>
        <v/>
      </c>
      <c r="V439" s="124" t="str">
        <f>IF($B439="","",IF(V$3=0,"n.b.",INDEX(SRC_ZPMW03!$A$1:$ZZ$501,$A439,V$3)))</f>
        <v/>
      </c>
      <c r="W439" s="124" t="str">
        <f>IF($B439="","",IF(W$3=0,"n.b.",INDEX(SRC_ZPMW03!$A$1:$ZZ$501,$A439,W$3)))</f>
        <v/>
      </c>
      <c r="X439" s="124" t="str">
        <f>IF($B439="","",IF(X$3=0,"n.b.",INDEX(SRC_ZPMW03!$A$1:$ZZ$501,$A439,X$3)))</f>
        <v/>
      </c>
      <c r="Y439" s="124" t="str">
        <f>IF($B439="","",IF(Y$3=0,"n.b.",INDEX(SRC_ZPMW03!$A$1:$ZZ$501,$A439,Y$3)))</f>
        <v/>
      </c>
      <c r="Z439" s="124" t="str">
        <f>IF($B439="","",IF(Z$3=0,"n.b.",INDEX(SRC_ZPMW03!$A$1:$ZZ$501,$A439,Z$3)))</f>
        <v/>
      </c>
      <c r="AA439" s="124" t="str">
        <f>IF($B439="","",IF(AA$3=0,"n.b.",INDEX(SRC_ZPMW03!$A$1:$ZZ$501,$A439,AA$3)))</f>
        <v/>
      </c>
      <c r="AB439" s="124" t="str">
        <f>IF($B439="","",IF(AB$3=0,"n.b.",INDEX(SRC_ZPMW03!$A$1:$ZZ$501,$A439,AB$3)))</f>
        <v/>
      </c>
      <c r="AC439" s="124" t="str">
        <f>IF($B439="","",IF(AC$3=0,"n.b.",INDEX(SRC_ZPMW03!$A$1:$ZZ$501,$A439,AC$3)))</f>
        <v/>
      </c>
      <c r="AD439" s="124" t="str">
        <f>IF($B439="","",IF(AD$3=0,"n.b.",INDEX(SRC_ZPMW03!$A$1:$ZZ$501,$A439,AD$3)))</f>
        <v/>
      </c>
      <c r="AE439" s="124" t="str">
        <f>IF($B439="","",IF(AE$3=0,"n.b.",INDEX(SRC_ZPMW03!$A$1:$ZZ$501,$A439,AE$3)))</f>
        <v/>
      </c>
      <c r="AF439" s="124" t="str">
        <f>IF($B439="","",IF(AF$3=0,"n.b.",INDEX(SRC_ZPMW03!$A$1:$ZZ$501,$A439,AF$3)))</f>
        <v/>
      </c>
      <c r="AG439" s="124" t="str">
        <f>IF($B439="","",IF(AG$3=0,"n.b.",INDEX(SRC_ZPMW03!$A$1:$ZZ$501,$A439,AG$3)))</f>
        <v/>
      </c>
      <c r="AH439" s="124" t="str">
        <f>IF($B439="","",IF(AH$3=0,"n.b.",INDEX(SRC_ZPMW03!$A$1:$ZZ$501,$A439,AH$3)))</f>
        <v/>
      </c>
      <c r="AI439" s="124" t="str">
        <f>IF($B439="","",IF(AI$3=0,"n.b.",INDEX(SRC_ZPMW03!$A$1:$ZZ$501,$A439,AI$3)))</f>
        <v/>
      </c>
      <c r="AJ439" s="124" t="str">
        <f>IF($B439="","",IF(AJ$3=0,"n.b.",INDEX(SRC_ZPMW03!$A$1:$ZZ$501,$A439,AJ$3)))</f>
        <v/>
      </c>
      <c r="AK439" s="124" t="str">
        <f>IF($B439="","",IF(AK$3=0,"n.b.",INDEX(SRC_ZPMW03!$A$1:$ZZ$501,$A439,AK$3)))</f>
        <v/>
      </c>
      <c r="AL439" s="124" t="str">
        <f>IF($B439="","",IF(AL$3=0,"n.b.",INDEX(SRC_ZPMW03!$A$1:$ZZ$501,$A439,AL$3)))</f>
        <v/>
      </c>
      <c r="AM439" s="124" t="str">
        <f>IF($B439="","",IF(AM$3=0,"n.b.",INDEX(SRC_ZPMW03!$A$1:$ZZ$501,$A439,AM$3)))</f>
        <v/>
      </c>
      <c r="AN439" s="124" t="str">
        <f>IF($B439="","",IF(AN$3=0,"n.b.",INDEX(SRC_ZPMW03!$A$1:$ZZ$501,$A439,AN$3)))</f>
        <v/>
      </c>
      <c r="AO439" s="124" t="str">
        <f>IF($B439="","",IF(AO$3=0,"n.b.",INDEX(SRC_ZPMW03!$A$1:$ZZ$501,$A439,AO$3)))</f>
        <v/>
      </c>
      <c r="AP439" s="124" t="str">
        <f>IF($B439="","",IF(AP$3=0,"n.b.",INDEX(SRC_ZPMW03!$A$1:$ZZ$501,$A439,AP$3)))</f>
        <v/>
      </c>
      <c r="AQ439" s="124" t="str">
        <f>IF($B439="","",IF(AQ$3=0,"n.b.",INDEX(SRC_ZPMW03!$A$1:$ZZ$501,$A439,AQ$3)))</f>
        <v/>
      </c>
      <c r="AR439" s="124" t="str">
        <f>IF($B439="","",IF(AR$3=0,"n.b.",INDEX(SRC_ZPMW03!$A$1:$ZZ$501,$A439,AR$3)))</f>
        <v/>
      </c>
      <c r="AS439" s="124" t="str">
        <f>IF($B439="","",IF(AS$3=0,"n.b.",INDEX(SRC_ZPMW03!$A$1:$ZZ$501,$A439,AS$3)))</f>
        <v/>
      </c>
      <c r="AT439" s="124" t="str">
        <f>IF($B439="","",IF(AT$3=0,"n.b.",INDEX(SRC_ZPMW03!$A$1:$ZZ$501,$A439,AT$3)))</f>
        <v/>
      </c>
      <c r="AU439" s="124" t="str">
        <f>IF($B439="","",IF(AU$3=0,"n.b.",INDEX(SRC_ZPMW03!$A$1:$ZZ$501,$A439,AU$3)))</f>
        <v/>
      </c>
      <c r="AV439" s="124" t="str">
        <f>IF($B439="","",IF(AV$3=0,"n.b.",INDEX(SRC_ZPMW03!$A$1:$ZZ$501,$A439,AV$3)))</f>
        <v/>
      </c>
      <c r="AW439" s="124" t="str">
        <f>IF($B439="","",IF(AW$3=0,"n.b.",INDEX(SRC_ZPMW03!$A$1:$ZZ$501,$A439,AW$3)))</f>
        <v/>
      </c>
      <c r="AX439" s="124" t="str">
        <f>IF($B439="","",IF(AX$3=0,"n.b.",INDEX(SRC_ZPMW03!$A$1:$ZZ$501,$A439,AX$3)))</f>
        <v/>
      </c>
      <c r="AY439" s="124" t="str">
        <f>IF($B439="","",IF(AY$3=0,"n.b.",INDEX(SRC_ZPMW03!$A$1:$ZZ$501,$A439,AY$3)))</f>
        <v/>
      </c>
      <c r="AZ439" s="124" t="str">
        <f>IF($B439="","",IF(AZ$3=0,"n.b.",INDEX(SRC_ZPMW03!$A$1:$ZZ$501,$A439,AZ$3)))</f>
        <v/>
      </c>
      <c r="BA439" s="124" t="str">
        <f>IF($B439="","",IF(BA$3=0,"n.b.",INDEX(SRC_ZPMW03!$A$1:$ZZ$501,$A439,BA$3)))</f>
        <v/>
      </c>
      <c r="BB439" s="124" t="str">
        <f>IF($B439="","",IF(BB$3=0,"n.b.",INDEX(SRC_ZPMW03!$A$1:$ZZ$501,$A439,BB$3)))</f>
        <v/>
      </c>
      <c r="BC439" s="124" t="str">
        <f>IF($B439="","",IF(BC$3=0,"n.b.",INDEX(SRC_ZPMW03!$A$1:$ZZ$501,$A439,BC$3)))</f>
        <v/>
      </c>
      <c r="BD439" s="124" t="str">
        <f>IF($B439="","",IF(BD$3=0,"n.b.",INDEX(SRC_ZPMW03!$A$1:$ZZ$501,$A439,BD$3)))</f>
        <v/>
      </c>
      <c r="BE439" s="124" t="str">
        <f>IF($B439="","",IF(BE$3=0,"n.b.",INDEX(SRC_ZPMW03!$A$1:$ZZ$501,$A439,BE$3)))</f>
        <v/>
      </c>
      <c r="BF439" s="124" t="str">
        <f>IF($B439="","",IF(BF$3=0,"n.b.",INDEX(SRC_ZPMW03!$A$1:$ZZ$501,$A439,BF$3)))</f>
        <v/>
      </c>
      <c r="BG439" t="str">
        <f>IF($B439="","",IF(BG$3=0,"n.b.",INDEX(SRC_ZPMW03!$A$1:$ZZ$501,$A439,BG$3)))</f>
        <v/>
      </c>
      <c r="BH439" t="str">
        <f>IF($B439="","",IF(BH$3=0,"n.b.",INDEX(SRC_ZPMW03!$A$1:$ZZ$501,$A439,BH$3)))</f>
        <v/>
      </c>
      <c r="BI439" t="str">
        <f>IF($B439="","",IF(BI$3=0,"n.b.",INDEX(SRC_ZPMW03!$A$1:$ZZ$501,$A439,BI$3)))</f>
        <v/>
      </c>
      <c r="BJ439" t="str">
        <f>IF($B439="","",IF(BJ$3=0,"n.b.",INDEX(SRC_ZPMW03!$A$1:$ZZ$501,$A439,BJ$3)))</f>
        <v/>
      </c>
      <c r="BK439" s="124" t="str">
        <f>IF($B439="","",IFERROR(-O439,"n.b."))</f>
        <v/>
      </c>
      <c r="BL439" s="124" t="str">
        <f>IF($B439="","",IFERROR(-Q439,"n.b."))</f>
        <v/>
      </c>
      <c r="BM439" s="124" t="str">
        <f>IF($B439="","",IFERROR(-AB439,"n.b."))</f>
        <v/>
      </c>
      <c r="BN439" s="124" t="str">
        <f>IF($B439="","",IFERROR(-AD439,"n.b."))</f>
        <v/>
      </c>
      <c r="BO439" s="124" t="str">
        <f>IF($B439="","",IFERROR(BK439+BM439,"n.b."))</f>
        <v/>
      </c>
      <c r="BP439" s="124" t="str">
        <f>IF($B439="","",IFERROR(BL439+BN439,"n.b."))</f>
        <v/>
      </c>
      <c r="BQ439" s="124" t="str">
        <f>IF($B439="","",IFERROR(-AM439,"n.b."))</f>
        <v/>
      </c>
      <c r="BR439" s="124" t="str">
        <f>IF($B439="","",IFERROR(-AO439,"n.b."))</f>
        <v/>
      </c>
      <c r="BS439" s="124" t="str">
        <f>IF($B439="","",IFERROR(-Z439,"n.b."))</f>
        <v/>
      </c>
      <c r="BT439" s="124" t="str">
        <f>IF($B439="","",IFERROR(-AA439,"n.b."))</f>
        <v/>
      </c>
      <c r="BU439" s="124" t="str">
        <f>IF($B439="","",IFERROR(-AE439,"n.b."))</f>
        <v/>
      </c>
      <c r="BV439" s="124" t="str">
        <f>IF($B439="","",IFERROR(-AF439,"n.b."))</f>
        <v/>
      </c>
      <c r="BW439" s="124" t="str">
        <f>IF($B439="","",IFERROR(-AG439,"n.b."))</f>
        <v/>
      </c>
      <c r="BX439" s="124" t="str">
        <f>IF($B439="","",IFERROR(-AH439,"n.b."))</f>
        <v/>
      </c>
      <c r="BY439" s="124" t="str">
        <f>IF($B439="","",IFERROR(-AI439,"n.b."))</f>
        <v/>
      </c>
      <c r="BZ439" s="124" t="str">
        <f>IF($B439="","",IFERROR(-AJ439,"n.b."))</f>
        <v/>
      </c>
      <c r="CA439" s="124" t="str">
        <f>IF($B439="","",IFERROR(-AK439,"n.b."))</f>
        <v/>
      </c>
      <c r="CB439" s="124" t="str">
        <f>IF($B439="","",IFERROR(-AL439,"n.b."))</f>
        <v/>
      </c>
      <c r="CC439" s="124" t="str">
        <f>IF($B439="","",IFERROR(-AP439,"n.b."))</f>
        <v/>
      </c>
      <c r="CD439" s="124" t="str">
        <f>IF($B439="","",IFERROR(-AQ439,"n.b."))</f>
        <v/>
      </c>
      <c r="CE439" s="124" t="str">
        <f>IF($B439="","",IFERROR(-AR439,"n.b."))</f>
        <v/>
      </c>
      <c r="CF439" s="124" t="str">
        <f>IF($B439="","",IFERROR(-AS439,"n.b."))</f>
        <v/>
      </c>
      <c r="CG439" s="124" t="str">
        <f>IF($B439="","",IFERROR(-AT439,"n.b."))</f>
        <v/>
      </c>
      <c r="CH439" s="124" t="str">
        <f>IF($B439="","",IFERROR(-AU439,"n.b."))</f>
        <v/>
      </c>
      <c r="CI439" s="124" t="str">
        <f>IF($B439="","",IFERROR(-AV439,"n.b."))</f>
        <v/>
      </c>
      <c r="CJ439" s="124" t="str">
        <f>IF($B439="","",IFERROR(-AW439,"n.b."))</f>
        <v/>
      </c>
      <c r="CK439" s="124" t="str">
        <f>IF($B439="","",IFERROR(-AX439,"n.b."))</f>
        <v/>
      </c>
      <c r="CL439" s="124" t="str">
        <f>IF($B439="","",IFERROR(-AY439,"n.b."))</f>
        <v/>
      </c>
      <c r="CM439" s="124" t="str">
        <f>IF($B439="","",IFERROR(-AZ439,"n.b."))</f>
        <v/>
      </c>
      <c r="CN439" s="124" t="str">
        <f>IF($B439="","",IFERROR(-BA439,"n.b."))</f>
        <v/>
      </c>
      <c r="CO439" s="124" t="str">
        <f>IF($B439="","",IFERROR(-BB439,"n.b."))</f>
        <v/>
      </c>
      <c r="CP439" s="124" t="str">
        <f>IF($B439="","",IFERROR(-BC439,"n.b."))</f>
        <v/>
      </c>
      <c r="CQ439" s="124" t="str">
        <f>IF($B439="","",IFERROR(-BD439,"n.b."))</f>
        <v/>
      </c>
      <c r="CR439" s="124" t="str">
        <f>IF($B439="","",IFERROR(-BE439,"n.b."))</f>
        <v/>
      </c>
      <c r="CS439" s="124" t="str">
        <f>IF($B439="","",IFERROR(IF(OR(ABS(T439+V439+X439+Z439-AB439)&gt;P_Tol,ABS(U439+W439+Y439+AA439-AD439)&gt;P_Tol,ABS(AE439+AG439+AI439+AK439-AM439)&gt;P_Tol,ABS(AF439+AH439+AJ439+AL439-AO439)&gt;P_Tol),1,0),1))</f>
        <v/>
      </c>
      <c r="CT439" s="124" t="str">
        <f>IF($B439="","",IFERROR(IF(OR(ABS(AB439+AC439-AD439)&gt;P_Tol,ABS(AM439+AN439-AO439)&gt;P_Tol,ABS(O439+P439-Q439)&gt;P_Tol),1,0),1))</f>
        <v/>
      </c>
      <c r="CU439" s="124" t="str">
        <f>IF($B439="","",IFERROR(IF(ABS(R439-(AB439+AM439+AP439+AR439+AT439+AV439+AX439+AZ439+BB439+BD439))&gt;P_Tol,1,0),1))</f>
        <v/>
      </c>
      <c r="CV439" s="124" t="str">
        <f>IF($B439="","",IFERROR(IF(ABS(M439-(N439+O439+R439))&gt;P_Tol,1,0),1))</f>
        <v/>
      </c>
      <c r="CW439" s="124" t="str">
        <f>IF($B439="","",IF(COUNTIF(Mapping!$A$5:$A$104,B439)&gt;0,1,0))</f>
        <v/>
      </c>
      <c r="CX439" s="124" t="str">
        <f>IF($B439="","",COUNTIF($B$6:$B$505,B439))</f>
        <v/>
      </c>
      <c r="CY439" s="124" t="str">
        <f>IF($B439="","",COUNTIF(STG_Woningetalage!$B$6:$B$505,B439))</f>
        <v/>
      </c>
      <c r="CZ439" s="124" t="str">
        <f>IF($B439="","",IF(CW439=0,COUNTIF($CW$6:CW439,0),""))</f>
        <v/>
      </c>
    </row>
    <row r="440">
      <c r="A440" s="15" t="n">
        <v>436</v>
      </c>
      <c r="B440" t="str">
        <f>IF(B$3=0,"",IF(INDEX(SRC_ZPMW03!$A$1:$ZZ$501,$A440,B$3)&amp;""="","",INDEX(SRC_ZPMW03!$A$1:$ZZ$501,$A440,B$3)&amp;""))</f>
        <v/>
      </c>
      <c r="C440" t="str">
        <f>IF($B440="","",IF(C$3=0,"n.b.",INDEX(SRC_ZPMW03!$A$1:$ZZ$501,$A440,C$3)))</f>
        <v/>
      </c>
      <c r="D440" t="str">
        <f>IF($B440="","",IF(D$3=0,"n.b.",INDEX(SRC_ZPMW03!$A$1:$ZZ$501,$A440,D$3)))</f>
        <v/>
      </c>
      <c r="E440" t="str">
        <f>IF($B440="","",IF(E$3=0,"n.b.",INDEX(SRC_ZPMW03!$A$1:$ZZ$501,$A440,E$3)))</f>
        <v/>
      </c>
      <c r="F440" t="str">
        <f>IF($B440="","",IF(F$3=0,"n.b.",INDEX(SRC_ZPMW03!$A$1:$ZZ$501,$A440,F$3)))</f>
        <v/>
      </c>
      <c r="G440" t="str">
        <f>IF($B440="","",IF(G$3=0,"n.b.",INDEX(SRC_ZPMW03!$A$1:$ZZ$501,$A440,G$3)))</f>
        <v/>
      </c>
      <c r="H440" t="str">
        <f>IF($B440="","",IF(H$3=0,"n.b.",INDEX(SRC_ZPMW03!$A$1:$ZZ$501,$A440,H$3)))</f>
        <v/>
      </c>
      <c r="I440" t="str">
        <f>IF($B440="","",IF(I$3=0,"n.b.",INDEX(SRC_ZPMW03!$A$1:$ZZ$501,$A440,I$3)))</f>
        <v/>
      </c>
      <c r="J440" t="str">
        <f>IF($B440="","",IF(J$3=0,"n.b.",INDEX(SRC_ZPMW03!$A$1:$ZZ$501,$A440,J$3)))</f>
        <v/>
      </c>
      <c r="K440" t="str">
        <f>IF($B440="","",IF(K$3=0,"n.b.",INDEX(SRC_ZPMW03!$A$1:$ZZ$501,$A440,K$3)))</f>
        <v/>
      </c>
      <c r="L440" s="124" t="str">
        <f>IF($B440="","",IF(L$3=0,"n.b.",INDEX(SRC_ZPMW03!$A$1:$ZZ$501,$A440,L$3)))</f>
        <v/>
      </c>
      <c r="M440" s="124" t="str">
        <f>IF($B440="","",IF(M$3=0,"n.b.",INDEX(SRC_ZPMW03!$A$1:$ZZ$501,$A440,M$3)))</f>
        <v/>
      </c>
      <c r="N440" s="124" t="str">
        <f>IF($B440="","",IF(N$3=0,"n.b.",INDEX(SRC_ZPMW03!$A$1:$ZZ$501,$A440,N$3)))</f>
        <v/>
      </c>
      <c r="O440" s="124" t="str">
        <f>IF($B440="","",IF(O$3=0,"n.b.",INDEX(SRC_ZPMW03!$A$1:$ZZ$501,$A440,O$3)))</f>
        <v/>
      </c>
      <c r="P440" s="124" t="str">
        <f>IF($B440="","",IF(P$3=0,"n.b.",INDEX(SRC_ZPMW03!$A$1:$ZZ$501,$A440,P$3)))</f>
        <v/>
      </c>
      <c r="Q440" s="124" t="str">
        <f>IF($B440="","",IF(Q$3=0,"n.b.",INDEX(SRC_ZPMW03!$A$1:$ZZ$501,$A440,Q$3)))</f>
        <v/>
      </c>
      <c r="R440" s="124" t="str">
        <f>IF($B440="","",IF(R$3=0,"n.b.",INDEX(SRC_ZPMW03!$A$1:$ZZ$501,$A440,R$3)))</f>
        <v/>
      </c>
      <c r="S440" s="124" t="str">
        <f>IF($B440="","",IF(S$3=0,"n.b.",INDEX(SRC_ZPMW03!$A$1:$ZZ$501,$A440,S$3)))</f>
        <v/>
      </c>
      <c r="T440" s="124" t="str">
        <f>IF($B440="","",IF(T$3=0,"n.b.",INDEX(SRC_ZPMW03!$A$1:$ZZ$501,$A440,T$3)))</f>
        <v/>
      </c>
      <c r="U440" s="124" t="str">
        <f>IF($B440="","",IF(U$3=0,"n.b.",INDEX(SRC_ZPMW03!$A$1:$ZZ$501,$A440,U$3)))</f>
        <v/>
      </c>
      <c r="V440" s="124" t="str">
        <f>IF($B440="","",IF(V$3=0,"n.b.",INDEX(SRC_ZPMW03!$A$1:$ZZ$501,$A440,V$3)))</f>
        <v/>
      </c>
      <c r="W440" s="124" t="str">
        <f>IF($B440="","",IF(W$3=0,"n.b.",INDEX(SRC_ZPMW03!$A$1:$ZZ$501,$A440,W$3)))</f>
        <v/>
      </c>
      <c r="X440" s="124" t="str">
        <f>IF($B440="","",IF(X$3=0,"n.b.",INDEX(SRC_ZPMW03!$A$1:$ZZ$501,$A440,X$3)))</f>
        <v/>
      </c>
      <c r="Y440" s="124" t="str">
        <f>IF($B440="","",IF(Y$3=0,"n.b.",INDEX(SRC_ZPMW03!$A$1:$ZZ$501,$A440,Y$3)))</f>
        <v/>
      </c>
      <c r="Z440" s="124" t="str">
        <f>IF($B440="","",IF(Z$3=0,"n.b.",INDEX(SRC_ZPMW03!$A$1:$ZZ$501,$A440,Z$3)))</f>
        <v/>
      </c>
      <c r="AA440" s="124" t="str">
        <f>IF($B440="","",IF(AA$3=0,"n.b.",INDEX(SRC_ZPMW03!$A$1:$ZZ$501,$A440,AA$3)))</f>
        <v/>
      </c>
      <c r="AB440" s="124" t="str">
        <f>IF($B440="","",IF(AB$3=0,"n.b.",INDEX(SRC_ZPMW03!$A$1:$ZZ$501,$A440,AB$3)))</f>
        <v/>
      </c>
      <c r="AC440" s="124" t="str">
        <f>IF($B440="","",IF(AC$3=0,"n.b.",INDEX(SRC_ZPMW03!$A$1:$ZZ$501,$A440,AC$3)))</f>
        <v/>
      </c>
      <c r="AD440" s="124" t="str">
        <f>IF($B440="","",IF(AD$3=0,"n.b.",INDEX(SRC_ZPMW03!$A$1:$ZZ$501,$A440,AD$3)))</f>
        <v/>
      </c>
      <c r="AE440" s="124" t="str">
        <f>IF($B440="","",IF(AE$3=0,"n.b.",INDEX(SRC_ZPMW03!$A$1:$ZZ$501,$A440,AE$3)))</f>
        <v/>
      </c>
      <c r="AF440" s="124" t="str">
        <f>IF($B440="","",IF(AF$3=0,"n.b.",INDEX(SRC_ZPMW03!$A$1:$ZZ$501,$A440,AF$3)))</f>
        <v/>
      </c>
      <c r="AG440" s="124" t="str">
        <f>IF($B440="","",IF(AG$3=0,"n.b.",INDEX(SRC_ZPMW03!$A$1:$ZZ$501,$A440,AG$3)))</f>
        <v/>
      </c>
      <c r="AH440" s="124" t="str">
        <f>IF($B440="","",IF(AH$3=0,"n.b.",INDEX(SRC_ZPMW03!$A$1:$ZZ$501,$A440,AH$3)))</f>
        <v/>
      </c>
      <c r="AI440" s="124" t="str">
        <f>IF($B440="","",IF(AI$3=0,"n.b.",INDEX(SRC_ZPMW03!$A$1:$ZZ$501,$A440,AI$3)))</f>
        <v/>
      </c>
      <c r="AJ440" s="124" t="str">
        <f>IF($B440="","",IF(AJ$3=0,"n.b.",INDEX(SRC_ZPMW03!$A$1:$ZZ$501,$A440,AJ$3)))</f>
        <v/>
      </c>
      <c r="AK440" s="124" t="str">
        <f>IF($B440="","",IF(AK$3=0,"n.b.",INDEX(SRC_ZPMW03!$A$1:$ZZ$501,$A440,AK$3)))</f>
        <v/>
      </c>
      <c r="AL440" s="124" t="str">
        <f>IF($B440="","",IF(AL$3=0,"n.b.",INDEX(SRC_ZPMW03!$A$1:$ZZ$501,$A440,AL$3)))</f>
        <v/>
      </c>
      <c r="AM440" s="124" t="str">
        <f>IF($B440="","",IF(AM$3=0,"n.b.",INDEX(SRC_ZPMW03!$A$1:$ZZ$501,$A440,AM$3)))</f>
        <v/>
      </c>
      <c r="AN440" s="124" t="str">
        <f>IF($B440="","",IF(AN$3=0,"n.b.",INDEX(SRC_ZPMW03!$A$1:$ZZ$501,$A440,AN$3)))</f>
        <v/>
      </c>
      <c r="AO440" s="124" t="str">
        <f>IF($B440="","",IF(AO$3=0,"n.b.",INDEX(SRC_ZPMW03!$A$1:$ZZ$501,$A440,AO$3)))</f>
        <v/>
      </c>
      <c r="AP440" s="124" t="str">
        <f>IF($B440="","",IF(AP$3=0,"n.b.",INDEX(SRC_ZPMW03!$A$1:$ZZ$501,$A440,AP$3)))</f>
        <v/>
      </c>
      <c r="AQ440" s="124" t="str">
        <f>IF($B440="","",IF(AQ$3=0,"n.b.",INDEX(SRC_ZPMW03!$A$1:$ZZ$501,$A440,AQ$3)))</f>
        <v/>
      </c>
      <c r="AR440" s="124" t="str">
        <f>IF($B440="","",IF(AR$3=0,"n.b.",INDEX(SRC_ZPMW03!$A$1:$ZZ$501,$A440,AR$3)))</f>
        <v/>
      </c>
      <c r="AS440" s="124" t="str">
        <f>IF($B440="","",IF(AS$3=0,"n.b.",INDEX(SRC_ZPMW03!$A$1:$ZZ$501,$A440,AS$3)))</f>
        <v/>
      </c>
      <c r="AT440" s="124" t="str">
        <f>IF($B440="","",IF(AT$3=0,"n.b.",INDEX(SRC_ZPMW03!$A$1:$ZZ$501,$A440,AT$3)))</f>
        <v/>
      </c>
      <c r="AU440" s="124" t="str">
        <f>IF($B440="","",IF(AU$3=0,"n.b.",INDEX(SRC_ZPMW03!$A$1:$ZZ$501,$A440,AU$3)))</f>
        <v/>
      </c>
      <c r="AV440" s="124" t="str">
        <f>IF($B440="","",IF(AV$3=0,"n.b.",INDEX(SRC_ZPMW03!$A$1:$ZZ$501,$A440,AV$3)))</f>
        <v/>
      </c>
      <c r="AW440" s="124" t="str">
        <f>IF($B440="","",IF(AW$3=0,"n.b.",INDEX(SRC_ZPMW03!$A$1:$ZZ$501,$A440,AW$3)))</f>
        <v/>
      </c>
      <c r="AX440" s="124" t="str">
        <f>IF($B440="","",IF(AX$3=0,"n.b.",INDEX(SRC_ZPMW03!$A$1:$ZZ$501,$A440,AX$3)))</f>
        <v/>
      </c>
      <c r="AY440" s="124" t="str">
        <f>IF($B440="","",IF(AY$3=0,"n.b.",INDEX(SRC_ZPMW03!$A$1:$ZZ$501,$A440,AY$3)))</f>
        <v/>
      </c>
      <c r="AZ440" s="124" t="str">
        <f>IF($B440="","",IF(AZ$3=0,"n.b.",INDEX(SRC_ZPMW03!$A$1:$ZZ$501,$A440,AZ$3)))</f>
        <v/>
      </c>
      <c r="BA440" s="124" t="str">
        <f>IF($B440="","",IF(BA$3=0,"n.b.",INDEX(SRC_ZPMW03!$A$1:$ZZ$501,$A440,BA$3)))</f>
        <v/>
      </c>
      <c r="BB440" s="124" t="str">
        <f>IF($B440="","",IF(BB$3=0,"n.b.",INDEX(SRC_ZPMW03!$A$1:$ZZ$501,$A440,BB$3)))</f>
        <v/>
      </c>
      <c r="BC440" s="124" t="str">
        <f>IF($B440="","",IF(BC$3=0,"n.b.",INDEX(SRC_ZPMW03!$A$1:$ZZ$501,$A440,BC$3)))</f>
        <v/>
      </c>
      <c r="BD440" s="124" t="str">
        <f>IF($B440="","",IF(BD$3=0,"n.b.",INDEX(SRC_ZPMW03!$A$1:$ZZ$501,$A440,BD$3)))</f>
        <v/>
      </c>
      <c r="BE440" s="124" t="str">
        <f>IF($B440="","",IF(BE$3=0,"n.b.",INDEX(SRC_ZPMW03!$A$1:$ZZ$501,$A440,BE$3)))</f>
        <v/>
      </c>
      <c r="BF440" s="124" t="str">
        <f>IF($B440="","",IF(BF$3=0,"n.b.",INDEX(SRC_ZPMW03!$A$1:$ZZ$501,$A440,BF$3)))</f>
        <v/>
      </c>
      <c r="BG440" t="str">
        <f>IF($B440="","",IF(BG$3=0,"n.b.",INDEX(SRC_ZPMW03!$A$1:$ZZ$501,$A440,BG$3)))</f>
        <v/>
      </c>
      <c r="BH440" t="str">
        <f>IF($B440="","",IF(BH$3=0,"n.b.",INDEX(SRC_ZPMW03!$A$1:$ZZ$501,$A440,BH$3)))</f>
        <v/>
      </c>
      <c r="BI440" t="str">
        <f>IF($B440="","",IF(BI$3=0,"n.b.",INDEX(SRC_ZPMW03!$A$1:$ZZ$501,$A440,BI$3)))</f>
        <v/>
      </c>
      <c r="BJ440" t="str">
        <f>IF($B440="","",IF(BJ$3=0,"n.b.",INDEX(SRC_ZPMW03!$A$1:$ZZ$501,$A440,BJ$3)))</f>
        <v/>
      </c>
      <c r="BK440" s="124" t="str">
        <f>IF($B440="","",IFERROR(-O440,"n.b."))</f>
        <v/>
      </c>
      <c r="BL440" s="124" t="str">
        <f>IF($B440="","",IFERROR(-Q440,"n.b."))</f>
        <v/>
      </c>
      <c r="BM440" s="124" t="str">
        <f>IF($B440="","",IFERROR(-AB440,"n.b."))</f>
        <v/>
      </c>
      <c r="BN440" s="124" t="str">
        <f>IF($B440="","",IFERROR(-AD440,"n.b."))</f>
        <v/>
      </c>
      <c r="BO440" s="124" t="str">
        <f>IF($B440="","",IFERROR(BK440+BM440,"n.b."))</f>
        <v/>
      </c>
      <c r="BP440" s="124" t="str">
        <f>IF($B440="","",IFERROR(BL440+BN440,"n.b."))</f>
        <v/>
      </c>
      <c r="BQ440" s="124" t="str">
        <f>IF($B440="","",IFERROR(-AM440,"n.b."))</f>
        <v/>
      </c>
      <c r="BR440" s="124" t="str">
        <f>IF($B440="","",IFERROR(-AO440,"n.b."))</f>
        <v/>
      </c>
      <c r="BS440" s="124" t="str">
        <f>IF($B440="","",IFERROR(-Z440,"n.b."))</f>
        <v/>
      </c>
      <c r="BT440" s="124" t="str">
        <f>IF($B440="","",IFERROR(-AA440,"n.b."))</f>
        <v/>
      </c>
      <c r="BU440" s="124" t="str">
        <f>IF($B440="","",IFERROR(-AE440,"n.b."))</f>
        <v/>
      </c>
      <c r="BV440" s="124" t="str">
        <f>IF($B440="","",IFERROR(-AF440,"n.b."))</f>
        <v/>
      </c>
      <c r="BW440" s="124" t="str">
        <f>IF($B440="","",IFERROR(-AG440,"n.b."))</f>
        <v/>
      </c>
      <c r="BX440" s="124" t="str">
        <f>IF($B440="","",IFERROR(-AH440,"n.b."))</f>
        <v/>
      </c>
      <c r="BY440" s="124" t="str">
        <f>IF($B440="","",IFERROR(-AI440,"n.b."))</f>
        <v/>
      </c>
      <c r="BZ440" s="124" t="str">
        <f>IF($B440="","",IFERROR(-AJ440,"n.b."))</f>
        <v/>
      </c>
      <c r="CA440" s="124" t="str">
        <f>IF($B440="","",IFERROR(-AK440,"n.b."))</f>
        <v/>
      </c>
      <c r="CB440" s="124" t="str">
        <f>IF($B440="","",IFERROR(-AL440,"n.b."))</f>
        <v/>
      </c>
      <c r="CC440" s="124" t="str">
        <f>IF($B440="","",IFERROR(-AP440,"n.b."))</f>
        <v/>
      </c>
      <c r="CD440" s="124" t="str">
        <f>IF($B440="","",IFERROR(-AQ440,"n.b."))</f>
        <v/>
      </c>
      <c r="CE440" s="124" t="str">
        <f>IF($B440="","",IFERROR(-AR440,"n.b."))</f>
        <v/>
      </c>
      <c r="CF440" s="124" t="str">
        <f>IF($B440="","",IFERROR(-AS440,"n.b."))</f>
        <v/>
      </c>
      <c r="CG440" s="124" t="str">
        <f>IF($B440="","",IFERROR(-AT440,"n.b."))</f>
        <v/>
      </c>
      <c r="CH440" s="124" t="str">
        <f>IF($B440="","",IFERROR(-AU440,"n.b."))</f>
        <v/>
      </c>
      <c r="CI440" s="124" t="str">
        <f>IF($B440="","",IFERROR(-AV440,"n.b."))</f>
        <v/>
      </c>
      <c r="CJ440" s="124" t="str">
        <f>IF($B440="","",IFERROR(-AW440,"n.b."))</f>
        <v/>
      </c>
      <c r="CK440" s="124" t="str">
        <f>IF($B440="","",IFERROR(-AX440,"n.b."))</f>
        <v/>
      </c>
      <c r="CL440" s="124" t="str">
        <f>IF($B440="","",IFERROR(-AY440,"n.b."))</f>
        <v/>
      </c>
      <c r="CM440" s="124" t="str">
        <f>IF($B440="","",IFERROR(-AZ440,"n.b."))</f>
        <v/>
      </c>
      <c r="CN440" s="124" t="str">
        <f>IF($B440="","",IFERROR(-BA440,"n.b."))</f>
        <v/>
      </c>
      <c r="CO440" s="124" t="str">
        <f>IF($B440="","",IFERROR(-BB440,"n.b."))</f>
        <v/>
      </c>
      <c r="CP440" s="124" t="str">
        <f>IF($B440="","",IFERROR(-BC440,"n.b."))</f>
        <v/>
      </c>
      <c r="CQ440" s="124" t="str">
        <f>IF($B440="","",IFERROR(-BD440,"n.b."))</f>
        <v/>
      </c>
      <c r="CR440" s="124" t="str">
        <f>IF($B440="","",IFERROR(-BE440,"n.b."))</f>
        <v/>
      </c>
      <c r="CS440" s="124" t="str">
        <f>IF($B440="","",IFERROR(IF(OR(ABS(T440+V440+X440+Z440-AB440)&gt;P_Tol,ABS(U440+W440+Y440+AA440-AD440)&gt;P_Tol,ABS(AE440+AG440+AI440+AK440-AM440)&gt;P_Tol,ABS(AF440+AH440+AJ440+AL440-AO440)&gt;P_Tol),1,0),1))</f>
        <v/>
      </c>
      <c r="CT440" s="124" t="str">
        <f>IF($B440="","",IFERROR(IF(OR(ABS(AB440+AC440-AD440)&gt;P_Tol,ABS(AM440+AN440-AO440)&gt;P_Tol,ABS(O440+P440-Q440)&gt;P_Tol),1,0),1))</f>
        <v/>
      </c>
      <c r="CU440" s="124" t="str">
        <f>IF($B440="","",IFERROR(IF(ABS(R440-(AB440+AM440+AP440+AR440+AT440+AV440+AX440+AZ440+BB440+BD440))&gt;P_Tol,1,0),1))</f>
        <v/>
      </c>
      <c r="CV440" s="124" t="str">
        <f>IF($B440="","",IFERROR(IF(ABS(M440-(N440+O440+R440))&gt;P_Tol,1,0),1))</f>
        <v/>
      </c>
      <c r="CW440" s="124" t="str">
        <f>IF($B440="","",IF(COUNTIF(Mapping!$A$5:$A$104,B440)&gt;0,1,0))</f>
        <v/>
      </c>
      <c r="CX440" s="124" t="str">
        <f>IF($B440="","",COUNTIF($B$6:$B$505,B440))</f>
        <v/>
      </c>
      <c r="CY440" s="124" t="str">
        <f>IF($B440="","",COUNTIF(STG_Woningetalage!$B$6:$B$505,B440))</f>
        <v/>
      </c>
      <c r="CZ440" s="124" t="str">
        <f>IF($B440="","",IF(CW440=0,COUNTIF($CW$6:CW440,0),""))</f>
        <v/>
      </c>
    </row>
    <row r="441">
      <c r="A441" s="15" t="n">
        <v>437</v>
      </c>
      <c r="B441" t="str">
        <f>IF(B$3=0,"",IF(INDEX(SRC_ZPMW03!$A$1:$ZZ$501,$A441,B$3)&amp;""="","",INDEX(SRC_ZPMW03!$A$1:$ZZ$501,$A441,B$3)&amp;""))</f>
        <v/>
      </c>
      <c r="C441" t="str">
        <f>IF($B441="","",IF(C$3=0,"n.b.",INDEX(SRC_ZPMW03!$A$1:$ZZ$501,$A441,C$3)))</f>
        <v/>
      </c>
      <c r="D441" t="str">
        <f>IF($B441="","",IF(D$3=0,"n.b.",INDEX(SRC_ZPMW03!$A$1:$ZZ$501,$A441,D$3)))</f>
        <v/>
      </c>
      <c r="E441" t="str">
        <f>IF($B441="","",IF(E$3=0,"n.b.",INDEX(SRC_ZPMW03!$A$1:$ZZ$501,$A441,E$3)))</f>
        <v/>
      </c>
      <c r="F441" t="str">
        <f>IF($B441="","",IF(F$3=0,"n.b.",INDEX(SRC_ZPMW03!$A$1:$ZZ$501,$A441,F$3)))</f>
        <v/>
      </c>
      <c r="G441" t="str">
        <f>IF($B441="","",IF(G$3=0,"n.b.",INDEX(SRC_ZPMW03!$A$1:$ZZ$501,$A441,G$3)))</f>
        <v/>
      </c>
      <c r="H441" t="str">
        <f>IF($B441="","",IF(H$3=0,"n.b.",INDEX(SRC_ZPMW03!$A$1:$ZZ$501,$A441,H$3)))</f>
        <v/>
      </c>
      <c r="I441" t="str">
        <f>IF($B441="","",IF(I$3=0,"n.b.",INDEX(SRC_ZPMW03!$A$1:$ZZ$501,$A441,I$3)))</f>
        <v/>
      </c>
      <c r="J441" t="str">
        <f>IF($B441="","",IF(J$3=0,"n.b.",INDEX(SRC_ZPMW03!$A$1:$ZZ$501,$A441,J$3)))</f>
        <v/>
      </c>
      <c r="K441" t="str">
        <f>IF($B441="","",IF(K$3=0,"n.b.",INDEX(SRC_ZPMW03!$A$1:$ZZ$501,$A441,K$3)))</f>
        <v/>
      </c>
      <c r="L441" s="124" t="str">
        <f>IF($B441="","",IF(L$3=0,"n.b.",INDEX(SRC_ZPMW03!$A$1:$ZZ$501,$A441,L$3)))</f>
        <v/>
      </c>
      <c r="M441" s="124" t="str">
        <f>IF($B441="","",IF(M$3=0,"n.b.",INDEX(SRC_ZPMW03!$A$1:$ZZ$501,$A441,M$3)))</f>
        <v/>
      </c>
      <c r="N441" s="124" t="str">
        <f>IF($B441="","",IF(N$3=0,"n.b.",INDEX(SRC_ZPMW03!$A$1:$ZZ$501,$A441,N$3)))</f>
        <v/>
      </c>
      <c r="O441" s="124" t="str">
        <f>IF($B441="","",IF(O$3=0,"n.b.",INDEX(SRC_ZPMW03!$A$1:$ZZ$501,$A441,O$3)))</f>
        <v/>
      </c>
      <c r="P441" s="124" t="str">
        <f>IF($B441="","",IF(P$3=0,"n.b.",INDEX(SRC_ZPMW03!$A$1:$ZZ$501,$A441,P$3)))</f>
        <v/>
      </c>
      <c r="Q441" s="124" t="str">
        <f>IF($B441="","",IF(Q$3=0,"n.b.",INDEX(SRC_ZPMW03!$A$1:$ZZ$501,$A441,Q$3)))</f>
        <v/>
      </c>
      <c r="R441" s="124" t="str">
        <f>IF($B441="","",IF(R$3=0,"n.b.",INDEX(SRC_ZPMW03!$A$1:$ZZ$501,$A441,R$3)))</f>
        <v/>
      </c>
      <c r="S441" s="124" t="str">
        <f>IF($B441="","",IF(S$3=0,"n.b.",INDEX(SRC_ZPMW03!$A$1:$ZZ$501,$A441,S$3)))</f>
        <v/>
      </c>
      <c r="T441" s="124" t="str">
        <f>IF($B441="","",IF(T$3=0,"n.b.",INDEX(SRC_ZPMW03!$A$1:$ZZ$501,$A441,T$3)))</f>
        <v/>
      </c>
      <c r="U441" s="124" t="str">
        <f>IF($B441="","",IF(U$3=0,"n.b.",INDEX(SRC_ZPMW03!$A$1:$ZZ$501,$A441,U$3)))</f>
        <v/>
      </c>
      <c r="V441" s="124" t="str">
        <f>IF($B441="","",IF(V$3=0,"n.b.",INDEX(SRC_ZPMW03!$A$1:$ZZ$501,$A441,V$3)))</f>
        <v/>
      </c>
      <c r="W441" s="124" t="str">
        <f>IF($B441="","",IF(W$3=0,"n.b.",INDEX(SRC_ZPMW03!$A$1:$ZZ$501,$A441,W$3)))</f>
        <v/>
      </c>
      <c r="X441" s="124" t="str">
        <f>IF($B441="","",IF(X$3=0,"n.b.",INDEX(SRC_ZPMW03!$A$1:$ZZ$501,$A441,X$3)))</f>
        <v/>
      </c>
      <c r="Y441" s="124" t="str">
        <f>IF($B441="","",IF(Y$3=0,"n.b.",INDEX(SRC_ZPMW03!$A$1:$ZZ$501,$A441,Y$3)))</f>
        <v/>
      </c>
      <c r="Z441" s="124" t="str">
        <f>IF($B441="","",IF(Z$3=0,"n.b.",INDEX(SRC_ZPMW03!$A$1:$ZZ$501,$A441,Z$3)))</f>
        <v/>
      </c>
      <c r="AA441" s="124" t="str">
        <f>IF($B441="","",IF(AA$3=0,"n.b.",INDEX(SRC_ZPMW03!$A$1:$ZZ$501,$A441,AA$3)))</f>
        <v/>
      </c>
      <c r="AB441" s="124" t="str">
        <f>IF($B441="","",IF(AB$3=0,"n.b.",INDEX(SRC_ZPMW03!$A$1:$ZZ$501,$A441,AB$3)))</f>
        <v/>
      </c>
      <c r="AC441" s="124" t="str">
        <f>IF($B441="","",IF(AC$3=0,"n.b.",INDEX(SRC_ZPMW03!$A$1:$ZZ$501,$A441,AC$3)))</f>
        <v/>
      </c>
      <c r="AD441" s="124" t="str">
        <f>IF($B441="","",IF(AD$3=0,"n.b.",INDEX(SRC_ZPMW03!$A$1:$ZZ$501,$A441,AD$3)))</f>
        <v/>
      </c>
      <c r="AE441" s="124" t="str">
        <f>IF($B441="","",IF(AE$3=0,"n.b.",INDEX(SRC_ZPMW03!$A$1:$ZZ$501,$A441,AE$3)))</f>
        <v/>
      </c>
      <c r="AF441" s="124" t="str">
        <f>IF($B441="","",IF(AF$3=0,"n.b.",INDEX(SRC_ZPMW03!$A$1:$ZZ$501,$A441,AF$3)))</f>
        <v/>
      </c>
      <c r="AG441" s="124" t="str">
        <f>IF($B441="","",IF(AG$3=0,"n.b.",INDEX(SRC_ZPMW03!$A$1:$ZZ$501,$A441,AG$3)))</f>
        <v/>
      </c>
      <c r="AH441" s="124" t="str">
        <f>IF($B441="","",IF(AH$3=0,"n.b.",INDEX(SRC_ZPMW03!$A$1:$ZZ$501,$A441,AH$3)))</f>
        <v/>
      </c>
      <c r="AI441" s="124" t="str">
        <f>IF($B441="","",IF(AI$3=0,"n.b.",INDEX(SRC_ZPMW03!$A$1:$ZZ$501,$A441,AI$3)))</f>
        <v/>
      </c>
      <c r="AJ441" s="124" t="str">
        <f>IF($B441="","",IF(AJ$3=0,"n.b.",INDEX(SRC_ZPMW03!$A$1:$ZZ$501,$A441,AJ$3)))</f>
        <v/>
      </c>
      <c r="AK441" s="124" t="str">
        <f>IF($B441="","",IF(AK$3=0,"n.b.",INDEX(SRC_ZPMW03!$A$1:$ZZ$501,$A441,AK$3)))</f>
        <v/>
      </c>
      <c r="AL441" s="124" t="str">
        <f>IF($B441="","",IF(AL$3=0,"n.b.",INDEX(SRC_ZPMW03!$A$1:$ZZ$501,$A441,AL$3)))</f>
        <v/>
      </c>
      <c r="AM441" s="124" t="str">
        <f>IF($B441="","",IF(AM$3=0,"n.b.",INDEX(SRC_ZPMW03!$A$1:$ZZ$501,$A441,AM$3)))</f>
        <v/>
      </c>
      <c r="AN441" s="124" t="str">
        <f>IF($B441="","",IF(AN$3=0,"n.b.",INDEX(SRC_ZPMW03!$A$1:$ZZ$501,$A441,AN$3)))</f>
        <v/>
      </c>
      <c r="AO441" s="124" t="str">
        <f>IF($B441="","",IF(AO$3=0,"n.b.",INDEX(SRC_ZPMW03!$A$1:$ZZ$501,$A441,AO$3)))</f>
        <v/>
      </c>
      <c r="AP441" s="124" t="str">
        <f>IF($B441="","",IF(AP$3=0,"n.b.",INDEX(SRC_ZPMW03!$A$1:$ZZ$501,$A441,AP$3)))</f>
        <v/>
      </c>
      <c r="AQ441" s="124" t="str">
        <f>IF($B441="","",IF(AQ$3=0,"n.b.",INDEX(SRC_ZPMW03!$A$1:$ZZ$501,$A441,AQ$3)))</f>
        <v/>
      </c>
      <c r="AR441" s="124" t="str">
        <f>IF($B441="","",IF(AR$3=0,"n.b.",INDEX(SRC_ZPMW03!$A$1:$ZZ$501,$A441,AR$3)))</f>
        <v/>
      </c>
      <c r="AS441" s="124" t="str">
        <f>IF($B441="","",IF(AS$3=0,"n.b.",INDEX(SRC_ZPMW03!$A$1:$ZZ$501,$A441,AS$3)))</f>
        <v/>
      </c>
      <c r="AT441" s="124" t="str">
        <f>IF($B441="","",IF(AT$3=0,"n.b.",INDEX(SRC_ZPMW03!$A$1:$ZZ$501,$A441,AT$3)))</f>
        <v/>
      </c>
      <c r="AU441" s="124" t="str">
        <f>IF($B441="","",IF(AU$3=0,"n.b.",INDEX(SRC_ZPMW03!$A$1:$ZZ$501,$A441,AU$3)))</f>
        <v/>
      </c>
      <c r="AV441" s="124" t="str">
        <f>IF($B441="","",IF(AV$3=0,"n.b.",INDEX(SRC_ZPMW03!$A$1:$ZZ$501,$A441,AV$3)))</f>
        <v/>
      </c>
      <c r="AW441" s="124" t="str">
        <f>IF($B441="","",IF(AW$3=0,"n.b.",INDEX(SRC_ZPMW03!$A$1:$ZZ$501,$A441,AW$3)))</f>
        <v/>
      </c>
      <c r="AX441" s="124" t="str">
        <f>IF($B441="","",IF(AX$3=0,"n.b.",INDEX(SRC_ZPMW03!$A$1:$ZZ$501,$A441,AX$3)))</f>
        <v/>
      </c>
      <c r="AY441" s="124" t="str">
        <f>IF($B441="","",IF(AY$3=0,"n.b.",INDEX(SRC_ZPMW03!$A$1:$ZZ$501,$A441,AY$3)))</f>
        <v/>
      </c>
      <c r="AZ441" s="124" t="str">
        <f>IF($B441="","",IF(AZ$3=0,"n.b.",INDEX(SRC_ZPMW03!$A$1:$ZZ$501,$A441,AZ$3)))</f>
        <v/>
      </c>
      <c r="BA441" s="124" t="str">
        <f>IF($B441="","",IF(BA$3=0,"n.b.",INDEX(SRC_ZPMW03!$A$1:$ZZ$501,$A441,BA$3)))</f>
        <v/>
      </c>
      <c r="BB441" s="124" t="str">
        <f>IF($B441="","",IF(BB$3=0,"n.b.",INDEX(SRC_ZPMW03!$A$1:$ZZ$501,$A441,BB$3)))</f>
        <v/>
      </c>
      <c r="BC441" s="124" t="str">
        <f>IF($B441="","",IF(BC$3=0,"n.b.",INDEX(SRC_ZPMW03!$A$1:$ZZ$501,$A441,BC$3)))</f>
        <v/>
      </c>
      <c r="BD441" s="124" t="str">
        <f>IF($B441="","",IF(BD$3=0,"n.b.",INDEX(SRC_ZPMW03!$A$1:$ZZ$501,$A441,BD$3)))</f>
        <v/>
      </c>
      <c r="BE441" s="124" t="str">
        <f>IF($B441="","",IF(BE$3=0,"n.b.",INDEX(SRC_ZPMW03!$A$1:$ZZ$501,$A441,BE$3)))</f>
        <v/>
      </c>
      <c r="BF441" s="124" t="str">
        <f>IF($B441="","",IF(BF$3=0,"n.b.",INDEX(SRC_ZPMW03!$A$1:$ZZ$501,$A441,BF$3)))</f>
        <v/>
      </c>
      <c r="BG441" t="str">
        <f>IF($B441="","",IF(BG$3=0,"n.b.",INDEX(SRC_ZPMW03!$A$1:$ZZ$501,$A441,BG$3)))</f>
        <v/>
      </c>
      <c r="BH441" t="str">
        <f>IF($B441="","",IF(BH$3=0,"n.b.",INDEX(SRC_ZPMW03!$A$1:$ZZ$501,$A441,BH$3)))</f>
        <v/>
      </c>
      <c r="BI441" t="str">
        <f>IF($B441="","",IF(BI$3=0,"n.b.",INDEX(SRC_ZPMW03!$A$1:$ZZ$501,$A441,BI$3)))</f>
        <v/>
      </c>
      <c r="BJ441" t="str">
        <f>IF($B441="","",IF(BJ$3=0,"n.b.",INDEX(SRC_ZPMW03!$A$1:$ZZ$501,$A441,BJ$3)))</f>
        <v/>
      </c>
      <c r="BK441" s="124" t="str">
        <f>IF($B441="","",IFERROR(-O441,"n.b."))</f>
        <v/>
      </c>
      <c r="BL441" s="124" t="str">
        <f>IF($B441="","",IFERROR(-Q441,"n.b."))</f>
        <v/>
      </c>
      <c r="BM441" s="124" t="str">
        <f>IF($B441="","",IFERROR(-AB441,"n.b."))</f>
        <v/>
      </c>
      <c r="BN441" s="124" t="str">
        <f>IF($B441="","",IFERROR(-AD441,"n.b."))</f>
        <v/>
      </c>
      <c r="BO441" s="124" t="str">
        <f>IF($B441="","",IFERROR(BK441+BM441,"n.b."))</f>
        <v/>
      </c>
      <c r="BP441" s="124" t="str">
        <f>IF($B441="","",IFERROR(BL441+BN441,"n.b."))</f>
        <v/>
      </c>
      <c r="BQ441" s="124" t="str">
        <f>IF($B441="","",IFERROR(-AM441,"n.b."))</f>
        <v/>
      </c>
      <c r="BR441" s="124" t="str">
        <f>IF($B441="","",IFERROR(-AO441,"n.b."))</f>
        <v/>
      </c>
      <c r="BS441" s="124" t="str">
        <f>IF($B441="","",IFERROR(-Z441,"n.b."))</f>
        <v/>
      </c>
      <c r="BT441" s="124" t="str">
        <f>IF($B441="","",IFERROR(-AA441,"n.b."))</f>
        <v/>
      </c>
      <c r="BU441" s="124" t="str">
        <f>IF($B441="","",IFERROR(-AE441,"n.b."))</f>
        <v/>
      </c>
      <c r="BV441" s="124" t="str">
        <f>IF($B441="","",IFERROR(-AF441,"n.b."))</f>
        <v/>
      </c>
      <c r="BW441" s="124" t="str">
        <f>IF($B441="","",IFERROR(-AG441,"n.b."))</f>
        <v/>
      </c>
      <c r="BX441" s="124" t="str">
        <f>IF($B441="","",IFERROR(-AH441,"n.b."))</f>
        <v/>
      </c>
      <c r="BY441" s="124" t="str">
        <f>IF($B441="","",IFERROR(-AI441,"n.b."))</f>
        <v/>
      </c>
      <c r="BZ441" s="124" t="str">
        <f>IF($B441="","",IFERROR(-AJ441,"n.b."))</f>
        <v/>
      </c>
      <c r="CA441" s="124" t="str">
        <f>IF($B441="","",IFERROR(-AK441,"n.b."))</f>
        <v/>
      </c>
      <c r="CB441" s="124" t="str">
        <f>IF($B441="","",IFERROR(-AL441,"n.b."))</f>
        <v/>
      </c>
      <c r="CC441" s="124" t="str">
        <f>IF($B441="","",IFERROR(-AP441,"n.b."))</f>
        <v/>
      </c>
      <c r="CD441" s="124" t="str">
        <f>IF($B441="","",IFERROR(-AQ441,"n.b."))</f>
        <v/>
      </c>
      <c r="CE441" s="124" t="str">
        <f>IF($B441="","",IFERROR(-AR441,"n.b."))</f>
        <v/>
      </c>
      <c r="CF441" s="124" t="str">
        <f>IF($B441="","",IFERROR(-AS441,"n.b."))</f>
        <v/>
      </c>
      <c r="CG441" s="124" t="str">
        <f>IF($B441="","",IFERROR(-AT441,"n.b."))</f>
        <v/>
      </c>
      <c r="CH441" s="124" t="str">
        <f>IF($B441="","",IFERROR(-AU441,"n.b."))</f>
        <v/>
      </c>
      <c r="CI441" s="124" t="str">
        <f>IF($B441="","",IFERROR(-AV441,"n.b."))</f>
        <v/>
      </c>
      <c r="CJ441" s="124" t="str">
        <f>IF($B441="","",IFERROR(-AW441,"n.b."))</f>
        <v/>
      </c>
      <c r="CK441" s="124" t="str">
        <f>IF($B441="","",IFERROR(-AX441,"n.b."))</f>
        <v/>
      </c>
      <c r="CL441" s="124" t="str">
        <f>IF($B441="","",IFERROR(-AY441,"n.b."))</f>
        <v/>
      </c>
      <c r="CM441" s="124" t="str">
        <f>IF($B441="","",IFERROR(-AZ441,"n.b."))</f>
        <v/>
      </c>
      <c r="CN441" s="124" t="str">
        <f>IF($B441="","",IFERROR(-BA441,"n.b."))</f>
        <v/>
      </c>
      <c r="CO441" s="124" t="str">
        <f>IF($B441="","",IFERROR(-BB441,"n.b."))</f>
        <v/>
      </c>
      <c r="CP441" s="124" t="str">
        <f>IF($B441="","",IFERROR(-BC441,"n.b."))</f>
        <v/>
      </c>
      <c r="CQ441" s="124" t="str">
        <f>IF($B441="","",IFERROR(-BD441,"n.b."))</f>
        <v/>
      </c>
      <c r="CR441" s="124" t="str">
        <f>IF($B441="","",IFERROR(-BE441,"n.b."))</f>
        <v/>
      </c>
      <c r="CS441" s="124" t="str">
        <f>IF($B441="","",IFERROR(IF(OR(ABS(T441+V441+X441+Z441-AB441)&gt;P_Tol,ABS(U441+W441+Y441+AA441-AD441)&gt;P_Tol,ABS(AE441+AG441+AI441+AK441-AM441)&gt;P_Tol,ABS(AF441+AH441+AJ441+AL441-AO441)&gt;P_Tol),1,0),1))</f>
        <v/>
      </c>
      <c r="CT441" s="124" t="str">
        <f>IF($B441="","",IFERROR(IF(OR(ABS(AB441+AC441-AD441)&gt;P_Tol,ABS(AM441+AN441-AO441)&gt;P_Tol,ABS(O441+P441-Q441)&gt;P_Tol),1,0),1))</f>
        <v/>
      </c>
      <c r="CU441" s="124" t="str">
        <f>IF($B441="","",IFERROR(IF(ABS(R441-(AB441+AM441+AP441+AR441+AT441+AV441+AX441+AZ441+BB441+BD441))&gt;P_Tol,1,0),1))</f>
        <v/>
      </c>
      <c r="CV441" s="124" t="str">
        <f>IF($B441="","",IFERROR(IF(ABS(M441-(N441+O441+R441))&gt;P_Tol,1,0),1))</f>
        <v/>
      </c>
      <c r="CW441" s="124" t="str">
        <f>IF($B441="","",IF(COUNTIF(Mapping!$A$5:$A$104,B441)&gt;0,1,0))</f>
        <v/>
      </c>
      <c r="CX441" s="124" t="str">
        <f>IF($B441="","",COUNTIF($B$6:$B$505,B441))</f>
        <v/>
      </c>
      <c r="CY441" s="124" t="str">
        <f>IF($B441="","",COUNTIF(STG_Woningetalage!$B$6:$B$505,B441))</f>
        <v/>
      </c>
      <c r="CZ441" s="124" t="str">
        <f>IF($B441="","",IF(CW441=0,COUNTIF($CW$6:CW441,0),""))</f>
        <v/>
      </c>
    </row>
    <row r="442">
      <c r="A442" s="15" t="n">
        <v>438</v>
      </c>
      <c r="B442" t="str">
        <f>IF(B$3=0,"",IF(INDEX(SRC_ZPMW03!$A$1:$ZZ$501,$A442,B$3)&amp;""="","",INDEX(SRC_ZPMW03!$A$1:$ZZ$501,$A442,B$3)&amp;""))</f>
        <v/>
      </c>
      <c r="C442" t="str">
        <f>IF($B442="","",IF(C$3=0,"n.b.",INDEX(SRC_ZPMW03!$A$1:$ZZ$501,$A442,C$3)))</f>
        <v/>
      </c>
      <c r="D442" t="str">
        <f>IF($B442="","",IF(D$3=0,"n.b.",INDEX(SRC_ZPMW03!$A$1:$ZZ$501,$A442,D$3)))</f>
        <v/>
      </c>
      <c r="E442" t="str">
        <f>IF($B442="","",IF(E$3=0,"n.b.",INDEX(SRC_ZPMW03!$A$1:$ZZ$501,$A442,E$3)))</f>
        <v/>
      </c>
      <c r="F442" t="str">
        <f>IF($B442="","",IF(F$3=0,"n.b.",INDEX(SRC_ZPMW03!$A$1:$ZZ$501,$A442,F$3)))</f>
        <v/>
      </c>
      <c r="G442" t="str">
        <f>IF($B442="","",IF(G$3=0,"n.b.",INDEX(SRC_ZPMW03!$A$1:$ZZ$501,$A442,G$3)))</f>
        <v/>
      </c>
      <c r="H442" t="str">
        <f>IF($B442="","",IF(H$3=0,"n.b.",INDEX(SRC_ZPMW03!$A$1:$ZZ$501,$A442,H$3)))</f>
        <v/>
      </c>
      <c r="I442" t="str">
        <f>IF($B442="","",IF(I$3=0,"n.b.",INDEX(SRC_ZPMW03!$A$1:$ZZ$501,$A442,I$3)))</f>
        <v/>
      </c>
      <c r="J442" t="str">
        <f>IF($B442="","",IF(J$3=0,"n.b.",INDEX(SRC_ZPMW03!$A$1:$ZZ$501,$A442,J$3)))</f>
        <v/>
      </c>
      <c r="K442" t="str">
        <f>IF($B442="","",IF(K$3=0,"n.b.",INDEX(SRC_ZPMW03!$A$1:$ZZ$501,$A442,K$3)))</f>
        <v/>
      </c>
      <c r="L442" s="124" t="str">
        <f>IF($B442="","",IF(L$3=0,"n.b.",INDEX(SRC_ZPMW03!$A$1:$ZZ$501,$A442,L$3)))</f>
        <v/>
      </c>
      <c r="M442" s="124" t="str">
        <f>IF($B442="","",IF(M$3=0,"n.b.",INDEX(SRC_ZPMW03!$A$1:$ZZ$501,$A442,M$3)))</f>
        <v/>
      </c>
      <c r="N442" s="124" t="str">
        <f>IF($B442="","",IF(N$3=0,"n.b.",INDEX(SRC_ZPMW03!$A$1:$ZZ$501,$A442,N$3)))</f>
        <v/>
      </c>
      <c r="O442" s="124" t="str">
        <f>IF($B442="","",IF(O$3=0,"n.b.",INDEX(SRC_ZPMW03!$A$1:$ZZ$501,$A442,O$3)))</f>
        <v/>
      </c>
      <c r="P442" s="124" t="str">
        <f>IF($B442="","",IF(P$3=0,"n.b.",INDEX(SRC_ZPMW03!$A$1:$ZZ$501,$A442,P$3)))</f>
        <v/>
      </c>
      <c r="Q442" s="124" t="str">
        <f>IF($B442="","",IF(Q$3=0,"n.b.",INDEX(SRC_ZPMW03!$A$1:$ZZ$501,$A442,Q$3)))</f>
        <v/>
      </c>
      <c r="R442" s="124" t="str">
        <f>IF($B442="","",IF(R$3=0,"n.b.",INDEX(SRC_ZPMW03!$A$1:$ZZ$501,$A442,R$3)))</f>
        <v/>
      </c>
      <c r="S442" s="124" t="str">
        <f>IF($B442="","",IF(S$3=0,"n.b.",INDEX(SRC_ZPMW03!$A$1:$ZZ$501,$A442,S$3)))</f>
        <v/>
      </c>
      <c r="T442" s="124" t="str">
        <f>IF($B442="","",IF(T$3=0,"n.b.",INDEX(SRC_ZPMW03!$A$1:$ZZ$501,$A442,T$3)))</f>
        <v/>
      </c>
      <c r="U442" s="124" t="str">
        <f>IF($B442="","",IF(U$3=0,"n.b.",INDEX(SRC_ZPMW03!$A$1:$ZZ$501,$A442,U$3)))</f>
        <v/>
      </c>
      <c r="V442" s="124" t="str">
        <f>IF($B442="","",IF(V$3=0,"n.b.",INDEX(SRC_ZPMW03!$A$1:$ZZ$501,$A442,V$3)))</f>
        <v/>
      </c>
      <c r="W442" s="124" t="str">
        <f>IF($B442="","",IF(W$3=0,"n.b.",INDEX(SRC_ZPMW03!$A$1:$ZZ$501,$A442,W$3)))</f>
        <v/>
      </c>
      <c r="X442" s="124" t="str">
        <f>IF($B442="","",IF(X$3=0,"n.b.",INDEX(SRC_ZPMW03!$A$1:$ZZ$501,$A442,X$3)))</f>
        <v/>
      </c>
      <c r="Y442" s="124" t="str">
        <f>IF($B442="","",IF(Y$3=0,"n.b.",INDEX(SRC_ZPMW03!$A$1:$ZZ$501,$A442,Y$3)))</f>
        <v/>
      </c>
      <c r="Z442" s="124" t="str">
        <f>IF($B442="","",IF(Z$3=0,"n.b.",INDEX(SRC_ZPMW03!$A$1:$ZZ$501,$A442,Z$3)))</f>
        <v/>
      </c>
      <c r="AA442" s="124" t="str">
        <f>IF($B442="","",IF(AA$3=0,"n.b.",INDEX(SRC_ZPMW03!$A$1:$ZZ$501,$A442,AA$3)))</f>
        <v/>
      </c>
      <c r="AB442" s="124" t="str">
        <f>IF($B442="","",IF(AB$3=0,"n.b.",INDEX(SRC_ZPMW03!$A$1:$ZZ$501,$A442,AB$3)))</f>
        <v/>
      </c>
      <c r="AC442" s="124" t="str">
        <f>IF($B442="","",IF(AC$3=0,"n.b.",INDEX(SRC_ZPMW03!$A$1:$ZZ$501,$A442,AC$3)))</f>
        <v/>
      </c>
      <c r="AD442" s="124" t="str">
        <f>IF($B442="","",IF(AD$3=0,"n.b.",INDEX(SRC_ZPMW03!$A$1:$ZZ$501,$A442,AD$3)))</f>
        <v/>
      </c>
      <c r="AE442" s="124" t="str">
        <f>IF($B442="","",IF(AE$3=0,"n.b.",INDEX(SRC_ZPMW03!$A$1:$ZZ$501,$A442,AE$3)))</f>
        <v/>
      </c>
      <c r="AF442" s="124" t="str">
        <f>IF($B442="","",IF(AF$3=0,"n.b.",INDEX(SRC_ZPMW03!$A$1:$ZZ$501,$A442,AF$3)))</f>
        <v/>
      </c>
      <c r="AG442" s="124" t="str">
        <f>IF($B442="","",IF(AG$3=0,"n.b.",INDEX(SRC_ZPMW03!$A$1:$ZZ$501,$A442,AG$3)))</f>
        <v/>
      </c>
      <c r="AH442" s="124" t="str">
        <f>IF($B442="","",IF(AH$3=0,"n.b.",INDEX(SRC_ZPMW03!$A$1:$ZZ$501,$A442,AH$3)))</f>
        <v/>
      </c>
      <c r="AI442" s="124" t="str">
        <f>IF($B442="","",IF(AI$3=0,"n.b.",INDEX(SRC_ZPMW03!$A$1:$ZZ$501,$A442,AI$3)))</f>
        <v/>
      </c>
      <c r="AJ442" s="124" t="str">
        <f>IF($B442="","",IF(AJ$3=0,"n.b.",INDEX(SRC_ZPMW03!$A$1:$ZZ$501,$A442,AJ$3)))</f>
        <v/>
      </c>
      <c r="AK442" s="124" t="str">
        <f>IF($B442="","",IF(AK$3=0,"n.b.",INDEX(SRC_ZPMW03!$A$1:$ZZ$501,$A442,AK$3)))</f>
        <v/>
      </c>
      <c r="AL442" s="124" t="str">
        <f>IF($B442="","",IF(AL$3=0,"n.b.",INDEX(SRC_ZPMW03!$A$1:$ZZ$501,$A442,AL$3)))</f>
        <v/>
      </c>
      <c r="AM442" s="124" t="str">
        <f>IF($B442="","",IF(AM$3=0,"n.b.",INDEX(SRC_ZPMW03!$A$1:$ZZ$501,$A442,AM$3)))</f>
        <v/>
      </c>
      <c r="AN442" s="124" t="str">
        <f>IF($B442="","",IF(AN$3=0,"n.b.",INDEX(SRC_ZPMW03!$A$1:$ZZ$501,$A442,AN$3)))</f>
        <v/>
      </c>
      <c r="AO442" s="124" t="str">
        <f>IF($B442="","",IF(AO$3=0,"n.b.",INDEX(SRC_ZPMW03!$A$1:$ZZ$501,$A442,AO$3)))</f>
        <v/>
      </c>
      <c r="AP442" s="124" t="str">
        <f>IF($B442="","",IF(AP$3=0,"n.b.",INDEX(SRC_ZPMW03!$A$1:$ZZ$501,$A442,AP$3)))</f>
        <v/>
      </c>
      <c r="AQ442" s="124" t="str">
        <f>IF($B442="","",IF(AQ$3=0,"n.b.",INDEX(SRC_ZPMW03!$A$1:$ZZ$501,$A442,AQ$3)))</f>
        <v/>
      </c>
      <c r="AR442" s="124" t="str">
        <f>IF($B442="","",IF(AR$3=0,"n.b.",INDEX(SRC_ZPMW03!$A$1:$ZZ$501,$A442,AR$3)))</f>
        <v/>
      </c>
      <c r="AS442" s="124" t="str">
        <f>IF($B442="","",IF(AS$3=0,"n.b.",INDEX(SRC_ZPMW03!$A$1:$ZZ$501,$A442,AS$3)))</f>
        <v/>
      </c>
      <c r="AT442" s="124" t="str">
        <f>IF($B442="","",IF(AT$3=0,"n.b.",INDEX(SRC_ZPMW03!$A$1:$ZZ$501,$A442,AT$3)))</f>
        <v/>
      </c>
      <c r="AU442" s="124" t="str">
        <f>IF($B442="","",IF(AU$3=0,"n.b.",INDEX(SRC_ZPMW03!$A$1:$ZZ$501,$A442,AU$3)))</f>
        <v/>
      </c>
      <c r="AV442" s="124" t="str">
        <f>IF($B442="","",IF(AV$3=0,"n.b.",INDEX(SRC_ZPMW03!$A$1:$ZZ$501,$A442,AV$3)))</f>
        <v/>
      </c>
      <c r="AW442" s="124" t="str">
        <f>IF($B442="","",IF(AW$3=0,"n.b.",INDEX(SRC_ZPMW03!$A$1:$ZZ$501,$A442,AW$3)))</f>
        <v/>
      </c>
      <c r="AX442" s="124" t="str">
        <f>IF($B442="","",IF(AX$3=0,"n.b.",INDEX(SRC_ZPMW03!$A$1:$ZZ$501,$A442,AX$3)))</f>
        <v/>
      </c>
      <c r="AY442" s="124" t="str">
        <f>IF($B442="","",IF(AY$3=0,"n.b.",INDEX(SRC_ZPMW03!$A$1:$ZZ$501,$A442,AY$3)))</f>
        <v/>
      </c>
      <c r="AZ442" s="124" t="str">
        <f>IF($B442="","",IF(AZ$3=0,"n.b.",INDEX(SRC_ZPMW03!$A$1:$ZZ$501,$A442,AZ$3)))</f>
        <v/>
      </c>
      <c r="BA442" s="124" t="str">
        <f>IF($B442="","",IF(BA$3=0,"n.b.",INDEX(SRC_ZPMW03!$A$1:$ZZ$501,$A442,BA$3)))</f>
        <v/>
      </c>
      <c r="BB442" s="124" t="str">
        <f>IF($B442="","",IF(BB$3=0,"n.b.",INDEX(SRC_ZPMW03!$A$1:$ZZ$501,$A442,BB$3)))</f>
        <v/>
      </c>
      <c r="BC442" s="124" t="str">
        <f>IF($B442="","",IF(BC$3=0,"n.b.",INDEX(SRC_ZPMW03!$A$1:$ZZ$501,$A442,BC$3)))</f>
        <v/>
      </c>
      <c r="BD442" s="124" t="str">
        <f>IF($B442="","",IF(BD$3=0,"n.b.",INDEX(SRC_ZPMW03!$A$1:$ZZ$501,$A442,BD$3)))</f>
        <v/>
      </c>
      <c r="BE442" s="124" t="str">
        <f>IF($B442="","",IF(BE$3=0,"n.b.",INDEX(SRC_ZPMW03!$A$1:$ZZ$501,$A442,BE$3)))</f>
        <v/>
      </c>
      <c r="BF442" s="124" t="str">
        <f>IF($B442="","",IF(BF$3=0,"n.b.",INDEX(SRC_ZPMW03!$A$1:$ZZ$501,$A442,BF$3)))</f>
        <v/>
      </c>
      <c r="BG442" t="str">
        <f>IF($B442="","",IF(BG$3=0,"n.b.",INDEX(SRC_ZPMW03!$A$1:$ZZ$501,$A442,BG$3)))</f>
        <v/>
      </c>
      <c r="BH442" t="str">
        <f>IF($B442="","",IF(BH$3=0,"n.b.",INDEX(SRC_ZPMW03!$A$1:$ZZ$501,$A442,BH$3)))</f>
        <v/>
      </c>
      <c r="BI442" t="str">
        <f>IF($B442="","",IF(BI$3=0,"n.b.",INDEX(SRC_ZPMW03!$A$1:$ZZ$501,$A442,BI$3)))</f>
        <v/>
      </c>
      <c r="BJ442" t="str">
        <f>IF($B442="","",IF(BJ$3=0,"n.b.",INDEX(SRC_ZPMW03!$A$1:$ZZ$501,$A442,BJ$3)))</f>
        <v/>
      </c>
      <c r="BK442" s="124" t="str">
        <f>IF($B442="","",IFERROR(-O442,"n.b."))</f>
        <v/>
      </c>
      <c r="BL442" s="124" t="str">
        <f>IF($B442="","",IFERROR(-Q442,"n.b."))</f>
        <v/>
      </c>
      <c r="BM442" s="124" t="str">
        <f>IF($B442="","",IFERROR(-AB442,"n.b."))</f>
        <v/>
      </c>
      <c r="BN442" s="124" t="str">
        <f>IF($B442="","",IFERROR(-AD442,"n.b."))</f>
        <v/>
      </c>
      <c r="BO442" s="124" t="str">
        <f>IF($B442="","",IFERROR(BK442+BM442,"n.b."))</f>
        <v/>
      </c>
      <c r="BP442" s="124" t="str">
        <f>IF($B442="","",IFERROR(BL442+BN442,"n.b."))</f>
        <v/>
      </c>
      <c r="BQ442" s="124" t="str">
        <f>IF($B442="","",IFERROR(-AM442,"n.b."))</f>
        <v/>
      </c>
      <c r="BR442" s="124" t="str">
        <f>IF($B442="","",IFERROR(-AO442,"n.b."))</f>
        <v/>
      </c>
      <c r="BS442" s="124" t="str">
        <f>IF($B442="","",IFERROR(-Z442,"n.b."))</f>
        <v/>
      </c>
      <c r="BT442" s="124" t="str">
        <f>IF($B442="","",IFERROR(-AA442,"n.b."))</f>
        <v/>
      </c>
      <c r="BU442" s="124" t="str">
        <f>IF($B442="","",IFERROR(-AE442,"n.b."))</f>
        <v/>
      </c>
      <c r="BV442" s="124" t="str">
        <f>IF($B442="","",IFERROR(-AF442,"n.b."))</f>
        <v/>
      </c>
      <c r="BW442" s="124" t="str">
        <f>IF($B442="","",IFERROR(-AG442,"n.b."))</f>
        <v/>
      </c>
      <c r="BX442" s="124" t="str">
        <f>IF($B442="","",IFERROR(-AH442,"n.b."))</f>
        <v/>
      </c>
      <c r="BY442" s="124" t="str">
        <f>IF($B442="","",IFERROR(-AI442,"n.b."))</f>
        <v/>
      </c>
      <c r="BZ442" s="124" t="str">
        <f>IF($B442="","",IFERROR(-AJ442,"n.b."))</f>
        <v/>
      </c>
      <c r="CA442" s="124" t="str">
        <f>IF($B442="","",IFERROR(-AK442,"n.b."))</f>
        <v/>
      </c>
      <c r="CB442" s="124" t="str">
        <f>IF($B442="","",IFERROR(-AL442,"n.b."))</f>
        <v/>
      </c>
      <c r="CC442" s="124" t="str">
        <f>IF($B442="","",IFERROR(-AP442,"n.b."))</f>
        <v/>
      </c>
      <c r="CD442" s="124" t="str">
        <f>IF($B442="","",IFERROR(-AQ442,"n.b."))</f>
        <v/>
      </c>
      <c r="CE442" s="124" t="str">
        <f>IF($B442="","",IFERROR(-AR442,"n.b."))</f>
        <v/>
      </c>
      <c r="CF442" s="124" t="str">
        <f>IF($B442="","",IFERROR(-AS442,"n.b."))</f>
        <v/>
      </c>
      <c r="CG442" s="124" t="str">
        <f>IF($B442="","",IFERROR(-AT442,"n.b."))</f>
        <v/>
      </c>
      <c r="CH442" s="124" t="str">
        <f>IF($B442="","",IFERROR(-AU442,"n.b."))</f>
        <v/>
      </c>
      <c r="CI442" s="124" t="str">
        <f>IF($B442="","",IFERROR(-AV442,"n.b."))</f>
        <v/>
      </c>
      <c r="CJ442" s="124" t="str">
        <f>IF($B442="","",IFERROR(-AW442,"n.b."))</f>
        <v/>
      </c>
      <c r="CK442" s="124" t="str">
        <f>IF($B442="","",IFERROR(-AX442,"n.b."))</f>
        <v/>
      </c>
      <c r="CL442" s="124" t="str">
        <f>IF($B442="","",IFERROR(-AY442,"n.b."))</f>
        <v/>
      </c>
      <c r="CM442" s="124" t="str">
        <f>IF($B442="","",IFERROR(-AZ442,"n.b."))</f>
        <v/>
      </c>
      <c r="CN442" s="124" t="str">
        <f>IF($B442="","",IFERROR(-BA442,"n.b."))</f>
        <v/>
      </c>
      <c r="CO442" s="124" t="str">
        <f>IF($B442="","",IFERROR(-BB442,"n.b."))</f>
        <v/>
      </c>
      <c r="CP442" s="124" t="str">
        <f>IF($B442="","",IFERROR(-BC442,"n.b."))</f>
        <v/>
      </c>
      <c r="CQ442" s="124" t="str">
        <f>IF($B442="","",IFERROR(-BD442,"n.b."))</f>
        <v/>
      </c>
      <c r="CR442" s="124" t="str">
        <f>IF($B442="","",IFERROR(-BE442,"n.b."))</f>
        <v/>
      </c>
      <c r="CS442" s="124" t="str">
        <f>IF($B442="","",IFERROR(IF(OR(ABS(T442+V442+X442+Z442-AB442)&gt;P_Tol,ABS(U442+W442+Y442+AA442-AD442)&gt;P_Tol,ABS(AE442+AG442+AI442+AK442-AM442)&gt;P_Tol,ABS(AF442+AH442+AJ442+AL442-AO442)&gt;P_Tol),1,0),1))</f>
        <v/>
      </c>
      <c r="CT442" s="124" t="str">
        <f>IF($B442="","",IFERROR(IF(OR(ABS(AB442+AC442-AD442)&gt;P_Tol,ABS(AM442+AN442-AO442)&gt;P_Tol,ABS(O442+P442-Q442)&gt;P_Tol),1,0),1))</f>
        <v/>
      </c>
      <c r="CU442" s="124" t="str">
        <f>IF($B442="","",IFERROR(IF(ABS(R442-(AB442+AM442+AP442+AR442+AT442+AV442+AX442+AZ442+BB442+BD442))&gt;P_Tol,1,0),1))</f>
        <v/>
      </c>
      <c r="CV442" s="124" t="str">
        <f>IF($B442="","",IFERROR(IF(ABS(M442-(N442+O442+R442))&gt;P_Tol,1,0),1))</f>
        <v/>
      </c>
      <c r="CW442" s="124" t="str">
        <f>IF($B442="","",IF(COUNTIF(Mapping!$A$5:$A$104,B442)&gt;0,1,0))</f>
        <v/>
      </c>
      <c r="CX442" s="124" t="str">
        <f>IF($B442="","",COUNTIF($B$6:$B$505,B442))</f>
        <v/>
      </c>
      <c r="CY442" s="124" t="str">
        <f>IF($B442="","",COUNTIF(STG_Woningetalage!$B$6:$B$505,B442))</f>
        <v/>
      </c>
      <c r="CZ442" s="124" t="str">
        <f>IF($B442="","",IF(CW442=0,COUNTIF($CW$6:CW442,0),""))</f>
        <v/>
      </c>
    </row>
    <row r="443">
      <c r="A443" s="15" t="n">
        <v>439</v>
      </c>
      <c r="B443" t="str">
        <f>IF(B$3=0,"",IF(INDEX(SRC_ZPMW03!$A$1:$ZZ$501,$A443,B$3)&amp;""="","",INDEX(SRC_ZPMW03!$A$1:$ZZ$501,$A443,B$3)&amp;""))</f>
        <v/>
      </c>
      <c r="C443" t="str">
        <f>IF($B443="","",IF(C$3=0,"n.b.",INDEX(SRC_ZPMW03!$A$1:$ZZ$501,$A443,C$3)))</f>
        <v/>
      </c>
      <c r="D443" t="str">
        <f>IF($B443="","",IF(D$3=0,"n.b.",INDEX(SRC_ZPMW03!$A$1:$ZZ$501,$A443,D$3)))</f>
        <v/>
      </c>
      <c r="E443" t="str">
        <f>IF($B443="","",IF(E$3=0,"n.b.",INDEX(SRC_ZPMW03!$A$1:$ZZ$501,$A443,E$3)))</f>
        <v/>
      </c>
      <c r="F443" t="str">
        <f>IF($B443="","",IF(F$3=0,"n.b.",INDEX(SRC_ZPMW03!$A$1:$ZZ$501,$A443,F$3)))</f>
        <v/>
      </c>
      <c r="G443" t="str">
        <f>IF($B443="","",IF(G$3=0,"n.b.",INDEX(SRC_ZPMW03!$A$1:$ZZ$501,$A443,G$3)))</f>
        <v/>
      </c>
      <c r="H443" t="str">
        <f>IF($B443="","",IF(H$3=0,"n.b.",INDEX(SRC_ZPMW03!$A$1:$ZZ$501,$A443,H$3)))</f>
        <v/>
      </c>
      <c r="I443" t="str">
        <f>IF($B443="","",IF(I$3=0,"n.b.",INDEX(SRC_ZPMW03!$A$1:$ZZ$501,$A443,I$3)))</f>
        <v/>
      </c>
      <c r="J443" t="str">
        <f>IF($B443="","",IF(J$3=0,"n.b.",INDEX(SRC_ZPMW03!$A$1:$ZZ$501,$A443,J$3)))</f>
        <v/>
      </c>
      <c r="K443" t="str">
        <f>IF($B443="","",IF(K$3=0,"n.b.",INDEX(SRC_ZPMW03!$A$1:$ZZ$501,$A443,K$3)))</f>
        <v/>
      </c>
      <c r="L443" s="124" t="str">
        <f>IF($B443="","",IF(L$3=0,"n.b.",INDEX(SRC_ZPMW03!$A$1:$ZZ$501,$A443,L$3)))</f>
        <v/>
      </c>
      <c r="M443" s="124" t="str">
        <f>IF($B443="","",IF(M$3=0,"n.b.",INDEX(SRC_ZPMW03!$A$1:$ZZ$501,$A443,M$3)))</f>
        <v/>
      </c>
      <c r="N443" s="124" t="str">
        <f>IF($B443="","",IF(N$3=0,"n.b.",INDEX(SRC_ZPMW03!$A$1:$ZZ$501,$A443,N$3)))</f>
        <v/>
      </c>
      <c r="O443" s="124" t="str">
        <f>IF($B443="","",IF(O$3=0,"n.b.",INDEX(SRC_ZPMW03!$A$1:$ZZ$501,$A443,O$3)))</f>
        <v/>
      </c>
      <c r="P443" s="124" t="str">
        <f>IF($B443="","",IF(P$3=0,"n.b.",INDEX(SRC_ZPMW03!$A$1:$ZZ$501,$A443,P$3)))</f>
        <v/>
      </c>
      <c r="Q443" s="124" t="str">
        <f>IF($B443="","",IF(Q$3=0,"n.b.",INDEX(SRC_ZPMW03!$A$1:$ZZ$501,$A443,Q$3)))</f>
        <v/>
      </c>
      <c r="R443" s="124" t="str">
        <f>IF($B443="","",IF(R$3=0,"n.b.",INDEX(SRC_ZPMW03!$A$1:$ZZ$501,$A443,R$3)))</f>
        <v/>
      </c>
      <c r="S443" s="124" t="str">
        <f>IF($B443="","",IF(S$3=0,"n.b.",INDEX(SRC_ZPMW03!$A$1:$ZZ$501,$A443,S$3)))</f>
        <v/>
      </c>
      <c r="T443" s="124" t="str">
        <f>IF($B443="","",IF(T$3=0,"n.b.",INDEX(SRC_ZPMW03!$A$1:$ZZ$501,$A443,T$3)))</f>
        <v/>
      </c>
      <c r="U443" s="124" t="str">
        <f>IF($B443="","",IF(U$3=0,"n.b.",INDEX(SRC_ZPMW03!$A$1:$ZZ$501,$A443,U$3)))</f>
        <v/>
      </c>
      <c r="V443" s="124" t="str">
        <f>IF($B443="","",IF(V$3=0,"n.b.",INDEX(SRC_ZPMW03!$A$1:$ZZ$501,$A443,V$3)))</f>
        <v/>
      </c>
      <c r="W443" s="124" t="str">
        <f>IF($B443="","",IF(W$3=0,"n.b.",INDEX(SRC_ZPMW03!$A$1:$ZZ$501,$A443,W$3)))</f>
        <v/>
      </c>
      <c r="X443" s="124" t="str">
        <f>IF($B443="","",IF(X$3=0,"n.b.",INDEX(SRC_ZPMW03!$A$1:$ZZ$501,$A443,X$3)))</f>
        <v/>
      </c>
      <c r="Y443" s="124" t="str">
        <f>IF($B443="","",IF(Y$3=0,"n.b.",INDEX(SRC_ZPMW03!$A$1:$ZZ$501,$A443,Y$3)))</f>
        <v/>
      </c>
      <c r="Z443" s="124" t="str">
        <f>IF($B443="","",IF(Z$3=0,"n.b.",INDEX(SRC_ZPMW03!$A$1:$ZZ$501,$A443,Z$3)))</f>
        <v/>
      </c>
      <c r="AA443" s="124" t="str">
        <f>IF($B443="","",IF(AA$3=0,"n.b.",INDEX(SRC_ZPMW03!$A$1:$ZZ$501,$A443,AA$3)))</f>
        <v/>
      </c>
      <c r="AB443" s="124" t="str">
        <f>IF($B443="","",IF(AB$3=0,"n.b.",INDEX(SRC_ZPMW03!$A$1:$ZZ$501,$A443,AB$3)))</f>
        <v/>
      </c>
      <c r="AC443" s="124" t="str">
        <f>IF($B443="","",IF(AC$3=0,"n.b.",INDEX(SRC_ZPMW03!$A$1:$ZZ$501,$A443,AC$3)))</f>
        <v/>
      </c>
      <c r="AD443" s="124" t="str">
        <f>IF($B443="","",IF(AD$3=0,"n.b.",INDEX(SRC_ZPMW03!$A$1:$ZZ$501,$A443,AD$3)))</f>
        <v/>
      </c>
      <c r="AE443" s="124" t="str">
        <f>IF($B443="","",IF(AE$3=0,"n.b.",INDEX(SRC_ZPMW03!$A$1:$ZZ$501,$A443,AE$3)))</f>
        <v/>
      </c>
      <c r="AF443" s="124" t="str">
        <f>IF($B443="","",IF(AF$3=0,"n.b.",INDEX(SRC_ZPMW03!$A$1:$ZZ$501,$A443,AF$3)))</f>
        <v/>
      </c>
      <c r="AG443" s="124" t="str">
        <f>IF($B443="","",IF(AG$3=0,"n.b.",INDEX(SRC_ZPMW03!$A$1:$ZZ$501,$A443,AG$3)))</f>
        <v/>
      </c>
      <c r="AH443" s="124" t="str">
        <f>IF($B443="","",IF(AH$3=0,"n.b.",INDEX(SRC_ZPMW03!$A$1:$ZZ$501,$A443,AH$3)))</f>
        <v/>
      </c>
      <c r="AI443" s="124" t="str">
        <f>IF($B443="","",IF(AI$3=0,"n.b.",INDEX(SRC_ZPMW03!$A$1:$ZZ$501,$A443,AI$3)))</f>
        <v/>
      </c>
      <c r="AJ443" s="124" t="str">
        <f>IF($B443="","",IF(AJ$3=0,"n.b.",INDEX(SRC_ZPMW03!$A$1:$ZZ$501,$A443,AJ$3)))</f>
        <v/>
      </c>
      <c r="AK443" s="124" t="str">
        <f>IF($B443="","",IF(AK$3=0,"n.b.",INDEX(SRC_ZPMW03!$A$1:$ZZ$501,$A443,AK$3)))</f>
        <v/>
      </c>
      <c r="AL443" s="124" t="str">
        <f>IF($B443="","",IF(AL$3=0,"n.b.",INDEX(SRC_ZPMW03!$A$1:$ZZ$501,$A443,AL$3)))</f>
        <v/>
      </c>
      <c r="AM443" s="124" t="str">
        <f>IF($B443="","",IF(AM$3=0,"n.b.",INDEX(SRC_ZPMW03!$A$1:$ZZ$501,$A443,AM$3)))</f>
        <v/>
      </c>
      <c r="AN443" s="124" t="str">
        <f>IF($B443="","",IF(AN$3=0,"n.b.",INDEX(SRC_ZPMW03!$A$1:$ZZ$501,$A443,AN$3)))</f>
        <v/>
      </c>
      <c r="AO443" s="124" t="str">
        <f>IF($B443="","",IF(AO$3=0,"n.b.",INDEX(SRC_ZPMW03!$A$1:$ZZ$501,$A443,AO$3)))</f>
        <v/>
      </c>
      <c r="AP443" s="124" t="str">
        <f>IF($B443="","",IF(AP$3=0,"n.b.",INDEX(SRC_ZPMW03!$A$1:$ZZ$501,$A443,AP$3)))</f>
        <v/>
      </c>
      <c r="AQ443" s="124" t="str">
        <f>IF($B443="","",IF(AQ$3=0,"n.b.",INDEX(SRC_ZPMW03!$A$1:$ZZ$501,$A443,AQ$3)))</f>
        <v/>
      </c>
      <c r="AR443" s="124" t="str">
        <f>IF($B443="","",IF(AR$3=0,"n.b.",INDEX(SRC_ZPMW03!$A$1:$ZZ$501,$A443,AR$3)))</f>
        <v/>
      </c>
      <c r="AS443" s="124" t="str">
        <f>IF($B443="","",IF(AS$3=0,"n.b.",INDEX(SRC_ZPMW03!$A$1:$ZZ$501,$A443,AS$3)))</f>
        <v/>
      </c>
      <c r="AT443" s="124" t="str">
        <f>IF($B443="","",IF(AT$3=0,"n.b.",INDEX(SRC_ZPMW03!$A$1:$ZZ$501,$A443,AT$3)))</f>
        <v/>
      </c>
      <c r="AU443" s="124" t="str">
        <f>IF($B443="","",IF(AU$3=0,"n.b.",INDEX(SRC_ZPMW03!$A$1:$ZZ$501,$A443,AU$3)))</f>
        <v/>
      </c>
      <c r="AV443" s="124" t="str">
        <f>IF($B443="","",IF(AV$3=0,"n.b.",INDEX(SRC_ZPMW03!$A$1:$ZZ$501,$A443,AV$3)))</f>
        <v/>
      </c>
      <c r="AW443" s="124" t="str">
        <f>IF($B443="","",IF(AW$3=0,"n.b.",INDEX(SRC_ZPMW03!$A$1:$ZZ$501,$A443,AW$3)))</f>
        <v/>
      </c>
      <c r="AX443" s="124" t="str">
        <f>IF($B443="","",IF(AX$3=0,"n.b.",INDEX(SRC_ZPMW03!$A$1:$ZZ$501,$A443,AX$3)))</f>
        <v/>
      </c>
      <c r="AY443" s="124" t="str">
        <f>IF($B443="","",IF(AY$3=0,"n.b.",INDEX(SRC_ZPMW03!$A$1:$ZZ$501,$A443,AY$3)))</f>
        <v/>
      </c>
      <c r="AZ443" s="124" t="str">
        <f>IF($B443="","",IF(AZ$3=0,"n.b.",INDEX(SRC_ZPMW03!$A$1:$ZZ$501,$A443,AZ$3)))</f>
        <v/>
      </c>
      <c r="BA443" s="124" t="str">
        <f>IF($B443="","",IF(BA$3=0,"n.b.",INDEX(SRC_ZPMW03!$A$1:$ZZ$501,$A443,BA$3)))</f>
        <v/>
      </c>
      <c r="BB443" s="124" t="str">
        <f>IF($B443="","",IF(BB$3=0,"n.b.",INDEX(SRC_ZPMW03!$A$1:$ZZ$501,$A443,BB$3)))</f>
        <v/>
      </c>
      <c r="BC443" s="124" t="str">
        <f>IF($B443="","",IF(BC$3=0,"n.b.",INDEX(SRC_ZPMW03!$A$1:$ZZ$501,$A443,BC$3)))</f>
        <v/>
      </c>
      <c r="BD443" s="124" t="str">
        <f>IF($B443="","",IF(BD$3=0,"n.b.",INDEX(SRC_ZPMW03!$A$1:$ZZ$501,$A443,BD$3)))</f>
        <v/>
      </c>
      <c r="BE443" s="124" t="str">
        <f>IF($B443="","",IF(BE$3=0,"n.b.",INDEX(SRC_ZPMW03!$A$1:$ZZ$501,$A443,BE$3)))</f>
        <v/>
      </c>
      <c r="BF443" s="124" t="str">
        <f>IF($B443="","",IF(BF$3=0,"n.b.",INDEX(SRC_ZPMW03!$A$1:$ZZ$501,$A443,BF$3)))</f>
        <v/>
      </c>
      <c r="BG443" t="str">
        <f>IF($B443="","",IF(BG$3=0,"n.b.",INDEX(SRC_ZPMW03!$A$1:$ZZ$501,$A443,BG$3)))</f>
        <v/>
      </c>
      <c r="BH443" t="str">
        <f>IF($B443="","",IF(BH$3=0,"n.b.",INDEX(SRC_ZPMW03!$A$1:$ZZ$501,$A443,BH$3)))</f>
        <v/>
      </c>
      <c r="BI443" t="str">
        <f>IF($B443="","",IF(BI$3=0,"n.b.",INDEX(SRC_ZPMW03!$A$1:$ZZ$501,$A443,BI$3)))</f>
        <v/>
      </c>
      <c r="BJ443" t="str">
        <f>IF($B443="","",IF(BJ$3=0,"n.b.",INDEX(SRC_ZPMW03!$A$1:$ZZ$501,$A443,BJ$3)))</f>
        <v/>
      </c>
      <c r="BK443" s="124" t="str">
        <f>IF($B443="","",IFERROR(-O443,"n.b."))</f>
        <v/>
      </c>
      <c r="BL443" s="124" t="str">
        <f>IF($B443="","",IFERROR(-Q443,"n.b."))</f>
        <v/>
      </c>
      <c r="BM443" s="124" t="str">
        <f>IF($B443="","",IFERROR(-AB443,"n.b."))</f>
        <v/>
      </c>
      <c r="BN443" s="124" t="str">
        <f>IF($B443="","",IFERROR(-AD443,"n.b."))</f>
        <v/>
      </c>
      <c r="BO443" s="124" t="str">
        <f>IF($B443="","",IFERROR(BK443+BM443,"n.b."))</f>
        <v/>
      </c>
      <c r="BP443" s="124" t="str">
        <f>IF($B443="","",IFERROR(BL443+BN443,"n.b."))</f>
        <v/>
      </c>
      <c r="BQ443" s="124" t="str">
        <f>IF($B443="","",IFERROR(-AM443,"n.b."))</f>
        <v/>
      </c>
      <c r="BR443" s="124" t="str">
        <f>IF($B443="","",IFERROR(-AO443,"n.b."))</f>
        <v/>
      </c>
      <c r="BS443" s="124" t="str">
        <f>IF($B443="","",IFERROR(-Z443,"n.b."))</f>
        <v/>
      </c>
      <c r="BT443" s="124" t="str">
        <f>IF($B443="","",IFERROR(-AA443,"n.b."))</f>
        <v/>
      </c>
      <c r="BU443" s="124" t="str">
        <f>IF($B443="","",IFERROR(-AE443,"n.b."))</f>
        <v/>
      </c>
      <c r="BV443" s="124" t="str">
        <f>IF($B443="","",IFERROR(-AF443,"n.b."))</f>
        <v/>
      </c>
      <c r="BW443" s="124" t="str">
        <f>IF($B443="","",IFERROR(-AG443,"n.b."))</f>
        <v/>
      </c>
      <c r="BX443" s="124" t="str">
        <f>IF($B443="","",IFERROR(-AH443,"n.b."))</f>
        <v/>
      </c>
      <c r="BY443" s="124" t="str">
        <f>IF($B443="","",IFERROR(-AI443,"n.b."))</f>
        <v/>
      </c>
      <c r="BZ443" s="124" t="str">
        <f>IF($B443="","",IFERROR(-AJ443,"n.b."))</f>
        <v/>
      </c>
      <c r="CA443" s="124" t="str">
        <f>IF($B443="","",IFERROR(-AK443,"n.b."))</f>
        <v/>
      </c>
      <c r="CB443" s="124" t="str">
        <f>IF($B443="","",IFERROR(-AL443,"n.b."))</f>
        <v/>
      </c>
      <c r="CC443" s="124" t="str">
        <f>IF($B443="","",IFERROR(-AP443,"n.b."))</f>
        <v/>
      </c>
      <c r="CD443" s="124" t="str">
        <f>IF($B443="","",IFERROR(-AQ443,"n.b."))</f>
        <v/>
      </c>
      <c r="CE443" s="124" t="str">
        <f>IF($B443="","",IFERROR(-AR443,"n.b."))</f>
        <v/>
      </c>
      <c r="CF443" s="124" t="str">
        <f>IF($B443="","",IFERROR(-AS443,"n.b."))</f>
        <v/>
      </c>
      <c r="CG443" s="124" t="str">
        <f>IF($B443="","",IFERROR(-AT443,"n.b."))</f>
        <v/>
      </c>
      <c r="CH443" s="124" t="str">
        <f>IF($B443="","",IFERROR(-AU443,"n.b."))</f>
        <v/>
      </c>
      <c r="CI443" s="124" t="str">
        <f>IF($B443="","",IFERROR(-AV443,"n.b."))</f>
        <v/>
      </c>
      <c r="CJ443" s="124" t="str">
        <f>IF($B443="","",IFERROR(-AW443,"n.b."))</f>
        <v/>
      </c>
      <c r="CK443" s="124" t="str">
        <f>IF($B443="","",IFERROR(-AX443,"n.b."))</f>
        <v/>
      </c>
      <c r="CL443" s="124" t="str">
        <f>IF($B443="","",IFERROR(-AY443,"n.b."))</f>
        <v/>
      </c>
      <c r="CM443" s="124" t="str">
        <f>IF($B443="","",IFERROR(-AZ443,"n.b."))</f>
        <v/>
      </c>
      <c r="CN443" s="124" t="str">
        <f>IF($B443="","",IFERROR(-BA443,"n.b."))</f>
        <v/>
      </c>
      <c r="CO443" s="124" t="str">
        <f>IF($B443="","",IFERROR(-BB443,"n.b."))</f>
        <v/>
      </c>
      <c r="CP443" s="124" t="str">
        <f>IF($B443="","",IFERROR(-BC443,"n.b."))</f>
        <v/>
      </c>
      <c r="CQ443" s="124" t="str">
        <f>IF($B443="","",IFERROR(-BD443,"n.b."))</f>
        <v/>
      </c>
      <c r="CR443" s="124" t="str">
        <f>IF($B443="","",IFERROR(-BE443,"n.b."))</f>
        <v/>
      </c>
      <c r="CS443" s="124" t="str">
        <f>IF($B443="","",IFERROR(IF(OR(ABS(T443+V443+X443+Z443-AB443)&gt;P_Tol,ABS(U443+W443+Y443+AA443-AD443)&gt;P_Tol,ABS(AE443+AG443+AI443+AK443-AM443)&gt;P_Tol,ABS(AF443+AH443+AJ443+AL443-AO443)&gt;P_Tol),1,0),1))</f>
        <v/>
      </c>
      <c r="CT443" s="124" t="str">
        <f>IF($B443="","",IFERROR(IF(OR(ABS(AB443+AC443-AD443)&gt;P_Tol,ABS(AM443+AN443-AO443)&gt;P_Tol,ABS(O443+P443-Q443)&gt;P_Tol),1,0),1))</f>
        <v/>
      </c>
      <c r="CU443" s="124" t="str">
        <f>IF($B443="","",IFERROR(IF(ABS(R443-(AB443+AM443+AP443+AR443+AT443+AV443+AX443+AZ443+BB443+BD443))&gt;P_Tol,1,0),1))</f>
        <v/>
      </c>
      <c r="CV443" s="124" t="str">
        <f>IF($B443="","",IFERROR(IF(ABS(M443-(N443+O443+R443))&gt;P_Tol,1,0),1))</f>
        <v/>
      </c>
      <c r="CW443" s="124" t="str">
        <f>IF($B443="","",IF(COUNTIF(Mapping!$A$5:$A$104,B443)&gt;0,1,0))</f>
        <v/>
      </c>
      <c r="CX443" s="124" t="str">
        <f>IF($B443="","",COUNTIF($B$6:$B$505,B443))</f>
        <v/>
      </c>
      <c r="CY443" s="124" t="str">
        <f>IF($B443="","",COUNTIF(STG_Woningetalage!$B$6:$B$505,B443))</f>
        <v/>
      </c>
      <c r="CZ443" s="124" t="str">
        <f>IF($B443="","",IF(CW443=0,COUNTIF($CW$6:CW443,0),""))</f>
        <v/>
      </c>
    </row>
    <row r="444">
      <c r="A444" s="15" t="n">
        <v>440</v>
      </c>
      <c r="B444" t="str">
        <f>IF(B$3=0,"",IF(INDEX(SRC_ZPMW03!$A$1:$ZZ$501,$A444,B$3)&amp;""="","",INDEX(SRC_ZPMW03!$A$1:$ZZ$501,$A444,B$3)&amp;""))</f>
        <v/>
      </c>
      <c r="C444" t="str">
        <f>IF($B444="","",IF(C$3=0,"n.b.",INDEX(SRC_ZPMW03!$A$1:$ZZ$501,$A444,C$3)))</f>
        <v/>
      </c>
      <c r="D444" t="str">
        <f>IF($B444="","",IF(D$3=0,"n.b.",INDEX(SRC_ZPMW03!$A$1:$ZZ$501,$A444,D$3)))</f>
        <v/>
      </c>
      <c r="E444" t="str">
        <f>IF($B444="","",IF(E$3=0,"n.b.",INDEX(SRC_ZPMW03!$A$1:$ZZ$501,$A444,E$3)))</f>
        <v/>
      </c>
      <c r="F444" t="str">
        <f>IF($B444="","",IF(F$3=0,"n.b.",INDEX(SRC_ZPMW03!$A$1:$ZZ$501,$A444,F$3)))</f>
        <v/>
      </c>
      <c r="G444" t="str">
        <f>IF($B444="","",IF(G$3=0,"n.b.",INDEX(SRC_ZPMW03!$A$1:$ZZ$501,$A444,G$3)))</f>
        <v/>
      </c>
      <c r="H444" t="str">
        <f>IF($B444="","",IF(H$3=0,"n.b.",INDEX(SRC_ZPMW03!$A$1:$ZZ$501,$A444,H$3)))</f>
        <v/>
      </c>
      <c r="I444" t="str">
        <f>IF($B444="","",IF(I$3=0,"n.b.",INDEX(SRC_ZPMW03!$A$1:$ZZ$501,$A444,I$3)))</f>
        <v/>
      </c>
      <c r="J444" t="str">
        <f>IF($B444="","",IF(J$3=0,"n.b.",INDEX(SRC_ZPMW03!$A$1:$ZZ$501,$A444,J$3)))</f>
        <v/>
      </c>
      <c r="K444" t="str">
        <f>IF($B444="","",IF(K$3=0,"n.b.",INDEX(SRC_ZPMW03!$A$1:$ZZ$501,$A444,K$3)))</f>
        <v/>
      </c>
      <c r="L444" s="124" t="str">
        <f>IF($B444="","",IF(L$3=0,"n.b.",INDEX(SRC_ZPMW03!$A$1:$ZZ$501,$A444,L$3)))</f>
        <v/>
      </c>
      <c r="M444" s="124" t="str">
        <f>IF($B444="","",IF(M$3=0,"n.b.",INDEX(SRC_ZPMW03!$A$1:$ZZ$501,$A444,M$3)))</f>
        <v/>
      </c>
      <c r="N444" s="124" t="str">
        <f>IF($B444="","",IF(N$3=0,"n.b.",INDEX(SRC_ZPMW03!$A$1:$ZZ$501,$A444,N$3)))</f>
        <v/>
      </c>
      <c r="O444" s="124" t="str">
        <f>IF($B444="","",IF(O$3=0,"n.b.",INDEX(SRC_ZPMW03!$A$1:$ZZ$501,$A444,O$3)))</f>
        <v/>
      </c>
      <c r="P444" s="124" t="str">
        <f>IF($B444="","",IF(P$3=0,"n.b.",INDEX(SRC_ZPMW03!$A$1:$ZZ$501,$A444,P$3)))</f>
        <v/>
      </c>
      <c r="Q444" s="124" t="str">
        <f>IF($B444="","",IF(Q$3=0,"n.b.",INDEX(SRC_ZPMW03!$A$1:$ZZ$501,$A444,Q$3)))</f>
        <v/>
      </c>
      <c r="R444" s="124" t="str">
        <f>IF($B444="","",IF(R$3=0,"n.b.",INDEX(SRC_ZPMW03!$A$1:$ZZ$501,$A444,R$3)))</f>
        <v/>
      </c>
      <c r="S444" s="124" t="str">
        <f>IF($B444="","",IF(S$3=0,"n.b.",INDEX(SRC_ZPMW03!$A$1:$ZZ$501,$A444,S$3)))</f>
        <v/>
      </c>
      <c r="T444" s="124" t="str">
        <f>IF($B444="","",IF(T$3=0,"n.b.",INDEX(SRC_ZPMW03!$A$1:$ZZ$501,$A444,T$3)))</f>
        <v/>
      </c>
      <c r="U444" s="124" t="str">
        <f>IF($B444="","",IF(U$3=0,"n.b.",INDEX(SRC_ZPMW03!$A$1:$ZZ$501,$A444,U$3)))</f>
        <v/>
      </c>
      <c r="V444" s="124" t="str">
        <f>IF($B444="","",IF(V$3=0,"n.b.",INDEX(SRC_ZPMW03!$A$1:$ZZ$501,$A444,V$3)))</f>
        <v/>
      </c>
      <c r="W444" s="124" t="str">
        <f>IF($B444="","",IF(W$3=0,"n.b.",INDEX(SRC_ZPMW03!$A$1:$ZZ$501,$A444,W$3)))</f>
        <v/>
      </c>
      <c r="X444" s="124" t="str">
        <f>IF($B444="","",IF(X$3=0,"n.b.",INDEX(SRC_ZPMW03!$A$1:$ZZ$501,$A444,X$3)))</f>
        <v/>
      </c>
      <c r="Y444" s="124" t="str">
        <f>IF($B444="","",IF(Y$3=0,"n.b.",INDEX(SRC_ZPMW03!$A$1:$ZZ$501,$A444,Y$3)))</f>
        <v/>
      </c>
      <c r="Z444" s="124" t="str">
        <f>IF($B444="","",IF(Z$3=0,"n.b.",INDEX(SRC_ZPMW03!$A$1:$ZZ$501,$A444,Z$3)))</f>
        <v/>
      </c>
      <c r="AA444" s="124" t="str">
        <f>IF($B444="","",IF(AA$3=0,"n.b.",INDEX(SRC_ZPMW03!$A$1:$ZZ$501,$A444,AA$3)))</f>
        <v/>
      </c>
      <c r="AB444" s="124" t="str">
        <f>IF($B444="","",IF(AB$3=0,"n.b.",INDEX(SRC_ZPMW03!$A$1:$ZZ$501,$A444,AB$3)))</f>
        <v/>
      </c>
      <c r="AC444" s="124" t="str">
        <f>IF($B444="","",IF(AC$3=0,"n.b.",INDEX(SRC_ZPMW03!$A$1:$ZZ$501,$A444,AC$3)))</f>
        <v/>
      </c>
      <c r="AD444" s="124" t="str">
        <f>IF($B444="","",IF(AD$3=0,"n.b.",INDEX(SRC_ZPMW03!$A$1:$ZZ$501,$A444,AD$3)))</f>
        <v/>
      </c>
      <c r="AE444" s="124" t="str">
        <f>IF($B444="","",IF(AE$3=0,"n.b.",INDEX(SRC_ZPMW03!$A$1:$ZZ$501,$A444,AE$3)))</f>
        <v/>
      </c>
      <c r="AF444" s="124" t="str">
        <f>IF($B444="","",IF(AF$3=0,"n.b.",INDEX(SRC_ZPMW03!$A$1:$ZZ$501,$A444,AF$3)))</f>
        <v/>
      </c>
      <c r="AG444" s="124" t="str">
        <f>IF($B444="","",IF(AG$3=0,"n.b.",INDEX(SRC_ZPMW03!$A$1:$ZZ$501,$A444,AG$3)))</f>
        <v/>
      </c>
      <c r="AH444" s="124" t="str">
        <f>IF($B444="","",IF(AH$3=0,"n.b.",INDEX(SRC_ZPMW03!$A$1:$ZZ$501,$A444,AH$3)))</f>
        <v/>
      </c>
      <c r="AI444" s="124" t="str">
        <f>IF($B444="","",IF(AI$3=0,"n.b.",INDEX(SRC_ZPMW03!$A$1:$ZZ$501,$A444,AI$3)))</f>
        <v/>
      </c>
      <c r="AJ444" s="124" t="str">
        <f>IF($B444="","",IF(AJ$3=0,"n.b.",INDEX(SRC_ZPMW03!$A$1:$ZZ$501,$A444,AJ$3)))</f>
        <v/>
      </c>
      <c r="AK444" s="124" t="str">
        <f>IF($B444="","",IF(AK$3=0,"n.b.",INDEX(SRC_ZPMW03!$A$1:$ZZ$501,$A444,AK$3)))</f>
        <v/>
      </c>
      <c r="AL444" s="124" t="str">
        <f>IF($B444="","",IF(AL$3=0,"n.b.",INDEX(SRC_ZPMW03!$A$1:$ZZ$501,$A444,AL$3)))</f>
        <v/>
      </c>
      <c r="AM444" s="124" t="str">
        <f>IF($B444="","",IF(AM$3=0,"n.b.",INDEX(SRC_ZPMW03!$A$1:$ZZ$501,$A444,AM$3)))</f>
        <v/>
      </c>
      <c r="AN444" s="124" t="str">
        <f>IF($B444="","",IF(AN$3=0,"n.b.",INDEX(SRC_ZPMW03!$A$1:$ZZ$501,$A444,AN$3)))</f>
        <v/>
      </c>
      <c r="AO444" s="124" t="str">
        <f>IF($B444="","",IF(AO$3=0,"n.b.",INDEX(SRC_ZPMW03!$A$1:$ZZ$501,$A444,AO$3)))</f>
        <v/>
      </c>
      <c r="AP444" s="124" t="str">
        <f>IF($B444="","",IF(AP$3=0,"n.b.",INDEX(SRC_ZPMW03!$A$1:$ZZ$501,$A444,AP$3)))</f>
        <v/>
      </c>
      <c r="AQ444" s="124" t="str">
        <f>IF($B444="","",IF(AQ$3=0,"n.b.",INDEX(SRC_ZPMW03!$A$1:$ZZ$501,$A444,AQ$3)))</f>
        <v/>
      </c>
      <c r="AR444" s="124" t="str">
        <f>IF($B444="","",IF(AR$3=0,"n.b.",INDEX(SRC_ZPMW03!$A$1:$ZZ$501,$A444,AR$3)))</f>
        <v/>
      </c>
      <c r="AS444" s="124" t="str">
        <f>IF($B444="","",IF(AS$3=0,"n.b.",INDEX(SRC_ZPMW03!$A$1:$ZZ$501,$A444,AS$3)))</f>
        <v/>
      </c>
      <c r="AT444" s="124" t="str">
        <f>IF($B444="","",IF(AT$3=0,"n.b.",INDEX(SRC_ZPMW03!$A$1:$ZZ$501,$A444,AT$3)))</f>
        <v/>
      </c>
      <c r="AU444" s="124" t="str">
        <f>IF($B444="","",IF(AU$3=0,"n.b.",INDEX(SRC_ZPMW03!$A$1:$ZZ$501,$A444,AU$3)))</f>
        <v/>
      </c>
      <c r="AV444" s="124" t="str">
        <f>IF($B444="","",IF(AV$3=0,"n.b.",INDEX(SRC_ZPMW03!$A$1:$ZZ$501,$A444,AV$3)))</f>
        <v/>
      </c>
      <c r="AW444" s="124" t="str">
        <f>IF($B444="","",IF(AW$3=0,"n.b.",INDEX(SRC_ZPMW03!$A$1:$ZZ$501,$A444,AW$3)))</f>
        <v/>
      </c>
      <c r="AX444" s="124" t="str">
        <f>IF($B444="","",IF(AX$3=0,"n.b.",INDEX(SRC_ZPMW03!$A$1:$ZZ$501,$A444,AX$3)))</f>
        <v/>
      </c>
      <c r="AY444" s="124" t="str">
        <f>IF($B444="","",IF(AY$3=0,"n.b.",INDEX(SRC_ZPMW03!$A$1:$ZZ$501,$A444,AY$3)))</f>
        <v/>
      </c>
      <c r="AZ444" s="124" t="str">
        <f>IF($B444="","",IF(AZ$3=0,"n.b.",INDEX(SRC_ZPMW03!$A$1:$ZZ$501,$A444,AZ$3)))</f>
        <v/>
      </c>
      <c r="BA444" s="124" t="str">
        <f>IF($B444="","",IF(BA$3=0,"n.b.",INDEX(SRC_ZPMW03!$A$1:$ZZ$501,$A444,BA$3)))</f>
        <v/>
      </c>
      <c r="BB444" s="124" t="str">
        <f>IF($B444="","",IF(BB$3=0,"n.b.",INDEX(SRC_ZPMW03!$A$1:$ZZ$501,$A444,BB$3)))</f>
        <v/>
      </c>
      <c r="BC444" s="124" t="str">
        <f>IF($B444="","",IF(BC$3=0,"n.b.",INDEX(SRC_ZPMW03!$A$1:$ZZ$501,$A444,BC$3)))</f>
        <v/>
      </c>
      <c r="BD444" s="124" t="str">
        <f>IF($B444="","",IF(BD$3=0,"n.b.",INDEX(SRC_ZPMW03!$A$1:$ZZ$501,$A444,BD$3)))</f>
        <v/>
      </c>
      <c r="BE444" s="124" t="str">
        <f>IF($B444="","",IF(BE$3=0,"n.b.",INDEX(SRC_ZPMW03!$A$1:$ZZ$501,$A444,BE$3)))</f>
        <v/>
      </c>
      <c r="BF444" s="124" t="str">
        <f>IF($B444="","",IF(BF$3=0,"n.b.",INDEX(SRC_ZPMW03!$A$1:$ZZ$501,$A444,BF$3)))</f>
        <v/>
      </c>
      <c r="BG444" t="str">
        <f>IF($B444="","",IF(BG$3=0,"n.b.",INDEX(SRC_ZPMW03!$A$1:$ZZ$501,$A444,BG$3)))</f>
        <v/>
      </c>
      <c r="BH444" t="str">
        <f>IF($B444="","",IF(BH$3=0,"n.b.",INDEX(SRC_ZPMW03!$A$1:$ZZ$501,$A444,BH$3)))</f>
        <v/>
      </c>
      <c r="BI444" t="str">
        <f>IF($B444="","",IF(BI$3=0,"n.b.",INDEX(SRC_ZPMW03!$A$1:$ZZ$501,$A444,BI$3)))</f>
        <v/>
      </c>
      <c r="BJ444" t="str">
        <f>IF($B444="","",IF(BJ$3=0,"n.b.",INDEX(SRC_ZPMW03!$A$1:$ZZ$501,$A444,BJ$3)))</f>
        <v/>
      </c>
      <c r="BK444" s="124" t="str">
        <f>IF($B444="","",IFERROR(-O444,"n.b."))</f>
        <v/>
      </c>
      <c r="BL444" s="124" t="str">
        <f>IF($B444="","",IFERROR(-Q444,"n.b."))</f>
        <v/>
      </c>
      <c r="BM444" s="124" t="str">
        <f>IF($B444="","",IFERROR(-AB444,"n.b."))</f>
        <v/>
      </c>
      <c r="BN444" s="124" t="str">
        <f>IF($B444="","",IFERROR(-AD444,"n.b."))</f>
        <v/>
      </c>
      <c r="BO444" s="124" t="str">
        <f>IF($B444="","",IFERROR(BK444+BM444,"n.b."))</f>
        <v/>
      </c>
      <c r="BP444" s="124" t="str">
        <f>IF($B444="","",IFERROR(BL444+BN444,"n.b."))</f>
        <v/>
      </c>
      <c r="BQ444" s="124" t="str">
        <f>IF($B444="","",IFERROR(-AM444,"n.b."))</f>
        <v/>
      </c>
      <c r="BR444" s="124" t="str">
        <f>IF($B444="","",IFERROR(-AO444,"n.b."))</f>
        <v/>
      </c>
      <c r="BS444" s="124" t="str">
        <f>IF($B444="","",IFERROR(-Z444,"n.b."))</f>
        <v/>
      </c>
      <c r="BT444" s="124" t="str">
        <f>IF($B444="","",IFERROR(-AA444,"n.b."))</f>
        <v/>
      </c>
      <c r="BU444" s="124" t="str">
        <f>IF($B444="","",IFERROR(-AE444,"n.b."))</f>
        <v/>
      </c>
      <c r="BV444" s="124" t="str">
        <f>IF($B444="","",IFERROR(-AF444,"n.b."))</f>
        <v/>
      </c>
      <c r="BW444" s="124" t="str">
        <f>IF($B444="","",IFERROR(-AG444,"n.b."))</f>
        <v/>
      </c>
      <c r="BX444" s="124" t="str">
        <f>IF($B444="","",IFERROR(-AH444,"n.b."))</f>
        <v/>
      </c>
      <c r="BY444" s="124" t="str">
        <f>IF($B444="","",IFERROR(-AI444,"n.b."))</f>
        <v/>
      </c>
      <c r="BZ444" s="124" t="str">
        <f>IF($B444="","",IFERROR(-AJ444,"n.b."))</f>
        <v/>
      </c>
      <c r="CA444" s="124" t="str">
        <f>IF($B444="","",IFERROR(-AK444,"n.b."))</f>
        <v/>
      </c>
      <c r="CB444" s="124" t="str">
        <f>IF($B444="","",IFERROR(-AL444,"n.b."))</f>
        <v/>
      </c>
      <c r="CC444" s="124" t="str">
        <f>IF($B444="","",IFERROR(-AP444,"n.b."))</f>
        <v/>
      </c>
      <c r="CD444" s="124" t="str">
        <f>IF($B444="","",IFERROR(-AQ444,"n.b."))</f>
        <v/>
      </c>
      <c r="CE444" s="124" t="str">
        <f>IF($B444="","",IFERROR(-AR444,"n.b."))</f>
        <v/>
      </c>
      <c r="CF444" s="124" t="str">
        <f>IF($B444="","",IFERROR(-AS444,"n.b."))</f>
        <v/>
      </c>
      <c r="CG444" s="124" t="str">
        <f>IF($B444="","",IFERROR(-AT444,"n.b."))</f>
        <v/>
      </c>
      <c r="CH444" s="124" t="str">
        <f>IF($B444="","",IFERROR(-AU444,"n.b."))</f>
        <v/>
      </c>
      <c r="CI444" s="124" t="str">
        <f>IF($B444="","",IFERROR(-AV444,"n.b."))</f>
        <v/>
      </c>
      <c r="CJ444" s="124" t="str">
        <f>IF($B444="","",IFERROR(-AW444,"n.b."))</f>
        <v/>
      </c>
      <c r="CK444" s="124" t="str">
        <f>IF($B444="","",IFERROR(-AX444,"n.b."))</f>
        <v/>
      </c>
      <c r="CL444" s="124" t="str">
        <f>IF($B444="","",IFERROR(-AY444,"n.b."))</f>
        <v/>
      </c>
      <c r="CM444" s="124" t="str">
        <f>IF($B444="","",IFERROR(-AZ444,"n.b."))</f>
        <v/>
      </c>
      <c r="CN444" s="124" t="str">
        <f>IF($B444="","",IFERROR(-BA444,"n.b."))</f>
        <v/>
      </c>
      <c r="CO444" s="124" t="str">
        <f>IF($B444="","",IFERROR(-BB444,"n.b."))</f>
        <v/>
      </c>
      <c r="CP444" s="124" t="str">
        <f>IF($B444="","",IFERROR(-BC444,"n.b."))</f>
        <v/>
      </c>
      <c r="CQ444" s="124" t="str">
        <f>IF($B444="","",IFERROR(-BD444,"n.b."))</f>
        <v/>
      </c>
      <c r="CR444" s="124" t="str">
        <f>IF($B444="","",IFERROR(-BE444,"n.b."))</f>
        <v/>
      </c>
      <c r="CS444" s="124" t="str">
        <f>IF($B444="","",IFERROR(IF(OR(ABS(T444+V444+X444+Z444-AB444)&gt;P_Tol,ABS(U444+W444+Y444+AA444-AD444)&gt;P_Tol,ABS(AE444+AG444+AI444+AK444-AM444)&gt;P_Tol,ABS(AF444+AH444+AJ444+AL444-AO444)&gt;P_Tol),1,0),1))</f>
        <v/>
      </c>
      <c r="CT444" s="124" t="str">
        <f>IF($B444="","",IFERROR(IF(OR(ABS(AB444+AC444-AD444)&gt;P_Tol,ABS(AM444+AN444-AO444)&gt;P_Tol,ABS(O444+P444-Q444)&gt;P_Tol),1,0),1))</f>
        <v/>
      </c>
      <c r="CU444" s="124" t="str">
        <f>IF($B444="","",IFERROR(IF(ABS(R444-(AB444+AM444+AP444+AR444+AT444+AV444+AX444+AZ444+BB444+BD444))&gt;P_Tol,1,0),1))</f>
        <v/>
      </c>
      <c r="CV444" s="124" t="str">
        <f>IF($B444="","",IFERROR(IF(ABS(M444-(N444+O444+R444))&gt;P_Tol,1,0),1))</f>
        <v/>
      </c>
      <c r="CW444" s="124" t="str">
        <f>IF($B444="","",IF(COUNTIF(Mapping!$A$5:$A$104,B444)&gt;0,1,0))</f>
        <v/>
      </c>
      <c r="CX444" s="124" t="str">
        <f>IF($B444="","",COUNTIF($B$6:$B$505,B444))</f>
        <v/>
      </c>
      <c r="CY444" s="124" t="str">
        <f>IF($B444="","",COUNTIF(STG_Woningetalage!$B$6:$B$505,B444))</f>
        <v/>
      </c>
      <c r="CZ444" s="124" t="str">
        <f>IF($B444="","",IF(CW444=0,COUNTIF($CW$6:CW444,0),""))</f>
        <v/>
      </c>
    </row>
    <row r="445">
      <c r="A445" s="15" t="n">
        <v>441</v>
      </c>
      <c r="B445" t="str">
        <f>IF(B$3=0,"",IF(INDEX(SRC_ZPMW03!$A$1:$ZZ$501,$A445,B$3)&amp;""="","",INDEX(SRC_ZPMW03!$A$1:$ZZ$501,$A445,B$3)&amp;""))</f>
        <v/>
      </c>
      <c r="C445" t="str">
        <f>IF($B445="","",IF(C$3=0,"n.b.",INDEX(SRC_ZPMW03!$A$1:$ZZ$501,$A445,C$3)))</f>
        <v/>
      </c>
      <c r="D445" t="str">
        <f>IF($B445="","",IF(D$3=0,"n.b.",INDEX(SRC_ZPMW03!$A$1:$ZZ$501,$A445,D$3)))</f>
        <v/>
      </c>
      <c r="E445" t="str">
        <f>IF($B445="","",IF(E$3=0,"n.b.",INDEX(SRC_ZPMW03!$A$1:$ZZ$501,$A445,E$3)))</f>
        <v/>
      </c>
      <c r="F445" t="str">
        <f>IF($B445="","",IF(F$3=0,"n.b.",INDEX(SRC_ZPMW03!$A$1:$ZZ$501,$A445,F$3)))</f>
        <v/>
      </c>
      <c r="G445" t="str">
        <f>IF($B445="","",IF(G$3=0,"n.b.",INDEX(SRC_ZPMW03!$A$1:$ZZ$501,$A445,G$3)))</f>
        <v/>
      </c>
      <c r="H445" t="str">
        <f>IF($B445="","",IF(H$3=0,"n.b.",INDEX(SRC_ZPMW03!$A$1:$ZZ$501,$A445,H$3)))</f>
        <v/>
      </c>
      <c r="I445" t="str">
        <f>IF($B445="","",IF(I$3=0,"n.b.",INDEX(SRC_ZPMW03!$A$1:$ZZ$501,$A445,I$3)))</f>
        <v/>
      </c>
      <c r="J445" t="str">
        <f>IF($B445="","",IF(J$3=0,"n.b.",INDEX(SRC_ZPMW03!$A$1:$ZZ$501,$A445,J$3)))</f>
        <v/>
      </c>
      <c r="K445" t="str">
        <f>IF($B445="","",IF(K$3=0,"n.b.",INDEX(SRC_ZPMW03!$A$1:$ZZ$501,$A445,K$3)))</f>
        <v/>
      </c>
      <c r="L445" s="124" t="str">
        <f>IF($B445="","",IF(L$3=0,"n.b.",INDEX(SRC_ZPMW03!$A$1:$ZZ$501,$A445,L$3)))</f>
        <v/>
      </c>
      <c r="M445" s="124" t="str">
        <f>IF($B445="","",IF(M$3=0,"n.b.",INDEX(SRC_ZPMW03!$A$1:$ZZ$501,$A445,M$3)))</f>
        <v/>
      </c>
      <c r="N445" s="124" t="str">
        <f>IF($B445="","",IF(N$3=0,"n.b.",INDEX(SRC_ZPMW03!$A$1:$ZZ$501,$A445,N$3)))</f>
        <v/>
      </c>
      <c r="O445" s="124" t="str">
        <f>IF($B445="","",IF(O$3=0,"n.b.",INDEX(SRC_ZPMW03!$A$1:$ZZ$501,$A445,O$3)))</f>
        <v/>
      </c>
      <c r="P445" s="124" t="str">
        <f>IF($B445="","",IF(P$3=0,"n.b.",INDEX(SRC_ZPMW03!$A$1:$ZZ$501,$A445,P$3)))</f>
        <v/>
      </c>
      <c r="Q445" s="124" t="str">
        <f>IF($B445="","",IF(Q$3=0,"n.b.",INDEX(SRC_ZPMW03!$A$1:$ZZ$501,$A445,Q$3)))</f>
        <v/>
      </c>
      <c r="R445" s="124" t="str">
        <f>IF($B445="","",IF(R$3=0,"n.b.",INDEX(SRC_ZPMW03!$A$1:$ZZ$501,$A445,R$3)))</f>
        <v/>
      </c>
      <c r="S445" s="124" t="str">
        <f>IF($B445="","",IF(S$3=0,"n.b.",INDEX(SRC_ZPMW03!$A$1:$ZZ$501,$A445,S$3)))</f>
        <v/>
      </c>
      <c r="T445" s="124" t="str">
        <f>IF($B445="","",IF(T$3=0,"n.b.",INDEX(SRC_ZPMW03!$A$1:$ZZ$501,$A445,T$3)))</f>
        <v/>
      </c>
      <c r="U445" s="124" t="str">
        <f>IF($B445="","",IF(U$3=0,"n.b.",INDEX(SRC_ZPMW03!$A$1:$ZZ$501,$A445,U$3)))</f>
        <v/>
      </c>
      <c r="V445" s="124" t="str">
        <f>IF($B445="","",IF(V$3=0,"n.b.",INDEX(SRC_ZPMW03!$A$1:$ZZ$501,$A445,V$3)))</f>
        <v/>
      </c>
      <c r="W445" s="124" t="str">
        <f>IF($B445="","",IF(W$3=0,"n.b.",INDEX(SRC_ZPMW03!$A$1:$ZZ$501,$A445,W$3)))</f>
        <v/>
      </c>
      <c r="X445" s="124" t="str">
        <f>IF($B445="","",IF(X$3=0,"n.b.",INDEX(SRC_ZPMW03!$A$1:$ZZ$501,$A445,X$3)))</f>
        <v/>
      </c>
      <c r="Y445" s="124" t="str">
        <f>IF($B445="","",IF(Y$3=0,"n.b.",INDEX(SRC_ZPMW03!$A$1:$ZZ$501,$A445,Y$3)))</f>
        <v/>
      </c>
      <c r="Z445" s="124" t="str">
        <f>IF($B445="","",IF(Z$3=0,"n.b.",INDEX(SRC_ZPMW03!$A$1:$ZZ$501,$A445,Z$3)))</f>
        <v/>
      </c>
      <c r="AA445" s="124" t="str">
        <f>IF($B445="","",IF(AA$3=0,"n.b.",INDEX(SRC_ZPMW03!$A$1:$ZZ$501,$A445,AA$3)))</f>
        <v/>
      </c>
      <c r="AB445" s="124" t="str">
        <f>IF($B445="","",IF(AB$3=0,"n.b.",INDEX(SRC_ZPMW03!$A$1:$ZZ$501,$A445,AB$3)))</f>
        <v/>
      </c>
      <c r="AC445" s="124" t="str">
        <f>IF($B445="","",IF(AC$3=0,"n.b.",INDEX(SRC_ZPMW03!$A$1:$ZZ$501,$A445,AC$3)))</f>
        <v/>
      </c>
      <c r="AD445" s="124" t="str">
        <f>IF($B445="","",IF(AD$3=0,"n.b.",INDEX(SRC_ZPMW03!$A$1:$ZZ$501,$A445,AD$3)))</f>
        <v/>
      </c>
      <c r="AE445" s="124" t="str">
        <f>IF($B445="","",IF(AE$3=0,"n.b.",INDEX(SRC_ZPMW03!$A$1:$ZZ$501,$A445,AE$3)))</f>
        <v/>
      </c>
      <c r="AF445" s="124" t="str">
        <f>IF($B445="","",IF(AF$3=0,"n.b.",INDEX(SRC_ZPMW03!$A$1:$ZZ$501,$A445,AF$3)))</f>
        <v/>
      </c>
      <c r="AG445" s="124" t="str">
        <f>IF($B445="","",IF(AG$3=0,"n.b.",INDEX(SRC_ZPMW03!$A$1:$ZZ$501,$A445,AG$3)))</f>
        <v/>
      </c>
      <c r="AH445" s="124" t="str">
        <f>IF($B445="","",IF(AH$3=0,"n.b.",INDEX(SRC_ZPMW03!$A$1:$ZZ$501,$A445,AH$3)))</f>
        <v/>
      </c>
      <c r="AI445" s="124" t="str">
        <f>IF($B445="","",IF(AI$3=0,"n.b.",INDEX(SRC_ZPMW03!$A$1:$ZZ$501,$A445,AI$3)))</f>
        <v/>
      </c>
      <c r="AJ445" s="124" t="str">
        <f>IF($B445="","",IF(AJ$3=0,"n.b.",INDEX(SRC_ZPMW03!$A$1:$ZZ$501,$A445,AJ$3)))</f>
        <v/>
      </c>
      <c r="AK445" s="124" t="str">
        <f>IF($B445="","",IF(AK$3=0,"n.b.",INDEX(SRC_ZPMW03!$A$1:$ZZ$501,$A445,AK$3)))</f>
        <v/>
      </c>
      <c r="AL445" s="124" t="str">
        <f>IF($B445="","",IF(AL$3=0,"n.b.",INDEX(SRC_ZPMW03!$A$1:$ZZ$501,$A445,AL$3)))</f>
        <v/>
      </c>
      <c r="AM445" s="124" t="str">
        <f>IF($B445="","",IF(AM$3=0,"n.b.",INDEX(SRC_ZPMW03!$A$1:$ZZ$501,$A445,AM$3)))</f>
        <v/>
      </c>
      <c r="AN445" s="124" t="str">
        <f>IF($B445="","",IF(AN$3=0,"n.b.",INDEX(SRC_ZPMW03!$A$1:$ZZ$501,$A445,AN$3)))</f>
        <v/>
      </c>
      <c r="AO445" s="124" t="str">
        <f>IF($B445="","",IF(AO$3=0,"n.b.",INDEX(SRC_ZPMW03!$A$1:$ZZ$501,$A445,AO$3)))</f>
        <v/>
      </c>
      <c r="AP445" s="124" t="str">
        <f>IF($B445="","",IF(AP$3=0,"n.b.",INDEX(SRC_ZPMW03!$A$1:$ZZ$501,$A445,AP$3)))</f>
        <v/>
      </c>
      <c r="AQ445" s="124" t="str">
        <f>IF($B445="","",IF(AQ$3=0,"n.b.",INDEX(SRC_ZPMW03!$A$1:$ZZ$501,$A445,AQ$3)))</f>
        <v/>
      </c>
      <c r="AR445" s="124" t="str">
        <f>IF($B445="","",IF(AR$3=0,"n.b.",INDEX(SRC_ZPMW03!$A$1:$ZZ$501,$A445,AR$3)))</f>
        <v/>
      </c>
      <c r="AS445" s="124" t="str">
        <f>IF($B445="","",IF(AS$3=0,"n.b.",INDEX(SRC_ZPMW03!$A$1:$ZZ$501,$A445,AS$3)))</f>
        <v/>
      </c>
      <c r="AT445" s="124" t="str">
        <f>IF($B445="","",IF(AT$3=0,"n.b.",INDEX(SRC_ZPMW03!$A$1:$ZZ$501,$A445,AT$3)))</f>
        <v/>
      </c>
      <c r="AU445" s="124" t="str">
        <f>IF($B445="","",IF(AU$3=0,"n.b.",INDEX(SRC_ZPMW03!$A$1:$ZZ$501,$A445,AU$3)))</f>
        <v/>
      </c>
      <c r="AV445" s="124" t="str">
        <f>IF($B445="","",IF(AV$3=0,"n.b.",INDEX(SRC_ZPMW03!$A$1:$ZZ$501,$A445,AV$3)))</f>
        <v/>
      </c>
      <c r="AW445" s="124" t="str">
        <f>IF($B445="","",IF(AW$3=0,"n.b.",INDEX(SRC_ZPMW03!$A$1:$ZZ$501,$A445,AW$3)))</f>
        <v/>
      </c>
      <c r="AX445" s="124" t="str">
        <f>IF($B445="","",IF(AX$3=0,"n.b.",INDEX(SRC_ZPMW03!$A$1:$ZZ$501,$A445,AX$3)))</f>
        <v/>
      </c>
      <c r="AY445" s="124" t="str">
        <f>IF($B445="","",IF(AY$3=0,"n.b.",INDEX(SRC_ZPMW03!$A$1:$ZZ$501,$A445,AY$3)))</f>
        <v/>
      </c>
      <c r="AZ445" s="124" t="str">
        <f>IF($B445="","",IF(AZ$3=0,"n.b.",INDEX(SRC_ZPMW03!$A$1:$ZZ$501,$A445,AZ$3)))</f>
        <v/>
      </c>
      <c r="BA445" s="124" t="str">
        <f>IF($B445="","",IF(BA$3=0,"n.b.",INDEX(SRC_ZPMW03!$A$1:$ZZ$501,$A445,BA$3)))</f>
        <v/>
      </c>
      <c r="BB445" s="124" t="str">
        <f>IF($B445="","",IF(BB$3=0,"n.b.",INDEX(SRC_ZPMW03!$A$1:$ZZ$501,$A445,BB$3)))</f>
        <v/>
      </c>
      <c r="BC445" s="124" t="str">
        <f>IF($B445="","",IF(BC$3=0,"n.b.",INDEX(SRC_ZPMW03!$A$1:$ZZ$501,$A445,BC$3)))</f>
        <v/>
      </c>
      <c r="BD445" s="124" t="str">
        <f>IF($B445="","",IF(BD$3=0,"n.b.",INDEX(SRC_ZPMW03!$A$1:$ZZ$501,$A445,BD$3)))</f>
        <v/>
      </c>
      <c r="BE445" s="124" t="str">
        <f>IF($B445="","",IF(BE$3=0,"n.b.",INDEX(SRC_ZPMW03!$A$1:$ZZ$501,$A445,BE$3)))</f>
        <v/>
      </c>
      <c r="BF445" s="124" t="str">
        <f>IF($B445="","",IF(BF$3=0,"n.b.",INDEX(SRC_ZPMW03!$A$1:$ZZ$501,$A445,BF$3)))</f>
        <v/>
      </c>
      <c r="BG445" t="str">
        <f>IF($B445="","",IF(BG$3=0,"n.b.",INDEX(SRC_ZPMW03!$A$1:$ZZ$501,$A445,BG$3)))</f>
        <v/>
      </c>
      <c r="BH445" t="str">
        <f>IF($B445="","",IF(BH$3=0,"n.b.",INDEX(SRC_ZPMW03!$A$1:$ZZ$501,$A445,BH$3)))</f>
        <v/>
      </c>
      <c r="BI445" t="str">
        <f>IF($B445="","",IF(BI$3=0,"n.b.",INDEX(SRC_ZPMW03!$A$1:$ZZ$501,$A445,BI$3)))</f>
        <v/>
      </c>
      <c r="BJ445" t="str">
        <f>IF($B445="","",IF(BJ$3=0,"n.b.",INDEX(SRC_ZPMW03!$A$1:$ZZ$501,$A445,BJ$3)))</f>
        <v/>
      </c>
      <c r="BK445" s="124" t="str">
        <f>IF($B445="","",IFERROR(-O445,"n.b."))</f>
        <v/>
      </c>
      <c r="BL445" s="124" t="str">
        <f>IF($B445="","",IFERROR(-Q445,"n.b."))</f>
        <v/>
      </c>
      <c r="BM445" s="124" t="str">
        <f>IF($B445="","",IFERROR(-AB445,"n.b."))</f>
        <v/>
      </c>
      <c r="BN445" s="124" t="str">
        <f>IF($B445="","",IFERROR(-AD445,"n.b."))</f>
        <v/>
      </c>
      <c r="BO445" s="124" t="str">
        <f>IF($B445="","",IFERROR(BK445+BM445,"n.b."))</f>
        <v/>
      </c>
      <c r="BP445" s="124" t="str">
        <f>IF($B445="","",IFERROR(BL445+BN445,"n.b."))</f>
        <v/>
      </c>
      <c r="BQ445" s="124" t="str">
        <f>IF($B445="","",IFERROR(-AM445,"n.b."))</f>
        <v/>
      </c>
      <c r="BR445" s="124" t="str">
        <f>IF($B445="","",IFERROR(-AO445,"n.b."))</f>
        <v/>
      </c>
      <c r="BS445" s="124" t="str">
        <f>IF($B445="","",IFERROR(-Z445,"n.b."))</f>
        <v/>
      </c>
      <c r="BT445" s="124" t="str">
        <f>IF($B445="","",IFERROR(-AA445,"n.b."))</f>
        <v/>
      </c>
      <c r="BU445" s="124" t="str">
        <f>IF($B445="","",IFERROR(-AE445,"n.b."))</f>
        <v/>
      </c>
      <c r="BV445" s="124" t="str">
        <f>IF($B445="","",IFERROR(-AF445,"n.b."))</f>
        <v/>
      </c>
      <c r="BW445" s="124" t="str">
        <f>IF($B445="","",IFERROR(-AG445,"n.b."))</f>
        <v/>
      </c>
      <c r="BX445" s="124" t="str">
        <f>IF($B445="","",IFERROR(-AH445,"n.b."))</f>
        <v/>
      </c>
      <c r="BY445" s="124" t="str">
        <f>IF($B445="","",IFERROR(-AI445,"n.b."))</f>
        <v/>
      </c>
      <c r="BZ445" s="124" t="str">
        <f>IF($B445="","",IFERROR(-AJ445,"n.b."))</f>
        <v/>
      </c>
      <c r="CA445" s="124" t="str">
        <f>IF($B445="","",IFERROR(-AK445,"n.b."))</f>
        <v/>
      </c>
      <c r="CB445" s="124" t="str">
        <f>IF($B445="","",IFERROR(-AL445,"n.b."))</f>
        <v/>
      </c>
      <c r="CC445" s="124" t="str">
        <f>IF($B445="","",IFERROR(-AP445,"n.b."))</f>
        <v/>
      </c>
      <c r="CD445" s="124" t="str">
        <f>IF($B445="","",IFERROR(-AQ445,"n.b."))</f>
        <v/>
      </c>
      <c r="CE445" s="124" t="str">
        <f>IF($B445="","",IFERROR(-AR445,"n.b."))</f>
        <v/>
      </c>
      <c r="CF445" s="124" t="str">
        <f>IF($B445="","",IFERROR(-AS445,"n.b."))</f>
        <v/>
      </c>
      <c r="CG445" s="124" t="str">
        <f>IF($B445="","",IFERROR(-AT445,"n.b."))</f>
        <v/>
      </c>
      <c r="CH445" s="124" t="str">
        <f>IF($B445="","",IFERROR(-AU445,"n.b."))</f>
        <v/>
      </c>
      <c r="CI445" s="124" t="str">
        <f>IF($B445="","",IFERROR(-AV445,"n.b."))</f>
        <v/>
      </c>
      <c r="CJ445" s="124" t="str">
        <f>IF($B445="","",IFERROR(-AW445,"n.b."))</f>
        <v/>
      </c>
      <c r="CK445" s="124" t="str">
        <f>IF($B445="","",IFERROR(-AX445,"n.b."))</f>
        <v/>
      </c>
      <c r="CL445" s="124" t="str">
        <f>IF($B445="","",IFERROR(-AY445,"n.b."))</f>
        <v/>
      </c>
      <c r="CM445" s="124" t="str">
        <f>IF($B445="","",IFERROR(-AZ445,"n.b."))</f>
        <v/>
      </c>
      <c r="CN445" s="124" t="str">
        <f>IF($B445="","",IFERROR(-BA445,"n.b."))</f>
        <v/>
      </c>
      <c r="CO445" s="124" t="str">
        <f>IF($B445="","",IFERROR(-BB445,"n.b."))</f>
        <v/>
      </c>
      <c r="CP445" s="124" t="str">
        <f>IF($B445="","",IFERROR(-BC445,"n.b."))</f>
        <v/>
      </c>
      <c r="CQ445" s="124" t="str">
        <f>IF($B445="","",IFERROR(-BD445,"n.b."))</f>
        <v/>
      </c>
      <c r="CR445" s="124" t="str">
        <f>IF($B445="","",IFERROR(-BE445,"n.b."))</f>
        <v/>
      </c>
      <c r="CS445" s="124" t="str">
        <f>IF($B445="","",IFERROR(IF(OR(ABS(T445+V445+X445+Z445-AB445)&gt;P_Tol,ABS(U445+W445+Y445+AA445-AD445)&gt;P_Tol,ABS(AE445+AG445+AI445+AK445-AM445)&gt;P_Tol,ABS(AF445+AH445+AJ445+AL445-AO445)&gt;P_Tol),1,0),1))</f>
        <v/>
      </c>
      <c r="CT445" s="124" t="str">
        <f>IF($B445="","",IFERROR(IF(OR(ABS(AB445+AC445-AD445)&gt;P_Tol,ABS(AM445+AN445-AO445)&gt;P_Tol,ABS(O445+P445-Q445)&gt;P_Tol),1,0),1))</f>
        <v/>
      </c>
      <c r="CU445" s="124" t="str">
        <f>IF($B445="","",IFERROR(IF(ABS(R445-(AB445+AM445+AP445+AR445+AT445+AV445+AX445+AZ445+BB445+BD445))&gt;P_Tol,1,0),1))</f>
        <v/>
      </c>
      <c r="CV445" s="124" t="str">
        <f>IF($B445="","",IFERROR(IF(ABS(M445-(N445+O445+R445))&gt;P_Tol,1,0),1))</f>
        <v/>
      </c>
      <c r="CW445" s="124" t="str">
        <f>IF($B445="","",IF(COUNTIF(Mapping!$A$5:$A$104,B445)&gt;0,1,0))</f>
        <v/>
      </c>
      <c r="CX445" s="124" t="str">
        <f>IF($B445="","",COUNTIF($B$6:$B$505,B445))</f>
        <v/>
      </c>
      <c r="CY445" s="124" t="str">
        <f>IF($B445="","",COUNTIF(STG_Woningetalage!$B$6:$B$505,B445))</f>
        <v/>
      </c>
      <c r="CZ445" s="124" t="str">
        <f>IF($B445="","",IF(CW445=0,COUNTIF($CW$6:CW445,0),""))</f>
        <v/>
      </c>
    </row>
    <row r="446">
      <c r="A446" s="15" t="n">
        <v>442</v>
      </c>
      <c r="B446" t="str">
        <f>IF(B$3=0,"",IF(INDEX(SRC_ZPMW03!$A$1:$ZZ$501,$A446,B$3)&amp;""="","",INDEX(SRC_ZPMW03!$A$1:$ZZ$501,$A446,B$3)&amp;""))</f>
        <v/>
      </c>
      <c r="C446" t="str">
        <f>IF($B446="","",IF(C$3=0,"n.b.",INDEX(SRC_ZPMW03!$A$1:$ZZ$501,$A446,C$3)))</f>
        <v/>
      </c>
      <c r="D446" t="str">
        <f>IF($B446="","",IF(D$3=0,"n.b.",INDEX(SRC_ZPMW03!$A$1:$ZZ$501,$A446,D$3)))</f>
        <v/>
      </c>
      <c r="E446" t="str">
        <f>IF($B446="","",IF(E$3=0,"n.b.",INDEX(SRC_ZPMW03!$A$1:$ZZ$501,$A446,E$3)))</f>
        <v/>
      </c>
      <c r="F446" t="str">
        <f>IF($B446="","",IF(F$3=0,"n.b.",INDEX(SRC_ZPMW03!$A$1:$ZZ$501,$A446,F$3)))</f>
        <v/>
      </c>
      <c r="G446" t="str">
        <f>IF($B446="","",IF(G$3=0,"n.b.",INDEX(SRC_ZPMW03!$A$1:$ZZ$501,$A446,G$3)))</f>
        <v/>
      </c>
      <c r="H446" t="str">
        <f>IF($B446="","",IF(H$3=0,"n.b.",INDEX(SRC_ZPMW03!$A$1:$ZZ$501,$A446,H$3)))</f>
        <v/>
      </c>
      <c r="I446" t="str">
        <f>IF($B446="","",IF(I$3=0,"n.b.",INDEX(SRC_ZPMW03!$A$1:$ZZ$501,$A446,I$3)))</f>
        <v/>
      </c>
      <c r="J446" t="str">
        <f>IF($B446="","",IF(J$3=0,"n.b.",INDEX(SRC_ZPMW03!$A$1:$ZZ$501,$A446,J$3)))</f>
        <v/>
      </c>
      <c r="K446" t="str">
        <f>IF($B446="","",IF(K$3=0,"n.b.",INDEX(SRC_ZPMW03!$A$1:$ZZ$501,$A446,K$3)))</f>
        <v/>
      </c>
      <c r="L446" s="124" t="str">
        <f>IF($B446="","",IF(L$3=0,"n.b.",INDEX(SRC_ZPMW03!$A$1:$ZZ$501,$A446,L$3)))</f>
        <v/>
      </c>
      <c r="M446" s="124" t="str">
        <f>IF($B446="","",IF(M$3=0,"n.b.",INDEX(SRC_ZPMW03!$A$1:$ZZ$501,$A446,M$3)))</f>
        <v/>
      </c>
      <c r="N446" s="124" t="str">
        <f>IF($B446="","",IF(N$3=0,"n.b.",INDEX(SRC_ZPMW03!$A$1:$ZZ$501,$A446,N$3)))</f>
        <v/>
      </c>
      <c r="O446" s="124" t="str">
        <f>IF($B446="","",IF(O$3=0,"n.b.",INDEX(SRC_ZPMW03!$A$1:$ZZ$501,$A446,O$3)))</f>
        <v/>
      </c>
      <c r="P446" s="124" t="str">
        <f>IF($B446="","",IF(P$3=0,"n.b.",INDEX(SRC_ZPMW03!$A$1:$ZZ$501,$A446,P$3)))</f>
        <v/>
      </c>
      <c r="Q446" s="124" t="str">
        <f>IF($B446="","",IF(Q$3=0,"n.b.",INDEX(SRC_ZPMW03!$A$1:$ZZ$501,$A446,Q$3)))</f>
        <v/>
      </c>
      <c r="R446" s="124" t="str">
        <f>IF($B446="","",IF(R$3=0,"n.b.",INDEX(SRC_ZPMW03!$A$1:$ZZ$501,$A446,R$3)))</f>
        <v/>
      </c>
      <c r="S446" s="124" t="str">
        <f>IF($B446="","",IF(S$3=0,"n.b.",INDEX(SRC_ZPMW03!$A$1:$ZZ$501,$A446,S$3)))</f>
        <v/>
      </c>
      <c r="T446" s="124" t="str">
        <f>IF($B446="","",IF(T$3=0,"n.b.",INDEX(SRC_ZPMW03!$A$1:$ZZ$501,$A446,T$3)))</f>
        <v/>
      </c>
      <c r="U446" s="124" t="str">
        <f>IF($B446="","",IF(U$3=0,"n.b.",INDEX(SRC_ZPMW03!$A$1:$ZZ$501,$A446,U$3)))</f>
        <v/>
      </c>
      <c r="V446" s="124" t="str">
        <f>IF($B446="","",IF(V$3=0,"n.b.",INDEX(SRC_ZPMW03!$A$1:$ZZ$501,$A446,V$3)))</f>
        <v/>
      </c>
      <c r="W446" s="124" t="str">
        <f>IF($B446="","",IF(W$3=0,"n.b.",INDEX(SRC_ZPMW03!$A$1:$ZZ$501,$A446,W$3)))</f>
        <v/>
      </c>
      <c r="X446" s="124" t="str">
        <f>IF($B446="","",IF(X$3=0,"n.b.",INDEX(SRC_ZPMW03!$A$1:$ZZ$501,$A446,X$3)))</f>
        <v/>
      </c>
      <c r="Y446" s="124" t="str">
        <f>IF($B446="","",IF(Y$3=0,"n.b.",INDEX(SRC_ZPMW03!$A$1:$ZZ$501,$A446,Y$3)))</f>
        <v/>
      </c>
      <c r="Z446" s="124" t="str">
        <f>IF($B446="","",IF(Z$3=0,"n.b.",INDEX(SRC_ZPMW03!$A$1:$ZZ$501,$A446,Z$3)))</f>
        <v/>
      </c>
      <c r="AA446" s="124" t="str">
        <f>IF($B446="","",IF(AA$3=0,"n.b.",INDEX(SRC_ZPMW03!$A$1:$ZZ$501,$A446,AA$3)))</f>
        <v/>
      </c>
      <c r="AB446" s="124" t="str">
        <f>IF($B446="","",IF(AB$3=0,"n.b.",INDEX(SRC_ZPMW03!$A$1:$ZZ$501,$A446,AB$3)))</f>
        <v/>
      </c>
      <c r="AC446" s="124" t="str">
        <f>IF($B446="","",IF(AC$3=0,"n.b.",INDEX(SRC_ZPMW03!$A$1:$ZZ$501,$A446,AC$3)))</f>
        <v/>
      </c>
      <c r="AD446" s="124" t="str">
        <f>IF($B446="","",IF(AD$3=0,"n.b.",INDEX(SRC_ZPMW03!$A$1:$ZZ$501,$A446,AD$3)))</f>
        <v/>
      </c>
      <c r="AE446" s="124" t="str">
        <f>IF($B446="","",IF(AE$3=0,"n.b.",INDEX(SRC_ZPMW03!$A$1:$ZZ$501,$A446,AE$3)))</f>
        <v/>
      </c>
      <c r="AF446" s="124" t="str">
        <f>IF($B446="","",IF(AF$3=0,"n.b.",INDEX(SRC_ZPMW03!$A$1:$ZZ$501,$A446,AF$3)))</f>
        <v/>
      </c>
      <c r="AG446" s="124" t="str">
        <f>IF($B446="","",IF(AG$3=0,"n.b.",INDEX(SRC_ZPMW03!$A$1:$ZZ$501,$A446,AG$3)))</f>
        <v/>
      </c>
      <c r="AH446" s="124" t="str">
        <f>IF($B446="","",IF(AH$3=0,"n.b.",INDEX(SRC_ZPMW03!$A$1:$ZZ$501,$A446,AH$3)))</f>
        <v/>
      </c>
      <c r="AI446" s="124" t="str">
        <f>IF($B446="","",IF(AI$3=0,"n.b.",INDEX(SRC_ZPMW03!$A$1:$ZZ$501,$A446,AI$3)))</f>
        <v/>
      </c>
      <c r="AJ446" s="124" t="str">
        <f>IF($B446="","",IF(AJ$3=0,"n.b.",INDEX(SRC_ZPMW03!$A$1:$ZZ$501,$A446,AJ$3)))</f>
        <v/>
      </c>
      <c r="AK446" s="124" t="str">
        <f>IF($B446="","",IF(AK$3=0,"n.b.",INDEX(SRC_ZPMW03!$A$1:$ZZ$501,$A446,AK$3)))</f>
        <v/>
      </c>
      <c r="AL446" s="124" t="str">
        <f>IF($B446="","",IF(AL$3=0,"n.b.",INDEX(SRC_ZPMW03!$A$1:$ZZ$501,$A446,AL$3)))</f>
        <v/>
      </c>
      <c r="AM446" s="124" t="str">
        <f>IF($B446="","",IF(AM$3=0,"n.b.",INDEX(SRC_ZPMW03!$A$1:$ZZ$501,$A446,AM$3)))</f>
        <v/>
      </c>
      <c r="AN446" s="124" t="str">
        <f>IF($B446="","",IF(AN$3=0,"n.b.",INDEX(SRC_ZPMW03!$A$1:$ZZ$501,$A446,AN$3)))</f>
        <v/>
      </c>
      <c r="AO446" s="124" t="str">
        <f>IF($B446="","",IF(AO$3=0,"n.b.",INDEX(SRC_ZPMW03!$A$1:$ZZ$501,$A446,AO$3)))</f>
        <v/>
      </c>
      <c r="AP446" s="124" t="str">
        <f>IF($B446="","",IF(AP$3=0,"n.b.",INDEX(SRC_ZPMW03!$A$1:$ZZ$501,$A446,AP$3)))</f>
        <v/>
      </c>
      <c r="AQ446" s="124" t="str">
        <f>IF($B446="","",IF(AQ$3=0,"n.b.",INDEX(SRC_ZPMW03!$A$1:$ZZ$501,$A446,AQ$3)))</f>
        <v/>
      </c>
      <c r="AR446" s="124" t="str">
        <f>IF($B446="","",IF(AR$3=0,"n.b.",INDEX(SRC_ZPMW03!$A$1:$ZZ$501,$A446,AR$3)))</f>
        <v/>
      </c>
      <c r="AS446" s="124" t="str">
        <f>IF($B446="","",IF(AS$3=0,"n.b.",INDEX(SRC_ZPMW03!$A$1:$ZZ$501,$A446,AS$3)))</f>
        <v/>
      </c>
      <c r="AT446" s="124" t="str">
        <f>IF($B446="","",IF(AT$3=0,"n.b.",INDEX(SRC_ZPMW03!$A$1:$ZZ$501,$A446,AT$3)))</f>
        <v/>
      </c>
      <c r="AU446" s="124" t="str">
        <f>IF($B446="","",IF(AU$3=0,"n.b.",INDEX(SRC_ZPMW03!$A$1:$ZZ$501,$A446,AU$3)))</f>
        <v/>
      </c>
      <c r="AV446" s="124" t="str">
        <f>IF($B446="","",IF(AV$3=0,"n.b.",INDEX(SRC_ZPMW03!$A$1:$ZZ$501,$A446,AV$3)))</f>
        <v/>
      </c>
      <c r="AW446" s="124" t="str">
        <f>IF($B446="","",IF(AW$3=0,"n.b.",INDEX(SRC_ZPMW03!$A$1:$ZZ$501,$A446,AW$3)))</f>
        <v/>
      </c>
      <c r="AX446" s="124" t="str">
        <f>IF($B446="","",IF(AX$3=0,"n.b.",INDEX(SRC_ZPMW03!$A$1:$ZZ$501,$A446,AX$3)))</f>
        <v/>
      </c>
      <c r="AY446" s="124" t="str">
        <f>IF($B446="","",IF(AY$3=0,"n.b.",INDEX(SRC_ZPMW03!$A$1:$ZZ$501,$A446,AY$3)))</f>
        <v/>
      </c>
      <c r="AZ446" s="124" t="str">
        <f>IF($B446="","",IF(AZ$3=0,"n.b.",INDEX(SRC_ZPMW03!$A$1:$ZZ$501,$A446,AZ$3)))</f>
        <v/>
      </c>
      <c r="BA446" s="124" t="str">
        <f>IF($B446="","",IF(BA$3=0,"n.b.",INDEX(SRC_ZPMW03!$A$1:$ZZ$501,$A446,BA$3)))</f>
        <v/>
      </c>
      <c r="BB446" s="124" t="str">
        <f>IF($B446="","",IF(BB$3=0,"n.b.",INDEX(SRC_ZPMW03!$A$1:$ZZ$501,$A446,BB$3)))</f>
        <v/>
      </c>
      <c r="BC446" s="124" t="str">
        <f>IF($B446="","",IF(BC$3=0,"n.b.",INDEX(SRC_ZPMW03!$A$1:$ZZ$501,$A446,BC$3)))</f>
        <v/>
      </c>
      <c r="BD446" s="124" t="str">
        <f>IF($B446="","",IF(BD$3=0,"n.b.",INDEX(SRC_ZPMW03!$A$1:$ZZ$501,$A446,BD$3)))</f>
        <v/>
      </c>
      <c r="BE446" s="124" t="str">
        <f>IF($B446="","",IF(BE$3=0,"n.b.",INDEX(SRC_ZPMW03!$A$1:$ZZ$501,$A446,BE$3)))</f>
        <v/>
      </c>
      <c r="BF446" s="124" t="str">
        <f>IF($B446="","",IF(BF$3=0,"n.b.",INDEX(SRC_ZPMW03!$A$1:$ZZ$501,$A446,BF$3)))</f>
        <v/>
      </c>
      <c r="BG446" t="str">
        <f>IF($B446="","",IF(BG$3=0,"n.b.",INDEX(SRC_ZPMW03!$A$1:$ZZ$501,$A446,BG$3)))</f>
        <v/>
      </c>
      <c r="BH446" t="str">
        <f>IF($B446="","",IF(BH$3=0,"n.b.",INDEX(SRC_ZPMW03!$A$1:$ZZ$501,$A446,BH$3)))</f>
        <v/>
      </c>
      <c r="BI446" t="str">
        <f>IF($B446="","",IF(BI$3=0,"n.b.",INDEX(SRC_ZPMW03!$A$1:$ZZ$501,$A446,BI$3)))</f>
        <v/>
      </c>
      <c r="BJ446" t="str">
        <f>IF($B446="","",IF(BJ$3=0,"n.b.",INDEX(SRC_ZPMW03!$A$1:$ZZ$501,$A446,BJ$3)))</f>
        <v/>
      </c>
      <c r="BK446" s="124" t="str">
        <f>IF($B446="","",IFERROR(-O446,"n.b."))</f>
        <v/>
      </c>
      <c r="BL446" s="124" t="str">
        <f>IF($B446="","",IFERROR(-Q446,"n.b."))</f>
        <v/>
      </c>
      <c r="BM446" s="124" t="str">
        <f>IF($B446="","",IFERROR(-AB446,"n.b."))</f>
        <v/>
      </c>
      <c r="BN446" s="124" t="str">
        <f>IF($B446="","",IFERROR(-AD446,"n.b."))</f>
        <v/>
      </c>
      <c r="BO446" s="124" t="str">
        <f>IF($B446="","",IFERROR(BK446+BM446,"n.b."))</f>
        <v/>
      </c>
      <c r="BP446" s="124" t="str">
        <f>IF($B446="","",IFERROR(BL446+BN446,"n.b."))</f>
        <v/>
      </c>
      <c r="BQ446" s="124" t="str">
        <f>IF($B446="","",IFERROR(-AM446,"n.b."))</f>
        <v/>
      </c>
      <c r="BR446" s="124" t="str">
        <f>IF($B446="","",IFERROR(-AO446,"n.b."))</f>
        <v/>
      </c>
      <c r="BS446" s="124" t="str">
        <f>IF($B446="","",IFERROR(-Z446,"n.b."))</f>
        <v/>
      </c>
      <c r="BT446" s="124" t="str">
        <f>IF($B446="","",IFERROR(-AA446,"n.b."))</f>
        <v/>
      </c>
      <c r="BU446" s="124" t="str">
        <f>IF($B446="","",IFERROR(-AE446,"n.b."))</f>
        <v/>
      </c>
      <c r="BV446" s="124" t="str">
        <f>IF($B446="","",IFERROR(-AF446,"n.b."))</f>
        <v/>
      </c>
      <c r="BW446" s="124" t="str">
        <f>IF($B446="","",IFERROR(-AG446,"n.b."))</f>
        <v/>
      </c>
      <c r="BX446" s="124" t="str">
        <f>IF($B446="","",IFERROR(-AH446,"n.b."))</f>
        <v/>
      </c>
      <c r="BY446" s="124" t="str">
        <f>IF($B446="","",IFERROR(-AI446,"n.b."))</f>
        <v/>
      </c>
      <c r="BZ446" s="124" t="str">
        <f>IF($B446="","",IFERROR(-AJ446,"n.b."))</f>
        <v/>
      </c>
      <c r="CA446" s="124" t="str">
        <f>IF($B446="","",IFERROR(-AK446,"n.b."))</f>
        <v/>
      </c>
      <c r="CB446" s="124" t="str">
        <f>IF($B446="","",IFERROR(-AL446,"n.b."))</f>
        <v/>
      </c>
      <c r="CC446" s="124" t="str">
        <f>IF($B446="","",IFERROR(-AP446,"n.b."))</f>
        <v/>
      </c>
      <c r="CD446" s="124" t="str">
        <f>IF($B446="","",IFERROR(-AQ446,"n.b."))</f>
        <v/>
      </c>
      <c r="CE446" s="124" t="str">
        <f>IF($B446="","",IFERROR(-AR446,"n.b."))</f>
        <v/>
      </c>
      <c r="CF446" s="124" t="str">
        <f>IF($B446="","",IFERROR(-AS446,"n.b."))</f>
        <v/>
      </c>
      <c r="CG446" s="124" t="str">
        <f>IF($B446="","",IFERROR(-AT446,"n.b."))</f>
        <v/>
      </c>
      <c r="CH446" s="124" t="str">
        <f>IF($B446="","",IFERROR(-AU446,"n.b."))</f>
        <v/>
      </c>
      <c r="CI446" s="124" t="str">
        <f>IF($B446="","",IFERROR(-AV446,"n.b."))</f>
        <v/>
      </c>
      <c r="CJ446" s="124" t="str">
        <f>IF($B446="","",IFERROR(-AW446,"n.b."))</f>
        <v/>
      </c>
      <c r="CK446" s="124" t="str">
        <f>IF($B446="","",IFERROR(-AX446,"n.b."))</f>
        <v/>
      </c>
      <c r="CL446" s="124" t="str">
        <f>IF($B446="","",IFERROR(-AY446,"n.b."))</f>
        <v/>
      </c>
      <c r="CM446" s="124" t="str">
        <f>IF($B446="","",IFERROR(-AZ446,"n.b."))</f>
        <v/>
      </c>
      <c r="CN446" s="124" t="str">
        <f>IF($B446="","",IFERROR(-BA446,"n.b."))</f>
        <v/>
      </c>
      <c r="CO446" s="124" t="str">
        <f>IF($B446="","",IFERROR(-BB446,"n.b."))</f>
        <v/>
      </c>
      <c r="CP446" s="124" t="str">
        <f>IF($B446="","",IFERROR(-BC446,"n.b."))</f>
        <v/>
      </c>
      <c r="CQ446" s="124" t="str">
        <f>IF($B446="","",IFERROR(-BD446,"n.b."))</f>
        <v/>
      </c>
      <c r="CR446" s="124" t="str">
        <f>IF($B446="","",IFERROR(-BE446,"n.b."))</f>
        <v/>
      </c>
      <c r="CS446" s="124" t="str">
        <f>IF($B446="","",IFERROR(IF(OR(ABS(T446+V446+X446+Z446-AB446)&gt;P_Tol,ABS(U446+W446+Y446+AA446-AD446)&gt;P_Tol,ABS(AE446+AG446+AI446+AK446-AM446)&gt;P_Tol,ABS(AF446+AH446+AJ446+AL446-AO446)&gt;P_Tol),1,0),1))</f>
        <v/>
      </c>
      <c r="CT446" s="124" t="str">
        <f>IF($B446="","",IFERROR(IF(OR(ABS(AB446+AC446-AD446)&gt;P_Tol,ABS(AM446+AN446-AO446)&gt;P_Tol,ABS(O446+P446-Q446)&gt;P_Tol),1,0),1))</f>
        <v/>
      </c>
      <c r="CU446" s="124" t="str">
        <f>IF($B446="","",IFERROR(IF(ABS(R446-(AB446+AM446+AP446+AR446+AT446+AV446+AX446+AZ446+BB446+BD446))&gt;P_Tol,1,0),1))</f>
        <v/>
      </c>
      <c r="CV446" s="124" t="str">
        <f>IF($B446="","",IFERROR(IF(ABS(M446-(N446+O446+R446))&gt;P_Tol,1,0),1))</f>
        <v/>
      </c>
      <c r="CW446" s="124" t="str">
        <f>IF($B446="","",IF(COUNTIF(Mapping!$A$5:$A$104,B446)&gt;0,1,0))</f>
        <v/>
      </c>
      <c r="CX446" s="124" t="str">
        <f>IF($B446="","",COUNTIF($B$6:$B$505,B446))</f>
        <v/>
      </c>
      <c r="CY446" s="124" t="str">
        <f>IF($B446="","",COUNTIF(STG_Woningetalage!$B$6:$B$505,B446))</f>
        <v/>
      </c>
      <c r="CZ446" s="124" t="str">
        <f>IF($B446="","",IF(CW446=0,COUNTIF($CW$6:CW446,0),""))</f>
        <v/>
      </c>
    </row>
    <row r="447">
      <c r="A447" s="15" t="n">
        <v>443</v>
      </c>
      <c r="B447" t="str">
        <f>IF(B$3=0,"",IF(INDEX(SRC_ZPMW03!$A$1:$ZZ$501,$A447,B$3)&amp;""="","",INDEX(SRC_ZPMW03!$A$1:$ZZ$501,$A447,B$3)&amp;""))</f>
        <v/>
      </c>
      <c r="C447" t="str">
        <f>IF($B447="","",IF(C$3=0,"n.b.",INDEX(SRC_ZPMW03!$A$1:$ZZ$501,$A447,C$3)))</f>
        <v/>
      </c>
      <c r="D447" t="str">
        <f>IF($B447="","",IF(D$3=0,"n.b.",INDEX(SRC_ZPMW03!$A$1:$ZZ$501,$A447,D$3)))</f>
        <v/>
      </c>
      <c r="E447" t="str">
        <f>IF($B447="","",IF(E$3=0,"n.b.",INDEX(SRC_ZPMW03!$A$1:$ZZ$501,$A447,E$3)))</f>
        <v/>
      </c>
      <c r="F447" t="str">
        <f>IF($B447="","",IF(F$3=0,"n.b.",INDEX(SRC_ZPMW03!$A$1:$ZZ$501,$A447,F$3)))</f>
        <v/>
      </c>
      <c r="G447" t="str">
        <f>IF($B447="","",IF(G$3=0,"n.b.",INDEX(SRC_ZPMW03!$A$1:$ZZ$501,$A447,G$3)))</f>
        <v/>
      </c>
      <c r="H447" t="str">
        <f>IF($B447="","",IF(H$3=0,"n.b.",INDEX(SRC_ZPMW03!$A$1:$ZZ$501,$A447,H$3)))</f>
        <v/>
      </c>
      <c r="I447" t="str">
        <f>IF($B447="","",IF(I$3=0,"n.b.",INDEX(SRC_ZPMW03!$A$1:$ZZ$501,$A447,I$3)))</f>
        <v/>
      </c>
      <c r="J447" t="str">
        <f>IF($B447="","",IF(J$3=0,"n.b.",INDEX(SRC_ZPMW03!$A$1:$ZZ$501,$A447,J$3)))</f>
        <v/>
      </c>
      <c r="K447" t="str">
        <f>IF($B447="","",IF(K$3=0,"n.b.",INDEX(SRC_ZPMW03!$A$1:$ZZ$501,$A447,K$3)))</f>
        <v/>
      </c>
      <c r="L447" s="124" t="str">
        <f>IF($B447="","",IF(L$3=0,"n.b.",INDEX(SRC_ZPMW03!$A$1:$ZZ$501,$A447,L$3)))</f>
        <v/>
      </c>
      <c r="M447" s="124" t="str">
        <f>IF($B447="","",IF(M$3=0,"n.b.",INDEX(SRC_ZPMW03!$A$1:$ZZ$501,$A447,M$3)))</f>
        <v/>
      </c>
      <c r="N447" s="124" t="str">
        <f>IF($B447="","",IF(N$3=0,"n.b.",INDEX(SRC_ZPMW03!$A$1:$ZZ$501,$A447,N$3)))</f>
        <v/>
      </c>
      <c r="O447" s="124" t="str">
        <f>IF($B447="","",IF(O$3=0,"n.b.",INDEX(SRC_ZPMW03!$A$1:$ZZ$501,$A447,O$3)))</f>
        <v/>
      </c>
      <c r="P447" s="124" t="str">
        <f>IF($B447="","",IF(P$3=0,"n.b.",INDEX(SRC_ZPMW03!$A$1:$ZZ$501,$A447,P$3)))</f>
        <v/>
      </c>
      <c r="Q447" s="124" t="str">
        <f>IF($B447="","",IF(Q$3=0,"n.b.",INDEX(SRC_ZPMW03!$A$1:$ZZ$501,$A447,Q$3)))</f>
        <v/>
      </c>
      <c r="R447" s="124" t="str">
        <f>IF($B447="","",IF(R$3=0,"n.b.",INDEX(SRC_ZPMW03!$A$1:$ZZ$501,$A447,R$3)))</f>
        <v/>
      </c>
      <c r="S447" s="124" t="str">
        <f>IF($B447="","",IF(S$3=0,"n.b.",INDEX(SRC_ZPMW03!$A$1:$ZZ$501,$A447,S$3)))</f>
        <v/>
      </c>
      <c r="T447" s="124" t="str">
        <f>IF($B447="","",IF(T$3=0,"n.b.",INDEX(SRC_ZPMW03!$A$1:$ZZ$501,$A447,T$3)))</f>
        <v/>
      </c>
      <c r="U447" s="124" t="str">
        <f>IF($B447="","",IF(U$3=0,"n.b.",INDEX(SRC_ZPMW03!$A$1:$ZZ$501,$A447,U$3)))</f>
        <v/>
      </c>
      <c r="V447" s="124" t="str">
        <f>IF($B447="","",IF(V$3=0,"n.b.",INDEX(SRC_ZPMW03!$A$1:$ZZ$501,$A447,V$3)))</f>
        <v/>
      </c>
      <c r="W447" s="124" t="str">
        <f>IF($B447="","",IF(W$3=0,"n.b.",INDEX(SRC_ZPMW03!$A$1:$ZZ$501,$A447,W$3)))</f>
        <v/>
      </c>
      <c r="X447" s="124" t="str">
        <f>IF($B447="","",IF(X$3=0,"n.b.",INDEX(SRC_ZPMW03!$A$1:$ZZ$501,$A447,X$3)))</f>
        <v/>
      </c>
      <c r="Y447" s="124" t="str">
        <f>IF($B447="","",IF(Y$3=0,"n.b.",INDEX(SRC_ZPMW03!$A$1:$ZZ$501,$A447,Y$3)))</f>
        <v/>
      </c>
      <c r="Z447" s="124" t="str">
        <f>IF($B447="","",IF(Z$3=0,"n.b.",INDEX(SRC_ZPMW03!$A$1:$ZZ$501,$A447,Z$3)))</f>
        <v/>
      </c>
      <c r="AA447" s="124" t="str">
        <f>IF($B447="","",IF(AA$3=0,"n.b.",INDEX(SRC_ZPMW03!$A$1:$ZZ$501,$A447,AA$3)))</f>
        <v/>
      </c>
      <c r="AB447" s="124" t="str">
        <f>IF($B447="","",IF(AB$3=0,"n.b.",INDEX(SRC_ZPMW03!$A$1:$ZZ$501,$A447,AB$3)))</f>
        <v/>
      </c>
      <c r="AC447" s="124" t="str">
        <f>IF($B447="","",IF(AC$3=0,"n.b.",INDEX(SRC_ZPMW03!$A$1:$ZZ$501,$A447,AC$3)))</f>
        <v/>
      </c>
      <c r="AD447" s="124" t="str">
        <f>IF($B447="","",IF(AD$3=0,"n.b.",INDEX(SRC_ZPMW03!$A$1:$ZZ$501,$A447,AD$3)))</f>
        <v/>
      </c>
      <c r="AE447" s="124" t="str">
        <f>IF($B447="","",IF(AE$3=0,"n.b.",INDEX(SRC_ZPMW03!$A$1:$ZZ$501,$A447,AE$3)))</f>
        <v/>
      </c>
      <c r="AF447" s="124" t="str">
        <f>IF($B447="","",IF(AF$3=0,"n.b.",INDEX(SRC_ZPMW03!$A$1:$ZZ$501,$A447,AF$3)))</f>
        <v/>
      </c>
      <c r="AG447" s="124" t="str">
        <f>IF($B447="","",IF(AG$3=0,"n.b.",INDEX(SRC_ZPMW03!$A$1:$ZZ$501,$A447,AG$3)))</f>
        <v/>
      </c>
      <c r="AH447" s="124" t="str">
        <f>IF($B447="","",IF(AH$3=0,"n.b.",INDEX(SRC_ZPMW03!$A$1:$ZZ$501,$A447,AH$3)))</f>
        <v/>
      </c>
      <c r="AI447" s="124" t="str">
        <f>IF($B447="","",IF(AI$3=0,"n.b.",INDEX(SRC_ZPMW03!$A$1:$ZZ$501,$A447,AI$3)))</f>
        <v/>
      </c>
      <c r="AJ447" s="124" t="str">
        <f>IF($B447="","",IF(AJ$3=0,"n.b.",INDEX(SRC_ZPMW03!$A$1:$ZZ$501,$A447,AJ$3)))</f>
        <v/>
      </c>
      <c r="AK447" s="124" t="str">
        <f>IF($B447="","",IF(AK$3=0,"n.b.",INDEX(SRC_ZPMW03!$A$1:$ZZ$501,$A447,AK$3)))</f>
        <v/>
      </c>
      <c r="AL447" s="124" t="str">
        <f>IF($B447="","",IF(AL$3=0,"n.b.",INDEX(SRC_ZPMW03!$A$1:$ZZ$501,$A447,AL$3)))</f>
        <v/>
      </c>
      <c r="AM447" s="124" t="str">
        <f>IF($B447="","",IF(AM$3=0,"n.b.",INDEX(SRC_ZPMW03!$A$1:$ZZ$501,$A447,AM$3)))</f>
        <v/>
      </c>
      <c r="AN447" s="124" t="str">
        <f>IF($B447="","",IF(AN$3=0,"n.b.",INDEX(SRC_ZPMW03!$A$1:$ZZ$501,$A447,AN$3)))</f>
        <v/>
      </c>
      <c r="AO447" s="124" t="str">
        <f>IF($B447="","",IF(AO$3=0,"n.b.",INDEX(SRC_ZPMW03!$A$1:$ZZ$501,$A447,AO$3)))</f>
        <v/>
      </c>
      <c r="AP447" s="124" t="str">
        <f>IF($B447="","",IF(AP$3=0,"n.b.",INDEX(SRC_ZPMW03!$A$1:$ZZ$501,$A447,AP$3)))</f>
        <v/>
      </c>
      <c r="AQ447" s="124" t="str">
        <f>IF($B447="","",IF(AQ$3=0,"n.b.",INDEX(SRC_ZPMW03!$A$1:$ZZ$501,$A447,AQ$3)))</f>
        <v/>
      </c>
      <c r="AR447" s="124" t="str">
        <f>IF($B447="","",IF(AR$3=0,"n.b.",INDEX(SRC_ZPMW03!$A$1:$ZZ$501,$A447,AR$3)))</f>
        <v/>
      </c>
      <c r="AS447" s="124" t="str">
        <f>IF($B447="","",IF(AS$3=0,"n.b.",INDEX(SRC_ZPMW03!$A$1:$ZZ$501,$A447,AS$3)))</f>
        <v/>
      </c>
      <c r="AT447" s="124" t="str">
        <f>IF($B447="","",IF(AT$3=0,"n.b.",INDEX(SRC_ZPMW03!$A$1:$ZZ$501,$A447,AT$3)))</f>
        <v/>
      </c>
      <c r="AU447" s="124" t="str">
        <f>IF($B447="","",IF(AU$3=0,"n.b.",INDEX(SRC_ZPMW03!$A$1:$ZZ$501,$A447,AU$3)))</f>
        <v/>
      </c>
      <c r="AV447" s="124" t="str">
        <f>IF($B447="","",IF(AV$3=0,"n.b.",INDEX(SRC_ZPMW03!$A$1:$ZZ$501,$A447,AV$3)))</f>
        <v/>
      </c>
      <c r="AW447" s="124" t="str">
        <f>IF($B447="","",IF(AW$3=0,"n.b.",INDEX(SRC_ZPMW03!$A$1:$ZZ$501,$A447,AW$3)))</f>
        <v/>
      </c>
      <c r="AX447" s="124" t="str">
        <f>IF($B447="","",IF(AX$3=0,"n.b.",INDEX(SRC_ZPMW03!$A$1:$ZZ$501,$A447,AX$3)))</f>
        <v/>
      </c>
      <c r="AY447" s="124" t="str">
        <f>IF($B447="","",IF(AY$3=0,"n.b.",INDEX(SRC_ZPMW03!$A$1:$ZZ$501,$A447,AY$3)))</f>
        <v/>
      </c>
      <c r="AZ447" s="124" t="str">
        <f>IF($B447="","",IF(AZ$3=0,"n.b.",INDEX(SRC_ZPMW03!$A$1:$ZZ$501,$A447,AZ$3)))</f>
        <v/>
      </c>
      <c r="BA447" s="124" t="str">
        <f>IF($B447="","",IF(BA$3=0,"n.b.",INDEX(SRC_ZPMW03!$A$1:$ZZ$501,$A447,BA$3)))</f>
        <v/>
      </c>
      <c r="BB447" s="124" t="str">
        <f>IF($B447="","",IF(BB$3=0,"n.b.",INDEX(SRC_ZPMW03!$A$1:$ZZ$501,$A447,BB$3)))</f>
        <v/>
      </c>
      <c r="BC447" s="124" t="str">
        <f>IF($B447="","",IF(BC$3=0,"n.b.",INDEX(SRC_ZPMW03!$A$1:$ZZ$501,$A447,BC$3)))</f>
        <v/>
      </c>
      <c r="BD447" s="124" t="str">
        <f>IF($B447="","",IF(BD$3=0,"n.b.",INDEX(SRC_ZPMW03!$A$1:$ZZ$501,$A447,BD$3)))</f>
        <v/>
      </c>
      <c r="BE447" s="124" t="str">
        <f>IF($B447="","",IF(BE$3=0,"n.b.",INDEX(SRC_ZPMW03!$A$1:$ZZ$501,$A447,BE$3)))</f>
        <v/>
      </c>
      <c r="BF447" s="124" t="str">
        <f>IF($B447="","",IF(BF$3=0,"n.b.",INDEX(SRC_ZPMW03!$A$1:$ZZ$501,$A447,BF$3)))</f>
        <v/>
      </c>
      <c r="BG447" t="str">
        <f>IF($B447="","",IF(BG$3=0,"n.b.",INDEX(SRC_ZPMW03!$A$1:$ZZ$501,$A447,BG$3)))</f>
        <v/>
      </c>
      <c r="BH447" t="str">
        <f>IF($B447="","",IF(BH$3=0,"n.b.",INDEX(SRC_ZPMW03!$A$1:$ZZ$501,$A447,BH$3)))</f>
        <v/>
      </c>
      <c r="BI447" t="str">
        <f>IF($B447="","",IF(BI$3=0,"n.b.",INDEX(SRC_ZPMW03!$A$1:$ZZ$501,$A447,BI$3)))</f>
        <v/>
      </c>
      <c r="BJ447" t="str">
        <f>IF($B447="","",IF(BJ$3=0,"n.b.",INDEX(SRC_ZPMW03!$A$1:$ZZ$501,$A447,BJ$3)))</f>
        <v/>
      </c>
      <c r="BK447" s="124" t="str">
        <f>IF($B447="","",IFERROR(-O447,"n.b."))</f>
        <v/>
      </c>
      <c r="BL447" s="124" t="str">
        <f>IF($B447="","",IFERROR(-Q447,"n.b."))</f>
        <v/>
      </c>
      <c r="BM447" s="124" t="str">
        <f>IF($B447="","",IFERROR(-AB447,"n.b."))</f>
        <v/>
      </c>
      <c r="BN447" s="124" t="str">
        <f>IF($B447="","",IFERROR(-AD447,"n.b."))</f>
        <v/>
      </c>
      <c r="BO447" s="124" t="str">
        <f>IF($B447="","",IFERROR(BK447+BM447,"n.b."))</f>
        <v/>
      </c>
      <c r="BP447" s="124" t="str">
        <f>IF($B447="","",IFERROR(BL447+BN447,"n.b."))</f>
        <v/>
      </c>
      <c r="BQ447" s="124" t="str">
        <f>IF($B447="","",IFERROR(-AM447,"n.b."))</f>
        <v/>
      </c>
      <c r="BR447" s="124" t="str">
        <f>IF($B447="","",IFERROR(-AO447,"n.b."))</f>
        <v/>
      </c>
      <c r="BS447" s="124" t="str">
        <f>IF($B447="","",IFERROR(-Z447,"n.b."))</f>
        <v/>
      </c>
      <c r="BT447" s="124" t="str">
        <f>IF($B447="","",IFERROR(-AA447,"n.b."))</f>
        <v/>
      </c>
      <c r="BU447" s="124" t="str">
        <f>IF($B447="","",IFERROR(-AE447,"n.b."))</f>
        <v/>
      </c>
      <c r="BV447" s="124" t="str">
        <f>IF($B447="","",IFERROR(-AF447,"n.b."))</f>
        <v/>
      </c>
      <c r="BW447" s="124" t="str">
        <f>IF($B447="","",IFERROR(-AG447,"n.b."))</f>
        <v/>
      </c>
      <c r="BX447" s="124" t="str">
        <f>IF($B447="","",IFERROR(-AH447,"n.b."))</f>
        <v/>
      </c>
      <c r="BY447" s="124" t="str">
        <f>IF($B447="","",IFERROR(-AI447,"n.b."))</f>
        <v/>
      </c>
      <c r="BZ447" s="124" t="str">
        <f>IF($B447="","",IFERROR(-AJ447,"n.b."))</f>
        <v/>
      </c>
      <c r="CA447" s="124" t="str">
        <f>IF($B447="","",IFERROR(-AK447,"n.b."))</f>
        <v/>
      </c>
      <c r="CB447" s="124" t="str">
        <f>IF($B447="","",IFERROR(-AL447,"n.b."))</f>
        <v/>
      </c>
      <c r="CC447" s="124" t="str">
        <f>IF($B447="","",IFERROR(-AP447,"n.b."))</f>
        <v/>
      </c>
      <c r="CD447" s="124" t="str">
        <f>IF($B447="","",IFERROR(-AQ447,"n.b."))</f>
        <v/>
      </c>
      <c r="CE447" s="124" t="str">
        <f>IF($B447="","",IFERROR(-AR447,"n.b."))</f>
        <v/>
      </c>
      <c r="CF447" s="124" t="str">
        <f>IF($B447="","",IFERROR(-AS447,"n.b."))</f>
        <v/>
      </c>
      <c r="CG447" s="124" t="str">
        <f>IF($B447="","",IFERROR(-AT447,"n.b."))</f>
        <v/>
      </c>
      <c r="CH447" s="124" t="str">
        <f>IF($B447="","",IFERROR(-AU447,"n.b."))</f>
        <v/>
      </c>
      <c r="CI447" s="124" t="str">
        <f>IF($B447="","",IFERROR(-AV447,"n.b."))</f>
        <v/>
      </c>
      <c r="CJ447" s="124" t="str">
        <f>IF($B447="","",IFERROR(-AW447,"n.b."))</f>
        <v/>
      </c>
      <c r="CK447" s="124" t="str">
        <f>IF($B447="","",IFERROR(-AX447,"n.b."))</f>
        <v/>
      </c>
      <c r="CL447" s="124" t="str">
        <f>IF($B447="","",IFERROR(-AY447,"n.b."))</f>
        <v/>
      </c>
      <c r="CM447" s="124" t="str">
        <f>IF($B447="","",IFERROR(-AZ447,"n.b."))</f>
        <v/>
      </c>
      <c r="CN447" s="124" t="str">
        <f>IF($B447="","",IFERROR(-BA447,"n.b."))</f>
        <v/>
      </c>
      <c r="CO447" s="124" t="str">
        <f>IF($B447="","",IFERROR(-BB447,"n.b."))</f>
        <v/>
      </c>
      <c r="CP447" s="124" t="str">
        <f>IF($B447="","",IFERROR(-BC447,"n.b."))</f>
        <v/>
      </c>
      <c r="CQ447" s="124" t="str">
        <f>IF($B447="","",IFERROR(-BD447,"n.b."))</f>
        <v/>
      </c>
      <c r="CR447" s="124" t="str">
        <f>IF($B447="","",IFERROR(-BE447,"n.b."))</f>
        <v/>
      </c>
      <c r="CS447" s="124" t="str">
        <f>IF($B447="","",IFERROR(IF(OR(ABS(T447+V447+X447+Z447-AB447)&gt;P_Tol,ABS(U447+W447+Y447+AA447-AD447)&gt;P_Tol,ABS(AE447+AG447+AI447+AK447-AM447)&gt;P_Tol,ABS(AF447+AH447+AJ447+AL447-AO447)&gt;P_Tol),1,0),1))</f>
        <v/>
      </c>
      <c r="CT447" s="124" t="str">
        <f>IF($B447="","",IFERROR(IF(OR(ABS(AB447+AC447-AD447)&gt;P_Tol,ABS(AM447+AN447-AO447)&gt;P_Tol,ABS(O447+P447-Q447)&gt;P_Tol),1,0),1))</f>
        <v/>
      </c>
      <c r="CU447" s="124" t="str">
        <f>IF($B447="","",IFERROR(IF(ABS(R447-(AB447+AM447+AP447+AR447+AT447+AV447+AX447+AZ447+BB447+BD447))&gt;P_Tol,1,0),1))</f>
        <v/>
      </c>
      <c r="CV447" s="124" t="str">
        <f>IF($B447="","",IFERROR(IF(ABS(M447-(N447+O447+R447))&gt;P_Tol,1,0),1))</f>
        <v/>
      </c>
      <c r="CW447" s="124" t="str">
        <f>IF($B447="","",IF(COUNTIF(Mapping!$A$5:$A$104,B447)&gt;0,1,0))</f>
        <v/>
      </c>
      <c r="CX447" s="124" t="str">
        <f>IF($B447="","",COUNTIF($B$6:$B$505,B447))</f>
        <v/>
      </c>
      <c r="CY447" s="124" t="str">
        <f>IF($B447="","",COUNTIF(STG_Woningetalage!$B$6:$B$505,B447))</f>
        <v/>
      </c>
      <c r="CZ447" s="124" t="str">
        <f>IF($B447="","",IF(CW447=0,COUNTIF($CW$6:CW447,0),""))</f>
        <v/>
      </c>
    </row>
    <row r="448">
      <c r="A448" s="15" t="n">
        <v>444</v>
      </c>
      <c r="B448" t="str">
        <f>IF(B$3=0,"",IF(INDEX(SRC_ZPMW03!$A$1:$ZZ$501,$A448,B$3)&amp;""="","",INDEX(SRC_ZPMW03!$A$1:$ZZ$501,$A448,B$3)&amp;""))</f>
        <v/>
      </c>
      <c r="C448" t="str">
        <f>IF($B448="","",IF(C$3=0,"n.b.",INDEX(SRC_ZPMW03!$A$1:$ZZ$501,$A448,C$3)))</f>
        <v/>
      </c>
      <c r="D448" t="str">
        <f>IF($B448="","",IF(D$3=0,"n.b.",INDEX(SRC_ZPMW03!$A$1:$ZZ$501,$A448,D$3)))</f>
        <v/>
      </c>
      <c r="E448" t="str">
        <f>IF($B448="","",IF(E$3=0,"n.b.",INDEX(SRC_ZPMW03!$A$1:$ZZ$501,$A448,E$3)))</f>
        <v/>
      </c>
      <c r="F448" t="str">
        <f>IF($B448="","",IF(F$3=0,"n.b.",INDEX(SRC_ZPMW03!$A$1:$ZZ$501,$A448,F$3)))</f>
        <v/>
      </c>
      <c r="G448" t="str">
        <f>IF($B448="","",IF(G$3=0,"n.b.",INDEX(SRC_ZPMW03!$A$1:$ZZ$501,$A448,G$3)))</f>
        <v/>
      </c>
      <c r="H448" t="str">
        <f>IF($B448="","",IF(H$3=0,"n.b.",INDEX(SRC_ZPMW03!$A$1:$ZZ$501,$A448,H$3)))</f>
        <v/>
      </c>
      <c r="I448" t="str">
        <f>IF($B448="","",IF(I$3=0,"n.b.",INDEX(SRC_ZPMW03!$A$1:$ZZ$501,$A448,I$3)))</f>
        <v/>
      </c>
      <c r="J448" t="str">
        <f>IF($B448="","",IF(J$3=0,"n.b.",INDEX(SRC_ZPMW03!$A$1:$ZZ$501,$A448,J$3)))</f>
        <v/>
      </c>
      <c r="K448" t="str">
        <f>IF($B448="","",IF(K$3=0,"n.b.",INDEX(SRC_ZPMW03!$A$1:$ZZ$501,$A448,K$3)))</f>
        <v/>
      </c>
      <c r="L448" s="124" t="str">
        <f>IF($B448="","",IF(L$3=0,"n.b.",INDEX(SRC_ZPMW03!$A$1:$ZZ$501,$A448,L$3)))</f>
        <v/>
      </c>
      <c r="M448" s="124" t="str">
        <f>IF($B448="","",IF(M$3=0,"n.b.",INDEX(SRC_ZPMW03!$A$1:$ZZ$501,$A448,M$3)))</f>
        <v/>
      </c>
      <c r="N448" s="124" t="str">
        <f>IF($B448="","",IF(N$3=0,"n.b.",INDEX(SRC_ZPMW03!$A$1:$ZZ$501,$A448,N$3)))</f>
        <v/>
      </c>
      <c r="O448" s="124" t="str">
        <f>IF($B448="","",IF(O$3=0,"n.b.",INDEX(SRC_ZPMW03!$A$1:$ZZ$501,$A448,O$3)))</f>
        <v/>
      </c>
      <c r="P448" s="124" t="str">
        <f>IF($B448="","",IF(P$3=0,"n.b.",INDEX(SRC_ZPMW03!$A$1:$ZZ$501,$A448,P$3)))</f>
        <v/>
      </c>
      <c r="Q448" s="124" t="str">
        <f>IF($B448="","",IF(Q$3=0,"n.b.",INDEX(SRC_ZPMW03!$A$1:$ZZ$501,$A448,Q$3)))</f>
        <v/>
      </c>
      <c r="R448" s="124" t="str">
        <f>IF($B448="","",IF(R$3=0,"n.b.",INDEX(SRC_ZPMW03!$A$1:$ZZ$501,$A448,R$3)))</f>
        <v/>
      </c>
      <c r="S448" s="124" t="str">
        <f>IF($B448="","",IF(S$3=0,"n.b.",INDEX(SRC_ZPMW03!$A$1:$ZZ$501,$A448,S$3)))</f>
        <v/>
      </c>
      <c r="T448" s="124" t="str">
        <f>IF($B448="","",IF(T$3=0,"n.b.",INDEX(SRC_ZPMW03!$A$1:$ZZ$501,$A448,T$3)))</f>
        <v/>
      </c>
      <c r="U448" s="124" t="str">
        <f>IF($B448="","",IF(U$3=0,"n.b.",INDEX(SRC_ZPMW03!$A$1:$ZZ$501,$A448,U$3)))</f>
        <v/>
      </c>
      <c r="V448" s="124" t="str">
        <f>IF($B448="","",IF(V$3=0,"n.b.",INDEX(SRC_ZPMW03!$A$1:$ZZ$501,$A448,V$3)))</f>
        <v/>
      </c>
      <c r="W448" s="124" t="str">
        <f>IF($B448="","",IF(W$3=0,"n.b.",INDEX(SRC_ZPMW03!$A$1:$ZZ$501,$A448,W$3)))</f>
        <v/>
      </c>
      <c r="X448" s="124" t="str">
        <f>IF($B448="","",IF(X$3=0,"n.b.",INDEX(SRC_ZPMW03!$A$1:$ZZ$501,$A448,X$3)))</f>
        <v/>
      </c>
      <c r="Y448" s="124" t="str">
        <f>IF($B448="","",IF(Y$3=0,"n.b.",INDEX(SRC_ZPMW03!$A$1:$ZZ$501,$A448,Y$3)))</f>
        <v/>
      </c>
      <c r="Z448" s="124" t="str">
        <f>IF($B448="","",IF(Z$3=0,"n.b.",INDEX(SRC_ZPMW03!$A$1:$ZZ$501,$A448,Z$3)))</f>
        <v/>
      </c>
      <c r="AA448" s="124" t="str">
        <f>IF($B448="","",IF(AA$3=0,"n.b.",INDEX(SRC_ZPMW03!$A$1:$ZZ$501,$A448,AA$3)))</f>
        <v/>
      </c>
      <c r="AB448" s="124" t="str">
        <f>IF($B448="","",IF(AB$3=0,"n.b.",INDEX(SRC_ZPMW03!$A$1:$ZZ$501,$A448,AB$3)))</f>
        <v/>
      </c>
      <c r="AC448" s="124" t="str">
        <f>IF($B448="","",IF(AC$3=0,"n.b.",INDEX(SRC_ZPMW03!$A$1:$ZZ$501,$A448,AC$3)))</f>
        <v/>
      </c>
      <c r="AD448" s="124" t="str">
        <f>IF($B448="","",IF(AD$3=0,"n.b.",INDEX(SRC_ZPMW03!$A$1:$ZZ$501,$A448,AD$3)))</f>
        <v/>
      </c>
      <c r="AE448" s="124" t="str">
        <f>IF($B448="","",IF(AE$3=0,"n.b.",INDEX(SRC_ZPMW03!$A$1:$ZZ$501,$A448,AE$3)))</f>
        <v/>
      </c>
      <c r="AF448" s="124" t="str">
        <f>IF($B448="","",IF(AF$3=0,"n.b.",INDEX(SRC_ZPMW03!$A$1:$ZZ$501,$A448,AF$3)))</f>
        <v/>
      </c>
      <c r="AG448" s="124" t="str">
        <f>IF($B448="","",IF(AG$3=0,"n.b.",INDEX(SRC_ZPMW03!$A$1:$ZZ$501,$A448,AG$3)))</f>
        <v/>
      </c>
      <c r="AH448" s="124" t="str">
        <f>IF($B448="","",IF(AH$3=0,"n.b.",INDEX(SRC_ZPMW03!$A$1:$ZZ$501,$A448,AH$3)))</f>
        <v/>
      </c>
      <c r="AI448" s="124" t="str">
        <f>IF($B448="","",IF(AI$3=0,"n.b.",INDEX(SRC_ZPMW03!$A$1:$ZZ$501,$A448,AI$3)))</f>
        <v/>
      </c>
      <c r="AJ448" s="124" t="str">
        <f>IF($B448="","",IF(AJ$3=0,"n.b.",INDEX(SRC_ZPMW03!$A$1:$ZZ$501,$A448,AJ$3)))</f>
        <v/>
      </c>
      <c r="AK448" s="124" t="str">
        <f>IF($B448="","",IF(AK$3=0,"n.b.",INDEX(SRC_ZPMW03!$A$1:$ZZ$501,$A448,AK$3)))</f>
        <v/>
      </c>
      <c r="AL448" s="124" t="str">
        <f>IF($B448="","",IF(AL$3=0,"n.b.",INDEX(SRC_ZPMW03!$A$1:$ZZ$501,$A448,AL$3)))</f>
        <v/>
      </c>
      <c r="AM448" s="124" t="str">
        <f>IF($B448="","",IF(AM$3=0,"n.b.",INDEX(SRC_ZPMW03!$A$1:$ZZ$501,$A448,AM$3)))</f>
        <v/>
      </c>
      <c r="AN448" s="124" t="str">
        <f>IF($B448="","",IF(AN$3=0,"n.b.",INDEX(SRC_ZPMW03!$A$1:$ZZ$501,$A448,AN$3)))</f>
        <v/>
      </c>
      <c r="AO448" s="124" t="str">
        <f>IF($B448="","",IF(AO$3=0,"n.b.",INDEX(SRC_ZPMW03!$A$1:$ZZ$501,$A448,AO$3)))</f>
        <v/>
      </c>
      <c r="AP448" s="124" t="str">
        <f>IF($B448="","",IF(AP$3=0,"n.b.",INDEX(SRC_ZPMW03!$A$1:$ZZ$501,$A448,AP$3)))</f>
        <v/>
      </c>
      <c r="AQ448" s="124" t="str">
        <f>IF($B448="","",IF(AQ$3=0,"n.b.",INDEX(SRC_ZPMW03!$A$1:$ZZ$501,$A448,AQ$3)))</f>
        <v/>
      </c>
      <c r="AR448" s="124" t="str">
        <f>IF($B448="","",IF(AR$3=0,"n.b.",INDEX(SRC_ZPMW03!$A$1:$ZZ$501,$A448,AR$3)))</f>
        <v/>
      </c>
      <c r="AS448" s="124" t="str">
        <f>IF($B448="","",IF(AS$3=0,"n.b.",INDEX(SRC_ZPMW03!$A$1:$ZZ$501,$A448,AS$3)))</f>
        <v/>
      </c>
      <c r="AT448" s="124" t="str">
        <f>IF($B448="","",IF(AT$3=0,"n.b.",INDEX(SRC_ZPMW03!$A$1:$ZZ$501,$A448,AT$3)))</f>
        <v/>
      </c>
      <c r="AU448" s="124" t="str">
        <f>IF($B448="","",IF(AU$3=0,"n.b.",INDEX(SRC_ZPMW03!$A$1:$ZZ$501,$A448,AU$3)))</f>
        <v/>
      </c>
      <c r="AV448" s="124" t="str">
        <f>IF($B448="","",IF(AV$3=0,"n.b.",INDEX(SRC_ZPMW03!$A$1:$ZZ$501,$A448,AV$3)))</f>
        <v/>
      </c>
      <c r="AW448" s="124" t="str">
        <f>IF($B448="","",IF(AW$3=0,"n.b.",INDEX(SRC_ZPMW03!$A$1:$ZZ$501,$A448,AW$3)))</f>
        <v/>
      </c>
      <c r="AX448" s="124" t="str">
        <f>IF($B448="","",IF(AX$3=0,"n.b.",INDEX(SRC_ZPMW03!$A$1:$ZZ$501,$A448,AX$3)))</f>
        <v/>
      </c>
      <c r="AY448" s="124" t="str">
        <f>IF($B448="","",IF(AY$3=0,"n.b.",INDEX(SRC_ZPMW03!$A$1:$ZZ$501,$A448,AY$3)))</f>
        <v/>
      </c>
      <c r="AZ448" s="124" t="str">
        <f>IF($B448="","",IF(AZ$3=0,"n.b.",INDEX(SRC_ZPMW03!$A$1:$ZZ$501,$A448,AZ$3)))</f>
        <v/>
      </c>
      <c r="BA448" s="124" t="str">
        <f>IF($B448="","",IF(BA$3=0,"n.b.",INDEX(SRC_ZPMW03!$A$1:$ZZ$501,$A448,BA$3)))</f>
        <v/>
      </c>
      <c r="BB448" s="124" t="str">
        <f>IF($B448="","",IF(BB$3=0,"n.b.",INDEX(SRC_ZPMW03!$A$1:$ZZ$501,$A448,BB$3)))</f>
        <v/>
      </c>
      <c r="BC448" s="124" t="str">
        <f>IF($B448="","",IF(BC$3=0,"n.b.",INDEX(SRC_ZPMW03!$A$1:$ZZ$501,$A448,BC$3)))</f>
        <v/>
      </c>
      <c r="BD448" s="124" t="str">
        <f>IF($B448="","",IF(BD$3=0,"n.b.",INDEX(SRC_ZPMW03!$A$1:$ZZ$501,$A448,BD$3)))</f>
        <v/>
      </c>
      <c r="BE448" s="124" t="str">
        <f>IF($B448="","",IF(BE$3=0,"n.b.",INDEX(SRC_ZPMW03!$A$1:$ZZ$501,$A448,BE$3)))</f>
        <v/>
      </c>
      <c r="BF448" s="124" t="str">
        <f>IF($B448="","",IF(BF$3=0,"n.b.",INDEX(SRC_ZPMW03!$A$1:$ZZ$501,$A448,BF$3)))</f>
        <v/>
      </c>
      <c r="BG448" t="str">
        <f>IF($B448="","",IF(BG$3=0,"n.b.",INDEX(SRC_ZPMW03!$A$1:$ZZ$501,$A448,BG$3)))</f>
        <v/>
      </c>
      <c r="BH448" t="str">
        <f>IF($B448="","",IF(BH$3=0,"n.b.",INDEX(SRC_ZPMW03!$A$1:$ZZ$501,$A448,BH$3)))</f>
        <v/>
      </c>
      <c r="BI448" t="str">
        <f>IF($B448="","",IF(BI$3=0,"n.b.",INDEX(SRC_ZPMW03!$A$1:$ZZ$501,$A448,BI$3)))</f>
        <v/>
      </c>
      <c r="BJ448" t="str">
        <f>IF($B448="","",IF(BJ$3=0,"n.b.",INDEX(SRC_ZPMW03!$A$1:$ZZ$501,$A448,BJ$3)))</f>
        <v/>
      </c>
      <c r="BK448" s="124" t="str">
        <f>IF($B448="","",IFERROR(-O448,"n.b."))</f>
        <v/>
      </c>
      <c r="BL448" s="124" t="str">
        <f>IF($B448="","",IFERROR(-Q448,"n.b."))</f>
        <v/>
      </c>
      <c r="BM448" s="124" t="str">
        <f>IF($B448="","",IFERROR(-AB448,"n.b."))</f>
        <v/>
      </c>
      <c r="BN448" s="124" t="str">
        <f>IF($B448="","",IFERROR(-AD448,"n.b."))</f>
        <v/>
      </c>
      <c r="BO448" s="124" t="str">
        <f>IF($B448="","",IFERROR(BK448+BM448,"n.b."))</f>
        <v/>
      </c>
      <c r="BP448" s="124" t="str">
        <f>IF($B448="","",IFERROR(BL448+BN448,"n.b."))</f>
        <v/>
      </c>
      <c r="BQ448" s="124" t="str">
        <f>IF($B448="","",IFERROR(-AM448,"n.b."))</f>
        <v/>
      </c>
      <c r="BR448" s="124" t="str">
        <f>IF($B448="","",IFERROR(-AO448,"n.b."))</f>
        <v/>
      </c>
      <c r="BS448" s="124" t="str">
        <f>IF($B448="","",IFERROR(-Z448,"n.b."))</f>
        <v/>
      </c>
      <c r="BT448" s="124" t="str">
        <f>IF($B448="","",IFERROR(-AA448,"n.b."))</f>
        <v/>
      </c>
      <c r="BU448" s="124" t="str">
        <f>IF($B448="","",IFERROR(-AE448,"n.b."))</f>
        <v/>
      </c>
      <c r="BV448" s="124" t="str">
        <f>IF($B448="","",IFERROR(-AF448,"n.b."))</f>
        <v/>
      </c>
      <c r="BW448" s="124" t="str">
        <f>IF($B448="","",IFERROR(-AG448,"n.b."))</f>
        <v/>
      </c>
      <c r="BX448" s="124" t="str">
        <f>IF($B448="","",IFERROR(-AH448,"n.b."))</f>
        <v/>
      </c>
      <c r="BY448" s="124" t="str">
        <f>IF($B448="","",IFERROR(-AI448,"n.b."))</f>
        <v/>
      </c>
      <c r="BZ448" s="124" t="str">
        <f>IF($B448="","",IFERROR(-AJ448,"n.b."))</f>
        <v/>
      </c>
      <c r="CA448" s="124" t="str">
        <f>IF($B448="","",IFERROR(-AK448,"n.b."))</f>
        <v/>
      </c>
      <c r="CB448" s="124" t="str">
        <f>IF($B448="","",IFERROR(-AL448,"n.b."))</f>
        <v/>
      </c>
      <c r="CC448" s="124" t="str">
        <f>IF($B448="","",IFERROR(-AP448,"n.b."))</f>
        <v/>
      </c>
      <c r="CD448" s="124" t="str">
        <f>IF($B448="","",IFERROR(-AQ448,"n.b."))</f>
        <v/>
      </c>
      <c r="CE448" s="124" t="str">
        <f>IF($B448="","",IFERROR(-AR448,"n.b."))</f>
        <v/>
      </c>
      <c r="CF448" s="124" t="str">
        <f>IF($B448="","",IFERROR(-AS448,"n.b."))</f>
        <v/>
      </c>
      <c r="CG448" s="124" t="str">
        <f>IF($B448="","",IFERROR(-AT448,"n.b."))</f>
        <v/>
      </c>
      <c r="CH448" s="124" t="str">
        <f>IF($B448="","",IFERROR(-AU448,"n.b."))</f>
        <v/>
      </c>
      <c r="CI448" s="124" t="str">
        <f>IF($B448="","",IFERROR(-AV448,"n.b."))</f>
        <v/>
      </c>
      <c r="CJ448" s="124" t="str">
        <f>IF($B448="","",IFERROR(-AW448,"n.b."))</f>
        <v/>
      </c>
      <c r="CK448" s="124" t="str">
        <f>IF($B448="","",IFERROR(-AX448,"n.b."))</f>
        <v/>
      </c>
      <c r="CL448" s="124" t="str">
        <f>IF($B448="","",IFERROR(-AY448,"n.b."))</f>
        <v/>
      </c>
      <c r="CM448" s="124" t="str">
        <f>IF($B448="","",IFERROR(-AZ448,"n.b."))</f>
        <v/>
      </c>
      <c r="CN448" s="124" t="str">
        <f>IF($B448="","",IFERROR(-BA448,"n.b."))</f>
        <v/>
      </c>
      <c r="CO448" s="124" t="str">
        <f>IF($B448="","",IFERROR(-BB448,"n.b."))</f>
        <v/>
      </c>
      <c r="CP448" s="124" t="str">
        <f>IF($B448="","",IFERROR(-BC448,"n.b."))</f>
        <v/>
      </c>
      <c r="CQ448" s="124" t="str">
        <f>IF($B448="","",IFERROR(-BD448,"n.b."))</f>
        <v/>
      </c>
      <c r="CR448" s="124" t="str">
        <f>IF($B448="","",IFERROR(-BE448,"n.b."))</f>
        <v/>
      </c>
      <c r="CS448" s="124" t="str">
        <f>IF($B448="","",IFERROR(IF(OR(ABS(T448+V448+X448+Z448-AB448)&gt;P_Tol,ABS(U448+W448+Y448+AA448-AD448)&gt;P_Tol,ABS(AE448+AG448+AI448+AK448-AM448)&gt;P_Tol,ABS(AF448+AH448+AJ448+AL448-AO448)&gt;P_Tol),1,0),1))</f>
        <v/>
      </c>
      <c r="CT448" s="124" t="str">
        <f>IF($B448="","",IFERROR(IF(OR(ABS(AB448+AC448-AD448)&gt;P_Tol,ABS(AM448+AN448-AO448)&gt;P_Tol,ABS(O448+P448-Q448)&gt;P_Tol),1,0),1))</f>
        <v/>
      </c>
      <c r="CU448" s="124" t="str">
        <f>IF($B448="","",IFERROR(IF(ABS(R448-(AB448+AM448+AP448+AR448+AT448+AV448+AX448+AZ448+BB448+BD448))&gt;P_Tol,1,0),1))</f>
        <v/>
      </c>
      <c r="CV448" s="124" t="str">
        <f>IF($B448="","",IFERROR(IF(ABS(M448-(N448+O448+R448))&gt;P_Tol,1,0),1))</f>
        <v/>
      </c>
      <c r="CW448" s="124" t="str">
        <f>IF($B448="","",IF(COUNTIF(Mapping!$A$5:$A$104,B448)&gt;0,1,0))</f>
        <v/>
      </c>
      <c r="CX448" s="124" t="str">
        <f>IF($B448="","",COUNTIF($B$6:$B$505,B448))</f>
        <v/>
      </c>
      <c r="CY448" s="124" t="str">
        <f>IF($B448="","",COUNTIF(STG_Woningetalage!$B$6:$B$505,B448))</f>
        <v/>
      </c>
      <c r="CZ448" s="124" t="str">
        <f>IF($B448="","",IF(CW448=0,COUNTIF($CW$6:CW448,0),""))</f>
        <v/>
      </c>
    </row>
    <row r="449">
      <c r="A449" s="15" t="n">
        <v>445</v>
      </c>
      <c r="B449" t="str">
        <f>IF(B$3=0,"",IF(INDEX(SRC_ZPMW03!$A$1:$ZZ$501,$A449,B$3)&amp;""="","",INDEX(SRC_ZPMW03!$A$1:$ZZ$501,$A449,B$3)&amp;""))</f>
        <v/>
      </c>
      <c r="C449" t="str">
        <f>IF($B449="","",IF(C$3=0,"n.b.",INDEX(SRC_ZPMW03!$A$1:$ZZ$501,$A449,C$3)))</f>
        <v/>
      </c>
      <c r="D449" t="str">
        <f>IF($B449="","",IF(D$3=0,"n.b.",INDEX(SRC_ZPMW03!$A$1:$ZZ$501,$A449,D$3)))</f>
        <v/>
      </c>
      <c r="E449" t="str">
        <f>IF($B449="","",IF(E$3=0,"n.b.",INDEX(SRC_ZPMW03!$A$1:$ZZ$501,$A449,E$3)))</f>
        <v/>
      </c>
      <c r="F449" t="str">
        <f>IF($B449="","",IF(F$3=0,"n.b.",INDEX(SRC_ZPMW03!$A$1:$ZZ$501,$A449,F$3)))</f>
        <v/>
      </c>
      <c r="G449" t="str">
        <f>IF($B449="","",IF(G$3=0,"n.b.",INDEX(SRC_ZPMW03!$A$1:$ZZ$501,$A449,G$3)))</f>
        <v/>
      </c>
      <c r="H449" t="str">
        <f>IF($B449="","",IF(H$3=0,"n.b.",INDEX(SRC_ZPMW03!$A$1:$ZZ$501,$A449,H$3)))</f>
        <v/>
      </c>
      <c r="I449" t="str">
        <f>IF($B449="","",IF(I$3=0,"n.b.",INDEX(SRC_ZPMW03!$A$1:$ZZ$501,$A449,I$3)))</f>
        <v/>
      </c>
      <c r="J449" t="str">
        <f>IF($B449="","",IF(J$3=0,"n.b.",INDEX(SRC_ZPMW03!$A$1:$ZZ$501,$A449,J$3)))</f>
        <v/>
      </c>
      <c r="K449" t="str">
        <f>IF($B449="","",IF(K$3=0,"n.b.",INDEX(SRC_ZPMW03!$A$1:$ZZ$501,$A449,K$3)))</f>
        <v/>
      </c>
      <c r="L449" s="124" t="str">
        <f>IF($B449="","",IF(L$3=0,"n.b.",INDEX(SRC_ZPMW03!$A$1:$ZZ$501,$A449,L$3)))</f>
        <v/>
      </c>
      <c r="M449" s="124" t="str">
        <f>IF($B449="","",IF(M$3=0,"n.b.",INDEX(SRC_ZPMW03!$A$1:$ZZ$501,$A449,M$3)))</f>
        <v/>
      </c>
      <c r="N449" s="124" t="str">
        <f>IF($B449="","",IF(N$3=0,"n.b.",INDEX(SRC_ZPMW03!$A$1:$ZZ$501,$A449,N$3)))</f>
        <v/>
      </c>
      <c r="O449" s="124" t="str">
        <f>IF($B449="","",IF(O$3=0,"n.b.",INDEX(SRC_ZPMW03!$A$1:$ZZ$501,$A449,O$3)))</f>
        <v/>
      </c>
      <c r="P449" s="124" t="str">
        <f>IF($B449="","",IF(P$3=0,"n.b.",INDEX(SRC_ZPMW03!$A$1:$ZZ$501,$A449,P$3)))</f>
        <v/>
      </c>
      <c r="Q449" s="124" t="str">
        <f>IF($B449="","",IF(Q$3=0,"n.b.",INDEX(SRC_ZPMW03!$A$1:$ZZ$501,$A449,Q$3)))</f>
        <v/>
      </c>
      <c r="R449" s="124" t="str">
        <f>IF($B449="","",IF(R$3=0,"n.b.",INDEX(SRC_ZPMW03!$A$1:$ZZ$501,$A449,R$3)))</f>
        <v/>
      </c>
      <c r="S449" s="124" t="str">
        <f>IF($B449="","",IF(S$3=0,"n.b.",INDEX(SRC_ZPMW03!$A$1:$ZZ$501,$A449,S$3)))</f>
        <v/>
      </c>
      <c r="T449" s="124" t="str">
        <f>IF($B449="","",IF(T$3=0,"n.b.",INDEX(SRC_ZPMW03!$A$1:$ZZ$501,$A449,T$3)))</f>
        <v/>
      </c>
      <c r="U449" s="124" t="str">
        <f>IF($B449="","",IF(U$3=0,"n.b.",INDEX(SRC_ZPMW03!$A$1:$ZZ$501,$A449,U$3)))</f>
        <v/>
      </c>
      <c r="V449" s="124" t="str">
        <f>IF($B449="","",IF(V$3=0,"n.b.",INDEX(SRC_ZPMW03!$A$1:$ZZ$501,$A449,V$3)))</f>
        <v/>
      </c>
      <c r="W449" s="124" t="str">
        <f>IF($B449="","",IF(W$3=0,"n.b.",INDEX(SRC_ZPMW03!$A$1:$ZZ$501,$A449,W$3)))</f>
        <v/>
      </c>
      <c r="X449" s="124" t="str">
        <f>IF($B449="","",IF(X$3=0,"n.b.",INDEX(SRC_ZPMW03!$A$1:$ZZ$501,$A449,X$3)))</f>
        <v/>
      </c>
      <c r="Y449" s="124" t="str">
        <f>IF($B449="","",IF(Y$3=0,"n.b.",INDEX(SRC_ZPMW03!$A$1:$ZZ$501,$A449,Y$3)))</f>
        <v/>
      </c>
      <c r="Z449" s="124" t="str">
        <f>IF($B449="","",IF(Z$3=0,"n.b.",INDEX(SRC_ZPMW03!$A$1:$ZZ$501,$A449,Z$3)))</f>
        <v/>
      </c>
      <c r="AA449" s="124" t="str">
        <f>IF($B449="","",IF(AA$3=0,"n.b.",INDEX(SRC_ZPMW03!$A$1:$ZZ$501,$A449,AA$3)))</f>
        <v/>
      </c>
      <c r="AB449" s="124" t="str">
        <f>IF($B449="","",IF(AB$3=0,"n.b.",INDEX(SRC_ZPMW03!$A$1:$ZZ$501,$A449,AB$3)))</f>
        <v/>
      </c>
      <c r="AC449" s="124" t="str">
        <f>IF($B449="","",IF(AC$3=0,"n.b.",INDEX(SRC_ZPMW03!$A$1:$ZZ$501,$A449,AC$3)))</f>
        <v/>
      </c>
      <c r="AD449" s="124" t="str">
        <f>IF($B449="","",IF(AD$3=0,"n.b.",INDEX(SRC_ZPMW03!$A$1:$ZZ$501,$A449,AD$3)))</f>
        <v/>
      </c>
      <c r="AE449" s="124" t="str">
        <f>IF($B449="","",IF(AE$3=0,"n.b.",INDEX(SRC_ZPMW03!$A$1:$ZZ$501,$A449,AE$3)))</f>
        <v/>
      </c>
      <c r="AF449" s="124" t="str">
        <f>IF($B449="","",IF(AF$3=0,"n.b.",INDEX(SRC_ZPMW03!$A$1:$ZZ$501,$A449,AF$3)))</f>
        <v/>
      </c>
      <c r="AG449" s="124" t="str">
        <f>IF($B449="","",IF(AG$3=0,"n.b.",INDEX(SRC_ZPMW03!$A$1:$ZZ$501,$A449,AG$3)))</f>
        <v/>
      </c>
      <c r="AH449" s="124" t="str">
        <f>IF($B449="","",IF(AH$3=0,"n.b.",INDEX(SRC_ZPMW03!$A$1:$ZZ$501,$A449,AH$3)))</f>
        <v/>
      </c>
      <c r="AI449" s="124" t="str">
        <f>IF($B449="","",IF(AI$3=0,"n.b.",INDEX(SRC_ZPMW03!$A$1:$ZZ$501,$A449,AI$3)))</f>
        <v/>
      </c>
      <c r="AJ449" s="124" t="str">
        <f>IF($B449="","",IF(AJ$3=0,"n.b.",INDEX(SRC_ZPMW03!$A$1:$ZZ$501,$A449,AJ$3)))</f>
        <v/>
      </c>
      <c r="AK449" s="124" t="str">
        <f>IF($B449="","",IF(AK$3=0,"n.b.",INDEX(SRC_ZPMW03!$A$1:$ZZ$501,$A449,AK$3)))</f>
        <v/>
      </c>
      <c r="AL449" s="124" t="str">
        <f>IF($B449="","",IF(AL$3=0,"n.b.",INDEX(SRC_ZPMW03!$A$1:$ZZ$501,$A449,AL$3)))</f>
        <v/>
      </c>
      <c r="AM449" s="124" t="str">
        <f>IF($B449="","",IF(AM$3=0,"n.b.",INDEX(SRC_ZPMW03!$A$1:$ZZ$501,$A449,AM$3)))</f>
        <v/>
      </c>
      <c r="AN449" s="124" t="str">
        <f>IF($B449="","",IF(AN$3=0,"n.b.",INDEX(SRC_ZPMW03!$A$1:$ZZ$501,$A449,AN$3)))</f>
        <v/>
      </c>
      <c r="AO449" s="124" t="str">
        <f>IF($B449="","",IF(AO$3=0,"n.b.",INDEX(SRC_ZPMW03!$A$1:$ZZ$501,$A449,AO$3)))</f>
        <v/>
      </c>
      <c r="AP449" s="124" t="str">
        <f>IF($B449="","",IF(AP$3=0,"n.b.",INDEX(SRC_ZPMW03!$A$1:$ZZ$501,$A449,AP$3)))</f>
        <v/>
      </c>
      <c r="AQ449" s="124" t="str">
        <f>IF($B449="","",IF(AQ$3=0,"n.b.",INDEX(SRC_ZPMW03!$A$1:$ZZ$501,$A449,AQ$3)))</f>
        <v/>
      </c>
      <c r="AR449" s="124" t="str">
        <f>IF($B449="","",IF(AR$3=0,"n.b.",INDEX(SRC_ZPMW03!$A$1:$ZZ$501,$A449,AR$3)))</f>
        <v/>
      </c>
      <c r="AS449" s="124" t="str">
        <f>IF($B449="","",IF(AS$3=0,"n.b.",INDEX(SRC_ZPMW03!$A$1:$ZZ$501,$A449,AS$3)))</f>
        <v/>
      </c>
      <c r="AT449" s="124" t="str">
        <f>IF($B449="","",IF(AT$3=0,"n.b.",INDEX(SRC_ZPMW03!$A$1:$ZZ$501,$A449,AT$3)))</f>
        <v/>
      </c>
      <c r="AU449" s="124" t="str">
        <f>IF($B449="","",IF(AU$3=0,"n.b.",INDEX(SRC_ZPMW03!$A$1:$ZZ$501,$A449,AU$3)))</f>
        <v/>
      </c>
      <c r="AV449" s="124" t="str">
        <f>IF($B449="","",IF(AV$3=0,"n.b.",INDEX(SRC_ZPMW03!$A$1:$ZZ$501,$A449,AV$3)))</f>
        <v/>
      </c>
      <c r="AW449" s="124" t="str">
        <f>IF($B449="","",IF(AW$3=0,"n.b.",INDEX(SRC_ZPMW03!$A$1:$ZZ$501,$A449,AW$3)))</f>
        <v/>
      </c>
      <c r="AX449" s="124" t="str">
        <f>IF($B449="","",IF(AX$3=0,"n.b.",INDEX(SRC_ZPMW03!$A$1:$ZZ$501,$A449,AX$3)))</f>
        <v/>
      </c>
      <c r="AY449" s="124" t="str">
        <f>IF($B449="","",IF(AY$3=0,"n.b.",INDEX(SRC_ZPMW03!$A$1:$ZZ$501,$A449,AY$3)))</f>
        <v/>
      </c>
      <c r="AZ449" s="124" t="str">
        <f>IF($B449="","",IF(AZ$3=0,"n.b.",INDEX(SRC_ZPMW03!$A$1:$ZZ$501,$A449,AZ$3)))</f>
        <v/>
      </c>
      <c r="BA449" s="124" t="str">
        <f>IF($B449="","",IF(BA$3=0,"n.b.",INDEX(SRC_ZPMW03!$A$1:$ZZ$501,$A449,BA$3)))</f>
        <v/>
      </c>
      <c r="BB449" s="124" t="str">
        <f>IF($B449="","",IF(BB$3=0,"n.b.",INDEX(SRC_ZPMW03!$A$1:$ZZ$501,$A449,BB$3)))</f>
        <v/>
      </c>
      <c r="BC449" s="124" t="str">
        <f>IF($B449="","",IF(BC$3=0,"n.b.",INDEX(SRC_ZPMW03!$A$1:$ZZ$501,$A449,BC$3)))</f>
        <v/>
      </c>
      <c r="BD449" s="124" t="str">
        <f>IF($B449="","",IF(BD$3=0,"n.b.",INDEX(SRC_ZPMW03!$A$1:$ZZ$501,$A449,BD$3)))</f>
        <v/>
      </c>
      <c r="BE449" s="124" t="str">
        <f>IF($B449="","",IF(BE$3=0,"n.b.",INDEX(SRC_ZPMW03!$A$1:$ZZ$501,$A449,BE$3)))</f>
        <v/>
      </c>
      <c r="BF449" s="124" t="str">
        <f>IF($B449="","",IF(BF$3=0,"n.b.",INDEX(SRC_ZPMW03!$A$1:$ZZ$501,$A449,BF$3)))</f>
        <v/>
      </c>
      <c r="BG449" t="str">
        <f>IF($B449="","",IF(BG$3=0,"n.b.",INDEX(SRC_ZPMW03!$A$1:$ZZ$501,$A449,BG$3)))</f>
        <v/>
      </c>
      <c r="BH449" t="str">
        <f>IF($B449="","",IF(BH$3=0,"n.b.",INDEX(SRC_ZPMW03!$A$1:$ZZ$501,$A449,BH$3)))</f>
        <v/>
      </c>
      <c r="BI449" t="str">
        <f>IF($B449="","",IF(BI$3=0,"n.b.",INDEX(SRC_ZPMW03!$A$1:$ZZ$501,$A449,BI$3)))</f>
        <v/>
      </c>
      <c r="BJ449" t="str">
        <f>IF($B449="","",IF(BJ$3=0,"n.b.",INDEX(SRC_ZPMW03!$A$1:$ZZ$501,$A449,BJ$3)))</f>
        <v/>
      </c>
      <c r="BK449" s="124" t="str">
        <f>IF($B449="","",IFERROR(-O449,"n.b."))</f>
        <v/>
      </c>
      <c r="BL449" s="124" t="str">
        <f>IF($B449="","",IFERROR(-Q449,"n.b."))</f>
        <v/>
      </c>
      <c r="BM449" s="124" t="str">
        <f>IF($B449="","",IFERROR(-AB449,"n.b."))</f>
        <v/>
      </c>
      <c r="BN449" s="124" t="str">
        <f>IF($B449="","",IFERROR(-AD449,"n.b."))</f>
        <v/>
      </c>
      <c r="BO449" s="124" t="str">
        <f>IF($B449="","",IFERROR(BK449+BM449,"n.b."))</f>
        <v/>
      </c>
      <c r="BP449" s="124" t="str">
        <f>IF($B449="","",IFERROR(BL449+BN449,"n.b."))</f>
        <v/>
      </c>
      <c r="BQ449" s="124" t="str">
        <f>IF($B449="","",IFERROR(-AM449,"n.b."))</f>
        <v/>
      </c>
      <c r="BR449" s="124" t="str">
        <f>IF($B449="","",IFERROR(-AO449,"n.b."))</f>
        <v/>
      </c>
      <c r="BS449" s="124" t="str">
        <f>IF($B449="","",IFERROR(-Z449,"n.b."))</f>
        <v/>
      </c>
      <c r="BT449" s="124" t="str">
        <f>IF($B449="","",IFERROR(-AA449,"n.b."))</f>
        <v/>
      </c>
      <c r="BU449" s="124" t="str">
        <f>IF($B449="","",IFERROR(-AE449,"n.b."))</f>
        <v/>
      </c>
      <c r="BV449" s="124" t="str">
        <f>IF($B449="","",IFERROR(-AF449,"n.b."))</f>
        <v/>
      </c>
      <c r="BW449" s="124" t="str">
        <f>IF($B449="","",IFERROR(-AG449,"n.b."))</f>
        <v/>
      </c>
      <c r="BX449" s="124" t="str">
        <f>IF($B449="","",IFERROR(-AH449,"n.b."))</f>
        <v/>
      </c>
      <c r="BY449" s="124" t="str">
        <f>IF($B449="","",IFERROR(-AI449,"n.b."))</f>
        <v/>
      </c>
      <c r="BZ449" s="124" t="str">
        <f>IF($B449="","",IFERROR(-AJ449,"n.b."))</f>
        <v/>
      </c>
      <c r="CA449" s="124" t="str">
        <f>IF($B449="","",IFERROR(-AK449,"n.b."))</f>
        <v/>
      </c>
      <c r="CB449" s="124" t="str">
        <f>IF($B449="","",IFERROR(-AL449,"n.b."))</f>
        <v/>
      </c>
      <c r="CC449" s="124" t="str">
        <f>IF($B449="","",IFERROR(-AP449,"n.b."))</f>
        <v/>
      </c>
      <c r="CD449" s="124" t="str">
        <f>IF($B449="","",IFERROR(-AQ449,"n.b."))</f>
        <v/>
      </c>
      <c r="CE449" s="124" t="str">
        <f>IF($B449="","",IFERROR(-AR449,"n.b."))</f>
        <v/>
      </c>
      <c r="CF449" s="124" t="str">
        <f>IF($B449="","",IFERROR(-AS449,"n.b."))</f>
        <v/>
      </c>
      <c r="CG449" s="124" t="str">
        <f>IF($B449="","",IFERROR(-AT449,"n.b."))</f>
        <v/>
      </c>
      <c r="CH449" s="124" t="str">
        <f>IF($B449="","",IFERROR(-AU449,"n.b."))</f>
        <v/>
      </c>
      <c r="CI449" s="124" t="str">
        <f>IF($B449="","",IFERROR(-AV449,"n.b."))</f>
        <v/>
      </c>
      <c r="CJ449" s="124" t="str">
        <f>IF($B449="","",IFERROR(-AW449,"n.b."))</f>
        <v/>
      </c>
      <c r="CK449" s="124" t="str">
        <f>IF($B449="","",IFERROR(-AX449,"n.b."))</f>
        <v/>
      </c>
      <c r="CL449" s="124" t="str">
        <f>IF($B449="","",IFERROR(-AY449,"n.b."))</f>
        <v/>
      </c>
      <c r="CM449" s="124" t="str">
        <f>IF($B449="","",IFERROR(-AZ449,"n.b."))</f>
        <v/>
      </c>
      <c r="CN449" s="124" t="str">
        <f>IF($B449="","",IFERROR(-BA449,"n.b."))</f>
        <v/>
      </c>
      <c r="CO449" s="124" t="str">
        <f>IF($B449="","",IFERROR(-BB449,"n.b."))</f>
        <v/>
      </c>
      <c r="CP449" s="124" t="str">
        <f>IF($B449="","",IFERROR(-BC449,"n.b."))</f>
        <v/>
      </c>
      <c r="CQ449" s="124" t="str">
        <f>IF($B449="","",IFERROR(-BD449,"n.b."))</f>
        <v/>
      </c>
      <c r="CR449" s="124" t="str">
        <f>IF($B449="","",IFERROR(-BE449,"n.b."))</f>
        <v/>
      </c>
      <c r="CS449" s="124" t="str">
        <f>IF($B449="","",IFERROR(IF(OR(ABS(T449+V449+X449+Z449-AB449)&gt;P_Tol,ABS(U449+W449+Y449+AA449-AD449)&gt;P_Tol,ABS(AE449+AG449+AI449+AK449-AM449)&gt;P_Tol,ABS(AF449+AH449+AJ449+AL449-AO449)&gt;P_Tol),1,0),1))</f>
        <v/>
      </c>
      <c r="CT449" s="124" t="str">
        <f>IF($B449="","",IFERROR(IF(OR(ABS(AB449+AC449-AD449)&gt;P_Tol,ABS(AM449+AN449-AO449)&gt;P_Tol,ABS(O449+P449-Q449)&gt;P_Tol),1,0),1))</f>
        <v/>
      </c>
      <c r="CU449" s="124" t="str">
        <f>IF($B449="","",IFERROR(IF(ABS(R449-(AB449+AM449+AP449+AR449+AT449+AV449+AX449+AZ449+BB449+BD449))&gt;P_Tol,1,0),1))</f>
        <v/>
      </c>
      <c r="CV449" s="124" t="str">
        <f>IF($B449="","",IFERROR(IF(ABS(M449-(N449+O449+R449))&gt;P_Tol,1,0),1))</f>
        <v/>
      </c>
      <c r="CW449" s="124" t="str">
        <f>IF($B449="","",IF(COUNTIF(Mapping!$A$5:$A$104,B449)&gt;0,1,0))</f>
        <v/>
      </c>
      <c r="CX449" s="124" t="str">
        <f>IF($B449="","",COUNTIF($B$6:$B$505,B449))</f>
        <v/>
      </c>
      <c r="CY449" s="124" t="str">
        <f>IF($B449="","",COUNTIF(STG_Woningetalage!$B$6:$B$505,B449))</f>
        <v/>
      </c>
      <c r="CZ449" s="124" t="str">
        <f>IF($B449="","",IF(CW449=0,COUNTIF($CW$6:CW449,0),""))</f>
        <v/>
      </c>
    </row>
    <row r="450">
      <c r="A450" s="15" t="n">
        <v>446</v>
      </c>
      <c r="B450" t="str">
        <f>IF(B$3=0,"",IF(INDEX(SRC_ZPMW03!$A$1:$ZZ$501,$A450,B$3)&amp;""="","",INDEX(SRC_ZPMW03!$A$1:$ZZ$501,$A450,B$3)&amp;""))</f>
        <v/>
      </c>
      <c r="C450" t="str">
        <f>IF($B450="","",IF(C$3=0,"n.b.",INDEX(SRC_ZPMW03!$A$1:$ZZ$501,$A450,C$3)))</f>
        <v/>
      </c>
      <c r="D450" t="str">
        <f>IF($B450="","",IF(D$3=0,"n.b.",INDEX(SRC_ZPMW03!$A$1:$ZZ$501,$A450,D$3)))</f>
        <v/>
      </c>
      <c r="E450" t="str">
        <f>IF($B450="","",IF(E$3=0,"n.b.",INDEX(SRC_ZPMW03!$A$1:$ZZ$501,$A450,E$3)))</f>
        <v/>
      </c>
      <c r="F450" t="str">
        <f>IF($B450="","",IF(F$3=0,"n.b.",INDEX(SRC_ZPMW03!$A$1:$ZZ$501,$A450,F$3)))</f>
        <v/>
      </c>
      <c r="G450" t="str">
        <f>IF($B450="","",IF(G$3=0,"n.b.",INDEX(SRC_ZPMW03!$A$1:$ZZ$501,$A450,G$3)))</f>
        <v/>
      </c>
      <c r="H450" t="str">
        <f>IF($B450="","",IF(H$3=0,"n.b.",INDEX(SRC_ZPMW03!$A$1:$ZZ$501,$A450,H$3)))</f>
        <v/>
      </c>
      <c r="I450" t="str">
        <f>IF($B450="","",IF(I$3=0,"n.b.",INDEX(SRC_ZPMW03!$A$1:$ZZ$501,$A450,I$3)))</f>
        <v/>
      </c>
      <c r="J450" t="str">
        <f>IF($B450="","",IF(J$3=0,"n.b.",INDEX(SRC_ZPMW03!$A$1:$ZZ$501,$A450,J$3)))</f>
        <v/>
      </c>
      <c r="K450" t="str">
        <f>IF($B450="","",IF(K$3=0,"n.b.",INDEX(SRC_ZPMW03!$A$1:$ZZ$501,$A450,K$3)))</f>
        <v/>
      </c>
      <c r="L450" s="124" t="str">
        <f>IF($B450="","",IF(L$3=0,"n.b.",INDEX(SRC_ZPMW03!$A$1:$ZZ$501,$A450,L$3)))</f>
        <v/>
      </c>
      <c r="M450" s="124" t="str">
        <f>IF($B450="","",IF(M$3=0,"n.b.",INDEX(SRC_ZPMW03!$A$1:$ZZ$501,$A450,M$3)))</f>
        <v/>
      </c>
      <c r="N450" s="124" t="str">
        <f>IF($B450="","",IF(N$3=0,"n.b.",INDEX(SRC_ZPMW03!$A$1:$ZZ$501,$A450,N$3)))</f>
        <v/>
      </c>
      <c r="O450" s="124" t="str">
        <f>IF($B450="","",IF(O$3=0,"n.b.",INDEX(SRC_ZPMW03!$A$1:$ZZ$501,$A450,O$3)))</f>
        <v/>
      </c>
      <c r="P450" s="124" t="str">
        <f>IF($B450="","",IF(P$3=0,"n.b.",INDEX(SRC_ZPMW03!$A$1:$ZZ$501,$A450,P$3)))</f>
        <v/>
      </c>
      <c r="Q450" s="124" t="str">
        <f>IF($B450="","",IF(Q$3=0,"n.b.",INDEX(SRC_ZPMW03!$A$1:$ZZ$501,$A450,Q$3)))</f>
        <v/>
      </c>
      <c r="R450" s="124" t="str">
        <f>IF($B450="","",IF(R$3=0,"n.b.",INDEX(SRC_ZPMW03!$A$1:$ZZ$501,$A450,R$3)))</f>
        <v/>
      </c>
      <c r="S450" s="124" t="str">
        <f>IF($B450="","",IF(S$3=0,"n.b.",INDEX(SRC_ZPMW03!$A$1:$ZZ$501,$A450,S$3)))</f>
        <v/>
      </c>
      <c r="T450" s="124" t="str">
        <f>IF($B450="","",IF(T$3=0,"n.b.",INDEX(SRC_ZPMW03!$A$1:$ZZ$501,$A450,T$3)))</f>
        <v/>
      </c>
      <c r="U450" s="124" t="str">
        <f>IF($B450="","",IF(U$3=0,"n.b.",INDEX(SRC_ZPMW03!$A$1:$ZZ$501,$A450,U$3)))</f>
        <v/>
      </c>
      <c r="V450" s="124" t="str">
        <f>IF($B450="","",IF(V$3=0,"n.b.",INDEX(SRC_ZPMW03!$A$1:$ZZ$501,$A450,V$3)))</f>
        <v/>
      </c>
      <c r="W450" s="124" t="str">
        <f>IF($B450="","",IF(W$3=0,"n.b.",INDEX(SRC_ZPMW03!$A$1:$ZZ$501,$A450,W$3)))</f>
        <v/>
      </c>
      <c r="X450" s="124" t="str">
        <f>IF($B450="","",IF(X$3=0,"n.b.",INDEX(SRC_ZPMW03!$A$1:$ZZ$501,$A450,X$3)))</f>
        <v/>
      </c>
      <c r="Y450" s="124" t="str">
        <f>IF($B450="","",IF(Y$3=0,"n.b.",INDEX(SRC_ZPMW03!$A$1:$ZZ$501,$A450,Y$3)))</f>
        <v/>
      </c>
      <c r="Z450" s="124" t="str">
        <f>IF($B450="","",IF(Z$3=0,"n.b.",INDEX(SRC_ZPMW03!$A$1:$ZZ$501,$A450,Z$3)))</f>
        <v/>
      </c>
      <c r="AA450" s="124" t="str">
        <f>IF($B450="","",IF(AA$3=0,"n.b.",INDEX(SRC_ZPMW03!$A$1:$ZZ$501,$A450,AA$3)))</f>
        <v/>
      </c>
      <c r="AB450" s="124" t="str">
        <f>IF($B450="","",IF(AB$3=0,"n.b.",INDEX(SRC_ZPMW03!$A$1:$ZZ$501,$A450,AB$3)))</f>
        <v/>
      </c>
      <c r="AC450" s="124" t="str">
        <f>IF($B450="","",IF(AC$3=0,"n.b.",INDEX(SRC_ZPMW03!$A$1:$ZZ$501,$A450,AC$3)))</f>
        <v/>
      </c>
      <c r="AD450" s="124" t="str">
        <f>IF($B450="","",IF(AD$3=0,"n.b.",INDEX(SRC_ZPMW03!$A$1:$ZZ$501,$A450,AD$3)))</f>
        <v/>
      </c>
      <c r="AE450" s="124" t="str">
        <f>IF($B450="","",IF(AE$3=0,"n.b.",INDEX(SRC_ZPMW03!$A$1:$ZZ$501,$A450,AE$3)))</f>
        <v/>
      </c>
      <c r="AF450" s="124" t="str">
        <f>IF($B450="","",IF(AF$3=0,"n.b.",INDEX(SRC_ZPMW03!$A$1:$ZZ$501,$A450,AF$3)))</f>
        <v/>
      </c>
      <c r="AG450" s="124" t="str">
        <f>IF($B450="","",IF(AG$3=0,"n.b.",INDEX(SRC_ZPMW03!$A$1:$ZZ$501,$A450,AG$3)))</f>
        <v/>
      </c>
      <c r="AH450" s="124" t="str">
        <f>IF($B450="","",IF(AH$3=0,"n.b.",INDEX(SRC_ZPMW03!$A$1:$ZZ$501,$A450,AH$3)))</f>
        <v/>
      </c>
      <c r="AI450" s="124" t="str">
        <f>IF($B450="","",IF(AI$3=0,"n.b.",INDEX(SRC_ZPMW03!$A$1:$ZZ$501,$A450,AI$3)))</f>
        <v/>
      </c>
      <c r="AJ450" s="124" t="str">
        <f>IF($B450="","",IF(AJ$3=0,"n.b.",INDEX(SRC_ZPMW03!$A$1:$ZZ$501,$A450,AJ$3)))</f>
        <v/>
      </c>
      <c r="AK450" s="124" t="str">
        <f>IF($B450="","",IF(AK$3=0,"n.b.",INDEX(SRC_ZPMW03!$A$1:$ZZ$501,$A450,AK$3)))</f>
        <v/>
      </c>
      <c r="AL450" s="124" t="str">
        <f>IF($B450="","",IF(AL$3=0,"n.b.",INDEX(SRC_ZPMW03!$A$1:$ZZ$501,$A450,AL$3)))</f>
        <v/>
      </c>
      <c r="AM450" s="124" t="str">
        <f>IF($B450="","",IF(AM$3=0,"n.b.",INDEX(SRC_ZPMW03!$A$1:$ZZ$501,$A450,AM$3)))</f>
        <v/>
      </c>
      <c r="AN450" s="124" t="str">
        <f>IF($B450="","",IF(AN$3=0,"n.b.",INDEX(SRC_ZPMW03!$A$1:$ZZ$501,$A450,AN$3)))</f>
        <v/>
      </c>
      <c r="AO450" s="124" t="str">
        <f>IF($B450="","",IF(AO$3=0,"n.b.",INDEX(SRC_ZPMW03!$A$1:$ZZ$501,$A450,AO$3)))</f>
        <v/>
      </c>
      <c r="AP450" s="124" t="str">
        <f>IF($B450="","",IF(AP$3=0,"n.b.",INDEX(SRC_ZPMW03!$A$1:$ZZ$501,$A450,AP$3)))</f>
        <v/>
      </c>
      <c r="AQ450" s="124" t="str">
        <f>IF($B450="","",IF(AQ$3=0,"n.b.",INDEX(SRC_ZPMW03!$A$1:$ZZ$501,$A450,AQ$3)))</f>
        <v/>
      </c>
      <c r="AR450" s="124" t="str">
        <f>IF($B450="","",IF(AR$3=0,"n.b.",INDEX(SRC_ZPMW03!$A$1:$ZZ$501,$A450,AR$3)))</f>
        <v/>
      </c>
      <c r="AS450" s="124" t="str">
        <f>IF($B450="","",IF(AS$3=0,"n.b.",INDEX(SRC_ZPMW03!$A$1:$ZZ$501,$A450,AS$3)))</f>
        <v/>
      </c>
      <c r="AT450" s="124" t="str">
        <f>IF($B450="","",IF(AT$3=0,"n.b.",INDEX(SRC_ZPMW03!$A$1:$ZZ$501,$A450,AT$3)))</f>
        <v/>
      </c>
      <c r="AU450" s="124" t="str">
        <f>IF($B450="","",IF(AU$3=0,"n.b.",INDEX(SRC_ZPMW03!$A$1:$ZZ$501,$A450,AU$3)))</f>
        <v/>
      </c>
      <c r="AV450" s="124" t="str">
        <f>IF($B450="","",IF(AV$3=0,"n.b.",INDEX(SRC_ZPMW03!$A$1:$ZZ$501,$A450,AV$3)))</f>
        <v/>
      </c>
      <c r="AW450" s="124" t="str">
        <f>IF($B450="","",IF(AW$3=0,"n.b.",INDEX(SRC_ZPMW03!$A$1:$ZZ$501,$A450,AW$3)))</f>
        <v/>
      </c>
      <c r="AX450" s="124" t="str">
        <f>IF($B450="","",IF(AX$3=0,"n.b.",INDEX(SRC_ZPMW03!$A$1:$ZZ$501,$A450,AX$3)))</f>
        <v/>
      </c>
      <c r="AY450" s="124" t="str">
        <f>IF($B450="","",IF(AY$3=0,"n.b.",INDEX(SRC_ZPMW03!$A$1:$ZZ$501,$A450,AY$3)))</f>
        <v/>
      </c>
      <c r="AZ450" s="124" t="str">
        <f>IF($B450="","",IF(AZ$3=0,"n.b.",INDEX(SRC_ZPMW03!$A$1:$ZZ$501,$A450,AZ$3)))</f>
        <v/>
      </c>
      <c r="BA450" s="124" t="str">
        <f>IF($B450="","",IF(BA$3=0,"n.b.",INDEX(SRC_ZPMW03!$A$1:$ZZ$501,$A450,BA$3)))</f>
        <v/>
      </c>
      <c r="BB450" s="124" t="str">
        <f>IF($B450="","",IF(BB$3=0,"n.b.",INDEX(SRC_ZPMW03!$A$1:$ZZ$501,$A450,BB$3)))</f>
        <v/>
      </c>
      <c r="BC450" s="124" t="str">
        <f>IF($B450="","",IF(BC$3=0,"n.b.",INDEX(SRC_ZPMW03!$A$1:$ZZ$501,$A450,BC$3)))</f>
        <v/>
      </c>
      <c r="BD450" s="124" t="str">
        <f>IF($B450="","",IF(BD$3=0,"n.b.",INDEX(SRC_ZPMW03!$A$1:$ZZ$501,$A450,BD$3)))</f>
        <v/>
      </c>
      <c r="BE450" s="124" t="str">
        <f>IF($B450="","",IF(BE$3=0,"n.b.",INDEX(SRC_ZPMW03!$A$1:$ZZ$501,$A450,BE$3)))</f>
        <v/>
      </c>
      <c r="BF450" s="124" t="str">
        <f>IF($B450="","",IF(BF$3=0,"n.b.",INDEX(SRC_ZPMW03!$A$1:$ZZ$501,$A450,BF$3)))</f>
        <v/>
      </c>
      <c r="BG450" t="str">
        <f>IF($B450="","",IF(BG$3=0,"n.b.",INDEX(SRC_ZPMW03!$A$1:$ZZ$501,$A450,BG$3)))</f>
        <v/>
      </c>
      <c r="BH450" t="str">
        <f>IF($B450="","",IF(BH$3=0,"n.b.",INDEX(SRC_ZPMW03!$A$1:$ZZ$501,$A450,BH$3)))</f>
        <v/>
      </c>
      <c r="BI450" t="str">
        <f>IF($B450="","",IF(BI$3=0,"n.b.",INDEX(SRC_ZPMW03!$A$1:$ZZ$501,$A450,BI$3)))</f>
        <v/>
      </c>
      <c r="BJ450" t="str">
        <f>IF($B450="","",IF(BJ$3=0,"n.b.",INDEX(SRC_ZPMW03!$A$1:$ZZ$501,$A450,BJ$3)))</f>
        <v/>
      </c>
      <c r="BK450" s="124" t="str">
        <f>IF($B450="","",IFERROR(-O450,"n.b."))</f>
        <v/>
      </c>
      <c r="BL450" s="124" t="str">
        <f>IF($B450="","",IFERROR(-Q450,"n.b."))</f>
        <v/>
      </c>
      <c r="BM450" s="124" t="str">
        <f>IF($B450="","",IFERROR(-AB450,"n.b."))</f>
        <v/>
      </c>
      <c r="BN450" s="124" t="str">
        <f>IF($B450="","",IFERROR(-AD450,"n.b."))</f>
        <v/>
      </c>
      <c r="BO450" s="124" t="str">
        <f>IF($B450="","",IFERROR(BK450+BM450,"n.b."))</f>
        <v/>
      </c>
      <c r="BP450" s="124" t="str">
        <f>IF($B450="","",IFERROR(BL450+BN450,"n.b."))</f>
        <v/>
      </c>
      <c r="BQ450" s="124" t="str">
        <f>IF($B450="","",IFERROR(-AM450,"n.b."))</f>
        <v/>
      </c>
      <c r="BR450" s="124" t="str">
        <f>IF($B450="","",IFERROR(-AO450,"n.b."))</f>
        <v/>
      </c>
      <c r="BS450" s="124" t="str">
        <f>IF($B450="","",IFERROR(-Z450,"n.b."))</f>
        <v/>
      </c>
      <c r="BT450" s="124" t="str">
        <f>IF($B450="","",IFERROR(-AA450,"n.b."))</f>
        <v/>
      </c>
      <c r="BU450" s="124" t="str">
        <f>IF($B450="","",IFERROR(-AE450,"n.b."))</f>
        <v/>
      </c>
      <c r="BV450" s="124" t="str">
        <f>IF($B450="","",IFERROR(-AF450,"n.b."))</f>
        <v/>
      </c>
      <c r="BW450" s="124" t="str">
        <f>IF($B450="","",IFERROR(-AG450,"n.b."))</f>
        <v/>
      </c>
      <c r="BX450" s="124" t="str">
        <f>IF($B450="","",IFERROR(-AH450,"n.b."))</f>
        <v/>
      </c>
      <c r="BY450" s="124" t="str">
        <f>IF($B450="","",IFERROR(-AI450,"n.b."))</f>
        <v/>
      </c>
      <c r="BZ450" s="124" t="str">
        <f>IF($B450="","",IFERROR(-AJ450,"n.b."))</f>
        <v/>
      </c>
      <c r="CA450" s="124" t="str">
        <f>IF($B450="","",IFERROR(-AK450,"n.b."))</f>
        <v/>
      </c>
      <c r="CB450" s="124" t="str">
        <f>IF($B450="","",IFERROR(-AL450,"n.b."))</f>
        <v/>
      </c>
      <c r="CC450" s="124" t="str">
        <f>IF($B450="","",IFERROR(-AP450,"n.b."))</f>
        <v/>
      </c>
      <c r="CD450" s="124" t="str">
        <f>IF($B450="","",IFERROR(-AQ450,"n.b."))</f>
        <v/>
      </c>
      <c r="CE450" s="124" t="str">
        <f>IF($B450="","",IFERROR(-AR450,"n.b."))</f>
        <v/>
      </c>
      <c r="CF450" s="124" t="str">
        <f>IF($B450="","",IFERROR(-AS450,"n.b."))</f>
        <v/>
      </c>
      <c r="CG450" s="124" t="str">
        <f>IF($B450="","",IFERROR(-AT450,"n.b."))</f>
        <v/>
      </c>
      <c r="CH450" s="124" t="str">
        <f>IF($B450="","",IFERROR(-AU450,"n.b."))</f>
        <v/>
      </c>
      <c r="CI450" s="124" t="str">
        <f>IF($B450="","",IFERROR(-AV450,"n.b."))</f>
        <v/>
      </c>
      <c r="CJ450" s="124" t="str">
        <f>IF($B450="","",IFERROR(-AW450,"n.b."))</f>
        <v/>
      </c>
      <c r="CK450" s="124" t="str">
        <f>IF($B450="","",IFERROR(-AX450,"n.b."))</f>
        <v/>
      </c>
      <c r="CL450" s="124" t="str">
        <f>IF($B450="","",IFERROR(-AY450,"n.b."))</f>
        <v/>
      </c>
      <c r="CM450" s="124" t="str">
        <f>IF($B450="","",IFERROR(-AZ450,"n.b."))</f>
        <v/>
      </c>
      <c r="CN450" s="124" t="str">
        <f>IF($B450="","",IFERROR(-BA450,"n.b."))</f>
        <v/>
      </c>
      <c r="CO450" s="124" t="str">
        <f>IF($B450="","",IFERROR(-BB450,"n.b."))</f>
        <v/>
      </c>
      <c r="CP450" s="124" t="str">
        <f>IF($B450="","",IFERROR(-BC450,"n.b."))</f>
        <v/>
      </c>
      <c r="CQ450" s="124" t="str">
        <f>IF($B450="","",IFERROR(-BD450,"n.b."))</f>
        <v/>
      </c>
      <c r="CR450" s="124" t="str">
        <f>IF($B450="","",IFERROR(-BE450,"n.b."))</f>
        <v/>
      </c>
      <c r="CS450" s="124" t="str">
        <f>IF($B450="","",IFERROR(IF(OR(ABS(T450+V450+X450+Z450-AB450)&gt;P_Tol,ABS(U450+W450+Y450+AA450-AD450)&gt;P_Tol,ABS(AE450+AG450+AI450+AK450-AM450)&gt;P_Tol,ABS(AF450+AH450+AJ450+AL450-AO450)&gt;P_Tol),1,0),1))</f>
        <v/>
      </c>
      <c r="CT450" s="124" t="str">
        <f>IF($B450="","",IFERROR(IF(OR(ABS(AB450+AC450-AD450)&gt;P_Tol,ABS(AM450+AN450-AO450)&gt;P_Tol,ABS(O450+P450-Q450)&gt;P_Tol),1,0),1))</f>
        <v/>
      </c>
      <c r="CU450" s="124" t="str">
        <f>IF($B450="","",IFERROR(IF(ABS(R450-(AB450+AM450+AP450+AR450+AT450+AV450+AX450+AZ450+BB450+BD450))&gt;P_Tol,1,0),1))</f>
        <v/>
      </c>
      <c r="CV450" s="124" t="str">
        <f>IF($B450="","",IFERROR(IF(ABS(M450-(N450+O450+R450))&gt;P_Tol,1,0),1))</f>
        <v/>
      </c>
      <c r="CW450" s="124" t="str">
        <f>IF($B450="","",IF(COUNTIF(Mapping!$A$5:$A$104,B450)&gt;0,1,0))</f>
        <v/>
      </c>
      <c r="CX450" s="124" t="str">
        <f>IF($B450="","",COUNTIF($B$6:$B$505,B450))</f>
        <v/>
      </c>
      <c r="CY450" s="124" t="str">
        <f>IF($B450="","",COUNTIF(STG_Woningetalage!$B$6:$B$505,B450))</f>
        <v/>
      </c>
      <c r="CZ450" s="124" t="str">
        <f>IF($B450="","",IF(CW450=0,COUNTIF($CW$6:CW450,0),""))</f>
        <v/>
      </c>
    </row>
    <row r="451">
      <c r="A451" s="15" t="n">
        <v>447</v>
      </c>
      <c r="B451" t="str">
        <f>IF(B$3=0,"",IF(INDEX(SRC_ZPMW03!$A$1:$ZZ$501,$A451,B$3)&amp;""="","",INDEX(SRC_ZPMW03!$A$1:$ZZ$501,$A451,B$3)&amp;""))</f>
        <v/>
      </c>
      <c r="C451" t="str">
        <f>IF($B451="","",IF(C$3=0,"n.b.",INDEX(SRC_ZPMW03!$A$1:$ZZ$501,$A451,C$3)))</f>
        <v/>
      </c>
      <c r="D451" t="str">
        <f>IF($B451="","",IF(D$3=0,"n.b.",INDEX(SRC_ZPMW03!$A$1:$ZZ$501,$A451,D$3)))</f>
        <v/>
      </c>
      <c r="E451" t="str">
        <f>IF($B451="","",IF(E$3=0,"n.b.",INDEX(SRC_ZPMW03!$A$1:$ZZ$501,$A451,E$3)))</f>
        <v/>
      </c>
      <c r="F451" t="str">
        <f>IF($B451="","",IF(F$3=0,"n.b.",INDEX(SRC_ZPMW03!$A$1:$ZZ$501,$A451,F$3)))</f>
        <v/>
      </c>
      <c r="G451" t="str">
        <f>IF($B451="","",IF(G$3=0,"n.b.",INDEX(SRC_ZPMW03!$A$1:$ZZ$501,$A451,G$3)))</f>
        <v/>
      </c>
      <c r="H451" t="str">
        <f>IF($B451="","",IF(H$3=0,"n.b.",INDEX(SRC_ZPMW03!$A$1:$ZZ$501,$A451,H$3)))</f>
        <v/>
      </c>
      <c r="I451" t="str">
        <f>IF($B451="","",IF(I$3=0,"n.b.",INDEX(SRC_ZPMW03!$A$1:$ZZ$501,$A451,I$3)))</f>
        <v/>
      </c>
      <c r="J451" t="str">
        <f>IF($B451="","",IF(J$3=0,"n.b.",INDEX(SRC_ZPMW03!$A$1:$ZZ$501,$A451,J$3)))</f>
        <v/>
      </c>
      <c r="K451" t="str">
        <f>IF($B451="","",IF(K$3=0,"n.b.",INDEX(SRC_ZPMW03!$A$1:$ZZ$501,$A451,K$3)))</f>
        <v/>
      </c>
      <c r="L451" s="124" t="str">
        <f>IF($B451="","",IF(L$3=0,"n.b.",INDEX(SRC_ZPMW03!$A$1:$ZZ$501,$A451,L$3)))</f>
        <v/>
      </c>
      <c r="M451" s="124" t="str">
        <f>IF($B451="","",IF(M$3=0,"n.b.",INDEX(SRC_ZPMW03!$A$1:$ZZ$501,$A451,M$3)))</f>
        <v/>
      </c>
      <c r="N451" s="124" t="str">
        <f>IF($B451="","",IF(N$3=0,"n.b.",INDEX(SRC_ZPMW03!$A$1:$ZZ$501,$A451,N$3)))</f>
        <v/>
      </c>
      <c r="O451" s="124" t="str">
        <f>IF($B451="","",IF(O$3=0,"n.b.",INDEX(SRC_ZPMW03!$A$1:$ZZ$501,$A451,O$3)))</f>
        <v/>
      </c>
      <c r="P451" s="124" t="str">
        <f>IF($B451="","",IF(P$3=0,"n.b.",INDEX(SRC_ZPMW03!$A$1:$ZZ$501,$A451,P$3)))</f>
        <v/>
      </c>
      <c r="Q451" s="124" t="str">
        <f>IF($B451="","",IF(Q$3=0,"n.b.",INDEX(SRC_ZPMW03!$A$1:$ZZ$501,$A451,Q$3)))</f>
        <v/>
      </c>
      <c r="R451" s="124" t="str">
        <f>IF($B451="","",IF(R$3=0,"n.b.",INDEX(SRC_ZPMW03!$A$1:$ZZ$501,$A451,R$3)))</f>
        <v/>
      </c>
      <c r="S451" s="124" t="str">
        <f>IF($B451="","",IF(S$3=0,"n.b.",INDEX(SRC_ZPMW03!$A$1:$ZZ$501,$A451,S$3)))</f>
        <v/>
      </c>
      <c r="T451" s="124" t="str">
        <f>IF($B451="","",IF(T$3=0,"n.b.",INDEX(SRC_ZPMW03!$A$1:$ZZ$501,$A451,T$3)))</f>
        <v/>
      </c>
      <c r="U451" s="124" t="str">
        <f>IF($B451="","",IF(U$3=0,"n.b.",INDEX(SRC_ZPMW03!$A$1:$ZZ$501,$A451,U$3)))</f>
        <v/>
      </c>
      <c r="V451" s="124" t="str">
        <f>IF($B451="","",IF(V$3=0,"n.b.",INDEX(SRC_ZPMW03!$A$1:$ZZ$501,$A451,V$3)))</f>
        <v/>
      </c>
      <c r="W451" s="124" t="str">
        <f>IF($B451="","",IF(W$3=0,"n.b.",INDEX(SRC_ZPMW03!$A$1:$ZZ$501,$A451,W$3)))</f>
        <v/>
      </c>
      <c r="X451" s="124" t="str">
        <f>IF($B451="","",IF(X$3=0,"n.b.",INDEX(SRC_ZPMW03!$A$1:$ZZ$501,$A451,X$3)))</f>
        <v/>
      </c>
      <c r="Y451" s="124" t="str">
        <f>IF($B451="","",IF(Y$3=0,"n.b.",INDEX(SRC_ZPMW03!$A$1:$ZZ$501,$A451,Y$3)))</f>
        <v/>
      </c>
      <c r="Z451" s="124" t="str">
        <f>IF($B451="","",IF(Z$3=0,"n.b.",INDEX(SRC_ZPMW03!$A$1:$ZZ$501,$A451,Z$3)))</f>
        <v/>
      </c>
      <c r="AA451" s="124" t="str">
        <f>IF($B451="","",IF(AA$3=0,"n.b.",INDEX(SRC_ZPMW03!$A$1:$ZZ$501,$A451,AA$3)))</f>
        <v/>
      </c>
      <c r="AB451" s="124" t="str">
        <f>IF($B451="","",IF(AB$3=0,"n.b.",INDEX(SRC_ZPMW03!$A$1:$ZZ$501,$A451,AB$3)))</f>
        <v/>
      </c>
      <c r="AC451" s="124" t="str">
        <f>IF($B451="","",IF(AC$3=0,"n.b.",INDEX(SRC_ZPMW03!$A$1:$ZZ$501,$A451,AC$3)))</f>
        <v/>
      </c>
      <c r="AD451" s="124" t="str">
        <f>IF($B451="","",IF(AD$3=0,"n.b.",INDEX(SRC_ZPMW03!$A$1:$ZZ$501,$A451,AD$3)))</f>
        <v/>
      </c>
      <c r="AE451" s="124" t="str">
        <f>IF($B451="","",IF(AE$3=0,"n.b.",INDEX(SRC_ZPMW03!$A$1:$ZZ$501,$A451,AE$3)))</f>
        <v/>
      </c>
      <c r="AF451" s="124" t="str">
        <f>IF($B451="","",IF(AF$3=0,"n.b.",INDEX(SRC_ZPMW03!$A$1:$ZZ$501,$A451,AF$3)))</f>
        <v/>
      </c>
      <c r="AG451" s="124" t="str">
        <f>IF($B451="","",IF(AG$3=0,"n.b.",INDEX(SRC_ZPMW03!$A$1:$ZZ$501,$A451,AG$3)))</f>
        <v/>
      </c>
      <c r="AH451" s="124" t="str">
        <f>IF($B451="","",IF(AH$3=0,"n.b.",INDEX(SRC_ZPMW03!$A$1:$ZZ$501,$A451,AH$3)))</f>
        <v/>
      </c>
      <c r="AI451" s="124" t="str">
        <f>IF($B451="","",IF(AI$3=0,"n.b.",INDEX(SRC_ZPMW03!$A$1:$ZZ$501,$A451,AI$3)))</f>
        <v/>
      </c>
      <c r="AJ451" s="124" t="str">
        <f>IF($B451="","",IF(AJ$3=0,"n.b.",INDEX(SRC_ZPMW03!$A$1:$ZZ$501,$A451,AJ$3)))</f>
        <v/>
      </c>
      <c r="AK451" s="124" t="str">
        <f>IF($B451="","",IF(AK$3=0,"n.b.",INDEX(SRC_ZPMW03!$A$1:$ZZ$501,$A451,AK$3)))</f>
        <v/>
      </c>
      <c r="AL451" s="124" t="str">
        <f>IF($B451="","",IF(AL$3=0,"n.b.",INDEX(SRC_ZPMW03!$A$1:$ZZ$501,$A451,AL$3)))</f>
        <v/>
      </c>
      <c r="AM451" s="124" t="str">
        <f>IF($B451="","",IF(AM$3=0,"n.b.",INDEX(SRC_ZPMW03!$A$1:$ZZ$501,$A451,AM$3)))</f>
        <v/>
      </c>
      <c r="AN451" s="124" t="str">
        <f>IF($B451="","",IF(AN$3=0,"n.b.",INDEX(SRC_ZPMW03!$A$1:$ZZ$501,$A451,AN$3)))</f>
        <v/>
      </c>
      <c r="AO451" s="124" t="str">
        <f>IF($B451="","",IF(AO$3=0,"n.b.",INDEX(SRC_ZPMW03!$A$1:$ZZ$501,$A451,AO$3)))</f>
        <v/>
      </c>
      <c r="AP451" s="124" t="str">
        <f>IF($B451="","",IF(AP$3=0,"n.b.",INDEX(SRC_ZPMW03!$A$1:$ZZ$501,$A451,AP$3)))</f>
        <v/>
      </c>
      <c r="AQ451" s="124" t="str">
        <f>IF($B451="","",IF(AQ$3=0,"n.b.",INDEX(SRC_ZPMW03!$A$1:$ZZ$501,$A451,AQ$3)))</f>
        <v/>
      </c>
      <c r="AR451" s="124" t="str">
        <f>IF($B451="","",IF(AR$3=0,"n.b.",INDEX(SRC_ZPMW03!$A$1:$ZZ$501,$A451,AR$3)))</f>
        <v/>
      </c>
      <c r="AS451" s="124" t="str">
        <f>IF($B451="","",IF(AS$3=0,"n.b.",INDEX(SRC_ZPMW03!$A$1:$ZZ$501,$A451,AS$3)))</f>
        <v/>
      </c>
      <c r="AT451" s="124" t="str">
        <f>IF($B451="","",IF(AT$3=0,"n.b.",INDEX(SRC_ZPMW03!$A$1:$ZZ$501,$A451,AT$3)))</f>
        <v/>
      </c>
      <c r="AU451" s="124" t="str">
        <f>IF($B451="","",IF(AU$3=0,"n.b.",INDEX(SRC_ZPMW03!$A$1:$ZZ$501,$A451,AU$3)))</f>
        <v/>
      </c>
      <c r="AV451" s="124" t="str">
        <f>IF($B451="","",IF(AV$3=0,"n.b.",INDEX(SRC_ZPMW03!$A$1:$ZZ$501,$A451,AV$3)))</f>
        <v/>
      </c>
      <c r="AW451" s="124" t="str">
        <f>IF($B451="","",IF(AW$3=0,"n.b.",INDEX(SRC_ZPMW03!$A$1:$ZZ$501,$A451,AW$3)))</f>
        <v/>
      </c>
      <c r="AX451" s="124" t="str">
        <f>IF($B451="","",IF(AX$3=0,"n.b.",INDEX(SRC_ZPMW03!$A$1:$ZZ$501,$A451,AX$3)))</f>
        <v/>
      </c>
      <c r="AY451" s="124" t="str">
        <f>IF($B451="","",IF(AY$3=0,"n.b.",INDEX(SRC_ZPMW03!$A$1:$ZZ$501,$A451,AY$3)))</f>
        <v/>
      </c>
      <c r="AZ451" s="124" t="str">
        <f>IF($B451="","",IF(AZ$3=0,"n.b.",INDEX(SRC_ZPMW03!$A$1:$ZZ$501,$A451,AZ$3)))</f>
        <v/>
      </c>
      <c r="BA451" s="124" t="str">
        <f>IF($B451="","",IF(BA$3=0,"n.b.",INDEX(SRC_ZPMW03!$A$1:$ZZ$501,$A451,BA$3)))</f>
        <v/>
      </c>
      <c r="BB451" s="124" t="str">
        <f>IF($B451="","",IF(BB$3=0,"n.b.",INDEX(SRC_ZPMW03!$A$1:$ZZ$501,$A451,BB$3)))</f>
        <v/>
      </c>
      <c r="BC451" s="124" t="str">
        <f>IF($B451="","",IF(BC$3=0,"n.b.",INDEX(SRC_ZPMW03!$A$1:$ZZ$501,$A451,BC$3)))</f>
        <v/>
      </c>
      <c r="BD451" s="124" t="str">
        <f>IF($B451="","",IF(BD$3=0,"n.b.",INDEX(SRC_ZPMW03!$A$1:$ZZ$501,$A451,BD$3)))</f>
        <v/>
      </c>
      <c r="BE451" s="124" t="str">
        <f>IF($B451="","",IF(BE$3=0,"n.b.",INDEX(SRC_ZPMW03!$A$1:$ZZ$501,$A451,BE$3)))</f>
        <v/>
      </c>
      <c r="BF451" s="124" t="str">
        <f>IF($B451="","",IF(BF$3=0,"n.b.",INDEX(SRC_ZPMW03!$A$1:$ZZ$501,$A451,BF$3)))</f>
        <v/>
      </c>
      <c r="BG451" t="str">
        <f>IF($B451="","",IF(BG$3=0,"n.b.",INDEX(SRC_ZPMW03!$A$1:$ZZ$501,$A451,BG$3)))</f>
        <v/>
      </c>
      <c r="BH451" t="str">
        <f>IF($B451="","",IF(BH$3=0,"n.b.",INDEX(SRC_ZPMW03!$A$1:$ZZ$501,$A451,BH$3)))</f>
        <v/>
      </c>
      <c r="BI451" t="str">
        <f>IF($B451="","",IF(BI$3=0,"n.b.",INDEX(SRC_ZPMW03!$A$1:$ZZ$501,$A451,BI$3)))</f>
        <v/>
      </c>
      <c r="BJ451" t="str">
        <f>IF($B451="","",IF(BJ$3=0,"n.b.",INDEX(SRC_ZPMW03!$A$1:$ZZ$501,$A451,BJ$3)))</f>
        <v/>
      </c>
      <c r="BK451" s="124" t="str">
        <f>IF($B451="","",IFERROR(-O451,"n.b."))</f>
        <v/>
      </c>
      <c r="BL451" s="124" t="str">
        <f>IF($B451="","",IFERROR(-Q451,"n.b."))</f>
        <v/>
      </c>
      <c r="BM451" s="124" t="str">
        <f>IF($B451="","",IFERROR(-AB451,"n.b."))</f>
        <v/>
      </c>
      <c r="BN451" s="124" t="str">
        <f>IF($B451="","",IFERROR(-AD451,"n.b."))</f>
        <v/>
      </c>
      <c r="BO451" s="124" t="str">
        <f>IF($B451="","",IFERROR(BK451+BM451,"n.b."))</f>
        <v/>
      </c>
      <c r="BP451" s="124" t="str">
        <f>IF($B451="","",IFERROR(BL451+BN451,"n.b."))</f>
        <v/>
      </c>
      <c r="BQ451" s="124" t="str">
        <f>IF($B451="","",IFERROR(-AM451,"n.b."))</f>
        <v/>
      </c>
      <c r="BR451" s="124" t="str">
        <f>IF($B451="","",IFERROR(-AO451,"n.b."))</f>
        <v/>
      </c>
      <c r="BS451" s="124" t="str">
        <f>IF($B451="","",IFERROR(-Z451,"n.b."))</f>
        <v/>
      </c>
      <c r="BT451" s="124" t="str">
        <f>IF($B451="","",IFERROR(-AA451,"n.b."))</f>
        <v/>
      </c>
      <c r="BU451" s="124" t="str">
        <f>IF($B451="","",IFERROR(-AE451,"n.b."))</f>
        <v/>
      </c>
      <c r="BV451" s="124" t="str">
        <f>IF($B451="","",IFERROR(-AF451,"n.b."))</f>
        <v/>
      </c>
      <c r="BW451" s="124" t="str">
        <f>IF($B451="","",IFERROR(-AG451,"n.b."))</f>
        <v/>
      </c>
      <c r="BX451" s="124" t="str">
        <f>IF($B451="","",IFERROR(-AH451,"n.b."))</f>
        <v/>
      </c>
      <c r="BY451" s="124" t="str">
        <f>IF($B451="","",IFERROR(-AI451,"n.b."))</f>
        <v/>
      </c>
      <c r="BZ451" s="124" t="str">
        <f>IF($B451="","",IFERROR(-AJ451,"n.b."))</f>
        <v/>
      </c>
      <c r="CA451" s="124" t="str">
        <f>IF($B451="","",IFERROR(-AK451,"n.b."))</f>
        <v/>
      </c>
      <c r="CB451" s="124" t="str">
        <f>IF($B451="","",IFERROR(-AL451,"n.b."))</f>
        <v/>
      </c>
      <c r="CC451" s="124" t="str">
        <f>IF($B451="","",IFERROR(-AP451,"n.b."))</f>
        <v/>
      </c>
      <c r="CD451" s="124" t="str">
        <f>IF($B451="","",IFERROR(-AQ451,"n.b."))</f>
        <v/>
      </c>
      <c r="CE451" s="124" t="str">
        <f>IF($B451="","",IFERROR(-AR451,"n.b."))</f>
        <v/>
      </c>
      <c r="CF451" s="124" t="str">
        <f>IF($B451="","",IFERROR(-AS451,"n.b."))</f>
        <v/>
      </c>
      <c r="CG451" s="124" t="str">
        <f>IF($B451="","",IFERROR(-AT451,"n.b."))</f>
        <v/>
      </c>
      <c r="CH451" s="124" t="str">
        <f>IF($B451="","",IFERROR(-AU451,"n.b."))</f>
        <v/>
      </c>
      <c r="CI451" s="124" t="str">
        <f>IF($B451="","",IFERROR(-AV451,"n.b."))</f>
        <v/>
      </c>
      <c r="CJ451" s="124" t="str">
        <f>IF($B451="","",IFERROR(-AW451,"n.b."))</f>
        <v/>
      </c>
      <c r="CK451" s="124" t="str">
        <f>IF($B451="","",IFERROR(-AX451,"n.b."))</f>
        <v/>
      </c>
      <c r="CL451" s="124" t="str">
        <f>IF($B451="","",IFERROR(-AY451,"n.b."))</f>
        <v/>
      </c>
      <c r="CM451" s="124" t="str">
        <f>IF($B451="","",IFERROR(-AZ451,"n.b."))</f>
        <v/>
      </c>
      <c r="CN451" s="124" t="str">
        <f>IF($B451="","",IFERROR(-BA451,"n.b."))</f>
        <v/>
      </c>
      <c r="CO451" s="124" t="str">
        <f>IF($B451="","",IFERROR(-BB451,"n.b."))</f>
        <v/>
      </c>
      <c r="CP451" s="124" t="str">
        <f>IF($B451="","",IFERROR(-BC451,"n.b."))</f>
        <v/>
      </c>
      <c r="CQ451" s="124" t="str">
        <f>IF($B451="","",IFERROR(-BD451,"n.b."))</f>
        <v/>
      </c>
      <c r="CR451" s="124" t="str">
        <f>IF($B451="","",IFERROR(-BE451,"n.b."))</f>
        <v/>
      </c>
      <c r="CS451" s="124" t="str">
        <f>IF($B451="","",IFERROR(IF(OR(ABS(T451+V451+X451+Z451-AB451)&gt;P_Tol,ABS(U451+W451+Y451+AA451-AD451)&gt;P_Tol,ABS(AE451+AG451+AI451+AK451-AM451)&gt;P_Tol,ABS(AF451+AH451+AJ451+AL451-AO451)&gt;P_Tol),1,0),1))</f>
        <v/>
      </c>
      <c r="CT451" s="124" t="str">
        <f>IF($B451="","",IFERROR(IF(OR(ABS(AB451+AC451-AD451)&gt;P_Tol,ABS(AM451+AN451-AO451)&gt;P_Tol,ABS(O451+P451-Q451)&gt;P_Tol),1,0),1))</f>
        <v/>
      </c>
      <c r="CU451" s="124" t="str">
        <f>IF($B451="","",IFERROR(IF(ABS(R451-(AB451+AM451+AP451+AR451+AT451+AV451+AX451+AZ451+BB451+BD451))&gt;P_Tol,1,0),1))</f>
        <v/>
      </c>
      <c r="CV451" s="124" t="str">
        <f>IF($B451="","",IFERROR(IF(ABS(M451-(N451+O451+R451))&gt;P_Tol,1,0),1))</f>
        <v/>
      </c>
      <c r="CW451" s="124" t="str">
        <f>IF($B451="","",IF(COUNTIF(Mapping!$A$5:$A$104,B451)&gt;0,1,0))</f>
        <v/>
      </c>
      <c r="CX451" s="124" t="str">
        <f>IF($B451="","",COUNTIF($B$6:$B$505,B451))</f>
        <v/>
      </c>
      <c r="CY451" s="124" t="str">
        <f>IF($B451="","",COUNTIF(STG_Woningetalage!$B$6:$B$505,B451))</f>
        <v/>
      </c>
      <c r="CZ451" s="124" t="str">
        <f>IF($B451="","",IF(CW451=0,COUNTIF($CW$6:CW451,0),""))</f>
        <v/>
      </c>
    </row>
    <row r="452">
      <c r="A452" s="15" t="n">
        <v>448</v>
      </c>
      <c r="B452" t="str">
        <f>IF(B$3=0,"",IF(INDEX(SRC_ZPMW03!$A$1:$ZZ$501,$A452,B$3)&amp;""="","",INDEX(SRC_ZPMW03!$A$1:$ZZ$501,$A452,B$3)&amp;""))</f>
        <v/>
      </c>
      <c r="C452" t="str">
        <f>IF($B452="","",IF(C$3=0,"n.b.",INDEX(SRC_ZPMW03!$A$1:$ZZ$501,$A452,C$3)))</f>
        <v/>
      </c>
      <c r="D452" t="str">
        <f>IF($B452="","",IF(D$3=0,"n.b.",INDEX(SRC_ZPMW03!$A$1:$ZZ$501,$A452,D$3)))</f>
        <v/>
      </c>
      <c r="E452" t="str">
        <f>IF($B452="","",IF(E$3=0,"n.b.",INDEX(SRC_ZPMW03!$A$1:$ZZ$501,$A452,E$3)))</f>
        <v/>
      </c>
      <c r="F452" t="str">
        <f>IF($B452="","",IF(F$3=0,"n.b.",INDEX(SRC_ZPMW03!$A$1:$ZZ$501,$A452,F$3)))</f>
        <v/>
      </c>
      <c r="G452" t="str">
        <f>IF($B452="","",IF(G$3=0,"n.b.",INDEX(SRC_ZPMW03!$A$1:$ZZ$501,$A452,G$3)))</f>
        <v/>
      </c>
      <c r="H452" t="str">
        <f>IF($B452="","",IF(H$3=0,"n.b.",INDEX(SRC_ZPMW03!$A$1:$ZZ$501,$A452,H$3)))</f>
        <v/>
      </c>
      <c r="I452" t="str">
        <f>IF($B452="","",IF(I$3=0,"n.b.",INDEX(SRC_ZPMW03!$A$1:$ZZ$501,$A452,I$3)))</f>
        <v/>
      </c>
      <c r="J452" t="str">
        <f>IF($B452="","",IF(J$3=0,"n.b.",INDEX(SRC_ZPMW03!$A$1:$ZZ$501,$A452,J$3)))</f>
        <v/>
      </c>
      <c r="K452" t="str">
        <f>IF($B452="","",IF(K$3=0,"n.b.",INDEX(SRC_ZPMW03!$A$1:$ZZ$501,$A452,K$3)))</f>
        <v/>
      </c>
      <c r="L452" s="124" t="str">
        <f>IF($B452="","",IF(L$3=0,"n.b.",INDEX(SRC_ZPMW03!$A$1:$ZZ$501,$A452,L$3)))</f>
        <v/>
      </c>
      <c r="M452" s="124" t="str">
        <f>IF($B452="","",IF(M$3=0,"n.b.",INDEX(SRC_ZPMW03!$A$1:$ZZ$501,$A452,M$3)))</f>
        <v/>
      </c>
      <c r="N452" s="124" t="str">
        <f>IF($B452="","",IF(N$3=0,"n.b.",INDEX(SRC_ZPMW03!$A$1:$ZZ$501,$A452,N$3)))</f>
        <v/>
      </c>
      <c r="O452" s="124" t="str">
        <f>IF($B452="","",IF(O$3=0,"n.b.",INDEX(SRC_ZPMW03!$A$1:$ZZ$501,$A452,O$3)))</f>
        <v/>
      </c>
      <c r="P452" s="124" t="str">
        <f>IF($B452="","",IF(P$3=0,"n.b.",INDEX(SRC_ZPMW03!$A$1:$ZZ$501,$A452,P$3)))</f>
        <v/>
      </c>
      <c r="Q452" s="124" t="str">
        <f>IF($B452="","",IF(Q$3=0,"n.b.",INDEX(SRC_ZPMW03!$A$1:$ZZ$501,$A452,Q$3)))</f>
        <v/>
      </c>
      <c r="R452" s="124" t="str">
        <f>IF($B452="","",IF(R$3=0,"n.b.",INDEX(SRC_ZPMW03!$A$1:$ZZ$501,$A452,R$3)))</f>
        <v/>
      </c>
      <c r="S452" s="124" t="str">
        <f>IF($B452="","",IF(S$3=0,"n.b.",INDEX(SRC_ZPMW03!$A$1:$ZZ$501,$A452,S$3)))</f>
        <v/>
      </c>
      <c r="T452" s="124" t="str">
        <f>IF($B452="","",IF(T$3=0,"n.b.",INDEX(SRC_ZPMW03!$A$1:$ZZ$501,$A452,T$3)))</f>
        <v/>
      </c>
      <c r="U452" s="124" t="str">
        <f>IF($B452="","",IF(U$3=0,"n.b.",INDEX(SRC_ZPMW03!$A$1:$ZZ$501,$A452,U$3)))</f>
        <v/>
      </c>
      <c r="V452" s="124" t="str">
        <f>IF($B452="","",IF(V$3=0,"n.b.",INDEX(SRC_ZPMW03!$A$1:$ZZ$501,$A452,V$3)))</f>
        <v/>
      </c>
      <c r="W452" s="124" t="str">
        <f>IF($B452="","",IF(W$3=0,"n.b.",INDEX(SRC_ZPMW03!$A$1:$ZZ$501,$A452,W$3)))</f>
        <v/>
      </c>
      <c r="X452" s="124" t="str">
        <f>IF($B452="","",IF(X$3=0,"n.b.",INDEX(SRC_ZPMW03!$A$1:$ZZ$501,$A452,X$3)))</f>
        <v/>
      </c>
      <c r="Y452" s="124" t="str">
        <f>IF($B452="","",IF(Y$3=0,"n.b.",INDEX(SRC_ZPMW03!$A$1:$ZZ$501,$A452,Y$3)))</f>
        <v/>
      </c>
      <c r="Z452" s="124" t="str">
        <f>IF($B452="","",IF(Z$3=0,"n.b.",INDEX(SRC_ZPMW03!$A$1:$ZZ$501,$A452,Z$3)))</f>
        <v/>
      </c>
      <c r="AA452" s="124" t="str">
        <f>IF($B452="","",IF(AA$3=0,"n.b.",INDEX(SRC_ZPMW03!$A$1:$ZZ$501,$A452,AA$3)))</f>
        <v/>
      </c>
      <c r="AB452" s="124" t="str">
        <f>IF($B452="","",IF(AB$3=0,"n.b.",INDEX(SRC_ZPMW03!$A$1:$ZZ$501,$A452,AB$3)))</f>
        <v/>
      </c>
      <c r="AC452" s="124" t="str">
        <f>IF($B452="","",IF(AC$3=0,"n.b.",INDEX(SRC_ZPMW03!$A$1:$ZZ$501,$A452,AC$3)))</f>
        <v/>
      </c>
      <c r="AD452" s="124" t="str">
        <f>IF($B452="","",IF(AD$3=0,"n.b.",INDEX(SRC_ZPMW03!$A$1:$ZZ$501,$A452,AD$3)))</f>
        <v/>
      </c>
      <c r="AE452" s="124" t="str">
        <f>IF($B452="","",IF(AE$3=0,"n.b.",INDEX(SRC_ZPMW03!$A$1:$ZZ$501,$A452,AE$3)))</f>
        <v/>
      </c>
      <c r="AF452" s="124" t="str">
        <f>IF($B452="","",IF(AF$3=0,"n.b.",INDEX(SRC_ZPMW03!$A$1:$ZZ$501,$A452,AF$3)))</f>
        <v/>
      </c>
      <c r="AG452" s="124" t="str">
        <f>IF($B452="","",IF(AG$3=0,"n.b.",INDEX(SRC_ZPMW03!$A$1:$ZZ$501,$A452,AG$3)))</f>
        <v/>
      </c>
      <c r="AH452" s="124" t="str">
        <f>IF($B452="","",IF(AH$3=0,"n.b.",INDEX(SRC_ZPMW03!$A$1:$ZZ$501,$A452,AH$3)))</f>
        <v/>
      </c>
      <c r="AI452" s="124" t="str">
        <f>IF($B452="","",IF(AI$3=0,"n.b.",INDEX(SRC_ZPMW03!$A$1:$ZZ$501,$A452,AI$3)))</f>
        <v/>
      </c>
      <c r="AJ452" s="124" t="str">
        <f>IF($B452="","",IF(AJ$3=0,"n.b.",INDEX(SRC_ZPMW03!$A$1:$ZZ$501,$A452,AJ$3)))</f>
        <v/>
      </c>
      <c r="AK452" s="124" t="str">
        <f>IF($B452="","",IF(AK$3=0,"n.b.",INDEX(SRC_ZPMW03!$A$1:$ZZ$501,$A452,AK$3)))</f>
        <v/>
      </c>
      <c r="AL452" s="124" t="str">
        <f>IF($B452="","",IF(AL$3=0,"n.b.",INDEX(SRC_ZPMW03!$A$1:$ZZ$501,$A452,AL$3)))</f>
        <v/>
      </c>
      <c r="AM452" s="124" t="str">
        <f>IF($B452="","",IF(AM$3=0,"n.b.",INDEX(SRC_ZPMW03!$A$1:$ZZ$501,$A452,AM$3)))</f>
        <v/>
      </c>
      <c r="AN452" s="124" t="str">
        <f>IF($B452="","",IF(AN$3=0,"n.b.",INDEX(SRC_ZPMW03!$A$1:$ZZ$501,$A452,AN$3)))</f>
        <v/>
      </c>
      <c r="AO452" s="124" t="str">
        <f>IF($B452="","",IF(AO$3=0,"n.b.",INDEX(SRC_ZPMW03!$A$1:$ZZ$501,$A452,AO$3)))</f>
        <v/>
      </c>
      <c r="AP452" s="124" t="str">
        <f>IF($B452="","",IF(AP$3=0,"n.b.",INDEX(SRC_ZPMW03!$A$1:$ZZ$501,$A452,AP$3)))</f>
        <v/>
      </c>
      <c r="AQ452" s="124" t="str">
        <f>IF($B452="","",IF(AQ$3=0,"n.b.",INDEX(SRC_ZPMW03!$A$1:$ZZ$501,$A452,AQ$3)))</f>
        <v/>
      </c>
      <c r="AR452" s="124" t="str">
        <f>IF($B452="","",IF(AR$3=0,"n.b.",INDEX(SRC_ZPMW03!$A$1:$ZZ$501,$A452,AR$3)))</f>
        <v/>
      </c>
      <c r="AS452" s="124" t="str">
        <f>IF($B452="","",IF(AS$3=0,"n.b.",INDEX(SRC_ZPMW03!$A$1:$ZZ$501,$A452,AS$3)))</f>
        <v/>
      </c>
      <c r="AT452" s="124" t="str">
        <f>IF($B452="","",IF(AT$3=0,"n.b.",INDEX(SRC_ZPMW03!$A$1:$ZZ$501,$A452,AT$3)))</f>
        <v/>
      </c>
      <c r="AU452" s="124" t="str">
        <f>IF($B452="","",IF(AU$3=0,"n.b.",INDEX(SRC_ZPMW03!$A$1:$ZZ$501,$A452,AU$3)))</f>
        <v/>
      </c>
      <c r="AV452" s="124" t="str">
        <f>IF($B452="","",IF(AV$3=0,"n.b.",INDEX(SRC_ZPMW03!$A$1:$ZZ$501,$A452,AV$3)))</f>
        <v/>
      </c>
      <c r="AW452" s="124" t="str">
        <f>IF($B452="","",IF(AW$3=0,"n.b.",INDEX(SRC_ZPMW03!$A$1:$ZZ$501,$A452,AW$3)))</f>
        <v/>
      </c>
      <c r="AX452" s="124" t="str">
        <f>IF($B452="","",IF(AX$3=0,"n.b.",INDEX(SRC_ZPMW03!$A$1:$ZZ$501,$A452,AX$3)))</f>
        <v/>
      </c>
      <c r="AY452" s="124" t="str">
        <f>IF($B452="","",IF(AY$3=0,"n.b.",INDEX(SRC_ZPMW03!$A$1:$ZZ$501,$A452,AY$3)))</f>
        <v/>
      </c>
      <c r="AZ452" s="124" t="str">
        <f>IF($B452="","",IF(AZ$3=0,"n.b.",INDEX(SRC_ZPMW03!$A$1:$ZZ$501,$A452,AZ$3)))</f>
        <v/>
      </c>
      <c r="BA452" s="124" t="str">
        <f>IF($B452="","",IF(BA$3=0,"n.b.",INDEX(SRC_ZPMW03!$A$1:$ZZ$501,$A452,BA$3)))</f>
        <v/>
      </c>
      <c r="BB452" s="124" t="str">
        <f>IF($B452="","",IF(BB$3=0,"n.b.",INDEX(SRC_ZPMW03!$A$1:$ZZ$501,$A452,BB$3)))</f>
        <v/>
      </c>
      <c r="BC452" s="124" t="str">
        <f>IF($B452="","",IF(BC$3=0,"n.b.",INDEX(SRC_ZPMW03!$A$1:$ZZ$501,$A452,BC$3)))</f>
        <v/>
      </c>
      <c r="BD452" s="124" t="str">
        <f>IF($B452="","",IF(BD$3=0,"n.b.",INDEX(SRC_ZPMW03!$A$1:$ZZ$501,$A452,BD$3)))</f>
        <v/>
      </c>
      <c r="BE452" s="124" t="str">
        <f>IF($B452="","",IF(BE$3=0,"n.b.",INDEX(SRC_ZPMW03!$A$1:$ZZ$501,$A452,BE$3)))</f>
        <v/>
      </c>
      <c r="BF452" s="124" t="str">
        <f>IF($B452="","",IF(BF$3=0,"n.b.",INDEX(SRC_ZPMW03!$A$1:$ZZ$501,$A452,BF$3)))</f>
        <v/>
      </c>
      <c r="BG452" t="str">
        <f>IF($B452="","",IF(BG$3=0,"n.b.",INDEX(SRC_ZPMW03!$A$1:$ZZ$501,$A452,BG$3)))</f>
        <v/>
      </c>
      <c r="BH452" t="str">
        <f>IF($B452="","",IF(BH$3=0,"n.b.",INDEX(SRC_ZPMW03!$A$1:$ZZ$501,$A452,BH$3)))</f>
        <v/>
      </c>
      <c r="BI452" t="str">
        <f>IF($B452="","",IF(BI$3=0,"n.b.",INDEX(SRC_ZPMW03!$A$1:$ZZ$501,$A452,BI$3)))</f>
        <v/>
      </c>
      <c r="BJ452" t="str">
        <f>IF($B452="","",IF(BJ$3=0,"n.b.",INDEX(SRC_ZPMW03!$A$1:$ZZ$501,$A452,BJ$3)))</f>
        <v/>
      </c>
      <c r="BK452" s="124" t="str">
        <f>IF($B452="","",IFERROR(-O452,"n.b."))</f>
        <v/>
      </c>
      <c r="BL452" s="124" t="str">
        <f>IF($B452="","",IFERROR(-Q452,"n.b."))</f>
        <v/>
      </c>
      <c r="BM452" s="124" t="str">
        <f>IF($B452="","",IFERROR(-AB452,"n.b."))</f>
        <v/>
      </c>
      <c r="BN452" s="124" t="str">
        <f>IF($B452="","",IFERROR(-AD452,"n.b."))</f>
        <v/>
      </c>
      <c r="BO452" s="124" t="str">
        <f>IF($B452="","",IFERROR(BK452+BM452,"n.b."))</f>
        <v/>
      </c>
      <c r="BP452" s="124" t="str">
        <f>IF($B452="","",IFERROR(BL452+BN452,"n.b."))</f>
        <v/>
      </c>
      <c r="BQ452" s="124" t="str">
        <f>IF($B452="","",IFERROR(-AM452,"n.b."))</f>
        <v/>
      </c>
      <c r="BR452" s="124" t="str">
        <f>IF($B452="","",IFERROR(-AO452,"n.b."))</f>
        <v/>
      </c>
      <c r="BS452" s="124" t="str">
        <f>IF($B452="","",IFERROR(-Z452,"n.b."))</f>
        <v/>
      </c>
      <c r="BT452" s="124" t="str">
        <f>IF($B452="","",IFERROR(-AA452,"n.b."))</f>
        <v/>
      </c>
      <c r="BU452" s="124" t="str">
        <f>IF($B452="","",IFERROR(-AE452,"n.b."))</f>
        <v/>
      </c>
      <c r="BV452" s="124" t="str">
        <f>IF($B452="","",IFERROR(-AF452,"n.b."))</f>
        <v/>
      </c>
      <c r="BW452" s="124" t="str">
        <f>IF($B452="","",IFERROR(-AG452,"n.b."))</f>
        <v/>
      </c>
      <c r="BX452" s="124" t="str">
        <f>IF($B452="","",IFERROR(-AH452,"n.b."))</f>
        <v/>
      </c>
      <c r="BY452" s="124" t="str">
        <f>IF($B452="","",IFERROR(-AI452,"n.b."))</f>
        <v/>
      </c>
      <c r="BZ452" s="124" t="str">
        <f>IF($B452="","",IFERROR(-AJ452,"n.b."))</f>
        <v/>
      </c>
      <c r="CA452" s="124" t="str">
        <f>IF($B452="","",IFERROR(-AK452,"n.b."))</f>
        <v/>
      </c>
      <c r="CB452" s="124" t="str">
        <f>IF($B452="","",IFERROR(-AL452,"n.b."))</f>
        <v/>
      </c>
      <c r="CC452" s="124" t="str">
        <f>IF($B452="","",IFERROR(-AP452,"n.b."))</f>
        <v/>
      </c>
      <c r="CD452" s="124" t="str">
        <f>IF($B452="","",IFERROR(-AQ452,"n.b."))</f>
        <v/>
      </c>
      <c r="CE452" s="124" t="str">
        <f>IF($B452="","",IFERROR(-AR452,"n.b."))</f>
        <v/>
      </c>
      <c r="CF452" s="124" t="str">
        <f>IF($B452="","",IFERROR(-AS452,"n.b."))</f>
        <v/>
      </c>
      <c r="CG452" s="124" t="str">
        <f>IF($B452="","",IFERROR(-AT452,"n.b."))</f>
        <v/>
      </c>
      <c r="CH452" s="124" t="str">
        <f>IF($B452="","",IFERROR(-AU452,"n.b."))</f>
        <v/>
      </c>
      <c r="CI452" s="124" t="str">
        <f>IF($B452="","",IFERROR(-AV452,"n.b."))</f>
        <v/>
      </c>
      <c r="CJ452" s="124" t="str">
        <f>IF($B452="","",IFERROR(-AW452,"n.b."))</f>
        <v/>
      </c>
      <c r="CK452" s="124" t="str">
        <f>IF($B452="","",IFERROR(-AX452,"n.b."))</f>
        <v/>
      </c>
      <c r="CL452" s="124" t="str">
        <f>IF($B452="","",IFERROR(-AY452,"n.b."))</f>
        <v/>
      </c>
      <c r="CM452" s="124" t="str">
        <f>IF($B452="","",IFERROR(-AZ452,"n.b."))</f>
        <v/>
      </c>
      <c r="CN452" s="124" t="str">
        <f>IF($B452="","",IFERROR(-BA452,"n.b."))</f>
        <v/>
      </c>
      <c r="CO452" s="124" t="str">
        <f>IF($B452="","",IFERROR(-BB452,"n.b."))</f>
        <v/>
      </c>
      <c r="CP452" s="124" t="str">
        <f>IF($B452="","",IFERROR(-BC452,"n.b."))</f>
        <v/>
      </c>
      <c r="CQ452" s="124" t="str">
        <f>IF($B452="","",IFERROR(-BD452,"n.b."))</f>
        <v/>
      </c>
      <c r="CR452" s="124" t="str">
        <f>IF($B452="","",IFERROR(-BE452,"n.b."))</f>
        <v/>
      </c>
      <c r="CS452" s="124" t="str">
        <f>IF($B452="","",IFERROR(IF(OR(ABS(T452+V452+X452+Z452-AB452)&gt;P_Tol,ABS(U452+W452+Y452+AA452-AD452)&gt;P_Tol,ABS(AE452+AG452+AI452+AK452-AM452)&gt;P_Tol,ABS(AF452+AH452+AJ452+AL452-AO452)&gt;P_Tol),1,0),1))</f>
        <v/>
      </c>
      <c r="CT452" s="124" t="str">
        <f>IF($B452="","",IFERROR(IF(OR(ABS(AB452+AC452-AD452)&gt;P_Tol,ABS(AM452+AN452-AO452)&gt;P_Tol,ABS(O452+P452-Q452)&gt;P_Tol),1,0),1))</f>
        <v/>
      </c>
      <c r="CU452" s="124" t="str">
        <f>IF($B452="","",IFERROR(IF(ABS(R452-(AB452+AM452+AP452+AR452+AT452+AV452+AX452+AZ452+BB452+BD452))&gt;P_Tol,1,0),1))</f>
        <v/>
      </c>
      <c r="CV452" s="124" t="str">
        <f>IF($B452="","",IFERROR(IF(ABS(M452-(N452+O452+R452))&gt;P_Tol,1,0),1))</f>
        <v/>
      </c>
      <c r="CW452" s="124" t="str">
        <f>IF($B452="","",IF(COUNTIF(Mapping!$A$5:$A$104,B452)&gt;0,1,0))</f>
        <v/>
      </c>
      <c r="CX452" s="124" t="str">
        <f>IF($B452="","",COUNTIF($B$6:$B$505,B452))</f>
        <v/>
      </c>
      <c r="CY452" s="124" t="str">
        <f>IF($B452="","",COUNTIF(STG_Woningetalage!$B$6:$B$505,B452))</f>
        <v/>
      </c>
      <c r="CZ452" s="124" t="str">
        <f>IF($B452="","",IF(CW452=0,COUNTIF($CW$6:CW452,0),""))</f>
        <v/>
      </c>
    </row>
    <row r="453">
      <c r="A453" s="15" t="n">
        <v>449</v>
      </c>
      <c r="B453" t="str">
        <f>IF(B$3=0,"",IF(INDEX(SRC_ZPMW03!$A$1:$ZZ$501,$A453,B$3)&amp;""="","",INDEX(SRC_ZPMW03!$A$1:$ZZ$501,$A453,B$3)&amp;""))</f>
        <v/>
      </c>
      <c r="C453" t="str">
        <f>IF($B453="","",IF(C$3=0,"n.b.",INDEX(SRC_ZPMW03!$A$1:$ZZ$501,$A453,C$3)))</f>
        <v/>
      </c>
      <c r="D453" t="str">
        <f>IF($B453="","",IF(D$3=0,"n.b.",INDEX(SRC_ZPMW03!$A$1:$ZZ$501,$A453,D$3)))</f>
        <v/>
      </c>
      <c r="E453" t="str">
        <f>IF($B453="","",IF(E$3=0,"n.b.",INDEX(SRC_ZPMW03!$A$1:$ZZ$501,$A453,E$3)))</f>
        <v/>
      </c>
      <c r="F453" t="str">
        <f>IF($B453="","",IF(F$3=0,"n.b.",INDEX(SRC_ZPMW03!$A$1:$ZZ$501,$A453,F$3)))</f>
        <v/>
      </c>
      <c r="G453" t="str">
        <f>IF($B453="","",IF(G$3=0,"n.b.",INDEX(SRC_ZPMW03!$A$1:$ZZ$501,$A453,G$3)))</f>
        <v/>
      </c>
      <c r="H453" t="str">
        <f>IF($B453="","",IF(H$3=0,"n.b.",INDEX(SRC_ZPMW03!$A$1:$ZZ$501,$A453,H$3)))</f>
        <v/>
      </c>
      <c r="I453" t="str">
        <f>IF($B453="","",IF(I$3=0,"n.b.",INDEX(SRC_ZPMW03!$A$1:$ZZ$501,$A453,I$3)))</f>
        <v/>
      </c>
      <c r="J453" t="str">
        <f>IF($B453="","",IF(J$3=0,"n.b.",INDEX(SRC_ZPMW03!$A$1:$ZZ$501,$A453,J$3)))</f>
        <v/>
      </c>
      <c r="K453" t="str">
        <f>IF($B453="","",IF(K$3=0,"n.b.",INDEX(SRC_ZPMW03!$A$1:$ZZ$501,$A453,K$3)))</f>
        <v/>
      </c>
      <c r="L453" s="124" t="str">
        <f>IF($B453="","",IF(L$3=0,"n.b.",INDEX(SRC_ZPMW03!$A$1:$ZZ$501,$A453,L$3)))</f>
        <v/>
      </c>
      <c r="M453" s="124" t="str">
        <f>IF($B453="","",IF(M$3=0,"n.b.",INDEX(SRC_ZPMW03!$A$1:$ZZ$501,$A453,M$3)))</f>
        <v/>
      </c>
      <c r="N453" s="124" t="str">
        <f>IF($B453="","",IF(N$3=0,"n.b.",INDEX(SRC_ZPMW03!$A$1:$ZZ$501,$A453,N$3)))</f>
        <v/>
      </c>
      <c r="O453" s="124" t="str">
        <f>IF($B453="","",IF(O$3=0,"n.b.",INDEX(SRC_ZPMW03!$A$1:$ZZ$501,$A453,O$3)))</f>
        <v/>
      </c>
      <c r="P453" s="124" t="str">
        <f>IF($B453="","",IF(P$3=0,"n.b.",INDEX(SRC_ZPMW03!$A$1:$ZZ$501,$A453,P$3)))</f>
        <v/>
      </c>
      <c r="Q453" s="124" t="str">
        <f>IF($B453="","",IF(Q$3=0,"n.b.",INDEX(SRC_ZPMW03!$A$1:$ZZ$501,$A453,Q$3)))</f>
        <v/>
      </c>
      <c r="R453" s="124" t="str">
        <f>IF($B453="","",IF(R$3=0,"n.b.",INDEX(SRC_ZPMW03!$A$1:$ZZ$501,$A453,R$3)))</f>
        <v/>
      </c>
      <c r="S453" s="124" t="str">
        <f>IF($B453="","",IF(S$3=0,"n.b.",INDEX(SRC_ZPMW03!$A$1:$ZZ$501,$A453,S$3)))</f>
        <v/>
      </c>
      <c r="T453" s="124" t="str">
        <f>IF($B453="","",IF(T$3=0,"n.b.",INDEX(SRC_ZPMW03!$A$1:$ZZ$501,$A453,T$3)))</f>
        <v/>
      </c>
      <c r="U453" s="124" t="str">
        <f>IF($B453="","",IF(U$3=0,"n.b.",INDEX(SRC_ZPMW03!$A$1:$ZZ$501,$A453,U$3)))</f>
        <v/>
      </c>
      <c r="V453" s="124" t="str">
        <f>IF($B453="","",IF(V$3=0,"n.b.",INDEX(SRC_ZPMW03!$A$1:$ZZ$501,$A453,V$3)))</f>
        <v/>
      </c>
      <c r="W453" s="124" t="str">
        <f>IF($B453="","",IF(W$3=0,"n.b.",INDEX(SRC_ZPMW03!$A$1:$ZZ$501,$A453,W$3)))</f>
        <v/>
      </c>
      <c r="X453" s="124" t="str">
        <f>IF($B453="","",IF(X$3=0,"n.b.",INDEX(SRC_ZPMW03!$A$1:$ZZ$501,$A453,X$3)))</f>
        <v/>
      </c>
      <c r="Y453" s="124" t="str">
        <f>IF($B453="","",IF(Y$3=0,"n.b.",INDEX(SRC_ZPMW03!$A$1:$ZZ$501,$A453,Y$3)))</f>
        <v/>
      </c>
      <c r="Z453" s="124" t="str">
        <f>IF($B453="","",IF(Z$3=0,"n.b.",INDEX(SRC_ZPMW03!$A$1:$ZZ$501,$A453,Z$3)))</f>
        <v/>
      </c>
      <c r="AA453" s="124" t="str">
        <f>IF($B453="","",IF(AA$3=0,"n.b.",INDEX(SRC_ZPMW03!$A$1:$ZZ$501,$A453,AA$3)))</f>
        <v/>
      </c>
      <c r="AB453" s="124" t="str">
        <f>IF($B453="","",IF(AB$3=0,"n.b.",INDEX(SRC_ZPMW03!$A$1:$ZZ$501,$A453,AB$3)))</f>
        <v/>
      </c>
      <c r="AC453" s="124" t="str">
        <f>IF($B453="","",IF(AC$3=0,"n.b.",INDEX(SRC_ZPMW03!$A$1:$ZZ$501,$A453,AC$3)))</f>
        <v/>
      </c>
      <c r="AD453" s="124" t="str">
        <f>IF($B453="","",IF(AD$3=0,"n.b.",INDEX(SRC_ZPMW03!$A$1:$ZZ$501,$A453,AD$3)))</f>
        <v/>
      </c>
      <c r="AE453" s="124" t="str">
        <f>IF($B453="","",IF(AE$3=0,"n.b.",INDEX(SRC_ZPMW03!$A$1:$ZZ$501,$A453,AE$3)))</f>
        <v/>
      </c>
      <c r="AF453" s="124" t="str">
        <f>IF($B453="","",IF(AF$3=0,"n.b.",INDEX(SRC_ZPMW03!$A$1:$ZZ$501,$A453,AF$3)))</f>
        <v/>
      </c>
      <c r="AG453" s="124" t="str">
        <f>IF($B453="","",IF(AG$3=0,"n.b.",INDEX(SRC_ZPMW03!$A$1:$ZZ$501,$A453,AG$3)))</f>
        <v/>
      </c>
      <c r="AH453" s="124" t="str">
        <f>IF($B453="","",IF(AH$3=0,"n.b.",INDEX(SRC_ZPMW03!$A$1:$ZZ$501,$A453,AH$3)))</f>
        <v/>
      </c>
      <c r="AI453" s="124" t="str">
        <f>IF($B453="","",IF(AI$3=0,"n.b.",INDEX(SRC_ZPMW03!$A$1:$ZZ$501,$A453,AI$3)))</f>
        <v/>
      </c>
      <c r="AJ453" s="124" t="str">
        <f>IF($B453="","",IF(AJ$3=0,"n.b.",INDEX(SRC_ZPMW03!$A$1:$ZZ$501,$A453,AJ$3)))</f>
        <v/>
      </c>
      <c r="AK453" s="124" t="str">
        <f>IF($B453="","",IF(AK$3=0,"n.b.",INDEX(SRC_ZPMW03!$A$1:$ZZ$501,$A453,AK$3)))</f>
        <v/>
      </c>
      <c r="AL453" s="124" t="str">
        <f>IF($B453="","",IF(AL$3=0,"n.b.",INDEX(SRC_ZPMW03!$A$1:$ZZ$501,$A453,AL$3)))</f>
        <v/>
      </c>
      <c r="AM453" s="124" t="str">
        <f>IF($B453="","",IF(AM$3=0,"n.b.",INDEX(SRC_ZPMW03!$A$1:$ZZ$501,$A453,AM$3)))</f>
        <v/>
      </c>
      <c r="AN453" s="124" t="str">
        <f>IF($B453="","",IF(AN$3=0,"n.b.",INDEX(SRC_ZPMW03!$A$1:$ZZ$501,$A453,AN$3)))</f>
        <v/>
      </c>
      <c r="AO453" s="124" t="str">
        <f>IF($B453="","",IF(AO$3=0,"n.b.",INDEX(SRC_ZPMW03!$A$1:$ZZ$501,$A453,AO$3)))</f>
        <v/>
      </c>
      <c r="AP453" s="124" t="str">
        <f>IF($B453="","",IF(AP$3=0,"n.b.",INDEX(SRC_ZPMW03!$A$1:$ZZ$501,$A453,AP$3)))</f>
        <v/>
      </c>
      <c r="AQ453" s="124" t="str">
        <f>IF($B453="","",IF(AQ$3=0,"n.b.",INDEX(SRC_ZPMW03!$A$1:$ZZ$501,$A453,AQ$3)))</f>
        <v/>
      </c>
      <c r="AR453" s="124" t="str">
        <f>IF($B453="","",IF(AR$3=0,"n.b.",INDEX(SRC_ZPMW03!$A$1:$ZZ$501,$A453,AR$3)))</f>
        <v/>
      </c>
      <c r="AS453" s="124" t="str">
        <f>IF($B453="","",IF(AS$3=0,"n.b.",INDEX(SRC_ZPMW03!$A$1:$ZZ$501,$A453,AS$3)))</f>
        <v/>
      </c>
      <c r="AT453" s="124" t="str">
        <f>IF($B453="","",IF(AT$3=0,"n.b.",INDEX(SRC_ZPMW03!$A$1:$ZZ$501,$A453,AT$3)))</f>
        <v/>
      </c>
      <c r="AU453" s="124" t="str">
        <f>IF($B453="","",IF(AU$3=0,"n.b.",INDEX(SRC_ZPMW03!$A$1:$ZZ$501,$A453,AU$3)))</f>
        <v/>
      </c>
      <c r="AV453" s="124" t="str">
        <f>IF($B453="","",IF(AV$3=0,"n.b.",INDEX(SRC_ZPMW03!$A$1:$ZZ$501,$A453,AV$3)))</f>
        <v/>
      </c>
      <c r="AW453" s="124" t="str">
        <f>IF($B453="","",IF(AW$3=0,"n.b.",INDEX(SRC_ZPMW03!$A$1:$ZZ$501,$A453,AW$3)))</f>
        <v/>
      </c>
      <c r="AX453" s="124" t="str">
        <f>IF($B453="","",IF(AX$3=0,"n.b.",INDEX(SRC_ZPMW03!$A$1:$ZZ$501,$A453,AX$3)))</f>
        <v/>
      </c>
      <c r="AY453" s="124" t="str">
        <f>IF($B453="","",IF(AY$3=0,"n.b.",INDEX(SRC_ZPMW03!$A$1:$ZZ$501,$A453,AY$3)))</f>
        <v/>
      </c>
      <c r="AZ453" s="124" t="str">
        <f>IF($B453="","",IF(AZ$3=0,"n.b.",INDEX(SRC_ZPMW03!$A$1:$ZZ$501,$A453,AZ$3)))</f>
        <v/>
      </c>
      <c r="BA453" s="124" t="str">
        <f>IF($B453="","",IF(BA$3=0,"n.b.",INDEX(SRC_ZPMW03!$A$1:$ZZ$501,$A453,BA$3)))</f>
        <v/>
      </c>
      <c r="BB453" s="124" t="str">
        <f>IF($B453="","",IF(BB$3=0,"n.b.",INDEX(SRC_ZPMW03!$A$1:$ZZ$501,$A453,BB$3)))</f>
        <v/>
      </c>
      <c r="BC453" s="124" t="str">
        <f>IF($B453="","",IF(BC$3=0,"n.b.",INDEX(SRC_ZPMW03!$A$1:$ZZ$501,$A453,BC$3)))</f>
        <v/>
      </c>
      <c r="BD453" s="124" t="str">
        <f>IF($B453="","",IF(BD$3=0,"n.b.",INDEX(SRC_ZPMW03!$A$1:$ZZ$501,$A453,BD$3)))</f>
        <v/>
      </c>
      <c r="BE453" s="124" t="str">
        <f>IF($B453="","",IF(BE$3=0,"n.b.",INDEX(SRC_ZPMW03!$A$1:$ZZ$501,$A453,BE$3)))</f>
        <v/>
      </c>
      <c r="BF453" s="124" t="str">
        <f>IF($B453="","",IF(BF$3=0,"n.b.",INDEX(SRC_ZPMW03!$A$1:$ZZ$501,$A453,BF$3)))</f>
        <v/>
      </c>
      <c r="BG453" t="str">
        <f>IF($B453="","",IF(BG$3=0,"n.b.",INDEX(SRC_ZPMW03!$A$1:$ZZ$501,$A453,BG$3)))</f>
        <v/>
      </c>
      <c r="BH453" t="str">
        <f>IF($B453="","",IF(BH$3=0,"n.b.",INDEX(SRC_ZPMW03!$A$1:$ZZ$501,$A453,BH$3)))</f>
        <v/>
      </c>
      <c r="BI453" t="str">
        <f>IF($B453="","",IF(BI$3=0,"n.b.",INDEX(SRC_ZPMW03!$A$1:$ZZ$501,$A453,BI$3)))</f>
        <v/>
      </c>
      <c r="BJ453" t="str">
        <f>IF($B453="","",IF(BJ$3=0,"n.b.",INDEX(SRC_ZPMW03!$A$1:$ZZ$501,$A453,BJ$3)))</f>
        <v/>
      </c>
      <c r="BK453" s="124" t="str">
        <f>IF($B453="","",IFERROR(-O453,"n.b."))</f>
        <v/>
      </c>
      <c r="BL453" s="124" t="str">
        <f>IF($B453="","",IFERROR(-Q453,"n.b."))</f>
        <v/>
      </c>
      <c r="BM453" s="124" t="str">
        <f>IF($B453="","",IFERROR(-AB453,"n.b."))</f>
        <v/>
      </c>
      <c r="BN453" s="124" t="str">
        <f>IF($B453="","",IFERROR(-AD453,"n.b."))</f>
        <v/>
      </c>
      <c r="BO453" s="124" t="str">
        <f>IF($B453="","",IFERROR(BK453+BM453,"n.b."))</f>
        <v/>
      </c>
      <c r="BP453" s="124" t="str">
        <f>IF($B453="","",IFERROR(BL453+BN453,"n.b."))</f>
        <v/>
      </c>
      <c r="BQ453" s="124" t="str">
        <f>IF($B453="","",IFERROR(-AM453,"n.b."))</f>
        <v/>
      </c>
      <c r="BR453" s="124" t="str">
        <f>IF($B453="","",IFERROR(-AO453,"n.b."))</f>
        <v/>
      </c>
      <c r="BS453" s="124" t="str">
        <f>IF($B453="","",IFERROR(-Z453,"n.b."))</f>
        <v/>
      </c>
      <c r="BT453" s="124" t="str">
        <f>IF($B453="","",IFERROR(-AA453,"n.b."))</f>
        <v/>
      </c>
      <c r="BU453" s="124" t="str">
        <f>IF($B453="","",IFERROR(-AE453,"n.b."))</f>
        <v/>
      </c>
      <c r="BV453" s="124" t="str">
        <f>IF($B453="","",IFERROR(-AF453,"n.b."))</f>
        <v/>
      </c>
      <c r="BW453" s="124" t="str">
        <f>IF($B453="","",IFERROR(-AG453,"n.b."))</f>
        <v/>
      </c>
      <c r="BX453" s="124" t="str">
        <f>IF($B453="","",IFERROR(-AH453,"n.b."))</f>
        <v/>
      </c>
      <c r="BY453" s="124" t="str">
        <f>IF($B453="","",IFERROR(-AI453,"n.b."))</f>
        <v/>
      </c>
      <c r="BZ453" s="124" t="str">
        <f>IF($B453="","",IFERROR(-AJ453,"n.b."))</f>
        <v/>
      </c>
      <c r="CA453" s="124" t="str">
        <f>IF($B453="","",IFERROR(-AK453,"n.b."))</f>
        <v/>
      </c>
      <c r="CB453" s="124" t="str">
        <f>IF($B453="","",IFERROR(-AL453,"n.b."))</f>
        <v/>
      </c>
      <c r="CC453" s="124" t="str">
        <f>IF($B453="","",IFERROR(-AP453,"n.b."))</f>
        <v/>
      </c>
      <c r="CD453" s="124" t="str">
        <f>IF($B453="","",IFERROR(-AQ453,"n.b."))</f>
        <v/>
      </c>
      <c r="CE453" s="124" t="str">
        <f>IF($B453="","",IFERROR(-AR453,"n.b."))</f>
        <v/>
      </c>
      <c r="CF453" s="124" t="str">
        <f>IF($B453="","",IFERROR(-AS453,"n.b."))</f>
        <v/>
      </c>
      <c r="CG453" s="124" t="str">
        <f>IF($B453="","",IFERROR(-AT453,"n.b."))</f>
        <v/>
      </c>
      <c r="CH453" s="124" t="str">
        <f>IF($B453="","",IFERROR(-AU453,"n.b."))</f>
        <v/>
      </c>
      <c r="CI453" s="124" t="str">
        <f>IF($B453="","",IFERROR(-AV453,"n.b."))</f>
        <v/>
      </c>
      <c r="CJ453" s="124" t="str">
        <f>IF($B453="","",IFERROR(-AW453,"n.b."))</f>
        <v/>
      </c>
      <c r="CK453" s="124" t="str">
        <f>IF($B453="","",IFERROR(-AX453,"n.b."))</f>
        <v/>
      </c>
      <c r="CL453" s="124" t="str">
        <f>IF($B453="","",IFERROR(-AY453,"n.b."))</f>
        <v/>
      </c>
      <c r="CM453" s="124" t="str">
        <f>IF($B453="","",IFERROR(-AZ453,"n.b."))</f>
        <v/>
      </c>
      <c r="CN453" s="124" t="str">
        <f>IF($B453="","",IFERROR(-BA453,"n.b."))</f>
        <v/>
      </c>
      <c r="CO453" s="124" t="str">
        <f>IF($B453="","",IFERROR(-BB453,"n.b."))</f>
        <v/>
      </c>
      <c r="CP453" s="124" t="str">
        <f>IF($B453="","",IFERROR(-BC453,"n.b."))</f>
        <v/>
      </c>
      <c r="CQ453" s="124" t="str">
        <f>IF($B453="","",IFERROR(-BD453,"n.b."))</f>
        <v/>
      </c>
      <c r="CR453" s="124" t="str">
        <f>IF($B453="","",IFERROR(-BE453,"n.b."))</f>
        <v/>
      </c>
      <c r="CS453" s="124" t="str">
        <f>IF($B453="","",IFERROR(IF(OR(ABS(T453+V453+X453+Z453-AB453)&gt;P_Tol,ABS(U453+W453+Y453+AA453-AD453)&gt;P_Tol,ABS(AE453+AG453+AI453+AK453-AM453)&gt;P_Tol,ABS(AF453+AH453+AJ453+AL453-AO453)&gt;P_Tol),1,0),1))</f>
        <v/>
      </c>
      <c r="CT453" s="124" t="str">
        <f>IF($B453="","",IFERROR(IF(OR(ABS(AB453+AC453-AD453)&gt;P_Tol,ABS(AM453+AN453-AO453)&gt;P_Tol,ABS(O453+P453-Q453)&gt;P_Tol),1,0),1))</f>
        <v/>
      </c>
      <c r="CU453" s="124" t="str">
        <f>IF($B453="","",IFERROR(IF(ABS(R453-(AB453+AM453+AP453+AR453+AT453+AV453+AX453+AZ453+BB453+BD453))&gt;P_Tol,1,0),1))</f>
        <v/>
      </c>
      <c r="CV453" s="124" t="str">
        <f>IF($B453="","",IFERROR(IF(ABS(M453-(N453+O453+R453))&gt;P_Tol,1,0),1))</f>
        <v/>
      </c>
      <c r="CW453" s="124" t="str">
        <f>IF($B453="","",IF(COUNTIF(Mapping!$A$5:$A$104,B453)&gt;0,1,0))</f>
        <v/>
      </c>
      <c r="CX453" s="124" t="str">
        <f>IF($B453="","",COUNTIF($B$6:$B$505,B453))</f>
        <v/>
      </c>
      <c r="CY453" s="124" t="str">
        <f>IF($B453="","",COUNTIF(STG_Woningetalage!$B$6:$B$505,B453))</f>
        <v/>
      </c>
      <c r="CZ453" s="124" t="str">
        <f>IF($B453="","",IF(CW453=0,COUNTIF($CW$6:CW453,0),""))</f>
        <v/>
      </c>
    </row>
    <row r="454">
      <c r="A454" s="15" t="n">
        <v>450</v>
      </c>
      <c r="B454" t="str">
        <f>IF(B$3=0,"",IF(INDEX(SRC_ZPMW03!$A$1:$ZZ$501,$A454,B$3)&amp;""="","",INDEX(SRC_ZPMW03!$A$1:$ZZ$501,$A454,B$3)&amp;""))</f>
        <v/>
      </c>
      <c r="C454" t="str">
        <f>IF($B454="","",IF(C$3=0,"n.b.",INDEX(SRC_ZPMW03!$A$1:$ZZ$501,$A454,C$3)))</f>
        <v/>
      </c>
      <c r="D454" t="str">
        <f>IF($B454="","",IF(D$3=0,"n.b.",INDEX(SRC_ZPMW03!$A$1:$ZZ$501,$A454,D$3)))</f>
        <v/>
      </c>
      <c r="E454" t="str">
        <f>IF($B454="","",IF(E$3=0,"n.b.",INDEX(SRC_ZPMW03!$A$1:$ZZ$501,$A454,E$3)))</f>
        <v/>
      </c>
      <c r="F454" t="str">
        <f>IF($B454="","",IF(F$3=0,"n.b.",INDEX(SRC_ZPMW03!$A$1:$ZZ$501,$A454,F$3)))</f>
        <v/>
      </c>
      <c r="G454" t="str">
        <f>IF($B454="","",IF(G$3=0,"n.b.",INDEX(SRC_ZPMW03!$A$1:$ZZ$501,$A454,G$3)))</f>
        <v/>
      </c>
      <c r="H454" t="str">
        <f>IF($B454="","",IF(H$3=0,"n.b.",INDEX(SRC_ZPMW03!$A$1:$ZZ$501,$A454,H$3)))</f>
        <v/>
      </c>
      <c r="I454" t="str">
        <f>IF($B454="","",IF(I$3=0,"n.b.",INDEX(SRC_ZPMW03!$A$1:$ZZ$501,$A454,I$3)))</f>
        <v/>
      </c>
      <c r="J454" t="str">
        <f>IF($B454="","",IF(J$3=0,"n.b.",INDEX(SRC_ZPMW03!$A$1:$ZZ$501,$A454,J$3)))</f>
        <v/>
      </c>
      <c r="K454" t="str">
        <f>IF($B454="","",IF(K$3=0,"n.b.",INDEX(SRC_ZPMW03!$A$1:$ZZ$501,$A454,K$3)))</f>
        <v/>
      </c>
      <c r="L454" s="124" t="str">
        <f>IF($B454="","",IF(L$3=0,"n.b.",INDEX(SRC_ZPMW03!$A$1:$ZZ$501,$A454,L$3)))</f>
        <v/>
      </c>
      <c r="M454" s="124" t="str">
        <f>IF($B454="","",IF(M$3=0,"n.b.",INDEX(SRC_ZPMW03!$A$1:$ZZ$501,$A454,M$3)))</f>
        <v/>
      </c>
      <c r="N454" s="124" t="str">
        <f>IF($B454="","",IF(N$3=0,"n.b.",INDEX(SRC_ZPMW03!$A$1:$ZZ$501,$A454,N$3)))</f>
        <v/>
      </c>
      <c r="O454" s="124" t="str">
        <f>IF($B454="","",IF(O$3=0,"n.b.",INDEX(SRC_ZPMW03!$A$1:$ZZ$501,$A454,O$3)))</f>
        <v/>
      </c>
      <c r="P454" s="124" t="str">
        <f>IF($B454="","",IF(P$3=0,"n.b.",INDEX(SRC_ZPMW03!$A$1:$ZZ$501,$A454,P$3)))</f>
        <v/>
      </c>
      <c r="Q454" s="124" t="str">
        <f>IF($B454="","",IF(Q$3=0,"n.b.",INDEX(SRC_ZPMW03!$A$1:$ZZ$501,$A454,Q$3)))</f>
        <v/>
      </c>
      <c r="R454" s="124" t="str">
        <f>IF($B454="","",IF(R$3=0,"n.b.",INDEX(SRC_ZPMW03!$A$1:$ZZ$501,$A454,R$3)))</f>
        <v/>
      </c>
      <c r="S454" s="124" t="str">
        <f>IF($B454="","",IF(S$3=0,"n.b.",INDEX(SRC_ZPMW03!$A$1:$ZZ$501,$A454,S$3)))</f>
        <v/>
      </c>
      <c r="T454" s="124" t="str">
        <f>IF($B454="","",IF(T$3=0,"n.b.",INDEX(SRC_ZPMW03!$A$1:$ZZ$501,$A454,T$3)))</f>
        <v/>
      </c>
      <c r="U454" s="124" t="str">
        <f>IF($B454="","",IF(U$3=0,"n.b.",INDEX(SRC_ZPMW03!$A$1:$ZZ$501,$A454,U$3)))</f>
        <v/>
      </c>
      <c r="V454" s="124" t="str">
        <f>IF($B454="","",IF(V$3=0,"n.b.",INDEX(SRC_ZPMW03!$A$1:$ZZ$501,$A454,V$3)))</f>
        <v/>
      </c>
      <c r="W454" s="124" t="str">
        <f>IF($B454="","",IF(W$3=0,"n.b.",INDEX(SRC_ZPMW03!$A$1:$ZZ$501,$A454,W$3)))</f>
        <v/>
      </c>
      <c r="X454" s="124" t="str">
        <f>IF($B454="","",IF(X$3=0,"n.b.",INDEX(SRC_ZPMW03!$A$1:$ZZ$501,$A454,X$3)))</f>
        <v/>
      </c>
      <c r="Y454" s="124" t="str">
        <f>IF($B454="","",IF(Y$3=0,"n.b.",INDEX(SRC_ZPMW03!$A$1:$ZZ$501,$A454,Y$3)))</f>
        <v/>
      </c>
      <c r="Z454" s="124" t="str">
        <f>IF($B454="","",IF(Z$3=0,"n.b.",INDEX(SRC_ZPMW03!$A$1:$ZZ$501,$A454,Z$3)))</f>
        <v/>
      </c>
      <c r="AA454" s="124" t="str">
        <f>IF($B454="","",IF(AA$3=0,"n.b.",INDEX(SRC_ZPMW03!$A$1:$ZZ$501,$A454,AA$3)))</f>
        <v/>
      </c>
      <c r="AB454" s="124" t="str">
        <f>IF($B454="","",IF(AB$3=0,"n.b.",INDEX(SRC_ZPMW03!$A$1:$ZZ$501,$A454,AB$3)))</f>
        <v/>
      </c>
      <c r="AC454" s="124" t="str">
        <f>IF($B454="","",IF(AC$3=0,"n.b.",INDEX(SRC_ZPMW03!$A$1:$ZZ$501,$A454,AC$3)))</f>
        <v/>
      </c>
      <c r="AD454" s="124" t="str">
        <f>IF($B454="","",IF(AD$3=0,"n.b.",INDEX(SRC_ZPMW03!$A$1:$ZZ$501,$A454,AD$3)))</f>
        <v/>
      </c>
      <c r="AE454" s="124" t="str">
        <f>IF($B454="","",IF(AE$3=0,"n.b.",INDEX(SRC_ZPMW03!$A$1:$ZZ$501,$A454,AE$3)))</f>
        <v/>
      </c>
      <c r="AF454" s="124" t="str">
        <f>IF($B454="","",IF(AF$3=0,"n.b.",INDEX(SRC_ZPMW03!$A$1:$ZZ$501,$A454,AF$3)))</f>
        <v/>
      </c>
      <c r="AG454" s="124" t="str">
        <f>IF($B454="","",IF(AG$3=0,"n.b.",INDEX(SRC_ZPMW03!$A$1:$ZZ$501,$A454,AG$3)))</f>
        <v/>
      </c>
      <c r="AH454" s="124" t="str">
        <f>IF($B454="","",IF(AH$3=0,"n.b.",INDEX(SRC_ZPMW03!$A$1:$ZZ$501,$A454,AH$3)))</f>
        <v/>
      </c>
      <c r="AI454" s="124" t="str">
        <f>IF($B454="","",IF(AI$3=0,"n.b.",INDEX(SRC_ZPMW03!$A$1:$ZZ$501,$A454,AI$3)))</f>
        <v/>
      </c>
      <c r="AJ454" s="124" t="str">
        <f>IF($B454="","",IF(AJ$3=0,"n.b.",INDEX(SRC_ZPMW03!$A$1:$ZZ$501,$A454,AJ$3)))</f>
        <v/>
      </c>
      <c r="AK454" s="124" t="str">
        <f>IF($B454="","",IF(AK$3=0,"n.b.",INDEX(SRC_ZPMW03!$A$1:$ZZ$501,$A454,AK$3)))</f>
        <v/>
      </c>
      <c r="AL454" s="124" t="str">
        <f>IF($B454="","",IF(AL$3=0,"n.b.",INDEX(SRC_ZPMW03!$A$1:$ZZ$501,$A454,AL$3)))</f>
        <v/>
      </c>
      <c r="AM454" s="124" t="str">
        <f>IF($B454="","",IF(AM$3=0,"n.b.",INDEX(SRC_ZPMW03!$A$1:$ZZ$501,$A454,AM$3)))</f>
        <v/>
      </c>
      <c r="AN454" s="124" t="str">
        <f>IF($B454="","",IF(AN$3=0,"n.b.",INDEX(SRC_ZPMW03!$A$1:$ZZ$501,$A454,AN$3)))</f>
        <v/>
      </c>
      <c r="AO454" s="124" t="str">
        <f>IF($B454="","",IF(AO$3=0,"n.b.",INDEX(SRC_ZPMW03!$A$1:$ZZ$501,$A454,AO$3)))</f>
        <v/>
      </c>
      <c r="AP454" s="124" t="str">
        <f>IF($B454="","",IF(AP$3=0,"n.b.",INDEX(SRC_ZPMW03!$A$1:$ZZ$501,$A454,AP$3)))</f>
        <v/>
      </c>
      <c r="AQ454" s="124" t="str">
        <f>IF($B454="","",IF(AQ$3=0,"n.b.",INDEX(SRC_ZPMW03!$A$1:$ZZ$501,$A454,AQ$3)))</f>
        <v/>
      </c>
      <c r="AR454" s="124" t="str">
        <f>IF($B454="","",IF(AR$3=0,"n.b.",INDEX(SRC_ZPMW03!$A$1:$ZZ$501,$A454,AR$3)))</f>
        <v/>
      </c>
      <c r="AS454" s="124" t="str">
        <f>IF($B454="","",IF(AS$3=0,"n.b.",INDEX(SRC_ZPMW03!$A$1:$ZZ$501,$A454,AS$3)))</f>
        <v/>
      </c>
      <c r="AT454" s="124" t="str">
        <f>IF($B454="","",IF(AT$3=0,"n.b.",INDEX(SRC_ZPMW03!$A$1:$ZZ$501,$A454,AT$3)))</f>
        <v/>
      </c>
      <c r="AU454" s="124" t="str">
        <f>IF($B454="","",IF(AU$3=0,"n.b.",INDEX(SRC_ZPMW03!$A$1:$ZZ$501,$A454,AU$3)))</f>
        <v/>
      </c>
      <c r="AV454" s="124" t="str">
        <f>IF($B454="","",IF(AV$3=0,"n.b.",INDEX(SRC_ZPMW03!$A$1:$ZZ$501,$A454,AV$3)))</f>
        <v/>
      </c>
      <c r="AW454" s="124" t="str">
        <f>IF($B454="","",IF(AW$3=0,"n.b.",INDEX(SRC_ZPMW03!$A$1:$ZZ$501,$A454,AW$3)))</f>
        <v/>
      </c>
      <c r="AX454" s="124" t="str">
        <f>IF($B454="","",IF(AX$3=0,"n.b.",INDEX(SRC_ZPMW03!$A$1:$ZZ$501,$A454,AX$3)))</f>
        <v/>
      </c>
      <c r="AY454" s="124" t="str">
        <f>IF($B454="","",IF(AY$3=0,"n.b.",INDEX(SRC_ZPMW03!$A$1:$ZZ$501,$A454,AY$3)))</f>
        <v/>
      </c>
      <c r="AZ454" s="124" t="str">
        <f>IF($B454="","",IF(AZ$3=0,"n.b.",INDEX(SRC_ZPMW03!$A$1:$ZZ$501,$A454,AZ$3)))</f>
        <v/>
      </c>
      <c r="BA454" s="124" t="str">
        <f>IF($B454="","",IF(BA$3=0,"n.b.",INDEX(SRC_ZPMW03!$A$1:$ZZ$501,$A454,BA$3)))</f>
        <v/>
      </c>
      <c r="BB454" s="124" t="str">
        <f>IF($B454="","",IF(BB$3=0,"n.b.",INDEX(SRC_ZPMW03!$A$1:$ZZ$501,$A454,BB$3)))</f>
        <v/>
      </c>
      <c r="BC454" s="124" t="str">
        <f>IF($B454="","",IF(BC$3=0,"n.b.",INDEX(SRC_ZPMW03!$A$1:$ZZ$501,$A454,BC$3)))</f>
        <v/>
      </c>
      <c r="BD454" s="124" t="str">
        <f>IF($B454="","",IF(BD$3=0,"n.b.",INDEX(SRC_ZPMW03!$A$1:$ZZ$501,$A454,BD$3)))</f>
        <v/>
      </c>
      <c r="BE454" s="124" t="str">
        <f>IF($B454="","",IF(BE$3=0,"n.b.",INDEX(SRC_ZPMW03!$A$1:$ZZ$501,$A454,BE$3)))</f>
        <v/>
      </c>
      <c r="BF454" s="124" t="str">
        <f>IF($B454="","",IF(BF$3=0,"n.b.",INDEX(SRC_ZPMW03!$A$1:$ZZ$501,$A454,BF$3)))</f>
        <v/>
      </c>
      <c r="BG454" t="str">
        <f>IF($B454="","",IF(BG$3=0,"n.b.",INDEX(SRC_ZPMW03!$A$1:$ZZ$501,$A454,BG$3)))</f>
        <v/>
      </c>
      <c r="BH454" t="str">
        <f>IF($B454="","",IF(BH$3=0,"n.b.",INDEX(SRC_ZPMW03!$A$1:$ZZ$501,$A454,BH$3)))</f>
        <v/>
      </c>
      <c r="BI454" t="str">
        <f>IF($B454="","",IF(BI$3=0,"n.b.",INDEX(SRC_ZPMW03!$A$1:$ZZ$501,$A454,BI$3)))</f>
        <v/>
      </c>
      <c r="BJ454" t="str">
        <f>IF($B454="","",IF(BJ$3=0,"n.b.",INDEX(SRC_ZPMW03!$A$1:$ZZ$501,$A454,BJ$3)))</f>
        <v/>
      </c>
      <c r="BK454" s="124" t="str">
        <f>IF($B454="","",IFERROR(-O454,"n.b."))</f>
        <v/>
      </c>
      <c r="BL454" s="124" t="str">
        <f>IF($B454="","",IFERROR(-Q454,"n.b."))</f>
        <v/>
      </c>
      <c r="BM454" s="124" t="str">
        <f>IF($B454="","",IFERROR(-AB454,"n.b."))</f>
        <v/>
      </c>
      <c r="BN454" s="124" t="str">
        <f>IF($B454="","",IFERROR(-AD454,"n.b."))</f>
        <v/>
      </c>
      <c r="BO454" s="124" t="str">
        <f>IF($B454="","",IFERROR(BK454+BM454,"n.b."))</f>
        <v/>
      </c>
      <c r="BP454" s="124" t="str">
        <f>IF($B454="","",IFERROR(BL454+BN454,"n.b."))</f>
        <v/>
      </c>
      <c r="BQ454" s="124" t="str">
        <f>IF($B454="","",IFERROR(-AM454,"n.b."))</f>
        <v/>
      </c>
      <c r="BR454" s="124" t="str">
        <f>IF($B454="","",IFERROR(-AO454,"n.b."))</f>
        <v/>
      </c>
      <c r="BS454" s="124" t="str">
        <f>IF($B454="","",IFERROR(-Z454,"n.b."))</f>
        <v/>
      </c>
      <c r="BT454" s="124" t="str">
        <f>IF($B454="","",IFERROR(-AA454,"n.b."))</f>
        <v/>
      </c>
      <c r="BU454" s="124" t="str">
        <f>IF($B454="","",IFERROR(-AE454,"n.b."))</f>
        <v/>
      </c>
      <c r="BV454" s="124" t="str">
        <f>IF($B454="","",IFERROR(-AF454,"n.b."))</f>
        <v/>
      </c>
      <c r="BW454" s="124" t="str">
        <f>IF($B454="","",IFERROR(-AG454,"n.b."))</f>
        <v/>
      </c>
      <c r="BX454" s="124" t="str">
        <f>IF($B454="","",IFERROR(-AH454,"n.b."))</f>
        <v/>
      </c>
      <c r="BY454" s="124" t="str">
        <f>IF($B454="","",IFERROR(-AI454,"n.b."))</f>
        <v/>
      </c>
      <c r="BZ454" s="124" t="str">
        <f>IF($B454="","",IFERROR(-AJ454,"n.b."))</f>
        <v/>
      </c>
      <c r="CA454" s="124" t="str">
        <f>IF($B454="","",IFERROR(-AK454,"n.b."))</f>
        <v/>
      </c>
      <c r="CB454" s="124" t="str">
        <f>IF($B454="","",IFERROR(-AL454,"n.b."))</f>
        <v/>
      </c>
      <c r="CC454" s="124" t="str">
        <f>IF($B454="","",IFERROR(-AP454,"n.b."))</f>
        <v/>
      </c>
      <c r="CD454" s="124" t="str">
        <f>IF($B454="","",IFERROR(-AQ454,"n.b."))</f>
        <v/>
      </c>
      <c r="CE454" s="124" t="str">
        <f>IF($B454="","",IFERROR(-AR454,"n.b."))</f>
        <v/>
      </c>
      <c r="CF454" s="124" t="str">
        <f>IF($B454="","",IFERROR(-AS454,"n.b."))</f>
        <v/>
      </c>
      <c r="CG454" s="124" t="str">
        <f>IF($B454="","",IFERROR(-AT454,"n.b."))</f>
        <v/>
      </c>
      <c r="CH454" s="124" t="str">
        <f>IF($B454="","",IFERROR(-AU454,"n.b."))</f>
        <v/>
      </c>
      <c r="CI454" s="124" t="str">
        <f>IF($B454="","",IFERROR(-AV454,"n.b."))</f>
        <v/>
      </c>
      <c r="CJ454" s="124" t="str">
        <f>IF($B454="","",IFERROR(-AW454,"n.b."))</f>
        <v/>
      </c>
      <c r="CK454" s="124" t="str">
        <f>IF($B454="","",IFERROR(-AX454,"n.b."))</f>
        <v/>
      </c>
      <c r="CL454" s="124" t="str">
        <f>IF($B454="","",IFERROR(-AY454,"n.b."))</f>
        <v/>
      </c>
      <c r="CM454" s="124" t="str">
        <f>IF($B454="","",IFERROR(-AZ454,"n.b."))</f>
        <v/>
      </c>
      <c r="CN454" s="124" t="str">
        <f>IF($B454="","",IFERROR(-BA454,"n.b."))</f>
        <v/>
      </c>
      <c r="CO454" s="124" t="str">
        <f>IF($B454="","",IFERROR(-BB454,"n.b."))</f>
        <v/>
      </c>
      <c r="CP454" s="124" t="str">
        <f>IF($B454="","",IFERROR(-BC454,"n.b."))</f>
        <v/>
      </c>
      <c r="CQ454" s="124" t="str">
        <f>IF($B454="","",IFERROR(-BD454,"n.b."))</f>
        <v/>
      </c>
      <c r="CR454" s="124" t="str">
        <f>IF($B454="","",IFERROR(-BE454,"n.b."))</f>
        <v/>
      </c>
      <c r="CS454" s="124" t="str">
        <f>IF($B454="","",IFERROR(IF(OR(ABS(T454+V454+X454+Z454-AB454)&gt;P_Tol,ABS(U454+W454+Y454+AA454-AD454)&gt;P_Tol,ABS(AE454+AG454+AI454+AK454-AM454)&gt;P_Tol,ABS(AF454+AH454+AJ454+AL454-AO454)&gt;P_Tol),1,0),1))</f>
        <v/>
      </c>
      <c r="CT454" s="124" t="str">
        <f>IF($B454="","",IFERROR(IF(OR(ABS(AB454+AC454-AD454)&gt;P_Tol,ABS(AM454+AN454-AO454)&gt;P_Tol,ABS(O454+P454-Q454)&gt;P_Tol),1,0),1))</f>
        <v/>
      </c>
      <c r="CU454" s="124" t="str">
        <f>IF($B454="","",IFERROR(IF(ABS(R454-(AB454+AM454+AP454+AR454+AT454+AV454+AX454+AZ454+BB454+BD454))&gt;P_Tol,1,0),1))</f>
        <v/>
      </c>
      <c r="CV454" s="124" t="str">
        <f>IF($B454="","",IFERROR(IF(ABS(M454-(N454+O454+R454))&gt;P_Tol,1,0),1))</f>
        <v/>
      </c>
      <c r="CW454" s="124" t="str">
        <f>IF($B454="","",IF(COUNTIF(Mapping!$A$5:$A$104,B454)&gt;0,1,0))</f>
        <v/>
      </c>
      <c r="CX454" s="124" t="str">
        <f>IF($B454="","",COUNTIF($B$6:$B$505,B454))</f>
        <v/>
      </c>
      <c r="CY454" s="124" t="str">
        <f>IF($B454="","",COUNTIF(STG_Woningetalage!$B$6:$B$505,B454))</f>
        <v/>
      </c>
      <c r="CZ454" s="124" t="str">
        <f>IF($B454="","",IF(CW454=0,COUNTIF($CW$6:CW454,0),""))</f>
        <v/>
      </c>
    </row>
    <row r="455">
      <c r="A455" s="15" t="n">
        <v>451</v>
      </c>
      <c r="B455" t="str">
        <f>IF(B$3=0,"",IF(INDEX(SRC_ZPMW03!$A$1:$ZZ$501,$A455,B$3)&amp;""="","",INDEX(SRC_ZPMW03!$A$1:$ZZ$501,$A455,B$3)&amp;""))</f>
        <v/>
      </c>
      <c r="C455" t="str">
        <f>IF($B455="","",IF(C$3=0,"n.b.",INDEX(SRC_ZPMW03!$A$1:$ZZ$501,$A455,C$3)))</f>
        <v/>
      </c>
      <c r="D455" t="str">
        <f>IF($B455="","",IF(D$3=0,"n.b.",INDEX(SRC_ZPMW03!$A$1:$ZZ$501,$A455,D$3)))</f>
        <v/>
      </c>
      <c r="E455" t="str">
        <f>IF($B455="","",IF(E$3=0,"n.b.",INDEX(SRC_ZPMW03!$A$1:$ZZ$501,$A455,E$3)))</f>
        <v/>
      </c>
      <c r="F455" t="str">
        <f>IF($B455="","",IF(F$3=0,"n.b.",INDEX(SRC_ZPMW03!$A$1:$ZZ$501,$A455,F$3)))</f>
        <v/>
      </c>
      <c r="G455" t="str">
        <f>IF($B455="","",IF(G$3=0,"n.b.",INDEX(SRC_ZPMW03!$A$1:$ZZ$501,$A455,G$3)))</f>
        <v/>
      </c>
      <c r="H455" t="str">
        <f>IF($B455="","",IF(H$3=0,"n.b.",INDEX(SRC_ZPMW03!$A$1:$ZZ$501,$A455,H$3)))</f>
        <v/>
      </c>
      <c r="I455" t="str">
        <f>IF($B455="","",IF(I$3=0,"n.b.",INDEX(SRC_ZPMW03!$A$1:$ZZ$501,$A455,I$3)))</f>
        <v/>
      </c>
      <c r="J455" t="str">
        <f>IF($B455="","",IF(J$3=0,"n.b.",INDEX(SRC_ZPMW03!$A$1:$ZZ$501,$A455,J$3)))</f>
        <v/>
      </c>
      <c r="K455" t="str">
        <f>IF($B455="","",IF(K$3=0,"n.b.",INDEX(SRC_ZPMW03!$A$1:$ZZ$501,$A455,K$3)))</f>
        <v/>
      </c>
      <c r="L455" s="124" t="str">
        <f>IF($B455="","",IF(L$3=0,"n.b.",INDEX(SRC_ZPMW03!$A$1:$ZZ$501,$A455,L$3)))</f>
        <v/>
      </c>
      <c r="M455" s="124" t="str">
        <f>IF($B455="","",IF(M$3=0,"n.b.",INDEX(SRC_ZPMW03!$A$1:$ZZ$501,$A455,M$3)))</f>
        <v/>
      </c>
      <c r="N455" s="124" t="str">
        <f>IF($B455="","",IF(N$3=0,"n.b.",INDEX(SRC_ZPMW03!$A$1:$ZZ$501,$A455,N$3)))</f>
        <v/>
      </c>
      <c r="O455" s="124" t="str">
        <f>IF($B455="","",IF(O$3=0,"n.b.",INDEX(SRC_ZPMW03!$A$1:$ZZ$501,$A455,O$3)))</f>
        <v/>
      </c>
      <c r="P455" s="124" t="str">
        <f>IF($B455="","",IF(P$3=0,"n.b.",INDEX(SRC_ZPMW03!$A$1:$ZZ$501,$A455,P$3)))</f>
        <v/>
      </c>
      <c r="Q455" s="124" t="str">
        <f>IF($B455="","",IF(Q$3=0,"n.b.",INDEX(SRC_ZPMW03!$A$1:$ZZ$501,$A455,Q$3)))</f>
        <v/>
      </c>
      <c r="R455" s="124" t="str">
        <f>IF($B455="","",IF(R$3=0,"n.b.",INDEX(SRC_ZPMW03!$A$1:$ZZ$501,$A455,R$3)))</f>
        <v/>
      </c>
      <c r="S455" s="124" t="str">
        <f>IF($B455="","",IF(S$3=0,"n.b.",INDEX(SRC_ZPMW03!$A$1:$ZZ$501,$A455,S$3)))</f>
        <v/>
      </c>
      <c r="T455" s="124" t="str">
        <f>IF($B455="","",IF(T$3=0,"n.b.",INDEX(SRC_ZPMW03!$A$1:$ZZ$501,$A455,T$3)))</f>
        <v/>
      </c>
      <c r="U455" s="124" t="str">
        <f>IF($B455="","",IF(U$3=0,"n.b.",INDEX(SRC_ZPMW03!$A$1:$ZZ$501,$A455,U$3)))</f>
        <v/>
      </c>
      <c r="V455" s="124" t="str">
        <f>IF($B455="","",IF(V$3=0,"n.b.",INDEX(SRC_ZPMW03!$A$1:$ZZ$501,$A455,V$3)))</f>
        <v/>
      </c>
      <c r="W455" s="124" t="str">
        <f>IF($B455="","",IF(W$3=0,"n.b.",INDEX(SRC_ZPMW03!$A$1:$ZZ$501,$A455,W$3)))</f>
        <v/>
      </c>
      <c r="X455" s="124" t="str">
        <f>IF($B455="","",IF(X$3=0,"n.b.",INDEX(SRC_ZPMW03!$A$1:$ZZ$501,$A455,X$3)))</f>
        <v/>
      </c>
      <c r="Y455" s="124" t="str">
        <f>IF($B455="","",IF(Y$3=0,"n.b.",INDEX(SRC_ZPMW03!$A$1:$ZZ$501,$A455,Y$3)))</f>
        <v/>
      </c>
      <c r="Z455" s="124" t="str">
        <f>IF($B455="","",IF(Z$3=0,"n.b.",INDEX(SRC_ZPMW03!$A$1:$ZZ$501,$A455,Z$3)))</f>
        <v/>
      </c>
      <c r="AA455" s="124" t="str">
        <f>IF($B455="","",IF(AA$3=0,"n.b.",INDEX(SRC_ZPMW03!$A$1:$ZZ$501,$A455,AA$3)))</f>
        <v/>
      </c>
      <c r="AB455" s="124" t="str">
        <f>IF($B455="","",IF(AB$3=0,"n.b.",INDEX(SRC_ZPMW03!$A$1:$ZZ$501,$A455,AB$3)))</f>
        <v/>
      </c>
      <c r="AC455" s="124" t="str">
        <f>IF($B455="","",IF(AC$3=0,"n.b.",INDEX(SRC_ZPMW03!$A$1:$ZZ$501,$A455,AC$3)))</f>
        <v/>
      </c>
      <c r="AD455" s="124" t="str">
        <f>IF($B455="","",IF(AD$3=0,"n.b.",INDEX(SRC_ZPMW03!$A$1:$ZZ$501,$A455,AD$3)))</f>
        <v/>
      </c>
      <c r="AE455" s="124" t="str">
        <f>IF($B455="","",IF(AE$3=0,"n.b.",INDEX(SRC_ZPMW03!$A$1:$ZZ$501,$A455,AE$3)))</f>
        <v/>
      </c>
      <c r="AF455" s="124" t="str">
        <f>IF($B455="","",IF(AF$3=0,"n.b.",INDEX(SRC_ZPMW03!$A$1:$ZZ$501,$A455,AF$3)))</f>
        <v/>
      </c>
      <c r="AG455" s="124" t="str">
        <f>IF($B455="","",IF(AG$3=0,"n.b.",INDEX(SRC_ZPMW03!$A$1:$ZZ$501,$A455,AG$3)))</f>
        <v/>
      </c>
      <c r="AH455" s="124" t="str">
        <f>IF($B455="","",IF(AH$3=0,"n.b.",INDEX(SRC_ZPMW03!$A$1:$ZZ$501,$A455,AH$3)))</f>
        <v/>
      </c>
      <c r="AI455" s="124" t="str">
        <f>IF($B455="","",IF(AI$3=0,"n.b.",INDEX(SRC_ZPMW03!$A$1:$ZZ$501,$A455,AI$3)))</f>
        <v/>
      </c>
      <c r="AJ455" s="124" t="str">
        <f>IF($B455="","",IF(AJ$3=0,"n.b.",INDEX(SRC_ZPMW03!$A$1:$ZZ$501,$A455,AJ$3)))</f>
        <v/>
      </c>
      <c r="AK455" s="124" t="str">
        <f>IF($B455="","",IF(AK$3=0,"n.b.",INDEX(SRC_ZPMW03!$A$1:$ZZ$501,$A455,AK$3)))</f>
        <v/>
      </c>
      <c r="AL455" s="124" t="str">
        <f>IF($B455="","",IF(AL$3=0,"n.b.",INDEX(SRC_ZPMW03!$A$1:$ZZ$501,$A455,AL$3)))</f>
        <v/>
      </c>
      <c r="AM455" s="124" t="str">
        <f>IF($B455="","",IF(AM$3=0,"n.b.",INDEX(SRC_ZPMW03!$A$1:$ZZ$501,$A455,AM$3)))</f>
        <v/>
      </c>
      <c r="AN455" s="124" t="str">
        <f>IF($B455="","",IF(AN$3=0,"n.b.",INDEX(SRC_ZPMW03!$A$1:$ZZ$501,$A455,AN$3)))</f>
        <v/>
      </c>
      <c r="AO455" s="124" t="str">
        <f>IF($B455="","",IF(AO$3=0,"n.b.",INDEX(SRC_ZPMW03!$A$1:$ZZ$501,$A455,AO$3)))</f>
        <v/>
      </c>
      <c r="AP455" s="124" t="str">
        <f>IF($B455="","",IF(AP$3=0,"n.b.",INDEX(SRC_ZPMW03!$A$1:$ZZ$501,$A455,AP$3)))</f>
        <v/>
      </c>
      <c r="AQ455" s="124" t="str">
        <f>IF($B455="","",IF(AQ$3=0,"n.b.",INDEX(SRC_ZPMW03!$A$1:$ZZ$501,$A455,AQ$3)))</f>
        <v/>
      </c>
      <c r="AR455" s="124" t="str">
        <f>IF($B455="","",IF(AR$3=0,"n.b.",INDEX(SRC_ZPMW03!$A$1:$ZZ$501,$A455,AR$3)))</f>
        <v/>
      </c>
      <c r="AS455" s="124" t="str">
        <f>IF($B455="","",IF(AS$3=0,"n.b.",INDEX(SRC_ZPMW03!$A$1:$ZZ$501,$A455,AS$3)))</f>
        <v/>
      </c>
      <c r="AT455" s="124" t="str">
        <f>IF($B455="","",IF(AT$3=0,"n.b.",INDEX(SRC_ZPMW03!$A$1:$ZZ$501,$A455,AT$3)))</f>
        <v/>
      </c>
      <c r="AU455" s="124" t="str">
        <f>IF($B455="","",IF(AU$3=0,"n.b.",INDEX(SRC_ZPMW03!$A$1:$ZZ$501,$A455,AU$3)))</f>
        <v/>
      </c>
      <c r="AV455" s="124" t="str">
        <f>IF($B455="","",IF(AV$3=0,"n.b.",INDEX(SRC_ZPMW03!$A$1:$ZZ$501,$A455,AV$3)))</f>
        <v/>
      </c>
      <c r="AW455" s="124" t="str">
        <f>IF($B455="","",IF(AW$3=0,"n.b.",INDEX(SRC_ZPMW03!$A$1:$ZZ$501,$A455,AW$3)))</f>
        <v/>
      </c>
      <c r="AX455" s="124" t="str">
        <f>IF($B455="","",IF(AX$3=0,"n.b.",INDEX(SRC_ZPMW03!$A$1:$ZZ$501,$A455,AX$3)))</f>
        <v/>
      </c>
      <c r="AY455" s="124" t="str">
        <f>IF($B455="","",IF(AY$3=0,"n.b.",INDEX(SRC_ZPMW03!$A$1:$ZZ$501,$A455,AY$3)))</f>
        <v/>
      </c>
      <c r="AZ455" s="124" t="str">
        <f>IF($B455="","",IF(AZ$3=0,"n.b.",INDEX(SRC_ZPMW03!$A$1:$ZZ$501,$A455,AZ$3)))</f>
        <v/>
      </c>
      <c r="BA455" s="124" t="str">
        <f>IF($B455="","",IF(BA$3=0,"n.b.",INDEX(SRC_ZPMW03!$A$1:$ZZ$501,$A455,BA$3)))</f>
        <v/>
      </c>
      <c r="BB455" s="124" t="str">
        <f>IF($B455="","",IF(BB$3=0,"n.b.",INDEX(SRC_ZPMW03!$A$1:$ZZ$501,$A455,BB$3)))</f>
        <v/>
      </c>
      <c r="BC455" s="124" t="str">
        <f>IF($B455="","",IF(BC$3=0,"n.b.",INDEX(SRC_ZPMW03!$A$1:$ZZ$501,$A455,BC$3)))</f>
        <v/>
      </c>
      <c r="BD455" s="124" t="str">
        <f>IF($B455="","",IF(BD$3=0,"n.b.",INDEX(SRC_ZPMW03!$A$1:$ZZ$501,$A455,BD$3)))</f>
        <v/>
      </c>
      <c r="BE455" s="124" t="str">
        <f>IF($B455="","",IF(BE$3=0,"n.b.",INDEX(SRC_ZPMW03!$A$1:$ZZ$501,$A455,BE$3)))</f>
        <v/>
      </c>
      <c r="BF455" s="124" t="str">
        <f>IF($B455="","",IF(BF$3=0,"n.b.",INDEX(SRC_ZPMW03!$A$1:$ZZ$501,$A455,BF$3)))</f>
        <v/>
      </c>
      <c r="BG455" t="str">
        <f>IF($B455="","",IF(BG$3=0,"n.b.",INDEX(SRC_ZPMW03!$A$1:$ZZ$501,$A455,BG$3)))</f>
        <v/>
      </c>
      <c r="BH455" t="str">
        <f>IF($B455="","",IF(BH$3=0,"n.b.",INDEX(SRC_ZPMW03!$A$1:$ZZ$501,$A455,BH$3)))</f>
        <v/>
      </c>
      <c r="BI455" t="str">
        <f>IF($B455="","",IF(BI$3=0,"n.b.",INDEX(SRC_ZPMW03!$A$1:$ZZ$501,$A455,BI$3)))</f>
        <v/>
      </c>
      <c r="BJ455" t="str">
        <f>IF($B455="","",IF(BJ$3=0,"n.b.",INDEX(SRC_ZPMW03!$A$1:$ZZ$501,$A455,BJ$3)))</f>
        <v/>
      </c>
      <c r="BK455" s="124" t="str">
        <f>IF($B455="","",IFERROR(-O455,"n.b."))</f>
        <v/>
      </c>
      <c r="BL455" s="124" t="str">
        <f>IF($B455="","",IFERROR(-Q455,"n.b."))</f>
        <v/>
      </c>
      <c r="BM455" s="124" t="str">
        <f>IF($B455="","",IFERROR(-AB455,"n.b."))</f>
        <v/>
      </c>
      <c r="BN455" s="124" t="str">
        <f>IF($B455="","",IFERROR(-AD455,"n.b."))</f>
        <v/>
      </c>
      <c r="BO455" s="124" t="str">
        <f>IF($B455="","",IFERROR(BK455+BM455,"n.b."))</f>
        <v/>
      </c>
      <c r="BP455" s="124" t="str">
        <f>IF($B455="","",IFERROR(BL455+BN455,"n.b."))</f>
        <v/>
      </c>
      <c r="BQ455" s="124" t="str">
        <f>IF($B455="","",IFERROR(-AM455,"n.b."))</f>
        <v/>
      </c>
      <c r="BR455" s="124" t="str">
        <f>IF($B455="","",IFERROR(-AO455,"n.b."))</f>
        <v/>
      </c>
      <c r="BS455" s="124" t="str">
        <f>IF($B455="","",IFERROR(-Z455,"n.b."))</f>
        <v/>
      </c>
      <c r="BT455" s="124" t="str">
        <f>IF($B455="","",IFERROR(-AA455,"n.b."))</f>
        <v/>
      </c>
      <c r="BU455" s="124" t="str">
        <f>IF($B455="","",IFERROR(-AE455,"n.b."))</f>
        <v/>
      </c>
      <c r="BV455" s="124" t="str">
        <f>IF($B455="","",IFERROR(-AF455,"n.b."))</f>
        <v/>
      </c>
      <c r="BW455" s="124" t="str">
        <f>IF($B455="","",IFERROR(-AG455,"n.b."))</f>
        <v/>
      </c>
      <c r="BX455" s="124" t="str">
        <f>IF($B455="","",IFERROR(-AH455,"n.b."))</f>
        <v/>
      </c>
      <c r="BY455" s="124" t="str">
        <f>IF($B455="","",IFERROR(-AI455,"n.b."))</f>
        <v/>
      </c>
      <c r="BZ455" s="124" t="str">
        <f>IF($B455="","",IFERROR(-AJ455,"n.b."))</f>
        <v/>
      </c>
      <c r="CA455" s="124" t="str">
        <f>IF($B455="","",IFERROR(-AK455,"n.b."))</f>
        <v/>
      </c>
      <c r="CB455" s="124" t="str">
        <f>IF($B455="","",IFERROR(-AL455,"n.b."))</f>
        <v/>
      </c>
      <c r="CC455" s="124" t="str">
        <f>IF($B455="","",IFERROR(-AP455,"n.b."))</f>
        <v/>
      </c>
      <c r="CD455" s="124" t="str">
        <f>IF($B455="","",IFERROR(-AQ455,"n.b."))</f>
        <v/>
      </c>
      <c r="CE455" s="124" t="str">
        <f>IF($B455="","",IFERROR(-AR455,"n.b."))</f>
        <v/>
      </c>
      <c r="CF455" s="124" t="str">
        <f>IF($B455="","",IFERROR(-AS455,"n.b."))</f>
        <v/>
      </c>
      <c r="CG455" s="124" t="str">
        <f>IF($B455="","",IFERROR(-AT455,"n.b."))</f>
        <v/>
      </c>
      <c r="CH455" s="124" t="str">
        <f>IF($B455="","",IFERROR(-AU455,"n.b."))</f>
        <v/>
      </c>
      <c r="CI455" s="124" t="str">
        <f>IF($B455="","",IFERROR(-AV455,"n.b."))</f>
        <v/>
      </c>
      <c r="CJ455" s="124" t="str">
        <f>IF($B455="","",IFERROR(-AW455,"n.b."))</f>
        <v/>
      </c>
      <c r="CK455" s="124" t="str">
        <f>IF($B455="","",IFERROR(-AX455,"n.b."))</f>
        <v/>
      </c>
      <c r="CL455" s="124" t="str">
        <f>IF($B455="","",IFERROR(-AY455,"n.b."))</f>
        <v/>
      </c>
      <c r="CM455" s="124" t="str">
        <f>IF($B455="","",IFERROR(-AZ455,"n.b."))</f>
        <v/>
      </c>
      <c r="CN455" s="124" t="str">
        <f>IF($B455="","",IFERROR(-BA455,"n.b."))</f>
        <v/>
      </c>
      <c r="CO455" s="124" t="str">
        <f>IF($B455="","",IFERROR(-BB455,"n.b."))</f>
        <v/>
      </c>
      <c r="CP455" s="124" t="str">
        <f>IF($B455="","",IFERROR(-BC455,"n.b."))</f>
        <v/>
      </c>
      <c r="CQ455" s="124" t="str">
        <f>IF($B455="","",IFERROR(-BD455,"n.b."))</f>
        <v/>
      </c>
      <c r="CR455" s="124" t="str">
        <f>IF($B455="","",IFERROR(-BE455,"n.b."))</f>
        <v/>
      </c>
      <c r="CS455" s="124" t="str">
        <f>IF($B455="","",IFERROR(IF(OR(ABS(T455+V455+X455+Z455-AB455)&gt;P_Tol,ABS(U455+W455+Y455+AA455-AD455)&gt;P_Tol,ABS(AE455+AG455+AI455+AK455-AM455)&gt;P_Tol,ABS(AF455+AH455+AJ455+AL455-AO455)&gt;P_Tol),1,0),1))</f>
        <v/>
      </c>
      <c r="CT455" s="124" t="str">
        <f>IF($B455="","",IFERROR(IF(OR(ABS(AB455+AC455-AD455)&gt;P_Tol,ABS(AM455+AN455-AO455)&gt;P_Tol,ABS(O455+P455-Q455)&gt;P_Tol),1,0),1))</f>
        <v/>
      </c>
      <c r="CU455" s="124" t="str">
        <f>IF($B455="","",IFERROR(IF(ABS(R455-(AB455+AM455+AP455+AR455+AT455+AV455+AX455+AZ455+BB455+BD455))&gt;P_Tol,1,0),1))</f>
        <v/>
      </c>
      <c r="CV455" s="124" t="str">
        <f>IF($B455="","",IFERROR(IF(ABS(M455-(N455+O455+R455))&gt;P_Tol,1,0),1))</f>
        <v/>
      </c>
      <c r="CW455" s="124" t="str">
        <f>IF($B455="","",IF(COUNTIF(Mapping!$A$5:$A$104,B455)&gt;0,1,0))</f>
        <v/>
      </c>
      <c r="CX455" s="124" t="str">
        <f>IF($B455="","",COUNTIF($B$6:$B$505,B455))</f>
        <v/>
      </c>
      <c r="CY455" s="124" t="str">
        <f>IF($B455="","",COUNTIF(STG_Woningetalage!$B$6:$B$505,B455))</f>
        <v/>
      </c>
      <c r="CZ455" s="124" t="str">
        <f>IF($B455="","",IF(CW455=0,COUNTIF($CW$6:CW455,0),""))</f>
        <v/>
      </c>
    </row>
    <row r="456">
      <c r="A456" s="15" t="n">
        <v>452</v>
      </c>
      <c r="B456" t="str">
        <f>IF(B$3=0,"",IF(INDEX(SRC_ZPMW03!$A$1:$ZZ$501,$A456,B$3)&amp;""="","",INDEX(SRC_ZPMW03!$A$1:$ZZ$501,$A456,B$3)&amp;""))</f>
        <v/>
      </c>
      <c r="C456" t="str">
        <f>IF($B456="","",IF(C$3=0,"n.b.",INDEX(SRC_ZPMW03!$A$1:$ZZ$501,$A456,C$3)))</f>
        <v/>
      </c>
      <c r="D456" t="str">
        <f>IF($B456="","",IF(D$3=0,"n.b.",INDEX(SRC_ZPMW03!$A$1:$ZZ$501,$A456,D$3)))</f>
        <v/>
      </c>
      <c r="E456" t="str">
        <f>IF($B456="","",IF(E$3=0,"n.b.",INDEX(SRC_ZPMW03!$A$1:$ZZ$501,$A456,E$3)))</f>
        <v/>
      </c>
      <c r="F456" t="str">
        <f>IF($B456="","",IF(F$3=0,"n.b.",INDEX(SRC_ZPMW03!$A$1:$ZZ$501,$A456,F$3)))</f>
        <v/>
      </c>
      <c r="G456" t="str">
        <f>IF($B456="","",IF(G$3=0,"n.b.",INDEX(SRC_ZPMW03!$A$1:$ZZ$501,$A456,G$3)))</f>
        <v/>
      </c>
      <c r="H456" t="str">
        <f>IF($B456="","",IF(H$3=0,"n.b.",INDEX(SRC_ZPMW03!$A$1:$ZZ$501,$A456,H$3)))</f>
        <v/>
      </c>
      <c r="I456" t="str">
        <f>IF($B456="","",IF(I$3=0,"n.b.",INDEX(SRC_ZPMW03!$A$1:$ZZ$501,$A456,I$3)))</f>
        <v/>
      </c>
      <c r="J456" t="str">
        <f>IF($B456="","",IF(J$3=0,"n.b.",INDEX(SRC_ZPMW03!$A$1:$ZZ$501,$A456,J$3)))</f>
        <v/>
      </c>
      <c r="K456" t="str">
        <f>IF($B456="","",IF(K$3=0,"n.b.",INDEX(SRC_ZPMW03!$A$1:$ZZ$501,$A456,K$3)))</f>
        <v/>
      </c>
      <c r="L456" s="124" t="str">
        <f>IF($B456="","",IF(L$3=0,"n.b.",INDEX(SRC_ZPMW03!$A$1:$ZZ$501,$A456,L$3)))</f>
        <v/>
      </c>
      <c r="M456" s="124" t="str">
        <f>IF($B456="","",IF(M$3=0,"n.b.",INDEX(SRC_ZPMW03!$A$1:$ZZ$501,$A456,M$3)))</f>
        <v/>
      </c>
      <c r="N456" s="124" t="str">
        <f>IF($B456="","",IF(N$3=0,"n.b.",INDEX(SRC_ZPMW03!$A$1:$ZZ$501,$A456,N$3)))</f>
        <v/>
      </c>
      <c r="O456" s="124" t="str">
        <f>IF($B456="","",IF(O$3=0,"n.b.",INDEX(SRC_ZPMW03!$A$1:$ZZ$501,$A456,O$3)))</f>
        <v/>
      </c>
      <c r="P456" s="124" t="str">
        <f>IF($B456="","",IF(P$3=0,"n.b.",INDEX(SRC_ZPMW03!$A$1:$ZZ$501,$A456,P$3)))</f>
        <v/>
      </c>
      <c r="Q456" s="124" t="str">
        <f>IF($B456="","",IF(Q$3=0,"n.b.",INDEX(SRC_ZPMW03!$A$1:$ZZ$501,$A456,Q$3)))</f>
        <v/>
      </c>
      <c r="R456" s="124" t="str">
        <f>IF($B456="","",IF(R$3=0,"n.b.",INDEX(SRC_ZPMW03!$A$1:$ZZ$501,$A456,R$3)))</f>
        <v/>
      </c>
      <c r="S456" s="124" t="str">
        <f>IF($B456="","",IF(S$3=0,"n.b.",INDEX(SRC_ZPMW03!$A$1:$ZZ$501,$A456,S$3)))</f>
        <v/>
      </c>
      <c r="T456" s="124" t="str">
        <f>IF($B456="","",IF(T$3=0,"n.b.",INDEX(SRC_ZPMW03!$A$1:$ZZ$501,$A456,T$3)))</f>
        <v/>
      </c>
      <c r="U456" s="124" t="str">
        <f>IF($B456="","",IF(U$3=0,"n.b.",INDEX(SRC_ZPMW03!$A$1:$ZZ$501,$A456,U$3)))</f>
        <v/>
      </c>
      <c r="V456" s="124" t="str">
        <f>IF($B456="","",IF(V$3=0,"n.b.",INDEX(SRC_ZPMW03!$A$1:$ZZ$501,$A456,V$3)))</f>
        <v/>
      </c>
      <c r="W456" s="124" t="str">
        <f>IF($B456="","",IF(W$3=0,"n.b.",INDEX(SRC_ZPMW03!$A$1:$ZZ$501,$A456,W$3)))</f>
        <v/>
      </c>
      <c r="X456" s="124" t="str">
        <f>IF($B456="","",IF(X$3=0,"n.b.",INDEX(SRC_ZPMW03!$A$1:$ZZ$501,$A456,X$3)))</f>
        <v/>
      </c>
      <c r="Y456" s="124" t="str">
        <f>IF($B456="","",IF(Y$3=0,"n.b.",INDEX(SRC_ZPMW03!$A$1:$ZZ$501,$A456,Y$3)))</f>
        <v/>
      </c>
      <c r="Z456" s="124" t="str">
        <f>IF($B456="","",IF(Z$3=0,"n.b.",INDEX(SRC_ZPMW03!$A$1:$ZZ$501,$A456,Z$3)))</f>
        <v/>
      </c>
      <c r="AA456" s="124" t="str">
        <f>IF($B456="","",IF(AA$3=0,"n.b.",INDEX(SRC_ZPMW03!$A$1:$ZZ$501,$A456,AA$3)))</f>
        <v/>
      </c>
      <c r="AB456" s="124" t="str">
        <f>IF($B456="","",IF(AB$3=0,"n.b.",INDEX(SRC_ZPMW03!$A$1:$ZZ$501,$A456,AB$3)))</f>
        <v/>
      </c>
      <c r="AC456" s="124" t="str">
        <f>IF($B456="","",IF(AC$3=0,"n.b.",INDEX(SRC_ZPMW03!$A$1:$ZZ$501,$A456,AC$3)))</f>
        <v/>
      </c>
      <c r="AD456" s="124" t="str">
        <f>IF($B456="","",IF(AD$3=0,"n.b.",INDEX(SRC_ZPMW03!$A$1:$ZZ$501,$A456,AD$3)))</f>
        <v/>
      </c>
      <c r="AE456" s="124" t="str">
        <f>IF($B456="","",IF(AE$3=0,"n.b.",INDEX(SRC_ZPMW03!$A$1:$ZZ$501,$A456,AE$3)))</f>
        <v/>
      </c>
      <c r="AF456" s="124" t="str">
        <f>IF($B456="","",IF(AF$3=0,"n.b.",INDEX(SRC_ZPMW03!$A$1:$ZZ$501,$A456,AF$3)))</f>
        <v/>
      </c>
      <c r="AG456" s="124" t="str">
        <f>IF($B456="","",IF(AG$3=0,"n.b.",INDEX(SRC_ZPMW03!$A$1:$ZZ$501,$A456,AG$3)))</f>
        <v/>
      </c>
      <c r="AH456" s="124" t="str">
        <f>IF($B456="","",IF(AH$3=0,"n.b.",INDEX(SRC_ZPMW03!$A$1:$ZZ$501,$A456,AH$3)))</f>
        <v/>
      </c>
      <c r="AI456" s="124" t="str">
        <f>IF($B456="","",IF(AI$3=0,"n.b.",INDEX(SRC_ZPMW03!$A$1:$ZZ$501,$A456,AI$3)))</f>
        <v/>
      </c>
      <c r="AJ456" s="124" t="str">
        <f>IF($B456="","",IF(AJ$3=0,"n.b.",INDEX(SRC_ZPMW03!$A$1:$ZZ$501,$A456,AJ$3)))</f>
        <v/>
      </c>
      <c r="AK456" s="124" t="str">
        <f>IF($B456="","",IF(AK$3=0,"n.b.",INDEX(SRC_ZPMW03!$A$1:$ZZ$501,$A456,AK$3)))</f>
        <v/>
      </c>
      <c r="AL456" s="124" t="str">
        <f>IF($B456="","",IF(AL$3=0,"n.b.",INDEX(SRC_ZPMW03!$A$1:$ZZ$501,$A456,AL$3)))</f>
        <v/>
      </c>
      <c r="AM456" s="124" t="str">
        <f>IF($B456="","",IF(AM$3=0,"n.b.",INDEX(SRC_ZPMW03!$A$1:$ZZ$501,$A456,AM$3)))</f>
        <v/>
      </c>
      <c r="AN456" s="124" t="str">
        <f>IF($B456="","",IF(AN$3=0,"n.b.",INDEX(SRC_ZPMW03!$A$1:$ZZ$501,$A456,AN$3)))</f>
        <v/>
      </c>
      <c r="AO456" s="124" t="str">
        <f>IF($B456="","",IF(AO$3=0,"n.b.",INDEX(SRC_ZPMW03!$A$1:$ZZ$501,$A456,AO$3)))</f>
        <v/>
      </c>
      <c r="AP456" s="124" t="str">
        <f>IF($B456="","",IF(AP$3=0,"n.b.",INDEX(SRC_ZPMW03!$A$1:$ZZ$501,$A456,AP$3)))</f>
        <v/>
      </c>
      <c r="AQ456" s="124" t="str">
        <f>IF($B456="","",IF(AQ$3=0,"n.b.",INDEX(SRC_ZPMW03!$A$1:$ZZ$501,$A456,AQ$3)))</f>
        <v/>
      </c>
      <c r="AR456" s="124" t="str">
        <f>IF($B456="","",IF(AR$3=0,"n.b.",INDEX(SRC_ZPMW03!$A$1:$ZZ$501,$A456,AR$3)))</f>
        <v/>
      </c>
      <c r="AS456" s="124" t="str">
        <f>IF($B456="","",IF(AS$3=0,"n.b.",INDEX(SRC_ZPMW03!$A$1:$ZZ$501,$A456,AS$3)))</f>
        <v/>
      </c>
      <c r="AT456" s="124" t="str">
        <f>IF($B456="","",IF(AT$3=0,"n.b.",INDEX(SRC_ZPMW03!$A$1:$ZZ$501,$A456,AT$3)))</f>
        <v/>
      </c>
      <c r="AU456" s="124" t="str">
        <f>IF($B456="","",IF(AU$3=0,"n.b.",INDEX(SRC_ZPMW03!$A$1:$ZZ$501,$A456,AU$3)))</f>
        <v/>
      </c>
      <c r="AV456" s="124" t="str">
        <f>IF($B456="","",IF(AV$3=0,"n.b.",INDEX(SRC_ZPMW03!$A$1:$ZZ$501,$A456,AV$3)))</f>
        <v/>
      </c>
      <c r="AW456" s="124" t="str">
        <f>IF($B456="","",IF(AW$3=0,"n.b.",INDEX(SRC_ZPMW03!$A$1:$ZZ$501,$A456,AW$3)))</f>
        <v/>
      </c>
      <c r="AX456" s="124" t="str">
        <f>IF($B456="","",IF(AX$3=0,"n.b.",INDEX(SRC_ZPMW03!$A$1:$ZZ$501,$A456,AX$3)))</f>
        <v/>
      </c>
      <c r="AY456" s="124" t="str">
        <f>IF($B456="","",IF(AY$3=0,"n.b.",INDEX(SRC_ZPMW03!$A$1:$ZZ$501,$A456,AY$3)))</f>
        <v/>
      </c>
      <c r="AZ456" s="124" t="str">
        <f>IF($B456="","",IF(AZ$3=0,"n.b.",INDEX(SRC_ZPMW03!$A$1:$ZZ$501,$A456,AZ$3)))</f>
        <v/>
      </c>
      <c r="BA456" s="124" t="str">
        <f>IF($B456="","",IF(BA$3=0,"n.b.",INDEX(SRC_ZPMW03!$A$1:$ZZ$501,$A456,BA$3)))</f>
        <v/>
      </c>
      <c r="BB456" s="124" t="str">
        <f>IF($B456="","",IF(BB$3=0,"n.b.",INDEX(SRC_ZPMW03!$A$1:$ZZ$501,$A456,BB$3)))</f>
        <v/>
      </c>
      <c r="BC456" s="124" t="str">
        <f>IF($B456="","",IF(BC$3=0,"n.b.",INDEX(SRC_ZPMW03!$A$1:$ZZ$501,$A456,BC$3)))</f>
        <v/>
      </c>
      <c r="BD456" s="124" t="str">
        <f>IF($B456="","",IF(BD$3=0,"n.b.",INDEX(SRC_ZPMW03!$A$1:$ZZ$501,$A456,BD$3)))</f>
        <v/>
      </c>
      <c r="BE456" s="124" t="str">
        <f>IF($B456="","",IF(BE$3=0,"n.b.",INDEX(SRC_ZPMW03!$A$1:$ZZ$501,$A456,BE$3)))</f>
        <v/>
      </c>
      <c r="BF456" s="124" t="str">
        <f>IF($B456="","",IF(BF$3=0,"n.b.",INDEX(SRC_ZPMW03!$A$1:$ZZ$501,$A456,BF$3)))</f>
        <v/>
      </c>
      <c r="BG456" t="str">
        <f>IF($B456="","",IF(BG$3=0,"n.b.",INDEX(SRC_ZPMW03!$A$1:$ZZ$501,$A456,BG$3)))</f>
        <v/>
      </c>
      <c r="BH456" t="str">
        <f>IF($B456="","",IF(BH$3=0,"n.b.",INDEX(SRC_ZPMW03!$A$1:$ZZ$501,$A456,BH$3)))</f>
        <v/>
      </c>
      <c r="BI456" t="str">
        <f>IF($B456="","",IF(BI$3=0,"n.b.",INDEX(SRC_ZPMW03!$A$1:$ZZ$501,$A456,BI$3)))</f>
        <v/>
      </c>
      <c r="BJ456" t="str">
        <f>IF($B456="","",IF(BJ$3=0,"n.b.",INDEX(SRC_ZPMW03!$A$1:$ZZ$501,$A456,BJ$3)))</f>
        <v/>
      </c>
      <c r="BK456" s="124" t="str">
        <f>IF($B456="","",IFERROR(-O456,"n.b."))</f>
        <v/>
      </c>
      <c r="BL456" s="124" t="str">
        <f>IF($B456="","",IFERROR(-Q456,"n.b."))</f>
        <v/>
      </c>
      <c r="BM456" s="124" t="str">
        <f>IF($B456="","",IFERROR(-AB456,"n.b."))</f>
        <v/>
      </c>
      <c r="BN456" s="124" t="str">
        <f>IF($B456="","",IFERROR(-AD456,"n.b."))</f>
        <v/>
      </c>
      <c r="BO456" s="124" t="str">
        <f>IF($B456="","",IFERROR(BK456+BM456,"n.b."))</f>
        <v/>
      </c>
      <c r="BP456" s="124" t="str">
        <f>IF($B456="","",IFERROR(BL456+BN456,"n.b."))</f>
        <v/>
      </c>
      <c r="BQ456" s="124" t="str">
        <f>IF($B456="","",IFERROR(-AM456,"n.b."))</f>
        <v/>
      </c>
      <c r="BR456" s="124" t="str">
        <f>IF($B456="","",IFERROR(-AO456,"n.b."))</f>
        <v/>
      </c>
      <c r="BS456" s="124" t="str">
        <f>IF($B456="","",IFERROR(-Z456,"n.b."))</f>
        <v/>
      </c>
      <c r="BT456" s="124" t="str">
        <f>IF($B456="","",IFERROR(-AA456,"n.b."))</f>
        <v/>
      </c>
      <c r="BU456" s="124" t="str">
        <f>IF($B456="","",IFERROR(-AE456,"n.b."))</f>
        <v/>
      </c>
      <c r="BV456" s="124" t="str">
        <f>IF($B456="","",IFERROR(-AF456,"n.b."))</f>
        <v/>
      </c>
      <c r="BW456" s="124" t="str">
        <f>IF($B456="","",IFERROR(-AG456,"n.b."))</f>
        <v/>
      </c>
      <c r="BX456" s="124" t="str">
        <f>IF($B456="","",IFERROR(-AH456,"n.b."))</f>
        <v/>
      </c>
      <c r="BY456" s="124" t="str">
        <f>IF($B456="","",IFERROR(-AI456,"n.b."))</f>
        <v/>
      </c>
      <c r="BZ456" s="124" t="str">
        <f>IF($B456="","",IFERROR(-AJ456,"n.b."))</f>
        <v/>
      </c>
      <c r="CA456" s="124" t="str">
        <f>IF($B456="","",IFERROR(-AK456,"n.b."))</f>
        <v/>
      </c>
      <c r="CB456" s="124" t="str">
        <f>IF($B456="","",IFERROR(-AL456,"n.b."))</f>
        <v/>
      </c>
      <c r="CC456" s="124" t="str">
        <f>IF($B456="","",IFERROR(-AP456,"n.b."))</f>
        <v/>
      </c>
      <c r="CD456" s="124" t="str">
        <f>IF($B456="","",IFERROR(-AQ456,"n.b."))</f>
        <v/>
      </c>
      <c r="CE456" s="124" t="str">
        <f>IF($B456="","",IFERROR(-AR456,"n.b."))</f>
        <v/>
      </c>
      <c r="CF456" s="124" t="str">
        <f>IF($B456="","",IFERROR(-AS456,"n.b."))</f>
        <v/>
      </c>
      <c r="CG456" s="124" t="str">
        <f>IF($B456="","",IFERROR(-AT456,"n.b."))</f>
        <v/>
      </c>
      <c r="CH456" s="124" t="str">
        <f>IF($B456="","",IFERROR(-AU456,"n.b."))</f>
        <v/>
      </c>
      <c r="CI456" s="124" t="str">
        <f>IF($B456="","",IFERROR(-AV456,"n.b."))</f>
        <v/>
      </c>
      <c r="CJ456" s="124" t="str">
        <f>IF($B456="","",IFERROR(-AW456,"n.b."))</f>
        <v/>
      </c>
      <c r="CK456" s="124" t="str">
        <f>IF($B456="","",IFERROR(-AX456,"n.b."))</f>
        <v/>
      </c>
      <c r="CL456" s="124" t="str">
        <f>IF($B456="","",IFERROR(-AY456,"n.b."))</f>
        <v/>
      </c>
      <c r="CM456" s="124" t="str">
        <f>IF($B456="","",IFERROR(-AZ456,"n.b."))</f>
        <v/>
      </c>
      <c r="CN456" s="124" t="str">
        <f>IF($B456="","",IFERROR(-BA456,"n.b."))</f>
        <v/>
      </c>
      <c r="CO456" s="124" t="str">
        <f>IF($B456="","",IFERROR(-BB456,"n.b."))</f>
        <v/>
      </c>
      <c r="CP456" s="124" t="str">
        <f>IF($B456="","",IFERROR(-BC456,"n.b."))</f>
        <v/>
      </c>
      <c r="CQ456" s="124" t="str">
        <f>IF($B456="","",IFERROR(-BD456,"n.b."))</f>
        <v/>
      </c>
      <c r="CR456" s="124" t="str">
        <f>IF($B456="","",IFERROR(-BE456,"n.b."))</f>
        <v/>
      </c>
      <c r="CS456" s="124" t="str">
        <f>IF($B456="","",IFERROR(IF(OR(ABS(T456+V456+X456+Z456-AB456)&gt;P_Tol,ABS(U456+W456+Y456+AA456-AD456)&gt;P_Tol,ABS(AE456+AG456+AI456+AK456-AM456)&gt;P_Tol,ABS(AF456+AH456+AJ456+AL456-AO456)&gt;P_Tol),1,0),1))</f>
        <v/>
      </c>
      <c r="CT456" s="124" t="str">
        <f>IF($B456="","",IFERROR(IF(OR(ABS(AB456+AC456-AD456)&gt;P_Tol,ABS(AM456+AN456-AO456)&gt;P_Tol,ABS(O456+P456-Q456)&gt;P_Tol),1,0),1))</f>
        <v/>
      </c>
      <c r="CU456" s="124" t="str">
        <f>IF($B456="","",IFERROR(IF(ABS(R456-(AB456+AM456+AP456+AR456+AT456+AV456+AX456+AZ456+BB456+BD456))&gt;P_Tol,1,0),1))</f>
        <v/>
      </c>
      <c r="CV456" s="124" t="str">
        <f>IF($B456="","",IFERROR(IF(ABS(M456-(N456+O456+R456))&gt;P_Tol,1,0),1))</f>
        <v/>
      </c>
      <c r="CW456" s="124" t="str">
        <f>IF($B456="","",IF(COUNTIF(Mapping!$A$5:$A$104,B456)&gt;0,1,0))</f>
        <v/>
      </c>
      <c r="CX456" s="124" t="str">
        <f>IF($B456="","",COUNTIF($B$6:$B$505,B456))</f>
        <v/>
      </c>
      <c r="CY456" s="124" t="str">
        <f>IF($B456="","",COUNTIF(STG_Woningetalage!$B$6:$B$505,B456))</f>
        <v/>
      </c>
      <c r="CZ456" s="124" t="str">
        <f>IF($B456="","",IF(CW456=0,COUNTIF($CW$6:CW456,0),""))</f>
        <v/>
      </c>
    </row>
    <row r="457">
      <c r="A457" s="15" t="n">
        <v>453</v>
      </c>
      <c r="B457" t="str">
        <f>IF(B$3=0,"",IF(INDEX(SRC_ZPMW03!$A$1:$ZZ$501,$A457,B$3)&amp;""="","",INDEX(SRC_ZPMW03!$A$1:$ZZ$501,$A457,B$3)&amp;""))</f>
        <v/>
      </c>
      <c r="C457" t="str">
        <f>IF($B457="","",IF(C$3=0,"n.b.",INDEX(SRC_ZPMW03!$A$1:$ZZ$501,$A457,C$3)))</f>
        <v/>
      </c>
      <c r="D457" t="str">
        <f>IF($B457="","",IF(D$3=0,"n.b.",INDEX(SRC_ZPMW03!$A$1:$ZZ$501,$A457,D$3)))</f>
        <v/>
      </c>
      <c r="E457" t="str">
        <f>IF($B457="","",IF(E$3=0,"n.b.",INDEX(SRC_ZPMW03!$A$1:$ZZ$501,$A457,E$3)))</f>
        <v/>
      </c>
      <c r="F457" t="str">
        <f>IF($B457="","",IF(F$3=0,"n.b.",INDEX(SRC_ZPMW03!$A$1:$ZZ$501,$A457,F$3)))</f>
        <v/>
      </c>
      <c r="G457" t="str">
        <f>IF($B457="","",IF(G$3=0,"n.b.",INDEX(SRC_ZPMW03!$A$1:$ZZ$501,$A457,G$3)))</f>
        <v/>
      </c>
      <c r="H457" t="str">
        <f>IF($B457="","",IF(H$3=0,"n.b.",INDEX(SRC_ZPMW03!$A$1:$ZZ$501,$A457,H$3)))</f>
        <v/>
      </c>
      <c r="I457" t="str">
        <f>IF($B457="","",IF(I$3=0,"n.b.",INDEX(SRC_ZPMW03!$A$1:$ZZ$501,$A457,I$3)))</f>
        <v/>
      </c>
      <c r="J457" t="str">
        <f>IF($B457="","",IF(J$3=0,"n.b.",INDEX(SRC_ZPMW03!$A$1:$ZZ$501,$A457,J$3)))</f>
        <v/>
      </c>
      <c r="K457" t="str">
        <f>IF($B457="","",IF(K$3=0,"n.b.",INDEX(SRC_ZPMW03!$A$1:$ZZ$501,$A457,K$3)))</f>
        <v/>
      </c>
      <c r="L457" s="124" t="str">
        <f>IF($B457="","",IF(L$3=0,"n.b.",INDEX(SRC_ZPMW03!$A$1:$ZZ$501,$A457,L$3)))</f>
        <v/>
      </c>
      <c r="M457" s="124" t="str">
        <f>IF($B457="","",IF(M$3=0,"n.b.",INDEX(SRC_ZPMW03!$A$1:$ZZ$501,$A457,M$3)))</f>
        <v/>
      </c>
      <c r="N457" s="124" t="str">
        <f>IF($B457="","",IF(N$3=0,"n.b.",INDEX(SRC_ZPMW03!$A$1:$ZZ$501,$A457,N$3)))</f>
        <v/>
      </c>
      <c r="O457" s="124" t="str">
        <f>IF($B457="","",IF(O$3=0,"n.b.",INDEX(SRC_ZPMW03!$A$1:$ZZ$501,$A457,O$3)))</f>
        <v/>
      </c>
      <c r="P457" s="124" t="str">
        <f>IF($B457="","",IF(P$3=0,"n.b.",INDEX(SRC_ZPMW03!$A$1:$ZZ$501,$A457,P$3)))</f>
        <v/>
      </c>
      <c r="Q457" s="124" t="str">
        <f>IF($B457="","",IF(Q$3=0,"n.b.",INDEX(SRC_ZPMW03!$A$1:$ZZ$501,$A457,Q$3)))</f>
        <v/>
      </c>
      <c r="R457" s="124" t="str">
        <f>IF($B457="","",IF(R$3=0,"n.b.",INDEX(SRC_ZPMW03!$A$1:$ZZ$501,$A457,R$3)))</f>
        <v/>
      </c>
      <c r="S457" s="124" t="str">
        <f>IF($B457="","",IF(S$3=0,"n.b.",INDEX(SRC_ZPMW03!$A$1:$ZZ$501,$A457,S$3)))</f>
        <v/>
      </c>
      <c r="T457" s="124" t="str">
        <f>IF($B457="","",IF(T$3=0,"n.b.",INDEX(SRC_ZPMW03!$A$1:$ZZ$501,$A457,T$3)))</f>
        <v/>
      </c>
      <c r="U457" s="124" t="str">
        <f>IF($B457="","",IF(U$3=0,"n.b.",INDEX(SRC_ZPMW03!$A$1:$ZZ$501,$A457,U$3)))</f>
        <v/>
      </c>
      <c r="V457" s="124" t="str">
        <f>IF($B457="","",IF(V$3=0,"n.b.",INDEX(SRC_ZPMW03!$A$1:$ZZ$501,$A457,V$3)))</f>
        <v/>
      </c>
      <c r="W457" s="124" t="str">
        <f>IF($B457="","",IF(W$3=0,"n.b.",INDEX(SRC_ZPMW03!$A$1:$ZZ$501,$A457,W$3)))</f>
        <v/>
      </c>
      <c r="X457" s="124" t="str">
        <f>IF($B457="","",IF(X$3=0,"n.b.",INDEX(SRC_ZPMW03!$A$1:$ZZ$501,$A457,X$3)))</f>
        <v/>
      </c>
      <c r="Y457" s="124" t="str">
        <f>IF($B457="","",IF(Y$3=0,"n.b.",INDEX(SRC_ZPMW03!$A$1:$ZZ$501,$A457,Y$3)))</f>
        <v/>
      </c>
      <c r="Z457" s="124" t="str">
        <f>IF($B457="","",IF(Z$3=0,"n.b.",INDEX(SRC_ZPMW03!$A$1:$ZZ$501,$A457,Z$3)))</f>
        <v/>
      </c>
      <c r="AA457" s="124" t="str">
        <f>IF($B457="","",IF(AA$3=0,"n.b.",INDEX(SRC_ZPMW03!$A$1:$ZZ$501,$A457,AA$3)))</f>
        <v/>
      </c>
      <c r="AB457" s="124" t="str">
        <f>IF($B457="","",IF(AB$3=0,"n.b.",INDEX(SRC_ZPMW03!$A$1:$ZZ$501,$A457,AB$3)))</f>
        <v/>
      </c>
      <c r="AC457" s="124" t="str">
        <f>IF($B457="","",IF(AC$3=0,"n.b.",INDEX(SRC_ZPMW03!$A$1:$ZZ$501,$A457,AC$3)))</f>
        <v/>
      </c>
      <c r="AD457" s="124" t="str">
        <f>IF($B457="","",IF(AD$3=0,"n.b.",INDEX(SRC_ZPMW03!$A$1:$ZZ$501,$A457,AD$3)))</f>
        <v/>
      </c>
      <c r="AE457" s="124" t="str">
        <f>IF($B457="","",IF(AE$3=0,"n.b.",INDEX(SRC_ZPMW03!$A$1:$ZZ$501,$A457,AE$3)))</f>
        <v/>
      </c>
      <c r="AF457" s="124" t="str">
        <f>IF($B457="","",IF(AF$3=0,"n.b.",INDEX(SRC_ZPMW03!$A$1:$ZZ$501,$A457,AF$3)))</f>
        <v/>
      </c>
      <c r="AG457" s="124" t="str">
        <f>IF($B457="","",IF(AG$3=0,"n.b.",INDEX(SRC_ZPMW03!$A$1:$ZZ$501,$A457,AG$3)))</f>
        <v/>
      </c>
      <c r="AH457" s="124" t="str">
        <f>IF($B457="","",IF(AH$3=0,"n.b.",INDEX(SRC_ZPMW03!$A$1:$ZZ$501,$A457,AH$3)))</f>
        <v/>
      </c>
      <c r="AI457" s="124" t="str">
        <f>IF($B457="","",IF(AI$3=0,"n.b.",INDEX(SRC_ZPMW03!$A$1:$ZZ$501,$A457,AI$3)))</f>
        <v/>
      </c>
      <c r="AJ457" s="124" t="str">
        <f>IF($B457="","",IF(AJ$3=0,"n.b.",INDEX(SRC_ZPMW03!$A$1:$ZZ$501,$A457,AJ$3)))</f>
        <v/>
      </c>
      <c r="AK457" s="124" t="str">
        <f>IF($B457="","",IF(AK$3=0,"n.b.",INDEX(SRC_ZPMW03!$A$1:$ZZ$501,$A457,AK$3)))</f>
        <v/>
      </c>
      <c r="AL457" s="124" t="str">
        <f>IF($B457="","",IF(AL$3=0,"n.b.",INDEX(SRC_ZPMW03!$A$1:$ZZ$501,$A457,AL$3)))</f>
        <v/>
      </c>
      <c r="AM457" s="124" t="str">
        <f>IF($B457="","",IF(AM$3=0,"n.b.",INDEX(SRC_ZPMW03!$A$1:$ZZ$501,$A457,AM$3)))</f>
        <v/>
      </c>
      <c r="AN457" s="124" t="str">
        <f>IF($B457="","",IF(AN$3=0,"n.b.",INDEX(SRC_ZPMW03!$A$1:$ZZ$501,$A457,AN$3)))</f>
        <v/>
      </c>
      <c r="AO457" s="124" t="str">
        <f>IF($B457="","",IF(AO$3=0,"n.b.",INDEX(SRC_ZPMW03!$A$1:$ZZ$501,$A457,AO$3)))</f>
        <v/>
      </c>
      <c r="AP457" s="124" t="str">
        <f>IF($B457="","",IF(AP$3=0,"n.b.",INDEX(SRC_ZPMW03!$A$1:$ZZ$501,$A457,AP$3)))</f>
        <v/>
      </c>
      <c r="AQ457" s="124" t="str">
        <f>IF($B457="","",IF(AQ$3=0,"n.b.",INDEX(SRC_ZPMW03!$A$1:$ZZ$501,$A457,AQ$3)))</f>
        <v/>
      </c>
      <c r="AR457" s="124" t="str">
        <f>IF($B457="","",IF(AR$3=0,"n.b.",INDEX(SRC_ZPMW03!$A$1:$ZZ$501,$A457,AR$3)))</f>
        <v/>
      </c>
      <c r="AS457" s="124" t="str">
        <f>IF($B457="","",IF(AS$3=0,"n.b.",INDEX(SRC_ZPMW03!$A$1:$ZZ$501,$A457,AS$3)))</f>
        <v/>
      </c>
      <c r="AT457" s="124" t="str">
        <f>IF($B457="","",IF(AT$3=0,"n.b.",INDEX(SRC_ZPMW03!$A$1:$ZZ$501,$A457,AT$3)))</f>
        <v/>
      </c>
      <c r="AU457" s="124" t="str">
        <f>IF($B457="","",IF(AU$3=0,"n.b.",INDEX(SRC_ZPMW03!$A$1:$ZZ$501,$A457,AU$3)))</f>
        <v/>
      </c>
      <c r="AV457" s="124" t="str">
        <f>IF($B457="","",IF(AV$3=0,"n.b.",INDEX(SRC_ZPMW03!$A$1:$ZZ$501,$A457,AV$3)))</f>
        <v/>
      </c>
      <c r="AW457" s="124" t="str">
        <f>IF($B457="","",IF(AW$3=0,"n.b.",INDEX(SRC_ZPMW03!$A$1:$ZZ$501,$A457,AW$3)))</f>
        <v/>
      </c>
      <c r="AX457" s="124" t="str">
        <f>IF($B457="","",IF(AX$3=0,"n.b.",INDEX(SRC_ZPMW03!$A$1:$ZZ$501,$A457,AX$3)))</f>
        <v/>
      </c>
      <c r="AY457" s="124" t="str">
        <f>IF($B457="","",IF(AY$3=0,"n.b.",INDEX(SRC_ZPMW03!$A$1:$ZZ$501,$A457,AY$3)))</f>
        <v/>
      </c>
      <c r="AZ457" s="124" t="str">
        <f>IF($B457="","",IF(AZ$3=0,"n.b.",INDEX(SRC_ZPMW03!$A$1:$ZZ$501,$A457,AZ$3)))</f>
        <v/>
      </c>
      <c r="BA457" s="124" t="str">
        <f>IF($B457="","",IF(BA$3=0,"n.b.",INDEX(SRC_ZPMW03!$A$1:$ZZ$501,$A457,BA$3)))</f>
        <v/>
      </c>
      <c r="BB457" s="124" t="str">
        <f>IF($B457="","",IF(BB$3=0,"n.b.",INDEX(SRC_ZPMW03!$A$1:$ZZ$501,$A457,BB$3)))</f>
        <v/>
      </c>
      <c r="BC457" s="124" t="str">
        <f>IF($B457="","",IF(BC$3=0,"n.b.",INDEX(SRC_ZPMW03!$A$1:$ZZ$501,$A457,BC$3)))</f>
        <v/>
      </c>
      <c r="BD457" s="124" t="str">
        <f>IF($B457="","",IF(BD$3=0,"n.b.",INDEX(SRC_ZPMW03!$A$1:$ZZ$501,$A457,BD$3)))</f>
        <v/>
      </c>
      <c r="BE457" s="124" t="str">
        <f>IF($B457="","",IF(BE$3=0,"n.b.",INDEX(SRC_ZPMW03!$A$1:$ZZ$501,$A457,BE$3)))</f>
        <v/>
      </c>
      <c r="BF457" s="124" t="str">
        <f>IF($B457="","",IF(BF$3=0,"n.b.",INDEX(SRC_ZPMW03!$A$1:$ZZ$501,$A457,BF$3)))</f>
        <v/>
      </c>
      <c r="BG457" t="str">
        <f>IF($B457="","",IF(BG$3=0,"n.b.",INDEX(SRC_ZPMW03!$A$1:$ZZ$501,$A457,BG$3)))</f>
        <v/>
      </c>
      <c r="BH457" t="str">
        <f>IF($B457="","",IF(BH$3=0,"n.b.",INDEX(SRC_ZPMW03!$A$1:$ZZ$501,$A457,BH$3)))</f>
        <v/>
      </c>
      <c r="BI457" t="str">
        <f>IF($B457="","",IF(BI$3=0,"n.b.",INDEX(SRC_ZPMW03!$A$1:$ZZ$501,$A457,BI$3)))</f>
        <v/>
      </c>
      <c r="BJ457" t="str">
        <f>IF($B457="","",IF(BJ$3=0,"n.b.",INDEX(SRC_ZPMW03!$A$1:$ZZ$501,$A457,BJ$3)))</f>
        <v/>
      </c>
      <c r="BK457" s="124" t="str">
        <f>IF($B457="","",IFERROR(-O457,"n.b."))</f>
        <v/>
      </c>
      <c r="BL457" s="124" t="str">
        <f>IF($B457="","",IFERROR(-Q457,"n.b."))</f>
        <v/>
      </c>
      <c r="BM457" s="124" t="str">
        <f>IF($B457="","",IFERROR(-AB457,"n.b."))</f>
        <v/>
      </c>
      <c r="BN457" s="124" t="str">
        <f>IF($B457="","",IFERROR(-AD457,"n.b."))</f>
        <v/>
      </c>
      <c r="BO457" s="124" t="str">
        <f>IF($B457="","",IFERROR(BK457+BM457,"n.b."))</f>
        <v/>
      </c>
      <c r="BP457" s="124" t="str">
        <f>IF($B457="","",IFERROR(BL457+BN457,"n.b."))</f>
        <v/>
      </c>
      <c r="BQ457" s="124" t="str">
        <f>IF($B457="","",IFERROR(-AM457,"n.b."))</f>
        <v/>
      </c>
      <c r="BR457" s="124" t="str">
        <f>IF($B457="","",IFERROR(-AO457,"n.b."))</f>
        <v/>
      </c>
      <c r="BS457" s="124" t="str">
        <f>IF($B457="","",IFERROR(-Z457,"n.b."))</f>
        <v/>
      </c>
      <c r="BT457" s="124" t="str">
        <f>IF($B457="","",IFERROR(-AA457,"n.b."))</f>
        <v/>
      </c>
      <c r="BU457" s="124" t="str">
        <f>IF($B457="","",IFERROR(-AE457,"n.b."))</f>
        <v/>
      </c>
      <c r="BV457" s="124" t="str">
        <f>IF($B457="","",IFERROR(-AF457,"n.b."))</f>
        <v/>
      </c>
      <c r="BW457" s="124" t="str">
        <f>IF($B457="","",IFERROR(-AG457,"n.b."))</f>
        <v/>
      </c>
      <c r="BX457" s="124" t="str">
        <f>IF($B457="","",IFERROR(-AH457,"n.b."))</f>
        <v/>
      </c>
      <c r="BY457" s="124" t="str">
        <f>IF($B457="","",IFERROR(-AI457,"n.b."))</f>
        <v/>
      </c>
      <c r="BZ457" s="124" t="str">
        <f>IF($B457="","",IFERROR(-AJ457,"n.b."))</f>
        <v/>
      </c>
      <c r="CA457" s="124" t="str">
        <f>IF($B457="","",IFERROR(-AK457,"n.b."))</f>
        <v/>
      </c>
      <c r="CB457" s="124" t="str">
        <f>IF($B457="","",IFERROR(-AL457,"n.b."))</f>
        <v/>
      </c>
      <c r="CC457" s="124" t="str">
        <f>IF($B457="","",IFERROR(-AP457,"n.b."))</f>
        <v/>
      </c>
      <c r="CD457" s="124" t="str">
        <f>IF($B457="","",IFERROR(-AQ457,"n.b."))</f>
        <v/>
      </c>
      <c r="CE457" s="124" t="str">
        <f>IF($B457="","",IFERROR(-AR457,"n.b."))</f>
        <v/>
      </c>
      <c r="CF457" s="124" t="str">
        <f>IF($B457="","",IFERROR(-AS457,"n.b."))</f>
        <v/>
      </c>
      <c r="CG457" s="124" t="str">
        <f>IF($B457="","",IFERROR(-AT457,"n.b."))</f>
        <v/>
      </c>
      <c r="CH457" s="124" t="str">
        <f>IF($B457="","",IFERROR(-AU457,"n.b."))</f>
        <v/>
      </c>
      <c r="CI457" s="124" t="str">
        <f>IF($B457="","",IFERROR(-AV457,"n.b."))</f>
        <v/>
      </c>
      <c r="CJ457" s="124" t="str">
        <f>IF($B457="","",IFERROR(-AW457,"n.b."))</f>
        <v/>
      </c>
      <c r="CK457" s="124" t="str">
        <f>IF($B457="","",IFERROR(-AX457,"n.b."))</f>
        <v/>
      </c>
      <c r="CL457" s="124" t="str">
        <f>IF($B457="","",IFERROR(-AY457,"n.b."))</f>
        <v/>
      </c>
      <c r="CM457" s="124" t="str">
        <f>IF($B457="","",IFERROR(-AZ457,"n.b."))</f>
        <v/>
      </c>
      <c r="CN457" s="124" t="str">
        <f>IF($B457="","",IFERROR(-BA457,"n.b."))</f>
        <v/>
      </c>
      <c r="CO457" s="124" t="str">
        <f>IF($B457="","",IFERROR(-BB457,"n.b."))</f>
        <v/>
      </c>
      <c r="CP457" s="124" t="str">
        <f>IF($B457="","",IFERROR(-BC457,"n.b."))</f>
        <v/>
      </c>
      <c r="CQ457" s="124" t="str">
        <f>IF($B457="","",IFERROR(-BD457,"n.b."))</f>
        <v/>
      </c>
      <c r="CR457" s="124" t="str">
        <f>IF($B457="","",IFERROR(-BE457,"n.b."))</f>
        <v/>
      </c>
      <c r="CS457" s="124" t="str">
        <f>IF($B457="","",IFERROR(IF(OR(ABS(T457+V457+X457+Z457-AB457)&gt;P_Tol,ABS(U457+W457+Y457+AA457-AD457)&gt;P_Tol,ABS(AE457+AG457+AI457+AK457-AM457)&gt;P_Tol,ABS(AF457+AH457+AJ457+AL457-AO457)&gt;P_Tol),1,0),1))</f>
        <v/>
      </c>
      <c r="CT457" s="124" t="str">
        <f>IF($B457="","",IFERROR(IF(OR(ABS(AB457+AC457-AD457)&gt;P_Tol,ABS(AM457+AN457-AO457)&gt;P_Tol,ABS(O457+P457-Q457)&gt;P_Tol),1,0),1))</f>
        <v/>
      </c>
      <c r="CU457" s="124" t="str">
        <f>IF($B457="","",IFERROR(IF(ABS(R457-(AB457+AM457+AP457+AR457+AT457+AV457+AX457+AZ457+BB457+BD457))&gt;P_Tol,1,0),1))</f>
        <v/>
      </c>
      <c r="CV457" s="124" t="str">
        <f>IF($B457="","",IFERROR(IF(ABS(M457-(N457+O457+R457))&gt;P_Tol,1,0),1))</f>
        <v/>
      </c>
      <c r="CW457" s="124" t="str">
        <f>IF($B457="","",IF(COUNTIF(Mapping!$A$5:$A$104,B457)&gt;0,1,0))</f>
        <v/>
      </c>
      <c r="CX457" s="124" t="str">
        <f>IF($B457="","",COUNTIF($B$6:$B$505,B457))</f>
        <v/>
      </c>
      <c r="CY457" s="124" t="str">
        <f>IF($B457="","",COUNTIF(STG_Woningetalage!$B$6:$B$505,B457))</f>
        <v/>
      </c>
      <c r="CZ457" s="124" t="str">
        <f>IF($B457="","",IF(CW457=0,COUNTIF($CW$6:CW457,0),""))</f>
        <v/>
      </c>
    </row>
    <row r="458">
      <c r="A458" s="15" t="n">
        <v>454</v>
      </c>
      <c r="B458" t="str">
        <f>IF(B$3=0,"",IF(INDEX(SRC_ZPMW03!$A$1:$ZZ$501,$A458,B$3)&amp;""="","",INDEX(SRC_ZPMW03!$A$1:$ZZ$501,$A458,B$3)&amp;""))</f>
        <v/>
      </c>
      <c r="C458" t="str">
        <f>IF($B458="","",IF(C$3=0,"n.b.",INDEX(SRC_ZPMW03!$A$1:$ZZ$501,$A458,C$3)))</f>
        <v/>
      </c>
      <c r="D458" t="str">
        <f>IF($B458="","",IF(D$3=0,"n.b.",INDEX(SRC_ZPMW03!$A$1:$ZZ$501,$A458,D$3)))</f>
        <v/>
      </c>
      <c r="E458" t="str">
        <f>IF($B458="","",IF(E$3=0,"n.b.",INDEX(SRC_ZPMW03!$A$1:$ZZ$501,$A458,E$3)))</f>
        <v/>
      </c>
      <c r="F458" t="str">
        <f>IF($B458="","",IF(F$3=0,"n.b.",INDEX(SRC_ZPMW03!$A$1:$ZZ$501,$A458,F$3)))</f>
        <v/>
      </c>
      <c r="G458" t="str">
        <f>IF($B458="","",IF(G$3=0,"n.b.",INDEX(SRC_ZPMW03!$A$1:$ZZ$501,$A458,G$3)))</f>
        <v/>
      </c>
      <c r="H458" t="str">
        <f>IF($B458="","",IF(H$3=0,"n.b.",INDEX(SRC_ZPMW03!$A$1:$ZZ$501,$A458,H$3)))</f>
        <v/>
      </c>
      <c r="I458" t="str">
        <f>IF($B458="","",IF(I$3=0,"n.b.",INDEX(SRC_ZPMW03!$A$1:$ZZ$501,$A458,I$3)))</f>
        <v/>
      </c>
      <c r="J458" t="str">
        <f>IF($B458="","",IF(J$3=0,"n.b.",INDEX(SRC_ZPMW03!$A$1:$ZZ$501,$A458,J$3)))</f>
        <v/>
      </c>
      <c r="K458" t="str">
        <f>IF($B458="","",IF(K$3=0,"n.b.",INDEX(SRC_ZPMW03!$A$1:$ZZ$501,$A458,K$3)))</f>
        <v/>
      </c>
      <c r="L458" s="124" t="str">
        <f>IF($B458="","",IF(L$3=0,"n.b.",INDEX(SRC_ZPMW03!$A$1:$ZZ$501,$A458,L$3)))</f>
        <v/>
      </c>
      <c r="M458" s="124" t="str">
        <f>IF($B458="","",IF(M$3=0,"n.b.",INDEX(SRC_ZPMW03!$A$1:$ZZ$501,$A458,M$3)))</f>
        <v/>
      </c>
      <c r="N458" s="124" t="str">
        <f>IF($B458="","",IF(N$3=0,"n.b.",INDEX(SRC_ZPMW03!$A$1:$ZZ$501,$A458,N$3)))</f>
        <v/>
      </c>
      <c r="O458" s="124" t="str">
        <f>IF($B458="","",IF(O$3=0,"n.b.",INDEX(SRC_ZPMW03!$A$1:$ZZ$501,$A458,O$3)))</f>
        <v/>
      </c>
      <c r="P458" s="124" t="str">
        <f>IF($B458="","",IF(P$3=0,"n.b.",INDEX(SRC_ZPMW03!$A$1:$ZZ$501,$A458,P$3)))</f>
        <v/>
      </c>
      <c r="Q458" s="124" t="str">
        <f>IF($B458="","",IF(Q$3=0,"n.b.",INDEX(SRC_ZPMW03!$A$1:$ZZ$501,$A458,Q$3)))</f>
        <v/>
      </c>
      <c r="R458" s="124" t="str">
        <f>IF($B458="","",IF(R$3=0,"n.b.",INDEX(SRC_ZPMW03!$A$1:$ZZ$501,$A458,R$3)))</f>
        <v/>
      </c>
      <c r="S458" s="124" t="str">
        <f>IF($B458="","",IF(S$3=0,"n.b.",INDEX(SRC_ZPMW03!$A$1:$ZZ$501,$A458,S$3)))</f>
        <v/>
      </c>
      <c r="T458" s="124" t="str">
        <f>IF($B458="","",IF(T$3=0,"n.b.",INDEX(SRC_ZPMW03!$A$1:$ZZ$501,$A458,T$3)))</f>
        <v/>
      </c>
      <c r="U458" s="124" t="str">
        <f>IF($B458="","",IF(U$3=0,"n.b.",INDEX(SRC_ZPMW03!$A$1:$ZZ$501,$A458,U$3)))</f>
        <v/>
      </c>
      <c r="V458" s="124" t="str">
        <f>IF($B458="","",IF(V$3=0,"n.b.",INDEX(SRC_ZPMW03!$A$1:$ZZ$501,$A458,V$3)))</f>
        <v/>
      </c>
      <c r="W458" s="124" t="str">
        <f>IF($B458="","",IF(W$3=0,"n.b.",INDEX(SRC_ZPMW03!$A$1:$ZZ$501,$A458,W$3)))</f>
        <v/>
      </c>
      <c r="X458" s="124" t="str">
        <f>IF($B458="","",IF(X$3=0,"n.b.",INDEX(SRC_ZPMW03!$A$1:$ZZ$501,$A458,X$3)))</f>
        <v/>
      </c>
      <c r="Y458" s="124" t="str">
        <f>IF($B458="","",IF(Y$3=0,"n.b.",INDEX(SRC_ZPMW03!$A$1:$ZZ$501,$A458,Y$3)))</f>
        <v/>
      </c>
      <c r="Z458" s="124" t="str">
        <f>IF($B458="","",IF(Z$3=0,"n.b.",INDEX(SRC_ZPMW03!$A$1:$ZZ$501,$A458,Z$3)))</f>
        <v/>
      </c>
      <c r="AA458" s="124" t="str">
        <f>IF($B458="","",IF(AA$3=0,"n.b.",INDEX(SRC_ZPMW03!$A$1:$ZZ$501,$A458,AA$3)))</f>
        <v/>
      </c>
      <c r="AB458" s="124" t="str">
        <f>IF($B458="","",IF(AB$3=0,"n.b.",INDEX(SRC_ZPMW03!$A$1:$ZZ$501,$A458,AB$3)))</f>
        <v/>
      </c>
      <c r="AC458" s="124" t="str">
        <f>IF($B458="","",IF(AC$3=0,"n.b.",INDEX(SRC_ZPMW03!$A$1:$ZZ$501,$A458,AC$3)))</f>
        <v/>
      </c>
      <c r="AD458" s="124" t="str">
        <f>IF($B458="","",IF(AD$3=0,"n.b.",INDEX(SRC_ZPMW03!$A$1:$ZZ$501,$A458,AD$3)))</f>
        <v/>
      </c>
      <c r="AE458" s="124" t="str">
        <f>IF($B458="","",IF(AE$3=0,"n.b.",INDEX(SRC_ZPMW03!$A$1:$ZZ$501,$A458,AE$3)))</f>
        <v/>
      </c>
      <c r="AF458" s="124" t="str">
        <f>IF($B458="","",IF(AF$3=0,"n.b.",INDEX(SRC_ZPMW03!$A$1:$ZZ$501,$A458,AF$3)))</f>
        <v/>
      </c>
      <c r="AG458" s="124" t="str">
        <f>IF($B458="","",IF(AG$3=0,"n.b.",INDEX(SRC_ZPMW03!$A$1:$ZZ$501,$A458,AG$3)))</f>
        <v/>
      </c>
      <c r="AH458" s="124" t="str">
        <f>IF($B458="","",IF(AH$3=0,"n.b.",INDEX(SRC_ZPMW03!$A$1:$ZZ$501,$A458,AH$3)))</f>
        <v/>
      </c>
      <c r="AI458" s="124" t="str">
        <f>IF($B458="","",IF(AI$3=0,"n.b.",INDEX(SRC_ZPMW03!$A$1:$ZZ$501,$A458,AI$3)))</f>
        <v/>
      </c>
      <c r="AJ458" s="124" t="str">
        <f>IF($B458="","",IF(AJ$3=0,"n.b.",INDEX(SRC_ZPMW03!$A$1:$ZZ$501,$A458,AJ$3)))</f>
        <v/>
      </c>
      <c r="AK458" s="124" t="str">
        <f>IF($B458="","",IF(AK$3=0,"n.b.",INDEX(SRC_ZPMW03!$A$1:$ZZ$501,$A458,AK$3)))</f>
        <v/>
      </c>
      <c r="AL458" s="124" t="str">
        <f>IF($B458="","",IF(AL$3=0,"n.b.",INDEX(SRC_ZPMW03!$A$1:$ZZ$501,$A458,AL$3)))</f>
        <v/>
      </c>
      <c r="AM458" s="124" t="str">
        <f>IF($B458="","",IF(AM$3=0,"n.b.",INDEX(SRC_ZPMW03!$A$1:$ZZ$501,$A458,AM$3)))</f>
        <v/>
      </c>
      <c r="AN458" s="124" t="str">
        <f>IF($B458="","",IF(AN$3=0,"n.b.",INDEX(SRC_ZPMW03!$A$1:$ZZ$501,$A458,AN$3)))</f>
        <v/>
      </c>
      <c r="AO458" s="124" t="str">
        <f>IF($B458="","",IF(AO$3=0,"n.b.",INDEX(SRC_ZPMW03!$A$1:$ZZ$501,$A458,AO$3)))</f>
        <v/>
      </c>
      <c r="AP458" s="124" t="str">
        <f>IF($B458="","",IF(AP$3=0,"n.b.",INDEX(SRC_ZPMW03!$A$1:$ZZ$501,$A458,AP$3)))</f>
        <v/>
      </c>
      <c r="AQ458" s="124" t="str">
        <f>IF($B458="","",IF(AQ$3=0,"n.b.",INDEX(SRC_ZPMW03!$A$1:$ZZ$501,$A458,AQ$3)))</f>
        <v/>
      </c>
      <c r="AR458" s="124" t="str">
        <f>IF($B458="","",IF(AR$3=0,"n.b.",INDEX(SRC_ZPMW03!$A$1:$ZZ$501,$A458,AR$3)))</f>
        <v/>
      </c>
      <c r="AS458" s="124" t="str">
        <f>IF($B458="","",IF(AS$3=0,"n.b.",INDEX(SRC_ZPMW03!$A$1:$ZZ$501,$A458,AS$3)))</f>
        <v/>
      </c>
      <c r="AT458" s="124" t="str">
        <f>IF($B458="","",IF(AT$3=0,"n.b.",INDEX(SRC_ZPMW03!$A$1:$ZZ$501,$A458,AT$3)))</f>
        <v/>
      </c>
      <c r="AU458" s="124" t="str">
        <f>IF($B458="","",IF(AU$3=0,"n.b.",INDEX(SRC_ZPMW03!$A$1:$ZZ$501,$A458,AU$3)))</f>
        <v/>
      </c>
      <c r="AV458" s="124" t="str">
        <f>IF($B458="","",IF(AV$3=0,"n.b.",INDEX(SRC_ZPMW03!$A$1:$ZZ$501,$A458,AV$3)))</f>
        <v/>
      </c>
      <c r="AW458" s="124" t="str">
        <f>IF($B458="","",IF(AW$3=0,"n.b.",INDEX(SRC_ZPMW03!$A$1:$ZZ$501,$A458,AW$3)))</f>
        <v/>
      </c>
      <c r="AX458" s="124" t="str">
        <f>IF($B458="","",IF(AX$3=0,"n.b.",INDEX(SRC_ZPMW03!$A$1:$ZZ$501,$A458,AX$3)))</f>
        <v/>
      </c>
      <c r="AY458" s="124" t="str">
        <f>IF($B458="","",IF(AY$3=0,"n.b.",INDEX(SRC_ZPMW03!$A$1:$ZZ$501,$A458,AY$3)))</f>
        <v/>
      </c>
      <c r="AZ458" s="124" t="str">
        <f>IF($B458="","",IF(AZ$3=0,"n.b.",INDEX(SRC_ZPMW03!$A$1:$ZZ$501,$A458,AZ$3)))</f>
        <v/>
      </c>
      <c r="BA458" s="124" t="str">
        <f>IF($B458="","",IF(BA$3=0,"n.b.",INDEX(SRC_ZPMW03!$A$1:$ZZ$501,$A458,BA$3)))</f>
        <v/>
      </c>
      <c r="BB458" s="124" t="str">
        <f>IF($B458="","",IF(BB$3=0,"n.b.",INDEX(SRC_ZPMW03!$A$1:$ZZ$501,$A458,BB$3)))</f>
        <v/>
      </c>
      <c r="BC458" s="124" t="str">
        <f>IF($B458="","",IF(BC$3=0,"n.b.",INDEX(SRC_ZPMW03!$A$1:$ZZ$501,$A458,BC$3)))</f>
        <v/>
      </c>
      <c r="BD458" s="124" t="str">
        <f>IF($B458="","",IF(BD$3=0,"n.b.",INDEX(SRC_ZPMW03!$A$1:$ZZ$501,$A458,BD$3)))</f>
        <v/>
      </c>
      <c r="BE458" s="124" t="str">
        <f>IF($B458="","",IF(BE$3=0,"n.b.",INDEX(SRC_ZPMW03!$A$1:$ZZ$501,$A458,BE$3)))</f>
        <v/>
      </c>
      <c r="BF458" s="124" t="str">
        <f>IF($B458="","",IF(BF$3=0,"n.b.",INDEX(SRC_ZPMW03!$A$1:$ZZ$501,$A458,BF$3)))</f>
        <v/>
      </c>
      <c r="BG458" t="str">
        <f>IF($B458="","",IF(BG$3=0,"n.b.",INDEX(SRC_ZPMW03!$A$1:$ZZ$501,$A458,BG$3)))</f>
        <v/>
      </c>
      <c r="BH458" t="str">
        <f>IF($B458="","",IF(BH$3=0,"n.b.",INDEX(SRC_ZPMW03!$A$1:$ZZ$501,$A458,BH$3)))</f>
        <v/>
      </c>
      <c r="BI458" t="str">
        <f>IF($B458="","",IF(BI$3=0,"n.b.",INDEX(SRC_ZPMW03!$A$1:$ZZ$501,$A458,BI$3)))</f>
        <v/>
      </c>
      <c r="BJ458" t="str">
        <f>IF($B458="","",IF(BJ$3=0,"n.b.",INDEX(SRC_ZPMW03!$A$1:$ZZ$501,$A458,BJ$3)))</f>
        <v/>
      </c>
      <c r="BK458" s="124" t="str">
        <f>IF($B458="","",IFERROR(-O458,"n.b."))</f>
        <v/>
      </c>
      <c r="BL458" s="124" t="str">
        <f>IF($B458="","",IFERROR(-Q458,"n.b."))</f>
        <v/>
      </c>
      <c r="BM458" s="124" t="str">
        <f>IF($B458="","",IFERROR(-AB458,"n.b."))</f>
        <v/>
      </c>
      <c r="BN458" s="124" t="str">
        <f>IF($B458="","",IFERROR(-AD458,"n.b."))</f>
        <v/>
      </c>
      <c r="BO458" s="124" t="str">
        <f>IF($B458="","",IFERROR(BK458+BM458,"n.b."))</f>
        <v/>
      </c>
      <c r="BP458" s="124" t="str">
        <f>IF($B458="","",IFERROR(BL458+BN458,"n.b."))</f>
        <v/>
      </c>
      <c r="BQ458" s="124" t="str">
        <f>IF($B458="","",IFERROR(-AM458,"n.b."))</f>
        <v/>
      </c>
      <c r="BR458" s="124" t="str">
        <f>IF($B458="","",IFERROR(-AO458,"n.b."))</f>
        <v/>
      </c>
      <c r="BS458" s="124" t="str">
        <f>IF($B458="","",IFERROR(-Z458,"n.b."))</f>
        <v/>
      </c>
      <c r="BT458" s="124" t="str">
        <f>IF($B458="","",IFERROR(-AA458,"n.b."))</f>
        <v/>
      </c>
      <c r="BU458" s="124" t="str">
        <f>IF($B458="","",IFERROR(-AE458,"n.b."))</f>
        <v/>
      </c>
      <c r="BV458" s="124" t="str">
        <f>IF($B458="","",IFERROR(-AF458,"n.b."))</f>
        <v/>
      </c>
      <c r="BW458" s="124" t="str">
        <f>IF($B458="","",IFERROR(-AG458,"n.b."))</f>
        <v/>
      </c>
      <c r="BX458" s="124" t="str">
        <f>IF($B458="","",IFERROR(-AH458,"n.b."))</f>
        <v/>
      </c>
      <c r="BY458" s="124" t="str">
        <f>IF($B458="","",IFERROR(-AI458,"n.b."))</f>
        <v/>
      </c>
      <c r="BZ458" s="124" t="str">
        <f>IF($B458="","",IFERROR(-AJ458,"n.b."))</f>
        <v/>
      </c>
      <c r="CA458" s="124" t="str">
        <f>IF($B458="","",IFERROR(-AK458,"n.b."))</f>
        <v/>
      </c>
      <c r="CB458" s="124" t="str">
        <f>IF($B458="","",IFERROR(-AL458,"n.b."))</f>
        <v/>
      </c>
      <c r="CC458" s="124" t="str">
        <f>IF($B458="","",IFERROR(-AP458,"n.b."))</f>
        <v/>
      </c>
      <c r="CD458" s="124" t="str">
        <f>IF($B458="","",IFERROR(-AQ458,"n.b."))</f>
        <v/>
      </c>
      <c r="CE458" s="124" t="str">
        <f>IF($B458="","",IFERROR(-AR458,"n.b."))</f>
        <v/>
      </c>
      <c r="CF458" s="124" t="str">
        <f>IF($B458="","",IFERROR(-AS458,"n.b."))</f>
        <v/>
      </c>
      <c r="CG458" s="124" t="str">
        <f>IF($B458="","",IFERROR(-AT458,"n.b."))</f>
        <v/>
      </c>
      <c r="CH458" s="124" t="str">
        <f>IF($B458="","",IFERROR(-AU458,"n.b."))</f>
        <v/>
      </c>
      <c r="CI458" s="124" t="str">
        <f>IF($B458="","",IFERROR(-AV458,"n.b."))</f>
        <v/>
      </c>
      <c r="CJ458" s="124" t="str">
        <f>IF($B458="","",IFERROR(-AW458,"n.b."))</f>
        <v/>
      </c>
      <c r="CK458" s="124" t="str">
        <f>IF($B458="","",IFERROR(-AX458,"n.b."))</f>
        <v/>
      </c>
      <c r="CL458" s="124" t="str">
        <f>IF($B458="","",IFERROR(-AY458,"n.b."))</f>
        <v/>
      </c>
      <c r="CM458" s="124" t="str">
        <f>IF($B458="","",IFERROR(-AZ458,"n.b."))</f>
        <v/>
      </c>
      <c r="CN458" s="124" t="str">
        <f>IF($B458="","",IFERROR(-BA458,"n.b."))</f>
        <v/>
      </c>
      <c r="CO458" s="124" t="str">
        <f>IF($B458="","",IFERROR(-BB458,"n.b."))</f>
        <v/>
      </c>
      <c r="CP458" s="124" t="str">
        <f>IF($B458="","",IFERROR(-BC458,"n.b."))</f>
        <v/>
      </c>
      <c r="CQ458" s="124" t="str">
        <f>IF($B458="","",IFERROR(-BD458,"n.b."))</f>
        <v/>
      </c>
      <c r="CR458" s="124" t="str">
        <f>IF($B458="","",IFERROR(-BE458,"n.b."))</f>
        <v/>
      </c>
      <c r="CS458" s="124" t="str">
        <f>IF($B458="","",IFERROR(IF(OR(ABS(T458+V458+X458+Z458-AB458)&gt;P_Tol,ABS(U458+W458+Y458+AA458-AD458)&gt;P_Tol,ABS(AE458+AG458+AI458+AK458-AM458)&gt;P_Tol,ABS(AF458+AH458+AJ458+AL458-AO458)&gt;P_Tol),1,0),1))</f>
        <v/>
      </c>
      <c r="CT458" s="124" t="str">
        <f>IF($B458="","",IFERROR(IF(OR(ABS(AB458+AC458-AD458)&gt;P_Tol,ABS(AM458+AN458-AO458)&gt;P_Tol,ABS(O458+P458-Q458)&gt;P_Tol),1,0),1))</f>
        <v/>
      </c>
      <c r="CU458" s="124" t="str">
        <f>IF($B458="","",IFERROR(IF(ABS(R458-(AB458+AM458+AP458+AR458+AT458+AV458+AX458+AZ458+BB458+BD458))&gt;P_Tol,1,0),1))</f>
        <v/>
      </c>
      <c r="CV458" s="124" t="str">
        <f>IF($B458="","",IFERROR(IF(ABS(M458-(N458+O458+R458))&gt;P_Tol,1,0),1))</f>
        <v/>
      </c>
      <c r="CW458" s="124" t="str">
        <f>IF($B458="","",IF(COUNTIF(Mapping!$A$5:$A$104,B458)&gt;0,1,0))</f>
        <v/>
      </c>
      <c r="CX458" s="124" t="str">
        <f>IF($B458="","",COUNTIF($B$6:$B$505,B458))</f>
        <v/>
      </c>
      <c r="CY458" s="124" t="str">
        <f>IF($B458="","",COUNTIF(STG_Woningetalage!$B$6:$B$505,B458))</f>
        <v/>
      </c>
      <c r="CZ458" s="124" t="str">
        <f>IF($B458="","",IF(CW458=0,COUNTIF($CW$6:CW458,0),""))</f>
        <v/>
      </c>
    </row>
    <row r="459">
      <c r="A459" s="15" t="n">
        <v>455</v>
      </c>
      <c r="B459" t="str">
        <f>IF(B$3=0,"",IF(INDEX(SRC_ZPMW03!$A$1:$ZZ$501,$A459,B$3)&amp;""="","",INDEX(SRC_ZPMW03!$A$1:$ZZ$501,$A459,B$3)&amp;""))</f>
        <v/>
      </c>
      <c r="C459" t="str">
        <f>IF($B459="","",IF(C$3=0,"n.b.",INDEX(SRC_ZPMW03!$A$1:$ZZ$501,$A459,C$3)))</f>
        <v/>
      </c>
      <c r="D459" t="str">
        <f>IF($B459="","",IF(D$3=0,"n.b.",INDEX(SRC_ZPMW03!$A$1:$ZZ$501,$A459,D$3)))</f>
        <v/>
      </c>
      <c r="E459" t="str">
        <f>IF($B459="","",IF(E$3=0,"n.b.",INDEX(SRC_ZPMW03!$A$1:$ZZ$501,$A459,E$3)))</f>
        <v/>
      </c>
      <c r="F459" t="str">
        <f>IF($B459="","",IF(F$3=0,"n.b.",INDEX(SRC_ZPMW03!$A$1:$ZZ$501,$A459,F$3)))</f>
        <v/>
      </c>
      <c r="G459" t="str">
        <f>IF($B459="","",IF(G$3=0,"n.b.",INDEX(SRC_ZPMW03!$A$1:$ZZ$501,$A459,G$3)))</f>
        <v/>
      </c>
      <c r="H459" t="str">
        <f>IF($B459="","",IF(H$3=0,"n.b.",INDEX(SRC_ZPMW03!$A$1:$ZZ$501,$A459,H$3)))</f>
        <v/>
      </c>
      <c r="I459" t="str">
        <f>IF($B459="","",IF(I$3=0,"n.b.",INDEX(SRC_ZPMW03!$A$1:$ZZ$501,$A459,I$3)))</f>
        <v/>
      </c>
      <c r="J459" t="str">
        <f>IF($B459="","",IF(J$3=0,"n.b.",INDEX(SRC_ZPMW03!$A$1:$ZZ$501,$A459,J$3)))</f>
        <v/>
      </c>
      <c r="K459" t="str">
        <f>IF($B459="","",IF(K$3=0,"n.b.",INDEX(SRC_ZPMW03!$A$1:$ZZ$501,$A459,K$3)))</f>
        <v/>
      </c>
      <c r="L459" s="124" t="str">
        <f>IF($B459="","",IF(L$3=0,"n.b.",INDEX(SRC_ZPMW03!$A$1:$ZZ$501,$A459,L$3)))</f>
        <v/>
      </c>
      <c r="M459" s="124" t="str">
        <f>IF($B459="","",IF(M$3=0,"n.b.",INDEX(SRC_ZPMW03!$A$1:$ZZ$501,$A459,M$3)))</f>
        <v/>
      </c>
      <c r="N459" s="124" t="str">
        <f>IF($B459="","",IF(N$3=0,"n.b.",INDEX(SRC_ZPMW03!$A$1:$ZZ$501,$A459,N$3)))</f>
        <v/>
      </c>
      <c r="O459" s="124" t="str">
        <f>IF($B459="","",IF(O$3=0,"n.b.",INDEX(SRC_ZPMW03!$A$1:$ZZ$501,$A459,O$3)))</f>
        <v/>
      </c>
      <c r="P459" s="124" t="str">
        <f>IF($B459="","",IF(P$3=0,"n.b.",INDEX(SRC_ZPMW03!$A$1:$ZZ$501,$A459,P$3)))</f>
        <v/>
      </c>
      <c r="Q459" s="124" t="str">
        <f>IF($B459="","",IF(Q$3=0,"n.b.",INDEX(SRC_ZPMW03!$A$1:$ZZ$501,$A459,Q$3)))</f>
        <v/>
      </c>
      <c r="R459" s="124" t="str">
        <f>IF($B459="","",IF(R$3=0,"n.b.",INDEX(SRC_ZPMW03!$A$1:$ZZ$501,$A459,R$3)))</f>
        <v/>
      </c>
      <c r="S459" s="124" t="str">
        <f>IF($B459="","",IF(S$3=0,"n.b.",INDEX(SRC_ZPMW03!$A$1:$ZZ$501,$A459,S$3)))</f>
        <v/>
      </c>
      <c r="T459" s="124" t="str">
        <f>IF($B459="","",IF(T$3=0,"n.b.",INDEX(SRC_ZPMW03!$A$1:$ZZ$501,$A459,T$3)))</f>
        <v/>
      </c>
      <c r="U459" s="124" t="str">
        <f>IF($B459="","",IF(U$3=0,"n.b.",INDEX(SRC_ZPMW03!$A$1:$ZZ$501,$A459,U$3)))</f>
        <v/>
      </c>
      <c r="V459" s="124" t="str">
        <f>IF($B459="","",IF(V$3=0,"n.b.",INDEX(SRC_ZPMW03!$A$1:$ZZ$501,$A459,V$3)))</f>
        <v/>
      </c>
      <c r="W459" s="124" t="str">
        <f>IF($B459="","",IF(W$3=0,"n.b.",INDEX(SRC_ZPMW03!$A$1:$ZZ$501,$A459,W$3)))</f>
        <v/>
      </c>
      <c r="X459" s="124" t="str">
        <f>IF($B459="","",IF(X$3=0,"n.b.",INDEX(SRC_ZPMW03!$A$1:$ZZ$501,$A459,X$3)))</f>
        <v/>
      </c>
      <c r="Y459" s="124" t="str">
        <f>IF($B459="","",IF(Y$3=0,"n.b.",INDEX(SRC_ZPMW03!$A$1:$ZZ$501,$A459,Y$3)))</f>
        <v/>
      </c>
      <c r="Z459" s="124" t="str">
        <f>IF($B459="","",IF(Z$3=0,"n.b.",INDEX(SRC_ZPMW03!$A$1:$ZZ$501,$A459,Z$3)))</f>
        <v/>
      </c>
      <c r="AA459" s="124" t="str">
        <f>IF($B459="","",IF(AA$3=0,"n.b.",INDEX(SRC_ZPMW03!$A$1:$ZZ$501,$A459,AA$3)))</f>
        <v/>
      </c>
      <c r="AB459" s="124" t="str">
        <f>IF($B459="","",IF(AB$3=0,"n.b.",INDEX(SRC_ZPMW03!$A$1:$ZZ$501,$A459,AB$3)))</f>
        <v/>
      </c>
      <c r="AC459" s="124" t="str">
        <f>IF($B459="","",IF(AC$3=0,"n.b.",INDEX(SRC_ZPMW03!$A$1:$ZZ$501,$A459,AC$3)))</f>
        <v/>
      </c>
      <c r="AD459" s="124" t="str">
        <f>IF($B459="","",IF(AD$3=0,"n.b.",INDEX(SRC_ZPMW03!$A$1:$ZZ$501,$A459,AD$3)))</f>
        <v/>
      </c>
      <c r="AE459" s="124" t="str">
        <f>IF($B459="","",IF(AE$3=0,"n.b.",INDEX(SRC_ZPMW03!$A$1:$ZZ$501,$A459,AE$3)))</f>
        <v/>
      </c>
      <c r="AF459" s="124" t="str">
        <f>IF($B459="","",IF(AF$3=0,"n.b.",INDEX(SRC_ZPMW03!$A$1:$ZZ$501,$A459,AF$3)))</f>
        <v/>
      </c>
      <c r="AG459" s="124" t="str">
        <f>IF($B459="","",IF(AG$3=0,"n.b.",INDEX(SRC_ZPMW03!$A$1:$ZZ$501,$A459,AG$3)))</f>
        <v/>
      </c>
      <c r="AH459" s="124" t="str">
        <f>IF($B459="","",IF(AH$3=0,"n.b.",INDEX(SRC_ZPMW03!$A$1:$ZZ$501,$A459,AH$3)))</f>
        <v/>
      </c>
      <c r="AI459" s="124" t="str">
        <f>IF($B459="","",IF(AI$3=0,"n.b.",INDEX(SRC_ZPMW03!$A$1:$ZZ$501,$A459,AI$3)))</f>
        <v/>
      </c>
      <c r="AJ459" s="124" t="str">
        <f>IF($B459="","",IF(AJ$3=0,"n.b.",INDEX(SRC_ZPMW03!$A$1:$ZZ$501,$A459,AJ$3)))</f>
        <v/>
      </c>
      <c r="AK459" s="124" t="str">
        <f>IF($B459="","",IF(AK$3=0,"n.b.",INDEX(SRC_ZPMW03!$A$1:$ZZ$501,$A459,AK$3)))</f>
        <v/>
      </c>
      <c r="AL459" s="124" t="str">
        <f>IF($B459="","",IF(AL$3=0,"n.b.",INDEX(SRC_ZPMW03!$A$1:$ZZ$501,$A459,AL$3)))</f>
        <v/>
      </c>
      <c r="AM459" s="124" t="str">
        <f>IF($B459="","",IF(AM$3=0,"n.b.",INDEX(SRC_ZPMW03!$A$1:$ZZ$501,$A459,AM$3)))</f>
        <v/>
      </c>
      <c r="AN459" s="124" t="str">
        <f>IF($B459="","",IF(AN$3=0,"n.b.",INDEX(SRC_ZPMW03!$A$1:$ZZ$501,$A459,AN$3)))</f>
        <v/>
      </c>
      <c r="AO459" s="124" t="str">
        <f>IF($B459="","",IF(AO$3=0,"n.b.",INDEX(SRC_ZPMW03!$A$1:$ZZ$501,$A459,AO$3)))</f>
        <v/>
      </c>
      <c r="AP459" s="124" t="str">
        <f>IF($B459="","",IF(AP$3=0,"n.b.",INDEX(SRC_ZPMW03!$A$1:$ZZ$501,$A459,AP$3)))</f>
        <v/>
      </c>
      <c r="AQ459" s="124" t="str">
        <f>IF($B459="","",IF(AQ$3=0,"n.b.",INDEX(SRC_ZPMW03!$A$1:$ZZ$501,$A459,AQ$3)))</f>
        <v/>
      </c>
      <c r="AR459" s="124" t="str">
        <f>IF($B459="","",IF(AR$3=0,"n.b.",INDEX(SRC_ZPMW03!$A$1:$ZZ$501,$A459,AR$3)))</f>
        <v/>
      </c>
      <c r="AS459" s="124" t="str">
        <f>IF($B459="","",IF(AS$3=0,"n.b.",INDEX(SRC_ZPMW03!$A$1:$ZZ$501,$A459,AS$3)))</f>
        <v/>
      </c>
      <c r="AT459" s="124" t="str">
        <f>IF($B459="","",IF(AT$3=0,"n.b.",INDEX(SRC_ZPMW03!$A$1:$ZZ$501,$A459,AT$3)))</f>
        <v/>
      </c>
      <c r="AU459" s="124" t="str">
        <f>IF($B459="","",IF(AU$3=0,"n.b.",INDEX(SRC_ZPMW03!$A$1:$ZZ$501,$A459,AU$3)))</f>
        <v/>
      </c>
      <c r="AV459" s="124" t="str">
        <f>IF($B459="","",IF(AV$3=0,"n.b.",INDEX(SRC_ZPMW03!$A$1:$ZZ$501,$A459,AV$3)))</f>
        <v/>
      </c>
      <c r="AW459" s="124" t="str">
        <f>IF($B459="","",IF(AW$3=0,"n.b.",INDEX(SRC_ZPMW03!$A$1:$ZZ$501,$A459,AW$3)))</f>
        <v/>
      </c>
      <c r="AX459" s="124" t="str">
        <f>IF($B459="","",IF(AX$3=0,"n.b.",INDEX(SRC_ZPMW03!$A$1:$ZZ$501,$A459,AX$3)))</f>
        <v/>
      </c>
      <c r="AY459" s="124" t="str">
        <f>IF($B459="","",IF(AY$3=0,"n.b.",INDEX(SRC_ZPMW03!$A$1:$ZZ$501,$A459,AY$3)))</f>
        <v/>
      </c>
      <c r="AZ459" s="124" t="str">
        <f>IF($B459="","",IF(AZ$3=0,"n.b.",INDEX(SRC_ZPMW03!$A$1:$ZZ$501,$A459,AZ$3)))</f>
        <v/>
      </c>
      <c r="BA459" s="124" t="str">
        <f>IF($B459="","",IF(BA$3=0,"n.b.",INDEX(SRC_ZPMW03!$A$1:$ZZ$501,$A459,BA$3)))</f>
        <v/>
      </c>
      <c r="BB459" s="124" t="str">
        <f>IF($B459="","",IF(BB$3=0,"n.b.",INDEX(SRC_ZPMW03!$A$1:$ZZ$501,$A459,BB$3)))</f>
        <v/>
      </c>
      <c r="BC459" s="124" t="str">
        <f>IF($B459="","",IF(BC$3=0,"n.b.",INDEX(SRC_ZPMW03!$A$1:$ZZ$501,$A459,BC$3)))</f>
        <v/>
      </c>
      <c r="BD459" s="124" t="str">
        <f>IF($B459="","",IF(BD$3=0,"n.b.",INDEX(SRC_ZPMW03!$A$1:$ZZ$501,$A459,BD$3)))</f>
        <v/>
      </c>
      <c r="BE459" s="124" t="str">
        <f>IF($B459="","",IF(BE$3=0,"n.b.",INDEX(SRC_ZPMW03!$A$1:$ZZ$501,$A459,BE$3)))</f>
        <v/>
      </c>
      <c r="BF459" s="124" t="str">
        <f>IF($B459="","",IF(BF$3=0,"n.b.",INDEX(SRC_ZPMW03!$A$1:$ZZ$501,$A459,BF$3)))</f>
        <v/>
      </c>
      <c r="BG459" t="str">
        <f>IF($B459="","",IF(BG$3=0,"n.b.",INDEX(SRC_ZPMW03!$A$1:$ZZ$501,$A459,BG$3)))</f>
        <v/>
      </c>
      <c r="BH459" t="str">
        <f>IF($B459="","",IF(BH$3=0,"n.b.",INDEX(SRC_ZPMW03!$A$1:$ZZ$501,$A459,BH$3)))</f>
        <v/>
      </c>
      <c r="BI459" t="str">
        <f>IF($B459="","",IF(BI$3=0,"n.b.",INDEX(SRC_ZPMW03!$A$1:$ZZ$501,$A459,BI$3)))</f>
        <v/>
      </c>
      <c r="BJ459" t="str">
        <f>IF($B459="","",IF(BJ$3=0,"n.b.",INDEX(SRC_ZPMW03!$A$1:$ZZ$501,$A459,BJ$3)))</f>
        <v/>
      </c>
      <c r="BK459" s="124" t="str">
        <f>IF($B459="","",IFERROR(-O459,"n.b."))</f>
        <v/>
      </c>
      <c r="BL459" s="124" t="str">
        <f>IF($B459="","",IFERROR(-Q459,"n.b."))</f>
        <v/>
      </c>
      <c r="BM459" s="124" t="str">
        <f>IF($B459="","",IFERROR(-AB459,"n.b."))</f>
        <v/>
      </c>
      <c r="BN459" s="124" t="str">
        <f>IF($B459="","",IFERROR(-AD459,"n.b."))</f>
        <v/>
      </c>
      <c r="BO459" s="124" t="str">
        <f>IF($B459="","",IFERROR(BK459+BM459,"n.b."))</f>
        <v/>
      </c>
      <c r="BP459" s="124" t="str">
        <f>IF($B459="","",IFERROR(BL459+BN459,"n.b."))</f>
        <v/>
      </c>
      <c r="BQ459" s="124" t="str">
        <f>IF($B459="","",IFERROR(-AM459,"n.b."))</f>
        <v/>
      </c>
      <c r="BR459" s="124" t="str">
        <f>IF($B459="","",IFERROR(-AO459,"n.b."))</f>
        <v/>
      </c>
      <c r="BS459" s="124" t="str">
        <f>IF($B459="","",IFERROR(-Z459,"n.b."))</f>
        <v/>
      </c>
      <c r="BT459" s="124" t="str">
        <f>IF($B459="","",IFERROR(-AA459,"n.b."))</f>
        <v/>
      </c>
      <c r="BU459" s="124" t="str">
        <f>IF($B459="","",IFERROR(-AE459,"n.b."))</f>
        <v/>
      </c>
      <c r="BV459" s="124" t="str">
        <f>IF($B459="","",IFERROR(-AF459,"n.b."))</f>
        <v/>
      </c>
      <c r="BW459" s="124" t="str">
        <f>IF($B459="","",IFERROR(-AG459,"n.b."))</f>
        <v/>
      </c>
      <c r="BX459" s="124" t="str">
        <f>IF($B459="","",IFERROR(-AH459,"n.b."))</f>
        <v/>
      </c>
      <c r="BY459" s="124" t="str">
        <f>IF($B459="","",IFERROR(-AI459,"n.b."))</f>
        <v/>
      </c>
      <c r="BZ459" s="124" t="str">
        <f>IF($B459="","",IFERROR(-AJ459,"n.b."))</f>
        <v/>
      </c>
      <c r="CA459" s="124" t="str">
        <f>IF($B459="","",IFERROR(-AK459,"n.b."))</f>
        <v/>
      </c>
      <c r="CB459" s="124" t="str">
        <f>IF($B459="","",IFERROR(-AL459,"n.b."))</f>
        <v/>
      </c>
      <c r="CC459" s="124" t="str">
        <f>IF($B459="","",IFERROR(-AP459,"n.b."))</f>
        <v/>
      </c>
      <c r="CD459" s="124" t="str">
        <f>IF($B459="","",IFERROR(-AQ459,"n.b."))</f>
        <v/>
      </c>
      <c r="CE459" s="124" t="str">
        <f>IF($B459="","",IFERROR(-AR459,"n.b."))</f>
        <v/>
      </c>
      <c r="CF459" s="124" t="str">
        <f>IF($B459="","",IFERROR(-AS459,"n.b."))</f>
        <v/>
      </c>
      <c r="CG459" s="124" t="str">
        <f>IF($B459="","",IFERROR(-AT459,"n.b."))</f>
        <v/>
      </c>
      <c r="CH459" s="124" t="str">
        <f>IF($B459="","",IFERROR(-AU459,"n.b."))</f>
        <v/>
      </c>
      <c r="CI459" s="124" t="str">
        <f>IF($B459="","",IFERROR(-AV459,"n.b."))</f>
        <v/>
      </c>
      <c r="CJ459" s="124" t="str">
        <f>IF($B459="","",IFERROR(-AW459,"n.b."))</f>
        <v/>
      </c>
      <c r="CK459" s="124" t="str">
        <f>IF($B459="","",IFERROR(-AX459,"n.b."))</f>
        <v/>
      </c>
      <c r="CL459" s="124" t="str">
        <f>IF($B459="","",IFERROR(-AY459,"n.b."))</f>
        <v/>
      </c>
      <c r="CM459" s="124" t="str">
        <f>IF($B459="","",IFERROR(-AZ459,"n.b."))</f>
        <v/>
      </c>
      <c r="CN459" s="124" t="str">
        <f>IF($B459="","",IFERROR(-BA459,"n.b."))</f>
        <v/>
      </c>
      <c r="CO459" s="124" t="str">
        <f>IF($B459="","",IFERROR(-BB459,"n.b."))</f>
        <v/>
      </c>
      <c r="CP459" s="124" t="str">
        <f>IF($B459="","",IFERROR(-BC459,"n.b."))</f>
        <v/>
      </c>
      <c r="CQ459" s="124" t="str">
        <f>IF($B459="","",IFERROR(-BD459,"n.b."))</f>
        <v/>
      </c>
      <c r="CR459" s="124" t="str">
        <f>IF($B459="","",IFERROR(-BE459,"n.b."))</f>
        <v/>
      </c>
      <c r="CS459" s="124" t="str">
        <f>IF($B459="","",IFERROR(IF(OR(ABS(T459+V459+X459+Z459-AB459)&gt;P_Tol,ABS(U459+W459+Y459+AA459-AD459)&gt;P_Tol,ABS(AE459+AG459+AI459+AK459-AM459)&gt;P_Tol,ABS(AF459+AH459+AJ459+AL459-AO459)&gt;P_Tol),1,0),1))</f>
        <v/>
      </c>
      <c r="CT459" s="124" t="str">
        <f>IF($B459="","",IFERROR(IF(OR(ABS(AB459+AC459-AD459)&gt;P_Tol,ABS(AM459+AN459-AO459)&gt;P_Tol,ABS(O459+P459-Q459)&gt;P_Tol),1,0),1))</f>
        <v/>
      </c>
      <c r="CU459" s="124" t="str">
        <f>IF($B459="","",IFERROR(IF(ABS(R459-(AB459+AM459+AP459+AR459+AT459+AV459+AX459+AZ459+BB459+BD459))&gt;P_Tol,1,0),1))</f>
        <v/>
      </c>
      <c r="CV459" s="124" t="str">
        <f>IF($B459="","",IFERROR(IF(ABS(M459-(N459+O459+R459))&gt;P_Tol,1,0),1))</f>
        <v/>
      </c>
      <c r="CW459" s="124" t="str">
        <f>IF($B459="","",IF(COUNTIF(Mapping!$A$5:$A$104,B459)&gt;0,1,0))</f>
        <v/>
      </c>
      <c r="CX459" s="124" t="str">
        <f>IF($B459="","",COUNTIF($B$6:$B$505,B459))</f>
        <v/>
      </c>
      <c r="CY459" s="124" t="str">
        <f>IF($B459="","",COUNTIF(STG_Woningetalage!$B$6:$B$505,B459))</f>
        <v/>
      </c>
      <c r="CZ459" s="124" t="str">
        <f>IF($B459="","",IF(CW459=0,COUNTIF($CW$6:CW459,0),""))</f>
        <v/>
      </c>
    </row>
    <row r="460">
      <c r="A460" s="15" t="n">
        <v>456</v>
      </c>
      <c r="B460" t="str">
        <f>IF(B$3=0,"",IF(INDEX(SRC_ZPMW03!$A$1:$ZZ$501,$A460,B$3)&amp;""="","",INDEX(SRC_ZPMW03!$A$1:$ZZ$501,$A460,B$3)&amp;""))</f>
        <v/>
      </c>
      <c r="C460" t="str">
        <f>IF($B460="","",IF(C$3=0,"n.b.",INDEX(SRC_ZPMW03!$A$1:$ZZ$501,$A460,C$3)))</f>
        <v/>
      </c>
      <c r="D460" t="str">
        <f>IF($B460="","",IF(D$3=0,"n.b.",INDEX(SRC_ZPMW03!$A$1:$ZZ$501,$A460,D$3)))</f>
        <v/>
      </c>
      <c r="E460" t="str">
        <f>IF($B460="","",IF(E$3=0,"n.b.",INDEX(SRC_ZPMW03!$A$1:$ZZ$501,$A460,E$3)))</f>
        <v/>
      </c>
      <c r="F460" t="str">
        <f>IF($B460="","",IF(F$3=0,"n.b.",INDEX(SRC_ZPMW03!$A$1:$ZZ$501,$A460,F$3)))</f>
        <v/>
      </c>
      <c r="G460" t="str">
        <f>IF($B460="","",IF(G$3=0,"n.b.",INDEX(SRC_ZPMW03!$A$1:$ZZ$501,$A460,G$3)))</f>
        <v/>
      </c>
      <c r="H460" t="str">
        <f>IF($B460="","",IF(H$3=0,"n.b.",INDEX(SRC_ZPMW03!$A$1:$ZZ$501,$A460,H$3)))</f>
        <v/>
      </c>
      <c r="I460" t="str">
        <f>IF($B460="","",IF(I$3=0,"n.b.",INDEX(SRC_ZPMW03!$A$1:$ZZ$501,$A460,I$3)))</f>
        <v/>
      </c>
      <c r="J460" t="str">
        <f>IF($B460="","",IF(J$3=0,"n.b.",INDEX(SRC_ZPMW03!$A$1:$ZZ$501,$A460,J$3)))</f>
        <v/>
      </c>
      <c r="K460" t="str">
        <f>IF($B460="","",IF(K$3=0,"n.b.",INDEX(SRC_ZPMW03!$A$1:$ZZ$501,$A460,K$3)))</f>
        <v/>
      </c>
      <c r="L460" s="124" t="str">
        <f>IF($B460="","",IF(L$3=0,"n.b.",INDEX(SRC_ZPMW03!$A$1:$ZZ$501,$A460,L$3)))</f>
        <v/>
      </c>
      <c r="M460" s="124" t="str">
        <f>IF($B460="","",IF(M$3=0,"n.b.",INDEX(SRC_ZPMW03!$A$1:$ZZ$501,$A460,M$3)))</f>
        <v/>
      </c>
      <c r="N460" s="124" t="str">
        <f>IF($B460="","",IF(N$3=0,"n.b.",INDEX(SRC_ZPMW03!$A$1:$ZZ$501,$A460,N$3)))</f>
        <v/>
      </c>
      <c r="O460" s="124" t="str">
        <f>IF($B460="","",IF(O$3=0,"n.b.",INDEX(SRC_ZPMW03!$A$1:$ZZ$501,$A460,O$3)))</f>
        <v/>
      </c>
      <c r="P460" s="124" t="str">
        <f>IF($B460="","",IF(P$3=0,"n.b.",INDEX(SRC_ZPMW03!$A$1:$ZZ$501,$A460,P$3)))</f>
        <v/>
      </c>
      <c r="Q460" s="124" t="str">
        <f>IF($B460="","",IF(Q$3=0,"n.b.",INDEX(SRC_ZPMW03!$A$1:$ZZ$501,$A460,Q$3)))</f>
        <v/>
      </c>
      <c r="R460" s="124" t="str">
        <f>IF($B460="","",IF(R$3=0,"n.b.",INDEX(SRC_ZPMW03!$A$1:$ZZ$501,$A460,R$3)))</f>
        <v/>
      </c>
      <c r="S460" s="124" t="str">
        <f>IF($B460="","",IF(S$3=0,"n.b.",INDEX(SRC_ZPMW03!$A$1:$ZZ$501,$A460,S$3)))</f>
        <v/>
      </c>
      <c r="T460" s="124" t="str">
        <f>IF($B460="","",IF(T$3=0,"n.b.",INDEX(SRC_ZPMW03!$A$1:$ZZ$501,$A460,T$3)))</f>
        <v/>
      </c>
      <c r="U460" s="124" t="str">
        <f>IF($B460="","",IF(U$3=0,"n.b.",INDEX(SRC_ZPMW03!$A$1:$ZZ$501,$A460,U$3)))</f>
        <v/>
      </c>
      <c r="V460" s="124" t="str">
        <f>IF($B460="","",IF(V$3=0,"n.b.",INDEX(SRC_ZPMW03!$A$1:$ZZ$501,$A460,V$3)))</f>
        <v/>
      </c>
      <c r="W460" s="124" t="str">
        <f>IF($B460="","",IF(W$3=0,"n.b.",INDEX(SRC_ZPMW03!$A$1:$ZZ$501,$A460,W$3)))</f>
        <v/>
      </c>
      <c r="X460" s="124" t="str">
        <f>IF($B460="","",IF(X$3=0,"n.b.",INDEX(SRC_ZPMW03!$A$1:$ZZ$501,$A460,X$3)))</f>
        <v/>
      </c>
      <c r="Y460" s="124" t="str">
        <f>IF($B460="","",IF(Y$3=0,"n.b.",INDEX(SRC_ZPMW03!$A$1:$ZZ$501,$A460,Y$3)))</f>
        <v/>
      </c>
      <c r="Z460" s="124" t="str">
        <f>IF($B460="","",IF(Z$3=0,"n.b.",INDEX(SRC_ZPMW03!$A$1:$ZZ$501,$A460,Z$3)))</f>
        <v/>
      </c>
      <c r="AA460" s="124" t="str">
        <f>IF($B460="","",IF(AA$3=0,"n.b.",INDEX(SRC_ZPMW03!$A$1:$ZZ$501,$A460,AA$3)))</f>
        <v/>
      </c>
      <c r="AB460" s="124" t="str">
        <f>IF($B460="","",IF(AB$3=0,"n.b.",INDEX(SRC_ZPMW03!$A$1:$ZZ$501,$A460,AB$3)))</f>
        <v/>
      </c>
      <c r="AC460" s="124" t="str">
        <f>IF($B460="","",IF(AC$3=0,"n.b.",INDEX(SRC_ZPMW03!$A$1:$ZZ$501,$A460,AC$3)))</f>
        <v/>
      </c>
      <c r="AD460" s="124" t="str">
        <f>IF($B460="","",IF(AD$3=0,"n.b.",INDEX(SRC_ZPMW03!$A$1:$ZZ$501,$A460,AD$3)))</f>
        <v/>
      </c>
      <c r="AE460" s="124" t="str">
        <f>IF($B460="","",IF(AE$3=0,"n.b.",INDEX(SRC_ZPMW03!$A$1:$ZZ$501,$A460,AE$3)))</f>
        <v/>
      </c>
      <c r="AF460" s="124" t="str">
        <f>IF($B460="","",IF(AF$3=0,"n.b.",INDEX(SRC_ZPMW03!$A$1:$ZZ$501,$A460,AF$3)))</f>
        <v/>
      </c>
      <c r="AG460" s="124" t="str">
        <f>IF($B460="","",IF(AG$3=0,"n.b.",INDEX(SRC_ZPMW03!$A$1:$ZZ$501,$A460,AG$3)))</f>
        <v/>
      </c>
      <c r="AH460" s="124" t="str">
        <f>IF($B460="","",IF(AH$3=0,"n.b.",INDEX(SRC_ZPMW03!$A$1:$ZZ$501,$A460,AH$3)))</f>
        <v/>
      </c>
      <c r="AI460" s="124" t="str">
        <f>IF($B460="","",IF(AI$3=0,"n.b.",INDEX(SRC_ZPMW03!$A$1:$ZZ$501,$A460,AI$3)))</f>
        <v/>
      </c>
      <c r="AJ460" s="124" t="str">
        <f>IF($B460="","",IF(AJ$3=0,"n.b.",INDEX(SRC_ZPMW03!$A$1:$ZZ$501,$A460,AJ$3)))</f>
        <v/>
      </c>
      <c r="AK460" s="124" t="str">
        <f>IF($B460="","",IF(AK$3=0,"n.b.",INDEX(SRC_ZPMW03!$A$1:$ZZ$501,$A460,AK$3)))</f>
        <v/>
      </c>
      <c r="AL460" s="124" t="str">
        <f>IF($B460="","",IF(AL$3=0,"n.b.",INDEX(SRC_ZPMW03!$A$1:$ZZ$501,$A460,AL$3)))</f>
        <v/>
      </c>
      <c r="AM460" s="124" t="str">
        <f>IF($B460="","",IF(AM$3=0,"n.b.",INDEX(SRC_ZPMW03!$A$1:$ZZ$501,$A460,AM$3)))</f>
        <v/>
      </c>
      <c r="AN460" s="124" t="str">
        <f>IF($B460="","",IF(AN$3=0,"n.b.",INDEX(SRC_ZPMW03!$A$1:$ZZ$501,$A460,AN$3)))</f>
        <v/>
      </c>
      <c r="AO460" s="124" t="str">
        <f>IF($B460="","",IF(AO$3=0,"n.b.",INDEX(SRC_ZPMW03!$A$1:$ZZ$501,$A460,AO$3)))</f>
        <v/>
      </c>
      <c r="AP460" s="124" t="str">
        <f>IF($B460="","",IF(AP$3=0,"n.b.",INDEX(SRC_ZPMW03!$A$1:$ZZ$501,$A460,AP$3)))</f>
        <v/>
      </c>
      <c r="AQ460" s="124" t="str">
        <f>IF($B460="","",IF(AQ$3=0,"n.b.",INDEX(SRC_ZPMW03!$A$1:$ZZ$501,$A460,AQ$3)))</f>
        <v/>
      </c>
      <c r="AR460" s="124" t="str">
        <f>IF($B460="","",IF(AR$3=0,"n.b.",INDEX(SRC_ZPMW03!$A$1:$ZZ$501,$A460,AR$3)))</f>
        <v/>
      </c>
      <c r="AS460" s="124" t="str">
        <f>IF($B460="","",IF(AS$3=0,"n.b.",INDEX(SRC_ZPMW03!$A$1:$ZZ$501,$A460,AS$3)))</f>
        <v/>
      </c>
      <c r="AT460" s="124" t="str">
        <f>IF($B460="","",IF(AT$3=0,"n.b.",INDEX(SRC_ZPMW03!$A$1:$ZZ$501,$A460,AT$3)))</f>
        <v/>
      </c>
      <c r="AU460" s="124" t="str">
        <f>IF($B460="","",IF(AU$3=0,"n.b.",INDEX(SRC_ZPMW03!$A$1:$ZZ$501,$A460,AU$3)))</f>
        <v/>
      </c>
      <c r="AV460" s="124" t="str">
        <f>IF($B460="","",IF(AV$3=0,"n.b.",INDEX(SRC_ZPMW03!$A$1:$ZZ$501,$A460,AV$3)))</f>
        <v/>
      </c>
      <c r="AW460" s="124" t="str">
        <f>IF($B460="","",IF(AW$3=0,"n.b.",INDEX(SRC_ZPMW03!$A$1:$ZZ$501,$A460,AW$3)))</f>
        <v/>
      </c>
      <c r="AX460" s="124" t="str">
        <f>IF($B460="","",IF(AX$3=0,"n.b.",INDEX(SRC_ZPMW03!$A$1:$ZZ$501,$A460,AX$3)))</f>
        <v/>
      </c>
      <c r="AY460" s="124" t="str">
        <f>IF($B460="","",IF(AY$3=0,"n.b.",INDEX(SRC_ZPMW03!$A$1:$ZZ$501,$A460,AY$3)))</f>
        <v/>
      </c>
      <c r="AZ460" s="124" t="str">
        <f>IF($B460="","",IF(AZ$3=0,"n.b.",INDEX(SRC_ZPMW03!$A$1:$ZZ$501,$A460,AZ$3)))</f>
        <v/>
      </c>
      <c r="BA460" s="124" t="str">
        <f>IF($B460="","",IF(BA$3=0,"n.b.",INDEX(SRC_ZPMW03!$A$1:$ZZ$501,$A460,BA$3)))</f>
        <v/>
      </c>
      <c r="BB460" s="124" t="str">
        <f>IF($B460="","",IF(BB$3=0,"n.b.",INDEX(SRC_ZPMW03!$A$1:$ZZ$501,$A460,BB$3)))</f>
        <v/>
      </c>
      <c r="BC460" s="124" t="str">
        <f>IF($B460="","",IF(BC$3=0,"n.b.",INDEX(SRC_ZPMW03!$A$1:$ZZ$501,$A460,BC$3)))</f>
        <v/>
      </c>
      <c r="BD460" s="124" t="str">
        <f>IF($B460="","",IF(BD$3=0,"n.b.",INDEX(SRC_ZPMW03!$A$1:$ZZ$501,$A460,BD$3)))</f>
        <v/>
      </c>
      <c r="BE460" s="124" t="str">
        <f>IF($B460="","",IF(BE$3=0,"n.b.",INDEX(SRC_ZPMW03!$A$1:$ZZ$501,$A460,BE$3)))</f>
        <v/>
      </c>
      <c r="BF460" s="124" t="str">
        <f>IF($B460="","",IF(BF$3=0,"n.b.",INDEX(SRC_ZPMW03!$A$1:$ZZ$501,$A460,BF$3)))</f>
        <v/>
      </c>
      <c r="BG460" t="str">
        <f>IF($B460="","",IF(BG$3=0,"n.b.",INDEX(SRC_ZPMW03!$A$1:$ZZ$501,$A460,BG$3)))</f>
        <v/>
      </c>
      <c r="BH460" t="str">
        <f>IF($B460="","",IF(BH$3=0,"n.b.",INDEX(SRC_ZPMW03!$A$1:$ZZ$501,$A460,BH$3)))</f>
        <v/>
      </c>
      <c r="BI460" t="str">
        <f>IF($B460="","",IF(BI$3=0,"n.b.",INDEX(SRC_ZPMW03!$A$1:$ZZ$501,$A460,BI$3)))</f>
        <v/>
      </c>
      <c r="BJ460" t="str">
        <f>IF($B460="","",IF(BJ$3=0,"n.b.",INDEX(SRC_ZPMW03!$A$1:$ZZ$501,$A460,BJ$3)))</f>
        <v/>
      </c>
      <c r="BK460" s="124" t="str">
        <f>IF($B460="","",IFERROR(-O460,"n.b."))</f>
        <v/>
      </c>
      <c r="BL460" s="124" t="str">
        <f>IF($B460="","",IFERROR(-Q460,"n.b."))</f>
        <v/>
      </c>
      <c r="BM460" s="124" t="str">
        <f>IF($B460="","",IFERROR(-AB460,"n.b."))</f>
        <v/>
      </c>
      <c r="BN460" s="124" t="str">
        <f>IF($B460="","",IFERROR(-AD460,"n.b."))</f>
        <v/>
      </c>
      <c r="BO460" s="124" t="str">
        <f>IF($B460="","",IFERROR(BK460+BM460,"n.b."))</f>
        <v/>
      </c>
      <c r="BP460" s="124" t="str">
        <f>IF($B460="","",IFERROR(BL460+BN460,"n.b."))</f>
        <v/>
      </c>
      <c r="BQ460" s="124" t="str">
        <f>IF($B460="","",IFERROR(-AM460,"n.b."))</f>
        <v/>
      </c>
      <c r="BR460" s="124" t="str">
        <f>IF($B460="","",IFERROR(-AO460,"n.b."))</f>
        <v/>
      </c>
      <c r="BS460" s="124" t="str">
        <f>IF($B460="","",IFERROR(-Z460,"n.b."))</f>
        <v/>
      </c>
      <c r="BT460" s="124" t="str">
        <f>IF($B460="","",IFERROR(-AA460,"n.b."))</f>
        <v/>
      </c>
      <c r="BU460" s="124" t="str">
        <f>IF($B460="","",IFERROR(-AE460,"n.b."))</f>
        <v/>
      </c>
      <c r="BV460" s="124" t="str">
        <f>IF($B460="","",IFERROR(-AF460,"n.b."))</f>
        <v/>
      </c>
      <c r="BW460" s="124" t="str">
        <f>IF($B460="","",IFERROR(-AG460,"n.b."))</f>
        <v/>
      </c>
      <c r="BX460" s="124" t="str">
        <f>IF($B460="","",IFERROR(-AH460,"n.b."))</f>
        <v/>
      </c>
      <c r="BY460" s="124" t="str">
        <f>IF($B460="","",IFERROR(-AI460,"n.b."))</f>
        <v/>
      </c>
      <c r="BZ460" s="124" t="str">
        <f>IF($B460="","",IFERROR(-AJ460,"n.b."))</f>
        <v/>
      </c>
      <c r="CA460" s="124" t="str">
        <f>IF($B460="","",IFERROR(-AK460,"n.b."))</f>
        <v/>
      </c>
      <c r="CB460" s="124" t="str">
        <f>IF($B460="","",IFERROR(-AL460,"n.b."))</f>
        <v/>
      </c>
      <c r="CC460" s="124" t="str">
        <f>IF($B460="","",IFERROR(-AP460,"n.b."))</f>
        <v/>
      </c>
      <c r="CD460" s="124" t="str">
        <f>IF($B460="","",IFERROR(-AQ460,"n.b."))</f>
        <v/>
      </c>
      <c r="CE460" s="124" t="str">
        <f>IF($B460="","",IFERROR(-AR460,"n.b."))</f>
        <v/>
      </c>
      <c r="CF460" s="124" t="str">
        <f>IF($B460="","",IFERROR(-AS460,"n.b."))</f>
        <v/>
      </c>
      <c r="CG460" s="124" t="str">
        <f>IF($B460="","",IFERROR(-AT460,"n.b."))</f>
        <v/>
      </c>
      <c r="CH460" s="124" t="str">
        <f>IF($B460="","",IFERROR(-AU460,"n.b."))</f>
        <v/>
      </c>
      <c r="CI460" s="124" t="str">
        <f>IF($B460="","",IFERROR(-AV460,"n.b."))</f>
        <v/>
      </c>
      <c r="CJ460" s="124" t="str">
        <f>IF($B460="","",IFERROR(-AW460,"n.b."))</f>
        <v/>
      </c>
      <c r="CK460" s="124" t="str">
        <f>IF($B460="","",IFERROR(-AX460,"n.b."))</f>
        <v/>
      </c>
      <c r="CL460" s="124" t="str">
        <f>IF($B460="","",IFERROR(-AY460,"n.b."))</f>
        <v/>
      </c>
      <c r="CM460" s="124" t="str">
        <f>IF($B460="","",IFERROR(-AZ460,"n.b."))</f>
        <v/>
      </c>
      <c r="CN460" s="124" t="str">
        <f>IF($B460="","",IFERROR(-BA460,"n.b."))</f>
        <v/>
      </c>
      <c r="CO460" s="124" t="str">
        <f>IF($B460="","",IFERROR(-BB460,"n.b."))</f>
        <v/>
      </c>
      <c r="CP460" s="124" t="str">
        <f>IF($B460="","",IFERROR(-BC460,"n.b."))</f>
        <v/>
      </c>
      <c r="CQ460" s="124" t="str">
        <f>IF($B460="","",IFERROR(-BD460,"n.b."))</f>
        <v/>
      </c>
      <c r="CR460" s="124" t="str">
        <f>IF($B460="","",IFERROR(-BE460,"n.b."))</f>
        <v/>
      </c>
      <c r="CS460" s="124" t="str">
        <f>IF($B460="","",IFERROR(IF(OR(ABS(T460+V460+X460+Z460-AB460)&gt;P_Tol,ABS(U460+W460+Y460+AA460-AD460)&gt;P_Tol,ABS(AE460+AG460+AI460+AK460-AM460)&gt;P_Tol,ABS(AF460+AH460+AJ460+AL460-AO460)&gt;P_Tol),1,0),1))</f>
        <v/>
      </c>
      <c r="CT460" s="124" t="str">
        <f>IF($B460="","",IFERROR(IF(OR(ABS(AB460+AC460-AD460)&gt;P_Tol,ABS(AM460+AN460-AO460)&gt;P_Tol,ABS(O460+P460-Q460)&gt;P_Tol),1,0),1))</f>
        <v/>
      </c>
      <c r="CU460" s="124" t="str">
        <f>IF($B460="","",IFERROR(IF(ABS(R460-(AB460+AM460+AP460+AR460+AT460+AV460+AX460+AZ460+BB460+BD460))&gt;P_Tol,1,0),1))</f>
        <v/>
      </c>
      <c r="CV460" s="124" t="str">
        <f>IF($B460="","",IFERROR(IF(ABS(M460-(N460+O460+R460))&gt;P_Tol,1,0),1))</f>
        <v/>
      </c>
      <c r="CW460" s="124" t="str">
        <f>IF($B460="","",IF(COUNTIF(Mapping!$A$5:$A$104,B460)&gt;0,1,0))</f>
        <v/>
      </c>
      <c r="CX460" s="124" t="str">
        <f>IF($B460="","",COUNTIF($B$6:$B$505,B460))</f>
        <v/>
      </c>
      <c r="CY460" s="124" t="str">
        <f>IF($B460="","",COUNTIF(STG_Woningetalage!$B$6:$B$505,B460))</f>
        <v/>
      </c>
      <c r="CZ460" s="124" t="str">
        <f>IF($B460="","",IF(CW460=0,COUNTIF($CW$6:CW460,0),""))</f>
        <v/>
      </c>
    </row>
    <row r="461">
      <c r="A461" s="15" t="n">
        <v>457</v>
      </c>
      <c r="B461" t="str">
        <f>IF(B$3=0,"",IF(INDEX(SRC_ZPMW03!$A$1:$ZZ$501,$A461,B$3)&amp;""="","",INDEX(SRC_ZPMW03!$A$1:$ZZ$501,$A461,B$3)&amp;""))</f>
        <v/>
      </c>
      <c r="C461" t="str">
        <f>IF($B461="","",IF(C$3=0,"n.b.",INDEX(SRC_ZPMW03!$A$1:$ZZ$501,$A461,C$3)))</f>
        <v/>
      </c>
      <c r="D461" t="str">
        <f>IF($B461="","",IF(D$3=0,"n.b.",INDEX(SRC_ZPMW03!$A$1:$ZZ$501,$A461,D$3)))</f>
        <v/>
      </c>
      <c r="E461" t="str">
        <f>IF($B461="","",IF(E$3=0,"n.b.",INDEX(SRC_ZPMW03!$A$1:$ZZ$501,$A461,E$3)))</f>
        <v/>
      </c>
      <c r="F461" t="str">
        <f>IF($B461="","",IF(F$3=0,"n.b.",INDEX(SRC_ZPMW03!$A$1:$ZZ$501,$A461,F$3)))</f>
        <v/>
      </c>
      <c r="G461" t="str">
        <f>IF($B461="","",IF(G$3=0,"n.b.",INDEX(SRC_ZPMW03!$A$1:$ZZ$501,$A461,G$3)))</f>
        <v/>
      </c>
      <c r="H461" t="str">
        <f>IF($B461="","",IF(H$3=0,"n.b.",INDEX(SRC_ZPMW03!$A$1:$ZZ$501,$A461,H$3)))</f>
        <v/>
      </c>
      <c r="I461" t="str">
        <f>IF($B461="","",IF(I$3=0,"n.b.",INDEX(SRC_ZPMW03!$A$1:$ZZ$501,$A461,I$3)))</f>
        <v/>
      </c>
      <c r="J461" t="str">
        <f>IF($B461="","",IF(J$3=0,"n.b.",INDEX(SRC_ZPMW03!$A$1:$ZZ$501,$A461,J$3)))</f>
        <v/>
      </c>
      <c r="K461" t="str">
        <f>IF($B461="","",IF(K$3=0,"n.b.",INDEX(SRC_ZPMW03!$A$1:$ZZ$501,$A461,K$3)))</f>
        <v/>
      </c>
      <c r="L461" s="124" t="str">
        <f>IF($B461="","",IF(L$3=0,"n.b.",INDEX(SRC_ZPMW03!$A$1:$ZZ$501,$A461,L$3)))</f>
        <v/>
      </c>
      <c r="M461" s="124" t="str">
        <f>IF($B461="","",IF(M$3=0,"n.b.",INDEX(SRC_ZPMW03!$A$1:$ZZ$501,$A461,M$3)))</f>
        <v/>
      </c>
      <c r="N461" s="124" t="str">
        <f>IF($B461="","",IF(N$3=0,"n.b.",INDEX(SRC_ZPMW03!$A$1:$ZZ$501,$A461,N$3)))</f>
        <v/>
      </c>
      <c r="O461" s="124" t="str">
        <f>IF($B461="","",IF(O$3=0,"n.b.",INDEX(SRC_ZPMW03!$A$1:$ZZ$501,$A461,O$3)))</f>
        <v/>
      </c>
      <c r="P461" s="124" t="str">
        <f>IF($B461="","",IF(P$3=0,"n.b.",INDEX(SRC_ZPMW03!$A$1:$ZZ$501,$A461,P$3)))</f>
        <v/>
      </c>
      <c r="Q461" s="124" t="str">
        <f>IF($B461="","",IF(Q$3=0,"n.b.",INDEX(SRC_ZPMW03!$A$1:$ZZ$501,$A461,Q$3)))</f>
        <v/>
      </c>
      <c r="R461" s="124" t="str">
        <f>IF($B461="","",IF(R$3=0,"n.b.",INDEX(SRC_ZPMW03!$A$1:$ZZ$501,$A461,R$3)))</f>
        <v/>
      </c>
      <c r="S461" s="124" t="str">
        <f>IF($B461="","",IF(S$3=0,"n.b.",INDEX(SRC_ZPMW03!$A$1:$ZZ$501,$A461,S$3)))</f>
        <v/>
      </c>
      <c r="T461" s="124" t="str">
        <f>IF($B461="","",IF(T$3=0,"n.b.",INDEX(SRC_ZPMW03!$A$1:$ZZ$501,$A461,T$3)))</f>
        <v/>
      </c>
      <c r="U461" s="124" t="str">
        <f>IF($B461="","",IF(U$3=0,"n.b.",INDEX(SRC_ZPMW03!$A$1:$ZZ$501,$A461,U$3)))</f>
        <v/>
      </c>
      <c r="V461" s="124" t="str">
        <f>IF($B461="","",IF(V$3=0,"n.b.",INDEX(SRC_ZPMW03!$A$1:$ZZ$501,$A461,V$3)))</f>
        <v/>
      </c>
      <c r="W461" s="124" t="str">
        <f>IF($B461="","",IF(W$3=0,"n.b.",INDEX(SRC_ZPMW03!$A$1:$ZZ$501,$A461,W$3)))</f>
        <v/>
      </c>
      <c r="X461" s="124" t="str">
        <f>IF($B461="","",IF(X$3=0,"n.b.",INDEX(SRC_ZPMW03!$A$1:$ZZ$501,$A461,X$3)))</f>
        <v/>
      </c>
      <c r="Y461" s="124" t="str">
        <f>IF($B461="","",IF(Y$3=0,"n.b.",INDEX(SRC_ZPMW03!$A$1:$ZZ$501,$A461,Y$3)))</f>
        <v/>
      </c>
      <c r="Z461" s="124" t="str">
        <f>IF($B461="","",IF(Z$3=0,"n.b.",INDEX(SRC_ZPMW03!$A$1:$ZZ$501,$A461,Z$3)))</f>
        <v/>
      </c>
      <c r="AA461" s="124" t="str">
        <f>IF($B461="","",IF(AA$3=0,"n.b.",INDEX(SRC_ZPMW03!$A$1:$ZZ$501,$A461,AA$3)))</f>
        <v/>
      </c>
      <c r="AB461" s="124" t="str">
        <f>IF($B461="","",IF(AB$3=0,"n.b.",INDEX(SRC_ZPMW03!$A$1:$ZZ$501,$A461,AB$3)))</f>
        <v/>
      </c>
      <c r="AC461" s="124" t="str">
        <f>IF($B461="","",IF(AC$3=0,"n.b.",INDEX(SRC_ZPMW03!$A$1:$ZZ$501,$A461,AC$3)))</f>
        <v/>
      </c>
      <c r="AD461" s="124" t="str">
        <f>IF($B461="","",IF(AD$3=0,"n.b.",INDEX(SRC_ZPMW03!$A$1:$ZZ$501,$A461,AD$3)))</f>
        <v/>
      </c>
      <c r="AE461" s="124" t="str">
        <f>IF($B461="","",IF(AE$3=0,"n.b.",INDEX(SRC_ZPMW03!$A$1:$ZZ$501,$A461,AE$3)))</f>
        <v/>
      </c>
      <c r="AF461" s="124" t="str">
        <f>IF($B461="","",IF(AF$3=0,"n.b.",INDEX(SRC_ZPMW03!$A$1:$ZZ$501,$A461,AF$3)))</f>
        <v/>
      </c>
      <c r="AG461" s="124" t="str">
        <f>IF($B461="","",IF(AG$3=0,"n.b.",INDEX(SRC_ZPMW03!$A$1:$ZZ$501,$A461,AG$3)))</f>
        <v/>
      </c>
      <c r="AH461" s="124" t="str">
        <f>IF($B461="","",IF(AH$3=0,"n.b.",INDEX(SRC_ZPMW03!$A$1:$ZZ$501,$A461,AH$3)))</f>
        <v/>
      </c>
      <c r="AI461" s="124" t="str">
        <f>IF($B461="","",IF(AI$3=0,"n.b.",INDEX(SRC_ZPMW03!$A$1:$ZZ$501,$A461,AI$3)))</f>
        <v/>
      </c>
      <c r="AJ461" s="124" t="str">
        <f>IF($B461="","",IF(AJ$3=0,"n.b.",INDEX(SRC_ZPMW03!$A$1:$ZZ$501,$A461,AJ$3)))</f>
        <v/>
      </c>
      <c r="AK461" s="124" t="str">
        <f>IF($B461="","",IF(AK$3=0,"n.b.",INDEX(SRC_ZPMW03!$A$1:$ZZ$501,$A461,AK$3)))</f>
        <v/>
      </c>
      <c r="AL461" s="124" t="str">
        <f>IF($B461="","",IF(AL$3=0,"n.b.",INDEX(SRC_ZPMW03!$A$1:$ZZ$501,$A461,AL$3)))</f>
        <v/>
      </c>
      <c r="AM461" s="124" t="str">
        <f>IF($B461="","",IF(AM$3=0,"n.b.",INDEX(SRC_ZPMW03!$A$1:$ZZ$501,$A461,AM$3)))</f>
        <v/>
      </c>
      <c r="AN461" s="124" t="str">
        <f>IF($B461="","",IF(AN$3=0,"n.b.",INDEX(SRC_ZPMW03!$A$1:$ZZ$501,$A461,AN$3)))</f>
        <v/>
      </c>
      <c r="AO461" s="124" t="str">
        <f>IF($B461="","",IF(AO$3=0,"n.b.",INDEX(SRC_ZPMW03!$A$1:$ZZ$501,$A461,AO$3)))</f>
        <v/>
      </c>
      <c r="AP461" s="124" t="str">
        <f>IF($B461="","",IF(AP$3=0,"n.b.",INDEX(SRC_ZPMW03!$A$1:$ZZ$501,$A461,AP$3)))</f>
        <v/>
      </c>
      <c r="AQ461" s="124" t="str">
        <f>IF($B461="","",IF(AQ$3=0,"n.b.",INDEX(SRC_ZPMW03!$A$1:$ZZ$501,$A461,AQ$3)))</f>
        <v/>
      </c>
      <c r="AR461" s="124" t="str">
        <f>IF($B461="","",IF(AR$3=0,"n.b.",INDEX(SRC_ZPMW03!$A$1:$ZZ$501,$A461,AR$3)))</f>
        <v/>
      </c>
      <c r="AS461" s="124" t="str">
        <f>IF($B461="","",IF(AS$3=0,"n.b.",INDEX(SRC_ZPMW03!$A$1:$ZZ$501,$A461,AS$3)))</f>
        <v/>
      </c>
      <c r="AT461" s="124" t="str">
        <f>IF($B461="","",IF(AT$3=0,"n.b.",INDEX(SRC_ZPMW03!$A$1:$ZZ$501,$A461,AT$3)))</f>
        <v/>
      </c>
      <c r="AU461" s="124" t="str">
        <f>IF($B461="","",IF(AU$3=0,"n.b.",INDEX(SRC_ZPMW03!$A$1:$ZZ$501,$A461,AU$3)))</f>
        <v/>
      </c>
      <c r="AV461" s="124" t="str">
        <f>IF($B461="","",IF(AV$3=0,"n.b.",INDEX(SRC_ZPMW03!$A$1:$ZZ$501,$A461,AV$3)))</f>
        <v/>
      </c>
      <c r="AW461" s="124" t="str">
        <f>IF($B461="","",IF(AW$3=0,"n.b.",INDEX(SRC_ZPMW03!$A$1:$ZZ$501,$A461,AW$3)))</f>
        <v/>
      </c>
      <c r="AX461" s="124" t="str">
        <f>IF($B461="","",IF(AX$3=0,"n.b.",INDEX(SRC_ZPMW03!$A$1:$ZZ$501,$A461,AX$3)))</f>
        <v/>
      </c>
      <c r="AY461" s="124" t="str">
        <f>IF($B461="","",IF(AY$3=0,"n.b.",INDEX(SRC_ZPMW03!$A$1:$ZZ$501,$A461,AY$3)))</f>
        <v/>
      </c>
      <c r="AZ461" s="124" t="str">
        <f>IF($B461="","",IF(AZ$3=0,"n.b.",INDEX(SRC_ZPMW03!$A$1:$ZZ$501,$A461,AZ$3)))</f>
        <v/>
      </c>
      <c r="BA461" s="124" t="str">
        <f>IF($B461="","",IF(BA$3=0,"n.b.",INDEX(SRC_ZPMW03!$A$1:$ZZ$501,$A461,BA$3)))</f>
        <v/>
      </c>
      <c r="BB461" s="124" t="str">
        <f>IF($B461="","",IF(BB$3=0,"n.b.",INDEX(SRC_ZPMW03!$A$1:$ZZ$501,$A461,BB$3)))</f>
        <v/>
      </c>
      <c r="BC461" s="124" t="str">
        <f>IF($B461="","",IF(BC$3=0,"n.b.",INDEX(SRC_ZPMW03!$A$1:$ZZ$501,$A461,BC$3)))</f>
        <v/>
      </c>
      <c r="BD461" s="124" t="str">
        <f>IF($B461="","",IF(BD$3=0,"n.b.",INDEX(SRC_ZPMW03!$A$1:$ZZ$501,$A461,BD$3)))</f>
        <v/>
      </c>
      <c r="BE461" s="124" t="str">
        <f>IF($B461="","",IF(BE$3=0,"n.b.",INDEX(SRC_ZPMW03!$A$1:$ZZ$501,$A461,BE$3)))</f>
        <v/>
      </c>
      <c r="BF461" s="124" t="str">
        <f>IF($B461="","",IF(BF$3=0,"n.b.",INDEX(SRC_ZPMW03!$A$1:$ZZ$501,$A461,BF$3)))</f>
        <v/>
      </c>
      <c r="BG461" t="str">
        <f>IF($B461="","",IF(BG$3=0,"n.b.",INDEX(SRC_ZPMW03!$A$1:$ZZ$501,$A461,BG$3)))</f>
        <v/>
      </c>
      <c r="BH461" t="str">
        <f>IF($B461="","",IF(BH$3=0,"n.b.",INDEX(SRC_ZPMW03!$A$1:$ZZ$501,$A461,BH$3)))</f>
        <v/>
      </c>
      <c r="BI461" t="str">
        <f>IF($B461="","",IF(BI$3=0,"n.b.",INDEX(SRC_ZPMW03!$A$1:$ZZ$501,$A461,BI$3)))</f>
        <v/>
      </c>
      <c r="BJ461" t="str">
        <f>IF($B461="","",IF(BJ$3=0,"n.b.",INDEX(SRC_ZPMW03!$A$1:$ZZ$501,$A461,BJ$3)))</f>
        <v/>
      </c>
      <c r="BK461" s="124" t="str">
        <f>IF($B461="","",IFERROR(-O461,"n.b."))</f>
        <v/>
      </c>
      <c r="BL461" s="124" t="str">
        <f>IF($B461="","",IFERROR(-Q461,"n.b."))</f>
        <v/>
      </c>
      <c r="BM461" s="124" t="str">
        <f>IF($B461="","",IFERROR(-AB461,"n.b."))</f>
        <v/>
      </c>
      <c r="BN461" s="124" t="str">
        <f>IF($B461="","",IFERROR(-AD461,"n.b."))</f>
        <v/>
      </c>
      <c r="BO461" s="124" t="str">
        <f>IF($B461="","",IFERROR(BK461+BM461,"n.b."))</f>
        <v/>
      </c>
      <c r="BP461" s="124" t="str">
        <f>IF($B461="","",IFERROR(BL461+BN461,"n.b."))</f>
        <v/>
      </c>
      <c r="BQ461" s="124" t="str">
        <f>IF($B461="","",IFERROR(-AM461,"n.b."))</f>
        <v/>
      </c>
      <c r="BR461" s="124" t="str">
        <f>IF($B461="","",IFERROR(-AO461,"n.b."))</f>
        <v/>
      </c>
      <c r="BS461" s="124" t="str">
        <f>IF($B461="","",IFERROR(-Z461,"n.b."))</f>
        <v/>
      </c>
      <c r="BT461" s="124" t="str">
        <f>IF($B461="","",IFERROR(-AA461,"n.b."))</f>
        <v/>
      </c>
      <c r="BU461" s="124" t="str">
        <f>IF($B461="","",IFERROR(-AE461,"n.b."))</f>
        <v/>
      </c>
      <c r="BV461" s="124" t="str">
        <f>IF($B461="","",IFERROR(-AF461,"n.b."))</f>
        <v/>
      </c>
      <c r="BW461" s="124" t="str">
        <f>IF($B461="","",IFERROR(-AG461,"n.b."))</f>
        <v/>
      </c>
      <c r="BX461" s="124" t="str">
        <f>IF($B461="","",IFERROR(-AH461,"n.b."))</f>
        <v/>
      </c>
      <c r="BY461" s="124" t="str">
        <f>IF($B461="","",IFERROR(-AI461,"n.b."))</f>
        <v/>
      </c>
      <c r="BZ461" s="124" t="str">
        <f>IF($B461="","",IFERROR(-AJ461,"n.b."))</f>
        <v/>
      </c>
      <c r="CA461" s="124" t="str">
        <f>IF($B461="","",IFERROR(-AK461,"n.b."))</f>
        <v/>
      </c>
      <c r="CB461" s="124" t="str">
        <f>IF($B461="","",IFERROR(-AL461,"n.b."))</f>
        <v/>
      </c>
      <c r="CC461" s="124" t="str">
        <f>IF($B461="","",IFERROR(-AP461,"n.b."))</f>
        <v/>
      </c>
      <c r="CD461" s="124" t="str">
        <f>IF($B461="","",IFERROR(-AQ461,"n.b."))</f>
        <v/>
      </c>
      <c r="CE461" s="124" t="str">
        <f>IF($B461="","",IFERROR(-AR461,"n.b."))</f>
        <v/>
      </c>
      <c r="CF461" s="124" t="str">
        <f>IF($B461="","",IFERROR(-AS461,"n.b."))</f>
        <v/>
      </c>
      <c r="CG461" s="124" t="str">
        <f>IF($B461="","",IFERROR(-AT461,"n.b."))</f>
        <v/>
      </c>
      <c r="CH461" s="124" t="str">
        <f>IF($B461="","",IFERROR(-AU461,"n.b."))</f>
        <v/>
      </c>
      <c r="CI461" s="124" t="str">
        <f>IF($B461="","",IFERROR(-AV461,"n.b."))</f>
        <v/>
      </c>
      <c r="CJ461" s="124" t="str">
        <f>IF($B461="","",IFERROR(-AW461,"n.b."))</f>
        <v/>
      </c>
      <c r="CK461" s="124" t="str">
        <f>IF($B461="","",IFERROR(-AX461,"n.b."))</f>
        <v/>
      </c>
      <c r="CL461" s="124" t="str">
        <f>IF($B461="","",IFERROR(-AY461,"n.b."))</f>
        <v/>
      </c>
      <c r="CM461" s="124" t="str">
        <f>IF($B461="","",IFERROR(-AZ461,"n.b."))</f>
        <v/>
      </c>
      <c r="CN461" s="124" t="str">
        <f>IF($B461="","",IFERROR(-BA461,"n.b."))</f>
        <v/>
      </c>
      <c r="CO461" s="124" t="str">
        <f>IF($B461="","",IFERROR(-BB461,"n.b."))</f>
        <v/>
      </c>
      <c r="CP461" s="124" t="str">
        <f>IF($B461="","",IFERROR(-BC461,"n.b."))</f>
        <v/>
      </c>
      <c r="CQ461" s="124" t="str">
        <f>IF($B461="","",IFERROR(-BD461,"n.b."))</f>
        <v/>
      </c>
      <c r="CR461" s="124" t="str">
        <f>IF($B461="","",IFERROR(-BE461,"n.b."))</f>
        <v/>
      </c>
      <c r="CS461" s="124" t="str">
        <f>IF($B461="","",IFERROR(IF(OR(ABS(T461+V461+X461+Z461-AB461)&gt;P_Tol,ABS(U461+W461+Y461+AA461-AD461)&gt;P_Tol,ABS(AE461+AG461+AI461+AK461-AM461)&gt;P_Tol,ABS(AF461+AH461+AJ461+AL461-AO461)&gt;P_Tol),1,0),1))</f>
        <v/>
      </c>
      <c r="CT461" s="124" t="str">
        <f>IF($B461="","",IFERROR(IF(OR(ABS(AB461+AC461-AD461)&gt;P_Tol,ABS(AM461+AN461-AO461)&gt;P_Tol,ABS(O461+P461-Q461)&gt;P_Tol),1,0),1))</f>
        <v/>
      </c>
      <c r="CU461" s="124" t="str">
        <f>IF($B461="","",IFERROR(IF(ABS(R461-(AB461+AM461+AP461+AR461+AT461+AV461+AX461+AZ461+BB461+BD461))&gt;P_Tol,1,0),1))</f>
        <v/>
      </c>
      <c r="CV461" s="124" t="str">
        <f>IF($B461="","",IFERROR(IF(ABS(M461-(N461+O461+R461))&gt;P_Tol,1,0),1))</f>
        <v/>
      </c>
      <c r="CW461" s="124" t="str">
        <f>IF($B461="","",IF(COUNTIF(Mapping!$A$5:$A$104,B461)&gt;0,1,0))</f>
        <v/>
      </c>
      <c r="CX461" s="124" t="str">
        <f>IF($B461="","",COUNTIF($B$6:$B$505,B461))</f>
        <v/>
      </c>
      <c r="CY461" s="124" t="str">
        <f>IF($B461="","",COUNTIF(STG_Woningetalage!$B$6:$B$505,B461))</f>
        <v/>
      </c>
      <c r="CZ461" s="124" t="str">
        <f>IF($B461="","",IF(CW461=0,COUNTIF($CW$6:CW461,0),""))</f>
        <v/>
      </c>
    </row>
    <row r="462">
      <c r="A462" s="15" t="n">
        <v>458</v>
      </c>
      <c r="B462" t="str">
        <f>IF(B$3=0,"",IF(INDEX(SRC_ZPMW03!$A$1:$ZZ$501,$A462,B$3)&amp;""="","",INDEX(SRC_ZPMW03!$A$1:$ZZ$501,$A462,B$3)&amp;""))</f>
        <v/>
      </c>
      <c r="C462" t="str">
        <f>IF($B462="","",IF(C$3=0,"n.b.",INDEX(SRC_ZPMW03!$A$1:$ZZ$501,$A462,C$3)))</f>
        <v/>
      </c>
      <c r="D462" t="str">
        <f>IF($B462="","",IF(D$3=0,"n.b.",INDEX(SRC_ZPMW03!$A$1:$ZZ$501,$A462,D$3)))</f>
        <v/>
      </c>
      <c r="E462" t="str">
        <f>IF($B462="","",IF(E$3=0,"n.b.",INDEX(SRC_ZPMW03!$A$1:$ZZ$501,$A462,E$3)))</f>
        <v/>
      </c>
      <c r="F462" t="str">
        <f>IF($B462="","",IF(F$3=0,"n.b.",INDEX(SRC_ZPMW03!$A$1:$ZZ$501,$A462,F$3)))</f>
        <v/>
      </c>
      <c r="G462" t="str">
        <f>IF($B462="","",IF(G$3=0,"n.b.",INDEX(SRC_ZPMW03!$A$1:$ZZ$501,$A462,G$3)))</f>
        <v/>
      </c>
      <c r="H462" t="str">
        <f>IF($B462="","",IF(H$3=0,"n.b.",INDEX(SRC_ZPMW03!$A$1:$ZZ$501,$A462,H$3)))</f>
        <v/>
      </c>
      <c r="I462" t="str">
        <f>IF($B462="","",IF(I$3=0,"n.b.",INDEX(SRC_ZPMW03!$A$1:$ZZ$501,$A462,I$3)))</f>
        <v/>
      </c>
      <c r="J462" t="str">
        <f>IF($B462="","",IF(J$3=0,"n.b.",INDEX(SRC_ZPMW03!$A$1:$ZZ$501,$A462,J$3)))</f>
        <v/>
      </c>
      <c r="K462" t="str">
        <f>IF($B462="","",IF(K$3=0,"n.b.",INDEX(SRC_ZPMW03!$A$1:$ZZ$501,$A462,K$3)))</f>
        <v/>
      </c>
      <c r="L462" s="124" t="str">
        <f>IF($B462="","",IF(L$3=0,"n.b.",INDEX(SRC_ZPMW03!$A$1:$ZZ$501,$A462,L$3)))</f>
        <v/>
      </c>
      <c r="M462" s="124" t="str">
        <f>IF($B462="","",IF(M$3=0,"n.b.",INDEX(SRC_ZPMW03!$A$1:$ZZ$501,$A462,M$3)))</f>
        <v/>
      </c>
      <c r="N462" s="124" t="str">
        <f>IF($B462="","",IF(N$3=0,"n.b.",INDEX(SRC_ZPMW03!$A$1:$ZZ$501,$A462,N$3)))</f>
        <v/>
      </c>
      <c r="O462" s="124" t="str">
        <f>IF($B462="","",IF(O$3=0,"n.b.",INDEX(SRC_ZPMW03!$A$1:$ZZ$501,$A462,O$3)))</f>
        <v/>
      </c>
      <c r="P462" s="124" t="str">
        <f>IF($B462="","",IF(P$3=0,"n.b.",INDEX(SRC_ZPMW03!$A$1:$ZZ$501,$A462,P$3)))</f>
        <v/>
      </c>
      <c r="Q462" s="124" t="str">
        <f>IF($B462="","",IF(Q$3=0,"n.b.",INDEX(SRC_ZPMW03!$A$1:$ZZ$501,$A462,Q$3)))</f>
        <v/>
      </c>
      <c r="R462" s="124" t="str">
        <f>IF($B462="","",IF(R$3=0,"n.b.",INDEX(SRC_ZPMW03!$A$1:$ZZ$501,$A462,R$3)))</f>
        <v/>
      </c>
      <c r="S462" s="124" t="str">
        <f>IF($B462="","",IF(S$3=0,"n.b.",INDEX(SRC_ZPMW03!$A$1:$ZZ$501,$A462,S$3)))</f>
        <v/>
      </c>
      <c r="T462" s="124" t="str">
        <f>IF($B462="","",IF(T$3=0,"n.b.",INDEX(SRC_ZPMW03!$A$1:$ZZ$501,$A462,T$3)))</f>
        <v/>
      </c>
      <c r="U462" s="124" t="str">
        <f>IF($B462="","",IF(U$3=0,"n.b.",INDEX(SRC_ZPMW03!$A$1:$ZZ$501,$A462,U$3)))</f>
        <v/>
      </c>
      <c r="V462" s="124" t="str">
        <f>IF($B462="","",IF(V$3=0,"n.b.",INDEX(SRC_ZPMW03!$A$1:$ZZ$501,$A462,V$3)))</f>
        <v/>
      </c>
      <c r="W462" s="124" t="str">
        <f>IF($B462="","",IF(W$3=0,"n.b.",INDEX(SRC_ZPMW03!$A$1:$ZZ$501,$A462,W$3)))</f>
        <v/>
      </c>
      <c r="X462" s="124" t="str">
        <f>IF($B462="","",IF(X$3=0,"n.b.",INDEX(SRC_ZPMW03!$A$1:$ZZ$501,$A462,X$3)))</f>
        <v/>
      </c>
      <c r="Y462" s="124" t="str">
        <f>IF($B462="","",IF(Y$3=0,"n.b.",INDEX(SRC_ZPMW03!$A$1:$ZZ$501,$A462,Y$3)))</f>
        <v/>
      </c>
      <c r="Z462" s="124" t="str">
        <f>IF($B462="","",IF(Z$3=0,"n.b.",INDEX(SRC_ZPMW03!$A$1:$ZZ$501,$A462,Z$3)))</f>
        <v/>
      </c>
      <c r="AA462" s="124" t="str">
        <f>IF($B462="","",IF(AA$3=0,"n.b.",INDEX(SRC_ZPMW03!$A$1:$ZZ$501,$A462,AA$3)))</f>
        <v/>
      </c>
      <c r="AB462" s="124" t="str">
        <f>IF($B462="","",IF(AB$3=0,"n.b.",INDEX(SRC_ZPMW03!$A$1:$ZZ$501,$A462,AB$3)))</f>
        <v/>
      </c>
      <c r="AC462" s="124" t="str">
        <f>IF($B462="","",IF(AC$3=0,"n.b.",INDEX(SRC_ZPMW03!$A$1:$ZZ$501,$A462,AC$3)))</f>
        <v/>
      </c>
      <c r="AD462" s="124" t="str">
        <f>IF($B462="","",IF(AD$3=0,"n.b.",INDEX(SRC_ZPMW03!$A$1:$ZZ$501,$A462,AD$3)))</f>
        <v/>
      </c>
      <c r="AE462" s="124" t="str">
        <f>IF($B462="","",IF(AE$3=0,"n.b.",INDEX(SRC_ZPMW03!$A$1:$ZZ$501,$A462,AE$3)))</f>
        <v/>
      </c>
      <c r="AF462" s="124" t="str">
        <f>IF($B462="","",IF(AF$3=0,"n.b.",INDEX(SRC_ZPMW03!$A$1:$ZZ$501,$A462,AF$3)))</f>
        <v/>
      </c>
      <c r="AG462" s="124" t="str">
        <f>IF($B462="","",IF(AG$3=0,"n.b.",INDEX(SRC_ZPMW03!$A$1:$ZZ$501,$A462,AG$3)))</f>
        <v/>
      </c>
      <c r="AH462" s="124" t="str">
        <f>IF($B462="","",IF(AH$3=0,"n.b.",INDEX(SRC_ZPMW03!$A$1:$ZZ$501,$A462,AH$3)))</f>
        <v/>
      </c>
      <c r="AI462" s="124" t="str">
        <f>IF($B462="","",IF(AI$3=0,"n.b.",INDEX(SRC_ZPMW03!$A$1:$ZZ$501,$A462,AI$3)))</f>
        <v/>
      </c>
      <c r="AJ462" s="124" t="str">
        <f>IF($B462="","",IF(AJ$3=0,"n.b.",INDEX(SRC_ZPMW03!$A$1:$ZZ$501,$A462,AJ$3)))</f>
        <v/>
      </c>
      <c r="AK462" s="124" t="str">
        <f>IF($B462="","",IF(AK$3=0,"n.b.",INDEX(SRC_ZPMW03!$A$1:$ZZ$501,$A462,AK$3)))</f>
        <v/>
      </c>
      <c r="AL462" s="124" t="str">
        <f>IF($B462="","",IF(AL$3=0,"n.b.",INDEX(SRC_ZPMW03!$A$1:$ZZ$501,$A462,AL$3)))</f>
        <v/>
      </c>
      <c r="AM462" s="124" t="str">
        <f>IF($B462="","",IF(AM$3=0,"n.b.",INDEX(SRC_ZPMW03!$A$1:$ZZ$501,$A462,AM$3)))</f>
        <v/>
      </c>
      <c r="AN462" s="124" t="str">
        <f>IF($B462="","",IF(AN$3=0,"n.b.",INDEX(SRC_ZPMW03!$A$1:$ZZ$501,$A462,AN$3)))</f>
        <v/>
      </c>
      <c r="AO462" s="124" t="str">
        <f>IF($B462="","",IF(AO$3=0,"n.b.",INDEX(SRC_ZPMW03!$A$1:$ZZ$501,$A462,AO$3)))</f>
        <v/>
      </c>
      <c r="AP462" s="124" t="str">
        <f>IF($B462="","",IF(AP$3=0,"n.b.",INDEX(SRC_ZPMW03!$A$1:$ZZ$501,$A462,AP$3)))</f>
        <v/>
      </c>
      <c r="AQ462" s="124" t="str">
        <f>IF($B462="","",IF(AQ$3=0,"n.b.",INDEX(SRC_ZPMW03!$A$1:$ZZ$501,$A462,AQ$3)))</f>
        <v/>
      </c>
      <c r="AR462" s="124" t="str">
        <f>IF($B462="","",IF(AR$3=0,"n.b.",INDEX(SRC_ZPMW03!$A$1:$ZZ$501,$A462,AR$3)))</f>
        <v/>
      </c>
      <c r="AS462" s="124" t="str">
        <f>IF($B462="","",IF(AS$3=0,"n.b.",INDEX(SRC_ZPMW03!$A$1:$ZZ$501,$A462,AS$3)))</f>
        <v/>
      </c>
      <c r="AT462" s="124" t="str">
        <f>IF($B462="","",IF(AT$3=0,"n.b.",INDEX(SRC_ZPMW03!$A$1:$ZZ$501,$A462,AT$3)))</f>
        <v/>
      </c>
      <c r="AU462" s="124" t="str">
        <f>IF($B462="","",IF(AU$3=0,"n.b.",INDEX(SRC_ZPMW03!$A$1:$ZZ$501,$A462,AU$3)))</f>
        <v/>
      </c>
      <c r="AV462" s="124" t="str">
        <f>IF($B462="","",IF(AV$3=0,"n.b.",INDEX(SRC_ZPMW03!$A$1:$ZZ$501,$A462,AV$3)))</f>
        <v/>
      </c>
      <c r="AW462" s="124" t="str">
        <f>IF($B462="","",IF(AW$3=0,"n.b.",INDEX(SRC_ZPMW03!$A$1:$ZZ$501,$A462,AW$3)))</f>
        <v/>
      </c>
      <c r="AX462" s="124" t="str">
        <f>IF($B462="","",IF(AX$3=0,"n.b.",INDEX(SRC_ZPMW03!$A$1:$ZZ$501,$A462,AX$3)))</f>
        <v/>
      </c>
      <c r="AY462" s="124" t="str">
        <f>IF($B462="","",IF(AY$3=0,"n.b.",INDEX(SRC_ZPMW03!$A$1:$ZZ$501,$A462,AY$3)))</f>
        <v/>
      </c>
      <c r="AZ462" s="124" t="str">
        <f>IF($B462="","",IF(AZ$3=0,"n.b.",INDEX(SRC_ZPMW03!$A$1:$ZZ$501,$A462,AZ$3)))</f>
        <v/>
      </c>
      <c r="BA462" s="124" t="str">
        <f>IF($B462="","",IF(BA$3=0,"n.b.",INDEX(SRC_ZPMW03!$A$1:$ZZ$501,$A462,BA$3)))</f>
        <v/>
      </c>
      <c r="BB462" s="124" t="str">
        <f>IF($B462="","",IF(BB$3=0,"n.b.",INDEX(SRC_ZPMW03!$A$1:$ZZ$501,$A462,BB$3)))</f>
        <v/>
      </c>
      <c r="BC462" s="124" t="str">
        <f>IF($B462="","",IF(BC$3=0,"n.b.",INDEX(SRC_ZPMW03!$A$1:$ZZ$501,$A462,BC$3)))</f>
        <v/>
      </c>
      <c r="BD462" s="124" t="str">
        <f>IF($B462="","",IF(BD$3=0,"n.b.",INDEX(SRC_ZPMW03!$A$1:$ZZ$501,$A462,BD$3)))</f>
        <v/>
      </c>
      <c r="BE462" s="124" t="str">
        <f>IF($B462="","",IF(BE$3=0,"n.b.",INDEX(SRC_ZPMW03!$A$1:$ZZ$501,$A462,BE$3)))</f>
        <v/>
      </c>
      <c r="BF462" s="124" t="str">
        <f>IF($B462="","",IF(BF$3=0,"n.b.",INDEX(SRC_ZPMW03!$A$1:$ZZ$501,$A462,BF$3)))</f>
        <v/>
      </c>
      <c r="BG462" t="str">
        <f>IF($B462="","",IF(BG$3=0,"n.b.",INDEX(SRC_ZPMW03!$A$1:$ZZ$501,$A462,BG$3)))</f>
        <v/>
      </c>
      <c r="BH462" t="str">
        <f>IF($B462="","",IF(BH$3=0,"n.b.",INDEX(SRC_ZPMW03!$A$1:$ZZ$501,$A462,BH$3)))</f>
        <v/>
      </c>
      <c r="BI462" t="str">
        <f>IF($B462="","",IF(BI$3=0,"n.b.",INDEX(SRC_ZPMW03!$A$1:$ZZ$501,$A462,BI$3)))</f>
        <v/>
      </c>
      <c r="BJ462" t="str">
        <f>IF($B462="","",IF(BJ$3=0,"n.b.",INDEX(SRC_ZPMW03!$A$1:$ZZ$501,$A462,BJ$3)))</f>
        <v/>
      </c>
      <c r="BK462" s="124" t="str">
        <f>IF($B462="","",IFERROR(-O462,"n.b."))</f>
        <v/>
      </c>
      <c r="BL462" s="124" t="str">
        <f>IF($B462="","",IFERROR(-Q462,"n.b."))</f>
        <v/>
      </c>
      <c r="BM462" s="124" t="str">
        <f>IF($B462="","",IFERROR(-AB462,"n.b."))</f>
        <v/>
      </c>
      <c r="BN462" s="124" t="str">
        <f>IF($B462="","",IFERROR(-AD462,"n.b."))</f>
        <v/>
      </c>
      <c r="BO462" s="124" t="str">
        <f>IF($B462="","",IFERROR(BK462+BM462,"n.b."))</f>
        <v/>
      </c>
      <c r="BP462" s="124" t="str">
        <f>IF($B462="","",IFERROR(BL462+BN462,"n.b."))</f>
        <v/>
      </c>
      <c r="BQ462" s="124" t="str">
        <f>IF($B462="","",IFERROR(-AM462,"n.b."))</f>
        <v/>
      </c>
      <c r="BR462" s="124" t="str">
        <f>IF($B462="","",IFERROR(-AO462,"n.b."))</f>
        <v/>
      </c>
      <c r="BS462" s="124" t="str">
        <f>IF($B462="","",IFERROR(-Z462,"n.b."))</f>
        <v/>
      </c>
      <c r="BT462" s="124" t="str">
        <f>IF($B462="","",IFERROR(-AA462,"n.b."))</f>
        <v/>
      </c>
      <c r="BU462" s="124" t="str">
        <f>IF($B462="","",IFERROR(-AE462,"n.b."))</f>
        <v/>
      </c>
      <c r="BV462" s="124" t="str">
        <f>IF($B462="","",IFERROR(-AF462,"n.b."))</f>
        <v/>
      </c>
      <c r="BW462" s="124" t="str">
        <f>IF($B462="","",IFERROR(-AG462,"n.b."))</f>
        <v/>
      </c>
      <c r="BX462" s="124" t="str">
        <f>IF($B462="","",IFERROR(-AH462,"n.b."))</f>
        <v/>
      </c>
      <c r="BY462" s="124" t="str">
        <f>IF($B462="","",IFERROR(-AI462,"n.b."))</f>
        <v/>
      </c>
      <c r="BZ462" s="124" t="str">
        <f>IF($B462="","",IFERROR(-AJ462,"n.b."))</f>
        <v/>
      </c>
      <c r="CA462" s="124" t="str">
        <f>IF($B462="","",IFERROR(-AK462,"n.b."))</f>
        <v/>
      </c>
      <c r="CB462" s="124" t="str">
        <f>IF($B462="","",IFERROR(-AL462,"n.b."))</f>
        <v/>
      </c>
      <c r="CC462" s="124" t="str">
        <f>IF($B462="","",IFERROR(-AP462,"n.b."))</f>
        <v/>
      </c>
      <c r="CD462" s="124" t="str">
        <f>IF($B462="","",IFERROR(-AQ462,"n.b."))</f>
        <v/>
      </c>
      <c r="CE462" s="124" t="str">
        <f>IF($B462="","",IFERROR(-AR462,"n.b."))</f>
        <v/>
      </c>
      <c r="CF462" s="124" t="str">
        <f>IF($B462="","",IFERROR(-AS462,"n.b."))</f>
        <v/>
      </c>
      <c r="CG462" s="124" t="str">
        <f>IF($B462="","",IFERROR(-AT462,"n.b."))</f>
        <v/>
      </c>
      <c r="CH462" s="124" t="str">
        <f>IF($B462="","",IFERROR(-AU462,"n.b."))</f>
        <v/>
      </c>
      <c r="CI462" s="124" t="str">
        <f>IF($B462="","",IFERROR(-AV462,"n.b."))</f>
        <v/>
      </c>
      <c r="CJ462" s="124" t="str">
        <f>IF($B462="","",IFERROR(-AW462,"n.b."))</f>
        <v/>
      </c>
      <c r="CK462" s="124" t="str">
        <f>IF($B462="","",IFERROR(-AX462,"n.b."))</f>
        <v/>
      </c>
      <c r="CL462" s="124" t="str">
        <f>IF($B462="","",IFERROR(-AY462,"n.b."))</f>
        <v/>
      </c>
      <c r="CM462" s="124" t="str">
        <f>IF($B462="","",IFERROR(-AZ462,"n.b."))</f>
        <v/>
      </c>
      <c r="CN462" s="124" t="str">
        <f>IF($B462="","",IFERROR(-BA462,"n.b."))</f>
        <v/>
      </c>
      <c r="CO462" s="124" t="str">
        <f>IF($B462="","",IFERROR(-BB462,"n.b."))</f>
        <v/>
      </c>
      <c r="CP462" s="124" t="str">
        <f>IF($B462="","",IFERROR(-BC462,"n.b."))</f>
        <v/>
      </c>
      <c r="CQ462" s="124" t="str">
        <f>IF($B462="","",IFERROR(-BD462,"n.b."))</f>
        <v/>
      </c>
      <c r="CR462" s="124" t="str">
        <f>IF($B462="","",IFERROR(-BE462,"n.b."))</f>
        <v/>
      </c>
      <c r="CS462" s="124" t="str">
        <f>IF($B462="","",IFERROR(IF(OR(ABS(T462+V462+X462+Z462-AB462)&gt;P_Tol,ABS(U462+W462+Y462+AA462-AD462)&gt;P_Tol,ABS(AE462+AG462+AI462+AK462-AM462)&gt;P_Tol,ABS(AF462+AH462+AJ462+AL462-AO462)&gt;P_Tol),1,0),1))</f>
        <v/>
      </c>
      <c r="CT462" s="124" t="str">
        <f>IF($B462="","",IFERROR(IF(OR(ABS(AB462+AC462-AD462)&gt;P_Tol,ABS(AM462+AN462-AO462)&gt;P_Tol,ABS(O462+P462-Q462)&gt;P_Tol),1,0),1))</f>
        <v/>
      </c>
      <c r="CU462" s="124" t="str">
        <f>IF($B462="","",IFERROR(IF(ABS(R462-(AB462+AM462+AP462+AR462+AT462+AV462+AX462+AZ462+BB462+BD462))&gt;P_Tol,1,0),1))</f>
        <v/>
      </c>
      <c r="CV462" s="124" t="str">
        <f>IF($B462="","",IFERROR(IF(ABS(M462-(N462+O462+R462))&gt;P_Tol,1,0),1))</f>
        <v/>
      </c>
      <c r="CW462" s="124" t="str">
        <f>IF($B462="","",IF(COUNTIF(Mapping!$A$5:$A$104,B462)&gt;0,1,0))</f>
        <v/>
      </c>
      <c r="CX462" s="124" t="str">
        <f>IF($B462="","",COUNTIF($B$6:$B$505,B462))</f>
        <v/>
      </c>
      <c r="CY462" s="124" t="str">
        <f>IF($B462="","",COUNTIF(STG_Woningetalage!$B$6:$B$505,B462))</f>
        <v/>
      </c>
      <c r="CZ462" s="124" t="str">
        <f>IF($B462="","",IF(CW462=0,COUNTIF($CW$6:CW462,0),""))</f>
        <v/>
      </c>
    </row>
    <row r="463">
      <c r="A463" s="15" t="n">
        <v>459</v>
      </c>
      <c r="B463" t="str">
        <f>IF(B$3=0,"",IF(INDEX(SRC_ZPMW03!$A$1:$ZZ$501,$A463,B$3)&amp;""="","",INDEX(SRC_ZPMW03!$A$1:$ZZ$501,$A463,B$3)&amp;""))</f>
        <v/>
      </c>
      <c r="C463" t="str">
        <f>IF($B463="","",IF(C$3=0,"n.b.",INDEX(SRC_ZPMW03!$A$1:$ZZ$501,$A463,C$3)))</f>
        <v/>
      </c>
      <c r="D463" t="str">
        <f>IF($B463="","",IF(D$3=0,"n.b.",INDEX(SRC_ZPMW03!$A$1:$ZZ$501,$A463,D$3)))</f>
        <v/>
      </c>
      <c r="E463" t="str">
        <f>IF($B463="","",IF(E$3=0,"n.b.",INDEX(SRC_ZPMW03!$A$1:$ZZ$501,$A463,E$3)))</f>
        <v/>
      </c>
      <c r="F463" t="str">
        <f>IF($B463="","",IF(F$3=0,"n.b.",INDEX(SRC_ZPMW03!$A$1:$ZZ$501,$A463,F$3)))</f>
        <v/>
      </c>
      <c r="G463" t="str">
        <f>IF($B463="","",IF(G$3=0,"n.b.",INDEX(SRC_ZPMW03!$A$1:$ZZ$501,$A463,G$3)))</f>
        <v/>
      </c>
      <c r="H463" t="str">
        <f>IF($B463="","",IF(H$3=0,"n.b.",INDEX(SRC_ZPMW03!$A$1:$ZZ$501,$A463,H$3)))</f>
        <v/>
      </c>
      <c r="I463" t="str">
        <f>IF($B463="","",IF(I$3=0,"n.b.",INDEX(SRC_ZPMW03!$A$1:$ZZ$501,$A463,I$3)))</f>
        <v/>
      </c>
      <c r="J463" t="str">
        <f>IF($B463="","",IF(J$3=0,"n.b.",INDEX(SRC_ZPMW03!$A$1:$ZZ$501,$A463,J$3)))</f>
        <v/>
      </c>
      <c r="K463" t="str">
        <f>IF($B463="","",IF(K$3=0,"n.b.",INDEX(SRC_ZPMW03!$A$1:$ZZ$501,$A463,K$3)))</f>
        <v/>
      </c>
      <c r="L463" s="124" t="str">
        <f>IF($B463="","",IF(L$3=0,"n.b.",INDEX(SRC_ZPMW03!$A$1:$ZZ$501,$A463,L$3)))</f>
        <v/>
      </c>
      <c r="M463" s="124" t="str">
        <f>IF($B463="","",IF(M$3=0,"n.b.",INDEX(SRC_ZPMW03!$A$1:$ZZ$501,$A463,M$3)))</f>
        <v/>
      </c>
      <c r="N463" s="124" t="str">
        <f>IF($B463="","",IF(N$3=0,"n.b.",INDEX(SRC_ZPMW03!$A$1:$ZZ$501,$A463,N$3)))</f>
        <v/>
      </c>
      <c r="O463" s="124" t="str">
        <f>IF($B463="","",IF(O$3=0,"n.b.",INDEX(SRC_ZPMW03!$A$1:$ZZ$501,$A463,O$3)))</f>
        <v/>
      </c>
      <c r="P463" s="124" t="str">
        <f>IF($B463="","",IF(P$3=0,"n.b.",INDEX(SRC_ZPMW03!$A$1:$ZZ$501,$A463,P$3)))</f>
        <v/>
      </c>
      <c r="Q463" s="124" t="str">
        <f>IF($B463="","",IF(Q$3=0,"n.b.",INDEX(SRC_ZPMW03!$A$1:$ZZ$501,$A463,Q$3)))</f>
        <v/>
      </c>
      <c r="R463" s="124" t="str">
        <f>IF($B463="","",IF(R$3=0,"n.b.",INDEX(SRC_ZPMW03!$A$1:$ZZ$501,$A463,R$3)))</f>
        <v/>
      </c>
      <c r="S463" s="124" t="str">
        <f>IF($B463="","",IF(S$3=0,"n.b.",INDEX(SRC_ZPMW03!$A$1:$ZZ$501,$A463,S$3)))</f>
        <v/>
      </c>
      <c r="T463" s="124" t="str">
        <f>IF($B463="","",IF(T$3=0,"n.b.",INDEX(SRC_ZPMW03!$A$1:$ZZ$501,$A463,T$3)))</f>
        <v/>
      </c>
      <c r="U463" s="124" t="str">
        <f>IF($B463="","",IF(U$3=0,"n.b.",INDEX(SRC_ZPMW03!$A$1:$ZZ$501,$A463,U$3)))</f>
        <v/>
      </c>
      <c r="V463" s="124" t="str">
        <f>IF($B463="","",IF(V$3=0,"n.b.",INDEX(SRC_ZPMW03!$A$1:$ZZ$501,$A463,V$3)))</f>
        <v/>
      </c>
      <c r="W463" s="124" t="str">
        <f>IF($B463="","",IF(W$3=0,"n.b.",INDEX(SRC_ZPMW03!$A$1:$ZZ$501,$A463,W$3)))</f>
        <v/>
      </c>
      <c r="X463" s="124" t="str">
        <f>IF($B463="","",IF(X$3=0,"n.b.",INDEX(SRC_ZPMW03!$A$1:$ZZ$501,$A463,X$3)))</f>
        <v/>
      </c>
      <c r="Y463" s="124" t="str">
        <f>IF($B463="","",IF(Y$3=0,"n.b.",INDEX(SRC_ZPMW03!$A$1:$ZZ$501,$A463,Y$3)))</f>
        <v/>
      </c>
      <c r="Z463" s="124" t="str">
        <f>IF($B463="","",IF(Z$3=0,"n.b.",INDEX(SRC_ZPMW03!$A$1:$ZZ$501,$A463,Z$3)))</f>
        <v/>
      </c>
      <c r="AA463" s="124" t="str">
        <f>IF($B463="","",IF(AA$3=0,"n.b.",INDEX(SRC_ZPMW03!$A$1:$ZZ$501,$A463,AA$3)))</f>
        <v/>
      </c>
      <c r="AB463" s="124" t="str">
        <f>IF($B463="","",IF(AB$3=0,"n.b.",INDEX(SRC_ZPMW03!$A$1:$ZZ$501,$A463,AB$3)))</f>
        <v/>
      </c>
      <c r="AC463" s="124" t="str">
        <f>IF($B463="","",IF(AC$3=0,"n.b.",INDEX(SRC_ZPMW03!$A$1:$ZZ$501,$A463,AC$3)))</f>
        <v/>
      </c>
      <c r="AD463" s="124" t="str">
        <f>IF($B463="","",IF(AD$3=0,"n.b.",INDEX(SRC_ZPMW03!$A$1:$ZZ$501,$A463,AD$3)))</f>
        <v/>
      </c>
      <c r="AE463" s="124" t="str">
        <f>IF($B463="","",IF(AE$3=0,"n.b.",INDEX(SRC_ZPMW03!$A$1:$ZZ$501,$A463,AE$3)))</f>
        <v/>
      </c>
      <c r="AF463" s="124" t="str">
        <f>IF($B463="","",IF(AF$3=0,"n.b.",INDEX(SRC_ZPMW03!$A$1:$ZZ$501,$A463,AF$3)))</f>
        <v/>
      </c>
      <c r="AG463" s="124" t="str">
        <f>IF($B463="","",IF(AG$3=0,"n.b.",INDEX(SRC_ZPMW03!$A$1:$ZZ$501,$A463,AG$3)))</f>
        <v/>
      </c>
      <c r="AH463" s="124" t="str">
        <f>IF($B463="","",IF(AH$3=0,"n.b.",INDEX(SRC_ZPMW03!$A$1:$ZZ$501,$A463,AH$3)))</f>
        <v/>
      </c>
      <c r="AI463" s="124" t="str">
        <f>IF($B463="","",IF(AI$3=0,"n.b.",INDEX(SRC_ZPMW03!$A$1:$ZZ$501,$A463,AI$3)))</f>
        <v/>
      </c>
      <c r="AJ463" s="124" t="str">
        <f>IF($B463="","",IF(AJ$3=0,"n.b.",INDEX(SRC_ZPMW03!$A$1:$ZZ$501,$A463,AJ$3)))</f>
        <v/>
      </c>
      <c r="AK463" s="124" t="str">
        <f>IF($B463="","",IF(AK$3=0,"n.b.",INDEX(SRC_ZPMW03!$A$1:$ZZ$501,$A463,AK$3)))</f>
        <v/>
      </c>
      <c r="AL463" s="124" t="str">
        <f>IF($B463="","",IF(AL$3=0,"n.b.",INDEX(SRC_ZPMW03!$A$1:$ZZ$501,$A463,AL$3)))</f>
        <v/>
      </c>
      <c r="AM463" s="124" t="str">
        <f>IF($B463="","",IF(AM$3=0,"n.b.",INDEX(SRC_ZPMW03!$A$1:$ZZ$501,$A463,AM$3)))</f>
        <v/>
      </c>
      <c r="AN463" s="124" t="str">
        <f>IF($B463="","",IF(AN$3=0,"n.b.",INDEX(SRC_ZPMW03!$A$1:$ZZ$501,$A463,AN$3)))</f>
        <v/>
      </c>
      <c r="AO463" s="124" t="str">
        <f>IF($B463="","",IF(AO$3=0,"n.b.",INDEX(SRC_ZPMW03!$A$1:$ZZ$501,$A463,AO$3)))</f>
        <v/>
      </c>
      <c r="AP463" s="124" t="str">
        <f>IF($B463="","",IF(AP$3=0,"n.b.",INDEX(SRC_ZPMW03!$A$1:$ZZ$501,$A463,AP$3)))</f>
        <v/>
      </c>
      <c r="AQ463" s="124" t="str">
        <f>IF($B463="","",IF(AQ$3=0,"n.b.",INDEX(SRC_ZPMW03!$A$1:$ZZ$501,$A463,AQ$3)))</f>
        <v/>
      </c>
      <c r="AR463" s="124" t="str">
        <f>IF($B463="","",IF(AR$3=0,"n.b.",INDEX(SRC_ZPMW03!$A$1:$ZZ$501,$A463,AR$3)))</f>
        <v/>
      </c>
      <c r="AS463" s="124" t="str">
        <f>IF($B463="","",IF(AS$3=0,"n.b.",INDEX(SRC_ZPMW03!$A$1:$ZZ$501,$A463,AS$3)))</f>
        <v/>
      </c>
      <c r="AT463" s="124" t="str">
        <f>IF($B463="","",IF(AT$3=0,"n.b.",INDEX(SRC_ZPMW03!$A$1:$ZZ$501,$A463,AT$3)))</f>
        <v/>
      </c>
      <c r="AU463" s="124" t="str">
        <f>IF($B463="","",IF(AU$3=0,"n.b.",INDEX(SRC_ZPMW03!$A$1:$ZZ$501,$A463,AU$3)))</f>
        <v/>
      </c>
      <c r="AV463" s="124" t="str">
        <f>IF($B463="","",IF(AV$3=0,"n.b.",INDEX(SRC_ZPMW03!$A$1:$ZZ$501,$A463,AV$3)))</f>
        <v/>
      </c>
      <c r="AW463" s="124" t="str">
        <f>IF($B463="","",IF(AW$3=0,"n.b.",INDEX(SRC_ZPMW03!$A$1:$ZZ$501,$A463,AW$3)))</f>
        <v/>
      </c>
      <c r="AX463" s="124" t="str">
        <f>IF($B463="","",IF(AX$3=0,"n.b.",INDEX(SRC_ZPMW03!$A$1:$ZZ$501,$A463,AX$3)))</f>
        <v/>
      </c>
      <c r="AY463" s="124" t="str">
        <f>IF($B463="","",IF(AY$3=0,"n.b.",INDEX(SRC_ZPMW03!$A$1:$ZZ$501,$A463,AY$3)))</f>
        <v/>
      </c>
      <c r="AZ463" s="124" t="str">
        <f>IF($B463="","",IF(AZ$3=0,"n.b.",INDEX(SRC_ZPMW03!$A$1:$ZZ$501,$A463,AZ$3)))</f>
        <v/>
      </c>
      <c r="BA463" s="124" t="str">
        <f>IF($B463="","",IF(BA$3=0,"n.b.",INDEX(SRC_ZPMW03!$A$1:$ZZ$501,$A463,BA$3)))</f>
        <v/>
      </c>
      <c r="BB463" s="124" t="str">
        <f>IF($B463="","",IF(BB$3=0,"n.b.",INDEX(SRC_ZPMW03!$A$1:$ZZ$501,$A463,BB$3)))</f>
        <v/>
      </c>
      <c r="BC463" s="124" t="str">
        <f>IF($B463="","",IF(BC$3=0,"n.b.",INDEX(SRC_ZPMW03!$A$1:$ZZ$501,$A463,BC$3)))</f>
        <v/>
      </c>
      <c r="BD463" s="124" t="str">
        <f>IF($B463="","",IF(BD$3=0,"n.b.",INDEX(SRC_ZPMW03!$A$1:$ZZ$501,$A463,BD$3)))</f>
        <v/>
      </c>
      <c r="BE463" s="124" t="str">
        <f>IF($B463="","",IF(BE$3=0,"n.b.",INDEX(SRC_ZPMW03!$A$1:$ZZ$501,$A463,BE$3)))</f>
        <v/>
      </c>
      <c r="BF463" s="124" t="str">
        <f>IF($B463="","",IF(BF$3=0,"n.b.",INDEX(SRC_ZPMW03!$A$1:$ZZ$501,$A463,BF$3)))</f>
        <v/>
      </c>
      <c r="BG463" t="str">
        <f>IF($B463="","",IF(BG$3=0,"n.b.",INDEX(SRC_ZPMW03!$A$1:$ZZ$501,$A463,BG$3)))</f>
        <v/>
      </c>
      <c r="BH463" t="str">
        <f>IF($B463="","",IF(BH$3=0,"n.b.",INDEX(SRC_ZPMW03!$A$1:$ZZ$501,$A463,BH$3)))</f>
        <v/>
      </c>
      <c r="BI463" t="str">
        <f>IF($B463="","",IF(BI$3=0,"n.b.",INDEX(SRC_ZPMW03!$A$1:$ZZ$501,$A463,BI$3)))</f>
        <v/>
      </c>
      <c r="BJ463" t="str">
        <f>IF($B463="","",IF(BJ$3=0,"n.b.",INDEX(SRC_ZPMW03!$A$1:$ZZ$501,$A463,BJ$3)))</f>
        <v/>
      </c>
      <c r="BK463" s="124" t="str">
        <f>IF($B463="","",IFERROR(-O463,"n.b."))</f>
        <v/>
      </c>
      <c r="BL463" s="124" t="str">
        <f>IF($B463="","",IFERROR(-Q463,"n.b."))</f>
        <v/>
      </c>
      <c r="BM463" s="124" t="str">
        <f>IF($B463="","",IFERROR(-AB463,"n.b."))</f>
        <v/>
      </c>
      <c r="BN463" s="124" t="str">
        <f>IF($B463="","",IFERROR(-AD463,"n.b."))</f>
        <v/>
      </c>
      <c r="BO463" s="124" t="str">
        <f>IF($B463="","",IFERROR(BK463+BM463,"n.b."))</f>
        <v/>
      </c>
      <c r="BP463" s="124" t="str">
        <f>IF($B463="","",IFERROR(BL463+BN463,"n.b."))</f>
        <v/>
      </c>
      <c r="BQ463" s="124" t="str">
        <f>IF($B463="","",IFERROR(-AM463,"n.b."))</f>
        <v/>
      </c>
      <c r="BR463" s="124" t="str">
        <f>IF($B463="","",IFERROR(-AO463,"n.b."))</f>
        <v/>
      </c>
      <c r="BS463" s="124" t="str">
        <f>IF($B463="","",IFERROR(-Z463,"n.b."))</f>
        <v/>
      </c>
      <c r="BT463" s="124" t="str">
        <f>IF($B463="","",IFERROR(-AA463,"n.b."))</f>
        <v/>
      </c>
      <c r="BU463" s="124" t="str">
        <f>IF($B463="","",IFERROR(-AE463,"n.b."))</f>
        <v/>
      </c>
      <c r="BV463" s="124" t="str">
        <f>IF($B463="","",IFERROR(-AF463,"n.b."))</f>
        <v/>
      </c>
      <c r="BW463" s="124" t="str">
        <f>IF($B463="","",IFERROR(-AG463,"n.b."))</f>
        <v/>
      </c>
      <c r="BX463" s="124" t="str">
        <f>IF($B463="","",IFERROR(-AH463,"n.b."))</f>
        <v/>
      </c>
      <c r="BY463" s="124" t="str">
        <f>IF($B463="","",IFERROR(-AI463,"n.b."))</f>
        <v/>
      </c>
      <c r="BZ463" s="124" t="str">
        <f>IF($B463="","",IFERROR(-AJ463,"n.b."))</f>
        <v/>
      </c>
      <c r="CA463" s="124" t="str">
        <f>IF($B463="","",IFERROR(-AK463,"n.b."))</f>
        <v/>
      </c>
      <c r="CB463" s="124" t="str">
        <f>IF($B463="","",IFERROR(-AL463,"n.b."))</f>
        <v/>
      </c>
      <c r="CC463" s="124" t="str">
        <f>IF($B463="","",IFERROR(-AP463,"n.b."))</f>
        <v/>
      </c>
      <c r="CD463" s="124" t="str">
        <f>IF($B463="","",IFERROR(-AQ463,"n.b."))</f>
        <v/>
      </c>
      <c r="CE463" s="124" t="str">
        <f>IF($B463="","",IFERROR(-AR463,"n.b."))</f>
        <v/>
      </c>
      <c r="CF463" s="124" t="str">
        <f>IF($B463="","",IFERROR(-AS463,"n.b."))</f>
        <v/>
      </c>
      <c r="CG463" s="124" t="str">
        <f>IF($B463="","",IFERROR(-AT463,"n.b."))</f>
        <v/>
      </c>
      <c r="CH463" s="124" t="str">
        <f>IF($B463="","",IFERROR(-AU463,"n.b."))</f>
        <v/>
      </c>
      <c r="CI463" s="124" t="str">
        <f>IF($B463="","",IFERROR(-AV463,"n.b."))</f>
        <v/>
      </c>
      <c r="CJ463" s="124" t="str">
        <f>IF($B463="","",IFERROR(-AW463,"n.b."))</f>
        <v/>
      </c>
      <c r="CK463" s="124" t="str">
        <f>IF($B463="","",IFERROR(-AX463,"n.b."))</f>
        <v/>
      </c>
      <c r="CL463" s="124" t="str">
        <f>IF($B463="","",IFERROR(-AY463,"n.b."))</f>
        <v/>
      </c>
      <c r="CM463" s="124" t="str">
        <f>IF($B463="","",IFERROR(-AZ463,"n.b."))</f>
        <v/>
      </c>
      <c r="CN463" s="124" t="str">
        <f>IF($B463="","",IFERROR(-BA463,"n.b."))</f>
        <v/>
      </c>
      <c r="CO463" s="124" t="str">
        <f>IF($B463="","",IFERROR(-BB463,"n.b."))</f>
        <v/>
      </c>
      <c r="CP463" s="124" t="str">
        <f>IF($B463="","",IFERROR(-BC463,"n.b."))</f>
        <v/>
      </c>
      <c r="CQ463" s="124" t="str">
        <f>IF($B463="","",IFERROR(-BD463,"n.b."))</f>
        <v/>
      </c>
      <c r="CR463" s="124" t="str">
        <f>IF($B463="","",IFERROR(-BE463,"n.b."))</f>
        <v/>
      </c>
      <c r="CS463" s="124" t="str">
        <f>IF($B463="","",IFERROR(IF(OR(ABS(T463+V463+X463+Z463-AB463)&gt;P_Tol,ABS(U463+W463+Y463+AA463-AD463)&gt;P_Tol,ABS(AE463+AG463+AI463+AK463-AM463)&gt;P_Tol,ABS(AF463+AH463+AJ463+AL463-AO463)&gt;P_Tol),1,0),1))</f>
        <v/>
      </c>
      <c r="CT463" s="124" t="str">
        <f>IF($B463="","",IFERROR(IF(OR(ABS(AB463+AC463-AD463)&gt;P_Tol,ABS(AM463+AN463-AO463)&gt;P_Tol,ABS(O463+P463-Q463)&gt;P_Tol),1,0),1))</f>
        <v/>
      </c>
      <c r="CU463" s="124" t="str">
        <f>IF($B463="","",IFERROR(IF(ABS(R463-(AB463+AM463+AP463+AR463+AT463+AV463+AX463+AZ463+BB463+BD463))&gt;P_Tol,1,0),1))</f>
        <v/>
      </c>
      <c r="CV463" s="124" t="str">
        <f>IF($B463="","",IFERROR(IF(ABS(M463-(N463+O463+R463))&gt;P_Tol,1,0),1))</f>
        <v/>
      </c>
      <c r="CW463" s="124" t="str">
        <f>IF($B463="","",IF(COUNTIF(Mapping!$A$5:$A$104,B463)&gt;0,1,0))</f>
        <v/>
      </c>
      <c r="CX463" s="124" t="str">
        <f>IF($B463="","",COUNTIF($B$6:$B$505,B463))</f>
        <v/>
      </c>
      <c r="CY463" s="124" t="str">
        <f>IF($B463="","",COUNTIF(STG_Woningetalage!$B$6:$B$505,B463))</f>
        <v/>
      </c>
      <c r="CZ463" s="124" t="str">
        <f>IF($B463="","",IF(CW463=0,COUNTIF($CW$6:CW463,0),""))</f>
        <v/>
      </c>
    </row>
    <row r="464">
      <c r="A464" s="15" t="n">
        <v>460</v>
      </c>
      <c r="B464" t="str">
        <f>IF(B$3=0,"",IF(INDEX(SRC_ZPMW03!$A$1:$ZZ$501,$A464,B$3)&amp;""="","",INDEX(SRC_ZPMW03!$A$1:$ZZ$501,$A464,B$3)&amp;""))</f>
        <v/>
      </c>
      <c r="C464" t="str">
        <f>IF($B464="","",IF(C$3=0,"n.b.",INDEX(SRC_ZPMW03!$A$1:$ZZ$501,$A464,C$3)))</f>
        <v/>
      </c>
      <c r="D464" t="str">
        <f>IF($B464="","",IF(D$3=0,"n.b.",INDEX(SRC_ZPMW03!$A$1:$ZZ$501,$A464,D$3)))</f>
        <v/>
      </c>
      <c r="E464" t="str">
        <f>IF($B464="","",IF(E$3=0,"n.b.",INDEX(SRC_ZPMW03!$A$1:$ZZ$501,$A464,E$3)))</f>
        <v/>
      </c>
      <c r="F464" t="str">
        <f>IF($B464="","",IF(F$3=0,"n.b.",INDEX(SRC_ZPMW03!$A$1:$ZZ$501,$A464,F$3)))</f>
        <v/>
      </c>
      <c r="G464" t="str">
        <f>IF($B464="","",IF(G$3=0,"n.b.",INDEX(SRC_ZPMW03!$A$1:$ZZ$501,$A464,G$3)))</f>
        <v/>
      </c>
      <c r="H464" t="str">
        <f>IF($B464="","",IF(H$3=0,"n.b.",INDEX(SRC_ZPMW03!$A$1:$ZZ$501,$A464,H$3)))</f>
        <v/>
      </c>
      <c r="I464" t="str">
        <f>IF($B464="","",IF(I$3=0,"n.b.",INDEX(SRC_ZPMW03!$A$1:$ZZ$501,$A464,I$3)))</f>
        <v/>
      </c>
      <c r="J464" t="str">
        <f>IF($B464="","",IF(J$3=0,"n.b.",INDEX(SRC_ZPMW03!$A$1:$ZZ$501,$A464,J$3)))</f>
        <v/>
      </c>
      <c r="K464" t="str">
        <f>IF($B464="","",IF(K$3=0,"n.b.",INDEX(SRC_ZPMW03!$A$1:$ZZ$501,$A464,K$3)))</f>
        <v/>
      </c>
      <c r="L464" s="124" t="str">
        <f>IF($B464="","",IF(L$3=0,"n.b.",INDEX(SRC_ZPMW03!$A$1:$ZZ$501,$A464,L$3)))</f>
        <v/>
      </c>
      <c r="M464" s="124" t="str">
        <f>IF($B464="","",IF(M$3=0,"n.b.",INDEX(SRC_ZPMW03!$A$1:$ZZ$501,$A464,M$3)))</f>
        <v/>
      </c>
      <c r="N464" s="124" t="str">
        <f>IF($B464="","",IF(N$3=0,"n.b.",INDEX(SRC_ZPMW03!$A$1:$ZZ$501,$A464,N$3)))</f>
        <v/>
      </c>
      <c r="O464" s="124" t="str">
        <f>IF($B464="","",IF(O$3=0,"n.b.",INDEX(SRC_ZPMW03!$A$1:$ZZ$501,$A464,O$3)))</f>
        <v/>
      </c>
      <c r="P464" s="124" t="str">
        <f>IF($B464="","",IF(P$3=0,"n.b.",INDEX(SRC_ZPMW03!$A$1:$ZZ$501,$A464,P$3)))</f>
        <v/>
      </c>
      <c r="Q464" s="124" t="str">
        <f>IF($B464="","",IF(Q$3=0,"n.b.",INDEX(SRC_ZPMW03!$A$1:$ZZ$501,$A464,Q$3)))</f>
        <v/>
      </c>
      <c r="R464" s="124" t="str">
        <f>IF($B464="","",IF(R$3=0,"n.b.",INDEX(SRC_ZPMW03!$A$1:$ZZ$501,$A464,R$3)))</f>
        <v/>
      </c>
      <c r="S464" s="124" t="str">
        <f>IF($B464="","",IF(S$3=0,"n.b.",INDEX(SRC_ZPMW03!$A$1:$ZZ$501,$A464,S$3)))</f>
        <v/>
      </c>
      <c r="T464" s="124" t="str">
        <f>IF($B464="","",IF(T$3=0,"n.b.",INDEX(SRC_ZPMW03!$A$1:$ZZ$501,$A464,T$3)))</f>
        <v/>
      </c>
      <c r="U464" s="124" t="str">
        <f>IF($B464="","",IF(U$3=0,"n.b.",INDEX(SRC_ZPMW03!$A$1:$ZZ$501,$A464,U$3)))</f>
        <v/>
      </c>
      <c r="V464" s="124" t="str">
        <f>IF($B464="","",IF(V$3=0,"n.b.",INDEX(SRC_ZPMW03!$A$1:$ZZ$501,$A464,V$3)))</f>
        <v/>
      </c>
      <c r="W464" s="124" t="str">
        <f>IF($B464="","",IF(W$3=0,"n.b.",INDEX(SRC_ZPMW03!$A$1:$ZZ$501,$A464,W$3)))</f>
        <v/>
      </c>
      <c r="X464" s="124" t="str">
        <f>IF($B464="","",IF(X$3=0,"n.b.",INDEX(SRC_ZPMW03!$A$1:$ZZ$501,$A464,X$3)))</f>
        <v/>
      </c>
      <c r="Y464" s="124" t="str">
        <f>IF($B464="","",IF(Y$3=0,"n.b.",INDEX(SRC_ZPMW03!$A$1:$ZZ$501,$A464,Y$3)))</f>
        <v/>
      </c>
      <c r="Z464" s="124" t="str">
        <f>IF($B464="","",IF(Z$3=0,"n.b.",INDEX(SRC_ZPMW03!$A$1:$ZZ$501,$A464,Z$3)))</f>
        <v/>
      </c>
      <c r="AA464" s="124" t="str">
        <f>IF($B464="","",IF(AA$3=0,"n.b.",INDEX(SRC_ZPMW03!$A$1:$ZZ$501,$A464,AA$3)))</f>
        <v/>
      </c>
      <c r="AB464" s="124" t="str">
        <f>IF($B464="","",IF(AB$3=0,"n.b.",INDEX(SRC_ZPMW03!$A$1:$ZZ$501,$A464,AB$3)))</f>
        <v/>
      </c>
      <c r="AC464" s="124" t="str">
        <f>IF($B464="","",IF(AC$3=0,"n.b.",INDEX(SRC_ZPMW03!$A$1:$ZZ$501,$A464,AC$3)))</f>
        <v/>
      </c>
      <c r="AD464" s="124" t="str">
        <f>IF($B464="","",IF(AD$3=0,"n.b.",INDEX(SRC_ZPMW03!$A$1:$ZZ$501,$A464,AD$3)))</f>
        <v/>
      </c>
      <c r="AE464" s="124" t="str">
        <f>IF($B464="","",IF(AE$3=0,"n.b.",INDEX(SRC_ZPMW03!$A$1:$ZZ$501,$A464,AE$3)))</f>
        <v/>
      </c>
      <c r="AF464" s="124" t="str">
        <f>IF($B464="","",IF(AF$3=0,"n.b.",INDEX(SRC_ZPMW03!$A$1:$ZZ$501,$A464,AF$3)))</f>
        <v/>
      </c>
      <c r="AG464" s="124" t="str">
        <f>IF($B464="","",IF(AG$3=0,"n.b.",INDEX(SRC_ZPMW03!$A$1:$ZZ$501,$A464,AG$3)))</f>
        <v/>
      </c>
      <c r="AH464" s="124" t="str">
        <f>IF($B464="","",IF(AH$3=0,"n.b.",INDEX(SRC_ZPMW03!$A$1:$ZZ$501,$A464,AH$3)))</f>
        <v/>
      </c>
      <c r="AI464" s="124" t="str">
        <f>IF($B464="","",IF(AI$3=0,"n.b.",INDEX(SRC_ZPMW03!$A$1:$ZZ$501,$A464,AI$3)))</f>
        <v/>
      </c>
      <c r="AJ464" s="124" t="str">
        <f>IF($B464="","",IF(AJ$3=0,"n.b.",INDEX(SRC_ZPMW03!$A$1:$ZZ$501,$A464,AJ$3)))</f>
        <v/>
      </c>
      <c r="AK464" s="124" t="str">
        <f>IF($B464="","",IF(AK$3=0,"n.b.",INDEX(SRC_ZPMW03!$A$1:$ZZ$501,$A464,AK$3)))</f>
        <v/>
      </c>
      <c r="AL464" s="124" t="str">
        <f>IF($B464="","",IF(AL$3=0,"n.b.",INDEX(SRC_ZPMW03!$A$1:$ZZ$501,$A464,AL$3)))</f>
        <v/>
      </c>
      <c r="AM464" s="124" t="str">
        <f>IF($B464="","",IF(AM$3=0,"n.b.",INDEX(SRC_ZPMW03!$A$1:$ZZ$501,$A464,AM$3)))</f>
        <v/>
      </c>
      <c r="AN464" s="124" t="str">
        <f>IF($B464="","",IF(AN$3=0,"n.b.",INDEX(SRC_ZPMW03!$A$1:$ZZ$501,$A464,AN$3)))</f>
        <v/>
      </c>
      <c r="AO464" s="124" t="str">
        <f>IF($B464="","",IF(AO$3=0,"n.b.",INDEX(SRC_ZPMW03!$A$1:$ZZ$501,$A464,AO$3)))</f>
        <v/>
      </c>
      <c r="AP464" s="124" t="str">
        <f>IF($B464="","",IF(AP$3=0,"n.b.",INDEX(SRC_ZPMW03!$A$1:$ZZ$501,$A464,AP$3)))</f>
        <v/>
      </c>
      <c r="AQ464" s="124" t="str">
        <f>IF($B464="","",IF(AQ$3=0,"n.b.",INDEX(SRC_ZPMW03!$A$1:$ZZ$501,$A464,AQ$3)))</f>
        <v/>
      </c>
      <c r="AR464" s="124" t="str">
        <f>IF($B464="","",IF(AR$3=0,"n.b.",INDEX(SRC_ZPMW03!$A$1:$ZZ$501,$A464,AR$3)))</f>
        <v/>
      </c>
      <c r="AS464" s="124" t="str">
        <f>IF($B464="","",IF(AS$3=0,"n.b.",INDEX(SRC_ZPMW03!$A$1:$ZZ$501,$A464,AS$3)))</f>
        <v/>
      </c>
      <c r="AT464" s="124" t="str">
        <f>IF($B464="","",IF(AT$3=0,"n.b.",INDEX(SRC_ZPMW03!$A$1:$ZZ$501,$A464,AT$3)))</f>
        <v/>
      </c>
      <c r="AU464" s="124" t="str">
        <f>IF($B464="","",IF(AU$3=0,"n.b.",INDEX(SRC_ZPMW03!$A$1:$ZZ$501,$A464,AU$3)))</f>
        <v/>
      </c>
      <c r="AV464" s="124" t="str">
        <f>IF($B464="","",IF(AV$3=0,"n.b.",INDEX(SRC_ZPMW03!$A$1:$ZZ$501,$A464,AV$3)))</f>
        <v/>
      </c>
      <c r="AW464" s="124" t="str">
        <f>IF($B464="","",IF(AW$3=0,"n.b.",INDEX(SRC_ZPMW03!$A$1:$ZZ$501,$A464,AW$3)))</f>
        <v/>
      </c>
      <c r="AX464" s="124" t="str">
        <f>IF($B464="","",IF(AX$3=0,"n.b.",INDEX(SRC_ZPMW03!$A$1:$ZZ$501,$A464,AX$3)))</f>
        <v/>
      </c>
      <c r="AY464" s="124" t="str">
        <f>IF($B464="","",IF(AY$3=0,"n.b.",INDEX(SRC_ZPMW03!$A$1:$ZZ$501,$A464,AY$3)))</f>
        <v/>
      </c>
      <c r="AZ464" s="124" t="str">
        <f>IF($B464="","",IF(AZ$3=0,"n.b.",INDEX(SRC_ZPMW03!$A$1:$ZZ$501,$A464,AZ$3)))</f>
        <v/>
      </c>
      <c r="BA464" s="124" t="str">
        <f>IF($B464="","",IF(BA$3=0,"n.b.",INDEX(SRC_ZPMW03!$A$1:$ZZ$501,$A464,BA$3)))</f>
        <v/>
      </c>
      <c r="BB464" s="124" t="str">
        <f>IF($B464="","",IF(BB$3=0,"n.b.",INDEX(SRC_ZPMW03!$A$1:$ZZ$501,$A464,BB$3)))</f>
        <v/>
      </c>
      <c r="BC464" s="124" t="str">
        <f>IF($B464="","",IF(BC$3=0,"n.b.",INDEX(SRC_ZPMW03!$A$1:$ZZ$501,$A464,BC$3)))</f>
        <v/>
      </c>
      <c r="BD464" s="124" t="str">
        <f>IF($B464="","",IF(BD$3=0,"n.b.",INDEX(SRC_ZPMW03!$A$1:$ZZ$501,$A464,BD$3)))</f>
        <v/>
      </c>
      <c r="BE464" s="124" t="str">
        <f>IF($B464="","",IF(BE$3=0,"n.b.",INDEX(SRC_ZPMW03!$A$1:$ZZ$501,$A464,BE$3)))</f>
        <v/>
      </c>
      <c r="BF464" s="124" t="str">
        <f>IF($B464="","",IF(BF$3=0,"n.b.",INDEX(SRC_ZPMW03!$A$1:$ZZ$501,$A464,BF$3)))</f>
        <v/>
      </c>
      <c r="BG464" t="str">
        <f>IF($B464="","",IF(BG$3=0,"n.b.",INDEX(SRC_ZPMW03!$A$1:$ZZ$501,$A464,BG$3)))</f>
        <v/>
      </c>
      <c r="BH464" t="str">
        <f>IF($B464="","",IF(BH$3=0,"n.b.",INDEX(SRC_ZPMW03!$A$1:$ZZ$501,$A464,BH$3)))</f>
        <v/>
      </c>
      <c r="BI464" t="str">
        <f>IF($B464="","",IF(BI$3=0,"n.b.",INDEX(SRC_ZPMW03!$A$1:$ZZ$501,$A464,BI$3)))</f>
        <v/>
      </c>
      <c r="BJ464" t="str">
        <f>IF($B464="","",IF(BJ$3=0,"n.b.",INDEX(SRC_ZPMW03!$A$1:$ZZ$501,$A464,BJ$3)))</f>
        <v/>
      </c>
      <c r="BK464" s="124" t="str">
        <f>IF($B464="","",IFERROR(-O464,"n.b."))</f>
        <v/>
      </c>
      <c r="BL464" s="124" t="str">
        <f>IF($B464="","",IFERROR(-Q464,"n.b."))</f>
        <v/>
      </c>
      <c r="BM464" s="124" t="str">
        <f>IF($B464="","",IFERROR(-AB464,"n.b."))</f>
        <v/>
      </c>
      <c r="BN464" s="124" t="str">
        <f>IF($B464="","",IFERROR(-AD464,"n.b."))</f>
        <v/>
      </c>
      <c r="BO464" s="124" t="str">
        <f>IF($B464="","",IFERROR(BK464+BM464,"n.b."))</f>
        <v/>
      </c>
      <c r="BP464" s="124" t="str">
        <f>IF($B464="","",IFERROR(BL464+BN464,"n.b."))</f>
        <v/>
      </c>
      <c r="BQ464" s="124" t="str">
        <f>IF($B464="","",IFERROR(-AM464,"n.b."))</f>
        <v/>
      </c>
      <c r="BR464" s="124" t="str">
        <f>IF($B464="","",IFERROR(-AO464,"n.b."))</f>
        <v/>
      </c>
      <c r="BS464" s="124" t="str">
        <f>IF($B464="","",IFERROR(-Z464,"n.b."))</f>
        <v/>
      </c>
      <c r="BT464" s="124" t="str">
        <f>IF($B464="","",IFERROR(-AA464,"n.b."))</f>
        <v/>
      </c>
      <c r="BU464" s="124" t="str">
        <f>IF($B464="","",IFERROR(-AE464,"n.b."))</f>
        <v/>
      </c>
      <c r="BV464" s="124" t="str">
        <f>IF($B464="","",IFERROR(-AF464,"n.b."))</f>
        <v/>
      </c>
      <c r="BW464" s="124" t="str">
        <f>IF($B464="","",IFERROR(-AG464,"n.b."))</f>
        <v/>
      </c>
      <c r="BX464" s="124" t="str">
        <f>IF($B464="","",IFERROR(-AH464,"n.b."))</f>
        <v/>
      </c>
      <c r="BY464" s="124" t="str">
        <f>IF($B464="","",IFERROR(-AI464,"n.b."))</f>
        <v/>
      </c>
      <c r="BZ464" s="124" t="str">
        <f>IF($B464="","",IFERROR(-AJ464,"n.b."))</f>
        <v/>
      </c>
      <c r="CA464" s="124" t="str">
        <f>IF($B464="","",IFERROR(-AK464,"n.b."))</f>
        <v/>
      </c>
      <c r="CB464" s="124" t="str">
        <f>IF($B464="","",IFERROR(-AL464,"n.b."))</f>
        <v/>
      </c>
      <c r="CC464" s="124" t="str">
        <f>IF($B464="","",IFERROR(-AP464,"n.b."))</f>
        <v/>
      </c>
      <c r="CD464" s="124" t="str">
        <f>IF($B464="","",IFERROR(-AQ464,"n.b."))</f>
        <v/>
      </c>
      <c r="CE464" s="124" t="str">
        <f>IF($B464="","",IFERROR(-AR464,"n.b."))</f>
        <v/>
      </c>
      <c r="CF464" s="124" t="str">
        <f>IF($B464="","",IFERROR(-AS464,"n.b."))</f>
        <v/>
      </c>
      <c r="CG464" s="124" t="str">
        <f>IF($B464="","",IFERROR(-AT464,"n.b."))</f>
        <v/>
      </c>
      <c r="CH464" s="124" t="str">
        <f>IF($B464="","",IFERROR(-AU464,"n.b."))</f>
        <v/>
      </c>
      <c r="CI464" s="124" t="str">
        <f>IF($B464="","",IFERROR(-AV464,"n.b."))</f>
        <v/>
      </c>
      <c r="CJ464" s="124" t="str">
        <f>IF($B464="","",IFERROR(-AW464,"n.b."))</f>
        <v/>
      </c>
      <c r="CK464" s="124" t="str">
        <f>IF($B464="","",IFERROR(-AX464,"n.b."))</f>
        <v/>
      </c>
      <c r="CL464" s="124" t="str">
        <f>IF($B464="","",IFERROR(-AY464,"n.b."))</f>
        <v/>
      </c>
      <c r="CM464" s="124" t="str">
        <f>IF($B464="","",IFERROR(-AZ464,"n.b."))</f>
        <v/>
      </c>
      <c r="CN464" s="124" t="str">
        <f>IF($B464="","",IFERROR(-BA464,"n.b."))</f>
        <v/>
      </c>
      <c r="CO464" s="124" t="str">
        <f>IF($B464="","",IFERROR(-BB464,"n.b."))</f>
        <v/>
      </c>
      <c r="CP464" s="124" t="str">
        <f>IF($B464="","",IFERROR(-BC464,"n.b."))</f>
        <v/>
      </c>
      <c r="CQ464" s="124" t="str">
        <f>IF($B464="","",IFERROR(-BD464,"n.b."))</f>
        <v/>
      </c>
      <c r="CR464" s="124" t="str">
        <f>IF($B464="","",IFERROR(-BE464,"n.b."))</f>
        <v/>
      </c>
      <c r="CS464" s="124" t="str">
        <f>IF($B464="","",IFERROR(IF(OR(ABS(T464+V464+X464+Z464-AB464)&gt;P_Tol,ABS(U464+W464+Y464+AA464-AD464)&gt;P_Tol,ABS(AE464+AG464+AI464+AK464-AM464)&gt;P_Tol,ABS(AF464+AH464+AJ464+AL464-AO464)&gt;P_Tol),1,0),1))</f>
        <v/>
      </c>
      <c r="CT464" s="124" t="str">
        <f>IF($B464="","",IFERROR(IF(OR(ABS(AB464+AC464-AD464)&gt;P_Tol,ABS(AM464+AN464-AO464)&gt;P_Tol,ABS(O464+P464-Q464)&gt;P_Tol),1,0),1))</f>
        <v/>
      </c>
      <c r="CU464" s="124" t="str">
        <f>IF($B464="","",IFERROR(IF(ABS(R464-(AB464+AM464+AP464+AR464+AT464+AV464+AX464+AZ464+BB464+BD464))&gt;P_Tol,1,0),1))</f>
        <v/>
      </c>
      <c r="CV464" s="124" t="str">
        <f>IF($B464="","",IFERROR(IF(ABS(M464-(N464+O464+R464))&gt;P_Tol,1,0),1))</f>
        <v/>
      </c>
      <c r="CW464" s="124" t="str">
        <f>IF($B464="","",IF(COUNTIF(Mapping!$A$5:$A$104,B464)&gt;0,1,0))</f>
        <v/>
      </c>
      <c r="CX464" s="124" t="str">
        <f>IF($B464="","",COUNTIF($B$6:$B$505,B464))</f>
        <v/>
      </c>
      <c r="CY464" s="124" t="str">
        <f>IF($B464="","",COUNTIF(STG_Woningetalage!$B$6:$B$505,B464))</f>
        <v/>
      </c>
      <c r="CZ464" s="124" t="str">
        <f>IF($B464="","",IF(CW464=0,COUNTIF($CW$6:CW464,0),""))</f>
        <v/>
      </c>
    </row>
    <row r="465">
      <c r="A465" s="15" t="n">
        <v>461</v>
      </c>
      <c r="B465" t="str">
        <f>IF(B$3=0,"",IF(INDEX(SRC_ZPMW03!$A$1:$ZZ$501,$A465,B$3)&amp;""="","",INDEX(SRC_ZPMW03!$A$1:$ZZ$501,$A465,B$3)&amp;""))</f>
        <v/>
      </c>
      <c r="C465" t="str">
        <f>IF($B465="","",IF(C$3=0,"n.b.",INDEX(SRC_ZPMW03!$A$1:$ZZ$501,$A465,C$3)))</f>
        <v/>
      </c>
      <c r="D465" t="str">
        <f>IF($B465="","",IF(D$3=0,"n.b.",INDEX(SRC_ZPMW03!$A$1:$ZZ$501,$A465,D$3)))</f>
        <v/>
      </c>
      <c r="E465" t="str">
        <f>IF($B465="","",IF(E$3=0,"n.b.",INDEX(SRC_ZPMW03!$A$1:$ZZ$501,$A465,E$3)))</f>
        <v/>
      </c>
      <c r="F465" t="str">
        <f>IF($B465="","",IF(F$3=0,"n.b.",INDEX(SRC_ZPMW03!$A$1:$ZZ$501,$A465,F$3)))</f>
        <v/>
      </c>
      <c r="G465" t="str">
        <f>IF($B465="","",IF(G$3=0,"n.b.",INDEX(SRC_ZPMW03!$A$1:$ZZ$501,$A465,G$3)))</f>
        <v/>
      </c>
      <c r="H465" t="str">
        <f>IF($B465="","",IF(H$3=0,"n.b.",INDEX(SRC_ZPMW03!$A$1:$ZZ$501,$A465,H$3)))</f>
        <v/>
      </c>
      <c r="I465" t="str">
        <f>IF($B465="","",IF(I$3=0,"n.b.",INDEX(SRC_ZPMW03!$A$1:$ZZ$501,$A465,I$3)))</f>
        <v/>
      </c>
      <c r="J465" t="str">
        <f>IF($B465="","",IF(J$3=0,"n.b.",INDEX(SRC_ZPMW03!$A$1:$ZZ$501,$A465,J$3)))</f>
        <v/>
      </c>
      <c r="K465" t="str">
        <f>IF($B465="","",IF(K$3=0,"n.b.",INDEX(SRC_ZPMW03!$A$1:$ZZ$501,$A465,K$3)))</f>
        <v/>
      </c>
      <c r="L465" s="124" t="str">
        <f>IF($B465="","",IF(L$3=0,"n.b.",INDEX(SRC_ZPMW03!$A$1:$ZZ$501,$A465,L$3)))</f>
        <v/>
      </c>
      <c r="M465" s="124" t="str">
        <f>IF($B465="","",IF(M$3=0,"n.b.",INDEX(SRC_ZPMW03!$A$1:$ZZ$501,$A465,M$3)))</f>
        <v/>
      </c>
      <c r="N465" s="124" t="str">
        <f>IF($B465="","",IF(N$3=0,"n.b.",INDEX(SRC_ZPMW03!$A$1:$ZZ$501,$A465,N$3)))</f>
        <v/>
      </c>
      <c r="O465" s="124" t="str">
        <f>IF($B465="","",IF(O$3=0,"n.b.",INDEX(SRC_ZPMW03!$A$1:$ZZ$501,$A465,O$3)))</f>
        <v/>
      </c>
      <c r="P465" s="124" t="str">
        <f>IF($B465="","",IF(P$3=0,"n.b.",INDEX(SRC_ZPMW03!$A$1:$ZZ$501,$A465,P$3)))</f>
        <v/>
      </c>
      <c r="Q465" s="124" t="str">
        <f>IF($B465="","",IF(Q$3=0,"n.b.",INDEX(SRC_ZPMW03!$A$1:$ZZ$501,$A465,Q$3)))</f>
        <v/>
      </c>
      <c r="R465" s="124" t="str">
        <f>IF($B465="","",IF(R$3=0,"n.b.",INDEX(SRC_ZPMW03!$A$1:$ZZ$501,$A465,R$3)))</f>
        <v/>
      </c>
      <c r="S465" s="124" t="str">
        <f>IF($B465="","",IF(S$3=0,"n.b.",INDEX(SRC_ZPMW03!$A$1:$ZZ$501,$A465,S$3)))</f>
        <v/>
      </c>
      <c r="T465" s="124" t="str">
        <f>IF($B465="","",IF(T$3=0,"n.b.",INDEX(SRC_ZPMW03!$A$1:$ZZ$501,$A465,T$3)))</f>
        <v/>
      </c>
      <c r="U465" s="124" t="str">
        <f>IF($B465="","",IF(U$3=0,"n.b.",INDEX(SRC_ZPMW03!$A$1:$ZZ$501,$A465,U$3)))</f>
        <v/>
      </c>
      <c r="V465" s="124" t="str">
        <f>IF($B465="","",IF(V$3=0,"n.b.",INDEX(SRC_ZPMW03!$A$1:$ZZ$501,$A465,V$3)))</f>
        <v/>
      </c>
      <c r="W465" s="124" t="str">
        <f>IF($B465="","",IF(W$3=0,"n.b.",INDEX(SRC_ZPMW03!$A$1:$ZZ$501,$A465,W$3)))</f>
        <v/>
      </c>
      <c r="X465" s="124" t="str">
        <f>IF($B465="","",IF(X$3=0,"n.b.",INDEX(SRC_ZPMW03!$A$1:$ZZ$501,$A465,X$3)))</f>
        <v/>
      </c>
      <c r="Y465" s="124" t="str">
        <f>IF($B465="","",IF(Y$3=0,"n.b.",INDEX(SRC_ZPMW03!$A$1:$ZZ$501,$A465,Y$3)))</f>
        <v/>
      </c>
      <c r="Z465" s="124" t="str">
        <f>IF($B465="","",IF(Z$3=0,"n.b.",INDEX(SRC_ZPMW03!$A$1:$ZZ$501,$A465,Z$3)))</f>
        <v/>
      </c>
      <c r="AA465" s="124" t="str">
        <f>IF($B465="","",IF(AA$3=0,"n.b.",INDEX(SRC_ZPMW03!$A$1:$ZZ$501,$A465,AA$3)))</f>
        <v/>
      </c>
      <c r="AB465" s="124" t="str">
        <f>IF($B465="","",IF(AB$3=0,"n.b.",INDEX(SRC_ZPMW03!$A$1:$ZZ$501,$A465,AB$3)))</f>
        <v/>
      </c>
      <c r="AC465" s="124" t="str">
        <f>IF($B465="","",IF(AC$3=0,"n.b.",INDEX(SRC_ZPMW03!$A$1:$ZZ$501,$A465,AC$3)))</f>
        <v/>
      </c>
      <c r="AD465" s="124" t="str">
        <f>IF($B465="","",IF(AD$3=0,"n.b.",INDEX(SRC_ZPMW03!$A$1:$ZZ$501,$A465,AD$3)))</f>
        <v/>
      </c>
      <c r="AE465" s="124" t="str">
        <f>IF($B465="","",IF(AE$3=0,"n.b.",INDEX(SRC_ZPMW03!$A$1:$ZZ$501,$A465,AE$3)))</f>
        <v/>
      </c>
      <c r="AF465" s="124" t="str">
        <f>IF($B465="","",IF(AF$3=0,"n.b.",INDEX(SRC_ZPMW03!$A$1:$ZZ$501,$A465,AF$3)))</f>
        <v/>
      </c>
      <c r="AG465" s="124" t="str">
        <f>IF($B465="","",IF(AG$3=0,"n.b.",INDEX(SRC_ZPMW03!$A$1:$ZZ$501,$A465,AG$3)))</f>
        <v/>
      </c>
      <c r="AH465" s="124" t="str">
        <f>IF($B465="","",IF(AH$3=0,"n.b.",INDEX(SRC_ZPMW03!$A$1:$ZZ$501,$A465,AH$3)))</f>
        <v/>
      </c>
      <c r="AI465" s="124" t="str">
        <f>IF($B465="","",IF(AI$3=0,"n.b.",INDEX(SRC_ZPMW03!$A$1:$ZZ$501,$A465,AI$3)))</f>
        <v/>
      </c>
      <c r="AJ465" s="124" t="str">
        <f>IF($B465="","",IF(AJ$3=0,"n.b.",INDEX(SRC_ZPMW03!$A$1:$ZZ$501,$A465,AJ$3)))</f>
        <v/>
      </c>
      <c r="AK465" s="124" t="str">
        <f>IF($B465="","",IF(AK$3=0,"n.b.",INDEX(SRC_ZPMW03!$A$1:$ZZ$501,$A465,AK$3)))</f>
        <v/>
      </c>
      <c r="AL465" s="124" t="str">
        <f>IF($B465="","",IF(AL$3=0,"n.b.",INDEX(SRC_ZPMW03!$A$1:$ZZ$501,$A465,AL$3)))</f>
        <v/>
      </c>
      <c r="AM465" s="124" t="str">
        <f>IF($B465="","",IF(AM$3=0,"n.b.",INDEX(SRC_ZPMW03!$A$1:$ZZ$501,$A465,AM$3)))</f>
        <v/>
      </c>
      <c r="AN465" s="124" t="str">
        <f>IF($B465="","",IF(AN$3=0,"n.b.",INDEX(SRC_ZPMW03!$A$1:$ZZ$501,$A465,AN$3)))</f>
        <v/>
      </c>
      <c r="AO465" s="124" t="str">
        <f>IF($B465="","",IF(AO$3=0,"n.b.",INDEX(SRC_ZPMW03!$A$1:$ZZ$501,$A465,AO$3)))</f>
        <v/>
      </c>
      <c r="AP465" s="124" t="str">
        <f>IF($B465="","",IF(AP$3=0,"n.b.",INDEX(SRC_ZPMW03!$A$1:$ZZ$501,$A465,AP$3)))</f>
        <v/>
      </c>
      <c r="AQ465" s="124" t="str">
        <f>IF($B465="","",IF(AQ$3=0,"n.b.",INDEX(SRC_ZPMW03!$A$1:$ZZ$501,$A465,AQ$3)))</f>
        <v/>
      </c>
      <c r="AR465" s="124" t="str">
        <f>IF($B465="","",IF(AR$3=0,"n.b.",INDEX(SRC_ZPMW03!$A$1:$ZZ$501,$A465,AR$3)))</f>
        <v/>
      </c>
      <c r="AS465" s="124" t="str">
        <f>IF($B465="","",IF(AS$3=0,"n.b.",INDEX(SRC_ZPMW03!$A$1:$ZZ$501,$A465,AS$3)))</f>
        <v/>
      </c>
      <c r="AT465" s="124" t="str">
        <f>IF($B465="","",IF(AT$3=0,"n.b.",INDEX(SRC_ZPMW03!$A$1:$ZZ$501,$A465,AT$3)))</f>
        <v/>
      </c>
      <c r="AU465" s="124" t="str">
        <f>IF($B465="","",IF(AU$3=0,"n.b.",INDEX(SRC_ZPMW03!$A$1:$ZZ$501,$A465,AU$3)))</f>
        <v/>
      </c>
      <c r="AV465" s="124" t="str">
        <f>IF($B465="","",IF(AV$3=0,"n.b.",INDEX(SRC_ZPMW03!$A$1:$ZZ$501,$A465,AV$3)))</f>
        <v/>
      </c>
      <c r="AW465" s="124" t="str">
        <f>IF($B465="","",IF(AW$3=0,"n.b.",INDEX(SRC_ZPMW03!$A$1:$ZZ$501,$A465,AW$3)))</f>
        <v/>
      </c>
      <c r="AX465" s="124" t="str">
        <f>IF($B465="","",IF(AX$3=0,"n.b.",INDEX(SRC_ZPMW03!$A$1:$ZZ$501,$A465,AX$3)))</f>
        <v/>
      </c>
      <c r="AY465" s="124" t="str">
        <f>IF($B465="","",IF(AY$3=0,"n.b.",INDEX(SRC_ZPMW03!$A$1:$ZZ$501,$A465,AY$3)))</f>
        <v/>
      </c>
      <c r="AZ465" s="124" t="str">
        <f>IF($B465="","",IF(AZ$3=0,"n.b.",INDEX(SRC_ZPMW03!$A$1:$ZZ$501,$A465,AZ$3)))</f>
        <v/>
      </c>
      <c r="BA465" s="124" t="str">
        <f>IF($B465="","",IF(BA$3=0,"n.b.",INDEX(SRC_ZPMW03!$A$1:$ZZ$501,$A465,BA$3)))</f>
        <v/>
      </c>
      <c r="BB465" s="124" t="str">
        <f>IF($B465="","",IF(BB$3=0,"n.b.",INDEX(SRC_ZPMW03!$A$1:$ZZ$501,$A465,BB$3)))</f>
        <v/>
      </c>
      <c r="BC465" s="124" t="str">
        <f>IF($B465="","",IF(BC$3=0,"n.b.",INDEX(SRC_ZPMW03!$A$1:$ZZ$501,$A465,BC$3)))</f>
        <v/>
      </c>
      <c r="BD465" s="124" t="str">
        <f>IF($B465="","",IF(BD$3=0,"n.b.",INDEX(SRC_ZPMW03!$A$1:$ZZ$501,$A465,BD$3)))</f>
        <v/>
      </c>
      <c r="BE465" s="124" t="str">
        <f>IF($B465="","",IF(BE$3=0,"n.b.",INDEX(SRC_ZPMW03!$A$1:$ZZ$501,$A465,BE$3)))</f>
        <v/>
      </c>
      <c r="BF465" s="124" t="str">
        <f>IF($B465="","",IF(BF$3=0,"n.b.",INDEX(SRC_ZPMW03!$A$1:$ZZ$501,$A465,BF$3)))</f>
        <v/>
      </c>
      <c r="BG465" t="str">
        <f>IF($B465="","",IF(BG$3=0,"n.b.",INDEX(SRC_ZPMW03!$A$1:$ZZ$501,$A465,BG$3)))</f>
        <v/>
      </c>
      <c r="BH465" t="str">
        <f>IF($B465="","",IF(BH$3=0,"n.b.",INDEX(SRC_ZPMW03!$A$1:$ZZ$501,$A465,BH$3)))</f>
        <v/>
      </c>
      <c r="BI465" t="str">
        <f>IF($B465="","",IF(BI$3=0,"n.b.",INDEX(SRC_ZPMW03!$A$1:$ZZ$501,$A465,BI$3)))</f>
        <v/>
      </c>
      <c r="BJ465" t="str">
        <f>IF($B465="","",IF(BJ$3=0,"n.b.",INDEX(SRC_ZPMW03!$A$1:$ZZ$501,$A465,BJ$3)))</f>
        <v/>
      </c>
      <c r="BK465" s="124" t="str">
        <f>IF($B465="","",IFERROR(-O465,"n.b."))</f>
        <v/>
      </c>
      <c r="BL465" s="124" t="str">
        <f>IF($B465="","",IFERROR(-Q465,"n.b."))</f>
        <v/>
      </c>
      <c r="BM465" s="124" t="str">
        <f>IF($B465="","",IFERROR(-AB465,"n.b."))</f>
        <v/>
      </c>
      <c r="BN465" s="124" t="str">
        <f>IF($B465="","",IFERROR(-AD465,"n.b."))</f>
        <v/>
      </c>
      <c r="BO465" s="124" t="str">
        <f>IF($B465="","",IFERROR(BK465+BM465,"n.b."))</f>
        <v/>
      </c>
      <c r="BP465" s="124" t="str">
        <f>IF($B465="","",IFERROR(BL465+BN465,"n.b."))</f>
        <v/>
      </c>
      <c r="BQ465" s="124" t="str">
        <f>IF($B465="","",IFERROR(-AM465,"n.b."))</f>
        <v/>
      </c>
      <c r="BR465" s="124" t="str">
        <f>IF($B465="","",IFERROR(-AO465,"n.b."))</f>
        <v/>
      </c>
      <c r="BS465" s="124" t="str">
        <f>IF($B465="","",IFERROR(-Z465,"n.b."))</f>
        <v/>
      </c>
      <c r="BT465" s="124" t="str">
        <f>IF($B465="","",IFERROR(-AA465,"n.b."))</f>
        <v/>
      </c>
      <c r="BU465" s="124" t="str">
        <f>IF($B465="","",IFERROR(-AE465,"n.b."))</f>
        <v/>
      </c>
      <c r="BV465" s="124" t="str">
        <f>IF($B465="","",IFERROR(-AF465,"n.b."))</f>
        <v/>
      </c>
      <c r="BW465" s="124" t="str">
        <f>IF($B465="","",IFERROR(-AG465,"n.b."))</f>
        <v/>
      </c>
      <c r="BX465" s="124" t="str">
        <f>IF($B465="","",IFERROR(-AH465,"n.b."))</f>
        <v/>
      </c>
      <c r="BY465" s="124" t="str">
        <f>IF($B465="","",IFERROR(-AI465,"n.b."))</f>
        <v/>
      </c>
      <c r="BZ465" s="124" t="str">
        <f>IF($B465="","",IFERROR(-AJ465,"n.b."))</f>
        <v/>
      </c>
      <c r="CA465" s="124" t="str">
        <f>IF($B465="","",IFERROR(-AK465,"n.b."))</f>
        <v/>
      </c>
      <c r="CB465" s="124" t="str">
        <f>IF($B465="","",IFERROR(-AL465,"n.b."))</f>
        <v/>
      </c>
      <c r="CC465" s="124" t="str">
        <f>IF($B465="","",IFERROR(-AP465,"n.b."))</f>
        <v/>
      </c>
      <c r="CD465" s="124" t="str">
        <f>IF($B465="","",IFERROR(-AQ465,"n.b."))</f>
        <v/>
      </c>
      <c r="CE465" s="124" t="str">
        <f>IF($B465="","",IFERROR(-AR465,"n.b."))</f>
        <v/>
      </c>
      <c r="CF465" s="124" t="str">
        <f>IF($B465="","",IFERROR(-AS465,"n.b."))</f>
        <v/>
      </c>
      <c r="CG465" s="124" t="str">
        <f>IF($B465="","",IFERROR(-AT465,"n.b."))</f>
        <v/>
      </c>
      <c r="CH465" s="124" t="str">
        <f>IF($B465="","",IFERROR(-AU465,"n.b."))</f>
        <v/>
      </c>
      <c r="CI465" s="124" t="str">
        <f>IF($B465="","",IFERROR(-AV465,"n.b."))</f>
        <v/>
      </c>
      <c r="CJ465" s="124" t="str">
        <f>IF($B465="","",IFERROR(-AW465,"n.b."))</f>
        <v/>
      </c>
      <c r="CK465" s="124" t="str">
        <f>IF($B465="","",IFERROR(-AX465,"n.b."))</f>
        <v/>
      </c>
      <c r="CL465" s="124" t="str">
        <f>IF($B465="","",IFERROR(-AY465,"n.b."))</f>
        <v/>
      </c>
      <c r="CM465" s="124" t="str">
        <f>IF($B465="","",IFERROR(-AZ465,"n.b."))</f>
        <v/>
      </c>
      <c r="CN465" s="124" t="str">
        <f>IF($B465="","",IFERROR(-BA465,"n.b."))</f>
        <v/>
      </c>
      <c r="CO465" s="124" t="str">
        <f>IF($B465="","",IFERROR(-BB465,"n.b."))</f>
        <v/>
      </c>
      <c r="CP465" s="124" t="str">
        <f>IF($B465="","",IFERROR(-BC465,"n.b."))</f>
        <v/>
      </c>
      <c r="CQ465" s="124" t="str">
        <f>IF($B465="","",IFERROR(-BD465,"n.b."))</f>
        <v/>
      </c>
      <c r="CR465" s="124" t="str">
        <f>IF($B465="","",IFERROR(-BE465,"n.b."))</f>
        <v/>
      </c>
      <c r="CS465" s="124" t="str">
        <f>IF($B465="","",IFERROR(IF(OR(ABS(T465+V465+X465+Z465-AB465)&gt;P_Tol,ABS(U465+W465+Y465+AA465-AD465)&gt;P_Tol,ABS(AE465+AG465+AI465+AK465-AM465)&gt;P_Tol,ABS(AF465+AH465+AJ465+AL465-AO465)&gt;P_Tol),1,0),1))</f>
        <v/>
      </c>
      <c r="CT465" s="124" t="str">
        <f>IF($B465="","",IFERROR(IF(OR(ABS(AB465+AC465-AD465)&gt;P_Tol,ABS(AM465+AN465-AO465)&gt;P_Tol,ABS(O465+P465-Q465)&gt;P_Tol),1,0),1))</f>
        <v/>
      </c>
      <c r="CU465" s="124" t="str">
        <f>IF($B465="","",IFERROR(IF(ABS(R465-(AB465+AM465+AP465+AR465+AT465+AV465+AX465+AZ465+BB465+BD465))&gt;P_Tol,1,0),1))</f>
        <v/>
      </c>
      <c r="CV465" s="124" t="str">
        <f>IF($B465="","",IFERROR(IF(ABS(M465-(N465+O465+R465))&gt;P_Tol,1,0),1))</f>
        <v/>
      </c>
      <c r="CW465" s="124" t="str">
        <f>IF($B465="","",IF(COUNTIF(Mapping!$A$5:$A$104,B465)&gt;0,1,0))</f>
        <v/>
      </c>
      <c r="CX465" s="124" t="str">
        <f>IF($B465="","",COUNTIF($B$6:$B$505,B465))</f>
        <v/>
      </c>
      <c r="CY465" s="124" t="str">
        <f>IF($B465="","",COUNTIF(STG_Woningetalage!$B$6:$B$505,B465))</f>
        <v/>
      </c>
      <c r="CZ465" s="124" t="str">
        <f>IF($B465="","",IF(CW465=0,COUNTIF($CW$6:CW465,0),""))</f>
        <v/>
      </c>
    </row>
    <row r="466">
      <c r="A466" s="15" t="n">
        <v>462</v>
      </c>
      <c r="B466" t="str">
        <f>IF(B$3=0,"",IF(INDEX(SRC_ZPMW03!$A$1:$ZZ$501,$A466,B$3)&amp;""="","",INDEX(SRC_ZPMW03!$A$1:$ZZ$501,$A466,B$3)&amp;""))</f>
        <v/>
      </c>
      <c r="C466" t="str">
        <f>IF($B466="","",IF(C$3=0,"n.b.",INDEX(SRC_ZPMW03!$A$1:$ZZ$501,$A466,C$3)))</f>
        <v/>
      </c>
      <c r="D466" t="str">
        <f>IF($B466="","",IF(D$3=0,"n.b.",INDEX(SRC_ZPMW03!$A$1:$ZZ$501,$A466,D$3)))</f>
        <v/>
      </c>
      <c r="E466" t="str">
        <f>IF($B466="","",IF(E$3=0,"n.b.",INDEX(SRC_ZPMW03!$A$1:$ZZ$501,$A466,E$3)))</f>
        <v/>
      </c>
      <c r="F466" t="str">
        <f>IF($B466="","",IF(F$3=0,"n.b.",INDEX(SRC_ZPMW03!$A$1:$ZZ$501,$A466,F$3)))</f>
        <v/>
      </c>
      <c r="G466" t="str">
        <f>IF($B466="","",IF(G$3=0,"n.b.",INDEX(SRC_ZPMW03!$A$1:$ZZ$501,$A466,G$3)))</f>
        <v/>
      </c>
      <c r="H466" t="str">
        <f>IF($B466="","",IF(H$3=0,"n.b.",INDEX(SRC_ZPMW03!$A$1:$ZZ$501,$A466,H$3)))</f>
        <v/>
      </c>
      <c r="I466" t="str">
        <f>IF($B466="","",IF(I$3=0,"n.b.",INDEX(SRC_ZPMW03!$A$1:$ZZ$501,$A466,I$3)))</f>
        <v/>
      </c>
      <c r="J466" t="str">
        <f>IF($B466="","",IF(J$3=0,"n.b.",INDEX(SRC_ZPMW03!$A$1:$ZZ$501,$A466,J$3)))</f>
        <v/>
      </c>
      <c r="K466" t="str">
        <f>IF($B466="","",IF(K$3=0,"n.b.",INDEX(SRC_ZPMW03!$A$1:$ZZ$501,$A466,K$3)))</f>
        <v/>
      </c>
      <c r="L466" s="124" t="str">
        <f>IF($B466="","",IF(L$3=0,"n.b.",INDEX(SRC_ZPMW03!$A$1:$ZZ$501,$A466,L$3)))</f>
        <v/>
      </c>
      <c r="M466" s="124" t="str">
        <f>IF($B466="","",IF(M$3=0,"n.b.",INDEX(SRC_ZPMW03!$A$1:$ZZ$501,$A466,M$3)))</f>
        <v/>
      </c>
      <c r="N466" s="124" t="str">
        <f>IF($B466="","",IF(N$3=0,"n.b.",INDEX(SRC_ZPMW03!$A$1:$ZZ$501,$A466,N$3)))</f>
        <v/>
      </c>
      <c r="O466" s="124" t="str">
        <f>IF($B466="","",IF(O$3=0,"n.b.",INDEX(SRC_ZPMW03!$A$1:$ZZ$501,$A466,O$3)))</f>
        <v/>
      </c>
      <c r="P466" s="124" t="str">
        <f>IF($B466="","",IF(P$3=0,"n.b.",INDEX(SRC_ZPMW03!$A$1:$ZZ$501,$A466,P$3)))</f>
        <v/>
      </c>
      <c r="Q466" s="124" t="str">
        <f>IF($B466="","",IF(Q$3=0,"n.b.",INDEX(SRC_ZPMW03!$A$1:$ZZ$501,$A466,Q$3)))</f>
        <v/>
      </c>
      <c r="R466" s="124" t="str">
        <f>IF($B466="","",IF(R$3=0,"n.b.",INDEX(SRC_ZPMW03!$A$1:$ZZ$501,$A466,R$3)))</f>
        <v/>
      </c>
      <c r="S466" s="124" t="str">
        <f>IF($B466="","",IF(S$3=0,"n.b.",INDEX(SRC_ZPMW03!$A$1:$ZZ$501,$A466,S$3)))</f>
        <v/>
      </c>
      <c r="T466" s="124" t="str">
        <f>IF($B466="","",IF(T$3=0,"n.b.",INDEX(SRC_ZPMW03!$A$1:$ZZ$501,$A466,T$3)))</f>
        <v/>
      </c>
      <c r="U466" s="124" t="str">
        <f>IF($B466="","",IF(U$3=0,"n.b.",INDEX(SRC_ZPMW03!$A$1:$ZZ$501,$A466,U$3)))</f>
        <v/>
      </c>
      <c r="V466" s="124" t="str">
        <f>IF($B466="","",IF(V$3=0,"n.b.",INDEX(SRC_ZPMW03!$A$1:$ZZ$501,$A466,V$3)))</f>
        <v/>
      </c>
      <c r="W466" s="124" t="str">
        <f>IF($B466="","",IF(W$3=0,"n.b.",INDEX(SRC_ZPMW03!$A$1:$ZZ$501,$A466,W$3)))</f>
        <v/>
      </c>
      <c r="X466" s="124" t="str">
        <f>IF($B466="","",IF(X$3=0,"n.b.",INDEX(SRC_ZPMW03!$A$1:$ZZ$501,$A466,X$3)))</f>
        <v/>
      </c>
      <c r="Y466" s="124" t="str">
        <f>IF($B466="","",IF(Y$3=0,"n.b.",INDEX(SRC_ZPMW03!$A$1:$ZZ$501,$A466,Y$3)))</f>
        <v/>
      </c>
      <c r="Z466" s="124" t="str">
        <f>IF($B466="","",IF(Z$3=0,"n.b.",INDEX(SRC_ZPMW03!$A$1:$ZZ$501,$A466,Z$3)))</f>
        <v/>
      </c>
      <c r="AA466" s="124" t="str">
        <f>IF($B466="","",IF(AA$3=0,"n.b.",INDEX(SRC_ZPMW03!$A$1:$ZZ$501,$A466,AA$3)))</f>
        <v/>
      </c>
      <c r="AB466" s="124" t="str">
        <f>IF($B466="","",IF(AB$3=0,"n.b.",INDEX(SRC_ZPMW03!$A$1:$ZZ$501,$A466,AB$3)))</f>
        <v/>
      </c>
      <c r="AC466" s="124" t="str">
        <f>IF($B466="","",IF(AC$3=0,"n.b.",INDEX(SRC_ZPMW03!$A$1:$ZZ$501,$A466,AC$3)))</f>
        <v/>
      </c>
      <c r="AD466" s="124" t="str">
        <f>IF($B466="","",IF(AD$3=0,"n.b.",INDEX(SRC_ZPMW03!$A$1:$ZZ$501,$A466,AD$3)))</f>
        <v/>
      </c>
      <c r="AE466" s="124" t="str">
        <f>IF($B466="","",IF(AE$3=0,"n.b.",INDEX(SRC_ZPMW03!$A$1:$ZZ$501,$A466,AE$3)))</f>
        <v/>
      </c>
      <c r="AF466" s="124" t="str">
        <f>IF($B466="","",IF(AF$3=0,"n.b.",INDEX(SRC_ZPMW03!$A$1:$ZZ$501,$A466,AF$3)))</f>
        <v/>
      </c>
      <c r="AG466" s="124" t="str">
        <f>IF($B466="","",IF(AG$3=0,"n.b.",INDEX(SRC_ZPMW03!$A$1:$ZZ$501,$A466,AG$3)))</f>
        <v/>
      </c>
      <c r="AH466" s="124" t="str">
        <f>IF($B466="","",IF(AH$3=0,"n.b.",INDEX(SRC_ZPMW03!$A$1:$ZZ$501,$A466,AH$3)))</f>
        <v/>
      </c>
      <c r="AI466" s="124" t="str">
        <f>IF($B466="","",IF(AI$3=0,"n.b.",INDEX(SRC_ZPMW03!$A$1:$ZZ$501,$A466,AI$3)))</f>
        <v/>
      </c>
      <c r="AJ466" s="124" t="str">
        <f>IF($B466="","",IF(AJ$3=0,"n.b.",INDEX(SRC_ZPMW03!$A$1:$ZZ$501,$A466,AJ$3)))</f>
        <v/>
      </c>
      <c r="AK466" s="124" t="str">
        <f>IF($B466="","",IF(AK$3=0,"n.b.",INDEX(SRC_ZPMW03!$A$1:$ZZ$501,$A466,AK$3)))</f>
        <v/>
      </c>
      <c r="AL466" s="124" t="str">
        <f>IF($B466="","",IF(AL$3=0,"n.b.",INDEX(SRC_ZPMW03!$A$1:$ZZ$501,$A466,AL$3)))</f>
        <v/>
      </c>
      <c r="AM466" s="124" t="str">
        <f>IF($B466="","",IF(AM$3=0,"n.b.",INDEX(SRC_ZPMW03!$A$1:$ZZ$501,$A466,AM$3)))</f>
        <v/>
      </c>
      <c r="AN466" s="124" t="str">
        <f>IF($B466="","",IF(AN$3=0,"n.b.",INDEX(SRC_ZPMW03!$A$1:$ZZ$501,$A466,AN$3)))</f>
        <v/>
      </c>
      <c r="AO466" s="124" t="str">
        <f>IF($B466="","",IF(AO$3=0,"n.b.",INDEX(SRC_ZPMW03!$A$1:$ZZ$501,$A466,AO$3)))</f>
        <v/>
      </c>
      <c r="AP466" s="124" t="str">
        <f>IF($B466="","",IF(AP$3=0,"n.b.",INDEX(SRC_ZPMW03!$A$1:$ZZ$501,$A466,AP$3)))</f>
        <v/>
      </c>
      <c r="AQ466" s="124" t="str">
        <f>IF($B466="","",IF(AQ$3=0,"n.b.",INDEX(SRC_ZPMW03!$A$1:$ZZ$501,$A466,AQ$3)))</f>
        <v/>
      </c>
      <c r="AR466" s="124" t="str">
        <f>IF($B466="","",IF(AR$3=0,"n.b.",INDEX(SRC_ZPMW03!$A$1:$ZZ$501,$A466,AR$3)))</f>
        <v/>
      </c>
      <c r="AS466" s="124" t="str">
        <f>IF($B466="","",IF(AS$3=0,"n.b.",INDEX(SRC_ZPMW03!$A$1:$ZZ$501,$A466,AS$3)))</f>
        <v/>
      </c>
      <c r="AT466" s="124" t="str">
        <f>IF($B466="","",IF(AT$3=0,"n.b.",INDEX(SRC_ZPMW03!$A$1:$ZZ$501,$A466,AT$3)))</f>
        <v/>
      </c>
      <c r="AU466" s="124" t="str">
        <f>IF($B466="","",IF(AU$3=0,"n.b.",INDEX(SRC_ZPMW03!$A$1:$ZZ$501,$A466,AU$3)))</f>
        <v/>
      </c>
      <c r="AV466" s="124" t="str">
        <f>IF($B466="","",IF(AV$3=0,"n.b.",INDEX(SRC_ZPMW03!$A$1:$ZZ$501,$A466,AV$3)))</f>
        <v/>
      </c>
      <c r="AW466" s="124" t="str">
        <f>IF($B466="","",IF(AW$3=0,"n.b.",INDEX(SRC_ZPMW03!$A$1:$ZZ$501,$A466,AW$3)))</f>
        <v/>
      </c>
      <c r="AX466" s="124" t="str">
        <f>IF($B466="","",IF(AX$3=0,"n.b.",INDEX(SRC_ZPMW03!$A$1:$ZZ$501,$A466,AX$3)))</f>
        <v/>
      </c>
      <c r="AY466" s="124" t="str">
        <f>IF($B466="","",IF(AY$3=0,"n.b.",INDEX(SRC_ZPMW03!$A$1:$ZZ$501,$A466,AY$3)))</f>
        <v/>
      </c>
      <c r="AZ466" s="124" t="str">
        <f>IF($B466="","",IF(AZ$3=0,"n.b.",INDEX(SRC_ZPMW03!$A$1:$ZZ$501,$A466,AZ$3)))</f>
        <v/>
      </c>
      <c r="BA466" s="124" t="str">
        <f>IF($B466="","",IF(BA$3=0,"n.b.",INDEX(SRC_ZPMW03!$A$1:$ZZ$501,$A466,BA$3)))</f>
        <v/>
      </c>
      <c r="BB466" s="124" t="str">
        <f>IF($B466="","",IF(BB$3=0,"n.b.",INDEX(SRC_ZPMW03!$A$1:$ZZ$501,$A466,BB$3)))</f>
        <v/>
      </c>
      <c r="BC466" s="124" t="str">
        <f>IF($B466="","",IF(BC$3=0,"n.b.",INDEX(SRC_ZPMW03!$A$1:$ZZ$501,$A466,BC$3)))</f>
        <v/>
      </c>
      <c r="BD466" s="124" t="str">
        <f>IF($B466="","",IF(BD$3=0,"n.b.",INDEX(SRC_ZPMW03!$A$1:$ZZ$501,$A466,BD$3)))</f>
        <v/>
      </c>
      <c r="BE466" s="124" t="str">
        <f>IF($B466="","",IF(BE$3=0,"n.b.",INDEX(SRC_ZPMW03!$A$1:$ZZ$501,$A466,BE$3)))</f>
        <v/>
      </c>
      <c r="BF466" s="124" t="str">
        <f>IF($B466="","",IF(BF$3=0,"n.b.",INDEX(SRC_ZPMW03!$A$1:$ZZ$501,$A466,BF$3)))</f>
        <v/>
      </c>
      <c r="BG466" t="str">
        <f>IF($B466="","",IF(BG$3=0,"n.b.",INDEX(SRC_ZPMW03!$A$1:$ZZ$501,$A466,BG$3)))</f>
        <v/>
      </c>
      <c r="BH466" t="str">
        <f>IF($B466="","",IF(BH$3=0,"n.b.",INDEX(SRC_ZPMW03!$A$1:$ZZ$501,$A466,BH$3)))</f>
        <v/>
      </c>
      <c r="BI466" t="str">
        <f>IF($B466="","",IF(BI$3=0,"n.b.",INDEX(SRC_ZPMW03!$A$1:$ZZ$501,$A466,BI$3)))</f>
        <v/>
      </c>
      <c r="BJ466" t="str">
        <f>IF($B466="","",IF(BJ$3=0,"n.b.",INDEX(SRC_ZPMW03!$A$1:$ZZ$501,$A466,BJ$3)))</f>
        <v/>
      </c>
      <c r="BK466" s="124" t="str">
        <f>IF($B466="","",IFERROR(-O466,"n.b."))</f>
        <v/>
      </c>
      <c r="BL466" s="124" t="str">
        <f>IF($B466="","",IFERROR(-Q466,"n.b."))</f>
        <v/>
      </c>
      <c r="BM466" s="124" t="str">
        <f>IF($B466="","",IFERROR(-AB466,"n.b."))</f>
        <v/>
      </c>
      <c r="BN466" s="124" t="str">
        <f>IF($B466="","",IFERROR(-AD466,"n.b."))</f>
        <v/>
      </c>
      <c r="BO466" s="124" t="str">
        <f>IF($B466="","",IFERROR(BK466+BM466,"n.b."))</f>
        <v/>
      </c>
      <c r="BP466" s="124" t="str">
        <f>IF($B466="","",IFERROR(BL466+BN466,"n.b."))</f>
        <v/>
      </c>
      <c r="BQ466" s="124" t="str">
        <f>IF($B466="","",IFERROR(-AM466,"n.b."))</f>
        <v/>
      </c>
      <c r="BR466" s="124" t="str">
        <f>IF($B466="","",IFERROR(-AO466,"n.b."))</f>
        <v/>
      </c>
      <c r="BS466" s="124" t="str">
        <f>IF($B466="","",IFERROR(-Z466,"n.b."))</f>
        <v/>
      </c>
      <c r="BT466" s="124" t="str">
        <f>IF($B466="","",IFERROR(-AA466,"n.b."))</f>
        <v/>
      </c>
      <c r="BU466" s="124" t="str">
        <f>IF($B466="","",IFERROR(-AE466,"n.b."))</f>
        <v/>
      </c>
      <c r="BV466" s="124" t="str">
        <f>IF($B466="","",IFERROR(-AF466,"n.b."))</f>
        <v/>
      </c>
      <c r="BW466" s="124" t="str">
        <f>IF($B466="","",IFERROR(-AG466,"n.b."))</f>
        <v/>
      </c>
      <c r="BX466" s="124" t="str">
        <f>IF($B466="","",IFERROR(-AH466,"n.b."))</f>
        <v/>
      </c>
      <c r="BY466" s="124" t="str">
        <f>IF($B466="","",IFERROR(-AI466,"n.b."))</f>
        <v/>
      </c>
      <c r="BZ466" s="124" t="str">
        <f>IF($B466="","",IFERROR(-AJ466,"n.b."))</f>
        <v/>
      </c>
      <c r="CA466" s="124" t="str">
        <f>IF($B466="","",IFERROR(-AK466,"n.b."))</f>
        <v/>
      </c>
      <c r="CB466" s="124" t="str">
        <f>IF($B466="","",IFERROR(-AL466,"n.b."))</f>
        <v/>
      </c>
      <c r="CC466" s="124" t="str">
        <f>IF($B466="","",IFERROR(-AP466,"n.b."))</f>
        <v/>
      </c>
      <c r="CD466" s="124" t="str">
        <f>IF($B466="","",IFERROR(-AQ466,"n.b."))</f>
        <v/>
      </c>
      <c r="CE466" s="124" t="str">
        <f>IF($B466="","",IFERROR(-AR466,"n.b."))</f>
        <v/>
      </c>
      <c r="CF466" s="124" t="str">
        <f>IF($B466="","",IFERROR(-AS466,"n.b."))</f>
        <v/>
      </c>
      <c r="CG466" s="124" t="str">
        <f>IF($B466="","",IFERROR(-AT466,"n.b."))</f>
        <v/>
      </c>
      <c r="CH466" s="124" t="str">
        <f>IF($B466="","",IFERROR(-AU466,"n.b."))</f>
        <v/>
      </c>
      <c r="CI466" s="124" t="str">
        <f>IF($B466="","",IFERROR(-AV466,"n.b."))</f>
        <v/>
      </c>
      <c r="CJ466" s="124" t="str">
        <f>IF($B466="","",IFERROR(-AW466,"n.b."))</f>
        <v/>
      </c>
      <c r="CK466" s="124" t="str">
        <f>IF($B466="","",IFERROR(-AX466,"n.b."))</f>
        <v/>
      </c>
      <c r="CL466" s="124" t="str">
        <f>IF($B466="","",IFERROR(-AY466,"n.b."))</f>
        <v/>
      </c>
      <c r="CM466" s="124" t="str">
        <f>IF($B466="","",IFERROR(-AZ466,"n.b."))</f>
        <v/>
      </c>
      <c r="CN466" s="124" t="str">
        <f>IF($B466="","",IFERROR(-BA466,"n.b."))</f>
        <v/>
      </c>
      <c r="CO466" s="124" t="str">
        <f>IF($B466="","",IFERROR(-BB466,"n.b."))</f>
        <v/>
      </c>
      <c r="CP466" s="124" t="str">
        <f>IF($B466="","",IFERROR(-BC466,"n.b."))</f>
        <v/>
      </c>
      <c r="CQ466" s="124" t="str">
        <f>IF($B466="","",IFERROR(-BD466,"n.b."))</f>
        <v/>
      </c>
      <c r="CR466" s="124" t="str">
        <f>IF($B466="","",IFERROR(-BE466,"n.b."))</f>
        <v/>
      </c>
      <c r="CS466" s="124" t="str">
        <f>IF($B466="","",IFERROR(IF(OR(ABS(T466+V466+X466+Z466-AB466)&gt;P_Tol,ABS(U466+W466+Y466+AA466-AD466)&gt;P_Tol,ABS(AE466+AG466+AI466+AK466-AM466)&gt;P_Tol,ABS(AF466+AH466+AJ466+AL466-AO466)&gt;P_Tol),1,0),1))</f>
        <v/>
      </c>
      <c r="CT466" s="124" t="str">
        <f>IF($B466="","",IFERROR(IF(OR(ABS(AB466+AC466-AD466)&gt;P_Tol,ABS(AM466+AN466-AO466)&gt;P_Tol,ABS(O466+P466-Q466)&gt;P_Tol),1,0),1))</f>
        <v/>
      </c>
      <c r="CU466" s="124" t="str">
        <f>IF($B466="","",IFERROR(IF(ABS(R466-(AB466+AM466+AP466+AR466+AT466+AV466+AX466+AZ466+BB466+BD466))&gt;P_Tol,1,0),1))</f>
        <v/>
      </c>
      <c r="CV466" s="124" t="str">
        <f>IF($B466="","",IFERROR(IF(ABS(M466-(N466+O466+R466))&gt;P_Tol,1,0),1))</f>
        <v/>
      </c>
      <c r="CW466" s="124" t="str">
        <f>IF($B466="","",IF(COUNTIF(Mapping!$A$5:$A$104,B466)&gt;0,1,0))</f>
        <v/>
      </c>
      <c r="CX466" s="124" t="str">
        <f>IF($B466="","",COUNTIF($B$6:$B$505,B466))</f>
        <v/>
      </c>
      <c r="CY466" s="124" t="str">
        <f>IF($B466="","",COUNTIF(STG_Woningetalage!$B$6:$B$505,B466))</f>
        <v/>
      </c>
      <c r="CZ466" s="124" t="str">
        <f>IF($B466="","",IF(CW466=0,COUNTIF($CW$6:CW466,0),""))</f>
        <v/>
      </c>
    </row>
    <row r="467">
      <c r="A467" s="15" t="n">
        <v>463</v>
      </c>
      <c r="B467" t="str">
        <f>IF(B$3=0,"",IF(INDEX(SRC_ZPMW03!$A$1:$ZZ$501,$A467,B$3)&amp;""="","",INDEX(SRC_ZPMW03!$A$1:$ZZ$501,$A467,B$3)&amp;""))</f>
        <v/>
      </c>
      <c r="C467" t="str">
        <f>IF($B467="","",IF(C$3=0,"n.b.",INDEX(SRC_ZPMW03!$A$1:$ZZ$501,$A467,C$3)))</f>
        <v/>
      </c>
      <c r="D467" t="str">
        <f>IF($B467="","",IF(D$3=0,"n.b.",INDEX(SRC_ZPMW03!$A$1:$ZZ$501,$A467,D$3)))</f>
        <v/>
      </c>
      <c r="E467" t="str">
        <f>IF($B467="","",IF(E$3=0,"n.b.",INDEX(SRC_ZPMW03!$A$1:$ZZ$501,$A467,E$3)))</f>
        <v/>
      </c>
      <c r="F467" t="str">
        <f>IF($B467="","",IF(F$3=0,"n.b.",INDEX(SRC_ZPMW03!$A$1:$ZZ$501,$A467,F$3)))</f>
        <v/>
      </c>
      <c r="G467" t="str">
        <f>IF($B467="","",IF(G$3=0,"n.b.",INDEX(SRC_ZPMW03!$A$1:$ZZ$501,$A467,G$3)))</f>
        <v/>
      </c>
      <c r="H467" t="str">
        <f>IF($B467="","",IF(H$3=0,"n.b.",INDEX(SRC_ZPMW03!$A$1:$ZZ$501,$A467,H$3)))</f>
        <v/>
      </c>
      <c r="I467" t="str">
        <f>IF($B467="","",IF(I$3=0,"n.b.",INDEX(SRC_ZPMW03!$A$1:$ZZ$501,$A467,I$3)))</f>
        <v/>
      </c>
      <c r="J467" t="str">
        <f>IF($B467="","",IF(J$3=0,"n.b.",INDEX(SRC_ZPMW03!$A$1:$ZZ$501,$A467,J$3)))</f>
        <v/>
      </c>
      <c r="K467" t="str">
        <f>IF($B467="","",IF(K$3=0,"n.b.",INDEX(SRC_ZPMW03!$A$1:$ZZ$501,$A467,K$3)))</f>
        <v/>
      </c>
      <c r="L467" s="124" t="str">
        <f>IF($B467="","",IF(L$3=0,"n.b.",INDEX(SRC_ZPMW03!$A$1:$ZZ$501,$A467,L$3)))</f>
        <v/>
      </c>
      <c r="M467" s="124" t="str">
        <f>IF($B467="","",IF(M$3=0,"n.b.",INDEX(SRC_ZPMW03!$A$1:$ZZ$501,$A467,M$3)))</f>
        <v/>
      </c>
      <c r="N467" s="124" t="str">
        <f>IF($B467="","",IF(N$3=0,"n.b.",INDEX(SRC_ZPMW03!$A$1:$ZZ$501,$A467,N$3)))</f>
        <v/>
      </c>
      <c r="O467" s="124" t="str">
        <f>IF($B467="","",IF(O$3=0,"n.b.",INDEX(SRC_ZPMW03!$A$1:$ZZ$501,$A467,O$3)))</f>
        <v/>
      </c>
      <c r="P467" s="124" t="str">
        <f>IF($B467="","",IF(P$3=0,"n.b.",INDEX(SRC_ZPMW03!$A$1:$ZZ$501,$A467,P$3)))</f>
        <v/>
      </c>
      <c r="Q467" s="124" t="str">
        <f>IF($B467="","",IF(Q$3=0,"n.b.",INDEX(SRC_ZPMW03!$A$1:$ZZ$501,$A467,Q$3)))</f>
        <v/>
      </c>
      <c r="R467" s="124" t="str">
        <f>IF($B467="","",IF(R$3=0,"n.b.",INDEX(SRC_ZPMW03!$A$1:$ZZ$501,$A467,R$3)))</f>
        <v/>
      </c>
      <c r="S467" s="124" t="str">
        <f>IF($B467="","",IF(S$3=0,"n.b.",INDEX(SRC_ZPMW03!$A$1:$ZZ$501,$A467,S$3)))</f>
        <v/>
      </c>
      <c r="T467" s="124" t="str">
        <f>IF($B467="","",IF(T$3=0,"n.b.",INDEX(SRC_ZPMW03!$A$1:$ZZ$501,$A467,T$3)))</f>
        <v/>
      </c>
      <c r="U467" s="124" t="str">
        <f>IF($B467="","",IF(U$3=0,"n.b.",INDEX(SRC_ZPMW03!$A$1:$ZZ$501,$A467,U$3)))</f>
        <v/>
      </c>
      <c r="V467" s="124" t="str">
        <f>IF($B467="","",IF(V$3=0,"n.b.",INDEX(SRC_ZPMW03!$A$1:$ZZ$501,$A467,V$3)))</f>
        <v/>
      </c>
      <c r="W467" s="124" t="str">
        <f>IF($B467="","",IF(W$3=0,"n.b.",INDEX(SRC_ZPMW03!$A$1:$ZZ$501,$A467,W$3)))</f>
        <v/>
      </c>
      <c r="X467" s="124" t="str">
        <f>IF($B467="","",IF(X$3=0,"n.b.",INDEX(SRC_ZPMW03!$A$1:$ZZ$501,$A467,X$3)))</f>
        <v/>
      </c>
      <c r="Y467" s="124" t="str">
        <f>IF($B467="","",IF(Y$3=0,"n.b.",INDEX(SRC_ZPMW03!$A$1:$ZZ$501,$A467,Y$3)))</f>
        <v/>
      </c>
      <c r="Z467" s="124" t="str">
        <f>IF($B467="","",IF(Z$3=0,"n.b.",INDEX(SRC_ZPMW03!$A$1:$ZZ$501,$A467,Z$3)))</f>
        <v/>
      </c>
      <c r="AA467" s="124" t="str">
        <f>IF($B467="","",IF(AA$3=0,"n.b.",INDEX(SRC_ZPMW03!$A$1:$ZZ$501,$A467,AA$3)))</f>
        <v/>
      </c>
      <c r="AB467" s="124" t="str">
        <f>IF($B467="","",IF(AB$3=0,"n.b.",INDEX(SRC_ZPMW03!$A$1:$ZZ$501,$A467,AB$3)))</f>
        <v/>
      </c>
      <c r="AC467" s="124" t="str">
        <f>IF($B467="","",IF(AC$3=0,"n.b.",INDEX(SRC_ZPMW03!$A$1:$ZZ$501,$A467,AC$3)))</f>
        <v/>
      </c>
      <c r="AD467" s="124" t="str">
        <f>IF($B467="","",IF(AD$3=0,"n.b.",INDEX(SRC_ZPMW03!$A$1:$ZZ$501,$A467,AD$3)))</f>
        <v/>
      </c>
      <c r="AE467" s="124" t="str">
        <f>IF($B467="","",IF(AE$3=0,"n.b.",INDEX(SRC_ZPMW03!$A$1:$ZZ$501,$A467,AE$3)))</f>
        <v/>
      </c>
      <c r="AF467" s="124" t="str">
        <f>IF($B467="","",IF(AF$3=0,"n.b.",INDEX(SRC_ZPMW03!$A$1:$ZZ$501,$A467,AF$3)))</f>
        <v/>
      </c>
      <c r="AG467" s="124" t="str">
        <f>IF($B467="","",IF(AG$3=0,"n.b.",INDEX(SRC_ZPMW03!$A$1:$ZZ$501,$A467,AG$3)))</f>
        <v/>
      </c>
      <c r="AH467" s="124" t="str">
        <f>IF($B467="","",IF(AH$3=0,"n.b.",INDEX(SRC_ZPMW03!$A$1:$ZZ$501,$A467,AH$3)))</f>
        <v/>
      </c>
      <c r="AI467" s="124" t="str">
        <f>IF($B467="","",IF(AI$3=0,"n.b.",INDEX(SRC_ZPMW03!$A$1:$ZZ$501,$A467,AI$3)))</f>
        <v/>
      </c>
      <c r="AJ467" s="124" t="str">
        <f>IF($B467="","",IF(AJ$3=0,"n.b.",INDEX(SRC_ZPMW03!$A$1:$ZZ$501,$A467,AJ$3)))</f>
        <v/>
      </c>
      <c r="AK467" s="124" t="str">
        <f>IF($B467="","",IF(AK$3=0,"n.b.",INDEX(SRC_ZPMW03!$A$1:$ZZ$501,$A467,AK$3)))</f>
        <v/>
      </c>
      <c r="AL467" s="124" t="str">
        <f>IF($B467="","",IF(AL$3=0,"n.b.",INDEX(SRC_ZPMW03!$A$1:$ZZ$501,$A467,AL$3)))</f>
        <v/>
      </c>
      <c r="AM467" s="124" t="str">
        <f>IF($B467="","",IF(AM$3=0,"n.b.",INDEX(SRC_ZPMW03!$A$1:$ZZ$501,$A467,AM$3)))</f>
        <v/>
      </c>
      <c r="AN467" s="124" t="str">
        <f>IF($B467="","",IF(AN$3=0,"n.b.",INDEX(SRC_ZPMW03!$A$1:$ZZ$501,$A467,AN$3)))</f>
        <v/>
      </c>
      <c r="AO467" s="124" t="str">
        <f>IF($B467="","",IF(AO$3=0,"n.b.",INDEX(SRC_ZPMW03!$A$1:$ZZ$501,$A467,AO$3)))</f>
        <v/>
      </c>
      <c r="AP467" s="124" t="str">
        <f>IF($B467="","",IF(AP$3=0,"n.b.",INDEX(SRC_ZPMW03!$A$1:$ZZ$501,$A467,AP$3)))</f>
        <v/>
      </c>
      <c r="AQ467" s="124" t="str">
        <f>IF($B467="","",IF(AQ$3=0,"n.b.",INDEX(SRC_ZPMW03!$A$1:$ZZ$501,$A467,AQ$3)))</f>
        <v/>
      </c>
      <c r="AR467" s="124" t="str">
        <f>IF($B467="","",IF(AR$3=0,"n.b.",INDEX(SRC_ZPMW03!$A$1:$ZZ$501,$A467,AR$3)))</f>
        <v/>
      </c>
      <c r="AS467" s="124" t="str">
        <f>IF($B467="","",IF(AS$3=0,"n.b.",INDEX(SRC_ZPMW03!$A$1:$ZZ$501,$A467,AS$3)))</f>
        <v/>
      </c>
      <c r="AT467" s="124" t="str">
        <f>IF($B467="","",IF(AT$3=0,"n.b.",INDEX(SRC_ZPMW03!$A$1:$ZZ$501,$A467,AT$3)))</f>
        <v/>
      </c>
      <c r="AU467" s="124" t="str">
        <f>IF($B467="","",IF(AU$3=0,"n.b.",INDEX(SRC_ZPMW03!$A$1:$ZZ$501,$A467,AU$3)))</f>
        <v/>
      </c>
      <c r="AV467" s="124" t="str">
        <f>IF($B467="","",IF(AV$3=0,"n.b.",INDEX(SRC_ZPMW03!$A$1:$ZZ$501,$A467,AV$3)))</f>
        <v/>
      </c>
      <c r="AW467" s="124" t="str">
        <f>IF($B467="","",IF(AW$3=0,"n.b.",INDEX(SRC_ZPMW03!$A$1:$ZZ$501,$A467,AW$3)))</f>
        <v/>
      </c>
      <c r="AX467" s="124" t="str">
        <f>IF($B467="","",IF(AX$3=0,"n.b.",INDEX(SRC_ZPMW03!$A$1:$ZZ$501,$A467,AX$3)))</f>
        <v/>
      </c>
      <c r="AY467" s="124" t="str">
        <f>IF($B467="","",IF(AY$3=0,"n.b.",INDEX(SRC_ZPMW03!$A$1:$ZZ$501,$A467,AY$3)))</f>
        <v/>
      </c>
      <c r="AZ467" s="124" t="str">
        <f>IF($B467="","",IF(AZ$3=0,"n.b.",INDEX(SRC_ZPMW03!$A$1:$ZZ$501,$A467,AZ$3)))</f>
        <v/>
      </c>
      <c r="BA467" s="124" t="str">
        <f>IF($B467="","",IF(BA$3=0,"n.b.",INDEX(SRC_ZPMW03!$A$1:$ZZ$501,$A467,BA$3)))</f>
        <v/>
      </c>
      <c r="BB467" s="124" t="str">
        <f>IF($B467="","",IF(BB$3=0,"n.b.",INDEX(SRC_ZPMW03!$A$1:$ZZ$501,$A467,BB$3)))</f>
        <v/>
      </c>
      <c r="BC467" s="124" t="str">
        <f>IF($B467="","",IF(BC$3=0,"n.b.",INDEX(SRC_ZPMW03!$A$1:$ZZ$501,$A467,BC$3)))</f>
        <v/>
      </c>
      <c r="BD467" s="124" t="str">
        <f>IF($B467="","",IF(BD$3=0,"n.b.",INDEX(SRC_ZPMW03!$A$1:$ZZ$501,$A467,BD$3)))</f>
        <v/>
      </c>
      <c r="BE467" s="124" t="str">
        <f>IF($B467="","",IF(BE$3=0,"n.b.",INDEX(SRC_ZPMW03!$A$1:$ZZ$501,$A467,BE$3)))</f>
        <v/>
      </c>
      <c r="BF467" s="124" t="str">
        <f>IF($B467="","",IF(BF$3=0,"n.b.",INDEX(SRC_ZPMW03!$A$1:$ZZ$501,$A467,BF$3)))</f>
        <v/>
      </c>
      <c r="BG467" t="str">
        <f>IF($B467="","",IF(BG$3=0,"n.b.",INDEX(SRC_ZPMW03!$A$1:$ZZ$501,$A467,BG$3)))</f>
        <v/>
      </c>
      <c r="BH467" t="str">
        <f>IF($B467="","",IF(BH$3=0,"n.b.",INDEX(SRC_ZPMW03!$A$1:$ZZ$501,$A467,BH$3)))</f>
        <v/>
      </c>
      <c r="BI467" t="str">
        <f>IF($B467="","",IF(BI$3=0,"n.b.",INDEX(SRC_ZPMW03!$A$1:$ZZ$501,$A467,BI$3)))</f>
        <v/>
      </c>
      <c r="BJ467" t="str">
        <f>IF($B467="","",IF(BJ$3=0,"n.b.",INDEX(SRC_ZPMW03!$A$1:$ZZ$501,$A467,BJ$3)))</f>
        <v/>
      </c>
      <c r="BK467" s="124" t="str">
        <f>IF($B467="","",IFERROR(-O467,"n.b."))</f>
        <v/>
      </c>
      <c r="BL467" s="124" t="str">
        <f>IF($B467="","",IFERROR(-Q467,"n.b."))</f>
        <v/>
      </c>
      <c r="BM467" s="124" t="str">
        <f>IF($B467="","",IFERROR(-AB467,"n.b."))</f>
        <v/>
      </c>
      <c r="BN467" s="124" t="str">
        <f>IF($B467="","",IFERROR(-AD467,"n.b."))</f>
        <v/>
      </c>
      <c r="BO467" s="124" t="str">
        <f>IF($B467="","",IFERROR(BK467+BM467,"n.b."))</f>
        <v/>
      </c>
      <c r="BP467" s="124" t="str">
        <f>IF($B467="","",IFERROR(BL467+BN467,"n.b."))</f>
        <v/>
      </c>
      <c r="BQ467" s="124" t="str">
        <f>IF($B467="","",IFERROR(-AM467,"n.b."))</f>
        <v/>
      </c>
      <c r="BR467" s="124" t="str">
        <f>IF($B467="","",IFERROR(-AO467,"n.b."))</f>
        <v/>
      </c>
      <c r="BS467" s="124" t="str">
        <f>IF($B467="","",IFERROR(-Z467,"n.b."))</f>
        <v/>
      </c>
      <c r="BT467" s="124" t="str">
        <f>IF($B467="","",IFERROR(-AA467,"n.b."))</f>
        <v/>
      </c>
      <c r="BU467" s="124" t="str">
        <f>IF($B467="","",IFERROR(-AE467,"n.b."))</f>
        <v/>
      </c>
      <c r="BV467" s="124" t="str">
        <f>IF($B467="","",IFERROR(-AF467,"n.b."))</f>
        <v/>
      </c>
      <c r="BW467" s="124" t="str">
        <f>IF($B467="","",IFERROR(-AG467,"n.b."))</f>
        <v/>
      </c>
      <c r="BX467" s="124" t="str">
        <f>IF($B467="","",IFERROR(-AH467,"n.b."))</f>
        <v/>
      </c>
      <c r="BY467" s="124" t="str">
        <f>IF($B467="","",IFERROR(-AI467,"n.b."))</f>
        <v/>
      </c>
      <c r="BZ467" s="124" t="str">
        <f>IF($B467="","",IFERROR(-AJ467,"n.b."))</f>
        <v/>
      </c>
      <c r="CA467" s="124" t="str">
        <f>IF($B467="","",IFERROR(-AK467,"n.b."))</f>
        <v/>
      </c>
      <c r="CB467" s="124" t="str">
        <f>IF($B467="","",IFERROR(-AL467,"n.b."))</f>
        <v/>
      </c>
      <c r="CC467" s="124" t="str">
        <f>IF($B467="","",IFERROR(-AP467,"n.b."))</f>
        <v/>
      </c>
      <c r="CD467" s="124" t="str">
        <f>IF($B467="","",IFERROR(-AQ467,"n.b."))</f>
        <v/>
      </c>
      <c r="CE467" s="124" t="str">
        <f>IF($B467="","",IFERROR(-AR467,"n.b."))</f>
        <v/>
      </c>
      <c r="CF467" s="124" t="str">
        <f>IF($B467="","",IFERROR(-AS467,"n.b."))</f>
        <v/>
      </c>
      <c r="CG467" s="124" t="str">
        <f>IF($B467="","",IFERROR(-AT467,"n.b."))</f>
        <v/>
      </c>
      <c r="CH467" s="124" t="str">
        <f>IF($B467="","",IFERROR(-AU467,"n.b."))</f>
        <v/>
      </c>
      <c r="CI467" s="124" t="str">
        <f>IF($B467="","",IFERROR(-AV467,"n.b."))</f>
        <v/>
      </c>
      <c r="CJ467" s="124" t="str">
        <f>IF($B467="","",IFERROR(-AW467,"n.b."))</f>
        <v/>
      </c>
      <c r="CK467" s="124" t="str">
        <f>IF($B467="","",IFERROR(-AX467,"n.b."))</f>
        <v/>
      </c>
      <c r="CL467" s="124" t="str">
        <f>IF($B467="","",IFERROR(-AY467,"n.b."))</f>
        <v/>
      </c>
      <c r="CM467" s="124" t="str">
        <f>IF($B467="","",IFERROR(-AZ467,"n.b."))</f>
        <v/>
      </c>
      <c r="CN467" s="124" t="str">
        <f>IF($B467="","",IFERROR(-BA467,"n.b."))</f>
        <v/>
      </c>
      <c r="CO467" s="124" t="str">
        <f>IF($B467="","",IFERROR(-BB467,"n.b."))</f>
        <v/>
      </c>
      <c r="CP467" s="124" t="str">
        <f>IF($B467="","",IFERROR(-BC467,"n.b."))</f>
        <v/>
      </c>
      <c r="CQ467" s="124" t="str">
        <f>IF($B467="","",IFERROR(-BD467,"n.b."))</f>
        <v/>
      </c>
      <c r="CR467" s="124" t="str">
        <f>IF($B467="","",IFERROR(-BE467,"n.b."))</f>
        <v/>
      </c>
      <c r="CS467" s="124" t="str">
        <f>IF($B467="","",IFERROR(IF(OR(ABS(T467+V467+X467+Z467-AB467)&gt;P_Tol,ABS(U467+W467+Y467+AA467-AD467)&gt;P_Tol,ABS(AE467+AG467+AI467+AK467-AM467)&gt;P_Tol,ABS(AF467+AH467+AJ467+AL467-AO467)&gt;P_Tol),1,0),1))</f>
        <v/>
      </c>
      <c r="CT467" s="124" t="str">
        <f>IF($B467="","",IFERROR(IF(OR(ABS(AB467+AC467-AD467)&gt;P_Tol,ABS(AM467+AN467-AO467)&gt;P_Tol,ABS(O467+P467-Q467)&gt;P_Tol),1,0),1))</f>
        <v/>
      </c>
      <c r="CU467" s="124" t="str">
        <f>IF($B467="","",IFERROR(IF(ABS(R467-(AB467+AM467+AP467+AR467+AT467+AV467+AX467+AZ467+BB467+BD467))&gt;P_Tol,1,0),1))</f>
        <v/>
      </c>
      <c r="CV467" s="124" t="str">
        <f>IF($B467="","",IFERROR(IF(ABS(M467-(N467+O467+R467))&gt;P_Tol,1,0),1))</f>
        <v/>
      </c>
      <c r="CW467" s="124" t="str">
        <f>IF($B467="","",IF(COUNTIF(Mapping!$A$5:$A$104,B467)&gt;0,1,0))</f>
        <v/>
      </c>
      <c r="CX467" s="124" t="str">
        <f>IF($B467="","",COUNTIF($B$6:$B$505,B467))</f>
        <v/>
      </c>
      <c r="CY467" s="124" t="str">
        <f>IF($B467="","",COUNTIF(STG_Woningetalage!$B$6:$B$505,B467))</f>
        <v/>
      </c>
      <c r="CZ467" s="124" t="str">
        <f>IF($B467="","",IF(CW467=0,COUNTIF($CW$6:CW467,0),""))</f>
        <v/>
      </c>
    </row>
    <row r="468">
      <c r="A468" s="15" t="n">
        <v>464</v>
      </c>
      <c r="B468" t="str">
        <f>IF(B$3=0,"",IF(INDEX(SRC_ZPMW03!$A$1:$ZZ$501,$A468,B$3)&amp;""="","",INDEX(SRC_ZPMW03!$A$1:$ZZ$501,$A468,B$3)&amp;""))</f>
        <v/>
      </c>
      <c r="C468" t="str">
        <f>IF($B468="","",IF(C$3=0,"n.b.",INDEX(SRC_ZPMW03!$A$1:$ZZ$501,$A468,C$3)))</f>
        <v/>
      </c>
      <c r="D468" t="str">
        <f>IF($B468="","",IF(D$3=0,"n.b.",INDEX(SRC_ZPMW03!$A$1:$ZZ$501,$A468,D$3)))</f>
        <v/>
      </c>
      <c r="E468" t="str">
        <f>IF($B468="","",IF(E$3=0,"n.b.",INDEX(SRC_ZPMW03!$A$1:$ZZ$501,$A468,E$3)))</f>
        <v/>
      </c>
      <c r="F468" t="str">
        <f>IF($B468="","",IF(F$3=0,"n.b.",INDEX(SRC_ZPMW03!$A$1:$ZZ$501,$A468,F$3)))</f>
        <v/>
      </c>
      <c r="G468" t="str">
        <f>IF($B468="","",IF(G$3=0,"n.b.",INDEX(SRC_ZPMW03!$A$1:$ZZ$501,$A468,G$3)))</f>
        <v/>
      </c>
      <c r="H468" t="str">
        <f>IF($B468="","",IF(H$3=0,"n.b.",INDEX(SRC_ZPMW03!$A$1:$ZZ$501,$A468,H$3)))</f>
        <v/>
      </c>
      <c r="I468" t="str">
        <f>IF($B468="","",IF(I$3=0,"n.b.",INDEX(SRC_ZPMW03!$A$1:$ZZ$501,$A468,I$3)))</f>
        <v/>
      </c>
      <c r="J468" t="str">
        <f>IF($B468="","",IF(J$3=0,"n.b.",INDEX(SRC_ZPMW03!$A$1:$ZZ$501,$A468,J$3)))</f>
        <v/>
      </c>
      <c r="K468" t="str">
        <f>IF($B468="","",IF(K$3=0,"n.b.",INDEX(SRC_ZPMW03!$A$1:$ZZ$501,$A468,K$3)))</f>
        <v/>
      </c>
      <c r="L468" s="124" t="str">
        <f>IF($B468="","",IF(L$3=0,"n.b.",INDEX(SRC_ZPMW03!$A$1:$ZZ$501,$A468,L$3)))</f>
        <v/>
      </c>
      <c r="M468" s="124" t="str">
        <f>IF($B468="","",IF(M$3=0,"n.b.",INDEX(SRC_ZPMW03!$A$1:$ZZ$501,$A468,M$3)))</f>
        <v/>
      </c>
      <c r="N468" s="124" t="str">
        <f>IF($B468="","",IF(N$3=0,"n.b.",INDEX(SRC_ZPMW03!$A$1:$ZZ$501,$A468,N$3)))</f>
        <v/>
      </c>
      <c r="O468" s="124" t="str">
        <f>IF($B468="","",IF(O$3=0,"n.b.",INDEX(SRC_ZPMW03!$A$1:$ZZ$501,$A468,O$3)))</f>
        <v/>
      </c>
      <c r="P468" s="124" t="str">
        <f>IF($B468="","",IF(P$3=0,"n.b.",INDEX(SRC_ZPMW03!$A$1:$ZZ$501,$A468,P$3)))</f>
        <v/>
      </c>
      <c r="Q468" s="124" t="str">
        <f>IF($B468="","",IF(Q$3=0,"n.b.",INDEX(SRC_ZPMW03!$A$1:$ZZ$501,$A468,Q$3)))</f>
        <v/>
      </c>
      <c r="R468" s="124" t="str">
        <f>IF($B468="","",IF(R$3=0,"n.b.",INDEX(SRC_ZPMW03!$A$1:$ZZ$501,$A468,R$3)))</f>
        <v/>
      </c>
      <c r="S468" s="124" t="str">
        <f>IF($B468="","",IF(S$3=0,"n.b.",INDEX(SRC_ZPMW03!$A$1:$ZZ$501,$A468,S$3)))</f>
        <v/>
      </c>
      <c r="T468" s="124" t="str">
        <f>IF($B468="","",IF(T$3=0,"n.b.",INDEX(SRC_ZPMW03!$A$1:$ZZ$501,$A468,T$3)))</f>
        <v/>
      </c>
      <c r="U468" s="124" t="str">
        <f>IF($B468="","",IF(U$3=0,"n.b.",INDEX(SRC_ZPMW03!$A$1:$ZZ$501,$A468,U$3)))</f>
        <v/>
      </c>
      <c r="V468" s="124" t="str">
        <f>IF($B468="","",IF(V$3=0,"n.b.",INDEX(SRC_ZPMW03!$A$1:$ZZ$501,$A468,V$3)))</f>
        <v/>
      </c>
      <c r="W468" s="124" t="str">
        <f>IF($B468="","",IF(W$3=0,"n.b.",INDEX(SRC_ZPMW03!$A$1:$ZZ$501,$A468,W$3)))</f>
        <v/>
      </c>
      <c r="X468" s="124" t="str">
        <f>IF($B468="","",IF(X$3=0,"n.b.",INDEX(SRC_ZPMW03!$A$1:$ZZ$501,$A468,X$3)))</f>
        <v/>
      </c>
      <c r="Y468" s="124" t="str">
        <f>IF($B468="","",IF(Y$3=0,"n.b.",INDEX(SRC_ZPMW03!$A$1:$ZZ$501,$A468,Y$3)))</f>
        <v/>
      </c>
      <c r="Z468" s="124" t="str">
        <f>IF($B468="","",IF(Z$3=0,"n.b.",INDEX(SRC_ZPMW03!$A$1:$ZZ$501,$A468,Z$3)))</f>
        <v/>
      </c>
      <c r="AA468" s="124" t="str">
        <f>IF($B468="","",IF(AA$3=0,"n.b.",INDEX(SRC_ZPMW03!$A$1:$ZZ$501,$A468,AA$3)))</f>
        <v/>
      </c>
      <c r="AB468" s="124" t="str">
        <f>IF($B468="","",IF(AB$3=0,"n.b.",INDEX(SRC_ZPMW03!$A$1:$ZZ$501,$A468,AB$3)))</f>
        <v/>
      </c>
      <c r="AC468" s="124" t="str">
        <f>IF($B468="","",IF(AC$3=0,"n.b.",INDEX(SRC_ZPMW03!$A$1:$ZZ$501,$A468,AC$3)))</f>
        <v/>
      </c>
      <c r="AD468" s="124" t="str">
        <f>IF($B468="","",IF(AD$3=0,"n.b.",INDEX(SRC_ZPMW03!$A$1:$ZZ$501,$A468,AD$3)))</f>
        <v/>
      </c>
      <c r="AE468" s="124" t="str">
        <f>IF($B468="","",IF(AE$3=0,"n.b.",INDEX(SRC_ZPMW03!$A$1:$ZZ$501,$A468,AE$3)))</f>
        <v/>
      </c>
      <c r="AF468" s="124" t="str">
        <f>IF($B468="","",IF(AF$3=0,"n.b.",INDEX(SRC_ZPMW03!$A$1:$ZZ$501,$A468,AF$3)))</f>
        <v/>
      </c>
      <c r="AG468" s="124" t="str">
        <f>IF($B468="","",IF(AG$3=0,"n.b.",INDEX(SRC_ZPMW03!$A$1:$ZZ$501,$A468,AG$3)))</f>
        <v/>
      </c>
      <c r="AH468" s="124" t="str">
        <f>IF($B468="","",IF(AH$3=0,"n.b.",INDEX(SRC_ZPMW03!$A$1:$ZZ$501,$A468,AH$3)))</f>
        <v/>
      </c>
      <c r="AI468" s="124" t="str">
        <f>IF($B468="","",IF(AI$3=0,"n.b.",INDEX(SRC_ZPMW03!$A$1:$ZZ$501,$A468,AI$3)))</f>
        <v/>
      </c>
      <c r="AJ468" s="124" t="str">
        <f>IF($B468="","",IF(AJ$3=0,"n.b.",INDEX(SRC_ZPMW03!$A$1:$ZZ$501,$A468,AJ$3)))</f>
        <v/>
      </c>
      <c r="AK468" s="124" t="str">
        <f>IF($B468="","",IF(AK$3=0,"n.b.",INDEX(SRC_ZPMW03!$A$1:$ZZ$501,$A468,AK$3)))</f>
        <v/>
      </c>
      <c r="AL468" s="124" t="str">
        <f>IF($B468="","",IF(AL$3=0,"n.b.",INDEX(SRC_ZPMW03!$A$1:$ZZ$501,$A468,AL$3)))</f>
        <v/>
      </c>
      <c r="AM468" s="124" t="str">
        <f>IF($B468="","",IF(AM$3=0,"n.b.",INDEX(SRC_ZPMW03!$A$1:$ZZ$501,$A468,AM$3)))</f>
        <v/>
      </c>
      <c r="AN468" s="124" t="str">
        <f>IF($B468="","",IF(AN$3=0,"n.b.",INDEX(SRC_ZPMW03!$A$1:$ZZ$501,$A468,AN$3)))</f>
        <v/>
      </c>
      <c r="AO468" s="124" t="str">
        <f>IF($B468="","",IF(AO$3=0,"n.b.",INDEX(SRC_ZPMW03!$A$1:$ZZ$501,$A468,AO$3)))</f>
        <v/>
      </c>
      <c r="AP468" s="124" t="str">
        <f>IF($B468="","",IF(AP$3=0,"n.b.",INDEX(SRC_ZPMW03!$A$1:$ZZ$501,$A468,AP$3)))</f>
        <v/>
      </c>
      <c r="AQ468" s="124" t="str">
        <f>IF($B468="","",IF(AQ$3=0,"n.b.",INDEX(SRC_ZPMW03!$A$1:$ZZ$501,$A468,AQ$3)))</f>
        <v/>
      </c>
      <c r="AR468" s="124" t="str">
        <f>IF($B468="","",IF(AR$3=0,"n.b.",INDEX(SRC_ZPMW03!$A$1:$ZZ$501,$A468,AR$3)))</f>
        <v/>
      </c>
      <c r="AS468" s="124" t="str">
        <f>IF($B468="","",IF(AS$3=0,"n.b.",INDEX(SRC_ZPMW03!$A$1:$ZZ$501,$A468,AS$3)))</f>
        <v/>
      </c>
      <c r="AT468" s="124" t="str">
        <f>IF($B468="","",IF(AT$3=0,"n.b.",INDEX(SRC_ZPMW03!$A$1:$ZZ$501,$A468,AT$3)))</f>
        <v/>
      </c>
      <c r="AU468" s="124" t="str">
        <f>IF($B468="","",IF(AU$3=0,"n.b.",INDEX(SRC_ZPMW03!$A$1:$ZZ$501,$A468,AU$3)))</f>
        <v/>
      </c>
      <c r="AV468" s="124" t="str">
        <f>IF($B468="","",IF(AV$3=0,"n.b.",INDEX(SRC_ZPMW03!$A$1:$ZZ$501,$A468,AV$3)))</f>
        <v/>
      </c>
      <c r="AW468" s="124" t="str">
        <f>IF($B468="","",IF(AW$3=0,"n.b.",INDEX(SRC_ZPMW03!$A$1:$ZZ$501,$A468,AW$3)))</f>
        <v/>
      </c>
      <c r="AX468" s="124" t="str">
        <f>IF($B468="","",IF(AX$3=0,"n.b.",INDEX(SRC_ZPMW03!$A$1:$ZZ$501,$A468,AX$3)))</f>
        <v/>
      </c>
      <c r="AY468" s="124" t="str">
        <f>IF($B468="","",IF(AY$3=0,"n.b.",INDEX(SRC_ZPMW03!$A$1:$ZZ$501,$A468,AY$3)))</f>
        <v/>
      </c>
      <c r="AZ468" s="124" t="str">
        <f>IF($B468="","",IF(AZ$3=0,"n.b.",INDEX(SRC_ZPMW03!$A$1:$ZZ$501,$A468,AZ$3)))</f>
        <v/>
      </c>
      <c r="BA468" s="124" t="str">
        <f>IF($B468="","",IF(BA$3=0,"n.b.",INDEX(SRC_ZPMW03!$A$1:$ZZ$501,$A468,BA$3)))</f>
        <v/>
      </c>
      <c r="BB468" s="124" t="str">
        <f>IF($B468="","",IF(BB$3=0,"n.b.",INDEX(SRC_ZPMW03!$A$1:$ZZ$501,$A468,BB$3)))</f>
        <v/>
      </c>
      <c r="BC468" s="124" t="str">
        <f>IF($B468="","",IF(BC$3=0,"n.b.",INDEX(SRC_ZPMW03!$A$1:$ZZ$501,$A468,BC$3)))</f>
        <v/>
      </c>
      <c r="BD468" s="124" t="str">
        <f>IF($B468="","",IF(BD$3=0,"n.b.",INDEX(SRC_ZPMW03!$A$1:$ZZ$501,$A468,BD$3)))</f>
        <v/>
      </c>
      <c r="BE468" s="124" t="str">
        <f>IF($B468="","",IF(BE$3=0,"n.b.",INDEX(SRC_ZPMW03!$A$1:$ZZ$501,$A468,BE$3)))</f>
        <v/>
      </c>
      <c r="BF468" s="124" t="str">
        <f>IF($B468="","",IF(BF$3=0,"n.b.",INDEX(SRC_ZPMW03!$A$1:$ZZ$501,$A468,BF$3)))</f>
        <v/>
      </c>
      <c r="BG468" t="str">
        <f>IF($B468="","",IF(BG$3=0,"n.b.",INDEX(SRC_ZPMW03!$A$1:$ZZ$501,$A468,BG$3)))</f>
        <v/>
      </c>
      <c r="BH468" t="str">
        <f>IF($B468="","",IF(BH$3=0,"n.b.",INDEX(SRC_ZPMW03!$A$1:$ZZ$501,$A468,BH$3)))</f>
        <v/>
      </c>
      <c r="BI468" t="str">
        <f>IF($B468="","",IF(BI$3=0,"n.b.",INDEX(SRC_ZPMW03!$A$1:$ZZ$501,$A468,BI$3)))</f>
        <v/>
      </c>
      <c r="BJ468" t="str">
        <f>IF($B468="","",IF(BJ$3=0,"n.b.",INDEX(SRC_ZPMW03!$A$1:$ZZ$501,$A468,BJ$3)))</f>
        <v/>
      </c>
      <c r="BK468" s="124" t="str">
        <f>IF($B468="","",IFERROR(-O468,"n.b."))</f>
        <v/>
      </c>
      <c r="BL468" s="124" t="str">
        <f>IF($B468="","",IFERROR(-Q468,"n.b."))</f>
        <v/>
      </c>
      <c r="BM468" s="124" t="str">
        <f>IF($B468="","",IFERROR(-AB468,"n.b."))</f>
        <v/>
      </c>
      <c r="BN468" s="124" t="str">
        <f>IF($B468="","",IFERROR(-AD468,"n.b."))</f>
        <v/>
      </c>
      <c r="BO468" s="124" t="str">
        <f>IF($B468="","",IFERROR(BK468+BM468,"n.b."))</f>
        <v/>
      </c>
      <c r="BP468" s="124" t="str">
        <f>IF($B468="","",IFERROR(BL468+BN468,"n.b."))</f>
        <v/>
      </c>
      <c r="BQ468" s="124" t="str">
        <f>IF($B468="","",IFERROR(-AM468,"n.b."))</f>
        <v/>
      </c>
      <c r="BR468" s="124" t="str">
        <f>IF($B468="","",IFERROR(-AO468,"n.b."))</f>
        <v/>
      </c>
      <c r="BS468" s="124" t="str">
        <f>IF($B468="","",IFERROR(-Z468,"n.b."))</f>
        <v/>
      </c>
      <c r="BT468" s="124" t="str">
        <f>IF($B468="","",IFERROR(-AA468,"n.b."))</f>
        <v/>
      </c>
      <c r="BU468" s="124" t="str">
        <f>IF($B468="","",IFERROR(-AE468,"n.b."))</f>
        <v/>
      </c>
      <c r="BV468" s="124" t="str">
        <f>IF($B468="","",IFERROR(-AF468,"n.b."))</f>
        <v/>
      </c>
      <c r="BW468" s="124" t="str">
        <f>IF($B468="","",IFERROR(-AG468,"n.b."))</f>
        <v/>
      </c>
      <c r="BX468" s="124" t="str">
        <f>IF($B468="","",IFERROR(-AH468,"n.b."))</f>
        <v/>
      </c>
      <c r="BY468" s="124" t="str">
        <f>IF($B468="","",IFERROR(-AI468,"n.b."))</f>
        <v/>
      </c>
      <c r="BZ468" s="124" t="str">
        <f>IF($B468="","",IFERROR(-AJ468,"n.b."))</f>
        <v/>
      </c>
      <c r="CA468" s="124" t="str">
        <f>IF($B468="","",IFERROR(-AK468,"n.b."))</f>
        <v/>
      </c>
      <c r="CB468" s="124" t="str">
        <f>IF($B468="","",IFERROR(-AL468,"n.b."))</f>
        <v/>
      </c>
      <c r="CC468" s="124" t="str">
        <f>IF($B468="","",IFERROR(-AP468,"n.b."))</f>
        <v/>
      </c>
      <c r="CD468" s="124" t="str">
        <f>IF($B468="","",IFERROR(-AQ468,"n.b."))</f>
        <v/>
      </c>
      <c r="CE468" s="124" t="str">
        <f>IF($B468="","",IFERROR(-AR468,"n.b."))</f>
        <v/>
      </c>
      <c r="CF468" s="124" t="str">
        <f>IF($B468="","",IFERROR(-AS468,"n.b."))</f>
        <v/>
      </c>
      <c r="CG468" s="124" t="str">
        <f>IF($B468="","",IFERROR(-AT468,"n.b."))</f>
        <v/>
      </c>
      <c r="CH468" s="124" t="str">
        <f>IF($B468="","",IFERROR(-AU468,"n.b."))</f>
        <v/>
      </c>
      <c r="CI468" s="124" t="str">
        <f>IF($B468="","",IFERROR(-AV468,"n.b."))</f>
        <v/>
      </c>
      <c r="CJ468" s="124" t="str">
        <f>IF($B468="","",IFERROR(-AW468,"n.b."))</f>
        <v/>
      </c>
      <c r="CK468" s="124" t="str">
        <f>IF($B468="","",IFERROR(-AX468,"n.b."))</f>
        <v/>
      </c>
      <c r="CL468" s="124" t="str">
        <f>IF($B468="","",IFERROR(-AY468,"n.b."))</f>
        <v/>
      </c>
      <c r="CM468" s="124" t="str">
        <f>IF($B468="","",IFERROR(-AZ468,"n.b."))</f>
        <v/>
      </c>
      <c r="CN468" s="124" t="str">
        <f>IF($B468="","",IFERROR(-BA468,"n.b."))</f>
        <v/>
      </c>
      <c r="CO468" s="124" t="str">
        <f>IF($B468="","",IFERROR(-BB468,"n.b."))</f>
        <v/>
      </c>
      <c r="CP468" s="124" t="str">
        <f>IF($B468="","",IFERROR(-BC468,"n.b."))</f>
        <v/>
      </c>
      <c r="CQ468" s="124" t="str">
        <f>IF($B468="","",IFERROR(-BD468,"n.b."))</f>
        <v/>
      </c>
      <c r="CR468" s="124" t="str">
        <f>IF($B468="","",IFERROR(-BE468,"n.b."))</f>
        <v/>
      </c>
      <c r="CS468" s="124" t="str">
        <f>IF($B468="","",IFERROR(IF(OR(ABS(T468+V468+X468+Z468-AB468)&gt;P_Tol,ABS(U468+W468+Y468+AA468-AD468)&gt;P_Tol,ABS(AE468+AG468+AI468+AK468-AM468)&gt;P_Tol,ABS(AF468+AH468+AJ468+AL468-AO468)&gt;P_Tol),1,0),1))</f>
        <v/>
      </c>
      <c r="CT468" s="124" t="str">
        <f>IF($B468="","",IFERROR(IF(OR(ABS(AB468+AC468-AD468)&gt;P_Tol,ABS(AM468+AN468-AO468)&gt;P_Tol,ABS(O468+P468-Q468)&gt;P_Tol),1,0),1))</f>
        <v/>
      </c>
      <c r="CU468" s="124" t="str">
        <f>IF($B468="","",IFERROR(IF(ABS(R468-(AB468+AM468+AP468+AR468+AT468+AV468+AX468+AZ468+BB468+BD468))&gt;P_Tol,1,0),1))</f>
        <v/>
      </c>
      <c r="CV468" s="124" t="str">
        <f>IF($B468="","",IFERROR(IF(ABS(M468-(N468+O468+R468))&gt;P_Tol,1,0),1))</f>
        <v/>
      </c>
      <c r="CW468" s="124" t="str">
        <f>IF($B468="","",IF(COUNTIF(Mapping!$A$5:$A$104,B468)&gt;0,1,0))</f>
        <v/>
      </c>
      <c r="CX468" s="124" t="str">
        <f>IF($B468="","",COUNTIF($B$6:$B$505,B468))</f>
        <v/>
      </c>
      <c r="CY468" s="124" t="str">
        <f>IF($B468="","",COUNTIF(STG_Woningetalage!$B$6:$B$505,B468))</f>
        <v/>
      </c>
      <c r="CZ468" s="124" t="str">
        <f>IF($B468="","",IF(CW468=0,COUNTIF($CW$6:CW468,0),""))</f>
        <v/>
      </c>
    </row>
    <row r="469">
      <c r="A469" s="15" t="n">
        <v>465</v>
      </c>
      <c r="B469" t="str">
        <f>IF(B$3=0,"",IF(INDEX(SRC_ZPMW03!$A$1:$ZZ$501,$A469,B$3)&amp;""="","",INDEX(SRC_ZPMW03!$A$1:$ZZ$501,$A469,B$3)&amp;""))</f>
        <v/>
      </c>
      <c r="C469" t="str">
        <f>IF($B469="","",IF(C$3=0,"n.b.",INDEX(SRC_ZPMW03!$A$1:$ZZ$501,$A469,C$3)))</f>
        <v/>
      </c>
      <c r="D469" t="str">
        <f>IF($B469="","",IF(D$3=0,"n.b.",INDEX(SRC_ZPMW03!$A$1:$ZZ$501,$A469,D$3)))</f>
        <v/>
      </c>
      <c r="E469" t="str">
        <f>IF($B469="","",IF(E$3=0,"n.b.",INDEX(SRC_ZPMW03!$A$1:$ZZ$501,$A469,E$3)))</f>
        <v/>
      </c>
      <c r="F469" t="str">
        <f>IF($B469="","",IF(F$3=0,"n.b.",INDEX(SRC_ZPMW03!$A$1:$ZZ$501,$A469,F$3)))</f>
        <v/>
      </c>
      <c r="G469" t="str">
        <f>IF($B469="","",IF(G$3=0,"n.b.",INDEX(SRC_ZPMW03!$A$1:$ZZ$501,$A469,G$3)))</f>
        <v/>
      </c>
      <c r="H469" t="str">
        <f>IF($B469="","",IF(H$3=0,"n.b.",INDEX(SRC_ZPMW03!$A$1:$ZZ$501,$A469,H$3)))</f>
        <v/>
      </c>
      <c r="I469" t="str">
        <f>IF($B469="","",IF(I$3=0,"n.b.",INDEX(SRC_ZPMW03!$A$1:$ZZ$501,$A469,I$3)))</f>
        <v/>
      </c>
      <c r="J469" t="str">
        <f>IF($B469="","",IF(J$3=0,"n.b.",INDEX(SRC_ZPMW03!$A$1:$ZZ$501,$A469,J$3)))</f>
        <v/>
      </c>
      <c r="K469" t="str">
        <f>IF($B469="","",IF(K$3=0,"n.b.",INDEX(SRC_ZPMW03!$A$1:$ZZ$501,$A469,K$3)))</f>
        <v/>
      </c>
      <c r="L469" s="124" t="str">
        <f>IF($B469="","",IF(L$3=0,"n.b.",INDEX(SRC_ZPMW03!$A$1:$ZZ$501,$A469,L$3)))</f>
        <v/>
      </c>
      <c r="M469" s="124" t="str">
        <f>IF($B469="","",IF(M$3=0,"n.b.",INDEX(SRC_ZPMW03!$A$1:$ZZ$501,$A469,M$3)))</f>
        <v/>
      </c>
      <c r="N469" s="124" t="str">
        <f>IF($B469="","",IF(N$3=0,"n.b.",INDEX(SRC_ZPMW03!$A$1:$ZZ$501,$A469,N$3)))</f>
        <v/>
      </c>
      <c r="O469" s="124" t="str">
        <f>IF($B469="","",IF(O$3=0,"n.b.",INDEX(SRC_ZPMW03!$A$1:$ZZ$501,$A469,O$3)))</f>
        <v/>
      </c>
      <c r="P469" s="124" t="str">
        <f>IF($B469="","",IF(P$3=0,"n.b.",INDEX(SRC_ZPMW03!$A$1:$ZZ$501,$A469,P$3)))</f>
        <v/>
      </c>
      <c r="Q469" s="124" t="str">
        <f>IF($B469="","",IF(Q$3=0,"n.b.",INDEX(SRC_ZPMW03!$A$1:$ZZ$501,$A469,Q$3)))</f>
        <v/>
      </c>
      <c r="R469" s="124" t="str">
        <f>IF($B469="","",IF(R$3=0,"n.b.",INDEX(SRC_ZPMW03!$A$1:$ZZ$501,$A469,R$3)))</f>
        <v/>
      </c>
      <c r="S469" s="124" t="str">
        <f>IF($B469="","",IF(S$3=0,"n.b.",INDEX(SRC_ZPMW03!$A$1:$ZZ$501,$A469,S$3)))</f>
        <v/>
      </c>
      <c r="T469" s="124" t="str">
        <f>IF($B469="","",IF(T$3=0,"n.b.",INDEX(SRC_ZPMW03!$A$1:$ZZ$501,$A469,T$3)))</f>
        <v/>
      </c>
      <c r="U469" s="124" t="str">
        <f>IF($B469="","",IF(U$3=0,"n.b.",INDEX(SRC_ZPMW03!$A$1:$ZZ$501,$A469,U$3)))</f>
        <v/>
      </c>
      <c r="V469" s="124" t="str">
        <f>IF($B469="","",IF(V$3=0,"n.b.",INDEX(SRC_ZPMW03!$A$1:$ZZ$501,$A469,V$3)))</f>
        <v/>
      </c>
      <c r="W469" s="124" t="str">
        <f>IF($B469="","",IF(W$3=0,"n.b.",INDEX(SRC_ZPMW03!$A$1:$ZZ$501,$A469,W$3)))</f>
        <v/>
      </c>
      <c r="X469" s="124" t="str">
        <f>IF($B469="","",IF(X$3=0,"n.b.",INDEX(SRC_ZPMW03!$A$1:$ZZ$501,$A469,X$3)))</f>
        <v/>
      </c>
      <c r="Y469" s="124" t="str">
        <f>IF($B469="","",IF(Y$3=0,"n.b.",INDEX(SRC_ZPMW03!$A$1:$ZZ$501,$A469,Y$3)))</f>
        <v/>
      </c>
      <c r="Z469" s="124" t="str">
        <f>IF($B469="","",IF(Z$3=0,"n.b.",INDEX(SRC_ZPMW03!$A$1:$ZZ$501,$A469,Z$3)))</f>
        <v/>
      </c>
      <c r="AA469" s="124" t="str">
        <f>IF($B469="","",IF(AA$3=0,"n.b.",INDEX(SRC_ZPMW03!$A$1:$ZZ$501,$A469,AA$3)))</f>
        <v/>
      </c>
      <c r="AB469" s="124" t="str">
        <f>IF($B469="","",IF(AB$3=0,"n.b.",INDEX(SRC_ZPMW03!$A$1:$ZZ$501,$A469,AB$3)))</f>
        <v/>
      </c>
      <c r="AC469" s="124" t="str">
        <f>IF($B469="","",IF(AC$3=0,"n.b.",INDEX(SRC_ZPMW03!$A$1:$ZZ$501,$A469,AC$3)))</f>
        <v/>
      </c>
      <c r="AD469" s="124" t="str">
        <f>IF($B469="","",IF(AD$3=0,"n.b.",INDEX(SRC_ZPMW03!$A$1:$ZZ$501,$A469,AD$3)))</f>
        <v/>
      </c>
      <c r="AE469" s="124" t="str">
        <f>IF($B469="","",IF(AE$3=0,"n.b.",INDEX(SRC_ZPMW03!$A$1:$ZZ$501,$A469,AE$3)))</f>
        <v/>
      </c>
      <c r="AF469" s="124" t="str">
        <f>IF($B469="","",IF(AF$3=0,"n.b.",INDEX(SRC_ZPMW03!$A$1:$ZZ$501,$A469,AF$3)))</f>
        <v/>
      </c>
      <c r="AG469" s="124" t="str">
        <f>IF($B469="","",IF(AG$3=0,"n.b.",INDEX(SRC_ZPMW03!$A$1:$ZZ$501,$A469,AG$3)))</f>
        <v/>
      </c>
      <c r="AH469" s="124" t="str">
        <f>IF($B469="","",IF(AH$3=0,"n.b.",INDEX(SRC_ZPMW03!$A$1:$ZZ$501,$A469,AH$3)))</f>
        <v/>
      </c>
      <c r="AI469" s="124" t="str">
        <f>IF($B469="","",IF(AI$3=0,"n.b.",INDEX(SRC_ZPMW03!$A$1:$ZZ$501,$A469,AI$3)))</f>
        <v/>
      </c>
      <c r="AJ469" s="124" t="str">
        <f>IF($B469="","",IF(AJ$3=0,"n.b.",INDEX(SRC_ZPMW03!$A$1:$ZZ$501,$A469,AJ$3)))</f>
        <v/>
      </c>
      <c r="AK469" s="124" t="str">
        <f>IF($B469="","",IF(AK$3=0,"n.b.",INDEX(SRC_ZPMW03!$A$1:$ZZ$501,$A469,AK$3)))</f>
        <v/>
      </c>
      <c r="AL469" s="124" t="str">
        <f>IF($B469="","",IF(AL$3=0,"n.b.",INDEX(SRC_ZPMW03!$A$1:$ZZ$501,$A469,AL$3)))</f>
        <v/>
      </c>
      <c r="AM469" s="124" t="str">
        <f>IF($B469="","",IF(AM$3=0,"n.b.",INDEX(SRC_ZPMW03!$A$1:$ZZ$501,$A469,AM$3)))</f>
        <v/>
      </c>
      <c r="AN469" s="124" t="str">
        <f>IF($B469="","",IF(AN$3=0,"n.b.",INDEX(SRC_ZPMW03!$A$1:$ZZ$501,$A469,AN$3)))</f>
        <v/>
      </c>
      <c r="AO469" s="124" t="str">
        <f>IF($B469="","",IF(AO$3=0,"n.b.",INDEX(SRC_ZPMW03!$A$1:$ZZ$501,$A469,AO$3)))</f>
        <v/>
      </c>
      <c r="AP469" s="124" t="str">
        <f>IF($B469="","",IF(AP$3=0,"n.b.",INDEX(SRC_ZPMW03!$A$1:$ZZ$501,$A469,AP$3)))</f>
        <v/>
      </c>
      <c r="AQ469" s="124" t="str">
        <f>IF($B469="","",IF(AQ$3=0,"n.b.",INDEX(SRC_ZPMW03!$A$1:$ZZ$501,$A469,AQ$3)))</f>
        <v/>
      </c>
      <c r="AR469" s="124" t="str">
        <f>IF($B469="","",IF(AR$3=0,"n.b.",INDEX(SRC_ZPMW03!$A$1:$ZZ$501,$A469,AR$3)))</f>
        <v/>
      </c>
      <c r="AS469" s="124" t="str">
        <f>IF($B469="","",IF(AS$3=0,"n.b.",INDEX(SRC_ZPMW03!$A$1:$ZZ$501,$A469,AS$3)))</f>
        <v/>
      </c>
      <c r="AT469" s="124" t="str">
        <f>IF($B469="","",IF(AT$3=0,"n.b.",INDEX(SRC_ZPMW03!$A$1:$ZZ$501,$A469,AT$3)))</f>
        <v/>
      </c>
      <c r="AU469" s="124" t="str">
        <f>IF($B469="","",IF(AU$3=0,"n.b.",INDEX(SRC_ZPMW03!$A$1:$ZZ$501,$A469,AU$3)))</f>
        <v/>
      </c>
      <c r="AV469" s="124" t="str">
        <f>IF($B469="","",IF(AV$3=0,"n.b.",INDEX(SRC_ZPMW03!$A$1:$ZZ$501,$A469,AV$3)))</f>
        <v/>
      </c>
      <c r="AW469" s="124" t="str">
        <f>IF($B469="","",IF(AW$3=0,"n.b.",INDEX(SRC_ZPMW03!$A$1:$ZZ$501,$A469,AW$3)))</f>
        <v/>
      </c>
      <c r="AX469" s="124" t="str">
        <f>IF($B469="","",IF(AX$3=0,"n.b.",INDEX(SRC_ZPMW03!$A$1:$ZZ$501,$A469,AX$3)))</f>
        <v/>
      </c>
      <c r="AY469" s="124" t="str">
        <f>IF($B469="","",IF(AY$3=0,"n.b.",INDEX(SRC_ZPMW03!$A$1:$ZZ$501,$A469,AY$3)))</f>
        <v/>
      </c>
      <c r="AZ469" s="124" t="str">
        <f>IF($B469="","",IF(AZ$3=0,"n.b.",INDEX(SRC_ZPMW03!$A$1:$ZZ$501,$A469,AZ$3)))</f>
        <v/>
      </c>
      <c r="BA469" s="124" t="str">
        <f>IF($B469="","",IF(BA$3=0,"n.b.",INDEX(SRC_ZPMW03!$A$1:$ZZ$501,$A469,BA$3)))</f>
        <v/>
      </c>
      <c r="BB469" s="124" t="str">
        <f>IF($B469="","",IF(BB$3=0,"n.b.",INDEX(SRC_ZPMW03!$A$1:$ZZ$501,$A469,BB$3)))</f>
        <v/>
      </c>
      <c r="BC469" s="124" t="str">
        <f>IF($B469="","",IF(BC$3=0,"n.b.",INDEX(SRC_ZPMW03!$A$1:$ZZ$501,$A469,BC$3)))</f>
        <v/>
      </c>
      <c r="BD469" s="124" t="str">
        <f>IF($B469="","",IF(BD$3=0,"n.b.",INDEX(SRC_ZPMW03!$A$1:$ZZ$501,$A469,BD$3)))</f>
        <v/>
      </c>
      <c r="BE469" s="124" t="str">
        <f>IF($B469="","",IF(BE$3=0,"n.b.",INDEX(SRC_ZPMW03!$A$1:$ZZ$501,$A469,BE$3)))</f>
        <v/>
      </c>
      <c r="BF469" s="124" t="str">
        <f>IF($B469="","",IF(BF$3=0,"n.b.",INDEX(SRC_ZPMW03!$A$1:$ZZ$501,$A469,BF$3)))</f>
        <v/>
      </c>
      <c r="BG469" t="str">
        <f>IF($B469="","",IF(BG$3=0,"n.b.",INDEX(SRC_ZPMW03!$A$1:$ZZ$501,$A469,BG$3)))</f>
        <v/>
      </c>
      <c r="BH469" t="str">
        <f>IF($B469="","",IF(BH$3=0,"n.b.",INDEX(SRC_ZPMW03!$A$1:$ZZ$501,$A469,BH$3)))</f>
        <v/>
      </c>
      <c r="BI469" t="str">
        <f>IF($B469="","",IF(BI$3=0,"n.b.",INDEX(SRC_ZPMW03!$A$1:$ZZ$501,$A469,BI$3)))</f>
        <v/>
      </c>
      <c r="BJ469" t="str">
        <f>IF($B469="","",IF(BJ$3=0,"n.b.",INDEX(SRC_ZPMW03!$A$1:$ZZ$501,$A469,BJ$3)))</f>
        <v/>
      </c>
      <c r="BK469" s="124" t="str">
        <f>IF($B469="","",IFERROR(-O469,"n.b."))</f>
        <v/>
      </c>
      <c r="BL469" s="124" t="str">
        <f>IF($B469="","",IFERROR(-Q469,"n.b."))</f>
        <v/>
      </c>
      <c r="BM469" s="124" t="str">
        <f>IF($B469="","",IFERROR(-AB469,"n.b."))</f>
        <v/>
      </c>
      <c r="BN469" s="124" t="str">
        <f>IF($B469="","",IFERROR(-AD469,"n.b."))</f>
        <v/>
      </c>
      <c r="BO469" s="124" t="str">
        <f>IF($B469="","",IFERROR(BK469+BM469,"n.b."))</f>
        <v/>
      </c>
      <c r="BP469" s="124" t="str">
        <f>IF($B469="","",IFERROR(BL469+BN469,"n.b."))</f>
        <v/>
      </c>
      <c r="BQ469" s="124" t="str">
        <f>IF($B469="","",IFERROR(-AM469,"n.b."))</f>
        <v/>
      </c>
      <c r="BR469" s="124" t="str">
        <f>IF($B469="","",IFERROR(-AO469,"n.b."))</f>
        <v/>
      </c>
      <c r="BS469" s="124" t="str">
        <f>IF($B469="","",IFERROR(-Z469,"n.b."))</f>
        <v/>
      </c>
      <c r="BT469" s="124" t="str">
        <f>IF($B469="","",IFERROR(-AA469,"n.b."))</f>
        <v/>
      </c>
      <c r="BU469" s="124" t="str">
        <f>IF($B469="","",IFERROR(-AE469,"n.b."))</f>
        <v/>
      </c>
      <c r="BV469" s="124" t="str">
        <f>IF($B469="","",IFERROR(-AF469,"n.b."))</f>
        <v/>
      </c>
      <c r="BW469" s="124" t="str">
        <f>IF($B469="","",IFERROR(-AG469,"n.b."))</f>
        <v/>
      </c>
      <c r="BX469" s="124" t="str">
        <f>IF($B469="","",IFERROR(-AH469,"n.b."))</f>
        <v/>
      </c>
      <c r="BY469" s="124" t="str">
        <f>IF($B469="","",IFERROR(-AI469,"n.b."))</f>
        <v/>
      </c>
      <c r="BZ469" s="124" t="str">
        <f>IF($B469="","",IFERROR(-AJ469,"n.b."))</f>
        <v/>
      </c>
      <c r="CA469" s="124" t="str">
        <f>IF($B469="","",IFERROR(-AK469,"n.b."))</f>
        <v/>
      </c>
      <c r="CB469" s="124" t="str">
        <f>IF($B469="","",IFERROR(-AL469,"n.b."))</f>
        <v/>
      </c>
      <c r="CC469" s="124" t="str">
        <f>IF($B469="","",IFERROR(-AP469,"n.b."))</f>
        <v/>
      </c>
      <c r="CD469" s="124" t="str">
        <f>IF($B469="","",IFERROR(-AQ469,"n.b."))</f>
        <v/>
      </c>
      <c r="CE469" s="124" t="str">
        <f>IF($B469="","",IFERROR(-AR469,"n.b."))</f>
        <v/>
      </c>
      <c r="CF469" s="124" t="str">
        <f>IF($B469="","",IFERROR(-AS469,"n.b."))</f>
        <v/>
      </c>
      <c r="CG469" s="124" t="str">
        <f>IF($B469="","",IFERROR(-AT469,"n.b."))</f>
        <v/>
      </c>
      <c r="CH469" s="124" t="str">
        <f>IF($B469="","",IFERROR(-AU469,"n.b."))</f>
        <v/>
      </c>
      <c r="CI469" s="124" t="str">
        <f>IF($B469="","",IFERROR(-AV469,"n.b."))</f>
        <v/>
      </c>
      <c r="CJ469" s="124" t="str">
        <f>IF($B469="","",IFERROR(-AW469,"n.b."))</f>
        <v/>
      </c>
      <c r="CK469" s="124" t="str">
        <f>IF($B469="","",IFERROR(-AX469,"n.b."))</f>
        <v/>
      </c>
      <c r="CL469" s="124" t="str">
        <f>IF($B469="","",IFERROR(-AY469,"n.b."))</f>
        <v/>
      </c>
      <c r="CM469" s="124" t="str">
        <f>IF($B469="","",IFERROR(-AZ469,"n.b."))</f>
        <v/>
      </c>
      <c r="CN469" s="124" t="str">
        <f>IF($B469="","",IFERROR(-BA469,"n.b."))</f>
        <v/>
      </c>
      <c r="CO469" s="124" t="str">
        <f>IF($B469="","",IFERROR(-BB469,"n.b."))</f>
        <v/>
      </c>
      <c r="CP469" s="124" t="str">
        <f>IF($B469="","",IFERROR(-BC469,"n.b."))</f>
        <v/>
      </c>
      <c r="CQ469" s="124" t="str">
        <f>IF($B469="","",IFERROR(-BD469,"n.b."))</f>
        <v/>
      </c>
      <c r="CR469" s="124" t="str">
        <f>IF($B469="","",IFERROR(-BE469,"n.b."))</f>
        <v/>
      </c>
      <c r="CS469" s="124" t="str">
        <f>IF($B469="","",IFERROR(IF(OR(ABS(T469+V469+X469+Z469-AB469)&gt;P_Tol,ABS(U469+W469+Y469+AA469-AD469)&gt;P_Tol,ABS(AE469+AG469+AI469+AK469-AM469)&gt;P_Tol,ABS(AF469+AH469+AJ469+AL469-AO469)&gt;P_Tol),1,0),1))</f>
        <v/>
      </c>
      <c r="CT469" s="124" t="str">
        <f>IF($B469="","",IFERROR(IF(OR(ABS(AB469+AC469-AD469)&gt;P_Tol,ABS(AM469+AN469-AO469)&gt;P_Tol,ABS(O469+P469-Q469)&gt;P_Tol),1,0),1))</f>
        <v/>
      </c>
      <c r="CU469" s="124" t="str">
        <f>IF($B469="","",IFERROR(IF(ABS(R469-(AB469+AM469+AP469+AR469+AT469+AV469+AX469+AZ469+BB469+BD469))&gt;P_Tol,1,0),1))</f>
        <v/>
      </c>
      <c r="CV469" s="124" t="str">
        <f>IF($B469="","",IFERROR(IF(ABS(M469-(N469+O469+R469))&gt;P_Tol,1,0),1))</f>
        <v/>
      </c>
      <c r="CW469" s="124" t="str">
        <f>IF($B469="","",IF(COUNTIF(Mapping!$A$5:$A$104,B469)&gt;0,1,0))</f>
        <v/>
      </c>
      <c r="CX469" s="124" t="str">
        <f>IF($B469="","",COUNTIF($B$6:$B$505,B469))</f>
        <v/>
      </c>
      <c r="CY469" s="124" t="str">
        <f>IF($B469="","",COUNTIF(STG_Woningetalage!$B$6:$B$505,B469))</f>
        <v/>
      </c>
      <c r="CZ469" s="124" t="str">
        <f>IF($B469="","",IF(CW469=0,COUNTIF($CW$6:CW469,0),""))</f>
        <v/>
      </c>
    </row>
    <row r="470">
      <c r="A470" s="15" t="n">
        <v>466</v>
      </c>
      <c r="B470" t="str">
        <f>IF(B$3=0,"",IF(INDEX(SRC_ZPMW03!$A$1:$ZZ$501,$A470,B$3)&amp;""="","",INDEX(SRC_ZPMW03!$A$1:$ZZ$501,$A470,B$3)&amp;""))</f>
        <v/>
      </c>
      <c r="C470" t="str">
        <f>IF($B470="","",IF(C$3=0,"n.b.",INDEX(SRC_ZPMW03!$A$1:$ZZ$501,$A470,C$3)))</f>
        <v/>
      </c>
      <c r="D470" t="str">
        <f>IF($B470="","",IF(D$3=0,"n.b.",INDEX(SRC_ZPMW03!$A$1:$ZZ$501,$A470,D$3)))</f>
        <v/>
      </c>
      <c r="E470" t="str">
        <f>IF($B470="","",IF(E$3=0,"n.b.",INDEX(SRC_ZPMW03!$A$1:$ZZ$501,$A470,E$3)))</f>
        <v/>
      </c>
      <c r="F470" t="str">
        <f>IF($B470="","",IF(F$3=0,"n.b.",INDEX(SRC_ZPMW03!$A$1:$ZZ$501,$A470,F$3)))</f>
        <v/>
      </c>
      <c r="G470" t="str">
        <f>IF($B470="","",IF(G$3=0,"n.b.",INDEX(SRC_ZPMW03!$A$1:$ZZ$501,$A470,G$3)))</f>
        <v/>
      </c>
      <c r="H470" t="str">
        <f>IF($B470="","",IF(H$3=0,"n.b.",INDEX(SRC_ZPMW03!$A$1:$ZZ$501,$A470,H$3)))</f>
        <v/>
      </c>
      <c r="I470" t="str">
        <f>IF($B470="","",IF(I$3=0,"n.b.",INDEX(SRC_ZPMW03!$A$1:$ZZ$501,$A470,I$3)))</f>
        <v/>
      </c>
      <c r="J470" t="str">
        <f>IF($B470="","",IF(J$3=0,"n.b.",INDEX(SRC_ZPMW03!$A$1:$ZZ$501,$A470,J$3)))</f>
        <v/>
      </c>
      <c r="K470" t="str">
        <f>IF($B470="","",IF(K$3=0,"n.b.",INDEX(SRC_ZPMW03!$A$1:$ZZ$501,$A470,K$3)))</f>
        <v/>
      </c>
      <c r="L470" s="124" t="str">
        <f>IF($B470="","",IF(L$3=0,"n.b.",INDEX(SRC_ZPMW03!$A$1:$ZZ$501,$A470,L$3)))</f>
        <v/>
      </c>
      <c r="M470" s="124" t="str">
        <f>IF($B470="","",IF(M$3=0,"n.b.",INDEX(SRC_ZPMW03!$A$1:$ZZ$501,$A470,M$3)))</f>
        <v/>
      </c>
      <c r="N470" s="124" t="str">
        <f>IF($B470="","",IF(N$3=0,"n.b.",INDEX(SRC_ZPMW03!$A$1:$ZZ$501,$A470,N$3)))</f>
        <v/>
      </c>
      <c r="O470" s="124" t="str">
        <f>IF($B470="","",IF(O$3=0,"n.b.",INDEX(SRC_ZPMW03!$A$1:$ZZ$501,$A470,O$3)))</f>
        <v/>
      </c>
      <c r="P470" s="124" t="str">
        <f>IF($B470="","",IF(P$3=0,"n.b.",INDEX(SRC_ZPMW03!$A$1:$ZZ$501,$A470,P$3)))</f>
        <v/>
      </c>
      <c r="Q470" s="124" t="str">
        <f>IF($B470="","",IF(Q$3=0,"n.b.",INDEX(SRC_ZPMW03!$A$1:$ZZ$501,$A470,Q$3)))</f>
        <v/>
      </c>
      <c r="R470" s="124" t="str">
        <f>IF($B470="","",IF(R$3=0,"n.b.",INDEX(SRC_ZPMW03!$A$1:$ZZ$501,$A470,R$3)))</f>
        <v/>
      </c>
      <c r="S470" s="124" t="str">
        <f>IF($B470="","",IF(S$3=0,"n.b.",INDEX(SRC_ZPMW03!$A$1:$ZZ$501,$A470,S$3)))</f>
        <v/>
      </c>
      <c r="T470" s="124" t="str">
        <f>IF($B470="","",IF(T$3=0,"n.b.",INDEX(SRC_ZPMW03!$A$1:$ZZ$501,$A470,T$3)))</f>
        <v/>
      </c>
      <c r="U470" s="124" t="str">
        <f>IF($B470="","",IF(U$3=0,"n.b.",INDEX(SRC_ZPMW03!$A$1:$ZZ$501,$A470,U$3)))</f>
        <v/>
      </c>
      <c r="V470" s="124" t="str">
        <f>IF($B470="","",IF(V$3=0,"n.b.",INDEX(SRC_ZPMW03!$A$1:$ZZ$501,$A470,V$3)))</f>
        <v/>
      </c>
      <c r="W470" s="124" t="str">
        <f>IF($B470="","",IF(W$3=0,"n.b.",INDEX(SRC_ZPMW03!$A$1:$ZZ$501,$A470,W$3)))</f>
        <v/>
      </c>
      <c r="X470" s="124" t="str">
        <f>IF($B470="","",IF(X$3=0,"n.b.",INDEX(SRC_ZPMW03!$A$1:$ZZ$501,$A470,X$3)))</f>
        <v/>
      </c>
      <c r="Y470" s="124" t="str">
        <f>IF($B470="","",IF(Y$3=0,"n.b.",INDEX(SRC_ZPMW03!$A$1:$ZZ$501,$A470,Y$3)))</f>
        <v/>
      </c>
      <c r="Z470" s="124" t="str">
        <f>IF($B470="","",IF(Z$3=0,"n.b.",INDEX(SRC_ZPMW03!$A$1:$ZZ$501,$A470,Z$3)))</f>
        <v/>
      </c>
      <c r="AA470" s="124" t="str">
        <f>IF($B470="","",IF(AA$3=0,"n.b.",INDEX(SRC_ZPMW03!$A$1:$ZZ$501,$A470,AA$3)))</f>
        <v/>
      </c>
      <c r="AB470" s="124" t="str">
        <f>IF($B470="","",IF(AB$3=0,"n.b.",INDEX(SRC_ZPMW03!$A$1:$ZZ$501,$A470,AB$3)))</f>
        <v/>
      </c>
      <c r="AC470" s="124" t="str">
        <f>IF($B470="","",IF(AC$3=0,"n.b.",INDEX(SRC_ZPMW03!$A$1:$ZZ$501,$A470,AC$3)))</f>
        <v/>
      </c>
      <c r="AD470" s="124" t="str">
        <f>IF($B470="","",IF(AD$3=0,"n.b.",INDEX(SRC_ZPMW03!$A$1:$ZZ$501,$A470,AD$3)))</f>
        <v/>
      </c>
      <c r="AE470" s="124" t="str">
        <f>IF($B470="","",IF(AE$3=0,"n.b.",INDEX(SRC_ZPMW03!$A$1:$ZZ$501,$A470,AE$3)))</f>
        <v/>
      </c>
      <c r="AF470" s="124" t="str">
        <f>IF($B470="","",IF(AF$3=0,"n.b.",INDEX(SRC_ZPMW03!$A$1:$ZZ$501,$A470,AF$3)))</f>
        <v/>
      </c>
      <c r="AG470" s="124" t="str">
        <f>IF($B470="","",IF(AG$3=0,"n.b.",INDEX(SRC_ZPMW03!$A$1:$ZZ$501,$A470,AG$3)))</f>
        <v/>
      </c>
      <c r="AH470" s="124" t="str">
        <f>IF($B470="","",IF(AH$3=0,"n.b.",INDEX(SRC_ZPMW03!$A$1:$ZZ$501,$A470,AH$3)))</f>
        <v/>
      </c>
      <c r="AI470" s="124" t="str">
        <f>IF($B470="","",IF(AI$3=0,"n.b.",INDEX(SRC_ZPMW03!$A$1:$ZZ$501,$A470,AI$3)))</f>
        <v/>
      </c>
      <c r="AJ470" s="124" t="str">
        <f>IF($B470="","",IF(AJ$3=0,"n.b.",INDEX(SRC_ZPMW03!$A$1:$ZZ$501,$A470,AJ$3)))</f>
        <v/>
      </c>
      <c r="AK470" s="124" t="str">
        <f>IF($B470="","",IF(AK$3=0,"n.b.",INDEX(SRC_ZPMW03!$A$1:$ZZ$501,$A470,AK$3)))</f>
        <v/>
      </c>
      <c r="AL470" s="124" t="str">
        <f>IF($B470="","",IF(AL$3=0,"n.b.",INDEX(SRC_ZPMW03!$A$1:$ZZ$501,$A470,AL$3)))</f>
        <v/>
      </c>
      <c r="AM470" s="124" t="str">
        <f>IF($B470="","",IF(AM$3=0,"n.b.",INDEX(SRC_ZPMW03!$A$1:$ZZ$501,$A470,AM$3)))</f>
        <v/>
      </c>
      <c r="AN470" s="124" t="str">
        <f>IF($B470="","",IF(AN$3=0,"n.b.",INDEX(SRC_ZPMW03!$A$1:$ZZ$501,$A470,AN$3)))</f>
        <v/>
      </c>
      <c r="AO470" s="124" t="str">
        <f>IF($B470="","",IF(AO$3=0,"n.b.",INDEX(SRC_ZPMW03!$A$1:$ZZ$501,$A470,AO$3)))</f>
        <v/>
      </c>
      <c r="AP470" s="124" t="str">
        <f>IF($B470="","",IF(AP$3=0,"n.b.",INDEX(SRC_ZPMW03!$A$1:$ZZ$501,$A470,AP$3)))</f>
        <v/>
      </c>
      <c r="AQ470" s="124" t="str">
        <f>IF($B470="","",IF(AQ$3=0,"n.b.",INDEX(SRC_ZPMW03!$A$1:$ZZ$501,$A470,AQ$3)))</f>
        <v/>
      </c>
      <c r="AR470" s="124" t="str">
        <f>IF($B470="","",IF(AR$3=0,"n.b.",INDEX(SRC_ZPMW03!$A$1:$ZZ$501,$A470,AR$3)))</f>
        <v/>
      </c>
      <c r="AS470" s="124" t="str">
        <f>IF($B470="","",IF(AS$3=0,"n.b.",INDEX(SRC_ZPMW03!$A$1:$ZZ$501,$A470,AS$3)))</f>
        <v/>
      </c>
      <c r="AT470" s="124" t="str">
        <f>IF($B470="","",IF(AT$3=0,"n.b.",INDEX(SRC_ZPMW03!$A$1:$ZZ$501,$A470,AT$3)))</f>
        <v/>
      </c>
      <c r="AU470" s="124" t="str">
        <f>IF($B470="","",IF(AU$3=0,"n.b.",INDEX(SRC_ZPMW03!$A$1:$ZZ$501,$A470,AU$3)))</f>
        <v/>
      </c>
      <c r="AV470" s="124" t="str">
        <f>IF($B470="","",IF(AV$3=0,"n.b.",INDEX(SRC_ZPMW03!$A$1:$ZZ$501,$A470,AV$3)))</f>
        <v/>
      </c>
      <c r="AW470" s="124" t="str">
        <f>IF($B470="","",IF(AW$3=0,"n.b.",INDEX(SRC_ZPMW03!$A$1:$ZZ$501,$A470,AW$3)))</f>
        <v/>
      </c>
      <c r="AX470" s="124" t="str">
        <f>IF($B470="","",IF(AX$3=0,"n.b.",INDEX(SRC_ZPMW03!$A$1:$ZZ$501,$A470,AX$3)))</f>
        <v/>
      </c>
      <c r="AY470" s="124" t="str">
        <f>IF($B470="","",IF(AY$3=0,"n.b.",INDEX(SRC_ZPMW03!$A$1:$ZZ$501,$A470,AY$3)))</f>
        <v/>
      </c>
      <c r="AZ470" s="124" t="str">
        <f>IF($B470="","",IF(AZ$3=0,"n.b.",INDEX(SRC_ZPMW03!$A$1:$ZZ$501,$A470,AZ$3)))</f>
        <v/>
      </c>
      <c r="BA470" s="124" t="str">
        <f>IF($B470="","",IF(BA$3=0,"n.b.",INDEX(SRC_ZPMW03!$A$1:$ZZ$501,$A470,BA$3)))</f>
        <v/>
      </c>
      <c r="BB470" s="124" t="str">
        <f>IF($B470="","",IF(BB$3=0,"n.b.",INDEX(SRC_ZPMW03!$A$1:$ZZ$501,$A470,BB$3)))</f>
        <v/>
      </c>
      <c r="BC470" s="124" t="str">
        <f>IF($B470="","",IF(BC$3=0,"n.b.",INDEX(SRC_ZPMW03!$A$1:$ZZ$501,$A470,BC$3)))</f>
        <v/>
      </c>
      <c r="BD470" s="124" t="str">
        <f>IF($B470="","",IF(BD$3=0,"n.b.",INDEX(SRC_ZPMW03!$A$1:$ZZ$501,$A470,BD$3)))</f>
        <v/>
      </c>
      <c r="BE470" s="124" t="str">
        <f>IF($B470="","",IF(BE$3=0,"n.b.",INDEX(SRC_ZPMW03!$A$1:$ZZ$501,$A470,BE$3)))</f>
        <v/>
      </c>
      <c r="BF470" s="124" t="str">
        <f>IF($B470="","",IF(BF$3=0,"n.b.",INDEX(SRC_ZPMW03!$A$1:$ZZ$501,$A470,BF$3)))</f>
        <v/>
      </c>
      <c r="BG470" t="str">
        <f>IF($B470="","",IF(BG$3=0,"n.b.",INDEX(SRC_ZPMW03!$A$1:$ZZ$501,$A470,BG$3)))</f>
        <v/>
      </c>
      <c r="BH470" t="str">
        <f>IF($B470="","",IF(BH$3=0,"n.b.",INDEX(SRC_ZPMW03!$A$1:$ZZ$501,$A470,BH$3)))</f>
        <v/>
      </c>
      <c r="BI470" t="str">
        <f>IF($B470="","",IF(BI$3=0,"n.b.",INDEX(SRC_ZPMW03!$A$1:$ZZ$501,$A470,BI$3)))</f>
        <v/>
      </c>
      <c r="BJ470" t="str">
        <f>IF($B470="","",IF(BJ$3=0,"n.b.",INDEX(SRC_ZPMW03!$A$1:$ZZ$501,$A470,BJ$3)))</f>
        <v/>
      </c>
      <c r="BK470" s="124" t="str">
        <f>IF($B470="","",IFERROR(-O470,"n.b."))</f>
        <v/>
      </c>
      <c r="BL470" s="124" t="str">
        <f>IF($B470="","",IFERROR(-Q470,"n.b."))</f>
        <v/>
      </c>
      <c r="BM470" s="124" t="str">
        <f>IF($B470="","",IFERROR(-AB470,"n.b."))</f>
        <v/>
      </c>
      <c r="BN470" s="124" t="str">
        <f>IF($B470="","",IFERROR(-AD470,"n.b."))</f>
        <v/>
      </c>
      <c r="BO470" s="124" t="str">
        <f>IF($B470="","",IFERROR(BK470+BM470,"n.b."))</f>
        <v/>
      </c>
      <c r="BP470" s="124" t="str">
        <f>IF($B470="","",IFERROR(BL470+BN470,"n.b."))</f>
        <v/>
      </c>
      <c r="BQ470" s="124" t="str">
        <f>IF($B470="","",IFERROR(-AM470,"n.b."))</f>
        <v/>
      </c>
      <c r="BR470" s="124" t="str">
        <f>IF($B470="","",IFERROR(-AO470,"n.b."))</f>
        <v/>
      </c>
      <c r="BS470" s="124" t="str">
        <f>IF($B470="","",IFERROR(-Z470,"n.b."))</f>
        <v/>
      </c>
      <c r="BT470" s="124" t="str">
        <f>IF($B470="","",IFERROR(-AA470,"n.b."))</f>
        <v/>
      </c>
      <c r="BU470" s="124" t="str">
        <f>IF($B470="","",IFERROR(-AE470,"n.b."))</f>
        <v/>
      </c>
      <c r="BV470" s="124" t="str">
        <f>IF($B470="","",IFERROR(-AF470,"n.b."))</f>
        <v/>
      </c>
      <c r="BW470" s="124" t="str">
        <f>IF($B470="","",IFERROR(-AG470,"n.b."))</f>
        <v/>
      </c>
      <c r="BX470" s="124" t="str">
        <f>IF($B470="","",IFERROR(-AH470,"n.b."))</f>
        <v/>
      </c>
      <c r="BY470" s="124" t="str">
        <f>IF($B470="","",IFERROR(-AI470,"n.b."))</f>
        <v/>
      </c>
      <c r="BZ470" s="124" t="str">
        <f>IF($B470="","",IFERROR(-AJ470,"n.b."))</f>
        <v/>
      </c>
      <c r="CA470" s="124" t="str">
        <f>IF($B470="","",IFERROR(-AK470,"n.b."))</f>
        <v/>
      </c>
      <c r="CB470" s="124" t="str">
        <f>IF($B470="","",IFERROR(-AL470,"n.b."))</f>
        <v/>
      </c>
      <c r="CC470" s="124" t="str">
        <f>IF($B470="","",IFERROR(-AP470,"n.b."))</f>
        <v/>
      </c>
      <c r="CD470" s="124" t="str">
        <f>IF($B470="","",IFERROR(-AQ470,"n.b."))</f>
        <v/>
      </c>
      <c r="CE470" s="124" t="str">
        <f>IF($B470="","",IFERROR(-AR470,"n.b."))</f>
        <v/>
      </c>
      <c r="CF470" s="124" t="str">
        <f>IF($B470="","",IFERROR(-AS470,"n.b."))</f>
        <v/>
      </c>
      <c r="CG470" s="124" t="str">
        <f>IF($B470="","",IFERROR(-AT470,"n.b."))</f>
        <v/>
      </c>
      <c r="CH470" s="124" t="str">
        <f>IF($B470="","",IFERROR(-AU470,"n.b."))</f>
        <v/>
      </c>
      <c r="CI470" s="124" t="str">
        <f>IF($B470="","",IFERROR(-AV470,"n.b."))</f>
        <v/>
      </c>
      <c r="CJ470" s="124" t="str">
        <f>IF($B470="","",IFERROR(-AW470,"n.b."))</f>
        <v/>
      </c>
      <c r="CK470" s="124" t="str">
        <f>IF($B470="","",IFERROR(-AX470,"n.b."))</f>
        <v/>
      </c>
      <c r="CL470" s="124" t="str">
        <f>IF($B470="","",IFERROR(-AY470,"n.b."))</f>
        <v/>
      </c>
      <c r="CM470" s="124" t="str">
        <f>IF($B470="","",IFERROR(-AZ470,"n.b."))</f>
        <v/>
      </c>
      <c r="CN470" s="124" t="str">
        <f>IF($B470="","",IFERROR(-BA470,"n.b."))</f>
        <v/>
      </c>
      <c r="CO470" s="124" t="str">
        <f>IF($B470="","",IFERROR(-BB470,"n.b."))</f>
        <v/>
      </c>
      <c r="CP470" s="124" t="str">
        <f>IF($B470="","",IFERROR(-BC470,"n.b."))</f>
        <v/>
      </c>
      <c r="CQ470" s="124" t="str">
        <f>IF($B470="","",IFERROR(-BD470,"n.b."))</f>
        <v/>
      </c>
      <c r="CR470" s="124" t="str">
        <f>IF($B470="","",IFERROR(-BE470,"n.b."))</f>
        <v/>
      </c>
      <c r="CS470" s="124" t="str">
        <f>IF($B470="","",IFERROR(IF(OR(ABS(T470+V470+X470+Z470-AB470)&gt;P_Tol,ABS(U470+W470+Y470+AA470-AD470)&gt;P_Tol,ABS(AE470+AG470+AI470+AK470-AM470)&gt;P_Tol,ABS(AF470+AH470+AJ470+AL470-AO470)&gt;P_Tol),1,0),1))</f>
        <v/>
      </c>
      <c r="CT470" s="124" t="str">
        <f>IF($B470="","",IFERROR(IF(OR(ABS(AB470+AC470-AD470)&gt;P_Tol,ABS(AM470+AN470-AO470)&gt;P_Tol,ABS(O470+P470-Q470)&gt;P_Tol),1,0),1))</f>
        <v/>
      </c>
      <c r="CU470" s="124" t="str">
        <f>IF($B470="","",IFERROR(IF(ABS(R470-(AB470+AM470+AP470+AR470+AT470+AV470+AX470+AZ470+BB470+BD470))&gt;P_Tol,1,0),1))</f>
        <v/>
      </c>
      <c r="CV470" s="124" t="str">
        <f>IF($B470="","",IFERROR(IF(ABS(M470-(N470+O470+R470))&gt;P_Tol,1,0),1))</f>
        <v/>
      </c>
      <c r="CW470" s="124" t="str">
        <f>IF($B470="","",IF(COUNTIF(Mapping!$A$5:$A$104,B470)&gt;0,1,0))</f>
        <v/>
      </c>
      <c r="CX470" s="124" t="str">
        <f>IF($B470="","",COUNTIF($B$6:$B$505,B470))</f>
        <v/>
      </c>
      <c r="CY470" s="124" t="str">
        <f>IF($B470="","",COUNTIF(STG_Woningetalage!$B$6:$B$505,B470))</f>
        <v/>
      </c>
      <c r="CZ470" s="124" t="str">
        <f>IF($B470="","",IF(CW470=0,COUNTIF($CW$6:CW470,0),""))</f>
        <v/>
      </c>
    </row>
    <row r="471">
      <c r="A471" s="15" t="n">
        <v>467</v>
      </c>
      <c r="B471" t="str">
        <f>IF(B$3=0,"",IF(INDEX(SRC_ZPMW03!$A$1:$ZZ$501,$A471,B$3)&amp;""="","",INDEX(SRC_ZPMW03!$A$1:$ZZ$501,$A471,B$3)&amp;""))</f>
        <v/>
      </c>
      <c r="C471" t="str">
        <f>IF($B471="","",IF(C$3=0,"n.b.",INDEX(SRC_ZPMW03!$A$1:$ZZ$501,$A471,C$3)))</f>
        <v/>
      </c>
      <c r="D471" t="str">
        <f>IF($B471="","",IF(D$3=0,"n.b.",INDEX(SRC_ZPMW03!$A$1:$ZZ$501,$A471,D$3)))</f>
        <v/>
      </c>
      <c r="E471" t="str">
        <f>IF($B471="","",IF(E$3=0,"n.b.",INDEX(SRC_ZPMW03!$A$1:$ZZ$501,$A471,E$3)))</f>
        <v/>
      </c>
      <c r="F471" t="str">
        <f>IF($B471="","",IF(F$3=0,"n.b.",INDEX(SRC_ZPMW03!$A$1:$ZZ$501,$A471,F$3)))</f>
        <v/>
      </c>
      <c r="G471" t="str">
        <f>IF($B471="","",IF(G$3=0,"n.b.",INDEX(SRC_ZPMW03!$A$1:$ZZ$501,$A471,G$3)))</f>
        <v/>
      </c>
      <c r="H471" t="str">
        <f>IF($B471="","",IF(H$3=0,"n.b.",INDEX(SRC_ZPMW03!$A$1:$ZZ$501,$A471,H$3)))</f>
        <v/>
      </c>
      <c r="I471" t="str">
        <f>IF($B471="","",IF(I$3=0,"n.b.",INDEX(SRC_ZPMW03!$A$1:$ZZ$501,$A471,I$3)))</f>
        <v/>
      </c>
      <c r="J471" t="str">
        <f>IF($B471="","",IF(J$3=0,"n.b.",INDEX(SRC_ZPMW03!$A$1:$ZZ$501,$A471,J$3)))</f>
        <v/>
      </c>
      <c r="K471" t="str">
        <f>IF($B471="","",IF(K$3=0,"n.b.",INDEX(SRC_ZPMW03!$A$1:$ZZ$501,$A471,K$3)))</f>
        <v/>
      </c>
      <c r="L471" s="124" t="str">
        <f>IF($B471="","",IF(L$3=0,"n.b.",INDEX(SRC_ZPMW03!$A$1:$ZZ$501,$A471,L$3)))</f>
        <v/>
      </c>
      <c r="M471" s="124" t="str">
        <f>IF($B471="","",IF(M$3=0,"n.b.",INDEX(SRC_ZPMW03!$A$1:$ZZ$501,$A471,M$3)))</f>
        <v/>
      </c>
      <c r="N471" s="124" t="str">
        <f>IF($B471="","",IF(N$3=0,"n.b.",INDEX(SRC_ZPMW03!$A$1:$ZZ$501,$A471,N$3)))</f>
        <v/>
      </c>
      <c r="O471" s="124" t="str">
        <f>IF($B471="","",IF(O$3=0,"n.b.",INDEX(SRC_ZPMW03!$A$1:$ZZ$501,$A471,O$3)))</f>
        <v/>
      </c>
      <c r="P471" s="124" t="str">
        <f>IF($B471="","",IF(P$3=0,"n.b.",INDEX(SRC_ZPMW03!$A$1:$ZZ$501,$A471,P$3)))</f>
        <v/>
      </c>
      <c r="Q471" s="124" t="str">
        <f>IF($B471="","",IF(Q$3=0,"n.b.",INDEX(SRC_ZPMW03!$A$1:$ZZ$501,$A471,Q$3)))</f>
        <v/>
      </c>
      <c r="R471" s="124" t="str">
        <f>IF($B471="","",IF(R$3=0,"n.b.",INDEX(SRC_ZPMW03!$A$1:$ZZ$501,$A471,R$3)))</f>
        <v/>
      </c>
      <c r="S471" s="124" t="str">
        <f>IF($B471="","",IF(S$3=0,"n.b.",INDEX(SRC_ZPMW03!$A$1:$ZZ$501,$A471,S$3)))</f>
        <v/>
      </c>
      <c r="T471" s="124" t="str">
        <f>IF($B471="","",IF(T$3=0,"n.b.",INDEX(SRC_ZPMW03!$A$1:$ZZ$501,$A471,T$3)))</f>
        <v/>
      </c>
      <c r="U471" s="124" t="str">
        <f>IF($B471="","",IF(U$3=0,"n.b.",INDEX(SRC_ZPMW03!$A$1:$ZZ$501,$A471,U$3)))</f>
        <v/>
      </c>
      <c r="V471" s="124" t="str">
        <f>IF($B471="","",IF(V$3=0,"n.b.",INDEX(SRC_ZPMW03!$A$1:$ZZ$501,$A471,V$3)))</f>
        <v/>
      </c>
      <c r="W471" s="124" t="str">
        <f>IF($B471="","",IF(W$3=0,"n.b.",INDEX(SRC_ZPMW03!$A$1:$ZZ$501,$A471,W$3)))</f>
        <v/>
      </c>
      <c r="X471" s="124" t="str">
        <f>IF($B471="","",IF(X$3=0,"n.b.",INDEX(SRC_ZPMW03!$A$1:$ZZ$501,$A471,X$3)))</f>
        <v/>
      </c>
      <c r="Y471" s="124" t="str">
        <f>IF($B471="","",IF(Y$3=0,"n.b.",INDEX(SRC_ZPMW03!$A$1:$ZZ$501,$A471,Y$3)))</f>
        <v/>
      </c>
      <c r="Z471" s="124" t="str">
        <f>IF($B471="","",IF(Z$3=0,"n.b.",INDEX(SRC_ZPMW03!$A$1:$ZZ$501,$A471,Z$3)))</f>
        <v/>
      </c>
      <c r="AA471" s="124" t="str">
        <f>IF($B471="","",IF(AA$3=0,"n.b.",INDEX(SRC_ZPMW03!$A$1:$ZZ$501,$A471,AA$3)))</f>
        <v/>
      </c>
      <c r="AB471" s="124" t="str">
        <f>IF($B471="","",IF(AB$3=0,"n.b.",INDEX(SRC_ZPMW03!$A$1:$ZZ$501,$A471,AB$3)))</f>
        <v/>
      </c>
      <c r="AC471" s="124" t="str">
        <f>IF($B471="","",IF(AC$3=0,"n.b.",INDEX(SRC_ZPMW03!$A$1:$ZZ$501,$A471,AC$3)))</f>
        <v/>
      </c>
      <c r="AD471" s="124" t="str">
        <f>IF($B471="","",IF(AD$3=0,"n.b.",INDEX(SRC_ZPMW03!$A$1:$ZZ$501,$A471,AD$3)))</f>
        <v/>
      </c>
      <c r="AE471" s="124" t="str">
        <f>IF($B471="","",IF(AE$3=0,"n.b.",INDEX(SRC_ZPMW03!$A$1:$ZZ$501,$A471,AE$3)))</f>
        <v/>
      </c>
      <c r="AF471" s="124" t="str">
        <f>IF($B471="","",IF(AF$3=0,"n.b.",INDEX(SRC_ZPMW03!$A$1:$ZZ$501,$A471,AF$3)))</f>
        <v/>
      </c>
      <c r="AG471" s="124" t="str">
        <f>IF($B471="","",IF(AG$3=0,"n.b.",INDEX(SRC_ZPMW03!$A$1:$ZZ$501,$A471,AG$3)))</f>
        <v/>
      </c>
      <c r="AH471" s="124" t="str">
        <f>IF($B471="","",IF(AH$3=0,"n.b.",INDEX(SRC_ZPMW03!$A$1:$ZZ$501,$A471,AH$3)))</f>
        <v/>
      </c>
      <c r="AI471" s="124" t="str">
        <f>IF($B471="","",IF(AI$3=0,"n.b.",INDEX(SRC_ZPMW03!$A$1:$ZZ$501,$A471,AI$3)))</f>
        <v/>
      </c>
      <c r="AJ471" s="124" t="str">
        <f>IF($B471="","",IF(AJ$3=0,"n.b.",INDEX(SRC_ZPMW03!$A$1:$ZZ$501,$A471,AJ$3)))</f>
        <v/>
      </c>
      <c r="AK471" s="124" t="str">
        <f>IF($B471="","",IF(AK$3=0,"n.b.",INDEX(SRC_ZPMW03!$A$1:$ZZ$501,$A471,AK$3)))</f>
        <v/>
      </c>
      <c r="AL471" s="124" t="str">
        <f>IF($B471="","",IF(AL$3=0,"n.b.",INDEX(SRC_ZPMW03!$A$1:$ZZ$501,$A471,AL$3)))</f>
        <v/>
      </c>
      <c r="AM471" s="124" t="str">
        <f>IF($B471="","",IF(AM$3=0,"n.b.",INDEX(SRC_ZPMW03!$A$1:$ZZ$501,$A471,AM$3)))</f>
        <v/>
      </c>
      <c r="AN471" s="124" t="str">
        <f>IF($B471="","",IF(AN$3=0,"n.b.",INDEX(SRC_ZPMW03!$A$1:$ZZ$501,$A471,AN$3)))</f>
        <v/>
      </c>
      <c r="AO471" s="124" t="str">
        <f>IF($B471="","",IF(AO$3=0,"n.b.",INDEX(SRC_ZPMW03!$A$1:$ZZ$501,$A471,AO$3)))</f>
        <v/>
      </c>
      <c r="AP471" s="124" t="str">
        <f>IF($B471="","",IF(AP$3=0,"n.b.",INDEX(SRC_ZPMW03!$A$1:$ZZ$501,$A471,AP$3)))</f>
        <v/>
      </c>
      <c r="AQ471" s="124" t="str">
        <f>IF($B471="","",IF(AQ$3=0,"n.b.",INDEX(SRC_ZPMW03!$A$1:$ZZ$501,$A471,AQ$3)))</f>
        <v/>
      </c>
      <c r="AR471" s="124" t="str">
        <f>IF($B471="","",IF(AR$3=0,"n.b.",INDEX(SRC_ZPMW03!$A$1:$ZZ$501,$A471,AR$3)))</f>
        <v/>
      </c>
      <c r="AS471" s="124" t="str">
        <f>IF($B471="","",IF(AS$3=0,"n.b.",INDEX(SRC_ZPMW03!$A$1:$ZZ$501,$A471,AS$3)))</f>
        <v/>
      </c>
      <c r="AT471" s="124" t="str">
        <f>IF($B471="","",IF(AT$3=0,"n.b.",INDEX(SRC_ZPMW03!$A$1:$ZZ$501,$A471,AT$3)))</f>
        <v/>
      </c>
      <c r="AU471" s="124" t="str">
        <f>IF($B471="","",IF(AU$3=0,"n.b.",INDEX(SRC_ZPMW03!$A$1:$ZZ$501,$A471,AU$3)))</f>
        <v/>
      </c>
      <c r="AV471" s="124" t="str">
        <f>IF($B471="","",IF(AV$3=0,"n.b.",INDEX(SRC_ZPMW03!$A$1:$ZZ$501,$A471,AV$3)))</f>
        <v/>
      </c>
      <c r="AW471" s="124" t="str">
        <f>IF($B471="","",IF(AW$3=0,"n.b.",INDEX(SRC_ZPMW03!$A$1:$ZZ$501,$A471,AW$3)))</f>
        <v/>
      </c>
      <c r="AX471" s="124" t="str">
        <f>IF($B471="","",IF(AX$3=0,"n.b.",INDEX(SRC_ZPMW03!$A$1:$ZZ$501,$A471,AX$3)))</f>
        <v/>
      </c>
      <c r="AY471" s="124" t="str">
        <f>IF($B471="","",IF(AY$3=0,"n.b.",INDEX(SRC_ZPMW03!$A$1:$ZZ$501,$A471,AY$3)))</f>
        <v/>
      </c>
      <c r="AZ471" s="124" t="str">
        <f>IF($B471="","",IF(AZ$3=0,"n.b.",INDEX(SRC_ZPMW03!$A$1:$ZZ$501,$A471,AZ$3)))</f>
        <v/>
      </c>
      <c r="BA471" s="124" t="str">
        <f>IF($B471="","",IF(BA$3=0,"n.b.",INDEX(SRC_ZPMW03!$A$1:$ZZ$501,$A471,BA$3)))</f>
        <v/>
      </c>
      <c r="BB471" s="124" t="str">
        <f>IF($B471="","",IF(BB$3=0,"n.b.",INDEX(SRC_ZPMW03!$A$1:$ZZ$501,$A471,BB$3)))</f>
        <v/>
      </c>
      <c r="BC471" s="124" t="str">
        <f>IF($B471="","",IF(BC$3=0,"n.b.",INDEX(SRC_ZPMW03!$A$1:$ZZ$501,$A471,BC$3)))</f>
        <v/>
      </c>
      <c r="BD471" s="124" t="str">
        <f>IF($B471="","",IF(BD$3=0,"n.b.",INDEX(SRC_ZPMW03!$A$1:$ZZ$501,$A471,BD$3)))</f>
        <v/>
      </c>
      <c r="BE471" s="124" t="str">
        <f>IF($B471="","",IF(BE$3=0,"n.b.",INDEX(SRC_ZPMW03!$A$1:$ZZ$501,$A471,BE$3)))</f>
        <v/>
      </c>
      <c r="BF471" s="124" t="str">
        <f>IF($B471="","",IF(BF$3=0,"n.b.",INDEX(SRC_ZPMW03!$A$1:$ZZ$501,$A471,BF$3)))</f>
        <v/>
      </c>
      <c r="BG471" t="str">
        <f>IF($B471="","",IF(BG$3=0,"n.b.",INDEX(SRC_ZPMW03!$A$1:$ZZ$501,$A471,BG$3)))</f>
        <v/>
      </c>
      <c r="BH471" t="str">
        <f>IF($B471="","",IF(BH$3=0,"n.b.",INDEX(SRC_ZPMW03!$A$1:$ZZ$501,$A471,BH$3)))</f>
        <v/>
      </c>
      <c r="BI471" t="str">
        <f>IF($B471="","",IF(BI$3=0,"n.b.",INDEX(SRC_ZPMW03!$A$1:$ZZ$501,$A471,BI$3)))</f>
        <v/>
      </c>
      <c r="BJ471" t="str">
        <f>IF($B471="","",IF(BJ$3=0,"n.b.",INDEX(SRC_ZPMW03!$A$1:$ZZ$501,$A471,BJ$3)))</f>
        <v/>
      </c>
      <c r="BK471" s="124" t="str">
        <f>IF($B471="","",IFERROR(-O471,"n.b."))</f>
        <v/>
      </c>
      <c r="BL471" s="124" t="str">
        <f>IF($B471="","",IFERROR(-Q471,"n.b."))</f>
        <v/>
      </c>
      <c r="BM471" s="124" t="str">
        <f>IF($B471="","",IFERROR(-AB471,"n.b."))</f>
        <v/>
      </c>
      <c r="BN471" s="124" t="str">
        <f>IF($B471="","",IFERROR(-AD471,"n.b."))</f>
        <v/>
      </c>
      <c r="BO471" s="124" t="str">
        <f>IF($B471="","",IFERROR(BK471+BM471,"n.b."))</f>
        <v/>
      </c>
      <c r="BP471" s="124" t="str">
        <f>IF($B471="","",IFERROR(BL471+BN471,"n.b."))</f>
        <v/>
      </c>
      <c r="BQ471" s="124" t="str">
        <f>IF($B471="","",IFERROR(-AM471,"n.b."))</f>
        <v/>
      </c>
      <c r="BR471" s="124" t="str">
        <f>IF($B471="","",IFERROR(-AO471,"n.b."))</f>
        <v/>
      </c>
      <c r="BS471" s="124" t="str">
        <f>IF($B471="","",IFERROR(-Z471,"n.b."))</f>
        <v/>
      </c>
      <c r="BT471" s="124" t="str">
        <f>IF($B471="","",IFERROR(-AA471,"n.b."))</f>
        <v/>
      </c>
      <c r="BU471" s="124" t="str">
        <f>IF($B471="","",IFERROR(-AE471,"n.b."))</f>
        <v/>
      </c>
      <c r="BV471" s="124" t="str">
        <f>IF($B471="","",IFERROR(-AF471,"n.b."))</f>
        <v/>
      </c>
      <c r="BW471" s="124" t="str">
        <f>IF($B471="","",IFERROR(-AG471,"n.b."))</f>
        <v/>
      </c>
      <c r="BX471" s="124" t="str">
        <f>IF($B471="","",IFERROR(-AH471,"n.b."))</f>
        <v/>
      </c>
      <c r="BY471" s="124" t="str">
        <f>IF($B471="","",IFERROR(-AI471,"n.b."))</f>
        <v/>
      </c>
      <c r="BZ471" s="124" t="str">
        <f>IF($B471="","",IFERROR(-AJ471,"n.b."))</f>
        <v/>
      </c>
      <c r="CA471" s="124" t="str">
        <f>IF($B471="","",IFERROR(-AK471,"n.b."))</f>
        <v/>
      </c>
      <c r="CB471" s="124" t="str">
        <f>IF($B471="","",IFERROR(-AL471,"n.b."))</f>
        <v/>
      </c>
      <c r="CC471" s="124" t="str">
        <f>IF($B471="","",IFERROR(-AP471,"n.b."))</f>
        <v/>
      </c>
      <c r="CD471" s="124" t="str">
        <f>IF($B471="","",IFERROR(-AQ471,"n.b."))</f>
        <v/>
      </c>
      <c r="CE471" s="124" t="str">
        <f>IF($B471="","",IFERROR(-AR471,"n.b."))</f>
        <v/>
      </c>
      <c r="CF471" s="124" t="str">
        <f>IF($B471="","",IFERROR(-AS471,"n.b."))</f>
        <v/>
      </c>
      <c r="CG471" s="124" t="str">
        <f>IF($B471="","",IFERROR(-AT471,"n.b."))</f>
        <v/>
      </c>
      <c r="CH471" s="124" t="str">
        <f>IF($B471="","",IFERROR(-AU471,"n.b."))</f>
        <v/>
      </c>
      <c r="CI471" s="124" t="str">
        <f>IF($B471="","",IFERROR(-AV471,"n.b."))</f>
        <v/>
      </c>
      <c r="CJ471" s="124" t="str">
        <f>IF($B471="","",IFERROR(-AW471,"n.b."))</f>
        <v/>
      </c>
      <c r="CK471" s="124" t="str">
        <f>IF($B471="","",IFERROR(-AX471,"n.b."))</f>
        <v/>
      </c>
      <c r="CL471" s="124" t="str">
        <f>IF($B471="","",IFERROR(-AY471,"n.b."))</f>
        <v/>
      </c>
      <c r="CM471" s="124" t="str">
        <f>IF($B471="","",IFERROR(-AZ471,"n.b."))</f>
        <v/>
      </c>
      <c r="CN471" s="124" t="str">
        <f>IF($B471="","",IFERROR(-BA471,"n.b."))</f>
        <v/>
      </c>
      <c r="CO471" s="124" t="str">
        <f>IF($B471="","",IFERROR(-BB471,"n.b."))</f>
        <v/>
      </c>
      <c r="CP471" s="124" t="str">
        <f>IF($B471="","",IFERROR(-BC471,"n.b."))</f>
        <v/>
      </c>
      <c r="CQ471" s="124" t="str">
        <f>IF($B471="","",IFERROR(-BD471,"n.b."))</f>
        <v/>
      </c>
      <c r="CR471" s="124" t="str">
        <f>IF($B471="","",IFERROR(-BE471,"n.b."))</f>
        <v/>
      </c>
      <c r="CS471" s="124" t="str">
        <f>IF($B471="","",IFERROR(IF(OR(ABS(T471+V471+X471+Z471-AB471)&gt;P_Tol,ABS(U471+W471+Y471+AA471-AD471)&gt;P_Tol,ABS(AE471+AG471+AI471+AK471-AM471)&gt;P_Tol,ABS(AF471+AH471+AJ471+AL471-AO471)&gt;P_Tol),1,0),1))</f>
        <v/>
      </c>
      <c r="CT471" s="124" t="str">
        <f>IF($B471="","",IFERROR(IF(OR(ABS(AB471+AC471-AD471)&gt;P_Tol,ABS(AM471+AN471-AO471)&gt;P_Tol,ABS(O471+P471-Q471)&gt;P_Tol),1,0),1))</f>
        <v/>
      </c>
      <c r="CU471" s="124" t="str">
        <f>IF($B471="","",IFERROR(IF(ABS(R471-(AB471+AM471+AP471+AR471+AT471+AV471+AX471+AZ471+BB471+BD471))&gt;P_Tol,1,0),1))</f>
        <v/>
      </c>
      <c r="CV471" s="124" t="str">
        <f>IF($B471="","",IFERROR(IF(ABS(M471-(N471+O471+R471))&gt;P_Tol,1,0),1))</f>
        <v/>
      </c>
      <c r="CW471" s="124" t="str">
        <f>IF($B471="","",IF(COUNTIF(Mapping!$A$5:$A$104,B471)&gt;0,1,0))</f>
        <v/>
      </c>
      <c r="CX471" s="124" t="str">
        <f>IF($B471="","",COUNTIF($B$6:$B$505,B471))</f>
        <v/>
      </c>
      <c r="CY471" s="124" t="str">
        <f>IF($B471="","",COUNTIF(STG_Woningetalage!$B$6:$B$505,B471))</f>
        <v/>
      </c>
      <c r="CZ471" s="124" t="str">
        <f>IF($B471="","",IF(CW471=0,COUNTIF($CW$6:CW471,0),""))</f>
        <v/>
      </c>
    </row>
    <row r="472">
      <c r="A472" s="15" t="n">
        <v>468</v>
      </c>
      <c r="B472" t="str">
        <f>IF(B$3=0,"",IF(INDEX(SRC_ZPMW03!$A$1:$ZZ$501,$A472,B$3)&amp;""="","",INDEX(SRC_ZPMW03!$A$1:$ZZ$501,$A472,B$3)&amp;""))</f>
        <v/>
      </c>
      <c r="C472" t="str">
        <f>IF($B472="","",IF(C$3=0,"n.b.",INDEX(SRC_ZPMW03!$A$1:$ZZ$501,$A472,C$3)))</f>
        <v/>
      </c>
      <c r="D472" t="str">
        <f>IF($B472="","",IF(D$3=0,"n.b.",INDEX(SRC_ZPMW03!$A$1:$ZZ$501,$A472,D$3)))</f>
        <v/>
      </c>
      <c r="E472" t="str">
        <f>IF($B472="","",IF(E$3=0,"n.b.",INDEX(SRC_ZPMW03!$A$1:$ZZ$501,$A472,E$3)))</f>
        <v/>
      </c>
      <c r="F472" t="str">
        <f>IF($B472="","",IF(F$3=0,"n.b.",INDEX(SRC_ZPMW03!$A$1:$ZZ$501,$A472,F$3)))</f>
        <v/>
      </c>
      <c r="G472" t="str">
        <f>IF($B472="","",IF(G$3=0,"n.b.",INDEX(SRC_ZPMW03!$A$1:$ZZ$501,$A472,G$3)))</f>
        <v/>
      </c>
      <c r="H472" t="str">
        <f>IF($B472="","",IF(H$3=0,"n.b.",INDEX(SRC_ZPMW03!$A$1:$ZZ$501,$A472,H$3)))</f>
        <v/>
      </c>
      <c r="I472" t="str">
        <f>IF($B472="","",IF(I$3=0,"n.b.",INDEX(SRC_ZPMW03!$A$1:$ZZ$501,$A472,I$3)))</f>
        <v/>
      </c>
      <c r="J472" t="str">
        <f>IF($B472="","",IF(J$3=0,"n.b.",INDEX(SRC_ZPMW03!$A$1:$ZZ$501,$A472,J$3)))</f>
        <v/>
      </c>
      <c r="K472" t="str">
        <f>IF($B472="","",IF(K$3=0,"n.b.",INDEX(SRC_ZPMW03!$A$1:$ZZ$501,$A472,K$3)))</f>
        <v/>
      </c>
      <c r="L472" s="124" t="str">
        <f>IF($B472="","",IF(L$3=0,"n.b.",INDEX(SRC_ZPMW03!$A$1:$ZZ$501,$A472,L$3)))</f>
        <v/>
      </c>
      <c r="M472" s="124" t="str">
        <f>IF($B472="","",IF(M$3=0,"n.b.",INDEX(SRC_ZPMW03!$A$1:$ZZ$501,$A472,M$3)))</f>
        <v/>
      </c>
      <c r="N472" s="124" t="str">
        <f>IF($B472="","",IF(N$3=0,"n.b.",INDEX(SRC_ZPMW03!$A$1:$ZZ$501,$A472,N$3)))</f>
        <v/>
      </c>
      <c r="O472" s="124" t="str">
        <f>IF($B472="","",IF(O$3=0,"n.b.",INDEX(SRC_ZPMW03!$A$1:$ZZ$501,$A472,O$3)))</f>
        <v/>
      </c>
      <c r="P472" s="124" t="str">
        <f>IF($B472="","",IF(P$3=0,"n.b.",INDEX(SRC_ZPMW03!$A$1:$ZZ$501,$A472,P$3)))</f>
        <v/>
      </c>
      <c r="Q472" s="124" t="str">
        <f>IF($B472="","",IF(Q$3=0,"n.b.",INDEX(SRC_ZPMW03!$A$1:$ZZ$501,$A472,Q$3)))</f>
        <v/>
      </c>
      <c r="R472" s="124" t="str">
        <f>IF($B472="","",IF(R$3=0,"n.b.",INDEX(SRC_ZPMW03!$A$1:$ZZ$501,$A472,R$3)))</f>
        <v/>
      </c>
      <c r="S472" s="124" t="str">
        <f>IF($B472="","",IF(S$3=0,"n.b.",INDEX(SRC_ZPMW03!$A$1:$ZZ$501,$A472,S$3)))</f>
        <v/>
      </c>
      <c r="T472" s="124" t="str">
        <f>IF($B472="","",IF(T$3=0,"n.b.",INDEX(SRC_ZPMW03!$A$1:$ZZ$501,$A472,T$3)))</f>
        <v/>
      </c>
      <c r="U472" s="124" t="str">
        <f>IF($B472="","",IF(U$3=0,"n.b.",INDEX(SRC_ZPMW03!$A$1:$ZZ$501,$A472,U$3)))</f>
        <v/>
      </c>
      <c r="V472" s="124" t="str">
        <f>IF($B472="","",IF(V$3=0,"n.b.",INDEX(SRC_ZPMW03!$A$1:$ZZ$501,$A472,V$3)))</f>
        <v/>
      </c>
      <c r="W472" s="124" t="str">
        <f>IF($B472="","",IF(W$3=0,"n.b.",INDEX(SRC_ZPMW03!$A$1:$ZZ$501,$A472,W$3)))</f>
        <v/>
      </c>
      <c r="X472" s="124" t="str">
        <f>IF($B472="","",IF(X$3=0,"n.b.",INDEX(SRC_ZPMW03!$A$1:$ZZ$501,$A472,X$3)))</f>
        <v/>
      </c>
      <c r="Y472" s="124" t="str">
        <f>IF($B472="","",IF(Y$3=0,"n.b.",INDEX(SRC_ZPMW03!$A$1:$ZZ$501,$A472,Y$3)))</f>
        <v/>
      </c>
      <c r="Z472" s="124" t="str">
        <f>IF($B472="","",IF(Z$3=0,"n.b.",INDEX(SRC_ZPMW03!$A$1:$ZZ$501,$A472,Z$3)))</f>
        <v/>
      </c>
      <c r="AA472" s="124" t="str">
        <f>IF($B472="","",IF(AA$3=0,"n.b.",INDEX(SRC_ZPMW03!$A$1:$ZZ$501,$A472,AA$3)))</f>
        <v/>
      </c>
      <c r="AB472" s="124" t="str">
        <f>IF($B472="","",IF(AB$3=0,"n.b.",INDEX(SRC_ZPMW03!$A$1:$ZZ$501,$A472,AB$3)))</f>
        <v/>
      </c>
      <c r="AC472" s="124" t="str">
        <f>IF($B472="","",IF(AC$3=0,"n.b.",INDEX(SRC_ZPMW03!$A$1:$ZZ$501,$A472,AC$3)))</f>
        <v/>
      </c>
      <c r="AD472" s="124" t="str">
        <f>IF($B472="","",IF(AD$3=0,"n.b.",INDEX(SRC_ZPMW03!$A$1:$ZZ$501,$A472,AD$3)))</f>
        <v/>
      </c>
      <c r="AE472" s="124" t="str">
        <f>IF($B472="","",IF(AE$3=0,"n.b.",INDEX(SRC_ZPMW03!$A$1:$ZZ$501,$A472,AE$3)))</f>
        <v/>
      </c>
      <c r="AF472" s="124" t="str">
        <f>IF($B472="","",IF(AF$3=0,"n.b.",INDEX(SRC_ZPMW03!$A$1:$ZZ$501,$A472,AF$3)))</f>
        <v/>
      </c>
      <c r="AG472" s="124" t="str">
        <f>IF($B472="","",IF(AG$3=0,"n.b.",INDEX(SRC_ZPMW03!$A$1:$ZZ$501,$A472,AG$3)))</f>
        <v/>
      </c>
      <c r="AH472" s="124" t="str">
        <f>IF($B472="","",IF(AH$3=0,"n.b.",INDEX(SRC_ZPMW03!$A$1:$ZZ$501,$A472,AH$3)))</f>
        <v/>
      </c>
      <c r="AI472" s="124" t="str">
        <f>IF($B472="","",IF(AI$3=0,"n.b.",INDEX(SRC_ZPMW03!$A$1:$ZZ$501,$A472,AI$3)))</f>
        <v/>
      </c>
      <c r="AJ472" s="124" t="str">
        <f>IF($B472="","",IF(AJ$3=0,"n.b.",INDEX(SRC_ZPMW03!$A$1:$ZZ$501,$A472,AJ$3)))</f>
        <v/>
      </c>
      <c r="AK472" s="124" t="str">
        <f>IF($B472="","",IF(AK$3=0,"n.b.",INDEX(SRC_ZPMW03!$A$1:$ZZ$501,$A472,AK$3)))</f>
        <v/>
      </c>
      <c r="AL472" s="124" t="str">
        <f>IF($B472="","",IF(AL$3=0,"n.b.",INDEX(SRC_ZPMW03!$A$1:$ZZ$501,$A472,AL$3)))</f>
        <v/>
      </c>
      <c r="AM472" s="124" t="str">
        <f>IF($B472="","",IF(AM$3=0,"n.b.",INDEX(SRC_ZPMW03!$A$1:$ZZ$501,$A472,AM$3)))</f>
        <v/>
      </c>
      <c r="AN472" s="124" t="str">
        <f>IF($B472="","",IF(AN$3=0,"n.b.",INDEX(SRC_ZPMW03!$A$1:$ZZ$501,$A472,AN$3)))</f>
        <v/>
      </c>
      <c r="AO472" s="124" t="str">
        <f>IF($B472="","",IF(AO$3=0,"n.b.",INDEX(SRC_ZPMW03!$A$1:$ZZ$501,$A472,AO$3)))</f>
        <v/>
      </c>
      <c r="AP472" s="124" t="str">
        <f>IF($B472="","",IF(AP$3=0,"n.b.",INDEX(SRC_ZPMW03!$A$1:$ZZ$501,$A472,AP$3)))</f>
        <v/>
      </c>
      <c r="AQ472" s="124" t="str">
        <f>IF($B472="","",IF(AQ$3=0,"n.b.",INDEX(SRC_ZPMW03!$A$1:$ZZ$501,$A472,AQ$3)))</f>
        <v/>
      </c>
      <c r="AR472" s="124" t="str">
        <f>IF($B472="","",IF(AR$3=0,"n.b.",INDEX(SRC_ZPMW03!$A$1:$ZZ$501,$A472,AR$3)))</f>
        <v/>
      </c>
      <c r="AS472" s="124" t="str">
        <f>IF($B472="","",IF(AS$3=0,"n.b.",INDEX(SRC_ZPMW03!$A$1:$ZZ$501,$A472,AS$3)))</f>
        <v/>
      </c>
      <c r="AT472" s="124" t="str">
        <f>IF($B472="","",IF(AT$3=0,"n.b.",INDEX(SRC_ZPMW03!$A$1:$ZZ$501,$A472,AT$3)))</f>
        <v/>
      </c>
      <c r="AU472" s="124" t="str">
        <f>IF($B472="","",IF(AU$3=0,"n.b.",INDEX(SRC_ZPMW03!$A$1:$ZZ$501,$A472,AU$3)))</f>
        <v/>
      </c>
      <c r="AV472" s="124" t="str">
        <f>IF($B472="","",IF(AV$3=0,"n.b.",INDEX(SRC_ZPMW03!$A$1:$ZZ$501,$A472,AV$3)))</f>
        <v/>
      </c>
      <c r="AW472" s="124" t="str">
        <f>IF($B472="","",IF(AW$3=0,"n.b.",INDEX(SRC_ZPMW03!$A$1:$ZZ$501,$A472,AW$3)))</f>
        <v/>
      </c>
      <c r="AX472" s="124" t="str">
        <f>IF($B472="","",IF(AX$3=0,"n.b.",INDEX(SRC_ZPMW03!$A$1:$ZZ$501,$A472,AX$3)))</f>
        <v/>
      </c>
      <c r="AY472" s="124" t="str">
        <f>IF($B472="","",IF(AY$3=0,"n.b.",INDEX(SRC_ZPMW03!$A$1:$ZZ$501,$A472,AY$3)))</f>
        <v/>
      </c>
      <c r="AZ472" s="124" t="str">
        <f>IF($B472="","",IF(AZ$3=0,"n.b.",INDEX(SRC_ZPMW03!$A$1:$ZZ$501,$A472,AZ$3)))</f>
        <v/>
      </c>
      <c r="BA472" s="124" t="str">
        <f>IF($B472="","",IF(BA$3=0,"n.b.",INDEX(SRC_ZPMW03!$A$1:$ZZ$501,$A472,BA$3)))</f>
        <v/>
      </c>
      <c r="BB472" s="124" t="str">
        <f>IF($B472="","",IF(BB$3=0,"n.b.",INDEX(SRC_ZPMW03!$A$1:$ZZ$501,$A472,BB$3)))</f>
        <v/>
      </c>
      <c r="BC472" s="124" t="str">
        <f>IF($B472="","",IF(BC$3=0,"n.b.",INDEX(SRC_ZPMW03!$A$1:$ZZ$501,$A472,BC$3)))</f>
        <v/>
      </c>
      <c r="BD472" s="124" t="str">
        <f>IF($B472="","",IF(BD$3=0,"n.b.",INDEX(SRC_ZPMW03!$A$1:$ZZ$501,$A472,BD$3)))</f>
        <v/>
      </c>
      <c r="BE472" s="124" t="str">
        <f>IF($B472="","",IF(BE$3=0,"n.b.",INDEX(SRC_ZPMW03!$A$1:$ZZ$501,$A472,BE$3)))</f>
        <v/>
      </c>
      <c r="BF472" s="124" t="str">
        <f>IF($B472="","",IF(BF$3=0,"n.b.",INDEX(SRC_ZPMW03!$A$1:$ZZ$501,$A472,BF$3)))</f>
        <v/>
      </c>
      <c r="BG472" t="str">
        <f>IF($B472="","",IF(BG$3=0,"n.b.",INDEX(SRC_ZPMW03!$A$1:$ZZ$501,$A472,BG$3)))</f>
        <v/>
      </c>
      <c r="BH472" t="str">
        <f>IF($B472="","",IF(BH$3=0,"n.b.",INDEX(SRC_ZPMW03!$A$1:$ZZ$501,$A472,BH$3)))</f>
        <v/>
      </c>
      <c r="BI472" t="str">
        <f>IF($B472="","",IF(BI$3=0,"n.b.",INDEX(SRC_ZPMW03!$A$1:$ZZ$501,$A472,BI$3)))</f>
        <v/>
      </c>
      <c r="BJ472" t="str">
        <f>IF($B472="","",IF(BJ$3=0,"n.b.",INDEX(SRC_ZPMW03!$A$1:$ZZ$501,$A472,BJ$3)))</f>
        <v/>
      </c>
      <c r="BK472" s="124" t="str">
        <f>IF($B472="","",IFERROR(-O472,"n.b."))</f>
        <v/>
      </c>
      <c r="BL472" s="124" t="str">
        <f>IF($B472="","",IFERROR(-Q472,"n.b."))</f>
        <v/>
      </c>
      <c r="BM472" s="124" t="str">
        <f>IF($B472="","",IFERROR(-AB472,"n.b."))</f>
        <v/>
      </c>
      <c r="BN472" s="124" t="str">
        <f>IF($B472="","",IFERROR(-AD472,"n.b."))</f>
        <v/>
      </c>
      <c r="BO472" s="124" t="str">
        <f>IF($B472="","",IFERROR(BK472+BM472,"n.b."))</f>
        <v/>
      </c>
      <c r="BP472" s="124" t="str">
        <f>IF($B472="","",IFERROR(BL472+BN472,"n.b."))</f>
        <v/>
      </c>
      <c r="BQ472" s="124" t="str">
        <f>IF($B472="","",IFERROR(-AM472,"n.b."))</f>
        <v/>
      </c>
      <c r="BR472" s="124" t="str">
        <f>IF($B472="","",IFERROR(-AO472,"n.b."))</f>
        <v/>
      </c>
      <c r="BS472" s="124" t="str">
        <f>IF($B472="","",IFERROR(-Z472,"n.b."))</f>
        <v/>
      </c>
      <c r="BT472" s="124" t="str">
        <f>IF($B472="","",IFERROR(-AA472,"n.b."))</f>
        <v/>
      </c>
      <c r="BU472" s="124" t="str">
        <f>IF($B472="","",IFERROR(-AE472,"n.b."))</f>
        <v/>
      </c>
      <c r="BV472" s="124" t="str">
        <f>IF($B472="","",IFERROR(-AF472,"n.b."))</f>
        <v/>
      </c>
      <c r="BW472" s="124" t="str">
        <f>IF($B472="","",IFERROR(-AG472,"n.b."))</f>
        <v/>
      </c>
      <c r="BX472" s="124" t="str">
        <f>IF($B472="","",IFERROR(-AH472,"n.b."))</f>
        <v/>
      </c>
      <c r="BY472" s="124" t="str">
        <f>IF($B472="","",IFERROR(-AI472,"n.b."))</f>
        <v/>
      </c>
      <c r="BZ472" s="124" t="str">
        <f>IF($B472="","",IFERROR(-AJ472,"n.b."))</f>
        <v/>
      </c>
      <c r="CA472" s="124" t="str">
        <f>IF($B472="","",IFERROR(-AK472,"n.b."))</f>
        <v/>
      </c>
      <c r="CB472" s="124" t="str">
        <f>IF($B472="","",IFERROR(-AL472,"n.b."))</f>
        <v/>
      </c>
      <c r="CC472" s="124" t="str">
        <f>IF($B472="","",IFERROR(-AP472,"n.b."))</f>
        <v/>
      </c>
      <c r="CD472" s="124" t="str">
        <f>IF($B472="","",IFERROR(-AQ472,"n.b."))</f>
        <v/>
      </c>
      <c r="CE472" s="124" t="str">
        <f>IF($B472="","",IFERROR(-AR472,"n.b."))</f>
        <v/>
      </c>
      <c r="CF472" s="124" t="str">
        <f>IF($B472="","",IFERROR(-AS472,"n.b."))</f>
        <v/>
      </c>
      <c r="CG472" s="124" t="str">
        <f>IF($B472="","",IFERROR(-AT472,"n.b."))</f>
        <v/>
      </c>
      <c r="CH472" s="124" t="str">
        <f>IF($B472="","",IFERROR(-AU472,"n.b."))</f>
        <v/>
      </c>
      <c r="CI472" s="124" t="str">
        <f>IF($B472="","",IFERROR(-AV472,"n.b."))</f>
        <v/>
      </c>
      <c r="CJ472" s="124" t="str">
        <f>IF($B472="","",IFERROR(-AW472,"n.b."))</f>
        <v/>
      </c>
      <c r="CK472" s="124" t="str">
        <f>IF($B472="","",IFERROR(-AX472,"n.b."))</f>
        <v/>
      </c>
      <c r="CL472" s="124" t="str">
        <f>IF($B472="","",IFERROR(-AY472,"n.b."))</f>
        <v/>
      </c>
      <c r="CM472" s="124" t="str">
        <f>IF($B472="","",IFERROR(-AZ472,"n.b."))</f>
        <v/>
      </c>
      <c r="CN472" s="124" t="str">
        <f>IF($B472="","",IFERROR(-BA472,"n.b."))</f>
        <v/>
      </c>
      <c r="CO472" s="124" t="str">
        <f>IF($B472="","",IFERROR(-BB472,"n.b."))</f>
        <v/>
      </c>
      <c r="CP472" s="124" t="str">
        <f>IF($B472="","",IFERROR(-BC472,"n.b."))</f>
        <v/>
      </c>
      <c r="CQ472" s="124" t="str">
        <f>IF($B472="","",IFERROR(-BD472,"n.b."))</f>
        <v/>
      </c>
      <c r="CR472" s="124" t="str">
        <f>IF($B472="","",IFERROR(-BE472,"n.b."))</f>
        <v/>
      </c>
      <c r="CS472" s="124" t="str">
        <f>IF($B472="","",IFERROR(IF(OR(ABS(T472+V472+X472+Z472-AB472)&gt;P_Tol,ABS(U472+W472+Y472+AA472-AD472)&gt;P_Tol,ABS(AE472+AG472+AI472+AK472-AM472)&gt;P_Tol,ABS(AF472+AH472+AJ472+AL472-AO472)&gt;P_Tol),1,0),1))</f>
        <v/>
      </c>
      <c r="CT472" s="124" t="str">
        <f>IF($B472="","",IFERROR(IF(OR(ABS(AB472+AC472-AD472)&gt;P_Tol,ABS(AM472+AN472-AO472)&gt;P_Tol,ABS(O472+P472-Q472)&gt;P_Tol),1,0),1))</f>
        <v/>
      </c>
      <c r="CU472" s="124" t="str">
        <f>IF($B472="","",IFERROR(IF(ABS(R472-(AB472+AM472+AP472+AR472+AT472+AV472+AX472+AZ472+BB472+BD472))&gt;P_Tol,1,0),1))</f>
        <v/>
      </c>
      <c r="CV472" s="124" t="str">
        <f>IF($B472="","",IFERROR(IF(ABS(M472-(N472+O472+R472))&gt;P_Tol,1,0),1))</f>
        <v/>
      </c>
      <c r="CW472" s="124" t="str">
        <f>IF($B472="","",IF(COUNTIF(Mapping!$A$5:$A$104,B472)&gt;0,1,0))</f>
        <v/>
      </c>
      <c r="CX472" s="124" t="str">
        <f>IF($B472="","",COUNTIF($B$6:$B$505,B472))</f>
        <v/>
      </c>
      <c r="CY472" s="124" t="str">
        <f>IF($B472="","",COUNTIF(STG_Woningetalage!$B$6:$B$505,B472))</f>
        <v/>
      </c>
      <c r="CZ472" s="124" t="str">
        <f>IF($B472="","",IF(CW472=0,COUNTIF($CW$6:CW472,0),""))</f>
        <v/>
      </c>
    </row>
    <row r="473">
      <c r="A473" s="15" t="n">
        <v>469</v>
      </c>
      <c r="B473" t="str">
        <f>IF(B$3=0,"",IF(INDEX(SRC_ZPMW03!$A$1:$ZZ$501,$A473,B$3)&amp;""="","",INDEX(SRC_ZPMW03!$A$1:$ZZ$501,$A473,B$3)&amp;""))</f>
        <v/>
      </c>
      <c r="C473" t="str">
        <f>IF($B473="","",IF(C$3=0,"n.b.",INDEX(SRC_ZPMW03!$A$1:$ZZ$501,$A473,C$3)))</f>
        <v/>
      </c>
      <c r="D473" t="str">
        <f>IF($B473="","",IF(D$3=0,"n.b.",INDEX(SRC_ZPMW03!$A$1:$ZZ$501,$A473,D$3)))</f>
        <v/>
      </c>
      <c r="E473" t="str">
        <f>IF($B473="","",IF(E$3=0,"n.b.",INDEX(SRC_ZPMW03!$A$1:$ZZ$501,$A473,E$3)))</f>
        <v/>
      </c>
      <c r="F473" t="str">
        <f>IF($B473="","",IF(F$3=0,"n.b.",INDEX(SRC_ZPMW03!$A$1:$ZZ$501,$A473,F$3)))</f>
        <v/>
      </c>
      <c r="G473" t="str">
        <f>IF($B473="","",IF(G$3=0,"n.b.",INDEX(SRC_ZPMW03!$A$1:$ZZ$501,$A473,G$3)))</f>
        <v/>
      </c>
      <c r="H473" t="str">
        <f>IF($B473="","",IF(H$3=0,"n.b.",INDEX(SRC_ZPMW03!$A$1:$ZZ$501,$A473,H$3)))</f>
        <v/>
      </c>
      <c r="I473" t="str">
        <f>IF($B473="","",IF(I$3=0,"n.b.",INDEX(SRC_ZPMW03!$A$1:$ZZ$501,$A473,I$3)))</f>
        <v/>
      </c>
      <c r="J473" t="str">
        <f>IF($B473="","",IF(J$3=0,"n.b.",INDEX(SRC_ZPMW03!$A$1:$ZZ$501,$A473,J$3)))</f>
        <v/>
      </c>
      <c r="K473" t="str">
        <f>IF($B473="","",IF(K$3=0,"n.b.",INDEX(SRC_ZPMW03!$A$1:$ZZ$501,$A473,K$3)))</f>
        <v/>
      </c>
      <c r="L473" s="124" t="str">
        <f>IF($B473="","",IF(L$3=0,"n.b.",INDEX(SRC_ZPMW03!$A$1:$ZZ$501,$A473,L$3)))</f>
        <v/>
      </c>
      <c r="M473" s="124" t="str">
        <f>IF($B473="","",IF(M$3=0,"n.b.",INDEX(SRC_ZPMW03!$A$1:$ZZ$501,$A473,M$3)))</f>
        <v/>
      </c>
      <c r="N473" s="124" t="str">
        <f>IF($B473="","",IF(N$3=0,"n.b.",INDEX(SRC_ZPMW03!$A$1:$ZZ$501,$A473,N$3)))</f>
        <v/>
      </c>
      <c r="O473" s="124" t="str">
        <f>IF($B473="","",IF(O$3=0,"n.b.",INDEX(SRC_ZPMW03!$A$1:$ZZ$501,$A473,O$3)))</f>
        <v/>
      </c>
      <c r="P473" s="124" t="str">
        <f>IF($B473="","",IF(P$3=0,"n.b.",INDEX(SRC_ZPMW03!$A$1:$ZZ$501,$A473,P$3)))</f>
        <v/>
      </c>
      <c r="Q473" s="124" t="str">
        <f>IF($B473="","",IF(Q$3=0,"n.b.",INDEX(SRC_ZPMW03!$A$1:$ZZ$501,$A473,Q$3)))</f>
        <v/>
      </c>
      <c r="R473" s="124" t="str">
        <f>IF($B473="","",IF(R$3=0,"n.b.",INDEX(SRC_ZPMW03!$A$1:$ZZ$501,$A473,R$3)))</f>
        <v/>
      </c>
      <c r="S473" s="124" t="str">
        <f>IF($B473="","",IF(S$3=0,"n.b.",INDEX(SRC_ZPMW03!$A$1:$ZZ$501,$A473,S$3)))</f>
        <v/>
      </c>
      <c r="T473" s="124" t="str">
        <f>IF($B473="","",IF(T$3=0,"n.b.",INDEX(SRC_ZPMW03!$A$1:$ZZ$501,$A473,T$3)))</f>
        <v/>
      </c>
      <c r="U473" s="124" t="str">
        <f>IF($B473="","",IF(U$3=0,"n.b.",INDEX(SRC_ZPMW03!$A$1:$ZZ$501,$A473,U$3)))</f>
        <v/>
      </c>
      <c r="V473" s="124" t="str">
        <f>IF($B473="","",IF(V$3=0,"n.b.",INDEX(SRC_ZPMW03!$A$1:$ZZ$501,$A473,V$3)))</f>
        <v/>
      </c>
      <c r="W473" s="124" t="str">
        <f>IF($B473="","",IF(W$3=0,"n.b.",INDEX(SRC_ZPMW03!$A$1:$ZZ$501,$A473,W$3)))</f>
        <v/>
      </c>
      <c r="X473" s="124" t="str">
        <f>IF($B473="","",IF(X$3=0,"n.b.",INDEX(SRC_ZPMW03!$A$1:$ZZ$501,$A473,X$3)))</f>
        <v/>
      </c>
      <c r="Y473" s="124" t="str">
        <f>IF($B473="","",IF(Y$3=0,"n.b.",INDEX(SRC_ZPMW03!$A$1:$ZZ$501,$A473,Y$3)))</f>
        <v/>
      </c>
      <c r="Z473" s="124" t="str">
        <f>IF($B473="","",IF(Z$3=0,"n.b.",INDEX(SRC_ZPMW03!$A$1:$ZZ$501,$A473,Z$3)))</f>
        <v/>
      </c>
      <c r="AA473" s="124" t="str">
        <f>IF($B473="","",IF(AA$3=0,"n.b.",INDEX(SRC_ZPMW03!$A$1:$ZZ$501,$A473,AA$3)))</f>
        <v/>
      </c>
      <c r="AB473" s="124" t="str">
        <f>IF($B473="","",IF(AB$3=0,"n.b.",INDEX(SRC_ZPMW03!$A$1:$ZZ$501,$A473,AB$3)))</f>
        <v/>
      </c>
      <c r="AC473" s="124" t="str">
        <f>IF($B473="","",IF(AC$3=0,"n.b.",INDEX(SRC_ZPMW03!$A$1:$ZZ$501,$A473,AC$3)))</f>
        <v/>
      </c>
      <c r="AD473" s="124" t="str">
        <f>IF($B473="","",IF(AD$3=0,"n.b.",INDEX(SRC_ZPMW03!$A$1:$ZZ$501,$A473,AD$3)))</f>
        <v/>
      </c>
      <c r="AE473" s="124" t="str">
        <f>IF($B473="","",IF(AE$3=0,"n.b.",INDEX(SRC_ZPMW03!$A$1:$ZZ$501,$A473,AE$3)))</f>
        <v/>
      </c>
      <c r="AF473" s="124" t="str">
        <f>IF($B473="","",IF(AF$3=0,"n.b.",INDEX(SRC_ZPMW03!$A$1:$ZZ$501,$A473,AF$3)))</f>
        <v/>
      </c>
      <c r="AG473" s="124" t="str">
        <f>IF($B473="","",IF(AG$3=0,"n.b.",INDEX(SRC_ZPMW03!$A$1:$ZZ$501,$A473,AG$3)))</f>
        <v/>
      </c>
      <c r="AH473" s="124" t="str">
        <f>IF($B473="","",IF(AH$3=0,"n.b.",INDEX(SRC_ZPMW03!$A$1:$ZZ$501,$A473,AH$3)))</f>
        <v/>
      </c>
      <c r="AI473" s="124" t="str">
        <f>IF($B473="","",IF(AI$3=0,"n.b.",INDEX(SRC_ZPMW03!$A$1:$ZZ$501,$A473,AI$3)))</f>
        <v/>
      </c>
      <c r="AJ473" s="124" t="str">
        <f>IF($B473="","",IF(AJ$3=0,"n.b.",INDEX(SRC_ZPMW03!$A$1:$ZZ$501,$A473,AJ$3)))</f>
        <v/>
      </c>
      <c r="AK473" s="124" t="str">
        <f>IF($B473="","",IF(AK$3=0,"n.b.",INDEX(SRC_ZPMW03!$A$1:$ZZ$501,$A473,AK$3)))</f>
        <v/>
      </c>
      <c r="AL473" s="124" t="str">
        <f>IF($B473="","",IF(AL$3=0,"n.b.",INDEX(SRC_ZPMW03!$A$1:$ZZ$501,$A473,AL$3)))</f>
        <v/>
      </c>
      <c r="AM473" s="124" t="str">
        <f>IF($B473="","",IF(AM$3=0,"n.b.",INDEX(SRC_ZPMW03!$A$1:$ZZ$501,$A473,AM$3)))</f>
        <v/>
      </c>
      <c r="AN473" s="124" t="str">
        <f>IF($B473="","",IF(AN$3=0,"n.b.",INDEX(SRC_ZPMW03!$A$1:$ZZ$501,$A473,AN$3)))</f>
        <v/>
      </c>
      <c r="AO473" s="124" t="str">
        <f>IF($B473="","",IF(AO$3=0,"n.b.",INDEX(SRC_ZPMW03!$A$1:$ZZ$501,$A473,AO$3)))</f>
        <v/>
      </c>
      <c r="AP473" s="124" t="str">
        <f>IF($B473="","",IF(AP$3=0,"n.b.",INDEX(SRC_ZPMW03!$A$1:$ZZ$501,$A473,AP$3)))</f>
        <v/>
      </c>
      <c r="AQ473" s="124" t="str">
        <f>IF($B473="","",IF(AQ$3=0,"n.b.",INDEX(SRC_ZPMW03!$A$1:$ZZ$501,$A473,AQ$3)))</f>
        <v/>
      </c>
      <c r="AR473" s="124" t="str">
        <f>IF($B473="","",IF(AR$3=0,"n.b.",INDEX(SRC_ZPMW03!$A$1:$ZZ$501,$A473,AR$3)))</f>
        <v/>
      </c>
      <c r="AS473" s="124" t="str">
        <f>IF($B473="","",IF(AS$3=0,"n.b.",INDEX(SRC_ZPMW03!$A$1:$ZZ$501,$A473,AS$3)))</f>
        <v/>
      </c>
      <c r="AT473" s="124" t="str">
        <f>IF($B473="","",IF(AT$3=0,"n.b.",INDEX(SRC_ZPMW03!$A$1:$ZZ$501,$A473,AT$3)))</f>
        <v/>
      </c>
      <c r="AU473" s="124" t="str">
        <f>IF($B473="","",IF(AU$3=0,"n.b.",INDEX(SRC_ZPMW03!$A$1:$ZZ$501,$A473,AU$3)))</f>
        <v/>
      </c>
      <c r="AV473" s="124" t="str">
        <f>IF($B473="","",IF(AV$3=0,"n.b.",INDEX(SRC_ZPMW03!$A$1:$ZZ$501,$A473,AV$3)))</f>
        <v/>
      </c>
      <c r="AW473" s="124" t="str">
        <f>IF($B473="","",IF(AW$3=0,"n.b.",INDEX(SRC_ZPMW03!$A$1:$ZZ$501,$A473,AW$3)))</f>
        <v/>
      </c>
      <c r="AX473" s="124" t="str">
        <f>IF($B473="","",IF(AX$3=0,"n.b.",INDEX(SRC_ZPMW03!$A$1:$ZZ$501,$A473,AX$3)))</f>
        <v/>
      </c>
      <c r="AY473" s="124" t="str">
        <f>IF($B473="","",IF(AY$3=0,"n.b.",INDEX(SRC_ZPMW03!$A$1:$ZZ$501,$A473,AY$3)))</f>
        <v/>
      </c>
      <c r="AZ473" s="124" t="str">
        <f>IF($B473="","",IF(AZ$3=0,"n.b.",INDEX(SRC_ZPMW03!$A$1:$ZZ$501,$A473,AZ$3)))</f>
        <v/>
      </c>
      <c r="BA473" s="124" t="str">
        <f>IF($B473="","",IF(BA$3=0,"n.b.",INDEX(SRC_ZPMW03!$A$1:$ZZ$501,$A473,BA$3)))</f>
        <v/>
      </c>
      <c r="BB473" s="124" t="str">
        <f>IF($B473="","",IF(BB$3=0,"n.b.",INDEX(SRC_ZPMW03!$A$1:$ZZ$501,$A473,BB$3)))</f>
        <v/>
      </c>
      <c r="BC473" s="124" t="str">
        <f>IF($B473="","",IF(BC$3=0,"n.b.",INDEX(SRC_ZPMW03!$A$1:$ZZ$501,$A473,BC$3)))</f>
        <v/>
      </c>
      <c r="BD473" s="124" t="str">
        <f>IF($B473="","",IF(BD$3=0,"n.b.",INDEX(SRC_ZPMW03!$A$1:$ZZ$501,$A473,BD$3)))</f>
        <v/>
      </c>
      <c r="BE473" s="124" t="str">
        <f>IF($B473="","",IF(BE$3=0,"n.b.",INDEX(SRC_ZPMW03!$A$1:$ZZ$501,$A473,BE$3)))</f>
        <v/>
      </c>
      <c r="BF473" s="124" t="str">
        <f>IF($B473="","",IF(BF$3=0,"n.b.",INDEX(SRC_ZPMW03!$A$1:$ZZ$501,$A473,BF$3)))</f>
        <v/>
      </c>
      <c r="BG473" t="str">
        <f>IF($B473="","",IF(BG$3=0,"n.b.",INDEX(SRC_ZPMW03!$A$1:$ZZ$501,$A473,BG$3)))</f>
        <v/>
      </c>
      <c r="BH473" t="str">
        <f>IF($B473="","",IF(BH$3=0,"n.b.",INDEX(SRC_ZPMW03!$A$1:$ZZ$501,$A473,BH$3)))</f>
        <v/>
      </c>
      <c r="BI473" t="str">
        <f>IF($B473="","",IF(BI$3=0,"n.b.",INDEX(SRC_ZPMW03!$A$1:$ZZ$501,$A473,BI$3)))</f>
        <v/>
      </c>
      <c r="BJ473" t="str">
        <f>IF($B473="","",IF(BJ$3=0,"n.b.",INDEX(SRC_ZPMW03!$A$1:$ZZ$501,$A473,BJ$3)))</f>
        <v/>
      </c>
      <c r="BK473" s="124" t="str">
        <f>IF($B473="","",IFERROR(-O473,"n.b."))</f>
        <v/>
      </c>
      <c r="BL473" s="124" t="str">
        <f>IF($B473="","",IFERROR(-Q473,"n.b."))</f>
        <v/>
      </c>
      <c r="BM473" s="124" t="str">
        <f>IF($B473="","",IFERROR(-AB473,"n.b."))</f>
        <v/>
      </c>
      <c r="BN473" s="124" t="str">
        <f>IF($B473="","",IFERROR(-AD473,"n.b."))</f>
        <v/>
      </c>
      <c r="BO473" s="124" t="str">
        <f>IF($B473="","",IFERROR(BK473+BM473,"n.b."))</f>
        <v/>
      </c>
      <c r="BP473" s="124" t="str">
        <f>IF($B473="","",IFERROR(BL473+BN473,"n.b."))</f>
        <v/>
      </c>
      <c r="BQ473" s="124" t="str">
        <f>IF($B473="","",IFERROR(-AM473,"n.b."))</f>
        <v/>
      </c>
      <c r="BR473" s="124" t="str">
        <f>IF($B473="","",IFERROR(-AO473,"n.b."))</f>
        <v/>
      </c>
      <c r="BS473" s="124" t="str">
        <f>IF($B473="","",IFERROR(-Z473,"n.b."))</f>
        <v/>
      </c>
      <c r="BT473" s="124" t="str">
        <f>IF($B473="","",IFERROR(-AA473,"n.b."))</f>
        <v/>
      </c>
      <c r="BU473" s="124" t="str">
        <f>IF($B473="","",IFERROR(-AE473,"n.b."))</f>
        <v/>
      </c>
      <c r="BV473" s="124" t="str">
        <f>IF($B473="","",IFERROR(-AF473,"n.b."))</f>
        <v/>
      </c>
      <c r="BW473" s="124" t="str">
        <f>IF($B473="","",IFERROR(-AG473,"n.b."))</f>
        <v/>
      </c>
      <c r="BX473" s="124" t="str">
        <f>IF($B473="","",IFERROR(-AH473,"n.b."))</f>
        <v/>
      </c>
      <c r="BY473" s="124" t="str">
        <f>IF($B473="","",IFERROR(-AI473,"n.b."))</f>
        <v/>
      </c>
      <c r="BZ473" s="124" t="str">
        <f>IF($B473="","",IFERROR(-AJ473,"n.b."))</f>
        <v/>
      </c>
      <c r="CA473" s="124" t="str">
        <f>IF($B473="","",IFERROR(-AK473,"n.b."))</f>
        <v/>
      </c>
      <c r="CB473" s="124" t="str">
        <f>IF($B473="","",IFERROR(-AL473,"n.b."))</f>
        <v/>
      </c>
      <c r="CC473" s="124" t="str">
        <f>IF($B473="","",IFERROR(-AP473,"n.b."))</f>
        <v/>
      </c>
      <c r="CD473" s="124" t="str">
        <f>IF($B473="","",IFERROR(-AQ473,"n.b."))</f>
        <v/>
      </c>
      <c r="CE473" s="124" t="str">
        <f>IF($B473="","",IFERROR(-AR473,"n.b."))</f>
        <v/>
      </c>
      <c r="CF473" s="124" t="str">
        <f>IF($B473="","",IFERROR(-AS473,"n.b."))</f>
        <v/>
      </c>
      <c r="CG473" s="124" t="str">
        <f>IF($B473="","",IFERROR(-AT473,"n.b."))</f>
        <v/>
      </c>
      <c r="CH473" s="124" t="str">
        <f>IF($B473="","",IFERROR(-AU473,"n.b."))</f>
        <v/>
      </c>
      <c r="CI473" s="124" t="str">
        <f>IF($B473="","",IFERROR(-AV473,"n.b."))</f>
        <v/>
      </c>
      <c r="CJ473" s="124" t="str">
        <f>IF($B473="","",IFERROR(-AW473,"n.b."))</f>
        <v/>
      </c>
      <c r="CK473" s="124" t="str">
        <f>IF($B473="","",IFERROR(-AX473,"n.b."))</f>
        <v/>
      </c>
      <c r="CL473" s="124" t="str">
        <f>IF($B473="","",IFERROR(-AY473,"n.b."))</f>
        <v/>
      </c>
      <c r="CM473" s="124" t="str">
        <f>IF($B473="","",IFERROR(-AZ473,"n.b."))</f>
        <v/>
      </c>
      <c r="CN473" s="124" t="str">
        <f>IF($B473="","",IFERROR(-BA473,"n.b."))</f>
        <v/>
      </c>
      <c r="CO473" s="124" t="str">
        <f>IF($B473="","",IFERROR(-BB473,"n.b."))</f>
        <v/>
      </c>
      <c r="CP473" s="124" t="str">
        <f>IF($B473="","",IFERROR(-BC473,"n.b."))</f>
        <v/>
      </c>
      <c r="CQ473" s="124" t="str">
        <f>IF($B473="","",IFERROR(-BD473,"n.b."))</f>
        <v/>
      </c>
      <c r="CR473" s="124" t="str">
        <f>IF($B473="","",IFERROR(-BE473,"n.b."))</f>
        <v/>
      </c>
      <c r="CS473" s="124" t="str">
        <f>IF($B473="","",IFERROR(IF(OR(ABS(T473+V473+X473+Z473-AB473)&gt;P_Tol,ABS(U473+W473+Y473+AA473-AD473)&gt;P_Tol,ABS(AE473+AG473+AI473+AK473-AM473)&gt;P_Tol,ABS(AF473+AH473+AJ473+AL473-AO473)&gt;P_Tol),1,0),1))</f>
        <v/>
      </c>
      <c r="CT473" s="124" t="str">
        <f>IF($B473="","",IFERROR(IF(OR(ABS(AB473+AC473-AD473)&gt;P_Tol,ABS(AM473+AN473-AO473)&gt;P_Tol,ABS(O473+P473-Q473)&gt;P_Tol),1,0),1))</f>
        <v/>
      </c>
      <c r="CU473" s="124" t="str">
        <f>IF($B473="","",IFERROR(IF(ABS(R473-(AB473+AM473+AP473+AR473+AT473+AV473+AX473+AZ473+BB473+BD473))&gt;P_Tol,1,0),1))</f>
        <v/>
      </c>
      <c r="CV473" s="124" t="str">
        <f>IF($B473="","",IFERROR(IF(ABS(M473-(N473+O473+R473))&gt;P_Tol,1,0),1))</f>
        <v/>
      </c>
      <c r="CW473" s="124" t="str">
        <f>IF($B473="","",IF(COUNTIF(Mapping!$A$5:$A$104,B473)&gt;0,1,0))</f>
        <v/>
      </c>
      <c r="CX473" s="124" t="str">
        <f>IF($B473="","",COUNTIF($B$6:$B$505,B473))</f>
        <v/>
      </c>
      <c r="CY473" s="124" t="str">
        <f>IF($B473="","",COUNTIF(STG_Woningetalage!$B$6:$B$505,B473))</f>
        <v/>
      </c>
      <c r="CZ473" s="124" t="str">
        <f>IF($B473="","",IF(CW473=0,COUNTIF($CW$6:CW473,0),""))</f>
        <v/>
      </c>
    </row>
    <row r="474">
      <c r="A474" s="15" t="n">
        <v>470</v>
      </c>
      <c r="B474" t="str">
        <f>IF(B$3=0,"",IF(INDEX(SRC_ZPMW03!$A$1:$ZZ$501,$A474,B$3)&amp;""="","",INDEX(SRC_ZPMW03!$A$1:$ZZ$501,$A474,B$3)&amp;""))</f>
        <v/>
      </c>
      <c r="C474" t="str">
        <f>IF($B474="","",IF(C$3=0,"n.b.",INDEX(SRC_ZPMW03!$A$1:$ZZ$501,$A474,C$3)))</f>
        <v/>
      </c>
      <c r="D474" t="str">
        <f>IF($B474="","",IF(D$3=0,"n.b.",INDEX(SRC_ZPMW03!$A$1:$ZZ$501,$A474,D$3)))</f>
        <v/>
      </c>
      <c r="E474" t="str">
        <f>IF($B474="","",IF(E$3=0,"n.b.",INDEX(SRC_ZPMW03!$A$1:$ZZ$501,$A474,E$3)))</f>
        <v/>
      </c>
      <c r="F474" t="str">
        <f>IF($B474="","",IF(F$3=0,"n.b.",INDEX(SRC_ZPMW03!$A$1:$ZZ$501,$A474,F$3)))</f>
        <v/>
      </c>
      <c r="G474" t="str">
        <f>IF($B474="","",IF(G$3=0,"n.b.",INDEX(SRC_ZPMW03!$A$1:$ZZ$501,$A474,G$3)))</f>
        <v/>
      </c>
      <c r="H474" t="str">
        <f>IF($B474="","",IF(H$3=0,"n.b.",INDEX(SRC_ZPMW03!$A$1:$ZZ$501,$A474,H$3)))</f>
        <v/>
      </c>
      <c r="I474" t="str">
        <f>IF($B474="","",IF(I$3=0,"n.b.",INDEX(SRC_ZPMW03!$A$1:$ZZ$501,$A474,I$3)))</f>
        <v/>
      </c>
      <c r="J474" t="str">
        <f>IF($B474="","",IF(J$3=0,"n.b.",INDEX(SRC_ZPMW03!$A$1:$ZZ$501,$A474,J$3)))</f>
        <v/>
      </c>
      <c r="K474" t="str">
        <f>IF($B474="","",IF(K$3=0,"n.b.",INDEX(SRC_ZPMW03!$A$1:$ZZ$501,$A474,K$3)))</f>
        <v/>
      </c>
      <c r="L474" s="124" t="str">
        <f>IF($B474="","",IF(L$3=0,"n.b.",INDEX(SRC_ZPMW03!$A$1:$ZZ$501,$A474,L$3)))</f>
        <v/>
      </c>
      <c r="M474" s="124" t="str">
        <f>IF($B474="","",IF(M$3=0,"n.b.",INDEX(SRC_ZPMW03!$A$1:$ZZ$501,$A474,M$3)))</f>
        <v/>
      </c>
      <c r="N474" s="124" t="str">
        <f>IF($B474="","",IF(N$3=0,"n.b.",INDEX(SRC_ZPMW03!$A$1:$ZZ$501,$A474,N$3)))</f>
        <v/>
      </c>
      <c r="O474" s="124" t="str">
        <f>IF($B474="","",IF(O$3=0,"n.b.",INDEX(SRC_ZPMW03!$A$1:$ZZ$501,$A474,O$3)))</f>
        <v/>
      </c>
      <c r="P474" s="124" t="str">
        <f>IF($B474="","",IF(P$3=0,"n.b.",INDEX(SRC_ZPMW03!$A$1:$ZZ$501,$A474,P$3)))</f>
        <v/>
      </c>
      <c r="Q474" s="124" t="str">
        <f>IF($B474="","",IF(Q$3=0,"n.b.",INDEX(SRC_ZPMW03!$A$1:$ZZ$501,$A474,Q$3)))</f>
        <v/>
      </c>
      <c r="R474" s="124" t="str">
        <f>IF($B474="","",IF(R$3=0,"n.b.",INDEX(SRC_ZPMW03!$A$1:$ZZ$501,$A474,R$3)))</f>
        <v/>
      </c>
      <c r="S474" s="124" t="str">
        <f>IF($B474="","",IF(S$3=0,"n.b.",INDEX(SRC_ZPMW03!$A$1:$ZZ$501,$A474,S$3)))</f>
        <v/>
      </c>
      <c r="T474" s="124" t="str">
        <f>IF($B474="","",IF(T$3=0,"n.b.",INDEX(SRC_ZPMW03!$A$1:$ZZ$501,$A474,T$3)))</f>
        <v/>
      </c>
      <c r="U474" s="124" t="str">
        <f>IF($B474="","",IF(U$3=0,"n.b.",INDEX(SRC_ZPMW03!$A$1:$ZZ$501,$A474,U$3)))</f>
        <v/>
      </c>
      <c r="V474" s="124" t="str">
        <f>IF($B474="","",IF(V$3=0,"n.b.",INDEX(SRC_ZPMW03!$A$1:$ZZ$501,$A474,V$3)))</f>
        <v/>
      </c>
      <c r="W474" s="124" t="str">
        <f>IF($B474="","",IF(W$3=0,"n.b.",INDEX(SRC_ZPMW03!$A$1:$ZZ$501,$A474,W$3)))</f>
        <v/>
      </c>
      <c r="X474" s="124" t="str">
        <f>IF($B474="","",IF(X$3=0,"n.b.",INDEX(SRC_ZPMW03!$A$1:$ZZ$501,$A474,X$3)))</f>
        <v/>
      </c>
      <c r="Y474" s="124" t="str">
        <f>IF($B474="","",IF(Y$3=0,"n.b.",INDEX(SRC_ZPMW03!$A$1:$ZZ$501,$A474,Y$3)))</f>
        <v/>
      </c>
      <c r="Z474" s="124" t="str">
        <f>IF($B474="","",IF(Z$3=0,"n.b.",INDEX(SRC_ZPMW03!$A$1:$ZZ$501,$A474,Z$3)))</f>
        <v/>
      </c>
      <c r="AA474" s="124" t="str">
        <f>IF($B474="","",IF(AA$3=0,"n.b.",INDEX(SRC_ZPMW03!$A$1:$ZZ$501,$A474,AA$3)))</f>
        <v/>
      </c>
      <c r="AB474" s="124" t="str">
        <f>IF($B474="","",IF(AB$3=0,"n.b.",INDEX(SRC_ZPMW03!$A$1:$ZZ$501,$A474,AB$3)))</f>
        <v/>
      </c>
      <c r="AC474" s="124" t="str">
        <f>IF($B474="","",IF(AC$3=0,"n.b.",INDEX(SRC_ZPMW03!$A$1:$ZZ$501,$A474,AC$3)))</f>
        <v/>
      </c>
      <c r="AD474" s="124" t="str">
        <f>IF($B474="","",IF(AD$3=0,"n.b.",INDEX(SRC_ZPMW03!$A$1:$ZZ$501,$A474,AD$3)))</f>
        <v/>
      </c>
      <c r="AE474" s="124" t="str">
        <f>IF($B474="","",IF(AE$3=0,"n.b.",INDEX(SRC_ZPMW03!$A$1:$ZZ$501,$A474,AE$3)))</f>
        <v/>
      </c>
      <c r="AF474" s="124" t="str">
        <f>IF($B474="","",IF(AF$3=0,"n.b.",INDEX(SRC_ZPMW03!$A$1:$ZZ$501,$A474,AF$3)))</f>
        <v/>
      </c>
      <c r="AG474" s="124" t="str">
        <f>IF($B474="","",IF(AG$3=0,"n.b.",INDEX(SRC_ZPMW03!$A$1:$ZZ$501,$A474,AG$3)))</f>
        <v/>
      </c>
      <c r="AH474" s="124" t="str">
        <f>IF($B474="","",IF(AH$3=0,"n.b.",INDEX(SRC_ZPMW03!$A$1:$ZZ$501,$A474,AH$3)))</f>
        <v/>
      </c>
      <c r="AI474" s="124" t="str">
        <f>IF($B474="","",IF(AI$3=0,"n.b.",INDEX(SRC_ZPMW03!$A$1:$ZZ$501,$A474,AI$3)))</f>
        <v/>
      </c>
      <c r="AJ474" s="124" t="str">
        <f>IF($B474="","",IF(AJ$3=0,"n.b.",INDEX(SRC_ZPMW03!$A$1:$ZZ$501,$A474,AJ$3)))</f>
        <v/>
      </c>
      <c r="AK474" s="124" t="str">
        <f>IF($B474="","",IF(AK$3=0,"n.b.",INDEX(SRC_ZPMW03!$A$1:$ZZ$501,$A474,AK$3)))</f>
        <v/>
      </c>
      <c r="AL474" s="124" t="str">
        <f>IF($B474="","",IF(AL$3=0,"n.b.",INDEX(SRC_ZPMW03!$A$1:$ZZ$501,$A474,AL$3)))</f>
        <v/>
      </c>
      <c r="AM474" s="124" t="str">
        <f>IF($B474="","",IF(AM$3=0,"n.b.",INDEX(SRC_ZPMW03!$A$1:$ZZ$501,$A474,AM$3)))</f>
        <v/>
      </c>
      <c r="AN474" s="124" t="str">
        <f>IF($B474="","",IF(AN$3=0,"n.b.",INDEX(SRC_ZPMW03!$A$1:$ZZ$501,$A474,AN$3)))</f>
        <v/>
      </c>
      <c r="AO474" s="124" t="str">
        <f>IF($B474="","",IF(AO$3=0,"n.b.",INDEX(SRC_ZPMW03!$A$1:$ZZ$501,$A474,AO$3)))</f>
        <v/>
      </c>
      <c r="AP474" s="124" t="str">
        <f>IF($B474="","",IF(AP$3=0,"n.b.",INDEX(SRC_ZPMW03!$A$1:$ZZ$501,$A474,AP$3)))</f>
        <v/>
      </c>
      <c r="AQ474" s="124" t="str">
        <f>IF($B474="","",IF(AQ$3=0,"n.b.",INDEX(SRC_ZPMW03!$A$1:$ZZ$501,$A474,AQ$3)))</f>
        <v/>
      </c>
      <c r="AR474" s="124" t="str">
        <f>IF($B474="","",IF(AR$3=0,"n.b.",INDEX(SRC_ZPMW03!$A$1:$ZZ$501,$A474,AR$3)))</f>
        <v/>
      </c>
      <c r="AS474" s="124" t="str">
        <f>IF($B474="","",IF(AS$3=0,"n.b.",INDEX(SRC_ZPMW03!$A$1:$ZZ$501,$A474,AS$3)))</f>
        <v/>
      </c>
      <c r="AT474" s="124" t="str">
        <f>IF($B474="","",IF(AT$3=0,"n.b.",INDEX(SRC_ZPMW03!$A$1:$ZZ$501,$A474,AT$3)))</f>
        <v/>
      </c>
      <c r="AU474" s="124" t="str">
        <f>IF($B474="","",IF(AU$3=0,"n.b.",INDEX(SRC_ZPMW03!$A$1:$ZZ$501,$A474,AU$3)))</f>
        <v/>
      </c>
      <c r="AV474" s="124" t="str">
        <f>IF($B474="","",IF(AV$3=0,"n.b.",INDEX(SRC_ZPMW03!$A$1:$ZZ$501,$A474,AV$3)))</f>
        <v/>
      </c>
      <c r="AW474" s="124" t="str">
        <f>IF($B474="","",IF(AW$3=0,"n.b.",INDEX(SRC_ZPMW03!$A$1:$ZZ$501,$A474,AW$3)))</f>
        <v/>
      </c>
      <c r="AX474" s="124" t="str">
        <f>IF($B474="","",IF(AX$3=0,"n.b.",INDEX(SRC_ZPMW03!$A$1:$ZZ$501,$A474,AX$3)))</f>
        <v/>
      </c>
      <c r="AY474" s="124" t="str">
        <f>IF($B474="","",IF(AY$3=0,"n.b.",INDEX(SRC_ZPMW03!$A$1:$ZZ$501,$A474,AY$3)))</f>
        <v/>
      </c>
      <c r="AZ474" s="124" t="str">
        <f>IF($B474="","",IF(AZ$3=0,"n.b.",INDEX(SRC_ZPMW03!$A$1:$ZZ$501,$A474,AZ$3)))</f>
        <v/>
      </c>
      <c r="BA474" s="124" t="str">
        <f>IF($B474="","",IF(BA$3=0,"n.b.",INDEX(SRC_ZPMW03!$A$1:$ZZ$501,$A474,BA$3)))</f>
        <v/>
      </c>
      <c r="BB474" s="124" t="str">
        <f>IF($B474="","",IF(BB$3=0,"n.b.",INDEX(SRC_ZPMW03!$A$1:$ZZ$501,$A474,BB$3)))</f>
        <v/>
      </c>
      <c r="BC474" s="124" t="str">
        <f>IF($B474="","",IF(BC$3=0,"n.b.",INDEX(SRC_ZPMW03!$A$1:$ZZ$501,$A474,BC$3)))</f>
        <v/>
      </c>
      <c r="BD474" s="124" t="str">
        <f>IF($B474="","",IF(BD$3=0,"n.b.",INDEX(SRC_ZPMW03!$A$1:$ZZ$501,$A474,BD$3)))</f>
        <v/>
      </c>
      <c r="BE474" s="124" t="str">
        <f>IF($B474="","",IF(BE$3=0,"n.b.",INDEX(SRC_ZPMW03!$A$1:$ZZ$501,$A474,BE$3)))</f>
        <v/>
      </c>
      <c r="BF474" s="124" t="str">
        <f>IF($B474="","",IF(BF$3=0,"n.b.",INDEX(SRC_ZPMW03!$A$1:$ZZ$501,$A474,BF$3)))</f>
        <v/>
      </c>
      <c r="BG474" t="str">
        <f>IF($B474="","",IF(BG$3=0,"n.b.",INDEX(SRC_ZPMW03!$A$1:$ZZ$501,$A474,BG$3)))</f>
        <v/>
      </c>
      <c r="BH474" t="str">
        <f>IF($B474="","",IF(BH$3=0,"n.b.",INDEX(SRC_ZPMW03!$A$1:$ZZ$501,$A474,BH$3)))</f>
        <v/>
      </c>
      <c r="BI474" t="str">
        <f>IF($B474="","",IF(BI$3=0,"n.b.",INDEX(SRC_ZPMW03!$A$1:$ZZ$501,$A474,BI$3)))</f>
        <v/>
      </c>
      <c r="BJ474" t="str">
        <f>IF($B474="","",IF(BJ$3=0,"n.b.",INDEX(SRC_ZPMW03!$A$1:$ZZ$501,$A474,BJ$3)))</f>
        <v/>
      </c>
      <c r="BK474" s="124" t="str">
        <f>IF($B474="","",IFERROR(-O474,"n.b."))</f>
        <v/>
      </c>
      <c r="BL474" s="124" t="str">
        <f>IF($B474="","",IFERROR(-Q474,"n.b."))</f>
        <v/>
      </c>
      <c r="BM474" s="124" t="str">
        <f>IF($B474="","",IFERROR(-AB474,"n.b."))</f>
        <v/>
      </c>
      <c r="BN474" s="124" t="str">
        <f>IF($B474="","",IFERROR(-AD474,"n.b."))</f>
        <v/>
      </c>
      <c r="BO474" s="124" t="str">
        <f>IF($B474="","",IFERROR(BK474+BM474,"n.b."))</f>
        <v/>
      </c>
      <c r="BP474" s="124" t="str">
        <f>IF($B474="","",IFERROR(BL474+BN474,"n.b."))</f>
        <v/>
      </c>
      <c r="BQ474" s="124" t="str">
        <f>IF($B474="","",IFERROR(-AM474,"n.b."))</f>
        <v/>
      </c>
      <c r="BR474" s="124" t="str">
        <f>IF($B474="","",IFERROR(-AO474,"n.b."))</f>
        <v/>
      </c>
      <c r="BS474" s="124" t="str">
        <f>IF($B474="","",IFERROR(-Z474,"n.b."))</f>
        <v/>
      </c>
      <c r="BT474" s="124" t="str">
        <f>IF($B474="","",IFERROR(-AA474,"n.b."))</f>
        <v/>
      </c>
      <c r="BU474" s="124" t="str">
        <f>IF($B474="","",IFERROR(-AE474,"n.b."))</f>
        <v/>
      </c>
      <c r="BV474" s="124" t="str">
        <f>IF($B474="","",IFERROR(-AF474,"n.b."))</f>
        <v/>
      </c>
      <c r="BW474" s="124" t="str">
        <f>IF($B474="","",IFERROR(-AG474,"n.b."))</f>
        <v/>
      </c>
      <c r="BX474" s="124" t="str">
        <f>IF($B474="","",IFERROR(-AH474,"n.b."))</f>
        <v/>
      </c>
      <c r="BY474" s="124" t="str">
        <f>IF($B474="","",IFERROR(-AI474,"n.b."))</f>
        <v/>
      </c>
      <c r="BZ474" s="124" t="str">
        <f>IF($B474="","",IFERROR(-AJ474,"n.b."))</f>
        <v/>
      </c>
      <c r="CA474" s="124" t="str">
        <f>IF($B474="","",IFERROR(-AK474,"n.b."))</f>
        <v/>
      </c>
      <c r="CB474" s="124" t="str">
        <f>IF($B474="","",IFERROR(-AL474,"n.b."))</f>
        <v/>
      </c>
      <c r="CC474" s="124" t="str">
        <f>IF($B474="","",IFERROR(-AP474,"n.b."))</f>
        <v/>
      </c>
      <c r="CD474" s="124" t="str">
        <f>IF($B474="","",IFERROR(-AQ474,"n.b."))</f>
        <v/>
      </c>
      <c r="CE474" s="124" t="str">
        <f>IF($B474="","",IFERROR(-AR474,"n.b."))</f>
        <v/>
      </c>
      <c r="CF474" s="124" t="str">
        <f>IF($B474="","",IFERROR(-AS474,"n.b."))</f>
        <v/>
      </c>
      <c r="CG474" s="124" t="str">
        <f>IF($B474="","",IFERROR(-AT474,"n.b."))</f>
        <v/>
      </c>
      <c r="CH474" s="124" t="str">
        <f>IF($B474="","",IFERROR(-AU474,"n.b."))</f>
        <v/>
      </c>
      <c r="CI474" s="124" t="str">
        <f>IF($B474="","",IFERROR(-AV474,"n.b."))</f>
        <v/>
      </c>
      <c r="CJ474" s="124" t="str">
        <f>IF($B474="","",IFERROR(-AW474,"n.b."))</f>
        <v/>
      </c>
      <c r="CK474" s="124" t="str">
        <f>IF($B474="","",IFERROR(-AX474,"n.b."))</f>
        <v/>
      </c>
      <c r="CL474" s="124" t="str">
        <f>IF($B474="","",IFERROR(-AY474,"n.b."))</f>
        <v/>
      </c>
      <c r="CM474" s="124" t="str">
        <f>IF($B474="","",IFERROR(-AZ474,"n.b."))</f>
        <v/>
      </c>
      <c r="CN474" s="124" t="str">
        <f>IF($B474="","",IFERROR(-BA474,"n.b."))</f>
        <v/>
      </c>
      <c r="CO474" s="124" t="str">
        <f>IF($B474="","",IFERROR(-BB474,"n.b."))</f>
        <v/>
      </c>
      <c r="CP474" s="124" t="str">
        <f>IF($B474="","",IFERROR(-BC474,"n.b."))</f>
        <v/>
      </c>
      <c r="CQ474" s="124" t="str">
        <f>IF($B474="","",IFERROR(-BD474,"n.b."))</f>
        <v/>
      </c>
      <c r="CR474" s="124" t="str">
        <f>IF($B474="","",IFERROR(-BE474,"n.b."))</f>
        <v/>
      </c>
      <c r="CS474" s="124" t="str">
        <f>IF($B474="","",IFERROR(IF(OR(ABS(T474+V474+X474+Z474-AB474)&gt;P_Tol,ABS(U474+W474+Y474+AA474-AD474)&gt;P_Tol,ABS(AE474+AG474+AI474+AK474-AM474)&gt;P_Tol,ABS(AF474+AH474+AJ474+AL474-AO474)&gt;P_Tol),1,0),1))</f>
        <v/>
      </c>
      <c r="CT474" s="124" t="str">
        <f>IF($B474="","",IFERROR(IF(OR(ABS(AB474+AC474-AD474)&gt;P_Tol,ABS(AM474+AN474-AO474)&gt;P_Tol,ABS(O474+P474-Q474)&gt;P_Tol),1,0),1))</f>
        <v/>
      </c>
      <c r="CU474" s="124" t="str">
        <f>IF($B474="","",IFERROR(IF(ABS(R474-(AB474+AM474+AP474+AR474+AT474+AV474+AX474+AZ474+BB474+BD474))&gt;P_Tol,1,0),1))</f>
        <v/>
      </c>
      <c r="CV474" s="124" t="str">
        <f>IF($B474="","",IFERROR(IF(ABS(M474-(N474+O474+R474))&gt;P_Tol,1,0),1))</f>
        <v/>
      </c>
      <c r="CW474" s="124" t="str">
        <f>IF($B474="","",IF(COUNTIF(Mapping!$A$5:$A$104,B474)&gt;0,1,0))</f>
        <v/>
      </c>
      <c r="CX474" s="124" t="str">
        <f>IF($B474="","",COUNTIF($B$6:$B$505,B474))</f>
        <v/>
      </c>
      <c r="CY474" s="124" t="str">
        <f>IF($B474="","",COUNTIF(STG_Woningetalage!$B$6:$B$505,B474))</f>
        <v/>
      </c>
      <c r="CZ474" s="124" t="str">
        <f>IF($B474="","",IF(CW474=0,COUNTIF($CW$6:CW474,0),""))</f>
        <v/>
      </c>
    </row>
    <row r="475">
      <c r="A475" s="15" t="n">
        <v>471</v>
      </c>
      <c r="B475" t="str">
        <f>IF(B$3=0,"",IF(INDEX(SRC_ZPMW03!$A$1:$ZZ$501,$A475,B$3)&amp;""="","",INDEX(SRC_ZPMW03!$A$1:$ZZ$501,$A475,B$3)&amp;""))</f>
        <v/>
      </c>
      <c r="C475" t="str">
        <f>IF($B475="","",IF(C$3=0,"n.b.",INDEX(SRC_ZPMW03!$A$1:$ZZ$501,$A475,C$3)))</f>
        <v/>
      </c>
      <c r="D475" t="str">
        <f>IF($B475="","",IF(D$3=0,"n.b.",INDEX(SRC_ZPMW03!$A$1:$ZZ$501,$A475,D$3)))</f>
        <v/>
      </c>
      <c r="E475" t="str">
        <f>IF($B475="","",IF(E$3=0,"n.b.",INDEX(SRC_ZPMW03!$A$1:$ZZ$501,$A475,E$3)))</f>
        <v/>
      </c>
      <c r="F475" t="str">
        <f>IF($B475="","",IF(F$3=0,"n.b.",INDEX(SRC_ZPMW03!$A$1:$ZZ$501,$A475,F$3)))</f>
        <v/>
      </c>
      <c r="G475" t="str">
        <f>IF($B475="","",IF(G$3=0,"n.b.",INDEX(SRC_ZPMW03!$A$1:$ZZ$501,$A475,G$3)))</f>
        <v/>
      </c>
      <c r="H475" t="str">
        <f>IF($B475="","",IF(H$3=0,"n.b.",INDEX(SRC_ZPMW03!$A$1:$ZZ$501,$A475,H$3)))</f>
        <v/>
      </c>
      <c r="I475" t="str">
        <f>IF($B475="","",IF(I$3=0,"n.b.",INDEX(SRC_ZPMW03!$A$1:$ZZ$501,$A475,I$3)))</f>
        <v/>
      </c>
      <c r="J475" t="str">
        <f>IF($B475="","",IF(J$3=0,"n.b.",INDEX(SRC_ZPMW03!$A$1:$ZZ$501,$A475,J$3)))</f>
        <v/>
      </c>
      <c r="K475" t="str">
        <f>IF($B475="","",IF(K$3=0,"n.b.",INDEX(SRC_ZPMW03!$A$1:$ZZ$501,$A475,K$3)))</f>
        <v/>
      </c>
      <c r="L475" s="124" t="str">
        <f>IF($B475="","",IF(L$3=0,"n.b.",INDEX(SRC_ZPMW03!$A$1:$ZZ$501,$A475,L$3)))</f>
        <v/>
      </c>
      <c r="M475" s="124" t="str">
        <f>IF($B475="","",IF(M$3=0,"n.b.",INDEX(SRC_ZPMW03!$A$1:$ZZ$501,$A475,M$3)))</f>
        <v/>
      </c>
      <c r="N475" s="124" t="str">
        <f>IF($B475="","",IF(N$3=0,"n.b.",INDEX(SRC_ZPMW03!$A$1:$ZZ$501,$A475,N$3)))</f>
        <v/>
      </c>
      <c r="O475" s="124" t="str">
        <f>IF($B475="","",IF(O$3=0,"n.b.",INDEX(SRC_ZPMW03!$A$1:$ZZ$501,$A475,O$3)))</f>
        <v/>
      </c>
      <c r="P475" s="124" t="str">
        <f>IF($B475="","",IF(P$3=0,"n.b.",INDEX(SRC_ZPMW03!$A$1:$ZZ$501,$A475,P$3)))</f>
        <v/>
      </c>
      <c r="Q475" s="124" t="str">
        <f>IF($B475="","",IF(Q$3=0,"n.b.",INDEX(SRC_ZPMW03!$A$1:$ZZ$501,$A475,Q$3)))</f>
        <v/>
      </c>
      <c r="R475" s="124" t="str">
        <f>IF($B475="","",IF(R$3=0,"n.b.",INDEX(SRC_ZPMW03!$A$1:$ZZ$501,$A475,R$3)))</f>
        <v/>
      </c>
      <c r="S475" s="124" t="str">
        <f>IF($B475="","",IF(S$3=0,"n.b.",INDEX(SRC_ZPMW03!$A$1:$ZZ$501,$A475,S$3)))</f>
        <v/>
      </c>
      <c r="T475" s="124" t="str">
        <f>IF($B475="","",IF(T$3=0,"n.b.",INDEX(SRC_ZPMW03!$A$1:$ZZ$501,$A475,T$3)))</f>
        <v/>
      </c>
      <c r="U475" s="124" t="str">
        <f>IF($B475="","",IF(U$3=0,"n.b.",INDEX(SRC_ZPMW03!$A$1:$ZZ$501,$A475,U$3)))</f>
        <v/>
      </c>
      <c r="V475" s="124" t="str">
        <f>IF($B475="","",IF(V$3=0,"n.b.",INDEX(SRC_ZPMW03!$A$1:$ZZ$501,$A475,V$3)))</f>
        <v/>
      </c>
      <c r="W475" s="124" t="str">
        <f>IF($B475="","",IF(W$3=0,"n.b.",INDEX(SRC_ZPMW03!$A$1:$ZZ$501,$A475,W$3)))</f>
        <v/>
      </c>
      <c r="X475" s="124" t="str">
        <f>IF($B475="","",IF(X$3=0,"n.b.",INDEX(SRC_ZPMW03!$A$1:$ZZ$501,$A475,X$3)))</f>
        <v/>
      </c>
      <c r="Y475" s="124" t="str">
        <f>IF($B475="","",IF(Y$3=0,"n.b.",INDEX(SRC_ZPMW03!$A$1:$ZZ$501,$A475,Y$3)))</f>
        <v/>
      </c>
      <c r="Z475" s="124" t="str">
        <f>IF($B475="","",IF(Z$3=0,"n.b.",INDEX(SRC_ZPMW03!$A$1:$ZZ$501,$A475,Z$3)))</f>
        <v/>
      </c>
      <c r="AA475" s="124" t="str">
        <f>IF($B475="","",IF(AA$3=0,"n.b.",INDEX(SRC_ZPMW03!$A$1:$ZZ$501,$A475,AA$3)))</f>
        <v/>
      </c>
      <c r="AB475" s="124" t="str">
        <f>IF($B475="","",IF(AB$3=0,"n.b.",INDEX(SRC_ZPMW03!$A$1:$ZZ$501,$A475,AB$3)))</f>
        <v/>
      </c>
      <c r="AC475" s="124" t="str">
        <f>IF($B475="","",IF(AC$3=0,"n.b.",INDEX(SRC_ZPMW03!$A$1:$ZZ$501,$A475,AC$3)))</f>
        <v/>
      </c>
      <c r="AD475" s="124" t="str">
        <f>IF($B475="","",IF(AD$3=0,"n.b.",INDEX(SRC_ZPMW03!$A$1:$ZZ$501,$A475,AD$3)))</f>
        <v/>
      </c>
      <c r="AE475" s="124" t="str">
        <f>IF($B475="","",IF(AE$3=0,"n.b.",INDEX(SRC_ZPMW03!$A$1:$ZZ$501,$A475,AE$3)))</f>
        <v/>
      </c>
      <c r="AF475" s="124" t="str">
        <f>IF($B475="","",IF(AF$3=0,"n.b.",INDEX(SRC_ZPMW03!$A$1:$ZZ$501,$A475,AF$3)))</f>
        <v/>
      </c>
      <c r="AG475" s="124" t="str">
        <f>IF($B475="","",IF(AG$3=0,"n.b.",INDEX(SRC_ZPMW03!$A$1:$ZZ$501,$A475,AG$3)))</f>
        <v/>
      </c>
      <c r="AH475" s="124" t="str">
        <f>IF($B475="","",IF(AH$3=0,"n.b.",INDEX(SRC_ZPMW03!$A$1:$ZZ$501,$A475,AH$3)))</f>
        <v/>
      </c>
      <c r="AI475" s="124" t="str">
        <f>IF($B475="","",IF(AI$3=0,"n.b.",INDEX(SRC_ZPMW03!$A$1:$ZZ$501,$A475,AI$3)))</f>
        <v/>
      </c>
      <c r="AJ475" s="124" t="str">
        <f>IF($B475="","",IF(AJ$3=0,"n.b.",INDEX(SRC_ZPMW03!$A$1:$ZZ$501,$A475,AJ$3)))</f>
        <v/>
      </c>
      <c r="AK475" s="124" t="str">
        <f>IF($B475="","",IF(AK$3=0,"n.b.",INDEX(SRC_ZPMW03!$A$1:$ZZ$501,$A475,AK$3)))</f>
        <v/>
      </c>
      <c r="AL475" s="124" t="str">
        <f>IF($B475="","",IF(AL$3=0,"n.b.",INDEX(SRC_ZPMW03!$A$1:$ZZ$501,$A475,AL$3)))</f>
        <v/>
      </c>
      <c r="AM475" s="124" t="str">
        <f>IF($B475="","",IF(AM$3=0,"n.b.",INDEX(SRC_ZPMW03!$A$1:$ZZ$501,$A475,AM$3)))</f>
        <v/>
      </c>
      <c r="AN475" s="124" t="str">
        <f>IF($B475="","",IF(AN$3=0,"n.b.",INDEX(SRC_ZPMW03!$A$1:$ZZ$501,$A475,AN$3)))</f>
        <v/>
      </c>
      <c r="AO475" s="124" t="str">
        <f>IF($B475="","",IF(AO$3=0,"n.b.",INDEX(SRC_ZPMW03!$A$1:$ZZ$501,$A475,AO$3)))</f>
        <v/>
      </c>
      <c r="AP475" s="124" t="str">
        <f>IF($B475="","",IF(AP$3=0,"n.b.",INDEX(SRC_ZPMW03!$A$1:$ZZ$501,$A475,AP$3)))</f>
        <v/>
      </c>
      <c r="AQ475" s="124" t="str">
        <f>IF($B475="","",IF(AQ$3=0,"n.b.",INDEX(SRC_ZPMW03!$A$1:$ZZ$501,$A475,AQ$3)))</f>
        <v/>
      </c>
      <c r="AR475" s="124" t="str">
        <f>IF($B475="","",IF(AR$3=0,"n.b.",INDEX(SRC_ZPMW03!$A$1:$ZZ$501,$A475,AR$3)))</f>
        <v/>
      </c>
      <c r="AS475" s="124" t="str">
        <f>IF($B475="","",IF(AS$3=0,"n.b.",INDEX(SRC_ZPMW03!$A$1:$ZZ$501,$A475,AS$3)))</f>
        <v/>
      </c>
      <c r="AT475" s="124" t="str">
        <f>IF($B475="","",IF(AT$3=0,"n.b.",INDEX(SRC_ZPMW03!$A$1:$ZZ$501,$A475,AT$3)))</f>
        <v/>
      </c>
      <c r="AU475" s="124" t="str">
        <f>IF($B475="","",IF(AU$3=0,"n.b.",INDEX(SRC_ZPMW03!$A$1:$ZZ$501,$A475,AU$3)))</f>
        <v/>
      </c>
      <c r="AV475" s="124" t="str">
        <f>IF($B475="","",IF(AV$3=0,"n.b.",INDEX(SRC_ZPMW03!$A$1:$ZZ$501,$A475,AV$3)))</f>
        <v/>
      </c>
      <c r="AW475" s="124" t="str">
        <f>IF($B475="","",IF(AW$3=0,"n.b.",INDEX(SRC_ZPMW03!$A$1:$ZZ$501,$A475,AW$3)))</f>
        <v/>
      </c>
      <c r="AX475" s="124" t="str">
        <f>IF($B475="","",IF(AX$3=0,"n.b.",INDEX(SRC_ZPMW03!$A$1:$ZZ$501,$A475,AX$3)))</f>
        <v/>
      </c>
      <c r="AY475" s="124" t="str">
        <f>IF($B475="","",IF(AY$3=0,"n.b.",INDEX(SRC_ZPMW03!$A$1:$ZZ$501,$A475,AY$3)))</f>
        <v/>
      </c>
      <c r="AZ475" s="124" t="str">
        <f>IF($B475="","",IF(AZ$3=0,"n.b.",INDEX(SRC_ZPMW03!$A$1:$ZZ$501,$A475,AZ$3)))</f>
        <v/>
      </c>
      <c r="BA475" s="124" t="str">
        <f>IF($B475="","",IF(BA$3=0,"n.b.",INDEX(SRC_ZPMW03!$A$1:$ZZ$501,$A475,BA$3)))</f>
        <v/>
      </c>
      <c r="BB475" s="124" t="str">
        <f>IF($B475="","",IF(BB$3=0,"n.b.",INDEX(SRC_ZPMW03!$A$1:$ZZ$501,$A475,BB$3)))</f>
        <v/>
      </c>
      <c r="BC475" s="124" t="str">
        <f>IF($B475="","",IF(BC$3=0,"n.b.",INDEX(SRC_ZPMW03!$A$1:$ZZ$501,$A475,BC$3)))</f>
        <v/>
      </c>
      <c r="BD475" s="124" t="str">
        <f>IF($B475="","",IF(BD$3=0,"n.b.",INDEX(SRC_ZPMW03!$A$1:$ZZ$501,$A475,BD$3)))</f>
        <v/>
      </c>
      <c r="BE475" s="124" t="str">
        <f>IF($B475="","",IF(BE$3=0,"n.b.",INDEX(SRC_ZPMW03!$A$1:$ZZ$501,$A475,BE$3)))</f>
        <v/>
      </c>
      <c r="BF475" s="124" t="str">
        <f>IF($B475="","",IF(BF$3=0,"n.b.",INDEX(SRC_ZPMW03!$A$1:$ZZ$501,$A475,BF$3)))</f>
        <v/>
      </c>
      <c r="BG475" t="str">
        <f>IF($B475="","",IF(BG$3=0,"n.b.",INDEX(SRC_ZPMW03!$A$1:$ZZ$501,$A475,BG$3)))</f>
        <v/>
      </c>
      <c r="BH475" t="str">
        <f>IF($B475="","",IF(BH$3=0,"n.b.",INDEX(SRC_ZPMW03!$A$1:$ZZ$501,$A475,BH$3)))</f>
        <v/>
      </c>
      <c r="BI475" t="str">
        <f>IF($B475="","",IF(BI$3=0,"n.b.",INDEX(SRC_ZPMW03!$A$1:$ZZ$501,$A475,BI$3)))</f>
        <v/>
      </c>
      <c r="BJ475" t="str">
        <f>IF($B475="","",IF(BJ$3=0,"n.b.",INDEX(SRC_ZPMW03!$A$1:$ZZ$501,$A475,BJ$3)))</f>
        <v/>
      </c>
      <c r="BK475" s="124" t="str">
        <f>IF($B475="","",IFERROR(-O475,"n.b."))</f>
        <v/>
      </c>
      <c r="BL475" s="124" t="str">
        <f>IF($B475="","",IFERROR(-Q475,"n.b."))</f>
        <v/>
      </c>
      <c r="BM475" s="124" t="str">
        <f>IF($B475="","",IFERROR(-AB475,"n.b."))</f>
        <v/>
      </c>
      <c r="BN475" s="124" t="str">
        <f>IF($B475="","",IFERROR(-AD475,"n.b."))</f>
        <v/>
      </c>
      <c r="BO475" s="124" t="str">
        <f>IF($B475="","",IFERROR(BK475+BM475,"n.b."))</f>
        <v/>
      </c>
      <c r="BP475" s="124" t="str">
        <f>IF($B475="","",IFERROR(BL475+BN475,"n.b."))</f>
        <v/>
      </c>
      <c r="BQ475" s="124" t="str">
        <f>IF($B475="","",IFERROR(-AM475,"n.b."))</f>
        <v/>
      </c>
      <c r="BR475" s="124" t="str">
        <f>IF($B475="","",IFERROR(-AO475,"n.b."))</f>
        <v/>
      </c>
      <c r="BS475" s="124" t="str">
        <f>IF($B475="","",IFERROR(-Z475,"n.b."))</f>
        <v/>
      </c>
      <c r="BT475" s="124" t="str">
        <f>IF($B475="","",IFERROR(-AA475,"n.b."))</f>
        <v/>
      </c>
      <c r="BU475" s="124" t="str">
        <f>IF($B475="","",IFERROR(-AE475,"n.b."))</f>
        <v/>
      </c>
      <c r="BV475" s="124" t="str">
        <f>IF($B475="","",IFERROR(-AF475,"n.b."))</f>
        <v/>
      </c>
      <c r="BW475" s="124" t="str">
        <f>IF($B475="","",IFERROR(-AG475,"n.b."))</f>
        <v/>
      </c>
      <c r="BX475" s="124" t="str">
        <f>IF($B475="","",IFERROR(-AH475,"n.b."))</f>
        <v/>
      </c>
      <c r="BY475" s="124" t="str">
        <f>IF($B475="","",IFERROR(-AI475,"n.b."))</f>
        <v/>
      </c>
      <c r="BZ475" s="124" t="str">
        <f>IF($B475="","",IFERROR(-AJ475,"n.b."))</f>
        <v/>
      </c>
      <c r="CA475" s="124" t="str">
        <f>IF($B475="","",IFERROR(-AK475,"n.b."))</f>
        <v/>
      </c>
      <c r="CB475" s="124" t="str">
        <f>IF($B475="","",IFERROR(-AL475,"n.b."))</f>
        <v/>
      </c>
      <c r="CC475" s="124" t="str">
        <f>IF($B475="","",IFERROR(-AP475,"n.b."))</f>
        <v/>
      </c>
      <c r="CD475" s="124" t="str">
        <f>IF($B475="","",IFERROR(-AQ475,"n.b."))</f>
        <v/>
      </c>
      <c r="CE475" s="124" t="str">
        <f>IF($B475="","",IFERROR(-AR475,"n.b."))</f>
        <v/>
      </c>
      <c r="CF475" s="124" t="str">
        <f>IF($B475="","",IFERROR(-AS475,"n.b."))</f>
        <v/>
      </c>
      <c r="CG475" s="124" t="str">
        <f>IF($B475="","",IFERROR(-AT475,"n.b."))</f>
        <v/>
      </c>
      <c r="CH475" s="124" t="str">
        <f>IF($B475="","",IFERROR(-AU475,"n.b."))</f>
        <v/>
      </c>
      <c r="CI475" s="124" t="str">
        <f>IF($B475="","",IFERROR(-AV475,"n.b."))</f>
        <v/>
      </c>
      <c r="CJ475" s="124" t="str">
        <f>IF($B475="","",IFERROR(-AW475,"n.b."))</f>
        <v/>
      </c>
      <c r="CK475" s="124" t="str">
        <f>IF($B475="","",IFERROR(-AX475,"n.b."))</f>
        <v/>
      </c>
      <c r="CL475" s="124" t="str">
        <f>IF($B475="","",IFERROR(-AY475,"n.b."))</f>
        <v/>
      </c>
      <c r="CM475" s="124" t="str">
        <f>IF($B475="","",IFERROR(-AZ475,"n.b."))</f>
        <v/>
      </c>
      <c r="CN475" s="124" t="str">
        <f>IF($B475="","",IFERROR(-BA475,"n.b."))</f>
        <v/>
      </c>
      <c r="CO475" s="124" t="str">
        <f>IF($B475="","",IFERROR(-BB475,"n.b."))</f>
        <v/>
      </c>
      <c r="CP475" s="124" t="str">
        <f>IF($B475="","",IFERROR(-BC475,"n.b."))</f>
        <v/>
      </c>
      <c r="CQ475" s="124" t="str">
        <f>IF($B475="","",IFERROR(-BD475,"n.b."))</f>
        <v/>
      </c>
      <c r="CR475" s="124" t="str">
        <f>IF($B475="","",IFERROR(-BE475,"n.b."))</f>
        <v/>
      </c>
      <c r="CS475" s="124" t="str">
        <f>IF($B475="","",IFERROR(IF(OR(ABS(T475+V475+X475+Z475-AB475)&gt;P_Tol,ABS(U475+W475+Y475+AA475-AD475)&gt;P_Tol,ABS(AE475+AG475+AI475+AK475-AM475)&gt;P_Tol,ABS(AF475+AH475+AJ475+AL475-AO475)&gt;P_Tol),1,0),1))</f>
        <v/>
      </c>
      <c r="CT475" s="124" t="str">
        <f>IF($B475="","",IFERROR(IF(OR(ABS(AB475+AC475-AD475)&gt;P_Tol,ABS(AM475+AN475-AO475)&gt;P_Tol,ABS(O475+P475-Q475)&gt;P_Tol),1,0),1))</f>
        <v/>
      </c>
      <c r="CU475" s="124" t="str">
        <f>IF($B475="","",IFERROR(IF(ABS(R475-(AB475+AM475+AP475+AR475+AT475+AV475+AX475+AZ475+BB475+BD475))&gt;P_Tol,1,0),1))</f>
        <v/>
      </c>
      <c r="CV475" s="124" t="str">
        <f>IF($B475="","",IFERROR(IF(ABS(M475-(N475+O475+R475))&gt;P_Tol,1,0),1))</f>
        <v/>
      </c>
      <c r="CW475" s="124" t="str">
        <f>IF($B475="","",IF(COUNTIF(Mapping!$A$5:$A$104,B475)&gt;0,1,0))</f>
        <v/>
      </c>
      <c r="CX475" s="124" t="str">
        <f>IF($B475="","",COUNTIF($B$6:$B$505,B475))</f>
        <v/>
      </c>
      <c r="CY475" s="124" t="str">
        <f>IF($B475="","",COUNTIF(STG_Woningetalage!$B$6:$B$505,B475))</f>
        <v/>
      </c>
      <c r="CZ475" s="124" t="str">
        <f>IF($B475="","",IF(CW475=0,COUNTIF($CW$6:CW475,0),""))</f>
        <v/>
      </c>
    </row>
    <row r="476">
      <c r="A476" s="15" t="n">
        <v>472</v>
      </c>
      <c r="B476" t="str">
        <f>IF(B$3=0,"",IF(INDEX(SRC_ZPMW03!$A$1:$ZZ$501,$A476,B$3)&amp;""="","",INDEX(SRC_ZPMW03!$A$1:$ZZ$501,$A476,B$3)&amp;""))</f>
        <v/>
      </c>
      <c r="C476" t="str">
        <f>IF($B476="","",IF(C$3=0,"n.b.",INDEX(SRC_ZPMW03!$A$1:$ZZ$501,$A476,C$3)))</f>
        <v/>
      </c>
      <c r="D476" t="str">
        <f>IF($B476="","",IF(D$3=0,"n.b.",INDEX(SRC_ZPMW03!$A$1:$ZZ$501,$A476,D$3)))</f>
        <v/>
      </c>
      <c r="E476" t="str">
        <f>IF($B476="","",IF(E$3=0,"n.b.",INDEX(SRC_ZPMW03!$A$1:$ZZ$501,$A476,E$3)))</f>
        <v/>
      </c>
      <c r="F476" t="str">
        <f>IF($B476="","",IF(F$3=0,"n.b.",INDEX(SRC_ZPMW03!$A$1:$ZZ$501,$A476,F$3)))</f>
        <v/>
      </c>
      <c r="G476" t="str">
        <f>IF($B476="","",IF(G$3=0,"n.b.",INDEX(SRC_ZPMW03!$A$1:$ZZ$501,$A476,G$3)))</f>
        <v/>
      </c>
      <c r="H476" t="str">
        <f>IF($B476="","",IF(H$3=0,"n.b.",INDEX(SRC_ZPMW03!$A$1:$ZZ$501,$A476,H$3)))</f>
        <v/>
      </c>
      <c r="I476" t="str">
        <f>IF($B476="","",IF(I$3=0,"n.b.",INDEX(SRC_ZPMW03!$A$1:$ZZ$501,$A476,I$3)))</f>
        <v/>
      </c>
      <c r="J476" t="str">
        <f>IF($B476="","",IF(J$3=0,"n.b.",INDEX(SRC_ZPMW03!$A$1:$ZZ$501,$A476,J$3)))</f>
        <v/>
      </c>
      <c r="K476" t="str">
        <f>IF($B476="","",IF(K$3=0,"n.b.",INDEX(SRC_ZPMW03!$A$1:$ZZ$501,$A476,K$3)))</f>
        <v/>
      </c>
      <c r="L476" s="124" t="str">
        <f>IF($B476="","",IF(L$3=0,"n.b.",INDEX(SRC_ZPMW03!$A$1:$ZZ$501,$A476,L$3)))</f>
        <v/>
      </c>
      <c r="M476" s="124" t="str">
        <f>IF($B476="","",IF(M$3=0,"n.b.",INDEX(SRC_ZPMW03!$A$1:$ZZ$501,$A476,M$3)))</f>
        <v/>
      </c>
      <c r="N476" s="124" t="str">
        <f>IF($B476="","",IF(N$3=0,"n.b.",INDEX(SRC_ZPMW03!$A$1:$ZZ$501,$A476,N$3)))</f>
        <v/>
      </c>
      <c r="O476" s="124" t="str">
        <f>IF($B476="","",IF(O$3=0,"n.b.",INDEX(SRC_ZPMW03!$A$1:$ZZ$501,$A476,O$3)))</f>
        <v/>
      </c>
      <c r="P476" s="124" t="str">
        <f>IF($B476="","",IF(P$3=0,"n.b.",INDEX(SRC_ZPMW03!$A$1:$ZZ$501,$A476,P$3)))</f>
        <v/>
      </c>
      <c r="Q476" s="124" t="str">
        <f>IF($B476="","",IF(Q$3=0,"n.b.",INDEX(SRC_ZPMW03!$A$1:$ZZ$501,$A476,Q$3)))</f>
        <v/>
      </c>
      <c r="R476" s="124" t="str">
        <f>IF($B476="","",IF(R$3=0,"n.b.",INDEX(SRC_ZPMW03!$A$1:$ZZ$501,$A476,R$3)))</f>
        <v/>
      </c>
      <c r="S476" s="124" t="str">
        <f>IF($B476="","",IF(S$3=0,"n.b.",INDEX(SRC_ZPMW03!$A$1:$ZZ$501,$A476,S$3)))</f>
        <v/>
      </c>
      <c r="T476" s="124" t="str">
        <f>IF($B476="","",IF(T$3=0,"n.b.",INDEX(SRC_ZPMW03!$A$1:$ZZ$501,$A476,T$3)))</f>
        <v/>
      </c>
      <c r="U476" s="124" t="str">
        <f>IF($B476="","",IF(U$3=0,"n.b.",INDEX(SRC_ZPMW03!$A$1:$ZZ$501,$A476,U$3)))</f>
        <v/>
      </c>
      <c r="V476" s="124" t="str">
        <f>IF($B476="","",IF(V$3=0,"n.b.",INDEX(SRC_ZPMW03!$A$1:$ZZ$501,$A476,V$3)))</f>
        <v/>
      </c>
      <c r="W476" s="124" t="str">
        <f>IF($B476="","",IF(W$3=0,"n.b.",INDEX(SRC_ZPMW03!$A$1:$ZZ$501,$A476,W$3)))</f>
        <v/>
      </c>
      <c r="X476" s="124" t="str">
        <f>IF($B476="","",IF(X$3=0,"n.b.",INDEX(SRC_ZPMW03!$A$1:$ZZ$501,$A476,X$3)))</f>
        <v/>
      </c>
      <c r="Y476" s="124" t="str">
        <f>IF($B476="","",IF(Y$3=0,"n.b.",INDEX(SRC_ZPMW03!$A$1:$ZZ$501,$A476,Y$3)))</f>
        <v/>
      </c>
      <c r="Z476" s="124" t="str">
        <f>IF($B476="","",IF(Z$3=0,"n.b.",INDEX(SRC_ZPMW03!$A$1:$ZZ$501,$A476,Z$3)))</f>
        <v/>
      </c>
      <c r="AA476" s="124" t="str">
        <f>IF($B476="","",IF(AA$3=0,"n.b.",INDEX(SRC_ZPMW03!$A$1:$ZZ$501,$A476,AA$3)))</f>
        <v/>
      </c>
      <c r="AB476" s="124" t="str">
        <f>IF($B476="","",IF(AB$3=0,"n.b.",INDEX(SRC_ZPMW03!$A$1:$ZZ$501,$A476,AB$3)))</f>
        <v/>
      </c>
      <c r="AC476" s="124" t="str">
        <f>IF($B476="","",IF(AC$3=0,"n.b.",INDEX(SRC_ZPMW03!$A$1:$ZZ$501,$A476,AC$3)))</f>
        <v/>
      </c>
      <c r="AD476" s="124" t="str">
        <f>IF($B476="","",IF(AD$3=0,"n.b.",INDEX(SRC_ZPMW03!$A$1:$ZZ$501,$A476,AD$3)))</f>
        <v/>
      </c>
      <c r="AE476" s="124" t="str">
        <f>IF($B476="","",IF(AE$3=0,"n.b.",INDEX(SRC_ZPMW03!$A$1:$ZZ$501,$A476,AE$3)))</f>
        <v/>
      </c>
      <c r="AF476" s="124" t="str">
        <f>IF($B476="","",IF(AF$3=0,"n.b.",INDEX(SRC_ZPMW03!$A$1:$ZZ$501,$A476,AF$3)))</f>
        <v/>
      </c>
      <c r="AG476" s="124" t="str">
        <f>IF($B476="","",IF(AG$3=0,"n.b.",INDEX(SRC_ZPMW03!$A$1:$ZZ$501,$A476,AG$3)))</f>
        <v/>
      </c>
      <c r="AH476" s="124" t="str">
        <f>IF($B476="","",IF(AH$3=0,"n.b.",INDEX(SRC_ZPMW03!$A$1:$ZZ$501,$A476,AH$3)))</f>
        <v/>
      </c>
      <c r="AI476" s="124" t="str">
        <f>IF($B476="","",IF(AI$3=0,"n.b.",INDEX(SRC_ZPMW03!$A$1:$ZZ$501,$A476,AI$3)))</f>
        <v/>
      </c>
      <c r="AJ476" s="124" t="str">
        <f>IF($B476="","",IF(AJ$3=0,"n.b.",INDEX(SRC_ZPMW03!$A$1:$ZZ$501,$A476,AJ$3)))</f>
        <v/>
      </c>
      <c r="AK476" s="124" t="str">
        <f>IF($B476="","",IF(AK$3=0,"n.b.",INDEX(SRC_ZPMW03!$A$1:$ZZ$501,$A476,AK$3)))</f>
        <v/>
      </c>
      <c r="AL476" s="124" t="str">
        <f>IF($B476="","",IF(AL$3=0,"n.b.",INDEX(SRC_ZPMW03!$A$1:$ZZ$501,$A476,AL$3)))</f>
        <v/>
      </c>
      <c r="AM476" s="124" t="str">
        <f>IF($B476="","",IF(AM$3=0,"n.b.",INDEX(SRC_ZPMW03!$A$1:$ZZ$501,$A476,AM$3)))</f>
        <v/>
      </c>
      <c r="AN476" s="124" t="str">
        <f>IF($B476="","",IF(AN$3=0,"n.b.",INDEX(SRC_ZPMW03!$A$1:$ZZ$501,$A476,AN$3)))</f>
        <v/>
      </c>
      <c r="AO476" s="124" t="str">
        <f>IF($B476="","",IF(AO$3=0,"n.b.",INDEX(SRC_ZPMW03!$A$1:$ZZ$501,$A476,AO$3)))</f>
        <v/>
      </c>
      <c r="AP476" s="124" t="str">
        <f>IF($B476="","",IF(AP$3=0,"n.b.",INDEX(SRC_ZPMW03!$A$1:$ZZ$501,$A476,AP$3)))</f>
        <v/>
      </c>
      <c r="AQ476" s="124" t="str">
        <f>IF($B476="","",IF(AQ$3=0,"n.b.",INDEX(SRC_ZPMW03!$A$1:$ZZ$501,$A476,AQ$3)))</f>
        <v/>
      </c>
      <c r="AR476" s="124" t="str">
        <f>IF($B476="","",IF(AR$3=0,"n.b.",INDEX(SRC_ZPMW03!$A$1:$ZZ$501,$A476,AR$3)))</f>
        <v/>
      </c>
      <c r="AS476" s="124" t="str">
        <f>IF($B476="","",IF(AS$3=0,"n.b.",INDEX(SRC_ZPMW03!$A$1:$ZZ$501,$A476,AS$3)))</f>
        <v/>
      </c>
      <c r="AT476" s="124" t="str">
        <f>IF($B476="","",IF(AT$3=0,"n.b.",INDEX(SRC_ZPMW03!$A$1:$ZZ$501,$A476,AT$3)))</f>
        <v/>
      </c>
      <c r="AU476" s="124" t="str">
        <f>IF($B476="","",IF(AU$3=0,"n.b.",INDEX(SRC_ZPMW03!$A$1:$ZZ$501,$A476,AU$3)))</f>
        <v/>
      </c>
      <c r="AV476" s="124" t="str">
        <f>IF($B476="","",IF(AV$3=0,"n.b.",INDEX(SRC_ZPMW03!$A$1:$ZZ$501,$A476,AV$3)))</f>
        <v/>
      </c>
      <c r="AW476" s="124" t="str">
        <f>IF($B476="","",IF(AW$3=0,"n.b.",INDEX(SRC_ZPMW03!$A$1:$ZZ$501,$A476,AW$3)))</f>
        <v/>
      </c>
      <c r="AX476" s="124" t="str">
        <f>IF($B476="","",IF(AX$3=0,"n.b.",INDEX(SRC_ZPMW03!$A$1:$ZZ$501,$A476,AX$3)))</f>
        <v/>
      </c>
      <c r="AY476" s="124" t="str">
        <f>IF($B476="","",IF(AY$3=0,"n.b.",INDEX(SRC_ZPMW03!$A$1:$ZZ$501,$A476,AY$3)))</f>
        <v/>
      </c>
      <c r="AZ476" s="124" t="str">
        <f>IF($B476="","",IF(AZ$3=0,"n.b.",INDEX(SRC_ZPMW03!$A$1:$ZZ$501,$A476,AZ$3)))</f>
        <v/>
      </c>
      <c r="BA476" s="124" t="str">
        <f>IF($B476="","",IF(BA$3=0,"n.b.",INDEX(SRC_ZPMW03!$A$1:$ZZ$501,$A476,BA$3)))</f>
        <v/>
      </c>
      <c r="BB476" s="124" t="str">
        <f>IF($B476="","",IF(BB$3=0,"n.b.",INDEX(SRC_ZPMW03!$A$1:$ZZ$501,$A476,BB$3)))</f>
        <v/>
      </c>
      <c r="BC476" s="124" t="str">
        <f>IF($B476="","",IF(BC$3=0,"n.b.",INDEX(SRC_ZPMW03!$A$1:$ZZ$501,$A476,BC$3)))</f>
        <v/>
      </c>
      <c r="BD476" s="124" t="str">
        <f>IF($B476="","",IF(BD$3=0,"n.b.",INDEX(SRC_ZPMW03!$A$1:$ZZ$501,$A476,BD$3)))</f>
        <v/>
      </c>
      <c r="BE476" s="124" t="str">
        <f>IF($B476="","",IF(BE$3=0,"n.b.",INDEX(SRC_ZPMW03!$A$1:$ZZ$501,$A476,BE$3)))</f>
        <v/>
      </c>
      <c r="BF476" s="124" t="str">
        <f>IF($B476="","",IF(BF$3=0,"n.b.",INDEX(SRC_ZPMW03!$A$1:$ZZ$501,$A476,BF$3)))</f>
        <v/>
      </c>
      <c r="BG476" t="str">
        <f>IF($B476="","",IF(BG$3=0,"n.b.",INDEX(SRC_ZPMW03!$A$1:$ZZ$501,$A476,BG$3)))</f>
        <v/>
      </c>
      <c r="BH476" t="str">
        <f>IF($B476="","",IF(BH$3=0,"n.b.",INDEX(SRC_ZPMW03!$A$1:$ZZ$501,$A476,BH$3)))</f>
        <v/>
      </c>
      <c r="BI476" t="str">
        <f>IF($B476="","",IF(BI$3=0,"n.b.",INDEX(SRC_ZPMW03!$A$1:$ZZ$501,$A476,BI$3)))</f>
        <v/>
      </c>
      <c r="BJ476" t="str">
        <f>IF($B476="","",IF(BJ$3=0,"n.b.",INDEX(SRC_ZPMW03!$A$1:$ZZ$501,$A476,BJ$3)))</f>
        <v/>
      </c>
      <c r="BK476" s="124" t="str">
        <f>IF($B476="","",IFERROR(-O476,"n.b."))</f>
        <v/>
      </c>
      <c r="BL476" s="124" t="str">
        <f>IF($B476="","",IFERROR(-Q476,"n.b."))</f>
        <v/>
      </c>
      <c r="BM476" s="124" t="str">
        <f>IF($B476="","",IFERROR(-AB476,"n.b."))</f>
        <v/>
      </c>
      <c r="BN476" s="124" t="str">
        <f>IF($B476="","",IFERROR(-AD476,"n.b."))</f>
        <v/>
      </c>
      <c r="BO476" s="124" t="str">
        <f>IF($B476="","",IFERROR(BK476+BM476,"n.b."))</f>
        <v/>
      </c>
      <c r="BP476" s="124" t="str">
        <f>IF($B476="","",IFERROR(BL476+BN476,"n.b."))</f>
        <v/>
      </c>
      <c r="BQ476" s="124" t="str">
        <f>IF($B476="","",IFERROR(-AM476,"n.b."))</f>
        <v/>
      </c>
      <c r="BR476" s="124" t="str">
        <f>IF($B476="","",IFERROR(-AO476,"n.b."))</f>
        <v/>
      </c>
      <c r="BS476" s="124" t="str">
        <f>IF($B476="","",IFERROR(-Z476,"n.b."))</f>
        <v/>
      </c>
      <c r="BT476" s="124" t="str">
        <f>IF($B476="","",IFERROR(-AA476,"n.b."))</f>
        <v/>
      </c>
      <c r="BU476" s="124" t="str">
        <f>IF($B476="","",IFERROR(-AE476,"n.b."))</f>
        <v/>
      </c>
      <c r="BV476" s="124" t="str">
        <f>IF($B476="","",IFERROR(-AF476,"n.b."))</f>
        <v/>
      </c>
      <c r="BW476" s="124" t="str">
        <f>IF($B476="","",IFERROR(-AG476,"n.b."))</f>
        <v/>
      </c>
      <c r="BX476" s="124" t="str">
        <f>IF($B476="","",IFERROR(-AH476,"n.b."))</f>
        <v/>
      </c>
      <c r="BY476" s="124" t="str">
        <f>IF($B476="","",IFERROR(-AI476,"n.b."))</f>
        <v/>
      </c>
      <c r="BZ476" s="124" t="str">
        <f>IF($B476="","",IFERROR(-AJ476,"n.b."))</f>
        <v/>
      </c>
      <c r="CA476" s="124" t="str">
        <f>IF($B476="","",IFERROR(-AK476,"n.b."))</f>
        <v/>
      </c>
      <c r="CB476" s="124" t="str">
        <f>IF($B476="","",IFERROR(-AL476,"n.b."))</f>
        <v/>
      </c>
      <c r="CC476" s="124" t="str">
        <f>IF($B476="","",IFERROR(-AP476,"n.b."))</f>
        <v/>
      </c>
      <c r="CD476" s="124" t="str">
        <f>IF($B476="","",IFERROR(-AQ476,"n.b."))</f>
        <v/>
      </c>
      <c r="CE476" s="124" t="str">
        <f>IF($B476="","",IFERROR(-AR476,"n.b."))</f>
        <v/>
      </c>
      <c r="CF476" s="124" t="str">
        <f>IF($B476="","",IFERROR(-AS476,"n.b."))</f>
        <v/>
      </c>
      <c r="CG476" s="124" t="str">
        <f>IF($B476="","",IFERROR(-AT476,"n.b."))</f>
        <v/>
      </c>
      <c r="CH476" s="124" t="str">
        <f>IF($B476="","",IFERROR(-AU476,"n.b."))</f>
        <v/>
      </c>
      <c r="CI476" s="124" t="str">
        <f>IF($B476="","",IFERROR(-AV476,"n.b."))</f>
        <v/>
      </c>
      <c r="CJ476" s="124" t="str">
        <f>IF($B476="","",IFERROR(-AW476,"n.b."))</f>
        <v/>
      </c>
      <c r="CK476" s="124" t="str">
        <f>IF($B476="","",IFERROR(-AX476,"n.b."))</f>
        <v/>
      </c>
      <c r="CL476" s="124" t="str">
        <f>IF($B476="","",IFERROR(-AY476,"n.b."))</f>
        <v/>
      </c>
      <c r="CM476" s="124" t="str">
        <f>IF($B476="","",IFERROR(-AZ476,"n.b."))</f>
        <v/>
      </c>
      <c r="CN476" s="124" t="str">
        <f>IF($B476="","",IFERROR(-BA476,"n.b."))</f>
        <v/>
      </c>
      <c r="CO476" s="124" t="str">
        <f>IF($B476="","",IFERROR(-BB476,"n.b."))</f>
        <v/>
      </c>
      <c r="CP476" s="124" t="str">
        <f>IF($B476="","",IFERROR(-BC476,"n.b."))</f>
        <v/>
      </c>
      <c r="CQ476" s="124" t="str">
        <f>IF($B476="","",IFERROR(-BD476,"n.b."))</f>
        <v/>
      </c>
      <c r="CR476" s="124" t="str">
        <f>IF($B476="","",IFERROR(-BE476,"n.b."))</f>
        <v/>
      </c>
      <c r="CS476" s="124" t="str">
        <f>IF($B476="","",IFERROR(IF(OR(ABS(T476+V476+X476+Z476-AB476)&gt;P_Tol,ABS(U476+W476+Y476+AA476-AD476)&gt;P_Tol,ABS(AE476+AG476+AI476+AK476-AM476)&gt;P_Tol,ABS(AF476+AH476+AJ476+AL476-AO476)&gt;P_Tol),1,0),1))</f>
        <v/>
      </c>
      <c r="CT476" s="124" t="str">
        <f>IF($B476="","",IFERROR(IF(OR(ABS(AB476+AC476-AD476)&gt;P_Tol,ABS(AM476+AN476-AO476)&gt;P_Tol,ABS(O476+P476-Q476)&gt;P_Tol),1,0),1))</f>
        <v/>
      </c>
      <c r="CU476" s="124" t="str">
        <f>IF($B476="","",IFERROR(IF(ABS(R476-(AB476+AM476+AP476+AR476+AT476+AV476+AX476+AZ476+BB476+BD476))&gt;P_Tol,1,0),1))</f>
        <v/>
      </c>
      <c r="CV476" s="124" t="str">
        <f>IF($B476="","",IFERROR(IF(ABS(M476-(N476+O476+R476))&gt;P_Tol,1,0),1))</f>
        <v/>
      </c>
      <c r="CW476" s="124" t="str">
        <f>IF($B476="","",IF(COUNTIF(Mapping!$A$5:$A$104,B476)&gt;0,1,0))</f>
        <v/>
      </c>
      <c r="CX476" s="124" t="str">
        <f>IF($B476="","",COUNTIF($B$6:$B$505,B476))</f>
        <v/>
      </c>
      <c r="CY476" s="124" t="str">
        <f>IF($B476="","",COUNTIF(STG_Woningetalage!$B$6:$B$505,B476))</f>
        <v/>
      </c>
      <c r="CZ476" s="124" t="str">
        <f>IF($B476="","",IF(CW476=0,COUNTIF($CW$6:CW476,0),""))</f>
        <v/>
      </c>
    </row>
    <row r="477">
      <c r="A477" s="15" t="n">
        <v>473</v>
      </c>
      <c r="B477" t="str">
        <f>IF(B$3=0,"",IF(INDEX(SRC_ZPMW03!$A$1:$ZZ$501,$A477,B$3)&amp;""="","",INDEX(SRC_ZPMW03!$A$1:$ZZ$501,$A477,B$3)&amp;""))</f>
        <v/>
      </c>
      <c r="C477" t="str">
        <f>IF($B477="","",IF(C$3=0,"n.b.",INDEX(SRC_ZPMW03!$A$1:$ZZ$501,$A477,C$3)))</f>
        <v/>
      </c>
      <c r="D477" t="str">
        <f>IF($B477="","",IF(D$3=0,"n.b.",INDEX(SRC_ZPMW03!$A$1:$ZZ$501,$A477,D$3)))</f>
        <v/>
      </c>
      <c r="E477" t="str">
        <f>IF($B477="","",IF(E$3=0,"n.b.",INDEX(SRC_ZPMW03!$A$1:$ZZ$501,$A477,E$3)))</f>
        <v/>
      </c>
      <c r="F477" t="str">
        <f>IF($B477="","",IF(F$3=0,"n.b.",INDEX(SRC_ZPMW03!$A$1:$ZZ$501,$A477,F$3)))</f>
        <v/>
      </c>
      <c r="G477" t="str">
        <f>IF($B477="","",IF(G$3=0,"n.b.",INDEX(SRC_ZPMW03!$A$1:$ZZ$501,$A477,G$3)))</f>
        <v/>
      </c>
      <c r="H477" t="str">
        <f>IF($B477="","",IF(H$3=0,"n.b.",INDEX(SRC_ZPMW03!$A$1:$ZZ$501,$A477,H$3)))</f>
        <v/>
      </c>
      <c r="I477" t="str">
        <f>IF($B477="","",IF(I$3=0,"n.b.",INDEX(SRC_ZPMW03!$A$1:$ZZ$501,$A477,I$3)))</f>
        <v/>
      </c>
      <c r="J477" t="str">
        <f>IF($B477="","",IF(J$3=0,"n.b.",INDEX(SRC_ZPMW03!$A$1:$ZZ$501,$A477,J$3)))</f>
        <v/>
      </c>
      <c r="K477" t="str">
        <f>IF($B477="","",IF(K$3=0,"n.b.",INDEX(SRC_ZPMW03!$A$1:$ZZ$501,$A477,K$3)))</f>
        <v/>
      </c>
      <c r="L477" s="124" t="str">
        <f>IF($B477="","",IF(L$3=0,"n.b.",INDEX(SRC_ZPMW03!$A$1:$ZZ$501,$A477,L$3)))</f>
        <v/>
      </c>
      <c r="M477" s="124" t="str">
        <f>IF($B477="","",IF(M$3=0,"n.b.",INDEX(SRC_ZPMW03!$A$1:$ZZ$501,$A477,M$3)))</f>
        <v/>
      </c>
      <c r="N477" s="124" t="str">
        <f>IF($B477="","",IF(N$3=0,"n.b.",INDEX(SRC_ZPMW03!$A$1:$ZZ$501,$A477,N$3)))</f>
        <v/>
      </c>
      <c r="O477" s="124" t="str">
        <f>IF($B477="","",IF(O$3=0,"n.b.",INDEX(SRC_ZPMW03!$A$1:$ZZ$501,$A477,O$3)))</f>
        <v/>
      </c>
      <c r="P477" s="124" t="str">
        <f>IF($B477="","",IF(P$3=0,"n.b.",INDEX(SRC_ZPMW03!$A$1:$ZZ$501,$A477,P$3)))</f>
        <v/>
      </c>
      <c r="Q477" s="124" t="str">
        <f>IF($B477="","",IF(Q$3=0,"n.b.",INDEX(SRC_ZPMW03!$A$1:$ZZ$501,$A477,Q$3)))</f>
        <v/>
      </c>
      <c r="R477" s="124" t="str">
        <f>IF($B477="","",IF(R$3=0,"n.b.",INDEX(SRC_ZPMW03!$A$1:$ZZ$501,$A477,R$3)))</f>
        <v/>
      </c>
      <c r="S477" s="124" t="str">
        <f>IF($B477="","",IF(S$3=0,"n.b.",INDEX(SRC_ZPMW03!$A$1:$ZZ$501,$A477,S$3)))</f>
        <v/>
      </c>
      <c r="T477" s="124" t="str">
        <f>IF($B477="","",IF(T$3=0,"n.b.",INDEX(SRC_ZPMW03!$A$1:$ZZ$501,$A477,T$3)))</f>
        <v/>
      </c>
      <c r="U477" s="124" t="str">
        <f>IF($B477="","",IF(U$3=0,"n.b.",INDEX(SRC_ZPMW03!$A$1:$ZZ$501,$A477,U$3)))</f>
        <v/>
      </c>
      <c r="V477" s="124" t="str">
        <f>IF($B477="","",IF(V$3=0,"n.b.",INDEX(SRC_ZPMW03!$A$1:$ZZ$501,$A477,V$3)))</f>
        <v/>
      </c>
      <c r="W477" s="124" t="str">
        <f>IF($B477="","",IF(W$3=0,"n.b.",INDEX(SRC_ZPMW03!$A$1:$ZZ$501,$A477,W$3)))</f>
        <v/>
      </c>
      <c r="X477" s="124" t="str">
        <f>IF($B477="","",IF(X$3=0,"n.b.",INDEX(SRC_ZPMW03!$A$1:$ZZ$501,$A477,X$3)))</f>
        <v/>
      </c>
      <c r="Y477" s="124" t="str">
        <f>IF($B477="","",IF(Y$3=0,"n.b.",INDEX(SRC_ZPMW03!$A$1:$ZZ$501,$A477,Y$3)))</f>
        <v/>
      </c>
      <c r="Z477" s="124" t="str">
        <f>IF($B477="","",IF(Z$3=0,"n.b.",INDEX(SRC_ZPMW03!$A$1:$ZZ$501,$A477,Z$3)))</f>
        <v/>
      </c>
      <c r="AA477" s="124" t="str">
        <f>IF($B477="","",IF(AA$3=0,"n.b.",INDEX(SRC_ZPMW03!$A$1:$ZZ$501,$A477,AA$3)))</f>
        <v/>
      </c>
      <c r="AB477" s="124" t="str">
        <f>IF($B477="","",IF(AB$3=0,"n.b.",INDEX(SRC_ZPMW03!$A$1:$ZZ$501,$A477,AB$3)))</f>
        <v/>
      </c>
      <c r="AC477" s="124" t="str">
        <f>IF($B477="","",IF(AC$3=0,"n.b.",INDEX(SRC_ZPMW03!$A$1:$ZZ$501,$A477,AC$3)))</f>
        <v/>
      </c>
      <c r="AD477" s="124" t="str">
        <f>IF($B477="","",IF(AD$3=0,"n.b.",INDEX(SRC_ZPMW03!$A$1:$ZZ$501,$A477,AD$3)))</f>
        <v/>
      </c>
      <c r="AE477" s="124" t="str">
        <f>IF($B477="","",IF(AE$3=0,"n.b.",INDEX(SRC_ZPMW03!$A$1:$ZZ$501,$A477,AE$3)))</f>
        <v/>
      </c>
      <c r="AF477" s="124" t="str">
        <f>IF($B477="","",IF(AF$3=0,"n.b.",INDEX(SRC_ZPMW03!$A$1:$ZZ$501,$A477,AF$3)))</f>
        <v/>
      </c>
      <c r="AG477" s="124" t="str">
        <f>IF($B477="","",IF(AG$3=0,"n.b.",INDEX(SRC_ZPMW03!$A$1:$ZZ$501,$A477,AG$3)))</f>
        <v/>
      </c>
      <c r="AH477" s="124" t="str">
        <f>IF($B477="","",IF(AH$3=0,"n.b.",INDEX(SRC_ZPMW03!$A$1:$ZZ$501,$A477,AH$3)))</f>
        <v/>
      </c>
      <c r="AI477" s="124" t="str">
        <f>IF($B477="","",IF(AI$3=0,"n.b.",INDEX(SRC_ZPMW03!$A$1:$ZZ$501,$A477,AI$3)))</f>
        <v/>
      </c>
      <c r="AJ477" s="124" t="str">
        <f>IF($B477="","",IF(AJ$3=0,"n.b.",INDEX(SRC_ZPMW03!$A$1:$ZZ$501,$A477,AJ$3)))</f>
        <v/>
      </c>
      <c r="AK477" s="124" t="str">
        <f>IF($B477="","",IF(AK$3=0,"n.b.",INDEX(SRC_ZPMW03!$A$1:$ZZ$501,$A477,AK$3)))</f>
        <v/>
      </c>
      <c r="AL477" s="124" t="str">
        <f>IF($B477="","",IF(AL$3=0,"n.b.",INDEX(SRC_ZPMW03!$A$1:$ZZ$501,$A477,AL$3)))</f>
        <v/>
      </c>
      <c r="AM477" s="124" t="str">
        <f>IF($B477="","",IF(AM$3=0,"n.b.",INDEX(SRC_ZPMW03!$A$1:$ZZ$501,$A477,AM$3)))</f>
        <v/>
      </c>
      <c r="AN477" s="124" t="str">
        <f>IF($B477="","",IF(AN$3=0,"n.b.",INDEX(SRC_ZPMW03!$A$1:$ZZ$501,$A477,AN$3)))</f>
        <v/>
      </c>
      <c r="AO477" s="124" t="str">
        <f>IF($B477="","",IF(AO$3=0,"n.b.",INDEX(SRC_ZPMW03!$A$1:$ZZ$501,$A477,AO$3)))</f>
        <v/>
      </c>
      <c r="AP477" s="124" t="str">
        <f>IF($B477="","",IF(AP$3=0,"n.b.",INDEX(SRC_ZPMW03!$A$1:$ZZ$501,$A477,AP$3)))</f>
        <v/>
      </c>
      <c r="AQ477" s="124" t="str">
        <f>IF($B477="","",IF(AQ$3=0,"n.b.",INDEX(SRC_ZPMW03!$A$1:$ZZ$501,$A477,AQ$3)))</f>
        <v/>
      </c>
      <c r="AR477" s="124" t="str">
        <f>IF($B477="","",IF(AR$3=0,"n.b.",INDEX(SRC_ZPMW03!$A$1:$ZZ$501,$A477,AR$3)))</f>
        <v/>
      </c>
      <c r="AS477" s="124" t="str">
        <f>IF($B477="","",IF(AS$3=0,"n.b.",INDEX(SRC_ZPMW03!$A$1:$ZZ$501,$A477,AS$3)))</f>
        <v/>
      </c>
      <c r="AT477" s="124" t="str">
        <f>IF($B477="","",IF(AT$3=0,"n.b.",INDEX(SRC_ZPMW03!$A$1:$ZZ$501,$A477,AT$3)))</f>
        <v/>
      </c>
      <c r="AU477" s="124" t="str">
        <f>IF($B477="","",IF(AU$3=0,"n.b.",INDEX(SRC_ZPMW03!$A$1:$ZZ$501,$A477,AU$3)))</f>
        <v/>
      </c>
      <c r="AV477" s="124" t="str">
        <f>IF($B477="","",IF(AV$3=0,"n.b.",INDEX(SRC_ZPMW03!$A$1:$ZZ$501,$A477,AV$3)))</f>
        <v/>
      </c>
      <c r="AW477" s="124" t="str">
        <f>IF($B477="","",IF(AW$3=0,"n.b.",INDEX(SRC_ZPMW03!$A$1:$ZZ$501,$A477,AW$3)))</f>
        <v/>
      </c>
      <c r="AX477" s="124" t="str">
        <f>IF($B477="","",IF(AX$3=0,"n.b.",INDEX(SRC_ZPMW03!$A$1:$ZZ$501,$A477,AX$3)))</f>
        <v/>
      </c>
      <c r="AY477" s="124" t="str">
        <f>IF($B477="","",IF(AY$3=0,"n.b.",INDEX(SRC_ZPMW03!$A$1:$ZZ$501,$A477,AY$3)))</f>
        <v/>
      </c>
      <c r="AZ477" s="124" t="str">
        <f>IF($B477="","",IF(AZ$3=0,"n.b.",INDEX(SRC_ZPMW03!$A$1:$ZZ$501,$A477,AZ$3)))</f>
        <v/>
      </c>
      <c r="BA477" s="124" t="str">
        <f>IF($B477="","",IF(BA$3=0,"n.b.",INDEX(SRC_ZPMW03!$A$1:$ZZ$501,$A477,BA$3)))</f>
        <v/>
      </c>
      <c r="BB477" s="124" t="str">
        <f>IF($B477="","",IF(BB$3=0,"n.b.",INDEX(SRC_ZPMW03!$A$1:$ZZ$501,$A477,BB$3)))</f>
        <v/>
      </c>
      <c r="BC477" s="124" t="str">
        <f>IF($B477="","",IF(BC$3=0,"n.b.",INDEX(SRC_ZPMW03!$A$1:$ZZ$501,$A477,BC$3)))</f>
        <v/>
      </c>
      <c r="BD477" s="124" t="str">
        <f>IF($B477="","",IF(BD$3=0,"n.b.",INDEX(SRC_ZPMW03!$A$1:$ZZ$501,$A477,BD$3)))</f>
        <v/>
      </c>
      <c r="BE477" s="124" t="str">
        <f>IF($B477="","",IF(BE$3=0,"n.b.",INDEX(SRC_ZPMW03!$A$1:$ZZ$501,$A477,BE$3)))</f>
        <v/>
      </c>
      <c r="BF477" s="124" t="str">
        <f>IF($B477="","",IF(BF$3=0,"n.b.",INDEX(SRC_ZPMW03!$A$1:$ZZ$501,$A477,BF$3)))</f>
        <v/>
      </c>
      <c r="BG477" t="str">
        <f>IF($B477="","",IF(BG$3=0,"n.b.",INDEX(SRC_ZPMW03!$A$1:$ZZ$501,$A477,BG$3)))</f>
        <v/>
      </c>
      <c r="BH477" t="str">
        <f>IF($B477="","",IF(BH$3=0,"n.b.",INDEX(SRC_ZPMW03!$A$1:$ZZ$501,$A477,BH$3)))</f>
        <v/>
      </c>
      <c r="BI477" t="str">
        <f>IF($B477="","",IF(BI$3=0,"n.b.",INDEX(SRC_ZPMW03!$A$1:$ZZ$501,$A477,BI$3)))</f>
        <v/>
      </c>
      <c r="BJ477" t="str">
        <f>IF($B477="","",IF(BJ$3=0,"n.b.",INDEX(SRC_ZPMW03!$A$1:$ZZ$501,$A477,BJ$3)))</f>
        <v/>
      </c>
      <c r="BK477" s="124" t="str">
        <f>IF($B477="","",IFERROR(-O477,"n.b."))</f>
        <v/>
      </c>
      <c r="BL477" s="124" t="str">
        <f>IF($B477="","",IFERROR(-Q477,"n.b."))</f>
        <v/>
      </c>
      <c r="BM477" s="124" t="str">
        <f>IF($B477="","",IFERROR(-AB477,"n.b."))</f>
        <v/>
      </c>
      <c r="BN477" s="124" t="str">
        <f>IF($B477="","",IFERROR(-AD477,"n.b."))</f>
        <v/>
      </c>
      <c r="BO477" s="124" t="str">
        <f>IF($B477="","",IFERROR(BK477+BM477,"n.b."))</f>
        <v/>
      </c>
      <c r="BP477" s="124" t="str">
        <f>IF($B477="","",IFERROR(BL477+BN477,"n.b."))</f>
        <v/>
      </c>
      <c r="BQ477" s="124" t="str">
        <f>IF($B477="","",IFERROR(-AM477,"n.b."))</f>
        <v/>
      </c>
      <c r="BR477" s="124" t="str">
        <f>IF($B477="","",IFERROR(-AO477,"n.b."))</f>
        <v/>
      </c>
      <c r="BS477" s="124" t="str">
        <f>IF($B477="","",IFERROR(-Z477,"n.b."))</f>
        <v/>
      </c>
      <c r="BT477" s="124" t="str">
        <f>IF($B477="","",IFERROR(-AA477,"n.b."))</f>
        <v/>
      </c>
      <c r="BU477" s="124" t="str">
        <f>IF($B477="","",IFERROR(-AE477,"n.b."))</f>
        <v/>
      </c>
      <c r="BV477" s="124" t="str">
        <f>IF($B477="","",IFERROR(-AF477,"n.b."))</f>
        <v/>
      </c>
      <c r="BW477" s="124" t="str">
        <f>IF($B477="","",IFERROR(-AG477,"n.b."))</f>
        <v/>
      </c>
      <c r="BX477" s="124" t="str">
        <f>IF($B477="","",IFERROR(-AH477,"n.b."))</f>
        <v/>
      </c>
      <c r="BY477" s="124" t="str">
        <f>IF($B477="","",IFERROR(-AI477,"n.b."))</f>
        <v/>
      </c>
      <c r="BZ477" s="124" t="str">
        <f>IF($B477="","",IFERROR(-AJ477,"n.b."))</f>
        <v/>
      </c>
      <c r="CA477" s="124" t="str">
        <f>IF($B477="","",IFERROR(-AK477,"n.b."))</f>
        <v/>
      </c>
      <c r="CB477" s="124" t="str">
        <f>IF($B477="","",IFERROR(-AL477,"n.b."))</f>
        <v/>
      </c>
      <c r="CC477" s="124" t="str">
        <f>IF($B477="","",IFERROR(-AP477,"n.b."))</f>
        <v/>
      </c>
      <c r="CD477" s="124" t="str">
        <f>IF($B477="","",IFERROR(-AQ477,"n.b."))</f>
        <v/>
      </c>
      <c r="CE477" s="124" t="str">
        <f>IF($B477="","",IFERROR(-AR477,"n.b."))</f>
        <v/>
      </c>
      <c r="CF477" s="124" t="str">
        <f>IF($B477="","",IFERROR(-AS477,"n.b."))</f>
        <v/>
      </c>
      <c r="CG477" s="124" t="str">
        <f>IF($B477="","",IFERROR(-AT477,"n.b."))</f>
        <v/>
      </c>
      <c r="CH477" s="124" t="str">
        <f>IF($B477="","",IFERROR(-AU477,"n.b."))</f>
        <v/>
      </c>
      <c r="CI477" s="124" t="str">
        <f>IF($B477="","",IFERROR(-AV477,"n.b."))</f>
        <v/>
      </c>
      <c r="CJ477" s="124" t="str">
        <f>IF($B477="","",IFERROR(-AW477,"n.b."))</f>
        <v/>
      </c>
      <c r="CK477" s="124" t="str">
        <f>IF($B477="","",IFERROR(-AX477,"n.b."))</f>
        <v/>
      </c>
      <c r="CL477" s="124" t="str">
        <f>IF($B477="","",IFERROR(-AY477,"n.b."))</f>
        <v/>
      </c>
      <c r="CM477" s="124" t="str">
        <f>IF($B477="","",IFERROR(-AZ477,"n.b."))</f>
        <v/>
      </c>
      <c r="CN477" s="124" t="str">
        <f>IF($B477="","",IFERROR(-BA477,"n.b."))</f>
        <v/>
      </c>
      <c r="CO477" s="124" t="str">
        <f>IF($B477="","",IFERROR(-BB477,"n.b."))</f>
        <v/>
      </c>
      <c r="CP477" s="124" t="str">
        <f>IF($B477="","",IFERROR(-BC477,"n.b."))</f>
        <v/>
      </c>
      <c r="CQ477" s="124" t="str">
        <f>IF($B477="","",IFERROR(-BD477,"n.b."))</f>
        <v/>
      </c>
      <c r="CR477" s="124" t="str">
        <f>IF($B477="","",IFERROR(-BE477,"n.b."))</f>
        <v/>
      </c>
      <c r="CS477" s="124" t="str">
        <f>IF($B477="","",IFERROR(IF(OR(ABS(T477+V477+X477+Z477-AB477)&gt;P_Tol,ABS(U477+W477+Y477+AA477-AD477)&gt;P_Tol,ABS(AE477+AG477+AI477+AK477-AM477)&gt;P_Tol,ABS(AF477+AH477+AJ477+AL477-AO477)&gt;P_Tol),1,0),1))</f>
        <v/>
      </c>
      <c r="CT477" s="124" t="str">
        <f>IF($B477="","",IFERROR(IF(OR(ABS(AB477+AC477-AD477)&gt;P_Tol,ABS(AM477+AN477-AO477)&gt;P_Tol,ABS(O477+P477-Q477)&gt;P_Tol),1,0),1))</f>
        <v/>
      </c>
      <c r="CU477" s="124" t="str">
        <f>IF($B477="","",IFERROR(IF(ABS(R477-(AB477+AM477+AP477+AR477+AT477+AV477+AX477+AZ477+BB477+BD477))&gt;P_Tol,1,0),1))</f>
        <v/>
      </c>
      <c r="CV477" s="124" t="str">
        <f>IF($B477="","",IFERROR(IF(ABS(M477-(N477+O477+R477))&gt;P_Tol,1,0),1))</f>
        <v/>
      </c>
      <c r="CW477" s="124" t="str">
        <f>IF($B477="","",IF(COUNTIF(Mapping!$A$5:$A$104,B477)&gt;0,1,0))</f>
        <v/>
      </c>
      <c r="CX477" s="124" t="str">
        <f>IF($B477="","",COUNTIF($B$6:$B$505,B477))</f>
        <v/>
      </c>
      <c r="CY477" s="124" t="str">
        <f>IF($B477="","",COUNTIF(STG_Woningetalage!$B$6:$B$505,B477))</f>
        <v/>
      </c>
      <c r="CZ477" s="124" t="str">
        <f>IF($B477="","",IF(CW477=0,COUNTIF($CW$6:CW477,0),""))</f>
        <v/>
      </c>
    </row>
    <row r="478">
      <c r="A478" s="15" t="n">
        <v>474</v>
      </c>
      <c r="B478" t="str">
        <f>IF(B$3=0,"",IF(INDEX(SRC_ZPMW03!$A$1:$ZZ$501,$A478,B$3)&amp;""="","",INDEX(SRC_ZPMW03!$A$1:$ZZ$501,$A478,B$3)&amp;""))</f>
        <v/>
      </c>
      <c r="C478" t="str">
        <f>IF($B478="","",IF(C$3=0,"n.b.",INDEX(SRC_ZPMW03!$A$1:$ZZ$501,$A478,C$3)))</f>
        <v/>
      </c>
      <c r="D478" t="str">
        <f>IF($B478="","",IF(D$3=0,"n.b.",INDEX(SRC_ZPMW03!$A$1:$ZZ$501,$A478,D$3)))</f>
        <v/>
      </c>
      <c r="E478" t="str">
        <f>IF($B478="","",IF(E$3=0,"n.b.",INDEX(SRC_ZPMW03!$A$1:$ZZ$501,$A478,E$3)))</f>
        <v/>
      </c>
      <c r="F478" t="str">
        <f>IF($B478="","",IF(F$3=0,"n.b.",INDEX(SRC_ZPMW03!$A$1:$ZZ$501,$A478,F$3)))</f>
        <v/>
      </c>
      <c r="G478" t="str">
        <f>IF($B478="","",IF(G$3=0,"n.b.",INDEX(SRC_ZPMW03!$A$1:$ZZ$501,$A478,G$3)))</f>
        <v/>
      </c>
      <c r="H478" t="str">
        <f>IF($B478="","",IF(H$3=0,"n.b.",INDEX(SRC_ZPMW03!$A$1:$ZZ$501,$A478,H$3)))</f>
        <v/>
      </c>
      <c r="I478" t="str">
        <f>IF($B478="","",IF(I$3=0,"n.b.",INDEX(SRC_ZPMW03!$A$1:$ZZ$501,$A478,I$3)))</f>
        <v/>
      </c>
      <c r="J478" t="str">
        <f>IF($B478="","",IF(J$3=0,"n.b.",INDEX(SRC_ZPMW03!$A$1:$ZZ$501,$A478,J$3)))</f>
        <v/>
      </c>
      <c r="K478" t="str">
        <f>IF($B478="","",IF(K$3=0,"n.b.",INDEX(SRC_ZPMW03!$A$1:$ZZ$501,$A478,K$3)))</f>
        <v/>
      </c>
      <c r="L478" s="124" t="str">
        <f>IF($B478="","",IF(L$3=0,"n.b.",INDEX(SRC_ZPMW03!$A$1:$ZZ$501,$A478,L$3)))</f>
        <v/>
      </c>
      <c r="M478" s="124" t="str">
        <f>IF($B478="","",IF(M$3=0,"n.b.",INDEX(SRC_ZPMW03!$A$1:$ZZ$501,$A478,M$3)))</f>
        <v/>
      </c>
      <c r="N478" s="124" t="str">
        <f>IF($B478="","",IF(N$3=0,"n.b.",INDEX(SRC_ZPMW03!$A$1:$ZZ$501,$A478,N$3)))</f>
        <v/>
      </c>
      <c r="O478" s="124" t="str">
        <f>IF($B478="","",IF(O$3=0,"n.b.",INDEX(SRC_ZPMW03!$A$1:$ZZ$501,$A478,O$3)))</f>
        <v/>
      </c>
      <c r="P478" s="124" t="str">
        <f>IF($B478="","",IF(P$3=0,"n.b.",INDEX(SRC_ZPMW03!$A$1:$ZZ$501,$A478,P$3)))</f>
        <v/>
      </c>
      <c r="Q478" s="124" t="str">
        <f>IF($B478="","",IF(Q$3=0,"n.b.",INDEX(SRC_ZPMW03!$A$1:$ZZ$501,$A478,Q$3)))</f>
        <v/>
      </c>
      <c r="R478" s="124" t="str">
        <f>IF($B478="","",IF(R$3=0,"n.b.",INDEX(SRC_ZPMW03!$A$1:$ZZ$501,$A478,R$3)))</f>
        <v/>
      </c>
      <c r="S478" s="124" t="str">
        <f>IF($B478="","",IF(S$3=0,"n.b.",INDEX(SRC_ZPMW03!$A$1:$ZZ$501,$A478,S$3)))</f>
        <v/>
      </c>
      <c r="T478" s="124" t="str">
        <f>IF($B478="","",IF(T$3=0,"n.b.",INDEX(SRC_ZPMW03!$A$1:$ZZ$501,$A478,T$3)))</f>
        <v/>
      </c>
      <c r="U478" s="124" t="str">
        <f>IF($B478="","",IF(U$3=0,"n.b.",INDEX(SRC_ZPMW03!$A$1:$ZZ$501,$A478,U$3)))</f>
        <v/>
      </c>
      <c r="V478" s="124" t="str">
        <f>IF($B478="","",IF(V$3=0,"n.b.",INDEX(SRC_ZPMW03!$A$1:$ZZ$501,$A478,V$3)))</f>
        <v/>
      </c>
      <c r="W478" s="124" t="str">
        <f>IF($B478="","",IF(W$3=0,"n.b.",INDEX(SRC_ZPMW03!$A$1:$ZZ$501,$A478,W$3)))</f>
        <v/>
      </c>
      <c r="X478" s="124" t="str">
        <f>IF($B478="","",IF(X$3=0,"n.b.",INDEX(SRC_ZPMW03!$A$1:$ZZ$501,$A478,X$3)))</f>
        <v/>
      </c>
      <c r="Y478" s="124" t="str">
        <f>IF($B478="","",IF(Y$3=0,"n.b.",INDEX(SRC_ZPMW03!$A$1:$ZZ$501,$A478,Y$3)))</f>
        <v/>
      </c>
      <c r="Z478" s="124" t="str">
        <f>IF($B478="","",IF(Z$3=0,"n.b.",INDEX(SRC_ZPMW03!$A$1:$ZZ$501,$A478,Z$3)))</f>
        <v/>
      </c>
      <c r="AA478" s="124" t="str">
        <f>IF($B478="","",IF(AA$3=0,"n.b.",INDEX(SRC_ZPMW03!$A$1:$ZZ$501,$A478,AA$3)))</f>
        <v/>
      </c>
      <c r="AB478" s="124" t="str">
        <f>IF($B478="","",IF(AB$3=0,"n.b.",INDEX(SRC_ZPMW03!$A$1:$ZZ$501,$A478,AB$3)))</f>
        <v/>
      </c>
      <c r="AC478" s="124" t="str">
        <f>IF($B478="","",IF(AC$3=0,"n.b.",INDEX(SRC_ZPMW03!$A$1:$ZZ$501,$A478,AC$3)))</f>
        <v/>
      </c>
      <c r="AD478" s="124" t="str">
        <f>IF($B478="","",IF(AD$3=0,"n.b.",INDEX(SRC_ZPMW03!$A$1:$ZZ$501,$A478,AD$3)))</f>
        <v/>
      </c>
      <c r="AE478" s="124" t="str">
        <f>IF($B478="","",IF(AE$3=0,"n.b.",INDEX(SRC_ZPMW03!$A$1:$ZZ$501,$A478,AE$3)))</f>
        <v/>
      </c>
      <c r="AF478" s="124" t="str">
        <f>IF($B478="","",IF(AF$3=0,"n.b.",INDEX(SRC_ZPMW03!$A$1:$ZZ$501,$A478,AF$3)))</f>
        <v/>
      </c>
      <c r="AG478" s="124" t="str">
        <f>IF($B478="","",IF(AG$3=0,"n.b.",INDEX(SRC_ZPMW03!$A$1:$ZZ$501,$A478,AG$3)))</f>
        <v/>
      </c>
      <c r="AH478" s="124" t="str">
        <f>IF($B478="","",IF(AH$3=0,"n.b.",INDEX(SRC_ZPMW03!$A$1:$ZZ$501,$A478,AH$3)))</f>
        <v/>
      </c>
      <c r="AI478" s="124" t="str">
        <f>IF($B478="","",IF(AI$3=0,"n.b.",INDEX(SRC_ZPMW03!$A$1:$ZZ$501,$A478,AI$3)))</f>
        <v/>
      </c>
      <c r="AJ478" s="124" t="str">
        <f>IF($B478="","",IF(AJ$3=0,"n.b.",INDEX(SRC_ZPMW03!$A$1:$ZZ$501,$A478,AJ$3)))</f>
        <v/>
      </c>
      <c r="AK478" s="124" t="str">
        <f>IF($B478="","",IF(AK$3=0,"n.b.",INDEX(SRC_ZPMW03!$A$1:$ZZ$501,$A478,AK$3)))</f>
        <v/>
      </c>
      <c r="AL478" s="124" t="str">
        <f>IF($B478="","",IF(AL$3=0,"n.b.",INDEX(SRC_ZPMW03!$A$1:$ZZ$501,$A478,AL$3)))</f>
        <v/>
      </c>
      <c r="AM478" s="124" t="str">
        <f>IF($B478="","",IF(AM$3=0,"n.b.",INDEX(SRC_ZPMW03!$A$1:$ZZ$501,$A478,AM$3)))</f>
        <v/>
      </c>
      <c r="AN478" s="124" t="str">
        <f>IF($B478="","",IF(AN$3=0,"n.b.",INDEX(SRC_ZPMW03!$A$1:$ZZ$501,$A478,AN$3)))</f>
        <v/>
      </c>
      <c r="AO478" s="124" t="str">
        <f>IF($B478="","",IF(AO$3=0,"n.b.",INDEX(SRC_ZPMW03!$A$1:$ZZ$501,$A478,AO$3)))</f>
        <v/>
      </c>
      <c r="AP478" s="124" t="str">
        <f>IF($B478="","",IF(AP$3=0,"n.b.",INDEX(SRC_ZPMW03!$A$1:$ZZ$501,$A478,AP$3)))</f>
        <v/>
      </c>
      <c r="AQ478" s="124" t="str">
        <f>IF($B478="","",IF(AQ$3=0,"n.b.",INDEX(SRC_ZPMW03!$A$1:$ZZ$501,$A478,AQ$3)))</f>
        <v/>
      </c>
      <c r="AR478" s="124" t="str">
        <f>IF($B478="","",IF(AR$3=0,"n.b.",INDEX(SRC_ZPMW03!$A$1:$ZZ$501,$A478,AR$3)))</f>
        <v/>
      </c>
      <c r="AS478" s="124" t="str">
        <f>IF($B478="","",IF(AS$3=0,"n.b.",INDEX(SRC_ZPMW03!$A$1:$ZZ$501,$A478,AS$3)))</f>
        <v/>
      </c>
      <c r="AT478" s="124" t="str">
        <f>IF($B478="","",IF(AT$3=0,"n.b.",INDEX(SRC_ZPMW03!$A$1:$ZZ$501,$A478,AT$3)))</f>
        <v/>
      </c>
      <c r="AU478" s="124" t="str">
        <f>IF($B478="","",IF(AU$3=0,"n.b.",INDEX(SRC_ZPMW03!$A$1:$ZZ$501,$A478,AU$3)))</f>
        <v/>
      </c>
      <c r="AV478" s="124" t="str">
        <f>IF($B478="","",IF(AV$3=0,"n.b.",INDEX(SRC_ZPMW03!$A$1:$ZZ$501,$A478,AV$3)))</f>
        <v/>
      </c>
      <c r="AW478" s="124" t="str">
        <f>IF($B478="","",IF(AW$3=0,"n.b.",INDEX(SRC_ZPMW03!$A$1:$ZZ$501,$A478,AW$3)))</f>
        <v/>
      </c>
      <c r="AX478" s="124" t="str">
        <f>IF($B478="","",IF(AX$3=0,"n.b.",INDEX(SRC_ZPMW03!$A$1:$ZZ$501,$A478,AX$3)))</f>
        <v/>
      </c>
      <c r="AY478" s="124" t="str">
        <f>IF($B478="","",IF(AY$3=0,"n.b.",INDEX(SRC_ZPMW03!$A$1:$ZZ$501,$A478,AY$3)))</f>
        <v/>
      </c>
      <c r="AZ478" s="124" t="str">
        <f>IF($B478="","",IF(AZ$3=0,"n.b.",INDEX(SRC_ZPMW03!$A$1:$ZZ$501,$A478,AZ$3)))</f>
        <v/>
      </c>
      <c r="BA478" s="124" t="str">
        <f>IF($B478="","",IF(BA$3=0,"n.b.",INDEX(SRC_ZPMW03!$A$1:$ZZ$501,$A478,BA$3)))</f>
        <v/>
      </c>
      <c r="BB478" s="124" t="str">
        <f>IF($B478="","",IF(BB$3=0,"n.b.",INDEX(SRC_ZPMW03!$A$1:$ZZ$501,$A478,BB$3)))</f>
        <v/>
      </c>
      <c r="BC478" s="124" t="str">
        <f>IF($B478="","",IF(BC$3=0,"n.b.",INDEX(SRC_ZPMW03!$A$1:$ZZ$501,$A478,BC$3)))</f>
        <v/>
      </c>
      <c r="BD478" s="124" t="str">
        <f>IF($B478="","",IF(BD$3=0,"n.b.",INDEX(SRC_ZPMW03!$A$1:$ZZ$501,$A478,BD$3)))</f>
        <v/>
      </c>
      <c r="BE478" s="124" t="str">
        <f>IF($B478="","",IF(BE$3=0,"n.b.",INDEX(SRC_ZPMW03!$A$1:$ZZ$501,$A478,BE$3)))</f>
        <v/>
      </c>
      <c r="BF478" s="124" t="str">
        <f>IF($B478="","",IF(BF$3=0,"n.b.",INDEX(SRC_ZPMW03!$A$1:$ZZ$501,$A478,BF$3)))</f>
        <v/>
      </c>
      <c r="BG478" t="str">
        <f>IF($B478="","",IF(BG$3=0,"n.b.",INDEX(SRC_ZPMW03!$A$1:$ZZ$501,$A478,BG$3)))</f>
        <v/>
      </c>
      <c r="BH478" t="str">
        <f>IF($B478="","",IF(BH$3=0,"n.b.",INDEX(SRC_ZPMW03!$A$1:$ZZ$501,$A478,BH$3)))</f>
        <v/>
      </c>
      <c r="BI478" t="str">
        <f>IF($B478="","",IF(BI$3=0,"n.b.",INDEX(SRC_ZPMW03!$A$1:$ZZ$501,$A478,BI$3)))</f>
        <v/>
      </c>
      <c r="BJ478" t="str">
        <f>IF($B478="","",IF(BJ$3=0,"n.b.",INDEX(SRC_ZPMW03!$A$1:$ZZ$501,$A478,BJ$3)))</f>
        <v/>
      </c>
      <c r="BK478" s="124" t="str">
        <f>IF($B478="","",IFERROR(-O478,"n.b."))</f>
        <v/>
      </c>
      <c r="BL478" s="124" t="str">
        <f>IF($B478="","",IFERROR(-Q478,"n.b."))</f>
        <v/>
      </c>
      <c r="BM478" s="124" t="str">
        <f>IF($B478="","",IFERROR(-AB478,"n.b."))</f>
        <v/>
      </c>
      <c r="BN478" s="124" t="str">
        <f>IF($B478="","",IFERROR(-AD478,"n.b."))</f>
        <v/>
      </c>
      <c r="BO478" s="124" t="str">
        <f>IF($B478="","",IFERROR(BK478+BM478,"n.b."))</f>
        <v/>
      </c>
      <c r="BP478" s="124" t="str">
        <f>IF($B478="","",IFERROR(BL478+BN478,"n.b."))</f>
        <v/>
      </c>
      <c r="BQ478" s="124" t="str">
        <f>IF($B478="","",IFERROR(-AM478,"n.b."))</f>
        <v/>
      </c>
      <c r="BR478" s="124" t="str">
        <f>IF($B478="","",IFERROR(-AO478,"n.b."))</f>
        <v/>
      </c>
      <c r="BS478" s="124" t="str">
        <f>IF($B478="","",IFERROR(-Z478,"n.b."))</f>
        <v/>
      </c>
      <c r="BT478" s="124" t="str">
        <f>IF($B478="","",IFERROR(-AA478,"n.b."))</f>
        <v/>
      </c>
      <c r="BU478" s="124" t="str">
        <f>IF($B478="","",IFERROR(-AE478,"n.b."))</f>
        <v/>
      </c>
      <c r="BV478" s="124" t="str">
        <f>IF($B478="","",IFERROR(-AF478,"n.b."))</f>
        <v/>
      </c>
      <c r="BW478" s="124" t="str">
        <f>IF($B478="","",IFERROR(-AG478,"n.b."))</f>
        <v/>
      </c>
      <c r="BX478" s="124" t="str">
        <f>IF($B478="","",IFERROR(-AH478,"n.b."))</f>
        <v/>
      </c>
      <c r="BY478" s="124" t="str">
        <f>IF($B478="","",IFERROR(-AI478,"n.b."))</f>
        <v/>
      </c>
      <c r="BZ478" s="124" t="str">
        <f>IF($B478="","",IFERROR(-AJ478,"n.b."))</f>
        <v/>
      </c>
      <c r="CA478" s="124" t="str">
        <f>IF($B478="","",IFERROR(-AK478,"n.b."))</f>
        <v/>
      </c>
      <c r="CB478" s="124" t="str">
        <f>IF($B478="","",IFERROR(-AL478,"n.b."))</f>
        <v/>
      </c>
      <c r="CC478" s="124" t="str">
        <f>IF($B478="","",IFERROR(-AP478,"n.b."))</f>
        <v/>
      </c>
      <c r="CD478" s="124" t="str">
        <f>IF($B478="","",IFERROR(-AQ478,"n.b."))</f>
        <v/>
      </c>
      <c r="CE478" s="124" t="str">
        <f>IF($B478="","",IFERROR(-AR478,"n.b."))</f>
        <v/>
      </c>
      <c r="CF478" s="124" t="str">
        <f>IF($B478="","",IFERROR(-AS478,"n.b."))</f>
        <v/>
      </c>
      <c r="CG478" s="124" t="str">
        <f>IF($B478="","",IFERROR(-AT478,"n.b."))</f>
        <v/>
      </c>
      <c r="CH478" s="124" t="str">
        <f>IF($B478="","",IFERROR(-AU478,"n.b."))</f>
        <v/>
      </c>
      <c r="CI478" s="124" t="str">
        <f>IF($B478="","",IFERROR(-AV478,"n.b."))</f>
        <v/>
      </c>
      <c r="CJ478" s="124" t="str">
        <f>IF($B478="","",IFERROR(-AW478,"n.b."))</f>
        <v/>
      </c>
      <c r="CK478" s="124" t="str">
        <f>IF($B478="","",IFERROR(-AX478,"n.b."))</f>
        <v/>
      </c>
      <c r="CL478" s="124" t="str">
        <f>IF($B478="","",IFERROR(-AY478,"n.b."))</f>
        <v/>
      </c>
      <c r="CM478" s="124" t="str">
        <f>IF($B478="","",IFERROR(-AZ478,"n.b."))</f>
        <v/>
      </c>
      <c r="CN478" s="124" t="str">
        <f>IF($B478="","",IFERROR(-BA478,"n.b."))</f>
        <v/>
      </c>
      <c r="CO478" s="124" t="str">
        <f>IF($B478="","",IFERROR(-BB478,"n.b."))</f>
        <v/>
      </c>
      <c r="CP478" s="124" t="str">
        <f>IF($B478="","",IFERROR(-BC478,"n.b."))</f>
        <v/>
      </c>
      <c r="CQ478" s="124" t="str">
        <f>IF($B478="","",IFERROR(-BD478,"n.b."))</f>
        <v/>
      </c>
      <c r="CR478" s="124" t="str">
        <f>IF($B478="","",IFERROR(-BE478,"n.b."))</f>
        <v/>
      </c>
      <c r="CS478" s="124" t="str">
        <f>IF($B478="","",IFERROR(IF(OR(ABS(T478+V478+X478+Z478-AB478)&gt;P_Tol,ABS(U478+W478+Y478+AA478-AD478)&gt;P_Tol,ABS(AE478+AG478+AI478+AK478-AM478)&gt;P_Tol,ABS(AF478+AH478+AJ478+AL478-AO478)&gt;P_Tol),1,0),1))</f>
        <v/>
      </c>
      <c r="CT478" s="124" t="str">
        <f>IF($B478="","",IFERROR(IF(OR(ABS(AB478+AC478-AD478)&gt;P_Tol,ABS(AM478+AN478-AO478)&gt;P_Tol,ABS(O478+P478-Q478)&gt;P_Tol),1,0),1))</f>
        <v/>
      </c>
      <c r="CU478" s="124" t="str">
        <f>IF($B478="","",IFERROR(IF(ABS(R478-(AB478+AM478+AP478+AR478+AT478+AV478+AX478+AZ478+BB478+BD478))&gt;P_Tol,1,0),1))</f>
        <v/>
      </c>
      <c r="CV478" s="124" t="str">
        <f>IF($B478="","",IFERROR(IF(ABS(M478-(N478+O478+R478))&gt;P_Tol,1,0),1))</f>
        <v/>
      </c>
      <c r="CW478" s="124" t="str">
        <f>IF($B478="","",IF(COUNTIF(Mapping!$A$5:$A$104,B478)&gt;0,1,0))</f>
        <v/>
      </c>
      <c r="CX478" s="124" t="str">
        <f>IF($B478="","",COUNTIF($B$6:$B$505,B478))</f>
        <v/>
      </c>
      <c r="CY478" s="124" t="str">
        <f>IF($B478="","",COUNTIF(STG_Woningetalage!$B$6:$B$505,B478))</f>
        <v/>
      </c>
      <c r="CZ478" s="124" t="str">
        <f>IF($B478="","",IF(CW478=0,COUNTIF($CW$6:CW478,0),""))</f>
        <v/>
      </c>
    </row>
    <row r="479">
      <c r="A479" s="15" t="n">
        <v>475</v>
      </c>
      <c r="B479" t="str">
        <f>IF(B$3=0,"",IF(INDEX(SRC_ZPMW03!$A$1:$ZZ$501,$A479,B$3)&amp;""="","",INDEX(SRC_ZPMW03!$A$1:$ZZ$501,$A479,B$3)&amp;""))</f>
        <v/>
      </c>
      <c r="C479" t="str">
        <f>IF($B479="","",IF(C$3=0,"n.b.",INDEX(SRC_ZPMW03!$A$1:$ZZ$501,$A479,C$3)))</f>
        <v/>
      </c>
      <c r="D479" t="str">
        <f>IF($B479="","",IF(D$3=0,"n.b.",INDEX(SRC_ZPMW03!$A$1:$ZZ$501,$A479,D$3)))</f>
        <v/>
      </c>
      <c r="E479" t="str">
        <f>IF($B479="","",IF(E$3=0,"n.b.",INDEX(SRC_ZPMW03!$A$1:$ZZ$501,$A479,E$3)))</f>
        <v/>
      </c>
      <c r="F479" t="str">
        <f>IF($B479="","",IF(F$3=0,"n.b.",INDEX(SRC_ZPMW03!$A$1:$ZZ$501,$A479,F$3)))</f>
        <v/>
      </c>
      <c r="G479" t="str">
        <f>IF($B479="","",IF(G$3=0,"n.b.",INDEX(SRC_ZPMW03!$A$1:$ZZ$501,$A479,G$3)))</f>
        <v/>
      </c>
      <c r="H479" t="str">
        <f>IF($B479="","",IF(H$3=0,"n.b.",INDEX(SRC_ZPMW03!$A$1:$ZZ$501,$A479,H$3)))</f>
        <v/>
      </c>
      <c r="I479" t="str">
        <f>IF($B479="","",IF(I$3=0,"n.b.",INDEX(SRC_ZPMW03!$A$1:$ZZ$501,$A479,I$3)))</f>
        <v/>
      </c>
      <c r="J479" t="str">
        <f>IF($B479="","",IF(J$3=0,"n.b.",INDEX(SRC_ZPMW03!$A$1:$ZZ$501,$A479,J$3)))</f>
        <v/>
      </c>
      <c r="K479" t="str">
        <f>IF($B479="","",IF(K$3=0,"n.b.",INDEX(SRC_ZPMW03!$A$1:$ZZ$501,$A479,K$3)))</f>
        <v/>
      </c>
      <c r="L479" s="124" t="str">
        <f>IF($B479="","",IF(L$3=0,"n.b.",INDEX(SRC_ZPMW03!$A$1:$ZZ$501,$A479,L$3)))</f>
        <v/>
      </c>
      <c r="M479" s="124" t="str">
        <f>IF($B479="","",IF(M$3=0,"n.b.",INDEX(SRC_ZPMW03!$A$1:$ZZ$501,$A479,M$3)))</f>
        <v/>
      </c>
      <c r="N479" s="124" t="str">
        <f>IF($B479="","",IF(N$3=0,"n.b.",INDEX(SRC_ZPMW03!$A$1:$ZZ$501,$A479,N$3)))</f>
        <v/>
      </c>
      <c r="O479" s="124" t="str">
        <f>IF($B479="","",IF(O$3=0,"n.b.",INDEX(SRC_ZPMW03!$A$1:$ZZ$501,$A479,O$3)))</f>
        <v/>
      </c>
      <c r="P479" s="124" t="str">
        <f>IF($B479="","",IF(P$3=0,"n.b.",INDEX(SRC_ZPMW03!$A$1:$ZZ$501,$A479,P$3)))</f>
        <v/>
      </c>
      <c r="Q479" s="124" t="str">
        <f>IF($B479="","",IF(Q$3=0,"n.b.",INDEX(SRC_ZPMW03!$A$1:$ZZ$501,$A479,Q$3)))</f>
        <v/>
      </c>
      <c r="R479" s="124" t="str">
        <f>IF($B479="","",IF(R$3=0,"n.b.",INDEX(SRC_ZPMW03!$A$1:$ZZ$501,$A479,R$3)))</f>
        <v/>
      </c>
      <c r="S479" s="124" t="str">
        <f>IF($B479="","",IF(S$3=0,"n.b.",INDEX(SRC_ZPMW03!$A$1:$ZZ$501,$A479,S$3)))</f>
        <v/>
      </c>
      <c r="T479" s="124" t="str">
        <f>IF($B479="","",IF(T$3=0,"n.b.",INDEX(SRC_ZPMW03!$A$1:$ZZ$501,$A479,T$3)))</f>
        <v/>
      </c>
      <c r="U479" s="124" t="str">
        <f>IF($B479="","",IF(U$3=0,"n.b.",INDEX(SRC_ZPMW03!$A$1:$ZZ$501,$A479,U$3)))</f>
        <v/>
      </c>
      <c r="V479" s="124" t="str">
        <f>IF($B479="","",IF(V$3=0,"n.b.",INDEX(SRC_ZPMW03!$A$1:$ZZ$501,$A479,V$3)))</f>
        <v/>
      </c>
      <c r="W479" s="124" t="str">
        <f>IF($B479="","",IF(W$3=0,"n.b.",INDEX(SRC_ZPMW03!$A$1:$ZZ$501,$A479,W$3)))</f>
        <v/>
      </c>
      <c r="X479" s="124" t="str">
        <f>IF($B479="","",IF(X$3=0,"n.b.",INDEX(SRC_ZPMW03!$A$1:$ZZ$501,$A479,X$3)))</f>
        <v/>
      </c>
      <c r="Y479" s="124" t="str">
        <f>IF($B479="","",IF(Y$3=0,"n.b.",INDEX(SRC_ZPMW03!$A$1:$ZZ$501,$A479,Y$3)))</f>
        <v/>
      </c>
      <c r="Z479" s="124" t="str">
        <f>IF($B479="","",IF(Z$3=0,"n.b.",INDEX(SRC_ZPMW03!$A$1:$ZZ$501,$A479,Z$3)))</f>
        <v/>
      </c>
      <c r="AA479" s="124" t="str">
        <f>IF($B479="","",IF(AA$3=0,"n.b.",INDEX(SRC_ZPMW03!$A$1:$ZZ$501,$A479,AA$3)))</f>
        <v/>
      </c>
      <c r="AB479" s="124" t="str">
        <f>IF($B479="","",IF(AB$3=0,"n.b.",INDEX(SRC_ZPMW03!$A$1:$ZZ$501,$A479,AB$3)))</f>
        <v/>
      </c>
      <c r="AC479" s="124" t="str">
        <f>IF($B479="","",IF(AC$3=0,"n.b.",INDEX(SRC_ZPMW03!$A$1:$ZZ$501,$A479,AC$3)))</f>
        <v/>
      </c>
      <c r="AD479" s="124" t="str">
        <f>IF($B479="","",IF(AD$3=0,"n.b.",INDEX(SRC_ZPMW03!$A$1:$ZZ$501,$A479,AD$3)))</f>
        <v/>
      </c>
      <c r="AE479" s="124" t="str">
        <f>IF($B479="","",IF(AE$3=0,"n.b.",INDEX(SRC_ZPMW03!$A$1:$ZZ$501,$A479,AE$3)))</f>
        <v/>
      </c>
      <c r="AF479" s="124" t="str">
        <f>IF($B479="","",IF(AF$3=0,"n.b.",INDEX(SRC_ZPMW03!$A$1:$ZZ$501,$A479,AF$3)))</f>
        <v/>
      </c>
      <c r="AG479" s="124" t="str">
        <f>IF($B479="","",IF(AG$3=0,"n.b.",INDEX(SRC_ZPMW03!$A$1:$ZZ$501,$A479,AG$3)))</f>
        <v/>
      </c>
      <c r="AH479" s="124" t="str">
        <f>IF($B479="","",IF(AH$3=0,"n.b.",INDEX(SRC_ZPMW03!$A$1:$ZZ$501,$A479,AH$3)))</f>
        <v/>
      </c>
      <c r="AI479" s="124" t="str">
        <f>IF($B479="","",IF(AI$3=0,"n.b.",INDEX(SRC_ZPMW03!$A$1:$ZZ$501,$A479,AI$3)))</f>
        <v/>
      </c>
      <c r="AJ479" s="124" t="str">
        <f>IF($B479="","",IF(AJ$3=0,"n.b.",INDEX(SRC_ZPMW03!$A$1:$ZZ$501,$A479,AJ$3)))</f>
        <v/>
      </c>
      <c r="AK479" s="124" t="str">
        <f>IF($B479="","",IF(AK$3=0,"n.b.",INDEX(SRC_ZPMW03!$A$1:$ZZ$501,$A479,AK$3)))</f>
        <v/>
      </c>
      <c r="AL479" s="124" t="str">
        <f>IF($B479="","",IF(AL$3=0,"n.b.",INDEX(SRC_ZPMW03!$A$1:$ZZ$501,$A479,AL$3)))</f>
        <v/>
      </c>
      <c r="AM479" s="124" t="str">
        <f>IF($B479="","",IF(AM$3=0,"n.b.",INDEX(SRC_ZPMW03!$A$1:$ZZ$501,$A479,AM$3)))</f>
        <v/>
      </c>
      <c r="AN479" s="124" t="str">
        <f>IF($B479="","",IF(AN$3=0,"n.b.",INDEX(SRC_ZPMW03!$A$1:$ZZ$501,$A479,AN$3)))</f>
        <v/>
      </c>
      <c r="AO479" s="124" t="str">
        <f>IF($B479="","",IF(AO$3=0,"n.b.",INDEX(SRC_ZPMW03!$A$1:$ZZ$501,$A479,AO$3)))</f>
        <v/>
      </c>
      <c r="AP479" s="124" t="str">
        <f>IF($B479="","",IF(AP$3=0,"n.b.",INDEX(SRC_ZPMW03!$A$1:$ZZ$501,$A479,AP$3)))</f>
        <v/>
      </c>
      <c r="AQ479" s="124" t="str">
        <f>IF($B479="","",IF(AQ$3=0,"n.b.",INDEX(SRC_ZPMW03!$A$1:$ZZ$501,$A479,AQ$3)))</f>
        <v/>
      </c>
      <c r="AR479" s="124" t="str">
        <f>IF($B479="","",IF(AR$3=0,"n.b.",INDEX(SRC_ZPMW03!$A$1:$ZZ$501,$A479,AR$3)))</f>
        <v/>
      </c>
      <c r="AS479" s="124" t="str">
        <f>IF($B479="","",IF(AS$3=0,"n.b.",INDEX(SRC_ZPMW03!$A$1:$ZZ$501,$A479,AS$3)))</f>
        <v/>
      </c>
      <c r="AT479" s="124" t="str">
        <f>IF($B479="","",IF(AT$3=0,"n.b.",INDEX(SRC_ZPMW03!$A$1:$ZZ$501,$A479,AT$3)))</f>
        <v/>
      </c>
      <c r="AU479" s="124" t="str">
        <f>IF($B479="","",IF(AU$3=0,"n.b.",INDEX(SRC_ZPMW03!$A$1:$ZZ$501,$A479,AU$3)))</f>
        <v/>
      </c>
      <c r="AV479" s="124" t="str">
        <f>IF($B479="","",IF(AV$3=0,"n.b.",INDEX(SRC_ZPMW03!$A$1:$ZZ$501,$A479,AV$3)))</f>
        <v/>
      </c>
      <c r="AW479" s="124" t="str">
        <f>IF($B479="","",IF(AW$3=0,"n.b.",INDEX(SRC_ZPMW03!$A$1:$ZZ$501,$A479,AW$3)))</f>
        <v/>
      </c>
      <c r="AX479" s="124" t="str">
        <f>IF($B479="","",IF(AX$3=0,"n.b.",INDEX(SRC_ZPMW03!$A$1:$ZZ$501,$A479,AX$3)))</f>
        <v/>
      </c>
      <c r="AY479" s="124" t="str">
        <f>IF($B479="","",IF(AY$3=0,"n.b.",INDEX(SRC_ZPMW03!$A$1:$ZZ$501,$A479,AY$3)))</f>
        <v/>
      </c>
      <c r="AZ479" s="124" t="str">
        <f>IF($B479="","",IF(AZ$3=0,"n.b.",INDEX(SRC_ZPMW03!$A$1:$ZZ$501,$A479,AZ$3)))</f>
        <v/>
      </c>
      <c r="BA479" s="124" t="str">
        <f>IF($B479="","",IF(BA$3=0,"n.b.",INDEX(SRC_ZPMW03!$A$1:$ZZ$501,$A479,BA$3)))</f>
        <v/>
      </c>
      <c r="BB479" s="124" t="str">
        <f>IF($B479="","",IF(BB$3=0,"n.b.",INDEX(SRC_ZPMW03!$A$1:$ZZ$501,$A479,BB$3)))</f>
        <v/>
      </c>
      <c r="BC479" s="124" t="str">
        <f>IF($B479="","",IF(BC$3=0,"n.b.",INDEX(SRC_ZPMW03!$A$1:$ZZ$501,$A479,BC$3)))</f>
        <v/>
      </c>
      <c r="BD479" s="124" t="str">
        <f>IF($B479="","",IF(BD$3=0,"n.b.",INDEX(SRC_ZPMW03!$A$1:$ZZ$501,$A479,BD$3)))</f>
        <v/>
      </c>
      <c r="BE479" s="124" t="str">
        <f>IF($B479="","",IF(BE$3=0,"n.b.",INDEX(SRC_ZPMW03!$A$1:$ZZ$501,$A479,BE$3)))</f>
        <v/>
      </c>
      <c r="BF479" s="124" t="str">
        <f>IF($B479="","",IF(BF$3=0,"n.b.",INDEX(SRC_ZPMW03!$A$1:$ZZ$501,$A479,BF$3)))</f>
        <v/>
      </c>
      <c r="BG479" t="str">
        <f>IF($B479="","",IF(BG$3=0,"n.b.",INDEX(SRC_ZPMW03!$A$1:$ZZ$501,$A479,BG$3)))</f>
        <v/>
      </c>
      <c r="BH479" t="str">
        <f>IF($B479="","",IF(BH$3=0,"n.b.",INDEX(SRC_ZPMW03!$A$1:$ZZ$501,$A479,BH$3)))</f>
        <v/>
      </c>
      <c r="BI479" t="str">
        <f>IF($B479="","",IF(BI$3=0,"n.b.",INDEX(SRC_ZPMW03!$A$1:$ZZ$501,$A479,BI$3)))</f>
        <v/>
      </c>
      <c r="BJ479" t="str">
        <f>IF($B479="","",IF(BJ$3=0,"n.b.",INDEX(SRC_ZPMW03!$A$1:$ZZ$501,$A479,BJ$3)))</f>
        <v/>
      </c>
      <c r="BK479" s="124" t="str">
        <f>IF($B479="","",IFERROR(-O479,"n.b."))</f>
        <v/>
      </c>
      <c r="BL479" s="124" t="str">
        <f>IF($B479="","",IFERROR(-Q479,"n.b."))</f>
        <v/>
      </c>
      <c r="BM479" s="124" t="str">
        <f>IF($B479="","",IFERROR(-AB479,"n.b."))</f>
        <v/>
      </c>
      <c r="BN479" s="124" t="str">
        <f>IF($B479="","",IFERROR(-AD479,"n.b."))</f>
        <v/>
      </c>
      <c r="BO479" s="124" t="str">
        <f>IF($B479="","",IFERROR(BK479+BM479,"n.b."))</f>
        <v/>
      </c>
      <c r="BP479" s="124" t="str">
        <f>IF($B479="","",IFERROR(BL479+BN479,"n.b."))</f>
        <v/>
      </c>
      <c r="BQ479" s="124" t="str">
        <f>IF($B479="","",IFERROR(-AM479,"n.b."))</f>
        <v/>
      </c>
      <c r="BR479" s="124" t="str">
        <f>IF($B479="","",IFERROR(-AO479,"n.b."))</f>
        <v/>
      </c>
      <c r="BS479" s="124" t="str">
        <f>IF($B479="","",IFERROR(-Z479,"n.b."))</f>
        <v/>
      </c>
      <c r="BT479" s="124" t="str">
        <f>IF($B479="","",IFERROR(-AA479,"n.b."))</f>
        <v/>
      </c>
      <c r="BU479" s="124" t="str">
        <f>IF($B479="","",IFERROR(-AE479,"n.b."))</f>
        <v/>
      </c>
      <c r="BV479" s="124" t="str">
        <f>IF($B479="","",IFERROR(-AF479,"n.b."))</f>
        <v/>
      </c>
      <c r="BW479" s="124" t="str">
        <f>IF($B479="","",IFERROR(-AG479,"n.b."))</f>
        <v/>
      </c>
      <c r="BX479" s="124" t="str">
        <f>IF($B479="","",IFERROR(-AH479,"n.b."))</f>
        <v/>
      </c>
      <c r="BY479" s="124" t="str">
        <f>IF($B479="","",IFERROR(-AI479,"n.b."))</f>
        <v/>
      </c>
      <c r="BZ479" s="124" t="str">
        <f>IF($B479="","",IFERROR(-AJ479,"n.b."))</f>
        <v/>
      </c>
      <c r="CA479" s="124" t="str">
        <f>IF($B479="","",IFERROR(-AK479,"n.b."))</f>
        <v/>
      </c>
      <c r="CB479" s="124" t="str">
        <f>IF($B479="","",IFERROR(-AL479,"n.b."))</f>
        <v/>
      </c>
      <c r="CC479" s="124" t="str">
        <f>IF($B479="","",IFERROR(-AP479,"n.b."))</f>
        <v/>
      </c>
      <c r="CD479" s="124" t="str">
        <f>IF($B479="","",IFERROR(-AQ479,"n.b."))</f>
        <v/>
      </c>
      <c r="CE479" s="124" t="str">
        <f>IF($B479="","",IFERROR(-AR479,"n.b."))</f>
        <v/>
      </c>
      <c r="CF479" s="124" t="str">
        <f>IF($B479="","",IFERROR(-AS479,"n.b."))</f>
        <v/>
      </c>
      <c r="CG479" s="124" t="str">
        <f>IF($B479="","",IFERROR(-AT479,"n.b."))</f>
        <v/>
      </c>
      <c r="CH479" s="124" t="str">
        <f>IF($B479="","",IFERROR(-AU479,"n.b."))</f>
        <v/>
      </c>
      <c r="CI479" s="124" t="str">
        <f>IF($B479="","",IFERROR(-AV479,"n.b."))</f>
        <v/>
      </c>
      <c r="CJ479" s="124" t="str">
        <f>IF($B479="","",IFERROR(-AW479,"n.b."))</f>
        <v/>
      </c>
      <c r="CK479" s="124" t="str">
        <f>IF($B479="","",IFERROR(-AX479,"n.b."))</f>
        <v/>
      </c>
      <c r="CL479" s="124" t="str">
        <f>IF($B479="","",IFERROR(-AY479,"n.b."))</f>
        <v/>
      </c>
      <c r="CM479" s="124" t="str">
        <f>IF($B479="","",IFERROR(-AZ479,"n.b."))</f>
        <v/>
      </c>
      <c r="CN479" s="124" t="str">
        <f>IF($B479="","",IFERROR(-BA479,"n.b."))</f>
        <v/>
      </c>
      <c r="CO479" s="124" t="str">
        <f>IF($B479="","",IFERROR(-BB479,"n.b."))</f>
        <v/>
      </c>
      <c r="CP479" s="124" t="str">
        <f>IF($B479="","",IFERROR(-BC479,"n.b."))</f>
        <v/>
      </c>
      <c r="CQ479" s="124" t="str">
        <f>IF($B479="","",IFERROR(-BD479,"n.b."))</f>
        <v/>
      </c>
      <c r="CR479" s="124" t="str">
        <f>IF($B479="","",IFERROR(-BE479,"n.b."))</f>
        <v/>
      </c>
      <c r="CS479" s="124" t="str">
        <f>IF($B479="","",IFERROR(IF(OR(ABS(T479+V479+X479+Z479-AB479)&gt;P_Tol,ABS(U479+W479+Y479+AA479-AD479)&gt;P_Tol,ABS(AE479+AG479+AI479+AK479-AM479)&gt;P_Tol,ABS(AF479+AH479+AJ479+AL479-AO479)&gt;P_Tol),1,0),1))</f>
        <v/>
      </c>
      <c r="CT479" s="124" t="str">
        <f>IF($B479="","",IFERROR(IF(OR(ABS(AB479+AC479-AD479)&gt;P_Tol,ABS(AM479+AN479-AO479)&gt;P_Tol,ABS(O479+P479-Q479)&gt;P_Tol),1,0),1))</f>
        <v/>
      </c>
      <c r="CU479" s="124" t="str">
        <f>IF($B479="","",IFERROR(IF(ABS(R479-(AB479+AM479+AP479+AR479+AT479+AV479+AX479+AZ479+BB479+BD479))&gt;P_Tol,1,0),1))</f>
        <v/>
      </c>
      <c r="CV479" s="124" t="str">
        <f>IF($B479="","",IFERROR(IF(ABS(M479-(N479+O479+R479))&gt;P_Tol,1,0),1))</f>
        <v/>
      </c>
      <c r="CW479" s="124" t="str">
        <f>IF($B479="","",IF(COUNTIF(Mapping!$A$5:$A$104,B479)&gt;0,1,0))</f>
        <v/>
      </c>
      <c r="CX479" s="124" t="str">
        <f>IF($B479="","",COUNTIF($B$6:$B$505,B479))</f>
        <v/>
      </c>
      <c r="CY479" s="124" t="str">
        <f>IF($B479="","",COUNTIF(STG_Woningetalage!$B$6:$B$505,B479))</f>
        <v/>
      </c>
      <c r="CZ479" s="124" t="str">
        <f>IF($B479="","",IF(CW479=0,COUNTIF($CW$6:CW479,0),""))</f>
        <v/>
      </c>
    </row>
    <row r="480">
      <c r="A480" s="15" t="n">
        <v>476</v>
      </c>
      <c r="B480" t="str">
        <f>IF(B$3=0,"",IF(INDEX(SRC_ZPMW03!$A$1:$ZZ$501,$A480,B$3)&amp;""="","",INDEX(SRC_ZPMW03!$A$1:$ZZ$501,$A480,B$3)&amp;""))</f>
        <v/>
      </c>
      <c r="C480" t="str">
        <f>IF($B480="","",IF(C$3=0,"n.b.",INDEX(SRC_ZPMW03!$A$1:$ZZ$501,$A480,C$3)))</f>
        <v/>
      </c>
      <c r="D480" t="str">
        <f>IF($B480="","",IF(D$3=0,"n.b.",INDEX(SRC_ZPMW03!$A$1:$ZZ$501,$A480,D$3)))</f>
        <v/>
      </c>
      <c r="E480" t="str">
        <f>IF($B480="","",IF(E$3=0,"n.b.",INDEX(SRC_ZPMW03!$A$1:$ZZ$501,$A480,E$3)))</f>
        <v/>
      </c>
      <c r="F480" t="str">
        <f>IF($B480="","",IF(F$3=0,"n.b.",INDEX(SRC_ZPMW03!$A$1:$ZZ$501,$A480,F$3)))</f>
        <v/>
      </c>
      <c r="G480" t="str">
        <f>IF($B480="","",IF(G$3=0,"n.b.",INDEX(SRC_ZPMW03!$A$1:$ZZ$501,$A480,G$3)))</f>
        <v/>
      </c>
      <c r="H480" t="str">
        <f>IF($B480="","",IF(H$3=0,"n.b.",INDEX(SRC_ZPMW03!$A$1:$ZZ$501,$A480,H$3)))</f>
        <v/>
      </c>
      <c r="I480" t="str">
        <f>IF($B480="","",IF(I$3=0,"n.b.",INDEX(SRC_ZPMW03!$A$1:$ZZ$501,$A480,I$3)))</f>
        <v/>
      </c>
      <c r="J480" t="str">
        <f>IF($B480="","",IF(J$3=0,"n.b.",INDEX(SRC_ZPMW03!$A$1:$ZZ$501,$A480,J$3)))</f>
        <v/>
      </c>
      <c r="K480" t="str">
        <f>IF($B480="","",IF(K$3=0,"n.b.",INDEX(SRC_ZPMW03!$A$1:$ZZ$501,$A480,K$3)))</f>
        <v/>
      </c>
      <c r="L480" s="124" t="str">
        <f>IF($B480="","",IF(L$3=0,"n.b.",INDEX(SRC_ZPMW03!$A$1:$ZZ$501,$A480,L$3)))</f>
        <v/>
      </c>
      <c r="M480" s="124" t="str">
        <f>IF($B480="","",IF(M$3=0,"n.b.",INDEX(SRC_ZPMW03!$A$1:$ZZ$501,$A480,M$3)))</f>
        <v/>
      </c>
      <c r="N480" s="124" t="str">
        <f>IF($B480="","",IF(N$3=0,"n.b.",INDEX(SRC_ZPMW03!$A$1:$ZZ$501,$A480,N$3)))</f>
        <v/>
      </c>
      <c r="O480" s="124" t="str">
        <f>IF($B480="","",IF(O$3=0,"n.b.",INDEX(SRC_ZPMW03!$A$1:$ZZ$501,$A480,O$3)))</f>
        <v/>
      </c>
      <c r="P480" s="124" t="str">
        <f>IF($B480="","",IF(P$3=0,"n.b.",INDEX(SRC_ZPMW03!$A$1:$ZZ$501,$A480,P$3)))</f>
        <v/>
      </c>
      <c r="Q480" s="124" t="str">
        <f>IF($B480="","",IF(Q$3=0,"n.b.",INDEX(SRC_ZPMW03!$A$1:$ZZ$501,$A480,Q$3)))</f>
        <v/>
      </c>
      <c r="R480" s="124" t="str">
        <f>IF($B480="","",IF(R$3=0,"n.b.",INDEX(SRC_ZPMW03!$A$1:$ZZ$501,$A480,R$3)))</f>
        <v/>
      </c>
      <c r="S480" s="124" t="str">
        <f>IF($B480="","",IF(S$3=0,"n.b.",INDEX(SRC_ZPMW03!$A$1:$ZZ$501,$A480,S$3)))</f>
        <v/>
      </c>
      <c r="T480" s="124" t="str">
        <f>IF($B480="","",IF(T$3=0,"n.b.",INDEX(SRC_ZPMW03!$A$1:$ZZ$501,$A480,T$3)))</f>
        <v/>
      </c>
      <c r="U480" s="124" t="str">
        <f>IF($B480="","",IF(U$3=0,"n.b.",INDEX(SRC_ZPMW03!$A$1:$ZZ$501,$A480,U$3)))</f>
        <v/>
      </c>
      <c r="V480" s="124" t="str">
        <f>IF($B480="","",IF(V$3=0,"n.b.",INDEX(SRC_ZPMW03!$A$1:$ZZ$501,$A480,V$3)))</f>
        <v/>
      </c>
      <c r="W480" s="124" t="str">
        <f>IF($B480="","",IF(W$3=0,"n.b.",INDEX(SRC_ZPMW03!$A$1:$ZZ$501,$A480,W$3)))</f>
        <v/>
      </c>
      <c r="X480" s="124" t="str">
        <f>IF($B480="","",IF(X$3=0,"n.b.",INDEX(SRC_ZPMW03!$A$1:$ZZ$501,$A480,X$3)))</f>
        <v/>
      </c>
      <c r="Y480" s="124" t="str">
        <f>IF($B480="","",IF(Y$3=0,"n.b.",INDEX(SRC_ZPMW03!$A$1:$ZZ$501,$A480,Y$3)))</f>
        <v/>
      </c>
      <c r="Z480" s="124" t="str">
        <f>IF($B480="","",IF(Z$3=0,"n.b.",INDEX(SRC_ZPMW03!$A$1:$ZZ$501,$A480,Z$3)))</f>
        <v/>
      </c>
      <c r="AA480" s="124" t="str">
        <f>IF($B480="","",IF(AA$3=0,"n.b.",INDEX(SRC_ZPMW03!$A$1:$ZZ$501,$A480,AA$3)))</f>
        <v/>
      </c>
      <c r="AB480" s="124" t="str">
        <f>IF($B480="","",IF(AB$3=0,"n.b.",INDEX(SRC_ZPMW03!$A$1:$ZZ$501,$A480,AB$3)))</f>
        <v/>
      </c>
      <c r="AC480" s="124" t="str">
        <f>IF($B480="","",IF(AC$3=0,"n.b.",INDEX(SRC_ZPMW03!$A$1:$ZZ$501,$A480,AC$3)))</f>
        <v/>
      </c>
      <c r="AD480" s="124" t="str">
        <f>IF($B480="","",IF(AD$3=0,"n.b.",INDEX(SRC_ZPMW03!$A$1:$ZZ$501,$A480,AD$3)))</f>
        <v/>
      </c>
      <c r="AE480" s="124" t="str">
        <f>IF($B480="","",IF(AE$3=0,"n.b.",INDEX(SRC_ZPMW03!$A$1:$ZZ$501,$A480,AE$3)))</f>
        <v/>
      </c>
      <c r="AF480" s="124" t="str">
        <f>IF($B480="","",IF(AF$3=0,"n.b.",INDEX(SRC_ZPMW03!$A$1:$ZZ$501,$A480,AF$3)))</f>
        <v/>
      </c>
      <c r="AG480" s="124" t="str">
        <f>IF($B480="","",IF(AG$3=0,"n.b.",INDEX(SRC_ZPMW03!$A$1:$ZZ$501,$A480,AG$3)))</f>
        <v/>
      </c>
      <c r="AH480" s="124" t="str">
        <f>IF($B480="","",IF(AH$3=0,"n.b.",INDEX(SRC_ZPMW03!$A$1:$ZZ$501,$A480,AH$3)))</f>
        <v/>
      </c>
      <c r="AI480" s="124" t="str">
        <f>IF($B480="","",IF(AI$3=0,"n.b.",INDEX(SRC_ZPMW03!$A$1:$ZZ$501,$A480,AI$3)))</f>
        <v/>
      </c>
      <c r="AJ480" s="124" t="str">
        <f>IF($B480="","",IF(AJ$3=0,"n.b.",INDEX(SRC_ZPMW03!$A$1:$ZZ$501,$A480,AJ$3)))</f>
        <v/>
      </c>
      <c r="AK480" s="124" t="str">
        <f>IF($B480="","",IF(AK$3=0,"n.b.",INDEX(SRC_ZPMW03!$A$1:$ZZ$501,$A480,AK$3)))</f>
        <v/>
      </c>
      <c r="AL480" s="124" t="str">
        <f>IF($B480="","",IF(AL$3=0,"n.b.",INDEX(SRC_ZPMW03!$A$1:$ZZ$501,$A480,AL$3)))</f>
        <v/>
      </c>
      <c r="AM480" s="124" t="str">
        <f>IF($B480="","",IF(AM$3=0,"n.b.",INDEX(SRC_ZPMW03!$A$1:$ZZ$501,$A480,AM$3)))</f>
        <v/>
      </c>
      <c r="AN480" s="124" t="str">
        <f>IF($B480="","",IF(AN$3=0,"n.b.",INDEX(SRC_ZPMW03!$A$1:$ZZ$501,$A480,AN$3)))</f>
        <v/>
      </c>
      <c r="AO480" s="124" t="str">
        <f>IF($B480="","",IF(AO$3=0,"n.b.",INDEX(SRC_ZPMW03!$A$1:$ZZ$501,$A480,AO$3)))</f>
        <v/>
      </c>
      <c r="AP480" s="124" t="str">
        <f>IF($B480="","",IF(AP$3=0,"n.b.",INDEX(SRC_ZPMW03!$A$1:$ZZ$501,$A480,AP$3)))</f>
        <v/>
      </c>
      <c r="AQ480" s="124" t="str">
        <f>IF($B480="","",IF(AQ$3=0,"n.b.",INDEX(SRC_ZPMW03!$A$1:$ZZ$501,$A480,AQ$3)))</f>
        <v/>
      </c>
      <c r="AR480" s="124" t="str">
        <f>IF($B480="","",IF(AR$3=0,"n.b.",INDEX(SRC_ZPMW03!$A$1:$ZZ$501,$A480,AR$3)))</f>
        <v/>
      </c>
      <c r="AS480" s="124" t="str">
        <f>IF($B480="","",IF(AS$3=0,"n.b.",INDEX(SRC_ZPMW03!$A$1:$ZZ$501,$A480,AS$3)))</f>
        <v/>
      </c>
      <c r="AT480" s="124" t="str">
        <f>IF($B480="","",IF(AT$3=0,"n.b.",INDEX(SRC_ZPMW03!$A$1:$ZZ$501,$A480,AT$3)))</f>
        <v/>
      </c>
      <c r="AU480" s="124" t="str">
        <f>IF($B480="","",IF(AU$3=0,"n.b.",INDEX(SRC_ZPMW03!$A$1:$ZZ$501,$A480,AU$3)))</f>
        <v/>
      </c>
      <c r="AV480" s="124" t="str">
        <f>IF($B480="","",IF(AV$3=0,"n.b.",INDEX(SRC_ZPMW03!$A$1:$ZZ$501,$A480,AV$3)))</f>
        <v/>
      </c>
      <c r="AW480" s="124" t="str">
        <f>IF($B480="","",IF(AW$3=0,"n.b.",INDEX(SRC_ZPMW03!$A$1:$ZZ$501,$A480,AW$3)))</f>
        <v/>
      </c>
      <c r="AX480" s="124" t="str">
        <f>IF($B480="","",IF(AX$3=0,"n.b.",INDEX(SRC_ZPMW03!$A$1:$ZZ$501,$A480,AX$3)))</f>
        <v/>
      </c>
      <c r="AY480" s="124" t="str">
        <f>IF($B480="","",IF(AY$3=0,"n.b.",INDEX(SRC_ZPMW03!$A$1:$ZZ$501,$A480,AY$3)))</f>
        <v/>
      </c>
      <c r="AZ480" s="124" t="str">
        <f>IF($B480="","",IF(AZ$3=0,"n.b.",INDEX(SRC_ZPMW03!$A$1:$ZZ$501,$A480,AZ$3)))</f>
        <v/>
      </c>
      <c r="BA480" s="124" t="str">
        <f>IF($B480="","",IF(BA$3=0,"n.b.",INDEX(SRC_ZPMW03!$A$1:$ZZ$501,$A480,BA$3)))</f>
        <v/>
      </c>
      <c r="BB480" s="124" t="str">
        <f>IF($B480="","",IF(BB$3=0,"n.b.",INDEX(SRC_ZPMW03!$A$1:$ZZ$501,$A480,BB$3)))</f>
        <v/>
      </c>
      <c r="BC480" s="124" t="str">
        <f>IF($B480="","",IF(BC$3=0,"n.b.",INDEX(SRC_ZPMW03!$A$1:$ZZ$501,$A480,BC$3)))</f>
        <v/>
      </c>
      <c r="BD480" s="124" t="str">
        <f>IF($B480="","",IF(BD$3=0,"n.b.",INDEX(SRC_ZPMW03!$A$1:$ZZ$501,$A480,BD$3)))</f>
        <v/>
      </c>
      <c r="BE480" s="124" t="str">
        <f>IF($B480="","",IF(BE$3=0,"n.b.",INDEX(SRC_ZPMW03!$A$1:$ZZ$501,$A480,BE$3)))</f>
        <v/>
      </c>
      <c r="BF480" s="124" t="str">
        <f>IF($B480="","",IF(BF$3=0,"n.b.",INDEX(SRC_ZPMW03!$A$1:$ZZ$501,$A480,BF$3)))</f>
        <v/>
      </c>
      <c r="BG480" t="str">
        <f>IF($B480="","",IF(BG$3=0,"n.b.",INDEX(SRC_ZPMW03!$A$1:$ZZ$501,$A480,BG$3)))</f>
        <v/>
      </c>
      <c r="BH480" t="str">
        <f>IF($B480="","",IF(BH$3=0,"n.b.",INDEX(SRC_ZPMW03!$A$1:$ZZ$501,$A480,BH$3)))</f>
        <v/>
      </c>
      <c r="BI480" t="str">
        <f>IF($B480="","",IF(BI$3=0,"n.b.",INDEX(SRC_ZPMW03!$A$1:$ZZ$501,$A480,BI$3)))</f>
        <v/>
      </c>
      <c r="BJ480" t="str">
        <f>IF($B480="","",IF(BJ$3=0,"n.b.",INDEX(SRC_ZPMW03!$A$1:$ZZ$501,$A480,BJ$3)))</f>
        <v/>
      </c>
      <c r="BK480" s="124" t="str">
        <f>IF($B480="","",IFERROR(-O480,"n.b."))</f>
        <v/>
      </c>
      <c r="BL480" s="124" t="str">
        <f>IF($B480="","",IFERROR(-Q480,"n.b."))</f>
        <v/>
      </c>
      <c r="BM480" s="124" t="str">
        <f>IF($B480="","",IFERROR(-AB480,"n.b."))</f>
        <v/>
      </c>
      <c r="BN480" s="124" t="str">
        <f>IF($B480="","",IFERROR(-AD480,"n.b."))</f>
        <v/>
      </c>
      <c r="BO480" s="124" t="str">
        <f>IF($B480="","",IFERROR(BK480+BM480,"n.b."))</f>
        <v/>
      </c>
      <c r="BP480" s="124" t="str">
        <f>IF($B480="","",IFERROR(BL480+BN480,"n.b."))</f>
        <v/>
      </c>
      <c r="BQ480" s="124" t="str">
        <f>IF($B480="","",IFERROR(-AM480,"n.b."))</f>
        <v/>
      </c>
      <c r="BR480" s="124" t="str">
        <f>IF($B480="","",IFERROR(-AO480,"n.b."))</f>
        <v/>
      </c>
      <c r="BS480" s="124" t="str">
        <f>IF($B480="","",IFERROR(-Z480,"n.b."))</f>
        <v/>
      </c>
      <c r="BT480" s="124" t="str">
        <f>IF($B480="","",IFERROR(-AA480,"n.b."))</f>
        <v/>
      </c>
      <c r="BU480" s="124" t="str">
        <f>IF($B480="","",IFERROR(-AE480,"n.b."))</f>
        <v/>
      </c>
      <c r="BV480" s="124" t="str">
        <f>IF($B480="","",IFERROR(-AF480,"n.b."))</f>
        <v/>
      </c>
      <c r="BW480" s="124" t="str">
        <f>IF($B480="","",IFERROR(-AG480,"n.b."))</f>
        <v/>
      </c>
      <c r="BX480" s="124" t="str">
        <f>IF($B480="","",IFERROR(-AH480,"n.b."))</f>
        <v/>
      </c>
      <c r="BY480" s="124" t="str">
        <f>IF($B480="","",IFERROR(-AI480,"n.b."))</f>
        <v/>
      </c>
      <c r="BZ480" s="124" t="str">
        <f>IF($B480="","",IFERROR(-AJ480,"n.b."))</f>
        <v/>
      </c>
      <c r="CA480" s="124" t="str">
        <f>IF($B480="","",IFERROR(-AK480,"n.b."))</f>
        <v/>
      </c>
      <c r="CB480" s="124" t="str">
        <f>IF($B480="","",IFERROR(-AL480,"n.b."))</f>
        <v/>
      </c>
      <c r="CC480" s="124" t="str">
        <f>IF($B480="","",IFERROR(-AP480,"n.b."))</f>
        <v/>
      </c>
      <c r="CD480" s="124" t="str">
        <f>IF($B480="","",IFERROR(-AQ480,"n.b."))</f>
        <v/>
      </c>
      <c r="CE480" s="124" t="str">
        <f>IF($B480="","",IFERROR(-AR480,"n.b."))</f>
        <v/>
      </c>
      <c r="CF480" s="124" t="str">
        <f>IF($B480="","",IFERROR(-AS480,"n.b."))</f>
        <v/>
      </c>
      <c r="CG480" s="124" t="str">
        <f>IF($B480="","",IFERROR(-AT480,"n.b."))</f>
        <v/>
      </c>
      <c r="CH480" s="124" t="str">
        <f>IF($B480="","",IFERROR(-AU480,"n.b."))</f>
        <v/>
      </c>
      <c r="CI480" s="124" t="str">
        <f>IF($B480="","",IFERROR(-AV480,"n.b."))</f>
        <v/>
      </c>
      <c r="CJ480" s="124" t="str">
        <f>IF($B480="","",IFERROR(-AW480,"n.b."))</f>
        <v/>
      </c>
      <c r="CK480" s="124" t="str">
        <f>IF($B480="","",IFERROR(-AX480,"n.b."))</f>
        <v/>
      </c>
      <c r="CL480" s="124" t="str">
        <f>IF($B480="","",IFERROR(-AY480,"n.b."))</f>
        <v/>
      </c>
      <c r="CM480" s="124" t="str">
        <f>IF($B480="","",IFERROR(-AZ480,"n.b."))</f>
        <v/>
      </c>
      <c r="CN480" s="124" t="str">
        <f>IF($B480="","",IFERROR(-BA480,"n.b."))</f>
        <v/>
      </c>
      <c r="CO480" s="124" t="str">
        <f>IF($B480="","",IFERROR(-BB480,"n.b."))</f>
        <v/>
      </c>
      <c r="CP480" s="124" t="str">
        <f>IF($B480="","",IFERROR(-BC480,"n.b."))</f>
        <v/>
      </c>
      <c r="CQ480" s="124" t="str">
        <f>IF($B480="","",IFERROR(-BD480,"n.b."))</f>
        <v/>
      </c>
      <c r="CR480" s="124" t="str">
        <f>IF($B480="","",IFERROR(-BE480,"n.b."))</f>
        <v/>
      </c>
      <c r="CS480" s="124" t="str">
        <f>IF($B480="","",IFERROR(IF(OR(ABS(T480+V480+X480+Z480-AB480)&gt;P_Tol,ABS(U480+W480+Y480+AA480-AD480)&gt;P_Tol,ABS(AE480+AG480+AI480+AK480-AM480)&gt;P_Tol,ABS(AF480+AH480+AJ480+AL480-AO480)&gt;P_Tol),1,0),1))</f>
        <v/>
      </c>
      <c r="CT480" s="124" t="str">
        <f>IF($B480="","",IFERROR(IF(OR(ABS(AB480+AC480-AD480)&gt;P_Tol,ABS(AM480+AN480-AO480)&gt;P_Tol,ABS(O480+P480-Q480)&gt;P_Tol),1,0),1))</f>
        <v/>
      </c>
      <c r="CU480" s="124" t="str">
        <f>IF($B480="","",IFERROR(IF(ABS(R480-(AB480+AM480+AP480+AR480+AT480+AV480+AX480+AZ480+BB480+BD480))&gt;P_Tol,1,0),1))</f>
        <v/>
      </c>
      <c r="CV480" s="124" t="str">
        <f>IF($B480="","",IFERROR(IF(ABS(M480-(N480+O480+R480))&gt;P_Tol,1,0),1))</f>
        <v/>
      </c>
      <c r="CW480" s="124" t="str">
        <f>IF($B480="","",IF(COUNTIF(Mapping!$A$5:$A$104,B480)&gt;0,1,0))</f>
        <v/>
      </c>
      <c r="CX480" s="124" t="str">
        <f>IF($B480="","",COUNTIF($B$6:$B$505,B480))</f>
        <v/>
      </c>
      <c r="CY480" s="124" t="str">
        <f>IF($B480="","",COUNTIF(STG_Woningetalage!$B$6:$B$505,B480))</f>
        <v/>
      </c>
      <c r="CZ480" s="124" t="str">
        <f>IF($B480="","",IF(CW480=0,COUNTIF($CW$6:CW480,0),""))</f>
        <v/>
      </c>
    </row>
    <row r="481">
      <c r="A481" s="15" t="n">
        <v>477</v>
      </c>
      <c r="B481" t="str">
        <f>IF(B$3=0,"",IF(INDEX(SRC_ZPMW03!$A$1:$ZZ$501,$A481,B$3)&amp;""="","",INDEX(SRC_ZPMW03!$A$1:$ZZ$501,$A481,B$3)&amp;""))</f>
        <v/>
      </c>
      <c r="C481" t="str">
        <f>IF($B481="","",IF(C$3=0,"n.b.",INDEX(SRC_ZPMW03!$A$1:$ZZ$501,$A481,C$3)))</f>
        <v/>
      </c>
      <c r="D481" t="str">
        <f>IF($B481="","",IF(D$3=0,"n.b.",INDEX(SRC_ZPMW03!$A$1:$ZZ$501,$A481,D$3)))</f>
        <v/>
      </c>
      <c r="E481" t="str">
        <f>IF($B481="","",IF(E$3=0,"n.b.",INDEX(SRC_ZPMW03!$A$1:$ZZ$501,$A481,E$3)))</f>
        <v/>
      </c>
      <c r="F481" t="str">
        <f>IF($B481="","",IF(F$3=0,"n.b.",INDEX(SRC_ZPMW03!$A$1:$ZZ$501,$A481,F$3)))</f>
        <v/>
      </c>
      <c r="G481" t="str">
        <f>IF($B481="","",IF(G$3=0,"n.b.",INDEX(SRC_ZPMW03!$A$1:$ZZ$501,$A481,G$3)))</f>
        <v/>
      </c>
      <c r="H481" t="str">
        <f>IF($B481="","",IF(H$3=0,"n.b.",INDEX(SRC_ZPMW03!$A$1:$ZZ$501,$A481,H$3)))</f>
        <v/>
      </c>
      <c r="I481" t="str">
        <f>IF($B481="","",IF(I$3=0,"n.b.",INDEX(SRC_ZPMW03!$A$1:$ZZ$501,$A481,I$3)))</f>
        <v/>
      </c>
      <c r="J481" t="str">
        <f>IF($B481="","",IF(J$3=0,"n.b.",INDEX(SRC_ZPMW03!$A$1:$ZZ$501,$A481,J$3)))</f>
        <v/>
      </c>
      <c r="K481" t="str">
        <f>IF($B481="","",IF(K$3=0,"n.b.",INDEX(SRC_ZPMW03!$A$1:$ZZ$501,$A481,K$3)))</f>
        <v/>
      </c>
      <c r="L481" s="124" t="str">
        <f>IF($B481="","",IF(L$3=0,"n.b.",INDEX(SRC_ZPMW03!$A$1:$ZZ$501,$A481,L$3)))</f>
        <v/>
      </c>
      <c r="M481" s="124" t="str">
        <f>IF($B481="","",IF(M$3=0,"n.b.",INDEX(SRC_ZPMW03!$A$1:$ZZ$501,$A481,M$3)))</f>
        <v/>
      </c>
      <c r="N481" s="124" t="str">
        <f>IF($B481="","",IF(N$3=0,"n.b.",INDEX(SRC_ZPMW03!$A$1:$ZZ$501,$A481,N$3)))</f>
        <v/>
      </c>
      <c r="O481" s="124" t="str">
        <f>IF($B481="","",IF(O$3=0,"n.b.",INDEX(SRC_ZPMW03!$A$1:$ZZ$501,$A481,O$3)))</f>
        <v/>
      </c>
      <c r="P481" s="124" t="str">
        <f>IF($B481="","",IF(P$3=0,"n.b.",INDEX(SRC_ZPMW03!$A$1:$ZZ$501,$A481,P$3)))</f>
        <v/>
      </c>
      <c r="Q481" s="124" t="str">
        <f>IF($B481="","",IF(Q$3=0,"n.b.",INDEX(SRC_ZPMW03!$A$1:$ZZ$501,$A481,Q$3)))</f>
        <v/>
      </c>
      <c r="R481" s="124" t="str">
        <f>IF($B481="","",IF(R$3=0,"n.b.",INDEX(SRC_ZPMW03!$A$1:$ZZ$501,$A481,R$3)))</f>
        <v/>
      </c>
      <c r="S481" s="124" t="str">
        <f>IF($B481="","",IF(S$3=0,"n.b.",INDEX(SRC_ZPMW03!$A$1:$ZZ$501,$A481,S$3)))</f>
        <v/>
      </c>
      <c r="T481" s="124" t="str">
        <f>IF($B481="","",IF(T$3=0,"n.b.",INDEX(SRC_ZPMW03!$A$1:$ZZ$501,$A481,T$3)))</f>
        <v/>
      </c>
      <c r="U481" s="124" t="str">
        <f>IF($B481="","",IF(U$3=0,"n.b.",INDEX(SRC_ZPMW03!$A$1:$ZZ$501,$A481,U$3)))</f>
        <v/>
      </c>
      <c r="V481" s="124" t="str">
        <f>IF($B481="","",IF(V$3=0,"n.b.",INDEX(SRC_ZPMW03!$A$1:$ZZ$501,$A481,V$3)))</f>
        <v/>
      </c>
      <c r="W481" s="124" t="str">
        <f>IF($B481="","",IF(W$3=0,"n.b.",INDEX(SRC_ZPMW03!$A$1:$ZZ$501,$A481,W$3)))</f>
        <v/>
      </c>
      <c r="X481" s="124" t="str">
        <f>IF($B481="","",IF(X$3=0,"n.b.",INDEX(SRC_ZPMW03!$A$1:$ZZ$501,$A481,X$3)))</f>
        <v/>
      </c>
      <c r="Y481" s="124" t="str">
        <f>IF($B481="","",IF(Y$3=0,"n.b.",INDEX(SRC_ZPMW03!$A$1:$ZZ$501,$A481,Y$3)))</f>
        <v/>
      </c>
      <c r="Z481" s="124" t="str">
        <f>IF($B481="","",IF(Z$3=0,"n.b.",INDEX(SRC_ZPMW03!$A$1:$ZZ$501,$A481,Z$3)))</f>
        <v/>
      </c>
      <c r="AA481" s="124" t="str">
        <f>IF($B481="","",IF(AA$3=0,"n.b.",INDEX(SRC_ZPMW03!$A$1:$ZZ$501,$A481,AA$3)))</f>
        <v/>
      </c>
      <c r="AB481" s="124" t="str">
        <f>IF($B481="","",IF(AB$3=0,"n.b.",INDEX(SRC_ZPMW03!$A$1:$ZZ$501,$A481,AB$3)))</f>
        <v/>
      </c>
      <c r="AC481" s="124" t="str">
        <f>IF($B481="","",IF(AC$3=0,"n.b.",INDEX(SRC_ZPMW03!$A$1:$ZZ$501,$A481,AC$3)))</f>
        <v/>
      </c>
      <c r="AD481" s="124" t="str">
        <f>IF($B481="","",IF(AD$3=0,"n.b.",INDEX(SRC_ZPMW03!$A$1:$ZZ$501,$A481,AD$3)))</f>
        <v/>
      </c>
      <c r="AE481" s="124" t="str">
        <f>IF($B481="","",IF(AE$3=0,"n.b.",INDEX(SRC_ZPMW03!$A$1:$ZZ$501,$A481,AE$3)))</f>
        <v/>
      </c>
      <c r="AF481" s="124" t="str">
        <f>IF($B481="","",IF(AF$3=0,"n.b.",INDEX(SRC_ZPMW03!$A$1:$ZZ$501,$A481,AF$3)))</f>
        <v/>
      </c>
      <c r="AG481" s="124" t="str">
        <f>IF($B481="","",IF(AG$3=0,"n.b.",INDEX(SRC_ZPMW03!$A$1:$ZZ$501,$A481,AG$3)))</f>
        <v/>
      </c>
      <c r="AH481" s="124" t="str">
        <f>IF($B481="","",IF(AH$3=0,"n.b.",INDEX(SRC_ZPMW03!$A$1:$ZZ$501,$A481,AH$3)))</f>
        <v/>
      </c>
      <c r="AI481" s="124" t="str">
        <f>IF($B481="","",IF(AI$3=0,"n.b.",INDEX(SRC_ZPMW03!$A$1:$ZZ$501,$A481,AI$3)))</f>
        <v/>
      </c>
      <c r="AJ481" s="124" t="str">
        <f>IF($B481="","",IF(AJ$3=0,"n.b.",INDEX(SRC_ZPMW03!$A$1:$ZZ$501,$A481,AJ$3)))</f>
        <v/>
      </c>
      <c r="AK481" s="124" t="str">
        <f>IF($B481="","",IF(AK$3=0,"n.b.",INDEX(SRC_ZPMW03!$A$1:$ZZ$501,$A481,AK$3)))</f>
        <v/>
      </c>
      <c r="AL481" s="124" t="str">
        <f>IF($B481="","",IF(AL$3=0,"n.b.",INDEX(SRC_ZPMW03!$A$1:$ZZ$501,$A481,AL$3)))</f>
        <v/>
      </c>
      <c r="AM481" s="124" t="str">
        <f>IF($B481="","",IF(AM$3=0,"n.b.",INDEX(SRC_ZPMW03!$A$1:$ZZ$501,$A481,AM$3)))</f>
        <v/>
      </c>
      <c r="AN481" s="124" t="str">
        <f>IF($B481="","",IF(AN$3=0,"n.b.",INDEX(SRC_ZPMW03!$A$1:$ZZ$501,$A481,AN$3)))</f>
        <v/>
      </c>
      <c r="AO481" s="124" t="str">
        <f>IF($B481="","",IF(AO$3=0,"n.b.",INDEX(SRC_ZPMW03!$A$1:$ZZ$501,$A481,AO$3)))</f>
        <v/>
      </c>
      <c r="AP481" s="124" t="str">
        <f>IF($B481="","",IF(AP$3=0,"n.b.",INDEX(SRC_ZPMW03!$A$1:$ZZ$501,$A481,AP$3)))</f>
        <v/>
      </c>
      <c r="AQ481" s="124" t="str">
        <f>IF($B481="","",IF(AQ$3=0,"n.b.",INDEX(SRC_ZPMW03!$A$1:$ZZ$501,$A481,AQ$3)))</f>
        <v/>
      </c>
      <c r="AR481" s="124" t="str">
        <f>IF($B481="","",IF(AR$3=0,"n.b.",INDEX(SRC_ZPMW03!$A$1:$ZZ$501,$A481,AR$3)))</f>
        <v/>
      </c>
      <c r="AS481" s="124" t="str">
        <f>IF($B481="","",IF(AS$3=0,"n.b.",INDEX(SRC_ZPMW03!$A$1:$ZZ$501,$A481,AS$3)))</f>
        <v/>
      </c>
      <c r="AT481" s="124" t="str">
        <f>IF($B481="","",IF(AT$3=0,"n.b.",INDEX(SRC_ZPMW03!$A$1:$ZZ$501,$A481,AT$3)))</f>
        <v/>
      </c>
      <c r="AU481" s="124" t="str">
        <f>IF($B481="","",IF(AU$3=0,"n.b.",INDEX(SRC_ZPMW03!$A$1:$ZZ$501,$A481,AU$3)))</f>
        <v/>
      </c>
      <c r="AV481" s="124" t="str">
        <f>IF($B481="","",IF(AV$3=0,"n.b.",INDEX(SRC_ZPMW03!$A$1:$ZZ$501,$A481,AV$3)))</f>
        <v/>
      </c>
      <c r="AW481" s="124" t="str">
        <f>IF($B481="","",IF(AW$3=0,"n.b.",INDEX(SRC_ZPMW03!$A$1:$ZZ$501,$A481,AW$3)))</f>
        <v/>
      </c>
      <c r="AX481" s="124" t="str">
        <f>IF($B481="","",IF(AX$3=0,"n.b.",INDEX(SRC_ZPMW03!$A$1:$ZZ$501,$A481,AX$3)))</f>
        <v/>
      </c>
      <c r="AY481" s="124" t="str">
        <f>IF($B481="","",IF(AY$3=0,"n.b.",INDEX(SRC_ZPMW03!$A$1:$ZZ$501,$A481,AY$3)))</f>
        <v/>
      </c>
      <c r="AZ481" s="124" t="str">
        <f>IF($B481="","",IF(AZ$3=0,"n.b.",INDEX(SRC_ZPMW03!$A$1:$ZZ$501,$A481,AZ$3)))</f>
        <v/>
      </c>
      <c r="BA481" s="124" t="str">
        <f>IF($B481="","",IF(BA$3=0,"n.b.",INDEX(SRC_ZPMW03!$A$1:$ZZ$501,$A481,BA$3)))</f>
        <v/>
      </c>
      <c r="BB481" s="124" t="str">
        <f>IF($B481="","",IF(BB$3=0,"n.b.",INDEX(SRC_ZPMW03!$A$1:$ZZ$501,$A481,BB$3)))</f>
        <v/>
      </c>
      <c r="BC481" s="124" t="str">
        <f>IF($B481="","",IF(BC$3=0,"n.b.",INDEX(SRC_ZPMW03!$A$1:$ZZ$501,$A481,BC$3)))</f>
        <v/>
      </c>
      <c r="BD481" s="124" t="str">
        <f>IF($B481="","",IF(BD$3=0,"n.b.",INDEX(SRC_ZPMW03!$A$1:$ZZ$501,$A481,BD$3)))</f>
        <v/>
      </c>
      <c r="BE481" s="124" t="str">
        <f>IF($B481="","",IF(BE$3=0,"n.b.",INDEX(SRC_ZPMW03!$A$1:$ZZ$501,$A481,BE$3)))</f>
        <v/>
      </c>
      <c r="BF481" s="124" t="str">
        <f>IF($B481="","",IF(BF$3=0,"n.b.",INDEX(SRC_ZPMW03!$A$1:$ZZ$501,$A481,BF$3)))</f>
        <v/>
      </c>
      <c r="BG481" t="str">
        <f>IF($B481="","",IF(BG$3=0,"n.b.",INDEX(SRC_ZPMW03!$A$1:$ZZ$501,$A481,BG$3)))</f>
        <v/>
      </c>
      <c r="BH481" t="str">
        <f>IF($B481="","",IF(BH$3=0,"n.b.",INDEX(SRC_ZPMW03!$A$1:$ZZ$501,$A481,BH$3)))</f>
        <v/>
      </c>
      <c r="BI481" t="str">
        <f>IF($B481="","",IF(BI$3=0,"n.b.",INDEX(SRC_ZPMW03!$A$1:$ZZ$501,$A481,BI$3)))</f>
        <v/>
      </c>
      <c r="BJ481" t="str">
        <f>IF($B481="","",IF(BJ$3=0,"n.b.",INDEX(SRC_ZPMW03!$A$1:$ZZ$501,$A481,BJ$3)))</f>
        <v/>
      </c>
      <c r="BK481" s="124" t="str">
        <f>IF($B481="","",IFERROR(-O481,"n.b."))</f>
        <v/>
      </c>
      <c r="BL481" s="124" t="str">
        <f>IF($B481="","",IFERROR(-Q481,"n.b."))</f>
        <v/>
      </c>
      <c r="BM481" s="124" t="str">
        <f>IF($B481="","",IFERROR(-AB481,"n.b."))</f>
        <v/>
      </c>
      <c r="BN481" s="124" t="str">
        <f>IF($B481="","",IFERROR(-AD481,"n.b."))</f>
        <v/>
      </c>
      <c r="BO481" s="124" t="str">
        <f>IF($B481="","",IFERROR(BK481+BM481,"n.b."))</f>
        <v/>
      </c>
      <c r="BP481" s="124" t="str">
        <f>IF($B481="","",IFERROR(BL481+BN481,"n.b."))</f>
        <v/>
      </c>
      <c r="BQ481" s="124" t="str">
        <f>IF($B481="","",IFERROR(-AM481,"n.b."))</f>
        <v/>
      </c>
      <c r="BR481" s="124" t="str">
        <f>IF($B481="","",IFERROR(-AO481,"n.b."))</f>
        <v/>
      </c>
      <c r="BS481" s="124" t="str">
        <f>IF($B481="","",IFERROR(-Z481,"n.b."))</f>
        <v/>
      </c>
      <c r="BT481" s="124" t="str">
        <f>IF($B481="","",IFERROR(-AA481,"n.b."))</f>
        <v/>
      </c>
      <c r="BU481" s="124" t="str">
        <f>IF($B481="","",IFERROR(-AE481,"n.b."))</f>
        <v/>
      </c>
      <c r="BV481" s="124" t="str">
        <f>IF($B481="","",IFERROR(-AF481,"n.b."))</f>
        <v/>
      </c>
      <c r="BW481" s="124" t="str">
        <f>IF($B481="","",IFERROR(-AG481,"n.b."))</f>
        <v/>
      </c>
      <c r="BX481" s="124" t="str">
        <f>IF($B481="","",IFERROR(-AH481,"n.b."))</f>
        <v/>
      </c>
      <c r="BY481" s="124" t="str">
        <f>IF($B481="","",IFERROR(-AI481,"n.b."))</f>
        <v/>
      </c>
      <c r="BZ481" s="124" t="str">
        <f>IF($B481="","",IFERROR(-AJ481,"n.b."))</f>
        <v/>
      </c>
      <c r="CA481" s="124" t="str">
        <f>IF($B481="","",IFERROR(-AK481,"n.b."))</f>
        <v/>
      </c>
      <c r="CB481" s="124" t="str">
        <f>IF($B481="","",IFERROR(-AL481,"n.b."))</f>
        <v/>
      </c>
      <c r="CC481" s="124" t="str">
        <f>IF($B481="","",IFERROR(-AP481,"n.b."))</f>
        <v/>
      </c>
      <c r="CD481" s="124" t="str">
        <f>IF($B481="","",IFERROR(-AQ481,"n.b."))</f>
        <v/>
      </c>
      <c r="CE481" s="124" t="str">
        <f>IF($B481="","",IFERROR(-AR481,"n.b."))</f>
        <v/>
      </c>
      <c r="CF481" s="124" t="str">
        <f>IF($B481="","",IFERROR(-AS481,"n.b."))</f>
        <v/>
      </c>
      <c r="CG481" s="124" t="str">
        <f>IF($B481="","",IFERROR(-AT481,"n.b."))</f>
        <v/>
      </c>
      <c r="CH481" s="124" t="str">
        <f>IF($B481="","",IFERROR(-AU481,"n.b."))</f>
        <v/>
      </c>
      <c r="CI481" s="124" t="str">
        <f>IF($B481="","",IFERROR(-AV481,"n.b."))</f>
        <v/>
      </c>
      <c r="CJ481" s="124" t="str">
        <f>IF($B481="","",IFERROR(-AW481,"n.b."))</f>
        <v/>
      </c>
      <c r="CK481" s="124" t="str">
        <f>IF($B481="","",IFERROR(-AX481,"n.b."))</f>
        <v/>
      </c>
      <c r="CL481" s="124" t="str">
        <f>IF($B481="","",IFERROR(-AY481,"n.b."))</f>
        <v/>
      </c>
      <c r="CM481" s="124" t="str">
        <f>IF($B481="","",IFERROR(-AZ481,"n.b."))</f>
        <v/>
      </c>
      <c r="CN481" s="124" t="str">
        <f>IF($B481="","",IFERROR(-BA481,"n.b."))</f>
        <v/>
      </c>
      <c r="CO481" s="124" t="str">
        <f>IF($B481="","",IFERROR(-BB481,"n.b."))</f>
        <v/>
      </c>
      <c r="CP481" s="124" t="str">
        <f>IF($B481="","",IFERROR(-BC481,"n.b."))</f>
        <v/>
      </c>
      <c r="CQ481" s="124" t="str">
        <f>IF($B481="","",IFERROR(-BD481,"n.b."))</f>
        <v/>
      </c>
      <c r="CR481" s="124" t="str">
        <f>IF($B481="","",IFERROR(-BE481,"n.b."))</f>
        <v/>
      </c>
      <c r="CS481" s="124" t="str">
        <f>IF($B481="","",IFERROR(IF(OR(ABS(T481+V481+X481+Z481-AB481)&gt;P_Tol,ABS(U481+W481+Y481+AA481-AD481)&gt;P_Tol,ABS(AE481+AG481+AI481+AK481-AM481)&gt;P_Tol,ABS(AF481+AH481+AJ481+AL481-AO481)&gt;P_Tol),1,0),1))</f>
        <v/>
      </c>
      <c r="CT481" s="124" t="str">
        <f>IF($B481="","",IFERROR(IF(OR(ABS(AB481+AC481-AD481)&gt;P_Tol,ABS(AM481+AN481-AO481)&gt;P_Tol,ABS(O481+P481-Q481)&gt;P_Tol),1,0),1))</f>
        <v/>
      </c>
      <c r="CU481" s="124" t="str">
        <f>IF($B481="","",IFERROR(IF(ABS(R481-(AB481+AM481+AP481+AR481+AT481+AV481+AX481+AZ481+BB481+BD481))&gt;P_Tol,1,0),1))</f>
        <v/>
      </c>
      <c r="CV481" s="124" t="str">
        <f>IF($B481="","",IFERROR(IF(ABS(M481-(N481+O481+R481))&gt;P_Tol,1,0),1))</f>
        <v/>
      </c>
      <c r="CW481" s="124" t="str">
        <f>IF($B481="","",IF(COUNTIF(Mapping!$A$5:$A$104,B481)&gt;0,1,0))</f>
        <v/>
      </c>
      <c r="CX481" s="124" t="str">
        <f>IF($B481="","",COUNTIF($B$6:$B$505,B481))</f>
        <v/>
      </c>
      <c r="CY481" s="124" t="str">
        <f>IF($B481="","",COUNTIF(STG_Woningetalage!$B$6:$B$505,B481))</f>
        <v/>
      </c>
      <c r="CZ481" s="124" t="str">
        <f>IF($B481="","",IF(CW481=0,COUNTIF($CW$6:CW481,0),""))</f>
        <v/>
      </c>
    </row>
    <row r="482">
      <c r="A482" s="15" t="n">
        <v>478</v>
      </c>
      <c r="B482" t="str">
        <f>IF(B$3=0,"",IF(INDEX(SRC_ZPMW03!$A$1:$ZZ$501,$A482,B$3)&amp;""="","",INDEX(SRC_ZPMW03!$A$1:$ZZ$501,$A482,B$3)&amp;""))</f>
        <v/>
      </c>
      <c r="C482" t="str">
        <f>IF($B482="","",IF(C$3=0,"n.b.",INDEX(SRC_ZPMW03!$A$1:$ZZ$501,$A482,C$3)))</f>
        <v/>
      </c>
      <c r="D482" t="str">
        <f>IF($B482="","",IF(D$3=0,"n.b.",INDEX(SRC_ZPMW03!$A$1:$ZZ$501,$A482,D$3)))</f>
        <v/>
      </c>
      <c r="E482" t="str">
        <f>IF($B482="","",IF(E$3=0,"n.b.",INDEX(SRC_ZPMW03!$A$1:$ZZ$501,$A482,E$3)))</f>
        <v/>
      </c>
      <c r="F482" t="str">
        <f>IF($B482="","",IF(F$3=0,"n.b.",INDEX(SRC_ZPMW03!$A$1:$ZZ$501,$A482,F$3)))</f>
        <v/>
      </c>
      <c r="G482" t="str">
        <f>IF($B482="","",IF(G$3=0,"n.b.",INDEX(SRC_ZPMW03!$A$1:$ZZ$501,$A482,G$3)))</f>
        <v/>
      </c>
      <c r="H482" t="str">
        <f>IF($B482="","",IF(H$3=0,"n.b.",INDEX(SRC_ZPMW03!$A$1:$ZZ$501,$A482,H$3)))</f>
        <v/>
      </c>
      <c r="I482" t="str">
        <f>IF($B482="","",IF(I$3=0,"n.b.",INDEX(SRC_ZPMW03!$A$1:$ZZ$501,$A482,I$3)))</f>
        <v/>
      </c>
      <c r="J482" t="str">
        <f>IF($B482="","",IF(J$3=0,"n.b.",INDEX(SRC_ZPMW03!$A$1:$ZZ$501,$A482,J$3)))</f>
        <v/>
      </c>
      <c r="K482" t="str">
        <f>IF($B482="","",IF(K$3=0,"n.b.",INDEX(SRC_ZPMW03!$A$1:$ZZ$501,$A482,K$3)))</f>
        <v/>
      </c>
      <c r="L482" s="124" t="str">
        <f>IF($B482="","",IF(L$3=0,"n.b.",INDEX(SRC_ZPMW03!$A$1:$ZZ$501,$A482,L$3)))</f>
        <v/>
      </c>
      <c r="M482" s="124" t="str">
        <f>IF($B482="","",IF(M$3=0,"n.b.",INDEX(SRC_ZPMW03!$A$1:$ZZ$501,$A482,M$3)))</f>
        <v/>
      </c>
      <c r="N482" s="124" t="str">
        <f>IF($B482="","",IF(N$3=0,"n.b.",INDEX(SRC_ZPMW03!$A$1:$ZZ$501,$A482,N$3)))</f>
        <v/>
      </c>
      <c r="O482" s="124" t="str">
        <f>IF($B482="","",IF(O$3=0,"n.b.",INDEX(SRC_ZPMW03!$A$1:$ZZ$501,$A482,O$3)))</f>
        <v/>
      </c>
      <c r="P482" s="124" t="str">
        <f>IF($B482="","",IF(P$3=0,"n.b.",INDEX(SRC_ZPMW03!$A$1:$ZZ$501,$A482,P$3)))</f>
        <v/>
      </c>
      <c r="Q482" s="124" t="str">
        <f>IF($B482="","",IF(Q$3=0,"n.b.",INDEX(SRC_ZPMW03!$A$1:$ZZ$501,$A482,Q$3)))</f>
        <v/>
      </c>
      <c r="R482" s="124" t="str">
        <f>IF($B482="","",IF(R$3=0,"n.b.",INDEX(SRC_ZPMW03!$A$1:$ZZ$501,$A482,R$3)))</f>
        <v/>
      </c>
      <c r="S482" s="124" t="str">
        <f>IF($B482="","",IF(S$3=0,"n.b.",INDEX(SRC_ZPMW03!$A$1:$ZZ$501,$A482,S$3)))</f>
        <v/>
      </c>
      <c r="T482" s="124" t="str">
        <f>IF($B482="","",IF(T$3=0,"n.b.",INDEX(SRC_ZPMW03!$A$1:$ZZ$501,$A482,T$3)))</f>
        <v/>
      </c>
      <c r="U482" s="124" t="str">
        <f>IF($B482="","",IF(U$3=0,"n.b.",INDEX(SRC_ZPMW03!$A$1:$ZZ$501,$A482,U$3)))</f>
        <v/>
      </c>
      <c r="V482" s="124" t="str">
        <f>IF($B482="","",IF(V$3=0,"n.b.",INDEX(SRC_ZPMW03!$A$1:$ZZ$501,$A482,V$3)))</f>
        <v/>
      </c>
      <c r="W482" s="124" t="str">
        <f>IF($B482="","",IF(W$3=0,"n.b.",INDEX(SRC_ZPMW03!$A$1:$ZZ$501,$A482,W$3)))</f>
        <v/>
      </c>
      <c r="X482" s="124" t="str">
        <f>IF($B482="","",IF(X$3=0,"n.b.",INDEX(SRC_ZPMW03!$A$1:$ZZ$501,$A482,X$3)))</f>
        <v/>
      </c>
      <c r="Y482" s="124" t="str">
        <f>IF($B482="","",IF(Y$3=0,"n.b.",INDEX(SRC_ZPMW03!$A$1:$ZZ$501,$A482,Y$3)))</f>
        <v/>
      </c>
      <c r="Z482" s="124" t="str">
        <f>IF($B482="","",IF(Z$3=0,"n.b.",INDEX(SRC_ZPMW03!$A$1:$ZZ$501,$A482,Z$3)))</f>
        <v/>
      </c>
      <c r="AA482" s="124" t="str">
        <f>IF($B482="","",IF(AA$3=0,"n.b.",INDEX(SRC_ZPMW03!$A$1:$ZZ$501,$A482,AA$3)))</f>
        <v/>
      </c>
      <c r="AB482" s="124" t="str">
        <f>IF($B482="","",IF(AB$3=0,"n.b.",INDEX(SRC_ZPMW03!$A$1:$ZZ$501,$A482,AB$3)))</f>
        <v/>
      </c>
      <c r="AC482" s="124" t="str">
        <f>IF($B482="","",IF(AC$3=0,"n.b.",INDEX(SRC_ZPMW03!$A$1:$ZZ$501,$A482,AC$3)))</f>
        <v/>
      </c>
      <c r="AD482" s="124" t="str">
        <f>IF($B482="","",IF(AD$3=0,"n.b.",INDEX(SRC_ZPMW03!$A$1:$ZZ$501,$A482,AD$3)))</f>
        <v/>
      </c>
      <c r="AE482" s="124" t="str">
        <f>IF($B482="","",IF(AE$3=0,"n.b.",INDEX(SRC_ZPMW03!$A$1:$ZZ$501,$A482,AE$3)))</f>
        <v/>
      </c>
      <c r="AF482" s="124" t="str">
        <f>IF($B482="","",IF(AF$3=0,"n.b.",INDEX(SRC_ZPMW03!$A$1:$ZZ$501,$A482,AF$3)))</f>
        <v/>
      </c>
      <c r="AG482" s="124" t="str">
        <f>IF($B482="","",IF(AG$3=0,"n.b.",INDEX(SRC_ZPMW03!$A$1:$ZZ$501,$A482,AG$3)))</f>
        <v/>
      </c>
      <c r="AH482" s="124" t="str">
        <f>IF($B482="","",IF(AH$3=0,"n.b.",INDEX(SRC_ZPMW03!$A$1:$ZZ$501,$A482,AH$3)))</f>
        <v/>
      </c>
      <c r="AI482" s="124" t="str">
        <f>IF($B482="","",IF(AI$3=0,"n.b.",INDEX(SRC_ZPMW03!$A$1:$ZZ$501,$A482,AI$3)))</f>
        <v/>
      </c>
      <c r="AJ482" s="124" t="str">
        <f>IF($B482="","",IF(AJ$3=0,"n.b.",INDEX(SRC_ZPMW03!$A$1:$ZZ$501,$A482,AJ$3)))</f>
        <v/>
      </c>
      <c r="AK482" s="124" t="str">
        <f>IF($B482="","",IF(AK$3=0,"n.b.",INDEX(SRC_ZPMW03!$A$1:$ZZ$501,$A482,AK$3)))</f>
        <v/>
      </c>
      <c r="AL482" s="124" t="str">
        <f>IF($B482="","",IF(AL$3=0,"n.b.",INDEX(SRC_ZPMW03!$A$1:$ZZ$501,$A482,AL$3)))</f>
        <v/>
      </c>
      <c r="AM482" s="124" t="str">
        <f>IF($B482="","",IF(AM$3=0,"n.b.",INDEX(SRC_ZPMW03!$A$1:$ZZ$501,$A482,AM$3)))</f>
        <v/>
      </c>
      <c r="AN482" s="124" t="str">
        <f>IF($B482="","",IF(AN$3=0,"n.b.",INDEX(SRC_ZPMW03!$A$1:$ZZ$501,$A482,AN$3)))</f>
        <v/>
      </c>
      <c r="AO482" s="124" t="str">
        <f>IF($B482="","",IF(AO$3=0,"n.b.",INDEX(SRC_ZPMW03!$A$1:$ZZ$501,$A482,AO$3)))</f>
        <v/>
      </c>
      <c r="AP482" s="124" t="str">
        <f>IF($B482="","",IF(AP$3=0,"n.b.",INDEX(SRC_ZPMW03!$A$1:$ZZ$501,$A482,AP$3)))</f>
        <v/>
      </c>
      <c r="AQ482" s="124" t="str">
        <f>IF($B482="","",IF(AQ$3=0,"n.b.",INDEX(SRC_ZPMW03!$A$1:$ZZ$501,$A482,AQ$3)))</f>
        <v/>
      </c>
      <c r="AR482" s="124" t="str">
        <f>IF($B482="","",IF(AR$3=0,"n.b.",INDEX(SRC_ZPMW03!$A$1:$ZZ$501,$A482,AR$3)))</f>
        <v/>
      </c>
      <c r="AS482" s="124" t="str">
        <f>IF($B482="","",IF(AS$3=0,"n.b.",INDEX(SRC_ZPMW03!$A$1:$ZZ$501,$A482,AS$3)))</f>
        <v/>
      </c>
      <c r="AT482" s="124" t="str">
        <f>IF($B482="","",IF(AT$3=0,"n.b.",INDEX(SRC_ZPMW03!$A$1:$ZZ$501,$A482,AT$3)))</f>
        <v/>
      </c>
      <c r="AU482" s="124" t="str">
        <f>IF($B482="","",IF(AU$3=0,"n.b.",INDEX(SRC_ZPMW03!$A$1:$ZZ$501,$A482,AU$3)))</f>
        <v/>
      </c>
      <c r="AV482" s="124" t="str">
        <f>IF($B482="","",IF(AV$3=0,"n.b.",INDEX(SRC_ZPMW03!$A$1:$ZZ$501,$A482,AV$3)))</f>
        <v/>
      </c>
      <c r="AW482" s="124" t="str">
        <f>IF($B482="","",IF(AW$3=0,"n.b.",INDEX(SRC_ZPMW03!$A$1:$ZZ$501,$A482,AW$3)))</f>
        <v/>
      </c>
      <c r="AX482" s="124" t="str">
        <f>IF($B482="","",IF(AX$3=0,"n.b.",INDEX(SRC_ZPMW03!$A$1:$ZZ$501,$A482,AX$3)))</f>
        <v/>
      </c>
      <c r="AY482" s="124" t="str">
        <f>IF($B482="","",IF(AY$3=0,"n.b.",INDEX(SRC_ZPMW03!$A$1:$ZZ$501,$A482,AY$3)))</f>
        <v/>
      </c>
      <c r="AZ482" s="124" t="str">
        <f>IF($B482="","",IF(AZ$3=0,"n.b.",INDEX(SRC_ZPMW03!$A$1:$ZZ$501,$A482,AZ$3)))</f>
        <v/>
      </c>
      <c r="BA482" s="124" t="str">
        <f>IF($B482="","",IF(BA$3=0,"n.b.",INDEX(SRC_ZPMW03!$A$1:$ZZ$501,$A482,BA$3)))</f>
        <v/>
      </c>
      <c r="BB482" s="124" t="str">
        <f>IF($B482="","",IF(BB$3=0,"n.b.",INDEX(SRC_ZPMW03!$A$1:$ZZ$501,$A482,BB$3)))</f>
        <v/>
      </c>
      <c r="BC482" s="124" t="str">
        <f>IF($B482="","",IF(BC$3=0,"n.b.",INDEX(SRC_ZPMW03!$A$1:$ZZ$501,$A482,BC$3)))</f>
        <v/>
      </c>
      <c r="BD482" s="124" t="str">
        <f>IF($B482="","",IF(BD$3=0,"n.b.",INDEX(SRC_ZPMW03!$A$1:$ZZ$501,$A482,BD$3)))</f>
        <v/>
      </c>
      <c r="BE482" s="124" t="str">
        <f>IF($B482="","",IF(BE$3=0,"n.b.",INDEX(SRC_ZPMW03!$A$1:$ZZ$501,$A482,BE$3)))</f>
        <v/>
      </c>
      <c r="BF482" s="124" t="str">
        <f>IF($B482="","",IF(BF$3=0,"n.b.",INDEX(SRC_ZPMW03!$A$1:$ZZ$501,$A482,BF$3)))</f>
        <v/>
      </c>
      <c r="BG482" t="str">
        <f>IF($B482="","",IF(BG$3=0,"n.b.",INDEX(SRC_ZPMW03!$A$1:$ZZ$501,$A482,BG$3)))</f>
        <v/>
      </c>
      <c r="BH482" t="str">
        <f>IF($B482="","",IF(BH$3=0,"n.b.",INDEX(SRC_ZPMW03!$A$1:$ZZ$501,$A482,BH$3)))</f>
        <v/>
      </c>
      <c r="BI482" t="str">
        <f>IF($B482="","",IF(BI$3=0,"n.b.",INDEX(SRC_ZPMW03!$A$1:$ZZ$501,$A482,BI$3)))</f>
        <v/>
      </c>
      <c r="BJ482" t="str">
        <f>IF($B482="","",IF(BJ$3=0,"n.b.",INDEX(SRC_ZPMW03!$A$1:$ZZ$501,$A482,BJ$3)))</f>
        <v/>
      </c>
      <c r="BK482" s="124" t="str">
        <f>IF($B482="","",IFERROR(-O482,"n.b."))</f>
        <v/>
      </c>
      <c r="BL482" s="124" t="str">
        <f>IF($B482="","",IFERROR(-Q482,"n.b."))</f>
        <v/>
      </c>
      <c r="BM482" s="124" t="str">
        <f>IF($B482="","",IFERROR(-AB482,"n.b."))</f>
        <v/>
      </c>
      <c r="BN482" s="124" t="str">
        <f>IF($B482="","",IFERROR(-AD482,"n.b."))</f>
        <v/>
      </c>
      <c r="BO482" s="124" t="str">
        <f>IF($B482="","",IFERROR(BK482+BM482,"n.b."))</f>
        <v/>
      </c>
      <c r="BP482" s="124" t="str">
        <f>IF($B482="","",IFERROR(BL482+BN482,"n.b."))</f>
        <v/>
      </c>
      <c r="BQ482" s="124" t="str">
        <f>IF($B482="","",IFERROR(-AM482,"n.b."))</f>
        <v/>
      </c>
      <c r="BR482" s="124" t="str">
        <f>IF($B482="","",IFERROR(-AO482,"n.b."))</f>
        <v/>
      </c>
      <c r="BS482" s="124" t="str">
        <f>IF($B482="","",IFERROR(-Z482,"n.b."))</f>
        <v/>
      </c>
      <c r="BT482" s="124" t="str">
        <f>IF($B482="","",IFERROR(-AA482,"n.b."))</f>
        <v/>
      </c>
      <c r="BU482" s="124" t="str">
        <f>IF($B482="","",IFERROR(-AE482,"n.b."))</f>
        <v/>
      </c>
      <c r="BV482" s="124" t="str">
        <f>IF($B482="","",IFERROR(-AF482,"n.b."))</f>
        <v/>
      </c>
      <c r="BW482" s="124" t="str">
        <f>IF($B482="","",IFERROR(-AG482,"n.b."))</f>
        <v/>
      </c>
      <c r="BX482" s="124" t="str">
        <f>IF($B482="","",IFERROR(-AH482,"n.b."))</f>
        <v/>
      </c>
      <c r="BY482" s="124" t="str">
        <f>IF($B482="","",IFERROR(-AI482,"n.b."))</f>
        <v/>
      </c>
      <c r="BZ482" s="124" t="str">
        <f>IF($B482="","",IFERROR(-AJ482,"n.b."))</f>
        <v/>
      </c>
      <c r="CA482" s="124" t="str">
        <f>IF($B482="","",IFERROR(-AK482,"n.b."))</f>
        <v/>
      </c>
      <c r="CB482" s="124" t="str">
        <f>IF($B482="","",IFERROR(-AL482,"n.b."))</f>
        <v/>
      </c>
      <c r="CC482" s="124" t="str">
        <f>IF($B482="","",IFERROR(-AP482,"n.b."))</f>
        <v/>
      </c>
      <c r="CD482" s="124" t="str">
        <f>IF($B482="","",IFERROR(-AQ482,"n.b."))</f>
        <v/>
      </c>
      <c r="CE482" s="124" t="str">
        <f>IF($B482="","",IFERROR(-AR482,"n.b."))</f>
        <v/>
      </c>
      <c r="CF482" s="124" t="str">
        <f>IF($B482="","",IFERROR(-AS482,"n.b."))</f>
        <v/>
      </c>
      <c r="CG482" s="124" t="str">
        <f>IF($B482="","",IFERROR(-AT482,"n.b."))</f>
        <v/>
      </c>
      <c r="CH482" s="124" t="str">
        <f>IF($B482="","",IFERROR(-AU482,"n.b."))</f>
        <v/>
      </c>
      <c r="CI482" s="124" t="str">
        <f>IF($B482="","",IFERROR(-AV482,"n.b."))</f>
        <v/>
      </c>
      <c r="CJ482" s="124" t="str">
        <f>IF($B482="","",IFERROR(-AW482,"n.b."))</f>
        <v/>
      </c>
      <c r="CK482" s="124" t="str">
        <f>IF($B482="","",IFERROR(-AX482,"n.b."))</f>
        <v/>
      </c>
      <c r="CL482" s="124" t="str">
        <f>IF($B482="","",IFERROR(-AY482,"n.b."))</f>
        <v/>
      </c>
      <c r="CM482" s="124" t="str">
        <f>IF($B482="","",IFERROR(-AZ482,"n.b."))</f>
        <v/>
      </c>
      <c r="CN482" s="124" t="str">
        <f>IF($B482="","",IFERROR(-BA482,"n.b."))</f>
        <v/>
      </c>
      <c r="CO482" s="124" t="str">
        <f>IF($B482="","",IFERROR(-BB482,"n.b."))</f>
        <v/>
      </c>
      <c r="CP482" s="124" t="str">
        <f>IF($B482="","",IFERROR(-BC482,"n.b."))</f>
        <v/>
      </c>
      <c r="CQ482" s="124" t="str">
        <f>IF($B482="","",IFERROR(-BD482,"n.b."))</f>
        <v/>
      </c>
      <c r="CR482" s="124" t="str">
        <f>IF($B482="","",IFERROR(-BE482,"n.b."))</f>
        <v/>
      </c>
      <c r="CS482" s="124" t="str">
        <f>IF($B482="","",IFERROR(IF(OR(ABS(T482+V482+X482+Z482-AB482)&gt;P_Tol,ABS(U482+W482+Y482+AA482-AD482)&gt;P_Tol,ABS(AE482+AG482+AI482+AK482-AM482)&gt;P_Tol,ABS(AF482+AH482+AJ482+AL482-AO482)&gt;P_Tol),1,0),1))</f>
        <v/>
      </c>
      <c r="CT482" s="124" t="str">
        <f>IF($B482="","",IFERROR(IF(OR(ABS(AB482+AC482-AD482)&gt;P_Tol,ABS(AM482+AN482-AO482)&gt;P_Tol,ABS(O482+P482-Q482)&gt;P_Tol),1,0),1))</f>
        <v/>
      </c>
      <c r="CU482" s="124" t="str">
        <f>IF($B482="","",IFERROR(IF(ABS(R482-(AB482+AM482+AP482+AR482+AT482+AV482+AX482+AZ482+BB482+BD482))&gt;P_Tol,1,0),1))</f>
        <v/>
      </c>
      <c r="CV482" s="124" t="str">
        <f>IF($B482="","",IFERROR(IF(ABS(M482-(N482+O482+R482))&gt;P_Tol,1,0),1))</f>
        <v/>
      </c>
      <c r="CW482" s="124" t="str">
        <f>IF($B482="","",IF(COUNTIF(Mapping!$A$5:$A$104,B482)&gt;0,1,0))</f>
        <v/>
      </c>
      <c r="CX482" s="124" t="str">
        <f>IF($B482="","",COUNTIF($B$6:$B$505,B482))</f>
        <v/>
      </c>
      <c r="CY482" s="124" t="str">
        <f>IF($B482="","",COUNTIF(STG_Woningetalage!$B$6:$B$505,B482))</f>
        <v/>
      </c>
      <c r="CZ482" s="124" t="str">
        <f>IF($B482="","",IF(CW482=0,COUNTIF($CW$6:CW482,0),""))</f>
        <v/>
      </c>
    </row>
    <row r="483">
      <c r="A483" s="15" t="n">
        <v>479</v>
      </c>
      <c r="B483" t="str">
        <f>IF(B$3=0,"",IF(INDEX(SRC_ZPMW03!$A$1:$ZZ$501,$A483,B$3)&amp;""="","",INDEX(SRC_ZPMW03!$A$1:$ZZ$501,$A483,B$3)&amp;""))</f>
        <v/>
      </c>
      <c r="C483" t="str">
        <f>IF($B483="","",IF(C$3=0,"n.b.",INDEX(SRC_ZPMW03!$A$1:$ZZ$501,$A483,C$3)))</f>
        <v/>
      </c>
      <c r="D483" t="str">
        <f>IF($B483="","",IF(D$3=0,"n.b.",INDEX(SRC_ZPMW03!$A$1:$ZZ$501,$A483,D$3)))</f>
        <v/>
      </c>
      <c r="E483" t="str">
        <f>IF($B483="","",IF(E$3=0,"n.b.",INDEX(SRC_ZPMW03!$A$1:$ZZ$501,$A483,E$3)))</f>
        <v/>
      </c>
      <c r="F483" t="str">
        <f>IF($B483="","",IF(F$3=0,"n.b.",INDEX(SRC_ZPMW03!$A$1:$ZZ$501,$A483,F$3)))</f>
        <v/>
      </c>
      <c r="G483" t="str">
        <f>IF($B483="","",IF(G$3=0,"n.b.",INDEX(SRC_ZPMW03!$A$1:$ZZ$501,$A483,G$3)))</f>
        <v/>
      </c>
      <c r="H483" t="str">
        <f>IF($B483="","",IF(H$3=0,"n.b.",INDEX(SRC_ZPMW03!$A$1:$ZZ$501,$A483,H$3)))</f>
        <v/>
      </c>
      <c r="I483" t="str">
        <f>IF($B483="","",IF(I$3=0,"n.b.",INDEX(SRC_ZPMW03!$A$1:$ZZ$501,$A483,I$3)))</f>
        <v/>
      </c>
      <c r="J483" t="str">
        <f>IF($B483="","",IF(J$3=0,"n.b.",INDEX(SRC_ZPMW03!$A$1:$ZZ$501,$A483,J$3)))</f>
        <v/>
      </c>
      <c r="K483" t="str">
        <f>IF($B483="","",IF(K$3=0,"n.b.",INDEX(SRC_ZPMW03!$A$1:$ZZ$501,$A483,K$3)))</f>
        <v/>
      </c>
      <c r="L483" s="124" t="str">
        <f>IF($B483="","",IF(L$3=0,"n.b.",INDEX(SRC_ZPMW03!$A$1:$ZZ$501,$A483,L$3)))</f>
        <v/>
      </c>
      <c r="M483" s="124" t="str">
        <f>IF($B483="","",IF(M$3=0,"n.b.",INDEX(SRC_ZPMW03!$A$1:$ZZ$501,$A483,M$3)))</f>
        <v/>
      </c>
      <c r="N483" s="124" t="str">
        <f>IF($B483="","",IF(N$3=0,"n.b.",INDEX(SRC_ZPMW03!$A$1:$ZZ$501,$A483,N$3)))</f>
        <v/>
      </c>
      <c r="O483" s="124" t="str">
        <f>IF($B483="","",IF(O$3=0,"n.b.",INDEX(SRC_ZPMW03!$A$1:$ZZ$501,$A483,O$3)))</f>
        <v/>
      </c>
      <c r="P483" s="124" t="str">
        <f>IF($B483="","",IF(P$3=0,"n.b.",INDEX(SRC_ZPMW03!$A$1:$ZZ$501,$A483,P$3)))</f>
        <v/>
      </c>
      <c r="Q483" s="124" t="str">
        <f>IF($B483="","",IF(Q$3=0,"n.b.",INDEX(SRC_ZPMW03!$A$1:$ZZ$501,$A483,Q$3)))</f>
        <v/>
      </c>
      <c r="R483" s="124" t="str">
        <f>IF($B483="","",IF(R$3=0,"n.b.",INDEX(SRC_ZPMW03!$A$1:$ZZ$501,$A483,R$3)))</f>
        <v/>
      </c>
      <c r="S483" s="124" t="str">
        <f>IF($B483="","",IF(S$3=0,"n.b.",INDEX(SRC_ZPMW03!$A$1:$ZZ$501,$A483,S$3)))</f>
        <v/>
      </c>
      <c r="T483" s="124" t="str">
        <f>IF($B483="","",IF(T$3=0,"n.b.",INDEX(SRC_ZPMW03!$A$1:$ZZ$501,$A483,T$3)))</f>
        <v/>
      </c>
      <c r="U483" s="124" t="str">
        <f>IF($B483="","",IF(U$3=0,"n.b.",INDEX(SRC_ZPMW03!$A$1:$ZZ$501,$A483,U$3)))</f>
        <v/>
      </c>
      <c r="V483" s="124" t="str">
        <f>IF($B483="","",IF(V$3=0,"n.b.",INDEX(SRC_ZPMW03!$A$1:$ZZ$501,$A483,V$3)))</f>
        <v/>
      </c>
      <c r="W483" s="124" t="str">
        <f>IF($B483="","",IF(W$3=0,"n.b.",INDEX(SRC_ZPMW03!$A$1:$ZZ$501,$A483,W$3)))</f>
        <v/>
      </c>
      <c r="X483" s="124" t="str">
        <f>IF($B483="","",IF(X$3=0,"n.b.",INDEX(SRC_ZPMW03!$A$1:$ZZ$501,$A483,X$3)))</f>
        <v/>
      </c>
      <c r="Y483" s="124" t="str">
        <f>IF($B483="","",IF(Y$3=0,"n.b.",INDEX(SRC_ZPMW03!$A$1:$ZZ$501,$A483,Y$3)))</f>
        <v/>
      </c>
      <c r="Z483" s="124" t="str">
        <f>IF($B483="","",IF(Z$3=0,"n.b.",INDEX(SRC_ZPMW03!$A$1:$ZZ$501,$A483,Z$3)))</f>
        <v/>
      </c>
      <c r="AA483" s="124" t="str">
        <f>IF($B483="","",IF(AA$3=0,"n.b.",INDEX(SRC_ZPMW03!$A$1:$ZZ$501,$A483,AA$3)))</f>
        <v/>
      </c>
      <c r="AB483" s="124" t="str">
        <f>IF($B483="","",IF(AB$3=0,"n.b.",INDEX(SRC_ZPMW03!$A$1:$ZZ$501,$A483,AB$3)))</f>
        <v/>
      </c>
      <c r="AC483" s="124" t="str">
        <f>IF($B483="","",IF(AC$3=0,"n.b.",INDEX(SRC_ZPMW03!$A$1:$ZZ$501,$A483,AC$3)))</f>
        <v/>
      </c>
      <c r="AD483" s="124" t="str">
        <f>IF($B483="","",IF(AD$3=0,"n.b.",INDEX(SRC_ZPMW03!$A$1:$ZZ$501,$A483,AD$3)))</f>
        <v/>
      </c>
      <c r="AE483" s="124" t="str">
        <f>IF($B483="","",IF(AE$3=0,"n.b.",INDEX(SRC_ZPMW03!$A$1:$ZZ$501,$A483,AE$3)))</f>
        <v/>
      </c>
      <c r="AF483" s="124" t="str">
        <f>IF($B483="","",IF(AF$3=0,"n.b.",INDEX(SRC_ZPMW03!$A$1:$ZZ$501,$A483,AF$3)))</f>
        <v/>
      </c>
      <c r="AG483" s="124" t="str">
        <f>IF($B483="","",IF(AG$3=0,"n.b.",INDEX(SRC_ZPMW03!$A$1:$ZZ$501,$A483,AG$3)))</f>
        <v/>
      </c>
      <c r="AH483" s="124" t="str">
        <f>IF($B483="","",IF(AH$3=0,"n.b.",INDEX(SRC_ZPMW03!$A$1:$ZZ$501,$A483,AH$3)))</f>
        <v/>
      </c>
      <c r="AI483" s="124" t="str">
        <f>IF($B483="","",IF(AI$3=0,"n.b.",INDEX(SRC_ZPMW03!$A$1:$ZZ$501,$A483,AI$3)))</f>
        <v/>
      </c>
      <c r="AJ483" s="124" t="str">
        <f>IF($B483="","",IF(AJ$3=0,"n.b.",INDEX(SRC_ZPMW03!$A$1:$ZZ$501,$A483,AJ$3)))</f>
        <v/>
      </c>
      <c r="AK483" s="124" t="str">
        <f>IF($B483="","",IF(AK$3=0,"n.b.",INDEX(SRC_ZPMW03!$A$1:$ZZ$501,$A483,AK$3)))</f>
        <v/>
      </c>
      <c r="AL483" s="124" t="str">
        <f>IF($B483="","",IF(AL$3=0,"n.b.",INDEX(SRC_ZPMW03!$A$1:$ZZ$501,$A483,AL$3)))</f>
        <v/>
      </c>
      <c r="AM483" s="124" t="str">
        <f>IF($B483="","",IF(AM$3=0,"n.b.",INDEX(SRC_ZPMW03!$A$1:$ZZ$501,$A483,AM$3)))</f>
        <v/>
      </c>
      <c r="AN483" s="124" t="str">
        <f>IF($B483="","",IF(AN$3=0,"n.b.",INDEX(SRC_ZPMW03!$A$1:$ZZ$501,$A483,AN$3)))</f>
        <v/>
      </c>
      <c r="AO483" s="124" t="str">
        <f>IF($B483="","",IF(AO$3=0,"n.b.",INDEX(SRC_ZPMW03!$A$1:$ZZ$501,$A483,AO$3)))</f>
        <v/>
      </c>
      <c r="AP483" s="124" t="str">
        <f>IF($B483="","",IF(AP$3=0,"n.b.",INDEX(SRC_ZPMW03!$A$1:$ZZ$501,$A483,AP$3)))</f>
        <v/>
      </c>
      <c r="AQ483" s="124" t="str">
        <f>IF($B483="","",IF(AQ$3=0,"n.b.",INDEX(SRC_ZPMW03!$A$1:$ZZ$501,$A483,AQ$3)))</f>
        <v/>
      </c>
      <c r="AR483" s="124" t="str">
        <f>IF($B483="","",IF(AR$3=0,"n.b.",INDEX(SRC_ZPMW03!$A$1:$ZZ$501,$A483,AR$3)))</f>
        <v/>
      </c>
      <c r="AS483" s="124" t="str">
        <f>IF($B483="","",IF(AS$3=0,"n.b.",INDEX(SRC_ZPMW03!$A$1:$ZZ$501,$A483,AS$3)))</f>
        <v/>
      </c>
      <c r="AT483" s="124" t="str">
        <f>IF($B483="","",IF(AT$3=0,"n.b.",INDEX(SRC_ZPMW03!$A$1:$ZZ$501,$A483,AT$3)))</f>
        <v/>
      </c>
      <c r="AU483" s="124" t="str">
        <f>IF($B483="","",IF(AU$3=0,"n.b.",INDEX(SRC_ZPMW03!$A$1:$ZZ$501,$A483,AU$3)))</f>
        <v/>
      </c>
      <c r="AV483" s="124" t="str">
        <f>IF($B483="","",IF(AV$3=0,"n.b.",INDEX(SRC_ZPMW03!$A$1:$ZZ$501,$A483,AV$3)))</f>
        <v/>
      </c>
      <c r="AW483" s="124" t="str">
        <f>IF($B483="","",IF(AW$3=0,"n.b.",INDEX(SRC_ZPMW03!$A$1:$ZZ$501,$A483,AW$3)))</f>
        <v/>
      </c>
      <c r="AX483" s="124" t="str">
        <f>IF($B483="","",IF(AX$3=0,"n.b.",INDEX(SRC_ZPMW03!$A$1:$ZZ$501,$A483,AX$3)))</f>
        <v/>
      </c>
      <c r="AY483" s="124" t="str">
        <f>IF($B483="","",IF(AY$3=0,"n.b.",INDEX(SRC_ZPMW03!$A$1:$ZZ$501,$A483,AY$3)))</f>
        <v/>
      </c>
      <c r="AZ483" s="124" t="str">
        <f>IF($B483="","",IF(AZ$3=0,"n.b.",INDEX(SRC_ZPMW03!$A$1:$ZZ$501,$A483,AZ$3)))</f>
        <v/>
      </c>
      <c r="BA483" s="124" t="str">
        <f>IF($B483="","",IF(BA$3=0,"n.b.",INDEX(SRC_ZPMW03!$A$1:$ZZ$501,$A483,BA$3)))</f>
        <v/>
      </c>
      <c r="BB483" s="124" t="str">
        <f>IF($B483="","",IF(BB$3=0,"n.b.",INDEX(SRC_ZPMW03!$A$1:$ZZ$501,$A483,BB$3)))</f>
        <v/>
      </c>
      <c r="BC483" s="124" t="str">
        <f>IF($B483="","",IF(BC$3=0,"n.b.",INDEX(SRC_ZPMW03!$A$1:$ZZ$501,$A483,BC$3)))</f>
        <v/>
      </c>
      <c r="BD483" s="124" t="str">
        <f>IF($B483="","",IF(BD$3=0,"n.b.",INDEX(SRC_ZPMW03!$A$1:$ZZ$501,$A483,BD$3)))</f>
        <v/>
      </c>
      <c r="BE483" s="124" t="str">
        <f>IF($B483="","",IF(BE$3=0,"n.b.",INDEX(SRC_ZPMW03!$A$1:$ZZ$501,$A483,BE$3)))</f>
        <v/>
      </c>
      <c r="BF483" s="124" t="str">
        <f>IF($B483="","",IF(BF$3=0,"n.b.",INDEX(SRC_ZPMW03!$A$1:$ZZ$501,$A483,BF$3)))</f>
        <v/>
      </c>
      <c r="BG483" t="str">
        <f>IF($B483="","",IF(BG$3=0,"n.b.",INDEX(SRC_ZPMW03!$A$1:$ZZ$501,$A483,BG$3)))</f>
        <v/>
      </c>
      <c r="BH483" t="str">
        <f>IF($B483="","",IF(BH$3=0,"n.b.",INDEX(SRC_ZPMW03!$A$1:$ZZ$501,$A483,BH$3)))</f>
        <v/>
      </c>
      <c r="BI483" t="str">
        <f>IF($B483="","",IF(BI$3=0,"n.b.",INDEX(SRC_ZPMW03!$A$1:$ZZ$501,$A483,BI$3)))</f>
        <v/>
      </c>
      <c r="BJ483" t="str">
        <f>IF($B483="","",IF(BJ$3=0,"n.b.",INDEX(SRC_ZPMW03!$A$1:$ZZ$501,$A483,BJ$3)))</f>
        <v/>
      </c>
      <c r="BK483" s="124" t="str">
        <f>IF($B483="","",IFERROR(-O483,"n.b."))</f>
        <v/>
      </c>
      <c r="BL483" s="124" t="str">
        <f>IF($B483="","",IFERROR(-Q483,"n.b."))</f>
        <v/>
      </c>
      <c r="BM483" s="124" t="str">
        <f>IF($B483="","",IFERROR(-AB483,"n.b."))</f>
        <v/>
      </c>
      <c r="BN483" s="124" t="str">
        <f>IF($B483="","",IFERROR(-AD483,"n.b."))</f>
        <v/>
      </c>
      <c r="BO483" s="124" t="str">
        <f>IF($B483="","",IFERROR(BK483+BM483,"n.b."))</f>
        <v/>
      </c>
      <c r="BP483" s="124" t="str">
        <f>IF($B483="","",IFERROR(BL483+BN483,"n.b."))</f>
        <v/>
      </c>
      <c r="BQ483" s="124" t="str">
        <f>IF($B483="","",IFERROR(-AM483,"n.b."))</f>
        <v/>
      </c>
      <c r="BR483" s="124" t="str">
        <f>IF($B483="","",IFERROR(-AO483,"n.b."))</f>
        <v/>
      </c>
      <c r="BS483" s="124" t="str">
        <f>IF($B483="","",IFERROR(-Z483,"n.b."))</f>
        <v/>
      </c>
      <c r="BT483" s="124" t="str">
        <f>IF($B483="","",IFERROR(-AA483,"n.b."))</f>
        <v/>
      </c>
      <c r="BU483" s="124" t="str">
        <f>IF($B483="","",IFERROR(-AE483,"n.b."))</f>
        <v/>
      </c>
      <c r="BV483" s="124" t="str">
        <f>IF($B483="","",IFERROR(-AF483,"n.b."))</f>
        <v/>
      </c>
      <c r="BW483" s="124" t="str">
        <f>IF($B483="","",IFERROR(-AG483,"n.b."))</f>
        <v/>
      </c>
      <c r="BX483" s="124" t="str">
        <f>IF($B483="","",IFERROR(-AH483,"n.b."))</f>
        <v/>
      </c>
      <c r="BY483" s="124" t="str">
        <f>IF($B483="","",IFERROR(-AI483,"n.b."))</f>
        <v/>
      </c>
      <c r="BZ483" s="124" t="str">
        <f>IF($B483="","",IFERROR(-AJ483,"n.b."))</f>
        <v/>
      </c>
      <c r="CA483" s="124" t="str">
        <f>IF($B483="","",IFERROR(-AK483,"n.b."))</f>
        <v/>
      </c>
      <c r="CB483" s="124" t="str">
        <f>IF($B483="","",IFERROR(-AL483,"n.b."))</f>
        <v/>
      </c>
      <c r="CC483" s="124" t="str">
        <f>IF($B483="","",IFERROR(-AP483,"n.b."))</f>
        <v/>
      </c>
      <c r="CD483" s="124" t="str">
        <f>IF($B483="","",IFERROR(-AQ483,"n.b."))</f>
        <v/>
      </c>
      <c r="CE483" s="124" t="str">
        <f>IF($B483="","",IFERROR(-AR483,"n.b."))</f>
        <v/>
      </c>
      <c r="CF483" s="124" t="str">
        <f>IF($B483="","",IFERROR(-AS483,"n.b."))</f>
        <v/>
      </c>
      <c r="CG483" s="124" t="str">
        <f>IF($B483="","",IFERROR(-AT483,"n.b."))</f>
        <v/>
      </c>
      <c r="CH483" s="124" t="str">
        <f>IF($B483="","",IFERROR(-AU483,"n.b."))</f>
        <v/>
      </c>
      <c r="CI483" s="124" t="str">
        <f>IF($B483="","",IFERROR(-AV483,"n.b."))</f>
        <v/>
      </c>
      <c r="CJ483" s="124" t="str">
        <f>IF($B483="","",IFERROR(-AW483,"n.b."))</f>
        <v/>
      </c>
      <c r="CK483" s="124" t="str">
        <f>IF($B483="","",IFERROR(-AX483,"n.b."))</f>
        <v/>
      </c>
      <c r="CL483" s="124" t="str">
        <f>IF($B483="","",IFERROR(-AY483,"n.b."))</f>
        <v/>
      </c>
      <c r="CM483" s="124" t="str">
        <f>IF($B483="","",IFERROR(-AZ483,"n.b."))</f>
        <v/>
      </c>
      <c r="CN483" s="124" t="str">
        <f>IF($B483="","",IFERROR(-BA483,"n.b."))</f>
        <v/>
      </c>
      <c r="CO483" s="124" t="str">
        <f>IF($B483="","",IFERROR(-BB483,"n.b."))</f>
        <v/>
      </c>
      <c r="CP483" s="124" t="str">
        <f>IF($B483="","",IFERROR(-BC483,"n.b."))</f>
        <v/>
      </c>
      <c r="CQ483" s="124" t="str">
        <f>IF($B483="","",IFERROR(-BD483,"n.b."))</f>
        <v/>
      </c>
      <c r="CR483" s="124" t="str">
        <f>IF($B483="","",IFERROR(-BE483,"n.b."))</f>
        <v/>
      </c>
      <c r="CS483" s="124" t="str">
        <f>IF($B483="","",IFERROR(IF(OR(ABS(T483+V483+X483+Z483-AB483)&gt;P_Tol,ABS(U483+W483+Y483+AA483-AD483)&gt;P_Tol,ABS(AE483+AG483+AI483+AK483-AM483)&gt;P_Tol,ABS(AF483+AH483+AJ483+AL483-AO483)&gt;P_Tol),1,0),1))</f>
        <v/>
      </c>
      <c r="CT483" s="124" t="str">
        <f>IF($B483="","",IFERROR(IF(OR(ABS(AB483+AC483-AD483)&gt;P_Tol,ABS(AM483+AN483-AO483)&gt;P_Tol,ABS(O483+P483-Q483)&gt;P_Tol),1,0),1))</f>
        <v/>
      </c>
      <c r="CU483" s="124" t="str">
        <f>IF($B483="","",IFERROR(IF(ABS(R483-(AB483+AM483+AP483+AR483+AT483+AV483+AX483+AZ483+BB483+BD483))&gt;P_Tol,1,0),1))</f>
        <v/>
      </c>
      <c r="CV483" s="124" t="str">
        <f>IF($B483="","",IFERROR(IF(ABS(M483-(N483+O483+R483))&gt;P_Tol,1,0),1))</f>
        <v/>
      </c>
      <c r="CW483" s="124" t="str">
        <f>IF($B483="","",IF(COUNTIF(Mapping!$A$5:$A$104,B483)&gt;0,1,0))</f>
        <v/>
      </c>
      <c r="CX483" s="124" t="str">
        <f>IF($B483="","",COUNTIF($B$6:$B$505,B483))</f>
        <v/>
      </c>
      <c r="CY483" s="124" t="str">
        <f>IF($B483="","",COUNTIF(STG_Woningetalage!$B$6:$B$505,B483))</f>
        <v/>
      </c>
      <c r="CZ483" s="124" t="str">
        <f>IF($B483="","",IF(CW483=0,COUNTIF($CW$6:CW483,0),""))</f>
        <v/>
      </c>
    </row>
    <row r="484">
      <c r="A484" s="15" t="n">
        <v>480</v>
      </c>
      <c r="B484" t="str">
        <f>IF(B$3=0,"",IF(INDEX(SRC_ZPMW03!$A$1:$ZZ$501,$A484,B$3)&amp;""="","",INDEX(SRC_ZPMW03!$A$1:$ZZ$501,$A484,B$3)&amp;""))</f>
        <v/>
      </c>
      <c r="C484" t="str">
        <f>IF($B484="","",IF(C$3=0,"n.b.",INDEX(SRC_ZPMW03!$A$1:$ZZ$501,$A484,C$3)))</f>
        <v/>
      </c>
      <c r="D484" t="str">
        <f>IF($B484="","",IF(D$3=0,"n.b.",INDEX(SRC_ZPMW03!$A$1:$ZZ$501,$A484,D$3)))</f>
        <v/>
      </c>
      <c r="E484" t="str">
        <f>IF($B484="","",IF(E$3=0,"n.b.",INDEX(SRC_ZPMW03!$A$1:$ZZ$501,$A484,E$3)))</f>
        <v/>
      </c>
      <c r="F484" t="str">
        <f>IF($B484="","",IF(F$3=0,"n.b.",INDEX(SRC_ZPMW03!$A$1:$ZZ$501,$A484,F$3)))</f>
        <v/>
      </c>
      <c r="G484" t="str">
        <f>IF($B484="","",IF(G$3=0,"n.b.",INDEX(SRC_ZPMW03!$A$1:$ZZ$501,$A484,G$3)))</f>
        <v/>
      </c>
      <c r="H484" t="str">
        <f>IF($B484="","",IF(H$3=0,"n.b.",INDEX(SRC_ZPMW03!$A$1:$ZZ$501,$A484,H$3)))</f>
        <v/>
      </c>
      <c r="I484" t="str">
        <f>IF($B484="","",IF(I$3=0,"n.b.",INDEX(SRC_ZPMW03!$A$1:$ZZ$501,$A484,I$3)))</f>
        <v/>
      </c>
      <c r="J484" t="str">
        <f>IF($B484="","",IF(J$3=0,"n.b.",INDEX(SRC_ZPMW03!$A$1:$ZZ$501,$A484,J$3)))</f>
        <v/>
      </c>
      <c r="K484" t="str">
        <f>IF($B484="","",IF(K$3=0,"n.b.",INDEX(SRC_ZPMW03!$A$1:$ZZ$501,$A484,K$3)))</f>
        <v/>
      </c>
      <c r="L484" s="124" t="str">
        <f>IF($B484="","",IF(L$3=0,"n.b.",INDEX(SRC_ZPMW03!$A$1:$ZZ$501,$A484,L$3)))</f>
        <v/>
      </c>
      <c r="M484" s="124" t="str">
        <f>IF($B484="","",IF(M$3=0,"n.b.",INDEX(SRC_ZPMW03!$A$1:$ZZ$501,$A484,M$3)))</f>
        <v/>
      </c>
      <c r="N484" s="124" t="str">
        <f>IF($B484="","",IF(N$3=0,"n.b.",INDEX(SRC_ZPMW03!$A$1:$ZZ$501,$A484,N$3)))</f>
        <v/>
      </c>
      <c r="O484" s="124" t="str">
        <f>IF($B484="","",IF(O$3=0,"n.b.",INDEX(SRC_ZPMW03!$A$1:$ZZ$501,$A484,O$3)))</f>
        <v/>
      </c>
      <c r="P484" s="124" t="str">
        <f>IF($B484="","",IF(P$3=0,"n.b.",INDEX(SRC_ZPMW03!$A$1:$ZZ$501,$A484,P$3)))</f>
        <v/>
      </c>
      <c r="Q484" s="124" t="str">
        <f>IF($B484="","",IF(Q$3=0,"n.b.",INDEX(SRC_ZPMW03!$A$1:$ZZ$501,$A484,Q$3)))</f>
        <v/>
      </c>
      <c r="R484" s="124" t="str">
        <f>IF($B484="","",IF(R$3=0,"n.b.",INDEX(SRC_ZPMW03!$A$1:$ZZ$501,$A484,R$3)))</f>
        <v/>
      </c>
      <c r="S484" s="124" t="str">
        <f>IF($B484="","",IF(S$3=0,"n.b.",INDEX(SRC_ZPMW03!$A$1:$ZZ$501,$A484,S$3)))</f>
        <v/>
      </c>
      <c r="T484" s="124" t="str">
        <f>IF($B484="","",IF(T$3=0,"n.b.",INDEX(SRC_ZPMW03!$A$1:$ZZ$501,$A484,T$3)))</f>
        <v/>
      </c>
      <c r="U484" s="124" t="str">
        <f>IF($B484="","",IF(U$3=0,"n.b.",INDEX(SRC_ZPMW03!$A$1:$ZZ$501,$A484,U$3)))</f>
        <v/>
      </c>
      <c r="V484" s="124" t="str">
        <f>IF($B484="","",IF(V$3=0,"n.b.",INDEX(SRC_ZPMW03!$A$1:$ZZ$501,$A484,V$3)))</f>
        <v/>
      </c>
      <c r="W484" s="124" t="str">
        <f>IF($B484="","",IF(W$3=0,"n.b.",INDEX(SRC_ZPMW03!$A$1:$ZZ$501,$A484,W$3)))</f>
        <v/>
      </c>
      <c r="X484" s="124" t="str">
        <f>IF($B484="","",IF(X$3=0,"n.b.",INDEX(SRC_ZPMW03!$A$1:$ZZ$501,$A484,X$3)))</f>
        <v/>
      </c>
      <c r="Y484" s="124" t="str">
        <f>IF($B484="","",IF(Y$3=0,"n.b.",INDEX(SRC_ZPMW03!$A$1:$ZZ$501,$A484,Y$3)))</f>
        <v/>
      </c>
      <c r="Z484" s="124" t="str">
        <f>IF($B484="","",IF(Z$3=0,"n.b.",INDEX(SRC_ZPMW03!$A$1:$ZZ$501,$A484,Z$3)))</f>
        <v/>
      </c>
      <c r="AA484" s="124" t="str">
        <f>IF($B484="","",IF(AA$3=0,"n.b.",INDEX(SRC_ZPMW03!$A$1:$ZZ$501,$A484,AA$3)))</f>
        <v/>
      </c>
      <c r="AB484" s="124" t="str">
        <f>IF($B484="","",IF(AB$3=0,"n.b.",INDEX(SRC_ZPMW03!$A$1:$ZZ$501,$A484,AB$3)))</f>
        <v/>
      </c>
      <c r="AC484" s="124" t="str">
        <f>IF($B484="","",IF(AC$3=0,"n.b.",INDEX(SRC_ZPMW03!$A$1:$ZZ$501,$A484,AC$3)))</f>
        <v/>
      </c>
      <c r="AD484" s="124" t="str">
        <f>IF($B484="","",IF(AD$3=0,"n.b.",INDEX(SRC_ZPMW03!$A$1:$ZZ$501,$A484,AD$3)))</f>
        <v/>
      </c>
      <c r="AE484" s="124" t="str">
        <f>IF($B484="","",IF(AE$3=0,"n.b.",INDEX(SRC_ZPMW03!$A$1:$ZZ$501,$A484,AE$3)))</f>
        <v/>
      </c>
      <c r="AF484" s="124" t="str">
        <f>IF($B484="","",IF(AF$3=0,"n.b.",INDEX(SRC_ZPMW03!$A$1:$ZZ$501,$A484,AF$3)))</f>
        <v/>
      </c>
      <c r="AG484" s="124" t="str">
        <f>IF($B484="","",IF(AG$3=0,"n.b.",INDEX(SRC_ZPMW03!$A$1:$ZZ$501,$A484,AG$3)))</f>
        <v/>
      </c>
      <c r="AH484" s="124" t="str">
        <f>IF($B484="","",IF(AH$3=0,"n.b.",INDEX(SRC_ZPMW03!$A$1:$ZZ$501,$A484,AH$3)))</f>
        <v/>
      </c>
      <c r="AI484" s="124" t="str">
        <f>IF($B484="","",IF(AI$3=0,"n.b.",INDEX(SRC_ZPMW03!$A$1:$ZZ$501,$A484,AI$3)))</f>
        <v/>
      </c>
      <c r="AJ484" s="124" t="str">
        <f>IF($B484="","",IF(AJ$3=0,"n.b.",INDEX(SRC_ZPMW03!$A$1:$ZZ$501,$A484,AJ$3)))</f>
        <v/>
      </c>
      <c r="AK484" s="124" t="str">
        <f>IF($B484="","",IF(AK$3=0,"n.b.",INDEX(SRC_ZPMW03!$A$1:$ZZ$501,$A484,AK$3)))</f>
        <v/>
      </c>
      <c r="AL484" s="124" t="str">
        <f>IF($B484="","",IF(AL$3=0,"n.b.",INDEX(SRC_ZPMW03!$A$1:$ZZ$501,$A484,AL$3)))</f>
        <v/>
      </c>
      <c r="AM484" s="124" t="str">
        <f>IF($B484="","",IF(AM$3=0,"n.b.",INDEX(SRC_ZPMW03!$A$1:$ZZ$501,$A484,AM$3)))</f>
        <v/>
      </c>
      <c r="AN484" s="124" t="str">
        <f>IF($B484="","",IF(AN$3=0,"n.b.",INDEX(SRC_ZPMW03!$A$1:$ZZ$501,$A484,AN$3)))</f>
        <v/>
      </c>
      <c r="AO484" s="124" t="str">
        <f>IF($B484="","",IF(AO$3=0,"n.b.",INDEX(SRC_ZPMW03!$A$1:$ZZ$501,$A484,AO$3)))</f>
        <v/>
      </c>
      <c r="AP484" s="124" t="str">
        <f>IF($B484="","",IF(AP$3=0,"n.b.",INDEX(SRC_ZPMW03!$A$1:$ZZ$501,$A484,AP$3)))</f>
        <v/>
      </c>
      <c r="AQ484" s="124" t="str">
        <f>IF($B484="","",IF(AQ$3=0,"n.b.",INDEX(SRC_ZPMW03!$A$1:$ZZ$501,$A484,AQ$3)))</f>
        <v/>
      </c>
      <c r="AR484" s="124" t="str">
        <f>IF($B484="","",IF(AR$3=0,"n.b.",INDEX(SRC_ZPMW03!$A$1:$ZZ$501,$A484,AR$3)))</f>
        <v/>
      </c>
      <c r="AS484" s="124" t="str">
        <f>IF($B484="","",IF(AS$3=0,"n.b.",INDEX(SRC_ZPMW03!$A$1:$ZZ$501,$A484,AS$3)))</f>
        <v/>
      </c>
      <c r="AT484" s="124" t="str">
        <f>IF($B484="","",IF(AT$3=0,"n.b.",INDEX(SRC_ZPMW03!$A$1:$ZZ$501,$A484,AT$3)))</f>
        <v/>
      </c>
      <c r="AU484" s="124" t="str">
        <f>IF($B484="","",IF(AU$3=0,"n.b.",INDEX(SRC_ZPMW03!$A$1:$ZZ$501,$A484,AU$3)))</f>
        <v/>
      </c>
      <c r="AV484" s="124" t="str">
        <f>IF($B484="","",IF(AV$3=0,"n.b.",INDEX(SRC_ZPMW03!$A$1:$ZZ$501,$A484,AV$3)))</f>
        <v/>
      </c>
      <c r="AW484" s="124" t="str">
        <f>IF($B484="","",IF(AW$3=0,"n.b.",INDEX(SRC_ZPMW03!$A$1:$ZZ$501,$A484,AW$3)))</f>
        <v/>
      </c>
      <c r="AX484" s="124" t="str">
        <f>IF($B484="","",IF(AX$3=0,"n.b.",INDEX(SRC_ZPMW03!$A$1:$ZZ$501,$A484,AX$3)))</f>
        <v/>
      </c>
      <c r="AY484" s="124" t="str">
        <f>IF($B484="","",IF(AY$3=0,"n.b.",INDEX(SRC_ZPMW03!$A$1:$ZZ$501,$A484,AY$3)))</f>
        <v/>
      </c>
      <c r="AZ484" s="124" t="str">
        <f>IF($B484="","",IF(AZ$3=0,"n.b.",INDEX(SRC_ZPMW03!$A$1:$ZZ$501,$A484,AZ$3)))</f>
        <v/>
      </c>
      <c r="BA484" s="124" t="str">
        <f>IF($B484="","",IF(BA$3=0,"n.b.",INDEX(SRC_ZPMW03!$A$1:$ZZ$501,$A484,BA$3)))</f>
        <v/>
      </c>
      <c r="BB484" s="124" t="str">
        <f>IF($B484="","",IF(BB$3=0,"n.b.",INDEX(SRC_ZPMW03!$A$1:$ZZ$501,$A484,BB$3)))</f>
        <v/>
      </c>
      <c r="BC484" s="124" t="str">
        <f>IF($B484="","",IF(BC$3=0,"n.b.",INDEX(SRC_ZPMW03!$A$1:$ZZ$501,$A484,BC$3)))</f>
        <v/>
      </c>
      <c r="BD484" s="124" t="str">
        <f>IF($B484="","",IF(BD$3=0,"n.b.",INDEX(SRC_ZPMW03!$A$1:$ZZ$501,$A484,BD$3)))</f>
        <v/>
      </c>
      <c r="BE484" s="124" t="str">
        <f>IF($B484="","",IF(BE$3=0,"n.b.",INDEX(SRC_ZPMW03!$A$1:$ZZ$501,$A484,BE$3)))</f>
        <v/>
      </c>
      <c r="BF484" s="124" t="str">
        <f>IF($B484="","",IF(BF$3=0,"n.b.",INDEX(SRC_ZPMW03!$A$1:$ZZ$501,$A484,BF$3)))</f>
        <v/>
      </c>
      <c r="BG484" t="str">
        <f>IF($B484="","",IF(BG$3=0,"n.b.",INDEX(SRC_ZPMW03!$A$1:$ZZ$501,$A484,BG$3)))</f>
        <v/>
      </c>
      <c r="BH484" t="str">
        <f>IF($B484="","",IF(BH$3=0,"n.b.",INDEX(SRC_ZPMW03!$A$1:$ZZ$501,$A484,BH$3)))</f>
        <v/>
      </c>
      <c r="BI484" t="str">
        <f>IF($B484="","",IF(BI$3=0,"n.b.",INDEX(SRC_ZPMW03!$A$1:$ZZ$501,$A484,BI$3)))</f>
        <v/>
      </c>
      <c r="BJ484" t="str">
        <f>IF($B484="","",IF(BJ$3=0,"n.b.",INDEX(SRC_ZPMW03!$A$1:$ZZ$501,$A484,BJ$3)))</f>
        <v/>
      </c>
      <c r="BK484" s="124" t="str">
        <f>IF($B484="","",IFERROR(-O484,"n.b."))</f>
        <v/>
      </c>
      <c r="BL484" s="124" t="str">
        <f>IF($B484="","",IFERROR(-Q484,"n.b."))</f>
        <v/>
      </c>
      <c r="BM484" s="124" t="str">
        <f>IF($B484="","",IFERROR(-AB484,"n.b."))</f>
        <v/>
      </c>
      <c r="BN484" s="124" t="str">
        <f>IF($B484="","",IFERROR(-AD484,"n.b."))</f>
        <v/>
      </c>
      <c r="BO484" s="124" t="str">
        <f>IF($B484="","",IFERROR(BK484+BM484,"n.b."))</f>
        <v/>
      </c>
      <c r="BP484" s="124" t="str">
        <f>IF($B484="","",IFERROR(BL484+BN484,"n.b."))</f>
        <v/>
      </c>
      <c r="BQ484" s="124" t="str">
        <f>IF($B484="","",IFERROR(-AM484,"n.b."))</f>
        <v/>
      </c>
      <c r="BR484" s="124" t="str">
        <f>IF($B484="","",IFERROR(-AO484,"n.b."))</f>
        <v/>
      </c>
      <c r="BS484" s="124" t="str">
        <f>IF($B484="","",IFERROR(-Z484,"n.b."))</f>
        <v/>
      </c>
      <c r="BT484" s="124" t="str">
        <f>IF($B484="","",IFERROR(-AA484,"n.b."))</f>
        <v/>
      </c>
      <c r="BU484" s="124" t="str">
        <f>IF($B484="","",IFERROR(-AE484,"n.b."))</f>
        <v/>
      </c>
      <c r="BV484" s="124" t="str">
        <f>IF($B484="","",IFERROR(-AF484,"n.b."))</f>
        <v/>
      </c>
      <c r="BW484" s="124" t="str">
        <f>IF($B484="","",IFERROR(-AG484,"n.b."))</f>
        <v/>
      </c>
      <c r="BX484" s="124" t="str">
        <f>IF($B484="","",IFERROR(-AH484,"n.b."))</f>
        <v/>
      </c>
      <c r="BY484" s="124" t="str">
        <f>IF($B484="","",IFERROR(-AI484,"n.b."))</f>
        <v/>
      </c>
      <c r="BZ484" s="124" t="str">
        <f>IF($B484="","",IFERROR(-AJ484,"n.b."))</f>
        <v/>
      </c>
      <c r="CA484" s="124" t="str">
        <f>IF($B484="","",IFERROR(-AK484,"n.b."))</f>
        <v/>
      </c>
      <c r="CB484" s="124" t="str">
        <f>IF($B484="","",IFERROR(-AL484,"n.b."))</f>
        <v/>
      </c>
      <c r="CC484" s="124" t="str">
        <f>IF($B484="","",IFERROR(-AP484,"n.b."))</f>
        <v/>
      </c>
      <c r="CD484" s="124" t="str">
        <f>IF($B484="","",IFERROR(-AQ484,"n.b."))</f>
        <v/>
      </c>
      <c r="CE484" s="124" t="str">
        <f>IF($B484="","",IFERROR(-AR484,"n.b."))</f>
        <v/>
      </c>
      <c r="CF484" s="124" t="str">
        <f>IF($B484="","",IFERROR(-AS484,"n.b."))</f>
        <v/>
      </c>
      <c r="CG484" s="124" t="str">
        <f>IF($B484="","",IFERROR(-AT484,"n.b."))</f>
        <v/>
      </c>
      <c r="CH484" s="124" t="str">
        <f>IF($B484="","",IFERROR(-AU484,"n.b."))</f>
        <v/>
      </c>
      <c r="CI484" s="124" t="str">
        <f>IF($B484="","",IFERROR(-AV484,"n.b."))</f>
        <v/>
      </c>
      <c r="CJ484" s="124" t="str">
        <f>IF($B484="","",IFERROR(-AW484,"n.b."))</f>
        <v/>
      </c>
      <c r="CK484" s="124" t="str">
        <f>IF($B484="","",IFERROR(-AX484,"n.b."))</f>
        <v/>
      </c>
      <c r="CL484" s="124" t="str">
        <f>IF($B484="","",IFERROR(-AY484,"n.b."))</f>
        <v/>
      </c>
      <c r="CM484" s="124" t="str">
        <f>IF($B484="","",IFERROR(-AZ484,"n.b."))</f>
        <v/>
      </c>
      <c r="CN484" s="124" t="str">
        <f>IF($B484="","",IFERROR(-BA484,"n.b."))</f>
        <v/>
      </c>
      <c r="CO484" s="124" t="str">
        <f>IF($B484="","",IFERROR(-BB484,"n.b."))</f>
        <v/>
      </c>
      <c r="CP484" s="124" t="str">
        <f>IF($B484="","",IFERROR(-BC484,"n.b."))</f>
        <v/>
      </c>
      <c r="CQ484" s="124" t="str">
        <f>IF($B484="","",IFERROR(-BD484,"n.b."))</f>
        <v/>
      </c>
      <c r="CR484" s="124" t="str">
        <f>IF($B484="","",IFERROR(-BE484,"n.b."))</f>
        <v/>
      </c>
      <c r="CS484" s="124" t="str">
        <f>IF($B484="","",IFERROR(IF(OR(ABS(T484+V484+X484+Z484-AB484)&gt;P_Tol,ABS(U484+W484+Y484+AA484-AD484)&gt;P_Tol,ABS(AE484+AG484+AI484+AK484-AM484)&gt;P_Tol,ABS(AF484+AH484+AJ484+AL484-AO484)&gt;P_Tol),1,0),1))</f>
        <v/>
      </c>
      <c r="CT484" s="124" t="str">
        <f>IF($B484="","",IFERROR(IF(OR(ABS(AB484+AC484-AD484)&gt;P_Tol,ABS(AM484+AN484-AO484)&gt;P_Tol,ABS(O484+P484-Q484)&gt;P_Tol),1,0),1))</f>
        <v/>
      </c>
      <c r="CU484" s="124" t="str">
        <f>IF($B484="","",IFERROR(IF(ABS(R484-(AB484+AM484+AP484+AR484+AT484+AV484+AX484+AZ484+BB484+BD484))&gt;P_Tol,1,0),1))</f>
        <v/>
      </c>
      <c r="CV484" s="124" t="str">
        <f>IF($B484="","",IFERROR(IF(ABS(M484-(N484+O484+R484))&gt;P_Tol,1,0),1))</f>
        <v/>
      </c>
      <c r="CW484" s="124" t="str">
        <f>IF($B484="","",IF(COUNTIF(Mapping!$A$5:$A$104,B484)&gt;0,1,0))</f>
        <v/>
      </c>
      <c r="CX484" s="124" t="str">
        <f>IF($B484="","",COUNTIF($B$6:$B$505,B484))</f>
        <v/>
      </c>
      <c r="CY484" s="124" t="str">
        <f>IF($B484="","",COUNTIF(STG_Woningetalage!$B$6:$B$505,B484))</f>
        <v/>
      </c>
      <c r="CZ484" s="124" t="str">
        <f>IF($B484="","",IF(CW484=0,COUNTIF($CW$6:CW484,0),""))</f>
        <v/>
      </c>
    </row>
    <row r="485">
      <c r="A485" s="15" t="n">
        <v>481</v>
      </c>
      <c r="B485" t="str">
        <f>IF(B$3=0,"",IF(INDEX(SRC_ZPMW03!$A$1:$ZZ$501,$A485,B$3)&amp;""="","",INDEX(SRC_ZPMW03!$A$1:$ZZ$501,$A485,B$3)&amp;""))</f>
        <v/>
      </c>
      <c r="C485" t="str">
        <f>IF($B485="","",IF(C$3=0,"n.b.",INDEX(SRC_ZPMW03!$A$1:$ZZ$501,$A485,C$3)))</f>
        <v/>
      </c>
      <c r="D485" t="str">
        <f>IF($B485="","",IF(D$3=0,"n.b.",INDEX(SRC_ZPMW03!$A$1:$ZZ$501,$A485,D$3)))</f>
        <v/>
      </c>
      <c r="E485" t="str">
        <f>IF($B485="","",IF(E$3=0,"n.b.",INDEX(SRC_ZPMW03!$A$1:$ZZ$501,$A485,E$3)))</f>
        <v/>
      </c>
      <c r="F485" t="str">
        <f>IF($B485="","",IF(F$3=0,"n.b.",INDEX(SRC_ZPMW03!$A$1:$ZZ$501,$A485,F$3)))</f>
        <v/>
      </c>
      <c r="G485" t="str">
        <f>IF($B485="","",IF(G$3=0,"n.b.",INDEX(SRC_ZPMW03!$A$1:$ZZ$501,$A485,G$3)))</f>
        <v/>
      </c>
      <c r="H485" t="str">
        <f>IF($B485="","",IF(H$3=0,"n.b.",INDEX(SRC_ZPMW03!$A$1:$ZZ$501,$A485,H$3)))</f>
        <v/>
      </c>
      <c r="I485" t="str">
        <f>IF($B485="","",IF(I$3=0,"n.b.",INDEX(SRC_ZPMW03!$A$1:$ZZ$501,$A485,I$3)))</f>
        <v/>
      </c>
      <c r="J485" t="str">
        <f>IF($B485="","",IF(J$3=0,"n.b.",INDEX(SRC_ZPMW03!$A$1:$ZZ$501,$A485,J$3)))</f>
        <v/>
      </c>
      <c r="K485" t="str">
        <f>IF($B485="","",IF(K$3=0,"n.b.",INDEX(SRC_ZPMW03!$A$1:$ZZ$501,$A485,K$3)))</f>
        <v/>
      </c>
      <c r="L485" s="124" t="str">
        <f>IF($B485="","",IF(L$3=0,"n.b.",INDEX(SRC_ZPMW03!$A$1:$ZZ$501,$A485,L$3)))</f>
        <v/>
      </c>
      <c r="M485" s="124" t="str">
        <f>IF($B485="","",IF(M$3=0,"n.b.",INDEX(SRC_ZPMW03!$A$1:$ZZ$501,$A485,M$3)))</f>
        <v/>
      </c>
      <c r="N485" s="124" t="str">
        <f>IF($B485="","",IF(N$3=0,"n.b.",INDEX(SRC_ZPMW03!$A$1:$ZZ$501,$A485,N$3)))</f>
        <v/>
      </c>
      <c r="O485" s="124" t="str">
        <f>IF($B485="","",IF(O$3=0,"n.b.",INDEX(SRC_ZPMW03!$A$1:$ZZ$501,$A485,O$3)))</f>
        <v/>
      </c>
      <c r="P485" s="124" t="str">
        <f>IF($B485="","",IF(P$3=0,"n.b.",INDEX(SRC_ZPMW03!$A$1:$ZZ$501,$A485,P$3)))</f>
        <v/>
      </c>
      <c r="Q485" s="124" t="str">
        <f>IF($B485="","",IF(Q$3=0,"n.b.",INDEX(SRC_ZPMW03!$A$1:$ZZ$501,$A485,Q$3)))</f>
        <v/>
      </c>
      <c r="R485" s="124" t="str">
        <f>IF($B485="","",IF(R$3=0,"n.b.",INDEX(SRC_ZPMW03!$A$1:$ZZ$501,$A485,R$3)))</f>
        <v/>
      </c>
      <c r="S485" s="124" t="str">
        <f>IF($B485="","",IF(S$3=0,"n.b.",INDEX(SRC_ZPMW03!$A$1:$ZZ$501,$A485,S$3)))</f>
        <v/>
      </c>
      <c r="T485" s="124" t="str">
        <f>IF($B485="","",IF(T$3=0,"n.b.",INDEX(SRC_ZPMW03!$A$1:$ZZ$501,$A485,T$3)))</f>
        <v/>
      </c>
      <c r="U485" s="124" t="str">
        <f>IF($B485="","",IF(U$3=0,"n.b.",INDEX(SRC_ZPMW03!$A$1:$ZZ$501,$A485,U$3)))</f>
        <v/>
      </c>
      <c r="V485" s="124" t="str">
        <f>IF($B485="","",IF(V$3=0,"n.b.",INDEX(SRC_ZPMW03!$A$1:$ZZ$501,$A485,V$3)))</f>
        <v/>
      </c>
      <c r="W485" s="124" t="str">
        <f>IF($B485="","",IF(W$3=0,"n.b.",INDEX(SRC_ZPMW03!$A$1:$ZZ$501,$A485,W$3)))</f>
        <v/>
      </c>
      <c r="X485" s="124" t="str">
        <f>IF($B485="","",IF(X$3=0,"n.b.",INDEX(SRC_ZPMW03!$A$1:$ZZ$501,$A485,X$3)))</f>
        <v/>
      </c>
      <c r="Y485" s="124" t="str">
        <f>IF($B485="","",IF(Y$3=0,"n.b.",INDEX(SRC_ZPMW03!$A$1:$ZZ$501,$A485,Y$3)))</f>
        <v/>
      </c>
      <c r="Z485" s="124" t="str">
        <f>IF($B485="","",IF(Z$3=0,"n.b.",INDEX(SRC_ZPMW03!$A$1:$ZZ$501,$A485,Z$3)))</f>
        <v/>
      </c>
      <c r="AA485" s="124" t="str">
        <f>IF($B485="","",IF(AA$3=0,"n.b.",INDEX(SRC_ZPMW03!$A$1:$ZZ$501,$A485,AA$3)))</f>
        <v/>
      </c>
      <c r="AB485" s="124" t="str">
        <f>IF($B485="","",IF(AB$3=0,"n.b.",INDEX(SRC_ZPMW03!$A$1:$ZZ$501,$A485,AB$3)))</f>
        <v/>
      </c>
      <c r="AC485" s="124" t="str">
        <f>IF($B485="","",IF(AC$3=0,"n.b.",INDEX(SRC_ZPMW03!$A$1:$ZZ$501,$A485,AC$3)))</f>
        <v/>
      </c>
      <c r="AD485" s="124" t="str">
        <f>IF($B485="","",IF(AD$3=0,"n.b.",INDEX(SRC_ZPMW03!$A$1:$ZZ$501,$A485,AD$3)))</f>
        <v/>
      </c>
      <c r="AE485" s="124" t="str">
        <f>IF($B485="","",IF(AE$3=0,"n.b.",INDEX(SRC_ZPMW03!$A$1:$ZZ$501,$A485,AE$3)))</f>
        <v/>
      </c>
      <c r="AF485" s="124" t="str">
        <f>IF($B485="","",IF(AF$3=0,"n.b.",INDEX(SRC_ZPMW03!$A$1:$ZZ$501,$A485,AF$3)))</f>
        <v/>
      </c>
      <c r="AG485" s="124" t="str">
        <f>IF($B485="","",IF(AG$3=0,"n.b.",INDEX(SRC_ZPMW03!$A$1:$ZZ$501,$A485,AG$3)))</f>
        <v/>
      </c>
      <c r="AH485" s="124" t="str">
        <f>IF($B485="","",IF(AH$3=0,"n.b.",INDEX(SRC_ZPMW03!$A$1:$ZZ$501,$A485,AH$3)))</f>
        <v/>
      </c>
      <c r="AI485" s="124" t="str">
        <f>IF($B485="","",IF(AI$3=0,"n.b.",INDEX(SRC_ZPMW03!$A$1:$ZZ$501,$A485,AI$3)))</f>
        <v/>
      </c>
      <c r="AJ485" s="124" t="str">
        <f>IF($B485="","",IF(AJ$3=0,"n.b.",INDEX(SRC_ZPMW03!$A$1:$ZZ$501,$A485,AJ$3)))</f>
        <v/>
      </c>
      <c r="AK485" s="124" t="str">
        <f>IF($B485="","",IF(AK$3=0,"n.b.",INDEX(SRC_ZPMW03!$A$1:$ZZ$501,$A485,AK$3)))</f>
        <v/>
      </c>
      <c r="AL485" s="124" t="str">
        <f>IF($B485="","",IF(AL$3=0,"n.b.",INDEX(SRC_ZPMW03!$A$1:$ZZ$501,$A485,AL$3)))</f>
        <v/>
      </c>
      <c r="AM485" s="124" t="str">
        <f>IF($B485="","",IF(AM$3=0,"n.b.",INDEX(SRC_ZPMW03!$A$1:$ZZ$501,$A485,AM$3)))</f>
        <v/>
      </c>
      <c r="AN485" s="124" t="str">
        <f>IF($B485="","",IF(AN$3=0,"n.b.",INDEX(SRC_ZPMW03!$A$1:$ZZ$501,$A485,AN$3)))</f>
        <v/>
      </c>
      <c r="AO485" s="124" t="str">
        <f>IF($B485="","",IF(AO$3=0,"n.b.",INDEX(SRC_ZPMW03!$A$1:$ZZ$501,$A485,AO$3)))</f>
        <v/>
      </c>
      <c r="AP485" s="124" t="str">
        <f>IF($B485="","",IF(AP$3=0,"n.b.",INDEX(SRC_ZPMW03!$A$1:$ZZ$501,$A485,AP$3)))</f>
        <v/>
      </c>
      <c r="AQ485" s="124" t="str">
        <f>IF($B485="","",IF(AQ$3=0,"n.b.",INDEX(SRC_ZPMW03!$A$1:$ZZ$501,$A485,AQ$3)))</f>
        <v/>
      </c>
      <c r="AR485" s="124" t="str">
        <f>IF($B485="","",IF(AR$3=0,"n.b.",INDEX(SRC_ZPMW03!$A$1:$ZZ$501,$A485,AR$3)))</f>
        <v/>
      </c>
      <c r="AS485" s="124" t="str">
        <f>IF($B485="","",IF(AS$3=0,"n.b.",INDEX(SRC_ZPMW03!$A$1:$ZZ$501,$A485,AS$3)))</f>
        <v/>
      </c>
      <c r="AT485" s="124" t="str">
        <f>IF($B485="","",IF(AT$3=0,"n.b.",INDEX(SRC_ZPMW03!$A$1:$ZZ$501,$A485,AT$3)))</f>
        <v/>
      </c>
      <c r="AU485" s="124" t="str">
        <f>IF($B485="","",IF(AU$3=0,"n.b.",INDEX(SRC_ZPMW03!$A$1:$ZZ$501,$A485,AU$3)))</f>
        <v/>
      </c>
      <c r="AV485" s="124" t="str">
        <f>IF($B485="","",IF(AV$3=0,"n.b.",INDEX(SRC_ZPMW03!$A$1:$ZZ$501,$A485,AV$3)))</f>
        <v/>
      </c>
      <c r="AW485" s="124" t="str">
        <f>IF($B485="","",IF(AW$3=0,"n.b.",INDEX(SRC_ZPMW03!$A$1:$ZZ$501,$A485,AW$3)))</f>
        <v/>
      </c>
      <c r="AX485" s="124" t="str">
        <f>IF($B485="","",IF(AX$3=0,"n.b.",INDEX(SRC_ZPMW03!$A$1:$ZZ$501,$A485,AX$3)))</f>
        <v/>
      </c>
      <c r="AY485" s="124" t="str">
        <f>IF($B485="","",IF(AY$3=0,"n.b.",INDEX(SRC_ZPMW03!$A$1:$ZZ$501,$A485,AY$3)))</f>
        <v/>
      </c>
      <c r="AZ485" s="124" t="str">
        <f>IF($B485="","",IF(AZ$3=0,"n.b.",INDEX(SRC_ZPMW03!$A$1:$ZZ$501,$A485,AZ$3)))</f>
        <v/>
      </c>
      <c r="BA485" s="124" t="str">
        <f>IF($B485="","",IF(BA$3=0,"n.b.",INDEX(SRC_ZPMW03!$A$1:$ZZ$501,$A485,BA$3)))</f>
        <v/>
      </c>
      <c r="BB485" s="124" t="str">
        <f>IF($B485="","",IF(BB$3=0,"n.b.",INDEX(SRC_ZPMW03!$A$1:$ZZ$501,$A485,BB$3)))</f>
        <v/>
      </c>
      <c r="BC485" s="124" t="str">
        <f>IF($B485="","",IF(BC$3=0,"n.b.",INDEX(SRC_ZPMW03!$A$1:$ZZ$501,$A485,BC$3)))</f>
        <v/>
      </c>
      <c r="BD485" s="124" t="str">
        <f>IF($B485="","",IF(BD$3=0,"n.b.",INDEX(SRC_ZPMW03!$A$1:$ZZ$501,$A485,BD$3)))</f>
        <v/>
      </c>
      <c r="BE485" s="124" t="str">
        <f>IF($B485="","",IF(BE$3=0,"n.b.",INDEX(SRC_ZPMW03!$A$1:$ZZ$501,$A485,BE$3)))</f>
        <v/>
      </c>
      <c r="BF485" s="124" t="str">
        <f>IF($B485="","",IF(BF$3=0,"n.b.",INDEX(SRC_ZPMW03!$A$1:$ZZ$501,$A485,BF$3)))</f>
        <v/>
      </c>
      <c r="BG485" t="str">
        <f>IF($B485="","",IF(BG$3=0,"n.b.",INDEX(SRC_ZPMW03!$A$1:$ZZ$501,$A485,BG$3)))</f>
        <v/>
      </c>
      <c r="BH485" t="str">
        <f>IF($B485="","",IF(BH$3=0,"n.b.",INDEX(SRC_ZPMW03!$A$1:$ZZ$501,$A485,BH$3)))</f>
        <v/>
      </c>
      <c r="BI485" t="str">
        <f>IF($B485="","",IF(BI$3=0,"n.b.",INDEX(SRC_ZPMW03!$A$1:$ZZ$501,$A485,BI$3)))</f>
        <v/>
      </c>
      <c r="BJ485" t="str">
        <f>IF($B485="","",IF(BJ$3=0,"n.b.",INDEX(SRC_ZPMW03!$A$1:$ZZ$501,$A485,BJ$3)))</f>
        <v/>
      </c>
      <c r="BK485" s="124" t="str">
        <f>IF($B485="","",IFERROR(-O485,"n.b."))</f>
        <v/>
      </c>
      <c r="BL485" s="124" t="str">
        <f>IF($B485="","",IFERROR(-Q485,"n.b."))</f>
        <v/>
      </c>
      <c r="BM485" s="124" t="str">
        <f>IF($B485="","",IFERROR(-AB485,"n.b."))</f>
        <v/>
      </c>
      <c r="BN485" s="124" t="str">
        <f>IF($B485="","",IFERROR(-AD485,"n.b."))</f>
        <v/>
      </c>
      <c r="BO485" s="124" t="str">
        <f>IF($B485="","",IFERROR(BK485+BM485,"n.b."))</f>
        <v/>
      </c>
      <c r="BP485" s="124" t="str">
        <f>IF($B485="","",IFERROR(BL485+BN485,"n.b."))</f>
        <v/>
      </c>
      <c r="BQ485" s="124" t="str">
        <f>IF($B485="","",IFERROR(-AM485,"n.b."))</f>
        <v/>
      </c>
      <c r="BR485" s="124" t="str">
        <f>IF($B485="","",IFERROR(-AO485,"n.b."))</f>
        <v/>
      </c>
      <c r="BS485" s="124" t="str">
        <f>IF($B485="","",IFERROR(-Z485,"n.b."))</f>
        <v/>
      </c>
      <c r="BT485" s="124" t="str">
        <f>IF($B485="","",IFERROR(-AA485,"n.b."))</f>
        <v/>
      </c>
      <c r="BU485" s="124" t="str">
        <f>IF($B485="","",IFERROR(-AE485,"n.b."))</f>
        <v/>
      </c>
      <c r="BV485" s="124" t="str">
        <f>IF($B485="","",IFERROR(-AF485,"n.b."))</f>
        <v/>
      </c>
      <c r="BW485" s="124" t="str">
        <f>IF($B485="","",IFERROR(-AG485,"n.b."))</f>
        <v/>
      </c>
      <c r="BX485" s="124" t="str">
        <f>IF($B485="","",IFERROR(-AH485,"n.b."))</f>
        <v/>
      </c>
      <c r="BY485" s="124" t="str">
        <f>IF($B485="","",IFERROR(-AI485,"n.b."))</f>
        <v/>
      </c>
      <c r="BZ485" s="124" t="str">
        <f>IF($B485="","",IFERROR(-AJ485,"n.b."))</f>
        <v/>
      </c>
      <c r="CA485" s="124" t="str">
        <f>IF($B485="","",IFERROR(-AK485,"n.b."))</f>
        <v/>
      </c>
      <c r="CB485" s="124" t="str">
        <f>IF($B485="","",IFERROR(-AL485,"n.b."))</f>
        <v/>
      </c>
      <c r="CC485" s="124" t="str">
        <f>IF($B485="","",IFERROR(-AP485,"n.b."))</f>
        <v/>
      </c>
      <c r="CD485" s="124" t="str">
        <f>IF($B485="","",IFERROR(-AQ485,"n.b."))</f>
        <v/>
      </c>
      <c r="CE485" s="124" t="str">
        <f>IF($B485="","",IFERROR(-AR485,"n.b."))</f>
        <v/>
      </c>
      <c r="CF485" s="124" t="str">
        <f>IF($B485="","",IFERROR(-AS485,"n.b."))</f>
        <v/>
      </c>
      <c r="CG485" s="124" t="str">
        <f>IF($B485="","",IFERROR(-AT485,"n.b."))</f>
        <v/>
      </c>
      <c r="CH485" s="124" t="str">
        <f>IF($B485="","",IFERROR(-AU485,"n.b."))</f>
        <v/>
      </c>
      <c r="CI485" s="124" t="str">
        <f>IF($B485="","",IFERROR(-AV485,"n.b."))</f>
        <v/>
      </c>
      <c r="CJ485" s="124" t="str">
        <f>IF($B485="","",IFERROR(-AW485,"n.b."))</f>
        <v/>
      </c>
      <c r="CK485" s="124" t="str">
        <f>IF($B485="","",IFERROR(-AX485,"n.b."))</f>
        <v/>
      </c>
      <c r="CL485" s="124" t="str">
        <f>IF($B485="","",IFERROR(-AY485,"n.b."))</f>
        <v/>
      </c>
      <c r="CM485" s="124" t="str">
        <f>IF($B485="","",IFERROR(-AZ485,"n.b."))</f>
        <v/>
      </c>
      <c r="CN485" s="124" t="str">
        <f>IF($B485="","",IFERROR(-BA485,"n.b."))</f>
        <v/>
      </c>
      <c r="CO485" s="124" t="str">
        <f>IF($B485="","",IFERROR(-BB485,"n.b."))</f>
        <v/>
      </c>
      <c r="CP485" s="124" t="str">
        <f>IF($B485="","",IFERROR(-BC485,"n.b."))</f>
        <v/>
      </c>
      <c r="CQ485" s="124" t="str">
        <f>IF($B485="","",IFERROR(-BD485,"n.b."))</f>
        <v/>
      </c>
      <c r="CR485" s="124" t="str">
        <f>IF($B485="","",IFERROR(-BE485,"n.b."))</f>
        <v/>
      </c>
      <c r="CS485" s="124" t="str">
        <f>IF($B485="","",IFERROR(IF(OR(ABS(T485+V485+X485+Z485-AB485)&gt;P_Tol,ABS(U485+W485+Y485+AA485-AD485)&gt;P_Tol,ABS(AE485+AG485+AI485+AK485-AM485)&gt;P_Tol,ABS(AF485+AH485+AJ485+AL485-AO485)&gt;P_Tol),1,0),1))</f>
        <v/>
      </c>
      <c r="CT485" s="124" t="str">
        <f>IF($B485="","",IFERROR(IF(OR(ABS(AB485+AC485-AD485)&gt;P_Tol,ABS(AM485+AN485-AO485)&gt;P_Tol,ABS(O485+P485-Q485)&gt;P_Tol),1,0),1))</f>
        <v/>
      </c>
      <c r="CU485" s="124" t="str">
        <f>IF($B485="","",IFERROR(IF(ABS(R485-(AB485+AM485+AP485+AR485+AT485+AV485+AX485+AZ485+BB485+BD485))&gt;P_Tol,1,0),1))</f>
        <v/>
      </c>
      <c r="CV485" s="124" t="str">
        <f>IF($B485="","",IFERROR(IF(ABS(M485-(N485+O485+R485))&gt;P_Tol,1,0),1))</f>
        <v/>
      </c>
      <c r="CW485" s="124" t="str">
        <f>IF($B485="","",IF(COUNTIF(Mapping!$A$5:$A$104,B485)&gt;0,1,0))</f>
        <v/>
      </c>
      <c r="CX485" s="124" t="str">
        <f>IF($B485="","",COUNTIF($B$6:$B$505,B485))</f>
        <v/>
      </c>
      <c r="CY485" s="124" t="str">
        <f>IF($B485="","",COUNTIF(STG_Woningetalage!$B$6:$B$505,B485))</f>
        <v/>
      </c>
      <c r="CZ485" s="124" t="str">
        <f>IF($B485="","",IF(CW485=0,COUNTIF($CW$6:CW485,0),""))</f>
        <v/>
      </c>
    </row>
    <row r="486">
      <c r="A486" s="15" t="n">
        <v>482</v>
      </c>
      <c r="B486" t="str">
        <f>IF(B$3=0,"",IF(INDEX(SRC_ZPMW03!$A$1:$ZZ$501,$A486,B$3)&amp;""="","",INDEX(SRC_ZPMW03!$A$1:$ZZ$501,$A486,B$3)&amp;""))</f>
        <v/>
      </c>
      <c r="C486" t="str">
        <f>IF($B486="","",IF(C$3=0,"n.b.",INDEX(SRC_ZPMW03!$A$1:$ZZ$501,$A486,C$3)))</f>
        <v/>
      </c>
      <c r="D486" t="str">
        <f>IF($B486="","",IF(D$3=0,"n.b.",INDEX(SRC_ZPMW03!$A$1:$ZZ$501,$A486,D$3)))</f>
        <v/>
      </c>
      <c r="E486" t="str">
        <f>IF($B486="","",IF(E$3=0,"n.b.",INDEX(SRC_ZPMW03!$A$1:$ZZ$501,$A486,E$3)))</f>
        <v/>
      </c>
      <c r="F486" t="str">
        <f>IF($B486="","",IF(F$3=0,"n.b.",INDEX(SRC_ZPMW03!$A$1:$ZZ$501,$A486,F$3)))</f>
        <v/>
      </c>
      <c r="G486" t="str">
        <f>IF($B486="","",IF(G$3=0,"n.b.",INDEX(SRC_ZPMW03!$A$1:$ZZ$501,$A486,G$3)))</f>
        <v/>
      </c>
      <c r="H486" t="str">
        <f>IF($B486="","",IF(H$3=0,"n.b.",INDEX(SRC_ZPMW03!$A$1:$ZZ$501,$A486,H$3)))</f>
        <v/>
      </c>
      <c r="I486" t="str">
        <f>IF($B486="","",IF(I$3=0,"n.b.",INDEX(SRC_ZPMW03!$A$1:$ZZ$501,$A486,I$3)))</f>
        <v/>
      </c>
      <c r="J486" t="str">
        <f>IF($B486="","",IF(J$3=0,"n.b.",INDEX(SRC_ZPMW03!$A$1:$ZZ$501,$A486,J$3)))</f>
        <v/>
      </c>
      <c r="K486" t="str">
        <f>IF($B486="","",IF(K$3=0,"n.b.",INDEX(SRC_ZPMW03!$A$1:$ZZ$501,$A486,K$3)))</f>
        <v/>
      </c>
      <c r="L486" s="124" t="str">
        <f>IF($B486="","",IF(L$3=0,"n.b.",INDEX(SRC_ZPMW03!$A$1:$ZZ$501,$A486,L$3)))</f>
        <v/>
      </c>
      <c r="M486" s="124" t="str">
        <f>IF($B486="","",IF(M$3=0,"n.b.",INDEX(SRC_ZPMW03!$A$1:$ZZ$501,$A486,M$3)))</f>
        <v/>
      </c>
      <c r="N486" s="124" t="str">
        <f>IF($B486="","",IF(N$3=0,"n.b.",INDEX(SRC_ZPMW03!$A$1:$ZZ$501,$A486,N$3)))</f>
        <v/>
      </c>
      <c r="O486" s="124" t="str">
        <f>IF($B486="","",IF(O$3=0,"n.b.",INDEX(SRC_ZPMW03!$A$1:$ZZ$501,$A486,O$3)))</f>
        <v/>
      </c>
      <c r="P486" s="124" t="str">
        <f>IF($B486="","",IF(P$3=0,"n.b.",INDEX(SRC_ZPMW03!$A$1:$ZZ$501,$A486,P$3)))</f>
        <v/>
      </c>
      <c r="Q486" s="124" t="str">
        <f>IF($B486="","",IF(Q$3=0,"n.b.",INDEX(SRC_ZPMW03!$A$1:$ZZ$501,$A486,Q$3)))</f>
        <v/>
      </c>
      <c r="R486" s="124" t="str">
        <f>IF($B486="","",IF(R$3=0,"n.b.",INDEX(SRC_ZPMW03!$A$1:$ZZ$501,$A486,R$3)))</f>
        <v/>
      </c>
      <c r="S486" s="124" t="str">
        <f>IF($B486="","",IF(S$3=0,"n.b.",INDEX(SRC_ZPMW03!$A$1:$ZZ$501,$A486,S$3)))</f>
        <v/>
      </c>
      <c r="T486" s="124" t="str">
        <f>IF($B486="","",IF(T$3=0,"n.b.",INDEX(SRC_ZPMW03!$A$1:$ZZ$501,$A486,T$3)))</f>
        <v/>
      </c>
      <c r="U486" s="124" t="str">
        <f>IF($B486="","",IF(U$3=0,"n.b.",INDEX(SRC_ZPMW03!$A$1:$ZZ$501,$A486,U$3)))</f>
        <v/>
      </c>
      <c r="V486" s="124" t="str">
        <f>IF($B486="","",IF(V$3=0,"n.b.",INDEX(SRC_ZPMW03!$A$1:$ZZ$501,$A486,V$3)))</f>
        <v/>
      </c>
      <c r="W486" s="124" t="str">
        <f>IF($B486="","",IF(W$3=0,"n.b.",INDEX(SRC_ZPMW03!$A$1:$ZZ$501,$A486,W$3)))</f>
        <v/>
      </c>
      <c r="X486" s="124" t="str">
        <f>IF($B486="","",IF(X$3=0,"n.b.",INDEX(SRC_ZPMW03!$A$1:$ZZ$501,$A486,X$3)))</f>
        <v/>
      </c>
      <c r="Y486" s="124" t="str">
        <f>IF($B486="","",IF(Y$3=0,"n.b.",INDEX(SRC_ZPMW03!$A$1:$ZZ$501,$A486,Y$3)))</f>
        <v/>
      </c>
      <c r="Z486" s="124" t="str">
        <f>IF($B486="","",IF(Z$3=0,"n.b.",INDEX(SRC_ZPMW03!$A$1:$ZZ$501,$A486,Z$3)))</f>
        <v/>
      </c>
      <c r="AA486" s="124" t="str">
        <f>IF($B486="","",IF(AA$3=0,"n.b.",INDEX(SRC_ZPMW03!$A$1:$ZZ$501,$A486,AA$3)))</f>
        <v/>
      </c>
      <c r="AB486" s="124" t="str">
        <f>IF($B486="","",IF(AB$3=0,"n.b.",INDEX(SRC_ZPMW03!$A$1:$ZZ$501,$A486,AB$3)))</f>
        <v/>
      </c>
      <c r="AC486" s="124" t="str">
        <f>IF($B486="","",IF(AC$3=0,"n.b.",INDEX(SRC_ZPMW03!$A$1:$ZZ$501,$A486,AC$3)))</f>
        <v/>
      </c>
      <c r="AD486" s="124" t="str">
        <f>IF($B486="","",IF(AD$3=0,"n.b.",INDEX(SRC_ZPMW03!$A$1:$ZZ$501,$A486,AD$3)))</f>
        <v/>
      </c>
      <c r="AE486" s="124" t="str">
        <f>IF($B486="","",IF(AE$3=0,"n.b.",INDEX(SRC_ZPMW03!$A$1:$ZZ$501,$A486,AE$3)))</f>
        <v/>
      </c>
      <c r="AF486" s="124" t="str">
        <f>IF($B486="","",IF(AF$3=0,"n.b.",INDEX(SRC_ZPMW03!$A$1:$ZZ$501,$A486,AF$3)))</f>
        <v/>
      </c>
      <c r="AG486" s="124" t="str">
        <f>IF($B486="","",IF(AG$3=0,"n.b.",INDEX(SRC_ZPMW03!$A$1:$ZZ$501,$A486,AG$3)))</f>
        <v/>
      </c>
      <c r="AH486" s="124" t="str">
        <f>IF($B486="","",IF(AH$3=0,"n.b.",INDEX(SRC_ZPMW03!$A$1:$ZZ$501,$A486,AH$3)))</f>
        <v/>
      </c>
      <c r="AI486" s="124" t="str">
        <f>IF($B486="","",IF(AI$3=0,"n.b.",INDEX(SRC_ZPMW03!$A$1:$ZZ$501,$A486,AI$3)))</f>
        <v/>
      </c>
      <c r="AJ486" s="124" t="str">
        <f>IF($B486="","",IF(AJ$3=0,"n.b.",INDEX(SRC_ZPMW03!$A$1:$ZZ$501,$A486,AJ$3)))</f>
        <v/>
      </c>
      <c r="AK486" s="124" t="str">
        <f>IF($B486="","",IF(AK$3=0,"n.b.",INDEX(SRC_ZPMW03!$A$1:$ZZ$501,$A486,AK$3)))</f>
        <v/>
      </c>
      <c r="AL486" s="124" t="str">
        <f>IF($B486="","",IF(AL$3=0,"n.b.",INDEX(SRC_ZPMW03!$A$1:$ZZ$501,$A486,AL$3)))</f>
        <v/>
      </c>
      <c r="AM486" s="124" t="str">
        <f>IF($B486="","",IF(AM$3=0,"n.b.",INDEX(SRC_ZPMW03!$A$1:$ZZ$501,$A486,AM$3)))</f>
        <v/>
      </c>
      <c r="AN486" s="124" t="str">
        <f>IF($B486="","",IF(AN$3=0,"n.b.",INDEX(SRC_ZPMW03!$A$1:$ZZ$501,$A486,AN$3)))</f>
        <v/>
      </c>
      <c r="AO486" s="124" t="str">
        <f>IF($B486="","",IF(AO$3=0,"n.b.",INDEX(SRC_ZPMW03!$A$1:$ZZ$501,$A486,AO$3)))</f>
        <v/>
      </c>
      <c r="AP486" s="124" t="str">
        <f>IF($B486="","",IF(AP$3=0,"n.b.",INDEX(SRC_ZPMW03!$A$1:$ZZ$501,$A486,AP$3)))</f>
        <v/>
      </c>
      <c r="AQ486" s="124" t="str">
        <f>IF($B486="","",IF(AQ$3=0,"n.b.",INDEX(SRC_ZPMW03!$A$1:$ZZ$501,$A486,AQ$3)))</f>
        <v/>
      </c>
      <c r="AR486" s="124" t="str">
        <f>IF($B486="","",IF(AR$3=0,"n.b.",INDEX(SRC_ZPMW03!$A$1:$ZZ$501,$A486,AR$3)))</f>
        <v/>
      </c>
      <c r="AS486" s="124" t="str">
        <f>IF($B486="","",IF(AS$3=0,"n.b.",INDEX(SRC_ZPMW03!$A$1:$ZZ$501,$A486,AS$3)))</f>
        <v/>
      </c>
      <c r="AT486" s="124" t="str">
        <f>IF($B486="","",IF(AT$3=0,"n.b.",INDEX(SRC_ZPMW03!$A$1:$ZZ$501,$A486,AT$3)))</f>
        <v/>
      </c>
      <c r="AU486" s="124" t="str">
        <f>IF($B486="","",IF(AU$3=0,"n.b.",INDEX(SRC_ZPMW03!$A$1:$ZZ$501,$A486,AU$3)))</f>
        <v/>
      </c>
      <c r="AV486" s="124" t="str">
        <f>IF($B486="","",IF(AV$3=0,"n.b.",INDEX(SRC_ZPMW03!$A$1:$ZZ$501,$A486,AV$3)))</f>
        <v/>
      </c>
      <c r="AW486" s="124" t="str">
        <f>IF($B486="","",IF(AW$3=0,"n.b.",INDEX(SRC_ZPMW03!$A$1:$ZZ$501,$A486,AW$3)))</f>
        <v/>
      </c>
      <c r="AX486" s="124" t="str">
        <f>IF($B486="","",IF(AX$3=0,"n.b.",INDEX(SRC_ZPMW03!$A$1:$ZZ$501,$A486,AX$3)))</f>
        <v/>
      </c>
      <c r="AY486" s="124" t="str">
        <f>IF($B486="","",IF(AY$3=0,"n.b.",INDEX(SRC_ZPMW03!$A$1:$ZZ$501,$A486,AY$3)))</f>
        <v/>
      </c>
      <c r="AZ486" s="124" t="str">
        <f>IF($B486="","",IF(AZ$3=0,"n.b.",INDEX(SRC_ZPMW03!$A$1:$ZZ$501,$A486,AZ$3)))</f>
        <v/>
      </c>
      <c r="BA486" s="124" t="str">
        <f>IF($B486="","",IF(BA$3=0,"n.b.",INDEX(SRC_ZPMW03!$A$1:$ZZ$501,$A486,BA$3)))</f>
        <v/>
      </c>
      <c r="BB486" s="124" t="str">
        <f>IF($B486="","",IF(BB$3=0,"n.b.",INDEX(SRC_ZPMW03!$A$1:$ZZ$501,$A486,BB$3)))</f>
        <v/>
      </c>
      <c r="BC486" s="124" t="str">
        <f>IF($B486="","",IF(BC$3=0,"n.b.",INDEX(SRC_ZPMW03!$A$1:$ZZ$501,$A486,BC$3)))</f>
        <v/>
      </c>
      <c r="BD486" s="124" t="str">
        <f>IF($B486="","",IF(BD$3=0,"n.b.",INDEX(SRC_ZPMW03!$A$1:$ZZ$501,$A486,BD$3)))</f>
        <v/>
      </c>
      <c r="BE486" s="124" t="str">
        <f>IF($B486="","",IF(BE$3=0,"n.b.",INDEX(SRC_ZPMW03!$A$1:$ZZ$501,$A486,BE$3)))</f>
        <v/>
      </c>
      <c r="BF486" s="124" t="str">
        <f>IF($B486="","",IF(BF$3=0,"n.b.",INDEX(SRC_ZPMW03!$A$1:$ZZ$501,$A486,BF$3)))</f>
        <v/>
      </c>
      <c r="BG486" t="str">
        <f>IF($B486="","",IF(BG$3=0,"n.b.",INDEX(SRC_ZPMW03!$A$1:$ZZ$501,$A486,BG$3)))</f>
        <v/>
      </c>
      <c r="BH486" t="str">
        <f>IF($B486="","",IF(BH$3=0,"n.b.",INDEX(SRC_ZPMW03!$A$1:$ZZ$501,$A486,BH$3)))</f>
        <v/>
      </c>
      <c r="BI486" t="str">
        <f>IF($B486="","",IF(BI$3=0,"n.b.",INDEX(SRC_ZPMW03!$A$1:$ZZ$501,$A486,BI$3)))</f>
        <v/>
      </c>
      <c r="BJ486" t="str">
        <f>IF($B486="","",IF(BJ$3=0,"n.b.",INDEX(SRC_ZPMW03!$A$1:$ZZ$501,$A486,BJ$3)))</f>
        <v/>
      </c>
      <c r="BK486" s="124" t="str">
        <f>IF($B486="","",IFERROR(-O486,"n.b."))</f>
        <v/>
      </c>
      <c r="BL486" s="124" t="str">
        <f>IF($B486="","",IFERROR(-Q486,"n.b."))</f>
        <v/>
      </c>
      <c r="BM486" s="124" t="str">
        <f>IF($B486="","",IFERROR(-AB486,"n.b."))</f>
        <v/>
      </c>
      <c r="BN486" s="124" t="str">
        <f>IF($B486="","",IFERROR(-AD486,"n.b."))</f>
        <v/>
      </c>
      <c r="BO486" s="124" t="str">
        <f>IF($B486="","",IFERROR(BK486+BM486,"n.b."))</f>
        <v/>
      </c>
      <c r="BP486" s="124" t="str">
        <f>IF($B486="","",IFERROR(BL486+BN486,"n.b."))</f>
        <v/>
      </c>
      <c r="BQ486" s="124" t="str">
        <f>IF($B486="","",IFERROR(-AM486,"n.b."))</f>
        <v/>
      </c>
      <c r="BR486" s="124" t="str">
        <f>IF($B486="","",IFERROR(-AO486,"n.b."))</f>
        <v/>
      </c>
      <c r="BS486" s="124" t="str">
        <f>IF($B486="","",IFERROR(-Z486,"n.b."))</f>
        <v/>
      </c>
      <c r="BT486" s="124" t="str">
        <f>IF($B486="","",IFERROR(-AA486,"n.b."))</f>
        <v/>
      </c>
      <c r="BU486" s="124" t="str">
        <f>IF($B486="","",IFERROR(-AE486,"n.b."))</f>
        <v/>
      </c>
      <c r="BV486" s="124" t="str">
        <f>IF($B486="","",IFERROR(-AF486,"n.b."))</f>
        <v/>
      </c>
      <c r="BW486" s="124" t="str">
        <f>IF($B486="","",IFERROR(-AG486,"n.b."))</f>
        <v/>
      </c>
      <c r="BX486" s="124" t="str">
        <f>IF($B486="","",IFERROR(-AH486,"n.b."))</f>
        <v/>
      </c>
      <c r="BY486" s="124" t="str">
        <f>IF($B486="","",IFERROR(-AI486,"n.b."))</f>
        <v/>
      </c>
      <c r="BZ486" s="124" t="str">
        <f>IF($B486="","",IFERROR(-AJ486,"n.b."))</f>
        <v/>
      </c>
      <c r="CA486" s="124" t="str">
        <f>IF($B486="","",IFERROR(-AK486,"n.b."))</f>
        <v/>
      </c>
      <c r="CB486" s="124" t="str">
        <f>IF($B486="","",IFERROR(-AL486,"n.b."))</f>
        <v/>
      </c>
      <c r="CC486" s="124" t="str">
        <f>IF($B486="","",IFERROR(-AP486,"n.b."))</f>
        <v/>
      </c>
      <c r="CD486" s="124" t="str">
        <f>IF($B486="","",IFERROR(-AQ486,"n.b."))</f>
        <v/>
      </c>
      <c r="CE486" s="124" t="str">
        <f>IF($B486="","",IFERROR(-AR486,"n.b."))</f>
        <v/>
      </c>
      <c r="CF486" s="124" t="str">
        <f>IF($B486="","",IFERROR(-AS486,"n.b."))</f>
        <v/>
      </c>
      <c r="CG486" s="124" t="str">
        <f>IF($B486="","",IFERROR(-AT486,"n.b."))</f>
        <v/>
      </c>
      <c r="CH486" s="124" t="str">
        <f>IF($B486="","",IFERROR(-AU486,"n.b."))</f>
        <v/>
      </c>
      <c r="CI486" s="124" t="str">
        <f>IF($B486="","",IFERROR(-AV486,"n.b."))</f>
        <v/>
      </c>
      <c r="CJ486" s="124" t="str">
        <f>IF($B486="","",IFERROR(-AW486,"n.b."))</f>
        <v/>
      </c>
      <c r="CK486" s="124" t="str">
        <f>IF($B486="","",IFERROR(-AX486,"n.b."))</f>
        <v/>
      </c>
      <c r="CL486" s="124" t="str">
        <f>IF($B486="","",IFERROR(-AY486,"n.b."))</f>
        <v/>
      </c>
      <c r="CM486" s="124" t="str">
        <f>IF($B486="","",IFERROR(-AZ486,"n.b."))</f>
        <v/>
      </c>
      <c r="CN486" s="124" t="str">
        <f>IF($B486="","",IFERROR(-BA486,"n.b."))</f>
        <v/>
      </c>
      <c r="CO486" s="124" t="str">
        <f>IF($B486="","",IFERROR(-BB486,"n.b."))</f>
        <v/>
      </c>
      <c r="CP486" s="124" t="str">
        <f>IF($B486="","",IFERROR(-BC486,"n.b."))</f>
        <v/>
      </c>
      <c r="CQ486" s="124" t="str">
        <f>IF($B486="","",IFERROR(-BD486,"n.b."))</f>
        <v/>
      </c>
      <c r="CR486" s="124" t="str">
        <f>IF($B486="","",IFERROR(-BE486,"n.b."))</f>
        <v/>
      </c>
      <c r="CS486" s="124" t="str">
        <f>IF($B486="","",IFERROR(IF(OR(ABS(T486+V486+X486+Z486-AB486)&gt;P_Tol,ABS(U486+W486+Y486+AA486-AD486)&gt;P_Tol,ABS(AE486+AG486+AI486+AK486-AM486)&gt;P_Tol,ABS(AF486+AH486+AJ486+AL486-AO486)&gt;P_Tol),1,0),1))</f>
        <v/>
      </c>
      <c r="CT486" s="124" t="str">
        <f>IF($B486="","",IFERROR(IF(OR(ABS(AB486+AC486-AD486)&gt;P_Tol,ABS(AM486+AN486-AO486)&gt;P_Tol,ABS(O486+P486-Q486)&gt;P_Tol),1,0),1))</f>
        <v/>
      </c>
      <c r="CU486" s="124" t="str">
        <f>IF($B486="","",IFERROR(IF(ABS(R486-(AB486+AM486+AP486+AR486+AT486+AV486+AX486+AZ486+BB486+BD486))&gt;P_Tol,1,0),1))</f>
        <v/>
      </c>
      <c r="CV486" s="124" t="str">
        <f>IF($B486="","",IFERROR(IF(ABS(M486-(N486+O486+R486))&gt;P_Tol,1,0),1))</f>
        <v/>
      </c>
      <c r="CW486" s="124" t="str">
        <f>IF($B486="","",IF(COUNTIF(Mapping!$A$5:$A$104,B486)&gt;0,1,0))</f>
        <v/>
      </c>
      <c r="CX486" s="124" t="str">
        <f>IF($B486="","",COUNTIF($B$6:$B$505,B486))</f>
        <v/>
      </c>
      <c r="CY486" s="124" t="str">
        <f>IF($B486="","",COUNTIF(STG_Woningetalage!$B$6:$B$505,B486))</f>
        <v/>
      </c>
      <c r="CZ486" s="124" t="str">
        <f>IF($B486="","",IF(CW486=0,COUNTIF($CW$6:CW486,0),""))</f>
        <v/>
      </c>
    </row>
    <row r="487">
      <c r="A487" s="15" t="n">
        <v>483</v>
      </c>
      <c r="B487" t="str">
        <f>IF(B$3=0,"",IF(INDEX(SRC_ZPMW03!$A$1:$ZZ$501,$A487,B$3)&amp;""="","",INDEX(SRC_ZPMW03!$A$1:$ZZ$501,$A487,B$3)&amp;""))</f>
        <v/>
      </c>
      <c r="C487" t="str">
        <f>IF($B487="","",IF(C$3=0,"n.b.",INDEX(SRC_ZPMW03!$A$1:$ZZ$501,$A487,C$3)))</f>
        <v/>
      </c>
      <c r="D487" t="str">
        <f>IF($B487="","",IF(D$3=0,"n.b.",INDEX(SRC_ZPMW03!$A$1:$ZZ$501,$A487,D$3)))</f>
        <v/>
      </c>
      <c r="E487" t="str">
        <f>IF($B487="","",IF(E$3=0,"n.b.",INDEX(SRC_ZPMW03!$A$1:$ZZ$501,$A487,E$3)))</f>
        <v/>
      </c>
      <c r="F487" t="str">
        <f>IF($B487="","",IF(F$3=0,"n.b.",INDEX(SRC_ZPMW03!$A$1:$ZZ$501,$A487,F$3)))</f>
        <v/>
      </c>
      <c r="G487" t="str">
        <f>IF($B487="","",IF(G$3=0,"n.b.",INDEX(SRC_ZPMW03!$A$1:$ZZ$501,$A487,G$3)))</f>
        <v/>
      </c>
      <c r="H487" t="str">
        <f>IF($B487="","",IF(H$3=0,"n.b.",INDEX(SRC_ZPMW03!$A$1:$ZZ$501,$A487,H$3)))</f>
        <v/>
      </c>
      <c r="I487" t="str">
        <f>IF($B487="","",IF(I$3=0,"n.b.",INDEX(SRC_ZPMW03!$A$1:$ZZ$501,$A487,I$3)))</f>
        <v/>
      </c>
      <c r="J487" t="str">
        <f>IF($B487="","",IF(J$3=0,"n.b.",INDEX(SRC_ZPMW03!$A$1:$ZZ$501,$A487,J$3)))</f>
        <v/>
      </c>
      <c r="K487" t="str">
        <f>IF($B487="","",IF(K$3=0,"n.b.",INDEX(SRC_ZPMW03!$A$1:$ZZ$501,$A487,K$3)))</f>
        <v/>
      </c>
      <c r="L487" s="124" t="str">
        <f>IF($B487="","",IF(L$3=0,"n.b.",INDEX(SRC_ZPMW03!$A$1:$ZZ$501,$A487,L$3)))</f>
        <v/>
      </c>
      <c r="M487" s="124" t="str">
        <f>IF($B487="","",IF(M$3=0,"n.b.",INDEX(SRC_ZPMW03!$A$1:$ZZ$501,$A487,M$3)))</f>
        <v/>
      </c>
      <c r="N487" s="124" t="str">
        <f>IF($B487="","",IF(N$3=0,"n.b.",INDEX(SRC_ZPMW03!$A$1:$ZZ$501,$A487,N$3)))</f>
        <v/>
      </c>
      <c r="O487" s="124" t="str">
        <f>IF($B487="","",IF(O$3=0,"n.b.",INDEX(SRC_ZPMW03!$A$1:$ZZ$501,$A487,O$3)))</f>
        <v/>
      </c>
      <c r="P487" s="124" t="str">
        <f>IF($B487="","",IF(P$3=0,"n.b.",INDEX(SRC_ZPMW03!$A$1:$ZZ$501,$A487,P$3)))</f>
        <v/>
      </c>
      <c r="Q487" s="124" t="str">
        <f>IF($B487="","",IF(Q$3=0,"n.b.",INDEX(SRC_ZPMW03!$A$1:$ZZ$501,$A487,Q$3)))</f>
        <v/>
      </c>
      <c r="R487" s="124" t="str">
        <f>IF($B487="","",IF(R$3=0,"n.b.",INDEX(SRC_ZPMW03!$A$1:$ZZ$501,$A487,R$3)))</f>
        <v/>
      </c>
      <c r="S487" s="124" t="str">
        <f>IF($B487="","",IF(S$3=0,"n.b.",INDEX(SRC_ZPMW03!$A$1:$ZZ$501,$A487,S$3)))</f>
        <v/>
      </c>
      <c r="T487" s="124" t="str">
        <f>IF($B487="","",IF(T$3=0,"n.b.",INDEX(SRC_ZPMW03!$A$1:$ZZ$501,$A487,T$3)))</f>
        <v/>
      </c>
      <c r="U487" s="124" t="str">
        <f>IF($B487="","",IF(U$3=0,"n.b.",INDEX(SRC_ZPMW03!$A$1:$ZZ$501,$A487,U$3)))</f>
        <v/>
      </c>
      <c r="V487" s="124" t="str">
        <f>IF($B487="","",IF(V$3=0,"n.b.",INDEX(SRC_ZPMW03!$A$1:$ZZ$501,$A487,V$3)))</f>
        <v/>
      </c>
      <c r="W487" s="124" t="str">
        <f>IF($B487="","",IF(W$3=0,"n.b.",INDEX(SRC_ZPMW03!$A$1:$ZZ$501,$A487,W$3)))</f>
        <v/>
      </c>
      <c r="X487" s="124" t="str">
        <f>IF($B487="","",IF(X$3=0,"n.b.",INDEX(SRC_ZPMW03!$A$1:$ZZ$501,$A487,X$3)))</f>
        <v/>
      </c>
      <c r="Y487" s="124" t="str">
        <f>IF($B487="","",IF(Y$3=0,"n.b.",INDEX(SRC_ZPMW03!$A$1:$ZZ$501,$A487,Y$3)))</f>
        <v/>
      </c>
      <c r="Z487" s="124" t="str">
        <f>IF($B487="","",IF(Z$3=0,"n.b.",INDEX(SRC_ZPMW03!$A$1:$ZZ$501,$A487,Z$3)))</f>
        <v/>
      </c>
      <c r="AA487" s="124" t="str">
        <f>IF($B487="","",IF(AA$3=0,"n.b.",INDEX(SRC_ZPMW03!$A$1:$ZZ$501,$A487,AA$3)))</f>
        <v/>
      </c>
      <c r="AB487" s="124" t="str">
        <f>IF($B487="","",IF(AB$3=0,"n.b.",INDEX(SRC_ZPMW03!$A$1:$ZZ$501,$A487,AB$3)))</f>
        <v/>
      </c>
      <c r="AC487" s="124" t="str">
        <f>IF($B487="","",IF(AC$3=0,"n.b.",INDEX(SRC_ZPMW03!$A$1:$ZZ$501,$A487,AC$3)))</f>
        <v/>
      </c>
      <c r="AD487" s="124" t="str">
        <f>IF($B487="","",IF(AD$3=0,"n.b.",INDEX(SRC_ZPMW03!$A$1:$ZZ$501,$A487,AD$3)))</f>
        <v/>
      </c>
      <c r="AE487" s="124" t="str">
        <f>IF($B487="","",IF(AE$3=0,"n.b.",INDEX(SRC_ZPMW03!$A$1:$ZZ$501,$A487,AE$3)))</f>
        <v/>
      </c>
      <c r="AF487" s="124" t="str">
        <f>IF($B487="","",IF(AF$3=0,"n.b.",INDEX(SRC_ZPMW03!$A$1:$ZZ$501,$A487,AF$3)))</f>
        <v/>
      </c>
      <c r="AG487" s="124" t="str">
        <f>IF($B487="","",IF(AG$3=0,"n.b.",INDEX(SRC_ZPMW03!$A$1:$ZZ$501,$A487,AG$3)))</f>
        <v/>
      </c>
      <c r="AH487" s="124" t="str">
        <f>IF($B487="","",IF(AH$3=0,"n.b.",INDEX(SRC_ZPMW03!$A$1:$ZZ$501,$A487,AH$3)))</f>
        <v/>
      </c>
      <c r="AI487" s="124" t="str">
        <f>IF($B487="","",IF(AI$3=0,"n.b.",INDEX(SRC_ZPMW03!$A$1:$ZZ$501,$A487,AI$3)))</f>
        <v/>
      </c>
      <c r="AJ487" s="124" t="str">
        <f>IF($B487="","",IF(AJ$3=0,"n.b.",INDEX(SRC_ZPMW03!$A$1:$ZZ$501,$A487,AJ$3)))</f>
        <v/>
      </c>
      <c r="AK487" s="124" t="str">
        <f>IF($B487="","",IF(AK$3=0,"n.b.",INDEX(SRC_ZPMW03!$A$1:$ZZ$501,$A487,AK$3)))</f>
        <v/>
      </c>
      <c r="AL487" s="124" t="str">
        <f>IF($B487="","",IF(AL$3=0,"n.b.",INDEX(SRC_ZPMW03!$A$1:$ZZ$501,$A487,AL$3)))</f>
        <v/>
      </c>
      <c r="AM487" s="124" t="str">
        <f>IF($B487="","",IF(AM$3=0,"n.b.",INDEX(SRC_ZPMW03!$A$1:$ZZ$501,$A487,AM$3)))</f>
        <v/>
      </c>
      <c r="AN487" s="124" t="str">
        <f>IF($B487="","",IF(AN$3=0,"n.b.",INDEX(SRC_ZPMW03!$A$1:$ZZ$501,$A487,AN$3)))</f>
        <v/>
      </c>
      <c r="AO487" s="124" t="str">
        <f>IF($B487="","",IF(AO$3=0,"n.b.",INDEX(SRC_ZPMW03!$A$1:$ZZ$501,$A487,AO$3)))</f>
        <v/>
      </c>
      <c r="AP487" s="124" t="str">
        <f>IF($B487="","",IF(AP$3=0,"n.b.",INDEX(SRC_ZPMW03!$A$1:$ZZ$501,$A487,AP$3)))</f>
        <v/>
      </c>
      <c r="AQ487" s="124" t="str">
        <f>IF($B487="","",IF(AQ$3=0,"n.b.",INDEX(SRC_ZPMW03!$A$1:$ZZ$501,$A487,AQ$3)))</f>
        <v/>
      </c>
      <c r="AR487" s="124" t="str">
        <f>IF($B487="","",IF(AR$3=0,"n.b.",INDEX(SRC_ZPMW03!$A$1:$ZZ$501,$A487,AR$3)))</f>
        <v/>
      </c>
      <c r="AS487" s="124" t="str">
        <f>IF($B487="","",IF(AS$3=0,"n.b.",INDEX(SRC_ZPMW03!$A$1:$ZZ$501,$A487,AS$3)))</f>
        <v/>
      </c>
      <c r="AT487" s="124" t="str">
        <f>IF($B487="","",IF(AT$3=0,"n.b.",INDEX(SRC_ZPMW03!$A$1:$ZZ$501,$A487,AT$3)))</f>
        <v/>
      </c>
      <c r="AU487" s="124" t="str">
        <f>IF($B487="","",IF(AU$3=0,"n.b.",INDEX(SRC_ZPMW03!$A$1:$ZZ$501,$A487,AU$3)))</f>
        <v/>
      </c>
      <c r="AV487" s="124" t="str">
        <f>IF($B487="","",IF(AV$3=0,"n.b.",INDEX(SRC_ZPMW03!$A$1:$ZZ$501,$A487,AV$3)))</f>
        <v/>
      </c>
      <c r="AW487" s="124" t="str">
        <f>IF($B487="","",IF(AW$3=0,"n.b.",INDEX(SRC_ZPMW03!$A$1:$ZZ$501,$A487,AW$3)))</f>
        <v/>
      </c>
      <c r="AX487" s="124" t="str">
        <f>IF($B487="","",IF(AX$3=0,"n.b.",INDEX(SRC_ZPMW03!$A$1:$ZZ$501,$A487,AX$3)))</f>
        <v/>
      </c>
      <c r="AY487" s="124" t="str">
        <f>IF($B487="","",IF(AY$3=0,"n.b.",INDEX(SRC_ZPMW03!$A$1:$ZZ$501,$A487,AY$3)))</f>
        <v/>
      </c>
      <c r="AZ487" s="124" t="str">
        <f>IF($B487="","",IF(AZ$3=0,"n.b.",INDEX(SRC_ZPMW03!$A$1:$ZZ$501,$A487,AZ$3)))</f>
        <v/>
      </c>
      <c r="BA487" s="124" t="str">
        <f>IF($B487="","",IF(BA$3=0,"n.b.",INDEX(SRC_ZPMW03!$A$1:$ZZ$501,$A487,BA$3)))</f>
        <v/>
      </c>
      <c r="BB487" s="124" t="str">
        <f>IF($B487="","",IF(BB$3=0,"n.b.",INDEX(SRC_ZPMW03!$A$1:$ZZ$501,$A487,BB$3)))</f>
        <v/>
      </c>
      <c r="BC487" s="124" t="str">
        <f>IF($B487="","",IF(BC$3=0,"n.b.",INDEX(SRC_ZPMW03!$A$1:$ZZ$501,$A487,BC$3)))</f>
        <v/>
      </c>
      <c r="BD487" s="124" t="str">
        <f>IF($B487="","",IF(BD$3=0,"n.b.",INDEX(SRC_ZPMW03!$A$1:$ZZ$501,$A487,BD$3)))</f>
        <v/>
      </c>
      <c r="BE487" s="124" t="str">
        <f>IF($B487="","",IF(BE$3=0,"n.b.",INDEX(SRC_ZPMW03!$A$1:$ZZ$501,$A487,BE$3)))</f>
        <v/>
      </c>
      <c r="BF487" s="124" t="str">
        <f>IF($B487="","",IF(BF$3=0,"n.b.",INDEX(SRC_ZPMW03!$A$1:$ZZ$501,$A487,BF$3)))</f>
        <v/>
      </c>
      <c r="BG487" t="str">
        <f>IF($B487="","",IF(BG$3=0,"n.b.",INDEX(SRC_ZPMW03!$A$1:$ZZ$501,$A487,BG$3)))</f>
        <v/>
      </c>
      <c r="BH487" t="str">
        <f>IF($B487="","",IF(BH$3=0,"n.b.",INDEX(SRC_ZPMW03!$A$1:$ZZ$501,$A487,BH$3)))</f>
        <v/>
      </c>
      <c r="BI487" t="str">
        <f>IF($B487="","",IF(BI$3=0,"n.b.",INDEX(SRC_ZPMW03!$A$1:$ZZ$501,$A487,BI$3)))</f>
        <v/>
      </c>
      <c r="BJ487" t="str">
        <f>IF($B487="","",IF(BJ$3=0,"n.b.",INDEX(SRC_ZPMW03!$A$1:$ZZ$501,$A487,BJ$3)))</f>
        <v/>
      </c>
      <c r="BK487" s="124" t="str">
        <f>IF($B487="","",IFERROR(-O487,"n.b."))</f>
        <v/>
      </c>
      <c r="BL487" s="124" t="str">
        <f>IF($B487="","",IFERROR(-Q487,"n.b."))</f>
        <v/>
      </c>
      <c r="BM487" s="124" t="str">
        <f>IF($B487="","",IFERROR(-AB487,"n.b."))</f>
        <v/>
      </c>
      <c r="BN487" s="124" t="str">
        <f>IF($B487="","",IFERROR(-AD487,"n.b."))</f>
        <v/>
      </c>
      <c r="BO487" s="124" t="str">
        <f>IF($B487="","",IFERROR(BK487+BM487,"n.b."))</f>
        <v/>
      </c>
      <c r="BP487" s="124" t="str">
        <f>IF($B487="","",IFERROR(BL487+BN487,"n.b."))</f>
        <v/>
      </c>
      <c r="BQ487" s="124" t="str">
        <f>IF($B487="","",IFERROR(-AM487,"n.b."))</f>
        <v/>
      </c>
      <c r="BR487" s="124" t="str">
        <f>IF($B487="","",IFERROR(-AO487,"n.b."))</f>
        <v/>
      </c>
      <c r="BS487" s="124" t="str">
        <f>IF($B487="","",IFERROR(-Z487,"n.b."))</f>
        <v/>
      </c>
      <c r="BT487" s="124" t="str">
        <f>IF($B487="","",IFERROR(-AA487,"n.b."))</f>
        <v/>
      </c>
      <c r="BU487" s="124" t="str">
        <f>IF($B487="","",IFERROR(-AE487,"n.b."))</f>
        <v/>
      </c>
      <c r="BV487" s="124" t="str">
        <f>IF($B487="","",IFERROR(-AF487,"n.b."))</f>
        <v/>
      </c>
      <c r="BW487" s="124" t="str">
        <f>IF($B487="","",IFERROR(-AG487,"n.b."))</f>
        <v/>
      </c>
      <c r="BX487" s="124" t="str">
        <f>IF($B487="","",IFERROR(-AH487,"n.b."))</f>
        <v/>
      </c>
      <c r="BY487" s="124" t="str">
        <f>IF($B487="","",IFERROR(-AI487,"n.b."))</f>
        <v/>
      </c>
      <c r="BZ487" s="124" t="str">
        <f>IF($B487="","",IFERROR(-AJ487,"n.b."))</f>
        <v/>
      </c>
      <c r="CA487" s="124" t="str">
        <f>IF($B487="","",IFERROR(-AK487,"n.b."))</f>
        <v/>
      </c>
      <c r="CB487" s="124" t="str">
        <f>IF($B487="","",IFERROR(-AL487,"n.b."))</f>
        <v/>
      </c>
      <c r="CC487" s="124" t="str">
        <f>IF($B487="","",IFERROR(-AP487,"n.b."))</f>
        <v/>
      </c>
      <c r="CD487" s="124" t="str">
        <f>IF($B487="","",IFERROR(-AQ487,"n.b."))</f>
        <v/>
      </c>
      <c r="CE487" s="124" t="str">
        <f>IF($B487="","",IFERROR(-AR487,"n.b."))</f>
        <v/>
      </c>
      <c r="CF487" s="124" t="str">
        <f>IF($B487="","",IFERROR(-AS487,"n.b."))</f>
        <v/>
      </c>
      <c r="CG487" s="124" t="str">
        <f>IF($B487="","",IFERROR(-AT487,"n.b."))</f>
        <v/>
      </c>
      <c r="CH487" s="124" t="str">
        <f>IF($B487="","",IFERROR(-AU487,"n.b."))</f>
        <v/>
      </c>
      <c r="CI487" s="124" t="str">
        <f>IF($B487="","",IFERROR(-AV487,"n.b."))</f>
        <v/>
      </c>
      <c r="CJ487" s="124" t="str">
        <f>IF($B487="","",IFERROR(-AW487,"n.b."))</f>
        <v/>
      </c>
      <c r="CK487" s="124" t="str">
        <f>IF($B487="","",IFERROR(-AX487,"n.b."))</f>
        <v/>
      </c>
      <c r="CL487" s="124" t="str">
        <f>IF($B487="","",IFERROR(-AY487,"n.b."))</f>
        <v/>
      </c>
      <c r="CM487" s="124" t="str">
        <f>IF($B487="","",IFERROR(-AZ487,"n.b."))</f>
        <v/>
      </c>
      <c r="CN487" s="124" t="str">
        <f>IF($B487="","",IFERROR(-BA487,"n.b."))</f>
        <v/>
      </c>
      <c r="CO487" s="124" t="str">
        <f>IF($B487="","",IFERROR(-BB487,"n.b."))</f>
        <v/>
      </c>
      <c r="CP487" s="124" t="str">
        <f>IF($B487="","",IFERROR(-BC487,"n.b."))</f>
        <v/>
      </c>
      <c r="CQ487" s="124" t="str">
        <f>IF($B487="","",IFERROR(-BD487,"n.b."))</f>
        <v/>
      </c>
      <c r="CR487" s="124" t="str">
        <f>IF($B487="","",IFERROR(-BE487,"n.b."))</f>
        <v/>
      </c>
      <c r="CS487" s="124" t="str">
        <f>IF($B487="","",IFERROR(IF(OR(ABS(T487+V487+X487+Z487-AB487)&gt;P_Tol,ABS(U487+W487+Y487+AA487-AD487)&gt;P_Tol,ABS(AE487+AG487+AI487+AK487-AM487)&gt;P_Tol,ABS(AF487+AH487+AJ487+AL487-AO487)&gt;P_Tol),1,0),1))</f>
        <v/>
      </c>
      <c r="CT487" s="124" t="str">
        <f>IF($B487="","",IFERROR(IF(OR(ABS(AB487+AC487-AD487)&gt;P_Tol,ABS(AM487+AN487-AO487)&gt;P_Tol,ABS(O487+P487-Q487)&gt;P_Tol),1,0),1))</f>
        <v/>
      </c>
      <c r="CU487" s="124" t="str">
        <f>IF($B487="","",IFERROR(IF(ABS(R487-(AB487+AM487+AP487+AR487+AT487+AV487+AX487+AZ487+BB487+BD487))&gt;P_Tol,1,0),1))</f>
        <v/>
      </c>
      <c r="CV487" s="124" t="str">
        <f>IF($B487="","",IFERROR(IF(ABS(M487-(N487+O487+R487))&gt;P_Tol,1,0),1))</f>
        <v/>
      </c>
      <c r="CW487" s="124" t="str">
        <f>IF($B487="","",IF(COUNTIF(Mapping!$A$5:$A$104,B487)&gt;0,1,0))</f>
        <v/>
      </c>
      <c r="CX487" s="124" t="str">
        <f>IF($B487="","",COUNTIF($B$6:$B$505,B487))</f>
        <v/>
      </c>
      <c r="CY487" s="124" t="str">
        <f>IF($B487="","",COUNTIF(STG_Woningetalage!$B$6:$B$505,B487))</f>
        <v/>
      </c>
      <c r="CZ487" s="124" t="str">
        <f>IF($B487="","",IF(CW487=0,COUNTIF($CW$6:CW487,0),""))</f>
        <v/>
      </c>
    </row>
    <row r="488">
      <c r="A488" s="15" t="n">
        <v>484</v>
      </c>
      <c r="B488" t="str">
        <f>IF(B$3=0,"",IF(INDEX(SRC_ZPMW03!$A$1:$ZZ$501,$A488,B$3)&amp;""="","",INDEX(SRC_ZPMW03!$A$1:$ZZ$501,$A488,B$3)&amp;""))</f>
        <v/>
      </c>
      <c r="C488" t="str">
        <f>IF($B488="","",IF(C$3=0,"n.b.",INDEX(SRC_ZPMW03!$A$1:$ZZ$501,$A488,C$3)))</f>
        <v/>
      </c>
      <c r="D488" t="str">
        <f>IF($B488="","",IF(D$3=0,"n.b.",INDEX(SRC_ZPMW03!$A$1:$ZZ$501,$A488,D$3)))</f>
        <v/>
      </c>
      <c r="E488" t="str">
        <f>IF($B488="","",IF(E$3=0,"n.b.",INDEX(SRC_ZPMW03!$A$1:$ZZ$501,$A488,E$3)))</f>
        <v/>
      </c>
      <c r="F488" t="str">
        <f>IF($B488="","",IF(F$3=0,"n.b.",INDEX(SRC_ZPMW03!$A$1:$ZZ$501,$A488,F$3)))</f>
        <v/>
      </c>
      <c r="G488" t="str">
        <f>IF($B488="","",IF(G$3=0,"n.b.",INDEX(SRC_ZPMW03!$A$1:$ZZ$501,$A488,G$3)))</f>
        <v/>
      </c>
      <c r="H488" t="str">
        <f>IF($B488="","",IF(H$3=0,"n.b.",INDEX(SRC_ZPMW03!$A$1:$ZZ$501,$A488,H$3)))</f>
        <v/>
      </c>
      <c r="I488" t="str">
        <f>IF($B488="","",IF(I$3=0,"n.b.",INDEX(SRC_ZPMW03!$A$1:$ZZ$501,$A488,I$3)))</f>
        <v/>
      </c>
      <c r="J488" t="str">
        <f>IF($B488="","",IF(J$3=0,"n.b.",INDEX(SRC_ZPMW03!$A$1:$ZZ$501,$A488,J$3)))</f>
        <v/>
      </c>
      <c r="K488" t="str">
        <f>IF($B488="","",IF(K$3=0,"n.b.",INDEX(SRC_ZPMW03!$A$1:$ZZ$501,$A488,K$3)))</f>
        <v/>
      </c>
      <c r="L488" s="124" t="str">
        <f>IF($B488="","",IF(L$3=0,"n.b.",INDEX(SRC_ZPMW03!$A$1:$ZZ$501,$A488,L$3)))</f>
        <v/>
      </c>
      <c r="M488" s="124" t="str">
        <f>IF($B488="","",IF(M$3=0,"n.b.",INDEX(SRC_ZPMW03!$A$1:$ZZ$501,$A488,M$3)))</f>
        <v/>
      </c>
      <c r="N488" s="124" t="str">
        <f>IF($B488="","",IF(N$3=0,"n.b.",INDEX(SRC_ZPMW03!$A$1:$ZZ$501,$A488,N$3)))</f>
        <v/>
      </c>
      <c r="O488" s="124" t="str">
        <f>IF($B488="","",IF(O$3=0,"n.b.",INDEX(SRC_ZPMW03!$A$1:$ZZ$501,$A488,O$3)))</f>
        <v/>
      </c>
      <c r="P488" s="124" t="str">
        <f>IF($B488="","",IF(P$3=0,"n.b.",INDEX(SRC_ZPMW03!$A$1:$ZZ$501,$A488,P$3)))</f>
        <v/>
      </c>
      <c r="Q488" s="124" t="str">
        <f>IF($B488="","",IF(Q$3=0,"n.b.",INDEX(SRC_ZPMW03!$A$1:$ZZ$501,$A488,Q$3)))</f>
        <v/>
      </c>
      <c r="R488" s="124" t="str">
        <f>IF($B488="","",IF(R$3=0,"n.b.",INDEX(SRC_ZPMW03!$A$1:$ZZ$501,$A488,R$3)))</f>
        <v/>
      </c>
      <c r="S488" s="124" t="str">
        <f>IF($B488="","",IF(S$3=0,"n.b.",INDEX(SRC_ZPMW03!$A$1:$ZZ$501,$A488,S$3)))</f>
        <v/>
      </c>
      <c r="T488" s="124" t="str">
        <f>IF($B488="","",IF(T$3=0,"n.b.",INDEX(SRC_ZPMW03!$A$1:$ZZ$501,$A488,T$3)))</f>
        <v/>
      </c>
      <c r="U488" s="124" t="str">
        <f>IF($B488="","",IF(U$3=0,"n.b.",INDEX(SRC_ZPMW03!$A$1:$ZZ$501,$A488,U$3)))</f>
        <v/>
      </c>
      <c r="V488" s="124" t="str">
        <f>IF($B488="","",IF(V$3=0,"n.b.",INDEX(SRC_ZPMW03!$A$1:$ZZ$501,$A488,V$3)))</f>
        <v/>
      </c>
      <c r="W488" s="124" t="str">
        <f>IF($B488="","",IF(W$3=0,"n.b.",INDEX(SRC_ZPMW03!$A$1:$ZZ$501,$A488,W$3)))</f>
        <v/>
      </c>
      <c r="X488" s="124" t="str">
        <f>IF($B488="","",IF(X$3=0,"n.b.",INDEX(SRC_ZPMW03!$A$1:$ZZ$501,$A488,X$3)))</f>
        <v/>
      </c>
      <c r="Y488" s="124" t="str">
        <f>IF($B488="","",IF(Y$3=0,"n.b.",INDEX(SRC_ZPMW03!$A$1:$ZZ$501,$A488,Y$3)))</f>
        <v/>
      </c>
      <c r="Z488" s="124" t="str">
        <f>IF($B488="","",IF(Z$3=0,"n.b.",INDEX(SRC_ZPMW03!$A$1:$ZZ$501,$A488,Z$3)))</f>
        <v/>
      </c>
      <c r="AA488" s="124" t="str">
        <f>IF($B488="","",IF(AA$3=0,"n.b.",INDEX(SRC_ZPMW03!$A$1:$ZZ$501,$A488,AA$3)))</f>
        <v/>
      </c>
      <c r="AB488" s="124" t="str">
        <f>IF($B488="","",IF(AB$3=0,"n.b.",INDEX(SRC_ZPMW03!$A$1:$ZZ$501,$A488,AB$3)))</f>
        <v/>
      </c>
      <c r="AC488" s="124" t="str">
        <f>IF($B488="","",IF(AC$3=0,"n.b.",INDEX(SRC_ZPMW03!$A$1:$ZZ$501,$A488,AC$3)))</f>
        <v/>
      </c>
      <c r="AD488" s="124" t="str">
        <f>IF($B488="","",IF(AD$3=0,"n.b.",INDEX(SRC_ZPMW03!$A$1:$ZZ$501,$A488,AD$3)))</f>
        <v/>
      </c>
      <c r="AE488" s="124" t="str">
        <f>IF($B488="","",IF(AE$3=0,"n.b.",INDEX(SRC_ZPMW03!$A$1:$ZZ$501,$A488,AE$3)))</f>
        <v/>
      </c>
      <c r="AF488" s="124" t="str">
        <f>IF($B488="","",IF(AF$3=0,"n.b.",INDEX(SRC_ZPMW03!$A$1:$ZZ$501,$A488,AF$3)))</f>
        <v/>
      </c>
      <c r="AG488" s="124" t="str">
        <f>IF($B488="","",IF(AG$3=0,"n.b.",INDEX(SRC_ZPMW03!$A$1:$ZZ$501,$A488,AG$3)))</f>
        <v/>
      </c>
      <c r="AH488" s="124" t="str">
        <f>IF($B488="","",IF(AH$3=0,"n.b.",INDEX(SRC_ZPMW03!$A$1:$ZZ$501,$A488,AH$3)))</f>
        <v/>
      </c>
      <c r="AI488" s="124" t="str">
        <f>IF($B488="","",IF(AI$3=0,"n.b.",INDEX(SRC_ZPMW03!$A$1:$ZZ$501,$A488,AI$3)))</f>
        <v/>
      </c>
      <c r="AJ488" s="124" t="str">
        <f>IF($B488="","",IF(AJ$3=0,"n.b.",INDEX(SRC_ZPMW03!$A$1:$ZZ$501,$A488,AJ$3)))</f>
        <v/>
      </c>
      <c r="AK488" s="124" t="str">
        <f>IF($B488="","",IF(AK$3=0,"n.b.",INDEX(SRC_ZPMW03!$A$1:$ZZ$501,$A488,AK$3)))</f>
        <v/>
      </c>
      <c r="AL488" s="124" t="str">
        <f>IF($B488="","",IF(AL$3=0,"n.b.",INDEX(SRC_ZPMW03!$A$1:$ZZ$501,$A488,AL$3)))</f>
        <v/>
      </c>
      <c r="AM488" s="124" t="str">
        <f>IF($B488="","",IF(AM$3=0,"n.b.",INDEX(SRC_ZPMW03!$A$1:$ZZ$501,$A488,AM$3)))</f>
        <v/>
      </c>
      <c r="AN488" s="124" t="str">
        <f>IF($B488="","",IF(AN$3=0,"n.b.",INDEX(SRC_ZPMW03!$A$1:$ZZ$501,$A488,AN$3)))</f>
        <v/>
      </c>
      <c r="AO488" s="124" t="str">
        <f>IF($B488="","",IF(AO$3=0,"n.b.",INDEX(SRC_ZPMW03!$A$1:$ZZ$501,$A488,AO$3)))</f>
        <v/>
      </c>
      <c r="AP488" s="124" t="str">
        <f>IF($B488="","",IF(AP$3=0,"n.b.",INDEX(SRC_ZPMW03!$A$1:$ZZ$501,$A488,AP$3)))</f>
        <v/>
      </c>
      <c r="AQ488" s="124" t="str">
        <f>IF($B488="","",IF(AQ$3=0,"n.b.",INDEX(SRC_ZPMW03!$A$1:$ZZ$501,$A488,AQ$3)))</f>
        <v/>
      </c>
      <c r="AR488" s="124" t="str">
        <f>IF($B488="","",IF(AR$3=0,"n.b.",INDEX(SRC_ZPMW03!$A$1:$ZZ$501,$A488,AR$3)))</f>
        <v/>
      </c>
      <c r="AS488" s="124" t="str">
        <f>IF($B488="","",IF(AS$3=0,"n.b.",INDEX(SRC_ZPMW03!$A$1:$ZZ$501,$A488,AS$3)))</f>
        <v/>
      </c>
      <c r="AT488" s="124" t="str">
        <f>IF($B488="","",IF(AT$3=0,"n.b.",INDEX(SRC_ZPMW03!$A$1:$ZZ$501,$A488,AT$3)))</f>
        <v/>
      </c>
      <c r="AU488" s="124" t="str">
        <f>IF($B488="","",IF(AU$3=0,"n.b.",INDEX(SRC_ZPMW03!$A$1:$ZZ$501,$A488,AU$3)))</f>
        <v/>
      </c>
      <c r="AV488" s="124" t="str">
        <f>IF($B488="","",IF(AV$3=0,"n.b.",INDEX(SRC_ZPMW03!$A$1:$ZZ$501,$A488,AV$3)))</f>
        <v/>
      </c>
      <c r="AW488" s="124" t="str">
        <f>IF($B488="","",IF(AW$3=0,"n.b.",INDEX(SRC_ZPMW03!$A$1:$ZZ$501,$A488,AW$3)))</f>
        <v/>
      </c>
      <c r="AX488" s="124" t="str">
        <f>IF($B488="","",IF(AX$3=0,"n.b.",INDEX(SRC_ZPMW03!$A$1:$ZZ$501,$A488,AX$3)))</f>
        <v/>
      </c>
      <c r="AY488" s="124" t="str">
        <f>IF($B488="","",IF(AY$3=0,"n.b.",INDEX(SRC_ZPMW03!$A$1:$ZZ$501,$A488,AY$3)))</f>
        <v/>
      </c>
      <c r="AZ488" s="124" t="str">
        <f>IF($B488="","",IF(AZ$3=0,"n.b.",INDEX(SRC_ZPMW03!$A$1:$ZZ$501,$A488,AZ$3)))</f>
        <v/>
      </c>
      <c r="BA488" s="124" t="str">
        <f>IF($B488="","",IF(BA$3=0,"n.b.",INDEX(SRC_ZPMW03!$A$1:$ZZ$501,$A488,BA$3)))</f>
        <v/>
      </c>
      <c r="BB488" s="124" t="str">
        <f>IF($B488="","",IF(BB$3=0,"n.b.",INDEX(SRC_ZPMW03!$A$1:$ZZ$501,$A488,BB$3)))</f>
        <v/>
      </c>
      <c r="BC488" s="124" t="str">
        <f>IF($B488="","",IF(BC$3=0,"n.b.",INDEX(SRC_ZPMW03!$A$1:$ZZ$501,$A488,BC$3)))</f>
        <v/>
      </c>
      <c r="BD488" s="124" t="str">
        <f>IF($B488="","",IF(BD$3=0,"n.b.",INDEX(SRC_ZPMW03!$A$1:$ZZ$501,$A488,BD$3)))</f>
        <v/>
      </c>
      <c r="BE488" s="124" t="str">
        <f>IF($B488="","",IF(BE$3=0,"n.b.",INDEX(SRC_ZPMW03!$A$1:$ZZ$501,$A488,BE$3)))</f>
        <v/>
      </c>
      <c r="BF488" s="124" t="str">
        <f>IF($B488="","",IF(BF$3=0,"n.b.",INDEX(SRC_ZPMW03!$A$1:$ZZ$501,$A488,BF$3)))</f>
        <v/>
      </c>
      <c r="BG488" t="str">
        <f>IF($B488="","",IF(BG$3=0,"n.b.",INDEX(SRC_ZPMW03!$A$1:$ZZ$501,$A488,BG$3)))</f>
        <v/>
      </c>
      <c r="BH488" t="str">
        <f>IF($B488="","",IF(BH$3=0,"n.b.",INDEX(SRC_ZPMW03!$A$1:$ZZ$501,$A488,BH$3)))</f>
        <v/>
      </c>
      <c r="BI488" t="str">
        <f>IF($B488="","",IF(BI$3=0,"n.b.",INDEX(SRC_ZPMW03!$A$1:$ZZ$501,$A488,BI$3)))</f>
        <v/>
      </c>
      <c r="BJ488" t="str">
        <f>IF($B488="","",IF(BJ$3=0,"n.b.",INDEX(SRC_ZPMW03!$A$1:$ZZ$501,$A488,BJ$3)))</f>
        <v/>
      </c>
      <c r="BK488" s="124" t="str">
        <f>IF($B488="","",IFERROR(-O488,"n.b."))</f>
        <v/>
      </c>
      <c r="BL488" s="124" t="str">
        <f>IF($B488="","",IFERROR(-Q488,"n.b."))</f>
        <v/>
      </c>
      <c r="BM488" s="124" t="str">
        <f>IF($B488="","",IFERROR(-AB488,"n.b."))</f>
        <v/>
      </c>
      <c r="BN488" s="124" t="str">
        <f>IF($B488="","",IFERROR(-AD488,"n.b."))</f>
        <v/>
      </c>
      <c r="BO488" s="124" t="str">
        <f>IF($B488="","",IFERROR(BK488+BM488,"n.b."))</f>
        <v/>
      </c>
      <c r="BP488" s="124" t="str">
        <f>IF($B488="","",IFERROR(BL488+BN488,"n.b."))</f>
        <v/>
      </c>
      <c r="BQ488" s="124" t="str">
        <f>IF($B488="","",IFERROR(-AM488,"n.b."))</f>
        <v/>
      </c>
      <c r="BR488" s="124" t="str">
        <f>IF($B488="","",IFERROR(-AO488,"n.b."))</f>
        <v/>
      </c>
      <c r="BS488" s="124" t="str">
        <f>IF($B488="","",IFERROR(-Z488,"n.b."))</f>
        <v/>
      </c>
      <c r="BT488" s="124" t="str">
        <f>IF($B488="","",IFERROR(-AA488,"n.b."))</f>
        <v/>
      </c>
      <c r="BU488" s="124" t="str">
        <f>IF($B488="","",IFERROR(-AE488,"n.b."))</f>
        <v/>
      </c>
      <c r="BV488" s="124" t="str">
        <f>IF($B488="","",IFERROR(-AF488,"n.b."))</f>
        <v/>
      </c>
      <c r="BW488" s="124" t="str">
        <f>IF($B488="","",IFERROR(-AG488,"n.b."))</f>
        <v/>
      </c>
      <c r="BX488" s="124" t="str">
        <f>IF($B488="","",IFERROR(-AH488,"n.b."))</f>
        <v/>
      </c>
      <c r="BY488" s="124" t="str">
        <f>IF($B488="","",IFERROR(-AI488,"n.b."))</f>
        <v/>
      </c>
      <c r="BZ488" s="124" t="str">
        <f>IF($B488="","",IFERROR(-AJ488,"n.b."))</f>
        <v/>
      </c>
      <c r="CA488" s="124" t="str">
        <f>IF($B488="","",IFERROR(-AK488,"n.b."))</f>
        <v/>
      </c>
      <c r="CB488" s="124" t="str">
        <f>IF($B488="","",IFERROR(-AL488,"n.b."))</f>
        <v/>
      </c>
      <c r="CC488" s="124" t="str">
        <f>IF($B488="","",IFERROR(-AP488,"n.b."))</f>
        <v/>
      </c>
      <c r="CD488" s="124" t="str">
        <f>IF($B488="","",IFERROR(-AQ488,"n.b."))</f>
        <v/>
      </c>
      <c r="CE488" s="124" t="str">
        <f>IF($B488="","",IFERROR(-AR488,"n.b."))</f>
        <v/>
      </c>
      <c r="CF488" s="124" t="str">
        <f>IF($B488="","",IFERROR(-AS488,"n.b."))</f>
        <v/>
      </c>
      <c r="CG488" s="124" t="str">
        <f>IF($B488="","",IFERROR(-AT488,"n.b."))</f>
        <v/>
      </c>
      <c r="CH488" s="124" t="str">
        <f>IF($B488="","",IFERROR(-AU488,"n.b."))</f>
        <v/>
      </c>
      <c r="CI488" s="124" t="str">
        <f>IF($B488="","",IFERROR(-AV488,"n.b."))</f>
        <v/>
      </c>
      <c r="CJ488" s="124" t="str">
        <f>IF($B488="","",IFERROR(-AW488,"n.b."))</f>
        <v/>
      </c>
      <c r="CK488" s="124" t="str">
        <f>IF($B488="","",IFERROR(-AX488,"n.b."))</f>
        <v/>
      </c>
      <c r="CL488" s="124" t="str">
        <f>IF($B488="","",IFERROR(-AY488,"n.b."))</f>
        <v/>
      </c>
      <c r="CM488" s="124" t="str">
        <f>IF($B488="","",IFERROR(-AZ488,"n.b."))</f>
        <v/>
      </c>
      <c r="CN488" s="124" t="str">
        <f>IF($B488="","",IFERROR(-BA488,"n.b."))</f>
        <v/>
      </c>
      <c r="CO488" s="124" t="str">
        <f>IF($B488="","",IFERROR(-BB488,"n.b."))</f>
        <v/>
      </c>
      <c r="CP488" s="124" t="str">
        <f>IF($B488="","",IFERROR(-BC488,"n.b."))</f>
        <v/>
      </c>
      <c r="CQ488" s="124" t="str">
        <f>IF($B488="","",IFERROR(-BD488,"n.b."))</f>
        <v/>
      </c>
      <c r="CR488" s="124" t="str">
        <f>IF($B488="","",IFERROR(-BE488,"n.b."))</f>
        <v/>
      </c>
      <c r="CS488" s="124" t="str">
        <f>IF($B488="","",IFERROR(IF(OR(ABS(T488+V488+X488+Z488-AB488)&gt;P_Tol,ABS(U488+W488+Y488+AA488-AD488)&gt;P_Tol,ABS(AE488+AG488+AI488+AK488-AM488)&gt;P_Tol,ABS(AF488+AH488+AJ488+AL488-AO488)&gt;P_Tol),1,0),1))</f>
        <v/>
      </c>
      <c r="CT488" s="124" t="str">
        <f>IF($B488="","",IFERROR(IF(OR(ABS(AB488+AC488-AD488)&gt;P_Tol,ABS(AM488+AN488-AO488)&gt;P_Tol,ABS(O488+P488-Q488)&gt;P_Tol),1,0),1))</f>
        <v/>
      </c>
      <c r="CU488" s="124" t="str">
        <f>IF($B488="","",IFERROR(IF(ABS(R488-(AB488+AM488+AP488+AR488+AT488+AV488+AX488+AZ488+BB488+BD488))&gt;P_Tol,1,0),1))</f>
        <v/>
      </c>
      <c r="CV488" s="124" t="str">
        <f>IF($B488="","",IFERROR(IF(ABS(M488-(N488+O488+R488))&gt;P_Tol,1,0),1))</f>
        <v/>
      </c>
      <c r="CW488" s="124" t="str">
        <f>IF($B488="","",IF(COUNTIF(Mapping!$A$5:$A$104,B488)&gt;0,1,0))</f>
        <v/>
      </c>
      <c r="CX488" s="124" t="str">
        <f>IF($B488="","",COUNTIF($B$6:$B$505,B488))</f>
        <v/>
      </c>
      <c r="CY488" s="124" t="str">
        <f>IF($B488="","",COUNTIF(STG_Woningetalage!$B$6:$B$505,B488))</f>
        <v/>
      </c>
      <c r="CZ488" s="124" t="str">
        <f>IF($B488="","",IF(CW488=0,COUNTIF($CW$6:CW488,0),""))</f>
        <v/>
      </c>
    </row>
    <row r="489">
      <c r="A489" s="15" t="n">
        <v>485</v>
      </c>
      <c r="B489" t="str">
        <f>IF(B$3=0,"",IF(INDEX(SRC_ZPMW03!$A$1:$ZZ$501,$A489,B$3)&amp;""="","",INDEX(SRC_ZPMW03!$A$1:$ZZ$501,$A489,B$3)&amp;""))</f>
        <v/>
      </c>
      <c r="C489" t="str">
        <f>IF($B489="","",IF(C$3=0,"n.b.",INDEX(SRC_ZPMW03!$A$1:$ZZ$501,$A489,C$3)))</f>
        <v/>
      </c>
      <c r="D489" t="str">
        <f>IF($B489="","",IF(D$3=0,"n.b.",INDEX(SRC_ZPMW03!$A$1:$ZZ$501,$A489,D$3)))</f>
        <v/>
      </c>
      <c r="E489" t="str">
        <f>IF($B489="","",IF(E$3=0,"n.b.",INDEX(SRC_ZPMW03!$A$1:$ZZ$501,$A489,E$3)))</f>
        <v/>
      </c>
      <c r="F489" t="str">
        <f>IF($B489="","",IF(F$3=0,"n.b.",INDEX(SRC_ZPMW03!$A$1:$ZZ$501,$A489,F$3)))</f>
        <v/>
      </c>
      <c r="G489" t="str">
        <f>IF($B489="","",IF(G$3=0,"n.b.",INDEX(SRC_ZPMW03!$A$1:$ZZ$501,$A489,G$3)))</f>
        <v/>
      </c>
      <c r="H489" t="str">
        <f>IF($B489="","",IF(H$3=0,"n.b.",INDEX(SRC_ZPMW03!$A$1:$ZZ$501,$A489,H$3)))</f>
        <v/>
      </c>
      <c r="I489" t="str">
        <f>IF($B489="","",IF(I$3=0,"n.b.",INDEX(SRC_ZPMW03!$A$1:$ZZ$501,$A489,I$3)))</f>
        <v/>
      </c>
      <c r="J489" t="str">
        <f>IF($B489="","",IF(J$3=0,"n.b.",INDEX(SRC_ZPMW03!$A$1:$ZZ$501,$A489,J$3)))</f>
        <v/>
      </c>
      <c r="K489" t="str">
        <f>IF($B489="","",IF(K$3=0,"n.b.",INDEX(SRC_ZPMW03!$A$1:$ZZ$501,$A489,K$3)))</f>
        <v/>
      </c>
      <c r="L489" s="124" t="str">
        <f>IF($B489="","",IF(L$3=0,"n.b.",INDEX(SRC_ZPMW03!$A$1:$ZZ$501,$A489,L$3)))</f>
        <v/>
      </c>
      <c r="M489" s="124" t="str">
        <f>IF($B489="","",IF(M$3=0,"n.b.",INDEX(SRC_ZPMW03!$A$1:$ZZ$501,$A489,M$3)))</f>
        <v/>
      </c>
      <c r="N489" s="124" t="str">
        <f>IF($B489="","",IF(N$3=0,"n.b.",INDEX(SRC_ZPMW03!$A$1:$ZZ$501,$A489,N$3)))</f>
        <v/>
      </c>
      <c r="O489" s="124" t="str">
        <f>IF($B489="","",IF(O$3=0,"n.b.",INDEX(SRC_ZPMW03!$A$1:$ZZ$501,$A489,O$3)))</f>
        <v/>
      </c>
      <c r="P489" s="124" t="str">
        <f>IF($B489="","",IF(P$3=0,"n.b.",INDEX(SRC_ZPMW03!$A$1:$ZZ$501,$A489,P$3)))</f>
        <v/>
      </c>
      <c r="Q489" s="124" t="str">
        <f>IF($B489="","",IF(Q$3=0,"n.b.",INDEX(SRC_ZPMW03!$A$1:$ZZ$501,$A489,Q$3)))</f>
        <v/>
      </c>
      <c r="R489" s="124" t="str">
        <f>IF($B489="","",IF(R$3=0,"n.b.",INDEX(SRC_ZPMW03!$A$1:$ZZ$501,$A489,R$3)))</f>
        <v/>
      </c>
      <c r="S489" s="124" t="str">
        <f>IF($B489="","",IF(S$3=0,"n.b.",INDEX(SRC_ZPMW03!$A$1:$ZZ$501,$A489,S$3)))</f>
        <v/>
      </c>
      <c r="T489" s="124" t="str">
        <f>IF($B489="","",IF(T$3=0,"n.b.",INDEX(SRC_ZPMW03!$A$1:$ZZ$501,$A489,T$3)))</f>
        <v/>
      </c>
      <c r="U489" s="124" t="str">
        <f>IF($B489="","",IF(U$3=0,"n.b.",INDEX(SRC_ZPMW03!$A$1:$ZZ$501,$A489,U$3)))</f>
        <v/>
      </c>
      <c r="V489" s="124" t="str">
        <f>IF($B489="","",IF(V$3=0,"n.b.",INDEX(SRC_ZPMW03!$A$1:$ZZ$501,$A489,V$3)))</f>
        <v/>
      </c>
      <c r="W489" s="124" t="str">
        <f>IF($B489="","",IF(W$3=0,"n.b.",INDEX(SRC_ZPMW03!$A$1:$ZZ$501,$A489,W$3)))</f>
        <v/>
      </c>
      <c r="X489" s="124" t="str">
        <f>IF($B489="","",IF(X$3=0,"n.b.",INDEX(SRC_ZPMW03!$A$1:$ZZ$501,$A489,X$3)))</f>
        <v/>
      </c>
      <c r="Y489" s="124" t="str">
        <f>IF($B489="","",IF(Y$3=0,"n.b.",INDEX(SRC_ZPMW03!$A$1:$ZZ$501,$A489,Y$3)))</f>
        <v/>
      </c>
      <c r="Z489" s="124" t="str">
        <f>IF($B489="","",IF(Z$3=0,"n.b.",INDEX(SRC_ZPMW03!$A$1:$ZZ$501,$A489,Z$3)))</f>
        <v/>
      </c>
      <c r="AA489" s="124" t="str">
        <f>IF($B489="","",IF(AA$3=0,"n.b.",INDEX(SRC_ZPMW03!$A$1:$ZZ$501,$A489,AA$3)))</f>
        <v/>
      </c>
      <c r="AB489" s="124" t="str">
        <f>IF($B489="","",IF(AB$3=0,"n.b.",INDEX(SRC_ZPMW03!$A$1:$ZZ$501,$A489,AB$3)))</f>
        <v/>
      </c>
      <c r="AC489" s="124" t="str">
        <f>IF($B489="","",IF(AC$3=0,"n.b.",INDEX(SRC_ZPMW03!$A$1:$ZZ$501,$A489,AC$3)))</f>
        <v/>
      </c>
      <c r="AD489" s="124" t="str">
        <f>IF($B489="","",IF(AD$3=0,"n.b.",INDEX(SRC_ZPMW03!$A$1:$ZZ$501,$A489,AD$3)))</f>
        <v/>
      </c>
      <c r="AE489" s="124" t="str">
        <f>IF($B489="","",IF(AE$3=0,"n.b.",INDEX(SRC_ZPMW03!$A$1:$ZZ$501,$A489,AE$3)))</f>
        <v/>
      </c>
      <c r="AF489" s="124" t="str">
        <f>IF($B489="","",IF(AF$3=0,"n.b.",INDEX(SRC_ZPMW03!$A$1:$ZZ$501,$A489,AF$3)))</f>
        <v/>
      </c>
      <c r="AG489" s="124" t="str">
        <f>IF($B489="","",IF(AG$3=0,"n.b.",INDEX(SRC_ZPMW03!$A$1:$ZZ$501,$A489,AG$3)))</f>
        <v/>
      </c>
      <c r="AH489" s="124" t="str">
        <f>IF($B489="","",IF(AH$3=0,"n.b.",INDEX(SRC_ZPMW03!$A$1:$ZZ$501,$A489,AH$3)))</f>
        <v/>
      </c>
      <c r="AI489" s="124" t="str">
        <f>IF($B489="","",IF(AI$3=0,"n.b.",INDEX(SRC_ZPMW03!$A$1:$ZZ$501,$A489,AI$3)))</f>
        <v/>
      </c>
      <c r="AJ489" s="124" t="str">
        <f>IF($B489="","",IF(AJ$3=0,"n.b.",INDEX(SRC_ZPMW03!$A$1:$ZZ$501,$A489,AJ$3)))</f>
        <v/>
      </c>
      <c r="AK489" s="124" t="str">
        <f>IF($B489="","",IF(AK$3=0,"n.b.",INDEX(SRC_ZPMW03!$A$1:$ZZ$501,$A489,AK$3)))</f>
        <v/>
      </c>
      <c r="AL489" s="124" t="str">
        <f>IF($B489="","",IF(AL$3=0,"n.b.",INDEX(SRC_ZPMW03!$A$1:$ZZ$501,$A489,AL$3)))</f>
        <v/>
      </c>
      <c r="AM489" s="124" t="str">
        <f>IF($B489="","",IF(AM$3=0,"n.b.",INDEX(SRC_ZPMW03!$A$1:$ZZ$501,$A489,AM$3)))</f>
        <v/>
      </c>
      <c r="AN489" s="124" t="str">
        <f>IF($B489="","",IF(AN$3=0,"n.b.",INDEX(SRC_ZPMW03!$A$1:$ZZ$501,$A489,AN$3)))</f>
        <v/>
      </c>
      <c r="AO489" s="124" t="str">
        <f>IF($B489="","",IF(AO$3=0,"n.b.",INDEX(SRC_ZPMW03!$A$1:$ZZ$501,$A489,AO$3)))</f>
        <v/>
      </c>
      <c r="AP489" s="124" t="str">
        <f>IF($B489="","",IF(AP$3=0,"n.b.",INDEX(SRC_ZPMW03!$A$1:$ZZ$501,$A489,AP$3)))</f>
        <v/>
      </c>
      <c r="AQ489" s="124" t="str">
        <f>IF($B489="","",IF(AQ$3=0,"n.b.",INDEX(SRC_ZPMW03!$A$1:$ZZ$501,$A489,AQ$3)))</f>
        <v/>
      </c>
      <c r="AR489" s="124" t="str">
        <f>IF($B489="","",IF(AR$3=0,"n.b.",INDEX(SRC_ZPMW03!$A$1:$ZZ$501,$A489,AR$3)))</f>
        <v/>
      </c>
      <c r="AS489" s="124" t="str">
        <f>IF($B489="","",IF(AS$3=0,"n.b.",INDEX(SRC_ZPMW03!$A$1:$ZZ$501,$A489,AS$3)))</f>
        <v/>
      </c>
      <c r="AT489" s="124" t="str">
        <f>IF($B489="","",IF(AT$3=0,"n.b.",INDEX(SRC_ZPMW03!$A$1:$ZZ$501,$A489,AT$3)))</f>
        <v/>
      </c>
      <c r="AU489" s="124" t="str">
        <f>IF($B489="","",IF(AU$3=0,"n.b.",INDEX(SRC_ZPMW03!$A$1:$ZZ$501,$A489,AU$3)))</f>
        <v/>
      </c>
      <c r="AV489" s="124" t="str">
        <f>IF($B489="","",IF(AV$3=0,"n.b.",INDEX(SRC_ZPMW03!$A$1:$ZZ$501,$A489,AV$3)))</f>
        <v/>
      </c>
      <c r="AW489" s="124" t="str">
        <f>IF($B489="","",IF(AW$3=0,"n.b.",INDEX(SRC_ZPMW03!$A$1:$ZZ$501,$A489,AW$3)))</f>
        <v/>
      </c>
      <c r="AX489" s="124" t="str">
        <f>IF($B489="","",IF(AX$3=0,"n.b.",INDEX(SRC_ZPMW03!$A$1:$ZZ$501,$A489,AX$3)))</f>
        <v/>
      </c>
      <c r="AY489" s="124" t="str">
        <f>IF($B489="","",IF(AY$3=0,"n.b.",INDEX(SRC_ZPMW03!$A$1:$ZZ$501,$A489,AY$3)))</f>
        <v/>
      </c>
      <c r="AZ489" s="124" t="str">
        <f>IF($B489="","",IF(AZ$3=0,"n.b.",INDEX(SRC_ZPMW03!$A$1:$ZZ$501,$A489,AZ$3)))</f>
        <v/>
      </c>
      <c r="BA489" s="124" t="str">
        <f>IF($B489="","",IF(BA$3=0,"n.b.",INDEX(SRC_ZPMW03!$A$1:$ZZ$501,$A489,BA$3)))</f>
        <v/>
      </c>
      <c r="BB489" s="124" t="str">
        <f>IF($B489="","",IF(BB$3=0,"n.b.",INDEX(SRC_ZPMW03!$A$1:$ZZ$501,$A489,BB$3)))</f>
        <v/>
      </c>
      <c r="BC489" s="124" t="str">
        <f>IF($B489="","",IF(BC$3=0,"n.b.",INDEX(SRC_ZPMW03!$A$1:$ZZ$501,$A489,BC$3)))</f>
        <v/>
      </c>
      <c r="BD489" s="124" t="str">
        <f>IF($B489="","",IF(BD$3=0,"n.b.",INDEX(SRC_ZPMW03!$A$1:$ZZ$501,$A489,BD$3)))</f>
        <v/>
      </c>
      <c r="BE489" s="124" t="str">
        <f>IF($B489="","",IF(BE$3=0,"n.b.",INDEX(SRC_ZPMW03!$A$1:$ZZ$501,$A489,BE$3)))</f>
        <v/>
      </c>
      <c r="BF489" s="124" t="str">
        <f>IF($B489="","",IF(BF$3=0,"n.b.",INDEX(SRC_ZPMW03!$A$1:$ZZ$501,$A489,BF$3)))</f>
        <v/>
      </c>
      <c r="BG489" t="str">
        <f>IF($B489="","",IF(BG$3=0,"n.b.",INDEX(SRC_ZPMW03!$A$1:$ZZ$501,$A489,BG$3)))</f>
        <v/>
      </c>
      <c r="BH489" t="str">
        <f>IF($B489="","",IF(BH$3=0,"n.b.",INDEX(SRC_ZPMW03!$A$1:$ZZ$501,$A489,BH$3)))</f>
        <v/>
      </c>
      <c r="BI489" t="str">
        <f>IF($B489="","",IF(BI$3=0,"n.b.",INDEX(SRC_ZPMW03!$A$1:$ZZ$501,$A489,BI$3)))</f>
        <v/>
      </c>
      <c r="BJ489" t="str">
        <f>IF($B489="","",IF(BJ$3=0,"n.b.",INDEX(SRC_ZPMW03!$A$1:$ZZ$501,$A489,BJ$3)))</f>
        <v/>
      </c>
      <c r="BK489" s="124" t="str">
        <f>IF($B489="","",IFERROR(-O489,"n.b."))</f>
        <v/>
      </c>
      <c r="BL489" s="124" t="str">
        <f>IF($B489="","",IFERROR(-Q489,"n.b."))</f>
        <v/>
      </c>
      <c r="BM489" s="124" t="str">
        <f>IF($B489="","",IFERROR(-AB489,"n.b."))</f>
        <v/>
      </c>
      <c r="BN489" s="124" t="str">
        <f>IF($B489="","",IFERROR(-AD489,"n.b."))</f>
        <v/>
      </c>
      <c r="BO489" s="124" t="str">
        <f>IF($B489="","",IFERROR(BK489+BM489,"n.b."))</f>
        <v/>
      </c>
      <c r="BP489" s="124" t="str">
        <f>IF($B489="","",IFERROR(BL489+BN489,"n.b."))</f>
        <v/>
      </c>
      <c r="BQ489" s="124" t="str">
        <f>IF($B489="","",IFERROR(-AM489,"n.b."))</f>
        <v/>
      </c>
      <c r="BR489" s="124" t="str">
        <f>IF($B489="","",IFERROR(-AO489,"n.b."))</f>
        <v/>
      </c>
      <c r="BS489" s="124" t="str">
        <f>IF($B489="","",IFERROR(-Z489,"n.b."))</f>
        <v/>
      </c>
      <c r="BT489" s="124" t="str">
        <f>IF($B489="","",IFERROR(-AA489,"n.b."))</f>
        <v/>
      </c>
      <c r="BU489" s="124" t="str">
        <f>IF($B489="","",IFERROR(-AE489,"n.b."))</f>
        <v/>
      </c>
      <c r="BV489" s="124" t="str">
        <f>IF($B489="","",IFERROR(-AF489,"n.b."))</f>
        <v/>
      </c>
      <c r="BW489" s="124" t="str">
        <f>IF($B489="","",IFERROR(-AG489,"n.b."))</f>
        <v/>
      </c>
      <c r="BX489" s="124" t="str">
        <f>IF($B489="","",IFERROR(-AH489,"n.b."))</f>
        <v/>
      </c>
      <c r="BY489" s="124" t="str">
        <f>IF($B489="","",IFERROR(-AI489,"n.b."))</f>
        <v/>
      </c>
      <c r="BZ489" s="124" t="str">
        <f>IF($B489="","",IFERROR(-AJ489,"n.b."))</f>
        <v/>
      </c>
      <c r="CA489" s="124" t="str">
        <f>IF($B489="","",IFERROR(-AK489,"n.b."))</f>
        <v/>
      </c>
      <c r="CB489" s="124" t="str">
        <f>IF($B489="","",IFERROR(-AL489,"n.b."))</f>
        <v/>
      </c>
      <c r="CC489" s="124" t="str">
        <f>IF($B489="","",IFERROR(-AP489,"n.b."))</f>
        <v/>
      </c>
      <c r="CD489" s="124" t="str">
        <f>IF($B489="","",IFERROR(-AQ489,"n.b."))</f>
        <v/>
      </c>
      <c r="CE489" s="124" t="str">
        <f>IF($B489="","",IFERROR(-AR489,"n.b."))</f>
        <v/>
      </c>
      <c r="CF489" s="124" t="str">
        <f>IF($B489="","",IFERROR(-AS489,"n.b."))</f>
        <v/>
      </c>
      <c r="CG489" s="124" t="str">
        <f>IF($B489="","",IFERROR(-AT489,"n.b."))</f>
        <v/>
      </c>
      <c r="CH489" s="124" t="str">
        <f>IF($B489="","",IFERROR(-AU489,"n.b."))</f>
        <v/>
      </c>
      <c r="CI489" s="124" t="str">
        <f>IF($B489="","",IFERROR(-AV489,"n.b."))</f>
        <v/>
      </c>
      <c r="CJ489" s="124" t="str">
        <f>IF($B489="","",IFERROR(-AW489,"n.b."))</f>
        <v/>
      </c>
      <c r="CK489" s="124" t="str">
        <f>IF($B489="","",IFERROR(-AX489,"n.b."))</f>
        <v/>
      </c>
      <c r="CL489" s="124" t="str">
        <f>IF($B489="","",IFERROR(-AY489,"n.b."))</f>
        <v/>
      </c>
      <c r="CM489" s="124" t="str">
        <f>IF($B489="","",IFERROR(-AZ489,"n.b."))</f>
        <v/>
      </c>
      <c r="CN489" s="124" t="str">
        <f>IF($B489="","",IFERROR(-BA489,"n.b."))</f>
        <v/>
      </c>
      <c r="CO489" s="124" t="str">
        <f>IF($B489="","",IFERROR(-BB489,"n.b."))</f>
        <v/>
      </c>
      <c r="CP489" s="124" t="str">
        <f>IF($B489="","",IFERROR(-BC489,"n.b."))</f>
        <v/>
      </c>
      <c r="CQ489" s="124" t="str">
        <f>IF($B489="","",IFERROR(-BD489,"n.b."))</f>
        <v/>
      </c>
      <c r="CR489" s="124" t="str">
        <f>IF($B489="","",IFERROR(-BE489,"n.b."))</f>
        <v/>
      </c>
      <c r="CS489" s="124" t="str">
        <f>IF($B489="","",IFERROR(IF(OR(ABS(T489+V489+X489+Z489-AB489)&gt;P_Tol,ABS(U489+W489+Y489+AA489-AD489)&gt;P_Tol,ABS(AE489+AG489+AI489+AK489-AM489)&gt;P_Tol,ABS(AF489+AH489+AJ489+AL489-AO489)&gt;P_Tol),1,0),1))</f>
        <v/>
      </c>
      <c r="CT489" s="124" t="str">
        <f>IF($B489="","",IFERROR(IF(OR(ABS(AB489+AC489-AD489)&gt;P_Tol,ABS(AM489+AN489-AO489)&gt;P_Tol,ABS(O489+P489-Q489)&gt;P_Tol),1,0),1))</f>
        <v/>
      </c>
      <c r="CU489" s="124" t="str">
        <f>IF($B489="","",IFERROR(IF(ABS(R489-(AB489+AM489+AP489+AR489+AT489+AV489+AX489+AZ489+BB489+BD489))&gt;P_Tol,1,0),1))</f>
        <v/>
      </c>
      <c r="CV489" s="124" t="str">
        <f>IF($B489="","",IFERROR(IF(ABS(M489-(N489+O489+R489))&gt;P_Tol,1,0),1))</f>
        <v/>
      </c>
      <c r="CW489" s="124" t="str">
        <f>IF($B489="","",IF(COUNTIF(Mapping!$A$5:$A$104,B489)&gt;0,1,0))</f>
        <v/>
      </c>
      <c r="CX489" s="124" t="str">
        <f>IF($B489="","",COUNTIF($B$6:$B$505,B489))</f>
        <v/>
      </c>
      <c r="CY489" s="124" t="str">
        <f>IF($B489="","",COUNTIF(STG_Woningetalage!$B$6:$B$505,B489))</f>
        <v/>
      </c>
      <c r="CZ489" s="124" t="str">
        <f>IF($B489="","",IF(CW489=0,COUNTIF($CW$6:CW489,0),""))</f>
        <v/>
      </c>
    </row>
    <row r="490">
      <c r="A490" s="15" t="n">
        <v>486</v>
      </c>
      <c r="B490" t="str">
        <f>IF(B$3=0,"",IF(INDEX(SRC_ZPMW03!$A$1:$ZZ$501,$A490,B$3)&amp;""="","",INDEX(SRC_ZPMW03!$A$1:$ZZ$501,$A490,B$3)&amp;""))</f>
        <v/>
      </c>
      <c r="C490" t="str">
        <f>IF($B490="","",IF(C$3=0,"n.b.",INDEX(SRC_ZPMW03!$A$1:$ZZ$501,$A490,C$3)))</f>
        <v/>
      </c>
      <c r="D490" t="str">
        <f>IF($B490="","",IF(D$3=0,"n.b.",INDEX(SRC_ZPMW03!$A$1:$ZZ$501,$A490,D$3)))</f>
        <v/>
      </c>
      <c r="E490" t="str">
        <f>IF($B490="","",IF(E$3=0,"n.b.",INDEX(SRC_ZPMW03!$A$1:$ZZ$501,$A490,E$3)))</f>
        <v/>
      </c>
      <c r="F490" t="str">
        <f>IF($B490="","",IF(F$3=0,"n.b.",INDEX(SRC_ZPMW03!$A$1:$ZZ$501,$A490,F$3)))</f>
        <v/>
      </c>
      <c r="G490" t="str">
        <f>IF($B490="","",IF(G$3=0,"n.b.",INDEX(SRC_ZPMW03!$A$1:$ZZ$501,$A490,G$3)))</f>
        <v/>
      </c>
      <c r="H490" t="str">
        <f>IF($B490="","",IF(H$3=0,"n.b.",INDEX(SRC_ZPMW03!$A$1:$ZZ$501,$A490,H$3)))</f>
        <v/>
      </c>
      <c r="I490" t="str">
        <f>IF($B490="","",IF(I$3=0,"n.b.",INDEX(SRC_ZPMW03!$A$1:$ZZ$501,$A490,I$3)))</f>
        <v/>
      </c>
      <c r="J490" t="str">
        <f>IF($B490="","",IF(J$3=0,"n.b.",INDEX(SRC_ZPMW03!$A$1:$ZZ$501,$A490,J$3)))</f>
        <v/>
      </c>
      <c r="K490" t="str">
        <f>IF($B490="","",IF(K$3=0,"n.b.",INDEX(SRC_ZPMW03!$A$1:$ZZ$501,$A490,K$3)))</f>
        <v/>
      </c>
      <c r="L490" s="124" t="str">
        <f>IF($B490="","",IF(L$3=0,"n.b.",INDEX(SRC_ZPMW03!$A$1:$ZZ$501,$A490,L$3)))</f>
        <v/>
      </c>
      <c r="M490" s="124" t="str">
        <f>IF($B490="","",IF(M$3=0,"n.b.",INDEX(SRC_ZPMW03!$A$1:$ZZ$501,$A490,M$3)))</f>
        <v/>
      </c>
      <c r="N490" s="124" t="str">
        <f>IF($B490="","",IF(N$3=0,"n.b.",INDEX(SRC_ZPMW03!$A$1:$ZZ$501,$A490,N$3)))</f>
        <v/>
      </c>
      <c r="O490" s="124" t="str">
        <f>IF($B490="","",IF(O$3=0,"n.b.",INDEX(SRC_ZPMW03!$A$1:$ZZ$501,$A490,O$3)))</f>
        <v/>
      </c>
      <c r="P490" s="124" t="str">
        <f>IF($B490="","",IF(P$3=0,"n.b.",INDEX(SRC_ZPMW03!$A$1:$ZZ$501,$A490,P$3)))</f>
        <v/>
      </c>
      <c r="Q490" s="124" t="str">
        <f>IF($B490="","",IF(Q$3=0,"n.b.",INDEX(SRC_ZPMW03!$A$1:$ZZ$501,$A490,Q$3)))</f>
        <v/>
      </c>
      <c r="R490" s="124" t="str">
        <f>IF($B490="","",IF(R$3=0,"n.b.",INDEX(SRC_ZPMW03!$A$1:$ZZ$501,$A490,R$3)))</f>
        <v/>
      </c>
      <c r="S490" s="124" t="str">
        <f>IF($B490="","",IF(S$3=0,"n.b.",INDEX(SRC_ZPMW03!$A$1:$ZZ$501,$A490,S$3)))</f>
        <v/>
      </c>
      <c r="T490" s="124" t="str">
        <f>IF($B490="","",IF(T$3=0,"n.b.",INDEX(SRC_ZPMW03!$A$1:$ZZ$501,$A490,T$3)))</f>
        <v/>
      </c>
      <c r="U490" s="124" t="str">
        <f>IF($B490="","",IF(U$3=0,"n.b.",INDEX(SRC_ZPMW03!$A$1:$ZZ$501,$A490,U$3)))</f>
        <v/>
      </c>
      <c r="V490" s="124" t="str">
        <f>IF($B490="","",IF(V$3=0,"n.b.",INDEX(SRC_ZPMW03!$A$1:$ZZ$501,$A490,V$3)))</f>
        <v/>
      </c>
      <c r="W490" s="124" t="str">
        <f>IF($B490="","",IF(W$3=0,"n.b.",INDEX(SRC_ZPMW03!$A$1:$ZZ$501,$A490,W$3)))</f>
        <v/>
      </c>
      <c r="X490" s="124" t="str">
        <f>IF($B490="","",IF(X$3=0,"n.b.",INDEX(SRC_ZPMW03!$A$1:$ZZ$501,$A490,X$3)))</f>
        <v/>
      </c>
      <c r="Y490" s="124" t="str">
        <f>IF($B490="","",IF(Y$3=0,"n.b.",INDEX(SRC_ZPMW03!$A$1:$ZZ$501,$A490,Y$3)))</f>
        <v/>
      </c>
      <c r="Z490" s="124" t="str">
        <f>IF($B490="","",IF(Z$3=0,"n.b.",INDEX(SRC_ZPMW03!$A$1:$ZZ$501,$A490,Z$3)))</f>
        <v/>
      </c>
      <c r="AA490" s="124" t="str">
        <f>IF($B490="","",IF(AA$3=0,"n.b.",INDEX(SRC_ZPMW03!$A$1:$ZZ$501,$A490,AA$3)))</f>
        <v/>
      </c>
      <c r="AB490" s="124" t="str">
        <f>IF($B490="","",IF(AB$3=0,"n.b.",INDEX(SRC_ZPMW03!$A$1:$ZZ$501,$A490,AB$3)))</f>
        <v/>
      </c>
      <c r="AC490" s="124" t="str">
        <f>IF($B490="","",IF(AC$3=0,"n.b.",INDEX(SRC_ZPMW03!$A$1:$ZZ$501,$A490,AC$3)))</f>
        <v/>
      </c>
      <c r="AD490" s="124" t="str">
        <f>IF($B490="","",IF(AD$3=0,"n.b.",INDEX(SRC_ZPMW03!$A$1:$ZZ$501,$A490,AD$3)))</f>
        <v/>
      </c>
      <c r="AE490" s="124" t="str">
        <f>IF($B490="","",IF(AE$3=0,"n.b.",INDEX(SRC_ZPMW03!$A$1:$ZZ$501,$A490,AE$3)))</f>
        <v/>
      </c>
      <c r="AF490" s="124" t="str">
        <f>IF($B490="","",IF(AF$3=0,"n.b.",INDEX(SRC_ZPMW03!$A$1:$ZZ$501,$A490,AF$3)))</f>
        <v/>
      </c>
      <c r="AG490" s="124" t="str">
        <f>IF($B490="","",IF(AG$3=0,"n.b.",INDEX(SRC_ZPMW03!$A$1:$ZZ$501,$A490,AG$3)))</f>
        <v/>
      </c>
      <c r="AH490" s="124" t="str">
        <f>IF($B490="","",IF(AH$3=0,"n.b.",INDEX(SRC_ZPMW03!$A$1:$ZZ$501,$A490,AH$3)))</f>
        <v/>
      </c>
      <c r="AI490" s="124" t="str">
        <f>IF($B490="","",IF(AI$3=0,"n.b.",INDEX(SRC_ZPMW03!$A$1:$ZZ$501,$A490,AI$3)))</f>
        <v/>
      </c>
      <c r="AJ490" s="124" t="str">
        <f>IF($B490="","",IF(AJ$3=0,"n.b.",INDEX(SRC_ZPMW03!$A$1:$ZZ$501,$A490,AJ$3)))</f>
        <v/>
      </c>
      <c r="AK490" s="124" t="str">
        <f>IF($B490="","",IF(AK$3=0,"n.b.",INDEX(SRC_ZPMW03!$A$1:$ZZ$501,$A490,AK$3)))</f>
        <v/>
      </c>
      <c r="AL490" s="124" t="str">
        <f>IF($B490="","",IF(AL$3=0,"n.b.",INDEX(SRC_ZPMW03!$A$1:$ZZ$501,$A490,AL$3)))</f>
        <v/>
      </c>
      <c r="AM490" s="124" t="str">
        <f>IF($B490="","",IF(AM$3=0,"n.b.",INDEX(SRC_ZPMW03!$A$1:$ZZ$501,$A490,AM$3)))</f>
        <v/>
      </c>
      <c r="AN490" s="124" t="str">
        <f>IF($B490="","",IF(AN$3=0,"n.b.",INDEX(SRC_ZPMW03!$A$1:$ZZ$501,$A490,AN$3)))</f>
        <v/>
      </c>
      <c r="AO490" s="124" t="str">
        <f>IF($B490="","",IF(AO$3=0,"n.b.",INDEX(SRC_ZPMW03!$A$1:$ZZ$501,$A490,AO$3)))</f>
        <v/>
      </c>
      <c r="AP490" s="124" t="str">
        <f>IF($B490="","",IF(AP$3=0,"n.b.",INDEX(SRC_ZPMW03!$A$1:$ZZ$501,$A490,AP$3)))</f>
        <v/>
      </c>
      <c r="AQ490" s="124" t="str">
        <f>IF($B490="","",IF(AQ$3=0,"n.b.",INDEX(SRC_ZPMW03!$A$1:$ZZ$501,$A490,AQ$3)))</f>
        <v/>
      </c>
      <c r="AR490" s="124" t="str">
        <f>IF($B490="","",IF(AR$3=0,"n.b.",INDEX(SRC_ZPMW03!$A$1:$ZZ$501,$A490,AR$3)))</f>
        <v/>
      </c>
      <c r="AS490" s="124" t="str">
        <f>IF($B490="","",IF(AS$3=0,"n.b.",INDEX(SRC_ZPMW03!$A$1:$ZZ$501,$A490,AS$3)))</f>
        <v/>
      </c>
      <c r="AT490" s="124" t="str">
        <f>IF($B490="","",IF(AT$3=0,"n.b.",INDEX(SRC_ZPMW03!$A$1:$ZZ$501,$A490,AT$3)))</f>
        <v/>
      </c>
      <c r="AU490" s="124" t="str">
        <f>IF($B490="","",IF(AU$3=0,"n.b.",INDEX(SRC_ZPMW03!$A$1:$ZZ$501,$A490,AU$3)))</f>
        <v/>
      </c>
      <c r="AV490" s="124" t="str">
        <f>IF($B490="","",IF(AV$3=0,"n.b.",INDEX(SRC_ZPMW03!$A$1:$ZZ$501,$A490,AV$3)))</f>
        <v/>
      </c>
      <c r="AW490" s="124" t="str">
        <f>IF($B490="","",IF(AW$3=0,"n.b.",INDEX(SRC_ZPMW03!$A$1:$ZZ$501,$A490,AW$3)))</f>
        <v/>
      </c>
      <c r="AX490" s="124" t="str">
        <f>IF($B490="","",IF(AX$3=0,"n.b.",INDEX(SRC_ZPMW03!$A$1:$ZZ$501,$A490,AX$3)))</f>
        <v/>
      </c>
      <c r="AY490" s="124" t="str">
        <f>IF($B490="","",IF(AY$3=0,"n.b.",INDEX(SRC_ZPMW03!$A$1:$ZZ$501,$A490,AY$3)))</f>
        <v/>
      </c>
      <c r="AZ490" s="124" t="str">
        <f>IF($B490="","",IF(AZ$3=0,"n.b.",INDEX(SRC_ZPMW03!$A$1:$ZZ$501,$A490,AZ$3)))</f>
        <v/>
      </c>
      <c r="BA490" s="124" t="str">
        <f>IF($B490="","",IF(BA$3=0,"n.b.",INDEX(SRC_ZPMW03!$A$1:$ZZ$501,$A490,BA$3)))</f>
        <v/>
      </c>
      <c r="BB490" s="124" t="str">
        <f>IF($B490="","",IF(BB$3=0,"n.b.",INDEX(SRC_ZPMW03!$A$1:$ZZ$501,$A490,BB$3)))</f>
        <v/>
      </c>
      <c r="BC490" s="124" t="str">
        <f>IF($B490="","",IF(BC$3=0,"n.b.",INDEX(SRC_ZPMW03!$A$1:$ZZ$501,$A490,BC$3)))</f>
        <v/>
      </c>
      <c r="BD490" s="124" t="str">
        <f>IF($B490="","",IF(BD$3=0,"n.b.",INDEX(SRC_ZPMW03!$A$1:$ZZ$501,$A490,BD$3)))</f>
        <v/>
      </c>
      <c r="BE490" s="124" t="str">
        <f>IF($B490="","",IF(BE$3=0,"n.b.",INDEX(SRC_ZPMW03!$A$1:$ZZ$501,$A490,BE$3)))</f>
        <v/>
      </c>
      <c r="BF490" s="124" t="str">
        <f>IF($B490="","",IF(BF$3=0,"n.b.",INDEX(SRC_ZPMW03!$A$1:$ZZ$501,$A490,BF$3)))</f>
        <v/>
      </c>
      <c r="BG490" t="str">
        <f>IF($B490="","",IF(BG$3=0,"n.b.",INDEX(SRC_ZPMW03!$A$1:$ZZ$501,$A490,BG$3)))</f>
        <v/>
      </c>
      <c r="BH490" t="str">
        <f>IF($B490="","",IF(BH$3=0,"n.b.",INDEX(SRC_ZPMW03!$A$1:$ZZ$501,$A490,BH$3)))</f>
        <v/>
      </c>
      <c r="BI490" t="str">
        <f>IF($B490="","",IF(BI$3=0,"n.b.",INDEX(SRC_ZPMW03!$A$1:$ZZ$501,$A490,BI$3)))</f>
        <v/>
      </c>
      <c r="BJ490" t="str">
        <f>IF($B490="","",IF(BJ$3=0,"n.b.",INDEX(SRC_ZPMW03!$A$1:$ZZ$501,$A490,BJ$3)))</f>
        <v/>
      </c>
      <c r="BK490" s="124" t="str">
        <f>IF($B490="","",IFERROR(-O490,"n.b."))</f>
        <v/>
      </c>
      <c r="BL490" s="124" t="str">
        <f>IF($B490="","",IFERROR(-Q490,"n.b."))</f>
        <v/>
      </c>
      <c r="BM490" s="124" t="str">
        <f>IF($B490="","",IFERROR(-AB490,"n.b."))</f>
        <v/>
      </c>
      <c r="BN490" s="124" t="str">
        <f>IF($B490="","",IFERROR(-AD490,"n.b."))</f>
        <v/>
      </c>
      <c r="BO490" s="124" t="str">
        <f>IF($B490="","",IFERROR(BK490+BM490,"n.b."))</f>
        <v/>
      </c>
      <c r="BP490" s="124" t="str">
        <f>IF($B490="","",IFERROR(BL490+BN490,"n.b."))</f>
        <v/>
      </c>
      <c r="BQ490" s="124" t="str">
        <f>IF($B490="","",IFERROR(-AM490,"n.b."))</f>
        <v/>
      </c>
      <c r="BR490" s="124" t="str">
        <f>IF($B490="","",IFERROR(-AO490,"n.b."))</f>
        <v/>
      </c>
      <c r="BS490" s="124" t="str">
        <f>IF($B490="","",IFERROR(-Z490,"n.b."))</f>
        <v/>
      </c>
      <c r="BT490" s="124" t="str">
        <f>IF($B490="","",IFERROR(-AA490,"n.b."))</f>
        <v/>
      </c>
      <c r="BU490" s="124" t="str">
        <f>IF($B490="","",IFERROR(-AE490,"n.b."))</f>
        <v/>
      </c>
      <c r="BV490" s="124" t="str">
        <f>IF($B490="","",IFERROR(-AF490,"n.b."))</f>
        <v/>
      </c>
      <c r="BW490" s="124" t="str">
        <f>IF($B490="","",IFERROR(-AG490,"n.b."))</f>
        <v/>
      </c>
      <c r="BX490" s="124" t="str">
        <f>IF($B490="","",IFERROR(-AH490,"n.b."))</f>
        <v/>
      </c>
      <c r="BY490" s="124" t="str">
        <f>IF($B490="","",IFERROR(-AI490,"n.b."))</f>
        <v/>
      </c>
      <c r="BZ490" s="124" t="str">
        <f>IF($B490="","",IFERROR(-AJ490,"n.b."))</f>
        <v/>
      </c>
      <c r="CA490" s="124" t="str">
        <f>IF($B490="","",IFERROR(-AK490,"n.b."))</f>
        <v/>
      </c>
      <c r="CB490" s="124" t="str">
        <f>IF($B490="","",IFERROR(-AL490,"n.b."))</f>
        <v/>
      </c>
      <c r="CC490" s="124" t="str">
        <f>IF($B490="","",IFERROR(-AP490,"n.b."))</f>
        <v/>
      </c>
      <c r="CD490" s="124" t="str">
        <f>IF($B490="","",IFERROR(-AQ490,"n.b."))</f>
        <v/>
      </c>
      <c r="CE490" s="124" t="str">
        <f>IF($B490="","",IFERROR(-AR490,"n.b."))</f>
        <v/>
      </c>
      <c r="CF490" s="124" t="str">
        <f>IF($B490="","",IFERROR(-AS490,"n.b."))</f>
        <v/>
      </c>
      <c r="CG490" s="124" t="str">
        <f>IF($B490="","",IFERROR(-AT490,"n.b."))</f>
        <v/>
      </c>
      <c r="CH490" s="124" t="str">
        <f>IF($B490="","",IFERROR(-AU490,"n.b."))</f>
        <v/>
      </c>
      <c r="CI490" s="124" t="str">
        <f>IF($B490="","",IFERROR(-AV490,"n.b."))</f>
        <v/>
      </c>
      <c r="CJ490" s="124" t="str">
        <f>IF($B490="","",IFERROR(-AW490,"n.b."))</f>
        <v/>
      </c>
      <c r="CK490" s="124" t="str">
        <f>IF($B490="","",IFERROR(-AX490,"n.b."))</f>
        <v/>
      </c>
      <c r="CL490" s="124" t="str">
        <f>IF($B490="","",IFERROR(-AY490,"n.b."))</f>
        <v/>
      </c>
      <c r="CM490" s="124" t="str">
        <f>IF($B490="","",IFERROR(-AZ490,"n.b."))</f>
        <v/>
      </c>
      <c r="CN490" s="124" t="str">
        <f>IF($B490="","",IFERROR(-BA490,"n.b."))</f>
        <v/>
      </c>
      <c r="CO490" s="124" t="str">
        <f>IF($B490="","",IFERROR(-BB490,"n.b."))</f>
        <v/>
      </c>
      <c r="CP490" s="124" t="str">
        <f>IF($B490="","",IFERROR(-BC490,"n.b."))</f>
        <v/>
      </c>
      <c r="CQ490" s="124" t="str">
        <f>IF($B490="","",IFERROR(-BD490,"n.b."))</f>
        <v/>
      </c>
      <c r="CR490" s="124" t="str">
        <f>IF($B490="","",IFERROR(-BE490,"n.b."))</f>
        <v/>
      </c>
      <c r="CS490" s="124" t="str">
        <f>IF($B490="","",IFERROR(IF(OR(ABS(T490+V490+X490+Z490-AB490)&gt;P_Tol,ABS(U490+W490+Y490+AA490-AD490)&gt;P_Tol,ABS(AE490+AG490+AI490+AK490-AM490)&gt;P_Tol,ABS(AF490+AH490+AJ490+AL490-AO490)&gt;P_Tol),1,0),1))</f>
        <v/>
      </c>
      <c r="CT490" s="124" t="str">
        <f>IF($B490="","",IFERROR(IF(OR(ABS(AB490+AC490-AD490)&gt;P_Tol,ABS(AM490+AN490-AO490)&gt;P_Tol,ABS(O490+P490-Q490)&gt;P_Tol),1,0),1))</f>
        <v/>
      </c>
      <c r="CU490" s="124" t="str">
        <f>IF($B490="","",IFERROR(IF(ABS(R490-(AB490+AM490+AP490+AR490+AT490+AV490+AX490+AZ490+BB490+BD490))&gt;P_Tol,1,0),1))</f>
        <v/>
      </c>
      <c r="CV490" s="124" t="str">
        <f>IF($B490="","",IFERROR(IF(ABS(M490-(N490+O490+R490))&gt;P_Tol,1,0),1))</f>
        <v/>
      </c>
      <c r="CW490" s="124" t="str">
        <f>IF($B490="","",IF(COUNTIF(Mapping!$A$5:$A$104,B490)&gt;0,1,0))</f>
        <v/>
      </c>
      <c r="CX490" s="124" t="str">
        <f>IF($B490="","",COUNTIF($B$6:$B$505,B490))</f>
        <v/>
      </c>
      <c r="CY490" s="124" t="str">
        <f>IF($B490="","",COUNTIF(STG_Woningetalage!$B$6:$B$505,B490))</f>
        <v/>
      </c>
      <c r="CZ490" s="124" t="str">
        <f>IF($B490="","",IF(CW490=0,COUNTIF($CW$6:CW490,0),""))</f>
        <v/>
      </c>
    </row>
    <row r="491">
      <c r="A491" s="15" t="n">
        <v>487</v>
      </c>
      <c r="B491" t="str">
        <f>IF(B$3=0,"",IF(INDEX(SRC_ZPMW03!$A$1:$ZZ$501,$A491,B$3)&amp;""="","",INDEX(SRC_ZPMW03!$A$1:$ZZ$501,$A491,B$3)&amp;""))</f>
        <v/>
      </c>
      <c r="C491" t="str">
        <f>IF($B491="","",IF(C$3=0,"n.b.",INDEX(SRC_ZPMW03!$A$1:$ZZ$501,$A491,C$3)))</f>
        <v/>
      </c>
      <c r="D491" t="str">
        <f>IF($B491="","",IF(D$3=0,"n.b.",INDEX(SRC_ZPMW03!$A$1:$ZZ$501,$A491,D$3)))</f>
        <v/>
      </c>
      <c r="E491" t="str">
        <f>IF($B491="","",IF(E$3=0,"n.b.",INDEX(SRC_ZPMW03!$A$1:$ZZ$501,$A491,E$3)))</f>
        <v/>
      </c>
      <c r="F491" t="str">
        <f>IF($B491="","",IF(F$3=0,"n.b.",INDEX(SRC_ZPMW03!$A$1:$ZZ$501,$A491,F$3)))</f>
        <v/>
      </c>
      <c r="G491" t="str">
        <f>IF($B491="","",IF(G$3=0,"n.b.",INDEX(SRC_ZPMW03!$A$1:$ZZ$501,$A491,G$3)))</f>
        <v/>
      </c>
      <c r="H491" t="str">
        <f>IF($B491="","",IF(H$3=0,"n.b.",INDEX(SRC_ZPMW03!$A$1:$ZZ$501,$A491,H$3)))</f>
        <v/>
      </c>
      <c r="I491" t="str">
        <f>IF($B491="","",IF(I$3=0,"n.b.",INDEX(SRC_ZPMW03!$A$1:$ZZ$501,$A491,I$3)))</f>
        <v/>
      </c>
      <c r="J491" t="str">
        <f>IF($B491="","",IF(J$3=0,"n.b.",INDEX(SRC_ZPMW03!$A$1:$ZZ$501,$A491,J$3)))</f>
        <v/>
      </c>
      <c r="K491" t="str">
        <f>IF($B491="","",IF(K$3=0,"n.b.",INDEX(SRC_ZPMW03!$A$1:$ZZ$501,$A491,K$3)))</f>
        <v/>
      </c>
      <c r="L491" s="124" t="str">
        <f>IF($B491="","",IF(L$3=0,"n.b.",INDEX(SRC_ZPMW03!$A$1:$ZZ$501,$A491,L$3)))</f>
        <v/>
      </c>
      <c r="M491" s="124" t="str">
        <f>IF($B491="","",IF(M$3=0,"n.b.",INDEX(SRC_ZPMW03!$A$1:$ZZ$501,$A491,M$3)))</f>
        <v/>
      </c>
      <c r="N491" s="124" t="str">
        <f>IF($B491="","",IF(N$3=0,"n.b.",INDEX(SRC_ZPMW03!$A$1:$ZZ$501,$A491,N$3)))</f>
        <v/>
      </c>
      <c r="O491" s="124" t="str">
        <f>IF($B491="","",IF(O$3=0,"n.b.",INDEX(SRC_ZPMW03!$A$1:$ZZ$501,$A491,O$3)))</f>
        <v/>
      </c>
      <c r="P491" s="124" t="str">
        <f>IF($B491="","",IF(P$3=0,"n.b.",INDEX(SRC_ZPMW03!$A$1:$ZZ$501,$A491,P$3)))</f>
        <v/>
      </c>
      <c r="Q491" s="124" t="str">
        <f>IF($B491="","",IF(Q$3=0,"n.b.",INDEX(SRC_ZPMW03!$A$1:$ZZ$501,$A491,Q$3)))</f>
        <v/>
      </c>
      <c r="R491" s="124" t="str">
        <f>IF($B491="","",IF(R$3=0,"n.b.",INDEX(SRC_ZPMW03!$A$1:$ZZ$501,$A491,R$3)))</f>
        <v/>
      </c>
      <c r="S491" s="124" t="str">
        <f>IF($B491="","",IF(S$3=0,"n.b.",INDEX(SRC_ZPMW03!$A$1:$ZZ$501,$A491,S$3)))</f>
        <v/>
      </c>
      <c r="T491" s="124" t="str">
        <f>IF($B491="","",IF(T$3=0,"n.b.",INDEX(SRC_ZPMW03!$A$1:$ZZ$501,$A491,T$3)))</f>
        <v/>
      </c>
      <c r="U491" s="124" t="str">
        <f>IF($B491="","",IF(U$3=0,"n.b.",INDEX(SRC_ZPMW03!$A$1:$ZZ$501,$A491,U$3)))</f>
        <v/>
      </c>
      <c r="V491" s="124" t="str">
        <f>IF($B491="","",IF(V$3=0,"n.b.",INDEX(SRC_ZPMW03!$A$1:$ZZ$501,$A491,V$3)))</f>
        <v/>
      </c>
      <c r="W491" s="124" t="str">
        <f>IF($B491="","",IF(W$3=0,"n.b.",INDEX(SRC_ZPMW03!$A$1:$ZZ$501,$A491,W$3)))</f>
        <v/>
      </c>
      <c r="X491" s="124" t="str">
        <f>IF($B491="","",IF(X$3=0,"n.b.",INDEX(SRC_ZPMW03!$A$1:$ZZ$501,$A491,X$3)))</f>
        <v/>
      </c>
      <c r="Y491" s="124" t="str">
        <f>IF($B491="","",IF(Y$3=0,"n.b.",INDEX(SRC_ZPMW03!$A$1:$ZZ$501,$A491,Y$3)))</f>
        <v/>
      </c>
      <c r="Z491" s="124" t="str">
        <f>IF($B491="","",IF(Z$3=0,"n.b.",INDEX(SRC_ZPMW03!$A$1:$ZZ$501,$A491,Z$3)))</f>
        <v/>
      </c>
      <c r="AA491" s="124" t="str">
        <f>IF($B491="","",IF(AA$3=0,"n.b.",INDEX(SRC_ZPMW03!$A$1:$ZZ$501,$A491,AA$3)))</f>
        <v/>
      </c>
      <c r="AB491" s="124" t="str">
        <f>IF($B491="","",IF(AB$3=0,"n.b.",INDEX(SRC_ZPMW03!$A$1:$ZZ$501,$A491,AB$3)))</f>
        <v/>
      </c>
      <c r="AC491" s="124" t="str">
        <f>IF($B491="","",IF(AC$3=0,"n.b.",INDEX(SRC_ZPMW03!$A$1:$ZZ$501,$A491,AC$3)))</f>
        <v/>
      </c>
      <c r="AD491" s="124" t="str">
        <f>IF($B491="","",IF(AD$3=0,"n.b.",INDEX(SRC_ZPMW03!$A$1:$ZZ$501,$A491,AD$3)))</f>
        <v/>
      </c>
      <c r="AE491" s="124" t="str">
        <f>IF($B491="","",IF(AE$3=0,"n.b.",INDEX(SRC_ZPMW03!$A$1:$ZZ$501,$A491,AE$3)))</f>
        <v/>
      </c>
      <c r="AF491" s="124" t="str">
        <f>IF($B491="","",IF(AF$3=0,"n.b.",INDEX(SRC_ZPMW03!$A$1:$ZZ$501,$A491,AF$3)))</f>
        <v/>
      </c>
      <c r="AG491" s="124" t="str">
        <f>IF($B491="","",IF(AG$3=0,"n.b.",INDEX(SRC_ZPMW03!$A$1:$ZZ$501,$A491,AG$3)))</f>
        <v/>
      </c>
      <c r="AH491" s="124" t="str">
        <f>IF($B491="","",IF(AH$3=0,"n.b.",INDEX(SRC_ZPMW03!$A$1:$ZZ$501,$A491,AH$3)))</f>
        <v/>
      </c>
      <c r="AI491" s="124" t="str">
        <f>IF($B491="","",IF(AI$3=0,"n.b.",INDEX(SRC_ZPMW03!$A$1:$ZZ$501,$A491,AI$3)))</f>
        <v/>
      </c>
      <c r="AJ491" s="124" t="str">
        <f>IF($B491="","",IF(AJ$3=0,"n.b.",INDEX(SRC_ZPMW03!$A$1:$ZZ$501,$A491,AJ$3)))</f>
        <v/>
      </c>
      <c r="AK491" s="124" t="str">
        <f>IF($B491="","",IF(AK$3=0,"n.b.",INDEX(SRC_ZPMW03!$A$1:$ZZ$501,$A491,AK$3)))</f>
        <v/>
      </c>
      <c r="AL491" s="124" t="str">
        <f>IF($B491="","",IF(AL$3=0,"n.b.",INDEX(SRC_ZPMW03!$A$1:$ZZ$501,$A491,AL$3)))</f>
        <v/>
      </c>
      <c r="AM491" s="124" t="str">
        <f>IF($B491="","",IF(AM$3=0,"n.b.",INDEX(SRC_ZPMW03!$A$1:$ZZ$501,$A491,AM$3)))</f>
        <v/>
      </c>
      <c r="AN491" s="124" t="str">
        <f>IF($B491="","",IF(AN$3=0,"n.b.",INDEX(SRC_ZPMW03!$A$1:$ZZ$501,$A491,AN$3)))</f>
        <v/>
      </c>
      <c r="AO491" s="124" t="str">
        <f>IF($B491="","",IF(AO$3=0,"n.b.",INDEX(SRC_ZPMW03!$A$1:$ZZ$501,$A491,AO$3)))</f>
        <v/>
      </c>
      <c r="AP491" s="124" t="str">
        <f>IF($B491="","",IF(AP$3=0,"n.b.",INDEX(SRC_ZPMW03!$A$1:$ZZ$501,$A491,AP$3)))</f>
        <v/>
      </c>
      <c r="AQ491" s="124" t="str">
        <f>IF($B491="","",IF(AQ$3=0,"n.b.",INDEX(SRC_ZPMW03!$A$1:$ZZ$501,$A491,AQ$3)))</f>
        <v/>
      </c>
      <c r="AR491" s="124" t="str">
        <f>IF($B491="","",IF(AR$3=0,"n.b.",INDEX(SRC_ZPMW03!$A$1:$ZZ$501,$A491,AR$3)))</f>
        <v/>
      </c>
      <c r="AS491" s="124" t="str">
        <f>IF($B491="","",IF(AS$3=0,"n.b.",INDEX(SRC_ZPMW03!$A$1:$ZZ$501,$A491,AS$3)))</f>
        <v/>
      </c>
      <c r="AT491" s="124" t="str">
        <f>IF($B491="","",IF(AT$3=0,"n.b.",INDEX(SRC_ZPMW03!$A$1:$ZZ$501,$A491,AT$3)))</f>
        <v/>
      </c>
      <c r="AU491" s="124" t="str">
        <f>IF($B491="","",IF(AU$3=0,"n.b.",INDEX(SRC_ZPMW03!$A$1:$ZZ$501,$A491,AU$3)))</f>
        <v/>
      </c>
      <c r="AV491" s="124" t="str">
        <f>IF($B491="","",IF(AV$3=0,"n.b.",INDEX(SRC_ZPMW03!$A$1:$ZZ$501,$A491,AV$3)))</f>
        <v/>
      </c>
      <c r="AW491" s="124" t="str">
        <f>IF($B491="","",IF(AW$3=0,"n.b.",INDEX(SRC_ZPMW03!$A$1:$ZZ$501,$A491,AW$3)))</f>
        <v/>
      </c>
      <c r="AX491" s="124" t="str">
        <f>IF($B491="","",IF(AX$3=0,"n.b.",INDEX(SRC_ZPMW03!$A$1:$ZZ$501,$A491,AX$3)))</f>
        <v/>
      </c>
      <c r="AY491" s="124" t="str">
        <f>IF($B491="","",IF(AY$3=0,"n.b.",INDEX(SRC_ZPMW03!$A$1:$ZZ$501,$A491,AY$3)))</f>
        <v/>
      </c>
      <c r="AZ491" s="124" t="str">
        <f>IF($B491="","",IF(AZ$3=0,"n.b.",INDEX(SRC_ZPMW03!$A$1:$ZZ$501,$A491,AZ$3)))</f>
        <v/>
      </c>
      <c r="BA491" s="124" t="str">
        <f>IF($B491="","",IF(BA$3=0,"n.b.",INDEX(SRC_ZPMW03!$A$1:$ZZ$501,$A491,BA$3)))</f>
        <v/>
      </c>
      <c r="BB491" s="124" t="str">
        <f>IF($B491="","",IF(BB$3=0,"n.b.",INDEX(SRC_ZPMW03!$A$1:$ZZ$501,$A491,BB$3)))</f>
        <v/>
      </c>
      <c r="BC491" s="124" t="str">
        <f>IF($B491="","",IF(BC$3=0,"n.b.",INDEX(SRC_ZPMW03!$A$1:$ZZ$501,$A491,BC$3)))</f>
        <v/>
      </c>
      <c r="BD491" s="124" t="str">
        <f>IF($B491="","",IF(BD$3=0,"n.b.",INDEX(SRC_ZPMW03!$A$1:$ZZ$501,$A491,BD$3)))</f>
        <v/>
      </c>
      <c r="BE491" s="124" t="str">
        <f>IF($B491="","",IF(BE$3=0,"n.b.",INDEX(SRC_ZPMW03!$A$1:$ZZ$501,$A491,BE$3)))</f>
        <v/>
      </c>
      <c r="BF491" s="124" t="str">
        <f>IF($B491="","",IF(BF$3=0,"n.b.",INDEX(SRC_ZPMW03!$A$1:$ZZ$501,$A491,BF$3)))</f>
        <v/>
      </c>
      <c r="BG491" t="str">
        <f>IF($B491="","",IF(BG$3=0,"n.b.",INDEX(SRC_ZPMW03!$A$1:$ZZ$501,$A491,BG$3)))</f>
        <v/>
      </c>
      <c r="BH491" t="str">
        <f>IF($B491="","",IF(BH$3=0,"n.b.",INDEX(SRC_ZPMW03!$A$1:$ZZ$501,$A491,BH$3)))</f>
        <v/>
      </c>
      <c r="BI491" t="str">
        <f>IF($B491="","",IF(BI$3=0,"n.b.",INDEX(SRC_ZPMW03!$A$1:$ZZ$501,$A491,BI$3)))</f>
        <v/>
      </c>
      <c r="BJ491" t="str">
        <f>IF($B491="","",IF(BJ$3=0,"n.b.",INDEX(SRC_ZPMW03!$A$1:$ZZ$501,$A491,BJ$3)))</f>
        <v/>
      </c>
      <c r="BK491" s="124" t="str">
        <f>IF($B491="","",IFERROR(-O491,"n.b."))</f>
        <v/>
      </c>
      <c r="BL491" s="124" t="str">
        <f>IF($B491="","",IFERROR(-Q491,"n.b."))</f>
        <v/>
      </c>
      <c r="BM491" s="124" t="str">
        <f>IF($B491="","",IFERROR(-AB491,"n.b."))</f>
        <v/>
      </c>
      <c r="BN491" s="124" t="str">
        <f>IF($B491="","",IFERROR(-AD491,"n.b."))</f>
        <v/>
      </c>
      <c r="BO491" s="124" t="str">
        <f>IF($B491="","",IFERROR(BK491+BM491,"n.b."))</f>
        <v/>
      </c>
      <c r="BP491" s="124" t="str">
        <f>IF($B491="","",IFERROR(BL491+BN491,"n.b."))</f>
        <v/>
      </c>
      <c r="BQ491" s="124" t="str">
        <f>IF($B491="","",IFERROR(-AM491,"n.b."))</f>
        <v/>
      </c>
      <c r="BR491" s="124" t="str">
        <f>IF($B491="","",IFERROR(-AO491,"n.b."))</f>
        <v/>
      </c>
      <c r="BS491" s="124" t="str">
        <f>IF($B491="","",IFERROR(-Z491,"n.b."))</f>
        <v/>
      </c>
      <c r="BT491" s="124" t="str">
        <f>IF($B491="","",IFERROR(-AA491,"n.b."))</f>
        <v/>
      </c>
      <c r="BU491" s="124" t="str">
        <f>IF($B491="","",IFERROR(-AE491,"n.b."))</f>
        <v/>
      </c>
      <c r="BV491" s="124" t="str">
        <f>IF($B491="","",IFERROR(-AF491,"n.b."))</f>
        <v/>
      </c>
      <c r="BW491" s="124" t="str">
        <f>IF($B491="","",IFERROR(-AG491,"n.b."))</f>
        <v/>
      </c>
      <c r="BX491" s="124" t="str">
        <f>IF($B491="","",IFERROR(-AH491,"n.b."))</f>
        <v/>
      </c>
      <c r="BY491" s="124" t="str">
        <f>IF($B491="","",IFERROR(-AI491,"n.b."))</f>
        <v/>
      </c>
      <c r="BZ491" s="124" t="str">
        <f>IF($B491="","",IFERROR(-AJ491,"n.b."))</f>
        <v/>
      </c>
      <c r="CA491" s="124" t="str">
        <f>IF($B491="","",IFERROR(-AK491,"n.b."))</f>
        <v/>
      </c>
      <c r="CB491" s="124" t="str">
        <f>IF($B491="","",IFERROR(-AL491,"n.b."))</f>
        <v/>
      </c>
      <c r="CC491" s="124" t="str">
        <f>IF($B491="","",IFERROR(-AP491,"n.b."))</f>
        <v/>
      </c>
      <c r="CD491" s="124" t="str">
        <f>IF($B491="","",IFERROR(-AQ491,"n.b."))</f>
        <v/>
      </c>
      <c r="CE491" s="124" t="str">
        <f>IF($B491="","",IFERROR(-AR491,"n.b."))</f>
        <v/>
      </c>
      <c r="CF491" s="124" t="str">
        <f>IF($B491="","",IFERROR(-AS491,"n.b."))</f>
        <v/>
      </c>
      <c r="CG491" s="124" t="str">
        <f>IF($B491="","",IFERROR(-AT491,"n.b."))</f>
        <v/>
      </c>
      <c r="CH491" s="124" t="str">
        <f>IF($B491="","",IFERROR(-AU491,"n.b."))</f>
        <v/>
      </c>
      <c r="CI491" s="124" t="str">
        <f>IF($B491="","",IFERROR(-AV491,"n.b."))</f>
        <v/>
      </c>
      <c r="CJ491" s="124" t="str">
        <f>IF($B491="","",IFERROR(-AW491,"n.b."))</f>
        <v/>
      </c>
      <c r="CK491" s="124" t="str">
        <f>IF($B491="","",IFERROR(-AX491,"n.b."))</f>
        <v/>
      </c>
      <c r="CL491" s="124" t="str">
        <f>IF($B491="","",IFERROR(-AY491,"n.b."))</f>
        <v/>
      </c>
      <c r="CM491" s="124" t="str">
        <f>IF($B491="","",IFERROR(-AZ491,"n.b."))</f>
        <v/>
      </c>
      <c r="CN491" s="124" t="str">
        <f>IF($B491="","",IFERROR(-BA491,"n.b."))</f>
        <v/>
      </c>
      <c r="CO491" s="124" t="str">
        <f>IF($B491="","",IFERROR(-BB491,"n.b."))</f>
        <v/>
      </c>
      <c r="CP491" s="124" t="str">
        <f>IF($B491="","",IFERROR(-BC491,"n.b."))</f>
        <v/>
      </c>
      <c r="CQ491" s="124" t="str">
        <f>IF($B491="","",IFERROR(-BD491,"n.b."))</f>
        <v/>
      </c>
      <c r="CR491" s="124" t="str">
        <f>IF($B491="","",IFERROR(-BE491,"n.b."))</f>
        <v/>
      </c>
      <c r="CS491" s="124" t="str">
        <f>IF($B491="","",IFERROR(IF(OR(ABS(T491+V491+X491+Z491-AB491)&gt;P_Tol,ABS(U491+W491+Y491+AA491-AD491)&gt;P_Tol,ABS(AE491+AG491+AI491+AK491-AM491)&gt;P_Tol,ABS(AF491+AH491+AJ491+AL491-AO491)&gt;P_Tol),1,0),1))</f>
        <v/>
      </c>
      <c r="CT491" s="124" t="str">
        <f>IF($B491="","",IFERROR(IF(OR(ABS(AB491+AC491-AD491)&gt;P_Tol,ABS(AM491+AN491-AO491)&gt;P_Tol,ABS(O491+P491-Q491)&gt;P_Tol),1,0),1))</f>
        <v/>
      </c>
      <c r="CU491" s="124" t="str">
        <f>IF($B491="","",IFERROR(IF(ABS(R491-(AB491+AM491+AP491+AR491+AT491+AV491+AX491+AZ491+BB491+BD491))&gt;P_Tol,1,0),1))</f>
        <v/>
      </c>
      <c r="CV491" s="124" t="str">
        <f>IF($B491="","",IFERROR(IF(ABS(M491-(N491+O491+R491))&gt;P_Tol,1,0),1))</f>
        <v/>
      </c>
      <c r="CW491" s="124" t="str">
        <f>IF($B491="","",IF(COUNTIF(Mapping!$A$5:$A$104,B491)&gt;0,1,0))</f>
        <v/>
      </c>
      <c r="CX491" s="124" t="str">
        <f>IF($B491="","",COUNTIF($B$6:$B$505,B491))</f>
        <v/>
      </c>
      <c r="CY491" s="124" t="str">
        <f>IF($B491="","",COUNTIF(STG_Woningetalage!$B$6:$B$505,B491))</f>
        <v/>
      </c>
      <c r="CZ491" s="124" t="str">
        <f>IF($B491="","",IF(CW491=0,COUNTIF($CW$6:CW491,0),""))</f>
        <v/>
      </c>
    </row>
    <row r="492">
      <c r="A492" s="15" t="n">
        <v>488</v>
      </c>
      <c r="B492" t="str">
        <f>IF(B$3=0,"",IF(INDEX(SRC_ZPMW03!$A$1:$ZZ$501,$A492,B$3)&amp;""="","",INDEX(SRC_ZPMW03!$A$1:$ZZ$501,$A492,B$3)&amp;""))</f>
        <v/>
      </c>
      <c r="C492" t="str">
        <f>IF($B492="","",IF(C$3=0,"n.b.",INDEX(SRC_ZPMW03!$A$1:$ZZ$501,$A492,C$3)))</f>
        <v/>
      </c>
      <c r="D492" t="str">
        <f>IF($B492="","",IF(D$3=0,"n.b.",INDEX(SRC_ZPMW03!$A$1:$ZZ$501,$A492,D$3)))</f>
        <v/>
      </c>
      <c r="E492" t="str">
        <f>IF($B492="","",IF(E$3=0,"n.b.",INDEX(SRC_ZPMW03!$A$1:$ZZ$501,$A492,E$3)))</f>
        <v/>
      </c>
      <c r="F492" t="str">
        <f>IF($B492="","",IF(F$3=0,"n.b.",INDEX(SRC_ZPMW03!$A$1:$ZZ$501,$A492,F$3)))</f>
        <v/>
      </c>
      <c r="G492" t="str">
        <f>IF($B492="","",IF(G$3=0,"n.b.",INDEX(SRC_ZPMW03!$A$1:$ZZ$501,$A492,G$3)))</f>
        <v/>
      </c>
      <c r="H492" t="str">
        <f>IF($B492="","",IF(H$3=0,"n.b.",INDEX(SRC_ZPMW03!$A$1:$ZZ$501,$A492,H$3)))</f>
        <v/>
      </c>
      <c r="I492" t="str">
        <f>IF($B492="","",IF(I$3=0,"n.b.",INDEX(SRC_ZPMW03!$A$1:$ZZ$501,$A492,I$3)))</f>
        <v/>
      </c>
      <c r="J492" t="str">
        <f>IF($B492="","",IF(J$3=0,"n.b.",INDEX(SRC_ZPMW03!$A$1:$ZZ$501,$A492,J$3)))</f>
        <v/>
      </c>
      <c r="K492" t="str">
        <f>IF($B492="","",IF(K$3=0,"n.b.",INDEX(SRC_ZPMW03!$A$1:$ZZ$501,$A492,K$3)))</f>
        <v/>
      </c>
      <c r="L492" s="124" t="str">
        <f>IF($B492="","",IF(L$3=0,"n.b.",INDEX(SRC_ZPMW03!$A$1:$ZZ$501,$A492,L$3)))</f>
        <v/>
      </c>
      <c r="M492" s="124" t="str">
        <f>IF($B492="","",IF(M$3=0,"n.b.",INDEX(SRC_ZPMW03!$A$1:$ZZ$501,$A492,M$3)))</f>
        <v/>
      </c>
      <c r="N492" s="124" t="str">
        <f>IF($B492="","",IF(N$3=0,"n.b.",INDEX(SRC_ZPMW03!$A$1:$ZZ$501,$A492,N$3)))</f>
        <v/>
      </c>
      <c r="O492" s="124" t="str">
        <f>IF($B492="","",IF(O$3=0,"n.b.",INDEX(SRC_ZPMW03!$A$1:$ZZ$501,$A492,O$3)))</f>
        <v/>
      </c>
      <c r="P492" s="124" t="str">
        <f>IF($B492="","",IF(P$3=0,"n.b.",INDEX(SRC_ZPMW03!$A$1:$ZZ$501,$A492,P$3)))</f>
        <v/>
      </c>
      <c r="Q492" s="124" t="str">
        <f>IF($B492="","",IF(Q$3=0,"n.b.",INDEX(SRC_ZPMW03!$A$1:$ZZ$501,$A492,Q$3)))</f>
        <v/>
      </c>
      <c r="R492" s="124" t="str">
        <f>IF($B492="","",IF(R$3=0,"n.b.",INDEX(SRC_ZPMW03!$A$1:$ZZ$501,$A492,R$3)))</f>
        <v/>
      </c>
      <c r="S492" s="124" t="str">
        <f>IF($B492="","",IF(S$3=0,"n.b.",INDEX(SRC_ZPMW03!$A$1:$ZZ$501,$A492,S$3)))</f>
        <v/>
      </c>
      <c r="T492" s="124" t="str">
        <f>IF($B492="","",IF(T$3=0,"n.b.",INDEX(SRC_ZPMW03!$A$1:$ZZ$501,$A492,T$3)))</f>
        <v/>
      </c>
      <c r="U492" s="124" t="str">
        <f>IF($B492="","",IF(U$3=0,"n.b.",INDEX(SRC_ZPMW03!$A$1:$ZZ$501,$A492,U$3)))</f>
        <v/>
      </c>
      <c r="V492" s="124" t="str">
        <f>IF($B492="","",IF(V$3=0,"n.b.",INDEX(SRC_ZPMW03!$A$1:$ZZ$501,$A492,V$3)))</f>
        <v/>
      </c>
      <c r="W492" s="124" t="str">
        <f>IF($B492="","",IF(W$3=0,"n.b.",INDEX(SRC_ZPMW03!$A$1:$ZZ$501,$A492,W$3)))</f>
        <v/>
      </c>
      <c r="X492" s="124" t="str">
        <f>IF($B492="","",IF(X$3=0,"n.b.",INDEX(SRC_ZPMW03!$A$1:$ZZ$501,$A492,X$3)))</f>
        <v/>
      </c>
      <c r="Y492" s="124" t="str">
        <f>IF($B492="","",IF(Y$3=0,"n.b.",INDEX(SRC_ZPMW03!$A$1:$ZZ$501,$A492,Y$3)))</f>
        <v/>
      </c>
      <c r="Z492" s="124" t="str">
        <f>IF($B492="","",IF(Z$3=0,"n.b.",INDEX(SRC_ZPMW03!$A$1:$ZZ$501,$A492,Z$3)))</f>
        <v/>
      </c>
      <c r="AA492" s="124" t="str">
        <f>IF($B492="","",IF(AA$3=0,"n.b.",INDEX(SRC_ZPMW03!$A$1:$ZZ$501,$A492,AA$3)))</f>
        <v/>
      </c>
      <c r="AB492" s="124" t="str">
        <f>IF($B492="","",IF(AB$3=0,"n.b.",INDEX(SRC_ZPMW03!$A$1:$ZZ$501,$A492,AB$3)))</f>
        <v/>
      </c>
      <c r="AC492" s="124" t="str">
        <f>IF($B492="","",IF(AC$3=0,"n.b.",INDEX(SRC_ZPMW03!$A$1:$ZZ$501,$A492,AC$3)))</f>
        <v/>
      </c>
      <c r="AD492" s="124" t="str">
        <f>IF($B492="","",IF(AD$3=0,"n.b.",INDEX(SRC_ZPMW03!$A$1:$ZZ$501,$A492,AD$3)))</f>
        <v/>
      </c>
      <c r="AE492" s="124" t="str">
        <f>IF($B492="","",IF(AE$3=0,"n.b.",INDEX(SRC_ZPMW03!$A$1:$ZZ$501,$A492,AE$3)))</f>
        <v/>
      </c>
      <c r="AF492" s="124" t="str">
        <f>IF($B492="","",IF(AF$3=0,"n.b.",INDEX(SRC_ZPMW03!$A$1:$ZZ$501,$A492,AF$3)))</f>
        <v/>
      </c>
      <c r="AG492" s="124" t="str">
        <f>IF($B492="","",IF(AG$3=0,"n.b.",INDEX(SRC_ZPMW03!$A$1:$ZZ$501,$A492,AG$3)))</f>
        <v/>
      </c>
      <c r="AH492" s="124" t="str">
        <f>IF($B492="","",IF(AH$3=0,"n.b.",INDEX(SRC_ZPMW03!$A$1:$ZZ$501,$A492,AH$3)))</f>
        <v/>
      </c>
      <c r="AI492" s="124" t="str">
        <f>IF($B492="","",IF(AI$3=0,"n.b.",INDEX(SRC_ZPMW03!$A$1:$ZZ$501,$A492,AI$3)))</f>
        <v/>
      </c>
      <c r="AJ492" s="124" t="str">
        <f>IF($B492="","",IF(AJ$3=0,"n.b.",INDEX(SRC_ZPMW03!$A$1:$ZZ$501,$A492,AJ$3)))</f>
        <v/>
      </c>
      <c r="AK492" s="124" t="str">
        <f>IF($B492="","",IF(AK$3=0,"n.b.",INDEX(SRC_ZPMW03!$A$1:$ZZ$501,$A492,AK$3)))</f>
        <v/>
      </c>
      <c r="AL492" s="124" t="str">
        <f>IF($B492="","",IF(AL$3=0,"n.b.",INDEX(SRC_ZPMW03!$A$1:$ZZ$501,$A492,AL$3)))</f>
        <v/>
      </c>
      <c r="AM492" s="124" t="str">
        <f>IF($B492="","",IF(AM$3=0,"n.b.",INDEX(SRC_ZPMW03!$A$1:$ZZ$501,$A492,AM$3)))</f>
        <v/>
      </c>
      <c r="AN492" s="124" t="str">
        <f>IF($B492="","",IF(AN$3=0,"n.b.",INDEX(SRC_ZPMW03!$A$1:$ZZ$501,$A492,AN$3)))</f>
        <v/>
      </c>
      <c r="AO492" s="124" t="str">
        <f>IF($B492="","",IF(AO$3=0,"n.b.",INDEX(SRC_ZPMW03!$A$1:$ZZ$501,$A492,AO$3)))</f>
        <v/>
      </c>
      <c r="AP492" s="124" t="str">
        <f>IF($B492="","",IF(AP$3=0,"n.b.",INDEX(SRC_ZPMW03!$A$1:$ZZ$501,$A492,AP$3)))</f>
        <v/>
      </c>
      <c r="AQ492" s="124" t="str">
        <f>IF($B492="","",IF(AQ$3=0,"n.b.",INDEX(SRC_ZPMW03!$A$1:$ZZ$501,$A492,AQ$3)))</f>
        <v/>
      </c>
      <c r="AR492" s="124" t="str">
        <f>IF($B492="","",IF(AR$3=0,"n.b.",INDEX(SRC_ZPMW03!$A$1:$ZZ$501,$A492,AR$3)))</f>
        <v/>
      </c>
      <c r="AS492" s="124" t="str">
        <f>IF($B492="","",IF(AS$3=0,"n.b.",INDEX(SRC_ZPMW03!$A$1:$ZZ$501,$A492,AS$3)))</f>
        <v/>
      </c>
      <c r="AT492" s="124" t="str">
        <f>IF($B492="","",IF(AT$3=0,"n.b.",INDEX(SRC_ZPMW03!$A$1:$ZZ$501,$A492,AT$3)))</f>
        <v/>
      </c>
      <c r="AU492" s="124" t="str">
        <f>IF($B492="","",IF(AU$3=0,"n.b.",INDEX(SRC_ZPMW03!$A$1:$ZZ$501,$A492,AU$3)))</f>
        <v/>
      </c>
      <c r="AV492" s="124" t="str">
        <f>IF($B492="","",IF(AV$3=0,"n.b.",INDEX(SRC_ZPMW03!$A$1:$ZZ$501,$A492,AV$3)))</f>
        <v/>
      </c>
      <c r="AW492" s="124" t="str">
        <f>IF($B492="","",IF(AW$3=0,"n.b.",INDEX(SRC_ZPMW03!$A$1:$ZZ$501,$A492,AW$3)))</f>
        <v/>
      </c>
      <c r="AX492" s="124" t="str">
        <f>IF($B492="","",IF(AX$3=0,"n.b.",INDEX(SRC_ZPMW03!$A$1:$ZZ$501,$A492,AX$3)))</f>
        <v/>
      </c>
      <c r="AY492" s="124" t="str">
        <f>IF($B492="","",IF(AY$3=0,"n.b.",INDEX(SRC_ZPMW03!$A$1:$ZZ$501,$A492,AY$3)))</f>
        <v/>
      </c>
      <c r="AZ492" s="124" t="str">
        <f>IF($B492="","",IF(AZ$3=0,"n.b.",INDEX(SRC_ZPMW03!$A$1:$ZZ$501,$A492,AZ$3)))</f>
        <v/>
      </c>
      <c r="BA492" s="124" t="str">
        <f>IF($B492="","",IF(BA$3=0,"n.b.",INDEX(SRC_ZPMW03!$A$1:$ZZ$501,$A492,BA$3)))</f>
        <v/>
      </c>
      <c r="BB492" s="124" t="str">
        <f>IF($B492="","",IF(BB$3=0,"n.b.",INDEX(SRC_ZPMW03!$A$1:$ZZ$501,$A492,BB$3)))</f>
        <v/>
      </c>
      <c r="BC492" s="124" t="str">
        <f>IF($B492="","",IF(BC$3=0,"n.b.",INDEX(SRC_ZPMW03!$A$1:$ZZ$501,$A492,BC$3)))</f>
        <v/>
      </c>
      <c r="BD492" s="124" t="str">
        <f>IF($B492="","",IF(BD$3=0,"n.b.",INDEX(SRC_ZPMW03!$A$1:$ZZ$501,$A492,BD$3)))</f>
        <v/>
      </c>
      <c r="BE492" s="124" t="str">
        <f>IF($B492="","",IF(BE$3=0,"n.b.",INDEX(SRC_ZPMW03!$A$1:$ZZ$501,$A492,BE$3)))</f>
        <v/>
      </c>
      <c r="BF492" s="124" t="str">
        <f>IF($B492="","",IF(BF$3=0,"n.b.",INDEX(SRC_ZPMW03!$A$1:$ZZ$501,$A492,BF$3)))</f>
        <v/>
      </c>
      <c r="BG492" t="str">
        <f>IF($B492="","",IF(BG$3=0,"n.b.",INDEX(SRC_ZPMW03!$A$1:$ZZ$501,$A492,BG$3)))</f>
        <v/>
      </c>
      <c r="BH492" t="str">
        <f>IF($B492="","",IF(BH$3=0,"n.b.",INDEX(SRC_ZPMW03!$A$1:$ZZ$501,$A492,BH$3)))</f>
        <v/>
      </c>
      <c r="BI492" t="str">
        <f>IF($B492="","",IF(BI$3=0,"n.b.",INDEX(SRC_ZPMW03!$A$1:$ZZ$501,$A492,BI$3)))</f>
        <v/>
      </c>
      <c r="BJ492" t="str">
        <f>IF($B492="","",IF(BJ$3=0,"n.b.",INDEX(SRC_ZPMW03!$A$1:$ZZ$501,$A492,BJ$3)))</f>
        <v/>
      </c>
      <c r="BK492" s="124" t="str">
        <f>IF($B492="","",IFERROR(-O492,"n.b."))</f>
        <v/>
      </c>
      <c r="BL492" s="124" t="str">
        <f>IF($B492="","",IFERROR(-Q492,"n.b."))</f>
        <v/>
      </c>
      <c r="BM492" s="124" t="str">
        <f>IF($B492="","",IFERROR(-AB492,"n.b."))</f>
        <v/>
      </c>
      <c r="BN492" s="124" t="str">
        <f>IF($B492="","",IFERROR(-AD492,"n.b."))</f>
        <v/>
      </c>
      <c r="BO492" s="124" t="str">
        <f>IF($B492="","",IFERROR(BK492+BM492,"n.b."))</f>
        <v/>
      </c>
      <c r="BP492" s="124" t="str">
        <f>IF($B492="","",IFERROR(BL492+BN492,"n.b."))</f>
        <v/>
      </c>
      <c r="BQ492" s="124" t="str">
        <f>IF($B492="","",IFERROR(-AM492,"n.b."))</f>
        <v/>
      </c>
      <c r="BR492" s="124" t="str">
        <f>IF($B492="","",IFERROR(-AO492,"n.b."))</f>
        <v/>
      </c>
      <c r="BS492" s="124" t="str">
        <f>IF($B492="","",IFERROR(-Z492,"n.b."))</f>
        <v/>
      </c>
      <c r="BT492" s="124" t="str">
        <f>IF($B492="","",IFERROR(-AA492,"n.b."))</f>
        <v/>
      </c>
      <c r="BU492" s="124" t="str">
        <f>IF($B492="","",IFERROR(-AE492,"n.b."))</f>
        <v/>
      </c>
      <c r="BV492" s="124" t="str">
        <f>IF($B492="","",IFERROR(-AF492,"n.b."))</f>
        <v/>
      </c>
      <c r="BW492" s="124" t="str">
        <f>IF($B492="","",IFERROR(-AG492,"n.b."))</f>
        <v/>
      </c>
      <c r="BX492" s="124" t="str">
        <f>IF($B492="","",IFERROR(-AH492,"n.b."))</f>
        <v/>
      </c>
      <c r="BY492" s="124" t="str">
        <f>IF($B492="","",IFERROR(-AI492,"n.b."))</f>
        <v/>
      </c>
      <c r="BZ492" s="124" t="str">
        <f>IF($B492="","",IFERROR(-AJ492,"n.b."))</f>
        <v/>
      </c>
      <c r="CA492" s="124" t="str">
        <f>IF($B492="","",IFERROR(-AK492,"n.b."))</f>
        <v/>
      </c>
      <c r="CB492" s="124" t="str">
        <f>IF($B492="","",IFERROR(-AL492,"n.b."))</f>
        <v/>
      </c>
      <c r="CC492" s="124" t="str">
        <f>IF($B492="","",IFERROR(-AP492,"n.b."))</f>
        <v/>
      </c>
      <c r="CD492" s="124" t="str">
        <f>IF($B492="","",IFERROR(-AQ492,"n.b."))</f>
        <v/>
      </c>
      <c r="CE492" s="124" t="str">
        <f>IF($B492="","",IFERROR(-AR492,"n.b."))</f>
        <v/>
      </c>
      <c r="CF492" s="124" t="str">
        <f>IF($B492="","",IFERROR(-AS492,"n.b."))</f>
        <v/>
      </c>
      <c r="CG492" s="124" t="str">
        <f>IF($B492="","",IFERROR(-AT492,"n.b."))</f>
        <v/>
      </c>
      <c r="CH492" s="124" t="str">
        <f>IF($B492="","",IFERROR(-AU492,"n.b."))</f>
        <v/>
      </c>
      <c r="CI492" s="124" t="str">
        <f>IF($B492="","",IFERROR(-AV492,"n.b."))</f>
        <v/>
      </c>
      <c r="CJ492" s="124" t="str">
        <f>IF($B492="","",IFERROR(-AW492,"n.b."))</f>
        <v/>
      </c>
      <c r="CK492" s="124" t="str">
        <f>IF($B492="","",IFERROR(-AX492,"n.b."))</f>
        <v/>
      </c>
      <c r="CL492" s="124" t="str">
        <f>IF($B492="","",IFERROR(-AY492,"n.b."))</f>
        <v/>
      </c>
      <c r="CM492" s="124" t="str">
        <f>IF($B492="","",IFERROR(-AZ492,"n.b."))</f>
        <v/>
      </c>
      <c r="CN492" s="124" t="str">
        <f>IF($B492="","",IFERROR(-BA492,"n.b."))</f>
        <v/>
      </c>
      <c r="CO492" s="124" t="str">
        <f>IF($B492="","",IFERROR(-BB492,"n.b."))</f>
        <v/>
      </c>
      <c r="CP492" s="124" t="str">
        <f>IF($B492="","",IFERROR(-BC492,"n.b."))</f>
        <v/>
      </c>
      <c r="CQ492" s="124" t="str">
        <f>IF($B492="","",IFERROR(-BD492,"n.b."))</f>
        <v/>
      </c>
      <c r="CR492" s="124" t="str">
        <f>IF($B492="","",IFERROR(-BE492,"n.b."))</f>
        <v/>
      </c>
      <c r="CS492" s="124" t="str">
        <f>IF($B492="","",IFERROR(IF(OR(ABS(T492+V492+X492+Z492-AB492)&gt;P_Tol,ABS(U492+W492+Y492+AA492-AD492)&gt;P_Tol,ABS(AE492+AG492+AI492+AK492-AM492)&gt;P_Tol,ABS(AF492+AH492+AJ492+AL492-AO492)&gt;P_Tol),1,0),1))</f>
        <v/>
      </c>
      <c r="CT492" s="124" t="str">
        <f>IF($B492="","",IFERROR(IF(OR(ABS(AB492+AC492-AD492)&gt;P_Tol,ABS(AM492+AN492-AO492)&gt;P_Tol,ABS(O492+P492-Q492)&gt;P_Tol),1,0),1))</f>
        <v/>
      </c>
      <c r="CU492" s="124" t="str">
        <f>IF($B492="","",IFERROR(IF(ABS(R492-(AB492+AM492+AP492+AR492+AT492+AV492+AX492+AZ492+BB492+BD492))&gt;P_Tol,1,0),1))</f>
        <v/>
      </c>
      <c r="CV492" s="124" t="str">
        <f>IF($B492="","",IFERROR(IF(ABS(M492-(N492+O492+R492))&gt;P_Tol,1,0),1))</f>
        <v/>
      </c>
      <c r="CW492" s="124" t="str">
        <f>IF($B492="","",IF(COUNTIF(Mapping!$A$5:$A$104,B492)&gt;0,1,0))</f>
        <v/>
      </c>
      <c r="CX492" s="124" t="str">
        <f>IF($B492="","",COUNTIF($B$6:$B$505,B492))</f>
        <v/>
      </c>
      <c r="CY492" s="124" t="str">
        <f>IF($B492="","",COUNTIF(STG_Woningetalage!$B$6:$B$505,B492))</f>
        <v/>
      </c>
      <c r="CZ492" s="124" t="str">
        <f>IF($B492="","",IF(CW492=0,COUNTIF($CW$6:CW492,0),""))</f>
        <v/>
      </c>
    </row>
    <row r="493">
      <c r="A493" s="15" t="n">
        <v>489</v>
      </c>
      <c r="B493" t="str">
        <f>IF(B$3=0,"",IF(INDEX(SRC_ZPMW03!$A$1:$ZZ$501,$A493,B$3)&amp;""="","",INDEX(SRC_ZPMW03!$A$1:$ZZ$501,$A493,B$3)&amp;""))</f>
        <v/>
      </c>
      <c r="C493" t="str">
        <f>IF($B493="","",IF(C$3=0,"n.b.",INDEX(SRC_ZPMW03!$A$1:$ZZ$501,$A493,C$3)))</f>
        <v/>
      </c>
      <c r="D493" t="str">
        <f>IF($B493="","",IF(D$3=0,"n.b.",INDEX(SRC_ZPMW03!$A$1:$ZZ$501,$A493,D$3)))</f>
        <v/>
      </c>
      <c r="E493" t="str">
        <f>IF($B493="","",IF(E$3=0,"n.b.",INDEX(SRC_ZPMW03!$A$1:$ZZ$501,$A493,E$3)))</f>
        <v/>
      </c>
      <c r="F493" t="str">
        <f>IF($B493="","",IF(F$3=0,"n.b.",INDEX(SRC_ZPMW03!$A$1:$ZZ$501,$A493,F$3)))</f>
        <v/>
      </c>
      <c r="G493" t="str">
        <f>IF($B493="","",IF(G$3=0,"n.b.",INDEX(SRC_ZPMW03!$A$1:$ZZ$501,$A493,G$3)))</f>
        <v/>
      </c>
      <c r="H493" t="str">
        <f>IF($B493="","",IF(H$3=0,"n.b.",INDEX(SRC_ZPMW03!$A$1:$ZZ$501,$A493,H$3)))</f>
        <v/>
      </c>
      <c r="I493" t="str">
        <f>IF($B493="","",IF(I$3=0,"n.b.",INDEX(SRC_ZPMW03!$A$1:$ZZ$501,$A493,I$3)))</f>
        <v/>
      </c>
      <c r="J493" t="str">
        <f>IF($B493="","",IF(J$3=0,"n.b.",INDEX(SRC_ZPMW03!$A$1:$ZZ$501,$A493,J$3)))</f>
        <v/>
      </c>
      <c r="K493" t="str">
        <f>IF($B493="","",IF(K$3=0,"n.b.",INDEX(SRC_ZPMW03!$A$1:$ZZ$501,$A493,K$3)))</f>
        <v/>
      </c>
      <c r="L493" s="124" t="str">
        <f>IF($B493="","",IF(L$3=0,"n.b.",INDEX(SRC_ZPMW03!$A$1:$ZZ$501,$A493,L$3)))</f>
        <v/>
      </c>
      <c r="M493" s="124" t="str">
        <f>IF($B493="","",IF(M$3=0,"n.b.",INDEX(SRC_ZPMW03!$A$1:$ZZ$501,$A493,M$3)))</f>
        <v/>
      </c>
      <c r="N493" s="124" t="str">
        <f>IF($B493="","",IF(N$3=0,"n.b.",INDEX(SRC_ZPMW03!$A$1:$ZZ$501,$A493,N$3)))</f>
        <v/>
      </c>
      <c r="O493" s="124" t="str">
        <f>IF($B493="","",IF(O$3=0,"n.b.",INDEX(SRC_ZPMW03!$A$1:$ZZ$501,$A493,O$3)))</f>
        <v/>
      </c>
      <c r="P493" s="124" t="str">
        <f>IF($B493="","",IF(P$3=0,"n.b.",INDEX(SRC_ZPMW03!$A$1:$ZZ$501,$A493,P$3)))</f>
        <v/>
      </c>
      <c r="Q493" s="124" t="str">
        <f>IF($B493="","",IF(Q$3=0,"n.b.",INDEX(SRC_ZPMW03!$A$1:$ZZ$501,$A493,Q$3)))</f>
        <v/>
      </c>
      <c r="R493" s="124" t="str">
        <f>IF($B493="","",IF(R$3=0,"n.b.",INDEX(SRC_ZPMW03!$A$1:$ZZ$501,$A493,R$3)))</f>
        <v/>
      </c>
      <c r="S493" s="124" t="str">
        <f>IF($B493="","",IF(S$3=0,"n.b.",INDEX(SRC_ZPMW03!$A$1:$ZZ$501,$A493,S$3)))</f>
        <v/>
      </c>
      <c r="T493" s="124" t="str">
        <f>IF($B493="","",IF(T$3=0,"n.b.",INDEX(SRC_ZPMW03!$A$1:$ZZ$501,$A493,T$3)))</f>
        <v/>
      </c>
      <c r="U493" s="124" t="str">
        <f>IF($B493="","",IF(U$3=0,"n.b.",INDEX(SRC_ZPMW03!$A$1:$ZZ$501,$A493,U$3)))</f>
        <v/>
      </c>
      <c r="V493" s="124" t="str">
        <f>IF($B493="","",IF(V$3=0,"n.b.",INDEX(SRC_ZPMW03!$A$1:$ZZ$501,$A493,V$3)))</f>
        <v/>
      </c>
      <c r="W493" s="124" t="str">
        <f>IF($B493="","",IF(W$3=0,"n.b.",INDEX(SRC_ZPMW03!$A$1:$ZZ$501,$A493,W$3)))</f>
        <v/>
      </c>
      <c r="X493" s="124" t="str">
        <f>IF($B493="","",IF(X$3=0,"n.b.",INDEX(SRC_ZPMW03!$A$1:$ZZ$501,$A493,X$3)))</f>
        <v/>
      </c>
      <c r="Y493" s="124" t="str">
        <f>IF($B493="","",IF(Y$3=0,"n.b.",INDEX(SRC_ZPMW03!$A$1:$ZZ$501,$A493,Y$3)))</f>
        <v/>
      </c>
      <c r="Z493" s="124" t="str">
        <f>IF($B493="","",IF(Z$3=0,"n.b.",INDEX(SRC_ZPMW03!$A$1:$ZZ$501,$A493,Z$3)))</f>
        <v/>
      </c>
      <c r="AA493" s="124" t="str">
        <f>IF($B493="","",IF(AA$3=0,"n.b.",INDEX(SRC_ZPMW03!$A$1:$ZZ$501,$A493,AA$3)))</f>
        <v/>
      </c>
      <c r="AB493" s="124" t="str">
        <f>IF($B493="","",IF(AB$3=0,"n.b.",INDEX(SRC_ZPMW03!$A$1:$ZZ$501,$A493,AB$3)))</f>
        <v/>
      </c>
      <c r="AC493" s="124" t="str">
        <f>IF($B493="","",IF(AC$3=0,"n.b.",INDEX(SRC_ZPMW03!$A$1:$ZZ$501,$A493,AC$3)))</f>
        <v/>
      </c>
      <c r="AD493" s="124" t="str">
        <f>IF($B493="","",IF(AD$3=0,"n.b.",INDEX(SRC_ZPMW03!$A$1:$ZZ$501,$A493,AD$3)))</f>
        <v/>
      </c>
      <c r="AE493" s="124" t="str">
        <f>IF($B493="","",IF(AE$3=0,"n.b.",INDEX(SRC_ZPMW03!$A$1:$ZZ$501,$A493,AE$3)))</f>
        <v/>
      </c>
      <c r="AF493" s="124" t="str">
        <f>IF($B493="","",IF(AF$3=0,"n.b.",INDEX(SRC_ZPMW03!$A$1:$ZZ$501,$A493,AF$3)))</f>
        <v/>
      </c>
      <c r="AG493" s="124" t="str">
        <f>IF($B493="","",IF(AG$3=0,"n.b.",INDEX(SRC_ZPMW03!$A$1:$ZZ$501,$A493,AG$3)))</f>
        <v/>
      </c>
      <c r="AH493" s="124" t="str">
        <f>IF($B493="","",IF(AH$3=0,"n.b.",INDEX(SRC_ZPMW03!$A$1:$ZZ$501,$A493,AH$3)))</f>
        <v/>
      </c>
      <c r="AI493" s="124" t="str">
        <f>IF($B493="","",IF(AI$3=0,"n.b.",INDEX(SRC_ZPMW03!$A$1:$ZZ$501,$A493,AI$3)))</f>
        <v/>
      </c>
      <c r="AJ493" s="124" t="str">
        <f>IF($B493="","",IF(AJ$3=0,"n.b.",INDEX(SRC_ZPMW03!$A$1:$ZZ$501,$A493,AJ$3)))</f>
        <v/>
      </c>
      <c r="AK493" s="124" t="str">
        <f>IF($B493="","",IF(AK$3=0,"n.b.",INDEX(SRC_ZPMW03!$A$1:$ZZ$501,$A493,AK$3)))</f>
        <v/>
      </c>
      <c r="AL493" s="124" t="str">
        <f>IF($B493="","",IF(AL$3=0,"n.b.",INDEX(SRC_ZPMW03!$A$1:$ZZ$501,$A493,AL$3)))</f>
        <v/>
      </c>
      <c r="AM493" s="124" t="str">
        <f>IF($B493="","",IF(AM$3=0,"n.b.",INDEX(SRC_ZPMW03!$A$1:$ZZ$501,$A493,AM$3)))</f>
        <v/>
      </c>
      <c r="AN493" s="124" t="str">
        <f>IF($B493="","",IF(AN$3=0,"n.b.",INDEX(SRC_ZPMW03!$A$1:$ZZ$501,$A493,AN$3)))</f>
        <v/>
      </c>
      <c r="AO493" s="124" t="str">
        <f>IF($B493="","",IF(AO$3=0,"n.b.",INDEX(SRC_ZPMW03!$A$1:$ZZ$501,$A493,AO$3)))</f>
        <v/>
      </c>
      <c r="AP493" s="124" t="str">
        <f>IF($B493="","",IF(AP$3=0,"n.b.",INDEX(SRC_ZPMW03!$A$1:$ZZ$501,$A493,AP$3)))</f>
        <v/>
      </c>
      <c r="AQ493" s="124" t="str">
        <f>IF($B493="","",IF(AQ$3=0,"n.b.",INDEX(SRC_ZPMW03!$A$1:$ZZ$501,$A493,AQ$3)))</f>
        <v/>
      </c>
      <c r="AR493" s="124" t="str">
        <f>IF($B493="","",IF(AR$3=0,"n.b.",INDEX(SRC_ZPMW03!$A$1:$ZZ$501,$A493,AR$3)))</f>
        <v/>
      </c>
      <c r="AS493" s="124" t="str">
        <f>IF($B493="","",IF(AS$3=0,"n.b.",INDEX(SRC_ZPMW03!$A$1:$ZZ$501,$A493,AS$3)))</f>
        <v/>
      </c>
      <c r="AT493" s="124" t="str">
        <f>IF($B493="","",IF(AT$3=0,"n.b.",INDEX(SRC_ZPMW03!$A$1:$ZZ$501,$A493,AT$3)))</f>
        <v/>
      </c>
      <c r="AU493" s="124" t="str">
        <f>IF($B493="","",IF(AU$3=0,"n.b.",INDEX(SRC_ZPMW03!$A$1:$ZZ$501,$A493,AU$3)))</f>
        <v/>
      </c>
      <c r="AV493" s="124" t="str">
        <f>IF($B493="","",IF(AV$3=0,"n.b.",INDEX(SRC_ZPMW03!$A$1:$ZZ$501,$A493,AV$3)))</f>
        <v/>
      </c>
      <c r="AW493" s="124" t="str">
        <f>IF($B493="","",IF(AW$3=0,"n.b.",INDEX(SRC_ZPMW03!$A$1:$ZZ$501,$A493,AW$3)))</f>
        <v/>
      </c>
      <c r="AX493" s="124" t="str">
        <f>IF($B493="","",IF(AX$3=0,"n.b.",INDEX(SRC_ZPMW03!$A$1:$ZZ$501,$A493,AX$3)))</f>
        <v/>
      </c>
      <c r="AY493" s="124" t="str">
        <f>IF($B493="","",IF(AY$3=0,"n.b.",INDEX(SRC_ZPMW03!$A$1:$ZZ$501,$A493,AY$3)))</f>
        <v/>
      </c>
      <c r="AZ493" s="124" t="str">
        <f>IF($B493="","",IF(AZ$3=0,"n.b.",INDEX(SRC_ZPMW03!$A$1:$ZZ$501,$A493,AZ$3)))</f>
        <v/>
      </c>
      <c r="BA493" s="124" t="str">
        <f>IF($B493="","",IF(BA$3=0,"n.b.",INDEX(SRC_ZPMW03!$A$1:$ZZ$501,$A493,BA$3)))</f>
        <v/>
      </c>
      <c r="BB493" s="124" t="str">
        <f>IF($B493="","",IF(BB$3=0,"n.b.",INDEX(SRC_ZPMW03!$A$1:$ZZ$501,$A493,BB$3)))</f>
        <v/>
      </c>
      <c r="BC493" s="124" t="str">
        <f>IF($B493="","",IF(BC$3=0,"n.b.",INDEX(SRC_ZPMW03!$A$1:$ZZ$501,$A493,BC$3)))</f>
        <v/>
      </c>
      <c r="BD493" s="124" t="str">
        <f>IF($B493="","",IF(BD$3=0,"n.b.",INDEX(SRC_ZPMW03!$A$1:$ZZ$501,$A493,BD$3)))</f>
        <v/>
      </c>
      <c r="BE493" s="124" t="str">
        <f>IF($B493="","",IF(BE$3=0,"n.b.",INDEX(SRC_ZPMW03!$A$1:$ZZ$501,$A493,BE$3)))</f>
        <v/>
      </c>
      <c r="BF493" s="124" t="str">
        <f>IF($B493="","",IF(BF$3=0,"n.b.",INDEX(SRC_ZPMW03!$A$1:$ZZ$501,$A493,BF$3)))</f>
        <v/>
      </c>
      <c r="BG493" t="str">
        <f>IF($B493="","",IF(BG$3=0,"n.b.",INDEX(SRC_ZPMW03!$A$1:$ZZ$501,$A493,BG$3)))</f>
        <v/>
      </c>
      <c r="BH493" t="str">
        <f>IF($B493="","",IF(BH$3=0,"n.b.",INDEX(SRC_ZPMW03!$A$1:$ZZ$501,$A493,BH$3)))</f>
        <v/>
      </c>
      <c r="BI493" t="str">
        <f>IF($B493="","",IF(BI$3=0,"n.b.",INDEX(SRC_ZPMW03!$A$1:$ZZ$501,$A493,BI$3)))</f>
        <v/>
      </c>
      <c r="BJ493" t="str">
        <f>IF($B493="","",IF(BJ$3=0,"n.b.",INDEX(SRC_ZPMW03!$A$1:$ZZ$501,$A493,BJ$3)))</f>
        <v/>
      </c>
      <c r="BK493" s="124" t="str">
        <f>IF($B493="","",IFERROR(-O493,"n.b."))</f>
        <v/>
      </c>
      <c r="BL493" s="124" t="str">
        <f>IF($B493="","",IFERROR(-Q493,"n.b."))</f>
        <v/>
      </c>
      <c r="BM493" s="124" t="str">
        <f>IF($B493="","",IFERROR(-AB493,"n.b."))</f>
        <v/>
      </c>
      <c r="BN493" s="124" t="str">
        <f>IF($B493="","",IFERROR(-AD493,"n.b."))</f>
        <v/>
      </c>
      <c r="BO493" s="124" t="str">
        <f>IF($B493="","",IFERROR(BK493+BM493,"n.b."))</f>
        <v/>
      </c>
      <c r="BP493" s="124" t="str">
        <f>IF($B493="","",IFERROR(BL493+BN493,"n.b."))</f>
        <v/>
      </c>
      <c r="BQ493" s="124" t="str">
        <f>IF($B493="","",IFERROR(-AM493,"n.b."))</f>
        <v/>
      </c>
      <c r="BR493" s="124" t="str">
        <f>IF($B493="","",IFERROR(-AO493,"n.b."))</f>
        <v/>
      </c>
      <c r="BS493" s="124" t="str">
        <f>IF($B493="","",IFERROR(-Z493,"n.b."))</f>
        <v/>
      </c>
      <c r="BT493" s="124" t="str">
        <f>IF($B493="","",IFERROR(-AA493,"n.b."))</f>
        <v/>
      </c>
      <c r="BU493" s="124" t="str">
        <f>IF($B493="","",IFERROR(-AE493,"n.b."))</f>
        <v/>
      </c>
      <c r="BV493" s="124" t="str">
        <f>IF($B493="","",IFERROR(-AF493,"n.b."))</f>
        <v/>
      </c>
      <c r="BW493" s="124" t="str">
        <f>IF($B493="","",IFERROR(-AG493,"n.b."))</f>
        <v/>
      </c>
      <c r="BX493" s="124" t="str">
        <f>IF($B493="","",IFERROR(-AH493,"n.b."))</f>
        <v/>
      </c>
      <c r="BY493" s="124" t="str">
        <f>IF($B493="","",IFERROR(-AI493,"n.b."))</f>
        <v/>
      </c>
      <c r="BZ493" s="124" t="str">
        <f>IF($B493="","",IFERROR(-AJ493,"n.b."))</f>
        <v/>
      </c>
      <c r="CA493" s="124" t="str">
        <f>IF($B493="","",IFERROR(-AK493,"n.b."))</f>
        <v/>
      </c>
      <c r="CB493" s="124" t="str">
        <f>IF($B493="","",IFERROR(-AL493,"n.b."))</f>
        <v/>
      </c>
      <c r="CC493" s="124" t="str">
        <f>IF($B493="","",IFERROR(-AP493,"n.b."))</f>
        <v/>
      </c>
      <c r="CD493" s="124" t="str">
        <f>IF($B493="","",IFERROR(-AQ493,"n.b."))</f>
        <v/>
      </c>
      <c r="CE493" s="124" t="str">
        <f>IF($B493="","",IFERROR(-AR493,"n.b."))</f>
        <v/>
      </c>
      <c r="CF493" s="124" t="str">
        <f>IF($B493="","",IFERROR(-AS493,"n.b."))</f>
        <v/>
      </c>
      <c r="CG493" s="124" t="str">
        <f>IF($B493="","",IFERROR(-AT493,"n.b."))</f>
        <v/>
      </c>
      <c r="CH493" s="124" t="str">
        <f>IF($B493="","",IFERROR(-AU493,"n.b."))</f>
        <v/>
      </c>
      <c r="CI493" s="124" t="str">
        <f>IF($B493="","",IFERROR(-AV493,"n.b."))</f>
        <v/>
      </c>
      <c r="CJ493" s="124" t="str">
        <f>IF($B493="","",IFERROR(-AW493,"n.b."))</f>
        <v/>
      </c>
      <c r="CK493" s="124" t="str">
        <f>IF($B493="","",IFERROR(-AX493,"n.b."))</f>
        <v/>
      </c>
      <c r="CL493" s="124" t="str">
        <f>IF($B493="","",IFERROR(-AY493,"n.b."))</f>
        <v/>
      </c>
      <c r="CM493" s="124" t="str">
        <f>IF($B493="","",IFERROR(-AZ493,"n.b."))</f>
        <v/>
      </c>
      <c r="CN493" s="124" t="str">
        <f>IF($B493="","",IFERROR(-BA493,"n.b."))</f>
        <v/>
      </c>
      <c r="CO493" s="124" t="str">
        <f>IF($B493="","",IFERROR(-BB493,"n.b."))</f>
        <v/>
      </c>
      <c r="CP493" s="124" t="str">
        <f>IF($B493="","",IFERROR(-BC493,"n.b."))</f>
        <v/>
      </c>
      <c r="CQ493" s="124" t="str">
        <f>IF($B493="","",IFERROR(-BD493,"n.b."))</f>
        <v/>
      </c>
      <c r="CR493" s="124" t="str">
        <f>IF($B493="","",IFERROR(-BE493,"n.b."))</f>
        <v/>
      </c>
      <c r="CS493" s="124" t="str">
        <f>IF($B493="","",IFERROR(IF(OR(ABS(T493+V493+X493+Z493-AB493)&gt;P_Tol,ABS(U493+W493+Y493+AA493-AD493)&gt;P_Tol,ABS(AE493+AG493+AI493+AK493-AM493)&gt;P_Tol,ABS(AF493+AH493+AJ493+AL493-AO493)&gt;P_Tol),1,0),1))</f>
        <v/>
      </c>
      <c r="CT493" s="124" t="str">
        <f>IF($B493="","",IFERROR(IF(OR(ABS(AB493+AC493-AD493)&gt;P_Tol,ABS(AM493+AN493-AO493)&gt;P_Tol,ABS(O493+P493-Q493)&gt;P_Tol),1,0),1))</f>
        <v/>
      </c>
      <c r="CU493" s="124" t="str">
        <f>IF($B493="","",IFERROR(IF(ABS(R493-(AB493+AM493+AP493+AR493+AT493+AV493+AX493+AZ493+BB493+BD493))&gt;P_Tol,1,0),1))</f>
        <v/>
      </c>
      <c r="CV493" s="124" t="str">
        <f>IF($B493="","",IFERROR(IF(ABS(M493-(N493+O493+R493))&gt;P_Tol,1,0),1))</f>
        <v/>
      </c>
      <c r="CW493" s="124" t="str">
        <f>IF($B493="","",IF(COUNTIF(Mapping!$A$5:$A$104,B493)&gt;0,1,0))</f>
        <v/>
      </c>
      <c r="CX493" s="124" t="str">
        <f>IF($B493="","",COUNTIF($B$6:$B$505,B493))</f>
        <v/>
      </c>
      <c r="CY493" s="124" t="str">
        <f>IF($B493="","",COUNTIF(STG_Woningetalage!$B$6:$B$505,B493))</f>
        <v/>
      </c>
      <c r="CZ493" s="124" t="str">
        <f>IF($B493="","",IF(CW493=0,COUNTIF($CW$6:CW493,0),""))</f>
        <v/>
      </c>
    </row>
    <row r="494">
      <c r="A494" s="15" t="n">
        <v>490</v>
      </c>
      <c r="B494" t="str">
        <f>IF(B$3=0,"",IF(INDEX(SRC_ZPMW03!$A$1:$ZZ$501,$A494,B$3)&amp;""="","",INDEX(SRC_ZPMW03!$A$1:$ZZ$501,$A494,B$3)&amp;""))</f>
        <v/>
      </c>
      <c r="C494" t="str">
        <f>IF($B494="","",IF(C$3=0,"n.b.",INDEX(SRC_ZPMW03!$A$1:$ZZ$501,$A494,C$3)))</f>
        <v/>
      </c>
      <c r="D494" t="str">
        <f>IF($B494="","",IF(D$3=0,"n.b.",INDEX(SRC_ZPMW03!$A$1:$ZZ$501,$A494,D$3)))</f>
        <v/>
      </c>
      <c r="E494" t="str">
        <f>IF($B494="","",IF(E$3=0,"n.b.",INDEX(SRC_ZPMW03!$A$1:$ZZ$501,$A494,E$3)))</f>
        <v/>
      </c>
      <c r="F494" t="str">
        <f>IF($B494="","",IF(F$3=0,"n.b.",INDEX(SRC_ZPMW03!$A$1:$ZZ$501,$A494,F$3)))</f>
        <v/>
      </c>
      <c r="G494" t="str">
        <f>IF($B494="","",IF(G$3=0,"n.b.",INDEX(SRC_ZPMW03!$A$1:$ZZ$501,$A494,G$3)))</f>
        <v/>
      </c>
      <c r="H494" t="str">
        <f>IF($B494="","",IF(H$3=0,"n.b.",INDEX(SRC_ZPMW03!$A$1:$ZZ$501,$A494,H$3)))</f>
        <v/>
      </c>
      <c r="I494" t="str">
        <f>IF($B494="","",IF(I$3=0,"n.b.",INDEX(SRC_ZPMW03!$A$1:$ZZ$501,$A494,I$3)))</f>
        <v/>
      </c>
      <c r="J494" t="str">
        <f>IF($B494="","",IF(J$3=0,"n.b.",INDEX(SRC_ZPMW03!$A$1:$ZZ$501,$A494,J$3)))</f>
        <v/>
      </c>
      <c r="K494" t="str">
        <f>IF($B494="","",IF(K$3=0,"n.b.",INDEX(SRC_ZPMW03!$A$1:$ZZ$501,$A494,K$3)))</f>
        <v/>
      </c>
      <c r="L494" s="124" t="str">
        <f>IF($B494="","",IF(L$3=0,"n.b.",INDEX(SRC_ZPMW03!$A$1:$ZZ$501,$A494,L$3)))</f>
        <v/>
      </c>
      <c r="M494" s="124" t="str">
        <f>IF($B494="","",IF(M$3=0,"n.b.",INDEX(SRC_ZPMW03!$A$1:$ZZ$501,$A494,M$3)))</f>
        <v/>
      </c>
      <c r="N494" s="124" t="str">
        <f>IF($B494="","",IF(N$3=0,"n.b.",INDEX(SRC_ZPMW03!$A$1:$ZZ$501,$A494,N$3)))</f>
        <v/>
      </c>
      <c r="O494" s="124" t="str">
        <f>IF($B494="","",IF(O$3=0,"n.b.",INDEX(SRC_ZPMW03!$A$1:$ZZ$501,$A494,O$3)))</f>
        <v/>
      </c>
      <c r="P494" s="124" t="str">
        <f>IF($B494="","",IF(P$3=0,"n.b.",INDEX(SRC_ZPMW03!$A$1:$ZZ$501,$A494,P$3)))</f>
        <v/>
      </c>
      <c r="Q494" s="124" t="str">
        <f>IF($B494="","",IF(Q$3=0,"n.b.",INDEX(SRC_ZPMW03!$A$1:$ZZ$501,$A494,Q$3)))</f>
        <v/>
      </c>
      <c r="R494" s="124" t="str">
        <f>IF($B494="","",IF(R$3=0,"n.b.",INDEX(SRC_ZPMW03!$A$1:$ZZ$501,$A494,R$3)))</f>
        <v/>
      </c>
      <c r="S494" s="124" t="str">
        <f>IF($B494="","",IF(S$3=0,"n.b.",INDEX(SRC_ZPMW03!$A$1:$ZZ$501,$A494,S$3)))</f>
        <v/>
      </c>
      <c r="T494" s="124" t="str">
        <f>IF($B494="","",IF(T$3=0,"n.b.",INDEX(SRC_ZPMW03!$A$1:$ZZ$501,$A494,T$3)))</f>
        <v/>
      </c>
      <c r="U494" s="124" t="str">
        <f>IF($B494="","",IF(U$3=0,"n.b.",INDEX(SRC_ZPMW03!$A$1:$ZZ$501,$A494,U$3)))</f>
        <v/>
      </c>
      <c r="V494" s="124" t="str">
        <f>IF($B494="","",IF(V$3=0,"n.b.",INDEX(SRC_ZPMW03!$A$1:$ZZ$501,$A494,V$3)))</f>
        <v/>
      </c>
      <c r="W494" s="124" t="str">
        <f>IF($B494="","",IF(W$3=0,"n.b.",INDEX(SRC_ZPMW03!$A$1:$ZZ$501,$A494,W$3)))</f>
        <v/>
      </c>
      <c r="X494" s="124" t="str">
        <f>IF($B494="","",IF(X$3=0,"n.b.",INDEX(SRC_ZPMW03!$A$1:$ZZ$501,$A494,X$3)))</f>
        <v/>
      </c>
      <c r="Y494" s="124" t="str">
        <f>IF($B494="","",IF(Y$3=0,"n.b.",INDEX(SRC_ZPMW03!$A$1:$ZZ$501,$A494,Y$3)))</f>
        <v/>
      </c>
      <c r="Z494" s="124" t="str">
        <f>IF($B494="","",IF(Z$3=0,"n.b.",INDEX(SRC_ZPMW03!$A$1:$ZZ$501,$A494,Z$3)))</f>
        <v/>
      </c>
      <c r="AA494" s="124" t="str">
        <f>IF($B494="","",IF(AA$3=0,"n.b.",INDEX(SRC_ZPMW03!$A$1:$ZZ$501,$A494,AA$3)))</f>
        <v/>
      </c>
      <c r="AB494" s="124" t="str">
        <f>IF($B494="","",IF(AB$3=0,"n.b.",INDEX(SRC_ZPMW03!$A$1:$ZZ$501,$A494,AB$3)))</f>
        <v/>
      </c>
      <c r="AC494" s="124" t="str">
        <f>IF($B494="","",IF(AC$3=0,"n.b.",INDEX(SRC_ZPMW03!$A$1:$ZZ$501,$A494,AC$3)))</f>
        <v/>
      </c>
      <c r="AD494" s="124" t="str">
        <f>IF($B494="","",IF(AD$3=0,"n.b.",INDEX(SRC_ZPMW03!$A$1:$ZZ$501,$A494,AD$3)))</f>
        <v/>
      </c>
      <c r="AE494" s="124" t="str">
        <f>IF($B494="","",IF(AE$3=0,"n.b.",INDEX(SRC_ZPMW03!$A$1:$ZZ$501,$A494,AE$3)))</f>
        <v/>
      </c>
      <c r="AF494" s="124" t="str">
        <f>IF($B494="","",IF(AF$3=0,"n.b.",INDEX(SRC_ZPMW03!$A$1:$ZZ$501,$A494,AF$3)))</f>
        <v/>
      </c>
      <c r="AG494" s="124" t="str">
        <f>IF($B494="","",IF(AG$3=0,"n.b.",INDEX(SRC_ZPMW03!$A$1:$ZZ$501,$A494,AG$3)))</f>
        <v/>
      </c>
      <c r="AH494" s="124" t="str">
        <f>IF($B494="","",IF(AH$3=0,"n.b.",INDEX(SRC_ZPMW03!$A$1:$ZZ$501,$A494,AH$3)))</f>
        <v/>
      </c>
      <c r="AI494" s="124" t="str">
        <f>IF($B494="","",IF(AI$3=0,"n.b.",INDEX(SRC_ZPMW03!$A$1:$ZZ$501,$A494,AI$3)))</f>
        <v/>
      </c>
      <c r="AJ494" s="124" t="str">
        <f>IF($B494="","",IF(AJ$3=0,"n.b.",INDEX(SRC_ZPMW03!$A$1:$ZZ$501,$A494,AJ$3)))</f>
        <v/>
      </c>
      <c r="AK494" s="124" t="str">
        <f>IF($B494="","",IF(AK$3=0,"n.b.",INDEX(SRC_ZPMW03!$A$1:$ZZ$501,$A494,AK$3)))</f>
        <v/>
      </c>
      <c r="AL494" s="124" t="str">
        <f>IF($B494="","",IF(AL$3=0,"n.b.",INDEX(SRC_ZPMW03!$A$1:$ZZ$501,$A494,AL$3)))</f>
        <v/>
      </c>
      <c r="AM494" s="124" t="str">
        <f>IF($B494="","",IF(AM$3=0,"n.b.",INDEX(SRC_ZPMW03!$A$1:$ZZ$501,$A494,AM$3)))</f>
        <v/>
      </c>
      <c r="AN494" s="124" t="str">
        <f>IF($B494="","",IF(AN$3=0,"n.b.",INDEX(SRC_ZPMW03!$A$1:$ZZ$501,$A494,AN$3)))</f>
        <v/>
      </c>
      <c r="AO494" s="124" t="str">
        <f>IF($B494="","",IF(AO$3=0,"n.b.",INDEX(SRC_ZPMW03!$A$1:$ZZ$501,$A494,AO$3)))</f>
        <v/>
      </c>
      <c r="AP494" s="124" t="str">
        <f>IF($B494="","",IF(AP$3=0,"n.b.",INDEX(SRC_ZPMW03!$A$1:$ZZ$501,$A494,AP$3)))</f>
        <v/>
      </c>
      <c r="AQ494" s="124" t="str">
        <f>IF($B494="","",IF(AQ$3=0,"n.b.",INDEX(SRC_ZPMW03!$A$1:$ZZ$501,$A494,AQ$3)))</f>
        <v/>
      </c>
      <c r="AR494" s="124" t="str">
        <f>IF($B494="","",IF(AR$3=0,"n.b.",INDEX(SRC_ZPMW03!$A$1:$ZZ$501,$A494,AR$3)))</f>
        <v/>
      </c>
      <c r="AS494" s="124" t="str">
        <f>IF($B494="","",IF(AS$3=0,"n.b.",INDEX(SRC_ZPMW03!$A$1:$ZZ$501,$A494,AS$3)))</f>
        <v/>
      </c>
      <c r="AT494" s="124" t="str">
        <f>IF($B494="","",IF(AT$3=0,"n.b.",INDEX(SRC_ZPMW03!$A$1:$ZZ$501,$A494,AT$3)))</f>
        <v/>
      </c>
      <c r="AU494" s="124" t="str">
        <f>IF($B494="","",IF(AU$3=0,"n.b.",INDEX(SRC_ZPMW03!$A$1:$ZZ$501,$A494,AU$3)))</f>
        <v/>
      </c>
      <c r="AV494" s="124" t="str">
        <f>IF($B494="","",IF(AV$3=0,"n.b.",INDEX(SRC_ZPMW03!$A$1:$ZZ$501,$A494,AV$3)))</f>
        <v/>
      </c>
      <c r="AW494" s="124" t="str">
        <f>IF($B494="","",IF(AW$3=0,"n.b.",INDEX(SRC_ZPMW03!$A$1:$ZZ$501,$A494,AW$3)))</f>
        <v/>
      </c>
      <c r="AX494" s="124" t="str">
        <f>IF($B494="","",IF(AX$3=0,"n.b.",INDEX(SRC_ZPMW03!$A$1:$ZZ$501,$A494,AX$3)))</f>
        <v/>
      </c>
      <c r="AY494" s="124" t="str">
        <f>IF($B494="","",IF(AY$3=0,"n.b.",INDEX(SRC_ZPMW03!$A$1:$ZZ$501,$A494,AY$3)))</f>
        <v/>
      </c>
      <c r="AZ494" s="124" t="str">
        <f>IF($B494="","",IF(AZ$3=0,"n.b.",INDEX(SRC_ZPMW03!$A$1:$ZZ$501,$A494,AZ$3)))</f>
        <v/>
      </c>
      <c r="BA494" s="124" t="str">
        <f>IF($B494="","",IF(BA$3=0,"n.b.",INDEX(SRC_ZPMW03!$A$1:$ZZ$501,$A494,BA$3)))</f>
        <v/>
      </c>
      <c r="BB494" s="124" t="str">
        <f>IF($B494="","",IF(BB$3=0,"n.b.",INDEX(SRC_ZPMW03!$A$1:$ZZ$501,$A494,BB$3)))</f>
        <v/>
      </c>
      <c r="BC494" s="124" t="str">
        <f>IF($B494="","",IF(BC$3=0,"n.b.",INDEX(SRC_ZPMW03!$A$1:$ZZ$501,$A494,BC$3)))</f>
        <v/>
      </c>
      <c r="BD494" s="124" t="str">
        <f>IF($B494="","",IF(BD$3=0,"n.b.",INDEX(SRC_ZPMW03!$A$1:$ZZ$501,$A494,BD$3)))</f>
        <v/>
      </c>
      <c r="BE494" s="124" t="str">
        <f>IF($B494="","",IF(BE$3=0,"n.b.",INDEX(SRC_ZPMW03!$A$1:$ZZ$501,$A494,BE$3)))</f>
        <v/>
      </c>
      <c r="BF494" s="124" t="str">
        <f>IF($B494="","",IF(BF$3=0,"n.b.",INDEX(SRC_ZPMW03!$A$1:$ZZ$501,$A494,BF$3)))</f>
        <v/>
      </c>
      <c r="BG494" t="str">
        <f>IF($B494="","",IF(BG$3=0,"n.b.",INDEX(SRC_ZPMW03!$A$1:$ZZ$501,$A494,BG$3)))</f>
        <v/>
      </c>
      <c r="BH494" t="str">
        <f>IF($B494="","",IF(BH$3=0,"n.b.",INDEX(SRC_ZPMW03!$A$1:$ZZ$501,$A494,BH$3)))</f>
        <v/>
      </c>
      <c r="BI494" t="str">
        <f>IF($B494="","",IF(BI$3=0,"n.b.",INDEX(SRC_ZPMW03!$A$1:$ZZ$501,$A494,BI$3)))</f>
        <v/>
      </c>
      <c r="BJ494" t="str">
        <f>IF($B494="","",IF(BJ$3=0,"n.b.",INDEX(SRC_ZPMW03!$A$1:$ZZ$501,$A494,BJ$3)))</f>
        <v/>
      </c>
      <c r="BK494" s="124" t="str">
        <f>IF($B494="","",IFERROR(-O494,"n.b."))</f>
        <v/>
      </c>
      <c r="BL494" s="124" t="str">
        <f>IF($B494="","",IFERROR(-Q494,"n.b."))</f>
        <v/>
      </c>
      <c r="BM494" s="124" t="str">
        <f>IF($B494="","",IFERROR(-AB494,"n.b."))</f>
        <v/>
      </c>
      <c r="BN494" s="124" t="str">
        <f>IF($B494="","",IFERROR(-AD494,"n.b."))</f>
        <v/>
      </c>
      <c r="BO494" s="124" t="str">
        <f>IF($B494="","",IFERROR(BK494+BM494,"n.b."))</f>
        <v/>
      </c>
      <c r="BP494" s="124" t="str">
        <f>IF($B494="","",IFERROR(BL494+BN494,"n.b."))</f>
        <v/>
      </c>
      <c r="BQ494" s="124" t="str">
        <f>IF($B494="","",IFERROR(-AM494,"n.b."))</f>
        <v/>
      </c>
      <c r="BR494" s="124" t="str">
        <f>IF($B494="","",IFERROR(-AO494,"n.b."))</f>
        <v/>
      </c>
      <c r="BS494" s="124" t="str">
        <f>IF($B494="","",IFERROR(-Z494,"n.b."))</f>
        <v/>
      </c>
      <c r="BT494" s="124" t="str">
        <f>IF($B494="","",IFERROR(-AA494,"n.b."))</f>
        <v/>
      </c>
      <c r="BU494" s="124" t="str">
        <f>IF($B494="","",IFERROR(-AE494,"n.b."))</f>
        <v/>
      </c>
      <c r="BV494" s="124" t="str">
        <f>IF($B494="","",IFERROR(-AF494,"n.b."))</f>
        <v/>
      </c>
      <c r="BW494" s="124" t="str">
        <f>IF($B494="","",IFERROR(-AG494,"n.b."))</f>
        <v/>
      </c>
      <c r="BX494" s="124" t="str">
        <f>IF($B494="","",IFERROR(-AH494,"n.b."))</f>
        <v/>
      </c>
      <c r="BY494" s="124" t="str">
        <f>IF($B494="","",IFERROR(-AI494,"n.b."))</f>
        <v/>
      </c>
      <c r="BZ494" s="124" t="str">
        <f>IF($B494="","",IFERROR(-AJ494,"n.b."))</f>
        <v/>
      </c>
      <c r="CA494" s="124" t="str">
        <f>IF($B494="","",IFERROR(-AK494,"n.b."))</f>
        <v/>
      </c>
      <c r="CB494" s="124" t="str">
        <f>IF($B494="","",IFERROR(-AL494,"n.b."))</f>
        <v/>
      </c>
      <c r="CC494" s="124" t="str">
        <f>IF($B494="","",IFERROR(-AP494,"n.b."))</f>
        <v/>
      </c>
      <c r="CD494" s="124" t="str">
        <f>IF($B494="","",IFERROR(-AQ494,"n.b."))</f>
        <v/>
      </c>
      <c r="CE494" s="124" t="str">
        <f>IF($B494="","",IFERROR(-AR494,"n.b."))</f>
        <v/>
      </c>
      <c r="CF494" s="124" t="str">
        <f>IF($B494="","",IFERROR(-AS494,"n.b."))</f>
        <v/>
      </c>
      <c r="CG494" s="124" t="str">
        <f>IF($B494="","",IFERROR(-AT494,"n.b."))</f>
        <v/>
      </c>
      <c r="CH494" s="124" t="str">
        <f>IF($B494="","",IFERROR(-AU494,"n.b."))</f>
        <v/>
      </c>
      <c r="CI494" s="124" t="str">
        <f>IF($B494="","",IFERROR(-AV494,"n.b."))</f>
        <v/>
      </c>
      <c r="CJ494" s="124" t="str">
        <f>IF($B494="","",IFERROR(-AW494,"n.b."))</f>
        <v/>
      </c>
      <c r="CK494" s="124" t="str">
        <f>IF($B494="","",IFERROR(-AX494,"n.b."))</f>
        <v/>
      </c>
      <c r="CL494" s="124" t="str">
        <f>IF($B494="","",IFERROR(-AY494,"n.b."))</f>
        <v/>
      </c>
      <c r="CM494" s="124" t="str">
        <f>IF($B494="","",IFERROR(-AZ494,"n.b."))</f>
        <v/>
      </c>
      <c r="CN494" s="124" t="str">
        <f>IF($B494="","",IFERROR(-BA494,"n.b."))</f>
        <v/>
      </c>
      <c r="CO494" s="124" t="str">
        <f>IF($B494="","",IFERROR(-BB494,"n.b."))</f>
        <v/>
      </c>
      <c r="CP494" s="124" t="str">
        <f>IF($B494="","",IFERROR(-BC494,"n.b."))</f>
        <v/>
      </c>
      <c r="CQ494" s="124" t="str">
        <f>IF($B494="","",IFERROR(-BD494,"n.b."))</f>
        <v/>
      </c>
      <c r="CR494" s="124" t="str">
        <f>IF($B494="","",IFERROR(-BE494,"n.b."))</f>
        <v/>
      </c>
      <c r="CS494" s="124" t="str">
        <f>IF($B494="","",IFERROR(IF(OR(ABS(T494+V494+X494+Z494-AB494)&gt;P_Tol,ABS(U494+W494+Y494+AA494-AD494)&gt;P_Tol,ABS(AE494+AG494+AI494+AK494-AM494)&gt;P_Tol,ABS(AF494+AH494+AJ494+AL494-AO494)&gt;P_Tol),1,0),1))</f>
        <v/>
      </c>
      <c r="CT494" s="124" t="str">
        <f>IF($B494="","",IFERROR(IF(OR(ABS(AB494+AC494-AD494)&gt;P_Tol,ABS(AM494+AN494-AO494)&gt;P_Tol,ABS(O494+P494-Q494)&gt;P_Tol),1,0),1))</f>
        <v/>
      </c>
      <c r="CU494" s="124" t="str">
        <f>IF($B494="","",IFERROR(IF(ABS(R494-(AB494+AM494+AP494+AR494+AT494+AV494+AX494+AZ494+BB494+BD494))&gt;P_Tol,1,0),1))</f>
        <v/>
      </c>
      <c r="CV494" s="124" t="str">
        <f>IF($B494="","",IFERROR(IF(ABS(M494-(N494+O494+R494))&gt;P_Tol,1,0),1))</f>
        <v/>
      </c>
      <c r="CW494" s="124" t="str">
        <f>IF($B494="","",IF(COUNTIF(Mapping!$A$5:$A$104,B494)&gt;0,1,0))</f>
        <v/>
      </c>
      <c r="CX494" s="124" t="str">
        <f>IF($B494="","",COUNTIF($B$6:$B$505,B494))</f>
        <v/>
      </c>
      <c r="CY494" s="124" t="str">
        <f>IF($B494="","",COUNTIF(STG_Woningetalage!$B$6:$B$505,B494))</f>
        <v/>
      </c>
      <c r="CZ494" s="124" t="str">
        <f>IF($B494="","",IF(CW494=0,COUNTIF($CW$6:CW494,0),""))</f>
        <v/>
      </c>
    </row>
    <row r="495">
      <c r="A495" s="15" t="n">
        <v>491</v>
      </c>
      <c r="B495" t="str">
        <f>IF(B$3=0,"",IF(INDEX(SRC_ZPMW03!$A$1:$ZZ$501,$A495,B$3)&amp;""="","",INDEX(SRC_ZPMW03!$A$1:$ZZ$501,$A495,B$3)&amp;""))</f>
        <v/>
      </c>
      <c r="C495" t="str">
        <f>IF($B495="","",IF(C$3=0,"n.b.",INDEX(SRC_ZPMW03!$A$1:$ZZ$501,$A495,C$3)))</f>
        <v/>
      </c>
      <c r="D495" t="str">
        <f>IF($B495="","",IF(D$3=0,"n.b.",INDEX(SRC_ZPMW03!$A$1:$ZZ$501,$A495,D$3)))</f>
        <v/>
      </c>
      <c r="E495" t="str">
        <f>IF($B495="","",IF(E$3=0,"n.b.",INDEX(SRC_ZPMW03!$A$1:$ZZ$501,$A495,E$3)))</f>
        <v/>
      </c>
      <c r="F495" t="str">
        <f>IF($B495="","",IF(F$3=0,"n.b.",INDEX(SRC_ZPMW03!$A$1:$ZZ$501,$A495,F$3)))</f>
        <v/>
      </c>
      <c r="G495" t="str">
        <f>IF($B495="","",IF(G$3=0,"n.b.",INDEX(SRC_ZPMW03!$A$1:$ZZ$501,$A495,G$3)))</f>
        <v/>
      </c>
      <c r="H495" t="str">
        <f>IF($B495="","",IF(H$3=0,"n.b.",INDEX(SRC_ZPMW03!$A$1:$ZZ$501,$A495,H$3)))</f>
        <v/>
      </c>
      <c r="I495" t="str">
        <f>IF($B495="","",IF(I$3=0,"n.b.",INDEX(SRC_ZPMW03!$A$1:$ZZ$501,$A495,I$3)))</f>
        <v/>
      </c>
      <c r="J495" t="str">
        <f>IF($B495="","",IF(J$3=0,"n.b.",INDEX(SRC_ZPMW03!$A$1:$ZZ$501,$A495,J$3)))</f>
        <v/>
      </c>
      <c r="K495" t="str">
        <f>IF($B495="","",IF(K$3=0,"n.b.",INDEX(SRC_ZPMW03!$A$1:$ZZ$501,$A495,K$3)))</f>
        <v/>
      </c>
      <c r="L495" s="124" t="str">
        <f>IF($B495="","",IF(L$3=0,"n.b.",INDEX(SRC_ZPMW03!$A$1:$ZZ$501,$A495,L$3)))</f>
        <v/>
      </c>
      <c r="M495" s="124" t="str">
        <f>IF($B495="","",IF(M$3=0,"n.b.",INDEX(SRC_ZPMW03!$A$1:$ZZ$501,$A495,M$3)))</f>
        <v/>
      </c>
      <c r="N495" s="124" t="str">
        <f>IF($B495="","",IF(N$3=0,"n.b.",INDEX(SRC_ZPMW03!$A$1:$ZZ$501,$A495,N$3)))</f>
        <v/>
      </c>
      <c r="O495" s="124" t="str">
        <f>IF($B495="","",IF(O$3=0,"n.b.",INDEX(SRC_ZPMW03!$A$1:$ZZ$501,$A495,O$3)))</f>
        <v/>
      </c>
      <c r="P495" s="124" t="str">
        <f>IF($B495="","",IF(P$3=0,"n.b.",INDEX(SRC_ZPMW03!$A$1:$ZZ$501,$A495,P$3)))</f>
        <v/>
      </c>
      <c r="Q495" s="124" t="str">
        <f>IF($B495="","",IF(Q$3=0,"n.b.",INDEX(SRC_ZPMW03!$A$1:$ZZ$501,$A495,Q$3)))</f>
        <v/>
      </c>
      <c r="R495" s="124" t="str">
        <f>IF($B495="","",IF(R$3=0,"n.b.",INDEX(SRC_ZPMW03!$A$1:$ZZ$501,$A495,R$3)))</f>
        <v/>
      </c>
      <c r="S495" s="124" t="str">
        <f>IF($B495="","",IF(S$3=0,"n.b.",INDEX(SRC_ZPMW03!$A$1:$ZZ$501,$A495,S$3)))</f>
        <v/>
      </c>
      <c r="T495" s="124" t="str">
        <f>IF($B495="","",IF(T$3=0,"n.b.",INDEX(SRC_ZPMW03!$A$1:$ZZ$501,$A495,T$3)))</f>
        <v/>
      </c>
      <c r="U495" s="124" t="str">
        <f>IF($B495="","",IF(U$3=0,"n.b.",INDEX(SRC_ZPMW03!$A$1:$ZZ$501,$A495,U$3)))</f>
        <v/>
      </c>
      <c r="V495" s="124" t="str">
        <f>IF($B495="","",IF(V$3=0,"n.b.",INDEX(SRC_ZPMW03!$A$1:$ZZ$501,$A495,V$3)))</f>
        <v/>
      </c>
      <c r="W495" s="124" t="str">
        <f>IF($B495="","",IF(W$3=0,"n.b.",INDEX(SRC_ZPMW03!$A$1:$ZZ$501,$A495,W$3)))</f>
        <v/>
      </c>
      <c r="X495" s="124" t="str">
        <f>IF($B495="","",IF(X$3=0,"n.b.",INDEX(SRC_ZPMW03!$A$1:$ZZ$501,$A495,X$3)))</f>
        <v/>
      </c>
      <c r="Y495" s="124" t="str">
        <f>IF($B495="","",IF(Y$3=0,"n.b.",INDEX(SRC_ZPMW03!$A$1:$ZZ$501,$A495,Y$3)))</f>
        <v/>
      </c>
      <c r="Z495" s="124" t="str">
        <f>IF($B495="","",IF(Z$3=0,"n.b.",INDEX(SRC_ZPMW03!$A$1:$ZZ$501,$A495,Z$3)))</f>
        <v/>
      </c>
      <c r="AA495" s="124" t="str">
        <f>IF($B495="","",IF(AA$3=0,"n.b.",INDEX(SRC_ZPMW03!$A$1:$ZZ$501,$A495,AA$3)))</f>
        <v/>
      </c>
      <c r="AB495" s="124" t="str">
        <f>IF($B495="","",IF(AB$3=0,"n.b.",INDEX(SRC_ZPMW03!$A$1:$ZZ$501,$A495,AB$3)))</f>
        <v/>
      </c>
      <c r="AC495" s="124" t="str">
        <f>IF($B495="","",IF(AC$3=0,"n.b.",INDEX(SRC_ZPMW03!$A$1:$ZZ$501,$A495,AC$3)))</f>
        <v/>
      </c>
      <c r="AD495" s="124" t="str">
        <f>IF($B495="","",IF(AD$3=0,"n.b.",INDEX(SRC_ZPMW03!$A$1:$ZZ$501,$A495,AD$3)))</f>
        <v/>
      </c>
      <c r="AE495" s="124" t="str">
        <f>IF($B495="","",IF(AE$3=0,"n.b.",INDEX(SRC_ZPMW03!$A$1:$ZZ$501,$A495,AE$3)))</f>
        <v/>
      </c>
      <c r="AF495" s="124" t="str">
        <f>IF($B495="","",IF(AF$3=0,"n.b.",INDEX(SRC_ZPMW03!$A$1:$ZZ$501,$A495,AF$3)))</f>
        <v/>
      </c>
      <c r="AG495" s="124" t="str">
        <f>IF($B495="","",IF(AG$3=0,"n.b.",INDEX(SRC_ZPMW03!$A$1:$ZZ$501,$A495,AG$3)))</f>
        <v/>
      </c>
      <c r="AH495" s="124" t="str">
        <f>IF($B495="","",IF(AH$3=0,"n.b.",INDEX(SRC_ZPMW03!$A$1:$ZZ$501,$A495,AH$3)))</f>
        <v/>
      </c>
      <c r="AI495" s="124" t="str">
        <f>IF($B495="","",IF(AI$3=0,"n.b.",INDEX(SRC_ZPMW03!$A$1:$ZZ$501,$A495,AI$3)))</f>
        <v/>
      </c>
      <c r="AJ495" s="124" t="str">
        <f>IF($B495="","",IF(AJ$3=0,"n.b.",INDEX(SRC_ZPMW03!$A$1:$ZZ$501,$A495,AJ$3)))</f>
        <v/>
      </c>
      <c r="AK495" s="124" t="str">
        <f>IF($B495="","",IF(AK$3=0,"n.b.",INDEX(SRC_ZPMW03!$A$1:$ZZ$501,$A495,AK$3)))</f>
        <v/>
      </c>
      <c r="AL495" s="124" t="str">
        <f>IF($B495="","",IF(AL$3=0,"n.b.",INDEX(SRC_ZPMW03!$A$1:$ZZ$501,$A495,AL$3)))</f>
        <v/>
      </c>
      <c r="AM495" s="124" t="str">
        <f>IF($B495="","",IF(AM$3=0,"n.b.",INDEX(SRC_ZPMW03!$A$1:$ZZ$501,$A495,AM$3)))</f>
        <v/>
      </c>
      <c r="AN495" s="124" t="str">
        <f>IF($B495="","",IF(AN$3=0,"n.b.",INDEX(SRC_ZPMW03!$A$1:$ZZ$501,$A495,AN$3)))</f>
        <v/>
      </c>
      <c r="AO495" s="124" t="str">
        <f>IF($B495="","",IF(AO$3=0,"n.b.",INDEX(SRC_ZPMW03!$A$1:$ZZ$501,$A495,AO$3)))</f>
        <v/>
      </c>
      <c r="AP495" s="124" t="str">
        <f>IF($B495="","",IF(AP$3=0,"n.b.",INDEX(SRC_ZPMW03!$A$1:$ZZ$501,$A495,AP$3)))</f>
        <v/>
      </c>
      <c r="AQ495" s="124" t="str">
        <f>IF($B495="","",IF(AQ$3=0,"n.b.",INDEX(SRC_ZPMW03!$A$1:$ZZ$501,$A495,AQ$3)))</f>
        <v/>
      </c>
      <c r="AR495" s="124" t="str">
        <f>IF($B495="","",IF(AR$3=0,"n.b.",INDEX(SRC_ZPMW03!$A$1:$ZZ$501,$A495,AR$3)))</f>
        <v/>
      </c>
      <c r="AS495" s="124" t="str">
        <f>IF($B495="","",IF(AS$3=0,"n.b.",INDEX(SRC_ZPMW03!$A$1:$ZZ$501,$A495,AS$3)))</f>
        <v/>
      </c>
      <c r="AT495" s="124" t="str">
        <f>IF($B495="","",IF(AT$3=0,"n.b.",INDEX(SRC_ZPMW03!$A$1:$ZZ$501,$A495,AT$3)))</f>
        <v/>
      </c>
      <c r="AU495" s="124" t="str">
        <f>IF($B495="","",IF(AU$3=0,"n.b.",INDEX(SRC_ZPMW03!$A$1:$ZZ$501,$A495,AU$3)))</f>
        <v/>
      </c>
      <c r="AV495" s="124" t="str">
        <f>IF($B495="","",IF(AV$3=0,"n.b.",INDEX(SRC_ZPMW03!$A$1:$ZZ$501,$A495,AV$3)))</f>
        <v/>
      </c>
      <c r="AW495" s="124" t="str">
        <f>IF($B495="","",IF(AW$3=0,"n.b.",INDEX(SRC_ZPMW03!$A$1:$ZZ$501,$A495,AW$3)))</f>
        <v/>
      </c>
      <c r="AX495" s="124" t="str">
        <f>IF($B495="","",IF(AX$3=0,"n.b.",INDEX(SRC_ZPMW03!$A$1:$ZZ$501,$A495,AX$3)))</f>
        <v/>
      </c>
      <c r="AY495" s="124" t="str">
        <f>IF($B495="","",IF(AY$3=0,"n.b.",INDEX(SRC_ZPMW03!$A$1:$ZZ$501,$A495,AY$3)))</f>
        <v/>
      </c>
      <c r="AZ495" s="124" t="str">
        <f>IF($B495="","",IF(AZ$3=0,"n.b.",INDEX(SRC_ZPMW03!$A$1:$ZZ$501,$A495,AZ$3)))</f>
        <v/>
      </c>
      <c r="BA495" s="124" t="str">
        <f>IF($B495="","",IF(BA$3=0,"n.b.",INDEX(SRC_ZPMW03!$A$1:$ZZ$501,$A495,BA$3)))</f>
        <v/>
      </c>
      <c r="BB495" s="124" t="str">
        <f>IF($B495="","",IF(BB$3=0,"n.b.",INDEX(SRC_ZPMW03!$A$1:$ZZ$501,$A495,BB$3)))</f>
        <v/>
      </c>
      <c r="BC495" s="124" t="str">
        <f>IF($B495="","",IF(BC$3=0,"n.b.",INDEX(SRC_ZPMW03!$A$1:$ZZ$501,$A495,BC$3)))</f>
        <v/>
      </c>
      <c r="BD495" s="124" t="str">
        <f>IF($B495="","",IF(BD$3=0,"n.b.",INDEX(SRC_ZPMW03!$A$1:$ZZ$501,$A495,BD$3)))</f>
        <v/>
      </c>
      <c r="BE495" s="124" t="str">
        <f>IF($B495="","",IF(BE$3=0,"n.b.",INDEX(SRC_ZPMW03!$A$1:$ZZ$501,$A495,BE$3)))</f>
        <v/>
      </c>
      <c r="BF495" s="124" t="str">
        <f>IF($B495="","",IF(BF$3=0,"n.b.",INDEX(SRC_ZPMW03!$A$1:$ZZ$501,$A495,BF$3)))</f>
        <v/>
      </c>
      <c r="BG495" t="str">
        <f>IF($B495="","",IF(BG$3=0,"n.b.",INDEX(SRC_ZPMW03!$A$1:$ZZ$501,$A495,BG$3)))</f>
        <v/>
      </c>
      <c r="BH495" t="str">
        <f>IF($B495="","",IF(BH$3=0,"n.b.",INDEX(SRC_ZPMW03!$A$1:$ZZ$501,$A495,BH$3)))</f>
        <v/>
      </c>
      <c r="BI495" t="str">
        <f>IF($B495="","",IF(BI$3=0,"n.b.",INDEX(SRC_ZPMW03!$A$1:$ZZ$501,$A495,BI$3)))</f>
        <v/>
      </c>
      <c r="BJ495" t="str">
        <f>IF($B495="","",IF(BJ$3=0,"n.b.",INDEX(SRC_ZPMW03!$A$1:$ZZ$501,$A495,BJ$3)))</f>
        <v/>
      </c>
      <c r="BK495" s="124" t="str">
        <f>IF($B495="","",IFERROR(-O495,"n.b."))</f>
        <v/>
      </c>
      <c r="BL495" s="124" t="str">
        <f>IF($B495="","",IFERROR(-Q495,"n.b."))</f>
        <v/>
      </c>
      <c r="BM495" s="124" t="str">
        <f>IF($B495="","",IFERROR(-AB495,"n.b."))</f>
        <v/>
      </c>
      <c r="BN495" s="124" t="str">
        <f>IF($B495="","",IFERROR(-AD495,"n.b."))</f>
        <v/>
      </c>
      <c r="BO495" s="124" t="str">
        <f>IF($B495="","",IFERROR(BK495+BM495,"n.b."))</f>
        <v/>
      </c>
      <c r="BP495" s="124" t="str">
        <f>IF($B495="","",IFERROR(BL495+BN495,"n.b."))</f>
        <v/>
      </c>
      <c r="BQ495" s="124" t="str">
        <f>IF($B495="","",IFERROR(-AM495,"n.b."))</f>
        <v/>
      </c>
      <c r="BR495" s="124" t="str">
        <f>IF($B495="","",IFERROR(-AO495,"n.b."))</f>
        <v/>
      </c>
      <c r="BS495" s="124" t="str">
        <f>IF($B495="","",IFERROR(-Z495,"n.b."))</f>
        <v/>
      </c>
      <c r="BT495" s="124" t="str">
        <f>IF($B495="","",IFERROR(-AA495,"n.b."))</f>
        <v/>
      </c>
      <c r="BU495" s="124" t="str">
        <f>IF($B495="","",IFERROR(-AE495,"n.b."))</f>
        <v/>
      </c>
      <c r="BV495" s="124" t="str">
        <f>IF($B495="","",IFERROR(-AF495,"n.b."))</f>
        <v/>
      </c>
      <c r="BW495" s="124" t="str">
        <f>IF($B495="","",IFERROR(-AG495,"n.b."))</f>
        <v/>
      </c>
      <c r="BX495" s="124" t="str">
        <f>IF($B495="","",IFERROR(-AH495,"n.b."))</f>
        <v/>
      </c>
      <c r="BY495" s="124" t="str">
        <f>IF($B495="","",IFERROR(-AI495,"n.b."))</f>
        <v/>
      </c>
      <c r="BZ495" s="124" t="str">
        <f>IF($B495="","",IFERROR(-AJ495,"n.b."))</f>
        <v/>
      </c>
      <c r="CA495" s="124" t="str">
        <f>IF($B495="","",IFERROR(-AK495,"n.b."))</f>
        <v/>
      </c>
      <c r="CB495" s="124" t="str">
        <f>IF($B495="","",IFERROR(-AL495,"n.b."))</f>
        <v/>
      </c>
      <c r="CC495" s="124" t="str">
        <f>IF($B495="","",IFERROR(-AP495,"n.b."))</f>
        <v/>
      </c>
      <c r="CD495" s="124" t="str">
        <f>IF($B495="","",IFERROR(-AQ495,"n.b."))</f>
        <v/>
      </c>
      <c r="CE495" s="124" t="str">
        <f>IF($B495="","",IFERROR(-AR495,"n.b."))</f>
        <v/>
      </c>
      <c r="CF495" s="124" t="str">
        <f>IF($B495="","",IFERROR(-AS495,"n.b."))</f>
        <v/>
      </c>
      <c r="CG495" s="124" t="str">
        <f>IF($B495="","",IFERROR(-AT495,"n.b."))</f>
        <v/>
      </c>
      <c r="CH495" s="124" t="str">
        <f>IF($B495="","",IFERROR(-AU495,"n.b."))</f>
        <v/>
      </c>
      <c r="CI495" s="124" t="str">
        <f>IF($B495="","",IFERROR(-AV495,"n.b."))</f>
        <v/>
      </c>
      <c r="CJ495" s="124" t="str">
        <f>IF($B495="","",IFERROR(-AW495,"n.b."))</f>
        <v/>
      </c>
      <c r="CK495" s="124" t="str">
        <f>IF($B495="","",IFERROR(-AX495,"n.b."))</f>
        <v/>
      </c>
      <c r="CL495" s="124" t="str">
        <f>IF($B495="","",IFERROR(-AY495,"n.b."))</f>
        <v/>
      </c>
      <c r="CM495" s="124" t="str">
        <f>IF($B495="","",IFERROR(-AZ495,"n.b."))</f>
        <v/>
      </c>
      <c r="CN495" s="124" t="str">
        <f>IF($B495="","",IFERROR(-BA495,"n.b."))</f>
        <v/>
      </c>
      <c r="CO495" s="124" t="str">
        <f>IF($B495="","",IFERROR(-BB495,"n.b."))</f>
        <v/>
      </c>
      <c r="CP495" s="124" t="str">
        <f>IF($B495="","",IFERROR(-BC495,"n.b."))</f>
        <v/>
      </c>
      <c r="CQ495" s="124" t="str">
        <f>IF($B495="","",IFERROR(-BD495,"n.b."))</f>
        <v/>
      </c>
      <c r="CR495" s="124" t="str">
        <f>IF($B495="","",IFERROR(-BE495,"n.b."))</f>
        <v/>
      </c>
      <c r="CS495" s="124" t="str">
        <f>IF($B495="","",IFERROR(IF(OR(ABS(T495+V495+X495+Z495-AB495)&gt;P_Tol,ABS(U495+W495+Y495+AA495-AD495)&gt;P_Tol,ABS(AE495+AG495+AI495+AK495-AM495)&gt;P_Tol,ABS(AF495+AH495+AJ495+AL495-AO495)&gt;P_Tol),1,0),1))</f>
        <v/>
      </c>
      <c r="CT495" s="124" t="str">
        <f>IF($B495="","",IFERROR(IF(OR(ABS(AB495+AC495-AD495)&gt;P_Tol,ABS(AM495+AN495-AO495)&gt;P_Tol,ABS(O495+P495-Q495)&gt;P_Tol),1,0),1))</f>
        <v/>
      </c>
      <c r="CU495" s="124" t="str">
        <f>IF($B495="","",IFERROR(IF(ABS(R495-(AB495+AM495+AP495+AR495+AT495+AV495+AX495+AZ495+BB495+BD495))&gt;P_Tol,1,0),1))</f>
        <v/>
      </c>
      <c r="CV495" s="124" t="str">
        <f>IF($B495="","",IFERROR(IF(ABS(M495-(N495+O495+R495))&gt;P_Tol,1,0),1))</f>
        <v/>
      </c>
      <c r="CW495" s="124" t="str">
        <f>IF($B495="","",IF(COUNTIF(Mapping!$A$5:$A$104,B495)&gt;0,1,0))</f>
        <v/>
      </c>
      <c r="CX495" s="124" t="str">
        <f>IF($B495="","",COUNTIF($B$6:$B$505,B495))</f>
        <v/>
      </c>
      <c r="CY495" s="124" t="str">
        <f>IF($B495="","",COUNTIF(STG_Woningetalage!$B$6:$B$505,B495))</f>
        <v/>
      </c>
      <c r="CZ495" s="124" t="str">
        <f>IF($B495="","",IF(CW495=0,COUNTIF($CW$6:CW495,0),""))</f>
        <v/>
      </c>
    </row>
    <row r="496">
      <c r="A496" s="15" t="n">
        <v>492</v>
      </c>
      <c r="B496" t="str">
        <f>IF(B$3=0,"",IF(INDEX(SRC_ZPMW03!$A$1:$ZZ$501,$A496,B$3)&amp;""="","",INDEX(SRC_ZPMW03!$A$1:$ZZ$501,$A496,B$3)&amp;""))</f>
        <v/>
      </c>
      <c r="C496" t="str">
        <f>IF($B496="","",IF(C$3=0,"n.b.",INDEX(SRC_ZPMW03!$A$1:$ZZ$501,$A496,C$3)))</f>
        <v/>
      </c>
      <c r="D496" t="str">
        <f>IF($B496="","",IF(D$3=0,"n.b.",INDEX(SRC_ZPMW03!$A$1:$ZZ$501,$A496,D$3)))</f>
        <v/>
      </c>
      <c r="E496" t="str">
        <f>IF($B496="","",IF(E$3=0,"n.b.",INDEX(SRC_ZPMW03!$A$1:$ZZ$501,$A496,E$3)))</f>
        <v/>
      </c>
      <c r="F496" t="str">
        <f>IF($B496="","",IF(F$3=0,"n.b.",INDEX(SRC_ZPMW03!$A$1:$ZZ$501,$A496,F$3)))</f>
        <v/>
      </c>
      <c r="G496" t="str">
        <f>IF($B496="","",IF(G$3=0,"n.b.",INDEX(SRC_ZPMW03!$A$1:$ZZ$501,$A496,G$3)))</f>
        <v/>
      </c>
      <c r="H496" t="str">
        <f>IF($B496="","",IF(H$3=0,"n.b.",INDEX(SRC_ZPMW03!$A$1:$ZZ$501,$A496,H$3)))</f>
        <v/>
      </c>
      <c r="I496" t="str">
        <f>IF($B496="","",IF(I$3=0,"n.b.",INDEX(SRC_ZPMW03!$A$1:$ZZ$501,$A496,I$3)))</f>
        <v/>
      </c>
      <c r="J496" t="str">
        <f>IF($B496="","",IF(J$3=0,"n.b.",INDEX(SRC_ZPMW03!$A$1:$ZZ$501,$A496,J$3)))</f>
        <v/>
      </c>
      <c r="K496" t="str">
        <f>IF($B496="","",IF(K$3=0,"n.b.",INDEX(SRC_ZPMW03!$A$1:$ZZ$501,$A496,K$3)))</f>
        <v/>
      </c>
      <c r="L496" s="124" t="str">
        <f>IF($B496="","",IF(L$3=0,"n.b.",INDEX(SRC_ZPMW03!$A$1:$ZZ$501,$A496,L$3)))</f>
        <v/>
      </c>
      <c r="M496" s="124" t="str">
        <f>IF($B496="","",IF(M$3=0,"n.b.",INDEX(SRC_ZPMW03!$A$1:$ZZ$501,$A496,M$3)))</f>
        <v/>
      </c>
      <c r="N496" s="124" t="str">
        <f>IF($B496="","",IF(N$3=0,"n.b.",INDEX(SRC_ZPMW03!$A$1:$ZZ$501,$A496,N$3)))</f>
        <v/>
      </c>
      <c r="O496" s="124" t="str">
        <f>IF($B496="","",IF(O$3=0,"n.b.",INDEX(SRC_ZPMW03!$A$1:$ZZ$501,$A496,O$3)))</f>
        <v/>
      </c>
      <c r="P496" s="124" t="str">
        <f>IF($B496="","",IF(P$3=0,"n.b.",INDEX(SRC_ZPMW03!$A$1:$ZZ$501,$A496,P$3)))</f>
        <v/>
      </c>
      <c r="Q496" s="124" t="str">
        <f>IF($B496="","",IF(Q$3=0,"n.b.",INDEX(SRC_ZPMW03!$A$1:$ZZ$501,$A496,Q$3)))</f>
        <v/>
      </c>
      <c r="R496" s="124" t="str">
        <f>IF($B496="","",IF(R$3=0,"n.b.",INDEX(SRC_ZPMW03!$A$1:$ZZ$501,$A496,R$3)))</f>
        <v/>
      </c>
      <c r="S496" s="124" t="str">
        <f>IF($B496="","",IF(S$3=0,"n.b.",INDEX(SRC_ZPMW03!$A$1:$ZZ$501,$A496,S$3)))</f>
        <v/>
      </c>
      <c r="T496" s="124" t="str">
        <f>IF($B496="","",IF(T$3=0,"n.b.",INDEX(SRC_ZPMW03!$A$1:$ZZ$501,$A496,T$3)))</f>
        <v/>
      </c>
      <c r="U496" s="124" t="str">
        <f>IF($B496="","",IF(U$3=0,"n.b.",INDEX(SRC_ZPMW03!$A$1:$ZZ$501,$A496,U$3)))</f>
        <v/>
      </c>
      <c r="V496" s="124" t="str">
        <f>IF($B496="","",IF(V$3=0,"n.b.",INDEX(SRC_ZPMW03!$A$1:$ZZ$501,$A496,V$3)))</f>
        <v/>
      </c>
      <c r="W496" s="124" t="str">
        <f>IF($B496="","",IF(W$3=0,"n.b.",INDEX(SRC_ZPMW03!$A$1:$ZZ$501,$A496,W$3)))</f>
        <v/>
      </c>
      <c r="X496" s="124" t="str">
        <f>IF($B496="","",IF(X$3=0,"n.b.",INDEX(SRC_ZPMW03!$A$1:$ZZ$501,$A496,X$3)))</f>
        <v/>
      </c>
      <c r="Y496" s="124" t="str">
        <f>IF($B496="","",IF(Y$3=0,"n.b.",INDEX(SRC_ZPMW03!$A$1:$ZZ$501,$A496,Y$3)))</f>
        <v/>
      </c>
      <c r="Z496" s="124" t="str">
        <f>IF($B496="","",IF(Z$3=0,"n.b.",INDEX(SRC_ZPMW03!$A$1:$ZZ$501,$A496,Z$3)))</f>
        <v/>
      </c>
      <c r="AA496" s="124" t="str">
        <f>IF($B496="","",IF(AA$3=0,"n.b.",INDEX(SRC_ZPMW03!$A$1:$ZZ$501,$A496,AA$3)))</f>
        <v/>
      </c>
      <c r="AB496" s="124" t="str">
        <f>IF($B496="","",IF(AB$3=0,"n.b.",INDEX(SRC_ZPMW03!$A$1:$ZZ$501,$A496,AB$3)))</f>
        <v/>
      </c>
      <c r="AC496" s="124" t="str">
        <f>IF($B496="","",IF(AC$3=0,"n.b.",INDEX(SRC_ZPMW03!$A$1:$ZZ$501,$A496,AC$3)))</f>
        <v/>
      </c>
      <c r="AD496" s="124" t="str">
        <f>IF($B496="","",IF(AD$3=0,"n.b.",INDEX(SRC_ZPMW03!$A$1:$ZZ$501,$A496,AD$3)))</f>
        <v/>
      </c>
      <c r="AE496" s="124" t="str">
        <f>IF($B496="","",IF(AE$3=0,"n.b.",INDEX(SRC_ZPMW03!$A$1:$ZZ$501,$A496,AE$3)))</f>
        <v/>
      </c>
      <c r="AF496" s="124" t="str">
        <f>IF($B496="","",IF(AF$3=0,"n.b.",INDEX(SRC_ZPMW03!$A$1:$ZZ$501,$A496,AF$3)))</f>
        <v/>
      </c>
      <c r="AG496" s="124" t="str">
        <f>IF($B496="","",IF(AG$3=0,"n.b.",INDEX(SRC_ZPMW03!$A$1:$ZZ$501,$A496,AG$3)))</f>
        <v/>
      </c>
      <c r="AH496" s="124" t="str">
        <f>IF($B496="","",IF(AH$3=0,"n.b.",INDEX(SRC_ZPMW03!$A$1:$ZZ$501,$A496,AH$3)))</f>
        <v/>
      </c>
      <c r="AI496" s="124" t="str">
        <f>IF($B496="","",IF(AI$3=0,"n.b.",INDEX(SRC_ZPMW03!$A$1:$ZZ$501,$A496,AI$3)))</f>
        <v/>
      </c>
      <c r="AJ496" s="124" t="str">
        <f>IF($B496="","",IF(AJ$3=0,"n.b.",INDEX(SRC_ZPMW03!$A$1:$ZZ$501,$A496,AJ$3)))</f>
        <v/>
      </c>
      <c r="AK496" s="124" t="str">
        <f>IF($B496="","",IF(AK$3=0,"n.b.",INDEX(SRC_ZPMW03!$A$1:$ZZ$501,$A496,AK$3)))</f>
        <v/>
      </c>
      <c r="AL496" s="124" t="str">
        <f>IF($B496="","",IF(AL$3=0,"n.b.",INDEX(SRC_ZPMW03!$A$1:$ZZ$501,$A496,AL$3)))</f>
        <v/>
      </c>
      <c r="AM496" s="124" t="str">
        <f>IF($B496="","",IF(AM$3=0,"n.b.",INDEX(SRC_ZPMW03!$A$1:$ZZ$501,$A496,AM$3)))</f>
        <v/>
      </c>
      <c r="AN496" s="124" t="str">
        <f>IF($B496="","",IF(AN$3=0,"n.b.",INDEX(SRC_ZPMW03!$A$1:$ZZ$501,$A496,AN$3)))</f>
        <v/>
      </c>
      <c r="AO496" s="124" t="str">
        <f>IF($B496="","",IF(AO$3=0,"n.b.",INDEX(SRC_ZPMW03!$A$1:$ZZ$501,$A496,AO$3)))</f>
        <v/>
      </c>
      <c r="AP496" s="124" t="str">
        <f>IF($B496="","",IF(AP$3=0,"n.b.",INDEX(SRC_ZPMW03!$A$1:$ZZ$501,$A496,AP$3)))</f>
        <v/>
      </c>
      <c r="AQ496" s="124" t="str">
        <f>IF($B496="","",IF(AQ$3=0,"n.b.",INDEX(SRC_ZPMW03!$A$1:$ZZ$501,$A496,AQ$3)))</f>
        <v/>
      </c>
      <c r="AR496" s="124" t="str">
        <f>IF($B496="","",IF(AR$3=0,"n.b.",INDEX(SRC_ZPMW03!$A$1:$ZZ$501,$A496,AR$3)))</f>
        <v/>
      </c>
      <c r="AS496" s="124" t="str">
        <f>IF($B496="","",IF(AS$3=0,"n.b.",INDEX(SRC_ZPMW03!$A$1:$ZZ$501,$A496,AS$3)))</f>
        <v/>
      </c>
      <c r="AT496" s="124" t="str">
        <f>IF($B496="","",IF(AT$3=0,"n.b.",INDEX(SRC_ZPMW03!$A$1:$ZZ$501,$A496,AT$3)))</f>
        <v/>
      </c>
      <c r="AU496" s="124" t="str">
        <f>IF($B496="","",IF(AU$3=0,"n.b.",INDEX(SRC_ZPMW03!$A$1:$ZZ$501,$A496,AU$3)))</f>
        <v/>
      </c>
      <c r="AV496" s="124" t="str">
        <f>IF($B496="","",IF(AV$3=0,"n.b.",INDEX(SRC_ZPMW03!$A$1:$ZZ$501,$A496,AV$3)))</f>
        <v/>
      </c>
      <c r="AW496" s="124" t="str">
        <f>IF($B496="","",IF(AW$3=0,"n.b.",INDEX(SRC_ZPMW03!$A$1:$ZZ$501,$A496,AW$3)))</f>
        <v/>
      </c>
      <c r="AX496" s="124" t="str">
        <f>IF($B496="","",IF(AX$3=0,"n.b.",INDEX(SRC_ZPMW03!$A$1:$ZZ$501,$A496,AX$3)))</f>
        <v/>
      </c>
      <c r="AY496" s="124" t="str">
        <f>IF($B496="","",IF(AY$3=0,"n.b.",INDEX(SRC_ZPMW03!$A$1:$ZZ$501,$A496,AY$3)))</f>
        <v/>
      </c>
      <c r="AZ496" s="124" t="str">
        <f>IF($B496="","",IF(AZ$3=0,"n.b.",INDEX(SRC_ZPMW03!$A$1:$ZZ$501,$A496,AZ$3)))</f>
        <v/>
      </c>
      <c r="BA496" s="124" t="str">
        <f>IF($B496="","",IF(BA$3=0,"n.b.",INDEX(SRC_ZPMW03!$A$1:$ZZ$501,$A496,BA$3)))</f>
        <v/>
      </c>
      <c r="BB496" s="124" t="str">
        <f>IF($B496="","",IF(BB$3=0,"n.b.",INDEX(SRC_ZPMW03!$A$1:$ZZ$501,$A496,BB$3)))</f>
        <v/>
      </c>
      <c r="BC496" s="124" t="str">
        <f>IF($B496="","",IF(BC$3=0,"n.b.",INDEX(SRC_ZPMW03!$A$1:$ZZ$501,$A496,BC$3)))</f>
        <v/>
      </c>
      <c r="BD496" s="124" t="str">
        <f>IF($B496="","",IF(BD$3=0,"n.b.",INDEX(SRC_ZPMW03!$A$1:$ZZ$501,$A496,BD$3)))</f>
        <v/>
      </c>
      <c r="BE496" s="124" t="str">
        <f>IF($B496="","",IF(BE$3=0,"n.b.",INDEX(SRC_ZPMW03!$A$1:$ZZ$501,$A496,BE$3)))</f>
        <v/>
      </c>
      <c r="BF496" s="124" t="str">
        <f>IF($B496="","",IF(BF$3=0,"n.b.",INDEX(SRC_ZPMW03!$A$1:$ZZ$501,$A496,BF$3)))</f>
        <v/>
      </c>
      <c r="BG496" t="str">
        <f>IF($B496="","",IF(BG$3=0,"n.b.",INDEX(SRC_ZPMW03!$A$1:$ZZ$501,$A496,BG$3)))</f>
        <v/>
      </c>
      <c r="BH496" t="str">
        <f>IF($B496="","",IF(BH$3=0,"n.b.",INDEX(SRC_ZPMW03!$A$1:$ZZ$501,$A496,BH$3)))</f>
        <v/>
      </c>
      <c r="BI496" t="str">
        <f>IF($B496="","",IF(BI$3=0,"n.b.",INDEX(SRC_ZPMW03!$A$1:$ZZ$501,$A496,BI$3)))</f>
        <v/>
      </c>
      <c r="BJ496" t="str">
        <f>IF($B496="","",IF(BJ$3=0,"n.b.",INDEX(SRC_ZPMW03!$A$1:$ZZ$501,$A496,BJ$3)))</f>
        <v/>
      </c>
      <c r="BK496" s="124" t="str">
        <f>IF($B496="","",IFERROR(-O496,"n.b."))</f>
        <v/>
      </c>
      <c r="BL496" s="124" t="str">
        <f>IF($B496="","",IFERROR(-Q496,"n.b."))</f>
        <v/>
      </c>
      <c r="BM496" s="124" t="str">
        <f>IF($B496="","",IFERROR(-AB496,"n.b."))</f>
        <v/>
      </c>
      <c r="BN496" s="124" t="str">
        <f>IF($B496="","",IFERROR(-AD496,"n.b."))</f>
        <v/>
      </c>
      <c r="BO496" s="124" t="str">
        <f>IF($B496="","",IFERROR(BK496+BM496,"n.b."))</f>
        <v/>
      </c>
      <c r="BP496" s="124" t="str">
        <f>IF($B496="","",IFERROR(BL496+BN496,"n.b."))</f>
        <v/>
      </c>
      <c r="BQ496" s="124" t="str">
        <f>IF($B496="","",IFERROR(-AM496,"n.b."))</f>
        <v/>
      </c>
      <c r="BR496" s="124" t="str">
        <f>IF($B496="","",IFERROR(-AO496,"n.b."))</f>
        <v/>
      </c>
      <c r="BS496" s="124" t="str">
        <f>IF($B496="","",IFERROR(-Z496,"n.b."))</f>
        <v/>
      </c>
      <c r="BT496" s="124" t="str">
        <f>IF($B496="","",IFERROR(-AA496,"n.b."))</f>
        <v/>
      </c>
      <c r="BU496" s="124" t="str">
        <f>IF($B496="","",IFERROR(-AE496,"n.b."))</f>
        <v/>
      </c>
      <c r="BV496" s="124" t="str">
        <f>IF($B496="","",IFERROR(-AF496,"n.b."))</f>
        <v/>
      </c>
      <c r="BW496" s="124" t="str">
        <f>IF($B496="","",IFERROR(-AG496,"n.b."))</f>
        <v/>
      </c>
      <c r="BX496" s="124" t="str">
        <f>IF($B496="","",IFERROR(-AH496,"n.b."))</f>
        <v/>
      </c>
      <c r="BY496" s="124" t="str">
        <f>IF($B496="","",IFERROR(-AI496,"n.b."))</f>
        <v/>
      </c>
      <c r="BZ496" s="124" t="str">
        <f>IF($B496="","",IFERROR(-AJ496,"n.b."))</f>
        <v/>
      </c>
      <c r="CA496" s="124" t="str">
        <f>IF($B496="","",IFERROR(-AK496,"n.b."))</f>
        <v/>
      </c>
      <c r="CB496" s="124" t="str">
        <f>IF($B496="","",IFERROR(-AL496,"n.b."))</f>
        <v/>
      </c>
      <c r="CC496" s="124" t="str">
        <f>IF($B496="","",IFERROR(-AP496,"n.b."))</f>
        <v/>
      </c>
      <c r="CD496" s="124" t="str">
        <f>IF($B496="","",IFERROR(-AQ496,"n.b."))</f>
        <v/>
      </c>
      <c r="CE496" s="124" t="str">
        <f>IF($B496="","",IFERROR(-AR496,"n.b."))</f>
        <v/>
      </c>
      <c r="CF496" s="124" t="str">
        <f>IF($B496="","",IFERROR(-AS496,"n.b."))</f>
        <v/>
      </c>
      <c r="CG496" s="124" t="str">
        <f>IF($B496="","",IFERROR(-AT496,"n.b."))</f>
        <v/>
      </c>
      <c r="CH496" s="124" t="str">
        <f>IF($B496="","",IFERROR(-AU496,"n.b."))</f>
        <v/>
      </c>
      <c r="CI496" s="124" t="str">
        <f>IF($B496="","",IFERROR(-AV496,"n.b."))</f>
        <v/>
      </c>
      <c r="CJ496" s="124" t="str">
        <f>IF($B496="","",IFERROR(-AW496,"n.b."))</f>
        <v/>
      </c>
      <c r="CK496" s="124" t="str">
        <f>IF($B496="","",IFERROR(-AX496,"n.b."))</f>
        <v/>
      </c>
      <c r="CL496" s="124" t="str">
        <f>IF($B496="","",IFERROR(-AY496,"n.b."))</f>
        <v/>
      </c>
      <c r="CM496" s="124" t="str">
        <f>IF($B496="","",IFERROR(-AZ496,"n.b."))</f>
        <v/>
      </c>
      <c r="CN496" s="124" t="str">
        <f>IF($B496="","",IFERROR(-BA496,"n.b."))</f>
        <v/>
      </c>
      <c r="CO496" s="124" t="str">
        <f>IF($B496="","",IFERROR(-BB496,"n.b."))</f>
        <v/>
      </c>
      <c r="CP496" s="124" t="str">
        <f>IF($B496="","",IFERROR(-BC496,"n.b."))</f>
        <v/>
      </c>
      <c r="CQ496" s="124" t="str">
        <f>IF($B496="","",IFERROR(-BD496,"n.b."))</f>
        <v/>
      </c>
      <c r="CR496" s="124" t="str">
        <f>IF($B496="","",IFERROR(-BE496,"n.b."))</f>
        <v/>
      </c>
      <c r="CS496" s="124" t="str">
        <f>IF($B496="","",IFERROR(IF(OR(ABS(T496+V496+X496+Z496-AB496)&gt;P_Tol,ABS(U496+W496+Y496+AA496-AD496)&gt;P_Tol,ABS(AE496+AG496+AI496+AK496-AM496)&gt;P_Tol,ABS(AF496+AH496+AJ496+AL496-AO496)&gt;P_Tol),1,0),1))</f>
        <v/>
      </c>
      <c r="CT496" s="124" t="str">
        <f>IF($B496="","",IFERROR(IF(OR(ABS(AB496+AC496-AD496)&gt;P_Tol,ABS(AM496+AN496-AO496)&gt;P_Tol,ABS(O496+P496-Q496)&gt;P_Tol),1,0),1))</f>
        <v/>
      </c>
      <c r="CU496" s="124" t="str">
        <f>IF($B496="","",IFERROR(IF(ABS(R496-(AB496+AM496+AP496+AR496+AT496+AV496+AX496+AZ496+BB496+BD496))&gt;P_Tol,1,0),1))</f>
        <v/>
      </c>
      <c r="CV496" s="124" t="str">
        <f>IF($B496="","",IFERROR(IF(ABS(M496-(N496+O496+R496))&gt;P_Tol,1,0),1))</f>
        <v/>
      </c>
      <c r="CW496" s="124" t="str">
        <f>IF($B496="","",IF(COUNTIF(Mapping!$A$5:$A$104,B496)&gt;0,1,0))</f>
        <v/>
      </c>
      <c r="CX496" s="124" t="str">
        <f>IF($B496="","",COUNTIF($B$6:$B$505,B496))</f>
        <v/>
      </c>
      <c r="CY496" s="124" t="str">
        <f>IF($B496="","",COUNTIF(STG_Woningetalage!$B$6:$B$505,B496))</f>
        <v/>
      </c>
      <c r="CZ496" s="124" t="str">
        <f>IF($B496="","",IF(CW496=0,COUNTIF($CW$6:CW496,0),""))</f>
        <v/>
      </c>
    </row>
    <row r="497">
      <c r="A497" s="15" t="n">
        <v>493</v>
      </c>
      <c r="B497" t="str">
        <f>IF(B$3=0,"",IF(INDEX(SRC_ZPMW03!$A$1:$ZZ$501,$A497,B$3)&amp;""="","",INDEX(SRC_ZPMW03!$A$1:$ZZ$501,$A497,B$3)&amp;""))</f>
        <v/>
      </c>
      <c r="C497" t="str">
        <f>IF($B497="","",IF(C$3=0,"n.b.",INDEX(SRC_ZPMW03!$A$1:$ZZ$501,$A497,C$3)))</f>
        <v/>
      </c>
      <c r="D497" t="str">
        <f>IF($B497="","",IF(D$3=0,"n.b.",INDEX(SRC_ZPMW03!$A$1:$ZZ$501,$A497,D$3)))</f>
        <v/>
      </c>
      <c r="E497" t="str">
        <f>IF($B497="","",IF(E$3=0,"n.b.",INDEX(SRC_ZPMW03!$A$1:$ZZ$501,$A497,E$3)))</f>
        <v/>
      </c>
      <c r="F497" t="str">
        <f>IF($B497="","",IF(F$3=0,"n.b.",INDEX(SRC_ZPMW03!$A$1:$ZZ$501,$A497,F$3)))</f>
        <v/>
      </c>
      <c r="G497" t="str">
        <f>IF($B497="","",IF(G$3=0,"n.b.",INDEX(SRC_ZPMW03!$A$1:$ZZ$501,$A497,G$3)))</f>
        <v/>
      </c>
      <c r="H497" t="str">
        <f>IF($B497="","",IF(H$3=0,"n.b.",INDEX(SRC_ZPMW03!$A$1:$ZZ$501,$A497,H$3)))</f>
        <v/>
      </c>
      <c r="I497" t="str">
        <f>IF($B497="","",IF(I$3=0,"n.b.",INDEX(SRC_ZPMW03!$A$1:$ZZ$501,$A497,I$3)))</f>
        <v/>
      </c>
      <c r="J497" t="str">
        <f>IF($B497="","",IF(J$3=0,"n.b.",INDEX(SRC_ZPMW03!$A$1:$ZZ$501,$A497,J$3)))</f>
        <v/>
      </c>
      <c r="K497" t="str">
        <f>IF($B497="","",IF(K$3=0,"n.b.",INDEX(SRC_ZPMW03!$A$1:$ZZ$501,$A497,K$3)))</f>
        <v/>
      </c>
      <c r="L497" s="124" t="str">
        <f>IF($B497="","",IF(L$3=0,"n.b.",INDEX(SRC_ZPMW03!$A$1:$ZZ$501,$A497,L$3)))</f>
        <v/>
      </c>
      <c r="M497" s="124" t="str">
        <f>IF($B497="","",IF(M$3=0,"n.b.",INDEX(SRC_ZPMW03!$A$1:$ZZ$501,$A497,M$3)))</f>
        <v/>
      </c>
      <c r="N497" s="124" t="str">
        <f>IF($B497="","",IF(N$3=0,"n.b.",INDEX(SRC_ZPMW03!$A$1:$ZZ$501,$A497,N$3)))</f>
        <v/>
      </c>
      <c r="O497" s="124" t="str">
        <f>IF($B497="","",IF(O$3=0,"n.b.",INDEX(SRC_ZPMW03!$A$1:$ZZ$501,$A497,O$3)))</f>
        <v/>
      </c>
      <c r="P497" s="124" t="str">
        <f>IF($B497="","",IF(P$3=0,"n.b.",INDEX(SRC_ZPMW03!$A$1:$ZZ$501,$A497,P$3)))</f>
        <v/>
      </c>
      <c r="Q497" s="124" t="str">
        <f>IF($B497="","",IF(Q$3=0,"n.b.",INDEX(SRC_ZPMW03!$A$1:$ZZ$501,$A497,Q$3)))</f>
        <v/>
      </c>
      <c r="R497" s="124" t="str">
        <f>IF($B497="","",IF(R$3=0,"n.b.",INDEX(SRC_ZPMW03!$A$1:$ZZ$501,$A497,R$3)))</f>
        <v/>
      </c>
      <c r="S497" s="124" t="str">
        <f>IF($B497="","",IF(S$3=0,"n.b.",INDEX(SRC_ZPMW03!$A$1:$ZZ$501,$A497,S$3)))</f>
        <v/>
      </c>
      <c r="T497" s="124" t="str">
        <f>IF($B497="","",IF(T$3=0,"n.b.",INDEX(SRC_ZPMW03!$A$1:$ZZ$501,$A497,T$3)))</f>
        <v/>
      </c>
      <c r="U497" s="124" t="str">
        <f>IF($B497="","",IF(U$3=0,"n.b.",INDEX(SRC_ZPMW03!$A$1:$ZZ$501,$A497,U$3)))</f>
        <v/>
      </c>
      <c r="V497" s="124" t="str">
        <f>IF($B497="","",IF(V$3=0,"n.b.",INDEX(SRC_ZPMW03!$A$1:$ZZ$501,$A497,V$3)))</f>
        <v/>
      </c>
      <c r="W497" s="124" t="str">
        <f>IF($B497="","",IF(W$3=0,"n.b.",INDEX(SRC_ZPMW03!$A$1:$ZZ$501,$A497,W$3)))</f>
        <v/>
      </c>
      <c r="X497" s="124" t="str">
        <f>IF($B497="","",IF(X$3=0,"n.b.",INDEX(SRC_ZPMW03!$A$1:$ZZ$501,$A497,X$3)))</f>
        <v/>
      </c>
      <c r="Y497" s="124" t="str">
        <f>IF($B497="","",IF(Y$3=0,"n.b.",INDEX(SRC_ZPMW03!$A$1:$ZZ$501,$A497,Y$3)))</f>
        <v/>
      </c>
      <c r="Z497" s="124" t="str">
        <f>IF($B497="","",IF(Z$3=0,"n.b.",INDEX(SRC_ZPMW03!$A$1:$ZZ$501,$A497,Z$3)))</f>
        <v/>
      </c>
      <c r="AA497" s="124" t="str">
        <f>IF($B497="","",IF(AA$3=0,"n.b.",INDEX(SRC_ZPMW03!$A$1:$ZZ$501,$A497,AA$3)))</f>
        <v/>
      </c>
      <c r="AB497" s="124" t="str">
        <f>IF($B497="","",IF(AB$3=0,"n.b.",INDEX(SRC_ZPMW03!$A$1:$ZZ$501,$A497,AB$3)))</f>
        <v/>
      </c>
      <c r="AC497" s="124" t="str">
        <f>IF($B497="","",IF(AC$3=0,"n.b.",INDEX(SRC_ZPMW03!$A$1:$ZZ$501,$A497,AC$3)))</f>
        <v/>
      </c>
      <c r="AD497" s="124" t="str">
        <f>IF($B497="","",IF(AD$3=0,"n.b.",INDEX(SRC_ZPMW03!$A$1:$ZZ$501,$A497,AD$3)))</f>
        <v/>
      </c>
      <c r="AE497" s="124" t="str">
        <f>IF($B497="","",IF(AE$3=0,"n.b.",INDEX(SRC_ZPMW03!$A$1:$ZZ$501,$A497,AE$3)))</f>
        <v/>
      </c>
      <c r="AF497" s="124" t="str">
        <f>IF($B497="","",IF(AF$3=0,"n.b.",INDEX(SRC_ZPMW03!$A$1:$ZZ$501,$A497,AF$3)))</f>
        <v/>
      </c>
      <c r="AG497" s="124" t="str">
        <f>IF($B497="","",IF(AG$3=0,"n.b.",INDEX(SRC_ZPMW03!$A$1:$ZZ$501,$A497,AG$3)))</f>
        <v/>
      </c>
      <c r="AH497" s="124" t="str">
        <f>IF($B497="","",IF(AH$3=0,"n.b.",INDEX(SRC_ZPMW03!$A$1:$ZZ$501,$A497,AH$3)))</f>
        <v/>
      </c>
      <c r="AI497" s="124" t="str">
        <f>IF($B497="","",IF(AI$3=0,"n.b.",INDEX(SRC_ZPMW03!$A$1:$ZZ$501,$A497,AI$3)))</f>
        <v/>
      </c>
      <c r="AJ497" s="124" t="str">
        <f>IF($B497="","",IF(AJ$3=0,"n.b.",INDEX(SRC_ZPMW03!$A$1:$ZZ$501,$A497,AJ$3)))</f>
        <v/>
      </c>
      <c r="AK497" s="124" t="str">
        <f>IF($B497="","",IF(AK$3=0,"n.b.",INDEX(SRC_ZPMW03!$A$1:$ZZ$501,$A497,AK$3)))</f>
        <v/>
      </c>
      <c r="AL497" s="124" t="str">
        <f>IF($B497="","",IF(AL$3=0,"n.b.",INDEX(SRC_ZPMW03!$A$1:$ZZ$501,$A497,AL$3)))</f>
        <v/>
      </c>
      <c r="AM497" s="124" t="str">
        <f>IF($B497="","",IF(AM$3=0,"n.b.",INDEX(SRC_ZPMW03!$A$1:$ZZ$501,$A497,AM$3)))</f>
        <v/>
      </c>
      <c r="AN497" s="124" t="str">
        <f>IF($B497="","",IF(AN$3=0,"n.b.",INDEX(SRC_ZPMW03!$A$1:$ZZ$501,$A497,AN$3)))</f>
        <v/>
      </c>
      <c r="AO497" s="124" t="str">
        <f>IF($B497="","",IF(AO$3=0,"n.b.",INDEX(SRC_ZPMW03!$A$1:$ZZ$501,$A497,AO$3)))</f>
        <v/>
      </c>
      <c r="AP497" s="124" t="str">
        <f>IF($B497="","",IF(AP$3=0,"n.b.",INDEX(SRC_ZPMW03!$A$1:$ZZ$501,$A497,AP$3)))</f>
        <v/>
      </c>
      <c r="AQ497" s="124" t="str">
        <f>IF($B497="","",IF(AQ$3=0,"n.b.",INDEX(SRC_ZPMW03!$A$1:$ZZ$501,$A497,AQ$3)))</f>
        <v/>
      </c>
      <c r="AR497" s="124" t="str">
        <f>IF($B497="","",IF(AR$3=0,"n.b.",INDEX(SRC_ZPMW03!$A$1:$ZZ$501,$A497,AR$3)))</f>
        <v/>
      </c>
      <c r="AS497" s="124" t="str">
        <f>IF($B497="","",IF(AS$3=0,"n.b.",INDEX(SRC_ZPMW03!$A$1:$ZZ$501,$A497,AS$3)))</f>
        <v/>
      </c>
      <c r="AT497" s="124" t="str">
        <f>IF($B497="","",IF(AT$3=0,"n.b.",INDEX(SRC_ZPMW03!$A$1:$ZZ$501,$A497,AT$3)))</f>
        <v/>
      </c>
      <c r="AU497" s="124" t="str">
        <f>IF($B497="","",IF(AU$3=0,"n.b.",INDEX(SRC_ZPMW03!$A$1:$ZZ$501,$A497,AU$3)))</f>
        <v/>
      </c>
      <c r="AV497" s="124" t="str">
        <f>IF($B497="","",IF(AV$3=0,"n.b.",INDEX(SRC_ZPMW03!$A$1:$ZZ$501,$A497,AV$3)))</f>
        <v/>
      </c>
      <c r="AW497" s="124" t="str">
        <f>IF($B497="","",IF(AW$3=0,"n.b.",INDEX(SRC_ZPMW03!$A$1:$ZZ$501,$A497,AW$3)))</f>
        <v/>
      </c>
      <c r="AX497" s="124" t="str">
        <f>IF($B497="","",IF(AX$3=0,"n.b.",INDEX(SRC_ZPMW03!$A$1:$ZZ$501,$A497,AX$3)))</f>
        <v/>
      </c>
      <c r="AY497" s="124" t="str">
        <f>IF($B497="","",IF(AY$3=0,"n.b.",INDEX(SRC_ZPMW03!$A$1:$ZZ$501,$A497,AY$3)))</f>
        <v/>
      </c>
      <c r="AZ497" s="124" t="str">
        <f>IF($B497="","",IF(AZ$3=0,"n.b.",INDEX(SRC_ZPMW03!$A$1:$ZZ$501,$A497,AZ$3)))</f>
        <v/>
      </c>
      <c r="BA497" s="124" t="str">
        <f>IF($B497="","",IF(BA$3=0,"n.b.",INDEX(SRC_ZPMW03!$A$1:$ZZ$501,$A497,BA$3)))</f>
        <v/>
      </c>
      <c r="BB497" s="124" t="str">
        <f>IF($B497="","",IF(BB$3=0,"n.b.",INDEX(SRC_ZPMW03!$A$1:$ZZ$501,$A497,BB$3)))</f>
        <v/>
      </c>
      <c r="BC497" s="124" t="str">
        <f>IF($B497="","",IF(BC$3=0,"n.b.",INDEX(SRC_ZPMW03!$A$1:$ZZ$501,$A497,BC$3)))</f>
        <v/>
      </c>
      <c r="BD497" s="124" t="str">
        <f>IF($B497="","",IF(BD$3=0,"n.b.",INDEX(SRC_ZPMW03!$A$1:$ZZ$501,$A497,BD$3)))</f>
        <v/>
      </c>
      <c r="BE497" s="124" t="str">
        <f>IF($B497="","",IF(BE$3=0,"n.b.",INDEX(SRC_ZPMW03!$A$1:$ZZ$501,$A497,BE$3)))</f>
        <v/>
      </c>
      <c r="BF497" s="124" t="str">
        <f>IF($B497="","",IF(BF$3=0,"n.b.",INDEX(SRC_ZPMW03!$A$1:$ZZ$501,$A497,BF$3)))</f>
        <v/>
      </c>
      <c r="BG497" t="str">
        <f>IF($B497="","",IF(BG$3=0,"n.b.",INDEX(SRC_ZPMW03!$A$1:$ZZ$501,$A497,BG$3)))</f>
        <v/>
      </c>
      <c r="BH497" t="str">
        <f>IF($B497="","",IF(BH$3=0,"n.b.",INDEX(SRC_ZPMW03!$A$1:$ZZ$501,$A497,BH$3)))</f>
        <v/>
      </c>
      <c r="BI497" t="str">
        <f>IF($B497="","",IF(BI$3=0,"n.b.",INDEX(SRC_ZPMW03!$A$1:$ZZ$501,$A497,BI$3)))</f>
        <v/>
      </c>
      <c r="BJ497" t="str">
        <f>IF($B497="","",IF(BJ$3=0,"n.b.",INDEX(SRC_ZPMW03!$A$1:$ZZ$501,$A497,BJ$3)))</f>
        <v/>
      </c>
      <c r="BK497" s="124" t="str">
        <f>IF($B497="","",IFERROR(-O497,"n.b."))</f>
        <v/>
      </c>
      <c r="BL497" s="124" t="str">
        <f>IF($B497="","",IFERROR(-Q497,"n.b."))</f>
        <v/>
      </c>
      <c r="BM497" s="124" t="str">
        <f>IF($B497="","",IFERROR(-AB497,"n.b."))</f>
        <v/>
      </c>
      <c r="BN497" s="124" t="str">
        <f>IF($B497="","",IFERROR(-AD497,"n.b."))</f>
        <v/>
      </c>
      <c r="BO497" s="124" t="str">
        <f>IF($B497="","",IFERROR(BK497+BM497,"n.b."))</f>
        <v/>
      </c>
      <c r="BP497" s="124" t="str">
        <f>IF($B497="","",IFERROR(BL497+BN497,"n.b."))</f>
        <v/>
      </c>
      <c r="BQ497" s="124" t="str">
        <f>IF($B497="","",IFERROR(-AM497,"n.b."))</f>
        <v/>
      </c>
      <c r="BR497" s="124" t="str">
        <f>IF($B497="","",IFERROR(-AO497,"n.b."))</f>
        <v/>
      </c>
      <c r="BS497" s="124" t="str">
        <f>IF($B497="","",IFERROR(-Z497,"n.b."))</f>
        <v/>
      </c>
      <c r="BT497" s="124" t="str">
        <f>IF($B497="","",IFERROR(-AA497,"n.b."))</f>
        <v/>
      </c>
      <c r="BU497" s="124" t="str">
        <f>IF($B497="","",IFERROR(-AE497,"n.b."))</f>
        <v/>
      </c>
      <c r="BV497" s="124" t="str">
        <f>IF($B497="","",IFERROR(-AF497,"n.b."))</f>
        <v/>
      </c>
      <c r="BW497" s="124" t="str">
        <f>IF($B497="","",IFERROR(-AG497,"n.b."))</f>
        <v/>
      </c>
      <c r="BX497" s="124" t="str">
        <f>IF($B497="","",IFERROR(-AH497,"n.b."))</f>
        <v/>
      </c>
      <c r="BY497" s="124" t="str">
        <f>IF($B497="","",IFERROR(-AI497,"n.b."))</f>
        <v/>
      </c>
      <c r="BZ497" s="124" t="str">
        <f>IF($B497="","",IFERROR(-AJ497,"n.b."))</f>
        <v/>
      </c>
      <c r="CA497" s="124" t="str">
        <f>IF($B497="","",IFERROR(-AK497,"n.b."))</f>
        <v/>
      </c>
      <c r="CB497" s="124" t="str">
        <f>IF($B497="","",IFERROR(-AL497,"n.b."))</f>
        <v/>
      </c>
      <c r="CC497" s="124" t="str">
        <f>IF($B497="","",IFERROR(-AP497,"n.b."))</f>
        <v/>
      </c>
      <c r="CD497" s="124" t="str">
        <f>IF($B497="","",IFERROR(-AQ497,"n.b."))</f>
        <v/>
      </c>
      <c r="CE497" s="124" t="str">
        <f>IF($B497="","",IFERROR(-AR497,"n.b."))</f>
        <v/>
      </c>
      <c r="CF497" s="124" t="str">
        <f>IF($B497="","",IFERROR(-AS497,"n.b."))</f>
        <v/>
      </c>
      <c r="CG497" s="124" t="str">
        <f>IF($B497="","",IFERROR(-AT497,"n.b."))</f>
        <v/>
      </c>
      <c r="CH497" s="124" t="str">
        <f>IF($B497="","",IFERROR(-AU497,"n.b."))</f>
        <v/>
      </c>
      <c r="CI497" s="124" t="str">
        <f>IF($B497="","",IFERROR(-AV497,"n.b."))</f>
        <v/>
      </c>
      <c r="CJ497" s="124" t="str">
        <f>IF($B497="","",IFERROR(-AW497,"n.b."))</f>
        <v/>
      </c>
      <c r="CK497" s="124" t="str">
        <f>IF($B497="","",IFERROR(-AX497,"n.b."))</f>
        <v/>
      </c>
      <c r="CL497" s="124" t="str">
        <f>IF($B497="","",IFERROR(-AY497,"n.b."))</f>
        <v/>
      </c>
      <c r="CM497" s="124" t="str">
        <f>IF($B497="","",IFERROR(-AZ497,"n.b."))</f>
        <v/>
      </c>
      <c r="CN497" s="124" t="str">
        <f>IF($B497="","",IFERROR(-BA497,"n.b."))</f>
        <v/>
      </c>
      <c r="CO497" s="124" t="str">
        <f>IF($B497="","",IFERROR(-BB497,"n.b."))</f>
        <v/>
      </c>
      <c r="CP497" s="124" t="str">
        <f>IF($B497="","",IFERROR(-BC497,"n.b."))</f>
        <v/>
      </c>
      <c r="CQ497" s="124" t="str">
        <f>IF($B497="","",IFERROR(-BD497,"n.b."))</f>
        <v/>
      </c>
      <c r="CR497" s="124" t="str">
        <f>IF($B497="","",IFERROR(-BE497,"n.b."))</f>
        <v/>
      </c>
      <c r="CS497" s="124" t="str">
        <f>IF($B497="","",IFERROR(IF(OR(ABS(T497+V497+X497+Z497-AB497)&gt;P_Tol,ABS(U497+W497+Y497+AA497-AD497)&gt;P_Tol,ABS(AE497+AG497+AI497+AK497-AM497)&gt;P_Tol,ABS(AF497+AH497+AJ497+AL497-AO497)&gt;P_Tol),1,0),1))</f>
        <v/>
      </c>
      <c r="CT497" s="124" t="str">
        <f>IF($B497="","",IFERROR(IF(OR(ABS(AB497+AC497-AD497)&gt;P_Tol,ABS(AM497+AN497-AO497)&gt;P_Tol,ABS(O497+P497-Q497)&gt;P_Tol),1,0),1))</f>
        <v/>
      </c>
      <c r="CU497" s="124" t="str">
        <f>IF($B497="","",IFERROR(IF(ABS(R497-(AB497+AM497+AP497+AR497+AT497+AV497+AX497+AZ497+BB497+BD497))&gt;P_Tol,1,0),1))</f>
        <v/>
      </c>
      <c r="CV497" s="124" t="str">
        <f>IF($B497="","",IFERROR(IF(ABS(M497-(N497+O497+R497))&gt;P_Tol,1,0),1))</f>
        <v/>
      </c>
      <c r="CW497" s="124" t="str">
        <f>IF($B497="","",IF(COUNTIF(Mapping!$A$5:$A$104,B497)&gt;0,1,0))</f>
        <v/>
      </c>
      <c r="CX497" s="124" t="str">
        <f>IF($B497="","",COUNTIF($B$6:$B$505,B497))</f>
        <v/>
      </c>
      <c r="CY497" s="124" t="str">
        <f>IF($B497="","",COUNTIF(STG_Woningetalage!$B$6:$B$505,B497))</f>
        <v/>
      </c>
      <c r="CZ497" s="124" t="str">
        <f>IF($B497="","",IF(CW497=0,COUNTIF($CW$6:CW497,0),""))</f>
        <v/>
      </c>
    </row>
    <row r="498">
      <c r="A498" s="15" t="n">
        <v>494</v>
      </c>
      <c r="B498" t="str">
        <f>IF(B$3=0,"",IF(INDEX(SRC_ZPMW03!$A$1:$ZZ$501,$A498,B$3)&amp;""="","",INDEX(SRC_ZPMW03!$A$1:$ZZ$501,$A498,B$3)&amp;""))</f>
        <v/>
      </c>
      <c r="C498" t="str">
        <f>IF($B498="","",IF(C$3=0,"n.b.",INDEX(SRC_ZPMW03!$A$1:$ZZ$501,$A498,C$3)))</f>
        <v/>
      </c>
      <c r="D498" t="str">
        <f>IF($B498="","",IF(D$3=0,"n.b.",INDEX(SRC_ZPMW03!$A$1:$ZZ$501,$A498,D$3)))</f>
        <v/>
      </c>
      <c r="E498" t="str">
        <f>IF($B498="","",IF(E$3=0,"n.b.",INDEX(SRC_ZPMW03!$A$1:$ZZ$501,$A498,E$3)))</f>
        <v/>
      </c>
      <c r="F498" t="str">
        <f>IF($B498="","",IF(F$3=0,"n.b.",INDEX(SRC_ZPMW03!$A$1:$ZZ$501,$A498,F$3)))</f>
        <v/>
      </c>
      <c r="G498" t="str">
        <f>IF($B498="","",IF(G$3=0,"n.b.",INDEX(SRC_ZPMW03!$A$1:$ZZ$501,$A498,G$3)))</f>
        <v/>
      </c>
      <c r="H498" t="str">
        <f>IF($B498="","",IF(H$3=0,"n.b.",INDEX(SRC_ZPMW03!$A$1:$ZZ$501,$A498,H$3)))</f>
        <v/>
      </c>
      <c r="I498" t="str">
        <f>IF($B498="","",IF(I$3=0,"n.b.",INDEX(SRC_ZPMW03!$A$1:$ZZ$501,$A498,I$3)))</f>
        <v/>
      </c>
      <c r="J498" t="str">
        <f>IF($B498="","",IF(J$3=0,"n.b.",INDEX(SRC_ZPMW03!$A$1:$ZZ$501,$A498,J$3)))</f>
        <v/>
      </c>
      <c r="K498" t="str">
        <f>IF($B498="","",IF(K$3=0,"n.b.",INDEX(SRC_ZPMW03!$A$1:$ZZ$501,$A498,K$3)))</f>
        <v/>
      </c>
      <c r="L498" s="124" t="str">
        <f>IF($B498="","",IF(L$3=0,"n.b.",INDEX(SRC_ZPMW03!$A$1:$ZZ$501,$A498,L$3)))</f>
        <v/>
      </c>
      <c r="M498" s="124" t="str">
        <f>IF($B498="","",IF(M$3=0,"n.b.",INDEX(SRC_ZPMW03!$A$1:$ZZ$501,$A498,M$3)))</f>
        <v/>
      </c>
      <c r="N498" s="124" t="str">
        <f>IF($B498="","",IF(N$3=0,"n.b.",INDEX(SRC_ZPMW03!$A$1:$ZZ$501,$A498,N$3)))</f>
        <v/>
      </c>
      <c r="O498" s="124" t="str">
        <f>IF($B498="","",IF(O$3=0,"n.b.",INDEX(SRC_ZPMW03!$A$1:$ZZ$501,$A498,O$3)))</f>
        <v/>
      </c>
      <c r="P498" s="124" t="str">
        <f>IF($B498="","",IF(P$3=0,"n.b.",INDEX(SRC_ZPMW03!$A$1:$ZZ$501,$A498,P$3)))</f>
        <v/>
      </c>
      <c r="Q498" s="124" t="str">
        <f>IF($B498="","",IF(Q$3=0,"n.b.",INDEX(SRC_ZPMW03!$A$1:$ZZ$501,$A498,Q$3)))</f>
        <v/>
      </c>
      <c r="R498" s="124" t="str">
        <f>IF($B498="","",IF(R$3=0,"n.b.",INDEX(SRC_ZPMW03!$A$1:$ZZ$501,$A498,R$3)))</f>
        <v/>
      </c>
      <c r="S498" s="124" t="str">
        <f>IF($B498="","",IF(S$3=0,"n.b.",INDEX(SRC_ZPMW03!$A$1:$ZZ$501,$A498,S$3)))</f>
        <v/>
      </c>
      <c r="T498" s="124" t="str">
        <f>IF($B498="","",IF(T$3=0,"n.b.",INDEX(SRC_ZPMW03!$A$1:$ZZ$501,$A498,T$3)))</f>
        <v/>
      </c>
      <c r="U498" s="124" t="str">
        <f>IF($B498="","",IF(U$3=0,"n.b.",INDEX(SRC_ZPMW03!$A$1:$ZZ$501,$A498,U$3)))</f>
        <v/>
      </c>
      <c r="V498" s="124" t="str">
        <f>IF($B498="","",IF(V$3=0,"n.b.",INDEX(SRC_ZPMW03!$A$1:$ZZ$501,$A498,V$3)))</f>
        <v/>
      </c>
      <c r="W498" s="124" t="str">
        <f>IF($B498="","",IF(W$3=0,"n.b.",INDEX(SRC_ZPMW03!$A$1:$ZZ$501,$A498,W$3)))</f>
        <v/>
      </c>
      <c r="X498" s="124" t="str">
        <f>IF($B498="","",IF(X$3=0,"n.b.",INDEX(SRC_ZPMW03!$A$1:$ZZ$501,$A498,X$3)))</f>
        <v/>
      </c>
      <c r="Y498" s="124" t="str">
        <f>IF($B498="","",IF(Y$3=0,"n.b.",INDEX(SRC_ZPMW03!$A$1:$ZZ$501,$A498,Y$3)))</f>
        <v/>
      </c>
      <c r="Z498" s="124" t="str">
        <f>IF($B498="","",IF(Z$3=0,"n.b.",INDEX(SRC_ZPMW03!$A$1:$ZZ$501,$A498,Z$3)))</f>
        <v/>
      </c>
      <c r="AA498" s="124" t="str">
        <f>IF($B498="","",IF(AA$3=0,"n.b.",INDEX(SRC_ZPMW03!$A$1:$ZZ$501,$A498,AA$3)))</f>
        <v/>
      </c>
      <c r="AB498" s="124" t="str">
        <f>IF($B498="","",IF(AB$3=0,"n.b.",INDEX(SRC_ZPMW03!$A$1:$ZZ$501,$A498,AB$3)))</f>
        <v/>
      </c>
      <c r="AC498" s="124" t="str">
        <f>IF($B498="","",IF(AC$3=0,"n.b.",INDEX(SRC_ZPMW03!$A$1:$ZZ$501,$A498,AC$3)))</f>
        <v/>
      </c>
      <c r="AD498" s="124" t="str">
        <f>IF($B498="","",IF(AD$3=0,"n.b.",INDEX(SRC_ZPMW03!$A$1:$ZZ$501,$A498,AD$3)))</f>
        <v/>
      </c>
      <c r="AE498" s="124" t="str">
        <f>IF($B498="","",IF(AE$3=0,"n.b.",INDEX(SRC_ZPMW03!$A$1:$ZZ$501,$A498,AE$3)))</f>
        <v/>
      </c>
      <c r="AF498" s="124" t="str">
        <f>IF($B498="","",IF(AF$3=0,"n.b.",INDEX(SRC_ZPMW03!$A$1:$ZZ$501,$A498,AF$3)))</f>
        <v/>
      </c>
      <c r="AG498" s="124" t="str">
        <f>IF($B498="","",IF(AG$3=0,"n.b.",INDEX(SRC_ZPMW03!$A$1:$ZZ$501,$A498,AG$3)))</f>
        <v/>
      </c>
      <c r="AH498" s="124" t="str">
        <f>IF($B498="","",IF(AH$3=0,"n.b.",INDEX(SRC_ZPMW03!$A$1:$ZZ$501,$A498,AH$3)))</f>
        <v/>
      </c>
      <c r="AI498" s="124" t="str">
        <f>IF($B498="","",IF(AI$3=0,"n.b.",INDEX(SRC_ZPMW03!$A$1:$ZZ$501,$A498,AI$3)))</f>
        <v/>
      </c>
      <c r="AJ498" s="124" t="str">
        <f>IF($B498="","",IF(AJ$3=0,"n.b.",INDEX(SRC_ZPMW03!$A$1:$ZZ$501,$A498,AJ$3)))</f>
        <v/>
      </c>
      <c r="AK498" s="124" t="str">
        <f>IF($B498="","",IF(AK$3=0,"n.b.",INDEX(SRC_ZPMW03!$A$1:$ZZ$501,$A498,AK$3)))</f>
        <v/>
      </c>
      <c r="AL498" s="124" t="str">
        <f>IF($B498="","",IF(AL$3=0,"n.b.",INDEX(SRC_ZPMW03!$A$1:$ZZ$501,$A498,AL$3)))</f>
        <v/>
      </c>
      <c r="AM498" s="124" t="str">
        <f>IF($B498="","",IF(AM$3=0,"n.b.",INDEX(SRC_ZPMW03!$A$1:$ZZ$501,$A498,AM$3)))</f>
        <v/>
      </c>
      <c r="AN498" s="124" t="str">
        <f>IF($B498="","",IF(AN$3=0,"n.b.",INDEX(SRC_ZPMW03!$A$1:$ZZ$501,$A498,AN$3)))</f>
        <v/>
      </c>
      <c r="AO498" s="124" t="str">
        <f>IF($B498="","",IF(AO$3=0,"n.b.",INDEX(SRC_ZPMW03!$A$1:$ZZ$501,$A498,AO$3)))</f>
        <v/>
      </c>
      <c r="AP498" s="124" t="str">
        <f>IF($B498="","",IF(AP$3=0,"n.b.",INDEX(SRC_ZPMW03!$A$1:$ZZ$501,$A498,AP$3)))</f>
        <v/>
      </c>
      <c r="AQ498" s="124" t="str">
        <f>IF($B498="","",IF(AQ$3=0,"n.b.",INDEX(SRC_ZPMW03!$A$1:$ZZ$501,$A498,AQ$3)))</f>
        <v/>
      </c>
      <c r="AR498" s="124" t="str">
        <f>IF($B498="","",IF(AR$3=0,"n.b.",INDEX(SRC_ZPMW03!$A$1:$ZZ$501,$A498,AR$3)))</f>
        <v/>
      </c>
      <c r="AS498" s="124" t="str">
        <f>IF($B498="","",IF(AS$3=0,"n.b.",INDEX(SRC_ZPMW03!$A$1:$ZZ$501,$A498,AS$3)))</f>
        <v/>
      </c>
      <c r="AT498" s="124" t="str">
        <f>IF($B498="","",IF(AT$3=0,"n.b.",INDEX(SRC_ZPMW03!$A$1:$ZZ$501,$A498,AT$3)))</f>
        <v/>
      </c>
      <c r="AU498" s="124" t="str">
        <f>IF($B498="","",IF(AU$3=0,"n.b.",INDEX(SRC_ZPMW03!$A$1:$ZZ$501,$A498,AU$3)))</f>
        <v/>
      </c>
      <c r="AV498" s="124" t="str">
        <f>IF($B498="","",IF(AV$3=0,"n.b.",INDEX(SRC_ZPMW03!$A$1:$ZZ$501,$A498,AV$3)))</f>
        <v/>
      </c>
      <c r="AW498" s="124" t="str">
        <f>IF($B498="","",IF(AW$3=0,"n.b.",INDEX(SRC_ZPMW03!$A$1:$ZZ$501,$A498,AW$3)))</f>
        <v/>
      </c>
      <c r="AX498" s="124" t="str">
        <f>IF($B498="","",IF(AX$3=0,"n.b.",INDEX(SRC_ZPMW03!$A$1:$ZZ$501,$A498,AX$3)))</f>
        <v/>
      </c>
      <c r="AY498" s="124" t="str">
        <f>IF($B498="","",IF(AY$3=0,"n.b.",INDEX(SRC_ZPMW03!$A$1:$ZZ$501,$A498,AY$3)))</f>
        <v/>
      </c>
      <c r="AZ498" s="124" t="str">
        <f>IF($B498="","",IF(AZ$3=0,"n.b.",INDEX(SRC_ZPMW03!$A$1:$ZZ$501,$A498,AZ$3)))</f>
        <v/>
      </c>
      <c r="BA498" s="124" t="str">
        <f>IF($B498="","",IF(BA$3=0,"n.b.",INDEX(SRC_ZPMW03!$A$1:$ZZ$501,$A498,BA$3)))</f>
        <v/>
      </c>
      <c r="BB498" s="124" t="str">
        <f>IF($B498="","",IF(BB$3=0,"n.b.",INDEX(SRC_ZPMW03!$A$1:$ZZ$501,$A498,BB$3)))</f>
        <v/>
      </c>
      <c r="BC498" s="124" t="str">
        <f>IF($B498="","",IF(BC$3=0,"n.b.",INDEX(SRC_ZPMW03!$A$1:$ZZ$501,$A498,BC$3)))</f>
        <v/>
      </c>
      <c r="BD498" s="124" t="str">
        <f>IF($B498="","",IF(BD$3=0,"n.b.",INDEX(SRC_ZPMW03!$A$1:$ZZ$501,$A498,BD$3)))</f>
        <v/>
      </c>
      <c r="BE498" s="124" t="str">
        <f>IF($B498="","",IF(BE$3=0,"n.b.",INDEX(SRC_ZPMW03!$A$1:$ZZ$501,$A498,BE$3)))</f>
        <v/>
      </c>
      <c r="BF498" s="124" t="str">
        <f>IF($B498="","",IF(BF$3=0,"n.b.",INDEX(SRC_ZPMW03!$A$1:$ZZ$501,$A498,BF$3)))</f>
        <v/>
      </c>
      <c r="BG498" t="str">
        <f>IF($B498="","",IF(BG$3=0,"n.b.",INDEX(SRC_ZPMW03!$A$1:$ZZ$501,$A498,BG$3)))</f>
        <v/>
      </c>
      <c r="BH498" t="str">
        <f>IF($B498="","",IF(BH$3=0,"n.b.",INDEX(SRC_ZPMW03!$A$1:$ZZ$501,$A498,BH$3)))</f>
        <v/>
      </c>
      <c r="BI498" t="str">
        <f>IF($B498="","",IF(BI$3=0,"n.b.",INDEX(SRC_ZPMW03!$A$1:$ZZ$501,$A498,BI$3)))</f>
        <v/>
      </c>
      <c r="BJ498" t="str">
        <f>IF($B498="","",IF(BJ$3=0,"n.b.",INDEX(SRC_ZPMW03!$A$1:$ZZ$501,$A498,BJ$3)))</f>
        <v/>
      </c>
      <c r="BK498" s="124" t="str">
        <f>IF($B498="","",IFERROR(-O498,"n.b."))</f>
        <v/>
      </c>
      <c r="BL498" s="124" t="str">
        <f>IF($B498="","",IFERROR(-Q498,"n.b."))</f>
        <v/>
      </c>
      <c r="BM498" s="124" t="str">
        <f>IF($B498="","",IFERROR(-AB498,"n.b."))</f>
        <v/>
      </c>
      <c r="BN498" s="124" t="str">
        <f>IF($B498="","",IFERROR(-AD498,"n.b."))</f>
        <v/>
      </c>
      <c r="BO498" s="124" t="str">
        <f>IF($B498="","",IFERROR(BK498+BM498,"n.b."))</f>
        <v/>
      </c>
      <c r="BP498" s="124" t="str">
        <f>IF($B498="","",IFERROR(BL498+BN498,"n.b."))</f>
        <v/>
      </c>
      <c r="BQ498" s="124" t="str">
        <f>IF($B498="","",IFERROR(-AM498,"n.b."))</f>
        <v/>
      </c>
      <c r="BR498" s="124" t="str">
        <f>IF($B498="","",IFERROR(-AO498,"n.b."))</f>
        <v/>
      </c>
      <c r="BS498" s="124" t="str">
        <f>IF($B498="","",IFERROR(-Z498,"n.b."))</f>
        <v/>
      </c>
      <c r="BT498" s="124" t="str">
        <f>IF($B498="","",IFERROR(-AA498,"n.b."))</f>
        <v/>
      </c>
      <c r="BU498" s="124" t="str">
        <f>IF($B498="","",IFERROR(-AE498,"n.b."))</f>
        <v/>
      </c>
      <c r="BV498" s="124" t="str">
        <f>IF($B498="","",IFERROR(-AF498,"n.b."))</f>
        <v/>
      </c>
      <c r="BW498" s="124" t="str">
        <f>IF($B498="","",IFERROR(-AG498,"n.b."))</f>
        <v/>
      </c>
      <c r="BX498" s="124" t="str">
        <f>IF($B498="","",IFERROR(-AH498,"n.b."))</f>
        <v/>
      </c>
      <c r="BY498" s="124" t="str">
        <f>IF($B498="","",IFERROR(-AI498,"n.b."))</f>
        <v/>
      </c>
      <c r="BZ498" s="124" t="str">
        <f>IF($B498="","",IFERROR(-AJ498,"n.b."))</f>
        <v/>
      </c>
      <c r="CA498" s="124" t="str">
        <f>IF($B498="","",IFERROR(-AK498,"n.b."))</f>
        <v/>
      </c>
      <c r="CB498" s="124" t="str">
        <f>IF($B498="","",IFERROR(-AL498,"n.b."))</f>
        <v/>
      </c>
      <c r="CC498" s="124" t="str">
        <f>IF($B498="","",IFERROR(-AP498,"n.b."))</f>
        <v/>
      </c>
      <c r="CD498" s="124" t="str">
        <f>IF($B498="","",IFERROR(-AQ498,"n.b."))</f>
        <v/>
      </c>
      <c r="CE498" s="124" t="str">
        <f>IF($B498="","",IFERROR(-AR498,"n.b."))</f>
        <v/>
      </c>
      <c r="CF498" s="124" t="str">
        <f>IF($B498="","",IFERROR(-AS498,"n.b."))</f>
        <v/>
      </c>
      <c r="CG498" s="124" t="str">
        <f>IF($B498="","",IFERROR(-AT498,"n.b."))</f>
        <v/>
      </c>
      <c r="CH498" s="124" t="str">
        <f>IF($B498="","",IFERROR(-AU498,"n.b."))</f>
        <v/>
      </c>
      <c r="CI498" s="124" t="str">
        <f>IF($B498="","",IFERROR(-AV498,"n.b."))</f>
        <v/>
      </c>
      <c r="CJ498" s="124" t="str">
        <f>IF($B498="","",IFERROR(-AW498,"n.b."))</f>
        <v/>
      </c>
      <c r="CK498" s="124" t="str">
        <f>IF($B498="","",IFERROR(-AX498,"n.b."))</f>
        <v/>
      </c>
      <c r="CL498" s="124" t="str">
        <f>IF($B498="","",IFERROR(-AY498,"n.b."))</f>
        <v/>
      </c>
      <c r="CM498" s="124" t="str">
        <f>IF($B498="","",IFERROR(-AZ498,"n.b."))</f>
        <v/>
      </c>
      <c r="CN498" s="124" t="str">
        <f>IF($B498="","",IFERROR(-BA498,"n.b."))</f>
        <v/>
      </c>
      <c r="CO498" s="124" t="str">
        <f>IF($B498="","",IFERROR(-BB498,"n.b."))</f>
        <v/>
      </c>
      <c r="CP498" s="124" t="str">
        <f>IF($B498="","",IFERROR(-BC498,"n.b."))</f>
        <v/>
      </c>
      <c r="CQ498" s="124" t="str">
        <f>IF($B498="","",IFERROR(-BD498,"n.b."))</f>
        <v/>
      </c>
      <c r="CR498" s="124" t="str">
        <f>IF($B498="","",IFERROR(-BE498,"n.b."))</f>
        <v/>
      </c>
      <c r="CS498" s="124" t="str">
        <f>IF($B498="","",IFERROR(IF(OR(ABS(T498+V498+X498+Z498-AB498)&gt;P_Tol,ABS(U498+W498+Y498+AA498-AD498)&gt;P_Tol,ABS(AE498+AG498+AI498+AK498-AM498)&gt;P_Tol,ABS(AF498+AH498+AJ498+AL498-AO498)&gt;P_Tol),1,0),1))</f>
        <v/>
      </c>
      <c r="CT498" s="124" t="str">
        <f>IF($B498="","",IFERROR(IF(OR(ABS(AB498+AC498-AD498)&gt;P_Tol,ABS(AM498+AN498-AO498)&gt;P_Tol,ABS(O498+P498-Q498)&gt;P_Tol),1,0),1))</f>
        <v/>
      </c>
      <c r="CU498" s="124" t="str">
        <f>IF($B498="","",IFERROR(IF(ABS(R498-(AB498+AM498+AP498+AR498+AT498+AV498+AX498+AZ498+BB498+BD498))&gt;P_Tol,1,0),1))</f>
        <v/>
      </c>
      <c r="CV498" s="124" t="str">
        <f>IF($B498="","",IFERROR(IF(ABS(M498-(N498+O498+R498))&gt;P_Tol,1,0),1))</f>
        <v/>
      </c>
      <c r="CW498" s="124" t="str">
        <f>IF($B498="","",IF(COUNTIF(Mapping!$A$5:$A$104,B498)&gt;0,1,0))</f>
        <v/>
      </c>
      <c r="CX498" s="124" t="str">
        <f>IF($B498="","",COUNTIF($B$6:$B$505,B498))</f>
        <v/>
      </c>
      <c r="CY498" s="124" t="str">
        <f>IF($B498="","",COUNTIF(STG_Woningetalage!$B$6:$B$505,B498))</f>
        <v/>
      </c>
      <c r="CZ498" s="124" t="str">
        <f>IF($B498="","",IF(CW498=0,COUNTIF($CW$6:CW498,0),""))</f>
        <v/>
      </c>
    </row>
    <row r="499">
      <c r="A499" s="15" t="n">
        <v>495</v>
      </c>
      <c r="B499" t="str">
        <f>IF(B$3=0,"",IF(INDEX(SRC_ZPMW03!$A$1:$ZZ$501,$A499,B$3)&amp;""="","",INDEX(SRC_ZPMW03!$A$1:$ZZ$501,$A499,B$3)&amp;""))</f>
        <v/>
      </c>
      <c r="C499" t="str">
        <f>IF($B499="","",IF(C$3=0,"n.b.",INDEX(SRC_ZPMW03!$A$1:$ZZ$501,$A499,C$3)))</f>
        <v/>
      </c>
      <c r="D499" t="str">
        <f>IF($B499="","",IF(D$3=0,"n.b.",INDEX(SRC_ZPMW03!$A$1:$ZZ$501,$A499,D$3)))</f>
        <v/>
      </c>
      <c r="E499" t="str">
        <f>IF($B499="","",IF(E$3=0,"n.b.",INDEX(SRC_ZPMW03!$A$1:$ZZ$501,$A499,E$3)))</f>
        <v/>
      </c>
      <c r="F499" t="str">
        <f>IF($B499="","",IF(F$3=0,"n.b.",INDEX(SRC_ZPMW03!$A$1:$ZZ$501,$A499,F$3)))</f>
        <v/>
      </c>
      <c r="G499" t="str">
        <f>IF($B499="","",IF(G$3=0,"n.b.",INDEX(SRC_ZPMW03!$A$1:$ZZ$501,$A499,G$3)))</f>
        <v/>
      </c>
      <c r="H499" t="str">
        <f>IF($B499="","",IF(H$3=0,"n.b.",INDEX(SRC_ZPMW03!$A$1:$ZZ$501,$A499,H$3)))</f>
        <v/>
      </c>
      <c r="I499" t="str">
        <f>IF($B499="","",IF(I$3=0,"n.b.",INDEX(SRC_ZPMW03!$A$1:$ZZ$501,$A499,I$3)))</f>
        <v/>
      </c>
      <c r="J499" t="str">
        <f>IF($B499="","",IF(J$3=0,"n.b.",INDEX(SRC_ZPMW03!$A$1:$ZZ$501,$A499,J$3)))</f>
        <v/>
      </c>
      <c r="K499" t="str">
        <f>IF($B499="","",IF(K$3=0,"n.b.",INDEX(SRC_ZPMW03!$A$1:$ZZ$501,$A499,K$3)))</f>
        <v/>
      </c>
      <c r="L499" s="124" t="str">
        <f>IF($B499="","",IF(L$3=0,"n.b.",INDEX(SRC_ZPMW03!$A$1:$ZZ$501,$A499,L$3)))</f>
        <v/>
      </c>
      <c r="M499" s="124" t="str">
        <f>IF($B499="","",IF(M$3=0,"n.b.",INDEX(SRC_ZPMW03!$A$1:$ZZ$501,$A499,M$3)))</f>
        <v/>
      </c>
      <c r="N499" s="124" t="str">
        <f>IF($B499="","",IF(N$3=0,"n.b.",INDEX(SRC_ZPMW03!$A$1:$ZZ$501,$A499,N$3)))</f>
        <v/>
      </c>
      <c r="O499" s="124" t="str">
        <f>IF($B499="","",IF(O$3=0,"n.b.",INDEX(SRC_ZPMW03!$A$1:$ZZ$501,$A499,O$3)))</f>
        <v/>
      </c>
      <c r="P499" s="124" t="str">
        <f>IF($B499="","",IF(P$3=0,"n.b.",INDEX(SRC_ZPMW03!$A$1:$ZZ$501,$A499,P$3)))</f>
        <v/>
      </c>
      <c r="Q499" s="124" t="str">
        <f>IF($B499="","",IF(Q$3=0,"n.b.",INDEX(SRC_ZPMW03!$A$1:$ZZ$501,$A499,Q$3)))</f>
        <v/>
      </c>
      <c r="R499" s="124" t="str">
        <f>IF($B499="","",IF(R$3=0,"n.b.",INDEX(SRC_ZPMW03!$A$1:$ZZ$501,$A499,R$3)))</f>
        <v/>
      </c>
      <c r="S499" s="124" t="str">
        <f>IF($B499="","",IF(S$3=0,"n.b.",INDEX(SRC_ZPMW03!$A$1:$ZZ$501,$A499,S$3)))</f>
        <v/>
      </c>
      <c r="T499" s="124" t="str">
        <f>IF($B499="","",IF(T$3=0,"n.b.",INDEX(SRC_ZPMW03!$A$1:$ZZ$501,$A499,T$3)))</f>
        <v/>
      </c>
      <c r="U499" s="124" t="str">
        <f>IF($B499="","",IF(U$3=0,"n.b.",INDEX(SRC_ZPMW03!$A$1:$ZZ$501,$A499,U$3)))</f>
        <v/>
      </c>
      <c r="V499" s="124" t="str">
        <f>IF($B499="","",IF(V$3=0,"n.b.",INDEX(SRC_ZPMW03!$A$1:$ZZ$501,$A499,V$3)))</f>
        <v/>
      </c>
      <c r="W499" s="124" t="str">
        <f>IF($B499="","",IF(W$3=0,"n.b.",INDEX(SRC_ZPMW03!$A$1:$ZZ$501,$A499,W$3)))</f>
        <v/>
      </c>
      <c r="X499" s="124" t="str">
        <f>IF($B499="","",IF(X$3=0,"n.b.",INDEX(SRC_ZPMW03!$A$1:$ZZ$501,$A499,X$3)))</f>
        <v/>
      </c>
      <c r="Y499" s="124" t="str">
        <f>IF($B499="","",IF(Y$3=0,"n.b.",INDEX(SRC_ZPMW03!$A$1:$ZZ$501,$A499,Y$3)))</f>
        <v/>
      </c>
      <c r="Z499" s="124" t="str">
        <f>IF($B499="","",IF(Z$3=0,"n.b.",INDEX(SRC_ZPMW03!$A$1:$ZZ$501,$A499,Z$3)))</f>
        <v/>
      </c>
      <c r="AA499" s="124" t="str">
        <f>IF($B499="","",IF(AA$3=0,"n.b.",INDEX(SRC_ZPMW03!$A$1:$ZZ$501,$A499,AA$3)))</f>
        <v/>
      </c>
      <c r="AB499" s="124" t="str">
        <f>IF($B499="","",IF(AB$3=0,"n.b.",INDEX(SRC_ZPMW03!$A$1:$ZZ$501,$A499,AB$3)))</f>
        <v/>
      </c>
      <c r="AC499" s="124" t="str">
        <f>IF($B499="","",IF(AC$3=0,"n.b.",INDEX(SRC_ZPMW03!$A$1:$ZZ$501,$A499,AC$3)))</f>
        <v/>
      </c>
      <c r="AD499" s="124" t="str">
        <f>IF($B499="","",IF(AD$3=0,"n.b.",INDEX(SRC_ZPMW03!$A$1:$ZZ$501,$A499,AD$3)))</f>
        <v/>
      </c>
      <c r="AE499" s="124" t="str">
        <f>IF($B499="","",IF(AE$3=0,"n.b.",INDEX(SRC_ZPMW03!$A$1:$ZZ$501,$A499,AE$3)))</f>
        <v/>
      </c>
      <c r="AF499" s="124" t="str">
        <f>IF($B499="","",IF(AF$3=0,"n.b.",INDEX(SRC_ZPMW03!$A$1:$ZZ$501,$A499,AF$3)))</f>
        <v/>
      </c>
      <c r="AG499" s="124" t="str">
        <f>IF($B499="","",IF(AG$3=0,"n.b.",INDEX(SRC_ZPMW03!$A$1:$ZZ$501,$A499,AG$3)))</f>
        <v/>
      </c>
      <c r="AH499" s="124" t="str">
        <f>IF($B499="","",IF(AH$3=0,"n.b.",INDEX(SRC_ZPMW03!$A$1:$ZZ$501,$A499,AH$3)))</f>
        <v/>
      </c>
      <c r="AI499" s="124" t="str">
        <f>IF($B499="","",IF(AI$3=0,"n.b.",INDEX(SRC_ZPMW03!$A$1:$ZZ$501,$A499,AI$3)))</f>
        <v/>
      </c>
      <c r="AJ499" s="124" t="str">
        <f>IF($B499="","",IF(AJ$3=0,"n.b.",INDEX(SRC_ZPMW03!$A$1:$ZZ$501,$A499,AJ$3)))</f>
        <v/>
      </c>
      <c r="AK499" s="124" t="str">
        <f>IF($B499="","",IF(AK$3=0,"n.b.",INDEX(SRC_ZPMW03!$A$1:$ZZ$501,$A499,AK$3)))</f>
        <v/>
      </c>
      <c r="AL499" s="124" t="str">
        <f>IF($B499="","",IF(AL$3=0,"n.b.",INDEX(SRC_ZPMW03!$A$1:$ZZ$501,$A499,AL$3)))</f>
        <v/>
      </c>
      <c r="AM499" s="124" t="str">
        <f>IF($B499="","",IF(AM$3=0,"n.b.",INDEX(SRC_ZPMW03!$A$1:$ZZ$501,$A499,AM$3)))</f>
        <v/>
      </c>
      <c r="AN499" s="124" t="str">
        <f>IF($B499="","",IF(AN$3=0,"n.b.",INDEX(SRC_ZPMW03!$A$1:$ZZ$501,$A499,AN$3)))</f>
        <v/>
      </c>
      <c r="AO499" s="124" t="str">
        <f>IF($B499="","",IF(AO$3=0,"n.b.",INDEX(SRC_ZPMW03!$A$1:$ZZ$501,$A499,AO$3)))</f>
        <v/>
      </c>
      <c r="AP499" s="124" t="str">
        <f>IF($B499="","",IF(AP$3=0,"n.b.",INDEX(SRC_ZPMW03!$A$1:$ZZ$501,$A499,AP$3)))</f>
        <v/>
      </c>
      <c r="AQ499" s="124" t="str">
        <f>IF($B499="","",IF(AQ$3=0,"n.b.",INDEX(SRC_ZPMW03!$A$1:$ZZ$501,$A499,AQ$3)))</f>
        <v/>
      </c>
      <c r="AR499" s="124" t="str">
        <f>IF($B499="","",IF(AR$3=0,"n.b.",INDEX(SRC_ZPMW03!$A$1:$ZZ$501,$A499,AR$3)))</f>
        <v/>
      </c>
      <c r="AS499" s="124" t="str">
        <f>IF($B499="","",IF(AS$3=0,"n.b.",INDEX(SRC_ZPMW03!$A$1:$ZZ$501,$A499,AS$3)))</f>
        <v/>
      </c>
      <c r="AT499" s="124" t="str">
        <f>IF($B499="","",IF(AT$3=0,"n.b.",INDEX(SRC_ZPMW03!$A$1:$ZZ$501,$A499,AT$3)))</f>
        <v/>
      </c>
      <c r="AU499" s="124" t="str">
        <f>IF($B499="","",IF(AU$3=0,"n.b.",INDEX(SRC_ZPMW03!$A$1:$ZZ$501,$A499,AU$3)))</f>
        <v/>
      </c>
      <c r="AV499" s="124" t="str">
        <f>IF($B499="","",IF(AV$3=0,"n.b.",INDEX(SRC_ZPMW03!$A$1:$ZZ$501,$A499,AV$3)))</f>
        <v/>
      </c>
      <c r="AW499" s="124" t="str">
        <f>IF($B499="","",IF(AW$3=0,"n.b.",INDEX(SRC_ZPMW03!$A$1:$ZZ$501,$A499,AW$3)))</f>
        <v/>
      </c>
      <c r="AX499" s="124" t="str">
        <f>IF($B499="","",IF(AX$3=0,"n.b.",INDEX(SRC_ZPMW03!$A$1:$ZZ$501,$A499,AX$3)))</f>
        <v/>
      </c>
      <c r="AY499" s="124" t="str">
        <f>IF($B499="","",IF(AY$3=0,"n.b.",INDEX(SRC_ZPMW03!$A$1:$ZZ$501,$A499,AY$3)))</f>
        <v/>
      </c>
      <c r="AZ499" s="124" t="str">
        <f>IF($B499="","",IF(AZ$3=0,"n.b.",INDEX(SRC_ZPMW03!$A$1:$ZZ$501,$A499,AZ$3)))</f>
        <v/>
      </c>
      <c r="BA499" s="124" t="str">
        <f>IF($B499="","",IF(BA$3=0,"n.b.",INDEX(SRC_ZPMW03!$A$1:$ZZ$501,$A499,BA$3)))</f>
        <v/>
      </c>
      <c r="BB499" s="124" t="str">
        <f>IF($B499="","",IF(BB$3=0,"n.b.",INDEX(SRC_ZPMW03!$A$1:$ZZ$501,$A499,BB$3)))</f>
        <v/>
      </c>
      <c r="BC499" s="124" t="str">
        <f>IF($B499="","",IF(BC$3=0,"n.b.",INDEX(SRC_ZPMW03!$A$1:$ZZ$501,$A499,BC$3)))</f>
        <v/>
      </c>
      <c r="BD499" s="124" t="str">
        <f>IF($B499="","",IF(BD$3=0,"n.b.",INDEX(SRC_ZPMW03!$A$1:$ZZ$501,$A499,BD$3)))</f>
        <v/>
      </c>
      <c r="BE499" s="124" t="str">
        <f>IF($B499="","",IF(BE$3=0,"n.b.",INDEX(SRC_ZPMW03!$A$1:$ZZ$501,$A499,BE$3)))</f>
        <v/>
      </c>
      <c r="BF499" s="124" t="str">
        <f>IF($B499="","",IF(BF$3=0,"n.b.",INDEX(SRC_ZPMW03!$A$1:$ZZ$501,$A499,BF$3)))</f>
        <v/>
      </c>
      <c r="BG499" t="str">
        <f>IF($B499="","",IF(BG$3=0,"n.b.",INDEX(SRC_ZPMW03!$A$1:$ZZ$501,$A499,BG$3)))</f>
        <v/>
      </c>
      <c r="BH499" t="str">
        <f>IF($B499="","",IF(BH$3=0,"n.b.",INDEX(SRC_ZPMW03!$A$1:$ZZ$501,$A499,BH$3)))</f>
        <v/>
      </c>
      <c r="BI499" t="str">
        <f>IF($B499="","",IF(BI$3=0,"n.b.",INDEX(SRC_ZPMW03!$A$1:$ZZ$501,$A499,BI$3)))</f>
        <v/>
      </c>
      <c r="BJ499" t="str">
        <f>IF($B499="","",IF(BJ$3=0,"n.b.",INDEX(SRC_ZPMW03!$A$1:$ZZ$501,$A499,BJ$3)))</f>
        <v/>
      </c>
      <c r="BK499" s="124" t="str">
        <f>IF($B499="","",IFERROR(-O499,"n.b."))</f>
        <v/>
      </c>
      <c r="BL499" s="124" t="str">
        <f>IF($B499="","",IFERROR(-Q499,"n.b."))</f>
        <v/>
      </c>
      <c r="BM499" s="124" t="str">
        <f>IF($B499="","",IFERROR(-AB499,"n.b."))</f>
        <v/>
      </c>
      <c r="BN499" s="124" t="str">
        <f>IF($B499="","",IFERROR(-AD499,"n.b."))</f>
        <v/>
      </c>
      <c r="BO499" s="124" t="str">
        <f>IF($B499="","",IFERROR(BK499+BM499,"n.b."))</f>
        <v/>
      </c>
      <c r="BP499" s="124" t="str">
        <f>IF($B499="","",IFERROR(BL499+BN499,"n.b."))</f>
        <v/>
      </c>
      <c r="BQ499" s="124" t="str">
        <f>IF($B499="","",IFERROR(-AM499,"n.b."))</f>
        <v/>
      </c>
      <c r="BR499" s="124" t="str">
        <f>IF($B499="","",IFERROR(-AO499,"n.b."))</f>
        <v/>
      </c>
      <c r="BS499" s="124" t="str">
        <f>IF($B499="","",IFERROR(-Z499,"n.b."))</f>
        <v/>
      </c>
      <c r="BT499" s="124" t="str">
        <f>IF($B499="","",IFERROR(-AA499,"n.b."))</f>
        <v/>
      </c>
      <c r="BU499" s="124" t="str">
        <f>IF($B499="","",IFERROR(-AE499,"n.b."))</f>
        <v/>
      </c>
      <c r="BV499" s="124" t="str">
        <f>IF($B499="","",IFERROR(-AF499,"n.b."))</f>
        <v/>
      </c>
      <c r="BW499" s="124" t="str">
        <f>IF($B499="","",IFERROR(-AG499,"n.b."))</f>
        <v/>
      </c>
      <c r="BX499" s="124" t="str">
        <f>IF($B499="","",IFERROR(-AH499,"n.b."))</f>
        <v/>
      </c>
      <c r="BY499" s="124" t="str">
        <f>IF($B499="","",IFERROR(-AI499,"n.b."))</f>
        <v/>
      </c>
      <c r="BZ499" s="124" t="str">
        <f>IF($B499="","",IFERROR(-AJ499,"n.b."))</f>
        <v/>
      </c>
      <c r="CA499" s="124" t="str">
        <f>IF($B499="","",IFERROR(-AK499,"n.b."))</f>
        <v/>
      </c>
      <c r="CB499" s="124" t="str">
        <f>IF($B499="","",IFERROR(-AL499,"n.b."))</f>
        <v/>
      </c>
      <c r="CC499" s="124" t="str">
        <f>IF($B499="","",IFERROR(-AP499,"n.b."))</f>
        <v/>
      </c>
      <c r="CD499" s="124" t="str">
        <f>IF($B499="","",IFERROR(-AQ499,"n.b."))</f>
        <v/>
      </c>
      <c r="CE499" s="124" t="str">
        <f>IF($B499="","",IFERROR(-AR499,"n.b."))</f>
        <v/>
      </c>
      <c r="CF499" s="124" t="str">
        <f>IF($B499="","",IFERROR(-AS499,"n.b."))</f>
        <v/>
      </c>
      <c r="CG499" s="124" t="str">
        <f>IF($B499="","",IFERROR(-AT499,"n.b."))</f>
        <v/>
      </c>
      <c r="CH499" s="124" t="str">
        <f>IF($B499="","",IFERROR(-AU499,"n.b."))</f>
        <v/>
      </c>
      <c r="CI499" s="124" t="str">
        <f>IF($B499="","",IFERROR(-AV499,"n.b."))</f>
        <v/>
      </c>
      <c r="CJ499" s="124" t="str">
        <f>IF($B499="","",IFERROR(-AW499,"n.b."))</f>
        <v/>
      </c>
      <c r="CK499" s="124" t="str">
        <f>IF($B499="","",IFERROR(-AX499,"n.b."))</f>
        <v/>
      </c>
      <c r="CL499" s="124" t="str">
        <f>IF($B499="","",IFERROR(-AY499,"n.b."))</f>
        <v/>
      </c>
      <c r="CM499" s="124" t="str">
        <f>IF($B499="","",IFERROR(-AZ499,"n.b."))</f>
        <v/>
      </c>
      <c r="CN499" s="124" t="str">
        <f>IF($B499="","",IFERROR(-BA499,"n.b."))</f>
        <v/>
      </c>
      <c r="CO499" s="124" t="str">
        <f>IF($B499="","",IFERROR(-BB499,"n.b."))</f>
        <v/>
      </c>
      <c r="CP499" s="124" t="str">
        <f>IF($B499="","",IFERROR(-BC499,"n.b."))</f>
        <v/>
      </c>
      <c r="CQ499" s="124" t="str">
        <f>IF($B499="","",IFERROR(-BD499,"n.b."))</f>
        <v/>
      </c>
      <c r="CR499" s="124" t="str">
        <f>IF($B499="","",IFERROR(-BE499,"n.b."))</f>
        <v/>
      </c>
      <c r="CS499" s="124" t="str">
        <f>IF($B499="","",IFERROR(IF(OR(ABS(T499+V499+X499+Z499-AB499)&gt;P_Tol,ABS(U499+W499+Y499+AA499-AD499)&gt;P_Tol,ABS(AE499+AG499+AI499+AK499-AM499)&gt;P_Tol,ABS(AF499+AH499+AJ499+AL499-AO499)&gt;P_Tol),1,0),1))</f>
        <v/>
      </c>
      <c r="CT499" s="124" t="str">
        <f>IF($B499="","",IFERROR(IF(OR(ABS(AB499+AC499-AD499)&gt;P_Tol,ABS(AM499+AN499-AO499)&gt;P_Tol,ABS(O499+P499-Q499)&gt;P_Tol),1,0),1))</f>
        <v/>
      </c>
      <c r="CU499" s="124" t="str">
        <f>IF($B499="","",IFERROR(IF(ABS(R499-(AB499+AM499+AP499+AR499+AT499+AV499+AX499+AZ499+BB499+BD499))&gt;P_Tol,1,0),1))</f>
        <v/>
      </c>
      <c r="CV499" s="124" t="str">
        <f>IF($B499="","",IFERROR(IF(ABS(M499-(N499+O499+R499))&gt;P_Tol,1,0),1))</f>
        <v/>
      </c>
      <c r="CW499" s="124" t="str">
        <f>IF($B499="","",IF(COUNTIF(Mapping!$A$5:$A$104,B499)&gt;0,1,0))</f>
        <v/>
      </c>
      <c r="CX499" s="124" t="str">
        <f>IF($B499="","",COUNTIF($B$6:$B$505,B499))</f>
        <v/>
      </c>
      <c r="CY499" s="124" t="str">
        <f>IF($B499="","",COUNTIF(STG_Woningetalage!$B$6:$B$505,B499))</f>
        <v/>
      </c>
      <c r="CZ499" s="124" t="str">
        <f>IF($B499="","",IF(CW499=0,COUNTIF($CW$6:CW499,0),""))</f>
        <v/>
      </c>
    </row>
    <row r="500">
      <c r="A500" s="15" t="n">
        <v>496</v>
      </c>
      <c r="B500" t="str">
        <f>IF(B$3=0,"",IF(INDEX(SRC_ZPMW03!$A$1:$ZZ$501,$A500,B$3)&amp;""="","",INDEX(SRC_ZPMW03!$A$1:$ZZ$501,$A500,B$3)&amp;""))</f>
        <v/>
      </c>
      <c r="C500" t="str">
        <f>IF($B500="","",IF(C$3=0,"n.b.",INDEX(SRC_ZPMW03!$A$1:$ZZ$501,$A500,C$3)))</f>
        <v/>
      </c>
      <c r="D500" t="str">
        <f>IF($B500="","",IF(D$3=0,"n.b.",INDEX(SRC_ZPMW03!$A$1:$ZZ$501,$A500,D$3)))</f>
        <v/>
      </c>
      <c r="E500" t="str">
        <f>IF($B500="","",IF(E$3=0,"n.b.",INDEX(SRC_ZPMW03!$A$1:$ZZ$501,$A500,E$3)))</f>
        <v/>
      </c>
      <c r="F500" t="str">
        <f>IF($B500="","",IF(F$3=0,"n.b.",INDEX(SRC_ZPMW03!$A$1:$ZZ$501,$A500,F$3)))</f>
        <v/>
      </c>
      <c r="G500" t="str">
        <f>IF($B500="","",IF(G$3=0,"n.b.",INDEX(SRC_ZPMW03!$A$1:$ZZ$501,$A500,G$3)))</f>
        <v/>
      </c>
      <c r="H500" t="str">
        <f>IF($B500="","",IF(H$3=0,"n.b.",INDEX(SRC_ZPMW03!$A$1:$ZZ$501,$A500,H$3)))</f>
        <v/>
      </c>
      <c r="I500" t="str">
        <f>IF($B500="","",IF(I$3=0,"n.b.",INDEX(SRC_ZPMW03!$A$1:$ZZ$501,$A500,I$3)))</f>
        <v/>
      </c>
      <c r="J500" t="str">
        <f>IF($B500="","",IF(J$3=0,"n.b.",INDEX(SRC_ZPMW03!$A$1:$ZZ$501,$A500,J$3)))</f>
        <v/>
      </c>
      <c r="K500" t="str">
        <f>IF($B500="","",IF(K$3=0,"n.b.",INDEX(SRC_ZPMW03!$A$1:$ZZ$501,$A500,K$3)))</f>
        <v/>
      </c>
      <c r="L500" s="124" t="str">
        <f>IF($B500="","",IF(L$3=0,"n.b.",INDEX(SRC_ZPMW03!$A$1:$ZZ$501,$A500,L$3)))</f>
        <v/>
      </c>
      <c r="M500" s="124" t="str">
        <f>IF($B500="","",IF(M$3=0,"n.b.",INDEX(SRC_ZPMW03!$A$1:$ZZ$501,$A500,M$3)))</f>
        <v/>
      </c>
      <c r="N500" s="124" t="str">
        <f>IF($B500="","",IF(N$3=0,"n.b.",INDEX(SRC_ZPMW03!$A$1:$ZZ$501,$A500,N$3)))</f>
        <v/>
      </c>
      <c r="O500" s="124" t="str">
        <f>IF($B500="","",IF(O$3=0,"n.b.",INDEX(SRC_ZPMW03!$A$1:$ZZ$501,$A500,O$3)))</f>
        <v/>
      </c>
      <c r="P500" s="124" t="str">
        <f>IF($B500="","",IF(P$3=0,"n.b.",INDEX(SRC_ZPMW03!$A$1:$ZZ$501,$A500,P$3)))</f>
        <v/>
      </c>
      <c r="Q500" s="124" t="str">
        <f>IF($B500="","",IF(Q$3=0,"n.b.",INDEX(SRC_ZPMW03!$A$1:$ZZ$501,$A500,Q$3)))</f>
        <v/>
      </c>
      <c r="R500" s="124" t="str">
        <f>IF($B500="","",IF(R$3=0,"n.b.",INDEX(SRC_ZPMW03!$A$1:$ZZ$501,$A500,R$3)))</f>
        <v/>
      </c>
      <c r="S500" s="124" t="str">
        <f>IF($B500="","",IF(S$3=0,"n.b.",INDEX(SRC_ZPMW03!$A$1:$ZZ$501,$A500,S$3)))</f>
        <v/>
      </c>
      <c r="T500" s="124" t="str">
        <f>IF($B500="","",IF(T$3=0,"n.b.",INDEX(SRC_ZPMW03!$A$1:$ZZ$501,$A500,T$3)))</f>
        <v/>
      </c>
      <c r="U500" s="124" t="str">
        <f>IF($B500="","",IF(U$3=0,"n.b.",INDEX(SRC_ZPMW03!$A$1:$ZZ$501,$A500,U$3)))</f>
        <v/>
      </c>
      <c r="V500" s="124" t="str">
        <f>IF($B500="","",IF(V$3=0,"n.b.",INDEX(SRC_ZPMW03!$A$1:$ZZ$501,$A500,V$3)))</f>
        <v/>
      </c>
      <c r="W500" s="124" t="str">
        <f>IF($B500="","",IF(W$3=0,"n.b.",INDEX(SRC_ZPMW03!$A$1:$ZZ$501,$A500,W$3)))</f>
        <v/>
      </c>
      <c r="X500" s="124" t="str">
        <f>IF($B500="","",IF(X$3=0,"n.b.",INDEX(SRC_ZPMW03!$A$1:$ZZ$501,$A500,X$3)))</f>
        <v/>
      </c>
      <c r="Y500" s="124" t="str">
        <f>IF($B500="","",IF(Y$3=0,"n.b.",INDEX(SRC_ZPMW03!$A$1:$ZZ$501,$A500,Y$3)))</f>
        <v/>
      </c>
      <c r="Z500" s="124" t="str">
        <f>IF($B500="","",IF(Z$3=0,"n.b.",INDEX(SRC_ZPMW03!$A$1:$ZZ$501,$A500,Z$3)))</f>
        <v/>
      </c>
      <c r="AA500" s="124" t="str">
        <f>IF($B500="","",IF(AA$3=0,"n.b.",INDEX(SRC_ZPMW03!$A$1:$ZZ$501,$A500,AA$3)))</f>
        <v/>
      </c>
      <c r="AB500" s="124" t="str">
        <f>IF($B500="","",IF(AB$3=0,"n.b.",INDEX(SRC_ZPMW03!$A$1:$ZZ$501,$A500,AB$3)))</f>
        <v/>
      </c>
      <c r="AC500" s="124" t="str">
        <f>IF($B500="","",IF(AC$3=0,"n.b.",INDEX(SRC_ZPMW03!$A$1:$ZZ$501,$A500,AC$3)))</f>
        <v/>
      </c>
      <c r="AD500" s="124" t="str">
        <f>IF($B500="","",IF(AD$3=0,"n.b.",INDEX(SRC_ZPMW03!$A$1:$ZZ$501,$A500,AD$3)))</f>
        <v/>
      </c>
      <c r="AE500" s="124" t="str">
        <f>IF($B500="","",IF(AE$3=0,"n.b.",INDEX(SRC_ZPMW03!$A$1:$ZZ$501,$A500,AE$3)))</f>
        <v/>
      </c>
      <c r="AF500" s="124" t="str">
        <f>IF($B500="","",IF(AF$3=0,"n.b.",INDEX(SRC_ZPMW03!$A$1:$ZZ$501,$A500,AF$3)))</f>
        <v/>
      </c>
      <c r="AG500" s="124" t="str">
        <f>IF($B500="","",IF(AG$3=0,"n.b.",INDEX(SRC_ZPMW03!$A$1:$ZZ$501,$A500,AG$3)))</f>
        <v/>
      </c>
      <c r="AH500" s="124" t="str">
        <f>IF($B500="","",IF(AH$3=0,"n.b.",INDEX(SRC_ZPMW03!$A$1:$ZZ$501,$A500,AH$3)))</f>
        <v/>
      </c>
      <c r="AI500" s="124" t="str">
        <f>IF($B500="","",IF(AI$3=0,"n.b.",INDEX(SRC_ZPMW03!$A$1:$ZZ$501,$A500,AI$3)))</f>
        <v/>
      </c>
      <c r="AJ500" s="124" t="str">
        <f>IF($B500="","",IF(AJ$3=0,"n.b.",INDEX(SRC_ZPMW03!$A$1:$ZZ$501,$A500,AJ$3)))</f>
        <v/>
      </c>
      <c r="AK500" s="124" t="str">
        <f>IF($B500="","",IF(AK$3=0,"n.b.",INDEX(SRC_ZPMW03!$A$1:$ZZ$501,$A500,AK$3)))</f>
        <v/>
      </c>
      <c r="AL500" s="124" t="str">
        <f>IF($B500="","",IF(AL$3=0,"n.b.",INDEX(SRC_ZPMW03!$A$1:$ZZ$501,$A500,AL$3)))</f>
        <v/>
      </c>
      <c r="AM500" s="124" t="str">
        <f>IF($B500="","",IF(AM$3=0,"n.b.",INDEX(SRC_ZPMW03!$A$1:$ZZ$501,$A500,AM$3)))</f>
        <v/>
      </c>
      <c r="AN500" s="124" t="str">
        <f>IF($B500="","",IF(AN$3=0,"n.b.",INDEX(SRC_ZPMW03!$A$1:$ZZ$501,$A500,AN$3)))</f>
        <v/>
      </c>
      <c r="AO500" s="124" t="str">
        <f>IF($B500="","",IF(AO$3=0,"n.b.",INDEX(SRC_ZPMW03!$A$1:$ZZ$501,$A500,AO$3)))</f>
        <v/>
      </c>
      <c r="AP500" s="124" t="str">
        <f>IF($B500="","",IF(AP$3=0,"n.b.",INDEX(SRC_ZPMW03!$A$1:$ZZ$501,$A500,AP$3)))</f>
        <v/>
      </c>
      <c r="AQ500" s="124" t="str">
        <f>IF($B500="","",IF(AQ$3=0,"n.b.",INDEX(SRC_ZPMW03!$A$1:$ZZ$501,$A500,AQ$3)))</f>
        <v/>
      </c>
      <c r="AR500" s="124" t="str">
        <f>IF($B500="","",IF(AR$3=0,"n.b.",INDEX(SRC_ZPMW03!$A$1:$ZZ$501,$A500,AR$3)))</f>
        <v/>
      </c>
      <c r="AS500" s="124" t="str">
        <f>IF($B500="","",IF(AS$3=0,"n.b.",INDEX(SRC_ZPMW03!$A$1:$ZZ$501,$A500,AS$3)))</f>
        <v/>
      </c>
      <c r="AT500" s="124" t="str">
        <f>IF($B500="","",IF(AT$3=0,"n.b.",INDEX(SRC_ZPMW03!$A$1:$ZZ$501,$A500,AT$3)))</f>
        <v/>
      </c>
      <c r="AU500" s="124" t="str">
        <f>IF($B500="","",IF(AU$3=0,"n.b.",INDEX(SRC_ZPMW03!$A$1:$ZZ$501,$A500,AU$3)))</f>
        <v/>
      </c>
      <c r="AV500" s="124" t="str">
        <f>IF($B500="","",IF(AV$3=0,"n.b.",INDEX(SRC_ZPMW03!$A$1:$ZZ$501,$A500,AV$3)))</f>
        <v/>
      </c>
      <c r="AW500" s="124" t="str">
        <f>IF($B500="","",IF(AW$3=0,"n.b.",INDEX(SRC_ZPMW03!$A$1:$ZZ$501,$A500,AW$3)))</f>
        <v/>
      </c>
      <c r="AX500" s="124" t="str">
        <f>IF($B500="","",IF(AX$3=0,"n.b.",INDEX(SRC_ZPMW03!$A$1:$ZZ$501,$A500,AX$3)))</f>
        <v/>
      </c>
      <c r="AY500" s="124" t="str">
        <f>IF($B500="","",IF(AY$3=0,"n.b.",INDEX(SRC_ZPMW03!$A$1:$ZZ$501,$A500,AY$3)))</f>
        <v/>
      </c>
      <c r="AZ500" s="124" t="str">
        <f>IF($B500="","",IF(AZ$3=0,"n.b.",INDEX(SRC_ZPMW03!$A$1:$ZZ$501,$A500,AZ$3)))</f>
        <v/>
      </c>
      <c r="BA500" s="124" t="str">
        <f>IF($B500="","",IF(BA$3=0,"n.b.",INDEX(SRC_ZPMW03!$A$1:$ZZ$501,$A500,BA$3)))</f>
        <v/>
      </c>
      <c r="BB500" s="124" t="str">
        <f>IF($B500="","",IF(BB$3=0,"n.b.",INDEX(SRC_ZPMW03!$A$1:$ZZ$501,$A500,BB$3)))</f>
        <v/>
      </c>
      <c r="BC500" s="124" t="str">
        <f>IF($B500="","",IF(BC$3=0,"n.b.",INDEX(SRC_ZPMW03!$A$1:$ZZ$501,$A500,BC$3)))</f>
        <v/>
      </c>
      <c r="BD500" s="124" t="str">
        <f>IF($B500="","",IF(BD$3=0,"n.b.",INDEX(SRC_ZPMW03!$A$1:$ZZ$501,$A500,BD$3)))</f>
        <v/>
      </c>
      <c r="BE500" s="124" t="str">
        <f>IF($B500="","",IF(BE$3=0,"n.b.",INDEX(SRC_ZPMW03!$A$1:$ZZ$501,$A500,BE$3)))</f>
        <v/>
      </c>
      <c r="BF500" s="124" t="str">
        <f>IF($B500="","",IF(BF$3=0,"n.b.",INDEX(SRC_ZPMW03!$A$1:$ZZ$501,$A500,BF$3)))</f>
        <v/>
      </c>
      <c r="BG500" t="str">
        <f>IF($B500="","",IF(BG$3=0,"n.b.",INDEX(SRC_ZPMW03!$A$1:$ZZ$501,$A500,BG$3)))</f>
        <v/>
      </c>
      <c r="BH500" t="str">
        <f>IF($B500="","",IF(BH$3=0,"n.b.",INDEX(SRC_ZPMW03!$A$1:$ZZ$501,$A500,BH$3)))</f>
        <v/>
      </c>
      <c r="BI500" t="str">
        <f>IF($B500="","",IF(BI$3=0,"n.b.",INDEX(SRC_ZPMW03!$A$1:$ZZ$501,$A500,BI$3)))</f>
        <v/>
      </c>
      <c r="BJ500" t="str">
        <f>IF($B500="","",IF(BJ$3=0,"n.b.",INDEX(SRC_ZPMW03!$A$1:$ZZ$501,$A500,BJ$3)))</f>
        <v/>
      </c>
      <c r="BK500" s="124" t="str">
        <f>IF($B500="","",IFERROR(-O500,"n.b."))</f>
        <v/>
      </c>
      <c r="BL500" s="124" t="str">
        <f>IF($B500="","",IFERROR(-Q500,"n.b."))</f>
        <v/>
      </c>
      <c r="BM500" s="124" t="str">
        <f>IF($B500="","",IFERROR(-AB500,"n.b."))</f>
        <v/>
      </c>
      <c r="BN500" s="124" t="str">
        <f>IF($B500="","",IFERROR(-AD500,"n.b."))</f>
        <v/>
      </c>
      <c r="BO500" s="124" t="str">
        <f>IF($B500="","",IFERROR(BK500+BM500,"n.b."))</f>
        <v/>
      </c>
      <c r="BP500" s="124" t="str">
        <f>IF($B500="","",IFERROR(BL500+BN500,"n.b."))</f>
        <v/>
      </c>
      <c r="BQ500" s="124" t="str">
        <f>IF($B500="","",IFERROR(-AM500,"n.b."))</f>
        <v/>
      </c>
      <c r="BR500" s="124" t="str">
        <f>IF($B500="","",IFERROR(-AO500,"n.b."))</f>
        <v/>
      </c>
      <c r="BS500" s="124" t="str">
        <f>IF($B500="","",IFERROR(-Z500,"n.b."))</f>
        <v/>
      </c>
      <c r="BT500" s="124" t="str">
        <f>IF($B500="","",IFERROR(-AA500,"n.b."))</f>
        <v/>
      </c>
      <c r="BU500" s="124" t="str">
        <f>IF($B500="","",IFERROR(-AE500,"n.b."))</f>
        <v/>
      </c>
      <c r="BV500" s="124" t="str">
        <f>IF($B500="","",IFERROR(-AF500,"n.b."))</f>
        <v/>
      </c>
      <c r="BW500" s="124" t="str">
        <f>IF($B500="","",IFERROR(-AG500,"n.b."))</f>
        <v/>
      </c>
      <c r="BX500" s="124" t="str">
        <f>IF($B500="","",IFERROR(-AH500,"n.b."))</f>
        <v/>
      </c>
      <c r="BY500" s="124" t="str">
        <f>IF($B500="","",IFERROR(-AI500,"n.b."))</f>
        <v/>
      </c>
      <c r="BZ500" s="124" t="str">
        <f>IF($B500="","",IFERROR(-AJ500,"n.b."))</f>
        <v/>
      </c>
      <c r="CA500" s="124" t="str">
        <f>IF($B500="","",IFERROR(-AK500,"n.b."))</f>
        <v/>
      </c>
      <c r="CB500" s="124" t="str">
        <f>IF($B500="","",IFERROR(-AL500,"n.b."))</f>
        <v/>
      </c>
      <c r="CC500" s="124" t="str">
        <f>IF($B500="","",IFERROR(-AP500,"n.b."))</f>
        <v/>
      </c>
      <c r="CD500" s="124" t="str">
        <f>IF($B500="","",IFERROR(-AQ500,"n.b."))</f>
        <v/>
      </c>
      <c r="CE500" s="124" t="str">
        <f>IF($B500="","",IFERROR(-AR500,"n.b."))</f>
        <v/>
      </c>
      <c r="CF500" s="124" t="str">
        <f>IF($B500="","",IFERROR(-AS500,"n.b."))</f>
        <v/>
      </c>
      <c r="CG500" s="124" t="str">
        <f>IF($B500="","",IFERROR(-AT500,"n.b."))</f>
        <v/>
      </c>
      <c r="CH500" s="124" t="str">
        <f>IF($B500="","",IFERROR(-AU500,"n.b."))</f>
        <v/>
      </c>
      <c r="CI500" s="124" t="str">
        <f>IF($B500="","",IFERROR(-AV500,"n.b."))</f>
        <v/>
      </c>
      <c r="CJ500" s="124" t="str">
        <f>IF($B500="","",IFERROR(-AW500,"n.b."))</f>
        <v/>
      </c>
      <c r="CK500" s="124" t="str">
        <f>IF($B500="","",IFERROR(-AX500,"n.b."))</f>
        <v/>
      </c>
      <c r="CL500" s="124" t="str">
        <f>IF($B500="","",IFERROR(-AY500,"n.b."))</f>
        <v/>
      </c>
      <c r="CM500" s="124" t="str">
        <f>IF($B500="","",IFERROR(-AZ500,"n.b."))</f>
        <v/>
      </c>
      <c r="CN500" s="124" t="str">
        <f>IF($B500="","",IFERROR(-BA500,"n.b."))</f>
        <v/>
      </c>
      <c r="CO500" s="124" t="str">
        <f>IF($B500="","",IFERROR(-BB500,"n.b."))</f>
        <v/>
      </c>
      <c r="CP500" s="124" t="str">
        <f>IF($B500="","",IFERROR(-BC500,"n.b."))</f>
        <v/>
      </c>
      <c r="CQ500" s="124" t="str">
        <f>IF($B500="","",IFERROR(-BD500,"n.b."))</f>
        <v/>
      </c>
      <c r="CR500" s="124" t="str">
        <f>IF($B500="","",IFERROR(-BE500,"n.b."))</f>
        <v/>
      </c>
      <c r="CS500" s="124" t="str">
        <f>IF($B500="","",IFERROR(IF(OR(ABS(T500+V500+X500+Z500-AB500)&gt;P_Tol,ABS(U500+W500+Y500+AA500-AD500)&gt;P_Tol,ABS(AE500+AG500+AI500+AK500-AM500)&gt;P_Tol,ABS(AF500+AH500+AJ500+AL500-AO500)&gt;P_Tol),1,0),1))</f>
        <v/>
      </c>
      <c r="CT500" s="124" t="str">
        <f>IF($B500="","",IFERROR(IF(OR(ABS(AB500+AC500-AD500)&gt;P_Tol,ABS(AM500+AN500-AO500)&gt;P_Tol,ABS(O500+P500-Q500)&gt;P_Tol),1,0),1))</f>
        <v/>
      </c>
      <c r="CU500" s="124" t="str">
        <f>IF($B500="","",IFERROR(IF(ABS(R500-(AB500+AM500+AP500+AR500+AT500+AV500+AX500+AZ500+BB500+BD500))&gt;P_Tol,1,0),1))</f>
        <v/>
      </c>
      <c r="CV500" s="124" t="str">
        <f>IF($B500="","",IFERROR(IF(ABS(M500-(N500+O500+R500))&gt;P_Tol,1,0),1))</f>
        <v/>
      </c>
      <c r="CW500" s="124" t="str">
        <f>IF($B500="","",IF(COUNTIF(Mapping!$A$5:$A$104,B500)&gt;0,1,0))</f>
        <v/>
      </c>
      <c r="CX500" s="124" t="str">
        <f>IF($B500="","",COUNTIF($B$6:$B$505,B500))</f>
        <v/>
      </c>
      <c r="CY500" s="124" t="str">
        <f>IF($B500="","",COUNTIF(STG_Woningetalage!$B$6:$B$505,B500))</f>
        <v/>
      </c>
      <c r="CZ500" s="124" t="str">
        <f>IF($B500="","",IF(CW500=0,COUNTIF($CW$6:CW500,0),""))</f>
        <v/>
      </c>
    </row>
    <row r="501">
      <c r="A501" s="15" t="n">
        <v>497</v>
      </c>
      <c r="B501" t="str">
        <f>IF(B$3=0,"",IF(INDEX(SRC_ZPMW03!$A$1:$ZZ$501,$A501,B$3)&amp;""="","",INDEX(SRC_ZPMW03!$A$1:$ZZ$501,$A501,B$3)&amp;""))</f>
        <v/>
      </c>
      <c r="C501" t="str">
        <f>IF($B501="","",IF(C$3=0,"n.b.",INDEX(SRC_ZPMW03!$A$1:$ZZ$501,$A501,C$3)))</f>
        <v/>
      </c>
      <c r="D501" t="str">
        <f>IF($B501="","",IF(D$3=0,"n.b.",INDEX(SRC_ZPMW03!$A$1:$ZZ$501,$A501,D$3)))</f>
        <v/>
      </c>
      <c r="E501" t="str">
        <f>IF($B501="","",IF(E$3=0,"n.b.",INDEX(SRC_ZPMW03!$A$1:$ZZ$501,$A501,E$3)))</f>
        <v/>
      </c>
      <c r="F501" t="str">
        <f>IF($B501="","",IF(F$3=0,"n.b.",INDEX(SRC_ZPMW03!$A$1:$ZZ$501,$A501,F$3)))</f>
        <v/>
      </c>
      <c r="G501" t="str">
        <f>IF($B501="","",IF(G$3=0,"n.b.",INDEX(SRC_ZPMW03!$A$1:$ZZ$501,$A501,G$3)))</f>
        <v/>
      </c>
      <c r="H501" t="str">
        <f>IF($B501="","",IF(H$3=0,"n.b.",INDEX(SRC_ZPMW03!$A$1:$ZZ$501,$A501,H$3)))</f>
        <v/>
      </c>
      <c r="I501" t="str">
        <f>IF($B501="","",IF(I$3=0,"n.b.",INDEX(SRC_ZPMW03!$A$1:$ZZ$501,$A501,I$3)))</f>
        <v/>
      </c>
      <c r="J501" t="str">
        <f>IF($B501="","",IF(J$3=0,"n.b.",INDEX(SRC_ZPMW03!$A$1:$ZZ$501,$A501,J$3)))</f>
        <v/>
      </c>
      <c r="K501" t="str">
        <f>IF($B501="","",IF(K$3=0,"n.b.",INDEX(SRC_ZPMW03!$A$1:$ZZ$501,$A501,K$3)))</f>
        <v/>
      </c>
      <c r="L501" s="124" t="str">
        <f>IF($B501="","",IF(L$3=0,"n.b.",INDEX(SRC_ZPMW03!$A$1:$ZZ$501,$A501,L$3)))</f>
        <v/>
      </c>
      <c r="M501" s="124" t="str">
        <f>IF($B501="","",IF(M$3=0,"n.b.",INDEX(SRC_ZPMW03!$A$1:$ZZ$501,$A501,M$3)))</f>
        <v/>
      </c>
      <c r="N501" s="124" t="str">
        <f>IF($B501="","",IF(N$3=0,"n.b.",INDEX(SRC_ZPMW03!$A$1:$ZZ$501,$A501,N$3)))</f>
        <v/>
      </c>
      <c r="O501" s="124" t="str">
        <f>IF($B501="","",IF(O$3=0,"n.b.",INDEX(SRC_ZPMW03!$A$1:$ZZ$501,$A501,O$3)))</f>
        <v/>
      </c>
      <c r="P501" s="124" t="str">
        <f>IF($B501="","",IF(P$3=0,"n.b.",INDEX(SRC_ZPMW03!$A$1:$ZZ$501,$A501,P$3)))</f>
        <v/>
      </c>
      <c r="Q501" s="124" t="str">
        <f>IF($B501="","",IF(Q$3=0,"n.b.",INDEX(SRC_ZPMW03!$A$1:$ZZ$501,$A501,Q$3)))</f>
        <v/>
      </c>
      <c r="R501" s="124" t="str">
        <f>IF($B501="","",IF(R$3=0,"n.b.",INDEX(SRC_ZPMW03!$A$1:$ZZ$501,$A501,R$3)))</f>
        <v/>
      </c>
      <c r="S501" s="124" t="str">
        <f>IF($B501="","",IF(S$3=0,"n.b.",INDEX(SRC_ZPMW03!$A$1:$ZZ$501,$A501,S$3)))</f>
        <v/>
      </c>
      <c r="T501" s="124" t="str">
        <f>IF($B501="","",IF(T$3=0,"n.b.",INDEX(SRC_ZPMW03!$A$1:$ZZ$501,$A501,T$3)))</f>
        <v/>
      </c>
      <c r="U501" s="124" t="str">
        <f>IF($B501="","",IF(U$3=0,"n.b.",INDEX(SRC_ZPMW03!$A$1:$ZZ$501,$A501,U$3)))</f>
        <v/>
      </c>
      <c r="V501" s="124" t="str">
        <f>IF($B501="","",IF(V$3=0,"n.b.",INDEX(SRC_ZPMW03!$A$1:$ZZ$501,$A501,V$3)))</f>
        <v/>
      </c>
      <c r="W501" s="124" t="str">
        <f>IF($B501="","",IF(W$3=0,"n.b.",INDEX(SRC_ZPMW03!$A$1:$ZZ$501,$A501,W$3)))</f>
        <v/>
      </c>
      <c r="X501" s="124" t="str">
        <f>IF($B501="","",IF(X$3=0,"n.b.",INDEX(SRC_ZPMW03!$A$1:$ZZ$501,$A501,X$3)))</f>
        <v/>
      </c>
      <c r="Y501" s="124" t="str">
        <f>IF($B501="","",IF(Y$3=0,"n.b.",INDEX(SRC_ZPMW03!$A$1:$ZZ$501,$A501,Y$3)))</f>
        <v/>
      </c>
      <c r="Z501" s="124" t="str">
        <f>IF($B501="","",IF(Z$3=0,"n.b.",INDEX(SRC_ZPMW03!$A$1:$ZZ$501,$A501,Z$3)))</f>
        <v/>
      </c>
      <c r="AA501" s="124" t="str">
        <f>IF($B501="","",IF(AA$3=0,"n.b.",INDEX(SRC_ZPMW03!$A$1:$ZZ$501,$A501,AA$3)))</f>
        <v/>
      </c>
      <c r="AB501" s="124" t="str">
        <f>IF($B501="","",IF(AB$3=0,"n.b.",INDEX(SRC_ZPMW03!$A$1:$ZZ$501,$A501,AB$3)))</f>
        <v/>
      </c>
      <c r="AC501" s="124" t="str">
        <f>IF($B501="","",IF(AC$3=0,"n.b.",INDEX(SRC_ZPMW03!$A$1:$ZZ$501,$A501,AC$3)))</f>
        <v/>
      </c>
      <c r="AD501" s="124" t="str">
        <f>IF($B501="","",IF(AD$3=0,"n.b.",INDEX(SRC_ZPMW03!$A$1:$ZZ$501,$A501,AD$3)))</f>
        <v/>
      </c>
      <c r="AE501" s="124" t="str">
        <f>IF($B501="","",IF(AE$3=0,"n.b.",INDEX(SRC_ZPMW03!$A$1:$ZZ$501,$A501,AE$3)))</f>
        <v/>
      </c>
      <c r="AF501" s="124" t="str">
        <f>IF($B501="","",IF(AF$3=0,"n.b.",INDEX(SRC_ZPMW03!$A$1:$ZZ$501,$A501,AF$3)))</f>
        <v/>
      </c>
      <c r="AG501" s="124" t="str">
        <f>IF($B501="","",IF(AG$3=0,"n.b.",INDEX(SRC_ZPMW03!$A$1:$ZZ$501,$A501,AG$3)))</f>
        <v/>
      </c>
      <c r="AH501" s="124" t="str">
        <f>IF($B501="","",IF(AH$3=0,"n.b.",INDEX(SRC_ZPMW03!$A$1:$ZZ$501,$A501,AH$3)))</f>
        <v/>
      </c>
      <c r="AI501" s="124" t="str">
        <f>IF($B501="","",IF(AI$3=0,"n.b.",INDEX(SRC_ZPMW03!$A$1:$ZZ$501,$A501,AI$3)))</f>
        <v/>
      </c>
      <c r="AJ501" s="124" t="str">
        <f>IF($B501="","",IF(AJ$3=0,"n.b.",INDEX(SRC_ZPMW03!$A$1:$ZZ$501,$A501,AJ$3)))</f>
        <v/>
      </c>
      <c r="AK501" s="124" t="str">
        <f>IF($B501="","",IF(AK$3=0,"n.b.",INDEX(SRC_ZPMW03!$A$1:$ZZ$501,$A501,AK$3)))</f>
        <v/>
      </c>
      <c r="AL501" s="124" t="str">
        <f>IF($B501="","",IF(AL$3=0,"n.b.",INDEX(SRC_ZPMW03!$A$1:$ZZ$501,$A501,AL$3)))</f>
        <v/>
      </c>
      <c r="AM501" s="124" t="str">
        <f>IF($B501="","",IF(AM$3=0,"n.b.",INDEX(SRC_ZPMW03!$A$1:$ZZ$501,$A501,AM$3)))</f>
        <v/>
      </c>
      <c r="AN501" s="124" t="str">
        <f>IF($B501="","",IF(AN$3=0,"n.b.",INDEX(SRC_ZPMW03!$A$1:$ZZ$501,$A501,AN$3)))</f>
        <v/>
      </c>
      <c r="AO501" s="124" t="str">
        <f>IF($B501="","",IF(AO$3=0,"n.b.",INDEX(SRC_ZPMW03!$A$1:$ZZ$501,$A501,AO$3)))</f>
        <v/>
      </c>
      <c r="AP501" s="124" t="str">
        <f>IF($B501="","",IF(AP$3=0,"n.b.",INDEX(SRC_ZPMW03!$A$1:$ZZ$501,$A501,AP$3)))</f>
        <v/>
      </c>
      <c r="AQ501" s="124" t="str">
        <f>IF($B501="","",IF(AQ$3=0,"n.b.",INDEX(SRC_ZPMW03!$A$1:$ZZ$501,$A501,AQ$3)))</f>
        <v/>
      </c>
      <c r="AR501" s="124" t="str">
        <f>IF($B501="","",IF(AR$3=0,"n.b.",INDEX(SRC_ZPMW03!$A$1:$ZZ$501,$A501,AR$3)))</f>
        <v/>
      </c>
      <c r="AS501" s="124" t="str">
        <f>IF($B501="","",IF(AS$3=0,"n.b.",INDEX(SRC_ZPMW03!$A$1:$ZZ$501,$A501,AS$3)))</f>
        <v/>
      </c>
      <c r="AT501" s="124" t="str">
        <f>IF($B501="","",IF(AT$3=0,"n.b.",INDEX(SRC_ZPMW03!$A$1:$ZZ$501,$A501,AT$3)))</f>
        <v/>
      </c>
      <c r="AU501" s="124" t="str">
        <f>IF($B501="","",IF(AU$3=0,"n.b.",INDEX(SRC_ZPMW03!$A$1:$ZZ$501,$A501,AU$3)))</f>
        <v/>
      </c>
      <c r="AV501" s="124" t="str">
        <f>IF($B501="","",IF(AV$3=0,"n.b.",INDEX(SRC_ZPMW03!$A$1:$ZZ$501,$A501,AV$3)))</f>
        <v/>
      </c>
      <c r="AW501" s="124" t="str">
        <f>IF($B501="","",IF(AW$3=0,"n.b.",INDEX(SRC_ZPMW03!$A$1:$ZZ$501,$A501,AW$3)))</f>
        <v/>
      </c>
      <c r="AX501" s="124" t="str">
        <f>IF($B501="","",IF(AX$3=0,"n.b.",INDEX(SRC_ZPMW03!$A$1:$ZZ$501,$A501,AX$3)))</f>
        <v/>
      </c>
      <c r="AY501" s="124" t="str">
        <f>IF($B501="","",IF(AY$3=0,"n.b.",INDEX(SRC_ZPMW03!$A$1:$ZZ$501,$A501,AY$3)))</f>
        <v/>
      </c>
      <c r="AZ501" s="124" t="str">
        <f>IF($B501="","",IF(AZ$3=0,"n.b.",INDEX(SRC_ZPMW03!$A$1:$ZZ$501,$A501,AZ$3)))</f>
        <v/>
      </c>
      <c r="BA501" s="124" t="str">
        <f>IF($B501="","",IF(BA$3=0,"n.b.",INDEX(SRC_ZPMW03!$A$1:$ZZ$501,$A501,BA$3)))</f>
        <v/>
      </c>
      <c r="BB501" s="124" t="str">
        <f>IF($B501="","",IF(BB$3=0,"n.b.",INDEX(SRC_ZPMW03!$A$1:$ZZ$501,$A501,BB$3)))</f>
        <v/>
      </c>
      <c r="BC501" s="124" t="str">
        <f>IF($B501="","",IF(BC$3=0,"n.b.",INDEX(SRC_ZPMW03!$A$1:$ZZ$501,$A501,BC$3)))</f>
        <v/>
      </c>
      <c r="BD501" s="124" t="str">
        <f>IF($B501="","",IF(BD$3=0,"n.b.",INDEX(SRC_ZPMW03!$A$1:$ZZ$501,$A501,BD$3)))</f>
        <v/>
      </c>
      <c r="BE501" s="124" t="str">
        <f>IF($B501="","",IF(BE$3=0,"n.b.",INDEX(SRC_ZPMW03!$A$1:$ZZ$501,$A501,BE$3)))</f>
        <v/>
      </c>
      <c r="BF501" s="124" t="str">
        <f>IF($B501="","",IF(BF$3=0,"n.b.",INDEX(SRC_ZPMW03!$A$1:$ZZ$501,$A501,BF$3)))</f>
        <v/>
      </c>
      <c r="BG501" t="str">
        <f>IF($B501="","",IF(BG$3=0,"n.b.",INDEX(SRC_ZPMW03!$A$1:$ZZ$501,$A501,BG$3)))</f>
        <v/>
      </c>
      <c r="BH501" t="str">
        <f>IF($B501="","",IF(BH$3=0,"n.b.",INDEX(SRC_ZPMW03!$A$1:$ZZ$501,$A501,BH$3)))</f>
        <v/>
      </c>
      <c r="BI501" t="str">
        <f>IF($B501="","",IF(BI$3=0,"n.b.",INDEX(SRC_ZPMW03!$A$1:$ZZ$501,$A501,BI$3)))</f>
        <v/>
      </c>
      <c r="BJ501" t="str">
        <f>IF($B501="","",IF(BJ$3=0,"n.b.",INDEX(SRC_ZPMW03!$A$1:$ZZ$501,$A501,BJ$3)))</f>
        <v/>
      </c>
      <c r="BK501" s="124" t="str">
        <f>IF($B501="","",IFERROR(-O501,"n.b."))</f>
        <v/>
      </c>
      <c r="BL501" s="124" t="str">
        <f>IF($B501="","",IFERROR(-Q501,"n.b."))</f>
        <v/>
      </c>
      <c r="BM501" s="124" t="str">
        <f>IF($B501="","",IFERROR(-AB501,"n.b."))</f>
        <v/>
      </c>
      <c r="BN501" s="124" t="str">
        <f>IF($B501="","",IFERROR(-AD501,"n.b."))</f>
        <v/>
      </c>
      <c r="BO501" s="124" t="str">
        <f>IF($B501="","",IFERROR(BK501+BM501,"n.b."))</f>
        <v/>
      </c>
      <c r="BP501" s="124" t="str">
        <f>IF($B501="","",IFERROR(BL501+BN501,"n.b."))</f>
        <v/>
      </c>
      <c r="BQ501" s="124" t="str">
        <f>IF($B501="","",IFERROR(-AM501,"n.b."))</f>
        <v/>
      </c>
      <c r="BR501" s="124" t="str">
        <f>IF($B501="","",IFERROR(-AO501,"n.b."))</f>
        <v/>
      </c>
      <c r="BS501" s="124" t="str">
        <f>IF($B501="","",IFERROR(-Z501,"n.b."))</f>
        <v/>
      </c>
      <c r="BT501" s="124" t="str">
        <f>IF($B501="","",IFERROR(-AA501,"n.b."))</f>
        <v/>
      </c>
      <c r="BU501" s="124" t="str">
        <f>IF($B501="","",IFERROR(-AE501,"n.b."))</f>
        <v/>
      </c>
      <c r="BV501" s="124" t="str">
        <f>IF($B501="","",IFERROR(-AF501,"n.b."))</f>
        <v/>
      </c>
      <c r="BW501" s="124" t="str">
        <f>IF($B501="","",IFERROR(-AG501,"n.b."))</f>
        <v/>
      </c>
      <c r="BX501" s="124" t="str">
        <f>IF($B501="","",IFERROR(-AH501,"n.b."))</f>
        <v/>
      </c>
      <c r="BY501" s="124" t="str">
        <f>IF($B501="","",IFERROR(-AI501,"n.b."))</f>
        <v/>
      </c>
      <c r="BZ501" s="124" t="str">
        <f>IF($B501="","",IFERROR(-AJ501,"n.b."))</f>
        <v/>
      </c>
      <c r="CA501" s="124" t="str">
        <f>IF($B501="","",IFERROR(-AK501,"n.b."))</f>
        <v/>
      </c>
      <c r="CB501" s="124" t="str">
        <f>IF($B501="","",IFERROR(-AL501,"n.b."))</f>
        <v/>
      </c>
      <c r="CC501" s="124" t="str">
        <f>IF($B501="","",IFERROR(-AP501,"n.b."))</f>
        <v/>
      </c>
      <c r="CD501" s="124" t="str">
        <f>IF($B501="","",IFERROR(-AQ501,"n.b."))</f>
        <v/>
      </c>
      <c r="CE501" s="124" t="str">
        <f>IF($B501="","",IFERROR(-AR501,"n.b."))</f>
        <v/>
      </c>
      <c r="CF501" s="124" t="str">
        <f>IF($B501="","",IFERROR(-AS501,"n.b."))</f>
        <v/>
      </c>
      <c r="CG501" s="124" t="str">
        <f>IF($B501="","",IFERROR(-AT501,"n.b."))</f>
        <v/>
      </c>
      <c r="CH501" s="124" t="str">
        <f>IF($B501="","",IFERROR(-AU501,"n.b."))</f>
        <v/>
      </c>
      <c r="CI501" s="124" t="str">
        <f>IF($B501="","",IFERROR(-AV501,"n.b."))</f>
        <v/>
      </c>
      <c r="CJ501" s="124" t="str">
        <f>IF($B501="","",IFERROR(-AW501,"n.b."))</f>
        <v/>
      </c>
      <c r="CK501" s="124" t="str">
        <f>IF($B501="","",IFERROR(-AX501,"n.b."))</f>
        <v/>
      </c>
      <c r="CL501" s="124" t="str">
        <f>IF($B501="","",IFERROR(-AY501,"n.b."))</f>
        <v/>
      </c>
      <c r="CM501" s="124" t="str">
        <f>IF($B501="","",IFERROR(-AZ501,"n.b."))</f>
        <v/>
      </c>
      <c r="CN501" s="124" t="str">
        <f>IF($B501="","",IFERROR(-BA501,"n.b."))</f>
        <v/>
      </c>
      <c r="CO501" s="124" t="str">
        <f>IF($B501="","",IFERROR(-BB501,"n.b."))</f>
        <v/>
      </c>
      <c r="CP501" s="124" t="str">
        <f>IF($B501="","",IFERROR(-BC501,"n.b."))</f>
        <v/>
      </c>
      <c r="CQ501" s="124" t="str">
        <f>IF($B501="","",IFERROR(-BD501,"n.b."))</f>
        <v/>
      </c>
      <c r="CR501" s="124" t="str">
        <f>IF($B501="","",IFERROR(-BE501,"n.b."))</f>
        <v/>
      </c>
      <c r="CS501" s="124" t="str">
        <f>IF($B501="","",IFERROR(IF(OR(ABS(T501+V501+X501+Z501-AB501)&gt;P_Tol,ABS(U501+W501+Y501+AA501-AD501)&gt;P_Tol,ABS(AE501+AG501+AI501+AK501-AM501)&gt;P_Tol,ABS(AF501+AH501+AJ501+AL501-AO501)&gt;P_Tol),1,0),1))</f>
        <v/>
      </c>
      <c r="CT501" s="124" t="str">
        <f>IF($B501="","",IFERROR(IF(OR(ABS(AB501+AC501-AD501)&gt;P_Tol,ABS(AM501+AN501-AO501)&gt;P_Tol,ABS(O501+P501-Q501)&gt;P_Tol),1,0),1))</f>
        <v/>
      </c>
      <c r="CU501" s="124" t="str">
        <f>IF($B501="","",IFERROR(IF(ABS(R501-(AB501+AM501+AP501+AR501+AT501+AV501+AX501+AZ501+BB501+BD501))&gt;P_Tol,1,0),1))</f>
        <v/>
      </c>
      <c r="CV501" s="124" t="str">
        <f>IF($B501="","",IFERROR(IF(ABS(M501-(N501+O501+R501))&gt;P_Tol,1,0),1))</f>
        <v/>
      </c>
      <c r="CW501" s="124" t="str">
        <f>IF($B501="","",IF(COUNTIF(Mapping!$A$5:$A$104,B501)&gt;0,1,0))</f>
        <v/>
      </c>
      <c r="CX501" s="124" t="str">
        <f>IF($B501="","",COUNTIF($B$6:$B$505,B501))</f>
        <v/>
      </c>
      <c r="CY501" s="124" t="str">
        <f>IF($B501="","",COUNTIF(STG_Woningetalage!$B$6:$B$505,B501))</f>
        <v/>
      </c>
      <c r="CZ501" s="124" t="str">
        <f>IF($B501="","",IF(CW501=0,COUNTIF($CW$6:CW501,0),""))</f>
        <v/>
      </c>
    </row>
    <row r="502">
      <c r="A502" s="15" t="n">
        <v>498</v>
      </c>
      <c r="B502" t="str">
        <f>IF(B$3=0,"",IF(INDEX(SRC_ZPMW03!$A$1:$ZZ$501,$A502,B$3)&amp;""="","",INDEX(SRC_ZPMW03!$A$1:$ZZ$501,$A502,B$3)&amp;""))</f>
        <v/>
      </c>
      <c r="C502" t="str">
        <f>IF($B502="","",IF(C$3=0,"n.b.",INDEX(SRC_ZPMW03!$A$1:$ZZ$501,$A502,C$3)))</f>
        <v/>
      </c>
      <c r="D502" t="str">
        <f>IF($B502="","",IF(D$3=0,"n.b.",INDEX(SRC_ZPMW03!$A$1:$ZZ$501,$A502,D$3)))</f>
        <v/>
      </c>
      <c r="E502" t="str">
        <f>IF($B502="","",IF(E$3=0,"n.b.",INDEX(SRC_ZPMW03!$A$1:$ZZ$501,$A502,E$3)))</f>
        <v/>
      </c>
      <c r="F502" t="str">
        <f>IF($B502="","",IF(F$3=0,"n.b.",INDEX(SRC_ZPMW03!$A$1:$ZZ$501,$A502,F$3)))</f>
        <v/>
      </c>
      <c r="G502" t="str">
        <f>IF($B502="","",IF(G$3=0,"n.b.",INDEX(SRC_ZPMW03!$A$1:$ZZ$501,$A502,G$3)))</f>
        <v/>
      </c>
      <c r="H502" t="str">
        <f>IF($B502="","",IF(H$3=0,"n.b.",INDEX(SRC_ZPMW03!$A$1:$ZZ$501,$A502,H$3)))</f>
        <v/>
      </c>
      <c r="I502" t="str">
        <f>IF($B502="","",IF(I$3=0,"n.b.",INDEX(SRC_ZPMW03!$A$1:$ZZ$501,$A502,I$3)))</f>
        <v/>
      </c>
      <c r="J502" t="str">
        <f>IF($B502="","",IF(J$3=0,"n.b.",INDEX(SRC_ZPMW03!$A$1:$ZZ$501,$A502,J$3)))</f>
        <v/>
      </c>
      <c r="K502" t="str">
        <f>IF($B502="","",IF(K$3=0,"n.b.",INDEX(SRC_ZPMW03!$A$1:$ZZ$501,$A502,K$3)))</f>
        <v/>
      </c>
      <c r="L502" s="124" t="str">
        <f>IF($B502="","",IF(L$3=0,"n.b.",INDEX(SRC_ZPMW03!$A$1:$ZZ$501,$A502,L$3)))</f>
        <v/>
      </c>
      <c r="M502" s="124" t="str">
        <f>IF($B502="","",IF(M$3=0,"n.b.",INDEX(SRC_ZPMW03!$A$1:$ZZ$501,$A502,M$3)))</f>
        <v/>
      </c>
      <c r="N502" s="124" t="str">
        <f>IF($B502="","",IF(N$3=0,"n.b.",INDEX(SRC_ZPMW03!$A$1:$ZZ$501,$A502,N$3)))</f>
        <v/>
      </c>
      <c r="O502" s="124" t="str">
        <f>IF($B502="","",IF(O$3=0,"n.b.",INDEX(SRC_ZPMW03!$A$1:$ZZ$501,$A502,O$3)))</f>
        <v/>
      </c>
      <c r="P502" s="124" t="str">
        <f>IF($B502="","",IF(P$3=0,"n.b.",INDEX(SRC_ZPMW03!$A$1:$ZZ$501,$A502,P$3)))</f>
        <v/>
      </c>
      <c r="Q502" s="124" t="str">
        <f>IF($B502="","",IF(Q$3=0,"n.b.",INDEX(SRC_ZPMW03!$A$1:$ZZ$501,$A502,Q$3)))</f>
        <v/>
      </c>
      <c r="R502" s="124" t="str">
        <f>IF($B502="","",IF(R$3=0,"n.b.",INDEX(SRC_ZPMW03!$A$1:$ZZ$501,$A502,R$3)))</f>
        <v/>
      </c>
      <c r="S502" s="124" t="str">
        <f>IF($B502="","",IF(S$3=0,"n.b.",INDEX(SRC_ZPMW03!$A$1:$ZZ$501,$A502,S$3)))</f>
        <v/>
      </c>
      <c r="T502" s="124" t="str">
        <f>IF($B502="","",IF(T$3=0,"n.b.",INDEX(SRC_ZPMW03!$A$1:$ZZ$501,$A502,T$3)))</f>
        <v/>
      </c>
      <c r="U502" s="124" t="str">
        <f>IF($B502="","",IF(U$3=0,"n.b.",INDEX(SRC_ZPMW03!$A$1:$ZZ$501,$A502,U$3)))</f>
        <v/>
      </c>
      <c r="V502" s="124" t="str">
        <f>IF($B502="","",IF(V$3=0,"n.b.",INDEX(SRC_ZPMW03!$A$1:$ZZ$501,$A502,V$3)))</f>
        <v/>
      </c>
      <c r="W502" s="124" t="str">
        <f>IF($B502="","",IF(W$3=0,"n.b.",INDEX(SRC_ZPMW03!$A$1:$ZZ$501,$A502,W$3)))</f>
        <v/>
      </c>
      <c r="X502" s="124" t="str">
        <f>IF($B502="","",IF(X$3=0,"n.b.",INDEX(SRC_ZPMW03!$A$1:$ZZ$501,$A502,X$3)))</f>
        <v/>
      </c>
      <c r="Y502" s="124" t="str">
        <f>IF($B502="","",IF(Y$3=0,"n.b.",INDEX(SRC_ZPMW03!$A$1:$ZZ$501,$A502,Y$3)))</f>
        <v/>
      </c>
      <c r="Z502" s="124" t="str">
        <f>IF($B502="","",IF(Z$3=0,"n.b.",INDEX(SRC_ZPMW03!$A$1:$ZZ$501,$A502,Z$3)))</f>
        <v/>
      </c>
      <c r="AA502" s="124" t="str">
        <f>IF($B502="","",IF(AA$3=0,"n.b.",INDEX(SRC_ZPMW03!$A$1:$ZZ$501,$A502,AA$3)))</f>
        <v/>
      </c>
      <c r="AB502" s="124" t="str">
        <f>IF($B502="","",IF(AB$3=0,"n.b.",INDEX(SRC_ZPMW03!$A$1:$ZZ$501,$A502,AB$3)))</f>
        <v/>
      </c>
      <c r="AC502" s="124" t="str">
        <f>IF($B502="","",IF(AC$3=0,"n.b.",INDEX(SRC_ZPMW03!$A$1:$ZZ$501,$A502,AC$3)))</f>
        <v/>
      </c>
      <c r="AD502" s="124" t="str">
        <f>IF($B502="","",IF(AD$3=0,"n.b.",INDEX(SRC_ZPMW03!$A$1:$ZZ$501,$A502,AD$3)))</f>
        <v/>
      </c>
      <c r="AE502" s="124" t="str">
        <f>IF($B502="","",IF(AE$3=0,"n.b.",INDEX(SRC_ZPMW03!$A$1:$ZZ$501,$A502,AE$3)))</f>
        <v/>
      </c>
      <c r="AF502" s="124" t="str">
        <f>IF($B502="","",IF(AF$3=0,"n.b.",INDEX(SRC_ZPMW03!$A$1:$ZZ$501,$A502,AF$3)))</f>
        <v/>
      </c>
      <c r="AG502" s="124" t="str">
        <f>IF($B502="","",IF(AG$3=0,"n.b.",INDEX(SRC_ZPMW03!$A$1:$ZZ$501,$A502,AG$3)))</f>
        <v/>
      </c>
      <c r="AH502" s="124" t="str">
        <f>IF($B502="","",IF(AH$3=0,"n.b.",INDEX(SRC_ZPMW03!$A$1:$ZZ$501,$A502,AH$3)))</f>
        <v/>
      </c>
      <c r="AI502" s="124" t="str">
        <f>IF($B502="","",IF(AI$3=0,"n.b.",INDEX(SRC_ZPMW03!$A$1:$ZZ$501,$A502,AI$3)))</f>
        <v/>
      </c>
      <c r="AJ502" s="124" t="str">
        <f>IF($B502="","",IF(AJ$3=0,"n.b.",INDEX(SRC_ZPMW03!$A$1:$ZZ$501,$A502,AJ$3)))</f>
        <v/>
      </c>
      <c r="AK502" s="124" t="str">
        <f>IF($B502="","",IF(AK$3=0,"n.b.",INDEX(SRC_ZPMW03!$A$1:$ZZ$501,$A502,AK$3)))</f>
        <v/>
      </c>
      <c r="AL502" s="124" t="str">
        <f>IF($B502="","",IF(AL$3=0,"n.b.",INDEX(SRC_ZPMW03!$A$1:$ZZ$501,$A502,AL$3)))</f>
        <v/>
      </c>
      <c r="AM502" s="124" t="str">
        <f>IF($B502="","",IF(AM$3=0,"n.b.",INDEX(SRC_ZPMW03!$A$1:$ZZ$501,$A502,AM$3)))</f>
        <v/>
      </c>
      <c r="AN502" s="124" t="str">
        <f>IF($B502="","",IF(AN$3=0,"n.b.",INDEX(SRC_ZPMW03!$A$1:$ZZ$501,$A502,AN$3)))</f>
        <v/>
      </c>
      <c r="AO502" s="124" t="str">
        <f>IF($B502="","",IF(AO$3=0,"n.b.",INDEX(SRC_ZPMW03!$A$1:$ZZ$501,$A502,AO$3)))</f>
        <v/>
      </c>
      <c r="AP502" s="124" t="str">
        <f>IF($B502="","",IF(AP$3=0,"n.b.",INDEX(SRC_ZPMW03!$A$1:$ZZ$501,$A502,AP$3)))</f>
        <v/>
      </c>
      <c r="AQ502" s="124" t="str">
        <f>IF($B502="","",IF(AQ$3=0,"n.b.",INDEX(SRC_ZPMW03!$A$1:$ZZ$501,$A502,AQ$3)))</f>
        <v/>
      </c>
      <c r="AR502" s="124" t="str">
        <f>IF($B502="","",IF(AR$3=0,"n.b.",INDEX(SRC_ZPMW03!$A$1:$ZZ$501,$A502,AR$3)))</f>
        <v/>
      </c>
      <c r="AS502" s="124" t="str">
        <f>IF($B502="","",IF(AS$3=0,"n.b.",INDEX(SRC_ZPMW03!$A$1:$ZZ$501,$A502,AS$3)))</f>
        <v/>
      </c>
      <c r="AT502" s="124" t="str">
        <f>IF($B502="","",IF(AT$3=0,"n.b.",INDEX(SRC_ZPMW03!$A$1:$ZZ$501,$A502,AT$3)))</f>
        <v/>
      </c>
      <c r="AU502" s="124" t="str">
        <f>IF($B502="","",IF(AU$3=0,"n.b.",INDEX(SRC_ZPMW03!$A$1:$ZZ$501,$A502,AU$3)))</f>
        <v/>
      </c>
      <c r="AV502" s="124" t="str">
        <f>IF($B502="","",IF(AV$3=0,"n.b.",INDEX(SRC_ZPMW03!$A$1:$ZZ$501,$A502,AV$3)))</f>
        <v/>
      </c>
      <c r="AW502" s="124" t="str">
        <f>IF($B502="","",IF(AW$3=0,"n.b.",INDEX(SRC_ZPMW03!$A$1:$ZZ$501,$A502,AW$3)))</f>
        <v/>
      </c>
      <c r="AX502" s="124" t="str">
        <f>IF($B502="","",IF(AX$3=0,"n.b.",INDEX(SRC_ZPMW03!$A$1:$ZZ$501,$A502,AX$3)))</f>
        <v/>
      </c>
      <c r="AY502" s="124" t="str">
        <f>IF($B502="","",IF(AY$3=0,"n.b.",INDEX(SRC_ZPMW03!$A$1:$ZZ$501,$A502,AY$3)))</f>
        <v/>
      </c>
      <c r="AZ502" s="124" t="str">
        <f>IF($B502="","",IF(AZ$3=0,"n.b.",INDEX(SRC_ZPMW03!$A$1:$ZZ$501,$A502,AZ$3)))</f>
        <v/>
      </c>
      <c r="BA502" s="124" t="str">
        <f>IF($B502="","",IF(BA$3=0,"n.b.",INDEX(SRC_ZPMW03!$A$1:$ZZ$501,$A502,BA$3)))</f>
        <v/>
      </c>
      <c r="BB502" s="124" t="str">
        <f>IF($B502="","",IF(BB$3=0,"n.b.",INDEX(SRC_ZPMW03!$A$1:$ZZ$501,$A502,BB$3)))</f>
        <v/>
      </c>
      <c r="BC502" s="124" t="str">
        <f>IF($B502="","",IF(BC$3=0,"n.b.",INDEX(SRC_ZPMW03!$A$1:$ZZ$501,$A502,BC$3)))</f>
        <v/>
      </c>
      <c r="BD502" s="124" t="str">
        <f>IF($B502="","",IF(BD$3=0,"n.b.",INDEX(SRC_ZPMW03!$A$1:$ZZ$501,$A502,BD$3)))</f>
        <v/>
      </c>
      <c r="BE502" s="124" t="str">
        <f>IF($B502="","",IF(BE$3=0,"n.b.",INDEX(SRC_ZPMW03!$A$1:$ZZ$501,$A502,BE$3)))</f>
        <v/>
      </c>
      <c r="BF502" s="124" t="str">
        <f>IF($B502="","",IF(BF$3=0,"n.b.",INDEX(SRC_ZPMW03!$A$1:$ZZ$501,$A502,BF$3)))</f>
        <v/>
      </c>
      <c r="BG502" t="str">
        <f>IF($B502="","",IF(BG$3=0,"n.b.",INDEX(SRC_ZPMW03!$A$1:$ZZ$501,$A502,BG$3)))</f>
        <v/>
      </c>
      <c r="BH502" t="str">
        <f>IF($B502="","",IF(BH$3=0,"n.b.",INDEX(SRC_ZPMW03!$A$1:$ZZ$501,$A502,BH$3)))</f>
        <v/>
      </c>
      <c r="BI502" t="str">
        <f>IF($B502="","",IF(BI$3=0,"n.b.",INDEX(SRC_ZPMW03!$A$1:$ZZ$501,$A502,BI$3)))</f>
        <v/>
      </c>
      <c r="BJ502" t="str">
        <f>IF($B502="","",IF(BJ$3=0,"n.b.",INDEX(SRC_ZPMW03!$A$1:$ZZ$501,$A502,BJ$3)))</f>
        <v/>
      </c>
      <c r="BK502" s="124" t="str">
        <f>IF($B502="","",IFERROR(-O502,"n.b."))</f>
        <v/>
      </c>
      <c r="BL502" s="124" t="str">
        <f>IF($B502="","",IFERROR(-Q502,"n.b."))</f>
        <v/>
      </c>
      <c r="BM502" s="124" t="str">
        <f>IF($B502="","",IFERROR(-AB502,"n.b."))</f>
        <v/>
      </c>
      <c r="BN502" s="124" t="str">
        <f>IF($B502="","",IFERROR(-AD502,"n.b."))</f>
        <v/>
      </c>
      <c r="BO502" s="124" t="str">
        <f>IF($B502="","",IFERROR(BK502+BM502,"n.b."))</f>
        <v/>
      </c>
      <c r="BP502" s="124" t="str">
        <f>IF($B502="","",IFERROR(BL502+BN502,"n.b."))</f>
        <v/>
      </c>
      <c r="BQ502" s="124" t="str">
        <f>IF($B502="","",IFERROR(-AM502,"n.b."))</f>
        <v/>
      </c>
      <c r="BR502" s="124" t="str">
        <f>IF($B502="","",IFERROR(-AO502,"n.b."))</f>
        <v/>
      </c>
      <c r="BS502" s="124" t="str">
        <f>IF($B502="","",IFERROR(-Z502,"n.b."))</f>
        <v/>
      </c>
      <c r="BT502" s="124" t="str">
        <f>IF($B502="","",IFERROR(-AA502,"n.b."))</f>
        <v/>
      </c>
      <c r="BU502" s="124" t="str">
        <f>IF($B502="","",IFERROR(-AE502,"n.b."))</f>
        <v/>
      </c>
      <c r="BV502" s="124" t="str">
        <f>IF($B502="","",IFERROR(-AF502,"n.b."))</f>
        <v/>
      </c>
      <c r="BW502" s="124" t="str">
        <f>IF($B502="","",IFERROR(-AG502,"n.b."))</f>
        <v/>
      </c>
      <c r="BX502" s="124" t="str">
        <f>IF($B502="","",IFERROR(-AH502,"n.b."))</f>
        <v/>
      </c>
      <c r="BY502" s="124" t="str">
        <f>IF($B502="","",IFERROR(-AI502,"n.b."))</f>
        <v/>
      </c>
      <c r="BZ502" s="124" t="str">
        <f>IF($B502="","",IFERROR(-AJ502,"n.b."))</f>
        <v/>
      </c>
      <c r="CA502" s="124" t="str">
        <f>IF($B502="","",IFERROR(-AK502,"n.b."))</f>
        <v/>
      </c>
      <c r="CB502" s="124" t="str">
        <f>IF($B502="","",IFERROR(-AL502,"n.b."))</f>
        <v/>
      </c>
      <c r="CC502" s="124" t="str">
        <f>IF($B502="","",IFERROR(-AP502,"n.b."))</f>
        <v/>
      </c>
      <c r="CD502" s="124" t="str">
        <f>IF($B502="","",IFERROR(-AQ502,"n.b."))</f>
        <v/>
      </c>
      <c r="CE502" s="124" t="str">
        <f>IF($B502="","",IFERROR(-AR502,"n.b."))</f>
        <v/>
      </c>
      <c r="CF502" s="124" t="str">
        <f>IF($B502="","",IFERROR(-AS502,"n.b."))</f>
        <v/>
      </c>
      <c r="CG502" s="124" t="str">
        <f>IF($B502="","",IFERROR(-AT502,"n.b."))</f>
        <v/>
      </c>
      <c r="CH502" s="124" t="str">
        <f>IF($B502="","",IFERROR(-AU502,"n.b."))</f>
        <v/>
      </c>
      <c r="CI502" s="124" t="str">
        <f>IF($B502="","",IFERROR(-AV502,"n.b."))</f>
        <v/>
      </c>
      <c r="CJ502" s="124" t="str">
        <f>IF($B502="","",IFERROR(-AW502,"n.b."))</f>
        <v/>
      </c>
      <c r="CK502" s="124" t="str">
        <f>IF($B502="","",IFERROR(-AX502,"n.b."))</f>
        <v/>
      </c>
      <c r="CL502" s="124" t="str">
        <f>IF($B502="","",IFERROR(-AY502,"n.b."))</f>
        <v/>
      </c>
      <c r="CM502" s="124" t="str">
        <f>IF($B502="","",IFERROR(-AZ502,"n.b."))</f>
        <v/>
      </c>
      <c r="CN502" s="124" t="str">
        <f>IF($B502="","",IFERROR(-BA502,"n.b."))</f>
        <v/>
      </c>
      <c r="CO502" s="124" t="str">
        <f>IF($B502="","",IFERROR(-BB502,"n.b."))</f>
        <v/>
      </c>
      <c r="CP502" s="124" t="str">
        <f>IF($B502="","",IFERROR(-BC502,"n.b."))</f>
        <v/>
      </c>
      <c r="CQ502" s="124" t="str">
        <f>IF($B502="","",IFERROR(-BD502,"n.b."))</f>
        <v/>
      </c>
      <c r="CR502" s="124" t="str">
        <f>IF($B502="","",IFERROR(-BE502,"n.b."))</f>
        <v/>
      </c>
      <c r="CS502" s="124" t="str">
        <f>IF($B502="","",IFERROR(IF(OR(ABS(T502+V502+X502+Z502-AB502)&gt;P_Tol,ABS(U502+W502+Y502+AA502-AD502)&gt;P_Tol,ABS(AE502+AG502+AI502+AK502-AM502)&gt;P_Tol,ABS(AF502+AH502+AJ502+AL502-AO502)&gt;P_Tol),1,0),1))</f>
        <v/>
      </c>
      <c r="CT502" s="124" t="str">
        <f>IF($B502="","",IFERROR(IF(OR(ABS(AB502+AC502-AD502)&gt;P_Tol,ABS(AM502+AN502-AO502)&gt;P_Tol,ABS(O502+P502-Q502)&gt;P_Tol),1,0),1))</f>
        <v/>
      </c>
      <c r="CU502" s="124" t="str">
        <f>IF($B502="","",IFERROR(IF(ABS(R502-(AB502+AM502+AP502+AR502+AT502+AV502+AX502+AZ502+BB502+BD502))&gt;P_Tol,1,0),1))</f>
        <v/>
      </c>
      <c r="CV502" s="124" t="str">
        <f>IF($B502="","",IFERROR(IF(ABS(M502-(N502+O502+R502))&gt;P_Tol,1,0),1))</f>
        <v/>
      </c>
      <c r="CW502" s="124" t="str">
        <f>IF($B502="","",IF(COUNTIF(Mapping!$A$5:$A$104,B502)&gt;0,1,0))</f>
        <v/>
      </c>
      <c r="CX502" s="124" t="str">
        <f>IF($B502="","",COUNTIF($B$6:$B$505,B502))</f>
        <v/>
      </c>
      <c r="CY502" s="124" t="str">
        <f>IF($B502="","",COUNTIF(STG_Woningetalage!$B$6:$B$505,B502))</f>
        <v/>
      </c>
      <c r="CZ502" s="124" t="str">
        <f>IF($B502="","",IF(CW502=0,COUNTIF($CW$6:CW502,0),""))</f>
        <v/>
      </c>
    </row>
    <row r="503">
      <c r="A503" s="15" t="n">
        <v>499</v>
      </c>
      <c r="B503" t="str">
        <f>IF(B$3=0,"",IF(INDEX(SRC_ZPMW03!$A$1:$ZZ$501,$A503,B$3)&amp;""="","",INDEX(SRC_ZPMW03!$A$1:$ZZ$501,$A503,B$3)&amp;""))</f>
        <v/>
      </c>
      <c r="C503" t="str">
        <f>IF($B503="","",IF(C$3=0,"n.b.",INDEX(SRC_ZPMW03!$A$1:$ZZ$501,$A503,C$3)))</f>
        <v/>
      </c>
      <c r="D503" t="str">
        <f>IF($B503="","",IF(D$3=0,"n.b.",INDEX(SRC_ZPMW03!$A$1:$ZZ$501,$A503,D$3)))</f>
        <v/>
      </c>
      <c r="E503" t="str">
        <f>IF($B503="","",IF(E$3=0,"n.b.",INDEX(SRC_ZPMW03!$A$1:$ZZ$501,$A503,E$3)))</f>
        <v/>
      </c>
      <c r="F503" t="str">
        <f>IF($B503="","",IF(F$3=0,"n.b.",INDEX(SRC_ZPMW03!$A$1:$ZZ$501,$A503,F$3)))</f>
        <v/>
      </c>
      <c r="G503" t="str">
        <f>IF($B503="","",IF(G$3=0,"n.b.",INDEX(SRC_ZPMW03!$A$1:$ZZ$501,$A503,G$3)))</f>
        <v/>
      </c>
      <c r="H503" t="str">
        <f>IF($B503="","",IF(H$3=0,"n.b.",INDEX(SRC_ZPMW03!$A$1:$ZZ$501,$A503,H$3)))</f>
        <v/>
      </c>
      <c r="I503" t="str">
        <f>IF($B503="","",IF(I$3=0,"n.b.",INDEX(SRC_ZPMW03!$A$1:$ZZ$501,$A503,I$3)))</f>
        <v/>
      </c>
      <c r="J503" t="str">
        <f>IF($B503="","",IF(J$3=0,"n.b.",INDEX(SRC_ZPMW03!$A$1:$ZZ$501,$A503,J$3)))</f>
        <v/>
      </c>
      <c r="K503" t="str">
        <f>IF($B503="","",IF(K$3=0,"n.b.",INDEX(SRC_ZPMW03!$A$1:$ZZ$501,$A503,K$3)))</f>
        <v/>
      </c>
      <c r="L503" s="124" t="str">
        <f>IF($B503="","",IF(L$3=0,"n.b.",INDEX(SRC_ZPMW03!$A$1:$ZZ$501,$A503,L$3)))</f>
        <v/>
      </c>
      <c r="M503" s="124" t="str">
        <f>IF($B503="","",IF(M$3=0,"n.b.",INDEX(SRC_ZPMW03!$A$1:$ZZ$501,$A503,M$3)))</f>
        <v/>
      </c>
      <c r="N503" s="124" t="str">
        <f>IF($B503="","",IF(N$3=0,"n.b.",INDEX(SRC_ZPMW03!$A$1:$ZZ$501,$A503,N$3)))</f>
        <v/>
      </c>
      <c r="O503" s="124" t="str">
        <f>IF($B503="","",IF(O$3=0,"n.b.",INDEX(SRC_ZPMW03!$A$1:$ZZ$501,$A503,O$3)))</f>
        <v/>
      </c>
      <c r="P503" s="124" t="str">
        <f>IF($B503="","",IF(P$3=0,"n.b.",INDEX(SRC_ZPMW03!$A$1:$ZZ$501,$A503,P$3)))</f>
        <v/>
      </c>
      <c r="Q503" s="124" t="str">
        <f>IF($B503="","",IF(Q$3=0,"n.b.",INDEX(SRC_ZPMW03!$A$1:$ZZ$501,$A503,Q$3)))</f>
        <v/>
      </c>
      <c r="R503" s="124" t="str">
        <f>IF($B503="","",IF(R$3=0,"n.b.",INDEX(SRC_ZPMW03!$A$1:$ZZ$501,$A503,R$3)))</f>
        <v/>
      </c>
      <c r="S503" s="124" t="str">
        <f>IF($B503="","",IF(S$3=0,"n.b.",INDEX(SRC_ZPMW03!$A$1:$ZZ$501,$A503,S$3)))</f>
        <v/>
      </c>
      <c r="T503" s="124" t="str">
        <f>IF($B503="","",IF(T$3=0,"n.b.",INDEX(SRC_ZPMW03!$A$1:$ZZ$501,$A503,T$3)))</f>
        <v/>
      </c>
      <c r="U503" s="124" t="str">
        <f>IF($B503="","",IF(U$3=0,"n.b.",INDEX(SRC_ZPMW03!$A$1:$ZZ$501,$A503,U$3)))</f>
        <v/>
      </c>
      <c r="V503" s="124" t="str">
        <f>IF($B503="","",IF(V$3=0,"n.b.",INDEX(SRC_ZPMW03!$A$1:$ZZ$501,$A503,V$3)))</f>
        <v/>
      </c>
      <c r="W503" s="124" t="str">
        <f>IF($B503="","",IF(W$3=0,"n.b.",INDEX(SRC_ZPMW03!$A$1:$ZZ$501,$A503,W$3)))</f>
        <v/>
      </c>
      <c r="X503" s="124" t="str">
        <f>IF($B503="","",IF(X$3=0,"n.b.",INDEX(SRC_ZPMW03!$A$1:$ZZ$501,$A503,X$3)))</f>
        <v/>
      </c>
      <c r="Y503" s="124" t="str">
        <f>IF($B503="","",IF(Y$3=0,"n.b.",INDEX(SRC_ZPMW03!$A$1:$ZZ$501,$A503,Y$3)))</f>
        <v/>
      </c>
      <c r="Z503" s="124" t="str">
        <f>IF($B503="","",IF(Z$3=0,"n.b.",INDEX(SRC_ZPMW03!$A$1:$ZZ$501,$A503,Z$3)))</f>
        <v/>
      </c>
      <c r="AA503" s="124" t="str">
        <f>IF($B503="","",IF(AA$3=0,"n.b.",INDEX(SRC_ZPMW03!$A$1:$ZZ$501,$A503,AA$3)))</f>
        <v/>
      </c>
      <c r="AB503" s="124" t="str">
        <f>IF($B503="","",IF(AB$3=0,"n.b.",INDEX(SRC_ZPMW03!$A$1:$ZZ$501,$A503,AB$3)))</f>
        <v/>
      </c>
      <c r="AC503" s="124" t="str">
        <f>IF($B503="","",IF(AC$3=0,"n.b.",INDEX(SRC_ZPMW03!$A$1:$ZZ$501,$A503,AC$3)))</f>
        <v/>
      </c>
      <c r="AD503" s="124" t="str">
        <f>IF($B503="","",IF(AD$3=0,"n.b.",INDEX(SRC_ZPMW03!$A$1:$ZZ$501,$A503,AD$3)))</f>
        <v/>
      </c>
      <c r="AE503" s="124" t="str">
        <f>IF($B503="","",IF(AE$3=0,"n.b.",INDEX(SRC_ZPMW03!$A$1:$ZZ$501,$A503,AE$3)))</f>
        <v/>
      </c>
      <c r="AF503" s="124" t="str">
        <f>IF($B503="","",IF(AF$3=0,"n.b.",INDEX(SRC_ZPMW03!$A$1:$ZZ$501,$A503,AF$3)))</f>
        <v/>
      </c>
      <c r="AG503" s="124" t="str">
        <f>IF($B503="","",IF(AG$3=0,"n.b.",INDEX(SRC_ZPMW03!$A$1:$ZZ$501,$A503,AG$3)))</f>
        <v/>
      </c>
      <c r="AH503" s="124" t="str">
        <f>IF($B503="","",IF(AH$3=0,"n.b.",INDEX(SRC_ZPMW03!$A$1:$ZZ$501,$A503,AH$3)))</f>
        <v/>
      </c>
      <c r="AI503" s="124" t="str">
        <f>IF($B503="","",IF(AI$3=0,"n.b.",INDEX(SRC_ZPMW03!$A$1:$ZZ$501,$A503,AI$3)))</f>
        <v/>
      </c>
      <c r="AJ503" s="124" t="str">
        <f>IF($B503="","",IF(AJ$3=0,"n.b.",INDEX(SRC_ZPMW03!$A$1:$ZZ$501,$A503,AJ$3)))</f>
        <v/>
      </c>
      <c r="AK503" s="124" t="str">
        <f>IF($B503="","",IF(AK$3=0,"n.b.",INDEX(SRC_ZPMW03!$A$1:$ZZ$501,$A503,AK$3)))</f>
        <v/>
      </c>
      <c r="AL503" s="124" t="str">
        <f>IF($B503="","",IF(AL$3=0,"n.b.",INDEX(SRC_ZPMW03!$A$1:$ZZ$501,$A503,AL$3)))</f>
        <v/>
      </c>
      <c r="AM503" s="124" t="str">
        <f>IF($B503="","",IF(AM$3=0,"n.b.",INDEX(SRC_ZPMW03!$A$1:$ZZ$501,$A503,AM$3)))</f>
        <v/>
      </c>
      <c r="AN503" s="124" t="str">
        <f>IF($B503="","",IF(AN$3=0,"n.b.",INDEX(SRC_ZPMW03!$A$1:$ZZ$501,$A503,AN$3)))</f>
        <v/>
      </c>
      <c r="AO503" s="124" t="str">
        <f>IF($B503="","",IF(AO$3=0,"n.b.",INDEX(SRC_ZPMW03!$A$1:$ZZ$501,$A503,AO$3)))</f>
        <v/>
      </c>
      <c r="AP503" s="124" t="str">
        <f>IF($B503="","",IF(AP$3=0,"n.b.",INDEX(SRC_ZPMW03!$A$1:$ZZ$501,$A503,AP$3)))</f>
        <v/>
      </c>
      <c r="AQ503" s="124" t="str">
        <f>IF($B503="","",IF(AQ$3=0,"n.b.",INDEX(SRC_ZPMW03!$A$1:$ZZ$501,$A503,AQ$3)))</f>
        <v/>
      </c>
      <c r="AR503" s="124" t="str">
        <f>IF($B503="","",IF(AR$3=0,"n.b.",INDEX(SRC_ZPMW03!$A$1:$ZZ$501,$A503,AR$3)))</f>
        <v/>
      </c>
      <c r="AS503" s="124" t="str">
        <f>IF($B503="","",IF(AS$3=0,"n.b.",INDEX(SRC_ZPMW03!$A$1:$ZZ$501,$A503,AS$3)))</f>
        <v/>
      </c>
      <c r="AT503" s="124" t="str">
        <f>IF($B503="","",IF(AT$3=0,"n.b.",INDEX(SRC_ZPMW03!$A$1:$ZZ$501,$A503,AT$3)))</f>
        <v/>
      </c>
      <c r="AU503" s="124" t="str">
        <f>IF($B503="","",IF(AU$3=0,"n.b.",INDEX(SRC_ZPMW03!$A$1:$ZZ$501,$A503,AU$3)))</f>
        <v/>
      </c>
      <c r="AV503" s="124" t="str">
        <f>IF($B503="","",IF(AV$3=0,"n.b.",INDEX(SRC_ZPMW03!$A$1:$ZZ$501,$A503,AV$3)))</f>
        <v/>
      </c>
      <c r="AW503" s="124" t="str">
        <f>IF($B503="","",IF(AW$3=0,"n.b.",INDEX(SRC_ZPMW03!$A$1:$ZZ$501,$A503,AW$3)))</f>
        <v/>
      </c>
      <c r="AX503" s="124" t="str">
        <f>IF($B503="","",IF(AX$3=0,"n.b.",INDEX(SRC_ZPMW03!$A$1:$ZZ$501,$A503,AX$3)))</f>
        <v/>
      </c>
      <c r="AY503" s="124" t="str">
        <f>IF($B503="","",IF(AY$3=0,"n.b.",INDEX(SRC_ZPMW03!$A$1:$ZZ$501,$A503,AY$3)))</f>
        <v/>
      </c>
      <c r="AZ503" s="124" t="str">
        <f>IF($B503="","",IF(AZ$3=0,"n.b.",INDEX(SRC_ZPMW03!$A$1:$ZZ$501,$A503,AZ$3)))</f>
        <v/>
      </c>
      <c r="BA503" s="124" t="str">
        <f>IF($B503="","",IF(BA$3=0,"n.b.",INDEX(SRC_ZPMW03!$A$1:$ZZ$501,$A503,BA$3)))</f>
        <v/>
      </c>
      <c r="BB503" s="124" t="str">
        <f>IF($B503="","",IF(BB$3=0,"n.b.",INDEX(SRC_ZPMW03!$A$1:$ZZ$501,$A503,BB$3)))</f>
        <v/>
      </c>
      <c r="BC503" s="124" t="str">
        <f>IF($B503="","",IF(BC$3=0,"n.b.",INDEX(SRC_ZPMW03!$A$1:$ZZ$501,$A503,BC$3)))</f>
        <v/>
      </c>
      <c r="BD503" s="124" t="str">
        <f>IF($B503="","",IF(BD$3=0,"n.b.",INDEX(SRC_ZPMW03!$A$1:$ZZ$501,$A503,BD$3)))</f>
        <v/>
      </c>
      <c r="BE503" s="124" t="str">
        <f>IF($B503="","",IF(BE$3=0,"n.b.",INDEX(SRC_ZPMW03!$A$1:$ZZ$501,$A503,BE$3)))</f>
        <v/>
      </c>
      <c r="BF503" s="124" t="str">
        <f>IF($B503="","",IF(BF$3=0,"n.b.",INDEX(SRC_ZPMW03!$A$1:$ZZ$501,$A503,BF$3)))</f>
        <v/>
      </c>
      <c r="BG503" t="str">
        <f>IF($B503="","",IF(BG$3=0,"n.b.",INDEX(SRC_ZPMW03!$A$1:$ZZ$501,$A503,BG$3)))</f>
        <v/>
      </c>
      <c r="BH503" t="str">
        <f>IF($B503="","",IF(BH$3=0,"n.b.",INDEX(SRC_ZPMW03!$A$1:$ZZ$501,$A503,BH$3)))</f>
        <v/>
      </c>
      <c r="BI503" t="str">
        <f>IF($B503="","",IF(BI$3=0,"n.b.",INDEX(SRC_ZPMW03!$A$1:$ZZ$501,$A503,BI$3)))</f>
        <v/>
      </c>
      <c r="BJ503" t="str">
        <f>IF($B503="","",IF(BJ$3=0,"n.b.",INDEX(SRC_ZPMW03!$A$1:$ZZ$501,$A503,BJ$3)))</f>
        <v/>
      </c>
      <c r="BK503" s="124" t="str">
        <f>IF($B503="","",IFERROR(-O503,"n.b."))</f>
        <v/>
      </c>
      <c r="BL503" s="124" t="str">
        <f>IF($B503="","",IFERROR(-Q503,"n.b."))</f>
        <v/>
      </c>
      <c r="BM503" s="124" t="str">
        <f>IF($B503="","",IFERROR(-AB503,"n.b."))</f>
        <v/>
      </c>
      <c r="BN503" s="124" t="str">
        <f>IF($B503="","",IFERROR(-AD503,"n.b."))</f>
        <v/>
      </c>
      <c r="BO503" s="124" t="str">
        <f>IF($B503="","",IFERROR(BK503+BM503,"n.b."))</f>
        <v/>
      </c>
      <c r="BP503" s="124" t="str">
        <f>IF($B503="","",IFERROR(BL503+BN503,"n.b."))</f>
        <v/>
      </c>
      <c r="BQ503" s="124" t="str">
        <f>IF($B503="","",IFERROR(-AM503,"n.b."))</f>
        <v/>
      </c>
      <c r="BR503" s="124" t="str">
        <f>IF($B503="","",IFERROR(-AO503,"n.b."))</f>
        <v/>
      </c>
      <c r="BS503" s="124" t="str">
        <f>IF($B503="","",IFERROR(-Z503,"n.b."))</f>
        <v/>
      </c>
      <c r="BT503" s="124" t="str">
        <f>IF($B503="","",IFERROR(-AA503,"n.b."))</f>
        <v/>
      </c>
      <c r="BU503" s="124" t="str">
        <f>IF($B503="","",IFERROR(-AE503,"n.b."))</f>
        <v/>
      </c>
      <c r="BV503" s="124" t="str">
        <f>IF($B503="","",IFERROR(-AF503,"n.b."))</f>
        <v/>
      </c>
      <c r="BW503" s="124" t="str">
        <f>IF($B503="","",IFERROR(-AG503,"n.b."))</f>
        <v/>
      </c>
      <c r="BX503" s="124" t="str">
        <f>IF($B503="","",IFERROR(-AH503,"n.b."))</f>
        <v/>
      </c>
      <c r="BY503" s="124" t="str">
        <f>IF($B503="","",IFERROR(-AI503,"n.b."))</f>
        <v/>
      </c>
      <c r="BZ503" s="124" t="str">
        <f>IF($B503="","",IFERROR(-AJ503,"n.b."))</f>
        <v/>
      </c>
      <c r="CA503" s="124" t="str">
        <f>IF($B503="","",IFERROR(-AK503,"n.b."))</f>
        <v/>
      </c>
      <c r="CB503" s="124" t="str">
        <f>IF($B503="","",IFERROR(-AL503,"n.b."))</f>
        <v/>
      </c>
      <c r="CC503" s="124" t="str">
        <f>IF($B503="","",IFERROR(-AP503,"n.b."))</f>
        <v/>
      </c>
      <c r="CD503" s="124" t="str">
        <f>IF($B503="","",IFERROR(-AQ503,"n.b."))</f>
        <v/>
      </c>
      <c r="CE503" s="124" t="str">
        <f>IF($B503="","",IFERROR(-AR503,"n.b."))</f>
        <v/>
      </c>
      <c r="CF503" s="124" t="str">
        <f>IF($B503="","",IFERROR(-AS503,"n.b."))</f>
        <v/>
      </c>
      <c r="CG503" s="124" t="str">
        <f>IF($B503="","",IFERROR(-AT503,"n.b."))</f>
        <v/>
      </c>
      <c r="CH503" s="124" t="str">
        <f>IF($B503="","",IFERROR(-AU503,"n.b."))</f>
        <v/>
      </c>
      <c r="CI503" s="124" t="str">
        <f>IF($B503="","",IFERROR(-AV503,"n.b."))</f>
        <v/>
      </c>
      <c r="CJ503" s="124" t="str">
        <f>IF($B503="","",IFERROR(-AW503,"n.b."))</f>
        <v/>
      </c>
      <c r="CK503" s="124" t="str">
        <f>IF($B503="","",IFERROR(-AX503,"n.b."))</f>
        <v/>
      </c>
      <c r="CL503" s="124" t="str">
        <f>IF($B503="","",IFERROR(-AY503,"n.b."))</f>
        <v/>
      </c>
      <c r="CM503" s="124" t="str">
        <f>IF($B503="","",IFERROR(-AZ503,"n.b."))</f>
        <v/>
      </c>
      <c r="CN503" s="124" t="str">
        <f>IF($B503="","",IFERROR(-BA503,"n.b."))</f>
        <v/>
      </c>
      <c r="CO503" s="124" t="str">
        <f>IF($B503="","",IFERROR(-BB503,"n.b."))</f>
        <v/>
      </c>
      <c r="CP503" s="124" t="str">
        <f>IF($B503="","",IFERROR(-BC503,"n.b."))</f>
        <v/>
      </c>
      <c r="CQ503" s="124" t="str">
        <f>IF($B503="","",IFERROR(-BD503,"n.b."))</f>
        <v/>
      </c>
      <c r="CR503" s="124" t="str">
        <f>IF($B503="","",IFERROR(-BE503,"n.b."))</f>
        <v/>
      </c>
      <c r="CS503" s="124" t="str">
        <f>IF($B503="","",IFERROR(IF(OR(ABS(T503+V503+X503+Z503-AB503)&gt;P_Tol,ABS(U503+W503+Y503+AA503-AD503)&gt;P_Tol,ABS(AE503+AG503+AI503+AK503-AM503)&gt;P_Tol,ABS(AF503+AH503+AJ503+AL503-AO503)&gt;P_Tol),1,0),1))</f>
        <v/>
      </c>
      <c r="CT503" s="124" t="str">
        <f>IF($B503="","",IFERROR(IF(OR(ABS(AB503+AC503-AD503)&gt;P_Tol,ABS(AM503+AN503-AO503)&gt;P_Tol,ABS(O503+P503-Q503)&gt;P_Tol),1,0),1))</f>
        <v/>
      </c>
      <c r="CU503" s="124" t="str">
        <f>IF($B503="","",IFERROR(IF(ABS(R503-(AB503+AM503+AP503+AR503+AT503+AV503+AX503+AZ503+BB503+BD503))&gt;P_Tol,1,0),1))</f>
        <v/>
      </c>
      <c r="CV503" s="124" t="str">
        <f>IF($B503="","",IFERROR(IF(ABS(M503-(N503+O503+R503))&gt;P_Tol,1,0),1))</f>
        <v/>
      </c>
      <c r="CW503" s="124" t="str">
        <f>IF($B503="","",IF(COUNTIF(Mapping!$A$5:$A$104,B503)&gt;0,1,0))</f>
        <v/>
      </c>
      <c r="CX503" s="124" t="str">
        <f>IF($B503="","",COUNTIF($B$6:$B$505,B503))</f>
        <v/>
      </c>
      <c r="CY503" s="124" t="str">
        <f>IF($B503="","",COUNTIF(STG_Woningetalage!$B$6:$B$505,B503))</f>
        <v/>
      </c>
      <c r="CZ503" s="124" t="str">
        <f>IF($B503="","",IF(CW503=0,COUNTIF($CW$6:CW503,0),""))</f>
        <v/>
      </c>
    </row>
    <row r="504">
      <c r="A504" s="15" t="n">
        <v>500</v>
      </c>
      <c r="B504" t="str">
        <f>IF(B$3=0,"",IF(INDEX(SRC_ZPMW03!$A$1:$ZZ$501,$A504,B$3)&amp;""="","",INDEX(SRC_ZPMW03!$A$1:$ZZ$501,$A504,B$3)&amp;""))</f>
        <v/>
      </c>
      <c r="C504" t="str">
        <f>IF($B504="","",IF(C$3=0,"n.b.",INDEX(SRC_ZPMW03!$A$1:$ZZ$501,$A504,C$3)))</f>
        <v/>
      </c>
      <c r="D504" t="str">
        <f>IF($B504="","",IF(D$3=0,"n.b.",INDEX(SRC_ZPMW03!$A$1:$ZZ$501,$A504,D$3)))</f>
        <v/>
      </c>
      <c r="E504" t="str">
        <f>IF($B504="","",IF(E$3=0,"n.b.",INDEX(SRC_ZPMW03!$A$1:$ZZ$501,$A504,E$3)))</f>
        <v/>
      </c>
      <c r="F504" t="str">
        <f>IF($B504="","",IF(F$3=0,"n.b.",INDEX(SRC_ZPMW03!$A$1:$ZZ$501,$A504,F$3)))</f>
        <v/>
      </c>
      <c r="G504" t="str">
        <f>IF($B504="","",IF(G$3=0,"n.b.",INDEX(SRC_ZPMW03!$A$1:$ZZ$501,$A504,G$3)))</f>
        <v/>
      </c>
      <c r="H504" t="str">
        <f>IF($B504="","",IF(H$3=0,"n.b.",INDEX(SRC_ZPMW03!$A$1:$ZZ$501,$A504,H$3)))</f>
        <v/>
      </c>
      <c r="I504" t="str">
        <f>IF($B504="","",IF(I$3=0,"n.b.",INDEX(SRC_ZPMW03!$A$1:$ZZ$501,$A504,I$3)))</f>
        <v/>
      </c>
      <c r="J504" t="str">
        <f>IF($B504="","",IF(J$3=0,"n.b.",INDEX(SRC_ZPMW03!$A$1:$ZZ$501,$A504,J$3)))</f>
        <v/>
      </c>
      <c r="K504" t="str">
        <f>IF($B504="","",IF(K$3=0,"n.b.",INDEX(SRC_ZPMW03!$A$1:$ZZ$501,$A504,K$3)))</f>
        <v/>
      </c>
      <c r="L504" s="124" t="str">
        <f>IF($B504="","",IF(L$3=0,"n.b.",INDEX(SRC_ZPMW03!$A$1:$ZZ$501,$A504,L$3)))</f>
        <v/>
      </c>
      <c r="M504" s="124" t="str">
        <f>IF($B504="","",IF(M$3=0,"n.b.",INDEX(SRC_ZPMW03!$A$1:$ZZ$501,$A504,M$3)))</f>
        <v/>
      </c>
      <c r="N504" s="124" t="str">
        <f>IF($B504="","",IF(N$3=0,"n.b.",INDEX(SRC_ZPMW03!$A$1:$ZZ$501,$A504,N$3)))</f>
        <v/>
      </c>
      <c r="O504" s="124" t="str">
        <f>IF($B504="","",IF(O$3=0,"n.b.",INDEX(SRC_ZPMW03!$A$1:$ZZ$501,$A504,O$3)))</f>
        <v/>
      </c>
      <c r="P504" s="124" t="str">
        <f>IF($B504="","",IF(P$3=0,"n.b.",INDEX(SRC_ZPMW03!$A$1:$ZZ$501,$A504,P$3)))</f>
        <v/>
      </c>
      <c r="Q504" s="124" t="str">
        <f>IF($B504="","",IF(Q$3=0,"n.b.",INDEX(SRC_ZPMW03!$A$1:$ZZ$501,$A504,Q$3)))</f>
        <v/>
      </c>
      <c r="R504" s="124" t="str">
        <f>IF($B504="","",IF(R$3=0,"n.b.",INDEX(SRC_ZPMW03!$A$1:$ZZ$501,$A504,R$3)))</f>
        <v/>
      </c>
      <c r="S504" s="124" t="str">
        <f>IF($B504="","",IF(S$3=0,"n.b.",INDEX(SRC_ZPMW03!$A$1:$ZZ$501,$A504,S$3)))</f>
        <v/>
      </c>
      <c r="T504" s="124" t="str">
        <f>IF($B504="","",IF(T$3=0,"n.b.",INDEX(SRC_ZPMW03!$A$1:$ZZ$501,$A504,T$3)))</f>
        <v/>
      </c>
      <c r="U504" s="124" t="str">
        <f>IF($B504="","",IF(U$3=0,"n.b.",INDEX(SRC_ZPMW03!$A$1:$ZZ$501,$A504,U$3)))</f>
        <v/>
      </c>
      <c r="V504" s="124" t="str">
        <f>IF($B504="","",IF(V$3=0,"n.b.",INDEX(SRC_ZPMW03!$A$1:$ZZ$501,$A504,V$3)))</f>
        <v/>
      </c>
      <c r="W504" s="124" t="str">
        <f>IF($B504="","",IF(W$3=0,"n.b.",INDEX(SRC_ZPMW03!$A$1:$ZZ$501,$A504,W$3)))</f>
        <v/>
      </c>
      <c r="X504" s="124" t="str">
        <f>IF($B504="","",IF(X$3=0,"n.b.",INDEX(SRC_ZPMW03!$A$1:$ZZ$501,$A504,X$3)))</f>
        <v/>
      </c>
      <c r="Y504" s="124" t="str">
        <f>IF($B504="","",IF(Y$3=0,"n.b.",INDEX(SRC_ZPMW03!$A$1:$ZZ$501,$A504,Y$3)))</f>
        <v/>
      </c>
      <c r="Z504" s="124" t="str">
        <f>IF($B504="","",IF(Z$3=0,"n.b.",INDEX(SRC_ZPMW03!$A$1:$ZZ$501,$A504,Z$3)))</f>
        <v/>
      </c>
      <c r="AA504" s="124" t="str">
        <f>IF($B504="","",IF(AA$3=0,"n.b.",INDEX(SRC_ZPMW03!$A$1:$ZZ$501,$A504,AA$3)))</f>
        <v/>
      </c>
      <c r="AB504" s="124" t="str">
        <f>IF($B504="","",IF(AB$3=0,"n.b.",INDEX(SRC_ZPMW03!$A$1:$ZZ$501,$A504,AB$3)))</f>
        <v/>
      </c>
      <c r="AC504" s="124" t="str">
        <f>IF($B504="","",IF(AC$3=0,"n.b.",INDEX(SRC_ZPMW03!$A$1:$ZZ$501,$A504,AC$3)))</f>
        <v/>
      </c>
      <c r="AD504" s="124" t="str">
        <f>IF($B504="","",IF(AD$3=0,"n.b.",INDEX(SRC_ZPMW03!$A$1:$ZZ$501,$A504,AD$3)))</f>
        <v/>
      </c>
      <c r="AE504" s="124" t="str">
        <f>IF($B504="","",IF(AE$3=0,"n.b.",INDEX(SRC_ZPMW03!$A$1:$ZZ$501,$A504,AE$3)))</f>
        <v/>
      </c>
      <c r="AF504" s="124" t="str">
        <f>IF($B504="","",IF(AF$3=0,"n.b.",INDEX(SRC_ZPMW03!$A$1:$ZZ$501,$A504,AF$3)))</f>
        <v/>
      </c>
      <c r="AG504" s="124" t="str">
        <f>IF($B504="","",IF(AG$3=0,"n.b.",INDEX(SRC_ZPMW03!$A$1:$ZZ$501,$A504,AG$3)))</f>
        <v/>
      </c>
      <c r="AH504" s="124" t="str">
        <f>IF($B504="","",IF(AH$3=0,"n.b.",INDEX(SRC_ZPMW03!$A$1:$ZZ$501,$A504,AH$3)))</f>
        <v/>
      </c>
      <c r="AI504" s="124" t="str">
        <f>IF($B504="","",IF(AI$3=0,"n.b.",INDEX(SRC_ZPMW03!$A$1:$ZZ$501,$A504,AI$3)))</f>
        <v/>
      </c>
      <c r="AJ504" s="124" t="str">
        <f>IF($B504="","",IF(AJ$3=0,"n.b.",INDEX(SRC_ZPMW03!$A$1:$ZZ$501,$A504,AJ$3)))</f>
        <v/>
      </c>
      <c r="AK504" s="124" t="str">
        <f>IF($B504="","",IF(AK$3=0,"n.b.",INDEX(SRC_ZPMW03!$A$1:$ZZ$501,$A504,AK$3)))</f>
        <v/>
      </c>
      <c r="AL504" s="124" t="str">
        <f>IF($B504="","",IF(AL$3=0,"n.b.",INDEX(SRC_ZPMW03!$A$1:$ZZ$501,$A504,AL$3)))</f>
        <v/>
      </c>
      <c r="AM504" s="124" t="str">
        <f>IF($B504="","",IF(AM$3=0,"n.b.",INDEX(SRC_ZPMW03!$A$1:$ZZ$501,$A504,AM$3)))</f>
        <v/>
      </c>
      <c r="AN504" s="124" t="str">
        <f>IF($B504="","",IF(AN$3=0,"n.b.",INDEX(SRC_ZPMW03!$A$1:$ZZ$501,$A504,AN$3)))</f>
        <v/>
      </c>
      <c r="AO504" s="124" t="str">
        <f>IF($B504="","",IF(AO$3=0,"n.b.",INDEX(SRC_ZPMW03!$A$1:$ZZ$501,$A504,AO$3)))</f>
        <v/>
      </c>
      <c r="AP504" s="124" t="str">
        <f>IF($B504="","",IF(AP$3=0,"n.b.",INDEX(SRC_ZPMW03!$A$1:$ZZ$501,$A504,AP$3)))</f>
        <v/>
      </c>
      <c r="AQ504" s="124" t="str">
        <f>IF($B504="","",IF(AQ$3=0,"n.b.",INDEX(SRC_ZPMW03!$A$1:$ZZ$501,$A504,AQ$3)))</f>
        <v/>
      </c>
      <c r="AR504" s="124" t="str">
        <f>IF($B504="","",IF(AR$3=0,"n.b.",INDEX(SRC_ZPMW03!$A$1:$ZZ$501,$A504,AR$3)))</f>
        <v/>
      </c>
      <c r="AS504" s="124" t="str">
        <f>IF($B504="","",IF(AS$3=0,"n.b.",INDEX(SRC_ZPMW03!$A$1:$ZZ$501,$A504,AS$3)))</f>
        <v/>
      </c>
      <c r="AT504" s="124" t="str">
        <f>IF($B504="","",IF(AT$3=0,"n.b.",INDEX(SRC_ZPMW03!$A$1:$ZZ$501,$A504,AT$3)))</f>
        <v/>
      </c>
      <c r="AU504" s="124" t="str">
        <f>IF($B504="","",IF(AU$3=0,"n.b.",INDEX(SRC_ZPMW03!$A$1:$ZZ$501,$A504,AU$3)))</f>
        <v/>
      </c>
      <c r="AV504" s="124" t="str">
        <f>IF($B504="","",IF(AV$3=0,"n.b.",INDEX(SRC_ZPMW03!$A$1:$ZZ$501,$A504,AV$3)))</f>
        <v/>
      </c>
      <c r="AW504" s="124" t="str">
        <f>IF($B504="","",IF(AW$3=0,"n.b.",INDEX(SRC_ZPMW03!$A$1:$ZZ$501,$A504,AW$3)))</f>
        <v/>
      </c>
      <c r="AX504" s="124" t="str">
        <f>IF($B504="","",IF(AX$3=0,"n.b.",INDEX(SRC_ZPMW03!$A$1:$ZZ$501,$A504,AX$3)))</f>
        <v/>
      </c>
      <c r="AY504" s="124" t="str">
        <f>IF($B504="","",IF(AY$3=0,"n.b.",INDEX(SRC_ZPMW03!$A$1:$ZZ$501,$A504,AY$3)))</f>
        <v/>
      </c>
      <c r="AZ504" s="124" t="str">
        <f>IF($B504="","",IF(AZ$3=0,"n.b.",INDEX(SRC_ZPMW03!$A$1:$ZZ$501,$A504,AZ$3)))</f>
        <v/>
      </c>
      <c r="BA504" s="124" t="str">
        <f>IF($B504="","",IF(BA$3=0,"n.b.",INDEX(SRC_ZPMW03!$A$1:$ZZ$501,$A504,BA$3)))</f>
        <v/>
      </c>
      <c r="BB504" s="124" t="str">
        <f>IF($B504="","",IF(BB$3=0,"n.b.",INDEX(SRC_ZPMW03!$A$1:$ZZ$501,$A504,BB$3)))</f>
        <v/>
      </c>
      <c r="BC504" s="124" t="str">
        <f>IF($B504="","",IF(BC$3=0,"n.b.",INDEX(SRC_ZPMW03!$A$1:$ZZ$501,$A504,BC$3)))</f>
        <v/>
      </c>
      <c r="BD504" s="124" t="str">
        <f>IF($B504="","",IF(BD$3=0,"n.b.",INDEX(SRC_ZPMW03!$A$1:$ZZ$501,$A504,BD$3)))</f>
        <v/>
      </c>
      <c r="BE504" s="124" t="str">
        <f>IF($B504="","",IF(BE$3=0,"n.b.",INDEX(SRC_ZPMW03!$A$1:$ZZ$501,$A504,BE$3)))</f>
        <v/>
      </c>
      <c r="BF504" s="124" t="str">
        <f>IF($B504="","",IF(BF$3=0,"n.b.",INDEX(SRC_ZPMW03!$A$1:$ZZ$501,$A504,BF$3)))</f>
        <v/>
      </c>
      <c r="BG504" t="str">
        <f>IF($B504="","",IF(BG$3=0,"n.b.",INDEX(SRC_ZPMW03!$A$1:$ZZ$501,$A504,BG$3)))</f>
        <v/>
      </c>
      <c r="BH504" t="str">
        <f>IF($B504="","",IF(BH$3=0,"n.b.",INDEX(SRC_ZPMW03!$A$1:$ZZ$501,$A504,BH$3)))</f>
        <v/>
      </c>
      <c r="BI504" t="str">
        <f>IF($B504="","",IF(BI$3=0,"n.b.",INDEX(SRC_ZPMW03!$A$1:$ZZ$501,$A504,BI$3)))</f>
        <v/>
      </c>
      <c r="BJ504" t="str">
        <f>IF($B504="","",IF(BJ$3=0,"n.b.",INDEX(SRC_ZPMW03!$A$1:$ZZ$501,$A504,BJ$3)))</f>
        <v/>
      </c>
      <c r="BK504" s="124" t="str">
        <f>IF($B504="","",IFERROR(-O504,"n.b."))</f>
        <v/>
      </c>
      <c r="BL504" s="124" t="str">
        <f>IF($B504="","",IFERROR(-Q504,"n.b."))</f>
        <v/>
      </c>
      <c r="BM504" s="124" t="str">
        <f>IF($B504="","",IFERROR(-AB504,"n.b."))</f>
        <v/>
      </c>
      <c r="BN504" s="124" t="str">
        <f>IF($B504="","",IFERROR(-AD504,"n.b."))</f>
        <v/>
      </c>
      <c r="BO504" s="124" t="str">
        <f>IF($B504="","",IFERROR(BK504+BM504,"n.b."))</f>
        <v/>
      </c>
      <c r="BP504" s="124" t="str">
        <f>IF($B504="","",IFERROR(BL504+BN504,"n.b."))</f>
        <v/>
      </c>
      <c r="BQ504" s="124" t="str">
        <f>IF($B504="","",IFERROR(-AM504,"n.b."))</f>
        <v/>
      </c>
      <c r="BR504" s="124" t="str">
        <f>IF($B504="","",IFERROR(-AO504,"n.b."))</f>
        <v/>
      </c>
      <c r="BS504" s="124" t="str">
        <f>IF($B504="","",IFERROR(-Z504,"n.b."))</f>
        <v/>
      </c>
      <c r="BT504" s="124" t="str">
        <f>IF($B504="","",IFERROR(-AA504,"n.b."))</f>
        <v/>
      </c>
      <c r="BU504" s="124" t="str">
        <f>IF($B504="","",IFERROR(-AE504,"n.b."))</f>
        <v/>
      </c>
      <c r="BV504" s="124" t="str">
        <f>IF($B504="","",IFERROR(-AF504,"n.b."))</f>
        <v/>
      </c>
      <c r="BW504" s="124" t="str">
        <f>IF($B504="","",IFERROR(-AG504,"n.b."))</f>
        <v/>
      </c>
      <c r="BX504" s="124" t="str">
        <f>IF($B504="","",IFERROR(-AH504,"n.b."))</f>
        <v/>
      </c>
      <c r="BY504" s="124" t="str">
        <f>IF($B504="","",IFERROR(-AI504,"n.b."))</f>
        <v/>
      </c>
      <c r="BZ504" s="124" t="str">
        <f>IF($B504="","",IFERROR(-AJ504,"n.b."))</f>
        <v/>
      </c>
      <c r="CA504" s="124" t="str">
        <f>IF($B504="","",IFERROR(-AK504,"n.b."))</f>
        <v/>
      </c>
      <c r="CB504" s="124" t="str">
        <f>IF($B504="","",IFERROR(-AL504,"n.b."))</f>
        <v/>
      </c>
      <c r="CC504" s="124" t="str">
        <f>IF($B504="","",IFERROR(-AP504,"n.b."))</f>
        <v/>
      </c>
      <c r="CD504" s="124" t="str">
        <f>IF($B504="","",IFERROR(-AQ504,"n.b."))</f>
        <v/>
      </c>
      <c r="CE504" s="124" t="str">
        <f>IF($B504="","",IFERROR(-AR504,"n.b."))</f>
        <v/>
      </c>
      <c r="CF504" s="124" t="str">
        <f>IF($B504="","",IFERROR(-AS504,"n.b."))</f>
        <v/>
      </c>
      <c r="CG504" s="124" t="str">
        <f>IF($B504="","",IFERROR(-AT504,"n.b."))</f>
        <v/>
      </c>
      <c r="CH504" s="124" t="str">
        <f>IF($B504="","",IFERROR(-AU504,"n.b."))</f>
        <v/>
      </c>
      <c r="CI504" s="124" t="str">
        <f>IF($B504="","",IFERROR(-AV504,"n.b."))</f>
        <v/>
      </c>
      <c r="CJ504" s="124" t="str">
        <f>IF($B504="","",IFERROR(-AW504,"n.b."))</f>
        <v/>
      </c>
      <c r="CK504" s="124" t="str">
        <f>IF($B504="","",IFERROR(-AX504,"n.b."))</f>
        <v/>
      </c>
      <c r="CL504" s="124" t="str">
        <f>IF($B504="","",IFERROR(-AY504,"n.b."))</f>
        <v/>
      </c>
      <c r="CM504" s="124" t="str">
        <f>IF($B504="","",IFERROR(-AZ504,"n.b."))</f>
        <v/>
      </c>
      <c r="CN504" s="124" t="str">
        <f>IF($B504="","",IFERROR(-BA504,"n.b."))</f>
        <v/>
      </c>
      <c r="CO504" s="124" t="str">
        <f>IF($B504="","",IFERROR(-BB504,"n.b."))</f>
        <v/>
      </c>
      <c r="CP504" s="124" t="str">
        <f>IF($B504="","",IFERROR(-BC504,"n.b."))</f>
        <v/>
      </c>
      <c r="CQ504" s="124" t="str">
        <f>IF($B504="","",IFERROR(-BD504,"n.b."))</f>
        <v/>
      </c>
      <c r="CR504" s="124" t="str">
        <f>IF($B504="","",IFERROR(-BE504,"n.b."))</f>
        <v/>
      </c>
      <c r="CS504" s="124" t="str">
        <f>IF($B504="","",IFERROR(IF(OR(ABS(T504+V504+X504+Z504-AB504)&gt;P_Tol,ABS(U504+W504+Y504+AA504-AD504)&gt;P_Tol,ABS(AE504+AG504+AI504+AK504-AM504)&gt;P_Tol,ABS(AF504+AH504+AJ504+AL504-AO504)&gt;P_Tol),1,0),1))</f>
        <v/>
      </c>
      <c r="CT504" s="124" t="str">
        <f>IF($B504="","",IFERROR(IF(OR(ABS(AB504+AC504-AD504)&gt;P_Tol,ABS(AM504+AN504-AO504)&gt;P_Tol,ABS(O504+P504-Q504)&gt;P_Tol),1,0),1))</f>
        <v/>
      </c>
      <c r="CU504" s="124" t="str">
        <f>IF($B504="","",IFERROR(IF(ABS(R504-(AB504+AM504+AP504+AR504+AT504+AV504+AX504+AZ504+BB504+BD504))&gt;P_Tol,1,0),1))</f>
        <v/>
      </c>
      <c r="CV504" s="124" t="str">
        <f>IF($B504="","",IFERROR(IF(ABS(M504-(N504+O504+R504))&gt;P_Tol,1,0),1))</f>
        <v/>
      </c>
      <c r="CW504" s="124" t="str">
        <f>IF($B504="","",IF(COUNTIF(Mapping!$A$5:$A$104,B504)&gt;0,1,0))</f>
        <v/>
      </c>
      <c r="CX504" s="124" t="str">
        <f>IF($B504="","",COUNTIF($B$6:$B$505,B504))</f>
        <v/>
      </c>
      <c r="CY504" s="124" t="str">
        <f>IF($B504="","",COUNTIF(STG_Woningetalage!$B$6:$B$505,B504))</f>
        <v/>
      </c>
      <c r="CZ504" s="124" t="str">
        <f>IF($B504="","",IF(CW504=0,COUNTIF($CW$6:CW504,0),""))</f>
        <v/>
      </c>
    </row>
    <row r="505">
      <c r="A505" s="15" t="n">
        <v>501</v>
      </c>
      <c r="B505" t="str">
        <f>IF(B$3=0,"",IF(INDEX(SRC_ZPMW03!$A$1:$ZZ$501,$A505,B$3)&amp;""="","",INDEX(SRC_ZPMW03!$A$1:$ZZ$501,$A505,B$3)&amp;""))</f>
        <v/>
      </c>
      <c r="C505" t="str">
        <f>IF($B505="","",IF(C$3=0,"n.b.",INDEX(SRC_ZPMW03!$A$1:$ZZ$501,$A505,C$3)))</f>
        <v/>
      </c>
      <c r="D505" t="str">
        <f>IF($B505="","",IF(D$3=0,"n.b.",INDEX(SRC_ZPMW03!$A$1:$ZZ$501,$A505,D$3)))</f>
        <v/>
      </c>
      <c r="E505" t="str">
        <f>IF($B505="","",IF(E$3=0,"n.b.",INDEX(SRC_ZPMW03!$A$1:$ZZ$501,$A505,E$3)))</f>
        <v/>
      </c>
      <c r="F505" t="str">
        <f>IF($B505="","",IF(F$3=0,"n.b.",INDEX(SRC_ZPMW03!$A$1:$ZZ$501,$A505,F$3)))</f>
        <v/>
      </c>
      <c r="G505" t="str">
        <f>IF($B505="","",IF(G$3=0,"n.b.",INDEX(SRC_ZPMW03!$A$1:$ZZ$501,$A505,G$3)))</f>
        <v/>
      </c>
      <c r="H505" t="str">
        <f>IF($B505="","",IF(H$3=0,"n.b.",INDEX(SRC_ZPMW03!$A$1:$ZZ$501,$A505,H$3)))</f>
        <v/>
      </c>
      <c r="I505" t="str">
        <f>IF($B505="","",IF(I$3=0,"n.b.",INDEX(SRC_ZPMW03!$A$1:$ZZ$501,$A505,I$3)))</f>
        <v/>
      </c>
      <c r="J505" t="str">
        <f>IF($B505="","",IF(J$3=0,"n.b.",INDEX(SRC_ZPMW03!$A$1:$ZZ$501,$A505,J$3)))</f>
        <v/>
      </c>
      <c r="K505" t="str">
        <f>IF($B505="","",IF(K$3=0,"n.b.",INDEX(SRC_ZPMW03!$A$1:$ZZ$501,$A505,K$3)))</f>
        <v/>
      </c>
      <c r="L505" s="124" t="str">
        <f>IF($B505="","",IF(L$3=0,"n.b.",INDEX(SRC_ZPMW03!$A$1:$ZZ$501,$A505,L$3)))</f>
        <v/>
      </c>
      <c r="M505" s="124" t="str">
        <f>IF($B505="","",IF(M$3=0,"n.b.",INDEX(SRC_ZPMW03!$A$1:$ZZ$501,$A505,M$3)))</f>
        <v/>
      </c>
      <c r="N505" s="124" t="str">
        <f>IF($B505="","",IF(N$3=0,"n.b.",INDEX(SRC_ZPMW03!$A$1:$ZZ$501,$A505,N$3)))</f>
        <v/>
      </c>
      <c r="O505" s="124" t="str">
        <f>IF($B505="","",IF(O$3=0,"n.b.",INDEX(SRC_ZPMW03!$A$1:$ZZ$501,$A505,O$3)))</f>
        <v/>
      </c>
      <c r="P505" s="124" t="str">
        <f>IF($B505="","",IF(P$3=0,"n.b.",INDEX(SRC_ZPMW03!$A$1:$ZZ$501,$A505,P$3)))</f>
        <v/>
      </c>
      <c r="Q505" s="124" t="str">
        <f>IF($B505="","",IF(Q$3=0,"n.b.",INDEX(SRC_ZPMW03!$A$1:$ZZ$501,$A505,Q$3)))</f>
        <v/>
      </c>
      <c r="R505" s="124" t="str">
        <f>IF($B505="","",IF(R$3=0,"n.b.",INDEX(SRC_ZPMW03!$A$1:$ZZ$501,$A505,R$3)))</f>
        <v/>
      </c>
      <c r="S505" s="124" t="str">
        <f>IF($B505="","",IF(S$3=0,"n.b.",INDEX(SRC_ZPMW03!$A$1:$ZZ$501,$A505,S$3)))</f>
        <v/>
      </c>
      <c r="T505" s="124" t="str">
        <f>IF($B505="","",IF(T$3=0,"n.b.",INDEX(SRC_ZPMW03!$A$1:$ZZ$501,$A505,T$3)))</f>
        <v/>
      </c>
      <c r="U505" s="124" t="str">
        <f>IF($B505="","",IF(U$3=0,"n.b.",INDEX(SRC_ZPMW03!$A$1:$ZZ$501,$A505,U$3)))</f>
        <v/>
      </c>
      <c r="V505" s="124" t="str">
        <f>IF($B505="","",IF(V$3=0,"n.b.",INDEX(SRC_ZPMW03!$A$1:$ZZ$501,$A505,V$3)))</f>
        <v/>
      </c>
      <c r="W505" s="124" t="str">
        <f>IF($B505="","",IF(W$3=0,"n.b.",INDEX(SRC_ZPMW03!$A$1:$ZZ$501,$A505,W$3)))</f>
        <v/>
      </c>
      <c r="X505" s="124" t="str">
        <f>IF($B505="","",IF(X$3=0,"n.b.",INDEX(SRC_ZPMW03!$A$1:$ZZ$501,$A505,X$3)))</f>
        <v/>
      </c>
      <c r="Y505" s="124" t="str">
        <f>IF($B505="","",IF(Y$3=0,"n.b.",INDEX(SRC_ZPMW03!$A$1:$ZZ$501,$A505,Y$3)))</f>
        <v/>
      </c>
      <c r="Z505" s="124" t="str">
        <f>IF($B505="","",IF(Z$3=0,"n.b.",INDEX(SRC_ZPMW03!$A$1:$ZZ$501,$A505,Z$3)))</f>
        <v/>
      </c>
      <c r="AA505" s="124" t="str">
        <f>IF($B505="","",IF(AA$3=0,"n.b.",INDEX(SRC_ZPMW03!$A$1:$ZZ$501,$A505,AA$3)))</f>
        <v/>
      </c>
      <c r="AB505" s="124" t="str">
        <f>IF($B505="","",IF(AB$3=0,"n.b.",INDEX(SRC_ZPMW03!$A$1:$ZZ$501,$A505,AB$3)))</f>
        <v/>
      </c>
      <c r="AC505" s="124" t="str">
        <f>IF($B505="","",IF(AC$3=0,"n.b.",INDEX(SRC_ZPMW03!$A$1:$ZZ$501,$A505,AC$3)))</f>
        <v/>
      </c>
      <c r="AD505" s="124" t="str">
        <f>IF($B505="","",IF(AD$3=0,"n.b.",INDEX(SRC_ZPMW03!$A$1:$ZZ$501,$A505,AD$3)))</f>
        <v/>
      </c>
      <c r="AE505" s="124" t="str">
        <f>IF($B505="","",IF(AE$3=0,"n.b.",INDEX(SRC_ZPMW03!$A$1:$ZZ$501,$A505,AE$3)))</f>
        <v/>
      </c>
      <c r="AF505" s="124" t="str">
        <f>IF($B505="","",IF(AF$3=0,"n.b.",INDEX(SRC_ZPMW03!$A$1:$ZZ$501,$A505,AF$3)))</f>
        <v/>
      </c>
      <c r="AG505" s="124" t="str">
        <f>IF($B505="","",IF(AG$3=0,"n.b.",INDEX(SRC_ZPMW03!$A$1:$ZZ$501,$A505,AG$3)))</f>
        <v/>
      </c>
      <c r="AH505" s="124" t="str">
        <f>IF($B505="","",IF(AH$3=0,"n.b.",INDEX(SRC_ZPMW03!$A$1:$ZZ$501,$A505,AH$3)))</f>
        <v/>
      </c>
      <c r="AI505" s="124" t="str">
        <f>IF($B505="","",IF(AI$3=0,"n.b.",INDEX(SRC_ZPMW03!$A$1:$ZZ$501,$A505,AI$3)))</f>
        <v/>
      </c>
      <c r="AJ505" s="124" t="str">
        <f>IF($B505="","",IF(AJ$3=0,"n.b.",INDEX(SRC_ZPMW03!$A$1:$ZZ$501,$A505,AJ$3)))</f>
        <v/>
      </c>
      <c r="AK505" s="124" t="str">
        <f>IF($B505="","",IF(AK$3=0,"n.b.",INDEX(SRC_ZPMW03!$A$1:$ZZ$501,$A505,AK$3)))</f>
        <v/>
      </c>
      <c r="AL505" s="124" t="str">
        <f>IF($B505="","",IF(AL$3=0,"n.b.",INDEX(SRC_ZPMW03!$A$1:$ZZ$501,$A505,AL$3)))</f>
        <v/>
      </c>
      <c r="AM505" s="124" t="str">
        <f>IF($B505="","",IF(AM$3=0,"n.b.",INDEX(SRC_ZPMW03!$A$1:$ZZ$501,$A505,AM$3)))</f>
        <v/>
      </c>
      <c r="AN505" s="124" t="str">
        <f>IF($B505="","",IF(AN$3=0,"n.b.",INDEX(SRC_ZPMW03!$A$1:$ZZ$501,$A505,AN$3)))</f>
        <v/>
      </c>
      <c r="AO505" s="124" t="str">
        <f>IF($B505="","",IF(AO$3=0,"n.b.",INDEX(SRC_ZPMW03!$A$1:$ZZ$501,$A505,AO$3)))</f>
        <v/>
      </c>
      <c r="AP505" s="124" t="str">
        <f>IF($B505="","",IF(AP$3=0,"n.b.",INDEX(SRC_ZPMW03!$A$1:$ZZ$501,$A505,AP$3)))</f>
        <v/>
      </c>
      <c r="AQ505" s="124" t="str">
        <f>IF($B505="","",IF(AQ$3=0,"n.b.",INDEX(SRC_ZPMW03!$A$1:$ZZ$501,$A505,AQ$3)))</f>
        <v/>
      </c>
      <c r="AR505" s="124" t="str">
        <f>IF($B505="","",IF(AR$3=0,"n.b.",INDEX(SRC_ZPMW03!$A$1:$ZZ$501,$A505,AR$3)))</f>
        <v/>
      </c>
      <c r="AS505" s="124" t="str">
        <f>IF($B505="","",IF(AS$3=0,"n.b.",INDEX(SRC_ZPMW03!$A$1:$ZZ$501,$A505,AS$3)))</f>
        <v/>
      </c>
      <c r="AT505" s="124" t="str">
        <f>IF($B505="","",IF(AT$3=0,"n.b.",INDEX(SRC_ZPMW03!$A$1:$ZZ$501,$A505,AT$3)))</f>
        <v/>
      </c>
      <c r="AU505" s="124" t="str">
        <f>IF($B505="","",IF(AU$3=0,"n.b.",INDEX(SRC_ZPMW03!$A$1:$ZZ$501,$A505,AU$3)))</f>
        <v/>
      </c>
      <c r="AV505" s="124" t="str">
        <f>IF($B505="","",IF(AV$3=0,"n.b.",INDEX(SRC_ZPMW03!$A$1:$ZZ$501,$A505,AV$3)))</f>
        <v/>
      </c>
      <c r="AW505" s="124" t="str">
        <f>IF($B505="","",IF(AW$3=0,"n.b.",INDEX(SRC_ZPMW03!$A$1:$ZZ$501,$A505,AW$3)))</f>
        <v/>
      </c>
      <c r="AX505" s="124" t="str">
        <f>IF($B505="","",IF(AX$3=0,"n.b.",INDEX(SRC_ZPMW03!$A$1:$ZZ$501,$A505,AX$3)))</f>
        <v/>
      </c>
      <c r="AY505" s="124" t="str">
        <f>IF($B505="","",IF(AY$3=0,"n.b.",INDEX(SRC_ZPMW03!$A$1:$ZZ$501,$A505,AY$3)))</f>
        <v/>
      </c>
      <c r="AZ505" s="124" t="str">
        <f>IF($B505="","",IF(AZ$3=0,"n.b.",INDEX(SRC_ZPMW03!$A$1:$ZZ$501,$A505,AZ$3)))</f>
        <v/>
      </c>
      <c r="BA505" s="124" t="str">
        <f>IF($B505="","",IF(BA$3=0,"n.b.",INDEX(SRC_ZPMW03!$A$1:$ZZ$501,$A505,BA$3)))</f>
        <v/>
      </c>
      <c r="BB505" s="124" t="str">
        <f>IF($B505="","",IF(BB$3=0,"n.b.",INDEX(SRC_ZPMW03!$A$1:$ZZ$501,$A505,BB$3)))</f>
        <v/>
      </c>
      <c r="BC505" s="124" t="str">
        <f>IF($B505="","",IF(BC$3=0,"n.b.",INDEX(SRC_ZPMW03!$A$1:$ZZ$501,$A505,BC$3)))</f>
        <v/>
      </c>
      <c r="BD505" s="124" t="str">
        <f>IF($B505="","",IF(BD$3=0,"n.b.",INDEX(SRC_ZPMW03!$A$1:$ZZ$501,$A505,BD$3)))</f>
        <v/>
      </c>
      <c r="BE505" s="124" t="str">
        <f>IF($B505="","",IF(BE$3=0,"n.b.",INDEX(SRC_ZPMW03!$A$1:$ZZ$501,$A505,BE$3)))</f>
        <v/>
      </c>
      <c r="BF505" s="124" t="str">
        <f>IF($B505="","",IF(BF$3=0,"n.b.",INDEX(SRC_ZPMW03!$A$1:$ZZ$501,$A505,BF$3)))</f>
        <v/>
      </c>
      <c r="BG505" t="str">
        <f>IF($B505="","",IF(BG$3=0,"n.b.",INDEX(SRC_ZPMW03!$A$1:$ZZ$501,$A505,BG$3)))</f>
        <v/>
      </c>
      <c r="BH505" t="str">
        <f>IF($B505="","",IF(BH$3=0,"n.b.",INDEX(SRC_ZPMW03!$A$1:$ZZ$501,$A505,BH$3)))</f>
        <v/>
      </c>
      <c r="BI505" t="str">
        <f>IF($B505="","",IF(BI$3=0,"n.b.",INDEX(SRC_ZPMW03!$A$1:$ZZ$501,$A505,BI$3)))</f>
        <v/>
      </c>
      <c r="BJ505" t="str">
        <f>IF($B505="","",IF(BJ$3=0,"n.b.",INDEX(SRC_ZPMW03!$A$1:$ZZ$501,$A505,BJ$3)))</f>
        <v/>
      </c>
      <c r="BK505" s="124" t="str">
        <f>IF($B505="","",IFERROR(-O505,"n.b."))</f>
        <v/>
      </c>
      <c r="BL505" s="124" t="str">
        <f>IF($B505="","",IFERROR(-Q505,"n.b."))</f>
        <v/>
      </c>
      <c r="BM505" s="124" t="str">
        <f>IF($B505="","",IFERROR(-AB505,"n.b."))</f>
        <v/>
      </c>
      <c r="BN505" s="124" t="str">
        <f>IF($B505="","",IFERROR(-AD505,"n.b."))</f>
        <v/>
      </c>
      <c r="BO505" s="124" t="str">
        <f>IF($B505="","",IFERROR(BK505+BM505,"n.b."))</f>
        <v/>
      </c>
      <c r="BP505" s="124" t="str">
        <f>IF($B505="","",IFERROR(BL505+BN505,"n.b."))</f>
        <v/>
      </c>
      <c r="BQ505" s="124" t="str">
        <f>IF($B505="","",IFERROR(-AM505,"n.b."))</f>
        <v/>
      </c>
      <c r="BR505" s="124" t="str">
        <f>IF($B505="","",IFERROR(-AO505,"n.b."))</f>
        <v/>
      </c>
      <c r="BS505" s="124" t="str">
        <f>IF($B505="","",IFERROR(-Z505,"n.b."))</f>
        <v/>
      </c>
      <c r="BT505" s="124" t="str">
        <f>IF($B505="","",IFERROR(-AA505,"n.b."))</f>
        <v/>
      </c>
      <c r="BU505" s="124" t="str">
        <f>IF($B505="","",IFERROR(-AE505,"n.b."))</f>
        <v/>
      </c>
      <c r="BV505" s="124" t="str">
        <f>IF($B505="","",IFERROR(-AF505,"n.b."))</f>
        <v/>
      </c>
      <c r="BW505" s="124" t="str">
        <f>IF($B505="","",IFERROR(-AG505,"n.b."))</f>
        <v/>
      </c>
      <c r="BX505" s="124" t="str">
        <f>IF($B505="","",IFERROR(-AH505,"n.b."))</f>
        <v/>
      </c>
      <c r="BY505" s="124" t="str">
        <f>IF($B505="","",IFERROR(-AI505,"n.b."))</f>
        <v/>
      </c>
      <c r="BZ505" s="124" t="str">
        <f>IF($B505="","",IFERROR(-AJ505,"n.b."))</f>
        <v/>
      </c>
      <c r="CA505" s="124" t="str">
        <f>IF($B505="","",IFERROR(-AK505,"n.b."))</f>
        <v/>
      </c>
      <c r="CB505" s="124" t="str">
        <f>IF($B505="","",IFERROR(-AL505,"n.b."))</f>
        <v/>
      </c>
      <c r="CC505" s="124" t="str">
        <f>IF($B505="","",IFERROR(-AP505,"n.b."))</f>
        <v/>
      </c>
      <c r="CD505" s="124" t="str">
        <f>IF($B505="","",IFERROR(-AQ505,"n.b."))</f>
        <v/>
      </c>
      <c r="CE505" s="124" t="str">
        <f>IF($B505="","",IFERROR(-AR505,"n.b."))</f>
        <v/>
      </c>
      <c r="CF505" s="124" t="str">
        <f>IF($B505="","",IFERROR(-AS505,"n.b."))</f>
        <v/>
      </c>
      <c r="CG505" s="124" t="str">
        <f>IF($B505="","",IFERROR(-AT505,"n.b."))</f>
        <v/>
      </c>
      <c r="CH505" s="124" t="str">
        <f>IF($B505="","",IFERROR(-AU505,"n.b."))</f>
        <v/>
      </c>
      <c r="CI505" s="124" t="str">
        <f>IF($B505="","",IFERROR(-AV505,"n.b."))</f>
        <v/>
      </c>
      <c r="CJ505" s="124" t="str">
        <f>IF($B505="","",IFERROR(-AW505,"n.b."))</f>
        <v/>
      </c>
      <c r="CK505" s="124" t="str">
        <f>IF($B505="","",IFERROR(-AX505,"n.b."))</f>
        <v/>
      </c>
      <c r="CL505" s="124" t="str">
        <f>IF($B505="","",IFERROR(-AY505,"n.b."))</f>
        <v/>
      </c>
      <c r="CM505" s="124" t="str">
        <f>IF($B505="","",IFERROR(-AZ505,"n.b."))</f>
        <v/>
      </c>
      <c r="CN505" s="124" t="str">
        <f>IF($B505="","",IFERROR(-BA505,"n.b."))</f>
        <v/>
      </c>
      <c r="CO505" s="124" t="str">
        <f>IF($B505="","",IFERROR(-BB505,"n.b."))</f>
        <v/>
      </c>
      <c r="CP505" s="124" t="str">
        <f>IF($B505="","",IFERROR(-BC505,"n.b."))</f>
        <v/>
      </c>
      <c r="CQ505" s="124" t="str">
        <f>IF($B505="","",IFERROR(-BD505,"n.b."))</f>
        <v/>
      </c>
      <c r="CR505" s="124" t="str">
        <f>IF($B505="","",IFERROR(-BE505,"n.b."))</f>
        <v/>
      </c>
      <c r="CS505" s="124" t="str">
        <f>IF($B505="","",IFERROR(IF(OR(ABS(T505+V505+X505+Z505-AB505)&gt;P_Tol,ABS(U505+W505+Y505+AA505-AD505)&gt;P_Tol,ABS(AE505+AG505+AI505+AK505-AM505)&gt;P_Tol,ABS(AF505+AH505+AJ505+AL505-AO505)&gt;P_Tol),1,0),1))</f>
        <v/>
      </c>
      <c r="CT505" s="124" t="str">
        <f>IF($B505="","",IFERROR(IF(OR(ABS(AB505+AC505-AD505)&gt;P_Tol,ABS(AM505+AN505-AO505)&gt;P_Tol,ABS(O505+P505-Q505)&gt;P_Tol),1,0),1))</f>
        <v/>
      </c>
      <c r="CU505" s="124" t="str">
        <f>IF($B505="","",IFERROR(IF(ABS(R505-(AB505+AM505+AP505+AR505+AT505+AV505+AX505+AZ505+BB505+BD505))&gt;P_Tol,1,0),1))</f>
        <v/>
      </c>
      <c r="CV505" s="124" t="str">
        <f>IF($B505="","",IFERROR(IF(ABS(M505-(N505+O505+R505))&gt;P_Tol,1,0),1))</f>
        <v/>
      </c>
      <c r="CW505" s="124" t="str">
        <f>IF($B505="","",IF(COUNTIF(Mapping!$A$5:$A$104,B505)&gt;0,1,0))</f>
        <v/>
      </c>
      <c r="CX505" s="124" t="str">
        <f>IF($B505="","",COUNTIF($B$6:$B$505,B505))</f>
        <v/>
      </c>
      <c r="CY505" s="124" t="str">
        <f>IF($B505="","",COUNTIF(STG_Woningetalage!$B$6:$B$505,B505))</f>
        <v/>
      </c>
      <c r="CZ505" s="124" t="str">
        <f>IF($B505="","",IF(CW505=0,COUNTIF($CW$6:CW505,0),""))</f>
        <v/>
      </c>
    </row>
  </sheetData>
  <pageMargins left="0.75" right="0.75" top="1" bottom="1" header="0.5" footer="0.5"/>
</worksheet>
</file>

<file path=xl/worksheets/sheet19.xml><?xml version="1.0" encoding="utf-8"?>
<worksheet xmlns="http://schemas.openxmlformats.org/spreadsheetml/2006/main">
  <sheetPr>
    <tabColor rgb="006B7385"/>
    <outlinePr summaryBelow="1" summaryRight="1"/>
    <pageSetUpPr/>
  </sheetPr>
  <dimension ref="A1:BX505"/>
  <sheetViews>
    <sheetView showGridLines="0" zoomScale="80" workbookViewId="0">
      <pane xSplit="2" ySplit="5" topLeftCell="C6" activePane="bottomRight" state="frozen"/>
      <selection pane="topRight"/>
      <selection pane="bottomLeft"/>
      <selection pane="bottomRight" activeCell="A1" sqref="A1"/>
    </sheetView>
  </sheetViews>
  <sheetFormatPr baseColWidth="8" defaultRowHeight="15"/>
  <cols>
    <col width="18" customWidth="1" min="1" max="1"/>
  </cols>
  <sheetData>
    <row r="1">
      <c r="A1" s="17" t="inlineStr">
        <is>
          <t>Intern veld</t>
        </is>
      </c>
      <c r="B1" s="122" t="inlineStr">
        <is>
          <t>Stufe3</t>
        </is>
      </c>
      <c r="C1" s="122" t="inlineStr">
        <is>
          <t>Bedr</t>
        </is>
      </c>
      <c r="D1" s="122" t="inlineStr">
        <is>
          <t>Bedrijfsnaam</t>
        </is>
      </c>
      <c r="E1" s="122" t="inlineStr">
        <is>
          <t>Aandeel_txt</t>
        </is>
      </c>
      <c r="F1" s="122" t="inlineStr">
        <is>
          <t>ProjSrt_code</t>
        </is>
      </c>
      <c r="G1" s="122" t="inlineStr">
        <is>
          <t>ProjSrt_oms</t>
        </is>
      </c>
      <c r="H1" s="122" t="inlineStr">
        <is>
          <t>PC_code</t>
        </is>
      </c>
      <c r="I1" s="122" t="inlineStr">
        <is>
          <t>PC_oms</t>
        </is>
      </c>
      <c r="J1" s="122" t="inlineStr">
        <is>
          <t>Project</t>
        </is>
      </c>
      <c r="K1" s="122" t="inlineStr">
        <is>
          <t>Omschrijving</t>
        </is>
      </c>
      <c r="L1" s="122" t="inlineStr">
        <is>
          <t>OmschrStufe3</t>
        </is>
      </c>
      <c r="M1" s="122" t="inlineStr">
        <is>
          <t>Kans_txt</t>
        </is>
      </c>
      <c r="N1" s="122" t="inlineStr">
        <is>
          <t>StartVerk</t>
        </is>
      </c>
      <c r="O1" s="122" t="inlineStr">
        <is>
          <t>StartBouw</t>
        </is>
      </c>
      <c r="P1" s="122" t="inlineStr">
        <is>
          <t>EindOpl</t>
        </is>
      </c>
      <c r="Q1" s="122" t="inlineStr">
        <is>
          <t>Aantal</t>
        </is>
      </c>
      <c r="R1" s="122" t="inlineStr">
        <is>
          <t>VJ_B</t>
        </is>
      </c>
      <c r="S1" s="122" t="inlineStr">
        <is>
          <t>VJ_P</t>
        </is>
      </c>
      <c r="T1" s="122" t="inlineStr">
        <is>
          <t>VJ_T</t>
        </is>
      </c>
      <c r="U1" s="122" t="inlineStr">
        <is>
          <t>HJ_B</t>
        </is>
      </c>
      <c r="V1" s="122" t="inlineStr">
        <is>
          <t>HJ_P</t>
        </is>
      </c>
      <c r="W1" s="122" t="inlineStr">
        <is>
          <t>HJ_T</t>
        </is>
      </c>
      <c r="X1" s="122" t="inlineStr">
        <is>
          <t>Cum_B</t>
        </is>
      </c>
      <c r="Y1" s="122" t="inlineStr">
        <is>
          <t>Cum_P</t>
        </is>
      </c>
      <c r="Z1" s="122" t="inlineStr">
        <is>
          <t>Cum_T</t>
        </is>
      </c>
      <c r="AA1" s="122" t="inlineStr">
        <is>
          <t>Etalage</t>
        </is>
      </c>
      <c r="AB1" s="122" t="inlineStr">
        <is>
          <t>M01</t>
        </is>
      </c>
      <c r="AC1" s="122" t="inlineStr">
        <is>
          <t>M02</t>
        </is>
      </c>
      <c r="AD1" s="122" t="inlineStr">
        <is>
          <t>M03</t>
        </is>
      </c>
      <c r="AE1" s="122" t="inlineStr">
        <is>
          <t>M04</t>
        </is>
      </c>
      <c r="AF1" s="122" t="inlineStr">
        <is>
          <t>M05</t>
        </is>
      </c>
      <c r="AG1" s="122" t="inlineStr">
        <is>
          <t>M06</t>
        </is>
      </c>
      <c r="AH1" s="122" t="inlineStr">
        <is>
          <t>M07</t>
        </is>
      </c>
      <c r="AI1" s="122" t="inlineStr">
        <is>
          <t>M08</t>
        </is>
      </c>
      <c r="AJ1" s="122" t="inlineStr">
        <is>
          <t>M09</t>
        </is>
      </c>
      <c r="AK1" s="122" t="inlineStr">
        <is>
          <t>M10</t>
        </is>
      </c>
      <c r="AL1" s="122" t="inlineStr">
        <is>
          <t>M11</t>
        </is>
      </c>
      <c r="AM1" s="122" t="inlineStr">
        <is>
          <t>M12</t>
        </is>
      </c>
      <c r="AN1" s="122" t="inlineStr">
        <is>
          <t>VQ1</t>
        </is>
      </c>
      <c r="AO1" s="122" t="inlineStr">
        <is>
          <t>VQ2</t>
        </is>
      </c>
      <c r="AP1" s="122" t="inlineStr">
        <is>
          <t>VQ3</t>
        </is>
      </c>
      <c r="AQ1" s="122" t="inlineStr">
        <is>
          <t>VQ4</t>
        </is>
      </c>
      <c r="AR1" s="122" t="inlineStr">
        <is>
          <t>HuidigJaar</t>
        </is>
      </c>
      <c r="AS1" s="122" t="inlineStr">
        <is>
          <t>VolgendJaar</t>
        </is>
      </c>
      <c r="AT1" s="122" t="inlineStr">
        <is>
          <t>Rond</t>
        </is>
      </c>
      <c r="AU1" s="122" t="inlineStr">
        <is>
          <t>Y_RJ2</t>
        </is>
      </c>
      <c r="AV1" s="122" t="inlineStr">
        <is>
          <t>Y_RJ3</t>
        </is>
      </c>
      <c r="AW1" s="122" t="inlineStr">
        <is>
          <t>Y_RJ4</t>
        </is>
      </c>
      <c r="AX1" s="122" t="inlineStr">
        <is>
          <t>Y_RJ5</t>
        </is>
      </c>
      <c r="AY1" s="122" t="inlineStr">
        <is>
          <t>Y_RJ6</t>
        </is>
      </c>
      <c r="AZ1" s="122" t="inlineStr">
        <is>
          <t>Y_NEG1</t>
        </is>
      </c>
      <c r="BA1" s="122" t="inlineStr">
        <is>
          <t>Y_NEG2</t>
        </is>
      </c>
      <c r="BB1" s="122" t="inlineStr">
        <is>
          <t>Y_NEG3</t>
        </is>
      </c>
      <c r="BC1" s="123" t="inlineStr">
        <is>
          <t>Aandeel_num</t>
        </is>
      </c>
      <c r="BD1" s="123" t="inlineStr">
        <is>
          <t>Kans_num</t>
        </is>
      </c>
      <c r="BE1" s="123" t="inlineStr">
        <is>
          <t>HQ1</t>
        </is>
      </c>
      <c r="BF1" s="123" t="inlineStr">
        <is>
          <t>HQ2</t>
        </is>
      </c>
      <c r="BG1" s="123" t="inlineStr">
        <is>
          <t>HQ3</t>
        </is>
      </c>
      <c r="BH1" s="123" t="inlineStr">
        <is>
          <t>HQ4</t>
        </is>
      </c>
      <c r="BI1" s="123" t="inlineStr">
        <is>
          <t>ActYTD</t>
        </is>
      </c>
      <c r="BJ1" s="123" t="inlineStr">
        <is>
          <t>PrognoseRest</t>
        </is>
      </c>
      <c r="BK1" s="123" t="inlineStr">
        <is>
          <t>C_Aantal</t>
        </is>
      </c>
      <c r="BL1" s="123" t="inlineStr">
        <is>
          <t>C_Etalage</t>
        </is>
      </c>
      <c r="BM1" s="123" t="inlineStr">
        <is>
          <t>C_Cum</t>
        </is>
      </c>
      <c r="BN1" s="123" t="inlineStr">
        <is>
          <t>C_HJ</t>
        </is>
      </c>
      <c r="BO1" s="123" t="inlineStr">
        <is>
          <t>C_BP</t>
        </is>
      </c>
      <c r="BP1" s="123" t="inlineStr">
        <is>
          <t>C_Jaren</t>
        </is>
      </c>
      <c r="BQ1" s="123" t="inlineStr">
        <is>
          <t>C_NietGeinterp</t>
        </is>
      </c>
      <c r="BR1" s="123" t="inlineStr">
        <is>
          <t>InZPMW03</t>
        </is>
      </c>
      <c r="BS1" s="123" t="inlineStr">
        <is>
          <t>Dubbel</t>
        </is>
      </c>
      <c r="BT1" s="123" t="inlineStr">
        <is>
          <t>C_Projdef</t>
        </is>
      </c>
      <c r="BU1" s="123" t="inlineStr">
        <is>
          <t>C_MapAantal</t>
        </is>
      </c>
      <c r="BV1" s="123" t="inlineStr">
        <is>
          <t>C_Meetellen</t>
        </is>
      </c>
      <c r="BW1" s="123" t="inlineStr">
        <is>
          <t>InMapping</t>
        </is>
      </c>
      <c r="BX1" s="123" t="inlineStr">
        <is>
          <t>NietInZNr</t>
        </is>
      </c>
    </row>
    <row r="2">
      <c r="A2" s="17" t="inlineStr">
        <is>
          <t>Gezochte bronheader</t>
        </is>
      </c>
      <c r="B2" s="15" t="inlineStr">
        <is>
          <t>Stufe 3</t>
        </is>
      </c>
      <c r="C2" s="15" t="inlineStr">
        <is>
          <t>Bedr.</t>
        </is>
      </c>
      <c r="D2" s="15" t="inlineStr">
        <is>
          <t>Bedrijfsnaam | Naam maatschappij</t>
        </is>
      </c>
      <c r="E2" s="15" t="inlineStr">
        <is>
          <t>Aandeel Heijm.</t>
        </is>
      </c>
      <c r="F2" s="15" t="inlineStr">
        <is>
          <t>Proj.srt</t>
        </is>
      </c>
      <c r="G2" s="15" t="inlineStr">
        <is>
          <t>Proj.srt</t>
        </is>
      </c>
      <c r="H2" s="15" t="inlineStr">
        <is>
          <t>Profitctr.</t>
        </is>
      </c>
      <c r="I2" s="15" t="inlineStr">
        <is>
          <t>Profitctr.</t>
        </is>
      </c>
      <c r="J2" s="15" t="inlineStr">
        <is>
          <t>Project</t>
        </is>
      </c>
      <c r="K2" s="15" t="inlineStr">
        <is>
          <t>Omschrijving</t>
        </is>
      </c>
      <c r="L2" s="15" t="inlineStr">
        <is>
          <t>Omschr.Stufe3</t>
        </is>
      </c>
      <c r="M2" s="15" t="inlineStr">
        <is>
          <t>Kans</t>
        </is>
      </c>
      <c r="N2" s="15" t="inlineStr">
        <is>
          <t>Start verk.</t>
        </is>
      </c>
      <c r="O2" s="15" t="inlineStr">
        <is>
          <t>Start bouw</t>
        </is>
      </c>
      <c r="P2" s="15" t="inlineStr">
        <is>
          <t>Eind opl.</t>
        </is>
      </c>
      <c r="Q2" s="15" t="inlineStr">
        <is>
          <t>Aantal woningen</t>
        </is>
      </c>
      <c r="R2" s="15" t="inlineStr">
        <is>
          <t>t/m vorig jr Beleggers</t>
        </is>
      </c>
      <c r="S2" s="15" t="inlineStr">
        <is>
          <t>t/m vorig jr Particulier</t>
        </is>
      </c>
      <c r="T2" s="15" t="inlineStr">
        <is>
          <t>t/m vorig jr Totaal</t>
        </is>
      </c>
      <c r="U2" s="15" t="inlineStr">
        <is>
          <t>Huidig jr Beleggers</t>
        </is>
      </c>
      <c r="V2" s="15" t="inlineStr">
        <is>
          <t>Huidig jr Particulier</t>
        </is>
      </c>
      <c r="W2" s="15" t="inlineStr">
        <is>
          <t>Huidig jr Totaal</t>
        </is>
      </c>
      <c r="X2" s="15" t="inlineStr">
        <is>
          <t>Cumulatief Beleggers</t>
        </is>
      </c>
      <c r="Y2" s="15" t="inlineStr">
        <is>
          <t>Cumulatief Particulier</t>
        </is>
      </c>
      <c r="Z2" s="15" t="inlineStr">
        <is>
          <t>Cumulatief Totaal</t>
        </is>
      </c>
      <c r="AA2" s="15" t="inlineStr">
        <is>
          <t>Etalage Totaal</t>
        </is>
      </c>
      <c r="AB2" s="15" t="inlineStr">
        <is>
          <t>hjr 01</t>
        </is>
      </c>
      <c r="AC2" s="15" t="inlineStr">
        <is>
          <t>hjr 02</t>
        </is>
      </c>
      <c r="AD2" s="15" t="inlineStr">
        <is>
          <t>hjr 03</t>
        </is>
      </c>
      <c r="AE2" s="15" t="inlineStr">
        <is>
          <t>hjr 04</t>
        </is>
      </c>
      <c r="AF2" s="15" t="inlineStr">
        <is>
          <t>hjr 05</t>
        </is>
      </c>
      <c r="AG2" s="15" t="inlineStr">
        <is>
          <t>hjr 06</t>
        </is>
      </c>
      <c r="AH2" s="15" t="inlineStr">
        <is>
          <t>hjr 07</t>
        </is>
      </c>
      <c r="AI2" s="15" t="inlineStr">
        <is>
          <t>hjr 08</t>
        </is>
      </c>
      <c r="AJ2" s="15" t="inlineStr">
        <is>
          <t>hjr 09</t>
        </is>
      </c>
      <c r="AK2" s="15" t="inlineStr">
        <is>
          <t>hjr 10</t>
        </is>
      </c>
      <c r="AL2" s="15" t="inlineStr">
        <is>
          <t>hjr 11</t>
        </is>
      </c>
      <c r="AM2" s="15" t="inlineStr">
        <is>
          <t>hjr 12</t>
        </is>
      </c>
      <c r="AN2" s="15" t="inlineStr">
        <is>
          <t>Volgend jr Q1</t>
        </is>
      </c>
      <c r="AO2" s="15" t="inlineStr">
        <is>
          <t>Volgend jr Q2</t>
        </is>
      </c>
      <c r="AP2" s="15" t="inlineStr">
        <is>
          <t>Volgend jr Q3</t>
        </is>
      </c>
      <c r="AQ2" s="15" t="inlineStr">
        <is>
          <t>Volgend jr Q4</t>
        </is>
      </c>
      <c r="AR2" s="15" t="inlineStr">
        <is>
          <t>Huidig jaar</t>
        </is>
      </c>
      <c r="AS2" s="15" t="inlineStr">
        <is>
          <t>Volgend jaar</t>
        </is>
      </c>
      <c r="AT2" s="15" t="str">
        <f>INDEX(YM_Header,MATCH("Rond",YM_Intern,0))</f>
        <v>Rond</v>
      </c>
      <c r="AU2" s="15">
        <f>INDEX(YM_Header,MATCH("Y_RJ2",YM_Intern,0))</f>
        <v>2028</v>
      </c>
      <c r="AV2" s="15">
        <f>INDEX(YM_Header,MATCH("Y_RJ3",YM_Intern,0))</f>
        <v>2029</v>
      </c>
      <c r="AW2" s="15">
        <f>INDEX(YM_Header,MATCH("Y_RJ4",YM_Intern,0))</f>
        <v>2030</v>
      </c>
      <c r="AX2" s="15">
        <f>INDEX(YM_Header,MATCH("Y_RJ5",YM_Intern,0))</f>
        <v>2031</v>
      </c>
      <c r="AY2" s="15">
        <f>INDEX(YM_Header,MATCH("Y_RJ6",YM_Intern,0))</f>
        <v>2032</v>
      </c>
      <c r="AZ2" s="15">
        <f>INDEX(YM_Header,MATCH("Y_NEG1",YM_Intern,0))</f>
        <v>-2033</v>
      </c>
      <c r="BA2" s="15">
        <f>INDEX(YM_Header,MATCH("Y_NEG2",YM_Intern,0))</f>
        <v>-2034</v>
      </c>
      <c r="BB2" s="15">
        <f>INDEX(YM_Header,MATCH("Y_NEG3",YM_Intern,0))</f>
        <v>-2035</v>
      </c>
      <c r="BC2" s="15" t="inlineStr">
        <is>
          <t>Aandeel als getal (alleen informatief, NIET toepassen)</t>
        </is>
      </c>
      <c r="BD2" s="15" t="inlineStr">
        <is>
          <t>Kans als getal</t>
        </is>
      </c>
      <c r="BE2" s="15" t="inlineStr">
        <is>
          <t>Verkopen RJ Q1 (maanden 1-3)</t>
        </is>
      </c>
      <c r="BF2" s="15" t="inlineStr">
        <is>
          <t>Verkopen RJ Q2</t>
        </is>
      </c>
      <c r="BG2" s="15" t="inlineStr">
        <is>
          <t>Verkopen RJ Q3</t>
        </is>
      </c>
      <c r="BH2" s="15" t="inlineStr">
        <is>
          <t>Verkopen RJ Q4</t>
        </is>
      </c>
      <c r="BI2" s="15" t="inlineStr">
        <is>
          <t>Verkopen actual t/m peilmaand</t>
        </is>
      </c>
      <c r="BJ2" s="15" t="inlineStr">
        <is>
          <t>Verkopen prognose rest RJ</t>
        </is>
      </c>
      <c r="BK2" s="15" t="inlineStr">
        <is>
          <t>1 = aantal &lt;&gt; vorig + 12 mnd + volgend + RJ+2</t>
        </is>
      </c>
      <c r="BL2" s="15" t="inlineStr">
        <is>
          <t>1 = etalage &lt;&gt; aantal - cumulatief</t>
        </is>
      </c>
      <c r="BM2" s="15" t="inlineStr">
        <is>
          <t>1 = cumulatief &lt;&gt; t/m vorig jr + huidig jr</t>
        </is>
      </c>
      <c r="BN2" s="15" t="inlineStr">
        <is>
          <t>1 = Huidig jr Totaal &lt;&gt; som maanden t/m peilmaand</t>
        </is>
      </c>
      <c r="BO2" s="15" t="inlineStr">
        <is>
          <t>1 = Beleggers + Particulier &lt;&gt; Totaal</t>
        </is>
      </c>
      <c r="BP2" s="15" t="inlineStr">
        <is>
          <t>1 = Huidig/Volgend jaar &lt;&gt; som maanden/kwartalen</t>
        </is>
      </c>
      <c r="BQ2" s="15" t="inlineStr">
        <is>
          <t>1 = niet-geïnterpreteerde kolom bevat waarde</t>
        </is>
      </c>
      <c r="BR2" s="15" t="inlineStr">
        <is>
          <t>Aantal keer in ZPMW03</t>
        </is>
      </c>
      <c r="BS2" s="15" t="inlineStr">
        <is>
          <t>Aantal keer dat Stufe 3 voorkomt</t>
        </is>
      </c>
      <c r="BT2" s="15" t="inlineStr">
        <is>
          <t>1 = Projectdefinitie (ZPMW03) &lt;&gt; Project (Woningetalage) voor dezelfde WBS</t>
        </is>
      </c>
      <c r="BU2" s="15" t="inlineStr">
        <is>
          <t>1 = aantal woningen wijkt af van Mapping</t>
        </is>
      </c>
      <c r="BV2" s="15" t="inlineStr">
        <is>
          <t>1 = woningen bij project met 'Woningen meetellen = Nee'</t>
        </is>
      </c>
      <c r="BW2" s="15" t="inlineStr">
        <is>
          <t>1 = Stufe 3 staat in Mapping</t>
        </is>
      </c>
      <c r="BX2" s="15" t="inlineStr">
        <is>
          <t>Volgnummer: niet in ZPMW03</t>
        </is>
      </c>
    </row>
    <row r="3">
      <c r="A3" s="17" t="inlineStr">
        <is>
          <t>Kolomnr in bron</t>
        </is>
      </c>
      <c r="B3" s="15">
        <f>IFERROR(MATCH(B2,SRC_Woningetalage!$1:$1,0),0)</f>
        <v>10</v>
      </c>
      <c r="C3" s="15">
        <f>IFERROR(MATCH(C2,SRC_Woningetalage!$1:$1,0),0)</f>
        <v>1</v>
      </c>
      <c r="D3" s="15">
        <f>IFERROR(MATCH("Bedrijfsnaam",SRC_Woningetalage!$1:$1,0),IFERROR(MATCH("Naam maatschappij",SRC_Woningetalage!$1:$1,0),0))</f>
        <v>2</v>
      </c>
      <c r="E3" s="15">
        <f>IFERROR(MATCH(E2,SRC_Woningetalage!$1:$1,0),0)</f>
        <v>3</v>
      </c>
      <c r="F3" s="15">
        <f>IFERROR(MATCH(F2,SRC_Woningetalage!$1:$1,0),0)</f>
        <v>4</v>
      </c>
      <c r="G3" s="15">
        <f>IF(F3=0,0,IFERROR(MATCH(G2,INDEX(SRC_Woningetalage!$1:$1,1,F3+1):SRC_Woningetalage!$ZZ$1,0)+F3,0))</f>
        <v>5</v>
      </c>
      <c r="H3" s="15">
        <f>IFERROR(MATCH(H2,SRC_Woningetalage!$1:$1,0),0)</f>
        <v>6</v>
      </c>
      <c r="I3" s="15">
        <f>IF(H3=0,0,IFERROR(MATCH(I2,INDEX(SRC_Woningetalage!$1:$1,1,H3+1):SRC_Woningetalage!$ZZ$1,0)+H3,0))</f>
        <v>7</v>
      </c>
      <c r="J3" s="15">
        <f>IFERROR(MATCH(J2,SRC_Woningetalage!$1:$1,0),0)</f>
        <v>8</v>
      </c>
      <c r="K3" s="15">
        <f>IFERROR(MATCH(K2,SRC_Woningetalage!$1:$1,0),0)</f>
        <v>9</v>
      </c>
      <c r="L3" s="15">
        <f>IFERROR(MATCH(L2,SRC_Woningetalage!$1:$1,0),0)</f>
        <v>11</v>
      </c>
      <c r="M3" s="15">
        <f>IFERROR(MATCH(M2,SRC_Woningetalage!$1:$1,0),0)</f>
        <v>12</v>
      </c>
      <c r="N3" s="15">
        <f>IFERROR(MATCH(N2,SRC_Woningetalage!$1:$1,0),0)</f>
        <v>13</v>
      </c>
      <c r="O3" s="15">
        <f>IFERROR(MATCH(O2,SRC_Woningetalage!$1:$1,0),0)</f>
        <v>14</v>
      </c>
      <c r="P3" s="15">
        <f>IFERROR(MATCH(P2,SRC_Woningetalage!$1:$1,0),0)</f>
        <v>15</v>
      </c>
      <c r="Q3" s="15">
        <f>IFERROR(MATCH(Q2,SRC_Woningetalage!$1:$1,0),0)</f>
        <v>16</v>
      </c>
      <c r="R3" s="15">
        <f>IFERROR(MATCH(R2,SRC_Woningetalage!$1:$1,0),0)</f>
        <v>17</v>
      </c>
      <c r="S3" s="15">
        <f>IFERROR(MATCH(S2,SRC_Woningetalage!$1:$1,0),0)</f>
        <v>18</v>
      </c>
      <c r="T3" s="15">
        <f>IFERROR(MATCH(T2,SRC_Woningetalage!$1:$1,0),0)</f>
        <v>19</v>
      </c>
      <c r="U3" s="15">
        <f>IFERROR(MATCH(U2,SRC_Woningetalage!$1:$1,0),0)</f>
        <v>20</v>
      </c>
      <c r="V3" s="15">
        <f>IFERROR(MATCH(V2,SRC_Woningetalage!$1:$1,0),0)</f>
        <v>21</v>
      </c>
      <c r="W3" s="15">
        <f>IFERROR(MATCH(W2,SRC_Woningetalage!$1:$1,0),0)</f>
        <v>22</v>
      </c>
      <c r="X3" s="15">
        <f>IFERROR(MATCH(X2,SRC_Woningetalage!$1:$1,0),0)</f>
        <v>23</v>
      </c>
      <c r="Y3" s="15">
        <f>IFERROR(MATCH(Y2,SRC_Woningetalage!$1:$1,0),0)</f>
        <v>24</v>
      </c>
      <c r="Z3" s="15">
        <f>IFERROR(MATCH(Z2,SRC_Woningetalage!$1:$1,0),0)</f>
        <v>25</v>
      </c>
      <c r="AA3" s="15">
        <f>IFERROR(MATCH(AA2,SRC_Woningetalage!$1:$1,0),0)</f>
        <v>26</v>
      </c>
      <c r="AB3" s="15">
        <f>IFERROR(MATCH(AB2,SRC_Woningetalage!$1:$1,0),0)</f>
        <v>27</v>
      </c>
      <c r="AC3" s="15">
        <f>IFERROR(MATCH(AC2,SRC_Woningetalage!$1:$1,0),0)</f>
        <v>28</v>
      </c>
      <c r="AD3" s="15">
        <f>IFERROR(MATCH(AD2,SRC_Woningetalage!$1:$1,0),0)</f>
        <v>29</v>
      </c>
      <c r="AE3" s="15">
        <f>IFERROR(MATCH(AE2,SRC_Woningetalage!$1:$1,0),0)</f>
        <v>30</v>
      </c>
      <c r="AF3" s="15">
        <f>IFERROR(MATCH(AF2,SRC_Woningetalage!$1:$1,0),0)</f>
        <v>31</v>
      </c>
      <c r="AG3" s="15">
        <f>IFERROR(MATCH(AG2,SRC_Woningetalage!$1:$1,0),0)</f>
        <v>32</v>
      </c>
      <c r="AH3" s="15">
        <f>IFERROR(MATCH(AH2,SRC_Woningetalage!$1:$1,0),0)</f>
        <v>33</v>
      </c>
      <c r="AI3" s="15">
        <f>IFERROR(MATCH(AI2,SRC_Woningetalage!$1:$1,0),0)</f>
        <v>34</v>
      </c>
      <c r="AJ3" s="15">
        <f>IFERROR(MATCH(AJ2,SRC_Woningetalage!$1:$1,0),0)</f>
        <v>35</v>
      </c>
      <c r="AK3" s="15">
        <f>IFERROR(MATCH(AK2,SRC_Woningetalage!$1:$1,0),0)</f>
        <v>36</v>
      </c>
      <c r="AL3" s="15">
        <f>IFERROR(MATCH(AL2,SRC_Woningetalage!$1:$1,0),0)</f>
        <v>37</v>
      </c>
      <c r="AM3" s="15">
        <f>IFERROR(MATCH(AM2,SRC_Woningetalage!$1:$1,0),0)</f>
        <v>38</v>
      </c>
      <c r="AN3" s="15">
        <f>IFERROR(MATCH(AN2,SRC_Woningetalage!$1:$1,0),0)</f>
        <v>39</v>
      </c>
      <c r="AO3" s="15">
        <f>IFERROR(MATCH(AO2,SRC_Woningetalage!$1:$1,0),0)</f>
        <v>40</v>
      </c>
      <c r="AP3" s="15">
        <f>IFERROR(MATCH(AP2,SRC_Woningetalage!$1:$1,0),0)</f>
        <v>41</v>
      </c>
      <c r="AQ3" s="15">
        <f>IFERROR(MATCH(AQ2,SRC_Woningetalage!$1:$1,0),0)</f>
        <v>42</v>
      </c>
      <c r="AR3" s="15">
        <f>IFERROR(MATCH(AR2,SRC_Woningetalage!$1:$1,0),0)</f>
        <v>43</v>
      </c>
      <c r="AS3" s="15">
        <f>IFERROR(MATCH(AS2,SRC_Woningetalage!$1:$1,0),0)</f>
        <v>44</v>
      </c>
      <c r="AT3" s="15">
        <f>IFERROR(MATCH(AT2,SRC_Woningetalage!$1:$1,0),0)</f>
        <v>45</v>
      </c>
      <c r="AU3" s="15">
        <f>IFERROR(MATCH(AU2,SRC_Woningetalage!$1:$1,0),0)</f>
        <v>46</v>
      </c>
      <c r="AV3" s="15">
        <f>IFERROR(MATCH(AV2,SRC_Woningetalage!$1:$1,0),0)</f>
        <v>47</v>
      </c>
      <c r="AW3" s="15">
        <f>IFERROR(MATCH(AW2,SRC_Woningetalage!$1:$1,0),0)</f>
        <v>48</v>
      </c>
      <c r="AX3" s="15">
        <f>IFERROR(MATCH(AX2,SRC_Woningetalage!$1:$1,0),0)</f>
        <v>49</v>
      </c>
      <c r="AY3" s="15">
        <f>IFERROR(MATCH(AY2,SRC_Woningetalage!$1:$1,0),0)</f>
        <v>50</v>
      </c>
      <c r="AZ3" s="15">
        <f>IFERROR(MATCH(AZ2,SRC_Woningetalage!$1:$1,0),0)</f>
        <v>51</v>
      </c>
      <c r="BA3" s="15">
        <f>IFERROR(MATCH(BA2,SRC_Woningetalage!$1:$1,0),0)</f>
        <v>52</v>
      </c>
      <c r="BB3" s="15">
        <f>IFERROR(MATCH(BB2,SRC_Woningetalage!$1:$1,0),0)</f>
        <v>53</v>
      </c>
    </row>
    <row r="4">
      <c r="A4" s="17" t="inlineStr">
        <is>
          <t>Status</t>
        </is>
      </c>
      <c r="B4" s="15" t="str">
        <f>IF(B3=0,"ONTBREEKT","OK")</f>
        <v>OK</v>
      </c>
      <c r="C4" s="15" t="str">
        <f>IF(C3=0,"ONTBREEKT","OK")</f>
        <v>OK</v>
      </c>
      <c r="D4" s="15" t="str">
        <f>IF(D3=0,"ONTBREEKT","OK")</f>
        <v>OK</v>
      </c>
      <c r="E4" s="15" t="str">
        <f>IF(E3=0,"ONTBREEKT","OK")</f>
        <v>OK</v>
      </c>
      <c r="F4" s="15" t="str">
        <f>IF(F3=0,"ONTBREEKT","OK")</f>
        <v>OK</v>
      </c>
      <c r="G4" s="15" t="str">
        <f>IF(G3=0,"ONTBREEKT","OK")</f>
        <v>OK</v>
      </c>
      <c r="H4" s="15" t="str">
        <f>IF(H3=0,"ONTBREEKT","OK")</f>
        <v>OK</v>
      </c>
      <c r="I4" s="15" t="str">
        <f>IF(I3=0,"ONTBREEKT","OK")</f>
        <v>OK</v>
      </c>
      <c r="J4" s="15" t="str">
        <f>IF(J3=0,"ONTBREEKT","OK")</f>
        <v>OK</v>
      </c>
      <c r="K4" s="15" t="str">
        <f>IF(K3=0,"ONTBREEKT","OK")</f>
        <v>OK</v>
      </c>
      <c r="L4" s="15" t="str">
        <f>IF(L3=0,"ONTBREEKT","OK")</f>
        <v>OK</v>
      </c>
      <c r="M4" s="15" t="str">
        <f>IF(M3=0,"ONTBREEKT","OK")</f>
        <v>OK</v>
      </c>
      <c r="N4" s="15" t="str">
        <f>IF(N3=0,"ONTBREEKT","OK")</f>
        <v>OK</v>
      </c>
      <c r="O4" s="15" t="str">
        <f>IF(O3=0,"ONTBREEKT","OK")</f>
        <v>OK</v>
      </c>
      <c r="P4" s="15" t="str">
        <f>IF(P3=0,"ONTBREEKT","OK")</f>
        <v>OK</v>
      </c>
      <c r="Q4" s="15" t="str">
        <f>IF(Q3=0,"ONTBREEKT","OK")</f>
        <v>OK</v>
      </c>
      <c r="R4" s="15" t="str">
        <f>IF(R3=0,"ONTBREEKT","OK")</f>
        <v>OK</v>
      </c>
      <c r="S4" s="15" t="str">
        <f>IF(S3=0,"ONTBREEKT","OK")</f>
        <v>OK</v>
      </c>
      <c r="T4" s="15" t="str">
        <f>IF(T3=0,"ONTBREEKT","OK")</f>
        <v>OK</v>
      </c>
      <c r="U4" s="15" t="str">
        <f>IF(U3=0,"ONTBREEKT","OK")</f>
        <v>OK</v>
      </c>
      <c r="V4" s="15" t="str">
        <f>IF(V3=0,"ONTBREEKT","OK")</f>
        <v>OK</v>
      </c>
      <c r="W4" s="15" t="str">
        <f>IF(W3=0,"ONTBREEKT","OK")</f>
        <v>OK</v>
      </c>
      <c r="X4" s="15" t="str">
        <f>IF(X3=0,"ONTBREEKT","OK")</f>
        <v>OK</v>
      </c>
      <c r="Y4" s="15" t="str">
        <f>IF(Y3=0,"ONTBREEKT","OK")</f>
        <v>OK</v>
      </c>
      <c r="Z4" s="15" t="str">
        <f>IF(Z3=0,"ONTBREEKT","OK")</f>
        <v>OK</v>
      </c>
      <c r="AA4" s="15" t="str">
        <f>IF(AA3=0,"ONTBREEKT","OK")</f>
        <v>OK</v>
      </c>
      <c r="AB4" s="15" t="str">
        <f>IF(AB3=0,"ONTBREEKT","OK")</f>
        <v>OK</v>
      </c>
      <c r="AC4" s="15" t="str">
        <f>IF(AC3=0,"ONTBREEKT","OK")</f>
        <v>OK</v>
      </c>
      <c r="AD4" s="15" t="str">
        <f>IF(AD3=0,"ONTBREEKT","OK")</f>
        <v>OK</v>
      </c>
      <c r="AE4" s="15" t="str">
        <f>IF(AE3=0,"ONTBREEKT","OK")</f>
        <v>OK</v>
      </c>
      <c r="AF4" s="15" t="str">
        <f>IF(AF3=0,"ONTBREEKT","OK")</f>
        <v>OK</v>
      </c>
      <c r="AG4" s="15" t="str">
        <f>IF(AG3=0,"ONTBREEKT","OK")</f>
        <v>OK</v>
      </c>
      <c r="AH4" s="15" t="str">
        <f>IF(AH3=0,"ONTBREEKT","OK")</f>
        <v>OK</v>
      </c>
      <c r="AI4" s="15" t="str">
        <f>IF(AI3=0,"ONTBREEKT","OK")</f>
        <v>OK</v>
      </c>
      <c r="AJ4" s="15" t="str">
        <f>IF(AJ3=0,"ONTBREEKT","OK")</f>
        <v>OK</v>
      </c>
      <c r="AK4" s="15" t="str">
        <f>IF(AK3=0,"ONTBREEKT","OK")</f>
        <v>OK</v>
      </c>
      <c r="AL4" s="15" t="str">
        <f>IF(AL3=0,"ONTBREEKT","OK")</f>
        <v>OK</v>
      </c>
      <c r="AM4" s="15" t="str">
        <f>IF(AM3=0,"ONTBREEKT","OK")</f>
        <v>OK</v>
      </c>
      <c r="AN4" s="15" t="str">
        <f>IF(AN3=0,"ONTBREEKT","OK")</f>
        <v>OK</v>
      </c>
      <c r="AO4" s="15" t="str">
        <f>IF(AO3=0,"ONTBREEKT","OK")</f>
        <v>OK</v>
      </c>
      <c r="AP4" s="15" t="str">
        <f>IF(AP3=0,"ONTBREEKT","OK")</f>
        <v>OK</v>
      </c>
      <c r="AQ4" s="15" t="str">
        <f>IF(AQ3=0,"ONTBREEKT","OK")</f>
        <v>OK</v>
      </c>
      <c r="AR4" s="15" t="str">
        <f>IF(AR3=0,"ONTBREEKT","OK")</f>
        <v>OK</v>
      </c>
      <c r="AS4" s="15" t="str">
        <f>IF(AS3=0,"ONTBREEKT","OK")</f>
        <v>OK</v>
      </c>
      <c r="AT4" s="15" t="str">
        <f>IF(AT3=0,"ONTBREEKT","OK")</f>
        <v>OK</v>
      </c>
      <c r="AU4" s="15" t="str">
        <f>IF(AU3=0,"ONTBREEKT","OK")</f>
        <v>OK</v>
      </c>
      <c r="AV4" s="15" t="str">
        <f>IF(AV3=0,"ONTBREEKT","OK")</f>
        <v>OK</v>
      </c>
      <c r="AW4" s="15" t="str">
        <f>IF(AW3=0,"ONTBREEKT","OK")</f>
        <v>OK</v>
      </c>
      <c r="AX4" s="15" t="str">
        <f>IF(AX3=0,"ONTBREEKT","OK")</f>
        <v>OK</v>
      </c>
      <c r="AY4" s="15" t="str">
        <f>IF(AY3=0,"ONTBREEKT","OK")</f>
        <v>OK</v>
      </c>
      <c r="AZ4" s="15" t="str">
        <f>IF(AZ3=0,"ONTBREEKT","OK")</f>
        <v>OK</v>
      </c>
      <c r="BA4" s="15" t="str">
        <f>IF(BA3=0,"ONTBREEKT","OK")</f>
        <v>OK</v>
      </c>
      <c r="BB4" s="15" t="str">
        <f>IF(BB3=0,"ONTBREEKT","OK")</f>
        <v>OK</v>
      </c>
      <c r="BC4" s="15" t="inlineStr">
        <is>
          <t>afgeleid</t>
        </is>
      </c>
      <c r="BD4" s="15" t="inlineStr">
        <is>
          <t>afgeleid</t>
        </is>
      </c>
      <c r="BE4" s="15" t="inlineStr">
        <is>
          <t>afgeleid</t>
        </is>
      </c>
      <c r="BF4" s="15" t="inlineStr">
        <is>
          <t>afgeleid</t>
        </is>
      </c>
      <c r="BG4" s="15" t="inlineStr">
        <is>
          <t>afgeleid</t>
        </is>
      </c>
      <c r="BH4" s="15" t="inlineStr">
        <is>
          <t>afgeleid</t>
        </is>
      </c>
      <c r="BI4" s="15" t="inlineStr">
        <is>
          <t>afgeleid</t>
        </is>
      </c>
      <c r="BJ4" s="15" t="inlineStr">
        <is>
          <t>afgeleid</t>
        </is>
      </c>
      <c r="BK4" s="15" t="inlineStr">
        <is>
          <t>afgeleid</t>
        </is>
      </c>
      <c r="BL4" s="15" t="inlineStr">
        <is>
          <t>afgeleid</t>
        </is>
      </c>
      <c r="BM4" s="15" t="inlineStr">
        <is>
          <t>afgeleid</t>
        </is>
      </c>
      <c r="BN4" s="15" t="inlineStr">
        <is>
          <t>afgeleid</t>
        </is>
      </c>
      <c r="BO4" s="15" t="inlineStr">
        <is>
          <t>afgeleid</t>
        </is>
      </c>
      <c r="BP4" s="15" t="inlineStr">
        <is>
          <t>afgeleid</t>
        </is>
      </c>
      <c r="BQ4" s="15" t="inlineStr">
        <is>
          <t>afgeleid</t>
        </is>
      </c>
      <c r="BR4" s="15" t="inlineStr">
        <is>
          <t>afgeleid</t>
        </is>
      </c>
      <c r="BS4" s="15" t="inlineStr">
        <is>
          <t>afgeleid</t>
        </is>
      </c>
      <c r="BT4" s="15" t="inlineStr">
        <is>
          <t>afgeleid</t>
        </is>
      </c>
      <c r="BU4" s="15" t="inlineStr">
        <is>
          <t>afgeleid</t>
        </is>
      </c>
      <c r="BV4" s="15" t="inlineStr">
        <is>
          <t>afgeleid</t>
        </is>
      </c>
      <c r="BW4" s="15" t="inlineStr">
        <is>
          <t>afgeleid</t>
        </is>
      </c>
      <c r="BX4" s="15" t="inlineStr">
        <is>
          <t>afgeleid</t>
        </is>
      </c>
    </row>
    <row r="5">
      <c r="A5" s="5" t="inlineStr"/>
      <c r="AB5" s="5" t="n">
        <v>1</v>
      </c>
      <c r="AC5" s="5" t="n">
        <v>2</v>
      </c>
      <c r="AD5" s="5" t="n">
        <v>3</v>
      </c>
      <c r="AE5" s="5" t="n">
        <v>4</v>
      </c>
      <c r="AF5" s="5" t="n">
        <v>5</v>
      </c>
      <c r="AG5" s="5" t="n">
        <v>6</v>
      </c>
      <c r="AH5" s="5" t="n">
        <v>7</v>
      </c>
      <c r="AI5" s="5" t="n">
        <v>8</v>
      </c>
      <c r="AJ5" s="5" t="n">
        <v>9</v>
      </c>
      <c r="AK5" s="5" t="n">
        <v>10</v>
      </c>
      <c r="AL5" s="5" t="n">
        <v>11</v>
      </c>
      <c r="AM5" s="5" t="n">
        <v>12</v>
      </c>
    </row>
    <row r="6">
      <c r="A6" s="15" t="n">
        <v>2</v>
      </c>
      <c r="B6" t="str">
        <f>IF(B$3=0,"",IF(INDEX(SRC_Woningetalage!$A$1:$ZZ$501,$A6,B$3)&amp;""="","",INDEX(SRC_Woningetalage!$A$1:$ZZ$501,$A6,B$3)&amp;""))</f>
        <v>G.900001.8.9090</v>
      </c>
      <c r="C6">
        <f>IF($B6="","",IF(C$3=0,"n.b.",INDEX(SRC_Woningetalage!$A$1:$ZZ$501,$A6,C$3)))</f>
        <v>9901</v>
      </c>
      <c r="D6" t="str">
        <f>IF($B6="","",IF(D$3=0,"n.b.",INDEX(SRC_Woningetalage!$A$1:$ZZ$501,$A6,D$3)))</f>
        <v>Demo Ontwikkeling BV</v>
      </c>
      <c r="E6" t="str">
        <f>IF($B6="","",IF(E$3=0,"n.b.",INDEX(SRC_Woningetalage!$A$1:$ZZ$501,$A6,E$3)))</f>
        <v>100,00</v>
      </c>
      <c r="F6" t="str">
        <f>IF($B6="","",IF(F$3=0,"n.b.",INDEX(SRC_Woningetalage!$A$1:$ZZ$501,$A6,F$3)))</f>
        <v>08</v>
      </c>
      <c r="G6" t="str">
        <f>IF($B6="","",IF(G$3=0,"n.b.",INDEX(SRC_Woningetalage!$A$1:$ZZ$501,$A6,G$3)))</f>
        <v>Opstalontwikkeling</v>
      </c>
      <c r="H6" t="str">
        <f>IF($B6="","",IF(H$3=0,"n.b.",INDEX(SRC_Woningetalage!$A$1:$ZZ$501,$A6,H$3)))</f>
        <v>9090</v>
      </c>
      <c r="I6" t="str">
        <f>IF($B6="","",IF(I$3=0,"n.b.",INDEX(SRC_Woningetalage!$A$1:$ZZ$501,$A6,I$3)))</f>
        <v>Demo Regio</v>
      </c>
      <c r="J6" t="str">
        <f>IF($B6="","",IF(J$3=0,"n.b.",INDEX(SRC_Woningetalage!$A$1:$ZZ$501,$A6,J$3)))</f>
        <v>G.900001</v>
      </c>
      <c r="K6" t="str">
        <f>IF($B6="","",IF(K$3=0,"n.b.",INDEX(SRC_Woningetalage!$A$1:$ZZ$501,$A6,K$3)))</f>
        <v>Lindehaven, Parkzoom fase 1</v>
      </c>
      <c r="L6" t="str">
        <f>IF($B6="","",IF(L$3=0,"n.b.",INDEX(SRC_Woningetalage!$A$1:$ZZ$501,$A6,L$3)))</f>
        <v>Lindehaven, Parkzoom fase 1</v>
      </c>
      <c r="M6" t="str">
        <f>IF($B6="","",IF(M$3=0,"n.b.",INDEX(SRC_Woningetalage!$A$1:$ZZ$501,$A6,M$3)))</f>
        <v>100</v>
      </c>
      <c r="N6">
        <f>IF($B6="","",IF(N$3=0,"n.b.",INDEX(SRC_Woningetalage!$A$1:$ZZ$501,$A6,N$3)))</f>
        <v>45931.0</v>
      </c>
      <c r="O6">
        <f>IF($B6="","",IF(O$3=0,"n.b.",INDEX(SRC_Woningetalage!$A$1:$ZZ$501,$A6,O$3)))</f>
        <v>46023.0</v>
      </c>
      <c r="P6">
        <f>IF($B6="","",IF(P$3=0,"n.b.",INDEX(SRC_Woningetalage!$A$1:$ZZ$501,$A6,P$3)))</f>
        <v>47088.0</v>
      </c>
      <c r="Q6" s="124">
        <f>IF($B6="","",IF(Q$3=0,"n.b.",INDEX(SRC_Woningetalage!$A$1:$ZZ$501,$A6,Q$3)))</f>
        <v>32</v>
      </c>
      <c r="R6" s="124">
        <f>IF($B6="","",IF(R$3=0,"n.b.",INDEX(SRC_Woningetalage!$A$1:$ZZ$501,$A6,R$3)))</f>
        <v>0</v>
      </c>
      <c r="S6" s="124">
        <f>IF($B6="","",IF(S$3=0,"n.b.",INDEX(SRC_Woningetalage!$A$1:$ZZ$501,$A6,S$3)))</f>
        <v>6</v>
      </c>
      <c r="T6" s="124">
        <f>IF($B6="","",IF(T$3=0,"n.b.",INDEX(SRC_Woningetalage!$A$1:$ZZ$501,$A6,T$3)))</f>
        <v>6</v>
      </c>
      <c r="U6" s="124">
        <f>IF($B6="","",IF(U$3=0,"n.b.",INDEX(SRC_Woningetalage!$A$1:$ZZ$501,$A6,U$3)))</f>
        <v>0</v>
      </c>
      <c r="V6" s="124">
        <f>IF($B6="","",IF(V$3=0,"n.b.",INDEX(SRC_Woningetalage!$A$1:$ZZ$501,$A6,V$3)))</f>
        <v>2</v>
      </c>
      <c r="W6" s="124">
        <f>IF($B6="","",IF(W$3=0,"n.b.",INDEX(SRC_Woningetalage!$A$1:$ZZ$501,$A6,W$3)))</f>
        <v>2</v>
      </c>
      <c r="X6" s="124">
        <f>IF($B6="","",IF(X$3=0,"n.b.",INDEX(SRC_Woningetalage!$A$1:$ZZ$501,$A6,X$3)))</f>
        <v>0</v>
      </c>
      <c r="Y6" s="124">
        <f>IF($B6="","",IF(Y$3=0,"n.b.",INDEX(SRC_Woningetalage!$A$1:$ZZ$501,$A6,Y$3)))</f>
        <v>8</v>
      </c>
      <c r="Z6" s="124">
        <f>IF($B6="","",IF(Z$3=0,"n.b.",INDEX(SRC_Woningetalage!$A$1:$ZZ$501,$A6,Z$3)))</f>
        <v>8</v>
      </c>
      <c r="AA6" s="124">
        <f>IF($B6="","",IF(AA$3=0,"n.b.",INDEX(SRC_Woningetalage!$A$1:$ZZ$501,$A6,AA$3)))</f>
        <v>24</v>
      </c>
      <c r="AB6" s="124">
        <f>IF($B6="","",IF(AB$3=0,"n.b.",INDEX(SRC_Woningetalage!$A$1:$ZZ$501,$A6,AB$3)))</f>
        <v>0</v>
      </c>
      <c r="AC6" s="124">
        <f>IF($B6="","",IF(AC$3=0,"n.b.",INDEX(SRC_Woningetalage!$A$1:$ZZ$501,$A6,AC$3)))</f>
        <v>0</v>
      </c>
      <c r="AD6" s="124">
        <f>IF($B6="","",IF(AD$3=0,"n.b.",INDEX(SRC_Woningetalage!$A$1:$ZZ$501,$A6,AD$3)))</f>
        <v>0</v>
      </c>
      <c r="AE6" s="124">
        <f>IF($B6="","",IF(AE$3=0,"n.b.",INDEX(SRC_Woningetalage!$A$1:$ZZ$501,$A6,AE$3)))</f>
        <v>0</v>
      </c>
      <c r="AF6" s="124">
        <f>IF($B6="","",IF(AF$3=0,"n.b.",INDEX(SRC_Woningetalage!$A$1:$ZZ$501,$A6,AF$3)))</f>
        <v>1</v>
      </c>
      <c r="AG6" s="124">
        <f>IF($B6="","",IF(AG$3=0,"n.b.",INDEX(SRC_Woningetalage!$A$1:$ZZ$501,$A6,AG$3)))</f>
        <v>0</v>
      </c>
      <c r="AH6" s="124">
        <f>IF($B6="","",IF(AH$3=0,"n.b.",INDEX(SRC_Woningetalage!$A$1:$ZZ$501,$A6,AH$3)))</f>
        <v>0</v>
      </c>
      <c r="AI6" s="124">
        <f>IF($B6="","",IF(AI$3=0,"n.b.",INDEX(SRC_Woningetalage!$A$1:$ZZ$501,$A6,AI$3)))</f>
        <v>1</v>
      </c>
      <c r="AJ6" s="124">
        <f>IF($B6="","",IF(AJ$3=0,"n.b.",INDEX(SRC_Woningetalage!$A$1:$ZZ$501,$A6,AJ$3)))</f>
        <v>0</v>
      </c>
      <c r="AK6" s="124">
        <f>IF($B6="","",IF(AK$3=0,"n.b.",INDEX(SRC_Woningetalage!$A$1:$ZZ$501,$A6,AK$3)))</f>
        <v>0</v>
      </c>
      <c r="AL6" s="124">
        <f>IF($B6="","",IF(AL$3=0,"n.b.",INDEX(SRC_Woningetalage!$A$1:$ZZ$501,$A6,AL$3)))</f>
        <v>0</v>
      </c>
      <c r="AM6" s="124">
        <f>IF($B6="","",IF(AM$3=0,"n.b.",INDEX(SRC_Woningetalage!$A$1:$ZZ$501,$A6,AM$3)))</f>
        <v>6</v>
      </c>
      <c r="AN6" s="124">
        <f>IF($B6="","",IF(AN$3=0,"n.b.",INDEX(SRC_Woningetalage!$A$1:$ZZ$501,$A6,AN$3)))</f>
        <v>3</v>
      </c>
      <c r="AO6" s="124">
        <f>IF($B6="","",IF(AO$3=0,"n.b.",INDEX(SRC_Woningetalage!$A$1:$ZZ$501,$A6,AO$3)))</f>
        <v>3</v>
      </c>
      <c r="AP6" s="124">
        <f>IF($B6="","",IF(AP$3=0,"n.b.",INDEX(SRC_Woningetalage!$A$1:$ZZ$501,$A6,AP$3)))</f>
        <v>3</v>
      </c>
      <c r="AQ6" s="124">
        <f>IF($B6="","",IF(AQ$3=0,"n.b.",INDEX(SRC_Woningetalage!$A$1:$ZZ$501,$A6,AQ$3)))</f>
        <v>3</v>
      </c>
      <c r="AR6" s="124">
        <f>IF($B6="","",IF(AR$3=0,"n.b.",INDEX(SRC_Woningetalage!$A$1:$ZZ$501,$A6,AR$3)))</f>
        <v>8</v>
      </c>
      <c r="AS6" s="124">
        <f>IF($B6="","",IF(AS$3=0,"n.b.",INDEX(SRC_Woningetalage!$A$1:$ZZ$501,$A6,AS$3)))</f>
        <v>12</v>
      </c>
      <c r="AT6" s="124">
        <f>IF($B6="","",IF(AT$3=0,"n.b.",INDEX(SRC_Woningetalage!$A$1:$ZZ$501,$A6,AT$3)))</f>
        <v>0</v>
      </c>
      <c r="AU6" s="124">
        <f>IF($B6="","",IF(AU$3=0,"n.b.",INDEX(SRC_Woningetalage!$A$1:$ZZ$501,$A6,AU$3)))</f>
        <v>6</v>
      </c>
      <c r="AV6" s="124">
        <f>IF($B6="","",IF(AV$3=0,"n.b.",INDEX(SRC_Woningetalage!$A$1:$ZZ$501,$A6,AV$3)))</f>
        <v>0</v>
      </c>
      <c r="AW6" s="124">
        <f>IF($B6="","",IF(AW$3=0,"n.b.",INDEX(SRC_Woningetalage!$A$1:$ZZ$501,$A6,AW$3)))</f>
        <v>0</v>
      </c>
      <c r="AX6" s="124">
        <f>IF($B6="","",IF(AX$3=0,"n.b.",INDEX(SRC_Woningetalage!$A$1:$ZZ$501,$A6,AX$3)))</f>
        <v>0</v>
      </c>
      <c r="AY6" s="124">
        <f>IF($B6="","",IF(AY$3=0,"n.b.",INDEX(SRC_Woningetalage!$A$1:$ZZ$501,$A6,AY$3)))</f>
        <v>0</v>
      </c>
      <c r="AZ6" s="124">
        <f>IF($B6="","",IF(AZ$3=0,"n.b.",INDEX(SRC_Woningetalage!$A$1:$ZZ$501,$A6,AZ$3)))</f>
        <v>0</v>
      </c>
      <c r="BA6" s="124">
        <f>IF($B6="","",IF(BA$3=0,"n.b.",INDEX(SRC_Woningetalage!$A$1:$ZZ$501,$A6,BA$3)))</f>
        <v>0</v>
      </c>
      <c r="BB6" s="124">
        <f>IF($B6="","",IF(BB$3=0,"n.b.",INDEX(SRC_Woningetalage!$A$1:$ZZ$501,$A6,BB$3)))</f>
        <v>0</v>
      </c>
      <c r="BC6" s="124">
        <f>IF($B6="","",IFERROR(_xlfn.NUMBERVALUE(E6&amp;"",",","."),"n.b."))</f>
        <v>100</v>
      </c>
      <c r="BD6" s="124">
        <f>IF($B6="","",IFERROR(_xlfn.NUMBERVALUE(M6&amp;"",",","."),"n.b."))</f>
        <v>100</v>
      </c>
      <c r="BE6" s="124">
        <f>IF($B6="","",IFERROR(AB6+AC6+AD6,"n.b."))</f>
        <v>0</v>
      </c>
      <c r="BF6" s="124">
        <f>IF($B6="","",IFERROR(AE6+AF6+AG6,"n.b."))</f>
        <v>1</v>
      </c>
      <c r="BG6" s="124">
        <f>IF($B6="","",IFERROR(AH6+AI6+AJ6,"n.b."))</f>
        <v>1</v>
      </c>
      <c r="BH6" s="124">
        <f>IF($B6="","",IFERROR(AK6+AL6+AM6,"n.b."))</f>
        <v>6</v>
      </c>
      <c r="BI6" s="124">
        <f>IF($B6="","",IFERROR(SUMIF($AB$5:$AM$5,"&lt;="&amp;P_PeilMaand,AB6:AM6),"n.b."))</f>
        <v>2</v>
      </c>
      <c r="BJ6" s="124">
        <f>IF($B6="","",IFERROR(SUM(AB6:AM6)-BI6,"n.b."))</f>
        <v>6</v>
      </c>
      <c r="BK6" s="124">
        <f>IF($B6="","",IFERROR(IF(ABS(Q6-(T6+SUM(AB6:AM6)+AS6+AU6))&gt;P_Tol,1,0),1))</f>
        <v>0</v>
      </c>
      <c r="BL6" s="124">
        <f>IF($B6="","",IFERROR(IF(ABS(AA6-(Q6-Z6))&gt;P_Tol,1,0),1))</f>
        <v>0</v>
      </c>
      <c r="BM6" s="124">
        <f>IF($B6="","",IFERROR(IF(ABS(Z6-(T6+W6))&gt;P_Tol,1,0),1))</f>
        <v>0</v>
      </c>
      <c r="BN6" s="124">
        <f>IF($B6="","",IFERROR(IF(ABS(W6-BI6)&gt;P_Tol,1,0),1))</f>
        <v>0</v>
      </c>
      <c r="BO6" s="124">
        <f>IF($B6="","",IFERROR(IF(OR(ABS(R6+S6-T6)&gt;P_Tol,ABS(U6+V6-W6)&gt;P_Tol,ABS(X6+Y6-Z6)&gt;P_Tol),1,0),1))</f>
        <v>0</v>
      </c>
      <c r="BP6" s="124">
        <f>IF($B6="","",IFERROR(IF(OR(ABS(AR6-SUM(AB6:AM6))&gt;P_Tol,ABS(AS6-(AN6+AO6+AP6+AQ6))&gt;P_Tol),1,0),1))</f>
        <v>0</v>
      </c>
      <c r="BQ6" s="124">
        <f>IF($B6="","",IFERROR(IF(ABS(AT6)+ABS(AV6)+ABS(AW6)+ABS(AX6)+ABS(AY6)+ABS(AZ6)+ABS(BA6)+ABS(BB6)&gt;0,1,0),1))</f>
        <v>0</v>
      </c>
      <c r="BR6" s="124">
        <f>IF($B6="","",COUNTIF(STG_ZPMW03!$B$6:$B$505,B6))</f>
        <v>1</v>
      </c>
      <c r="BS6" s="124">
        <f>IF($B6="","",COUNTIF($B$6:$B$505,B6))</f>
        <v>1</v>
      </c>
      <c r="BT6" s="124">
        <f>IF($B6="","",IF(BR6=0,0,IF(INDEX(STG_ZPMW03!$I$6:$I$505,MATCH(B6,STG_ZPMW03!$B$6:$B$505,0))=J6&amp;"",0,1)))</f>
        <v>0</v>
      </c>
      <c r="BU6" s="124">
        <f>IF($B6="","",IFERROR(IF(ABS(INDEX(Mapping!$D$5:$D$104,MATCH(B6,Mapping!$A$5:$A$104,0))-Q6)&gt;P_Tol,1,0),0))</f>
        <v>0</v>
      </c>
      <c r="BV6" s="124">
        <f>IF($B6="","",IFERROR(IF(AND(INDEX(Mapping!$G$5:$G$104,MATCH(B6,Mapping!$A$5:$A$104,0))="Nee",ABS(Q6)+ABS(Z6)+ABS(AR6)&gt;0),1,0),0))</f>
        <v>0</v>
      </c>
      <c r="BW6" s="124">
        <f>IF($B6="","",IF(COUNTIF(Mapping!$A$5:$A$104,B6)&gt;0,1,0))</f>
        <v>1</v>
      </c>
      <c r="BX6" s="124" t="str">
        <f>IF($B6="","",IF(BR6=0,COUNTIF($BR$6:BR6,0),""))</f>
        <v/>
      </c>
    </row>
    <row r="7">
      <c r="A7" s="15" t="n">
        <v>3</v>
      </c>
      <c r="B7" t="str">
        <f>IF(B$3=0,"",IF(INDEX(SRC_Woningetalage!$A$1:$ZZ$501,$A7,B$3)&amp;""="","",INDEX(SRC_Woningetalage!$A$1:$ZZ$501,$A7,B$3)&amp;""))</f>
        <v>G.900002.8.9090</v>
      </c>
      <c r="C7">
        <f>IF($B7="","",IF(C$3=0,"n.b.",INDEX(SRC_Woningetalage!$A$1:$ZZ$501,$A7,C$3)))</f>
        <v>9901</v>
      </c>
      <c r="D7" t="str">
        <f>IF($B7="","",IF(D$3=0,"n.b.",INDEX(SRC_Woningetalage!$A$1:$ZZ$501,$A7,D$3)))</f>
        <v>Demo Ontwikkeling BV</v>
      </c>
      <c r="E7" t="str">
        <f>IF($B7="","",IF(E$3=0,"n.b.",INDEX(SRC_Woningetalage!$A$1:$ZZ$501,$A7,E$3)))</f>
        <v>100,00</v>
      </c>
      <c r="F7" t="str">
        <f>IF($B7="","",IF(F$3=0,"n.b.",INDEX(SRC_Woningetalage!$A$1:$ZZ$501,$A7,F$3)))</f>
        <v>08</v>
      </c>
      <c r="G7" t="str">
        <f>IF($B7="","",IF(G$3=0,"n.b.",INDEX(SRC_Woningetalage!$A$1:$ZZ$501,$A7,G$3)))</f>
        <v>Opstalontwikkeling</v>
      </c>
      <c r="H7" t="str">
        <f>IF($B7="","",IF(H$3=0,"n.b.",INDEX(SRC_Woningetalage!$A$1:$ZZ$501,$A7,H$3)))</f>
        <v>9090</v>
      </c>
      <c r="I7" t="str">
        <f>IF($B7="","",IF(I$3=0,"n.b.",INDEX(SRC_Woningetalage!$A$1:$ZZ$501,$A7,I$3)))</f>
        <v>Demo Regio</v>
      </c>
      <c r="J7" t="str">
        <f>IF($B7="","",IF(J$3=0,"n.b.",INDEX(SRC_Woningetalage!$A$1:$ZZ$501,$A7,J$3)))</f>
        <v>G.900002</v>
      </c>
      <c r="K7" t="str">
        <f>IF($B7="","",IF(K$3=0,"n.b.",INDEX(SRC_Woningetalage!$A$1:$ZZ$501,$A7,K$3)))</f>
        <v>Duinwaard, De Watergaarde</v>
      </c>
      <c r="L7" t="str">
        <f>IF($B7="","",IF(L$3=0,"n.b.",INDEX(SRC_Woningetalage!$A$1:$ZZ$501,$A7,L$3)))</f>
        <v>Duinwaard, De Watergaarde</v>
      </c>
      <c r="M7" t="str">
        <f>IF($B7="","",IF(M$3=0,"n.b.",INDEX(SRC_Woningetalage!$A$1:$ZZ$501,$A7,M$3)))</f>
        <v>080</v>
      </c>
      <c r="N7">
        <f>IF($B7="","",IF(N$3=0,"n.b.",INDEX(SRC_Woningetalage!$A$1:$ZZ$501,$A7,N$3)))</f>
        <v>45931.0</v>
      </c>
      <c r="O7">
        <f>IF($B7="","",IF(O$3=0,"n.b.",INDEX(SRC_Woningetalage!$A$1:$ZZ$501,$A7,O$3)))</f>
        <v>46054.0</v>
      </c>
      <c r="P7">
        <f>IF($B7="","",IF(P$3=0,"n.b.",INDEX(SRC_Woningetalage!$A$1:$ZZ$501,$A7,P$3)))</f>
        <v>47088.0</v>
      </c>
      <c r="Q7" s="124">
        <f>IF($B7="","",IF(Q$3=0,"n.b.",INDEX(SRC_Woningetalage!$A$1:$ZZ$501,$A7,Q$3)))</f>
        <v>48</v>
      </c>
      <c r="R7" s="124">
        <f>IF($B7="","",IF(R$3=0,"n.b.",INDEX(SRC_Woningetalage!$A$1:$ZZ$501,$A7,R$3)))</f>
        <v>0</v>
      </c>
      <c r="S7" s="124">
        <f>IF($B7="","",IF(S$3=0,"n.b.",INDEX(SRC_Woningetalage!$A$1:$ZZ$501,$A7,S$3)))</f>
        <v>9</v>
      </c>
      <c r="T7" s="124">
        <f>IF($B7="","",IF(T$3=0,"n.b.",INDEX(SRC_Woningetalage!$A$1:$ZZ$501,$A7,T$3)))</f>
        <v>9</v>
      </c>
      <c r="U7" s="124">
        <f>IF($B7="","",IF(U$3=0,"n.b.",INDEX(SRC_Woningetalage!$A$1:$ZZ$501,$A7,U$3)))</f>
        <v>0</v>
      </c>
      <c r="V7" s="124">
        <f>IF($B7="","",IF(V$3=0,"n.b.",INDEX(SRC_Woningetalage!$A$1:$ZZ$501,$A7,V$3)))</f>
        <v>7</v>
      </c>
      <c r="W7" s="124">
        <f>IF($B7="","",IF(W$3=0,"n.b.",INDEX(SRC_Woningetalage!$A$1:$ZZ$501,$A7,W$3)))</f>
        <v>7</v>
      </c>
      <c r="X7" s="124">
        <f>IF($B7="","",IF(X$3=0,"n.b.",INDEX(SRC_Woningetalage!$A$1:$ZZ$501,$A7,X$3)))</f>
        <v>0</v>
      </c>
      <c r="Y7" s="124">
        <f>IF($B7="","",IF(Y$3=0,"n.b.",INDEX(SRC_Woningetalage!$A$1:$ZZ$501,$A7,Y$3)))</f>
        <v>16</v>
      </c>
      <c r="Z7" s="124">
        <f>IF($B7="","",IF(Z$3=0,"n.b.",INDEX(SRC_Woningetalage!$A$1:$ZZ$501,$A7,Z$3)))</f>
        <v>16</v>
      </c>
      <c r="AA7" s="124">
        <f>IF($B7="","",IF(AA$3=0,"n.b.",INDEX(SRC_Woningetalage!$A$1:$ZZ$501,$A7,AA$3)))</f>
        <v>32</v>
      </c>
      <c r="AB7" s="124">
        <f>IF($B7="","",IF(AB$3=0,"n.b.",INDEX(SRC_Woningetalage!$A$1:$ZZ$501,$A7,AB$3)))</f>
        <v>0</v>
      </c>
      <c r="AC7" s="124">
        <f>IF($B7="","",IF(AC$3=0,"n.b.",INDEX(SRC_Woningetalage!$A$1:$ZZ$501,$A7,AC$3)))</f>
        <v>0</v>
      </c>
      <c r="AD7" s="124">
        <f>IF($B7="","",IF(AD$3=0,"n.b.",INDEX(SRC_Woningetalage!$A$1:$ZZ$501,$A7,AD$3)))</f>
        <v>1</v>
      </c>
      <c r="AE7" s="124">
        <f>IF($B7="","",IF(AE$3=0,"n.b.",INDEX(SRC_Woningetalage!$A$1:$ZZ$501,$A7,AE$3)))</f>
        <v>1</v>
      </c>
      <c r="AF7" s="124">
        <f>IF($B7="","",IF(AF$3=0,"n.b.",INDEX(SRC_Woningetalage!$A$1:$ZZ$501,$A7,AF$3)))</f>
        <v>1</v>
      </c>
      <c r="AG7" s="124">
        <f>IF($B7="","",IF(AG$3=0,"n.b.",INDEX(SRC_Woningetalage!$A$1:$ZZ$501,$A7,AG$3)))</f>
        <v>1</v>
      </c>
      <c r="AH7" s="124">
        <f>IF($B7="","",IF(AH$3=0,"n.b.",INDEX(SRC_Woningetalage!$A$1:$ZZ$501,$A7,AH$3)))</f>
        <v>1</v>
      </c>
      <c r="AI7" s="124">
        <f>IF($B7="","",IF(AI$3=0,"n.b.",INDEX(SRC_Woningetalage!$A$1:$ZZ$501,$A7,AI$3)))</f>
        <v>1</v>
      </c>
      <c r="AJ7" s="124">
        <f>IF($B7="","",IF(AJ$3=0,"n.b.",INDEX(SRC_Woningetalage!$A$1:$ZZ$501,$A7,AJ$3)))</f>
        <v>1</v>
      </c>
      <c r="AK7" s="124">
        <f>IF($B7="","",IF(AK$3=0,"n.b.",INDEX(SRC_Woningetalage!$A$1:$ZZ$501,$A7,AK$3)))</f>
        <v>0</v>
      </c>
      <c r="AL7" s="124">
        <f>IF($B7="","",IF(AL$3=0,"n.b.",INDEX(SRC_Woningetalage!$A$1:$ZZ$501,$A7,AL$3)))</f>
        <v>0</v>
      </c>
      <c r="AM7" s="124">
        <f>IF($B7="","",IF(AM$3=0,"n.b.",INDEX(SRC_Woningetalage!$A$1:$ZZ$501,$A7,AM$3)))</f>
        <v>6</v>
      </c>
      <c r="AN7" s="124">
        <f>IF($B7="","",IF(AN$3=0,"n.b.",INDEX(SRC_Woningetalage!$A$1:$ZZ$501,$A7,AN$3)))</f>
        <v>5</v>
      </c>
      <c r="AO7" s="124">
        <f>IF($B7="","",IF(AO$3=0,"n.b.",INDEX(SRC_Woningetalage!$A$1:$ZZ$501,$A7,AO$3)))</f>
        <v>4</v>
      </c>
      <c r="AP7" s="124">
        <f>IF($B7="","",IF(AP$3=0,"n.b.",INDEX(SRC_Woningetalage!$A$1:$ZZ$501,$A7,AP$3)))</f>
        <v>4</v>
      </c>
      <c r="AQ7" s="124">
        <f>IF($B7="","",IF(AQ$3=0,"n.b.",INDEX(SRC_Woningetalage!$A$1:$ZZ$501,$A7,AQ$3)))</f>
        <v>4</v>
      </c>
      <c r="AR7" s="124">
        <f>IF($B7="","",IF(AR$3=0,"n.b.",INDEX(SRC_Woningetalage!$A$1:$ZZ$501,$A7,AR$3)))</f>
        <v>13</v>
      </c>
      <c r="AS7" s="124">
        <f>IF($B7="","",IF(AS$3=0,"n.b.",INDEX(SRC_Woningetalage!$A$1:$ZZ$501,$A7,AS$3)))</f>
        <v>17</v>
      </c>
      <c r="AT7" s="124">
        <f>IF($B7="","",IF(AT$3=0,"n.b.",INDEX(SRC_Woningetalage!$A$1:$ZZ$501,$A7,AT$3)))</f>
        <v>0</v>
      </c>
      <c r="AU7" s="124">
        <f>IF($B7="","",IF(AU$3=0,"n.b.",INDEX(SRC_Woningetalage!$A$1:$ZZ$501,$A7,AU$3)))</f>
        <v>9</v>
      </c>
      <c r="AV7" s="124">
        <f>IF($B7="","",IF(AV$3=0,"n.b.",INDEX(SRC_Woningetalage!$A$1:$ZZ$501,$A7,AV$3)))</f>
        <v>0</v>
      </c>
      <c r="AW7" s="124">
        <f>IF($B7="","",IF(AW$3=0,"n.b.",INDEX(SRC_Woningetalage!$A$1:$ZZ$501,$A7,AW$3)))</f>
        <v>0</v>
      </c>
      <c r="AX7" s="124">
        <f>IF($B7="","",IF(AX$3=0,"n.b.",INDEX(SRC_Woningetalage!$A$1:$ZZ$501,$A7,AX$3)))</f>
        <v>0</v>
      </c>
      <c r="AY7" s="124">
        <f>IF($B7="","",IF(AY$3=0,"n.b.",INDEX(SRC_Woningetalage!$A$1:$ZZ$501,$A7,AY$3)))</f>
        <v>0</v>
      </c>
      <c r="AZ7" s="124">
        <f>IF($B7="","",IF(AZ$3=0,"n.b.",INDEX(SRC_Woningetalage!$A$1:$ZZ$501,$A7,AZ$3)))</f>
        <v>0</v>
      </c>
      <c r="BA7" s="124">
        <f>IF($B7="","",IF(BA$3=0,"n.b.",INDEX(SRC_Woningetalage!$A$1:$ZZ$501,$A7,BA$3)))</f>
        <v>0</v>
      </c>
      <c r="BB7" s="124">
        <f>IF($B7="","",IF(BB$3=0,"n.b.",INDEX(SRC_Woningetalage!$A$1:$ZZ$501,$A7,BB$3)))</f>
        <v>0</v>
      </c>
      <c r="BC7" s="124">
        <f>IF($B7="","",IFERROR(_xlfn.NUMBERVALUE(E7&amp;"",",","."),"n.b."))</f>
        <v>100</v>
      </c>
      <c r="BD7" s="124">
        <f>IF($B7="","",IFERROR(_xlfn.NUMBERVALUE(M7&amp;"",",","."),"n.b."))</f>
        <v>80</v>
      </c>
      <c r="BE7" s="124">
        <f>IF($B7="","",IFERROR(AB7+AC7+AD7,"n.b."))</f>
        <v>1</v>
      </c>
      <c r="BF7" s="124">
        <f>IF($B7="","",IFERROR(AE7+AF7+AG7,"n.b."))</f>
        <v>3</v>
      </c>
      <c r="BG7" s="124">
        <f>IF($B7="","",IFERROR(AH7+AI7+AJ7,"n.b."))</f>
        <v>3</v>
      </c>
      <c r="BH7" s="124">
        <f>IF($B7="","",IFERROR(AK7+AL7+AM7,"n.b."))</f>
        <v>6</v>
      </c>
      <c r="BI7" s="124">
        <f>IF($B7="","",IFERROR(SUMIF($AB$5:$AM$5,"&lt;="&amp;P_PeilMaand,AB7:AM7),"n.b."))</f>
        <v>7</v>
      </c>
      <c r="BJ7" s="124">
        <f>IF($B7="","",IFERROR(SUM(AB7:AM7)-BI7,"n.b."))</f>
        <v>6</v>
      </c>
      <c r="BK7" s="124">
        <f>IF($B7="","",IFERROR(IF(ABS(Q7-(T7+SUM(AB7:AM7)+AS7+AU7))&gt;P_Tol,1,0),1))</f>
        <v>0</v>
      </c>
      <c r="BL7" s="124">
        <f>IF($B7="","",IFERROR(IF(ABS(AA7-(Q7-Z7))&gt;P_Tol,1,0),1))</f>
        <v>0</v>
      </c>
      <c r="BM7" s="124">
        <f>IF($B7="","",IFERROR(IF(ABS(Z7-(T7+W7))&gt;P_Tol,1,0),1))</f>
        <v>0</v>
      </c>
      <c r="BN7" s="124">
        <f>IF($B7="","",IFERROR(IF(ABS(W7-BI7)&gt;P_Tol,1,0),1))</f>
        <v>0</v>
      </c>
      <c r="BO7" s="124">
        <f>IF($B7="","",IFERROR(IF(OR(ABS(R7+S7-T7)&gt;P_Tol,ABS(U7+V7-W7)&gt;P_Tol,ABS(X7+Y7-Z7)&gt;P_Tol),1,0),1))</f>
        <v>0</v>
      </c>
      <c r="BP7" s="124">
        <f>IF($B7="","",IFERROR(IF(OR(ABS(AR7-SUM(AB7:AM7))&gt;P_Tol,ABS(AS7-(AN7+AO7+AP7+AQ7))&gt;P_Tol),1,0),1))</f>
        <v>0</v>
      </c>
      <c r="BQ7" s="124">
        <f>IF($B7="","",IFERROR(IF(ABS(AT7)+ABS(AV7)+ABS(AW7)+ABS(AX7)+ABS(AY7)+ABS(AZ7)+ABS(BA7)+ABS(BB7)&gt;0,1,0),1))</f>
        <v>0</v>
      </c>
      <c r="BR7" s="124">
        <f>IF($B7="","",COUNTIF(STG_ZPMW03!$B$6:$B$505,B7))</f>
        <v>1</v>
      </c>
      <c r="BS7" s="124">
        <f>IF($B7="","",COUNTIF($B$6:$B$505,B7))</f>
        <v>1</v>
      </c>
      <c r="BT7" s="124">
        <f>IF($B7="","",IF(BR7=0,0,IF(INDEX(STG_ZPMW03!$I$6:$I$505,MATCH(B7,STG_ZPMW03!$B$6:$B$505,0))=J7&amp;"",0,1)))</f>
        <v>0</v>
      </c>
      <c r="BU7" s="124">
        <f>IF($B7="","",IFERROR(IF(ABS(INDEX(Mapping!$D$5:$D$104,MATCH(B7,Mapping!$A$5:$A$104,0))-Q7)&gt;P_Tol,1,0),0))</f>
        <v>0</v>
      </c>
      <c r="BV7" s="124">
        <f>IF($B7="","",IFERROR(IF(AND(INDEX(Mapping!$G$5:$G$104,MATCH(B7,Mapping!$A$5:$A$104,0))="Nee",ABS(Q7)+ABS(Z7)+ABS(AR7)&gt;0),1,0),0))</f>
        <v>0</v>
      </c>
      <c r="BW7" s="124">
        <f>IF($B7="","",IF(COUNTIF(Mapping!$A$5:$A$104,B7)&gt;0,1,0))</f>
        <v>1</v>
      </c>
      <c r="BX7" s="124" t="str">
        <f>IF($B7="","",IF(BR7=0,COUNTIF($BR$6:BR7,0),""))</f>
        <v/>
      </c>
    </row>
    <row r="8">
      <c r="A8" s="15" t="n">
        <v>4</v>
      </c>
      <c r="B8" t="str">
        <f>IF(B$3=0,"",IF(INDEX(SRC_Woningetalage!$A$1:$ZZ$501,$A8,B$3)&amp;""="","",INDEX(SRC_Woningetalage!$A$1:$ZZ$501,$A8,B$3)&amp;""))</f>
        <v>G.900003.8.9090</v>
      </c>
      <c r="C8">
        <f>IF($B8="","",IF(C$3=0,"n.b.",INDEX(SRC_Woningetalage!$A$1:$ZZ$501,$A8,C$3)))</f>
        <v>9901</v>
      </c>
      <c r="D8" t="str">
        <f>IF($B8="","",IF(D$3=0,"n.b.",INDEX(SRC_Woningetalage!$A$1:$ZZ$501,$A8,D$3)))</f>
        <v>Demo Ontwikkeling BV</v>
      </c>
      <c r="E8" t="str">
        <f>IF($B8="","",IF(E$3=0,"n.b.",INDEX(SRC_Woningetalage!$A$1:$ZZ$501,$A8,E$3)))</f>
        <v>100,00</v>
      </c>
      <c r="F8" t="str">
        <f>IF($B8="","",IF(F$3=0,"n.b.",INDEX(SRC_Woningetalage!$A$1:$ZZ$501,$A8,F$3)))</f>
        <v>08</v>
      </c>
      <c r="G8" t="str">
        <f>IF($B8="","",IF(G$3=0,"n.b.",INDEX(SRC_Woningetalage!$A$1:$ZZ$501,$A8,G$3)))</f>
        <v>Opstalontwikkeling</v>
      </c>
      <c r="H8" t="str">
        <f>IF($B8="","",IF(H$3=0,"n.b.",INDEX(SRC_Woningetalage!$A$1:$ZZ$501,$A8,H$3)))</f>
        <v>9090</v>
      </c>
      <c r="I8" t="str">
        <f>IF($B8="","",IF(I$3=0,"n.b.",INDEX(SRC_Woningetalage!$A$1:$ZZ$501,$A8,I$3)))</f>
        <v>Demo Regio</v>
      </c>
      <c r="J8" t="str">
        <f>IF($B8="","",IF(J$3=0,"n.b.",INDEX(SRC_Woningetalage!$A$1:$ZZ$501,$A8,J$3)))</f>
        <v>G.900003</v>
      </c>
      <c r="K8" t="str">
        <f>IF($B8="","",IF(K$3=0,"n.b.",INDEX(SRC_Woningetalage!$A$1:$ZZ$501,$A8,K$3)))</f>
        <v>Veldendam, Stationshof</v>
      </c>
      <c r="L8" t="str">
        <f>IF($B8="","",IF(L$3=0,"n.b.",INDEX(SRC_Woningetalage!$A$1:$ZZ$501,$A8,L$3)))</f>
        <v>Veldendam, Stationshof</v>
      </c>
      <c r="M8" t="str">
        <f>IF($B8="","",IF(M$3=0,"n.b.",INDEX(SRC_Woningetalage!$A$1:$ZZ$501,$A8,M$3)))</f>
        <v>060</v>
      </c>
      <c r="N8">
        <f>IF($B8="","",IF(N$3=0,"n.b.",INDEX(SRC_Woningetalage!$A$1:$ZZ$501,$A8,N$3)))</f>
        <v>45931.0</v>
      </c>
      <c r="O8">
        <f>IF($B8="","",IF(O$3=0,"n.b.",INDEX(SRC_Woningetalage!$A$1:$ZZ$501,$A8,O$3)))</f>
        <v>46082.0</v>
      </c>
      <c r="P8">
        <f>IF($B8="","",IF(P$3=0,"n.b.",INDEX(SRC_Woningetalage!$A$1:$ZZ$501,$A8,P$3)))</f>
        <v>47088.0</v>
      </c>
      <c r="Q8" s="124">
        <f>IF($B8="","",IF(Q$3=0,"n.b.",INDEX(SRC_Woningetalage!$A$1:$ZZ$501,$A8,Q$3)))</f>
        <v>76</v>
      </c>
      <c r="R8" s="124">
        <f>IF($B8="","",IF(R$3=0,"n.b.",INDEX(SRC_Woningetalage!$A$1:$ZZ$501,$A8,R$3)))</f>
        <v>15</v>
      </c>
      <c r="S8" s="124">
        <f>IF($B8="","",IF(S$3=0,"n.b.",INDEX(SRC_Woningetalage!$A$1:$ZZ$501,$A8,S$3)))</f>
        <v>0</v>
      </c>
      <c r="T8" s="124">
        <f>IF($B8="","",IF(T$3=0,"n.b.",INDEX(SRC_Woningetalage!$A$1:$ZZ$501,$A8,T$3)))</f>
        <v>15</v>
      </c>
      <c r="U8" s="124">
        <f>IF($B8="","",IF(U$3=0,"n.b.",INDEX(SRC_Woningetalage!$A$1:$ZZ$501,$A8,U$3)))</f>
        <v>9</v>
      </c>
      <c r="V8" s="124">
        <f>IF($B8="","",IF(V$3=0,"n.b.",INDEX(SRC_Woningetalage!$A$1:$ZZ$501,$A8,V$3)))</f>
        <v>0</v>
      </c>
      <c r="W8" s="124">
        <f>IF($B8="","",IF(W$3=0,"n.b.",INDEX(SRC_Woningetalage!$A$1:$ZZ$501,$A8,W$3)))</f>
        <v>9</v>
      </c>
      <c r="X8" s="124">
        <f>IF($B8="","",IF(X$3=0,"n.b.",INDEX(SRC_Woningetalage!$A$1:$ZZ$501,$A8,X$3)))</f>
        <v>24</v>
      </c>
      <c r="Y8" s="124">
        <f>IF($B8="","",IF(Y$3=0,"n.b.",INDEX(SRC_Woningetalage!$A$1:$ZZ$501,$A8,Y$3)))</f>
        <v>0</v>
      </c>
      <c r="Z8" s="124">
        <f>IF($B8="","",IF(Z$3=0,"n.b.",INDEX(SRC_Woningetalage!$A$1:$ZZ$501,$A8,Z$3)))</f>
        <v>24</v>
      </c>
      <c r="AA8" s="124">
        <f>IF($B8="","",IF(AA$3=0,"n.b.",INDEX(SRC_Woningetalage!$A$1:$ZZ$501,$A8,AA$3)))</f>
        <v>52</v>
      </c>
      <c r="AB8" s="124">
        <f>IF($B8="","",IF(AB$3=0,"n.b.",INDEX(SRC_Woningetalage!$A$1:$ZZ$501,$A8,AB$3)))</f>
        <v>0</v>
      </c>
      <c r="AC8" s="124">
        <f>IF($B8="","",IF(AC$3=0,"n.b.",INDEX(SRC_Woningetalage!$A$1:$ZZ$501,$A8,AC$3)))</f>
        <v>0</v>
      </c>
      <c r="AD8" s="124">
        <f>IF($B8="","",IF(AD$3=0,"n.b.",INDEX(SRC_Woningetalage!$A$1:$ZZ$501,$A8,AD$3)))</f>
        <v>1</v>
      </c>
      <c r="AE8" s="124">
        <f>IF($B8="","",IF(AE$3=0,"n.b.",INDEX(SRC_Woningetalage!$A$1:$ZZ$501,$A8,AE$3)))</f>
        <v>1</v>
      </c>
      <c r="AF8" s="124">
        <f>IF($B8="","",IF(AF$3=0,"n.b.",INDEX(SRC_Woningetalage!$A$1:$ZZ$501,$A8,AF$3)))</f>
        <v>2</v>
      </c>
      <c r="AG8" s="124">
        <f>IF($B8="","",IF(AG$3=0,"n.b.",INDEX(SRC_Woningetalage!$A$1:$ZZ$501,$A8,AG$3)))</f>
        <v>1</v>
      </c>
      <c r="AH8" s="124">
        <f>IF($B8="","",IF(AH$3=0,"n.b.",INDEX(SRC_Woningetalage!$A$1:$ZZ$501,$A8,AH$3)))</f>
        <v>1</v>
      </c>
      <c r="AI8" s="124">
        <f>IF($B8="","",IF(AI$3=0,"n.b.",INDEX(SRC_Woningetalage!$A$1:$ZZ$501,$A8,AI$3)))</f>
        <v>2</v>
      </c>
      <c r="AJ8" s="124">
        <f>IF($B8="","",IF(AJ$3=0,"n.b.",INDEX(SRC_Woningetalage!$A$1:$ZZ$501,$A8,AJ$3)))</f>
        <v>1</v>
      </c>
      <c r="AK8" s="124">
        <f>IF($B8="","",IF(AK$3=0,"n.b.",INDEX(SRC_Woningetalage!$A$1:$ZZ$501,$A8,AK$3)))</f>
        <v>0</v>
      </c>
      <c r="AL8" s="124">
        <f>IF($B8="","",IF(AL$3=0,"n.b.",INDEX(SRC_Woningetalage!$A$1:$ZZ$501,$A8,AL$3)))</f>
        <v>0</v>
      </c>
      <c r="AM8" s="124">
        <f>IF($B8="","",IF(AM$3=0,"n.b.",INDEX(SRC_Woningetalage!$A$1:$ZZ$501,$A8,AM$3)))</f>
        <v>11</v>
      </c>
      <c r="AN8" s="124">
        <f>IF($B8="","",IF(AN$3=0,"n.b.",INDEX(SRC_Woningetalage!$A$1:$ZZ$501,$A8,AN$3)))</f>
        <v>8</v>
      </c>
      <c r="AO8" s="124">
        <f>IF($B8="","",IF(AO$3=0,"n.b.",INDEX(SRC_Woningetalage!$A$1:$ZZ$501,$A8,AO$3)))</f>
        <v>6</v>
      </c>
      <c r="AP8" s="124">
        <f>IF($B8="","",IF(AP$3=0,"n.b.",INDEX(SRC_Woningetalage!$A$1:$ZZ$501,$A8,AP$3)))</f>
        <v>6</v>
      </c>
      <c r="AQ8" s="124">
        <f>IF($B8="","",IF(AQ$3=0,"n.b.",INDEX(SRC_Woningetalage!$A$1:$ZZ$501,$A8,AQ$3)))</f>
        <v>7</v>
      </c>
      <c r="AR8" s="124">
        <f>IF($B8="","",IF(AR$3=0,"n.b.",INDEX(SRC_Woningetalage!$A$1:$ZZ$501,$A8,AR$3)))</f>
        <v>20</v>
      </c>
      <c r="AS8" s="124">
        <f>IF($B8="","",IF(AS$3=0,"n.b.",INDEX(SRC_Woningetalage!$A$1:$ZZ$501,$A8,AS$3)))</f>
        <v>27</v>
      </c>
      <c r="AT8" s="124">
        <f>IF($B8="","",IF(AT$3=0,"n.b.",INDEX(SRC_Woningetalage!$A$1:$ZZ$501,$A8,AT$3)))</f>
        <v>0</v>
      </c>
      <c r="AU8" s="124">
        <f>IF($B8="","",IF(AU$3=0,"n.b.",INDEX(SRC_Woningetalage!$A$1:$ZZ$501,$A8,AU$3)))</f>
        <v>14</v>
      </c>
      <c r="AV8" s="124">
        <f>IF($B8="","",IF(AV$3=0,"n.b.",INDEX(SRC_Woningetalage!$A$1:$ZZ$501,$A8,AV$3)))</f>
        <v>0</v>
      </c>
      <c r="AW8" s="124">
        <f>IF($B8="","",IF(AW$3=0,"n.b.",INDEX(SRC_Woningetalage!$A$1:$ZZ$501,$A8,AW$3)))</f>
        <v>0</v>
      </c>
      <c r="AX8" s="124">
        <f>IF($B8="","",IF(AX$3=0,"n.b.",INDEX(SRC_Woningetalage!$A$1:$ZZ$501,$A8,AX$3)))</f>
        <v>0</v>
      </c>
      <c r="AY8" s="124">
        <f>IF($B8="","",IF(AY$3=0,"n.b.",INDEX(SRC_Woningetalage!$A$1:$ZZ$501,$A8,AY$3)))</f>
        <v>0</v>
      </c>
      <c r="AZ8" s="124">
        <f>IF($B8="","",IF(AZ$3=0,"n.b.",INDEX(SRC_Woningetalage!$A$1:$ZZ$501,$A8,AZ$3)))</f>
        <v>0</v>
      </c>
      <c r="BA8" s="124">
        <f>IF($B8="","",IF(BA$3=0,"n.b.",INDEX(SRC_Woningetalage!$A$1:$ZZ$501,$A8,BA$3)))</f>
        <v>0</v>
      </c>
      <c r="BB8" s="124">
        <f>IF($B8="","",IF(BB$3=0,"n.b.",INDEX(SRC_Woningetalage!$A$1:$ZZ$501,$A8,BB$3)))</f>
        <v>0</v>
      </c>
      <c r="BC8" s="124">
        <f>IF($B8="","",IFERROR(_xlfn.NUMBERVALUE(E8&amp;"",",","."),"n.b."))</f>
        <v>100</v>
      </c>
      <c r="BD8" s="124">
        <f>IF($B8="","",IFERROR(_xlfn.NUMBERVALUE(M8&amp;"",",","."),"n.b."))</f>
        <v>60</v>
      </c>
      <c r="BE8" s="124">
        <f>IF($B8="","",IFERROR(AB8+AC8+AD8,"n.b."))</f>
        <v>1</v>
      </c>
      <c r="BF8" s="124">
        <f>IF($B8="","",IFERROR(AE8+AF8+AG8,"n.b."))</f>
        <v>4</v>
      </c>
      <c r="BG8" s="124">
        <f>IF($B8="","",IFERROR(AH8+AI8+AJ8,"n.b."))</f>
        <v>4</v>
      </c>
      <c r="BH8" s="124">
        <f>IF($B8="","",IFERROR(AK8+AL8+AM8,"n.b."))</f>
        <v>11</v>
      </c>
      <c r="BI8" s="124">
        <f>IF($B8="","",IFERROR(SUMIF($AB$5:$AM$5,"&lt;="&amp;P_PeilMaand,AB8:AM8),"n.b."))</f>
        <v>9</v>
      </c>
      <c r="BJ8" s="124">
        <f>IF($B8="","",IFERROR(SUM(AB8:AM8)-BI8,"n.b."))</f>
        <v>11</v>
      </c>
      <c r="BK8" s="124">
        <f>IF($B8="","",IFERROR(IF(ABS(Q8-(T8+SUM(AB8:AM8)+AS8+AU8))&gt;P_Tol,1,0),1))</f>
        <v>0</v>
      </c>
      <c r="BL8" s="124">
        <f>IF($B8="","",IFERROR(IF(ABS(AA8-(Q8-Z8))&gt;P_Tol,1,0),1))</f>
        <v>0</v>
      </c>
      <c r="BM8" s="124">
        <f>IF($B8="","",IFERROR(IF(ABS(Z8-(T8+W8))&gt;P_Tol,1,0),1))</f>
        <v>0</v>
      </c>
      <c r="BN8" s="124">
        <f>IF($B8="","",IFERROR(IF(ABS(W8-BI8)&gt;P_Tol,1,0),1))</f>
        <v>0</v>
      </c>
      <c r="BO8" s="124">
        <f>IF($B8="","",IFERROR(IF(OR(ABS(R8+S8-T8)&gt;P_Tol,ABS(U8+V8-W8)&gt;P_Tol,ABS(X8+Y8-Z8)&gt;P_Tol),1,0),1))</f>
        <v>0</v>
      </c>
      <c r="BP8" s="124">
        <f>IF($B8="","",IFERROR(IF(OR(ABS(AR8-SUM(AB8:AM8))&gt;P_Tol,ABS(AS8-(AN8+AO8+AP8+AQ8))&gt;P_Tol),1,0),1))</f>
        <v>0</v>
      </c>
      <c r="BQ8" s="124">
        <f>IF($B8="","",IFERROR(IF(ABS(AT8)+ABS(AV8)+ABS(AW8)+ABS(AX8)+ABS(AY8)+ABS(AZ8)+ABS(BA8)+ABS(BB8)&gt;0,1,0),1))</f>
        <v>0</v>
      </c>
      <c r="BR8" s="124">
        <f>IF($B8="","",COUNTIF(STG_ZPMW03!$B$6:$B$505,B8))</f>
        <v>1</v>
      </c>
      <c r="BS8" s="124">
        <f>IF($B8="","",COUNTIF($B$6:$B$505,B8))</f>
        <v>1</v>
      </c>
      <c r="BT8" s="124">
        <f>IF($B8="","",IF(BR8=0,0,IF(INDEX(STG_ZPMW03!$I$6:$I$505,MATCH(B8,STG_ZPMW03!$B$6:$B$505,0))=J8&amp;"",0,1)))</f>
        <v>0</v>
      </c>
      <c r="BU8" s="124">
        <f>IF($B8="","",IFERROR(IF(ABS(INDEX(Mapping!$D$5:$D$104,MATCH(B8,Mapping!$A$5:$A$104,0))-Q8)&gt;P_Tol,1,0),0))</f>
        <v>0</v>
      </c>
      <c r="BV8" s="124">
        <f>IF($B8="","",IFERROR(IF(AND(INDEX(Mapping!$G$5:$G$104,MATCH(B8,Mapping!$A$5:$A$104,0))="Nee",ABS(Q8)+ABS(Z8)+ABS(AR8)&gt;0),1,0),0))</f>
        <v>0</v>
      </c>
      <c r="BW8" s="124">
        <f>IF($B8="","",IF(COUNTIF(Mapping!$A$5:$A$104,B8)&gt;0,1,0))</f>
        <v>1</v>
      </c>
      <c r="BX8" s="124" t="str">
        <f>IF($B8="","",IF(BR8=0,COUNTIF($BR$6:BR8,0),""))</f>
        <v/>
      </c>
    </row>
    <row r="9">
      <c r="A9" s="15" t="n">
        <v>5</v>
      </c>
      <c r="B9" t="str">
        <f>IF(B$3=0,"",IF(INDEX(SRC_Woningetalage!$A$1:$ZZ$501,$A9,B$3)&amp;""="","",INDEX(SRC_Woningetalage!$A$1:$ZZ$501,$A9,B$3)&amp;""))</f>
        <v>G.900004.8.9090</v>
      </c>
      <c r="C9">
        <f>IF($B9="","",IF(C$3=0,"n.b.",INDEX(SRC_Woningetalage!$A$1:$ZZ$501,$A9,C$3)))</f>
        <v>9902</v>
      </c>
      <c r="D9" t="str">
        <f>IF($B9="","",IF(D$3=0,"n.b.",INDEX(SRC_Woningetalage!$A$1:$ZZ$501,$A9,D$3)))</f>
        <v>Demo Gebiedscombinatie BV</v>
      </c>
      <c r="E9" t="str">
        <f>IF($B9="","",IF(E$3=0,"n.b.",INDEX(SRC_Woningetalage!$A$1:$ZZ$501,$A9,E$3)))</f>
        <v>50,00</v>
      </c>
      <c r="F9" t="str">
        <f>IF($B9="","",IF(F$3=0,"n.b.",INDEX(SRC_Woningetalage!$A$1:$ZZ$501,$A9,F$3)))</f>
        <v>08</v>
      </c>
      <c r="G9" t="str">
        <f>IF($B9="","",IF(G$3=0,"n.b.",INDEX(SRC_Woningetalage!$A$1:$ZZ$501,$A9,G$3)))</f>
        <v>Opstalontwikkeling</v>
      </c>
      <c r="H9" t="str">
        <f>IF($B9="","",IF(H$3=0,"n.b.",INDEX(SRC_Woningetalage!$A$1:$ZZ$501,$A9,H$3)))</f>
        <v>9090</v>
      </c>
      <c r="I9" t="str">
        <f>IF($B9="","",IF(I$3=0,"n.b.",INDEX(SRC_Woningetalage!$A$1:$ZZ$501,$A9,I$3)))</f>
        <v>Demo Regio</v>
      </c>
      <c r="J9" t="str">
        <f>IF($B9="","",IF(J$3=0,"n.b.",INDEX(SRC_Woningetalage!$A$1:$ZZ$501,$A9,J$3)))</f>
        <v>G.900004</v>
      </c>
      <c r="K9" t="str">
        <f>IF($B9="","",IF(K$3=0,"n.b.",INDEX(SRC_Woningetalage!$A$1:$ZZ$501,$A9,K$3)))</f>
        <v>Meerhovenstad, Het Kompas</v>
      </c>
      <c r="L9" t="str">
        <f>IF($B9="","",IF(L$3=0,"n.b.",INDEX(SRC_Woningetalage!$A$1:$ZZ$501,$A9,L$3)))</f>
        <v>Meerhovenstad, Het Kompas</v>
      </c>
      <c r="M9" t="str">
        <f>IF($B9="","",IF(M$3=0,"n.b.",INDEX(SRC_Woningetalage!$A$1:$ZZ$501,$A9,M$3)))</f>
        <v>040</v>
      </c>
      <c r="N9">
        <f>IF($B9="","",IF(N$3=0,"n.b.",INDEX(SRC_Woningetalage!$A$1:$ZZ$501,$A9,N$3)))</f>
        <v>45931.0</v>
      </c>
      <c r="O9">
        <f>IF($B9="","",IF(O$3=0,"n.b.",INDEX(SRC_Woningetalage!$A$1:$ZZ$501,$A9,O$3)))</f>
        <v>46113.0</v>
      </c>
      <c r="P9">
        <f>IF($B9="","",IF(P$3=0,"n.b.",INDEX(SRC_Woningetalage!$A$1:$ZZ$501,$A9,P$3)))</f>
        <v>47088.0</v>
      </c>
      <c r="Q9" s="124">
        <f>IF($B9="","",IF(Q$3=0,"n.b.",INDEX(SRC_Woningetalage!$A$1:$ZZ$501,$A9,Q$3)))</f>
        <v>24</v>
      </c>
      <c r="R9" s="124">
        <f>IF($B9="","",IF(R$3=0,"n.b.",INDEX(SRC_Woningetalage!$A$1:$ZZ$501,$A9,R$3)))</f>
        <v>0</v>
      </c>
      <c r="S9" s="124">
        <f>IF($B9="","",IF(S$3=0,"n.b.",INDEX(SRC_Woningetalage!$A$1:$ZZ$501,$A9,S$3)))</f>
        <v>4</v>
      </c>
      <c r="T9" s="124">
        <f>IF($B9="","",IF(T$3=0,"n.b.",INDEX(SRC_Woningetalage!$A$1:$ZZ$501,$A9,T$3)))</f>
        <v>4</v>
      </c>
      <c r="U9" s="124">
        <f>IF($B9="","",IF(U$3=0,"n.b.",INDEX(SRC_Woningetalage!$A$1:$ZZ$501,$A9,U$3)))</f>
        <v>0</v>
      </c>
      <c r="V9" s="124">
        <f>IF($B9="","",IF(V$3=0,"n.b.",INDEX(SRC_Woningetalage!$A$1:$ZZ$501,$A9,V$3)))</f>
        <v>0</v>
      </c>
      <c r="W9" s="124">
        <f>IF($B9="","",IF(W$3=0,"n.b.",INDEX(SRC_Woningetalage!$A$1:$ZZ$501,$A9,W$3)))</f>
        <v>0</v>
      </c>
      <c r="X9" s="124">
        <f>IF($B9="","",IF(X$3=0,"n.b.",INDEX(SRC_Woningetalage!$A$1:$ZZ$501,$A9,X$3)))</f>
        <v>0</v>
      </c>
      <c r="Y9" s="124">
        <f>IF($B9="","",IF(Y$3=0,"n.b.",INDEX(SRC_Woningetalage!$A$1:$ZZ$501,$A9,Y$3)))</f>
        <v>4</v>
      </c>
      <c r="Z9" s="124">
        <f>IF($B9="","",IF(Z$3=0,"n.b.",INDEX(SRC_Woningetalage!$A$1:$ZZ$501,$A9,Z$3)))</f>
        <v>4</v>
      </c>
      <c r="AA9" s="124">
        <f>IF($B9="","",IF(AA$3=0,"n.b.",INDEX(SRC_Woningetalage!$A$1:$ZZ$501,$A9,AA$3)))</f>
        <v>20</v>
      </c>
      <c r="AB9" s="124">
        <f>IF($B9="","",IF(AB$3=0,"n.b.",INDEX(SRC_Woningetalage!$A$1:$ZZ$501,$A9,AB$3)))</f>
        <v>0</v>
      </c>
      <c r="AC9" s="124">
        <f>IF($B9="","",IF(AC$3=0,"n.b.",INDEX(SRC_Woningetalage!$A$1:$ZZ$501,$A9,AC$3)))</f>
        <v>0</v>
      </c>
      <c r="AD9" s="124">
        <f>IF($B9="","",IF(AD$3=0,"n.b.",INDEX(SRC_Woningetalage!$A$1:$ZZ$501,$A9,AD$3)))</f>
        <v>0</v>
      </c>
      <c r="AE9" s="124">
        <f>IF($B9="","",IF(AE$3=0,"n.b.",INDEX(SRC_Woningetalage!$A$1:$ZZ$501,$A9,AE$3)))</f>
        <v>0</v>
      </c>
      <c r="AF9" s="124">
        <f>IF($B9="","",IF(AF$3=0,"n.b.",INDEX(SRC_Woningetalage!$A$1:$ZZ$501,$A9,AF$3)))</f>
        <v>0</v>
      </c>
      <c r="AG9" s="124">
        <f>IF($B9="","",IF(AG$3=0,"n.b.",INDEX(SRC_Woningetalage!$A$1:$ZZ$501,$A9,AG$3)))</f>
        <v>0</v>
      </c>
      <c r="AH9" s="124">
        <f>IF($B9="","",IF(AH$3=0,"n.b.",INDEX(SRC_Woningetalage!$A$1:$ZZ$501,$A9,AH$3)))</f>
        <v>0</v>
      </c>
      <c r="AI9" s="124">
        <f>IF($B9="","",IF(AI$3=0,"n.b.",INDEX(SRC_Woningetalage!$A$1:$ZZ$501,$A9,AI$3)))</f>
        <v>0</v>
      </c>
      <c r="AJ9" s="124">
        <f>IF($B9="","",IF(AJ$3=0,"n.b.",INDEX(SRC_Woningetalage!$A$1:$ZZ$501,$A9,AJ$3)))</f>
        <v>0</v>
      </c>
      <c r="AK9" s="124">
        <f>IF($B9="","",IF(AK$3=0,"n.b.",INDEX(SRC_Woningetalage!$A$1:$ZZ$501,$A9,AK$3)))</f>
        <v>0</v>
      </c>
      <c r="AL9" s="124">
        <f>IF($B9="","",IF(AL$3=0,"n.b.",INDEX(SRC_Woningetalage!$A$1:$ZZ$501,$A9,AL$3)))</f>
        <v>0</v>
      </c>
      <c r="AM9" s="124">
        <f>IF($B9="","",IF(AM$3=0,"n.b.",INDEX(SRC_Woningetalage!$A$1:$ZZ$501,$A9,AM$3)))</f>
        <v>6</v>
      </c>
      <c r="AN9" s="124">
        <f>IF($B9="","",IF(AN$3=0,"n.b.",INDEX(SRC_Woningetalage!$A$1:$ZZ$501,$A9,AN$3)))</f>
        <v>2</v>
      </c>
      <c r="AO9" s="124">
        <f>IF($B9="","",IF(AO$3=0,"n.b.",INDEX(SRC_Woningetalage!$A$1:$ZZ$501,$A9,AO$3)))</f>
        <v>2</v>
      </c>
      <c r="AP9" s="124">
        <f>IF($B9="","",IF(AP$3=0,"n.b.",INDEX(SRC_Woningetalage!$A$1:$ZZ$501,$A9,AP$3)))</f>
        <v>2</v>
      </c>
      <c r="AQ9" s="124">
        <f>IF($B9="","",IF(AQ$3=0,"n.b.",INDEX(SRC_Woningetalage!$A$1:$ZZ$501,$A9,AQ$3)))</f>
        <v>3</v>
      </c>
      <c r="AR9" s="124">
        <f>IF($B9="","",IF(AR$3=0,"n.b.",INDEX(SRC_Woningetalage!$A$1:$ZZ$501,$A9,AR$3)))</f>
        <v>6</v>
      </c>
      <c r="AS9" s="124">
        <f>IF($B9="","",IF(AS$3=0,"n.b.",INDEX(SRC_Woningetalage!$A$1:$ZZ$501,$A9,AS$3)))</f>
        <v>9</v>
      </c>
      <c r="AT9" s="124">
        <f>IF($B9="","",IF(AT$3=0,"n.b.",INDEX(SRC_Woningetalage!$A$1:$ZZ$501,$A9,AT$3)))</f>
        <v>0</v>
      </c>
      <c r="AU9" s="124">
        <f>IF($B9="","",IF(AU$3=0,"n.b.",INDEX(SRC_Woningetalage!$A$1:$ZZ$501,$A9,AU$3)))</f>
        <v>5</v>
      </c>
      <c r="AV9" s="124">
        <f>IF($B9="","",IF(AV$3=0,"n.b.",INDEX(SRC_Woningetalage!$A$1:$ZZ$501,$A9,AV$3)))</f>
        <v>0</v>
      </c>
      <c r="AW9" s="124">
        <f>IF($B9="","",IF(AW$3=0,"n.b.",INDEX(SRC_Woningetalage!$A$1:$ZZ$501,$A9,AW$3)))</f>
        <v>0</v>
      </c>
      <c r="AX9" s="124">
        <f>IF($B9="","",IF(AX$3=0,"n.b.",INDEX(SRC_Woningetalage!$A$1:$ZZ$501,$A9,AX$3)))</f>
        <v>0</v>
      </c>
      <c r="AY9" s="124">
        <f>IF($B9="","",IF(AY$3=0,"n.b.",INDEX(SRC_Woningetalage!$A$1:$ZZ$501,$A9,AY$3)))</f>
        <v>0</v>
      </c>
      <c r="AZ9" s="124">
        <f>IF($B9="","",IF(AZ$3=0,"n.b.",INDEX(SRC_Woningetalage!$A$1:$ZZ$501,$A9,AZ$3)))</f>
        <v>0</v>
      </c>
      <c r="BA9" s="124">
        <f>IF($B9="","",IF(BA$3=0,"n.b.",INDEX(SRC_Woningetalage!$A$1:$ZZ$501,$A9,BA$3)))</f>
        <v>0</v>
      </c>
      <c r="BB9" s="124">
        <f>IF($B9="","",IF(BB$3=0,"n.b.",INDEX(SRC_Woningetalage!$A$1:$ZZ$501,$A9,BB$3)))</f>
        <v>0</v>
      </c>
      <c r="BC9" s="124">
        <f>IF($B9="","",IFERROR(_xlfn.NUMBERVALUE(E9&amp;"",",","."),"n.b."))</f>
        <v>50</v>
      </c>
      <c r="BD9" s="124">
        <f>IF($B9="","",IFERROR(_xlfn.NUMBERVALUE(M9&amp;"",",","."),"n.b."))</f>
        <v>40</v>
      </c>
      <c r="BE9" s="124">
        <f>IF($B9="","",IFERROR(AB9+AC9+AD9,"n.b."))</f>
        <v>0</v>
      </c>
      <c r="BF9" s="124">
        <f>IF($B9="","",IFERROR(AE9+AF9+AG9,"n.b."))</f>
        <v>0</v>
      </c>
      <c r="BG9" s="124">
        <f>IF($B9="","",IFERROR(AH9+AI9+AJ9,"n.b."))</f>
        <v>0</v>
      </c>
      <c r="BH9" s="124">
        <f>IF($B9="","",IFERROR(AK9+AL9+AM9,"n.b."))</f>
        <v>6</v>
      </c>
      <c r="BI9" s="124">
        <f>IF($B9="","",IFERROR(SUMIF($AB$5:$AM$5,"&lt;="&amp;P_PeilMaand,AB9:AM9),"n.b."))</f>
        <v>0</v>
      </c>
      <c r="BJ9" s="124">
        <f>IF($B9="","",IFERROR(SUM(AB9:AM9)-BI9,"n.b."))</f>
        <v>6</v>
      </c>
      <c r="BK9" s="124">
        <f>IF($B9="","",IFERROR(IF(ABS(Q9-(T9+SUM(AB9:AM9)+AS9+AU9))&gt;P_Tol,1,0),1))</f>
        <v>0</v>
      </c>
      <c r="BL9" s="124">
        <f>IF($B9="","",IFERROR(IF(ABS(AA9-(Q9-Z9))&gt;P_Tol,1,0),1))</f>
        <v>0</v>
      </c>
      <c r="BM9" s="124">
        <f>IF($B9="","",IFERROR(IF(ABS(Z9-(T9+W9))&gt;P_Tol,1,0),1))</f>
        <v>0</v>
      </c>
      <c r="BN9" s="124">
        <f>IF($B9="","",IFERROR(IF(ABS(W9-BI9)&gt;P_Tol,1,0),1))</f>
        <v>0</v>
      </c>
      <c r="BO9" s="124">
        <f>IF($B9="","",IFERROR(IF(OR(ABS(R9+S9-T9)&gt;P_Tol,ABS(U9+V9-W9)&gt;P_Tol,ABS(X9+Y9-Z9)&gt;P_Tol),1,0),1))</f>
        <v>0</v>
      </c>
      <c r="BP9" s="124">
        <f>IF($B9="","",IFERROR(IF(OR(ABS(AR9-SUM(AB9:AM9))&gt;P_Tol,ABS(AS9-(AN9+AO9+AP9+AQ9))&gt;P_Tol),1,0),1))</f>
        <v>0</v>
      </c>
      <c r="BQ9" s="124">
        <f>IF($B9="","",IFERROR(IF(ABS(AT9)+ABS(AV9)+ABS(AW9)+ABS(AX9)+ABS(AY9)+ABS(AZ9)+ABS(BA9)+ABS(BB9)&gt;0,1,0),1))</f>
        <v>0</v>
      </c>
      <c r="BR9" s="124">
        <f>IF($B9="","",COUNTIF(STG_ZPMW03!$B$6:$B$505,B9))</f>
        <v>1</v>
      </c>
      <c r="BS9" s="124">
        <f>IF($B9="","",COUNTIF($B$6:$B$505,B9))</f>
        <v>1</v>
      </c>
      <c r="BT9" s="124">
        <f>IF($B9="","",IF(BR9=0,0,IF(INDEX(STG_ZPMW03!$I$6:$I$505,MATCH(B9,STG_ZPMW03!$B$6:$B$505,0))=J9&amp;"",0,1)))</f>
        <v>0</v>
      </c>
      <c r="BU9" s="124">
        <f>IF($B9="","",IFERROR(IF(ABS(INDEX(Mapping!$D$5:$D$104,MATCH(B9,Mapping!$A$5:$A$104,0))-Q9)&gt;P_Tol,1,0),0))</f>
        <v>0</v>
      </c>
      <c r="BV9" s="124">
        <f>IF($B9="","",IFERROR(IF(AND(INDEX(Mapping!$G$5:$G$104,MATCH(B9,Mapping!$A$5:$A$104,0))="Nee",ABS(Q9)+ABS(Z9)+ABS(AR9)&gt;0),1,0),0))</f>
        <v>0</v>
      </c>
      <c r="BW9" s="124">
        <f>IF($B9="","",IF(COUNTIF(Mapping!$A$5:$A$104,B9)&gt;0,1,0))</f>
        <v>1</v>
      </c>
      <c r="BX9" s="124" t="str">
        <f>IF($B9="","",IF(BR9=0,COUNTIF($BR$6:BR9,0),""))</f>
        <v/>
      </c>
    </row>
    <row r="10">
      <c r="A10" s="15" t="n">
        <v>6</v>
      </c>
      <c r="B10" t="str">
        <f>IF(B$3=0,"",IF(INDEX(SRC_Woningetalage!$A$1:$ZZ$501,$A10,B$3)&amp;""="","",INDEX(SRC_Woningetalage!$A$1:$ZZ$501,$A10,B$3)&amp;""))</f>
        <v>G.900005.8.9090</v>
      </c>
      <c r="C10">
        <f>IF($B10="","",IF(C$3=0,"n.b.",INDEX(SRC_Woningetalage!$A$1:$ZZ$501,$A10,C$3)))</f>
        <v>9901</v>
      </c>
      <c r="D10" t="str">
        <f>IF($B10="","",IF(D$3=0,"n.b.",INDEX(SRC_Woningetalage!$A$1:$ZZ$501,$A10,D$3)))</f>
        <v>Demo Ontwikkeling BV</v>
      </c>
      <c r="E10" t="str">
        <f>IF($B10="","",IF(E$3=0,"n.b.",INDEX(SRC_Woningetalage!$A$1:$ZZ$501,$A10,E$3)))</f>
        <v>100,00</v>
      </c>
      <c r="F10" t="str">
        <f>IF($B10="","",IF(F$3=0,"n.b.",INDEX(SRC_Woningetalage!$A$1:$ZZ$501,$A10,F$3)))</f>
        <v>08</v>
      </c>
      <c r="G10" t="str">
        <f>IF($B10="","",IF(G$3=0,"n.b.",INDEX(SRC_Woningetalage!$A$1:$ZZ$501,$A10,G$3)))</f>
        <v>Opstalontwikkeling</v>
      </c>
      <c r="H10" t="str">
        <f>IF($B10="","",IF(H$3=0,"n.b.",INDEX(SRC_Woningetalage!$A$1:$ZZ$501,$A10,H$3)))</f>
        <v>9090</v>
      </c>
      <c r="I10" t="str">
        <f>IF($B10="","",IF(I$3=0,"n.b.",INDEX(SRC_Woningetalage!$A$1:$ZZ$501,$A10,I$3)))</f>
        <v>Demo Regio</v>
      </c>
      <c r="J10" t="str">
        <f>IF($B10="","",IF(J$3=0,"n.b.",INDEX(SRC_Woningetalage!$A$1:$ZZ$501,$A10,J$3)))</f>
        <v>G.900005</v>
      </c>
      <c r="K10" t="str">
        <f>IF($B10="","",IF(K$3=0,"n.b.",INDEX(SRC_Woningetalage!$A$1:$ZZ$501,$A10,K$3)))</f>
        <v>Zilverdam, Kadezicht</v>
      </c>
      <c r="L10" t="str">
        <f>IF($B10="","",IF(L$3=0,"n.b.",INDEX(SRC_Woningetalage!$A$1:$ZZ$501,$A10,L$3)))</f>
        <v>Zilverdam, Kadezicht</v>
      </c>
      <c r="M10" t="str">
        <f>IF($B10="","",IF(M$3=0,"n.b.",INDEX(SRC_Woningetalage!$A$1:$ZZ$501,$A10,M$3)))</f>
        <v>020</v>
      </c>
      <c r="N10">
        <f>IF($B10="","",IF(N$3=0,"n.b.",INDEX(SRC_Woningetalage!$A$1:$ZZ$501,$A10,N$3)))</f>
        <v>45931.0</v>
      </c>
      <c r="O10">
        <f>IF($B10="","",IF(O$3=0,"n.b.",INDEX(SRC_Woningetalage!$A$1:$ZZ$501,$A10,O$3)))</f>
        <v>46143.0</v>
      </c>
      <c r="P10">
        <f>IF($B10="","",IF(P$3=0,"n.b.",INDEX(SRC_Woningetalage!$A$1:$ZZ$501,$A10,P$3)))</f>
        <v>47088.0</v>
      </c>
      <c r="Q10" s="124">
        <f>IF($B10="","",IF(Q$3=0,"n.b.",INDEX(SRC_Woningetalage!$A$1:$ZZ$501,$A10,Q$3)))</f>
        <v>120</v>
      </c>
      <c r="R10" s="124">
        <f>IF($B10="","",IF(R$3=0,"n.b.",INDEX(SRC_Woningetalage!$A$1:$ZZ$501,$A10,R$3)))</f>
        <v>24</v>
      </c>
      <c r="S10" s="124">
        <f>IF($B10="","",IF(S$3=0,"n.b.",INDEX(SRC_Woningetalage!$A$1:$ZZ$501,$A10,S$3)))</f>
        <v>0</v>
      </c>
      <c r="T10" s="124">
        <f>IF($B10="","",IF(T$3=0,"n.b.",INDEX(SRC_Woningetalage!$A$1:$ZZ$501,$A10,T$3)))</f>
        <v>24</v>
      </c>
      <c r="U10" s="124">
        <f>IF($B10="","",IF(U$3=0,"n.b.",INDEX(SRC_Woningetalage!$A$1:$ZZ$501,$A10,U$3)))</f>
        <v>20</v>
      </c>
      <c r="V10" s="124">
        <f>IF($B10="","",IF(V$3=0,"n.b.",INDEX(SRC_Woningetalage!$A$1:$ZZ$501,$A10,V$3)))</f>
        <v>0</v>
      </c>
      <c r="W10" s="124">
        <f>IF($B10="","",IF(W$3=0,"n.b.",INDEX(SRC_Woningetalage!$A$1:$ZZ$501,$A10,W$3)))</f>
        <v>20</v>
      </c>
      <c r="X10" s="124">
        <f>IF($B10="","",IF(X$3=0,"n.b.",INDEX(SRC_Woningetalage!$A$1:$ZZ$501,$A10,X$3)))</f>
        <v>44</v>
      </c>
      <c r="Y10" s="124">
        <f>IF($B10="","",IF(Y$3=0,"n.b.",INDEX(SRC_Woningetalage!$A$1:$ZZ$501,$A10,Y$3)))</f>
        <v>0</v>
      </c>
      <c r="Z10" s="124">
        <f>IF($B10="","",IF(Z$3=0,"n.b.",INDEX(SRC_Woningetalage!$A$1:$ZZ$501,$A10,Z$3)))</f>
        <v>44</v>
      </c>
      <c r="AA10" s="124">
        <f>IF($B10="","",IF(AA$3=0,"n.b.",INDEX(SRC_Woningetalage!$A$1:$ZZ$501,$A10,AA$3)))</f>
        <v>76</v>
      </c>
      <c r="AB10" s="124">
        <f>IF($B10="","",IF(AB$3=0,"n.b.",INDEX(SRC_Woningetalage!$A$1:$ZZ$501,$A10,AB$3)))</f>
        <v>1</v>
      </c>
      <c r="AC10" s="124">
        <f>IF($B10="","",IF(AC$3=0,"n.b.",INDEX(SRC_Woningetalage!$A$1:$ZZ$501,$A10,AC$3)))</f>
        <v>1</v>
      </c>
      <c r="AD10" s="124">
        <f>IF($B10="","",IF(AD$3=0,"n.b.",INDEX(SRC_Woningetalage!$A$1:$ZZ$501,$A10,AD$3)))</f>
        <v>2</v>
      </c>
      <c r="AE10" s="124">
        <f>IF($B10="","",IF(AE$3=0,"n.b.",INDEX(SRC_Woningetalage!$A$1:$ZZ$501,$A10,AE$3)))</f>
        <v>2</v>
      </c>
      <c r="AF10" s="124">
        <f>IF($B10="","",IF(AF$3=0,"n.b.",INDEX(SRC_Woningetalage!$A$1:$ZZ$501,$A10,AF$3)))</f>
        <v>4</v>
      </c>
      <c r="AG10" s="124">
        <f>IF($B10="","",IF(AG$3=0,"n.b.",INDEX(SRC_Woningetalage!$A$1:$ZZ$501,$A10,AG$3)))</f>
        <v>2</v>
      </c>
      <c r="AH10" s="124">
        <f>IF($B10="","",IF(AH$3=0,"n.b.",INDEX(SRC_Woningetalage!$A$1:$ZZ$501,$A10,AH$3)))</f>
        <v>2</v>
      </c>
      <c r="AI10" s="124">
        <f>IF($B10="","",IF(AI$3=0,"n.b.",INDEX(SRC_Woningetalage!$A$1:$ZZ$501,$A10,AI$3)))</f>
        <v>4</v>
      </c>
      <c r="AJ10" s="124">
        <f>IF($B10="","",IF(AJ$3=0,"n.b.",INDEX(SRC_Woningetalage!$A$1:$ZZ$501,$A10,AJ$3)))</f>
        <v>2</v>
      </c>
      <c r="AK10" s="124">
        <f>IF($B10="","",IF(AK$3=0,"n.b.",INDEX(SRC_Woningetalage!$A$1:$ZZ$501,$A10,AK$3)))</f>
        <v>1</v>
      </c>
      <c r="AL10" s="124">
        <f>IF($B10="","",IF(AL$3=0,"n.b.",INDEX(SRC_Woningetalage!$A$1:$ZZ$501,$A10,AL$3)))</f>
        <v>1</v>
      </c>
      <c r="AM10" s="124">
        <f>IF($B10="","",IF(AM$3=0,"n.b.",INDEX(SRC_Woningetalage!$A$1:$ZZ$501,$A10,AM$3)))</f>
        <v>10</v>
      </c>
      <c r="AN10" s="124">
        <f>IF($B10="","",IF(AN$3=0,"n.b.",INDEX(SRC_Woningetalage!$A$1:$ZZ$501,$A10,AN$3)))</f>
        <v>12</v>
      </c>
      <c r="AO10" s="124">
        <f>IF($B10="","",IF(AO$3=0,"n.b.",INDEX(SRC_Woningetalage!$A$1:$ZZ$501,$A10,AO$3)))</f>
        <v>10</v>
      </c>
      <c r="AP10" s="124">
        <f>IF($B10="","",IF(AP$3=0,"n.b.",INDEX(SRC_Woningetalage!$A$1:$ZZ$501,$A10,AP$3)))</f>
        <v>10</v>
      </c>
      <c r="AQ10" s="124">
        <f>IF($B10="","",IF(AQ$3=0,"n.b.",INDEX(SRC_Woningetalage!$A$1:$ZZ$501,$A10,AQ$3)))</f>
        <v>10</v>
      </c>
      <c r="AR10" s="124">
        <f>IF($B10="","",IF(AR$3=0,"n.b.",INDEX(SRC_Woningetalage!$A$1:$ZZ$501,$A10,AR$3)))</f>
        <v>32</v>
      </c>
      <c r="AS10" s="124">
        <f>IF($B10="","",IF(AS$3=0,"n.b.",INDEX(SRC_Woningetalage!$A$1:$ZZ$501,$A10,AS$3)))</f>
        <v>42</v>
      </c>
      <c r="AT10" s="124">
        <f>IF($B10="","",IF(AT$3=0,"n.b.",INDEX(SRC_Woningetalage!$A$1:$ZZ$501,$A10,AT$3)))</f>
        <v>0</v>
      </c>
      <c r="AU10" s="124">
        <f>IF($B10="","",IF(AU$3=0,"n.b.",INDEX(SRC_Woningetalage!$A$1:$ZZ$501,$A10,AU$3)))</f>
        <v>22</v>
      </c>
      <c r="AV10" s="124">
        <f>IF($B10="","",IF(AV$3=0,"n.b.",INDEX(SRC_Woningetalage!$A$1:$ZZ$501,$A10,AV$3)))</f>
        <v>0</v>
      </c>
      <c r="AW10" s="124">
        <f>IF($B10="","",IF(AW$3=0,"n.b.",INDEX(SRC_Woningetalage!$A$1:$ZZ$501,$A10,AW$3)))</f>
        <v>0</v>
      </c>
      <c r="AX10" s="124">
        <f>IF($B10="","",IF(AX$3=0,"n.b.",INDEX(SRC_Woningetalage!$A$1:$ZZ$501,$A10,AX$3)))</f>
        <v>0</v>
      </c>
      <c r="AY10" s="124">
        <f>IF($B10="","",IF(AY$3=0,"n.b.",INDEX(SRC_Woningetalage!$A$1:$ZZ$501,$A10,AY$3)))</f>
        <v>0</v>
      </c>
      <c r="AZ10" s="124">
        <f>IF($B10="","",IF(AZ$3=0,"n.b.",INDEX(SRC_Woningetalage!$A$1:$ZZ$501,$A10,AZ$3)))</f>
        <v>0</v>
      </c>
      <c r="BA10" s="124">
        <f>IF($B10="","",IF(BA$3=0,"n.b.",INDEX(SRC_Woningetalage!$A$1:$ZZ$501,$A10,BA$3)))</f>
        <v>0</v>
      </c>
      <c r="BB10" s="124">
        <f>IF($B10="","",IF(BB$3=0,"n.b.",INDEX(SRC_Woningetalage!$A$1:$ZZ$501,$A10,BB$3)))</f>
        <v>0</v>
      </c>
      <c r="BC10" s="124">
        <f>IF($B10="","",IFERROR(_xlfn.NUMBERVALUE(E10&amp;"",",","."),"n.b."))</f>
        <v>100</v>
      </c>
      <c r="BD10" s="124">
        <f>IF($B10="","",IFERROR(_xlfn.NUMBERVALUE(M10&amp;"",",","."),"n.b."))</f>
        <v>20</v>
      </c>
      <c r="BE10" s="124">
        <f>IF($B10="","",IFERROR(AB10+AC10+AD10,"n.b."))</f>
        <v>4</v>
      </c>
      <c r="BF10" s="124">
        <f>IF($B10="","",IFERROR(AE10+AF10+AG10,"n.b."))</f>
        <v>8</v>
      </c>
      <c r="BG10" s="124">
        <f>IF($B10="","",IFERROR(AH10+AI10+AJ10,"n.b."))</f>
        <v>8</v>
      </c>
      <c r="BH10" s="124">
        <f>IF($B10="","",IFERROR(AK10+AL10+AM10,"n.b."))</f>
        <v>12</v>
      </c>
      <c r="BI10" s="124">
        <f>IF($B10="","",IFERROR(SUMIF($AB$5:$AM$5,"&lt;="&amp;P_PeilMaand,AB10:AM10),"n.b."))</f>
        <v>20</v>
      </c>
      <c r="BJ10" s="124">
        <f>IF($B10="","",IFERROR(SUM(AB10:AM10)-BI10,"n.b."))</f>
        <v>12</v>
      </c>
      <c r="BK10" s="124">
        <f>IF($B10="","",IFERROR(IF(ABS(Q10-(T10+SUM(AB10:AM10)+AS10+AU10))&gt;P_Tol,1,0),1))</f>
        <v>0</v>
      </c>
      <c r="BL10" s="124">
        <f>IF($B10="","",IFERROR(IF(ABS(AA10-(Q10-Z10))&gt;P_Tol,1,0),1))</f>
        <v>0</v>
      </c>
      <c r="BM10" s="124">
        <f>IF($B10="","",IFERROR(IF(ABS(Z10-(T10+W10))&gt;P_Tol,1,0),1))</f>
        <v>0</v>
      </c>
      <c r="BN10" s="124">
        <f>IF($B10="","",IFERROR(IF(ABS(W10-BI10)&gt;P_Tol,1,0),1))</f>
        <v>0</v>
      </c>
      <c r="BO10" s="124">
        <f>IF($B10="","",IFERROR(IF(OR(ABS(R10+S10-T10)&gt;P_Tol,ABS(U10+V10-W10)&gt;P_Tol,ABS(X10+Y10-Z10)&gt;P_Tol),1,0),1))</f>
        <v>0</v>
      </c>
      <c r="BP10" s="124">
        <f>IF($B10="","",IFERROR(IF(OR(ABS(AR10-SUM(AB10:AM10))&gt;P_Tol,ABS(AS10-(AN10+AO10+AP10+AQ10))&gt;P_Tol),1,0),1))</f>
        <v>0</v>
      </c>
      <c r="BQ10" s="124">
        <f>IF($B10="","",IFERROR(IF(ABS(AT10)+ABS(AV10)+ABS(AW10)+ABS(AX10)+ABS(AY10)+ABS(AZ10)+ABS(BA10)+ABS(BB10)&gt;0,1,0),1))</f>
        <v>0</v>
      </c>
      <c r="BR10" s="124">
        <f>IF($B10="","",COUNTIF(STG_ZPMW03!$B$6:$B$505,B10))</f>
        <v>1</v>
      </c>
      <c r="BS10" s="124">
        <f>IF($B10="","",COUNTIF($B$6:$B$505,B10))</f>
        <v>1</v>
      </c>
      <c r="BT10" s="124">
        <f>IF($B10="","",IF(BR10=0,0,IF(INDEX(STG_ZPMW03!$I$6:$I$505,MATCH(B10,STG_ZPMW03!$B$6:$B$505,0))=J10&amp;"",0,1)))</f>
        <v>0</v>
      </c>
      <c r="BU10" s="124">
        <f>IF($B10="","",IFERROR(IF(ABS(INDEX(Mapping!$D$5:$D$104,MATCH(B10,Mapping!$A$5:$A$104,0))-Q10)&gt;P_Tol,1,0),0))</f>
        <v>0</v>
      </c>
      <c r="BV10" s="124">
        <f>IF($B10="","",IFERROR(IF(AND(INDEX(Mapping!$G$5:$G$104,MATCH(B10,Mapping!$A$5:$A$104,0))="Nee",ABS(Q10)+ABS(Z10)+ABS(AR10)&gt;0),1,0),0))</f>
        <v>0</v>
      </c>
      <c r="BW10" s="124">
        <f>IF($B10="","",IF(COUNTIF(Mapping!$A$5:$A$104,B10)&gt;0,1,0))</f>
        <v>1</v>
      </c>
      <c r="BX10" s="124" t="str">
        <f>IF($B10="","",IF(BR10=0,COUNTIF($BR$6:BR10,0),""))</f>
        <v/>
      </c>
    </row>
    <row r="11">
      <c r="A11" s="15" t="n">
        <v>7</v>
      </c>
      <c r="B11" t="str">
        <f>IF(B$3=0,"",IF(INDEX(SRC_Woningetalage!$A$1:$ZZ$501,$A11,B$3)&amp;""="","",INDEX(SRC_Woningetalage!$A$1:$ZZ$501,$A11,B$3)&amp;""))</f>
        <v>G.900006.8.9090</v>
      </c>
      <c r="C11">
        <f>IF($B11="","",IF(C$3=0,"n.b.",INDEX(SRC_Woningetalage!$A$1:$ZZ$501,$A11,C$3)))</f>
        <v>9901</v>
      </c>
      <c r="D11" t="str">
        <f>IF($B11="","",IF(D$3=0,"n.b.",INDEX(SRC_Woningetalage!$A$1:$ZZ$501,$A11,D$3)))</f>
        <v>Demo Ontwikkeling BV</v>
      </c>
      <c r="E11" t="str">
        <f>IF($B11="","",IF(E$3=0,"n.b.",INDEX(SRC_Woningetalage!$A$1:$ZZ$501,$A11,E$3)))</f>
        <v>100,00</v>
      </c>
      <c r="F11" t="str">
        <f>IF($B11="","",IF(F$3=0,"n.b.",INDEX(SRC_Woningetalage!$A$1:$ZZ$501,$A11,F$3)))</f>
        <v>08</v>
      </c>
      <c r="G11" t="str">
        <f>IF($B11="","",IF(G$3=0,"n.b.",INDEX(SRC_Woningetalage!$A$1:$ZZ$501,$A11,G$3)))</f>
        <v>Opstalontwikkeling</v>
      </c>
      <c r="H11" t="str">
        <f>IF($B11="","",IF(H$3=0,"n.b.",INDEX(SRC_Woningetalage!$A$1:$ZZ$501,$A11,H$3)))</f>
        <v>9090</v>
      </c>
      <c r="I11" t="str">
        <f>IF($B11="","",IF(I$3=0,"n.b.",INDEX(SRC_Woningetalage!$A$1:$ZZ$501,$A11,I$3)))</f>
        <v>Demo Regio</v>
      </c>
      <c r="J11" t="str">
        <f>IF($B11="","",IF(J$3=0,"n.b.",INDEX(SRC_Woningetalage!$A$1:$ZZ$501,$A11,J$3)))</f>
        <v>G.900006</v>
      </c>
      <c r="K11" t="str">
        <f>IF($B11="","",IF(K$3=0,"n.b.",INDEX(SRC_Woningetalage!$A$1:$ZZ$501,$A11,K$3)))</f>
        <v>Boswaard, De Eiken</v>
      </c>
      <c r="L11" t="str">
        <f>IF($B11="","",IF(L$3=0,"n.b.",INDEX(SRC_Woningetalage!$A$1:$ZZ$501,$A11,L$3)))</f>
        <v>Boswaard, De Eiken</v>
      </c>
      <c r="M11" t="str">
        <f>IF($B11="","",IF(M$3=0,"n.b.",INDEX(SRC_Woningetalage!$A$1:$ZZ$501,$A11,M$3)))</f>
        <v>100</v>
      </c>
      <c r="N11">
        <f>IF($B11="","",IF(N$3=0,"n.b.",INDEX(SRC_Woningetalage!$A$1:$ZZ$501,$A11,N$3)))</f>
        <v>45931.0</v>
      </c>
      <c r="O11">
        <f>IF($B11="","",IF(O$3=0,"n.b.",INDEX(SRC_Woningetalage!$A$1:$ZZ$501,$A11,O$3)))</f>
        <v>46174.0</v>
      </c>
      <c r="P11">
        <f>IF($B11="","",IF(P$3=0,"n.b.",INDEX(SRC_Woningetalage!$A$1:$ZZ$501,$A11,P$3)))</f>
        <v>47088.0</v>
      </c>
      <c r="Q11" s="124">
        <f>IF($B11="","",IF(Q$3=0,"n.b.",INDEX(SRC_Woningetalage!$A$1:$ZZ$501,$A11,Q$3)))</f>
        <v>36</v>
      </c>
      <c r="R11" s="124">
        <f>IF($B11="","",IF(R$3=0,"n.b.",INDEX(SRC_Woningetalage!$A$1:$ZZ$501,$A11,R$3)))</f>
        <v>0</v>
      </c>
      <c r="S11" s="124">
        <f>IF($B11="","",IF(S$3=0,"n.b.",INDEX(SRC_Woningetalage!$A$1:$ZZ$501,$A11,S$3)))</f>
        <v>7</v>
      </c>
      <c r="T11" s="124">
        <f>IF($B11="","",IF(T$3=0,"n.b.",INDEX(SRC_Woningetalage!$A$1:$ZZ$501,$A11,T$3)))</f>
        <v>7</v>
      </c>
      <c r="U11" s="124">
        <f>IF($B11="","",IF(U$3=0,"n.b.",INDEX(SRC_Woningetalage!$A$1:$ZZ$501,$A11,U$3)))</f>
        <v>0</v>
      </c>
      <c r="V11" s="124">
        <f>IF($B11="","",IF(V$3=0,"n.b.",INDEX(SRC_Woningetalage!$A$1:$ZZ$501,$A11,V$3)))</f>
        <v>2</v>
      </c>
      <c r="W11" s="124">
        <f>IF($B11="","",IF(W$3=0,"n.b.",INDEX(SRC_Woningetalage!$A$1:$ZZ$501,$A11,W$3)))</f>
        <v>2</v>
      </c>
      <c r="X11" s="124">
        <f>IF($B11="","",IF(X$3=0,"n.b.",INDEX(SRC_Woningetalage!$A$1:$ZZ$501,$A11,X$3)))</f>
        <v>0</v>
      </c>
      <c r="Y11" s="124">
        <f>IF($B11="","",IF(Y$3=0,"n.b.",INDEX(SRC_Woningetalage!$A$1:$ZZ$501,$A11,Y$3)))</f>
        <v>9</v>
      </c>
      <c r="Z11" s="124">
        <f>IF($B11="","",IF(Z$3=0,"n.b.",INDEX(SRC_Woningetalage!$A$1:$ZZ$501,$A11,Z$3)))</f>
        <v>9</v>
      </c>
      <c r="AA11" s="124">
        <f>IF($B11="","",IF(AA$3=0,"n.b.",INDEX(SRC_Woningetalage!$A$1:$ZZ$501,$A11,AA$3)))</f>
        <v>27</v>
      </c>
      <c r="AB11" s="124">
        <f>IF($B11="","",IF(AB$3=0,"n.b.",INDEX(SRC_Woningetalage!$A$1:$ZZ$501,$A11,AB$3)))</f>
        <v>0</v>
      </c>
      <c r="AC11" s="124">
        <f>IF($B11="","",IF(AC$3=0,"n.b.",INDEX(SRC_Woningetalage!$A$1:$ZZ$501,$A11,AC$3)))</f>
        <v>0</v>
      </c>
      <c r="AD11" s="124">
        <f>IF($B11="","",IF(AD$3=0,"n.b.",INDEX(SRC_Woningetalage!$A$1:$ZZ$501,$A11,AD$3)))</f>
        <v>0</v>
      </c>
      <c r="AE11" s="124">
        <f>IF($B11="","",IF(AE$3=0,"n.b.",INDEX(SRC_Woningetalage!$A$1:$ZZ$501,$A11,AE$3)))</f>
        <v>0</v>
      </c>
      <c r="AF11" s="124">
        <f>IF($B11="","",IF(AF$3=0,"n.b.",INDEX(SRC_Woningetalage!$A$1:$ZZ$501,$A11,AF$3)))</f>
        <v>1</v>
      </c>
      <c r="AG11" s="124">
        <f>IF($B11="","",IF(AG$3=0,"n.b.",INDEX(SRC_Woningetalage!$A$1:$ZZ$501,$A11,AG$3)))</f>
        <v>0</v>
      </c>
      <c r="AH11" s="124">
        <f>IF($B11="","",IF(AH$3=0,"n.b.",INDEX(SRC_Woningetalage!$A$1:$ZZ$501,$A11,AH$3)))</f>
        <v>0</v>
      </c>
      <c r="AI11" s="124">
        <f>IF($B11="","",IF(AI$3=0,"n.b.",INDEX(SRC_Woningetalage!$A$1:$ZZ$501,$A11,AI$3)))</f>
        <v>1</v>
      </c>
      <c r="AJ11" s="124">
        <f>IF($B11="","",IF(AJ$3=0,"n.b.",INDEX(SRC_Woningetalage!$A$1:$ZZ$501,$A11,AJ$3)))</f>
        <v>0</v>
      </c>
      <c r="AK11" s="124">
        <f>IF($B11="","",IF(AK$3=0,"n.b.",INDEX(SRC_Woningetalage!$A$1:$ZZ$501,$A11,AK$3)))</f>
        <v>0</v>
      </c>
      <c r="AL11" s="124">
        <f>IF($B11="","",IF(AL$3=0,"n.b.",INDEX(SRC_Woningetalage!$A$1:$ZZ$501,$A11,AL$3)))</f>
        <v>0</v>
      </c>
      <c r="AM11" s="124">
        <f>IF($B11="","",IF(AM$3=0,"n.b.",INDEX(SRC_Woningetalage!$A$1:$ZZ$501,$A11,AM$3)))</f>
        <v>7</v>
      </c>
      <c r="AN11" s="124">
        <f>IF($B11="","",IF(AN$3=0,"n.b.",INDEX(SRC_Woningetalage!$A$1:$ZZ$501,$A11,AN$3)))</f>
        <v>3</v>
      </c>
      <c r="AO11" s="124">
        <f>IF($B11="","",IF(AO$3=0,"n.b.",INDEX(SRC_Woningetalage!$A$1:$ZZ$501,$A11,AO$3)))</f>
        <v>3</v>
      </c>
      <c r="AP11" s="124">
        <f>IF($B11="","",IF(AP$3=0,"n.b.",INDEX(SRC_Woningetalage!$A$1:$ZZ$501,$A11,AP$3)))</f>
        <v>3</v>
      </c>
      <c r="AQ11" s="124">
        <f>IF($B11="","",IF(AQ$3=0,"n.b.",INDEX(SRC_Woningetalage!$A$1:$ZZ$501,$A11,AQ$3)))</f>
        <v>4</v>
      </c>
      <c r="AR11" s="124">
        <f>IF($B11="","",IF(AR$3=0,"n.b.",INDEX(SRC_Woningetalage!$A$1:$ZZ$501,$A11,AR$3)))</f>
        <v>9</v>
      </c>
      <c r="AS11" s="124">
        <f>IF($B11="","",IF(AS$3=0,"n.b.",INDEX(SRC_Woningetalage!$A$1:$ZZ$501,$A11,AS$3)))</f>
        <v>13</v>
      </c>
      <c r="AT11" s="124">
        <f>IF($B11="","",IF(AT$3=0,"n.b.",INDEX(SRC_Woningetalage!$A$1:$ZZ$501,$A11,AT$3)))</f>
        <v>0</v>
      </c>
      <c r="AU11" s="124">
        <f>IF($B11="","",IF(AU$3=0,"n.b.",INDEX(SRC_Woningetalage!$A$1:$ZZ$501,$A11,AU$3)))</f>
        <v>7</v>
      </c>
      <c r="AV11" s="124">
        <f>IF($B11="","",IF(AV$3=0,"n.b.",INDEX(SRC_Woningetalage!$A$1:$ZZ$501,$A11,AV$3)))</f>
        <v>0</v>
      </c>
      <c r="AW11" s="124">
        <f>IF($B11="","",IF(AW$3=0,"n.b.",INDEX(SRC_Woningetalage!$A$1:$ZZ$501,$A11,AW$3)))</f>
        <v>0</v>
      </c>
      <c r="AX11" s="124">
        <f>IF($B11="","",IF(AX$3=0,"n.b.",INDEX(SRC_Woningetalage!$A$1:$ZZ$501,$A11,AX$3)))</f>
        <v>0</v>
      </c>
      <c r="AY11" s="124">
        <f>IF($B11="","",IF(AY$3=0,"n.b.",INDEX(SRC_Woningetalage!$A$1:$ZZ$501,$A11,AY$3)))</f>
        <v>0</v>
      </c>
      <c r="AZ11" s="124">
        <f>IF($B11="","",IF(AZ$3=0,"n.b.",INDEX(SRC_Woningetalage!$A$1:$ZZ$501,$A11,AZ$3)))</f>
        <v>0</v>
      </c>
      <c r="BA11" s="124">
        <f>IF($B11="","",IF(BA$3=0,"n.b.",INDEX(SRC_Woningetalage!$A$1:$ZZ$501,$A11,BA$3)))</f>
        <v>0</v>
      </c>
      <c r="BB11" s="124">
        <f>IF($B11="","",IF(BB$3=0,"n.b.",INDEX(SRC_Woningetalage!$A$1:$ZZ$501,$A11,BB$3)))</f>
        <v>0</v>
      </c>
      <c r="BC11" s="124">
        <f>IF($B11="","",IFERROR(_xlfn.NUMBERVALUE(E11&amp;"",",","."),"n.b."))</f>
        <v>100</v>
      </c>
      <c r="BD11" s="124">
        <f>IF($B11="","",IFERROR(_xlfn.NUMBERVALUE(M11&amp;"",",","."),"n.b."))</f>
        <v>100</v>
      </c>
      <c r="BE11" s="124">
        <f>IF($B11="","",IFERROR(AB11+AC11+AD11,"n.b."))</f>
        <v>0</v>
      </c>
      <c r="BF11" s="124">
        <f>IF($B11="","",IFERROR(AE11+AF11+AG11,"n.b."))</f>
        <v>1</v>
      </c>
      <c r="BG11" s="124">
        <f>IF($B11="","",IFERROR(AH11+AI11+AJ11,"n.b."))</f>
        <v>1</v>
      </c>
      <c r="BH11" s="124">
        <f>IF($B11="","",IFERROR(AK11+AL11+AM11,"n.b."))</f>
        <v>7</v>
      </c>
      <c r="BI11" s="124">
        <f>IF($B11="","",IFERROR(SUMIF($AB$5:$AM$5,"&lt;="&amp;P_PeilMaand,AB11:AM11),"n.b."))</f>
        <v>2</v>
      </c>
      <c r="BJ11" s="124">
        <f>IF($B11="","",IFERROR(SUM(AB11:AM11)-BI11,"n.b."))</f>
        <v>7</v>
      </c>
      <c r="BK11" s="124">
        <f>IF($B11="","",IFERROR(IF(ABS(Q11-(T11+SUM(AB11:AM11)+AS11+AU11))&gt;P_Tol,1,0),1))</f>
        <v>0</v>
      </c>
      <c r="BL11" s="124">
        <f>IF($B11="","",IFERROR(IF(ABS(AA11-(Q11-Z11))&gt;P_Tol,1,0),1))</f>
        <v>0</v>
      </c>
      <c r="BM11" s="124">
        <f>IF($B11="","",IFERROR(IF(ABS(Z11-(T11+W11))&gt;P_Tol,1,0),1))</f>
        <v>0</v>
      </c>
      <c r="BN11" s="124">
        <f>IF($B11="","",IFERROR(IF(ABS(W11-BI11)&gt;P_Tol,1,0),1))</f>
        <v>0</v>
      </c>
      <c r="BO11" s="124">
        <f>IF($B11="","",IFERROR(IF(OR(ABS(R11+S11-T11)&gt;P_Tol,ABS(U11+V11-W11)&gt;P_Tol,ABS(X11+Y11-Z11)&gt;P_Tol),1,0),1))</f>
        <v>0</v>
      </c>
      <c r="BP11" s="124">
        <f>IF($B11="","",IFERROR(IF(OR(ABS(AR11-SUM(AB11:AM11))&gt;P_Tol,ABS(AS11-(AN11+AO11+AP11+AQ11))&gt;P_Tol),1,0),1))</f>
        <v>0</v>
      </c>
      <c r="BQ11" s="124">
        <f>IF($B11="","",IFERROR(IF(ABS(AT11)+ABS(AV11)+ABS(AW11)+ABS(AX11)+ABS(AY11)+ABS(AZ11)+ABS(BA11)+ABS(BB11)&gt;0,1,0),1))</f>
        <v>0</v>
      </c>
      <c r="BR11" s="124">
        <f>IF($B11="","",COUNTIF(STG_ZPMW03!$B$6:$B$505,B11))</f>
        <v>1</v>
      </c>
      <c r="BS11" s="124">
        <f>IF($B11="","",COUNTIF($B$6:$B$505,B11))</f>
        <v>1</v>
      </c>
      <c r="BT11" s="124">
        <f>IF($B11="","",IF(BR11=0,0,IF(INDEX(STG_ZPMW03!$I$6:$I$505,MATCH(B11,STG_ZPMW03!$B$6:$B$505,0))=J11&amp;"",0,1)))</f>
        <v>0</v>
      </c>
      <c r="BU11" s="124">
        <f>IF($B11="","",IFERROR(IF(ABS(INDEX(Mapping!$D$5:$D$104,MATCH(B11,Mapping!$A$5:$A$104,0))-Q11)&gt;P_Tol,1,0),0))</f>
        <v>0</v>
      </c>
      <c r="BV11" s="124">
        <f>IF($B11="","",IFERROR(IF(AND(INDEX(Mapping!$G$5:$G$104,MATCH(B11,Mapping!$A$5:$A$104,0))="Nee",ABS(Q11)+ABS(Z11)+ABS(AR11)&gt;0),1,0),0))</f>
        <v>0</v>
      </c>
      <c r="BW11" s="124">
        <f>IF($B11="","",IF(COUNTIF(Mapping!$A$5:$A$104,B11)&gt;0,1,0))</f>
        <v>1</v>
      </c>
      <c r="BX11" s="124" t="str">
        <f>IF($B11="","",IF(BR11=0,COUNTIF($BR$6:BR11,0),""))</f>
        <v/>
      </c>
    </row>
    <row r="12">
      <c r="A12" s="15" t="n">
        <v>8</v>
      </c>
      <c r="B12" t="str">
        <f>IF(B$3=0,"",IF(INDEX(SRC_Woningetalage!$A$1:$ZZ$501,$A12,B$3)&amp;""="","",INDEX(SRC_Woningetalage!$A$1:$ZZ$501,$A12,B$3)&amp;""))</f>
        <v>G.900007.8.9090</v>
      </c>
      <c r="C12">
        <f>IF($B12="","",IF(C$3=0,"n.b.",INDEX(SRC_Woningetalage!$A$1:$ZZ$501,$A12,C$3)))</f>
        <v>9901</v>
      </c>
      <c r="D12" t="str">
        <f>IF($B12="","",IF(D$3=0,"n.b.",INDEX(SRC_Woningetalage!$A$1:$ZZ$501,$A12,D$3)))</f>
        <v>Demo Ontwikkeling BV</v>
      </c>
      <c r="E12" t="str">
        <f>IF($B12="","",IF(E$3=0,"n.b.",INDEX(SRC_Woningetalage!$A$1:$ZZ$501,$A12,E$3)))</f>
        <v>100,00</v>
      </c>
      <c r="F12" t="str">
        <f>IF($B12="","",IF(F$3=0,"n.b.",INDEX(SRC_Woningetalage!$A$1:$ZZ$501,$A12,F$3)))</f>
        <v>08</v>
      </c>
      <c r="G12" t="str">
        <f>IF($B12="","",IF(G$3=0,"n.b.",INDEX(SRC_Woningetalage!$A$1:$ZZ$501,$A12,G$3)))</f>
        <v>Opstalontwikkeling</v>
      </c>
      <c r="H12" t="str">
        <f>IF($B12="","",IF(H$3=0,"n.b.",INDEX(SRC_Woningetalage!$A$1:$ZZ$501,$A12,H$3)))</f>
        <v>9090</v>
      </c>
      <c r="I12" t="str">
        <f>IF($B12="","",IF(I$3=0,"n.b.",INDEX(SRC_Woningetalage!$A$1:$ZZ$501,$A12,I$3)))</f>
        <v>Demo Regio</v>
      </c>
      <c r="J12" t="str">
        <f>IF($B12="","",IF(J$3=0,"n.b.",INDEX(SRC_Woningetalage!$A$1:$ZZ$501,$A12,J$3)))</f>
        <v>G.900007</v>
      </c>
      <c r="K12" t="str">
        <f>IF($B12="","",IF(K$3=0,"n.b.",INDEX(SRC_Woningetalage!$A$1:$ZZ$501,$A12,K$3)))</f>
        <v>Rietdam, Havenkwartier</v>
      </c>
      <c r="L12" t="str">
        <f>IF($B12="","",IF(L$3=0,"n.b.",INDEX(SRC_Woningetalage!$A$1:$ZZ$501,$A12,L$3)))</f>
        <v>Rietdam, Havenkwartier</v>
      </c>
      <c r="M12" t="str">
        <f>IF($B12="","",IF(M$3=0,"n.b.",INDEX(SRC_Woningetalage!$A$1:$ZZ$501,$A12,M$3)))</f>
        <v>080</v>
      </c>
      <c r="N12">
        <f>IF($B12="","",IF(N$3=0,"n.b.",INDEX(SRC_Woningetalage!$A$1:$ZZ$501,$A12,N$3)))</f>
        <v>45931.0</v>
      </c>
      <c r="O12">
        <f>IF($B12="","",IF(O$3=0,"n.b.",INDEX(SRC_Woningetalage!$A$1:$ZZ$501,$A12,O$3)))</f>
        <v>46204.0</v>
      </c>
      <c r="P12">
        <f>IF($B12="","",IF(P$3=0,"n.b.",INDEX(SRC_Woningetalage!$A$1:$ZZ$501,$A12,P$3)))</f>
        <v>47088.0</v>
      </c>
      <c r="Q12" s="124">
        <f>IF($B12="","",IF(Q$3=0,"n.b.",INDEX(SRC_Woningetalage!$A$1:$ZZ$501,$A12,Q$3)))</f>
        <v>64</v>
      </c>
      <c r="R12" s="124">
        <f>IF($B12="","",IF(R$3=0,"n.b.",INDEX(SRC_Woningetalage!$A$1:$ZZ$501,$A12,R$3)))</f>
        <v>0</v>
      </c>
      <c r="S12" s="124">
        <f>IF($B12="","",IF(S$3=0,"n.b.",INDEX(SRC_Woningetalage!$A$1:$ZZ$501,$A12,S$3)))</f>
        <v>0</v>
      </c>
      <c r="T12" s="124">
        <f>IF($B12="","",IF(T$3=0,"n.b.",INDEX(SRC_Woningetalage!$A$1:$ZZ$501,$A12,T$3)))</f>
        <v>0</v>
      </c>
      <c r="U12" s="124">
        <f>IF($B12="","",IF(U$3=0,"n.b.",INDEX(SRC_Woningetalage!$A$1:$ZZ$501,$A12,U$3)))</f>
        <v>0</v>
      </c>
      <c r="V12" s="124">
        <f>IF($B12="","",IF(V$3=0,"n.b.",INDEX(SRC_Woningetalage!$A$1:$ZZ$501,$A12,V$3)))</f>
        <v>9</v>
      </c>
      <c r="W12" s="124">
        <f>IF($B12="","",IF(W$3=0,"n.b.",INDEX(SRC_Woningetalage!$A$1:$ZZ$501,$A12,W$3)))</f>
        <v>9</v>
      </c>
      <c r="X12" s="124">
        <f>IF($B12="","",IF(X$3=0,"n.b.",INDEX(SRC_Woningetalage!$A$1:$ZZ$501,$A12,X$3)))</f>
        <v>0</v>
      </c>
      <c r="Y12" s="124">
        <f>IF($B12="","",IF(Y$3=0,"n.b.",INDEX(SRC_Woningetalage!$A$1:$ZZ$501,$A12,Y$3)))</f>
        <v>9</v>
      </c>
      <c r="Z12" s="124">
        <f>IF($B12="","",IF(Z$3=0,"n.b.",INDEX(SRC_Woningetalage!$A$1:$ZZ$501,$A12,Z$3)))</f>
        <v>9</v>
      </c>
      <c r="AA12" s="124">
        <f>IF($B12="","",IF(AA$3=0,"n.b.",INDEX(SRC_Woningetalage!$A$1:$ZZ$501,$A12,AA$3)))</f>
        <v>55</v>
      </c>
      <c r="AB12" s="124">
        <f>IF($B12="","",IF(AB$3=0,"n.b.",INDEX(SRC_Woningetalage!$A$1:$ZZ$501,$A12,AB$3)))</f>
        <v>0</v>
      </c>
      <c r="AC12" s="124">
        <f>IF($B12="","",IF(AC$3=0,"n.b.",INDEX(SRC_Woningetalage!$A$1:$ZZ$501,$A12,AC$3)))</f>
        <v>0</v>
      </c>
      <c r="AD12" s="124">
        <f>IF($B12="","",IF(AD$3=0,"n.b.",INDEX(SRC_Woningetalage!$A$1:$ZZ$501,$A12,AD$3)))</f>
        <v>1</v>
      </c>
      <c r="AE12" s="124">
        <f>IF($B12="","",IF(AE$3=0,"n.b.",INDEX(SRC_Woningetalage!$A$1:$ZZ$501,$A12,AE$3)))</f>
        <v>1</v>
      </c>
      <c r="AF12" s="124">
        <f>IF($B12="","",IF(AF$3=0,"n.b.",INDEX(SRC_Woningetalage!$A$1:$ZZ$501,$A12,AF$3)))</f>
        <v>2</v>
      </c>
      <c r="AG12" s="124">
        <f>IF($B12="","",IF(AG$3=0,"n.b.",INDEX(SRC_Woningetalage!$A$1:$ZZ$501,$A12,AG$3)))</f>
        <v>1</v>
      </c>
      <c r="AH12" s="124">
        <f>IF($B12="","",IF(AH$3=0,"n.b.",INDEX(SRC_Woningetalage!$A$1:$ZZ$501,$A12,AH$3)))</f>
        <v>1</v>
      </c>
      <c r="AI12" s="124">
        <f>IF($B12="","",IF(AI$3=0,"n.b.",INDEX(SRC_Woningetalage!$A$1:$ZZ$501,$A12,AI$3)))</f>
        <v>2</v>
      </c>
      <c r="AJ12" s="124">
        <f>IF($B12="","",IF(AJ$3=0,"n.b.",INDEX(SRC_Woningetalage!$A$1:$ZZ$501,$A12,AJ$3)))</f>
        <v>1</v>
      </c>
      <c r="AK12" s="124">
        <f>IF($B12="","",IF(AK$3=0,"n.b.",INDEX(SRC_Woningetalage!$A$1:$ZZ$501,$A12,AK$3)))</f>
        <v>0</v>
      </c>
      <c r="AL12" s="124">
        <f>IF($B12="","",IF(AL$3=0,"n.b.",INDEX(SRC_Woningetalage!$A$1:$ZZ$501,$A12,AL$3)))</f>
        <v>0</v>
      </c>
      <c r="AM12" s="124">
        <f>IF($B12="","",IF(AM$3=0,"n.b.",INDEX(SRC_Woningetalage!$A$1:$ZZ$501,$A12,AM$3)))</f>
        <v>12</v>
      </c>
      <c r="AN12" s="124">
        <f>IF($B12="","",IF(AN$3=0,"n.b.",INDEX(SRC_Woningetalage!$A$1:$ZZ$501,$A12,AN$3)))</f>
        <v>8</v>
      </c>
      <c r="AO12" s="124">
        <f>IF($B12="","",IF(AO$3=0,"n.b.",INDEX(SRC_Woningetalage!$A$1:$ZZ$501,$A12,AO$3)))</f>
        <v>7</v>
      </c>
      <c r="AP12" s="124">
        <f>IF($B12="","",IF(AP$3=0,"n.b.",INDEX(SRC_Woningetalage!$A$1:$ZZ$501,$A12,AP$3)))</f>
        <v>7</v>
      </c>
      <c r="AQ12" s="124">
        <f>IF($B12="","",IF(AQ$3=0,"n.b.",INDEX(SRC_Woningetalage!$A$1:$ZZ$501,$A12,AQ$3)))</f>
        <v>6</v>
      </c>
      <c r="AR12" s="124">
        <f>IF($B12="","",IF(AR$3=0,"n.b.",INDEX(SRC_Woningetalage!$A$1:$ZZ$501,$A12,AR$3)))</f>
        <v>21</v>
      </c>
      <c r="AS12" s="124">
        <f>IF($B12="","",IF(AS$3=0,"n.b.",INDEX(SRC_Woningetalage!$A$1:$ZZ$501,$A12,AS$3)))</f>
        <v>28</v>
      </c>
      <c r="AT12" s="124">
        <f>IF($B12="","",IF(AT$3=0,"n.b.",INDEX(SRC_Woningetalage!$A$1:$ZZ$501,$A12,AT$3)))</f>
        <v>0</v>
      </c>
      <c r="AU12" s="124">
        <f>IF($B12="","",IF(AU$3=0,"n.b.",INDEX(SRC_Woningetalage!$A$1:$ZZ$501,$A12,AU$3)))</f>
        <v>15</v>
      </c>
      <c r="AV12" s="124">
        <f>IF($B12="","",IF(AV$3=0,"n.b.",INDEX(SRC_Woningetalage!$A$1:$ZZ$501,$A12,AV$3)))</f>
        <v>0</v>
      </c>
      <c r="AW12" s="124">
        <f>IF($B12="","",IF(AW$3=0,"n.b.",INDEX(SRC_Woningetalage!$A$1:$ZZ$501,$A12,AW$3)))</f>
        <v>0</v>
      </c>
      <c r="AX12" s="124">
        <f>IF($B12="","",IF(AX$3=0,"n.b.",INDEX(SRC_Woningetalage!$A$1:$ZZ$501,$A12,AX$3)))</f>
        <v>0</v>
      </c>
      <c r="AY12" s="124">
        <f>IF($B12="","",IF(AY$3=0,"n.b.",INDEX(SRC_Woningetalage!$A$1:$ZZ$501,$A12,AY$3)))</f>
        <v>0</v>
      </c>
      <c r="AZ12" s="124">
        <f>IF($B12="","",IF(AZ$3=0,"n.b.",INDEX(SRC_Woningetalage!$A$1:$ZZ$501,$A12,AZ$3)))</f>
        <v>0</v>
      </c>
      <c r="BA12" s="124">
        <f>IF($B12="","",IF(BA$3=0,"n.b.",INDEX(SRC_Woningetalage!$A$1:$ZZ$501,$A12,BA$3)))</f>
        <v>0</v>
      </c>
      <c r="BB12" s="124">
        <f>IF($B12="","",IF(BB$3=0,"n.b.",INDEX(SRC_Woningetalage!$A$1:$ZZ$501,$A12,BB$3)))</f>
        <v>0</v>
      </c>
      <c r="BC12" s="124">
        <f>IF($B12="","",IFERROR(_xlfn.NUMBERVALUE(E12&amp;"",",","."),"n.b."))</f>
        <v>100</v>
      </c>
      <c r="BD12" s="124">
        <f>IF($B12="","",IFERROR(_xlfn.NUMBERVALUE(M12&amp;"",",","."),"n.b."))</f>
        <v>80</v>
      </c>
      <c r="BE12" s="124">
        <f>IF($B12="","",IFERROR(AB12+AC12+AD12,"n.b."))</f>
        <v>1</v>
      </c>
      <c r="BF12" s="124">
        <f>IF($B12="","",IFERROR(AE12+AF12+AG12,"n.b."))</f>
        <v>4</v>
      </c>
      <c r="BG12" s="124">
        <f>IF($B12="","",IFERROR(AH12+AI12+AJ12,"n.b."))</f>
        <v>4</v>
      </c>
      <c r="BH12" s="124">
        <f>IF($B12="","",IFERROR(AK12+AL12+AM12,"n.b."))</f>
        <v>12</v>
      </c>
      <c r="BI12" s="124">
        <f>IF($B12="","",IFERROR(SUMIF($AB$5:$AM$5,"&lt;="&amp;P_PeilMaand,AB12:AM12),"n.b."))</f>
        <v>9</v>
      </c>
      <c r="BJ12" s="124">
        <f>IF($B12="","",IFERROR(SUM(AB12:AM12)-BI12,"n.b."))</f>
        <v>12</v>
      </c>
      <c r="BK12" s="124">
        <f>IF($B12="","",IFERROR(IF(ABS(Q12-(T12+SUM(AB12:AM12)+AS12+AU12))&gt;P_Tol,1,0),1))</f>
        <v>0</v>
      </c>
      <c r="BL12" s="124">
        <f>IF($B12="","",IFERROR(IF(ABS(AA12-(Q12-Z12))&gt;P_Tol,1,0),1))</f>
        <v>0</v>
      </c>
      <c r="BM12" s="124">
        <f>IF($B12="","",IFERROR(IF(ABS(Z12-(T12+W12))&gt;P_Tol,1,0),1))</f>
        <v>0</v>
      </c>
      <c r="BN12" s="124">
        <f>IF($B12="","",IFERROR(IF(ABS(W12-BI12)&gt;P_Tol,1,0),1))</f>
        <v>0</v>
      </c>
      <c r="BO12" s="124">
        <f>IF($B12="","",IFERROR(IF(OR(ABS(R12+S12-T12)&gt;P_Tol,ABS(U12+V12-W12)&gt;P_Tol,ABS(X12+Y12-Z12)&gt;P_Tol),1,0),1))</f>
        <v>0</v>
      </c>
      <c r="BP12" s="124">
        <f>IF($B12="","",IFERROR(IF(OR(ABS(AR12-SUM(AB12:AM12))&gt;P_Tol,ABS(AS12-(AN12+AO12+AP12+AQ12))&gt;P_Tol),1,0),1))</f>
        <v>0</v>
      </c>
      <c r="BQ12" s="124">
        <f>IF($B12="","",IFERROR(IF(ABS(AT12)+ABS(AV12)+ABS(AW12)+ABS(AX12)+ABS(AY12)+ABS(AZ12)+ABS(BA12)+ABS(BB12)&gt;0,1,0),1))</f>
        <v>0</v>
      </c>
      <c r="BR12" s="124">
        <f>IF($B12="","",COUNTIF(STG_ZPMW03!$B$6:$B$505,B12))</f>
        <v>1</v>
      </c>
      <c r="BS12" s="124">
        <f>IF($B12="","",COUNTIF($B$6:$B$505,B12))</f>
        <v>1</v>
      </c>
      <c r="BT12" s="124">
        <f>IF($B12="","",IF(BR12=0,0,IF(INDEX(STG_ZPMW03!$I$6:$I$505,MATCH(B12,STG_ZPMW03!$B$6:$B$505,0))=J12&amp;"",0,1)))</f>
        <v>0</v>
      </c>
      <c r="BU12" s="124">
        <f>IF($B12="","",IFERROR(IF(ABS(INDEX(Mapping!$D$5:$D$104,MATCH(B12,Mapping!$A$5:$A$104,0))-Q12)&gt;P_Tol,1,0),0))</f>
        <v>0</v>
      </c>
      <c r="BV12" s="124">
        <f>IF($B12="","",IFERROR(IF(AND(INDEX(Mapping!$G$5:$G$104,MATCH(B12,Mapping!$A$5:$A$104,0))="Nee",ABS(Q12)+ABS(Z12)+ABS(AR12)&gt;0),1,0),0))</f>
        <v>0</v>
      </c>
      <c r="BW12" s="124">
        <f>IF($B12="","",IF(COUNTIF(Mapping!$A$5:$A$104,B12)&gt;0,1,0))</f>
        <v>1</v>
      </c>
      <c r="BX12" s="124" t="str">
        <f>IF($B12="","",IF(BR12=0,COUNTIF($BR$6:BR12,0),""))</f>
        <v/>
      </c>
    </row>
    <row r="13">
      <c r="A13" s="15" t="n">
        <v>9</v>
      </c>
      <c r="B13" t="str">
        <f>IF(B$3=0,"",IF(INDEX(SRC_Woningetalage!$A$1:$ZZ$501,$A13,B$3)&amp;""="","",INDEX(SRC_Woningetalage!$A$1:$ZZ$501,$A13,B$3)&amp;""))</f>
        <v>G.900008.8.9090</v>
      </c>
      <c r="C13">
        <f>IF($B13="","",IF(C$3=0,"n.b.",INDEX(SRC_Woningetalage!$A$1:$ZZ$501,$A13,C$3)))</f>
        <v>9901</v>
      </c>
      <c r="D13" t="str">
        <f>IF($B13="","",IF(D$3=0,"n.b.",INDEX(SRC_Woningetalage!$A$1:$ZZ$501,$A13,D$3)))</f>
        <v>Demo Ontwikkeling BV</v>
      </c>
      <c r="E13" t="str">
        <f>IF($B13="","",IF(E$3=0,"n.b.",INDEX(SRC_Woningetalage!$A$1:$ZZ$501,$A13,E$3)))</f>
        <v>100,00</v>
      </c>
      <c r="F13" t="str">
        <f>IF($B13="","",IF(F$3=0,"n.b.",INDEX(SRC_Woningetalage!$A$1:$ZZ$501,$A13,F$3)))</f>
        <v>08</v>
      </c>
      <c r="G13" t="str">
        <f>IF($B13="","",IF(G$3=0,"n.b.",INDEX(SRC_Woningetalage!$A$1:$ZZ$501,$A13,G$3)))</f>
        <v>Opstalontwikkeling</v>
      </c>
      <c r="H13" t="str">
        <f>IF($B13="","",IF(H$3=0,"n.b.",INDEX(SRC_Woningetalage!$A$1:$ZZ$501,$A13,H$3)))</f>
        <v>9090</v>
      </c>
      <c r="I13" t="str">
        <f>IF($B13="","",IF(I$3=0,"n.b.",INDEX(SRC_Woningetalage!$A$1:$ZZ$501,$A13,I$3)))</f>
        <v>Demo Regio</v>
      </c>
      <c r="J13" t="str">
        <f>IF($B13="","",IF(J$3=0,"n.b.",INDEX(SRC_Woningetalage!$A$1:$ZZ$501,$A13,J$3)))</f>
        <v>G.900008</v>
      </c>
      <c r="K13" t="str">
        <f>IF($B13="","",IF(K$3=0,"n.b.",INDEX(SRC_Woningetalage!$A$1:$ZZ$501,$A13,K$3)))</f>
        <v>Lindehaven, De Brink</v>
      </c>
      <c r="L13" t="str">
        <f>IF($B13="","",IF(L$3=0,"n.b.",INDEX(SRC_Woningetalage!$A$1:$ZZ$501,$A13,L$3)))</f>
        <v>Lindehaven, De Brink</v>
      </c>
      <c r="M13" t="str">
        <f>IF($B13="","",IF(M$3=0,"n.b.",INDEX(SRC_Woningetalage!$A$1:$ZZ$501,$A13,M$3)))</f>
        <v>060</v>
      </c>
      <c r="N13">
        <f>IF($B13="","",IF(N$3=0,"n.b.",INDEX(SRC_Woningetalage!$A$1:$ZZ$501,$A13,N$3)))</f>
        <v>45931.0</v>
      </c>
      <c r="O13">
        <f>IF($B13="","",IF(O$3=0,"n.b.",INDEX(SRC_Woningetalage!$A$1:$ZZ$501,$A13,O$3)))</f>
        <v>46235.0</v>
      </c>
      <c r="P13">
        <f>IF($B13="","",IF(P$3=0,"n.b.",INDEX(SRC_Woningetalage!$A$1:$ZZ$501,$A13,P$3)))</f>
        <v>47088.0</v>
      </c>
      <c r="Q13" s="124">
        <f>IF($B13="","",IF(Q$3=0,"n.b.",INDEX(SRC_Woningetalage!$A$1:$ZZ$501,$A13,Q$3)))</f>
        <v>42</v>
      </c>
      <c r="R13" s="124">
        <f>IF($B13="","",IF(R$3=0,"n.b.",INDEX(SRC_Woningetalage!$A$1:$ZZ$501,$A13,R$3)))</f>
        <v>0</v>
      </c>
      <c r="S13" s="124">
        <f>IF($B13="","",IF(S$3=0,"n.b.",INDEX(SRC_Woningetalage!$A$1:$ZZ$501,$A13,S$3)))</f>
        <v>0</v>
      </c>
      <c r="T13" s="124">
        <f>IF($B13="","",IF(T$3=0,"n.b.",INDEX(SRC_Woningetalage!$A$1:$ZZ$501,$A13,T$3)))</f>
        <v>0</v>
      </c>
      <c r="U13" s="124">
        <f>IF($B13="","",IF(U$3=0,"n.b.",INDEX(SRC_Woningetalage!$A$1:$ZZ$501,$A13,U$3)))</f>
        <v>0</v>
      </c>
      <c r="V13" s="124">
        <f>IF($B13="","",IF(V$3=0,"n.b.",INDEX(SRC_Woningetalage!$A$1:$ZZ$501,$A13,V$3)))</f>
        <v>7</v>
      </c>
      <c r="W13" s="124">
        <f>IF($B13="","",IF(W$3=0,"n.b.",INDEX(SRC_Woningetalage!$A$1:$ZZ$501,$A13,W$3)))</f>
        <v>7</v>
      </c>
      <c r="X13" s="124">
        <f>IF($B13="","",IF(X$3=0,"n.b.",INDEX(SRC_Woningetalage!$A$1:$ZZ$501,$A13,X$3)))</f>
        <v>0</v>
      </c>
      <c r="Y13" s="124">
        <f>IF($B13="","",IF(Y$3=0,"n.b.",INDEX(SRC_Woningetalage!$A$1:$ZZ$501,$A13,Y$3)))</f>
        <v>7</v>
      </c>
      <c r="Z13" s="124">
        <f>IF($B13="","",IF(Z$3=0,"n.b.",INDEX(SRC_Woningetalage!$A$1:$ZZ$501,$A13,Z$3)))</f>
        <v>7</v>
      </c>
      <c r="AA13" s="124">
        <f>IF($B13="","",IF(AA$3=0,"n.b.",INDEX(SRC_Woningetalage!$A$1:$ZZ$501,$A13,AA$3)))</f>
        <v>35</v>
      </c>
      <c r="AB13" s="124">
        <f>IF($B13="","",IF(AB$3=0,"n.b.",INDEX(SRC_Woningetalage!$A$1:$ZZ$501,$A13,AB$3)))</f>
        <v>0</v>
      </c>
      <c r="AC13" s="124">
        <f>IF($B13="","",IF(AC$3=0,"n.b.",INDEX(SRC_Woningetalage!$A$1:$ZZ$501,$A13,AC$3)))</f>
        <v>0</v>
      </c>
      <c r="AD13" s="124">
        <f>IF($B13="","",IF(AD$3=0,"n.b.",INDEX(SRC_Woningetalage!$A$1:$ZZ$501,$A13,AD$3)))</f>
        <v>1</v>
      </c>
      <c r="AE13" s="124">
        <f>IF($B13="","",IF(AE$3=0,"n.b.",INDEX(SRC_Woningetalage!$A$1:$ZZ$501,$A13,AE$3)))</f>
        <v>1</v>
      </c>
      <c r="AF13" s="124">
        <f>IF($B13="","",IF(AF$3=0,"n.b.",INDEX(SRC_Woningetalage!$A$1:$ZZ$501,$A13,AF$3)))</f>
        <v>1</v>
      </c>
      <c r="AG13" s="124">
        <f>IF($B13="","",IF(AG$3=0,"n.b.",INDEX(SRC_Woningetalage!$A$1:$ZZ$501,$A13,AG$3)))</f>
        <v>1</v>
      </c>
      <c r="AH13" s="124">
        <f>IF($B13="","",IF(AH$3=0,"n.b.",INDEX(SRC_Woningetalage!$A$1:$ZZ$501,$A13,AH$3)))</f>
        <v>1</v>
      </c>
      <c r="AI13" s="124">
        <f>IF($B13="","",IF(AI$3=0,"n.b.",INDEX(SRC_Woningetalage!$A$1:$ZZ$501,$A13,AI$3)))</f>
        <v>1</v>
      </c>
      <c r="AJ13" s="124">
        <f>IF($B13="","",IF(AJ$3=0,"n.b.",INDEX(SRC_Woningetalage!$A$1:$ZZ$501,$A13,AJ$3)))</f>
        <v>1</v>
      </c>
      <c r="AK13" s="124">
        <f>IF($B13="","",IF(AK$3=0,"n.b.",INDEX(SRC_Woningetalage!$A$1:$ZZ$501,$A13,AK$3)))</f>
        <v>0</v>
      </c>
      <c r="AL13" s="124">
        <f>IF($B13="","",IF(AL$3=0,"n.b.",INDEX(SRC_Woningetalage!$A$1:$ZZ$501,$A13,AL$3)))</f>
        <v>0</v>
      </c>
      <c r="AM13" s="124">
        <f>IF($B13="","",IF(AM$3=0,"n.b.",INDEX(SRC_Woningetalage!$A$1:$ZZ$501,$A13,AM$3)))</f>
        <v>7</v>
      </c>
      <c r="AN13" s="124">
        <f>IF($B13="","",IF(AN$3=0,"n.b.",INDEX(SRC_Woningetalage!$A$1:$ZZ$501,$A13,AN$3)))</f>
        <v>5</v>
      </c>
      <c r="AO13" s="124">
        <f>IF($B13="","",IF(AO$3=0,"n.b.",INDEX(SRC_Woningetalage!$A$1:$ZZ$501,$A13,AO$3)))</f>
        <v>4</v>
      </c>
      <c r="AP13" s="124">
        <f>IF($B13="","",IF(AP$3=0,"n.b.",INDEX(SRC_Woningetalage!$A$1:$ZZ$501,$A13,AP$3)))</f>
        <v>4</v>
      </c>
      <c r="AQ13" s="124">
        <f>IF($B13="","",IF(AQ$3=0,"n.b.",INDEX(SRC_Woningetalage!$A$1:$ZZ$501,$A13,AQ$3)))</f>
        <v>5</v>
      </c>
      <c r="AR13" s="124">
        <f>IF($B13="","",IF(AR$3=0,"n.b.",INDEX(SRC_Woningetalage!$A$1:$ZZ$501,$A13,AR$3)))</f>
        <v>14</v>
      </c>
      <c r="AS13" s="124">
        <f>IF($B13="","",IF(AS$3=0,"n.b.",INDEX(SRC_Woningetalage!$A$1:$ZZ$501,$A13,AS$3)))</f>
        <v>18</v>
      </c>
      <c r="AT13" s="124">
        <f>IF($B13="","",IF(AT$3=0,"n.b.",INDEX(SRC_Woningetalage!$A$1:$ZZ$501,$A13,AT$3)))</f>
        <v>0</v>
      </c>
      <c r="AU13" s="124">
        <f>IF($B13="","",IF(AU$3=0,"n.b.",INDEX(SRC_Woningetalage!$A$1:$ZZ$501,$A13,AU$3)))</f>
        <v>10</v>
      </c>
      <c r="AV13" s="124">
        <f>IF($B13="","",IF(AV$3=0,"n.b.",INDEX(SRC_Woningetalage!$A$1:$ZZ$501,$A13,AV$3)))</f>
        <v>0</v>
      </c>
      <c r="AW13" s="124">
        <f>IF($B13="","",IF(AW$3=0,"n.b.",INDEX(SRC_Woningetalage!$A$1:$ZZ$501,$A13,AW$3)))</f>
        <v>0</v>
      </c>
      <c r="AX13" s="124">
        <f>IF($B13="","",IF(AX$3=0,"n.b.",INDEX(SRC_Woningetalage!$A$1:$ZZ$501,$A13,AX$3)))</f>
        <v>0</v>
      </c>
      <c r="AY13" s="124">
        <f>IF($B13="","",IF(AY$3=0,"n.b.",INDEX(SRC_Woningetalage!$A$1:$ZZ$501,$A13,AY$3)))</f>
        <v>0</v>
      </c>
      <c r="AZ13" s="124">
        <f>IF($B13="","",IF(AZ$3=0,"n.b.",INDEX(SRC_Woningetalage!$A$1:$ZZ$501,$A13,AZ$3)))</f>
        <v>0</v>
      </c>
      <c r="BA13" s="124">
        <f>IF($B13="","",IF(BA$3=0,"n.b.",INDEX(SRC_Woningetalage!$A$1:$ZZ$501,$A13,BA$3)))</f>
        <v>0</v>
      </c>
      <c r="BB13" s="124">
        <f>IF($B13="","",IF(BB$3=0,"n.b.",INDEX(SRC_Woningetalage!$A$1:$ZZ$501,$A13,BB$3)))</f>
        <v>0</v>
      </c>
      <c r="BC13" s="124">
        <f>IF($B13="","",IFERROR(_xlfn.NUMBERVALUE(E13&amp;"",",","."),"n.b."))</f>
        <v>100</v>
      </c>
      <c r="BD13" s="124">
        <f>IF($B13="","",IFERROR(_xlfn.NUMBERVALUE(M13&amp;"",",","."),"n.b."))</f>
        <v>60</v>
      </c>
      <c r="BE13" s="124">
        <f>IF($B13="","",IFERROR(AB13+AC13+AD13,"n.b."))</f>
        <v>1</v>
      </c>
      <c r="BF13" s="124">
        <f>IF($B13="","",IFERROR(AE13+AF13+AG13,"n.b."))</f>
        <v>3</v>
      </c>
      <c r="BG13" s="124">
        <f>IF($B13="","",IFERROR(AH13+AI13+AJ13,"n.b."))</f>
        <v>3</v>
      </c>
      <c r="BH13" s="124">
        <f>IF($B13="","",IFERROR(AK13+AL13+AM13,"n.b."))</f>
        <v>7</v>
      </c>
      <c r="BI13" s="124">
        <f>IF($B13="","",IFERROR(SUMIF($AB$5:$AM$5,"&lt;="&amp;P_PeilMaand,AB13:AM13),"n.b."))</f>
        <v>7</v>
      </c>
      <c r="BJ13" s="124">
        <f>IF($B13="","",IFERROR(SUM(AB13:AM13)-BI13,"n.b."))</f>
        <v>7</v>
      </c>
      <c r="BK13" s="124">
        <f>IF($B13="","",IFERROR(IF(ABS(Q13-(T13+SUM(AB13:AM13)+AS13+AU13))&gt;P_Tol,1,0),1))</f>
        <v>0</v>
      </c>
      <c r="BL13" s="124">
        <f>IF($B13="","",IFERROR(IF(ABS(AA13-(Q13-Z13))&gt;P_Tol,1,0),1))</f>
        <v>0</v>
      </c>
      <c r="BM13" s="124">
        <f>IF($B13="","",IFERROR(IF(ABS(Z13-(T13+W13))&gt;P_Tol,1,0),1))</f>
        <v>0</v>
      </c>
      <c r="BN13" s="124">
        <f>IF($B13="","",IFERROR(IF(ABS(W13-BI13)&gt;P_Tol,1,0),1))</f>
        <v>0</v>
      </c>
      <c r="BO13" s="124">
        <f>IF($B13="","",IFERROR(IF(OR(ABS(R13+S13-T13)&gt;P_Tol,ABS(U13+V13-W13)&gt;P_Tol,ABS(X13+Y13-Z13)&gt;P_Tol),1,0),1))</f>
        <v>0</v>
      </c>
      <c r="BP13" s="124">
        <f>IF($B13="","",IFERROR(IF(OR(ABS(AR13-SUM(AB13:AM13))&gt;P_Tol,ABS(AS13-(AN13+AO13+AP13+AQ13))&gt;P_Tol),1,0),1))</f>
        <v>0</v>
      </c>
      <c r="BQ13" s="124">
        <f>IF($B13="","",IFERROR(IF(ABS(AT13)+ABS(AV13)+ABS(AW13)+ABS(AX13)+ABS(AY13)+ABS(AZ13)+ABS(BA13)+ABS(BB13)&gt;0,1,0),1))</f>
        <v>0</v>
      </c>
      <c r="BR13" s="124">
        <f>IF($B13="","",COUNTIF(STG_ZPMW03!$B$6:$B$505,B13))</f>
        <v>1</v>
      </c>
      <c r="BS13" s="124">
        <f>IF($B13="","",COUNTIF($B$6:$B$505,B13))</f>
        <v>1</v>
      </c>
      <c r="BT13" s="124">
        <f>IF($B13="","",IF(BR13=0,0,IF(INDEX(STG_ZPMW03!$I$6:$I$505,MATCH(B13,STG_ZPMW03!$B$6:$B$505,0))=J13&amp;"",0,1)))</f>
        <v>0</v>
      </c>
      <c r="BU13" s="124">
        <f>IF($B13="","",IFERROR(IF(ABS(INDEX(Mapping!$D$5:$D$104,MATCH(B13,Mapping!$A$5:$A$104,0))-Q13)&gt;P_Tol,1,0),0))</f>
        <v>0</v>
      </c>
      <c r="BV13" s="124">
        <f>IF($B13="","",IFERROR(IF(AND(INDEX(Mapping!$G$5:$G$104,MATCH(B13,Mapping!$A$5:$A$104,0))="Nee",ABS(Q13)+ABS(Z13)+ABS(AR13)&gt;0),1,0),0))</f>
        <v>0</v>
      </c>
      <c r="BW13" s="124">
        <f>IF($B13="","",IF(COUNTIF(Mapping!$A$5:$A$104,B13)&gt;0,1,0))</f>
        <v>1</v>
      </c>
      <c r="BX13" s="124" t="str">
        <f>IF($B13="","",IF(BR13=0,COUNTIF($BR$6:BR13,0),""))</f>
        <v/>
      </c>
    </row>
    <row r="14">
      <c r="A14" s="15" t="n">
        <v>10</v>
      </c>
      <c r="B14" t="str">
        <f>IF(B$3=0,"",IF(INDEX(SRC_Woningetalage!$A$1:$ZZ$501,$A14,B$3)&amp;""="","",INDEX(SRC_Woningetalage!$A$1:$ZZ$501,$A14,B$3)&amp;""))</f>
        <v>G.900009.8.9090</v>
      </c>
      <c r="C14">
        <f>IF($B14="","",IF(C$3=0,"n.b.",INDEX(SRC_Woningetalage!$A$1:$ZZ$501,$A14,C$3)))</f>
        <v>9901</v>
      </c>
      <c r="D14" t="str">
        <f>IF($B14="","",IF(D$3=0,"n.b.",INDEX(SRC_Woningetalage!$A$1:$ZZ$501,$A14,D$3)))</f>
        <v>Demo Ontwikkeling BV</v>
      </c>
      <c r="E14" t="str">
        <f>IF($B14="","",IF(E$3=0,"n.b.",INDEX(SRC_Woningetalage!$A$1:$ZZ$501,$A14,E$3)))</f>
        <v>100,00</v>
      </c>
      <c r="F14" t="str">
        <f>IF($B14="","",IF(F$3=0,"n.b.",INDEX(SRC_Woningetalage!$A$1:$ZZ$501,$A14,F$3)))</f>
        <v>08</v>
      </c>
      <c r="G14" t="str">
        <f>IF($B14="","",IF(G$3=0,"n.b.",INDEX(SRC_Woningetalage!$A$1:$ZZ$501,$A14,G$3)))</f>
        <v>Opstalontwikkeling</v>
      </c>
      <c r="H14" t="str">
        <f>IF($B14="","",IF(H$3=0,"n.b.",INDEX(SRC_Woningetalage!$A$1:$ZZ$501,$A14,H$3)))</f>
        <v>9090</v>
      </c>
      <c r="I14" t="str">
        <f>IF($B14="","",IF(I$3=0,"n.b.",INDEX(SRC_Woningetalage!$A$1:$ZZ$501,$A14,I$3)))</f>
        <v>Demo Regio</v>
      </c>
      <c r="J14" t="str">
        <f>IF($B14="","",IF(J$3=0,"n.b.",INDEX(SRC_Woningetalage!$A$1:$ZZ$501,$A14,J$3)))</f>
        <v>G.900009</v>
      </c>
      <c r="K14" t="str">
        <f>IF($B14="","",IF(K$3=0,"n.b.",INDEX(SRC_Woningetalage!$A$1:$ZZ$501,$A14,K$3)))</f>
        <v>Duinwaard, Duinrand</v>
      </c>
      <c r="L14" t="str">
        <f>IF($B14="","",IF(L$3=0,"n.b.",INDEX(SRC_Woningetalage!$A$1:$ZZ$501,$A14,L$3)))</f>
        <v>Duinwaard, Duinrand</v>
      </c>
      <c r="M14" t="str">
        <f>IF($B14="","",IF(M$3=0,"n.b.",INDEX(SRC_Woningetalage!$A$1:$ZZ$501,$A14,M$3)))</f>
        <v>040</v>
      </c>
      <c r="N14">
        <f>IF($B14="","",IF(N$3=0,"n.b.",INDEX(SRC_Woningetalage!$A$1:$ZZ$501,$A14,N$3)))</f>
        <v>45931.0</v>
      </c>
      <c r="O14">
        <f>IF($B14="","",IF(O$3=0,"n.b.",INDEX(SRC_Woningetalage!$A$1:$ZZ$501,$A14,O$3)))</f>
        <v>46266.0</v>
      </c>
      <c r="P14">
        <f>IF($B14="","",IF(P$3=0,"n.b.",INDEX(SRC_Woningetalage!$A$1:$ZZ$501,$A14,P$3)))</f>
        <v>47088.0</v>
      </c>
      <c r="Q14" s="124">
        <f>IF($B14="","",IF(Q$3=0,"n.b.",INDEX(SRC_Woningetalage!$A$1:$ZZ$501,$A14,Q$3)))</f>
        <v>88</v>
      </c>
      <c r="R14" s="124">
        <f>IF($B14="","",IF(R$3=0,"n.b.",INDEX(SRC_Woningetalage!$A$1:$ZZ$501,$A14,R$3)))</f>
        <v>0</v>
      </c>
      <c r="S14" s="124">
        <f>IF($B14="","",IF(S$3=0,"n.b.",INDEX(SRC_Woningetalage!$A$1:$ZZ$501,$A14,S$3)))</f>
        <v>0</v>
      </c>
      <c r="T14" s="124">
        <f>IF($B14="","",IF(T$3=0,"n.b.",INDEX(SRC_Woningetalage!$A$1:$ZZ$501,$A14,T$3)))</f>
        <v>0</v>
      </c>
      <c r="U14" s="124">
        <f>IF($B14="","",IF(U$3=0,"n.b.",INDEX(SRC_Woningetalage!$A$1:$ZZ$501,$A14,U$3)))</f>
        <v>0</v>
      </c>
      <c r="V14" s="124">
        <f>IF($B14="","",IF(V$3=0,"n.b.",INDEX(SRC_Woningetalage!$A$1:$ZZ$501,$A14,V$3)))</f>
        <v>18</v>
      </c>
      <c r="W14" s="124">
        <f>IF($B14="","",IF(W$3=0,"n.b.",INDEX(SRC_Woningetalage!$A$1:$ZZ$501,$A14,W$3)))</f>
        <v>18</v>
      </c>
      <c r="X14" s="124">
        <f>IF($B14="","",IF(X$3=0,"n.b.",INDEX(SRC_Woningetalage!$A$1:$ZZ$501,$A14,X$3)))</f>
        <v>0</v>
      </c>
      <c r="Y14" s="124">
        <f>IF($B14="","",IF(Y$3=0,"n.b.",INDEX(SRC_Woningetalage!$A$1:$ZZ$501,$A14,Y$3)))</f>
        <v>18</v>
      </c>
      <c r="Z14" s="124">
        <f>IF($B14="","",IF(Z$3=0,"n.b.",INDEX(SRC_Woningetalage!$A$1:$ZZ$501,$A14,Z$3)))</f>
        <v>18</v>
      </c>
      <c r="AA14" s="124">
        <f>IF($B14="","",IF(AA$3=0,"n.b.",INDEX(SRC_Woningetalage!$A$1:$ZZ$501,$A14,AA$3)))</f>
        <v>70</v>
      </c>
      <c r="AB14" s="124">
        <f>IF($B14="","",IF(AB$3=0,"n.b.",INDEX(SRC_Woningetalage!$A$1:$ZZ$501,$A14,AB$3)))</f>
        <v>1</v>
      </c>
      <c r="AC14" s="124">
        <f>IF($B14="","",IF(AC$3=0,"n.b.",INDEX(SRC_Woningetalage!$A$1:$ZZ$501,$A14,AC$3)))</f>
        <v>1</v>
      </c>
      <c r="AD14" s="124">
        <f>IF($B14="","",IF(AD$3=0,"n.b.",INDEX(SRC_Woningetalage!$A$1:$ZZ$501,$A14,AD$3)))</f>
        <v>2</v>
      </c>
      <c r="AE14" s="124">
        <f>IF($B14="","",IF(AE$3=0,"n.b.",INDEX(SRC_Woningetalage!$A$1:$ZZ$501,$A14,AE$3)))</f>
        <v>2</v>
      </c>
      <c r="AF14" s="124">
        <f>IF($B14="","",IF(AF$3=0,"n.b.",INDEX(SRC_Woningetalage!$A$1:$ZZ$501,$A14,AF$3)))</f>
        <v>3</v>
      </c>
      <c r="AG14" s="124">
        <f>IF($B14="","",IF(AG$3=0,"n.b.",INDEX(SRC_Woningetalage!$A$1:$ZZ$501,$A14,AG$3)))</f>
        <v>2</v>
      </c>
      <c r="AH14" s="124">
        <f>IF($B14="","",IF(AH$3=0,"n.b.",INDEX(SRC_Woningetalage!$A$1:$ZZ$501,$A14,AH$3)))</f>
        <v>2</v>
      </c>
      <c r="AI14" s="124">
        <f>IF($B14="","",IF(AI$3=0,"n.b.",INDEX(SRC_Woningetalage!$A$1:$ZZ$501,$A14,AI$3)))</f>
        <v>3</v>
      </c>
      <c r="AJ14" s="124">
        <f>IF($B14="","",IF(AJ$3=0,"n.b.",INDEX(SRC_Woningetalage!$A$1:$ZZ$501,$A14,AJ$3)))</f>
        <v>2</v>
      </c>
      <c r="AK14" s="124">
        <f>IF($B14="","",IF(AK$3=0,"n.b.",INDEX(SRC_Woningetalage!$A$1:$ZZ$501,$A14,AK$3)))</f>
        <v>1</v>
      </c>
      <c r="AL14" s="124">
        <f>IF($B14="","",IF(AL$3=0,"n.b.",INDEX(SRC_Woningetalage!$A$1:$ZZ$501,$A14,AL$3)))</f>
        <v>1</v>
      </c>
      <c r="AM14" s="124">
        <f>IF($B14="","",IF(AM$3=0,"n.b.",INDEX(SRC_Woningetalage!$A$1:$ZZ$501,$A14,AM$3)))</f>
        <v>9</v>
      </c>
      <c r="AN14" s="124">
        <f>IF($B14="","",IF(AN$3=0,"n.b.",INDEX(SRC_Woningetalage!$A$1:$ZZ$501,$A14,AN$3)))</f>
        <v>11</v>
      </c>
      <c r="AO14" s="124">
        <f>IF($B14="","",IF(AO$3=0,"n.b.",INDEX(SRC_Woningetalage!$A$1:$ZZ$501,$A14,AO$3)))</f>
        <v>9</v>
      </c>
      <c r="AP14" s="124">
        <f>IF($B14="","",IF(AP$3=0,"n.b.",INDEX(SRC_Woningetalage!$A$1:$ZZ$501,$A14,AP$3)))</f>
        <v>9</v>
      </c>
      <c r="AQ14" s="124">
        <f>IF($B14="","",IF(AQ$3=0,"n.b.",INDEX(SRC_Woningetalage!$A$1:$ZZ$501,$A14,AQ$3)))</f>
        <v>10</v>
      </c>
      <c r="AR14" s="124">
        <f>IF($B14="","",IF(AR$3=0,"n.b.",INDEX(SRC_Woningetalage!$A$1:$ZZ$501,$A14,AR$3)))</f>
        <v>29</v>
      </c>
      <c r="AS14" s="124">
        <f>IF($B14="","",IF(AS$3=0,"n.b.",INDEX(SRC_Woningetalage!$A$1:$ZZ$501,$A14,AS$3)))</f>
        <v>39</v>
      </c>
      <c r="AT14" s="124">
        <f>IF($B14="","",IF(AT$3=0,"n.b.",INDEX(SRC_Woningetalage!$A$1:$ZZ$501,$A14,AT$3)))</f>
        <v>0</v>
      </c>
      <c r="AU14" s="124">
        <f>IF($B14="","",IF(AU$3=0,"n.b.",INDEX(SRC_Woningetalage!$A$1:$ZZ$501,$A14,AU$3)))</f>
        <v>20</v>
      </c>
      <c r="AV14" s="124">
        <f>IF($B14="","",IF(AV$3=0,"n.b.",INDEX(SRC_Woningetalage!$A$1:$ZZ$501,$A14,AV$3)))</f>
        <v>0</v>
      </c>
      <c r="AW14" s="124">
        <f>IF($B14="","",IF(AW$3=0,"n.b.",INDEX(SRC_Woningetalage!$A$1:$ZZ$501,$A14,AW$3)))</f>
        <v>0</v>
      </c>
      <c r="AX14" s="124">
        <f>IF($B14="","",IF(AX$3=0,"n.b.",INDEX(SRC_Woningetalage!$A$1:$ZZ$501,$A14,AX$3)))</f>
        <v>0</v>
      </c>
      <c r="AY14" s="124">
        <f>IF($B14="","",IF(AY$3=0,"n.b.",INDEX(SRC_Woningetalage!$A$1:$ZZ$501,$A14,AY$3)))</f>
        <v>0</v>
      </c>
      <c r="AZ14" s="124">
        <f>IF($B14="","",IF(AZ$3=0,"n.b.",INDEX(SRC_Woningetalage!$A$1:$ZZ$501,$A14,AZ$3)))</f>
        <v>0</v>
      </c>
      <c r="BA14" s="124">
        <f>IF($B14="","",IF(BA$3=0,"n.b.",INDEX(SRC_Woningetalage!$A$1:$ZZ$501,$A14,BA$3)))</f>
        <v>0</v>
      </c>
      <c r="BB14" s="124">
        <f>IF($B14="","",IF(BB$3=0,"n.b.",INDEX(SRC_Woningetalage!$A$1:$ZZ$501,$A14,BB$3)))</f>
        <v>0</v>
      </c>
      <c r="BC14" s="124">
        <f>IF($B14="","",IFERROR(_xlfn.NUMBERVALUE(E14&amp;"",",","."),"n.b."))</f>
        <v>100</v>
      </c>
      <c r="BD14" s="124">
        <f>IF($B14="","",IFERROR(_xlfn.NUMBERVALUE(M14&amp;"",",","."),"n.b."))</f>
        <v>40</v>
      </c>
      <c r="BE14" s="124">
        <f>IF($B14="","",IFERROR(AB14+AC14+AD14,"n.b."))</f>
        <v>4</v>
      </c>
      <c r="BF14" s="124">
        <f>IF($B14="","",IFERROR(AE14+AF14+AG14,"n.b."))</f>
        <v>7</v>
      </c>
      <c r="BG14" s="124">
        <f>IF($B14="","",IFERROR(AH14+AI14+AJ14,"n.b."))</f>
        <v>7</v>
      </c>
      <c r="BH14" s="124">
        <f>IF($B14="","",IFERROR(AK14+AL14+AM14,"n.b."))</f>
        <v>11</v>
      </c>
      <c r="BI14" s="124">
        <f>IF($B14="","",IFERROR(SUMIF($AB$5:$AM$5,"&lt;="&amp;P_PeilMaand,AB14:AM14),"n.b."))</f>
        <v>18</v>
      </c>
      <c r="BJ14" s="124">
        <f>IF($B14="","",IFERROR(SUM(AB14:AM14)-BI14,"n.b."))</f>
        <v>11</v>
      </c>
      <c r="BK14" s="124">
        <f>IF($B14="","",IFERROR(IF(ABS(Q14-(T14+SUM(AB14:AM14)+AS14+AU14))&gt;P_Tol,1,0),1))</f>
        <v>0</v>
      </c>
      <c r="BL14" s="124">
        <f>IF($B14="","",IFERROR(IF(ABS(AA14-(Q14-Z14))&gt;P_Tol,1,0),1))</f>
        <v>0</v>
      </c>
      <c r="BM14" s="124">
        <f>IF($B14="","",IFERROR(IF(ABS(Z14-(T14+W14))&gt;P_Tol,1,0),1))</f>
        <v>0</v>
      </c>
      <c r="BN14" s="124">
        <f>IF($B14="","",IFERROR(IF(ABS(W14-BI14)&gt;P_Tol,1,0),1))</f>
        <v>0</v>
      </c>
      <c r="BO14" s="124">
        <f>IF($B14="","",IFERROR(IF(OR(ABS(R14+S14-T14)&gt;P_Tol,ABS(U14+V14-W14)&gt;P_Tol,ABS(X14+Y14-Z14)&gt;P_Tol),1,0),1))</f>
        <v>0</v>
      </c>
      <c r="BP14" s="124">
        <f>IF($B14="","",IFERROR(IF(OR(ABS(AR14-SUM(AB14:AM14))&gt;P_Tol,ABS(AS14-(AN14+AO14+AP14+AQ14))&gt;P_Tol),1,0),1))</f>
        <v>0</v>
      </c>
      <c r="BQ14" s="124">
        <f>IF($B14="","",IFERROR(IF(ABS(AT14)+ABS(AV14)+ABS(AW14)+ABS(AX14)+ABS(AY14)+ABS(AZ14)+ABS(BA14)+ABS(BB14)&gt;0,1,0),1))</f>
        <v>0</v>
      </c>
      <c r="BR14" s="124">
        <f>IF($B14="","",COUNTIF(STG_ZPMW03!$B$6:$B$505,B14))</f>
        <v>1</v>
      </c>
      <c r="BS14" s="124">
        <f>IF($B14="","",COUNTIF($B$6:$B$505,B14))</f>
        <v>1</v>
      </c>
      <c r="BT14" s="124">
        <f>IF($B14="","",IF(BR14=0,0,IF(INDEX(STG_ZPMW03!$I$6:$I$505,MATCH(B14,STG_ZPMW03!$B$6:$B$505,0))=J14&amp;"",0,1)))</f>
        <v>0</v>
      </c>
      <c r="BU14" s="124">
        <f>IF($B14="","",IFERROR(IF(ABS(INDEX(Mapping!$D$5:$D$104,MATCH(B14,Mapping!$A$5:$A$104,0))-Q14)&gt;P_Tol,1,0),0))</f>
        <v>0</v>
      </c>
      <c r="BV14" s="124">
        <f>IF($B14="","",IFERROR(IF(AND(INDEX(Mapping!$G$5:$G$104,MATCH(B14,Mapping!$A$5:$A$104,0))="Nee",ABS(Q14)+ABS(Z14)+ABS(AR14)&gt;0),1,0),0))</f>
        <v>0</v>
      </c>
      <c r="BW14" s="124">
        <f>IF($B14="","",IF(COUNTIF(Mapping!$A$5:$A$104,B14)&gt;0,1,0))</f>
        <v>1</v>
      </c>
      <c r="BX14" s="124" t="str">
        <f>IF($B14="","",IF(BR14=0,COUNTIF($BR$6:BR14,0),""))</f>
        <v/>
      </c>
    </row>
    <row r="15">
      <c r="A15" s="15" t="n">
        <v>11</v>
      </c>
      <c r="B15" t="str">
        <f>IF(B$3=0,"",IF(INDEX(SRC_Woningetalage!$A$1:$ZZ$501,$A15,B$3)&amp;""="","",INDEX(SRC_Woningetalage!$A$1:$ZZ$501,$A15,B$3)&amp;""))</f>
        <v>G.900010.8.9090</v>
      </c>
      <c r="C15">
        <f>IF($B15="","",IF(C$3=0,"n.b.",INDEX(SRC_Woningetalage!$A$1:$ZZ$501,$A15,C$3)))</f>
        <v>9901</v>
      </c>
      <c r="D15" t="str">
        <f>IF($B15="","",IF(D$3=0,"n.b.",INDEX(SRC_Woningetalage!$A$1:$ZZ$501,$A15,D$3)))</f>
        <v>Demo Ontwikkeling BV</v>
      </c>
      <c r="E15" t="str">
        <f>IF($B15="","",IF(E$3=0,"n.b.",INDEX(SRC_Woningetalage!$A$1:$ZZ$501,$A15,E$3)))</f>
        <v>100,00</v>
      </c>
      <c r="F15" t="str">
        <f>IF($B15="","",IF(F$3=0,"n.b.",INDEX(SRC_Woningetalage!$A$1:$ZZ$501,$A15,F$3)))</f>
        <v>08</v>
      </c>
      <c r="G15" t="str">
        <f>IF($B15="","",IF(G$3=0,"n.b.",INDEX(SRC_Woningetalage!$A$1:$ZZ$501,$A15,G$3)))</f>
        <v>Opstalontwikkeling</v>
      </c>
      <c r="H15" t="str">
        <f>IF($B15="","",IF(H$3=0,"n.b.",INDEX(SRC_Woningetalage!$A$1:$ZZ$501,$A15,H$3)))</f>
        <v>9090</v>
      </c>
      <c r="I15" t="str">
        <f>IF($B15="","",IF(I$3=0,"n.b.",INDEX(SRC_Woningetalage!$A$1:$ZZ$501,$A15,I$3)))</f>
        <v>Demo Regio</v>
      </c>
      <c r="J15" t="str">
        <f>IF($B15="","",IF(J$3=0,"n.b.",INDEX(SRC_Woningetalage!$A$1:$ZZ$501,$A15,J$3)))</f>
        <v>G.900010</v>
      </c>
      <c r="K15" t="str">
        <f>IF($B15="","",IF(K$3=0,"n.b.",INDEX(SRC_Woningetalage!$A$1:$ZZ$501,$A15,K$3)))</f>
        <v>Veldendam, Groene Singel</v>
      </c>
      <c r="L15" t="str">
        <f>IF($B15="","",IF(L$3=0,"n.b.",INDEX(SRC_Woningetalage!$A$1:$ZZ$501,$A15,L$3)))</f>
        <v>Veldendam, Groene Singel</v>
      </c>
      <c r="M15" t="str">
        <f>IF($B15="","",IF(M$3=0,"n.b.",INDEX(SRC_Woningetalage!$A$1:$ZZ$501,$A15,M$3)))</f>
        <v>020</v>
      </c>
      <c r="N15">
        <f>IF($B15="","",IF(N$3=0,"n.b.",INDEX(SRC_Woningetalage!$A$1:$ZZ$501,$A15,N$3)))</f>
        <v>45931.0</v>
      </c>
      <c r="O15">
        <f>IF($B15="","",IF(O$3=0,"n.b.",INDEX(SRC_Woningetalage!$A$1:$ZZ$501,$A15,O$3)))</f>
        <v>46023.0</v>
      </c>
      <c r="P15">
        <f>IF($B15="","",IF(P$3=0,"n.b.",INDEX(SRC_Woningetalage!$A$1:$ZZ$501,$A15,P$3)))</f>
        <v>47088.0</v>
      </c>
      <c r="Q15" s="124">
        <f>IF($B15="","",IF(Q$3=0,"n.b.",INDEX(SRC_Woningetalage!$A$1:$ZZ$501,$A15,Q$3)))</f>
        <v>54</v>
      </c>
      <c r="R15" s="124">
        <f>IF($B15="","",IF(R$3=0,"n.b.",INDEX(SRC_Woningetalage!$A$1:$ZZ$501,$A15,R$3)))</f>
        <v>0</v>
      </c>
      <c r="S15" s="124">
        <f>IF($B15="","",IF(S$3=0,"n.b.",INDEX(SRC_Woningetalage!$A$1:$ZZ$501,$A15,S$3)))</f>
        <v>0</v>
      </c>
      <c r="T15" s="124">
        <f>IF($B15="","",IF(T$3=0,"n.b.",INDEX(SRC_Woningetalage!$A$1:$ZZ$501,$A15,T$3)))</f>
        <v>0</v>
      </c>
      <c r="U15" s="124">
        <f>IF($B15="","",IF(U$3=0,"n.b.",INDEX(SRC_Woningetalage!$A$1:$ZZ$501,$A15,U$3)))</f>
        <v>0</v>
      </c>
      <c r="V15" s="124">
        <f>IF($B15="","",IF(V$3=0,"n.b.",INDEX(SRC_Woningetalage!$A$1:$ZZ$501,$A15,V$3)))</f>
        <v>9</v>
      </c>
      <c r="W15" s="124">
        <f>IF($B15="","",IF(W$3=0,"n.b.",INDEX(SRC_Woningetalage!$A$1:$ZZ$501,$A15,W$3)))</f>
        <v>9</v>
      </c>
      <c r="X15" s="124">
        <f>IF($B15="","",IF(X$3=0,"n.b.",INDEX(SRC_Woningetalage!$A$1:$ZZ$501,$A15,X$3)))</f>
        <v>0</v>
      </c>
      <c r="Y15" s="124">
        <f>IF($B15="","",IF(Y$3=0,"n.b.",INDEX(SRC_Woningetalage!$A$1:$ZZ$501,$A15,Y$3)))</f>
        <v>9</v>
      </c>
      <c r="Z15" s="124">
        <f>IF($B15="","",IF(Z$3=0,"n.b.",INDEX(SRC_Woningetalage!$A$1:$ZZ$501,$A15,Z$3)))</f>
        <v>9</v>
      </c>
      <c r="AA15" s="124">
        <f>IF($B15="","",IF(AA$3=0,"n.b.",INDEX(SRC_Woningetalage!$A$1:$ZZ$501,$A15,AA$3)))</f>
        <v>45</v>
      </c>
      <c r="AB15" s="124">
        <f>IF($B15="","",IF(AB$3=0,"n.b.",INDEX(SRC_Woningetalage!$A$1:$ZZ$501,$A15,AB$3)))</f>
        <v>0</v>
      </c>
      <c r="AC15" s="124">
        <f>IF($B15="","",IF(AC$3=0,"n.b.",INDEX(SRC_Woningetalage!$A$1:$ZZ$501,$A15,AC$3)))</f>
        <v>0</v>
      </c>
      <c r="AD15" s="124">
        <f>IF($B15="","",IF(AD$3=0,"n.b.",INDEX(SRC_Woningetalage!$A$1:$ZZ$501,$A15,AD$3)))</f>
        <v>1</v>
      </c>
      <c r="AE15" s="124">
        <f>IF($B15="","",IF(AE$3=0,"n.b.",INDEX(SRC_Woningetalage!$A$1:$ZZ$501,$A15,AE$3)))</f>
        <v>1</v>
      </c>
      <c r="AF15" s="124">
        <f>IF($B15="","",IF(AF$3=0,"n.b.",INDEX(SRC_Woningetalage!$A$1:$ZZ$501,$A15,AF$3)))</f>
        <v>2</v>
      </c>
      <c r="AG15" s="124">
        <f>IF($B15="","",IF(AG$3=0,"n.b.",INDEX(SRC_Woningetalage!$A$1:$ZZ$501,$A15,AG$3)))</f>
        <v>1</v>
      </c>
      <c r="AH15" s="124">
        <f>IF($B15="","",IF(AH$3=0,"n.b.",INDEX(SRC_Woningetalage!$A$1:$ZZ$501,$A15,AH$3)))</f>
        <v>1</v>
      </c>
      <c r="AI15" s="124">
        <f>IF($B15="","",IF(AI$3=0,"n.b.",INDEX(SRC_Woningetalage!$A$1:$ZZ$501,$A15,AI$3)))</f>
        <v>2</v>
      </c>
      <c r="AJ15" s="124">
        <f>IF($B15="","",IF(AJ$3=0,"n.b.",INDEX(SRC_Woningetalage!$A$1:$ZZ$501,$A15,AJ$3)))</f>
        <v>1</v>
      </c>
      <c r="AK15" s="124">
        <f>IF($B15="","",IF(AK$3=0,"n.b.",INDEX(SRC_Woningetalage!$A$1:$ZZ$501,$A15,AK$3)))</f>
        <v>0</v>
      </c>
      <c r="AL15" s="124">
        <f>IF($B15="","",IF(AL$3=0,"n.b.",INDEX(SRC_Woningetalage!$A$1:$ZZ$501,$A15,AL$3)))</f>
        <v>0</v>
      </c>
      <c r="AM15" s="124">
        <f>IF($B15="","",IF(AM$3=0,"n.b.",INDEX(SRC_Woningetalage!$A$1:$ZZ$501,$A15,AM$3)))</f>
        <v>9</v>
      </c>
      <c r="AN15" s="124">
        <f>IF($B15="","",IF(AN$3=0,"n.b.",INDEX(SRC_Woningetalage!$A$1:$ZZ$501,$A15,AN$3)))</f>
        <v>7</v>
      </c>
      <c r="AO15" s="124">
        <f>IF($B15="","",IF(AO$3=0,"n.b.",INDEX(SRC_Woningetalage!$A$1:$ZZ$501,$A15,AO$3)))</f>
        <v>6</v>
      </c>
      <c r="AP15" s="124">
        <f>IF($B15="","",IF(AP$3=0,"n.b.",INDEX(SRC_Woningetalage!$A$1:$ZZ$501,$A15,AP$3)))</f>
        <v>6</v>
      </c>
      <c r="AQ15" s="124">
        <f>IF($B15="","",IF(AQ$3=0,"n.b.",INDEX(SRC_Woningetalage!$A$1:$ZZ$501,$A15,AQ$3)))</f>
        <v>5</v>
      </c>
      <c r="AR15" s="124">
        <f>IF($B15="","",IF(AR$3=0,"n.b.",INDEX(SRC_Woningetalage!$A$1:$ZZ$501,$A15,AR$3)))</f>
        <v>18</v>
      </c>
      <c r="AS15" s="124">
        <f>IF($B15="","",IF(AS$3=0,"n.b.",INDEX(SRC_Woningetalage!$A$1:$ZZ$501,$A15,AS$3)))</f>
        <v>24</v>
      </c>
      <c r="AT15" s="124">
        <f>IF($B15="","",IF(AT$3=0,"n.b.",INDEX(SRC_Woningetalage!$A$1:$ZZ$501,$A15,AT$3)))</f>
        <v>0</v>
      </c>
      <c r="AU15" s="124">
        <f>IF($B15="","",IF(AU$3=0,"n.b.",INDEX(SRC_Woningetalage!$A$1:$ZZ$501,$A15,AU$3)))</f>
        <v>12</v>
      </c>
      <c r="AV15" s="124">
        <f>IF($B15="","",IF(AV$3=0,"n.b.",INDEX(SRC_Woningetalage!$A$1:$ZZ$501,$A15,AV$3)))</f>
        <v>0</v>
      </c>
      <c r="AW15" s="124">
        <f>IF($B15="","",IF(AW$3=0,"n.b.",INDEX(SRC_Woningetalage!$A$1:$ZZ$501,$A15,AW$3)))</f>
        <v>0</v>
      </c>
      <c r="AX15" s="124">
        <f>IF($B15="","",IF(AX$3=0,"n.b.",INDEX(SRC_Woningetalage!$A$1:$ZZ$501,$A15,AX$3)))</f>
        <v>0</v>
      </c>
      <c r="AY15" s="124">
        <f>IF($B15="","",IF(AY$3=0,"n.b.",INDEX(SRC_Woningetalage!$A$1:$ZZ$501,$A15,AY$3)))</f>
        <v>0</v>
      </c>
      <c r="AZ15" s="124">
        <f>IF($B15="","",IF(AZ$3=0,"n.b.",INDEX(SRC_Woningetalage!$A$1:$ZZ$501,$A15,AZ$3)))</f>
        <v>0</v>
      </c>
      <c r="BA15" s="124">
        <f>IF($B15="","",IF(BA$3=0,"n.b.",INDEX(SRC_Woningetalage!$A$1:$ZZ$501,$A15,BA$3)))</f>
        <v>0</v>
      </c>
      <c r="BB15" s="124">
        <f>IF($B15="","",IF(BB$3=0,"n.b.",INDEX(SRC_Woningetalage!$A$1:$ZZ$501,$A15,BB$3)))</f>
        <v>0</v>
      </c>
      <c r="BC15" s="124">
        <f>IF($B15="","",IFERROR(_xlfn.NUMBERVALUE(E15&amp;"",",","."),"n.b."))</f>
        <v>100</v>
      </c>
      <c r="BD15" s="124">
        <f>IF($B15="","",IFERROR(_xlfn.NUMBERVALUE(M15&amp;"",",","."),"n.b."))</f>
        <v>20</v>
      </c>
      <c r="BE15" s="124">
        <f>IF($B15="","",IFERROR(AB15+AC15+AD15,"n.b."))</f>
        <v>1</v>
      </c>
      <c r="BF15" s="124">
        <f>IF($B15="","",IFERROR(AE15+AF15+AG15,"n.b."))</f>
        <v>4</v>
      </c>
      <c r="BG15" s="124">
        <f>IF($B15="","",IFERROR(AH15+AI15+AJ15,"n.b."))</f>
        <v>4</v>
      </c>
      <c r="BH15" s="124">
        <f>IF($B15="","",IFERROR(AK15+AL15+AM15,"n.b."))</f>
        <v>9</v>
      </c>
      <c r="BI15" s="124">
        <f>IF($B15="","",IFERROR(SUMIF($AB$5:$AM$5,"&lt;="&amp;P_PeilMaand,AB15:AM15),"n.b."))</f>
        <v>9</v>
      </c>
      <c r="BJ15" s="124">
        <f>IF($B15="","",IFERROR(SUM(AB15:AM15)-BI15,"n.b."))</f>
        <v>9</v>
      </c>
      <c r="BK15" s="124">
        <f>IF($B15="","",IFERROR(IF(ABS(Q15-(T15+SUM(AB15:AM15)+AS15+AU15))&gt;P_Tol,1,0),1))</f>
        <v>0</v>
      </c>
      <c r="BL15" s="124">
        <f>IF($B15="","",IFERROR(IF(ABS(AA15-(Q15-Z15))&gt;P_Tol,1,0),1))</f>
        <v>0</v>
      </c>
      <c r="BM15" s="124">
        <f>IF($B15="","",IFERROR(IF(ABS(Z15-(T15+W15))&gt;P_Tol,1,0),1))</f>
        <v>0</v>
      </c>
      <c r="BN15" s="124">
        <f>IF($B15="","",IFERROR(IF(ABS(W15-BI15)&gt;P_Tol,1,0),1))</f>
        <v>0</v>
      </c>
      <c r="BO15" s="124">
        <f>IF($B15="","",IFERROR(IF(OR(ABS(R15+S15-T15)&gt;P_Tol,ABS(U15+V15-W15)&gt;P_Tol,ABS(X15+Y15-Z15)&gt;P_Tol),1,0),1))</f>
        <v>0</v>
      </c>
      <c r="BP15" s="124">
        <f>IF($B15="","",IFERROR(IF(OR(ABS(AR15-SUM(AB15:AM15))&gt;P_Tol,ABS(AS15-(AN15+AO15+AP15+AQ15))&gt;P_Tol),1,0),1))</f>
        <v>0</v>
      </c>
      <c r="BQ15" s="124">
        <f>IF($B15="","",IFERROR(IF(ABS(AT15)+ABS(AV15)+ABS(AW15)+ABS(AX15)+ABS(AY15)+ABS(AZ15)+ABS(BA15)+ABS(BB15)&gt;0,1,0),1))</f>
        <v>0</v>
      </c>
      <c r="BR15" s="124">
        <f>IF($B15="","",COUNTIF(STG_ZPMW03!$B$6:$B$505,B15))</f>
        <v>1</v>
      </c>
      <c r="BS15" s="124">
        <f>IF($B15="","",COUNTIF($B$6:$B$505,B15))</f>
        <v>1</v>
      </c>
      <c r="BT15" s="124">
        <f>IF($B15="","",IF(BR15=0,0,IF(INDEX(STG_ZPMW03!$I$6:$I$505,MATCH(B15,STG_ZPMW03!$B$6:$B$505,0))=J15&amp;"",0,1)))</f>
        <v>0</v>
      </c>
      <c r="BU15" s="124">
        <f>IF($B15="","",IFERROR(IF(ABS(INDEX(Mapping!$D$5:$D$104,MATCH(B15,Mapping!$A$5:$A$104,0))-Q15)&gt;P_Tol,1,0),0))</f>
        <v>0</v>
      </c>
      <c r="BV15" s="124">
        <f>IF($B15="","",IFERROR(IF(AND(INDEX(Mapping!$G$5:$G$104,MATCH(B15,Mapping!$A$5:$A$104,0))="Nee",ABS(Q15)+ABS(Z15)+ABS(AR15)&gt;0),1,0),0))</f>
        <v>0</v>
      </c>
      <c r="BW15" s="124">
        <f>IF($B15="","",IF(COUNTIF(Mapping!$A$5:$A$104,B15)&gt;0,1,0))</f>
        <v>1</v>
      </c>
      <c r="BX15" s="124" t="str">
        <f>IF($B15="","",IF(BR15=0,COUNTIF($BR$6:BR15,0),""))</f>
        <v/>
      </c>
    </row>
    <row r="16">
      <c r="A16" s="15" t="n">
        <v>12</v>
      </c>
      <c r="B16" t="str">
        <f>IF(B$3=0,"",IF(INDEX(SRC_Woningetalage!$A$1:$ZZ$501,$A16,B$3)&amp;""="","",INDEX(SRC_Woningetalage!$A$1:$ZZ$501,$A16,B$3)&amp;""))</f>
        <v>G.900011.8.9090</v>
      </c>
      <c r="C16">
        <f>IF($B16="","",IF(C$3=0,"n.b.",INDEX(SRC_Woningetalage!$A$1:$ZZ$501,$A16,C$3)))</f>
        <v>9901</v>
      </c>
      <c r="D16" t="str">
        <f>IF($B16="","",IF(D$3=0,"n.b.",INDEX(SRC_Woningetalage!$A$1:$ZZ$501,$A16,D$3)))</f>
        <v>Demo Ontwikkeling BV</v>
      </c>
      <c r="E16" t="str">
        <f>IF($B16="","",IF(E$3=0,"n.b.",INDEX(SRC_Woningetalage!$A$1:$ZZ$501,$A16,E$3)))</f>
        <v>100,00</v>
      </c>
      <c r="F16" t="str">
        <f>IF($B16="","",IF(F$3=0,"n.b.",INDEX(SRC_Woningetalage!$A$1:$ZZ$501,$A16,F$3)))</f>
        <v>08</v>
      </c>
      <c r="G16" t="str">
        <f>IF($B16="","",IF(G$3=0,"n.b.",INDEX(SRC_Woningetalage!$A$1:$ZZ$501,$A16,G$3)))</f>
        <v>Opstalontwikkeling</v>
      </c>
      <c r="H16" t="str">
        <f>IF($B16="","",IF(H$3=0,"n.b.",INDEX(SRC_Woningetalage!$A$1:$ZZ$501,$A16,H$3)))</f>
        <v>9090</v>
      </c>
      <c r="I16" t="str">
        <f>IF($B16="","",IF(I$3=0,"n.b.",INDEX(SRC_Woningetalage!$A$1:$ZZ$501,$A16,I$3)))</f>
        <v>Demo Regio</v>
      </c>
      <c r="J16" t="str">
        <f>IF($B16="","",IF(J$3=0,"n.b.",INDEX(SRC_Woningetalage!$A$1:$ZZ$501,$A16,J$3)))</f>
        <v>G.900011</v>
      </c>
      <c r="K16" t="str">
        <f>IF($B16="","",IF(K$3=0,"n.b.",INDEX(SRC_Woningetalage!$A$1:$ZZ$501,$A16,K$3)))</f>
        <v>Meerhovenstad, Hofstaete</v>
      </c>
      <c r="L16" t="str">
        <f>IF($B16="","",IF(L$3=0,"n.b.",INDEX(SRC_Woningetalage!$A$1:$ZZ$501,$A16,L$3)))</f>
        <v>Meerhovenstad, Hofstaete</v>
      </c>
      <c r="M16" t="str">
        <f>IF($B16="","",IF(M$3=0,"n.b.",INDEX(SRC_Woningetalage!$A$1:$ZZ$501,$A16,M$3)))</f>
        <v>100</v>
      </c>
      <c r="N16">
        <f>IF($B16="","",IF(N$3=0,"n.b.",INDEX(SRC_Woningetalage!$A$1:$ZZ$501,$A16,N$3)))</f>
        <v>45931.0</v>
      </c>
      <c r="O16">
        <f>IF($B16="","",IF(O$3=0,"n.b.",INDEX(SRC_Woningetalage!$A$1:$ZZ$501,$A16,O$3)))</f>
        <v>46419.0</v>
      </c>
      <c r="P16">
        <f>IF($B16="","",IF(P$3=0,"n.b.",INDEX(SRC_Woningetalage!$A$1:$ZZ$501,$A16,P$3)))</f>
        <v>47453.0</v>
      </c>
      <c r="Q16" s="124">
        <f>IF($B16="","",IF(Q$3=0,"n.b.",INDEX(SRC_Woningetalage!$A$1:$ZZ$501,$A16,Q$3)))</f>
        <v>96</v>
      </c>
      <c r="R16" s="124">
        <f>IF($B16="","",IF(R$3=0,"n.b.",INDEX(SRC_Woningetalage!$A$1:$ZZ$501,$A16,R$3)))</f>
        <v>0</v>
      </c>
      <c r="S16" s="124">
        <f>IF($B16="","",IF(S$3=0,"n.b.",INDEX(SRC_Woningetalage!$A$1:$ZZ$501,$A16,S$3)))</f>
        <v>0</v>
      </c>
      <c r="T16" s="124">
        <f>IF($B16="","",IF(T$3=0,"n.b.",INDEX(SRC_Woningetalage!$A$1:$ZZ$501,$A16,T$3)))</f>
        <v>0</v>
      </c>
      <c r="U16" s="124">
        <f>IF($B16="","",IF(U$3=0,"n.b.",INDEX(SRC_Woningetalage!$A$1:$ZZ$501,$A16,U$3)))</f>
        <v>20</v>
      </c>
      <c r="V16" s="124">
        <f>IF($B16="","",IF(V$3=0,"n.b.",INDEX(SRC_Woningetalage!$A$1:$ZZ$501,$A16,V$3)))</f>
        <v>0</v>
      </c>
      <c r="W16" s="124">
        <f>IF($B16="","",IF(W$3=0,"n.b.",INDEX(SRC_Woningetalage!$A$1:$ZZ$501,$A16,W$3)))</f>
        <v>20</v>
      </c>
      <c r="X16" s="124">
        <f>IF($B16="","",IF(X$3=0,"n.b.",INDEX(SRC_Woningetalage!$A$1:$ZZ$501,$A16,X$3)))</f>
        <v>20</v>
      </c>
      <c r="Y16" s="124">
        <f>IF($B16="","",IF(Y$3=0,"n.b.",INDEX(SRC_Woningetalage!$A$1:$ZZ$501,$A16,Y$3)))</f>
        <v>0</v>
      </c>
      <c r="Z16" s="124">
        <f>IF($B16="","",IF(Z$3=0,"n.b.",INDEX(SRC_Woningetalage!$A$1:$ZZ$501,$A16,Z$3)))</f>
        <v>20</v>
      </c>
      <c r="AA16" s="124">
        <f>IF($B16="","",IF(AA$3=0,"n.b.",INDEX(SRC_Woningetalage!$A$1:$ZZ$501,$A16,AA$3)))</f>
        <v>76</v>
      </c>
      <c r="AB16" s="124">
        <f>IF($B16="","",IF(AB$3=0,"n.b.",INDEX(SRC_Woningetalage!$A$1:$ZZ$501,$A16,AB$3)))</f>
        <v>1</v>
      </c>
      <c r="AC16" s="124">
        <f>IF($B16="","",IF(AC$3=0,"n.b.",INDEX(SRC_Woningetalage!$A$1:$ZZ$501,$A16,AC$3)))</f>
        <v>1</v>
      </c>
      <c r="AD16" s="124">
        <f>IF($B16="","",IF(AD$3=0,"n.b.",INDEX(SRC_Woningetalage!$A$1:$ZZ$501,$A16,AD$3)))</f>
        <v>2</v>
      </c>
      <c r="AE16" s="124">
        <f>IF($B16="","",IF(AE$3=0,"n.b.",INDEX(SRC_Woningetalage!$A$1:$ZZ$501,$A16,AE$3)))</f>
        <v>2</v>
      </c>
      <c r="AF16" s="124">
        <f>IF($B16="","",IF(AF$3=0,"n.b.",INDEX(SRC_Woningetalage!$A$1:$ZZ$501,$A16,AF$3)))</f>
        <v>4</v>
      </c>
      <c r="AG16" s="124">
        <f>IF($B16="","",IF(AG$3=0,"n.b.",INDEX(SRC_Woningetalage!$A$1:$ZZ$501,$A16,AG$3)))</f>
        <v>2</v>
      </c>
      <c r="AH16" s="124">
        <f>IF($B16="","",IF(AH$3=0,"n.b.",INDEX(SRC_Woningetalage!$A$1:$ZZ$501,$A16,AH$3)))</f>
        <v>2</v>
      </c>
      <c r="AI16" s="124">
        <f>IF($B16="","",IF(AI$3=0,"n.b.",INDEX(SRC_Woningetalage!$A$1:$ZZ$501,$A16,AI$3)))</f>
        <v>4</v>
      </c>
      <c r="AJ16" s="124">
        <f>IF($B16="","",IF(AJ$3=0,"n.b.",INDEX(SRC_Woningetalage!$A$1:$ZZ$501,$A16,AJ$3)))</f>
        <v>2</v>
      </c>
      <c r="AK16" s="124">
        <f>IF($B16="","",IF(AK$3=0,"n.b.",INDEX(SRC_Woningetalage!$A$1:$ZZ$501,$A16,AK$3)))</f>
        <v>1</v>
      </c>
      <c r="AL16" s="124">
        <f>IF($B16="","",IF(AL$3=0,"n.b.",INDEX(SRC_Woningetalage!$A$1:$ZZ$501,$A16,AL$3)))</f>
        <v>1</v>
      </c>
      <c r="AM16" s="124">
        <f>IF($B16="","",IF(AM$3=0,"n.b.",INDEX(SRC_Woningetalage!$A$1:$ZZ$501,$A16,AM$3)))</f>
        <v>10</v>
      </c>
      <c r="AN16" s="124">
        <f>IF($B16="","",IF(AN$3=0,"n.b.",INDEX(SRC_Woningetalage!$A$1:$ZZ$501,$A16,AN$3)))</f>
        <v>12</v>
      </c>
      <c r="AO16" s="124">
        <f>IF($B16="","",IF(AO$3=0,"n.b.",INDEX(SRC_Woningetalage!$A$1:$ZZ$501,$A16,AO$3)))</f>
        <v>10</v>
      </c>
      <c r="AP16" s="124">
        <f>IF($B16="","",IF(AP$3=0,"n.b.",INDEX(SRC_Woningetalage!$A$1:$ZZ$501,$A16,AP$3)))</f>
        <v>10</v>
      </c>
      <c r="AQ16" s="124">
        <f>IF($B16="","",IF(AQ$3=0,"n.b.",INDEX(SRC_Woningetalage!$A$1:$ZZ$501,$A16,AQ$3)))</f>
        <v>10</v>
      </c>
      <c r="AR16" s="124">
        <f>IF($B16="","",IF(AR$3=0,"n.b.",INDEX(SRC_Woningetalage!$A$1:$ZZ$501,$A16,AR$3)))</f>
        <v>32</v>
      </c>
      <c r="AS16" s="124">
        <f>IF($B16="","",IF(AS$3=0,"n.b.",INDEX(SRC_Woningetalage!$A$1:$ZZ$501,$A16,AS$3)))</f>
        <v>42</v>
      </c>
      <c r="AT16" s="124">
        <f>IF($B16="","",IF(AT$3=0,"n.b.",INDEX(SRC_Woningetalage!$A$1:$ZZ$501,$A16,AT$3)))</f>
        <v>0</v>
      </c>
      <c r="AU16" s="124">
        <f>IF($B16="","",IF(AU$3=0,"n.b.",INDEX(SRC_Woningetalage!$A$1:$ZZ$501,$A16,AU$3)))</f>
        <v>22</v>
      </c>
      <c r="AV16" s="124">
        <f>IF($B16="","",IF(AV$3=0,"n.b.",INDEX(SRC_Woningetalage!$A$1:$ZZ$501,$A16,AV$3)))</f>
        <v>0</v>
      </c>
      <c r="AW16" s="124">
        <f>IF($B16="","",IF(AW$3=0,"n.b.",INDEX(SRC_Woningetalage!$A$1:$ZZ$501,$A16,AW$3)))</f>
        <v>0</v>
      </c>
      <c r="AX16" s="124">
        <f>IF($B16="","",IF(AX$3=0,"n.b.",INDEX(SRC_Woningetalage!$A$1:$ZZ$501,$A16,AX$3)))</f>
        <v>0</v>
      </c>
      <c r="AY16" s="124">
        <f>IF($B16="","",IF(AY$3=0,"n.b.",INDEX(SRC_Woningetalage!$A$1:$ZZ$501,$A16,AY$3)))</f>
        <v>0</v>
      </c>
      <c r="AZ16" s="124">
        <f>IF($B16="","",IF(AZ$3=0,"n.b.",INDEX(SRC_Woningetalage!$A$1:$ZZ$501,$A16,AZ$3)))</f>
        <v>0</v>
      </c>
      <c r="BA16" s="124">
        <f>IF($B16="","",IF(BA$3=0,"n.b.",INDEX(SRC_Woningetalage!$A$1:$ZZ$501,$A16,BA$3)))</f>
        <v>0</v>
      </c>
      <c r="BB16" s="124">
        <f>IF($B16="","",IF(BB$3=0,"n.b.",INDEX(SRC_Woningetalage!$A$1:$ZZ$501,$A16,BB$3)))</f>
        <v>0</v>
      </c>
      <c r="BC16" s="124">
        <f>IF($B16="","",IFERROR(_xlfn.NUMBERVALUE(E16&amp;"",",","."),"n.b."))</f>
        <v>100</v>
      </c>
      <c r="BD16" s="124">
        <f>IF($B16="","",IFERROR(_xlfn.NUMBERVALUE(M16&amp;"",",","."),"n.b."))</f>
        <v>100</v>
      </c>
      <c r="BE16" s="124">
        <f>IF($B16="","",IFERROR(AB16+AC16+AD16,"n.b."))</f>
        <v>4</v>
      </c>
      <c r="BF16" s="124">
        <f>IF($B16="","",IFERROR(AE16+AF16+AG16,"n.b."))</f>
        <v>8</v>
      </c>
      <c r="BG16" s="124">
        <f>IF($B16="","",IFERROR(AH16+AI16+AJ16,"n.b."))</f>
        <v>8</v>
      </c>
      <c r="BH16" s="124">
        <f>IF($B16="","",IFERROR(AK16+AL16+AM16,"n.b."))</f>
        <v>12</v>
      </c>
      <c r="BI16" s="124">
        <f>IF($B16="","",IFERROR(SUMIF($AB$5:$AM$5,"&lt;="&amp;P_PeilMaand,AB16:AM16),"n.b."))</f>
        <v>20</v>
      </c>
      <c r="BJ16" s="124">
        <f>IF($B16="","",IFERROR(SUM(AB16:AM16)-BI16,"n.b."))</f>
        <v>12</v>
      </c>
      <c r="BK16" s="124">
        <f>IF($B16="","",IFERROR(IF(ABS(Q16-(T16+SUM(AB16:AM16)+AS16+AU16))&gt;P_Tol,1,0),1))</f>
        <v>0</v>
      </c>
      <c r="BL16" s="124">
        <f>IF($B16="","",IFERROR(IF(ABS(AA16-(Q16-Z16))&gt;P_Tol,1,0),1))</f>
        <v>0</v>
      </c>
      <c r="BM16" s="124">
        <f>IF($B16="","",IFERROR(IF(ABS(Z16-(T16+W16))&gt;P_Tol,1,0),1))</f>
        <v>0</v>
      </c>
      <c r="BN16" s="124">
        <f>IF($B16="","",IFERROR(IF(ABS(W16-BI16)&gt;P_Tol,1,0),1))</f>
        <v>0</v>
      </c>
      <c r="BO16" s="124">
        <f>IF($B16="","",IFERROR(IF(OR(ABS(R16+S16-T16)&gt;P_Tol,ABS(U16+V16-W16)&gt;P_Tol,ABS(X16+Y16-Z16)&gt;P_Tol),1,0),1))</f>
        <v>0</v>
      </c>
      <c r="BP16" s="124">
        <f>IF($B16="","",IFERROR(IF(OR(ABS(AR16-SUM(AB16:AM16))&gt;P_Tol,ABS(AS16-(AN16+AO16+AP16+AQ16))&gt;P_Tol),1,0),1))</f>
        <v>0</v>
      </c>
      <c r="BQ16" s="124">
        <f>IF($B16="","",IFERROR(IF(ABS(AT16)+ABS(AV16)+ABS(AW16)+ABS(AX16)+ABS(AY16)+ABS(AZ16)+ABS(BA16)+ABS(BB16)&gt;0,1,0),1))</f>
        <v>0</v>
      </c>
      <c r="BR16" s="124">
        <f>IF($B16="","",COUNTIF(STG_ZPMW03!$B$6:$B$505,B16))</f>
        <v>1</v>
      </c>
      <c r="BS16" s="124">
        <f>IF($B16="","",COUNTIF($B$6:$B$505,B16))</f>
        <v>1</v>
      </c>
      <c r="BT16" s="124">
        <f>IF($B16="","",IF(BR16=0,0,IF(INDEX(STG_ZPMW03!$I$6:$I$505,MATCH(B16,STG_ZPMW03!$B$6:$B$505,0))=J16&amp;"",0,1)))</f>
        <v>0</v>
      </c>
      <c r="BU16" s="124">
        <f>IF($B16="","",IFERROR(IF(ABS(INDEX(Mapping!$D$5:$D$104,MATCH(B16,Mapping!$A$5:$A$104,0))-Q16)&gt;P_Tol,1,0),0))</f>
        <v>0</v>
      </c>
      <c r="BV16" s="124">
        <f>IF($B16="","",IFERROR(IF(AND(INDEX(Mapping!$G$5:$G$104,MATCH(B16,Mapping!$A$5:$A$104,0))="Nee",ABS(Q16)+ABS(Z16)+ABS(AR16)&gt;0),1,0),0))</f>
        <v>0</v>
      </c>
      <c r="BW16" s="124">
        <f>IF($B16="","",IF(COUNTIF(Mapping!$A$5:$A$104,B16)&gt;0,1,0))</f>
        <v>1</v>
      </c>
      <c r="BX16" s="124" t="str">
        <f>IF($B16="","",IF(BR16=0,COUNTIF($BR$6:BR16,0),""))</f>
        <v/>
      </c>
    </row>
    <row r="17">
      <c r="A17" s="15" t="n">
        <v>13</v>
      </c>
      <c r="B17" t="str">
        <f>IF(B$3=0,"",IF(INDEX(SRC_Woningetalage!$A$1:$ZZ$501,$A17,B$3)&amp;""="","",INDEX(SRC_Woningetalage!$A$1:$ZZ$501,$A17,B$3)&amp;""))</f>
        <v>G.900012.8.9090</v>
      </c>
      <c r="C17">
        <f>IF($B17="","",IF(C$3=0,"n.b.",INDEX(SRC_Woningetalage!$A$1:$ZZ$501,$A17,C$3)))</f>
        <v>9902</v>
      </c>
      <c r="D17" t="str">
        <f>IF($B17="","",IF(D$3=0,"n.b.",INDEX(SRC_Woningetalage!$A$1:$ZZ$501,$A17,D$3)))</f>
        <v>Demo Gebiedscombinatie BV</v>
      </c>
      <c r="E17" t="str">
        <f>IF($B17="","",IF(E$3=0,"n.b.",INDEX(SRC_Woningetalage!$A$1:$ZZ$501,$A17,E$3)))</f>
        <v>50,00</v>
      </c>
      <c r="F17" t="str">
        <f>IF($B17="","",IF(F$3=0,"n.b.",INDEX(SRC_Woningetalage!$A$1:$ZZ$501,$A17,F$3)))</f>
        <v>08</v>
      </c>
      <c r="G17" t="str">
        <f>IF($B17="","",IF(G$3=0,"n.b.",INDEX(SRC_Woningetalage!$A$1:$ZZ$501,$A17,G$3)))</f>
        <v>Opstalontwikkeling</v>
      </c>
      <c r="H17" t="str">
        <f>IF($B17="","",IF(H$3=0,"n.b.",INDEX(SRC_Woningetalage!$A$1:$ZZ$501,$A17,H$3)))</f>
        <v>9090</v>
      </c>
      <c r="I17" t="str">
        <f>IF($B17="","",IF(I$3=0,"n.b.",INDEX(SRC_Woningetalage!$A$1:$ZZ$501,$A17,I$3)))</f>
        <v>Demo Regio</v>
      </c>
      <c r="J17" t="str">
        <f>IF($B17="","",IF(J$3=0,"n.b.",INDEX(SRC_Woningetalage!$A$1:$ZZ$501,$A17,J$3)))</f>
        <v>G.900012</v>
      </c>
      <c r="K17" t="str">
        <f>IF($B17="","",IF(K$3=0,"n.b.",INDEX(SRC_Woningetalage!$A$1:$ZZ$501,$A17,K$3)))</f>
        <v>Zilverdam, De Werf</v>
      </c>
      <c r="L17" t="str">
        <f>IF($B17="","",IF(L$3=0,"n.b.",INDEX(SRC_Woningetalage!$A$1:$ZZ$501,$A17,L$3)))</f>
        <v>Zilverdam, De Werf</v>
      </c>
      <c r="M17" t="str">
        <f>IF($B17="","",IF(M$3=0,"n.b.",INDEX(SRC_Woningetalage!$A$1:$ZZ$501,$A17,M$3)))</f>
        <v>080</v>
      </c>
      <c r="N17">
        <f>IF($B17="","",IF(N$3=0,"n.b.",INDEX(SRC_Woningetalage!$A$1:$ZZ$501,$A17,N$3)))</f>
        <v>45931.0</v>
      </c>
      <c r="O17">
        <f>IF($B17="","",IF(O$3=0,"n.b.",INDEX(SRC_Woningetalage!$A$1:$ZZ$501,$A17,O$3)))</f>
        <v>46447.0</v>
      </c>
      <c r="P17">
        <f>IF($B17="","",IF(P$3=0,"n.b.",INDEX(SRC_Woningetalage!$A$1:$ZZ$501,$A17,P$3)))</f>
        <v>47453.0</v>
      </c>
      <c r="Q17" s="124">
        <f>IF($B17="","",IF(Q$3=0,"n.b.",INDEX(SRC_Woningetalage!$A$1:$ZZ$501,$A17,Q$3)))</f>
        <v>28</v>
      </c>
      <c r="R17" s="124">
        <f>IF($B17="","",IF(R$3=0,"n.b.",INDEX(SRC_Woningetalage!$A$1:$ZZ$501,$A17,R$3)))</f>
        <v>0</v>
      </c>
      <c r="S17" s="124">
        <f>IF($B17="","",IF(S$3=0,"n.b.",INDEX(SRC_Woningetalage!$A$1:$ZZ$501,$A17,S$3)))</f>
        <v>0</v>
      </c>
      <c r="T17" s="124">
        <f>IF($B17="","",IF(T$3=0,"n.b.",INDEX(SRC_Woningetalage!$A$1:$ZZ$501,$A17,T$3)))</f>
        <v>0</v>
      </c>
      <c r="U17" s="124">
        <f>IF($B17="","",IF(U$3=0,"n.b.",INDEX(SRC_Woningetalage!$A$1:$ZZ$501,$A17,U$3)))</f>
        <v>0</v>
      </c>
      <c r="V17" s="124">
        <f>IF($B17="","",IF(V$3=0,"n.b.",INDEX(SRC_Woningetalage!$A$1:$ZZ$501,$A17,V$3)))</f>
        <v>2</v>
      </c>
      <c r="W17" s="124">
        <f>IF($B17="","",IF(W$3=0,"n.b.",INDEX(SRC_Woningetalage!$A$1:$ZZ$501,$A17,W$3)))</f>
        <v>2</v>
      </c>
      <c r="X17" s="124">
        <f>IF($B17="","",IF(X$3=0,"n.b.",INDEX(SRC_Woningetalage!$A$1:$ZZ$501,$A17,X$3)))</f>
        <v>0</v>
      </c>
      <c r="Y17" s="124">
        <f>IF($B17="","",IF(Y$3=0,"n.b.",INDEX(SRC_Woningetalage!$A$1:$ZZ$501,$A17,Y$3)))</f>
        <v>2</v>
      </c>
      <c r="Z17" s="124">
        <f>IF($B17="","",IF(Z$3=0,"n.b.",INDEX(SRC_Woningetalage!$A$1:$ZZ$501,$A17,Z$3)))</f>
        <v>2</v>
      </c>
      <c r="AA17" s="124">
        <f>IF($B17="","",IF(AA$3=0,"n.b.",INDEX(SRC_Woningetalage!$A$1:$ZZ$501,$A17,AA$3)))</f>
        <v>26</v>
      </c>
      <c r="AB17" s="124">
        <f>IF($B17="","",IF(AB$3=0,"n.b.",INDEX(SRC_Woningetalage!$A$1:$ZZ$501,$A17,AB$3)))</f>
        <v>0</v>
      </c>
      <c r="AC17" s="124">
        <f>IF($B17="","",IF(AC$3=0,"n.b.",INDEX(SRC_Woningetalage!$A$1:$ZZ$501,$A17,AC$3)))</f>
        <v>0</v>
      </c>
      <c r="AD17" s="124">
        <f>IF($B17="","",IF(AD$3=0,"n.b.",INDEX(SRC_Woningetalage!$A$1:$ZZ$501,$A17,AD$3)))</f>
        <v>0</v>
      </c>
      <c r="AE17" s="124">
        <f>IF($B17="","",IF(AE$3=0,"n.b.",INDEX(SRC_Woningetalage!$A$1:$ZZ$501,$A17,AE$3)))</f>
        <v>0</v>
      </c>
      <c r="AF17" s="124">
        <f>IF($B17="","",IF(AF$3=0,"n.b.",INDEX(SRC_Woningetalage!$A$1:$ZZ$501,$A17,AF$3)))</f>
        <v>1</v>
      </c>
      <c r="AG17" s="124">
        <f>IF($B17="","",IF(AG$3=0,"n.b.",INDEX(SRC_Woningetalage!$A$1:$ZZ$501,$A17,AG$3)))</f>
        <v>0</v>
      </c>
      <c r="AH17" s="124">
        <f>IF($B17="","",IF(AH$3=0,"n.b.",INDEX(SRC_Woningetalage!$A$1:$ZZ$501,$A17,AH$3)))</f>
        <v>0</v>
      </c>
      <c r="AI17" s="124">
        <f>IF($B17="","",IF(AI$3=0,"n.b.",INDEX(SRC_Woningetalage!$A$1:$ZZ$501,$A17,AI$3)))</f>
        <v>1</v>
      </c>
      <c r="AJ17" s="124">
        <f>IF($B17="","",IF(AJ$3=0,"n.b.",INDEX(SRC_Woningetalage!$A$1:$ZZ$501,$A17,AJ$3)))</f>
        <v>0</v>
      </c>
      <c r="AK17" s="124">
        <f>IF($B17="","",IF(AK$3=0,"n.b.",INDEX(SRC_Woningetalage!$A$1:$ZZ$501,$A17,AK$3)))</f>
        <v>0</v>
      </c>
      <c r="AL17" s="124">
        <f>IF($B17="","",IF(AL$3=0,"n.b.",INDEX(SRC_Woningetalage!$A$1:$ZZ$501,$A17,AL$3)))</f>
        <v>0</v>
      </c>
      <c r="AM17" s="124">
        <f>IF($B17="","",IF(AM$3=0,"n.b.",INDEX(SRC_Woningetalage!$A$1:$ZZ$501,$A17,AM$3)))</f>
        <v>7</v>
      </c>
      <c r="AN17" s="124">
        <f>IF($B17="","",IF(AN$3=0,"n.b.",INDEX(SRC_Woningetalage!$A$1:$ZZ$501,$A17,AN$3)))</f>
        <v>3</v>
      </c>
      <c r="AO17" s="124">
        <f>IF($B17="","",IF(AO$3=0,"n.b.",INDEX(SRC_Woningetalage!$A$1:$ZZ$501,$A17,AO$3)))</f>
        <v>3</v>
      </c>
      <c r="AP17" s="124">
        <f>IF($B17="","",IF(AP$3=0,"n.b.",INDEX(SRC_Woningetalage!$A$1:$ZZ$501,$A17,AP$3)))</f>
        <v>3</v>
      </c>
      <c r="AQ17" s="124">
        <f>IF($B17="","",IF(AQ$3=0,"n.b.",INDEX(SRC_Woningetalage!$A$1:$ZZ$501,$A17,AQ$3)))</f>
        <v>3</v>
      </c>
      <c r="AR17" s="124">
        <f>IF($B17="","",IF(AR$3=0,"n.b.",INDEX(SRC_Woningetalage!$A$1:$ZZ$501,$A17,AR$3)))</f>
        <v>9</v>
      </c>
      <c r="AS17" s="124">
        <f>IF($B17="","",IF(AS$3=0,"n.b.",INDEX(SRC_Woningetalage!$A$1:$ZZ$501,$A17,AS$3)))</f>
        <v>12</v>
      </c>
      <c r="AT17" s="124">
        <f>IF($B17="","",IF(AT$3=0,"n.b.",INDEX(SRC_Woningetalage!$A$1:$ZZ$501,$A17,AT$3)))</f>
        <v>0</v>
      </c>
      <c r="AU17" s="124">
        <f>IF($B17="","",IF(AU$3=0,"n.b.",INDEX(SRC_Woningetalage!$A$1:$ZZ$501,$A17,AU$3)))</f>
        <v>7</v>
      </c>
      <c r="AV17" s="124">
        <f>IF($B17="","",IF(AV$3=0,"n.b.",INDEX(SRC_Woningetalage!$A$1:$ZZ$501,$A17,AV$3)))</f>
        <v>0</v>
      </c>
      <c r="AW17" s="124">
        <f>IF($B17="","",IF(AW$3=0,"n.b.",INDEX(SRC_Woningetalage!$A$1:$ZZ$501,$A17,AW$3)))</f>
        <v>0</v>
      </c>
      <c r="AX17" s="124">
        <f>IF($B17="","",IF(AX$3=0,"n.b.",INDEX(SRC_Woningetalage!$A$1:$ZZ$501,$A17,AX$3)))</f>
        <v>0</v>
      </c>
      <c r="AY17" s="124">
        <f>IF($B17="","",IF(AY$3=0,"n.b.",INDEX(SRC_Woningetalage!$A$1:$ZZ$501,$A17,AY$3)))</f>
        <v>0</v>
      </c>
      <c r="AZ17" s="124">
        <f>IF($B17="","",IF(AZ$3=0,"n.b.",INDEX(SRC_Woningetalage!$A$1:$ZZ$501,$A17,AZ$3)))</f>
        <v>0</v>
      </c>
      <c r="BA17" s="124">
        <f>IF($B17="","",IF(BA$3=0,"n.b.",INDEX(SRC_Woningetalage!$A$1:$ZZ$501,$A17,BA$3)))</f>
        <v>0</v>
      </c>
      <c r="BB17" s="124">
        <f>IF($B17="","",IF(BB$3=0,"n.b.",INDEX(SRC_Woningetalage!$A$1:$ZZ$501,$A17,BB$3)))</f>
        <v>0</v>
      </c>
      <c r="BC17" s="124">
        <f>IF($B17="","",IFERROR(_xlfn.NUMBERVALUE(E17&amp;"",",","."),"n.b."))</f>
        <v>50</v>
      </c>
      <c r="BD17" s="124">
        <f>IF($B17="","",IFERROR(_xlfn.NUMBERVALUE(M17&amp;"",",","."),"n.b."))</f>
        <v>80</v>
      </c>
      <c r="BE17" s="124">
        <f>IF($B17="","",IFERROR(AB17+AC17+AD17,"n.b."))</f>
        <v>0</v>
      </c>
      <c r="BF17" s="124">
        <f>IF($B17="","",IFERROR(AE17+AF17+AG17,"n.b."))</f>
        <v>1</v>
      </c>
      <c r="BG17" s="124">
        <f>IF($B17="","",IFERROR(AH17+AI17+AJ17,"n.b."))</f>
        <v>1</v>
      </c>
      <c r="BH17" s="124">
        <f>IF($B17="","",IFERROR(AK17+AL17+AM17,"n.b."))</f>
        <v>7</v>
      </c>
      <c r="BI17" s="124">
        <f>IF($B17="","",IFERROR(SUMIF($AB$5:$AM$5,"&lt;="&amp;P_PeilMaand,AB17:AM17),"n.b."))</f>
        <v>2</v>
      </c>
      <c r="BJ17" s="124">
        <f>IF($B17="","",IFERROR(SUM(AB17:AM17)-BI17,"n.b."))</f>
        <v>7</v>
      </c>
      <c r="BK17" s="124">
        <f>IF($B17="","",IFERROR(IF(ABS(Q17-(T17+SUM(AB17:AM17)+AS17+AU17))&gt;P_Tol,1,0),1))</f>
        <v>0</v>
      </c>
      <c r="BL17" s="124">
        <f>IF($B17="","",IFERROR(IF(ABS(AA17-(Q17-Z17))&gt;P_Tol,1,0),1))</f>
        <v>0</v>
      </c>
      <c r="BM17" s="124">
        <f>IF($B17="","",IFERROR(IF(ABS(Z17-(T17+W17))&gt;P_Tol,1,0),1))</f>
        <v>0</v>
      </c>
      <c r="BN17" s="124">
        <f>IF($B17="","",IFERROR(IF(ABS(W17-BI17)&gt;P_Tol,1,0),1))</f>
        <v>0</v>
      </c>
      <c r="BO17" s="124">
        <f>IF($B17="","",IFERROR(IF(OR(ABS(R17+S17-T17)&gt;P_Tol,ABS(U17+V17-W17)&gt;P_Tol,ABS(X17+Y17-Z17)&gt;P_Tol),1,0),1))</f>
        <v>0</v>
      </c>
      <c r="BP17" s="124">
        <f>IF($B17="","",IFERROR(IF(OR(ABS(AR17-SUM(AB17:AM17))&gt;P_Tol,ABS(AS17-(AN17+AO17+AP17+AQ17))&gt;P_Tol),1,0),1))</f>
        <v>0</v>
      </c>
      <c r="BQ17" s="124">
        <f>IF($B17="","",IFERROR(IF(ABS(AT17)+ABS(AV17)+ABS(AW17)+ABS(AX17)+ABS(AY17)+ABS(AZ17)+ABS(BA17)+ABS(BB17)&gt;0,1,0),1))</f>
        <v>0</v>
      </c>
      <c r="BR17" s="124">
        <f>IF($B17="","",COUNTIF(STG_ZPMW03!$B$6:$B$505,B17))</f>
        <v>1</v>
      </c>
      <c r="BS17" s="124">
        <f>IF($B17="","",COUNTIF($B$6:$B$505,B17))</f>
        <v>1</v>
      </c>
      <c r="BT17" s="124">
        <f>IF($B17="","",IF(BR17=0,0,IF(INDEX(STG_ZPMW03!$I$6:$I$505,MATCH(B17,STG_ZPMW03!$B$6:$B$505,0))=J17&amp;"",0,1)))</f>
        <v>0</v>
      </c>
      <c r="BU17" s="124">
        <f>IF($B17="","",IFERROR(IF(ABS(INDEX(Mapping!$D$5:$D$104,MATCH(B17,Mapping!$A$5:$A$104,0))-Q17)&gt;P_Tol,1,0),0))</f>
        <v>0</v>
      </c>
      <c r="BV17" s="124">
        <f>IF($B17="","",IFERROR(IF(AND(INDEX(Mapping!$G$5:$G$104,MATCH(B17,Mapping!$A$5:$A$104,0))="Nee",ABS(Q17)+ABS(Z17)+ABS(AR17)&gt;0),1,0),0))</f>
        <v>0</v>
      </c>
      <c r="BW17" s="124">
        <f>IF($B17="","",IF(COUNTIF(Mapping!$A$5:$A$104,B17)&gt;0,1,0))</f>
        <v>1</v>
      </c>
      <c r="BX17" s="124" t="str">
        <f>IF($B17="","",IF(BR17=0,COUNTIF($BR$6:BR17,0),""))</f>
        <v/>
      </c>
    </row>
    <row r="18">
      <c r="A18" s="15" t="n">
        <v>14</v>
      </c>
      <c r="B18" t="str">
        <f>IF(B$3=0,"",IF(INDEX(SRC_Woningetalage!$A$1:$ZZ$501,$A18,B$3)&amp;""="","",INDEX(SRC_Woningetalage!$A$1:$ZZ$501,$A18,B$3)&amp;""))</f>
        <v>G.900013.8.9090</v>
      </c>
      <c r="C18">
        <f>IF($B18="","",IF(C$3=0,"n.b.",INDEX(SRC_Woningetalage!$A$1:$ZZ$501,$A18,C$3)))</f>
        <v>9901</v>
      </c>
      <c r="D18" t="str">
        <f>IF($B18="","",IF(D$3=0,"n.b.",INDEX(SRC_Woningetalage!$A$1:$ZZ$501,$A18,D$3)))</f>
        <v>Demo Ontwikkeling BV</v>
      </c>
      <c r="E18" t="str">
        <f>IF($B18="","",IF(E$3=0,"n.b.",INDEX(SRC_Woningetalage!$A$1:$ZZ$501,$A18,E$3)))</f>
        <v>100,00</v>
      </c>
      <c r="F18" t="str">
        <f>IF($B18="","",IF(F$3=0,"n.b.",INDEX(SRC_Woningetalage!$A$1:$ZZ$501,$A18,F$3)))</f>
        <v>08</v>
      </c>
      <c r="G18" t="str">
        <f>IF($B18="","",IF(G$3=0,"n.b.",INDEX(SRC_Woningetalage!$A$1:$ZZ$501,$A18,G$3)))</f>
        <v>Opstalontwikkeling</v>
      </c>
      <c r="H18" t="str">
        <f>IF($B18="","",IF(H$3=0,"n.b.",INDEX(SRC_Woningetalage!$A$1:$ZZ$501,$A18,H$3)))</f>
        <v>9090</v>
      </c>
      <c r="I18" t="str">
        <f>IF($B18="","",IF(I$3=0,"n.b.",INDEX(SRC_Woningetalage!$A$1:$ZZ$501,$A18,I$3)))</f>
        <v>Demo Regio</v>
      </c>
      <c r="J18" t="str">
        <f>IF($B18="","",IF(J$3=0,"n.b.",INDEX(SRC_Woningetalage!$A$1:$ZZ$501,$A18,J$3)))</f>
        <v>G.900013</v>
      </c>
      <c r="K18" t="str">
        <f>IF($B18="","",IF(K$3=0,"n.b.",INDEX(SRC_Woningetalage!$A$1:$ZZ$501,$A18,K$3)))</f>
        <v>Boswaard, Boskamers</v>
      </c>
      <c r="L18" t="str">
        <f>IF($B18="","",IF(L$3=0,"n.b.",INDEX(SRC_Woningetalage!$A$1:$ZZ$501,$A18,L$3)))</f>
        <v>Boswaard, Boskamers</v>
      </c>
      <c r="M18" t="str">
        <f>IF($B18="","",IF(M$3=0,"n.b.",INDEX(SRC_Woningetalage!$A$1:$ZZ$501,$A18,M$3)))</f>
        <v>060</v>
      </c>
      <c r="N18">
        <f>IF($B18="","",IF(N$3=0,"n.b.",INDEX(SRC_Woningetalage!$A$1:$ZZ$501,$A18,N$3)))</f>
        <v>45931.0</v>
      </c>
      <c r="O18">
        <f>IF($B18="","",IF(O$3=0,"n.b.",INDEX(SRC_Woningetalage!$A$1:$ZZ$501,$A18,O$3)))</f>
        <v>46478.0</v>
      </c>
      <c r="P18">
        <f>IF($B18="","",IF(P$3=0,"n.b.",INDEX(SRC_Woningetalage!$A$1:$ZZ$501,$A18,P$3)))</f>
        <v>47453.0</v>
      </c>
      <c r="Q18" s="124">
        <f>IF($B18="","",IF(Q$3=0,"n.b.",INDEX(SRC_Woningetalage!$A$1:$ZZ$501,$A18,Q$3)))</f>
        <v>60</v>
      </c>
      <c r="R18" s="124">
        <f>IF($B18="","",IF(R$3=0,"n.b.",INDEX(SRC_Woningetalage!$A$1:$ZZ$501,$A18,R$3)))</f>
        <v>0</v>
      </c>
      <c r="S18" s="124">
        <f>IF($B18="","",IF(S$3=0,"n.b.",INDEX(SRC_Woningetalage!$A$1:$ZZ$501,$A18,S$3)))</f>
        <v>0</v>
      </c>
      <c r="T18" s="124">
        <f>IF($B18="","",IF(T$3=0,"n.b.",INDEX(SRC_Woningetalage!$A$1:$ZZ$501,$A18,T$3)))</f>
        <v>0</v>
      </c>
      <c r="U18" s="124">
        <f>IF($B18="","",IF(U$3=0,"n.b.",INDEX(SRC_Woningetalage!$A$1:$ZZ$501,$A18,U$3)))</f>
        <v>0</v>
      </c>
      <c r="V18" s="124">
        <f>IF($B18="","",IF(V$3=0,"n.b.",INDEX(SRC_Woningetalage!$A$1:$ZZ$501,$A18,V$3)))</f>
        <v>9</v>
      </c>
      <c r="W18" s="124">
        <f>IF($B18="","",IF(W$3=0,"n.b.",INDEX(SRC_Woningetalage!$A$1:$ZZ$501,$A18,W$3)))</f>
        <v>9</v>
      </c>
      <c r="X18" s="124">
        <f>IF($B18="","",IF(X$3=0,"n.b.",INDEX(SRC_Woningetalage!$A$1:$ZZ$501,$A18,X$3)))</f>
        <v>0</v>
      </c>
      <c r="Y18" s="124">
        <f>IF($B18="","",IF(Y$3=0,"n.b.",INDEX(SRC_Woningetalage!$A$1:$ZZ$501,$A18,Y$3)))</f>
        <v>9</v>
      </c>
      <c r="Z18" s="124">
        <f>IF($B18="","",IF(Z$3=0,"n.b.",INDEX(SRC_Woningetalage!$A$1:$ZZ$501,$A18,Z$3)))</f>
        <v>9</v>
      </c>
      <c r="AA18" s="124">
        <f>IF($B18="","",IF(AA$3=0,"n.b.",INDEX(SRC_Woningetalage!$A$1:$ZZ$501,$A18,AA$3)))</f>
        <v>51</v>
      </c>
      <c r="AB18" s="124">
        <f>IF($B18="","",IF(AB$3=0,"n.b.",INDEX(SRC_Woningetalage!$A$1:$ZZ$501,$A18,AB$3)))</f>
        <v>0</v>
      </c>
      <c r="AC18" s="124">
        <f>IF($B18="","",IF(AC$3=0,"n.b.",INDEX(SRC_Woningetalage!$A$1:$ZZ$501,$A18,AC$3)))</f>
        <v>0</v>
      </c>
      <c r="AD18" s="124">
        <f>IF($B18="","",IF(AD$3=0,"n.b.",INDEX(SRC_Woningetalage!$A$1:$ZZ$501,$A18,AD$3)))</f>
        <v>1</v>
      </c>
      <c r="AE18" s="124">
        <f>IF($B18="","",IF(AE$3=0,"n.b.",INDEX(SRC_Woningetalage!$A$1:$ZZ$501,$A18,AE$3)))</f>
        <v>1</v>
      </c>
      <c r="AF18" s="124">
        <f>IF($B18="","",IF(AF$3=0,"n.b.",INDEX(SRC_Woningetalage!$A$1:$ZZ$501,$A18,AF$3)))</f>
        <v>2</v>
      </c>
      <c r="AG18" s="124">
        <f>IF($B18="","",IF(AG$3=0,"n.b.",INDEX(SRC_Woningetalage!$A$1:$ZZ$501,$A18,AG$3)))</f>
        <v>1</v>
      </c>
      <c r="AH18" s="124">
        <f>IF($B18="","",IF(AH$3=0,"n.b.",INDEX(SRC_Woningetalage!$A$1:$ZZ$501,$A18,AH$3)))</f>
        <v>1</v>
      </c>
      <c r="AI18" s="124">
        <f>IF($B18="","",IF(AI$3=0,"n.b.",INDEX(SRC_Woningetalage!$A$1:$ZZ$501,$A18,AI$3)))</f>
        <v>2</v>
      </c>
      <c r="AJ18" s="124">
        <f>IF($B18="","",IF(AJ$3=0,"n.b.",INDEX(SRC_Woningetalage!$A$1:$ZZ$501,$A18,AJ$3)))</f>
        <v>1</v>
      </c>
      <c r="AK18" s="124">
        <f>IF($B18="","",IF(AK$3=0,"n.b.",INDEX(SRC_Woningetalage!$A$1:$ZZ$501,$A18,AK$3)))</f>
        <v>0</v>
      </c>
      <c r="AL18" s="124">
        <f>IF($B18="","",IF(AL$3=0,"n.b.",INDEX(SRC_Woningetalage!$A$1:$ZZ$501,$A18,AL$3)))</f>
        <v>0</v>
      </c>
      <c r="AM18" s="124">
        <f>IF($B18="","",IF(AM$3=0,"n.b.",INDEX(SRC_Woningetalage!$A$1:$ZZ$501,$A18,AM$3)))</f>
        <v>11</v>
      </c>
      <c r="AN18" s="124">
        <f>IF($B18="","",IF(AN$3=0,"n.b.",INDEX(SRC_Woningetalage!$A$1:$ZZ$501,$A18,AN$3)))</f>
        <v>7</v>
      </c>
      <c r="AO18" s="124">
        <f>IF($B18="","",IF(AO$3=0,"n.b.",INDEX(SRC_Woningetalage!$A$1:$ZZ$501,$A18,AO$3)))</f>
        <v>6</v>
      </c>
      <c r="AP18" s="124">
        <f>IF($B18="","",IF(AP$3=0,"n.b.",INDEX(SRC_Woningetalage!$A$1:$ZZ$501,$A18,AP$3)))</f>
        <v>6</v>
      </c>
      <c r="AQ18" s="124">
        <f>IF($B18="","",IF(AQ$3=0,"n.b.",INDEX(SRC_Woningetalage!$A$1:$ZZ$501,$A18,AQ$3)))</f>
        <v>7</v>
      </c>
      <c r="AR18" s="124">
        <f>IF($B18="","",IF(AR$3=0,"n.b.",INDEX(SRC_Woningetalage!$A$1:$ZZ$501,$A18,AR$3)))</f>
        <v>20</v>
      </c>
      <c r="AS18" s="124">
        <f>IF($B18="","",IF(AS$3=0,"n.b.",INDEX(SRC_Woningetalage!$A$1:$ZZ$501,$A18,AS$3)))</f>
        <v>26</v>
      </c>
      <c r="AT18" s="124">
        <f>IF($B18="","",IF(AT$3=0,"n.b.",INDEX(SRC_Woningetalage!$A$1:$ZZ$501,$A18,AT$3)))</f>
        <v>0</v>
      </c>
      <c r="AU18" s="124">
        <f>IF($B18="","",IF(AU$3=0,"n.b.",INDEX(SRC_Woningetalage!$A$1:$ZZ$501,$A18,AU$3)))</f>
        <v>14</v>
      </c>
      <c r="AV18" s="124">
        <f>IF($B18="","",IF(AV$3=0,"n.b.",INDEX(SRC_Woningetalage!$A$1:$ZZ$501,$A18,AV$3)))</f>
        <v>0</v>
      </c>
      <c r="AW18" s="124">
        <f>IF($B18="","",IF(AW$3=0,"n.b.",INDEX(SRC_Woningetalage!$A$1:$ZZ$501,$A18,AW$3)))</f>
        <v>0</v>
      </c>
      <c r="AX18" s="124">
        <f>IF($B18="","",IF(AX$3=0,"n.b.",INDEX(SRC_Woningetalage!$A$1:$ZZ$501,$A18,AX$3)))</f>
        <v>0</v>
      </c>
      <c r="AY18" s="124">
        <f>IF($B18="","",IF(AY$3=0,"n.b.",INDEX(SRC_Woningetalage!$A$1:$ZZ$501,$A18,AY$3)))</f>
        <v>0</v>
      </c>
      <c r="AZ18" s="124">
        <f>IF($B18="","",IF(AZ$3=0,"n.b.",INDEX(SRC_Woningetalage!$A$1:$ZZ$501,$A18,AZ$3)))</f>
        <v>0</v>
      </c>
      <c r="BA18" s="124">
        <f>IF($B18="","",IF(BA$3=0,"n.b.",INDEX(SRC_Woningetalage!$A$1:$ZZ$501,$A18,BA$3)))</f>
        <v>0</v>
      </c>
      <c r="BB18" s="124">
        <f>IF($B18="","",IF(BB$3=0,"n.b.",INDEX(SRC_Woningetalage!$A$1:$ZZ$501,$A18,BB$3)))</f>
        <v>0</v>
      </c>
      <c r="BC18" s="124">
        <f>IF($B18="","",IFERROR(_xlfn.NUMBERVALUE(E18&amp;"",",","."),"n.b."))</f>
        <v>100</v>
      </c>
      <c r="BD18" s="124">
        <f>IF($B18="","",IFERROR(_xlfn.NUMBERVALUE(M18&amp;"",",","."),"n.b."))</f>
        <v>60</v>
      </c>
      <c r="BE18" s="124">
        <f>IF($B18="","",IFERROR(AB18+AC18+AD18,"n.b."))</f>
        <v>1</v>
      </c>
      <c r="BF18" s="124">
        <f>IF($B18="","",IFERROR(AE18+AF18+AG18,"n.b."))</f>
        <v>4</v>
      </c>
      <c r="BG18" s="124">
        <f>IF($B18="","",IFERROR(AH18+AI18+AJ18,"n.b."))</f>
        <v>4</v>
      </c>
      <c r="BH18" s="124">
        <f>IF($B18="","",IFERROR(AK18+AL18+AM18,"n.b."))</f>
        <v>11</v>
      </c>
      <c r="BI18" s="124">
        <f>IF($B18="","",IFERROR(SUMIF($AB$5:$AM$5,"&lt;="&amp;P_PeilMaand,AB18:AM18),"n.b."))</f>
        <v>9</v>
      </c>
      <c r="BJ18" s="124">
        <f>IF($B18="","",IFERROR(SUM(AB18:AM18)-BI18,"n.b."))</f>
        <v>11</v>
      </c>
      <c r="BK18" s="124">
        <f>IF($B18="","",IFERROR(IF(ABS(Q18-(T18+SUM(AB18:AM18)+AS18+AU18))&gt;P_Tol,1,0),1))</f>
        <v>0</v>
      </c>
      <c r="BL18" s="124">
        <f>IF($B18="","",IFERROR(IF(ABS(AA18-(Q18-Z18))&gt;P_Tol,1,0),1))</f>
        <v>0</v>
      </c>
      <c r="BM18" s="124">
        <f>IF($B18="","",IFERROR(IF(ABS(Z18-(T18+W18))&gt;P_Tol,1,0),1))</f>
        <v>0</v>
      </c>
      <c r="BN18" s="124">
        <f>IF($B18="","",IFERROR(IF(ABS(W18-BI18)&gt;P_Tol,1,0),1))</f>
        <v>0</v>
      </c>
      <c r="BO18" s="124">
        <f>IF($B18="","",IFERROR(IF(OR(ABS(R18+S18-T18)&gt;P_Tol,ABS(U18+V18-W18)&gt;P_Tol,ABS(X18+Y18-Z18)&gt;P_Tol),1,0),1))</f>
        <v>0</v>
      </c>
      <c r="BP18" s="124">
        <f>IF($B18="","",IFERROR(IF(OR(ABS(AR18-SUM(AB18:AM18))&gt;P_Tol,ABS(AS18-(AN18+AO18+AP18+AQ18))&gt;P_Tol),1,0),1))</f>
        <v>0</v>
      </c>
      <c r="BQ18" s="124">
        <f>IF($B18="","",IFERROR(IF(ABS(AT18)+ABS(AV18)+ABS(AW18)+ABS(AX18)+ABS(AY18)+ABS(AZ18)+ABS(BA18)+ABS(BB18)&gt;0,1,0),1))</f>
        <v>0</v>
      </c>
      <c r="BR18" s="124">
        <f>IF($B18="","",COUNTIF(STG_ZPMW03!$B$6:$B$505,B18))</f>
        <v>1</v>
      </c>
      <c r="BS18" s="124">
        <f>IF($B18="","",COUNTIF($B$6:$B$505,B18))</f>
        <v>1</v>
      </c>
      <c r="BT18" s="124">
        <f>IF($B18="","",IF(BR18=0,0,IF(INDEX(STG_ZPMW03!$I$6:$I$505,MATCH(B18,STG_ZPMW03!$B$6:$B$505,0))=J18&amp;"",0,1)))</f>
        <v>0</v>
      </c>
      <c r="BU18" s="124">
        <f>IF($B18="","",IFERROR(IF(ABS(INDEX(Mapping!$D$5:$D$104,MATCH(B18,Mapping!$A$5:$A$104,0))-Q18)&gt;P_Tol,1,0),0))</f>
        <v>0</v>
      </c>
      <c r="BV18" s="124">
        <f>IF($B18="","",IFERROR(IF(AND(INDEX(Mapping!$G$5:$G$104,MATCH(B18,Mapping!$A$5:$A$104,0))="Nee",ABS(Q18)+ABS(Z18)+ABS(AR18)&gt;0),1,0),0))</f>
        <v>0</v>
      </c>
      <c r="BW18" s="124">
        <f>IF($B18="","",IF(COUNTIF(Mapping!$A$5:$A$104,B18)&gt;0,1,0))</f>
        <v>1</v>
      </c>
      <c r="BX18" s="124" t="str">
        <f>IF($B18="","",IF(BR18=0,COUNTIF($BR$6:BR18,0),""))</f>
        <v/>
      </c>
    </row>
    <row r="19">
      <c r="A19" s="15" t="n">
        <v>15</v>
      </c>
      <c r="B19" t="str">
        <f>IF(B$3=0,"",IF(INDEX(SRC_Woningetalage!$A$1:$ZZ$501,$A19,B$3)&amp;""="","",INDEX(SRC_Woningetalage!$A$1:$ZZ$501,$A19,B$3)&amp;""))</f>
        <v>G.900014.8.9090</v>
      </c>
      <c r="C19">
        <f>IF($B19="","",IF(C$3=0,"n.b.",INDEX(SRC_Woningetalage!$A$1:$ZZ$501,$A19,C$3)))</f>
        <v>9901</v>
      </c>
      <c r="D19" t="str">
        <f>IF($B19="","",IF(D$3=0,"n.b.",INDEX(SRC_Woningetalage!$A$1:$ZZ$501,$A19,D$3)))</f>
        <v>Demo Ontwikkeling BV</v>
      </c>
      <c r="E19" t="str">
        <f>IF($B19="","",IF(E$3=0,"n.b.",INDEX(SRC_Woningetalage!$A$1:$ZZ$501,$A19,E$3)))</f>
        <v>100,00</v>
      </c>
      <c r="F19" t="str">
        <f>IF($B19="","",IF(F$3=0,"n.b.",INDEX(SRC_Woningetalage!$A$1:$ZZ$501,$A19,F$3)))</f>
        <v>08</v>
      </c>
      <c r="G19" t="str">
        <f>IF($B19="","",IF(G$3=0,"n.b.",INDEX(SRC_Woningetalage!$A$1:$ZZ$501,$A19,G$3)))</f>
        <v>Opstalontwikkeling</v>
      </c>
      <c r="H19" t="str">
        <f>IF($B19="","",IF(H$3=0,"n.b.",INDEX(SRC_Woningetalage!$A$1:$ZZ$501,$A19,H$3)))</f>
        <v>9090</v>
      </c>
      <c r="I19" t="str">
        <f>IF($B19="","",IF(I$3=0,"n.b.",INDEX(SRC_Woningetalage!$A$1:$ZZ$501,$A19,I$3)))</f>
        <v>Demo Regio</v>
      </c>
      <c r="J19" t="str">
        <f>IF($B19="","",IF(J$3=0,"n.b.",INDEX(SRC_Woningetalage!$A$1:$ZZ$501,$A19,J$3)))</f>
        <v>G.900014</v>
      </c>
      <c r="K19" t="str">
        <f>IF($B19="","",IF(K$3=0,"n.b.",INDEX(SRC_Woningetalage!$A$1:$ZZ$501,$A19,K$3)))</f>
        <v>Rietdam, Rietoevers</v>
      </c>
      <c r="L19" t="str">
        <f>IF($B19="","",IF(L$3=0,"n.b.",INDEX(SRC_Woningetalage!$A$1:$ZZ$501,$A19,L$3)))</f>
        <v>Rietdam, Rietoevers</v>
      </c>
      <c r="M19" t="str">
        <f>IF($B19="","",IF(M$3=0,"n.b.",INDEX(SRC_Woningetalage!$A$1:$ZZ$501,$A19,M$3)))</f>
        <v>040</v>
      </c>
      <c r="N19">
        <f>IF($B19="","",IF(N$3=0,"n.b.",INDEX(SRC_Woningetalage!$A$1:$ZZ$501,$A19,N$3)))</f>
        <v>45931.0</v>
      </c>
      <c r="O19">
        <f>IF($B19="","",IF(O$3=0,"n.b.",INDEX(SRC_Woningetalage!$A$1:$ZZ$501,$A19,O$3)))</f>
        <v>46508.0</v>
      </c>
      <c r="P19">
        <f>IF($B19="","",IF(P$3=0,"n.b.",INDEX(SRC_Woningetalage!$A$1:$ZZ$501,$A19,P$3)))</f>
        <v>47453.0</v>
      </c>
      <c r="Q19" s="124">
        <f>IF($B19="","",IF(Q$3=0,"n.b.",INDEX(SRC_Woningetalage!$A$1:$ZZ$501,$A19,Q$3)))</f>
        <v>72</v>
      </c>
      <c r="R19" s="124">
        <f>IF($B19="","",IF(R$3=0,"n.b.",INDEX(SRC_Woningetalage!$A$1:$ZZ$501,$A19,R$3)))</f>
        <v>0</v>
      </c>
      <c r="S19" s="124">
        <f>IF($B19="","",IF(S$3=0,"n.b.",INDEX(SRC_Woningetalage!$A$1:$ZZ$501,$A19,S$3)))</f>
        <v>0</v>
      </c>
      <c r="T19" s="124">
        <f>IF($B19="","",IF(T$3=0,"n.b.",INDEX(SRC_Woningetalage!$A$1:$ZZ$501,$A19,T$3)))</f>
        <v>0</v>
      </c>
      <c r="U19" s="124">
        <f>IF($B19="","",IF(U$3=0,"n.b.",INDEX(SRC_Woningetalage!$A$1:$ZZ$501,$A19,U$3)))</f>
        <v>0</v>
      </c>
      <c r="V19" s="124">
        <f>IF($B19="","",IF(V$3=0,"n.b.",INDEX(SRC_Woningetalage!$A$1:$ZZ$501,$A19,V$3)))</f>
        <v>18</v>
      </c>
      <c r="W19" s="124">
        <f>IF($B19="","",IF(W$3=0,"n.b.",INDEX(SRC_Woningetalage!$A$1:$ZZ$501,$A19,W$3)))</f>
        <v>18</v>
      </c>
      <c r="X19" s="124">
        <f>IF($B19="","",IF(X$3=0,"n.b.",INDEX(SRC_Woningetalage!$A$1:$ZZ$501,$A19,X$3)))</f>
        <v>0</v>
      </c>
      <c r="Y19" s="124">
        <f>IF($B19="","",IF(Y$3=0,"n.b.",INDEX(SRC_Woningetalage!$A$1:$ZZ$501,$A19,Y$3)))</f>
        <v>18</v>
      </c>
      <c r="Z19" s="124">
        <f>IF($B19="","",IF(Z$3=0,"n.b.",INDEX(SRC_Woningetalage!$A$1:$ZZ$501,$A19,Z$3)))</f>
        <v>18</v>
      </c>
      <c r="AA19" s="124">
        <f>IF($B19="","",IF(AA$3=0,"n.b.",INDEX(SRC_Woningetalage!$A$1:$ZZ$501,$A19,AA$3)))</f>
        <v>54</v>
      </c>
      <c r="AB19" s="124">
        <f>IF($B19="","",IF(AB$3=0,"n.b.",INDEX(SRC_Woningetalage!$A$1:$ZZ$501,$A19,AB$3)))</f>
        <v>1</v>
      </c>
      <c r="AC19" s="124">
        <f>IF($B19="","",IF(AC$3=0,"n.b.",INDEX(SRC_Woningetalage!$A$1:$ZZ$501,$A19,AC$3)))</f>
        <v>1</v>
      </c>
      <c r="AD19" s="124">
        <f>IF($B19="","",IF(AD$3=0,"n.b.",INDEX(SRC_Woningetalage!$A$1:$ZZ$501,$A19,AD$3)))</f>
        <v>2</v>
      </c>
      <c r="AE19" s="124">
        <f>IF($B19="","",IF(AE$3=0,"n.b.",INDEX(SRC_Woningetalage!$A$1:$ZZ$501,$A19,AE$3)))</f>
        <v>2</v>
      </c>
      <c r="AF19" s="124">
        <f>IF($B19="","",IF(AF$3=0,"n.b.",INDEX(SRC_Woningetalage!$A$1:$ZZ$501,$A19,AF$3)))</f>
        <v>3</v>
      </c>
      <c r="AG19" s="124">
        <f>IF($B19="","",IF(AG$3=0,"n.b.",INDEX(SRC_Woningetalage!$A$1:$ZZ$501,$A19,AG$3)))</f>
        <v>2</v>
      </c>
      <c r="AH19" s="124">
        <f>IF($B19="","",IF(AH$3=0,"n.b.",INDEX(SRC_Woningetalage!$A$1:$ZZ$501,$A19,AH$3)))</f>
        <v>2</v>
      </c>
      <c r="AI19" s="124">
        <f>IF($B19="","",IF(AI$3=0,"n.b.",INDEX(SRC_Woningetalage!$A$1:$ZZ$501,$A19,AI$3)))</f>
        <v>3</v>
      </c>
      <c r="AJ19" s="124">
        <f>IF($B19="","",IF(AJ$3=0,"n.b.",INDEX(SRC_Woningetalage!$A$1:$ZZ$501,$A19,AJ$3)))</f>
        <v>2</v>
      </c>
      <c r="AK19" s="124">
        <f>IF($B19="","",IF(AK$3=0,"n.b.",INDEX(SRC_Woningetalage!$A$1:$ZZ$501,$A19,AK$3)))</f>
        <v>1</v>
      </c>
      <c r="AL19" s="124">
        <f>IF($B19="","",IF(AL$3=0,"n.b.",INDEX(SRC_Woningetalage!$A$1:$ZZ$501,$A19,AL$3)))</f>
        <v>1</v>
      </c>
      <c r="AM19" s="124">
        <f>IF($B19="","",IF(AM$3=0,"n.b.",INDEX(SRC_Woningetalage!$A$1:$ZZ$501,$A19,AM$3)))</f>
        <v>4</v>
      </c>
      <c r="AN19" s="124">
        <f>IF($B19="","",IF(AN$3=0,"n.b.",INDEX(SRC_Woningetalage!$A$1:$ZZ$501,$A19,AN$3)))</f>
        <v>9</v>
      </c>
      <c r="AO19" s="124">
        <f>IF($B19="","",IF(AO$3=0,"n.b.",INDEX(SRC_Woningetalage!$A$1:$ZZ$501,$A19,AO$3)))</f>
        <v>8</v>
      </c>
      <c r="AP19" s="124">
        <f>IF($B19="","",IF(AP$3=0,"n.b.",INDEX(SRC_Woningetalage!$A$1:$ZZ$501,$A19,AP$3)))</f>
        <v>8</v>
      </c>
      <c r="AQ19" s="124">
        <f>IF($B19="","",IF(AQ$3=0,"n.b.",INDEX(SRC_Woningetalage!$A$1:$ZZ$501,$A19,AQ$3)))</f>
        <v>7</v>
      </c>
      <c r="AR19" s="124">
        <f>IF($B19="","",IF(AR$3=0,"n.b.",INDEX(SRC_Woningetalage!$A$1:$ZZ$501,$A19,AR$3)))</f>
        <v>24</v>
      </c>
      <c r="AS19" s="124">
        <f>IF($B19="","",IF(AS$3=0,"n.b.",INDEX(SRC_Woningetalage!$A$1:$ZZ$501,$A19,AS$3)))</f>
        <v>32</v>
      </c>
      <c r="AT19" s="124">
        <f>IF($B19="","",IF(AT$3=0,"n.b.",INDEX(SRC_Woningetalage!$A$1:$ZZ$501,$A19,AT$3)))</f>
        <v>0</v>
      </c>
      <c r="AU19" s="124">
        <f>IF($B19="","",IF(AU$3=0,"n.b.",INDEX(SRC_Woningetalage!$A$1:$ZZ$501,$A19,AU$3)))</f>
        <v>16</v>
      </c>
      <c r="AV19" s="124">
        <f>IF($B19="","",IF(AV$3=0,"n.b.",INDEX(SRC_Woningetalage!$A$1:$ZZ$501,$A19,AV$3)))</f>
        <v>0</v>
      </c>
      <c r="AW19" s="124">
        <f>IF($B19="","",IF(AW$3=0,"n.b.",INDEX(SRC_Woningetalage!$A$1:$ZZ$501,$A19,AW$3)))</f>
        <v>0</v>
      </c>
      <c r="AX19" s="124">
        <f>IF($B19="","",IF(AX$3=0,"n.b.",INDEX(SRC_Woningetalage!$A$1:$ZZ$501,$A19,AX$3)))</f>
        <v>0</v>
      </c>
      <c r="AY19" s="124">
        <f>IF($B19="","",IF(AY$3=0,"n.b.",INDEX(SRC_Woningetalage!$A$1:$ZZ$501,$A19,AY$3)))</f>
        <v>0</v>
      </c>
      <c r="AZ19" s="124">
        <f>IF($B19="","",IF(AZ$3=0,"n.b.",INDEX(SRC_Woningetalage!$A$1:$ZZ$501,$A19,AZ$3)))</f>
        <v>0</v>
      </c>
      <c r="BA19" s="124">
        <f>IF($B19="","",IF(BA$3=0,"n.b.",INDEX(SRC_Woningetalage!$A$1:$ZZ$501,$A19,BA$3)))</f>
        <v>0</v>
      </c>
      <c r="BB19" s="124">
        <f>IF($B19="","",IF(BB$3=0,"n.b.",INDEX(SRC_Woningetalage!$A$1:$ZZ$501,$A19,BB$3)))</f>
        <v>0</v>
      </c>
      <c r="BC19" s="124">
        <f>IF($B19="","",IFERROR(_xlfn.NUMBERVALUE(E19&amp;"",",","."),"n.b."))</f>
        <v>100</v>
      </c>
      <c r="BD19" s="124">
        <f>IF($B19="","",IFERROR(_xlfn.NUMBERVALUE(M19&amp;"",",","."),"n.b."))</f>
        <v>40</v>
      </c>
      <c r="BE19" s="124">
        <f>IF($B19="","",IFERROR(AB19+AC19+AD19,"n.b."))</f>
        <v>4</v>
      </c>
      <c r="BF19" s="124">
        <f>IF($B19="","",IFERROR(AE19+AF19+AG19,"n.b."))</f>
        <v>7</v>
      </c>
      <c r="BG19" s="124">
        <f>IF($B19="","",IFERROR(AH19+AI19+AJ19,"n.b."))</f>
        <v>7</v>
      </c>
      <c r="BH19" s="124">
        <f>IF($B19="","",IFERROR(AK19+AL19+AM19,"n.b."))</f>
        <v>6</v>
      </c>
      <c r="BI19" s="124">
        <f>IF($B19="","",IFERROR(SUMIF($AB$5:$AM$5,"&lt;="&amp;P_PeilMaand,AB19:AM19),"n.b."))</f>
        <v>18</v>
      </c>
      <c r="BJ19" s="124">
        <f>IF($B19="","",IFERROR(SUM(AB19:AM19)-BI19,"n.b."))</f>
        <v>6</v>
      </c>
      <c r="BK19" s="124">
        <f>IF($B19="","",IFERROR(IF(ABS(Q19-(T19+SUM(AB19:AM19)+AS19+AU19))&gt;P_Tol,1,0),1))</f>
        <v>0</v>
      </c>
      <c r="BL19" s="124">
        <f>IF($B19="","",IFERROR(IF(ABS(AA19-(Q19-Z19))&gt;P_Tol,1,0),1))</f>
        <v>0</v>
      </c>
      <c r="BM19" s="124">
        <f>IF($B19="","",IFERROR(IF(ABS(Z19-(T19+W19))&gt;P_Tol,1,0),1))</f>
        <v>0</v>
      </c>
      <c r="BN19" s="124">
        <f>IF($B19="","",IFERROR(IF(ABS(W19-BI19)&gt;P_Tol,1,0),1))</f>
        <v>0</v>
      </c>
      <c r="BO19" s="124">
        <f>IF($B19="","",IFERROR(IF(OR(ABS(R19+S19-T19)&gt;P_Tol,ABS(U19+V19-W19)&gt;P_Tol,ABS(X19+Y19-Z19)&gt;P_Tol),1,0),1))</f>
        <v>0</v>
      </c>
      <c r="BP19" s="124">
        <f>IF($B19="","",IFERROR(IF(OR(ABS(AR19-SUM(AB19:AM19))&gt;P_Tol,ABS(AS19-(AN19+AO19+AP19+AQ19))&gt;P_Tol),1,0),1))</f>
        <v>0</v>
      </c>
      <c r="BQ19" s="124">
        <f>IF($B19="","",IFERROR(IF(ABS(AT19)+ABS(AV19)+ABS(AW19)+ABS(AX19)+ABS(AY19)+ABS(AZ19)+ABS(BA19)+ABS(BB19)&gt;0,1,0),1))</f>
        <v>0</v>
      </c>
      <c r="BR19" s="124">
        <f>IF($B19="","",COUNTIF(STG_ZPMW03!$B$6:$B$505,B19))</f>
        <v>1</v>
      </c>
      <c r="BS19" s="124">
        <f>IF($B19="","",COUNTIF($B$6:$B$505,B19))</f>
        <v>1</v>
      </c>
      <c r="BT19" s="124">
        <f>IF($B19="","",IF(BR19=0,0,IF(INDEX(STG_ZPMW03!$I$6:$I$505,MATCH(B19,STG_ZPMW03!$B$6:$B$505,0))=J19&amp;"",0,1)))</f>
        <v>0</v>
      </c>
      <c r="BU19" s="124">
        <f>IF($B19="","",IFERROR(IF(ABS(INDEX(Mapping!$D$5:$D$104,MATCH(B19,Mapping!$A$5:$A$104,0))-Q19)&gt;P_Tol,1,0),0))</f>
        <v>0</v>
      </c>
      <c r="BV19" s="124">
        <f>IF($B19="","",IFERROR(IF(AND(INDEX(Mapping!$G$5:$G$104,MATCH(B19,Mapping!$A$5:$A$104,0))="Nee",ABS(Q19)+ABS(Z19)+ABS(AR19)&gt;0),1,0),0))</f>
        <v>0</v>
      </c>
      <c r="BW19" s="124">
        <f>IF($B19="","",IF(COUNTIF(Mapping!$A$5:$A$104,B19)&gt;0,1,0))</f>
        <v>1</v>
      </c>
      <c r="BX19" s="124" t="str">
        <f>IF($B19="","",IF(BR19=0,COUNTIF($BR$6:BR19,0),""))</f>
        <v/>
      </c>
    </row>
    <row r="20">
      <c r="A20" s="15" t="n">
        <v>16</v>
      </c>
      <c r="B20" t="str">
        <f>IF(B$3=0,"",IF(INDEX(SRC_Woningetalage!$A$1:$ZZ$501,$A20,B$3)&amp;""="","",INDEX(SRC_Woningetalage!$A$1:$ZZ$501,$A20,B$3)&amp;""))</f>
        <v>G.900015.8.9090</v>
      </c>
      <c r="C20">
        <f>IF($B20="","",IF(C$3=0,"n.b.",INDEX(SRC_Woningetalage!$A$1:$ZZ$501,$A20,C$3)))</f>
        <v>9901</v>
      </c>
      <c r="D20" t="str">
        <f>IF($B20="","",IF(D$3=0,"n.b.",INDEX(SRC_Woningetalage!$A$1:$ZZ$501,$A20,D$3)))</f>
        <v>Demo Ontwikkeling BV</v>
      </c>
      <c r="E20" t="str">
        <f>IF($B20="","",IF(E$3=0,"n.b.",INDEX(SRC_Woningetalage!$A$1:$ZZ$501,$A20,E$3)))</f>
        <v>100,00</v>
      </c>
      <c r="F20" t="str">
        <f>IF($B20="","",IF(F$3=0,"n.b.",INDEX(SRC_Woningetalage!$A$1:$ZZ$501,$A20,F$3)))</f>
        <v>08</v>
      </c>
      <c r="G20" t="str">
        <f>IF($B20="","",IF(G$3=0,"n.b.",INDEX(SRC_Woningetalage!$A$1:$ZZ$501,$A20,G$3)))</f>
        <v>Opstalontwikkeling</v>
      </c>
      <c r="H20" t="str">
        <f>IF($B20="","",IF(H$3=0,"n.b.",INDEX(SRC_Woningetalage!$A$1:$ZZ$501,$A20,H$3)))</f>
        <v>9090</v>
      </c>
      <c r="I20" t="str">
        <f>IF($B20="","",IF(I$3=0,"n.b.",INDEX(SRC_Woningetalage!$A$1:$ZZ$501,$A20,I$3)))</f>
        <v>Demo Regio</v>
      </c>
      <c r="J20" t="str">
        <f>IF($B20="","",IF(J$3=0,"n.b.",INDEX(SRC_Woningetalage!$A$1:$ZZ$501,$A20,J$3)))</f>
        <v>G.900015</v>
      </c>
      <c r="K20" t="str">
        <f>IF($B20="","",IF(K$3=0,"n.b.",INDEX(SRC_Woningetalage!$A$1:$ZZ$501,$A20,K$3)))</f>
        <v>Lindehaven, Parkzoom fase 2</v>
      </c>
      <c r="L20" t="str">
        <f>IF($B20="","",IF(L$3=0,"n.b.",INDEX(SRC_Woningetalage!$A$1:$ZZ$501,$A20,L$3)))</f>
        <v>Lindehaven, Parkzoom fase 2</v>
      </c>
      <c r="M20" t="str">
        <f>IF($B20="","",IF(M$3=0,"n.b.",INDEX(SRC_Woningetalage!$A$1:$ZZ$501,$A20,M$3)))</f>
        <v>020</v>
      </c>
      <c r="N20">
        <f>IF($B20="","",IF(N$3=0,"n.b.",INDEX(SRC_Woningetalage!$A$1:$ZZ$501,$A20,N$3)))</f>
        <v>45931.0</v>
      </c>
      <c r="O20">
        <f>IF($B20="","",IF(O$3=0,"n.b.",INDEX(SRC_Woningetalage!$A$1:$ZZ$501,$A20,O$3)))</f>
        <v>46539.0</v>
      </c>
      <c r="P20">
        <f>IF($B20="","",IF(P$3=0,"n.b.",INDEX(SRC_Woningetalage!$A$1:$ZZ$501,$A20,P$3)))</f>
        <v>47453.0</v>
      </c>
      <c r="Q20" s="124">
        <f>IF($B20="","",IF(Q$3=0,"n.b.",INDEX(SRC_Woningetalage!$A$1:$ZZ$501,$A20,Q$3)))</f>
        <v>110</v>
      </c>
      <c r="R20" s="124">
        <f>IF($B20="","",IF(R$3=0,"n.b.",INDEX(SRC_Woningetalage!$A$1:$ZZ$501,$A20,R$3)))</f>
        <v>0</v>
      </c>
      <c r="S20" s="124">
        <f>IF($B20="","",IF(S$3=0,"n.b.",INDEX(SRC_Woningetalage!$A$1:$ZZ$501,$A20,S$3)))</f>
        <v>0</v>
      </c>
      <c r="T20" s="124">
        <f>IF($B20="","",IF(T$3=0,"n.b.",INDEX(SRC_Woningetalage!$A$1:$ZZ$501,$A20,T$3)))</f>
        <v>0</v>
      </c>
      <c r="U20" s="124">
        <f>IF($B20="","",IF(U$3=0,"n.b.",INDEX(SRC_Woningetalage!$A$1:$ZZ$501,$A20,U$3)))</f>
        <v>0</v>
      </c>
      <c r="V20" s="124">
        <f>IF($B20="","",IF(V$3=0,"n.b.",INDEX(SRC_Woningetalage!$A$1:$ZZ$501,$A20,V$3)))</f>
        <v>25</v>
      </c>
      <c r="W20" s="124">
        <f>IF($B20="","",IF(W$3=0,"n.b.",INDEX(SRC_Woningetalage!$A$1:$ZZ$501,$A20,W$3)))</f>
        <v>25</v>
      </c>
      <c r="X20" s="124">
        <f>IF($B20="","",IF(X$3=0,"n.b.",INDEX(SRC_Woningetalage!$A$1:$ZZ$501,$A20,X$3)))</f>
        <v>0</v>
      </c>
      <c r="Y20" s="124">
        <f>IF($B20="","",IF(Y$3=0,"n.b.",INDEX(SRC_Woningetalage!$A$1:$ZZ$501,$A20,Y$3)))</f>
        <v>25</v>
      </c>
      <c r="Z20" s="124">
        <f>IF($B20="","",IF(Z$3=0,"n.b.",INDEX(SRC_Woningetalage!$A$1:$ZZ$501,$A20,Z$3)))</f>
        <v>25</v>
      </c>
      <c r="AA20" s="124">
        <f>IF($B20="","",IF(AA$3=0,"n.b.",INDEX(SRC_Woningetalage!$A$1:$ZZ$501,$A20,AA$3)))</f>
        <v>85</v>
      </c>
      <c r="AB20" s="124">
        <f>IF($B20="","",IF(AB$3=0,"n.b.",INDEX(SRC_Woningetalage!$A$1:$ZZ$501,$A20,AB$3)))</f>
        <v>1</v>
      </c>
      <c r="AC20" s="124">
        <f>IF($B20="","",IF(AC$3=0,"n.b.",INDEX(SRC_Woningetalage!$A$1:$ZZ$501,$A20,AC$3)))</f>
        <v>1</v>
      </c>
      <c r="AD20" s="124">
        <f>IF($B20="","",IF(AD$3=0,"n.b.",INDEX(SRC_Woningetalage!$A$1:$ZZ$501,$A20,AD$3)))</f>
        <v>3</v>
      </c>
      <c r="AE20" s="124">
        <f>IF($B20="","",IF(AE$3=0,"n.b.",INDEX(SRC_Woningetalage!$A$1:$ZZ$501,$A20,AE$3)))</f>
        <v>3</v>
      </c>
      <c r="AF20" s="124">
        <f>IF($B20="","",IF(AF$3=0,"n.b.",INDEX(SRC_Woningetalage!$A$1:$ZZ$501,$A20,AF$3)))</f>
        <v>4</v>
      </c>
      <c r="AG20" s="124">
        <f>IF($B20="","",IF(AG$3=0,"n.b.",INDEX(SRC_Woningetalage!$A$1:$ZZ$501,$A20,AG$3)))</f>
        <v>3</v>
      </c>
      <c r="AH20" s="124">
        <f>IF($B20="","",IF(AH$3=0,"n.b.",INDEX(SRC_Woningetalage!$A$1:$ZZ$501,$A20,AH$3)))</f>
        <v>3</v>
      </c>
      <c r="AI20" s="124">
        <f>IF($B20="","",IF(AI$3=0,"n.b.",INDEX(SRC_Woningetalage!$A$1:$ZZ$501,$A20,AI$3)))</f>
        <v>4</v>
      </c>
      <c r="AJ20" s="124">
        <f>IF($B20="","",IF(AJ$3=0,"n.b.",INDEX(SRC_Woningetalage!$A$1:$ZZ$501,$A20,AJ$3)))</f>
        <v>3</v>
      </c>
      <c r="AK20" s="124">
        <f>IF($B20="","",IF(AK$3=0,"n.b.",INDEX(SRC_Woningetalage!$A$1:$ZZ$501,$A20,AK$3)))</f>
        <v>1</v>
      </c>
      <c r="AL20" s="124">
        <f>IF($B20="","",IF(AL$3=0,"n.b.",INDEX(SRC_Woningetalage!$A$1:$ZZ$501,$A20,AL$3)))</f>
        <v>1</v>
      </c>
      <c r="AM20" s="124">
        <f>IF($B20="","",IF(AM$3=0,"n.b.",INDEX(SRC_Woningetalage!$A$1:$ZZ$501,$A20,AM$3)))</f>
        <v>9</v>
      </c>
      <c r="AN20" s="124">
        <f>IF($B20="","",IF(AN$3=0,"n.b.",INDEX(SRC_Woningetalage!$A$1:$ZZ$501,$A20,AN$3)))</f>
        <v>14</v>
      </c>
      <c r="AO20" s="124">
        <f>IF($B20="","",IF(AO$3=0,"n.b.",INDEX(SRC_Woningetalage!$A$1:$ZZ$501,$A20,AO$3)))</f>
        <v>12</v>
      </c>
      <c r="AP20" s="124">
        <f>IF($B20="","",IF(AP$3=0,"n.b.",INDEX(SRC_Woningetalage!$A$1:$ZZ$501,$A20,AP$3)))</f>
        <v>12</v>
      </c>
      <c r="AQ20" s="124">
        <f>IF($B20="","",IF(AQ$3=0,"n.b.",INDEX(SRC_Woningetalage!$A$1:$ZZ$501,$A20,AQ$3)))</f>
        <v>11</v>
      </c>
      <c r="AR20" s="124">
        <f>IF($B20="","",IF(AR$3=0,"n.b.",INDEX(SRC_Woningetalage!$A$1:$ZZ$501,$A20,AR$3)))</f>
        <v>36</v>
      </c>
      <c r="AS20" s="124">
        <f>IF($B20="","",IF(AS$3=0,"n.b.",INDEX(SRC_Woningetalage!$A$1:$ZZ$501,$A20,AS$3)))</f>
        <v>49</v>
      </c>
      <c r="AT20" s="124">
        <f>IF($B20="","",IF(AT$3=0,"n.b.",INDEX(SRC_Woningetalage!$A$1:$ZZ$501,$A20,AT$3)))</f>
        <v>0</v>
      </c>
      <c r="AU20" s="124">
        <f>IF($B20="","",IF(AU$3=0,"n.b.",INDEX(SRC_Woningetalage!$A$1:$ZZ$501,$A20,AU$3)))</f>
        <v>25</v>
      </c>
      <c r="AV20" s="124">
        <f>IF($B20="","",IF(AV$3=0,"n.b.",INDEX(SRC_Woningetalage!$A$1:$ZZ$501,$A20,AV$3)))</f>
        <v>0</v>
      </c>
      <c r="AW20" s="124">
        <f>IF($B20="","",IF(AW$3=0,"n.b.",INDEX(SRC_Woningetalage!$A$1:$ZZ$501,$A20,AW$3)))</f>
        <v>0</v>
      </c>
      <c r="AX20" s="124">
        <f>IF($B20="","",IF(AX$3=0,"n.b.",INDEX(SRC_Woningetalage!$A$1:$ZZ$501,$A20,AX$3)))</f>
        <v>0</v>
      </c>
      <c r="AY20" s="124">
        <f>IF($B20="","",IF(AY$3=0,"n.b.",INDEX(SRC_Woningetalage!$A$1:$ZZ$501,$A20,AY$3)))</f>
        <v>0</v>
      </c>
      <c r="AZ20" s="124">
        <f>IF($B20="","",IF(AZ$3=0,"n.b.",INDEX(SRC_Woningetalage!$A$1:$ZZ$501,$A20,AZ$3)))</f>
        <v>0</v>
      </c>
      <c r="BA20" s="124">
        <f>IF($B20="","",IF(BA$3=0,"n.b.",INDEX(SRC_Woningetalage!$A$1:$ZZ$501,$A20,BA$3)))</f>
        <v>0</v>
      </c>
      <c r="BB20" s="124">
        <f>IF($B20="","",IF(BB$3=0,"n.b.",INDEX(SRC_Woningetalage!$A$1:$ZZ$501,$A20,BB$3)))</f>
        <v>0</v>
      </c>
      <c r="BC20" s="124">
        <f>IF($B20="","",IFERROR(_xlfn.NUMBERVALUE(E20&amp;"",",","."),"n.b."))</f>
        <v>100</v>
      </c>
      <c r="BD20" s="124">
        <f>IF($B20="","",IFERROR(_xlfn.NUMBERVALUE(M20&amp;"",",","."),"n.b."))</f>
        <v>20</v>
      </c>
      <c r="BE20" s="124">
        <f>IF($B20="","",IFERROR(AB20+AC20+AD20,"n.b."))</f>
        <v>5</v>
      </c>
      <c r="BF20" s="124">
        <f>IF($B20="","",IFERROR(AE20+AF20+AG20,"n.b."))</f>
        <v>10</v>
      </c>
      <c r="BG20" s="124">
        <f>IF($B20="","",IFERROR(AH20+AI20+AJ20,"n.b."))</f>
        <v>10</v>
      </c>
      <c r="BH20" s="124">
        <f>IF($B20="","",IFERROR(AK20+AL20+AM20,"n.b."))</f>
        <v>11</v>
      </c>
      <c r="BI20" s="124">
        <f>IF($B20="","",IFERROR(SUMIF($AB$5:$AM$5,"&lt;="&amp;P_PeilMaand,AB20:AM20),"n.b."))</f>
        <v>25</v>
      </c>
      <c r="BJ20" s="124">
        <f>IF($B20="","",IFERROR(SUM(AB20:AM20)-BI20,"n.b."))</f>
        <v>11</v>
      </c>
      <c r="BK20" s="124">
        <f>IF($B20="","",IFERROR(IF(ABS(Q20-(T20+SUM(AB20:AM20)+AS20+AU20))&gt;P_Tol,1,0),1))</f>
        <v>0</v>
      </c>
      <c r="BL20" s="124">
        <f>IF($B20="","",IFERROR(IF(ABS(AA20-(Q20-Z20))&gt;P_Tol,1,0),1))</f>
        <v>0</v>
      </c>
      <c r="BM20" s="124">
        <f>IF($B20="","",IFERROR(IF(ABS(Z20-(T20+W20))&gt;P_Tol,1,0),1))</f>
        <v>0</v>
      </c>
      <c r="BN20" s="124">
        <f>IF($B20="","",IFERROR(IF(ABS(W20-BI20)&gt;P_Tol,1,0),1))</f>
        <v>0</v>
      </c>
      <c r="BO20" s="124">
        <f>IF($B20="","",IFERROR(IF(OR(ABS(R20+S20-T20)&gt;P_Tol,ABS(U20+V20-W20)&gt;P_Tol,ABS(X20+Y20-Z20)&gt;P_Tol),1,0),1))</f>
        <v>0</v>
      </c>
      <c r="BP20" s="124">
        <f>IF($B20="","",IFERROR(IF(OR(ABS(AR20-SUM(AB20:AM20))&gt;P_Tol,ABS(AS20-(AN20+AO20+AP20+AQ20))&gt;P_Tol),1,0),1))</f>
        <v>0</v>
      </c>
      <c r="BQ20" s="124">
        <f>IF($B20="","",IFERROR(IF(ABS(AT20)+ABS(AV20)+ABS(AW20)+ABS(AX20)+ABS(AY20)+ABS(AZ20)+ABS(BA20)+ABS(BB20)&gt;0,1,0),1))</f>
        <v>0</v>
      </c>
      <c r="BR20" s="124">
        <f>IF($B20="","",COUNTIF(STG_ZPMW03!$B$6:$B$505,B20))</f>
        <v>1</v>
      </c>
      <c r="BS20" s="124">
        <f>IF($B20="","",COUNTIF($B$6:$B$505,B20))</f>
        <v>1</v>
      </c>
      <c r="BT20" s="124">
        <f>IF($B20="","",IF(BR20=0,0,IF(INDEX(STG_ZPMW03!$I$6:$I$505,MATCH(B20,STG_ZPMW03!$B$6:$B$505,0))=J20&amp;"",0,1)))</f>
        <v>0</v>
      </c>
      <c r="BU20" s="124">
        <f>IF($B20="","",IFERROR(IF(ABS(INDEX(Mapping!$D$5:$D$104,MATCH(B20,Mapping!$A$5:$A$104,0))-Q20)&gt;P_Tol,1,0),0))</f>
        <v>0</v>
      </c>
      <c r="BV20" s="124">
        <f>IF($B20="","",IFERROR(IF(AND(INDEX(Mapping!$G$5:$G$104,MATCH(B20,Mapping!$A$5:$A$104,0))="Nee",ABS(Q20)+ABS(Z20)+ABS(AR20)&gt;0),1,0),0))</f>
        <v>0</v>
      </c>
      <c r="BW20" s="124">
        <f>IF($B20="","",IF(COUNTIF(Mapping!$A$5:$A$104,B20)&gt;0,1,0))</f>
        <v>1</v>
      </c>
      <c r="BX20" s="124" t="str">
        <f>IF($B20="","",IF(BR20=0,COUNTIF($BR$6:BR20,0),""))</f>
        <v/>
      </c>
    </row>
    <row r="21">
      <c r="A21" s="15" t="n">
        <v>17</v>
      </c>
      <c r="B21" t="str">
        <f>IF(B$3=0,"",IF(INDEX(SRC_Woningetalage!$A$1:$ZZ$501,$A21,B$3)&amp;""="","",INDEX(SRC_Woningetalage!$A$1:$ZZ$501,$A21,B$3)&amp;""))</f>
        <v>G.900016.8.9090</v>
      </c>
      <c r="C21">
        <f>IF($B21="","",IF(C$3=0,"n.b.",INDEX(SRC_Woningetalage!$A$1:$ZZ$501,$A21,C$3)))</f>
        <v>9901</v>
      </c>
      <c r="D21" t="str">
        <f>IF($B21="","",IF(D$3=0,"n.b.",INDEX(SRC_Woningetalage!$A$1:$ZZ$501,$A21,D$3)))</f>
        <v>Demo Ontwikkeling BV</v>
      </c>
      <c r="E21" t="str">
        <f>IF($B21="","",IF(E$3=0,"n.b.",INDEX(SRC_Woningetalage!$A$1:$ZZ$501,$A21,E$3)))</f>
        <v>100,00</v>
      </c>
      <c r="F21" t="str">
        <f>IF($B21="","",IF(F$3=0,"n.b.",INDEX(SRC_Woningetalage!$A$1:$ZZ$501,$A21,F$3)))</f>
        <v>08</v>
      </c>
      <c r="G21" t="str">
        <f>IF($B21="","",IF(G$3=0,"n.b.",INDEX(SRC_Woningetalage!$A$1:$ZZ$501,$A21,G$3)))</f>
        <v>Opstalontwikkeling</v>
      </c>
      <c r="H21" t="str">
        <f>IF($B21="","",IF(H$3=0,"n.b.",INDEX(SRC_Woningetalage!$A$1:$ZZ$501,$A21,H$3)))</f>
        <v>9090</v>
      </c>
      <c r="I21" t="str">
        <f>IF($B21="","",IF(I$3=0,"n.b.",INDEX(SRC_Woningetalage!$A$1:$ZZ$501,$A21,I$3)))</f>
        <v>Demo Regio</v>
      </c>
      <c r="J21" t="str">
        <f>IF($B21="","",IF(J$3=0,"n.b.",INDEX(SRC_Woningetalage!$A$1:$ZZ$501,$A21,J$3)))</f>
        <v>G.900016</v>
      </c>
      <c r="K21" t="str">
        <f>IF($B21="","",IF(K$3=0,"n.b.",INDEX(SRC_Woningetalage!$A$1:$ZZ$501,$A21,K$3)))</f>
        <v>Duinwaard, De Lantaarn</v>
      </c>
      <c r="L21" t="str">
        <f>IF($B21="","",IF(L$3=0,"n.b.",INDEX(SRC_Woningetalage!$A$1:$ZZ$501,$A21,L$3)))</f>
        <v>Duinwaard, De Lantaarn</v>
      </c>
      <c r="M21" t="str">
        <f>IF($B21="","",IF(M$3=0,"n.b.",INDEX(SRC_Woningetalage!$A$1:$ZZ$501,$A21,M$3)))</f>
        <v>100</v>
      </c>
      <c r="N21">
        <f>IF($B21="","",IF(N$3=0,"n.b.",INDEX(SRC_Woningetalage!$A$1:$ZZ$501,$A21,N$3)))</f>
        <v>45931.0</v>
      </c>
      <c r="O21">
        <f>IF($B21="","",IF(O$3=0,"n.b.",INDEX(SRC_Woningetalage!$A$1:$ZZ$501,$A21,O$3)))</f>
        <v>46569.0</v>
      </c>
      <c r="P21">
        <f>IF($B21="","",IF(P$3=0,"n.b.",INDEX(SRC_Woningetalage!$A$1:$ZZ$501,$A21,P$3)))</f>
        <v>47453.0</v>
      </c>
      <c r="Q21" s="124">
        <f>IF($B21="","",IF(Q$3=0,"n.b.",INDEX(SRC_Woningetalage!$A$1:$ZZ$501,$A21,Q$3)))</f>
        <v>40</v>
      </c>
      <c r="R21" s="124">
        <f>IF($B21="","",IF(R$3=0,"n.b.",INDEX(SRC_Woningetalage!$A$1:$ZZ$501,$A21,R$3)))</f>
        <v>0</v>
      </c>
      <c r="S21" s="124">
        <f>IF($B21="","",IF(S$3=0,"n.b.",INDEX(SRC_Woningetalage!$A$1:$ZZ$501,$A21,S$3)))</f>
        <v>0</v>
      </c>
      <c r="T21" s="124">
        <f>IF($B21="","",IF(T$3=0,"n.b.",INDEX(SRC_Woningetalage!$A$1:$ZZ$501,$A21,T$3)))</f>
        <v>0</v>
      </c>
      <c r="U21" s="124">
        <f>IF($B21="","",IF(U$3=0,"n.b.",INDEX(SRC_Woningetalage!$A$1:$ZZ$501,$A21,U$3)))</f>
        <v>0</v>
      </c>
      <c r="V21" s="124">
        <f>IF($B21="","",IF(V$3=0,"n.b.",INDEX(SRC_Woningetalage!$A$1:$ZZ$501,$A21,V$3)))</f>
        <v>7</v>
      </c>
      <c r="W21" s="124">
        <f>IF($B21="","",IF(W$3=0,"n.b.",INDEX(SRC_Woningetalage!$A$1:$ZZ$501,$A21,W$3)))</f>
        <v>7</v>
      </c>
      <c r="X21" s="124">
        <f>IF($B21="","",IF(X$3=0,"n.b.",INDEX(SRC_Woningetalage!$A$1:$ZZ$501,$A21,X$3)))</f>
        <v>0</v>
      </c>
      <c r="Y21" s="124">
        <f>IF($B21="","",IF(Y$3=0,"n.b.",INDEX(SRC_Woningetalage!$A$1:$ZZ$501,$A21,Y$3)))</f>
        <v>7</v>
      </c>
      <c r="Z21" s="124">
        <f>IF($B21="","",IF(Z$3=0,"n.b.",INDEX(SRC_Woningetalage!$A$1:$ZZ$501,$A21,Z$3)))</f>
        <v>7</v>
      </c>
      <c r="AA21" s="124">
        <f>IF($B21="","",IF(AA$3=0,"n.b.",INDEX(SRC_Woningetalage!$A$1:$ZZ$501,$A21,AA$3)))</f>
        <v>33</v>
      </c>
      <c r="AB21" s="124">
        <f>IF($B21="","",IF(AB$3=0,"n.b.",INDEX(SRC_Woningetalage!$A$1:$ZZ$501,$A21,AB$3)))</f>
        <v>0</v>
      </c>
      <c r="AC21" s="124">
        <f>IF($B21="","",IF(AC$3=0,"n.b.",INDEX(SRC_Woningetalage!$A$1:$ZZ$501,$A21,AC$3)))</f>
        <v>0</v>
      </c>
      <c r="AD21" s="124">
        <f>IF($B21="","",IF(AD$3=0,"n.b.",INDEX(SRC_Woningetalage!$A$1:$ZZ$501,$A21,AD$3)))</f>
        <v>1</v>
      </c>
      <c r="AE21" s="124">
        <f>IF($B21="","",IF(AE$3=0,"n.b.",INDEX(SRC_Woningetalage!$A$1:$ZZ$501,$A21,AE$3)))</f>
        <v>1</v>
      </c>
      <c r="AF21" s="124">
        <f>IF($B21="","",IF(AF$3=0,"n.b.",INDEX(SRC_Woningetalage!$A$1:$ZZ$501,$A21,AF$3)))</f>
        <v>1</v>
      </c>
      <c r="AG21" s="124">
        <f>IF($B21="","",IF(AG$3=0,"n.b.",INDEX(SRC_Woningetalage!$A$1:$ZZ$501,$A21,AG$3)))</f>
        <v>1</v>
      </c>
      <c r="AH21" s="124">
        <f>IF($B21="","",IF(AH$3=0,"n.b.",INDEX(SRC_Woningetalage!$A$1:$ZZ$501,$A21,AH$3)))</f>
        <v>1</v>
      </c>
      <c r="AI21" s="124">
        <f>IF($B21="","",IF(AI$3=0,"n.b.",INDEX(SRC_Woningetalage!$A$1:$ZZ$501,$A21,AI$3)))</f>
        <v>1</v>
      </c>
      <c r="AJ21" s="124">
        <f>IF($B21="","",IF(AJ$3=0,"n.b.",INDEX(SRC_Woningetalage!$A$1:$ZZ$501,$A21,AJ$3)))</f>
        <v>1</v>
      </c>
      <c r="AK21" s="124">
        <f>IF($B21="","",IF(AK$3=0,"n.b.",INDEX(SRC_Woningetalage!$A$1:$ZZ$501,$A21,AK$3)))</f>
        <v>0</v>
      </c>
      <c r="AL21" s="124">
        <f>IF($B21="","",IF(AL$3=0,"n.b.",INDEX(SRC_Woningetalage!$A$1:$ZZ$501,$A21,AL$3)))</f>
        <v>0</v>
      </c>
      <c r="AM21" s="124">
        <f>IF($B21="","",IF(AM$3=0,"n.b.",INDEX(SRC_Woningetalage!$A$1:$ZZ$501,$A21,AM$3)))</f>
        <v>6</v>
      </c>
      <c r="AN21" s="124">
        <f>IF($B21="","",IF(AN$3=0,"n.b.",INDEX(SRC_Woningetalage!$A$1:$ZZ$501,$A21,AN$3)))</f>
        <v>5</v>
      </c>
      <c r="AO21" s="124">
        <f>IF($B21="","",IF(AO$3=0,"n.b.",INDEX(SRC_Woningetalage!$A$1:$ZZ$501,$A21,AO$3)))</f>
        <v>4</v>
      </c>
      <c r="AP21" s="124">
        <f>IF($B21="","",IF(AP$3=0,"n.b.",INDEX(SRC_Woningetalage!$A$1:$ZZ$501,$A21,AP$3)))</f>
        <v>4</v>
      </c>
      <c r="AQ21" s="124">
        <f>IF($B21="","",IF(AQ$3=0,"n.b.",INDEX(SRC_Woningetalage!$A$1:$ZZ$501,$A21,AQ$3)))</f>
        <v>5</v>
      </c>
      <c r="AR21" s="124">
        <f>IF($B21="","",IF(AR$3=0,"n.b.",INDEX(SRC_Woningetalage!$A$1:$ZZ$501,$A21,AR$3)))</f>
        <v>13</v>
      </c>
      <c r="AS21" s="124">
        <f>IF($B21="","",IF(AS$3=0,"n.b.",INDEX(SRC_Woningetalage!$A$1:$ZZ$501,$A21,AS$3)))</f>
        <v>18</v>
      </c>
      <c r="AT21" s="124">
        <f>IF($B21="","",IF(AT$3=0,"n.b.",INDEX(SRC_Woningetalage!$A$1:$ZZ$501,$A21,AT$3)))</f>
        <v>0</v>
      </c>
      <c r="AU21" s="124">
        <f>IF($B21="","",IF(AU$3=0,"n.b.",INDEX(SRC_Woningetalage!$A$1:$ZZ$501,$A21,AU$3)))</f>
        <v>9</v>
      </c>
      <c r="AV21" s="124">
        <f>IF($B21="","",IF(AV$3=0,"n.b.",INDEX(SRC_Woningetalage!$A$1:$ZZ$501,$A21,AV$3)))</f>
        <v>0</v>
      </c>
      <c r="AW21" s="124">
        <f>IF($B21="","",IF(AW$3=0,"n.b.",INDEX(SRC_Woningetalage!$A$1:$ZZ$501,$A21,AW$3)))</f>
        <v>0</v>
      </c>
      <c r="AX21" s="124">
        <f>IF($B21="","",IF(AX$3=0,"n.b.",INDEX(SRC_Woningetalage!$A$1:$ZZ$501,$A21,AX$3)))</f>
        <v>0</v>
      </c>
      <c r="AY21" s="124">
        <f>IF($B21="","",IF(AY$3=0,"n.b.",INDEX(SRC_Woningetalage!$A$1:$ZZ$501,$A21,AY$3)))</f>
        <v>0</v>
      </c>
      <c r="AZ21" s="124">
        <f>IF($B21="","",IF(AZ$3=0,"n.b.",INDEX(SRC_Woningetalage!$A$1:$ZZ$501,$A21,AZ$3)))</f>
        <v>0</v>
      </c>
      <c r="BA21" s="124">
        <f>IF($B21="","",IF(BA$3=0,"n.b.",INDEX(SRC_Woningetalage!$A$1:$ZZ$501,$A21,BA$3)))</f>
        <v>0</v>
      </c>
      <c r="BB21" s="124">
        <f>IF($B21="","",IF(BB$3=0,"n.b.",INDEX(SRC_Woningetalage!$A$1:$ZZ$501,$A21,BB$3)))</f>
        <v>0</v>
      </c>
      <c r="BC21" s="124">
        <f>IF($B21="","",IFERROR(_xlfn.NUMBERVALUE(E21&amp;"",",","."),"n.b."))</f>
        <v>100</v>
      </c>
      <c r="BD21" s="124">
        <f>IF($B21="","",IFERROR(_xlfn.NUMBERVALUE(M21&amp;"",",","."),"n.b."))</f>
        <v>100</v>
      </c>
      <c r="BE21" s="124">
        <f>IF($B21="","",IFERROR(AB21+AC21+AD21,"n.b."))</f>
        <v>1</v>
      </c>
      <c r="BF21" s="124">
        <f>IF($B21="","",IFERROR(AE21+AF21+AG21,"n.b."))</f>
        <v>3</v>
      </c>
      <c r="BG21" s="124">
        <f>IF($B21="","",IFERROR(AH21+AI21+AJ21,"n.b."))</f>
        <v>3</v>
      </c>
      <c r="BH21" s="124">
        <f>IF($B21="","",IFERROR(AK21+AL21+AM21,"n.b."))</f>
        <v>6</v>
      </c>
      <c r="BI21" s="124">
        <f>IF($B21="","",IFERROR(SUMIF($AB$5:$AM$5,"&lt;="&amp;P_PeilMaand,AB21:AM21),"n.b."))</f>
        <v>7</v>
      </c>
      <c r="BJ21" s="124">
        <f>IF($B21="","",IFERROR(SUM(AB21:AM21)-BI21,"n.b."))</f>
        <v>6</v>
      </c>
      <c r="BK21" s="124">
        <f>IF($B21="","",IFERROR(IF(ABS(Q21-(T21+SUM(AB21:AM21)+AS21+AU21))&gt;P_Tol,1,0),1))</f>
        <v>0</v>
      </c>
      <c r="BL21" s="124">
        <f>IF($B21="","",IFERROR(IF(ABS(AA21-(Q21-Z21))&gt;P_Tol,1,0),1))</f>
        <v>0</v>
      </c>
      <c r="BM21" s="124">
        <f>IF($B21="","",IFERROR(IF(ABS(Z21-(T21+W21))&gt;P_Tol,1,0),1))</f>
        <v>0</v>
      </c>
      <c r="BN21" s="124">
        <f>IF($B21="","",IFERROR(IF(ABS(W21-BI21)&gt;P_Tol,1,0),1))</f>
        <v>0</v>
      </c>
      <c r="BO21" s="124">
        <f>IF($B21="","",IFERROR(IF(OR(ABS(R21+S21-T21)&gt;P_Tol,ABS(U21+V21-W21)&gt;P_Tol,ABS(X21+Y21-Z21)&gt;P_Tol),1,0),1))</f>
        <v>0</v>
      </c>
      <c r="BP21" s="124">
        <f>IF($B21="","",IFERROR(IF(OR(ABS(AR21-SUM(AB21:AM21))&gt;P_Tol,ABS(AS21-(AN21+AO21+AP21+AQ21))&gt;P_Tol),1,0),1))</f>
        <v>0</v>
      </c>
      <c r="BQ21" s="124">
        <f>IF($B21="","",IFERROR(IF(ABS(AT21)+ABS(AV21)+ABS(AW21)+ABS(AX21)+ABS(AY21)+ABS(AZ21)+ABS(BA21)+ABS(BB21)&gt;0,1,0),1))</f>
        <v>0</v>
      </c>
      <c r="BR21" s="124">
        <f>IF($B21="","",COUNTIF(STG_ZPMW03!$B$6:$B$505,B21))</f>
        <v>1</v>
      </c>
      <c r="BS21" s="124">
        <f>IF($B21="","",COUNTIF($B$6:$B$505,B21))</f>
        <v>1</v>
      </c>
      <c r="BT21" s="124">
        <f>IF($B21="","",IF(BR21=0,0,IF(INDEX(STG_ZPMW03!$I$6:$I$505,MATCH(B21,STG_ZPMW03!$B$6:$B$505,0))=J21&amp;"",0,1)))</f>
        <v>0</v>
      </c>
      <c r="BU21" s="124">
        <f>IF($B21="","",IFERROR(IF(ABS(INDEX(Mapping!$D$5:$D$104,MATCH(B21,Mapping!$A$5:$A$104,0))-Q21)&gt;P_Tol,1,0),0))</f>
        <v>0</v>
      </c>
      <c r="BV21" s="124">
        <f>IF($B21="","",IFERROR(IF(AND(INDEX(Mapping!$G$5:$G$104,MATCH(B21,Mapping!$A$5:$A$104,0))="Nee",ABS(Q21)+ABS(Z21)+ABS(AR21)&gt;0),1,0),0))</f>
        <v>0</v>
      </c>
      <c r="BW21" s="124">
        <f>IF($B21="","",IF(COUNTIF(Mapping!$A$5:$A$104,B21)&gt;0,1,0))</f>
        <v>1</v>
      </c>
      <c r="BX21" s="124" t="str">
        <f>IF($B21="","",IF(BR21=0,COUNTIF($BR$6:BR21,0),""))</f>
        <v/>
      </c>
    </row>
    <row r="22">
      <c r="A22" s="15" t="n">
        <v>18</v>
      </c>
      <c r="B22" t="str">
        <f>IF(B$3=0,"",IF(INDEX(SRC_Woningetalage!$A$1:$ZZ$501,$A22,B$3)&amp;""="","",INDEX(SRC_Woningetalage!$A$1:$ZZ$501,$A22,B$3)&amp;""))</f>
        <v>G.900017.8.9090</v>
      </c>
      <c r="C22">
        <f>IF($B22="","",IF(C$3=0,"n.b.",INDEX(SRC_Woningetalage!$A$1:$ZZ$501,$A22,C$3)))</f>
        <v>9901</v>
      </c>
      <c r="D22" t="str">
        <f>IF($B22="","",IF(D$3=0,"n.b.",INDEX(SRC_Woningetalage!$A$1:$ZZ$501,$A22,D$3)))</f>
        <v>Demo Ontwikkeling BV</v>
      </c>
      <c r="E22" t="str">
        <f>IF($B22="","",IF(E$3=0,"n.b.",INDEX(SRC_Woningetalage!$A$1:$ZZ$501,$A22,E$3)))</f>
        <v>100,00</v>
      </c>
      <c r="F22" t="str">
        <f>IF($B22="","",IF(F$3=0,"n.b.",INDEX(SRC_Woningetalage!$A$1:$ZZ$501,$A22,F$3)))</f>
        <v>08</v>
      </c>
      <c r="G22" t="str">
        <f>IF($B22="","",IF(G$3=0,"n.b.",INDEX(SRC_Woningetalage!$A$1:$ZZ$501,$A22,G$3)))</f>
        <v>Opstalontwikkeling</v>
      </c>
      <c r="H22" t="str">
        <f>IF($B22="","",IF(H$3=0,"n.b.",INDEX(SRC_Woningetalage!$A$1:$ZZ$501,$A22,H$3)))</f>
        <v>9090</v>
      </c>
      <c r="I22" t="str">
        <f>IF($B22="","",IF(I$3=0,"n.b.",INDEX(SRC_Woningetalage!$A$1:$ZZ$501,$A22,I$3)))</f>
        <v>Demo Regio</v>
      </c>
      <c r="J22" t="str">
        <f>IF($B22="","",IF(J$3=0,"n.b.",INDEX(SRC_Woningetalage!$A$1:$ZZ$501,$A22,J$3)))</f>
        <v>G.900017</v>
      </c>
      <c r="K22" t="str">
        <f>IF($B22="","",IF(K$3=0,"n.b.",INDEX(SRC_Woningetalage!$A$1:$ZZ$501,$A22,K$3)))</f>
        <v>Veldendam, Spoorpark</v>
      </c>
      <c r="L22" t="str">
        <f>IF($B22="","",IF(L$3=0,"n.b.",INDEX(SRC_Woningetalage!$A$1:$ZZ$501,$A22,L$3)))</f>
        <v>Veldendam, Spoorpark</v>
      </c>
      <c r="M22" t="str">
        <f>IF($B22="","",IF(M$3=0,"n.b.",INDEX(SRC_Woningetalage!$A$1:$ZZ$501,$A22,M$3)))</f>
        <v>080</v>
      </c>
      <c r="N22">
        <f>IF($B22="","",IF(N$3=0,"n.b.",INDEX(SRC_Woningetalage!$A$1:$ZZ$501,$A22,N$3)))</f>
        <v>45931.0</v>
      </c>
      <c r="O22">
        <f>IF($B22="","",IF(O$3=0,"n.b.",INDEX(SRC_Woningetalage!$A$1:$ZZ$501,$A22,O$3)))</f>
        <v>46600.0</v>
      </c>
      <c r="P22">
        <f>IF($B22="","",IF(P$3=0,"n.b.",INDEX(SRC_Woningetalage!$A$1:$ZZ$501,$A22,P$3)))</f>
        <v>47453.0</v>
      </c>
      <c r="Q22" s="124">
        <f>IF($B22="","",IF(Q$3=0,"n.b.",INDEX(SRC_Woningetalage!$A$1:$ZZ$501,$A22,Q$3)))</f>
        <v>84</v>
      </c>
      <c r="R22" s="124">
        <f>IF($B22="","",IF(R$3=0,"n.b.",INDEX(SRC_Woningetalage!$A$1:$ZZ$501,$A22,R$3)))</f>
        <v>0</v>
      </c>
      <c r="S22" s="124">
        <f>IF($B22="","",IF(S$3=0,"n.b.",INDEX(SRC_Woningetalage!$A$1:$ZZ$501,$A22,S$3)))</f>
        <v>0</v>
      </c>
      <c r="T22" s="124">
        <f>IF($B22="","",IF(T$3=0,"n.b.",INDEX(SRC_Woningetalage!$A$1:$ZZ$501,$A22,T$3)))</f>
        <v>0</v>
      </c>
      <c r="U22" s="124">
        <f>IF($B22="","",IF(U$3=0,"n.b.",INDEX(SRC_Woningetalage!$A$1:$ZZ$501,$A22,U$3)))</f>
        <v>18</v>
      </c>
      <c r="V22" s="124">
        <f>IF($B22="","",IF(V$3=0,"n.b.",INDEX(SRC_Woningetalage!$A$1:$ZZ$501,$A22,V$3)))</f>
        <v>0</v>
      </c>
      <c r="W22" s="124">
        <f>IF($B22="","",IF(W$3=0,"n.b.",INDEX(SRC_Woningetalage!$A$1:$ZZ$501,$A22,W$3)))</f>
        <v>18</v>
      </c>
      <c r="X22" s="124">
        <f>IF($B22="","",IF(X$3=0,"n.b.",INDEX(SRC_Woningetalage!$A$1:$ZZ$501,$A22,X$3)))</f>
        <v>18</v>
      </c>
      <c r="Y22" s="124">
        <f>IF($B22="","",IF(Y$3=0,"n.b.",INDEX(SRC_Woningetalage!$A$1:$ZZ$501,$A22,Y$3)))</f>
        <v>0</v>
      </c>
      <c r="Z22" s="124">
        <f>IF($B22="","",IF(Z$3=0,"n.b.",INDEX(SRC_Woningetalage!$A$1:$ZZ$501,$A22,Z$3)))</f>
        <v>18</v>
      </c>
      <c r="AA22" s="124">
        <f>IF($B22="","",IF(AA$3=0,"n.b.",INDEX(SRC_Woningetalage!$A$1:$ZZ$501,$A22,AA$3)))</f>
        <v>66</v>
      </c>
      <c r="AB22" s="124">
        <f>IF($B22="","",IF(AB$3=0,"n.b.",INDEX(SRC_Woningetalage!$A$1:$ZZ$501,$A22,AB$3)))</f>
        <v>1</v>
      </c>
      <c r="AC22" s="124">
        <f>IF($B22="","",IF(AC$3=0,"n.b.",INDEX(SRC_Woningetalage!$A$1:$ZZ$501,$A22,AC$3)))</f>
        <v>1</v>
      </c>
      <c r="AD22" s="124">
        <f>IF($B22="","",IF(AD$3=0,"n.b.",INDEX(SRC_Woningetalage!$A$1:$ZZ$501,$A22,AD$3)))</f>
        <v>2</v>
      </c>
      <c r="AE22" s="124">
        <f>IF($B22="","",IF(AE$3=0,"n.b.",INDEX(SRC_Woningetalage!$A$1:$ZZ$501,$A22,AE$3)))</f>
        <v>2</v>
      </c>
      <c r="AF22" s="124">
        <f>IF($B22="","",IF(AF$3=0,"n.b.",INDEX(SRC_Woningetalage!$A$1:$ZZ$501,$A22,AF$3)))</f>
        <v>3</v>
      </c>
      <c r="AG22" s="124">
        <f>IF($B22="","",IF(AG$3=0,"n.b.",INDEX(SRC_Woningetalage!$A$1:$ZZ$501,$A22,AG$3)))</f>
        <v>2</v>
      </c>
      <c r="AH22" s="124">
        <f>IF($B22="","",IF(AH$3=0,"n.b.",INDEX(SRC_Woningetalage!$A$1:$ZZ$501,$A22,AH$3)))</f>
        <v>2</v>
      </c>
      <c r="AI22" s="124">
        <f>IF($B22="","",IF(AI$3=0,"n.b.",INDEX(SRC_Woningetalage!$A$1:$ZZ$501,$A22,AI$3)))</f>
        <v>3</v>
      </c>
      <c r="AJ22" s="124">
        <f>IF($B22="","",IF(AJ$3=0,"n.b.",INDEX(SRC_Woningetalage!$A$1:$ZZ$501,$A22,AJ$3)))</f>
        <v>2</v>
      </c>
      <c r="AK22" s="124">
        <f>IF($B22="","",IF(AK$3=0,"n.b.",INDEX(SRC_Woningetalage!$A$1:$ZZ$501,$A22,AK$3)))</f>
        <v>1</v>
      </c>
      <c r="AL22" s="124">
        <f>IF($B22="","",IF(AL$3=0,"n.b.",INDEX(SRC_Woningetalage!$A$1:$ZZ$501,$A22,AL$3)))</f>
        <v>1</v>
      </c>
      <c r="AM22" s="124">
        <f>IF($B22="","",IF(AM$3=0,"n.b.",INDEX(SRC_Woningetalage!$A$1:$ZZ$501,$A22,AM$3)))</f>
        <v>8</v>
      </c>
      <c r="AN22" s="124">
        <f>IF($B22="","",IF(AN$3=0,"n.b.",INDEX(SRC_Woningetalage!$A$1:$ZZ$501,$A22,AN$3)))</f>
        <v>11</v>
      </c>
      <c r="AO22" s="124">
        <f>IF($B22="","",IF(AO$3=0,"n.b.",INDEX(SRC_Woningetalage!$A$1:$ZZ$501,$A22,AO$3)))</f>
        <v>9</v>
      </c>
      <c r="AP22" s="124">
        <f>IF($B22="","",IF(AP$3=0,"n.b.",INDEX(SRC_Woningetalage!$A$1:$ZZ$501,$A22,AP$3)))</f>
        <v>9</v>
      </c>
      <c r="AQ22" s="124">
        <f>IF($B22="","",IF(AQ$3=0,"n.b.",INDEX(SRC_Woningetalage!$A$1:$ZZ$501,$A22,AQ$3)))</f>
        <v>8</v>
      </c>
      <c r="AR22" s="124">
        <f>IF($B22="","",IF(AR$3=0,"n.b.",INDEX(SRC_Woningetalage!$A$1:$ZZ$501,$A22,AR$3)))</f>
        <v>28</v>
      </c>
      <c r="AS22" s="124">
        <f>IF($B22="","",IF(AS$3=0,"n.b.",INDEX(SRC_Woningetalage!$A$1:$ZZ$501,$A22,AS$3)))</f>
        <v>37</v>
      </c>
      <c r="AT22" s="124">
        <f>IF($B22="","",IF(AT$3=0,"n.b.",INDEX(SRC_Woningetalage!$A$1:$ZZ$501,$A22,AT$3)))</f>
        <v>0</v>
      </c>
      <c r="AU22" s="124">
        <f>IF($B22="","",IF(AU$3=0,"n.b.",INDEX(SRC_Woningetalage!$A$1:$ZZ$501,$A22,AU$3)))</f>
        <v>19</v>
      </c>
      <c r="AV22" s="124">
        <f>IF($B22="","",IF(AV$3=0,"n.b.",INDEX(SRC_Woningetalage!$A$1:$ZZ$501,$A22,AV$3)))</f>
        <v>0</v>
      </c>
      <c r="AW22" s="124">
        <f>IF($B22="","",IF(AW$3=0,"n.b.",INDEX(SRC_Woningetalage!$A$1:$ZZ$501,$A22,AW$3)))</f>
        <v>0</v>
      </c>
      <c r="AX22" s="124">
        <f>IF($B22="","",IF(AX$3=0,"n.b.",INDEX(SRC_Woningetalage!$A$1:$ZZ$501,$A22,AX$3)))</f>
        <v>0</v>
      </c>
      <c r="AY22" s="124">
        <f>IF($B22="","",IF(AY$3=0,"n.b.",INDEX(SRC_Woningetalage!$A$1:$ZZ$501,$A22,AY$3)))</f>
        <v>0</v>
      </c>
      <c r="AZ22" s="124">
        <f>IF($B22="","",IF(AZ$3=0,"n.b.",INDEX(SRC_Woningetalage!$A$1:$ZZ$501,$A22,AZ$3)))</f>
        <v>0</v>
      </c>
      <c r="BA22" s="124">
        <f>IF($B22="","",IF(BA$3=0,"n.b.",INDEX(SRC_Woningetalage!$A$1:$ZZ$501,$A22,BA$3)))</f>
        <v>0</v>
      </c>
      <c r="BB22" s="124">
        <f>IF($B22="","",IF(BB$3=0,"n.b.",INDEX(SRC_Woningetalage!$A$1:$ZZ$501,$A22,BB$3)))</f>
        <v>0</v>
      </c>
      <c r="BC22" s="124">
        <f>IF($B22="","",IFERROR(_xlfn.NUMBERVALUE(E22&amp;"",",","."),"n.b."))</f>
        <v>100</v>
      </c>
      <c r="BD22" s="124">
        <f>IF($B22="","",IFERROR(_xlfn.NUMBERVALUE(M22&amp;"",",","."),"n.b."))</f>
        <v>80</v>
      </c>
      <c r="BE22" s="124">
        <f>IF($B22="","",IFERROR(AB22+AC22+AD22,"n.b."))</f>
        <v>4</v>
      </c>
      <c r="BF22" s="124">
        <f>IF($B22="","",IFERROR(AE22+AF22+AG22,"n.b."))</f>
        <v>7</v>
      </c>
      <c r="BG22" s="124">
        <f>IF($B22="","",IFERROR(AH22+AI22+AJ22,"n.b."))</f>
        <v>7</v>
      </c>
      <c r="BH22" s="124">
        <f>IF($B22="","",IFERROR(AK22+AL22+AM22,"n.b."))</f>
        <v>10</v>
      </c>
      <c r="BI22" s="124">
        <f>IF($B22="","",IFERROR(SUMIF($AB$5:$AM$5,"&lt;="&amp;P_PeilMaand,AB22:AM22),"n.b."))</f>
        <v>18</v>
      </c>
      <c r="BJ22" s="124">
        <f>IF($B22="","",IFERROR(SUM(AB22:AM22)-BI22,"n.b."))</f>
        <v>10</v>
      </c>
      <c r="BK22" s="124">
        <f>IF($B22="","",IFERROR(IF(ABS(Q22-(T22+SUM(AB22:AM22)+AS22+AU22))&gt;P_Tol,1,0),1))</f>
        <v>0</v>
      </c>
      <c r="BL22" s="124">
        <f>IF($B22="","",IFERROR(IF(ABS(AA22-(Q22-Z22))&gt;P_Tol,1,0),1))</f>
        <v>0</v>
      </c>
      <c r="BM22" s="124">
        <f>IF($B22="","",IFERROR(IF(ABS(Z22-(T22+W22))&gt;P_Tol,1,0),1))</f>
        <v>0</v>
      </c>
      <c r="BN22" s="124">
        <f>IF($B22="","",IFERROR(IF(ABS(W22-BI22)&gt;P_Tol,1,0),1))</f>
        <v>0</v>
      </c>
      <c r="BO22" s="124">
        <f>IF($B22="","",IFERROR(IF(OR(ABS(R22+S22-T22)&gt;P_Tol,ABS(U22+V22-W22)&gt;P_Tol,ABS(X22+Y22-Z22)&gt;P_Tol),1,0),1))</f>
        <v>0</v>
      </c>
      <c r="BP22" s="124">
        <f>IF($B22="","",IFERROR(IF(OR(ABS(AR22-SUM(AB22:AM22))&gt;P_Tol,ABS(AS22-(AN22+AO22+AP22+AQ22))&gt;P_Tol),1,0),1))</f>
        <v>0</v>
      </c>
      <c r="BQ22" s="124">
        <f>IF($B22="","",IFERROR(IF(ABS(AT22)+ABS(AV22)+ABS(AW22)+ABS(AX22)+ABS(AY22)+ABS(AZ22)+ABS(BA22)+ABS(BB22)&gt;0,1,0),1))</f>
        <v>0</v>
      </c>
      <c r="BR22" s="124">
        <f>IF($B22="","",COUNTIF(STG_ZPMW03!$B$6:$B$505,B22))</f>
        <v>1</v>
      </c>
      <c r="BS22" s="124">
        <f>IF($B22="","",COUNTIF($B$6:$B$505,B22))</f>
        <v>1</v>
      </c>
      <c r="BT22" s="124">
        <f>IF($B22="","",IF(BR22=0,0,IF(INDEX(STG_ZPMW03!$I$6:$I$505,MATCH(B22,STG_ZPMW03!$B$6:$B$505,0))=J22&amp;"",0,1)))</f>
        <v>0</v>
      </c>
      <c r="BU22" s="124">
        <f>IF($B22="","",IFERROR(IF(ABS(INDEX(Mapping!$D$5:$D$104,MATCH(B22,Mapping!$A$5:$A$104,0))-Q22)&gt;P_Tol,1,0),0))</f>
        <v>0</v>
      </c>
      <c r="BV22" s="124">
        <f>IF($B22="","",IFERROR(IF(AND(INDEX(Mapping!$G$5:$G$104,MATCH(B22,Mapping!$A$5:$A$104,0))="Nee",ABS(Q22)+ABS(Z22)+ABS(AR22)&gt;0),1,0),0))</f>
        <v>0</v>
      </c>
      <c r="BW22" s="124">
        <f>IF($B22="","",IF(COUNTIF(Mapping!$A$5:$A$104,B22)&gt;0,1,0))</f>
        <v>1</v>
      </c>
      <c r="BX22" s="124" t="str">
        <f>IF($B22="","",IF(BR22=0,COUNTIF($BR$6:BR22,0),""))</f>
        <v/>
      </c>
    </row>
    <row r="23">
      <c r="A23" s="15" t="n">
        <v>19</v>
      </c>
      <c r="B23" t="str">
        <f>IF(B$3=0,"",IF(INDEX(SRC_Woningetalage!$A$1:$ZZ$501,$A23,B$3)&amp;""="","",INDEX(SRC_Woningetalage!$A$1:$ZZ$501,$A23,B$3)&amp;""))</f>
        <v>G.900018.8.9090</v>
      </c>
      <c r="C23">
        <f>IF($B23="","",IF(C$3=0,"n.b.",INDEX(SRC_Woningetalage!$A$1:$ZZ$501,$A23,C$3)))</f>
        <v>9902</v>
      </c>
      <c r="D23" t="str">
        <f>IF($B23="","",IF(D$3=0,"n.b.",INDEX(SRC_Woningetalage!$A$1:$ZZ$501,$A23,D$3)))</f>
        <v>Demo Gebiedscombinatie BV</v>
      </c>
      <c r="E23" t="str">
        <f>IF($B23="","",IF(E$3=0,"n.b.",INDEX(SRC_Woningetalage!$A$1:$ZZ$501,$A23,E$3)))</f>
        <v>50,00</v>
      </c>
      <c r="F23" t="str">
        <f>IF($B23="","",IF(F$3=0,"n.b.",INDEX(SRC_Woningetalage!$A$1:$ZZ$501,$A23,F$3)))</f>
        <v>08</v>
      </c>
      <c r="G23" t="str">
        <f>IF($B23="","",IF(G$3=0,"n.b.",INDEX(SRC_Woningetalage!$A$1:$ZZ$501,$A23,G$3)))</f>
        <v>Opstalontwikkeling</v>
      </c>
      <c r="H23" t="str">
        <f>IF($B23="","",IF(H$3=0,"n.b.",INDEX(SRC_Woningetalage!$A$1:$ZZ$501,$A23,H$3)))</f>
        <v>9090</v>
      </c>
      <c r="I23" t="str">
        <f>IF($B23="","",IF(I$3=0,"n.b.",INDEX(SRC_Woningetalage!$A$1:$ZZ$501,$A23,I$3)))</f>
        <v>Demo Regio</v>
      </c>
      <c r="J23" t="str">
        <f>IF($B23="","",IF(J$3=0,"n.b.",INDEX(SRC_Woningetalage!$A$1:$ZZ$501,$A23,J$3)))</f>
        <v>G.900018</v>
      </c>
      <c r="K23" t="str">
        <f>IF($B23="","",IF(K$3=0,"n.b.",INDEX(SRC_Woningetalage!$A$1:$ZZ$501,$A23,K$3)))</f>
        <v>Meerhovenstad, De Boog</v>
      </c>
      <c r="L23" t="str">
        <f>IF($B23="","",IF(L$3=0,"n.b.",INDEX(SRC_Woningetalage!$A$1:$ZZ$501,$A23,L$3)))</f>
        <v>Meerhovenstad, De Boog</v>
      </c>
      <c r="M23" t="str">
        <f>IF($B23="","",IF(M$3=0,"n.b.",INDEX(SRC_Woningetalage!$A$1:$ZZ$501,$A23,M$3)))</f>
        <v>060</v>
      </c>
      <c r="N23">
        <f>IF($B23="","",IF(N$3=0,"n.b.",INDEX(SRC_Woningetalage!$A$1:$ZZ$501,$A23,N$3)))</f>
        <v>45931.0</v>
      </c>
      <c r="O23">
        <f>IF($B23="","",IF(O$3=0,"n.b.",INDEX(SRC_Woningetalage!$A$1:$ZZ$501,$A23,O$3)))</f>
        <v>46631.0</v>
      </c>
      <c r="P23">
        <f>IF($B23="","",IF(P$3=0,"n.b.",INDEX(SRC_Woningetalage!$A$1:$ZZ$501,$A23,P$3)))</f>
        <v>47453.0</v>
      </c>
      <c r="Q23" s="124">
        <f>IF($B23="","",IF(Q$3=0,"n.b.",INDEX(SRC_Woningetalage!$A$1:$ZZ$501,$A23,Q$3)))</f>
        <v>56</v>
      </c>
      <c r="R23" s="124">
        <f>IF($B23="","",IF(R$3=0,"n.b.",INDEX(SRC_Woningetalage!$A$1:$ZZ$501,$A23,R$3)))</f>
        <v>0</v>
      </c>
      <c r="S23" s="124">
        <f>IF($B23="","",IF(S$3=0,"n.b.",INDEX(SRC_Woningetalage!$A$1:$ZZ$501,$A23,S$3)))</f>
        <v>0</v>
      </c>
      <c r="T23" s="124">
        <f>IF($B23="","",IF(T$3=0,"n.b.",INDEX(SRC_Woningetalage!$A$1:$ZZ$501,$A23,T$3)))</f>
        <v>0</v>
      </c>
      <c r="U23" s="124">
        <f>IF($B23="","",IF(U$3=0,"n.b.",INDEX(SRC_Woningetalage!$A$1:$ZZ$501,$A23,U$3)))</f>
        <v>0</v>
      </c>
      <c r="V23" s="124">
        <f>IF($B23="","",IF(V$3=0,"n.b.",INDEX(SRC_Woningetalage!$A$1:$ZZ$501,$A23,V$3)))</f>
        <v>9</v>
      </c>
      <c r="W23" s="124">
        <f>IF($B23="","",IF(W$3=0,"n.b.",INDEX(SRC_Woningetalage!$A$1:$ZZ$501,$A23,W$3)))</f>
        <v>9</v>
      </c>
      <c r="X23" s="124">
        <f>IF($B23="","",IF(X$3=0,"n.b.",INDEX(SRC_Woningetalage!$A$1:$ZZ$501,$A23,X$3)))</f>
        <v>0</v>
      </c>
      <c r="Y23" s="124">
        <f>IF($B23="","",IF(Y$3=0,"n.b.",INDEX(SRC_Woningetalage!$A$1:$ZZ$501,$A23,Y$3)))</f>
        <v>9</v>
      </c>
      <c r="Z23" s="124">
        <f>IF($B23="","",IF(Z$3=0,"n.b.",INDEX(SRC_Woningetalage!$A$1:$ZZ$501,$A23,Z$3)))</f>
        <v>9</v>
      </c>
      <c r="AA23" s="124">
        <f>IF($B23="","",IF(AA$3=0,"n.b.",INDEX(SRC_Woningetalage!$A$1:$ZZ$501,$A23,AA$3)))</f>
        <v>47</v>
      </c>
      <c r="AB23" s="124">
        <f>IF($B23="","",IF(AB$3=0,"n.b.",INDEX(SRC_Woningetalage!$A$1:$ZZ$501,$A23,AB$3)))</f>
        <v>0</v>
      </c>
      <c r="AC23" s="124">
        <f>IF($B23="","",IF(AC$3=0,"n.b.",INDEX(SRC_Woningetalage!$A$1:$ZZ$501,$A23,AC$3)))</f>
        <v>0</v>
      </c>
      <c r="AD23" s="124">
        <f>IF($B23="","",IF(AD$3=0,"n.b.",INDEX(SRC_Woningetalage!$A$1:$ZZ$501,$A23,AD$3)))</f>
        <v>1</v>
      </c>
      <c r="AE23" s="124">
        <f>IF($B23="","",IF(AE$3=0,"n.b.",INDEX(SRC_Woningetalage!$A$1:$ZZ$501,$A23,AE$3)))</f>
        <v>1</v>
      </c>
      <c r="AF23" s="124">
        <f>IF($B23="","",IF(AF$3=0,"n.b.",INDEX(SRC_Woningetalage!$A$1:$ZZ$501,$A23,AF$3)))</f>
        <v>2</v>
      </c>
      <c r="AG23" s="124">
        <f>IF($B23="","",IF(AG$3=0,"n.b.",INDEX(SRC_Woningetalage!$A$1:$ZZ$501,$A23,AG$3)))</f>
        <v>1</v>
      </c>
      <c r="AH23" s="124">
        <f>IF($B23="","",IF(AH$3=0,"n.b.",INDEX(SRC_Woningetalage!$A$1:$ZZ$501,$A23,AH$3)))</f>
        <v>1</v>
      </c>
      <c r="AI23" s="124">
        <f>IF($B23="","",IF(AI$3=0,"n.b.",INDEX(SRC_Woningetalage!$A$1:$ZZ$501,$A23,AI$3)))</f>
        <v>2</v>
      </c>
      <c r="AJ23" s="124">
        <f>IF($B23="","",IF(AJ$3=0,"n.b.",INDEX(SRC_Woningetalage!$A$1:$ZZ$501,$A23,AJ$3)))</f>
        <v>1</v>
      </c>
      <c r="AK23" s="124">
        <f>IF($B23="","",IF(AK$3=0,"n.b.",INDEX(SRC_Woningetalage!$A$1:$ZZ$501,$A23,AK$3)))</f>
        <v>0</v>
      </c>
      <c r="AL23" s="124">
        <f>IF($B23="","",IF(AL$3=0,"n.b.",INDEX(SRC_Woningetalage!$A$1:$ZZ$501,$A23,AL$3)))</f>
        <v>0</v>
      </c>
      <c r="AM23" s="124">
        <f>IF($B23="","",IF(AM$3=0,"n.b.",INDEX(SRC_Woningetalage!$A$1:$ZZ$501,$A23,AM$3)))</f>
        <v>9</v>
      </c>
      <c r="AN23" s="124">
        <f>IF($B23="","",IF(AN$3=0,"n.b.",INDEX(SRC_Woningetalage!$A$1:$ZZ$501,$A23,AN$3)))</f>
        <v>7</v>
      </c>
      <c r="AO23" s="124">
        <f>IF($B23="","",IF(AO$3=0,"n.b.",INDEX(SRC_Woningetalage!$A$1:$ZZ$501,$A23,AO$3)))</f>
        <v>6</v>
      </c>
      <c r="AP23" s="124">
        <f>IF($B23="","",IF(AP$3=0,"n.b.",INDEX(SRC_Woningetalage!$A$1:$ZZ$501,$A23,AP$3)))</f>
        <v>6</v>
      </c>
      <c r="AQ23" s="124">
        <f>IF($B23="","",IF(AQ$3=0,"n.b.",INDEX(SRC_Woningetalage!$A$1:$ZZ$501,$A23,AQ$3)))</f>
        <v>6</v>
      </c>
      <c r="AR23" s="124">
        <f>IF($B23="","",IF(AR$3=0,"n.b.",INDEX(SRC_Woningetalage!$A$1:$ZZ$501,$A23,AR$3)))</f>
        <v>18</v>
      </c>
      <c r="AS23" s="124">
        <f>IF($B23="","",IF(AS$3=0,"n.b.",INDEX(SRC_Woningetalage!$A$1:$ZZ$501,$A23,AS$3)))</f>
        <v>25</v>
      </c>
      <c r="AT23" s="124">
        <f>IF($B23="","",IF(AT$3=0,"n.b.",INDEX(SRC_Woningetalage!$A$1:$ZZ$501,$A23,AT$3)))</f>
        <v>0</v>
      </c>
      <c r="AU23" s="124">
        <f>IF($B23="","",IF(AU$3=0,"n.b.",INDEX(SRC_Woningetalage!$A$1:$ZZ$501,$A23,AU$3)))</f>
        <v>13</v>
      </c>
      <c r="AV23" s="124">
        <f>IF($B23="","",IF(AV$3=0,"n.b.",INDEX(SRC_Woningetalage!$A$1:$ZZ$501,$A23,AV$3)))</f>
        <v>0</v>
      </c>
      <c r="AW23" s="124">
        <f>IF($B23="","",IF(AW$3=0,"n.b.",INDEX(SRC_Woningetalage!$A$1:$ZZ$501,$A23,AW$3)))</f>
        <v>0</v>
      </c>
      <c r="AX23" s="124">
        <f>IF($B23="","",IF(AX$3=0,"n.b.",INDEX(SRC_Woningetalage!$A$1:$ZZ$501,$A23,AX$3)))</f>
        <v>0</v>
      </c>
      <c r="AY23" s="124">
        <f>IF($B23="","",IF(AY$3=0,"n.b.",INDEX(SRC_Woningetalage!$A$1:$ZZ$501,$A23,AY$3)))</f>
        <v>0</v>
      </c>
      <c r="AZ23" s="124">
        <f>IF($B23="","",IF(AZ$3=0,"n.b.",INDEX(SRC_Woningetalage!$A$1:$ZZ$501,$A23,AZ$3)))</f>
        <v>0</v>
      </c>
      <c r="BA23" s="124">
        <f>IF($B23="","",IF(BA$3=0,"n.b.",INDEX(SRC_Woningetalage!$A$1:$ZZ$501,$A23,BA$3)))</f>
        <v>0</v>
      </c>
      <c r="BB23" s="124">
        <f>IF($B23="","",IF(BB$3=0,"n.b.",INDEX(SRC_Woningetalage!$A$1:$ZZ$501,$A23,BB$3)))</f>
        <v>0</v>
      </c>
      <c r="BC23" s="124">
        <f>IF($B23="","",IFERROR(_xlfn.NUMBERVALUE(E23&amp;"",",","."),"n.b."))</f>
        <v>50</v>
      </c>
      <c r="BD23" s="124">
        <f>IF($B23="","",IFERROR(_xlfn.NUMBERVALUE(M23&amp;"",",","."),"n.b."))</f>
        <v>60</v>
      </c>
      <c r="BE23" s="124">
        <f>IF($B23="","",IFERROR(AB23+AC23+AD23,"n.b."))</f>
        <v>1</v>
      </c>
      <c r="BF23" s="124">
        <f>IF($B23="","",IFERROR(AE23+AF23+AG23,"n.b."))</f>
        <v>4</v>
      </c>
      <c r="BG23" s="124">
        <f>IF($B23="","",IFERROR(AH23+AI23+AJ23,"n.b."))</f>
        <v>4</v>
      </c>
      <c r="BH23" s="124">
        <f>IF($B23="","",IFERROR(AK23+AL23+AM23,"n.b."))</f>
        <v>9</v>
      </c>
      <c r="BI23" s="124">
        <f>IF($B23="","",IFERROR(SUMIF($AB$5:$AM$5,"&lt;="&amp;P_PeilMaand,AB23:AM23),"n.b."))</f>
        <v>9</v>
      </c>
      <c r="BJ23" s="124">
        <f>IF($B23="","",IFERROR(SUM(AB23:AM23)-BI23,"n.b."))</f>
        <v>9</v>
      </c>
      <c r="BK23" s="124">
        <f>IF($B23="","",IFERROR(IF(ABS(Q23-(T23+SUM(AB23:AM23)+AS23+AU23))&gt;P_Tol,1,0),1))</f>
        <v>0</v>
      </c>
      <c r="BL23" s="124">
        <f>IF($B23="","",IFERROR(IF(ABS(AA23-(Q23-Z23))&gt;P_Tol,1,0),1))</f>
        <v>0</v>
      </c>
      <c r="BM23" s="124">
        <f>IF($B23="","",IFERROR(IF(ABS(Z23-(T23+W23))&gt;P_Tol,1,0),1))</f>
        <v>0</v>
      </c>
      <c r="BN23" s="124">
        <f>IF($B23="","",IFERROR(IF(ABS(W23-BI23)&gt;P_Tol,1,0),1))</f>
        <v>0</v>
      </c>
      <c r="BO23" s="124">
        <f>IF($B23="","",IFERROR(IF(OR(ABS(R23+S23-T23)&gt;P_Tol,ABS(U23+V23-W23)&gt;P_Tol,ABS(X23+Y23-Z23)&gt;P_Tol),1,0),1))</f>
        <v>0</v>
      </c>
      <c r="BP23" s="124">
        <f>IF($B23="","",IFERROR(IF(OR(ABS(AR23-SUM(AB23:AM23))&gt;P_Tol,ABS(AS23-(AN23+AO23+AP23+AQ23))&gt;P_Tol),1,0),1))</f>
        <v>0</v>
      </c>
      <c r="BQ23" s="124">
        <f>IF($B23="","",IFERROR(IF(ABS(AT23)+ABS(AV23)+ABS(AW23)+ABS(AX23)+ABS(AY23)+ABS(AZ23)+ABS(BA23)+ABS(BB23)&gt;0,1,0),1))</f>
        <v>0</v>
      </c>
      <c r="BR23" s="124">
        <f>IF($B23="","",COUNTIF(STG_ZPMW03!$B$6:$B$505,B23))</f>
        <v>1</v>
      </c>
      <c r="BS23" s="124">
        <f>IF($B23="","",COUNTIF($B$6:$B$505,B23))</f>
        <v>1</v>
      </c>
      <c r="BT23" s="124">
        <f>IF($B23="","",IF(BR23=0,0,IF(INDEX(STG_ZPMW03!$I$6:$I$505,MATCH(B23,STG_ZPMW03!$B$6:$B$505,0))=J23&amp;"",0,1)))</f>
        <v>0</v>
      </c>
      <c r="BU23" s="124">
        <f>IF($B23="","",IFERROR(IF(ABS(INDEX(Mapping!$D$5:$D$104,MATCH(B23,Mapping!$A$5:$A$104,0))-Q23)&gt;P_Tol,1,0),0))</f>
        <v>0</v>
      </c>
      <c r="BV23" s="124">
        <f>IF($B23="","",IFERROR(IF(AND(INDEX(Mapping!$G$5:$G$104,MATCH(B23,Mapping!$A$5:$A$104,0))="Nee",ABS(Q23)+ABS(Z23)+ABS(AR23)&gt;0),1,0),0))</f>
        <v>0</v>
      </c>
      <c r="BW23" s="124">
        <f>IF($B23="","",IF(COUNTIF(Mapping!$A$5:$A$104,B23)&gt;0,1,0))</f>
        <v>1</v>
      </c>
      <c r="BX23" s="124" t="str">
        <f>IF($B23="","",IF(BR23=0,COUNTIF($BR$6:BR23,0),""))</f>
        <v/>
      </c>
    </row>
    <row r="24">
      <c r="A24" s="15" t="n">
        <v>20</v>
      </c>
      <c r="B24" t="str">
        <f>IF(B$3=0,"",IF(INDEX(SRC_Woningetalage!$A$1:$ZZ$501,$A24,B$3)&amp;""="","",INDEX(SRC_Woningetalage!$A$1:$ZZ$501,$A24,B$3)&amp;""))</f>
        <v>G.900019.8.9090</v>
      </c>
      <c r="C24">
        <f>IF($B24="","",IF(C$3=0,"n.b.",INDEX(SRC_Woningetalage!$A$1:$ZZ$501,$A24,C$3)))</f>
        <v>9901</v>
      </c>
      <c r="D24" t="str">
        <f>IF($B24="","",IF(D$3=0,"n.b.",INDEX(SRC_Woningetalage!$A$1:$ZZ$501,$A24,D$3)))</f>
        <v>Demo Ontwikkeling BV</v>
      </c>
      <c r="E24" t="str">
        <f>IF($B24="","",IF(E$3=0,"n.b.",INDEX(SRC_Woningetalage!$A$1:$ZZ$501,$A24,E$3)))</f>
        <v>100,00</v>
      </c>
      <c r="F24" t="str">
        <f>IF($B24="","",IF(F$3=0,"n.b.",INDEX(SRC_Woningetalage!$A$1:$ZZ$501,$A24,F$3)))</f>
        <v>08</v>
      </c>
      <c r="G24" t="str">
        <f>IF($B24="","",IF(G$3=0,"n.b.",INDEX(SRC_Woningetalage!$A$1:$ZZ$501,$A24,G$3)))</f>
        <v>Opstalontwikkeling</v>
      </c>
      <c r="H24" t="str">
        <f>IF($B24="","",IF(H$3=0,"n.b.",INDEX(SRC_Woningetalage!$A$1:$ZZ$501,$A24,H$3)))</f>
        <v>9090</v>
      </c>
      <c r="I24" t="str">
        <f>IF($B24="","",IF(I$3=0,"n.b.",INDEX(SRC_Woningetalage!$A$1:$ZZ$501,$A24,I$3)))</f>
        <v>Demo Regio</v>
      </c>
      <c r="J24" t="str">
        <f>IF($B24="","",IF(J$3=0,"n.b.",INDEX(SRC_Woningetalage!$A$1:$ZZ$501,$A24,J$3)))</f>
        <v>G.900019</v>
      </c>
      <c r="K24" t="str">
        <f>IF($B24="","",IF(K$3=0,"n.b.",INDEX(SRC_Woningetalage!$A$1:$ZZ$501,$A24,K$3)))</f>
        <v>Zilverdam, Havenlicht</v>
      </c>
      <c r="L24" t="str">
        <f>IF($B24="","",IF(L$3=0,"n.b.",INDEX(SRC_Woningetalage!$A$1:$ZZ$501,$A24,L$3)))</f>
        <v>Zilverdam, Havenlicht</v>
      </c>
      <c r="M24" t="str">
        <f>IF($B24="","",IF(M$3=0,"n.b.",INDEX(SRC_Woningetalage!$A$1:$ZZ$501,$A24,M$3)))</f>
        <v>040</v>
      </c>
      <c r="N24">
        <f>IF($B24="","",IF(N$3=0,"n.b.",INDEX(SRC_Woningetalage!$A$1:$ZZ$501,$A24,N$3)))</f>
        <v>45931.0</v>
      </c>
      <c r="O24">
        <f>IF($B24="","",IF(O$3=0,"n.b.",INDEX(SRC_Woningetalage!$A$1:$ZZ$501,$A24,O$3)))</f>
        <v>46388.0</v>
      </c>
      <c r="P24">
        <f>IF($B24="","",IF(P$3=0,"n.b.",INDEX(SRC_Woningetalage!$A$1:$ZZ$501,$A24,P$3)))</f>
        <v>47453.0</v>
      </c>
      <c r="Q24" s="124">
        <f>IF($B24="","",IF(Q$3=0,"n.b.",INDEX(SRC_Woningetalage!$A$1:$ZZ$501,$A24,Q$3)))</f>
        <v>30</v>
      </c>
      <c r="R24" s="124">
        <f>IF($B24="","",IF(R$3=0,"n.b.",INDEX(SRC_Woningetalage!$A$1:$ZZ$501,$A24,R$3)))</f>
        <v>0</v>
      </c>
      <c r="S24" s="124">
        <f>IF($B24="","",IF(S$3=0,"n.b.",INDEX(SRC_Woningetalage!$A$1:$ZZ$501,$A24,S$3)))</f>
        <v>0</v>
      </c>
      <c r="T24" s="124">
        <f>IF($B24="","",IF(T$3=0,"n.b.",INDEX(SRC_Woningetalage!$A$1:$ZZ$501,$A24,T$3)))</f>
        <v>0</v>
      </c>
      <c r="U24" s="124">
        <f>IF($B24="","",IF(U$3=0,"n.b.",INDEX(SRC_Woningetalage!$A$1:$ZZ$501,$A24,U$3)))</f>
        <v>0</v>
      </c>
      <c r="V24" s="124">
        <f>IF($B24="","",IF(V$3=0,"n.b.",INDEX(SRC_Woningetalage!$A$1:$ZZ$501,$A24,V$3)))</f>
        <v>2</v>
      </c>
      <c r="W24" s="124">
        <f>IF($B24="","",IF(W$3=0,"n.b.",INDEX(SRC_Woningetalage!$A$1:$ZZ$501,$A24,W$3)))</f>
        <v>2</v>
      </c>
      <c r="X24" s="124">
        <f>IF($B24="","",IF(X$3=0,"n.b.",INDEX(SRC_Woningetalage!$A$1:$ZZ$501,$A24,X$3)))</f>
        <v>0</v>
      </c>
      <c r="Y24" s="124">
        <f>IF($B24="","",IF(Y$3=0,"n.b.",INDEX(SRC_Woningetalage!$A$1:$ZZ$501,$A24,Y$3)))</f>
        <v>2</v>
      </c>
      <c r="Z24" s="124">
        <f>IF($B24="","",IF(Z$3=0,"n.b.",INDEX(SRC_Woningetalage!$A$1:$ZZ$501,$A24,Z$3)))</f>
        <v>2</v>
      </c>
      <c r="AA24" s="124">
        <f>IF($B24="","",IF(AA$3=0,"n.b.",INDEX(SRC_Woningetalage!$A$1:$ZZ$501,$A24,AA$3)))</f>
        <v>28</v>
      </c>
      <c r="AB24" s="124">
        <f>IF($B24="","",IF(AB$3=0,"n.b.",INDEX(SRC_Woningetalage!$A$1:$ZZ$501,$A24,AB$3)))</f>
        <v>0</v>
      </c>
      <c r="AC24" s="124">
        <f>IF($B24="","",IF(AC$3=0,"n.b.",INDEX(SRC_Woningetalage!$A$1:$ZZ$501,$A24,AC$3)))</f>
        <v>0</v>
      </c>
      <c r="AD24" s="124">
        <f>IF($B24="","",IF(AD$3=0,"n.b.",INDEX(SRC_Woningetalage!$A$1:$ZZ$501,$A24,AD$3)))</f>
        <v>0</v>
      </c>
      <c r="AE24" s="124">
        <f>IF($B24="","",IF(AE$3=0,"n.b.",INDEX(SRC_Woningetalage!$A$1:$ZZ$501,$A24,AE$3)))</f>
        <v>0</v>
      </c>
      <c r="AF24" s="124">
        <f>IF($B24="","",IF(AF$3=0,"n.b.",INDEX(SRC_Woningetalage!$A$1:$ZZ$501,$A24,AF$3)))</f>
        <v>1</v>
      </c>
      <c r="AG24" s="124">
        <f>IF($B24="","",IF(AG$3=0,"n.b.",INDEX(SRC_Woningetalage!$A$1:$ZZ$501,$A24,AG$3)))</f>
        <v>0</v>
      </c>
      <c r="AH24" s="124">
        <f>IF($B24="","",IF(AH$3=0,"n.b.",INDEX(SRC_Woningetalage!$A$1:$ZZ$501,$A24,AH$3)))</f>
        <v>0</v>
      </c>
      <c r="AI24" s="124">
        <f>IF($B24="","",IF(AI$3=0,"n.b.",INDEX(SRC_Woningetalage!$A$1:$ZZ$501,$A24,AI$3)))</f>
        <v>1</v>
      </c>
      <c r="AJ24" s="124">
        <f>IF($B24="","",IF(AJ$3=0,"n.b.",INDEX(SRC_Woningetalage!$A$1:$ZZ$501,$A24,AJ$3)))</f>
        <v>0</v>
      </c>
      <c r="AK24" s="124">
        <f>IF($B24="","",IF(AK$3=0,"n.b.",INDEX(SRC_Woningetalage!$A$1:$ZZ$501,$A24,AK$3)))</f>
        <v>0</v>
      </c>
      <c r="AL24" s="124">
        <f>IF($B24="","",IF(AL$3=0,"n.b.",INDEX(SRC_Woningetalage!$A$1:$ZZ$501,$A24,AL$3)))</f>
        <v>0</v>
      </c>
      <c r="AM24" s="124">
        <f>IF($B24="","",IF(AM$3=0,"n.b.",INDEX(SRC_Woningetalage!$A$1:$ZZ$501,$A24,AM$3)))</f>
        <v>8</v>
      </c>
      <c r="AN24" s="124">
        <f>IF($B24="","",IF(AN$3=0,"n.b.",INDEX(SRC_Woningetalage!$A$1:$ZZ$501,$A24,AN$3)))</f>
        <v>3</v>
      </c>
      <c r="AO24" s="124">
        <f>IF($B24="","",IF(AO$3=0,"n.b.",INDEX(SRC_Woningetalage!$A$1:$ZZ$501,$A24,AO$3)))</f>
        <v>3</v>
      </c>
      <c r="AP24" s="124">
        <f>IF($B24="","",IF(AP$3=0,"n.b.",INDEX(SRC_Woningetalage!$A$1:$ZZ$501,$A24,AP$3)))</f>
        <v>3</v>
      </c>
      <c r="AQ24" s="124">
        <f>IF($B24="","",IF(AQ$3=0,"n.b.",INDEX(SRC_Woningetalage!$A$1:$ZZ$501,$A24,AQ$3)))</f>
        <v>4</v>
      </c>
      <c r="AR24" s="124">
        <f>IF($B24="","",IF(AR$3=0,"n.b.",INDEX(SRC_Woningetalage!$A$1:$ZZ$501,$A24,AR$3)))</f>
        <v>10</v>
      </c>
      <c r="AS24" s="124">
        <f>IF($B24="","",IF(AS$3=0,"n.b.",INDEX(SRC_Woningetalage!$A$1:$ZZ$501,$A24,AS$3)))</f>
        <v>13</v>
      </c>
      <c r="AT24" s="124">
        <f>IF($B24="","",IF(AT$3=0,"n.b.",INDEX(SRC_Woningetalage!$A$1:$ZZ$501,$A24,AT$3)))</f>
        <v>0</v>
      </c>
      <c r="AU24" s="124">
        <f>IF($B24="","",IF(AU$3=0,"n.b.",INDEX(SRC_Woningetalage!$A$1:$ZZ$501,$A24,AU$3)))</f>
        <v>7</v>
      </c>
      <c r="AV24" s="124">
        <f>IF($B24="","",IF(AV$3=0,"n.b.",INDEX(SRC_Woningetalage!$A$1:$ZZ$501,$A24,AV$3)))</f>
        <v>0</v>
      </c>
      <c r="AW24" s="124">
        <f>IF($B24="","",IF(AW$3=0,"n.b.",INDEX(SRC_Woningetalage!$A$1:$ZZ$501,$A24,AW$3)))</f>
        <v>0</v>
      </c>
      <c r="AX24" s="124">
        <f>IF($B24="","",IF(AX$3=0,"n.b.",INDEX(SRC_Woningetalage!$A$1:$ZZ$501,$A24,AX$3)))</f>
        <v>0</v>
      </c>
      <c r="AY24" s="124">
        <f>IF($B24="","",IF(AY$3=0,"n.b.",INDEX(SRC_Woningetalage!$A$1:$ZZ$501,$A24,AY$3)))</f>
        <v>0</v>
      </c>
      <c r="AZ24" s="124">
        <f>IF($B24="","",IF(AZ$3=0,"n.b.",INDEX(SRC_Woningetalage!$A$1:$ZZ$501,$A24,AZ$3)))</f>
        <v>0</v>
      </c>
      <c r="BA24" s="124">
        <f>IF($B24="","",IF(BA$3=0,"n.b.",INDEX(SRC_Woningetalage!$A$1:$ZZ$501,$A24,BA$3)))</f>
        <v>0</v>
      </c>
      <c r="BB24" s="124">
        <f>IF($B24="","",IF(BB$3=0,"n.b.",INDEX(SRC_Woningetalage!$A$1:$ZZ$501,$A24,BB$3)))</f>
        <v>0</v>
      </c>
      <c r="BC24" s="124">
        <f>IF($B24="","",IFERROR(_xlfn.NUMBERVALUE(E24&amp;"",",","."),"n.b."))</f>
        <v>100</v>
      </c>
      <c r="BD24" s="124">
        <f>IF($B24="","",IFERROR(_xlfn.NUMBERVALUE(M24&amp;"",",","."),"n.b."))</f>
        <v>40</v>
      </c>
      <c r="BE24" s="124">
        <f>IF($B24="","",IFERROR(AB24+AC24+AD24,"n.b."))</f>
        <v>0</v>
      </c>
      <c r="BF24" s="124">
        <f>IF($B24="","",IFERROR(AE24+AF24+AG24,"n.b."))</f>
        <v>1</v>
      </c>
      <c r="BG24" s="124">
        <f>IF($B24="","",IFERROR(AH24+AI24+AJ24,"n.b."))</f>
        <v>1</v>
      </c>
      <c r="BH24" s="124">
        <f>IF($B24="","",IFERROR(AK24+AL24+AM24,"n.b."))</f>
        <v>8</v>
      </c>
      <c r="BI24" s="124">
        <f>IF($B24="","",IFERROR(SUMIF($AB$5:$AM$5,"&lt;="&amp;P_PeilMaand,AB24:AM24),"n.b."))</f>
        <v>2</v>
      </c>
      <c r="BJ24" s="124">
        <f>IF($B24="","",IFERROR(SUM(AB24:AM24)-BI24,"n.b."))</f>
        <v>8</v>
      </c>
      <c r="BK24" s="124">
        <f>IF($B24="","",IFERROR(IF(ABS(Q24-(T24+SUM(AB24:AM24)+AS24+AU24))&gt;P_Tol,1,0),1))</f>
        <v>0</v>
      </c>
      <c r="BL24" s="124">
        <f>IF($B24="","",IFERROR(IF(ABS(AA24-(Q24-Z24))&gt;P_Tol,1,0),1))</f>
        <v>0</v>
      </c>
      <c r="BM24" s="124">
        <f>IF($B24="","",IFERROR(IF(ABS(Z24-(T24+W24))&gt;P_Tol,1,0),1))</f>
        <v>0</v>
      </c>
      <c r="BN24" s="124">
        <f>IF($B24="","",IFERROR(IF(ABS(W24-BI24)&gt;P_Tol,1,0),1))</f>
        <v>0</v>
      </c>
      <c r="BO24" s="124">
        <f>IF($B24="","",IFERROR(IF(OR(ABS(R24+S24-T24)&gt;P_Tol,ABS(U24+V24-W24)&gt;P_Tol,ABS(X24+Y24-Z24)&gt;P_Tol),1,0),1))</f>
        <v>0</v>
      </c>
      <c r="BP24" s="124">
        <f>IF($B24="","",IFERROR(IF(OR(ABS(AR24-SUM(AB24:AM24))&gt;P_Tol,ABS(AS24-(AN24+AO24+AP24+AQ24))&gt;P_Tol),1,0),1))</f>
        <v>0</v>
      </c>
      <c r="BQ24" s="124">
        <f>IF($B24="","",IFERROR(IF(ABS(AT24)+ABS(AV24)+ABS(AW24)+ABS(AX24)+ABS(AY24)+ABS(AZ24)+ABS(BA24)+ABS(BB24)&gt;0,1,0),1))</f>
        <v>0</v>
      </c>
      <c r="BR24" s="124">
        <f>IF($B24="","",COUNTIF(STG_ZPMW03!$B$6:$B$505,B24))</f>
        <v>1</v>
      </c>
      <c r="BS24" s="124">
        <f>IF($B24="","",COUNTIF($B$6:$B$505,B24))</f>
        <v>1</v>
      </c>
      <c r="BT24" s="124">
        <f>IF($B24="","",IF(BR24=0,0,IF(INDEX(STG_ZPMW03!$I$6:$I$505,MATCH(B24,STG_ZPMW03!$B$6:$B$505,0))=J24&amp;"",0,1)))</f>
        <v>0</v>
      </c>
      <c r="BU24" s="124">
        <f>IF($B24="","",IFERROR(IF(ABS(INDEX(Mapping!$D$5:$D$104,MATCH(B24,Mapping!$A$5:$A$104,0))-Q24)&gt;P_Tol,1,0),0))</f>
        <v>0</v>
      </c>
      <c r="BV24" s="124">
        <f>IF($B24="","",IFERROR(IF(AND(INDEX(Mapping!$G$5:$G$104,MATCH(B24,Mapping!$A$5:$A$104,0))="Nee",ABS(Q24)+ABS(Z24)+ABS(AR24)&gt;0),1,0),0))</f>
        <v>0</v>
      </c>
      <c r="BW24" s="124">
        <f>IF($B24="","",IF(COUNTIF(Mapping!$A$5:$A$104,B24)&gt;0,1,0))</f>
        <v>1</v>
      </c>
      <c r="BX24" s="124" t="str">
        <f>IF($B24="","",IF(BR24=0,COUNTIF($BR$6:BR24,0),""))</f>
        <v/>
      </c>
    </row>
    <row r="25">
      <c r="A25" s="15" t="n">
        <v>21</v>
      </c>
      <c r="B25" t="str">
        <f>IF(B$3=0,"",IF(INDEX(SRC_Woningetalage!$A$1:$ZZ$501,$A25,B$3)&amp;""="","",INDEX(SRC_Woningetalage!$A$1:$ZZ$501,$A25,B$3)&amp;""))</f>
        <v>G.900020.8.9090</v>
      </c>
      <c r="C25">
        <f>IF($B25="","",IF(C$3=0,"n.b.",INDEX(SRC_Woningetalage!$A$1:$ZZ$501,$A25,C$3)))</f>
        <v>9901</v>
      </c>
      <c r="D25" t="str">
        <f>IF($B25="","",IF(D$3=0,"n.b.",INDEX(SRC_Woningetalage!$A$1:$ZZ$501,$A25,D$3)))</f>
        <v>Demo Ontwikkeling BV</v>
      </c>
      <c r="E25" t="str">
        <f>IF($B25="","",IF(E$3=0,"n.b.",INDEX(SRC_Woningetalage!$A$1:$ZZ$501,$A25,E$3)))</f>
        <v>100,00</v>
      </c>
      <c r="F25" t="str">
        <f>IF($B25="","",IF(F$3=0,"n.b.",INDEX(SRC_Woningetalage!$A$1:$ZZ$501,$A25,F$3)))</f>
        <v>08</v>
      </c>
      <c r="G25" t="str">
        <f>IF($B25="","",IF(G$3=0,"n.b.",INDEX(SRC_Woningetalage!$A$1:$ZZ$501,$A25,G$3)))</f>
        <v>Opstalontwikkeling</v>
      </c>
      <c r="H25" t="str">
        <f>IF($B25="","",IF(H$3=0,"n.b.",INDEX(SRC_Woningetalage!$A$1:$ZZ$501,$A25,H$3)))</f>
        <v>9090</v>
      </c>
      <c r="I25" t="str">
        <f>IF($B25="","",IF(I$3=0,"n.b.",INDEX(SRC_Woningetalage!$A$1:$ZZ$501,$A25,I$3)))</f>
        <v>Demo Regio</v>
      </c>
      <c r="J25" t="str">
        <f>IF($B25="","",IF(J$3=0,"n.b.",INDEX(SRC_Woningetalage!$A$1:$ZZ$501,$A25,J$3)))</f>
        <v>G.900020</v>
      </c>
      <c r="K25" t="str">
        <f>IF($B25="","",IF(K$3=0,"n.b.",INDEX(SRC_Woningetalage!$A$1:$ZZ$501,$A25,K$3)))</f>
        <v>Boswaard, Parkeergebouw</v>
      </c>
      <c r="L25" t="str">
        <f>IF($B25="","",IF(L$3=0,"n.b.",INDEX(SRC_Woningetalage!$A$1:$ZZ$501,$A25,L$3)))</f>
        <v>Boswaard, Parkeergebouw</v>
      </c>
      <c r="M25" t="str">
        <f>IF($B25="","",IF(M$3=0,"n.b.",INDEX(SRC_Woningetalage!$A$1:$ZZ$501,$A25,M$3)))</f>
        <v>020</v>
      </c>
      <c r="N25">
        <f>IF($B25="","",IF(N$3=0,"n.b.",INDEX(SRC_Woningetalage!$A$1:$ZZ$501,$A25,N$3)))</f>
        <v>45931.0</v>
      </c>
      <c r="O25">
        <f>IF($B25="","",IF(O$3=0,"n.b.",INDEX(SRC_Woningetalage!$A$1:$ZZ$501,$A25,O$3)))</f>
        <v>46419.0</v>
      </c>
      <c r="P25">
        <f>IF($B25="","",IF(P$3=0,"n.b.",INDEX(SRC_Woningetalage!$A$1:$ZZ$501,$A25,P$3)))</f>
        <v>47453.0</v>
      </c>
      <c r="Q25" s="124">
        <f>IF($B25="","",IF(Q$3=0,"n.b.",INDEX(SRC_Woningetalage!$A$1:$ZZ$501,$A25,Q$3)))</f>
        <v>0</v>
      </c>
      <c r="R25" s="124">
        <f>IF($B25="","",IF(R$3=0,"n.b.",INDEX(SRC_Woningetalage!$A$1:$ZZ$501,$A25,R$3)))</f>
        <v>0</v>
      </c>
      <c r="S25" s="124">
        <f>IF($B25="","",IF(S$3=0,"n.b.",INDEX(SRC_Woningetalage!$A$1:$ZZ$501,$A25,S$3)))</f>
        <v>0</v>
      </c>
      <c r="T25" s="124">
        <f>IF($B25="","",IF(T$3=0,"n.b.",INDEX(SRC_Woningetalage!$A$1:$ZZ$501,$A25,T$3)))</f>
        <v>0</v>
      </c>
      <c r="U25" s="124">
        <f>IF($B25="","",IF(U$3=0,"n.b.",INDEX(SRC_Woningetalage!$A$1:$ZZ$501,$A25,U$3)))</f>
        <v>0</v>
      </c>
      <c r="V25" s="124">
        <f>IF($B25="","",IF(V$3=0,"n.b.",INDEX(SRC_Woningetalage!$A$1:$ZZ$501,$A25,V$3)))</f>
        <v>0</v>
      </c>
      <c r="W25" s="124">
        <f>IF($B25="","",IF(W$3=0,"n.b.",INDEX(SRC_Woningetalage!$A$1:$ZZ$501,$A25,W$3)))</f>
        <v>0</v>
      </c>
      <c r="X25" s="124">
        <f>IF($B25="","",IF(X$3=0,"n.b.",INDEX(SRC_Woningetalage!$A$1:$ZZ$501,$A25,X$3)))</f>
        <v>0</v>
      </c>
      <c r="Y25" s="124">
        <f>IF($B25="","",IF(Y$3=0,"n.b.",INDEX(SRC_Woningetalage!$A$1:$ZZ$501,$A25,Y$3)))</f>
        <v>0</v>
      </c>
      <c r="Z25" s="124">
        <f>IF($B25="","",IF(Z$3=0,"n.b.",INDEX(SRC_Woningetalage!$A$1:$ZZ$501,$A25,Z$3)))</f>
        <v>0</v>
      </c>
      <c r="AA25" s="124">
        <f>IF($B25="","",IF(AA$3=0,"n.b.",INDEX(SRC_Woningetalage!$A$1:$ZZ$501,$A25,AA$3)))</f>
        <v>0</v>
      </c>
      <c r="AB25" s="124">
        <f>IF($B25="","",IF(AB$3=0,"n.b.",INDEX(SRC_Woningetalage!$A$1:$ZZ$501,$A25,AB$3)))</f>
        <v>0</v>
      </c>
      <c r="AC25" s="124">
        <f>IF($B25="","",IF(AC$3=0,"n.b.",INDEX(SRC_Woningetalage!$A$1:$ZZ$501,$A25,AC$3)))</f>
        <v>0</v>
      </c>
      <c r="AD25" s="124">
        <f>IF($B25="","",IF(AD$3=0,"n.b.",INDEX(SRC_Woningetalage!$A$1:$ZZ$501,$A25,AD$3)))</f>
        <v>0</v>
      </c>
      <c r="AE25" s="124">
        <f>IF($B25="","",IF(AE$3=0,"n.b.",INDEX(SRC_Woningetalage!$A$1:$ZZ$501,$A25,AE$3)))</f>
        <v>0</v>
      </c>
      <c r="AF25" s="124">
        <f>IF($B25="","",IF(AF$3=0,"n.b.",INDEX(SRC_Woningetalage!$A$1:$ZZ$501,$A25,AF$3)))</f>
        <v>0</v>
      </c>
      <c r="AG25" s="124">
        <f>IF($B25="","",IF(AG$3=0,"n.b.",INDEX(SRC_Woningetalage!$A$1:$ZZ$501,$A25,AG$3)))</f>
        <v>0</v>
      </c>
      <c r="AH25" s="124">
        <f>IF($B25="","",IF(AH$3=0,"n.b.",INDEX(SRC_Woningetalage!$A$1:$ZZ$501,$A25,AH$3)))</f>
        <v>0</v>
      </c>
      <c r="AI25" s="124">
        <f>IF($B25="","",IF(AI$3=0,"n.b.",INDEX(SRC_Woningetalage!$A$1:$ZZ$501,$A25,AI$3)))</f>
        <v>0</v>
      </c>
      <c r="AJ25" s="124">
        <f>IF($B25="","",IF(AJ$3=0,"n.b.",INDEX(SRC_Woningetalage!$A$1:$ZZ$501,$A25,AJ$3)))</f>
        <v>0</v>
      </c>
      <c r="AK25" s="124">
        <f>IF($B25="","",IF(AK$3=0,"n.b.",INDEX(SRC_Woningetalage!$A$1:$ZZ$501,$A25,AK$3)))</f>
        <v>0</v>
      </c>
      <c r="AL25" s="124">
        <f>IF($B25="","",IF(AL$3=0,"n.b.",INDEX(SRC_Woningetalage!$A$1:$ZZ$501,$A25,AL$3)))</f>
        <v>0</v>
      </c>
      <c r="AM25" s="124">
        <f>IF($B25="","",IF(AM$3=0,"n.b.",INDEX(SRC_Woningetalage!$A$1:$ZZ$501,$A25,AM$3)))</f>
        <v>0</v>
      </c>
      <c r="AN25" s="124">
        <f>IF($B25="","",IF(AN$3=0,"n.b.",INDEX(SRC_Woningetalage!$A$1:$ZZ$501,$A25,AN$3)))</f>
        <v>0</v>
      </c>
      <c r="AO25" s="124">
        <f>IF($B25="","",IF(AO$3=0,"n.b.",INDEX(SRC_Woningetalage!$A$1:$ZZ$501,$A25,AO$3)))</f>
        <v>0</v>
      </c>
      <c r="AP25" s="124">
        <f>IF($B25="","",IF(AP$3=0,"n.b.",INDEX(SRC_Woningetalage!$A$1:$ZZ$501,$A25,AP$3)))</f>
        <v>0</v>
      </c>
      <c r="AQ25" s="124">
        <f>IF($B25="","",IF(AQ$3=0,"n.b.",INDEX(SRC_Woningetalage!$A$1:$ZZ$501,$A25,AQ$3)))</f>
        <v>0</v>
      </c>
      <c r="AR25" s="124">
        <f>IF($B25="","",IF(AR$3=0,"n.b.",INDEX(SRC_Woningetalage!$A$1:$ZZ$501,$A25,AR$3)))</f>
        <v>0</v>
      </c>
      <c r="AS25" s="124">
        <f>IF($B25="","",IF(AS$3=0,"n.b.",INDEX(SRC_Woningetalage!$A$1:$ZZ$501,$A25,AS$3)))</f>
        <v>0</v>
      </c>
      <c r="AT25" s="124">
        <f>IF($B25="","",IF(AT$3=0,"n.b.",INDEX(SRC_Woningetalage!$A$1:$ZZ$501,$A25,AT$3)))</f>
        <v>0</v>
      </c>
      <c r="AU25" s="124">
        <f>IF($B25="","",IF(AU$3=0,"n.b.",INDEX(SRC_Woningetalage!$A$1:$ZZ$501,$A25,AU$3)))</f>
        <v>0</v>
      </c>
      <c r="AV25" s="124">
        <f>IF($B25="","",IF(AV$3=0,"n.b.",INDEX(SRC_Woningetalage!$A$1:$ZZ$501,$A25,AV$3)))</f>
        <v>0</v>
      </c>
      <c r="AW25" s="124">
        <f>IF($B25="","",IF(AW$3=0,"n.b.",INDEX(SRC_Woningetalage!$A$1:$ZZ$501,$A25,AW$3)))</f>
        <v>0</v>
      </c>
      <c r="AX25" s="124">
        <f>IF($B25="","",IF(AX$3=0,"n.b.",INDEX(SRC_Woningetalage!$A$1:$ZZ$501,$A25,AX$3)))</f>
        <v>0</v>
      </c>
      <c r="AY25" s="124">
        <f>IF($B25="","",IF(AY$3=0,"n.b.",INDEX(SRC_Woningetalage!$A$1:$ZZ$501,$A25,AY$3)))</f>
        <v>0</v>
      </c>
      <c r="AZ25" s="124">
        <f>IF($B25="","",IF(AZ$3=0,"n.b.",INDEX(SRC_Woningetalage!$A$1:$ZZ$501,$A25,AZ$3)))</f>
        <v>0</v>
      </c>
      <c r="BA25" s="124">
        <f>IF($B25="","",IF(BA$3=0,"n.b.",INDEX(SRC_Woningetalage!$A$1:$ZZ$501,$A25,BA$3)))</f>
        <v>0</v>
      </c>
      <c r="BB25" s="124">
        <f>IF($B25="","",IF(BB$3=0,"n.b.",INDEX(SRC_Woningetalage!$A$1:$ZZ$501,$A25,BB$3)))</f>
        <v>0</v>
      </c>
      <c r="BC25" s="124">
        <f>IF($B25="","",IFERROR(_xlfn.NUMBERVALUE(E25&amp;"",",","."),"n.b."))</f>
        <v>100</v>
      </c>
      <c r="BD25" s="124">
        <f>IF($B25="","",IFERROR(_xlfn.NUMBERVALUE(M25&amp;"",",","."),"n.b."))</f>
        <v>20</v>
      </c>
      <c r="BE25" s="124">
        <f>IF($B25="","",IFERROR(AB25+AC25+AD25,"n.b."))</f>
        <v>0</v>
      </c>
      <c r="BF25" s="124">
        <f>IF($B25="","",IFERROR(AE25+AF25+AG25,"n.b."))</f>
        <v>0</v>
      </c>
      <c r="BG25" s="124">
        <f>IF($B25="","",IFERROR(AH25+AI25+AJ25,"n.b."))</f>
        <v>0</v>
      </c>
      <c r="BH25" s="124">
        <f>IF($B25="","",IFERROR(AK25+AL25+AM25,"n.b."))</f>
        <v>0</v>
      </c>
      <c r="BI25" s="124">
        <f>IF($B25="","",IFERROR(SUMIF($AB$5:$AM$5,"&lt;="&amp;P_PeilMaand,AB25:AM25),"n.b."))</f>
        <v>0</v>
      </c>
      <c r="BJ25" s="124">
        <f>IF($B25="","",IFERROR(SUM(AB25:AM25)-BI25,"n.b."))</f>
        <v>0</v>
      </c>
      <c r="BK25" s="124">
        <f>IF($B25="","",IFERROR(IF(ABS(Q25-(T25+SUM(AB25:AM25)+AS25+AU25))&gt;P_Tol,1,0),1))</f>
        <v>0</v>
      </c>
      <c r="BL25" s="124">
        <f>IF($B25="","",IFERROR(IF(ABS(AA25-(Q25-Z25))&gt;P_Tol,1,0),1))</f>
        <v>0</v>
      </c>
      <c r="BM25" s="124">
        <f>IF($B25="","",IFERROR(IF(ABS(Z25-(T25+W25))&gt;P_Tol,1,0),1))</f>
        <v>0</v>
      </c>
      <c r="BN25" s="124">
        <f>IF($B25="","",IFERROR(IF(ABS(W25-BI25)&gt;P_Tol,1,0),1))</f>
        <v>0</v>
      </c>
      <c r="BO25" s="124">
        <f>IF($B25="","",IFERROR(IF(OR(ABS(R25+S25-T25)&gt;P_Tol,ABS(U25+V25-W25)&gt;P_Tol,ABS(X25+Y25-Z25)&gt;P_Tol),1,0),1))</f>
        <v>0</v>
      </c>
      <c r="BP25" s="124">
        <f>IF($B25="","",IFERROR(IF(OR(ABS(AR25-SUM(AB25:AM25))&gt;P_Tol,ABS(AS25-(AN25+AO25+AP25+AQ25))&gt;P_Tol),1,0),1))</f>
        <v>0</v>
      </c>
      <c r="BQ25" s="124">
        <f>IF($B25="","",IFERROR(IF(ABS(AT25)+ABS(AV25)+ABS(AW25)+ABS(AX25)+ABS(AY25)+ABS(AZ25)+ABS(BA25)+ABS(BB25)&gt;0,1,0),1))</f>
        <v>0</v>
      </c>
      <c r="BR25" s="124">
        <f>IF($B25="","",COUNTIF(STG_ZPMW03!$B$6:$B$505,B25))</f>
        <v>1</v>
      </c>
      <c r="BS25" s="124">
        <f>IF($B25="","",COUNTIF($B$6:$B$505,B25))</f>
        <v>1</v>
      </c>
      <c r="BT25" s="124">
        <f>IF($B25="","",IF(BR25=0,0,IF(INDEX(STG_ZPMW03!$I$6:$I$505,MATCH(B25,STG_ZPMW03!$B$6:$B$505,0))=J25&amp;"",0,1)))</f>
        <v>0</v>
      </c>
      <c r="BU25" s="124">
        <f>IF($B25="","",IFERROR(IF(ABS(INDEX(Mapping!$D$5:$D$104,MATCH(B25,Mapping!$A$5:$A$104,0))-Q25)&gt;P_Tol,1,0),0))</f>
        <v>0</v>
      </c>
      <c r="BV25" s="124">
        <f>IF($B25="","",IFERROR(IF(AND(INDEX(Mapping!$G$5:$G$104,MATCH(B25,Mapping!$A$5:$A$104,0))="Nee",ABS(Q25)+ABS(Z25)+ABS(AR25)&gt;0),1,0),0))</f>
        <v>0</v>
      </c>
      <c r="BW25" s="124">
        <f>IF($B25="","",IF(COUNTIF(Mapping!$A$5:$A$104,B25)&gt;0,1,0))</f>
        <v>1</v>
      </c>
      <c r="BX25" s="124" t="str">
        <f>IF($B25="","",IF(BR25=0,COUNTIF($BR$6:BR25,0),""))</f>
        <v/>
      </c>
    </row>
    <row r="26">
      <c r="A26" s="15" t="n">
        <v>22</v>
      </c>
      <c r="B26" t="str">
        <f>IF(B$3=0,"",IF(INDEX(SRC_Woningetalage!$A$1:$ZZ$501,$A26,B$3)&amp;""="","",INDEX(SRC_Woningetalage!$A$1:$ZZ$501,$A26,B$3)&amp;""))</f>
        <v/>
      </c>
      <c r="C26" t="str">
        <f>IF($B26="","",IF(C$3=0,"n.b.",INDEX(SRC_Woningetalage!$A$1:$ZZ$501,$A26,C$3)))</f>
        <v/>
      </c>
      <c r="D26" t="str">
        <f>IF($B26="","",IF(D$3=0,"n.b.",INDEX(SRC_Woningetalage!$A$1:$ZZ$501,$A26,D$3)))</f>
        <v/>
      </c>
      <c r="E26" t="str">
        <f>IF($B26="","",IF(E$3=0,"n.b.",INDEX(SRC_Woningetalage!$A$1:$ZZ$501,$A26,E$3)))</f>
        <v/>
      </c>
      <c r="F26" t="str">
        <f>IF($B26="","",IF(F$3=0,"n.b.",INDEX(SRC_Woningetalage!$A$1:$ZZ$501,$A26,F$3)))</f>
        <v/>
      </c>
      <c r="G26" t="str">
        <f>IF($B26="","",IF(G$3=0,"n.b.",INDEX(SRC_Woningetalage!$A$1:$ZZ$501,$A26,G$3)))</f>
        <v/>
      </c>
      <c r="H26" t="str">
        <f>IF($B26="","",IF(H$3=0,"n.b.",INDEX(SRC_Woningetalage!$A$1:$ZZ$501,$A26,H$3)))</f>
        <v/>
      </c>
      <c r="I26" t="str">
        <f>IF($B26="","",IF(I$3=0,"n.b.",INDEX(SRC_Woningetalage!$A$1:$ZZ$501,$A26,I$3)))</f>
        <v/>
      </c>
      <c r="J26" t="str">
        <f>IF($B26="","",IF(J$3=0,"n.b.",INDEX(SRC_Woningetalage!$A$1:$ZZ$501,$A26,J$3)))</f>
        <v/>
      </c>
      <c r="K26" t="str">
        <f>IF($B26="","",IF(K$3=0,"n.b.",INDEX(SRC_Woningetalage!$A$1:$ZZ$501,$A26,K$3)))</f>
        <v/>
      </c>
      <c r="L26" t="str">
        <f>IF($B26="","",IF(L$3=0,"n.b.",INDEX(SRC_Woningetalage!$A$1:$ZZ$501,$A26,L$3)))</f>
        <v/>
      </c>
      <c r="M26" t="str">
        <f>IF($B26="","",IF(M$3=0,"n.b.",INDEX(SRC_Woningetalage!$A$1:$ZZ$501,$A26,M$3)))</f>
        <v/>
      </c>
      <c r="N26" t="str">
        <f>IF($B26="","",IF(N$3=0,"n.b.",INDEX(SRC_Woningetalage!$A$1:$ZZ$501,$A26,N$3)))</f>
        <v/>
      </c>
      <c r="O26" t="str">
        <f>IF($B26="","",IF(O$3=0,"n.b.",INDEX(SRC_Woningetalage!$A$1:$ZZ$501,$A26,O$3)))</f>
        <v/>
      </c>
      <c r="P26" t="str">
        <f>IF($B26="","",IF(P$3=0,"n.b.",INDEX(SRC_Woningetalage!$A$1:$ZZ$501,$A26,P$3)))</f>
        <v/>
      </c>
      <c r="Q26" s="124" t="str">
        <f>IF($B26="","",IF(Q$3=0,"n.b.",INDEX(SRC_Woningetalage!$A$1:$ZZ$501,$A26,Q$3)))</f>
        <v/>
      </c>
      <c r="R26" s="124" t="str">
        <f>IF($B26="","",IF(R$3=0,"n.b.",INDEX(SRC_Woningetalage!$A$1:$ZZ$501,$A26,R$3)))</f>
        <v/>
      </c>
      <c r="S26" s="124" t="str">
        <f>IF($B26="","",IF(S$3=0,"n.b.",INDEX(SRC_Woningetalage!$A$1:$ZZ$501,$A26,S$3)))</f>
        <v/>
      </c>
      <c r="T26" s="124" t="str">
        <f>IF($B26="","",IF(T$3=0,"n.b.",INDEX(SRC_Woningetalage!$A$1:$ZZ$501,$A26,T$3)))</f>
        <v/>
      </c>
      <c r="U26" s="124" t="str">
        <f>IF($B26="","",IF(U$3=0,"n.b.",INDEX(SRC_Woningetalage!$A$1:$ZZ$501,$A26,U$3)))</f>
        <v/>
      </c>
      <c r="V26" s="124" t="str">
        <f>IF($B26="","",IF(V$3=0,"n.b.",INDEX(SRC_Woningetalage!$A$1:$ZZ$501,$A26,V$3)))</f>
        <v/>
      </c>
      <c r="W26" s="124" t="str">
        <f>IF($B26="","",IF(W$3=0,"n.b.",INDEX(SRC_Woningetalage!$A$1:$ZZ$501,$A26,W$3)))</f>
        <v/>
      </c>
      <c r="X26" s="124" t="str">
        <f>IF($B26="","",IF(X$3=0,"n.b.",INDEX(SRC_Woningetalage!$A$1:$ZZ$501,$A26,X$3)))</f>
        <v/>
      </c>
      <c r="Y26" s="124" t="str">
        <f>IF($B26="","",IF(Y$3=0,"n.b.",INDEX(SRC_Woningetalage!$A$1:$ZZ$501,$A26,Y$3)))</f>
        <v/>
      </c>
      <c r="Z26" s="124" t="str">
        <f>IF($B26="","",IF(Z$3=0,"n.b.",INDEX(SRC_Woningetalage!$A$1:$ZZ$501,$A26,Z$3)))</f>
        <v/>
      </c>
      <c r="AA26" s="124" t="str">
        <f>IF($B26="","",IF(AA$3=0,"n.b.",INDEX(SRC_Woningetalage!$A$1:$ZZ$501,$A26,AA$3)))</f>
        <v/>
      </c>
      <c r="AB26" s="124" t="str">
        <f>IF($B26="","",IF(AB$3=0,"n.b.",INDEX(SRC_Woningetalage!$A$1:$ZZ$501,$A26,AB$3)))</f>
        <v/>
      </c>
      <c r="AC26" s="124" t="str">
        <f>IF($B26="","",IF(AC$3=0,"n.b.",INDEX(SRC_Woningetalage!$A$1:$ZZ$501,$A26,AC$3)))</f>
        <v/>
      </c>
      <c r="AD26" s="124" t="str">
        <f>IF($B26="","",IF(AD$3=0,"n.b.",INDEX(SRC_Woningetalage!$A$1:$ZZ$501,$A26,AD$3)))</f>
        <v/>
      </c>
      <c r="AE26" s="124" t="str">
        <f>IF($B26="","",IF(AE$3=0,"n.b.",INDEX(SRC_Woningetalage!$A$1:$ZZ$501,$A26,AE$3)))</f>
        <v/>
      </c>
      <c r="AF26" s="124" t="str">
        <f>IF($B26="","",IF(AF$3=0,"n.b.",INDEX(SRC_Woningetalage!$A$1:$ZZ$501,$A26,AF$3)))</f>
        <v/>
      </c>
      <c r="AG26" s="124" t="str">
        <f>IF($B26="","",IF(AG$3=0,"n.b.",INDEX(SRC_Woningetalage!$A$1:$ZZ$501,$A26,AG$3)))</f>
        <v/>
      </c>
      <c r="AH26" s="124" t="str">
        <f>IF($B26="","",IF(AH$3=0,"n.b.",INDEX(SRC_Woningetalage!$A$1:$ZZ$501,$A26,AH$3)))</f>
        <v/>
      </c>
      <c r="AI26" s="124" t="str">
        <f>IF($B26="","",IF(AI$3=0,"n.b.",INDEX(SRC_Woningetalage!$A$1:$ZZ$501,$A26,AI$3)))</f>
        <v/>
      </c>
      <c r="AJ26" s="124" t="str">
        <f>IF($B26="","",IF(AJ$3=0,"n.b.",INDEX(SRC_Woningetalage!$A$1:$ZZ$501,$A26,AJ$3)))</f>
        <v/>
      </c>
      <c r="AK26" s="124" t="str">
        <f>IF($B26="","",IF(AK$3=0,"n.b.",INDEX(SRC_Woningetalage!$A$1:$ZZ$501,$A26,AK$3)))</f>
        <v/>
      </c>
      <c r="AL26" s="124" t="str">
        <f>IF($B26="","",IF(AL$3=0,"n.b.",INDEX(SRC_Woningetalage!$A$1:$ZZ$501,$A26,AL$3)))</f>
        <v/>
      </c>
      <c r="AM26" s="124" t="str">
        <f>IF($B26="","",IF(AM$3=0,"n.b.",INDEX(SRC_Woningetalage!$A$1:$ZZ$501,$A26,AM$3)))</f>
        <v/>
      </c>
      <c r="AN26" s="124" t="str">
        <f>IF($B26="","",IF(AN$3=0,"n.b.",INDEX(SRC_Woningetalage!$A$1:$ZZ$501,$A26,AN$3)))</f>
        <v/>
      </c>
      <c r="AO26" s="124" t="str">
        <f>IF($B26="","",IF(AO$3=0,"n.b.",INDEX(SRC_Woningetalage!$A$1:$ZZ$501,$A26,AO$3)))</f>
        <v/>
      </c>
      <c r="AP26" s="124" t="str">
        <f>IF($B26="","",IF(AP$3=0,"n.b.",INDEX(SRC_Woningetalage!$A$1:$ZZ$501,$A26,AP$3)))</f>
        <v/>
      </c>
      <c r="AQ26" s="124" t="str">
        <f>IF($B26="","",IF(AQ$3=0,"n.b.",INDEX(SRC_Woningetalage!$A$1:$ZZ$501,$A26,AQ$3)))</f>
        <v/>
      </c>
      <c r="AR26" s="124" t="str">
        <f>IF($B26="","",IF(AR$3=0,"n.b.",INDEX(SRC_Woningetalage!$A$1:$ZZ$501,$A26,AR$3)))</f>
        <v/>
      </c>
      <c r="AS26" s="124" t="str">
        <f>IF($B26="","",IF(AS$3=0,"n.b.",INDEX(SRC_Woningetalage!$A$1:$ZZ$501,$A26,AS$3)))</f>
        <v/>
      </c>
      <c r="AT26" s="124" t="str">
        <f>IF($B26="","",IF(AT$3=0,"n.b.",INDEX(SRC_Woningetalage!$A$1:$ZZ$501,$A26,AT$3)))</f>
        <v/>
      </c>
      <c r="AU26" s="124" t="str">
        <f>IF($B26="","",IF(AU$3=0,"n.b.",INDEX(SRC_Woningetalage!$A$1:$ZZ$501,$A26,AU$3)))</f>
        <v/>
      </c>
      <c r="AV26" s="124" t="str">
        <f>IF($B26="","",IF(AV$3=0,"n.b.",INDEX(SRC_Woningetalage!$A$1:$ZZ$501,$A26,AV$3)))</f>
        <v/>
      </c>
      <c r="AW26" s="124" t="str">
        <f>IF($B26="","",IF(AW$3=0,"n.b.",INDEX(SRC_Woningetalage!$A$1:$ZZ$501,$A26,AW$3)))</f>
        <v/>
      </c>
      <c r="AX26" s="124" t="str">
        <f>IF($B26="","",IF(AX$3=0,"n.b.",INDEX(SRC_Woningetalage!$A$1:$ZZ$501,$A26,AX$3)))</f>
        <v/>
      </c>
      <c r="AY26" s="124" t="str">
        <f>IF($B26="","",IF(AY$3=0,"n.b.",INDEX(SRC_Woningetalage!$A$1:$ZZ$501,$A26,AY$3)))</f>
        <v/>
      </c>
      <c r="AZ26" s="124" t="str">
        <f>IF($B26="","",IF(AZ$3=0,"n.b.",INDEX(SRC_Woningetalage!$A$1:$ZZ$501,$A26,AZ$3)))</f>
        <v/>
      </c>
      <c r="BA26" s="124" t="str">
        <f>IF($B26="","",IF(BA$3=0,"n.b.",INDEX(SRC_Woningetalage!$A$1:$ZZ$501,$A26,BA$3)))</f>
        <v/>
      </c>
      <c r="BB26" s="124" t="str">
        <f>IF($B26="","",IF(BB$3=0,"n.b.",INDEX(SRC_Woningetalage!$A$1:$ZZ$501,$A26,BB$3)))</f>
        <v/>
      </c>
      <c r="BC26" s="124" t="str">
        <f>IF($B26="","",IFERROR(_xlfn.NUMBERVALUE(E26&amp;"",",","."),"n.b."))</f>
        <v/>
      </c>
      <c r="BD26" s="124" t="str">
        <f>IF($B26="","",IFERROR(_xlfn.NUMBERVALUE(M26&amp;"",",","."),"n.b."))</f>
        <v/>
      </c>
      <c r="BE26" s="124" t="str">
        <f>IF($B26="","",IFERROR(AB26+AC26+AD26,"n.b."))</f>
        <v/>
      </c>
      <c r="BF26" s="124" t="str">
        <f>IF($B26="","",IFERROR(AE26+AF26+AG26,"n.b."))</f>
        <v/>
      </c>
      <c r="BG26" s="124" t="str">
        <f>IF($B26="","",IFERROR(AH26+AI26+AJ26,"n.b."))</f>
        <v/>
      </c>
      <c r="BH26" s="124" t="str">
        <f>IF($B26="","",IFERROR(AK26+AL26+AM26,"n.b."))</f>
        <v/>
      </c>
      <c r="BI26" s="124" t="str">
        <f>IF($B26="","",IFERROR(SUMIF($AB$5:$AM$5,"&lt;="&amp;P_PeilMaand,AB26:AM26),"n.b."))</f>
        <v/>
      </c>
      <c r="BJ26" s="124" t="str">
        <f>IF($B26="","",IFERROR(SUM(AB26:AM26)-BI26,"n.b."))</f>
        <v/>
      </c>
      <c r="BK26" s="124" t="str">
        <f>IF($B26="","",IFERROR(IF(ABS(Q26-(T26+SUM(AB26:AM26)+AS26+AU26))&gt;P_Tol,1,0),1))</f>
        <v/>
      </c>
      <c r="BL26" s="124" t="str">
        <f>IF($B26="","",IFERROR(IF(ABS(AA26-(Q26-Z26))&gt;P_Tol,1,0),1))</f>
        <v/>
      </c>
      <c r="BM26" s="124" t="str">
        <f>IF($B26="","",IFERROR(IF(ABS(Z26-(T26+W26))&gt;P_Tol,1,0),1))</f>
        <v/>
      </c>
      <c r="BN26" s="124" t="str">
        <f>IF($B26="","",IFERROR(IF(ABS(W26-BI26)&gt;P_Tol,1,0),1))</f>
        <v/>
      </c>
      <c r="BO26" s="124" t="str">
        <f>IF($B26="","",IFERROR(IF(OR(ABS(R26+S26-T26)&gt;P_Tol,ABS(U26+V26-W26)&gt;P_Tol,ABS(X26+Y26-Z26)&gt;P_Tol),1,0),1))</f>
        <v/>
      </c>
      <c r="BP26" s="124" t="str">
        <f>IF($B26="","",IFERROR(IF(OR(ABS(AR26-SUM(AB26:AM26))&gt;P_Tol,ABS(AS26-(AN26+AO26+AP26+AQ26))&gt;P_Tol),1,0),1))</f>
        <v/>
      </c>
      <c r="BQ26" s="124" t="str">
        <f>IF($B26="","",IFERROR(IF(ABS(AT26)+ABS(AV26)+ABS(AW26)+ABS(AX26)+ABS(AY26)+ABS(AZ26)+ABS(BA26)+ABS(BB26)&gt;0,1,0),1))</f>
        <v/>
      </c>
      <c r="BR26" s="124" t="str">
        <f>IF($B26="","",COUNTIF(STG_ZPMW03!$B$6:$B$505,B26))</f>
        <v/>
      </c>
      <c r="BS26" s="124" t="str">
        <f>IF($B26="","",COUNTIF($B$6:$B$505,B26))</f>
        <v/>
      </c>
      <c r="BT26" s="124" t="str">
        <f>IF($B26="","",IF(BR26=0,0,IF(INDEX(STG_ZPMW03!$I$6:$I$505,MATCH(B26,STG_ZPMW03!$B$6:$B$505,0))=J26&amp;"",0,1)))</f>
        <v/>
      </c>
      <c r="BU26" s="124" t="str">
        <f>IF($B26="","",IFERROR(IF(ABS(INDEX(Mapping!$D$5:$D$104,MATCH(B26,Mapping!$A$5:$A$104,0))-Q26)&gt;P_Tol,1,0),0))</f>
        <v/>
      </c>
      <c r="BV26" s="124" t="str">
        <f>IF($B26="","",IFERROR(IF(AND(INDEX(Mapping!$G$5:$G$104,MATCH(B26,Mapping!$A$5:$A$104,0))="Nee",ABS(Q26)+ABS(Z26)+ABS(AR26)&gt;0),1,0),0))</f>
        <v/>
      </c>
      <c r="BW26" s="124" t="str">
        <f>IF($B26="","",IF(COUNTIF(Mapping!$A$5:$A$104,B26)&gt;0,1,0))</f>
        <v/>
      </c>
      <c r="BX26" s="124" t="str">
        <f>IF($B26="","",IF(BR26=0,COUNTIF($BR$6:BR26,0),""))</f>
        <v/>
      </c>
    </row>
    <row r="27">
      <c r="A27" s="15" t="n">
        <v>23</v>
      </c>
      <c r="B27" t="str">
        <f>IF(B$3=0,"",IF(INDEX(SRC_Woningetalage!$A$1:$ZZ$501,$A27,B$3)&amp;""="","",INDEX(SRC_Woningetalage!$A$1:$ZZ$501,$A27,B$3)&amp;""))</f>
        <v/>
      </c>
      <c r="C27" t="str">
        <f>IF($B27="","",IF(C$3=0,"n.b.",INDEX(SRC_Woningetalage!$A$1:$ZZ$501,$A27,C$3)))</f>
        <v/>
      </c>
      <c r="D27" t="str">
        <f>IF($B27="","",IF(D$3=0,"n.b.",INDEX(SRC_Woningetalage!$A$1:$ZZ$501,$A27,D$3)))</f>
        <v/>
      </c>
      <c r="E27" t="str">
        <f>IF($B27="","",IF(E$3=0,"n.b.",INDEX(SRC_Woningetalage!$A$1:$ZZ$501,$A27,E$3)))</f>
        <v/>
      </c>
      <c r="F27" t="str">
        <f>IF($B27="","",IF(F$3=0,"n.b.",INDEX(SRC_Woningetalage!$A$1:$ZZ$501,$A27,F$3)))</f>
        <v/>
      </c>
      <c r="G27" t="str">
        <f>IF($B27="","",IF(G$3=0,"n.b.",INDEX(SRC_Woningetalage!$A$1:$ZZ$501,$A27,G$3)))</f>
        <v/>
      </c>
      <c r="H27" t="str">
        <f>IF($B27="","",IF(H$3=0,"n.b.",INDEX(SRC_Woningetalage!$A$1:$ZZ$501,$A27,H$3)))</f>
        <v/>
      </c>
      <c r="I27" t="str">
        <f>IF($B27="","",IF(I$3=0,"n.b.",INDEX(SRC_Woningetalage!$A$1:$ZZ$501,$A27,I$3)))</f>
        <v/>
      </c>
      <c r="J27" t="str">
        <f>IF($B27="","",IF(J$3=0,"n.b.",INDEX(SRC_Woningetalage!$A$1:$ZZ$501,$A27,J$3)))</f>
        <v/>
      </c>
      <c r="K27" t="str">
        <f>IF($B27="","",IF(K$3=0,"n.b.",INDEX(SRC_Woningetalage!$A$1:$ZZ$501,$A27,K$3)))</f>
        <v/>
      </c>
      <c r="L27" t="str">
        <f>IF($B27="","",IF(L$3=0,"n.b.",INDEX(SRC_Woningetalage!$A$1:$ZZ$501,$A27,L$3)))</f>
        <v/>
      </c>
      <c r="M27" t="str">
        <f>IF($B27="","",IF(M$3=0,"n.b.",INDEX(SRC_Woningetalage!$A$1:$ZZ$501,$A27,M$3)))</f>
        <v/>
      </c>
      <c r="N27" t="str">
        <f>IF($B27="","",IF(N$3=0,"n.b.",INDEX(SRC_Woningetalage!$A$1:$ZZ$501,$A27,N$3)))</f>
        <v/>
      </c>
      <c r="O27" t="str">
        <f>IF($B27="","",IF(O$3=0,"n.b.",INDEX(SRC_Woningetalage!$A$1:$ZZ$501,$A27,O$3)))</f>
        <v/>
      </c>
      <c r="P27" t="str">
        <f>IF($B27="","",IF(P$3=0,"n.b.",INDEX(SRC_Woningetalage!$A$1:$ZZ$501,$A27,P$3)))</f>
        <v/>
      </c>
      <c r="Q27" s="124" t="str">
        <f>IF($B27="","",IF(Q$3=0,"n.b.",INDEX(SRC_Woningetalage!$A$1:$ZZ$501,$A27,Q$3)))</f>
        <v/>
      </c>
      <c r="R27" s="124" t="str">
        <f>IF($B27="","",IF(R$3=0,"n.b.",INDEX(SRC_Woningetalage!$A$1:$ZZ$501,$A27,R$3)))</f>
        <v/>
      </c>
      <c r="S27" s="124" t="str">
        <f>IF($B27="","",IF(S$3=0,"n.b.",INDEX(SRC_Woningetalage!$A$1:$ZZ$501,$A27,S$3)))</f>
        <v/>
      </c>
      <c r="T27" s="124" t="str">
        <f>IF($B27="","",IF(T$3=0,"n.b.",INDEX(SRC_Woningetalage!$A$1:$ZZ$501,$A27,T$3)))</f>
        <v/>
      </c>
      <c r="U27" s="124" t="str">
        <f>IF($B27="","",IF(U$3=0,"n.b.",INDEX(SRC_Woningetalage!$A$1:$ZZ$501,$A27,U$3)))</f>
        <v/>
      </c>
      <c r="V27" s="124" t="str">
        <f>IF($B27="","",IF(V$3=0,"n.b.",INDEX(SRC_Woningetalage!$A$1:$ZZ$501,$A27,V$3)))</f>
        <v/>
      </c>
      <c r="W27" s="124" t="str">
        <f>IF($B27="","",IF(W$3=0,"n.b.",INDEX(SRC_Woningetalage!$A$1:$ZZ$501,$A27,W$3)))</f>
        <v/>
      </c>
      <c r="X27" s="124" t="str">
        <f>IF($B27="","",IF(X$3=0,"n.b.",INDEX(SRC_Woningetalage!$A$1:$ZZ$501,$A27,X$3)))</f>
        <v/>
      </c>
      <c r="Y27" s="124" t="str">
        <f>IF($B27="","",IF(Y$3=0,"n.b.",INDEX(SRC_Woningetalage!$A$1:$ZZ$501,$A27,Y$3)))</f>
        <v/>
      </c>
      <c r="Z27" s="124" t="str">
        <f>IF($B27="","",IF(Z$3=0,"n.b.",INDEX(SRC_Woningetalage!$A$1:$ZZ$501,$A27,Z$3)))</f>
        <v/>
      </c>
      <c r="AA27" s="124" t="str">
        <f>IF($B27="","",IF(AA$3=0,"n.b.",INDEX(SRC_Woningetalage!$A$1:$ZZ$501,$A27,AA$3)))</f>
        <v/>
      </c>
      <c r="AB27" s="124" t="str">
        <f>IF($B27="","",IF(AB$3=0,"n.b.",INDEX(SRC_Woningetalage!$A$1:$ZZ$501,$A27,AB$3)))</f>
        <v/>
      </c>
      <c r="AC27" s="124" t="str">
        <f>IF($B27="","",IF(AC$3=0,"n.b.",INDEX(SRC_Woningetalage!$A$1:$ZZ$501,$A27,AC$3)))</f>
        <v/>
      </c>
      <c r="AD27" s="124" t="str">
        <f>IF($B27="","",IF(AD$3=0,"n.b.",INDEX(SRC_Woningetalage!$A$1:$ZZ$501,$A27,AD$3)))</f>
        <v/>
      </c>
      <c r="AE27" s="124" t="str">
        <f>IF($B27="","",IF(AE$3=0,"n.b.",INDEX(SRC_Woningetalage!$A$1:$ZZ$501,$A27,AE$3)))</f>
        <v/>
      </c>
      <c r="AF27" s="124" t="str">
        <f>IF($B27="","",IF(AF$3=0,"n.b.",INDEX(SRC_Woningetalage!$A$1:$ZZ$501,$A27,AF$3)))</f>
        <v/>
      </c>
      <c r="AG27" s="124" t="str">
        <f>IF($B27="","",IF(AG$3=0,"n.b.",INDEX(SRC_Woningetalage!$A$1:$ZZ$501,$A27,AG$3)))</f>
        <v/>
      </c>
      <c r="AH27" s="124" t="str">
        <f>IF($B27="","",IF(AH$3=0,"n.b.",INDEX(SRC_Woningetalage!$A$1:$ZZ$501,$A27,AH$3)))</f>
        <v/>
      </c>
      <c r="AI27" s="124" t="str">
        <f>IF($B27="","",IF(AI$3=0,"n.b.",INDEX(SRC_Woningetalage!$A$1:$ZZ$501,$A27,AI$3)))</f>
        <v/>
      </c>
      <c r="AJ27" s="124" t="str">
        <f>IF($B27="","",IF(AJ$3=0,"n.b.",INDEX(SRC_Woningetalage!$A$1:$ZZ$501,$A27,AJ$3)))</f>
        <v/>
      </c>
      <c r="AK27" s="124" t="str">
        <f>IF($B27="","",IF(AK$3=0,"n.b.",INDEX(SRC_Woningetalage!$A$1:$ZZ$501,$A27,AK$3)))</f>
        <v/>
      </c>
      <c r="AL27" s="124" t="str">
        <f>IF($B27="","",IF(AL$3=0,"n.b.",INDEX(SRC_Woningetalage!$A$1:$ZZ$501,$A27,AL$3)))</f>
        <v/>
      </c>
      <c r="AM27" s="124" t="str">
        <f>IF($B27="","",IF(AM$3=0,"n.b.",INDEX(SRC_Woningetalage!$A$1:$ZZ$501,$A27,AM$3)))</f>
        <v/>
      </c>
      <c r="AN27" s="124" t="str">
        <f>IF($B27="","",IF(AN$3=0,"n.b.",INDEX(SRC_Woningetalage!$A$1:$ZZ$501,$A27,AN$3)))</f>
        <v/>
      </c>
      <c r="AO27" s="124" t="str">
        <f>IF($B27="","",IF(AO$3=0,"n.b.",INDEX(SRC_Woningetalage!$A$1:$ZZ$501,$A27,AO$3)))</f>
        <v/>
      </c>
      <c r="AP27" s="124" t="str">
        <f>IF($B27="","",IF(AP$3=0,"n.b.",INDEX(SRC_Woningetalage!$A$1:$ZZ$501,$A27,AP$3)))</f>
        <v/>
      </c>
      <c r="AQ27" s="124" t="str">
        <f>IF($B27="","",IF(AQ$3=0,"n.b.",INDEX(SRC_Woningetalage!$A$1:$ZZ$501,$A27,AQ$3)))</f>
        <v/>
      </c>
      <c r="AR27" s="124" t="str">
        <f>IF($B27="","",IF(AR$3=0,"n.b.",INDEX(SRC_Woningetalage!$A$1:$ZZ$501,$A27,AR$3)))</f>
        <v/>
      </c>
      <c r="AS27" s="124" t="str">
        <f>IF($B27="","",IF(AS$3=0,"n.b.",INDEX(SRC_Woningetalage!$A$1:$ZZ$501,$A27,AS$3)))</f>
        <v/>
      </c>
      <c r="AT27" s="124" t="str">
        <f>IF($B27="","",IF(AT$3=0,"n.b.",INDEX(SRC_Woningetalage!$A$1:$ZZ$501,$A27,AT$3)))</f>
        <v/>
      </c>
      <c r="AU27" s="124" t="str">
        <f>IF($B27="","",IF(AU$3=0,"n.b.",INDEX(SRC_Woningetalage!$A$1:$ZZ$501,$A27,AU$3)))</f>
        <v/>
      </c>
      <c r="AV27" s="124" t="str">
        <f>IF($B27="","",IF(AV$3=0,"n.b.",INDEX(SRC_Woningetalage!$A$1:$ZZ$501,$A27,AV$3)))</f>
        <v/>
      </c>
      <c r="AW27" s="124" t="str">
        <f>IF($B27="","",IF(AW$3=0,"n.b.",INDEX(SRC_Woningetalage!$A$1:$ZZ$501,$A27,AW$3)))</f>
        <v/>
      </c>
      <c r="AX27" s="124" t="str">
        <f>IF($B27="","",IF(AX$3=0,"n.b.",INDEX(SRC_Woningetalage!$A$1:$ZZ$501,$A27,AX$3)))</f>
        <v/>
      </c>
      <c r="AY27" s="124" t="str">
        <f>IF($B27="","",IF(AY$3=0,"n.b.",INDEX(SRC_Woningetalage!$A$1:$ZZ$501,$A27,AY$3)))</f>
        <v/>
      </c>
      <c r="AZ27" s="124" t="str">
        <f>IF($B27="","",IF(AZ$3=0,"n.b.",INDEX(SRC_Woningetalage!$A$1:$ZZ$501,$A27,AZ$3)))</f>
        <v/>
      </c>
      <c r="BA27" s="124" t="str">
        <f>IF($B27="","",IF(BA$3=0,"n.b.",INDEX(SRC_Woningetalage!$A$1:$ZZ$501,$A27,BA$3)))</f>
        <v/>
      </c>
      <c r="BB27" s="124" t="str">
        <f>IF($B27="","",IF(BB$3=0,"n.b.",INDEX(SRC_Woningetalage!$A$1:$ZZ$501,$A27,BB$3)))</f>
        <v/>
      </c>
      <c r="BC27" s="124" t="str">
        <f>IF($B27="","",IFERROR(_xlfn.NUMBERVALUE(E27&amp;"",",","."),"n.b."))</f>
        <v/>
      </c>
      <c r="BD27" s="124" t="str">
        <f>IF($B27="","",IFERROR(_xlfn.NUMBERVALUE(M27&amp;"",",","."),"n.b."))</f>
        <v/>
      </c>
      <c r="BE27" s="124" t="str">
        <f>IF($B27="","",IFERROR(AB27+AC27+AD27,"n.b."))</f>
        <v/>
      </c>
      <c r="BF27" s="124" t="str">
        <f>IF($B27="","",IFERROR(AE27+AF27+AG27,"n.b."))</f>
        <v/>
      </c>
      <c r="BG27" s="124" t="str">
        <f>IF($B27="","",IFERROR(AH27+AI27+AJ27,"n.b."))</f>
        <v/>
      </c>
      <c r="BH27" s="124" t="str">
        <f>IF($B27="","",IFERROR(AK27+AL27+AM27,"n.b."))</f>
        <v/>
      </c>
      <c r="BI27" s="124" t="str">
        <f>IF($B27="","",IFERROR(SUMIF($AB$5:$AM$5,"&lt;="&amp;P_PeilMaand,AB27:AM27),"n.b."))</f>
        <v/>
      </c>
      <c r="BJ27" s="124" t="str">
        <f>IF($B27="","",IFERROR(SUM(AB27:AM27)-BI27,"n.b."))</f>
        <v/>
      </c>
      <c r="BK27" s="124" t="str">
        <f>IF($B27="","",IFERROR(IF(ABS(Q27-(T27+SUM(AB27:AM27)+AS27+AU27))&gt;P_Tol,1,0),1))</f>
        <v/>
      </c>
      <c r="BL27" s="124" t="str">
        <f>IF($B27="","",IFERROR(IF(ABS(AA27-(Q27-Z27))&gt;P_Tol,1,0),1))</f>
        <v/>
      </c>
      <c r="BM27" s="124" t="str">
        <f>IF($B27="","",IFERROR(IF(ABS(Z27-(T27+W27))&gt;P_Tol,1,0),1))</f>
        <v/>
      </c>
      <c r="BN27" s="124" t="str">
        <f>IF($B27="","",IFERROR(IF(ABS(W27-BI27)&gt;P_Tol,1,0),1))</f>
        <v/>
      </c>
      <c r="BO27" s="124" t="str">
        <f>IF($B27="","",IFERROR(IF(OR(ABS(R27+S27-T27)&gt;P_Tol,ABS(U27+V27-W27)&gt;P_Tol,ABS(X27+Y27-Z27)&gt;P_Tol),1,0),1))</f>
        <v/>
      </c>
      <c r="BP27" s="124" t="str">
        <f>IF($B27="","",IFERROR(IF(OR(ABS(AR27-SUM(AB27:AM27))&gt;P_Tol,ABS(AS27-(AN27+AO27+AP27+AQ27))&gt;P_Tol),1,0),1))</f>
        <v/>
      </c>
      <c r="BQ27" s="124" t="str">
        <f>IF($B27="","",IFERROR(IF(ABS(AT27)+ABS(AV27)+ABS(AW27)+ABS(AX27)+ABS(AY27)+ABS(AZ27)+ABS(BA27)+ABS(BB27)&gt;0,1,0),1))</f>
        <v/>
      </c>
      <c r="BR27" s="124" t="str">
        <f>IF($B27="","",COUNTIF(STG_ZPMW03!$B$6:$B$505,B27))</f>
        <v/>
      </c>
      <c r="BS27" s="124" t="str">
        <f>IF($B27="","",COUNTIF($B$6:$B$505,B27))</f>
        <v/>
      </c>
      <c r="BT27" s="124" t="str">
        <f>IF($B27="","",IF(BR27=0,0,IF(INDEX(STG_ZPMW03!$I$6:$I$505,MATCH(B27,STG_ZPMW03!$B$6:$B$505,0))=J27&amp;"",0,1)))</f>
        <v/>
      </c>
      <c r="BU27" s="124" t="str">
        <f>IF($B27="","",IFERROR(IF(ABS(INDEX(Mapping!$D$5:$D$104,MATCH(B27,Mapping!$A$5:$A$104,0))-Q27)&gt;P_Tol,1,0),0))</f>
        <v/>
      </c>
      <c r="BV27" s="124" t="str">
        <f>IF($B27="","",IFERROR(IF(AND(INDEX(Mapping!$G$5:$G$104,MATCH(B27,Mapping!$A$5:$A$104,0))="Nee",ABS(Q27)+ABS(Z27)+ABS(AR27)&gt;0),1,0),0))</f>
        <v/>
      </c>
      <c r="BW27" s="124" t="str">
        <f>IF($B27="","",IF(COUNTIF(Mapping!$A$5:$A$104,B27)&gt;0,1,0))</f>
        <v/>
      </c>
      <c r="BX27" s="124" t="str">
        <f>IF($B27="","",IF(BR27=0,COUNTIF($BR$6:BR27,0),""))</f>
        <v/>
      </c>
    </row>
    <row r="28">
      <c r="A28" s="15" t="n">
        <v>24</v>
      </c>
      <c r="B28" t="str">
        <f>IF(B$3=0,"",IF(INDEX(SRC_Woningetalage!$A$1:$ZZ$501,$A28,B$3)&amp;""="","",INDEX(SRC_Woningetalage!$A$1:$ZZ$501,$A28,B$3)&amp;""))</f>
        <v/>
      </c>
      <c r="C28" t="str">
        <f>IF($B28="","",IF(C$3=0,"n.b.",INDEX(SRC_Woningetalage!$A$1:$ZZ$501,$A28,C$3)))</f>
        <v/>
      </c>
      <c r="D28" t="str">
        <f>IF($B28="","",IF(D$3=0,"n.b.",INDEX(SRC_Woningetalage!$A$1:$ZZ$501,$A28,D$3)))</f>
        <v/>
      </c>
      <c r="E28" t="str">
        <f>IF($B28="","",IF(E$3=0,"n.b.",INDEX(SRC_Woningetalage!$A$1:$ZZ$501,$A28,E$3)))</f>
        <v/>
      </c>
      <c r="F28" t="str">
        <f>IF($B28="","",IF(F$3=0,"n.b.",INDEX(SRC_Woningetalage!$A$1:$ZZ$501,$A28,F$3)))</f>
        <v/>
      </c>
      <c r="G28" t="str">
        <f>IF($B28="","",IF(G$3=0,"n.b.",INDEX(SRC_Woningetalage!$A$1:$ZZ$501,$A28,G$3)))</f>
        <v/>
      </c>
      <c r="H28" t="str">
        <f>IF($B28="","",IF(H$3=0,"n.b.",INDEX(SRC_Woningetalage!$A$1:$ZZ$501,$A28,H$3)))</f>
        <v/>
      </c>
      <c r="I28" t="str">
        <f>IF($B28="","",IF(I$3=0,"n.b.",INDEX(SRC_Woningetalage!$A$1:$ZZ$501,$A28,I$3)))</f>
        <v/>
      </c>
      <c r="J28" t="str">
        <f>IF($B28="","",IF(J$3=0,"n.b.",INDEX(SRC_Woningetalage!$A$1:$ZZ$501,$A28,J$3)))</f>
        <v/>
      </c>
      <c r="K28" t="str">
        <f>IF($B28="","",IF(K$3=0,"n.b.",INDEX(SRC_Woningetalage!$A$1:$ZZ$501,$A28,K$3)))</f>
        <v/>
      </c>
      <c r="L28" t="str">
        <f>IF($B28="","",IF(L$3=0,"n.b.",INDEX(SRC_Woningetalage!$A$1:$ZZ$501,$A28,L$3)))</f>
        <v/>
      </c>
      <c r="M28" t="str">
        <f>IF($B28="","",IF(M$3=0,"n.b.",INDEX(SRC_Woningetalage!$A$1:$ZZ$501,$A28,M$3)))</f>
        <v/>
      </c>
      <c r="N28" t="str">
        <f>IF($B28="","",IF(N$3=0,"n.b.",INDEX(SRC_Woningetalage!$A$1:$ZZ$501,$A28,N$3)))</f>
        <v/>
      </c>
      <c r="O28" t="str">
        <f>IF($B28="","",IF(O$3=0,"n.b.",INDEX(SRC_Woningetalage!$A$1:$ZZ$501,$A28,O$3)))</f>
        <v/>
      </c>
      <c r="P28" t="str">
        <f>IF($B28="","",IF(P$3=0,"n.b.",INDEX(SRC_Woningetalage!$A$1:$ZZ$501,$A28,P$3)))</f>
        <v/>
      </c>
      <c r="Q28" s="124" t="str">
        <f>IF($B28="","",IF(Q$3=0,"n.b.",INDEX(SRC_Woningetalage!$A$1:$ZZ$501,$A28,Q$3)))</f>
        <v/>
      </c>
      <c r="R28" s="124" t="str">
        <f>IF($B28="","",IF(R$3=0,"n.b.",INDEX(SRC_Woningetalage!$A$1:$ZZ$501,$A28,R$3)))</f>
        <v/>
      </c>
      <c r="S28" s="124" t="str">
        <f>IF($B28="","",IF(S$3=0,"n.b.",INDEX(SRC_Woningetalage!$A$1:$ZZ$501,$A28,S$3)))</f>
        <v/>
      </c>
      <c r="T28" s="124" t="str">
        <f>IF($B28="","",IF(T$3=0,"n.b.",INDEX(SRC_Woningetalage!$A$1:$ZZ$501,$A28,T$3)))</f>
        <v/>
      </c>
      <c r="U28" s="124" t="str">
        <f>IF($B28="","",IF(U$3=0,"n.b.",INDEX(SRC_Woningetalage!$A$1:$ZZ$501,$A28,U$3)))</f>
        <v/>
      </c>
      <c r="V28" s="124" t="str">
        <f>IF($B28="","",IF(V$3=0,"n.b.",INDEX(SRC_Woningetalage!$A$1:$ZZ$501,$A28,V$3)))</f>
        <v/>
      </c>
      <c r="W28" s="124" t="str">
        <f>IF($B28="","",IF(W$3=0,"n.b.",INDEX(SRC_Woningetalage!$A$1:$ZZ$501,$A28,W$3)))</f>
        <v/>
      </c>
      <c r="X28" s="124" t="str">
        <f>IF($B28="","",IF(X$3=0,"n.b.",INDEX(SRC_Woningetalage!$A$1:$ZZ$501,$A28,X$3)))</f>
        <v/>
      </c>
      <c r="Y28" s="124" t="str">
        <f>IF($B28="","",IF(Y$3=0,"n.b.",INDEX(SRC_Woningetalage!$A$1:$ZZ$501,$A28,Y$3)))</f>
        <v/>
      </c>
      <c r="Z28" s="124" t="str">
        <f>IF($B28="","",IF(Z$3=0,"n.b.",INDEX(SRC_Woningetalage!$A$1:$ZZ$501,$A28,Z$3)))</f>
        <v/>
      </c>
      <c r="AA28" s="124" t="str">
        <f>IF($B28="","",IF(AA$3=0,"n.b.",INDEX(SRC_Woningetalage!$A$1:$ZZ$501,$A28,AA$3)))</f>
        <v/>
      </c>
      <c r="AB28" s="124" t="str">
        <f>IF($B28="","",IF(AB$3=0,"n.b.",INDEX(SRC_Woningetalage!$A$1:$ZZ$501,$A28,AB$3)))</f>
        <v/>
      </c>
      <c r="AC28" s="124" t="str">
        <f>IF($B28="","",IF(AC$3=0,"n.b.",INDEX(SRC_Woningetalage!$A$1:$ZZ$501,$A28,AC$3)))</f>
        <v/>
      </c>
      <c r="AD28" s="124" t="str">
        <f>IF($B28="","",IF(AD$3=0,"n.b.",INDEX(SRC_Woningetalage!$A$1:$ZZ$501,$A28,AD$3)))</f>
        <v/>
      </c>
      <c r="AE28" s="124" t="str">
        <f>IF($B28="","",IF(AE$3=0,"n.b.",INDEX(SRC_Woningetalage!$A$1:$ZZ$501,$A28,AE$3)))</f>
        <v/>
      </c>
      <c r="AF28" s="124" t="str">
        <f>IF($B28="","",IF(AF$3=0,"n.b.",INDEX(SRC_Woningetalage!$A$1:$ZZ$501,$A28,AF$3)))</f>
        <v/>
      </c>
      <c r="AG28" s="124" t="str">
        <f>IF($B28="","",IF(AG$3=0,"n.b.",INDEX(SRC_Woningetalage!$A$1:$ZZ$501,$A28,AG$3)))</f>
        <v/>
      </c>
      <c r="AH28" s="124" t="str">
        <f>IF($B28="","",IF(AH$3=0,"n.b.",INDEX(SRC_Woningetalage!$A$1:$ZZ$501,$A28,AH$3)))</f>
        <v/>
      </c>
      <c r="AI28" s="124" t="str">
        <f>IF($B28="","",IF(AI$3=0,"n.b.",INDEX(SRC_Woningetalage!$A$1:$ZZ$501,$A28,AI$3)))</f>
        <v/>
      </c>
      <c r="AJ28" s="124" t="str">
        <f>IF($B28="","",IF(AJ$3=0,"n.b.",INDEX(SRC_Woningetalage!$A$1:$ZZ$501,$A28,AJ$3)))</f>
        <v/>
      </c>
      <c r="AK28" s="124" t="str">
        <f>IF($B28="","",IF(AK$3=0,"n.b.",INDEX(SRC_Woningetalage!$A$1:$ZZ$501,$A28,AK$3)))</f>
        <v/>
      </c>
      <c r="AL28" s="124" t="str">
        <f>IF($B28="","",IF(AL$3=0,"n.b.",INDEX(SRC_Woningetalage!$A$1:$ZZ$501,$A28,AL$3)))</f>
        <v/>
      </c>
      <c r="AM28" s="124" t="str">
        <f>IF($B28="","",IF(AM$3=0,"n.b.",INDEX(SRC_Woningetalage!$A$1:$ZZ$501,$A28,AM$3)))</f>
        <v/>
      </c>
      <c r="AN28" s="124" t="str">
        <f>IF($B28="","",IF(AN$3=0,"n.b.",INDEX(SRC_Woningetalage!$A$1:$ZZ$501,$A28,AN$3)))</f>
        <v/>
      </c>
      <c r="AO28" s="124" t="str">
        <f>IF($B28="","",IF(AO$3=0,"n.b.",INDEX(SRC_Woningetalage!$A$1:$ZZ$501,$A28,AO$3)))</f>
        <v/>
      </c>
      <c r="AP28" s="124" t="str">
        <f>IF($B28="","",IF(AP$3=0,"n.b.",INDEX(SRC_Woningetalage!$A$1:$ZZ$501,$A28,AP$3)))</f>
        <v/>
      </c>
      <c r="AQ28" s="124" t="str">
        <f>IF($B28="","",IF(AQ$3=0,"n.b.",INDEX(SRC_Woningetalage!$A$1:$ZZ$501,$A28,AQ$3)))</f>
        <v/>
      </c>
      <c r="AR28" s="124" t="str">
        <f>IF($B28="","",IF(AR$3=0,"n.b.",INDEX(SRC_Woningetalage!$A$1:$ZZ$501,$A28,AR$3)))</f>
        <v/>
      </c>
      <c r="AS28" s="124" t="str">
        <f>IF($B28="","",IF(AS$3=0,"n.b.",INDEX(SRC_Woningetalage!$A$1:$ZZ$501,$A28,AS$3)))</f>
        <v/>
      </c>
      <c r="AT28" s="124" t="str">
        <f>IF($B28="","",IF(AT$3=0,"n.b.",INDEX(SRC_Woningetalage!$A$1:$ZZ$501,$A28,AT$3)))</f>
        <v/>
      </c>
      <c r="AU28" s="124" t="str">
        <f>IF($B28="","",IF(AU$3=0,"n.b.",INDEX(SRC_Woningetalage!$A$1:$ZZ$501,$A28,AU$3)))</f>
        <v/>
      </c>
      <c r="AV28" s="124" t="str">
        <f>IF($B28="","",IF(AV$3=0,"n.b.",INDEX(SRC_Woningetalage!$A$1:$ZZ$501,$A28,AV$3)))</f>
        <v/>
      </c>
      <c r="AW28" s="124" t="str">
        <f>IF($B28="","",IF(AW$3=0,"n.b.",INDEX(SRC_Woningetalage!$A$1:$ZZ$501,$A28,AW$3)))</f>
        <v/>
      </c>
      <c r="AX28" s="124" t="str">
        <f>IF($B28="","",IF(AX$3=0,"n.b.",INDEX(SRC_Woningetalage!$A$1:$ZZ$501,$A28,AX$3)))</f>
        <v/>
      </c>
      <c r="AY28" s="124" t="str">
        <f>IF($B28="","",IF(AY$3=0,"n.b.",INDEX(SRC_Woningetalage!$A$1:$ZZ$501,$A28,AY$3)))</f>
        <v/>
      </c>
      <c r="AZ28" s="124" t="str">
        <f>IF($B28="","",IF(AZ$3=0,"n.b.",INDEX(SRC_Woningetalage!$A$1:$ZZ$501,$A28,AZ$3)))</f>
        <v/>
      </c>
      <c r="BA28" s="124" t="str">
        <f>IF($B28="","",IF(BA$3=0,"n.b.",INDEX(SRC_Woningetalage!$A$1:$ZZ$501,$A28,BA$3)))</f>
        <v/>
      </c>
      <c r="BB28" s="124" t="str">
        <f>IF($B28="","",IF(BB$3=0,"n.b.",INDEX(SRC_Woningetalage!$A$1:$ZZ$501,$A28,BB$3)))</f>
        <v/>
      </c>
      <c r="BC28" s="124" t="str">
        <f>IF($B28="","",IFERROR(_xlfn.NUMBERVALUE(E28&amp;"",",","."),"n.b."))</f>
        <v/>
      </c>
      <c r="BD28" s="124" t="str">
        <f>IF($B28="","",IFERROR(_xlfn.NUMBERVALUE(M28&amp;"",",","."),"n.b."))</f>
        <v/>
      </c>
      <c r="BE28" s="124" t="str">
        <f>IF($B28="","",IFERROR(AB28+AC28+AD28,"n.b."))</f>
        <v/>
      </c>
      <c r="BF28" s="124" t="str">
        <f>IF($B28="","",IFERROR(AE28+AF28+AG28,"n.b."))</f>
        <v/>
      </c>
      <c r="BG28" s="124" t="str">
        <f>IF($B28="","",IFERROR(AH28+AI28+AJ28,"n.b."))</f>
        <v/>
      </c>
      <c r="BH28" s="124" t="str">
        <f>IF($B28="","",IFERROR(AK28+AL28+AM28,"n.b."))</f>
        <v/>
      </c>
      <c r="BI28" s="124" t="str">
        <f>IF($B28="","",IFERROR(SUMIF($AB$5:$AM$5,"&lt;="&amp;P_PeilMaand,AB28:AM28),"n.b."))</f>
        <v/>
      </c>
      <c r="BJ28" s="124" t="str">
        <f>IF($B28="","",IFERROR(SUM(AB28:AM28)-BI28,"n.b."))</f>
        <v/>
      </c>
      <c r="BK28" s="124" t="str">
        <f>IF($B28="","",IFERROR(IF(ABS(Q28-(T28+SUM(AB28:AM28)+AS28+AU28))&gt;P_Tol,1,0),1))</f>
        <v/>
      </c>
      <c r="BL28" s="124" t="str">
        <f>IF($B28="","",IFERROR(IF(ABS(AA28-(Q28-Z28))&gt;P_Tol,1,0),1))</f>
        <v/>
      </c>
      <c r="BM28" s="124" t="str">
        <f>IF($B28="","",IFERROR(IF(ABS(Z28-(T28+W28))&gt;P_Tol,1,0),1))</f>
        <v/>
      </c>
      <c r="BN28" s="124" t="str">
        <f>IF($B28="","",IFERROR(IF(ABS(W28-BI28)&gt;P_Tol,1,0),1))</f>
        <v/>
      </c>
      <c r="BO28" s="124" t="str">
        <f>IF($B28="","",IFERROR(IF(OR(ABS(R28+S28-T28)&gt;P_Tol,ABS(U28+V28-W28)&gt;P_Tol,ABS(X28+Y28-Z28)&gt;P_Tol),1,0),1))</f>
        <v/>
      </c>
      <c r="BP28" s="124" t="str">
        <f>IF($B28="","",IFERROR(IF(OR(ABS(AR28-SUM(AB28:AM28))&gt;P_Tol,ABS(AS28-(AN28+AO28+AP28+AQ28))&gt;P_Tol),1,0),1))</f>
        <v/>
      </c>
      <c r="BQ28" s="124" t="str">
        <f>IF($B28="","",IFERROR(IF(ABS(AT28)+ABS(AV28)+ABS(AW28)+ABS(AX28)+ABS(AY28)+ABS(AZ28)+ABS(BA28)+ABS(BB28)&gt;0,1,0),1))</f>
        <v/>
      </c>
      <c r="BR28" s="124" t="str">
        <f>IF($B28="","",COUNTIF(STG_ZPMW03!$B$6:$B$505,B28))</f>
        <v/>
      </c>
      <c r="BS28" s="124" t="str">
        <f>IF($B28="","",COUNTIF($B$6:$B$505,B28))</f>
        <v/>
      </c>
      <c r="BT28" s="124" t="str">
        <f>IF($B28="","",IF(BR28=0,0,IF(INDEX(STG_ZPMW03!$I$6:$I$505,MATCH(B28,STG_ZPMW03!$B$6:$B$505,0))=J28&amp;"",0,1)))</f>
        <v/>
      </c>
      <c r="BU28" s="124" t="str">
        <f>IF($B28="","",IFERROR(IF(ABS(INDEX(Mapping!$D$5:$D$104,MATCH(B28,Mapping!$A$5:$A$104,0))-Q28)&gt;P_Tol,1,0),0))</f>
        <v/>
      </c>
      <c r="BV28" s="124" t="str">
        <f>IF($B28="","",IFERROR(IF(AND(INDEX(Mapping!$G$5:$G$104,MATCH(B28,Mapping!$A$5:$A$104,0))="Nee",ABS(Q28)+ABS(Z28)+ABS(AR28)&gt;0),1,0),0))</f>
        <v/>
      </c>
      <c r="BW28" s="124" t="str">
        <f>IF($B28="","",IF(COUNTIF(Mapping!$A$5:$A$104,B28)&gt;0,1,0))</f>
        <v/>
      </c>
      <c r="BX28" s="124" t="str">
        <f>IF($B28="","",IF(BR28=0,COUNTIF($BR$6:BR28,0),""))</f>
        <v/>
      </c>
    </row>
    <row r="29">
      <c r="A29" s="15" t="n">
        <v>25</v>
      </c>
      <c r="B29" t="str">
        <f>IF(B$3=0,"",IF(INDEX(SRC_Woningetalage!$A$1:$ZZ$501,$A29,B$3)&amp;""="","",INDEX(SRC_Woningetalage!$A$1:$ZZ$501,$A29,B$3)&amp;""))</f>
        <v/>
      </c>
      <c r="C29" t="str">
        <f>IF($B29="","",IF(C$3=0,"n.b.",INDEX(SRC_Woningetalage!$A$1:$ZZ$501,$A29,C$3)))</f>
        <v/>
      </c>
      <c r="D29" t="str">
        <f>IF($B29="","",IF(D$3=0,"n.b.",INDEX(SRC_Woningetalage!$A$1:$ZZ$501,$A29,D$3)))</f>
        <v/>
      </c>
      <c r="E29" t="str">
        <f>IF($B29="","",IF(E$3=0,"n.b.",INDEX(SRC_Woningetalage!$A$1:$ZZ$501,$A29,E$3)))</f>
        <v/>
      </c>
      <c r="F29" t="str">
        <f>IF($B29="","",IF(F$3=0,"n.b.",INDEX(SRC_Woningetalage!$A$1:$ZZ$501,$A29,F$3)))</f>
        <v/>
      </c>
      <c r="G29" t="str">
        <f>IF($B29="","",IF(G$3=0,"n.b.",INDEX(SRC_Woningetalage!$A$1:$ZZ$501,$A29,G$3)))</f>
        <v/>
      </c>
      <c r="H29" t="str">
        <f>IF($B29="","",IF(H$3=0,"n.b.",INDEX(SRC_Woningetalage!$A$1:$ZZ$501,$A29,H$3)))</f>
        <v/>
      </c>
      <c r="I29" t="str">
        <f>IF($B29="","",IF(I$3=0,"n.b.",INDEX(SRC_Woningetalage!$A$1:$ZZ$501,$A29,I$3)))</f>
        <v/>
      </c>
      <c r="J29" t="str">
        <f>IF($B29="","",IF(J$3=0,"n.b.",INDEX(SRC_Woningetalage!$A$1:$ZZ$501,$A29,J$3)))</f>
        <v/>
      </c>
      <c r="K29" t="str">
        <f>IF($B29="","",IF(K$3=0,"n.b.",INDEX(SRC_Woningetalage!$A$1:$ZZ$501,$A29,K$3)))</f>
        <v/>
      </c>
      <c r="L29" t="str">
        <f>IF($B29="","",IF(L$3=0,"n.b.",INDEX(SRC_Woningetalage!$A$1:$ZZ$501,$A29,L$3)))</f>
        <v/>
      </c>
      <c r="M29" t="str">
        <f>IF($B29="","",IF(M$3=0,"n.b.",INDEX(SRC_Woningetalage!$A$1:$ZZ$501,$A29,M$3)))</f>
        <v/>
      </c>
      <c r="N29" t="str">
        <f>IF($B29="","",IF(N$3=0,"n.b.",INDEX(SRC_Woningetalage!$A$1:$ZZ$501,$A29,N$3)))</f>
        <v/>
      </c>
      <c r="O29" t="str">
        <f>IF($B29="","",IF(O$3=0,"n.b.",INDEX(SRC_Woningetalage!$A$1:$ZZ$501,$A29,O$3)))</f>
        <v/>
      </c>
      <c r="P29" t="str">
        <f>IF($B29="","",IF(P$3=0,"n.b.",INDEX(SRC_Woningetalage!$A$1:$ZZ$501,$A29,P$3)))</f>
        <v/>
      </c>
      <c r="Q29" s="124" t="str">
        <f>IF($B29="","",IF(Q$3=0,"n.b.",INDEX(SRC_Woningetalage!$A$1:$ZZ$501,$A29,Q$3)))</f>
        <v/>
      </c>
      <c r="R29" s="124" t="str">
        <f>IF($B29="","",IF(R$3=0,"n.b.",INDEX(SRC_Woningetalage!$A$1:$ZZ$501,$A29,R$3)))</f>
        <v/>
      </c>
      <c r="S29" s="124" t="str">
        <f>IF($B29="","",IF(S$3=0,"n.b.",INDEX(SRC_Woningetalage!$A$1:$ZZ$501,$A29,S$3)))</f>
        <v/>
      </c>
      <c r="T29" s="124" t="str">
        <f>IF($B29="","",IF(T$3=0,"n.b.",INDEX(SRC_Woningetalage!$A$1:$ZZ$501,$A29,T$3)))</f>
        <v/>
      </c>
      <c r="U29" s="124" t="str">
        <f>IF($B29="","",IF(U$3=0,"n.b.",INDEX(SRC_Woningetalage!$A$1:$ZZ$501,$A29,U$3)))</f>
        <v/>
      </c>
      <c r="V29" s="124" t="str">
        <f>IF($B29="","",IF(V$3=0,"n.b.",INDEX(SRC_Woningetalage!$A$1:$ZZ$501,$A29,V$3)))</f>
        <v/>
      </c>
      <c r="W29" s="124" t="str">
        <f>IF($B29="","",IF(W$3=0,"n.b.",INDEX(SRC_Woningetalage!$A$1:$ZZ$501,$A29,W$3)))</f>
        <v/>
      </c>
      <c r="X29" s="124" t="str">
        <f>IF($B29="","",IF(X$3=0,"n.b.",INDEX(SRC_Woningetalage!$A$1:$ZZ$501,$A29,X$3)))</f>
        <v/>
      </c>
      <c r="Y29" s="124" t="str">
        <f>IF($B29="","",IF(Y$3=0,"n.b.",INDEX(SRC_Woningetalage!$A$1:$ZZ$501,$A29,Y$3)))</f>
        <v/>
      </c>
      <c r="Z29" s="124" t="str">
        <f>IF($B29="","",IF(Z$3=0,"n.b.",INDEX(SRC_Woningetalage!$A$1:$ZZ$501,$A29,Z$3)))</f>
        <v/>
      </c>
      <c r="AA29" s="124" t="str">
        <f>IF($B29="","",IF(AA$3=0,"n.b.",INDEX(SRC_Woningetalage!$A$1:$ZZ$501,$A29,AA$3)))</f>
        <v/>
      </c>
      <c r="AB29" s="124" t="str">
        <f>IF($B29="","",IF(AB$3=0,"n.b.",INDEX(SRC_Woningetalage!$A$1:$ZZ$501,$A29,AB$3)))</f>
        <v/>
      </c>
      <c r="AC29" s="124" t="str">
        <f>IF($B29="","",IF(AC$3=0,"n.b.",INDEX(SRC_Woningetalage!$A$1:$ZZ$501,$A29,AC$3)))</f>
        <v/>
      </c>
      <c r="AD29" s="124" t="str">
        <f>IF($B29="","",IF(AD$3=0,"n.b.",INDEX(SRC_Woningetalage!$A$1:$ZZ$501,$A29,AD$3)))</f>
        <v/>
      </c>
      <c r="AE29" s="124" t="str">
        <f>IF($B29="","",IF(AE$3=0,"n.b.",INDEX(SRC_Woningetalage!$A$1:$ZZ$501,$A29,AE$3)))</f>
        <v/>
      </c>
      <c r="AF29" s="124" t="str">
        <f>IF($B29="","",IF(AF$3=0,"n.b.",INDEX(SRC_Woningetalage!$A$1:$ZZ$501,$A29,AF$3)))</f>
        <v/>
      </c>
      <c r="AG29" s="124" t="str">
        <f>IF($B29="","",IF(AG$3=0,"n.b.",INDEX(SRC_Woningetalage!$A$1:$ZZ$501,$A29,AG$3)))</f>
        <v/>
      </c>
      <c r="AH29" s="124" t="str">
        <f>IF($B29="","",IF(AH$3=0,"n.b.",INDEX(SRC_Woningetalage!$A$1:$ZZ$501,$A29,AH$3)))</f>
        <v/>
      </c>
      <c r="AI29" s="124" t="str">
        <f>IF($B29="","",IF(AI$3=0,"n.b.",INDEX(SRC_Woningetalage!$A$1:$ZZ$501,$A29,AI$3)))</f>
        <v/>
      </c>
      <c r="AJ29" s="124" t="str">
        <f>IF($B29="","",IF(AJ$3=0,"n.b.",INDEX(SRC_Woningetalage!$A$1:$ZZ$501,$A29,AJ$3)))</f>
        <v/>
      </c>
      <c r="AK29" s="124" t="str">
        <f>IF($B29="","",IF(AK$3=0,"n.b.",INDEX(SRC_Woningetalage!$A$1:$ZZ$501,$A29,AK$3)))</f>
        <v/>
      </c>
      <c r="AL29" s="124" t="str">
        <f>IF($B29="","",IF(AL$3=0,"n.b.",INDEX(SRC_Woningetalage!$A$1:$ZZ$501,$A29,AL$3)))</f>
        <v/>
      </c>
      <c r="AM29" s="124" t="str">
        <f>IF($B29="","",IF(AM$3=0,"n.b.",INDEX(SRC_Woningetalage!$A$1:$ZZ$501,$A29,AM$3)))</f>
        <v/>
      </c>
      <c r="AN29" s="124" t="str">
        <f>IF($B29="","",IF(AN$3=0,"n.b.",INDEX(SRC_Woningetalage!$A$1:$ZZ$501,$A29,AN$3)))</f>
        <v/>
      </c>
      <c r="AO29" s="124" t="str">
        <f>IF($B29="","",IF(AO$3=0,"n.b.",INDEX(SRC_Woningetalage!$A$1:$ZZ$501,$A29,AO$3)))</f>
        <v/>
      </c>
      <c r="AP29" s="124" t="str">
        <f>IF($B29="","",IF(AP$3=0,"n.b.",INDEX(SRC_Woningetalage!$A$1:$ZZ$501,$A29,AP$3)))</f>
        <v/>
      </c>
      <c r="AQ29" s="124" t="str">
        <f>IF($B29="","",IF(AQ$3=0,"n.b.",INDEX(SRC_Woningetalage!$A$1:$ZZ$501,$A29,AQ$3)))</f>
        <v/>
      </c>
      <c r="AR29" s="124" t="str">
        <f>IF($B29="","",IF(AR$3=0,"n.b.",INDEX(SRC_Woningetalage!$A$1:$ZZ$501,$A29,AR$3)))</f>
        <v/>
      </c>
      <c r="AS29" s="124" t="str">
        <f>IF($B29="","",IF(AS$3=0,"n.b.",INDEX(SRC_Woningetalage!$A$1:$ZZ$501,$A29,AS$3)))</f>
        <v/>
      </c>
      <c r="AT29" s="124" t="str">
        <f>IF($B29="","",IF(AT$3=0,"n.b.",INDEX(SRC_Woningetalage!$A$1:$ZZ$501,$A29,AT$3)))</f>
        <v/>
      </c>
      <c r="AU29" s="124" t="str">
        <f>IF($B29="","",IF(AU$3=0,"n.b.",INDEX(SRC_Woningetalage!$A$1:$ZZ$501,$A29,AU$3)))</f>
        <v/>
      </c>
      <c r="AV29" s="124" t="str">
        <f>IF($B29="","",IF(AV$3=0,"n.b.",INDEX(SRC_Woningetalage!$A$1:$ZZ$501,$A29,AV$3)))</f>
        <v/>
      </c>
      <c r="AW29" s="124" t="str">
        <f>IF($B29="","",IF(AW$3=0,"n.b.",INDEX(SRC_Woningetalage!$A$1:$ZZ$501,$A29,AW$3)))</f>
        <v/>
      </c>
      <c r="AX29" s="124" t="str">
        <f>IF($B29="","",IF(AX$3=0,"n.b.",INDEX(SRC_Woningetalage!$A$1:$ZZ$501,$A29,AX$3)))</f>
        <v/>
      </c>
      <c r="AY29" s="124" t="str">
        <f>IF($B29="","",IF(AY$3=0,"n.b.",INDEX(SRC_Woningetalage!$A$1:$ZZ$501,$A29,AY$3)))</f>
        <v/>
      </c>
      <c r="AZ29" s="124" t="str">
        <f>IF($B29="","",IF(AZ$3=0,"n.b.",INDEX(SRC_Woningetalage!$A$1:$ZZ$501,$A29,AZ$3)))</f>
        <v/>
      </c>
      <c r="BA29" s="124" t="str">
        <f>IF($B29="","",IF(BA$3=0,"n.b.",INDEX(SRC_Woningetalage!$A$1:$ZZ$501,$A29,BA$3)))</f>
        <v/>
      </c>
      <c r="BB29" s="124" t="str">
        <f>IF($B29="","",IF(BB$3=0,"n.b.",INDEX(SRC_Woningetalage!$A$1:$ZZ$501,$A29,BB$3)))</f>
        <v/>
      </c>
      <c r="BC29" s="124" t="str">
        <f>IF($B29="","",IFERROR(_xlfn.NUMBERVALUE(E29&amp;"",",","."),"n.b."))</f>
        <v/>
      </c>
      <c r="BD29" s="124" t="str">
        <f>IF($B29="","",IFERROR(_xlfn.NUMBERVALUE(M29&amp;"",",","."),"n.b."))</f>
        <v/>
      </c>
      <c r="BE29" s="124" t="str">
        <f>IF($B29="","",IFERROR(AB29+AC29+AD29,"n.b."))</f>
        <v/>
      </c>
      <c r="BF29" s="124" t="str">
        <f>IF($B29="","",IFERROR(AE29+AF29+AG29,"n.b."))</f>
        <v/>
      </c>
      <c r="BG29" s="124" t="str">
        <f>IF($B29="","",IFERROR(AH29+AI29+AJ29,"n.b."))</f>
        <v/>
      </c>
      <c r="BH29" s="124" t="str">
        <f>IF($B29="","",IFERROR(AK29+AL29+AM29,"n.b."))</f>
        <v/>
      </c>
      <c r="BI29" s="124" t="str">
        <f>IF($B29="","",IFERROR(SUMIF($AB$5:$AM$5,"&lt;="&amp;P_PeilMaand,AB29:AM29),"n.b."))</f>
        <v/>
      </c>
      <c r="BJ29" s="124" t="str">
        <f>IF($B29="","",IFERROR(SUM(AB29:AM29)-BI29,"n.b."))</f>
        <v/>
      </c>
      <c r="BK29" s="124" t="str">
        <f>IF($B29="","",IFERROR(IF(ABS(Q29-(T29+SUM(AB29:AM29)+AS29+AU29))&gt;P_Tol,1,0),1))</f>
        <v/>
      </c>
      <c r="BL29" s="124" t="str">
        <f>IF($B29="","",IFERROR(IF(ABS(AA29-(Q29-Z29))&gt;P_Tol,1,0),1))</f>
        <v/>
      </c>
      <c r="BM29" s="124" t="str">
        <f>IF($B29="","",IFERROR(IF(ABS(Z29-(T29+W29))&gt;P_Tol,1,0),1))</f>
        <v/>
      </c>
      <c r="BN29" s="124" t="str">
        <f>IF($B29="","",IFERROR(IF(ABS(W29-BI29)&gt;P_Tol,1,0),1))</f>
        <v/>
      </c>
      <c r="BO29" s="124" t="str">
        <f>IF($B29="","",IFERROR(IF(OR(ABS(R29+S29-T29)&gt;P_Tol,ABS(U29+V29-W29)&gt;P_Tol,ABS(X29+Y29-Z29)&gt;P_Tol),1,0),1))</f>
        <v/>
      </c>
      <c r="BP29" s="124" t="str">
        <f>IF($B29="","",IFERROR(IF(OR(ABS(AR29-SUM(AB29:AM29))&gt;P_Tol,ABS(AS29-(AN29+AO29+AP29+AQ29))&gt;P_Tol),1,0),1))</f>
        <v/>
      </c>
      <c r="BQ29" s="124" t="str">
        <f>IF($B29="","",IFERROR(IF(ABS(AT29)+ABS(AV29)+ABS(AW29)+ABS(AX29)+ABS(AY29)+ABS(AZ29)+ABS(BA29)+ABS(BB29)&gt;0,1,0),1))</f>
        <v/>
      </c>
      <c r="BR29" s="124" t="str">
        <f>IF($B29="","",COUNTIF(STG_ZPMW03!$B$6:$B$505,B29))</f>
        <v/>
      </c>
      <c r="BS29" s="124" t="str">
        <f>IF($B29="","",COUNTIF($B$6:$B$505,B29))</f>
        <v/>
      </c>
      <c r="BT29" s="124" t="str">
        <f>IF($B29="","",IF(BR29=0,0,IF(INDEX(STG_ZPMW03!$I$6:$I$505,MATCH(B29,STG_ZPMW03!$B$6:$B$505,0))=J29&amp;"",0,1)))</f>
        <v/>
      </c>
      <c r="BU29" s="124" t="str">
        <f>IF($B29="","",IFERROR(IF(ABS(INDEX(Mapping!$D$5:$D$104,MATCH(B29,Mapping!$A$5:$A$104,0))-Q29)&gt;P_Tol,1,0),0))</f>
        <v/>
      </c>
      <c r="BV29" s="124" t="str">
        <f>IF($B29="","",IFERROR(IF(AND(INDEX(Mapping!$G$5:$G$104,MATCH(B29,Mapping!$A$5:$A$104,0))="Nee",ABS(Q29)+ABS(Z29)+ABS(AR29)&gt;0),1,0),0))</f>
        <v/>
      </c>
      <c r="BW29" s="124" t="str">
        <f>IF($B29="","",IF(COUNTIF(Mapping!$A$5:$A$104,B29)&gt;0,1,0))</f>
        <v/>
      </c>
      <c r="BX29" s="124" t="str">
        <f>IF($B29="","",IF(BR29=0,COUNTIF($BR$6:BR29,0),""))</f>
        <v/>
      </c>
    </row>
    <row r="30">
      <c r="A30" s="15" t="n">
        <v>26</v>
      </c>
      <c r="B30" t="str">
        <f>IF(B$3=0,"",IF(INDEX(SRC_Woningetalage!$A$1:$ZZ$501,$A30,B$3)&amp;""="","",INDEX(SRC_Woningetalage!$A$1:$ZZ$501,$A30,B$3)&amp;""))</f>
        <v/>
      </c>
      <c r="C30" t="str">
        <f>IF($B30="","",IF(C$3=0,"n.b.",INDEX(SRC_Woningetalage!$A$1:$ZZ$501,$A30,C$3)))</f>
        <v/>
      </c>
      <c r="D30" t="str">
        <f>IF($B30="","",IF(D$3=0,"n.b.",INDEX(SRC_Woningetalage!$A$1:$ZZ$501,$A30,D$3)))</f>
        <v/>
      </c>
      <c r="E30" t="str">
        <f>IF($B30="","",IF(E$3=0,"n.b.",INDEX(SRC_Woningetalage!$A$1:$ZZ$501,$A30,E$3)))</f>
        <v/>
      </c>
      <c r="F30" t="str">
        <f>IF($B30="","",IF(F$3=0,"n.b.",INDEX(SRC_Woningetalage!$A$1:$ZZ$501,$A30,F$3)))</f>
        <v/>
      </c>
      <c r="G30" t="str">
        <f>IF($B30="","",IF(G$3=0,"n.b.",INDEX(SRC_Woningetalage!$A$1:$ZZ$501,$A30,G$3)))</f>
        <v/>
      </c>
      <c r="H30" t="str">
        <f>IF($B30="","",IF(H$3=0,"n.b.",INDEX(SRC_Woningetalage!$A$1:$ZZ$501,$A30,H$3)))</f>
        <v/>
      </c>
      <c r="I30" t="str">
        <f>IF($B30="","",IF(I$3=0,"n.b.",INDEX(SRC_Woningetalage!$A$1:$ZZ$501,$A30,I$3)))</f>
        <v/>
      </c>
      <c r="J30" t="str">
        <f>IF($B30="","",IF(J$3=0,"n.b.",INDEX(SRC_Woningetalage!$A$1:$ZZ$501,$A30,J$3)))</f>
        <v/>
      </c>
      <c r="K30" t="str">
        <f>IF($B30="","",IF(K$3=0,"n.b.",INDEX(SRC_Woningetalage!$A$1:$ZZ$501,$A30,K$3)))</f>
        <v/>
      </c>
      <c r="L30" t="str">
        <f>IF($B30="","",IF(L$3=0,"n.b.",INDEX(SRC_Woningetalage!$A$1:$ZZ$501,$A30,L$3)))</f>
        <v/>
      </c>
      <c r="M30" t="str">
        <f>IF($B30="","",IF(M$3=0,"n.b.",INDEX(SRC_Woningetalage!$A$1:$ZZ$501,$A30,M$3)))</f>
        <v/>
      </c>
      <c r="N30" t="str">
        <f>IF($B30="","",IF(N$3=0,"n.b.",INDEX(SRC_Woningetalage!$A$1:$ZZ$501,$A30,N$3)))</f>
        <v/>
      </c>
      <c r="O30" t="str">
        <f>IF($B30="","",IF(O$3=0,"n.b.",INDEX(SRC_Woningetalage!$A$1:$ZZ$501,$A30,O$3)))</f>
        <v/>
      </c>
      <c r="P30" t="str">
        <f>IF($B30="","",IF(P$3=0,"n.b.",INDEX(SRC_Woningetalage!$A$1:$ZZ$501,$A30,P$3)))</f>
        <v/>
      </c>
      <c r="Q30" s="124" t="str">
        <f>IF($B30="","",IF(Q$3=0,"n.b.",INDEX(SRC_Woningetalage!$A$1:$ZZ$501,$A30,Q$3)))</f>
        <v/>
      </c>
      <c r="R30" s="124" t="str">
        <f>IF($B30="","",IF(R$3=0,"n.b.",INDEX(SRC_Woningetalage!$A$1:$ZZ$501,$A30,R$3)))</f>
        <v/>
      </c>
      <c r="S30" s="124" t="str">
        <f>IF($B30="","",IF(S$3=0,"n.b.",INDEX(SRC_Woningetalage!$A$1:$ZZ$501,$A30,S$3)))</f>
        <v/>
      </c>
      <c r="T30" s="124" t="str">
        <f>IF($B30="","",IF(T$3=0,"n.b.",INDEX(SRC_Woningetalage!$A$1:$ZZ$501,$A30,T$3)))</f>
        <v/>
      </c>
      <c r="U30" s="124" t="str">
        <f>IF($B30="","",IF(U$3=0,"n.b.",INDEX(SRC_Woningetalage!$A$1:$ZZ$501,$A30,U$3)))</f>
        <v/>
      </c>
      <c r="V30" s="124" t="str">
        <f>IF($B30="","",IF(V$3=0,"n.b.",INDEX(SRC_Woningetalage!$A$1:$ZZ$501,$A30,V$3)))</f>
        <v/>
      </c>
      <c r="W30" s="124" t="str">
        <f>IF($B30="","",IF(W$3=0,"n.b.",INDEX(SRC_Woningetalage!$A$1:$ZZ$501,$A30,W$3)))</f>
        <v/>
      </c>
      <c r="X30" s="124" t="str">
        <f>IF($B30="","",IF(X$3=0,"n.b.",INDEX(SRC_Woningetalage!$A$1:$ZZ$501,$A30,X$3)))</f>
        <v/>
      </c>
      <c r="Y30" s="124" t="str">
        <f>IF($B30="","",IF(Y$3=0,"n.b.",INDEX(SRC_Woningetalage!$A$1:$ZZ$501,$A30,Y$3)))</f>
        <v/>
      </c>
      <c r="Z30" s="124" t="str">
        <f>IF($B30="","",IF(Z$3=0,"n.b.",INDEX(SRC_Woningetalage!$A$1:$ZZ$501,$A30,Z$3)))</f>
        <v/>
      </c>
      <c r="AA30" s="124" t="str">
        <f>IF($B30="","",IF(AA$3=0,"n.b.",INDEX(SRC_Woningetalage!$A$1:$ZZ$501,$A30,AA$3)))</f>
        <v/>
      </c>
      <c r="AB30" s="124" t="str">
        <f>IF($B30="","",IF(AB$3=0,"n.b.",INDEX(SRC_Woningetalage!$A$1:$ZZ$501,$A30,AB$3)))</f>
        <v/>
      </c>
      <c r="AC30" s="124" t="str">
        <f>IF($B30="","",IF(AC$3=0,"n.b.",INDEX(SRC_Woningetalage!$A$1:$ZZ$501,$A30,AC$3)))</f>
        <v/>
      </c>
      <c r="AD30" s="124" t="str">
        <f>IF($B30="","",IF(AD$3=0,"n.b.",INDEX(SRC_Woningetalage!$A$1:$ZZ$501,$A30,AD$3)))</f>
        <v/>
      </c>
      <c r="AE30" s="124" t="str">
        <f>IF($B30="","",IF(AE$3=0,"n.b.",INDEX(SRC_Woningetalage!$A$1:$ZZ$501,$A30,AE$3)))</f>
        <v/>
      </c>
      <c r="AF30" s="124" t="str">
        <f>IF($B30="","",IF(AF$3=0,"n.b.",INDEX(SRC_Woningetalage!$A$1:$ZZ$501,$A30,AF$3)))</f>
        <v/>
      </c>
      <c r="AG30" s="124" t="str">
        <f>IF($B30="","",IF(AG$3=0,"n.b.",INDEX(SRC_Woningetalage!$A$1:$ZZ$501,$A30,AG$3)))</f>
        <v/>
      </c>
      <c r="AH30" s="124" t="str">
        <f>IF($B30="","",IF(AH$3=0,"n.b.",INDEX(SRC_Woningetalage!$A$1:$ZZ$501,$A30,AH$3)))</f>
        <v/>
      </c>
      <c r="AI30" s="124" t="str">
        <f>IF($B30="","",IF(AI$3=0,"n.b.",INDEX(SRC_Woningetalage!$A$1:$ZZ$501,$A30,AI$3)))</f>
        <v/>
      </c>
      <c r="AJ30" s="124" t="str">
        <f>IF($B30="","",IF(AJ$3=0,"n.b.",INDEX(SRC_Woningetalage!$A$1:$ZZ$501,$A30,AJ$3)))</f>
        <v/>
      </c>
      <c r="AK30" s="124" t="str">
        <f>IF($B30="","",IF(AK$3=0,"n.b.",INDEX(SRC_Woningetalage!$A$1:$ZZ$501,$A30,AK$3)))</f>
        <v/>
      </c>
      <c r="AL30" s="124" t="str">
        <f>IF($B30="","",IF(AL$3=0,"n.b.",INDEX(SRC_Woningetalage!$A$1:$ZZ$501,$A30,AL$3)))</f>
        <v/>
      </c>
      <c r="AM30" s="124" t="str">
        <f>IF($B30="","",IF(AM$3=0,"n.b.",INDEX(SRC_Woningetalage!$A$1:$ZZ$501,$A30,AM$3)))</f>
        <v/>
      </c>
      <c r="AN30" s="124" t="str">
        <f>IF($B30="","",IF(AN$3=0,"n.b.",INDEX(SRC_Woningetalage!$A$1:$ZZ$501,$A30,AN$3)))</f>
        <v/>
      </c>
      <c r="AO30" s="124" t="str">
        <f>IF($B30="","",IF(AO$3=0,"n.b.",INDEX(SRC_Woningetalage!$A$1:$ZZ$501,$A30,AO$3)))</f>
        <v/>
      </c>
      <c r="AP30" s="124" t="str">
        <f>IF($B30="","",IF(AP$3=0,"n.b.",INDEX(SRC_Woningetalage!$A$1:$ZZ$501,$A30,AP$3)))</f>
        <v/>
      </c>
      <c r="AQ30" s="124" t="str">
        <f>IF($B30="","",IF(AQ$3=0,"n.b.",INDEX(SRC_Woningetalage!$A$1:$ZZ$501,$A30,AQ$3)))</f>
        <v/>
      </c>
      <c r="AR30" s="124" t="str">
        <f>IF($B30="","",IF(AR$3=0,"n.b.",INDEX(SRC_Woningetalage!$A$1:$ZZ$501,$A30,AR$3)))</f>
        <v/>
      </c>
      <c r="AS30" s="124" t="str">
        <f>IF($B30="","",IF(AS$3=0,"n.b.",INDEX(SRC_Woningetalage!$A$1:$ZZ$501,$A30,AS$3)))</f>
        <v/>
      </c>
      <c r="AT30" s="124" t="str">
        <f>IF($B30="","",IF(AT$3=0,"n.b.",INDEX(SRC_Woningetalage!$A$1:$ZZ$501,$A30,AT$3)))</f>
        <v/>
      </c>
      <c r="AU30" s="124" t="str">
        <f>IF($B30="","",IF(AU$3=0,"n.b.",INDEX(SRC_Woningetalage!$A$1:$ZZ$501,$A30,AU$3)))</f>
        <v/>
      </c>
      <c r="AV30" s="124" t="str">
        <f>IF($B30="","",IF(AV$3=0,"n.b.",INDEX(SRC_Woningetalage!$A$1:$ZZ$501,$A30,AV$3)))</f>
        <v/>
      </c>
      <c r="AW30" s="124" t="str">
        <f>IF($B30="","",IF(AW$3=0,"n.b.",INDEX(SRC_Woningetalage!$A$1:$ZZ$501,$A30,AW$3)))</f>
        <v/>
      </c>
      <c r="AX30" s="124" t="str">
        <f>IF($B30="","",IF(AX$3=0,"n.b.",INDEX(SRC_Woningetalage!$A$1:$ZZ$501,$A30,AX$3)))</f>
        <v/>
      </c>
      <c r="AY30" s="124" t="str">
        <f>IF($B30="","",IF(AY$3=0,"n.b.",INDEX(SRC_Woningetalage!$A$1:$ZZ$501,$A30,AY$3)))</f>
        <v/>
      </c>
      <c r="AZ30" s="124" t="str">
        <f>IF($B30="","",IF(AZ$3=0,"n.b.",INDEX(SRC_Woningetalage!$A$1:$ZZ$501,$A30,AZ$3)))</f>
        <v/>
      </c>
      <c r="BA30" s="124" t="str">
        <f>IF($B30="","",IF(BA$3=0,"n.b.",INDEX(SRC_Woningetalage!$A$1:$ZZ$501,$A30,BA$3)))</f>
        <v/>
      </c>
      <c r="BB30" s="124" t="str">
        <f>IF($B30="","",IF(BB$3=0,"n.b.",INDEX(SRC_Woningetalage!$A$1:$ZZ$501,$A30,BB$3)))</f>
        <v/>
      </c>
      <c r="BC30" s="124" t="str">
        <f>IF($B30="","",IFERROR(_xlfn.NUMBERVALUE(E30&amp;"",",","."),"n.b."))</f>
        <v/>
      </c>
      <c r="BD30" s="124" t="str">
        <f>IF($B30="","",IFERROR(_xlfn.NUMBERVALUE(M30&amp;"",",","."),"n.b."))</f>
        <v/>
      </c>
      <c r="BE30" s="124" t="str">
        <f>IF($B30="","",IFERROR(AB30+AC30+AD30,"n.b."))</f>
        <v/>
      </c>
      <c r="BF30" s="124" t="str">
        <f>IF($B30="","",IFERROR(AE30+AF30+AG30,"n.b."))</f>
        <v/>
      </c>
      <c r="BG30" s="124" t="str">
        <f>IF($B30="","",IFERROR(AH30+AI30+AJ30,"n.b."))</f>
        <v/>
      </c>
      <c r="BH30" s="124" t="str">
        <f>IF($B30="","",IFERROR(AK30+AL30+AM30,"n.b."))</f>
        <v/>
      </c>
      <c r="BI30" s="124" t="str">
        <f>IF($B30="","",IFERROR(SUMIF($AB$5:$AM$5,"&lt;="&amp;P_PeilMaand,AB30:AM30),"n.b."))</f>
        <v/>
      </c>
      <c r="BJ30" s="124" t="str">
        <f>IF($B30="","",IFERROR(SUM(AB30:AM30)-BI30,"n.b."))</f>
        <v/>
      </c>
      <c r="BK30" s="124" t="str">
        <f>IF($B30="","",IFERROR(IF(ABS(Q30-(T30+SUM(AB30:AM30)+AS30+AU30))&gt;P_Tol,1,0),1))</f>
        <v/>
      </c>
      <c r="BL30" s="124" t="str">
        <f>IF($B30="","",IFERROR(IF(ABS(AA30-(Q30-Z30))&gt;P_Tol,1,0),1))</f>
        <v/>
      </c>
      <c r="BM30" s="124" t="str">
        <f>IF($B30="","",IFERROR(IF(ABS(Z30-(T30+W30))&gt;P_Tol,1,0),1))</f>
        <v/>
      </c>
      <c r="BN30" s="124" t="str">
        <f>IF($B30="","",IFERROR(IF(ABS(W30-BI30)&gt;P_Tol,1,0),1))</f>
        <v/>
      </c>
      <c r="BO30" s="124" t="str">
        <f>IF($B30="","",IFERROR(IF(OR(ABS(R30+S30-T30)&gt;P_Tol,ABS(U30+V30-W30)&gt;P_Tol,ABS(X30+Y30-Z30)&gt;P_Tol),1,0),1))</f>
        <v/>
      </c>
      <c r="BP30" s="124" t="str">
        <f>IF($B30="","",IFERROR(IF(OR(ABS(AR30-SUM(AB30:AM30))&gt;P_Tol,ABS(AS30-(AN30+AO30+AP30+AQ30))&gt;P_Tol),1,0),1))</f>
        <v/>
      </c>
      <c r="BQ30" s="124" t="str">
        <f>IF($B30="","",IFERROR(IF(ABS(AT30)+ABS(AV30)+ABS(AW30)+ABS(AX30)+ABS(AY30)+ABS(AZ30)+ABS(BA30)+ABS(BB30)&gt;0,1,0),1))</f>
        <v/>
      </c>
      <c r="BR30" s="124" t="str">
        <f>IF($B30="","",COUNTIF(STG_ZPMW03!$B$6:$B$505,B30))</f>
        <v/>
      </c>
      <c r="BS30" s="124" t="str">
        <f>IF($B30="","",COUNTIF($B$6:$B$505,B30))</f>
        <v/>
      </c>
      <c r="BT30" s="124" t="str">
        <f>IF($B30="","",IF(BR30=0,0,IF(INDEX(STG_ZPMW03!$I$6:$I$505,MATCH(B30,STG_ZPMW03!$B$6:$B$505,0))=J30&amp;"",0,1)))</f>
        <v/>
      </c>
      <c r="BU30" s="124" t="str">
        <f>IF($B30="","",IFERROR(IF(ABS(INDEX(Mapping!$D$5:$D$104,MATCH(B30,Mapping!$A$5:$A$104,0))-Q30)&gt;P_Tol,1,0),0))</f>
        <v/>
      </c>
      <c r="BV30" s="124" t="str">
        <f>IF($B30="","",IFERROR(IF(AND(INDEX(Mapping!$G$5:$G$104,MATCH(B30,Mapping!$A$5:$A$104,0))="Nee",ABS(Q30)+ABS(Z30)+ABS(AR30)&gt;0),1,0),0))</f>
        <v/>
      </c>
      <c r="BW30" s="124" t="str">
        <f>IF($B30="","",IF(COUNTIF(Mapping!$A$5:$A$104,B30)&gt;0,1,0))</f>
        <v/>
      </c>
      <c r="BX30" s="124" t="str">
        <f>IF($B30="","",IF(BR30=0,COUNTIF($BR$6:BR30,0),""))</f>
        <v/>
      </c>
    </row>
    <row r="31">
      <c r="A31" s="15" t="n">
        <v>27</v>
      </c>
      <c r="B31" t="str">
        <f>IF(B$3=0,"",IF(INDEX(SRC_Woningetalage!$A$1:$ZZ$501,$A31,B$3)&amp;""="","",INDEX(SRC_Woningetalage!$A$1:$ZZ$501,$A31,B$3)&amp;""))</f>
        <v/>
      </c>
      <c r="C31" t="str">
        <f>IF($B31="","",IF(C$3=0,"n.b.",INDEX(SRC_Woningetalage!$A$1:$ZZ$501,$A31,C$3)))</f>
        <v/>
      </c>
      <c r="D31" t="str">
        <f>IF($B31="","",IF(D$3=0,"n.b.",INDEX(SRC_Woningetalage!$A$1:$ZZ$501,$A31,D$3)))</f>
        <v/>
      </c>
      <c r="E31" t="str">
        <f>IF($B31="","",IF(E$3=0,"n.b.",INDEX(SRC_Woningetalage!$A$1:$ZZ$501,$A31,E$3)))</f>
        <v/>
      </c>
      <c r="F31" t="str">
        <f>IF($B31="","",IF(F$3=0,"n.b.",INDEX(SRC_Woningetalage!$A$1:$ZZ$501,$A31,F$3)))</f>
        <v/>
      </c>
      <c r="G31" t="str">
        <f>IF($B31="","",IF(G$3=0,"n.b.",INDEX(SRC_Woningetalage!$A$1:$ZZ$501,$A31,G$3)))</f>
        <v/>
      </c>
      <c r="H31" t="str">
        <f>IF($B31="","",IF(H$3=0,"n.b.",INDEX(SRC_Woningetalage!$A$1:$ZZ$501,$A31,H$3)))</f>
        <v/>
      </c>
      <c r="I31" t="str">
        <f>IF($B31="","",IF(I$3=0,"n.b.",INDEX(SRC_Woningetalage!$A$1:$ZZ$501,$A31,I$3)))</f>
        <v/>
      </c>
      <c r="J31" t="str">
        <f>IF($B31="","",IF(J$3=0,"n.b.",INDEX(SRC_Woningetalage!$A$1:$ZZ$501,$A31,J$3)))</f>
        <v/>
      </c>
      <c r="K31" t="str">
        <f>IF($B31="","",IF(K$3=0,"n.b.",INDEX(SRC_Woningetalage!$A$1:$ZZ$501,$A31,K$3)))</f>
        <v/>
      </c>
      <c r="L31" t="str">
        <f>IF($B31="","",IF(L$3=0,"n.b.",INDEX(SRC_Woningetalage!$A$1:$ZZ$501,$A31,L$3)))</f>
        <v/>
      </c>
      <c r="M31" t="str">
        <f>IF($B31="","",IF(M$3=0,"n.b.",INDEX(SRC_Woningetalage!$A$1:$ZZ$501,$A31,M$3)))</f>
        <v/>
      </c>
      <c r="N31" t="str">
        <f>IF($B31="","",IF(N$3=0,"n.b.",INDEX(SRC_Woningetalage!$A$1:$ZZ$501,$A31,N$3)))</f>
        <v/>
      </c>
      <c r="O31" t="str">
        <f>IF($B31="","",IF(O$3=0,"n.b.",INDEX(SRC_Woningetalage!$A$1:$ZZ$501,$A31,O$3)))</f>
        <v/>
      </c>
      <c r="P31" t="str">
        <f>IF($B31="","",IF(P$3=0,"n.b.",INDEX(SRC_Woningetalage!$A$1:$ZZ$501,$A31,P$3)))</f>
        <v/>
      </c>
      <c r="Q31" s="124" t="str">
        <f>IF($B31="","",IF(Q$3=0,"n.b.",INDEX(SRC_Woningetalage!$A$1:$ZZ$501,$A31,Q$3)))</f>
        <v/>
      </c>
      <c r="R31" s="124" t="str">
        <f>IF($B31="","",IF(R$3=0,"n.b.",INDEX(SRC_Woningetalage!$A$1:$ZZ$501,$A31,R$3)))</f>
        <v/>
      </c>
      <c r="S31" s="124" t="str">
        <f>IF($B31="","",IF(S$3=0,"n.b.",INDEX(SRC_Woningetalage!$A$1:$ZZ$501,$A31,S$3)))</f>
        <v/>
      </c>
      <c r="T31" s="124" t="str">
        <f>IF($B31="","",IF(T$3=0,"n.b.",INDEX(SRC_Woningetalage!$A$1:$ZZ$501,$A31,T$3)))</f>
        <v/>
      </c>
      <c r="U31" s="124" t="str">
        <f>IF($B31="","",IF(U$3=0,"n.b.",INDEX(SRC_Woningetalage!$A$1:$ZZ$501,$A31,U$3)))</f>
        <v/>
      </c>
      <c r="V31" s="124" t="str">
        <f>IF($B31="","",IF(V$3=0,"n.b.",INDEX(SRC_Woningetalage!$A$1:$ZZ$501,$A31,V$3)))</f>
        <v/>
      </c>
      <c r="W31" s="124" t="str">
        <f>IF($B31="","",IF(W$3=0,"n.b.",INDEX(SRC_Woningetalage!$A$1:$ZZ$501,$A31,W$3)))</f>
        <v/>
      </c>
      <c r="X31" s="124" t="str">
        <f>IF($B31="","",IF(X$3=0,"n.b.",INDEX(SRC_Woningetalage!$A$1:$ZZ$501,$A31,X$3)))</f>
        <v/>
      </c>
      <c r="Y31" s="124" t="str">
        <f>IF($B31="","",IF(Y$3=0,"n.b.",INDEX(SRC_Woningetalage!$A$1:$ZZ$501,$A31,Y$3)))</f>
        <v/>
      </c>
      <c r="Z31" s="124" t="str">
        <f>IF($B31="","",IF(Z$3=0,"n.b.",INDEX(SRC_Woningetalage!$A$1:$ZZ$501,$A31,Z$3)))</f>
        <v/>
      </c>
      <c r="AA31" s="124" t="str">
        <f>IF($B31="","",IF(AA$3=0,"n.b.",INDEX(SRC_Woningetalage!$A$1:$ZZ$501,$A31,AA$3)))</f>
        <v/>
      </c>
      <c r="AB31" s="124" t="str">
        <f>IF($B31="","",IF(AB$3=0,"n.b.",INDEX(SRC_Woningetalage!$A$1:$ZZ$501,$A31,AB$3)))</f>
        <v/>
      </c>
      <c r="AC31" s="124" t="str">
        <f>IF($B31="","",IF(AC$3=0,"n.b.",INDEX(SRC_Woningetalage!$A$1:$ZZ$501,$A31,AC$3)))</f>
        <v/>
      </c>
      <c r="AD31" s="124" t="str">
        <f>IF($B31="","",IF(AD$3=0,"n.b.",INDEX(SRC_Woningetalage!$A$1:$ZZ$501,$A31,AD$3)))</f>
        <v/>
      </c>
      <c r="AE31" s="124" t="str">
        <f>IF($B31="","",IF(AE$3=0,"n.b.",INDEX(SRC_Woningetalage!$A$1:$ZZ$501,$A31,AE$3)))</f>
        <v/>
      </c>
      <c r="AF31" s="124" t="str">
        <f>IF($B31="","",IF(AF$3=0,"n.b.",INDEX(SRC_Woningetalage!$A$1:$ZZ$501,$A31,AF$3)))</f>
        <v/>
      </c>
      <c r="AG31" s="124" t="str">
        <f>IF($B31="","",IF(AG$3=0,"n.b.",INDEX(SRC_Woningetalage!$A$1:$ZZ$501,$A31,AG$3)))</f>
        <v/>
      </c>
      <c r="AH31" s="124" t="str">
        <f>IF($B31="","",IF(AH$3=0,"n.b.",INDEX(SRC_Woningetalage!$A$1:$ZZ$501,$A31,AH$3)))</f>
        <v/>
      </c>
      <c r="AI31" s="124" t="str">
        <f>IF($B31="","",IF(AI$3=0,"n.b.",INDEX(SRC_Woningetalage!$A$1:$ZZ$501,$A31,AI$3)))</f>
        <v/>
      </c>
      <c r="AJ31" s="124" t="str">
        <f>IF($B31="","",IF(AJ$3=0,"n.b.",INDEX(SRC_Woningetalage!$A$1:$ZZ$501,$A31,AJ$3)))</f>
        <v/>
      </c>
      <c r="AK31" s="124" t="str">
        <f>IF($B31="","",IF(AK$3=0,"n.b.",INDEX(SRC_Woningetalage!$A$1:$ZZ$501,$A31,AK$3)))</f>
        <v/>
      </c>
      <c r="AL31" s="124" t="str">
        <f>IF($B31="","",IF(AL$3=0,"n.b.",INDEX(SRC_Woningetalage!$A$1:$ZZ$501,$A31,AL$3)))</f>
        <v/>
      </c>
      <c r="AM31" s="124" t="str">
        <f>IF($B31="","",IF(AM$3=0,"n.b.",INDEX(SRC_Woningetalage!$A$1:$ZZ$501,$A31,AM$3)))</f>
        <v/>
      </c>
      <c r="AN31" s="124" t="str">
        <f>IF($B31="","",IF(AN$3=0,"n.b.",INDEX(SRC_Woningetalage!$A$1:$ZZ$501,$A31,AN$3)))</f>
        <v/>
      </c>
      <c r="AO31" s="124" t="str">
        <f>IF($B31="","",IF(AO$3=0,"n.b.",INDEX(SRC_Woningetalage!$A$1:$ZZ$501,$A31,AO$3)))</f>
        <v/>
      </c>
      <c r="AP31" s="124" t="str">
        <f>IF($B31="","",IF(AP$3=0,"n.b.",INDEX(SRC_Woningetalage!$A$1:$ZZ$501,$A31,AP$3)))</f>
        <v/>
      </c>
      <c r="AQ31" s="124" t="str">
        <f>IF($B31="","",IF(AQ$3=0,"n.b.",INDEX(SRC_Woningetalage!$A$1:$ZZ$501,$A31,AQ$3)))</f>
        <v/>
      </c>
      <c r="AR31" s="124" t="str">
        <f>IF($B31="","",IF(AR$3=0,"n.b.",INDEX(SRC_Woningetalage!$A$1:$ZZ$501,$A31,AR$3)))</f>
        <v/>
      </c>
      <c r="AS31" s="124" t="str">
        <f>IF($B31="","",IF(AS$3=0,"n.b.",INDEX(SRC_Woningetalage!$A$1:$ZZ$501,$A31,AS$3)))</f>
        <v/>
      </c>
      <c r="AT31" s="124" t="str">
        <f>IF($B31="","",IF(AT$3=0,"n.b.",INDEX(SRC_Woningetalage!$A$1:$ZZ$501,$A31,AT$3)))</f>
        <v/>
      </c>
      <c r="AU31" s="124" t="str">
        <f>IF($B31="","",IF(AU$3=0,"n.b.",INDEX(SRC_Woningetalage!$A$1:$ZZ$501,$A31,AU$3)))</f>
        <v/>
      </c>
      <c r="AV31" s="124" t="str">
        <f>IF($B31="","",IF(AV$3=0,"n.b.",INDEX(SRC_Woningetalage!$A$1:$ZZ$501,$A31,AV$3)))</f>
        <v/>
      </c>
      <c r="AW31" s="124" t="str">
        <f>IF($B31="","",IF(AW$3=0,"n.b.",INDEX(SRC_Woningetalage!$A$1:$ZZ$501,$A31,AW$3)))</f>
        <v/>
      </c>
      <c r="AX31" s="124" t="str">
        <f>IF($B31="","",IF(AX$3=0,"n.b.",INDEX(SRC_Woningetalage!$A$1:$ZZ$501,$A31,AX$3)))</f>
        <v/>
      </c>
      <c r="AY31" s="124" t="str">
        <f>IF($B31="","",IF(AY$3=0,"n.b.",INDEX(SRC_Woningetalage!$A$1:$ZZ$501,$A31,AY$3)))</f>
        <v/>
      </c>
      <c r="AZ31" s="124" t="str">
        <f>IF($B31="","",IF(AZ$3=0,"n.b.",INDEX(SRC_Woningetalage!$A$1:$ZZ$501,$A31,AZ$3)))</f>
        <v/>
      </c>
      <c r="BA31" s="124" t="str">
        <f>IF($B31="","",IF(BA$3=0,"n.b.",INDEX(SRC_Woningetalage!$A$1:$ZZ$501,$A31,BA$3)))</f>
        <v/>
      </c>
      <c r="BB31" s="124" t="str">
        <f>IF($B31="","",IF(BB$3=0,"n.b.",INDEX(SRC_Woningetalage!$A$1:$ZZ$501,$A31,BB$3)))</f>
        <v/>
      </c>
      <c r="BC31" s="124" t="str">
        <f>IF($B31="","",IFERROR(_xlfn.NUMBERVALUE(E31&amp;"",",","."),"n.b."))</f>
        <v/>
      </c>
      <c r="BD31" s="124" t="str">
        <f>IF($B31="","",IFERROR(_xlfn.NUMBERVALUE(M31&amp;"",",","."),"n.b."))</f>
        <v/>
      </c>
      <c r="BE31" s="124" t="str">
        <f>IF($B31="","",IFERROR(AB31+AC31+AD31,"n.b."))</f>
        <v/>
      </c>
      <c r="BF31" s="124" t="str">
        <f>IF($B31="","",IFERROR(AE31+AF31+AG31,"n.b."))</f>
        <v/>
      </c>
      <c r="BG31" s="124" t="str">
        <f>IF($B31="","",IFERROR(AH31+AI31+AJ31,"n.b."))</f>
        <v/>
      </c>
      <c r="BH31" s="124" t="str">
        <f>IF($B31="","",IFERROR(AK31+AL31+AM31,"n.b."))</f>
        <v/>
      </c>
      <c r="BI31" s="124" t="str">
        <f>IF($B31="","",IFERROR(SUMIF($AB$5:$AM$5,"&lt;="&amp;P_PeilMaand,AB31:AM31),"n.b."))</f>
        <v/>
      </c>
      <c r="BJ31" s="124" t="str">
        <f>IF($B31="","",IFERROR(SUM(AB31:AM31)-BI31,"n.b."))</f>
        <v/>
      </c>
      <c r="BK31" s="124" t="str">
        <f>IF($B31="","",IFERROR(IF(ABS(Q31-(T31+SUM(AB31:AM31)+AS31+AU31))&gt;P_Tol,1,0),1))</f>
        <v/>
      </c>
      <c r="BL31" s="124" t="str">
        <f>IF($B31="","",IFERROR(IF(ABS(AA31-(Q31-Z31))&gt;P_Tol,1,0),1))</f>
        <v/>
      </c>
      <c r="BM31" s="124" t="str">
        <f>IF($B31="","",IFERROR(IF(ABS(Z31-(T31+W31))&gt;P_Tol,1,0),1))</f>
        <v/>
      </c>
      <c r="BN31" s="124" t="str">
        <f>IF($B31="","",IFERROR(IF(ABS(W31-BI31)&gt;P_Tol,1,0),1))</f>
        <v/>
      </c>
      <c r="BO31" s="124" t="str">
        <f>IF($B31="","",IFERROR(IF(OR(ABS(R31+S31-T31)&gt;P_Tol,ABS(U31+V31-W31)&gt;P_Tol,ABS(X31+Y31-Z31)&gt;P_Tol),1,0),1))</f>
        <v/>
      </c>
      <c r="BP31" s="124" t="str">
        <f>IF($B31="","",IFERROR(IF(OR(ABS(AR31-SUM(AB31:AM31))&gt;P_Tol,ABS(AS31-(AN31+AO31+AP31+AQ31))&gt;P_Tol),1,0),1))</f>
        <v/>
      </c>
      <c r="BQ31" s="124" t="str">
        <f>IF($B31="","",IFERROR(IF(ABS(AT31)+ABS(AV31)+ABS(AW31)+ABS(AX31)+ABS(AY31)+ABS(AZ31)+ABS(BA31)+ABS(BB31)&gt;0,1,0),1))</f>
        <v/>
      </c>
      <c r="BR31" s="124" t="str">
        <f>IF($B31="","",COUNTIF(STG_ZPMW03!$B$6:$B$505,B31))</f>
        <v/>
      </c>
      <c r="BS31" s="124" t="str">
        <f>IF($B31="","",COUNTIF($B$6:$B$505,B31))</f>
        <v/>
      </c>
      <c r="BT31" s="124" t="str">
        <f>IF($B31="","",IF(BR31=0,0,IF(INDEX(STG_ZPMW03!$I$6:$I$505,MATCH(B31,STG_ZPMW03!$B$6:$B$505,0))=J31&amp;"",0,1)))</f>
        <v/>
      </c>
      <c r="BU31" s="124" t="str">
        <f>IF($B31="","",IFERROR(IF(ABS(INDEX(Mapping!$D$5:$D$104,MATCH(B31,Mapping!$A$5:$A$104,0))-Q31)&gt;P_Tol,1,0),0))</f>
        <v/>
      </c>
      <c r="BV31" s="124" t="str">
        <f>IF($B31="","",IFERROR(IF(AND(INDEX(Mapping!$G$5:$G$104,MATCH(B31,Mapping!$A$5:$A$104,0))="Nee",ABS(Q31)+ABS(Z31)+ABS(AR31)&gt;0),1,0),0))</f>
        <v/>
      </c>
      <c r="BW31" s="124" t="str">
        <f>IF($B31="","",IF(COUNTIF(Mapping!$A$5:$A$104,B31)&gt;0,1,0))</f>
        <v/>
      </c>
      <c r="BX31" s="124" t="str">
        <f>IF($B31="","",IF(BR31=0,COUNTIF($BR$6:BR31,0),""))</f>
        <v/>
      </c>
    </row>
    <row r="32">
      <c r="A32" s="15" t="n">
        <v>28</v>
      </c>
      <c r="B32" t="str">
        <f>IF(B$3=0,"",IF(INDEX(SRC_Woningetalage!$A$1:$ZZ$501,$A32,B$3)&amp;""="","",INDEX(SRC_Woningetalage!$A$1:$ZZ$501,$A32,B$3)&amp;""))</f>
        <v/>
      </c>
      <c r="C32" t="str">
        <f>IF($B32="","",IF(C$3=0,"n.b.",INDEX(SRC_Woningetalage!$A$1:$ZZ$501,$A32,C$3)))</f>
        <v/>
      </c>
      <c r="D32" t="str">
        <f>IF($B32="","",IF(D$3=0,"n.b.",INDEX(SRC_Woningetalage!$A$1:$ZZ$501,$A32,D$3)))</f>
        <v/>
      </c>
      <c r="E32" t="str">
        <f>IF($B32="","",IF(E$3=0,"n.b.",INDEX(SRC_Woningetalage!$A$1:$ZZ$501,$A32,E$3)))</f>
        <v/>
      </c>
      <c r="F32" t="str">
        <f>IF($B32="","",IF(F$3=0,"n.b.",INDEX(SRC_Woningetalage!$A$1:$ZZ$501,$A32,F$3)))</f>
        <v/>
      </c>
      <c r="G32" t="str">
        <f>IF($B32="","",IF(G$3=0,"n.b.",INDEX(SRC_Woningetalage!$A$1:$ZZ$501,$A32,G$3)))</f>
        <v/>
      </c>
      <c r="H32" t="str">
        <f>IF($B32="","",IF(H$3=0,"n.b.",INDEX(SRC_Woningetalage!$A$1:$ZZ$501,$A32,H$3)))</f>
        <v/>
      </c>
      <c r="I32" t="str">
        <f>IF($B32="","",IF(I$3=0,"n.b.",INDEX(SRC_Woningetalage!$A$1:$ZZ$501,$A32,I$3)))</f>
        <v/>
      </c>
      <c r="J32" t="str">
        <f>IF($B32="","",IF(J$3=0,"n.b.",INDEX(SRC_Woningetalage!$A$1:$ZZ$501,$A32,J$3)))</f>
        <v/>
      </c>
      <c r="K32" t="str">
        <f>IF($B32="","",IF(K$3=0,"n.b.",INDEX(SRC_Woningetalage!$A$1:$ZZ$501,$A32,K$3)))</f>
        <v/>
      </c>
      <c r="L32" t="str">
        <f>IF($B32="","",IF(L$3=0,"n.b.",INDEX(SRC_Woningetalage!$A$1:$ZZ$501,$A32,L$3)))</f>
        <v/>
      </c>
      <c r="M32" t="str">
        <f>IF($B32="","",IF(M$3=0,"n.b.",INDEX(SRC_Woningetalage!$A$1:$ZZ$501,$A32,M$3)))</f>
        <v/>
      </c>
      <c r="N32" t="str">
        <f>IF($B32="","",IF(N$3=0,"n.b.",INDEX(SRC_Woningetalage!$A$1:$ZZ$501,$A32,N$3)))</f>
        <v/>
      </c>
      <c r="O32" t="str">
        <f>IF($B32="","",IF(O$3=0,"n.b.",INDEX(SRC_Woningetalage!$A$1:$ZZ$501,$A32,O$3)))</f>
        <v/>
      </c>
      <c r="P32" t="str">
        <f>IF($B32="","",IF(P$3=0,"n.b.",INDEX(SRC_Woningetalage!$A$1:$ZZ$501,$A32,P$3)))</f>
        <v/>
      </c>
      <c r="Q32" s="124" t="str">
        <f>IF($B32="","",IF(Q$3=0,"n.b.",INDEX(SRC_Woningetalage!$A$1:$ZZ$501,$A32,Q$3)))</f>
        <v/>
      </c>
      <c r="R32" s="124" t="str">
        <f>IF($B32="","",IF(R$3=0,"n.b.",INDEX(SRC_Woningetalage!$A$1:$ZZ$501,$A32,R$3)))</f>
        <v/>
      </c>
      <c r="S32" s="124" t="str">
        <f>IF($B32="","",IF(S$3=0,"n.b.",INDEX(SRC_Woningetalage!$A$1:$ZZ$501,$A32,S$3)))</f>
        <v/>
      </c>
      <c r="T32" s="124" t="str">
        <f>IF($B32="","",IF(T$3=0,"n.b.",INDEX(SRC_Woningetalage!$A$1:$ZZ$501,$A32,T$3)))</f>
        <v/>
      </c>
      <c r="U32" s="124" t="str">
        <f>IF($B32="","",IF(U$3=0,"n.b.",INDEX(SRC_Woningetalage!$A$1:$ZZ$501,$A32,U$3)))</f>
        <v/>
      </c>
      <c r="V32" s="124" t="str">
        <f>IF($B32="","",IF(V$3=0,"n.b.",INDEX(SRC_Woningetalage!$A$1:$ZZ$501,$A32,V$3)))</f>
        <v/>
      </c>
      <c r="W32" s="124" t="str">
        <f>IF($B32="","",IF(W$3=0,"n.b.",INDEX(SRC_Woningetalage!$A$1:$ZZ$501,$A32,W$3)))</f>
        <v/>
      </c>
      <c r="X32" s="124" t="str">
        <f>IF($B32="","",IF(X$3=0,"n.b.",INDEX(SRC_Woningetalage!$A$1:$ZZ$501,$A32,X$3)))</f>
        <v/>
      </c>
      <c r="Y32" s="124" t="str">
        <f>IF($B32="","",IF(Y$3=0,"n.b.",INDEX(SRC_Woningetalage!$A$1:$ZZ$501,$A32,Y$3)))</f>
        <v/>
      </c>
      <c r="Z32" s="124" t="str">
        <f>IF($B32="","",IF(Z$3=0,"n.b.",INDEX(SRC_Woningetalage!$A$1:$ZZ$501,$A32,Z$3)))</f>
        <v/>
      </c>
      <c r="AA32" s="124" t="str">
        <f>IF($B32="","",IF(AA$3=0,"n.b.",INDEX(SRC_Woningetalage!$A$1:$ZZ$501,$A32,AA$3)))</f>
        <v/>
      </c>
      <c r="AB32" s="124" t="str">
        <f>IF($B32="","",IF(AB$3=0,"n.b.",INDEX(SRC_Woningetalage!$A$1:$ZZ$501,$A32,AB$3)))</f>
        <v/>
      </c>
      <c r="AC32" s="124" t="str">
        <f>IF($B32="","",IF(AC$3=0,"n.b.",INDEX(SRC_Woningetalage!$A$1:$ZZ$501,$A32,AC$3)))</f>
        <v/>
      </c>
      <c r="AD32" s="124" t="str">
        <f>IF($B32="","",IF(AD$3=0,"n.b.",INDEX(SRC_Woningetalage!$A$1:$ZZ$501,$A32,AD$3)))</f>
        <v/>
      </c>
      <c r="AE32" s="124" t="str">
        <f>IF($B32="","",IF(AE$3=0,"n.b.",INDEX(SRC_Woningetalage!$A$1:$ZZ$501,$A32,AE$3)))</f>
        <v/>
      </c>
      <c r="AF32" s="124" t="str">
        <f>IF($B32="","",IF(AF$3=0,"n.b.",INDEX(SRC_Woningetalage!$A$1:$ZZ$501,$A32,AF$3)))</f>
        <v/>
      </c>
      <c r="AG32" s="124" t="str">
        <f>IF($B32="","",IF(AG$3=0,"n.b.",INDEX(SRC_Woningetalage!$A$1:$ZZ$501,$A32,AG$3)))</f>
        <v/>
      </c>
      <c r="AH32" s="124" t="str">
        <f>IF($B32="","",IF(AH$3=0,"n.b.",INDEX(SRC_Woningetalage!$A$1:$ZZ$501,$A32,AH$3)))</f>
        <v/>
      </c>
      <c r="AI32" s="124" t="str">
        <f>IF($B32="","",IF(AI$3=0,"n.b.",INDEX(SRC_Woningetalage!$A$1:$ZZ$501,$A32,AI$3)))</f>
        <v/>
      </c>
      <c r="AJ32" s="124" t="str">
        <f>IF($B32="","",IF(AJ$3=0,"n.b.",INDEX(SRC_Woningetalage!$A$1:$ZZ$501,$A32,AJ$3)))</f>
        <v/>
      </c>
      <c r="AK32" s="124" t="str">
        <f>IF($B32="","",IF(AK$3=0,"n.b.",INDEX(SRC_Woningetalage!$A$1:$ZZ$501,$A32,AK$3)))</f>
        <v/>
      </c>
      <c r="AL32" s="124" t="str">
        <f>IF($B32="","",IF(AL$3=0,"n.b.",INDEX(SRC_Woningetalage!$A$1:$ZZ$501,$A32,AL$3)))</f>
        <v/>
      </c>
      <c r="AM32" s="124" t="str">
        <f>IF($B32="","",IF(AM$3=0,"n.b.",INDEX(SRC_Woningetalage!$A$1:$ZZ$501,$A32,AM$3)))</f>
        <v/>
      </c>
      <c r="AN32" s="124" t="str">
        <f>IF($B32="","",IF(AN$3=0,"n.b.",INDEX(SRC_Woningetalage!$A$1:$ZZ$501,$A32,AN$3)))</f>
        <v/>
      </c>
      <c r="AO32" s="124" t="str">
        <f>IF($B32="","",IF(AO$3=0,"n.b.",INDEX(SRC_Woningetalage!$A$1:$ZZ$501,$A32,AO$3)))</f>
        <v/>
      </c>
      <c r="AP32" s="124" t="str">
        <f>IF($B32="","",IF(AP$3=0,"n.b.",INDEX(SRC_Woningetalage!$A$1:$ZZ$501,$A32,AP$3)))</f>
        <v/>
      </c>
      <c r="AQ32" s="124" t="str">
        <f>IF($B32="","",IF(AQ$3=0,"n.b.",INDEX(SRC_Woningetalage!$A$1:$ZZ$501,$A32,AQ$3)))</f>
        <v/>
      </c>
      <c r="AR32" s="124" t="str">
        <f>IF($B32="","",IF(AR$3=0,"n.b.",INDEX(SRC_Woningetalage!$A$1:$ZZ$501,$A32,AR$3)))</f>
        <v/>
      </c>
      <c r="AS32" s="124" t="str">
        <f>IF($B32="","",IF(AS$3=0,"n.b.",INDEX(SRC_Woningetalage!$A$1:$ZZ$501,$A32,AS$3)))</f>
        <v/>
      </c>
      <c r="AT32" s="124" t="str">
        <f>IF($B32="","",IF(AT$3=0,"n.b.",INDEX(SRC_Woningetalage!$A$1:$ZZ$501,$A32,AT$3)))</f>
        <v/>
      </c>
      <c r="AU32" s="124" t="str">
        <f>IF($B32="","",IF(AU$3=0,"n.b.",INDEX(SRC_Woningetalage!$A$1:$ZZ$501,$A32,AU$3)))</f>
        <v/>
      </c>
      <c r="AV32" s="124" t="str">
        <f>IF($B32="","",IF(AV$3=0,"n.b.",INDEX(SRC_Woningetalage!$A$1:$ZZ$501,$A32,AV$3)))</f>
        <v/>
      </c>
      <c r="AW32" s="124" t="str">
        <f>IF($B32="","",IF(AW$3=0,"n.b.",INDEX(SRC_Woningetalage!$A$1:$ZZ$501,$A32,AW$3)))</f>
        <v/>
      </c>
      <c r="AX32" s="124" t="str">
        <f>IF($B32="","",IF(AX$3=0,"n.b.",INDEX(SRC_Woningetalage!$A$1:$ZZ$501,$A32,AX$3)))</f>
        <v/>
      </c>
      <c r="AY32" s="124" t="str">
        <f>IF($B32="","",IF(AY$3=0,"n.b.",INDEX(SRC_Woningetalage!$A$1:$ZZ$501,$A32,AY$3)))</f>
        <v/>
      </c>
      <c r="AZ32" s="124" t="str">
        <f>IF($B32="","",IF(AZ$3=0,"n.b.",INDEX(SRC_Woningetalage!$A$1:$ZZ$501,$A32,AZ$3)))</f>
        <v/>
      </c>
      <c r="BA32" s="124" t="str">
        <f>IF($B32="","",IF(BA$3=0,"n.b.",INDEX(SRC_Woningetalage!$A$1:$ZZ$501,$A32,BA$3)))</f>
        <v/>
      </c>
      <c r="BB32" s="124" t="str">
        <f>IF($B32="","",IF(BB$3=0,"n.b.",INDEX(SRC_Woningetalage!$A$1:$ZZ$501,$A32,BB$3)))</f>
        <v/>
      </c>
      <c r="BC32" s="124" t="str">
        <f>IF($B32="","",IFERROR(_xlfn.NUMBERVALUE(E32&amp;"",",","."),"n.b."))</f>
        <v/>
      </c>
      <c r="BD32" s="124" t="str">
        <f>IF($B32="","",IFERROR(_xlfn.NUMBERVALUE(M32&amp;"",",","."),"n.b."))</f>
        <v/>
      </c>
      <c r="BE32" s="124" t="str">
        <f>IF($B32="","",IFERROR(AB32+AC32+AD32,"n.b."))</f>
        <v/>
      </c>
      <c r="BF32" s="124" t="str">
        <f>IF($B32="","",IFERROR(AE32+AF32+AG32,"n.b."))</f>
        <v/>
      </c>
      <c r="BG32" s="124" t="str">
        <f>IF($B32="","",IFERROR(AH32+AI32+AJ32,"n.b."))</f>
        <v/>
      </c>
      <c r="BH32" s="124" t="str">
        <f>IF($B32="","",IFERROR(AK32+AL32+AM32,"n.b."))</f>
        <v/>
      </c>
      <c r="BI32" s="124" t="str">
        <f>IF($B32="","",IFERROR(SUMIF($AB$5:$AM$5,"&lt;="&amp;P_PeilMaand,AB32:AM32),"n.b."))</f>
        <v/>
      </c>
      <c r="BJ32" s="124" t="str">
        <f>IF($B32="","",IFERROR(SUM(AB32:AM32)-BI32,"n.b."))</f>
        <v/>
      </c>
      <c r="BK32" s="124" t="str">
        <f>IF($B32="","",IFERROR(IF(ABS(Q32-(T32+SUM(AB32:AM32)+AS32+AU32))&gt;P_Tol,1,0),1))</f>
        <v/>
      </c>
      <c r="BL32" s="124" t="str">
        <f>IF($B32="","",IFERROR(IF(ABS(AA32-(Q32-Z32))&gt;P_Tol,1,0),1))</f>
        <v/>
      </c>
      <c r="BM32" s="124" t="str">
        <f>IF($B32="","",IFERROR(IF(ABS(Z32-(T32+W32))&gt;P_Tol,1,0),1))</f>
        <v/>
      </c>
      <c r="BN32" s="124" t="str">
        <f>IF($B32="","",IFERROR(IF(ABS(W32-BI32)&gt;P_Tol,1,0),1))</f>
        <v/>
      </c>
      <c r="BO32" s="124" t="str">
        <f>IF($B32="","",IFERROR(IF(OR(ABS(R32+S32-T32)&gt;P_Tol,ABS(U32+V32-W32)&gt;P_Tol,ABS(X32+Y32-Z32)&gt;P_Tol),1,0),1))</f>
        <v/>
      </c>
      <c r="BP32" s="124" t="str">
        <f>IF($B32="","",IFERROR(IF(OR(ABS(AR32-SUM(AB32:AM32))&gt;P_Tol,ABS(AS32-(AN32+AO32+AP32+AQ32))&gt;P_Tol),1,0),1))</f>
        <v/>
      </c>
      <c r="BQ32" s="124" t="str">
        <f>IF($B32="","",IFERROR(IF(ABS(AT32)+ABS(AV32)+ABS(AW32)+ABS(AX32)+ABS(AY32)+ABS(AZ32)+ABS(BA32)+ABS(BB32)&gt;0,1,0),1))</f>
        <v/>
      </c>
      <c r="BR32" s="124" t="str">
        <f>IF($B32="","",COUNTIF(STG_ZPMW03!$B$6:$B$505,B32))</f>
        <v/>
      </c>
      <c r="BS32" s="124" t="str">
        <f>IF($B32="","",COUNTIF($B$6:$B$505,B32))</f>
        <v/>
      </c>
      <c r="BT32" s="124" t="str">
        <f>IF($B32="","",IF(BR32=0,0,IF(INDEX(STG_ZPMW03!$I$6:$I$505,MATCH(B32,STG_ZPMW03!$B$6:$B$505,0))=J32&amp;"",0,1)))</f>
        <v/>
      </c>
      <c r="BU32" s="124" t="str">
        <f>IF($B32="","",IFERROR(IF(ABS(INDEX(Mapping!$D$5:$D$104,MATCH(B32,Mapping!$A$5:$A$104,0))-Q32)&gt;P_Tol,1,0),0))</f>
        <v/>
      </c>
      <c r="BV32" s="124" t="str">
        <f>IF($B32="","",IFERROR(IF(AND(INDEX(Mapping!$G$5:$G$104,MATCH(B32,Mapping!$A$5:$A$104,0))="Nee",ABS(Q32)+ABS(Z32)+ABS(AR32)&gt;0),1,0),0))</f>
        <v/>
      </c>
      <c r="BW32" s="124" t="str">
        <f>IF($B32="","",IF(COUNTIF(Mapping!$A$5:$A$104,B32)&gt;0,1,0))</f>
        <v/>
      </c>
      <c r="BX32" s="124" t="str">
        <f>IF($B32="","",IF(BR32=0,COUNTIF($BR$6:BR32,0),""))</f>
        <v/>
      </c>
    </row>
    <row r="33">
      <c r="A33" s="15" t="n">
        <v>29</v>
      </c>
      <c r="B33" t="str">
        <f>IF(B$3=0,"",IF(INDEX(SRC_Woningetalage!$A$1:$ZZ$501,$A33,B$3)&amp;""="","",INDEX(SRC_Woningetalage!$A$1:$ZZ$501,$A33,B$3)&amp;""))</f>
        <v/>
      </c>
      <c r="C33" t="str">
        <f>IF($B33="","",IF(C$3=0,"n.b.",INDEX(SRC_Woningetalage!$A$1:$ZZ$501,$A33,C$3)))</f>
        <v/>
      </c>
      <c r="D33" t="str">
        <f>IF($B33="","",IF(D$3=0,"n.b.",INDEX(SRC_Woningetalage!$A$1:$ZZ$501,$A33,D$3)))</f>
        <v/>
      </c>
      <c r="E33" t="str">
        <f>IF($B33="","",IF(E$3=0,"n.b.",INDEX(SRC_Woningetalage!$A$1:$ZZ$501,$A33,E$3)))</f>
        <v/>
      </c>
      <c r="F33" t="str">
        <f>IF($B33="","",IF(F$3=0,"n.b.",INDEX(SRC_Woningetalage!$A$1:$ZZ$501,$A33,F$3)))</f>
        <v/>
      </c>
      <c r="G33" t="str">
        <f>IF($B33="","",IF(G$3=0,"n.b.",INDEX(SRC_Woningetalage!$A$1:$ZZ$501,$A33,G$3)))</f>
        <v/>
      </c>
      <c r="H33" t="str">
        <f>IF($B33="","",IF(H$3=0,"n.b.",INDEX(SRC_Woningetalage!$A$1:$ZZ$501,$A33,H$3)))</f>
        <v/>
      </c>
      <c r="I33" t="str">
        <f>IF($B33="","",IF(I$3=0,"n.b.",INDEX(SRC_Woningetalage!$A$1:$ZZ$501,$A33,I$3)))</f>
        <v/>
      </c>
      <c r="J33" t="str">
        <f>IF($B33="","",IF(J$3=0,"n.b.",INDEX(SRC_Woningetalage!$A$1:$ZZ$501,$A33,J$3)))</f>
        <v/>
      </c>
      <c r="K33" t="str">
        <f>IF($B33="","",IF(K$3=0,"n.b.",INDEX(SRC_Woningetalage!$A$1:$ZZ$501,$A33,K$3)))</f>
        <v/>
      </c>
      <c r="L33" t="str">
        <f>IF($B33="","",IF(L$3=0,"n.b.",INDEX(SRC_Woningetalage!$A$1:$ZZ$501,$A33,L$3)))</f>
        <v/>
      </c>
      <c r="M33" t="str">
        <f>IF($B33="","",IF(M$3=0,"n.b.",INDEX(SRC_Woningetalage!$A$1:$ZZ$501,$A33,M$3)))</f>
        <v/>
      </c>
      <c r="N33" t="str">
        <f>IF($B33="","",IF(N$3=0,"n.b.",INDEX(SRC_Woningetalage!$A$1:$ZZ$501,$A33,N$3)))</f>
        <v/>
      </c>
      <c r="O33" t="str">
        <f>IF($B33="","",IF(O$3=0,"n.b.",INDEX(SRC_Woningetalage!$A$1:$ZZ$501,$A33,O$3)))</f>
        <v/>
      </c>
      <c r="P33" t="str">
        <f>IF($B33="","",IF(P$3=0,"n.b.",INDEX(SRC_Woningetalage!$A$1:$ZZ$501,$A33,P$3)))</f>
        <v/>
      </c>
      <c r="Q33" s="124" t="str">
        <f>IF($B33="","",IF(Q$3=0,"n.b.",INDEX(SRC_Woningetalage!$A$1:$ZZ$501,$A33,Q$3)))</f>
        <v/>
      </c>
      <c r="R33" s="124" t="str">
        <f>IF($B33="","",IF(R$3=0,"n.b.",INDEX(SRC_Woningetalage!$A$1:$ZZ$501,$A33,R$3)))</f>
        <v/>
      </c>
      <c r="S33" s="124" t="str">
        <f>IF($B33="","",IF(S$3=0,"n.b.",INDEX(SRC_Woningetalage!$A$1:$ZZ$501,$A33,S$3)))</f>
        <v/>
      </c>
      <c r="T33" s="124" t="str">
        <f>IF($B33="","",IF(T$3=0,"n.b.",INDEX(SRC_Woningetalage!$A$1:$ZZ$501,$A33,T$3)))</f>
        <v/>
      </c>
      <c r="U33" s="124" t="str">
        <f>IF($B33="","",IF(U$3=0,"n.b.",INDEX(SRC_Woningetalage!$A$1:$ZZ$501,$A33,U$3)))</f>
        <v/>
      </c>
      <c r="V33" s="124" t="str">
        <f>IF($B33="","",IF(V$3=0,"n.b.",INDEX(SRC_Woningetalage!$A$1:$ZZ$501,$A33,V$3)))</f>
        <v/>
      </c>
      <c r="W33" s="124" t="str">
        <f>IF($B33="","",IF(W$3=0,"n.b.",INDEX(SRC_Woningetalage!$A$1:$ZZ$501,$A33,W$3)))</f>
        <v/>
      </c>
      <c r="X33" s="124" t="str">
        <f>IF($B33="","",IF(X$3=0,"n.b.",INDEX(SRC_Woningetalage!$A$1:$ZZ$501,$A33,X$3)))</f>
        <v/>
      </c>
      <c r="Y33" s="124" t="str">
        <f>IF($B33="","",IF(Y$3=0,"n.b.",INDEX(SRC_Woningetalage!$A$1:$ZZ$501,$A33,Y$3)))</f>
        <v/>
      </c>
      <c r="Z33" s="124" t="str">
        <f>IF($B33="","",IF(Z$3=0,"n.b.",INDEX(SRC_Woningetalage!$A$1:$ZZ$501,$A33,Z$3)))</f>
        <v/>
      </c>
      <c r="AA33" s="124" t="str">
        <f>IF($B33="","",IF(AA$3=0,"n.b.",INDEX(SRC_Woningetalage!$A$1:$ZZ$501,$A33,AA$3)))</f>
        <v/>
      </c>
      <c r="AB33" s="124" t="str">
        <f>IF($B33="","",IF(AB$3=0,"n.b.",INDEX(SRC_Woningetalage!$A$1:$ZZ$501,$A33,AB$3)))</f>
        <v/>
      </c>
      <c r="AC33" s="124" t="str">
        <f>IF($B33="","",IF(AC$3=0,"n.b.",INDEX(SRC_Woningetalage!$A$1:$ZZ$501,$A33,AC$3)))</f>
        <v/>
      </c>
      <c r="AD33" s="124" t="str">
        <f>IF($B33="","",IF(AD$3=0,"n.b.",INDEX(SRC_Woningetalage!$A$1:$ZZ$501,$A33,AD$3)))</f>
        <v/>
      </c>
      <c r="AE33" s="124" t="str">
        <f>IF($B33="","",IF(AE$3=0,"n.b.",INDEX(SRC_Woningetalage!$A$1:$ZZ$501,$A33,AE$3)))</f>
        <v/>
      </c>
      <c r="AF33" s="124" t="str">
        <f>IF($B33="","",IF(AF$3=0,"n.b.",INDEX(SRC_Woningetalage!$A$1:$ZZ$501,$A33,AF$3)))</f>
        <v/>
      </c>
      <c r="AG33" s="124" t="str">
        <f>IF($B33="","",IF(AG$3=0,"n.b.",INDEX(SRC_Woningetalage!$A$1:$ZZ$501,$A33,AG$3)))</f>
        <v/>
      </c>
      <c r="AH33" s="124" t="str">
        <f>IF($B33="","",IF(AH$3=0,"n.b.",INDEX(SRC_Woningetalage!$A$1:$ZZ$501,$A33,AH$3)))</f>
        <v/>
      </c>
      <c r="AI33" s="124" t="str">
        <f>IF($B33="","",IF(AI$3=0,"n.b.",INDEX(SRC_Woningetalage!$A$1:$ZZ$501,$A33,AI$3)))</f>
        <v/>
      </c>
      <c r="AJ33" s="124" t="str">
        <f>IF($B33="","",IF(AJ$3=0,"n.b.",INDEX(SRC_Woningetalage!$A$1:$ZZ$501,$A33,AJ$3)))</f>
        <v/>
      </c>
      <c r="AK33" s="124" t="str">
        <f>IF($B33="","",IF(AK$3=0,"n.b.",INDEX(SRC_Woningetalage!$A$1:$ZZ$501,$A33,AK$3)))</f>
        <v/>
      </c>
      <c r="AL33" s="124" t="str">
        <f>IF($B33="","",IF(AL$3=0,"n.b.",INDEX(SRC_Woningetalage!$A$1:$ZZ$501,$A33,AL$3)))</f>
        <v/>
      </c>
      <c r="AM33" s="124" t="str">
        <f>IF($B33="","",IF(AM$3=0,"n.b.",INDEX(SRC_Woningetalage!$A$1:$ZZ$501,$A33,AM$3)))</f>
        <v/>
      </c>
      <c r="AN33" s="124" t="str">
        <f>IF($B33="","",IF(AN$3=0,"n.b.",INDEX(SRC_Woningetalage!$A$1:$ZZ$501,$A33,AN$3)))</f>
        <v/>
      </c>
      <c r="AO33" s="124" t="str">
        <f>IF($B33="","",IF(AO$3=0,"n.b.",INDEX(SRC_Woningetalage!$A$1:$ZZ$501,$A33,AO$3)))</f>
        <v/>
      </c>
      <c r="AP33" s="124" t="str">
        <f>IF($B33="","",IF(AP$3=0,"n.b.",INDEX(SRC_Woningetalage!$A$1:$ZZ$501,$A33,AP$3)))</f>
        <v/>
      </c>
      <c r="AQ33" s="124" t="str">
        <f>IF($B33="","",IF(AQ$3=0,"n.b.",INDEX(SRC_Woningetalage!$A$1:$ZZ$501,$A33,AQ$3)))</f>
        <v/>
      </c>
      <c r="AR33" s="124" t="str">
        <f>IF($B33="","",IF(AR$3=0,"n.b.",INDEX(SRC_Woningetalage!$A$1:$ZZ$501,$A33,AR$3)))</f>
        <v/>
      </c>
      <c r="AS33" s="124" t="str">
        <f>IF($B33="","",IF(AS$3=0,"n.b.",INDEX(SRC_Woningetalage!$A$1:$ZZ$501,$A33,AS$3)))</f>
        <v/>
      </c>
      <c r="AT33" s="124" t="str">
        <f>IF($B33="","",IF(AT$3=0,"n.b.",INDEX(SRC_Woningetalage!$A$1:$ZZ$501,$A33,AT$3)))</f>
        <v/>
      </c>
      <c r="AU33" s="124" t="str">
        <f>IF($B33="","",IF(AU$3=0,"n.b.",INDEX(SRC_Woningetalage!$A$1:$ZZ$501,$A33,AU$3)))</f>
        <v/>
      </c>
      <c r="AV33" s="124" t="str">
        <f>IF($B33="","",IF(AV$3=0,"n.b.",INDEX(SRC_Woningetalage!$A$1:$ZZ$501,$A33,AV$3)))</f>
        <v/>
      </c>
      <c r="AW33" s="124" t="str">
        <f>IF($B33="","",IF(AW$3=0,"n.b.",INDEX(SRC_Woningetalage!$A$1:$ZZ$501,$A33,AW$3)))</f>
        <v/>
      </c>
      <c r="AX33" s="124" t="str">
        <f>IF($B33="","",IF(AX$3=0,"n.b.",INDEX(SRC_Woningetalage!$A$1:$ZZ$501,$A33,AX$3)))</f>
        <v/>
      </c>
      <c r="AY33" s="124" t="str">
        <f>IF($B33="","",IF(AY$3=0,"n.b.",INDEX(SRC_Woningetalage!$A$1:$ZZ$501,$A33,AY$3)))</f>
        <v/>
      </c>
      <c r="AZ33" s="124" t="str">
        <f>IF($B33="","",IF(AZ$3=0,"n.b.",INDEX(SRC_Woningetalage!$A$1:$ZZ$501,$A33,AZ$3)))</f>
        <v/>
      </c>
      <c r="BA33" s="124" t="str">
        <f>IF($B33="","",IF(BA$3=0,"n.b.",INDEX(SRC_Woningetalage!$A$1:$ZZ$501,$A33,BA$3)))</f>
        <v/>
      </c>
      <c r="BB33" s="124" t="str">
        <f>IF($B33="","",IF(BB$3=0,"n.b.",INDEX(SRC_Woningetalage!$A$1:$ZZ$501,$A33,BB$3)))</f>
        <v/>
      </c>
      <c r="BC33" s="124" t="str">
        <f>IF($B33="","",IFERROR(_xlfn.NUMBERVALUE(E33&amp;"",",","."),"n.b."))</f>
        <v/>
      </c>
      <c r="BD33" s="124" t="str">
        <f>IF($B33="","",IFERROR(_xlfn.NUMBERVALUE(M33&amp;"",",","."),"n.b."))</f>
        <v/>
      </c>
      <c r="BE33" s="124" t="str">
        <f>IF($B33="","",IFERROR(AB33+AC33+AD33,"n.b."))</f>
        <v/>
      </c>
      <c r="BF33" s="124" t="str">
        <f>IF($B33="","",IFERROR(AE33+AF33+AG33,"n.b."))</f>
        <v/>
      </c>
      <c r="BG33" s="124" t="str">
        <f>IF($B33="","",IFERROR(AH33+AI33+AJ33,"n.b."))</f>
        <v/>
      </c>
      <c r="BH33" s="124" t="str">
        <f>IF($B33="","",IFERROR(AK33+AL33+AM33,"n.b."))</f>
        <v/>
      </c>
      <c r="BI33" s="124" t="str">
        <f>IF($B33="","",IFERROR(SUMIF($AB$5:$AM$5,"&lt;="&amp;P_PeilMaand,AB33:AM33),"n.b."))</f>
        <v/>
      </c>
      <c r="BJ33" s="124" t="str">
        <f>IF($B33="","",IFERROR(SUM(AB33:AM33)-BI33,"n.b."))</f>
        <v/>
      </c>
      <c r="BK33" s="124" t="str">
        <f>IF($B33="","",IFERROR(IF(ABS(Q33-(T33+SUM(AB33:AM33)+AS33+AU33))&gt;P_Tol,1,0),1))</f>
        <v/>
      </c>
      <c r="BL33" s="124" t="str">
        <f>IF($B33="","",IFERROR(IF(ABS(AA33-(Q33-Z33))&gt;P_Tol,1,0),1))</f>
        <v/>
      </c>
      <c r="BM33" s="124" t="str">
        <f>IF($B33="","",IFERROR(IF(ABS(Z33-(T33+W33))&gt;P_Tol,1,0),1))</f>
        <v/>
      </c>
      <c r="BN33" s="124" t="str">
        <f>IF($B33="","",IFERROR(IF(ABS(W33-BI33)&gt;P_Tol,1,0),1))</f>
        <v/>
      </c>
      <c r="BO33" s="124" t="str">
        <f>IF($B33="","",IFERROR(IF(OR(ABS(R33+S33-T33)&gt;P_Tol,ABS(U33+V33-W33)&gt;P_Tol,ABS(X33+Y33-Z33)&gt;P_Tol),1,0),1))</f>
        <v/>
      </c>
      <c r="BP33" s="124" t="str">
        <f>IF($B33="","",IFERROR(IF(OR(ABS(AR33-SUM(AB33:AM33))&gt;P_Tol,ABS(AS33-(AN33+AO33+AP33+AQ33))&gt;P_Tol),1,0),1))</f>
        <v/>
      </c>
      <c r="BQ33" s="124" t="str">
        <f>IF($B33="","",IFERROR(IF(ABS(AT33)+ABS(AV33)+ABS(AW33)+ABS(AX33)+ABS(AY33)+ABS(AZ33)+ABS(BA33)+ABS(BB33)&gt;0,1,0),1))</f>
        <v/>
      </c>
      <c r="BR33" s="124" t="str">
        <f>IF($B33="","",COUNTIF(STG_ZPMW03!$B$6:$B$505,B33))</f>
        <v/>
      </c>
      <c r="BS33" s="124" t="str">
        <f>IF($B33="","",COUNTIF($B$6:$B$505,B33))</f>
        <v/>
      </c>
      <c r="BT33" s="124" t="str">
        <f>IF($B33="","",IF(BR33=0,0,IF(INDEX(STG_ZPMW03!$I$6:$I$505,MATCH(B33,STG_ZPMW03!$B$6:$B$505,0))=J33&amp;"",0,1)))</f>
        <v/>
      </c>
      <c r="BU33" s="124" t="str">
        <f>IF($B33="","",IFERROR(IF(ABS(INDEX(Mapping!$D$5:$D$104,MATCH(B33,Mapping!$A$5:$A$104,0))-Q33)&gt;P_Tol,1,0),0))</f>
        <v/>
      </c>
      <c r="BV33" s="124" t="str">
        <f>IF($B33="","",IFERROR(IF(AND(INDEX(Mapping!$G$5:$G$104,MATCH(B33,Mapping!$A$5:$A$104,0))="Nee",ABS(Q33)+ABS(Z33)+ABS(AR33)&gt;0),1,0),0))</f>
        <v/>
      </c>
      <c r="BW33" s="124" t="str">
        <f>IF($B33="","",IF(COUNTIF(Mapping!$A$5:$A$104,B33)&gt;0,1,0))</f>
        <v/>
      </c>
      <c r="BX33" s="124" t="str">
        <f>IF($B33="","",IF(BR33=0,COUNTIF($BR$6:BR33,0),""))</f>
        <v/>
      </c>
    </row>
    <row r="34">
      <c r="A34" s="15" t="n">
        <v>30</v>
      </c>
      <c r="B34" t="str">
        <f>IF(B$3=0,"",IF(INDEX(SRC_Woningetalage!$A$1:$ZZ$501,$A34,B$3)&amp;""="","",INDEX(SRC_Woningetalage!$A$1:$ZZ$501,$A34,B$3)&amp;""))</f>
        <v/>
      </c>
      <c r="C34" t="str">
        <f>IF($B34="","",IF(C$3=0,"n.b.",INDEX(SRC_Woningetalage!$A$1:$ZZ$501,$A34,C$3)))</f>
        <v/>
      </c>
      <c r="D34" t="str">
        <f>IF($B34="","",IF(D$3=0,"n.b.",INDEX(SRC_Woningetalage!$A$1:$ZZ$501,$A34,D$3)))</f>
        <v/>
      </c>
      <c r="E34" t="str">
        <f>IF($B34="","",IF(E$3=0,"n.b.",INDEX(SRC_Woningetalage!$A$1:$ZZ$501,$A34,E$3)))</f>
        <v/>
      </c>
      <c r="F34" t="str">
        <f>IF($B34="","",IF(F$3=0,"n.b.",INDEX(SRC_Woningetalage!$A$1:$ZZ$501,$A34,F$3)))</f>
        <v/>
      </c>
      <c r="G34" t="str">
        <f>IF($B34="","",IF(G$3=0,"n.b.",INDEX(SRC_Woningetalage!$A$1:$ZZ$501,$A34,G$3)))</f>
        <v/>
      </c>
      <c r="H34" t="str">
        <f>IF($B34="","",IF(H$3=0,"n.b.",INDEX(SRC_Woningetalage!$A$1:$ZZ$501,$A34,H$3)))</f>
        <v/>
      </c>
      <c r="I34" t="str">
        <f>IF($B34="","",IF(I$3=0,"n.b.",INDEX(SRC_Woningetalage!$A$1:$ZZ$501,$A34,I$3)))</f>
        <v/>
      </c>
      <c r="J34" t="str">
        <f>IF($B34="","",IF(J$3=0,"n.b.",INDEX(SRC_Woningetalage!$A$1:$ZZ$501,$A34,J$3)))</f>
        <v/>
      </c>
      <c r="K34" t="str">
        <f>IF($B34="","",IF(K$3=0,"n.b.",INDEX(SRC_Woningetalage!$A$1:$ZZ$501,$A34,K$3)))</f>
        <v/>
      </c>
      <c r="L34" t="str">
        <f>IF($B34="","",IF(L$3=0,"n.b.",INDEX(SRC_Woningetalage!$A$1:$ZZ$501,$A34,L$3)))</f>
        <v/>
      </c>
      <c r="M34" t="str">
        <f>IF($B34="","",IF(M$3=0,"n.b.",INDEX(SRC_Woningetalage!$A$1:$ZZ$501,$A34,M$3)))</f>
        <v/>
      </c>
      <c r="N34" t="str">
        <f>IF($B34="","",IF(N$3=0,"n.b.",INDEX(SRC_Woningetalage!$A$1:$ZZ$501,$A34,N$3)))</f>
        <v/>
      </c>
      <c r="O34" t="str">
        <f>IF($B34="","",IF(O$3=0,"n.b.",INDEX(SRC_Woningetalage!$A$1:$ZZ$501,$A34,O$3)))</f>
        <v/>
      </c>
      <c r="P34" t="str">
        <f>IF($B34="","",IF(P$3=0,"n.b.",INDEX(SRC_Woningetalage!$A$1:$ZZ$501,$A34,P$3)))</f>
        <v/>
      </c>
      <c r="Q34" s="124" t="str">
        <f>IF($B34="","",IF(Q$3=0,"n.b.",INDEX(SRC_Woningetalage!$A$1:$ZZ$501,$A34,Q$3)))</f>
        <v/>
      </c>
      <c r="R34" s="124" t="str">
        <f>IF($B34="","",IF(R$3=0,"n.b.",INDEX(SRC_Woningetalage!$A$1:$ZZ$501,$A34,R$3)))</f>
        <v/>
      </c>
      <c r="S34" s="124" t="str">
        <f>IF($B34="","",IF(S$3=0,"n.b.",INDEX(SRC_Woningetalage!$A$1:$ZZ$501,$A34,S$3)))</f>
        <v/>
      </c>
      <c r="T34" s="124" t="str">
        <f>IF($B34="","",IF(T$3=0,"n.b.",INDEX(SRC_Woningetalage!$A$1:$ZZ$501,$A34,T$3)))</f>
        <v/>
      </c>
      <c r="U34" s="124" t="str">
        <f>IF($B34="","",IF(U$3=0,"n.b.",INDEX(SRC_Woningetalage!$A$1:$ZZ$501,$A34,U$3)))</f>
        <v/>
      </c>
      <c r="V34" s="124" t="str">
        <f>IF($B34="","",IF(V$3=0,"n.b.",INDEX(SRC_Woningetalage!$A$1:$ZZ$501,$A34,V$3)))</f>
        <v/>
      </c>
      <c r="W34" s="124" t="str">
        <f>IF($B34="","",IF(W$3=0,"n.b.",INDEX(SRC_Woningetalage!$A$1:$ZZ$501,$A34,W$3)))</f>
        <v/>
      </c>
      <c r="X34" s="124" t="str">
        <f>IF($B34="","",IF(X$3=0,"n.b.",INDEX(SRC_Woningetalage!$A$1:$ZZ$501,$A34,X$3)))</f>
        <v/>
      </c>
      <c r="Y34" s="124" t="str">
        <f>IF($B34="","",IF(Y$3=0,"n.b.",INDEX(SRC_Woningetalage!$A$1:$ZZ$501,$A34,Y$3)))</f>
        <v/>
      </c>
      <c r="Z34" s="124" t="str">
        <f>IF($B34="","",IF(Z$3=0,"n.b.",INDEX(SRC_Woningetalage!$A$1:$ZZ$501,$A34,Z$3)))</f>
        <v/>
      </c>
      <c r="AA34" s="124" t="str">
        <f>IF($B34="","",IF(AA$3=0,"n.b.",INDEX(SRC_Woningetalage!$A$1:$ZZ$501,$A34,AA$3)))</f>
        <v/>
      </c>
      <c r="AB34" s="124" t="str">
        <f>IF($B34="","",IF(AB$3=0,"n.b.",INDEX(SRC_Woningetalage!$A$1:$ZZ$501,$A34,AB$3)))</f>
        <v/>
      </c>
      <c r="AC34" s="124" t="str">
        <f>IF($B34="","",IF(AC$3=0,"n.b.",INDEX(SRC_Woningetalage!$A$1:$ZZ$501,$A34,AC$3)))</f>
        <v/>
      </c>
      <c r="AD34" s="124" t="str">
        <f>IF($B34="","",IF(AD$3=0,"n.b.",INDEX(SRC_Woningetalage!$A$1:$ZZ$501,$A34,AD$3)))</f>
        <v/>
      </c>
      <c r="AE34" s="124" t="str">
        <f>IF($B34="","",IF(AE$3=0,"n.b.",INDEX(SRC_Woningetalage!$A$1:$ZZ$501,$A34,AE$3)))</f>
        <v/>
      </c>
      <c r="AF34" s="124" t="str">
        <f>IF($B34="","",IF(AF$3=0,"n.b.",INDEX(SRC_Woningetalage!$A$1:$ZZ$501,$A34,AF$3)))</f>
        <v/>
      </c>
      <c r="AG34" s="124" t="str">
        <f>IF($B34="","",IF(AG$3=0,"n.b.",INDEX(SRC_Woningetalage!$A$1:$ZZ$501,$A34,AG$3)))</f>
        <v/>
      </c>
      <c r="AH34" s="124" t="str">
        <f>IF($B34="","",IF(AH$3=0,"n.b.",INDEX(SRC_Woningetalage!$A$1:$ZZ$501,$A34,AH$3)))</f>
        <v/>
      </c>
      <c r="AI34" s="124" t="str">
        <f>IF($B34="","",IF(AI$3=0,"n.b.",INDEX(SRC_Woningetalage!$A$1:$ZZ$501,$A34,AI$3)))</f>
        <v/>
      </c>
      <c r="AJ34" s="124" t="str">
        <f>IF($B34="","",IF(AJ$3=0,"n.b.",INDEX(SRC_Woningetalage!$A$1:$ZZ$501,$A34,AJ$3)))</f>
        <v/>
      </c>
      <c r="AK34" s="124" t="str">
        <f>IF($B34="","",IF(AK$3=0,"n.b.",INDEX(SRC_Woningetalage!$A$1:$ZZ$501,$A34,AK$3)))</f>
        <v/>
      </c>
      <c r="AL34" s="124" t="str">
        <f>IF($B34="","",IF(AL$3=0,"n.b.",INDEX(SRC_Woningetalage!$A$1:$ZZ$501,$A34,AL$3)))</f>
        <v/>
      </c>
      <c r="AM34" s="124" t="str">
        <f>IF($B34="","",IF(AM$3=0,"n.b.",INDEX(SRC_Woningetalage!$A$1:$ZZ$501,$A34,AM$3)))</f>
        <v/>
      </c>
      <c r="AN34" s="124" t="str">
        <f>IF($B34="","",IF(AN$3=0,"n.b.",INDEX(SRC_Woningetalage!$A$1:$ZZ$501,$A34,AN$3)))</f>
        <v/>
      </c>
      <c r="AO34" s="124" t="str">
        <f>IF($B34="","",IF(AO$3=0,"n.b.",INDEX(SRC_Woningetalage!$A$1:$ZZ$501,$A34,AO$3)))</f>
        <v/>
      </c>
      <c r="AP34" s="124" t="str">
        <f>IF($B34="","",IF(AP$3=0,"n.b.",INDEX(SRC_Woningetalage!$A$1:$ZZ$501,$A34,AP$3)))</f>
        <v/>
      </c>
      <c r="AQ34" s="124" t="str">
        <f>IF($B34="","",IF(AQ$3=0,"n.b.",INDEX(SRC_Woningetalage!$A$1:$ZZ$501,$A34,AQ$3)))</f>
        <v/>
      </c>
      <c r="AR34" s="124" t="str">
        <f>IF($B34="","",IF(AR$3=0,"n.b.",INDEX(SRC_Woningetalage!$A$1:$ZZ$501,$A34,AR$3)))</f>
        <v/>
      </c>
      <c r="AS34" s="124" t="str">
        <f>IF($B34="","",IF(AS$3=0,"n.b.",INDEX(SRC_Woningetalage!$A$1:$ZZ$501,$A34,AS$3)))</f>
        <v/>
      </c>
      <c r="AT34" s="124" t="str">
        <f>IF($B34="","",IF(AT$3=0,"n.b.",INDEX(SRC_Woningetalage!$A$1:$ZZ$501,$A34,AT$3)))</f>
        <v/>
      </c>
      <c r="AU34" s="124" t="str">
        <f>IF($B34="","",IF(AU$3=0,"n.b.",INDEX(SRC_Woningetalage!$A$1:$ZZ$501,$A34,AU$3)))</f>
        <v/>
      </c>
      <c r="AV34" s="124" t="str">
        <f>IF($B34="","",IF(AV$3=0,"n.b.",INDEX(SRC_Woningetalage!$A$1:$ZZ$501,$A34,AV$3)))</f>
        <v/>
      </c>
      <c r="AW34" s="124" t="str">
        <f>IF($B34="","",IF(AW$3=0,"n.b.",INDEX(SRC_Woningetalage!$A$1:$ZZ$501,$A34,AW$3)))</f>
        <v/>
      </c>
      <c r="AX34" s="124" t="str">
        <f>IF($B34="","",IF(AX$3=0,"n.b.",INDEX(SRC_Woningetalage!$A$1:$ZZ$501,$A34,AX$3)))</f>
        <v/>
      </c>
      <c r="AY34" s="124" t="str">
        <f>IF($B34="","",IF(AY$3=0,"n.b.",INDEX(SRC_Woningetalage!$A$1:$ZZ$501,$A34,AY$3)))</f>
        <v/>
      </c>
      <c r="AZ34" s="124" t="str">
        <f>IF($B34="","",IF(AZ$3=0,"n.b.",INDEX(SRC_Woningetalage!$A$1:$ZZ$501,$A34,AZ$3)))</f>
        <v/>
      </c>
      <c r="BA34" s="124" t="str">
        <f>IF($B34="","",IF(BA$3=0,"n.b.",INDEX(SRC_Woningetalage!$A$1:$ZZ$501,$A34,BA$3)))</f>
        <v/>
      </c>
      <c r="BB34" s="124" t="str">
        <f>IF($B34="","",IF(BB$3=0,"n.b.",INDEX(SRC_Woningetalage!$A$1:$ZZ$501,$A34,BB$3)))</f>
        <v/>
      </c>
      <c r="BC34" s="124" t="str">
        <f>IF($B34="","",IFERROR(_xlfn.NUMBERVALUE(E34&amp;"",",","."),"n.b."))</f>
        <v/>
      </c>
      <c r="BD34" s="124" t="str">
        <f>IF($B34="","",IFERROR(_xlfn.NUMBERVALUE(M34&amp;"",",","."),"n.b."))</f>
        <v/>
      </c>
      <c r="BE34" s="124" t="str">
        <f>IF($B34="","",IFERROR(AB34+AC34+AD34,"n.b."))</f>
        <v/>
      </c>
      <c r="BF34" s="124" t="str">
        <f>IF($B34="","",IFERROR(AE34+AF34+AG34,"n.b."))</f>
        <v/>
      </c>
      <c r="BG34" s="124" t="str">
        <f>IF($B34="","",IFERROR(AH34+AI34+AJ34,"n.b."))</f>
        <v/>
      </c>
      <c r="BH34" s="124" t="str">
        <f>IF($B34="","",IFERROR(AK34+AL34+AM34,"n.b."))</f>
        <v/>
      </c>
      <c r="BI34" s="124" t="str">
        <f>IF($B34="","",IFERROR(SUMIF($AB$5:$AM$5,"&lt;="&amp;P_PeilMaand,AB34:AM34),"n.b."))</f>
        <v/>
      </c>
      <c r="BJ34" s="124" t="str">
        <f>IF($B34="","",IFERROR(SUM(AB34:AM34)-BI34,"n.b."))</f>
        <v/>
      </c>
      <c r="BK34" s="124" t="str">
        <f>IF($B34="","",IFERROR(IF(ABS(Q34-(T34+SUM(AB34:AM34)+AS34+AU34))&gt;P_Tol,1,0),1))</f>
        <v/>
      </c>
      <c r="BL34" s="124" t="str">
        <f>IF($B34="","",IFERROR(IF(ABS(AA34-(Q34-Z34))&gt;P_Tol,1,0),1))</f>
        <v/>
      </c>
      <c r="BM34" s="124" t="str">
        <f>IF($B34="","",IFERROR(IF(ABS(Z34-(T34+W34))&gt;P_Tol,1,0),1))</f>
        <v/>
      </c>
      <c r="BN34" s="124" t="str">
        <f>IF($B34="","",IFERROR(IF(ABS(W34-BI34)&gt;P_Tol,1,0),1))</f>
        <v/>
      </c>
      <c r="BO34" s="124" t="str">
        <f>IF($B34="","",IFERROR(IF(OR(ABS(R34+S34-T34)&gt;P_Tol,ABS(U34+V34-W34)&gt;P_Tol,ABS(X34+Y34-Z34)&gt;P_Tol),1,0),1))</f>
        <v/>
      </c>
      <c r="BP34" s="124" t="str">
        <f>IF($B34="","",IFERROR(IF(OR(ABS(AR34-SUM(AB34:AM34))&gt;P_Tol,ABS(AS34-(AN34+AO34+AP34+AQ34))&gt;P_Tol),1,0),1))</f>
        <v/>
      </c>
      <c r="BQ34" s="124" t="str">
        <f>IF($B34="","",IFERROR(IF(ABS(AT34)+ABS(AV34)+ABS(AW34)+ABS(AX34)+ABS(AY34)+ABS(AZ34)+ABS(BA34)+ABS(BB34)&gt;0,1,0),1))</f>
        <v/>
      </c>
      <c r="BR34" s="124" t="str">
        <f>IF($B34="","",COUNTIF(STG_ZPMW03!$B$6:$B$505,B34))</f>
        <v/>
      </c>
      <c r="BS34" s="124" t="str">
        <f>IF($B34="","",COUNTIF($B$6:$B$505,B34))</f>
        <v/>
      </c>
      <c r="BT34" s="124" t="str">
        <f>IF($B34="","",IF(BR34=0,0,IF(INDEX(STG_ZPMW03!$I$6:$I$505,MATCH(B34,STG_ZPMW03!$B$6:$B$505,0))=J34&amp;"",0,1)))</f>
        <v/>
      </c>
      <c r="BU34" s="124" t="str">
        <f>IF($B34="","",IFERROR(IF(ABS(INDEX(Mapping!$D$5:$D$104,MATCH(B34,Mapping!$A$5:$A$104,0))-Q34)&gt;P_Tol,1,0),0))</f>
        <v/>
      </c>
      <c r="BV34" s="124" t="str">
        <f>IF($B34="","",IFERROR(IF(AND(INDEX(Mapping!$G$5:$G$104,MATCH(B34,Mapping!$A$5:$A$104,0))="Nee",ABS(Q34)+ABS(Z34)+ABS(AR34)&gt;0),1,0),0))</f>
        <v/>
      </c>
      <c r="BW34" s="124" t="str">
        <f>IF($B34="","",IF(COUNTIF(Mapping!$A$5:$A$104,B34)&gt;0,1,0))</f>
        <v/>
      </c>
      <c r="BX34" s="124" t="str">
        <f>IF($B34="","",IF(BR34=0,COUNTIF($BR$6:BR34,0),""))</f>
        <v/>
      </c>
    </row>
    <row r="35">
      <c r="A35" s="15" t="n">
        <v>31</v>
      </c>
      <c r="B35" t="str">
        <f>IF(B$3=0,"",IF(INDEX(SRC_Woningetalage!$A$1:$ZZ$501,$A35,B$3)&amp;""="","",INDEX(SRC_Woningetalage!$A$1:$ZZ$501,$A35,B$3)&amp;""))</f>
        <v/>
      </c>
      <c r="C35" t="str">
        <f>IF($B35="","",IF(C$3=0,"n.b.",INDEX(SRC_Woningetalage!$A$1:$ZZ$501,$A35,C$3)))</f>
        <v/>
      </c>
      <c r="D35" t="str">
        <f>IF($B35="","",IF(D$3=0,"n.b.",INDEX(SRC_Woningetalage!$A$1:$ZZ$501,$A35,D$3)))</f>
        <v/>
      </c>
      <c r="E35" t="str">
        <f>IF($B35="","",IF(E$3=0,"n.b.",INDEX(SRC_Woningetalage!$A$1:$ZZ$501,$A35,E$3)))</f>
        <v/>
      </c>
      <c r="F35" t="str">
        <f>IF($B35="","",IF(F$3=0,"n.b.",INDEX(SRC_Woningetalage!$A$1:$ZZ$501,$A35,F$3)))</f>
        <v/>
      </c>
      <c r="G35" t="str">
        <f>IF($B35="","",IF(G$3=0,"n.b.",INDEX(SRC_Woningetalage!$A$1:$ZZ$501,$A35,G$3)))</f>
        <v/>
      </c>
      <c r="H35" t="str">
        <f>IF($B35="","",IF(H$3=0,"n.b.",INDEX(SRC_Woningetalage!$A$1:$ZZ$501,$A35,H$3)))</f>
        <v/>
      </c>
      <c r="I35" t="str">
        <f>IF($B35="","",IF(I$3=0,"n.b.",INDEX(SRC_Woningetalage!$A$1:$ZZ$501,$A35,I$3)))</f>
        <v/>
      </c>
      <c r="J35" t="str">
        <f>IF($B35="","",IF(J$3=0,"n.b.",INDEX(SRC_Woningetalage!$A$1:$ZZ$501,$A35,J$3)))</f>
        <v/>
      </c>
      <c r="K35" t="str">
        <f>IF($B35="","",IF(K$3=0,"n.b.",INDEX(SRC_Woningetalage!$A$1:$ZZ$501,$A35,K$3)))</f>
        <v/>
      </c>
      <c r="L35" t="str">
        <f>IF($B35="","",IF(L$3=0,"n.b.",INDEX(SRC_Woningetalage!$A$1:$ZZ$501,$A35,L$3)))</f>
        <v/>
      </c>
      <c r="M35" t="str">
        <f>IF($B35="","",IF(M$3=0,"n.b.",INDEX(SRC_Woningetalage!$A$1:$ZZ$501,$A35,M$3)))</f>
        <v/>
      </c>
      <c r="N35" t="str">
        <f>IF($B35="","",IF(N$3=0,"n.b.",INDEX(SRC_Woningetalage!$A$1:$ZZ$501,$A35,N$3)))</f>
        <v/>
      </c>
      <c r="O35" t="str">
        <f>IF($B35="","",IF(O$3=0,"n.b.",INDEX(SRC_Woningetalage!$A$1:$ZZ$501,$A35,O$3)))</f>
        <v/>
      </c>
      <c r="P35" t="str">
        <f>IF($B35="","",IF(P$3=0,"n.b.",INDEX(SRC_Woningetalage!$A$1:$ZZ$501,$A35,P$3)))</f>
        <v/>
      </c>
      <c r="Q35" s="124" t="str">
        <f>IF($B35="","",IF(Q$3=0,"n.b.",INDEX(SRC_Woningetalage!$A$1:$ZZ$501,$A35,Q$3)))</f>
        <v/>
      </c>
      <c r="R35" s="124" t="str">
        <f>IF($B35="","",IF(R$3=0,"n.b.",INDEX(SRC_Woningetalage!$A$1:$ZZ$501,$A35,R$3)))</f>
        <v/>
      </c>
      <c r="S35" s="124" t="str">
        <f>IF($B35="","",IF(S$3=0,"n.b.",INDEX(SRC_Woningetalage!$A$1:$ZZ$501,$A35,S$3)))</f>
        <v/>
      </c>
      <c r="T35" s="124" t="str">
        <f>IF($B35="","",IF(T$3=0,"n.b.",INDEX(SRC_Woningetalage!$A$1:$ZZ$501,$A35,T$3)))</f>
        <v/>
      </c>
      <c r="U35" s="124" t="str">
        <f>IF($B35="","",IF(U$3=0,"n.b.",INDEX(SRC_Woningetalage!$A$1:$ZZ$501,$A35,U$3)))</f>
        <v/>
      </c>
      <c r="V35" s="124" t="str">
        <f>IF($B35="","",IF(V$3=0,"n.b.",INDEX(SRC_Woningetalage!$A$1:$ZZ$501,$A35,V$3)))</f>
        <v/>
      </c>
      <c r="W35" s="124" t="str">
        <f>IF($B35="","",IF(W$3=0,"n.b.",INDEX(SRC_Woningetalage!$A$1:$ZZ$501,$A35,W$3)))</f>
        <v/>
      </c>
      <c r="X35" s="124" t="str">
        <f>IF($B35="","",IF(X$3=0,"n.b.",INDEX(SRC_Woningetalage!$A$1:$ZZ$501,$A35,X$3)))</f>
        <v/>
      </c>
      <c r="Y35" s="124" t="str">
        <f>IF($B35="","",IF(Y$3=0,"n.b.",INDEX(SRC_Woningetalage!$A$1:$ZZ$501,$A35,Y$3)))</f>
        <v/>
      </c>
      <c r="Z35" s="124" t="str">
        <f>IF($B35="","",IF(Z$3=0,"n.b.",INDEX(SRC_Woningetalage!$A$1:$ZZ$501,$A35,Z$3)))</f>
        <v/>
      </c>
      <c r="AA35" s="124" t="str">
        <f>IF($B35="","",IF(AA$3=0,"n.b.",INDEX(SRC_Woningetalage!$A$1:$ZZ$501,$A35,AA$3)))</f>
        <v/>
      </c>
      <c r="AB35" s="124" t="str">
        <f>IF($B35="","",IF(AB$3=0,"n.b.",INDEX(SRC_Woningetalage!$A$1:$ZZ$501,$A35,AB$3)))</f>
        <v/>
      </c>
      <c r="AC35" s="124" t="str">
        <f>IF($B35="","",IF(AC$3=0,"n.b.",INDEX(SRC_Woningetalage!$A$1:$ZZ$501,$A35,AC$3)))</f>
        <v/>
      </c>
      <c r="AD35" s="124" t="str">
        <f>IF($B35="","",IF(AD$3=0,"n.b.",INDEX(SRC_Woningetalage!$A$1:$ZZ$501,$A35,AD$3)))</f>
        <v/>
      </c>
      <c r="AE35" s="124" t="str">
        <f>IF($B35="","",IF(AE$3=0,"n.b.",INDEX(SRC_Woningetalage!$A$1:$ZZ$501,$A35,AE$3)))</f>
        <v/>
      </c>
      <c r="AF35" s="124" t="str">
        <f>IF($B35="","",IF(AF$3=0,"n.b.",INDEX(SRC_Woningetalage!$A$1:$ZZ$501,$A35,AF$3)))</f>
        <v/>
      </c>
      <c r="AG35" s="124" t="str">
        <f>IF($B35="","",IF(AG$3=0,"n.b.",INDEX(SRC_Woningetalage!$A$1:$ZZ$501,$A35,AG$3)))</f>
        <v/>
      </c>
      <c r="AH35" s="124" t="str">
        <f>IF($B35="","",IF(AH$3=0,"n.b.",INDEX(SRC_Woningetalage!$A$1:$ZZ$501,$A35,AH$3)))</f>
        <v/>
      </c>
      <c r="AI35" s="124" t="str">
        <f>IF($B35="","",IF(AI$3=0,"n.b.",INDEX(SRC_Woningetalage!$A$1:$ZZ$501,$A35,AI$3)))</f>
        <v/>
      </c>
      <c r="AJ35" s="124" t="str">
        <f>IF($B35="","",IF(AJ$3=0,"n.b.",INDEX(SRC_Woningetalage!$A$1:$ZZ$501,$A35,AJ$3)))</f>
        <v/>
      </c>
      <c r="AK35" s="124" t="str">
        <f>IF($B35="","",IF(AK$3=0,"n.b.",INDEX(SRC_Woningetalage!$A$1:$ZZ$501,$A35,AK$3)))</f>
        <v/>
      </c>
      <c r="AL35" s="124" t="str">
        <f>IF($B35="","",IF(AL$3=0,"n.b.",INDEX(SRC_Woningetalage!$A$1:$ZZ$501,$A35,AL$3)))</f>
        <v/>
      </c>
      <c r="AM35" s="124" t="str">
        <f>IF($B35="","",IF(AM$3=0,"n.b.",INDEX(SRC_Woningetalage!$A$1:$ZZ$501,$A35,AM$3)))</f>
        <v/>
      </c>
      <c r="AN35" s="124" t="str">
        <f>IF($B35="","",IF(AN$3=0,"n.b.",INDEX(SRC_Woningetalage!$A$1:$ZZ$501,$A35,AN$3)))</f>
        <v/>
      </c>
      <c r="AO35" s="124" t="str">
        <f>IF($B35="","",IF(AO$3=0,"n.b.",INDEX(SRC_Woningetalage!$A$1:$ZZ$501,$A35,AO$3)))</f>
        <v/>
      </c>
      <c r="AP35" s="124" t="str">
        <f>IF($B35="","",IF(AP$3=0,"n.b.",INDEX(SRC_Woningetalage!$A$1:$ZZ$501,$A35,AP$3)))</f>
        <v/>
      </c>
      <c r="AQ35" s="124" t="str">
        <f>IF($B35="","",IF(AQ$3=0,"n.b.",INDEX(SRC_Woningetalage!$A$1:$ZZ$501,$A35,AQ$3)))</f>
        <v/>
      </c>
      <c r="AR35" s="124" t="str">
        <f>IF($B35="","",IF(AR$3=0,"n.b.",INDEX(SRC_Woningetalage!$A$1:$ZZ$501,$A35,AR$3)))</f>
        <v/>
      </c>
      <c r="AS35" s="124" t="str">
        <f>IF($B35="","",IF(AS$3=0,"n.b.",INDEX(SRC_Woningetalage!$A$1:$ZZ$501,$A35,AS$3)))</f>
        <v/>
      </c>
      <c r="AT35" s="124" t="str">
        <f>IF($B35="","",IF(AT$3=0,"n.b.",INDEX(SRC_Woningetalage!$A$1:$ZZ$501,$A35,AT$3)))</f>
        <v/>
      </c>
      <c r="AU35" s="124" t="str">
        <f>IF($B35="","",IF(AU$3=0,"n.b.",INDEX(SRC_Woningetalage!$A$1:$ZZ$501,$A35,AU$3)))</f>
        <v/>
      </c>
      <c r="AV35" s="124" t="str">
        <f>IF($B35="","",IF(AV$3=0,"n.b.",INDEX(SRC_Woningetalage!$A$1:$ZZ$501,$A35,AV$3)))</f>
        <v/>
      </c>
      <c r="AW35" s="124" t="str">
        <f>IF($B35="","",IF(AW$3=0,"n.b.",INDEX(SRC_Woningetalage!$A$1:$ZZ$501,$A35,AW$3)))</f>
        <v/>
      </c>
      <c r="AX35" s="124" t="str">
        <f>IF($B35="","",IF(AX$3=0,"n.b.",INDEX(SRC_Woningetalage!$A$1:$ZZ$501,$A35,AX$3)))</f>
        <v/>
      </c>
      <c r="AY35" s="124" t="str">
        <f>IF($B35="","",IF(AY$3=0,"n.b.",INDEX(SRC_Woningetalage!$A$1:$ZZ$501,$A35,AY$3)))</f>
        <v/>
      </c>
      <c r="AZ35" s="124" t="str">
        <f>IF($B35="","",IF(AZ$3=0,"n.b.",INDEX(SRC_Woningetalage!$A$1:$ZZ$501,$A35,AZ$3)))</f>
        <v/>
      </c>
      <c r="BA35" s="124" t="str">
        <f>IF($B35="","",IF(BA$3=0,"n.b.",INDEX(SRC_Woningetalage!$A$1:$ZZ$501,$A35,BA$3)))</f>
        <v/>
      </c>
      <c r="BB35" s="124" t="str">
        <f>IF($B35="","",IF(BB$3=0,"n.b.",INDEX(SRC_Woningetalage!$A$1:$ZZ$501,$A35,BB$3)))</f>
        <v/>
      </c>
      <c r="BC35" s="124" t="str">
        <f>IF($B35="","",IFERROR(_xlfn.NUMBERVALUE(E35&amp;"",",","."),"n.b."))</f>
        <v/>
      </c>
      <c r="BD35" s="124" t="str">
        <f>IF($B35="","",IFERROR(_xlfn.NUMBERVALUE(M35&amp;"",",","."),"n.b."))</f>
        <v/>
      </c>
      <c r="BE35" s="124" t="str">
        <f>IF($B35="","",IFERROR(AB35+AC35+AD35,"n.b."))</f>
        <v/>
      </c>
      <c r="BF35" s="124" t="str">
        <f>IF($B35="","",IFERROR(AE35+AF35+AG35,"n.b."))</f>
        <v/>
      </c>
      <c r="BG35" s="124" t="str">
        <f>IF($B35="","",IFERROR(AH35+AI35+AJ35,"n.b."))</f>
        <v/>
      </c>
      <c r="BH35" s="124" t="str">
        <f>IF($B35="","",IFERROR(AK35+AL35+AM35,"n.b."))</f>
        <v/>
      </c>
      <c r="BI35" s="124" t="str">
        <f>IF($B35="","",IFERROR(SUMIF($AB$5:$AM$5,"&lt;="&amp;P_PeilMaand,AB35:AM35),"n.b."))</f>
        <v/>
      </c>
      <c r="BJ35" s="124" t="str">
        <f>IF($B35="","",IFERROR(SUM(AB35:AM35)-BI35,"n.b."))</f>
        <v/>
      </c>
      <c r="BK35" s="124" t="str">
        <f>IF($B35="","",IFERROR(IF(ABS(Q35-(T35+SUM(AB35:AM35)+AS35+AU35))&gt;P_Tol,1,0),1))</f>
        <v/>
      </c>
      <c r="BL35" s="124" t="str">
        <f>IF($B35="","",IFERROR(IF(ABS(AA35-(Q35-Z35))&gt;P_Tol,1,0),1))</f>
        <v/>
      </c>
      <c r="BM35" s="124" t="str">
        <f>IF($B35="","",IFERROR(IF(ABS(Z35-(T35+W35))&gt;P_Tol,1,0),1))</f>
        <v/>
      </c>
      <c r="BN35" s="124" t="str">
        <f>IF($B35="","",IFERROR(IF(ABS(W35-BI35)&gt;P_Tol,1,0),1))</f>
        <v/>
      </c>
      <c r="BO35" s="124" t="str">
        <f>IF($B35="","",IFERROR(IF(OR(ABS(R35+S35-T35)&gt;P_Tol,ABS(U35+V35-W35)&gt;P_Tol,ABS(X35+Y35-Z35)&gt;P_Tol),1,0),1))</f>
        <v/>
      </c>
      <c r="BP35" s="124" t="str">
        <f>IF($B35="","",IFERROR(IF(OR(ABS(AR35-SUM(AB35:AM35))&gt;P_Tol,ABS(AS35-(AN35+AO35+AP35+AQ35))&gt;P_Tol),1,0),1))</f>
        <v/>
      </c>
      <c r="BQ35" s="124" t="str">
        <f>IF($B35="","",IFERROR(IF(ABS(AT35)+ABS(AV35)+ABS(AW35)+ABS(AX35)+ABS(AY35)+ABS(AZ35)+ABS(BA35)+ABS(BB35)&gt;0,1,0),1))</f>
        <v/>
      </c>
      <c r="BR35" s="124" t="str">
        <f>IF($B35="","",COUNTIF(STG_ZPMW03!$B$6:$B$505,B35))</f>
        <v/>
      </c>
      <c r="BS35" s="124" t="str">
        <f>IF($B35="","",COUNTIF($B$6:$B$505,B35))</f>
        <v/>
      </c>
      <c r="BT35" s="124" t="str">
        <f>IF($B35="","",IF(BR35=0,0,IF(INDEX(STG_ZPMW03!$I$6:$I$505,MATCH(B35,STG_ZPMW03!$B$6:$B$505,0))=J35&amp;"",0,1)))</f>
        <v/>
      </c>
      <c r="BU35" s="124" t="str">
        <f>IF($B35="","",IFERROR(IF(ABS(INDEX(Mapping!$D$5:$D$104,MATCH(B35,Mapping!$A$5:$A$104,0))-Q35)&gt;P_Tol,1,0),0))</f>
        <v/>
      </c>
      <c r="BV35" s="124" t="str">
        <f>IF($B35="","",IFERROR(IF(AND(INDEX(Mapping!$G$5:$G$104,MATCH(B35,Mapping!$A$5:$A$104,0))="Nee",ABS(Q35)+ABS(Z35)+ABS(AR35)&gt;0),1,0),0))</f>
        <v/>
      </c>
      <c r="BW35" s="124" t="str">
        <f>IF($B35="","",IF(COUNTIF(Mapping!$A$5:$A$104,B35)&gt;0,1,0))</f>
        <v/>
      </c>
      <c r="BX35" s="124" t="str">
        <f>IF($B35="","",IF(BR35=0,COUNTIF($BR$6:BR35,0),""))</f>
        <v/>
      </c>
    </row>
    <row r="36">
      <c r="A36" s="15" t="n">
        <v>32</v>
      </c>
      <c r="B36" t="str">
        <f>IF(B$3=0,"",IF(INDEX(SRC_Woningetalage!$A$1:$ZZ$501,$A36,B$3)&amp;""="","",INDEX(SRC_Woningetalage!$A$1:$ZZ$501,$A36,B$3)&amp;""))</f>
        <v/>
      </c>
      <c r="C36" t="str">
        <f>IF($B36="","",IF(C$3=0,"n.b.",INDEX(SRC_Woningetalage!$A$1:$ZZ$501,$A36,C$3)))</f>
        <v/>
      </c>
      <c r="D36" t="str">
        <f>IF($B36="","",IF(D$3=0,"n.b.",INDEX(SRC_Woningetalage!$A$1:$ZZ$501,$A36,D$3)))</f>
        <v/>
      </c>
      <c r="E36" t="str">
        <f>IF($B36="","",IF(E$3=0,"n.b.",INDEX(SRC_Woningetalage!$A$1:$ZZ$501,$A36,E$3)))</f>
        <v/>
      </c>
      <c r="F36" t="str">
        <f>IF($B36="","",IF(F$3=0,"n.b.",INDEX(SRC_Woningetalage!$A$1:$ZZ$501,$A36,F$3)))</f>
        <v/>
      </c>
      <c r="G36" t="str">
        <f>IF($B36="","",IF(G$3=0,"n.b.",INDEX(SRC_Woningetalage!$A$1:$ZZ$501,$A36,G$3)))</f>
        <v/>
      </c>
      <c r="H36" t="str">
        <f>IF($B36="","",IF(H$3=0,"n.b.",INDEX(SRC_Woningetalage!$A$1:$ZZ$501,$A36,H$3)))</f>
        <v/>
      </c>
      <c r="I36" t="str">
        <f>IF($B36="","",IF(I$3=0,"n.b.",INDEX(SRC_Woningetalage!$A$1:$ZZ$501,$A36,I$3)))</f>
        <v/>
      </c>
      <c r="J36" t="str">
        <f>IF($B36="","",IF(J$3=0,"n.b.",INDEX(SRC_Woningetalage!$A$1:$ZZ$501,$A36,J$3)))</f>
        <v/>
      </c>
      <c r="K36" t="str">
        <f>IF($B36="","",IF(K$3=0,"n.b.",INDEX(SRC_Woningetalage!$A$1:$ZZ$501,$A36,K$3)))</f>
        <v/>
      </c>
      <c r="L36" t="str">
        <f>IF($B36="","",IF(L$3=0,"n.b.",INDEX(SRC_Woningetalage!$A$1:$ZZ$501,$A36,L$3)))</f>
        <v/>
      </c>
      <c r="M36" t="str">
        <f>IF($B36="","",IF(M$3=0,"n.b.",INDEX(SRC_Woningetalage!$A$1:$ZZ$501,$A36,M$3)))</f>
        <v/>
      </c>
      <c r="N36" t="str">
        <f>IF($B36="","",IF(N$3=0,"n.b.",INDEX(SRC_Woningetalage!$A$1:$ZZ$501,$A36,N$3)))</f>
        <v/>
      </c>
      <c r="O36" t="str">
        <f>IF($B36="","",IF(O$3=0,"n.b.",INDEX(SRC_Woningetalage!$A$1:$ZZ$501,$A36,O$3)))</f>
        <v/>
      </c>
      <c r="P36" t="str">
        <f>IF($B36="","",IF(P$3=0,"n.b.",INDEX(SRC_Woningetalage!$A$1:$ZZ$501,$A36,P$3)))</f>
        <v/>
      </c>
      <c r="Q36" s="124" t="str">
        <f>IF($B36="","",IF(Q$3=0,"n.b.",INDEX(SRC_Woningetalage!$A$1:$ZZ$501,$A36,Q$3)))</f>
        <v/>
      </c>
      <c r="R36" s="124" t="str">
        <f>IF($B36="","",IF(R$3=0,"n.b.",INDEX(SRC_Woningetalage!$A$1:$ZZ$501,$A36,R$3)))</f>
        <v/>
      </c>
      <c r="S36" s="124" t="str">
        <f>IF($B36="","",IF(S$3=0,"n.b.",INDEX(SRC_Woningetalage!$A$1:$ZZ$501,$A36,S$3)))</f>
        <v/>
      </c>
      <c r="T36" s="124" t="str">
        <f>IF($B36="","",IF(T$3=0,"n.b.",INDEX(SRC_Woningetalage!$A$1:$ZZ$501,$A36,T$3)))</f>
        <v/>
      </c>
      <c r="U36" s="124" t="str">
        <f>IF($B36="","",IF(U$3=0,"n.b.",INDEX(SRC_Woningetalage!$A$1:$ZZ$501,$A36,U$3)))</f>
        <v/>
      </c>
      <c r="V36" s="124" t="str">
        <f>IF($B36="","",IF(V$3=0,"n.b.",INDEX(SRC_Woningetalage!$A$1:$ZZ$501,$A36,V$3)))</f>
        <v/>
      </c>
      <c r="W36" s="124" t="str">
        <f>IF($B36="","",IF(W$3=0,"n.b.",INDEX(SRC_Woningetalage!$A$1:$ZZ$501,$A36,W$3)))</f>
        <v/>
      </c>
      <c r="X36" s="124" t="str">
        <f>IF($B36="","",IF(X$3=0,"n.b.",INDEX(SRC_Woningetalage!$A$1:$ZZ$501,$A36,X$3)))</f>
        <v/>
      </c>
      <c r="Y36" s="124" t="str">
        <f>IF($B36="","",IF(Y$3=0,"n.b.",INDEX(SRC_Woningetalage!$A$1:$ZZ$501,$A36,Y$3)))</f>
        <v/>
      </c>
      <c r="Z36" s="124" t="str">
        <f>IF($B36="","",IF(Z$3=0,"n.b.",INDEX(SRC_Woningetalage!$A$1:$ZZ$501,$A36,Z$3)))</f>
        <v/>
      </c>
      <c r="AA36" s="124" t="str">
        <f>IF($B36="","",IF(AA$3=0,"n.b.",INDEX(SRC_Woningetalage!$A$1:$ZZ$501,$A36,AA$3)))</f>
        <v/>
      </c>
      <c r="AB36" s="124" t="str">
        <f>IF($B36="","",IF(AB$3=0,"n.b.",INDEX(SRC_Woningetalage!$A$1:$ZZ$501,$A36,AB$3)))</f>
        <v/>
      </c>
      <c r="AC36" s="124" t="str">
        <f>IF($B36="","",IF(AC$3=0,"n.b.",INDEX(SRC_Woningetalage!$A$1:$ZZ$501,$A36,AC$3)))</f>
        <v/>
      </c>
      <c r="AD36" s="124" t="str">
        <f>IF($B36="","",IF(AD$3=0,"n.b.",INDEX(SRC_Woningetalage!$A$1:$ZZ$501,$A36,AD$3)))</f>
        <v/>
      </c>
      <c r="AE36" s="124" t="str">
        <f>IF($B36="","",IF(AE$3=0,"n.b.",INDEX(SRC_Woningetalage!$A$1:$ZZ$501,$A36,AE$3)))</f>
        <v/>
      </c>
      <c r="AF36" s="124" t="str">
        <f>IF($B36="","",IF(AF$3=0,"n.b.",INDEX(SRC_Woningetalage!$A$1:$ZZ$501,$A36,AF$3)))</f>
        <v/>
      </c>
      <c r="AG36" s="124" t="str">
        <f>IF($B36="","",IF(AG$3=0,"n.b.",INDEX(SRC_Woningetalage!$A$1:$ZZ$501,$A36,AG$3)))</f>
        <v/>
      </c>
      <c r="AH36" s="124" t="str">
        <f>IF($B36="","",IF(AH$3=0,"n.b.",INDEX(SRC_Woningetalage!$A$1:$ZZ$501,$A36,AH$3)))</f>
        <v/>
      </c>
      <c r="AI36" s="124" t="str">
        <f>IF($B36="","",IF(AI$3=0,"n.b.",INDEX(SRC_Woningetalage!$A$1:$ZZ$501,$A36,AI$3)))</f>
        <v/>
      </c>
      <c r="AJ36" s="124" t="str">
        <f>IF($B36="","",IF(AJ$3=0,"n.b.",INDEX(SRC_Woningetalage!$A$1:$ZZ$501,$A36,AJ$3)))</f>
        <v/>
      </c>
      <c r="AK36" s="124" t="str">
        <f>IF($B36="","",IF(AK$3=0,"n.b.",INDEX(SRC_Woningetalage!$A$1:$ZZ$501,$A36,AK$3)))</f>
        <v/>
      </c>
      <c r="AL36" s="124" t="str">
        <f>IF($B36="","",IF(AL$3=0,"n.b.",INDEX(SRC_Woningetalage!$A$1:$ZZ$501,$A36,AL$3)))</f>
        <v/>
      </c>
      <c r="AM36" s="124" t="str">
        <f>IF($B36="","",IF(AM$3=0,"n.b.",INDEX(SRC_Woningetalage!$A$1:$ZZ$501,$A36,AM$3)))</f>
        <v/>
      </c>
      <c r="AN36" s="124" t="str">
        <f>IF($B36="","",IF(AN$3=0,"n.b.",INDEX(SRC_Woningetalage!$A$1:$ZZ$501,$A36,AN$3)))</f>
        <v/>
      </c>
      <c r="AO36" s="124" t="str">
        <f>IF($B36="","",IF(AO$3=0,"n.b.",INDEX(SRC_Woningetalage!$A$1:$ZZ$501,$A36,AO$3)))</f>
        <v/>
      </c>
      <c r="AP36" s="124" t="str">
        <f>IF($B36="","",IF(AP$3=0,"n.b.",INDEX(SRC_Woningetalage!$A$1:$ZZ$501,$A36,AP$3)))</f>
        <v/>
      </c>
      <c r="AQ36" s="124" t="str">
        <f>IF($B36="","",IF(AQ$3=0,"n.b.",INDEX(SRC_Woningetalage!$A$1:$ZZ$501,$A36,AQ$3)))</f>
        <v/>
      </c>
      <c r="AR36" s="124" t="str">
        <f>IF($B36="","",IF(AR$3=0,"n.b.",INDEX(SRC_Woningetalage!$A$1:$ZZ$501,$A36,AR$3)))</f>
        <v/>
      </c>
      <c r="AS36" s="124" t="str">
        <f>IF($B36="","",IF(AS$3=0,"n.b.",INDEX(SRC_Woningetalage!$A$1:$ZZ$501,$A36,AS$3)))</f>
        <v/>
      </c>
      <c r="AT36" s="124" t="str">
        <f>IF($B36="","",IF(AT$3=0,"n.b.",INDEX(SRC_Woningetalage!$A$1:$ZZ$501,$A36,AT$3)))</f>
        <v/>
      </c>
      <c r="AU36" s="124" t="str">
        <f>IF($B36="","",IF(AU$3=0,"n.b.",INDEX(SRC_Woningetalage!$A$1:$ZZ$501,$A36,AU$3)))</f>
        <v/>
      </c>
      <c r="AV36" s="124" t="str">
        <f>IF($B36="","",IF(AV$3=0,"n.b.",INDEX(SRC_Woningetalage!$A$1:$ZZ$501,$A36,AV$3)))</f>
        <v/>
      </c>
      <c r="AW36" s="124" t="str">
        <f>IF($B36="","",IF(AW$3=0,"n.b.",INDEX(SRC_Woningetalage!$A$1:$ZZ$501,$A36,AW$3)))</f>
        <v/>
      </c>
      <c r="AX36" s="124" t="str">
        <f>IF($B36="","",IF(AX$3=0,"n.b.",INDEX(SRC_Woningetalage!$A$1:$ZZ$501,$A36,AX$3)))</f>
        <v/>
      </c>
      <c r="AY36" s="124" t="str">
        <f>IF($B36="","",IF(AY$3=0,"n.b.",INDEX(SRC_Woningetalage!$A$1:$ZZ$501,$A36,AY$3)))</f>
        <v/>
      </c>
      <c r="AZ36" s="124" t="str">
        <f>IF($B36="","",IF(AZ$3=0,"n.b.",INDEX(SRC_Woningetalage!$A$1:$ZZ$501,$A36,AZ$3)))</f>
        <v/>
      </c>
      <c r="BA36" s="124" t="str">
        <f>IF($B36="","",IF(BA$3=0,"n.b.",INDEX(SRC_Woningetalage!$A$1:$ZZ$501,$A36,BA$3)))</f>
        <v/>
      </c>
      <c r="BB36" s="124" t="str">
        <f>IF($B36="","",IF(BB$3=0,"n.b.",INDEX(SRC_Woningetalage!$A$1:$ZZ$501,$A36,BB$3)))</f>
        <v/>
      </c>
      <c r="BC36" s="124" t="str">
        <f>IF($B36="","",IFERROR(_xlfn.NUMBERVALUE(E36&amp;"",",","."),"n.b."))</f>
        <v/>
      </c>
      <c r="BD36" s="124" t="str">
        <f>IF($B36="","",IFERROR(_xlfn.NUMBERVALUE(M36&amp;"",",","."),"n.b."))</f>
        <v/>
      </c>
      <c r="BE36" s="124" t="str">
        <f>IF($B36="","",IFERROR(AB36+AC36+AD36,"n.b."))</f>
        <v/>
      </c>
      <c r="BF36" s="124" t="str">
        <f>IF($B36="","",IFERROR(AE36+AF36+AG36,"n.b."))</f>
        <v/>
      </c>
      <c r="BG36" s="124" t="str">
        <f>IF($B36="","",IFERROR(AH36+AI36+AJ36,"n.b."))</f>
        <v/>
      </c>
      <c r="BH36" s="124" t="str">
        <f>IF($B36="","",IFERROR(AK36+AL36+AM36,"n.b."))</f>
        <v/>
      </c>
      <c r="BI36" s="124" t="str">
        <f>IF($B36="","",IFERROR(SUMIF($AB$5:$AM$5,"&lt;="&amp;P_PeilMaand,AB36:AM36),"n.b."))</f>
        <v/>
      </c>
      <c r="BJ36" s="124" t="str">
        <f>IF($B36="","",IFERROR(SUM(AB36:AM36)-BI36,"n.b."))</f>
        <v/>
      </c>
      <c r="BK36" s="124" t="str">
        <f>IF($B36="","",IFERROR(IF(ABS(Q36-(T36+SUM(AB36:AM36)+AS36+AU36))&gt;P_Tol,1,0),1))</f>
        <v/>
      </c>
      <c r="BL36" s="124" t="str">
        <f>IF($B36="","",IFERROR(IF(ABS(AA36-(Q36-Z36))&gt;P_Tol,1,0),1))</f>
        <v/>
      </c>
      <c r="BM36" s="124" t="str">
        <f>IF($B36="","",IFERROR(IF(ABS(Z36-(T36+W36))&gt;P_Tol,1,0),1))</f>
        <v/>
      </c>
      <c r="BN36" s="124" t="str">
        <f>IF($B36="","",IFERROR(IF(ABS(W36-BI36)&gt;P_Tol,1,0),1))</f>
        <v/>
      </c>
      <c r="BO36" s="124" t="str">
        <f>IF($B36="","",IFERROR(IF(OR(ABS(R36+S36-T36)&gt;P_Tol,ABS(U36+V36-W36)&gt;P_Tol,ABS(X36+Y36-Z36)&gt;P_Tol),1,0),1))</f>
        <v/>
      </c>
      <c r="BP36" s="124" t="str">
        <f>IF($B36="","",IFERROR(IF(OR(ABS(AR36-SUM(AB36:AM36))&gt;P_Tol,ABS(AS36-(AN36+AO36+AP36+AQ36))&gt;P_Tol),1,0),1))</f>
        <v/>
      </c>
      <c r="BQ36" s="124" t="str">
        <f>IF($B36="","",IFERROR(IF(ABS(AT36)+ABS(AV36)+ABS(AW36)+ABS(AX36)+ABS(AY36)+ABS(AZ36)+ABS(BA36)+ABS(BB36)&gt;0,1,0),1))</f>
        <v/>
      </c>
      <c r="BR36" s="124" t="str">
        <f>IF($B36="","",COUNTIF(STG_ZPMW03!$B$6:$B$505,B36))</f>
        <v/>
      </c>
      <c r="BS36" s="124" t="str">
        <f>IF($B36="","",COUNTIF($B$6:$B$505,B36))</f>
        <v/>
      </c>
      <c r="BT36" s="124" t="str">
        <f>IF($B36="","",IF(BR36=0,0,IF(INDEX(STG_ZPMW03!$I$6:$I$505,MATCH(B36,STG_ZPMW03!$B$6:$B$505,0))=J36&amp;"",0,1)))</f>
        <v/>
      </c>
      <c r="BU36" s="124" t="str">
        <f>IF($B36="","",IFERROR(IF(ABS(INDEX(Mapping!$D$5:$D$104,MATCH(B36,Mapping!$A$5:$A$104,0))-Q36)&gt;P_Tol,1,0),0))</f>
        <v/>
      </c>
      <c r="BV36" s="124" t="str">
        <f>IF($B36="","",IFERROR(IF(AND(INDEX(Mapping!$G$5:$G$104,MATCH(B36,Mapping!$A$5:$A$104,0))="Nee",ABS(Q36)+ABS(Z36)+ABS(AR36)&gt;0),1,0),0))</f>
        <v/>
      </c>
      <c r="BW36" s="124" t="str">
        <f>IF($B36="","",IF(COUNTIF(Mapping!$A$5:$A$104,B36)&gt;0,1,0))</f>
        <v/>
      </c>
      <c r="BX36" s="124" t="str">
        <f>IF($B36="","",IF(BR36=0,COUNTIF($BR$6:BR36,0),""))</f>
        <v/>
      </c>
    </row>
    <row r="37">
      <c r="A37" s="15" t="n">
        <v>33</v>
      </c>
      <c r="B37" t="str">
        <f>IF(B$3=0,"",IF(INDEX(SRC_Woningetalage!$A$1:$ZZ$501,$A37,B$3)&amp;""="","",INDEX(SRC_Woningetalage!$A$1:$ZZ$501,$A37,B$3)&amp;""))</f>
        <v/>
      </c>
      <c r="C37" t="str">
        <f>IF($B37="","",IF(C$3=0,"n.b.",INDEX(SRC_Woningetalage!$A$1:$ZZ$501,$A37,C$3)))</f>
        <v/>
      </c>
      <c r="D37" t="str">
        <f>IF($B37="","",IF(D$3=0,"n.b.",INDEX(SRC_Woningetalage!$A$1:$ZZ$501,$A37,D$3)))</f>
        <v/>
      </c>
      <c r="E37" t="str">
        <f>IF($B37="","",IF(E$3=0,"n.b.",INDEX(SRC_Woningetalage!$A$1:$ZZ$501,$A37,E$3)))</f>
        <v/>
      </c>
      <c r="F37" t="str">
        <f>IF($B37="","",IF(F$3=0,"n.b.",INDEX(SRC_Woningetalage!$A$1:$ZZ$501,$A37,F$3)))</f>
        <v/>
      </c>
      <c r="G37" t="str">
        <f>IF($B37="","",IF(G$3=0,"n.b.",INDEX(SRC_Woningetalage!$A$1:$ZZ$501,$A37,G$3)))</f>
        <v/>
      </c>
      <c r="H37" t="str">
        <f>IF($B37="","",IF(H$3=0,"n.b.",INDEX(SRC_Woningetalage!$A$1:$ZZ$501,$A37,H$3)))</f>
        <v/>
      </c>
      <c r="I37" t="str">
        <f>IF($B37="","",IF(I$3=0,"n.b.",INDEX(SRC_Woningetalage!$A$1:$ZZ$501,$A37,I$3)))</f>
        <v/>
      </c>
      <c r="J37" t="str">
        <f>IF($B37="","",IF(J$3=0,"n.b.",INDEX(SRC_Woningetalage!$A$1:$ZZ$501,$A37,J$3)))</f>
        <v/>
      </c>
      <c r="K37" t="str">
        <f>IF($B37="","",IF(K$3=0,"n.b.",INDEX(SRC_Woningetalage!$A$1:$ZZ$501,$A37,K$3)))</f>
        <v/>
      </c>
      <c r="L37" t="str">
        <f>IF($B37="","",IF(L$3=0,"n.b.",INDEX(SRC_Woningetalage!$A$1:$ZZ$501,$A37,L$3)))</f>
        <v/>
      </c>
      <c r="M37" t="str">
        <f>IF($B37="","",IF(M$3=0,"n.b.",INDEX(SRC_Woningetalage!$A$1:$ZZ$501,$A37,M$3)))</f>
        <v/>
      </c>
      <c r="N37" t="str">
        <f>IF($B37="","",IF(N$3=0,"n.b.",INDEX(SRC_Woningetalage!$A$1:$ZZ$501,$A37,N$3)))</f>
        <v/>
      </c>
      <c r="O37" t="str">
        <f>IF($B37="","",IF(O$3=0,"n.b.",INDEX(SRC_Woningetalage!$A$1:$ZZ$501,$A37,O$3)))</f>
        <v/>
      </c>
      <c r="P37" t="str">
        <f>IF($B37="","",IF(P$3=0,"n.b.",INDEX(SRC_Woningetalage!$A$1:$ZZ$501,$A37,P$3)))</f>
        <v/>
      </c>
      <c r="Q37" s="124" t="str">
        <f>IF($B37="","",IF(Q$3=0,"n.b.",INDEX(SRC_Woningetalage!$A$1:$ZZ$501,$A37,Q$3)))</f>
        <v/>
      </c>
      <c r="R37" s="124" t="str">
        <f>IF($B37="","",IF(R$3=0,"n.b.",INDEX(SRC_Woningetalage!$A$1:$ZZ$501,$A37,R$3)))</f>
        <v/>
      </c>
      <c r="S37" s="124" t="str">
        <f>IF($B37="","",IF(S$3=0,"n.b.",INDEX(SRC_Woningetalage!$A$1:$ZZ$501,$A37,S$3)))</f>
        <v/>
      </c>
      <c r="T37" s="124" t="str">
        <f>IF($B37="","",IF(T$3=0,"n.b.",INDEX(SRC_Woningetalage!$A$1:$ZZ$501,$A37,T$3)))</f>
        <v/>
      </c>
      <c r="U37" s="124" t="str">
        <f>IF($B37="","",IF(U$3=0,"n.b.",INDEX(SRC_Woningetalage!$A$1:$ZZ$501,$A37,U$3)))</f>
        <v/>
      </c>
      <c r="V37" s="124" t="str">
        <f>IF($B37="","",IF(V$3=0,"n.b.",INDEX(SRC_Woningetalage!$A$1:$ZZ$501,$A37,V$3)))</f>
        <v/>
      </c>
      <c r="W37" s="124" t="str">
        <f>IF($B37="","",IF(W$3=0,"n.b.",INDEX(SRC_Woningetalage!$A$1:$ZZ$501,$A37,W$3)))</f>
        <v/>
      </c>
      <c r="X37" s="124" t="str">
        <f>IF($B37="","",IF(X$3=0,"n.b.",INDEX(SRC_Woningetalage!$A$1:$ZZ$501,$A37,X$3)))</f>
        <v/>
      </c>
      <c r="Y37" s="124" t="str">
        <f>IF($B37="","",IF(Y$3=0,"n.b.",INDEX(SRC_Woningetalage!$A$1:$ZZ$501,$A37,Y$3)))</f>
        <v/>
      </c>
      <c r="Z37" s="124" t="str">
        <f>IF($B37="","",IF(Z$3=0,"n.b.",INDEX(SRC_Woningetalage!$A$1:$ZZ$501,$A37,Z$3)))</f>
        <v/>
      </c>
      <c r="AA37" s="124" t="str">
        <f>IF($B37="","",IF(AA$3=0,"n.b.",INDEX(SRC_Woningetalage!$A$1:$ZZ$501,$A37,AA$3)))</f>
        <v/>
      </c>
      <c r="AB37" s="124" t="str">
        <f>IF($B37="","",IF(AB$3=0,"n.b.",INDEX(SRC_Woningetalage!$A$1:$ZZ$501,$A37,AB$3)))</f>
        <v/>
      </c>
      <c r="AC37" s="124" t="str">
        <f>IF($B37="","",IF(AC$3=0,"n.b.",INDEX(SRC_Woningetalage!$A$1:$ZZ$501,$A37,AC$3)))</f>
        <v/>
      </c>
      <c r="AD37" s="124" t="str">
        <f>IF($B37="","",IF(AD$3=0,"n.b.",INDEX(SRC_Woningetalage!$A$1:$ZZ$501,$A37,AD$3)))</f>
        <v/>
      </c>
      <c r="AE37" s="124" t="str">
        <f>IF($B37="","",IF(AE$3=0,"n.b.",INDEX(SRC_Woningetalage!$A$1:$ZZ$501,$A37,AE$3)))</f>
        <v/>
      </c>
      <c r="AF37" s="124" t="str">
        <f>IF($B37="","",IF(AF$3=0,"n.b.",INDEX(SRC_Woningetalage!$A$1:$ZZ$501,$A37,AF$3)))</f>
        <v/>
      </c>
      <c r="AG37" s="124" t="str">
        <f>IF($B37="","",IF(AG$3=0,"n.b.",INDEX(SRC_Woningetalage!$A$1:$ZZ$501,$A37,AG$3)))</f>
        <v/>
      </c>
      <c r="AH37" s="124" t="str">
        <f>IF($B37="","",IF(AH$3=0,"n.b.",INDEX(SRC_Woningetalage!$A$1:$ZZ$501,$A37,AH$3)))</f>
        <v/>
      </c>
      <c r="AI37" s="124" t="str">
        <f>IF($B37="","",IF(AI$3=0,"n.b.",INDEX(SRC_Woningetalage!$A$1:$ZZ$501,$A37,AI$3)))</f>
        <v/>
      </c>
      <c r="AJ37" s="124" t="str">
        <f>IF($B37="","",IF(AJ$3=0,"n.b.",INDEX(SRC_Woningetalage!$A$1:$ZZ$501,$A37,AJ$3)))</f>
        <v/>
      </c>
      <c r="AK37" s="124" t="str">
        <f>IF($B37="","",IF(AK$3=0,"n.b.",INDEX(SRC_Woningetalage!$A$1:$ZZ$501,$A37,AK$3)))</f>
        <v/>
      </c>
      <c r="AL37" s="124" t="str">
        <f>IF($B37="","",IF(AL$3=0,"n.b.",INDEX(SRC_Woningetalage!$A$1:$ZZ$501,$A37,AL$3)))</f>
        <v/>
      </c>
      <c r="AM37" s="124" t="str">
        <f>IF($B37="","",IF(AM$3=0,"n.b.",INDEX(SRC_Woningetalage!$A$1:$ZZ$501,$A37,AM$3)))</f>
        <v/>
      </c>
      <c r="AN37" s="124" t="str">
        <f>IF($B37="","",IF(AN$3=0,"n.b.",INDEX(SRC_Woningetalage!$A$1:$ZZ$501,$A37,AN$3)))</f>
        <v/>
      </c>
      <c r="AO37" s="124" t="str">
        <f>IF($B37="","",IF(AO$3=0,"n.b.",INDEX(SRC_Woningetalage!$A$1:$ZZ$501,$A37,AO$3)))</f>
        <v/>
      </c>
      <c r="AP37" s="124" t="str">
        <f>IF($B37="","",IF(AP$3=0,"n.b.",INDEX(SRC_Woningetalage!$A$1:$ZZ$501,$A37,AP$3)))</f>
        <v/>
      </c>
      <c r="AQ37" s="124" t="str">
        <f>IF($B37="","",IF(AQ$3=0,"n.b.",INDEX(SRC_Woningetalage!$A$1:$ZZ$501,$A37,AQ$3)))</f>
        <v/>
      </c>
      <c r="AR37" s="124" t="str">
        <f>IF($B37="","",IF(AR$3=0,"n.b.",INDEX(SRC_Woningetalage!$A$1:$ZZ$501,$A37,AR$3)))</f>
        <v/>
      </c>
      <c r="AS37" s="124" t="str">
        <f>IF($B37="","",IF(AS$3=0,"n.b.",INDEX(SRC_Woningetalage!$A$1:$ZZ$501,$A37,AS$3)))</f>
        <v/>
      </c>
      <c r="AT37" s="124" t="str">
        <f>IF($B37="","",IF(AT$3=0,"n.b.",INDEX(SRC_Woningetalage!$A$1:$ZZ$501,$A37,AT$3)))</f>
        <v/>
      </c>
      <c r="AU37" s="124" t="str">
        <f>IF($B37="","",IF(AU$3=0,"n.b.",INDEX(SRC_Woningetalage!$A$1:$ZZ$501,$A37,AU$3)))</f>
        <v/>
      </c>
      <c r="AV37" s="124" t="str">
        <f>IF($B37="","",IF(AV$3=0,"n.b.",INDEX(SRC_Woningetalage!$A$1:$ZZ$501,$A37,AV$3)))</f>
        <v/>
      </c>
      <c r="AW37" s="124" t="str">
        <f>IF($B37="","",IF(AW$3=0,"n.b.",INDEX(SRC_Woningetalage!$A$1:$ZZ$501,$A37,AW$3)))</f>
        <v/>
      </c>
      <c r="AX37" s="124" t="str">
        <f>IF($B37="","",IF(AX$3=0,"n.b.",INDEX(SRC_Woningetalage!$A$1:$ZZ$501,$A37,AX$3)))</f>
        <v/>
      </c>
      <c r="AY37" s="124" t="str">
        <f>IF($B37="","",IF(AY$3=0,"n.b.",INDEX(SRC_Woningetalage!$A$1:$ZZ$501,$A37,AY$3)))</f>
        <v/>
      </c>
      <c r="AZ37" s="124" t="str">
        <f>IF($B37="","",IF(AZ$3=0,"n.b.",INDEX(SRC_Woningetalage!$A$1:$ZZ$501,$A37,AZ$3)))</f>
        <v/>
      </c>
      <c r="BA37" s="124" t="str">
        <f>IF($B37="","",IF(BA$3=0,"n.b.",INDEX(SRC_Woningetalage!$A$1:$ZZ$501,$A37,BA$3)))</f>
        <v/>
      </c>
      <c r="BB37" s="124" t="str">
        <f>IF($B37="","",IF(BB$3=0,"n.b.",INDEX(SRC_Woningetalage!$A$1:$ZZ$501,$A37,BB$3)))</f>
        <v/>
      </c>
      <c r="BC37" s="124" t="str">
        <f>IF($B37="","",IFERROR(_xlfn.NUMBERVALUE(E37&amp;"",",","."),"n.b."))</f>
        <v/>
      </c>
      <c r="BD37" s="124" t="str">
        <f>IF($B37="","",IFERROR(_xlfn.NUMBERVALUE(M37&amp;"",",","."),"n.b."))</f>
        <v/>
      </c>
      <c r="BE37" s="124" t="str">
        <f>IF($B37="","",IFERROR(AB37+AC37+AD37,"n.b."))</f>
        <v/>
      </c>
      <c r="BF37" s="124" t="str">
        <f>IF($B37="","",IFERROR(AE37+AF37+AG37,"n.b."))</f>
        <v/>
      </c>
      <c r="BG37" s="124" t="str">
        <f>IF($B37="","",IFERROR(AH37+AI37+AJ37,"n.b."))</f>
        <v/>
      </c>
      <c r="BH37" s="124" t="str">
        <f>IF($B37="","",IFERROR(AK37+AL37+AM37,"n.b."))</f>
        <v/>
      </c>
      <c r="BI37" s="124" t="str">
        <f>IF($B37="","",IFERROR(SUMIF($AB$5:$AM$5,"&lt;="&amp;P_PeilMaand,AB37:AM37),"n.b."))</f>
        <v/>
      </c>
      <c r="BJ37" s="124" t="str">
        <f>IF($B37="","",IFERROR(SUM(AB37:AM37)-BI37,"n.b."))</f>
        <v/>
      </c>
      <c r="BK37" s="124" t="str">
        <f>IF($B37="","",IFERROR(IF(ABS(Q37-(T37+SUM(AB37:AM37)+AS37+AU37))&gt;P_Tol,1,0),1))</f>
        <v/>
      </c>
      <c r="BL37" s="124" t="str">
        <f>IF($B37="","",IFERROR(IF(ABS(AA37-(Q37-Z37))&gt;P_Tol,1,0),1))</f>
        <v/>
      </c>
      <c r="BM37" s="124" t="str">
        <f>IF($B37="","",IFERROR(IF(ABS(Z37-(T37+W37))&gt;P_Tol,1,0),1))</f>
        <v/>
      </c>
      <c r="BN37" s="124" t="str">
        <f>IF($B37="","",IFERROR(IF(ABS(W37-BI37)&gt;P_Tol,1,0),1))</f>
        <v/>
      </c>
      <c r="BO37" s="124" t="str">
        <f>IF($B37="","",IFERROR(IF(OR(ABS(R37+S37-T37)&gt;P_Tol,ABS(U37+V37-W37)&gt;P_Tol,ABS(X37+Y37-Z37)&gt;P_Tol),1,0),1))</f>
        <v/>
      </c>
      <c r="BP37" s="124" t="str">
        <f>IF($B37="","",IFERROR(IF(OR(ABS(AR37-SUM(AB37:AM37))&gt;P_Tol,ABS(AS37-(AN37+AO37+AP37+AQ37))&gt;P_Tol),1,0),1))</f>
        <v/>
      </c>
      <c r="BQ37" s="124" t="str">
        <f>IF($B37="","",IFERROR(IF(ABS(AT37)+ABS(AV37)+ABS(AW37)+ABS(AX37)+ABS(AY37)+ABS(AZ37)+ABS(BA37)+ABS(BB37)&gt;0,1,0),1))</f>
        <v/>
      </c>
      <c r="BR37" s="124" t="str">
        <f>IF($B37="","",COUNTIF(STG_ZPMW03!$B$6:$B$505,B37))</f>
        <v/>
      </c>
      <c r="BS37" s="124" t="str">
        <f>IF($B37="","",COUNTIF($B$6:$B$505,B37))</f>
        <v/>
      </c>
      <c r="BT37" s="124" t="str">
        <f>IF($B37="","",IF(BR37=0,0,IF(INDEX(STG_ZPMW03!$I$6:$I$505,MATCH(B37,STG_ZPMW03!$B$6:$B$505,0))=J37&amp;"",0,1)))</f>
        <v/>
      </c>
      <c r="BU37" s="124" t="str">
        <f>IF($B37="","",IFERROR(IF(ABS(INDEX(Mapping!$D$5:$D$104,MATCH(B37,Mapping!$A$5:$A$104,0))-Q37)&gt;P_Tol,1,0),0))</f>
        <v/>
      </c>
      <c r="BV37" s="124" t="str">
        <f>IF($B37="","",IFERROR(IF(AND(INDEX(Mapping!$G$5:$G$104,MATCH(B37,Mapping!$A$5:$A$104,0))="Nee",ABS(Q37)+ABS(Z37)+ABS(AR37)&gt;0),1,0),0))</f>
        <v/>
      </c>
      <c r="BW37" s="124" t="str">
        <f>IF($B37="","",IF(COUNTIF(Mapping!$A$5:$A$104,B37)&gt;0,1,0))</f>
        <v/>
      </c>
      <c r="BX37" s="124" t="str">
        <f>IF($B37="","",IF(BR37=0,COUNTIF($BR$6:BR37,0),""))</f>
        <v/>
      </c>
    </row>
    <row r="38">
      <c r="A38" s="15" t="n">
        <v>34</v>
      </c>
      <c r="B38" t="str">
        <f>IF(B$3=0,"",IF(INDEX(SRC_Woningetalage!$A$1:$ZZ$501,$A38,B$3)&amp;""="","",INDEX(SRC_Woningetalage!$A$1:$ZZ$501,$A38,B$3)&amp;""))</f>
        <v/>
      </c>
      <c r="C38" t="str">
        <f>IF($B38="","",IF(C$3=0,"n.b.",INDEX(SRC_Woningetalage!$A$1:$ZZ$501,$A38,C$3)))</f>
        <v/>
      </c>
      <c r="D38" t="str">
        <f>IF($B38="","",IF(D$3=0,"n.b.",INDEX(SRC_Woningetalage!$A$1:$ZZ$501,$A38,D$3)))</f>
        <v/>
      </c>
      <c r="E38" t="str">
        <f>IF($B38="","",IF(E$3=0,"n.b.",INDEX(SRC_Woningetalage!$A$1:$ZZ$501,$A38,E$3)))</f>
        <v/>
      </c>
      <c r="F38" t="str">
        <f>IF($B38="","",IF(F$3=0,"n.b.",INDEX(SRC_Woningetalage!$A$1:$ZZ$501,$A38,F$3)))</f>
        <v/>
      </c>
      <c r="G38" t="str">
        <f>IF($B38="","",IF(G$3=0,"n.b.",INDEX(SRC_Woningetalage!$A$1:$ZZ$501,$A38,G$3)))</f>
        <v/>
      </c>
      <c r="H38" t="str">
        <f>IF($B38="","",IF(H$3=0,"n.b.",INDEX(SRC_Woningetalage!$A$1:$ZZ$501,$A38,H$3)))</f>
        <v/>
      </c>
      <c r="I38" t="str">
        <f>IF($B38="","",IF(I$3=0,"n.b.",INDEX(SRC_Woningetalage!$A$1:$ZZ$501,$A38,I$3)))</f>
        <v/>
      </c>
      <c r="J38" t="str">
        <f>IF($B38="","",IF(J$3=0,"n.b.",INDEX(SRC_Woningetalage!$A$1:$ZZ$501,$A38,J$3)))</f>
        <v/>
      </c>
      <c r="K38" t="str">
        <f>IF($B38="","",IF(K$3=0,"n.b.",INDEX(SRC_Woningetalage!$A$1:$ZZ$501,$A38,K$3)))</f>
        <v/>
      </c>
      <c r="L38" t="str">
        <f>IF($B38="","",IF(L$3=0,"n.b.",INDEX(SRC_Woningetalage!$A$1:$ZZ$501,$A38,L$3)))</f>
        <v/>
      </c>
      <c r="M38" t="str">
        <f>IF($B38="","",IF(M$3=0,"n.b.",INDEX(SRC_Woningetalage!$A$1:$ZZ$501,$A38,M$3)))</f>
        <v/>
      </c>
      <c r="N38" t="str">
        <f>IF($B38="","",IF(N$3=0,"n.b.",INDEX(SRC_Woningetalage!$A$1:$ZZ$501,$A38,N$3)))</f>
        <v/>
      </c>
      <c r="O38" t="str">
        <f>IF($B38="","",IF(O$3=0,"n.b.",INDEX(SRC_Woningetalage!$A$1:$ZZ$501,$A38,O$3)))</f>
        <v/>
      </c>
      <c r="P38" t="str">
        <f>IF($B38="","",IF(P$3=0,"n.b.",INDEX(SRC_Woningetalage!$A$1:$ZZ$501,$A38,P$3)))</f>
        <v/>
      </c>
      <c r="Q38" s="124" t="str">
        <f>IF($B38="","",IF(Q$3=0,"n.b.",INDEX(SRC_Woningetalage!$A$1:$ZZ$501,$A38,Q$3)))</f>
        <v/>
      </c>
      <c r="R38" s="124" t="str">
        <f>IF($B38="","",IF(R$3=0,"n.b.",INDEX(SRC_Woningetalage!$A$1:$ZZ$501,$A38,R$3)))</f>
        <v/>
      </c>
      <c r="S38" s="124" t="str">
        <f>IF($B38="","",IF(S$3=0,"n.b.",INDEX(SRC_Woningetalage!$A$1:$ZZ$501,$A38,S$3)))</f>
        <v/>
      </c>
      <c r="T38" s="124" t="str">
        <f>IF($B38="","",IF(T$3=0,"n.b.",INDEX(SRC_Woningetalage!$A$1:$ZZ$501,$A38,T$3)))</f>
        <v/>
      </c>
      <c r="U38" s="124" t="str">
        <f>IF($B38="","",IF(U$3=0,"n.b.",INDEX(SRC_Woningetalage!$A$1:$ZZ$501,$A38,U$3)))</f>
        <v/>
      </c>
      <c r="V38" s="124" t="str">
        <f>IF($B38="","",IF(V$3=0,"n.b.",INDEX(SRC_Woningetalage!$A$1:$ZZ$501,$A38,V$3)))</f>
        <v/>
      </c>
      <c r="W38" s="124" t="str">
        <f>IF($B38="","",IF(W$3=0,"n.b.",INDEX(SRC_Woningetalage!$A$1:$ZZ$501,$A38,W$3)))</f>
        <v/>
      </c>
      <c r="X38" s="124" t="str">
        <f>IF($B38="","",IF(X$3=0,"n.b.",INDEX(SRC_Woningetalage!$A$1:$ZZ$501,$A38,X$3)))</f>
        <v/>
      </c>
      <c r="Y38" s="124" t="str">
        <f>IF($B38="","",IF(Y$3=0,"n.b.",INDEX(SRC_Woningetalage!$A$1:$ZZ$501,$A38,Y$3)))</f>
        <v/>
      </c>
      <c r="Z38" s="124" t="str">
        <f>IF($B38="","",IF(Z$3=0,"n.b.",INDEX(SRC_Woningetalage!$A$1:$ZZ$501,$A38,Z$3)))</f>
        <v/>
      </c>
      <c r="AA38" s="124" t="str">
        <f>IF($B38="","",IF(AA$3=0,"n.b.",INDEX(SRC_Woningetalage!$A$1:$ZZ$501,$A38,AA$3)))</f>
        <v/>
      </c>
      <c r="AB38" s="124" t="str">
        <f>IF($B38="","",IF(AB$3=0,"n.b.",INDEX(SRC_Woningetalage!$A$1:$ZZ$501,$A38,AB$3)))</f>
        <v/>
      </c>
      <c r="AC38" s="124" t="str">
        <f>IF($B38="","",IF(AC$3=0,"n.b.",INDEX(SRC_Woningetalage!$A$1:$ZZ$501,$A38,AC$3)))</f>
        <v/>
      </c>
      <c r="AD38" s="124" t="str">
        <f>IF($B38="","",IF(AD$3=0,"n.b.",INDEX(SRC_Woningetalage!$A$1:$ZZ$501,$A38,AD$3)))</f>
        <v/>
      </c>
      <c r="AE38" s="124" t="str">
        <f>IF($B38="","",IF(AE$3=0,"n.b.",INDEX(SRC_Woningetalage!$A$1:$ZZ$501,$A38,AE$3)))</f>
        <v/>
      </c>
      <c r="AF38" s="124" t="str">
        <f>IF($B38="","",IF(AF$3=0,"n.b.",INDEX(SRC_Woningetalage!$A$1:$ZZ$501,$A38,AF$3)))</f>
        <v/>
      </c>
      <c r="AG38" s="124" t="str">
        <f>IF($B38="","",IF(AG$3=0,"n.b.",INDEX(SRC_Woningetalage!$A$1:$ZZ$501,$A38,AG$3)))</f>
        <v/>
      </c>
      <c r="AH38" s="124" t="str">
        <f>IF($B38="","",IF(AH$3=0,"n.b.",INDEX(SRC_Woningetalage!$A$1:$ZZ$501,$A38,AH$3)))</f>
        <v/>
      </c>
      <c r="AI38" s="124" t="str">
        <f>IF($B38="","",IF(AI$3=0,"n.b.",INDEX(SRC_Woningetalage!$A$1:$ZZ$501,$A38,AI$3)))</f>
        <v/>
      </c>
      <c r="AJ38" s="124" t="str">
        <f>IF($B38="","",IF(AJ$3=0,"n.b.",INDEX(SRC_Woningetalage!$A$1:$ZZ$501,$A38,AJ$3)))</f>
        <v/>
      </c>
      <c r="AK38" s="124" t="str">
        <f>IF($B38="","",IF(AK$3=0,"n.b.",INDEX(SRC_Woningetalage!$A$1:$ZZ$501,$A38,AK$3)))</f>
        <v/>
      </c>
      <c r="AL38" s="124" t="str">
        <f>IF($B38="","",IF(AL$3=0,"n.b.",INDEX(SRC_Woningetalage!$A$1:$ZZ$501,$A38,AL$3)))</f>
        <v/>
      </c>
      <c r="AM38" s="124" t="str">
        <f>IF($B38="","",IF(AM$3=0,"n.b.",INDEX(SRC_Woningetalage!$A$1:$ZZ$501,$A38,AM$3)))</f>
        <v/>
      </c>
      <c r="AN38" s="124" t="str">
        <f>IF($B38="","",IF(AN$3=0,"n.b.",INDEX(SRC_Woningetalage!$A$1:$ZZ$501,$A38,AN$3)))</f>
        <v/>
      </c>
      <c r="AO38" s="124" t="str">
        <f>IF($B38="","",IF(AO$3=0,"n.b.",INDEX(SRC_Woningetalage!$A$1:$ZZ$501,$A38,AO$3)))</f>
        <v/>
      </c>
      <c r="AP38" s="124" t="str">
        <f>IF($B38="","",IF(AP$3=0,"n.b.",INDEX(SRC_Woningetalage!$A$1:$ZZ$501,$A38,AP$3)))</f>
        <v/>
      </c>
      <c r="AQ38" s="124" t="str">
        <f>IF($B38="","",IF(AQ$3=0,"n.b.",INDEX(SRC_Woningetalage!$A$1:$ZZ$501,$A38,AQ$3)))</f>
        <v/>
      </c>
      <c r="AR38" s="124" t="str">
        <f>IF($B38="","",IF(AR$3=0,"n.b.",INDEX(SRC_Woningetalage!$A$1:$ZZ$501,$A38,AR$3)))</f>
        <v/>
      </c>
      <c r="AS38" s="124" t="str">
        <f>IF($B38="","",IF(AS$3=0,"n.b.",INDEX(SRC_Woningetalage!$A$1:$ZZ$501,$A38,AS$3)))</f>
        <v/>
      </c>
      <c r="AT38" s="124" t="str">
        <f>IF($B38="","",IF(AT$3=0,"n.b.",INDEX(SRC_Woningetalage!$A$1:$ZZ$501,$A38,AT$3)))</f>
        <v/>
      </c>
      <c r="AU38" s="124" t="str">
        <f>IF($B38="","",IF(AU$3=0,"n.b.",INDEX(SRC_Woningetalage!$A$1:$ZZ$501,$A38,AU$3)))</f>
        <v/>
      </c>
      <c r="AV38" s="124" t="str">
        <f>IF($B38="","",IF(AV$3=0,"n.b.",INDEX(SRC_Woningetalage!$A$1:$ZZ$501,$A38,AV$3)))</f>
        <v/>
      </c>
      <c r="AW38" s="124" t="str">
        <f>IF($B38="","",IF(AW$3=0,"n.b.",INDEX(SRC_Woningetalage!$A$1:$ZZ$501,$A38,AW$3)))</f>
        <v/>
      </c>
      <c r="AX38" s="124" t="str">
        <f>IF($B38="","",IF(AX$3=0,"n.b.",INDEX(SRC_Woningetalage!$A$1:$ZZ$501,$A38,AX$3)))</f>
        <v/>
      </c>
      <c r="AY38" s="124" t="str">
        <f>IF($B38="","",IF(AY$3=0,"n.b.",INDEX(SRC_Woningetalage!$A$1:$ZZ$501,$A38,AY$3)))</f>
        <v/>
      </c>
      <c r="AZ38" s="124" t="str">
        <f>IF($B38="","",IF(AZ$3=0,"n.b.",INDEX(SRC_Woningetalage!$A$1:$ZZ$501,$A38,AZ$3)))</f>
        <v/>
      </c>
      <c r="BA38" s="124" t="str">
        <f>IF($B38="","",IF(BA$3=0,"n.b.",INDEX(SRC_Woningetalage!$A$1:$ZZ$501,$A38,BA$3)))</f>
        <v/>
      </c>
      <c r="BB38" s="124" t="str">
        <f>IF($B38="","",IF(BB$3=0,"n.b.",INDEX(SRC_Woningetalage!$A$1:$ZZ$501,$A38,BB$3)))</f>
        <v/>
      </c>
      <c r="BC38" s="124" t="str">
        <f>IF($B38="","",IFERROR(_xlfn.NUMBERVALUE(E38&amp;"",",","."),"n.b."))</f>
        <v/>
      </c>
      <c r="BD38" s="124" t="str">
        <f>IF($B38="","",IFERROR(_xlfn.NUMBERVALUE(M38&amp;"",",","."),"n.b."))</f>
        <v/>
      </c>
      <c r="BE38" s="124" t="str">
        <f>IF($B38="","",IFERROR(AB38+AC38+AD38,"n.b."))</f>
        <v/>
      </c>
      <c r="BF38" s="124" t="str">
        <f>IF($B38="","",IFERROR(AE38+AF38+AG38,"n.b."))</f>
        <v/>
      </c>
      <c r="BG38" s="124" t="str">
        <f>IF($B38="","",IFERROR(AH38+AI38+AJ38,"n.b."))</f>
        <v/>
      </c>
      <c r="BH38" s="124" t="str">
        <f>IF($B38="","",IFERROR(AK38+AL38+AM38,"n.b."))</f>
        <v/>
      </c>
      <c r="BI38" s="124" t="str">
        <f>IF($B38="","",IFERROR(SUMIF($AB$5:$AM$5,"&lt;="&amp;P_PeilMaand,AB38:AM38),"n.b."))</f>
        <v/>
      </c>
      <c r="BJ38" s="124" t="str">
        <f>IF($B38="","",IFERROR(SUM(AB38:AM38)-BI38,"n.b."))</f>
        <v/>
      </c>
      <c r="BK38" s="124" t="str">
        <f>IF($B38="","",IFERROR(IF(ABS(Q38-(T38+SUM(AB38:AM38)+AS38+AU38))&gt;P_Tol,1,0),1))</f>
        <v/>
      </c>
      <c r="BL38" s="124" t="str">
        <f>IF($B38="","",IFERROR(IF(ABS(AA38-(Q38-Z38))&gt;P_Tol,1,0),1))</f>
        <v/>
      </c>
      <c r="BM38" s="124" t="str">
        <f>IF($B38="","",IFERROR(IF(ABS(Z38-(T38+W38))&gt;P_Tol,1,0),1))</f>
        <v/>
      </c>
      <c r="BN38" s="124" t="str">
        <f>IF($B38="","",IFERROR(IF(ABS(W38-BI38)&gt;P_Tol,1,0),1))</f>
        <v/>
      </c>
      <c r="BO38" s="124" t="str">
        <f>IF($B38="","",IFERROR(IF(OR(ABS(R38+S38-T38)&gt;P_Tol,ABS(U38+V38-W38)&gt;P_Tol,ABS(X38+Y38-Z38)&gt;P_Tol),1,0),1))</f>
        <v/>
      </c>
      <c r="BP38" s="124" t="str">
        <f>IF($B38="","",IFERROR(IF(OR(ABS(AR38-SUM(AB38:AM38))&gt;P_Tol,ABS(AS38-(AN38+AO38+AP38+AQ38))&gt;P_Tol),1,0),1))</f>
        <v/>
      </c>
      <c r="BQ38" s="124" t="str">
        <f>IF($B38="","",IFERROR(IF(ABS(AT38)+ABS(AV38)+ABS(AW38)+ABS(AX38)+ABS(AY38)+ABS(AZ38)+ABS(BA38)+ABS(BB38)&gt;0,1,0),1))</f>
        <v/>
      </c>
      <c r="BR38" s="124" t="str">
        <f>IF($B38="","",COUNTIF(STG_ZPMW03!$B$6:$B$505,B38))</f>
        <v/>
      </c>
      <c r="BS38" s="124" t="str">
        <f>IF($B38="","",COUNTIF($B$6:$B$505,B38))</f>
        <v/>
      </c>
      <c r="BT38" s="124" t="str">
        <f>IF($B38="","",IF(BR38=0,0,IF(INDEX(STG_ZPMW03!$I$6:$I$505,MATCH(B38,STG_ZPMW03!$B$6:$B$505,0))=J38&amp;"",0,1)))</f>
        <v/>
      </c>
      <c r="BU38" s="124" t="str">
        <f>IF($B38="","",IFERROR(IF(ABS(INDEX(Mapping!$D$5:$D$104,MATCH(B38,Mapping!$A$5:$A$104,0))-Q38)&gt;P_Tol,1,0),0))</f>
        <v/>
      </c>
      <c r="BV38" s="124" t="str">
        <f>IF($B38="","",IFERROR(IF(AND(INDEX(Mapping!$G$5:$G$104,MATCH(B38,Mapping!$A$5:$A$104,0))="Nee",ABS(Q38)+ABS(Z38)+ABS(AR38)&gt;0),1,0),0))</f>
        <v/>
      </c>
      <c r="BW38" s="124" t="str">
        <f>IF($B38="","",IF(COUNTIF(Mapping!$A$5:$A$104,B38)&gt;0,1,0))</f>
        <v/>
      </c>
      <c r="BX38" s="124" t="str">
        <f>IF($B38="","",IF(BR38=0,COUNTIF($BR$6:BR38,0),""))</f>
        <v/>
      </c>
    </row>
    <row r="39">
      <c r="A39" s="15" t="n">
        <v>35</v>
      </c>
      <c r="B39" t="str">
        <f>IF(B$3=0,"",IF(INDEX(SRC_Woningetalage!$A$1:$ZZ$501,$A39,B$3)&amp;""="","",INDEX(SRC_Woningetalage!$A$1:$ZZ$501,$A39,B$3)&amp;""))</f>
        <v/>
      </c>
      <c r="C39" t="str">
        <f>IF($B39="","",IF(C$3=0,"n.b.",INDEX(SRC_Woningetalage!$A$1:$ZZ$501,$A39,C$3)))</f>
        <v/>
      </c>
      <c r="D39" t="str">
        <f>IF($B39="","",IF(D$3=0,"n.b.",INDEX(SRC_Woningetalage!$A$1:$ZZ$501,$A39,D$3)))</f>
        <v/>
      </c>
      <c r="E39" t="str">
        <f>IF($B39="","",IF(E$3=0,"n.b.",INDEX(SRC_Woningetalage!$A$1:$ZZ$501,$A39,E$3)))</f>
        <v/>
      </c>
      <c r="F39" t="str">
        <f>IF($B39="","",IF(F$3=0,"n.b.",INDEX(SRC_Woningetalage!$A$1:$ZZ$501,$A39,F$3)))</f>
        <v/>
      </c>
      <c r="G39" t="str">
        <f>IF($B39="","",IF(G$3=0,"n.b.",INDEX(SRC_Woningetalage!$A$1:$ZZ$501,$A39,G$3)))</f>
        <v/>
      </c>
      <c r="H39" t="str">
        <f>IF($B39="","",IF(H$3=0,"n.b.",INDEX(SRC_Woningetalage!$A$1:$ZZ$501,$A39,H$3)))</f>
        <v/>
      </c>
      <c r="I39" t="str">
        <f>IF($B39="","",IF(I$3=0,"n.b.",INDEX(SRC_Woningetalage!$A$1:$ZZ$501,$A39,I$3)))</f>
        <v/>
      </c>
      <c r="J39" t="str">
        <f>IF($B39="","",IF(J$3=0,"n.b.",INDEX(SRC_Woningetalage!$A$1:$ZZ$501,$A39,J$3)))</f>
        <v/>
      </c>
      <c r="K39" t="str">
        <f>IF($B39="","",IF(K$3=0,"n.b.",INDEX(SRC_Woningetalage!$A$1:$ZZ$501,$A39,K$3)))</f>
        <v/>
      </c>
      <c r="L39" t="str">
        <f>IF($B39="","",IF(L$3=0,"n.b.",INDEX(SRC_Woningetalage!$A$1:$ZZ$501,$A39,L$3)))</f>
        <v/>
      </c>
      <c r="M39" t="str">
        <f>IF($B39="","",IF(M$3=0,"n.b.",INDEX(SRC_Woningetalage!$A$1:$ZZ$501,$A39,M$3)))</f>
        <v/>
      </c>
      <c r="N39" t="str">
        <f>IF($B39="","",IF(N$3=0,"n.b.",INDEX(SRC_Woningetalage!$A$1:$ZZ$501,$A39,N$3)))</f>
        <v/>
      </c>
      <c r="O39" t="str">
        <f>IF($B39="","",IF(O$3=0,"n.b.",INDEX(SRC_Woningetalage!$A$1:$ZZ$501,$A39,O$3)))</f>
        <v/>
      </c>
      <c r="P39" t="str">
        <f>IF($B39="","",IF(P$3=0,"n.b.",INDEX(SRC_Woningetalage!$A$1:$ZZ$501,$A39,P$3)))</f>
        <v/>
      </c>
      <c r="Q39" s="124" t="str">
        <f>IF($B39="","",IF(Q$3=0,"n.b.",INDEX(SRC_Woningetalage!$A$1:$ZZ$501,$A39,Q$3)))</f>
        <v/>
      </c>
      <c r="R39" s="124" t="str">
        <f>IF($B39="","",IF(R$3=0,"n.b.",INDEX(SRC_Woningetalage!$A$1:$ZZ$501,$A39,R$3)))</f>
        <v/>
      </c>
      <c r="S39" s="124" t="str">
        <f>IF($B39="","",IF(S$3=0,"n.b.",INDEX(SRC_Woningetalage!$A$1:$ZZ$501,$A39,S$3)))</f>
        <v/>
      </c>
      <c r="T39" s="124" t="str">
        <f>IF($B39="","",IF(T$3=0,"n.b.",INDEX(SRC_Woningetalage!$A$1:$ZZ$501,$A39,T$3)))</f>
        <v/>
      </c>
      <c r="U39" s="124" t="str">
        <f>IF($B39="","",IF(U$3=0,"n.b.",INDEX(SRC_Woningetalage!$A$1:$ZZ$501,$A39,U$3)))</f>
        <v/>
      </c>
      <c r="V39" s="124" t="str">
        <f>IF($B39="","",IF(V$3=0,"n.b.",INDEX(SRC_Woningetalage!$A$1:$ZZ$501,$A39,V$3)))</f>
        <v/>
      </c>
      <c r="W39" s="124" t="str">
        <f>IF($B39="","",IF(W$3=0,"n.b.",INDEX(SRC_Woningetalage!$A$1:$ZZ$501,$A39,W$3)))</f>
        <v/>
      </c>
      <c r="X39" s="124" t="str">
        <f>IF($B39="","",IF(X$3=0,"n.b.",INDEX(SRC_Woningetalage!$A$1:$ZZ$501,$A39,X$3)))</f>
        <v/>
      </c>
      <c r="Y39" s="124" t="str">
        <f>IF($B39="","",IF(Y$3=0,"n.b.",INDEX(SRC_Woningetalage!$A$1:$ZZ$501,$A39,Y$3)))</f>
        <v/>
      </c>
      <c r="Z39" s="124" t="str">
        <f>IF($B39="","",IF(Z$3=0,"n.b.",INDEX(SRC_Woningetalage!$A$1:$ZZ$501,$A39,Z$3)))</f>
        <v/>
      </c>
      <c r="AA39" s="124" t="str">
        <f>IF($B39="","",IF(AA$3=0,"n.b.",INDEX(SRC_Woningetalage!$A$1:$ZZ$501,$A39,AA$3)))</f>
        <v/>
      </c>
      <c r="AB39" s="124" t="str">
        <f>IF($B39="","",IF(AB$3=0,"n.b.",INDEX(SRC_Woningetalage!$A$1:$ZZ$501,$A39,AB$3)))</f>
        <v/>
      </c>
      <c r="AC39" s="124" t="str">
        <f>IF($B39="","",IF(AC$3=0,"n.b.",INDEX(SRC_Woningetalage!$A$1:$ZZ$501,$A39,AC$3)))</f>
        <v/>
      </c>
      <c r="AD39" s="124" t="str">
        <f>IF($B39="","",IF(AD$3=0,"n.b.",INDEX(SRC_Woningetalage!$A$1:$ZZ$501,$A39,AD$3)))</f>
        <v/>
      </c>
      <c r="AE39" s="124" t="str">
        <f>IF($B39="","",IF(AE$3=0,"n.b.",INDEX(SRC_Woningetalage!$A$1:$ZZ$501,$A39,AE$3)))</f>
        <v/>
      </c>
      <c r="AF39" s="124" t="str">
        <f>IF($B39="","",IF(AF$3=0,"n.b.",INDEX(SRC_Woningetalage!$A$1:$ZZ$501,$A39,AF$3)))</f>
        <v/>
      </c>
      <c r="AG39" s="124" t="str">
        <f>IF($B39="","",IF(AG$3=0,"n.b.",INDEX(SRC_Woningetalage!$A$1:$ZZ$501,$A39,AG$3)))</f>
        <v/>
      </c>
      <c r="AH39" s="124" t="str">
        <f>IF($B39="","",IF(AH$3=0,"n.b.",INDEX(SRC_Woningetalage!$A$1:$ZZ$501,$A39,AH$3)))</f>
        <v/>
      </c>
      <c r="AI39" s="124" t="str">
        <f>IF($B39="","",IF(AI$3=0,"n.b.",INDEX(SRC_Woningetalage!$A$1:$ZZ$501,$A39,AI$3)))</f>
        <v/>
      </c>
      <c r="AJ39" s="124" t="str">
        <f>IF($B39="","",IF(AJ$3=0,"n.b.",INDEX(SRC_Woningetalage!$A$1:$ZZ$501,$A39,AJ$3)))</f>
        <v/>
      </c>
      <c r="AK39" s="124" t="str">
        <f>IF($B39="","",IF(AK$3=0,"n.b.",INDEX(SRC_Woningetalage!$A$1:$ZZ$501,$A39,AK$3)))</f>
        <v/>
      </c>
      <c r="AL39" s="124" t="str">
        <f>IF($B39="","",IF(AL$3=0,"n.b.",INDEX(SRC_Woningetalage!$A$1:$ZZ$501,$A39,AL$3)))</f>
        <v/>
      </c>
      <c r="AM39" s="124" t="str">
        <f>IF($B39="","",IF(AM$3=0,"n.b.",INDEX(SRC_Woningetalage!$A$1:$ZZ$501,$A39,AM$3)))</f>
        <v/>
      </c>
      <c r="AN39" s="124" t="str">
        <f>IF($B39="","",IF(AN$3=0,"n.b.",INDEX(SRC_Woningetalage!$A$1:$ZZ$501,$A39,AN$3)))</f>
        <v/>
      </c>
      <c r="AO39" s="124" t="str">
        <f>IF($B39="","",IF(AO$3=0,"n.b.",INDEX(SRC_Woningetalage!$A$1:$ZZ$501,$A39,AO$3)))</f>
        <v/>
      </c>
      <c r="AP39" s="124" t="str">
        <f>IF($B39="","",IF(AP$3=0,"n.b.",INDEX(SRC_Woningetalage!$A$1:$ZZ$501,$A39,AP$3)))</f>
        <v/>
      </c>
      <c r="AQ39" s="124" t="str">
        <f>IF($B39="","",IF(AQ$3=0,"n.b.",INDEX(SRC_Woningetalage!$A$1:$ZZ$501,$A39,AQ$3)))</f>
        <v/>
      </c>
      <c r="AR39" s="124" t="str">
        <f>IF($B39="","",IF(AR$3=0,"n.b.",INDEX(SRC_Woningetalage!$A$1:$ZZ$501,$A39,AR$3)))</f>
        <v/>
      </c>
      <c r="AS39" s="124" t="str">
        <f>IF($B39="","",IF(AS$3=0,"n.b.",INDEX(SRC_Woningetalage!$A$1:$ZZ$501,$A39,AS$3)))</f>
        <v/>
      </c>
      <c r="AT39" s="124" t="str">
        <f>IF($B39="","",IF(AT$3=0,"n.b.",INDEX(SRC_Woningetalage!$A$1:$ZZ$501,$A39,AT$3)))</f>
        <v/>
      </c>
      <c r="AU39" s="124" t="str">
        <f>IF($B39="","",IF(AU$3=0,"n.b.",INDEX(SRC_Woningetalage!$A$1:$ZZ$501,$A39,AU$3)))</f>
        <v/>
      </c>
      <c r="AV39" s="124" t="str">
        <f>IF($B39="","",IF(AV$3=0,"n.b.",INDEX(SRC_Woningetalage!$A$1:$ZZ$501,$A39,AV$3)))</f>
        <v/>
      </c>
      <c r="AW39" s="124" t="str">
        <f>IF($B39="","",IF(AW$3=0,"n.b.",INDEX(SRC_Woningetalage!$A$1:$ZZ$501,$A39,AW$3)))</f>
        <v/>
      </c>
      <c r="AX39" s="124" t="str">
        <f>IF($B39="","",IF(AX$3=0,"n.b.",INDEX(SRC_Woningetalage!$A$1:$ZZ$501,$A39,AX$3)))</f>
        <v/>
      </c>
      <c r="AY39" s="124" t="str">
        <f>IF($B39="","",IF(AY$3=0,"n.b.",INDEX(SRC_Woningetalage!$A$1:$ZZ$501,$A39,AY$3)))</f>
        <v/>
      </c>
      <c r="AZ39" s="124" t="str">
        <f>IF($B39="","",IF(AZ$3=0,"n.b.",INDEX(SRC_Woningetalage!$A$1:$ZZ$501,$A39,AZ$3)))</f>
        <v/>
      </c>
      <c r="BA39" s="124" t="str">
        <f>IF($B39="","",IF(BA$3=0,"n.b.",INDEX(SRC_Woningetalage!$A$1:$ZZ$501,$A39,BA$3)))</f>
        <v/>
      </c>
      <c r="BB39" s="124" t="str">
        <f>IF($B39="","",IF(BB$3=0,"n.b.",INDEX(SRC_Woningetalage!$A$1:$ZZ$501,$A39,BB$3)))</f>
        <v/>
      </c>
      <c r="BC39" s="124" t="str">
        <f>IF($B39="","",IFERROR(_xlfn.NUMBERVALUE(E39&amp;"",",","."),"n.b."))</f>
        <v/>
      </c>
      <c r="BD39" s="124" t="str">
        <f>IF($B39="","",IFERROR(_xlfn.NUMBERVALUE(M39&amp;"",",","."),"n.b."))</f>
        <v/>
      </c>
      <c r="BE39" s="124" t="str">
        <f>IF($B39="","",IFERROR(AB39+AC39+AD39,"n.b."))</f>
        <v/>
      </c>
      <c r="BF39" s="124" t="str">
        <f>IF($B39="","",IFERROR(AE39+AF39+AG39,"n.b."))</f>
        <v/>
      </c>
      <c r="BG39" s="124" t="str">
        <f>IF($B39="","",IFERROR(AH39+AI39+AJ39,"n.b."))</f>
        <v/>
      </c>
      <c r="BH39" s="124" t="str">
        <f>IF($B39="","",IFERROR(AK39+AL39+AM39,"n.b."))</f>
        <v/>
      </c>
      <c r="BI39" s="124" t="str">
        <f>IF($B39="","",IFERROR(SUMIF($AB$5:$AM$5,"&lt;="&amp;P_PeilMaand,AB39:AM39),"n.b."))</f>
        <v/>
      </c>
      <c r="BJ39" s="124" t="str">
        <f>IF($B39="","",IFERROR(SUM(AB39:AM39)-BI39,"n.b."))</f>
        <v/>
      </c>
      <c r="BK39" s="124" t="str">
        <f>IF($B39="","",IFERROR(IF(ABS(Q39-(T39+SUM(AB39:AM39)+AS39+AU39))&gt;P_Tol,1,0),1))</f>
        <v/>
      </c>
      <c r="BL39" s="124" t="str">
        <f>IF($B39="","",IFERROR(IF(ABS(AA39-(Q39-Z39))&gt;P_Tol,1,0),1))</f>
        <v/>
      </c>
      <c r="BM39" s="124" t="str">
        <f>IF($B39="","",IFERROR(IF(ABS(Z39-(T39+W39))&gt;P_Tol,1,0),1))</f>
        <v/>
      </c>
      <c r="BN39" s="124" t="str">
        <f>IF($B39="","",IFERROR(IF(ABS(W39-BI39)&gt;P_Tol,1,0),1))</f>
        <v/>
      </c>
      <c r="BO39" s="124" t="str">
        <f>IF($B39="","",IFERROR(IF(OR(ABS(R39+S39-T39)&gt;P_Tol,ABS(U39+V39-W39)&gt;P_Tol,ABS(X39+Y39-Z39)&gt;P_Tol),1,0),1))</f>
        <v/>
      </c>
      <c r="BP39" s="124" t="str">
        <f>IF($B39="","",IFERROR(IF(OR(ABS(AR39-SUM(AB39:AM39))&gt;P_Tol,ABS(AS39-(AN39+AO39+AP39+AQ39))&gt;P_Tol),1,0),1))</f>
        <v/>
      </c>
      <c r="BQ39" s="124" t="str">
        <f>IF($B39="","",IFERROR(IF(ABS(AT39)+ABS(AV39)+ABS(AW39)+ABS(AX39)+ABS(AY39)+ABS(AZ39)+ABS(BA39)+ABS(BB39)&gt;0,1,0),1))</f>
        <v/>
      </c>
      <c r="BR39" s="124" t="str">
        <f>IF($B39="","",COUNTIF(STG_ZPMW03!$B$6:$B$505,B39))</f>
        <v/>
      </c>
      <c r="BS39" s="124" t="str">
        <f>IF($B39="","",COUNTIF($B$6:$B$505,B39))</f>
        <v/>
      </c>
      <c r="BT39" s="124" t="str">
        <f>IF($B39="","",IF(BR39=0,0,IF(INDEX(STG_ZPMW03!$I$6:$I$505,MATCH(B39,STG_ZPMW03!$B$6:$B$505,0))=J39&amp;"",0,1)))</f>
        <v/>
      </c>
      <c r="BU39" s="124" t="str">
        <f>IF($B39="","",IFERROR(IF(ABS(INDEX(Mapping!$D$5:$D$104,MATCH(B39,Mapping!$A$5:$A$104,0))-Q39)&gt;P_Tol,1,0),0))</f>
        <v/>
      </c>
      <c r="BV39" s="124" t="str">
        <f>IF($B39="","",IFERROR(IF(AND(INDEX(Mapping!$G$5:$G$104,MATCH(B39,Mapping!$A$5:$A$104,0))="Nee",ABS(Q39)+ABS(Z39)+ABS(AR39)&gt;0),1,0),0))</f>
        <v/>
      </c>
      <c r="BW39" s="124" t="str">
        <f>IF($B39="","",IF(COUNTIF(Mapping!$A$5:$A$104,B39)&gt;0,1,0))</f>
        <v/>
      </c>
      <c r="BX39" s="124" t="str">
        <f>IF($B39="","",IF(BR39=0,COUNTIF($BR$6:BR39,0),""))</f>
        <v/>
      </c>
    </row>
    <row r="40">
      <c r="A40" s="15" t="n">
        <v>36</v>
      </c>
      <c r="B40" t="str">
        <f>IF(B$3=0,"",IF(INDEX(SRC_Woningetalage!$A$1:$ZZ$501,$A40,B$3)&amp;""="","",INDEX(SRC_Woningetalage!$A$1:$ZZ$501,$A40,B$3)&amp;""))</f>
        <v/>
      </c>
      <c r="C40" t="str">
        <f>IF($B40="","",IF(C$3=0,"n.b.",INDEX(SRC_Woningetalage!$A$1:$ZZ$501,$A40,C$3)))</f>
        <v/>
      </c>
      <c r="D40" t="str">
        <f>IF($B40="","",IF(D$3=0,"n.b.",INDEX(SRC_Woningetalage!$A$1:$ZZ$501,$A40,D$3)))</f>
        <v/>
      </c>
      <c r="E40" t="str">
        <f>IF($B40="","",IF(E$3=0,"n.b.",INDEX(SRC_Woningetalage!$A$1:$ZZ$501,$A40,E$3)))</f>
        <v/>
      </c>
      <c r="F40" t="str">
        <f>IF($B40="","",IF(F$3=0,"n.b.",INDEX(SRC_Woningetalage!$A$1:$ZZ$501,$A40,F$3)))</f>
        <v/>
      </c>
      <c r="G40" t="str">
        <f>IF($B40="","",IF(G$3=0,"n.b.",INDEX(SRC_Woningetalage!$A$1:$ZZ$501,$A40,G$3)))</f>
        <v/>
      </c>
      <c r="H40" t="str">
        <f>IF($B40="","",IF(H$3=0,"n.b.",INDEX(SRC_Woningetalage!$A$1:$ZZ$501,$A40,H$3)))</f>
        <v/>
      </c>
      <c r="I40" t="str">
        <f>IF($B40="","",IF(I$3=0,"n.b.",INDEX(SRC_Woningetalage!$A$1:$ZZ$501,$A40,I$3)))</f>
        <v/>
      </c>
      <c r="J40" t="str">
        <f>IF($B40="","",IF(J$3=0,"n.b.",INDEX(SRC_Woningetalage!$A$1:$ZZ$501,$A40,J$3)))</f>
        <v/>
      </c>
      <c r="K40" t="str">
        <f>IF($B40="","",IF(K$3=0,"n.b.",INDEX(SRC_Woningetalage!$A$1:$ZZ$501,$A40,K$3)))</f>
        <v/>
      </c>
      <c r="L40" t="str">
        <f>IF($B40="","",IF(L$3=0,"n.b.",INDEX(SRC_Woningetalage!$A$1:$ZZ$501,$A40,L$3)))</f>
        <v/>
      </c>
      <c r="M40" t="str">
        <f>IF($B40="","",IF(M$3=0,"n.b.",INDEX(SRC_Woningetalage!$A$1:$ZZ$501,$A40,M$3)))</f>
        <v/>
      </c>
      <c r="N40" t="str">
        <f>IF($B40="","",IF(N$3=0,"n.b.",INDEX(SRC_Woningetalage!$A$1:$ZZ$501,$A40,N$3)))</f>
        <v/>
      </c>
      <c r="O40" t="str">
        <f>IF($B40="","",IF(O$3=0,"n.b.",INDEX(SRC_Woningetalage!$A$1:$ZZ$501,$A40,O$3)))</f>
        <v/>
      </c>
      <c r="P40" t="str">
        <f>IF($B40="","",IF(P$3=0,"n.b.",INDEX(SRC_Woningetalage!$A$1:$ZZ$501,$A40,P$3)))</f>
        <v/>
      </c>
      <c r="Q40" s="124" t="str">
        <f>IF($B40="","",IF(Q$3=0,"n.b.",INDEX(SRC_Woningetalage!$A$1:$ZZ$501,$A40,Q$3)))</f>
        <v/>
      </c>
      <c r="R40" s="124" t="str">
        <f>IF($B40="","",IF(R$3=0,"n.b.",INDEX(SRC_Woningetalage!$A$1:$ZZ$501,$A40,R$3)))</f>
        <v/>
      </c>
      <c r="S40" s="124" t="str">
        <f>IF($B40="","",IF(S$3=0,"n.b.",INDEX(SRC_Woningetalage!$A$1:$ZZ$501,$A40,S$3)))</f>
        <v/>
      </c>
      <c r="T40" s="124" t="str">
        <f>IF($B40="","",IF(T$3=0,"n.b.",INDEX(SRC_Woningetalage!$A$1:$ZZ$501,$A40,T$3)))</f>
        <v/>
      </c>
      <c r="U40" s="124" t="str">
        <f>IF($B40="","",IF(U$3=0,"n.b.",INDEX(SRC_Woningetalage!$A$1:$ZZ$501,$A40,U$3)))</f>
        <v/>
      </c>
      <c r="V40" s="124" t="str">
        <f>IF($B40="","",IF(V$3=0,"n.b.",INDEX(SRC_Woningetalage!$A$1:$ZZ$501,$A40,V$3)))</f>
        <v/>
      </c>
      <c r="W40" s="124" t="str">
        <f>IF($B40="","",IF(W$3=0,"n.b.",INDEX(SRC_Woningetalage!$A$1:$ZZ$501,$A40,W$3)))</f>
        <v/>
      </c>
      <c r="X40" s="124" t="str">
        <f>IF($B40="","",IF(X$3=0,"n.b.",INDEX(SRC_Woningetalage!$A$1:$ZZ$501,$A40,X$3)))</f>
        <v/>
      </c>
      <c r="Y40" s="124" t="str">
        <f>IF($B40="","",IF(Y$3=0,"n.b.",INDEX(SRC_Woningetalage!$A$1:$ZZ$501,$A40,Y$3)))</f>
        <v/>
      </c>
      <c r="Z40" s="124" t="str">
        <f>IF($B40="","",IF(Z$3=0,"n.b.",INDEX(SRC_Woningetalage!$A$1:$ZZ$501,$A40,Z$3)))</f>
        <v/>
      </c>
      <c r="AA40" s="124" t="str">
        <f>IF($B40="","",IF(AA$3=0,"n.b.",INDEX(SRC_Woningetalage!$A$1:$ZZ$501,$A40,AA$3)))</f>
        <v/>
      </c>
      <c r="AB40" s="124" t="str">
        <f>IF($B40="","",IF(AB$3=0,"n.b.",INDEX(SRC_Woningetalage!$A$1:$ZZ$501,$A40,AB$3)))</f>
        <v/>
      </c>
      <c r="AC40" s="124" t="str">
        <f>IF($B40="","",IF(AC$3=0,"n.b.",INDEX(SRC_Woningetalage!$A$1:$ZZ$501,$A40,AC$3)))</f>
        <v/>
      </c>
      <c r="AD40" s="124" t="str">
        <f>IF($B40="","",IF(AD$3=0,"n.b.",INDEX(SRC_Woningetalage!$A$1:$ZZ$501,$A40,AD$3)))</f>
        <v/>
      </c>
      <c r="AE40" s="124" t="str">
        <f>IF($B40="","",IF(AE$3=0,"n.b.",INDEX(SRC_Woningetalage!$A$1:$ZZ$501,$A40,AE$3)))</f>
        <v/>
      </c>
      <c r="AF40" s="124" t="str">
        <f>IF($B40="","",IF(AF$3=0,"n.b.",INDEX(SRC_Woningetalage!$A$1:$ZZ$501,$A40,AF$3)))</f>
        <v/>
      </c>
      <c r="AG40" s="124" t="str">
        <f>IF($B40="","",IF(AG$3=0,"n.b.",INDEX(SRC_Woningetalage!$A$1:$ZZ$501,$A40,AG$3)))</f>
        <v/>
      </c>
      <c r="AH40" s="124" t="str">
        <f>IF($B40="","",IF(AH$3=0,"n.b.",INDEX(SRC_Woningetalage!$A$1:$ZZ$501,$A40,AH$3)))</f>
        <v/>
      </c>
      <c r="AI40" s="124" t="str">
        <f>IF($B40="","",IF(AI$3=0,"n.b.",INDEX(SRC_Woningetalage!$A$1:$ZZ$501,$A40,AI$3)))</f>
        <v/>
      </c>
      <c r="AJ40" s="124" t="str">
        <f>IF($B40="","",IF(AJ$3=0,"n.b.",INDEX(SRC_Woningetalage!$A$1:$ZZ$501,$A40,AJ$3)))</f>
        <v/>
      </c>
      <c r="AK40" s="124" t="str">
        <f>IF($B40="","",IF(AK$3=0,"n.b.",INDEX(SRC_Woningetalage!$A$1:$ZZ$501,$A40,AK$3)))</f>
        <v/>
      </c>
      <c r="AL40" s="124" t="str">
        <f>IF($B40="","",IF(AL$3=0,"n.b.",INDEX(SRC_Woningetalage!$A$1:$ZZ$501,$A40,AL$3)))</f>
        <v/>
      </c>
      <c r="AM40" s="124" t="str">
        <f>IF($B40="","",IF(AM$3=0,"n.b.",INDEX(SRC_Woningetalage!$A$1:$ZZ$501,$A40,AM$3)))</f>
        <v/>
      </c>
      <c r="AN40" s="124" t="str">
        <f>IF($B40="","",IF(AN$3=0,"n.b.",INDEX(SRC_Woningetalage!$A$1:$ZZ$501,$A40,AN$3)))</f>
        <v/>
      </c>
      <c r="AO40" s="124" t="str">
        <f>IF($B40="","",IF(AO$3=0,"n.b.",INDEX(SRC_Woningetalage!$A$1:$ZZ$501,$A40,AO$3)))</f>
        <v/>
      </c>
      <c r="AP40" s="124" t="str">
        <f>IF($B40="","",IF(AP$3=0,"n.b.",INDEX(SRC_Woningetalage!$A$1:$ZZ$501,$A40,AP$3)))</f>
        <v/>
      </c>
      <c r="AQ40" s="124" t="str">
        <f>IF($B40="","",IF(AQ$3=0,"n.b.",INDEX(SRC_Woningetalage!$A$1:$ZZ$501,$A40,AQ$3)))</f>
        <v/>
      </c>
      <c r="AR40" s="124" t="str">
        <f>IF($B40="","",IF(AR$3=0,"n.b.",INDEX(SRC_Woningetalage!$A$1:$ZZ$501,$A40,AR$3)))</f>
        <v/>
      </c>
      <c r="AS40" s="124" t="str">
        <f>IF($B40="","",IF(AS$3=0,"n.b.",INDEX(SRC_Woningetalage!$A$1:$ZZ$501,$A40,AS$3)))</f>
        <v/>
      </c>
      <c r="AT40" s="124" t="str">
        <f>IF($B40="","",IF(AT$3=0,"n.b.",INDEX(SRC_Woningetalage!$A$1:$ZZ$501,$A40,AT$3)))</f>
        <v/>
      </c>
      <c r="AU40" s="124" t="str">
        <f>IF($B40="","",IF(AU$3=0,"n.b.",INDEX(SRC_Woningetalage!$A$1:$ZZ$501,$A40,AU$3)))</f>
        <v/>
      </c>
      <c r="AV40" s="124" t="str">
        <f>IF($B40="","",IF(AV$3=0,"n.b.",INDEX(SRC_Woningetalage!$A$1:$ZZ$501,$A40,AV$3)))</f>
        <v/>
      </c>
      <c r="AW40" s="124" t="str">
        <f>IF($B40="","",IF(AW$3=0,"n.b.",INDEX(SRC_Woningetalage!$A$1:$ZZ$501,$A40,AW$3)))</f>
        <v/>
      </c>
      <c r="AX40" s="124" t="str">
        <f>IF($B40="","",IF(AX$3=0,"n.b.",INDEX(SRC_Woningetalage!$A$1:$ZZ$501,$A40,AX$3)))</f>
        <v/>
      </c>
      <c r="AY40" s="124" t="str">
        <f>IF($B40="","",IF(AY$3=0,"n.b.",INDEX(SRC_Woningetalage!$A$1:$ZZ$501,$A40,AY$3)))</f>
        <v/>
      </c>
      <c r="AZ40" s="124" t="str">
        <f>IF($B40="","",IF(AZ$3=0,"n.b.",INDEX(SRC_Woningetalage!$A$1:$ZZ$501,$A40,AZ$3)))</f>
        <v/>
      </c>
      <c r="BA40" s="124" t="str">
        <f>IF($B40="","",IF(BA$3=0,"n.b.",INDEX(SRC_Woningetalage!$A$1:$ZZ$501,$A40,BA$3)))</f>
        <v/>
      </c>
      <c r="BB40" s="124" t="str">
        <f>IF($B40="","",IF(BB$3=0,"n.b.",INDEX(SRC_Woningetalage!$A$1:$ZZ$501,$A40,BB$3)))</f>
        <v/>
      </c>
      <c r="BC40" s="124" t="str">
        <f>IF($B40="","",IFERROR(_xlfn.NUMBERVALUE(E40&amp;"",",","."),"n.b."))</f>
        <v/>
      </c>
      <c r="BD40" s="124" t="str">
        <f>IF($B40="","",IFERROR(_xlfn.NUMBERVALUE(M40&amp;"",",","."),"n.b."))</f>
        <v/>
      </c>
      <c r="BE40" s="124" t="str">
        <f>IF($B40="","",IFERROR(AB40+AC40+AD40,"n.b."))</f>
        <v/>
      </c>
      <c r="BF40" s="124" t="str">
        <f>IF($B40="","",IFERROR(AE40+AF40+AG40,"n.b."))</f>
        <v/>
      </c>
      <c r="BG40" s="124" t="str">
        <f>IF($B40="","",IFERROR(AH40+AI40+AJ40,"n.b."))</f>
        <v/>
      </c>
      <c r="BH40" s="124" t="str">
        <f>IF($B40="","",IFERROR(AK40+AL40+AM40,"n.b."))</f>
        <v/>
      </c>
      <c r="BI40" s="124" t="str">
        <f>IF($B40="","",IFERROR(SUMIF($AB$5:$AM$5,"&lt;="&amp;P_PeilMaand,AB40:AM40),"n.b."))</f>
        <v/>
      </c>
      <c r="BJ40" s="124" t="str">
        <f>IF($B40="","",IFERROR(SUM(AB40:AM40)-BI40,"n.b."))</f>
        <v/>
      </c>
      <c r="BK40" s="124" t="str">
        <f>IF($B40="","",IFERROR(IF(ABS(Q40-(T40+SUM(AB40:AM40)+AS40+AU40))&gt;P_Tol,1,0),1))</f>
        <v/>
      </c>
      <c r="BL40" s="124" t="str">
        <f>IF($B40="","",IFERROR(IF(ABS(AA40-(Q40-Z40))&gt;P_Tol,1,0),1))</f>
        <v/>
      </c>
      <c r="BM40" s="124" t="str">
        <f>IF($B40="","",IFERROR(IF(ABS(Z40-(T40+W40))&gt;P_Tol,1,0),1))</f>
        <v/>
      </c>
      <c r="BN40" s="124" t="str">
        <f>IF($B40="","",IFERROR(IF(ABS(W40-BI40)&gt;P_Tol,1,0),1))</f>
        <v/>
      </c>
      <c r="BO40" s="124" t="str">
        <f>IF($B40="","",IFERROR(IF(OR(ABS(R40+S40-T40)&gt;P_Tol,ABS(U40+V40-W40)&gt;P_Tol,ABS(X40+Y40-Z40)&gt;P_Tol),1,0),1))</f>
        <v/>
      </c>
      <c r="BP40" s="124" t="str">
        <f>IF($B40="","",IFERROR(IF(OR(ABS(AR40-SUM(AB40:AM40))&gt;P_Tol,ABS(AS40-(AN40+AO40+AP40+AQ40))&gt;P_Tol),1,0),1))</f>
        <v/>
      </c>
      <c r="BQ40" s="124" t="str">
        <f>IF($B40="","",IFERROR(IF(ABS(AT40)+ABS(AV40)+ABS(AW40)+ABS(AX40)+ABS(AY40)+ABS(AZ40)+ABS(BA40)+ABS(BB40)&gt;0,1,0),1))</f>
        <v/>
      </c>
      <c r="BR40" s="124" t="str">
        <f>IF($B40="","",COUNTIF(STG_ZPMW03!$B$6:$B$505,B40))</f>
        <v/>
      </c>
      <c r="BS40" s="124" t="str">
        <f>IF($B40="","",COUNTIF($B$6:$B$505,B40))</f>
        <v/>
      </c>
      <c r="BT40" s="124" t="str">
        <f>IF($B40="","",IF(BR40=0,0,IF(INDEX(STG_ZPMW03!$I$6:$I$505,MATCH(B40,STG_ZPMW03!$B$6:$B$505,0))=J40&amp;"",0,1)))</f>
        <v/>
      </c>
      <c r="BU40" s="124" t="str">
        <f>IF($B40="","",IFERROR(IF(ABS(INDEX(Mapping!$D$5:$D$104,MATCH(B40,Mapping!$A$5:$A$104,0))-Q40)&gt;P_Tol,1,0),0))</f>
        <v/>
      </c>
      <c r="BV40" s="124" t="str">
        <f>IF($B40="","",IFERROR(IF(AND(INDEX(Mapping!$G$5:$G$104,MATCH(B40,Mapping!$A$5:$A$104,0))="Nee",ABS(Q40)+ABS(Z40)+ABS(AR40)&gt;0),1,0),0))</f>
        <v/>
      </c>
      <c r="BW40" s="124" t="str">
        <f>IF($B40="","",IF(COUNTIF(Mapping!$A$5:$A$104,B40)&gt;0,1,0))</f>
        <v/>
      </c>
      <c r="BX40" s="124" t="str">
        <f>IF($B40="","",IF(BR40=0,COUNTIF($BR$6:BR40,0),""))</f>
        <v/>
      </c>
    </row>
    <row r="41">
      <c r="A41" s="15" t="n">
        <v>37</v>
      </c>
      <c r="B41" t="str">
        <f>IF(B$3=0,"",IF(INDEX(SRC_Woningetalage!$A$1:$ZZ$501,$A41,B$3)&amp;""="","",INDEX(SRC_Woningetalage!$A$1:$ZZ$501,$A41,B$3)&amp;""))</f>
        <v/>
      </c>
      <c r="C41" t="str">
        <f>IF($B41="","",IF(C$3=0,"n.b.",INDEX(SRC_Woningetalage!$A$1:$ZZ$501,$A41,C$3)))</f>
        <v/>
      </c>
      <c r="D41" t="str">
        <f>IF($B41="","",IF(D$3=0,"n.b.",INDEX(SRC_Woningetalage!$A$1:$ZZ$501,$A41,D$3)))</f>
        <v/>
      </c>
      <c r="E41" t="str">
        <f>IF($B41="","",IF(E$3=0,"n.b.",INDEX(SRC_Woningetalage!$A$1:$ZZ$501,$A41,E$3)))</f>
        <v/>
      </c>
      <c r="F41" t="str">
        <f>IF($B41="","",IF(F$3=0,"n.b.",INDEX(SRC_Woningetalage!$A$1:$ZZ$501,$A41,F$3)))</f>
        <v/>
      </c>
      <c r="G41" t="str">
        <f>IF($B41="","",IF(G$3=0,"n.b.",INDEX(SRC_Woningetalage!$A$1:$ZZ$501,$A41,G$3)))</f>
        <v/>
      </c>
      <c r="H41" t="str">
        <f>IF($B41="","",IF(H$3=0,"n.b.",INDEX(SRC_Woningetalage!$A$1:$ZZ$501,$A41,H$3)))</f>
        <v/>
      </c>
      <c r="I41" t="str">
        <f>IF($B41="","",IF(I$3=0,"n.b.",INDEX(SRC_Woningetalage!$A$1:$ZZ$501,$A41,I$3)))</f>
        <v/>
      </c>
      <c r="J41" t="str">
        <f>IF($B41="","",IF(J$3=0,"n.b.",INDEX(SRC_Woningetalage!$A$1:$ZZ$501,$A41,J$3)))</f>
        <v/>
      </c>
      <c r="K41" t="str">
        <f>IF($B41="","",IF(K$3=0,"n.b.",INDEX(SRC_Woningetalage!$A$1:$ZZ$501,$A41,K$3)))</f>
        <v/>
      </c>
      <c r="L41" t="str">
        <f>IF($B41="","",IF(L$3=0,"n.b.",INDEX(SRC_Woningetalage!$A$1:$ZZ$501,$A41,L$3)))</f>
        <v/>
      </c>
      <c r="M41" t="str">
        <f>IF($B41="","",IF(M$3=0,"n.b.",INDEX(SRC_Woningetalage!$A$1:$ZZ$501,$A41,M$3)))</f>
        <v/>
      </c>
      <c r="N41" t="str">
        <f>IF($B41="","",IF(N$3=0,"n.b.",INDEX(SRC_Woningetalage!$A$1:$ZZ$501,$A41,N$3)))</f>
        <v/>
      </c>
      <c r="O41" t="str">
        <f>IF($B41="","",IF(O$3=0,"n.b.",INDEX(SRC_Woningetalage!$A$1:$ZZ$501,$A41,O$3)))</f>
        <v/>
      </c>
      <c r="P41" t="str">
        <f>IF($B41="","",IF(P$3=0,"n.b.",INDEX(SRC_Woningetalage!$A$1:$ZZ$501,$A41,P$3)))</f>
        <v/>
      </c>
      <c r="Q41" s="124" t="str">
        <f>IF($B41="","",IF(Q$3=0,"n.b.",INDEX(SRC_Woningetalage!$A$1:$ZZ$501,$A41,Q$3)))</f>
        <v/>
      </c>
      <c r="R41" s="124" t="str">
        <f>IF($B41="","",IF(R$3=0,"n.b.",INDEX(SRC_Woningetalage!$A$1:$ZZ$501,$A41,R$3)))</f>
        <v/>
      </c>
      <c r="S41" s="124" t="str">
        <f>IF($B41="","",IF(S$3=0,"n.b.",INDEX(SRC_Woningetalage!$A$1:$ZZ$501,$A41,S$3)))</f>
        <v/>
      </c>
      <c r="T41" s="124" t="str">
        <f>IF($B41="","",IF(T$3=0,"n.b.",INDEX(SRC_Woningetalage!$A$1:$ZZ$501,$A41,T$3)))</f>
        <v/>
      </c>
      <c r="U41" s="124" t="str">
        <f>IF($B41="","",IF(U$3=0,"n.b.",INDEX(SRC_Woningetalage!$A$1:$ZZ$501,$A41,U$3)))</f>
        <v/>
      </c>
      <c r="V41" s="124" t="str">
        <f>IF($B41="","",IF(V$3=0,"n.b.",INDEX(SRC_Woningetalage!$A$1:$ZZ$501,$A41,V$3)))</f>
        <v/>
      </c>
      <c r="W41" s="124" t="str">
        <f>IF($B41="","",IF(W$3=0,"n.b.",INDEX(SRC_Woningetalage!$A$1:$ZZ$501,$A41,W$3)))</f>
        <v/>
      </c>
      <c r="X41" s="124" t="str">
        <f>IF($B41="","",IF(X$3=0,"n.b.",INDEX(SRC_Woningetalage!$A$1:$ZZ$501,$A41,X$3)))</f>
        <v/>
      </c>
      <c r="Y41" s="124" t="str">
        <f>IF($B41="","",IF(Y$3=0,"n.b.",INDEX(SRC_Woningetalage!$A$1:$ZZ$501,$A41,Y$3)))</f>
        <v/>
      </c>
      <c r="Z41" s="124" t="str">
        <f>IF($B41="","",IF(Z$3=0,"n.b.",INDEX(SRC_Woningetalage!$A$1:$ZZ$501,$A41,Z$3)))</f>
        <v/>
      </c>
      <c r="AA41" s="124" t="str">
        <f>IF($B41="","",IF(AA$3=0,"n.b.",INDEX(SRC_Woningetalage!$A$1:$ZZ$501,$A41,AA$3)))</f>
        <v/>
      </c>
      <c r="AB41" s="124" t="str">
        <f>IF($B41="","",IF(AB$3=0,"n.b.",INDEX(SRC_Woningetalage!$A$1:$ZZ$501,$A41,AB$3)))</f>
        <v/>
      </c>
      <c r="AC41" s="124" t="str">
        <f>IF($B41="","",IF(AC$3=0,"n.b.",INDEX(SRC_Woningetalage!$A$1:$ZZ$501,$A41,AC$3)))</f>
        <v/>
      </c>
      <c r="AD41" s="124" t="str">
        <f>IF($B41="","",IF(AD$3=0,"n.b.",INDEX(SRC_Woningetalage!$A$1:$ZZ$501,$A41,AD$3)))</f>
        <v/>
      </c>
      <c r="AE41" s="124" t="str">
        <f>IF($B41="","",IF(AE$3=0,"n.b.",INDEX(SRC_Woningetalage!$A$1:$ZZ$501,$A41,AE$3)))</f>
        <v/>
      </c>
      <c r="AF41" s="124" t="str">
        <f>IF($B41="","",IF(AF$3=0,"n.b.",INDEX(SRC_Woningetalage!$A$1:$ZZ$501,$A41,AF$3)))</f>
        <v/>
      </c>
      <c r="AG41" s="124" t="str">
        <f>IF($B41="","",IF(AG$3=0,"n.b.",INDEX(SRC_Woningetalage!$A$1:$ZZ$501,$A41,AG$3)))</f>
        <v/>
      </c>
      <c r="AH41" s="124" t="str">
        <f>IF($B41="","",IF(AH$3=0,"n.b.",INDEX(SRC_Woningetalage!$A$1:$ZZ$501,$A41,AH$3)))</f>
        <v/>
      </c>
      <c r="AI41" s="124" t="str">
        <f>IF($B41="","",IF(AI$3=0,"n.b.",INDEX(SRC_Woningetalage!$A$1:$ZZ$501,$A41,AI$3)))</f>
        <v/>
      </c>
      <c r="AJ41" s="124" t="str">
        <f>IF($B41="","",IF(AJ$3=0,"n.b.",INDEX(SRC_Woningetalage!$A$1:$ZZ$501,$A41,AJ$3)))</f>
        <v/>
      </c>
      <c r="AK41" s="124" t="str">
        <f>IF($B41="","",IF(AK$3=0,"n.b.",INDEX(SRC_Woningetalage!$A$1:$ZZ$501,$A41,AK$3)))</f>
        <v/>
      </c>
      <c r="AL41" s="124" t="str">
        <f>IF($B41="","",IF(AL$3=0,"n.b.",INDEX(SRC_Woningetalage!$A$1:$ZZ$501,$A41,AL$3)))</f>
        <v/>
      </c>
      <c r="AM41" s="124" t="str">
        <f>IF($B41="","",IF(AM$3=0,"n.b.",INDEX(SRC_Woningetalage!$A$1:$ZZ$501,$A41,AM$3)))</f>
        <v/>
      </c>
      <c r="AN41" s="124" t="str">
        <f>IF($B41="","",IF(AN$3=0,"n.b.",INDEX(SRC_Woningetalage!$A$1:$ZZ$501,$A41,AN$3)))</f>
        <v/>
      </c>
      <c r="AO41" s="124" t="str">
        <f>IF($B41="","",IF(AO$3=0,"n.b.",INDEX(SRC_Woningetalage!$A$1:$ZZ$501,$A41,AO$3)))</f>
        <v/>
      </c>
      <c r="AP41" s="124" t="str">
        <f>IF($B41="","",IF(AP$3=0,"n.b.",INDEX(SRC_Woningetalage!$A$1:$ZZ$501,$A41,AP$3)))</f>
        <v/>
      </c>
      <c r="AQ41" s="124" t="str">
        <f>IF($B41="","",IF(AQ$3=0,"n.b.",INDEX(SRC_Woningetalage!$A$1:$ZZ$501,$A41,AQ$3)))</f>
        <v/>
      </c>
      <c r="AR41" s="124" t="str">
        <f>IF($B41="","",IF(AR$3=0,"n.b.",INDEX(SRC_Woningetalage!$A$1:$ZZ$501,$A41,AR$3)))</f>
        <v/>
      </c>
      <c r="AS41" s="124" t="str">
        <f>IF($B41="","",IF(AS$3=0,"n.b.",INDEX(SRC_Woningetalage!$A$1:$ZZ$501,$A41,AS$3)))</f>
        <v/>
      </c>
      <c r="AT41" s="124" t="str">
        <f>IF($B41="","",IF(AT$3=0,"n.b.",INDEX(SRC_Woningetalage!$A$1:$ZZ$501,$A41,AT$3)))</f>
        <v/>
      </c>
      <c r="AU41" s="124" t="str">
        <f>IF($B41="","",IF(AU$3=0,"n.b.",INDEX(SRC_Woningetalage!$A$1:$ZZ$501,$A41,AU$3)))</f>
        <v/>
      </c>
      <c r="AV41" s="124" t="str">
        <f>IF($B41="","",IF(AV$3=0,"n.b.",INDEX(SRC_Woningetalage!$A$1:$ZZ$501,$A41,AV$3)))</f>
        <v/>
      </c>
      <c r="AW41" s="124" t="str">
        <f>IF($B41="","",IF(AW$3=0,"n.b.",INDEX(SRC_Woningetalage!$A$1:$ZZ$501,$A41,AW$3)))</f>
        <v/>
      </c>
      <c r="AX41" s="124" t="str">
        <f>IF($B41="","",IF(AX$3=0,"n.b.",INDEX(SRC_Woningetalage!$A$1:$ZZ$501,$A41,AX$3)))</f>
        <v/>
      </c>
      <c r="AY41" s="124" t="str">
        <f>IF($B41="","",IF(AY$3=0,"n.b.",INDEX(SRC_Woningetalage!$A$1:$ZZ$501,$A41,AY$3)))</f>
        <v/>
      </c>
      <c r="AZ41" s="124" t="str">
        <f>IF($B41="","",IF(AZ$3=0,"n.b.",INDEX(SRC_Woningetalage!$A$1:$ZZ$501,$A41,AZ$3)))</f>
        <v/>
      </c>
      <c r="BA41" s="124" t="str">
        <f>IF($B41="","",IF(BA$3=0,"n.b.",INDEX(SRC_Woningetalage!$A$1:$ZZ$501,$A41,BA$3)))</f>
        <v/>
      </c>
      <c r="BB41" s="124" t="str">
        <f>IF($B41="","",IF(BB$3=0,"n.b.",INDEX(SRC_Woningetalage!$A$1:$ZZ$501,$A41,BB$3)))</f>
        <v/>
      </c>
      <c r="BC41" s="124" t="str">
        <f>IF($B41="","",IFERROR(_xlfn.NUMBERVALUE(E41&amp;"",",","."),"n.b."))</f>
        <v/>
      </c>
      <c r="BD41" s="124" t="str">
        <f>IF($B41="","",IFERROR(_xlfn.NUMBERVALUE(M41&amp;"",",","."),"n.b."))</f>
        <v/>
      </c>
      <c r="BE41" s="124" t="str">
        <f>IF($B41="","",IFERROR(AB41+AC41+AD41,"n.b."))</f>
        <v/>
      </c>
      <c r="BF41" s="124" t="str">
        <f>IF($B41="","",IFERROR(AE41+AF41+AG41,"n.b."))</f>
        <v/>
      </c>
      <c r="BG41" s="124" t="str">
        <f>IF($B41="","",IFERROR(AH41+AI41+AJ41,"n.b."))</f>
        <v/>
      </c>
      <c r="BH41" s="124" t="str">
        <f>IF($B41="","",IFERROR(AK41+AL41+AM41,"n.b."))</f>
        <v/>
      </c>
      <c r="BI41" s="124" t="str">
        <f>IF($B41="","",IFERROR(SUMIF($AB$5:$AM$5,"&lt;="&amp;P_PeilMaand,AB41:AM41),"n.b."))</f>
        <v/>
      </c>
      <c r="BJ41" s="124" t="str">
        <f>IF($B41="","",IFERROR(SUM(AB41:AM41)-BI41,"n.b."))</f>
        <v/>
      </c>
      <c r="BK41" s="124" t="str">
        <f>IF($B41="","",IFERROR(IF(ABS(Q41-(T41+SUM(AB41:AM41)+AS41+AU41))&gt;P_Tol,1,0),1))</f>
        <v/>
      </c>
      <c r="BL41" s="124" t="str">
        <f>IF($B41="","",IFERROR(IF(ABS(AA41-(Q41-Z41))&gt;P_Tol,1,0),1))</f>
        <v/>
      </c>
      <c r="BM41" s="124" t="str">
        <f>IF($B41="","",IFERROR(IF(ABS(Z41-(T41+W41))&gt;P_Tol,1,0),1))</f>
        <v/>
      </c>
      <c r="BN41" s="124" t="str">
        <f>IF($B41="","",IFERROR(IF(ABS(W41-BI41)&gt;P_Tol,1,0),1))</f>
        <v/>
      </c>
      <c r="BO41" s="124" t="str">
        <f>IF($B41="","",IFERROR(IF(OR(ABS(R41+S41-T41)&gt;P_Tol,ABS(U41+V41-W41)&gt;P_Tol,ABS(X41+Y41-Z41)&gt;P_Tol),1,0),1))</f>
        <v/>
      </c>
      <c r="BP41" s="124" t="str">
        <f>IF($B41="","",IFERROR(IF(OR(ABS(AR41-SUM(AB41:AM41))&gt;P_Tol,ABS(AS41-(AN41+AO41+AP41+AQ41))&gt;P_Tol),1,0),1))</f>
        <v/>
      </c>
      <c r="BQ41" s="124" t="str">
        <f>IF($B41="","",IFERROR(IF(ABS(AT41)+ABS(AV41)+ABS(AW41)+ABS(AX41)+ABS(AY41)+ABS(AZ41)+ABS(BA41)+ABS(BB41)&gt;0,1,0),1))</f>
        <v/>
      </c>
      <c r="BR41" s="124" t="str">
        <f>IF($B41="","",COUNTIF(STG_ZPMW03!$B$6:$B$505,B41))</f>
        <v/>
      </c>
      <c r="BS41" s="124" t="str">
        <f>IF($B41="","",COUNTIF($B$6:$B$505,B41))</f>
        <v/>
      </c>
      <c r="BT41" s="124" t="str">
        <f>IF($B41="","",IF(BR41=0,0,IF(INDEX(STG_ZPMW03!$I$6:$I$505,MATCH(B41,STG_ZPMW03!$B$6:$B$505,0))=J41&amp;"",0,1)))</f>
        <v/>
      </c>
      <c r="BU41" s="124" t="str">
        <f>IF($B41="","",IFERROR(IF(ABS(INDEX(Mapping!$D$5:$D$104,MATCH(B41,Mapping!$A$5:$A$104,0))-Q41)&gt;P_Tol,1,0),0))</f>
        <v/>
      </c>
      <c r="BV41" s="124" t="str">
        <f>IF($B41="","",IFERROR(IF(AND(INDEX(Mapping!$G$5:$G$104,MATCH(B41,Mapping!$A$5:$A$104,0))="Nee",ABS(Q41)+ABS(Z41)+ABS(AR41)&gt;0),1,0),0))</f>
        <v/>
      </c>
      <c r="BW41" s="124" t="str">
        <f>IF($B41="","",IF(COUNTIF(Mapping!$A$5:$A$104,B41)&gt;0,1,0))</f>
        <v/>
      </c>
      <c r="BX41" s="124" t="str">
        <f>IF($B41="","",IF(BR41=0,COUNTIF($BR$6:BR41,0),""))</f>
        <v/>
      </c>
    </row>
    <row r="42">
      <c r="A42" s="15" t="n">
        <v>38</v>
      </c>
      <c r="B42" t="str">
        <f>IF(B$3=0,"",IF(INDEX(SRC_Woningetalage!$A$1:$ZZ$501,$A42,B$3)&amp;""="","",INDEX(SRC_Woningetalage!$A$1:$ZZ$501,$A42,B$3)&amp;""))</f>
        <v/>
      </c>
      <c r="C42" t="str">
        <f>IF($B42="","",IF(C$3=0,"n.b.",INDEX(SRC_Woningetalage!$A$1:$ZZ$501,$A42,C$3)))</f>
        <v/>
      </c>
      <c r="D42" t="str">
        <f>IF($B42="","",IF(D$3=0,"n.b.",INDEX(SRC_Woningetalage!$A$1:$ZZ$501,$A42,D$3)))</f>
        <v/>
      </c>
      <c r="E42" t="str">
        <f>IF($B42="","",IF(E$3=0,"n.b.",INDEX(SRC_Woningetalage!$A$1:$ZZ$501,$A42,E$3)))</f>
        <v/>
      </c>
      <c r="F42" t="str">
        <f>IF($B42="","",IF(F$3=0,"n.b.",INDEX(SRC_Woningetalage!$A$1:$ZZ$501,$A42,F$3)))</f>
        <v/>
      </c>
      <c r="G42" t="str">
        <f>IF($B42="","",IF(G$3=0,"n.b.",INDEX(SRC_Woningetalage!$A$1:$ZZ$501,$A42,G$3)))</f>
        <v/>
      </c>
      <c r="H42" t="str">
        <f>IF($B42="","",IF(H$3=0,"n.b.",INDEX(SRC_Woningetalage!$A$1:$ZZ$501,$A42,H$3)))</f>
        <v/>
      </c>
      <c r="I42" t="str">
        <f>IF($B42="","",IF(I$3=0,"n.b.",INDEX(SRC_Woningetalage!$A$1:$ZZ$501,$A42,I$3)))</f>
        <v/>
      </c>
      <c r="J42" t="str">
        <f>IF($B42="","",IF(J$3=0,"n.b.",INDEX(SRC_Woningetalage!$A$1:$ZZ$501,$A42,J$3)))</f>
        <v/>
      </c>
      <c r="K42" t="str">
        <f>IF($B42="","",IF(K$3=0,"n.b.",INDEX(SRC_Woningetalage!$A$1:$ZZ$501,$A42,K$3)))</f>
        <v/>
      </c>
      <c r="L42" t="str">
        <f>IF($B42="","",IF(L$3=0,"n.b.",INDEX(SRC_Woningetalage!$A$1:$ZZ$501,$A42,L$3)))</f>
        <v/>
      </c>
      <c r="M42" t="str">
        <f>IF($B42="","",IF(M$3=0,"n.b.",INDEX(SRC_Woningetalage!$A$1:$ZZ$501,$A42,M$3)))</f>
        <v/>
      </c>
      <c r="N42" t="str">
        <f>IF($B42="","",IF(N$3=0,"n.b.",INDEX(SRC_Woningetalage!$A$1:$ZZ$501,$A42,N$3)))</f>
        <v/>
      </c>
      <c r="O42" t="str">
        <f>IF($B42="","",IF(O$3=0,"n.b.",INDEX(SRC_Woningetalage!$A$1:$ZZ$501,$A42,O$3)))</f>
        <v/>
      </c>
      <c r="P42" t="str">
        <f>IF($B42="","",IF(P$3=0,"n.b.",INDEX(SRC_Woningetalage!$A$1:$ZZ$501,$A42,P$3)))</f>
        <v/>
      </c>
      <c r="Q42" s="124" t="str">
        <f>IF($B42="","",IF(Q$3=0,"n.b.",INDEX(SRC_Woningetalage!$A$1:$ZZ$501,$A42,Q$3)))</f>
        <v/>
      </c>
      <c r="R42" s="124" t="str">
        <f>IF($B42="","",IF(R$3=0,"n.b.",INDEX(SRC_Woningetalage!$A$1:$ZZ$501,$A42,R$3)))</f>
        <v/>
      </c>
      <c r="S42" s="124" t="str">
        <f>IF($B42="","",IF(S$3=0,"n.b.",INDEX(SRC_Woningetalage!$A$1:$ZZ$501,$A42,S$3)))</f>
        <v/>
      </c>
      <c r="T42" s="124" t="str">
        <f>IF($B42="","",IF(T$3=0,"n.b.",INDEX(SRC_Woningetalage!$A$1:$ZZ$501,$A42,T$3)))</f>
        <v/>
      </c>
      <c r="U42" s="124" t="str">
        <f>IF($B42="","",IF(U$3=0,"n.b.",INDEX(SRC_Woningetalage!$A$1:$ZZ$501,$A42,U$3)))</f>
        <v/>
      </c>
      <c r="V42" s="124" t="str">
        <f>IF($B42="","",IF(V$3=0,"n.b.",INDEX(SRC_Woningetalage!$A$1:$ZZ$501,$A42,V$3)))</f>
        <v/>
      </c>
      <c r="W42" s="124" t="str">
        <f>IF($B42="","",IF(W$3=0,"n.b.",INDEX(SRC_Woningetalage!$A$1:$ZZ$501,$A42,W$3)))</f>
        <v/>
      </c>
      <c r="X42" s="124" t="str">
        <f>IF($B42="","",IF(X$3=0,"n.b.",INDEX(SRC_Woningetalage!$A$1:$ZZ$501,$A42,X$3)))</f>
        <v/>
      </c>
      <c r="Y42" s="124" t="str">
        <f>IF($B42="","",IF(Y$3=0,"n.b.",INDEX(SRC_Woningetalage!$A$1:$ZZ$501,$A42,Y$3)))</f>
        <v/>
      </c>
      <c r="Z42" s="124" t="str">
        <f>IF($B42="","",IF(Z$3=0,"n.b.",INDEX(SRC_Woningetalage!$A$1:$ZZ$501,$A42,Z$3)))</f>
        <v/>
      </c>
      <c r="AA42" s="124" t="str">
        <f>IF($B42="","",IF(AA$3=0,"n.b.",INDEX(SRC_Woningetalage!$A$1:$ZZ$501,$A42,AA$3)))</f>
        <v/>
      </c>
      <c r="AB42" s="124" t="str">
        <f>IF($B42="","",IF(AB$3=0,"n.b.",INDEX(SRC_Woningetalage!$A$1:$ZZ$501,$A42,AB$3)))</f>
        <v/>
      </c>
      <c r="AC42" s="124" t="str">
        <f>IF($B42="","",IF(AC$3=0,"n.b.",INDEX(SRC_Woningetalage!$A$1:$ZZ$501,$A42,AC$3)))</f>
        <v/>
      </c>
      <c r="AD42" s="124" t="str">
        <f>IF($B42="","",IF(AD$3=0,"n.b.",INDEX(SRC_Woningetalage!$A$1:$ZZ$501,$A42,AD$3)))</f>
        <v/>
      </c>
      <c r="AE42" s="124" t="str">
        <f>IF($B42="","",IF(AE$3=0,"n.b.",INDEX(SRC_Woningetalage!$A$1:$ZZ$501,$A42,AE$3)))</f>
        <v/>
      </c>
      <c r="AF42" s="124" t="str">
        <f>IF($B42="","",IF(AF$3=0,"n.b.",INDEX(SRC_Woningetalage!$A$1:$ZZ$501,$A42,AF$3)))</f>
        <v/>
      </c>
      <c r="AG42" s="124" t="str">
        <f>IF($B42="","",IF(AG$3=0,"n.b.",INDEX(SRC_Woningetalage!$A$1:$ZZ$501,$A42,AG$3)))</f>
        <v/>
      </c>
      <c r="AH42" s="124" t="str">
        <f>IF($B42="","",IF(AH$3=0,"n.b.",INDEX(SRC_Woningetalage!$A$1:$ZZ$501,$A42,AH$3)))</f>
        <v/>
      </c>
      <c r="AI42" s="124" t="str">
        <f>IF($B42="","",IF(AI$3=0,"n.b.",INDEX(SRC_Woningetalage!$A$1:$ZZ$501,$A42,AI$3)))</f>
        <v/>
      </c>
      <c r="AJ42" s="124" t="str">
        <f>IF($B42="","",IF(AJ$3=0,"n.b.",INDEX(SRC_Woningetalage!$A$1:$ZZ$501,$A42,AJ$3)))</f>
        <v/>
      </c>
      <c r="AK42" s="124" t="str">
        <f>IF($B42="","",IF(AK$3=0,"n.b.",INDEX(SRC_Woningetalage!$A$1:$ZZ$501,$A42,AK$3)))</f>
        <v/>
      </c>
      <c r="AL42" s="124" t="str">
        <f>IF($B42="","",IF(AL$3=0,"n.b.",INDEX(SRC_Woningetalage!$A$1:$ZZ$501,$A42,AL$3)))</f>
        <v/>
      </c>
      <c r="AM42" s="124" t="str">
        <f>IF($B42="","",IF(AM$3=0,"n.b.",INDEX(SRC_Woningetalage!$A$1:$ZZ$501,$A42,AM$3)))</f>
        <v/>
      </c>
      <c r="AN42" s="124" t="str">
        <f>IF($B42="","",IF(AN$3=0,"n.b.",INDEX(SRC_Woningetalage!$A$1:$ZZ$501,$A42,AN$3)))</f>
        <v/>
      </c>
      <c r="AO42" s="124" t="str">
        <f>IF($B42="","",IF(AO$3=0,"n.b.",INDEX(SRC_Woningetalage!$A$1:$ZZ$501,$A42,AO$3)))</f>
        <v/>
      </c>
      <c r="AP42" s="124" t="str">
        <f>IF($B42="","",IF(AP$3=0,"n.b.",INDEX(SRC_Woningetalage!$A$1:$ZZ$501,$A42,AP$3)))</f>
        <v/>
      </c>
      <c r="AQ42" s="124" t="str">
        <f>IF($B42="","",IF(AQ$3=0,"n.b.",INDEX(SRC_Woningetalage!$A$1:$ZZ$501,$A42,AQ$3)))</f>
        <v/>
      </c>
      <c r="AR42" s="124" t="str">
        <f>IF($B42="","",IF(AR$3=0,"n.b.",INDEX(SRC_Woningetalage!$A$1:$ZZ$501,$A42,AR$3)))</f>
        <v/>
      </c>
      <c r="AS42" s="124" t="str">
        <f>IF($B42="","",IF(AS$3=0,"n.b.",INDEX(SRC_Woningetalage!$A$1:$ZZ$501,$A42,AS$3)))</f>
        <v/>
      </c>
      <c r="AT42" s="124" t="str">
        <f>IF($B42="","",IF(AT$3=0,"n.b.",INDEX(SRC_Woningetalage!$A$1:$ZZ$501,$A42,AT$3)))</f>
        <v/>
      </c>
      <c r="AU42" s="124" t="str">
        <f>IF($B42="","",IF(AU$3=0,"n.b.",INDEX(SRC_Woningetalage!$A$1:$ZZ$501,$A42,AU$3)))</f>
        <v/>
      </c>
      <c r="AV42" s="124" t="str">
        <f>IF($B42="","",IF(AV$3=0,"n.b.",INDEX(SRC_Woningetalage!$A$1:$ZZ$501,$A42,AV$3)))</f>
        <v/>
      </c>
      <c r="AW42" s="124" t="str">
        <f>IF($B42="","",IF(AW$3=0,"n.b.",INDEX(SRC_Woningetalage!$A$1:$ZZ$501,$A42,AW$3)))</f>
        <v/>
      </c>
      <c r="AX42" s="124" t="str">
        <f>IF($B42="","",IF(AX$3=0,"n.b.",INDEX(SRC_Woningetalage!$A$1:$ZZ$501,$A42,AX$3)))</f>
        <v/>
      </c>
      <c r="AY42" s="124" t="str">
        <f>IF($B42="","",IF(AY$3=0,"n.b.",INDEX(SRC_Woningetalage!$A$1:$ZZ$501,$A42,AY$3)))</f>
        <v/>
      </c>
      <c r="AZ42" s="124" t="str">
        <f>IF($B42="","",IF(AZ$3=0,"n.b.",INDEX(SRC_Woningetalage!$A$1:$ZZ$501,$A42,AZ$3)))</f>
        <v/>
      </c>
      <c r="BA42" s="124" t="str">
        <f>IF($B42="","",IF(BA$3=0,"n.b.",INDEX(SRC_Woningetalage!$A$1:$ZZ$501,$A42,BA$3)))</f>
        <v/>
      </c>
      <c r="BB42" s="124" t="str">
        <f>IF($B42="","",IF(BB$3=0,"n.b.",INDEX(SRC_Woningetalage!$A$1:$ZZ$501,$A42,BB$3)))</f>
        <v/>
      </c>
      <c r="BC42" s="124" t="str">
        <f>IF($B42="","",IFERROR(_xlfn.NUMBERVALUE(E42&amp;"",",","."),"n.b."))</f>
        <v/>
      </c>
      <c r="BD42" s="124" t="str">
        <f>IF($B42="","",IFERROR(_xlfn.NUMBERVALUE(M42&amp;"",",","."),"n.b."))</f>
        <v/>
      </c>
      <c r="BE42" s="124" t="str">
        <f>IF($B42="","",IFERROR(AB42+AC42+AD42,"n.b."))</f>
        <v/>
      </c>
      <c r="BF42" s="124" t="str">
        <f>IF($B42="","",IFERROR(AE42+AF42+AG42,"n.b."))</f>
        <v/>
      </c>
      <c r="BG42" s="124" t="str">
        <f>IF($B42="","",IFERROR(AH42+AI42+AJ42,"n.b."))</f>
        <v/>
      </c>
      <c r="BH42" s="124" t="str">
        <f>IF($B42="","",IFERROR(AK42+AL42+AM42,"n.b."))</f>
        <v/>
      </c>
      <c r="BI42" s="124" t="str">
        <f>IF($B42="","",IFERROR(SUMIF($AB$5:$AM$5,"&lt;="&amp;P_PeilMaand,AB42:AM42),"n.b."))</f>
        <v/>
      </c>
      <c r="BJ42" s="124" t="str">
        <f>IF($B42="","",IFERROR(SUM(AB42:AM42)-BI42,"n.b."))</f>
        <v/>
      </c>
      <c r="BK42" s="124" t="str">
        <f>IF($B42="","",IFERROR(IF(ABS(Q42-(T42+SUM(AB42:AM42)+AS42+AU42))&gt;P_Tol,1,0),1))</f>
        <v/>
      </c>
      <c r="BL42" s="124" t="str">
        <f>IF($B42="","",IFERROR(IF(ABS(AA42-(Q42-Z42))&gt;P_Tol,1,0),1))</f>
        <v/>
      </c>
      <c r="BM42" s="124" t="str">
        <f>IF($B42="","",IFERROR(IF(ABS(Z42-(T42+W42))&gt;P_Tol,1,0),1))</f>
        <v/>
      </c>
      <c r="BN42" s="124" t="str">
        <f>IF($B42="","",IFERROR(IF(ABS(W42-BI42)&gt;P_Tol,1,0),1))</f>
        <v/>
      </c>
      <c r="BO42" s="124" t="str">
        <f>IF($B42="","",IFERROR(IF(OR(ABS(R42+S42-T42)&gt;P_Tol,ABS(U42+V42-W42)&gt;P_Tol,ABS(X42+Y42-Z42)&gt;P_Tol),1,0),1))</f>
        <v/>
      </c>
      <c r="BP42" s="124" t="str">
        <f>IF($B42="","",IFERROR(IF(OR(ABS(AR42-SUM(AB42:AM42))&gt;P_Tol,ABS(AS42-(AN42+AO42+AP42+AQ42))&gt;P_Tol),1,0),1))</f>
        <v/>
      </c>
      <c r="BQ42" s="124" t="str">
        <f>IF($B42="","",IFERROR(IF(ABS(AT42)+ABS(AV42)+ABS(AW42)+ABS(AX42)+ABS(AY42)+ABS(AZ42)+ABS(BA42)+ABS(BB42)&gt;0,1,0),1))</f>
        <v/>
      </c>
      <c r="BR42" s="124" t="str">
        <f>IF($B42="","",COUNTIF(STG_ZPMW03!$B$6:$B$505,B42))</f>
        <v/>
      </c>
      <c r="BS42" s="124" t="str">
        <f>IF($B42="","",COUNTIF($B$6:$B$505,B42))</f>
        <v/>
      </c>
      <c r="BT42" s="124" t="str">
        <f>IF($B42="","",IF(BR42=0,0,IF(INDEX(STG_ZPMW03!$I$6:$I$505,MATCH(B42,STG_ZPMW03!$B$6:$B$505,0))=J42&amp;"",0,1)))</f>
        <v/>
      </c>
      <c r="BU42" s="124" t="str">
        <f>IF($B42="","",IFERROR(IF(ABS(INDEX(Mapping!$D$5:$D$104,MATCH(B42,Mapping!$A$5:$A$104,0))-Q42)&gt;P_Tol,1,0),0))</f>
        <v/>
      </c>
      <c r="BV42" s="124" t="str">
        <f>IF($B42="","",IFERROR(IF(AND(INDEX(Mapping!$G$5:$G$104,MATCH(B42,Mapping!$A$5:$A$104,0))="Nee",ABS(Q42)+ABS(Z42)+ABS(AR42)&gt;0),1,0),0))</f>
        <v/>
      </c>
      <c r="BW42" s="124" t="str">
        <f>IF($B42="","",IF(COUNTIF(Mapping!$A$5:$A$104,B42)&gt;0,1,0))</f>
        <v/>
      </c>
      <c r="BX42" s="124" t="str">
        <f>IF($B42="","",IF(BR42=0,COUNTIF($BR$6:BR42,0),""))</f>
        <v/>
      </c>
    </row>
    <row r="43">
      <c r="A43" s="15" t="n">
        <v>39</v>
      </c>
      <c r="B43" t="str">
        <f>IF(B$3=0,"",IF(INDEX(SRC_Woningetalage!$A$1:$ZZ$501,$A43,B$3)&amp;""="","",INDEX(SRC_Woningetalage!$A$1:$ZZ$501,$A43,B$3)&amp;""))</f>
        <v/>
      </c>
      <c r="C43" t="str">
        <f>IF($B43="","",IF(C$3=0,"n.b.",INDEX(SRC_Woningetalage!$A$1:$ZZ$501,$A43,C$3)))</f>
        <v/>
      </c>
      <c r="D43" t="str">
        <f>IF($B43="","",IF(D$3=0,"n.b.",INDEX(SRC_Woningetalage!$A$1:$ZZ$501,$A43,D$3)))</f>
        <v/>
      </c>
      <c r="E43" t="str">
        <f>IF($B43="","",IF(E$3=0,"n.b.",INDEX(SRC_Woningetalage!$A$1:$ZZ$501,$A43,E$3)))</f>
        <v/>
      </c>
      <c r="F43" t="str">
        <f>IF($B43="","",IF(F$3=0,"n.b.",INDEX(SRC_Woningetalage!$A$1:$ZZ$501,$A43,F$3)))</f>
        <v/>
      </c>
      <c r="G43" t="str">
        <f>IF($B43="","",IF(G$3=0,"n.b.",INDEX(SRC_Woningetalage!$A$1:$ZZ$501,$A43,G$3)))</f>
        <v/>
      </c>
      <c r="H43" t="str">
        <f>IF($B43="","",IF(H$3=0,"n.b.",INDEX(SRC_Woningetalage!$A$1:$ZZ$501,$A43,H$3)))</f>
        <v/>
      </c>
      <c r="I43" t="str">
        <f>IF($B43="","",IF(I$3=0,"n.b.",INDEX(SRC_Woningetalage!$A$1:$ZZ$501,$A43,I$3)))</f>
        <v/>
      </c>
      <c r="J43" t="str">
        <f>IF($B43="","",IF(J$3=0,"n.b.",INDEX(SRC_Woningetalage!$A$1:$ZZ$501,$A43,J$3)))</f>
        <v/>
      </c>
      <c r="K43" t="str">
        <f>IF($B43="","",IF(K$3=0,"n.b.",INDEX(SRC_Woningetalage!$A$1:$ZZ$501,$A43,K$3)))</f>
        <v/>
      </c>
      <c r="L43" t="str">
        <f>IF($B43="","",IF(L$3=0,"n.b.",INDEX(SRC_Woningetalage!$A$1:$ZZ$501,$A43,L$3)))</f>
        <v/>
      </c>
      <c r="M43" t="str">
        <f>IF($B43="","",IF(M$3=0,"n.b.",INDEX(SRC_Woningetalage!$A$1:$ZZ$501,$A43,M$3)))</f>
        <v/>
      </c>
      <c r="N43" t="str">
        <f>IF($B43="","",IF(N$3=0,"n.b.",INDEX(SRC_Woningetalage!$A$1:$ZZ$501,$A43,N$3)))</f>
        <v/>
      </c>
      <c r="O43" t="str">
        <f>IF($B43="","",IF(O$3=0,"n.b.",INDEX(SRC_Woningetalage!$A$1:$ZZ$501,$A43,O$3)))</f>
        <v/>
      </c>
      <c r="P43" t="str">
        <f>IF($B43="","",IF(P$3=0,"n.b.",INDEX(SRC_Woningetalage!$A$1:$ZZ$501,$A43,P$3)))</f>
        <v/>
      </c>
      <c r="Q43" s="124" t="str">
        <f>IF($B43="","",IF(Q$3=0,"n.b.",INDEX(SRC_Woningetalage!$A$1:$ZZ$501,$A43,Q$3)))</f>
        <v/>
      </c>
      <c r="R43" s="124" t="str">
        <f>IF($B43="","",IF(R$3=0,"n.b.",INDEX(SRC_Woningetalage!$A$1:$ZZ$501,$A43,R$3)))</f>
        <v/>
      </c>
      <c r="S43" s="124" t="str">
        <f>IF($B43="","",IF(S$3=0,"n.b.",INDEX(SRC_Woningetalage!$A$1:$ZZ$501,$A43,S$3)))</f>
        <v/>
      </c>
      <c r="T43" s="124" t="str">
        <f>IF($B43="","",IF(T$3=0,"n.b.",INDEX(SRC_Woningetalage!$A$1:$ZZ$501,$A43,T$3)))</f>
        <v/>
      </c>
      <c r="U43" s="124" t="str">
        <f>IF($B43="","",IF(U$3=0,"n.b.",INDEX(SRC_Woningetalage!$A$1:$ZZ$501,$A43,U$3)))</f>
        <v/>
      </c>
      <c r="V43" s="124" t="str">
        <f>IF($B43="","",IF(V$3=0,"n.b.",INDEX(SRC_Woningetalage!$A$1:$ZZ$501,$A43,V$3)))</f>
        <v/>
      </c>
      <c r="W43" s="124" t="str">
        <f>IF($B43="","",IF(W$3=0,"n.b.",INDEX(SRC_Woningetalage!$A$1:$ZZ$501,$A43,W$3)))</f>
        <v/>
      </c>
      <c r="X43" s="124" t="str">
        <f>IF($B43="","",IF(X$3=0,"n.b.",INDEX(SRC_Woningetalage!$A$1:$ZZ$501,$A43,X$3)))</f>
        <v/>
      </c>
      <c r="Y43" s="124" t="str">
        <f>IF($B43="","",IF(Y$3=0,"n.b.",INDEX(SRC_Woningetalage!$A$1:$ZZ$501,$A43,Y$3)))</f>
        <v/>
      </c>
      <c r="Z43" s="124" t="str">
        <f>IF($B43="","",IF(Z$3=0,"n.b.",INDEX(SRC_Woningetalage!$A$1:$ZZ$501,$A43,Z$3)))</f>
        <v/>
      </c>
      <c r="AA43" s="124" t="str">
        <f>IF($B43="","",IF(AA$3=0,"n.b.",INDEX(SRC_Woningetalage!$A$1:$ZZ$501,$A43,AA$3)))</f>
        <v/>
      </c>
      <c r="AB43" s="124" t="str">
        <f>IF($B43="","",IF(AB$3=0,"n.b.",INDEX(SRC_Woningetalage!$A$1:$ZZ$501,$A43,AB$3)))</f>
        <v/>
      </c>
      <c r="AC43" s="124" t="str">
        <f>IF($B43="","",IF(AC$3=0,"n.b.",INDEX(SRC_Woningetalage!$A$1:$ZZ$501,$A43,AC$3)))</f>
        <v/>
      </c>
      <c r="AD43" s="124" t="str">
        <f>IF($B43="","",IF(AD$3=0,"n.b.",INDEX(SRC_Woningetalage!$A$1:$ZZ$501,$A43,AD$3)))</f>
        <v/>
      </c>
      <c r="AE43" s="124" t="str">
        <f>IF($B43="","",IF(AE$3=0,"n.b.",INDEX(SRC_Woningetalage!$A$1:$ZZ$501,$A43,AE$3)))</f>
        <v/>
      </c>
      <c r="AF43" s="124" t="str">
        <f>IF($B43="","",IF(AF$3=0,"n.b.",INDEX(SRC_Woningetalage!$A$1:$ZZ$501,$A43,AF$3)))</f>
        <v/>
      </c>
      <c r="AG43" s="124" t="str">
        <f>IF($B43="","",IF(AG$3=0,"n.b.",INDEX(SRC_Woningetalage!$A$1:$ZZ$501,$A43,AG$3)))</f>
        <v/>
      </c>
      <c r="AH43" s="124" t="str">
        <f>IF($B43="","",IF(AH$3=0,"n.b.",INDEX(SRC_Woningetalage!$A$1:$ZZ$501,$A43,AH$3)))</f>
        <v/>
      </c>
      <c r="AI43" s="124" t="str">
        <f>IF($B43="","",IF(AI$3=0,"n.b.",INDEX(SRC_Woningetalage!$A$1:$ZZ$501,$A43,AI$3)))</f>
        <v/>
      </c>
      <c r="AJ43" s="124" t="str">
        <f>IF($B43="","",IF(AJ$3=0,"n.b.",INDEX(SRC_Woningetalage!$A$1:$ZZ$501,$A43,AJ$3)))</f>
        <v/>
      </c>
      <c r="AK43" s="124" t="str">
        <f>IF($B43="","",IF(AK$3=0,"n.b.",INDEX(SRC_Woningetalage!$A$1:$ZZ$501,$A43,AK$3)))</f>
        <v/>
      </c>
      <c r="AL43" s="124" t="str">
        <f>IF($B43="","",IF(AL$3=0,"n.b.",INDEX(SRC_Woningetalage!$A$1:$ZZ$501,$A43,AL$3)))</f>
        <v/>
      </c>
      <c r="AM43" s="124" t="str">
        <f>IF($B43="","",IF(AM$3=0,"n.b.",INDEX(SRC_Woningetalage!$A$1:$ZZ$501,$A43,AM$3)))</f>
        <v/>
      </c>
      <c r="AN43" s="124" t="str">
        <f>IF($B43="","",IF(AN$3=0,"n.b.",INDEX(SRC_Woningetalage!$A$1:$ZZ$501,$A43,AN$3)))</f>
        <v/>
      </c>
      <c r="AO43" s="124" t="str">
        <f>IF($B43="","",IF(AO$3=0,"n.b.",INDEX(SRC_Woningetalage!$A$1:$ZZ$501,$A43,AO$3)))</f>
        <v/>
      </c>
      <c r="AP43" s="124" t="str">
        <f>IF($B43="","",IF(AP$3=0,"n.b.",INDEX(SRC_Woningetalage!$A$1:$ZZ$501,$A43,AP$3)))</f>
        <v/>
      </c>
      <c r="AQ43" s="124" t="str">
        <f>IF($B43="","",IF(AQ$3=0,"n.b.",INDEX(SRC_Woningetalage!$A$1:$ZZ$501,$A43,AQ$3)))</f>
        <v/>
      </c>
      <c r="AR43" s="124" t="str">
        <f>IF($B43="","",IF(AR$3=0,"n.b.",INDEX(SRC_Woningetalage!$A$1:$ZZ$501,$A43,AR$3)))</f>
        <v/>
      </c>
      <c r="AS43" s="124" t="str">
        <f>IF($B43="","",IF(AS$3=0,"n.b.",INDEX(SRC_Woningetalage!$A$1:$ZZ$501,$A43,AS$3)))</f>
        <v/>
      </c>
      <c r="AT43" s="124" t="str">
        <f>IF($B43="","",IF(AT$3=0,"n.b.",INDEX(SRC_Woningetalage!$A$1:$ZZ$501,$A43,AT$3)))</f>
        <v/>
      </c>
      <c r="AU43" s="124" t="str">
        <f>IF($B43="","",IF(AU$3=0,"n.b.",INDEX(SRC_Woningetalage!$A$1:$ZZ$501,$A43,AU$3)))</f>
        <v/>
      </c>
      <c r="AV43" s="124" t="str">
        <f>IF($B43="","",IF(AV$3=0,"n.b.",INDEX(SRC_Woningetalage!$A$1:$ZZ$501,$A43,AV$3)))</f>
        <v/>
      </c>
      <c r="AW43" s="124" t="str">
        <f>IF($B43="","",IF(AW$3=0,"n.b.",INDEX(SRC_Woningetalage!$A$1:$ZZ$501,$A43,AW$3)))</f>
        <v/>
      </c>
      <c r="AX43" s="124" t="str">
        <f>IF($B43="","",IF(AX$3=0,"n.b.",INDEX(SRC_Woningetalage!$A$1:$ZZ$501,$A43,AX$3)))</f>
        <v/>
      </c>
      <c r="AY43" s="124" t="str">
        <f>IF($B43="","",IF(AY$3=0,"n.b.",INDEX(SRC_Woningetalage!$A$1:$ZZ$501,$A43,AY$3)))</f>
        <v/>
      </c>
      <c r="AZ43" s="124" t="str">
        <f>IF($B43="","",IF(AZ$3=0,"n.b.",INDEX(SRC_Woningetalage!$A$1:$ZZ$501,$A43,AZ$3)))</f>
        <v/>
      </c>
      <c r="BA43" s="124" t="str">
        <f>IF($B43="","",IF(BA$3=0,"n.b.",INDEX(SRC_Woningetalage!$A$1:$ZZ$501,$A43,BA$3)))</f>
        <v/>
      </c>
      <c r="BB43" s="124" t="str">
        <f>IF($B43="","",IF(BB$3=0,"n.b.",INDEX(SRC_Woningetalage!$A$1:$ZZ$501,$A43,BB$3)))</f>
        <v/>
      </c>
      <c r="BC43" s="124" t="str">
        <f>IF($B43="","",IFERROR(_xlfn.NUMBERVALUE(E43&amp;"",",","."),"n.b."))</f>
        <v/>
      </c>
      <c r="BD43" s="124" t="str">
        <f>IF($B43="","",IFERROR(_xlfn.NUMBERVALUE(M43&amp;"",",","."),"n.b."))</f>
        <v/>
      </c>
      <c r="BE43" s="124" t="str">
        <f>IF($B43="","",IFERROR(AB43+AC43+AD43,"n.b."))</f>
        <v/>
      </c>
      <c r="BF43" s="124" t="str">
        <f>IF($B43="","",IFERROR(AE43+AF43+AG43,"n.b."))</f>
        <v/>
      </c>
      <c r="BG43" s="124" t="str">
        <f>IF($B43="","",IFERROR(AH43+AI43+AJ43,"n.b."))</f>
        <v/>
      </c>
      <c r="BH43" s="124" t="str">
        <f>IF($B43="","",IFERROR(AK43+AL43+AM43,"n.b."))</f>
        <v/>
      </c>
      <c r="BI43" s="124" t="str">
        <f>IF($B43="","",IFERROR(SUMIF($AB$5:$AM$5,"&lt;="&amp;P_PeilMaand,AB43:AM43),"n.b."))</f>
        <v/>
      </c>
      <c r="BJ43" s="124" t="str">
        <f>IF($B43="","",IFERROR(SUM(AB43:AM43)-BI43,"n.b."))</f>
        <v/>
      </c>
      <c r="BK43" s="124" t="str">
        <f>IF($B43="","",IFERROR(IF(ABS(Q43-(T43+SUM(AB43:AM43)+AS43+AU43))&gt;P_Tol,1,0),1))</f>
        <v/>
      </c>
      <c r="BL43" s="124" t="str">
        <f>IF($B43="","",IFERROR(IF(ABS(AA43-(Q43-Z43))&gt;P_Tol,1,0),1))</f>
        <v/>
      </c>
      <c r="BM43" s="124" t="str">
        <f>IF($B43="","",IFERROR(IF(ABS(Z43-(T43+W43))&gt;P_Tol,1,0),1))</f>
        <v/>
      </c>
      <c r="BN43" s="124" t="str">
        <f>IF($B43="","",IFERROR(IF(ABS(W43-BI43)&gt;P_Tol,1,0),1))</f>
        <v/>
      </c>
      <c r="BO43" s="124" t="str">
        <f>IF($B43="","",IFERROR(IF(OR(ABS(R43+S43-T43)&gt;P_Tol,ABS(U43+V43-W43)&gt;P_Tol,ABS(X43+Y43-Z43)&gt;P_Tol),1,0),1))</f>
        <v/>
      </c>
      <c r="BP43" s="124" t="str">
        <f>IF($B43="","",IFERROR(IF(OR(ABS(AR43-SUM(AB43:AM43))&gt;P_Tol,ABS(AS43-(AN43+AO43+AP43+AQ43))&gt;P_Tol),1,0),1))</f>
        <v/>
      </c>
      <c r="BQ43" s="124" t="str">
        <f>IF($B43="","",IFERROR(IF(ABS(AT43)+ABS(AV43)+ABS(AW43)+ABS(AX43)+ABS(AY43)+ABS(AZ43)+ABS(BA43)+ABS(BB43)&gt;0,1,0),1))</f>
        <v/>
      </c>
      <c r="BR43" s="124" t="str">
        <f>IF($B43="","",COUNTIF(STG_ZPMW03!$B$6:$B$505,B43))</f>
        <v/>
      </c>
      <c r="BS43" s="124" t="str">
        <f>IF($B43="","",COUNTIF($B$6:$B$505,B43))</f>
        <v/>
      </c>
      <c r="BT43" s="124" t="str">
        <f>IF($B43="","",IF(BR43=0,0,IF(INDEX(STG_ZPMW03!$I$6:$I$505,MATCH(B43,STG_ZPMW03!$B$6:$B$505,0))=J43&amp;"",0,1)))</f>
        <v/>
      </c>
      <c r="BU43" s="124" t="str">
        <f>IF($B43="","",IFERROR(IF(ABS(INDEX(Mapping!$D$5:$D$104,MATCH(B43,Mapping!$A$5:$A$104,0))-Q43)&gt;P_Tol,1,0),0))</f>
        <v/>
      </c>
      <c r="BV43" s="124" t="str">
        <f>IF($B43="","",IFERROR(IF(AND(INDEX(Mapping!$G$5:$G$104,MATCH(B43,Mapping!$A$5:$A$104,0))="Nee",ABS(Q43)+ABS(Z43)+ABS(AR43)&gt;0),1,0),0))</f>
        <v/>
      </c>
      <c r="BW43" s="124" t="str">
        <f>IF($B43="","",IF(COUNTIF(Mapping!$A$5:$A$104,B43)&gt;0,1,0))</f>
        <v/>
      </c>
      <c r="BX43" s="124" t="str">
        <f>IF($B43="","",IF(BR43=0,COUNTIF($BR$6:BR43,0),""))</f>
        <v/>
      </c>
    </row>
    <row r="44">
      <c r="A44" s="15" t="n">
        <v>40</v>
      </c>
      <c r="B44" t="str">
        <f>IF(B$3=0,"",IF(INDEX(SRC_Woningetalage!$A$1:$ZZ$501,$A44,B$3)&amp;""="","",INDEX(SRC_Woningetalage!$A$1:$ZZ$501,$A44,B$3)&amp;""))</f>
        <v/>
      </c>
      <c r="C44" t="str">
        <f>IF($B44="","",IF(C$3=0,"n.b.",INDEX(SRC_Woningetalage!$A$1:$ZZ$501,$A44,C$3)))</f>
        <v/>
      </c>
      <c r="D44" t="str">
        <f>IF($B44="","",IF(D$3=0,"n.b.",INDEX(SRC_Woningetalage!$A$1:$ZZ$501,$A44,D$3)))</f>
        <v/>
      </c>
      <c r="E44" t="str">
        <f>IF($B44="","",IF(E$3=0,"n.b.",INDEX(SRC_Woningetalage!$A$1:$ZZ$501,$A44,E$3)))</f>
        <v/>
      </c>
      <c r="F44" t="str">
        <f>IF($B44="","",IF(F$3=0,"n.b.",INDEX(SRC_Woningetalage!$A$1:$ZZ$501,$A44,F$3)))</f>
        <v/>
      </c>
      <c r="G44" t="str">
        <f>IF($B44="","",IF(G$3=0,"n.b.",INDEX(SRC_Woningetalage!$A$1:$ZZ$501,$A44,G$3)))</f>
        <v/>
      </c>
      <c r="H44" t="str">
        <f>IF($B44="","",IF(H$3=0,"n.b.",INDEX(SRC_Woningetalage!$A$1:$ZZ$501,$A44,H$3)))</f>
        <v/>
      </c>
      <c r="I44" t="str">
        <f>IF($B44="","",IF(I$3=0,"n.b.",INDEX(SRC_Woningetalage!$A$1:$ZZ$501,$A44,I$3)))</f>
        <v/>
      </c>
      <c r="J44" t="str">
        <f>IF($B44="","",IF(J$3=0,"n.b.",INDEX(SRC_Woningetalage!$A$1:$ZZ$501,$A44,J$3)))</f>
        <v/>
      </c>
      <c r="K44" t="str">
        <f>IF($B44="","",IF(K$3=0,"n.b.",INDEX(SRC_Woningetalage!$A$1:$ZZ$501,$A44,K$3)))</f>
        <v/>
      </c>
      <c r="L44" t="str">
        <f>IF($B44="","",IF(L$3=0,"n.b.",INDEX(SRC_Woningetalage!$A$1:$ZZ$501,$A44,L$3)))</f>
        <v/>
      </c>
      <c r="M44" t="str">
        <f>IF($B44="","",IF(M$3=0,"n.b.",INDEX(SRC_Woningetalage!$A$1:$ZZ$501,$A44,M$3)))</f>
        <v/>
      </c>
      <c r="N44" t="str">
        <f>IF($B44="","",IF(N$3=0,"n.b.",INDEX(SRC_Woningetalage!$A$1:$ZZ$501,$A44,N$3)))</f>
        <v/>
      </c>
      <c r="O44" t="str">
        <f>IF($B44="","",IF(O$3=0,"n.b.",INDEX(SRC_Woningetalage!$A$1:$ZZ$501,$A44,O$3)))</f>
        <v/>
      </c>
      <c r="P44" t="str">
        <f>IF($B44="","",IF(P$3=0,"n.b.",INDEX(SRC_Woningetalage!$A$1:$ZZ$501,$A44,P$3)))</f>
        <v/>
      </c>
      <c r="Q44" s="124" t="str">
        <f>IF($B44="","",IF(Q$3=0,"n.b.",INDEX(SRC_Woningetalage!$A$1:$ZZ$501,$A44,Q$3)))</f>
        <v/>
      </c>
      <c r="R44" s="124" t="str">
        <f>IF($B44="","",IF(R$3=0,"n.b.",INDEX(SRC_Woningetalage!$A$1:$ZZ$501,$A44,R$3)))</f>
        <v/>
      </c>
      <c r="S44" s="124" t="str">
        <f>IF($B44="","",IF(S$3=0,"n.b.",INDEX(SRC_Woningetalage!$A$1:$ZZ$501,$A44,S$3)))</f>
        <v/>
      </c>
      <c r="T44" s="124" t="str">
        <f>IF($B44="","",IF(T$3=0,"n.b.",INDEX(SRC_Woningetalage!$A$1:$ZZ$501,$A44,T$3)))</f>
        <v/>
      </c>
      <c r="U44" s="124" t="str">
        <f>IF($B44="","",IF(U$3=0,"n.b.",INDEX(SRC_Woningetalage!$A$1:$ZZ$501,$A44,U$3)))</f>
        <v/>
      </c>
      <c r="V44" s="124" t="str">
        <f>IF($B44="","",IF(V$3=0,"n.b.",INDEX(SRC_Woningetalage!$A$1:$ZZ$501,$A44,V$3)))</f>
        <v/>
      </c>
      <c r="W44" s="124" t="str">
        <f>IF($B44="","",IF(W$3=0,"n.b.",INDEX(SRC_Woningetalage!$A$1:$ZZ$501,$A44,W$3)))</f>
        <v/>
      </c>
      <c r="X44" s="124" t="str">
        <f>IF($B44="","",IF(X$3=0,"n.b.",INDEX(SRC_Woningetalage!$A$1:$ZZ$501,$A44,X$3)))</f>
        <v/>
      </c>
      <c r="Y44" s="124" t="str">
        <f>IF($B44="","",IF(Y$3=0,"n.b.",INDEX(SRC_Woningetalage!$A$1:$ZZ$501,$A44,Y$3)))</f>
        <v/>
      </c>
      <c r="Z44" s="124" t="str">
        <f>IF($B44="","",IF(Z$3=0,"n.b.",INDEX(SRC_Woningetalage!$A$1:$ZZ$501,$A44,Z$3)))</f>
        <v/>
      </c>
      <c r="AA44" s="124" t="str">
        <f>IF($B44="","",IF(AA$3=0,"n.b.",INDEX(SRC_Woningetalage!$A$1:$ZZ$501,$A44,AA$3)))</f>
        <v/>
      </c>
      <c r="AB44" s="124" t="str">
        <f>IF($B44="","",IF(AB$3=0,"n.b.",INDEX(SRC_Woningetalage!$A$1:$ZZ$501,$A44,AB$3)))</f>
        <v/>
      </c>
      <c r="AC44" s="124" t="str">
        <f>IF($B44="","",IF(AC$3=0,"n.b.",INDEX(SRC_Woningetalage!$A$1:$ZZ$501,$A44,AC$3)))</f>
        <v/>
      </c>
      <c r="AD44" s="124" t="str">
        <f>IF($B44="","",IF(AD$3=0,"n.b.",INDEX(SRC_Woningetalage!$A$1:$ZZ$501,$A44,AD$3)))</f>
        <v/>
      </c>
      <c r="AE44" s="124" t="str">
        <f>IF($B44="","",IF(AE$3=0,"n.b.",INDEX(SRC_Woningetalage!$A$1:$ZZ$501,$A44,AE$3)))</f>
        <v/>
      </c>
      <c r="AF44" s="124" t="str">
        <f>IF($B44="","",IF(AF$3=0,"n.b.",INDEX(SRC_Woningetalage!$A$1:$ZZ$501,$A44,AF$3)))</f>
        <v/>
      </c>
      <c r="AG44" s="124" t="str">
        <f>IF($B44="","",IF(AG$3=0,"n.b.",INDEX(SRC_Woningetalage!$A$1:$ZZ$501,$A44,AG$3)))</f>
        <v/>
      </c>
      <c r="AH44" s="124" t="str">
        <f>IF($B44="","",IF(AH$3=0,"n.b.",INDEX(SRC_Woningetalage!$A$1:$ZZ$501,$A44,AH$3)))</f>
        <v/>
      </c>
      <c r="AI44" s="124" t="str">
        <f>IF($B44="","",IF(AI$3=0,"n.b.",INDEX(SRC_Woningetalage!$A$1:$ZZ$501,$A44,AI$3)))</f>
        <v/>
      </c>
      <c r="AJ44" s="124" t="str">
        <f>IF($B44="","",IF(AJ$3=0,"n.b.",INDEX(SRC_Woningetalage!$A$1:$ZZ$501,$A44,AJ$3)))</f>
        <v/>
      </c>
      <c r="AK44" s="124" t="str">
        <f>IF($B44="","",IF(AK$3=0,"n.b.",INDEX(SRC_Woningetalage!$A$1:$ZZ$501,$A44,AK$3)))</f>
        <v/>
      </c>
      <c r="AL44" s="124" t="str">
        <f>IF($B44="","",IF(AL$3=0,"n.b.",INDEX(SRC_Woningetalage!$A$1:$ZZ$501,$A44,AL$3)))</f>
        <v/>
      </c>
      <c r="AM44" s="124" t="str">
        <f>IF($B44="","",IF(AM$3=0,"n.b.",INDEX(SRC_Woningetalage!$A$1:$ZZ$501,$A44,AM$3)))</f>
        <v/>
      </c>
      <c r="AN44" s="124" t="str">
        <f>IF($B44="","",IF(AN$3=0,"n.b.",INDEX(SRC_Woningetalage!$A$1:$ZZ$501,$A44,AN$3)))</f>
        <v/>
      </c>
      <c r="AO44" s="124" t="str">
        <f>IF($B44="","",IF(AO$3=0,"n.b.",INDEX(SRC_Woningetalage!$A$1:$ZZ$501,$A44,AO$3)))</f>
        <v/>
      </c>
      <c r="AP44" s="124" t="str">
        <f>IF($B44="","",IF(AP$3=0,"n.b.",INDEX(SRC_Woningetalage!$A$1:$ZZ$501,$A44,AP$3)))</f>
        <v/>
      </c>
      <c r="AQ44" s="124" t="str">
        <f>IF($B44="","",IF(AQ$3=0,"n.b.",INDEX(SRC_Woningetalage!$A$1:$ZZ$501,$A44,AQ$3)))</f>
        <v/>
      </c>
      <c r="AR44" s="124" t="str">
        <f>IF($B44="","",IF(AR$3=0,"n.b.",INDEX(SRC_Woningetalage!$A$1:$ZZ$501,$A44,AR$3)))</f>
        <v/>
      </c>
      <c r="AS44" s="124" t="str">
        <f>IF($B44="","",IF(AS$3=0,"n.b.",INDEX(SRC_Woningetalage!$A$1:$ZZ$501,$A44,AS$3)))</f>
        <v/>
      </c>
      <c r="AT44" s="124" t="str">
        <f>IF($B44="","",IF(AT$3=0,"n.b.",INDEX(SRC_Woningetalage!$A$1:$ZZ$501,$A44,AT$3)))</f>
        <v/>
      </c>
      <c r="AU44" s="124" t="str">
        <f>IF($B44="","",IF(AU$3=0,"n.b.",INDEX(SRC_Woningetalage!$A$1:$ZZ$501,$A44,AU$3)))</f>
        <v/>
      </c>
      <c r="AV44" s="124" t="str">
        <f>IF($B44="","",IF(AV$3=0,"n.b.",INDEX(SRC_Woningetalage!$A$1:$ZZ$501,$A44,AV$3)))</f>
        <v/>
      </c>
      <c r="AW44" s="124" t="str">
        <f>IF($B44="","",IF(AW$3=0,"n.b.",INDEX(SRC_Woningetalage!$A$1:$ZZ$501,$A44,AW$3)))</f>
        <v/>
      </c>
      <c r="AX44" s="124" t="str">
        <f>IF($B44="","",IF(AX$3=0,"n.b.",INDEX(SRC_Woningetalage!$A$1:$ZZ$501,$A44,AX$3)))</f>
        <v/>
      </c>
      <c r="AY44" s="124" t="str">
        <f>IF($B44="","",IF(AY$3=0,"n.b.",INDEX(SRC_Woningetalage!$A$1:$ZZ$501,$A44,AY$3)))</f>
        <v/>
      </c>
      <c r="AZ44" s="124" t="str">
        <f>IF($B44="","",IF(AZ$3=0,"n.b.",INDEX(SRC_Woningetalage!$A$1:$ZZ$501,$A44,AZ$3)))</f>
        <v/>
      </c>
      <c r="BA44" s="124" t="str">
        <f>IF($B44="","",IF(BA$3=0,"n.b.",INDEX(SRC_Woningetalage!$A$1:$ZZ$501,$A44,BA$3)))</f>
        <v/>
      </c>
      <c r="BB44" s="124" t="str">
        <f>IF($B44="","",IF(BB$3=0,"n.b.",INDEX(SRC_Woningetalage!$A$1:$ZZ$501,$A44,BB$3)))</f>
        <v/>
      </c>
      <c r="BC44" s="124" t="str">
        <f>IF($B44="","",IFERROR(_xlfn.NUMBERVALUE(E44&amp;"",",","."),"n.b."))</f>
        <v/>
      </c>
      <c r="BD44" s="124" t="str">
        <f>IF($B44="","",IFERROR(_xlfn.NUMBERVALUE(M44&amp;"",",","."),"n.b."))</f>
        <v/>
      </c>
      <c r="BE44" s="124" t="str">
        <f>IF($B44="","",IFERROR(AB44+AC44+AD44,"n.b."))</f>
        <v/>
      </c>
      <c r="BF44" s="124" t="str">
        <f>IF($B44="","",IFERROR(AE44+AF44+AG44,"n.b."))</f>
        <v/>
      </c>
      <c r="BG44" s="124" t="str">
        <f>IF($B44="","",IFERROR(AH44+AI44+AJ44,"n.b."))</f>
        <v/>
      </c>
      <c r="BH44" s="124" t="str">
        <f>IF($B44="","",IFERROR(AK44+AL44+AM44,"n.b."))</f>
        <v/>
      </c>
      <c r="BI44" s="124" t="str">
        <f>IF($B44="","",IFERROR(SUMIF($AB$5:$AM$5,"&lt;="&amp;P_PeilMaand,AB44:AM44),"n.b."))</f>
        <v/>
      </c>
      <c r="BJ44" s="124" t="str">
        <f>IF($B44="","",IFERROR(SUM(AB44:AM44)-BI44,"n.b."))</f>
        <v/>
      </c>
      <c r="BK44" s="124" t="str">
        <f>IF($B44="","",IFERROR(IF(ABS(Q44-(T44+SUM(AB44:AM44)+AS44+AU44))&gt;P_Tol,1,0),1))</f>
        <v/>
      </c>
      <c r="BL44" s="124" t="str">
        <f>IF($B44="","",IFERROR(IF(ABS(AA44-(Q44-Z44))&gt;P_Tol,1,0),1))</f>
        <v/>
      </c>
      <c r="BM44" s="124" t="str">
        <f>IF($B44="","",IFERROR(IF(ABS(Z44-(T44+W44))&gt;P_Tol,1,0),1))</f>
        <v/>
      </c>
      <c r="BN44" s="124" t="str">
        <f>IF($B44="","",IFERROR(IF(ABS(W44-BI44)&gt;P_Tol,1,0),1))</f>
        <v/>
      </c>
      <c r="BO44" s="124" t="str">
        <f>IF($B44="","",IFERROR(IF(OR(ABS(R44+S44-T44)&gt;P_Tol,ABS(U44+V44-W44)&gt;P_Tol,ABS(X44+Y44-Z44)&gt;P_Tol),1,0),1))</f>
        <v/>
      </c>
      <c r="BP44" s="124" t="str">
        <f>IF($B44="","",IFERROR(IF(OR(ABS(AR44-SUM(AB44:AM44))&gt;P_Tol,ABS(AS44-(AN44+AO44+AP44+AQ44))&gt;P_Tol),1,0),1))</f>
        <v/>
      </c>
      <c r="BQ44" s="124" t="str">
        <f>IF($B44="","",IFERROR(IF(ABS(AT44)+ABS(AV44)+ABS(AW44)+ABS(AX44)+ABS(AY44)+ABS(AZ44)+ABS(BA44)+ABS(BB44)&gt;0,1,0),1))</f>
        <v/>
      </c>
      <c r="BR44" s="124" t="str">
        <f>IF($B44="","",COUNTIF(STG_ZPMW03!$B$6:$B$505,B44))</f>
        <v/>
      </c>
      <c r="BS44" s="124" t="str">
        <f>IF($B44="","",COUNTIF($B$6:$B$505,B44))</f>
        <v/>
      </c>
      <c r="BT44" s="124" t="str">
        <f>IF($B44="","",IF(BR44=0,0,IF(INDEX(STG_ZPMW03!$I$6:$I$505,MATCH(B44,STG_ZPMW03!$B$6:$B$505,0))=J44&amp;"",0,1)))</f>
        <v/>
      </c>
      <c r="BU44" s="124" t="str">
        <f>IF($B44="","",IFERROR(IF(ABS(INDEX(Mapping!$D$5:$D$104,MATCH(B44,Mapping!$A$5:$A$104,0))-Q44)&gt;P_Tol,1,0),0))</f>
        <v/>
      </c>
      <c r="BV44" s="124" t="str">
        <f>IF($B44="","",IFERROR(IF(AND(INDEX(Mapping!$G$5:$G$104,MATCH(B44,Mapping!$A$5:$A$104,0))="Nee",ABS(Q44)+ABS(Z44)+ABS(AR44)&gt;0),1,0),0))</f>
        <v/>
      </c>
      <c r="BW44" s="124" t="str">
        <f>IF($B44="","",IF(COUNTIF(Mapping!$A$5:$A$104,B44)&gt;0,1,0))</f>
        <v/>
      </c>
      <c r="BX44" s="124" t="str">
        <f>IF($B44="","",IF(BR44=0,COUNTIF($BR$6:BR44,0),""))</f>
        <v/>
      </c>
    </row>
    <row r="45">
      <c r="A45" s="15" t="n">
        <v>41</v>
      </c>
      <c r="B45" t="str">
        <f>IF(B$3=0,"",IF(INDEX(SRC_Woningetalage!$A$1:$ZZ$501,$A45,B$3)&amp;""="","",INDEX(SRC_Woningetalage!$A$1:$ZZ$501,$A45,B$3)&amp;""))</f>
        <v/>
      </c>
      <c r="C45" t="str">
        <f>IF($B45="","",IF(C$3=0,"n.b.",INDEX(SRC_Woningetalage!$A$1:$ZZ$501,$A45,C$3)))</f>
        <v/>
      </c>
      <c r="D45" t="str">
        <f>IF($B45="","",IF(D$3=0,"n.b.",INDEX(SRC_Woningetalage!$A$1:$ZZ$501,$A45,D$3)))</f>
        <v/>
      </c>
      <c r="E45" t="str">
        <f>IF($B45="","",IF(E$3=0,"n.b.",INDEX(SRC_Woningetalage!$A$1:$ZZ$501,$A45,E$3)))</f>
        <v/>
      </c>
      <c r="F45" t="str">
        <f>IF($B45="","",IF(F$3=0,"n.b.",INDEX(SRC_Woningetalage!$A$1:$ZZ$501,$A45,F$3)))</f>
        <v/>
      </c>
      <c r="G45" t="str">
        <f>IF($B45="","",IF(G$3=0,"n.b.",INDEX(SRC_Woningetalage!$A$1:$ZZ$501,$A45,G$3)))</f>
        <v/>
      </c>
      <c r="H45" t="str">
        <f>IF($B45="","",IF(H$3=0,"n.b.",INDEX(SRC_Woningetalage!$A$1:$ZZ$501,$A45,H$3)))</f>
        <v/>
      </c>
      <c r="I45" t="str">
        <f>IF($B45="","",IF(I$3=0,"n.b.",INDEX(SRC_Woningetalage!$A$1:$ZZ$501,$A45,I$3)))</f>
        <v/>
      </c>
      <c r="J45" t="str">
        <f>IF($B45="","",IF(J$3=0,"n.b.",INDEX(SRC_Woningetalage!$A$1:$ZZ$501,$A45,J$3)))</f>
        <v/>
      </c>
      <c r="K45" t="str">
        <f>IF($B45="","",IF(K$3=0,"n.b.",INDEX(SRC_Woningetalage!$A$1:$ZZ$501,$A45,K$3)))</f>
        <v/>
      </c>
      <c r="L45" t="str">
        <f>IF($B45="","",IF(L$3=0,"n.b.",INDEX(SRC_Woningetalage!$A$1:$ZZ$501,$A45,L$3)))</f>
        <v/>
      </c>
      <c r="M45" t="str">
        <f>IF($B45="","",IF(M$3=0,"n.b.",INDEX(SRC_Woningetalage!$A$1:$ZZ$501,$A45,M$3)))</f>
        <v/>
      </c>
      <c r="N45" t="str">
        <f>IF($B45="","",IF(N$3=0,"n.b.",INDEX(SRC_Woningetalage!$A$1:$ZZ$501,$A45,N$3)))</f>
        <v/>
      </c>
      <c r="O45" t="str">
        <f>IF($B45="","",IF(O$3=0,"n.b.",INDEX(SRC_Woningetalage!$A$1:$ZZ$501,$A45,O$3)))</f>
        <v/>
      </c>
      <c r="P45" t="str">
        <f>IF($B45="","",IF(P$3=0,"n.b.",INDEX(SRC_Woningetalage!$A$1:$ZZ$501,$A45,P$3)))</f>
        <v/>
      </c>
      <c r="Q45" s="124" t="str">
        <f>IF($B45="","",IF(Q$3=0,"n.b.",INDEX(SRC_Woningetalage!$A$1:$ZZ$501,$A45,Q$3)))</f>
        <v/>
      </c>
      <c r="R45" s="124" t="str">
        <f>IF($B45="","",IF(R$3=0,"n.b.",INDEX(SRC_Woningetalage!$A$1:$ZZ$501,$A45,R$3)))</f>
        <v/>
      </c>
      <c r="S45" s="124" t="str">
        <f>IF($B45="","",IF(S$3=0,"n.b.",INDEX(SRC_Woningetalage!$A$1:$ZZ$501,$A45,S$3)))</f>
        <v/>
      </c>
      <c r="T45" s="124" t="str">
        <f>IF($B45="","",IF(T$3=0,"n.b.",INDEX(SRC_Woningetalage!$A$1:$ZZ$501,$A45,T$3)))</f>
        <v/>
      </c>
      <c r="U45" s="124" t="str">
        <f>IF($B45="","",IF(U$3=0,"n.b.",INDEX(SRC_Woningetalage!$A$1:$ZZ$501,$A45,U$3)))</f>
        <v/>
      </c>
      <c r="V45" s="124" t="str">
        <f>IF($B45="","",IF(V$3=0,"n.b.",INDEX(SRC_Woningetalage!$A$1:$ZZ$501,$A45,V$3)))</f>
        <v/>
      </c>
      <c r="W45" s="124" t="str">
        <f>IF($B45="","",IF(W$3=0,"n.b.",INDEX(SRC_Woningetalage!$A$1:$ZZ$501,$A45,W$3)))</f>
        <v/>
      </c>
      <c r="X45" s="124" t="str">
        <f>IF($B45="","",IF(X$3=0,"n.b.",INDEX(SRC_Woningetalage!$A$1:$ZZ$501,$A45,X$3)))</f>
        <v/>
      </c>
      <c r="Y45" s="124" t="str">
        <f>IF($B45="","",IF(Y$3=0,"n.b.",INDEX(SRC_Woningetalage!$A$1:$ZZ$501,$A45,Y$3)))</f>
        <v/>
      </c>
      <c r="Z45" s="124" t="str">
        <f>IF($B45="","",IF(Z$3=0,"n.b.",INDEX(SRC_Woningetalage!$A$1:$ZZ$501,$A45,Z$3)))</f>
        <v/>
      </c>
      <c r="AA45" s="124" t="str">
        <f>IF($B45="","",IF(AA$3=0,"n.b.",INDEX(SRC_Woningetalage!$A$1:$ZZ$501,$A45,AA$3)))</f>
        <v/>
      </c>
      <c r="AB45" s="124" t="str">
        <f>IF($B45="","",IF(AB$3=0,"n.b.",INDEX(SRC_Woningetalage!$A$1:$ZZ$501,$A45,AB$3)))</f>
        <v/>
      </c>
      <c r="AC45" s="124" t="str">
        <f>IF($B45="","",IF(AC$3=0,"n.b.",INDEX(SRC_Woningetalage!$A$1:$ZZ$501,$A45,AC$3)))</f>
        <v/>
      </c>
      <c r="AD45" s="124" t="str">
        <f>IF($B45="","",IF(AD$3=0,"n.b.",INDEX(SRC_Woningetalage!$A$1:$ZZ$501,$A45,AD$3)))</f>
        <v/>
      </c>
      <c r="AE45" s="124" t="str">
        <f>IF($B45="","",IF(AE$3=0,"n.b.",INDEX(SRC_Woningetalage!$A$1:$ZZ$501,$A45,AE$3)))</f>
        <v/>
      </c>
      <c r="AF45" s="124" t="str">
        <f>IF($B45="","",IF(AF$3=0,"n.b.",INDEX(SRC_Woningetalage!$A$1:$ZZ$501,$A45,AF$3)))</f>
        <v/>
      </c>
      <c r="AG45" s="124" t="str">
        <f>IF($B45="","",IF(AG$3=0,"n.b.",INDEX(SRC_Woningetalage!$A$1:$ZZ$501,$A45,AG$3)))</f>
        <v/>
      </c>
      <c r="AH45" s="124" t="str">
        <f>IF($B45="","",IF(AH$3=0,"n.b.",INDEX(SRC_Woningetalage!$A$1:$ZZ$501,$A45,AH$3)))</f>
        <v/>
      </c>
      <c r="AI45" s="124" t="str">
        <f>IF($B45="","",IF(AI$3=0,"n.b.",INDEX(SRC_Woningetalage!$A$1:$ZZ$501,$A45,AI$3)))</f>
        <v/>
      </c>
      <c r="AJ45" s="124" t="str">
        <f>IF($B45="","",IF(AJ$3=0,"n.b.",INDEX(SRC_Woningetalage!$A$1:$ZZ$501,$A45,AJ$3)))</f>
        <v/>
      </c>
      <c r="AK45" s="124" t="str">
        <f>IF($B45="","",IF(AK$3=0,"n.b.",INDEX(SRC_Woningetalage!$A$1:$ZZ$501,$A45,AK$3)))</f>
        <v/>
      </c>
      <c r="AL45" s="124" t="str">
        <f>IF($B45="","",IF(AL$3=0,"n.b.",INDEX(SRC_Woningetalage!$A$1:$ZZ$501,$A45,AL$3)))</f>
        <v/>
      </c>
      <c r="AM45" s="124" t="str">
        <f>IF($B45="","",IF(AM$3=0,"n.b.",INDEX(SRC_Woningetalage!$A$1:$ZZ$501,$A45,AM$3)))</f>
        <v/>
      </c>
      <c r="AN45" s="124" t="str">
        <f>IF($B45="","",IF(AN$3=0,"n.b.",INDEX(SRC_Woningetalage!$A$1:$ZZ$501,$A45,AN$3)))</f>
        <v/>
      </c>
      <c r="AO45" s="124" t="str">
        <f>IF($B45="","",IF(AO$3=0,"n.b.",INDEX(SRC_Woningetalage!$A$1:$ZZ$501,$A45,AO$3)))</f>
        <v/>
      </c>
      <c r="AP45" s="124" t="str">
        <f>IF($B45="","",IF(AP$3=0,"n.b.",INDEX(SRC_Woningetalage!$A$1:$ZZ$501,$A45,AP$3)))</f>
        <v/>
      </c>
      <c r="AQ45" s="124" t="str">
        <f>IF($B45="","",IF(AQ$3=0,"n.b.",INDEX(SRC_Woningetalage!$A$1:$ZZ$501,$A45,AQ$3)))</f>
        <v/>
      </c>
      <c r="AR45" s="124" t="str">
        <f>IF($B45="","",IF(AR$3=0,"n.b.",INDEX(SRC_Woningetalage!$A$1:$ZZ$501,$A45,AR$3)))</f>
        <v/>
      </c>
      <c r="AS45" s="124" t="str">
        <f>IF($B45="","",IF(AS$3=0,"n.b.",INDEX(SRC_Woningetalage!$A$1:$ZZ$501,$A45,AS$3)))</f>
        <v/>
      </c>
      <c r="AT45" s="124" t="str">
        <f>IF($B45="","",IF(AT$3=0,"n.b.",INDEX(SRC_Woningetalage!$A$1:$ZZ$501,$A45,AT$3)))</f>
        <v/>
      </c>
      <c r="AU45" s="124" t="str">
        <f>IF($B45="","",IF(AU$3=0,"n.b.",INDEX(SRC_Woningetalage!$A$1:$ZZ$501,$A45,AU$3)))</f>
        <v/>
      </c>
      <c r="AV45" s="124" t="str">
        <f>IF($B45="","",IF(AV$3=0,"n.b.",INDEX(SRC_Woningetalage!$A$1:$ZZ$501,$A45,AV$3)))</f>
        <v/>
      </c>
      <c r="AW45" s="124" t="str">
        <f>IF($B45="","",IF(AW$3=0,"n.b.",INDEX(SRC_Woningetalage!$A$1:$ZZ$501,$A45,AW$3)))</f>
        <v/>
      </c>
      <c r="AX45" s="124" t="str">
        <f>IF($B45="","",IF(AX$3=0,"n.b.",INDEX(SRC_Woningetalage!$A$1:$ZZ$501,$A45,AX$3)))</f>
        <v/>
      </c>
      <c r="AY45" s="124" t="str">
        <f>IF($B45="","",IF(AY$3=0,"n.b.",INDEX(SRC_Woningetalage!$A$1:$ZZ$501,$A45,AY$3)))</f>
        <v/>
      </c>
      <c r="AZ45" s="124" t="str">
        <f>IF($B45="","",IF(AZ$3=0,"n.b.",INDEX(SRC_Woningetalage!$A$1:$ZZ$501,$A45,AZ$3)))</f>
        <v/>
      </c>
      <c r="BA45" s="124" t="str">
        <f>IF($B45="","",IF(BA$3=0,"n.b.",INDEX(SRC_Woningetalage!$A$1:$ZZ$501,$A45,BA$3)))</f>
        <v/>
      </c>
      <c r="BB45" s="124" t="str">
        <f>IF($B45="","",IF(BB$3=0,"n.b.",INDEX(SRC_Woningetalage!$A$1:$ZZ$501,$A45,BB$3)))</f>
        <v/>
      </c>
      <c r="BC45" s="124" t="str">
        <f>IF($B45="","",IFERROR(_xlfn.NUMBERVALUE(E45&amp;"",",","."),"n.b."))</f>
        <v/>
      </c>
      <c r="BD45" s="124" t="str">
        <f>IF($B45="","",IFERROR(_xlfn.NUMBERVALUE(M45&amp;"",",","."),"n.b."))</f>
        <v/>
      </c>
      <c r="BE45" s="124" t="str">
        <f>IF($B45="","",IFERROR(AB45+AC45+AD45,"n.b."))</f>
        <v/>
      </c>
      <c r="BF45" s="124" t="str">
        <f>IF($B45="","",IFERROR(AE45+AF45+AG45,"n.b."))</f>
        <v/>
      </c>
      <c r="BG45" s="124" t="str">
        <f>IF($B45="","",IFERROR(AH45+AI45+AJ45,"n.b."))</f>
        <v/>
      </c>
      <c r="BH45" s="124" t="str">
        <f>IF($B45="","",IFERROR(AK45+AL45+AM45,"n.b."))</f>
        <v/>
      </c>
      <c r="BI45" s="124" t="str">
        <f>IF($B45="","",IFERROR(SUMIF($AB$5:$AM$5,"&lt;="&amp;P_PeilMaand,AB45:AM45),"n.b."))</f>
        <v/>
      </c>
      <c r="BJ45" s="124" t="str">
        <f>IF($B45="","",IFERROR(SUM(AB45:AM45)-BI45,"n.b."))</f>
        <v/>
      </c>
      <c r="BK45" s="124" t="str">
        <f>IF($B45="","",IFERROR(IF(ABS(Q45-(T45+SUM(AB45:AM45)+AS45+AU45))&gt;P_Tol,1,0),1))</f>
        <v/>
      </c>
      <c r="BL45" s="124" t="str">
        <f>IF($B45="","",IFERROR(IF(ABS(AA45-(Q45-Z45))&gt;P_Tol,1,0),1))</f>
        <v/>
      </c>
      <c r="BM45" s="124" t="str">
        <f>IF($B45="","",IFERROR(IF(ABS(Z45-(T45+W45))&gt;P_Tol,1,0),1))</f>
        <v/>
      </c>
      <c r="BN45" s="124" t="str">
        <f>IF($B45="","",IFERROR(IF(ABS(W45-BI45)&gt;P_Tol,1,0),1))</f>
        <v/>
      </c>
      <c r="BO45" s="124" t="str">
        <f>IF($B45="","",IFERROR(IF(OR(ABS(R45+S45-T45)&gt;P_Tol,ABS(U45+V45-W45)&gt;P_Tol,ABS(X45+Y45-Z45)&gt;P_Tol),1,0),1))</f>
        <v/>
      </c>
      <c r="BP45" s="124" t="str">
        <f>IF($B45="","",IFERROR(IF(OR(ABS(AR45-SUM(AB45:AM45))&gt;P_Tol,ABS(AS45-(AN45+AO45+AP45+AQ45))&gt;P_Tol),1,0),1))</f>
        <v/>
      </c>
      <c r="BQ45" s="124" t="str">
        <f>IF($B45="","",IFERROR(IF(ABS(AT45)+ABS(AV45)+ABS(AW45)+ABS(AX45)+ABS(AY45)+ABS(AZ45)+ABS(BA45)+ABS(BB45)&gt;0,1,0),1))</f>
        <v/>
      </c>
      <c r="BR45" s="124" t="str">
        <f>IF($B45="","",COUNTIF(STG_ZPMW03!$B$6:$B$505,B45))</f>
        <v/>
      </c>
      <c r="BS45" s="124" t="str">
        <f>IF($B45="","",COUNTIF($B$6:$B$505,B45))</f>
        <v/>
      </c>
      <c r="BT45" s="124" t="str">
        <f>IF($B45="","",IF(BR45=0,0,IF(INDEX(STG_ZPMW03!$I$6:$I$505,MATCH(B45,STG_ZPMW03!$B$6:$B$505,0))=J45&amp;"",0,1)))</f>
        <v/>
      </c>
      <c r="BU45" s="124" t="str">
        <f>IF($B45="","",IFERROR(IF(ABS(INDEX(Mapping!$D$5:$D$104,MATCH(B45,Mapping!$A$5:$A$104,0))-Q45)&gt;P_Tol,1,0),0))</f>
        <v/>
      </c>
      <c r="BV45" s="124" t="str">
        <f>IF($B45="","",IFERROR(IF(AND(INDEX(Mapping!$G$5:$G$104,MATCH(B45,Mapping!$A$5:$A$104,0))="Nee",ABS(Q45)+ABS(Z45)+ABS(AR45)&gt;0),1,0),0))</f>
        <v/>
      </c>
      <c r="BW45" s="124" t="str">
        <f>IF($B45="","",IF(COUNTIF(Mapping!$A$5:$A$104,B45)&gt;0,1,0))</f>
        <v/>
      </c>
      <c r="BX45" s="124" t="str">
        <f>IF($B45="","",IF(BR45=0,COUNTIF($BR$6:BR45,0),""))</f>
        <v/>
      </c>
    </row>
    <row r="46">
      <c r="A46" s="15" t="n">
        <v>42</v>
      </c>
      <c r="B46" t="str">
        <f>IF(B$3=0,"",IF(INDEX(SRC_Woningetalage!$A$1:$ZZ$501,$A46,B$3)&amp;""="","",INDEX(SRC_Woningetalage!$A$1:$ZZ$501,$A46,B$3)&amp;""))</f>
        <v/>
      </c>
      <c r="C46" t="str">
        <f>IF($B46="","",IF(C$3=0,"n.b.",INDEX(SRC_Woningetalage!$A$1:$ZZ$501,$A46,C$3)))</f>
        <v/>
      </c>
      <c r="D46" t="str">
        <f>IF($B46="","",IF(D$3=0,"n.b.",INDEX(SRC_Woningetalage!$A$1:$ZZ$501,$A46,D$3)))</f>
        <v/>
      </c>
      <c r="E46" t="str">
        <f>IF($B46="","",IF(E$3=0,"n.b.",INDEX(SRC_Woningetalage!$A$1:$ZZ$501,$A46,E$3)))</f>
        <v/>
      </c>
      <c r="F46" t="str">
        <f>IF($B46="","",IF(F$3=0,"n.b.",INDEX(SRC_Woningetalage!$A$1:$ZZ$501,$A46,F$3)))</f>
        <v/>
      </c>
      <c r="G46" t="str">
        <f>IF($B46="","",IF(G$3=0,"n.b.",INDEX(SRC_Woningetalage!$A$1:$ZZ$501,$A46,G$3)))</f>
        <v/>
      </c>
      <c r="H46" t="str">
        <f>IF($B46="","",IF(H$3=0,"n.b.",INDEX(SRC_Woningetalage!$A$1:$ZZ$501,$A46,H$3)))</f>
        <v/>
      </c>
      <c r="I46" t="str">
        <f>IF($B46="","",IF(I$3=0,"n.b.",INDEX(SRC_Woningetalage!$A$1:$ZZ$501,$A46,I$3)))</f>
        <v/>
      </c>
      <c r="J46" t="str">
        <f>IF($B46="","",IF(J$3=0,"n.b.",INDEX(SRC_Woningetalage!$A$1:$ZZ$501,$A46,J$3)))</f>
        <v/>
      </c>
      <c r="K46" t="str">
        <f>IF($B46="","",IF(K$3=0,"n.b.",INDEX(SRC_Woningetalage!$A$1:$ZZ$501,$A46,K$3)))</f>
        <v/>
      </c>
      <c r="L46" t="str">
        <f>IF($B46="","",IF(L$3=0,"n.b.",INDEX(SRC_Woningetalage!$A$1:$ZZ$501,$A46,L$3)))</f>
        <v/>
      </c>
      <c r="M46" t="str">
        <f>IF($B46="","",IF(M$3=0,"n.b.",INDEX(SRC_Woningetalage!$A$1:$ZZ$501,$A46,M$3)))</f>
        <v/>
      </c>
      <c r="N46" t="str">
        <f>IF($B46="","",IF(N$3=0,"n.b.",INDEX(SRC_Woningetalage!$A$1:$ZZ$501,$A46,N$3)))</f>
        <v/>
      </c>
      <c r="O46" t="str">
        <f>IF($B46="","",IF(O$3=0,"n.b.",INDEX(SRC_Woningetalage!$A$1:$ZZ$501,$A46,O$3)))</f>
        <v/>
      </c>
      <c r="P46" t="str">
        <f>IF($B46="","",IF(P$3=0,"n.b.",INDEX(SRC_Woningetalage!$A$1:$ZZ$501,$A46,P$3)))</f>
        <v/>
      </c>
      <c r="Q46" s="124" t="str">
        <f>IF($B46="","",IF(Q$3=0,"n.b.",INDEX(SRC_Woningetalage!$A$1:$ZZ$501,$A46,Q$3)))</f>
        <v/>
      </c>
      <c r="R46" s="124" t="str">
        <f>IF($B46="","",IF(R$3=0,"n.b.",INDEX(SRC_Woningetalage!$A$1:$ZZ$501,$A46,R$3)))</f>
        <v/>
      </c>
      <c r="S46" s="124" t="str">
        <f>IF($B46="","",IF(S$3=0,"n.b.",INDEX(SRC_Woningetalage!$A$1:$ZZ$501,$A46,S$3)))</f>
        <v/>
      </c>
      <c r="T46" s="124" t="str">
        <f>IF($B46="","",IF(T$3=0,"n.b.",INDEX(SRC_Woningetalage!$A$1:$ZZ$501,$A46,T$3)))</f>
        <v/>
      </c>
      <c r="U46" s="124" t="str">
        <f>IF($B46="","",IF(U$3=0,"n.b.",INDEX(SRC_Woningetalage!$A$1:$ZZ$501,$A46,U$3)))</f>
        <v/>
      </c>
      <c r="V46" s="124" t="str">
        <f>IF($B46="","",IF(V$3=0,"n.b.",INDEX(SRC_Woningetalage!$A$1:$ZZ$501,$A46,V$3)))</f>
        <v/>
      </c>
      <c r="W46" s="124" t="str">
        <f>IF($B46="","",IF(W$3=0,"n.b.",INDEX(SRC_Woningetalage!$A$1:$ZZ$501,$A46,W$3)))</f>
        <v/>
      </c>
      <c r="X46" s="124" t="str">
        <f>IF($B46="","",IF(X$3=0,"n.b.",INDEX(SRC_Woningetalage!$A$1:$ZZ$501,$A46,X$3)))</f>
        <v/>
      </c>
      <c r="Y46" s="124" t="str">
        <f>IF($B46="","",IF(Y$3=0,"n.b.",INDEX(SRC_Woningetalage!$A$1:$ZZ$501,$A46,Y$3)))</f>
        <v/>
      </c>
      <c r="Z46" s="124" t="str">
        <f>IF($B46="","",IF(Z$3=0,"n.b.",INDEX(SRC_Woningetalage!$A$1:$ZZ$501,$A46,Z$3)))</f>
        <v/>
      </c>
      <c r="AA46" s="124" t="str">
        <f>IF($B46="","",IF(AA$3=0,"n.b.",INDEX(SRC_Woningetalage!$A$1:$ZZ$501,$A46,AA$3)))</f>
        <v/>
      </c>
      <c r="AB46" s="124" t="str">
        <f>IF($B46="","",IF(AB$3=0,"n.b.",INDEX(SRC_Woningetalage!$A$1:$ZZ$501,$A46,AB$3)))</f>
        <v/>
      </c>
      <c r="AC46" s="124" t="str">
        <f>IF($B46="","",IF(AC$3=0,"n.b.",INDEX(SRC_Woningetalage!$A$1:$ZZ$501,$A46,AC$3)))</f>
        <v/>
      </c>
      <c r="AD46" s="124" t="str">
        <f>IF($B46="","",IF(AD$3=0,"n.b.",INDEX(SRC_Woningetalage!$A$1:$ZZ$501,$A46,AD$3)))</f>
        <v/>
      </c>
      <c r="AE46" s="124" t="str">
        <f>IF($B46="","",IF(AE$3=0,"n.b.",INDEX(SRC_Woningetalage!$A$1:$ZZ$501,$A46,AE$3)))</f>
        <v/>
      </c>
      <c r="AF46" s="124" t="str">
        <f>IF($B46="","",IF(AF$3=0,"n.b.",INDEX(SRC_Woningetalage!$A$1:$ZZ$501,$A46,AF$3)))</f>
        <v/>
      </c>
      <c r="AG46" s="124" t="str">
        <f>IF($B46="","",IF(AG$3=0,"n.b.",INDEX(SRC_Woningetalage!$A$1:$ZZ$501,$A46,AG$3)))</f>
        <v/>
      </c>
      <c r="AH46" s="124" t="str">
        <f>IF($B46="","",IF(AH$3=0,"n.b.",INDEX(SRC_Woningetalage!$A$1:$ZZ$501,$A46,AH$3)))</f>
        <v/>
      </c>
      <c r="AI46" s="124" t="str">
        <f>IF($B46="","",IF(AI$3=0,"n.b.",INDEX(SRC_Woningetalage!$A$1:$ZZ$501,$A46,AI$3)))</f>
        <v/>
      </c>
      <c r="AJ46" s="124" t="str">
        <f>IF($B46="","",IF(AJ$3=0,"n.b.",INDEX(SRC_Woningetalage!$A$1:$ZZ$501,$A46,AJ$3)))</f>
        <v/>
      </c>
      <c r="AK46" s="124" t="str">
        <f>IF($B46="","",IF(AK$3=0,"n.b.",INDEX(SRC_Woningetalage!$A$1:$ZZ$501,$A46,AK$3)))</f>
        <v/>
      </c>
      <c r="AL46" s="124" t="str">
        <f>IF($B46="","",IF(AL$3=0,"n.b.",INDEX(SRC_Woningetalage!$A$1:$ZZ$501,$A46,AL$3)))</f>
        <v/>
      </c>
      <c r="AM46" s="124" t="str">
        <f>IF($B46="","",IF(AM$3=0,"n.b.",INDEX(SRC_Woningetalage!$A$1:$ZZ$501,$A46,AM$3)))</f>
        <v/>
      </c>
      <c r="AN46" s="124" t="str">
        <f>IF($B46="","",IF(AN$3=0,"n.b.",INDEX(SRC_Woningetalage!$A$1:$ZZ$501,$A46,AN$3)))</f>
        <v/>
      </c>
      <c r="AO46" s="124" t="str">
        <f>IF($B46="","",IF(AO$3=0,"n.b.",INDEX(SRC_Woningetalage!$A$1:$ZZ$501,$A46,AO$3)))</f>
        <v/>
      </c>
      <c r="AP46" s="124" t="str">
        <f>IF($B46="","",IF(AP$3=0,"n.b.",INDEX(SRC_Woningetalage!$A$1:$ZZ$501,$A46,AP$3)))</f>
        <v/>
      </c>
      <c r="AQ46" s="124" t="str">
        <f>IF($B46="","",IF(AQ$3=0,"n.b.",INDEX(SRC_Woningetalage!$A$1:$ZZ$501,$A46,AQ$3)))</f>
        <v/>
      </c>
      <c r="AR46" s="124" t="str">
        <f>IF($B46="","",IF(AR$3=0,"n.b.",INDEX(SRC_Woningetalage!$A$1:$ZZ$501,$A46,AR$3)))</f>
        <v/>
      </c>
      <c r="AS46" s="124" t="str">
        <f>IF($B46="","",IF(AS$3=0,"n.b.",INDEX(SRC_Woningetalage!$A$1:$ZZ$501,$A46,AS$3)))</f>
        <v/>
      </c>
      <c r="AT46" s="124" t="str">
        <f>IF($B46="","",IF(AT$3=0,"n.b.",INDEX(SRC_Woningetalage!$A$1:$ZZ$501,$A46,AT$3)))</f>
        <v/>
      </c>
      <c r="AU46" s="124" t="str">
        <f>IF($B46="","",IF(AU$3=0,"n.b.",INDEX(SRC_Woningetalage!$A$1:$ZZ$501,$A46,AU$3)))</f>
        <v/>
      </c>
      <c r="AV46" s="124" t="str">
        <f>IF($B46="","",IF(AV$3=0,"n.b.",INDEX(SRC_Woningetalage!$A$1:$ZZ$501,$A46,AV$3)))</f>
        <v/>
      </c>
      <c r="AW46" s="124" t="str">
        <f>IF($B46="","",IF(AW$3=0,"n.b.",INDEX(SRC_Woningetalage!$A$1:$ZZ$501,$A46,AW$3)))</f>
        <v/>
      </c>
      <c r="AX46" s="124" t="str">
        <f>IF($B46="","",IF(AX$3=0,"n.b.",INDEX(SRC_Woningetalage!$A$1:$ZZ$501,$A46,AX$3)))</f>
        <v/>
      </c>
      <c r="AY46" s="124" t="str">
        <f>IF($B46="","",IF(AY$3=0,"n.b.",INDEX(SRC_Woningetalage!$A$1:$ZZ$501,$A46,AY$3)))</f>
        <v/>
      </c>
      <c r="AZ46" s="124" t="str">
        <f>IF($B46="","",IF(AZ$3=0,"n.b.",INDEX(SRC_Woningetalage!$A$1:$ZZ$501,$A46,AZ$3)))</f>
        <v/>
      </c>
      <c r="BA46" s="124" t="str">
        <f>IF($B46="","",IF(BA$3=0,"n.b.",INDEX(SRC_Woningetalage!$A$1:$ZZ$501,$A46,BA$3)))</f>
        <v/>
      </c>
      <c r="BB46" s="124" t="str">
        <f>IF($B46="","",IF(BB$3=0,"n.b.",INDEX(SRC_Woningetalage!$A$1:$ZZ$501,$A46,BB$3)))</f>
        <v/>
      </c>
      <c r="BC46" s="124" t="str">
        <f>IF($B46="","",IFERROR(_xlfn.NUMBERVALUE(E46&amp;"",",","."),"n.b."))</f>
        <v/>
      </c>
      <c r="BD46" s="124" t="str">
        <f>IF($B46="","",IFERROR(_xlfn.NUMBERVALUE(M46&amp;"",",","."),"n.b."))</f>
        <v/>
      </c>
      <c r="BE46" s="124" t="str">
        <f>IF($B46="","",IFERROR(AB46+AC46+AD46,"n.b."))</f>
        <v/>
      </c>
      <c r="BF46" s="124" t="str">
        <f>IF($B46="","",IFERROR(AE46+AF46+AG46,"n.b."))</f>
        <v/>
      </c>
      <c r="BG46" s="124" t="str">
        <f>IF($B46="","",IFERROR(AH46+AI46+AJ46,"n.b."))</f>
        <v/>
      </c>
      <c r="BH46" s="124" t="str">
        <f>IF($B46="","",IFERROR(AK46+AL46+AM46,"n.b."))</f>
        <v/>
      </c>
      <c r="BI46" s="124" t="str">
        <f>IF($B46="","",IFERROR(SUMIF($AB$5:$AM$5,"&lt;="&amp;P_PeilMaand,AB46:AM46),"n.b."))</f>
        <v/>
      </c>
      <c r="BJ46" s="124" t="str">
        <f>IF($B46="","",IFERROR(SUM(AB46:AM46)-BI46,"n.b."))</f>
        <v/>
      </c>
      <c r="BK46" s="124" t="str">
        <f>IF($B46="","",IFERROR(IF(ABS(Q46-(T46+SUM(AB46:AM46)+AS46+AU46))&gt;P_Tol,1,0),1))</f>
        <v/>
      </c>
      <c r="BL46" s="124" t="str">
        <f>IF($B46="","",IFERROR(IF(ABS(AA46-(Q46-Z46))&gt;P_Tol,1,0),1))</f>
        <v/>
      </c>
      <c r="BM46" s="124" t="str">
        <f>IF($B46="","",IFERROR(IF(ABS(Z46-(T46+W46))&gt;P_Tol,1,0),1))</f>
        <v/>
      </c>
      <c r="BN46" s="124" t="str">
        <f>IF($B46="","",IFERROR(IF(ABS(W46-BI46)&gt;P_Tol,1,0),1))</f>
        <v/>
      </c>
      <c r="BO46" s="124" t="str">
        <f>IF($B46="","",IFERROR(IF(OR(ABS(R46+S46-T46)&gt;P_Tol,ABS(U46+V46-W46)&gt;P_Tol,ABS(X46+Y46-Z46)&gt;P_Tol),1,0),1))</f>
        <v/>
      </c>
      <c r="BP46" s="124" t="str">
        <f>IF($B46="","",IFERROR(IF(OR(ABS(AR46-SUM(AB46:AM46))&gt;P_Tol,ABS(AS46-(AN46+AO46+AP46+AQ46))&gt;P_Tol),1,0),1))</f>
        <v/>
      </c>
      <c r="BQ46" s="124" t="str">
        <f>IF($B46="","",IFERROR(IF(ABS(AT46)+ABS(AV46)+ABS(AW46)+ABS(AX46)+ABS(AY46)+ABS(AZ46)+ABS(BA46)+ABS(BB46)&gt;0,1,0),1))</f>
        <v/>
      </c>
      <c r="BR46" s="124" t="str">
        <f>IF($B46="","",COUNTIF(STG_ZPMW03!$B$6:$B$505,B46))</f>
        <v/>
      </c>
      <c r="BS46" s="124" t="str">
        <f>IF($B46="","",COUNTIF($B$6:$B$505,B46))</f>
        <v/>
      </c>
      <c r="BT46" s="124" t="str">
        <f>IF($B46="","",IF(BR46=0,0,IF(INDEX(STG_ZPMW03!$I$6:$I$505,MATCH(B46,STG_ZPMW03!$B$6:$B$505,0))=J46&amp;"",0,1)))</f>
        <v/>
      </c>
      <c r="BU46" s="124" t="str">
        <f>IF($B46="","",IFERROR(IF(ABS(INDEX(Mapping!$D$5:$D$104,MATCH(B46,Mapping!$A$5:$A$104,0))-Q46)&gt;P_Tol,1,0),0))</f>
        <v/>
      </c>
      <c r="BV46" s="124" t="str">
        <f>IF($B46="","",IFERROR(IF(AND(INDEX(Mapping!$G$5:$G$104,MATCH(B46,Mapping!$A$5:$A$104,0))="Nee",ABS(Q46)+ABS(Z46)+ABS(AR46)&gt;0),1,0),0))</f>
        <v/>
      </c>
      <c r="BW46" s="124" t="str">
        <f>IF($B46="","",IF(COUNTIF(Mapping!$A$5:$A$104,B46)&gt;0,1,0))</f>
        <v/>
      </c>
      <c r="BX46" s="124" t="str">
        <f>IF($B46="","",IF(BR46=0,COUNTIF($BR$6:BR46,0),""))</f>
        <v/>
      </c>
    </row>
    <row r="47">
      <c r="A47" s="15" t="n">
        <v>43</v>
      </c>
      <c r="B47" t="str">
        <f>IF(B$3=0,"",IF(INDEX(SRC_Woningetalage!$A$1:$ZZ$501,$A47,B$3)&amp;""="","",INDEX(SRC_Woningetalage!$A$1:$ZZ$501,$A47,B$3)&amp;""))</f>
        <v/>
      </c>
      <c r="C47" t="str">
        <f>IF($B47="","",IF(C$3=0,"n.b.",INDEX(SRC_Woningetalage!$A$1:$ZZ$501,$A47,C$3)))</f>
        <v/>
      </c>
      <c r="D47" t="str">
        <f>IF($B47="","",IF(D$3=0,"n.b.",INDEX(SRC_Woningetalage!$A$1:$ZZ$501,$A47,D$3)))</f>
        <v/>
      </c>
      <c r="E47" t="str">
        <f>IF($B47="","",IF(E$3=0,"n.b.",INDEX(SRC_Woningetalage!$A$1:$ZZ$501,$A47,E$3)))</f>
        <v/>
      </c>
      <c r="F47" t="str">
        <f>IF($B47="","",IF(F$3=0,"n.b.",INDEX(SRC_Woningetalage!$A$1:$ZZ$501,$A47,F$3)))</f>
        <v/>
      </c>
      <c r="G47" t="str">
        <f>IF($B47="","",IF(G$3=0,"n.b.",INDEX(SRC_Woningetalage!$A$1:$ZZ$501,$A47,G$3)))</f>
        <v/>
      </c>
      <c r="H47" t="str">
        <f>IF($B47="","",IF(H$3=0,"n.b.",INDEX(SRC_Woningetalage!$A$1:$ZZ$501,$A47,H$3)))</f>
        <v/>
      </c>
      <c r="I47" t="str">
        <f>IF($B47="","",IF(I$3=0,"n.b.",INDEX(SRC_Woningetalage!$A$1:$ZZ$501,$A47,I$3)))</f>
        <v/>
      </c>
      <c r="J47" t="str">
        <f>IF($B47="","",IF(J$3=0,"n.b.",INDEX(SRC_Woningetalage!$A$1:$ZZ$501,$A47,J$3)))</f>
        <v/>
      </c>
      <c r="K47" t="str">
        <f>IF($B47="","",IF(K$3=0,"n.b.",INDEX(SRC_Woningetalage!$A$1:$ZZ$501,$A47,K$3)))</f>
        <v/>
      </c>
      <c r="L47" t="str">
        <f>IF($B47="","",IF(L$3=0,"n.b.",INDEX(SRC_Woningetalage!$A$1:$ZZ$501,$A47,L$3)))</f>
        <v/>
      </c>
      <c r="M47" t="str">
        <f>IF($B47="","",IF(M$3=0,"n.b.",INDEX(SRC_Woningetalage!$A$1:$ZZ$501,$A47,M$3)))</f>
        <v/>
      </c>
      <c r="N47" t="str">
        <f>IF($B47="","",IF(N$3=0,"n.b.",INDEX(SRC_Woningetalage!$A$1:$ZZ$501,$A47,N$3)))</f>
        <v/>
      </c>
      <c r="O47" t="str">
        <f>IF($B47="","",IF(O$3=0,"n.b.",INDEX(SRC_Woningetalage!$A$1:$ZZ$501,$A47,O$3)))</f>
        <v/>
      </c>
      <c r="P47" t="str">
        <f>IF($B47="","",IF(P$3=0,"n.b.",INDEX(SRC_Woningetalage!$A$1:$ZZ$501,$A47,P$3)))</f>
        <v/>
      </c>
      <c r="Q47" s="124" t="str">
        <f>IF($B47="","",IF(Q$3=0,"n.b.",INDEX(SRC_Woningetalage!$A$1:$ZZ$501,$A47,Q$3)))</f>
        <v/>
      </c>
      <c r="R47" s="124" t="str">
        <f>IF($B47="","",IF(R$3=0,"n.b.",INDEX(SRC_Woningetalage!$A$1:$ZZ$501,$A47,R$3)))</f>
        <v/>
      </c>
      <c r="S47" s="124" t="str">
        <f>IF($B47="","",IF(S$3=0,"n.b.",INDEX(SRC_Woningetalage!$A$1:$ZZ$501,$A47,S$3)))</f>
        <v/>
      </c>
      <c r="T47" s="124" t="str">
        <f>IF($B47="","",IF(T$3=0,"n.b.",INDEX(SRC_Woningetalage!$A$1:$ZZ$501,$A47,T$3)))</f>
        <v/>
      </c>
      <c r="U47" s="124" t="str">
        <f>IF($B47="","",IF(U$3=0,"n.b.",INDEX(SRC_Woningetalage!$A$1:$ZZ$501,$A47,U$3)))</f>
        <v/>
      </c>
      <c r="V47" s="124" t="str">
        <f>IF($B47="","",IF(V$3=0,"n.b.",INDEX(SRC_Woningetalage!$A$1:$ZZ$501,$A47,V$3)))</f>
        <v/>
      </c>
      <c r="W47" s="124" t="str">
        <f>IF($B47="","",IF(W$3=0,"n.b.",INDEX(SRC_Woningetalage!$A$1:$ZZ$501,$A47,W$3)))</f>
        <v/>
      </c>
      <c r="X47" s="124" t="str">
        <f>IF($B47="","",IF(X$3=0,"n.b.",INDEX(SRC_Woningetalage!$A$1:$ZZ$501,$A47,X$3)))</f>
        <v/>
      </c>
      <c r="Y47" s="124" t="str">
        <f>IF($B47="","",IF(Y$3=0,"n.b.",INDEX(SRC_Woningetalage!$A$1:$ZZ$501,$A47,Y$3)))</f>
        <v/>
      </c>
      <c r="Z47" s="124" t="str">
        <f>IF($B47="","",IF(Z$3=0,"n.b.",INDEX(SRC_Woningetalage!$A$1:$ZZ$501,$A47,Z$3)))</f>
        <v/>
      </c>
      <c r="AA47" s="124" t="str">
        <f>IF($B47="","",IF(AA$3=0,"n.b.",INDEX(SRC_Woningetalage!$A$1:$ZZ$501,$A47,AA$3)))</f>
        <v/>
      </c>
      <c r="AB47" s="124" t="str">
        <f>IF($B47="","",IF(AB$3=0,"n.b.",INDEX(SRC_Woningetalage!$A$1:$ZZ$501,$A47,AB$3)))</f>
        <v/>
      </c>
      <c r="AC47" s="124" t="str">
        <f>IF($B47="","",IF(AC$3=0,"n.b.",INDEX(SRC_Woningetalage!$A$1:$ZZ$501,$A47,AC$3)))</f>
        <v/>
      </c>
      <c r="AD47" s="124" t="str">
        <f>IF($B47="","",IF(AD$3=0,"n.b.",INDEX(SRC_Woningetalage!$A$1:$ZZ$501,$A47,AD$3)))</f>
        <v/>
      </c>
      <c r="AE47" s="124" t="str">
        <f>IF($B47="","",IF(AE$3=0,"n.b.",INDEX(SRC_Woningetalage!$A$1:$ZZ$501,$A47,AE$3)))</f>
        <v/>
      </c>
      <c r="AF47" s="124" t="str">
        <f>IF($B47="","",IF(AF$3=0,"n.b.",INDEX(SRC_Woningetalage!$A$1:$ZZ$501,$A47,AF$3)))</f>
        <v/>
      </c>
      <c r="AG47" s="124" t="str">
        <f>IF($B47="","",IF(AG$3=0,"n.b.",INDEX(SRC_Woningetalage!$A$1:$ZZ$501,$A47,AG$3)))</f>
        <v/>
      </c>
      <c r="AH47" s="124" t="str">
        <f>IF($B47="","",IF(AH$3=0,"n.b.",INDEX(SRC_Woningetalage!$A$1:$ZZ$501,$A47,AH$3)))</f>
        <v/>
      </c>
      <c r="AI47" s="124" t="str">
        <f>IF($B47="","",IF(AI$3=0,"n.b.",INDEX(SRC_Woningetalage!$A$1:$ZZ$501,$A47,AI$3)))</f>
        <v/>
      </c>
      <c r="AJ47" s="124" t="str">
        <f>IF($B47="","",IF(AJ$3=0,"n.b.",INDEX(SRC_Woningetalage!$A$1:$ZZ$501,$A47,AJ$3)))</f>
        <v/>
      </c>
      <c r="AK47" s="124" t="str">
        <f>IF($B47="","",IF(AK$3=0,"n.b.",INDEX(SRC_Woningetalage!$A$1:$ZZ$501,$A47,AK$3)))</f>
        <v/>
      </c>
      <c r="AL47" s="124" t="str">
        <f>IF($B47="","",IF(AL$3=0,"n.b.",INDEX(SRC_Woningetalage!$A$1:$ZZ$501,$A47,AL$3)))</f>
        <v/>
      </c>
      <c r="AM47" s="124" t="str">
        <f>IF($B47="","",IF(AM$3=0,"n.b.",INDEX(SRC_Woningetalage!$A$1:$ZZ$501,$A47,AM$3)))</f>
        <v/>
      </c>
      <c r="AN47" s="124" t="str">
        <f>IF($B47="","",IF(AN$3=0,"n.b.",INDEX(SRC_Woningetalage!$A$1:$ZZ$501,$A47,AN$3)))</f>
        <v/>
      </c>
      <c r="AO47" s="124" t="str">
        <f>IF($B47="","",IF(AO$3=0,"n.b.",INDEX(SRC_Woningetalage!$A$1:$ZZ$501,$A47,AO$3)))</f>
        <v/>
      </c>
      <c r="AP47" s="124" t="str">
        <f>IF($B47="","",IF(AP$3=0,"n.b.",INDEX(SRC_Woningetalage!$A$1:$ZZ$501,$A47,AP$3)))</f>
        <v/>
      </c>
      <c r="AQ47" s="124" t="str">
        <f>IF($B47="","",IF(AQ$3=0,"n.b.",INDEX(SRC_Woningetalage!$A$1:$ZZ$501,$A47,AQ$3)))</f>
        <v/>
      </c>
      <c r="AR47" s="124" t="str">
        <f>IF($B47="","",IF(AR$3=0,"n.b.",INDEX(SRC_Woningetalage!$A$1:$ZZ$501,$A47,AR$3)))</f>
        <v/>
      </c>
      <c r="AS47" s="124" t="str">
        <f>IF($B47="","",IF(AS$3=0,"n.b.",INDEX(SRC_Woningetalage!$A$1:$ZZ$501,$A47,AS$3)))</f>
        <v/>
      </c>
      <c r="AT47" s="124" t="str">
        <f>IF($B47="","",IF(AT$3=0,"n.b.",INDEX(SRC_Woningetalage!$A$1:$ZZ$501,$A47,AT$3)))</f>
        <v/>
      </c>
      <c r="AU47" s="124" t="str">
        <f>IF($B47="","",IF(AU$3=0,"n.b.",INDEX(SRC_Woningetalage!$A$1:$ZZ$501,$A47,AU$3)))</f>
        <v/>
      </c>
      <c r="AV47" s="124" t="str">
        <f>IF($B47="","",IF(AV$3=0,"n.b.",INDEX(SRC_Woningetalage!$A$1:$ZZ$501,$A47,AV$3)))</f>
        <v/>
      </c>
      <c r="AW47" s="124" t="str">
        <f>IF($B47="","",IF(AW$3=0,"n.b.",INDEX(SRC_Woningetalage!$A$1:$ZZ$501,$A47,AW$3)))</f>
        <v/>
      </c>
      <c r="AX47" s="124" t="str">
        <f>IF($B47="","",IF(AX$3=0,"n.b.",INDEX(SRC_Woningetalage!$A$1:$ZZ$501,$A47,AX$3)))</f>
        <v/>
      </c>
      <c r="AY47" s="124" t="str">
        <f>IF($B47="","",IF(AY$3=0,"n.b.",INDEX(SRC_Woningetalage!$A$1:$ZZ$501,$A47,AY$3)))</f>
        <v/>
      </c>
      <c r="AZ47" s="124" t="str">
        <f>IF($B47="","",IF(AZ$3=0,"n.b.",INDEX(SRC_Woningetalage!$A$1:$ZZ$501,$A47,AZ$3)))</f>
        <v/>
      </c>
      <c r="BA47" s="124" t="str">
        <f>IF($B47="","",IF(BA$3=0,"n.b.",INDEX(SRC_Woningetalage!$A$1:$ZZ$501,$A47,BA$3)))</f>
        <v/>
      </c>
      <c r="BB47" s="124" t="str">
        <f>IF($B47="","",IF(BB$3=0,"n.b.",INDEX(SRC_Woningetalage!$A$1:$ZZ$501,$A47,BB$3)))</f>
        <v/>
      </c>
      <c r="BC47" s="124" t="str">
        <f>IF($B47="","",IFERROR(_xlfn.NUMBERVALUE(E47&amp;"",",","."),"n.b."))</f>
        <v/>
      </c>
      <c r="BD47" s="124" t="str">
        <f>IF($B47="","",IFERROR(_xlfn.NUMBERVALUE(M47&amp;"",",","."),"n.b."))</f>
        <v/>
      </c>
      <c r="BE47" s="124" t="str">
        <f>IF($B47="","",IFERROR(AB47+AC47+AD47,"n.b."))</f>
        <v/>
      </c>
      <c r="BF47" s="124" t="str">
        <f>IF($B47="","",IFERROR(AE47+AF47+AG47,"n.b."))</f>
        <v/>
      </c>
      <c r="BG47" s="124" t="str">
        <f>IF($B47="","",IFERROR(AH47+AI47+AJ47,"n.b."))</f>
        <v/>
      </c>
      <c r="BH47" s="124" t="str">
        <f>IF($B47="","",IFERROR(AK47+AL47+AM47,"n.b."))</f>
        <v/>
      </c>
      <c r="BI47" s="124" t="str">
        <f>IF($B47="","",IFERROR(SUMIF($AB$5:$AM$5,"&lt;="&amp;P_PeilMaand,AB47:AM47),"n.b."))</f>
        <v/>
      </c>
      <c r="BJ47" s="124" t="str">
        <f>IF($B47="","",IFERROR(SUM(AB47:AM47)-BI47,"n.b."))</f>
        <v/>
      </c>
      <c r="BK47" s="124" t="str">
        <f>IF($B47="","",IFERROR(IF(ABS(Q47-(T47+SUM(AB47:AM47)+AS47+AU47))&gt;P_Tol,1,0),1))</f>
        <v/>
      </c>
      <c r="BL47" s="124" t="str">
        <f>IF($B47="","",IFERROR(IF(ABS(AA47-(Q47-Z47))&gt;P_Tol,1,0),1))</f>
        <v/>
      </c>
      <c r="BM47" s="124" t="str">
        <f>IF($B47="","",IFERROR(IF(ABS(Z47-(T47+W47))&gt;P_Tol,1,0),1))</f>
        <v/>
      </c>
      <c r="BN47" s="124" t="str">
        <f>IF($B47="","",IFERROR(IF(ABS(W47-BI47)&gt;P_Tol,1,0),1))</f>
        <v/>
      </c>
      <c r="BO47" s="124" t="str">
        <f>IF($B47="","",IFERROR(IF(OR(ABS(R47+S47-T47)&gt;P_Tol,ABS(U47+V47-W47)&gt;P_Tol,ABS(X47+Y47-Z47)&gt;P_Tol),1,0),1))</f>
        <v/>
      </c>
      <c r="BP47" s="124" t="str">
        <f>IF($B47="","",IFERROR(IF(OR(ABS(AR47-SUM(AB47:AM47))&gt;P_Tol,ABS(AS47-(AN47+AO47+AP47+AQ47))&gt;P_Tol),1,0),1))</f>
        <v/>
      </c>
      <c r="BQ47" s="124" t="str">
        <f>IF($B47="","",IFERROR(IF(ABS(AT47)+ABS(AV47)+ABS(AW47)+ABS(AX47)+ABS(AY47)+ABS(AZ47)+ABS(BA47)+ABS(BB47)&gt;0,1,0),1))</f>
        <v/>
      </c>
      <c r="BR47" s="124" t="str">
        <f>IF($B47="","",COUNTIF(STG_ZPMW03!$B$6:$B$505,B47))</f>
        <v/>
      </c>
      <c r="BS47" s="124" t="str">
        <f>IF($B47="","",COUNTIF($B$6:$B$505,B47))</f>
        <v/>
      </c>
      <c r="BT47" s="124" t="str">
        <f>IF($B47="","",IF(BR47=0,0,IF(INDEX(STG_ZPMW03!$I$6:$I$505,MATCH(B47,STG_ZPMW03!$B$6:$B$505,0))=J47&amp;"",0,1)))</f>
        <v/>
      </c>
      <c r="BU47" s="124" t="str">
        <f>IF($B47="","",IFERROR(IF(ABS(INDEX(Mapping!$D$5:$D$104,MATCH(B47,Mapping!$A$5:$A$104,0))-Q47)&gt;P_Tol,1,0),0))</f>
        <v/>
      </c>
      <c r="BV47" s="124" t="str">
        <f>IF($B47="","",IFERROR(IF(AND(INDEX(Mapping!$G$5:$G$104,MATCH(B47,Mapping!$A$5:$A$104,0))="Nee",ABS(Q47)+ABS(Z47)+ABS(AR47)&gt;0),1,0),0))</f>
        <v/>
      </c>
      <c r="BW47" s="124" t="str">
        <f>IF($B47="","",IF(COUNTIF(Mapping!$A$5:$A$104,B47)&gt;0,1,0))</f>
        <v/>
      </c>
      <c r="BX47" s="124" t="str">
        <f>IF($B47="","",IF(BR47=0,COUNTIF($BR$6:BR47,0),""))</f>
        <v/>
      </c>
    </row>
    <row r="48">
      <c r="A48" s="15" t="n">
        <v>44</v>
      </c>
      <c r="B48" t="str">
        <f>IF(B$3=0,"",IF(INDEX(SRC_Woningetalage!$A$1:$ZZ$501,$A48,B$3)&amp;""="","",INDEX(SRC_Woningetalage!$A$1:$ZZ$501,$A48,B$3)&amp;""))</f>
        <v/>
      </c>
      <c r="C48" t="str">
        <f>IF($B48="","",IF(C$3=0,"n.b.",INDEX(SRC_Woningetalage!$A$1:$ZZ$501,$A48,C$3)))</f>
        <v/>
      </c>
      <c r="D48" t="str">
        <f>IF($B48="","",IF(D$3=0,"n.b.",INDEX(SRC_Woningetalage!$A$1:$ZZ$501,$A48,D$3)))</f>
        <v/>
      </c>
      <c r="E48" t="str">
        <f>IF($B48="","",IF(E$3=0,"n.b.",INDEX(SRC_Woningetalage!$A$1:$ZZ$501,$A48,E$3)))</f>
        <v/>
      </c>
      <c r="F48" t="str">
        <f>IF($B48="","",IF(F$3=0,"n.b.",INDEX(SRC_Woningetalage!$A$1:$ZZ$501,$A48,F$3)))</f>
        <v/>
      </c>
      <c r="G48" t="str">
        <f>IF($B48="","",IF(G$3=0,"n.b.",INDEX(SRC_Woningetalage!$A$1:$ZZ$501,$A48,G$3)))</f>
        <v/>
      </c>
      <c r="H48" t="str">
        <f>IF($B48="","",IF(H$3=0,"n.b.",INDEX(SRC_Woningetalage!$A$1:$ZZ$501,$A48,H$3)))</f>
        <v/>
      </c>
      <c r="I48" t="str">
        <f>IF($B48="","",IF(I$3=0,"n.b.",INDEX(SRC_Woningetalage!$A$1:$ZZ$501,$A48,I$3)))</f>
        <v/>
      </c>
      <c r="J48" t="str">
        <f>IF($B48="","",IF(J$3=0,"n.b.",INDEX(SRC_Woningetalage!$A$1:$ZZ$501,$A48,J$3)))</f>
        <v/>
      </c>
      <c r="K48" t="str">
        <f>IF($B48="","",IF(K$3=0,"n.b.",INDEX(SRC_Woningetalage!$A$1:$ZZ$501,$A48,K$3)))</f>
        <v/>
      </c>
      <c r="L48" t="str">
        <f>IF($B48="","",IF(L$3=0,"n.b.",INDEX(SRC_Woningetalage!$A$1:$ZZ$501,$A48,L$3)))</f>
        <v/>
      </c>
      <c r="M48" t="str">
        <f>IF($B48="","",IF(M$3=0,"n.b.",INDEX(SRC_Woningetalage!$A$1:$ZZ$501,$A48,M$3)))</f>
        <v/>
      </c>
      <c r="N48" t="str">
        <f>IF($B48="","",IF(N$3=0,"n.b.",INDEX(SRC_Woningetalage!$A$1:$ZZ$501,$A48,N$3)))</f>
        <v/>
      </c>
      <c r="O48" t="str">
        <f>IF($B48="","",IF(O$3=0,"n.b.",INDEX(SRC_Woningetalage!$A$1:$ZZ$501,$A48,O$3)))</f>
        <v/>
      </c>
      <c r="P48" t="str">
        <f>IF($B48="","",IF(P$3=0,"n.b.",INDEX(SRC_Woningetalage!$A$1:$ZZ$501,$A48,P$3)))</f>
        <v/>
      </c>
      <c r="Q48" s="124" t="str">
        <f>IF($B48="","",IF(Q$3=0,"n.b.",INDEX(SRC_Woningetalage!$A$1:$ZZ$501,$A48,Q$3)))</f>
        <v/>
      </c>
      <c r="R48" s="124" t="str">
        <f>IF($B48="","",IF(R$3=0,"n.b.",INDEX(SRC_Woningetalage!$A$1:$ZZ$501,$A48,R$3)))</f>
        <v/>
      </c>
      <c r="S48" s="124" t="str">
        <f>IF($B48="","",IF(S$3=0,"n.b.",INDEX(SRC_Woningetalage!$A$1:$ZZ$501,$A48,S$3)))</f>
        <v/>
      </c>
      <c r="T48" s="124" t="str">
        <f>IF($B48="","",IF(T$3=0,"n.b.",INDEX(SRC_Woningetalage!$A$1:$ZZ$501,$A48,T$3)))</f>
        <v/>
      </c>
      <c r="U48" s="124" t="str">
        <f>IF($B48="","",IF(U$3=0,"n.b.",INDEX(SRC_Woningetalage!$A$1:$ZZ$501,$A48,U$3)))</f>
        <v/>
      </c>
      <c r="V48" s="124" t="str">
        <f>IF($B48="","",IF(V$3=0,"n.b.",INDEX(SRC_Woningetalage!$A$1:$ZZ$501,$A48,V$3)))</f>
        <v/>
      </c>
      <c r="W48" s="124" t="str">
        <f>IF($B48="","",IF(W$3=0,"n.b.",INDEX(SRC_Woningetalage!$A$1:$ZZ$501,$A48,W$3)))</f>
        <v/>
      </c>
      <c r="X48" s="124" t="str">
        <f>IF($B48="","",IF(X$3=0,"n.b.",INDEX(SRC_Woningetalage!$A$1:$ZZ$501,$A48,X$3)))</f>
        <v/>
      </c>
      <c r="Y48" s="124" t="str">
        <f>IF($B48="","",IF(Y$3=0,"n.b.",INDEX(SRC_Woningetalage!$A$1:$ZZ$501,$A48,Y$3)))</f>
        <v/>
      </c>
      <c r="Z48" s="124" t="str">
        <f>IF($B48="","",IF(Z$3=0,"n.b.",INDEX(SRC_Woningetalage!$A$1:$ZZ$501,$A48,Z$3)))</f>
        <v/>
      </c>
      <c r="AA48" s="124" t="str">
        <f>IF($B48="","",IF(AA$3=0,"n.b.",INDEX(SRC_Woningetalage!$A$1:$ZZ$501,$A48,AA$3)))</f>
        <v/>
      </c>
      <c r="AB48" s="124" t="str">
        <f>IF($B48="","",IF(AB$3=0,"n.b.",INDEX(SRC_Woningetalage!$A$1:$ZZ$501,$A48,AB$3)))</f>
        <v/>
      </c>
      <c r="AC48" s="124" t="str">
        <f>IF($B48="","",IF(AC$3=0,"n.b.",INDEX(SRC_Woningetalage!$A$1:$ZZ$501,$A48,AC$3)))</f>
        <v/>
      </c>
      <c r="AD48" s="124" t="str">
        <f>IF($B48="","",IF(AD$3=0,"n.b.",INDEX(SRC_Woningetalage!$A$1:$ZZ$501,$A48,AD$3)))</f>
        <v/>
      </c>
      <c r="AE48" s="124" t="str">
        <f>IF($B48="","",IF(AE$3=0,"n.b.",INDEX(SRC_Woningetalage!$A$1:$ZZ$501,$A48,AE$3)))</f>
        <v/>
      </c>
      <c r="AF48" s="124" t="str">
        <f>IF($B48="","",IF(AF$3=0,"n.b.",INDEX(SRC_Woningetalage!$A$1:$ZZ$501,$A48,AF$3)))</f>
        <v/>
      </c>
      <c r="AG48" s="124" t="str">
        <f>IF($B48="","",IF(AG$3=0,"n.b.",INDEX(SRC_Woningetalage!$A$1:$ZZ$501,$A48,AG$3)))</f>
        <v/>
      </c>
      <c r="AH48" s="124" t="str">
        <f>IF($B48="","",IF(AH$3=0,"n.b.",INDEX(SRC_Woningetalage!$A$1:$ZZ$501,$A48,AH$3)))</f>
        <v/>
      </c>
      <c r="AI48" s="124" t="str">
        <f>IF($B48="","",IF(AI$3=0,"n.b.",INDEX(SRC_Woningetalage!$A$1:$ZZ$501,$A48,AI$3)))</f>
        <v/>
      </c>
      <c r="AJ48" s="124" t="str">
        <f>IF($B48="","",IF(AJ$3=0,"n.b.",INDEX(SRC_Woningetalage!$A$1:$ZZ$501,$A48,AJ$3)))</f>
        <v/>
      </c>
      <c r="AK48" s="124" t="str">
        <f>IF($B48="","",IF(AK$3=0,"n.b.",INDEX(SRC_Woningetalage!$A$1:$ZZ$501,$A48,AK$3)))</f>
        <v/>
      </c>
      <c r="AL48" s="124" t="str">
        <f>IF($B48="","",IF(AL$3=0,"n.b.",INDEX(SRC_Woningetalage!$A$1:$ZZ$501,$A48,AL$3)))</f>
        <v/>
      </c>
      <c r="AM48" s="124" t="str">
        <f>IF($B48="","",IF(AM$3=0,"n.b.",INDEX(SRC_Woningetalage!$A$1:$ZZ$501,$A48,AM$3)))</f>
        <v/>
      </c>
      <c r="AN48" s="124" t="str">
        <f>IF($B48="","",IF(AN$3=0,"n.b.",INDEX(SRC_Woningetalage!$A$1:$ZZ$501,$A48,AN$3)))</f>
        <v/>
      </c>
      <c r="AO48" s="124" t="str">
        <f>IF($B48="","",IF(AO$3=0,"n.b.",INDEX(SRC_Woningetalage!$A$1:$ZZ$501,$A48,AO$3)))</f>
        <v/>
      </c>
      <c r="AP48" s="124" t="str">
        <f>IF($B48="","",IF(AP$3=0,"n.b.",INDEX(SRC_Woningetalage!$A$1:$ZZ$501,$A48,AP$3)))</f>
        <v/>
      </c>
      <c r="AQ48" s="124" t="str">
        <f>IF($B48="","",IF(AQ$3=0,"n.b.",INDEX(SRC_Woningetalage!$A$1:$ZZ$501,$A48,AQ$3)))</f>
        <v/>
      </c>
      <c r="AR48" s="124" t="str">
        <f>IF($B48="","",IF(AR$3=0,"n.b.",INDEX(SRC_Woningetalage!$A$1:$ZZ$501,$A48,AR$3)))</f>
        <v/>
      </c>
      <c r="AS48" s="124" t="str">
        <f>IF($B48="","",IF(AS$3=0,"n.b.",INDEX(SRC_Woningetalage!$A$1:$ZZ$501,$A48,AS$3)))</f>
        <v/>
      </c>
      <c r="AT48" s="124" t="str">
        <f>IF($B48="","",IF(AT$3=0,"n.b.",INDEX(SRC_Woningetalage!$A$1:$ZZ$501,$A48,AT$3)))</f>
        <v/>
      </c>
      <c r="AU48" s="124" t="str">
        <f>IF($B48="","",IF(AU$3=0,"n.b.",INDEX(SRC_Woningetalage!$A$1:$ZZ$501,$A48,AU$3)))</f>
        <v/>
      </c>
      <c r="AV48" s="124" t="str">
        <f>IF($B48="","",IF(AV$3=0,"n.b.",INDEX(SRC_Woningetalage!$A$1:$ZZ$501,$A48,AV$3)))</f>
        <v/>
      </c>
      <c r="AW48" s="124" t="str">
        <f>IF($B48="","",IF(AW$3=0,"n.b.",INDEX(SRC_Woningetalage!$A$1:$ZZ$501,$A48,AW$3)))</f>
        <v/>
      </c>
      <c r="AX48" s="124" t="str">
        <f>IF($B48="","",IF(AX$3=0,"n.b.",INDEX(SRC_Woningetalage!$A$1:$ZZ$501,$A48,AX$3)))</f>
        <v/>
      </c>
      <c r="AY48" s="124" t="str">
        <f>IF($B48="","",IF(AY$3=0,"n.b.",INDEX(SRC_Woningetalage!$A$1:$ZZ$501,$A48,AY$3)))</f>
        <v/>
      </c>
      <c r="AZ48" s="124" t="str">
        <f>IF($B48="","",IF(AZ$3=0,"n.b.",INDEX(SRC_Woningetalage!$A$1:$ZZ$501,$A48,AZ$3)))</f>
        <v/>
      </c>
      <c r="BA48" s="124" t="str">
        <f>IF($B48="","",IF(BA$3=0,"n.b.",INDEX(SRC_Woningetalage!$A$1:$ZZ$501,$A48,BA$3)))</f>
        <v/>
      </c>
      <c r="BB48" s="124" t="str">
        <f>IF($B48="","",IF(BB$3=0,"n.b.",INDEX(SRC_Woningetalage!$A$1:$ZZ$501,$A48,BB$3)))</f>
        <v/>
      </c>
      <c r="BC48" s="124" t="str">
        <f>IF($B48="","",IFERROR(_xlfn.NUMBERVALUE(E48&amp;"",",","."),"n.b."))</f>
        <v/>
      </c>
      <c r="BD48" s="124" t="str">
        <f>IF($B48="","",IFERROR(_xlfn.NUMBERVALUE(M48&amp;"",",","."),"n.b."))</f>
        <v/>
      </c>
      <c r="BE48" s="124" t="str">
        <f>IF($B48="","",IFERROR(AB48+AC48+AD48,"n.b."))</f>
        <v/>
      </c>
      <c r="BF48" s="124" t="str">
        <f>IF($B48="","",IFERROR(AE48+AF48+AG48,"n.b."))</f>
        <v/>
      </c>
      <c r="BG48" s="124" t="str">
        <f>IF($B48="","",IFERROR(AH48+AI48+AJ48,"n.b."))</f>
        <v/>
      </c>
      <c r="BH48" s="124" t="str">
        <f>IF($B48="","",IFERROR(AK48+AL48+AM48,"n.b."))</f>
        <v/>
      </c>
      <c r="BI48" s="124" t="str">
        <f>IF($B48="","",IFERROR(SUMIF($AB$5:$AM$5,"&lt;="&amp;P_PeilMaand,AB48:AM48),"n.b."))</f>
        <v/>
      </c>
      <c r="BJ48" s="124" t="str">
        <f>IF($B48="","",IFERROR(SUM(AB48:AM48)-BI48,"n.b."))</f>
        <v/>
      </c>
      <c r="BK48" s="124" t="str">
        <f>IF($B48="","",IFERROR(IF(ABS(Q48-(T48+SUM(AB48:AM48)+AS48+AU48))&gt;P_Tol,1,0),1))</f>
        <v/>
      </c>
      <c r="BL48" s="124" t="str">
        <f>IF($B48="","",IFERROR(IF(ABS(AA48-(Q48-Z48))&gt;P_Tol,1,0),1))</f>
        <v/>
      </c>
      <c r="BM48" s="124" t="str">
        <f>IF($B48="","",IFERROR(IF(ABS(Z48-(T48+W48))&gt;P_Tol,1,0),1))</f>
        <v/>
      </c>
      <c r="BN48" s="124" t="str">
        <f>IF($B48="","",IFERROR(IF(ABS(W48-BI48)&gt;P_Tol,1,0),1))</f>
        <v/>
      </c>
      <c r="BO48" s="124" t="str">
        <f>IF($B48="","",IFERROR(IF(OR(ABS(R48+S48-T48)&gt;P_Tol,ABS(U48+V48-W48)&gt;P_Tol,ABS(X48+Y48-Z48)&gt;P_Tol),1,0),1))</f>
        <v/>
      </c>
      <c r="BP48" s="124" t="str">
        <f>IF($B48="","",IFERROR(IF(OR(ABS(AR48-SUM(AB48:AM48))&gt;P_Tol,ABS(AS48-(AN48+AO48+AP48+AQ48))&gt;P_Tol),1,0),1))</f>
        <v/>
      </c>
      <c r="BQ48" s="124" t="str">
        <f>IF($B48="","",IFERROR(IF(ABS(AT48)+ABS(AV48)+ABS(AW48)+ABS(AX48)+ABS(AY48)+ABS(AZ48)+ABS(BA48)+ABS(BB48)&gt;0,1,0),1))</f>
        <v/>
      </c>
      <c r="BR48" s="124" t="str">
        <f>IF($B48="","",COUNTIF(STG_ZPMW03!$B$6:$B$505,B48))</f>
        <v/>
      </c>
      <c r="BS48" s="124" t="str">
        <f>IF($B48="","",COUNTIF($B$6:$B$505,B48))</f>
        <v/>
      </c>
      <c r="BT48" s="124" t="str">
        <f>IF($B48="","",IF(BR48=0,0,IF(INDEX(STG_ZPMW03!$I$6:$I$505,MATCH(B48,STG_ZPMW03!$B$6:$B$505,0))=J48&amp;"",0,1)))</f>
        <v/>
      </c>
      <c r="BU48" s="124" t="str">
        <f>IF($B48="","",IFERROR(IF(ABS(INDEX(Mapping!$D$5:$D$104,MATCH(B48,Mapping!$A$5:$A$104,0))-Q48)&gt;P_Tol,1,0),0))</f>
        <v/>
      </c>
      <c r="BV48" s="124" t="str">
        <f>IF($B48="","",IFERROR(IF(AND(INDEX(Mapping!$G$5:$G$104,MATCH(B48,Mapping!$A$5:$A$104,0))="Nee",ABS(Q48)+ABS(Z48)+ABS(AR48)&gt;0),1,0),0))</f>
        <v/>
      </c>
      <c r="BW48" s="124" t="str">
        <f>IF($B48="","",IF(COUNTIF(Mapping!$A$5:$A$104,B48)&gt;0,1,0))</f>
        <v/>
      </c>
      <c r="BX48" s="124" t="str">
        <f>IF($B48="","",IF(BR48=0,COUNTIF($BR$6:BR48,0),""))</f>
        <v/>
      </c>
    </row>
    <row r="49">
      <c r="A49" s="15" t="n">
        <v>45</v>
      </c>
      <c r="B49" t="str">
        <f>IF(B$3=0,"",IF(INDEX(SRC_Woningetalage!$A$1:$ZZ$501,$A49,B$3)&amp;""="","",INDEX(SRC_Woningetalage!$A$1:$ZZ$501,$A49,B$3)&amp;""))</f>
        <v/>
      </c>
      <c r="C49" t="str">
        <f>IF($B49="","",IF(C$3=0,"n.b.",INDEX(SRC_Woningetalage!$A$1:$ZZ$501,$A49,C$3)))</f>
        <v/>
      </c>
      <c r="D49" t="str">
        <f>IF($B49="","",IF(D$3=0,"n.b.",INDEX(SRC_Woningetalage!$A$1:$ZZ$501,$A49,D$3)))</f>
        <v/>
      </c>
      <c r="E49" t="str">
        <f>IF($B49="","",IF(E$3=0,"n.b.",INDEX(SRC_Woningetalage!$A$1:$ZZ$501,$A49,E$3)))</f>
        <v/>
      </c>
      <c r="F49" t="str">
        <f>IF($B49="","",IF(F$3=0,"n.b.",INDEX(SRC_Woningetalage!$A$1:$ZZ$501,$A49,F$3)))</f>
        <v/>
      </c>
      <c r="G49" t="str">
        <f>IF($B49="","",IF(G$3=0,"n.b.",INDEX(SRC_Woningetalage!$A$1:$ZZ$501,$A49,G$3)))</f>
        <v/>
      </c>
      <c r="H49" t="str">
        <f>IF($B49="","",IF(H$3=0,"n.b.",INDEX(SRC_Woningetalage!$A$1:$ZZ$501,$A49,H$3)))</f>
        <v/>
      </c>
      <c r="I49" t="str">
        <f>IF($B49="","",IF(I$3=0,"n.b.",INDEX(SRC_Woningetalage!$A$1:$ZZ$501,$A49,I$3)))</f>
        <v/>
      </c>
      <c r="J49" t="str">
        <f>IF($B49="","",IF(J$3=0,"n.b.",INDEX(SRC_Woningetalage!$A$1:$ZZ$501,$A49,J$3)))</f>
        <v/>
      </c>
      <c r="K49" t="str">
        <f>IF($B49="","",IF(K$3=0,"n.b.",INDEX(SRC_Woningetalage!$A$1:$ZZ$501,$A49,K$3)))</f>
        <v/>
      </c>
      <c r="L49" t="str">
        <f>IF($B49="","",IF(L$3=0,"n.b.",INDEX(SRC_Woningetalage!$A$1:$ZZ$501,$A49,L$3)))</f>
        <v/>
      </c>
      <c r="M49" t="str">
        <f>IF($B49="","",IF(M$3=0,"n.b.",INDEX(SRC_Woningetalage!$A$1:$ZZ$501,$A49,M$3)))</f>
        <v/>
      </c>
      <c r="N49" t="str">
        <f>IF($B49="","",IF(N$3=0,"n.b.",INDEX(SRC_Woningetalage!$A$1:$ZZ$501,$A49,N$3)))</f>
        <v/>
      </c>
      <c r="O49" t="str">
        <f>IF($B49="","",IF(O$3=0,"n.b.",INDEX(SRC_Woningetalage!$A$1:$ZZ$501,$A49,O$3)))</f>
        <v/>
      </c>
      <c r="P49" t="str">
        <f>IF($B49="","",IF(P$3=0,"n.b.",INDEX(SRC_Woningetalage!$A$1:$ZZ$501,$A49,P$3)))</f>
        <v/>
      </c>
      <c r="Q49" s="124" t="str">
        <f>IF($B49="","",IF(Q$3=0,"n.b.",INDEX(SRC_Woningetalage!$A$1:$ZZ$501,$A49,Q$3)))</f>
        <v/>
      </c>
      <c r="R49" s="124" t="str">
        <f>IF($B49="","",IF(R$3=0,"n.b.",INDEX(SRC_Woningetalage!$A$1:$ZZ$501,$A49,R$3)))</f>
        <v/>
      </c>
      <c r="S49" s="124" t="str">
        <f>IF($B49="","",IF(S$3=0,"n.b.",INDEX(SRC_Woningetalage!$A$1:$ZZ$501,$A49,S$3)))</f>
        <v/>
      </c>
      <c r="T49" s="124" t="str">
        <f>IF($B49="","",IF(T$3=0,"n.b.",INDEX(SRC_Woningetalage!$A$1:$ZZ$501,$A49,T$3)))</f>
        <v/>
      </c>
      <c r="U49" s="124" t="str">
        <f>IF($B49="","",IF(U$3=0,"n.b.",INDEX(SRC_Woningetalage!$A$1:$ZZ$501,$A49,U$3)))</f>
        <v/>
      </c>
      <c r="V49" s="124" t="str">
        <f>IF($B49="","",IF(V$3=0,"n.b.",INDEX(SRC_Woningetalage!$A$1:$ZZ$501,$A49,V$3)))</f>
        <v/>
      </c>
      <c r="W49" s="124" t="str">
        <f>IF($B49="","",IF(W$3=0,"n.b.",INDEX(SRC_Woningetalage!$A$1:$ZZ$501,$A49,W$3)))</f>
        <v/>
      </c>
      <c r="X49" s="124" t="str">
        <f>IF($B49="","",IF(X$3=0,"n.b.",INDEX(SRC_Woningetalage!$A$1:$ZZ$501,$A49,X$3)))</f>
        <v/>
      </c>
      <c r="Y49" s="124" t="str">
        <f>IF($B49="","",IF(Y$3=0,"n.b.",INDEX(SRC_Woningetalage!$A$1:$ZZ$501,$A49,Y$3)))</f>
        <v/>
      </c>
      <c r="Z49" s="124" t="str">
        <f>IF($B49="","",IF(Z$3=0,"n.b.",INDEX(SRC_Woningetalage!$A$1:$ZZ$501,$A49,Z$3)))</f>
        <v/>
      </c>
      <c r="AA49" s="124" t="str">
        <f>IF($B49="","",IF(AA$3=0,"n.b.",INDEX(SRC_Woningetalage!$A$1:$ZZ$501,$A49,AA$3)))</f>
        <v/>
      </c>
      <c r="AB49" s="124" t="str">
        <f>IF($B49="","",IF(AB$3=0,"n.b.",INDEX(SRC_Woningetalage!$A$1:$ZZ$501,$A49,AB$3)))</f>
        <v/>
      </c>
      <c r="AC49" s="124" t="str">
        <f>IF($B49="","",IF(AC$3=0,"n.b.",INDEX(SRC_Woningetalage!$A$1:$ZZ$501,$A49,AC$3)))</f>
        <v/>
      </c>
      <c r="AD49" s="124" t="str">
        <f>IF($B49="","",IF(AD$3=0,"n.b.",INDEX(SRC_Woningetalage!$A$1:$ZZ$501,$A49,AD$3)))</f>
        <v/>
      </c>
      <c r="AE49" s="124" t="str">
        <f>IF($B49="","",IF(AE$3=0,"n.b.",INDEX(SRC_Woningetalage!$A$1:$ZZ$501,$A49,AE$3)))</f>
        <v/>
      </c>
      <c r="AF49" s="124" t="str">
        <f>IF($B49="","",IF(AF$3=0,"n.b.",INDEX(SRC_Woningetalage!$A$1:$ZZ$501,$A49,AF$3)))</f>
        <v/>
      </c>
      <c r="AG49" s="124" t="str">
        <f>IF($B49="","",IF(AG$3=0,"n.b.",INDEX(SRC_Woningetalage!$A$1:$ZZ$501,$A49,AG$3)))</f>
        <v/>
      </c>
      <c r="AH49" s="124" t="str">
        <f>IF($B49="","",IF(AH$3=0,"n.b.",INDEX(SRC_Woningetalage!$A$1:$ZZ$501,$A49,AH$3)))</f>
        <v/>
      </c>
      <c r="AI49" s="124" t="str">
        <f>IF($B49="","",IF(AI$3=0,"n.b.",INDEX(SRC_Woningetalage!$A$1:$ZZ$501,$A49,AI$3)))</f>
        <v/>
      </c>
      <c r="AJ49" s="124" t="str">
        <f>IF($B49="","",IF(AJ$3=0,"n.b.",INDEX(SRC_Woningetalage!$A$1:$ZZ$501,$A49,AJ$3)))</f>
        <v/>
      </c>
      <c r="AK49" s="124" t="str">
        <f>IF($B49="","",IF(AK$3=0,"n.b.",INDEX(SRC_Woningetalage!$A$1:$ZZ$501,$A49,AK$3)))</f>
        <v/>
      </c>
      <c r="AL49" s="124" t="str">
        <f>IF($B49="","",IF(AL$3=0,"n.b.",INDEX(SRC_Woningetalage!$A$1:$ZZ$501,$A49,AL$3)))</f>
        <v/>
      </c>
      <c r="AM49" s="124" t="str">
        <f>IF($B49="","",IF(AM$3=0,"n.b.",INDEX(SRC_Woningetalage!$A$1:$ZZ$501,$A49,AM$3)))</f>
        <v/>
      </c>
      <c r="AN49" s="124" t="str">
        <f>IF($B49="","",IF(AN$3=0,"n.b.",INDEX(SRC_Woningetalage!$A$1:$ZZ$501,$A49,AN$3)))</f>
        <v/>
      </c>
      <c r="AO49" s="124" t="str">
        <f>IF($B49="","",IF(AO$3=0,"n.b.",INDEX(SRC_Woningetalage!$A$1:$ZZ$501,$A49,AO$3)))</f>
        <v/>
      </c>
      <c r="AP49" s="124" t="str">
        <f>IF($B49="","",IF(AP$3=0,"n.b.",INDEX(SRC_Woningetalage!$A$1:$ZZ$501,$A49,AP$3)))</f>
        <v/>
      </c>
      <c r="AQ49" s="124" t="str">
        <f>IF($B49="","",IF(AQ$3=0,"n.b.",INDEX(SRC_Woningetalage!$A$1:$ZZ$501,$A49,AQ$3)))</f>
        <v/>
      </c>
      <c r="AR49" s="124" t="str">
        <f>IF($B49="","",IF(AR$3=0,"n.b.",INDEX(SRC_Woningetalage!$A$1:$ZZ$501,$A49,AR$3)))</f>
        <v/>
      </c>
      <c r="AS49" s="124" t="str">
        <f>IF($B49="","",IF(AS$3=0,"n.b.",INDEX(SRC_Woningetalage!$A$1:$ZZ$501,$A49,AS$3)))</f>
        <v/>
      </c>
      <c r="AT49" s="124" t="str">
        <f>IF($B49="","",IF(AT$3=0,"n.b.",INDEX(SRC_Woningetalage!$A$1:$ZZ$501,$A49,AT$3)))</f>
        <v/>
      </c>
      <c r="AU49" s="124" t="str">
        <f>IF($B49="","",IF(AU$3=0,"n.b.",INDEX(SRC_Woningetalage!$A$1:$ZZ$501,$A49,AU$3)))</f>
        <v/>
      </c>
      <c r="AV49" s="124" t="str">
        <f>IF($B49="","",IF(AV$3=0,"n.b.",INDEX(SRC_Woningetalage!$A$1:$ZZ$501,$A49,AV$3)))</f>
        <v/>
      </c>
      <c r="AW49" s="124" t="str">
        <f>IF($B49="","",IF(AW$3=0,"n.b.",INDEX(SRC_Woningetalage!$A$1:$ZZ$501,$A49,AW$3)))</f>
        <v/>
      </c>
      <c r="AX49" s="124" t="str">
        <f>IF($B49="","",IF(AX$3=0,"n.b.",INDEX(SRC_Woningetalage!$A$1:$ZZ$501,$A49,AX$3)))</f>
        <v/>
      </c>
      <c r="AY49" s="124" t="str">
        <f>IF($B49="","",IF(AY$3=0,"n.b.",INDEX(SRC_Woningetalage!$A$1:$ZZ$501,$A49,AY$3)))</f>
        <v/>
      </c>
      <c r="AZ49" s="124" t="str">
        <f>IF($B49="","",IF(AZ$3=0,"n.b.",INDEX(SRC_Woningetalage!$A$1:$ZZ$501,$A49,AZ$3)))</f>
        <v/>
      </c>
      <c r="BA49" s="124" t="str">
        <f>IF($B49="","",IF(BA$3=0,"n.b.",INDEX(SRC_Woningetalage!$A$1:$ZZ$501,$A49,BA$3)))</f>
        <v/>
      </c>
      <c r="BB49" s="124" t="str">
        <f>IF($B49="","",IF(BB$3=0,"n.b.",INDEX(SRC_Woningetalage!$A$1:$ZZ$501,$A49,BB$3)))</f>
        <v/>
      </c>
      <c r="BC49" s="124" t="str">
        <f>IF($B49="","",IFERROR(_xlfn.NUMBERVALUE(E49&amp;"",",","."),"n.b."))</f>
        <v/>
      </c>
      <c r="BD49" s="124" t="str">
        <f>IF($B49="","",IFERROR(_xlfn.NUMBERVALUE(M49&amp;"",",","."),"n.b."))</f>
        <v/>
      </c>
      <c r="BE49" s="124" t="str">
        <f>IF($B49="","",IFERROR(AB49+AC49+AD49,"n.b."))</f>
        <v/>
      </c>
      <c r="BF49" s="124" t="str">
        <f>IF($B49="","",IFERROR(AE49+AF49+AG49,"n.b."))</f>
        <v/>
      </c>
      <c r="BG49" s="124" t="str">
        <f>IF($B49="","",IFERROR(AH49+AI49+AJ49,"n.b."))</f>
        <v/>
      </c>
      <c r="BH49" s="124" t="str">
        <f>IF($B49="","",IFERROR(AK49+AL49+AM49,"n.b."))</f>
        <v/>
      </c>
      <c r="BI49" s="124" t="str">
        <f>IF($B49="","",IFERROR(SUMIF($AB$5:$AM$5,"&lt;="&amp;P_PeilMaand,AB49:AM49),"n.b."))</f>
        <v/>
      </c>
      <c r="BJ49" s="124" t="str">
        <f>IF($B49="","",IFERROR(SUM(AB49:AM49)-BI49,"n.b."))</f>
        <v/>
      </c>
      <c r="BK49" s="124" t="str">
        <f>IF($B49="","",IFERROR(IF(ABS(Q49-(T49+SUM(AB49:AM49)+AS49+AU49))&gt;P_Tol,1,0),1))</f>
        <v/>
      </c>
      <c r="BL49" s="124" t="str">
        <f>IF($B49="","",IFERROR(IF(ABS(AA49-(Q49-Z49))&gt;P_Tol,1,0),1))</f>
        <v/>
      </c>
      <c r="BM49" s="124" t="str">
        <f>IF($B49="","",IFERROR(IF(ABS(Z49-(T49+W49))&gt;P_Tol,1,0),1))</f>
        <v/>
      </c>
      <c r="BN49" s="124" t="str">
        <f>IF($B49="","",IFERROR(IF(ABS(W49-BI49)&gt;P_Tol,1,0),1))</f>
        <v/>
      </c>
      <c r="BO49" s="124" t="str">
        <f>IF($B49="","",IFERROR(IF(OR(ABS(R49+S49-T49)&gt;P_Tol,ABS(U49+V49-W49)&gt;P_Tol,ABS(X49+Y49-Z49)&gt;P_Tol),1,0),1))</f>
        <v/>
      </c>
      <c r="BP49" s="124" t="str">
        <f>IF($B49="","",IFERROR(IF(OR(ABS(AR49-SUM(AB49:AM49))&gt;P_Tol,ABS(AS49-(AN49+AO49+AP49+AQ49))&gt;P_Tol),1,0),1))</f>
        <v/>
      </c>
      <c r="BQ49" s="124" t="str">
        <f>IF($B49="","",IFERROR(IF(ABS(AT49)+ABS(AV49)+ABS(AW49)+ABS(AX49)+ABS(AY49)+ABS(AZ49)+ABS(BA49)+ABS(BB49)&gt;0,1,0),1))</f>
        <v/>
      </c>
      <c r="BR49" s="124" t="str">
        <f>IF($B49="","",COUNTIF(STG_ZPMW03!$B$6:$B$505,B49))</f>
        <v/>
      </c>
      <c r="BS49" s="124" t="str">
        <f>IF($B49="","",COUNTIF($B$6:$B$505,B49))</f>
        <v/>
      </c>
      <c r="BT49" s="124" t="str">
        <f>IF($B49="","",IF(BR49=0,0,IF(INDEX(STG_ZPMW03!$I$6:$I$505,MATCH(B49,STG_ZPMW03!$B$6:$B$505,0))=J49&amp;"",0,1)))</f>
        <v/>
      </c>
      <c r="BU49" s="124" t="str">
        <f>IF($B49="","",IFERROR(IF(ABS(INDEX(Mapping!$D$5:$D$104,MATCH(B49,Mapping!$A$5:$A$104,0))-Q49)&gt;P_Tol,1,0),0))</f>
        <v/>
      </c>
      <c r="BV49" s="124" t="str">
        <f>IF($B49="","",IFERROR(IF(AND(INDEX(Mapping!$G$5:$G$104,MATCH(B49,Mapping!$A$5:$A$104,0))="Nee",ABS(Q49)+ABS(Z49)+ABS(AR49)&gt;0),1,0),0))</f>
        <v/>
      </c>
      <c r="BW49" s="124" t="str">
        <f>IF($B49="","",IF(COUNTIF(Mapping!$A$5:$A$104,B49)&gt;0,1,0))</f>
        <v/>
      </c>
      <c r="BX49" s="124" t="str">
        <f>IF($B49="","",IF(BR49=0,COUNTIF($BR$6:BR49,0),""))</f>
        <v/>
      </c>
    </row>
    <row r="50">
      <c r="A50" s="15" t="n">
        <v>46</v>
      </c>
      <c r="B50" t="str">
        <f>IF(B$3=0,"",IF(INDEX(SRC_Woningetalage!$A$1:$ZZ$501,$A50,B$3)&amp;""="","",INDEX(SRC_Woningetalage!$A$1:$ZZ$501,$A50,B$3)&amp;""))</f>
        <v/>
      </c>
      <c r="C50" t="str">
        <f>IF($B50="","",IF(C$3=0,"n.b.",INDEX(SRC_Woningetalage!$A$1:$ZZ$501,$A50,C$3)))</f>
        <v/>
      </c>
      <c r="D50" t="str">
        <f>IF($B50="","",IF(D$3=0,"n.b.",INDEX(SRC_Woningetalage!$A$1:$ZZ$501,$A50,D$3)))</f>
        <v/>
      </c>
      <c r="E50" t="str">
        <f>IF($B50="","",IF(E$3=0,"n.b.",INDEX(SRC_Woningetalage!$A$1:$ZZ$501,$A50,E$3)))</f>
        <v/>
      </c>
      <c r="F50" t="str">
        <f>IF($B50="","",IF(F$3=0,"n.b.",INDEX(SRC_Woningetalage!$A$1:$ZZ$501,$A50,F$3)))</f>
        <v/>
      </c>
      <c r="G50" t="str">
        <f>IF($B50="","",IF(G$3=0,"n.b.",INDEX(SRC_Woningetalage!$A$1:$ZZ$501,$A50,G$3)))</f>
        <v/>
      </c>
      <c r="H50" t="str">
        <f>IF($B50="","",IF(H$3=0,"n.b.",INDEX(SRC_Woningetalage!$A$1:$ZZ$501,$A50,H$3)))</f>
        <v/>
      </c>
      <c r="I50" t="str">
        <f>IF($B50="","",IF(I$3=0,"n.b.",INDEX(SRC_Woningetalage!$A$1:$ZZ$501,$A50,I$3)))</f>
        <v/>
      </c>
      <c r="J50" t="str">
        <f>IF($B50="","",IF(J$3=0,"n.b.",INDEX(SRC_Woningetalage!$A$1:$ZZ$501,$A50,J$3)))</f>
        <v/>
      </c>
      <c r="K50" t="str">
        <f>IF($B50="","",IF(K$3=0,"n.b.",INDEX(SRC_Woningetalage!$A$1:$ZZ$501,$A50,K$3)))</f>
        <v/>
      </c>
      <c r="L50" t="str">
        <f>IF($B50="","",IF(L$3=0,"n.b.",INDEX(SRC_Woningetalage!$A$1:$ZZ$501,$A50,L$3)))</f>
        <v/>
      </c>
      <c r="M50" t="str">
        <f>IF($B50="","",IF(M$3=0,"n.b.",INDEX(SRC_Woningetalage!$A$1:$ZZ$501,$A50,M$3)))</f>
        <v/>
      </c>
      <c r="N50" t="str">
        <f>IF($B50="","",IF(N$3=0,"n.b.",INDEX(SRC_Woningetalage!$A$1:$ZZ$501,$A50,N$3)))</f>
        <v/>
      </c>
      <c r="O50" t="str">
        <f>IF($B50="","",IF(O$3=0,"n.b.",INDEX(SRC_Woningetalage!$A$1:$ZZ$501,$A50,O$3)))</f>
        <v/>
      </c>
      <c r="P50" t="str">
        <f>IF($B50="","",IF(P$3=0,"n.b.",INDEX(SRC_Woningetalage!$A$1:$ZZ$501,$A50,P$3)))</f>
        <v/>
      </c>
      <c r="Q50" s="124" t="str">
        <f>IF($B50="","",IF(Q$3=0,"n.b.",INDEX(SRC_Woningetalage!$A$1:$ZZ$501,$A50,Q$3)))</f>
        <v/>
      </c>
      <c r="R50" s="124" t="str">
        <f>IF($B50="","",IF(R$3=0,"n.b.",INDEX(SRC_Woningetalage!$A$1:$ZZ$501,$A50,R$3)))</f>
        <v/>
      </c>
      <c r="S50" s="124" t="str">
        <f>IF($B50="","",IF(S$3=0,"n.b.",INDEX(SRC_Woningetalage!$A$1:$ZZ$501,$A50,S$3)))</f>
        <v/>
      </c>
      <c r="T50" s="124" t="str">
        <f>IF($B50="","",IF(T$3=0,"n.b.",INDEX(SRC_Woningetalage!$A$1:$ZZ$501,$A50,T$3)))</f>
        <v/>
      </c>
      <c r="U50" s="124" t="str">
        <f>IF($B50="","",IF(U$3=0,"n.b.",INDEX(SRC_Woningetalage!$A$1:$ZZ$501,$A50,U$3)))</f>
        <v/>
      </c>
      <c r="V50" s="124" t="str">
        <f>IF($B50="","",IF(V$3=0,"n.b.",INDEX(SRC_Woningetalage!$A$1:$ZZ$501,$A50,V$3)))</f>
        <v/>
      </c>
      <c r="W50" s="124" t="str">
        <f>IF($B50="","",IF(W$3=0,"n.b.",INDEX(SRC_Woningetalage!$A$1:$ZZ$501,$A50,W$3)))</f>
        <v/>
      </c>
      <c r="X50" s="124" t="str">
        <f>IF($B50="","",IF(X$3=0,"n.b.",INDEX(SRC_Woningetalage!$A$1:$ZZ$501,$A50,X$3)))</f>
        <v/>
      </c>
      <c r="Y50" s="124" t="str">
        <f>IF($B50="","",IF(Y$3=0,"n.b.",INDEX(SRC_Woningetalage!$A$1:$ZZ$501,$A50,Y$3)))</f>
        <v/>
      </c>
      <c r="Z50" s="124" t="str">
        <f>IF($B50="","",IF(Z$3=0,"n.b.",INDEX(SRC_Woningetalage!$A$1:$ZZ$501,$A50,Z$3)))</f>
        <v/>
      </c>
      <c r="AA50" s="124" t="str">
        <f>IF($B50="","",IF(AA$3=0,"n.b.",INDEX(SRC_Woningetalage!$A$1:$ZZ$501,$A50,AA$3)))</f>
        <v/>
      </c>
      <c r="AB50" s="124" t="str">
        <f>IF($B50="","",IF(AB$3=0,"n.b.",INDEX(SRC_Woningetalage!$A$1:$ZZ$501,$A50,AB$3)))</f>
        <v/>
      </c>
      <c r="AC50" s="124" t="str">
        <f>IF($B50="","",IF(AC$3=0,"n.b.",INDEX(SRC_Woningetalage!$A$1:$ZZ$501,$A50,AC$3)))</f>
        <v/>
      </c>
      <c r="AD50" s="124" t="str">
        <f>IF($B50="","",IF(AD$3=0,"n.b.",INDEX(SRC_Woningetalage!$A$1:$ZZ$501,$A50,AD$3)))</f>
        <v/>
      </c>
      <c r="AE50" s="124" t="str">
        <f>IF($B50="","",IF(AE$3=0,"n.b.",INDEX(SRC_Woningetalage!$A$1:$ZZ$501,$A50,AE$3)))</f>
        <v/>
      </c>
      <c r="AF50" s="124" t="str">
        <f>IF($B50="","",IF(AF$3=0,"n.b.",INDEX(SRC_Woningetalage!$A$1:$ZZ$501,$A50,AF$3)))</f>
        <v/>
      </c>
      <c r="AG50" s="124" t="str">
        <f>IF($B50="","",IF(AG$3=0,"n.b.",INDEX(SRC_Woningetalage!$A$1:$ZZ$501,$A50,AG$3)))</f>
        <v/>
      </c>
      <c r="AH50" s="124" t="str">
        <f>IF($B50="","",IF(AH$3=0,"n.b.",INDEX(SRC_Woningetalage!$A$1:$ZZ$501,$A50,AH$3)))</f>
        <v/>
      </c>
      <c r="AI50" s="124" t="str">
        <f>IF($B50="","",IF(AI$3=0,"n.b.",INDEX(SRC_Woningetalage!$A$1:$ZZ$501,$A50,AI$3)))</f>
        <v/>
      </c>
      <c r="AJ50" s="124" t="str">
        <f>IF($B50="","",IF(AJ$3=0,"n.b.",INDEX(SRC_Woningetalage!$A$1:$ZZ$501,$A50,AJ$3)))</f>
        <v/>
      </c>
      <c r="AK50" s="124" t="str">
        <f>IF($B50="","",IF(AK$3=0,"n.b.",INDEX(SRC_Woningetalage!$A$1:$ZZ$501,$A50,AK$3)))</f>
        <v/>
      </c>
      <c r="AL50" s="124" t="str">
        <f>IF($B50="","",IF(AL$3=0,"n.b.",INDEX(SRC_Woningetalage!$A$1:$ZZ$501,$A50,AL$3)))</f>
        <v/>
      </c>
      <c r="AM50" s="124" t="str">
        <f>IF($B50="","",IF(AM$3=0,"n.b.",INDEX(SRC_Woningetalage!$A$1:$ZZ$501,$A50,AM$3)))</f>
        <v/>
      </c>
      <c r="AN50" s="124" t="str">
        <f>IF($B50="","",IF(AN$3=0,"n.b.",INDEX(SRC_Woningetalage!$A$1:$ZZ$501,$A50,AN$3)))</f>
        <v/>
      </c>
      <c r="AO50" s="124" t="str">
        <f>IF($B50="","",IF(AO$3=0,"n.b.",INDEX(SRC_Woningetalage!$A$1:$ZZ$501,$A50,AO$3)))</f>
        <v/>
      </c>
      <c r="AP50" s="124" t="str">
        <f>IF($B50="","",IF(AP$3=0,"n.b.",INDEX(SRC_Woningetalage!$A$1:$ZZ$501,$A50,AP$3)))</f>
        <v/>
      </c>
      <c r="AQ50" s="124" t="str">
        <f>IF($B50="","",IF(AQ$3=0,"n.b.",INDEX(SRC_Woningetalage!$A$1:$ZZ$501,$A50,AQ$3)))</f>
        <v/>
      </c>
      <c r="AR50" s="124" t="str">
        <f>IF($B50="","",IF(AR$3=0,"n.b.",INDEX(SRC_Woningetalage!$A$1:$ZZ$501,$A50,AR$3)))</f>
        <v/>
      </c>
      <c r="AS50" s="124" t="str">
        <f>IF($B50="","",IF(AS$3=0,"n.b.",INDEX(SRC_Woningetalage!$A$1:$ZZ$501,$A50,AS$3)))</f>
        <v/>
      </c>
      <c r="AT50" s="124" t="str">
        <f>IF($B50="","",IF(AT$3=0,"n.b.",INDEX(SRC_Woningetalage!$A$1:$ZZ$501,$A50,AT$3)))</f>
        <v/>
      </c>
      <c r="AU50" s="124" t="str">
        <f>IF($B50="","",IF(AU$3=0,"n.b.",INDEX(SRC_Woningetalage!$A$1:$ZZ$501,$A50,AU$3)))</f>
        <v/>
      </c>
      <c r="AV50" s="124" t="str">
        <f>IF($B50="","",IF(AV$3=0,"n.b.",INDEX(SRC_Woningetalage!$A$1:$ZZ$501,$A50,AV$3)))</f>
        <v/>
      </c>
      <c r="AW50" s="124" t="str">
        <f>IF($B50="","",IF(AW$3=0,"n.b.",INDEX(SRC_Woningetalage!$A$1:$ZZ$501,$A50,AW$3)))</f>
        <v/>
      </c>
      <c r="AX50" s="124" t="str">
        <f>IF($B50="","",IF(AX$3=0,"n.b.",INDEX(SRC_Woningetalage!$A$1:$ZZ$501,$A50,AX$3)))</f>
        <v/>
      </c>
      <c r="AY50" s="124" t="str">
        <f>IF($B50="","",IF(AY$3=0,"n.b.",INDEX(SRC_Woningetalage!$A$1:$ZZ$501,$A50,AY$3)))</f>
        <v/>
      </c>
      <c r="AZ50" s="124" t="str">
        <f>IF($B50="","",IF(AZ$3=0,"n.b.",INDEX(SRC_Woningetalage!$A$1:$ZZ$501,$A50,AZ$3)))</f>
        <v/>
      </c>
      <c r="BA50" s="124" t="str">
        <f>IF($B50="","",IF(BA$3=0,"n.b.",INDEX(SRC_Woningetalage!$A$1:$ZZ$501,$A50,BA$3)))</f>
        <v/>
      </c>
      <c r="BB50" s="124" t="str">
        <f>IF($B50="","",IF(BB$3=0,"n.b.",INDEX(SRC_Woningetalage!$A$1:$ZZ$501,$A50,BB$3)))</f>
        <v/>
      </c>
      <c r="BC50" s="124" t="str">
        <f>IF($B50="","",IFERROR(_xlfn.NUMBERVALUE(E50&amp;"",",","."),"n.b."))</f>
        <v/>
      </c>
      <c r="BD50" s="124" t="str">
        <f>IF($B50="","",IFERROR(_xlfn.NUMBERVALUE(M50&amp;"",",","."),"n.b."))</f>
        <v/>
      </c>
      <c r="BE50" s="124" t="str">
        <f>IF($B50="","",IFERROR(AB50+AC50+AD50,"n.b."))</f>
        <v/>
      </c>
      <c r="BF50" s="124" t="str">
        <f>IF($B50="","",IFERROR(AE50+AF50+AG50,"n.b."))</f>
        <v/>
      </c>
      <c r="BG50" s="124" t="str">
        <f>IF($B50="","",IFERROR(AH50+AI50+AJ50,"n.b."))</f>
        <v/>
      </c>
      <c r="BH50" s="124" t="str">
        <f>IF($B50="","",IFERROR(AK50+AL50+AM50,"n.b."))</f>
        <v/>
      </c>
      <c r="BI50" s="124" t="str">
        <f>IF($B50="","",IFERROR(SUMIF($AB$5:$AM$5,"&lt;="&amp;P_PeilMaand,AB50:AM50),"n.b."))</f>
        <v/>
      </c>
      <c r="BJ50" s="124" t="str">
        <f>IF($B50="","",IFERROR(SUM(AB50:AM50)-BI50,"n.b."))</f>
        <v/>
      </c>
      <c r="BK50" s="124" t="str">
        <f>IF($B50="","",IFERROR(IF(ABS(Q50-(T50+SUM(AB50:AM50)+AS50+AU50))&gt;P_Tol,1,0),1))</f>
        <v/>
      </c>
      <c r="BL50" s="124" t="str">
        <f>IF($B50="","",IFERROR(IF(ABS(AA50-(Q50-Z50))&gt;P_Tol,1,0),1))</f>
        <v/>
      </c>
      <c r="BM50" s="124" t="str">
        <f>IF($B50="","",IFERROR(IF(ABS(Z50-(T50+W50))&gt;P_Tol,1,0),1))</f>
        <v/>
      </c>
      <c r="BN50" s="124" t="str">
        <f>IF($B50="","",IFERROR(IF(ABS(W50-BI50)&gt;P_Tol,1,0),1))</f>
        <v/>
      </c>
      <c r="BO50" s="124" t="str">
        <f>IF($B50="","",IFERROR(IF(OR(ABS(R50+S50-T50)&gt;P_Tol,ABS(U50+V50-W50)&gt;P_Tol,ABS(X50+Y50-Z50)&gt;P_Tol),1,0),1))</f>
        <v/>
      </c>
      <c r="BP50" s="124" t="str">
        <f>IF($B50="","",IFERROR(IF(OR(ABS(AR50-SUM(AB50:AM50))&gt;P_Tol,ABS(AS50-(AN50+AO50+AP50+AQ50))&gt;P_Tol),1,0),1))</f>
        <v/>
      </c>
      <c r="BQ50" s="124" t="str">
        <f>IF($B50="","",IFERROR(IF(ABS(AT50)+ABS(AV50)+ABS(AW50)+ABS(AX50)+ABS(AY50)+ABS(AZ50)+ABS(BA50)+ABS(BB50)&gt;0,1,0),1))</f>
        <v/>
      </c>
      <c r="BR50" s="124" t="str">
        <f>IF($B50="","",COUNTIF(STG_ZPMW03!$B$6:$B$505,B50))</f>
        <v/>
      </c>
      <c r="BS50" s="124" t="str">
        <f>IF($B50="","",COUNTIF($B$6:$B$505,B50))</f>
        <v/>
      </c>
      <c r="BT50" s="124" t="str">
        <f>IF($B50="","",IF(BR50=0,0,IF(INDEX(STG_ZPMW03!$I$6:$I$505,MATCH(B50,STG_ZPMW03!$B$6:$B$505,0))=J50&amp;"",0,1)))</f>
        <v/>
      </c>
      <c r="BU50" s="124" t="str">
        <f>IF($B50="","",IFERROR(IF(ABS(INDEX(Mapping!$D$5:$D$104,MATCH(B50,Mapping!$A$5:$A$104,0))-Q50)&gt;P_Tol,1,0),0))</f>
        <v/>
      </c>
      <c r="BV50" s="124" t="str">
        <f>IF($B50="","",IFERROR(IF(AND(INDEX(Mapping!$G$5:$G$104,MATCH(B50,Mapping!$A$5:$A$104,0))="Nee",ABS(Q50)+ABS(Z50)+ABS(AR50)&gt;0),1,0),0))</f>
        <v/>
      </c>
      <c r="BW50" s="124" t="str">
        <f>IF($B50="","",IF(COUNTIF(Mapping!$A$5:$A$104,B50)&gt;0,1,0))</f>
        <v/>
      </c>
      <c r="BX50" s="124" t="str">
        <f>IF($B50="","",IF(BR50=0,COUNTIF($BR$6:BR50,0),""))</f>
        <v/>
      </c>
    </row>
    <row r="51">
      <c r="A51" s="15" t="n">
        <v>47</v>
      </c>
      <c r="B51" t="str">
        <f>IF(B$3=0,"",IF(INDEX(SRC_Woningetalage!$A$1:$ZZ$501,$A51,B$3)&amp;""="","",INDEX(SRC_Woningetalage!$A$1:$ZZ$501,$A51,B$3)&amp;""))</f>
        <v/>
      </c>
      <c r="C51" t="str">
        <f>IF($B51="","",IF(C$3=0,"n.b.",INDEX(SRC_Woningetalage!$A$1:$ZZ$501,$A51,C$3)))</f>
        <v/>
      </c>
      <c r="D51" t="str">
        <f>IF($B51="","",IF(D$3=0,"n.b.",INDEX(SRC_Woningetalage!$A$1:$ZZ$501,$A51,D$3)))</f>
        <v/>
      </c>
      <c r="E51" t="str">
        <f>IF($B51="","",IF(E$3=0,"n.b.",INDEX(SRC_Woningetalage!$A$1:$ZZ$501,$A51,E$3)))</f>
        <v/>
      </c>
      <c r="F51" t="str">
        <f>IF($B51="","",IF(F$3=0,"n.b.",INDEX(SRC_Woningetalage!$A$1:$ZZ$501,$A51,F$3)))</f>
        <v/>
      </c>
      <c r="G51" t="str">
        <f>IF($B51="","",IF(G$3=0,"n.b.",INDEX(SRC_Woningetalage!$A$1:$ZZ$501,$A51,G$3)))</f>
        <v/>
      </c>
      <c r="H51" t="str">
        <f>IF($B51="","",IF(H$3=0,"n.b.",INDEX(SRC_Woningetalage!$A$1:$ZZ$501,$A51,H$3)))</f>
        <v/>
      </c>
      <c r="I51" t="str">
        <f>IF($B51="","",IF(I$3=0,"n.b.",INDEX(SRC_Woningetalage!$A$1:$ZZ$501,$A51,I$3)))</f>
        <v/>
      </c>
      <c r="J51" t="str">
        <f>IF($B51="","",IF(J$3=0,"n.b.",INDEX(SRC_Woningetalage!$A$1:$ZZ$501,$A51,J$3)))</f>
        <v/>
      </c>
      <c r="K51" t="str">
        <f>IF($B51="","",IF(K$3=0,"n.b.",INDEX(SRC_Woningetalage!$A$1:$ZZ$501,$A51,K$3)))</f>
        <v/>
      </c>
      <c r="L51" t="str">
        <f>IF($B51="","",IF(L$3=0,"n.b.",INDEX(SRC_Woningetalage!$A$1:$ZZ$501,$A51,L$3)))</f>
        <v/>
      </c>
      <c r="M51" t="str">
        <f>IF($B51="","",IF(M$3=0,"n.b.",INDEX(SRC_Woningetalage!$A$1:$ZZ$501,$A51,M$3)))</f>
        <v/>
      </c>
      <c r="N51" t="str">
        <f>IF($B51="","",IF(N$3=0,"n.b.",INDEX(SRC_Woningetalage!$A$1:$ZZ$501,$A51,N$3)))</f>
        <v/>
      </c>
      <c r="O51" t="str">
        <f>IF($B51="","",IF(O$3=0,"n.b.",INDEX(SRC_Woningetalage!$A$1:$ZZ$501,$A51,O$3)))</f>
        <v/>
      </c>
      <c r="P51" t="str">
        <f>IF($B51="","",IF(P$3=0,"n.b.",INDEX(SRC_Woningetalage!$A$1:$ZZ$501,$A51,P$3)))</f>
        <v/>
      </c>
      <c r="Q51" s="124" t="str">
        <f>IF($B51="","",IF(Q$3=0,"n.b.",INDEX(SRC_Woningetalage!$A$1:$ZZ$501,$A51,Q$3)))</f>
        <v/>
      </c>
      <c r="R51" s="124" t="str">
        <f>IF($B51="","",IF(R$3=0,"n.b.",INDEX(SRC_Woningetalage!$A$1:$ZZ$501,$A51,R$3)))</f>
        <v/>
      </c>
      <c r="S51" s="124" t="str">
        <f>IF($B51="","",IF(S$3=0,"n.b.",INDEX(SRC_Woningetalage!$A$1:$ZZ$501,$A51,S$3)))</f>
        <v/>
      </c>
      <c r="T51" s="124" t="str">
        <f>IF($B51="","",IF(T$3=0,"n.b.",INDEX(SRC_Woningetalage!$A$1:$ZZ$501,$A51,T$3)))</f>
        <v/>
      </c>
      <c r="U51" s="124" t="str">
        <f>IF($B51="","",IF(U$3=0,"n.b.",INDEX(SRC_Woningetalage!$A$1:$ZZ$501,$A51,U$3)))</f>
        <v/>
      </c>
      <c r="V51" s="124" t="str">
        <f>IF($B51="","",IF(V$3=0,"n.b.",INDEX(SRC_Woningetalage!$A$1:$ZZ$501,$A51,V$3)))</f>
        <v/>
      </c>
      <c r="W51" s="124" t="str">
        <f>IF($B51="","",IF(W$3=0,"n.b.",INDEX(SRC_Woningetalage!$A$1:$ZZ$501,$A51,W$3)))</f>
        <v/>
      </c>
      <c r="X51" s="124" t="str">
        <f>IF($B51="","",IF(X$3=0,"n.b.",INDEX(SRC_Woningetalage!$A$1:$ZZ$501,$A51,X$3)))</f>
        <v/>
      </c>
      <c r="Y51" s="124" t="str">
        <f>IF($B51="","",IF(Y$3=0,"n.b.",INDEX(SRC_Woningetalage!$A$1:$ZZ$501,$A51,Y$3)))</f>
        <v/>
      </c>
      <c r="Z51" s="124" t="str">
        <f>IF($B51="","",IF(Z$3=0,"n.b.",INDEX(SRC_Woningetalage!$A$1:$ZZ$501,$A51,Z$3)))</f>
        <v/>
      </c>
      <c r="AA51" s="124" t="str">
        <f>IF($B51="","",IF(AA$3=0,"n.b.",INDEX(SRC_Woningetalage!$A$1:$ZZ$501,$A51,AA$3)))</f>
        <v/>
      </c>
      <c r="AB51" s="124" t="str">
        <f>IF($B51="","",IF(AB$3=0,"n.b.",INDEX(SRC_Woningetalage!$A$1:$ZZ$501,$A51,AB$3)))</f>
        <v/>
      </c>
      <c r="AC51" s="124" t="str">
        <f>IF($B51="","",IF(AC$3=0,"n.b.",INDEX(SRC_Woningetalage!$A$1:$ZZ$501,$A51,AC$3)))</f>
        <v/>
      </c>
      <c r="AD51" s="124" t="str">
        <f>IF($B51="","",IF(AD$3=0,"n.b.",INDEX(SRC_Woningetalage!$A$1:$ZZ$501,$A51,AD$3)))</f>
        <v/>
      </c>
      <c r="AE51" s="124" t="str">
        <f>IF($B51="","",IF(AE$3=0,"n.b.",INDEX(SRC_Woningetalage!$A$1:$ZZ$501,$A51,AE$3)))</f>
        <v/>
      </c>
      <c r="AF51" s="124" t="str">
        <f>IF($B51="","",IF(AF$3=0,"n.b.",INDEX(SRC_Woningetalage!$A$1:$ZZ$501,$A51,AF$3)))</f>
        <v/>
      </c>
      <c r="AG51" s="124" t="str">
        <f>IF($B51="","",IF(AG$3=0,"n.b.",INDEX(SRC_Woningetalage!$A$1:$ZZ$501,$A51,AG$3)))</f>
        <v/>
      </c>
      <c r="AH51" s="124" t="str">
        <f>IF($B51="","",IF(AH$3=0,"n.b.",INDEX(SRC_Woningetalage!$A$1:$ZZ$501,$A51,AH$3)))</f>
        <v/>
      </c>
      <c r="AI51" s="124" t="str">
        <f>IF($B51="","",IF(AI$3=0,"n.b.",INDEX(SRC_Woningetalage!$A$1:$ZZ$501,$A51,AI$3)))</f>
        <v/>
      </c>
      <c r="AJ51" s="124" t="str">
        <f>IF($B51="","",IF(AJ$3=0,"n.b.",INDEX(SRC_Woningetalage!$A$1:$ZZ$501,$A51,AJ$3)))</f>
        <v/>
      </c>
      <c r="AK51" s="124" t="str">
        <f>IF($B51="","",IF(AK$3=0,"n.b.",INDEX(SRC_Woningetalage!$A$1:$ZZ$501,$A51,AK$3)))</f>
        <v/>
      </c>
      <c r="AL51" s="124" t="str">
        <f>IF($B51="","",IF(AL$3=0,"n.b.",INDEX(SRC_Woningetalage!$A$1:$ZZ$501,$A51,AL$3)))</f>
        <v/>
      </c>
      <c r="AM51" s="124" t="str">
        <f>IF($B51="","",IF(AM$3=0,"n.b.",INDEX(SRC_Woningetalage!$A$1:$ZZ$501,$A51,AM$3)))</f>
        <v/>
      </c>
      <c r="AN51" s="124" t="str">
        <f>IF($B51="","",IF(AN$3=0,"n.b.",INDEX(SRC_Woningetalage!$A$1:$ZZ$501,$A51,AN$3)))</f>
        <v/>
      </c>
      <c r="AO51" s="124" t="str">
        <f>IF($B51="","",IF(AO$3=0,"n.b.",INDEX(SRC_Woningetalage!$A$1:$ZZ$501,$A51,AO$3)))</f>
        <v/>
      </c>
      <c r="AP51" s="124" t="str">
        <f>IF($B51="","",IF(AP$3=0,"n.b.",INDEX(SRC_Woningetalage!$A$1:$ZZ$501,$A51,AP$3)))</f>
        <v/>
      </c>
      <c r="AQ51" s="124" t="str">
        <f>IF($B51="","",IF(AQ$3=0,"n.b.",INDEX(SRC_Woningetalage!$A$1:$ZZ$501,$A51,AQ$3)))</f>
        <v/>
      </c>
      <c r="AR51" s="124" t="str">
        <f>IF($B51="","",IF(AR$3=0,"n.b.",INDEX(SRC_Woningetalage!$A$1:$ZZ$501,$A51,AR$3)))</f>
        <v/>
      </c>
      <c r="AS51" s="124" t="str">
        <f>IF($B51="","",IF(AS$3=0,"n.b.",INDEX(SRC_Woningetalage!$A$1:$ZZ$501,$A51,AS$3)))</f>
        <v/>
      </c>
      <c r="AT51" s="124" t="str">
        <f>IF($B51="","",IF(AT$3=0,"n.b.",INDEX(SRC_Woningetalage!$A$1:$ZZ$501,$A51,AT$3)))</f>
        <v/>
      </c>
      <c r="AU51" s="124" t="str">
        <f>IF($B51="","",IF(AU$3=0,"n.b.",INDEX(SRC_Woningetalage!$A$1:$ZZ$501,$A51,AU$3)))</f>
        <v/>
      </c>
      <c r="AV51" s="124" t="str">
        <f>IF($B51="","",IF(AV$3=0,"n.b.",INDEX(SRC_Woningetalage!$A$1:$ZZ$501,$A51,AV$3)))</f>
        <v/>
      </c>
      <c r="AW51" s="124" t="str">
        <f>IF($B51="","",IF(AW$3=0,"n.b.",INDEX(SRC_Woningetalage!$A$1:$ZZ$501,$A51,AW$3)))</f>
        <v/>
      </c>
      <c r="AX51" s="124" t="str">
        <f>IF($B51="","",IF(AX$3=0,"n.b.",INDEX(SRC_Woningetalage!$A$1:$ZZ$501,$A51,AX$3)))</f>
        <v/>
      </c>
      <c r="AY51" s="124" t="str">
        <f>IF($B51="","",IF(AY$3=0,"n.b.",INDEX(SRC_Woningetalage!$A$1:$ZZ$501,$A51,AY$3)))</f>
        <v/>
      </c>
      <c r="AZ51" s="124" t="str">
        <f>IF($B51="","",IF(AZ$3=0,"n.b.",INDEX(SRC_Woningetalage!$A$1:$ZZ$501,$A51,AZ$3)))</f>
        <v/>
      </c>
      <c r="BA51" s="124" t="str">
        <f>IF($B51="","",IF(BA$3=0,"n.b.",INDEX(SRC_Woningetalage!$A$1:$ZZ$501,$A51,BA$3)))</f>
        <v/>
      </c>
      <c r="BB51" s="124" t="str">
        <f>IF($B51="","",IF(BB$3=0,"n.b.",INDEX(SRC_Woningetalage!$A$1:$ZZ$501,$A51,BB$3)))</f>
        <v/>
      </c>
      <c r="BC51" s="124" t="str">
        <f>IF($B51="","",IFERROR(_xlfn.NUMBERVALUE(E51&amp;"",",","."),"n.b."))</f>
        <v/>
      </c>
      <c r="BD51" s="124" t="str">
        <f>IF($B51="","",IFERROR(_xlfn.NUMBERVALUE(M51&amp;"",",","."),"n.b."))</f>
        <v/>
      </c>
      <c r="BE51" s="124" t="str">
        <f>IF($B51="","",IFERROR(AB51+AC51+AD51,"n.b."))</f>
        <v/>
      </c>
      <c r="BF51" s="124" t="str">
        <f>IF($B51="","",IFERROR(AE51+AF51+AG51,"n.b."))</f>
        <v/>
      </c>
      <c r="BG51" s="124" t="str">
        <f>IF($B51="","",IFERROR(AH51+AI51+AJ51,"n.b."))</f>
        <v/>
      </c>
      <c r="BH51" s="124" t="str">
        <f>IF($B51="","",IFERROR(AK51+AL51+AM51,"n.b."))</f>
        <v/>
      </c>
      <c r="BI51" s="124" t="str">
        <f>IF($B51="","",IFERROR(SUMIF($AB$5:$AM$5,"&lt;="&amp;P_PeilMaand,AB51:AM51),"n.b."))</f>
        <v/>
      </c>
      <c r="BJ51" s="124" t="str">
        <f>IF($B51="","",IFERROR(SUM(AB51:AM51)-BI51,"n.b."))</f>
        <v/>
      </c>
      <c r="BK51" s="124" t="str">
        <f>IF($B51="","",IFERROR(IF(ABS(Q51-(T51+SUM(AB51:AM51)+AS51+AU51))&gt;P_Tol,1,0),1))</f>
        <v/>
      </c>
      <c r="BL51" s="124" t="str">
        <f>IF($B51="","",IFERROR(IF(ABS(AA51-(Q51-Z51))&gt;P_Tol,1,0),1))</f>
        <v/>
      </c>
      <c r="BM51" s="124" t="str">
        <f>IF($B51="","",IFERROR(IF(ABS(Z51-(T51+W51))&gt;P_Tol,1,0),1))</f>
        <v/>
      </c>
      <c r="BN51" s="124" t="str">
        <f>IF($B51="","",IFERROR(IF(ABS(W51-BI51)&gt;P_Tol,1,0),1))</f>
        <v/>
      </c>
      <c r="BO51" s="124" t="str">
        <f>IF($B51="","",IFERROR(IF(OR(ABS(R51+S51-T51)&gt;P_Tol,ABS(U51+V51-W51)&gt;P_Tol,ABS(X51+Y51-Z51)&gt;P_Tol),1,0),1))</f>
        <v/>
      </c>
      <c r="BP51" s="124" t="str">
        <f>IF($B51="","",IFERROR(IF(OR(ABS(AR51-SUM(AB51:AM51))&gt;P_Tol,ABS(AS51-(AN51+AO51+AP51+AQ51))&gt;P_Tol),1,0),1))</f>
        <v/>
      </c>
      <c r="BQ51" s="124" t="str">
        <f>IF($B51="","",IFERROR(IF(ABS(AT51)+ABS(AV51)+ABS(AW51)+ABS(AX51)+ABS(AY51)+ABS(AZ51)+ABS(BA51)+ABS(BB51)&gt;0,1,0),1))</f>
        <v/>
      </c>
      <c r="BR51" s="124" t="str">
        <f>IF($B51="","",COUNTIF(STG_ZPMW03!$B$6:$B$505,B51))</f>
        <v/>
      </c>
      <c r="BS51" s="124" t="str">
        <f>IF($B51="","",COUNTIF($B$6:$B$505,B51))</f>
        <v/>
      </c>
      <c r="BT51" s="124" t="str">
        <f>IF($B51="","",IF(BR51=0,0,IF(INDEX(STG_ZPMW03!$I$6:$I$505,MATCH(B51,STG_ZPMW03!$B$6:$B$505,0))=J51&amp;"",0,1)))</f>
        <v/>
      </c>
      <c r="BU51" s="124" t="str">
        <f>IF($B51="","",IFERROR(IF(ABS(INDEX(Mapping!$D$5:$D$104,MATCH(B51,Mapping!$A$5:$A$104,0))-Q51)&gt;P_Tol,1,0),0))</f>
        <v/>
      </c>
      <c r="BV51" s="124" t="str">
        <f>IF($B51="","",IFERROR(IF(AND(INDEX(Mapping!$G$5:$G$104,MATCH(B51,Mapping!$A$5:$A$104,0))="Nee",ABS(Q51)+ABS(Z51)+ABS(AR51)&gt;0),1,0),0))</f>
        <v/>
      </c>
      <c r="BW51" s="124" t="str">
        <f>IF($B51="","",IF(COUNTIF(Mapping!$A$5:$A$104,B51)&gt;0,1,0))</f>
        <v/>
      </c>
      <c r="BX51" s="124" t="str">
        <f>IF($B51="","",IF(BR51=0,COUNTIF($BR$6:BR51,0),""))</f>
        <v/>
      </c>
    </row>
    <row r="52">
      <c r="A52" s="15" t="n">
        <v>48</v>
      </c>
      <c r="B52" t="str">
        <f>IF(B$3=0,"",IF(INDEX(SRC_Woningetalage!$A$1:$ZZ$501,$A52,B$3)&amp;""="","",INDEX(SRC_Woningetalage!$A$1:$ZZ$501,$A52,B$3)&amp;""))</f>
        <v/>
      </c>
      <c r="C52" t="str">
        <f>IF($B52="","",IF(C$3=0,"n.b.",INDEX(SRC_Woningetalage!$A$1:$ZZ$501,$A52,C$3)))</f>
        <v/>
      </c>
      <c r="D52" t="str">
        <f>IF($B52="","",IF(D$3=0,"n.b.",INDEX(SRC_Woningetalage!$A$1:$ZZ$501,$A52,D$3)))</f>
        <v/>
      </c>
      <c r="E52" t="str">
        <f>IF($B52="","",IF(E$3=0,"n.b.",INDEX(SRC_Woningetalage!$A$1:$ZZ$501,$A52,E$3)))</f>
        <v/>
      </c>
      <c r="F52" t="str">
        <f>IF($B52="","",IF(F$3=0,"n.b.",INDEX(SRC_Woningetalage!$A$1:$ZZ$501,$A52,F$3)))</f>
        <v/>
      </c>
      <c r="G52" t="str">
        <f>IF($B52="","",IF(G$3=0,"n.b.",INDEX(SRC_Woningetalage!$A$1:$ZZ$501,$A52,G$3)))</f>
        <v/>
      </c>
      <c r="H52" t="str">
        <f>IF($B52="","",IF(H$3=0,"n.b.",INDEX(SRC_Woningetalage!$A$1:$ZZ$501,$A52,H$3)))</f>
        <v/>
      </c>
      <c r="I52" t="str">
        <f>IF($B52="","",IF(I$3=0,"n.b.",INDEX(SRC_Woningetalage!$A$1:$ZZ$501,$A52,I$3)))</f>
        <v/>
      </c>
      <c r="J52" t="str">
        <f>IF($B52="","",IF(J$3=0,"n.b.",INDEX(SRC_Woningetalage!$A$1:$ZZ$501,$A52,J$3)))</f>
        <v/>
      </c>
      <c r="K52" t="str">
        <f>IF($B52="","",IF(K$3=0,"n.b.",INDEX(SRC_Woningetalage!$A$1:$ZZ$501,$A52,K$3)))</f>
        <v/>
      </c>
      <c r="L52" t="str">
        <f>IF($B52="","",IF(L$3=0,"n.b.",INDEX(SRC_Woningetalage!$A$1:$ZZ$501,$A52,L$3)))</f>
        <v/>
      </c>
      <c r="M52" t="str">
        <f>IF($B52="","",IF(M$3=0,"n.b.",INDEX(SRC_Woningetalage!$A$1:$ZZ$501,$A52,M$3)))</f>
        <v/>
      </c>
      <c r="N52" t="str">
        <f>IF($B52="","",IF(N$3=0,"n.b.",INDEX(SRC_Woningetalage!$A$1:$ZZ$501,$A52,N$3)))</f>
        <v/>
      </c>
      <c r="O52" t="str">
        <f>IF($B52="","",IF(O$3=0,"n.b.",INDEX(SRC_Woningetalage!$A$1:$ZZ$501,$A52,O$3)))</f>
        <v/>
      </c>
      <c r="P52" t="str">
        <f>IF($B52="","",IF(P$3=0,"n.b.",INDEX(SRC_Woningetalage!$A$1:$ZZ$501,$A52,P$3)))</f>
        <v/>
      </c>
      <c r="Q52" s="124" t="str">
        <f>IF($B52="","",IF(Q$3=0,"n.b.",INDEX(SRC_Woningetalage!$A$1:$ZZ$501,$A52,Q$3)))</f>
        <v/>
      </c>
      <c r="R52" s="124" t="str">
        <f>IF($B52="","",IF(R$3=0,"n.b.",INDEX(SRC_Woningetalage!$A$1:$ZZ$501,$A52,R$3)))</f>
        <v/>
      </c>
      <c r="S52" s="124" t="str">
        <f>IF($B52="","",IF(S$3=0,"n.b.",INDEX(SRC_Woningetalage!$A$1:$ZZ$501,$A52,S$3)))</f>
        <v/>
      </c>
      <c r="T52" s="124" t="str">
        <f>IF($B52="","",IF(T$3=0,"n.b.",INDEX(SRC_Woningetalage!$A$1:$ZZ$501,$A52,T$3)))</f>
        <v/>
      </c>
      <c r="U52" s="124" t="str">
        <f>IF($B52="","",IF(U$3=0,"n.b.",INDEX(SRC_Woningetalage!$A$1:$ZZ$501,$A52,U$3)))</f>
        <v/>
      </c>
      <c r="V52" s="124" t="str">
        <f>IF($B52="","",IF(V$3=0,"n.b.",INDEX(SRC_Woningetalage!$A$1:$ZZ$501,$A52,V$3)))</f>
        <v/>
      </c>
      <c r="W52" s="124" t="str">
        <f>IF($B52="","",IF(W$3=0,"n.b.",INDEX(SRC_Woningetalage!$A$1:$ZZ$501,$A52,W$3)))</f>
        <v/>
      </c>
      <c r="X52" s="124" t="str">
        <f>IF($B52="","",IF(X$3=0,"n.b.",INDEX(SRC_Woningetalage!$A$1:$ZZ$501,$A52,X$3)))</f>
        <v/>
      </c>
      <c r="Y52" s="124" t="str">
        <f>IF($B52="","",IF(Y$3=0,"n.b.",INDEX(SRC_Woningetalage!$A$1:$ZZ$501,$A52,Y$3)))</f>
        <v/>
      </c>
      <c r="Z52" s="124" t="str">
        <f>IF($B52="","",IF(Z$3=0,"n.b.",INDEX(SRC_Woningetalage!$A$1:$ZZ$501,$A52,Z$3)))</f>
        <v/>
      </c>
      <c r="AA52" s="124" t="str">
        <f>IF($B52="","",IF(AA$3=0,"n.b.",INDEX(SRC_Woningetalage!$A$1:$ZZ$501,$A52,AA$3)))</f>
        <v/>
      </c>
      <c r="AB52" s="124" t="str">
        <f>IF($B52="","",IF(AB$3=0,"n.b.",INDEX(SRC_Woningetalage!$A$1:$ZZ$501,$A52,AB$3)))</f>
        <v/>
      </c>
      <c r="AC52" s="124" t="str">
        <f>IF($B52="","",IF(AC$3=0,"n.b.",INDEX(SRC_Woningetalage!$A$1:$ZZ$501,$A52,AC$3)))</f>
        <v/>
      </c>
      <c r="AD52" s="124" t="str">
        <f>IF($B52="","",IF(AD$3=0,"n.b.",INDEX(SRC_Woningetalage!$A$1:$ZZ$501,$A52,AD$3)))</f>
        <v/>
      </c>
      <c r="AE52" s="124" t="str">
        <f>IF($B52="","",IF(AE$3=0,"n.b.",INDEX(SRC_Woningetalage!$A$1:$ZZ$501,$A52,AE$3)))</f>
        <v/>
      </c>
      <c r="AF52" s="124" t="str">
        <f>IF($B52="","",IF(AF$3=0,"n.b.",INDEX(SRC_Woningetalage!$A$1:$ZZ$501,$A52,AF$3)))</f>
        <v/>
      </c>
      <c r="AG52" s="124" t="str">
        <f>IF($B52="","",IF(AG$3=0,"n.b.",INDEX(SRC_Woningetalage!$A$1:$ZZ$501,$A52,AG$3)))</f>
        <v/>
      </c>
      <c r="AH52" s="124" t="str">
        <f>IF($B52="","",IF(AH$3=0,"n.b.",INDEX(SRC_Woningetalage!$A$1:$ZZ$501,$A52,AH$3)))</f>
        <v/>
      </c>
      <c r="AI52" s="124" t="str">
        <f>IF($B52="","",IF(AI$3=0,"n.b.",INDEX(SRC_Woningetalage!$A$1:$ZZ$501,$A52,AI$3)))</f>
        <v/>
      </c>
      <c r="AJ52" s="124" t="str">
        <f>IF($B52="","",IF(AJ$3=0,"n.b.",INDEX(SRC_Woningetalage!$A$1:$ZZ$501,$A52,AJ$3)))</f>
        <v/>
      </c>
      <c r="AK52" s="124" t="str">
        <f>IF($B52="","",IF(AK$3=0,"n.b.",INDEX(SRC_Woningetalage!$A$1:$ZZ$501,$A52,AK$3)))</f>
        <v/>
      </c>
      <c r="AL52" s="124" t="str">
        <f>IF($B52="","",IF(AL$3=0,"n.b.",INDEX(SRC_Woningetalage!$A$1:$ZZ$501,$A52,AL$3)))</f>
        <v/>
      </c>
      <c r="AM52" s="124" t="str">
        <f>IF($B52="","",IF(AM$3=0,"n.b.",INDEX(SRC_Woningetalage!$A$1:$ZZ$501,$A52,AM$3)))</f>
        <v/>
      </c>
      <c r="AN52" s="124" t="str">
        <f>IF($B52="","",IF(AN$3=0,"n.b.",INDEX(SRC_Woningetalage!$A$1:$ZZ$501,$A52,AN$3)))</f>
        <v/>
      </c>
      <c r="AO52" s="124" t="str">
        <f>IF($B52="","",IF(AO$3=0,"n.b.",INDEX(SRC_Woningetalage!$A$1:$ZZ$501,$A52,AO$3)))</f>
        <v/>
      </c>
      <c r="AP52" s="124" t="str">
        <f>IF($B52="","",IF(AP$3=0,"n.b.",INDEX(SRC_Woningetalage!$A$1:$ZZ$501,$A52,AP$3)))</f>
        <v/>
      </c>
      <c r="AQ52" s="124" t="str">
        <f>IF($B52="","",IF(AQ$3=0,"n.b.",INDEX(SRC_Woningetalage!$A$1:$ZZ$501,$A52,AQ$3)))</f>
        <v/>
      </c>
      <c r="AR52" s="124" t="str">
        <f>IF($B52="","",IF(AR$3=0,"n.b.",INDEX(SRC_Woningetalage!$A$1:$ZZ$501,$A52,AR$3)))</f>
        <v/>
      </c>
      <c r="AS52" s="124" t="str">
        <f>IF($B52="","",IF(AS$3=0,"n.b.",INDEX(SRC_Woningetalage!$A$1:$ZZ$501,$A52,AS$3)))</f>
        <v/>
      </c>
      <c r="AT52" s="124" t="str">
        <f>IF($B52="","",IF(AT$3=0,"n.b.",INDEX(SRC_Woningetalage!$A$1:$ZZ$501,$A52,AT$3)))</f>
        <v/>
      </c>
      <c r="AU52" s="124" t="str">
        <f>IF($B52="","",IF(AU$3=0,"n.b.",INDEX(SRC_Woningetalage!$A$1:$ZZ$501,$A52,AU$3)))</f>
        <v/>
      </c>
      <c r="AV52" s="124" t="str">
        <f>IF($B52="","",IF(AV$3=0,"n.b.",INDEX(SRC_Woningetalage!$A$1:$ZZ$501,$A52,AV$3)))</f>
        <v/>
      </c>
      <c r="AW52" s="124" t="str">
        <f>IF($B52="","",IF(AW$3=0,"n.b.",INDEX(SRC_Woningetalage!$A$1:$ZZ$501,$A52,AW$3)))</f>
        <v/>
      </c>
      <c r="AX52" s="124" t="str">
        <f>IF($B52="","",IF(AX$3=0,"n.b.",INDEX(SRC_Woningetalage!$A$1:$ZZ$501,$A52,AX$3)))</f>
        <v/>
      </c>
      <c r="AY52" s="124" t="str">
        <f>IF($B52="","",IF(AY$3=0,"n.b.",INDEX(SRC_Woningetalage!$A$1:$ZZ$501,$A52,AY$3)))</f>
        <v/>
      </c>
      <c r="AZ52" s="124" t="str">
        <f>IF($B52="","",IF(AZ$3=0,"n.b.",INDEX(SRC_Woningetalage!$A$1:$ZZ$501,$A52,AZ$3)))</f>
        <v/>
      </c>
      <c r="BA52" s="124" t="str">
        <f>IF($B52="","",IF(BA$3=0,"n.b.",INDEX(SRC_Woningetalage!$A$1:$ZZ$501,$A52,BA$3)))</f>
        <v/>
      </c>
      <c r="BB52" s="124" t="str">
        <f>IF($B52="","",IF(BB$3=0,"n.b.",INDEX(SRC_Woningetalage!$A$1:$ZZ$501,$A52,BB$3)))</f>
        <v/>
      </c>
      <c r="BC52" s="124" t="str">
        <f>IF($B52="","",IFERROR(_xlfn.NUMBERVALUE(E52&amp;"",",","."),"n.b."))</f>
        <v/>
      </c>
      <c r="BD52" s="124" t="str">
        <f>IF($B52="","",IFERROR(_xlfn.NUMBERVALUE(M52&amp;"",",","."),"n.b."))</f>
        <v/>
      </c>
      <c r="BE52" s="124" t="str">
        <f>IF($B52="","",IFERROR(AB52+AC52+AD52,"n.b."))</f>
        <v/>
      </c>
      <c r="BF52" s="124" t="str">
        <f>IF($B52="","",IFERROR(AE52+AF52+AG52,"n.b."))</f>
        <v/>
      </c>
      <c r="BG52" s="124" t="str">
        <f>IF($B52="","",IFERROR(AH52+AI52+AJ52,"n.b."))</f>
        <v/>
      </c>
      <c r="BH52" s="124" t="str">
        <f>IF($B52="","",IFERROR(AK52+AL52+AM52,"n.b."))</f>
        <v/>
      </c>
      <c r="BI52" s="124" t="str">
        <f>IF($B52="","",IFERROR(SUMIF($AB$5:$AM$5,"&lt;="&amp;P_PeilMaand,AB52:AM52),"n.b."))</f>
        <v/>
      </c>
      <c r="BJ52" s="124" t="str">
        <f>IF($B52="","",IFERROR(SUM(AB52:AM52)-BI52,"n.b."))</f>
        <v/>
      </c>
      <c r="BK52" s="124" t="str">
        <f>IF($B52="","",IFERROR(IF(ABS(Q52-(T52+SUM(AB52:AM52)+AS52+AU52))&gt;P_Tol,1,0),1))</f>
        <v/>
      </c>
      <c r="BL52" s="124" t="str">
        <f>IF($B52="","",IFERROR(IF(ABS(AA52-(Q52-Z52))&gt;P_Tol,1,0),1))</f>
        <v/>
      </c>
      <c r="BM52" s="124" t="str">
        <f>IF($B52="","",IFERROR(IF(ABS(Z52-(T52+W52))&gt;P_Tol,1,0),1))</f>
        <v/>
      </c>
      <c r="BN52" s="124" t="str">
        <f>IF($B52="","",IFERROR(IF(ABS(W52-BI52)&gt;P_Tol,1,0),1))</f>
        <v/>
      </c>
      <c r="BO52" s="124" t="str">
        <f>IF($B52="","",IFERROR(IF(OR(ABS(R52+S52-T52)&gt;P_Tol,ABS(U52+V52-W52)&gt;P_Tol,ABS(X52+Y52-Z52)&gt;P_Tol),1,0),1))</f>
        <v/>
      </c>
      <c r="BP52" s="124" t="str">
        <f>IF($B52="","",IFERROR(IF(OR(ABS(AR52-SUM(AB52:AM52))&gt;P_Tol,ABS(AS52-(AN52+AO52+AP52+AQ52))&gt;P_Tol),1,0),1))</f>
        <v/>
      </c>
      <c r="BQ52" s="124" t="str">
        <f>IF($B52="","",IFERROR(IF(ABS(AT52)+ABS(AV52)+ABS(AW52)+ABS(AX52)+ABS(AY52)+ABS(AZ52)+ABS(BA52)+ABS(BB52)&gt;0,1,0),1))</f>
        <v/>
      </c>
      <c r="BR52" s="124" t="str">
        <f>IF($B52="","",COUNTIF(STG_ZPMW03!$B$6:$B$505,B52))</f>
        <v/>
      </c>
      <c r="BS52" s="124" t="str">
        <f>IF($B52="","",COUNTIF($B$6:$B$505,B52))</f>
        <v/>
      </c>
      <c r="BT52" s="124" t="str">
        <f>IF($B52="","",IF(BR52=0,0,IF(INDEX(STG_ZPMW03!$I$6:$I$505,MATCH(B52,STG_ZPMW03!$B$6:$B$505,0))=J52&amp;"",0,1)))</f>
        <v/>
      </c>
      <c r="BU52" s="124" t="str">
        <f>IF($B52="","",IFERROR(IF(ABS(INDEX(Mapping!$D$5:$D$104,MATCH(B52,Mapping!$A$5:$A$104,0))-Q52)&gt;P_Tol,1,0),0))</f>
        <v/>
      </c>
      <c r="BV52" s="124" t="str">
        <f>IF($B52="","",IFERROR(IF(AND(INDEX(Mapping!$G$5:$G$104,MATCH(B52,Mapping!$A$5:$A$104,0))="Nee",ABS(Q52)+ABS(Z52)+ABS(AR52)&gt;0),1,0),0))</f>
        <v/>
      </c>
      <c r="BW52" s="124" t="str">
        <f>IF($B52="","",IF(COUNTIF(Mapping!$A$5:$A$104,B52)&gt;0,1,0))</f>
        <v/>
      </c>
      <c r="BX52" s="124" t="str">
        <f>IF($B52="","",IF(BR52=0,COUNTIF($BR$6:BR52,0),""))</f>
        <v/>
      </c>
    </row>
    <row r="53">
      <c r="A53" s="15" t="n">
        <v>49</v>
      </c>
      <c r="B53" t="str">
        <f>IF(B$3=0,"",IF(INDEX(SRC_Woningetalage!$A$1:$ZZ$501,$A53,B$3)&amp;""="","",INDEX(SRC_Woningetalage!$A$1:$ZZ$501,$A53,B$3)&amp;""))</f>
        <v/>
      </c>
      <c r="C53" t="str">
        <f>IF($B53="","",IF(C$3=0,"n.b.",INDEX(SRC_Woningetalage!$A$1:$ZZ$501,$A53,C$3)))</f>
        <v/>
      </c>
      <c r="D53" t="str">
        <f>IF($B53="","",IF(D$3=0,"n.b.",INDEX(SRC_Woningetalage!$A$1:$ZZ$501,$A53,D$3)))</f>
        <v/>
      </c>
      <c r="E53" t="str">
        <f>IF($B53="","",IF(E$3=0,"n.b.",INDEX(SRC_Woningetalage!$A$1:$ZZ$501,$A53,E$3)))</f>
        <v/>
      </c>
      <c r="F53" t="str">
        <f>IF($B53="","",IF(F$3=0,"n.b.",INDEX(SRC_Woningetalage!$A$1:$ZZ$501,$A53,F$3)))</f>
        <v/>
      </c>
      <c r="G53" t="str">
        <f>IF($B53="","",IF(G$3=0,"n.b.",INDEX(SRC_Woningetalage!$A$1:$ZZ$501,$A53,G$3)))</f>
        <v/>
      </c>
      <c r="H53" t="str">
        <f>IF($B53="","",IF(H$3=0,"n.b.",INDEX(SRC_Woningetalage!$A$1:$ZZ$501,$A53,H$3)))</f>
        <v/>
      </c>
      <c r="I53" t="str">
        <f>IF($B53="","",IF(I$3=0,"n.b.",INDEX(SRC_Woningetalage!$A$1:$ZZ$501,$A53,I$3)))</f>
        <v/>
      </c>
      <c r="J53" t="str">
        <f>IF($B53="","",IF(J$3=0,"n.b.",INDEX(SRC_Woningetalage!$A$1:$ZZ$501,$A53,J$3)))</f>
        <v/>
      </c>
      <c r="K53" t="str">
        <f>IF($B53="","",IF(K$3=0,"n.b.",INDEX(SRC_Woningetalage!$A$1:$ZZ$501,$A53,K$3)))</f>
        <v/>
      </c>
      <c r="L53" t="str">
        <f>IF($B53="","",IF(L$3=0,"n.b.",INDEX(SRC_Woningetalage!$A$1:$ZZ$501,$A53,L$3)))</f>
        <v/>
      </c>
      <c r="M53" t="str">
        <f>IF($B53="","",IF(M$3=0,"n.b.",INDEX(SRC_Woningetalage!$A$1:$ZZ$501,$A53,M$3)))</f>
        <v/>
      </c>
      <c r="N53" t="str">
        <f>IF($B53="","",IF(N$3=0,"n.b.",INDEX(SRC_Woningetalage!$A$1:$ZZ$501,$A53,N$3)))</f>
        <v/>
      </c>
      <c r="O53" t="str">
        <f>IF($B53="","",IF(O$3=0,"n.b.",INDEX(SRC_Woningetalage!$A$1:$ZZ$501,$A53,O$3)))</f>
        <v/>
      </c>
      <c r="P53" t="str">
        <f>IF($B53="","",IF(P$3=0,"n.b.",INDEX(SRC_Woningetalage!$A$1:$ZZ$501,$A53,P$3)))</f>
        <v/>
      </c>
      <c r="Q53" s="124" t="str">
        <f>IF($B53="","",IF(Q$3=0,"n.b.",INDEX(SRC_Woningetalage!$A$1:$ZZ$501,$A53,Q$3)))</f>
        <v/>
      </c>
      <c r="R53" s="124" t="str">
        <f>IF($B53="","",IF(R$3=0,"n.b.",INDEX(SRC_Woningetalage!$A$1:$ZZ$501,$A53,R$3)))</f>
        <v/>
      </c>
      <c r="S53" s="124" t="str">
        <f>IF($B53="","",IF(S$3=0,"n.b.",INDEX(SRC_Woningetalage!$A$1:$ZZ$501,$A53,S$3)))</f>
        <v/>
      </c>
      <c r="T53" s="124" t="str">
        <f>IF($B53="","",IF(T$3=0,"n.b.",INDEX(SRC_Woningetalage!$A$1:$ZZ$501,$A53,T$3)))</f>
        <v/>
      </c>
      <c r="U53" s="124" t="str">
        <f>IF($B53="","",IF(U$3=0,"n.b.",INDEX(SRC_Woningetalage!$A$1:$ZZ$501,$A53,U$3)))</f>
        <v/>
      </c>
      <c r="V53" s="124" t="str">
        <f>IF($B53="","",IF(V$3=0,"n.b.",INDEX(SRC_Woningetalage!$A$1:$ZZ$501,$A53,V$3)))</f>
        <v/>
      </c>
      <c r="W53" s="124" t="str">
        <f>IF($B53="","",IF(W$3=0,"n.b.",INDEX(SRC_Woningetalage!$A$1:$ZZ$501,$A53,W$3)))</f>
        <v/>
      </c>
      <c r="X53" s="124" t="str">
        <f>IF($B53="","",IF(X$3=0,"n.b.",INDEX(SRC_Woningetalage!$A$1:$ZZ$501,$A53,X$3)))</f>
        <v/>
      </c>
      <c r="Y53" s="124" t="str">
        <f>IF($B53="","",IF(Y$3=0,"n.b.",INDEX(SRC_Woningetalage!$A$1:$ZZ$501,$A53,Y$3)))</f>
        <v/>
      </c>
      <c r="Z53" s="124" t="str">
        <f>IF($B53="","",IF(Z$3=0,"n.b.",INDEX(SRC_Woningetalage!$A$1:$ZZ$501,$A53,Z$3)))</f>
        <v/>
      </c>
      <c r="AA53" s="124" t="str">
        <f>IF($B53="","",IF(AA$3=0,"n.b.",INDEX(SRC_Woningetalage!$A$1:$ZZ$501,$A53,AA$3)))</f>
        <v/>
      </c>
      <c r="AB53" s="124" t="str">
        <f>IF($B53="","",IF(AB$3=0,"n.b.",INDEX(SRC_Woningetalage!$A$1:$ZZ$501,$A53,AB$3)))</f>
        <v/>
      </c>
      <c r="AC53" s="124" t="str">
        <f>IF($B53="","",IF(AC$3=0,"n.b.",INDEX(SRC_Woningetalage!$A$1:$ZZ$501,$A53,AC$3)))</f>
        <v/>
      </c>
      <c r="AD53" s="124" t="str">
        <f>IF($B53="","",IF(AD$3=0,"n.b.",INDEX(SRC_Woningetalage!$A$1:$ZZ$501,$A53,AD$3)))</f>
        <v/>
      </c>
      <c r="AE53" s="124" t="str">
        <f>IF($B53="","",IF(AE$3=0,"n.b.",INDEX(SRC_Woningetalage!$A$1:$ZZ$501,$A53,AE$3)))</f>
        <v/>
      </c>
      <c r="AF53" s="124" t="str">
        <f>IF($B53="","",IF(AF$3=0,"n.b.",INDEX(SRC_Woningetalage!$A$1:$ZZ$501,$A53,AF$3)))</f>
        <v/>
      </c>
      <c r="AG53" s="124" t="str">
        <f>IF($B53="","",IF(AG$3=0,"n.b.",INDEX(SRC_Woningetalage!$A$1:$ZZ$501,$A53,AG$3)))</f>
        <v/>
      </c>
      <c r="AH53" s="124" t="str">
        <f>IF($B53="","",IF(AH$3=0,"n.b.",INDEX(SRC_Woningetalage!$A$1:$ZZ$501,$A53,AH$3)))</f>
        <v/>
      </c>
      <c r="AI53" s="124" t="str">
        <f>IF($B53="","",IF(AI$3=0,"n.b.",INDEX(SRC_Woningetalage!$A$1:$ZZ$501,$A53,AI$3)))</f>
        <v/>
      </c>
      <c r="AJ53" s="124" t="str">
        <f>IF($B53="","",IF(AJ$3=0,"n.b.",INDEX(SRC_Woningetalage!$A$1:$ZZ$501,$A53,AJ$3)))</f>
        <v/>
      </c>
      <c r="AK53" s="124" t="str">
        <f>IF($B53="","",IF(AK$3=0,"n.b.",INDEX(SRC_Woningetalage!$A$1:$ZZ$501,$A53,AK$3)))</f>
        <v/>
      </c>
      <c r="AL53" s="124" t="str">
        <f>IF($B53="","",IF(AL$3=0,"n.b.",INDEX(SRC_Woningetalage!$A$1:$ZZ$501,$A53,AL$3)))</f>
        <v/>
      </c>
      <c r="AM53" s="124" t="str">
        <f>IF($B53="","",IF(AM$3=0,"n.b.",INDEX(SRC_Woningetalage!$A$1:$ZZ$501,$A53,AM$3)))</f>
        <v/>
      </c>
      <c r="AN53" s="124" t="str">
        <f>IF($B53="","",IF(AN$3=0,"n.b.",INDEX(SRC_Woningetalage!$A$1:$ZZ$501,$A53,AN$3)))</f>
        <v/>
      </c>
      <c r="AO53" s="124" t="str">
        <f>IF($B53="","",IF(AO$3=0,"n.b.",INDEX(SRC_Woningetalage!$A$1:$ZZ$501,$A53,AO$3)))</f>
        <v/>
      </c>
      <c r="AP53" s="124" t="str">
        <f>IF($B53="","",IF(AP$3=0,"n.b.",INDEX(SRC_Woningetalage!$A$1:$ZZ$501,$A53,AP$3)))</f>
        <v/>
      </c>
      <c r="AQ53" s="124" t="str">
        <f>IF($B53="","",IF(AQ$3=0,"n.b.",INDEX(SRC_Woningetalage!$A$1:$ZZ$501,$A53,AQ$3)))</f>
        <v/>
      </c>
      <c r="AR53" s="124" t="str">
        <f>IF($B53="","",IF(AR$3=0,"n.b.",INDEX(SRC_Woningetalage!$A$1:$ZZ$501,$A53,AR$3)))</f>
        <v/>
      </c>
      <c r="AS53" s="124" t="str">
        <f>IF($B53="","",IF(AS$3=0,"n.b.",INDEX(SRC_Woningetalage!$A$1:$ZZ$501,$A53,AS$3)))</f>
        <v/>
      </c>
      <c r="AT53" s="124" t="str">
        <f>IF($B53="","",IF(AT$3=0,"n.b.",INDEX(SRC_Woningetalage!$A$1:$ZZ$501,$A53,AT$3)))</f>
        <v/>
      </c>
      <c r="AU53" s="124" t="str">
        <f>IF($B53="","",IF(AU$3=0,"n.b.",INDEX(SRC_Woningetalage!$A$1:$ZZ$501,$A53,AU$3)))</f>
        <v/>
      </c>
      <c r="AV53" s="124" t="str">
        <f>IF($B53="","",IF(AV$3=0,"n.b.",INDEX(SRC_Woningetalage!$A$1:$ZZ$501,$A53,AV$3)))</f>
        <v/>
      </c>
      <c r="AW53" s="124" t="str">
        <f>IF($B53="","",IF(AW$3=0,"n.b.",INDEX(SRC_Woningetalage!$A$1:$ZZ$501,$A53,AW$3)))</f>
        <v/>
      </c>
      <c r="AX53" s="124" t="str">
        <f>IF($B53="","",IF(AX$3=0,"n.b.",INDEX(SRC_Woningetalage!$A$1:$ZZ$501,$A53,AX$3)))</f>
        <v/>
      </c>
      <c r="AY53" s="124" t="str">
        <f>IF($B53="","",IF(AY$3=0,"n.b.",INDEX(SRC_Woningetalage!$A$1:$ZZ$501,$A53,AY$3)))</f>
        <v/>
      </c>
      <c r="AZ53" s="124" t="str">
        <f>IF($B53="","",IF(AZ$3=0,"n.b.",INDEX(SRC_Woningetalage!$A$1:$ZZ$501,$A53,AZ$3)))</f>
        <v/>
      </c>
      <c r="BA53" s="124" t="str">
        <f>IF($B53="","",IF(BA$3=0,"n.b.",INDEX(SRC_Woningetalage!$A$1:$ZZ$501,$A53,BA$3)))</f>
        <v/>
      </c>
      <c r="BB53" s="124" t="str">
        <f>IF($B53="","",IF(BB$3=0,"n.b.",INDEX(SRC_Woningetalage!$A$1:$ZZ$501,$A53,BB$3)))</f>
        <v/>
      </c>
      <c r="BC53" s="124" t="str">
        <f>IF($B53="","",IFERROR(_xlfn.NUMBERVALUE(E53&amp;"",",","."),"n.b."))</f>
        <v/>
      </c>
      <c r="BD53" s="124" t="str">
        <f>IF($B53="","",IFERROR(_xlfn.NUMBERVALUE(M53&amp;"",",","."),"n.b."))</f>
        <v/>
      </c>
      <c r="BE53" s="124" t="str">
        <f>IF($B53="","",IFERROR(AB53+AC53+AD53,"n.b."))</f>
        <v/>
      </c>
      <c r="BF53" s="124" t="str">
        <f>IF($B53="","",IFERROR(AE53+AF53+AG53,"n.b."))</f>
        <v/>
      </c>
      <c r="BG53" s="124" t="str">
        <f>IF($B53="","",IFERROR(AH53+AI53+AJ53,"n.b."))</f>
        <v/>
      </c>
      <c r="BH53" s="124" t="str">
        <f>IF($B53="","",IFERROR(AK53+AL53+AM53,"n.b."))</f>
        <v/>
      </c>
      <c r="BI53" s="124" t="str">
        <f>IF($B53="","",IFERROR(SUMIF($AB$5:$AM$5,"&lt;="&amp;P_PeilMaand,AB53:AM53),"n.b."))</f>
        <v/>
      </c>
      <c r="BJ53" s="124" t="str">
        <f>IF($B53="","",IFERROR(SUM(AB53:AM53)-BI53,"n.b."))</f>
        <v/>
      </c>
      <c r="BK53" s="124" t="str">
        <f>IF($B53="","",IFERROR(IF(ABS(Q53-(T53+SUM(AB53:AM53)+AS53+AU53))&gt;P_Tol,1,0),1))</f>
        <v/>
      </c>
      <c r="BL53" s="124" t="str">
        <f>IF($B53="","",IFERROR(IF(ABS(AA53-(Q53-Z53))&gt;P_Tol,1,0),1))</f>
        <v/>
      </c>
      <c r="BM53" s="124" t="str">
        <f>IF($B53="","",IFERROR(IF(ABS(Z53-(T53+W53))&gt;P_Tol,1,0),1))</f>
        <v/>
      </c>
      <c r="BN53" s="124" t="str">
        <f>IF($B53="","",IFERROR(IF(ABS(W53-BI53)&gt;P_Tol,1,0),1))</f>
        <v/>
      </c>
      <c r="BO53" s="124" t="str">
        <f>IF($B53="","",IFERROR(IF(OR(ABS(R53+S53-T53)&gt;P_Tol,ABS(U53+V53-W53)&gt;P_Tol,ABS(X53+Y53-Z53)&gt;P_Tol),1,0),1))</f>
        <v/>
      </c>
      <c r="BP53" s="124" t="str">
        <f>IF($B53="","",IFERROR(IF(OR(ABS(AR53-SUM(AB53:AM53))&gt;P_Tol,ABS(AS53-(AN53+AO53+AP53+AQ53))&gt;P_Tol),1,0),1))</f>
        <v/>
      </c>
      <c r="BQ53" s="124" t="str">
        <f>IF($B53="","",IFERROR(IF(ABS(AT53)+ABS(AV53)+ABS(AW53)+ABS(AX53)+ABS(AY53)+ABS(AZ53)+ABS(BA53)+ABS(BB53)&gt;0,1,0),1))</f>
        <v/>
      </c>
      <c r="BR53" s="124" t="str">
        <f>IF($B53="","",COUNTIF(STG_ZPMW03!$B$6:$B$505,B53))</f>
        <v/>
      </c>
      <c r="BS53" s="124" t="str">
        <f>IF($B53="","",COUNTIF($B$6:$B$505,B53))</f>
        <v/>
      </c>
      <c r="BT53" s="124" t="str">
        <f>IF($B53="","",IF(BR53=0,0,IF(INDEX(STG_ZPMW03!$I$6:$I$505,MATCH(B53,STG_ZPMW03!$B$6:$B$505,0))=J53&amp;"",0,1)))</f>
        <v/>
      </c>
      <c r="BU53" s="124" t="str">
        <f>IF($B53="","",IFERROR(IF(ABS(INDEX(Mapping!$D$5:$D$104,MATCH(B53,Mapping!$A$5:$A$104,0))-Q53)&gt;P_Tol,1,0),0))</f>
        <v/>
      </c>
      <c r="BV53" s="124" t="str">
        <f>IF($B53="","",IFERROR(IF(AND(INDEX(Mapping!$G$5:$G$104,MATCH(B53,Mapping!$A$5:$A$104,0))="Nee",ABS(Q53)+ABS(Z53)+ABS(AR53)&gt;0),1,0),0))</f>
        <v/>
      </c>
      <c r="BW53" s="124" t="str">
        <f>IF($B53="","",IF(COUNTIF(Mapping!$A$5:$A$104,B53)&gt;0,1,0))</f>
        <v/>
      </c>
      <c r="BX53" s="124" t="str">
        <f>IF($B53="","",IF(BR53=0,COUNTIF($BR$6:BR53,0),""))</f>
        <v/>
      </c>
    </row>
    <row r="54">
      <c r="A54" s="15" t="n">
        <v>50</v>
      </c>
      <c r="B54" t="str">
        <f>IF(B$3=0,"",IF(INDEX(SRC_Woningetalage!$A$1:$ZZ$501,$A54,B$3)&amp;""="","",INDEX(SRC_Woningetalage!$A$1:$ZZ$501,$A54,B$3)&amp;""))</f>
        <v/>
      </c>
      <c r="C54" t="str">
        <f>IF($B54="","",IF(C$3=0,"n.b.",INDEX(SRC_Woningetalage!$A$1:$ZZ$501,$A54,C$3)))</f>
        <v/>
      </c>
      <c r="D54" t="str">
        <f>IF($B54="","",IF(D$3=0,"n.b.",INDEX(SRC_Woningetalage!$A$1:$ZZ$501,$A54,D$3)))</f>
        <v/>
      </c>
      <c r="E54" t="str">
        <f>IF($B54="","",IF(E$3=0,"n.b.",INDEX(SRC_Woningetalage!$A$1:$ZZ$501,$A54,E$3)))</f>
        <v/>
      </c>
      <c r="F54" t="str">
        <f>IF($B54="","",IF(F$3=0,"n.b.",INDEX(SRC_Woningetalage!$A$1:$ZZ$501,$A54,F$3)))</f>
        <v/>
      </c>
      <c r="G54" t="str">
        <f>IF($B54="","",IF(G$3=0,"n.b.",INDEX(SRC_Woningetalage!$A$1:$ZZ$501,$A54,G$3)))</f>
        <v/>
      </c>
      <c r="H54" t="str">
        <f>IF($B54="","",IF(H$3=0,"n.b.",INDEX(SRC_Woningetalage!$A$1:$ZZ$501,$A54,H$3)))</f>
        <v/>
      </c>
      <c r="I54" t="str">
        <f>IF($B54="","",IF(I$3=0,"n.b.",INDEX(SRC_Woningetalage!$A$1:$ZZ$501,$A54,I$3)))</f>
        <v/>
      </c>
      <c r="J54" t="str">
        <f>IF($B54="","",IF(J$3=0,"n.b.",INDEX(SRC_Woningetalage!$A$1:$ZZ$501,$A54,J$3)))</f>
        <v/>
      </c>
      <c r="K54" t="str">
        <f>IF($B54="","",IF(K$3=0,"n.b.",INDEX(SRC_Woningetalage!$A$1:$ZZ$501,$A54,K$3)))</f>
        <v/>
      </c>
      <c r="L54" t="str">
        <f>IF($B54="","",IF(L$3=0,"n.b.",INDEX(SRC_Woningetalage!$A$1:$ZZ$501,$A54,L$3)))</f>
        <v/>
      </c>
      <c r="M54" t="str">
        <f>IF($B54="","",IF(M$3=0,"n.b.",INDEX(SRC_Woningetalage!$A$1:$ZZ$501,$A54,M$3)))</f>
        <v/>
      </c>
      <c r="N54" t="str">
        <f>IF($B54="","",IF(N$3=0,"n.b.",INDEX(SRC_Woningetalage!$A$1:$ZZ$501,$A54,N$3)))</f>
        <v/>
      </c>
      <c r="O54" t="str">
        <f>IF($B54="","",IF(O$3=0,"n.b.",INDEX(SRC_Woningetalage!$A$1:$ZZ$501,$A54,O$3)))</f>
        <v/>
      </c>
      <c r="P54" t="str">
        <f>IF($B54="","",IF(P$3=0,"n.b.",INDEX(SRC_Woningetalage!$A$1:$ZZ$501,$A54,P$3)))</f>
        <v/>
      </c>
      <c r="Q54" s="124" t="str">
        <f>IF($B54="","",IF(Q$3=0,"n.b.",INDEX(SRC_Woningetalage!$A$1:$ZZ$501,$A54,Q$3)))</f>
        <v/>
      </c>
      <c r="R54" s="124" t="str">
        <f>IF($B54="","",IF(R$3=0,"n.b.",INDEX(SRC_Woningetalage!$A$1:$ZZ$501,$A54,R$3)))</f>
        <v/>
      </c>
      <c r="S54" s="124" t="str">
        <f>IF($B54="","",IF(S$3=0,"n.b.",INDEX(SRC_Woningetalage!$A$1:$ZZ$501,$A54,S$3)))</f>
        <v/>
      </c>
      <c r="T54" s="124" t="str">
        <f>IF($B54="","",IF(T$3=0,"n.b.",INDEX(SRC_Woningetalage!$A$1:$ZZ$501,$A54,T$3)))</f>
        <v/>
      </c>
      <c r="U54" s="124" t="str">
        <f>IF($B54="","",IF(U$3=0,"n.b.",INDEX(SRC_Woningetalage!$A$1:$ZZ$501,$A54,U$3)))</f>
        <v/>
      </c>
      <c r="V54" s="124" t="str">
        <f>IF($B54="","",IF(V$3=0,"n.b.",INDEX(SRC_Woningetalage!$A$1:$ZZ$501,$A54,V$3)))</f>
        <v/>
      </c>
      <c r="W54" s="124" t="str">
        <f>IF($B54="","",IF(W$3=0,"n.b.",INDEX(SRC_Woningetalage!$A$1:$ZZ$501,$A54,W$3)))</f>
        <v/>
      </c>
      <c r="X54" s="124" t="str">
        <f>IF($B54="","",IF(X$3=0,"n.b.",INDEX(SRC_Woningetalage!$A$1:$ZZ$501,$A54,X$3)))</f>
        <v/>
      </c>
      <c r="Y54" s="124" t="str">
        <f>IF($B54="","",IF(Y$3=0,"n.b.",INDEX(SRC_Woningetalage!$A$1:$ZZ$501,$A54,Y$3)))</f>
        <v/>
      </c>
      <c r="Z54" s="124" t="str">
        <f>IF($B54="","",IF(Z$3=0,"n.b.",INDEX(SRC_Woningetalage!$A$1:$ZZ$501,$A54,Z$3)))</f>
        <v/>
      </c>
      <c r="AA54" s="124" t="str">
        <f>IF($B54="","",IF(AA$3=0,"n.b.",INDEX(SRC_Woningetalage!$A$1:$ZZ$501,$A54,AA$3)))</f>
        <v/>
      </c>
      <c r="AB54" s="124" t="str">
        <f>IF($B54="","",IF(AB$3=0,"n.b.",INDEX(SRC_Woningetalage!$A$1:$ZZ$501,$A54,AB$3)))</f>
        <v/>
      </c>
      <c r="AC54" s="124" t="str">
        <f>IF($B54="","",IF(AC$3=0,"n.b.",INDEX(SRC_Woningetalage!$A$1:$ZZ$501,$A54,AC$3)))</f>
        <v/>
      </c>
      <c r="AD54" s="124" t="str">
        <f>IF($B54="","",IF(AD$3=0,"n.b.",INDEX(SRC_Woningetalage!$A$1:$ZZ$501,$A54,AD$3)))</f>
        <v/>
      </c>
      <c r="AE54" s="124" t="str">
        <f>IF($B54="","",IF(AE$3=0,"n.b.",INDEX(SRC_Woningetalage!$A$1:$ZZ$501,$A54,AE$3)))</f>
        <v/>
      </c>
      <c r="AF54" s="124" t="str">
        <f>IF($B54="","",IF(AF$3=0,"n.b.",INDEX(SRC_Woningetalage!$A$1:$ZZ$501,$A54,AF$3)))</f>
        <v/>
      </c>
      <c r="AG54" s="124" t="str">
        <f>IF($B54="","",IF(AG$3=0,"n.b.",INDEX(SRC_Woningetalage!$A$1:$ZZ$501,$A54,AG$3)))</f>
        <v/>
      </c>
      <c r="AH54" s="124" t="str">
        <f>IF($B54="","",IF(AH$3=0,"n.b.",INDEX(SRC_Woningetalage!$A$1:$ZZ$501,$A54,AH$3)))</f>
        <v/>
      </c>
      <c r="AI54" s="124" t="str">
        <f>IF($B54="","",IF(AI$3=0,"n.b.",INDEX(SRC_Woningetalage!$A$1:$ZZ$501,$A54,AI$3)))</f>
        <v/>
      </c>
      <c r="AJ54" s="124" t="str">
        <f>IF($B54="","",IF(AJ$3=0,"n.b.",INDEX(SRC_Woningetalage!$A$1:$ZZ$501,$A54,AJ$3)))</f>
        <v/>
      </c>
      <c r="AK54" s="124" t="str">
        <f>IF($B54="","",IF(AK$3=0,"n.b.",INDEX(SRC_Woningetalage!$A$1:$ZZ$501,$A54,AK$3)))</f>
        <v/>
      </c>
      <c r="AL54" s="124" t="str">
        <f>IF($B54="","",IF(AL$3=0,"n.b.",INDEX(SRC_Woningetalage!$A$1:$ZZ$501,$A54,AL$3)))</f>
        <v/>
      </c>
      <c r="AM54" s="124" t="str">
        <f>IF($B54="","",IF(AM$3=0,"n.b.",INDEX(SRC_Woningetalage!$A$1:$ZZ$501,$A54,AM$3)))</f>
        <v/>
      </c>
      <c r="AN54" s="124" t="str">
        <f>IF($B54="","",IF(AN$3=0,"n.b.",INDEX(SRC_Woningetalage!$A$1:$ZZ$501,$A54,AN$3)))</f>
        <v/>
      </c>
      <c r="AO54" s="124" t="str">
        <f>IF($B54="","",IF(AO$3=0,"n.b.",INDEX(SRC_Woningetalage!$A$1:$ZZ$501,$A54,AO$3)))</f>
        <v/>
      </c>
      <c r="AP54" s="124" t="str">
        <f>IF($B54="","",IF(AP$3=0,"n.b.",INDEX(SRC_Woningetalage!$A$1:$ZZ$501,$A54,AP$3)))</f>
        <v/>
      </c>
      <c r="AQ54" s="124" t="str">
        <f>IF($B54="","",IF(AQ$3=0,"n.b.",INDEX(SRC_Woningetalage!$A$1:$ZZ$501,$A54,AQ$3)))</f>
        <v/>
      </c>
      <c r="AR54" s="124" t="str">
        <f>IF($B54="","",IF(AR$3=0,"n.b.",INDEX(SRC_Woningetalage!$A$1:$ZZ$501,$A54,AR$3)))</f>
        <v/>
      </c>
      <c r="AS54" s="124" t="str">
        <f>IF($B54="","",IF(AS$3=0,"n.b.",INDEX(SRC_Woningetalage!$A$1:$ZZ$501,$A54,AS$3)))</f>
        <v/>
      </c>
      <c r="AT54" s="124" t="str">
        <f>IF($B54="","",IF(AT$3=0,"n.b.",INDEX(SRC_Woningetalage!$A$1:$ZZ$501,$A54,AT$3)))</f>
        <v/>
      </c>
      <c r="AU54" s="124" t="str">
        <f>IF($B54="","",IF(AU$3=0,"n.b.",INDEX(SRC_Woningetalage!$A$1:$ZZ$501,$A54,AU$3)))</f>
        <v/>
      </c>
      <c r="AV54" s="124" t="str">
        <f>IF($B54="","",IF(AV$3=0,"n.b.",INDEX(SRC_Woningetalage!$A$1:$ZZ$501,$A54,AV$3)))</f>
        <v/>
      </c>
      <c r="AW54" s="124" t="str">
        <f>IF($B54="","",IF(AW$3=0,"n.b.",INDEX(SRC_Woningetalage!$A$1:$ZZ$501,$A54,AW$3)))</f>
        <v/>
      </c>
      <c r="AX54" s="124" t="str">
        <f>IF($B54="","",IF(AX$3=0,"n.b.",INDEX(SRC_Woningetalage!$A$1:$ZZ$501,$A54,AX$3)))</f>
        <v/>
      </c>
      <c r="AY54" s="124" t="str">
        <f>IF($B54="","",IF(AY$3=0,"n.b.",INDEX(SRC_Woningetalage!$A$1:$ZZ$501,$A54,AY$3)))</f>
        <v/>
      </c>
      <c r="AZ54" s="124" t="str">
        <f>IF($B54="","",IF(AZ$3=0,"n.b.",INDEX(SRC_Woningetalage!$A$1:$ZZ$501,$A54,AZ$3)))</f>
        <v/>
      </c>
      <c r="BA54" s="124" t="str">
        <f>IF($B54="","",IF(BA$3=0,"n.b.",INDEX(SRC_Woningetalage!$A$1:$ZZ$501,$A54,BA$3)))</f>
        <v/>
      </c>
      <c r="BB54" s="124" t="str">
        <f>IF($B54="","",IF(BB$3=0,"n.b.",INDEX(SRC_Woningetalage!$A$1:$ZZ$501,$A54,BB$3)))</f>
        <v/>
      </c>
      <c r="BC54" s="124" t="str">
        <f>IF($B54="","",IFERROR(_xlfn.NUMBERVALUE(E54&amp;"",",","."),"n.b."))</f>
        <v/>
      </c>
      <c r="BD54" s="124" t="str">
        <f>IF($B54="","",IFERROR(_xlfn.NUMBERVALUE(M54&amp;"",",","."),"n.b."))</f>
        <v/>
      </c>
      <c r="BE54" s="124" t="str">
        <f>IF($B54="","",IFERROR(AB54+AC54+AD54,"n.b."))</f>
        <v/>
      </c>
      <c r="BF54" s="124" t="str">
        <f>IF($B54="","",IFERROR(AE54+AF54+AG54,"n.b."))</f>
        <v/>
      </c>
      <c r="BG54" s="124" t="str">
        <f>IF($B54="","",IFERROR(AH54+AI54+AJ54,"n.b."))</f>
        <v/>
      </c>
      <c r="BH54" s="124" t="str">
        <f>IF($B54="","",IFERROR(AK54+AL54+AM54,"n.b."))</f>
        <v/>
      </c>
      <c r="BI54" s="124" t="str">
        <f>IF($B54="","",IFERROR(SUMIF($AB$5:$AM$5,"&lt;="&amp;P_PeilMaand,AB54:AM54),"n.b."))</f>
        <v/>
      </c>
      <c r="BJ54" s="124" t="str">
        <f>IF($B54="","",IFERROR(SUM(AB54:AM54)-BI54,"n.b."))</f>
        <v/>
      </c>
      <c r="BK54" s="124" t="str">
        <f>IF($B54="","",IFERROR(IF(ABS(Q54-(T54+SUM(AB54:AM54)+AS54+AU54))&gt;P_Tol,1,0),1))</f>
        <v/>
      </c>
      <c r="BL54" s="124" t="str">
        <f>IF($B54="","",IFERROR(IF(ABS(AA54-(Q54-Z54))&gt;P_Tol,1,0),1))</f>
        <v/>
      </c>
      <c r="BM54" s="124" t="str">
        <f>IF($B54="","",IFERROR(IF(ABS(Z54-(T54+W54))&gt;P_Tol,1,0),1))</f>
        <v/>
      </c>
      <c r="BN54" s="124" t="str">
        <f>IF($B54="","",IFERROR(IF(ABS(W54-BI54)&gt;P_Tol,1,0),1))</f>
        <v/>
      </c>
      <c r="BO54" s="124" t="str">
        <f>IF($B54="","",IFERROR(IF(OR(ABS(R54+S54-T54)&gt;P_Tol,ABS(U54+V54-W54)&gt;P_Tol,ABS(X54+Y54-Z54)&gt;P_Tol),1,0),1))</f>
        <v/>
      </c>
      <c r="BP54" s="124" t="str">
        <f>IF($B54="","",IFERROR(IF(OR(ABS(AR54-SUM(AB54:AM54))&gt;P_Tol,ABS(AS54-(AN54+AO54+AP54+AQ54))&gt;P_Tol),1,0),1))</f>
        <v/>
      </c>
      <c r="BQ54" s="124" t="str">
        <f>IF($B54="","",IFERROR(IF(ABS(AT54)+ABS(AV54)+ABS(AW54)+ABS(AX54)+ABS(AY54)+ABS(AZ54)+ABS(BA54)+ABS(BB54)&gt;0,1,0),1))</f>
        <v/>
      </c>
      <c r="BR54" s="124" t="str">
        <f>IF($B54="","",COUNTIF(STG_ZPMW03!$B$6:$B$505,B54))</f>
        <v/>
      </c>
      <c r="BS54" s="124" t="str">
        <f>IF($B54="","",COUNTIF($B$6:$B$505,B54))</f>
        <v/>
      </c>
      <c r="BT54" s="124" t="str">
        <f>IF($B54="","",IF(BR54=0,0,IF(INDEX(STG_ZPMW03!$I$6:$I$505,MATCH(B54,STG_ZPMW03!$B$6:$B$505,0))=J54&amp;"",0,1)))</f>
        <v/>
      </c>
      <c r="BU54" s="124" t="str">
        <f>IF($B54="","",IFERROR(IF(ABS(INDEX(Mapping!$D$5:$D$104,MATCH(B54,Mapping!$A$5:$A$104,0))-Q54)&gt;P_Tol,1,0),0))</f>
        <v/>
      </c>
      <c r="BV54" s="124" t="str">
        <f>IF($B54="","",IFERROR(IF(AND(INDEX(Mapping!$G$5:$G$104,MATCH(B54,Mapping!$A$5:$A$104,0))="Nee",ABS(Q54)+ABS(Z54)+ABS(AR54)&gt;0),1,0),0))</f>
        <v/>
      </c>
      <c r="BW54" s="124" t="str">
        <f>IF($B54="","",IF(COUNTIF(Mapping!$A$5:$A$104,B54)&gt;0,1,0))</f>
        <v/>
      </c>
      <c r="BX54" s="124" t="str">
        <f>IF($B54="","",IF(BR54=0,COUNTIF($BR$6:BR54,0),""))</f>
        <v/>
      </c>
    </row>
    <row r="55">
      <c r="A55" s="15" t="n">
        <v>51</v>
      </c>
      <c r="B55" t="str">
        <f>IF(B$3=0,"",IF(INDEX(SRC_Woningetalage!$A$1:$ZZ$501,$A55,B$3)&amp;""="","",INDEX(SRC_Woningetalage!$A$1:$ZZ$501,$A55,B$3)&amp;""))</f>
        <v/>
      </c>
      <c r="C55" t="str">
        <f>IF($B55="","",IF(C$3=0,"n.b.",INDEX(SRC_Woningetalage!$A$1:$ZZ$501,$A55,C$3)))</f>
        <v/>
      </c>
      <c r="D55" t="str">
        <f>IF($B55="","",IF(D$3=0,"n.b.",INDEX(SRC_Woningetalage!$A$1:$ZZ$501,$A55,D$3)))</f>
        <v/>
      </c>
      <c r="E55" t="str">
        <f>IF($B55="","",IF(E$3=0,"n.b.",INDEX(SRC_Woningetalage!$A$1:$ZZ$501,$A55,E$3)))</f>
        <v/>
      </c>
      <c r="F55" t="str">
        <f>IF($B55="","",IF(F$3=0,"n.b.",INDEX(SRC_Woningetalage!$A$1:$ZZ$501,$A55,F$3)))</f>
        <v/>
      </c>
      <c r="G55" t="str">
        <f>IF($B55="","",IF(G$3=0,"n.b.",INDEX(SRC_Woningetalage!$A$1:$ZZ$501,$A55,G$3)))</f>
        <v/>
      </c>
      <c r="H55" t="str">
        <f>IF($B55="","",IF(H$3=0,"n.b.",INDEX(SRC_Woningetalage!$A$1:$ZZ$501,$A55,H$3)))</f>
        <v/>
      </c>
      <c r="I55" t="str">
        <f>IF($B55="","",IF(I$3=0,"n.b.",INDEX(SRC_Woningetalage!$A$1:$ZZ$501,$A55,I$3)))</f>
        <v/>
      </c>
      <c r="J55" t="str">
        <f>IF($B55="","",IF(J$3=0,"n.b.",INDEX(SRC_Woningetalage!$A$1:$ZZ$501,$A55,J$3)))</f>
        <v/>
      </c>
      <c r="K55" t="str">
        <f>IF($B55="","",IF(K$3=0,"n.b.",INDEX(SRC_Woningetalage!$A$1:$ZZ$501,$A55,K$3)))</f>
        <v/>
      </c>
      <c r="L55" t="str">
        <f>IF($B55="","",IF(L$3=0,"n.b.",INDEX(SRC_Woningetalage!$A$1:$ZZ$501,$A55,L$3)))</f>
        <v/>
      </c>
      <c r="M55" t="str">
        <f>IF($B55="","",IF(M$3=0,"n.b.",INDEX(SRC_Woningetalage!$A$1:$ZZ$501,$A55,M$3)))</f>
        <v/>
      </c>
      <c r="N55" t="str">
        <f>IF($B55="","",IF(N$3=0,"n.b.",INDEX(SRC_Woningetalage!$A$1:$ZZ$501,$A55,N$3)))</f>
        <v/>
      </c>
      <c r="O55" t="str">
        <f>IF($B55="","",IF(O$3=0,"n.b.",INDEX(SRC_Woningetalage!$A$1:$ZZ$501,$A55,O$3)))</f>
        <v/>
      </c>
      <c r="P55" t="str">
        <f>IF($B55="","",IF(P$3=0,"n.b.",INDEX(SRC_Woningetalage!$A$1:$ZZ$501,$A55,P$3)))</f>
        <v/>
      </c>
      <c r="Q55" s="124" t="str">
        <f>IF($B55="","",IF(Q$3=0,"n.b.",INDEX(SRC_Woningetalage!$A$1:$ZZ$501,$A55,Q$3)))</f>
        <v/>
      </c>
      <c r="R55" s="124" t="str">
        <f>IF($B55="","",IF(R$3=0,"n.b.",INDEX(SRC_Woningetalage!$A$1:$ZZ$501,$A55,R$3)))</f>
        <v/>
      </c>
      <c r="S55" s="124" t="str">
        <f>IF($B55="","",IF(S$3=0,"n.b.",INDEX(SRC_Woningetalage!$A$1:$ZZ$501,$A55,S$3)))</f>
        <v/>
      </c>
      <c r="T55" s="124" t="str">
        <f>IF($B55="","",IF(T$3=0,"n.b.",INDEX(SRC_Woningetalage!$A$1:$ZZ$501,$A55,T$3)))</f>
        <v/>
      </c>
      <c r="U55" s="124" t="str">
        <f>IF($B55="","",IF(U$3=0,"n.b.",INDEX(SRC_Woningetalage!$A$1:$ZZ$501,$A55,U$3)))</f>
        <v/>
      </c>
      <c r="V55" s="124" t="str">
        <f>IF($B55="","",IF(V$3=0,"n.b.",INDEX(SRC_Woningetalage!$A$1:$ZZ$501,$A55,V$3)))</f>
        <v/>
      </c>
      <c r="W55" s="124" t="str">
        <f>IF($B55="","",IF(W$3=0,"n.b.",INDEX(SRC_Woningetalage!$A$1:$ZZ$501,$A55,W$3)))</f>
        <v/>
      </c>
      <c r="X55" s="124" t="str">
        <f>IF($B55="","",IF(X$3=0,"n.b.",INDEX(SRC_Woningetalage!$A$1:$ZZ$501,$A55,X$3)))</f>
        <v/>
      </c>
      <c r="Y55" s="124" t="str">
        <f>IF($B55="","",IF(Y$3=0,"n.b.",INDEX(SRC_Woningetalage!$A$1:$ZZ$501,$A55,Y$3)))</f>
        <v/>
      </c>
      <c r="Z55" s="124" t="str">
        <f>IF($B55="","",IF(Z$3=0,"n.b.",INDEX(SRC_Woningetalage!$A$1:$ZZ$501,$A55,Z$3)))</f>
        <v/>
      </c>
      <c r="AA55" s="124" t="str">
        <f>IF($B55="","",IF(AA$3=0,"n.b.",INDEX(SRC_Woningetalage!$A$1:$ZZ$501,$A55,AA$3)))</f>
        <v/>
      </c>
      <c r="AB55" s="124" t="str">
        <f>IF($B55="","",IF(AB$3=0,"n.b.",INDEX(SRC_Woningetalage!$A$1:$ZZ$501,$A55,AB$3)))</f>
        <v/>
      </c>
      <c r="AC55" s="124" t="str">
        <f>IF($B55="","",IF(AC$3=0,"n.b.",INDEX(SRC_Woningetalage!$A$1:$ZZ$501,$A55,AC$3)))</f>
        <v/>
      </c>
      <c r="AD55" s="124" t="str">
        <f>IF($B55="","",IF(AD$3=0,"n.b.",INDEX(SRC_Woningetalage!$A$1:$ZZ$501,$A55,AD$3)))</f>
        <v/>
      </c>
      <c r="AE55" s="124" t="str">
        <f>IF($B55="","",IF(AE$3=0,"n.b.",INDEX(SRC_Woningetalage!$A$1:$ZZ$501,$A55,AE$3)))</f>
        <v/>
      </c>
      <c r="AF55" s="124" t="str">
        <f>IF($B55="","",IF(AF$3=0,"n.b.",INDEX(SRC_Woningetalage!$A$1:$ZZ$501,$A55,AF$3)))</f>
        <v/>
      </c>
      <c r="AG55" s="124" t="str">
        <f>IF($B55="","",IF(AG$3=0,"n.b.",INDEX(SRC_Woningetalage!$A$1:$ZZ$501,$A55,AG$3)))</f>
        <v/>
      </c>
      <c r="AH55" s="124" t="str">
        <f>IF($B55="","",IF(AH$3=0,"n.b.",INDEX(SRC_Woningetalage!$A$1:$ZZ$501,$A55,AH$3)))</f>
        <v/>
      </c>
      <c r="AI55" s="124" t="str">
        <f>IF($B55="","",IF(AI$3=0,"n.b.",INDEX(SRC_Woningetalage!$A$1:$ZZ$501,$A55,AI$3)))</f>
        <v/>
      </c>
      <c r="AJ55" s="124" t="str">
        <f>IF($B55="","",IF(AJ$3=0,"n.b.",INDEX(SRC_Woningetalage!$A$1:$ZZ$501,$A55,AJ$3)))</f>
        <v/>
      </c>
      <c r="AK55" s="124" t="str">
        <f>IF($B55="","",IF(AK$3=0,"n.b.",INDEX(SRC_Woningetalage!$A$1:$ZZ$501,$A55,AK$3)))</f>
        <v/>
      </c>
      <c r="AL55" s="124" t="str">
        <f>IF($B55="","",IF(AL$3=0,"n.b.",INDEX(SRC_Woningetalage!$A$1:$ZZ$501,$A55,AL$3)))</f>
        <v/>
      </c>
      <c r="AM55" s="124" t="str">
        <f>IF($B55="","",IF(AM$3=0,"n.b.",INDEX(SRC_Woningetalage!$A$1:$ZZ$501,$A55,AM$3)))</f>
        <v/>
      </c>
      <c r="AN55" s="124" t="str">
        <f>IF($B55="","",IF(AN$3=0,"n.b.",INDEX(SRC_Woningetalage!$A$1:$ZZ$501,$A55,AN$3)))</f>
        <v/>
      </c>
      <c r="AO55" s="124" t="str">
        <f>IF($B55="","",IF(AO$3=0,"n.b.",INDEX(SRC_Woningetalage!$A$1:$ZZ$501,$A55,AO$3)))</f>
        <v/>
      </c>
      <c r="AP55" s="124" t="str">
        <f>IF($B55="","",IF(AP$3=0,"n.b.",INDEX(SRC_Woningetalage!$A$1:$ZZ$501,$A55,AP$3)))</f>
        <v/>
      </c>
      <c r="AQ55" s="124" t="str">
        <f>IF($B55="","",IF(AQ$3=0,"n.b.",INDEX(SRC_Woningetalage!$A$1:$ZZ$501,$A55,AQ$3)))</f>
        <v/>
      </c>
      <c r="AR55" s="124" t="str">
        <f>IF($B55="","",IF(AR$3=0,"n.b.",INDEX(SRC_Woningetalage!$A$1:$ZZ$501,$A55,AR$3)))</f>
        <v/>
      </c>
      <c r="AS55" s="124" t="str">
        <f>IF($B55="","",IF(AS$3=0,"n.b.",INDEX(SRC_Woningetalage!$A$1:$ZZ$501,$A55,AS$3)))</f>
        <v/>
      </c>
      <c r="AT55" s="124" t="str">
        <f>IF($B55="","",IF(AT$3=0,"n.b.",INDEX(SRC_Woningetalage!$A$1:$ZZ$501,$A55,AT$3)))</f>
        <v/>
      </c>
      <c r="AU55" s="124" t="str">
        <f>IF($B55="","",IF(AU$3=0,"n.b.",INDEX(SRC_Woningetalage!$A$1:$ZZ$501,$A55,AU$3)))</f>
        <v/>
      </c>
      <c r="AV55" s="124" t="str">
        <f>IF($B55="","",IF(AV$3=0,"n.b.",INDEX(SRC_Woningetalage!$A$1:$ZZ$501,$A55,AV$3)))</f>
        <v/>
      </c>
      <c r="AW55" s="124" t="str">
        <f>IF($B55="","",IF(AW$3=0,"n.b.",INDEX(SRC_Woningetalage!$A$1:$ZZ$501,$A55,AW$3)))</f>
        <v/>
      </c>
      <c r="AX55" s="124" t="str">
        <f>IF($B55="","",IF(AX$3=0,"n.b.",INDEX(SRC_Woningetalage!$A$1:$ZZ$501,$A55,AX$3)))</f>
        <v/>
      </c>
      <c r="AY55" s="124" t="str">
        <f>IF($B55="","",IF(AY$3=0,"n.b.",INDEX(SRC_Woningetalage!$A$1:$ZZ$501,$A55,AY$3)))</f>
        <v/>
      </c>
      <c r="AZ55" s="124" t="str">
        <f>IF($B55="","",IF(AZ$3=0,"n.b.",INDEX(SRC_Woningetalage!$A$1:$ZZ$501,$A55,AZ$3)))</f>
        <v/>
      </c>
      <c r="BA55" s="124" t="str">
        <f>IF($B55="","",IF(BA$3=0,"n.b.",INDEX(SRC_Woningetalage!$A$1:$ZZ$501,$A55,BA$3)))</f>
        <v/>
      </c>
      <c r="BB55" s="124" t="str">
        <f>IF($B55="","",IF(BB$3=0,"n.b.",INDEX(SRC_Woningetalage!$A$1:$ZZ$501,$A55,BB$3)))</f>
        <v/>
      </c>
      <c r="BC55" s="124" t="str">
        <f>IF($B55="","",IFERROR(_xlfn.NUMBERVALUE(E55&amp;"",",","."),"n.b."))</f>
        <v/>
      </c>
      <c r="BD55" s="124" t="str">
        <f>IF($B55="","",IFERROR(_xlfn.NUMBERVALUE(M55&amp;"",",","."),"n.b."))</f>
        <v/>
      </c>
      <c r="BE55" s="124" t="str">
        <f>IF($B55="","",IFERROR(AB55+AC55+AD55,"n.b."))</f>
        <v/>
      </c>
      <c r="BF55" s="124" t="str">
        <f>IF($B55="","",IFERROR(AE55+AF55+AG55,"n.b."))</f>
        <v/>
      </c>
      <c r="BG55" s="124" t="str">
        <f>IF($B55="","",IFERROR(AH55+AI55+AJ55,"n.b."))</f>
        <v/>
      </c>
      <c r="BH55" s="124" t="str">
        <f>IF($B55="","",IFERROR(AK55+AL55+AM55,"n.b."))</f>
        <v/>
      </c>
      <c r="BI55" s="124" t="str">
        <f>IF($B55="","",IFERROR(SUMIF($AB$5:$AM$5,"&lt;="&amp;P_PeilMaand,AB55:AM55),"n.b."))</f>
        <v/>
      </c>
      <c r="BJ55" s="124" t="str">
        <f>IF($B55="","",IFERROR(SUM(AB55:AM55)-BI55,"n.b."))</f>
        <v/>
      </c>
      <c r="BK55" s="124" t="str">
        <f>IF($B55="","",IFERROR(IF(ABS(Q55-(T55+SUM(AB55:AM55)+AS55+AU55))&gt;P_Tol,1,0),1))</f>
        <v/>
      </c>
      <c r="BL55" s="124" t="str">
        <f>IF($B55="","",IFERROR(IF(ABS(AA55-(Q55-Z55))&gt;P_Tol,1,0),1))</f>
        <v/>
      </c>
      <c r="BM55" s="124" t="str">
        <f>IF($B55="","",IFERROR(IF(ABS(Z55-(T55+W55))&gt;P_Tol,1,0),1))</f>
        <v/>
      </c>
      <c r="BN55" s="124" t="str">
        <f>IF($B55="","",IFERROR(IF(ABS(W55-BI55)&gt;P_Tol,1,0),1))</f>
        <v/>
      </c>
      <c r="BO55" s="124" t="str">
        <f>IF($B55="","",IFERROR(IF(OR(ABS(R55+S55-T55)&gt;P_Tol,ABS(U55+V55-W55)&gt;P_Tol,ABS(X55+Y55-Z55)&gt;P_Tol),1,0),1))</f>
        <v/>
      </c>
      <c r="BP55" s="124" t="str">
        <f>IF($B55="","",IFERROR(IF(OR(ABS(AR55-SUM(AB55:AM55))&gt;P_Tol,ABS(AS55-(AN55+AO55+AP55+AQ55))&gt;P_Tol),1,0),1))</f>
        <v/>
      </c>
      <c r="BQ55" s="124" t="str">
        <f>IF($B55="","",IFERROR(IF(ABS(AT55)+ABS(AV55)+ABS(AW55)+ABS(AX55)+ABS(AY55)+ABS(AZ55)+ABS(BA55)+ABS(BB55)&gt;0,1,0),1))</f>
        <v/>
      </c>
      <c r="BR55" s="124" t="str">
        <f>IF($B55="","",COUNTIF(STG_ZPMW03!$B$6:$B$505,B55))</f>
        <v/>
      </c>
      <c r="BS55" s="124" t="str">
        <f>IF($B55="","",COUNTIF($B$6:$B$505,B55))</f>
        <v/>
      </c>
      <c r="BT55" s="124" t="str">
        <f>IF($B55="","",IF(BR55=0,0,IF(INDEX(STG_ZPMW03!$I$6:$I$505,MATCH(B55,STG_ZPMW03!$B$6:$B$505,0))=J55&amp;"",0,1)))</f>
        <v/>
      </c>
      <c r="BU55" s="124" t="str">
        <f>IF($B55="","",IFERROR(IF(ABS(INDEX(Mapping!$D$5:$D$104,MATCH(B55,Mapping!$A$5:$A$104,0))-Q55)&gt;P_Tol,1,0),0))</f>
        <v/>
      </c>
      <c r="BV55" s="124" t="str">
        <f>IF($B55="","",IFERROR(IF(AND(INDEX(Mapping!$G$5:$G$104,MATCH(B55,Mapping!$A$5:$A$104,0))="Nee",ABS(Q55)+ABS(Z55)+ABS(AR55)&gt;0),1,0),0))</f>
        <v/>
      </c>
      <c r="BW55" s="124" t="str">
        <f>IF($B55="","",IF(COUNTIF(Mapping!$A$5:$A$104,B55)&gt;0,1,0))</f>
        <v/>
      </c>
      <c r="BX55" s="124" t="str">
        <f>IF($B55="","",IF(BR55=0,COUNTIF($BR$6:BR55,0),""))</f>
        <v/>
      </c>
    </row>
    <row r="56">
      <c r="A56" s="15" t="n">
        <v>52</v>
      </c>
      <c r="B56" t="str">
        <f>IF(B$3=0,"",IF(INDEX(SRC_Woningetalage!$A$1:$ZZ$501,$A56,B$3)&amp;""="","",INDEX(SRC_Woningetalage!$A$1:$ZZ$501,$A56,B$3)&amp;""))</f>
        <v/>
      </c>
      <c r="C56" t="str">
        <f>IF($B56="","",IF(C$3=0,"n.b.",INDEX(SRC_Woningetalage!$A$1:$ZZ$501,$A56,C$3)))</f>
        <v/>
      </c>
      <c r="D56" t="str">
        <f>IF($B56="","",IF(D$3=0,"n.b.",INDEX(SRC_Woningetalage!$A$1:$ZZ$501,$A56,D$3)))</f>
        <v/>
      </c>
      <c r="E56" t="str">
        <f>IF($B56="","",IF(E$3=0,"n.b.",INDEX(SRC_Woningetalage!$A$1:$ZZ$501,$A56,E$3)))</f>
        <v/>
      </c>
      <c r="F56" t="str">
        <f>IF($B56="","",IF(F$3=0,"n.b.",INDEX(SRC_Woningetalage!$A$1:$ZZ$501,$A56,F$3)))</f>
        <v/>
      </c>
      <c r="G56" t="str">
        <f>IF($B56="","",IF(G$3=0,"n.b.",INDEX(SRC_Woningetalage!$A$1:$ZZ$501,$A56,G$3)))</f>
        <v/>
      </c>
      <c r="H56" t="str">
        <f>IF($B56="","",IF(H$3=0,"n.b.",INDEX(SRC_Woningetalage!$A$1:$ZZ$501,$A56,H$3)))</f>
        <v/>
      </c>
      <c r="I56" t="str">
        <f>IF($B56="","",IF(I$3=0,"n.b.",INDEX(SRC_Woningetalage!$A$1:$ZZ$501,$A56,I$3)))</f>
        <v/>
      </c>
      <c r="J56" t="str">
        <f>IF($B56="","",IF(J$3=0,"n.b.",INDEX(SRC_Woningetalage!$A$1:$ZZ$501,$A56,J$3)))</f>
        <v/>
      </c>
      <c r="K56" t="str">
        <f>IF($B56="","",IF(K$3=0,"n.b.",INDEX(SRC_Woningetalage!$A$1:$ZZ$501,$A56,K$3)))</f>
        <v/>
      </c>
      <c r="L56" t="str">
        <f>IF($B56="","",IF(L$3=0,"n.b.",INDEX(SRC_Woningetalage!$A$1:$ZZ$501,$A56,L$3)))</f>
        <v/>
      </c>
      <c r="M56" t="str">
        <f>IF($B56="","",IF(M$3=0,"n.b.",INDEX(SRC_Woningetalage!$A$1:$ZZ$501,$A56,M$3)))</f>
        <v/>
      </c>
      <c r="N56" t="str">
        <f>IF($B56="","",IF(N$3=0,"n.b.",INDEX(SRC_Woningetalage!$A$1:$ZZ$501,$A56,N$3)))</f>
        <v/>
      </c>
      <c r="O56" t="str">
        <f>IF($B56="","",IF(O$3=0,"n.b.",INDEX(SRC_Woningetalage!$A$1:$ZZ$501,$A56,O$3)))</f>
        <v/>
      </c>
      <c r="P56" t="str">
        <f>IF($B56="","",IF(P$3=0,"n.b.",INDEX(SRC_Woningetalage!$A$1:$ZZ$501,$A56,P$3)))</f>
        <v/>
      </c>
      <c r="Q56" s="124" t="str">
        <f>IF($B56="","",IF(Q$3=0,"n.b.",INDEX(SRC_Woningetalage!$A$1:$ZZ$501,$A56,Q$3)))</f>
        <v/>
      </c>
      <c r="R56" s="124" t="str">
        <f>IF($B56="","",IF(R$3=0,"n.b.",INDEX(SRC_Woningetalage!$A$1:$ZZ$501,$A56,R$3)))</f>
        <v/>
      </c>
      <c r="S56" s="124" t="str">
        <f>IF($B56="","",IF(S$3=0,"n.b.",INDEX(SRC_Woningetalage!$A$1:$ZZ$501,$A56,S$3)))</f>
        <v/>
      </c>
      <c r="T56" s="124" t="str">
        <f>IF($B56="","",IF(T$3=0,"n.b.",INDEX(SRC_Woningetalage!$A$1:$ZZ$501,$A56,T$3)))</f>
        <v/>
      </c>
      <c r="U56" s="124" t="str">
        <f>IF($B56="","",IF(U$3=0,"n.b.",INDEX(SRC_Woningetalage!$A$1:$ZZ$501,$A56,U$3)))</f>
        <v/>
      </c>
      <c r="V56" s="124" t="str">
        <f>IF($B56="","",IF(V$3=0,"n.b.",INDEX(SRC_Woningetalage!$A$1:$ZZ$501,$A56,V$3)))</f>
        <v/>
      </c>
      <c r="W56" s="124" t="str">
        <f>IF($B56="","",IF(W$3=0,"n.b.",INDEX(SRC_Woningetalage!$A$1:$ZZ$501,$A56,W$3)))</f>
        <v/>
      </c>
      <c r="X56" s="124" t="str">
        <f>IF($B56="","",IF(X$3=0,"n.b.",INDEX(SRC_Woningetalage!$A$1:$ZZ$501,$A56,X$3)))</f>
        <v/>
      </c>
      <c r="Y56" s="124" t="str">
        <f>IF($B56="","",IF(Y$3=0,"n.b.",INDEX(SRC_Woningetalage!$A$1:$ZZ$501,$A56,Y$3)))</f>
        <v/>
      </c>
      <c r="Z56" s="124" t="str">
        <f>IF($B56="","",IF(Z$3=0,"n.b.",INDEX(SRC_Woningetalage!$A$1:$ZZ$501,$A56,Z$3)))</f>
        <v/>
      </c>
      <c r="AA56" s="124" t="str">
        <f>IF($B56="","",IF(AA$3=0,"n.b.",INDEX(SRC_Woningetalage!$A$1:$ZZ$501,$A56,AA$3)))</f>
        <v/>
      </c>
      <c r="AB56" s="124" t="str">
        <f>IF($B56="","",IF(AB$3=0,"n.b.",INDEX(SRC_Woningetalage!$A$1:$ZZ$501,$A56,AB$3)))</f>
        <v/>
      </c>
      <c r="AC56" s="124" t="str">
        <f>IF($B56="","",IF(AC$3=0,"n.b.",INDEX(SRC_Woningetalage!$A$1:$ZZ$501,$A56,AC$3)))</f>
        <v/>
      </c>
      <c r="AD56" s="124" t="str">
        <f>IF($B56="","",IF(AD$3=0,"n.b.",INDEX(SRC_Woningetalage!$A$1:$ZZ$501,$A56,AD$3)))</f>
        <v/>
      </c>
      <c r="AE56" s="124" t="str">
        <f>IF($B56="","",IF(AE$3=0,"n.b.",INDEX(SRC_Woningetalage!$A$1:$ZZ$501,$A56,AE$3)))</f>
        <v/>
      </c>
      <c r="AF56" s="124" t="str">
        <f>IF($B56="","",IF(AF$3=0,"n.b.",INDEX(SRC_Woningetalage!$A$1:$ZZ$501,$A56,AF$3)))</f>
        <v/>
      </c>
      <c r="AG56" s="124" t="str">
        <f>IF($B56="","",IF(AG$3=0,"n.b.",INDEX(SRC_Woningetalage!$A$1:$ZZ$501,$A56,AG$3)))</f>
        <v/>
      </c>
      <c r="AH56" s="124" t="str">
        <f>IF($B56="","",IF(AH$3=0,"n.b.",INDEX(SRC_Woningetalage!$A$1:$ZZ$501,$A56,AH$3)))</f>
        <v/>
      </c>
      <c r="AI56" s="124" t="str">
        <f>IF($B56="","",IF(AI$3=0,"n.b.",INDEX(SRC_Woningetalage!$A$1:$ZZ$501,$A56,AI$3)))</f>
        <v/>
      </c>
      <c r="AJ56" s="124" t="str">
        <f>IF($B56="","",IF(AJ$3=0,"n.b.",INDEX(SRC_Woningetalage!$A$1:$ZZ$501,$A56,AJ$3)))</f>
        <v/>
      </c>
      <c r="AK56" s="124" t="str">
        <f>IF($B56="","",IF(AK$3=0,"n.b.",INDEX(SRC_Woningetalage!$A$1:$ZZ$501,$A56,AK$3)))</f>
        <v/>
      </c>
      <c r="AL56" s="124" t="str">
        <f>IF($B56="","",IF(AL$3=0,"n.b.",INDEX(SRC_Woningetalage!$A$1:$ZZ$501,$A56,AL$3)))</f>
        <v/>
      </c>
      <c r="AM56" s="124" t="str">
        <f>IF($B56="","",IF(AM$3=0,"n.b.",INDEX(SRC_Woningetalage!$A$1:$ZZ$501,$A56,AM$3)))</f>
        <v/>
      </c>
      <c r="AN56" s="124" t="str">
        <f>IF($B56="","",IF(AN$3=0,"n.b.",INDEX(SRC_Woningetalage!$A$1:$ZZ$501,$A56,AN$3)))</f>
        <v/>
      </c>
      <c r="AO56" s="124" t="str">
        <f>IF($B56="","",IF(AO$3=0,"n.b.",INDEX(SRC_Woningetalage!$A$1:$ZZ$501,$A56,AO$3)))</f>
        <v/>
      </c>
      <c r="AP56" s="124" t="str">
        <f>IF($B56="","",IF(AP$3=0,"n.b.",INDEX(SRC_Woningetalage!$A$1:$ZZ$501,$A56,AP$3)))</f>
        <v/>
      </c>
      <c r="AQ56" s="124" t="str">
        <f>IF($B56="","",IF(AQ$3=0,"n.b.",INDEX(SRC_Woningetalage!$A$1:$ZZ$501,$A56,AQ$3)))</f>
        <v/>
      </c>
      <c r="AR56" s="124" t="str">
        <f>IF($B56="","",IF(AR$3=0,"n.b.",INDEX(SRC_Woningetalage!$A$1:$ZZ$501,$A56,AR$3)))</f>
        <v/>
      </c>
      <c r="AS56" s="124" t="str">
        <f>IF($B56="","",IF(AS$3=0,"n.b.",INDEX(SRC_Woningetalage!$A$1:$ZZ$501,$A56,AS$3)))</f>
        <v/>
      </c>
      <c r="AT56" s="124" t="str">
        <f>IF($B56="","",IF(AT$3=0,"n.b.",INDEX(SRC_Woningetalage!$A$1:$ZZ$501,$A56,AT$3)))</f>
        <v/>
      </c>
      <c r="AU56" s="124" t="str">
        <f>IF($B56="","",IF(AU$3=0,"n.b.",INDEX(SRC_Woningetalage!$A$1:$ZZ$501,$A56,AU$3)))</f>
        <v/>
      </c>
      <c r="AV56" s="124" t="str">
        <f>IF($B56="","",IF(AV$3=0,"n.b.",INDEX(SRC_Woningetalage!$A$1:$ZZ$501,$A56,AV$3)))</f>
        <v/>
      </c>
      <c r="AW56" s="124" t="str">
        <f>IF($B56="","",IF(AW$3=0,"n.b.",INDEX(SRC_Woningetalage!$A$1:$ZZ$501,$A56,AW$3)))</f>
        <v/>
      </c>
      <c r="AX56" s="124" t="str">
        <f>IF($B56="","",IF(AX$3=0,"n.b.",INDEX(SRC_Woningetalage!$A$1:$ZZ$501,$A56,AX$3)))</f>
        <v/>
      </c>
      <c r="AY56" s="124" t="str">
        <f>IF($B56="","",IF(AY$3=0,"n.b.",INDEX(SRC_Woningetalage!$A$1:$ZZ$501,$A56,AY$3)))</f>
        <v/>
      </c>
      <c r="AZ56" s="124" t="str">
        <f>IF($B56="","",IF(AZ$3=0,"n.b.",INDEX(SRC_Woningetalage!$A$1:$ZZ$501,$A56,AZ$3)))</f>
        <v/>
      </c>
      <c r="BA56" s="124" t="str">
        <f>IF($B56="","",IF(BA$3=0,"n.b.",INDEX(SRC_Woningetalage!$A$1:$ZZ$501,$A56,BA$3)))</f>
        <v/>
      </c>
      <c r="BB56" s="124" t="str">
        <f>IF($B56="","",IF(BB$3=0,"n.b.",INDEX(SRC_Woningetalage!$A$1:$ZZ$501,$A56,BB$3)))</f>
        <v/>
      </c>
      <c r="BC56" s="124" t="str">
        <f>IF($B56="","",IFERROR(_xlfn.NUMBERVALUE(E56&amp;"",",","."),"n.b."))</f>
        <v/>
      </c>
      <c r="BD56" s="124" t="str">
        <f>IF($B56="","",IFERROR(_xlfn.NUMBERVALUE(M56&amp;"",",","."),"n.b."))</f>
        <v/>
      </c>
      <c r="BE56" s="124" t="str">
        <f>IF($B56="","",IFERROR(AB56+AC56+AD56,"n.b."))</f>
        <v/>
      </c>
      <c r="BF56" s="124" t="str">
        <f>IF($B56="","",IFERROR(AE56+AF56+AG56,"n.b."))</f>
        <v/>
      </c>
      <c r="BG56" s="124" t="str">
        <f>IF($B56="","",IFERROR(AH56+AI56+AJ56,"n.b."))</f>
        <v/>
      </c>
      <c r="BH56" s="124" t="str">
        <f>IF($B56="","",IFERROR(AK56+AL56+AM56,"n.b."))</f>
        <v/>
      </c>
      <c r="BI56" s="124" t="str">
        <f>IF($B56="","",IFERROR(SUMIF($AB$5:$AM$5,"&lt;="&amp;P_PeilMaand,AB56:AM56),"n.b."))</f>
        <v/>
      </c>
      <c r="BJ56" s="124" t="str">
        <f>IF($B56="","",IFERROR(SUM(AB56:AM56)-BI56,"n.b."))</f>
        <v/>
      </c>
      <c r="BK56" s="124" t="str">
        <f>IF($B56="","",IFERROR(IF(ABS(Q56-(T56+SUM(AB56:AM56)+AS56+AU56))&gt;P_Tol,1,0),1))</f>
        <v/>
      </c>
      <c r="BL56" s="124" t="str">
        <f>IF($B56="","",IFERROR(IF(ABS(AA56-(Q56-Z56))&gt;P_Tol,1,0),1))</f>
        <v/>
      </c>
      <c r="BM56" s="124" t="str">
        <f>IF($B56="","",IFERROR(IF(ABS(Z56-(T56+W56))&gt;P_Tol,1,0),1))</f>
        <v/>
      </c>
      <c r="BN56" s="124" t="str">
        <f>IF($B56="","",IFERROR(IF(ABS(W56-BI56)&gt;P_Tol,1,0),1))</f>
        <v/>
      </c>
      <c r="BO56" s="124" t="str">
        <f>IF($B56="","",IFERROR(IF(OR(ABS(R56+S56-T56)&gt;P_Tol,ABS(U56+V56-W56)&gt;P_Tol,ABS(X56+Y56-Z56)&gt;P_Tol),1,0),1))</f>
        <v/>
      </c>
      <c r="BP56" s="124" t="str">
        <f>IF($B56="","",IFERROR(IF(OR(ABS(AR56-SUM(AB56:AM56))&gt;P_Tol,ABS(AS56-(AN56+AO56+AP56+AQ56))&gt;P_Tol),1,0),1))</f>
        <v/>
      </c>
      <c r="BQ56" s="124" t="str">
        <f>IF($B56="","",IFERROR(IF(ABS(AT56)+ABS(AV56)+ABS(AW56)+ABS(AX56)+ABS(AY56)+ABS(AZ56)+ABS(BA56)+ABS(BB56)&gt;0,1,0),1))</f>
        <v/>
      </c>
      <c r="BR56" s="124" t="str">
        <f>IF($B56="","",COUNTIF(STG_ZPMW03!$B$6:$B$505,B56))</f>
        <v/>
      </c>
      <c r="BS56" s="124" t="str">
        <f>IF($B56="","",COUNTIF($B$6:$B$505,B56))</f>
        <v/>
      </c>
      <c r="BT56" s="124" t="str">
        <f>IF($B56="","",IF(BR56=0,0,IF(INDEX(STG_ZPMW03!$I$6:$I$505,MATCH(B56,STG_ZPMW03!$B$6:$B$505,0))=J56&amp;"",0,1)))</f>
        <v/>
      </c>
      <c r="BU56" s="124" t="str">
        <f>IF($B56="","",IFERROR(IF(ABS(INDEX(Mapping!$D$5:$D$104,MATCH(B56,Mapping!$A$5:$A$104,0))-Q56)&gt;P_Tol,1,0),0))</f>
        <v/>
      </c>
      <c r="BV56" s="124" t="str">
        <f>IF($B56="","",IFERROR(IF(AND(INDEX(Mapping!$G$5:$G$104,MATCH(B56,Mapping!$A$5:$A$104,0))="Nee",ABS(Q56)+ABS(Z56)+ABS(AR56)&gt;0),1,0),0))</f>
        <v/>
      </c>
      <c r="BW56" s="124" t="str">
        <f>IF($B56="","",IF(COUNTIF(Mapping!$A$5:$A$104,B56)&gt;0,1,0))</f>
        <v/>
      </c>
      <c r="BX56" s="124" t="str">
        <f>IF($B56="","",IF(BR56=0,COUNTIF($BR$6:BR56,0),""))</f>
        <v/>
      </c>
    </row>
    <row r="57">
      <c r="A57" s="15" t="n">
        <v>53</v>
      </c>
      <c r="B57" t="str">
        <f>IF(B$3=0,"",IF(INDEX(SRC_Woningetalage!$A$1:$ZZ$501,$A57,B$3)&amp;""="","",INDEX(SRC_Woningetalage!$A$1:$ZZ$501,$A57,B$3)&amp;""))</f>
        <v/>
      </c>
      <c r="C57" t="str">
        <f>IF($B57="","",IF(C$3=0,"n.b.",INDEX(SRC_Woningetalage!$A$1:$ZZ$501,$A57,C$3)))</f>
        <v/>
      </c>
      <c r="D57" t="str">
        <f>IF($B57="","",IF(D$3=0,"n.b.",INDEX(SRC_Woningetalage!$A$1:$ZZ$501,$A57,D$3)))</f>
        <v/>
      </c>
      <c r="E57" t="str">
        <f>IF($B57="","",IF(E$3=0,"n.b.",INDEX(SRC_Woningetalage!$A$1:$ZZ$501,$A57,E$3)))</f>
        <v/>
      </c>
      <c r="F57" t="str">
        <f>IF($B57="","",IF(F$3=0,"n.b.",INDEX(SRC_Woningetalage!$A$1:$ZZ$501,$A57,F$3)))</f>
        <v/>
      </c>
      <c r="G57" t="str">
        <f>IF($B57="","",IF(G$3=0,"n.b.",INDEX(SRC_Woningetalage!$A$1:$ZZ$501,$A57,G$3)))</f>
        <v/>
      </c>
      <c r="H57" t="str">
        <f>IF($B57="","",IF(H$3=0,"n.b.",INDEX(SRC_Woningetalage!$A$1:$ZZ$501,$A57,H$3)))</f>
        <v/>
      </c>
      <c r="I57" t="str">
        <f>IF($B57="","",IF(I$3=0,"n.b.",INDEX(SRC_Woningetalage!$A$1:$ZZ$501,$A57,I$3)))</f>
        <v/>
      </c>
      <c r="J57" t="str">
        <f>IF($B57="","",IF(J$3=0,"n.b.",INDEX(SRC_Woningetalage!$A$1:$ZZ$501,$A57,J$3)))</f>
        <v/>
      </c>
      <c r="K57" t="str">
        <f>IF($B57="","",IF(K$3=0,"n.b.",INDEX(SRC_Woningetalage!$A$1:$ZZ$501,$A57,K$3)))</f>
        <v/>
      </c>
      <c r="L57" t="str">
        <f>IF($B57="","",IF(L$3=0,"n.b.",INDEX(SRC_Woningetalage!$A$1:$ZZ$501,$A57,L$3)))</f>
        <v/>
      </c>
      <c r="M57" t="str">
        <f>IF($B57="","",IF(M$3=0,"n.b.",INDEX(SRC_Woningetalage!$A$1:$ZZ$501,$A57,M$3)))</f>
        <v/>
      </c>
      <c r="N57" t="str">
        <f>IF($B57="","",IF(N$3=0,"n.b.",INDEX(SRC_Woningetalage!$A$1:$ZZ$501,$A57,N$3)))</f>
        <v/>
      </c>
      <c r="O57" t="str">
        <f>IF($B57="","",IF(O$3=0,"n.b.",INDEX(SRC_Woningetalage!$A$1:$ZZ$501,$A57,O$3)))</f>
        <v/>
      </c>
      <c r="P57" t="str">
        <f>IF($B57="","",IF(P$3=0,"n.b.",INDEX(SRC_Woningetalage!$A$1:$ZZ$501,$A57,P$3)))</f>
        <v/>
      </c>
      <c r="Q57" s="124" t="str">
        <f>IF($B57="","",IF(Q$3=0,"n.b.",INDEX(SRC_Woningetalage!$A$1:$ZZ$501,$A57,Q$3)))</f>
        <v/>
      </c>
      <c r="R57" s="124" t="str">
        <f>IF($B57="","",IF(R$3=0,"n.b.",INDEX(SRC_Woningetalage!$A$1:$ZZ$501,$A57,R$3)))</f>
        <v/>
      </c>
      <c r="S57" s="124" t="str">
        <f>IF($B57="","",IF(S$3=0,"n.b.",INDEX(SRC_Woningetalage!$A$1:$ZZ$501,$A57,S$3)))</f>
        <v/>
      </c>
      <c r="T57" s="124" t="str">
        <f>IF($B57="","",IF(T$3=0,"n.b.",INDEX(SRC_Woningetalage!$A$1:$ZZ$501,$A57,T$3)))</f>
        <v/>
      </c>
      <c r="U57" s="124" t="str">
        <f>IF($B57="","",IF(U$3=0,"n.b.",INDEX(SRC_Woningetalage!$A$1:$ZZ$501,$A57,U$3)))</f>
        <v/>
      </c>
      <c r="V57" s="124" t="str">
        <f>IF($B57="","",IF(V$3=0,"n.b.",INDEX(SRC_Woningetalage!$A$1:$ZZ$501,$A57,V$3)))</f>
        <v/>
      </c>
      <c r="W57" s="124" t="str">
        <f>IF($B57="","",IF(W$3=0,"n.b.",INDEX(SRC_Woningetalage!$A$1:$ZZ$501,$A57,W$3)))</f>
        <v/>
      </c>
      <c r="X57" s="124" t="str">
        <f>IF($B57="","",IF(X$3=0,"n.b.",INDEX(SRC_Woningetalage!$A$1:$ZZ$501,$A57,X$3)))</f>
        <v/>
      </c>
      <c r="Y57" s="124" t="str">
        <f>IF($B57="","",IF(Y$3=0,"n.b.",INDEX(SRC_Woningetalage!$A$1:$ZZ$501,$A57,Y$3)))</f>
        <v/>
      </c>
      <c r="Z57" s="124" t="str">
        <f>IF($B57="","",IF(Z$3=0,"n.b.",INDEX(SRC_Woningetalage!$A$1:$ZZ$501,$A57,Z$3)))</f>
        <v/>
      </c>
      <c r="AA57" s="124" t="str">
        <f>IF($B57="","",IF(AA$3=0,"n.b.",INDEX(SRC_Woningetalage!$A$1:$ZZ$501,$A57,AA$3)))</f>
        <v/>
      </c>
      <c r="AB57" s="124" t="str">
        <f>IF($B57="","",IF(AB$3=0,"n.b.",INDEX(SRC_Woningetalage!$A$1:$ZZ$501,$A57,AB$3)))</f>
        <v/>
      </c>
      <c r="AC57" s="124" t="str">
        <f>IF($B57="","",IF(AC$3=0,"n.b.",INDEX(SRC_Woningetalage!$A$1:$ZZ$501,$A57,AC$3)))</f>
        <v/>
      </c>
      <c r="AD57" s="124" t="str">
        <f>IF($B57="","",IF(AD$3=0,"n.b.",INDEX(SRC_Woningetalage!$A$1:$ZZ$501,$A57,AD$3)))</f>
        <v/>
      </c>
      <c r="AE57" s="124" t="str">
        <f>IF($B57="","",IF(AE$3=0,"n.b.",INDEX(SRC_Woningetalage!$A$1:$ZZ$501,$A57,AE$3)))</f>
        <v/>
      </c>
      <c r="AF57" s="124" t="str">
        <f>IF($B57="","",IF(AF$3=0,"n.b.",INDEX(SRC_Woningetalage!$A$1:$ZZ$501,$A57,AF$3)))</f>
        <v/>
      </c>
      <c r="AG57" s="124" t="str">
        <f>IF($B57="","",IF(AG$3=0,"n.b.",INDEX(SRC_Woningetalage!$A$1:$ZZ$501,$A57,AG$3)))</f>
        <v/>
      </c>
      <c r="AH57" s="124" t="str">
        <f>IF($B57="","",IF(AH$3=0,"n.b.",INDEX(SRC_Woningetalage!$A$1:$ZZ$501,$A57,AH$3)))</f>
        <v/>
      </c>
      <c r="AI57" s="124" t="str">
        <f>IF($B57="","",IF(AI$3=0,"n.b.",INDEX(SRC_Woningetalage!$A$1:$ZZ$501,$A57,AI$3)))</f>
        <v/>
      </c>
      <c r="AJ57" s="124" t="str">
        <f>IF($B57="","",IF(AJ$3=0,"n.b.",INDEX(SRC_Woningetalage!$A$1:$ZZ$501,$A57,AJ$3)))</f>
        <v/>
      </c>
      <c r="AK57" s="124" t="str">
        <f>IF($B57="","",IF(AK$3=0,"n.b.",INDEX(SRC_Woningetalage!$A$1:$ZZ$501,$A57,AK$3)))</f>
        <v/>
      </c>
      <c r="AL57" s="124" t="str">
        <f>IF($B57="","",IF(AL$3=0,"n.b.",INDEX(SRC_Woningetalage!$A$1:$ZZ$501,$A57,AL$3)))</f>
        <v/>
      </c>
      <c r="AM57" s="124" t="str">
        <f>IF($B57="","",IF(AM$3=0,"n.b.",INDEX(SRC_Woningetalage!$A$1:$ZZ$501,$A57,AM$3)))</f>
        <v/>
      </c>
      <c r="AN57" s="124" t="str">
        <f>IF($B57="","",IF(AN$3=0,"n.b.",INDEX(SRC_Woningetalage!$A$1:$ZZ$501,$A57,AN$3)))</f>
        <v/>
      </c>
      <c r="AO57" s="124" t="str">
        <f>IF($B57="","",IF(AO$3=0,"n.b.",INDEX(SRC_Woningetalage!$A$1:$ZZ$501,$A57,AO$3)))</f>
        <v/>
      </c>
      <c r="AP57" s="124" t="str">
        <f>IF($B57="","",IF(AP$3=0,"n.b.",INDEX(SRC_Woningetalage!$A$1:$ZZ$501,$A57,AP$3)))</f>
        <v/>
      </c>
      <c r="AQ57" s="124" t="str">
        <f>IF($B57="","",IF(AQ$3=0,"n.b.",INDEX(SRC_Woningetalage!$A$1:$ZZ$501,$A57,AQ$3)))</f>
        <v/>
      </c>
      <c r="AR57" s="124" t="str">
        <f>IF($B57="","",IF(AR$3=0,"n.b.",INDEX(SRC_Woningetalage!$A$1:$ZZ$501,$A57,AR$3)))</f>
        <v/>
      </c>
      <c r="AS57" s="124" t="str">
        <f>IF($B57="","",IF(AS$3=0,"n.b.",INDEX(SRC_Woningetalage!$A$1:$ZZ$501,$A57,AS$3)))</f>
        <v/>
      </c>
      <c r="AT57" s="124" t="str">
        <f>IF($B57="","",IF(AT$3=0,"n.b.",INDEX(SRC_Woningetalage!$A$1:$ZZ$501,$A57,AT$3)))</f>
        <v/>
      </c>
      <c r="AU57" s="124" t="str">
        <f>IF($B57="","",IF(AU$3=0,"n.b.",INDEX(SRC_Woningetalage!$A$1:$ZZ$501,$A57,AU$3)))</f>
        <v/>
      </c>
      <c r="AV57" s="124" t="str">
        <f>IF($B57="","",IF(AV$3=0,"n.b.",INDEX(SRC_Woningetalage!$A$1:$ZZ$501,$A57,AV$3)))</f>
        <v/>
      </c>
      <c r="AW57" s="124" t="str">
        <f>IF($B57="","",IF(AW$3=0,"n.b.",INDEX(SRC_Woningetalage!$A$1:$ZZ$501,$A57,AW$3)))</f>
        <v/>
      </c>
      <c r="AX57" s="124" t="str">
        <f>IF($B57="","",IF(AX$3=0,"n.b.",INDEX(SRC_Woningetalage!$A$1:$ZZ$501,$A57,AX$3)))</f>
        <v/>
      </c>
      <c r="AY57" s="124" t="str">
        <f>IF($B57="","",IF(AY$3=0,"n.b.",INDEX(SRC_Woningetalage!$A$1:$ZZ$501,$A57,AY$3)))</f>
        <v/>
      </c>
      <c r="AZ57" s="124" t="str">
        <f>IF($B57="","",IF(AZ$3=0,"n.b.",INDEX(SRC_Woningetalage!$A$1:$ZZ$501,$A57,AZ$3)))</f>
        <v/>
      </c>
      <c r="BA57" s="124" t="str">
        <f>IF($B57="","",IF(BA$3=0,"n.b.",INDEX(SRC_Woningetalage!$A$1:$ZZ$501,$A57,BA$3)))</f>
        <v/>
      </c>
      <c r="BB57" s="124" t="str">
        <f>IF($B57="","",IF(BB$3=0,"n.b.",INDEX(SRC_Woningetalage!$A$1:$ZZ$501,$A57,BB$3)))</f>
        <v/>
      </c>
      <c r="BC57" s="124" t="str">
        <f>IF($B57="","",IFERROR(_xlfn.NUMBERVALUE(E57&amp;"",",","."),"n.b."))</f>
        <v/>
      </c>
      <c r="BD57" s="124" t="str">
        <f>IF($B57="","",IFERROR(_xlfn.NUMBERVALUE(M57&amp;"",",","."),"n.b."))</f>
        <v/>
      </c>
      <c r="BE57" s="124" t="str">
        <f>IF($B57="","",IFERROR(AB57+AC57+AD57,"n.b."))</f>
        <v/>
      </c>
      <c r="BF57" s="124" t="str">
        <f>IF($B57="","",IFERROR(AE57+AF57+AG57,"n.b."))</f>
        <v/>
      </c>
      <c r="BG57" s="124" t="str">
        <f>IF($B57="","",IFERROR(AH57+AI57+AJ57,"n.b."))</f>
        <v/>
      </c>
      <c r="BH57" s="124" t="str">
        <f>IF($B57="","",IFERROR(AK57+AL57+AM57,"n.b."))</f>
        <v/>
      </c>
      <c r="BI57" s="124" t="str">
        <f>IF($B57="","",IFERROR(SUMIF($AB$5:$AM$5,"&lt;="&amp;P_PeilMaand,AB57:AM57),"n.b."))</f>
        <v/>
      </c>
      <c r="BJ57" s="124" t="str">
        <f>IF($B57="","",IFERROR(SUM(AB57:AM57)-BI57,"n.b."))</f>
        <v/>
      </c>
      <c r="BK57" s="124" t="str">
        <f>IF($B57="","",IFERROR(IF(ABS(Q57-(T57+SUM(AB57:AM57)+AS57+AU57))&gt;P_Tol,1,0),1))</f>
        <v/>
      </c>
      <c r="BL57" s="124" t="str">
        <f>IF($B57="","",IFERROR(IF(ABS(AA57-(Q57-Z57))&gt;P_Tol,1,0),1))</f>
        <v/>
      </c>
      <c r="BM57" s="124" t="str">
        <f>IF($B57="","",IFERROR(IF(ABS(Z57-(T57+W57))&gt;P_Tol,1,0),1))</f>
        <v/>
      </c>
      <c r="BN57" s="124" t="str">
        <f>IF($B57="","",IFERROR(IF(ABS(W57-BI57)&gt;P_Tol,1,0),1))</f>
        <v/>
      </c>
      <c r="BO57" s="124" t="str">
        <f>IF($B57="","",IFERROR(IF(OR(ABS(R57+S57-T57)&gt;P_Tol,ABS(U57+V57-W57)&gt;P_Tol,ABS(X57+Y57-Z57)&gt;P_Tol),1,0),1))</f>
        <v/>
      </c>
      <c r="BP57" s="124" t="str">
        <f>IF($B57="","",IFERROR(IF(OR(ABS(AR57-SUM(AB57:AM57))&gt;P_Tol,ABS(AS57-(AN57+AO57+AP57+AQ57))&gt;P_Tol),1,0),1))</f>
        <v/>
      </c>
      <c r="BQ57" s="124" t="str">
        <f>IF($B57="","",IFERROR(IF(ABS(AT57)+ABS(AV57)+ABS(AW57)+ABS(AX57)+ABS(AY57)+ABS(AZ57)+ABS(BA57)+ABS(BB57)&gt;0,1,0),1))</f>
        <v/>
      </c>
      <c r="BR57" s="124" t="str">
        <f>IF($B57="","",COUNTIF(STG_ZPMW03!$B$6:$B$505,B57))</f>
        <v/>
      </c>
      <c r="BS57" s="124" t="str">
        <f>IF($B57="","",COUNTIF($B$6:$B$505,B57))</f>
        <v/>
      </c>
      <c r="BT57" s="124" t="str">
        <f>IF($B57="","",IF(BR57=0,0,IF(INDEX(STG_ZPMW03!$I$6:$I$505,MATCH(B57,STG_ZPMW03!$B$6:$B$505,0))=J57&amp;"",0,1)))</f>
        <v/>
      </c>
      <c r="BU57" s="124" t="str">
        <f>IF($B57="","",IFERROR(IF(ABS(INDEX(Mapping!$D$5:$D$104,MATCH(B57,Mapping!$A$5:$A$104,0))-Q57)&gt;P_Tol,1,0),0))</f>
        <v/>
      </c>
      <c r="BV57" s="124" t="str">
        <f>IF($B57="","",IFERROR(IF(AND(INDEX(Mapping!$G$5:$G$104,MATCH(B57,Mapping!$A$5:$A$104,0))="Nee",ABS(Q57)+ABS(Z57)+ABS(AR57)&gt;0),1,0),0))</f>
        <v/>
      </c>
      <c r="BW57" s="124" t="str">
        <f>IF($B57="","",IF(COUNTIF(Mapping!$A$5:$A$104,B57)&gt;0,1,0))</f>
        <v/>
      </c>
      <c r="BX57" s="124" t="str">
        <f>IF($B57="","",IF(BR57=0,COUNTIF($BR$6:BR57,0),""))</f>
        <v/>
      </c>
    </row>
    <row r="58">
      <c r="A58" s="15" t="n">
        <v>54</v>
      </c>
      <c r="B58" t="str">
        <f>IF(B$3=0,"",IF(INDEX(SRC_Woningetalage!$A$1:$ZZ$501,$A58,B$3)&amp;""="","",INDEX(SRC_Woningetalage!$A$1:$ZZ$501,$A58,B$3)&amp;""))</f>
        <v/>
      </c>
      <c r="C58" t="str">
        <f>IF($B58="","",IF(C$3=0,"n.b.",INDEX(SRC_Woningetalage!$A$1:$ZZ$501,$A58,C$3)))</f>
        <v/>
      </c>
      <c r="D58" t="str">
        <f>IF($B58="","",IF(D$3=0,"n.b.",INDEX(SRC_Woningetalage!$A$1:$ZZ$501,$A58,D$3)))</f>
        <v/>
      </c>
      <c r="E58" t="str">
        <f>IF($B58="","",IF(E$3=0,"n.b.",INDEX(SRC_Woningetalage!$A$1:$ZZ$501,$A58,E$3)))</f>
        <v/>
      </c>
      <c r="F58" t="str">
        <f>IF($B58="","",IF(F$3=0,"n.b.",INDEX(SRC_Woningetalage!$A$1:$ZZ$501,$A58,F$3)))</f>
        <v/>
      </c>
      <c r="G58" t="str">
        <f>IF($B58="","",IF(G$3=0,"n.b.",INDEX(SRC_Woningetalage!$A$1:$ZZ$501,$A58,G$3)))</f>
        <v/>
      </c>
      <c r="H58" t="str">
        <f>IF($B58="","",IF(H$3=0,"n.b.",INDEX(SRC_Woningetalage!$A$1:$ZZ$501,$A58,H$3)))</f>
        <v/>
      </c>
      <c r="I58" t="str">
        <f>IF($B58="","",IF(I$3=0,"n.b.",INDEX(SRC_Woningetalage!$A$1:$ZZ$501,$A58,I$3)))</f>
        <v/>
      </c>
      <c r="J58" t="str">
        <f>IF($B58="","",IF(J$3=0,"n.b.",INDEX(SRC_Woningetalage!$A$1:$ZZ$501,$A58,J$3)))</f>
        <v/>
      </c>
      <c r="K58" t="str">
        <f>IF($B58="","",IF(K$3=0,"n.b.",INDEX(SRC_Woningetalage!$A$1:$ZZ$501,$A58,K$3)))</f>
        <v/>
      </c>
      <c r="L58" t="str">
        <f>IF($B58="","",IF(L$3=0,"n.b.",INDEX(SRC_Woningetalage!$A$1:$ZZ$501,$A58,L$3)))</f>
        <v/>
      </c>
      <c r="M58" t="str">
        <f>IF($B58="","",IF(M$3=0,"n.b.",INDEX(SRC_Woningetalage!$A$1:$ZZ$501,$A58,M$3)))</f>
        <v/>
      </c>
      <c r="N58" t="str">
        <f>IF($B58="","",IF(N$3=0,"n.b.",INDEX(SRC_Woningetalage!$A$1:$ZZ$501,$A58,N$3)))</f>
        <v/>
      </c>
      <c r="O58" t="str">
        <f>IF($B58="","",IF(O$3=0,"n.b.",INDEX(SRC_Woningetalage!$A$1:$ZZ$501,$A58,O$3)))</f>
        <v/>
      </c>
      <c r="P58" t="str">
        <f>IF($B58="","",IF(P$3=0,"n.b.",INDEX(SRC_Woningetalage!$A$1:$ZZ$501,$A58,P$3)))</f>
        <v/>
      </c>
      <c r="Q58" s="124" t="str">
        <f>IF($B58="","",IF(Q$3=0,"n.b.",INDEX(SRC_Woningetalage!$A$1:$ZZ$501,$A58,Q$3)))</f>
        <v/>
      </c>
      <c r="R58" s="124" t="str">
        <f>IF($B58="","",IF(R$3=0,"n.b.",INDEX(SRC_Woningetalage!$A$1:$ZZ$501,$A58,R$3)))</f>
        <v/>
      </c>
      <c r="S58" s="124" t="str">
        <f>IF($B58="","",IF(S$3=0,"n.b.",INDEX(SRC_Woningetalage!$A$1:$ZZ$501,$A58,S$3)))</f>
        <v/>
      </c>
      <c r="T58" s="124" t="str">
        <f>IF($B58="","",IF(T$3=0,"n.b.",INDEX(SRC_Woningetalage!$A$1:$ZZ$501,$A58,T$3)))</f>
        <v/>
      </c>
      <c r="U58" s="124" t="str">
        <f>IF($B58="","",IF(U$3=0,"n.b.",INDEX(SRC_Woningetalage!$A$1:$ZZ$501,$A58,U$3)))</f>
        <v/>
      </c>
      <c r="V58" s="124" t="str">
        <f>IF($B58="","",IF(V$3=0,"n.b.",INDEX(SRC_Woningetalage!$A$1:$ZZ$501,$A58,V$3)))</f>
        <v/>
      </c>
      <c r="W58" s="124" t="str">
        <f>IF($B58="","",IF(W$3=0,"n.b.",INDEX(SRC_Woningetalage!$A$1:$ZZ$501,$A58,W$3)))</f>
        <v/>
      </c>
      <c r="X58" s="124" t="str">
        <f>IF($B58="","",IF(X$3=0,"n.b.",INDEX(SRC_Woningetalage!$A$1:$ZZ$501,$A58,X$3)))</f>
        <v/>
      </c>
      <c r="Y58" s="124" t="str">
        <f>IF($B58="","",IF(Y$3=0,"n.b.",INDEX(SRC_Woningetalage!$A$1:$ZZ$501,$A58,Y$3)))</f>
        <v/>
      </c>
      <c r="Z58" s="124" t="str">
        <f>IF($B58="","",IF(Z$3=0,"n.b.",INDEX(SRC_Woningetalage!$A$1:$ZZ$501,$A58,Z$3)))</f>
        <v/>
      </c>
      <c r="AA58" s="124" t="str">
        <f>IF($B58="","",IF(AA$3=0,"n.b.",INDEX(SRC_Woningetalage!$A$1:$ZZ$501,$A58,AA$3)))</f>
        <v/>
      </c>
      <c r="AB58" s="124" t="str">
        <f>IF($B58="","",IF(AB$3=0,"n.b.",INDEX(SRC_Woningetalage!$A$1:$ZZ$501,$A58,AB$3)))</f>
        <v/>
      </c>
      <c r="AC58" s="124" t="str">
        <f>IF($B58="","",IF(AC$3=0,"n.b.",INDEX(SRC_Woningetalage!$A$1:$ZZ$501,$A58,AC$3)))</f>
        <v/>
      </c>
      <c r="AD58" s="124" t="str">
        <f>IF($B58="","",IF(AD$3=0,"n.b.",INDEX(SRC_Woningetalage!$A$1:$ZZ$501,$A58,AD$3)))</f>
        <v/>
      </c>
      <c r="AE58" s="124" t="str">
        <f>IF($B58="","",IF(AE$3=0,"n.b.",INDEX(SRC_Woningetalage!$A$1:$ZZ$501,$A58,AE$3)))</f>
        <v/>
      </c>
      <c r="AF58" s="124" t="str">
        <f>IF($B58="","",IF(AF$3=0,"n.b.",INDEX(SRC_Woningetalage!$A$1:$ZZ$501,$A58,AF$3)))</f>
        <v/>
      </c>
      <c r="AG58" s="124" t="str">
        <f>IF($B58="","",IF(AG$3=0,"n.b.",INDEX(SRC_Woningetalage!$A$1:$ZZ$501,$A58,AG$3)))</f>
        <v/>
      </c>
      <c r="AH58" s="124" t="str">
        <f>IF($B58="","",IF(AH$3=0,"n.b.",INDEX(SRC_Woningetalage!$A$1:$ZZ$501,$A58,AH$3)))</f>
        <v/>
      </c>
      <c r="AI58" s="124" t="str">
        <f>IF($B58="","",IF(AI$3=0,"n.b.",INDEX(SRC_Woningetalage!$A$1:$ZZ$501,$A58,AI$3)))</f>
        <v/>
      </c>
      <c r="AJ58" s="124" t="str">
        <f>IF($B58="","",IF(AJ$3=0,"n.b.",INDEX(SRC_Woningetalage!$A$1:$ZZ$501,$A58,AJ$3)))</f>
        <v/>
      </c>
      <c r="AK58" s="124" t="str">
        <f>IF($B58="","",IF(AK$3=0,"n.b.",INDEX(SRC_Woningetalage!$A$1:$ZZ$501,$A58,AK$3)))</f>
        <v/>
      </c>
      <c r="AL58" s="124" t="str">
        <f>IF($B58="","",IF(AL$3=0,"n.b.",INDEX(SRC_Woningetalage!$A$1:$ZZ$501,$A58,AL$3)))</f>
        <v/>
      </c>
      <c r="AM58" s="124" t="str">
        <f>IF($B58="","",IF(AM$3=0,"n.b.",INDEX(SRC_Woningetalage!$A$1:$ZZ$501,$A58,AM$3)))</f>
        <v/>
      </c>
      <c r="AN58" s="124" t="str">
        <f>IF($B58="","",IF(AN$3=0,"n.b.",INDEX(SRC_Woningetalage!$A$1:$ZZ$501,$A58,AN$3)))</f>
        <v/>
      </c>
      <c r="AO58" s="124" t="str">
        <f>IF($B58="","",IF(AO$3=0,"n.b.",INDEX(SRC_Woningetalage!$A$1:$ZZ$501,$A58,AO$3)))</f>
        <v/>
      </c>
      <c r="AP58" s="124" t="str">
        <f>IF($B58="","",IF(AP$3=0,"n.b.",INDEX(SRC_Woningetalage!$A$1:$ZZ$501,$A58,AP$3)))</f>
        <v/>
      </c>
      <c r="AQ58" s="124" t="str">
        <f>IF($B58="","",IF(AQ$3=0,"n.b.",INDEX(SRC_Woningetalage!$A$1:$ZZ$501,$A58,AQ$3)))</f>
        <v/>
      </c>
      <c r="AR58" s="124" t="str">
        <f>IF($B58="","",IF(AR$3=0,"n.b.",INDEX(SRC_Woningetalage!$A$1:$ZZ$501,$A58,AR$3)))</f>
        <v/>
      </c>
      <c r="AS58" s="124" t="str">
        <f>IF($B58="","",IF(AS$3=0,"n.b.",INDEX(SRC_Woningetalage!$A$1:$ZZ$501,$A58,AS$3)))</f>
        <v/>
      </c>
      <c r="AT58" s="124" t="str">
        <f>IF($B58="","",IF(AT$3=0,"n.b.",INDEX(SRC_Woningetalage!$A$1:$ZZ$501,$A58,AT$3)))</f>
        <v/>
      </c>
      <c r="AU58" s="124" t="str">
        <f>IF($B58="","",IF(AU$3=0,"n.b.",INDEX(SRC_Woningetalage!$A$1:$ZZ$501,$A58,AU$3)))</f>
        <v/>
      </c>
      <c r="AV58" s="124" t="str">
        <f>IF($B58="","",IF(AV$3=0,"n.b.",INDEX(SRC_Woningetalage!$A$1:$ZZ$501,$A58,AV$3)))</f>
        <v/>
      </c>
      <c r="AW58" s="124" t="str">
        <f>IF($B58="","",IF(AW$3=0,"n.b.",INDEX(SRC_Woningetalage!$A$1:$ZZ$501,$A58,AW$3)))</f>
        <v/>
      </c>
      <c r="AX58" s="124" t="str">
        <f>IF($B58="","",IF(AX$3=0,"n.b.",INDEX(SRC_Woningetalage!$A$1:$ZZ$501,$A58,AX$3)))</f>
        <v/>
      </c>
      <c r="AY58" s="124" t="str">
        <f>IF($B58="","",IF(AY$3=0,"n.b.",INDEX(SRC_Woningetalage!$A$1:$ZZ$501,$A58,AY$3)))</f>
        <v/>
      </c>
      <c r="AZ58" s="124" t="str">
        <f>IF($B58="","",IF(AZ$3=0,"n.b.",INDEX(SRC_Woningetalage!$A$1:$ZZ$501,$A58,AZ$3)))</f>
        <v/>
      </c>
      <c r="BA58" s="124" t="str">
        <f>IF($B58="","",IF(BA$3=0,"n.b.",INDEX(SRC_Woningetalage!$A$1:$ZZ$501,$A58,BA$3)))</f>
        <v/>
      </c>
      <c r="BB58" s="124" t="str">
        <f>IF($B58="","",IF(BB$3=0,"n.b.",INDEX(SRC_Woningetalage!$A$1:$ZZ$501,$A58,BB$3)))</f>
        <v/>
      </c>
      <c r="BC58" s="124" t="str">
        <f>IF($B58="","",IFERROR(_xlfn.NUMBERVALUE(E58&amp;"",",","."),"n.b."))</f>
        <v/>
      </c>
      <c r="BD58" s="124" t="str">
        <f>IF($B58="","",IFERROR(_xlfn.NUMBERVALUE(M58&amp;"",",","."),"n.b."))</f>
        <v/>
      </c>
      <c r="BE58" s="124" t="str">
        <f>IF($B58="","",IFERROR(AB58+AC58+AD58,"n.b."))</f>
        <v/>
      </c>
      <c r="BF58" s="124" t="str">
        <f>IF($B58="","",IFERROR(AE58+AF58+AG58,"n.b."))</f>
        <v/>
      </c>
      <c r="BG58" s="124" t="str">
        <f>IF($B58="","",IFERROR(AH58+AI58+AJ58,"n.b."))</f>
        <v/>
      </c>
      <c r="BH58" s="124" t="str">
        <f>IF($B58="","",IFERROR(AK58+AL58+AM58,"n.b."))</f>
        <v/>
      </c>
      <c r="BI58" s="124" t="str">
        <f>IF($B58="","",IFERROR(SUMIF($AB$5:$AM$5,"&lt;="&amp;P_PeilMaand,AB58:AM58),"n.b."))</f>
        <v/>
      </c>
      <c r="BJ58" s="124" t="str">
        <f>IF($B58="","",IFERROR(SUM(AB58:AM58)-BI58,"n.b."))</f>
        <v/>
      </c>
      <c r="BK58" s="124" t="str">
        <f>IF($B58="","",IFERROR(IF(ABS(Q58-(T58+SUM(AB58:AM58)+AS58+AU58))&gt;P_Tol,1,0),1))</f>
        <v/>
      </c>
      <c r="BL58" s="124" t="str">
        <f>IF($B58="","",IFERROR(IF(ABS(AA58-(Q58-Z58))&gt;P_Tol,1,0),1))</f>
        <v/>
      </c>
      <c r="BM58" s="124" t="str">
        <f>IF($B58="","",IFERROR(IF(ABS(Z58-(T58+W58))&gt;P_Tol,1,0),1))</f>
        <v/>
      </c>
      <c r="BN58" s="124" t="str">
        <f>IF($B58="","",IFERROR(IF(ABS(W58-BI58)&gt;P_Tol,1,0),1))</f>
        <v/>
      </c>
      <c r="BO58" s="124" t="str">
        <f>IF($B58="","",IFERROR(IF(OR(ABS(R58+S58-T58)&gt;P_Tol,ABS(U58+V58-W58)&gt;P_Tol,ABS(X58+Y58-Z58)&gt;P_Tol),1,0),1))</f>
        <v/>
      </c>
      <c r="BP58" s="124" t="str">
        <f>IF($B58="","",IFERROR(IF(OR(ABS(AR58-SUM(AB58:AM58))&gt;P_Tol,ABS(AS58-(AN58+AO58+AP58+AQ58))&gt;P_Tol),1,0),1))</f>
        <v/>
      </c>
      <c r="BQ58" s="124" t="str">
        <f>IF($B58="","",IFERROR(IF(ABS(AT58)+ABS(AV58)+ABS(AW58)+ABS(AX58)+ABS(AY58)+ABS(AZ58)+ABS(BA58)+ABS(BB58)&gt;0,1,0),1))</f>
        <v/>
      </c>
      <c r="BR58" s="124" t="str">
        <f>IF($B58="","",COUNTIF(STG_ZPMW03!$B$6:$B$505,B58))</f>
        <v/>
      </c>
      <c r="BS58" s="124" t="str">
        <f>IF($B58="","",COUNTIF($B$6:$B$505,B58))</f>
        <v/>
      </c>
      <c r="BT58" s="124" t="str">
        <f>IF($B58="","",IF(BR58=0,0,IF(INDEX(STG_ZPMW03!$I$6:$I$505,MATCH(B58,STG_ZPMW03!$B$6:$B$505,0))=J58&amp;"",0,1)))</f>
        <v/>
      </c>
      <c r="BU58" s="124" t="str">
        <f>IF($B58="","",IFERROR(IF(ABS(INDEX(Mapping!$D$5:$D$104,MATCH(B58,Mapping!$A$5:$A$104,0))-Q58)&gt;P_Tol,1,0),0))</f>
        <v/>
      </c>
      <c r="BV58" s="124" t="str">
        <f>IF($B58="","",IFERROR(IF(AND(INDEX(Mapping!$G$5:$G$104,MATCH(B58,Mapping!$A$5:$A$104,0))="Nee",ABS(Q58)+ABS(Z58)+ABS(AR58)&gt;0),1,0),0))</f>
        <v/>
      </c>
      <c r="BW58" s="124" t="str">
        <f>IF($B58="","",IF(COUNTIF(Mapping!$A$5:$A$104,B58)&gt;0,1,0))</f>
        <v/>
      </c>
      <c r="BX58" s="124" t="str">
        <f>IF($B58="","",IF(BR58=0,COUNTIF($BR$6:BR58,0),""))</f>
        <v/>
      </c>
    </row>
    <row r="59">
      <c r="A59" s="15" t="n">
        <v>55</v>
      </c>
      <c r="B59" t="str">
        <f>IF(B$3=0,"",IF(INDEX(SRC_Woningetalage!$A$1:$ZZ$501,$A59,B$3)&amp;""="","",INDEX(SRC_Woningetalage!$A$1:$ZZ$501,$A59,B$3)&amp;""))</f>
        <v/>
      </c>
      <c r="C59" t="str">
        <f>IF($B59="","",IF(C$3=0,"n.b.",INDEX(SRC_Woningetalage!$A$1:$ZZ$501,$A59,C$3)))</f>
        <v/>
      </c>
      <c r="D59" t="str">
        <f>IF($B59="","",IF(D$3=0,"n.b.",INDEX(SRC_Woningetalage!$A$1:$ZZ$501,$A59,D$3)))</f>
        <v/>
      </c>
      <c r="E59" t="str">
        <f>IF($B59="","",IF(E$3=0,"n.b.",INDEX(SRC_Woningetalage!$A$1:$ZZ$501,$A59,E$3)))</f>
        <v/>
      </c>
      <c r="F59" t="str">
        <f>IF($B59="","",IF(F$3=0,"n.b.",INDEX(SRC_Woningetalage!$A$1:$ZZ$501,$A59,F$3)))</f>
        <v/>
      </c>
      <c r="G59" t="str">
        <f>IF($B59="","",IF(G$3=0,"n.b.",INDEX(SRC_Woningetalage!$A$1:$ZZ$501,$A59,G$3)))</f>
        <v/>
      </c>
      <c r="H59" t="str">
        <f>IF($B59="","",IF(H$3=0,"n.b.",INDEX(SRC_Woningetalage!$A$1:$ZZ$501,$A59,H$3)))</f>
        <v/>
      </c>
      <c r="I59" t="str">
        <f>IF($B59="","",IF(I$3=0,"n.b.",INDEX(SRC_Woningetalage!$A$1:$ZZ$501,$A59,I$3)))</f>
        <v/>
      </c>
      <c r="J59" t="str">
        <f>IF($B59="","",IF(J$3=0,"n.b.",INDEX(SRC_Woningetalage!$A$1:$ZZ$501,$A59,J$3)))</f>
        <v/>
      </c>
      <c r="K59" t="str">
        <f>IF($B59="","",IF(K$3=0,"n.b.",INDEX(SRC_Woningetalage!$A$1:$ZZ$501,$A59,K$3)))</f>
        <v/>
      </c>
      <c r="L59" t="str">
        <f>IF($B59="","",IF(L$3=0,"n.b.",INDEX(SRC_Woningetalage!$A$1:$ZZ$501,$A59,L$3)))</f>
        <v/>
      </c>
      <c r="M59" t="str">
        <f>IF($B59="","",IF(M$3=0,"n.b.",INDEX(SRC_Woningetalage!$A$1:$ZZ$501,$A59,M$3)))</f>
        <v/>
      </c>
      <c r="N59" t="str">
        <f>IF($B59="","",IF(N$3=0,"n.b.",INDEX(SRC_Woningetalage!$A$1:$ZZ$501,$A59,N$3)))</f>
        <v/>
      </c>
      <c r="O59" t="str">
        <f>IF($B59="","",IF(O$3=0,"n.b.",INDEX(SRC_Woningetalage!$A$1:$ZZ$501,$A59,O$3)))</f>
        <v/>
      </c>
      <c r="P59" t="str">
        <f>IF($B59="","",IF(P$3=0,"n.b.",INDEX(SRC_Woningetalage!$A$1:$ZZ$501,$A59,P$3)))</f>
        <v/>
      </c>
      <c r="Q59" s="124" t="str">
        <f>IF($B59="","",IF(Q$3=0,"n.b.",INDEX(SRC_Woningetalage!$A$1:$ZZ$501,$A59,Q$3)))</f>
        <v/>
      </c>
      <c r="R59" s="124" t="str">
        <f>IF($B59="","",IF(R$3=0,"n.b.",INDEX(SRC_Woningetalage!$A$1:$ZZ$501,$A59,R$3)))</f>
        <v/>
      </c>
      <c r="S59" s="124" t="str">
        <f>IF($B59="","",IF(S$3=0,"n.b.",INDEX(SRC_Woningetalage!$A$1:$ZZ$501,$A59,S$3)))</f>
        <v/>
      </c>
      <c r="T59" s="124" t="str">
        <f>IF($B59="","",IF(T$3=0,"n.b.",INDEX(SRC_Woningetalage!$A$1:$ZZ$501,$A59,T$3)))</f>
        <v/>
      </c>
      <c r="U59" s="124" t="str">
        <f>IF($B59="","",IF(U$3=0,"n.b.",INDEX(SRC_Woningetalage!$A$1:$ZZ$501,$A59,U$3)))</f>
        <v/>
      </c>
      <c r="V59" s="124" t="str">
        <f>IF($B59="","",IF(V$3=0,"n.b.",INDEX(SRC_Woningetalage!$A$1:$ZZ$501,$A59,V$3)))</f>
        <v/>
      </c>
      <c r="W59" s="124" t="str">
        <f>IF($B59="","",IF(W$3=0,"n.b.",INDEX(SRC_Woningetalage!$A$1:$ZZ$501,$A59,W$3)))</f>
        <v/>
      </c>
      <c r="X59" s="124" t="str">
        <f>IF($B59="","",IF(X$3=0,"n.b.",INDEX(SRC_Woningetalage!$A$1:$ZZ$501,$A59,X$3)))</f>
        <v/>
      </c>
      <c r="Y59" s="124" t="str">
        <f>IF($B59="","",IF(Y$3=0,"n.b.",INDEX(SRC_Woningetalage!$A$1:$ZZ$501,$A59,Y$3)))</f>
        <v/>
      </c>
      <c r="Z59" s="124" t="str">
        <f>IF($B59="","",IF(Z$3=0,"n.b.",INDEX(SRC_Woningetalage!$A$1:$ZZ$501,$A59,Z$3)))</f>
        <v/>
      </c>
      <c r="AA59" s="124" t="str">
        <f>IF($B59="","",IF(AA$3=0,"n.b.",INDEX(SRC_Woningetalage!$A$1:$ZZ$501,$A59,AA$3)))</f>
        <v/>
      </c>
      <c r="AB59" s="124" t="str">
        <f>IF($B59="","",IF(AB$3=0,"n.b.",INDEX(SRC_Woningetalage!$A$1:$ZZ$501,$A59,AB$3)))</f>
        <v/>
      </c>
      <c r="AC59" s="124" t="str">
        <f>IF($B59="","",IF(AC$3=0,"n.b.",INDEX(SRC_Woningetalage!$A$1:$ZZ$501,$A59,AC$3)))</f>
        <v/>
      </c>
      <c r="AD59" s="124" t="str">
        <f>IF($B59="","",IF(AD$3=0,"n.b.",INDEX(SRC_Woningetalage!$A$1:$ZZ$501,$A59,AD$3)))</f>
        <v/>
      </c>
      <c r="AE59" s="124" t="str">
        <f>IF($B59="","",IF(AE$3=0,"n.b.",INDEX(SRC_Woningetalage!$A$1:$ZZ$501,$A59,AE$3)))</f>
        <v/>
      </c>
      <c r="AF59" s="124" t="str">
        <f>IF($B59="","",IF(AF$3=0,"n.b.",INDEX(SRC_Woningetalage!$A$1:$ZZ$501,$A59,AF$3)))</f>
        <v/>
      </c>
      <c r="AG59" s="124" t="str">
        <f>IF($B59="","",IF(AG$3=0,"n.b.",INDEX(SRC_Woningetalage!$A$1:$ZZ$501,$A59,AG$3)))</f>
        <v/>
      </c>
      <c r="AH59" s="124" t="str">
        <f>IF($B59="","",IF(AH$3=0,"n.b.",INDEX(SRC_Woningetalage!$A$1:$ZZ$501,$A59,AH$3)))</f>
        <v/>
      </c>
      <c r="AI59" s="124" t="str">
        <f>IF($B59="","",IF(AI$3=0,"n.b.",INDEX(SRC_Woningetalage!$A$1:$ZZ$501,$A59,AI$3)))</f>
        <v/>
      </c>
      <c r="AJ59" s="124" t="str">
        <f>IF($B59="","",IF(AJ$3=0,"n.b.",INDEX(SRC_Woningetalage!$A$1:$ZZ$501,$A59,AJ$3)))</f>
        <v/>
      </c>
      <c r="AK59" s="124" t="str">
        <f>IF($B59="","",IF(AK$3=0,"n.b.",INDEX(SRC_Woningetalage!$A$1:$ZZ$501,$A59,AK$3)))</f>
        <v/>
      </c>
      <c r="AL59" s="124" t="str">
        <f>IF($B59="","",IF(AL$3=0,"n.b.",INDEX(SRC_Woningetalage!$A$1:$ZZ$501,$A59,AL$3)))</f>
        <v/>
      </c>
      <c r="AM59" s="124" t="str">
        <f>IF($B59="","",IF(AM$3=0,"n.b.",INDEX(SRC_Woningetalage!$A$1:$ZZ$501,$A59,AM$3)))</f>
        <v/>
      </c>
      <c r="AN59" s="124" t="str">
        <f>IF($B59="","",IF(AN$3=0,"n.b.",INDEX(SRC_Woningetalage!$A$1:$ZZ$501,$A59,AN$3)))</f>
        <v/>
      </c>
      <c r="AO59" s="124" t="str">
        <f>IF($B59="","",IF(AO$3=0,"n.b.",INDEX(SRC_Woningetalage!$A$1:$ZZ$501,$A59,AO$3)))</f>
        <v/>
      </c>
      <c r="AP59" s="124" t="str">
        <f>IF($B59="","",IF(AP$3=0,"n.b.",INDEX(SRC_Woningetalage!$A$1:$ZZ$501,$A59,AP$3)))</f>
        <v/>
      </c>
      <c r="AQ59" s="124" t="str">
        <f>IF($B59="","",IF(AQ$3=0,"n.b.",INDEX(SRC_Woningetalage!$A$1:$ZZ$501,$A59,AQ$3)))</f>
        <v/>
      </c>
      <c r="AR59" s="124" t="str">
        <f>IF($B59="","",IF(AR$3=0,"n.b.",INDEX(SRC_Woningetalage!$A$1:$ZZ$501,$A59,AR$3)))</f>
        <v/>
      </c>
      <c r="AS59" s="124" t="str">
        <f>IF($B59="","",IF(AS$3=0,"n.b.",INDEX(SRC_Woningetalage!$A$1:$ZZ$501,$A59,AS$3)))</f>
        <v/>
      </c>
      <c r="AT59" s="124" t="str">
        <f>IF($B59="","",IF(AT$3=0,"n.b.",INDEX(SRC_Woningetalage!$A$1:$ZZ$501,$A59,AT$3)))</f>
        <v/>
      </c>
      <c r="AU59" s="124" t="str">
        <f>IF($B59="","",IF(AU$3=0,"n.b.",INDEX(SRC_Woningetalage!$A$1:$ZZ$501,$A59,AU$3)))</f>
        <v/>
      </c>
      <c r="AV59" s="124" t="str">
        <f>IF($B59="","",IF(AV$3=0,"n.b.",INDEX(SRC_Woningetalage!$A$1:$ZZ$501,$A59,AV$3)))</f>
        <v/>
      </c>
      <c r="AW59" s="124" t="str">
        <f>IF($B59="","",IF(AW$3=0,"n.b.",INDEX(SRC_Woningetalage!$A$1:$ZZ$501,$A59,AW$3)))</f>
        <v/>
      </c>
      <c r="AX59" s="124" t="str">
        <f>IF($B59="","",IF(AX$3=0,"n.b.",INDEX(SRC_Woningetalage!$A$1:$ZZ$501,$A59,AX$3)))</f>
        <v/>
      </c>
      <c r="AY59" s="124" t="str">
        <f>IF($B59="","",IF(AY$3=0,"n.b.",INDEX(SRC_Woningetalage!$A$1:$ZZ$501,$A59,AY$3)))</f>
        <v/>
      </c>
      <c r="AZ59" s="124" t="str">
        <f>IF($B59="","",IF(AZ$3=0,"n.b.",INDEX(SRC_Woningetalage!$A$1:$ZZ$501,$A59,AZ$3)))</f>
        <v/>
      </c>
      <c r="BA59" s="124" t="str">
        <f>IF($B59="","",IF(BA$3=0,"n.b.",INDEX(SRC_Woningetalage!$A$1:$ZZ$501,$A59,BA$3)))</f>
        <v/>
      </c>
      <c r="BB59" s="124" t="str">
        <f>IF($B59="","",IF(BB$3=0,"n.b.",INDEX(SRC_Woningetalage!$A$1:$ZZ$501,$A59,BB$3)))</f>
        <v/>
      </c>
      <c r="BC59" s="124" t="str">
        <f>IF($B59="","",IFERROR(_xlfn.NUMBERVALUE(E59&amp;"",",","."),"n.b."))</f>
        <v/>
      </c>
      <c r="BD59" s="124" t="str">
        <f>IF($B59="","",IFERROR(_xlfn.NUMBERVALUE(M59&amp;"",",","."),"n.b."))</f>
        <v/>
      </c>
      <c r="BE59" s="124" t="str">
        <f>IF($B59="","",IFERROR(AB59+AC59+AD59,"n.b."))</f>
        <v/>
      </c>
      <c r="BF59" s="124" t="str">
        <f>IF($B59="","",IFERROR(AE59+AF59+AG59,"n.b."))</f>
        <v/>
      </c>
      <c r="BG59" s="124" t="str">
        <f>IF($B59="","",IFERROR(AH59+AI59+AJ59,"n.b."))</f>
        <v/>
      </c>
      <c r="BH59" s="124" t="str">
        <f>IF($B59="","",IFERROR(AK59+AL59+AM59,"n.b."))</f>
        <v/>
      </c>
      <c r="BI59" s="124" t="str">
        <f>IF($B59="","",IFERROR(SUMIF($AB$5:$AM$5,"&lt;="&amp;P_PeilMaand,AB59:AM59),"n.b."))</f>
        <v/>
      </c>
      <c r="BJ59" s="124" t="str">
        <f>IF($B59="","",IFERROR(SUM(AB59:AM59)-BI59,"n.b."))</f>
        <v/>
      </c>
      <c r="BK59" s="124" t="str">
        <f>IF($B59="","",IFERROR(IF(ABS(Q59-(T59+SUM(AB59:AM59)+AS59+AU59))&gt;P_Tol,1,0),1))</f>
        <v/>
      </c>
      <c r="BL59" s="124" t="str">
        <f>IF($B59="","",IFERROR(IF(ABS(AA59-(Q59-Z59))&gt;P_Tol,1,0),1))</f>
        <v/>
      </c>
      <c r="BM59" s="124" t="str">
        <f>IF($B59="","",IFERROR(IF(ABS(Z59-(T59+W59))&gt;P_Tol,1,0),1))</f>
        <v/>
      </c>
      <c r="BN59" s="124" t="str">
        <f>IF($B59="","",IFERROR(IF(ABS(W59-BI59)&gt;P_Tol,1,0),1))</f>
        <v/>
      </c>
      <c r="BO59" s="124" t="str">
        <f>IF($B59="","",IFERROR(IF(OR(ABS(R59+S59-T59)&gt;P_Tol,ABS(U59+V59-W59)&gt;P_Tol,ABS(X59+Y59-Z59)&gt;P_Tol),1,0),1))</f>
        <v/>
      </c>
      <c r="BP59" s="124" t="str">
        <f>IF($B59="","",IFERROR(IF(OR(ABS(AR59-SUM(AB59:AM59))&gt;P_Tol,ABS(AS59-(AN59+AO59+AP59+AQ59))&gt;P_Tol),1,0),1))</f>
        <v/>
      </c>
      <c r="BQ59" s="124" t="str">
        <f>IF($B59="","",IFERROR(IF(ABS(AT59)+ABS(AV59)+ABS(AW59)+ABS(AX59)+ABS(AY59)+ABS(AZ59)+ABS(BA59)+ABS(BB59)&gt;0,1,0),1))</f>
        <v/>
      </c>
      <c r="BR59" s="124" t="str">
        <f>IF($B59="","",COUNTIF(STG_ZPMW03!$B$6:$B$505,B59))</f>
        <v/>
      </c>
      <c r="BS59" s="124" t="str">
        <f>IF($B59="","",COUNTIF($B$6:$B$505,B59))</f>
        <v/>
      </c>
      <c r="BT59" s="124" t="str">
        <f>IF($B59="","",IF(BR59=0,0,IF(INDEX(STG_ZPMW03!$I$6:$I$505,MATCH(B59,STG_ZPMW03!$B$6:$B$505,0))=J59&amp;"",0,1)))</f>
        <v/>
      </c>
      <c r="BU59" s="124" t="str">
        <f>IF($B59="","",IFERROR(IF(ABS(INDEX(Mapping!$D$5:$D$104,MATCH(B59,Mapping!$A$5:$A$104,0))-Q59)&gt;P_Tol,1,0),0))</f>
        <v/>
      </c>
      <c r="BV59" s="124" t="str">
        <f>IF($B59="","",IFERROR(IF(AND(INDEX(Mapping!$G$5:$G$104,MATCH(B59,Mapping!$A$5:$A$104,0))="Nee",ABS(Q59)+ABS(Z59)+ABS(AR59)&gt;0),1,0),0))</f>
        <v/>
      </c>
      <c r="BW59" s="124" t="str">
        <f>IF($B59="","",IF(COUNTIF(Mapping!$A$5:$A$104,B59)&gt;0,1,0))</f>
        <v/>
      </c>
      <c r="BX59" s="124" t="str">
        <f>IF($B59="","",IF(BR59=0,COUNTIF($BR$6:BR59,0),""))</f>
        <v/>
      </c>
    </row>
    <row r="60">
      <c r="A60" s="15" t="n">
        <v>56</v>
      </c>
      <c r="B60" t="str">
        <f>IF(B$3=0,"",IF(INDEX(SRC_Woningetalage!$A$1:$ZZ$501,$A60,B$3)&amp;""="","",INDEX(SRC_Woningetalage!$A$1:$ZZ$501,$A60,B$3)&amp;""))</f>
        <v/>
      </c>
      <c r="C60" t="str">
        <f>IF($B60="","",IF(C$3=0,"n.b.",INDEX(SRC_Woningetalage!$A$1:$ZZ$501,$A60,C$3)))</f>
        <v/>
      </c>
      <c r="D60" t="str">
        <f>IF($B60="","",IF(D$3=0,"n.b.",INDEX(SRC_Woningetalage!$A$1:$ZZ$501,$A60,D$3)))</f>
        <v/>
      </c>
      <c r="E60" t="str">
        <f>IF($B60="","",IF(E$3=0,"n.b.",INDEX(SRC_Woningetalage!$A$1:$ZZ$501,$A60,E$3)))</f>
        <v/>
      </c>
      <c r="F60" t="str">
        <f>IF($B60="","",IF(F$3=0,"n.b.",INDEX(SRC_Woningetalage!$A$1:$ZZ$501,$A60,F$3)))</f>
        <v/>
      </c>
      <c r="G60" t="str">
        <f>IF($B60="","",IF(G$3=0,"n.b.",INDEX(SRC_Woningetalage!$A$1:$ZZ$501,$A60,G$3)))</f>
        <v/>
      </c>
      <c r="H60" t="str">
        <f>IF($B60="","",IF(H$3=0,"n.b.",INDEX(SRC_Woningetalage!$A$1:$ZZ$501,$A60,H$3)))</f>
        <v/>
      </c>
      <c r="I60" t="str">
        <f>IF($B60="","",IF(I$3=0,"n.b.",INDEX(SRC_Woningetalage!$A$1:$ZZ$501,$A60,I$3)))</f>
        <v/>
      </c>
      <c r="J60" t="str">
        <f>IF($B60="","",IF(J$3=0,"n.b.",INDEX(SRC_Woningetalage!$A$1:$ZZ$501,$A60,J$3)))</f>
        <v/>
      </c>
      <c r="K60" t="str">
        <f>IF($B60="","",IF(K$3=0,"n.b.",INDEX(SRC_Woningetalage!$A$1:$ZZ$501,$A60,K$3)))</f>
        <v/>
      </c>
      <c r="L60" t="str">
        <f>IF($B60="","",IF(L$3=0,"n.b.",INDEX(SRC_Woningetalage!$A$1:$ZZ$501,$A60,L$3)))</f>
        <v/>
      </c>
      <c r="M60" t="str">
        <f>IF($B60="","",IF(M$3=0,"n.b.",INDEX(SRC_Woningetalage!$A$1:$ZZ$501,$A60,M$3)))</f>
        <v/>
      </c>
      <c r="N60" t="str">
        <f>IF($B60="","",IF(N$3=0,"n.b.",INDEX(SRC_Woningetalage!$A$1:$ZZ$501,$A60,N$3)))</f>
        <v/>
      </c>
      <c r="O60" t="str">
        <f>IF($B60="","",IF(O$3=0,"n.b.",INDEX(SRC_Woningetalage!$A$1:$ZZ$501,$A60,O$3)))</f>
        <v/>
      </c>
      <c r="P60" t="str">
        <f>IF($B60="","",IF(P$3=0,"n.b.",INDEX(SRC_Woningetalage!$A$1:$ZZ$501,$A60,P$3)))</f>
        <v/>
      </c>
      <c r="Q60" s="124" t="str">
        <f>IF($B60="","",IF(Q$3=0,"n.b.",INDEX(SRC_Woningetalage!$A$1:$ZZ$501,$A60,Q$3)))</f>
        <v/>
      </c>
      <c r="R60" s="124" t="str">
        <f>IF($B60="","",IF(R$3=0,"n.b.",INDEX(SRC_Woningetalage!$A$1:$ZZ$501,$A60,R$3)))</f>
        <v/>
      </c>
      <c r="S60" s="124" t="str">
        <f>IF($B60="","",IF(S$3=0,"n.b.",INDEX(SRC_Woningetalage!$A$1:$ZZ$501,$A60,S$3)))</f>
        <v/>
      </c>
      <c r="T60" s="124" t="str">
        <f>IF($B60="","",IF(T$3=0,"n.b.",INDEX(SRC_Woningetalage!$A$1:$ZZ$501,$A60,T$3)))</f>
        <v/>
      </c>
      <c r="U60" s="124" t="str">
        <f>IF($B60="","",IF(U$3=0,"n.b.",INDEX(SRC_Woningetalage!$A$1:$ZZ$501,$A60,U$3)))</f>
        <v/>
      </c>
      <c r="V60" s="124" t="str">
        <f>IF($B60="","",IF(V$3=0,"n.b.",INDEX(SRC_Woningetalage!$A$1:$ZZ$501,$A60,V$3)))</f>
        <v/>
      </c>
      <c r="W60" s="124" t="str">
        <f>IF($B60="","",IF(W$3=0,"n.b.",INDEX(SRC_Woningetalage!$A$1:$ZZ$501,$A60,W$3)))</f>
        <v/>
      </c>
      <c r="X60" s="124" t="str">
        <f>IF($B60="","",IF(X$3=0,"n.b.",INDEX(SRC_Woningetalage!$A$1:$ZZ$501,$A60,X$3)))</f>
        <v/>
      </c>
      <c r="Y60" s="124" t="str">
        <f>IF($B60="","",IF(Y$3=0,"n.b.",INDEX(SRC_Woningetalage!$A$1:$ZZ$501,$A60,Y$3)))</f>
        <v/>
      </c>
      <c r="Z60" s="124" t="str">
        <f>IF($B60="","",IF(Z$3=0,"n.b.",INDEX(SRC_Woningetalage!$A$1:$ZZ$501,$A60,Z$3)))</f>
        <v/>
      </c>
      <c r="AA60" s="124" t="str">
        <f>IF($B60="","",IF(AA$3=0,"n.b.",INDEX(SRC_Woningetalage!$A$1:$ZZ$501,$A60,AA$3)))</f>
        <v/>
      </c>
      <c r="AB60" s="124" t="str">
        <f>IF($B60="","",IF(AB$3=0,"n.b.",INDEX(SRC_Woningetalage!$A$1:$ZZ$501,$A60,AB$3)))</f>
        <v/>
      </c>
      <c r="AC60" s="124" t="str">
        <f>IF($B60="","",IF(AC$3=0,"n.b.",INDEX(SRC_Woningetalage!$A$1:$ZZ$501,$A60,AC$3)))</f>
        <v/>
      </c>
      <c r="AD60" s="124" t="str">
        <f>IF($B60="","",IF(AD$3=0,"n.b.",INDEX(SRC_Woningetalage!$A$1:$ZZ$501,$A60,AD$3)))</f>
        <v/>
      </c>
      <c r="AE60" s="124" t="str">
        <f>IF($B60="","",IF(AE$3=0,"n.b.",INDEX(SRC_Woningetalage!$A$1:$ZZ$501,$A60,AE$3)))</f>
        <v/>
      </c>
      <c r="AF60" s="124" t="str">
        <f>IF($B60="","",IF(AF$3=0,"n.b.",INDEX(SRC_Woningetalage!$A$1:$ZZ$501,$A60,AF$3)))</f>
        <v/>
      </c>
      <c r="AG60" s="124" t="str">
        <f>IF($B60="","",IF(AG$3=0,"n.b.",INDEX(SRC_Woningetalage!$A$1:$ZZ$501,$A60,AG$3)))</f>
        <v/>
      </c>
      <c r="AH60" s="124" t="str">
        <f>IF($B60="","",IF(AH$3=0,"n.b.",INDEX(SRC_Woningetalage!$A$1:$ZZ$501,$A60,AH$3)))</f>
        <v/>
      </c>
      <c r="AI60" s="124" t="str">
        <f>IF($B60="","",IF(AI$3=0,"n.b.",INDEX(SRC_Woningetalage!$A$1:$ZZ$501,$A60,AI$3)))</f>
        <v/>
      </c>
      <c r="AJ60" s="124" t="str">
        <f>IF($B60="","",IF(AJ$3=0,"n.b.",INDEX(SRC_Woningetalage!$A$1:$ZZ$501,$A60,AJ$3)))</f>
        <v/>
      </c>
      <c r="AK60" s="124" t="str">
        <f>IF($B60="","",IF(AK$3=0,"n.b.",INDEX(SRC_Woningetalage!$A$1:$ZZ$501,$A60,AK$3)))</f>
        <v/>
      </c>
      <c r="AL60" s="124" t="str">
        <f>IF($B60="","",IF(AL$3=0,"n.b.",INDEX(SRC_Woningetalage!$A$1:$ZZ$501,$A60,AL$3)))</f>
        <v/>
      </c>
      <c r="AM60" s="124" t="str">
        <f>IF($B60="","",IF(AM$3=0,"n.b.",INDEX(SRC_Woningetalage!$A$1:$ZZ$501,$A60,AM$3)))</f>
        <v/>
      </c>
      <c r="AN60" s="124" t="str">
        <f>IF($B60="","",IF(AN$3=0,"n.b.",INDEX(SRC_Woningetalage!$A$1:$ZZ$501,$A60,AN$3)))</f>
        <v/>
      </c>
      <c r="AO60" s="124" t="str">
        <f>IF($B60="","",IF(AO$3=0,"n.b.",INDEX(SRC_Woningetalage!$A$1:$ZZ$501,$A60,AO$3)))</f>
        <v/>
      </c>
      <c r="AP60" s="124" t="str">
        <f>IF($B60="","",IF(AP$3=0,"n.b.",INDEX(SRC_Woningetalage!$A$1:$ZZ$501,$A60,AP$3)))</f>
        <v/>
      </c>
      <c r="AQ60" s="124" t="str">
        <f>IF($B60="","",IF(AQ$3=0,"n.b.",INDEX(SRC_Woningetalage!$A$1:$ZZ$501,$A60,AQ$3)))</f>
        <v/>
      </c>
      <c r="AR60" s="124" t="str">
        <f>IF($B60="","",IF(AR$3=0,"n.b.",INDEX(SRC_Woningetalage!$A$1:$ZZ$501,$A60,AR$3)))</f>
        <v/>
      </c>
      <c r="AS60" s="124" t="str">
        <f>IF($B60="","",IF(AS$3=0,"n.b.",INDEX(SRC_Woningetalage!$A$1:$ZZ$501,$A60,AS$3)))</f>
        <v/>
      </c>
      <c r="AT60" s="124" t="str">
        <f>IF($B60="","",IF(AT$3=0,"n.b.",INDEX(SRC_Woningetalage!$A$1:$ZZ$501,$A60,AT$3)))</f>
        <v/>
      </c>
      <c r="AU60" s="124" t="str">
        <f>IF($B60="","",IF(AU$3=0,"n.b.",INDEX(SRC_Woningetalage!$A$1:$ZZ$501,$A60,AU$3)))</f>
        <v/>
      </c>
      <c r="AV60" s="124" t="str">
        <f>IF($B60="","",IF(AV$3=0,"n.b.",INDEX(SRC_Woningetalage!$A$1:$ZZ$501,$A60,AV$3)))</f>
        <v/>
      </c>
      <c r="AW60" s="124" t="str">
        <f>IF($B60="","",IF(AW$3=0,"n.b.",INDEX(SRC_Woningetalage!$A$1:$ZZ$501,$A60,AW$3)))</f>
        <v/>
      </c>
      <c r="AX60" s="124" t="str">
        <f>IF($B60="","",IF(AX$3=0,"n.b.",INDEX(SRC_Woningetalage!$A$1:$ZZ$501,$A60,AX$3)))</f>
        <v/>
      </c>
      <c r="AY60" s="124" t="str">
        <f>IF($B60="","",IF(AY$3=0,"n.b.",INDEX(SRC_Woningetalage!$A$1:$ZZ$501,$A60,AY$3)))</f>
        <v/>
      </c>
      <c r="AZ60" s="124" t="str">
        <f>IF($B60="","",IF(AZ$3=0,"n.b.",INDEX(SRC_Woningetalage!$A$1:$ZZ$501,$A60,AZ$3)))</f>
        <v/>
      </c>
      <c r="BA60" s="124" t="str">
        <f>IF($B60="","",IF(BA$3=0,"n.b.",INDEX(SRC_Woningetalage!$A$1:$ZZ$501,$A60,BA$3)))</f>
        <v/>
      </c>
      <c r="BB60" s="124" t="str">
        <f>IF($B60="","",IF(BB$3=0,"n.b.",INDEX(SRC_Woningetalage!$A$1:$ZZ$501,$A60,BB$3)))</f>
        <v/>
      </c>
      <c r="BC60" s="124" t="str">
        <f>IF($B60="","",IFERROR(_xlfn.NUMBERVALUE(E60&amp;"",",","."),"n.b."))</f>
        <v/>
      </c>
      <c r="BD60" s="124" t="str">
        <f>IF($B60="","",IFERROR(_xlfn.NUMBERVALUE(M60&amp;"",",","."),"n.b."))</f>
        <v/>
      </c>
      <c r="BE60" s="124" t="str">
        <f>IF($B60="","",IFERROR(AB60+AC60+AD60,"n.b."))</f>
        <v/>
      </c>
      <c r="BF60" s="124" t="str">
        <f>IF($B60="","",IFERROR(AE60+AF60+AG60,"n.b."))</f>
        <v/>
      </c>
      <c r="BG60" s="124" t="str">
        <f>IF($B60="","",IFERROR(AH60+AI60+AJ60,"n.b."))</f>
        <v/>
      </c>
      <c r="BH60" s="124" t="str">
        <f>IF($B60="","",IFERROR(AK60+AL60+AM60,"n.b."))</f>
        <v/>
      </c>
      <c r="BI60" s="124" t="str">
        <f>IF($B60="","",IFERROR(SUMIF($AB$5:$AM$5,"&lt;="&amp;P_PeilMaand,AB60:AM60),"n.b."))</f>
        <v/>
      </c>
      <c r="BJ60" s="124" t="str">
        <f>IF($B60="","",IFERROR(SUM(AB60:AM60)-BI60,"n.b."))</f>
        <v/>
      </c>
      <c r="BK60" s="124" t="str">
        <f>IF($B60="","",IFERROR(IF(ABS(Q60-(T60+SUM(AB60:AM60)+AS60+AU60))&gt;P_Tol,1,0),1))</f>
        <v/>
      </c>
      <c r="BL60" s="124" t="str">
        <f>IF($B60="","",IFERROR(IF(ABS(AA60-(Q60-Z60))&gt;P_Tol,1,0),1))</f>
        <v/>
      </c>
      <c r="BM60" s="124" t="str">
        <f>IF($B60="","",IFERROR(IF(ABS(Z60-(T60+W60))&gt;P_Tol,1,0),1))</f>
        <v/>
      </c>
      <c r="BN60" s="124" t="str">
        <f>IF($B60="","",IFERROR(IF(ABS(W60-BI60)&gt;P_Tol,1,0),1))</f>
        <v/>
      </c>
      <c r="BO60" s="124" t="str">
        <f>IF($B60="","",IFERROR(IF(OR(ABS(R60+S60-T60)&gt;P_Tol,ABS(U60+V60-W60)&gt;P_Tol,ABS(X60+Y60-Z60)&gt;P_Tol),1,0),1))</f>
        <v/>
      </c>
      <c r="BP60" s="124" t="str">
        <f>IF($B60="","",IFERROR(IF(OR(ABS(AR60-SUM(AB60:AM60))&gt;P_Tol,ABS(AS60-(AN60+AO60+AP60+AQ60))&gt;P_Tol),1,0),1))</f>
        <v/>
      </c>
      <c r="BQ60" s="124" t="str">
        <f>IF($B60="","",IFERROR(IF(ABS(AT60)+ABS(AV60)+ABS(AW60)+ABS(AX60)+ABS(AY60)+ABS(AZ60)+ABS(BA60)+ABS(BB60)&gt;0,1,0),1))</f>
        <v/>
      </c>
      <c r="BR60" s="124" t="str">
        <f>IF($B60="","",COUNTIF(STG_ZPMW03!$B$6:$B$505,B60))</f>
        <v/>
      </c>
      <c r="BS60" s="124" t="str">
        <f>IF($B60="","",COUNTIF($B$6:$B$505,B60))</f>
        <v/>
      </c>
      <c r="BT60" s="124" t="str">
        <f>IF($B60="","",IF(BR60=0,0,IF(INDEX(STG_ZPMW03!$I$6:$I$505,MATCH(B60,STG_ZPMW03!$B$6:$B$505,0))=J60&amp;"",0,1)))</f>
        <v/>
      </c>
      <c r="BU60" s="124" t="str">
        <f>IF($B60="","",IFERROR(IF(ABS(INDEX(Mapping!$D$5:$D$104,MATCH(B60,Mapping!$A$5:$A$104,0))-Q60)&gt;P_Tol,1,0),0))</f>
        <v/>
      </c>
      <c r="BV60" s="124" t="str">
        <f>IF($B60="","",IFERROR(IF(AND(INDEX(Mapping!$G$5:$G$104,MATCH(B60,Mapping!$A$5:$A$104,0))="Nee",ABS(Q60)+ABS(Z60)+ABS(AR60)&gt;0),1,0),0))</f>
        <v/>
      </c>
      <c r="BW60" s="124" t="str">
        <f>IF($B60="","",IF(COUNTIF(Mapping!$A$5:$A$104,B60)&gt;0,1,0))</f>
        <v/>
      </c>
      <c r="BX60" s="124" t="str">
        <f>IF($B60="","",IF(BR60=0,COUNTIF($BR$6:BR60,0),""))</f>
        <v/>
      </c>
    </row>
    <row r="61">
      <c r="A61" s="15" t="n">
        <v>57</v>
      </c>
      <c r="B61" t="str">
        <f>IF(B$3=0,"",IF(INDEX(SRC_Woningetalage!$A$1:$ZZ$501,$A61,B$3)&amp;""="","",INDEX(SRC_Woningetalage!$A$1:$ZZ$501,$A61,B$3)&amp;""))</f>
        <v/>
      </c>
      <c r="C61" t="str">
        <f>IF($B61="","",IF(C$3=0,"n.b.",INDEX(SRC_Woningetalage!$A$1:$ZZ$501,$A61,C$3)))</f>
        <v/>
      </c>
      <c r="D61" t="str">
        <f>IF($B61="","",IF(D$3=0,"n.b.",INDEX(SRC_Woningetalage!$A$1:$ZZ$501,$A61,D$3)))</f>
        <v/>
      </c>
      <c r="E61" t="str">
        <f>IF($B61="","",IF(E$3=0,"n.b.",INDEX(SRC_Woningetalage!$A$1:$ZZ$501,$A61,E$3)))</f>
        <v/>
      </c>
      <c r="F61" t="str">
        <f>IF($B61="","",IF(F$3=0,"n.b.",INDEX(SRC_Woningetalage!$A$1:$ZZ$501,$A61,F$3)))</f>
        <v/>
      </c>
      <c r="G61" t="str">
        <f>IF($B61="","",IF(G$3=0,"n.b.",INDEX(SRC_Woningetalage!$A$1:$ZZ$501,$A61,G$3)))</f>
        <v/>
      </c>
      <c r="H61" t="str">
        <f>IF($B61="","",IF(H$3=0,"n.b.",INDEX(SRC_Woningetalage!$A$1:$ZZ$501,$A61,H$3)))</f>
        <v/>
      </c>
      <c r="I61" t="str">
        <f>IF($B61="","",IF(I$3=0,"n.b.",INDEX(SRC_Woningetalage!$A$1:$ZZ$501,$A61,I$3)))</f>
        <v/>
      </c>
      <c r="J61" t="str">
        <f>IF($B61="","",IF(J$3=0,"n.b.",INDEX(SRC_Woningetalage!$A$1:$ZZ$501,$A61,J$3)))</f>
        <v/>
      </c>
      <c r="K61" t="str">
        <f>IF($B61="","",IF(K$3=0,"n.b.",INDEX(SRC_Woningetalage!$A$1:$ZZ$501,$A61,K$3)))</f>
        <v/>
      </c>
      <c r="L61" t="str">
        <f>IF($B61="","",IF(L$3=0,"n.b.",INDEX(SRC_Woningetalage!$A$1:$ZZ$501,$A61,L$3)))</f>
        <v/>
      </c>
      <c r="M61" t="str">
        <f>IF($B61="","",IF(M$3=0,"n.b.",INDEX(SRC_Woningetalage!$A$1:$ZZ$501,$A61,M$3)))</f>
        <v/>
      </c>
      <c r="N61" t="str">
        <f>IF($B61="","",IF(N$3=0,"n.b.",INDEX(SRC_Woningetalage!$A$1:$ZZ$501,$A61,N$3)))</f>
        <v/>
      </c>
      <c r="O61" t="str">
        <f>IF($B61="","",IF(O$3=0,"n.b.",INDEX(SRC_Woningetalage!$A$1:$ZZ$501,$A61,O$3)))</f>
        <v/>
      </c>
      <c r="P61" t="str">
        <f>IF($B61="","",IF(P$3=0,"n.b.",INDEX(SRC_Woningetalage!$A$1:$ZZ$501,$A61,P$3)))</f>
        <v/>
      </c>
      <c r="Q61" s="124" t="str">
        <f>IF($B61="","",IF(Q$3=0,"n.b.",INDEX(SRC_Woningetalage!$A$1:$ZZ$501,$A61,Q$3)))</f>
        <v/>
      </c>
      <c r="R61" s="124" t="str">
        <f>IF($B61="","",IF(R$3=0,"n.b.",INDEX(SRC_Woningetalage!$A$1:$ZZ$501,$A61,R$3)))</f>
        <v/>
      </c>
      <c r="S61" s="124" t="str">
        <f>IF($B61="","",IF(S$3=0,"n.b.",INDEX(SRC_Woningetalage!$A$1:$ZZ$501,$A61,S$3)))</f>
        <v/>
      </c>
      <c r="T61" s="124" t="str">
        <f>IF($B61="","",IF(T$3=0,"n.b.",INDEX(SRC_Woningetalage!$A$1:$ZZ$501,$A61,T$3)))</f>
        <v/>
      </c>
      <c r="U61" s="124" t="str">
        <f>IF($B61="","",IF(U$3=0,"n.b.",INDEX(SRC_Woningetalage!$A$1:$ZZ$501,$A61,U$3)))</f>
        <v/>
      </c>
      <c r="V61" s="124" t="str">
        <f>IF($B61="","",IF(V$3=0,"n.b.",INDEX(SRC_Woningetalage!$A$1:$ZZ$501,$A61,V$3)))</f>
        <v/>
      </c>
      <c r="W61" s="124" t="str">
        <f>IF($B61="","",IF(W$3=0,"n.b.",INDEX(SRC_Woningetalage!$A$1:$ZZ$501,$A61,W$3)))</f>
        <v/>
      </c>
      <c r="X61" s="124" t="str">
        <f>IF($B61="","",IF(X$3=0,"n.b.",INDEX(SRC_Woningetalage!$A$1:$ZZ$501,$A61,X$3)))</f>
        <v/>
      </c>
      <c r="Y61" s="124" t="str">
        <f>IF($B61="","",IF(Y$3=0,"n.b.",INDEX(SRC_Woningetalage!$A$1:$ZZ$501,$A61,Y$3)))</f>
        <v/>
      </c>
      <c r="Z61" s="124" t="str">
        <f>IF($B61="","",IF(Z$3=0,"n.b.",INDEX(SRC_Woningetalage!$A$1:$ZZ$501,$A61,Z$3)))</f>
        <v/>
      </c>
      <c r="AA61" s="124" t="str">
        <f>IF($B61="","",IF(AA$3=0,"n.b.",INDEX(SRC_Woningetalage!$A$1:$ZZ$501,$A61,AA$3)))</f>
        <v/>
      </c>
      <c r="AB61" s="124" t="str">
        <f>IF($B61="","",IF(AB$3=0,"n.b.",INDEX(SRC_Woningetalage!$A$1:$ZZ$501,$A61,AB$3)))</f>
        <v/>
      </c>
      <c r="AC61" s="124" t="str">
        <f>IF($B61="","",IF(AC$3=0,"n.b.",INDEX(SRC_Woningetalage!$A$1:$ZZ$501,$A61,AC$3)))</f>
        <v/>
      </c>
      <c r="AD61" s="124" t="str">
        <f>IF($B61="","",IF(AD$3=0,"n.b.",INDEX(SRC_Woningetalage!$A$1:$ZZ$501,$A61,AD$3)))</f>
        <v/>
      </c>
      <c r="AE61" s="124" t="str">
        <f>IF($B61="","",IF(AE$3=0,"n.b.",INDEX(SRC_Woningetalage!$A$1:$ZZ$501,$A61,AE$3)))</f>
        <v/>
      </c>
      <c r="AF61" s="124" t="str">
        <f>IF($B61="","",IF(AF$3=0,"n.b.",INDEX(SRC_Woningetalage!$A$1:$ZZ$501,$A61,AF$3)))</f>
        <v/>
      </c>
      <c r="AG61" s="124" t="str">
        <f>IF($B61="","",IF(AG$3=0,"n.b.",INDEX(SRC_Woningetalage!$A$1:$ZZ$501,$A61,AG$3)))</f>
        <v/>
      </c>
      <c r="AH61" s="124" t="str">
        <f>IF($B61="","",IF(AH$3=0,"n.b.",INDEX(SRC_Woningetalage!$A$1:$ZZ$501,$A61,AH$3)))</f>
        <v/>
      </c>
      <c r="AI61" s="124" t="str">
        <f>IF($B61="","",IF(AI$3=0,"n.b.",INDEX(SRC_Woningetalage!$A$1:$ZZ$501,$A61,AI$3)))</f>
        <v/>
      </c>
      <c r="AJ61" s="124" t="str">
        <f>IF($B61="","",IF(AJ$3=0,"n.b.",INDEX(SRC_Woningetalage!$A$1:$ZZ$501,$A61,AJ$3)))</f>
        <v/>
      </c>
      <c r="AK61" s="124" t="str">
        <f>IF($B61="","",IF(AK$3=0,"n.b.",INDEX(SRC_Woningetalage!$A$1:$ZZ$501,$A61,AK$3)))</f>
        <v/>
      </c>
      <c r="AL61" s="124" t="str">
        <f>IF($B61="","",IF(AL$3=0,"n.b.",INDEX(SRC_Woningetalage!$A$1:$ZZ$501,$A61,AL$3)))</f>
        <v/>
      </c>
      <c r="AM61" s="124" t="str">
        <f>IF($B61="","",IF(AM$3=0,"n.b.",INDEX(SRC_Woningetalage!$A$1:$ZZ$501,$A61,AM$3)))</f>
        <v/>
      </c>
      <c r="AN61" s="124" t="str">
        <f>IF($B61="","",IF(AN$3=0,"n.b.",INDEX(SRC_Woningetalage!$A$1:$ZZ$501,$A61,AN$3)))</f>
        <v/>
      </c>
      <c r="AO61" s="124" t="str">
        <f>IF($B61="","",IF(AO$3=0,"n.b.",INDEX(SRC_Woningetalage!$A$1:$ZZ$501,$A61,AO$3)))</f>
        <v/>
      </c>
      <c r="AP61" s="124" t="str">
        <f>IF($B61="","",IF(AP$3=0,"n.b.",INDEX(SRC_Woningetalage!$A$1:$ZZ$501,$A61,AP$3)))</f>
        <v/>
      </c>
      <c r="AQ61" s="124" t="str">
        <f>IF($B61="","",IF(AQ$3=0,"n.b.",INDEX(SRC_Woningetalage!$A$1:$ZZ$501,$A61,AQ$3)))</f>
        <v/>
      </c>
      <c r="AR61" s="124" t="str">
        <f>IF($B61="","",IF(AR$3=0,"n.b.",INDEX(SRC_Woningetalage!$A$1:$ZZ$501,$A61,AR$3)))</f>
        <v/>
      </c>
      <c r="AS61" s="124" t="str">
        <f>IF($B61="","",IF(AS$3=0,"n.b.",INDEX(SRC_Woningetalage!$A$1:$ZZ$501,$A61,AS$3)))</f>
        <v/>
      </c>
      <c r="AT61" s="124" t="str">
        <f>IF($B61="","",IF(AT$3=0,"n.b.",INDEX(SRC_Woningetalage!$A$1:$ZZ$501,$A61,AT$3)))</f>
        <v/>
      </c>
      <c r="AU61" s="124" t="str">
        <f>IF($B61="","",IF(AU$3=0,"n.b.",INDEX(SRC_Woningetalage!$A$1:$ZZ$501,$A61,AU$3)))</f>
        <v/>
      </c>
      <c r="AV61" s="124" t="str">
        <f>IF($B61="","",IF(AV$3=0,"n.b.",INDEX(SRC_Woningetalage!$A$1:$ZZ$501,$A61,AV$3)))</f>
        <v/>
      </c>
      <c r="AW61" s="124" t="str">
        <f>IF($B61="","",IF(AW$3=0,"n.b.",INDEX(SRC_Woningetalage!$A$1:$ZZ$501,$A61,AW$3)))</f>
        <v/>
      </c>
      <c r="AX61" s="124" t="str">
        <f>IF($B61="","",IF(AX$3=0,"n.b.",INDEX(SRC_Woningetalage!$A$1:$ZZ$501,$A61,AX$3)))</f>
        <v/>
      </c>
      <c r="AY61" s="124" t="str">
        <f>IF($B61="","",IF(AY$3=0,"n.b.",INDEX(SRC_Woningetalage!$A$1:$ZZ$501,$A61,AY$3)))</f>
        <v/>
      </c>
      <c r="AZ61" s="124" t="str">
        <f>IF($B61="","",IF(AZ$3=0,"n.b.",INDEX(SRC_Woningetalage!$A$1:$ZZ$501,$A61,AZ$3)))</f>
        <v/>
      </c>
      <c r="BA61" s="124" t="str">
        <f>IF($B61="","",IF(BA$3=0,"n.b.",INDEX(SRC_Woningetalage!$A$1:$ZZ$501,$A61,BA$3)))</f>
        <v/>
      </c>
      <c r="BB61" s="124" t="str">
        <f>IF($B61="","",IF(BB$3=0,"n.b.",INDEX(SRC_Woningetalage!$A$1:$ZZ$501,$A61,BB$3)))</f>
        <v/>
      </c>
      <c r="BC61" s="124" t="str">
        <f>IF($B61="","",IFERROR(_xlfn.NUMBERVALUE(E61&amp;"",",","."),"n.b."))</f>
        <v/>
      </c>
      <c r="BD61" s="124" t="str">
        <f>IF($B61="","",IFERROR(_xlfn.NUMBERVALUE(M61&amp;"",",","."),"n.b."))</f>
        <v/>
      </c>
      <c r="BE61" s="124" t="str">
        <f>IF($B61="","",IFERROR(AB61+AC61+AD61,"n.b."))</f>
        <v/>
      </c>
      <c r="BF61" s="124" t="str">
        <f>IF($B61="","",IFERROR(AE61+AF61+AG61,"n.b."))</f>
        <v/>
      </c>
      <c r="BG61" s="124" t="str">
        <f>IF($B61="","",IFERROR(AH61+AI61+AJ61,"n.b."))</f>
        <v/>
      </c>
      <c r="BH61" s="124" t="str">
        <f>IF($B61="","",IFERROR(AK61+AL61+AM61,"n.b."))</f>
        <v/>
      </c>
      <c r="BI61" s="124" t="str">
        <f>IF($B61="","",IFERROR(SUMIF($AB$5:$AM$5,"&lt;="&amp;P_PeilMaand,AB61:AM61),"n.b."))</f>
        <v/>
      </c>
      <c r="BJ61" s="124" t="str">
        <f>IF($B61="","",IFERROR(SUM(AB61:AM61)-BI61,"n.b."))</f>
        <v/>
      </c>
      <c r="BK61" s="124" t="str">
        <f>IF($B61="","",IFERROR(IF(ABS(Q61-(T61+SUM(AB61:AM61)+AS61+AU61))&gt;P_Tol,1,0),1))</f>
        <v/>
      </c>
      <c r="BL61" s="124" t="str">
        <f>IF($B61="","",IFERROR(IF(ABS(AA61-(Q61-Z61))&gt;P_Tol,1,0),1))</f>
        <v/>
      </c>
      <c r="BM61" s="124" t="str">
        <f>IF($B61="","",IFERROR(IF(ABS(Z61-(T61+W61))&gt;P_Tol,1,0),1))</f>
        <v/>
      </c>
      <c r="BN61" s="124" t="str">
        <f>IF($B61="","",IFERROR(IF(ABS(W61-BI61)&gt;P_Tol,1,0),1))</f>
        <v/>
      </c>
      <c r="BO61" s="124" t="str">
        <f>IF($B61="","",IFERROR(IF(OR(ABS(R61+S61-T61)&gt;P_Tol,ABS(U61+V61-W61)&gt;P_Tol,ABS(X61+Y61-Z61)&gt;P_Tol),1,0),1))</f>
        <v/>
      </c>
      <c r="BP61" s="124" t="str">
        <f>IF($B61="","",IFERROR(IF(OR(ABS(AR61-SUM(AB61:AM61))&gt;P_Tol,ABS(AS61-(AN61+AO61+AP61+AQ61))&gt;P_Tol),1,0),1))</f>
        <v/>
      </c>
      <c r="BQ61" s="124" t="str">
        <f>IF($B61="","",IFERROR(IF(ABS(AT61)+ABS(AV61)+ABS(AW61)+ABS(AX61)+ABS(AY61)+ABS(AZ61)+ABS(BA61)+ABS(BB61)&gt;0,1,0),1))</f>
        <v/>
      </c>
      <c r="BR61" s="124" t="str">
        <f>IF($B61="","",COUNTIF(STG_ZPMW03!$B$6:$B$505,B61))</f>
        <v/>
      </c>
      <c r="BS61" s="124" t="str">
        <f>IF($B61="","",COUNTIF($B$6:$B$505,B61))</f>
        <v/>
      </c>
      <c r="BT61" s="124" t="str">
        <f>IF($B61="","",IF(BR61=0,0,IF(INDEX(STG_ZPMW03!$I$6:$I$505,MATCH(B61,STG_ZPMW03!$B$6:$B$505,0))=J61&amp;"",0,1)))</f>
        <v/>
      </c>
      <c r="BU61" s="124" t="str">
        <f>IF($B61="","",IFERROR(IF(ABS(INDEX(Mapping!$D$5:$D$104,MATCH(B61,Mapping!$A$5:$A$104,0))-Q61)&gt;P_Tol,1,0),0))</f>
        <v/>
      </c>
      <c r="BV61" s="124" t="str">
        <f>IF($B61="","",IFERROR(IF(AND(INDEX(Mapping!$G$5:$G$104,MATCH(B61,Mapping!$A$5:$A$104,0))="Nee",ABS(Q61)+ABS(Z61)+ABS(AR61)&gt;0),1,0),0))</f>
        <v/>
      </c>
      <c r="BW61" s="124" t="str">
        <f>IF($B61="","",IF(COUNTIF(Mapping!$A$5:$A$104,B61)&gt;0,1,0))</f>
        <v/>
      </c>
      <c r="BX61" s="124" t="str">
        <f>IF($B61="","",IF(BR61=0,COUNTIF($BR$6:BR61,0),""))</f>
        <v/>
      </c>
    </row>
    <row r="62">
      <c r="A62" s="15" t="n">
        <v>58</v>
      </c>
      <c r="B62" t="str">
        <f>IF(B$3=0,"",IF(INDEX(SRC_Woningetalage!$A$1:$ZZ$501,$A62,B$3)&amp;""="","",INDEX(SRC_Woningetalage!$A$1:$ZZ$501,$A62,B$3)&amp;""))</f>
        <v/>
      </c>
      <c r="C62" t="str">
        <f>IF($B62="","",IF(C$3=0,"n.b.",INDEX(SRC_Woningetalage!$A$1:$ZZ$501,$A62,C$3)))</f>
        <v/>
      </c>
      <c r="D62" t="str">
        <f>IF($B62="","",IF(D$3=0,"n.b.",INDEX(SRC_Woningetalage!$A$1:$ZZ$501,$A62,D$3)))</f>
        <v/>
      </c>
      <c r="E62" t="str">
        <f>IF($B62="","",IF(E$3=0,"n.b.",INDEX(SRC_Woningetalage!$A$1:$ZZ$501,$A62,E$3)))</f>
        <v/>
      </c>
      <c r="F62" t="str">
        <f>IF($B62="","",IF(F$3=0,"n.b.",INDEX(SRC_Woningetalage!$A$1:$ZZ$501,$A62,F$3)))</f>
        <v/>
      </c>
      <c r="G62" t="str">
        <f>IF($B62="","",IF(G$3=0,"n.b.",INDEX(SRC_Woningetalage!$A$1:$ZZ$501,$A62,G$3)))</f>
        <v/>
      </c>
      <c r="H62" t="str">
        <f>IF($B62="","",IF(H$3=0,"n.b.",INDEX(SRC_Woningetalage!$A$1:$ZZ$501,$A62,H$3)))</f>
        <v/>
      </c>
      <c r="I62" t="str">
        <f>IF($B62="","",IF(I$3=0,"n.b.",INDEX(SRC_Woningetalage!$A$1:$ZZ$501,$A62,I$3)))</f>
        <v/>
      </c>
      <c r="J62" t="str">
        <f>IF($B62="","",IF(J$3=0,"n.b.",INDEX(SRC_Woningetalage!$A$1:$ZZ$501,$A62,J$3)))</f>
        <v/>
      </c>
      <c r="K62" t="str">
        <f>IF($B62="","",IF(K$3=0,"n.b.",INDEX(SRC_Woningetalage!$A$1:$ZZ$501,$A62,K$3)))</f>
        <v/>
      </c>
      <c r="L62" t="str">
        <f>IF($B62="","",IF(L$3=0,"n.b.",INDEX(SRC_Woningetalage!$A$1:$ZZ$501,$A62,L$3)))</f>
        <v/>
      </c>
      <c r="M62" t="str">
        <f>IF($B62="","",IF(M$3=0,"n.b.",INDEX(SRC_Woningetalage!$A$1:$ZZ$501,$A62,M$3)))</f>
        <v/>
      </c>
      <c r="N62" t="str">
        <f>IF($B62="","",IF(N$3=0,"n.b.",INDEX(SRC_Woningetalage!$A$1:$ZZ$501,$A62,N$3)))</f>
        <v/>
      </c>
      <c r="O62" t="str">
        <f>IF($B62="","",IF(O$3=0,"n.b.",INDEX(SRC_Woningetalage!$A$1:$ZZ$501,$A62,O$3)))</f>
        <v/>
      </c>
      <c r="P62" t="str">
        <f>IF($B62="","",IF(P$3=0,"n.b.",INDEX(SRC_Woningetalage!$A$1:$ZZ$501,$A62,P$3)))</f>
        <v/>
      </c>
      <c r="Q62" s="124" t="str">
        <f>IF($B62="","",IF(Q$3=0,"n.b.",INDEX(SRC_Woningetalage!$A$1:$ZZ$501,$A62,Q$3)))</f>
        <v/>
      </c>
      <c r="R62" s="124" t="str">
        <f>IF($B62="","",IF(R$3=0,"n.b.",INDEX(SRC_Woningetalage!$A$1:$ZZ$501,$A62,R$3)))</f>
        <v/>
      </c>
      <c r="S62" s="124" t="str">
        <f>IF($B62="","",IF(S$3=0,"n.b.",INDEX(SRC_Woningetalage!$A$1:$ZZ$501,$A62,S$3)))</f>
        <v/>
      </c>
      <c r="T62" s="124" t="str">
        <f>IF($B62="","",IF(T$3=0,"n.b.",INDEX(SRC_Woningetalage!$A$1:$ZZ$501,$A62,T$3)))</f>
        <v/>
      </c>
      <c r="U62" s="124" t="str">
        <f>IF($B62="","",IF(U$3=0,"n.b.",INDEX(SRC_Woningetalage!$A$1:$ZZ$501,$A62,U$3)))</f>
        <v/>
      </c>
      <c r="V62" s="124" t="str">
        <f>IF($B62="","",IF(V$3=0,"n.b.",INDEX(SRC_Woningetalage!$A$1:$ZZ$501,$A62,V$3)))</f>
        <v/>
      </c>
      <c r="W62" s="124" t="str">
        <f>IF($B62="","",IF(W$3=0,"n.b.",INDEX(SRC_Woningetalage!$A$1:$ZZ$501,$A62,W$3)))</f>
        <v/>
      </c>
      <c r="X62" s="124" t="str">
        <f>IF($B62="","",IF(X$3=0,"n.b.",INDEX(SRC_Woningetalage!$A$1:$ZZ$501,$A62,X$3)))</f>
        <v/>
      </c>
      <c r="Y62" s="124" t="str">
        <f>IF($B62="","",IF(Y$3=0,"n.b.",INDEX(SRC_Woningetalage!$A$1:$ZZ$501,$A62,Y$3)))</f>
        <v/>
      </c>
      <c r="Z62" s="124" t="str">
        <f>IF($B62="","",IF(Z$3=0,"n.b.",INDEX(SRC_Woningetalage!$A$1:$ZZ$501,$A62,Z$3)))</f>
        <v/>
      </c>
      <c r="AA62" s="124" t="str">
        <f>IF($B62="","",IF(AA$3=0,"n.b.",INDEX(SRC_Woningetalage!$A$1:$ZZ$501,$A62,AA$3)))</f>
        <v/>
      </c>
      <c r="AB62" s="124" t="str">
        <f>IF($B62="","",IF(AB$3=0,"n.b.",INDEX(SRC_Woningetalage!$A$1:$ZZ$501,$A62,AB$3)))</f>
        <v/>
      </c>
      <c r="AC62" s="124" t="str">
        <f>IF($B62="","",IF(AC$3=0,"n.b.",INDEX(SRC_Woningetalage!$A$1:$ZZ$501,$A62,AC$3)))</f>
        <v/>
      </c>
      <c r="AD62" s="124" t="str">
        <f>IF($B62="","",IF(AD$3=0,"n.b.",INDEX(SRC_Woningetalage!$A$1:$ZZ$501,$A62,AD$3)))</f>
        <v/>
      </c>
      <c r="AE62" s="124" t="str">
        <f>IF($B62="","",IF(AE$3=0,"n.b.",INDEX(SRC_Woningetalage!$A$1:$ZZ$501,$A62,AE$3)))</f>
        <v/>
      </c>
      <c r="AF62" s="124" t="str">
        <f>IF($B62="","",IF(AF$3=0,"n.b.",INDEX(SRC_Woningetalage!$A$1:$ZZ$501,$A62,AF$3)))</f>
        <v/>
      </c>
      <c r="AG62" s="124" t="str">
        <f>IF($B62="","",IF(AG$3=0,"n.b.",INDEX(SRC_Woningetalage!$A$1:$ZZ$501,$A62,AG$3)))</f>
        <v/>
      </c>
      <c r="AH62" s="124" t="str">
        <f>IF($B62="","",IF(AH$3=0,"n.b.",INDEX(SRC_Woningetalage!$A$1:$ZZ$501,$A62,AH$3)))</f>
        <v/>
      </c>
      <c r="AI62" s="124" t="str">
        <f>IF($B62="","",IF(AI$3=0,"n.b.",INDEX(SRC_Woningetalage!$A$1:$ZZ$501,$A62,AI$3)))</f>
        <v/>
      </c>
      <c r="AJ62" s="124" t="str">
        <f>IF($B62="","",IF(AJ$3=0,"n.b.",INDEX(SRC_Woningetalage!$A$1:$ZZ$501,$A62,AJ$3)))</f>
        <v/>
      </c>
      <c r="AK62" s="124" t="str">
        <f>IF($B62="","",IF(AK$3=0,"n.b.",INDEX(SRC_Woningetalage!$A$1:$ZZ$501,$A62,AK$3)))</f>
        <v/>
      </c>
      <c r="AL62" s="124" t="str">
        <f>IF($B62="","",IF(AL$3=0,"n.b.",INDEX(SRC_Woningetalage!$A$1:$ZZ$501,$A62,AL$3)))</f>
        <v/>
      </c>
      <c r="AM62" s="124" t="str">
        <f>IF($B62="","",IF(AM$3=0,"n.b.",INDEX(SRC_Woningetalage!$A$1:$ZZ$501,$A62,AM$3)))</f>
        <v/>
      </c>
      <c r="AN62" s="124" t="str">
        <f>IF($B62="","",IF(AN$3=0,"n.b.",INDEX(SRC_Woningetalage!$A$1:$ZZ$501,$A62,AN$3)))</f>
        <v/>
      </c>
      <c r="AO62" s="124" t="str">
        <f>IF($B62="","",IF(AO$3=0,"n.b.",INDEX(SRC_Woningetalage!$A$1:$ZZ$501,$A62,AO$3)))</f>
        <v/>
      </c>
      <c r="AP62" s="124" t="str">
        <f>IF($B62="","",IF(AP$3=0,"n.b.",INDEX(SRC_Woningetalage!$A$1:$ZZ$501,$A62,AP$3)))</f>
        <v/>
      </c>
      <c r="AQ62" s="124" t="str">
        <f>IF($B62="","",IF(AQ$3=0,"n.b.",INDEX(SRC_Woningetalage!$A$1:$ZZ$501,$A62,AQ$3)))</f>
        <v/>
      </c>
      <c r="AR62" s="124" t="str">
        <f>IF($B62="","",IF(AR$3=0,"n.b.",INDEX(SRC_Woningetalage!$A$1:$ZZ$501,$A62,AR$3)))</f>
        <v/>
      </c>
      <c r="AS62" s="124" t="str">
        <f>IF($B62="","",IF(AS$3=0,"n.b.",INDEX(SRC_Woningetalage!$A$1:$ZZ$501,$A62,AS$3)))</f>
        <v/>
      </c>
      <c r="AT62" s="124" t="str">
        <f>IF($B62="","",IF(AT$3=0,"n.b.",INDEX(SRC_Woningetalage!$A$1:$ZZ$501,$A62,AT$3)))</f>
        <v/>
      </c>
      <c r="AU62" s="124" t="str">
        <f>IF($B62="","",IF(AU$3=0,"n.b.",INDEX(SRC_Woningetalage!$A$1:$ZZ$501,$A62,AU$3)))</f>
        <v/>
      </c>
      <c r="AV62" s="124" t="str">
        <f>IF($B62="","",IF(AV$3=0,"n.b.",INDEX(SRC_Woningetalage!$A$1:$ZZ$501,$A62,AV$3)))</f>
        <v/>
      </c>
      <c r="AW62" s="124" t="str">
        <f>IF($B62="","",IF(AW$3=0,"n.b.",INDEX(SRC_Woningetalage!$A$1:$ZZ$501,$A62,AW$3)))</f>
        <v/>
      </c>
      <c r="AX62" s="124" t="str">
        <f>IF($B62="","",IF(AX$3=0,"n.b.",INDEX(SRC_Woningetalage!$A$1:$ZZ$501,$A62,AX$3)))</f>
        <v/>
      </c>
      <c r="AY62" s="124" t="str">
        <f>IF($B62="","",IF(AY$3=0,"n.b.",INDEX(SRC_Woningetalage!$A$1:$ZZ$501,$A62,AY$3)))</f>
        <v/>
      </c>
      <c r="AZ62" s="124" t="str">
        <f>IF($B62="","",IF(AZ$3=0,"n.b.",INDEX(SRC_Woningetalage!$A$1:$ZZ$501,$A62,AZ$3)))</f>
        <v/>
      </c>
      <c r="BA62" s="124" t="str">
        <f>IF($B62="","",IF(BA$3=0,"n.b.",INDEX(SRC_Woningetalage!$A$1:$ZZ$501,$A62,BA$3)))</f>
        <v/>
      </c>
      <c r="BB62" s="124" t="str">
        <f>IF($B62="","",IF(BB$3=0,"n.b.",INDEX(SRC_Woningetalage!$A$1:$ZZ$501,$A62,BB$3)))</f>
        <v/>
      </c>
      <c r="BC62" s="124" t="str">
        <f>IF($B62="","",IFERROR(_xlfn.NUMBERVALUE(E62&amp;"",",","."),"n.b."))</f>
        <v/>
      </c>
      <c r="BD62" s="124" t="str">
        <f>IF($B62="","",IFERROR(_xlfn.NUMBERVALUE(M62&amp;"",",","."),"n.b."))</f>
        <v/>
      </c>
      <c r="BE62" s="124" t="str">
        <f>IF($B62="","",IFERROR(AB62+AC62+AD62,"n.b."))</f>
        <v/>
      </c>
      <c r="BF62" s="124" t="str">
        <f>IF($B62="","",IFERROR(AE62+AF62+AG62,"n.b."))</f>
        <v/>
      </c>
      <c r="BG62" s="124" t="str">
        <f>IF($B62="","",IFERROR(AH62+AI62+AJ62,"n.b."))</f>
        <v/>
      </c>
      <c r="BH62" s="124" t="str">
        <f>IF($B62="","",IFERROR(AK62+AL62+AM62,"n.b."))</f>
        <v/>
      </c>
      <c r="BI62" s="124" t="str">
        <f>IF($B62="","",IFERROR(SUMIF($AB$5:$AM$5,"&lt;="&amp;P_PeilMaand,AB62:AM62),"n.b."))</f>
        <v/>
      </c>
      <c r="BJ62" s="124" t="str">
        <f>IF($B62="","",IFERROR(SUM(AB62:AM62)-BI62,"n.b."))</f>
        <v/>
      </c>
      <c r="BK62" s="124" t="str">
        <f>IF($B62="","",IFERROR(IF(ABS(Q62-(T62+SUM(AB62:AM62)+AS62+AU62))&gt;P_Tol,1,0),1))</f>
        <v/>
      </c>
      <c r="BL62" s="124" t="str">
        <f>IF($B62="","",IFERROR(IF(ABS(AA62-(Q62-Z62))&gt;P_Tol,1,0),1))</f>
        <v/>
      </c>
      <c r="BM62" s="124" t="str">
        <f>IF($B62="","",IFERROR(IF(ABS(Z62-(T62+W62))&gt;P_Tol,1,0),1))</f>
        <v/>
      </c>
      <c r="BN62" s="124" t="str">
        <f>IF($B62="","",IFERROR(IF(ABS(W62-BI62)&gt;P_Tol,1,0),1))</f>
        <v/>
      </c>
      <c r="BO62" s="124" t="str">
        <f>IF($B62="","",IFERROR(IF(OR(ABS(R62+S62-T62)&gt;P_Tol,ABS(U62+V62-W62)&gt;P_Tol,ABS(X62+Y62-Z62)&gt;P_Tol),1,0),1))</f>
        <v/>
      </c>
      <c r="BP62" s="124" t="str">
        <f>IF($B62="","",IFERROR(IF(OR(ABS(AR62-SUM(AB62:AM62))&gt;P_Tol,ABS(AS62-(AN62+AO62+AP62+AQ62))&gt;P_Tol),1,0),1))</f>
        <v/>
      </c>
      <c r="BQ62" s="124" t="str">
        <f>IF($B62="","",IFERROR(IF(ABS(AT62)+ABS(AV62)+ABS(AW62)+ABS(AX62)+ABS(AY62)+ABS(AZ62)+ABS(BA62)+ABS(BB62)&gt;0,1,0),1))</f>
        <v/>
      </c>
      <c r="BR62" s="124" t="str">
        <f>IF($B62="","",COUNTIF(STG_ZPMW03!$B$6:$B$505,B62))</f>
        <v/>
      </c>
      <c r="BS62" s="124" t="str">
        <f>IF($B62="","",COUNTIF($B$6:$B$505,B62))</f>
        <v/>
      </c>
      <c r="BT62" s="124" t="str">
        <f>IF($B62="","",IF(BR62=0,0,IF(INDEX(STG_ZPMW03!$I$6:$I$505,MATCH(B62,STG_ZPMW03!$B$6:$B$505,0))=J62&amp;"",0,1)))</f>
        <v/>
      </c>
      <c r="BU62" s="124" t="str">
        <f>IF($B62="","",IFERROR(IF(ABS(INDEX(Mapping!$D$5:$D$104,MATCH(B62,Mapping!$A$5:$A$104,0))-Q62)&gt;P_Tol,1,0),0))</f>
        <v/>
      </c>
      <c r="BV62" s="124" t="str">
        <f>IF($B62="","",IFERROR(IF(AND(INDEX(Mapping!$G$5:$G$104,MATCH(B62,Mapping!$A$5:$A$104,0))="Nee",ABS(Q62)+ABS(Z62)+ABS(AR62)&gt;0),1,0),0))</f>
        <v/>
      </c>
      <c r="BW62" s="124" t="str">
        <f>IF($B62="","",IF(COUNTIF(Mapping!$A$5:$A$104,B62)&gt;0,1,0))</f>
        <v/>
      </c>
      <c r="BX62" s="124" t="str">
        <f>IF($B62="","",IF(BR62=0,COUNTIF($BR$6:BR62,0),""))</f>
        <v/>
      </c>
    </row>
    <row r="63">
      <c r="A63" s="15" t="n">
        <v>59</v>
      </c>
      <c r="B63" t="str">
        <f>IF(B$3=0,"",IF(INDEX(SRC_Woningetalage!$A$1:$ZZ$501,$A63,B$3)&amp;""="","",INDEX(SRC_Woningetalage!$A$1:$ZZ$501,$A63,B$3)&amp;""))</f>
        <v/>
      </c>
      <c r="C63" t="str">
        <f>IF($B63="","",IF(C$3=0,"n.b.",INDEX(SRC_Woningetalage!$A$1:$ZZ$501,$A63,C$3)))</f>
        <v/>
      </c>
      <c r="D63" t="str">
        <f>IF($B63="","",IF(D$3=0,"n.b.",INDEX(SRC_Woningetalage!$A$1:$ZZ$501,$A63,D$3)))</f>
        <v/>
      </c>
      <c r="E63" t="str">
        <f>IF($B63="","",IF(E$3=0,"n.b.",INDEX(SRC_Woningetalage!$A$1:$ZZ$501,$A63,E$3)))</f>
        <v/>
      </c>
      <c r="F63" t="str">
        <f>IF($B63="","",IF(F$3=0,"n.b.",INDEX(SRC_Woningetalage!$A$1:$ZZ$501,$A63,F$3)))</f>
        <v/>
      </c>
      <c r="G63" t="str">
        <f>IF($B63="","",IF(G$3=0,"n.b.",INDEX(SRC_Woningetalage!$A$1:$ZZ$501,$A63,G$3)))</f>
        <v/>
      </c>
      <c r="H63" t="str">
        <f>IF($B63="","",IF(H$3=0,"n.b.",INDEX(SRC_Woningetalage!$A$1:$ZZ$501,$A63,H$3)))</f>
        <v/>
      </c>
      <c r="I63" t="str">
        <f>IF($B63="","",IF(I$3=0,"n.b.",INDEX(SRC_Woningetalage!$A$1:$ZZ$501,$A63,I$3)))</f>
        <v/>
      </c>
      <c r="J63" t="str">
        <f>IF($B63="","",IF(J$3=0,"n.b.",INDEX(SRC_Woningetalage!$A$1:$ZZ$501,$A63,J$3)))</f>
        <v/>
      </c>
      <c r="K63" t="str">
        <f>IF($B63="","",IF(K$3=0,"n.b.",INDEX(SRC_Woningetalage!$A$1:$ZZ$501,$A63,K$3)))</f>
        <v/>
      </c>
      <c r="L63" t="str">
        <f>IF($B63="","",IF(L$3=0,"n.b.",INDEX(SRC_Woningetalage!$A$1:$ZZ$501,$A63,L$3)))</f>
        <v/>
      </c>
      <c r="M63" t="str">
        <f>IF($B63="","",IF(M$3=0,"n.b.",INDEX(SRC_Woningetalage!$A$1:$ZZ$501,$A63,M$3)))</f>
        <v/>
      </c>
      <c r="N63" t="str">
        <f>IF($B63="","",IF(N$3=0,"n.b.",INDEX(SRC_Woningetalage!$A$1:$ZZ$501,$A63,N$3)))</f>
        <v/>
      </c>
      <c r="O63" t="str">
        <f>IF($B63="","",IF(O$3=0,"n.b.",INDEX(SRC_Woningetalage!$A$1:$ZZ$501,$A63,O$3)))</f>
        <v/>
      </c>
      <c r="P63" t="str">
        <f>IF($B63="","",IF(P$3=0,"n.b.",INDEX(SRC_Woningetalage!$A$1:$ZZ$501,$A63,P$3)))</f>
        <v/>
      </c>
      <c r="Q63" s="124" t="str">
        <f>IF($B63="","",IF(Q$3=0,"n.b.",INDEX(SRC_Woningetalage!$A$1:$ZZ$501,$A63,Q$3)))</f>
        <v/>
      </c>
      <c r="R63" s="124" t="str">
        <f>IF($B63="","",IF(R$3=0,"n.b.",INDEX(SRC_Woningetalage!$A$1:$ZZ$501,$A63,R$3)))</f>
        <v/>
      </c>
      <c r="S63" s="124" t="str">
        <f>IF($B63="","",IF(S$3=0,"n.b.",INDEX(SRC_Woningetalage!$A$1:$ZZ$501,$A63,S$3)))</f>
        <v/>
      </c>
      <c r="T63" s="124" t="str">
        <f>IF($B63="","",IF(T$3=0,"n.b.",INDEX(SRC_Woningetalage!$A$1:$ZZ$501,$A63,T$3)))</f>
        <v/>
      </c>
      <c r="U63" s="124" t="str">
        <f>IF($B63="","",IF(U$3=0,"n.b.",INDEX(SRC_Woningetalage!$A$1:$ZZ$501,$A63,U$3)))</f>
        <v/>
      </c>
      <c r="V63" s="124" t="str">
        <f>IF($B63="","",IF(V$3=0,"n.b.",INDEX(SRC_Woningetalage!$A$1:$ZZ$501,$A63,V$3)))</f>
        <v/>
      </c>
      <c r="W63" s="124" t="str">
        <f>IF($B63="","",IF(W$3=0,"n.b.",INDEX(SRC_Woningetalage!$A$1:$ZZ$501,$A63,W$3)))</f>
        <v/>
      </c>
      <c r="X63" s="124" t="str">
        <f>IF($B63="","",IF(X$3=0,"n.b.",INDEX(SRC_Woningetalage!$A$1:$ZZ$501,$A63,X$3)))</f>
        <v/>
      </c>
      <c r="Y63" s="124" t="str">
        <f>IF($B63="","",IF(Y$3=0,"n.b.",INDEX(SRC_Woningetalage!$A$1:$ZZ$501,$A63,Y$3)))</f>
        <v/>
      </c>
      <c r="Z63" s="124" t="str">
        <f>IF($B63="","",IF(Z$3=0,"n.b.",INDEX(SRC_Woningetalage!$A$1:$ZZ$501,$A63,Z$3)))</f>
        <v/>
      </c>
      <c r="AA63" s="124" t="str">
        <f>IF($B63="","",IF(AA$3=0,"n.b.",INDEX(SRC_Woningetalage!$A$1:$ZZ$501,$A63,AA$3)))</f>
        <v/>
      </c>
      <c r="AB63" s="124" t="str">
        <f>IF($B63="","",IF(AB$3=0,"n.b.",INDEX(SRC_Woningetalage!$A$1:$ZZ$501,$A63,AB$3)))</f>
        <v/>
      </c>
      <c r="AC63" s="124" t="str">
        <f>IF($B63="","",IF(AC$3=0,"n.b.",INDEX(SRC_Woningetalage!$A$1:$ZZ$501,$A63,AC$3)))</f>
        <v/>
      </c>
      <c r="AD63" s="124" t="str">
        <f>IF($B63="","",IF(AD$3=0,"n.b.",INDEX(SRC_Woningetalage!$A$1:$ZZ$501,$A63,AD$3)))</f>
        <v/>
      </c>
      <c r="AE63" s="124" t="str">
        <f>IF($B63="","",IF(AE$3=0,"n.b.",INDEX(SRC_Woningetalage!$A$1:$ZZ$501,$A63,AE$3)))</f>
        <v/>
      </c>
      <c r="AF63" s="124" t="str">
        <f>IF($B63="","",IF(AF$3=0,"n.b.",INDEX(SRC_Woningetalage!$A$1:$ZZ$501,$A63,AF$3)))</f>
        <v/>
      </c>
      <c r="AG63" s="124" t="str">
        <f>IF($B63="","",IF(AG$3=0,"n.b.",INDEX(SRC_Woningetalage!$A$1:$ZZ$501,$A63,AG$3)))</f>
        <v/>
      </c>
      <c r="AH63" s="124" t="str">
        <f>IF($B63="","",IF(AH$3=0,"n.b.",INDEX(SRC_Woningetalage!$A$1:$ZZ$501,$A63,AH$3)))</f>
        <v/>
      </c>
      <c r="AI63" s="124" t="str">
        <f>IF($B63="","",IF(AI$3=0,"n.b.",INDEX(SRC_Woningetalage!$A$1:$ZZ$501,$A63,AI$3)))</f>
        <v/>
      </c>
      <c r="AJ63" s="124" t="str">
        <f>IF($B63="","",IF(AJ$3=0,"n.b.",INDEX(SRC_Woningetalage!$A$1:$ZZ$501,$A63,AJ$3)))</f>
        <v/>
      </c>
      <c r="AK63" s="124" t="str">
        <f>IF($B63="","",IF(AK$3=0,"n.b.",INDEX(SRC_Woningetalage!$A$1:$ZZ$501,$A63,AK$3)))</f>
        <v/>
      </c>
      <c r="AL63" s="124" t="str">
        <f>IF($B63="","",IF(AL$3=0,"n.b.",INDEX(SRC_Woningetalage!$A$1:$ZZ$501,$A63,AL$3)))</f>
        <v/>
      </c>
      <c r="AM63" s="124" t="str">
        <f>IF($B63="","",IF(AM$3=0,"n.b.",INDEX(SRC_Woningetalage!$A$1:$ZZ$501,$A63,AM$3)))</f>
        <v/>
      </c>
      <c r="AN63" s="124" t="str">
        <f>IF($B63="","",IF(AN$3=0,"n.b.",INDEX(SRC_Woningetalage!$A$1:$ZZ$501,$A63,AN$3)))</f>
        <v/>
      </c>
      <c r="AO63" s="124" t="str">
        <f>IF($B63="","",IF(AO$3=0,"n.b.",INDEX(SRC_Woningetalage!$A$1:$ZZ$501,$A63,AO$3)))</f>
        <v/>
      </c>
      <c r="AP63" s="124" t="str">
        <f>IF($B63="","",IF(AP$3=0,"n.b.",INDEX(SRC_Woningetalage!$A$1:$ZZ$501,$A63,AP$3)))</f>
        <v/>
      </c>
      <c r="AQ63" s="124" t="str">
        <f>IF($B63="","",IF(AQ$3=0,"n.b.",INDEX(SRC_Woningetalage!$A$1:$ZZ$501,$A63,AQ$3)))</f>
        <v/>
      </c>
      <c r="AR63" s="124" t="str">
        <f>IF($B63="","",IF(AR$3=0,"n.b.",INDEX(SRC_Woningetalage!$A$1:$ZZ$501,$A63,AR$3)))</f>
        <v/>
      </c>
      <c r="AS63" s="124" t="str">
        <f>IF($B63="","",IF(AS$3=0,"n.b.",INDEX(SRC_Woningetalage!$A$1:$ZZ$501,$A63,AS$3)))</f>
        <v/>
      </c>
      <c r="AT63" s="124" t="str">
        <f>IF($B63="","",IF(AT$3=0,"n.b.",INDEX(SRC_Woningetalage!$A$1:$ZZ$501,$A63,AT$3)))</f>
        <v/>
      </c>
      <c r="AU63" s="124" t="str">
        <f>IF($B63="","",IF(AU$3=0,"n.b.",INDEX(SRC_Woningetalage!$A$1:$ZZ$501,$A63,AU$3)))</f>
        <v/>
      </c>
      <c r="AV63" s="124" t="str">
        <f>IF($B63="","",IF(AV$3=0,"n.b.",INDEX(SRC_Woningetalage!$A$1:$ZZ$501,$A63,AV$3)))</f>
        <v/>
      </c>
      <c r="AW63" s="124" t="str">
        <f>IF($B63="","",IF(AW$3=0,"n.b.",INDEX(SRC_Woningetalage!$A$1:$ZZ$501,$A63,AW$3)))</f>
        <v/>
      </c>
      <c r="AX63" s="124" t="str">
        <f>IF($B63="","",IF(AX$3=0,"n.b.",INDEX(SRC_Woningetalage!$A$1:$ZZ$501,$A63,AX$3)))</f>
        <v/>
      </c>
      <c r="AY63" s="124" t="str">
        <f>IF($B63="","",IF(AY$3=0,"n.b.",INDEX(SRC_Woningetalage!$A$1:$ZZ$501,$A63,AY$3)))</f>
        <v/>
      </c>
      <c r="AZ63" s="124" t="str">
        <f>IF($B63="","",IF(AZ$3=0,"n.b.",INDEX(SRC_Woningetalage!$A$1:$ZZ$501,$A63,AZ$3)))</f>
        <v/>
      </c>
      <c r="BA63" s="124" t="str">
        <f>IF($B63="","",IF(BA$3=0,"n.b.",INDEX(SRC_Woningetalage!$A$1:$ZZ$501,$A63,BA$3)))</f>
        <v/>
      </c>
      <c r="BB63" s="124" t="str">
        <f>IF($B63="","",IF(BB$3=0,"n.b.",INDEX(SRC_Woningetalage!$A$1:$ZZ$501,$A63,BB$3)))</f>
        <v/>
      </c>
      <c r="BC63" s="124" t="str">
        <f>IF($B63="","",IFERROR(_xlfn.NUMBERVALUE(E63&amp;"",",","."),"n.b."))</f>
        <v/>
      </c>
      <c r="BD63" s="124" t="str">
        <f>IF($B63="","",IFERROR(_xlfn.NUMBERVALUE(M63&amp;"",",","."),"n.b."))</f>
        <v/>
      </c>
      <c r="BE63" s="124" t="str">
        <f>IF($B63="","",IFERROR(AB63+AC63+AD63,"n.b."))</f>
        <v/>
      </c>
      <c r="BF63" s="124" t="str">
        <f>IF($B63="","",IFERROR(AE63+AF63+AG63,"n.b."))</f>
        <v/>
      </c>
      <c r="BG63" s="124" t="str">
        <f>IF($B63="","",IFERROR(AH63+AI63+AJ63,"n.b."))</f>
        <v/>
      </c>
      <c r="BH63" s="124" t="str">
        <f>IF($B63="","",IFERROR(AK63+AL63+AM63,"n.b."))</f>
        <v/>
      </c>
      <c r="BI63" s="124" t="str">
        <f>IF($B63="","",IFERROR(SUMIF($AB$5:$AM$5,"&lt;="&amp;P_PeilMaand,AB63:AM63),"n.b."))</f>
        <v/>
      </c>
      <c r="BJ63" s="124" t="str">
        <f>IF($B63="","",IFERROR(SUM(AB63:AM63)-BI63,"n.b."))</f>
        <v/>
      </c>
      <c r="BK63" s="124" t="str">
        <f>IF($B63="","",IFERROR(IF(ABS(Q63-(T63+SUM(AB63:AM63)+AS63+AU63))&gt;P_Tol,1,0),1))</f>
        <v/>
      </c>
      <c r="BL63" s="124" t="str">
        <f>IF($B63="","",IFERROR(IF(ABS(AA63-(Q63-Z63))&gt;P_Tol,1,0),1))</f>
        <v/>
      </c>
      <c r="BM63" s="124" t="str">
        <f>IF($B63="","",IFERROR(IF(ABS(Z63-(T63+W63))&gt;P_Tol,1,0),1))</f>
        <v/>
      </c>
      <c r="BN63" s="124" t="str">
        <f>IF($B63="","",IFERROR(IF(ABS(W63-BI63)&gt;P_Tol,1,0),1))</f>
        <v/>
      </c>
      <c r="BO63" s="124" t="str">
        <f>IF($B63="","",IFERROR(IF(OR(ABS(R63+S63-T63)&gt;P_Tol,ABS(U63+V63-W63)&gt;P_Tol,ABS(X63+Y63-Z63)&gt;P_Tol),1,0),1))</f>
        <v/>
      </c>
      <c r="BP63" s="124" t="str">
        <f>IF($B63="","",IFERROR(IF(OR(ABS(AR63-SUM(AB63:AM63))&gt;P_Tol,ABS(AS63-(AN63+AO63+AP63+AQ63))&gt;P_Tol),1,0),1))</f>
        <v/>
      </c>
      <c r="BQ63" s="124" t="str">
        <f>IF($B63="","",IFERROR(IF(ABS(AT63)+ABS(AV63)+ABS(AW63)+ABS(AX63)+ABS(AY63)+ABS(AZ63)+ABS(BA63)+ABS(BB63)&gt;0,1,0),1))</f>
        <v/>
      </c>
      <c r="BR63" s="124" t="str">
        <f>IF($B63="","",COUNTIF(STG_ZPMW03!$B$6:$B$505,B63))</f>
        <v/>
      </c>
      <c r="BS63" s="124" t="str">
        <f>IF($B63="","",COUNTIF($B$6:$B$505,B63))</f>
        <v/>
      </c>
      <c r="BT63" s="124" t="str">
        <f>IF($B63="","",IF(BR63=0,0,IF(INDEX(STG_ZPMW03!$I$6:$I$505,MATCH(B63,STG_ZPMW03!$B$6:$B$505,0))=J63&amp;"",0,1)))</f>
        <v/>
      </c>
      <c r="BU63" s="124" t="str">
        <f>IF($B63="","",IFERROR(IF(ABS(INDEX(Mapping!$D$5:$D$104,MATCH(B63,Mapping!$A$5:$A$104,0))-Q63)&gt;P_Tol,1,0),0))</f>
        <v/>
      </c>
      <c r="BV63" s="124" t="str">
        <f>IF($B63="","",IFERROR(IF(AND(INDEX(Mapping!$G$5:$G$104,MATCH(B63,Mapping!$A$5:$A$104,0))="Nee",ABS(Q63)+ABS(Z63)+ABS(AR63)&gt;0),1,0),0))</f>
        <v/>
      </c>
      <c r="BW63" s="124" t="str">
        <f>IF($B63="","",IF(COUNTIF(Mapping!$A$5:$A$104,B63)&gt;0,1,0))</f>
        <v/>
      </c>
      <c r="BX63" s="124" t="str">
        <f>IF($B63="","",IF(BR63=0,COUNTIF($BR$6:BR63,0),""))</f>
        <v/>
      </c>
    </row>
    <row r="64">
      <c r="A64" s="15" t="n">
        <v>60</v>
      </c>
      <c r="B64" t="str">
        <f>IF(B$3=0,"",IF(INDEX(SRC_Woningetalage!$A$1:$ZZ$501,$A64,B$3)&amp;""="","",INDEX(SRC_Woningetalage!$A$1:$ZZ$501,$A64,B$3)&amp;""))</f>
        <v/>
      </c>
      <c r="C64" t="str">
        <f>IF($B64="","",IF(C$3=0,"n.b.",INDEX(SRC_Woningetalage!$A$1:$ZZ$501,$A64,C$3)))</f>
        <v/>
      </c>
      <c r="D64" t="str">
        <f>IF($B64="","",IF(D$3=0,"n.b.",INDEX(SRC_Woningetalage!$A$1:$ZZ$501,$A64,D$3)))</f>
        <v/>
      </c>
      <c r="E64" t="str">
        <f>IF($B64="","",IF(E$3=0,"n.b.",INDEX(SRC_Woningetalage!$A$1:$ZZ$501,$A64,E$3)))</f>
        <v/>
      </c>
      <c r="F64" t="str">
        <f>IF($B64="","",IF(F$3=0,"n.b.",INDEX(SRC_Woningetalage!$A$1:$ZZ$501,$A64,F$3)))</f>
        <v/>
      </c>
      <c r="G64" t="str">
        <f>IF($B64="","",IF(G$3=0,"n.b.",INDEX(SRC_Woningetalage!$A$1:$ZZ$501,$A64,G$3)))</f>
        <v/>
      </c>
      <c r="H64" t="str">
        <f>IF($B64="","",IF(H$3=0,"n.b.",INDEX(SRC_Woningetalage!$A$1:$ZZ$501,$A64,H$3)))</f>
        <v/>
      </c>
      <c r="I64" t="str">
        <f>IF($B64="","",IF(I$3=0,"n.b.",INDEX(SRC_Woningetalage!$A$1:$ZZ$501,$A64,I$3)))</f>
        <v/>
      </c>
      <c r="J64" t="str">
        <f>IF($B64="","",IF(J$3=0,"n.b.",INDEX(SRC_Woningetalage!$A$1:$ZZ$501,$A64,J$3)))</f>
        <v/>
      </c>
      <c r="K64" t="str">
        <f>IF($B64="","",IF(K$3=0,"n.b.",INDEX(SRC_Woningetalage!$A$1:$ZZ$501,$A64,K$3)))</f>
        <v/>
      </c>
      <c r="L64" t="str">
        <f>IF($B64="","",IF(L$3=0,"n.b.",INDEX(SRC_Woningetalage!$A$1:$ZZ$501,$A64,L$3)))</f>
        <v/>
      </c>
      <c r="M64" t="str">
        <f>IF($B64="","",IF(M$3=0,"n.b.",INDEX(SRC_Woningetalage!$A$1:$ZZ$501,$A64,M$3)))</f>
        <v/>
      </c>
      <c r="N64" t="str">
        <f>IF($B64="","",IF(N$3=0,"n.b.",INDEX(SRC_Woningetalage!$A$1:$ZZ$501,$A64,N$3)))</f>
        <v/>
      </c>
      <c r="O64" t="str">
        <f>IF($B64="","",IF(O$3=0,"n.b.",INDEX(SRC_Woningetalage!$A$1:$ZZ$501,$A64,O$3)))</f>
        <v/>
      </c>
      <c r="P64" t="str">
        <f>IF($B64="","",IF(P$3=0,"n.b.",INDEX(SRC_Woningetalage!$A$1:$ZZ$501,$A64,P$3)))</f>
        <v/>
      </c>
      <c r="Q64" s="124" t="str">
        <f>IF($B64="","",IF(Q$3=0,"n.b.",INDEX(SRC_Woningetalage!$A$1:$ZZ$501,$A64,Q$3)))</f>
        <v/>
      </c>
      <c r="R64" s="124" t="str">
        <f>IF($B64="","",IF(R$3=0,"n.b.",INDEX(SRC_Woningetalage!$A$1:$ZZ$501,$A64,R$3)))</f>
        <v/>
      </c>
      <c r="S64" s="124" t="str">
        <f>IF($B64="","",IF(S$3=0,"n.b.",INDEX(SRC_Woningetalage!$A$1:$ZZ$501,$A64,S$3)))</f>
        <v/>
      </c>
      <c r="T64" s="124" t="str">
        <f>IF($B64="","",IF(T$3=0,"n.b.",INDEX(SRC_Woningetalage!$A$1:$ZZ$501,$A64,T$3)))</f>
        <v/>
      </c>
      <c r="U64" s="124" t="str">
        <f>IF($B64="","",IF(U$3=0,"n.b.",INDEX(SRC_Woningetalage!$A$1:$ZZ$501,$A64,U$3)))</f>
        <v/>
      </c>
      <c r="V64" s="124" t="str">
        <f>IF($B64="","",IF(V$3=0,"n.b.",INDEX(SRC_Woningetalage!$A$1:$ZZ$501,$A64,V$3)))</f>
        <v/>
      </c>
      <c r="W64" s="124" t="str">
        <f>IF($B64="","",IF(W$3=0,"n.b.",INDEX(SRC_Woningetalage!$A$1:$ZZ$501,$A64,W$3)))</f>
        <v/>
      </c>
      <c r="X64" s="124" t="str">
        <f>IF($B64="","",IF(X$3=0,"n.b.",INDEX(SRC_Woningetalage!$A$1:$ZZ$501,$A64,X$3)))</f>
        <v/>
      </c>
      <c r="Y64" s="124" t="str">
        <f>IF($B64="","",IF(Y$3=0,"n.b.",INDEX(SRC_Woningetalage!$A$1:$ZZ$501,$A64,Y$3)))</f>
        <v/>
      </c>
      <c r="Z64" s="124" t="str">
        <f>IF($B64="","",IF(Z$3=0,"n.b.",INDEX(SRC_Woningetalage!$A$1:$ZZ$501,$A64,Z$3)))</f>
        <v/>
      </c>
      <c r="AA64" s="124" t="str">
        <f>IF($B64="","",IF(AA$3=0,"n.b.",INDEX(SRC_Woningetalage!$A$1:$ZZ$501,$A64,AA$3)))</f>
        <v/>
      </c>
      <c r="AB64" s="124" t="str">
        <f>IF($B64="","",IF(AB$3=0,"n.b.",INDEX(SRC_Woningetalage!$A$1:$ZZ$501,$A64,AB$3)))</f>
        <v/>
      </c>
      <c r="AC64" s="124" t="str">
        <f>IF($B64="","",IF(AC$3=0,"n.b.",INDEX(SRC_Woningetalage!$A$1:$ZZ$501,$A64,AC$3)))</f>
        <v/>
      </c>
      <c r="AD64" s="124" t="str">
        <f>IF($B64="","",IF(AD$3=0,"n.b.",INDEX(SRC_Woningetalage!$A$1:$ZZ$501,$A64,AD$3)))</f>
        <v/>
      </c>
      <c r="AE64" s="124" t="str">
        <f>IF($B64="","",IF(AE$3=0,"n.b.",INDEX(SRC_Woningetalage!$A$1:$ZZ$501,$A64,AE$3)))</f>
        <v/>
      </c>
      <c r="AF64" s="124" t="str">
        <f>IF($B64="","",IF(AF$3=0,"n.b.",INDEX(SRC_Woningetalage!$A$1:$ZZ$501,$A64,AF$3)))</f>
        <v/>
      </c>
      <c r="AG64" s="124" t="str">
        <f>IF($B64="","",IF(AG$3=0,"n.b.",INDEX(SRC_Woningetalage!$A$1:$ZZ$501,$A64,AG$3)))</f>
        <v/>
      </c>
      <c r="AH64" s="124" t="str">
        <f>IF($B64="","",IF(AH$3=0,"n.b.",INDEX(SRC_Woningetalage!$A$1:$ZZ$501,$A64,AH$3)))</f>
        <v/>
      </c>
      <c r="AI64" s="124" t="str">
        <f>IF($B64="","",IF(AI$3=0,"n.b.",INDEX(SRC_Woningetalage!$A$1:$ZZ$501,$A64,AI$3)))</f>
        <v/>
      </c>
      <c r="AJ64" s="124" t="str">
        <f>IF($B64="","",IF(AJ$3=0,"n.b.",INDEX(SRC_Woningetalage!$A$1:$ZZ$501,$A64,AJ$3)))</f>
        <v/>
      </c>
      <c r="AK64" s="124" t="str">
        <f>IF($B64="","",IF(AK$3=0,"n.b.",INDEX(SRC_Woningetalage!$A$1:$ZZ$501,$A64,AK$3)))</f>
        <v/>
      </c>
      <c r="AL64" s="124" t="str">
        <f>IF($B64="","",IF(AL$3=0,"n.b.",INDEX(SRC_Woningetalage!$A$1:$ZZ$501,$A64,AL$3)))</f>
        <v/>
      </c>
      <c r="AM64" s="124" t="str">
        <f>IF($B64="","",IF(AM$3=0,"n.b.",INDEX(SRC_Woningetalage!$A$1:$ZZ$501,$A64,AM$3)))</f>
        <v/>
      </c>
      <c r="AN64" s="124" t="str">
        <f>IF($B64="","",IF(AN$3=0,"n.b.",INDEX(SRC_Woningetalage!$A$1:$ZZ$501,$A64,AN$3)))</f>
        <v/>
      </c>
      <c r="AO64" s="124" t="str">
        <f>IF($B64="","",IF(AO$3=0,"n.b.",INDEX(SRC_Woningetalage!$A$1:$ZZ$501,$A64,AO$3)))</f>
        <v/>
      </c>
      <c r="AP64" s="124" t="str">
        <f>IF($B64="","",IF(AP$3=0,"n.b.",INDEX(SRC_Woningetalage!$A$1:$ZZ$501,$A64,AP$3)))</f>
        <v/>
      </c>
      <c r="AQ64" s="124" t="str">
        <f>IF($B64="","",IF(AQ$3=0,"n.b.",INDEX(SRC_Woningetalage!$A$1:$ZZ$501,$A64,AQ$3)))</f>
        <v/>
      </c>
      <c r="AR64" s="124" t="str">
        <f>IF($B64="","",IF(AR$3=0,"n.b.",INDEX(SRC_Woningetalage!$A$1:$ZZ$501,$A64,AR$3)))</f>
        <v/>
      </c>
      <c r="AS64" s="124" t="str">
        <f>IF($B64="","",IF(AS$3=0,"n.b.",INDEX(SRC_Woningetalage!$A$1:$ZZ$501,$A64,AS$3)))</f>
        <v/>
      </c>
      <c r="AT64" s="124" t="str">
        <f>IF($B64="","",IF(AT$3=0,"n.b.",INDEX(SRC_Woningetalage!$A$1:$ZZ$501,$A64,AT$3)))</f>
        <v/>
      </c>
      <c r="AU64" s="124" t="str">
        <f>IF($B64="","",IF(AU$3=0,"n.b.",INDEX(SRC_Woningetalage!$A$1:$ZZ$501,$A64,AU$3)))</f>
        <v/>
      </c>
      <c r="AV64" s="124" t="str">
        <f>IF($B64="","",IF(AV$3=0,"n.b.",INDEX(SRC_Woningetalage!$A$1:$ZZ$501,$A64,AV$3)))</f>
        <v/>
      </c>
      <c r="AW64" s="124" t="str">
        <f>IF($B64="","",IF(AW$3=0,"n.b.",INDEX(SRC_Woningetalage!$A$1:$ZZ$501,$A64,AW$3)))</f>
        <v/>
      </c>
      <c r="AX64" s="124" t="str">
        <f>IF($B64="","",IF(AX$3=0,"n.b.",INDEX(SRC_Woningetalage!$A$1:$ZZ$501,$A64,AX$3)))</f>
        <v/>
      </c>
      <c r="AY64" s="124" t="str">
        <f>IF($B64="","",IF(AY$3=0,"n.b.",INDEX(SRC_Woningetalage!$A$1:$ZZ$501,$A64,AY$3)))</f>
        <v/>
      </c>
      <c r="AZ64" s="124" t="str">
        <f>IF($B64="","",IF(AZ$3=0,"n.b.",INDEX(SRC_Woningetalage!$A$1:$ZZ$501,$A64,AZ$3)))</f>
        <v/>
      </c>
      <c r="BA64" s="124" t="str">
        <f>IF($B64="","",IF(BA$3=0,"n.b.",INDEX(SRC_Woningetalage!$A$1:$ZZ$501,$A64,BA$3)))</f>
        <v/>
      </c>
      <c r="BB64" s="124" t="str">
        <f>IF($B64="","",IF(BB$3=0,"n.b.",INDEX(SRC_Woningetalage!$A$1:$ZZ$501,$A64,BB$3)))</f>
        <v/>
      </c>
      <c r="BC64" s="124" t="str">
        <f>IF($B64="","",IFERROR(_xlfn.NUMBERVALUE(E64&amp;"",",","."),"n.b."))</f>
        <v/>
      </c>
      <c r="BD64" s="124" t="str">
        <f>IF($B64="","",IFERROR(_xlfn.NUMBERVALUE(M64&amp;"",",","."),"n.b."))</f>
        <v/>
      </c>
      <c r="BE64" s="124" t="str">
        <f>IF($B64="","",IFERROR(AB64+AC64+AD64,"n.b."))</f>
        <v/>
      </c>
      <c r="BF64" s="124" t="str">
        <f>IF($B64="","",IFERROR(AE64+AF64+AG64,"n.b."))</f>
        <v/>
      </c>
      <c r="BG64" s="124" t="str">
        <f>IF($B64="","",IFERROR(AH64+AI64+AJ64,"n.b."))</f>
        <v/>
      </c>
      <c r="BH64" s="124" t="str">
        <f>IF($B64="","",IFERROR(AK64+AL64+AM64,"n.b."))</f>
        <v/>
      </c>
      <c r="BI64" s="124" t="str">
        <f>IF($B64="","",IFERROR(SUMIF($AB$5:$AM$5,"&lt;="&amp;P_PeilMaand,AB64:AM64),"n.b."))</f>
        <v/>
      </c>
      <c r="BJ64" s="124" t="str">
        <f>IF($B64="","",IFERROR(SUM(AB64:AM64)-BI64,"n.b."))</f>
        <v/>
      </c>
      <c r="BK64" s="124" t="str">
        <f>IF($B64="","",IFERROR(IF(ABS(Q64-(T64+SUM(AB64:AM64)+AS64+AU64))&gt;P_Tol,1,0),1))</f>
        <v/>
      </c>
      <c r="BL64" s="124" t="str">
        <f>IF($B64="","",IFERROR(IF(ABS(AA64-(Q64-Z64))&gt;P_Tol,1,0),1))</f>
        <v/>
      </c>
      <c r="BM64" s="124" t="str">
        <f>IF($B64="","",IFERROR(IF(ABS(Z64-(T64+W64))&gt;P_Tol,1,0),1))</f>
        <v/>
      </c>
      <c r="BN64" s="124" t="str">
        <f>IF($B64="","",IFERROR(IF(ABS(W64-BI64)&gt;P_Tol,1,0),1))</f>
        <v/>
      </c>
      <c r="BO64" s="124" t="str">
        <f>IF($B64="","",IFERROR(IF(OR(ABS(R64+S64-T64)&gt;P_Tol,ABS(U64+V64-W64)&gt;P_Tol,ABS(X64+Y64-Z64)&gt;P_Tol),1,0),1))</f>
        <v/>
      </c>
      <c r="BP64" s="124" t="str">
        <f>IF($B64="","",IFERROR(IF(OR(ABS(AR64-SUM(AB64:AM64))&gt;P_Tol,ABS(AS64-(AN64+AO64+AP64+AQ64))&gt;P_Tol),1,0),1))</f>
        <v/>
      </c>
      <c r="BQ64" s="124" t="str">
        <f>IF($B64="","",IFERROR(IF(ABS(AT64)+ABS(AV64)+ABS(AW64)+ABS(AX64)+ABS(AY64)+ABS(AZ64)+ABS(BA64)+ABS(BB64)&gt;0,1,0),1))</f>
        <v/>
      </c>
      <c r="BR64" s="124" t="str">
        <f>IF($B64="","",COUNTIF(STG_ZPMW03!$B$6:$B$505,B64))</f>
        <v/>
      </c>
      <c r="BS64" s="124" t="str">
        <f>IF($B64="","",COUNTIF($B$6:$B$505,B64))</f>
        <v/>
      </c>
      <c r="BT64" s="124" t="str">
        <f>IF($B64="","",IF(BR64=0,0,IF(INDEX(STG_ZPMW03!$I$6:$I$505,MATCH(B64,STG_ZPMW03!$B$6:$B$505,0))=J64&amp;"",0,1)))</f>
        <v/>
      </c>
      <c r="BU64" s="124" t="str">
        <f>IF($B64="","",IFERROR(IF(ABS(INDEX(Mapping!$D$5:$D$104,MATCH(B64,Mapping!$A$5:$A$104,0))-Q64)&gt;P_Tol,1,0),0))</f>
        <v/>
      </c>
      <c r="BV64" s="124" t="str">
        <f>IF($B64="","",IFERROR(IF(AND(INDEX(Mapping!$G$5:$G$104,MATCH(B64,Mapping!$A$5:$A$104,0))="Nee",ABS(Q64)+ABS(Z64)+ABS(AR64)&gt;0),1,0),0))</f>
        <v/>
      </c>
      <c r="BW64" s="124" t="str">
        <f>IF($B64="","",IF(COUNTIF(Mapping!$A$5:$A$104,B64)&gt;0,1,0))</f>
        <v/>
      </c>
      <c r="BX64" s="124" t="str">
        <f>IF($B64="","",IF(BR64=0,COUNTIF($BR$6:BR64,0),""))</f>
        <v/>
      </c>
    </row>
    <row r="65">
      <c r="A65" s="15" t="n">
        <v>61</v>
      </c>
      <c r="B65" t="str">
        <f>IF(B$3=0,"",IF(INDEX(SRC_Woningetalage!$A$1:$ZZ$501,$A65,B$3)&amp;""="","",INDEX(SRC_Woningetalage!$A$1:$ZZ$501,$A65,B$3)&amp;""))</f>
        <v/>
      </c>
      <c r="C65" t="str">
        <f>IF($B65="","",IF(C$3=0,"n.b.",INDEX(SRC_Woningetalage!$A$1:$ZZ$501,$A65,C$3)))</f>
        <v/>
      </c>
      <c r="D65" t="str">
        <f>IF($B65="","",IF(D$3=0,"n.b.",INDEX(SRC_Woningetalage!$A$1:$ZZ$501,$A65,D$3)))</f>
        <v/>
      </c>
      <c r="E65" t="str">
        <f>IF($B65="","",IF(E$3=0,"n.b.",INDEX(SRC_Woningetalage!$A$1:$ZZ$501,$A65,E$3)))</f>
        <v/>
      </c>
      <c r="F65" t="str">
        <f>IF($B65="","",IF(F$3=0,"n.b.",INDEX(SRC_Woningetalage!$A$1:$ZZ$501,$A65,F$3)))</f>
        <v/>
      </c>
      <c r="G65" t="str">
        <f>IF($B65="","",IF(G$3=0,"n.b.",INDEX(SRC_Woningetalage!$A$1:$ZZ$501,$A65,G$3)))</f>
        <v/>
      </c>
      <c r="H65" t="str">
        <f>IF($B65="","",IF(H$3=0,"n.b.",INDEX(SRC_Woningetalage!$A$1:$ZZ$501,$A65,H$3)))</f>
        <v/>
      </c>
      <c r="I65" t="str">
        <f>IF($B65="","",IF(I$3=0,"n.b.",INDEX(SRC_Woningetalage!$A$1:$ZZ$501,$A65,I$3)))</f>
        <v/>
      </c>
      <c r="J65" t="str">
        <f>IF($B65="","",IF(J$3=0,"n.b.",INDEX(SRC_Woningetalage!$A$1:$ZZ$501,$A65,J$3)))</f>
        <v/>
      </c>
      <c r="K65" t="str">
        <f>IF($B65="","",IF(K$3=0,"n.b.",INDEX(SRC_Woningetalage!$A$1:$ZZ$501,$A65,K$3)))</f>
        <v/>
      </c>
      <c r="L65" t="str">
        <f>IF($B65="","",IF(L$3=0,"n.b.",INDEX(SRC_Woningetalage!$A$1:$ZZ$501,$A65,L$3)))</f>
        <v/>
      </c>
      <c r="M65" t="str">
        <f>IF($B65="","",IF(M$3=0,"n.b.",INDEX(SRC_Woningetalage!$A$1:$ZZ$501,$A65,M$3)))</f>
        <v/>
      </c>
      <c r="N65" t="str">
        <f>IF($B65="","",IF(N$3=0,"n.b.",INDEX(SRC_Woningetalage!$A$1:$ZZ$501,$A65,N$3)))</f>
        <v/>
      </c>
      <c r="O65" t="str">
        <f>IF($B65="","",IF(O$3=0,"n.b.",INDEX(SRC_Woningetalage!$A$1:$ZZ$501,$A65,O$3)))</f>
        <v/>
      </c>
      <c r="P65" t="str">
        <f>IF($B65="","",IF(P$3=0,"n.b.",INDEX(SRC_Woningetalage!$A$1:$ZZ$501,$A65,P$3)))</f>
        <v/>
      </c>
      <c r="Q65" s="124" t="str">
        <f>IF($B65="","",IF(Q$3=0,"n.b.",INDEX(SRC_Woningetalage!$A$1:$ZZ$501,$A65,Q$3)))</f>
        <v/>
      </c>
      <c r="R65" s="124" t="str">
        <f>IF($B65="","",IF(R$3=0,"n.b.",INDEX(SRC_Woningetalage!$A$1:$ZZ$501,$A65,R$3)))</f>
        <v/>
      </c>
      <c r="S65" s="124" t="str">
        <f>IF($B65="","",IF(S$3=0,"n.b.",INDEX(SRC_Woningetalage!$A$1:$ZZ$501,$A65,S$3)))</f>
        <v/>
      </c>
      <c r="T65" s="124" t="str">
        <f>IF($B65="","",IF(T$3=0,"n.b.",INDEX(SRC_Woningetalage!$A$1:$ZZ$501,$A65,T$3)))</f>
        <v/>
      </c>
      <c r="U65" s="124" t="str">
        <f>IF($B65="","",IF(U$3=0,"n.b.",INDEX(SRC_Woningetalage!$A$1:$ZZ$501,$A65,U$3)))</f>
        <v/>
      </c>
      <c r="V65" s="124" t="str">
        <f>IF($B65="","",IF(V$3=0,"n.b.",INDEX(SRC_Woningetalage!$A$1:$ZZ$501,$A65,V$3)))</f>
        <v/>
      </c>
      <c r="W65" s="124" t="str">
        <f>IF($B65="","",IF(W$3=0,"n.b.",INDEX(SRC_Woningetalage!$A$1:$ZZ$501,$A65,W$3)))</f>
        <v/>
      </c>
      <c r="X65" s="124" t="str">
        <f>IF($B65="","",IF(X$3=0,"n.b.",INDEX(SRC_Woningetalage!$A$1:$ZZ$501,$A65,X$3)))</f>
        <v/>
      </c>
      <c r="Y65" s="124" t="str">
        <f>IF($B65="","",IF(Y$3=0,"n.b.",INDEX(SRC_Woningetalage!$A$1:$ZZ$501,$A65,Y$3)))</f>
        <v/>
      </c>
      <c r="Z65" s="124" t="str">
        <f>IF($B65="","",IF(Z$3=0,"n.b.",INDEX(SRC_Woningetalage!$A$1:$ZZ$501,$A65,Z$3)))</f>
        <v/>
      </c>
      <c r="AA65" s="124" t="str">
        <f>IF($B65="","",IF(AA$3=0,"n.b.",INDEX(SRC_Woningetalage!$A$1:$ZZ$501,$A65,AA$3)))</f>
        <v/>
      </c>
      <c r="AB65" s="124" t="str">
        <f>IF($B65="","",IF(AB$3=0,"n.b.",INDEX(SRC_Woningetalage!$A$1:$ZZ$501,$A65,AB$3)))</f>
        <v/>
      </c>
      <c r="AC65" s="124" t="str">
        <f>IF($B65="","",IF(AC$3=0,"n.b.",INDEX(SRC_Woningetalage!$A$1:$ZZ$501,$A65,AC$3)))</f>
        <v/>
      </c>
      <c r="AD65" s="124" t="str">
        <f>IF($B65="","",IF(AD$3=0,"n.b.",INDEX(SRC_Woningetalage!$A$1:$ZZ$501,$A65,AD$3)))</f>
        <v/>
      </c>
      <c r="AE65" s="124" t="str">
        <f>IF($B65="","",IF(AE$3=0,"n.b.",INDEX(SRC_Woningetalage!$A$1:$ZZ$501,$A65,AE$3)))</f>
        <v/>
      </c>
      <c r="AF65" s="124" t="str">
        <f>IF($B65="","",IF(AF$3=0,"n.b.",INDEX(SRC_Woningetalage!$A$1:$ZZ$501,$A65,AF$3)))</f>
        <v/>
      </c>
      <c r="AG65" s="124" t="str">
        <f>IF($B65="","",IF(AG$3=0,"n.b.",INDEX(SRC_Woningetalage!$A$1:$ZZ$501,$A65,AG$3)))</f>
        <v/>
      </c>
      <c r="AH65" s="124" t="str">
        <f>IF($B65="","",IF(AH$3=0,"n.b.",INDEX(SRC_Woningetalage!$A$1:$ZZ$501,$A65,AH$3)))</f>
        <v/>
      </c>
      <c r="AI65" s="124" t="str">
        <f>IF($B65="","",IF(AI$3=0,"n.b.",INDEX(SRC_Woningetalage!$A$1:$ZZ$501,$A65,AI$3)))</f>
        <v/>
      </c>
      <c r="AJ65" s="124" t="str">
        <f>IF($B65="","",IF(AJ$3=0,"n.b.",INDEX(SRC_Woningetalage!$A$1:$ZZ$501,$A65,AJ$3)))</f>
        <v/>
      </c>
      <c r="AK65" s="124" t="str">
        <f>IF($B65="","",IF(AK$3=0,"n.b.",INDEX(SRC_Woningetalage!$A$1:$ZZ$501,$A65,AK$3)))</f>
        <v/>
      </c>
      <c r="AL65" s="124" t="str">
        <f>IF($B65="","",IF(AL$3=0,"n.b.",INDEX(SRC_Woningetalage!$A$1:$ZZ$501,$A65,AL$3)))</f>
        <v/>
      </c>
      <c r="AM65" s="124" t="str">
        <f>IF($B65="","",IF(AM$3=0,"n.b.",INDEX(SRC_Woningetalage!$A$1:$ZZ$501,$A65,AM$3)))</f>
        <v/>
      </c>
      <c r="AN65" s="124" t="str">
        <f>IF($B65="","",IF(AN$3=0,"n.b.",INDEX(SRC_Woningetalage!$A$1:$ZZ$501,$A65,AN$3)))</f>
        <v/>
      </c>
      <c r="AO65" s="124" t="str">
        <f>IF($B65="","",IF(AO$3=0,"n.b.",INDEX(SRC_Woningetalage!$A$1:$ZZ$501,$A65,AO$3)))</f>
        <v/>
      </c>
      <c r="AP65" s="124" t="str">
        <f>IF($B65="","",IF(AP$3=0,"n.b.",INDEX(SRC_Woningetalage!$A$1:$ZZ$501,$A65,AP$3)))</f>
        <v/>
      </c>
      <c r="AQ65" s="124" t="str">
        <f>IF($B65="","",IF(AQ$3=0,"n.b.",INDEX(SRC_Woningetalage!$A$1:$ZZ$501,$A65,AQ$3)))</f>
        <v/>
      </c>
      <c r="AR65" s="124" t="str">
        <f>IF($B65="","",IF(AR$3=0,"n.b.",INDEX(SRC_Woningetalage!$A$1:$ZZ$501,$A65,AR$3)))</f>
        <v/>
      </c>
      <c r="AS65" s="124" t="str">
        <f>IF($B65="","",IF(AS$3=0,"n.b.",INDEX(SRC_Woningetalage!$A$1:$ZZ$501,$A65,AS$3)))</f>
        <v/>
      </c>
      <c r="AT65" s="124" t="str">
        <f>IF($B65="","",IF(AT$3=0,"n.b.",INDEX(SRC_Woningetalage!$A$1:$ZZ$501,$A65,AT$3)))</f>
        <v/>
      </c>
      <c r="AU65" s="124" t="str">
        <f>IF($B65="","",IF(AU$3=0,"n.b.",INDEX(SRC_Woningetalage!$A$1:$ZZ$501,$A65,AU$3)))</f>
        <v/>
      </c>
      <c r="AV65" s="124" t="str">
        <f>IF($B65="","",IF(AV$3=0,"n.b.",INDEX(SRC_Woningetalage!$A$1:$ZZ$501,$A65,AV$3)))</f>
        <v/>
      </c>
      <c r="AW65" s="124" t="str">
        <f>IF($B65="","",IF(AW$3=0,"n.b.",INDEX(SRC_Woningetalage!$A$1:$ZZ$501,$A65,AW$3)))</f>
        <v/>
      </c>
      <c r="AX65" s="124" t="str">
        <f>IF($B65="","",IF(AX$3=0,"n.b.",INDEX(SRC_Woningetalage!$A$1:$ZZ$501,$A65,AX$3)))</f>
        <v/>
      </c>
      <c r="AY65" s="124" t="str">
        <f>IF($B65="","",IF(AY$3=0,"n.b.",INDEX(SRC_Woningetalage!$A$1:$ZZ$501,$A65,AY$3)))</f>
        <v/>
      </c>
      <c r="AZ65" s="124" t="str">
        <f>IF($B65="","",IF(AZ$3=0,"n.b.",INDEX(SRC_Woningetalage!$A$1:$ZZ$501,$A65,AZ$3)))</f>
        <v/>
      </c>
      <c r="BA65" s="124" t="str">
        <f>IF($B65="","",IF(BA$3=0,"n.b.",INDEX(SRC_Woningetalage!$A$1:$ZZ$501,$A65,BA$3)))</f>
        <v/>
      </c>
      <c r="BB65" s="124" t="str">
        <f>IF($B65="","",IF(BB$3=0,"n.b.",INDEX(SRC_Woningetalage!$A$1:$ZZ$501,$A65,BB$3)))</f>
        <v/>
      </c>
      <c r="BC65" s="124" t="str">
        <f>IF($B65="","",IFERROR(_xlfn.NUMBERVALUE(E65&amp;"",",","."),"n.b."))</f>
        <v/>
      </c>
      <c r="BD65" s="124" t="str">
        <f>IF($B65="","",IFERROR(_xlfn.NUMBERVALUE(M65&amp;"",",","."),"n.b."))</f>
        <v/>
      </c>
      <c r="BE65" s="124" t="str">
        <f>IF($B65="","",IFERROR(AB65+AC65+AD65,"n.b."))</f>
        <v/>
      </c>
      <c r="BF65" s="124" t="str">
        <f>IF($B65="","",IFERROR(AE65+AF65+AG65,"n.b."))</f>
        <v/>
      </c>
      <c r="BG65" s="124" t="str">
        <f>IF($B65="","",IFERROR(AH65+AI65+AJ65,"n.b."))</f>
        <v/>
      </c>
      <c r="BH65" s="124" t="str">
        <f>IF($B65="","",IFERROR(AK65+AL65+AM65,"n.b."))</f>
        <v/>
      </c>
      <c r="BI65" s="124" t="str">
        <f>IF($B65="","",IFERROR(SUMIF($AB$5:$AM$5,"&lt;="&amp;P_PeilMaand,AB65:AM65),"n.b."))</f>
        <v/>
      </c>
      <c r="BJ65" s="124" t="str">
        <f>IF($B65="","",IFERROR(SUM(AB65:AM65)-BI65,"n.b."))</f>
        <v/>
      </c>
      <c r="BK65" s="124" t="str">
        <f>IF($B65="","",IFERROR(IF(ABS(Q65-(T65+SUM(AB65:AM65)+AS65+AU65))&gt;P_Tol,1,0),1))</f>
        <v/>
      </c>
      <c r="BL65" s="124" t="str">
        <f>IF($B65="","",IFERROR(IF(ABS(AA65-(Q65-Z65))&gt;P_Tol,1,0),1))</f>
        <v/>
      </c>
      <c r="BM65" s="124" t="str">
        <f>IF($B65="","",IFERROR(IF(ABS(Z65-(T65+W65))&gt;P_Tol,1,0),1))</f>
        <v/>
      </c>
      <c r="BN65" s="124" t="str">
        <f>IF($B65="","",IFERROR(IF(ABS(W65-BI65)&gt;P_Tol,1,0),1))</f>
        <v/>
      </c>
      <c r="BO65" s="124" t="str">
        <f>IF($B65="","",IFERROR(IF(OR(ABS(R65+S65-T65)&gt;P_Tol,ABS(U65+V65-W65)&gt;P_Tol,ABS(X65+Y65-Z65)&gt;P_Tol),1,0),1))</f>
        <v/>
      </c>
      <c r="BP65" s="124" t="str">
        <f>IF($B65="","",IFERROR(IF(OR(ABS(AR65-SUM(AB65:AM65))&gt;P_Tol,ABS(AS65-(AN65+AO65+AP65+AQ65))&gt;P_Tol),1,0),1))</f>
        <v/>
      </c>
      <c r="BQ65" s="124" t="str">
        <f>IF($B65="","",IFERROR(IF(ABS(AT65)+ABS(AV65)+ABS(AW65)+ABS(AX65)+ABS(AY65)+ABS(AZ65)+ABS(BA65)+ABS(BB65)&gt;0,1,0),1))</f>
        <v/>
      </c>
      <c r="BR65" s="124" t="str">
        <f>IF($B65="","",COUNTIF(STG_ZPMW03!$B$6:$B$505,B65))</f>
        <v/>
      </c>
      <c r="BS65" s="124" t="str">
        <f>IF($B65="","",COUNTIF($B$6:$B$505,B65))</f>
        <v/>
      </c>
      <c r="BT65" s="124" t="str">
        <f>IF($B65="","",IF(BR65=0,0,IF(INDEX(STG_ZPMW03!$I$6:$I$505,MATCH(B65,STG_ZPMW03!$B$6:$B$505,0))=J65&amp;"",0,1)))</f>
        <v/>
      </c>
      <c r="BU65" s="124" t="str">
        <f>IF($B65="","",IFERROR(IF(ABS(INDEX(Mapping!$D$5:$D$104,MATCH(B65,Mapping!$A$5:$A$104,0))-Q65)&gt;P_Tol,1,0),0))</f>
        <v/>
      </c>
      <c r="BV65" s="124" t="str">
        <f>IF($B65="","",IFERROR(IF(AND(INDEX(Mapping!$G$5:$G$104,MATCH(B65,Mapping!$A$5:$A$104,0))="Nee",ABS(Q65)+ABS(Z65)+ABS(AR65)&gt;0),1,0),0))</f>
        <v/>
      </c>
      <c r="BW65" s="124" t="str">
        <f>IF($B65="","",IF(COUNTIF(Mapping!$A$5:$A$104,B65)&gt;0,1,0))</f>
        <v/>
      </c>
      <c r="BX65" s="124" t="str">
        <f>IF($B65="","",IF(BR65=0,COUNTIF($BR$6:BR65,0),""))</f>
        <v/>
      </c>
    </row>
    <row r="66">
      <c r="A66" s="15" t="n">
        <v>62</v>
      </c>
      <c r="B66" t="str">
        <f>IF(B$3=0,"",IF(INDEX(SRC_Woningetalage!$A$1:$ZZ$501,$A66,B$3)&amp;""="","",INDEX(SRC_Woningetalage!$A$1:$ZZ$501,$A66,B$3)&amp;""))</f>
        <v/>
      </c>
      <c r="C66" t="str">
        <f>IF($B66="","",IF(C$3=0,"n.b.",INDEX(SRC_Woningetalage!$A$1:$ZZ$501,$A66,C$3)))</f>
        <v/>
      </c>
      <c r="D66" t="str">
        <f>IF($B66="","",IF(D$3=0,"n.b.",INDEX(SRC_Woningetalage!$A$1:$ZZ$501,$A66,D$3)))</f>
        <v/>
      </c>
      <c r="E66" t="str">
        <f>IF($B66="","",IF(E$3=0,"n.b.",INDEX(SRC_Woningetalage!$A$1:$ZZ$501,$A66,E$3)))</f>
        <v/>
      </c>
      <c r="F66" t="str">
        <f>IF($B66="","",IF(F$3=0,"n.b.",INDEX(SRC_Woningetalage!$A$1:$ZZ$501,$A66,F$3)))</f>
        <v/>
      </c>
      <c r="G66" t="str">
        <f>IF($B66="","",IF(G$3=0,"n.b.",INDEX(SRC_Woningetalage!$A$1:$ZZ$501,$A66,G$3)))</f>
        <v/>
      </c>
      <c r="H66" t="str">
        <f>IF($B66="","",IF(H$3=0,"n.b.",INDEX(SRC_Woningetalage!$A$1:$ZZ$501,$A66,H$3)))</f>
        <v/>
      </c>
      <c r="I66" t="str">
        <f>IF($B66="","",IF(I$3=0,"n.b.",INDEX(SRC_Woningetalage!$A$1:$ZZ$501,$A66,I$3)))</f>
        <v/>
      </c>
      <c r="J66" t="str">
        <f>IF($B66="","",IF(J$3=0,"n.b.",INDEX(SRC_Woningetalage!$A$1:$ZZ$501,$A66,J$3)))</f>
        <v/>
      </c>
      <c r="K66" t="str">
        <f>IF($B66="","",IF(K$3=0,"n.b.",INDEX(SRC_Woningetalage!$A$1:$ZZ$501,$A66,K$3)))</f>
        <v/>
      </c>
      <c r="L66" t="str">
        <f>IF($B66="","",IF(L$3=0,"n.b.",INDEX(SRC_Woningetalage!$A$1:$ZZ$501,$A66,L$3)))</f>
        <v/>
      </c>
      <c r="M66" t="str">
        <f>IF($B66="","",IF(M$3=0,"n.b.",INDEX(SRC_Woningetalage!$A$1:$ZZ$501,$A66,M$3)))</f>
        <v/>
      </c>
      <c r="N66" t="str">
        <f>IF($B66="","",IF(N$3=0,"n.b.",INDEX(SRC_Woningetalage!$A$1:$ZZ$501,$A66,N$3)))</f>
        <v/>
      </c>
      <c r="O66" t="str">
        <f>IF($B66="","",IF(O$3=0,"n.b.",INDEX(SRC_Woningetalage!$A$1:$ZZ$501,$A66,O$3)))</f>
        <v/>
      </c>
      <c r="P66" t="str">
        <f>IF($B66="","",IF(P$3=0,"n.b.",INDEX(SRC_Woningetalage!$A$1:$ZZ$501,$A66,P$3)))</f>
        <v/>
      </c>
      <c r="Q66" s="124" t="str">
        <f>IF($B66="","",IF(Q$3=0,"n.b.",INDEX(SRC_Woningetalage!$A$1:$ZZ$501,$A66,Q$3)))</f>
        <v/>
      </c>
      <c r="R66" s="124" t="str">
        <f>IF($B66="","",IF(R$3=0,"n.b.",INDEX(SRC_Woningetalage!$A$1:$ZZ$501,$A66,R$3)))</f>
        <v/>
      </c>
      <c r="S66" s="124" t="str">
        <f>IF($B66="","",IF(S$3=0,"n.b.",INDEX(SRC_Woningetalage!$A$1:$ZZ$501,$A66,S$3)))</f>
        <v/>
      </c>
      <c r="T66" s="124" t="str">
        <f>IF($B66="","",IF(T$3=0,"n.b.",INDEX(SRC_Woningetalage!$A$1:$ZZ$501,$A66,T$3)))</f>
        <v/>
      </c>
      <c r="U66" s="124" t="str">
        <f>IF($B66="","",IF(U$3=0,"n.b.",INDEX(SRC_Woningetalage!$A$1:$ZZ$501,$A66,U$3)))</f>
        <v/>
      </c>
      <c r="V66" s="124" t="str">
        <f>IF($B66="","",IF(V$3=0,"n.b.",INDEX(SRC_Woningetalage!$A$1:$ZZ$501,$A66,V$3)))</f>
        <v/>
      </c>
      <c r="W66" s="124" t="str">
        <f>IF($B66="","",IF(W$3=0,"n.b.",INDEX(SRC_Woningetalage!$A$1:$ZZ$501,$A66,W$3)))</f>
        <v/>
      </c>
      <c r="X66" s="124" t="str">
        <f>IF($B66="","",IF(X$3=0,"n.b.",INDEX(SRC_Woningetalage!$A$1:$ZZ$501,$A66,X$3)))</f>
        <v/>
      </c>
      <c r="Y66" s="124" t="str">
        <f>IF($B66="","",IF(Y$3=0,"n.b.",INDEX(SRC_Woningetalage!$A$1:$ZZ$501,$A66,Y$3)))</f>
        <v/>
      </c>
      <c r="Z66" s="124" t="str">
        <f>IF($B66="","",IF(Z$3=0,"n.b.",INDEX(SRC_Woningetalage!$A$1:$ZZ$501,$A66,Z$3)))</f>
        <v/>
      </c>
      <c r="AA66" s="124" t="str">
        <f>IF($B66="","",IF(AA$3=0,"n.b.",INDEX(SRC_Woningetalage!$A$1:$ZZ$501,$A66,AA$3)))</f>
        <v/>
      </c>
      <c r="AB66" s="124" t="str">
        <f>IF($B66="","",IF(AB$3=0,"n.b.",INDEX(SRC_Woningetalage!$A$1:$ZZ$501,$A66,AB$3)))</f>
        <v/>
      </c>
      <c r="AC66" s="124" t="str">
        <f>IF($B66="","",IF(AC$3=0,"n.b.",INDEX(SRC_Woningetalage!$A$1:$ZZ$501,$A66,AC$3)))</f>
        <v/>
      </c>
      <c r="AD66" s="124" t="str">
        <f>IF($B66="","",IF(AD$3=0,"n.b.",INDEX(SRC_Woningetalage!$A$1:$ZZ$501,$A66,AD$3)))</f>
        <v/>
      </c>
      <c r="AE66" s="124" t="str">
        <f>IF($B66="","",IF(AE$3=0,"n.b.",INDEX(SRC_Woningetalage!$A$1:$ZZ$501,$A66,AE$3)))</f>
        <v/>
      </c>
      <c r="AF66" s="124" t="str">
        <f>IF($B66="","",IF(AF$3=0,"n.b.",INDEX(SRC_Woningetalage!$A$1:$ZZ$501,$A66,AF$3)))</f>
        <v/>
      </c>
      <c r="AG66" s="124" t="str">
        <f>IF($B66="","",IF(AG$3=0,"n.b.",INDEX(SRC_Woningetalage!$A$1:$ZZ$501,$A66,AG$3)))</f>
        <v/>
      </c>
      <c r="AH66" s="124" t="str">
        <f>IF($B66="","",IF(AH$3=0,"n.b.",INDEX(SRC_Woningetalage!$A$1:$ZZ$501,$A66,AH$3)))</f>
        <v/>
      </c>
      <c r="AI66" s="124" t="str">
        <f>IF($B66="","",IF(AI$3=0,"n.b.",INDEX(SRC_Woningetalage!$A$1:$ZZ$501,$A66,AI$3)))</f>
        <v/>
      </c>
      <c r="AJ66" s="124" t="str">
        <f>IF($B66="","",IF(AJ$3=0,"n.b.",INDEX(SRC_Woningetalage!$A$1:$ZZ$501,$A66,AJ$3)))</f>
        <v/>
      </c>
      <c r="AK66" s="124" t="str">
        <f>IF($B66="","",IF(AK$3=0,"n.b.",INDEX(SRC_Woningetalage!$A$1:$ZZ$501,$A66,AK$3)))</f>
        <v/>
      </c>
      <c r="AL66" s="124" t="str">
        <f>IF($B66="","",IF(AL$3=0,"n.b.",INDEX(SRC_Woningetalage!$A$1:$ZZ$501,$A66,AL$3)))</f>
        <v/>
      </c>
      <c r="AM66" s="124" t="str">
        <f>IF($B66="","",IF(AM$3=0,"n.b.",INDEX(SRC_Woningetalage!$A$1:$ZZ$501,$A66,AM$3)))</f>
        <v/>
      </c>
      <c r="AN66" s="124" t="str">
        <f>IF($B66="","",IF(AN$3=0,"n.b.",INDEX(SRC_Woningetalage!$A$1:$ZZ$501,$A66,AN$3)))</f>
        <v/>
      </c>
      <c r="AO66" s="124" t="str">
        <f>IF($B66="","",IF(AO$3=0,"n.b.",INDEX(SRC_Woningetalage!$A$1:$ZZ$501,$A66,AO$3)))</f>
        <v/>
      </c>
      <c r="AP66" s="124" t="str">
        <f>IF($B66="","",IF(AP$3=0,"n.b.",INDEX(SRC_Woningetalage!$A$1:$ZZ$501,$A66,AP$3)))</f>
        <v/>
      </c>
      <c r="AQ66" s="124" t="str">
        <f>IF($B66="","",IF(AQ$3=0,"n.b.",INDEX(SRC_Woningetalage!$A$1:$ZZ$501,$A66,AQ$3)))</f>
        <v/>
      </c>
      <c r="AR66" s="124" t="str">
        <f>IF($B66="","",IF(AR$3=0,"n.b.",INDEX(SRC_Woningetalage!$A$1:$ZZ$501,$A66,AR$3)))</f>
        <v/>
      </c>
      <c r="AS66" s="124" t="str">
        <f>IF($B66="","",IF(AS$3=0,"n.b.",INDEX(SRC_Woningetalage!$A$1:$ZZ$501,$A66,AS$3)))</f>
        <v/>
      </c>
      <c r="AT66" s="124" t="str">
        <f>IF($B66="","",IF(AT$3=0,"n.b.",INDEX(SRC_Woningetalage!$A$1:$ZZ$501,$A66,AT$3)))</f>
        <v/>
      </c>
      <c r="AU66" s="124" t="str">
        <f>IF($B66="","",IF(AU$3=0,"n.b.",INDEX(SRC_Woningetalage!$A$1:$ZZ$501,$A66,AU$3)))</f>
        <v/>
      </c>
      <c r="AV66" s="124" t="str">
        <f>IF($B66="","",IF(AV$3=0,"n.b.",INDEX(SRC_Woningetalage!$A$1:$ZZ$501,$A66,AV$3)))</f>
        <v/>
      </c>
      <c r="AW66" s="124" t="str">
        <f>IF($B66="","",IF(AW$3=0,"n.b.",INDEX(SRC_Woningetalage!$A$1:$ZZ$501,$A66,AW$3)))</f>
        <v/>
      </c>
      <c r="AX66" s="124" t="str">
        <f>IF($B66="","",IF(AX$3=0,"n.b.",INDEX(SRC_Woningetalage!$A$1:$ZZ$501,$A66,AX$3)))</f>
        <v/>
      </c>
      <c r="AY66" s="124" t="str">
        <f>IF($B66="","",IF(AY$3=0,"n.b.",INDEX(SRC_Woningetalage!$A$1:$ZZ$501,$A66,AY$3)))</f>
        <v/>
      </c>
      <c r="AZ66" s="124" t="str">
        <f>IF($B66="","",IF(AZ$3=0,"n.b.",INDEX(SRC_Woningetalage!$A$1:$ZZ$501,$A66,AZ$3)))</f>
        <v/>
      </c>
      <c r="BA66" s="124" t="str">
        <f>IF($B66="","",IF(BA$3=0,"n.b.",INDEX(SRC_Woningetalage!$A$1:$ZZ$501,$A66,BA$3)))</f>
        <v/>
      </c>
      <c r="BB66" s="124" t="str">
        <f>IF($B66="","",IF(BB$3=0,"n.b.",INDEX(SRC_Woningetalage!$A$1:$ZZ$501,$A66,BB$3)))</f>
        <v/>
      </c>
      <c r="BC66" s="124" t="str">
        <f>IF($B66="","",IFERROR(_xlfn.NUMBERVALUE(E66&amp;"",",","."),"n.b."))</f>
        <v/>
      </c>
      <c r="BD66" s="124" t="str">
        <f>IF($B66="","",IFERROR(_xlfn.NUMBERVALUE(M66&amp;"",",","."),"n.b."))</f>
        <v/>
      </c>
      <c r="BE66" s="124" t="str">
        <f>IF($B66="","",IFERROR(AB66+AC66+AD66,"n.b."))</f>
        <v/>
      </c>
      <c r="BF66" s="124" t="str">
        <f>IF($B66="","",IFERROR(AE66+AF66+AG66,"n.b."))</f>
        <v/>
      </c>
      <c r="BG66" s="124" t="str">
        <f>IF($B66="","",IFERROR(AH66+AI66+AJ66,"n.b."))</f>
        <v/>
      </c>
      <c r="BH66" s="124" t="str">
        <f>IF($B66="","",IFERROR(AK66+AL66+AM66,"n.b."))</f>
        <v/>
      </c>
      <c r="BI66" s="124" t="str">
        <f>IF($B66="","",IFERROR(SUMIF($AB$5:$AM$5,"&lt;="&amp;P_PeilMaand,AB66:AM66),"n.b."))</f>
        <v/>
      </c>
      <c r="BJ66" s="124" t="str">
        <f>IF($B66="","",IFERROR(SUM(AB66:AM66)-BI66,"n.b."))</f>
        <v/>
      </c>
      <c r="BK66" s="124" t="str">
        <f>IF($B66="","",IFERROR(IF(ABS(Q66-(T66+SUM(AB66:AM66)+AS66+AU66))&gt;P_Tol,1,0),1))</f>
        <v/>
      </c>
      <c r="BL66" s="124" t="str">
        <f>IF($B66="","",IFERROR(IF(ABS(AA66-(Q66-Z66))&gt;P_Tol,1,0),1))</f>
        <v/>
      </c>
      <c r="BM66" s="124" t="str">
        <f>IF($B66="","",IFERROR(IF(ABS(Z66-(T66+W66))&gt;P_Tol,1,0),1))</f>
        <v/>
      </c>
      <c r="BN66" s="124" t="str">
        <f>IF($B66="","",IFERROR(IF(ABS(W66-BI66)&gt;P_Tol,1,0),1))</f>
        <v/>
      </c>
      <c r="BO66" s="124" t="str">
        <f>IF($B66="","",IFERROR(IF(OR(ABS(R66+S66-T66)&gt;P_Tol,ABS(U66+V66-W66)&gt;P_Tol,ABS(X66+Y66-Z66)&gt;P_Tol),1,0),1))</f>
        <v/>
      </c>
      <c r="BP66" s="124" t="str">
        <f>IF($B66="","",IFERROR(IF(OR(ABS(AR66-SUM(AB66:AM66))&gt;P_Tol,ABS(AS66-(AN66+AO66+AP66+AQ66))&gt;P_Tol),1,0),1))</f>
        <v/>
      </c>
      <c r="BQ66" s="124" t="str">
        <f>IF($B66="","",IFERROR(IF(ABS(AT66)+ABS(AV66)+ABS(AW66)+ABS(AX66)+ABS(AY66)+ABS(AZ66)+ABS(BA66)+ABS(BB66)&gt;0,1,0),1))</f>
        <v/>
      </c>
      <c r="BR66" s="124" t="str">
        <f>IF($B66="","",COUNTIF(STG_ZPMW03!$B$6:$B$505,B66))</f>
        <v/>
      </c>
      <c r="BS66" s="124" t="str">
        <f>IF($B66="","",COUNTIF($B$6:$B$505,B66))</f>
        <v/>
      </c>
      <c r="BT66" s="124" t="str">
        <f>IF($B66="","",IF(BR66=0,0,IF(INDEX(STG_ZPMW03!$I$6:$I$505,MATCH(B66,STG_ZPMW03!$B$6:$B$505,0))=J66&amp;"",0,1)))</f>
        <v/>
      </c>
      <c r="BU66" s="124" t="str">
        <f>IF($B66="","",IFERROR(IF(ABS(INDEX(Mapping!$D$5:$D$104,MATCH(B66,Mapping!$A$5:$A$104,0))-Q66)&gt;P_Tol,1,0),0))</f>
        <v/>
      </c>
      <c r="BV66" s="124" t="str">
        <f>IF($B66="","",IFERROR(IF(AND(INDEX(Mapping!$G$5:$G$104,MATCH(B66,Mapping!$A$5:$A$104,0))="Nee",ABS(Q66)+ABS(Z66)+ABS(AR66)&gt;0),1,0),0))</f>
        <v/>
      </c>
      <c r="BW66" s="124" t="str">
        <f>IF($B66="","",IF(COUNTIF(Mapping!$A$5:$A$104,B66)&gt;0,1,0))</f>
        <v/>
      </c>
      <c r="BX66" s="124" t="str">
        <f>IF($B66="","",IF(BR66=0,COUNTIF($BR$6:BR66,0),""))</f>
        <v/>
      </c>
    </row>
    <row r="67">
      <c r="A67" s="15" t="n">
        <v>63</v>
      </c>
      <c r="B67" t="str">
        <f>IF(B$3=0,"",IF(INDEX(SRC_Woningetalage!$A$1:$ZZ$501,$A67,B$3)&amp;""="","",INDEX(SRC_Woningetalage!$A$1:$ZZ$501,$A67,B$3)&amp;""))</f>
        <v/>
      </c>
      <c r="C67" t="str">
        <f>IF($B67="","",IF(C$3=0,"n.b.",INDEX(SRC_Woningetalage!$A$1:$ZZ$501,$A67,C$3)))</f>
        <v/>
      </c>
      <c r="D67" t="str">
        <f>IF($B67="","",IF(D$3=0,"n.b.",INDEX(SRC_Woningetalage!$A$1:$ZZ$501,$A67,D$3)))</f>
        <v/>
      </c>
      <c r="E67" t="str">
        <f>IF($B67="","",IF(E$3=0,"n.b.",INDEX(SRC_Woningetalage!$A$1:$ZZ$501,$A67,E$3)))</f>
        <v/>
      </c>
      <c r="F67" t="str">
        <f>IF($B67="","",IF(F$3=0,"n.b.",INDEX(SRC_Woningetalage!$A$1:$ZZ$501,$A67,F$3)))</f>
        <v/>
      </c>
      <c r="G67" t="str">
        <f>IF($B67="","",IF(G$3=0,"n.b.",INDEX(SRC_Woningetalage!$A$1:$ZZ$501,$A67,G$3)))</f>
        <v/>
      </c>
      <c r="H67" t="str">
        <f>IF($B67="","",IF(H$3=0,"n.b.",INDEX(SRC_Woningetalage!$A$1:$ZZ$501,$A67,H$3)))</f>
        <v/>
      </c>
      <c r="I67" t="str">
        <f>IF($B67="","",IF(I$3=0,"n.b.",INDEX(SRC_Woningetalage!$A$1:$ZZ$501,$A67,I$3)))</f>
        <v/>
      </c>
      <c r="J67" t="str">
        <f>IF($B67="","",IF(J$3=0,"n.b.",INDEX(SRC_Woningetalage!$A$1:$ZZ$501,$A67,J$3)))</f>
        <v/>
      </c>
      <c r="K67" t="str">
        <f>IF($B67="","",IF(K$3=0,"n.b.",INDEX(SRC_Woningetalage!$A$1:$ZZ$501,$A67,K$3)))</f>
        <v/>
      </c>
      <c r="L67" t="str">
        <f>IF($B67="","",IF(L$3=0,"n.b.",INDEX(SRC_Woningetalage!$A$1:$ZZ$501,$A67,L$3)))</f>
        <v/>
      </c>
      <c r="M67" t="str">
        <f>IF($B67="","",IF(M$3=0,"n.b.",INDEX(SRC_Woningetalage!$A$1:$ZZ$501,$A67,M$3)))</f>
        <v/>
      </c>
      <c r="N67" t="str">
        <f>IF($B67="","",IF(N$3=0,"n.b.",INDEX(SRC_Woningetalage!$A$1:$ZZ$501,$A67,N$3)))</f>
        <v/>
      </c>
      <c r="O67" t="str">
        <f>IF($B67="","",IF(O$3=0,"n.b.",INDEX(SRC_Woningetalage!$A$1:$ZZ$501,$A67,O$3)))</f>
        <v/>
      </c>
      <c r="P67" t="str">
        <f>IF($B67="","",IF(P$3=0,"n.b.",INDEX(SRC_Woningetalage!$A$1:$ZZ$501,$A67,P$3)))</f>
        <v/>
      </c>
      <c r="Q67" s="124" t="str">
        <f>IF($B67="","",IF(Q$3=0,"n.b.",INDEX(SRC_Woningetalage!$A$1:$ZZ$501,$A67,Q$3)))</f>
        <v/>
      </c>
      <c r="R67" s="124" t="str">
        <f>IF($B67="","",IF(R$3=0,"n.b.",INDEX(SRC_Woningetalage!$A$1:$ZZ$501,$A67,R$3)))</f>
        <v/>
      </c>
      <c r="S67" s="124" t="str">
        <f>IF($B67="","",IF(S$3=0,"n.b.",INDEX(SRC_Woningetalage!$A$1:$ZZ$501,$A67,S$3)))</f>
        <v/>
      </c>
      <c r="T67" s="124" t="str">
        <f>IF($B67="","",IF(T$3=0,"n.b.",INDEX(SRC_Woningetalage!$A$1:$ZZ$501,$A67,T$3)))</f>
        <v/>
      </c>
      <c r="U67" s="124" t="str">
        <f>IF($B67="","",IF(U$3=0,"n.b.",INDEX(SRC_Woningetalage!$A$1:$ZZ$501,$A67,U$3)))</f>
        <v/>
      </c>
      <c r="V67" s="124" t="str">
        <f>IF($B67="","",IF(V$3=0,"n.b.",INDEX(SRC_Woningetalage!$A$1:$ZZ$501,$A67,V$3)))</f>
        <v/>
      </c>
      <c r="W67" s="124" t="str">
        <f>IF($B67="","",IF(W$3=0,"n.b.",INDEX(SRC_Woningetalage!$A$1:$ZZ$501,$A67,W$3)))</f>
        <v/>
      </c>
      <c r="X67" s="124" t="str">
        <f>IF($B67="","",IF(X$3=0,"n.b.",INDEX(SRC_Woningetalage!$A$1:$ZZ$501,$A67,X$3)))</f>
        <v/>
      </c>
      <c r="Y67" s="124" t="str">
        <f>IF($B67="","",IF(Y$3=0,"n.b.",INDEX(SRC_Woningetalage!$A$1:$ZZ$501,$A67,Y$3)))</f>
        <v/>
      </c>
      <c r="Z67" s="124" t="str">
        <f>IF($B67="","",IF(Z$3=0,"n.b.",INDEX(SRC_Woningetalage!$A$1:$ZZ$501,$A67,Z$3)))</f>
        <v/>
      </c>
      <c r="AA67" s="124" t="str">
        <f>IF($B67="","",IF(AA$3=0,"n.b.",INDEX(SRC_Woningetalage!$A$1:$ZZ$501,$A67,AA$3)))</f>
        <v/>
      </c>
      <c r="AB67" s="124" t="str">
        <f>IF($B67="","",IF(AB$3=0,"n.b.",INDEX(SRC_Woningetalage!$A$1:$ZZ$501,$A67,AB$3)))</f>
        <v/>
      </c>
      <c r="AC67" s="124" t="str">
        <f>IF($B67="","",IF(AC$3=0,"n.b.",INDEX(SRC_Woningetalage!$A$1:$ZZ$501,$A67,AC$3)))</f>
        <v/>
      </c>
      <c r="AD67" s="124" t="str">
        <f>IF($B67="","",IF(AD$3=0,"n.b.",INDEX(SRC_Woningetalage!$A$1:$ZZ$501,$A67,AD$3)))</f>
        <v/>
      </c>
      <c r="AE67" s="124" t="str">
        <f>IF($B67="","",IF(AE$3=0,"n.b.",INDEX(SRC_Woningetalage!$A$1:$ZZ$501,$A67,AE$3)))</f>
        <v/>
      </c>
      <c r="AF67" s="124" t="str">
        <f>IF($B67="","",IF(AF$3=0,"n.b.",INDEX(SRC_Woningetalage!$A$1:$ZZ$501,$A67,AF$3)))</f>
        <v/>
      </c>
      <c r="AG67" s="124" t="str">
        <f>IF($B67="","",IF(AG$3=0,"n.b.",INDEX(SRC_Woningetalage!$A$1:$ZZ$501,$A67,AG$3)))</f>
        <v/>
      </c>
      <c r="AH67" s="124" t="str">
        <f>IF($B67="","",IF(AH$3=0,"n.b.",INDEX(SRC_Woningetalage!$A$1:$ZZ$501,$A67,AH$3)))</f>
        <v/>
      </c>
      <c r="AI67" s="124" t="str">
        <f>IF($B67="","",IF(AI$3=0,"n.b.",INDEX(SRC_Woningetalage!$A$1:$ZZ$501,$A67,AI$3)))</f>
        <v/>
      </c>
      <c r="AJ67" s="124" t="str">
        <f>IF($B67="","",IF(AJ$3=0,"n.b.",INDEX(SRC_Woningetalage!$A$1:$ZZ$501,$A67,AJ$3)))</f>
        <v/>
      </c>
      <c r="AK67" s="124" t="str">
        <f>IF($B67="","",IF(AK$3=0,"n.b.",INDEX(SRC_Woningetalage!$A$1:$ZZ$501,$A67,AK$3)))</f>
        <v/>
      </c>
      <c r="AL67" s="124" t="str">
        <f>IF($B67="","",IF(AL$3=0,"n.b.",INDEX(SRC_Woningetalage!$A$1:$ZZ$501,$A67,AL$3)))</f>
        <v/>
      </c>
      <c r="AM67" s="124" t="str">
        <f>IF($B67="","",IF(AM$3=0,"n.b.",INDEX(SRC_Woningetalage!$A$1:$ZZ$501,$A67,AM$3)))</f>
        <v/>
      </c>
      <c r="AN67" s="124" t="str">
        <f>IF($B67="","",IF(AN$3=0,"n.b.",INDEX(SRC_Woningetalage!$A$1:$ZZ$501,$A67,AN$3)))</f>
        <v/>
      </c>
      <c r="AO67" s="124" t="str">
        <f>IF($B67="","",IF(AO$3=0,"n.b.",INDEX(SRC_Woningetalage!$A$1:$ZZ$501,$A67,AO$3)))</f>
        <v/>
      </c>
      <c r="AP67" s="124" t="str">
        <f>IF($B67="","",IF(AP$3=0,"n.b.",INDEX(SRC_Woningetalage!$A$1:$ZZ$501,$A67,AP$3)))</f>
        <v/>
      </c>
      <c r="AQ67" s="124" t="str">
        <f>IF($B67="","",IF(AQ$3=0,"n.b.",INDEX(SRC_Woningetalage!$A$1:$ZZ$501,$A67,AQ$3)))</f>
        <v/>
      </c>
      <c r="AR67" s="124" t="str">
        <f>IF($B67="","",IF(AR$3=0,"n.b.",INDEX(SRC_Woningetalage!$A$1:$ZZ$501,$A67,AR$3)))</f>
        <v/>
      </c>
      <c r="AS67" s="124" t="str">
        <f>IF($B67="","",IF(AS$3=0,"n.b.",INDEX(SRC_Woningetalage!$A$1:$ZZ$501,$A67,AS$3)))</f>
        <v/>
      </c>
      <c r="AT67" s="124" t="str">
        <f>IF($B67="","",IF(AT$3=0,"n.b.",INDEX(SRC_Woningetalage!$A$1:$ZZ$501,$A67,AT$3)))</f>
        <v/>
      </c>
      <c r="AU67" s="124" t="str">
        <f>IF($B67="","",IF(AU$3=0,"n.b.",INDEX(SRC_Woningetalage!$A$1:$ZZ$501,$A67,AU$3)))</f>
        <v/>
      </c>
      <c r="AV67" s="124" t="str">
        <f>IF($B67="","",IF(AV$3=0,"n.b.",INDEX(SRC_Woningetalage!$A$1:$ZZ$501,$A67,AV$3)))</f>
        <v/>
      </c>
      <c r="AW67" s="124" t="str">
        <f>IF($B67="","",IF(AW$3=0,"n.b.",INDEX(SRC_Woningetalage!$A$1:$ZZ$501,$A67,AW$3)))</f>
        <v/>
      </c>
      <c r="AX67" s="124" t="str">
        <f>IF($B67="","",IF(AX$3=0,"n.b.",INDEX(SRC_Woningetalage!$A$1:$ZZ$501,$A67,AX$3)))</f>
        <v/>
      </c>
      <c r="AY67" s="124" t="str">
        <f>IF($B67="","",IF(AY$3=0,"n.b.",INDEX(SRC_Woningetalage!$A$1:$ZZ$501,$A67,AY$3)))</f>
        <v/>
      </c>
      <c r="AZ67" s="124" t="str">
        <f>IF($B67="","",IF(AZ$3=0,"n.b.",INDEX(SRC_Woningetalage!$A$1:$ZZ$501,$A67,AZ$3)))</f>
        <v/>
      </c>
      <c r="BA67" s="124" t="str">
        <f>IF($B67="","",IF(BA$3=0,"n.b.",INDEX(SRC_Woningetalage!$A$1:$ZZ$501,$A67,BA$3)))</f>
        <v/>
      </c>
      <c r="BB67" s="124" t="str">
        <f>IF($B67="","",IF(BB$3=0,"n.b.",INDEX(SRC_Woningetalage!$A$1:$ZZ$501,$A67,BB$3)))</f>
        <v/>
      </c>
      <c r="BC67" s="124" t="str">
        <f>IF($B67="","",IFERROR(_xlfn.NUMBERVALUE(E67&amp;"",",","."),"n.b."))</f>
        <v/>
      </c>
      <c r="BD67" s="124" t="str">
        <f>IF($B67="","",IFERROR(_xlfn.NUMBERVALUE(M67&amp;"",",","."),"n.b."))</f>
        <v/>
      </c>
      <c r="BE67" s="124" t="str">
        <f>IF($B67="","",IFERROR(AB67+AC67+AD67,"n.b."))</f>
        <v/>
      </c>
      <c r="BF67" s="124" t="str">
        <f>IF($B67="","",IFERROR(AE67+AF67+AG67,"n.b."))</f>
        <v/>
      </c>
      <c r="BG67" s="124" t="str">
        <f>IF($B67="","",IFERROR(AH67+AI67+AJ67,"n.b."))</f>
        <v/>
      </c>
      <c r="BH67" s="124" t="str">
        <f>IF($B67="","",IFERROR(AK67+AL67+AM67,"n.b."))</f>
        <v/>
      </c>
      <c r="BI67" s="124" t="str">
        <f>IF($B67="","",IFERROR(SUMIF($AB$5:$AM$5,"&lt;="&amp;P_PeilMaand,AB67:AM67),"n.b."))</f>
        <v/>
      </c>
      <c r="BJ67" s="124" t="str">
        <f>IF($B67="","",IFERROR(SUM(AB67:AM67)-BI67,"n.b."))</f>
        <v/>
      </c>
      <c r="BK67" s="124" t="str">
        <f>IF($B67="","",IFERROR(IF(ABS(Q67-(T67+SUM(AB67:AM67)+AS67+AU67))&gt;P_Tol,1,0),1))</f>
        <v/>
      </c>
      <c r="BL67" s="124" t="str">
        <f>IF($B67="","",IFERROR(IF(ABS(AA67-(Q67-Z67))&gt;P_Tol,1,0),1))</f>
        <v/>
      </c>
      <c r="BM67" s="124" t="str">
        <f>IF($B67="","",IFERROR(IF(ABS(Z67-(T67+W67))&gt;P_Tol,1,0),1))</f>
        <v/>
      </c>
      <c r="BN67" s="124" t="str">
        <f>IF($B67="","",IFERROR(IF(ABS(W67-BI67)&gt;P_Tol,1,0),1))</f>
        <v/>
      </c>
      <c r="BO67" s="124" t="str">
        <f>IF($B67="","",IFERROR(IF(OR(ABS(R67+S67-T67)&gt;P_Tol,ABS(U67+V67-W67)&gt;P_Tol,ABS(X67+Y67-Z67)&gt;P_Tol),1,0),1))</f>
        <v/>
      </c>
      <c r="BP67" s="124" t="str">
        <f>IF($B67="","",IFERROR(IF(OR(ABS(AR67-SUM(AB67:AM67))&gt;P_Tol,ABS(AS67-(AN67+AO67+AP67+AQ67))&gt;P_Tol),1,0),1))</f>
        <v/>
      </c>
      <c r="BQ67" s="124" t="str">
        <f>IF($B67="","",IFERROR(IF(ABS(AT67)+ABS(AV67)+ABS(AW67)+ABS(AX67)+ABS(AY67)+ABS(AZ67)+ABS(BA67)+ABS(BB67)&gt;0,1,0),1))</f>
        <v/>
      </c>
      <c r="BR67" s="124" t="str">
        <f>IF($B67="","",COUNTIF(STG_ZPMW03!$B$6:$B$505,B67))</f>
        <v/>
      </c>
      <c r="BS67" s="124" t="str">
        <f>IF($B67="","",COUNTIF($B$6:$B$505,B67))</f>
        <v/>
      </c>
      <c r="BT67" s="124" t="str">
        <f>IF($B67="","",IF(BR67=0,0,IF(INDEX(STG_ZPMW03!$I$6:$I$505,MATCH(B67,STG_ZPMW03!$B$6:$B$505,0))=J67&amp;"",0,1)))</f>
        <v/>
      </c>
      <c r="BU67" s="124" t="str">
        <f>IF($B67="","",IFERROR(IF(ABS(INDEX(Mapping!$D$5:$D$104,MATCH(B67,Mapping!$A$5:$A$104,0))-Q67)&gt;P_Tol,1,0),0))</f>
        <v/>
      </c>
      <c r="BV67" s="124" t="str">
        <f>IF($B67="","",IFERROR(IF(AND(INDEX(Mapping!$G$5:$G$104,MATCH(B67,Mapping!$A$5:$A$104,0))="Nee",ABS(Q67)+ABS(Z67)+ABS(AR67)&gt;0),1,0),0))</f>
        <v/>
      </c>
      <c r="BW67" s="124" t="str">
        <f>IF($B67="","",IF(COUNTIF(Mapping!$A$5:$A$104,B67)&gt;0,1,0))</f>
        <v/>
      </c>
      <c r="BX67" s="124" t="str">
        <f>IF($B67="","",IF(BR67=0,COUNTIF($BR$6:BR67,0),""))</f>
        <v/>
      </c>
    </row>
    <row r="68">
      <c r="A68" s="15" t="n">
        <v>64</v>
      </c>
      <c r="B68" t="str">
        <f>IF(B$3=0,"",IF(INDEX(SRC_Woningetalage!$A$1:$ZZ$501,$A68,B$3)&amp;""="","",INDEX(SRC_Woningetalage!$A$1:$ZZ$501,$A68,B$3)&amp;""))</f>
        <v/>
      </c>
      <c r="C68" t="str">
        <f>IF($B68="","",IF(C$3=0,"n.b.",INDEX(SRC_Woningetalage!$A$1:$ZZ$501,$A68,C$3)))</f>
        <v/>
      </c>
      <c r="D68" t="str">
        <f>IF($B68="","",IF(D$3=0,"n.b.",INDEX(SRC_Woningetalage!$A$1:$ZZ$501,$A68,D$3)))</f>
        <v/>
      </c>
      <c r="E68" t="str">
        <f>IF($B68="","",IF(E$3=0,"n.b.",INDEX(SRC_Woningetalage!$A$1:$ZZ$501,$A68,E$3)))</f>
        <v/>
      </c>
      <c r="F68" t="str">
        <f>IF($B68="","",IF(F$3=0,"n.b.",INDEX(SRC_Woningetalage!$A$1:$ZZ$501,$A68,F$3)))</f>
        <v/>
      </c>
      <c r="G68" t="str">
        <f>IF($B68="","",IF(G$3=0,"n.b.",INDEX(SRC_Woningetalage!$A$1:$ZZ$501,$A68,G$3)))</f>
        <v/>
      </c>
      <c r="H68" t="str">
        <f>IF($B68="","",IF(H$3=0,"n.b.",INDEX(SRC_Woningetalage!$A$1:$ZZ$501,$A68,H$3)))</f>
        <v/>
      </c>
      <c r="I68" t="str">
        <f>IF($B68="","",IF(I$3=0,"n.b.",INDEX(SRC_Woningetalage!$A$1:$ZZ$501,$A68,I$3)))</f>
        <v/>
      </c>
      <c r="J68" t="str">
        <f>IF($B68="","",IF(J$3=0,"n.b.",INDEX(SRC_Woningetalage!$A$1:$ZZ$501,$A68,J$3)))</f>
        <v/>
      </c>
      <c r="K68" t="str">
        <f>IF($B68="","",IF(K$3=0,"n.b.",INDEX(SRC_Woningetalage!$A$1:$ZZ$501,$A68,K$3)))</f>
        <v/>
      </c>
      <c r="L68" t="str">
        <f>IF($B68="","",IF(L$3=0,"n.b.",INDEX(SRC_Woningetalage!$A$1:$ZZ$501,$A68,L$3)))</f>
        <v/>
      </c>
      <c r="M68" t="str">
        <f>IF($B68="","",IF(M$3=0,"n.b.",INDEX(SRC_Woningetalage!$A$1:$ZZ$501,$A68,M$3)))</f>
        <v/>
      </c>
      <c r="N68" t="str">
        <f>IF($B68="","",IF(N$3=0,"n.b.",INDEX(SRC_Woningetalage!$A$1:$ZZ$501,$A68,N$3)))</f>
        <v/>
      </c>
      <c r="O68" t="str">
        <f>IF($B68="","",IF(O$3=0,"n.b.",INDEX(SRC_Woningetalage!$A$1:$ZZ$501,$A68,O$3)))</f>
        <v/>
      </c>
      <c r="P68" t="str">
        <f>IF($B68="","",IF(P$3=0,"n.b.",INDEX(SRC_Woningetalage!$A$1:$ZZ$501,$A68,P$3)))</f>
        <v/>
      </c>
      <c r="Q68" s="124" t="str">
        <f>IF($B68="","",IF(Q$3=0,"n.b.",INDEX(SRC_Woningetalage!$A$1:$ZZ$501,$A68,Q$3)))</f>
        <v/>
      </c>
      <c r="R68" s="124" t="str">
        <f>IF($B68="","",IF(R$3=0,"n.b.",INDEX(SRC_Woningetalage!$A$1:$ZZ$501,$A68,R$3)))</f>
        <v/>
      </c>
      <c r="S68" s="124" t="str">
        <f>IF($B68="","",IF(S$3=0,"n.b.",INDEX(SRC_Woningetalage!$A$1:$ZZ$501,$A68,S$3)))</f>
        <v/>
      </c>
      <c r="T68" s="124" t="str">
        <f>IF($B68="","",IF(T$3=0,"n.b.",INDEX(SRC_Woningetalage!$A$1:$ZZ$501,$A68,T$3)))</f>
        <v/>
      </c>
      <c r="U68" s="124" t="str">
        <f>IF($B68="","",IF(U$3=0,"n.b.",INDEX(SRC_Woningetalage!$A$1:$ZZ$501,$A68,U$3)))</f>
        <v/>
      </c>
      <c r="V68" s="124" t="str">
        <f>IF($B68="","",IF(V$3=0,"n.b.",INDEX(SRC_Woningetalage!$A$1:$ZZ$501,$A68,V$3)))</f>
        <v/>
      </c>
      <c r="W68" s="124" t="str">
        <f>IF($B68="","",IF(W$3=0,"n.b.",INDEX(SRC_Woningetalage!$A$1:$ZZ$501,$A68,W$3)))</f>
        <v/>
      </c>
      <c r="X68" s="124" t="str">
        <f>IF($B68="","",IF(X$3=0,"n.b.",INDEX(SRC_Woningetalage!$A$1:$ZZ$501,$A68,X$3)))</f>
        <v/>
      </c>
      <c r="Y68" s="124" t="str">
        <f>IF($B68="","",IF(Y$3=0,"n.b.",INDEX(SRC_Woningetalage!$A$1:$ZZ$501,$A68,Y$3)))</f>
        <v/>
      </c>
      <c r="Z68" s="124" t="str">
        <f>IF($B68="","",IF(Z$3=0,"n.b.",INDEX(SRC_Woningetalage!$A$1:$ZZ$501,$A68,Z$3)))</f>
        <v/>
      </c>
      <c r="AA68" s="124" t="str">
        <f>IF($B68="","",IF(AA$3=0,"n.b.",INDEX(SRC_Woningetalage!$A$1:$ZZ$501,$A68,AA$3)))</f>
        <v/>
      </c>
      <c r="AB68" s="124" t="str">
        <f>IF($B68="","",IF(AB$3=0,"n.b.",INDEX(SRC_Woningetalage!$A$1:$ZZ$501,$A68,AB$3)))</f>
        <v/>
      </c>
      <c r="AC68" s="124" t="str">
        <f>IF($B68="","",IF(AC$3=0,"n.b.",INDEX(SRC_Woningetalage!$A$1:$ZZ$501,$A68,AC$3)))</f>
        <v/>
      </c>
      <c r="AD68" s="124" t="str">
        <f>IF($B68="","",IF(AD$3=0,"n.b.",INDEX(SRC_Woningetalage!$A$1:$ZZ$501,$A68,AD$3)))</f>
        <v/>
      </c>
      <c r="AE68" s="124" t="str">
        <f>IF($B68="","",IF(AE$3=0,"n.b.",INDEX(SRC_Woningetalage!$A$1:$ZZ$501,$A68,AE$3)))</f>
        <v/>
      </c>
      <c r="AF68" s="124" t="str">
        <f>IF($B68="","",IF(AF$3=0,"n.b.",INDEX(SRC_Woningetalage!$A$1:$ZZ$501,$A68,AF$3)))</f>
        <v/>
      </c>
      <c r="AG68" s="124" t="str">
        <f>IF($B68="","",IF(AG$3=0,"n.b.",INDEX(SRC_Woningetalage!$A$1:$ZZ$501,$A68,AG$3)))</f>
        <v/>
      </c>
      <c r="AH68" s="124" t="str">
        <f>IF($B68="","",IF(AH$3=0,"n.b.",INDEX(SRC_Woningetalage!$A$1:$ZZ$501,$A68,AH$3)))</f>
        <v/>
      </c>
      <c r="AI68" s="124" t="str">
        <f>IF($B68="","",IF(AI$3=0,"n.b.",INDEX(SRC_Woningetalage!$A$1:$ZZ$501,$A68,AI$3)))</f>
        <v/>
      </c>
      <c r="AJ68" s="124" t="str">
        <f>IF($B68="","",IF(AJ$3=0,"n.b.",INDEX(SRC_Woningetalage!$A$1:$ZZ$501,$A68,AJ$3)))</f>
        <v/>
      </c>
      <c r="AK68" s="124" t="str">
        <f>IF($B68="","",IF(AK$3=0,"n.b.",INDEX(SRC_Woningetalage!$A$1:$ZZ$501,$A68,AK$3)))</f>
        <v/>
      </c>
      <c r="AL68" s="124" t="str">
        <f>IF($B68="","",IF(AL$3=0,"n.b.",INDEX(SRC_Woningetalage!$A$1:$ZZ$501,$A68,AL$3)))</f>
        <v/>
      </c>
      <c r="AM68" s="124" t="str">
        <f>IF($B68="","",IF(AM$3=0,"n.b.",INDEX(SRC_Woningetalage!$A$1:$ZZ$501,$A68,AM$3)))</f>
        <v/>
      </c>
      <c r="AN68" s="124" t="str">
        <f>IF($B68="","",IF(AN$3=0,"n.b.",INDEX(SRC_Woningetalage!$A$1:$ZZ$501,$A68,AN$3)))</f>
        <v/>
      </c>
      <c r="AO68" s="124" t="str">
        <f>IF($B68="","",IF(AO$3=0,"n.b.",INDEX(SRC_Woningetalage!$A$1:$ZZ$501,$A68,AO$3)))</f>
        <v/>
      </c>
      <c r="AP68" s="124" t="str">
        <f>IF($B68="","",IF(AP$3=0,"n.b.",INDEX(SRC_Woningetalage!$A$1:$ZZ$501,$A68,AP$3)))</f>
        <v/>
      </c>
      <c r="AQ68" s="124" t="str">
        <f>IF($B68="","",IF(AQ$3=0,"n.b.",INDEX(SRC_Woningetalage!$A$1:$ZZ$501,$A68,AQ$3)))</f>
        <v/>
      </c>
      <c r="AR68" s="124" t="str">
        <f>IF($B68="","",IF(AR$3=0,"n.b.",INDEX(SRC_Woningetalage!$A$1:$ZZ$501,$A68,AR$3)))</f>
        <v/>
      </c>
      <c r="AS68" s="124" t="str">
        <f>IF($B68="","",IF(AS$3=0,"n.b.",INDEX(SRC_Woningetalage!$A$1:$ZZ$501,$A68,AS$3)))</f>
        <v/>
      </c>
      <c r="AT68" s="124" t="str">
        <f>IF($B68="","",IF(AT$3=0,"n.b.",INDEX(SRC_Woningetalage!$A$1:$ZZ$501,$A68,AT$3)))</f>
        <v/>
      </c>
      <c r="AU68" s="124" t="str">
        <f>IF($B68="","",IF(AU$3=0,"n.b.",INDEX(SRC_Woningetalage!$A$1:$ZZ$501,$A68,AU$3)))</f>
        <v/>
      </c>
      <c r="AV68" s="124" t="str">
        <f>IF($B68="","",IF(AV$3=0,"n.b.",INDEX(SRC_Woningetalage!$A$1:$ZZ$501,$A68,AV$3)))</f>
        <v/>
      </c>
      <c r="AW68" s="124" t="str">
        <f>IF($B68="","",IF(AW$3=0,"n.b.",INDEX(SRC_Woningetalage!$A$1:$ZZ$501,$A68,AW$3)))</f>
        <v/>
      </c>
      <c r="AX68" s="124" t="str">
        <f>IF($B68="","",IF(AX$3=0,"n.b.",INDEX(SRC_Woningetalage!$A$1:$ZZ$501,$A68,AX$3)))</f>
        <v/>
      </c>
      <c r="AY68" s="124" t="str">
        <f>IF($B68="","",IF(AY$3=0,"n.b.",INDEX(SRC_Woningetalage!$A$1:$ZZ$501,$A68,AY$3)))</f>
        <v/>
      </c>
      <c r="AZ68" s="124" t="str">
        <f>IF($B68="","",IF(AZ$3=0,"n.b.",INDEX(SRC_Woningetalage!$A$1:$ZZ$501,$A68,AZ$3)))</f>
        <v/>
      </c>
      <c r="BA68" s="124" t="str">
        <f>IF($B68="","",IF(BA$3=0,"n.b.",INDEX(SRC_Woningetalage!$A$1:$ZZ$501,$A68,BA$3)))</f>
        <v/>
      </c>
      <c r="BB68" s="124" t="str">
        <f>IF($B68="","",IF(BB$3=0,"n.b.",INDEX(SRC_Woningetalage!$A$1:$ZZ$501,$A68,BB$3)))</f>
        <v/>
      </c>
      <c r="BC68" s="124" t="str">
        <f>IF($B68="","",IFERROR(_xlfn.NUMBERVALUE(E68&amp;"",",","."),"n.b."))</f>
        <v/>
      </c>
      <c r="BD68" s="124" t="str">
        <f>IF($B68="","",IFERROR(_xlfn.NUMBERVALUE(M68&amp;"",",","."),"n.b."))</f>
        <v/>
      </c>
      <c r="BE68" s="124" t="str">
        <f>IF($B68="","",IFERROR(AB68+AC68+AD68,"n.b."))</f>
        <v/>
      </c>
      <c r="BF68" s="124" t="str">
        <f>IF($B68="","",IFERROR(AE68+AF68+AG68,"n.b."))</f>
        <v/>
      </c>
      <c r="BG68" s="124" t="str">
        <f>IF($B68="","",IFERROR(AH68+AI68+AJ68,"n.b."))</f>
        <v/>
      </c>
      <c r="BH68" s="124" t="str">
        <f>IF($B68="","",IFERROR(AK68+AL68+AM68,"n.b."))</f>
        <v/>
      </c>
      <c r="BI68" s="124" t="str">
        <f>IF($B68="","",IFERROR(SUMIF($AB$5:$AM$5,"&lt;="&amp;P_PeilMaand,AB68:AM68),"n.b."))</f>
        <v/>
      </c>
      <c r="BJ68" s="124" t="str">
        <f>IF($B68="","",IFERROR(SUM(AB68:AM68)-BI68,"n.b."))</f>
        <v/>
      </c>
      <c r="BK68" s="124" t="str">
        <f>IF($B68="","",IFERROR(IF(ABS(Q68-(T68+SUM(AB68:AM68)+AS68+AU68))&gt;P_Tol,1,0),1))</f>
        <v/>
      </c>
      <c r="BL68" s="124" t="str">
        <f>IF($B68="","",IFERROR(IF(ABS(AA68-(Q68-Z68))&gt;P_Tol,1,0),1))</f>
        <v/>
      </c>
      <c r="BM68" s="124" t="str">
        <f>IF($B68="","",IFERROR(IF(ABS(Z68-(T68+W68))&gt;P_Tol,1,0),1))</f>
        <v/>
      </c>
      <c r="BN68" s="124" t="str">
        <f>IF($B68="","",IFERROR(IF(ABS(W68-BI68)&gt;P_Tol,1,0),1))</f>
        <v/>
      </c>
      <c r="BO68" s="124" t="str">
        <f>IF($B68="","",IFERROR(IF(OR(ABS(R68+S68-T68)&gt;P_Tol,ABS(U68+V68-W68)&gt;P_Tol,ABS(X68+Y68-Z68)&gt;P_Tol),1,0),1))</f>
        <v/>
      </c>
      <c r="BP68" s="124" t="str">
        <f>IF($B68="","",IFERROR(IF(OR(ABS(AR68-SUM(AB68:AM68))&gt;P_Tol,ABS(AS68-(AN68+AO68+AP68+AQ68))&gt;P_Tol),1,0),1))</f>
        <v/>
      </c>
      <c r="BQ68" s="124" t="str">
        <f>IF($B68="","",IFERROR(IF(ABS(AT68)+ABS(AV68)+ABS(AW68)+ABS(AX68)+ABS(AY68)+ABS(AZ68)+ABS(BA68)+ABS(BB68)&gt;0,1,0),1))</f>
        <v/>
      </c>
      <c r="BR68" s="124" t="str">
        <f>IF($B68="","",COUNTIF(STG_ZPMW03!$B$6:$B$505,B68))</f>
        <v/>
      </c>
      <c r="BS68" s="124" t="str">
        <f>IF($B68="","",COUNTIF($B$6:$B$505,B68))</f>
        <v/>
      </c>
      <c r="BT68" s="124" t="str">
        <f>IF($B68="","",IF(BR68=0,0,IF(INDEX(STG_ZPMW03!$I$6:$I$505,MATCH(B68,STG_ZPMW03!$B$6:$B$505,0))=J68&amp;"",0,1)))</f>
        <v/>
      </c>
      <c r="BU68" s="124" t="str">
        <f>IF($B68="","",IFERROR(IF(ABS(INDEX(Mapping!$D$5:$D$104,MATCH(B68,Mapping!$A$5:$A$104,0))-Q68)&gt;P_Tol,1,0),0))</f>
        <v/>
      </c>
      <c r="BV68" s="124" t="str">
        <f>IF($B68="","",IFERROR(IF(AND(INDEX(Mapping!$G$5:$G$104,MATCH(B68,Mapping!$A$5:$A$104,0))="Nee",ABS(Q68)+ABS(Z68)+ABS(AR68)&gt;0),1,0),0))</f>
        <v/>
      </c>
      <c r="BW68" s="124" t="str">
        <f>IF($B68="","",IF(COUNTIF(Mapping!$A$5:$A$104,B68)&gt;0,1,0))</f>
        <v/>
      </c>
      <c r="BX68" s="124" t="str">
        <f>IF($B68="","",IF(BR68=0,COUNTIF($BR$6:BR68,0),""))</f>
        <v/>
      </c>
    </row>
    <row r="69">
      <c r="A69" s="15" t="n">
        <v>65</v>
      </c>
      <c r="B69" t="str">
        <f>IF(B$3=0,"",IF(INDEX(SRC_Woningetalage!$A$1:$ZZ$501,$A69,B$3)&amp;""="","",INDEX(SRC_Woningetalage!$A$1:$ZZ$501,$A69,B$3)&amp;""))</f>
        <v/>
      </c>
      <c r="C69" t="str">
        <f>IF($B69="","",IF(C$3=0,"n.b.",INDEX(SRC_Woningetalage!$A$1:$ZZ$501,$A69,C$3)))</f>
        <v/>
      </c>
      <c r="D69" t="str">
        <f>IF($B69="","",IF(D$3=0,"n.b.",INDEX(SRC_Woningetalage!$A$1:$ZZ$501,$A69,D$3)))</f>
        <v/>
      </c>
      <c r="E69" t="str">
        <f>IF($B69="","",IF(E$3=0,"n.b.",INDEX(SRC_Woningetalage!$A$1:$ZZ$501,$A69,E$3)))</f>
        <v/>
      </c>
      <c r="F69" t="str">
        <f>IF($B69="","",IF(F$3=0,"n.b.",INDEX(SRC_Woningetalage!$A$1:$ZZ$501,$A69,F$3)))</f>
        <v/>
      </c>
      <c r="G69" t="str">
        <f>IF($B69="","",IF(G$3=0,"n.b.",INDEX(SRC_Woningetalage!$A$1:$ZZ$501,$A69,G$3)))</f>
        <v/>
      </c>
      <c r="H69" t="str">
        <f>IF($B69="","",IF(H$3=0,"n.b.",INDEX(SRC_Woningetalage!$A$1:$ZZ$501,$A69,H$3)))</f>
        <v/>
      </c>
      <c r="I69" t="str">
        <f>IF($B69="","",IF(I$3=0,"n.b.",INDEX(SRC_Woningetalage!$A$1:$ZZ$501,$A69,I$3)))</f>
        <v/>
      </c>
      <c r="J69" t="str">
        <f>IF($B69="","",IF(J$3=0,"n.b.",INDEX(SRC_Woningetalage!$A$1:$ZZ$501,$A69,J$3)))</f>
        <v/>
      </c>
      <c r="K69" t="str">
        <f>IF($B69="","",IF(K$3=0,"n.b.",INDEX(SRC_Woningetalage!$A$1:$ZZ$501,$A69,K$3)))</f>
        <v/>
      </c>
      <c r="L69" t="str">
        <f>IF($B69="","",IF(L$3=0,"n.b.",INDEX(SRC_Woningetalage!$A$1:$ZZ$501,$A69,L$3)))</f>
        <v/>
      </c>
      <c r="M69" t="str">
        <f>IF($B69="","",IF(M$3=0,"n.b.",INDEX(SRC_Woningetalage!$A$1:$ZZ$501,$A69,M$3)))</f>
        <v/>
      </c>
      <c r="N69" t="str">
        <f>IF($B69="","",IF(N$3=0,"n.b.",INDEX(SRC_Woningetalage!$A$1:$ZZ$501,$A69,N$3)))</f>
        <v/>
      </c>
      <c r="O69" t="str">
        <f>IF($B69="","",IF(O$3=0,"n.b.",INDEX(SRC_Woningetalage!$A$1:$ZZ$501,$A69,O$3)))</f>
        <v/>
      </c>
      <c r="P69" t="str">
        <f>IF($B69="","",IF(P$3=0,"n.b.",INDEX(SRC_Woningetalage!$A$1:$ZZ$501,$A69,P$3)))</f>
        <v/>
      </c>
      <c r="Q69" s="124" t="str">
        <f>IF($B69="","",IF(Q$3=0,"n.b.",INDEX(SRC_Woningetalage!$A$1:$ZZ$501,$A69,Q$3)))</f>
        <v/>
      </c>
      <c r="R69" s="124" t="str">
        <f>IF($B69="","",IF(R$3=0,"n.b.",INDEX(SRC_Woningetalage!$A$1:$ZZ$501,$A69,R$3)))</f>
        <v/>
      </c>
      <c r="S69" s="124" t="str">
        <f>IF($B69="","",IF(S$3=0,"n.b.",INDEX(SRC_Woningetalage!$A$1:$ZZ$501,$A69,S$3)))</f>
        <v/>
      </c>
      <c r="T69" s="124" t="str">
        <f>IF($B69="","",IF(T$3=0,"n.b.",INDEX(SRC_Woningetalage!$A$1:$ZZ$501,$A69,T$3)))</f>
        <v/>
      </c>
      <c r="U69" s="124" t="str">
        <f>IF($B69="","",IF(U$3=0,"n.b.",INDEX(SRC_Woningetalage!$A$1:$ZZ$501,$A69,U$3)))</f>
        <v/>
      </c>
      <c r="V69" s="124" t="str">
        <f>IF($B69="","",IF(V$3=0,"n.b.",INDEX(SRC_Woningetalage!$A$1:$ZZ$501,$A69,V$3)))</f>
        <v/>
      </c>
      <c r="W69" s="124" t="str">
        <f>IF($B69="","",IF(W$3=0,"n.b.",INDEX(SRC_Woningetalage!$A$1:$ZZ$501,$A69,W$3)))</f>
        <v/>
      </c>
      <c r="X69" s="124" t="str">
        <f>IF($B69="","",IF(X$3=0,"n.b.",INDEX(SRC_Woningetalage!$A$1:$ZZ$501,$A69,X$3)))</f>
        <v/>
      </c>
      <c r="Y69" s="124" t="str">
        <f>IF($B69="","",IF(Y$3=0,"n.b.",INDEX(SRC_Woningetalage!$A$1:$ZZ$501,$A69,Y$3)))</f>
        <v/>
      </c>
      <c r="Z69" s="124" t="str">
        <f>IF($B69="","",IF(Z$3=0,"n.b.",INDEX(SRC_Woningetalage!$A$1:$ZZ$501,$A69,Z$3)))</f>
        <v/>
      </c>
      <c r="AA69" s="124" t="str">
        <f>IF($B69="","",IF(AA$3=0,"n.b.",INDEX(SRC_Woningetalage!$A$1:$ZZ$501,$A69,AA$3)))</f>
        <v/>
      </c>
      <c r="AB69" s="124" t="str">
        <f>IF($B69="","",IF(AB$3=0,"n.b.",INDEX(SRC_Woningetalage!$A$1:$ZZ$501,$A69,AB$3)))</f>
        <v/>
      </c>
      <c r="AC69" s="124" t="str">
        <f>IF($B69="","",IF(AC$3=0,"n.b.",INDEX(SRC_Woningetalage!$A$1:$ZZ$501,$A69,AC$3)))</f>
        <v/>
      </c>
      <c r="AD69" s="124" t="str">
        <f>IF($B69="","",IF(AD$3=0,"n.b.",INDEX(SRC_Woningetalage!$A$1:$ZZ$501,$A69,AD$3)))</f>
        <v/>
      </c>
      <c r="AE69" s="124" t="str">
        <f>IF($B69="","",IF(AE$3=0,"n.b.",INDEX(SRC_Woningetalage!$A$1:$ZZ$501,$A69,AE$3)))</f>
        <v/>
      </c>
      <c r="AF69" s="124" t="str">
        <f>IF($B69="","",IF(AF$3=0,"n.b.",INDEX(SRC_Woningetalage!$A$1:$ZZ$501,$A69,AF$3)))</f>
        <v/>
      </c>
      <c r="AG69" s="124" t="str">
        <f>IF($B69="","",IF(AG$3=0,"n.b.",INDEX(SRC_Woningetalage!$A$1:$ZZ$501,$A69,AG$3)))</f>
        <v/>
      </c>
      <c r="AH69" s="124" t="str">
        <f>IF($B69="","",IF(AH$3=0,"n.b.",INDEX(SRC_Woningetalage!$A$1:$ZZ$501,$A69,AH$3)))</f>
        <v/>
      </c>
      <c r="AI69" s="124" t="str">
        <f>IF($B69="","",IF(AI$3=0,"n.b.",INDEX(SRC_Woningetalage!$A$1:$ZZ$501,$A69,AI$3)))</f>
        <v/>
      </c>
      <c r="AJ69" s="124" t="str">
        <f>IF($B69="","",IF(AJ$3=0,"n.b.",INDEX(SRC_Woningetalage!$A$1:$ZZ$501,$A69,AJ$3)))</f>
        <v/>
      </c>
      <c r="AK69" s="124" t="str">
        <f>IF($B69="","",IF(AK$3=0,"n.b.",INDEX(SRC_Woningetalage!$A$1:$ZZ$501,$A69,AK$3)))</f>
        <v/>
      </c>
      <c r="AL69" s="124" t="str">
        <f>IF($B69="","",IF(AL$3=0,"n.b.",INDEX(SRC_Woningetalage!$A$1:$ZZ$501,$A69,AL$3)))</f>
        <v/>
      </c>
      <c r="AM69" s="124" t="str">
        <f>IF($B69="","",IF(AM$3=0,"n.b.",INDEX(SRC_Woningetalage!$A$1:$ZZ$501,$A69,AM$3)))</f>
        <v/>
      </c>
      <c r="AN69" s="124" t="str">
        <f>IF($B69="","",IF(AN$3=0,"n.b.",INDEX(SRC_Woningetalage!$A$1:$ZZ$501,$A69,AN$3)))</f>
        <v/>
      </c>
      <c r="AO69" s="124" t="str">
        <f>IF($B69="","",IF(AO$3=0,"n.b.",INDEX(SRC_Woningetalage!$A$1:$ZZ$501,$A69,AO$3)))</f>
        <v/>
      </c>
      <c r="AP69" s="124" t="str">
        <f>IF($B69="","",IF(AP$3=0,"n.b.",INDEX(SRC_Woningetalage!$A$1:$ZZ$501,$A69,AP$3)))</f>
        <v/>
      </c>
      <c r="AQ69" s="124" t="str">
        <f>IF($B69="","",IF(AQ$3=0,"n.b.",INDEX(SRC_Woningetalage!$A$1:$ZZ$501,$A69,AQ$3)))</f>
        <v/>
      </c>
      <c r="AR69" s="124" t="str">
        <f>IF($B69="","",IF(AR$3=0,"n.b.",INDEX(SRC_Woningetalage!$A$1:$ZZ$501,$A69,AR$3)))</f>
        <v/>
      </c>
      <c r="AS69" s="124" t="str">
        <f>IF($B69="","",IF(AS$3=0,"n.b.",INDEX(SRC_Woningetalage!$A$1:$ZZ$501,$A69,AS$3)))</f>
        <v/>
      </c>
      <c r="AT69" s="124" t="str">
        <f>IF($B69="","",IF(AT$3=0,"n.b.",INDEX(SRC_Woningetalage!$A$1:$ZZ$501,$A69,AT$3)))</f>
        <v/>
      </c>
      <c r="AU69" s="124" t="str">
        <f>IF($B69="","",IF(AU$3=0,"n.b.",INDEX(SRC_Woningetalage!$A$1:$ZZ$501,$A69,AU$3)))</f>
        <v/>
      </c>
      <c r="AV69" s="124" t="str">
        <f>IF($B69="","",IF(AV$3=0,"n.b.",INDEX(SRC_Woningetalage!$A$1:$ZZ$501,$A69,AV$3)))</f>
        <v/>
      </c>
      <c r="AW69" s="124" t="str">
        <f>IF($B69="","",IF(AW$3=0,"n.b.",INDEX(SRC_Woningetalage!$A$1:$ZZ$501,$A69,AW$3)))</f>
        <v/>
      </c>
      <c r="AX69" s="124" t="str">
        <f>IF($B69="","",IF(AX$3=0,"n.b.",INDEX(SRC_Woningetalage!$A$1:$ZZ$501,$A69,AX$3)))</f>
        <v/>
      </c>
      <c r="AY69" s="124" t="str">
        <f>IF($B69="","",IF(AY$3=0,"n.b.",INDEX(SRC_Woningetalage!$A$1:$ZZ$501,$A69,AY$3)))</f>
        <v/>
      </c>
      <c r="AZ69" s="124" t="str">
        <f>IF($B69="","",IF(AZ$3=0,"n.b.",INDEX(SRC_Woningetalage!$A$1:$ZZ$501,$A69,AZ$3)))</f>
        <v/>
      </c>
      <c r="BA69" s="124" t="str">
        <f>IF($B69="","",IF(BA$3=0,"n.b.",INDEX(SRC_Woningetalage!$A$1:$ZZ$501,$A69,BA$3)))</f>
        <v/>
      </c>
      <c r="BB69" s="124" t="str">
        <f>IF($B69="","",IF(BB$3=0,"n.b.",INDEX(SRC_Woningetalage!$A$1:$ZZ$501,$A69,BB$3)))</f>
        <v/>
      </c>
      <c r="BC69" s="124" t="str">
        <f>IF($B69="","",IFERROR(_xlfn.NUMBERVALUE(E69&amp;"",",","."),"n.b."))</f>
        <v/>
      </c>
      <c r="BD69" s="124" t="str">
        <f>IF($B69="","",IFERROR(_xlfn.NUMBERVALUE(M69&amp;"",",","."),"n.b."))</f>
        <v/>
      </c>
      <c r="BE69" s="124" t="str">
        <f>IF($B69="","",IFERROR(AB69+AC69+AD69,"n.b."))</f>
        <v/>
      </c>
      <c r="BF69" s="124" t="str">
        <f>IF($B69="","",IFERROR(AE69+AF69+AG69,"n.b."))</f>
        <v/>
      </c>
      <c r="BG69" s="124" t="str">
        <f>IF($B69="","",IFERROR(AH69+AI69+AJ69,"n.b."))</f>
        <v/>
      </c>
      <c r="BH69" s="124" t="str">
        <f>IF($B69="","",IFERROR(AK69+AL69+AM69,"n.b."))</f>
        <v/>
      </c>
      <c r="BI69" s="124" t="str">
        <f>IF($B69="","",IFERROR(SUMIF($AB$5:$AM$5,"&lt;="&amp;P_PeilMaand,AB69:AM69),"n.b."))</f>
        <v/>
      </c>
      <c r="BJ69" s="124" t="str">
        <f>IF($B69="","",IFERROR(SUM(AB69:AM69)-BI69,"n.b."))</f>
        <v/>
      </c>
      <c r="BK69" s="124" t="str">
        <f>IF($B69="","",IFERROR(IF(ABS(Q69-(T69+SUM(AB69:AM69)+AS69+AU69))&gt;P_Tol,1,0),1))</f>
        <v/>
      </c>
      <c r="BL69" s="124" t="str">
        <f>IF($B69="","",IFERROR(IF(ABS(AA69-(Q69-Z69))&gt;P_Tol,1,0),1))</f>
        <v/>
      </c>
      <c r="BM69" s="124" t="str">
        <f>IF($B69="","",IFERROR(IF(ABS(Z69-(T69+W69))&gt;P_Tol,1,0),1))</f>
        <v/>
      </c>
      <c r="BN69" s="124" t="str">
        <f>IF($B69="","",IFERROR(IF(ABS(W69-BI69)&gt;P_Tol,1,0),1))</f>
        <v/>
      </c>
      <c r="BO69" s="124" t="str">
        <f>IF($B69="","",IFERROR(IF(OR(ABS(R69+S69-T69)&gt;P_Tol,ABS(U69+V69-W69)&gt;P_Tol,ABS(X69+Y69-Z69)&gt;P_Tol),1,0),1))</f>
        <v/>
      </c>
      <c r="BP69" s="124" t="str">
        <f>IF($B69="","",IFERROR(IF(OR(ABS(AR69-SUM(AB69:AM69))&gt;P_Tol,ABS(AS69-(AN69+AO69+AP69+AQ69))&gt;P_Tol),1,0),1))</f>
        <v/>
      </c>
      <c r="BQ69" s="124" t="str">
        <f>IF($B69="","",IFERROR(IF(ABS(AT69)+ABS(AV69)+ABS(AW69)+ABS(AX69)+ABS(AY69)+ABS(AZ69)+ABS(BA69)+ABS(BB69)&gt;0,1,0),1))</f>
        <v/>
      </c>
      <c r="BR69" s="124" t="str">
        <f>IF($B69="","",COUNTIF(STG_ZPMW03!$B$6:$B$505,B69))</f>
        <v/>
      </c>
      <c r="BS69" s="124" t="str">
        <f>IF($B69="","",COUNTIF($B$6:$B$505,B69))</f>
        <v/>
      </c>
      <c r="BT69" s="124" t="str">
        <f>IF($B69="","",IF(BR69=0,0,IF(INDEX(STG_ZPMW03!$I$6:$I$505,MATCH(B69,STG_ZPMW03!$B$6:$B$505,0))=J69&amp;"",0,1)))</f>
        <v/>
      </c>
      <c r="BU69" s="124" t="str">
        <f>IF($B69="","",IFERROR(IF(ABS(INDEX(Mapping!$D$5:$D$104,MATCH(B69,Mapping!$A$5:$A$104,0))-Q69)&gt;P_Tol,1,0),0))</f>
        <v/>
      </c>
      <c r="BV69" s="124" t="str">
        <f>IF($B69="","",IFERROR(IF(AND(INDEX(Mapping!$G$5:$G$104,MATCH(B69,Mapping!$A$5:$A$104,0))="Nee",ABS(Q69)+ABS(Z69)+ABS(AR69)&gt;0),1,0),0))</f>
        <v/>
      </c>
      <c r="BW69" s="124" t="str">
        <f>IF($B69="","",IF(COUNTIF(Mapping!$A$5:$A$104,B69)&gt;0,1,0))</f>
        <v/>
      </c>
      <c r="BX69" s="124" t="str">
        <f>IF($B69="","",IF(BR69=0,COUNTIF($BR$6:BR69,0),""))</f>
        <v/>
      </c>
    </row>
    <row r="70">
      <c r="A70" s="15" t="n">
        <v>66</v>
      </c>
      <c r="B70" t="str">
        <f>IF(B$3=0,"",IF(INDEX(SRC_Woningetalage!$A$1:$ZZ$501,$A70,B$3)&amp;""="","",INDEX(SRC_Woningetalage!$A$1:$ZZ$501,$A70,B$3)&amp;""))</f>
        <v/>
      </c>
      <c r="C70" t="str">
        <f>IF($B70="","",IF(C$3=0,"n.b.",INDEX(SRC_Woningetalage!$A$1:$ZZ$501,$A70,C$3)))</f>
        <v/>
      </c>
      <c r="D70" t="str">
        <f>IF($B70="","",IF(D$3=0,"n.b.",INDEX(SRC_Woningetalage!$A$1:$ZZ$501,$A70,D$3)))</f>
        <v/>
      </c>
      <c r="E70" t="str">
        <f>IF($B70="","",IF(E$3=0,"n.b.",INDEX(SRC_Woningetalage!$A$1:$ZZ$501,$A70,E$3)))</f>
        <v/>
      </c>
      <c r="F70" t="str">
        <f>IF($B70="","",IF(F$3=0,"n.b.",INDEX(SRC_Woningetalage!$A$1:$ZZ$501,$A70,F$3)))</f>
        <v/>
      </c>
      <c r="G70" t="str">
        <f>IF($B70="","",IF(G$3=0,"n.b.",INDEX(SRC_Woningetalage!$A$1:$ZZ$501,$A70,G$3)))</f>
        <v/>
      </c>
      <c r="H70" t="str">
        <f>IF($B70="","",IF(H$3=0,"n.b.",INDEX(SRC_Woningetalage!$A$1:$ZZ$501,$A70,H$3)))</f>
        <v/>
      </c>
      <c r="I70" t="str">
        <f>IF($B70="","",IF(I$3=0,"n.b.",INDEX(SRC_Woningetalage!$A$1:$ZZ$501,$A70,I$3)))</f>
        <v/>
      </c>
      <c r="J70" t="str">
        <f>IF($B70="","",IF(J$3=0,"n.b.",INDEX(SRC_Woningetalage!$A$1:$ZZ$501,$A70,J$3)))</f>
        <v/>
      </c>
      <c r="K70" t="str">
        <f>IF($B70="","",IF(K$3=0,"n.b.",INDEX(SRC_Woningetalage!$A$1:$ZZ$501,$A70,K$3)))</f>
        <v/>
      </c>
      <c r="L70" t="str">
        <f>IF($B70="","",IF(L$3=0,"n.b.",INDEX(SRC_Woningetalage!$A$1:$ZZ$501,$A70,L$3)))</f>
        <v/>
      </c>
      <c r="M70" t="str">
        <f>IF($B70="","",IF(M$3=0,"n.b.",INDEX(SRC_Woningetalage!$A$1:$ZZ$501,$A70,M$3)))</f>
        <v/>
      </c>
      <c r="N70" t="str">
        <f>IF($B70="","",IF(N$3=0,"n.b.",INDEX(SRC_Woningetalage!$A$1:$ZZ$501,$A70,N$3)))</f>
        <v/>
      </c>
      <c r="O70" t="str">
        <f>IF($B70="","",IF(O$3=0,"n.b.",INDEX(SRC_Woningetalage!$A$1:$ZZ$501,$A70,O$3)))</f>
        <v/>
      </c>
      <c r="P70" t="str">
        <f>IF($B70="","",IF(P$3=0,"n.b.",INDEX(SRC_Woningetalage!$A$1:$ZZ$501,$A70,P$3)))</f>
        <v/>
      </c>
      <c r="Q70" s="124" t="str">
        <f>IF($B70="","",IF(Q$3=0,"n.b.",INDEX(SRC_Woningetalage!$A$1:$ZZ$501,$A70,Q$3)))</f>
        <v/>
      </c>
      <c r="R70" s="124" t="str">
        <f>IF($B70="","",IF(R$3=0,"n.b.",INDEX(SRC_Woningetalage!$A$1:$ZZ$501,$A70,R$3)))</f>
        <v/>
      </c>
      <c r="S70" s="124" t="str">
        <f>IF($B70="","",IF(S$3=0,"n.b.",INDEX(SRC_Woningetalage!$A$1:$ZZ$501,$A70,S$3)))</f>
        <v/>
      </c>
      <c r="T70" s="124" t="str">
        <f>IF($B70="","",IF(T$3=0,"n.b.",INDEX(SRC_Woningetalage!$A$1:$ZZ$501,$A70,T$3)))</f>
        <v/>
      </c>
      <c r="U70" s="124" t="str">
        <f>IF($B70="","",IF(U$3=0,"n.b.",INDEX(SRC_Woningetalage!$A$1:$ZZ$501,$A70,U$3)))</f>
        <v/>
      </c>
      <c r="V70" s="124" t="str">
        <f>IF($B70="","",IF(V$3=0,"n.b.",INDEX(SRC_Woningetalage!$A$1:$ZZ$501,$A70,V$3)))</f>
        <v/>
      </c>
      <c r="W70" s="124" t="str">
        <f>IF($B70="","",IF(W$3=0,"n.b.",INDEX(SRC_Woningetalage!$A$1:$ZZ$501,$A70,W$3)))</f>
        <v/>
      </c>
      <c r="X70" s="124" t="str">
        <f>IF($B70="","",IF(X$3=0,"n.b.",INDEX(SRC_Woningetalage!$A$1:$ZZ$501,$A70,X$3)))</f>
        <v/>
      </c>
      <c r="Y70" s="124" t="str">
        <f>IF($B70="","",IF(Y$3=0,"n.b.",INDEX(SRC_Woningetalage!$A$1:$ZZ$501,$A70,Y$3)))</f>
        <v/>
      </c>
      <c r="Z70" s="124" t="str">
        <f>IF($B70="","",IF(Z$3=0,"n.b.",INDEX(SRC_Woningetalage!$A$1:$ZZ$501,$A70,Z$3)))</f>
        <v/>
      </c>
      <c r="AA70" s="124" t="str">
        <f>IF($B70="","",IF(AA$3=0,"n.b.",INDEX(SRC_Woningetalage!$A$1:$ZZ$501,$A70,AA$3)))</f>
        <v/>
      </c>
      <c r="AB70" s="124" t="str">
        <f>IF($B70="","",IF(AB$3=0,"n.b.",INDEX(SRC_Woningetalage!$A$1:$ZZ$501,$A70,AB$3)))</f>
        <v/>
      </c>
      <c r="AC70" s="124" t="str">
        <f>IF($B70="","",IF(AC$3=0,"n.b.",INDEX(SRC_Woningetalage!$A$1:$ZZ$501,$A70,AC$3)))</f>
        <v/>
      </c>
      <c r="AD70" s="124" t="str">
        <f>IF($B70="","",IF(AD$3=0,"n.b.",INDEX(SRC_Woningetalage!$A$1:$ZZ$501,$A70,AD$3)))</f>
        <v/>
      </c>
      <c r="AE70" s="124" t="str">
        <f>IF($B70="","",IF(AE$3=0,"n.b.",INDEX(SRC_Woningetalage!$A$1:$ZZ$501,$A70,AE$3)))</f>
        <v/>
      </c>
      <c r="AF70" s="124" t="str">
        <f>IF($B70="","",IF(AF$3=0,"n.b.",INDEX(SRC_Woningetalage!$A$1:$ZZ$501,$A70,AF$3)))</f>
        <v/>
      </c>
      <c r="AG70" s="124" t="str">
        <f>IF($B70="","",IF(AG$3=0,"n.b.",INDEX(SRC_Woningetalage!$A$1:$ZZ$501,$A70,AG$3)))</f>
        <v/>
      </c>
      <c r="AH70" s="124" t="str">
        <f>IF($B70="","",IF(AH$3=0,"n.b.",INDEX(SRC_Woningetalage!$A$1:$ZZ$501,$A70,AH$3)))</f>
        <v/>
      </c>
      <c r="AI70" s="124" t="str">
        <f>IF($B70="","",IF(AI$3=0,"n.b.",INDEX(SRC_Woningetalage!$A$1:$ZZ$501,$A70,AI$3)))</f>
        <v/>
      </c>
      <c r="AJ70" s="124" t="str">
        <f>IF($B70="","",IF(AJ$3=0,"n.b.",INDEX(SRC_Woningetalage!$A$1:$ZZ$501,$A70,AJ$3)))</f>
        <v/>
      </c>
      <c r="AK70" s="124" t="str">
        <f>IF($B70="","",IF(AK$3=0,"n.b.",INDEX(SRC_Woningetalage!$A$1:$ZZ$501,$A70,AK$3)))</f>
        <v/>
      </c>
      <c r="AL70" s="124" t="str">
        <f>IF($B70="","",IF(AL$3=0,"n.b.",INDEX(SRC_Woningetalage!$A$1:$ZZ$501,$A70,AL$3)))</f>
        <v/>
      </c>
      <c r="AM70" s="124" t="str">
        <f>IF($B70="","",IF(AM$3=0,"n.b.",INDEX(SRC_Woningetalage!$A$1:$ZZ$501,$A70,AM$3)))</f>
        <v/>
      </c>
      <c r="AN70" s="124" t="str">
        <f>IF($B70="","",IF(AN$3=0,"n.b.",INDEX(SRC_Woningetalage!$A$1:$ZZ$501,$A70,AN$3)))</f>
        <v/>
      </c>
      <c r="AO70" s="124" t="str">
        <f>IF($B70="","",IF(AO$3=0,"n.b.",INDEX(SRC_Woningetalage!$A$1:$ZZ$501,$A70,AO$3)))</f>
        <v/>
      </c>
      <c r="AP70" s="124" t="str">
        <f>IF($B70="","",IF(AP$3=0,"n.b.",INDEX(SRC_Woningetalage!$A$1:$ZZ$501,$A70,AP$3)))</f>
        <v/>
      </c>
      <c r="AQ70" s="124" t="str">
        <f>IF($B70="","",IF(AQ$3=0,"n.b.",INDEX(SRC_Woningetalage!$A$1:$ZZ$501,$A70,AQ$3)))</f>
        <v/>
      </c>
      <c r="AR70" s="124" t="str">
        <f>IF($B70="","",IF(AR$3=0,"n.b.",INDEX(SRC_Woningetalage!$A$1:$ZZ$501,$A70,AR$3)))</f>
        <v/>
      </c>
      <c r="AS70" s="124" t="str">
        <f>IF($B70="","",IF(AS$3=0,"n.b.",INDEX(SRC_Woningetalage!$A$1:$ZZ$501,$A70,AS$3)))</f>
        <v/>
      </c>
      <c r="AT70" s="124" t="str">
        <f>IF($B70="","",IF(AT$3=0,"n.b.",INDEX(SRC_Woningetalage!$A$1:$ZZ$501,$A70,AT$3)))</f>
        <v/>
      </c>
      <c r="AU70" s="124" t="str">
        <f>IF($B70="","",IF(AU$3=0,"n.b.",INDEX(SRC_Woningetalage!$A$1:$ZZ$501,$A70,AU$3)))</f>
        <v/>
      </c>
      <c r="AV70" s="124" t="str">
        <f>IF($B70="","",IF(AV$3=0,"n.b.",INDEX(SRC_Woningetalage!$A$1:$ZZ$501,$A70,AV$3)))</f>
        <v/>
      </c>
      <c r="AW70" s="124" t="str">
        <f>IF($B70="","",IF(AW$3=0,"n.b.",INDEX(SRC_Woningetalage!$A$1:$ZZ$501,$A70,AW$3)))</f>
        <v/>
      </c>
      <c r="AX70" s="124" t="str">
        <f>IF($B70="","",IF(AX$3=0,"n.b.",INDEX(SRC_Woningetalage!$A$1:$ZZ$501,$A70,AX$3)))</f>
        <v/>
      </c>
      <c r="AY70" s="124" t="str">
        <f>IF($B70="","",IF(AY$3=0,"n.b.",INDEX(SRC_Woningetalage!$A$1:$ZZ$501,$A70,AY$3)))</f>
        <v/>
      </c>
      <c r="AZ70" s="124" t="str">
        <f>IF($B70="","",IF(AZ$3=0,"n.b.",INDEX(SRC_Woningetalage!$A$1:$ZZ$501,$A70,AZ$3)))</f>
        <v/>
      </c>
      <c r="BA70" s="124" t="str">
        <f>IF($B70="","",IF(BA$3=0,"n.b.",INDEX(SRC_Woningetalage!$A$1:$ZZ$501,$A70,BA$3)))</f>
        <v/>
      </c>
      <c r="BB70" s="124" t="str">
        <f>IF($B70="","",IF(BB$3=0,"n.b.",INDEX(SRC_Woningetalage!$A$1:$ZZ$501,$A70,BB$3)))</f>
        <v/>
      </c>
      <c r="BC70" s="124" t="str">
        <f>IF($B70="","",IFERROR(_xlfn.NUMBERVALUE(E70&amp;"",",","."),"n.b."))</f>
        <v/>
      </c>
      <c r="BD70" s="124" t="str">
        <f>IF($B70="","",IFERROR(_xlfn.NUMBERVALUE(M70&amp;"",",","."),"n.b."))</f>
        <v/>
      </c>
      <c r="BE70" s="124" t="str">
        <f>IF($B70="","",IFERROR(AB70+AC70+AD70,"n.b."))</f>
        <v/>
      </c>
      <c r="BF70" s="124" t="str">
        <f>IF($B70="","",IFERROR(AE70+AF70+AG70,"n.b."))</f>
        <v/>
      </c>
      <c r="BG70" s="124" t="str">
        <f>IF($B70="","",IFERROR(AH70+AI70+AJ70,"n.b."))</f>
        <v/>
      </c>
      <c r="BH70" s="124" t="str">
        <f>IF($B70="","",IFERROR(AK70+AL70+AM70,"n.b."))</f>
        <v/>
      </c>
      <c r="BI70" s="124" t="str">
        <f>IF($B70="","",IFERROR(SUMIF($AB$5:$AM$5,"&lt;="&amp;P_PeilMaand,AB70:AM70),"n.b."))</f>
        <v/>
      </c>
      <c r="BJ70" s="124" t="str">
        <f>IF($B70="","",IFERROR(SUM(AB70:AM70)-BI70,"n.b."))</f>
        <v/>
      </c>
      <c r="BK70" s="124" t="str">
        <f>IF($B70="","",IFERROR(IF(ABS(Q70-(T70+SUM(AB70:AM70)+AS70+AU70))&gt;P_Tol,1,0),1))</f>
        <v/>
      </c>
      <c r="BL70" s="124" t="str">
        <f>IF($B70="","",IFERROR(IF(ABS(AA70-(Q70-Z70))&gt;P_Tol,1,0),1))</f>
        <v/>
      </c>
      <c r="BM70" s="124" t="str">
        <f>IF($B70="","",IFERROR(IF(ABS(Z70-(T70+W70))&gt;P_Tol,1,0),1))</f>
        <v/>
      </c>
      <c r="BN70" s="124" t="str">
        <f>IF($B70="","",IFERROR(IF(ABS(W70-BI70)&gt;P_Tol,1,0),1))</f>
        <v/>
      </c>
      <c r="BO70" s="124" t="str">
        <f>IF($B70="","",IFERROR(IF(OR(ABS(R70+S70-T70)&gt;P_Tol,ABS(U70+V70-W70)&gt;P_Tol,ABS(X70+Y70-Z70)&gt;P_Tol),1,0),1))</f>
        <v/>
      </c>
      <c r="BP70" s="124" t="str">
        <f>IF($B70="","",IFERROR(IF(OR(ABS(AR70-SUM(AB70:AM70))&gt;P_Tol,ABS(AS70-(AN70+AO70+AP70+AQ70))&gt;P_Tol),1,0),1))</f>
        <v/>
      </c>
      <c r="BQ70" s="124" t="str">
        <f>IF($B70="","",IFERROR(IF(ABS(AT70)+ABS(AV70)+ABS(AW70)+ABS(AX70)+ABS(AY70)+ABS(AZ70)+ABS(BA70)+ABS(BB70)&gt;0,1,0),1))</f>
        <v/>
      </c>
      <c r="BR70" s="124" t="str">
        <f>IF($B70="","",COUNTIF(STG_ZPMW03!$B$6:$B$505,B70))</f>
        <v/>
      </c>
      <c r="BS70" s="124" t="str">
        <f>IF($B70="","",COUNTIF($B$6:$B$505,B70))</f>
        <v/>
      </c>
      <c r="BT70" s="124" t="str">
        <f>IF($B70="","",IF(BR70=0,0,IF(INDEX(STG_ZPMW03!$I$6:$I$505,MATCH(B70,STG_ZPMW03!$B$6:$B$505,0))=J70&amp;"",0,1)))</f>
        <v/>
      </c>
      <c r="BU70" s="124" t="str">
        <f>IF($B70="","",IFERROR(IF(ABS(INDEX(Mapping!$D$5:$D$104,MATCH(B70,Mapping!$A$5:$A$104,0))-Q70)&gt;P_Tol,1,0),0))</f>
        <v/>
      </c>
      <c r="BV70" s="124" t="str">
        <f>IF($B70="","",IFERROR(IF(AND(INDEX(Mapping!$G$5:$G$104,MATCH(B70,Mapping!$A$5:$A$104,0))="Nee",ABS(Q70)+ABS(Z70)+ABS(AR70)&gt;0),1,0),0))</f>
        <v/>
      </c>
      <c r="BW70" s="124" t="str">
        <f>IF($B70="","",IF(COUNTIF(Mapping!$A$5:$A$104,B70)&gt;0,1,0))</f>
        <v/>
      </c>
      <c r="BX70" s="124" t="str">
        <f>IF($B70="","",IF(BR70=0,COUNTIF($BR$6:BR70,0),""))</f>
        <v/>
      </c>
    </row>
    <row r="71">
      <c r="A71" s="15" t="n">
        <v>67</v>
      </c>
      <c r="B71" t="str">
        <f>IF(B$3=0,"",IF(INDEX(SRC_Woningetalage!$A$1:$ZZ$501,$A71,B$3)&amp;""="","",INDEX(SRC_Woningetalage!$A$1:$ZZ$501,$A71,B$3)&amp;""))</f>
        <v/>
      </c>
      <c r="C71" t="str">
        <f>IF($B71="","",IF(C$3=0,"n.b.",INDEX(SRC_Woningetalage!$A$1:$ZZ$501,$A71,C$3)))</f>
        <v/>
      </c>
      <c r="D71" t="str">
        <f>IF($B71="","",IF(D$3=0,"n.b.",INDEX(SRC_Woningetalage!$A$1:$ZZ$501,$A71,D$3)))</f>
        <v/>
      </c>
      <c r="E71" t="str">
        <f>IF($B71="","",IF(E$3=0,"n.b.",INDEX(SRC_Woningetalage!$A$1:$ZZ$501,$A71,E$3)))</f>
        <v/>
      </c>
      <c r="F71" t="str">
        <f>IF($B71="","",IF(F$3=0,"n.b.",INDEX(SRC_Woningetalage!$A$1:$ZZ$501,$A71,F$3)))</f>
        <v/>
      </c>
      <c r="G71" t="str">
        <f>IF($B71="","",IF(G$3=0,"n.b.",INDEX(SRC_Woningetalage!$A$1:$ZZ$501,$A71,G$3)))</f>
        <v/>
      </c>
      <c r="H71" t="str">
        <f>IF($B71="","",IF(H$3=0,"n.b.",INDEX(SRC_Woningetalage!$A$1:$ZZ$501,$A71,H$3)))</f>
        <v/>
      </c>
      <c r="I71" t="str">
        <f>IF($B71="","",IF(I$3=0,"n.b.",INDEX(SRC_Woningetalage!$A$1:$ZZ$501,$A71,I$3)))</f>
        <v/>
      </c>
      <c r="J71" t="str">
        <f>IF($B71="","",IF(J$3=0,"n.b.",INDEX(SRC_Woningetalage!$A$1:$ZZ$501,$A71,J$3)))</f>
        <v/>
      </c>
      <c r="K71" t="str">
        <f>IF($B71="","",IF(K$3=0,"n.b.",INDEX(SRC_Woningetalage!$A$1:$ZZ$501,$A71,K$3)))</f>
        <v/>
      </c>
      <c r="L71" t="str">
        <f>IF($B71="","",IF(L$3=0,"n.b.",INDEX(SRC_Woningetalage!$A$1:$ZZ$501,$A71,L$3)))</f>
        <v/>
      </c>
      <c r="M71" t="str">
        <f>IF($B71="","",IF(M$3=0,"n.b.",INDEX(SRC_Woningetalage!$A$1:$ZZ$501,$A71,M$3)))</f>
        <v/>
      </c>
      <c r="N71" t="str">
        <f>IF($B71="","",IF(N$3=0,"n.b.",INDEX(SRC_Woningetalage!$A$1:$ZZ$501,$A71,N$3)))</f>
        <v/>
      </c>
      <c r="O71" t="str">
        <f>IF($B71="","",IF(O$3=0,"n.b.",INDEX(SRC_Woningetalage!$A$1:$ZZ$501,$A71,O$3)))</f>
        <v/>
      </c>
      <c r="P71" t="str">
        <f>IF($B71="","",IF(P$3=0,"n.b.",INDEX(SRC_Woningetalage!$A$1:$ZZ$501,$A71,P$3)))</f>
        <v/>
      </c>
      <c r="Q71" s="124" t="str">
        <f>IF($B71="","",IF(Q$3=0,"n.b.",INDEX(SRC_Woningetalage!$A$1:$ZZ$501,$A71,Q$3)))</f>
        <v/>
      </c>
      <c r="R71" s="124" t="str">
        <f>IF($B71="","",IF(R$3=0,"n.b.",INDEX(SRC_Woningetalage!$A$1:$ZZ$501,$A71,R$3)))</f>
        <v/>
      </c>
      <c r="S71" s="124" t="str">
        <f>IF($B71="","",IF(S$3=0,"n.b.",INDEX(SRC_Woningetalage!$A$1:$ZZ$501,$A71,S$3)))</f>
        <v/>
      </c>
      <c r="T71" s="124" t="str">
        <f>IF($B71="","",IF(T$3=0,"n.b.",INDEX(SRC_Woningetalage!$A$1:$ZZ$501,$A71,T$3)))</f>
        <v/>
      </c>
      <c r="U71" s="124" t="str">
        <f>IF($B71="","",IF(U$3=0,"n.b.",INDEX(SRC_Woningetalage!$A$1:$ZZ$501,$A71,U$3)))</f>
        <v/>
      </c>
      <c r="V71" s="124" t="str">
        <f>IF($B71="","",IF(V$3=0,"n.b.",INDEX(SRC_Woningetalage!$A$1:$ZZ$501,$A71,V$3)))</f>
        <v/>
      </c>
      <c r="W71" s="124" t="str">
        <f>IF($B71="","",IF(W$3=0,"n.b.",INDEX(SRC_Woningetalage!$A$1:$ZZ$501,$A71,W$3)))</f>
        <v/>
      </c>
      <c r="X71" s="124" t="str">
        <f>IF($B71="","",IF(X$3=0,"n.b.",INDEX(SRC_Woningetalage!$A$1:$ZZ$501,$A71,X$3)))</f>
        <v/>
      </c>
      <c r="Y71" s="124" t="str">
        <f>IF($B71="","",IF(Y$3=0,"n.b.",INDEX(SRC_Woningetalage!$A$1:$ZZ$501,$A71,Y$3)))</f>
        <v/>
      </c>
      <c r="Z71" s="124" t="str">
        <f>IF($B71="","",IF(Z$3=0,"n.b.",INDEX(SRC_Woningetalage!$A$1:$ZZ$501,$A71,Z$3)))</f>
        <v/>
      </c>
      <c r="AA71" s="124" t="str">
        <f>IF($B71="","",IF(AA$3=0,"n.b.",INDEX(SRC_Woningetalage!$A$1:$ZZ$501,$A71,AA$3)))</f>
        <v/>
      </c>
      <c r="AB71" s="124" t="str">
        <f>IF($B71="","",IF(AB$3=0,"n.b.",INDEX(SRC_Woningetalage!$A$1:$ZZ$501,$A71,AB$3)))</f>
        <v/>
      </c>
      <c r="AC71" s="124" t="str">
        <f>IF($B71="","",IF(AC$3=0,"n.b.",INDEX(SRC_Woningetalage!$A$1:$ZZ$501,$A71,AC$3)))</f>
        <v/>
      </c>
      <c r="AD71" s="124" t="str">
        <f>IF($B71="","",IF(AD$3=0,"n.b.",INDEX(SRC_Woningetalage!$A$1:$ZZ$501,$A71,AD$3)))</f>
        <v/>
      </c>
      <c r="AE71" s="124" t="str">
        <f>IF($B71="","",IF(AE$3=0,"n.b.",INDEX(SRC_Woningetalage!$A$1:$ZZ$501,$A71,AE$3)))</f>
        <v/>
      </c>
      <c r="AF71" s="124" t="str">
        <f>IF($B71="","",IF(AF$3=0,"n.b.",INDEX(SRC_Woningetalage!$A$1:$ZZ$501,$A71,AF$3)))</f>
        <v/>
      </c>
      <c r="AG71" s="124" t="str">
        <f>IF($B71="","",IF(AG$3=0,"n.b.",INDEX(SRC_Woningetalage!$A$1:$ZZ$501,$A71,AG$3)))</f>
        <v/>
      </c>
      <c r="AH71" s="124" t="str">
        <f>IF($B71="","",IF(AH$3=0,"n.b.",INDEX(SRC_Woningetalage!$A$1:$ZZ$501,$A71,AH$3)))</f>
        <v/>
      </c>
      <c r="AI71" s="124" t="str">
        <f>IF($B71="","",IF(AI$3=0,"n.b.",INDEX(SRC_Woningetalage!$A$1:$ZZ$501,$A71,AI$3)))</f>
        <v/>
      </c>
      <c r="AJ71" s="124" t="str">
        <f>IF($B71="","",IF(AJ$3=0,"n.b.",INDEX(SRC_Woningetalage!$A$1:$ZZ$501,$A71,AJ$3)))</f>
        <v/>
      </c>
      <c r="AK71" s="124" t="str">
        <f>IF($B71="","",IF(AK$3=0,"n.b.",INDEX(SRC_Woningetalage!$A$1:$ZZ$501,$A71,AK$3)))</f>
        <v/>
      </c>
      <c r="AL71" s="124" t="str">
        <f>IF($B71="","",IF(AL$3=0,"n.b.",INDEX(SRC_Woningetalage!$A$1:$ZZ$501,$A71,AL$3)))</f>
        <v/>
      </c>
      <c r="AM71" s="124" t="str">
        <f>IF($B71="","",IF(AM$3=0,"n.b.",INDEX(SRC_Woningetalage!$A$1:$ZZ$501,$A71,AM$3)))</f>
        <v/>
      </c>
      <c r="AN71" s="124" t="str">
        <f>IF($B71="","",IF(AN$3=0,"n.b.",INDEX(SRC_Woningetalage!$A$1:$ZZ$501,$A71,AN$3)))</f>
        <v/>
      </c>
      <c r="AO71" s="124" t="str">
        <f>IF($B71="","",IF(AO$3=0,"n.b.",INDEX(SRC_Woningetalage!$A$1:$ZZ$501,$A71,AO$3)))</f>
        <v/>
      </c>
      <c r="AP71" s="124" t="str">
        <f>IF($B71="","",IF(AP$3=0,"n.b.",INDEX(SRC_Woningetalage!$A$1:$ZZ$501,$A71,AP$3)))</f>
        <v/>
      </c>
      <c r="AQ71" s="124" t="str">
        <f>IF($B71="","",IF(AQ$3=0,"n.b.",INDEX(SRC_Woningetalage!$A$1:$ZZ$501,$A71,AQ$3)))</f>
        <v/>
      </c>
      <c r="AR71" s="124" t="str">
        <f>IF($B71="","",IF(AR$3=0,"n.b.",INDEX(SRC_Woningetalage!$A$1:$ZZ$501,$A71,AR$3)))</f>
        <v/>
      </c>
      <c r="AS71" s="124" t="str">
        <f>IF($B71="","",IF(AS$3=0,"n.b.",INDEX(SRC_Woningetalage!$A$1:$ZZ$501,$A71,AS$3)))</f>
        <v/>
      </c>
      <c r="AT71" s="124" t="str">
        <f>IF($B71="","",IF(AT$3=0,"n.b.",INDEX(SRC_Woningetalage!$A$1:$ZZ$501,$A71,AT$3)))</f>
        <v/>
      </c>
      <c r="AU71" s="124" t="str">
        <f>IF($B71="","",IF(AU$3=0,"n.b.",INDEX(SRC_Woningetalage!$A$1:$ZZ$501,$A71,AU$3)))</f>
        <v/>
      </c>
      <c r="AV71" s="124" t="str">
        <f>IF($B71="","",IF(AV$3=0,"n.b.",INDEX(SRC_Woningetalage!$A$1:$ZZ$501,$A71,AV$3)))</f>
        <v/>
      </c>
      <c r="AW71" s="124" t="str">
        <f>IF($B71="","",IF(AW$3=0,"n.b.",INDEX(SRC_Woningetalage!$A$1:$ZZ$501,$A71,AW$3)))</f>
        <v/>
      </c>
      <c r="AX71" s="124" t="str">
        <f>IF($B71="","",IF(AX$3=0,"n.b.",INDEX(SRC_Woningetalage!$A$1:$ZZ$501,$A71,AX$3)))</f>
        <v/>
      </c>
      <c r="AY71" s="124" t="str">
        <f>IF($B71="","",IF(AY$3=0,"n.b.",INDEX(SRC_Woningetalage!$A$1:$ZZ$501,$A71,AY$3)))</f>
        <v/>
      </c>
      <c r="AZ71" s="124" t="str">
        <f>IF($B71="","",IF(AZ$3=0,"n.b.",INDEX(SRC_Woningetalage!$A$1:$ZZ$501,$A71,AZ$3)))</f>
        <v/>
      </c>
      <c r="BA71" s="124" t="str">
        <f>IF($B71="","",IF(BA$3=0,"n.b.",INDEX(SRC_Woningetalage!$A$1:$ZZ$501,$A71,BA$3)))</f>
        <v/>
      </c>
      <c r="BB71" s="124" t="str">
        <f>IF($B71="","",IF(BB$3=0,"n.b.",INDEX(SRC_Woningetalage!$A$1:$ZZ$501,$A71,BB$3)))</f>
        <v/>
      </c>
      <c r="BC71" s="124" t="str">
        <f>IF($B71="","",IFERROR(_xlfn.NUMBERVALUE(E71&amp;"",",","."),"n.b."))</f>
        <v/>
      </c>
      <c r="BD71" s="124" t="str">
        <f>IF($B71="","",IFERROR(_xlfn.NUMBERVALUE(M71&amp;"",",","."),"n.b."))</f>
        <v/>
      </c>
      <c r="BE71" s="124" t="str">
        <f>IF($B71="","",IFERROR(AB71+AC71+AD71,"n.b."))</f>
        <v/>
      </c>
      <c r="BF71" s="124" t="str">
        <f>IF($B71="","",IFERROR(AE71+AF71+AG71,"n.b."))</f>
        <v/>
      </c>
      <c r="BG71" s="124" t="str">
        <f>IF($B71="","",IFERROR(AH71+AI71+AJ71,"n.b."))</f>
        <v/>
      </c>
      <c r="BH71" s="124" t="str">
        <f>IF($B71="","",IFERROR(AK71+AL71+AM71,"n.b."))</f>
        <v/>
      </c>
      <c r="BI71" s="124" t="str">
        <f>IF($B71="","",IFERROR(SUMIF($AB$5:$AM$5,"&lt;="&amp;P_PeilMaand,AB71:AM71),"n.b."))</f>
        <v/>
      </c>
      <c r="BJ71" s="124" t="str">
        <f>IF($B71="","",IFERROR(SUM(AB71:AM71)-BI71,"n.b."))</f>
        <v/>
      </c>
      <c r="BK71" s="124" t="str">
        <f>IF($B71="","",IFERROR(IF(ABS(Q71-(T71+SUM(AB71:AM71)+AS71+AU71))&gt;P_Tol,1,0),1))</f>
        <v/>
      </c>
      <c r="BL71" s="124" t="str">
        <f>IF($B71="","",IFERROR(IF(ABS(AA71-(Q71-Z71))&gt;P_Tol,1,0),1))</f>
        <v/>
      </c>
      <c r="BM71" s="124" t="str">
        <f>IF($B71="","",IFERROR(IF(ABS(Z71-(T71+W71))&gt;P_Tol,1,0),1))</f>
        <v/>
      </c>
      <c r="BN71" s="124" t="str">
        <f>IF($B71="","",IFERROR(IF(ABS(W71-BI71)&gt;P_Tol,1,0),1))</f>
        <v/>
      </c>
      <c r="BO71" s="124" t="str">
        <f>IF($B71="","",IFERROR(IF(OR(ABS(R71+S71-T71)&gt;P_Tol,ABS(U71+V71-W71)&gt;P_Tol,ABS(X71+Y71-Z71)&gt;P_Tol),1,0),1))</f>
        <v/>
      </c>
      <c r="BP71" s="124" t="str">
        <f>IF($B71="","",IFERROR(IF(OR(ABS(AR71-SUM(AB71:AM71))&gt;P_Tol,ABS(AS71-(AN71+AO71+AP71+AQ71))&gt;P_Tol),1,0),1))</f>
        <v/>
      </c>
      <c r="BQ71" s="124" t="str">
        <f>IF($B71="","",IFERROR(IF(ABS(AT71)+ABS(AV71)+ABS(AW71)+ABS(AX71)+ABS(AY71)+ABS(AZ71)+ABS(BA71)+ABS(BB71)&gt;0,1,0),1))</f>
        <v/>
      </c>
      <c r="BR71" s="124" t="str">
        <f>IF($B71="","",COUNTIF(STG_ZPMW03!$B$6:$B$505,B71))</f>
        <v/>
      </c>
      <c r="BS71" s="124" t="str">
        <f>IF($B71="","",COUNTIF($B$6:$B$505,B71))</f>
        <v/>
      </c>
      <c r="BT71" s="124" t="str">
        <f>IF($B71="","",IF(BR71=0,0,IF(INDEX(STG_ZPMW03!$I$6:$I$505,MATCH(B71,STG_ZPMW03!$B$6:$B$505,0))=J71&amp;"",0,1)))</f>
        <v/>
      </c>
      <c r="BU71" s="124" t="str">
        <f>IF($B71="","",IFERROR(IF(ABS(INDEX(Mapping!$D$5:$D$104,MATCH(B71,Mapping!$A$5:$A$104,0))-Q71)&gt;P_Tol,1,0),0))</f>
        <v/>
      </c>
      <c r="BV71" s="124" t="str">
        <f>IF($B71="","",IFERROR(IF(AND(INDEX(Mapping!$G$5:$G$104,MATCH(B71,Mapping!$A$5:$A$104,0))="Nee",ABS(Q71)+ABS(Z71)+ABS(AR71)&gt;0),1,0),0))</f>
        <v/>
      </c>
      <c r="BW71" s="124" t="str">
        <f>IF($B71="","",IF(COUNTIF(Mapping!$A$5:$A$104,B71)&gt;0,1,0))</f>
        <v/>
      </c>
      <c r="BX71" s="124" t="str">
        <f>IF($B71="","",IF(BR71=0,COUNTIF($BR$6:BR71,0),""))</f>
        <v/>
      </c>
    </row>
    <row r="72">
      <c r="A72" s="15" t="n">
        <v>68</v>
      </c>
      <c r="B72" t="str">
        <f>IF(B$3=0,"",IF(INDEX(SRC_Woningetalage!$A$1:$ZZ$501,$A72,B$3)&amp;""="","",INDEX(SRC_Woningetalage!$A$1:$ZZ$501,$A72,B$3)&amp;""))</f>
        <v/>
      </c>
      <c r="C72" t="str">
        <f>IF($B72="","",IF(C$3=0,"n.b.",INDEX(SRC_Woningetalage!$A$1:$ZZ$501,$A72,C$3)))</f>
        <v/>
      </c>
      <c r="D72" t="str">
        <f>IF($B72="","",IF(D$3=0,"n.b.",INDEX(SRC_Woningetalage!$A$1:$ZZ$501,$A72,D$3)))</f>
        <v/>
      </c>
      <c r="E72" t="str">
        <f>IF($B72="","",IF(E$3=0,"n.b.",INDEX(SRC_Woningetalage!$A$1:$ZZ$501,$A72,E$3)))</f>
        <v/>
      </c>
      <c r="F72" t="str">
        <f>IF($B72="","",IF(F$3=0,"n.b.",INDEX(SRC_Woningetalage!$A$1:$ZZ$501,$A72,F$3)))</f>
        <v/>
      </c>
      <c r="G72" t="str">
        <f>IF($B72="","",IF(G$3=0,"n.b.",INDEX(SRC_Woningetalage!$A$1:$ZZ$501,$A72,G$3)))</f>
        <v/>
      </c>
      <c r="H72" t="str">
        <f>IF($B72="","",IF(H$3=0,"n.b.",INDEX(SRC_Woningetalage!$A$1:$ZZ$501,$A72,H$3)))</f>
        <v/>
      </c>
      <c r="I72" t="str">
        <f>IF($B72="","",IF(I$3=0,"n.b.",INDEX(SRC_Woningetalage!$A$1:$ZZ$501,$A72,I$3)))</f>
        <v/>
      </c>
      <c r="J72" t="str">
        <f>IF($B72="","",IF(J$3=0,"n.b.",INDEX(SRC_Woningetalage!$A$1:$ZZ$501,$A72,J$3)))</f>
        <v/>
      </c>
      <c r="K72" t="str">
        <f>IF($B72="","",IF(K$3=0,"n.b.",INDEX(SRC_Woningetalage!$A$1:$ZZ$501,$A72,K$3)))</f>
        <v/>
      </c>
      <c r="L72" t="str">
        <f>IF($B72="","",IF(L$3=0,"n.b.",INDEX(SRC_Woningetalage!$A$1:$ZZ$501,$A72,L$3)))</f>
        <v/>
      </c>
      <c r="M72" t="str">
        <f>IF($B72="","",IF(M$3=0,"n.b.",INDEX(SRC_Woningetalage!$A$1:$ZZ$501,$A72,M$3)))</f>
        <v/>
      </c>
      <c r="N72" t="str">
        <f>IF($B72="","",IF(N$3=0,"n.b.",INDEX(SRC_Woningetalage!$A$1:$ZZ$501,$A72,N$3)))</f>
        <v/>
      </c>
      <c r="O72" t="str">
        <f>IF($B72="","",IF(O$3=0,"n.b.",INDEX(SRC_Woningetalage!$A$1:$ZZ$501,$A72,O$3)))</f>
        <v/>
      </c>
      <c r="P72" t="str">
        <f>IF($B72="","",IF(P$3=0,"n.b.",INDEX(SRC_Woningetalage!$A$1:$ZZ$501,$A72,P$3)))</f>
        <v/>
      </c>
      <c r="Q72" s="124" t="str">
        <f>IF($B72="","",IF(Q$3=0,"n.b.",INDEX(SRC_Woningetalage!$A$1:$ZZ$501,$A72,Q$3)))</f>
        <v/>
      </c>
      <c r="R72" s="124" t="str">
        <f>IF($B72="","",IF(R$3=0,"n.b.",INDEX(SRC_Woningetalage!$A$1:$ZZ$501,$A72,R$3)))</f>
        <v/>
      </c>
      <c r="S72" s="124" t="str">
        <f>IF($B72="","",IF(S$3=0,"n.b.",INDEX(SRC_Woningetalage!$A$1:$ZZ$501,$A72,S$3)))</f>
        <v/>
      </c>
      <c r="T72" s="124" t="str">
        <f>IF($B72="","",IF(T$3=0,"n.b.",INDEX(SRC_Woningetalage!$A$1:$ZZ$501,$A72,T$3)))</f>
        <v/>
      </c>
      <c r="U72" s="124" t="str">
        <f>IF($B72="","",IF(U$3=0,"n.b.",INDEX(SRC_Woningetalage!$A$1:$ZZ$501,$A72,U$3)))</f>
        <v/>
      </c>
      <c r="V72" s="124" t="str">
        <f>IF($B72="","",IF(V$3=0,"n.b.",INDEX(SRC_Woningetalage!$A$1:$ZZ$501,$A72,V$3)))</f>
        <v/>
      </c>
      <c r="W72" s="124" t="str">
        <f>IF($B72="","",IF(W$3=0,"n.b.",INDEX(SRC_Woningetalage!$A$1:$ZZ$501,$A72,W$3)))</f>
        <v/>
      </c>
      <c r="X72" s="124" t="str">
        <f>IF($B72="","",IF(X$3=0,"n.b.",INDEX(SRC_Woningetalage!$A$1:$ZZ$501,$A72,X$3)))</f>
        <v/>
      </c>
      <c r="Y72" s="124" t="str">
        <f>IF($B72="","",IF(Y$3=0,"n.b.",INDEX(SRC_Woningetalage!$A$1:$ZZ$501,$A72,Y$3)))</f>
        <v/>
      </c>
      <c r="Z72" s="124" t="str">
        <f>IF($B72="","",IF(Z$3=0,"n.b.",INDEX(SRC_Woningetalage!$A$1:$ZZ$501,$A72,Z$3)))</f>
        <v/>
      </c>
      <c r="AA72" s="124" t="str">
        <f>IF($B72="","",IF(AA$3=0,"n.b.",INDEX(SRC_Woningetalage!$A$1:$ZZ$501,$A72,AA$3)))</f>
        <v/>
      </c>
      <c r="AB72" s="124" t="str">
        <f>IF($B72="","",IF(AB$3=0,"n.b.",INDEX(SRC_Woningetalage!$A$1:$ZZ$501,$A72,AB$3)))</f>
        <v/>
      </c>
      <c r="AC72" s="124" t="str">
        <f>IF($B72="","",IF(AC$3=0,"n.b.",INDEX(SRC_Woningetalage!$A$1:$ZZ$501,$A72,AC$3)))</f>
        <v/>
      </c>
      <c r="AD72" s="124" t="str">
        <f>IF($B72="","",IF(AD$3=0,"n.b.",INDEX(SRC_Woningetalage!$A$1:$ZZ$501,$A72,AD$3)))</f>
        <v/>
      </c>
      <c r="AE72" s="124" t="str">
        <f>IF($B72="","",IF(AE$3=0,"n.b.",INDEX(SRC_Woningetalage!$A$1:$ZZ$501,$A72,AE$3)))</f>
        <v/>
      </c>
      <c r="AF72" s="124" t="str">
        <f>IF($B72="","",IF(AF$3=0,"n.b.",INDEX(SRC_Woningetalage!$A$1:$ZZ$501,$A72,AF$3)))</f>
        <v/>
      </c>
      <c r="AG72" s="124" t="str">
        <f>IF($B72="","",IF(AG$3=0,"n.b.",INDEX(SRC_Woningetalage!$A$1:$ZZ$501,$A72,AG$3)))</f>
        <v/>
      </c>
      <c r="AH72" s="124" t="str">
        <f>IF($B72="","",IF(AH$3=0,"n.b.",INDEX(SRC_Woningetalage!$A$1:$ZZ$501,$A72,AH$3)))</f>
        <v/>
      </c>
      <c r="AI72" s="124" t="str">
        <f>IF($B72="","",IF(AI$3=0,"n.b.",INDEX(SRC_Woningetalage!$A$1:$ZZ$501,$A72,AI$3)))</f>
        <v/>
      </c>
      <c r="AJ72" s="124" t="str">
        <f>IF($B72="","",IF(AJ$3=0,"n.b.",INDEX(SRC_Woningetalage!$A$1:$ZZ$501,$A72,AJ$3)))</f>
        <v/>
      </c>
      <c r="AK72" s="124" t="str">
        <f>IF($B72="","",IF(AK$3=0,"n.b.",INDEX(SRC_Woningetalage!$A$1:$ZZ$501,$A72,AK$3)))</f>
        <v/>
      </c>
      <c r="AL72" s="124" t="str">
        <f>IF($B72="","",IF(AL$3=0,"n.b.",INDEX(SRC_Woningetalage!$A$1:$ZZ$501,$A72,AL$3)))</f>
        <v/>
      </c>
      <c r="AM72" s="124" t="str">
        <f>IF($B72="","",IF(AM$3=0,"n.b.",INDEX(SRC_Woningetalage!$A$1:$ZZ$501,$A72,AM$3)))</f>
        <v/>
      </c>
      <c r="AN72" s="124" t="str">
        <f>IF($B72="","",IF(AN$3=0,"n.b.",INDEX(SRC_Woningetalage!$A$1:$ZZ$501,$A72,AN$3)))</f>
        <v/>
      </c>
      <c r="AO72" s="124" t="str">
        <f>IF($B72="","",IF(AO$3=0,"n.b.",INDEX(SRC_Woningetalage!$A$1:$ZZ$501,$A72,AO$3)))</f>
        <v/>
      </c>
      <c r="AP72" s="124" t="str">
        <f>IF($B72="","",IF(AP$3=0,"n.b.",INDEX(SRC_Woningetalage!$A$1:$ZZ$501,$A72,AP$3)))</f>
        <v/>
      </c>
      <c r="AQ72" s="124" t="str">
        <f>IF($B72="","",IF(AQ$3=0,"n.b.",INDEX(SRC_Woningetalage!$A$1:$ZZ$501,$A72,AQ$3)))</f>
        <v/>
      </c>
      <c r="AR72" s="124" t="str">
        <f>IF($B72="","",IF(AR$3=0,"n.b.",INDEX(SRC_Woningetalage!$A$1:$ZZ$501,$A72,AR$3)))</f>
        <v/>
      </c>
      <c r="AS72" s="124" t="str">
        <f>IF($B72="","",IF(AS$3=0,"n.b.",INDEX(SRC_Woningetalage!$A$1:$ZZ$501,$A72,AS$3)))</f>
        <v/>
      </c>
      <c r="AT72" s="124" t="str">
        <f>IF($B72="","",IF(AT$3=0,"n.b.",INDEX(SRC_Woningetalage!$A$1:$ZZ$501,$A72,AT$3)))</f>
        <v/>
      </c>
      <c r="AU72" s="124" t="str">
        <f>IF($B72="","",IF(AU$3=0,"n.b.",INDEX(SRC_Woningetalage!$A$1:$ZZ$501,$A72,AU$3)))</f>
        <v/>
      </c>
      <c r="AV72" s="124" t="str">
        <f>IF($B72="","",IF(AV$3=0,"n.b.",INDEX(SRC_Woningetalage!$A$1:$ZZ$501,$A72,AV$3)))</f>
        <v/>
      </c>
      <c r="AW72" s="124" t="str">
        <f>IF($B72="","",IF(AW$3=0,"n.b.",INDEX(SRC_Woningetalage!$A$1:$ZZ$501,$A72,AW$3)))</f>
        <v/>
      </c>
      <c r="AX72" s="124" t="str">
        <f>IF($B72="","",IF(AX$3=0,"n.b.",INDEX(SRC_Woningetalage!$A$1:$ZZ$501,$A72,AX$3)))</f>
        <v/>
      </c>
      <c r="AY72" s="124" t="str">
        <f>IF($B72="","",IF(AY$3=0,"n.b.",INDEX(SRC_Woningetalage!$A$1:$ZZ$501,$A72,AY$3)))</f>
        <v/>
      </c>
      <c r="AZ72" s="124" t="str">
        <f>IF($B72="","",IF(AZ$3=0,"n.b.",INDEX(SRC_Woningetalage!$A$1:$ZZ$501,$A72,AZ$3)))</f>
        <v/>
      </c>
      <c r="BA72" s="124" t="str">
        <f>IF($B72="","",IF(BA$3=0,"n.b.",INDEX(SRC_Woningetalage!$A$1:$ZZ$501,$A72,BA$3)))</f>
        <v/>
      </c>
      <c r="BB72" s="124" t="str">
        <f>IF($B72="","",IF(BB$3=0,"n.b.",INDEX(SRC_Woningetalage!$A$1:$ZZ$501,$A72,BB$3)))</f>
        <v/>
      </c>
      <c r="BC72" s="124" t="str">
        <f>IF($B72="","",IFERROR(_xlfn.NUMBERVALUE(E72&amp;"",",","."),"n.b."))</f>
        <v/>
      </c>
      <c r="BD72" s="124" t="str">
        <f>IF($B72="","",IFERROR(_xlfn.NUMBERVALUE(M72&amp;"",",","."),"n.b."))</f>
        <v/>
      </c>
      <c r="BE72" s="124" t="str">
        <f>IF($B72="","",IFERROR(AB72+AC72+AD72,"n.b."))</f>
        <v/>
      </c>
      <c r="BF72" s="124" t="str">
        <f>IF($B72="","",IFERROR(AE72+AF72+AG72,"n.b."))</f>
        <v/>
      </c>
      <c r="BG72" s="124" t="str">
        <f>IF($B72="","",IFERROR(AH72+AI72+AJ72,"n.b."))</f>
        <v/>
      </c>
      <c r="BH72" s="124" t="str">
        <f>IF($B72="","",IFERROR(AK72+AL72+AM72,"n.b."))</f>
        <v/>
      </c>
      <c r="BI72" s="124" t="str">
        <f>IF($B72="","",IFERROR(SUMIF($AB$5:$AM$5,"&lt;="&amp;P_PeilMaand,AB72:AM72),"n.b."))</f>
        <v/>
      </c>
      <c r="BJ72" s="124" t="str">
        <f>IF($B72="","",IFERROR(SUM(AB72:AM72)-BI72,"n.b."))</f>
        <v/>
      </c>
      <c r="BK72" s="124" t="str">
        <f>IF($B72="","",IFERROR(IF(ABS(Q72-(T72+SUM(AB72:AM72)+AS72+AU72))&gt;P_Tol,1,0),1))</f>
        <v/>
      </c>
      <c r="BL72" s="124" t="str">
        <f>IF($B72="","",IFERROR(IF(ABS(AA72-(Q72-Z72))&gt;P_Tol,1,0),1))</f>
        <v/>
      </c>
      <c r="BM72" s="124" t="str">
        <f>IF($B72="","",IFERROR(IF(ABS(Z72-(T72+W72))&gt;P_Tol,1,0),1))</f>
        <v/>
      </c>
      <c r="BN72" s="124" t="str">
        <f>IF($B72="","",IFERROR(IF(ABS(W72-BI72)&gt;P_Tol,1,0),1))</f>
        <v/>
      </c>
      <c r="BO72" s="124" t="str">
        <f>IF($B72="","",IFERROR(IF(OR(ABS(R72+S72-T72)&gt;P_Tol,ABS(U72+V72-W72)&gt;P_Tol,ABS(X72+Y72-Z72)&gt;P_Tol),1,0),1))</f>
        <v/>
      </c>
      <c r="BP72" s="124" t="str">
        <f>IF($B72="","",IFERROR(IF(OR(ABS(AR72-SUM(AB72:AM72))&gt;P_Tol,ABS(AS72-(AN72+AO72+AP72+AQ72))&gt;P_Tol),1,0),1))</f>
        <v/>
      </c>
      <c r="BQ72" s="124" t="str">
        <f>IF($B72="","",IFERROR(IF(ABS(AT72)+ABS(AV72)+ABS(AW72)+ABS(AX72)+ABS(AY72)+ABS(AZ72)+ABS(BA72)+ABS(BB72)&gt;0,1,0),1))</f>
        <v/>
      </c>
      <c r="BR72" s="124" t="str">
        <f>IF($B72="","",COUNTIF(STG_ZPMW03!$B$6:$B$505,B72))</f>
        <v/>
      </c>
      <c r="BS72" s="124" t="str">
        <f>IF($B72="","",COUNTIF($B$6:$B$505,B72))</f>
        <v/>
      </c>
      <c r="BT72" s="124" t="str">
        <f>IF($B72="","",IF(BR72=0,0,IF(INDEX(STG_ZPMW03!$I$6:$I$505,MATCH(B72,STG_ZPMW03!$B$6:$B$505,0))=J72&amp;"",0,1)))</f>
        <v/>
      </c>
      <c r="BU72" s="124" t="str">
        <f>IF($B72="","",IFERROR(IF(ABS(INDEX(Mapping!$D$5:$D$104,MATCH(B72,Mapping!$A$5:$A$104,0))-Q72)&gt;P_Tol,1,0),0))</f>
        <v/>
      </c>
      <c r="BV72" s="124" t="str">
        <f>IF($B72="","",IFERROR(IF(AND(INDEX(Mapping!$G$5:$G$104,MATCH(B72,Mapping!$A$5:$A$104,0))="Nee",ABS(Q72)+ABS(Z72)+ABS(AR72)&gt;0),1,0),0))</f>
        <v/>
      </c>
      <c r="BW72" s="124" t="str">
        <f>IF($B72="","",IF(COUNTIF(Mapping!$A$5:$A$104,B72)&gt;0,1,0))</f>
        <v/>
      </c>
      <c r="BX72" s="124" t="str">
        <f>IF($B72="","",IF(BR72=0,COUNTIF($BR$6:BR72,0),""))</f>
        <v/>
      </c>
    </row>
    <row r="73">
      <c r="A73" s="15" t="n">
        <v>69</v>
      </c>
      <c r="B73" t="str">
        <f>IF(B$3=0,"",IF(INDEX(SRC_Woningetalage!$A$1:$ZZ$501,$A73,B$3)&amp;""="","",INDEX(SRC_Woningetalage!$A$1:$ZZ$501,$A73,B$3)&amp;""))</f>
        <v/>
      </c>
      <c r="C73" t="str">
        <f>IF($B73="","",IF(C$3=0,"n.b.",INDEX(SRC_Woningetalage!$A$1:$ZZ$501,$A73,C$3)))</f>
        <v/>
      </c>
      <c r="D73" t="str">
        <f>IF($B73="","",IF(D$3=0,"n.b.",INDEX(SRC_Woningetalage!$A$1:$ZZ$501,$A73,D$3)))</f>
        <v/>
      </c>
      <c r="E73" t="str">
        <f>IF($B73="","",IF(E$3=0,"n.b.",INDEX(SRC_Woningetalage!$A$1:$ZZ$501,$A73,E$3)))</f>
        <v/>
      </c>
      <c r="F73" t="str">
        <f>IF($B73="","",IF(F$3=0,"n.b.",INDEX(SRC_Woningetalage!$A$1:$ZZ$501,$A73,F$3)))</f>
        <v/>
      </c>
      <c r="G73" t="str">
        <f>IF($B73="","",IF(G$3=0,"n.b.",INDEX(SRC_Woningetalage!$A$1:$ZZ$501,$A73,G$3)))</f>
        <v/>
      </c>
      <c r="H73" t="str">
        <f>IF($B73="","",IF(H$3=0,"n.b.",INDEX(SRC_Woningetalage!$A$1:$ZZ$501,$A73,H$3)))</f>
        <v/>
      </c>
      <c r="I73" t="str">
        <f>IF($B73="","",IF(I$3=0,"n.b.",INDEX(SRC_Woningetalage!$A$1:$ZZ$501,$A73,I$3)))</f>
        <v/>
      </c>
      <c r="J73" t="str">
        <f>IF($B73="","",IF(J$3=0,"n.b.",INDEX(SRC_Woningetalage!$A$1:$ZZ$501,$A73,J$3)))</f>
        <v/>
      </c>
      <c r="K73" t="str">
        <f>IF($B73="","",IF(K$3=0,"n.b.",INDEX(SRC_Woningetalage!$A$1:$ZZ$501,$A73,K$3)))</f>
        <v/>
      </c>
      <c r="L73" t="str">
        <f>IF($B73="","",IF(L$3=0,"n.b.",INDEX(SRC_Woningetalage!$A$1:$ZZ$501,$A73,L$3)))</f>
        <v/>
      </c>
      <c r="M73" t="str">
        <f>IF($B73="","",IF(M$3=0,"n.b.",INDEX(SRC_Woningetalage!$A$1:$ZZ$501,$A73,M$3)))</f>
        <v/>
      </c>
      <c r="N73" t="str">
        <f>IF($B73="","",IF(N$3=0,"n.b.",INDEX(SRC_Woningetalage!$A$1:$ZZ$501,$A73,N$3)))</f>
        <v/>
      </c>
      <c r="O73" t="str">
        <f>IF($B73="","",IF(O$3=0,"n.b.",INDEX(SRC_Woningetalage!$A$1:$ZZ$501,$A73,O$3)))</f>
        <v/>
      </c>
      <c r="P73" t="str">
        <f>IF($B73="","",IF(P$3=0,"n.b.",INDEX(SRC_Woningetalage!$A$1:$ZZ$501,$A73,P$3)))</f>
        <v/>
      </c>
      <c r="Q73" s="124" t="str">
        <f>IF($B73="","",IF(Q$3=0,"n.b.",INDEX(SRC_Woningetalage!$A$1:$ZZ$501,$A73,Q$3)))</f>
        <v/>
      </c>
      <c r="R73" s="124" t="str">
        <f>IF($B73="","",IF(R$3=0,"n.b.",INDEX(SRC_Woningetalage!$A$1:$ZZ$501,$A73,R$3)))</f>
        <v/>
      </c>
      <c r="S73" s="124" t="str">
        <f>IF($B73="","",IF(S$3=0,"n.b.",INDEX(SRC_Woningetalage!$A$1:$ZZ$501,$A73,S$3)))</f>
        <v/>
      </c>
      <c r="T73" s="124" t="str">
        <f>IF($B73="","",IF(T$3=0,"n.b.",INDEX(SRC_Woningetalage!$A$1:$ZZ$501,$A73,T$3)))</f>
        <v/>
      </c>
      <c r="U73" s="124" t="str">
        <f>IF($B73="","",IF(U$3=0,"n.b.",INDEX(SRC_Woningetalage!$A$1:$ZZ$501,$A73,U$3)))</f>
        <v/>
      </c>
      <c r="V73" s="124" t="str">
        <f>IF($B73="","",IF(V$3=0,"n.b.",INDEX(SRC_Woningetalage!$A$1:$ZZ$501,$A73,V$3)))</f>
        <v/>
      </c>
      <c r="W73" s="124" t="str">
        <f>IF($B73="","",IF(W$3=0,"n.b.",INDEX(SRC_Woningetalage!$A$1:$ZZ$501,$A73,W$3)))</f>
        <v/>
      </c>
      <c r="X73" s="124" t="str">
        <f>IF($B73="","",IF(X$3=0,"n.b.",INDEX(SRC_Woningetalage!$A$1:$ZZ$501,$A73,X$3)))</f>
        <v/>
      </c>
      <c r="Y73" s="124" t="str">
        <f>IF($B73="","",IF(Y$3=0,"n.b.",INDEX(SRC_Woningetalage!$A$1:$ZZ$501,$A73,Y$3)))</f>
        <v/>
      </c>
      <c r="Z73" s="124" t="str">
        <f>IF($B73="","",IF(Z$3=0,"n.b.",INDEX(SRC_Woningetalage!$A$1:$ZZ$501,$A73,Z$3)))</f>
        <v/>
      </c>
      <c r="AA73" s="124" t="str">
        <f>IF($B73="","",IF(AA$3=0,"n.b.",INDEX(SRC_Woningetalage!$A$1:$ZZ$501,$A73,AA$3)))</f>
        <v/>
      </c>
      <c r="AB73" s="124" t="str">
        <f>IF($B73="","",IF(AB$3=0,"n.b.",INDEX(SRC_Woningetalage!$A$1:$ZZ$501,$A73,AB$3)))</f>
        <v/>
      </c>
      <c r="AC73" s="124" t="str">
        <f>IF($B73="","",IF(AC$3=0,"n.b.",INDEX(SRC_Woningetalage!$A$1:$ZZ$501,$A73,AC$3)))</f>
        <v/>
      </c>
      <c r="AD73" s="124" t="str">
        <f>IF($B73="","",IF(AD$3=0,"n.b.",INDEX(SRC_Woningetalage!$A$1:$ZZ$501,$A73,AD$3)))</f>
        <v/>
      </c>
      <c r="AE73" s="124" t="str">
        <f>IF($B73="","",IF(AE$3=0,"n.b.",INDEX(SRC_Woningetalage!$A$1:$ZZ$501,$A73,AE$3)))</f>
        <v/>
      </c>
      <c r="AF73" s="124" t="str">
        <f>IF($B73="","",IF(AF$3=0,"n.b.",INDEX(SRC_Woningetalage!$A$1:$ZZ$501,$A73,AF$3)))</f>
        <v/>
      </c>
      <c r="AG73" s="124" t="str">
        <f>IF($B73="","",IF(AG$3=0,"n.b.",INDEX(SRC_Woningetalage!$A$1:$ZZ$501,$A73,AG$3)))</f>
        <v/>
      </c>
      <c r="AH73" s="124" t="str">
        <f>IF($B73="","",IF(AH$3=0,"n.b.",INDEX(SRC_Woningetalage!$A$1:$ZZ$501,$A73,AH$3)))</f>
        <v/>
      </c>
      <c r="AI73" s="124" t="str">
        <f>IF($B73="","",IF(AI$3=0,"n.b.",INDEX(SRC_Woningetalage!$A$1:$ZZ$501,$A73,AI$3)))</f>
        <v/>
      </c>
      <c r="AJ73" s="124" t="str">
        <f>IF($B73="","",IF(AJ$3=0,"n.b.",INDEX(SRC_Woningetalage!$A$1:$ZZ$501,$A73,AJ$3)))</f>
        <v/>
      </c>
      <c r="AK73" s="124" t="str">
        <f>IF($B73="","",IF(AK$3=0,"n.b.",INDEX(SRC_Woningetalage!$A$1:$ZZ$501,$A73,AK$3)))</f>
        <v/>
      </c>
      <c r="AL73" s="124" t="str">
        <f>IF($B73="","",IF(AL$3=0,"n.b.",INDEX(SRC_Woningetalage!$A$1:$ZZ$501,$A73,AL$3)))</f>
        <v/>
      </c>
      <c r="AM73" s="124" t="str">
        <f>IF($B73="","",IF(AM$3=0,"n.b.",INDEX(SRC_Woningetalage!$A$1:$ZZ$501,$A73,AM$3)))</f>
        <v/>
      </c>
      <c r="AN73" s="124" t="str">
        <f>IF($B73="","",IF(AN$3=0,"n.b.",INDEX(SRC_Woningetalage!$A$1:$ZZ$501,$A73,AN$3)))</f>
        <v/>
      </c>
      <c r="AO73" s="124" t="str">
        <f>IF($B73="","",IF(AO$3=0,"n.b.",INDEX(SRC_Woningetalage!$A$1:$ZZ$501,$A73,AO$3)))</f>
        <v/>
      </c>
      <c r="AP73" s="124" t="str">
        <f>IF($B73="","",IF(AP$3=0,"n.b.",INDEX(SRC_Woningetalage!$A$1:$ZZ$501,$A73,AP$3)))</f>
        <v/>
      </c>
      <c r="AQ73" s="124" t="str">
        <f>IF($B73="","",IF(AQ$3=0,"n.b.",INDEX(SRC_Woningetalage!$A$1:$ZZ$501,$A73,AQ$3)))</f>
        <v/>
      </c>
      <c r="AR73" s="124" t="str">
        <f>IF($B73="","",IF(AR$3=0,"n.b.",INDEX(SRC_Woningetalage!$A$1:$ZZ$501,$A73,AR$3)))</f>
        <v/>
      </c>
      <c r="AS73" s="124" t="str">
        <f>IF($B73="","",IF(AS$3=0,"n.b.",INDEX(SRC_Woningetalage!$A$1:$ZZ$501,$A73,AS$3)))</f>
        <v/>
      </c>
      <c r="AT73" s="124" t="str">
        <f>IF($B73="","",IF(AT$3=0,"n.b.",INDEX(SRC_Woningetalage!$A$1:$ZZ$501,$A73,AT$3)))</f>
        <v/>
      </c>
      <c r="AU73" s="124" t="str">
        <f>IF($B73="","",IF(AU$3=0,"n.b.",INDEX(SRC_Woningetalage!$A$1:$ZZ$501,$A73,AU$3)))</f>
        <v/>
      </c>
      <c r="AV73" s="124" t="str">
        <f>IF($B73="","",IF(AV$3=0,"n.b.",INDEX(SRC_Woningetalage!$A$1:$ZZ$501,$A73,AV$3)))</f>
        <v/>
      </c>
      <c r="AW73" s="124" t="str">
        <f>IF($B73="","",IF(AW$3=0,"n.b.",INDEX(SRC_Woningetalage!$A$1:$ZZ$501,$A73,AW$3)))</f>
        <v/>
      </c>
      <c r="AX73" s="124" t="str">
        <f>IF($B73="","",IF(AX$3=0,"n.b.",INDEX(SRC_Woningetalage!$A$1:$ZZ$501,$A73,AX$3)))</f>
        <v/>
      </c>
      <c r="AY73" s="124" t="str">
        <f>IF($B73="","",IF(AY$3=0,"n.b.",INDEX(SRC_Woningetalage!$A$1:$ZZ$501,$A73,AY$3)))</f>
        <v/>
      </c>
      <c r="AZ73" s="124" t="str">
        <f>IF($B73="","",IF(AZ$3=0,"n.b.",INDEX(SRC_Woningetalage!$A$1:$ZZ$501,$A73,AZ$3)))</f>
        <v/>
      </c>
      <c r="BA73" s="124" t="str">
        <f>IF($B73="","",IF(BA$3=0,"n.b.",INDEX(SRC_Woningetalage!$A$1:$ZZ$501,$A73,BA$3)))</f>
        <v/>
      </c>
      <c r="BB73" s="124" t="str">
        <f>IF($B73="","",IF(BB$3=0,"n.b.",INDEX(SRC_Woningetalage!$A$1:$ZZ$501,$A73,BB$3)))</f>
        <v/>
      </c>
      <c r="BC73" s="124" t="str">
        <f>IF($B73="","",IFERROR(_xlfn.NUMBERVALUE(E73&amp;"",",","."),"n.b."))</f>
        <v/>
      </c>
      <c r="BD73" s="124" t="str">
        <f>IF($B73="","",IFERROR(_xlfn.NUMBERVALUE(M73&amp;"",",","."),"n.b."))</f>
        <v/>
      </c>
      <c r="BE73" s="124" t="str">
        <f>IF($B73="","",IFERROR(AB73+AC73+AD73,"n.b."))</f>
        <v/>
      </c>
      <c r="BF73" s="124" t="str">
        <f>IF($B73="","",IFERROR(AE73+AF73+AG73,"n.b."))</f>
        <v/>
      </c>
      <c r="BG73" s="124" t="str">
        <f>IF($B73="","",IFERROR(AH73+AI73+AJ73,"n.b."))</f>
        <v/>
      </c>
      <c r="BH73" s="124" t="str">
        <f>IF($B73="","",IFERROR(AK73+AL73+AM73,"n.b."))</f>
        <v/>
      </c>
      <c r="BI73" s="124" t="str">
        <f>IF($B73="","",IFERROR(SUMIF($AB$5:$AM$5,"&lt;="&amp;P_PeilMaand,AB73:AM73),"n.b."))</f>
        <v/>
      </c>
      <c r="BJ73" s="124" t="str">
        <f>IF($B73="","",IFERROR(SUM(AB73:AM73)-BI73,"n.b."))</f>
        <v/>
      </c>
      <c r="BK73" s="124" t="str">
        <f>IF($B73="","",IFERROR(IF(ABS(Q73-(T73+SUM(AB73:AM73)+AS73+AU73))&gt;P_Tol,1,0),1))</f>
        <v/>
      </c>
      <c r="BL73" s="124" t="str">
        <f>IF($B73="","",IFERROR(IF(ABS(AA73-(Q73-Z73))&gt;P_Tol,1,0),1))</f>
        <v/>
      </c>
      <c r="BM73" s="124" t="str">
        <f>IF($B73="","",IFERROR(IF(ABS(Z73-(T73+W73))&gt;P_Tol,1,0),1))</f>
        <v/>
      </c>
      <c r="BN73" s="124" t="str">
        <f>IF($B73="","",IFERROR(IF(ABS(W73-BI73)&gt;P_Tol,1,0),1))</f>
        <v/>
      </c>
      <c r="BO73" s="124" t="str">
        <f>IF($B73="","",IFERROR(IF(OR(ABS(R73+S73-T73)&gt;P_Tol,ABS(U73+V73-W73)&gt;P_Tol,ABS(X73+Y73-Z73)&gt;P_Tol),1,0),1))</f>
        <v/>
      </c>
      <c r="BP73" s="124" t="str">
        <f>IF($B73="","",IFERROR(IF(OR(ABS(AR73-SUM(AB73:AM73))&gt;P_Tol,ABS(AS73-(AN73+AO73+AP73+AQ73))&gt;P_Tol),1,0),1))</f>
        <v/>
      </c>
      <c r="BQ73" s="124" t="str">
        <f>IF($B73="","",IFERROR(IF(ABS(AT73)+ABS(AV73)+ABS(AW73)+ABS(AX73)+ABS(AY73)+ABS(AZ73)+ABS(BA73)+ABS(BB73)&gt;0,1,0),1))</f>
        <v/>
      </c>
      <c r="BR73" s="124" t="str">
        <f>IF($B73="","",COUNTIF(STG_ZPMW03!$B$6:$B$505,B73))</f>
        <v/>
      </c>
      <c r="BS73" s="124" t="str">
        <f>IF($B73="","",COUNTIF($B$6:$B$505,B73))</f>
        <v/>
      </c>
      <c r="BT73" s="124" t="str">
        <f>IF($B73="","",IF(BR73=0,0,IF(INDEX(STG_ZPMW03!$I$6:$I$505,MATCH(B73,STG_ZPMW03!$B$6:$B$505,0))=J73&amp;"",0,1)))</f>
        <v/>
      </c>
      <c r="BU73" s="124" t="str">
        <f>IF($B73="","",IFERROR(IF(ABS(INDEX(Mapping!$D$5:$D$104,MATCH(B73,Mapping!$A$5:$A$104,0))-Q73)&gt;P_Tol,1,0),0))</f>
        <v/>
      </c>
      <c r="BV73" s="124" t="str">
        <f>IF($B73="","",IFERROR(IF(AND(INDEX(Mapping!$G$5:$G$104,MATCH(B73,Mapping!$A$5:$A$104,0))="Nee",ABS(Q73)+ABS(Z73)+ABS(AR73)&gt;0),1,0),0))</f>
        <v/>
      </c>
      <c r="BW73" s="124" t="str">
        <f>IF($B73="","",IF(COUNTIF(Mapping!$A$5:$A$104,B73)&gt;0,1,0))</f>
        <v/>
      </c>
      <c r="BX73" s="124" t="str">
        <f>IF($B73="","",IF(BR73=0,COUNTIF($BR$6:BR73,0),""))</f>
        <v/>
      </c>
    </row>
    <row r="74">
      <c r="A74" s="15" t="n">
        <v>70</v>
      </c>
      <c r="B74" t="str">
        <f>IF(B$3=0,"",IF(INDEX(SRC_Woningetalage!$A$1:$ZZ$501,$A74,B$3)&amp;""="","",INDEX(SRC_Woningetalage!$A$1:$ZZ$501,$A74,B$3)&amp;""))</f>
        <v/>
      </c>
      <c r="C74" t="str">
        <f>IF($B74="","",IF(C$3=0,"n.b.",INDEX(SRC_Woningetalage!$A$1:$ZZ$501,$A74,C$3)))</f>
        <v/>
      </c>
      <c r="D74" t="str">
        <f>IF($B74="","",IF(D$3=0,"n.b.",INDEX(SRC_Woningetalage!$A$1:$ZZ$501,$A74,D$3)))</f>
        <v/>
      </c>
      <c r="E74" t="str">
        <f>IF($B74="","",IF(E$3=0,"n.b.",INDEX(SRC_Woningetalage!$A$1:$ZZ$501,$A74,E$3)))</f>
        <v/>
      </c>
      <c r="F74" t="str">
        <f>IF($B74="","",IF(F$3=0,"n.b.",INDEX(SRC_Woningetalage!$A$1:$ZZ$501,$A74,F$3)))</f>
        <v/>
      </c>
      <c r="G74" t="str">
        <f>IF($B74="","",IF(G$3=0,"n.b.",INDEX(SRC_Woningetalage!$A$1:$ZZ$501,$A74,G$3)))</f>
        <v/>
      </c>
      <c r="H74" t="str">
        <f>IF($B74="","",IF(H$3=0,"n.b.",INDEX(SRC_Woningetalage!$A$1:$ZZ$501,$A74,H$3)))</f>
        <v/>
      </c>
      <c r="I74" t="str">
        <f>IF($B74="","",IF(I$3=0,"n.b.",INDEX(SRC_Woningetalage!$A$1:$ZZ$501,$A74,I$3)))</f>
        <v/>
      </c>
      <c r="J74" t="str">
        <f>IF($B74="","",IF(J$3=0,"n.b.",INDEX(SRC_Woningetalage!$A$1:$ZZ$501,$A74,J$3)))</f>
        <v/>
      </c>
      <c r="K74" t="str">
        <f>IF($B74="","",IF(K$3=0,"n.b.",INDEX(SRC_Woningetalage!$A$1:$ZZ$501,$A74,K$3)))</f>
        <v/>
      </c>
      <c r="L74" t="str">
        <f>IF($B74="","",IF(L$3=0,"n.b.",INDEX(SRC_Woningetalage!$A$1:$ZZ$501,$A74,L$3)))</f>
        <v/>
      </c>
      <c r="M74" t="str">
        <f>IF($B74="","",IF(M$3=0,"n.b.",INDEX(SRC_Woningetalage!$A$1:$ZZ$501,$A74,M$3)))</f>
        <v/>
      </c>
      <c r="N74" t="str">
        <f>IF($B74="","",IF(N$3=0,"n.b.",INDEX(SRC_Woningetalage!$A$1:$ZZ$501,$A74,N$3)))</f>
        <v/>
      </c>
      <c r="O74" t="str">
        <f>IF($B74="","",IF(O$3=0,"n.b.",INDEX(SRC_Woningetalage!$A$1:$ZZ$501,$A74,O$3)))</f>
        <v/>
      </c>
      <c r="P74" t="str">
        <f>IF($B74="","",IF(P$3=0,"n.b.",INDEX(SRC_Woningetalage!$A$1:$ZZ$501,$A74,P$3)))</f>
        <v/>
      </c>
      <c r="Q74" s="124" t="str">
        <f>IF($B74="","",IF(Q$3=0,"n.b.",INDEX(SRC_Woningetalage!$A$1:$ZZ$501,$A74,Q$3)))</f>
        <v/>
      </c>
      <c r="R74" s="124" t="str">
        <f>IF($B74="","",IF(R$3=0,"n.b.",INDEX(SRC_Woningetalage!$A$1:$ZZ$501,$A74,R$3)))</f>
        <v/>
      </c>
      <c r="S74" s="124" t="str">
        <f>IF($B74="","",IF(S$3=0,"n.b.",INDEX(SRC_Woningetalage!$A$1:$ZZ$501,$A74,S$3)))</f>
        <v/>
      </c>
      <c r="T74" s="124" t="str">
        <f>IF($B74="","",IF(T$3=0,"n.b.",INDEX(SRC_Woningetalage!$A$1:$ZZ$501,$A74,T$3)))</f>
        <v/>
      </c>
      <c r="U74" s="124" t="str">
        <f>IF($B74="","",IF(U$3=0,"n.b.",INDEX(SRC_Woningetalage!$A$1:$ZZ$501,$A74,U$3)))</f>
        <v/>
      </c>
      <c r="V74" s="124" t="str">
        <f>IF($B74="","",IF(V$3=0,"n.b.",INDEX(SRC_Woningetalage!$A$1:$ZZ$501,$A74,V$3)))</f>
        <v/>
      </c>
      <c r="W74" s="124" t="str">
        <f>IF($B74="","",IF(W$3=0,"n.b.",INDEX(SRC_Woningetalage!$A$1:$ZZ$501,$A74,W$3)))</f>
        <v/>
      </c>
      <c r="X74" s="124" t="str">
        <f>IF($B74="","",IF(X$3=0,"n.b.",INDEX(SRC_Woningetalage!$A$1:$ZZ$501,$A74,X$3)))</f>
        <v/>
      </c>
      <c r="Y74" s="124" t="str">
        <f>IF($B74="","",IF(Y$3=0,"n.b.",INDEX(SRC_Woningetalage!$A$1:$ZZ$501,$A74,Y$3)))</f>
        <v/>
      </c>
      <c r="Z74" s="124" t="str">
        <f>IF($B74="","",IF(Z$3=0,"n.b.",INDEX(SRC_Woningetalage!$A$1:$ZZ$501,$A74,Z$3)))</f>
        <v/>
      </c>
      <c r="AA74" s="124" t="str">
        <f>IF($B74="","",IF(AA$3=0,"n.b.",INDEX(SRC_Woningetalage!$A$1:$ZZ$501,$A74,AA$3)))</f>
        <v/>
      </c>
      <c r="AB74" s="124" t="str">
        <f>IF($B74="","",IF(AB$3=0,"n.b.",INDEX(SRC_Woningetalage!$A$1:$ZZ$501,$A74,AB$3)))</f>
        <v/>
      </c>
      <c r="AC74" s="124" t="str">
        <f>IF($B74="","",IF(AC$3=0,"n.b.",INDEX(SRC_Woningetalage!$A$1:$ZZ$501,$A74,AC$3)))</f>
        <v/>
      </c>
      <c r="AD74" s="124" t="str">
        <f>IF($B74="","",IF(AD$3=0,"n.b.",INDEX(SRC_Woningetalage!$A$1:$ZZ$501,$A74,AD$3)))</f>
        <v/>
      </c>
      <c r="AE74" s="124" t="str">
        <f>IF($B74="","",IF(AE$3=0,"n.b.",INDEX(SRC_Woningetalage!$A$1:$ZZ$501,$A74,AE$3)))</f>
        <v/>
      </c>
      <c r="AF74" s="124" t="str">
        <f>IF($B74="","",IF(AF$3=0,"n.b.",INDEX(SRC_Woningetalage!$A$1:$ZZ$501,$A74,AF$3)))</f>
        <v/>
      </c>
      <c r="AG74" s="124" t="str">
        <f>IF($B74="","",IF(AG$3=0,"n.b.",INDEX(SRC_Woningetalage!$A$1:$ZZ$501,$A74,AG$3)))</f>
        <v/>
      </c>
      <c r="AH74" s="124" t="str">
        <f>IF($B74="","",IF(AH$3=0,"n.b.",INDEX(SRC_Woningetalage!$A$1:$ZZ$501,$A74,AH$3)))</f>
        <v/>
      </c>
      <c r="AI74" s="124" t="str">
        <f>IF($B74="","",IF(AI$3=0,"n.b.",INDEX(SRC_Woningetalage!$A$1:$ZZ$501,$A74,AI$3)))</f>
        <v/>
      </c>
      <c r="AJ74" s="124" t="str">
        <f>IF($B74="","",IF(AJ$3=0,"n.b.",INDEX(SRC_Woningetalage!$A$1:$ZZ$501,$A74,AJ$3)))</f>
        <v/>
      </c>
      <c r="AK74" s="124" t="str">
        <f>IF($B74="","",IF(AK$3=0,"n.b.",INDEX(SRC_Woningetalage!$A$1:$ZZ$501,$A74,AK$3)))</f>
        <v/>
      </c>
      <c r="AL74" s="124" t="str">
        <f>IF($B74="","",IF(AL$3=0,"n.b.",INDEX(SRC_Woningetalage!$A$1:$ZZ$501,$A74,AL$3)))</f>
        <v/>
      </c>
      <c r="AM74" s="124" t="str">
        <f>IF($B74="","",IF(AM$3=0,"n.b.",INDEX(SRC_Woningetalage!$A$1:$ZZ$501,$A74,AM$3)))</f>
        <v/>
      </c>
      <c r="AN74" s="124" t="str">
        <f>IF($B74="","",IF(AN$3=0,"n.b.",INDEX(SRC_Woningetalage!$A$1:$ZZ$501,$A74,AN$3)))</f>
        <v/>
      </c>
      <c r="AO74" s="124" t="str">
        <f>IF($B74="","",IF(AO$3=0,"n.b.",INDEX(SRC_Woningetalage!$A$1:$ZZ$501,$A74,AO$3)))</f>
        <v/>
      </c>
      <c r="AP74" s="124" t="str">
        <f>IF($B74="","",IF(AP$3=0,"n.b.",INDEX(SRC_Woningetalage!$A$1:$ZZ$501,$A74,AP$3)))</f>
        <v/>
      </c>
      <c r="AQ74" s="124" t="str">
        <f>IF($B74="","",IF(AQ$3=0,"n.b.",INDEX(SRC_Woningetalage!$A$1:$ZZ$501,$A74,AQ$3)))</f>
        <v/>
      </c>
      <c r="AR74" s="124" t="str">
        <f>IF($B74="","",IF(AR$3=0,"n.b.",INDEX(SRC_Woningetalage!$A$1:$ZZ$501,$A74,AR$3)))</f>
        <v/>
      </c>
      <c r="AS74" s="124" t="str">
        <f>IF($B74="","",IF(AS$3=0,"n.b.",INDEX(SRC_Woningetalage!$A$1:$ZZ$501,$A74,AS$3)))</f>
        <v/>
      </c>
      <c r="AT74" s="124" t="str">
        <f>IF($B74="","",IF(AT$3=0,"n.b.",INDEX(SRC_Woningetalage!$A$1:$ZZ$501,$A74,AT$3)))</f>
        <v/>
      </c>
      <c r="AU74" s="124" t="str">
        <f>IF($B74="","",IF(AU$3=0,"n.b.",INDEX(SRC_Woningetalage!$A$1:$ZZ$501,$A74,AU$3)))</f>
        <v/>
      </c>
      <c r="AV74" s="124" t="str">
        <f>IF($B74="","",IF(AV$3=0,"n.b.",INDEX(SRC_Woningetalage!$A$1:$ZZ$501,$A74,AV$3)))</f>
        <v/>
      </c>
      <c r="AW74" s="124" t="str">
        <f>IF($B74="","",IF(AW$3=0,"n.b.",INDEX(SRC_Woningetalage!$A$1:$ZZ$501,$A74,AW$3)))</f>
        <v/>
      </c>
      <c r="AX74" s="124" t="str">
        <f>IF($B74="","",IF(AX$3=0,"n.b.",INDEX(SRC_Woningetalage!$A$1:$ZZ$501,$A74,AX$3)))</f>
        <v/>
      </c>
      <c r="AY74" s="124" t="str">
        <f>IF($B74="","",IF(AY$3=0,"n.b.",INDEX(SRC_Woningetalage!$A$1:$ZZ$501,$A74,AY$3)))</f>
        <v/>
      </c>
      <c r="AZ74" s="124" t="str">
        <f>IF($B74="","",IF(AZ$3=0,"n.b.",INDEX(SRC_Woningetalage!$A$1:$ZZ$501,$A74,AZ$3)))</f>
        <v/>
      </c>
      <c r="BA74" s="124" t="str">
        <f>IF($B74="","",IF(BA$3=0,"n.b.",INDEX(SRC_Woningetalage!$A$1:$ZZ$501,$A74,BA$3)))</f>
        <v/>
      </c>
      <c r="BB74" s="124" t="str">
        <f>IF($B74="","",IF(BB$3=0,"n.b.",INDEX(SRC_Woningetalage!$A$1:$ZZ$501,$A74,BB$3)))</f>
        <v/>
      </c>
      <c r="BC74" s="124" t="str">
        <f>IF($B74="","",IFERROR(_xlfn.NUMBERVALUE(E74&amp;"",",","."),"n.b."))</f>
        <v/>
      </c>
      <c r="BD74" s="124" t="str">
        <f>IF($B74="","",IFERROR(_xlfn.NUMBERVALUE(M74&amp;"",",","."),"n.b."))</f>
        <v/>
      </c>
      <c r="BE74" s="124" t="str">
        <f>IF($B74="","",IFERROR(AB74+AC74+AD74,"n.b."))</f>
        <v/>
      </c>
      <c r="BF74" s="124" t="str">
        <f>IF($B74="","",IFERROR(AE74+AF74+AG74,"n.b."))</f>
        <v/>
      </c>
      <c r="BG74" s="124" t="str">
        <f>IF($B74="","",IFERROR(AH74+AI74+AJ74,"n.b."))</f>
        <v/>
      </c>
      <c r="BH74" s="124" t="str">
        <f>IF($B74="","",IFERROR(AK74+AL74+AM74,"n.b."))</f>
        <v/>
      </c>
      <c r="BI74" s="124" t="str">
        <f>IF($B74="","",IFERROR(SUMIF($AB$5:$AM$5,"&lt;="&amp;P_PeilMaand,AB74:AM74),"n.b."))</f>
        <v/>
      </c>
      <c r="BJ74" s="124" t="str">
        <f>IF($B74="","",IFERROR(SUM(AB74:AM74)-BI74,"n.b."))</f>
        <v/>
      </c>
      <c r="BK74" s="124" t="str">
        <f>IF($B74="","",IFERROR(IF(ABS(Q74-(T74+SUM(AB74:AM74)+AS74+AU74))&gt;P_Tol,1,0),1))</f>
        <v/>
      </c>
      <c r="BL74" s="124" t="str">
        <f>IF($B74="","",IFERROR(IF(ABS(AA74-(Q74-Z74))&gt;P_Tol,1,0),1))</f>
        <v/>
      </c>
      <c r="BM74" s="124" t="str">
        <f>IF($B74="","",IFERROR(IF(ABS(Z74-(T74+W74))&gt;P_Tol,1,0),1))</f>
        <v/>
      </c>
      <c r="BN74" s="124" t="str">
        <f>IF($B74="","",IFERROR(IF(ABS(W74-BI74)&gt;P_Tol,1,0),1))</f>
        <v/>
      </c>
      <c r="BO74" s="124" t="str">
        <f>IF($B74="","",IFERROR(IF(OR(ABS(R74+S74-T74)&gt;P_Tol,ABS(U74+V74-W74)&gt;P_Tol,ABS(X74+Y74-Z74)&gt;P_Tol),1,0),1))</f>
        <v/>
      </c>
      <c r="BP74" s="124" t="str">
        <f>IF($B74="","",IFERROR(IF(OR(ABS(AR74-SUM(AB74:AM74))&gt;P_Tol,ABS(AS74-(AN74+AO74+AP74+AQ74))&gt;P_Tol),1,0),1))</f>
        <v/>
      </c>
      <c r="BQ74" s="124" t="str">
        <f>IF($B74="","",IFERROR(IF(ABS(AT74)+ABS(AV74)+ABS(AW74)+ABS(AX74)+ABS(AY74)+ABS(AZ74)+ABS(BA74)+ABS(BB74)&gt;0,1,0),1))</f>
        <v/>
      </c>
      <c r="BR74" s="124" t="str">
        <f>IF($B74="","",COUNTIF(STG_ZPMW03!$B$6:$B$505,B74))</f>
        <v/>
      </c>
      <c r="BS74" s="124" t="str">
        <f>IF($B74="","",COUNTIF($B$6:$B$505,B74))</f>
        <v/>
      </c>
      <c r="BT74" s="124" t="str">
        <f>IF($B74="","",IF(BR74=0,0,IF(INDEX(STG_ZPMW03!$I$6:$I$505,MATCH(B74,STG_ZPMW03!$B$6:$B$505,0))=J74&amp;"",0,1)))</f>
        <v/>
      </c>
      <c r="BU74" s="124" t="str">
        <f>IF($B74="","",IFERROR(IF(ABS(INDEX(Mapping!$D$5:$D$104,MATCH(B74,Mapping!$A$5:$A$104,0))-Q74)&gt;P_Tol,1,0),0))</f>
        <v/>
      </c>
      <c r="BV74" s="124" t="str">
        <f>IF($B74="","",IFERROR(IF(AND(INDEX(Mapping!$G$5:$G$104,MATCH(B74,Mapping!$A$5:$A$104,0))="Nee",ABS(Q74)+ABS(Z74)+ABS(AR74)&gt;0),1,0),0))</f>
        <v/>
      </c>
      <c r="BW74" s="124" t="str">
        <f>IF($B74="","",IF(COUNTIF(Mapping!$A$5:$A$104,B74)&gt;0,1,0))</f>
        <v/>
      </c>
      <c r="BX74" s="124" t="str">
        <f>IF($B74="","",IF(BR74=0,COUNTIF($BR$6:BR74,0),""))</f>
        <v/>
      </c>
    </row>
    <row r="75">
      <c r="A75" s="15" t="n">
        <v>71</v>
      </c>
      <c r="B75" t="str">
        <f>IF(B$3=0,"",IF(INDEX(SRC_Woningetalage!$A$1:$ZZ$501,$A75,B$3)&amp;""="","",INDEX(SRC_Woningetalage!$A$1:$ZZ$501,$A75,B$3)&amp;""))</f>
        <v/>
      </c>
      <c r="C75" t="str">
        <f>IF($B75="","",IF(C$3=0,"n.b.",INDEX(SRC_Woningetalage!$A$1:$ZZ$501,$A75,C$3)))</f>
        <v/>
      </c>
      <c r="D75" t="str">
        <f>IF($B75="","",IF(D$3=0,"n.b.",INDEX(SRC_Woningetalage!$A$1:$ZZ$501,$A75,D$3)))</f>
        <v/>
      </c>
      <c r="E75" t="str">
        <f>IF($B75="","",IF(E$3=0,"n.b.",INDEX(SRC_Woningetalage!$A$1:$ZZ$501,$A75,E$3)))</f>
        <v/>
      </c>
      <c r="F75" t="str">
        <f>IF($B75="","",IF(F$3=0,"n.b.",INDEX(SRC_Woningetalage!$A$1:$ZZ$501,$A75,F$3)))</f>
        <v/>
      </c>
      <c r="G75" t="str">
        <f>IF($B75="","",IF(G$3=0,"n.b.",INDEX(SRC_Woningetalage!$A$1:$ZZ$501,$A75,G$3)))</f>
        <v/>
      </c>
      <c r="H75" t="str">
        <f>IF($B75="","",IF(H$3=0,"n.b.",INDEX(SRC_Woningetalage!$A$1:$ZZ$501,$A75,H$3)))</f>
        <v/>
      </c>
      <c r="I75" t="str">
        <f>IF($B75="","",IF(I$3=0,"n.b.",INDEX(SRC_Woningetalage!$A$1:$ZZ$501,$A75,I$3)))</f>
        <v/>
      </c>
      <c r="J75" t="str">
        <f>IF($B75="","",IF(J$3=0,"n.b.",INDEX(SRC_Woningetalage!$A$1:$ZZ$501,$A75,J$3)))</f>
        <v/>
      </c>
      <c r="K75" t="str">
        <f>IF($B75="","",IF(K$3=0,"n.b.",INDEX(SRC_Woningetalage!$A$1:$ZZ$501,$A75,K$3)))</f>
        <v/>
      </c>
      <c r="L75" t="str">
        <f>IF($B75="","",IF(L$3=0,"n.b.",INDEX(SRC_Woningetalage!$A$1:$ZZ$501,$A75,L$3)))</f>
        <v/>
      </c>
      <c r="M75" t="str">
        <f>IF($B75="","",IF(M$3=0,"n.b.",INDEX(SRC_Woningetalage!$A$1:$ZZ$501,$A75,M$3)))</f>
        <v/>
      </c>
      <c r="N75" t="str">
        <f>IF($B75="","",IF(N$3=0,"n.b.",INDEX(SRC_Woningetalage!$A$1:$ZZ$501,$A75,N$3)))</f>
        <v/>
      </c>
      <c r="O75" t="str">
        <f>IF($B75="","",IF(O$3=0,"n.b.",INDEX(SRC_Woningetalage!$A$1:$ZZ$501,$A75,O$3)))</f>
        <v/>
      </c>
      <c r="P75" t="str">
        <f>IF($B75="","",IF(P$3=0,"n.b.",INDEX(SRC_Woningetalage!$A$1:$ZZ$501,$A75,P$3)))</f>
        <v/>
      </c>
      <c r="Q75" s="124" t="str">
        <f>IF($B75="","",IF(Q$3=0,"n.b.",INDEX(SRC_Woningetalage!$A$1:$ZZ$501,$A75,Q$3)))</f>
        <v/>
      </c>
      <c r="R75" s="124" t="str">
        <f>IF($B75="","",IF(R$3=0,"n.b.",INDEX(SRC_Woningetalage!$A$1:$ZZ$501,$A75,R$3)))</f>
        <v/>
      </c>
      <c r="S75" s="124" t="str">
        <f>IF($B75="","",IF(S$3=0,"n.b.",INDEX(SRC_Woningetalage!$A$1:$ZZ$501,$A75,S$3)))</f>
        <v/>
      </c>
      <c r="T75" s="124" t="str">
        <f>IF($B75="","",IF(T$3=0,"n.b.",INDEX(SRC_Woningetalage!$A$1:$ZZ$501,$A75,T$3)))</f>
        <v/>
      </c>
      <c r="U75" s="124" t="str">
        <f>IF($B75="","",IF(U$3=0,"n.b.",INDEX(SRC_Woningetalage!$A$1:$ZZ$501,$A75,U$3)))</f>
        <v/>
      </c>
      <c r="V75" s="124" t="str">
        <f>IF($B75="","",IF(V$3=0,"n.b.",INDEX(SRC_Woningetalage!$A$1:$ZZ$501,$A75,V$3)))</f>
        <v/>
      </c>
      <c r="W75" s="124" t="str">
        <f>IF($B75="","",IF(W$3=0,"n.b.",INDEX(SRC_Woningetalage!$A$1:$ZZ$501,$A75,W$3)))</f>
        <v/>
      </c>
      <c r="X75" s="124" t="str">
        <f>IF($B75="","",IF(X$3=0,"n.b.",INDEX(SRC_Woningetalage!$A$1:$ZZ$501,$A75,X$3)))</f>
        <v/>
      </c>
      <c r="Y75" s="124" t="str">
        <f>IF($B75="","",IF(Y$3=0,"n.b.",INDEX(SRC_Woningetalage!$A$1:$ZZ$501,$A75,Y$3)))</f>
        <v/>
      </c>
      <c r="Z75" s="124" t="str">
        <f>IF($B75="","",IF(Z$3=0,"n.b.",INDEX(SRC_Woningetalage!$A$1:$ZZ$501,$A75,Z$3)))</f>
        <v/>
      </c>
      <c r="AA75" s="124" t="str">
        <f>IF($B75="","",IF(AA$3=0,"n.b.",INDEX(SRC_Woningetalage!$A$1:$ZZ$501,$A75,AA$3)))</f>
        <v/>
      </c>
      <c r="AB75" s="124" t="str">
        <f>IF($B75="","",IF(AB$3=0,"n.b.",INDEX(SRC_Woningetalage!$A$1:$ZZ$501,$A75,AB$3)))</f>
        <v/>
      </c>
      <c r="AC75" s="124" t="str">
        <f>IF($B75="","",IF(AC$3=0,"n.b.",INDEX(SRC_Woningetalage!$A$1:$ZZ$501,$A75,AC$3)))</f>
        <v/>
      </c>
      <c r="AD75" s="124" t="str">
        <f>IF($B75="","",IF(AD$3=0,"n.b.",INDEX(SRC_Woningetalage!$A$1:$ZZ$501,$A75,AD$3)))</f>
        <v/>
      </c>
      <c r="AE75" s="124" t="str">
        <f>IF($B75="","",IF(AE$3=0,"n.b.",INDEX(SRC_Woningetalage!$A$1:$ZZ$501,$A75,AE$3)))</f>
        <v/>
      </c>
      <c r="AF75" s="124" t="str">
        <f>IF($B75="","",IF(AF$3=0,"n.b.",INDEX(SRC_Woningetalage!$A$1:$ZZ$501,$A75,AF$3)))</f>
        <v/>
      </c>
      <c r="AG75" s="124" t="str">
        <f>IF($B75="","",IF(AG$3=0,"n.b.",INDEX(SRC_Woningetalage!$A$1:$ZZ$501,$A75,AG$3)))</f>
        <v/>
      </c>
      <c r="AH75" s="124" t="str">
        <f>IF($B75="","",IF(AH$3=0,"n.b.",INDEX(SRC_Woningetalage!$A$1:$ZZ$501,$A75,AH$3)))</f>
        <v/>
      </c>
      <c r="AI75" s="124" t="str">
        <f>IF($B75="","",IF(AI$3=0,"n.b.",INDEX(SRC_Woningetalage!$A$1:$ZZ$501,$A75,AI$3)))</f>
        <v/>
      </c>
      <c r="AJ75" s="124" t="str">
        <f>IF($B75="","",IF(AJ$3=0,"n.b.",INDEX(SRC_Woningetalage!$A$1:$ZZ$501,$A75,AJ$3)))</f>
        <v/>
      </c>
      <c r="AK75" s="124" t="str">
        <f>IF($B75="","",IF(AK$3=0,"n.b.",INDEX(SRC_Woningetalage!$A$1:$ZZ$501,$A75,AK$3)))</f>
        <v/>
      </c>
      <c r="AL75" s="124" t="str">
        <f>IF($B75="","",IF(AL$3=0,"n.b.",INDEX(SRC_Woningetalage!$A$1:$ZZ$501,$A75,AL$3)))</f>
        <v/>
      </c>
      <c r="AM75" s="124" t="str">
        <f>IF($B75="","",IF(AM$3=0,"n.b.",INDEX(SRC_Woningetalage!$A$1:$ZZ$501,$A75,AM$3)))</f>
        <v/>
      </c>
      <c r="AN75" s="124" t="str">
        <f>IF($B75="","",IF(AN$3=0,"n.b.",INDEX(SRC_Woningetalage!$A$1:$ZZ$501,$A75,AN$3)))</f>
        <v/>
      </c>
      <c r="AO75" s="124" t="str">
        <f>IF($B75="","",IF(AO$3=0,"n.b.",INDEX(SRC_Woningetalage!$A$1:$ZZ$501,$A75,AO$3)))</f>
        <v/>
      </c>
      <c r="AP75" s="124" t="str">
        <f>IF($B75="","",IF(AP$3=0,"n.b.",INDEX(SRC_Woningetalage!$A$1:$ZZ$501,$A75,AP$3)))</f>
        <v/>
      </c>
      <c r="AQ75" s="124" t="str">
        <f>IF($B75="","",IF(AQ$3=0,"n.b.",INDEX(SRC_Woningetalage!$A$1:$ZZ$501,$A75,AQ$3)))</f>
        <v/>
      </c>
      <c r="AR75" s="124" t="str">
        <f>IF($B75="","",IF(AR$3=0,"n.b.",INDEX(SRC_Woningetalage!$A$1:$ZZ$501,$A75,AR$3)))</f>
        <v/>
      </c>
      <c r="AS75" s="124" t="str">
        <f>IF($B75="","",IF(AS$3=0,"n.b.",INDEX(SRC_Woningetalage!$A$1:$ZZ$501,$A75,AS$3)))</f>
        <v/>
      </c>
      <c r="AT75" s="124" t="str">
        <f>IF($B75="","",IF(AT$3=0,"n.b.",INDEX(SRC_Woningetalage!$A$1:$ZZ$501,$A75,AT$3)))</f>
        <v/>
      </c>
      <c r="AU75" s="124" t="str">
        <f>IF($B75="","",IF(AU$3=0,"n.b.",INDEX(SRC_Woningetalage!$A$1:$ZZ$501,$A75,AU$3)))</f>
        <v/>
      </c>
      <c r="AV75" s="124" t="str">
        <f>IF($B75="","",IF(AV$3=0,"n.b.",INDEX(SRC_Woningetalage!$A$1:$ZZ$501,$A75,AV$3)))</f>
        <v/>
      </c>
      <c r="AW75" s="124" t="str">
        <f>IF($B75="","",IF(AW$3=0,"n.b.",INDEX(SRC_Woningetalage!$A$1:$ZZ$501,$A75,AW$3)))</f>
        <v/>
      </c>
      <c r="AX75" s="124" t="str">
        <f>IF($B75="","",IF(AX$3=0,"n.b.",INDEX(SRC_Woningetalage!$A$1:$ZZ$501,$A75,AX$3)))</f>
        <v/>
      </c>
      <c r="AY75" s="124" t="str">
        <f>IF($B75="","",IF(AY$3=0,"n.b.",INDEX(SRC_Woningetalage!$A$1:$ZZ$501,$A75,AY$3)))</f>
        <v/>
      </c>
      <c r="AZ75" s="124" t="str">
        <f>IF($B75="","",IF(AZ$3=0,"n.b.",INDEX(SRC_Woningetalage!$A$1:$ZZ$501,$A75,AZ$3)))</f>
        <v/>
      </c>
      <c r="BA75" s="124" t="str">
        <f>IF($B75="","",IF(BA$3=0,"n.b.",INDEX(SRC_Woningetalage!$A$1:$ZZ$501,$A75,BA$3)))</f>
        <v/>
      </c>
      <c r="BB75" s="124" t="str">
        <f>IF($B75="","",IF(BB$3=0,"n.b.",INDEX(SRC_Woningetalage!$A$1:$ZZ$501,$A75,BB$3)))</f>
        <v/>
      </c>
      <c r="BC75" s="124" t="str">
        <f>IF($B75="","",IFERROR(_xlfn.NUMBERVALUE(E75&amp;"",",","."),"n.b."))</f>
        <v/>
      </c>
      <c r="BD75" s="124" t="str">
        <f>IF($B75="","",IFERROR(_xlfn.NUMBERVALUE(M75&amp;"",",","."),"n.b."))</f>
        <v/>
      </c>
      <c r="BE75" s="124" t="str">
        <f>IF($B75="","",IFERROR(AB75+AC75+AD75,"n.b."))</f>
        <v/>
      </c>
      <c r="BF75" s="124" t="str">
        <f>IF($B75="","",IFERROR(AE75+AF75+AG75,"n.b."))</f>
        <v/>
      </c>
      <c r="BG75" s="124" t="str">
        <f>IF($B75="","",IFERROR(AH75+AI75+AJ75,"n.b."))</f>
        <v/>
      </c>
      <c r="BH75" s="124" t="str">
        <f>IF($B75="","",IFERROR(AK75+AL75+AM75,"n.b."))</f>
        <v/>
      </c>
      <c r="BI75" s="124" t="str">
        <f>IF($B75="","",IFERROR(SUMIF($AB$5:$AM$5,"&lt;="&amp;P_PeilMaand,AB75:AM75),"n.b."))</f>
        <v/>
      </c>
      <c r="BJ75" s="124" t="str">
        <f>IF($B75="","",IFERROR(SUM(AB75:AM75)-BI75,"n.b."))</f>
        <v/>
      </c>
      <c r="BK75" s="124" t="str">
        <f>IF($B75="","",IFERROR(IF(ABS(Q75-(T75+SUM(AB75:AM75)+AS75+AU75))&gt;P_Tol,1,0),1))</f>
        <v/>
      </c>
      <c r="BL75" s="124" t="str">
        <f>IF($B75="","",IFERROR(IF(ABS(AA75-(Q75-Z75))&gt;P_Tol,1,0),1))</f>
        <v/>
      </c>
      <c r="BM75" s="124" t="str">
        <f>IF($B75="","",IFERROR(IF(ABS(Z75-(T75+W75))&gt;P_Tol,1,0),1))</f>
        <v/>
      </c>
      <c r="BN75" s="124" t="str">
        <f>IF($B75="","",IFERROR(IF(ABS(W75-BI75)&gt;P_Tol,1,0),1))</f>
        <v/>
      </c>
      <c r="BO75" s="124" t="str">
        <f>IF($B75="","",IFERROR(IF(OR(ABS(R75+S75-T75)&gt;P_Tol,ABS(U75+V75-W75)&gt;P_Tol,ABS(X75+Y75-Z75)&gt;P_Tol),1,0),1))</f>
        <v/>
      </c>
      <c r="BP75" s="124" t="str">
        <f>IF($B75="","",IFERROR(IF(OR(ABS(AR75-SUM(AB75:AM75))&gt;P_Tol,ABS(AS75-(AN75+AO75+AP75+AQ75))&gt;P_Tol),1,0),1))</f>
        <v/>
      </c>
      <c r="BQ75" s="124" t="str">
        <f>IF($B75="","",IFERROR(IF(ABS(AT75)+ABS(AV75)+ABS(AW75)+ABS(AX75)+ABS(AY75)+ABS(AZ75)+ABS(BA75)+ABS(BB75)&gt;0,1,0),1))</f>
        <v/>
      </c>
      <c r="BR75" s="124" t="str">
        <f>IF($B75="","",COUNTIF(STG_ZPMW03!$B$6:$B$505,B75))</f>
        <v/>
      </c>
      <c r="BS75" s="124" t="str">
        <f>IF($B75="","",COUNTIF($B$6:$B$505,B75))</f>
        <v/>
      </c>
      <c r="BT75" s="124" t="str">
        <f>IF($B75="","",IF(BR75=0,0,IF(INDEX(STG_ZPMW03!$I$6:$I$505,MATCH(B75,STG_ZPMW03!$B$6:$B$505,0))=J75&amp;"",0,1)))</f>
        <v/>
      </c>
      <c r="BU75" s="124" t="str">
        <f>IF($B75="","",IFERROR(IF(ABS(INDEX(Mapping!$D$5:$D$104,MATCH(B75,Mapping!$A$5:$A$104,0))-Q75)&gt;P_Tol,1,0),0))</f>
        <v/>
      </c>
      <c r="BV75" s="124" t="str">
        <f>IF($B75="","",IFERROR(IF(AND(INDEX(Mapping!$G$5:$G$104,MATCH(B75,Mapping!$A$5:$A$104,0))="Nee",ABS(Q75)+ABS(Z75)+ABS(AR75)&gt;0),1,0),0))</f>
        <v/>
      </c>
      <c r="BW75" s="124" t="str">
        <f>IF($B75="","",IF(COUNTIF(Mapping!$A$5:$A$104,B75)&gt;0,1,0))</f>
        <v/>
      </c>
      <c r="BX75" s="124" t="str">
        <f>IF($B75="","",IF(BR75=0,COUNTIF($BR$6:BR75,0),""))</f>
        <v/>
      </c>
    </row>
    <row r="76">
      <c r="A76" s="15" t="n">
        <v>72</v>
      </c>
      <c r="B76" t="str">
        <f>IF(B$3=0,"",IF(INDEX(SRC_Woningetalage!$A$1:$ZZ$501,$A76,B$3)&amp;""="","",INDEX(SRC_Woningetalage!$A$1:$ZZ$501,$A76,B$3)&amp;""))</f>
        <v/>
      </c>
      <c r="C76" t="str">
        <f>IF($B76="","",IF(C$3=0,"n.b.",INDEX(SRC_Woningetalage!$A$1:$ZZ$501,$A76,C$3)))</f>
        <v/>
      </c>
      <c r="D76" t="str">
        <f>IF($B76="","",IF(D$3=0,"n.b.",INDEX(SRC_Woningetalage!$A$1:$ZZ$501,$A76,D$3)))</f>
        <v/>
      </c>
      <c r="E76" t="str">
        <f>IF($B76="","",IF(E$3=0,"n.b.",INDEX(SRC_Woningetalage!$A$1:$ZZ$501,$A76,E$3)))</f>
        <v/>
      </c>
      <c r="F76" t="str">
        <f>IF($B76="","",IF(F$3=0,"n.b.",INDEX(SRC_Woningetalage!$A$1:$ZZ$501,$A76,F$3)))</f>
        <v/>
      </c>
      <c r="G76" t="str">
        <f>IF($B76="","",IF(G$3=0,"n.b.",INDEX(SRC_Woningetalage!$A$1:$ZZ$501,$A76,G$3)))</f>
        <v/>
      </c>
      <c r="H76" t="str">
        <f>IF($B76="","",IF(H$3=0,"n.b.",INDEX(SRC_Woningetalage!$A$1:$ZZ$501,$A76,H$3)))</f>
        <v/>
      </c>
      <c r="I76" t="str">
        <f>IF($B76="","",IF(I$3=0,"n.b.",INDEX(SRC_Woningetalage!$A$1:$ZZ$501,$A76,I$3)))</f>
        <v/>
      </c>
      <c r="J76" t="str">
        <f>IF($B76="","",IF(J$3=0,"n.b.",INDEX(SRC_Woningetalage!$A$1:$ZZ$501,$A76,J$3)))</f>
        <v/>
      </c>
      <c r="K76" t="str">
        <f>IF($B76="","",IF(K$3=0,"n.b.",INDEX(SRC_Woningetalage!$A$1:$ZZ$501,$A76,K$3)))</f>
        <v/>
      </c>
      <c r="L76" t="str">
        <f>IF($B76="","",IF(L$3=0,"n.b.",INDEX(SRC_Woningetalage!$A$1:$ZZ$501,$A76,L$3)))</f>
        <v/>
      </c>
      <c r="M76" t="str">
        <f>IF($B76="","",IF(M$3=0,"n.b.",INDEX(SRC_Woningetalage!$A$1:$ZZ$501,$A76,M$3)))</f>
        <v/>
      </c>
      <c r="N76" t="str">
        <f>IF($B76="","",IF(N$3=0,"n.b.",INDEX(SRC_Woningetalage!$A$1:$ZZ$501,$A76,N$3)))</f>
        <v/>
      </c>
      <c r="O76" t="str">
        <f>IF($B76="","",IF(O$3=0,"n.b.",INDEX(SRC_Woningetalage!$A$1:$ZZ$501,$A76,O$3)))</f>
        <v/>
      </c>
      <c r="P76" t="str">
        <f>IF($B76="","",IF(P$3=0,"n.b.",INDEX(SRC_Woningetalage!$A$1:$ZZ$501,$A76,P$3)))</f>
        <v/>
      </c>
      <c r="Q76" s="124" t="str">
        <f>IF($B76="","",IF(Q$3=0,"n.b.",INDEX(SRC_Woningetalage!$A$1:$ZZ$501,$A76,Q$3)))</f>
        <v/>
      </c>
      <c r="R76" s="124" t="str">
        <f>IF($B76="","",IF(R$3=0,"n.b.",INDEX(SRC_Woningetalage!$A$1:$ZZ$501,$A76,R$3)))</f>
        <v/>
      </c>
      <c r="S76" s="124" t="str">
        <f>IF($B76="","",IF(S$3=0,"n.b.",INDEX(SRC_Woningetalage!$A$1:$ZZ$501,$A76,S$3)))</f>
        <v/>
      </c>
      <c r="T76" s="124" t="str">
        <f>IF($B76="","",IF(T$3=0,"n.b.",INDEX(SRC_Woningetalage!$A$1:$ZZ$501,$A76,T$3)))</f>
        <v/>
      </c>
      <c r="U76" s="124" t="str">
        <f>IF($B76="","",IF(U$3=0,"n.b.",INDEX(SRC_Woningetalage!$A$1:$ZZ$501,$A76,U$3)))</f>
        <v/>
      </c>
      <c r="V76" s="124" t="str">
        <f>IF($B76="","",IF(V$3=0,"n.b.",INDEX(SRC_Woningetalage!$A$1:$ZZ$501,$A76,V$3)))</f>
        <v/>
      </c>
      <c r="W76" s="124" t="str">
        <f>IF($B76="","",IF(W$3=0,"n.b.",INDEX(SRC_Woningetalage!$A$1:$ZZ$501,$A76,W$3)))</f>
        <v/>
      </c>
      <c r="X76" s="124" t="str">
        <f>IF($B76="","",IF(X$3=0,"n.b.",INDEX(SRC_Woningetalage!$A$1:$ZZ$501,$A76,X$3)))</f>
        <v/>
      </c>
      <c r="Y76" s="124" t="str">
        <f>IF($B76="","",IF(Y$3=0,"n.b.",INDEX(SRC_Woningetalage!$A$1:$ZZ$501,$A76,Y$3)))</f>
        <v/>
      </c>
      <c r="Z76" s="124" t="str">
        <f>IF($B76="","",IF(Z$3=0,"n.b.",INDEX(SRC_Woningetalage!$A$1:$ZZ$501,$A76,Z$3)))</f>
        <v/>
      </c>
      <c r="AA76" s="124" t="str">
        <f>IF($B76="","",IF(AA$3=0,"n.b.",INDEX(SRC_Woningetalage!$A$1:$ZZ$501,$A76,AA$3)))</f>
        <v/>
      </c>
      <c r="AB76" s="124" t="str">
        <f>IF($B76="","",IF(AB$3=0,"n.b.",INDEX(SRC_Woningetalage!$A$1:$ZZ$501,$A76,AB$3)))</f>
        <v/>
      </c>
      <c r="AC76" s="124" t="str">
        <f>IF($B76="","",IF(AC$3=0,"n.b.",INDEX(SRC_Woningetalage!$A$1:$ZZ$501,$A76,AC$3)))</f>
        <v/>
      </c>
      <c r="AD76" s="124" t="str">
        <f>IF($B76="","",IF(AD$3=0,"n.b.",INDEX(SRC_Woningetalage!$A$1:$ZZ$501,$A76,AD$3)))</f>
        <v/>
      </c>
      <c r="AE76" s="124" t="str">
        <f>IF($B76="","",IF(AE$3=0,"n.b.",INDEX(SRC_Woningetalage!$A$1:$ZZ$501,$A76,AE$3)))</f>
        <v/>
      </c>
      <c r="AF76" s="124" t="str">
        <f>IF($B76="","",IF(AF$3=0,"n.b.",INDEX(SRC_Woningetalage!$A$1:$ZZ$501,$A76,AF$3)))</f>
        <v/>
      </c>
      <c r="AG76" s="124" t="str">
        <f>IF($B76="","",IF(AG$3=0,"n.b.",INDEX(SRC_Woningetalage!$A$1:$ZZ$501,$A76,AG$3)))</f>
        <v/>
      </c>
      <c r="AH76" s="124" t="str">
        <f>IF($B76="","",IF(AH$3=0,"n.b.",INDEX(SRC_Woningetalage!$A$1:$ZZ$501,$A76,AH$3)))</f>
        <v/>
      </c>
      <c r="AI76" s="124" t="str">
        <f>IF($B76="","",IF(AI$3=0,"n.b.",INDEX(SRC_Woningetalage!$A$1:$ZZ$501,$A76,AI$3)))</f>
        <v/>
      </c>
      <c r="AJ76" s="124" t="str">
        <f>IF($B76="","",IF(AJ$3=0,"n.b.",INDEX(SRC_Woningetalage!$A$1:$ZZ$501,$A76,AJ$3)))</f>
        <v/>
      </c>
      <c r="AK76" s="124" t="str">
        <f>IF($B76="","",IF(AK$3=0,"n.b.",INDEX(SRC_Woningetalage!$A$1:$ZZ$501,$A76,AK$3)))</f>
        <v/>
      </c>
      <c r="AL76" s="124" t="str">
        <f>IF($B76="","",IF(AL$3=0,"n.b.",INDEX(SRC_Woningetalage!$A$1:$ZZ$501,$A76,AL$3)))</f>
        <v/>
      </c>
      <c r="AM76" s="124" t="str">
        <f>IF($B76="","",IF(AM$3=0,"n.b.",INDEX(SRC_Woningetalage!$A$1:$ZZ$501,$A76,AM$3)))</f>
        <v/>
      </c>
      <c r="AN76" s="124" t="str">
        <f>IF($B76="","",IF(AN$3=0,"n.b.",INDEX(SRC_Woningetalage!$A$1:$ZZ$501,$A76,AN$3)))</f>
        <v/>
      </c>
      <c r="AO76" s="124" t="str">
        <f>IF($B76="","",IF(AO$3=0,"n.b.",INDEX(SRC_Woningetalage!$A$1:$ZZ$501,$A76,AO$3)))</f>
        <v/>
      </c>
      <c r="AP76" s="124" t="str">
        <f>IF($B76="","",IF(AP$3=0,"n.b.",INDEX(SRC_Woningetalage!$A$1:$ZZ$501,$A76,AP$3)))</f>
        <v/>
      </c>
      <c r="AQ76" s="124" t="str">
        <f>IF($B76="","",IF(AQ$3=0,"n.b.",INDEX(SRC_Woningetalage!$A$1:$ZZ$501,$A76,AQ$3)))</f>
        <v/>
      </c>
      <c r="AR76" s="124" t="str">
        <f>IF($B76="","",IF(AR$3=0,"n.b.",INDEX(SRC_Woningetalage!$A$1:$ZZ$501,$A76,AR$3)))</f>
        <v/>
      </c>
      <c r="AS76" s="124" t="str">
        <f>IF($B76="","",IF(AS$3=0,"n.b.",INDEX(SRC_Woningetalage!$A$1:$ZZ$501,$A76,AS$3)))</f>
        <v/>
      </c>
      <c r="AT76" s="124" t="str">
        <f>IF($B76="","",IF(AT$3=0,"n.b.",INDEX(SRC_Woningetalage!$A$1:$ZZ$501,$A76,AT$3)))</f>
        <v/>
      </c>
      <c r="AU76" s="124" t="str">
        <f>IF($B76="","",IF(AU$3=0,"n.b.",INDEX(SRC_Woningetalage!$A$1:$ZZ$501,$A76,AU$3)))</f>
        <v/>
      </c>
      <c r="AV76" s="124" t="str">
        <f>IF($B76="","",IF(AV$3=0,"n.b.",INDEX(SRC_Woningetalage!$A$1:$ZZ$501,$A76,AV$3)))</f>
        <v/>
      </c>
      <c r="AW76" s="124" t="str">
        <f>IF($B76="","",IF(AW$3=0,"n.b.",INDEX(SRC_Woningetalage!$A$1:$ZZ$501,$A76,AW$3)))</f>
        <v/>
      </c>
      <c r="AX76" s="124" t="str">
        <f>IF($B76="","",IF(AX$3=0,"n.b.",INDEX(SRC_Woningetalage!$A$1:$ZZ$501,$A76,AX$3)))</f>
        <v/>
      </c>
      <c r="AY76" s="124" t="str">
        <f>IF($B76="","",IF(AY$3=0,"n.b.",INDEX(SRC_Woningetalage!$A$1:$ZZ$501,$A76,AY$3)))</f>
        <v/>
      </c>
      <c r="AZ76" s="124" t="str">
        <f>IF($B76="","",IF(AZ$3=0,"n.b.",INDEX(SRC_Woningetalage!$A$1:$ZZ$501,$A76,AZ$3)))</f>
        <v/>
      </c>
      <c r="BA76" s="124" t="str">
        <f>IF($B76="","",IF(BA$3=0,"n.b.",INDEX(SRC_Woningetalage!$A$1:$ZZ$501,$A76,BA$3)))</f>
        <v/>
      </c>
      <c r="BB76" s="124" t="str">
        <f>IF($B76="","",IF(BB$3=0,"n.b.",INDEX(SRC_Woningetalage!$A$1:$ZZ$501,$A76,BB$3)))</f>
        <v/>
      </c>
      <c r="BC76" s="124" t="str">
        <f>IF($B76="","",IFERROR(_xlfn.NUMBERVALUE(E76&amp;"",",","."),"n.b."))</f>
        <v/>
      </c>
      <c r="BD76" s="124" t="str">
        <f>IF($B76="","",IFERROR(_xlfn.NUMBERVALUE(M76&amp;"",",","."),"n.b."))</f>
        <v/>
      </c>
      <c r="BE76" s="124" t="str">
        <f>IF($B76="","",IFERROR(AB76+AC76+AD76,"n.b."))</f>
        <v/>
      </c>
      <c r="BF76" s="124" t="str">
        <f>IF($B76="","",IFERROR(AE76+AF76+AG76,"n.b."))</f>
        <v/>
      </c>
      <c r="BG76" s="124" t="str">
        <f>IF($B76="","",IFERROR(AH76+AI76+AJ76,"n.b."))</f>
        <v/>
      </c>
      <c r="BH76" s="124" t="str">
        <f>IF($B76="","",IFERROR(AK76+AL76+AM76,"n.b."))</f>
        <v/>
      </c>
      <c r="BI76" s="124" t="str">
        <f>IF($B76="","",IFERROR(SUMIF($AB$5:$AM$5,"&lt;="&amp;P_PeilMaand,AB76:AM76),"n.b."))</f>
        <v/>
      </c>
      <c r="BJ76" s="124" t="str">
        <f>IF($B76="","",IFERROR(SUM(AB76:AM76)-BI76,"n.b."))</f>
        <v/>
      </c>
      <c r="BK76" s="124" t="str">
        <f>IF($B76="","",IFERROR(IF(ABS(Q76-(T76+SUM(AB76:AM76)+AS76+AU76))&gt;P_Tol,1,0),1))</f>
        <v/>
      </c>
      <c r="BL76" s="124" t="str">
        <f>IF($B76="","",IFERROR(IF(ABS(AA76-(Q76-Z76))&gt;P_Tol,1,0),1))</f>
        <v/>
      </c>
      <c r="BM76" s="124" t="str">
        <f>IF($B76="","",IFERROR(IF(ABS(Z76-(T76+W76))&gt;P_Tol,1,0),1))</f>
        <v/>
      </c>
      <c r="BN76" s="124" t="str">
        <f>IF($B76="","",IFERROR(IF(ABS(W76-BI76)&gt;P_Tol,1,0),1))</f>
        <v/>
      </c>
      <c r="BO76" s="124" t="str">
        <f>IF($B76="","",IFERROR(IF(OR(ABS(R76+S76-T76)&gt;P_Tol,ABS(U76+V76-W76)&gt;P_Tol,ABS(X76+Y76-Z76)&gt;P_Tol),1,0),1))</f>
        <v/>
      </c>
      <c r="BP76" s="124" t="str">
        <f>IF($B76="","",IFERROR(IF(OR(ABS(AR76-SUM(AB76:AM76))&gt;P_Tol,ABS(AS76-(AN76+AO76+AP76+AQ76))&gt;P_Tol),1,0),1))</f>
        <v/>
      </c>
      <c r="BQ76" s="124" t="str">
        <f>IF($B76="","",IFERROR(IF(ABS(AT76)+ABS(AV76)+ABS(AW76)+ABS(AX76)+ABS(AY76)+ABS(AZ76)+ABS(BA76)+ABS(BB76)&gt;0,1,0),1))</f>
        <v/>
      </c>
      <c r="BR76" s="124" t="str">
        <f>IF($B76="","",COUNTIF(STG_ZPMW03!$B$6:$B$505,B76))</f>
        <v/>
      </c>
      <c r="BS76" s="124" t="str">
        <f>IF($B76="","",COUNTIF($B$6:$B$505,B76))</f>
        <v/>
      </c>
      <c r="BT76" s="124" t="str">
        <f>IF($B76="","",IF(BR76=0,0,IF(INDEX(STG_ZPMW03!$I$6:$I$505,MATCH(B76,STG_ZPMW03!$B$6:$B$505,0))=J76&amp;"",0,1)))</f>
        <v/>
      </c>
      <c r="BU76" s="124" t="str">
        <f>IF($B76="","",IFERROR(IF(ABS(INDEX(Mapping!$D$5:$D$104,MATCH(B76,Mapping!$A$5:$A$104,0))-Q76)&gt;P_Tol,1,0),0))</f>
        <v/>
      </c>
      <c r="BV76" s="124" t="str">
        <f>IF($B76="","",IFERROR(IF(AND(INDEX(Mapping!$G$5:$G$104,MATCH(B76,Mapping!$A$5:$A$104,0))="Nee",ABS(Q76)+ABS(Z76)+ABS(AR76)&gt;0),1,0),0))</f>
        <v/>
      </c>
      <c r="BW76" s="124" t="str">
        <f>IF($B76="","",IF(COUNTIF(Mapping!$A$5:$A$104,B76)&gt;0,1,0))</f>
        <v/>
      </c>
      <c r="BX76" s="124" t="str">
        <f>IF($B76="","",IF(BR76=0,COUNTIF($BR$6:BR76,0),""))</f>
        <v/>
      </c>
    </row>
    <row r="77">
      <c r="A77" s="15" t="n">
        <v>73</v>
      </c>
      <c r="B77" t="str">
        <f>IF(B$3=0,"",IF(INDEX(SRC_Woningetalage!$A$1:$ZZ$501,$A77,B$3)&amp;""="","",INDEX(SRC_Woningetalage!$A$1:$ZZ$501,$A77,B$3)&amp;""))</f>
        <v/>
      </c>
      <c r="C77" t="str">
        <f>IF($B77="","",IF(C$3=0,"n.b.",INDEX(SRC_Woningetalage!$A$1:$ZZ$501,$A77,C$3)))</f>
        <v/>
      </c>
      <c r="D77" t="str">
        <f>IF($B77="","",IF(D$3=0,"n.b.",INDEX(SRC_Woningetalage!$A$1:$ZZ$501,$A77,D$3)))</f>
        <v/>
      </c>
      <c r="E77" t="str">
        <f>IF($B77="","",IF(E$3=0,"n.b.",INDEX(SRC_Woningetalage!$A$1:$ZZ$501,$A77,E$3)))</f>
        <v/>
      </c>
      <c r="F77" t="str">
        <f>IF($B77="","",IF(F$3=0,"n.b.",INDEX(SRC_Woningetalage!$A$1:$ZZ$501,$A77,F$3)))</f>
        <v/>
      </c>
      <c r="G77" t="str">
        <f>IF($B77="","",IF(G$3=0,"n.b.",INDEX(SRC_Woningetalage!$A$1:$ZZ$501,$A77,G$3)))</f>
        <v/>
      </c>
      <c r="H77" t="str">
        <f>IF($B77="","",IF(H$3=0,"n.b.",INDEX(SRC_Woningetalage!$A$1:$ZZ$501,$A77,H$3)))</f>
        <v/>
      </c>
      <c r="I77" t="str">
        <f>IF($B77="","",IF(I$3=0,"n.b.",INDEX(SRC_Woningetalage!$A$1:$ZZ$501,$A77,I$3)))</f>
        <v/>
      </c>
      <c r="J77" t="str">
        <f>IF($B77="","",IF(J$3=0,"n.b.",INDEX(SRC_Woningetalage!$A$1:$ZZ$501,$A77,J$3)))</f>
        <v/>
      </c>
      <c r="K77" t="str">
        <f>IF($B77="","",IF(K$3=0,"n.b.",INDEX(SRC_Woningetalage!$A$1:$ZZ$501,$A77,K$3)))</f>
        <v/>
      </c>
      <c r="L77" t="str">
        <f>IF($B77="","",IF(L$3=0,"n.b.",INDEX(SRC_Woningetalage!$A$1:$ZZ$501,$A77,L$3)))</f>
        <v/>
      </c>
      <c r="M77" t="str">
        <f>IF($B77="","",IF(M$3=0,"n.b.",INDEX(SRC_Woningetalage!$A$1:$ZZ$501,$A77,M$3)))</f>
        <v/>
      </c>
      <c r="N77" t="str">
        <f>IF($B77="","",IF(N$3=0,"n.b.",INDEX(SRC_Woningetalage!$A$1:$ZZ$501,$A77,N$3)))</f>
        <v/>
      </c>
      <c r="O77" t="str">
        <f>IF($B77="","",IF(O$3=0,"n.b.",INDEX(SRC_Woningetalage!$A$1:$ZZ$501,$A77,O$3)))</f>
        <v/>
      </c>
      <c r="P77" t="str">
        <f>IF($B77="","",IF(P$3=0,"n.b.",INDEX(SRC_Woningetalage!$A$1:$ZZ$501,$A77,P$3)))</f>
        <v/>
      </c>
      <c r="Q77" s="124" t="str">
        <f>IF($B77="","",IF(Q$3=0,"n.b.",INDEX(SRC_Woningetalage!$A$1:$ZZ$501,$A77,Q$3)))</f>
        <v/>
      </c>
      <c r="R77" s="124" t="str">
        <f>IF($B77="","",IF(R$3=0,"n.b.",INDEX(SRC_Woningetalage!$A$1:$ZZ$501,$A77,R$3)))</f>
        <v/>
      </c>
      <c r="S77" s="124" t="str">
        <f>IF($B77="","",IF(S$3=0,"n.b.",INDEX(SRC_Woningetalage!$A$1:$ZZ$501,$A77,S$3)))</f>
        <v/>
      </c>
      <c r="T77" s="124" t="str">
        <f>IF($B77="","",IF(T$3=0,"n.b.",INDEX(SRC_Woningetalage!$A$1:$ZZ$501,$A77,T$3)))</f>
        <v/>
      </c>
      <c r="U77" s="124" t="str">
        <f>IF($B77="","",IF(U$3=0,"n.b.",INDEX(SRC_Woningetalage!$A$1:$ZZ$501,$A77,U$3)))</f>
        <v/>
      </c>
      <c r="V77" s="124" t="str">
        <f>IF($B77="","",IF(V$3=0,"n.b.",INDEX(SRC_Woningetalage!$A$1:$ZZ$501,$A77,V$3)))</f>
        <v/>
      </c>
      <c r="W77" s="124" t="str">
        <f>IF($B77="","",IF(W$3=0,"n.b.",INDEX(SRC_Woningetalage!$A$1:$ZZ$501,$A77,W$3)))</f>
        <v/>
      </c>
      <c r="X77" s="124" t="str">
        <f>IF($B77="","",IF(X$3=0,"n.b.",INDEX(SRC_Woningetalage!$A$1:$ZZ$501,$A77,X$3)))</f>
        <v/>
      </c>
      <c r="Y77" s="124" t="str">
        <f>IF($B77="","",IF(Y$3=0,"n.b.",INDEX(SRC_Woningetalage!$A$1:$ZZ$501,$A77,Y$3)))</f>
        <v/>
      </c>
      <c r="Z77" s="124" t="str">
        <f>IF($B77="","",IF(Z$3=0,"n.b.",INDEX(SRC_Woningetalage!$A$1:$ZZ$501,$A77,Z$3)))</f>
        <v/>
      </c>
      <c r="AA77" s="124" t="str">
        <f>IF($B77="","",IF(AA$3=0,"n.b.",INDEX(SRC_Woningetalage!$A$1:$ZZ$501,$A77,AA$3)))</f>
        <v/>
      </c>
      <c r="AB77" s="124" t="str">
        <f>IF($B77="","",IF(AB$3=0,"n.b.",INDEX(SRC_Woningetalage!$A$1:$ZZ$501,$A77,AB$3)))</f>
        <v/>
      </c>
      <c r="AC77" s="124" t="str">
        <f>IF($B77="","",IF(AC$3=0,"n.b.",INDEX(SRC_Woningetalage!$A$1:$ZZ$501,$A77,AC$3)))</f>
        <v/>
      </c>
      <c r="AD77" s="124" t="str">
        <f>IF($B77="","",IF(AD$3=0,"n.b.",INDEX(SRC_Woningetalage!$A$1:$ZZ$501,$A77,AD$3)))</f>
        <v/>
      </c>
      <c r="AE77" s="124" t="str">
        <f>IF($B77="","",IF(AE$3=0,"n.b.",INDEX(SRC_Woningetalage!$A$1:$ZZ$501,$A77,AE$3)))</f>
        <v/>
      </c>
      <c r="AF77" s="124" t="str">
        <f>IF($B77="","",IF(AF$3=0,"n.b.",INDEX(SRC_Woningetalage!$A$1:$ZZ$501,$A77,AF$3)))</f>
        <v/>
      </c>
      <c r="AG77" s="124" t="str">
        <f>IF($B77="","",IF(AG$3=0,"n.b.",INDEX(SRC_Woningetalage!$A$1:$ZZ$501,$A77,AG$3)))</f>
        <v/>
      </c>
      <c r="AH77" s="124" t="str">
        <f>IF($B77="","",IF(AH$3=0,"n.b.",INDEX(SRC_Woningetalage!$A$1:$ZZ$501,$A77,AH$3)))</f>
        <v/>
      </c>
      <c r="AI77" s="124" t="str">
        <f>IF($B77="","",IF(AI$3=0,"n.b.",INDEX(SRC_Woningetalage!$A$1:$ZZ$501,$A77,AI$3)))</f>
        <v/>
      </c>
      <c r="AJ77" s="124" t="str">
        <f>IF($B77="","",IF(AJ$3=0,"n.b.",INDEX(SRC_Woningetalage!$A$1:$ZZ$501,$A77,AJ$3)))</f>
        <v/>
      </c>
      <c r="AK77" s="124" t="str">
        <f>IF($B77="","",IF(AK$3=0,"n.b.",INDEX(SRC_Woningetalage!$A$1:$ZZ$501,$A77,AK$3)))</f>
        <v/>
      </c>
      <c r="AL77" s="124" t="str">
        <f>IF($B77="","",IF(AL$3=0,"n.b.",INDEX(SRC_Woningetalage!$A$1:$ZZ$501,$A77,AL$3)))</f>
        <v/>
      </c>
      <c r="AM77" s="124" t="str">
        <f>IF($B77="","",IF(AM$3=0,"n.b.",INDEX(SRC_Woningetalage!$A$1:$ZZ$501,$A77,AM$3)))</f>
        <v/>
      </c>
      <c r="AN77" s="124" t="str">
        <f>IF($B77="","",IF(AN$3=0,"n.b.",INDEX(SRC_Woningetalage!$A$1:$ZZ$501,$A77,AN$3)))</f>
        <v/>
      </c>
      <c r="AO77" s="124" t="str">
        <f>IF($B77="","",IF(AO$3=0,"n.b.",INDEX(SRC_Woningetalage!$A$1:$ZZ$501,$A77,AO$3)))</f>
        <v/>
      </c>
      <c r="AP77" s="124" t="str">
        <f>IF($B77="","",IF(AP$3=0,"n.b.",INDEX(SRC_Woningetalage!$A$1:$ZZ$501,$A77,AP$3)))</f>
        <v/>
      </c>
      <c r="AQ77" s="124" t="str">
        <f>IF($B77="","",IF(AQ$3=0,"n.b.",INDEX(SRC_Woningetalage!$A$1:$ZZ$501,$A77,AQ$3)))</f>
        <v/>
      </c>
      <c r="AR77" s="124" t="str">
        <f>IF($B77="","",IF(AR$3=0,"n.b.",INDEX(SRC_Woningetalage!$A$1:$ZZ$501,$A77,AR$3)))</f>
        <v/>
      </c>
      <c r="AS77" s="124" t="str">
        <f>IF($B77="","",IF(AS$3=0,"n.b.",INDEX(SRC_Woningetalage!$A$1:$ZZ$501,$A77,AS$3)))</f>
        <v/>
      </c>
      <c r="AT77" s="124" t="str">
        <f>IF($B77="","",IF(AT$3=0,"n.b.",INDEX(SRC_Woningetalage!$A$1:$ZZ$501,$A77,AT$3)))</f>
        <v/>
      </c>
      <c r="AU77" s="124" t="str">
        <f>IF($B77="","",IF(AU$3=0,"n.b.",INDEX(SRC_Woningetalage!$A$1:$ZZ$501,$A77,AU$3)))</f>
        <v/>
      </c>
      <c r="AV77" s="124" t="str">
        <f>IF($B77="","",IF(AV$3=0,"n.b.",INDEX(SRC_Woningetalage!$A$1:$ZZ$501,$A77,AV$3)))</f>
        <v/>
      </c>
      <c r="AW77" s="124" t="str">
        <f>IF($B77="","",IF(AW$3=0,"n.b.",INDEX(SRC_Woningetalage!$A$1:$ZZ$501,$A77,AW$3)))</f>
        <v/>
      </c>
      <c r="AX77" s="124" t="str">
        <f>IF($B77="","",IF(AX$3=0,"n.b.",INDEX(SRC_Woningetalage!$A$1:$ZZ$501,$A77,AX$3)))</f>
        <v/>
      </c>
      <c r="AY77" s="124" t="str">
        <f>IF($B77="","",IF(AY$3=0,"n.b.",INDEX(SRC_Woningetalage!$A$1:$ZZ$501,$A77,AY$3)))</f>
        <v/>
      </c>
      <c r="AZ77" s="124" t="str">
        <f>IF($B77="","",IF(AZ$3=0,"n.b.",INDEX(SRC_Woningetalage!$A$1:$ZZ$501,$A77,AZ$3)))</f>
        <v/>
      </c>
      <c r="BA77" s="124" t="str">
        <f>IF($B77="","",IF(BA$3=0,"n.b.",INDEX(SRC_Woningetalage!$A$1:$ZZ$501,$A77,BA$3)))</f>
        <v/>
      </c>
      <c r="BB77" s="124" t="str">
        <f>IF($B77="","",IF(BB$3=0,"n.b.",INDEX(SRC_Woningetalage!$A$1:$ZZ$501,$A77,BB$3)))</f>
        <v/>
      </c>
      <c r="BC77" s="124" t="str">
        <f>IF($B77="","",IFERROR(_xlfn.NUMBERVALUE(E77&amp;"",",","."),"n.b."))</f>
        <v/>
      </c>
      <c r="BD77" s="124" t="str">
        <f>IF($B77="","",IFERROR(_xlfn.NUMBERVALUE(M77&amp;"",",","."),"n.b."))</f>
        <v/>
      </c>
      <c r="BE77" s="124" t="str">
        <f>IF($B77="","",IFERROR(AB77+AC77+AD77,"n.b."))</f>
        <v/>
      </c>
      <c r="BF77" s="124" t="str">
        <f>IF($B77="","",IFERROR(AE77+AF77+AG77,"n.b."))</f>
        <v/>
      </c>
      <c r="BG77" s="124" t="str">
        <f>IF($B77="","",IFERROR(AH77+AI77+AJ77,"n.b."))</f>
        <v/>
      </c>
      <c r="BH77" s="124" t="str">
        <f>IF($B77="","",IFERROR(AK77+AL77+AM77,"n.b."))</f>
        <v/>
      </c>
      <c r="BI77" s="124" t="str">
        <f>IF($B77="","",IFERROR(SUMIF($AB$5:$AM$5,"&lt;="&amp;P_PeilMaand,AB77:AM77),"n.b."))</f>
        <v/>
      </c>
      <c r="BJ77" s="124" t="str">
        <f>IF($B77="","",IFERROR(SUM(AB77:AM77)-BI77,"n.b."))</f>
        <v/>
      </c>
      <c r="BK77" s="124" t="str">
        <f>IF($B77="","",IFERROR(IF(ABS(Q77-(T77+SUM(AB77:AM77)+AS77+AU77))&gt;P_Tol,1,0),1))</f>
        <v/>
      </c>
      <c r="BL77" s="124" t="str">
        <f>IF($B77="","",IFERROR(IF(ABS(AA77-(Q77-Z77))&gt;P_Tol,1,0),1))</f>
        <v/>
      </c>
      <c r="BM77" s="124" t="str">
        <f>IF($B77="","",IFERROR(IF(ABS(Z77-(T77+W77))&gt;P_Tol,1,0),1))</f>
        <v/>
      </c>
      <c r="BN77" s="124" t="str">
        <f>IF($B77="","",IFERROR(IF(ABS(W77-BI77)&gt;P_Tol,1,0),1))</f>
        <v/>
      </c>
      <c r="BO77" s="124" t="str">
        <f>IF($B77="","",IFERROR(IF(OR(ABS(R77+S77-T77)&gt;P_Tol,ABS(U77+V77-W77)&gt;P_Tol,ABS(X77+Y77-Z77)&gt;P_Tol),1,0),1))</f>
        <v/>
      </c>
      <c r="BP77" s="124" t="str">
        <f>IF($B77="","",IFERROR(IF(OR(ABS(AR77-SUM(AB77:AM77))&gt;P_Tol,ABS(AS77-(AN77+AO77+AP77+AQ77))&gt;P_Tol),1,0),1))</f>
        <v/>
      </c>
      <c r="BQ77" s="124" t="str">
        <f>IF($B77="","",IFERROR(IF(ABS(AT77)+ABS(AV77)+ABS(AW77)+ABS(AX77)+ABS(AY77)+ABS(AZ77)+ABS(BA77)+ABS(BB77)&gt;0,1,0),1))</f>
        <v/>
      </c>
      <c r="BR77" s="124" t="str">
        <f>IF($B77="","",COUNTIF(STG_ZPMW03!$B$6:$B$505,B77))</f>
        <v/>
      </c>
      <c r="BS77" s="124" t="str">
        <f>IF($B77="","",COUNTIF($B$6:$B$505,B77))</f>
        <v/>
      </c>
      <c r="BT77" s="124" t="str">
        <f>IF($B77="","",IF(BR77=0,0,IF(INDEX(STG_ZPMW03!$I$6:$I$505,MATCH(B77,STG_ZPMW03!$B$6:$B$505,0))=J77&amp;"",0,1)))</f>
        <v/>
      </c>
      <c r="BU77" s="124" t="str">
        <f>IF($B77="","",IFERROR(IF(ABS(INDEX(Mapping!$D$5:$D$104,MATCH(B77,Mapping!$A$5:$A$104,0))-Q77)&gt;P_Tol,1,0),0))</f>
        <v/>
      </c>
      <c r="BV77" s="124" t="str">
        <f>IF($B77="","",IFERROR(IF(AND(INDEX(Mapping!$G$5:$G$104,MATCH(B77,Mapping!$A$5:$A$104,0))="Nee",ABS(Q77)+ABS(Z77)+ABS(AR77)&gt;0),1,0),0))</f>
        <v/>
      </c>
      <c r="BW77" s="124" t="str">
        <f>IF($B77="","",IF(COUNTIF(Mapping!$A$5:$A$104,B77)&gt;0,1,0))</f>
        <v/>
      </c>
      <c r="BX77" s="124" t="str">
        <f>IF($B77="","",IF(BR77=0,COUNTIF($BR$6:BR77,0),""))</f>
        <v/>
      </c>
    </row>
    <row r="78">
      <c r="A78" s="15" t="n">
        <v>74</v>
      </c>
      <c r="B78" t="str">
        <f>IF(B$3=0,"",IF(INDEX(SRC_Woningetalage!$A$1:$ZZ$501,$A78,B$3)&amp;""="","",INDEX(SRC_Woningetalage!$A$1:$ZZ$501,$A78,B$3)&amp;""))</f>
        <v/>
      </c>
      <c r="C78" t="str">
        <f>IF($B78="","",IF(C$3=0,"n.b.",INDEX(SRC_Woningetalage!$A$1:$ZZ$501,$A78,C$3)))</f>
        <v/>
      </c>
      <c r="D78" t="str">
        <f>IF($B78="","",IF(D$3=0,"n.b.",INDEX(SRC_Woningetalage!$A$1:$ZZ$501,$A78,D$3)))</f>
        <v/>
      </c>
      <c r="E78" t="str">
        <f>IF($B78="","",IF(E$3=0,"n.b.",INDEX(SRC_Woningetalage!$A$1:$ZZ$501,$A78,E$3)))</f>
        <v/>
      </c>
      <c r="F78" t="str">
        <f>IF($B78="","",IF(F$3=0,"n.b.",INDEX(SRC_Woningetalage!$A$1:$ZZ$501,$A78,F$3)))</f>
        <v/>
      </c>
      <c r="G78" t="str">
        <f>IF($B78="","",IF(G$3=0,"n.b.",INDEX(SRC_Woningetalage!$A$1:$ZZ$501,$A78,G$3)))</f>
        <v/>
      </c>
      <c r="H78" t="str">
        <f>IF($B78="","",IF(H$3=0,"n.b.",INDEX(SRC_Woningetalage!$A$1:$ZZ$501,$A78,H$3)))</f>
        <v/>
      </c>
      <c r="I78" t="str">
        <f>IF($B78="","",IF(I$3=0,"n.b.",INDEX(SRC_Woningetalage!$A$1:$ZZ$501,$A78,I$3)))</f>
        <v/>
      </c>
      <c r="J78" t="str">
        <f>IF($B78="","",IF(J$3=0,"n.b.",INDEX(SRC_Woningetalage!$A$1:$ZZ$501,$A78,J$3)))</f>
        <v/>
      </c>
      <c r="K78" t="str">
        <f>IF($B78="","",IF(K$3=0,"n.b.",INDEX(SRC_Woningetalage!$A$1:$ZZ$501,$A78,K$3)))</f>
        <v/>
      </c>
      <c r="L78" t="str">
        <f>IF($B78="","",IF(L$3=0,"n.b.",INDEX(SRC_Woningetalage!$A$1:$ZZ$501,$A78,L$3)))</f>
        <v/>
      </c>
      <c r="M78" t="str">
        <f>IF($B78="","",IF(M$3=0,"n.b.",INDEX(SRC_Woningetalage!$A$1:$ZZ$501,$A78,M$3)))</f>
        <v/>
      </c>
      <c r="N78" t="str">
        <f>IF($B78="","",IF(N$3=0,"n.b.",INDEX(SRC_Woningetalage!$A$1:$ZZ$501,$A78,N$3)))</f>
        <v/>
      </c>
      <c r="O78" t="str">
        <f>IF($B78="","",IF(O$3=0,"n.b.",INDEX(SRC_Woningetalage!$A$1:$ZZ$501,$A78,O$3)))</f>
        <v/>
      </c>
      <c r="P78" t="str">
        <f>IF($B78="","",IF(P$3=0,"n.b.",INDEX(SRC_Woningetalage!$A$1:$ZZ$501,$A78,P$3)))</f>
        <v/>
      </c>
      <c r="Q78" s="124" t="str">
        <f>IF($B78="","",IF(Q$3=0,"n.b.",INDEX(SRC_Woningetalage!$A$1:$ZZ$501,$A78,Q$3)))</f>
        <v/>
      </c>
      <c r="R78" s="124" t="str">
        <f>IF($B78="","",IF(R$3=0,"n.b.",INDEX(SRC_Woningetalage!$A$1:$ZZ$501,$A78,R$3)))</f>
        <v/>
      </c>
      <c r="S78" s="124" t="str">
        <f>IF($B78="","",IF(S$3=0,"n.b.",INDEX(SRC_Woningetalage!$A$1:$ZZ$501,$A78,S$3)))</f>
        <v/>
      </c>
      <c r="T78" s="124" t="str">
        <f>IF($B78="","",IF(T$3=0,"n.b.",INDEX(SRC_Woningetalage!$A$1:$ZZ$501,$A78,T$3)))</f>
        <v/>
      </c>
      <c r="U78" s="124" t="str">
        <f>IF($B78="","",IF(U$3=0,"n.b.",INDEX(SRC_Woningetalage!$A$1:$ZZ$501,$A78,U$3)))</f>
        <v/>
      </c>
      <c r="V78" s="124" t="str">
        <f>IF($B78="","",IF(V$3=0,"n.b.",INDEX(SRC_Woningetalage!$A$1:$ZZ$501,$A78,V$3)))</f>
        <v/>
      </c>
      <c r="W78" s="124" t="str">
        <f>IF($B78="","",IF(W$3=0,"n.b.",INDEX(SRC_Woningetalage!$A$1:$ZZ$501,$A78,W$3)))</f>
        <v/>
      </c>
      <c r="X78" s="124" t="str">
        <f>IF($B78="","",IF(X$3=0,"n.b.",INDEX(SRC_Woningetalage!$A$1:$ZZ$501,$A78,X$3)))</f>
        <v/>
      </c>
      <c r="Y78" s="124" t="str">
        <f>IF($B78="","",IF(Y$3=0,"n.b.",INDEX(SRC_Woningetalage!$A$1:$ZZ$501,$A78,Y$3)))</f>
        <v/>
      </c>
      <c r="Z78" s="124" t="str">
        <f>IF($B78="","",IF(Z$3=0,"n.b.",INDEX(SRC_Woningetalage!$A$1:$ZZ$501,$A78,Z$3)))</f>
        <v/>
      </c>
      <c r="AA78" s="124" t="str">
        <f>IF($B78="","",IF(AA$3=0,"n.b.",INDEX(SRC_Woningetalage!$A$1:$ZZ$501,$A78,AA$3)))</f>
        <v/>
      </c>
      <c r="AB78" s="124" t="str">
        <f>IF($B78="","",IF(AB$3=0,"n.b.",INDEX(SRC_Woningetalage!$A$1:$ZZ$501,$A78,AB$3)))</f>
        <v/>
      </c>
      <c r="AC78" s="124" t="str">
        <f>IF($B78="","",IF(AC$3=0,"n.b.",INDEX(SRC_Woningetalage!$A$1:$ZZ$501,$A78,AC$3)))</f>
        <v/>
      </c>
      <c r="AD78" s="124" t="str">
        <f>IF($B78="","",IF(AD$3=0,"n.b.",INDEX(SRC_Woningetalage!$A$1:$ZZ$501,$A78,AD$3)))</f>
        <v/>
      </c>
      <c r="AE78" s="124" t="str">
        <f>IF($B78="","",IF(AE$3=0,"n.b.",INDEX(SRC_Woningetalage!$A$1:$ZZ$501,$A78,AE$3)))</f>
        <v/>
      </c>
      <c r="AF78" s="124" t="str">
        <f>IF($B78="","",IF(AF$3=0,"n.b.",INDEX(SRC_Woningetalage!$A$1:$ZZ$501,$A78,AF$3)))</f>
        <v/>
      </c>
      <c r="AG78" s="124" t="str">
        <f>IF($B78="","",IF(AG$3=0,"n.b.",INDEX(SRC_Woningetalage!$A$1:$ZZ$501,$A78,AG$3)))</f>
        <v/>
      </c>
      <c r="AH78" s="124" t="str">
        <f>IF($B78="","",IF(AH$3=0,"n.b.",INDEX(SRC_Woningetalage!$A$1:$ZZ$501,$A78,AH$3)))</f>
        <v/>
      </c>
      <c r="AI78" s="124" t="str">
        <f>IF($B78="","",IF(AI$3=0,"n.b.",INDEX(SRC_Woningetalage!$A$1:$ZZ$501,$A78,AI$3)))</f>
        <v/>
      </c>
      <c r="AJ78" s="124" t="str">
        <f>IF($B78="","",IF(AJ$3=0,"n.b.",INDEX(SRC_Woningetalage!$A$1:$ZZ$501,$A78,AJ$3)))</f>
        <v/>
      </c>
      <c r="AK78" s="124" t="str">
        <f>IF($B78="","",IF(AK$3=0,"n.b.",INDEX(SRC_Woningetalage!$A$1:$ZZ$501,$A78,AK$3)))</f>
        <v/>
      </c>
      <c r="AL78" s="124" t="str">
        <f>IF($B78="","",IF(AL$3=0,"n.b.",INDEX(SRC_Woningetalage!$A$1:$ZZ$501,$A78,AL$3)))</f>
        <v/>
      </c>
      <c r="AM78" s="124" t="str">
        <f>IF($B78="","",IF(AM$3=0,"n.b.",INDEX(SRC_Woningetalage!$A$1:$ZZ$501,$A78,AM$3)))</f>
        <v/>
      </c>
      <c r="AN78" s="124" t="str">
        <f>IF($B78="","",IF(AN$3=0,"n.b.",INDEX(SRC_Woningetalage!$A$1:$ZZ$501,$A78,AN$3)))</f>
        <v/>
      </c>
      <c r="AO78" s="124" t="str">
        <f>IF($B78="","",IF(AO$3=0,"n.b.",INDEX(SRC_Woningetalage!$A$1:$ZZ$501,$A78,AO$3)))</f>
        <v/>
      </c>
      <c r="AP78" s="124" t="str">
        <f>IF($B78="","",IF(AP$3=0,"n.b.",INDEX(SRC_Woningetalage!$A$1:$ZZ$501,$A78,AP$3)))</f>
        <v/>
      </c>
      <c r="AQ78" s="124" t="str">
        <f>IF($B78="","",IF(AQ$3=0,"n.b.",INDEX(SRC_Woningetalage!$A$1:$ZZ$501,$A78,AQ$3)))</f>
        <v/>
      </c>
      <c r="AR78" s="124" t="str">
        <f>IF($B78="","",IF(AR$3=0,"n.b.",INDEX(SRC_Woningetalage!$A$1:$ZZ$501,$A78,AR$3)))</f>
        <v/>
      </c>
      <c r="AS78" s="124" t="str">
        <f>IF($B78="","",IF(AS$3=0,"n.b.",INDEX(SRC_Woningetalage!$A$1:$ZZ$501,$A78,AS$3)))</f>
        <v/>
      </c>
      <c r="AT78" s="124" t="str">
        <f>IF($B78="","",IF(AT$3=0,"n.b.",INDEX(SRC_Woningetalage!$A$1:$ZZ$501,$A78,AT$3)))</f>
        <v/>
      </c>
      <c r="AU78" s="124" t="str">
        <f>IF($B78="","",IF(AU$3=0,"n.b.",INDEX(SRC_Woningetalage!$A$1:$ZZ$501,$A78,AU$3)))</f>
        <v/>
      </c>
      <c r="AV78" s="124" t="str">
        <f>IF($B78="","",IF(AV$3=0,"n.b.",INDEX(SRC_Woningetalage!$A$1:$ZZ$501,$A78,AV$3)))</f>
        <v/>
      </c>
      <c r="AW78" s="124" t="str">
        <f>IF($B78="","",IF(AW$3=0,"n.b.",INDEX(SRC_Woningetalage!$A$1:$ZZ$501,$A78,AW$3)))</f>
        <v/>
      </c>
      <c r="AX78" s="124" t="str">
        <f>IF($B78="","",IF(AX$3=0,"n.b.",INDEX(SRC_Woningetalage!$A$1:$ZZ$501,$A78,AX$3)))</f>
        <v/>
      </c>
      <c r="AY78" s="124" t="str">
        <f>IF($B78="","",IF(AY$3=0,"n.b.",INDEX(SRC_Woningetalage!$A$1:$ZZ$501,$A78,AY$3)))</f>
        <v/>
      </c>
      <c r="AZ78" s="124" t="str">
        <f>IF($B78="","",IF(AZ$3=0,"n.b.",INDEX(SRC_Woningetalage!$A$1:$ZZ$501,$A78,AZ$3)))</f>
        <v/>
      </c>
      <c r="BA78" s="124" t="str">
        <f>IF($B78="","",IF(BA$3=0,"n.b.",INDEX(SRC_Woningetalage!$A$1:$ZZ$501,$A78,BA$3)))</f>
        <v/>
      </c>
      <c r="BB78" s="124" t="str">
        <f>IF($B78="","",IF(BB$3=0,"n.b.",INDEX(SRC_Woningetalage!$A$1:$ZZ$501,$A78,BB$3)))</f>
        <v/>
      </c>
      <c r="BC78" s="124" t="str">
        <f>IF($B78="","",IFERROR(_xlfn.NUMBERVALUE(E78&amp;"",",","."),"n.b."))</f>
        <v/>
      </c>
      <c r="BD78" s="124" t="str">
        <f>IF($B78="","",IFERROR(_xlfn.NUMBERVALUE(M78&amp;"",",","."),"n.b."))</f>
        <v/>
      </c>
      <c r="BE78" s="124" t="str">
        <f>IF($B78="","",IFERROR(AB78+AC78+AD78,"n.b."))</f>
        <v/>
      </c>
      <c r="BF78" s="124" t="str">
        <f>IF($B78="","",IFERROR(AE78+AF78+AG78,"n.b."))</f>
        <v/>
      </c>
      <c r="BG78" s="124" t="str">
        <f>IF($B78="","",IFERROR(AH78+AI78+AJ78,"n.b."))</f>
        <v/>
      </c>
      <c r="BH78" s="124" t="str">
        <f>IF($B78="","",IFERROR(AK78+AL78+AM78,"n.b."))</f>
        <v/>
      </c>
      <c r="BI78" s="124" t="str">
        <f>IF($B78="","",IFERROR(SUMIF($AB$5:$AM$5,"&lt;="&amp;P_PeilMaand,AB78:AM78),"n.b."))</f>
        <v/>
      </c>
      <c r="BJ78" s="124" t="str">
        <f>IF($B78="","",IFERROR(SUM(AB78:AM78)-BI78,"n.b."))</f>
        <v/>
      </c>
      <c r="BK78" s="124" t="str">
        <f>IF($B78="","",IFERROR(IF(ABS(Q78-(T78+SUM(AB78:AM78)+AS78+AU78))&gt;P_Tol,1,0),1))</f>
        <v/>
      </c>
      <c r="BL78" s="124" t="str">
        <f>IF($B78="","",IFERROR(IF(ABS(AA78-(Q78-Z78))&gt;P_Tol,1,0),1))</f>
        <v/>
      </c>
      <c r="BM78" s="124" t="str">
        <f>IF($B78="","",IFERROR(IF(ABS(Z78-(T78+W78))&gt;P_Tol,1,0),1))</f>
        <v/>
      </c>
      <c r="BN78" s="124" t="str">
        <f>IF($B78="","",IFERROR(IF(ABS(W78-BI78)&gt;P_Tol,1,0),1))</f>
        <v/>
      </c>
      <c r="BO78" s="124" t="str">
        <f>IF($B78="","",IFERROR(IF(OR(ABS(R78+S78-T78)&gt;P_Tol,ABS(U78+V78-W78)&gt;P_Tol,ABS(X78+Y78-Z78)&gt;P_Tol),1,0),1))</f>
        <v/>
      </c>
      <c r="BP78" s="124" t="str">
        <f>IF($B78="","",IFERROR(IF(OR(ABS(AR78-SUM(AB78:AM78))&gt;P_Tol,ABS(AS78-(AN78+AO78+AP78+AQ78))&gt;P_Tol),1,0),1))</f>
        <v/>
      </c>
      <c r="BQ78" s="124" t="str">
        <f>IF($B78="","",IFERROR(IF(ABS(AT78)+ABS(AV78)+ABS(AW78)+ABS(AX78)+ABS(AY78)+ABS(AZ78)+ABS(BA78)+ABS(BB78)&gt;0,1,0),1))</f>
        <v/>
      </c>
      <c r="BR78" s="124" t="str">
        <f>IF($B78="","",COUNTIF(STG_ZPMW03!$B$6:$B$505,B78))</f>
        <v/>
      </c>
      <c r="BS78" s="124" t="str">
        <f>IF($B78="","",COUNTIF($B$6:$B$505,B78))</f>
        <v/>
      </c>
      <c r="BT78" s="124" t="str">
        <f>IF($B78="","",IF(BR78=0,0,IF(INDEX(STG_ZPMW03!$I$6:$I$505,MATCH(B78,STG_ZPMW03!$B$6:$B$505,0))=J78&amp;"",0,1)))</f>
        <v/>
      </c>
      <c r="BU78" s="124" t="str">
        <f>IF($B78="","",IFERROR(IF(ABS(INDEX(Mapping!$D$5:$D$104,MATCH(B78,Mapping!$A$5:$A$104,0))-Q78)&gt;P_Tol,1,0),0))</f>
        <v/>
      </c>
      <c r="BV78" s="124" t="str">
        <f>IF($B78="","",IFERROR(IF(AND(INDEX(Mapping!$G$5:$G$104,MATCH(B78,Mapping!$A$5:$A$104,0))="Nee",ABS(Q78)+ABS(Z78)+ABS(AR78)&gt;0),1,0),0))</f>
        <v/>
      </c>
      <c r="BW78" s="124" t="str">
        <f>IF($B78="","",IF(COUNTIF(Mapping!$A$5:$A$104,B78)&gt;0,1,0))</f>
        <v/>
      </c>
      <c r="BX78" s="124" t="str">
        <f>IF($B78="","",IF(BR78=0,COUNTIF($BR$6:BR78,0),""))</f>
        <v/>
      </c>
    </row>
    <row r="79">
      <c r="A79" s="15" t="n">
        <v>75</v>
      </c>
      <c r="B79" t="str">
        <f>IF(B$3=0,"",IF(INDEX(SRC_Woningetalage!$A$1:$ZZ$501,$A79,B$3)&amp;""="","",INDEX(SRC_Woningetalage!$A$1:$ZZ$501,$A79,B$3)&amp;""))</f>
        <v/>
      </c>
      <c r="C79" t="str">
        <f>IF($B79="","",IF(C$3=0,"n.b.",INDEX(SRC_Woningetalage!$A$1:$ZZ$501,$A79,C$3)))</f>
        <v/>
      </c>
      <c r="D79" t="str">
        <f>IF($B79="","",IF(D$3=0,"n.b.",INDEX(SRC_Woningetalage!$A$1:$ZZ$501,$A79,D$3)))</f>
        <v/>
      </c>
      <c r="E79" t="str">
        <f>IF($B79="","",IF(E$3=0,"n.b.",INDEX(SRC_Woningetalage!$A$1:$ZZ$501,$A79,E$3)))</f>
        <v/>
      </c>
      <c r="F79" t="str">
        <f>IF($B79="","",IF(F$3=0,"n.b.",INDEX(SRC_Woningetalage!$A$1:$ZZ$501,$A79,F$3)))</f>
        <v/>
      </c>
      <c r="G79" t="str">
        <f>IF($B79="","",IF(G$3=0,"n.b.",INDEX(SRC_Woningetalage!$A$1:$ZZ$501,$A79,G$3)))</f>
        <v/>
      </c>
      <c r="H79" t="str">
        <f>IF($B79="","",IF(H$3=0,"n.b.",INDEX(SRC_Woningetalage!$A$1:$ZZ$501,$A79,H$3)))</f>
        <v/>
      </c>
      <c r="I79" t="str">
        <f>IF($B79="","",IF(I$3=0,"n.b.",INDEX(SRC_Woningetalage!$A$1:$ZZ$501,$A79,I$3)))</f>
        <v/>
      </c>
      <c r="J79" t="str">
        <f>IF($B79="","",IF(J$3=0,"n.b.",INDEX(SRC_Woningetalage!$A$1:$ZZ$501,$A79,J$3)))</f>
        <v/>
      </c>
      <c r="K79" t="str">
        <f>IF($B79="","",IF(K$3=0,"n.b.",INDEX(SRC_Woningetalage!$A$1:$ZZ$501,$A79,K$3)))</f>
        <v/>
      </c>
      <c r="L79" t="str">
        <f>IF($B79="","",IF(L$3=0,"n.b.",INDEX(SRC_Woningetalage!$A$1:$ZZ$501,$A79,L$3)))</f>
        <v/>
      </c>
      <c r="M79" t="str">
        <f>IF($B79="","",IF(M$3=0,"n.b.",INDEX(SRC_Woningetalage!$A$1:$ZZ$501,$A79,M$3)))</f>
        <v/>
      </c>
      <c r="N79" t="str">
        <f>IF($B79="","",IF(N$3=0,"n.b.",INDEX(SRC_Woningetalage!$A$1:$ZZ$501,$A79,N$3)))</f>
        <v/>
      </c>
      <c r="O79" t="str">
        <f>IF($B79="","",IF(O$3=0,"n.b.",INDEX(SRC_Woningetalage!$A$1:$ZZ$501,$A79,O$3)))</f>
        <v/>
      </c>
      <c r="P79" t="str">
        <f>IF($B79="","",IF(P$3=0,"n.b.",INDEX(SRC_Woningetalage!$A$1:$ZZ$501,$A79,P$3)))</f>
        <v/>
      </c>
      <c r="Q79" s="124" t="str">
        <f>IF($B79="","",IF(Q$3=0,"n.b.",INDEX(SRC_Woningetalage!$A$1:$ZZ$501,$A79,Q$3)))</f>
        <v/>
      </c>
      <c r="R79" s="124" t="str">
        <f>IF($B79="","",IF(R$3=0,"n.b.",INDEX(SRC_Woningetalage!$A$1:$ZZ$501,$A79,R$3)))</f>
        <v/>
      </c>
      <c r="S79" s="124" t="str">
        <f>IF($B79="","",IF(S$3=0,"n.b.",INDEX(SRC_Woningetalage!$A$1:$ZZ$501,$A79,S$3)))</f>
        <v/>
      </c>
      <c r="T79" s="124" t="str">
        <f>IF($B79="","",IF(T$3=0,"n.b.",INDEX(SRC_Woningetalage!$A$1:$ZZ$501,$A79,T$3)))</f>
        <v/>
      </c>
      <c r="U79" s="124" t="str">
        <f>IF($B79="","",IF(U$3=0,"n.b.",INDEX(SRC_Woningetalage!$A$1:$ZZ$501,$A79,U$3)))</f>
        <v/>
      </c>
      <c r="V79" s="124" t="str">
        <f>IF($B79="","",IF(V$3=0,"n.b.",INDEX(SRC_Woningetalage!$A$1:$ZZ$501,$A79,V$3)))</f>
        <v/>
      </c>
      <c r="W79" s="124" t="str">
        <f>IF($B79="","",IF(W$3=0,"n.b.",INDEX(SRC_Woningetalage!$A$1:$ZZ$501,$A79,W$3)))</f>
        <v/>
      </c>
      <c r="X79" s="124" t="str">
        <f>IF($B79="","",IF(X$3=0,"n.b.",INDEX(SRC_Woningetalage!$A$1:$ZZ$501,$A79,X$3)))</f>
        <v/>
      </c>
      <c r="Y79" s="124" t="str">
        <f>IF($B79="","",IF(Y$3=0,"n.b.",INDEX(SRC_Woningetalage!$A$1:$ZZ$501,$A79,Y$3)))</f>
        <v/>
      </c>
      <c r="Z79" s="124" t="str">
        <f>IF($B79="","",IF(Z$3=0,"n.b.",INDEX(SRC_Woningetalage!$A$1:$ZZ$501,$A79,Z$3)))</f>
        <v/>
      </c>
      <c r="AA79" s="124" t="str">
        <f>IF($B79="","",IF(AA$3=0,"n.b.",INDEX(SRC_Woningetalage!$A$1:$ZZ$501,$A79,AA$3)))</f>
        <v/>
      </c>
      <c r="AB79" s="124" t="str">
        <f>IF($B79="","",IF(AB$3=0,"n.b.",INDEX(SRC_Woningetalage!$A$1:$ZZ$501,$A79,AB$3)))</f>
        <v/>
      </c>
      <c r="AC79" s="124" t="str">
        <f>IF($B79="","",IF(AC$3=0,"n.b.",INDEX(SRC_Woningetalage!$A$1:$ZZ$501,$A79,AC$3)))</f>
        <v/>
      </c>
      <c r="AD79" s="124" t="str">
        <f>IF($B79="","",IF(AD$3=0,"n.b.",INDEX(SRC_Woningetalage!$A$1:$ZZ$501,$A79,AD$3)))</f>
        <v/>
      </c>
      <c r="AE79" s="124" t="str">
        <f>IF($B79="","",IF(AE$3=0,"n.b.",INDEX(SRC_Woningetalage!$A$1:$ZZ$501,$A79,AE$3)))</f>
        <v/>
      </c>
      <c r="AF79" s="124" t="str">
        <f>IF($B79="","",IF(AF$3=0,"n.b.",INDEX(SRC_Woningetalage!$A$1:$ZZ$501,$A79,AF$3)))</f>
        <v/>
      </c>
      <c r="AG79" s="124" t="str">
        <f>IF($B79="","",IF(AG$3=0,"n.b.",INDEX(SRC_Woningetalage!$A$1:$ZZ$501,$A79,AG$3)))</f>
        <v/>
      </c>
      <c r="AH79" s="124" t="str">
        <f>IF($B79="","",IF(AH$3=0,"n.b.",INDEX(SRC_Woningetalage!$A$1:$ZZ$501,$A79,AH$3)))</f>
        <v/>
      </c>
      <c r="AI79" s="124" t="str">
        <f>IF($B79="","",IF(AI$3=0,"n.b.",INDEX(SRC_Woningetalage!$A$1:$ZZ$501,$A79,AI$3)))</f>
        <v/>
      </c>
      <c r="AJ79" s="124" t="str">
        <f>IF($B79="","",IF(AJ$3=0,"n.b.",INDEX(SRC_Woningetalage!$A$1:$ZZ$501,$A79,AJ$3)))</f>
        <v/>
      </c>
      <c r="AK79" s="124" t="str">
        <f>IF($B79="","",IF(AK$3=0,"n.b.",INDEX(SRC_Woningetalage!$A$1:$ZZ$501,$A79,AK$3)))</f>
        <v/>
      </c>
      <c r="AL79" s="124" t="str">
        <f>IF($B79="","",IF(AL$3=0,"n.b.",INDEX(SRC_Woningetalage!$A$1:$ZZ$501,$A79,AL$3)))</f>
        <v/>
      </c>
      <c r="AM79" s="124" t="str">
        <f>IF($B79="","",IF(AM$3=0,"n.b.",INDEX(SRC_Woningetalage!$A$1:$ZZ$501,$A79,AM$3)))</f>
        <v/>
      </c>
      <c r="AN79" s="124" t="str">
        <f>IF($B79="","",IF(AN$3=0,"n.b.",INDEX(SRC_Woningetalage!$A$1:$ZZ$501,$A79,AN$3)))</f>
        <v/>
      </c>
      <c r="AO79" s="124" t="str">
        <f>IF($B79="","",IF(AO$3=0,"n.b.",INDEX(SRC_Woningetalage!$A$1:$ZZ$501,$A79,AO$3)))</f>
        <v/>
      </c>
      <c r="AP79" s="124" t="str">
        <f>IF($B79="","",IF(AP$3=0,"n.b.",INDEX(SRC_Woningetalage!$A$1:$ZZ$501,$A79,AP$3)))</f>
        <v/>
      </c>
      <c r="AQ79" s="124" t="str">
        <f>IF($B79="","",IF(AQ$3=0,"n.b.",INDEX(SRC_Woningetalage!$A$1:$ZZ$501,$A79,AQ$3)))</f>
        <v/>
      </c>
      <c r="AR79" s="124" t="str">
        <f>IF($B79="","",IF(AR$3=0,"n.b.",INDEX(SRC_Woningetalage!$A$1:$ZZ$501,$A79,AR$3)))</f>
        <v/>
      </c>
      <c r="AS79" s="124" t="str">
        <f>IF($B79="","",IF(AS$3=0,"n.b.",INDEX(SRC_Woningetalage!$A$1:$ZZ$501,$A79,AS$3)))</f>
        <v/>
      </c>
      <c r="AT79" s="124" t="str">
        <f>IF($B79="","",IF(AT$3=0,"n.b.",INDEX(SRC_Woningetalage!$A$1:$ZZ$501,$A79,AT$3)))</f>
        <v/>
      </c>
      <c r="AU79" s="124" t="str">
        <f>IF($B79="","",IF(AU$3=0,"n.b.",INDEX(SRC_Woningetalage!$A$1:$ZZ$501,$A79,AU$3)))</f>
        <v/>
      </c>
      <c r="AV79" s="124" t="str">
        <f>IF($B79="","",IF(AV$3=0,"n.b.",INDEX(SRC_Woningetalage!$A$1:$ZZ$501,$A79,AV$3)))</f>
        <v/>
      </c>
      <c r="AW79" s="124" t="str">
        <f>IF($B79="","",IF(AW$3=0,"n.b.",INDEX(SRC_Woningetalage!$A$1:$ZZ$501,$A79,AW$3)))</f>
        <v/>
      </c>
      <c r="AX79" s="124" t="str">
        <f>IF($B79="","",IF(AX$3=0,"n.b.",INDEX(SRC_Woningetalage!$A$1:$ZZ$501,$A79,AX$3)))</f>
        <v/>
      </c>
      <c r="AY79" s="124" t="str">
        <f>IF($B79="","",IF(AY$3=0,"n.b.",INDEX(SRC_Woningetalage!$A$1:$ZZ$501,$A79,AY$3)))</f>
        <v/>
      </c>
      <c r="AZ79" s="124" t="str">
        <f>IF($B79="","",IF(AZ$3=0,"n.b.",INDEX(SRC_Woningetalage!$A$1:$ZZ$501,$A79,AZ$3)))</f>
        <v/>
      </c>
      <c r="BA79" s="124" t="str">
        <f>IF($B79="","",IF(BA$3=0,"n.b.",INDEX(SRC_Woningetalage!$A$1:$ZZ$501,$A79,BA$3)))</f>
        <v/>
      </c>
      <c r="BB79" s="124" t="str">
        <f>IF($B79="","",IF(BB$3=0,"n.b.",INDEX(SRC_Woningetalage!$A$1:$ZZ$501,$A79,BB$3)))</f>
        <v/>
      </c>
      <c r="BC79" s="124" t="str">
        <f>IF($B79="","",IFERROR(_xlfn.NUMBERVALUE(E79&amp;"",",","."),"n.b."))</f>
        <v/>
      </c>
      <c r="BD79" s="124" t="str">
        <f>IF($B79="","",IFERROR(_xlfn.NUMBERVALUE(M79&amp;"",",","."),"n.b."))</f>
        <v/>
      </c>
      <c r="BE79" s="124" t="str">
        <f>IF($B79="","",IFERROR(AB79+AC79+AD79,"n.b."))</f>
        <v/>
      </c>
      <c r="BF79" s="124" t="str">
        <f>IF($B79="","",IFERROR(AE79+AF79+AG79,"n.b."))</f>
        <v/>
      </c>
      <c r="BG79" s="124" t="str">
        <f>IF($B79="","",IFERROR(AH79+AI79+AJ79,"n.b."))</f>
        <v/>
      </c>
      <c r="BH79" s="124" t="str">
        <f>IF($B79="","",IFERROR(AK79+AL79+AM79,"n.b."))</f>
        <v/>
      </c>
      <c r="BI79" s="124" t="str">
        <f>IF($B79="","",IFERROR(SUMIF($AB$5:$AM$5,"&lt;="&amp;P_PeilMaand,AB79:AM79),"n.b."))</f>
        <v/>
      </c>
      <c r="BJ79" s="124" t="str">
        <f>IF($B79="","",IFERROR(SUM(AB79:AM79)-BI79,"n.b."))</f>
        <v/>
      </c>
      <c r="BK79" s="124" t="str">
        <f>IF($B79="","",IFERROR(IF(ABS(Q79-(T79+SUM(AB79:AM79)+AS79+AU79))&gt;P_Tol,1,0),1))</f>
        <v/>
      </c>
      <c r="BL79" s="124" t="str">
        <f>IF($B79="","",IFERROR(IF(ABS(AA79-(Q79-Z79))&gt;P_Tol,1,0),1))</f>
        <v/>
      </c>
      <c r="BM79" s="124" t="str">
        <f>IF($B79="","",IFERROR(IF(ABS(Z79-(T79+W79))&gt;P_Tol,1,0),1))</f>
        <v/>
      </c>
      <c r="BN79" s="124" t="str">
        <f>IF($B79="","",IFERROR(IF(ABS(W79-BI79)&gt;P_Tol,1,0),1))</f>
        <v/>
      </c>
      <c r="BO79" s="124" t="str">
        <f>IF($B79="","",IFERROR(IF(OR(ABS(R79+S79-T79)&gt;P_Tol,ABS(U79+V79-W79)&gt;P_Tol,ABS(X79+Y79-Z79)&gt;P_Tol),1,0),1))</f>
        <v/>
      </c>
      <c r="BP79" s="124" t="str">
        <f>IF($B79="","",IFERROR(IF(OR(ABS(AR79-SUM(AB79:AM79))&gt;P_Tol,ABS(AS79-(AN79+AO79+AP79+AQ79))&gt;P_Tol),1,0),1))</f>
        <v/>
      </c>
      <c r="BQ79" s="124" t="str">
        <f>IF($B79="","",IFERROR(IF(ABS(AT79)+ABS(AV79)+ABS(AW79)+ABS(AX79)+ABS(AY79)+ABS(AZ79)+ABS(BA79)+ABS(BB79)&gt;0,1,0),1))</f>
        <v/>
      </c>
      <c r="BR79" s="124" t="str">
        <f>IF($B79="","",COUNTIF(STG_ZPMW03!$B$6:$B$505,B79))</f>
        <v/>
      </c>
      <c r="BS79" s="124" t="str">
        <f>IF($B79="","",COUNTIF($B$6:$B$505,B79))</f>
        <v/>
      </c>
      <c r="BT79" s="124" t="str">
        <f>IF($B79="","",IF(BR79=0,0,IF(INDEX(STG_ZPMW03!$I$6:$I$505,MATCH(B79,STG_ZPMW03!$B$6:$B$505,0))=J79&amp;"",0,1)))</f>
        <v/>
      </c>
      <c r="BU79" s="124" t="str">
        <f>IF($B79="","",IFERROR(IF(ABS(INDEX(Mapping!$D$5:$D$104,MATCH(B79,Mapping!$A$5:$A$104,0))-Q79)&gt;P_Tol,1,0),0))</f>
        <v/>
      </c>
      <c r="BV79" s="124" t="str">
        <f>IF($B79="","",IFERROR(IF(AND(INDEX(Mapping!$G$5:$G$104,MATCH(B79,Mapping!$A$5:$A$104,0))="Nee",ABS(Q79)+ABS(Z79)+ABS(AR79)&gt;0),1,0),0))</f>
        <v/>
      </c>
      <c r="BW79" s="124" t="str">
        <f>IF($B79="","",IF(COUNTIF(Mapping!$A$5:$A$104,B79)&gt;0,1,0))</f>
        <v/>
      </c>
      <c r="BX79" s="124" t="str">
        <f>IF($B79="","",IF(BR79=0,COUNTIF($BR$6:BR79,0),""))</f>
        <v/>
      </c>
    </row>
    <row r="80">
      <c r="A80" s="15" t="n">
        <v>76</v>
      </c>
      <c r="B80" t="str">
        <f>IF(B$3=0,"",IF(INDEX(SRC_Woningetalage!$A$1:$ZZ$501,$A80,B$3)&amp;""="","",INDEX(SRC_Woningetalage!$A$1:$ZZ$501,$A80,B$3)&amp;""))</f>
        <v/>
      </c>
      <c r="C80" t="str">
        <f>IF($B80="","",IF(C$3=0,"n.b.",INDEX(SRC_Woningetalage!$A$1:$ZZ$501,$A80,C$3)))</f>
        <v/>
      </c>
      <c r="D80" t="str">
        <f>IF($B80="","",IF(D$3=0,"n.b.",INDEX(SRC_Woningetalage!$A$1:$ZZ$501,$A80,D$3)))</f>
        <v/>
      </c>
      <c r="E80" t="str">
        <f>IF($B80="","",IF(E$3=0,"n.b.",INDEX(SRC_Woningetalage!$A$1:$ZZ$501,$A80,E$3)))</f>
        <v/>
      </c>
      <c r="F80" t="str">
        <f>IF($B80="","",IF(F$3=0,"n.b.",INDEX(SRC_Woningetalage!$A$1:$ZZ$501,$A80,F$3)))</f>
        <v/>
      </c>
      <c r="G80" t="str">
        <f>IF($B80="","",IF(G$3=0,"n.b.",INDEX(SRC_Woningetalage!$A$1:$ZZ$501,$A80,G$3)))</f>
        <v/>
      </c>
      <c r="H80" t="str">
        <f>IF($B80="","",IF(H$3=0,"n.b.",INDEX(SRC_Woningetalage!$A$1:$ZZ$501,$A80,H$3)))</f>
        <v/>
      </c>
      <c r="I80" t="str">
        <f>IF($B80="","",IF(I$3=0,"n.b.",INDEX(SRC_Woningetalage!$A$1:$ZZ$501,$A80,I$3)))</f>
        <v/>
      </c>
      <c r="J80" t="str">
        <f>IF($B80="","",IF(J$3=0,"n.b.",INDEX(SRC_Woningetalage!$A$1:$ZZ$501,$A80,J$3)))</f>
        <v/>
      </c>
      <c r="K80" t="str">
        <f>IF($B80="","",IF(K$3=0,"n.b.",INDEX(SRC_Woningetalage!$A$1:$ZZ$501,$A80,K$3)))</f>
        <v/>
      </c>
      <c r="L80" t="str">
        <f>IF($B80="","",IF(L$3=0,"n.b.",INDEX(SRC_Woningetalage!$A$1:$ZZ$501,$A80,L$3)))</f>
        <v/>
      </c>
      <c r="M80" t="str">
        <f>IF($B80="","",IF(M$3=0,"n.b.",INDEX(SRC_Woningetalage!$A$1:$ZZ$501,$A80,M$3)))</f>
        <v/>
      </c>
      <c r="N80" t="str">
        <f>IF($B80="","",IF(N$3=0,"n.b.",INDEX(SRC_Woningetalage!$A$1:$ZZ$501,$A80,N$3)))</f>
        <v/>
      </c>
      <c r="O80" t="str">
        <f>IF($B80="","",IF(O$3=0,"n.b.",INDEX(SRC_Woningetalage!$A$1:$ZZ$501,$A80,O$3)))</f>
        <v/>
      </c>
      <c r="P80" t="str">
        <f>IF($B80="","",IF(P$3=0,"n.b.",INDEX(SRC_Woningetalage!$A$1:$ZZ$501,$A80,P$3)))</f>
        <v/>
      </c>
      <c r="Q80" s="124" t="str">
        <f>IF($B80="","",IF(Q$3=0,"n.b.",INDEX(SRC_Woningetalage!$A$1:$ZZ$501,$A80,Q$3)))</f>
        <v/>
      </c>
      <c r="R80" s="124" t="str">
        <f>IF($B80="","",IF(R$3=0,"n.b.",INDEX(SRC_Woningetalage!$A$1:$ZZ$501,$A80,R$3)))</f>
        <v/>
      </c>
      <c r="S80" s="124" t="str">
        <f>IF($B80="","",IF(S$3=0,"n.b.",INDEX(SRC_Woningetalage!$A$1:$ZZ$501,$A80,S$3)))</f>
        <v/>
      </c>
      <c r="T80" s="124" t="str">
        <f>IF($B80="","",IF(T$3=0,"n.b.",INDEX(SRC_Woningetalage!$A$1:$ZZ$501,$A80,T$3)))</f>
        <v/>
      </c>
      <c r="U80" s="124" t="str">
        <f>IF($B80="","",IF(U$3=0,"n.b.",INDEX(SRC_Woningetalage!$A$1:$ZZ$501,$A80,U$3)))</f>
        <v/>
      </c>
      <c r="V80" s="124" t="str">
        <f>IF($B80="","",IF(V$3=0,"n.b.",INDEX(SRC_Woningetalage!$A$1:$ZZ$501,$A80,V$3)))</f>
        <v/>
      </c>
      <c r="W80" s="124" t="str">
        <f>IF($B80="","",IF(W$3=0,"n.b.",INDEX(SRC_Woningetalage!$A$1:$ZZ$501,$A80,W$3)))</f>
        <v/>
      </c>
      <c r="X80" s="124" t="str">
        <f>IF($B80="","",IF(X$3=0,"n.b.",INDEX(SRC_Woningetalage!$A$1:$ZZ$501,$A80,X$3)))</f>
        <v/>
      </c>
      <c r="Y80" s="124" t="str">
        <f>IF($B80="","",IF(Y$3=0,"n.b.",INDEX(SRC_Woningetalage!$A$1:$ZZ$501,$A80,Y$3)))</f>
        <v/>
      </c>
      <c r="Z80" s="124" t="str">
        <f>IF($B80="","",IF(Z$3=0,"n.b.",INDEX(SRC_Woningetalage!$A$1:$ZZ$501,$A80,Z$3)))</f>
        <v/>
      </c>
      <c r="AA80" s="124" t="str">
        <f>IF($B80="","",IF(AA$3=0,"n.b.",INDEX(SRC_Woningetalage!$A$1:$ZZ$501,$A80,AA$3)))</f>
        <v/>
      </c>
      <c r="AB80" s="124" t="str">
        <f>IF($B80="","",IF(AB$3=0,"n.b.",INDEX(SRC_Woningetalage!$A$1:$ZZ$501,$A80,AB$3)))</f>
        <v/>
      </c>
      <c r="AC80" s="124" t="str">
        <f>IF($B80="","",IF(AC$3=0,"n.b.",INDEX(SRC_Woningetalage!$A$1:$ZZ$501,$A80,AC$3)))</f>
        <v/>
      </c>
      <c r="AD80" s="124" t="str">
        <f>IF($B80="","",IF(AD$3=0,"n.b.",INDEX(SRC_Woningetalage!$A$1:$ZZ$501,$A80,AD$3)))</f>
        <v/>
      </c>
      <c r="AE80" s="124" t="str">
        <f>IF($B80="","",IF(AE$3=0,"n.b.",INDEX(SRC_Woningetalage!$A$1:$ZZ$501,$A80,AE$3)))</f>
        <v/>
      </c>
      <c r="AF80" s="124" t="str">
        <f>IF($B80="","",IF(AF$3=0,"n.b.",INDEX(SRC_Woningetalage!$A$1:$ZZ$501,$A80,AF$3)))</f>
        <v/>
      </c>
      <c r="AG80" s="124" t="str">
        <f>IF($B80="","",IF(AG$3=0,"n.b.",INDEX(SRC_Woningetalage!$A$1:$ZZ$501,$A80,AG$3)))</f>
        <v/>
      </c>
      <c r="AH80" s="124" t="str">
        <f>IF($B80="","",IF(AH$3=0,"n.b.",INDEX(SRC_Woningetalage!$A$1:$ZZ$501,$A80,AH$3)))</f>
        <v/>
      </c>
      <c r="AI80" s="124" t="str">
        <f>IF($B80="","",IF(AI$3=0,"n.b.",INDEX(SRC_Woningetalage!$A$1:$ZZ$501,$A80,AI$3)))</f>
        <v/>
      </c>
      <c r="AJ80" s="124" t="str">
        <f>IF($B80="","",IF(AJ$3=0,"n.b.",INDEX(SRC_Woningetalage!$A$1:$ZZ$501,$A80,AJ$3)))</f>
        <v/>
      </c>
      <c r="AK80" s="124" t="str">
        <f>IF($B80="","",IF(AK$3=0,"n.b.",INDEX(SRC_Woningetalage!$A$1:$ZZ$501,$A80,AK$3)))</f>
        <v/>
      </c>
      <c r="AL80" s="124" t="str">
        <f>IF($B80="","",IF(AL$3=0,"n.b.",INDEX(SRC_Woningetalage!$A$1:$ZZ$501,$A80,AL$3)))</f>
        <v/>
      </c>
      <c r="AM80" s="124" t="str">
        <f>IF($B80="","",IF(AM$3=0,"n.b.",INDEX(SRC_Woningetalage!$A$1:$ZZ$501,$A80,AM$3)))</f>
        <v/>
      </c>
      <c r="AN80" s="124" t="str">
        <f>IF($B80="","",IF(AN$3=0,"n.b.",INDEX(SRC_Woningetalage!$A$1:$ZZ$501,$A80,AN$3)))</f>
        <v/>
      </c>
      <c r="AO80" s="124" t="str">
        <f>IF($B80="","",IF(AO$3=0,"n.b.",INDEX(SRC_Woningetalage!$A$1:$ZZ$501,$A80,AO$3)))</f>
        <v/>
      </c>
      <c r="AP80" s="124" t="str">
        <f>IF($B80="","",IF(AP$3=0,"n.b.",INDEX(SRC_Woningetalage!$A$1:$ZZ$501,$A80,AP$3)))</f>
        <v/>
      </c>
      <c r="AQ80" s="124" t="str">
        <f>IF($B80="","",IF(AQ$3=0,"n.b.",INDEX(SRC_Woningetalage!$A$1:$ZZ$501,$A80,AQ$3)))</f>
        <v/>
      </c>
      <c r="AR80" s="124" t="str">
        <f>IF($B80="","",IF(AR$3=0,"n.b.",INDEX(SRC_Woningetalage!$A$1:$ZZ$501,$A80,AR$3)))</f>
        <v/>
      </c>
      <c r="AS80" s="124" t="str">
        <f>IF($B80="","",IF(AS$3=0,"n.b.",INDEX(SRC_Woningetalage!$A$1:$ZZ$501,$A80,AS$3)))</f>
        <v/>
      </c>
      <c r="AT80" s="124" t="str">
        <f>IF($B80="","",IF(AT$3=0,"n.b.",INDEX(SRC_Woningetalage!$A$1:$ZZ$501,$A80,AT$3)))</f>
        <v/>
      </c>
      <c r="AU80" s="124" t="str">
        <f>IF($B80="","",IF(AU$3=0,"n.b.",INDEX(SRC_Woningetalage!$A$1:$ZZ$501,$A80,AU$3)))</f>
        <v/>
      </c>
      <c r="AV80" s="124" t="str">
        <f>IF($B80="","",IF(AV$3=0,"n.b.",INDEX(SRC_Woningetalage!$A$1:$ZZ$501,$A80,AV$3)))</f>
        <v/>
      </c>
      <c r="AW80" s="124" t="str">
        <f>IF($B80="","",IF(AW$3=0,"n.b.",INDEX(SRC_Woningetalage!$A$1:$ZZ$501,$A80,AW$3)))</f>
        <v/>
      </c>
      <c r="AX80" s="124" t="str">
        <f>IF($B80="","",IF(AX$3=0,"n.b.",INDEX(SRC_Woningetalage!$A$1:$ZZ$501,$A80,AX$3)))</f>
        <v/>
      </c>
      <c r="AY80" s="124" t="str">
        <f>IF($B80="","",IF(AY$3=0,"n.b.",INDEX(SRC_Woningetalage!$A$1:$ZZ$501,$A80,AY$3)))</f>
        <v/>
      </c>
      <c r="AZ80" s="124" t="str">
        <f>IF($B80="","",IF(AZ$3=0,"n.b.",INDEX(SRC_Woningetalage!$A$1:$ZZ$501,$A80,AZ$3)))</f>
        <v/>
      </c>
      <c r="BA80" s="124" t="str">
        <f>IF($B80="","",IF(BA$3=0,"n.b.",INDEX(SRC_Woningetalage!$A$1:$ZZ$501,$A80,BA$3)))</f>
        <v/>
      </c>
      <c r="BB80" s="124" t="str">
        <f>IF($B80="","",IF(BB$3=0,"n.b.",INDEX(SRC_Woningetalage!$A$1:$ZZ$501,$A80,BB$3)))</f>
        <v/>
      </c>
      <c r="BC80" s="124" t="str">
        <f>IF($B80="","",IFERROR(_xlfn.NUMBERVALUE(E80&amp;"",",","."),"n.b."))</f>
        <v/>
      </c>
      <c r="BD80" s="124" t="str">
        <f>IF($B80="","",IFERROR(_xlfn.NUMBERVALUE(M80&amp;"",",","."),"n.b."))</f>
        <v/>
      </c>
      <c r="BE80" s="124" t="str">
        <f>IF($B80="","",IFERROR(AB80+AC80+AD80,"n.b."))</f>
        <v/>
      </c>
      <c r="BF80" s="124" t="str">
        <f>IF($B80="","",IFERROR(AE80+AF80+AG80,"n.b."))</f>
        <v/>
      </c>
      <c r="BG80" s="124" t="str">
        <f>IF($B80="","",IFERROR(AH80+AI80+AJ80,"n.b."))</f>
        <v/>
      </c>
      <c r="BH80" s="124" t="str">
        <f>IF($B80="","",IFERROR(AK80+AL80+AM80,"n.b."))</f>
        <v/>
      </c>
      <c r="BI80" s="124" t="str">
        <f>IF($B80="","",IFERROR(SUMIF($AB$5:$AM$5,"&lt;="&amp;P_PeilMaand,AB80:AM80),"n.b."))</f>
        <v/>
      </c>
      <c r="BJ80" s="124" t="str">
        <f>IF($B80="","",IFERROR(SUM(AB80:AM80)-BI80,"n.b."))</f>
        <v/>
      </c>
      <c r="BK80" s="124" t="str">
        <f>IF($B80="","",IFERROR(IF(ABS(Q80-(T80+SUM(AB80:AM80)+AS80+AU80))&gt;P_Tol,1,0),1))</f>
        <v/>
      </c>
      <c r="BL80" s="124" t="str">
        <f>IF($B80="","",IFERROR(IF(ABS(AA80-(Q80-Z80))&gt;P_Tol,1,0),1))</f>
        <v/>
      </c>
      <c r="BM80" s="124" t="str">
        <f>IF($B80="","",IFERROR(IF(ABS(Z80-(T80+W80))&gt;P_Tol,1,0),1))</f>
        <v/>
      </c>
      <c r="BN80" s="124" t="str">
        <f>IF($B80="","",IFERROR(IF(ABS(W80-BI80)&gt;P_Tol,1,0),1))</f>
        <v/>
      </c>
      <c r="BO80" s="124" t="str">
        <f>IF($B80="","",IFERROR(IF(OR(ABS(R80+S80-T80)&gt;P_Tol,ABS(U80+V80-W80)&gt;P_Tol,ABS(X80+Y80-Z80)&gt;P_Tol),1,0),1))</f>
        <v/>
      </c>
      <c r="BP80" s="124" t="str">
        <f>IF($B80="","",IFERROR(IF(OR(ABS(AR80-SUM(AB80:AM80))&gt;P_Tol,ABS(AS80-(AN80+AO80+AP80+AQ80))&gt;P_Tol),1,0),1))</f>
        <v/>
      </c>
      <c r="BQ80" s="124" t="str">
        <f>IF($B80="","",IFERROR(IF(ABS(AT80)+ABS(AV80)+ABS(AW80)+ABS(AX80)+ABS(AY80)+ABS(AZ80)+ABS(BA80)+ABS(BB80)&gt;0,1,0),1))</f>
        <v/>
      </c>
      <c r="BR80" s="124" t="str">
        <f>IF($B80="","",COUNTIF(STG_ZPMW03!$B$6:$B$505,B80))</f>
        <v/>
      </c>
      <c r="BS80" s="124" t="str">
        <f>IF($B80="","",COUNTIF($B$6:$B$505,B80))</f>
        <v/>
      </c>
      <c r="BT80" s="124" t="str">
        <f>IF($B80="","",IF(BR80=0,0,IF(INDEX(STG_ZPMW03!$I$6:$I$505,MATCH(B80,STG_ZPMW03!$B$6:$B$505,0))=J80&amp;"",0,1)))</f>
        <v/>
      </c>
      <c r="BU80" s="124" t="str">
        <f>IF($B80="","",IFERROR(IF(ABS(INDEX(Mapping!$D$5:$D$104,MATCH(B80,Mapping!$A$5:$A$104,0))-Q80)&gt;P_Tol,1,0),0))</f>
        <v/>
      </c>
      <c r="BV80" s="124" t="str">
        <f>IF($B80="","",IFERROR(IF(AND(INDEX(Mapping!$G$5:$G$104,MATCH(B80,Mapping!$A$5:$A$104,0))="Nee",ABS(Q80)+ABS(Z80)+ABS(AR80)&gt;0),1,0),0))</f>
        <v/>
      </c>
      <c r="BW80" s="124" t="str">
        <f>IF($B80="","",IF(COUNTIF(Mapping!$A$5:$A$104,B80)&gt;0,1,0))</f>
        <v/>
      </c>
      <c r="BX80" s="124" t="str">
        <f>IF($B80="","",IF(BR80=0,COUNTIF($BR$6:BR80,0),""))</f>
        <v/>
      </c>
    </row>
    <row r="81">
      <c r="A81" s="15" t="n">
        <v>77</v>
      </c>
      <c r="B81" t="str">
        <f>IF(B$3=0,"",IF(INDEX(SRC_Woningetalage!$A$1:$ZZ$501,$A81,B$3)&amp;""="","",INDEX(SRC_Woningetalage!$A$1:$ZZ$501,$A81,B$3)&amp;""))</f>
        <v/>
      </c>
      <c r="C81" t="str">
        <f>IF($B81="","",IF(C$3=0,"n.b.",INDEX(SRC_Woningetalage!$A$1:$ZZ$501,$A81,C$3)))</f>
        <v/>
      </c>
      <c r="D81" t="str">
        <f>IF($B81="","",IF(D$3=0,"n.b.",INDEX(SRC_Woningetalage!$A$1:$ZZ$501,$A81,D$3)))</f>
        <v/>
      </c>
      <c r="E81" t="str">
        <f>IF($B81="","",IF(E$3=0,"n.b.",INDEX(SRC_Woningetalage!$A$1:$ZZ$501,$A81,E$3)))</f>
        <v/>
      </c>
      <c r="F81" t="str">
        <f>IF($B81="","",IF(F$3=0,"n.b.",INDEX(SRC_Woningetalage!$A$1:$ZZ$501,$A81,F$3)))</f>
        <v/>
      </c>
      <c r="G81" t="str">
        <f>IF($B81="","",IF(G$3=0,"n.b.",INDEX(SRC_Woningetalage!$A$1:$ZZ$501,$A81,G$3)))</f>
        <v/>
      </c>
      <c r="H81" t="str">
        <f>IF($B81="","",IF(H$3=0,"n.b.",INDEX(SRC_Woningetalage!$A$1:$ZZ$501,$A81,H$3)))</f>
        <v/>
      </c>
      <c r="I81" t="str">
        <f>IF($B81="","",IF(I$3=0,"n.b.",INDEX(SRC_Woningetalage!$A$1:$ZZ$501,$A81,I$3)))</f>
        <v/>
      </c>
      <c r="J81" t="str">
        <f>IF($B81="","",IF(J$3=0,"n.b.",INDEX(SRC_Woningetalage!$A$1:$ZZ$501,$A81,J$3)))</f>
        <v/>
      </c>
      <c r="K81" t="str">
        <f>IF($B81="","",IF(K$3=0,"n.b.",INDEX(SRC_Woningetalage!$A$1:$ZZ$501,$A81,K$3)))</f>
        <v/>
      </c>
      <c r="L81" t="str">
        <f>IF($B81="","",IF(L$3=0,"n.b.",INDEX(SRC_Woningetalage!$A$1:$ZZ$501,$A81,L$3)))</f>
        <v/>
      </c>
      <c r="M81" t="str">
        <f>IF($B81="","",IF(M$3=0,"n.b.",INDEX(SRC_Woningetalage!$A$1:$ZZ$501,$A81,M$3)))</f>
        <v/>
      </c>
      <c r="N81" t="str">
        <f>IF($B81="","",IF(N$3=0,"n.b.",INDEX(SRC_Woningetalage!$A$1:$ZZ$501,$A81,N$3)))</f>
        <v/>
      </c>
      <c r="O81" t="str">
        <f>IF($B81="","",IF(O$3=0,"n.b.",INDEX(SRC_Woningetalage!$A$1:$ZZ$501,$A81,O$3)))</f>
        <v/>
      </c>
      <c r="P81" t="str">
        <f>IF($B81="","",IF(P$3=0,"n.b.",INDEX(SRC_Woningetalage!$A$1:$ZZ$501,$A81,P$3)))</f>
        <v/>
      </c>
      <c r="Q81" s="124" t="str">
        <f>IF($B81="","",IF(Q$3=0,"n.b.",INDEX(SRC_Woningetalage!$A$1:$ZZ$501,$A81,Q$3)))</f>
        <v/>
      </c>
      <c r="R81" s="124" t="str">
        <f>IF($B81="","",IF(R$3=0,"n.b.",INDEX(SRC_Woningetalage!$A$1:$ZZ$501,$A81,R$3)))</f>
        <v/>
      </c>
      <c r="S81" s="124" t="str">
        <f>IF($B81="","",IF(S$3=0,"n.b.",INDEX(SRC_Woningetalage!$A$1:$ZZ$501,$A81,S$3)))</f>
        <v/>
      </c>
      <c r="T81" s="124" t="str">
        <f>IF($B81="","",IF(T$3=0,"n.b.",INDEX(SRC_Woningetalage!$A$1:$ZZ$501,$A81,T$3)))</f>
        <v/>
      </c>
      <c r="U81" s="124" t="str">
        <f>IF($B81="","",IF(U$3=0,"n.b.",INDEX(SRC_Woningetalage!$A$1:$ZZ$501,$A81,U$3)))</f>
        <v/>
      </c>
      <c r="V81" s="124" t="str">
        <f>IF($B81="","",IF(V$3=0,"n.b.",INDEX(SRC_Woningetalage!$A$1:$ZZ$501,$A81,V$3)))</f>
        <v/>
      </c>
      <c r="W81" s="124" t="str">
        <f>IF($B81="","",IF(W$3=0,"n.b.",INDEX(SRC_Woningetalage!$A$1:$ZZ$501,$A81,W$3)))</f>
        <v/>
      </c>
      <c r="X81" s="124" t="str">
        <f>IF($B81="","",IF(X$3=0,"n.b.",INDEX(SRC_Woningetalage!$A$1:$ZZ$501,$A81,X$3)))</f>
        <v/>
      </c>
      <c r="Y81" s="124" t="str">
        <f>IF($B81="","",IF(Y$3=0,"n.b.",INDEX(SRC_Woningetalage!$A$1:$ZZ$501,$A81,Y$3)))</f>
        <v/>
      </c>
      <c r="Z81" s="124" t="str">
        <f>IF($B81="","",IF(Z$3=0,"n.b.",INDEX(SRC_Woningetalage!$A$1:$ZZ$501,$A81,Z$3)))</f>
        <v/>
      </c>
      <c r="AA81" s="124" t="str">
        <f>IF($B81="","",IF(AA$3=0,"n.b.",INDEX(SRC_Woningetalage!$A$1:$ZZ$501,$A81,AA$3)))</f>
        <v/>
      </c>
      <c r="AB81" s="124" t="str">
        <f>IF($B81="","",IF(AB$3=0,"n.b.",INDEX(SRC_Woningetalage!$A$1:$ZZ$501,$A81,AB$3)))</f>
        <v/>
      </c>
      <c r="AC81" s="124" t="str">
        <f>IF($B81="","",IF(AC$3=0,"n.b.",INDEX(SRC_Woningetalage!$A$1:$ZZ$501,$A81,AC$3)))</f>
        <v/>
      </c>
      <c r="AD81" s="124" t="str">
        <f>IF($B81="","",IF(AD$3=0,"n.b.",INDEX(SRC_Woningetalage!$A$1:$ZZ$501,$A81,AD$3)))</f>
        <v/>
      </c>
      <c r="AE81" s="124" t="str">
        <f>IF($B81="","",IF(AE$3=0,"n.b.",INDEX(SRC_Woningetalage!$A$1:$ZZ$501,$A81,AE$3)))</f>
        <v/>
      </c>
      <c r="AF81" s="124" t="str">
        <f>IF($B81="","",IF(AF$3=0,"n.b.",INDEX(SRC_Woningetalage!$A$1:$ZZ$501,$A81,AF$3)))</f>
        <v/>
      </c>
      <c r="AG81" s="124" t="str">
        <f>IF($B81="","",IF(AG$3=0,"n.b.",INDEX(SRC_Woningetalage!$A$1:$ZZ$501,$A81,AG$3)))</f>
        <v/>
      </c>
      <c r="AH81" s="124" t="str">
        <f>IF($B81="","",IF(AH$3=0,"n.b.",INDEX(SRC_Woningetalage!$A$1:$ZZ$501,$A81,AH$3)))</f>
        <v/>
      </c>
      <c r="AI81" s="124" t="str">
        <f>IF($B81="","",IF(AI$3=0,"n.b.",INDEX(SRC_Woningetalage!$A$1:$ZZ$501,$A81,AI$3)))</f>
        <v/>
      </c>
      <c r="AJ81" s="124" t="str">
        <f>IF($B81="","",IF(AJ$3=0,"n.b.",INDEX(SRC_Woningetalage!$A$1:$ZZ$501,$A81,AJ$3)))</f>
        <v/>
      </c>
      <c r="AK81" s="124" t="str">
        <f>IF($B81="","",IF(AK$3=0,"n.b.",INDEX(SRC_Woningetalage!$A$1:$ZZ$501,$A81,AK$3)))</f>
        <v/>
      </c>
      <c r="AL81" s="124" t="str">
        <f>IF($B81="","",IF(AL$3=0,"n.b.",INDEX(SRC_Woningetalage!$A$1:$ZZ$501,$A81,AL$3)))</f>
        <v/>
      </c>
      <c r="AM81" s="124" t="str">
        <f>IF($B81="","",IF(AM$3=0,"n.b.",INDEX(SRC_Woningetalage!$A$1:$ZZ$501,$A81,AM$3)))</f>
        <v/>
      </c>
      <c r="AN81" s="124" t="str">
        <f>IF($B81="","",IF(AN$3=0,"n.b.",INDEX(SRC_Woningetalage!$A$1:$ZZ$501,$A81,AN$3)))</f>
        <v/>
      </c>
      <c r="AO81" s="124" t="str">
        <f>IF($B81="","",IF(AO$3=0,"n.b.",INDEX(SRC_Woningetalage!$A$1:$ZZ$501,$A81,AO$3)))</f>
        <v/>
      </c>
      <c r="AP81" s="124" t="str">
        <f>IF($B81="","",IF(AP$3=0,"n.b.",INDEX(SRC_Woningetalage!$A$1:$ZZ$501,$A81,AP$3)))</f>
        <v/>
      </c>
      <c r="AQ81" s="124" t="str">
        <f>IF($B81="","",IF(AQ$3=0,"n.b.",INDEX(SRC_Woningetalage!$A$1:$ZZ$501,$A81,AQ$3)))</f>
        <v/>
      </c>
      <c r="AR81" s="124" t="str">
        <f>IF($B81="","",IF(AR$3=0,"n.b.",INDEX(SRC_Woningetalage!$A$1:$ZZ$501,$A81,AR$3)))</f>
        <v/>
      </c>
      <c r="AS81" s="124" t="str">
        <f>IF($B81="","",IF(AS$3=0,"n.b.",INDEX(SRC_Woningetalage!$A$1:$ZZ$501,$A81,AS$3)))</f>
        <v/>
      </c>
      <c r="AT81" s="124" t="str">
        <f>IF($B81="","",IF(AT$3=0,"n.b.",INDEX(SRC_Woningetalage!$A$1:$ZZ$501,$A81,AT$3)))</f>
        <v/>
      </c>
      <c r="AU81" s="124" t="str">
        <f>IF($B81="","",IF(AU$3=0,"n.b.",INDEX(SRC_Woningetalage!$A$1:$ZZ$501,$A81,AU$3)))</f>
        <v/>
      </c>
      <c r="AV81" s="124" t="str">
        <f>IF($B81="","",IF(AV$3=0,"n.b.",INDEX(SRC_Woningetalage!$A$1:$ZZ$501,$A81,AV$3)))</f>
        <v/>
      </c>
      <c r="AW81" s="124" t="str">
        <f>IF($B81="","",IF(AW$3=0,"n.b.",INDEX(SRC_Woningetalage!$A$1:$ZZ$501,$A81,AW$3)))</f>
        <v/>
      </c>
      <c r="AX81" s="124" t="str">
        <f>IF($B81="","",IF(AX$3=0,"n.b.",INDEX(SRC_Woningetalage!$A$1:$ZZ$501,$A81,AX$3)))</f>
        <v/>
      </c>
      <c r="AY81" s="124" t="str">
        <f>IF($B81="","",IF(AY$3=0,"n.b.",INDEX(SRC_Woningetalage!$A$1:$ZZ$501,$A81,AY$3)))</f>
        <v/>
      </c>
      <c r="AZ81" s="124" t="str">
        <f>IF($B81="","",IF(AZ$3=0,"n.b.",INDEX(SRC_Woningetalage!$A$1:$ZZ$501,$A81,AZ$3)))</f>
        <v/>
      </c>
      <c r="BA81" s="124" t="str">
        <f>IF($B81="","",IF(BA$3=0,"n.b.",INDEX(SRC_Woningetalage!$A$1:$ZZ$501,$A81,BA$3)))</f>
        <v/>
      </c>
      <c r="BB81" s="124" t="str">
        <f>IF($B81="","",IF(BB$3=0,"n.b.",INDEX(SRC_Woningetalage!$A$1:$ZZ$501,$A81,BB$3)))</f>
        <v/>
      </c>
      <c r="BC81" s="124" t="str">
        <f>IF($B81="","",IFERROR(_xlfn.NUMBERVALUE(E81&amp;"",",","."),"n.b."))</f>
        <v/>
      </c>
      <c r="BD81" s="124" t="str">
        <f>IF($B81="","",IFERROR(_xlfn.NUMBERVALUE(M81&amp;"",",","."),"n.b."))</f>
        <v/>
      </c>
      <c r="BE81" s="124" t="str">
        <f>IF($B81="","",IFERROR(AB81+AC81+AD81,"n.b."))</f>
        <v/>
      </c>
      <c r="BF81" s="124" t="str">
        <f>IF($B81="","",IFERROR(AE81+AF81+AG81,"n.b."))</f>
        <v/>
      </c>
      <c r="BG81" s="124" t="str">
        <f>IF($B81="","",IFERROR(AH81+AI81+AJ81,"n.b."))</f>
        <v/>
      </c>
      <c r="BH81" s="124" t="str">
        <f>IF($B81="","",IFERROR(AK81+AL81+AM81,"n.b."))</f>
        <v/>
      </c>
      <c r="BI81" s="124" t="str">
        <f>IF($B81="","",IFERROR(SUMIF($AB$5:$AM$5,"&lt;="&amp;P_PeilMaand,AB81:AM81),"n.b."))</f>
        <v/>
      </c>
      <c r="BJ81" s="124" t="str">
        <f>IF($B81="","",IFERROR(SUM(AB81:AM81)-BI81,"n.b."))</f>
        <v/>
      </c>
      <c r="BK81" s="124" t="str">
        <f>IF($B81="","",IFERROR(IF(ABS(Q81-(T81+SUM(AB81:AM81)+AS81+AU81))&gt;P_Tol,1,0),1))</f>
        <v/>
      </c>
      <c r="BL81" s="124" t="str">
        <f>IF($B81="","",IFERROR(IF(ABS(AA81-(Q81-Z81))&gt;P_Tol,1,0),1))</f>
        <v/>
      </c>
      <c r="BM81" s="124" t="str">
        <f>IF($B81="","",IFERROR(IF(ABS(Z81-(T81+W81))&gt;P_Tol,1,0),1))</f>
        <v/>
      </c>
      <c r="BN81" s="124" t="str">
        <f>IF($B81="","",IFERROR(IF(ABS(W81-BI81)&gt;P_Tol,1,0),1))</f>
        <v/>
      </c>
      <c r="BO81" s="124" t="str">
        <f>IF($B81="","",IFERROR(IF(OR(ABS(R81+S81-T81)&gt;P_Tol,ABS(U81+V81-W81)&gt;P_Tol,ABS(X81+Y81-Z81)&gt;P_Tol),1,0),1))</f>
        <v/>
      </c>
      <c r="BP81" s="124" t="str">
        <f>IF($B81="","",IFERROR(IF(OR(ABS(AR81-SUM(AB81:AM81))&gt;P_Tol,ABS(AS81-(AN81+AO81+AP81+AQ81))&gt;P_Tol),1,0),1))</f>
        <v/>
      </c>
      <c r="BQ81" s="124" t="str">
        <f>IF($B81="","",IFERROR(IF(ABS(AT81)+ABS(AV81)+ABS(AW81)+ABS(AX81)+ABS(AY81)+ABS(AZ81)+ABS(BA81)+ABS(BB81)&gt;0,1,0),1))</f>
        <v/>
      </c>
      <c r="BR81" s="124" t="str">
        <f>IF($B81="","",COUNTIF(STG_ZPMW03!$B$6:$B$505,B81))</f>
        <v/>
      </c>
      <c r="BS81" s="124" t="str">
        <f>IF($B81="","",COUNTIF($B$6:$B$505,B81))</f>
        <v/>
      </c>
      <c r="BT81" s="124" t="str">
        <f>IF($B81="","",IF(BR81=0,0,IF(INDEX(STG_ZPMW03!$I$6:$I$505,MATCH(B81,STG_ZPMW03!$B$6:$B$505,0))=J81&amp;"",0,1)))</f>
        <v/>
      </c>
      <c r="BU81" s="124" t="str">
        <f>IF($B81="","",IFERROR(IF(ABS(INDEX(Mapping!$D$5:$D$104,MATCH(B81,Mapping!$A$5:$A$104,0))-Q81)&gt;P_Tol,1,0),0))</f>
        <v/>
      </c>
      <c r="BV81" s="124" t="str">
        <f>IF($B81="","",IFERROR(IF(AND(INDEX(Mapping!$G$5:$G$104,MATCH(B81,Mapping!$A$5:$A$104,0))="Nee",ABS(Q81)+ABS(Z81)+ABS(AR81)&gt;0),1,0),0))</f>
        <v/>
      </c>
      <c r="BW81" s="124" t="str">
        <f>IF($B81="","",IF(COUNTIF(Mapping!$A$5:$A$104,B81)&gt;0,1,0))</f>
        <v/>
      </c>
      <c r="BX81" s="124" t="str">
        <f>IF($B81="","",IF(BR81=0,COUNTIF($BR$6:BR81,0),""))</f>
        <v/>
      </c>
    </row>
    <row r="82">
      <c r="A82" s="15" t="n">
        <v>78</v>
      </c>
      <c r="B82" t="str">
        <f>IF(B$3=0,"",IF(INDEX(SRC_Woningetalage!$A$1:$ZZ$501,$A82,B$3)&amp;""="","",INDEX(SRC_Woningetalage!$A$1:$ZZ$501,$A82,B$3)&amp;""))</f>
        <v/>
      </c>
      <c r="C82" t="str">
        <f>IF($B82="","",IF(C$3=0,"n.b.",INDEX(SRC_Woningetalage!$A$1:$ZZ$501,$A82,C$3)))</f>
        <v/>
      </c>
      <c r="D82" t="str">
        <f>IF($B82="","",IF(D$3=0,"n.b.",INDEX(SRC_Woningetalage!$A$1:$ZZ$501,$A82,D$3)))</f>
        <v/>
      </c>
      <c r="E82" t="str">
        <f>IF($B82="","",IF(E$3=0,"n.b.",INDEX(SRC_Woningetalage!$A$1:$ZZ$501,$A82,E$3)))</f>
        <v/>
      </c>
      <c r="F82" t="str">
        <f>IF($B82="","",IF(F$3=0,"n.b.",INDEX(SRC_Woningetalage!$A$1:$ZZ$501,$A82,F$3)))</f>
        <v/>
      </c>
      <c r="G82" t="str">
        <f>IF($B82="","",IF(G$3=0,"n.b.",INDEX(SRC_Woningetalage!$A$1:$ZZ$501,$A82,G$3)))</f>
        <v/>
      </c>
      <c r="H82" t="str">
        <f>IF($B82="","",IF(H$3=0,"n.b.",INDEX(SRC_Woningetalage!$A$1:$ZZ$501,$A82,H$3)))</f>
        <v/>
      </c>
      <c r="I82" t="str">
        <f>IF($B82="","",IF(I$3=0,"n.b.",INDEX(SRC_Woningetalage!$A$1:$ZZ$501,$A82,I$3)))</f>
        <v/>
      </c>
      <c r="J82" t="str">
        <f>IF($B82="","",IF(J$3=0,"n.b.",INDEX(SRC_Woningetalage!$A$1:$ZZ$501,$A82,J$3)))</f>
        <v/>
      </c>
      <c r="K82" t="str">
        <f>IF($B82="","",IF(K$3=0,"n.b.",INDEX(SRC_Woningetalage!$A$1:$ZZ$501,$A82,K$3)))</f>
        <v/>
      </c>
      <c r="L82" t="str">
        <f>IF($B82="","",IF(L$3=0,"n.b.",INDEX(SRC_Woningetalage!$A$1:$ZZ$501,$A82,L$3)))</f>
        <v/>
      </c>
      <c r="M82" t="str">
        <f>IF($B82="","",IF(M$3=0,"n.b.",INDEX(SRC_Woningetalage!$A$1:$ZZ$501,$A82,M$3)))</f>
        <v/>
      </c>
      <c r="N82" t="str">
        <f>IF($B82="","",IF(N$3=0,"n.b.",INDEX(SRC_Woningetalage!$A$1:$ZZ$501,$A82,N$3)))</f>
        <v/>
      </c>
      <c r="O82" t="str">
        <f>IF($B82="","",IF(O$3=0,"n.b.",INDEX(SRC_Woningetalage!$A$1:$ZZ$501,$A82,O$3)))</f>
        <v/>
      </c>
      <c r="P82" t="str">
        <f>IF($B82="","",IF(P$3=0,"n.b.",INDEX(SRC_Woningetalage!$A$1:$ZZ$501,$A82,P$3)))</f>
        <v/>
      </c>
      <c r="Q82" s="124" t="str">
        <f>IF($B82="","",IF(Q$3=0,"n.b.",INDEX(SRC_Woningetalage!$A$1:$ZZ$501,$A82,Q$3)))</f>
        <v/>
      </c>
      <c r="R82" s="124" t="str">
        <f>IF($B82="","",IF(R$3=0,"n.b.",INDEX(SRC_Woningetalage!$A$1:$ZZ$501,$A82,R$3)))</f>
        <v/>
      </c>
      <c r="S82" s="124" t="str">
        <f>IF($B82="","",IF(S$3=0,"n.b.",INDEX(SRC_Woningetalage!$A$1:$ZZ$501,$A82,S$3)))</f>
        <v/>
      </c>
      <c r="T82" s="124" t="str">
        <f>IF($B82="","",IF(T$3=0,"n.b.",INDEX(SRC_Woningetalage!$A$1:$ZZ$501,$A82,T$3)))</f>
        <v/>
      </c>
      <c r="U82" s="124" t="str">
        <f>IF($B82="","",IF(U$3=0,"n.b.",INDEX(SRC_Woningetalage!$A$1:$ZZ$501,$A82,U$3)))</f>
        <v/>
      </c>
      <c r="V82" s="124" t="str">
        <f>IF($B82="","",IF(V$3=0,"n.b.",INDEX(SRC_Woningetalage!$A$1:$ZZ$501,$A82,V$3)))</f>
        <v/>
      </c>
      <c r="W82" s="124" t="str">
        <f>IF($B82="","",IF(W$3=0,"n.b.",INDEX(SRC_Woningetalage!$A$1:$ZZ$501,$A82,W$3)))</f>
        <v/>
      </c>
      <c r="X82" s="124" t="str">
        <f>IF($B82="","",IF(X$3=0,"n.b.",INDEX(SRC_Woningetalage!$A$1:$ZZ$501,$A82,X$3)))</f>
        <v/>
      </c>
      <c r="Y82" s="124" t="str">
        <f>IF($B82="","",IF(Y$3=0,"n.b.",INDEX(SRC_Woningetalage!$A$1:$ZZ$501,$A82,Y$3)))</f>
        <v/>
      </c>
      <c r="Z82" s="124" t="str">
        <f>IF($B82="","",IF(Z$3=0,"n.b.",INDEX(SRC_Woningetalage!$A$1:$ZZ$501,$A82,Z$3)))</f>
        <v/>
      </c>
      <c r="AA82" s="124" t="str">
        <f>IF($B82="","",IF(AA$3=0,"n.b.",INDEX(SRC_Woningetalage!$A$1:$ZZ$501,$A82,AA$3)))</f>
        <v/>
      </c>
      <c r="AB82" s="124" t="str">
        <f>IF($B82="","",IF(AB$3=0,"n.b.",INDEX(SRC_Woningetalage!$A$1:$ZZ$501,$A82,AB$3)))</f>
        <v/>
      </c>
      <c r="AC82" s="124" t="str">
        <f>IF($B82="","",IF(AC$3=0,"n.b.",INDEX(SRC_Woningetalage!$A$1:$ZZ$501,$A82,AC$3)))</f>
        <v/>
      </c>
      <c r="AD82" s="124" t="str">
        <f>IF($B82="","",IF(AD$3=0,"n.b.",INDEX(SRC_Woningetalage!$A$1:$ZZ$501,$A82,AD$3)))</f>
        <v/>
      </c>
      <c r="AE82" s="124" t="str">
        <f>IF($B82="","",IF(AE$3=0,"n.b.",INDEX(SRC_Woningetalage!$A$1:$ZZ$501,$A82,AE$3)))</f>
        <v/>
      </c>
      <c r="AF82" s="124" t="str">
        <f>IF($B82="","",IF(AF$3=0,"n.b.",INDEX(SRC_Woningetalage!$A$1:$ZZ$501,$A82,AF$3)))</f>
        <v/>
      </c>
      <c r="AG82" s="124" t="str">
        <f>IF($B82="","",IF(AG$3=0,"n.b.",INDEX(SRC_Woningetalage!$A$1:$ZZ$501,$A82,AG$3)))</f>
        <v/>
      </c>
      <c r="AH82" s="124" t="str">
        <f>IF($B82="","",IF(AH$3=0,"n.b.",INDEX(SRC_Woningetalage!$A$1:$ZZ$501,$A82,AH$3)))</f>
        <v/>
      </c>
      <c r="AI82" s="124" t="str">
        <f>IF($B82="","",IF(AI$3=0,"n.b.",INDEX(SRC_Woningetalage!$A$1:$ZZ$501,$A82,AI$3)))</f>
        <v/>
      </c>
      <c r="AJ82" s="124" t="str">
        <f>IF($B82="","",IF(AJ$3=0,"n.b.",INDEX(SRC_Woningetalage!$A$1:$ZZ$501,$A82,AJ$3)))</f>
        <v/>
      </c>
      <c r="AK82" s="124" t="str">
        <f>IF($B82="","",IF(AK$3=0,"n.b.",INDEX(SRC_Woningetalage!$A$1:$ZZ$501,$A82,AK$3)))</f>
        <v/>
      </c>
      <c r="AL82" s="124" t="str">
        <f>IF($B82="","",IF(AL$3=0,"n.b.",INDEX(SRC_Woningetalage!$A$1:$ZZ$501,$A82,AL$3)))</f>
        <v/>
      </c>
      <c r="AM82" s="124" t="str">
        <f>IF($B82="","",IF(AM$3=0,"n.b.",INDEX(SRC_Woningetalage!$A$1:$ZZ$501,$A82,AM$3)))</f>
        <v/>
      </c>
      <c r="AN82" s="124" t="str">
        <f>IF($B82="","",IF(AN$3=0,"n.b.",INDEX(SRC_Woningetalage!$A$1:$ZZ$501,$A82,AN$3)))</f>
        <v/>
      </c>
      <c r="AO82" s="124" t="str">
        <f>IF($B82="","",IF(AO$3=0,"n.b.",INDEX(SRC_Woningetalage!$A$1:$ZZ$501,$A82,AO$3)))</f>
        <v/>
      </c>
      <c r="AP82" s="124" t="str">
        <f>IF($B82="","",IF(AP$3=0,"n.b.",INDEX(SRC_Woningetalage!$A$1:$ZZ$501,$A82,AP$3)))</f>
        <v/>
      </c>
      <c r="AQ82" s="124" t="str">
        <f>IF($B82="","",IF(AQ$3=0,"n.b.",INDEX(SRC_Woningetalage!$A$1:$ZZ$501,$A82,AQ$3)))</f>
        <v/>
      </c>
      <c r="AR82" s="124" t="str">
        <f>IF($B82="","",IF(AR$3=0,"n.b.",INDEX(SRC_Woningetalage!$A$1:$ZZ$501,$A82,AR$3)))</f>
        <v/>
      </c>
      <c r="AS82" s="124" t="str">
        <f>IF($B82="","",IF(AS$3=0,"n.b.",INDEX(SRC_Woningetalage!$A$1:$ZZ$501,$A82,AS$3)))</f>
        <v/>
      </c>
      <c r="AT82" s="124" t="str">
        <f>IF($B82="","",IF(AT$3=0,"n.b.",INDEX(SRC_Woningetalage!$A$1:$ZZ$501,$A82,AT$3)))</f>
        <v/>
      </c>
      <c r="AU82" s="124" t="str">
        <f>IF($B82="","",IF(AU$3=0,"n.b.",INDEX(SRC_Woningetalage!$A$1:$ZZ$501,$A82,AU$3)))</f>
        <v/>
      </c>
      <c r="AV82" s="124" t="str">
        <f>IF($B82="","",IF(AV$3=0,"n.b.",INDEX(SRC_Woningetalage!$A$1:$ZZ$501,$A82,AV$3)))</f>
        <v/>
      </c>
      <c r="AW82" s="124" t="str">
        <f>IF($B82="","",IF(AW$3=0,"n.b.",INDEX(SRC_Woningetalage!$A$1:$ZZ$501,$A82,AW$3)))</f>
        <v/>
      </c>
      <c r="AX82" s="124" t="str">
        <f>IF($B82="","",IF(AX$3=0,"n.b.",INDEX(SRC_Woningetalage!$A$1:$ZZ$501,$A82,AX$3)))</f>
        <v/>
      </c>
      <c r="AY82" s="124" t="str">
        <f>IF($B82="","",IF(AY$3=0,"n.b.",INDEX(SRC_Woningetalage!$A$1:$ZZ$501,$A82,AY$3)))</f>
        <v/>
      </c>
      <c r="AZ82" s="124" t="str">
        <f>IF($B82="","",IF(AZ$3=0,"n.b.",INDEX(SRC_Woningetalage!$A$1:$ZZ$501,$A82,AZ$3)))</f>
        <v/>
      </c>
      <c r="BA82" s="124" t="str">
        <f>IF($B82="","",IF(BA$3=0,"n.b.",INDEX(SRC_Woningetalage!$A$1:$ZZ$501,$A82,BA$3)))</f>
        <v/>
      </c>
      <c r="BB82" s="124" t="str">
        <f>IF($B82="","",IF(BB$3=0,"n.b.",INDEX(SRC_Woningetalage!$A$1:$ZZ$501,$A82,BB$3)))</f>
        <v/>
      </c>
      <c r="BC82" s="124" t="str">
        <f>IF($B82="","",IFERROR(_xlfn.NUMBERVALUE(E82&amp;"",",","."),"n.b."))</f>
        <v/>
      </c>
      <c r="BD82" s="124" t="str">
        <f>IF($B82="","",IFERROR(_xlfn.NUMBERVALUE(M82&amp;"",",","."),"n.b."))</f>
        <v/>
      </c>
      <c r="BE82" s="124" t="str">
        <f>IF($B82="","",IFERROR(AB82+AC82+AD82,"n.b."))</f>
        <v/>
      </c>
      <c r="BF82" s="124" t="str">
        <f>IF($B82="","",IFERROR(AE82+AF82+AG82,"n.b."))</f>
        <v/>
      </c>
      <c r="BG82" s="124" t="str">
        <f>IF($B82="","",IFERROR(AH82+AI82+AJ82,"n.b."))</f>
        <v/>
      </c>
      <c r="BH82" s="124" t="str">
        <f>IF($B82="","",IFERROR(AK82+AL82+AM82,"n.b."))</f>
        <v/>
      </c>
      <c r="BI82" s="124" t="str">
        <f>IF($B82="","",IFERROR(SUMIF($AB$5:$AM$5,"&lt;="&amp;P_PeilMaand,AB82:AM82),"n.b."))</f>
        <v/>
      </c>
      <c r="BJ82" s="124" t="str">
        <f>IF($B82="","",IFERROR(SUM(AB82:AM82)-BI82,"n.b."))</f>
        <v/>
      </c>
      <c r="BK82" s="124" t="str">
        <f>IF($B82="","",IFERROR(IF(ABS(Q82-(T82+SUM(AB82:AM82)+AS82+AU82))&gt;P_Tol,1,0),1))</f>
        <v/>
      </c>
      <c r="BL82" s="124" t="str">
        <f>IF($B82="","",IFERROR(IF(ABS(AA82-(Q82-Z82))&gt;P_Tol,1,0),1))</f>
        <v/>
      </c>
      <c r="BM82" s="124" t="str">
        <f>IF($B82="","",IFERROR(IF(ABS(Z82-(T82+W82))&gt;P_Tol,1,0),1))</f>
        <v/>
      </c>
      <c r="BN82" s="124" t="str">
        <f>IF($B82="","",IFERROR(IF(ABS(W82-BI82)&gt;P_Tol,1,0),1))</f>
        <v/>
      </c>
      <c r="BO82" s="124" t="str">
        <f>IF($B82="","",IFERROR(IF(OR(ABS(R82+S82-T82)&gt;P_Tol,ABS(U82+V82-W82)&gt;P_Tol,ABS(X82+Y82-Z82)&gt;P_Tol),1,0),1))</f>
        <v/>
      </c>
      <c r="BP82" s="124" t="str">
        <f>IF($B82="","",IFERROR(IF(OR(ABS(AR82-SUM(AB82:AM82))&gt;P_Tol,ABS(AS82-(AN82+AO82+AP82+AQ82))&gt;P_Tol),1,0),1))</f>
        <v/>
      </c>
      <c r="BQ82" s="124" t="str">
        <f>IF($B82="","",IFERROR(IF(ABS(AT82)+ABS(AV82)+ABS(AW82)+ABS(AX82)+ABS(AY82)+ABS(AZ82)+ABS(BA82)+ABS(BB82)&gt;0,1,0),1))</f>
        <v/>
      </c>
      <c r="BR82" s="124" t="str">
        <f>IF($B82="","",COUNTIF(STG_ZPMW03!$B$6:$B$505,B82))</f>
        <v/>
      </c>
      <c r="BS82" s="124" t="str">
        <f>IF($B82="","",COUNTIF($B$6:$B$505,B82))</f>
        <v/>
      </c>
      <c r="BT82" s="124" t="str">
        <f>IF($B82="","",IF(BR82=0,0,IF(INDEX(STG_ZPMW03!$I$6:$I$505,MATCH(B82,STG_ZPMW03!$B$6:$B$505,0))=J82&amp;"",0,1)))</f>
        <v/>
      </c>
      <c r="BU82" s="124" t="str">
        <f>IF($B82="","",IFERROR(IF(ABS(INDEX(Mapping!$D$5:$D$104,MATCH(B82,Mapping!$A$5:$A$104,0))-Q82)&gt;P_Tol,1,0),0))</f>
        <v/>
      </c>
      <c r="BV82" s="124" t="str">
        <f>IF($B82="","",IFERROR(IF(AND(INDEX(Mapping!$G$5:$G$104,MATCH(B82,Mapping!$A$5:$A$104,0))="Nee",ABS(Q82)+ABS(Z82)+ABS(AR82)&gt;0),1,0),0))</f>
        <v/>
      </c>
      <c r="BW82" s="124" t="str">
        <f>IF($B82="","",IF(COUNTIF(Mapping!$A$5:$A$104,B82)&gt;0,1,0))</f>
        <v/>
      </c>
      <c r="BX82" s="124" t="str">
        <f>IF($B82="","",IF(BR82=0,COUNTIF($BR$6:BR82,0),""))</f>
        <v/>
      </c>
    </row>
    <row r="83">
      <c r="A83" s="15" t="n">
        <v>79</v>
      </c>
      <c r="B83" t="str">
        <f>IF(B$3=0,"",IF(INDEX(SRC_Woningetalage!$A$1:$ZZ$501,$A83,B$3)&amp;""="","",INDEX(SRC_Woningetalage!$A$1:$ZZ$501,$A83,B$3)&amp;""))</f>
        <v/>
      </c>
      <c r="C83" t="str">
        <f>IF($B83="","",IF(C$3=0,"n.b.",INDEX(SRC_Woningetalage!$A$1:$ZZ$501,$A83,C$3)))</f>
        <v/>
      </c>
      <c r="D83" t="str">
        <f>IF($B83="","",IF(D$3=0,"n.b.",INDEX(SRC_Woningetalage!$A$1:$ZZ$501,$A83,D$3)))</f>
        <v/>
      </c>
      <c r="E83" t="str">
        <f>IF($B83="","",IF(E$3=0,"n.b.",INDEX(SRC_Woningetalage!$A$1:$ZZ$501,$A83,E$3)))</f>
        <v/>
      </c>
      <c r="F83" t="str">
        <f>IF($B83="","",IF(F$3=0,"n.b.",INDEX(SRC_Woningetalage!$A$1:$ZZ$501,$A83,F$3)))</f>
        <v/>
      </c>
      <c r="G83" t="str">
        <f>IF($B83="","",IF(G$3=0,"n.b.",INDEX(SRC_Woningetalage!$A$1:$ZZ$501,$A83,G$3)))</f>
        <v/>
      </c>
      <c r="H83" t="str">
        <f>IF($B83="","",IF(H$3=0,"n.b.",INDEX(SRC_Woningetalage!$A$1:$ZZ$501,$A83,H$3)))</f>
        <v/>
      </c>
      <c r="I83" t="str">
        <f>IF($B83="","",IF(I$3=0,"n.b.",INDEX(SRC_Woningetalage!$A$1:$ZZ$501,$A83,I$3)))</f>
        <v/>
      </c>
      <c r="J83" t="str">
        <f>IF($B83="","",IF(J$3=0,"n.b.",INDEX(SRC_Woningetalage!$A$1:$ZZ$501,$A83,J$3)))</f>
        <v/>
      </c>
      <c r="K83" t="str">
        <f>IF($B83="","",IF(K$3=0,"n.b.",INDEX(SRC_Woningetalage!$A$1:$ZZ$501,$A83,K$3)))</f>
        <v/>
      </c>
      <c r="L83" t="str">
        <f>IF($B83="","",IF(L$3=0,"n.b.",INDEX(SRC_Woningetalage!$A$1:$ZZ$501,$A83,L$3)))</f>
        <v/>
      </c>
      <c r="M83" t="str">
        <f>IF($B83="","",IF(M$3=0,"n.b.",INDEX(SRC_Woningetalage!$A$1:$ZZ$501,$A83,M$3)))</f>
        <v/>
      </c>
      <c r="N83" t="str">
        <f>IF($B83="","",IF(N$3=0,"n.b.",INDEX(SRC_Woningetalage!$A$1:$ZZ$501,$A83,N$3)))</f>
        <v/>
      </c>
      <c r="O83" t="str">
        <f>IF($B83="","",IF(O$3=0,"n.b.",INDEX(SRC_Woningetalage!$A$1:$ZZ$501,$A83,O$3)))</f>
        <v/>
      </c>
      <c r="P83" t="str">
        <f>IF($B83="","",IF(P$3=0,"n.b.",INDEX(SRC_Woningetalage!$A$1:$ZZ$501,$A83,P$3)))</f>
        <v/>
      </c>
      <c r="Q83" s="124" t="str">
        <f>IF($B83="","",IF(Q$3=0,"n.b.",INDEX(SRC_Woningetalage!$A$1:$ZZ$501,$A83,Q$3)))</f>
        <v/>
      </c>
      <c r="R83" s="124" t="str">
        <f>IF($B83="","",IF(R$3=0,"n.b.",INDEX(SRC_Woningetalage!$A$1:$ZZ$501,$A83,R$3)))</f>
        <v/>
      </c>
      <c r="S83" s="124" t="str">
        <f>IF($B83="","",IF(S$3=0,"n.b.",INDEX(SRC_Woningetalage!$A$1:$ZZ$501,$A83,S$3)))</f>
        <v/>
      </c>
      <c r="T83" s="124" t="str">
        <f>IF($B83="","",IF(T$3=0,"n.b.",INDEX(SRC_Woningetalage!$A$1:$ZZ$501,$A83,T$3)))</f>
        <v/>
      </c>
      <c r="U83" s="124" t="str">
        <f>IF($B83="","",IF(U$3=0,"n.b.",INDEX(SRC_Woningetalage!$A$1:$ZZ$501,$A83,U$3)))</f>
        <v/>
      </c>
      <c r="V83" s="124" t="str">
        <f>IF($B83="","",IF(V$3=0,"n.b.",INDEX(SRC_Woningetalage!$A$1:$ZZ$501,$A83,V$3)))</f>
        <v/>
      </c>
      <c r="W83" s="124" t="str">
        <f>IF($B83="","",IF(W$3=0,"n.b.",INDEX(SRC_Woningetalage!$A$1:$ZZ$501,$A83,W$3)))</f>
        <v/>
      </c>
      <c r="X83" s="124" t="str">
        <f>IF($B83="","",IF(X$3=0,"n.b.",INDEX(SRC_Woningetalage!$A$1:$ZZ$501,$A83,X$3)))</f>
        <v/>
      </c>
      <c r="Y83" s="124" t="str">
        <f>IF($B83="","",IF(Y$3=0,"n.b.",INDEX(SRC_Woningetalage!$A$1:$ZZ$501,$A83,Y$3)))</f>
        <v/>
      </c>
      <c r="Z83" s="124" t="str">
        <f>IF($B83="","",IF(Z$3=0,"n.b.",INDEX(SRC_Woningetalage!$A$1:$ZZ$501,$A83,Z$3)))</f>
        <v/>
      </c>
      <c r="AA83" s="124" t="str">
        <f>IF($B83="","",IF(AA$3=0,"n.b.",INDEX(SRC_Woningetalage!$A$1:$ZZ$501,$A83,AA$3)))</f>
        <v/>
      </c>
      <c r="AB83" s="124" t="str">
        <f>IF($B83="","",IF(AB$3=0,"n.b.",INDEX(SRC_Woningetalage!$A$1:$ZZ$501,$A83,AB$3)))</f>
        <v/>
      </c>
      <c r="AC83" s="124" t="str">
        <f>IF($B83="","",IF(AC$3=0,"n.b.",INDEX(SRC_Woningetalage!$A$1:$ZZ$501,$A83,AC$3)))</f>
        <v/>
      </c>
      <c r="AD83" s="124" t="str">
        <f>IF($B83="","",IF(AD$3=0,"n.b.",INDEX(SRC_Woningetalage!$A$1:$ZZ$501,$A83,AD$3)))</f>
        <v/>
      </c>
      <c r="AE83" s="124" t="str">
        <f>IF($B83="","",IF(AE$3=0,"n.b.",INDEX(SRC_Woningetalage!$A$1:$ZZ$501,$A83,AE$3)))</f>
        <v/>
      </c>
      <c r="AF83" s="124" t="str">
        <f>IF($B83="","",IF(AF$3=0,"n.b.",INDEX(SRC_Woningetalage!$A$1:$ZZ$501,$A83,AF$3)))</f>
        <v/>
      </c>
      <c r="AG83" s="124" t="str">
        <f>IF($B83="","",IF(AG$3=0,"n.b.",INDEX(SRC_Woningetalage!$A$1:$ZZ$501,$A83,AG$3)))</f>
        <v/>
      </c>
      <c r="AH83" s="124" t="str">
        <f>IF($B83="","",IF(AH$3=0,"n.b.",INDEX(SRC_Woningetalage!$A$1:$ZZ$501,$A83,AH$3)))</f>
        <v/>
      </c>
      <c r="AI83" s="124" t="str">
        <f>IF($B83="","",IF(AI$3=0,"n.b.",INDEX(SRC_Woningetalage!$A$1:$ZZ$501,$A83,AI$3)))</f>
        <v/>
      </c>
      <c r="AJ83" s="124" t="str">
        <f>IF($B83="","",IF(AJ$3=0,"n.b.",INDEX(SRC_Woningetalage!$A$1:$ZZ$501,$A83,AJ$3)))</f>
        <v/>
      </c>
      <c r="AK83" s="124" t="str">
        <f>IF($B83="","",IF(AK$3=0,"n.b.",INDEX(SRC_Woningetalage!$A$1:$ZZ$501,$A83,AK$3)))</f>
        <v/>
      </c>
      <c r="AL83" s="124" t="str">
        <f>IF($B83="","",IF(AL$3=0,"n.b.",INDEX(SRC_Woningetalage!$A$1:$ZZ$501,$A83,AL$3)))</f>
        <v/>
      </c>
      <c r="AM83" s="124" t="str">
        <f>IF($B83="","",IF(AM$3=0,"n.b.",INDEX(SRC_Woningetalage!$A$1:$ZZ$501,$A83,AM$3)))</f>
        <v/>
      </c>
      <c r="AN83" s="124" t="str">
        <f>IF($B83="","",IF(AN$3=0,"n.b.",INDEX(SRC_Woningetalage!$A$1:$ZZ$501,$A83,AN$3)))</f>
        <v/>
      </c>
      <c r="AO83" s="124" t="str">
        <f>IF($B83="","",IF(AO$3=0,"n.b.",INDEX(SRC_Woningetalage!$A$1:$ZZ$501,$A83,AO$3)))</f>
        <v/>
      </c>
      <c r="AP83" s="124" t="str">
        <f>IF($B83="","",IF(AP$3=0,"n.b.",INDEX(SRC_Woningetalage!$A$1:$ZZ$501,$A83,AP$3)))</f>
        <v/>
      </c>
      <c r="AQ83" s="124" t="str">
        <f>IF($B83="","",IF(AQ$3=0,"n.b.",INDEX(SRC_Woningetalage!$A$1:$ZZ$501,$A83,AQ$3)))</f>
        <v/>
      </c>
      <c r="AR83" s="124" t="str">
        <f>IF($B83="","",IF(AR$3=0,"n.b.",INDEX(SRC_Woningetalage!$A$1:$ZZ$501,$A83,AR$3)))</f>
        <v/>
      </c>
      <c r="AS83" s="124" t="str">
        <f>IF($B83="","",IF(AS$3=0,"n.b.",INDEX(SRC_Woningetalage!$A$1:$ZZ$501,$A83,AS$3)))</f>
        <v/>
      </c>
      <c r="AT83" s="124" t="str">
        <f>IF($B83="","",IF(AT$3=0,"n.b.",INDEX(SRC_Woningetalage!$A$1:$ZZ$501,$A83,AT$3)))</f>
        <v/>
      </c>
      <c r="AU83" s="124" t="str">
        <f>IF($B83="","",IF(AU$3=0,"n.b.",INDEX(SRC_Woningetalage!$A$1:$ZZ$501,$A83,AU$3)))</f>
        <v/>
      </c>
      <c r="AV83" s="124" t="str">
        <f>IF($B83="","",IF(AV$3=0,"n.b.",INDEX(SRC_Woningetalage!$A$1:$ZZ$501,$A83,AV$3)))</f>
        <v/>
      </c>
      <c r="AW83" s="124" t="str">
        <f>IF($B83="","",IF(AW$3=0,"n.b.",INDEX(SRC_Woningetalage!$A$1:$ZZ$501,$A83,AW$3)))</f>
        <v/>
      </c>
      <c r="AX83" s="124" t="str">
        <f>IF($B83="","",IF(AX$3=0,"n.b.",INDEX(SRC_Woningetalage!$A$1:$ZZ$501,$A83,AX$3)))</f>
        <v/>
      </c>
      <c r="AY83" s="124" t="str">
        <f>IF($B83="","",IF(AY$3=0,"n.b.",INDEX(SRC_Woningetalage!$A$1:$ZZ$501,$A83,AY$3)))</f>
        <v/>
      </c>
      <c r="AZ83" s="124" t="str">
        <f>IF($B83="","",IF(AZ$3=0,"n.b.",INDEX(SRC_Woningetalage!$A$1:$ZZ$501,$A83,AZ$3)))</f>
        <v/>
      </c>
      <c r="BA83" s="124" t="str">
        <f>IF($B83="","",IF(BA$3=0,"n.b.",INDEX(SRC_Woningetalage!$A$1:$ZZ$501,$A83,BA$3)))</f>
        <v/>
      </c>
      <c r="BB83" s="124" t="str">
        <f>IF($B83="","",IF(BB$3=0,"n.b.",INDEX(SRC_Woningetalage!$A$1:$ZZ$501,$A83,BB$3)))</f>
        <v/>
      </c>
      <c r="BC83" s="124" t="str">
        <f>IF($B83="","",IFERROR(_xlfn.NUMBERVALUE(E83&amp;"",",","."),"n.b."))</f>
        <v/>
      </c>
      <c r="BD83" s="124" t="str">
        <f>IF($B83="","",IFERROR(_xlfn.NUMBERVALUE(M83&amp;"",",","."),"n.b."))</f>
        <v/>
      </c>
      <c r="BE83" s="124" t="str">
        <f>IF($B83="","",IFERROR(AB83+AC83+AD83,"n.b."))</f>
        <v/>
      </c>
      <c r="BF83" s="124" t="str">
        <f>IF($B83="","",IFERROR(AE83+AF83+AG83,"n.b."))</f>
        <v/>
      </c>
      <c r="BG83" s="124" t="str">
        <f>IF($B83="","",IFERROR(AH83+AI83+AJ83,"n.b."))</f>
        <v/>
      </c>
      <c r="BH83" s="124" t="str">
        <f>IF($B83="","",IFERROR(AK83+AL83+AM83,"n.b."))</f>
        <v/>
      </c>
      <c r="BI83" s="124" t="str">
        <f>IF($B83="","",IFERROR(SUMIF($AB$5:$AM$5,"&lt;="&amp;P_PeilMaand,AB83:AM83),"n.b."))</f>
        <v/>
      </c>
      <c r="BJ83" s="124" t="str">
        <f>IF($B83="","",IFERROR(SUM(AB83:AM83)-BI83,"n.b."))</f>
        <v/>
      </c>
      <c r="BK83" s="124" t="str">
        <f>IF($B83="","",IFERROR(IF(ABS(Q83-(T83+SUM(AB83:AM83)+AS83+AU83))&gt;P_Tol,1,0),1))</f>
        <v/>
      </c>
      <c r="BL83" s="124" t="str">
        <f>IF($B83="","",IFERROR(IF(ABS(AA83-(Q83-Z83))&gt;P_Tol,1,0),1))</f>
        <v/>
      </c>
      <c r="BM83" s="124" t="str">
        <f>IF($B83="","",IFERROR(IF(ABS(Z83-(T83+W83))&gt;P_Tol,1,0),1))</f>
        <v/>
      </c>
      <c r="BN83" s="124" t="str">
        <f>IF($B83="","",IFERROR(IF(ABS(W83-BI83)&gt;P_Tol,1,0),1))</f>
        <v/>
      </c>
      <c r="BO83" s="124" t="str">
        <f>IF($B83="","",IFERROR(IF(OR(ABS(R83+S83-T83)&gt;P_Tol,ABS(U83+V83-W83)&gt;P_Tol,ABS(X83+Y83-Z83)&gt;P_Tol),1,0),1))</f>
        <v/>
      </c>
      <c r="BP83" s="124" t="str">
        <f>IF($B83="","",IFERROR(IF(OR(ABS(AR83-SUM(AB83:AM83))&gt;P_Tol,ABS(AS83-(AN83+AO83+AP83+AQ83))&gt;P_Tol),1,0),1))</f>
        <v/>
      </c>
      <c r="BQ83" s="124" t="str">
        <f>IF($B83="","",IFERROR(IF(ABS(AT83)+ABS(AV83)+ABS(AW83)+ABS(AX83)+ABS(AY83)+ABS(AZ83)+ABS(BA83)+ABS(BB83)&gt;0,1,0),1))</f>
        <v/>
      </c>
      <c r="BR83" s="124" t="str">
        <f>IF($B83="","",COUNTIF(STG_ZPMW03!$B$6:$B$505,B83))</f>
        <v/>
      </c>
      <c r="BS83" s="124" t="str">
        <f>IF($B83="","",COUNTIF($B$6:$B$505,B83))</f>
        <v/>
      </c>
      <c r="BT83" s="124" t="str">
        <f>IF($B83="","",IF(BR83=0,0,IF(INDEX(STG_ZPMW03!$I$6:$I$505,MATCH(B83,STG_ZPMW03!$B$6:$B$505,0))=J83&amp;"",0,1)))</f>
        <v/>
      </c>
      <c r="BU83" s="124" t="str">
        <f>IF($B83="","",IFERROR(IF(ABS(INDEX(Mapping!$D$5:$D$104,MATCH(B83,Mapping!$A$5:$A$104,0))-Q83)&gt;P_Tol,1,0),0))</f>
        <v/>
      </c>
      <c r="BV83" s="124" t="str">
        <f>IF($B83="","",IFERROR(IF(AND(INDEX(Mapping!$G$5:$G$104,MATCH(B83,Mapping!$A$5:$A$104,0))="Nee",ABS(Q83)+ABS(Z83)+ABS(AR83)&gt;0),1,0),0))</f>
        <v/>
      </c>
      <c r="BW83" s="124" t="str">
        <f>IF($B83="","",IF(COUNTIF(Mapping!$A$5:$A$104,B83)&gt;0,1,0))</f>
        <v/>
      </c>
      <c r="BX83" s="124" t="str">
        <f>IF($B83="","",IF(BR83=0,COUNTIF($BR$6:BR83,0),""))</f>
        <v/>
      </c>
    </row>
    <row r="84">
      <c r="A84" s="15" t="n">
        <v>80</v>
      </c>
      <c r="B84" t="str">
        <f>IF(B$3=0,"",IF(INDEX(SRC_Woningetalage!$A$1:$ZZ$501,$A84,B$3)&amp;""="","",INDEX(SRC_Woningetalage!$A$1:$ZZ$501,$A84,B$3)&amp;""))</f>
        <v/>
      </c>
      <c r="C84" t="str">
        <f>IF($B84="","",IF(C$3=0,"n.b.",INDEX(SRC_Woningetalage!$A$1:$ZZ$501,$A84,C$3)))</f>
        <v/>
      </c>
      <c r="D84" t="str">
        <f>IF($B84="","",IF(D$3=0,"n.b.",INDEX(SRC_Woningetalage!$A$1:$ZZ$501,$A84,D$3)))</f>
        <v/>
      </c>
      <c r="E84" t="str">
        <f>IF($B84="","",IF(E$3=0,"n.b.",INDEX(SRC_Woningetalage!$A$1:$ZZ$501,$A84,E$3)))</f>
        <v/>
      </c>
      <c r="F84" t="str">
        <f>IF($B84="","",IF(F$3=0,"n.b.",INDEX(SRC_Woningetalage!$A$1:$ZZ$501,$A84,F$3)))</f>
        <v/>
      </c>
      <c r="G84" t="str">
        <f>IF($B84="","",IF(G$3=0,"n.b.",INDEX(SRC_Woningetalage!$A$1:$ZZ$501,$A84,G$3)))</f>
        <v/>
      </c>
      <c r="H84" t="str">
        <f>IF($B84="","",IF(H$3=0,"n.b.",INDEX(SRC_Woningetalage!$A$1:$ZZ$501,$A84,H$3)))</f>
        <v/>
      </c>
      <c r="I84" t="str">
        <f>IF($B84="","",IF(I$3=0,"n.b.",INDEX(SRC_Woningetalage!$A$1:$ZZ$501,$A84,I$3)))</f>
        <v/>
      </c>
      <c r="J84" t="str">
        <f>IF($B84="","",IF(J$3=0,"n.b.",INDEX(SRC_Woningetalage!$A$1:$ZZ$501,$A84,J$3)))</f>
        <v/>
      </c>
      <c r="K84" t="str">
        <f>IF($B84="","",IF(K$3=0,"n.b.",INDEX(SRC_Woningetalage!$A$1:$ZZ$501,$A84,K$3)))</f>
        <v/>
      </c>
      <c r="L84" t="str">
        <f>IF($B84="","",IF(L$3=0,"n.b.",INDEX(SRC_Woningetalage!$A$1:$ZZ$501,$A84,L$3)))</f>
        <v/>
      </c>
      <c r="M84" t="str">
        <f>IF($B84="","",IF(M$3=0,"n.b.",INDEX(SRC_Woningetalage!$A$1:$ZZ$501,$A84,M$3)))</f>
        <v/>
      </c>
      <c r="N84" t="str">
        <f>IF($B84="","",IF(N$3=0,"n.b.",INDEX(SRC_Woningetalage!$A$1:$ZZ$501,$A84,N$3)))</f>
        <v/>
      </c>
      <c r="O84" t="str">
        <f>IF($B84="","",IF(O$3=0,"n.b.",INDEX(SRC_Woningetalage!$A$1:$ZZ$501,$A84,O$3)))</f>
        <v/>
      </c>
      <c r="P84" t="str">
        <f>IF($B84="","",IF(P$3=0,"n.b.",INDEX(SRC_Woningetalage!$A$1:$ZZ$501,$A84,P$3)))</f>
        <v/>
      </c>
      <c r="Q84" s="124" t="str">
        <f>IF($B84="","",IF(Q$3=0,"n.b.",INDEX(SRC_Woningetalage!$A$1:$ZZ$501,$A84,Q$3)))</f>
        <v/>
      </c>
      <c r="R84" s="124" t="str">
        <f>IF($B84="","",IF(R$3=0,"n.b.",INDEX(SRC_Woningetalage!$A$1:$ZZ$501,$A84,R$3)))</f>
        <v/>
      </c>
      <c r="S84" s="124" t="str">
        <f>IF($B84="","",IF(S$3=0,"n.b.",INDEX(SRC_Woningetalage!$A$1:$ZZ$501,$A84,S$3)))</f>
        <v/>
      </c>
      <c r="T84" s="124" t="str">
        <f>IF($B84="","",IF(T$3=0,"n.b.",INDEX(SRC_Woningetalage!$A$1:$ZZ$501,$A84,T$3)))</f>
        <v/>
      </c>
      <c r="U84" s="124" t="str">
        <f>IF($B84="","",IF(U$3=0,"n.b.",INDEX(SRC_Woningetalage!$A$1:$ZZ$501,$A84,U$3)))</f>
        <v/>
      </c>
      <c r="V84" s="124" t="str">
        <f>IF($B84="","",IF(V$3=0,"n.b.",INDEX(SRC_Woningetalage!$A$1:$ZZ$501,$A84,V$3)))</f>
        <v/>
      </c>
      <c r="W84" s="124" t="str">
        <f>IF($B84="","",IF(W$3=0,"n.b.",INDEX(SRC_Woningetalage!$A$1:$ZZ$501,$A84,W$3)))</f>
        <v/>
      </c>
      <c r="X84" s="124" t="str">
        <f>IF($B84="","",IF(X$3=0,"n.b.",INDEX(SRC_Woningetalage!$A$1:$ZZ$501,$A84,X$3)))</f>
        <v/>
      </c>
      <c r="Y84" s="124" t="str">
        <f>IF($B84="","",IF(Y$3=0,"n.b.",INDEX(SRC_Woningetalage!$A$1:$ZZ$501,$A84,Y$3)))</f>
        <v/>
      </c>
      <c r="Z84" s="124" t="str">
        <f>IF($B84="","",IF(Z$3=0,"n.b.",INDEX(SRC_Woningetalage!$A$1:$ZZ$501,$A84,Z$3)))</f>
        <v/>
      </c>
      <c r="AA84" s="124" t="str">
        <f>IF($B84="","",IF(AA$3=0,"n.b.",INDEX(SRC_Woningetalage!$A$1:$ZZ$501,$A84,AA$3)))</f>
        <v/>
      </c>
      <c r="AB84" s="124" t="str">
        <f>IF($B84="","",IF(AB$3=0,"n.b.",INDEX(SRC_Woningetalage!$A$1:$ZZ$501,$A84,AB$3)))</f>
        <v/>
      </c>
      <c r="AC84" s="124" t="str">
        <f>IF($B84="","",IF(AC$3=0,"n.b.",INDEX(SRC_Woningetalage!$A$1:$ZZ$501,$A84,AC$3)))</f>
        <v/>
      </c>
      <c r="AD84" s="124" t="str">
        <f>IF($B84="","",IF(AD$3=0,"n.b.",INDEX(SRC_Woningetalage!$A$1:$ZZ$501,$A84,AD$3)))</f>
        <v/>
      </c>
      <c r="AE84" s="124" t="str">
        <f>IF($B84="","",IF(AE$3=0,"n.b.",INDEX(SRC_Woningetalage!$A$1:$ZZ$501,$A84,AE$3)))</f>
        <v/>
      </c>
      <c r="AF84" s="124" t="str">
        <f>IF($B84="","",IF(AF$3=0,"n.b.",INDEX(SRC_Woningetalage!$A$1:$ZZ$501,$A84,AF$3)))</f>
        <v/>
      </c>
      <c r="AG84" s="124" t="str">
        <f>IF($B84="","",IF(AG$3=0,"n.b.",INDEX(SRC_Woningetalage!$A$1:$ZZ$501,$A84,AG$3)))</f>
        <v/>
      </c>
      <c r="AH84" s="124" t="str">
        <f>IF($B84="","",IF(AH$3=0,"n.b.",INDEX(SRC_Woningetalage!$A$1:$ZZ$501,$A84,AH$3)))</f>
        <v/>
      </c>
      <c r="AI84" s="124" t="str">
        <f>IF($B84="","",IF(AI$3=0,"n.b.",INDEX(SRC_Woningetalage!$A$1:$ZZ$501,$A84,AI$3)))</f>
        <v/>
      </c>
      <c r="AJ84" s="124" t="str">
        <f>IF($B84="","",IF(AJ$3=0,"n.b.",INDEX(SRC_Woningetalage!$A$1:$ZZ$501,$A84,AJ$3)))</f>
        <v/>
      </c>
      <c r="AK84" s="124" t="str">
        <f>IF($B84="","",IF(AK$3=0,"n.b.",INDEX(SRC_Woningetalage!$A$1:$ZZ$501,$A84,AK$3)))</f>
        <v/>
      </c>
      <c r="AL84" s="124" t="str">
        <f>IF($B84="","",IF(AL$3=0,"n.b.",INDEX(SRC_Woningetalage!$A$1:$ZZ$501,$A84,AL$3)))</f>
        <v/>
      </c>
      <c r="AM84" s="124" t="str">
        <f>IF($B84="","",IF(AM$3=0,"n.b.",INDEX(SRC_Woningetalage!$A$1:$ZZ$501,$A84,AM$3)))</f>
        <v/>
      </c>
      <c r="AN84" s="124" t="str">
        <f>IF($B84="","",IF(AN$3=0,"n.b.",INDEX(SRC_Woningetalage!$A$1:$ZZ$501,$A84,AN$3)))</f>
        <v/>
      </c>
      <c r="AO84" s="124" t="str">
        <f>IF($B84="","",IF(AO$3=0,"n.b.",INDEX(SRC_Woningetalage!$A$1:$ZZ$501,$A84,AO$3)))</f>
        <v/>
      </c>
      <c r="AP84" s="124" t="str">
        <f>IF($B84="","",IF(AP$3=0,"n.b.",INDEX(SRC_Woningetalage!$A$1:$ZZ$501,$A84,AP$3)))</f>
        <v/>
      </c>
      <c r="AQ84" s="124" t="str">
        <f>IF($B84="","",IF(AQ$3=0,"n.b.",INDEX(SRC_Woningetalage!$A$1:$ZZ$501,$A84,AQ$3)))</f>
        <v/>
      </c>
      <c r="AR84" s="124" t="str">
        <f>IF($B84="","",IF(AR$3=0,"n.b.",INDEX(SRC_Woningetalage!$A$1:$ZZ$501,$A84,AR$3)))</f>
        <v/>
      </c>
      <c r="AS84" s="124" t="str">
        <f>IF($B84="","",IF(AS$3=0,"n.b.",INDEX(SRC_Woningetalage!$A$1:$ZZ$501,$A84,AS$3)))</f>
        <v/>
      </c>
      <c r="AT84" s="124" t="str">
        <f>IF($B84="","",IF(AT$3=0,"n.b.",INDEX(SRC_Woningetalage!$A$1:$ZZ$501,$A84,AT$3)))</f>
        <v/>
      </c>
      <c r="AU84" s="124" t="str">
        <f>IF($B84="","",IF(AU$3=0,"n.b.",INDEX(SRC_Woningetalage!$A$1:$ZZ$501,$A84,AU$3)))</f>
        <v/>
      </c>
      <c r="AV84" s="124" t="str">
        <f>IF($B84="","",IF(AV$3=0,"n.b.",INDEX(SRC_Woningetalage!$A$1:$ZZ$501,$A84,AV$3)))</f>
        <v/>
      </c>
      <c r="AW84" s="124" t="str">
        <f>IF($B84="","",IF(AW$3=0,"n.b.",INDEX(SRC_Woningetalage!$A$1:$ZZ$501,$A84,AW$3)))</f>
        <v/>
      </c>
      <c r="AX84" s="124" t="str">
        <f>IF($B84="","",IF(AX$3=0,"n.b.",INDEX(SRC_Woningetalage!$A$1:$ZZ$501,$A84,AX$3)))</f>
        <v/>
      </c>
      <c r="AY84" s="124" t="str">
        <f>IF($B84="","",IF(AY$3=0,"n.b.",INDEX(SRC_Woningetalage!$A$1:$ZZ$501,$A84,AY$3)))</f>
        <v/>
      </c>
      <c r="AZ84" s="124" t="str">
        <f>IF($B84="","",IF(AZ$3=0,"n.b.",INDEX(SRC_Woningetalage!$A$1:$ZZ$501,$A84,AZ$3)))</f>
        <v/>
      </c>
      <c r="BA84" s="124" t="str">
        <f>IF($B84="","",IF(BA$3=0,"n.b.",INDEX(SRC_Woningetalage!$A$1:$ZZ$501,$A84,BA$3)))</f>
        <v/>
      </c>
      <c r="BB84" s="124" t="str">
        <f>IF($B84="","",IF(BB$3=0,"n.b.",INDEX(SRC_Woningetalage!$A$1:$ZZ$501,$A84,BB$3)))</f>
        <v/>
      </c>
      <c r="BC84" s="124" t="str">
        <f>IF($B84="","",IFERROR(_xlfn.NUMBERVALUE(E84&amp;"",",","."),"n.b."))</f>
        <v/>
      </c>
      <c r="BD84" s="124" t="str">
        <f>IF($B84="","",IFERROR(_xlfn.NUMBERVALUE(M84&amp;"",",","."),"n.b."))</f>
        <v/>
      </c>
      <c r="BE84" s="124" t="str">
        <f>IF($B84="","",IFERROR(AB84+AC84+AD84,"n.b."))</f>
        <v/>
      </c>
      <c r="BF84" s="124" t="str">
        <f>IF($B84="","",IFERROR(AE84+AF84+AG84,"n.b."))</f>
        <v/>
      </c>
      <c r="BG84" s="124" t="str">
        <f>IF($B84="","",IFERROR(AH84+AI84+AJ84,"n.b."))</f>
        <v/>
      </c>
      <c r="BH84" s="124" t="str">
        <f>IF($B84="","",IFERROR(AK84+AL84+AM84,"n.b."))</f>
        <v/>
      </c>
      <c r="BI84" s="124" t="str">
        <f>IF($B84="","",IFERROR(SUMIF($AB$5:$AM$5,"&lt;="&amp;P_PeilMaand,AB84:AM84),"n.b."))</f>
        <v/>
      </c>
      <c r="BJ84" s="124" t="str">
        <f>IF($B84="","",IFERROR(SUM(AB84:AM84)-BI84,"n.b."))</f>
        <v/>
      </c>
      <c r="BK84" s="124" t="str">
        <f>IF($B84="","",IFERROR(IF(ABS(Q84-(T84+SUM(AB84:AM84)+AS84+AU84))&gt;P_Tol,1,0),1))</f>
        <v/>
      </c>
      <c r="BL84" s="124" t="str">
        <f>IF($B84="","",IFERROR(IF(ABS(AA84-(Q84-Z84))&gt;P_Tol,1,0),1))</f>
        <v/>
      </c>
      <c r="BM84" s="124" t="str">
        <f>IF($B84="","",IFERROR(IF(ABS(Z84-(T84+W84))&gt;P_Tol,1,0),1))</f>
        <v/>
      </c>
      <c r="BN84" s="124" t="str">
        <f>IF($B84="","",IFERROR(IF(ABS(W84-BI84)&gt;P_Tol,1,0),1))</f>
        <v/>
      </c>
      <c r="BO84" s="124" t="str">
        <f>IF($B84="","",IFERROR(IF(OR(ABS(R84+S84-T84)&gt;P_Tol,ABS(U84+V84-W84)&gt;P_Tol,ABS(X84+Y84-Z84)&gt;P_Tol),1,0),1))</f>
        <v/>
      </c>
      <c r="BP84" s="124" t="str">
        <f>IF($B84="","",IFERROR(IF(OR(ABS(AR84-SUM(AB84:AM84))&gt;P_Tol,ABS(AS84-(AN84+AO84+AP84+AQ84))&gt;P_Tol),1,0),1))</f>
        <v/>
      </c>
      <c r="BQ84" s="124" t="str">
        <f>IF($B84="","",IFERROR(IF(ABS(AT84)+ABS(AV84)+ABS(AW84)+ABS(AX84)+ABS(AY84)+ABS(AZ84)+ABS(BA84)+ABS(BB84)&gt;0,1,0),1))</f>
        <v/>
      </c>
      <c r="BR84" s="124" t="str">
        <f>IF($B84="","",COUNTIF(STG_ZPMW03!$B$6:$B$505,B84))</f>
        <v/>
      </c>
      <c r="BS84" s="124" t="str">
        <f>IF($B84="","",COUNTIF($B$6:$B$505,B84))</f>
        <v/>
      </c>
      <c r="BT84" s="124" t="str">
        <f>IF($B84="","",IF(BR84=0,0,IF(INDEX(STG_ZPMW03!$I$6:$I$505,MATCH(B84,STG_ZPMW03!$B$6:$B$505,0))=J84&amp;"",0,1)))</f>
        <v/>
      </c>
      <c r="BU84" s="124" t="str">
        <f>IF($B84="","",IFERROR(IF(ABS(INDEX(Mapping!$D$5:$D$104,MATCH(B84,Mapping!$A$5:$A$104,0))-Q84)&gt;P_Tol,1,0),0))</f>
        <v/>
      </c>
      <c r="BV84" s="124" t="str">
        <f>IF($B84="","",IFERROR(IF(AND(INDEX(Mapping!$G$5:$G$104,MATCH(B84,Mapping!$A$5:$A$104,0))="Nee",ABS(Q84)+ABS(Z84)+ABS(AR84)&gt;0),1,0),0))</f>
        <v/>
      </c>
      <c r="BW84" s="124" t="str">
        <f>IF($B84="","",IF(COUNTIF(Mapping!$A$5:$A$104,B84)&gt;0,1,0))</f>
        <v/>
      </c>
      <c r="BX84" s="124" t="str">
        <f>IF($B84="","",IF(BR84=0,COUNTIF($BR$6:BR84,0),""))</f>
        <v/>
      </c>
    </row>
    <row r="85">
      <c r="A85" s="15" t="n">
        <v>81</v>
      </c>
      <c r="B85" t="str">
        <f>IF(B$3=0,"",IF(INDEX(SRC_Woningetalage!$A$1:$ZZ$501,$A85,B$3)&amp;""="","",INDEX(SRC_Woningetalage!$A$1:$ZZ$501,$A85,B$3)&amp;""))</f>
        <v/>
      </c>
      <c r="C85" t="str">
        <f>IF($B85="","",IF(C$3=0,"n.b.",INDEX(SRC_Woningetalage!$A$1:$ZZ$501,$A85,C$3)))</f>
        <v/>
      </c>
      <c r="D85" t="str">
        <f>IF($B85="","",IF(D$3=0,"n.b.",INDEX(SRC_Woningetalage!$A$1:$ZZ$501,$A85,D$3)))</f>
        <v/>
      </c>
      <c r="E85" t="str">
        <f>IF($B85="","",IF(E$3=0,"n.b.",INDEX(SRC_Woningetalage!$A$1:$ZZ$501,$A85,E$3)))</f>
        <v/>
      </c>
      <c r="F85" t="str">
        <f>IF($B85="","",IF(F$3=0,"n.b.",INDEX(SRC_Woningetalage!$A$1:$ZZ$501,$A85,F$3)))</f>
        <v/>
      </c>
      <c r="G85" t="str">
        <f>IF($B85="","",IF(G$3=0,"n.b.",INDEX(SRC_Woningetalage!$A$1:$ZZ$501,$A85,G$3)))</f>
        <v/>
      </c>
      <c r="H85" t="str">
        <f>IF($B85="","",IF(H$3=0,"n.b.",INDEX(SRC_Woningetalage!$A$1:$ZZ$501,$A85,H$3)))</f>
        <v/>
      </c>
      <c r="I85" t="str">
        <f>IF($B85="","",IF(I$3=0,"n.b.",INDEX(SRC_Woningetalage!$A$1:$ZZ$501,$A85,I$3)))</f>
        <v/>
      </c>
      <c r="J85" t="str">
        <f>IF($B85="","",IF(J$3=0,"n.b.",INDEX(SRC_Woningetalage!$A$1:$ZZ$501,$A85,J$3)))</f>
        <v/>
      </c>
      <c r="K85" t="str">
        <f>IF($B85="","",IF(K$3=0,"n.b.",INDEX(SRC_Woningetalage!$A$1:$ZZ$501,$A85,K$3)))</f>
        <v/>
      </c>
      <c r="L85" t="str">
        <f>IF($B85="","",IF(L$3=0,"n.b.",INDEX(SRC_Woningetalage!$A$1:$ZZ$501,$A85,L$3)))</f>
        <v/>
      </c>
      <c r="M85" t="str">
        <f>IF($B85="","",IF(M$3=0,"n.b.",INDEX(SRC_Woningetalage!$A$1:$ZZ$501,$A85,M$3)))</f>
        <v/>
      </c>
      <c r="N85" t="str">
        <f>IF($B85="","",IF(N$3=0,"n.b.",INDEX(SRC_Woningetalage!$A$1:$ZZ$501,$A85,N$3)))</f>
        <v/>
      </c>
      <c r="O85" t="str">
        <f>IF($B85="","",IF(O$3=0,"n.b.",INDEX(SRC_Woningetalage!$A$1:$ZZ$501,$A85,O$3)))</f>
        <v/>
      </c>
      <c r="P85" t="str">
        <f>IF($B85="","",IF(P$3=0,"n.b.",INDEX(SRC_Woningetalage!$A$1:$ZZ$501,$A85,P$3)))</f>
        <v/>
      </c>
      <c r="Q85" s="124" t="str">
        <f>IF($B85="","",IF(Q$3=0,"n.b.",INDEX(SRC_Woningetalage!$A$1:$ZZ$501,$A85,Q$3)))</f>
        <v/>
      </c>
      <c r="R85" s="124" t="str">
        <f>IF($B85="","",IF(R$3=0,"n.b.",INDEX(SRC_Woningetalage!$A$1:$ZZ$501,$A85,R$3)))</f>
        <v/>
      </c>
      <c r="S85" s="124" t="str">
        <f>IF($B85="","",IF(S$3=0,"n.b.",INDEX(SRC_Woningetalage!$A$1:$ZZ$501,$A85,S$3)))</f>
        <v/>
      </c>
      <c r="T85" s="124" t="str">
        <f>IF($B85="","",IF(T$3=0,"n.b.",INDEX(SRC_Woningetalage!$A$1:$ZZ$501,$A85,T$3)))</f>
        <v/>
      </c>
      <c r="U85" s="124" t="str">
        <f>IF($B85="","",IF(U$3=0,"n.b.",INDEX(SRC_Woningetalage!$A$1:$ZZ$501,$A85,U$3)))</f>
        <v/>
      </c>
      <c r="V85" s="124" t="str">
        <f>IF($B85="","",IF(V$3=0,"n.b.",INDEX(SRC_Woningetalage!$A$1:$ZZ$501,$A85,V$3)))</f>
        <v/>
      </c>
      <c r="W85" s="124" t="str">
        <f>IF($B85="","",IF(W$3=0,"n.b.",INDEX(SRC_Woningetalage!$A$1:$ZZ$501,$A85,W$3)))</f>
        <v/>
      </c>
      <c r="X85" s="124" t="str">
        <f>IF($B85="","",IF(X$3=0,"n.b.",INDEX(SRC_Woningetalage!$A$1:$ZZ$501,$A85,X$3)))</f>
        <v/>
      </c>
      <c r="Y85" s="124" t="str">
        <f>IF($B85="","",IF(Y$3=0,"n.b.",INDEX(SRC_Woningetalage!$A$1:$ZZ$501,$A85,Y$3)))</f>
        <v/>
      </c>
      <c r="Z85" s="124" t="str">
        <f>IF($B85="","",IF(Z$3=0,"n.b.",INDEX(SRC_Woningetalage!$A$1:$ZZ$501,$A85,Z$3)))</f>
        <v/>
      </c>
      <c r="AA85" s="124" t="str">
        <f>IF($B85="","",IF(AA$3=0,"n.b.",INDEX(SRC_Woningetalage!$A$1:$ZZ$501,$A85,AA$3)))</f>
        <v/>
      </c>
      <c r="AB85" s="124" t="str">
        <f>IF($B85="","",IF(AB$3=0,"n.b.",INDEX(SRC_Woningetalage!$A$1:$ZZ$501,$A85,AB$3)))</f>
        <v/>
      </c>
      <c r="AC85" s="124" t="str">
        <f>IF($B85="","",IF(AC$3=0,"n.b.",INDEX(SRC_Woningetalage!$A$1:$ZZ$501,$A85,AC$3)))</f>
        <v/>
      </c>
      <c r="AD85" s="124" t="str">
        <f>IF($B85="","",IF(AD$3=0,"n.b.",INDEX(SRC_Woningetalage!$A$1:$ZZ$501,$A85,AD$3)))</f>
        <v/>
      </c>
      <c r="AE85" s="124" t="str">
        <f>IF($B85="","",IF(AE$3=0,"n.b.",INDEX(SRC_Woningetalage!$A$1:$ZZ$501,$A85,AE$3)))</f>
        <v/>
      </c>
      <c r="AF85" s="124" t="str">
        <f>IF($B85="","",IF(AF$3=0,"n.b.",INDEX(SRC_Woningetalage!$A$1:$ZZ$501,$A85,AF$3)))</f>
        <v/>
      </c>
      <c r="AG85" s="124" t="str">
        <f>IF($B85="","",IF(AG$3=0,"n.b.",INDEX(SRC_Woningetalage!$A$1:$ZZ$501,$A85,AG$3)))</f>
        <v/>
      </c>
      <c r="AH85" s="124" t="str">
        <f>IF($B85="","",IF(AH$3=0,"n.b.",INDEX(SRC_Woningetalage!$A$1:$ZZ$501,$A85,AH$3)))</f>
        <v/>
      </c>
      <c r="AI85" s="124" t="str">
        <f>IF($B85="","",IF(AI$3=0,"n.b.",INDEX(SRC_Woningetalage!$A$1:$ZZ$501,$A85,AI$3)))</f>
        <v/>
      </c>
      <c r="AJ85" s="124" t="str">
        <f>IF($B85="","",IF(AJ$3=0,"n.b.",INDEX(SRC_Woningetalage!$A$1:$ZZ$501,$A85,AJ$3)))</f>
        <v/>
      </c>
      <c r="AK85" s="124" t="str">
        <f>IF($B85="","",IF(AK$3=0,"n.b.",INDEX(SRC_Woningetalage!$A$1:$ZZ$501,$A85,AK$3)))</f>
        <v/>
      </c>
      <c r="AL85" s="124" t="str">
        <f>IF($B85="","",IF(AL$3=0,"n.b.",INDEX(SRC_Woningetalage!$A$1:$ZZ$501,$A85,AL$3)))</f>
        <v/>
      </c>
      <c r="AM85" s="124" t="str">
        <f>IF($B85="","",IF(AM$3=0,"n.b.",INDEX(SRC_Woningetalage!$A$1:$ZZ$501,$A85,AM$3)))</f>
        <v/>
      </c>
      <c r="AN85" s="124" t="str">
        <f>IF($B85="","",IF(AN$3=0,"n.b.",INDEX(SRC_Woningetalage!$A$1:$ZZ$501,$A85,AN$3)))</f>
        <v/>
      </c>
      <c r="AO85" s="124" t="str">
        <f>IF($B85="","",IF(AO$3=0,"n.b.",INDEX(SRC_Woningetalage!$A$1:$ZZ$501,$A85,AO$3)))</f>
        <v/>
      </c>
      <c r="AP85" s="124" t="str">
        <f>IF($B85="","",IF(AP$3=0,"n.b.",INDEX(SRC_Woningetalage!$A$1:$ZZ$501,$A85,AP$3)))</f>
        <v/>
      </c>
      <c r="AQ85" s="124" t="str">
        <f>IF($B85="","",IF(AQ$3=0,"n.b.",INDEX(SRC_Woningetalage!$A$1:$ZZ$501,$A85,AQ$3)))</f>
        <v/>
      </c>
      <c r="AR85" s="124" t="str">
        <f>IF($B85="","",IF(AR$3=0,"n.b.",INDEX(SRC_Woningetalage!$A$1:$ZZ$501,$A85,AR$3)))</f>
        <v/>
      </c>
      <c r="AS85" s="124" t="str">
        <f>IF($B85="","",IF(AS$3=0,"n.b.",INDEX(SRC_Woningetalage!$A$1:$ZZ$501,$A85,AS$3)))</f>
        <v/>
      </c>
      <c r="AT85" s="124" t="str">
        <f>IF($B85="","",IF(AT$3=0,"n.b.",INDEX(SRC_Woningetalage!$A$1:$ZZ$501,$A85,AT$3)))</f>
        <v/>
      </c>
      <c r="AU85" s="124" t="str">
        <f>IF($B85="","",IF(AU$3=0,"n.b.",INDEX(SRC_Woningetalage!$A$1:$ZZ$501,$A85,AU$3)))</f>
        <v/>
      </c>
      <c r="AV85" s="124" t="str">
        <f>IF($B85="","",IF(AV$3=0,"n.b.",INDEX(SRC_Woningetalage!$A$1:$ZZ$501,$A85,AV$3)))</f>
        <v/>
      </c>
      <c r="AW85" s="124" t="str">
        <f>IF($B85="","",IF(AW$3=0,"n.b.",INDEX(SRC_Woningetalage!$A$1:$ZZ$501,$A85,AW$3)))</f>
        <v/>
      </c>
      <c r="AX85" s="124" t="str">
        <f>IF($B85="","",IF(AX$3=0,"n.b.",INDEX(SRC_Woningetalage!$A$1:$ZZ$501,$A85,AX$3)))</f>
        <v/>
      </c>
      <c r="AY85" s="124" t="str">
        <f>IF($B85="","",IF(AY$3=0,"n.b.",INDEX(SRC_Woningetalage!$A$1:$ZZ$501,$A85,AY$3)))</f>
        <v/>
      </c>
      <c r="AZ85" s="124" t="str">
        <f>IF($B85="","",IF(AZ$3=0,"n.b.",INDEX(SRC_Woningetalage!$A$1:$ZZ$501,$A85,AZ$3)))</f>
        <v/>
      </c>
      <c r="BA85" s="124" t="str">
        <f>IF($B85="","",IF(BA$3=0,"n.b.",INDEX(SRC_Woningetalage!$A$1:$ZZ$501,$A85,BA$3)))</f>
        <v/>
      </c>
      <c r="BB85" s="124" t="str">
        <f>IF($B85="","",IF(BB$3=0,"n.b.",INDEX(SRC_Woningetalage!$A$1:$ZZ$501,$A85,BB$3)))</f>
        <v/>
      </c>
      <c r="BC85" s="124" t="str">
        <f>IF($B85="","",IFERROR(_xlfn.NUMBERVALUE(E85&amp;"",",","."),"n.b."))</f>
        <v/>
      </c>
      <c r="BD85" s="124" t="str">
        <f>IF($B85="","",IFERROR(_xlfn.NUMBERVALUE(M85&amp;"",",","."),"n.b."))</f>
        <v/>
      </c>
      <c r="BE85" s="124" t="str">
        <f>IF($B85="","",IFERROR(AB85+AC85+AD85,"n.b."))</f>
        <v/>
      </c>
      <c r="BF85" s="124" t="str">
        <f>IF($B85="","",IFERROR(AE85+AF85+AG85,"n.b."))</f>
        <v/>
      </c>
      <c r="BG85" s="124" t="str">
        <f>IF($B85="","",IFERROR(AH85+AI85+AJ85,"n.b."))</f>
        <v/>
      </c>
      <c r="BH85" s="124" t="str">
        <f>IF($B85="","",IFERROR(AK85+AL85+AM85,"n.b."))</f>
        <v/>
      </c>
      <c r="BI85" s="124" t="str">
        <f>IF($B85="","",IFERROR(SUMIF($AB$5:$AM$5,"&lt;="&amp;P_PeilMaand,AB85:AM85),"n.b."))</f>
        <v/>
      </c>
      <c r="BJ85" s="124" t="str">
        <f>IF($B85="","",IFERROR(SUM(AB85:AM85)-BI85,"n.b."))</f>
        <v/>
      </c>
      <c r="BK85" s="124" t="str">
        <f>IF($B85="","",IFERROR(IF(ABS(Q85-(T85+SUM(AB85:AM85)+AS85+AU85))&gt;P_Tol,1,0),1))</f>
        <v/>
      </c>
      <c r="BL85" s="124" t="str">
        <f>IF($B85="","",IFERROR(IF(ABS(AA85-(Q85-Z85))&gt;P_Tol,1,0),1))</f>
        <v/>
      </c>
      <c r="BM85" s="124" t="str">
        <f>IF($B85="","",IFERROR(IF(ABS(Z85-(T85+W85))&gt;P_Tol,1,0),1))</f>
        <v/>
      </c>
      <c r="BN85" s="124" t="str">
        <f>IF($B85="","",IFERROR(IF(ABS(W85-BI85)&gt;P_Tol,1,0),1))</f>
        <v/>
      </c>
      <c r="BO85" s="124" t="str">
        <f>IF($B85="","",IFERROR(IF(OR(ABS(R85+S85-T85)&gt;P_Tol,ABS(U85+V85-W85)&gt;P_Tol,ABS(X85+Y85-Z85)&gt;P_Tol),1,0),1))</f>
        <v/>
      </c>
      <c r="BP85" s="124" t="str">
        <f>IF($B85="","",IFERROR(IF(OR(ABS(AR85-SUM(AB85:AM85))&gt;P_Tol,ABS(AS85-(AN85+AO85+AP85+AQ85))&gt;P_Tol),1,0),1))</f>
        <v/>
      </c>
      <c r="BQ85" s="124" t="str">
        <f>IF($B85="","",IFERROR(IF(ABS(AT85)+ABS(AV85)+ABS(AW85)+ABS(AX85)+ABS(AY85)+ABS(AZ85)+ABS(BA85)+ABS(BB85)&gt;0,1,0),1))</f>
        <v/>
      </c>
      <c r="BR85" s="124" t="str">
        <f>IF($B85="","",COUNTIF(STG_ZPMW03!$B$6:$B$505,B85))</f>
        <v/>
      </c>
      <c r="BS85" s="124" t="str">
        <f>IF($B85="","",COUNTIF($B$6:$B$505,B85))</f>
        <v/>
      </c>
      <c r="BT85" s="124" t="str">
        <f>IF($B85="","",IF(BR85=0,0,IF(INDEX(STG_ZPMW03!$I$6:$I$505,MATCH(B85,STG_ZPMW03!$B$6:$B$505,0))=J85&amp;"",0,1)))</f>
        <v/>
      </c>
      <c r="BU85" s="124" t="str">
        <f>IF($B85="","",IFERROR(IF(ABS(INDEX(Mapping!$D$5:$D$104,MATCH(B85,Mapping!$A$5:$A$104,0))-Q85)&gt;P_Tol,1,0),0))</f>
        <v/>
      </c>
      <c r="BV85" s="124" t="str">
        <f>IF($B85="","",IFERROR(IF(AND(INDEX(Mapping!$G$5:$G$104,MATCH(B85,Mapping!$A$5:$A$104,0))="Nee",ABS(Q85)+ABS(Z85)+ABS(AR85)&gt;0),1,0),0))</f>
        <v/>
      </c>
      <c r="BW85" s="124" t="str">
        <f>IF($B85="","",IF(COUNTIF(Mapping!$A$5:$A$104,B85)&gt;0,1,0))</f>
        <v/>
      </c>
      <c r="BX85" s="124" t="str">
        <f>IF($B85="","",IF(BR85=0,COUNTIF($BR$6:BR85,0),""))</f>
        <v/>
      </c>
    </row>
    <row r="86">
      <c r="A86" s="15" t="n">
        <v>82</v>
      </c>
      <c r="B86" t="str">
        <f>IF(B$3=0,"",IF(INDEX(SRC_Woningetalage!$A$1:$ZZ$501,$A86,B$3)&amp;""="","",INDEX(SRC_Woningetalage!$A$1:$ZZ$501,$A86,B$3)&amp;""))</f>
        <v/>
      </c>
      <c r="C86" t="str">
        <f>IF($B86="","",IF(C$3=0,"n.b.",INDEX(SRC_Woningetalage!$A$1:$ZZ$501,$A86,C$3)))</f>
        <v/>
      </c>
      <c r="D86" t="str">
        <f>IF($B86="","",IF(D$3=0,"n.b.",INDEX(SRC_Woningetalage!$A$1:$ZZ$501,$A86,D$3)))</f>
        <v/>
      </c>
      <c r="E86" t="str">
        <f>IF($B86="","",IF(E$3=0,"n.b.",INDEX(SRC_Woningetalage!$A$1:$ZZ$501,$A86,E$3)))</f>
        <v/>
      </c>
      <c r="F86" t="str">
        <f>IF($B86="","",IF(F$3=0,"n.b.",INDEX(SRC_Woningetalage!$A$1:$ZZ$501,$A86,F$3)))</f>
        <v/>
      </c>
      <c r="G86" t="str">
        <f>IF($B86="","",IF(G$3=0,"n.b.",INDEX(SRC_Woningetalage!$A$1:$ZZ$501,$A86,G$3)))</f>
        <v/>
      </c>
      <c r="H86" t="str">
        <f>IF($B86="","",IF(H$3=0,"n.b.",INDEX(SRC_Woningetalage!$A$1:$ZZ$501,$A86,H$3)))</f>
        <v/>
      </c>
      <c r="I86" t="str">
        <f>IF($B86="","",IF(I$3=0,"n.b.",INDEX(SRC_Woningetalage!$A$1:$ZZ$501,$A86,I$3)))</f>
        <v/>
      </c>
      <c r="J86" t="str">
        <f>IF($B86="","",IF(J$3=0,"n.b.",INDEX(SRC_Woningetalage!$A$1:$ZZ$501,$A86,J$3)))</f>
        <v/>
      </c>
      <c r="K86" t="str">
        <f>IF($B86="","",IF(K$3=0,"n.b.",INDEX(SRC_Woningetalage!$A$1:$ZZ$501,$A86,K$3)))</f>
        <v/>
      </c>
      <c r="L86" t="str">
        <f>IF($B86="","",IF(L$3=0,"n.b.",INDEX(SRC_Woningetalage!$A$1:$ZZ$501,$A86,L$3)))</f>
        <v/>
      </c>
      <c r="M86" t="str">
        <f>IF($B86="","",IF(M$3=0,"n.b.",INDEX(SRC_Woningetalage!$A$1:$ZZ$501,$A86,M$3)))</f>
        <v/>
      </c>
      <c r="N86" t="str">
        <f>IF($B86="","",IF(N$3=0,"n.b.",INDEX(SRC_Woningetalage!$A$1:$ZZ$501,$A86,N$3)))</f>
        <v/>
      </c>
      <c r="O86" t="str">
        <f>IF($B86="","",IF(O$3=0,"n.b.",INDEX(SRC_Woningetalage!$A$1:$ZZ$501,$A86,O$3)))</f>
        <v/>
      </c>
      <c r="P86" t="str">
        <f>IF($B86="","",IF(P$3=0,"n.b.",INDEX(SRC_Woningetalage!$A$1:$ZZ$501,$A86,P$3)))</f>
        <v/>
      </c>
      <c r="Q86" s="124" t="str">
        <f>IF($B86="","",IF(Q$3=0,"n.b.",INDEX(SRC_Woningetalage!$A$1:$ZZ$501,$A86,Q$3)))</f>
        <v/>
      </c>
      <c r="R86" s="124" t="str">
        <f>IF($B86="","",IF(R$3=0,"n.b.",INDEX(SRC_Woningetalage!$A$1:$ZZ$501,$A86,R$3)))</f>
        <v/>
      </c>
      <c r="S86" s="124" t="str">
        <f>IF($B86="","",IF(S$3=0,"n.b.",INDEX(SRC_Woningetalage!$A$1:$ZZ$501,$A86,S$3)))</f>
        <v/>
      </c>
      <c r="T86" s="124" t="str">
        <f>IF($B86="","",IF(T$3=0,"n.b.",INDEX(SRC_Woningetalage!$A$1:$ZZ$501,$A86,T$3)))</f>
        <v/>
      </c>
      <c r="U86" s="124" t="str">
        <f>IF($B86="","",IF(U$3=0,"n.b.",INDEX(SRC_Woningetalage!$A$1:$ZZ$501,$A86,U$3)))</f>
        <v/>
      </c>
      <c r="V86" s="124" t="str">
        <f>IF($B86="","",IF(V$3=0,"n.b.",INDEX(SRC_Woningetalage!$A$1:$ZZ$501,$A86,V$3)))</f>
        <v/>
      </c>
      <c r="W86" s="124" t="str">
        <f>IF($B86="","",IF(W$3=0,"n.b.",INDEX(SRC_Woningetalage!$A$1:$ZZ$501,$A86,W$3)))</f>
        <v/>
      </c>
      <c r="X86" s="124" t="str">
        <f>IF($B86="","",IF(X$3=0,"n.b.",INDEX(SRC_Woningetalage!$A$1:$ZZ$501,$A86,X$3)))</f>
        <v/>
      </c>
      <c r="Y86" s="124" t="str">
        <f>IF($B86="","",IF(Y$3=0,"n.b.",INDEX(SRC_Woningetalage!$A$1:$ZZ$501,$A86,Y$3)))</f>
        <v/>
      </c>
      <c r="Z86" s="124" t="str">
        <f>IF($B86="","",IF(Z$3=0,"n.b.",INDEX(SRC_Woningetalage!$A$1:$ZZ$501,$A86,Z$3)))</f>
        <v/>
      </c>
      <c r="AA86" s="124" t="str">
        <f>IF($B86="","",IF(AA$3=0,"n.b.",INDEX(SRC_Woningetalage!$A$1:$ZZ$501,$A86,AA$3)))</f>
        <v/>
      </c>
      <c r="AB86" s="124" t="str">
        <f>IF($B86="","",IF(AB$3=0,"n.b.",INDEX(SRC_Woningetalage!$A$1:$ZZ$501,$A86,AB$3)))</f>
        <v/>
      </c>
      <c r="AC86" s="124" t="str">
        <f>IF($B86="","",IF(AC$3=0,"n.b.",INDEX(SRC_Woningetalage!$A$1:$ZZ$501,$A86,AC$3)))</f>
        <v/>
      </c>
      <c r="AD86" s="124" t="str">
        <f>IF($B86="","",IF(AD$3=0,"n.b.",INDEX(SRC_Woningetalage!$A$1:$ZZ$501,$A86,AD$3)))</f>
        <v/>
      </c>
      <c r="AE86" s="124" t="str">
        <f>IF($B86="","",IF(AE$3=0,"n.b.",INDEX(SRC_Woningetalage!$A$1:$ZZ$501,$A86,AE$3)))</f>
        <v/>
      </c>
      <c r="AF86" s="124" t="str">
        <f>IF($B86="","",IF(AF$3=0,"n.b.",INDEX(SRC_Woningetalage!$A$1:$ZZ$501,$A86,AF$3)))</f>
        <v/>
      </c>
      <c r="AG86" s="124" t="str">
        <f>IF($B86="","",IF(AG$3=0,"n.b.",INDEX(SRC_Woningetalage!$A$1:$ZZ$501,$A86,AG$3)))</f>
        <v/>
      </c>
      <c r="AH86" s="124" t="str">
        <f>IF($B86="","",IF(AH$3=0,"n.b.",INDEX(SRC_Woningetalage!$A$1:$ZZ$501,$A86,AH$3)))</f>
        <v/>
      </c>
      <c r="AI86" s="124" t="str">
        <f>IF($B86="","",IF(AI$3=0,"n.b.",INDEX(SRC_Woningetalage!$A$1:$ZZ$501,$A86,AI$3)))</f>
        <v/>
      </c>
      <c r="AJ86" s="124" t="str">
        <f>IF($B86="","",IF(AJ$3=0,"n.b.",INDEX(SRC_Woningetalage!$A$1:$ZZ$501,$A86,AJ$3)))</f>
        <v/>
      </c>
      <c r="AK86" s="124" t="str">
        <f>IF($B86="","",IF(AK$3=0,"n.b.",INDEX(SRC_Woningetalage!$A$1:$ZZ$501,$A86,AK$3)))</f>
        <v/>
      </c>
      <c r="AL86" s="124" t="str">
        <f>IF($B86="","",IF(AL$3=0,"n.b.",INDEX(SRC_Woningetalage!$A$1:$ZZ$501,$A86,AL$3)))</f>
        <v/>
      </c>
      <c r="AM86" s="124" t="str">
        <f>IF($B86="","",IF(AM$3=0,"n.b.",INDEX(SRC_Woningetalage!$A$1:$ZZ$501,$A86,AM$3)))</f>
        <v/>
      </c>
      <c r="AN86" s="124" t="str">
        <f>IF($B86="","",IF(AN$3=0,"n.b.",INDEX(SRC_Woningetalage!$A$1:$ZZ$501,$A86,AN$3)))</f>
        <v/>
      </c>
      <c r="AO86" s="124" t="str">
        <f>IF($B86="","",IF(AO$3=0,"n.b.",INDEX(SRC_Woningetalage!$A$1:$ZZ$501,$A86,AO$3)))</f>
        <v/>
      </c>
      <c r="AP86" s="124" t="str">
        <f>IF($B86="","",IF(AP$3=0,"n.b.",INDEX(SRC_Woningetalage!$A$1:$ZZ$501,$A86,AP$3)))</f>
        <v/>
      </c>
      <c r="AQ86" s="124" t="str">
        <f>IF($B86="","",IF(AQ$3=0,"n.b.",INDEX(SRC_Woningetalage!$A$1:$ZZ$501,$A86,AQ$3)))</f>
        <v/>
      </c>
      <c r="AR86" s="124" t="str">
        <f>IF($B86="","",IF(AR$3=0,"n.b.",INDEX(SRC_Woningetalage!$A$1:$ZZ$501,$A86,AR$3)))</f>
        <v/>
      </c>
      <c r="AS86" s="124" t="str">
        <f>IF($B86="","",IF(AS$3=0,"n.b.",INDEX(SRC_Woningetalage!$A$1:$ZZ$501,$A86,AS$3)))</f>
        <v/>
      </c>
      <c r="AT86" s="124" t="str">
        <f>IF($B86="","",IF(AT$3=0,"n.b.",INDEX(SRC_Woningetalage!$A$1:$ZZ$501,$A86,AT$3)))</f>
        <v/>
      </c>
      <c r="AU86" s="124" t="str">
        <f>IF($B86="","",IF(AU$3=0,"n.b.",INDEX(SRC_Woningetalage!$A$1:$ZZ$501,$A86,AU$3)))</f>
        <v/>
      </c>
      <c r="AV86" s="124" t="str">
        <f>IF($B86="","",IF(AV$3=0,"n.b.",INDEX(SRC_Woningetalage!$A$1:$ZZ$501,$A86,AV$3)))</f>
        <v/>
      </c>
      <c r="AW86" s="124" t="str">
        <f>IF($B86="","",IF(AW$3=0,"n.b.",INDEX(SRC_Woningetalage!$A$1:$ZZ$501,$A86,AW$3)))</f>
        <v/>
      </c>
      <c r="AX86" s="124" t="str">
        <f>IF($B86="","",IF(AX$3=0,"n.b.",INDEX(SRC_Woningetalage!$A$1:$ZZ$501,$A86,AX$3)))</f>
        <v/>
      </c>
      <c r="AY86" s="124" t="str">
        <f>IF($B86="","",IF(AY$3=0,"n.b.",INDEX(SRC_Woningetalage!$A$1:$ZZ$501,$A86,AY$3)))</f>
        <v/>
      </c>
      <c r="AZ86" s="124" t="str">
        <f>IF($B86="","",IF(AZ$3=0,"n.b.",INDEX(SRC_Woningetalage!$A$1:$ZZ$501,$A86,AZ$3)))</f>
        <v/>
      </c>
      <c r="BA86" s="124" t="str">
        <f>IF($B86="","",IF(BA$3=0,"n.b.",INDEX(SRC_Woningetalage!$A$1:$ZZ$501,$A86,BA$3)))</f>
        <v/>
      </c>
      <c r="BB86" s="124" t="str">
        <f>IF($B86="","",IF(BB$3=0,"n.b.",INDEX(SRC_Woningetalage!$A$1:$ZZ$501,$A86,BB$3)))</f>
        <v/>
      </c>
      <c r="BC86" s="124" t="str">
        <f>IF($B86="","",IFERROR(_xlfn.NUMBERVALUE(E86&amp;"",",","."),"n.b."))</f>
        <v/>
      </c>
      <c r="BD86" s="124" t="str">
        <f>IF($B86="","",IFERROR(_xlfn.NUMBERVALUE(M86&amp;"",",","."),"n.b."))</f>
        <v/>
      </c>
      <c r="BE86" s="124" t="str">
        <f>IF($B86="","",IFERROR(AB86+AC86+AD86,"n.b."))</f>
        <v/>
      </c>
      <c r="BF86" s="124" t="str">
        <f>IF($B86="","",IFERROR(AE86+AF86+AG86,"n.b."))</f>
        <v/>
      </c>
      <c r="BG86" s="124" t="str">
        <f>IF($B86="","",IFERROR(AH86+AI86+AJ86,"n.b."))</f>
        <v/>
      </c>
      <c r="BH86" s="124" t="str">
        <f>IF($B86="","",IFERROR(AK86+AL86+AM86,"n.b."))</f>
        <v/>
      </c>
      <c r="BI86" s="124" t="str">
        <f>IF($B86="","",IFERROR(SUMIF($AB$5:$AM$5,"&lt;="&amp;P_PeilMaand,AB86:AM86),"n.b."))</f>
        <v/>
      </c>
      <c r="BJ86" s="124" t="str">
        <f>IF($B86="","",IFERROR(SUM(AB86:AM86)-BI86,"n.b."))</f>
        <v/>
      </c>
      <c r="BK86" s="124" t="str">
        <f>IF($B86="","",IFERROR(IF(ABS(Q86-(T86+SUM(AB86:AM86)+AS86+AU86))&gt;P_Tol,1,0),1))</f>
        <v/>
      </c>
      <c r="BL86" s="124" t="str">
        <f>IF($B86="","",IFERROR(IF(ABS(AA86-(Q86-Z86))&gt;P_Tol,1,0),1))</f>
        <v/>
      </c>
      <c r="BM86" s="124" t="str">
        <f>IF($B86="","",IFERROR(IF(ABS(Z86-(T86+W86))&gt;P_Tol,1,0),1))</f>
        <v/>
      </c>
      <c r="BN86" s="124" t="str">
        <f>IF($B86="","",IFERROR(IF(ABS(W86-BI86)&gt;P_Tol,1,0),1))</f>
        <v/>
      </c>
      <c r="BO86" s="124" t="str">
        <f>IF($B86="","",IFERROR(IF(OR(ABS(R86+S86-T86)&gt;P_Tol,ABS(U86+V86-W86)&gt;P_Tol,ABS(X86+Y86-Z86)&gt;P_Tol),1,0),1))</f>
        <v/>
      </c>
      <c r="BP86" s="124" t="str">
        <f>IF($B86="","",IFERROR(IF(OR(ABS(AR86-SUM(AB86:AM86))&gt;P_Tol,ABS(AS86-(AN86+AO86+AP86+AQ86))&gt;P_Tol),1,0),1))</f>
        <v/>
      </c>
      <c r="BQ86" s="124" t="str">
        <f>IF($B86="","",IFERROR(IF(ABS(AT86)+ABS(AV86)+ABS(AW86)+ABS(AX86)+ABS(AY86)+ABS(AZ86)+ABS(BA86)+ABS(BB86)&gt;0,1,0),1))</f>
        <v/>
      </c>
      <c r="BR86" s="124" t="str">
        <f>IF($B86="","",COUNTIF(STG_ZPMW03!$B$6:$B$505,B86))</f>
        <v/>
      </c>
      <c r="BS86" s="124" t="str">
        <f>IF($B86="","",COUNTIF($B$6:$B$505,B86))</f>
        <v/>
      </c>
      <c r="BT86" s="124" t="str">
        <f>IF($B86="","",IF(BR86=0,0,IF(INDEX(STG_ZPMW03!$I$6:$I$505,MATCH(B86,STG_ZPMW03!$B$6:$B$505,0))=J86&amp;"",0,1)))</f>
        <v/>
      </c>
      <c r="BU86" s="124" t="str">
        <f>IF($B86="","",IFERROR(IF(ABS(INDEX(Mapping!$D$5:$D$104,MATCH(B86,Mapping!$A$5:$A$104,0))-Q86)&gt;P_Tol,1,0),0))</f>
        <v/>
      </c>
      <c r="BV86" s="124" t="str">
        <f>IF($B86="","",IFERROR(IF(AND(INDEX(Mapping!$G$5:$G$104,MATCH(B86,Mapping!$A$5:$A$104,0))="Nee",ABS(Q86)+ABS(Z86)+ABS(AR86)&gt;0),1,0),0))</f>
        <v/>
      </c>
      <c r="BW86" s="124" t="str">
        <f>IF($B86="","",IF(COUNTIF(Mapping!$A$5:$A$104,B86)&gt;0,1,0))</f>
        <v/>
      </c>
      <c r="BX86" s="124" t="str">
        <f>IF($B86="","",IF(BR86=0,COUNTIF($BR$6:BR86,0),""))</f>
        <v/>
      </c>
    </row>
    <row r="87">
      <c r="A87" s="15" t="n">
        <v>83</v>
      </c>
      <c r="B87" t="str">
        <f>IF(B$3=0,"",IF(INDEX(SRC_Woningetalage!$A$1:$ZZ$501,$A87,B$3)&amp;""="","",INDEX(SRC_Woningetalage!$A$1:$ZZ$501,$A87,B$3)&amp;""))</f>
        <v/>
      </c>
      <c r="C87" t="str">
        <f>IF($B87="","",IF(C$3=0,"n.b.",INDEX(SRC_Woningetalage!$A$1:$ZZ$501,$A87,C$3)))</f>
        <v/>
      </c>
      <c r="D87" t="str">
        <f>IF($B87="","",IF(D$3=0,"n.b.",INDEX(SRC_Woningetalage!$A$1:$ZZ$501,$A87,D$3)))</f>
        <v/>
      </c>
      <c r="E87" t="str">
        <f>IF($B87="","",IF(E$3=0,"n.b.",INDEX(SRC_Woningetalage!$A$1:$ZZ$501,$A87,E$3)))</f>
        <v/>
      </c>
      <c r="F87" t="str">
        <f>IF($B87="","",IF(F$3=0,"n.b.",INDEX(SRC_Woningetalage!$A$1:$ZZ$501,$A87,F$3)))</f>
        <v/>
      </c>
      <c r="G87" t="str">
        <f>IF($B87="","",IF(G$3=0,"n.b.",INDEX(SRC_Woningetalage!$A$1:$ZZ$501,$A87,G$3)))</f>
        <v/>
      </c>
      <c r="H87" t="str">
        <f>IF($B87="","",IF(H$3=0,"n.b.",INDEX(SRC_Woningetalage!$A$1:$ZZ$501,$A87,H$3)))</f>
        <v/>
      </c>
      <c r="I87" t="str">
        <f>IF($B87="","",IF(I$3=0,"n.b.",INDEX(SRC_Woningetalage!$A$1:$ZZ$501,$A87,I$3)))</f>
        <v/>
      </c>
      <c r="J87" t="str">
        <f>IF($B87="","",IF(J$3=0,"n.b.",INDEX(SRC_Woningetalage!$A$1:$ZZ$501,$A87,J$3)))</f>
        <v/>
      </c>
      <c r="K87" t="str">
        <f>IF($B87="","",IF(K$3=0,"n.b.",INDEX(SRC_Woningetalage!$A$1:$ZZ$501,$A87,K$3)))</f>
        <v/>
      </c>
      <c r="L87" t="str">
        <f>IF($B87="","",IF(L$3=0,"n.b.",INDEX(SRC_Woningetalage!$A$1:$ZZ$501,$A87,L$3)))</f>
        <v/>
      </c>
      <c r="M87" t="str">
        <f>IF($B87="","",IF(M$3=0,"n.b.",INDEX(SRC_Woningetalage!$A$1:$ZZ$501,$A87,M$3)))</f>
        <v/>
      </c>
      <c r="N87" t="str">
        <f>IF($B87="","",IF(N$3=0,"n.b.",INDEX(SRC_Woningetalage!$A$1:$ZZ$501,$A87,N$3)))</f>
        <v/>
      </c>
      <c r="O87" t="str">
        <f>IF($B87="","",IF(O$3=0,"n.b.",INDEX(SRC_Woningetalage!$A$1:$ZZ$501,$A87,O$3)))</f>
        <v/>
      </c>
      <c r="P87" t="str">
        <f>IF($B87="","",IF(P$3=0,"n.b.",INDEX(SRC_Woningetalage!$A$1:$ZZ$501,$A87,P$3)))</f>
        <v/>
      </c>
      <c r="Q87" s="124" t="str">
        <f>IF($B87="","",IF(Q$3=0,"n.b.",INDEX(SRC_Woningetalage!$A$1:$ZZ$501,$A87,Q$3)))</f>
        <v/>
      </c>
      <c r="R87" s="124" t="str">
        <f>IF($B87="","",IF(R$3=0,"n.b.",INDEX(SRC_Woningetalage!$A$1:$ZZ$501,$A87,R$3)))</f>
        <v/>
      </c>
      <c r="S87" s="124" t="str">
        <f>IF($B87="","",IF(S$3=0,"n.b.",INDEX(SRC_Woningetalage!$A$1:$ZZ$501,$A87,S$3)))</f>
        <v/>
      </c>
      <c r="T87" s="124" t="str">
        <f>IF($B87="","",IF(T$3=0,"n.b.",INDEX(SRC_Woningetalage!$A$1:$ZZ$501,$A87,T$3)))</f>
        <v/>
      </c>
      <c r="U87" s="124" t="str">
        <f>IF($B87="","",IF(U$3=0,"n.b.",INDEX(SRC_Woningetalage!$A$1:$ZZ$501,$A87,U$3)))</f>
        <v/>
      </c>
      <c r="V87" s="124" t="str">
        <f>IF($B87="","",IF(V$3=0,"n.b.",INDEX(SRC_Woningetalage!$A$1:$ZZ$501,$A87,V$3)))</f>
        <v/>
      </c>
      <c r="W87" s="124" t="str">
        <f>IF($B87="","",IF(W$3=0,"n.b.",INDEX(SRC_Woningetalage!$A$1:$ZZ$501,$A87,W$3)))</f>
        <v/>
      </c>
      <c r="X87" s="124" t="str">
        <f>IF($B87="","",IF(X$3=0,"n.b.",INDEX(SRC_Woningetalage!$A$1:$ZZ$501,$A87,X$3)))</f>
        <v/>
      </c>
      <c r="Y87" s="124" t="str">
        <f>IF($B87="","",IF(Y$3=0,"n.b.",INDEX(SRC_Woningetalage!$A$1:$ZZ$501,$A87,Y$3)))</f>
        <v/>
      </c>
      <c r="Z87" s="124" t="str">
        <f>IF($B87="","",IF(Z$3=0,"n.b.",INDEX(SRC_Woningetalage!$A$1:$ZZ$501,$A87,Z$3)))</f>
        <v/>
      </c>
      <c r="AA87" s="124" t="str">
        <f>IF($B87="","",IF(AA$3=0,"n.b.",INDEX(SRC_Woningetalage!$A$1:$ZZ$501,$A87,AA$3)))</f>
        <v/>
      </c>
      <c r="AB87" s="124" t="str">
        <f>IF($B87="","",IF(AB$3=0,"n.b.",INDEX(SRC_Woningetalage!$A$1:$ZZ$501,$A87,AB$3)))</f>
        <v/>
      </c>
      <c r="AC87" s="124" t="str">
        <f>IF($B87="","",IF(AC$3=0,"n.b.",INDEX(SRC_Woningetalage!$A$1:$ZZ$501,$A87,AC$3)))</f>
        <v/>
      </c>
      <c r="AD87" s="124" t="str">
        <f>IF($B87="","",IF(AD$3=0,"n.b.",INDEX(SRC_Woningetalage!$A$1:$ZZ$501,$A87,AD$3)))</f>
        <v/>
      </c>
      <c r="AE87" s="124" t="str">
        <f>IF($B87="","",IF(AE$3=0,"n.b.",INDEX(SRC_Woningetalage!$A$1:$ZZ$501,$A87,AE$3)))</f>
        <v/>
      </c>
      <c r="AF87" s="124" t="str">
        <f>IF($B87="","",IF(AF$3=0,"n.b.",INDEX(SRC_Woningetalage!$A$1:$ZZ$501,$A87,AF$3)))</f>
        <v/>
      </c>
      <c r="AG87" s="124" t="str">
        <f>IF($B87="","",IF(AG$3=0,"n.b.",INDEX(SRC_Woningetalage!$A$1:$ZZ$501,$A87,AG$3)))</f>
        <v/>
      </c>
      <c r="AH87" s="124" t="str">
        <f>IF($B87="","",IF(AH$3=0,"n.b.",INDEX(SRC_Woningetalage!$A$1:$ZZ$501,$A87,AH$3)))</f>
        <v/>
      </c>
      <c r="AI87" s="124" t="str">
        <f>IF($B87="","",IF(AI$3=0,"n.b.",INDEX(SRC_Woningetalage!$A$1:$ZZ$501,$A87,AI$3)))</f>
        <v/>
      </c>
      <c r="AJ87" s="124" t="str">
        <f>IF($B87="","",IF(AJ$3=0,"n.b.",INDEX(SRC_Woningetalage!$A$1:$ZZ$501,$A87,AJ$3)))</f>
        <v/>
      </c>
      <c r="AK87" s="124" t="str">
        <f>IF($B87="","",IF(AK$3=0,"n.b.",INDEX(SRC_Woningetalage!$A$1:$ZZ$501,$A87,AK$3)))</f>
        <v/>
      </c>
      <c r="AL87" s="124" t="str">
        <f>IF($B87="","",IF(AL$3=0,"n.b.",INDEX(SRC_Woningetalage!$A$1:$ZZ$501,$A87,AL$3)))</f>
        <v/>
      </c>
      <c r="AM87" s="124" t="str">
        <f>IF($B87="","",IF(AM$3=0,"n.b.",INDEX(SRC_Woningetalage!$A$1:$ZZ$501,$A87,AM$3)))</f>
        <v/>
      </c>
      <c r="AN87" s="124" t="str">
        <f>IF($B87="","",IF(AN$3=0,"n.b.",INDEX(SRC_Woningetalage!$A$1:$ZZ$501,$A87,AN$3)))</f>
        <v/>
      </c>
      <c r="AO87" s="124" t="str">
        <f>IF($B87="","",IF(AO$3=0,"n.b.",INDEX(SRC_Woningetalage!$A$1:$ZZ$501,$A87,AO$3)))</f>
        <v/>
      </c>
      <c r="AP87" s="124" t="str">
        <f>IF($B87="","",IF(AP$3=0,"n.b.",INDEX(SRC_Woningetalage!$A$1:$ZZ$501,$A87,AP$3)))</f>
        <v/>
      </c>
      <c r="AQ87" s="124" t="str">
        <f>IF($B87="","",IF(AQ$3=0,"n.b.",INDEX(SRC_Woningetalage!$A$1:$ZZ$501,$A87,AQ$3)))</f>
        <v/>
      </c>
      <c r="AR87" s="124" t="str">
        <f>IF($B87="","",IF(AR$3=0,"n.b.",INDEX(SRC_Woningetalage!$A$1:$ZZ$501,$A87,AR$3)))</f>
        <v/>
      </c>
      <c r="AS87" s="124" t="str">
        <f>IF($B87="","",IF(AS$3=0,"n.b.",INDEX(SRC_Woningetalage!$A$1:$ZZ$501,$A87,AS$3)))</f>
        <v/>
      </c>
      <c r="AT87" s="124" t="str">
        <f>IF($B87="","",IF(AT$3=0,"n.b.",INDEX(SRC_Woningetalage!$A$1:$ZZ$501,$A87,AT$3)))</f>
        <v/>
      </c>
      <c r="AU87" s="124" t="str">
        <f>IF($B87="","",IF(AU$3=0,"n.b.",INDEX(SRC_Woningetalage!$A$1:$ZZ$501,$A87,AU$3)))</f>
        <v/>
      </c>
      <c r="AV87" s="124" t="str">
        <f>IF($B87="","",IF(AV$3=0,"n.b.",INDEX(SRC_Woningetalage!$A$1:$ZZ$501,$A87,AV$3)))</f>
        <v/>
      </c>
      <c r="AW87" s="124" t="str">
        <f>IF($B87="","",IF(AW$3=0,"n.b.",INDEX(SRC_Woningetalage!$A$1:$ZZ$501,$A87,AW$3)))</f>
        <v/>
      </c>
      <c r="AX87" s="124" t="str">
        <f>IF($B87="","",IF(AX$3=0,"n.b.",INDEX(SRC_Woningetalage!$A$1:$ZZ$501,$A87,AX$3)))</f>
        <v/>
      </c>
      <c r="AY87" s="124" t="str">
        <f>IF($B87="","",IF(AY$3=0,"n.b.",INDEX(SRC_Woningetalage!$A$1:$ZZ$501,$A87,AY$3)))</f>
        <v/>
      </c>
      <c r="AZ87" s="124" t="str">
        <f>IF($B87="","",IF(AZ$3=0,"n.b.",INDEX(SRC_Woningetalage!$A$1:$ZZ$501,$A87,AZ$3)))</f>
        <v/>
      </c>
      <c r="BA87" s="124" t="str">
        <f>IF($B87="","",IF(BA$3=0,"n.b.",INDEX(SRC_Woningetalage!$A$1:$ZZ$501,$A87,BA$3)))</f>
        <v/>
      </c>
      <c r="BB87" s="124" t="str">
        <f>IF($B87="","",IF(BB$3=0,"n.b.",INDEX(SRC_Woningetalage!$A$1:$ZZ$501,$A87,BB$3)))</f>
        <v/>
      </c>
      <c r="BC87" s="124" t="str">
        <f>IF($B87="","",IFERROR(_xlfn.NUMBERVALUE(E87&amp;"",",","."),"n.b."))</f>
        <v/>
      </c>
      <c r="BD87" s="124" t="str">
        <f>IF($B87="","",IFERROR(_xlfn.NUMBERVALUE(M87&amp;"",",","."),"n.b."))</f>
        <v/>
      </c>
      <c r="BE87" s="124" t="str">
        <f>IF($B87="","",IFERROR(AB87+AC87+AD87,"n.b."))</f>
        <v/>
      </c>
      <c r="BF87" s="124" t="str">
        <f>IF($B87="","",IFERROR(AE87+AF87+AG87,"n.b."))</f>
        <v/>
      </c>
      <c r="BG87" s="124" t="str">
        <f>IF($B87="","",IFERROR(AH87+AI87+AJ87,"n.b."))</f>
        <v/>
      </c>
      <c r="BH87" s="124" t="str">
        <f>IF($B87="","",IFERROR(AK87+AL87+AM87,"n.b."))</f>
        <v/>
      </c>
      <c r="BI87" s="124" t="str">
        <f>IF($B87="","",IFERROR(SUMIF($AB$5:$AM$5,"&lt;="&amp;P_PeilMaand,AB87:AM87),"n.b."))</f>
        <v/>
      </c>
      <c r="BJ87" s="124" t="str">
        <f>IF($B87="","",IFERROR(SUM(AB87:AM87)-BI87,"n.b."))</f>
        <v/>
      </c>
      <c r="BK87" s="124" t="str">
        <f>IF($B87="","",IFERROR(IF(ABS(Q87-(T87+SUM(AB87:AM87)+AS87+AU87))&gt;P_Tol,1,0),1))</f>
        <v/>
      </c>
      <c r="BL87" s="124" t="str">
        <f>IF($B87="","",IFERROR(IF(ABS(AA87-(Q87-Z87))&gt;P_Tol,1,0),1))</f>
        <v/>
      </c>
      <c r="BM87" s="124" t="str">
        <f>IF($B87="","",IFERROR(IF(ABS(Z87-(T87+W87))&gt;P_Tol,1,0),1))</f>
        <v/>
      </c>
      <c r="BN87" s="124" t="str">
        <f>IF($B87="","",IFERROR(IF(ABS(W87-BI87)&gt;P_Tol,1,0),1))</f>
        <v/>
      </c>
      <c r="BO87" s="124" t="str">
        <f>IF($B87="","",IFERROR(IF(OR(ABS(R87+S87-T87)&gt;P_Tol,ABS(U87+V87-W87)&gt;P_Tol,ABS(X87+Y87-Z87)&gt;P_Tol),1,0),1))</f>
        <v/>
      </c>
      <c r="BP87" s="124" t="str">
        <f>IF($B87="","",IFERROR(IF(OR(ABS(AR87-SUM(AB87:AM87))&gt;P_Tol,ABS(AS87-(AN87+AO87+AP87+AQ87))&gt;P_Tol),1,0),1))</f>
        <v/>
      </c>
      <c r="BQ87" s="124" t="str">
        <f>IF($B87="","",IFERROR(IF(ABS(AT87)+ABS(AV87)+ABS(AW87)+ABS(AX87)+ABS(AY87)+ABS(AZ87)+ABS(BA87)+ABS(BB87)&gt;0,1,0),1))</f>
        <v/>
      </c>
      <c r="BR87" s="124" t="str">
        <f>IF($B87="","",COUNTIF(STG_ZPMW03!$B$6:$B$505,B87))</f>
        <v/>
      </c>
      <c r="BS87" s="124" t="str">
        <f>IF($B87="","",COUNTIF($B$6:$B$505,B87))</f>
        <v/>
      </c>
      <c r="BT87" s="124" t="str">
        <f>IF($B87="","",IF(BR87=0,0,IF(INDEX(STG_ZPMW03!$I$6:$I$505,MATCH(B87,STG_ZPMW03!$B$6:$B$505,0))=J87&amp;"",0,1)))</f>
        <v/>
      </c>
      <c r="BU87" s="124" t="str">
        <f>IF($B87="","",IFERROR(IF(ABS(INDEX(Mapping!$D$5:$D$104,MATCH(B87,Mapping!$A$5:$A$104,0))-Q87)&gt;P_Tol,1,0),0))</f>
        <v/>
      </c>
      <c r="BV87" s="124" t="str">
        <f>IF($B87="","",IFERROR(IF(AND(INDEX(Mapping!$G$5:$G$104,MATCH(B87,Mapping!$A$5:$A$104,0))="Nee",ABS(Q87)+ABS(Z87)+ABS(AR87)&gt;0),1,0),0))</f>
        <v/>
      </c>
      <c r="BW87" s="124" t="str">
        <f>IF($B87="","",IF(COUNTIF(Mapping!$A$5:$A$104,B87)&gt;0,1,0))</f>
        <v/>
      </c>
      <c r="BX87" s="124" t="str">
        <f>IF($B87="","",IF(BR87=0,COUNTIF($BR$6:BR87,0),""))</f>
        <v/>
      </c>
    </row>
    <row r="88">
      <c r="A88" s="15" t="n">
        <v>84</v>
      </c>
      <c r="B88" t="str">
        <f>IF(B$3=0,"",IF(INDEX(SRC_Woningetalage!$A$1:$ZZ$501,$A88,B$3)&amp;""="","",INDEX(SRC_Woningetalage!$A$1:$ZZ$501,$A88,B$3)&amp;""))</f>
        <v/>
      </c>
      <c r="C88" t="str">
        <f>IF($B88="","",IF(C$3=0,"n.b.",INDEX(SRC_Woningetalage!$A$1:$ZZ$501,$A88,C$3)))</f>
        <v/>
      </c>
      <c r="D88" t="str">
        <f>IF($B88="","",IF(D$3=0,"n.b.",INDEX(SRC_Woningetalage!$A$1:$ZZ$501,$A88,D$3)))</f>
        <v/>
      </c>
      <c r="E88" t="str">
        <f>IF($B88="","",IF(E$3=0,"n.b.",INDEX(SRC_Woningetalage!$A$1:$ZZ$501,$A88,E$3)))</f>
        <v/>
      </c>
      <c r="F88" t="str">
        <f>IF($B88="","",IF(F$3=0,"n.b.",INDEX(SRC_Woningetalage!$A$1:$ZZ$501,$A88,F$3)))</f>
        <v/>
      </c>
      <c r="G88" t="str">
        <f>IF($B88="","",IF(G$3=0,"n.b.",INDEX(SRC_Woningetalage!$A$1:$ZZ$501,$A88,G$3)))</f>
        <v/>
      </c>
      <c r="H88" t="str">
        <f>IF($B88="","",IF(H$3=0,"n.b.",INDEX(SRC_Woningetalage!$A$1:$ZZ$501,$A88,H$3)))</f>
        <v/>
      </c>
      <c r="I88" t="str">
        <f>IF($B88="","",IF(I$3=0,"n.b.",INDEX(SRC_Woningetalage!$A$1:$ZZ$501,$A88,I$3)))</f>
        <v/>
      </c>
      <c r="J88" t="str">
        <f>IF($B88="","",IF(J$3=0,"n.b.",INDEX(SRC_Woningetalage!$A$1:$ZZ$501,$A88,J$3)))</f>
        <v/>
      </c>
      <c r="K88" t="str">
        <f>IF($B88="","",IF(K$3=0,"n.b.",INDEX(SRC_Woningetalage!$A$1:$ZZ$501,$A88,K$3)))</f>
        <v/>
      </c>
      <c r="L88" t="str">
        <f>IF($B88="","",IF(L$3=0,"n.b.",INDEX(SRC_Woningetalage!$A$1:$ZZ$501,$A88,L$3)))</f>
        <v/>
      </c>
      <c r="M88" t="str">
        <f>IF($B88="","",IF(M$3=0,"n.b.",INDEX(SRC_Woningetalage!$A$1:$ZZ$501,$A88,M$3)))</f>
        <v/>
      </c>
      <c r="N88" t="str">
        <f>IF($B88="","",IF(N$3=0,"n.b.",INDEX(SRC_Woningetalage!$A$1:$ZZ$501,$A88,N$3)))</f>
        <v/>
      </c>
      <c r="O88" t="str">
        <f>IF($B88="","",IF(O$3=0,"n.b.",INDEX(SRC_Woningetalage!$A$1:$ZZ$501,$A88,O$3)))</f>
        <v/>
      </c>
      <c r="P88" t="str">
        <f>IF($B88="","",IF(P$3=0,"n.b.",INDEX(SRC_Woningetalage!$A$1:$ZZ$501,$A88,P$3)))</f>
        <v/>
      </c>
      <c r="Q88" s="124" t="str">
        <f>IF($B88="","",IF(Q$3=0,"n.b.",INDEX(SRC_Woningetalage!$A$1:$ZZ$501,$A88,Q$3)))</f>
        <v/>
      </c>
      <c r="R88" s="124" t="str">
        <f>IF($B88="","",IF(R$3=0,"n.b.",INDEX(SRC_Woningetalage!$A$1:$ZZ$501,$A88,R$3)))</f>
        <v/>
      </c>
      <c r="S88" s="124" t="str">
        <f>IF($B88="","",IF(S$3=0,"n.b.",INDEX(SRC_Woningetalage!$A$1:$ZZ$501,$A88,S$3)))</f>
        <v/>
      </c>
      <c r="T88" s="124" t="str">
        <f>IF($B88="","",IF(T$3=0,"n.b.",INDEX(SRC_Woningetalage!$A$1:$ZZ$501,$A88,T$3)))</f>
        <v/>
      </c>
      <c r="U88" s="124" t="str">
        <f>IF($B88="","",IF(U$3=0,"n.b.",INDEX(SRC_Woningetalage!$A$1:$ZZ$501,$A88,U$3)))</f>
        <v/>
      </c>
      <c r="V88" s="124" t="str">
        <f>IF($B88="","",IF(V$3=0,"n.b.",INDEX(SRC_Woningetalage!$A$1:$ZZ$501,$A88,V$3)))</f>
        <v/>
      </c>
      <c r="W88" s="124" t="str">
        <f>IF($B88="","",IF(W$3=0,"n.b.",INDEX(SRC_Woningetalage!$A$1:$ZZ$501,$A88,W$3)))</f>
        <v/>
      </c>
      <c r="X88" s="124" t="str">
        <f>IF($B88="","",IF(X$3=0,"n.b.",INDEX(SRC_Woningetalage!$A$1:$ZZ$501,$A88,X$3)))</f>
        <v/>
      </c>
      <c r="Y88" s="124" t="str">
        <f>IF($B88="","",IF(Y$3=0,"n.b.",INDEX(SRC_Woningetalage!$A$1:$ZZ$501,$A88,Y$3)))</f>
        <v/>
      </c>
      <c r="Z88" s="124" t="str">
        <f>IF($B88="","",IF(Z$3=0,"n.b.",INDEX(SRC_Woningetalage!$A$1:$ZZ$501,$A88,Z$3)))</f>
        <v/>
      </c>
      <c r="AA88" s="124" t="str">
        <f>IF($B88="","",IF(AA$3=0,"n.b.",INDEX(SRC_Woningetalage!$A$1:$ZZ$501,$A88,AA$3)))</f>
        <v/>
      </c>
      <c r="AB88" s="124" t="str">
        <f>IF($B88="","",IF(AB$3=0,"n.b.",INDEX(SRC_Woningetalage!$A$1:$ZZ$501,$A88,AB$3)))</f>
        <v/>
      </c>
      <c r="AC88" s="124" t="str">
        <f>IF($B88="","",IF(AC$3=0,"n.b.",INDEX(SRC_Woningetalage!$A$1:$ZZ$501,$A88,AC$3)))</f>
        <v/>
      </c>
      <c r="AD88" s="124" t="str">
        <f>IF($B88="","",IF(AD$3=0,"n.b.",INDEX(SRC_Woningetalage!$A$1:$ZZ$501,$A88,AD$3)))</f>
        <v/>
      </c>
      <c r="AE88" s="124" t="str">
        <f>IF($B88="","",IF(AE$3=0,"n.b.",INDEX(SRC_Woningetalage!$A$1:$ZZ$501,$A88,AE$3)))</f>
        <v/>
      </c>
      <c r="AF88" s="124" t="str">
        <f>IF($B88="","",IF(AF$3=0,"n.b.",INDEX(SRC_Woningetalage!$A$1:$ZZ$501,$A88,AF$3)))</f>
        <v/>
      </c>
      <c r="AG88" s="124" t="str">
        <f>IF($B88="","",IF(AG$3=0,"n.b.",INDEX(SRC_Woningetalage!$A$1:$ZZ$501,$A88,AG$3)))</f>
        <v/>
      </c>
      <c r="AH88" s="124" t="str">
        <f>IF($B88="","",IF(AH$3=0,"n.b.",INDEX(SRC_Woningetalage!$A$1:$ZZ$501,$A88,AH$3)))</f>
        <v/>
      </c>
      <c r="AI88" s="124" t="str">
        <f>IF($B88="","",IF(AI$3=0,"n.b.",INDEX(SRC_Woningetalage!$A$1:$ZZ$501,$A88,AI$3)))</f>
        <v/>
      </c>
      <c r="AJ88" s="124" t="str">
        <f>IF($B88="","",IF(AJ$3=0,"n.b.",INDEX(SRC_Woningetalage!$A$1:$ZZ$501,$A88,AJ$3)))</f>
        <v/>
      </c>
      <c r="AK88" s="124" t="str">
        <f>IF($B88="","",IF(AK$3=0,"n.b.",INDEX(SRC_Woningetalage!$A$1:$ZZ$501,$A88,AK$3)))</f>
        <v/>
      </c>
      <c r="AL88" s="124" t="str">
        <f>IF($B88="","",IF(AL$3=0,"n.b.",INDEX(SRC_Woningetalage!$A$1:$ZZ$501,$A88,AL$3)))</f>
        <v/>
      </c>
      <c r="AM88" s="124" t="str">
        <f>IF($B88="","",IF(AM$3=0,"n.b.",INDEX(SRC_Woningetalage!$A$1:$ZZ$501,$A88,AM$3)))</f>
        <v/>
      </c>
      <c r="AN88" s="124" t="str">
        <f>IF($B88="","",IF(AN$3=0,"n.b.",INDEX(SRC_Woningetalage!$A$1:$ZZ$501,$A88,AN$3)))</f>
        <v/>
      </c>
      <c r="AO88" s="124" t="str">
        <f>IF($B88="","",IF(AO$3=0,"n.b.",INDEX(SRC_Woningetalage!$A$1:$ZZ$501,$A88,AO$3)))</f>
        <v/>
      </c>
      <c r="AP88" s="124" t="str">
        <f>IF($B88="","",IF(AP$3=0,"n.b.",INDEX(SRC_Woningetalage!$A$1:$ZZ$501,$A88,AP$3)))</f>
        <v/>
      </c>
      <c r="AQ88" s="124" t="str">
        <f>IF($B88="","",IF(AQ$3=0,"n.b.",INDEX(SRC_Woningetalage!$A$1:$ZZ$501,$A88,AQ$3)))</f>
        <v/>
      </c>
      <c r="AR88" s="124" t="str">
        <f>IF($B88="","",IF(AR$3=0,"n.b.",INDEX(SRC_Woningetalage!$A$1:$ZZ$501,$A88,AR$3)))</f>
        <v/>
      </c>
      <c r="AS88" s="124" t="str">
        <f>IF($B88="","",IF(AS$3=0,"n.b.",INDEX(SRC_Woningetalage!$A$1:$ZZ$501,$A88,AS$3)))</f>
        <v/>
      </c>
      <c r="AT88" s="124" t="str">
        <f>IF($B88="","",IF(AT$3=0,"n.b.",INDEX(SRC_Woningetalage!$A$1:$ZZ$501,$A88,AT$3)))</f>
        <v/>
      </c>
      <c r="AU88" s="124" t="str">
        <f>IF($B88="","",IF(AU$3=0,"n.b.",INDEX(SRC_Woningetalage!$A$1:$ZZ$501,$A88,AU$3)))</f>
        <v/>
      </c>
      <c r="AV88" s="124" t="str">
        <f>IF($B88="","",IF(AV$3=0,"n.b.",INDEX(SRC_Woningetalage!$A$1:$ZZ$501,$A88,AV$3)))</f>
        <v/>
      </c>
      <c r="AW88" s="124" t="str">
        <f>IF($B88="","",IF(AW$3=0,"n.b.",INDEX(SRC_Woningetalage!$A$1:$ZZ$501,$A88,AW$3)))</f>
        <v/>
      </c>
      <c r="AX88" s="124" t="str">
        <f>IF($B88="","",IF(AX$3=0,"n.b.",INDEX(SRC_Woningetalage!$A$1:$ZZ$501,$A88,AX$3)))</f>
        <v/>
      </c>
      <c r="AY88" s="124" t="str">
        <f>IF($B88="","",IF(AY$3=0,"n.b.",INDEX(SRC_Woningetalage!$A$1:$ZZ$501,$A88,AY$3)))</f>
        <v/>
      </c>
      <c r="AZ88" s="124" t="str">
        <f>IF($B88="","",IF(AZ$3=0,"n.b.",INDEX(SRC_Woningetalage!$A$1:$ZZ$501,$A88,AZ$3)))</f>
        <v/>
      </c>
      <c r="BA88" s="124" t="str">
        <f>IF($B88="","",IF(BA$3=0,"n.b.",INDEX(SRC_Woningetalage!$A$1:$ZZ$501,$A88,BA$3)))</f>
        <v/>
      </c>
      <c r="BB88" s="124" t="str">
        <f>IF($B88="","",IF(BB$3=0,"n.b.",INDEX(SRC_Woningetalage!$A$1:$ZZ$501,$A88,BB$3)))</f>
        <v/>
      </c>
      <c r="BC88" s="124" t="str">
        <f>IF($B88="","",IFERROR(_xlfn.NUMBERVALUE(E88&amp;"",",","."),"n.b."))</f>
        <v/>
      </c>
      <c r="BD88" s="124" t="str">
        <f>IF($B88="","",IFERROR(_xlfn.NUMBERVALUE(M88&amp;"",",","."),"n.b."))</f>
        <v/>
      </c>
      <c r="BE88" s="124" t="str">
        <f>IF($B88="","",IFERROR(AB88+AC88+AD88,"n.b."))</f>
        <v/>
      </c>
      <c r="BF88" s="124" t="str">
        <f>IF($B88="","",IFERROR(AE88+AF88+AG88,"n.b."))</f>
        <v/>
      </c>
      <c r="BG88" s="124" t="str">
        <f>IF($B88="","",IFERROR(AH88+AI88+AJ88,"n.b."))</f>
        <v/>
      </c>
      <c r="BH88" s="124" t="str">
        <f>IF($B88="","",IFERROR(AK88+AL88+AM88,"n.b."))</f>
        <v/>
      </c>
      <c r="BI88" s="124" t="str">
        <f>IF($B88="","",IFERROR(SUMIF($AB$5:$AM$5,"&lt;="&amp;P_PeilMaand,AB88:AM88),"n.b."))</f>
        <v/>
      </c>
      <c r="BJ88" s="124" t="str">
        <f>IF($B88="","",IFERROR(SUM(AB88:AM88)-BI88,"n.b."))</f>
        <v/>
      </c>
      <c r="BK88" s="124" t="str">
        <f>IF($B88="","",IFERROR(IF(ABS(Q88-(T88+SUM(AB88:AM88)+AS88+AU88))&gt;P_Tol,1,0),1))</f>
        <v/>
      </c>
      <c r="BL88" s="124" t="str">
        <f>IF($B88="","",IFERROR(IF(ABS(AA88-(Q88-Z88))&gt;P_Tol,1,0),1))</f>
        <v/>
      </c>
      <c r="BM88" s="124" t="str">
        <f>IF($B88="","",IFERROR(IF(ABS(Z88-(T88+W88))&gt;P_Tol,1,0),1))</f>
        <v/>
      </c>
      <c r="BN88" s="124" t="str">
        <f>IF($B88="","",IFERROR(IF(ABS(W88-BI88)&gt;P_Tol,1,0),1))</f>
        <v/>
      </c>
      <c r="BO88" s="124" t="str">
        <f>IF($B88="","",IFERROR(IF(OR(ABS(R88+S88-T88)&gt;P_Tol,ABS(U88+V88-W88)&gt;P_Tol,ABS(X88+Y88-Z88)&gt;P_Tol),1,0),1))</f>
        <v/>
      </c>
      <c r="BP88" s="124" t="str">
        <f>IF($B88="","",IFERROR(IF(OR(ABS(AR88-SUM(AB88:AM88))&gt;P_Tol,ABS(AS88-(AN88+AO88+AP88+AQ88))&gt;P_Tol),1,0),1))</f>
        <v/>
      </c>
      <c r="BQ88" s="124" t="str">
        <f>IF($B88="","",IFERROR(IF(ABS(AT88)+ABS(AV88)+ABS(AW88)+ABS(AX88)+ABS(AY88)+ABS(AZ88)+ABS(BA88)+ABS(BB88)&gt;0,1,0),1))</f>
        <v/>
      </c>
      <c r="BR88" s="124" t="str">
        <f>IF($B88="","",COUNTIF(STG_ZPMW03!$B$6:$B$505,B88))</f>
        <v/>
      </c>
      <c r="BS88" s="124" t="str">
        <f>IF($B88="","",COUNTIF($B$6:$B$505,B88))</f>
        <v/>
      </c>
      <c r="BT88" s="124" t="str">
        <f>IF($B88="","",IF(BR88=0,0,IF(INDEX(STG_ZPMW03!$I$6:$I$505,MATCH(B88,STG_ZPMW03!$B$6:$B$505,0))=J88&amp;"",0,1)))</f>
        <v/>
      </c>
      <c r="BU88" s="124" t="str">
        <f>IF($B88="","",IFERROR(IF(ABS(INDEX(Mapping!$D$5:$D$104,MATCH(B88,Mapping!$A$5:$A$104,0))-Q88)&gt;P_Tol,1,0),0))</f>
        <v/>
      </c>
      <c r="BV88" s="124" t="str">
        <f>IF($B88="","",IFERROR(IF(AND(INDEX(Mapping!$G$5:$G$104,MATCH(B88,Mapping!$A$5:$A$104,0))="Nee",ABS(Q88)+ABS(Z88)+ABS(AR88)&gt;0),1,0),0))</f>
        <v/>
      </c>
      <c r="BW88" s="124" t="str">
        <f>IF($B88="","",IF(COUNTIF(Mapping!$A$5:$A$104,B88)&gt;0,1,0))</f>
        <v/>
      </c>
      <c r="BX88" s="124" t="str">
        <f>IF($B88="","",IF(BR88=0,COUNTIF($BR$6:BR88,0),""))</f>
        <v/>
      </c>
    </row>
    <row r="89">
      <c r="A89" s="15" t="n">
        <v>85</v>
      </c>
      <c r="B89" t="str">
        <f>IF(B$3=0,"",IF(INDEX(SRC_Woningetalage!$A$1:$ZZ$501,$A89,B$3)&amp;""="","",INDEX(SRC_Woningetalage!$A$1:$ZZ$501,$A89,B$3)&amp;""))</f>
        <v/>
      </c>
      <c r="C89" t="str">
        <f>IF($B89="","",IF(C$3=0,"n.b.",INDEX(SRC_Woningetalage!$A$1:$ZZ$501,$A89,C$3)))</f>
        <v/>
      </c>
      <c r="D89" t="str">
        <f>IF($B89="","",IF(D$3=0,"n.b.",INDEX(SRC_Woningetalage!$A$1:$ZZ$501,$A89,D$3)))</f>
        <v/>
      </c>
      <c r="E89" t="str">
        <f>IF($B89="","",IF(E$3=0,"n.b.",INDEX(SRC_Woningetalage!$A$1:$ZZ$501,$A89,E$3)))</f>
        <v/>
      </c>
      <c r="F89" t="str">
        <f>IF($B89="","",IF(F$3=0,"n.b.",INDEX(SRC_Woningetalage!$A$1:$ZZ$501,$A89,F$3)))</f>
        <v/>
      </c>
      <c r="G89" t="str">
        <f>IF($B89="","",IF(G$3=0,"n.b.",INDEX(SRC_Woningetalage!$A$1:$ZZ$501,$A89,G$3)))</f>
        <v/>
      </c>
      <c r="H89" t="str">
        <f>IF($B89="","",IF(H$3=0,"n.b.",INDEX(SRC_Woningetalage!$A$1:$ZZ$501,$A89,H$3)))</f>
        <v/>
      </c>
      <c r="I89" t="str">
        <f>IF($B89="","",IF(I$3=0,"n.b.",INDEX(SRC_Woningetalage!$A$1:$ZZ$501,$A89,I$3)))</f>
        <v/>
      </c>
      <c r="J89" t="str">
        <f>IF($B89="","",IF(J$3=0,"n.b.",INDEX(SRC_Woningetalage!$A$1:$ZZ$501,$A89,J$3)))</f>
        <v/>
      </c>
      <c r="K89" t="str">
        <f>IF($B89="","",IF(K$3=0,"n.b.",INDEX(SRC_Woningetalage!$A$1:$ZZ$501,$A89,K$3)))</f>
        <v/>
      </c>
      <c r="L89" t="str">
        <f>IF($B89="","",IF(L$3=0,"n.b.",INDEX(SRC_Woningetalage!$A$1:$ZZ$501,$A89,L$3)))</f>
        <v/>
      </c>
      <c r="M89" t="str">
        <f>IF($B89="","",IF(M$3=0,"n.b.",INDEX(SRC_Woningetalage!$A$1:$ZZ$501,$A89,M$3)))</f>
        <v/>
      </c>
      <c r="N89" t="str">
        <f>IF($B89="","",IF(N$3=0,"n.b.",INDEX(SRC_Woningetalage!$A$1:$ZZ$501,$A89,N$3)))</f>
        <v/>
      </c>
      <c r="O89" t="str">
        <f>IF($B89="","",IF(O$3=0,"n.b.",INDEX(SRC_Woningetalage!$A$1:$ZZ$501,$A89,O$3)))</f>
        <v/>
      </c>
      <c r="P89" t="str">
        <f>IF($B89="","",IF(P$3=0,"n.b.",INDEX(SRC_Woningetalage!$A$1:$ZZ$501,$A89,P$3)))</f>
        <v/>
      </c>
      <c r="Q89" s="124" t="str">
        <f>IF($B89="","",IF(Q$3=0,"n.b.",INDEX(SRC_Woningetalage!$A$1:$ZZ$501,$A89,Q$3)))</f>
        <v/>
      </c>
      <c r="R89" s="124" t="str">
        <f>IF($B89="","",IF(R$3=0,"n.b.",INDEX(SRC_Woningetalage!$A$1:$ZZ$501,$A89,R$3)))</f>
        <v/>
      </c>
      <c r="S89" s="124" t="str">
        <f>IF($B89="","",IF(S$3=0,"n.b.",INDEX(SRC_Woningetalage!$A$1:$ZZ$501,$A89,S$3)))</f>
        <v/>
      </c>
      <c r="T89" s="124" t="str">
        <f>IF($B89="","",IF(T$3=0,"n.b.",INDEX(SRC_Woningetalage!$A$1:$ZZ$501,$A89,T$3)))</f>
        <v/>
      </c>
      <c r="U89" s="124" t="str">
        <f>IF($B89="","",IF(U$3=0,"n.b.",INDEX(SRC_Woningetalage!$A$1:$ZZ$501,$A89,U$3)))</f>
        <v/>
      </c>
      <c r="V89" s="124" t="str">
        <f>IF($B89="","",IF(V$3=0,"n.b.",INDEX(SRC_Woningetalage!$A$1:$ZZ$501,$A89,V$3)))</f>
        <v/>
      </c>
      <c r="W89" s="124" t="str">
        <f>IF($B89="","",IF(W$3=0,"n.b.",INDEX(SRC_Woningetalage!$A$1:$ZZ$501,$A89,W$3)))</f>
        <v/>
      </c>
      <c r="X89" s="124" t="str">
        <f>IF($B89="","",IF(X$3=0,"n.b.",INDEX(SRC_Woningetalage!$A$1:$ZZ$501,$A89,X$3)))</f>
        <v/>
      </c>
      <c r="Y89" s="124" t="str">
        <f>IF($B89="","",IF(Y$3=0,"n.b.",INDEX(SRC_Woningetalage!$A$1:$ZZ$501,$A89,Y$3)))</f>
        <v/>
      </c>
      <c r="Z89" s="124" t="str">
        <f>IF($B89="","",IF(Z$3=0,"n.b.",INDEX(SRC_Woningetalage!$A$1:$ZZ$501,$A89,Z$3)))</f>
        <v/>
      </c>
      <c r="AA89" s="124" t="str">
        <f>IF($B89="","",IF(AA$3=0,"n.b.",INDEX(SRC_Woningetalage!$A$1:$ZZ$501,$A89,AA$3)))</f>
        <v/>
      </c>
      <c r="AB89" s="124" t="str">
        <f>IF($B89="","",IF(AB$3=0,"n.b.",INDEX(SRC_Woningetalage!$A$1:$ZZ$501,$A89,AB$3)))</f>
        <v/>
      </c>
      <c r="AC89" s="124" t="str">
        <f>IF($B89="","",IF(AC$3=0,"n.b.",INDEX(SRC_Woningetalage!$A$1:$ZZ$501,$A89,AC$3)))</f>
        <v/>
      </c>
      <c r="AD89" s="124" t="str">
        <f>IF($B89="","",IF(AD$3=0,"n.b.",INDEX(SRC_Woningetalage!$A$1:$ZZ$501,$A89,AD$3)))</f>
        <v/>
      </c>
      <c r="AE89" s="124" t="str">
        <f>IF($B89="","",IF(AE$3=0,"n.b.",INDEX(SRC_Woningetalage!$A$1:$ZZ$501,$A89,AE$3)))</f>
        <v/>
      </c>
      <c r="AF89" s="124" t="str">
        <f>IF($B89="","",IF(AF$3=0,"n.b.",INDEX(SRC_Woningetalage!$A$1:$ZZ$501,$A89,AF$3)))</f>
        <v/>
      </c>
      <c r="AG89" s="124" t="str">
        <f>IF($B89="","",IF(AG$3=0,"n.b.",INDEX(SRC_Woningetalage!$A$1:$ZZ$501,$A89,AG$3)))</f>
        <v/>
      </c>
      <c r="AH89" s="124" t="str">
        <f>IF($B89="","",IF(AH$3=0,"n.b.",INDEX(SRC_Woningetalage!$A$1:$ZZ$501,$A89,AH$3)))</f>
        <v/>
      </c>
      <c r="AI89" s="124" t="str">
        <f>IF($B89="","",IF(AI$3=0,"n.b.",INDEX(SRC_Woningetalage!$A$1:$ZZ$501,$A89,AI$3)))</f>
        <v/>
      </c>
      <c r="AJ89" s="124" t="str">
        <f>IF($B89="","",IF(AJ$3=0,"n.b.",INDEX(SRC_Woningetalage!$A$1:$ZZ$501,$A89,AJ$3)))</f>
        <v/>
      </c>
      <c r="AK89" s="124" t="str">
        <f>IF($B89="","",IF(AK$3=0,"n.b.",INDEX(SRC_Woningetalage!$A$1:$ZZ$501,$A89,AK$3)))</f>
        <v/>
      </c>
      <c r="AL89" s="124" t="str">
        <f>IF($B89="","",IF(AL$3=0,"n.b.",INDEX(SRC_Woningetalage!$A$1:$ZZ$501,$A89,AL$3)))</f>
        <v/>
      </c>
      <c r="AM89" s="124" t="str">
        <f>IF($B89="","",IF(AM$3=0,"n.b.",INDEX(SRC_Woningetalage!$A$1:$ZZ$501,$A89,AM$3)))</f>
        <v/>
      </c>
      <c r="AN89" s="124" t="str">
        <f>IF($B89="","",IF(AN$3=0,"n.b.",INDEX(SRC_Woningetalage!$A$1:$ZZ$501,$A89,AN$3)))</f>
        <v/>
      </c>
      <c r="AO89" s="124" t="str">
        <f>IF($B89="","",IF(AO$3=0,"n.b.",INDEX(SRC_Woningetalage!$A$1:$ZZ$501,$A89,AO$3)))</f>
        <v/>
      </c>
      <c r="AP89" s="124" t="str">
        <f>IF($B89="","",IF(AP$3=0,"n.b.",INDEX(SRC_Woningetalage!$A$1:$ZZ$501,$A89,AP$3)))</f>
        <v/>
      </c>
      <c r="AQ89" s="124" t="str">
        <f>IF($B89="","",IF(AQ$3=0,"n.b.",INDEX(SRC_Woningetalage!$A$1:$ZZ$501,$A89,AQ$3)))</f>
        <v/>
      </c>
      <c r="AR89" s="124" t="str">
        <f>IF($B89="","",IF(AR$3=0,"n.b.",INDEX(SRC_Woningetalage!$A$1:$ZZ$501,$A89,AR$3)))</f>
        <v/>
      </c>
      <c r="AS89" s="124" t="str">
        <f>IF($B89="","",IF(AS$3=0,"n.b.",INDEX(SRC_Woningetalage!$A$1:$ZZ$501,$A89,AS$3)))</f>
        <v/>
      </c>
      <c r="AT89" s="124" t="str">
        <f>IF($B89="","",IF(AT$3=0,"n.b.",INDEX(SRC_Woningetalage!$A$1:$ZZ$501,$A89,AT$3)))</f>
        <v/>
      </c>
      <c r="AU89" s="124" t="str">
        <f>IF($B89="","",IF(AU$3=0,"n.b.",INDEX(SRC_Woningetalage!$A$1:$ZZ$501,$A89,AU$3)))</f>
        <v/>
      </c>
      <c r="AV89" s="124" t="str">
        <f>IF($B89="","",IF(AV$3=0,"n.b.",INDEX(SRC_Woningetalage!$A$1:$ZZ$501,$A89,AV$3)))</f>
        <v/>
      </c>
      <c r="AW89" s="124" t="str">
        <f>IF($B89="","",IF(AW$3=0,"n.b.",INDEX(SRC_Woningetalage!$A$1:$ZZ$501,$A89,AW$3)))</f>
        <v/>
      </c>
      <c r="AX89" s="124" t="str">
        <f>IF($B89="","",IF(AX$3=0,"n.b.",INDEX(SRC_Woningetalage!$A$1:$ZZ$501,$A89,AX$3)))</f>
        <v/>
      </c>
      <c r="AY89" s="124" t="str">
        <f>IF($B89="","",IF(AY$3=0,"n.b.",INDEX(SRC_Woningetalage!$A$1:$ZZ$501,$A89,AY$3)))</f>
        <v/>
      </c>
      <c r="AZ89" s="124" t="str">
        <f>IF($B89="","",IF(AZ$3=0,"n.b.",INDEX(SRC_Woningetalage!$A$1:$ZZ$501,$A89,AZ$3)))</f>
        <v/>
      </c>
      <c r="BA89" s="124" t="str">
        <f>IF($B89="","",IF(BA$3=0,"n.b.",INDEX(SRC_Woningetalage!$A$1:$ZZ$501,$A89,BA$3)))</f>
        <v/>
      </c>
      <c r="BB89" s="124" t="str">
        <f>IF($B89="","",IF(BB$3=0,"n.b.",INDEX(SRC_Woningetalage!$A$1:$ZZ$501,$A89,BB$3)))</f>
        <v/>
      </c>
      <c r="BC89" s="124" t="str">
        <f>IF($B89="","",IFERROR(_xlfn.NUMBERVALUE(E89&amp;"",",","."),"n.b."))</f>
        <v/>
      </c>
      <c r="BD89" s="124" t="str">
        <f>IF($B89="","",IFERROR(_xlfn.NUMBERVALUE(M89&amp;"",",","."),"n.b."))</f>
        <v/>
      </c>
      <c r="BE89" s="124" t="str">
        <f>IF($B89="","",IFERROR(AB89+AC89+AD89,"n.b."))</f>
        <v/>
      </c>
      <c r="BF89" s="124" t="str">
        <f>IF($B89="","",IFERROR(AE89+AF89+AG89,"n.b."))</f>
        <v/>
      </c>
      <c r="BG89" s="124" t="str">
        <f>IF($B89="","",IFERROR(AH89+AI89+AJ89,"n.b."))</f>
        <v/>
      </c>
      <c r="BH89" s="124" t="str">
        <f>IF($B89="","",IFERROR(AK89+AL89+AM89,"n.b."))</f>
        <v/>
      </c>
      <c r="BI89" s="124" t="str">
        <f>IF($B89="","",IFERROR(SUMIF($AB$5:$AM$5,"&lt;="&amp;P_PeilMaand,AB89:AM89),"n.b."))</f>
        <v/>
      </c>
      <c r="BJ89" s="124" t="str">
        <f>IF($B89="","",IFERROR(SUM(AB89:AM89)-BI89,"n.b."))</f>
        <v/>
      </c>
      <c r="BK89" s="124" t="str">
        <f>IF($B89="","",IFERROR(IF(ABS(Q89-(T89+SUM(AB89:AM89)+AS89+AU89))&gt;P_Tol,1,0),1))</f>
        <v/>
      </c>
      <c r="BL89" s="124" t="str">
        <f>IF($B89="","",IFERROR(IF(ABS(AA89-(Q89-Z89))&gt;P_Tol,1,0),1))</f>
        <v/>
      </c>
      <c r="BM89" s="124" t="str">
        <f>IF($B89="","",IFERROR(IF(ABS(Z89-(T89+W89))&gt;P_Tol,1,0),1))</f>
        <v/>
      </c>
      <c r="BN89" s="124" t="str">
        <f>IF($B89="","",IFERROR(IF(ABS(W89-BI89)&gt;P_Tol,1,0),1))</f>
        <v/>
      </c>
      <c r="BO89" s="124" t="str">
        <f>IF($B89="","",IFERROR(IF(OR(ABS(R89+S89-T89)&gt;P_Tol,ABS(U89+V89-W89)&gt;P_Tol,ABS(X89+Y89-Z89)&gt;P_Tol),1,0),1))</f>
        <v/>
      </c>
      <c r="BP89" s="124" t="str">
        <f>IF($B89="","",IFERROR(IF(OR(ABS(AR89-SUM(AB89:AM89))&gt;P_Tol,ABS(AS89-(AN89+AO89+AP89+AQ89))&gt;P_Tol),1,0),1))</f>
        <v/>
      </c>
      <c r="BQ89" s="124" t="str">
        <f>IF($B89="","",IFERROR(IF(ABS(AT89)+ABS(AV89)+ABS(AW89)+ABS(AX89)+ABS(AY89)+ABS(AZ89)+ABS(BA89)+ABS(BB89)&gt;0,1,0),1))</f>
        <v/>
      </c>
      <c r="BR89" s="124" t="str">
        <f>IF($B89="","",COUNTIF(STG_ZPMW03!$B$6:$B$505,B89))</f>
        <v/>
      </c>
      <c r="BS89" s="124" t="str">
        <f>IF($B89="","",COUNTIF($B$6:$B$505,B89))</f>
        <v/>
      </c>
      <c r="BT89" s="124" t="str">
        <f>IF($B89="","",IF(BR89=0,0,IF(INDEX(STG_ZPMW03!$I$6:$I$505,MATCH(B89,STG_ZPMW03!$B$6:$B$505,0))=J89&amp;"",0,1)))</f>
        <v/>
      </c>
      <c r="BU89" s="124" t="str">
        <f>IF($B89="","",IFERROR(IF(ABS(INDEX(Mapping!$D$5:$D$104,MATCH(B89,Mapping!$A$5:$A$104,0))-Q89)&gt;P_Tol,1,0),0))</f>
        <v/>
      </c>
      <c r="BV89" s="124" t="str">
        <f>IF($B89="","",IFERROR(IF(AND(INDEX(Mapping!$G$5:$G$104,MATCH(B89,Mapping!$A$5:$A$104,0))="Nee",ABS(Q89)+ABS(Z89)+ABS(AR89)&gt;0),1,0),0))</f>
        <v/>
      </c>
      <c r="BW89" s="124" t="str">
        <f>IF($B89="","",IF(COUNTIF(Mapping!$A$5:$A$104,B89)&gt;0,1,0))</f>
        <v/>
      </c>
      <c r="BX89" s="124" t="str">
        <f>IF($B89="","",IF(BR89=0,COUNTIF($BR$6:BR89,0),""))</f>
        <v/>
      </c>
    </row>
    <row r="90">
      <c r="A90" s="15" t="n">
        <v>86</v>
      </c>
      <c r="B90" t="str">
        <f>IF(B$3=0,"",IF(INDEX(SRC_Woningetalage!$A$1:$ZZ$501,$A90,B$3)&amp;""="","",INDEX(SRC_Woningetalage!$A$1:$ZZ$501,$A90,B$3)&amp;""))</f>
        <v/>
      </c>
      <c r="C90" t="str">
        <f>IF($B90="","",IF(C$3=0,"n.b.",INDEX(SRC_Woningetalage!$A$1:$ZZ$501,$A90,C$3)))</f>
        <v/>
      </c>
      <c r="D90" t="str">
        <f>IF($B90="","",IF(D$3=0,"n.b.",INDEX(SRC_Woningetalage!$A$1:$ZZ$501,$A90,D$3)))</f>
        <v/>
      </c>
      <c r="E90" t="str">
        <f>IF($B90="","",IF(E$3=0,"n.b.",INDEX(SRC_Woningetalage!$A$1:$ZZ$501,$A90,E$3)))</f>
        <v/>
      </c>
      <c r="F90" t="str">
        <f>IF($B90="","",IF(F$3=0,"n.b.",INDEX(SRC_Woningetalage!$A$1:$ZZ$501,$A90,F$3)))</f>
        <v/>
      </c>
      <c r="G90" t="str">
        <f>IF($B90="","",IF(G$3=0,"n.b.",INDEX(SRC_Woningetalage!$A$1:$ZZ$501,$A90,G$3)))</f>
        <v/>
      </c>
      <c r="H90" t="str">
        <f>IF($B90="","",IF(H$3=0,"n.b.",INDEX(SRC_Woningetalage!$A$1:$ZZ$501,$A90,H$3)))</f>
        <v/>
      </c>
      <c r="I90" t="str">
        <f>IF($B90="","",IF(I$3=0,"n.b.",INDEX(SRC_Woningetalage!$A$1:$ZZ$501,$A90,I$3)))</f>
        <v/>
      </c>
      <c r="J90" t="str">
        <f>IF($B90="","",IF(J$3=0,"n.b.",INDEX(SRC_Woningetalage!$A$1:$ZZ$501,$A90,J$3)))</f>
        <v/>
      </c>
      <c r="K90" t="str">
        <f>IF($B90="","",IF(K$3=0,"n.b.",INDEX(SRC_Woningetalage!$A$1:$ZZ$501,$A90,K$3)))</f>
        <v/>
      </c>
      <c r="L90" t="str">
        <f>IF($B90="","",IF(L$3=0,"n.b.",INDEX(SRC_Woningetalage!$A$1:$ZZ$501,$A90,L$3)))</f>
        <v/>
      </c>
      <c r="M90" t="str">
        <f>IF($B90="","",IF(M$3=0,"n.b.",INDEX(SRC_Woningetalage!$A$1:$ZZ$501,$A90,M$3)))</f>
        <v/>
      </c>
      <c r="N90" t="str">
        <f>IF($B90="","",IF(N$3=0,"n.b.",INDEX(SRC_Woningetalage!$A$1:$ZZ$501,$A90,N$3)))</f>
        <v/>
      </c>
      <c r="O90" t="str">
        <f>IF($B90="","",IF(O$3=0,"n.b.",INDEX(SRC_Woningetalage!$A$1:$ZZ$501,$A90,O$3)))</f>
        <v/>
      </c>
      <c r="P90" t="str">
        <f>IF($B90="","",IF(P$3=0,"n.b.",INDEX(SRC_Woningetalage!$A$1:$ZZ$501,$A90,P$3)))</f>
        <v/>
      </c>
      <c r="Q90" s="124" t="str">
        <f>IF($B90="","",IF(Q$3=0,"n.b.",INDEX(SRC_Woningetalage!$A$1:$ZZ$501,$A90,Q$3)))</f>
        <v/>
      </c>
      <c r="R90" s="124" t="str">
        <f>IF($B90="","",IF(R$3=0,"n.b.",INDEX(SRC_Woningetalage!$A$1:$ZZ$501,$A90,R$3)))</f>
        <v/>
      </c>
      <c r="S90" s="124" t="str">
        <f>IF($B90="","",IF(S$3=0,"n.b.",INDEX(SRC_Woningetalage!$A$1:$ZZ$501,$A90,S$3)))</f>
        <v/>
      </c>
      <c r="T90" s="124" t="str">
        <f>IF($B90="","",IF(T$3=0,"n.b.",INDEX(SRC_Woningetalage!$A$1:$ZZ$501,$A90,T$3)))</f>
        <v/>
      </c>
      <c r="U90" s="124" t="str">
        <f>IF($B90="","",IF(U$3=0,"n.b.",INDEX(SRC_Woningetalage!$A$1:$ZZ$501,$A90,U$3)))</f>
        <v/>
      </c>
      <c r="V90" s="124" t="str">
        <f>IF($B90="","",IF(V$3=0,"n.b.",INDEX(SRC_Woningetalage!$A$1:$ZZ$501,$A90,V$3)))</f>
        <v/>
      </c>
      <c r="W90" s="124" t="str">
        <f>IF($B90="","",IF(W$3=0,"n.b.",INDEX(SRC_Woningetalage!$A$1:$ZZ$501,$A90,W$3)))</f>
        <v/>
      </c>
      <c r="X90" s="124" t="str">
        <f>IF($B90="","",IF(X$3=0,"n.b.",INDEX(SRC_Woningetalage!$A$1:$ZZ$501,$A90,X$3)))</f>
        <v/>
      </c>
      <c r="Y90" s="124" t="str">
        <f>IF($B90="","",IF(Y$3=0,"n.b.",INDEX(SRC_Woningetalage!$A$1:$ZZ$501,$A90,Y$3)))</f>
        <v/>
      </c>
      <c r="Z90" s="124" t="str">
        <f>IF($B90="","",IF(Z$3=0,"n.b.",INDEX(SRC_Woningetalage!$A$1:$ZZ$501,$A90,Z$3)))</f>
        <v/>
      </c>
      <c r="AA90" s="124" t="str">
        <f>IF($B90="","",IF(AA$3=0,"n.b.",INDEX(SRC_Woningetalage!$A$1:$ZZ$501,$A90,AA$3)))</f>
        <v/>
      </c>
      <c r="AB90" s="124" t="str">
        <f>IF($B90="","",IF(AB$3=0,"n.b.",INDEX(SRC_Woningetalage!$A$1:$ZZ$501,$A90,AB$3)))</f>
        <v/>
      </c>
      <c r="AC90" s="124" t="str">
        <f>IF($B90="","",IF(AC$3=0,"n.b.",INDEX(SRC_Woningetalage!$A$1:$ZZ$501,$A90,AC$3)))</f>
        <v/>
      </c>
      <c r="AD90" s="124" t="str">
        <f>IF($B90="","",IF(AD$3=0,"n.b.",INDEX(SRC_Woningetalage!$A$1:$ZZ$501,$A90,AD$3)))</f>
        <v/>
      </c>
      <c r="AE90" s="124" t="str">
        <f>IF($B90="","",IF(AE$3=0,"n.b.",INDEX(SRC_Woningetalage!$A$1:$ZZ$501,$A90,AE$3)))</f>
        <v/>
      </c>
      <c r="AF90" s="124" t="str">
        <f>IF($B90="","",IF(AF$3=0,"n.b.",INDEX(SRC_Woningetalage!$A$1:$ZZ$501,$A90,AF$3)))</f>
        <v/>
      </c>
      <c r="AG90" s="124" t="str">
        <f>IF($B90="","",IF(AG$3=0,"n.b.",INDEX(SRC_Woningetalage!$A$1:$ZZ$501,$A90,AG$3)))</f>
        <v/>
      </c>
      <c r="AH90" s="124" t="str">
        <f>IF($B90="","",IF(AH$3=0,"n.b.",INDEX(SRC_Woningetalage!$A$1:$ZZ$501,$A90,AH$3)))</f>
        <v/>
      </c>
      <c r="AI90" s="124" t="str">
        <f>IF($B90="","",IF(AI$3=0,"n.b.",INDEX(SRC_Woningetalage!$A$1:$ZZ$501,$A90,AI$3)))</f>
        <v/>
      </c>
      <c r="AJ90" s="124" t="str">
        <f>IF($B90="","",IF(AJ$3=0,"n.b.",INDEX(SRC_Woningetalage!$A$1:$ZZ$501,$A90,AJ$3)))</f>
        <v/>
      </c>
      <c r="AK90" s="124" t="str">
        <f>IF($B90="","",IF(AK$3=0,"n.b.",INDEX(SRC_Woningetalage!$A$1:$ZZ$501,$A90,AK$3)))</f>
        <v/>
      </c>
      <c r="AL90" s="124" t="str">
        <f>IF($B90="","",IF(AL$3=0,"n.b.",INDEX(SRC_Woningetalage!$A$1:$ZZ$501,$A90,AL$3)))</f>
        <v/>
      </c>
      <c r="AM90" s="124" t="str">
        <f>IF($B90="","",IF(AM$3=0,"n.b.",INDEX(SRC_Woningetalage!$A$1:$ZZ$501,$A90,AM$3)))</f>
        <v/>
      </c>
      <c r="AN90" s="124" t="str">
        <f>IF($B90="","",IF(AN$3=0,"n.b.",INDEX(SRC_Woningetalage!$A$1:$ZZ$501,$A90,AN$3)))</f>
        <v/>
      </c>
      <c r="AO90" s="124" t="str">
        <f>IF($B90="","",IF(AO$3=0,"n.b.",INDEX(SRC_Woningetalage!$A$1:$ZZ$501,$A90,AO$3)))</f>
        <v/>
      </c>
      <c r="AP90" s="124" t="str">
        <f>IF($B90="","",IF(AP$3=0,"n.b.",INDEX(SRC_Woningetalage!$A$1:$ZZ$501,$A90,AP$3)))</f>
        <v/>
      </c>
      <c r="AQ90" s="124" t="str">
        <f>IF($B90="","",IF(AQ$3=0,"n.b.",INDEX(SRC_Woningetalage!$A$1:$ZZ$501,$A90,AQ$3)))</f>
        <v/>
      </c>
      <c r="AR90" s="124" t="str">
        <f>IF($B90="","",IF(AR$3=0,"n.b.",INDEX(SRC_Woningetalage!$A$1:$ZZ$501,$A90,AR$3)))</f>
        <v/>
      </c>
      <c r="AS90" s="124" t="str">
        <f>IF($B90="","",IF(AS$3=0,"n.b.",INDEX(SRC_Woningetalage!$A$1:$ZZ$501,$A90,AS$3)))</f>
        <v/>
      </c>
      <c r="AT90" s="124" t="str">
        <f>IF($B90="","",IF(AT$3=0,"n.b.",INDEX(SRC_Woningetalage!$A$1:$ZZ$501,$A90,AT$3)))</f>
        <v/>
      </c>
      <c r="AU90" s="124" t="str">
        <f>IF($B90="","",IF(AU$3=0,"n.b.",INDEX(SRC_Woningetalage!$A$1:$ZZ$501,$A90,AU$3)))</f>
        <v/>
      </c>
      <c r="AV90" s="124" t="str">
        <f>IF($B90="","",IF(AV$3=0,"n.b.",INDEX(SRC_Woningetalage!$A$1:$ZZ$501,$A90,AV$3)))</f>
        <v/>
      </c>
      <c r="AW90" s="124" t="str">
        <f>IF($B90="","",IF(AW$3=0,"n.b.",INDEX(SRC_Woningetalage!$A$1:$ZZ$501,$A90,AW$3)))</f>
        <v/>
      </c>
      <c r="AX90" s="124" t="str">
        <f>IF($B90="","",IF(AX$3=0,"n.b.",INDEX(SRC_Woningetalage!$A$1:$ZZ$501,$A90,AX$3)))</f>
        <v/>
      </c>
      <c r="AY90" s="124" t="str">
        <f>IF($B90="","",IF(AY$3=0,"n.b.",INDEX(SRC_Woningetalage!$A$1:$ZZ$501,$A90,AY$3)))</f>
        <v/>
      </c>
      <c r="AZ90" s="124" t="str">
        <f>IF($B90="","",IF(AZ$3=0,"n.b.",INDEX(SRC_Woningetalage!$A$1:$ZZ$501,$A90,AZ$3)))</f>
        <v/>
      </c>
      <c r="BA90" s="124" t="str">
        <f>IF($B90="","",IF(BA$3=0,"n.b.",INDEX(SRC_Woningetalage!$A$1:$ZZ$501,$A90,BA$3)))</f>
        <v/>
      </c>
      <c r="BB90" s="124" t="str">
        <f>IF($B90="","",IF(BB$3=0,"n.b.",INDEX(SRC_Woningetalage!$A$1:$ZZ$501,$A90,BB$3)))</f>
        <v/>
      </c>
      <c r="BC90" s="124" t="str">
        <f>IF($B90="","",IFERROR(_xlfn.NUMBERVALUE(E90&amp;"",",","."),"n.b."))</f>
        <v/>
      </c>
      <c r="BD90" s="124" t="str">
        <f>IF($B90="","",IFERROR(_xlfn.NUMBERVALUE(M90&amp;"",",","."),"n.b."))</f>
        <v/>
      </c>
      <c r="BE90" s="124" t="str">
        <f>IF($B90="","",IFERROR(AB90+AC90+AD90,"n.b."))</f>
        <v/>
      </c>
      <c r="BF90" s="124" t="str">
        <f>IF($B90="","",IFERROR(AE90+AF90+AG90,"n.b."))</f>
        <v/>
      </c>
      <c r="BG90" s="124" t="str">
        <f>IF($B90="","",IFERROR(AH90+AI90+AJ90,"n.b."))</f>
        <v/>
      </c>
      <c r="BH90" s="124" t="str">
        <f>IF($B90="","",IFERROR(AK90+AL90+AM90,"n.b."))</f>
        <v/>
      </c>
      <c r="BI90" s="124" t="str">
        <f>IF($B90="","",IFERROR(SUMIF($AB$5:$AM$5,"&lt;="&amp;P_PeilMaand,AB90:AM90),"n.b."))</f>
        <v/>
      </c>
      <c r="BJ90" s="124" t="str">
        <f>IF($B90="","",IFERROR(SUM(AB90:AM90)-BI90,"n.b."))</f>
        <v/>
      </c>
      <c r="BK90" s="124" t="str">
        <f>IF($B90="","",IFERROR(IF(ABS(Q90-(T90+SUM(AB90:AM90)+AS90+AU90))&gt;P_Tol,1,0),1))</f>
        <v/>
      </c>
      <c r="BL90" s="124" t="str">
        <f>IF($B90="","",IFERROR(IF(ABS(AA90-(Q90-Z90))&gt;P_Tol,1,0),1))</f>
        <v/>
      </c>
      <c r="BM90" s="124" t="str">
        <f>IF($B90="","",IFERROR(IF(ABS(Z90-(T90+W90))&gt;P_Tol,1,0),1))</f>
        <v/>
      </c>
      <c r="BN90" s="124" t="str">
        <f>IF($B90="","",IFERROR(IF(ABS(W90-BI90)&gt;P_Tol,1,0),1))</f>
        <v/>
      </c>
      <c r="BO90" s="124" t="str">
        <f>IF($B90="","",IFERROR(IF(OR(ABS(R90+S90-T90)&gt;P_Tol,ABS(U90+V90-W90)&gt;P_Tol,ABS(X90+Y90-Z90)&gt;P_Tol),1,0),1))</f>
        <v/>
      </c>
      <c r="BP90" s="124" t="str">
        <f>IF($B90="","",IFERROR(IF(OR(ABS(AR90-SUM(AB90:AM90))&gt;P_Tol,ABS(AS90-(AN90+AO90+AP90+AQ90))&gt;P_Tol),1,0),1))</f>
        <v/>
      </c>
      <c r="BQ90" s="124" t="str">
        <f>IF($B90="","",IFERROR(IF(ABS(AT90)+ABS(AV90)+ABS(AW90)+ABS(AX90)+ABS(AY90)+ABS(AZ90)+ABS(BA90)+ABS(BB90)&gt;0,1,0),1))</f>
        <v/>
      </c>
      <c r="BR90" s="124" t="str">
        <f>IF($B90="","",COUNTIF(STG_ZPMW03!$B$6:$B$505,B90))</f>
        <v/>
      </c>
      <c r="BS90" s="124" t="str">
        <f>IF($B90="","",COUNTIF($B$6:$B$505,B90))</f>
        <v/>
      </c>
      <c r="BT90" s="124" t="str">
        <f>IF($B90="","",IF(BR90=0,0,IF(INDEX(STG_ZPMW03!$I$6:$I$505,MATCH(B90,STG_ZPMW03!$B$6:$B$505,0))=J90&amp;"",0,1)))</f>
        <v/>
      </c>
      <c r="BU90" s="124" t="str">
        <f>IF($B90="","",IFERROR(IF(ABS(INDEX(Mapping!$D$5:$D$104,MATCH(B90,Mapping!$A$5:$A$104,0))-Q90)&gt;P_Tol,1,0),0))</f>
        <v/>
      </c>
      <c r="BV90" s="124" t="str">
        <f>IF($B90="","",IFERROR(IF(AND(INDEX(Mapping!$G$5:$G$104,MATCH(B90,Mapping!$A$5:$A$104,0))="Nee",ABS(Q90)+ABS(Z90)+ABS(AR90)&gt;0),1,0),0))</f>
        <v/>
      </c>
      <c r="BW90" s="124" t="str">
        <f>IF($B90="","",IF(COUNTIF(Mapping!$A$5:$A$104,B90)&gt;0,1,0))</f>
        <v/>
      </c>
      <c r="BX90" s="124" t="str">
        <f>IF($B90="","",IF(BR90=0,COUNTIF($BR$6:BR90,0),""))</f>
        <v/>
      </c>
    </row>
    <row r="91">
      <c r="A91" s="15" t="n">
        <v>87</v>
      </c>
      <c r="B91" t="str">
        <f>IF(B$3=0,"",IF(INDEX(SRC_Woningetalage!$A$1:$ZZ$501,$A91,B$3)&amp;""="","",INDEX(SRC_Woningetalage!$A$1:$ZZ$501,$A91,B$3)&amp;""))</f>
        <v/>
      </c>
      <c r="C91" t="str">
        <f>IF($B91="","",IF(C$3=0,"n.b.",INDEX(SRC_Woningetalage!$A$1:$ZZ$501,$A91,C$3)))</f>
        <v/>
      </c>
      <c r="D91" t="str">
        <f>IF($B91="","",IF(D$3=0,"n.b.",INDEX(SRC_Woningetalage!$A$1:$ZZ$501,$A91,D$3)))</f>
        <v/>
      </c>
      <c r="E91" t="str">
        <f>IF($B91="","",IF(E$3=0,"n.b.",INDEX(SRC_Woningetalage!$A$1:$ZZ$501,$A91,E$3)))</f>
        <v/>
      </c>
      <c r="F91" t="str">
        <f>IF($B91="","",IF(F$3=0,"n.b.",INDEX(SRC_Woningetalage!$A$1:$ZZ$501,$A91,F$3)))</f>
        <v/>
      </c>
      <c r="G91" t="str">
        <f>IF($B91="","",IF(G$3=0,"n.b.",INDEX(SRC_Woningetalage!$A$1:$ZZ$501,$A91,G$3)))</f>
        <v/>
      </c>
      <c r="H91" t="str">
        <f>IF($B91="","",IF(H$3=0,"n.b.",INDEX(SRC_Woningetalage!$A$1:$ZZ$501,$A91,H$3)))</f>
        <v/>
      </c>
      <c r="I91" t="str">
        <f>IF($B91="","",IF(I$3=0,"n.b.",INDEX(SRC_Woningetalage!$A$1:$ZZ$501,$A91,I$3)))</f>
        <v/>
      </c>
      <c r="J91" t="str">
        <f>IF($B91="","",IF(J$3=0,"n.b.",INDEX(SRC_Woningetalage!$A$1:$ZZ$501,$A91,J$3)))</f>
        <v/>
      </c>
      <c r="K91" t="str">
        <f>IF($B91="","",IF(K$3=0,"n.b.",INDEX(SRC_Woningetalage!$A$1:$ZZ$501,$A91,K$3)))</f>
        <v/>
      </c>
      <c r="L91" t="str">
        <f>IF($B91="","",IF(L$3=0,"n.b.",INDEX(SRC_Woningetalage!$A$1:$ZZ$501,$A91,L$3)))</f>
        <v/>
      </c>
      <c r="M91" t="str">
        <f>IF($B91="","",IF(M$3=0,"n.b.",INDEX(SRC_Woningetalage!$A$1:$ZZ$501,$A91,M$3)))</f>
        <v/>
      </c>
      <c r="N91" t="str">
        <f>IF($B91="","",IF(N$3=0,"n.b.",INDEX(SRC_Woningetalage!$A$1:$ZZ$501,$A91,N$3)))</f>
        <v/>
      </c>
      <c r="O91" t="str">
        <f>IF($B91="","",IF(O$3=0,"n.b.",INDEX(SRC_Woningetalage!$A$1:$ZZ$501,$A91,O$3)))</f>
        <v/>
      </c>
      <c r="P91" t="str">
        <f>IF($B91="","",IF(P$3=0,"n.b.",INDEX(SRC_Woningetalage!$A$1:$ZZ$501,$A91,P$3)))</f>
        <v/>
      </c>
      <c r="Q91" s="124" t="str">
        <f>IF($B91="","",IF(Q$3=0,"n.b.",INDEX(SRC_Woningetalage!$A$1:$ZZ$501,$A91,Q$3)))</f>
        <v/>
      </c>
      <c r="R91" s="124" t="str">
        <f>IF($B91="","",IF(R$3=0,"n.b.",INDEX(SRC_Woningetalage!$A$1:$ZZ$501,$A91,R$3)))</f>
        <v/>
      </c>
      <c r="S91" s="124" t="str">
        <f>IF($B91="","",IF(S$3=0,"n.b.",INDEX(SRC_Woningetalage!$A$1:$ZZ$501,$A91,S$3)))</f>
        <v/>
      </c>
      <c r="T91" s="124" t="str">
        <f>IF($B91="","",IF(T$3=0,"n.b.",INDEX(SRC_Woningetalage!$A$1:$ZZ$501,$A91,T$3)))</f>
        <v/>
      </c>
      <c r="U91" s="124" t="str">
        <f>IF($B91="","",IF(U$3=0,"n.b.",INDEX(SRC_Woningetalage!$A$1:$ZZ$501,$A91,U$3)))</f>
        <v/>
      </c>
      <c r="V91" s="124" t="str">
        <f>IF($B91="","",IF(V$3=0,"n.b.",INDEX(SRC_Woningetalage!$A$1:$ZZ$501,$A91,V$3)))</f>
        <v/>
      </c>
      <c r="W91" s="124" t="str">
        <f>IF($B91="","",IF(W$3=0,"n.b.",INDEX(SRC_Woningetalage!$A$1:$ZZ$501,$A91,W$3)))</f>
        <v/>
      </c>
      <c r="X91" s="124" t="str">
        <f>IF($B91="","",IF(X$3=0,"n.b.",INDEX(SRC_Woningetalage!$A$1:$ZZ$501,$A91,X$3)))</f>
        <v/>
      </c>
      <c r="Y91" s="124" t="str">
        <f>IF($B91="","",IF(Y$3=0,"n.b.",INDEX(SRC_Woningetalage!$A$1:$ZZ$501,$A91,Y$3)))</f>
        <v/>
      </c>
      <c r="Z91" s="124" t="str">
        <f>IF($B91="","",IF(Z$3=0,"n.b.",INDEX(SRC_Woningetalage!$A$1:$ZZ$501,$A91,Z$3)))</f>
        <v/>
      </c>
      <c r="AA91" s="124" t="str">
        <f>IF($B91="","",IF(AA$3=0,"n.b.",INDEX(SRC_Woningetalage!$A$1:$ZZ$501,$A91,AA$3)))</f>
        <v/>
      </c>
      <c r="AB91" s="124" t="str">
        <f>IF($B91="","",IF(AB$3=0,"n.b.",INDEX(SRC_Woningetalage!$A$1:$ZZ$501,$A91,AB$3)))</f>
        <v/>
      </c>
      <c r="AC91" s="124" t="str">
        <f>IF($B91="","",IF(AC$3=0,"n.b.",INDEX(SRC_Woningetalage!$A$1:$ZZ$501,$A91,AC$3)))</f>
        <v/>
      </c>
      <c r="AD91" s="124" t="str">
        <f>IF($B91="","",IF(AD$3=0,"n.b.",INDEX(SRC_Woningetalage!$A$1:$ZZ$501,$A91,AD$3)))</f>
        <v/>
      </c>
      <c r="AE91" s="124" t="str">
        <f>IF($B91="","",IF(AE$3=0,"n.b.",INDEX(SRC_Woningetalage!$A$1:$ZZ$501,$A91,AE$3)))</f>
        <v/>
      </c>
      <c r="AF91" s="124" t="str">
        <f>IF($B91="","",IF(AF$3=0,"n.b.",INDEX(SRC_Woningetalage!$A$1:$ZZ$501,$A91,AF$3)))</f>
        <v/>
      </c>
      <c r="AG91" s="124" t="str">
        <f>IF($B91="","",IF(AG$3=0,"n.b.",INDEX(SRC_Woningetalage!$A$1:$ZZ$501,$A91,AG$3)))</f>
        <v/>
      </c>
      <c r="AH91" s="124" t="str">
        <f>IF($B91="","",IF(AH$3=0,"n.b.",INDEX(SRC_Woningetalage!$A$1:$ZZ$501,$A91,AH$3)))</f>
        <v/>
      </c>
      <c r="AI91" s="124" t="str">
        <f>IF($B91="","",IF(AI$3=0,"n.b.",INDEX(SRC_Woningetalage!$A$1:$ZZ$501,$A91,AI$3)))</f>
        <v/>
      </c>
      <c r="AJ91" s="124" t="str">
        <f>IF($B91="","",IF(AJ$3=0,"n.b.",INDEX(SRC_Woningetalage!$A$1:$ZZ$501,$A91,AJ$3)))</f>
        <v/>
      </c>
      <c r="AK91" s="124" t="str">
        <f>IF($B91="","",IF(AK$3=0,"n.b.",INDEX(SRC_Woningetalage!$A$1:$ZZ$501,$A91,AK$3)))</f>
        <v/>
      </c>
      <c r="AL91" s="124" t="str">
        <f>IF($B91="","",IF(AL$3=0,"n.b.",INDEX(SRC_Woningetalage!$A$1:$ZZ$501,$A91,AL$3)))</f>
        <v/>
      </c>
      <c r="AM91" s="124" t="str">
        <f>IF($B91="","",IF(AM$3=0,"n.b.",INDEX(SRC_Woningetalage!$A$1:$ZZ$501,$A91,AM$3)))</f>
        <v/>
      </c>
      <c r="AN91" s="124" t="str">
        <f>IF($B91="","",IF(AN$3=0,"n.b.",INDEX(SRC_Woningetalage!$A$1:$ZZ$501,$A91,AN$3)))</f>
        <v/>
      </c>
      <c r="AO91" s="124" t="str">
        <f>IF($B91="","",IF(AO$3=0,"n.b.",INDEX(SRC_Woningetalage!$A$1:$ZZ$501,$A91,AO$3)))</f>
        <v/>
      </c>
      <c r="AP91" s="124" t="str">
        <f>IF($B91="","",IF(AP$3=0,"n.b.",INDEX(SRC_Woningetalage!$A$1:$ZZ$501,$A91,AP$3)))</f>
        <v/>
      </c>
      <c r="AQ91" s="124" t="str">
        <f>IF($B91="","",IF(AQ$3=0,"n.b.",INDEX(SRC_Woningetalage!$A$1:$ZZ$501,$A91,AQ$3)))</f>
        <v/>
      </c>
      <c r="AR91" s="124" t="str">
        <f>IF($B91="","",IF(AR$3=0,"n.b.",INDEX(SRC_Woningetalage!$A$1:$ZZ$501,$A91,AR$3)))</f>
        <v/>
      </c>
      <c r="AS91" s="124" t="str">
        <f>IF($B91="","",IF(AS$3=0,"n.b.",INDEX(SRC_Woningetalage!$A$1:$ZZ$501,$A91,AS$3)))</f>
        <v/>
      </c>
      <c r="AT91" s="124" t="str">
        <f>IF($B91="","",IF(AT$3=0,"n.b.",INDEX(SRC_Woningetalage!$A$1:$ZZ$501,$A91,AT$3)))</f>
        <v/>
      </c>
      <c r="AU91" s="124" t="str">
        <f>IF($B91="","",IF(AU$3=0,"n.b.",INDEX(SRC_Woningetalage!$A$1:$ZZ$501,$A91,AU$3)))</f>
        <v/>
      </c>
      <c r="AV91" s="124" t="str">
        <f>IF($B91="","",IF(AV$3=0,"n.b.",INDEX(SRC_Woningetalage!$A$1:$ZZ$501,$A91,AV$3)))</f>
        <v/>
      </c>
      <c r="AW91" s="124" t="str">
        <f>IF($B91="","",IF(AW$3=0,"n.b.",INDEX(SRC_Woningetalage!$A$1:$ZZ$501,$A91,AW$3)))</f>
        <v/>
      </c>
      <c r="AX91" s="124" t="str">
        <f>IF($B91="","",IF(AX$3=0,"n.b.",INDEX(SRC_Woningetalage!$A$1:$ZZ$501,$A91,AX$3)))</f>
        <v/>
      </c>
      <c r="AY91" s="124" t="str">
        <f>IF($B91="","",IF(AY$3=0,"n.b.",INDEX(SRC_Woningetalage!$A$1:$ZZ$501,$A91,AY$3)))</f>
        <v/>
      </c>
      <c r="AZ91" s="124" t="str">
        <f>IF($B91="","",IF(AZ$3=0,"n.b.",INDEX(SRC_Woningetalage!$A$1:$ZZ$501,$A91,AZ$3)))</f>
        <v/>
      </c>
      <c r="BA91" s="124" t="str">
        <f>IF($B91="","",IF(BA$3=0,"n.b.",INDEX(SRC_Woningetalage!$A$1:$ZZ$501,$A91,BA$3)))</f>
        <v/>
      </c>
      <c r="BB91" s="124" t="str">
        <f>IF($B91="","",IF(BB$3=0,"n.b.",INDEX(SRC_Woningetalage!$A$1:$ZZ$501,$A91,BB$3)))</f>
        <v/>
      </c>
      <c r="BC91" s="124" t="str">
        <f>IF($B91="","",IFERROR(_xlfn.NUMBERVALUE(E91&amp;"",",","."),"n.b."))</f>
        <v/>
      </c>
      <c r="BD91" s="124" t="str">
        <f>IF($B91="","",IFERROR(_xlfn.NUMBERVALUE(M91&amp;"",",","."),"n.b."))</f>
        <v/>
      </c>
      <c r="BE91" s="124" t="str">
        <f>IF($B91="","",IFERROR(AB91+AC91+AD91,"n.b."))</f>
        <v/>
      </c>
      <c r="BF91" s="124" t="str">
        <f>IF($B91="","",IFERROR(AE91+AF91+AG91,"n.b."))</f>
        <v/>
      </c>
      <c r="BG91" s="124" t="str">
        <f>IF($B91="","",IFERROR(AH91+AI91+AJ91,"n.b."))</f>
        <v/>
      </c>
      <c r="BH91" s="124" t="str">
        <f>IF($B91="","",IFERROR(AK91+AL91+AM91,"n.b."))</f>
        <v/>
      </c>
      <c r="BI91" s="124" t="str">
        <f>IF($B91="","",IFERROR(SUMIF($AB$5:$AM$5,"&lt;="&amp;P_PeilMaand,AB91:AM91),"n.b."))</f>
        <v/>
      </c>
      <c r="BJ91" s="124" t="str">
        <f>IF($B91="","",IFERROR(SUM(AB91:AM91)-BI91,"n.b."))</f>
        <v/>
      </c>
      <c r="BK91" s="124" t="str">
        <f>IF($B91="","",IFERROR(IF(ABS(Q91-(T91+SUM(AB91:AM91)+AS91+AU91))&gt;P_Tol,1,0),1))</f>
        <v/>
      </c>
      <c r="BL91" s="124" t="str">
        <f>IF($B91="","",IFERROR(IF(ABS(AA91-(Q91-Z91))&gt;P_Tol,1,0),1))</f>
        <v/>
      </c>
      <c r="BM91" s="124" t="str">
        <f>IF($B91="","",IFERROR(IF(ABS(Z91-(T91+W91))&gt;P_Tol,1,0),1))</f>
        <v/>
      </c>
      <c r="BN91" s="124" t="str">
        <f>IF($B91="","",IFERROR(IF(ABS(W91-BI91)&gt;P_Tol,1,0),1))</f>
        <v/>
      </c>
      <c r="BO91" s="124" t="str">
        <f>IF($B91="","",IFERROR(IF(OR(ABS(R91+S91-T91)&gt;P_Tol,ABS(U91+V91-W91)&gt;P_Tol,ABS(X91+Y91-Z91)&gt;P_Tol),1,0),1))</f>
        <v/>
      </c>
      <c r="BP91" s="124" t="str">
        <f>IF($B91="","",IFERROR(IF(OR(ABS(AR91-SUM(AB91:AM91))&gt;P_Tol,ABS(AS91-(AN91+AO91+AP91+AQ91))&gt;P_Tol),1,0),1))</f>
        <v/>
      </c>
      <c r="BQ91" s="124" t="str">
        <f>IF($B91="","",IFERROR(IF(ABS(AT91)+ABS(AV91)+ABS(AW91)+ABS(AX91)+ABS(AY91)+ABS(AZ91)+ABS(BA91)+ABS(BB91)&gt;0,1,0),1))</f>
        <v/>
      </c>
      <c r="BR91" s="124" t="str">
        <f>IF($B91="","",COUNTIF(STG_ZPMW03!$B$6:$B$505,B91))</f>
        <v/>
      </c>
      <c r="BS91" s="124" t="str">
        <f>IF($B91="","",COUNTIF($B$6:$B$505,B91))</f>
        <v/>
      </c>
      <c r="BT91" s="124" t="str">
        <f>IF($B91="","",IF(BR91=0,0,IF(INDEX(STG_ZPMW03!$I$6:$I$505,MATCH(B91,STG_ZPMW03!$B$6:$B$505,0))=J91&amp;"",0,1)))</f>
        <v/>
      </c>
      <c r="BU91" s="124" t="str">
        <f>IF($B91="","",IFERROR(IF(ABS(INDEX(Mapping!$D$5:$D$104,MATCH(B91,Mapping!$A$5:$A$104,0))-Q91)&gt;P_Tol,1,0),0))</f>
        <v/>
      </c>
      <c r="BV91" s="124" t="str">
        <f>IF($B91="","",IFERROR(IF(AND(INDEX(Mapping!$G$5:$G$104,MATCH(B91,Mapping!$A$5:$A$104,0))="Nee",ABS(Q91)+ABS(Z91)+ABS(AR91)&gt;0),1,0),0))</f>
        <v/>
      </c>
      <c r="BW91" s="124" t="str">
        <f>IF($B91="","",IF(COUNTIF(Mapping!$A$5:$A$104,B91)&gt;0,1,0))</f>
        <v/>
      </c>
      <c r="BX91" s="124" t="str">
        <f>IF($B91="","",IF(BR91=0,COUNTIF($BR$6:BR91,0),""))</f>
        <v/>
      </c>
    </row>
    <row r="92">
      <c r="A92" s="15" t="n">
        <v>88</v>
      </c>
      <c r="B92" t="str">
        <f>IF(B$3=0,"",IF(INDEX(SRC_Woningetalage!$A$1:$ZZ$501,$A92,B$3)&amp;""="","",INDEX(SRC_Woningetalage!$A$1:$ZZ$501,$A92,B$3)&amp;""))</f>
        <v/>
      </c>
      <c r="C92" t="str">
        <f>IF($B92="","",IF(C$3=0,"n.b.",INDEX(SRC_Woningetalage!$A$1:$ZZ$501,$A92,C$3)))</f>
        <v/>
      </c>
      <c r="D92" t="str">
        <f>IF($B92="","",IF(D$3=0,"n.b.",INDEX(SRC_Woningetalage!$A$1:$ZZ$501,$A92,D$3)))</f>
        <v/>
      </c>
      <c r="E92" t="str">
        <f>IF($B92="","",IF(E$3=0,"n.b.",INDEX(SRC_Woningetalage!$A$1:$ZZ$501,$A92,E$3)))</f>
        <v/>
      </c>
      <c r="F92" t="str">
        <f>IF($B92="","",IF(F$3=0,"n.b.",INDEX(SRC_Woningetalage!$A$1:$ZZ$501,$A92,F$3)))</f>
        <v/>
      </c>
      <c r="G92" t="str">
        <f>IF($B92="","",IF(G$3=0,"n.b.",INDEX(SRC_Woningetalage!$A$1:$ZZ$501,$A92,G$3)))</f>
        <v/>
      </c>
      <c r="H92" t="str">
        <f>IF($B92="","",IF(H$3=0,"n.b.",INDEX(SRC_Woningetalage!$A$1:$ZZ$501,$A92,H$3)))</f>
        <v/>
      </c>
      <c r="I92" t="str">
        <f>IF($B92="","",IF(I$3=0,"n.b.",INDEX(SRC_Woningetalage!$A$1:$ZZ$501,$A92,I$3)))</f>
        <v/>
      </c>
      <c r="J92" t="str">
        <f>IF($B92="","",IF(J$3=0,"n.b.",INDEX(SRC_Woningetalage!$A$1:$ZZ$501,$A92,J$3)))</f>
        <v/>
      </c>
      <c r="K92" t="str">
        <f>IF($B92="","",IF(K$3=0,"n.b.",INDEX(SRC_Woningetalage!$A$1:$ZZ$501,$A92,K$3)))</f>
        <v/>
      </c>
      <c r="L92" t="str">
        <f>IF($B92="","",IF(L$3=0,"n.b.",INDEX(SRC_Woningetalage!$A$1:$ZZ$501,$A92,L$3)))</f>
        <v/>
      </c>
      <c r="M92" t="str">
        <f>IF($B92="","",IF(M$3=0,"n.b.",INDEX(SRC_Woningetalage!$A$1:$ZZ$501,$A92,M$3)))</f>
        <v/>
      </c>
      <c r="N92" t="str">
        <f>IF($B92="","",IF(N$3=0,"n.b.",INDEX(SRC_Woningetalage!$A$1:$ZZ$501,$A92,N$3)))</f>
        <v/>
      </c>
      <c r="O92" t="str">
        <f>IF($B92="","",IF(O$3=0,"n.b.",INDEX(SRC_Woningetalage!$A$1:$ZZ$501,$A92,O$3)))</f>
        <v/>
      </c>
      <c r="P92" t="str">
        <f>IF($B92="","",IF(P$3=0,"n.b.",INDEX(SRC_Woningetalage!$A$1:$ZZ$501,$A92,P$3)))</f>
        <v/>
      </c>
      <c r="Q92" s="124" t="str">
        <f>IF($B92="","",IF(Q$3=0,"n.b.",INDEX(SRC_Woningetalage!$A$1:$ZZ$501,$A92,Q$3)))</f>
        <v/>
      </c>
      <c r="R92" s="124" t="str">
        <f>IF($B92="","",IF(R$3=0,"n.b.",INDEX(SRC_Woningetalage!$A$1:$ZZ$501,$A92,R$3)))</f>
        <v/>
      </c>
      <c r="S92" s="124" t="str">
        <f>IF($B92="","",IF(S$3=0,"n.b.",INDEX(SRC_Woningetalage!$A$1:$ZZ$501,$A92,S$3)))</f>
        <v/>
      </c>
      <c r="T92" s="124" t="str">
        <f>IF($B92="","",IF(T$3=0,"n.b.",INDEX(SRC_Woningetalage!$A$1:$ZZ$501,$A92,T$3)))</f>
        <v/>
      </c>
      <c r="U92" s="124" t="str">
        <f>IF($B92="","",IF(U$3=0,"n.b.",INDEX(SRC_Woningetalage!$A$1:$ZZ$501,$A92,U$3)))</f>
        <v/>
      </c>
      <c r="V92" s="124" t="str">
        <f>IF($B92="","",IF(V$3=0,"n.b.",INDEX(SRC_Woningetalage!$A$1:$ZZ$501,$A92,V$3)))</f>
        <v/>
      </c>
      <c r="W92" s="124" t="str">
        <f>IF($B92="","",IF(W$3=0,"n.b.",INDEX(SRC_Woningetalage!$A$1:$ZZ$501,$A92,W$3)))</f>
        <v/>
      </c>
      <c r="X92" s="124" t="str">
        <f>IF($B92="","",IF(X$3=0,"n.b.",INDEX(SRC_Woningetalage!$A$1:$ZZ$501,$A92,X$3)))</f>
        <v/>
      </c>
      <c r="Y92" s="124" t="str">
        <f>IF($B92="","",IF(Y$3=0,"n.b.",INDEX(SRC_Woningetalage!$A$1:$ZZ$501,$A92,Y$3)))</f>
        <v/>
      </c>
      <c r="Z92" s="124" t="str">
        <f>IF($B92="","",IF(Z$3=0,"n.b.",INDEX(SRC_Woningetalage!$A$1:$ZZ$501,$A92,Z$3)))</f>
        <v/>
      </c>
      <c r="AA92" s="124" t="str">
        <f>IF($B92="","",IF(AA$3=0,"n.b.",INDEX(SRC_Woningetalage!$A$1:$ZZ$501,$A92,AA$3)))</f>
        <v/>
      </c>
      <c r="AB92" s="124" t="str">
        <f>IF($B92="","",IF(AB$3=0,"n.b.",INDEX(SRC_Woningetalage!$A$1:$ZZ$501,$A92,AB$3)))</f>
        <v/>
      </c>
      <c r="AC92" s="124" t="str">
        <f>IF($B92="","",IF(AC$3=0,"n.b.",INDEX(SRC_Woningetalage!$A$1:$ZZ$501,$A92,AC$3)))</f>
        <v/>
      </c>
      <c r="AD92" s="124" t="str">
        <f>IF($B92="","",IF(AD$3=0,"n.b.",INDEX(SRC_Woningetalage!$A$1:$ZZ$501,$A92,AD$3)))</f>
        <v/>
      </c>
      <c r="AE92" s="124" t="str">
        <f>IF($B92="","",IF(AE$3=0,"n.b.",INDEX(SRC_Woningetalage!$A$1:$ZZ$501,$A92,AE$3)))</f>
        <v/>
      </c>
      <c r="AF92" s="124" t="str">
        <f>IF($B92="","",IF(AF$3=0,"n.b.",INDEX(SRC_Woningetalage!$A$1:$ZZ$501,$A92,AF$3)))</f>
        <v/>
      </c>
      <c r="AG92" s="124" t="str">
        <f>IF($B92="","",IF(AG$3=0,"n.b.",INDEX(SRC_Woningetalage!$A$1:$ZZ$501,$A92,AG$3)))</f>
        <v/>
      </c>
      <c r="AH92" s="124" t="str">
        <f>IF($B92="","",IF(AH$3=0,"n.b.",INDEX(SRC_Woningetalage!$A$1:$ZZ$501,$A92,AH$3)))</f>
        <v/>
      </c>
      <c r="AI92" s="124" t="str">
        <f>IF($B92="","",IF(AI$3=0,"n.b.",INDEX(SRC_Woningetalage!$A$1:$ZZ$501,$A92,AI$3)))</f>
        <v/>
      </c>
      <c r="AJ92" s="124" t="str">
        <f>IF($B92="","",IF(AJ$3=0,"n.b.",INDEX(SRC_Woningetalage!$A$1:$ZZ$501,$A92,AJ$3)))</f>
        <v/>
      </c>
      <c r="AK92" s="124" t="str">
        <f>IF($B92="","",IF(AK$3=0,"n.b.",INDEX(SRC_Woningetalage!$A$1:$ZZ$501,$A92,AK$3)))</f>
        <v/>
      </c>
      <c r="AL92" s="124" t="str">
        <f>IF($B92="","",IF(AL$3=0,"n.b.",INDEX(SRC_Woningetalage!$A$1:$ZZ$501,$A92,AL$3)))</f>
        <v/>
      </c>
      <c r="AM92" s="124" t="str">
        <f>IF($B92="","",IF(AM$3=0,"n.b.",INDEX(SRC_Woningetalage!$A$1:$ZZ$501,$A92,AM$3)))</f>
        <v/>
      </c>
      <c r="AN92" s="124" t="str">
        <f>IF($B92="","",IF(AN$3=0,"n.b.",INDEX(SRC_Woningetalage!$A$1:$ZZ$501,$A92,AN$3)))</f>
        <v/>
      </c>
      <c r="AO92" s="124" t="str">
        <f>IF($B92="","",IF(AO$3=0,"n.b.",INDEX(SRC_Woningetalage!$A$1:$ZZ$501,$A92,AO$3)))</f>
        <v/>
      </c>
      <c r="AP92" s="124" t="str">
        <f>IF($B92="","",IF(AP$3=0,"n.b.",INDEX(SRC_Woningetalage!$A$1:$ZZ$501,$A92,AP$3)))</f>
        <v/>
      </c>
      <c r="AQ92" s="124" t="str">
        <f>IF($B92="","",IF(AQ$3=0,"n.b.",INDEX(SRC_Woningetalage!$A$1:$ZZ$501,$A92,AQ$3)))</f>
        <v/>
      </c>
      <c r="AR92" s="124" t="str">
        <f>IF($B92="","",IF(AR$3=0,"n.b.",INDEX(SRC_Woningetalage!$A$1:$ZZ$501,$A92,AR$3)))</f>
        <v/>
      </c>
      <c r="AS92" s="124" t="str">
        <f>IF($B92="","",IF(AS$3=0,"n.b.",INDEX(SRC_Woningetalage!$A$1:$ZZ$501,$A92,AS$3)))</f>
        <v/>
      </c>
      <c r="AT92" s="124" t="str">
        <f>IF($B92="","",IF(AT$3=0,"n.b.",INDEX(SRC_Woningetalage!$A$1:$ZZ$501,$A92,AT$3)))</f>
        <v/>
      </c>
      <c r="AU92" s="124" t="str">
        <f>IF($B92="","",IF(AU$3=0,"n.b.",INDEX(SRC_Woningetalage!$A$1:$ZZ$501,$A92,AU$3)))</f>
        <v/>
      </c>
      <c r="AV92" s="124" t="str">
        <f>IF($B92="","",IF(AV$3=0,"n.b.",INDEX(SRC_Woningetalage!$A$1:$ZZ$501,$A92,AV$3)))</f>
        <v/>
      </c>
      <c r="AW92" s="124" t="str">
        <f>IF($B92="","",IF(AW$3=0,"n.b.",INDEX(SRC_Woningetalage!$A$1:$ZZ$501,$A92,AW$3)))</f>
        <v/>
      </c>
      <c r="AX92" s="124" t="str">
        <f>IF($B92="","",IF(AX$3=0,"n.b.",INDEX(SRC_Woningetalage!$A$1:$ZZ$501,$A92,AX$3)))</f>
        <v/>
      </c>
      <c r="AY92" s="124" t="str">
        <f>IF($B92="","",IF(AY$3=0,"n.b.",INDEX(SRC_Woningetalage!$A$1:$ZZ$501,$A92,AY$3)))</f>
        <v/>
      </c>
      <c r="AZ92" s="124" t="str">
        <f>IF($B92="","",IF(AZ$3=0,"n.b.",INDEX(SRC_Woningetalage!$A$1:$ZZ$501,$A92,AZ$3)))</f>
        <v/>
      </c>
      <c r="BA92" s="124" t="str">
        <f>IF($B92="","",IF(BA$3=0,"n.b.",INDEX(SRC_Woningetalage!$A$1:$ZZ$501,$A92,BA$3)))</f>
        <v/>
      </c>
      <c r="BB92" s="124" t="str">
        <f>IF($B92="","",IF(BB$3=0,"n.b.",INDEX(SRC_Woningetalage!$A$1:$ZZ$501,$A92,BB$3)))</f>
        <v/>
      </c>
      <c r="BC92" s="124" t="str">
        <f>IF($B92="","",IFERROR(_xlfn.NUMBERVALUE(E92&amp;"",",","."),"n.b."))</f>
        <v/>
      </c>
      <c r="BD92" s="124" t="str">
        <f>IF($B92="","",IFERROR(_xlfn.NUMBERVALUE(M92&amp;"",",","."),"n.b."))</f>
        <v/>
      </c>
      <c r="BE92" s="124" t="str">
        <f>IF($B92="","",IFERROR(AB92+AC92+AD92,"n.b."))</f>
        <v/>
      </c>
      <c r="BF92" s="124" t="str">
        <f>IF($B92="","",IFERROR(AE92+AF92+AG92,"n.b."))</f>
        <v/>
      </c>
      <c r="BG92" s="124" t="str">
        <f>IF($B92="","",IFERROR(AH92+AI92+AJ92,"n.b."))</f>
        <v/>
      </c>
      <c r="BH92" s="124" t="str">
        <f>IF($B92="","",IFERROR(AK92+AL92+AM92,"n.b."))</f>
        <v/>
      </c>
      <c r="BI92" s="124" t="str">
        <f>IF($B92="","",IFERROR(SUMIF($AB$5:$AM$5,"&lt;="&amp;P_PeilMaand,AB92:AM92),"n.b."))</f>
        <v/>
      </c>
      <c r="BJ92" s="124" t="str">
        <f>IF($B92="","",IFERROR(SUM(AB92:AM92)-BI92,"n.b."))</f>
        <v/>
      </c>
      <c r="BK92" s="124" t="str">
        <f>IF($B92="","",IFERROR(IF(ABS(Q92-(T92+SUM(AB92:AM92)+AS92+AU92))&gt;P_Tol,1,0),1))</f>
        <v/>
      </c>
      <c r="BL92" s="124" t="str">
        <f>IF($B92="","",IFERROR(IF(ABS(AA92-(Q92-Z92))&gt;P_Tol,1,0),1))</f>
        <v/>
      </c>
      <c r="BM92" s="124" t="str">
        <f>IF($B92="","",IFERROR(IF(ABS(Z92-(T92+W92))&gt;P_Tol,1,0),1))</f>
        <v/>
      </c>
      <c r="BN92" s="124" t="str">
        <f>IF($B92="","",IFERROR(IF(ABS(W92-BI92)&gt;P_Tol,1,0),1))</f>
        <v/>
      </c>
      <c r="BO92" s="124" t="str">
        <f>IF($B92="","",IFERROR(IF(OR(ABS(R92+S92-T92)&gt;P_Tol,ABS(U92+V92-W92)&gt;P_Tol,ABS(X92+Y92-Z92)&gt;P_Tol),1,0),1))</f>
        <v/>
      </c>
      <c r="BP92" s="124" t="str">
        <f>IF($B92="","",IFERROR(IF(OR(ABS(AR92-SUM(AB92:AM92))&gt;P_Tol,ABS(AS92-(AN92+AO92+AP92+AQ92))&gt;P_Tol),1,0),1))</f>
        <v/>
      </c>
      <c r="BQ92" s="124" t="str">
        <f>IF($B92="","",IFERROR(IF(ABS(AT92)+ABS(AV92)+ABS(AW92)+ABS(AX92)+ABS(AY92)+ABS(AZ92)+ABS(BA92)+ABS(BB92)&gt;0,1,0),1))</f>
        <v/>
      </c>
      <c r="BR92" s="124" t="str">
        <f>IF($B92="","",COUNTIF(STG_ZPMW03!$B$6:$B$505,B92))</f>
        <v/>
      </c>
      <c r="BS92" s="124" t="str">
        <f>IF($B92="","",COUNTIF($B$6:$B$505,B92))</f>
        <v/>
      </c>
      <c r="BT92" s="124" t="str">
        <f>IF($B92="","",IF(BR92=0,0,IF(INDEX(STG_ZPMW03!$I$6:$I$505,MATCH(B92,STG_ZPMW03!$B$6:$B$505,0))=J92&amp;"",0,1)))</f>
        <v/>
      </c>
      <c r="BU92" s="124" t="str">
        <f>IF($B92="","",IFERROR(IF(ABS(INDEX(Mapping!$D$5:$D$104,MATCH(B92,Mapping!$A$5:$A$104,0))-Q92)&gt;P_Tol,1,0),0))</f>
        <v/>
      </c>
      <c r="BV92" s="124" t="str">
        <f>IF($B92="","",IFERROR(IF(AND(INDEX(Mapping!$G$5:$G$104,MATCH(B92,Mapping!$A$5:$A$104,0))="Nee",ABS(Q92)+ABS(Z92)+ABS(AR92)&gt;0),1,0),0))</f>
        <v/>
      </c>
      <c r="BW92" s="124" t="str">
        <f>IF($B92="","",IF(COUNTIF(Mapping!$A$5:$A$104,B92)&gt;0,1,0))</f>
        <v/>
      </c>
      <c r="BX92" s="124" t="str">
        <f>IF($B92="","",IF(BR92=0,COUNTIF($BR$6:BR92,0),""))</f>
        <v/>
      </c>
    </row>
    <row r="93">
      <c r="A93" s="15" t="n">
        <v>89</v>
      </c>
      <c r="B93" t="str">
        <f>IF(B$3=0,"",IF(INDEX(SRC_Woningetalage!$A$1:$ZZ$501,$A93,B$3)&amp;""="","",INDEX(SRC_Woningetalage!$A$1:$ZZ$501,$A93,B$3)&amp;""))</f>
        <v/>
      </c>
      <c r="C93" t="str">
        <f>IF($B93="","",IF(C$3=0,"n.b.",INDEX(SRC_Woningetalage!$A$1:$ZZ$501,$A93,C$3)))</f>
        <v/>
      </c>
      <c r="D93" t="str">
        <f>IF($B93="","",IF(D$3=0,"n.b.",INDEX(SRC_Woningetalage!$A$1:$ZZ$501,$A93,D$3)))</f>
        <v/>
      </c>
      <c r="E93" t="str">
        <f>IF($B93="","",IF(E$3=0,"n.b.",INDEX(SRC_Woningetalage!$A$1:$ZZ$501,$A93,E$3)))</f>
        <v/>
      </c>
      <c r="F93" t="str">
        <f>IF($B93="","",IF(F$3=0,"n.b.",INDEX(SRC_Woningetalage!$A$1:$ZZ$501,$A93,F$3)))</f>
        <v/>
      </c>
      <c r="G93" t="str">
        <f>IF($B93="","",IF(G$3=0,"n.b.",INDEX(SRC_Woningetalage!$A$1:$ZZ$501,$A93,G$3)))</f>
        <v/>
      </c>
      <c r="H93" t="str">
        <f>IF($B93="","",IF(H$3=0,"n.b.",INDEX(SRC_Woningetalage!$A$1:$ZZ$501,$A93,H$3)))</f>
        <v/>
      </c>
      <c r="I93" t="str">
        <f>IF($B93="","",IF(I$3=0,"n.b.",INDEX(SRC_Woningetalage!$A$1:$ZZ$501,$A93,I$3)))</f>
        <v/>
      </c>
      <c r="J93" t="str">
        <f>IF($B93="","",IF(J$3=0,"n.b.",INDEX(SRC_Woningetalage!$A$1:$ZZ$501,$A93,J$3)))</f>
        <v/>
      </c>
      <c r="K93" t="str">
        <f>IF($B93="","",IF(K$3=0,"n.b.",INDEX(SRC_Woningetalage!$A$1:$ZZ$501,$A93,K$3)))</f>
        <v/>
      </c>
      <c r="L93" t="str">
        <f>IF($B93="","",IF(L$3=0,"n.b.",INDEX(SRC_Woningetalage!$A$1:$ZZ$501,$A93,L$3)))</f>
        <v/>
      </c>
      <c r="M93" t="str">
        <f>IF($B93="","",IF(M$3=0,"n.b.",INDEX(SRC_Woningetalage!$A$1:$ZZ$501,$A93,M$3)))</f>
        <v/>
      </c>
      <c r="N93" t="str">
        <f>IF($B93="","",IF(N$3=0,"n.b.",INDEX(SRC_Woningetalage!$A$1:$ZZ$501,$A93,N$3)))</f>
        <v/>
      </c>
      <c r="O93" t="str">
        <f>IF($B93="","",IF(O$3=0,"n.b.",INDEX(SRC_Woningetalage!$A$1:$ZZ$501,$A93,O$3)))</f>
        <v/>
      </c>
      <c r="P93" t="str">
        <f>IF($B93="","",IF(P$3=0,"n.b.",INDEX(SRC_Woningetalage!$A$1:$ZZ$501,$A93,P$3)))</f>
        <v/>
      </c>
      <c r="Q93" s="124" t="str">
        <f>IF($B93="","",IF(Q$3=0,"n.b.",INDEX(SRC_Woningetalage!$A$1:$ZZ$501,$A93,Q$3)))</f>
        <v/>
      </c>
      <c r="R93" s="124" t="str">
        <f>IF($B93="","",IF(R$3=0,"n.b.",INDEX(SRC_Woningetalage!$A$1:$ZZ$501,$A93,R$3)))</f>
        <v/>
      </c>
      <c r="S93" s="124" t="str">
        <f>IF($B93="","",IF(S$3=0,"n.b.",INDEX(SRC_Woningetalage!$A$1:$ZZ$501,$A93,S$3)))</f>
        <v/>
      </c>
      <c r="T93" s="124" t="str">
        <f>IF($B93="","",IF(T$3=0,"n.b.",INDEX(SRC_Woningetalage!$A$1:$ZZ$501,$A93,T$3)))</f>
        <v/>
      </c>
      <c r="U93" s="124" t="str">
        <f>IF($B93="","",IF(U$3=0,"n.b.",INDEX(SRC_Woningetalage!$A$1:$ZZ$501,$A93,U$3)))</f>
        <v/>
      </c>
      <c r="V93" s="124" t="str">
        <f>IF($B93="","",IF(V$3=0,"n.b.",INDEX(SRC_Woningetalage!$A$1:$ZZ$501,$A93,V$3)))</f>
        <v/>
      </c>
      <c r="W93" s="124" t="str">
        <f>IF($B93="","",IF(W$3=0,"n.b.",INDEX(SRC_Woningetalage!$A$1:$ZZ$501,$A93,W$3)))</f>
        <v/>
      </c>
      <c r="X93" s="124" t="str">
        <f>IF($B93="","",IF(X$3=0,"n.b.",INDEX(SRC_Woningetalage!$A$1:$ZZ$501,$A93,X$3)))</f>
        <v/>
      </c>
      <c r="Y93" s="124" t="str">
        <f>IF($B93="","",IF(Y$3=0,"n.b.",INDEX(SRC_Woningetalage!$A$1:$ZZ$501,$A93,Y$3)))</f>
        <v/>
      </c>
      <c r="Z93" s="124" t="str">
        <f>IF($B93="","",IF(Z$3=0,"n.b.",INDEX(SRC_Woningetalage!$A$1:$ZZ$501,$A93,Z$3)))</f>
        <v/>
      </c>
      <c r="AA93" s="124" t="str">
        <f>IF($B93="","",IF(AA$3=0,"n.b.",INDEX(SRC_Woningetalage!$A$1:$ZZ$501,$A93,AA$3)))</f>
        <v/>
      </c>
      <c r="AB93" s="124" t="str">
        <f>IF($B93="","",IF(AB$3=0,"n.b.",INDEX(SRC_Woningetalage!$A$1:$ZZ$501,$A93,AB$3)))</f>
        <v/>
      </c>
      <c r="AC93" s="124" t="str">
        <f>IF($B93="","",IF(AC$3=0,"n.b.",INDEX(SRC_Woningetalage!$A$1:$ZZ$501,$A93,AC$3)))</f>
        <v/>
      </c>
      <c r="AD93" s="124" t="str">
        <f>IF($B93="","",IF(AD$3=0,"n.b.",INDEX(SRC_Woningetalage!$A$1:$ZZ$501,$A93,AD$3)))</f>
        <v/>
      </c>
      <c r="AE93" s="124" t="str">
        <f>IF($B93="","",IF(AE$3=0,"n.b.",INDEX(SRC_Woningetalage!$A$1:$ZZ$501,$A93,AE$3)))</f>
        <v/>
      </c>
      <c r="AF93" s="124" t="str">
        <f>IF($B93="","",IF(AF$3=0,"n.b.",INDEX(SRC_Woningetalage!$A$1:$ZZ$501,$A93,AF$3)))</f>
        <v/>
      </c>
      <c r="AG93" s="124" t="str">
        <f>IF($B93="","",IF(AG$3=0,"n.b.",INDEX(SRC_Woningetalage!$A$1:$ZZ$501,$A93,AG$3)))</f>
        <v/>
      </c>
      <c r="AH93" s="124" t="str">
        <f>IF($B93="","",IF(AH$3=0,"n.b.",INDEX(SRC_Woningetalage!$A$1:$ZZ$501,$A93,AH$3)))</f>
        <v/>
      </c>
      <c r="AI93" s="124" t="str">
        <f>IF($B93="","",IF(AI$3=0,"n.b.",INDEX(SRC_Woningetalage!$A$1:$ZZ$501,$A93,AI$3)))</f>
        <v/>
      </c>
      <c r="AJ93" s="124" t="str">
        <f>IF($B93="","",IF(AJ$3=0,"n.b.",INDEX(SRC_Woningetalage!$A$1:$ZZ$501,$A93,AJ$3)))</f>
        <v/>
      </c>
      <c r="AK93" s="124" t="str">
        <f>IF($B93="","",IF(AK$3=0,"n.b.",INDEX(SRC_Woningetalage!$A$1:$ZZ$501,$A93,AK$3)))</f>
        <v/>
      </c>
      <c r="AL93" s="124" t="str">
        <f>IF($B93="","",IF(AL$3=0,"n.b.",INDEX(SRC_Woningetalage!$A$1:$ZZ$501,$A93,AL$3)))</f>
        <v/>
      </c>
      <c r="AM93" s="124" t="str">
        <f>IF($B93="","",IF(AM$3=0,"n.b.",INDEX(SRC_Woningetalage!$A$1:$ZZ$501,$A93,AM$3)))</f>
        <v/>
      </c>
      <c r="AN93" s="124" t="str">
        <f>IF($B93="","",IF(AN$3=0,"n.b.",INDEX(SRC_Woningetalage!$A$1:$ZZ$501,$A93,AN$3)))</f>
        <v/>
      </c>
      <c r="AO93" s="124" t="str">
        <f>IF($B93="","",IF(AO$3=0,"n.b.",INDEX(SRC_Woningetalage!$A$1:$ZZ$501,$A93,AO$3)))</f>
        <v/>
      </c>
      <c r="AP93" s="124" t="str">
        <f>IF($B93="","",IF(AP$3=0,"n.b.",INDEX(SRC_Woningetalage!$A$1:$ZZ$501,$A93,AP$3)))</f>
        <v/>
      </c>
      <c r="AQ93" s="124" t="str">
        <f>IF($B93="","",IF(AQ$3=0,"n.b.",INDEX(SRC_Woningetalage!$A$1:$ZZ$501,$A93,AQ$3)))</f>
        <v/>
      </c>
      <c r="AR93" s="124" t="str">
        <f>IF($B93="","",IF(AR$3=0,"n.b.",INDEX(SRC_Woningetalage!$A$1:$ZZ$501,$A93,AR$3)))</f>
        <v/>
      </c>
      <c r="AS93" s="124" t="str">
        <f>IF($B93="","",IF(AS$3=0,"n.b.",INDEX(SRC_Woningetalage!$A$1:$ZZ$501,$A93,AS$3)))</f>
        <v/>
      </c>
      <c r="AT93" s="124" t="str">
        <f>IF($B93="","",IF(AT$3=0,"n.b.",INDEX(SRC_Woningetalage!$A$1:$ZZ$501,$A93,AT$3)))</f>
        <v/>
      </c>
      <c r="AU93" s="124" t="str">
        <f>IF($B93="","",IF(AU$3=0,"n.b.",INDEX(SRC_Woningetalage!$A$1:$ZZ$501,$A93,AU$3)))</f>
        <v/>
      </c>
      <c r="AV93" s="124" t="str">
        <f>IF($B93="","",IF(AV$3=0,"n.b.",INDEX(SRC_Woningetalage!$A$1:$ZZ$501,$A93,AV$3)))</f>
        <v/>
      </c>
      <c r="AW93" s="124" t="str">
        <f>IF($B93="","",IF(AW$3=0,"n.b.",INDEX(SRC_Woningetalage!$A$1:$ZZ$501,$A93,AW$3)))</f>
        <v/>
      </c>
      <c r="AX93" s="124" t="str">
        <f>IF($B93="","",IF(AX$3=0,"n.b.",INDEX(SRC_Woningetalage!$A$1:$ZZ$501,$A93,AX$3)))</f>
        <v/>
      </c>
      <c r="AY93" s="124" t="str">
        <f>IF($B93="","",IF(AY$3=0,"n.b.",INDEX(SRC_Woningetalage!$A$1:$ZZ$501,$A93,AY$3)))</f>
        <v/>
      </c>
      <c r="AZ93" s="124" t="str">
        <f>IF($B93="","",IF(AZ$3=0,"n.b.",INDEX(SRC_Woningetalage!$A$1:$ZZ$501,$A93,AZ$3)))</f>
        <v/>
      </c>
      <c r="BA93" s="124" t="str">
        <f>IF($B93="","",IF(BA$3=0,"n.b.",INDEX(SRC_Woningetalage!$A$1:$ZZ$501,$A93,BA$3)))</f>
        <v/>
      </c>
      <c r="BB93" s="124" t="str">
        <f>IF($B93="","",IF(BB$3=0,"n.b.",INDEX(SRC_Woningetalage!$A$1:$ZZ$501,$A93,BB$3)))</f>
        <v/>
      </c>
      <c r="BC93" s="124" t="str">
        <f>IF($B93="","",IFERROR(_xlfn.NUMBERVALUE(E93&amp;"",",","."),"n.b."))</f>
        <v/>
      </c>
      <c r="BD93" s="124" t="str">
        <f>IF($B93="","",IFERROR(_xlfn.NUMBERVALUE(M93&amp;"",",","."),"n.b."))</f>
        <v/>
      </c>
      <c r="BE93" s="124" t="str">
        <f>IF($B93="","",IFERROR(AB93+AC93+AD93,"n.b."))</f>
        <v/>
      </c>
      <c r="BF93" s="124" t="str">
        <f>IF($B93="","",IFERROR(AE93+AF93+AG93,"n.b."))</f>
        <v/>
      </c>
      <c r="BG93" s="124" t="str">
        <f>IF($B93="","",IFERROR(AH93+AI93+AJ93,"n.b."))</f>
        <v/>
      </c>
      <c r="BH93" s="124" t="str">
        <f>IF($B93="","",IFERROR(AK93+AL93+AM93,"n.b."))</f>
        <v/>
      </c>
      <c r="BI93" s="124" t="str">
        <f>IF($B93="","",IFERROR(SUMIF($AB$5:$AM$5,"&lt;="&amp;P_PeilMaand,AB93:AM93),"n.b."))</f>
        <v/>
      </c>
      <c r="BJ93" s="124" t="str">
        <f>IF($B93="","",IFERROR(SUM(AB93:AM93)-BI93,"n.b."))</f>
        <v/>
      </c>
      <c r="BK93" s="124" t="str">
        <f>IF($B93="","",IFERROR(IF(ABS(Q93-(T93+SUM(AB93:AM93)+AS93+AU93))&gt;P_Tol,1,0),1))</f>
        <v/>
      </c>
      <c r="BL93" s="124" t="str">
        <f>IF($B93="","",IFERROR(IF(ABS(AA93-(Q93-Z93))&gt;P_Tol,1,0),1))</f>
        <v/>
      </c>
      <c r="BM93" s="124" t="str">
        <f>IF($B93="","",IFERROR(IF(ABS(Z93-(T93+W93))&gt;P_Tol,1,0),1))</f>
        <v/>
      </c>
      <c r="BN93" s="124" t="str">
        <f>IF($B93="","",IFERROR(IF(ABS(W93-BI93)&gt;P_Tol,1,0),1))</f>
        <v/>
      </c>
      <c r="BO93" s="124" t="str">
        <f>IF($B93="","",IFERROR(IF(OR(ABS(R93+S93-T93)&gt;P_Tol,ABS(U93+V93-W93)&gt;P_Tol,ABS(X93+Y93-Z93)&gt;P_Tol),1,0),1))</f>
        <v/>
      </c>
      <c r="BP93" s="124" t="str">
        <f>IF($B93="","",IFERROR(IF(OR(ABS(AR93-SUM(AB93:AM93))&gt;P_Tol,ABS(AS93-(AN93+AO93+AP93+AQ93))&gt;P_Tol),1,0),1))</f>
        <v/>
      </c>
      <c r="BQ93" s="124" t="str">
        <f>IF($B93="","",IFERROR(IF(ABS(AT93)+ABS(AV93)+ABS(AW93)+ABS(AX93)+ABS(AY93)+ABS(AZ93)+ABS(BA93)+ABS(BB93)&gt;0,1,0),1))</f>
        <v/>
      </c>
      <c r="BR93" s="124" t="str">
        <f>IF($B93="","",COUNTIF(STG_ZPMW03!$B$6:$B$505,B93))</f>
        <v/>
      </c>
      <c r="BS93" s="124" t="str">
        <f>IF($B93="","",COUNTIF($B$6:$B$505,B93))</f>
        <v/>
      </c>
      <c r="BT93" s="124" t="str">
        <f>IF($B93="","",IF(BR93=0,0,IF(INDEX(STG_ZPMW03!$I$6:$I$505,MATCH(B93,STG_ZPMW03!$B$6:$B$505,0))=J93&amp;"",0,1)))</f>
        <v/>
      </c>
      <c r="BU93" s="124" t="str">
        <f>IF($B93="","",IFERROR(IF(ABS(INDEX(Mapping!$D$5:$D$104,MATCH(B93,Mapping!$A$5:$A$104,0))-Q93)&gt;P_Tol,1,0),0))</f>
        <v/>
      </c>
      <c r="BV93" s="124" t="str">
        <f>IF($B93="","",IFERROR(IF(AND(INDEX(Mapping!$G$5:$G$104,MATCH(B93,Mapping!$A$5:$A$104,0))="Nee",ABS(Q93)+ABS(Z93)+ABS(AR93)&gt;0),1,0),0))</f>
        <v/>
      </c>
      <c r="BW93" s="124" t="str">
        <f>IF($B93="","",IF(COUNTIF(Mapping!$A$5:$A$104,B93)&gt;0,1,0))</f>
        <v/>
      </c>
      <c r="BX93" s="124" t="str">
        <f>IF($B93="","",IF(BR93=0,COUNTIF($BR$6:BR93,0),""))</f>
        <v/>
      </c>
    </row>
    <row r="94">
      <c r="A94" s="15" t="n">
        <v>90</v>
      </c>
      <c r="B94" t="str">
        <f>IF(B$3=0,"",IF(INDEX(SRC_Woningetalage!$A$1:$ZZ$501,$A94,B$3)&amp;""="","",INDEX(SRC_Woningetalage!$A$1:$ZZ$501,$A94,B$3)&amp;""))</f>
        <v/>
      </c>
      <c r="C94" t="str">
        <f>IF($B94="","",IF(C$3=0,"n.b.",INDEX(SRC_Woningetalage!$A$1:$ZZ$501,$A94,C$3)))</f>
        <v/>
      </c>
      <c r="D94" t="str">
        <f>IF($B94="","",IF(D$3=0,"n.b.",INDEX(SRC_Woningetalage!$A$1:$ZZ$501,$A94,D$3)))</f>
        <v/>
      </c>
      <c r="E94" t="str">
        <f>IF($B94="","",IF(E$3=0,"n.b.",INDEX(SRC_Woningetalage!$A$1:$ZZ$501,$A94,E$3)))</f>
        <v/>
      </c>
      <c r="F94" t="str">
        <f>IF($B94="","",IF(F$3=0,"n.b.",INDEX(SRC_Woningetalage!$A$1:$ZZ$501,$A94,F$3)))</f>
        <v/>
      </c>
      <c r="G94" t="str">
        <f>IF($B94="","",IF(G$3=0,"n.b.",INDEX(SRC_Woningetalage!$A$1:$ZZ$501,$A94,G$3)))</f>
        <v/>
      </c>
      <c r="H94" t="str">
        <f>IF($B94="","",IF(H$3=0,"n.b.",INDEX(SRC_Woningetalage!$A$1:$ZZ$501,$A94,H$3)))</f>
        <v/>
      </c>
      <c r="I94" t="str">
        <f>IF($B94="","",IF(I$3=0,"n.b.",INDEX(SRC_Woningetalage!$A$1:$ZZ$501,$A94,I$3)))</f>
        <v/>
      </c>
      <c r="J94" t="str">
        <f>IF($B94="","",IF(J$3=0,"n.b.",INDEX(SRC_Woningetalage!$A$1:$ZZ$501,$A94,J$3)))</f>
        <v/>
      </c>
      <c r="K94" t="str">
        <f>IF($B94="","",IF(K$3=0,"n.b.",INDEX(SRC_Woningetalage!$A$1:$ZZ$501,$A94,K$3)))</f>
        <v/>
      </c>
      <c r="L94" t="str">
        <f>IF($B94="","",IF(L$3=0,"n.b.",INDEX(SRC_Woningetalage!$A$1:$ZZ$501,$A94,L$3)))</f>
        <v/>
      </c>
      <c r="M94" t="str">
        <f>IF($B94="","",IF(M$3=0,"n.b.",INDEX(SRC_Woningetalage!$A$1:$ZZ$501,$A94,M$3)))</f>
        <v/>
      </c>
      <c r="N94" t="str">
        <f>IF($B94="","",IF(N$3=0,"n.b.",INDEX(SRC_Woningetalage!$A$1:$ZZ$501,$A94,N$3)))</f>
        <v/>
      </c>
      <c r="O94" t="str">
        <f>IF($B94="","",IF(O$3=0,"n.b.",INDEX(SRC_Woningetalage!$A$1:$ZZ$501,$A94,O$3)))</f>
        <v/>
      </c>
      <c r="P94" t="str">
        <f>IF($B94="","",IF(P$3=0,"n.b.",INDEX(SRC_Woningetalage!$A$1:$ZZ$501,$A94,P$3)))</f>
        <v/>
      </c>
      <c r="Q94" s="124" t="str">
        <f>IF($B94="","",IF(Q$3=0,"n.b.",INDEX(SRC_Woningetalage!$A$1:$ZZ$501,$A94,Q$3)))</f>
        <v/>
      </c>
      <c r="R94" s="124" t="str">
        <f>IF($B94="","",IF(R$3=0,"n.b.",INDEX(SRC_Woningetalage!$A$1:$ZZ$501,$A94,R$3)))</f>
        <v/>
      </c>
      <c r="S94" s="124" t="str">
        <f>IF($B94="","",IF(S$3=0,"n.b.",INDEX(SRC_Woningetalage!$A$1:$ZZ$501,$A94,S$3)))</f>
        <v/>
      </c>
      <c r="T94" s="124" t="str">
        <f>IF($B94="","",IF(T$3=0,"n.b.",INDEX(SRC_Woningetalage!$A$1:$ZZ$501,$A94,T$3)))</f>
        <v/>
      </c>
      <c r="U94" s="124" t="str">
        <f>IF($B94="","",IF(U$3=0,"n.b.",INDEX(SRC_Woningetalage!$A$1:$ZZ$501,$A94,U$3)))</f>
        <v/>
      </c>
      <c r="V94" s="124" t="str">
        <f>IF($B94="","",IF(V$3=0,"n.b.",INDEX(SRC_Woningetalage!$A$1:$ZZ$501,$A94,V$3)))</f>
        <v/>
      </c>
      <c r="W94" s="124" t="str">
        <f>IF($B94="","",IF(W$3=0,"n.b.",INDEX(SRC_Woningetalage!$A$1:$ZZ$501,$A94,W$3)))</f>
        <v/>
      </c>
      <c r="X94" s="124" t="str">
        <f>IF($B94="","",IF(X$3=0,"n.b.",INDEX(SRC_Woningetalage!$A$1:$ZZ$501,$A94,X$3)))</f>
        <v/>
      </c>
      <c r="Y94" s="124" t="str">
        <f>IF($B94="","",IF(Y$3=0,"n.b.",INDEX(SRC_Woningetalage!$A$1:$ZZ$501,$A94,Y$3)))</f>
        <v/>
      </c>
      <c r="Z94" s="124" t="str">
        <f>IF($B94="","",IF(Z$3=0,"n.b.",INDEX(SRC_Woningetalage!$A$1:$ZZ$501,$A94,Z$3)))</f>
        <v/>
      </c>
      <c r="AA94" s="124" t="str">
        <f>IF($B94="","",IF(AA$3=0,"n.b.",INDEX(SRC_Woningetalage!$A$1:$ZZ$501,$A94,AA$3)))</f>
        <v/>
      </c>
      <c r="AB94" s="124" t="str">
        <f>IF($B94="","",IF(AB$3=0,"n.b.",INDEX(SRC_Woningetalage!$A$1:$ZZ$501,$A94,AB$3)))</f>
        <v/>
      </c>
      <c r="AC94" s="124" t="str">
        <f>IF($B94="","",IF(AC$3=0,"n.b.",INDEX(SRC_Woningetalage!$A$1:$ZZ$501,$A94,AC$3)))</f>
        <v/>
      </c>
      <c r="AD94" s="124" t="str">
        <f>IF($B94="","",IF(AD$3=0,"n.b.",INDEX(SRC_Woningetalage!$A$1:$ZZ$501,$A94,AD$3)))</f>
        <v/>
      </c>
      <c r="AE94" s="124" t="str">
        <f>IF($B94="","",IF(AE$3=0,"n.b.",INDEX(SRC_Woningetalage!$A$1:$ZZ$501,$A94,AE$3)))</f>
        <v/>
      </c>
      <c r="AF94" s="124" t="str">
        <f>IF($B94="","",IF(AF$3=0,"n.b.",INDEX(SRC_Woningetalage!$A$1:$ZZ$501,$A94,AF$3)))</f>
        <v/>
      </c>
      <c r="AG94" s="124" t="str">
        <f>IF($B94="","",IF(AG$3=0,"n.b.",INDEX(SRC_Woningetalage!$A$1:$ZZ$501,$A94,AG$3)))</f>
        <v/>
      </c>
      <c r="AH94" s="124" t="str">
        <f>IF($B94="","",IF(AH$3=0,"n.b.",INDEX(SRC_Woningetalage!$A$1:$ZZ$501,$A94,AH$3)))</f>
        <v/>
      </c>
      <c r="AI94" s="124" t="str">
        <f>IF($B94="","",IF(AI$3=0,"n.b.",INDEX(SRC_Woningetalage!$A$1:$ZZ$501,$A94,AI$3)))</f>
        <v/>
      </c>
      <c r="AJ94" s="124" t="str">
        <f>IF($B94="","",IF(AJ$3=0,"n.b.",INDEX(SRC_Woningetalage!$A$1:$ZZ$501,$A94,AJ$3)))</f>
        <v/>
      </c>
      <c r="AK94" s="124" t="str">
        <f>IF($B94="","",IF(AK$3=0,"n.b.",INDEX(SRC_Woningetalage!$A$1:$ZZ$501,$A94,AK$3)))</f>
        <v/>
      </c>
      <c r="AL94" s="124" t="str">
        <f>IF($B94="","",IF(AL$3=0,"n.b.",INDEX(SRC_Woningetalage!$A$1:$ZZ$501,$A94,AL$3)))</f>
        <v/>
      </c>
      <c r="AM94" s="124" t="str">
        <f>IF($B94="","",IF(AM$3=0,"n.b.",INDEX(SRC_Woningetalage!$A$1:$ZZ$501,$A94,AM$3)))</f>
        <v/>
      </c>
      <c r="AN94" s="124" t="str">
        <f>IF($B94="","",IF(AN$3=0,"n.b.",INDEX(SRC_Woningetalage!$A$1:$ZZ$501,$A94,AN$3)))</f>
        <v/>
      </c>
      <c r="AO94" s="124" t="str">
        <f>IF($B94="","",IF(AO$3=0,"n.b.",INDEX(SRC_Woningetalage!$A$1:$ZZ$501,$A94,AO$3)))</f>
        <v/>
      </c>
      <c r="AP94" s="124" t="str">
        <f>IF($B94="","",IF(AP$3=0,"n.b.",INDEX(SRC_Woningetalage!$A$1:$ZZ$501,$A94,AP$3)))</f>
        <v/>
      </c>
      <c r="AQ94" s="124" t="str">
        <f>IF($B94="","",IF(AQ$3=0,"n.b.",INDEX(SRC_Woningetalage!$A$1:$ZZ$501,$A94,AQ$3)))</f>
        <v/>
      </c>
      <c r="AR94" s="124" t="str">
        <f>IF($B94="","",IF(AR$3=0,"n.b.",INDEX(SRC_Woningetalage!$A$1:$ZZ$501,$A94,AR$3)))</f>
        <v/>
      </c>
      <c r="AS94" s="124" t="str">
        <f>IF($B94="","",IF(AS$3=0,"n.b.",INDEX(SRC_Woningetalage!$A$1:$ZZ$501,$A94,AS$3)))</f>
        <v/>
      </c>
      <c r="AT94" s="124" t="str">
        <f>IF($B94="","",IF(AT$3=0,"n.b.",INDEX(SRC_Woningetalage!$A$1:$ZZ$501,$A94,AT$3)))</f>
        <v/>
      </c>
      <c r="AU94" s="124" t="str">
        <f>IF($B94="","",IF(AU$3=0,"n.b.",INDEX(SRC_Woningetalage!$A$1:$ZZ$501,$A94,AU$3)))</f>
        <v/>
      </c>
      <c r="AV94" s="124" t="str">
        <f>IF($B94="","",IF(AV$3=0,"n.b.",INDEX(SRC_Woningetalage!$A$1:$ZZ$501,$A94,AV$3)))</f>
        <v/>
      </c>
      <c r="AW94" s="124" t="str">
        <f>IF($B94="","",IF(AW$3=0,"n.b.",INDEX(SRC_Woningetalage!$A$1:$ZZ$501,$A94,AW$3)))</f>
        <v/>
      </c>
      <c r="AX94" s="124" t="str">
        <f>IF($B94="","",IF(AX$3=0,"n.b.",INDEX(SRC_Woningetalage!$A$1:$ZZ$501,$A94,AX$3)))</f>
        <v/>
      </c>
      <c r="AY94" s="124" t="str">
        <f>IF($B94="","",IF(AY$3=0,"n.b.",INDEX(SRC_Woningetalage!$A$1:$ZZ$501,$A94,AY$3)))</f>
        <v/>
      </c>
      <c r="AZ94" s="124" t="str">
        <f>IF($B94="","",IF(AZ$3=0,"n.b.",INDEX(SRC_Woningetalage!$A$1:$ZZ$501,$A94,AZ$3)))</f>
        <v/>
      </c>
      <c r="BA94" s="124" t="str">
        <f>IF($B94="","",IF(BA$3=0,"n.b.",INDEX(SRC_Woningetalage!$A$1:$ZZ$501,$A94,BA$3)))</f>
        <v/>
      </c>
      <c r="BB94" s="124" t="str">
        <f>IF($B94="","",IF(BB$3=0,"n.b.",INDEX(SRC_Woningetalage!$A$1:$ZZ$501,$A94,BB$3)))</f>
        <v/>
      </c>
      <c r="BC94" s="124" t="str">
        <f>IF($B94="","",IFERROR(_xlfn.NUMBERVALUE(E94&amp;"",",","."),"n.b."))</f>
        <v/>
      </c>
      <c r="BD94" s="124" t="str">
        <f>IF($B94="","",IFERROR(_xlfn.NUMBERVALUE(M94&amp;"",",","."),"n.b."))</f>
        <v/>
      </c>
      <c r="BE94" s="124" t="str">
        <f>IF($B94="","",IFERROR(AB94+AC94+AD94,"n.b."))</f>
        <v/>
      </c>
      <c r="BF94" s="124" t="str">
        <f>IF($B94="","",IFERROR(AE94+AF94+AG94,"n.b."))</f>
        <v/>
      </c>
      <c r="BG94" s="124" t="str">
        <f>IF($B94="","",IFERROR(AH94+AI94+AJ94,"n.b."))</f>
        <v/>
      </c>
      <c r="BH94" s="124" t="str">
        <f>IF($B94="","",IFERROR(AK94+AL94+AM94,"n.b."))</f>
        <v/>
      </c>
      <c r="BI94" s="124" t="str">
        <f>IF($B94="","",IFERROR(SUMIF($AB$5:$AM$5,"&lt;="&amp;P_PeilMaand,AB94:AM94),"n.b."))</f>
        <v/>
      </c>
      <c r="BJ94" s="124" t="str">
        <f>IF($B94="","",IFERROR(SUM(AB94:AM94)-BI94,"n.b."))</f>
        <v/>
      </c>
      <c r="BK94" s="124" t="str">
        <f>IF($B94="","",IFERROR(IF(ABS(Q94-(T94+SUM(AB94:AM94)+AS94+AU94))&gt;P_Tol,1,0),1))</f>
        <v/>
      </c>
      <c r="BL94" s="124" t="str">
        <f>IF($B94="","",IFERROR(IF(ABS(AA94-(Q94-Z94))&gt;P_Tol,1,0),1))</f>
        <v/>
      </c>
      <c r="BM94" s="124" t="str">
        <f>IF($B94="","",IFERROR(IF(ABS(Z94-(T94+W94))&gt;P_Tol,1,0),1))</f>
        <v/>
      </c>
      <c r="BN94" s="124" t="str">
        <f>IF($B94="","",IFERROR(IF(ABS(W94-BI94)&gt;P_Tol,1,0),1))</f>
        <v/>
      </c>
      <c r="BO94" s="124" t="str">
        <f>IF($B94="","",IFERROR(IF(OR(ABS(R94+S94-T94)&gt;P_Tol,ABS(U94+V94-W94)&gt;P_Tol,ABS(X94+Y94-Z94)&gt;P_Tol),1,0),1))</f>
        <v/>
      </c>
      <c r="BP94" s="124" t="str">
        <f>IF($B94="","",IFERROR(IF(OR(ABS(AR94-SUM(AB94:AM94))&gt;P_Tol,ABS(AS94-(AN94+AO94+AP94+AQ94))&gt;P_Tol),1,0),1))</f>
        <v/>
      </c>
      <c r="BQ94" s="124" t="str">
        <f>IF($B94="","",IFERROR(IF(ABS(AT94)+ABS(AV94)+ABS(AW94)+ABS(AX94)+ABS(AY94)+ABS(AZ94)+ABS(BA94)+ABS(BB94)&gt;0,1,0),1))</f>
        <v/>
      </c>
      <c r="BR94" s="124" t="str">
        <f>IF($B94="","",COUNTIF(STG_ZPMW03!$B$6:$B$505,B94))</f>
        <v/>
      </c>
      <c r="BS94" s="124" t="str">
        <f>IF($B94="","",COUNTIF($B$6:$B$505,B94))</f>
        <v/>
      </c>
      <c r="BT94" s="124" t="str">
        <f>IF($B94="","",IF(BR94=0,0,IF(INDEX(STG_ZPMW03!$I$6:$I$505,MATCH(B94,STG_ZPMW03!$B$6:$B$505,0))=J94&amp;"",0,1)))</f>
        <v/>
      </c>
      <c r="BU94" s="124" t="str">
        <f>IF($B94="","",IFERROR(IF(ABS(INDEX(Mapping!$D$5:$D$104,MATCH(B94,Mapping!$A$5:$A$104,0))-Q94)&gt;P_Tol,1,0),0))</f>
        <v/>
      </c>
      <c r="BV94" s="124" t="str">
        <f>IF($B94="","",IFERROR(IF(AND(INDEX(Mapping!$G$5:$G$104,MATCH(B94,Mapping!$A$5:$A$104,0))="Nee",ABS(Q94)+ABS(Z94)+ABS(AR94)&gt;0),1,0),0))</f>
        <v/>
      </c>
      <c r="BW94" s="124" t="str">
        <f>IF($B94="","",IF(COUNTIF(Mapping!$A$5:$A$104,B94)&gt;0,1,0))</f>
        <v/>
      </c>
      <c r="BX94" s="124" t="str">
        <f>IF($B94="","",IF(BR94=0,COUNTIF($BR$6:BR94,0),""))</f>
        <v/>
      </c>
    </row>
    <row r="95">
      <c r="A95" s="15" t="n">
        <v>91</v>
      </c>
      <c r="B95" t="str">
        <f>IF(B$3=0,"",IF(INDEX(SRC_Woningetalage!$A$1:$ZZ$501,$A95,B$3)&amp;""="","",INDEX(SRC_Woningetalage!$A$1:$ZZ$501,$A95,B$3)&amp;""))</f>
        <v/>
      </c>
      <c r="C95" t="str">
        <f>IF($B95="","",IF(C$3=0,"n.b.",INDEX(SRC_Woningetalage!$A$1:$ZZ$501,$A95,C$3)))</f>
        <v/>
      </c>
      <c r="D95" t="str">
        <f>IF($B95="","",IF(D$3=0,"n.b.",INDEX(SRC_Woningetalage!$A$1:$ZZ$501,$A95,D$3)))</f>
        <v/>
      </c>
      <c r="E95" t="str">
        <f>IF($B95="","",IF(E$3=0,"n.b.",INDEX(SRC_Woningetalage!$A$1:$ZZ$501,$A95,E$3)))</f>
        <v/>
      </c>
      <c r="F95" t="str">
        <f>IF($B95="","",IF(F$3=0,"n.b.",INDEX(SRC_Woningetalage!$A$1:$ZZ$501,$A95,F$3)))</f>
        <v/>
      </c>
      <c r="G95" t="str">
        <f>IF($B95="","",IF(G$3=0,"n.b.",INDEX(SRC_Woningetalage!$A$1:$ZZ$501,$A95,G$3)))</f>
        <v/>
      </c>
      <c r="H95" t="str">
        <f>IF($B95="","",IF(H$3=0,"n.b.",INDEX(SRC_Woningetalage!$A$1:$ZZ$501,$A95,H$3)))</f>
        <v/>
      </c>
      <c r="I95" t="str">
        <f>IF($B95="","",IF(I$3=0,"n.b.",INDEX(SRC_Woningetalage!$A$1:$ZZ$501,$A95,I$3)))</f>
        <v/>
      </c>
      <c r="J95" t="str">
        <f>IF($B95="","",IF(J$3=0,"n.b.",INDEX(SRC_Woningetalage!$A$1:$ZZ$501,$A95,J$3)))</f>
        <v/>
      </c>
      <c r="K95" t="str">
        <f>IF($B95="","",IF(K$3=0,"n.b.",INDEX(SRC_Woningetalage!$A$1:$ZZ$501,$A95,K$3)))</f>
        <v/>
      </c>
      <c r="L95" t="str">
        <f>IF($B95="","",IF(L$3=0,"n.b.",INDEX(SRC_Woningetalage!$A$1:$ZZ$501,$A95,L$3)))</f>
        <v/>
      </c>
      <c r="M95" t="str">
        <f>IF($B95="","",IF(M$3=0,"n.b.",INDEX(SRC_Woningetalage!$A$1:$ZZ$501,$A95,M$3)))</f>
        <v/>
      </c>
      <c r="N95" t="str">
        <f>IF($B95="","",IF(N$3=0,"n.b.",INDEX(SRC_Woningetalage!$A$1:$ZZ$501,$A95,N$3)))</f>
        <v/>
      </c>
      <c r="O95" t="str">
        <f>IF($B95="","",IF(O$3=0,"n.b.",INDEX(SRC_Woningetalage!$A$1:$ZZ$501,$A95,O$3)))</f>
        <v/>
      </c>
      <c r="P95" t="str">
        <f>IF($B95="","",IF(P$3=0,"n.b.",INDEX(SRC_Woningetalage!$A$1:$ZZ$501,$A95,P$3)))</f>
        <v/>
      </c>
      <c r="Q95" s="124" t="str">
        <f>IF($B95="","",IF(Q$3=0,"n.b.",INDEX(SRC_Woningetalage!$A$1:$ZZ$501,$A95,Q$3)))</f>
        <v/>
      </c>
      <c r="R95" s="124" t="str">
        <f>IF($B95="","",IF(R$3=0,"n.b.",INDEX(SRC_Woningetalage!$A$1:$ZZ$501,$A95,R$3)))</f>
        <v/>
      </c>
      <c r="S95" s="124" t="str">
        <f>IF($B95="","",IF(S$3=0,"n.b.",INDEX(SRC_Woningetalage!$A$1:$ZZ$501,$A95,S$3)))</f>
        <v/>
      </c>
      <c r="T95" s="124" t="str">
        <f>IF($B95="","",IF(T$3=0,"n.b.",INDEX(SRC_Woningetalage!$A$1:$ZZ$501,$A95,T$3)))</f>
        <v/>
      </c>
      <c r="U95" s="124" t="str">
        <f>IF($B95="","",IF(U$3=0,"n.b.",INDEX(SRC_Woningetalage!$A$1:$ZZ$501,$A95,U$3)))</f>
        <v/>
      </c>
      <c r="V95" s="124" t="str">
        <f>IF($B95="","",IF(V$3=0,"n.b.",INDEX(SRC_Woningetalage!$A$1:$ZZ$501,$A95,V$3)))</f>
        <v/>
      </c>
      <c r="W95" s="124" t="str">
        <f>IF($B95="","",IF(W$3=0,"n.b.",INDEX(SRC_Woningetalage!$A$1:$ZZ$501,$A95,W$3)))</f>
        <v/>
      </c>
      <c r="X95" s="124" t="str">
        <f>IF($B95="","",IF(X$3=0,"n.b.",INDEX(SRC_Woningetalage!$A$1:$ZZ$501,$A95,X$3)))</f>
        <v/>
      </c>
      <c r="Y95" s="124" t="str">
        <f>IF($B95="","",IF(Y$3=0,"n.b.",INDEX(SRC_Woningetalage!$A$1:$ZZ$501,$A95,Y$3)))</f>
        <v/>
      </c>
      <c r="Z95" s="124" t="str">
        <f>IF($B95="","",IF(Z$3=0,"n.b.",INDEX(SRC_Woningetalage!$A$1:$ZZ$501,$A95,Z$3)))</f>
        <v/>
      </c>
      <c r="AA95" s="124" t="str">
        <f>IF($B95="","",IF(AA$3=0,"n.b.",INDEX(SRC_Woningetalage!$A$1:$ZZ$501,$A95,AA$3)))</f>
        <v/>
      </c>
      <c r="AB95" s="124" t="str">
        <f>IF($B95="","",IF(AB$3=0,"n.b.",INDEX(SRC_Woningetalage!$A$1:$ZZ$501,$A95,AB$3)))</f>
        <v/>
      </c>
      <c r="AC95" s="124" t="str">
        <f>IF($B95="","",IF(AC$3=0,"n.b.",INDEX(SRC_Woningetalage!$A$1:$ZZ$501,$A95,AC$3)))</f>
        <v/>
      </c>
      <c r="AD95" s="124" t="str">
        <f>IF($B95="","",IF(AD$3=0,"n.b.",INDEX(SRC_Woningetalage!$A$1:$ZZ$501,$A95,AD$3)))</f>
        <v/>
      </c>
      <c r="AE95" s="124" t="str">
        <f>IF($B95="","",IF(AE$3=0,"n.b.",INDEX(SRC_Woningetalage!$A$1:$ZZ$501,$A95,AE$3)))</f>
        <v/>
      </c>
      <c r="AF95" s="124" t="str">
        <f>IF($B95="","",IF(AF$3=0,"n.b.",INDEX(SRC_Woningetalage!$A$1:$ZZ$501,$A95,AF$3)))</f>
        <v/>
      </c>
      <c r="AG95" s="124" t="str">
        <f>IF($B95="","",IF(AG$3=0,"n.b.",INDEX(SRC_Woningetalage!$A$1:$ZZ$501,$A95,AG$3)))</f>
        <v/>
      </c>
      <c r="AH95" s="124" t="str">
        <f>IF($B95="","",IF(AH$3=0,"n.b.",INDEX(SRC_Woningetalage!$A$1:$ZZ$501,$A95,AH$3)))</f>
        <v/>
      </c>
      <c r="AI95" s="124" t="str">
        <f>IF($B95="","",IF(AI$3=0,"n.b.",INDEX(SRC_Woningetalage!$A$1:$ZZ$501,$A95,AI$3)))</f>
        <v/>
      </c>
      <c r="AJ95" s="124" t="str">
        <f>IF($B95="","",IF(AJ$3=0,"n.b.",INDEX(SRC_Woningetalage!$A$1:$ZZ$501,$A95,AJ$3)))</f>
        <v/>
      </c>
      <c r="AK95" s="124" t="str">
        <f>IF($B95="","",IF(AK$3=0,"n.b.",INDEX(SRC_Woningetalage!$A$1:$ZZ$501,$A95,AK$3)))</f>
        <v/>
      </c>
      <c r="AL95" s="124" t="str">
        <f>IF($B95="","",IF(AL$3=0,"n.b.",INDEX(SRC_Woningetalage!$A$1:$ZZ$501,$A95,AL$3)))</f>
        <v/>
      </c>
      <c r="AM95" s="124" t="str">
        <f>IF($B95="","",IF(AM$3=0,"n.b.",INDEX(SRC_Woningetalage!$A$1:$ZZ$501,$A95,AM$3)))</f>
        <v/>
      </c>
      <c r="AN95" s="124" t="str">
        <f>IF($B95="","",IF(AN$3=0,"n.b.",INDEX(SRC_Woningetalage!$A$1:$ZZ$501,$A95,AN$3)))</f>
        <v/>
      </c>
      <c r="AO95" s="124" t="str">
        <f>IF($B95="","",IF(AO$3=0,"n.b.",INDEX(SRC_Woningetalage!$A$1:$ZZ$501,$A95,AO$3)))</f>
        <v/>
      </c>
      <c r="AP95" s="124" t="str">
        <f>IF($B95="","",IF(AP$3=0,"n.b.",INDEX(SRC_Woningetalage!$A$1:$ZZ$501,$A95,AP$3)))</f>
        <v/>
      </c>
      <c r="AQ95" s="124" t="str">
        <f>IF($B95="","",IF(AQ$3=0,"n.b.",INDEX(SRC_Woningetalage!$A$1:$ZZ$501,$A95,AQ$3)))</f>
        <v/>
      </c>
      <c r="AR95" s="124" t="str">
        <f>IF($B95="","",IF(AR$3=0,"n.b.",INDEX(SRC_Woningetalage!$A$1:$ZZ$501,$A95,AR$3)))</f>
        <v/>
      </c>
      <c r="AS95" s="124" t="str">
        <f>IF($B95="","",IF(AS$3=0,"n.b.",INDEX(SRC_Woningetalage!$A$1:$ZZ$501,$A95,AS$3)))</f>
        <v/>
      </c>
      <c r="AT95" s="124" t="str">
        <f>IF($B95="","",IF(AT$3=0,"n.b.",INDEX(SRC_Woningetalage!$A$1:$ZZ$501,$A95,AT$3)))</f>
        <v/>
      </c>
      <c r="AU95" s="124" t="str">
        <f>IF($B95="","",IF(AU$3=0,"n.b.",INDEX(SRC_Woningetalage!$A$1:$ZZ$501,$A95,AU$3)))</f>
        <v/>
      </c>
      <c r="AV95" s="124" t="str">
        <f>IF($B95="","",IF(AV$3=0,"n.b.",INDEX(SRC_Woningetalage!$A$1:$ZZ$501,$A95,AV$3)))</f>
        <v/>
      </c>
      <c r="AW95" s="124" t="str">
        <f>IF($B95="","",IF(AW$3=0,"n.b.",INDEX(SRC_Woningetalage!$A$1:$ZZ$501,$A95,AW$3)))</f>
        <v/>
      </c>
      <c r="AX95" s="124" t="str">
        <f>IF($B95="","",IF(AX$3=0,"n.b.",INDEX(SRC_Woningetalage!$A$1:$ZZ$501,$A95,AX$3)))</f>
        <v/>
      </c>
      <c r="AY95" s="124" t="str">
        <f>IF($B95="","",IF(AY$3=0,"n.b.",INDEX(SRC_Woningetalage!$A$1:$ZZ$501,$A95,AY$3)))</f>
        <v/>
      </c>
      <c r="AZ95" s="124" t="str">
        <f>IF($B95="","",IF(AZ$3=0,"n.b.",INDEX(SRC_Woningetalage!$A$1:$ZZ$501,$A95,AZ$3)))</f>
        <v/>
      </c>
      <c r="BA95" s="124" t="str">
        <f>IF($B95="","",IF(BA$3=0,"n.b.",INDEX(SRC_Woningetalage!$A$1:$ZZ$501,$A95,BA$3)))</f>
        <v/>
      </c>
      <c r="BB95" s="124" t="str">
        <f>IF($B95="","",IF(BB$3=0,"n.b.",INDEX(SRC_Woningetalage!$A$1:$ZZ$501,$A95,BB$3)))</f>
        <v/>
      </c>
      <c r="BC95" s="124" t="str">
        <f>IF($B95="","",IFERROR(_xlfn.NUMBERVALUE(E95&amp;"",",","."),"n.b."))</f>
        <v/>
      </c>
      <c r="BD95" s="124" t="str">
        <f>IF($B95="","",IFERROR(_xlfn.NUMBERVALUE(M95&amp;"",",","."),"n.b."))</f>
        <v/>
      </c>
      <c r="BE95" s="124" t="str">
        <f>IF($B95="","",IFERROR(AB95+AC95+AD95,"n.b."))</f>
        <v/>
      </c>
      <c r="BF95" s="124" t="str">
        <f>IF($B95="","",IFERROR(AE95+AF95+AG95,"n.b."))</f>
        <v/>
      </c>
      <c r="BG95" s="124" t="str">
        <f>IF($B95="","",IFERROR(AH95+AI95+AJ95,"n.b."))</f>
        <v/>
      </c>
      <c r="BH95" s="124" t="str">
        <f>IF($B95="","",IFERROR(AK95+AL95+AM95,"n.b."))</f>
        <v/>
      </c>
      <c r="BI95" s="124" t="str">
        <f>IF($B95="","",IFERROR(SUMIF($AB$5:$AM$5,"&lt;="&amp;P_PeilMaand,AB95:AM95),"n.b."))</f>
        <v/>
      </c>
      <c r="BJ95" s="124" t="str">
        <f>IF($B95="","",IFERROR(SUM(AB95:AM95)-BI95,"n.b."))</f>
        <v/>
      </c>
      <c r="BK95" s="124" t="str">
        <f>IF($B95="","",IFERROR(IF(ABS(Q95-(T95+SUM(AB95:AM95)+AS95+AU95))&gt;P_Tol,1,0),1))</f>
        <v/>
      </c>
      <c r="BL95" s="124" t="str">
        <f>IF($B95="","",IFERROR(IF(ABS(AA95-(Q95-Z95))&gt;P_Tol,1,0),1))</f>
        <v/>
      </c>
      <c r="BM95" s="124" t="str">
        <f>IF($B95="","",IFERROR(IF(ABS(Z95-(T95+W95))&gt;P_Tol,1,0),1))</f>
        <v/>
      </c>
      <c r="BN95" s="124" t="str">
        <f>IF($B95="","",IFERROR(IF(ABS(W95-BI95)&gt;P_Tol,1,0),1))</f>
        <v/>
      </c>
      <c r="BO95" s="124" t="str">
        <f>IF($B95="","",IFERROR(IF(OR(ABS(R95+S95-T95)&gt;P_Tol,ABS(U95+V95-W95)&gt;P_Tol,ABS(X95+Y95-Z95)&gt;P_Tol),1,0),1))</f>
        <v/>
      </c>
      <c r="BP95" s="124" t="str">
        <f>IF($B95="","",IFERROR(IF(OR(ABS(AR95-SUM(AB95:AM95))&gt;P_Tol,ABS(AS95-(AN95+AO95+AP95+AQ95))&gt;P_Tol),1,0),1))</f>
        <v/>
      </c>
      <c r="BQ95" s="124" t="str">
        <f>IF($B95="","",IFERROR(IF(ABS(AT95)+ABS(AV95)+ABS(AW95)+ABS(AX95)+ABS(AY95)+ABS(AZ95)+ABS(BA95)+ABS(BB95)&gt;0,1,0),1))</f>
        <v/>
      </c>
      <c r="BR95" s="124" t="str">
        <f>IF($B95="","",COUNTIF(STG_ZPMW03!$B$6:$B$505,B95))</f>
        <v/>
      </c>
      <c r="BS95" s="124" t="str">
        <f>IF($B95="","",COUNTIF($B$6:$B$505,B95))</f>
        <v/>
      </c>
      <c r="BT95" s="124" t="str">
        <f>IF($B95="","",IF(BR95=0,0,IF(INDEX(STG_ZPMW03!$I$6:$I$505,MATCH(B95,STG_ZPMW03!$B$6:$B$505,0))=J95&amp;"",0,1)))</f>
        <v/>
      </c>
      <c r="BU95" s="124" t="str">
        <f>IF($B95="","",IFERROR(IF(ABS(INDEX(Mapping!$D$5:$D$104,MATCH(B95,Mapping!$A$5:$A$104,0))-Q95)&gt;P_Tol,1,0),0))</f>
        <v/>
      </c>
      <c r="BV95" s="124" t="str">
        <f>IF($B95="","",IFERROR(IF(AND(INDEX(Mapping!$G$5:$G$104,MATCH(B95,Mapping!$A$5:$A$104,0))="Nee",ABS(Q95)+ABS(Z95)+ABS(AR95)&gt;0),1,0),0))</f>
        <v/>
      </c>
      <c r="BW95" s="124" t="str">
        <f>IF($B95="","",IF(COUNTIF(Mapping!$A$5:$A$104,B95)&gt;0,1,0))</f>
        <v/>
      </c>
      <c r="BX95" s="124" t="str">
        <f>IF($B95="","",IF(BR95=0,COUNTIF($BR$6:BR95,0),""))</f>
        <v/>
      </c>
    </row>
    <row r="96">
      <c r="A96" s="15" t="n">
        <v>92</v>
      </c>
      <c r="B96" t="str">
        <f>IF(B$3=0,"",IF(INDEX(SRC_Woningetalage!$A$1:$ZZ$501,$A96,B$3)&amp;""="","",INDEX(SRC_Woningetalage!$A$1:$ZZ$501,$A96,B$3)&amp;""))</f>
        <v/>
      </c>
      <c r="C96" t="str">
        <f>IF($B96="","",IF(C$3=0,"n.b.",INDEX(SRC_Woningetalage!$A$1:$ZZ$501,$A96,C$3)))</f>
        <v/>
      </c>
      <c r="D96" t="str">
        <f>IF($B96="","",IF(D$3=0,"n.b.",INDEX(SRC_Woningetalage!$A$1:$ZZ$501,$A96,D$3)))</f>
        <v/>
      </c>
      <c r="E96" t="str">
        <f>IF($B96="","",IF(E$3=0,"n.b.",INDEX(SRC_Woningetalage!$A$1:$ZZ$501,$A96,E$3)))</f>
        <v/>
      </c>
      <c r="F96" t="str">
        <f>IF($B96="","",IF(F$3=0,"n.b.",INDEX(SRC_Woningetalage!$A$1:$ZZ$501,$A96,F$3)))</f>
        <v/>
      </c>
      <c r="G96" t="str">
        <f>IF($B96="","",IF(G$3=0,"n.b.",INDEX(SRC_Woningetalage!$A$1:$ZZ$501,$A96,G$3)))</f>
        <v/>
      </c>
      <c r="H96" t="str">
        <f>IF($B96="","",IF(H$3=0,"n.b.",INDEX(SRC_Woningetalage!$A$1:$ZZ$501,$A96,H$3)))</f>
        <v/>
      </c>
      <c r="I96" t="str">
        <f>IF($B96="","",IF(I$3=0,"n.b.",INDEX(SRC_Woningetalage!$A$1:$ZZ$501,$A96,I$3)))</f>
        <v/>
      </c>
      <c r="J96" t="str">
        <f>IF($B96="","",IF(J$3=0,"n.b.",INDEX(SRC_Woningetalage!$A$1:$ZZ$501,$A96,J$3)))</f>
        <v/>
      </c>
      <c r="K96" t="str">
        <f>IF($B96="","",IF(K$3=0,"n.b.",INDEX(SRC_Woningetalage!$A$1:$ZZ$501,$A96,K$3)))</f>
        <v/>
      </c>
      <c r="L96" t="str">
        <f>IF($B96="","",IF(L$3=0,"n.b.",INDEX(SRC_Woningetalage!$A$1:$ZZ$501,$A96,L$3)))</f>
        <v/>
      </c>
      <c r="M96" t="str">
        <f>IF($B96="","",IF(M$3=0,"n.b.",INDEX(SRC_Woningetalage!$A$1:$ZZ$501,$A96,M$3)))</f>
        <v/>
      </c>
      <c r="N96" t="str">
        <f>IF($B96="","",IF(N$3=0,"n.b.",INDEX(SRC_Woningetalage!$A$1:$ZZ$501,$A96,N$3)))</f>
        <v/>
      </c>
      <c r="O96" t="str">
        <f>IF($B96="","",IF(O$3=0,"n.b.",INDEX(SRC_Woningetalage!$A$1:$ZZ$501,$A96,O$3)))</f>
        <v/>
      </c>
      <c r="P96" t="str">
        <f>IF($B96="","",IF(P$3=0,"n.b.",INDEX(SRC_Woningetalage!$A$1:$ZZ$501,$A96,P$3)))</f>
        <v/>
      </c>
      <c r="Q96" s="124" t="str">
        <f>IF($B96="","",IF(Q$3=0,"n.b.",INDEX(SRC_Woningetalage!$A$1:$ZZ$501,$A96,Q$3)))</f>
        <v/>
      </c>
      <c r="R96" s="124" t="str">
        <f>IF($B96="","",IF(R$3=0,"n.b.",INDEX(SRC_Woningetalage!$A$1:$ZZ$501,$A96,R$3)))</f>
        <v/>
      </c>
      <c r="S96" s="124" t="str">
        <f>IF($B96="","",IF(S$3=0,"n.b.",INDEX(SRC_Woningetalage!$A$1:$ZZ$501,$A96,S$3)))</f>
        <v/>
      </c>
      <c r="T96" s="124" t="str">
        <f>IF($B96="","",IF(T$3=0,"n.b.",INDEX(SRC_Woningetalage!$A$1:$ZZ$501,$A96,T$3)))</f>
        <v/>
      </c>
      <c r="U96" s="124" t="str">
        <f>IF($B96="","",IF(U$3=0,"n.b.",INDEX(SRC_Woningetalage!$A$1:$ZZ$501,$A96,U$3)))</f>
        <v/>
      </c>
      <c r="V96" s="124" t="str">
        <f>IF($B96="","",IF(V$3=0,"n.b.",INDEX(SRC_Woningetalage!$A$1:$ZZ$501,$A96,V$3)))</f>
        <v/>
      </c>
      <c r="W96" s="124" t="str">
        <f>IF($B96="","",IF(W$3=0,"n.b.",INDEX(SRC_Woningetalage!$A$1:$ZZ$501,$A96,W$3)))</f>
        <v/>
      </c>
      <c r="X96" s="124" t="str">
        <f>IF($B96="","",IF(X$3=0,"n.b.",INDEX(SRC_Woningetalage!$A$1:$ZZ$501,$A96,X$3)))</f>
        <v/>
      </c>
      <c r="Y96" s="124" t="str">
        <f>IF($B96="","",IF(Y$3=0,"n.b.",INDEX(SRC_Woningetalage!$A$1:$ZZ$501,$A96,Y$3)))</f>
        <v/>
      </c>
      <c r="Z96" s="124" t="str">
        <f>IF($B96="","",IF(Z$3=0,"n.b.",INDEX(SRC_Woningetalage!$A$1:$ZZ$501,$A96,Z$3)))</f>
        <v/>
      </c>
      <c r="AA96" s="124" t="str">
        <f>IF($B96="","",IF(AA$3=0,"n.b.",INDEX(SRC_Woningetalage!$A$1:$ZZ$501,$A96,AA$3)))</f>
        <v/>
      </c>
      <c r="AB96" s="124" t="str">
        <f>IF($B96="","",IF(AB$3=0,"n.b.",INDEX(SRC_Woningetalage!$A$1:$ZZ$501,$A96,AB$3)))</f>
        <v/>
      </c>
      <c r="AC96" s="124" t="str">
        <f>IF($B96="","",IF(AC$3=0,"n.b.",INDEX(SRC_Woningetalage!$A$1:$ZZ$501,$A96,AC$3)))</f>
        <v/>
      </c>
      <c r="AD96" s="124" t="str">
        <f>IF($B96="","",IF(AD$3=0,"n.b.",INDEX(SRC_Woningetalage!$A$1:$ZZ$501,$A96,AD$3)))</f>
        <v/>
      </c>
      <c r="AE96" s="124" t="str">
        <f>IF($B96="","",IF(AE$3=0,"n.b.",INDEX(SRC_Woningetalage!$A$1:$ZZ$501,$A96,AE$3)))</f>
        <v/>
      </c>
      <c r="AF96" s="124" t="str">
        <f>IF($B96="","",IF(AF$3=0,"n.b.",INDEX(SRC_Woningetalage!$A$1:$ZZ$501,$A96,AF$3)))</f>
        <v/>
      </c>
      <c r="AG96" s="124" t="str">
        <f>IF($B96="","",IF(AG$3=0,"n.b.",INDEX(SRC_Woningetalage!$A$1:$ZZ$501,$A96,AG$3)))</f>
        <v/>
      </c>
      <c r="AH96" s="124" t="str">
        <f>IF($B96="","",IF(AH$3=0,"n.b.",INDEX(SRC_Woningetalage!$A$1:$ZZ$501,$A96,AH$3)))</f>
        <v/>
      </c>
      <c r="AI96" s="124" t="str">
        <f>IF($B96="","",IF(AI$3=0,"n.b.",INDEX(SRC_Woningetalage!$A$1:$ZZ$501,$A96,AI$3)))</f>
        <v/>
      </c>
      <c r="AJ96" s="124" t="str">
        <f>IF($B96="","",IF(AJ$3=0,"n.b.",INDEX(SRC_Woningetalage!$A$1:$ZZ$501,$A96,AJ$3)))</f>
        <v/>
      </c>
      <c r="AK96" s="124" t="str">
        <f>IF($B96="","",IF(AK$3=0,"n.b.",INDEX(SRC_Woningetalage!$A$1:$ZZ$501,$A96,AK$3)))</f>
        <v/>
      </c>
      <c r="AL96" s="124" t="str">
        <f>IF($B96="","",IF(AL$3=0,"n.b.",INDEX(SRC_Woningetalage!$A$1:$ZZ$501,$A96,AL$3)))</f>
        <v/>
      </c>
      <c r="AM96" s="124" t="str">
        <f>IF($B96="","",IF(AM$3=0,"n.b.",INDEX(SRC_Woningetalage!$A$1:$ZZ$501,$A96,AM$3)))</f>
        <v/>
      </c>
      <c r="AN96" s="124" t="str">
        <f>IF($B96="","",IF(AN$3=0,"n.b.",INDEX(SRC_Woningetalage!$A$1:$ZZ$501,$A96,AN$3)))</f>
        <v/>
      </c>
      <c r="AO96" s="124" t="str">
        <f>IF($B96="","",IF(AO$3=0,"n.b.",INDEX(SRC_Woningetalage!$A$1:$ZZ$501,$A96,AO$3)))</f>
        <v/>
      </c>
      <c r="AP96" s="124" t="str">
        <f>IF($B96="","",IF(AP$3=0,"n.b.",INDEX(SRC_Woningetalage!$A$1:$ZZ$501,$A96,AP$3)))</f>
        <v/>
      </c>
      <c r="AQ96" s="124" t="str">
        <f>IF($B96="","",IF(AQ$3=0,"n.b.",INDEX(SRC_Woningetalage!$A$1:$ZZ$501,$A96,AQ$3)))</f>
        <v/>
      </c>
      <c r="AR96" s="124" t="str">
        <f>IF($B96="","",IF(AR$3=0,"n.b.",INDEX(SRC_Woningetalage!$A$1:$ZZ$501,$A96,AR$3)))</f>
        <v/>
      </c>
      <c r="AS96" s="124" t="str">
        <f>IF($B96="","",IF(AS$3=0,"n.b.",INDEX(SRC_Woningetalage!$A$1:$ZZ$501,$A96,AS$3)))</f>
        <v/>
      </c>
      <c r="AT96" s="124" t="str">
        <f>IF($B96="","",IF(AT$3=0,"n.b.",INDEX(SRC_Woningetalage!$A$1:$ZZ$501,$A96,AT$3)))</f>
        <v/>
      </c>
      <c r="AU96" s="124" t="str">
        <f>IF($B96="","",IF(AU$3=0,"n.b.",INDEX(SRC_Woningetalage!$A$1:$ZZ$501,$A96,AU$3)))</f>
        <v/>
      </c>
      <c r="AV96" s="124" t="str">
        <f>IF($B96="","",IF(AV$3=0,"n.b.",INDEX(SRC_Woningetalage!$A$1:$ZZ$501,$A96,AV$3)))</f>
        <v/>
      </c>
      <c r="AW96" s="124" t="str">
        <f>IF($B96="","",IF(AW$3=0,"n.b.",INDEX(SRC_Woningetalage!$A$1:$ZZ$501,$A96,AW$3)))</f>
        <v/>
      </c>
      <c r="AX96" s="124" t="str">
        <f>IF($B96="","",IF(AX$3=0,"n.b.",INDEX(SRC_Woningetalage!$A$1:$ZZ$501,$A96,AX$3)))</f>
        <v/>
      </c>
      <c r="AY96" s="124" t="str">
        <f>IF($B96="","",IF(AY$3=0,"n.b.",INDEX(SRC_Woningetalage!$A$1:$ZZ$501,$A96,AY$3)))</f>
        <v/>
      </c>
      <c r="AZ96" s="124" t="str">
        <f>IF($B96="","",IF(AZ$3=0,"n.b.",INDEX(SRC_Woningetalage!$A$1:$ZZ$501,$A96,AZ$3)))</f>
        <v/>
      </c>
      <c r="BA96" s="124" t="str">
        <f>IF($B96="","",IF(BA$3=0,"n.b.",INDEX(SRC_Woningetalage!$A$1:$ZZ$501,$A96,BA$3)))</f>
        <v/>
      </c>
      <c r="BB96" s="124" t="str">
        <f>IF($B96="","",IF(BB$3=0,"n.b.",INDEX(SRC_Woningetalage!$A$1:$ZZ$501,$A96,BB$3)))</f>
        <v/>
      </c>
      <c r="BC96" s="124" t="str">
        <f>IF($B96="","",IFERROR(_xlfn.NUMBERVALUE(E96&amp;"",",","."),"n.b."))</f>
        <v/>
      </c>
      <c r="BD96" s="124" t="str">
        <f>IF($B96="","",IFERROR(_xlfn.NUMBERVALUE(M96&amp;"",",","."),"n.b."))</f>
        <v/>
      </c>
      <c r="BE96" s="124" t="str">
        <f>IF($B96="","",IFERROR(AB96+AC96+AD96,"n.b."))</f>
        <v/>
      </c>
      <c r="BF96" s="124" t="str">
        <f>IF($B96="","",IFERROR(AE96+AF96+AG96,"n.b."))</f>
        <v/>
      </c>
      <c r="BG96" s="124" t="str">
        <f>IF($B96="","",IFERROR(AH96+AI96+AJ96,"n.b."))</f>
        <v/>
      </c>
      <c r="BH96" s="124" t="str">
        <f>IF($B96="","",IFERROR(AK96+AL96+AM96,"n.b."))</f>
        <v/>
      </c>
      <c r="BI96" s="124" t="str">
        <f>IF($B96="","",IFERROR(SUMIF($AB$5:$AM$5,"&lt;="&amp;P_PeilMaand,AB96:AM96),"n.b."))</f>
        <v/>
      </c>
      <c r="BJ96" s="124" t="str">
        <f>IF($B96="","",IFERROR(SUM(AB96:AM96)-BI96,"n.b."))</f>
        <v/>
      </c>
      <c r="BK96" s="124" t="str">
        <f>IF($B96="","",IFERROR(IF(ABS(Q96-(T96+SUM(AB96:AM96)+AS96+AU96))&gt;P_Tol,1,0),1))</f>
        <v/>
      </c>
      <c r="BL96" s="124" t="str">
        <f>IF($B96="","",IFERROR(IF(ABS(AA96-(Q96-Z96))&gt;P_Tol,1,0),1))</f>
        <v/>
      </c>
      <c r="BM96" s="124" t="str">
        <f>IF($B96="","",IFERROR(IF(ABS(Z96-(T96+W96))&gt;P_Tol,1,0),1))</f>
        <v/>
      </c>
      <c r="BN96" s="124" t="str">
        <f>IF($B96="","",IFERROR(IF(ABS(W96-BI96)&gt;P_Tol,1,0),1))</f>
        <v/>
      </c>
      <c r="BO96" s="124" t="str">
        <f>IF($B96="","",IFERROR(IF(OR(ABS(R96+S96-T96)&gt;P_Tol,ABS(U96+V96-W96)&gt;P_Tol,ABS(X96+Y96-Z96)&gt;P_Tol),1,0),1))</f>
        <v/>
      </c>
      <c r="BP96" s="124" t="str">
        <f>IF($B96="","",IFERROR(IF(OR(ABS(AR96-SUM(AB96:AM96))&gt;P_Tol,ABS(AS96-(AN96+AO96+AP96+AQ96))&gt;P_Tol),1,0),1))</f>
        <v/>
      </c>
      <c r="BQ96" s="124" t="str">
        <f>IF($B96="","",IFERROR(IF(ABS(AT96)+ABS(AV96)+ABS(AW96)+ABS(AX96)+ABS(AY96)+ABS(AZ96)+ABS(BA96)+ABS(BB96)&gt;0,1,0),1))</f>
        <v/>
      </c>
      <c r="BR96" s="124" t="str">
        <f>IF($B96="","",COUNTIF(STG_ZPMW03!$B$6:$B$505,B96))</f>
        <v/>
      </c>
      <c r="BS96" s="124" t="str">
        <f>IF($B96="","",COUNTIF($B$6:$B$505,B96))</f>
        <v/>
      </c>
      <c r="BT96" s="124" t="str">
        <f>IF($B96="","",IF(BR96=0,0,IF(INDEX(STG_ZPMW03!$I$6:$I$505,MATCH(B96,STG_ZPMW03!$B$6:$B$505,0))=J96&amp;"",0,1)))</f>
        <v/>
      </c>
      <c r="BU96" s="124" t="str">
        <f>IF($B96="","",IFERROR(IF(ABS(INDEX(Mapping!$D$5:$D$104,MATCH(B96,Mapping!$A$5:$A$104,0))-Q96)&gt;P_Tol,1,0),0))</f>
        <v/>
      </c>
      <c r="BV96" s="124" t="str">
        <f>IF($B96="","",IFERROR(IF(AND(INDEX(Mapping!$G$5:$G$104,MATCH(B96,Mapping!$A$5:$A$104,0))="Nee",ABS(Q96)+ABS(Z96)+ABS(AR96)&gt;0),1,0),0))</f>
        <v/>
      </c>
      <c r="BW96" s="124" t="str">
        <f>IF($B96="","",IF(COUNTIF(Mapping!$A$5:$A$104,B96)&gt;0,1,0))</f>
        <v/>
      </c>
      <c r="BX96" s="124" t="str">
        <f>IF($B96="","",IF(BR96=0,COUNTIF($BR$6:BR96,0),""))</f>
        <v/>
      </c>
    </row>
    <row r="97">
      <c r="A97" s="15" t="n">
        <v>93</v>
      </c>
      <c r="B97" t="str">
        <f>IF(B$3=0,"",IF(INDEX(SRC_Woningetalage!$A$1:$ZZ$501,$A97,B$3)&amp;""="","",INDEX(SRC_Woningetalage!$A$1:$ZZ$501,$A97,B$3)&amp;""))</f>
        <v/>
      </c>
      <c r="C97" t="str">
        <f>IF($B97="","",IF(C$3=0,"n.b.",INDEX(SRC_Woningetalage!$A$1:$ZZ$501,$A97,C$3)))</f>
        <v/>
      </c>
      <c r="D97" t="str">
        <f>IF($B97="","",IF(D$3=0,"n.b.",INDEX(SRC_Woningetalage!$A$1:$ZZ$501,$A97,D$3)))</f>
        <v/>
      </c>
      <c r="E97" t="str">
        <f>IF($B97="","",IF(E$3=0,"n.b.",INDEX(SRC_Woningetalage!$A$1:$ZZ$501,$A97,E$3)))</f>
        <v/>
      </c>
      <c r="F97" t="str">
        <f>IF($B97="","",IF(F$3=0,"n.b.",INDEX(SRC_Woningetalage!$A$1:$ZZ$501,$A97,F$3)))</f>
        <v/>
      </c>
      <c r="G97" t="str">
        <f>IF($B97="","",IF(G$3=0,"n.b.",INDEX(SRC_Woningetalage!$A$1:$ZZ$501,$A97,G$3)))</f>
        <v/>
      </c>
      <c r="H97" t="str">
        <f>IF($B97="","",IF(H$3=0,"n.b.",INDEX(SRC_Woningetalage!$A$1:$ZZ$501,$A97,H$3)))</f>
        <v/>
      </c>
      <c r="I97" t="str">
        <f>IF($B97="","",IF(I$3=0,"n.b.",INDEX(SRC_Woningetalage!$A$1:$ZZ$501,$A97,I$3)))</f>
        <v/>
      </c>
      <c r="J97" t="str">
        <f>IF($B97="","",IF(J$3=0,"n.b.",INDEX(SRC_Woningetalage!$A$1:$ZZ$501,$A97,J$3)))</f>
        <v/>
      </c>
      <c r="K97" t="str">
        <f>IF($B97="","",IF(K$3=0,"n.b.",INDEX(SRC_Woningetalage!$A$1:$ZZ$501,$A97,K$3)))</f>
        <v/>
      </c>
      <c r="L97" t="str">
        <f>IF($B97="","",IF(L$3=0,"n.b.",INDEX(SRC_Woningetalage!$A$1:$ZZ$501,$A97,L$3)))</f>
        <v/>
      </c>
      <c r="M97" t="str">
        <f>IF($B97="","",IF(M$3=0,"n.b.",INDEX(SRC_Woningetalage!$A$1:$ZZ$501,$A97,M$3)))</f>
        <v/>
      </c>
      <c r="N97" t="str">
        <f>IF($B97="","",IF(N$3=0,"n.b.",INDEX(SRC_Woningetalage!$A$1:$ZZ$501,$A97,N$3)))</f>
        <v/>
      </c>
      <c r="O97" t="str">
        <f>IF($B97="","",IF(O$3=0,"n.b.",INDEX(SRC_Woningetalage!$A$1:$ZZ$501,$A97,O$3)))</f>
        <v/>
      </c>
      <c r="P97" t="str">
        <f>IF($B97="","",IF(P$3=0,"n.b.",INDEX(SRC_Woningetalage!$A$1:$ZZ$501,$A97,P$3)))</f>
        <v/>
      </c>
      <c r="Q97" s="124" t="str">
        <f>IF($B97="","",IF(Q$3=0,"n.b.",INDEX(SRC_Woningetalage!$A$1:$ZZ$501,$A97,Q$3)))</f>
        <v/>
      </c>
      <c r="R97" s="124" t="str">
        <f>IF($B97="","",IF(R$3=0,"n.b.",INDEX(SRC_Woningetalage!$A$1:$ZZ$501,$A97,R$3)))</f>
        <v/>
      </c>
      <c r="S97" s="124" t="str">
        <f>IF($B97="","",IF(S$3=0,"n.b.",INDEX(SRC_Woningetalage!$A$1:$ZZ$501,$A97,S$3)))</f>
        <v/>
      </c>
      <c r="T97" s="124" t="str">
        <f>IF($B97="","",IF(T$3=0,"n.b.",INDEX(SRC_Woningetalage!$A$1:$ZZ$501,$A97,T$3)))</f>
        <v/>
      </c>
      <c r="U97" s="124" t="str">
        <f>IF($B97="","",IF(U$3=0,"n.b.",INDEX(SRC_Woningetalage!$A$1:$ZZ$501,$A97,U$3)))</f>
        <v/>
      </c>
      <c r="V97" s="124" t="str">
        <f>IF($B97="","",IF(V$3=0,"n.b.",INDEX(SRC_Woningetalage!$A$1:$ZZ$501,$A97,V$3)))</f>
        <v/>
      </c>
      <c r="W97" s="124" t="str">
        <f>IF($B97="","",IF(W$3=0,"n.b.",INDEX(SRC_Woningetalage!$A$1:$ZZ$501,$A97,W$3)))</f>
        <v/>
      </c>
      <c r="X97" s="124" t="str">
        <f>IF($B97="","",IF(X$3=0,"n.b.",INDEX(SRC_Woningetalage!$A$1:$ZZ$501,$A97,X$3)))</f>
        <v/>
      </c>
      <c r="Y97" s="124" t="str">
        <f>IF($B97="","",IF(Y$3=0,"n.b.",INDEX(SRC_Woningetalage!$A$1:$ZZ$501,$A97,Y$3)))</f>
        <v/>
      </c>
      <c r="Z97" s="124" t="str">
        <f>IF($B97="","",IF(Z$3=0,"n.b.",INDEX(SRC_Woningetalage!$A$1:$ZZ$501,$A97,Z$3)))</f>
        <v/>
      </c>
      <c r="AA97" s="124" t="str">
        <f>IF($B97="","",IF(AA$3=0,"n.b.",INDEX(SRC_Woningetalage!$A$1:$ZZ$501,$A97,AA$3)))</f>
        <v/>
      </c>
      <c r="AB97" s="124" t="str">
        <f>IF($B97="","",IF(AB$3=0,"n.b.",INDEX(SRC_Woningetalage!$A$1:$ZZ$501,$A97,AB$3)))</f>
        <v/>
      </c>
      <c r="AC97" s="124" t="str">
        <f>IF($B97="","",IF(AC$3=0,"n.b.",INDEX(SRC_Woningetalage!$A$1:$ZZ$501,$A97,AC$3)))</f>
        <v/>
      </c>
      <c r="AD97" s="124" t="str">
        <f>IF($B97="","",IF(AD$3=0,"n.b.",INDEX(SRC_Woningetalage!$A$1:$ZZ$501,$A97,AD$3)))</f>
        <v/>
      </c>
      <c r="AE97" s="124" t="str">
        <f>IF($B97="","",IF(AE$3=0,"n.b.",INDEX(SRC_Woningetalage!$A$1:$ZZ$501,$A97,AE$3)))</f>
        <v/>
      </c>
      <c r="AF97" s="124" t="str">
        <f>IF($B97="","",IF(AF$3=0,"n.b.",INDEX(SRC_Woningetalage!$A$1:$ZZ$501,$A97,AF$3)))</f>
        <v/>
      </c>
      <c r="AG97" s="124" t="str">
        <f>IF($B97="","",IF(AG$3=0,"n.b.",INDEX(SRC_Woningetalage!$A$1:$ZZ$501,$A97,AG$3)))</f>
        <v/>
      </c>
      <c r="AH97" s="124" t="str">
        <f>IF($B97="","",IF(AH$3=0,"n.b.",INDEX(SRC_Woningetalage!$A$1:$ZZ$501,$A97,AH$3)))</f>
        <v/>
      </c>
      <c r="AI97" s="124" t="str">
        <f>IF($B97="","",IF(AI$3=0,"n.b.",INDEX(SRC_Woningetalage!$A$1:$ZZ$501,$A97,AI$3)))</f>
        <v/>
      </c>
      <c r="AJ97" s="124" t="str">
        <f>IF($B97="","",IF(AJ$3=0,"n.b.",INDEX(SRC_Woningetalage!$A$1:$ZZ$501,$A97,AJ$3)))</f>
        <v/>
      </c>
      <c r="AK97" s="124" t="str">
        <f>IF($B97="","",IF(AK$3=0,"n.b.",INDEX(SRC_Woningetalage!$A$1:$ZZ$501,$A97,AK$3)))</f>
        <v/>
      </c>
      <c r="AL97" s="124" t="str">
        <f>IF($B97="","",IF(AL$3=0,"n.b.",INDEX(SRC_Woningetalage!$A$1:$ZZ$501,$A97,AL$3)))</f>
        <v/>
      </c>
      <c r="AM97" s="124" t="str">
        <f>IF($B97="","",IF(AM$3=0,"n.b.",INDEX(SRC_Woningetalage!$A$1:$ZZ$501,$A97,AM$3)))</f>
        <v/>
      </c>
      <c r="AN97" s="124" t="str">
        <f>IF($B97="","",IF(AN$3=0,"n.b.",INDEX(SRC_Woningetalage!$A$1:$ZZ$501,$A97,AN$3)))</f>
        <v/>
      </c>
      <c r="AO97" s="124" t="str">
        <f>IF($B97="","",IF(AO$3=0,"n.b.",INDEX(SRC_Woningetalage!$A$1:$ZZ$501,$A97,AO$3)))</f>
        <v/>
      </c>
      <c r="AP97" s="124" t="str">
        <f>IF($B97="","",IF(AP$3=0,"n.b.",INDEX(SRC_Woningetalage!$A$1:$ZZ$501,$A97,AP$3)))</f>
        <v/>
      </c>
      <c r="AQ97" s="124" t="str">
        <f>IF($B97="","",IF(AQ$3=0,"n.b.",INDEX(SRC_Woningetalage!$A$1:$ZZ$501,$A97,AQ$3)))</f>
        <v/>
      </c>
      <c r="AR97" s="124" t="str">
        <f>IF($B97="","",IF(AR$3=0,"n.b.",INDEX(SRC_Woningetalage!$A$1:$ZZ$501,$A97,AR$3)))</f>
        <v/>
      </c>
      <c r="AS97" s="124" t="str">
        <f>IF($B97="","",IF(AS$3=0,"n.b.",INDEX(SRC_Woningetalage!$A$1:$ZZ$501,$A97,AS$3)))</f>
        <v/>
      </c>
      <c r="AT97" s="124" t="str">
        <f>IF($B97="","",IF(AT$3=0,"n.b.",INDEX(SRC_Woningetalage!$A$1:$ZZ$501,$A97,AT$3)))</f>
        <v/>
      </c>
      <c r="AU97" s="124" t="str">
        <f>IF($B97="","",IF(AU$3=0,"n.b.",INDEX(SRC_Woningetalage!$A$1:$ZZ$501,$A97,AU$3)))</f>
        <v/>
      </c>
      <c r="AV97" s="124" t="str">
        <f>IF($B97="","",IF(AV$3=0,"n.b.",INDEX(SRC_Woningetalage!$A$1:$ZZ$501,$A97,AV$3)))</f>
        <v/>
      </c>
      <c r="AW97" s="124" t="str">
        <f>IF($B97="","",IF(AW$3=0,"n.b.",INDEX(SRC_Woningetalage!$A$1:$ZZ$501,$A97,AW$3)))</f>
        <v/>
      </c>
      <c r="AX97" s="124" t="str">
        <f>IF($B97="","",IF(AX$3=0,"n.b.",INDEX(SRC_Woningetalage!$A$1:$ZZ$501,$A97,AX$3)))</f>
        <v/>
      </c>
      <c r="AY97" s="124" t="str">
        <f>IF($B97="","",IF(AY$3=0,"n.b.",INDEX(SRC_Woningetalage!$A$1:$ZZ$501,$A97,AY$3)))</f>
        <v/>
      </c>
      <c r="AZ97" s="124" t="str">
        <f>IF($B97="","",IF(AZ$3=0,"n.b.",INDEX(SRC_Woningetalage!$A$1:$ZZ$501,$A97,AZ$3)))</f>
        <v/>
      </c>
      <c r="BA97" s="124" t="str">
        <f>IF($B97="","",IF(BA$3=0,"n.b.",INDEX(SRC_Woningetalage!$A$1:$ZZ$501,$A97,BA$3)))</f>
        <v/>
      </c>
      <c r="BB97" s="124" t="str">
        <f>IF($B97="","",IF(BB$3=0,"n.b.",INDEX(SRC_Woningetalage!$A$1:$ZZ$501,$A97,BB$3)))</f>
        <v/>
      </c>
      <c r="BC97" s="124" t="str">
        <f>IF($B97="","",IFERROR(_xlfn.NUMBERVALUE(E97&amp;"",",","."),"n.b."))</f>
        <v/>
      </c>
      <c r="BD97" s="124" t="str">
        <f>IF($B97="","",IFERROR(_xlfn.NUMBERVALUE(M97&amp;"",",","."),"n.b."))</f>
        <v/>
      </c>
      <c r="BE97" s="124" t="str">
        <f>IF($B97="","",IFERROR(AB97+AC97+AD97,"n.b."))</f>
        <v/>
      </c>
      <c r="BF97" s="124" t="str">
        <f>IF($B97="","",IFERROR(AE97+AF97+AG97,"n.b."))</f>
        <v/>
      </c>
      <c r="BG97" s="124" t="str">
        <f>IF($B97="","",IFERROR(AH97+AI97+AJ97,"n.b."))</f>
        <v/>
      </c>
      <c r="BH97" s="124" t="str">
        <f>IF($B97="","",IFERROR(AK97+AL97+AM97,"n.b."))</f>
        <v/>
      </c>
      <c r="BI97" s="124" t="str">
        <f>IF($B97="","",IFERROR(SUMIF($AB$5:$AM$5,"&lt;="&amp;P_PeilMaand,AB97:AM97),"n.b."))</f>
        <v/>
      </c>
      <c r="BJ97" s="124" t="str">
        <f>IF($B97="","",IFERROR(SUM(AB97:AM97)-BI97,"n.b."))</f>
        <v/>
      </c>
      <c r="BK97" s="124" t="str">
        <f>IF($B97="","",IFERROR(IF(ABS(Q97-(T97+SUM(AB97:AM97)+AS97+AU97))&gt;P_Tol,1,0),1))</f>
        <v/>
      </c>
      <c r="BL97" s="124" t="str">
        <f>IF($B97="","",IFERROR(IF(ABS(AA97-(Q97-Z97))&gt;P_Tol,1,0),1))</f>
        <v/>
      </c>
      <c r="BM97" s="124" t="str">
        <f>IF($B97="","",IFERROR(IF(ABS(Z97-(T97+W97))&gt;P_Tol,1,0),1))</f>
        <v/>
      </c>
      <c r="BN97" s="124" t="str">
        <f>IF($B97="","",IFERROR(IF(ABS(W97-BI97)&gt;P_Tol,1,0),1))</f>
        <v/>
      </c>
      <c r="BO97" s="124" t="str">
        <f>IF($B97="","",IFERROR(IF(OR(ABS(R97+S97-T97)&gt;P_Tol,ABS(U97+V97-W97)&gt;P_Tol,ABS(X97+Y97-Z97)&gt;P_Tol),1,0),1))</f>
        <v/>
      </c>
      <c r="BP97" s="124" t="str">
        <f>IF($B97="","",IFERROR(IF(OR(ABS(AR97-SUM(AB97:AM97))&gt;P_Tol,ABS(AS97-(AN97+AO97+AP97+AQ97))&gt;P_Tol),1,0),1))</f>
        <v/>
      </c>
      <c r="BQ97" s="124" t="str">
        <f>IF($B97="","",IFERROR(IF(ABS(AT97)+ABS(AV97)+ABS(AW97)+ABS(AX97)+ABS(AY97)+ABS(AZ97)+ABS(BA97)+ABS(BB97)&gt;0,1,0),1))</f>
        <v/>
      </c>
      <c r="BR97" s="124" t="str">
        <f>IF($B97="","",COUNTIF(STG_ZPMW03!$B$6:$B$505,B97))</f>
        <v/>
      </c>
      <c r="BS97" s="124" t="str">
        <f>IF($B97="","",COUNTIF($B$6:$B$505,B97))</f>
        <v/>
      </c>
      <c r="BT97" s="124" t="str">
        <f>IF($B97="","",IF(BR97=0,0,IF(INDEX(STG_ZPMW03!$I$6:$I$505,MATCH(B97,STG_ZPMW03!$B$6:$B$505,0))=J97&amp;"",0,1)))</f>
        <v/>
      </c>
      <c r="BU97" s="124" t="str">
        <f>IF($B97="","",IFERROR(IF(ABS(INDEX(Mapping!$D$5:$D$104,MATCH(B97,Mapping!$A$5:$A$104,0))-Q97)&gt;P_Tol,1,0),0))</f>
        <v/>
      </c>
      <c r="BV97" s="124" t="str">
        <f>IF($B97="","",IFERROR(IF(AND(INDEX(Mapping!$G$5:$G$104,MATCH(B97,Mapping!$A$5:$A$104,0))="Nee",ABS(Q97)+ABS(Z97)+ABS(AR97)&gt;0),1,0),0))</f>
        <v/>
      </c>
      <c r="BW97" s="124" t="str">
        <f>IF($B97="","",IF(COUNTIF(Mapping!$A$5:$A$104,B97)&gt;0,1,0))</f>
        <v/>
      </c>
      <c r="BX97" s="124" t="str">
        <f>IF($B97="","",IF(BR97=0,COUNTIF($BR$6:BR97,0),""))</f>
        <v/>
      </c>
    </row>
    <row r="98">
      <c r="A98" s="15" t="n">
        <v>94</v>
      </c>
      <c r="B98" t="str">
        <f>IF(B$3=0,"",IF(INDEX(SRC_Woningetalage!$A$1:$ZZ$501,$A98,B$3)&amp;""="","",INDEX(SRC_Woningetalage!$A$1:$ZZ$501,$A98,B$3)&amp;""))</f>
        <v/>
      </c>
      <c r="C98" t="str">
        <f>IF($B98="","",IF(C$3=0,"n.b.",INDEX(SRC_Woningetalage!$A$1:$ZZ$501,$A98,C$3)))</f>
        <v/>
      </c>
      <c r="D98" t="str">
        <f>IF($B98="","",IF(D$3=0,"n.b.",INDEX(SRC_Woningetalage!$A$1:$ZZ$501,$A98,D$3)))</f>
        <v/>
      </c>
      <c r="E98" t="str">
        <f>IF($B98="","",IF(E$3=0,"n.b.",INDEX(SRC_Woningetalage!$A$1:$ZZ$501,$A98,E$3)))</f>
        <v/>
      </c>
      <c r="F98" t="str">
        <f>IF($B98="","",IF(F$3=0,"n.b.",INDEX(SRC_Woningetalage!$A$1:$ZZ$501,$A98,F$3)))</f>
        <v/>
      </c>
      <c r="G98" t="str">
        <f>IF($B98="","",IF(G$3=0,"n.b.",INDEX(SRC_Woningetalage!$A$1:$ZZ$501,$A98,G$3)))</f>
        <v/>
      </c>
      <c r="H98" t="str">
        <f>IF($B98="","",IF(H$3=0,"n.b.",INDEX(SRC_Woningetalage!$A$1:$ZZ$501,$A98,H$3)))</f>
        <v/>
      </c>
      <c r="I98" t="str">
        <f>IF($B98="","",IF(I$3=0,"n.b.",INDEX(SRC_Woningetalage!$A$1:$ZZ$501,$A98,I$3)))</f>
        <v/>
      </c>
      <c r="J98" t="str">
        <f>IF($B98="","",IF(J$3=0,"n.b.",INDEX(SRC_Woningetalage!$A$1:$ZZ$501,$A98,J$3)))</f>
        <v/>
      </c>
      <c r="K98" t="str">
        <f>IF($B98="","",IF(K$3=0,"n.b.",INDEX(SRC_Woningetalage!$A$1:$ZZ$501,$A98,K$3)))</f>
        <v/>
      </c>
      <c r="L98" t="str">
        <f>IF($B98="","",IF(L$3=0,"n.b.",INDEX(SRC_Woningetalage!$A$1:$ZZ$501,$A98,L$3)))</f>
        <v/>
      </c>
      <c r="M98" t="str">
        <f>IF($B98="","",IF(M$3=0,"n.b.",INDEX(SRC_Woningetalage!$A$1:$ZZ$501,$A98,M$3)))</f>
        <v/>
      </c>
      <c r="N98" t="str">
        <f>IF($B98="","",IF(N$3=0,"n.b.",INDEX(SRC_Woningetalage!$A$1:$ZZ$501,$A98,N$3)))</f>
        <v/>
      </c>
      <c r="O98" t="str">
        <f>IF($B98="","",IF(O$3=0,"n.b.",INDEX(SRC_Woningetalage!$A$1:$ZZ$501,$A98,O$3)))</f>
        <v/>
      </c>
      <c r="P98" t="str">
        <f>IF($B98="","",IF(P$3=0,"n.b.",INDEX(SRC_Woningetalage!$A$1:$ZZ$501,$A98,P$3)))</f>
        <v/>
      </c>
      <c r="Q98" s="124" t="str">
        <f>IF($B98="","",IF(Q$3=0,"n.b.",INDEX(SRC_Woningetalage!$A$1:$ZZ$501,$A98,Q$3)))</f>
        <v/>
      </c>
      <c r="R98" s="124" t="str">
        <f>IF($B98="","",IF(R$3=0,"n.b.",INDEX(SRC_Woningetalage!$A$1:$ZZ$501,$A98,R$3)))</f>
        <v/>
      </c>
      <c r="S98" s="124" t="str">
        <f>IF($B98="","",IF(S$3=0,"n.b.",INDEX(SRC_Woningetalage!$A$1:$ZZ$501,$A98,S$3)))</f>
        <v/>
      </c>
      <c r="T98" s="124" t="str">
        <f>IF($B98="","",IF(T$3=0,"n.b.",INDEX(SRC_Woningetalage!$A$1:$ZZ$501,$A98,T$3)))</f>
        <v/>
      </c>
      <c r="U98" s="124" t="str">
        <f>IF($B98="","",IF(U$3=0,"n.b.",INDEX(SRC_Woningetalage!$A$1:$ZZ$501,$A98,U$3)))</f>
        <v/>
      </c>
      <c r="V98" s="124" t="str">
        <f>IF($B98="","",IF(V$3=0,"n.b.",INDEX(SRC_Woningetalage!$A$1:$ZZ$501,$A98,V$3)))</f>
        <v/>
      </c>
      <c r="W98" s="124" t="str">
        <f>IF($B98="","",IF(W$3=0,"n.b.",INDEX(SRC_Woningetalage!$A$1:$ZZ$501,$A98,W$3)))</f>
        <v/>
      </c>
      <c r="X98" s="124" t="str">
        <f>IF($B98="","",IF(X$3=0,"n.b.",INDEX(SRC_Woningetalage!$A$1:$ZZ$501,$A98,X$3)))</f>
        <v/>
      </c>
      <c r="Y98" s="124" t="str">
        <f>IF($B98="","",IF(Y$3=0,"n.b.",INDEX(SRC_Woningetalage!$A$1:$ZZ$501,$A98,Y$3)))</f>
        <v/>
      </c>
      <c r="Z98" s="124" t="str">
        <f>IF($B98="","",IF(Z$3=0,"n.b.",INDEX(SRC_Woningetalage!$A$1:$ZZ$501,$A98,Z$3)))</f>
        <v/>
      </c>
      <c r="AA98" s="124" t="str">
        <f>IF($B98="","",IF(AA$3=0,"n.b.",INDEX(SRC_Woningetalage!$A$1:$ZZ$501,$A98,AA$3)))</f>
        <v/>
      </c>
      <c r="AB98" s="124" t="str">
        <f>IF($B98="","",IF(AB$3=0,"n.b.",INDEX(SRC_Woningetalage!$A$1:$ZZ$501,$A98,AB$3)))</f>
        <v/>
      </c>
      <c r="AC98" s="124" t="str">
        <f>IF($B98="","",IF(AC$3=0,"n.b.",INDEX(SRC_Woningetalage!$A$1:$ZZ$501,$A98,AC$3)))</f>
        <v/>
      </c>
      <c r="AD98" s="124" t="str">
        <f>IF($B98="","",IF(AD$3=0,"n.b.",INDEX(SRC_Woningetalage!$A$1:$ZZ$501,$A98,AD$3)))</f>
        <v/>
      </c>
      <c r="AE98" s="124" t="str">
        <f>IF($B98="","",IF(AE$3=0,"n.b.",INDEX(SRC_Woningetalage!$A$1:$ZZ$501,$A98,AE$3)))</f>
        <v/>
      </c>
      <c r="AF98" s="124" t="str">
        <f>IF($B98="","",IF(AF$3=0,"n.b.",INDEX(SRC_Woningetalage!$A$1:$ZZ$501,$A98,AF$3)))</f>
        <v/>
      </c>
      <c r="AG98" s="124" t="str">
        <f>IF($B98="","",IF(AG$3=0,"n.b.",INDEX(SRC_Woningetalage!$A$1:$ZZ$501,$A98,AG$3)))</f>
        <v/>
      </c>
      <c r="AH98" s="124" t="str">
        <f>IF($B98="","",IF(AH$3=0,"n.b.",INDEX(SRC_Woningetalage!$A$1:$ZZ$501,$A98,AH$3)))</f>
        <v/>
      </c>
      <c r="AI98" s="124" t="str">
        <f>IF($B98="","",IF(AI$3=0,"n.b.",INDEX(SRC_Woningetalage!$A$1:$ZZ$501,$A98,AI$3)))</f>
        <v/>
      </c>
      <c r="AJ98" s="124" t="str">
        <f>IF($B98="","",IF(AJ$3=0,"n.b.",INDEX(SRC_Woningetalage!$A$1:$ZZ$501,$A98,AJ$3)))</f>
        <v/>
      </c>
      <c r="AK98" s="124" t="str">
        <f>IF($B98="","",IF(AK$3=0,"n.b.",INDEX(SRC_Woningetalage!$A$1:$ZZ$501,$A98,AK$3)))</f>
        <v/>
      </c>
      <c r="AL98" s="124" t="str">
        <f>IF($B98="","",IF(AL$3=0,"n.b.",INDEX(SRC_Woningetalage!$A$1:$ZZ$501,$A98,AL$3)))</f>
        <v/>
      </c>
      <c r="AM98" s="124" t="str">
        <f>IF($B98="","",IF(AM$3=0,"n.b.",INDEX(SRC_Woningetalage!$A$1:$ZZ$501,$A98,AM$3)))</f>
        <v/>
      </c>
      <c r="AN98" s="124" t="str">
        <f>IF($B98="","",IF(AN$3=0,"n.b.",INDEX(SRC_Woningetalage!$A$1:$ZZ$501,$A98,AN$3)))</f>
        <v/>
      </c>
      <c r="AO98" s="124" t="str">
        <f>IF($B98="","",IF(AO$3=0,"n.b.",INDEX(SRC_Woningetalage!$A$1:$ZZ$501,$A98,AO$3)))</f>
        <v/>
      </c>
      <c r="AP98" s="124" t="str">
        <f>IF($B98="","",IF(AP$3=0,"n.b.",INDEX(SRC_Woningetalage!$A$1:$ZZ$501,$A98,AP$3)))</f>
        <v/>
      </c>
      <c r="AQ98" s="124" t="str">
        <f>IF($B98="","",IF(AQ$3=0,"n.b.",INDEX(SRC_Woningetalage!$A$1:$ZZ$501,$A98,AQ$3)))</f>
        <v/>
      </c>
      <c r="AR98" s="124" t="str">
        <f>IF($B98="","",IF(AR$3=0,"n.b.",INDEX(SRC_Woningetalage!$A$1:$ZZ$501,$A98,AR$3)))</f>
        <v/>
      </c>
      <c r="AS98" s="124" t="str">
        <f>IF($B98="","",IF(AS$3=0,"n.b.",INDEX(SRC_Woningetalage!$A$1:$ZZ$501,$A98,AS$3)))</f>
        <v/>
      </c>
      <c r="AT98" s="124" t="str">
        <f>IF($B98="","",IF(AT$3=0,"n.b.",INDEX(SRC_Woningetalage!$A$1:$ZZ$501,$A98,AT$3)))</f>
        <v/>
      </c>
      <c r="AU98" s="124" t="str">
        <f>IF($B98="","",IF(AU$3=0,"n.b.",INDEX(SRC_Woningetalage!$A$1:$ZZ$501,$A98,AU$3)))</f>
        <v/>
      </c>
      <c r="AV98" s="124" t="str">
        <f>IF($B98="","",IF(AV$3=0,"n.b.",INDEX(SRC_Woningetalage!$A$1:$ZZ$501,$A98,AV$3)))</f>
        <v/>
      </c>
      <c r="AW98" s="124" t="str">
        <f>IF($B98="","",IF(AW$3=0,"n.b.",INDEX(SRC_Woningetalage!$A$1:$ZZ$501,$A98,AW$3)))</f>
        <v/>
      </c>
      <c r="AX98" s="124" t="str">
        <f>IF($B98="","",IF(AX$3=0,"n.b.",INDEX(SRC_Woningetalage!$A$1:$ZZ$501,$A98,AX$3)))</f>
        <v/>
      </c>
      <c r="AY98" s="124" t="str">
        <f>IF($B98="","",IF(AY$3=0,"n.b.",INDEX(SRC_Woningetalage!$A$1:$ZZ$501,$A98,AY$3)))</f>
        <v/>
      </c>
      <c r="AZ98" s="124" t="str">
        <f>IF($B98="","",IF(AZ$3=0,"n.b.",INDEX(SRC_Woningetalage!$A$1:$ZZ$501,$A98,AZ$3)))</f>
        <v/>
      </c>
      <c r="BA98" s="124" t="str">
        <f>IF($B98="","",IF(BA$3=0,"n.b.",INDEX(SRC_Woningetalage!$A$1:$ZZ$501,$A98,BA$3)))</f>
        <v/>
      </c>
      <c r="BB98" s="124" t="str">
        <f>IF($B98="","",IF(BB$3=0,"n.b.",INDEX(SRC_Woningetalage!$A$1:$ZZ$501,$A98,BB$3)))</f>
        <v/>
      </c>
      <c r="BC98" s="124" t="str">
        <f>IF($B98="","",IFERROR(_xlfn.NUMBERVALUE(E98&amp;"",",","."),"n.b."))</f>
        <v/>
      </c>
      <c r="BD98" s="124" t="str">
        <f>IF($B98="","",IFERROR(_xlfn.NUMBERVALUE(M98&amp;"",",","."),"n.b."))</f>
        <v/>
      </c>
      <c r="BE98" s="124" t="str">
        <f>IF($B98="","",IFERROR(AB98+AC98+AD98,"n.b."))</f>
        <v/>
      </c>
      <c r="BF98" s="124" t="str">
        <f>IF($B98="","",IFERROR(AE98+AF98+AG98,"n.b."))</f>
        <v/>
      </c>
      <c r="BG98" s="124" t="str">
        <f>IF($B98="","",IFERROR(AH98+AI98+AJ98,"n.b."))</f>
        <v/>
      </c>
      <c r="BH98" s="124" t="str">
        <f>IF($B98="","",IFERROR(AK98+AL98+AM98,"n.b."))</f>
        <v/>
      </c>
      <c r="BI98" s="124" t="str">
        <f>IF($B98="","",IFERROR(SUMIF($AB$5:$AM$5,"&lt;="&amp;P_PeilMaand,AB98:AM98),"n.b."))</f>
        <v/>
      </c>
      <c r="BJ98" s="124" t="str">
        <f>IF($B98="","",IFERROR(SUM(AB98:AM98)-BI98,"n.b."))</f>
        <v/>
      </c>
      <c r="BK98" s="124" t="str">
        <f>IF($B98="","",IFERROR(IF(ABS(Q98-(T98+SUM(AB98:AM98)+AS98+AU98))&gt;P_Tol,1,0),1))</f>
        <v/>
      </c>
      <c r="BL98" s="124" t="str">
        <f>IF($B98="","",IFERROR(IF(ABS(AA98-(Q98-Z98))&gt;P_Tol,1,0),1))</f>
        <v/>
      </c>
      <c r="BM98" s="124" t="str">
        <f>IF($B98="","",IFERROR(IF(ABS(Z98-(T98+W98))&gt;P_Tol,1,0),1))</f>
        <v/>
      </c>
      <c r="BN98" s="124" t="str">
        <f>IF($B98="","",IFERROR(IF(ABS(W98-BI98)&gt;P_Tol,1,0),1))</f>
        <v/>
      </c>
      <c r="BO98" s="124" t="str">
        <f>IF($B98="","",IFERROR(IF(OR(ABS(R98+S98-T98)&gt;P_Tol,ABS(U98+V98-W98)&gt;P_Tol,ABS(X98+Y98-Z98)&gt;P_Tol),1,0),1))</f>
        <v/>
      </c>
      <c r="BP98" s="124" t="str">
        <f>IF($B98="","",IFERROR(IF(OR(ABS(AR98-SUM(AB98:AM98))&gt;P_Tol,ABS(AS98-(AN98+AO98+AP98+AQ98))&gt;P_Tol),1,0),1))</f>
        <v/>
      </c>
      <c r="BQ98" s="124" t="str">
        <f>IF($B98="","",IFERROR(IF(ABS(AT98)+ABS(AV98)+ABS(AW98)+ABS(AX98)+ABS(AY98)+ABS(AZ98)+ABS(BA98)+ABS(BB98)&gt;0,1,0),1))</f>
        <v/>
      </c>
      <c r="BR98" s="124" t="str">
        <f>IF($B98="","",COUNTIF(STG_ZPMW03!$B$6:$B$505,B98))</f>
        <v/>
      </c>
      <c r="BS98" s="124" t="str">
        <f>IF($B98="","",COUNTIF($B$6:$B$505,B98))</f>
        <v/>
      </c>
      <c r="BT98" s="124" t="str">
        <f>IF($B98="","",IF(BR98=0,0,IF(INDEX(STG_ZPMW03!$I$6:$I$505,MATCH(B98,STG_ZPMW03!$B$6:$B$505,0))=J98&amp;"",0,1)))</f>
        <v/>
      </c>
      <c r="BU98" s="124" t="str">
        <f>IF($B98="","",IFERROR(IF(ABS(INDEX(Mapping!$D$5:$D$104,MATCH(B98,Mapping!$A$5:$A$104,0))-Q98)&gt;P_Tol,1,0),0))</f>
        <v/>
      </c>
      <c r="BV98" s="124" t="str">
        <f>IF($B98="","",IFERROR(IF(AND(INDEX(Mapping!$G$5:$G$104,MATCH(B98,Mapping!$A$5:$A$104,0))="Nee",ABS(Q98)+ABS(Z98)+ABS(AR98)&gt;0),1,0),0))</f>
        <v/>
      </c>
      <c r="BW98" s="124" t="str">
        <f>IF($B98="","",IF(COUNTIF(Mapping!$A$5:$A$104,B98)&gt;0,1,0))</f>
        <v/>
      </c>
      <c r="BX98" s="124" t="str">
        <f>IF($B98="","",IF(BR98=0,COUNTIF($BR$6:BR98,0),""))</f>
        <v/>
      </c>
    </row>
    <row r="99">
      <c r="A99" s="15" t="n">
        <v>95</v>
      </c>
      <c r="B99" t="str">
        <f>IF(B$3=0,"",IF(INDEX(SRC_Woningetalage!$A$1:$ZZ$501,$A99,B$3)&amp;""="","",INDEX(SRC_Woningetalage!$A$1:$ZZ$501,$A99,B$3)&amp;""))</f>
        <v/>
      </c>
      <c r="C99" t="str">
        <f>IF($B99="","",IF(C$3=0,"n.b.",INDEX(SRC_Woningetalage!$A$1:$ZZ$501,$A99,C$3)))</f>
        <v/>
      </c>
      <c r="D99" t="str">
        <f>IF($B99="","",IF(D$3=0,"n.b.",INDEX(SRC_Woningetalage!$A$1:$ZZ$501,$A99,D$3)))</f>
        <v/>
      </c>
      <c r="E99" t="str">
        <f>IF($B99="","",IF(E$3=0,"n.b.",INDEX(SRC_Woningetalage!$A$1:$ZZ$501,$A99,E$3)))</f>
        <v/>
      </c>
      <c r="F99" t="str">
        <f>IF($B99="","",IF(F$3=0,"n.b.",INDEX(SRC_Woningetalage!$A$1:$ZZ$501,$A99,F$3)))</f>
        <v/>
      </c>
      <c r="G99" t="str">
        <f>IF($B99="","",IF(G$3=0,"n.b.",INDEX(SRC_Woningetalage!$A$1:$ZZ$501,$A99,G$3)))</f>
        <v/>
      </c>
      <c r="H99" t="str">
        <f>IF($B99="","",IF(H$3=0,"n.b.",INDEX(SRC_Woningetalage!$A$1:$ZZ$501,$A99,H$3)))</f>
        <v/>
      </c>
      <c r="I99" t="str">
        <f>IF($B99="","",IF(I$3=0,"n.b.",INDEX(SRC_Woningetalage!$A$1:$ZZ$501,$A99,I$3)))</f>
        <v/>
      </c>
      <c r="J99" t="str">
        <f>IF($B99="","",IF(J$3=0,"n.b.",INDEX(SRC_Woningetalage!$A$1:$ZZ$501,$A99,J$3)))</f>
        <v/>
      </c>
      <c r="K99" t="str">
        <f>IF($B99="","",IF(K$3=0,"n.b.",INDEX(SRC_Woningetalage!$A$1:$ZZ$501,$A99,K$3)))</f>
        <v/>
      </c>
      <c r="L99" t="str">
        <f>IF($B99="","",IF(L$3=0,"n.b.",INDEX(SRC_Woningetalage!$A$1:$ZZ$501,$A99,L$3)))</f>
        <v/>
      </c>
      <c r="M99" t="str">
        <f>IF($B99="","",IF(M$3=0,"n.b.",INDEX(SRC_Woningetalage!$A$1:$ZZ$501,$A99,M$3)))</f>
        <v/>
      </c>
      <c r="N99" t="str">
        <f>IF($B99="","",IF(N$3=0,"n.b.",INDEX(SRC_Woningetalage!$A$1:$ZZ$501,$A99,N$3)))</f>
        <v/>
      </c>
      <c r="O99" t="str">
        <f>IF($B99="","",IF(O$3=0,"n.b.",INDEX(SRC_Woningetalage!$A$1:$ZZ$501,$A99,O$3)))</f>
        <v/>
      </c>
      <c r="P99" t="str">
        <f>IF($B99="","",IF(P$3=0,"n.b.",INDEX(SRC_Woningetalage!$A$1:$ZZ$501,$A99,P$3)))</f>
        <v/>
      </c>
      <c r="Q99" s="124" t="str">
        <f>IF($B99="","",IF(Q$3=0,"n.b.",INDEX(SRC_Woningetalage!$A$1:$ZZ$501,$A99,Q$3)))</f>
        <v/>
      </c>
      <c r="R99" s="124" t="str">
        <f>IF($B99="","",IF(R$3=0,"n.b.",INDEX(SRC_Woningetalage!$A$1:$ZZ$501,$A99,R$3)))</f>
        <v/>
      </c>
      <c r="S99" s="124" t="str">
        <f>IF($B99="","",IF(S$3=0,"n.b.",INDEX(SRC_Woningetalage!$A$1:$ZZ$501,$A99,S$3)))</f>
        <v/>
      </c>
      <c r="T99" s="124" t="str">
        <f>IF($B99="","",IF(T$3=0,"n.b.",INDEX(SRC_Woningetalage!$A$1:$ZZ$501,$A99,T$3)))</f>
        <v/>
      </c>
      <c r="U99" s="124" t="str">
        <f>IF($B99="","",IF(U$3=0,"n.b.",INDEX(SRC_Woningetalage!$A$1:$ZZ$501,$A99,U$3)))</f>
        <v/>
      </c>
      <c r="V99" s="124" t="str">
        <f>IF($B99="","",IF(V$3=0,"n.b.",INDEX(SRC_Woningetalage!$A$1:$ZZ$501,$A99,V$3)))</f>
        <v/>
      </c>
      <c r="W99" s="124" t="str">
        <f>IF($B99="","",IF(W$3=0,"n.b.",INDEX(SRC_Woningetalage!$A$1:$ZZ$501,$A99,W$3)))</f>
        <v/>
      </c>
      <c r="X99" s="124" t="str">
        <f>IF($B99="","",IF(X$3=0,"n.b.",INDEX(SRC_Woningetalage!$A$1:$ZZ$501,$A99,X$3)))</f>
        <v/>
      </c>
      <c r="Y99" s="124" t="str">
        <f>IF($B99="","",IF(Y$3=0,"n.b.",INDEX(SRC_Woningetalage!$A$1:$ZZ$501,$A99,Y$3)))</f>
        <v/>
      </c>
      <c r="Z99" s="124" t="str">
        <f>IF($B99="","",IF(Z$3=0,"n.b.",INDEX(SRC_Woningetalage!$A$1:$ZZ$501,$A99,Z$3)))</f>
        <v/>
      </c>
      <c r="AA99" s="124" t="str">
        <f>IF($B99="","",IF(AA$3=0,"n.b.",INDEX(SRC_Woningetalage!$A$1:$ZZ$501,$A99,AA$3)))</f>
        <v/>
      </c>
      <c r="AB99" s="124" t="str">
        <f>IF($B99="","",IF(AB$3=0,"n.b.",INDEX(SRC_Woningetalage!$A$1:$ZZ$501,$A99,AB$3)))</f>
        <v/>
      </c>
      <c r="AC99" s="124" t="str">
        <f>IF($B99="","",IF(AC$3=0,"n.b.",INDEX(SRC_Woningetalage!$A$1:$ZZ$501,$A99,AC$3)))</f>
        <v/>
      </c>
      <c r="AD99" s="124" t="str">
        <f>IF($B99="","",IF(AD$3=0,"n.b.",INDEX(SRC_Woningetalage!$A$1:$ZZ$501,$A99,AD$3)))</f>
        <v/>
      </c>
      <c r="AE99" s="124" t="str">
        <f>IF($B99="","",IF(AE$3=0,"n.b.",INDEX(SRC_Woningetalage!$A$1:$ZZ$501,$A99,AE$3)))</f>
        <v/>
      </c>
      <c r="AF99" s="124" t="str">
        <f>IF($B99="","",IF(AF$3=0,"n.b.",INDEX(SRC_Woningetalage!$A$1:$ZZ$501,$A99,AF$3)))</f>
        <v/>
      </c>
      <c r="AG99" s="124" t="str">
        <f>IF($B99="","",IF(AG$3=0,"n.b.",INDEX(SRC_Woningetalage!$A$1:$ZZ$501,$A99,AG$3)))</f>
        <v/>
      </c>
      <c r="AH99" s="124" t="str">
        <f>IF($B99="","",IF(AH$3=0,"n.b.",INDEX(SRC_Woningetalage!$A$1:$ZZ$501,$A99,AH$3)))</f>
        <v/>
      </c>
      <c r="AI99" s="124" t="str">
        <f>IF($B99="","",IF(AI$3=0,"n.b.",INDEX(SRC_Woningetalage!$A$1:$ZZ$501,$A99,AI$3)))</f>
        <v/>
      </c>
      <c r="AJ99" s="124" t="str">
        <f>IF($B99="","",IF(AJ$3=0,"n.b.",INDEX(SRC_Woningetalage!$A$1:$ZZ$501,$A99,AJ$3)))</f>
        <v/>
      </c>
      <c r="AK99" s="124" t="str">
        <f>IF($B99="","",IF(AK$3=0,"n.b.",INDEX(SRC_Woningetalage!$A$1:$ZZ$501,$A99,AK$3)))</f>
        <v/>
      </c>
      <c r="AL99" s="124" t="str">
        <f>IF($B99="","",IF(AL$3=0,"n.b.",INDEX(SRC_Woningetalage!$A$1:$ZZ$501,$A99,AL$3)))</f>
        <v/>
      </c>
      <c r="AM99" s="124" t="str">
        <f>IF($B99="","",IF(AM$3=0,"n.b.",INDEX(SRC_Woningetalage!$A$1:$ZZ$501,$A99,AM$3)))</f>
        <v/>
      </c>
      <c r="AN99" s="124" t="str">
        <f>IF($B99="","",IF(AN$3=0,"n.b.",INDEX(SRC_Woningetalage!$A$1:$ZZ$501,$A99,AN$3)))</f>
        <v/>
      </c>
      <c r="AO99" s="124" t="str">
        <f>IF($B99="","",IF(AO$3=0,"n.b.",INDEX(SRC_Woningetalage!$A$1:$ZZ$501,$A99,AO$3)))</f>
        <v/>
      </c>
      <c r="AP99" s="124" t="str">
        <f>IF($B99="","",IF(AP$3=0,"n.b.",INDEX(SRC_Woningetalage!$A$1:$ZZ$501,$A99,AP$3)))</f>
        <v/>
      </c>
      <c r="AQ99" s="124" t="str">
        <f>IF($B99="","",IF(AQ$3=0,"n.b.",INDEX(SRC_Woningetalage!$A$1:$ZZ$501,$A99,AQ$3)))</f>
        <v/>
      </c>
      <c r="AR99" s="124" t="str">
        <f>IF($B99="","",IF(AR$3=0,"n.b.",INDEX(SRC_Woningetalage!$A$1:$ZZ$501,$A99,AR$3)))</f>
        <v/>
      </c>
      <c r="AS99" s="124" t="str">
        <f>IF($B99="","",IF(AS$3=0,"n.b.",INDEX(SRC_Woningetalage!$A$1:$ZZ$501,$A99,AS$3)))</f>
        <v/>
      </c>
      <c r="AT99" s="124" t="str">
        <f>IF($B99="","",IF(AT$3=0,"n.b.",INDEX(SRC_Woningetalage!$A$1:$ZZ$501,$A99,AT$3)))</f>
        <v/>
      </c>
      <c r="AU99" s="124" t="str">
        <f>IF($B99="","",IF(AU$3=0,"n.b.",INDEX(SRC_Woningetalage!$A$1:$ZZ$501,$A99,AU$3)))</f>
        <v/>
      </c>
      <c r="AV99" s="124" t="str">
        <f>IF($B99="","",IF(AV$3=0,"n.b.",INDEX(SRC_Woningetalage!$A$1:$ZZ$501,$A99,AV$3)))</f>
        <v/>
      </c>
      <c r="AW99" s="124" t="str">
        <f>IF($B99="","",IF(AW$3=0,"n.b.",INDEX(SRC_Woningetalage!$A$1:$ZZ$501,$A99,AW$3)))</f>
        <v/>
      </c>
      <c r="AX99" s="124" t="str">
        <f>IF($B99="","",IF(AX$3=0,"n.b.",INDEX(SRC_Woningetalage!$A$1:$ZZ$501,$A99,AX$3)))</f>
        <v/>
      </c>
      <c r="AY99" s="124" t="str">
        <f>IF($B99="","",IF(AY$3=0,"n.b.",INDEX(SRC_Woningetalage!$A$1:$ZZ$501,$A99,AY$3)))</f>
        <v/>
      </c>
      <c r="AZ99" s="124" t="str">
        <f>IF($B99="","",IF(AZ$3=0,"n.b.",INDEX(SRC_Woningetalage!$A$1:$ZZ$501,$A99,AZ$3)))</f>
        <v/>
      </c>
      <c r="BA99" s="124" t="str">
        <f>IF($B99="","",IF(BA$3=0,"n.b.",INDEX(SRC_Woningetalage!$A$1:$ZZ$501,$A99,BA$3)))</f>
        <v/>
      </c>
      <c r="BB99" s="124" t="str">
        <f>IF($B99="","",IF(BB$3=0,"n.b.",INDEX(SRC_Woningetalage!$A$1:$ZZ$501,$A99,BB$3)))</f>
        <v/>
      </c>
      <c r="BC99" s="124" t="str">
        <f>IF($B99="","",IFERROR(_xlfn.NUMBERVALUE(E99&amp;"",",","."),"n.b."))</f>
        <v/>
      </c>
      <c r="BD99" s="124" t="str">
        <f>IF($B99="","",IFERROR(_xlfn.NUMBERVALUE(M99&amp;"",",","."),"n.b."))</f>
        <v/>
      </c>
      <c r="BE99" s="124" t="str">
        <f>IF($B99="","",IFERROR(AB99+AC99+AD99,"n.b."))</f>
        <v/>
      </c>
      <c r="BF99" s="124" t="str">
        <f>IF($B99="","",IFERROR(AE99+AF99+AG99,"n.b."))</f>
        <v/>
      </c>
      <c r="BG99" s="124" t="str">
        <f>IF($B99="","",IFERROR(AH99+AI99+AJ99,"n.b."))</f>
        <v/>
      </c>
      <c r="BH99" s="124" t="str">
        <f>IF($B99="","",IFERROR(AK99+AL99+AM99,"n.b."))</f>
        <v/>
      </c>
      <c r="BI99" s="124" t="str">
        <f>IF($B99="","",IFERROR(SUMIF($AB$5:$AM$5,"&lt;="&amp;P_PeilMaand,AB99:AM99),"n.b."))</f>
        <v/>
      </c>
      <c r="BJ99" s="124" t="str">
        <f>IF($B99="","",IFERROR(SUM(AB99:AM99)-BI99,"n.b."))</f>
        <v/>
      </c>
      <c r="BK99" s="124" t="str">
        <f>IF($B99="","",IFERROR(IF(ABS(Q99-(T99+SUM(AB99:AM99)+AS99+AU99))&gt;P_Tol,1,0),1))</f>
        <v/>
      </c>
      <c r="BL99" s="124" t="str">
        <f>IF($B99="","",IFERROR(IF(ABS(AA99-(Q99-Z99))&gt;P_Tol,1,0),1))</f>
        <v/>
      </c>
      <c r="BM99" s="124" t="str">
        <f>IF($B99="","",IFERROR(IF(ABS(Z99-(T99+W99))&gt;P_Tol,1,0),1))</f>
        <v/>
      </c>
      <c r="BN99" s="124" t="str">
        <f>IF($B99="","",IFERROR(IF(ABS(W99-BI99)&gt;P_Tol,1,0),1))</f>
        <v/>
      </c>
      <c r="BO99" s="124" t="str">
        <f>IF($B99="","",IFERROR(IF(OR(ABS(R99+S99-T99)&gt;P_Tol,ABS(U99+V99-W99)&gt;P_Tol,ABS(X99+Y99-Z99)&gt;P_Tol),1,0),1))</f>
        <v/>
      </c>
      <c r="BP99" s="124" t="str">
        <f>IF($B99="","",IFERROR(IF(OR(ABS(AR99-SUM(AB99:AM99))&gt;P_Tol,ABS(AS99-(AN99+AO99+AP99+AQ99))&gt;P_Tol),1,0),1))</f>
        <v/>
      </c>
      <c r="BQ99" s="124" t="str">
        <f>IF($B99="","",IFERROR(IF(ABS(AT99)+ABS(AV99)+ABS(AW99)+ABS(AX99)+ABS(AY99)+ABS(AZ99)+ABS(BA99)+ABS(BB99)&gt;0,1,0),1))</f>
        <v/>
      </c>
      <c r="BR99" s="124" t="str">
        <f>IF($B99="","",COUNTIF(STG_ZPMW03!$B$6:$B$505,B99))</f>
        <v/>
      </c>
      <c r="BS99" s="124" t="str">
        <f>IF($B99="","",COUNTIF($B$6:$B$505,B99))</f>
        <v/>
      </c>
      <c r="BT99" s="124" t="str">
        <f>IF($B99="","",IF(BR99=0,0,IF(INDEX(STG_ZPMW03!$I$6:$I$505,MATCH(B99,STG_ZPMW03!$B$6:$B$505,0))=J99&amp;"",0,1)))</f>
        <v/>
      </c>
      <c r="BU99" s="124" t="str">
        <f>IF($B99="","",IFERROR(IF(ABS(INDEX(Mapping!$D$5:$D$104,MATCH(B99,Mapping!$A$5:$A$104,0))-Q99)&gt;P_Tol,1,0),0))</f>
        <v/>
      </c>
      <c r="BV99" s="124" t="str">
        <f>IF($B99="","",IFERROR(IF(AND(INDEX(Mapping!$G$5:$G$104,MATCH(B99,Mapping!$A$5:$A$104,0))="Nee",ABS(Q99)+ABS(Z99)+ABS(AR99)&gt;0),1,0),0))</f>
        <v/>
      </c>
      <c r="BW99" s="124" t="str">
        <f>IF($B99="","",IF(COUNTIF(Mapping!$A$5:$A$104,B99)&gt;0,1,0))</f>
        <v/>
      </c>
      <c r="BX99" s="124" t="str">
        <f>IF($B99="","",IF(BR99=0,COUNTIF($BR$6:BR99,0),""))</f>
        <v/>
      </c>
    </row>
    <row r="100">
      <c r="A100" s="15" t="n">
        <v>96</v>
      </c>
      <c r="B100" t="str">
        <f>IF(B$3=0,"",IF(INDEX(SRC_Woningetalage!$A$1:$ZZ$501,$A100,B$3)&amp;""="","",INDEX(SRC_Woningetalage!$A$1:$ZZ$501,$A100,B$3)&amp;""))</f>
        <v/>
      </c>
      <c r="C100" t="str">
        <f>IF($B100="","",IF(C$3=0,"n.b.",INDEX(SRC_Woningetalage!$A$1:$ZZ$501,$A100,C$3)))</f>
        <v/>
      </c>
      <c r="D100" t="str">
        <f>IF($B100="","",IF(D$3=0,"n.b.",INDEX(SRC_Woningetalage!$A$1:$ZZ$501,$A100,D$3)))</f>
        <v/>
      </c>
      <c r="E100" t="str">
        <f>IF($B100="","",IF(E$3=0,"n.b.",INDEX(SRC_Woningetalage!$A$1:$ZZ$501,$A100,E$3)))</f>
        <v/>
      </c>
      <c r="F100" t="str">
        <f>IF($B100="","",IF(F$3=0,"n.b.",INDEX(SRC_Woningetalage!$A$1:$ZZ$501,$A100,F$3)))</f>
        <v/>
      </c>
      <c r="G100" t="str">
        <f>IF($B100="","",IF(G$3=0,"n.b.",INDEX(SRC_Woningetalage!$A$1:$ZZ$501,$A100,G$3)))</f>
        <v/>
      </c>
      <c r="H100" t="str">
        <f>IF($B100="","",IF(H$3=0,"n.b.",INDEX(SRC_Woningetalage!$A$1:$ZZ$501,$A100,H$3)))</f>
        <v/>
      </c>
      <c r="I100" t="str">
        <f>IF($B100="","",IF(I$3=0,"n.b.",INDEX(SRC_Woningetalage!$A$1:$ZZ$501,$A100,I$3)))</f>
        <v/>
      </c>
      <c r="J100" t="str">
        <f>IF($B100="","",IF(J$3=0,"n.b.",INDEX(SRC_Woningetalage!$A$1:$ZZ$501,$A100,J$3)))</f>
        <v/>
      </c>
      <c r="K100" t="str">
        <f>IF($B100="","",IF(K$3=0,"n.b.",INDEX(SRC_Woningetalage!$A$1:$ZZ$501,$A100,K$3)))</f>
        <v/>
      </c>
      <c r="L100" t="str">
        <f>IF($B100="","",IF(L$3=0,"n.b.",INDEX(SRC_Woningetalage!$A$1:$ZZ$501,$A100,L$3)))</f>
        <v/>
      </c>
      <c r="M100" t="str">
        <f>IF($B100="","",IF(M$3=0,"n.b.",INDEX(SRC_Woningetalage!$A$1:$ZZ$501,$A100,M$3)))</f>
        <v/>
      </c>
      <c r="N100" t="str">
        <f>IF($B100="","",IF(N$3=0,"n.b.",INDEX(SRC_Woningetalage!$A$1:$ZZ$501,$A100,N$3)))</f>
        <v/>
      </c>
      <c r="O100" t="str">
        <f>IF($B100="","",IF(O$3=0,"n.b.",INDEX(SRC_Woningetalage!$A$1:$ZZ$501,$A100,O$3)))</f>
        <v/>
      </c>
      <c r="P100" t="str">
        <f>IF($B100="","",IF(P$3=0,"n.b.",INDEX(SRC_Woningetalage!$A$1:$ZZ$501,$A100,P$3)))</f>
        <v/>
      </c>
      <c r="Q100" s="124" t="str">
        <f>IF($B100="","",IF(Q$3=0,"n.b.",INDEX(SRC_Woningetalage!$A$1:$ZZ$501,$A100,Q$3)))</f>
        <v/>
      </c>
      <c r="R100" s="124" t="str">
        <f>IF($B100="","",IF(R$3=0,"n.b.",INDEX(SRC_Woningetalage!$A$1:$ZZ$501,$A100,R$3)))</f>
        <v/>
      </c>
      <c r="S100" s="124" t="str">
        <f>IF($B100="","",IF(S$3=0,"n.b.",INDEX(SRC_Woningetalage!$A$1:$ZZ$501,$A100,S$3)))</f>
        <v/>
      </c>
      <c r="T100" s="124" t="str">
        <f>IF($B100="","",IF(T$3=0,"n.b.",INDEX(SRC_Woningetalage!$A$1:$ZZ$501,$A100,T$3)))</f>
        <v/>
      </c>
      <c r="U100" s="124" t="str">
        <f>IF($B100="","",IF(U$3=0,"n.b.",INDEX(SRC_Woningetalage!$A$1:$ZZ$501,$A100,U$3)))</f>
        <v/>
      </c>
      <c r="V100" s="124" t="str">
        <f>IF($B100="","",IF(V$3=0,"n.b.",INDEX(SRC_Woningetalage!$A$1:$ZZ$501,$A100,V$3)))</f>
        <v/>
      </c>
      <c r="W100" s="124" t="str">
        <f>IF($B100="","",IF(W$3=0,"n.b.",INDEX(SRC_Woningetalage!$A$1:$ZZ$501,$A100,W$3)))</f>
        <v/>
      </c>
      <c r="X100" s="124" t="str">
        <f>IF($B100="","",IF(X$3=0,"n.b.",INDEX(SRC_Woningetalage!$A$1:$ZZ$501,$A100,X$3)))</f>
        <v/>
      </c>
      <c r="Y100" s="124" t="str">
        <f>IF($B100="","",IF(Y$3=0,"n.b.",INDEX(SRC_Woningetalage!$A$1:$ZZ$501,$A100,Y$3)))</f>
        <v/>
      </c>
      <c r="Z100" s="124" t="str">
        <f>IF($B100="","",IF(Z$3=0,"n.b.",INDEX(SRC_Woningetalage!$A$1:$ZZ$501,$A100,Z$3)))</f>
        <v/>
      </c>
      <c r="AA100" s="124" t="str">
        <f>IF($B100="","",IF(AA$3=0,"n.b.",INDEX(SRC_Woningetalage!$A$1:$ZZ$501,$A100,AA$3)))</f>
        <v/>
      </c>
      <c r="AB100" s="124" t="str">
        <f>IF($B100="","",IF(AB$3=0,"n.b.",INDEX(SRC_Woningetalage!$A$1:$ZZ$501,$A100,AB$3)))</f>
        <v/>
      </c>
      <c r="AC100" s="124" t="str">
        <f>IF($B100="","",IF(AC$3=0,"n.b.",INDEX(SRC_Woningetalage!$A$1:$ZZ$501,$A100,AC$3)))</f>
        <v/>
      </c>
      <c r="AD100" s="124" t="str">
        <f>IF($B100="","",IF(AD$3=0,"n.b.",INDEX(SRC_Woningetalage!$A$1:$ZZ$501,$A100,AD$3)))</f>
        <v/>
      </c>
      <c r="AE100" s="124" t="str">
        <f>IF($B100="","",IF(AE$3=0,"n.b.",INDEX(SRC_Woningetalage!$A$1:$ZZ$501,$A100,AE$3)))</f>
        <v/>
      </c>
      <c r="AF100" s="124" t="str">
        <f>IF($B100="","",IF(AF$3=0,"n.b.",INDEX(SRC_Woningetalage!$A$1:$ZZ$501,$A100,AF$3)))</f>
        <v/>
      </c>
      <c r="AG100" s="124" t="str">
        <f>IF($B100="","",IF(AG$3=0,"n.b.",INDEX(SRC_Woningetalage!$A$1:$ZZ$501,$A100,AG$3)))</f>
        <v/>
      </c>
      <c r="AH100" s="124" t="str">
        <f>IF($B100="","",IF(AH$3=0,"n.b.",INDEX(SRC_Woningetalage!$A$1:$ZZ$501,$A100,AH$3)))</f>
        <v/>
      </c>
      <c r="AI100" s="124" t="str">
        <f>IF($B100="","",IF(AI$3=0,"n.b.",INDEX(SRC_Woningetalage!$A$1:$ZZ$501,$A100,AI$3)))</f>
        <v/>
      </c>
      <c r="AJ100" s="124" t="str">
        <f>IF($B100="","",IF(AJ$3=0,"n.b.",INDEX(SRC_Woningetalage!$A$1:$ZZ$501,$A100,AJ$3)))</f>
        <v/>
      </c>
      <c r="AK100" s="124" t="str">
        <f>IF($B100="","",IF(AK$3=0,"n.b.",INDEX(SRC_Woningetalage!$A$1:$ZZ$501,$A100,AK$3)))</f>
        <v/>
      </c>
      <c r="AL100" s="124" t="str">
        <f>IF($B100="","",IF(AL$3=0,"n.b.",INDEX(SRC_Woningetalage!$A$1:$ZZ$501,$A100,AL$3)))</f>
        <v/>
      </c>
      <c r="AM100" s="124" t="str">
        <f>IF($B100="","",IF(AM$3=0,"n.b.",INDEX(SRC_Woningetalage!$A$1:$ZZ$501,$A100,AM$3)))</f>
        <v/>
      </c>
      <c r="AN100" s="124" t="str">
        <f>IF($B100="","",IF(AN$3=0,"n.b.",INDEX(SRC_Woningetalage!$A$1:$ZZ$501,$A100,AN$3)))</f>
        <v/>
      </c>
      <c r="AO100" s="124" t="str">
        <f>IF($B100="","",IF(AO$3=0,"n.b.",INDEX(SRC_Woningetalage!$A$1:$ZZ$501,$A100,AO$3)))</f>
        <v/>
      </c>
      <c r="AP100" s="124" t="str">
        <f>IF($B100="","",IF(AP$3=0,"n.b.",INDEX(SRC_Woningetalage!$A$1:$ZZ$501,$A100,AP$3)))</f>
        <v/>
      </c>
      <c r="AQ100" s="124" t="str">
        <f>IF($B100="","",IF(AQ$3=0,"n.b.",INDEX(SRC_Woningetalage!$A$1:$ZZ$501,$A100,AQ$3)))</f>
        <v/>
      </c>
      <c r="AR100" s="124" t="str">
        <f>IF($B100="","",IF(AR$3=0,"n.b.",INDEX(SRC_Woningetalage!$A$1:$ZZ$501,$A100,AR$3)))</f>
        <v/>
      </c>
      <c r="AS100" s="124" t="str">
        <f>IF($B100="","",IF(AS$3=0,"n.b.",INDEX(SRC_Woningetalage!$A$1:$ZZ$501,$A100,AS$3)))</f>
        <v/>
      </c>
      <c r="AT100" s="124" t="str">
        <f>IF($B100="","",IF(AT$3=0,"n.b.",INDEX(SRC_Woningetalage!$A$1:$ZZ$501,$A100,AT$3)))</f>
        <v/>
      </c>
      <c r="AU100" s="124" t="str">
        <f>IF($B100="","",IF(AU$3=0,"n.b.",INDEX(SRC_Woningetalage!$A$1:$ZZ$501,$A100,AU$3)))</f>
        <v/>
      </c>
      <c r="AV100" s="124" t="str">
        <f>IF($B100="","",IF(AV$3=0,"n.b.",INDEX(SRC_Woningetalage!$A$1:$ZZ$501,$A100,AV$3)))</f>
        <v/>
      </c>
      <c r="AW100" s="124" t="str">
        <f>IF($B100="","",IF(AW$3=0,"n.b.",INDEX(SRC_Woningetalage!$A$1:$ZZ$501,$A100,AW$3)))</f>
        <v/>
      </c>
      <c r="AX100" s="124" t="str">
        <f>IF($B100="","",IF(AX$3=0,"n.b.",INDEX(SRC_Woningetalage!$A$1:$ZZ$501,$A100,AX$3)))</f>
        <v/>
      </c>
      <c r="AY100" s="124" t="str">
        <f>IF($B100="","",IF(AY$3=0,"n.b.",INDEX(SRC_Woningetalage!$A$1:$ZZ$501,$A100,AY$3)))</f>
        <v/>
      </c>
      <c r="AZ100" s="124" t="str">
        <f>IF($B100="","",IF(AZ$3=0,"n.b.",INDEX(SRC_Woningetalage!$A$1:$ZZ$501,$A100,AZ$3)))</f>
        <v/>
      </c>
      <c r="BA100" s="124" t="str">
        <f>IF($B100="","",IF(BA$3=0,"n.b.",INDEX(SRC_Woningetalage!$A$1:$ZZ$501,$A100,BA$3)))</f>
        <v/>
      </c>
      <c r="BB100" s="124" t="str">
        <f>IF($B100="","",IF(BB$3=0,"n.b.",INDEX(SRC_Woningetalage!$A$1:$ZZ$501,$A100,BB$3)))</f>
        <v/>
      </c>
      <c r="BC100" s="124" t="str">
        <f>IF($B100="","",IFERROR(_xlfn.NUMBERVALUE(E100&amp;"",",","."),"n.b."))</f>
        <v/>
      </c>
      <c r="BD100" s="124" t="str">
        <f>IF($B100="","",IFERROR(_xlfn.NUMBERVALUE(M100&amp;"",",","."),"n.b."))</f>
        <v/>
      </c>
      <c r="BE100" s="124" t="str">
        <f>IF($B100="","",IFERROR(AB100+AC100+AD100,"n.b."))</f>
        <v/>
      </c>
      <c r="BF100" s="124" t="str">
        <f>IF($B100="","",IFERROR(AE100+AF100+AG100,"n.b."))</f>
        <v/>
      </c>
      <c r="BG100" s="124" t="str">
        <f>IF($B100="","",IFERROR(AH100+AI100+AJ100,"n.b."))</f>
        <v/>
      </c>
      <c r="BH100" s="124" t="str">
        <f>IF($B100="","",IFERROR(AK100+AL100+AM100,"n.b."))</f>
        <v/>
      </c>
      <c r="BI100" s="124" t="str">
        <f>IF($B100="","",IFERROR(SUMIF($AB$5:$AM$5,"&lt;="&amp;P_PeilMaand,AB100:AM100),"n.b."))</f>
        <v/>
      </c>
      <c r="BJ100" s="124" t="str">
        <f>IF($B100="","",IFERROR(SUM(AB100:AM100)-BI100,"n.b."))</f>
        <v/>
      </c>
      <c r="BK100" s="124" t="str">
        <f>IF($B100="","",IFERROR(IF(ABS(Q100-(T100+SUM(AB100:AM100)+AS100+AU100))&gt;P_Tol,1,0),1))</f>
        <v/>
      </c>
      <c r="BL100" s="124" t="str">
        <f>IF($B100="","",IFERROR(IF(ABS(AA100-(Q100-Z100))&gt;P_Tol,1,0),1))</f>
        <v/>
      </c>
      <c r="BM100" s="124" t="str">
        <f>IF($B100="","",IFERROR(IF(ABS(Z100-(T100+W100))&gt;P_Tol,1,0),1))</f>
        <v/>
      </c>
      <c r="BN100" s="124" t="str">
        <f>IF($B100="","",IFERROR(IF(ABS(W100-BI100)&gt;P_Tol,1,0),1))</f>
        <v/>
      </c>
      <c r="BO100" s="124" t="str">
        <f>IF($B100="","",IFERROR(IF(OR(ABS(R100+S100-T100)&gt;P_Tol,ABS(U100+V100-W100)&gt;P_Tol,ABS(X100+Y100-Z100)&gt;P_Tol),1,0),1))</f>
        <v/>
      </c>
      <c r="BP100" s="124" t="str">
        <f>IF($B100="","",IFERROR(IF(OR(ABS(AR100-SUM(AB100:AM100))&gt;P_Tol,ABS(AS100-(AN100+AO100+AP100+AQ100))&gt;P_Tol),1,0),1))</f>
        <v/>
      </c>
      <c r="BQ100" s="124" t="str">
        <f>IF($B100="","",IFERROR(IF(ABS(AT100)+ABS(AV100)+ABS(AW100)+ABS(AX100)+ABS(AY100)+ABS(AZ100)+ABS(BA100)+ABS(BB100)&gt;0,1,0),1))</f>
        <v/>
      </c>
      <c r="BR100" s="124" t="str">
        <f>IF($B100="","",COUNTIF(STG_ZPMW03!$B$6:$B$505,B100))</f>
        <v/>
      </c>
      <c r="BS100" s="124" t="str">
        <f>IF($B100="","",COUNTIF($B$6:$B$505,B100))</f>
        <v/>
      </c>
      <c r="BT100" s="124" t="str">
        <f>IF($B100="","",IF(BR100=0,0,IF(INDEX(STG_ZPMW03!$I$6:$I$505,MATCH(B100,STG_ZPMW03!$B$6:$B$505,0))=J100&amp;"",0,1)))</f>
        <v/>
      </c>
      <c r="BU100" s="124" t="str">
        <f>IF($B100="","",IFERROR(IF(ABS(INDEX(Mapping!$D$5:$D$104,MATCH(B100,Mapping!$A$5:$A$104,0))-Q100)&gt;P_Tol,1,0),0))</f>
        <v/>
      </c>
      <c r="BV100" s="124" t="str">
        <f>IF($B100="","",IFERROR(IF(AND(INDEX(Mapping!$G$5:$G$104,MATCH(B100,Mapping!$A$5:$A$104,0))="Nee",ABS(Q100)+ABS(Z100)+ABS(AR100)&gt;0),1,0),0))</f>
        <v/>
      </c>
      <c r="BW100" s="124" t="str">
        <f>IF($B100="","",IF(COUNTIF(Mapping!$A$5:$A$104,B100)&gt;0,1,0))</f>
        <v/>
      </c>
      <c r="BX100" s="124" t="str">
        <f>IF($B100="","",IF(BR100=0,COUNTIF($BR$6:BR100,0),""))</f>
        <v/>
      </c>
    </row>
    <row r="101">
      <c r="A101" s="15" t="n">
        <v>97</v>
      </c>
      <c r="B101" t="str">
        <f>IF(B$3=0,"",IF(INDEX(SRC_Woningetalage!$A$1:$ZZ$501,$A101,B$3)&amp;""="","",INDEX(SRC_Woningetalage!$A$1:$ZZ$501,$A101,B$3)&amp;""))</f>
        <v/>
      </c>
      <c r="C101" t="str">
        <f>IF($B101="","",IF(C$3=0,"n.b.",INDEX(SRC_Woningetalage!$A$1:$ZZ$501,$A101,C$3)))</f>
        <v/>
      </c>
      <c r="D101" t="str">
        <f>IF($B101="","",IF(D$3=0,"n.b.",INDEX(SRC_Woningetalage!$A$1:$ZZ$501,$A101,D$3)))</f>
        <v/>
      </c>
      <c r="E101" t="str">
        <f>IF($B101="","",IF(E$3=0,"n.b.",INDEX(SRC_Woningetalage!$A$1:$ZZ$501,$A101,E$3)))</f>
        <v/>
      </c>
      <c r="F101" t="str">
        <f>IF($B101="","",IF(F$3=0,"n.b.",INDEX(SRC_Woningetalage!$A$1:$ZZ$501,$A101,F$3)))</f>
        <v/>
      </c>
      <c r="G101" t="str">
        <f>IF($B101="","",IF(G$3=0,"n.b.",INDEX(SRC_Woningetalage!$A$1:$ZZ$501,$A101,G$3)))</f>
        <v/>
      </c>
      <c r="H101" t="str">
        <f>IF($B101="","",IF(H$3=0,"n.b.",INDEX(SRC_Woningetalage!$A$1:$ZZ$501,$A101,H$3)))</f>
        <v/>
      </c>
      <c r="I101" t="str">
        <f>IF($B101="","",IF(I$3=0,"n.b.",INDEX(SRC_Woningetalage!$A$1:$ZZ$501,$A101,I$3)))</f>
        <v/>
      </c>
      <c r="J101" t="str">
        <f>IF($B101="","",IF(J$3=0,"n.b.",INDEX(SRC_Woningetalage!$A$1:$ZZ$501,$A101,J$3)))</f>
        <v/>
      </c>
      <c r="K101" t="str">
        <f>IF($B101="","",IF(K$3=0,"n.b.",INDEX(SRC_Woningetalage!$A$1:$ZZ$501,$A101,K$3)))</f>
        <v/>
      </c>
      <c r="L101" t="str">
        <f>IF($B101="","",IF(L$3=0,"n.b.",INDEX(SRC_Woningetalage!$A$1:$ZZ$501,$A101,L$3)))</f>
        <v/>
      </c>
      <c r="M101" t="str">
        <f>IF($B101="","",IF(M$3=0,"n.b.",INDEX(SRC_Woningetalage!$A$1:$ZZ$501,$A101,M$3)))</f>
        <v/>
      </c>
      <c r="N101" t="str">
        <f>IF($B101="","",IF(N$3=0,"n.b.",INDEX(SRC_Woningetalage!$A$1:$ZZ$501,$A101,N$3)))</f>
        <v/>
      </c>
      <c r="O101" t="str">
        <f>IF($B101="","",IF(O$3=0,"n.b.",INDEX(SRC_Woningetalage!$A$1:$ZZ$501,$A101,O$3)))</f>
        <v/>
      </c>
      <c r="P101" t="str">
        <f>IF($B101="","",IF(P$3=0,"n.b.",INDEX(SRC_Woningetalage!$A$1:$ZZ$501,$A101,P$3)))</f>
        <v/>
      </c>
      <c r="Q101" s="124" t="str">
        <f>IF($B101="","",IF(Q$3=0,"n.b.",INDEX(SRC_Woningetalage!$A$1:$ZZ$501,$A101,Q$3)))</f>
        <v/>
      </c>
      <c r="R101" s="124" t="str">
        <f>IF($B101="","",IF(R$3=0,"n.b.",INDEX(SRC_Woningetalage!$A$1:$ZZ$501,$A101,R$3)))</f>
        <v/>
      </c>
      <c r="S101" s="124" t="str">
        <f>IF($B101="","",IF(S$3=0,"n.b.",INDEX(SRC_Woningetalage!$A$1:$ZZ$501,$A101,S$3)))</f>
        <v/>
      </c>
      <c r="T101" s="124" t="str">
        <f>IF($B101="","",IF(T$3=0,"n.b.",INDEX(SRC_Woningetalage!$A$1:$ZZ$501,$A101,T$3)))</f>
        <v/>
      </c>
      <c r="U101" s="124" t="str">
        <f>IF($B101="","",IF(U$3=0,"n.b.",INDEX(SRC_Woningetalage!$A$1:$ZZ$501,$A101,U$3)))</f>
        <v/>
      </c>
      <c r="V101" s="124" t="str">
        <f>IF($B101="","",IF(V$3=0,"n.b.",INDEX(SRC_Woningetalage!$A$1:$ZZ$501,$A101,V$3)))</f>
        <v/>
      </c>
      <c r="W101" s="124" t="str">
        <f>IF($B101="","",IF(W$3=0,"n.b.",INDEX(SRC_Woningetalage!$A$1:$ZZ$501,$A101,W$3)))</f>
        <v/>
      </c>
      <c r="X101" s="124" t="str">
        <f>IF($B101="","",IF(X$3=0,"n.b.",INDEX(SRC_Woningetalage!$A$1:$ZZ$501,$A101,X$3)))</f>
        <v/>
      </c>
      <c r="Y101" s="124" t="str">
        <f>IF($B101="","",IF(Y$3=0,"n.b.",INDEX(SRC_Woningetalage!$A$1:$ZZ$501,$A101,Y$3)))</f>
        <v/>
      </c>
      <c r="Z101" s="124" t="str">
        <f>IF($B101="","",IF(Z$3=0,"n.b.",INDEX(SRC_Woningetalage!$A$1:$ZZ$501,$A101,Z$3)))</f>
        <v/>
      </c>
      <c r="AA101" s="124" t="str">
        <f>IF($B101="","",IF(AA$3=0,"n.b.",INDEX(SRC_Woningetalage!$A$1:$ZZ$501,$A101,AA$3)))</f>
        <v/>
      </c>
      <c r="AB101" s="124" t="str">
        <f>IF($B101="","",IF(AB$3=0,"n.b.",INDEX(SRC_Woningetalage!$A$1:$ZZ$501,$A101,AB$3)))</f>
        <v/>
      </c>
      <c r="AC101" s="124" t="str">
        <f>IF($B101="","",IF(AC$3=0,"n.b.",INDEX(SRC_Woningetalage!$A$1:$ZZ$501,$A101,AC$3)))</f>
        <v/>
      </c>
      <c r="AD101" s="124" t="str">
        <f>IF($B101="","",IF(AD$3=0,"n.b.",INDEX(SRC_Woningetalage!$A$1:$ZZ$501,$A101,AD$3)))</f>
        <v/>
      </c>
      <c r="AE101" s="124" t="str">
        <f>IF($B101="","",IF(AE$3=0,"n.b.",INDEX(SRC_Woningetalage!$A$1:$ZZ$501,$A101,AE$3)))</f>
        <v/>
      </c>
      <c r="AF101" s="124" t="str">
        <f>IF($B101="","",IF(AF$3=0,"n.b.",INDEX(SRC_Woningetalage!$A$1:$ZZ$501,$A101,AF$3)))</f>
        <v/>
      </c>
      <c r="AG101" s="124" t="str">
        <f>IF($B101="","",IF(AG$3=0,"n.b.",INDEX(SRC_Woningetalage!$A$1:$ZZ$501,$A101,AG$3)))</f>
        <v/>
      </c>
      <c r="AH101" s="124" t="str">
        <f>IF($B101="","",IF(AH$3=0,"n.b.",INDEX(SRC_Woningetalage!$A$1:$ZZ$501,$A101,AH$3)))</f>
        <v/>
      </c>
      <c r="AI101" s="124" t="str">
        <f>IF($B101="","",IF(AI$3=0,"n.b.",INDEX(SRC_Woningetalage!$A$1:$ZZ$501,$A101,AI$3)))</f>
        <v/>
      </c>
      <c r="AJ101" s="124" t="str">
        <f>IF($B101="","",IF(AJ$3=0,"n.b.",INDEX(SRC_Woningetalage!$A$1:$ZZ$501,$A101,AJ$3)))</f>
        <v/>
      </c>
      <c r="AK101" s="124" t="str">
        <f>IF($B101="","",IF(AK$3=0,"n.b.",INDEX(SRC_Woningetalage!$A$1:$ZZ$501,$A101,AK$3)))</f>
        <v/>
      </c>
      <c r="AL101" s="124" t="str">
        <f>IF($B101="","",IF(AL$3=0,"n.b.",INDEX(SRC_Woningetalage!$A$1:$ZZ$501,$A101,AL$3)))</f>
        <v/>
      </c>
      <c r="AM101" s="124" t="str">
        <f>IF($B101="","",IF(AM$3=0,"n.b.",INDEX(SRC_Woningetalage!$A$1:$ZZ$501,$A101,AM$3)))</f>
        <v/>
      </c>
      <c r="AN101" s="124" t="str">
        <f>IF($B101="","",IF(AN$3=0,"n.b.",INDEX(SRC_Woningetalage!$A$1:$ZZ$501,$A101,AN$3)))</f>
        <v/>
      </c>
      <c r="AO101" s="124" t="str">
        <f>IF($B101="","",IF(AO$3=0,"n.b.",INDEX(SRC_Woningetalage!$A$1:$ZZ$501,$A101,AO$3)))</f>
        <v/>
      </c>
      <c r="AP101" s="124" t="str">
        <f>IF($B101="","",IF(AP$3=0,"n.b.",INDEX(SRC_Woningetalage!$A$1:$ZZ$501,$A101,AP$3)))</f>
        <v/>
      </c>
      <c r="AQ101" s="124" t="str">
        <f>IF($B101="","",IF(AQ$3=0,"n.b.",INDEX(SRC_Woningetalage!$A$1:$ZZ$501,$A101,AQ$3)))</f>
        <v/>
      </c>
      <c r="AR101" s="124" t="str">
        <f>IF($B101="","",IF(AR$3=0,"n.b.",INDEX(SRC_Woningetalage!$A$1:$ZZ$501,$A101,AR$3)))</f>
        <v/>
      </c>
      <c r="AS101" s="124" t="str">
        <f>IF($B101="","",IF(AS$3=0,"n.b.",INDEX(SRC_Woningetalage!$A$1:$ZZ$501,$A101,AS$3)))</f>
        <v/>
      </c>
      <c r="AT101" s="124" t="str">
        <f>IF($B101="","",IF(AT$3=0,"n.b.",INDEX(SRC_Woningetalage!$A$1:$ZZ$501,$A101,AT$3)))</f>
        <v/>
      </c>
      <c r="AU101" s="124" t="str">
        <f>IF($B101="","",IF(AU$3=0,"n.b.",INDEX(SRC_Woningetalage!$A$1:$ZZ$501,$A101,AU$3)))</f>
        <v/>
      </c>
      <c r="AV101" s="124" t="str">
        <f>IF($B101="","",IF(AV$3=0,"n.b.",INDEX(SRC_Woningetalage!$A$1:$ZZ$501,$A101,AV$3)))</f>
        <v/>
      </c>
      <c r="AW101" s="124" t="str">
        <f>IF($B101="","",IF(AW$3=0,"n.b.",INDEX(SRC_Woningetalage!$A$1:$ZZ$501,$A101,AW$3)))</f>
        <v/>
      </c>
      <c r="AX101" s="124" t="str">
        <f>IF($B101="","",IF(AX$3=0,"n.b.",INDEX(SRC_Woningetalage!$A$1:$ZZ$501,$A101,AX$3)))</f>
        <v/>
      </c>
      <c r="AY101" s="124" t="str">
        <f>IF($B101="","",IF(AY$3=0,"n.b.",INDEX(SRC_Woningetalage!$A$1:$ZZ$501,$A101,AY$3)))</f>
        <v/>
      </c>
      <c r="AZ101" s="124" t="str">
        <f>IF($B101="","",IF(AZ$3=0,"n.b.",INDEX(SRC_Woningetalage!$A$1:$ZZ$501,$A101,AZ$3)))</f>
        <v/>
      </c>
      <c r="BA101" s="124" t="str">
        <f>IF($B101="","",IF(BA$3=0,"n.b.",INDEX(SRC_Woningetalage!$A$1:$ZZ$501,$A101,BA$3)))</f>
        <v/>
      </c>
      <c r="BB101" s="124" t="str">
        <f>IF($B101="","",IF(BB$3=0,"n.b.",INDEX(SRC_Woningetalage!$A$1:$ZZ$501,$A101,BB$3)))</f>
        <v/>
      </c>
      <c r="BC101" s="124" t="str">
        <f>IF($B101="","",IFERROR(_xlfn.NUMBERVALUE(E101&amp;"",",","."),"n.b."))</f>
        <v/>
      </c>
      <c r="BD101" s="124" t="str">
        <f>IF($B101="","",IFERROR(_xlfn.NUMBERVALUE(M101&amp;"",",","."),"n.b."))</f>
        <v/>
      </c>
      <c r="BE101" s="124" t="str">
        <f>IF($B101="","",IFERROR(AB101+AC101+AD101,"n.b."))</f>
        <v/>
      </c>
      <c r="BF101" s="124" t="str">
        <f>IF($B101="","",IFERROR(AE101+AF101+AG101,"n.b."))</f>
        <v/>
      </c>
      <c r="BG101" s="124" t="str">
        <f>IF($B101="","",IFERROR(AH101+AI101+AJ101,"n.b."))</f>
        <v/>
      </c>
      <c r="BH101" s="124" t="str">
        <f>IF($B101="","",IFERROR(AK101+AL101+AM101,"n.b."))</f>
        <v/>
      </c>
      <c r="BI101" s="124" t="str">
        <f>IF($B101="","",IFERROR(SUMIF($AB$5:$AM$5,"&lt;="&amp;P_PeilMaand,AB101:AM101),"n.b."))</f>
        <v/>
      </c>
      <c r="BJ101" s="124" t="str">
        <f>IF($B101="","",IFERROR(SUM(AB101:AM101)-BI101,"n.b."))</f>
        <v/>
      </c>
      <c r="BK101" s="124" t="str">
        <f>IF($B101="","",IFERROR(IF(ABS(Q101-(T101+SUM(AB101:AM101)+AS101+AU101))&gt;P_Tol,1,0),1))</f>
        <v/>
      </c>
      <c r="BL101" s="124" t="str">
        <f>IF($B101="","",IFERROR(IF(ABS(AA101-(Q101-Z101))&gt;P_Tol,1,0),1))</f>
        <v/>
      </c>
      <c r="BM101" s="124" t="str">
        <f>IF($B101="","",IFERROR(IF(ABS(Z101-(T101+W101))&gt;P_Tol,1,0),1))</f>
        <v/>
      </c>
      <c r="BN101" s="124" t="str">
        <f>IF($B101="","",IFERROR(IF(ABS(W101-BI101)&gt;P_Tol,1,0),1))</f>
        <v/>
      </c>
      <c r="BO101" s="124" t="str">
        <f>IF($B101="","",IFERROR(IF(OR(ABS(R101+S101-T101)&gt;P_Tol,ABS(U101+V101-W101)&gt;P_Tol,ABS(X101+Y101-Z101)&gt;P_Tol),1,0),1))</f>
        <v/>
      </c>
      <c r="BP101" s="124" t="str">
        <f>IF($B101="","",IFERROR(IF(OR(ABS(AR101-SUM(AB101:AM101))&gt;P_Tol,ABS(AS101-(AN101+AO101+AP101+AQ101))&gt;P_Tol),1,0),1))</f>
        <v/>
      </c>
      <c r="BQ101" s="124" t="str">
        <f>IF($B101="","",IFERROR(IF(ABS(AT101)+ABS(AV101)+ABS(AW101)+ABS(AX101)+ABS(AY101)+ABS(AZ101)+ABS(BA101)+ABS(BB101)&gt;0,1,0),1))</f>
        <v/>
      </c>
      <c r="BR101" s="124" t="str">
        <f>IF($B101="","",COUNTIF(STG_ZPMW03!$B$6:$B$505,B101))</f>
        <v/>
      </c>
      <c r="BS101" s="124" t="str">
        <f>IF($B101="","",COUNTIF($B$6:$B$505,B101))</f>
        <v/>
      </c>
      <c r="BT101" s="124" t="str">
        <f>IF($B101="","",IF(BR101=0,0,IF(INDEX(STG_ZPMW03!$I$6:$I$505,MATCH(B101,STG_ZPMW03!$B$6:$B$505,0))=J101&amp;"",0,1)))</f>
        <v/>
      </c>
      <c r="BU101" s="124" t="str">
        <f>IF($B101="","",IFERROR(IF(ABS(INDEX(Mapping!$D$5:$D$104,MATCH(B101,Mapping!$A$5:$A$104,0))-Q101)&gt;P_Tol,1,0),0))</f>
        <v/>
      </c>
      <c r="BV101" s="124" t="str">
        <f>IF($B101="","",IFERROR(IF(AND(INDEX(Mapping!$G$5:$G$104,MATCH(B101,Mapping!$A$5:$A$104,0))="Nee",ABS(Q101)+ABS(Z101)+ABS(AR101)&gt;0),1,0),0))</f>
        <v/>
      </c>
      <c r="BW101" s="124" t="str">
        <f>IF($B101="","",IF(COUNTIF(Mapping!$A$5:$A$104,B101)&gt;0,1,0))</f>
        <v/>
      </c>
      <c r="BX101" s="124" t="str">
        <f>IF($B101="","",IF(BR101=0,COUNTIF($BR$6:BR101,0),""))</f>
        <v/>
      </c>
    </row>
    <row r="102">
      <c r="A102" s="15" t="n">
        <v>98</v>
      </c>
      <c r="B102" t="str">
        <f>IF(B$3=0,"",IF(INDEX(SRC_Woningetalage!$A$1:$ZZ$501,$A102,B$3)&amp;""="","",INDEX(SRC_Woningetalage!$A$1:$ZZ$501,$A102,B$3)&amp;""))</f>
        <v/>
      </c>
      <c r="C102" t="str">
        <f>IF($B102="","",IF(C$3=0,"n.b.",INDEX(SRC_Woningetalage!$A$1:$ZZ$501,$A102,C$3)))</f>
        <v/>
      </c>
      <c r="D102" t="str">
        <f>IF($B102="","",IF(D$3=0,"n.b.",INDEX(SRC_Woningetalage!$A$1:$ZZ$501,$A102,D$3)))</f>
        <v/>
      </c>
      <c r="E102" t="str">
        <f>IF($B102="","",IF(E$3=0,"n.b.",INDEX(SRC_Woningetalage!$A$1:$ZZ$501,$A102,E$3)))</f>
        <v/>
      </c>
      <c r="F102" t="str">
        <f>IF($B102="","",IF(F$3=0,"n.b.",INDEX(SRC_Woningetalage!$A$1:$ZZ$501,$A102,F$3)))</f>
        <v/>
      </c>
      <c r="G102" t="str">
        <f>IF($B102="","",IF(G$3=0,"n.b.",INDEX(SRC_Woningetalage!$A$1:$ZZ$501,$A102,G$3)))</f>
        <v/>
      </c>
      <c r="H102" t="str">
        <f>IF($B102="","",IF(H$3=0,"n.b.",INDEX(SRC_Woningetalage!$A$1:$ZZ$501,$A102,H$3)))</f>
        <v/>
      </c>
      <c r="I102" t="str">
        <f>IF($B102="","",IF(I$3=0,"n.b.",INDEX(SRC_Woningetalage!$A$1:$ZZ$501,$A102,I$3)))</f>
        <v/>
      </c>
      <c r="J102" t="str">
        <f>IF($B102="","",IF(J$3=0,"n.b.",INDEX(SRC_Woningetalage!$A$1:$ZZ$501,$A102,J$3)))</f>
        <v/>
      </c>
      <c r="K102" t="str">
        <f>IF($B102="","",IF(K$3=0,"n.b.",INDEX(SRC_Woningetalage!$A$1:$ZZ$501,$A102,K$3)))</f>
        <v/>
      </c>
      <c r="L102" t="str">
        <f>IF($B102="","",IF(L$3=0,"n.b.",INDEX(SRC_Woningetalage!$A$1:$ZZ$501,$A102,L$3)))</f>
        <v/>
      </c>
      <c r="M102" t="str">
        <f>IF($B102="","",IF(M$3=0,"n.b.",INDEX(SRC_Woningetalage!$A$1:$ZZ$501,$A102,M$3)))</f>
        <v/>
      </c>
      <c r="N102" t="str">
        <f>IF($B102="","",IF(N$3=0,"n.b.",INDEX(SRC_Woningetalage!$A$1:$ZZ$501,$A102,N$3)))</f>
        <v/>
      </c>
      <c r="O102" t="str">
        <f>IF($B102="","",IF(O$3=0,"n.b.",INDEX(SRC_Woningetalage!$A$1:$ZZ$501,$A102,O$3)))</f>
        <v/>
      </c>
      <c r="P102" t="str">
        <f>IF($B102="","",IF(P$3=0,"n.b.",INDEX(SRC_Woningetalage!$A$1:$ZZ$501,$A102,P$3)))</f>
        <v/>
      </c>
      <c r="Q102" s="124" t="str">
        <f>IF($B102="","",IF(Q$3=0,"n.b.",INDEX(SRC_Woningetalage!$A$1:$ZZ$501,$A102,Q$3)))</f>
        <v/>
      </c>
      <c r="R102" s="124" t="str">
        <f>IF($B102="","",IF(R$3=0,"n.b.",INDEX(SRC_Woningetalage!$A$1:$ZZ$501,$A102,R$3)))</f>
        <v/>
      </c>
      <c r="S102" s="124" t="str">
        <f>IF($B102="","",IF(S$3=0,"n.b.",INDEX(SRC_Woningetalage!$A$1:$ZZ$501,$A102,S$3)))</f>
        <v/>
      </c>
      <c r="T102" s="124" t="str">
        <f>IF($B102="","",IF(T$3=0,"n.b.",INDEX(SRC_Woningetalage!$A$1:$ZZ$501,$A102,T$3)))</f>
        <v/>
      </c>
      <c r="U102" s="124" t="str">
        <f>IF($B102="","",IF(U$3=0,"n.b.",INDEX(SRC_Woningetalage!$A$1:$ZZ$501,$A102,U$3)))</f>
        <v/>
      </c>
      <c r="V102" s="124" t="str">
        <f>IF($B102="","",IF(V$3=0,"n.b.",INDEX(SRC_Woningetalage!$A$1:$ZZ$501,$A102,V$3)))</f>
        <v/>
      </c>
      <c r="W102" s="124" t="str">
        <f>IF($B102="","",IF(W$3=0,"n.b.",INDEX(SRC_Woningetalage!$A$1:$ZZ$501,$A102,W$3)))</f>
        <v/>
      </c>
      <c r="X102" s="124" t="str">
        <f>IF($B102="","",IF(X$3=0,"n.b.",INDEX(SRC_Woningetalage!$A$1:$ZZ$501,$A102,X$3)))</f>
        <v/>
      </c>
      <c r="Y102" s="124" t="str">
        <f>IF($B102="","",IF(Y$3=0,"n.b.",INDEX(SRC_Woningetalage!$A$1:$ZZ$501,$A102,Y$3)))</f>
        <v/>
      </c>
      <c r="Z102" s="124" t="str">
        <f>IF($B102="","",IF(Z$3=0,"n.b.",INDEX(SRC_Woningetalage!$A$1:$ZZ$501,$A102,Z$3)))</f>
        <v/>
      </c>
      <c r="AA102" s="124" t="str">
        <f>IF($B102="","",IF(AA$3=0,"n.b.",INDEX(SRC_Woningetalage!$A$1:$ZZ$501,$A102,AA$3)))</f>
        <v/>
      </c>
      <c r="AB102" s="124" t="str">
        <f>IF($B102="","",IF(AB$3=0,"n.b.",INDEX(SRC_Woningetalage!$A$1:$ZZ$501,$A102,AB$3)))</f>
        <v/>
      </c>
      <c r="AC102" s="124" t="str">
        <f>IF($B102="","",IF(AC$3=0,"n.b.",INDEX(SRC_Woningetalage!$A$1:$ZZ$501,$A102,AC$3)))</f>
        <v/>
      </c>
      <c r="AD102" s="124" t="str">
        <f>IF($B102="","",IF(AD$3=0,"n.b.",INDEX(SRC_Woningetalage!$A$1:$ZZ$501,$A102,AD$3)))</f>
        <v/>
      </c>
      <c r="AE102" s="124" t="str">
        <f>IF($B102="","",IF(AE$3=0,"n.b.",INDEX(SRC_Woningetalage!$A$1:$ZZ$501,$A102,AE$3)))</f>
        <v/>
      </c>
      <c r="AF102" s="124" t="str">
        <f>IF($B102="","",IF(AF$3=0,"n.b.",INDEX(SRC_Woningetalage!$A$1:$ZZ$501,$A102,AF$3)))</f>
        <v/>
      </c>
      <c r="AG102" s="124" t="str">
        <f>IF($B102="","",IF(AG$3=0,"n.b.",INDEX(SRC_Woningetalage!$A$1:$ZZ$501,$A102,AG$3)))</f>
        <v/>
      </c>
      <c r="AH102" s="124" t="str">
        <f>IF($B102="","",IF(AH$3=0,"n.b.",INDEX(SRC_Woningetalage!$A$1:$ZZ$501,$A102,AH$3)))</f>
        <v/>
      </c>
      <c r="AI102" s="124" t="str">
        <f>IF($B102="","",IF(AI$3=0,"n.b.",INDEX(SRC_Woningetalage!$A$1:$ZZ$501,$A102,AI$3)))</f>
        <v/>
      </c>
      <c r="AJ102" s="124" t="str">
        <f>IF($B102="","",IF(AJ$3=0,"n.b.",INDEX(SRC_Woningetalage!$A$1:$ZZ$501,$A102,AJ$3)))</f>
        <v/>
      </c>
      <c r="AK102" s="124" t="str">
        <f>IF($B102="","",IF(AK$3=0,"n.b.",INDEX(SRC_Woningetalage!$A$1:$ZZ$501,$A102,AK$3)))</f>
        <v/>
      </c>
      <c r="AL102" s="124" t="str">
        <f>IF($B102="","",IF(AL$3=0,"n.b.",INDEX(SRC_Woningetalage!$A$1:$ZZ$501,$A102,AL$3)))</f>
        <v/>
      </c>
      <c r="AM102" s="124" t="str">
        <f>IF($B102="","",IF(AM$3=0,"n.b.",INDEX(SRC_Woningetalage!$A$1:$ZZ$501,$A102,AM$3)))</f>
        <v/>
      </c>
      <c r="AN102" s="124" t="str">
        <f>IF($B102="","",IF(AN$3=0,"n.b.",INDEX(SRC_Woningetalage!$A$1:$ZZ$501,$A102,AN$3)))</f>
        <v/>
      </c>
      <c r="AO102" s="124" t="str">
        <f>IF($B102="","",IF(AO$3=0,"n.b.",INDEX(SRC_Woningetalage!$A$1:$ZZ$501,$A102,AO$3)))</f>
        <v/>
      </c>
      <c r="AP102" s="124" t="str">
        <f>IF($B102="","",IF(AP$3=0,"n.b.",INDEX(SRC_Woningetalage!$A$1:$ZZ$501,$A102,AP$3)))</f>
        <v/>
      </c>
      <c r="AQ102" s="124" t="str">
        <f>IF($B102="","",IF(AQ$3=0,"n.b.",INDEX(SRC_Woningetalage!$A$1:$ZZ$501,$A102,AQ$3)))</f>
        <v/>
      </c>
      <c r="AR102" s="124" t="str">
        <f>IF($B102="","",IF(AR$3=0,"n.b.",INDEX(SRC_Woningetalage!$A$1:$ZZ$501,$A102,AR$3)))</f>
        <v/>
      </c>
      <c r="AS102" s="124" t="str">
        <f>IF($B102="","",IF(AS$3=0,"n.b.",INDEX(SRC_Woningetalage!$A$1:$ZZ$501,$A102,AS$3)))</f>
        <v/>
      </c>
      <c r="AT102" s="124" t="str">
        <f>IF($B102="","",IF(AT$3=0,"n.b.",INDEX(SRC_Woningetalage!$A$1:$ZZ$501,$A102,AT$3)))</f>
        <v/>
      </c>
      <c r="AU102" s="124" t="str">
        <f>IF($B102="","",IF(AU$3=0,"n.b.",INDEX(SRC_Woningetalage!$A$1:$ZZ$501,$A102,AU$3)))</f>
        <v/>
      </c>
      <c r="AV102" s="124" t="str">
        <f>IF($B102="","",IF(AV$3=0,"n.b.",INDEX(SRC_Woningetalage!$A$1:$ZZ$501,$A102,AV$3)))</f>
        <v/>
      </c>
      <c r="AW102" s="124" t="str">
        <f>IF($B102="","",IF(AW$3=0,"n.b.",INDEX(SRC_Woningetalage!$A$1:$ZZ$501,$A102,AW$3)))</f>
        <v/>
      </c>
      <c r="AX102" s="124" t="str">
        <f>IF($B102="","",IF(AX$3=0,"n.b.",INDEX(SRC_Woningetalage!$A$1:$ZZ$501,$A102,AX$3)))</f>
        <v/>
      </c>
      <c r="AY102" s="124" t="str">
        <f>IF($B102="","",IF(AY$3=0,"n.b.",INDEX(SRC_Woningetalage!$A$1:$ZZ$501,$A102,AY$3)))</f>
        <v/>
      </c>
      <c r="AZ102" s="124" t="str">
        <f>IF($B102="","",IF(AZ$3=0,"n.b.",INDEX(SRC_Woningetalage!$A$1:$ZZ$501,$A102,AZ$3)))</f>
        <v/>
      </c>
      <c r="BA102" s="124" t="str">
        <f>IF($B102="","",IF(BA$3=0,"n.b.",INDEX(SRC_Woningetalage!$A$1:$ZZ$501,$A102,BA$3)))</f>
        <v/>
      </c>
      <c r="BB102" s="124" t="str">
        <f>IF($B102="","",IF(BB$3=0,"n.b.",INDEX(SRC_Woningetalage!$A$1:$ZZ$501,$A102,BB$3)))</f>
        <v/>
      </c>
      <c r="BC102" s="124" t="str">
        <f>IF($B102="","",IFERROR(_xlfn.NUMBERVALUE(E102&amp;"",",","."),"n.b."))</f>
        <v/>
      </c>
      <c r="BD102" s="124" t="str">
        <f>IF($B102="","",IFERROR(_xlfn.NUMBERVALUE(M102&amp;"",",","."),"n.b."))</f>
        <v/>
      </c>
      <c r="BE102" s="124" t="str">
        <f>IF($B102="","",IFERROR(AB102+AC102+AD102,"n.b."))</f>
        <v/>
      </c>
      <c r="BF102" s="124" t="str">
        <f>IF($B102="","",IFERROR(AE102+AF102+AG102,"n.b."))</f>
        <v/>
      </c>
      <c r="BG102" s="124" t="str">
        <f>IF($B102="","",IFERROR(AH102+AI102+AJ102,"n.b."))</f>
        <v/>
      </c>
      <c r="BH102" s="124" t="str">
        <f>IF($B102="","",IFERROR(AK102+AL102+AM102,"n.b."))</f>
        <v/>
      </c>
      <c r="BI102" s="124" t="str">
        <f>IF($B102="","",IFERROR(SUMIF($AB$5:$AM$5,"&lt;="&amp;P_PeilMaand,AB102:AM102),"n.b."))</f>
        <v/>
      </c>
      <c r="BJ102" s="124" t="str">
        <f>IF($B102="","",IFERROR(SUM(AB102:AM102)-BI102,"n.b."))</f>
        <v/>
      </c>
      <c r="BK102" s="124" t="str">
        <f>IF($B102="","",IFERROR(IF(ABS(Q102-(T102+SUM(AB102:AM102)+AS102+AU102))&gt;P_Tol,1,0),1))</f>
        <v/>
      </c>
      <c r="BL102" s="124" t="str">
        <f>IF($B102="","",IFERROR(IF(ABS(AA102-(Q102-Z102))&gt;P_Tol,1,0),1))</f>
        <v/>
      </c>
      <c r="BM102" s="124" t="str">
        <f>IF($B102="","",IFERROR(IF(ABS(Z102-(T102+W102))&gt;P_Tol,1,0),1))</f>
        <v/>
      </c>
      <c r="BN102" s="124" t="str">
        <f>IF($B102="","",IFERROR(IF(ABS(W102-BI102)&gt;P_Tol,1,0),1))</f>
        <v/>
      </c>
      <c r="BO102" s="124" t="str">
        <f>IF($B102="","",IFERROR(IF(OR(ABS(R102+S102-T102)&gt;P_Tol,ABS(U102+V102-W102)&gt;P_Tol,ABS(X102+Y102-Z102)&gt;P_Tol),1,0),1))</f>
        <v/>
      </c>
      <c r="BP102" s="124" t="str">
        <f>IF($B102="","",IFERROR(IF(OR(ABS(AR102-SUM(AB102:AM102))&gt;P_Tol,ABS(AS102-(AN102+AO102+AP102+AQ102))&gt;P_Tol),1,0),1))</f>
        <v/>
      </c>
      <c r="BQ102" s="124" t="str">
        <f>IF($B102="","",IFERROR(IF(ABS(AT102)+ABS(AV102)+ABS(AW102)+ABS(AX102)+ABS(AY102)+ABS(AZ102)+ABS(BA102)+ABS(BB102)&gt;0,1,0),1))</f>
        <v/>
      </c>
      <c r="BR102" s="124" t="str">
        <f>IF($B102="","",COUNTIF(STG_ZPMW03!$B$6:$B$505,B102))</f>
        <v/>
      </c>
      <c r="BS102" s="124" t="str">
        <f>IF($B102="","",COUNTIF($B$6:$B$505,B102))</f>
        <v/>
      </c>
      <c r="BT102" s="124" t="str">
        <f>IF($B102="","",IF(BR102=0,0,IF(INDEX(STG_ZPMW03!$I$6:$I$505,MATCH(B102,STG_ZPMW03!$B$6:$B$505,0))=J102&amp;"",0,1)))</f>
        <v/>
      </c>
      <c r="BU102" s="124" t="str">
        <f>IF($B102="","",IFERROR(IF(ABS(INDEX(Mapping!$D$5:$D$104,MATCH(B102,Mapping!$A$5:$A$104,0))-Q102)&gt;P_Tol,1,0),0))</f>
        <v/>
      </c>
      <c r="BV102" s="124" t="str">
        <f>IF($B102="","",IFERROR(IF(AND(INDEX(Mapping!$G$5:$G$104,MATCH(B102,Mapping!$A$5:$A$104,0))="Nee",ABS(Q102)+ABS(Z102)+ABS(AR102)&gt;0),1,0),0))</f>
        <v/>
      </c>
      <c r="BW102" s="124" t="str">
        <f>IF($B102="","",IF(COUNTIF(Mapping!$A$5:$A$104,B102)&gt;0,1,0))</f>
        <v/>
      </c>
      <c r="BX102" s="124" t="str">
        <f>IF($B102="","",IF(BR102=0,COUNTIF($BR$6:BR102,0),""))</f>
        <v/>
      </c>
    </row>
    <row r="103">
      <c r="A103" s="15" t="n">
        <v>99</v>
      </c>
      <c r="B103" t="str">
        <f>IF(B$3=0,"",IF(INDEX(SRC_Woningetalage!$A$1:$ZZ$501,$A103,B$3)&amp;""="","",INDEX(SRC_Woningetalage!$A$1:$ZZ$501,$A103,B$3)&amp;""))</f>
        <v/>
      </c>
      <c r="C103" t="str">
        <f>IF($B103="","",IF(C$3=0,"n.b.",INDEX(SRC_Woningetalage!$A$1:$ZZ$501,$A103,C$3)))</f>
        <v/>
      </c>
      <c r="D103" t="str">
        <f>IF($B103="","",IF(D$3=0,"n.b.",INDEX(SRC_Woningetalage!$A$1:$ZZ$501,$A103,D$3)))</f>
        <v/>
      </c>
      <c r="E103" t="str">
        <f>IF($B103="","",IF(E$3=0,"n.b.",INDEX(SRC_Woningetalage!$A$1:$ZZ$501,$A103,E$3)))</f>
        <v/>
      </c>
      <c r="F103" t="str">
        <f>IF($B103="","",IF(F$3=0,"n.b.",INDEX(SRC_Woningetalage!$A$1:$ZZ$501,$A103,F$3)))</f>
        <v/>
      </c>
      <c r="G103" t="str">
        <f>IF($B103="","",IF(G$3=0,"n.b.",INDEX(SRC_Woningetalage!$A$1:$ZZ$501,$A103,G$3)))</f>
        <v/>
      </c>
      <c r="H103" t="str">
        <f>IF($B103="","",IF(H$3=0,"n.b.",INDEX(SRC_Woningetalage!$A$1:$ZZ$501,$A103,H$3)))</f>
        <v/>
      </c>
      <c r="I103" t="str">
        <f>IF($B103="","",IF(I$3=0,"n.b.",INDEX(SRC_Woningetalage!$A$1:$ZZ$501,$A103,I$3)))</f>
        <v/>
      </c>
      <c r="J103" t="str">
        <f>IF($B103="","",IF(J$3=0,"n.b.",INDEX(SRC_Woningetalage!$A$1:$ZZ$501,$A103,J$3)))</f>
        <v/>
      </c>
      <c r="K103" t="str">
        <f>IF($B103="","",IF(K$3=0,"n.b.",INDEX(SRC_Woningetalage!$A$1:$ZZ$501,$A103,K$3)))</f>
        <v/>
      </c>
      <c r="L103" t="str">
        <f>IF($B103="","",IF(L$3=0,"n.b.",INDEX(SRC_Woningetalage!$A$1:$ZZ$501,$A103,L$3)))</f>
        <v/>
      </c>
      <c r="M103" t="str">
        <f>IF($B103="","",IF(M$3=0,"n.b.",INDEX(SRC_Woningetalage!$A$1:$ZZ$501,$A103,M$3)))</f>
        <v/>
      </c>
      <c r="N103" t="str">
        <f>IF($B103="","",IF(N$3=0,"n.b.",INDEX(SRC_Woningetalage!$A$1:$ZZ$501,$A103,N$3)))</f>
        <v/>
      </c>
      <c r="O103" t="str">
        <f>IF($B103="","",IF(O$3=0,"n.b.",INDEX(SRC_Woningetalage!$A$1:$ZZ$501,$A103,O$3)))</f>
        <v/>
      </c>
      <c r="P103" t="str">
        <f>IF($B103="","",IF(P$3=0,"n.b.",INDEX(SRC_Woningetalage!$A$1:$ZZ$501,$A103,P$3)))</f>
        <v/>
      </c>
      <c r="Q103" s="124" t="str">
        <f>IF($B103="","",IF(Q$3=0,"n.b.",INDEX(SRC_Woningetalage!$A$1:$ZZ$501,$A103,Q$3)))</f>
        <v/>
      </c>
      <c r="R103" s="124" t="str">
        <f>IF($B103="","",IF(R$3=0,"n.b.",INDEX(SRC_Woningetalage!$A$1:$ZZ$501,$A103,R$3)))</f>
        <v/>
      </c>
      <c r="S103" s="124" t="str">
        <f>IF($B103="","",IF(S$3=0,"n.b.",INDEX(SRC_Woningetalage!$A$1:$ZZ$501,$A103,S$3)))</f>
        <v/>
      </c>
      <c r="T103" s="124" t="str">
        <f>IF($B103="","",IF(T$3=0,"n.b.",INDEX(SRC_Woningetalage!$A$1:$ZZ$501,$A103,T$3)))</f>
        <v/>
      </c>
      <c r="U103" s="124" t="str">
        <f>IF($B103="","",IF(U$3=0,"n.b.",INDEX(SRC_Woningetalage!$A$1:$ZZ$501,$A103,U$3)))</f>
        <v/>
      </c>
      <c r="V103" s="124" t="str">
        <f>IF($B103="","",IF(V$3=0,"n.b.",INDEX(SRC_Woningetalage!$A$1:$ZZ$501,$A103,V$3)))</f>
        <v/>
      </c>
      <c r="W103" s="124" t="str">
        <f>IF($B103="","",IF(W$3=0,"n.b.",INDEX(SRC_Woningetalage!$A$1:$ZZ$501,$A103,W$3)))</f>
        <v/>
      </c>
      <c r="X103" s="124" t="str">
        <f>IF($B103="","",IF(X$3=0,"n.b.",INDEX(SRC_Woningetalage!$A$1:$ZZ$501,$A103,X$3)))</f>
        <v/>
      </c>
      <c r="Y103" s="124" t="str">
        <f>IF($B103="","",IF(Y$3=0,"n.b.",INDEX(SRC_Woningetalage!$A$1:$ZZ$501,$A103,Y$3)))</f>
        <v/>
      </c>
      <c r="Z103" s="124" t="str">
        <f>IF($B103="","",IF(Z$3=0,"n.b.",INDEX(SRC_Woningetalage!$A$1:$ZZ$501,$A103,Z$3)))</f>
        <v/>
      </c>
      <c r="AA103" s="124" t="str">
        <f>IF($B103="","",IF(AA$3=0,"n.b.",INDEX(SRC_Woningetalage!$A$1:$ZZ$501,$A103,AA$3)))</f>
        <v/>
      </c>
      <c r="AB103" s="124" t="str">
        <f>IF($B103="","",IF(AB$3=0,"n.b.",INDEX(SRC_Woningetalage!$A$1:$ZZ$501,$A103,AB$3)))</f>
        <v/>
      </c>
      <c r="AC103" s="124" t="str">
        <f>IF($B103="","",IF(AC$3=0,"n.b.",INDEX(SRC_Woningetalage!$A$1:$ZZ$501,$A103,AC$3)))</f>
        <v/>
      </c>
      <c r="AD103" s="124" t="str">
        <f>IF($B103="","",IF(AD$3=0,"n.b.",INDEX(SRC_Woningetalage!$A$1:$ZZ$501,$A103,AD$3)))</f>
        <v/>
      </c>
      <c r="AE103" s="124" t="str">
        <f>IF($B103="","",IF(AE$3=0,"n.b.",INDEX(SRC_Woningetalage!$A$1:$ZZ$501,$A103,AE$3)))</f>
        <v/>
      </c>
      <c r="AF103" s="124" t="str">
        <f>IF($B103="","",IF(AF$3=0,"n.b.",INDEX(SRC_Woningetalage!$A$1:$ZZ$501,$A103,AF$3)))</f>
        <v/>
      </c>
      <c r="AG103" s="124" t="str">
        <f>IF($B103="","",IF(AG$3=0,"n.b.",INDEX(SRC_Woningetalage!$A$1:$ZZ$501,$A103,AG$3)))</f>
        <v/>
      </c>
      <c r="AH103" s="124" t="str">
        <f>IF($B103="","",IF(AH$3=0,"n.b.",INDEX(SRC_Woningetalage!$A$1:$ZZ$501,$A103,AH$3)))</f>
        <v/>
      </c>
      <c r="AI103" s="124" t="str">
        <f>IF($B103="","",IF(AI$3=0,"n.b.",INDEX(SRC_Woningetalage!$A$1:$ZZ$501,$A103,AI$3)))</f>
        <v/>
      </c>
      <c r="AJ103" s="124" t="str">
        <f>IF($B103="","",IF(AJ$3=0,"n.b.",INDEX(SRC_Woningetalage!$A$1:$ZZ$501,$A103,AJ$3)))</f>
        <v/>
      </c>
      <c r="AK103" s="124" t="str">
        <f>IF($B103="","",IF(AK$3=0,"n.b.",INDEX(SRC_Woningetalage!$A$1:$ZZ$501,$A103,AK$3)))</f>
        <v/>
      </c>
      <c r="AL103" s="124" t="str">
        <f>IF($B103="","",IF(AL$3=0,"n.b.",INDEX(SRC_Woningetalage!$A$1:$ZZ$501,$A103,AL$3)))</f>
        <v/>
      </c>
      <c r="AM103" s="124" t="str">
        <f>IF($B103="","",IF(AM$3=0,"n.b.",INDEX(SRC_Woningetalage!$A$1:$ZZ$501,$A103,AM$3)))</f>
        <v/>
      </c>
      <c r="AN103" s="124" t="str">
        <f>IF($B103="","",IF(AN$3=0,"n.b.",INDEX(SRC_Woningetalage!$A$1:$ZZ$501,$A103,AN$3)))</f>
        <v/>
      </c>
      <c r="AO103" s="124" t="str">
        <f>IF($B103="","",IF(AO$3=0,"n.b.",INDEX(SRC_Woningetalage!$A$1:$ZZ$501,$A103,AO$3)))</f>
        <v/>
      </c>
      <c r="AP103" s="124" t="str">
        <f>IF($B103="","",IF(AP$3=0,"n.b.",INDEX(SRC_Woningetalage!$A$1:$ZZ$501,$A103,AP$3)))</f>
        <v/>
      </c>
      <c r="AQ103" s="124" t="str">
        <f>IF($B103="","",IF(AQ$3=0,"n.b.",INDEX(SRC_Woningetalage!$A$1:$ZZ$501,$A103,AQ$3)))</f>
        <v/>
      </c>
      <c r="AR103" s="124" t="str">
        <f>IF($B103="","",IF(AR$3=0,"n.b.",INDEX(SRC_Woningetalage!$A$1:$ZZ$501,$A103,AR$3)))</f>
        <v/>
      </c>
      <c r="AS103" s="124" t="str">
        <f>IF($B103="","",IF(AS$3=0,"n.b.",INDEX(SRC_Woningetalage!$A$1:$ZZ$501,$A103,AS$3)))</f>
        <v/>
      </c>
      <c r="AT103" s="124" t="str">
        <f>IF($B103="","",IF(AT$3=0,"n.b.",INDEX(SRC_Woningetalage!$A$1:$ZZ$501,$A103,AT$3)))</f>
        <v/>
      </c>
      <c r="AU103" s="124" t="str">
        <f>IF($B103="","",IF(AU$3=0,"n.b.",INDEX(SRC_Woningetalage!$A$1:$ZZ$501,$A103,AU$3)))</f>
        <v/>
      </c>
      <c r="AV103" s="124" t="str">
        <f>IF($B103="","",IF(AV$3=0,"n.b.",INDEX(SRC_Woningetalage!$A$1:$ZZ$501,$A103,AV$3)))</f>
        <v/>
      </c>
      <c r="AW103" s="124" t="str">
        <f>IF($B103="","",IF(AW$3=0,"n.b.",INDEX(SRC_Woningetalage!$A$1:$ZZ$501,$A103,AW$3)))</f>
        <v/>
      </c>
      <c r="AX103" s="124" t="str">
        <f>IF($B103="","",IF(AX$3=0,"n.b.",INDEX(SRC_Woningetalage!$A$1:$ZZ$501,$A103,AX$3)))</f>
        <v/>
      </c>
      <c r="AY103" s="124" t="str">
        <f>IF($B103="","",IF(AY$3=0,"n.b.",INDEX(SRC_Woningetalage!$A$1:$ZZ$501,$A103,AY$3)))</f>
        <v/>
      </c>
      <c r="AZ103" s="124" t="str">
        <f>IF($B103="","",IF(AZ$3=0,"n.b.",INDEX(SRC_Woningetalage!$A$1:$ZZ$501,$A103,AZ$3)))</f>
        <v/>
      </c>
      <c r="BA103" s="124" t="str">
        <f>IF($B103="","",IF(BA$3=0,"n.b.",INDEX(SRC_Woningetalage!$A$1:$ZZ$501,$A103,BA$3)))</f>
        <v/>
      </c>
      <c r="BB103" s="124" t="str">
        <f>IF($B103="","",IF(BB$3=0,"n.b.",INDEX(SRC_Woningetalage!$A$1:$ZZ$501,$A103,BB$3)))</f>
        <v/>
      </c>
      <c r="BC103" s="124" t="str">
        <f>IF($B103="","",IFERROR(_xlfn.NUMBERVALUE(E103&amp;"",",","."),"n.b."))</f>
        <v/>
      </c>
      <c r="BD103" s="124" t="str">
        <f>IF($B103="","",IFERROR(_xlfn.NUMBERVALUE(M103&amp;"",",","."),"n.b."))</f>
        <v/>
      </c>
      <c r="BE103" s="124" t="str">
        <f>IF($B103="","",IFERROR(AB103+AC103+AD103,"n.b."))</f>
        <v/>
      </c>
      <c r="BF103" s="124" t="str">
        <f>IF($B103="","",IFERROR(AE103+AF103+AG103,"n.b."))</f>
        <v/>
      </c>
      <c r="BG103" s="124" t="str">
        <f>IF($B103="","",IFERROR(AH103+AI103+AJ103,"n.b."))</f>
        <v/>
      </c>
      <c r="BH103" s="124" t="str">
        <f>IF($B103="","",IFERROR(AK103+AL103+AM103,"n.b."))</f>
        <v/>
      </c>
      <c r="BI103" s="124" t="str">
        <f>IF($B103="","",IFERROR(SUMIF($AB$5:$AM$5,"&lt;="&amp;P_PeilMaand,AB103:AM103),"n.b."))</f>
        <v/>
      </c>
      <c r="BJ103" s="124" t="str">
        <f>IF($B103="","",IFERROR(SUM(AB103:AM103)-BI103,"n.b."))</f>
        <v/>
      </c>
      <c r="BK103" s="124" t="str">
        <f>IF($B103="","",IFERROR(IF(ABS(Q103-(T103+SUM(AB103:AM103)+AS103+AU103))&gt;P_Tol,1,0),1))</f>
        <v/>
      </c>
      <c r="BL103" s="124" t="str">
        <f>IF($B103="","",IFERROR(IF(ABS(AA103-(Q103-Z103))&gt;P_Tol,1,0),1))</f>
        <v/>
      </c>
      <c r="BM103" s="124" t="str">
        <f>IF($B103="","",IFERROR(IF(ABS(Z103-(T103+W103))&gt;P_Tol,1,0),1))</f>
        <v/>
      </c>
      <c r="BN103" s="124" t="str">
        <f>IF($B103="","",IFERROR(IF(ABS(W103-BI103)&gt;P_Tol,1,0),1))</f>
        <v/>
      </c>
      <c r="BO103" s="124" t="str">
        <f>IF($B103="","",IFERROR(IF(OR(ABS(R103+S103-T103)&gt;P_Tol,ABS(U103+V103-W103)&gt;P_Tol,ABS(X103+Y103-Z103)&gt;P_Tol),1,0),1))</f>
        <v/>
      </c>
      <c r="BP103" s="124" t="str">
        <f>IF($B103="","",IFERROR(IF(OR(ABS(AR103-SUM(AB103:AM103))&gt;P_Tol,ABS(AS103-(AN103+AO103+AP103+AQ103))&gt;P_Tol),1,0),1))</f>
        <v/>
      </c>
      <c r="BQ103" s="124" t="str">
        <f>IF($B103="","",IFERROR(IF(ABS(AT103)+ABS(AV103)+ABS(AW103)+ABS(AX103)+ABS(AY103)+ABS(AZ103)+ABS(BA103)+ABS(BB103)&gt;0,1,0),1))</f>
        <v/>
      </c>
      <c r="BR103" s="124" t="str">
        <f>IF($B103="","",COUNTIF(STG_ZPMW03!$B$6:$B$505,B103))</f>
        <v/>
      </c>
      <c r="BS103" s="124" t="str">
        <f>IF($B103="","",COUNTIF($B$6:$B$505,B103))</f>
        <v/>
      </c>
      <c r="BT103" s="124" t="str">
        <f>IF($B103="","",IF(BR103=0,0,IF(INDEX(STG_ZPMW03!$I$6:$I$505,MATCH(B103,STG_ZPMW03!$B$6:$B$505,0))=J103&amp;"",0,1)))</f>
        <v/>
      </c>
      <c r="BU103" s="124" t="str">
        <f>IF($B103="","",IFERROR(IF(ABS(INDEX(Mapping!$D$5:$D$104,MATCH(B103,Mapping!$A$5:$A$104,0))-Q103)&gt;P_Tol,1,0),0))</f>
        <v/>
      </c>
      <c r="BV103" s="124" t="str">
        <f>IF($B103="","",IFERROR(IF(AND(INDEX(Mapping!$G$5:$G$104,MATCH(B103,Mapping!$A$5:$A$104,0))="Nee",ABS(Q103)+ABS(Z103)+ABS(AR103)&gt;0),1,0),0))</f>
        <v/>
      </c>
      <c r="BW103" s="124" t="str">
        <f>IF($B103="","",IF(COUNTIF(Mapping!$A$5:$A$104,B103)&gt;0,1,0))</f>
        <v/>
      </c>
      <c r="BX103" s="124" t="str">
        <f>IF($B103="","",IF(BR103=0,COUNTIF($BR$6:BR103,0),""))</f>
        <v/>
      </c>
    </row>
    <row r="104">
      <c r="A104" s="15" t="n">
        <v>100</v>
      </c>
      <c r="B104" t="str">
        <f>IF(B$3=0,"",IF(INDEX(SRC_Woningetalage!$A$1:$ZZ$501,$A104,B$3)&amp;""="","",INDEX(SRC_Woningetalage!$A$1:$ZZ$501,$A104,B$3)&amp;""))</f>
        <v/>
      </c>
      <c r="C104" t="str">
        <f>IF($B104="","",IF(C$3=0,"n.b.",INDEX(SRC_Woningetalage!$A$1:$ZZ$501,$A104,C$3)))</f>
        <v/>
      </c>
      <c r="D104" t="str">
        <f>IF($B104="","",IF(D$3=0,"n.b.",INDEX(SRC_Woningetalage!$A$1:$ZZ$501,$A104,D$3)))</f>
        <v/>
      </c>
      <c r="E104" t="str">
        <f>IF($B104="","",IF(E$3=0,"n.b.",INDEX(SRC_Woningetalage!$A$1:$ZZ$501,$A104,E$3)))</f>
        <v/>
      </c>
      <c r="F104" t="str">
        <f>IF($B104="","",IF(F$3=0,"n.b.",INDEX(SRC_Woningetalage!$A$1:$ZZ$501,$A104,F$3)))</f>
        <v/>
      </c>
      <c r="G104" t="str">
        <f>IF($B104="","",IF(G$3=0,"n.b.",INDEX(SRC_Woningetalage!$A$1:$ZZ$501,$A104,G$3)))</f>
        <v/>
      </c>
      <c r="H104" t="str">
        <f>IF($B104="","",IF(H$3=0,"n.b.",INDEX(SRC_Woningetalage!$A$1:$ZZ$501,$A104,H$3)))</f>
        <v/>
      </c>
      <c r="I104" t="str">
        <f>IF($B104="","",IF(I$3=0,"n.b.",INDEX(SRC_Woningetalage!$A$1:$ZZ$501,$A104,I$3)))</f>
        <v/>
      </c>
      <c r="J104" t="str">
        <f>IF($B104="","",IF(J$3=0,"n.b.",INDEX(SRC_Woningetalage!$A$1:$ZZ$501,$A104,J$3)))</f>
        <v/>
      </c>
      <c r="K104" t="str">
        <f>IF($B104="","",IF(K$3=0,"n.b.",INDEX(SRC_Woningetalage!$A$1:$ZZ$501,$A104,K$3)))</f>
        <v/>
      </c>
      <c r="L104" t="str">
        <f>IF($B104="","",IF(L$3=0,"n.b.",INDEX(SRC_Woningetalage!$A$1:$ZZ$501,$A104,L$3)))</f>
        <v/>
      </c>
      <c r="M104" t="str">
        <f>IF($B104="","",IF(M$3=0,"n.b.",INDEX(SRC_Woningetalage!$A$1:$ZZ$501,$A104,M$3)))</f>
        <v/>
      </c>
      <c r="N104" t="str">
        <f>IF($B104="","",IF(N$3=0,"n.b.",INDEX(SRC_Woningetalage!$A$1:$ZZ$501,$A104,N$3)))</f>
        <v/>
      </c>
      <c r="O104" t="str">
        <f>IF($B104="","",IF(O$3=0,"n.b.",INDEX(SRC_Woningetalage!$A$1:$ZZ$501,$A104,O$3)))</f>
        <v/>
      </c>
      <c r="P104" t="str">
        <f>IF($B104="","",IF(P$3=0,"n.b.",INDEX(SRC_Woningetalage!$A$1:$ZZ$501,$A104,P$3)))</f>
        <v/>
      </c>
      <c r="Q104" s="124" t="str">
        <f>IF($B104="","",IF(Q$3=0,"n.b.",INDEX(SRC_Woningetalage!$A$1:$ZZ$501,$A104,Q$3)))</f>
        <v/>
      </c>
      <c r="R104" s="124" t="str">
        <f>IF($B104="","",IF(R$3=0,"n.b.",INDEX(SRC_Woningetalage!$A$1:$ZZ$501,$A104,R$3)))</f>
        <v/>
      </c>
      <c r="S104" s="124" t="str">
        <f>IF($B104="","",IF(S$3=0,"n.b.",INDEX(SRC_Woningetalage!$A$1:$ZZ$501,$A104,S$3)))</f>
        <v/>
      </c>
      <c r="T104" s="124" t="str">
        <f>IF($B104="","",IF(T$3=0,"n.b.",INDEX(SRC_Woningetalage!$A$1:$ZZ$501,$A104,T$3)))</f>
        <v/>
      </c>
      <c r="U104" s="124" t="str">
        <f>IF($B104="","",IF(U$3=0,"n.b.",INDEX(SRC_Woningetalage!$A$1:$ZZ$501,$A104,U$3)))</f>
        <v/>
      </c>
      <c r="V104" s="124" t="str">
        <f>IF($B104="","",IF(V$3=0,"n.b.",INDEX(SRC_Woningetalage!$A$1:$ZZ$501,$A104,V$3)))</f>
        <v/>
      </c>
      <c r="W104" s="124" t="str">
        <f>IF($B104="","",IF(W$3=0,"n.b.",INDEX(SRC_Woningetalage!$A$1:$ZZ$501,$A104,W$3)))</f>
        <v/>
      </c>
      <c r="X104" s="124" t="str">
        <f>IF($B104="","",IF(X$3=0,"n.b.",INDEX(SRC_Woningetalage!$A$1:$ZZ$501,$A104,X$3)))</f>
        <v/>
      </c>
      <c r="Y104" s="124" t="str">
        <f>IF($B104="","",IF(Y$3=0,"n.b.",INDEX(SRC_Woningetalage!$A$1:$ZZ$501,$A104,Y$3)))</f>
        <v/>
      </c>
      <c r="Z104" s="124" t="str">
        <f>IF($B104="","",IF(Z$3=0,"n.b.",INDEX(SRC_Woningetalage!$A$1:$ZZ$501,$A104,Z$3)))</f>
        <v/>
      </c>
      <c r="AA104" s="124" t="str">
        <f>IF($B104="","",IF(AA$3=0,"n.b.",INDEX(SRC_Woningetalage!$A$1:$ZZ$501,$A104,AA$3)))</f>
        <v/>
      </c>
      <c r="AB104" s="124" t="str">
        <f>IF($B104="","",IF(AB$3=0,"n.b.",INDEX(SRC_Woningetalage!$A$1:$ZZ$501,$A104,AB$3)))</f>
        <v/>
      </c>
      <c r="AC104" s="124" t="str">
        <f>IF($B104="","",IF(AC$3=0,"n.b.",INDEX(SRC_Woningetalage!$A$1:$ZZ$501,$A104,AC$3)))</f>
        <v/>
      </c>
      <c r="AD104" s="124" t="str">
        <f>IF($B104="","",IF(AD$3=0,"n.b.",INDEX(SRC_Woningetalage!$A$1:$ZZ$501,$A104,AD$3)))</f>
        <v/>
      </c>
      <c r="AE104" s="124" t="str">
        <f>IF($B104="","",IF(AE$3=0,"n.b.",INDEX(SRC_Woningetalage!$A$1:$ZZ$501,$A104,AE$3)))</f>
        <v/>
      </c>
      <c r="AF104" s="124" t="str">
        <f>IF($B104="","",IF(AF$3=0,"n.b.",INDEX(SRC_Woningetalage!$A$1:$ZZ$501,$A104,AF$3)))</f>
        <v/>
      </c>
      <c r="AG104" s="124" t="str">
        <f>IF($B104="","",IF(AG$3=0,"n.b.",INDEX(SRC_Woningetalage!$A$1:$ZZ$501,$A104,AG$3)))</f>
        <v/>
      </c>
      <c r="AH104" s="124" t="str">
        <f>IF($B104="","",IF(AH$3=0,"n.b.",INDEX(SRC_Woningetalage!$A$1:$ZZ$501,$A104,AH$3)))</f>
        <v/>
      </c>
      <c r="AI104" s="124" t="str">
        <f>IF($B104="","",IF(AI$3=0,"n.b.",INDEX(SRC_Woningetalage!$A$1:$ZZ$501,$A104,AI$3)))</f>
        <v/>
      </c>
      <c r="AJ104" s="124" t="str">
        <f>IF($B104="","",IF(AJ$3=0,"n.b.",INDEX(SRC_Woningetalage!$A$1:$ZZ$501,$A104,AJ$3)))</f>
        <v/>
      </c>
      <c r="AK104" s="124" t="str">
        <f>IF($B104="","",IF(AK$3=0,"n.b.",INDEX(SRC_Woningetalage!$A$1:$ZZ$501,$A104,AK$3)))</f>
        <v/>
      </c>
      <c r="AL104" s="124" t="str">
        <f>IF($B104="","",IF(AL$3=0,"n.b.",INDEX(SRC_Woningetalage!$A$1:$ZZ$501,$A104,AL$3)))</f>
        <v/>
      </c>
      <c r="AM104" s="124" t="str">
        <f>IF($B104="","",IF(AM$3=0,"n.b.",INDEX(SRC_Woningetalage!$A$1:$ZZ$501,$A104,AM$3)))</f>
        <v/>
      </c>
      <c r="AN104" s="124" t="str">
        <f>IF($B104="","",IF(AN$3=0,"n.b.",INDEX(SRC_Woningetalage!$A$1:$ZZ$501,$A104,AN$3)))</f>
        <v/>
      </c>
      <c r="AO104" s="124" t="str">
        <f>IF($B104="","",IF(AO$3=0,"n.b.",INDEX(SRC_Woningetalage!$A$1:$ZZ$501,$A104,AO$3)))</f>
        <v/>
      </c>
      <c r="AP104" s="124" t="str">
        <f>IF($B104="","",IF(AP$3=0,"n.b.",INDEX(SRC_Woningetalage!$A$1:$ZZ$501,$A104,AP$3)))</f>
        <v/>
      </c>
      <c r="AQ104" s="124" t="str">
        <f>IF($B104="","",IF(AQ$3=0,"n.b.",INDEX(SRC_Woningetalage!$A$1:$ZZ$501,$A104,AQ$3)))</f>
        <v/>
      </c>
      <c r="AR104" s="124" t="str">
        <f>IF($B104="","",IF(AR$3=0,"n.b.",INDEX(SRC_Woningetalage!$A$1:$ZZ$501,$A104,AR$3)))</f>
        <v/>
      </c>
      <c r="AS104" s="124" t="str">
        <f>IF($B104="","",IF(AS$3=0,"n.b.",INDEX(SRC_Woningetalage!$A$1:$ZZ$501,$A104,AS$3)))</f>
        <v/>
      </c>
      <c r="AT104" s="124" t="str">
        <f>IF($B104="","",IF(AT$3=0,"n.b.",INDEX(SRC_Woningetalage!$A$1:$ZZ$501,$A104,AT$3)))</f>
        <v/>
      </c>
      <c r="AU104" s="124" t="str">
        <f>IF($B104="","",IF(AU$3=0,"n.b.",INDEX(SRC_Woningetalage!$A$1:$ZZ$501,$A104,AU$3)))</f>
        <v/>
      </c>
      <c r="AV104" s="124" t="str">
        <f>IF($B104="","",IF(AV$3=0,"n.b.",INDEX(SRC_Woningetalage!$A$1:$ZZ$501,$A104,AV$3)))</f>
        <v/>
      </c>
      <c r="AW104" s="124" t="str">
        <f>IF($B104="","",IF(AW$3=0,"n.b.",INDEX(SRC_Woningetalage!$A$1:$ZZ$501,$A104,AW$3)))</f>
        <v/>
      </c>
      <c r="AX104" s="124" t="str">
        <f>IF($B104="","",IF(AX$3=0,"n.b.",INDEX(SRC_Woningetalage!$A$1:$ZZ$501,$A104,AX$3)))</f>
        <v/>
      </c>
      <c r="AY104" s="124" t="str">
        <f>IF($B104="","",IF(AY$3=0,"n.b.",INDEX(SRC_Woningetalage!$A$1:$ZZ$501,$A104,AY$3)))</f>
        <v/>
      </c>
      <c r="AZ104" s="124" t="str">
        <f>IF($B104="","",IF(AZ$3=0,"n.b.",INDEX(SRC_Woningetalage!$A$1:$ZZ$501,$A104,AZ$3)))</f>
        <v/>
      </c>
      <c r="BA104" s="124" t="str">
        <f>IF($B104="","",IF(BA$3=0,"n.b.",INDEX(SRC_Woningetalage!$A$1:$ZZ$501,$A104,BA$3)))</f>
        <v/>
      </c>
      <c r="BB104" s="124" t="str">
        <f>IF($B104="","",IF(BB$3=0,"n.b.",INDEX(SRC_Woningetalage!$A$1:$ZZ$501,$A104,BB$3)))</f>
        <v/>
      </c>
      <c r="BC104" s="124" t="str">
        <f>IF($B104="","",IFERROR(_xlfn.NUMBERVALUE(E104&amp;"",",","."),"n.b."))</f>
        <v/>
      </c>
      <c r="BD104" s="124" t="str">
        <f>IF($B104="","",IFERROR(_xlfn.NUMBERVALUE(M104&amp;"",",","."),"n.b."))</f>
        <v/>
      </c>
      <c r="BE104" s="124" t="str">
        <f>IF($B104="","",IFERROR(AB104+AC104+AD104,"n.b."))</f>
        <v/>
      </c>
      <c r="BF104" s="124" t="str">
        <f>IF($B104="","",IFERROR(AE104+AF104+AG104,"n.b."))</f>
        <v/>
      </c>
      <c r="BG104" s="124" t="str">
        <f>IF($B104="","",IFERROR(AH104+AI104+AJ104,"n.b."))</f>
        <v/>
      </c>
      <c r="BH104" s="124" t="str">
        <f>IF($B104="","",IFERROR(AK104+AL104+AM104,"n.b."))</f>
        <v/>
      </c>
      <c r="BI104" s="124" t="str">
        <f>IF($B104="","",IFERROR(SUMIF($AB$5:$AM$5,"&lt;="&amp;P_PeilMaand,AB104:AM104),"n.b."))</f>
        <v/>
      </c>
      <c r="BJ104" s="124" t="str">
        <f>IF($B104="","",IFERROR(SUM(AB104:AM104)-BI104,"n.b."))</f>
        <v/>
      </c>
      <c r="BK104" s="124" t="str">
        <f>IF($B104="","",IFERROR(IF(ABS(Q104-(T104+SUM(AB104:AM104)+AS104+AU104))&gt;P_Tol,1,0),1))</f>
        <v/>
      </c>
      <c r="BL104" s="124" t="str">
        <f>IF($B104="","",IFERROR(IF(ABS(AA104-(Q104-Z104))&gt;P_Tol,1,0),1))</f>
        <v/>
      </c>
      <c r="BM104" s="124" t="str">
        <f>IF($B104="","",IFERROR(IF(ABS(Z104-(T104+W104))&gt;P_Tol,1,0),1))</f>
        <v/>
      </c>
      <c r="BN104" s="124" t="str">
        <f>IF($B104="","",IFERROR(IF(ABS(W104-BI104)&gt;P_Tol,1,0),1))</f>
        <v/>
      </c>
      <c r="BO104" s="124" t="str">
        <f>IF($B104="","",IFERROR(IF(OR(ABS(R104+S104-T104)&gt;P_Tol,ABS(U104+V104-W104)&gt;P_Tol,ABS(X104+Y104-Z104)&gt;P_Tol),1,0),1))</f>
        <v/>
      </c>
      <c r="BP104" s="124" t="str">
        <f>IF($B104="","",IFERROR(IF(OR(ABS(AR104-SUM(AB104:AM104))&gt;P_Tol,ABS(AS104-(AN104+AO104+AP104+AQ104))&gt;P_Tol),1,0),1))</f>
        <v/>
      </c>
      <c r="BQ104" s="124" t="str">
        <f>IF($B104="","",IFERROR(IF(ABS(AT104)+ABS(AV104)+ABS(AW104)+ABS(AX104)+ABS(AY104)+ABS(AZ104)+ABS(BA104)+ABS(BB104)&gt;0,1,0),1))</f>
        <v/>
      </c>
      <c r="BR104" s="124" t="str">
        <f>IF($B104="","",COUNTIF(STG_ZPMW03!$B$6:$B$505,B104))</f>
        <v/>
      </c>
      <c r="BS104" s="124" t="str">
        <f>IF($B104="","",COUNTIF($B$6:$B$505,B104))</f>
        <v/>
      </c>
      <c r="BT104" s="124" t="str">
        <f>IF($B104="","",IF(BR104=0,0,IF(INDEX(STG_ZPMW03!$I$6:$I$505,MATCH(B104,STG_ZPMW03!$B$6:$B$505,0))=J104&amp;"",0,1)))</f>
        <v/>
      </c>
      <c r="BU104" s="124" t="str">
        <f>IF($B104="","",IFERROR(IF(ABS(INDEX(Mapping!$D$5:$D$104,MATCH(B104,Mapping!$A$5:$A$104,0))-Q104)&gt;P_Tol,1,0),0))</f>
        <v/>
      </c>
      <c r="BV104" s="124" t="str">
        <f>IF($B104="","",IFERROR(IF(AND(INDEX(Mapping!$G$5:$G$104,MATCH(B104,Mapping!$A$5:$A$104,0))="Nee",ABS(Q104)+ABS(Z104)+ABS(AR104)&gt;0),1,0),0))</f>
        <v/>
      </c>
      <c r="BW104" s="124" t="str">
        <f>IF($B104="","",IF(COUNTIF(Mapping!$A$5:$A$104,B104)&gt;0,1,0))</f>
        <v/>
      </c>
      <c r="BX104" s="124" t="str">
        <f>IF($B104="","",IF(BR104=0,COUNTIF($BR$6:BR104,0),""))</f>
        <v/>
      </c>
    </row>
    <row r="105">
      <c r="A105" s="15" t="n">
        <v>101</v>
      </c>
      <c r="B105" t="str">
        <f>IF(B$3=0,"",IF(INDEX(SRC_Woningetalage!$A$1:$ZZ$501,$A105,B$3)&amp;""="","",INDEX(SRC_Woningetalage!$A$1:$ZZ$501,$A105,B$3)&amp;""))</f>
        <v/>
      </c>
      <c r="C105" t="str">
        <f>IF($B105="","",IF(C$3=0,"n.b.",INDEX(SRC_Woningetalage!$A$1:$ZZ$501,$A105,C$3)))</f>
        <v/>
      </c>
      <c r="D105" t="str">
        <f>IF($B105="","",IF(D$3=0,"n.b.",INDEX(SRC_Woningetalage!$A$1:$ZZ$501,$A105,D$3)))</f>
        <v/>
      </c>
      <c r="E105" t="str">
        <f>IF($B105="","",IF(E$3=0,"n.b.",INDEX(SRC_Woningetalage!$A$1:$ZZ$501,$A105,E$3)))</f>
        <v/>
      </c>
      <c r="F105" t="str">
        <f>IF($B105="","",IF(F$3=0,"n.b.",INDEX(SRC_Woningetalage!$A$1:$ZZ$501,$A105,F$3)))</f>
        <v/>
      </c>
      <c r="G105" t="str">
        <f>IF($B105="","",IF(G$3=0,"n.b.",INDEX(SRC_Woningetalage!$A$1:$ZZ$501,$A105,G$3)))</f>
        <v/>
      </c>
      <c r="H105" t="str">
        <f>IF($B105="","",IF(H$3=0,"n.b.",INDEX(SRC_Woningetalage!$A$1:$ZZ$501,$A105,H$3)))</f>
        <v/>
      </c>
      <c r="I105" t="str">
        <f>IF($B105="","",IF(I$3=0,"n.b.",INDEX(SRC_Woningetalage!$A$1:$ZZ$501,$A105,I$3)))</f>
        <v/>
      </c>
      <c r="J105" t="str">
        <f>IF($B105="","",IF(J$3=0,"n.b.",INDEX(SRC_Woningetalage!$A$1:$ZZ$501,$A105,J$3)))</f>
        <v/>
      </c>
      <c r="K105" t="str">
        <f>IF($B105="","",IF(K$3=0,"n.b.",INDEX(SRC_Woningetalage!$A$1:$ZZ$501,$A105,K$3)))</f>
        <v/>
      </c>
      <c r="L105" t="str">
        <f>IF($B105="","",IF(L$3=0,"n.b.",INDEX(SRC_Woningetalage!$A$1:$ZZ$501,$A105,L$3)))</f>
        <v/>
      </c>
      <c r="M105" t="str">
        <f>IF($B105="","",IF(M$3=0,"n.b.",INDEX(SRC_Woningetalage!$A$1:$ZZ$501,$A105,M$3)))</f>
        <v/>
      </c>
      <c r="N105" t="str">
        <f>IF($B105="","",IF(N$3=0,"n.b.",INDEX(SRC_Woningetalage!$A$1:$ZZ$501,$A105,N$3)))</f>
        <v/>
      </c>
      <c r="O105" t="str">
        <f>IF($B105="","",IF(O$3=0,"n.b.",INDEX(SRC_Woningetalage!$A$1:$ZZ$501,$A105,O$3)))</f>
        <v/>
      </c>
      <c r="P105" t="str">
        <f>IF($B105="","",IF(P$3=0,"n.b.",INDEX(SRC_Woningetalage!$A$1:$ZZ$501,$A105,P$3)))</f>
        <v/>
      </c>
      <c r="Q105" s="124" t="str">
        <f>IF($B105="","",IF(Q$3=0,"n.b.",INDEX(SRC_Woningetalage!$A$1:$ZZ$501,$A105,Q$3)))</f>
        <v/>
      </c>
      <c r="R105" s="124" t="str">
        <f>IF($B105="","",IF(R$3=0,"n.b.",INDEX(SRC_Woningetalage!$A$1:$ZZ$501,$A105,R$3)))</f>
        <v/>
      </c>
      <c r="S105" s="124" t="str">
        <f>IF($B105="","",IF(S$3=0,"n.b.",INDEX(SRC_Woningetalage!$A$1:$ZZ$501,$A105,S$3)))</f>
        <v/>
      </c>
      <c r="T105" s="124" t="str">
        <f>IF($B105="","",IF(T$3=0,"n.b.",INDEX(SRC_Woningetalage!$A$1:$ZZ$501,$A105,T$3)))</f>
        <v/>
      </c>
      <c r="U105" s="124" t="str">
        <f>IF($B105="","",IF(U$3=0,"n.b.",INDEX(SRC_Woningetalage!$A$1:$ZZ$501,$A105,U$3)))</f>
        <v/>
      </c>
      <c r="V105" s="124" t="str">
        <f>IF($B105="","",IF(V$3=0,"n.b.",INDEX(SRC_Woningetalage!$A$1:$ZZ$501,$A105,V$3)))</f>
        <v/>
      </c>
      <c r="W105" s="124" t="str">
        <f>IF($B105="","",IF(W$3=0,"n.b.",INDEX(SRC_Woningetalage!$A$1:$ZZ$501,$A105,W$3)))</f>
        <v/>
      </c>
      <c r="X105" s="124" t="str">
        <f>IF($B105="","",IF(X$3=0,"n.b.",INDEX(SRC_Woningetalage!$A$1:$ZZ$501,$A105,X$3)))</f>
        <v/>
      </c>
      <c r="Y105" s="124" t="str">
        <f>IF($B105="","",IF(Y$3=0,"n.b.",INDEX(SRC_Woningetalage!$A$1:$ZZ$501,$A105,Y$3)))</f>
        <v/>
      </c>
      <c r="Z105" s="124" t="str">
        <f>IF($B105="","",IF(Z$3=0,"n.b.",INDEX(SRC_Woningetalage!$A$1:$ZZ$501,$A105,Z$3)))</f>
        <v/>
      </c>
      <c r="AA105" s="124" t="str">
        <f>IF($B105="","",IF(AA$3=0,"n.b.",INDEX(SRC_Woningetalage!$A$1:$ZZ$501,$A105,AA$3)))</f>
        <v/>
      </c>
      <c r="AB105" s="124" t="str">
        <f>IF($B105="","",IF(AB$3=0,"n.b.",INDEX(SRC_Woningetalage!$A$1:$ZZ$501,$A105,AB$3)))</f>
        <v/>
      </c>
      <c r="AC105" s="124" t="str">
        <f>IF($B105="","",IF(AC$3=0,"n.b.",INDEX(SRC_Woningetalage!$A$1:$ZZ$501,$A105,AC$3)))</f>
        <v/>
      </c>
      <c r="AD105" s="124" t="str">
        <f>IF($B105="","",IF(AD$3=0,"n.b.",INDEX(SRC_Woningetalage!$A$1:$ZZ$501,$A105,AD$3)))</f>
        <v/>
      </c>
      <c r="AE105" s="124" t="str">
        <f>IF($B105="","",IF(AE$3=0,"n.b.",INDEX(SRC_Woningetalage!$A$1:$ZZ$501,$A105,AE$3)))</f>
        <v/>
      </c>
      <c r="AF105" s="124" t="str">
        <f>IF($B105="","",IF(AF$3=0,"n.b.",INDEX(SRC_Woningetalage!$A$1:$ZZ$501,$A105,AF$3)))</f>
        <v/>
      </c>
      <c r="AG105" s="124" t="str">
        <f>IF($B105="","",IF(AG$3=0,"n.b.",INDEX(SRC_Woningetalage!$A$1:$ZZ$501,$A105,AG$3)))</f>
        <v/>
      </c>
      <c r="AH105" s="124" t="str">
        <f>IF($B105="","",IF(AH$3=0,"n.b.",INDEX(SRC_Woningetalage!$A$1:$ZZ$501,$A105,AH$3)))</f>
        <v/>
      </c>
      <c r="AI105" s="124" t="str">
        <f>IF($B105="","",IF(AI$3=0,"n.b.",INDEX(SRC_Woningetalage!$A$1:$ZZ$501,$A105,AI$3)))</f>
        <v/>
      </c>
      <c r="AJ105" s="124" t="str">
        <f>IF($B105="","",IF(AJ$3=0,"n.b.",INDEX(SRC_Woningetalage!$A$1:$ZZ$501,$A105,AJ$3)))</f>
        <v/>
      </c>
      <c r="AK105" s="124" t="str">
        <f>IF($B105="","",IF(AK$3=0,"n.b.",INDEX(SRC_Woningetalage!$A$1:$ZZ$501,$A105,AK$3)))</f>
        <v/>
      </c>
      <c r="AL105" s="124" t="str">
        <f>IF($B105="","",IF(AL$3=0,"n.b.",INDEX(SRC_Woningetalage!$A$1:$ZZ$501,$A105,AL$3)))</f>
        <v/>
      </c>
      <c r="AM105" s="124" t="str">
        <f>IF($B105="","",IF(AM$3=0,"n.b.",INDEX(SRC_Woningetalage!$A$1:$ZZ$501,$A105,AM$3)))</f>
        <v/>
      </c>
      <c r="AN105" s="124" t="str">
        <f>IF($B105="","",IF(AN$3=0,"n.b.",INDEX(SRC_Woningetalage!$A$1:$ZZ$501,$A105,AN$3)))</f>
        <v/>
      </c>
      <c r="AO105" s="124" t="str">
        <f>IF($B105="","",IF(AO$3=0,"n.b.",INDEX(SRC_Woningetalage!$A$1:$ZZ$501,$A105,AO$3)))</f>
        <v/>
      </c>
      <c r="AP105" s="124" t="str">
        <f>IF($B105="","",IF(AP$3=0,"n.b.",INDEX(SRC_Woningetalage!$A$1:$ZZ$501,$A105,AP$3)))</f>
        <v/>
      </c>
      <c r="AQ105" s="124" t="str">
        <f>IF($B105="","",IF(AQ$3=0,"n.b.",INDEX(SRC_Woningetalage!$A$1:$ZZ$501,$A105,AQ$3)))</f>
        <v/>
      </c>
      <c r="AR105" s="124" t="str">
        <f>IF($B105="","",IF(AR$3=0,"n.b.",INDEX(SRC_Woningetalage!$A$1:$ZZ$501,$A105,AR$3)))</f>
        <v/>
      </c>
      <c r="AS105" s="124" t="str">
        <f>IF($B105="","",IF(AS$3=0,"n.b.",INDEX(SRC_Woningetalage!$A$1:$ZZ$501,$A105,AS$3)))</f>
        <v/>
      </c>
      <c r="AT105" s="124" t="str">
        <f>IF($B105="","",IF(AT$3=0,"n.b.",INDEX(SRC_Woningetalage!$A$1:$ZZ$501,$A105,AT$3)))</f>
        <v/>
      </c>
      <c r="AU105" s="124" t="str">
        <f>IF($B105="","",IF(AU$3=0,"n.b.",INDEX(SRC_Woningetalage!$A$1:$ZZ$501,$A105,AU$3)))</f>
        <v/>
      </c>
      <c r="AV105" s="124" t="str">
        <f>IF($B105="","",IF(AV$3=0,"n.b.",INDEX(SRC_Woningetalage!$A$1:$ZZ$501,$A105,AV$3)))</f>
        <v/>
      </c>
      <c r="AW105" s="124" t="str">
        <f>IF($B105="","",IF(AW$3=0,"n.b.",INDEX(SRC_Woningetalage!$A$1:$ZZ$501,$A105,AW$3)))</f>
        <v/>
      </c>
      <c r="AX105" s="124" t="str">
        <f>IF($B105="","",IF(AX$3=0,"n.b.",INDEX(SRC_Woningetalage!$A$1:$ZZ$501,$A105,AX$3)))</f>
        <v/>
      </c>
      <c r="AY105" s="124" t="str">
        <f>IF($B105="","",IF(AY$3=0,"n.b.",INDEX(SRC_Woningetalage!$A$1:$ZZ$501,$A105,AY$3)))</f>
        <v/>
      </c>
      <c r="AZ105" s="124" t="str">
        <f>IF($B105="","",IF(AZ$3=0,"n.b.",INDEX(SRC_Woningetalage!$A$1:$ZZ$501,$A105,AZ$3)))</f>
        <v/>
      </c>
      <c r="BA105" s="124" t="str">
        <f>IF($B105="","",IF(BA$3=0,"n.b.",INDEX(SRC_Woningetalage!$A$1:$ZZ$501,$A105,BA$3)))</f>
        <v/>
      </c>
      <c r="BB105" s="124" t="str">
        <f>IF($B105="","",IF(BB$3=0,"n.b.",INDEX(SRC_Woningetalage!$A$1:$ZZ$501,$A105,BB$3)))</f>
        <v/>
      </c>
      <c r="BC105" s="124" t="str">
        <f>IF($B105="","",IFERROR(_xlfn.NUMBERVALUE(E105&amp;"",",","."),"n.b."))</f>
        <v/>
      </c>
      <c r="BD105" s="124" t="str">
        <f>IF($B105="","",IFERROR(_xlfn.NUMBERVALUE(M105&amp;"",",","."),"n.b."))</f>
        <v/>
      </c>
      <c r="BE105" s="124" t="str">
        <f>IF($B105="","",IFERROR(AB105+AC105+AD105,"n.b."))</f>
        <v/>
      </c>
      <c r="BF105" s="124" t="str">
        <f>IF($B105="","",IFERROR(AE105+AF105+AG105,"n.b."))</f>
        <v/>
      </c>
      <c r="BG105" s="124" t="str">
        <f>IF($B105="","",IFERROR(AH105+AI105+AJ105,"n.b."))</f>
        <v/>
      </c>
      <c r="BH105" s="124" t="str">
        <f>IF($B105="","",IFERROR(AK105+AL105+AM105,"n.b."))</f>
        <v/>
      </c>
      <c r="BI105" s="124" t="str">
        <f>IF($B105="","",IFERROR(SUMIF($AB$5:$AM$5,"&lt;="&amp;P_PeilMaand,AB105:AM105),"n.b."))</f>
        <v/>
      </c>
      <c r="BJ105" s="124" t="str">
        <f>IF($B105="","",IFERROR(SUM(AB105:AM105)-BI105,"n.b."))</f>
        <v/>
      </c>
      <c r="BK105" s="124" t="str">
        <f>IF($B105="","",IFERROR(IF(ABS(Q105-(T105+SUM(AB105:AM105)+AS105+AU105))&gt;P_Tol,1,0),1))</f>
        <v/>
      </c>
      <c r="BL105" s="124" t="str">
        <f>IF($B105="","",IFERROR(IF(ABS(AA105-(Q105-Z105))&gt;P_Tol,1,0),1))</f>
        <v/>
      </c>
      <c r="BM105" s="124" t="str">
        <f>IF($B105="","",IFERROR(IF(ABS(Z105-(T105+W105))&gt;P_Tol,1,0),1))</f>
        <v/>
      </c>
      <c r="BN105" s="124" t="str">
        <f>IF($B105="","",IFERROR(IF(ABS(W105-BI105)&gt;P_Tol,1,0),1))</f>
        <v/>
      </c>
      <c r="BO105" s="124" t="str">
        <f>IF($B105="","",IFERROR(IF(OR(ABS(R105+S105-T105)&gt;P_Tol,ABS(U105+V105-W105)&gt;P_Tol,ABS(X105+Y105-Z105)&gt;P_Tol),1,0),1))</f>
        <v/>
      </c>
      <c r="BP105" s="124" t="str">
        <f>IF($B105="","",IFERROR(IF(OR(ABS(AR105-SUM(AB105:AM105))&gt;P_Tol,ABS(AS105-(AN105+AO105+AP105+AQ105))&gt;P_Tol),1,0),1))</f>
        <v/>
      </c>
      <c r="BQ105" s="124" t="str">
        <f>IF($B105="","",IFERROR(IF(ABS(AT105)+ABS(AV105)+ABS(AW105)+ABS(AX105)+ABS(AY105)+ABS(AZ105)+ABS(BA105)+ABS(BB105)&gt;0,1,0),1))</f>
        <v/>
      </c>
      <c r="BR105" s="124" t="str">
        <f>IF($B105="","",COUNTIF(STG_ZPMW03!$B$6:$B$505,B105))</f>
        <v/>
      </c>
      <c r="BS105" s="124" t="str">
        <f>IF($B105="","",COUNTIF($B$6:$B$505,B105))</f>
        <v/>
      </c>
      <c r="BT105" s="124" t="str">
        <f>IF($B105="","",IF(BR105=0,0,IF(INDEX(STG_ZPMW03!$I$6:$I$505,MATCH(B105,STG_ZPMW03!$B$6:$B$505,0))=J105&amp;"",0,1)))</f>
        <v/>
      </c>
      <c r="BU105" s="124" t="str">
        <f>IF($B105="","",IFERROR(IF(ABS(INDEX(Mapping!$D$5:$D$104,MATCH(B105,Mapping!$A$5:$A$104,0))-Q105)&gt;P_Tol,1,0),0))</f>
        <v/>
      </c>
      <c r="BV105" s="124" t="str">
        <f>IF($B105="","",IFERROR(IF(AND(INDEX(Mapping!$G$5:$G$104,MATCH(B105,Mapping!$A$5:$A$104,0))="Nee",ABS(Q105)+ABS(Z105)+ABS(AR105)&gt;0),1,0),0))</f>
        <v/>
      </c>
      <c r="BW105" s="124" t="str">
        <f>IF($B105="","",IF(COUNTIF(Mapping!$A$5:$A$104,B105)&gt;0,1,0))</f>
        <v/>
      </c>
      <c r="BX105" s="124" t="str">
        <f>IF($B105="","",IF(BR105=0,COUNTIF($BR$6:BR105,0),""))</f>
        <v/>
      </c>
    </row>
    <row r="106">
      <c r="A106" s="15" t="n">
        <v>102</v>
      </c>
      <c r="B106" t="str">
        <f>IF(B$3=0,"",IF(INDEX(SRC_Woningetalage!$A$1:$ZZ$501,$A106,B$3)&amp;""="","",INDEX(SRC_Woningetalage!$A$1:$ZZ$501,$A106,B$3)&amp;""))</f>
        <v/>
      </c>
      <c r="C106" t="str">
        <f>IF($B106="","",IF(C$3=0,"n.b.",INDEX(SRC_Woningetalage!$A$1:$ZZ$501,$A106,C$3)))</f>
        <v/>
      </c>
      <c r="D106" t="str">
        <f>IF($B106="","",IF(D$3=0,"n.b.",INDEX(SRC_Woningetalage!$A$1:$ZZ$501,$A106,D$3)))</f>
        <v/>
      </c>
      <c r="E106" t="str">
        <f>IF($B106="","",IF(E$3=0,"n.b.",INDEX(SRC_Woningetalage!$A$1:$ZZ$501,$A106,E$3)))</f>
        <v/>
      </c>
      <c r="F106" t="str">
        <f>IF($B106="","",IF(F$3=0,"n.b.",INDEX(SRC_Woningetalage!$A$1:$ZZ$501,$A106,F$3)))</f>
        <v/>
      </c>
      <c r="G106" t="str">
        <f>IF($B106="","",IF(G$3=0,"n.b.",INDEX(SRC_Woningetalage!$A$1:$ZZ$501,$A106,G$3)))</f>
        <v/>
      </c>
      <c r="H106" t="str">
        <f>IF($B106="","",IF(H$3=0,"n.b.",INDEX(SRC_Woningetalage!$A$1:$ZZ$501,$A106,H$3)))</f>
        <v/>
      </c>
      <c r="I106" t="str">
        <f>IF($B106="","",IF(I$3=0,"n.b.",INDEX(SRC_Woningetalage!$A$1:$ZZ$501,$A106,I$3)))</f>
        <v/>
      </c>
      <c r="J106" t="str">
        <f>IF($B106="","",IF(J$3=0,"n.b.",INDEX(SRC_Woningetalage!$A$1:$ZZ$501,$A106,J$3)))</f>
        <v/>
      </c>
      <c r="K106" t="str">
        <f>IF($B106="","",IF(K$3=0,"n.b.",INDEX(SRC_Woningetalage!$A$1:$ZZ$501,$A106,K$3)))</f>
        <v/>
      </c>
      <c r="L106" t="str">
        <f>IF($B106="","",IF(L$3=0,"n.b.",INDEX(SRC_Woningetalage!$A$1:$ZZ$501,$A106,L$3)))</f>
        <v/>
      </c>
      <c r="M106" t="str">
        <f>IF($B106="","",IF(M$3=0,"n.b.",INDEX(SRC_Woningetalage!$A$1:$ZZ$501,$A106,M$3)))</f>
        <v/>
      </c>
      <c r="N106" t="str">
        <f>IF($B106="","",IF(N$3=0,"n.b.",INDEX(SRC_Woningetalage!$A$1:$ZZ$501,$A106,N$3)))</f>
        <v/>
      </c>
      <c r="O106" t="str">
        <f>IF($B106="","",IF(O$3=0,"n.b.",INDEX(SRC_Woningetalage!$A$1:$ZZ$501,$A106,O$3)))</f>
        <v/>
      </c>
      <c r="P106" t="str">
        <f>IF($B106="","",IF(P$3=0,"n.b.",INDEX(SRC_Woningetalage!$A$1:$ZZ$501,$A106,P$3)))</f>
        <v/>
      </c>
      <c r="Q106" s="124" t="str">
        <f>IF($B106="","",IF(Q$3=0,"n.b.",INDEX(SRC_Woningetalage!$A$1:$ZZ$501,$A106,Q$3)))</f>
        <v/>
      </c>
      <c r="R106" s="124" t="str">
        <f>IF($B106="","",IF(R$3=0,"n.b.",INDEX(SRC_Woningetalage!$A$1:$ZZ$501,$A106,R$3)))</f>
        <v/>
      </c>
      <c r="S106" s="124" t="str">
        <f>IF($B106="","",IF(S$3=0,"n.b.",INDEX(SRC_Woningetalage!$A$1:$ZZ$501,$A106,S$3)))</f>
        <v/>
      </c>
      <c r="T106" s="124" t="str">
        <f>IF($B106="","",IF(T$3=0,"n.b.",INDEX(SRC_Woningetalage!$A$1:$ZZ$501,$A106,T$3)))</f>
        <v/>
      </c>
      <c r="U106" s="124" t="str">
        <f>IF($B106="","",IF(U$3=0,"n.b.",INDEX(SRC_Woningetalage!$A$1:$ZZ$501,$A106,U$3)))</f>
        <v/>
      </c>
      <c r="V106" s="124" t="str">
        <f>IF($B106="","",IF(V$3=0,"n.b.",INDEX(SRC_Woningetalage!$A$1:$ZZ$501,$A106,V$3)))</f>
        <v/>
      </c>
      <c r="W106" s="124" t="str">
        <f>IF($B106="","",IF(W$3=0,"n.b.",INDEX(SRC_Woningetalage!$A$1:$ZZ$501,$A106,W$3)))</f>
        <v/>
      </c>
      <c r="X106" s="124" t="str">
        <f>IF($B106="","",IF(X$3=0,"n.b.",INDEX(SRC_Woningetalage!$A$1:$ZZ$501,$A106,X$3)))</f>
        <v/>
      </c>
      <c r="Y106" s="124" t="str">
        <f>IF($B106="","",IF(Y$3=0,"n.b.",INDEX(SRC_Woningetalage!$A$1:$ZZ$501,$A106,Y$3)))</f>
        <v/>
      </c>
      <c r="Z106" s="124" t="str">
        <f>IF($B106="","",IF(Z$3=0,"n.b.",INDEX(SRC_Woningetalage!$A$1:$ZZ$501,$A106,Z$3)))</f>
        <v/>
      </c>
      <c r="AA106" s="124" t="str">
        <f>IF($B106="","",IF(AA$3=0,"n.b.",INDEX(SRC_Woningetalage!$A$1:$ZZ$501,$A106,AA$3)))</f>
        <v/>
      </c>
      <c r="AB106" s="124" t="str">
        <f>IF($B106="","",IF(AB$3=0,"n.b.",INDEX(SRC_Woningetalage!$A$1:$ZZ$501,$A106,AB$3)))</f>
        <v/>
      </c>
      <c r="AC106" s="124" t="str">
        <f>IF($B106="","",IF(AC$3=0,"n.b.",INDEX(SRC_Woningetalage!$A$1:$ZZ$501,$A106,AC$3)))</f>
        <v/>
      </c>
      <c r="AD106" s="124" t="str">
        <f>IF($B106="","",IF(AD$3=0,"n.b.",INDEX(SRC_Woningetalage!$A$1:$ZZ$501,$A106,AD$3)))</f>
        <v/>
      </c>
      <c r="AE106" s="124" t="str">
        <f>IF($B106="","",IF(AE$3=0,"n.b.",INDEX(SRC_Woningetalage!$A$1:$ZZ$501,$A106,AE$3)))</f>
        <v/>
      </c>
      <c r="AF106" s="124" t="str">
        <f>IF($B106="","",IF(AF$3=0,"n.b.",INDEX(SRC_Woningetalage!$A$1:$ZZ$501,$A106,AF$3)))</f>
        <v/>
      </c>
      <c r="AG106" s="124" t="str">
        <f>IF($B106="","",IF(AG$3=0,"n.b.",INDEX(SRC_Woningetalage!$A$1:$ZZ$501,$A106,AG$3)))</f>
        <v/>
      </c>
      <c r="AH106" s="124" t="str">
        <f>IF($B106="","",IF(AH$3=0,"n.b.",INDEX(SRC_Woningetalage!$A$1:$ZZ$501,$A106,AH$3)))</f>
        <v/>
      </c>
      <c r="AI106" s="124" t="str">
        <f>IF($B106="","",IF(AI$3=0,"n.b.",INDEX(SRC_Woningetalage!$A$1:$ZZ$501,$A106,AI$3)))</f>
        <v/>
      </c>
      <c r="AJ106" s="124" t="str">
        <f>IF($B106="","",IF(AJ$3=0,"n.b.",INDEX(SRC_Woningetalage!$A$1:$ZZ$501,$A106,AJ$3)))</f>
        <v/>
      </c>
      <c r="AK106" s="124" t="str">
        <f>IF($B106="","",IF(AK$3=0,"n.b.",INDEX(SRC_Woningetalage!$A$1:$ZZ$501,$A106,AK$3)))</f>
        <v/>
      </c>
      <c r="AL106" s="124" t="str">
        <f>IF($B106="","",IF(AL$3=0,"n.b.",INDEX(SRC_Woningetalage!$A$1:$ZZ$501,$A106,AL$3)))</f>
        <v/>
      </c>
      <c r="AM106" s="124" t="str">
        <f>IF($B106="","",IF(AM$3=0,"n.b.",INDEX(SRC_Woningetalage!$A$1:$ZZ$501,$A106,AM$3)))</f>
        <v/>
      </c>
      <c r="AN106" s="124" t="str">
        <f>IF($B106="","",IF(AN$3=0,"n.b.",INDEX(SRC_Woningetalage!$A$1:$ZZ$501,$A106,AN$3)))</f>
        <v/>
      </c>
      <c r="AO106" s="124" t="str">
        <f>IF($B106="","",IF(AO$3=0,"n.b.",INDEX(SRC_Woningetalage!$A$1:$ZZ$501,$A106,AO$3)))</f>
        <v/>
      </c>
      <c r="AP106" s="124" t="str">
        <f>IF($B106="","",IF(AP$3=0,"n.b.",INDEX(SRC_Woningetalage!$A$1:$ZZ$501,$A106,AP$3)))</f>
        <v/>
      </c>
      <c r="AQ106" s="124" t="str">
        <f>IF($B106="","",IF(AQ$3=0,"n.b.",INDEX(SRC_Woningetalage!$A$1:$ZZ$501,$A106,AQ$3)))</f>
        <v/>
      </c>
      <c r="AR106" s="124" t="str">
        <f>IF($B106="","",IF(AR$3=0,"n.b.",INDEX(SRC_Woningetalage!$A$1:$ZZ$501,$A106,AR$3)))</f>
        <v/>
      </c>
      <c r="AS106" s="124" t="str">
        <f>IF($B106="","",IF(AS$3=0,"n.b.",INDEX(SRC_Woningetalage!$A$1:$ZZ$501,$A106,AS$3)))</f>
        <v/>
      </c>
      <c r="AT106" s="124" t="str">
        <f>IF($B106="","",IF(AT$3=0,"n.b.",INDEX(SRC_Woningetalage!$A$1:$ZZ$501,$A106,AT$3)))</f>
        <v/>
      </c>
      <c r="AU106" s="124" t="str">
        <f>IF($B106="","",IF(AU$3=0,"n.b.",INDEX(SRC_Woningetalage!$A$1:$ZZ$501,$A106,AU$3)))</f>
        <v/>
      </c>
      <c r="AV106" s="124" t="str">
        <f>IF($B106="","",IF(AV$3=0,"n.b.",INDEX(SRC_Woningetalage!$A$1:$ZZ$501,$A106,AV$3)))</f>
        <v/>
      </c>
      <c r="AW106" s="124" t="str">
        <f>IF($B106="","",IF(AW$3=0,"n.b.",INDEX(SRC_Woningetalage!$A$1:$ZZ$501,$A106,AW$3)))</f>
        <v/>
      </c>
      <c r="AX106" s="124" t="str">
        <f>IF($B106="","",IF(AX$3=0,"n.b.",INDEX(SRC_Woningetalage!$A$1:$ZZ$501,$A106,AX$3)))</f>
        <v/>
      </c>
      <c r="AY106" s="124" t="str">
        <f>IF($B106="","",IF(AY$3=0,"n.b.",INDEX(SRC_Woningetalage!$A$1:$ZZ$501,$A106,AY$3)))</f>
        <v/>
      </c>
      <c r="AZ106" s="124" t="str">
        <f>IF($B106="","",IF(AZ$3=0,"n.b.",INDEX(SRC_Woningetalage!$A$1:$ZZ$501,$A106,AZ$3)))</f>
        <v/>
      </c>
      <c r="BA106" s="124" t="str">
        <f>IF($B106="","",IF(BA$3=0,"n.b.",INDEX(SRC_Woningetalage!$A$1:$ZZ$501,$A106,BA$3)))</f>
        <v/>
      </c>
      <c r="BB106" s="124" t="str">
        <f>IF($B106="","",IF(BB$3=0,"n.b.",INDEX(SRC_Woningetalage!$A$1:$ZZ$501,$A106,BB$3)))</f>
        <v/>
      </c>
      <c r="BC106" s="124" t="str">
        <f>IF($B106="","",IFERROR(_xlfn.NUMBERVALUE(E106&amp;"",",","."),"n.b."))</f>
        <v/>
      </c>
      <c r="BD106" s="124" t="str">
        <f>IF($B106="","",IFERROR(_xlfn.NUMBERVALUE(M106&amp;"",",","."),"n.b."))</f>
        <v/>
      </c>
      <c r="BE106" s="124" t="str">
        <f>IF($B106="","",IFERROR(AB106+AC106+AD106,"n.b."))</f>
        <v/>
      </c>
      <c r="BF106" s="124" t="str">
        <f>IF($B106="","",IFERROR(AE106+AF106+AG106,"n.b."))</f>
        <v/>
      </c>
      <c r="BG106" s="124" t="str">
        <f>IF($B106="","",IFERROR(AH106+AI106+AJ106,"n.b."))</f>
        <v/>
      </c>
      <c r="BH106" s="124" t="str">
        <f>IF($B106="","",IFERROR(AK106+AL106+AM106,"n.b."))</f>
        <v/>
      </c>
      <c r="BI106" s="124" t="str">
        <f>IF($B106="","",IFERROR(SUMIF($AB$5:$AM$5,"&lt;="&amp;P_PeilMaand,AB106:AM106),"n.b."))</f>
        <v/>
      </c>
      <c r="BJ106" s="124" t="str">
        <f>IF($B106="","",IFERROR(SUM(AB106:AM106)-BI106,"n.b."))</f>
        <v/>
      </c>
      <c r="BK106" s="124" t="str">
        <f>IF($B106="","",IFERROR(IF(ABS(Q106-(T106+SUM(AB106:AM106)+AS106+AU106))&gt;P_Tol,1,0),1))</f>
        <v/>
      </c>
      <c r="BL106" s="124" t="str">
        <f>IF($B106="","",IFERROR(IF(ABS(AA106-(Q106-Z106))&gt;P_Tol,1,0),1))</f>
        <v/>
      </c>
      <c r="BM106" s="124" t="str">
        <f>IF($B106="","",IFERROR(IF(ABS(Z106-(T106+W106))&gt;P_Tol,1,0),1))</f>
        <v/>
      </c>
      <c r="BN106" s="124" t="str">
        <f>IF($B106="","",IFERROR(IF(ABS(W106-BI106)&gt;P_Tol,1,0),1))</f>
        <v/>
      </c>
      <c r="BO106" s="124" t="str">
        <f>IF($B106="","",IFERROR(IF(OR(ABS(R106+S106-T106)&gt;P_Tol,ABS(U106+V106-W106)&gt;P_Tol,ABS(X106+Y106-Z106)&gt;P_Tol),1,0),1))</f>
        <v/>
      </c>
      <c r="BP106" s="124" t="str">
        <f>IF($B106="","",IFERROR(IF(OR(ABS(AR106-SUM(AB106:AM106))&gt;P_Tol,ABS(AS106-(AN106+AO106+AP106+AQ106))&gt;P_Tol),1,0),1))</f>
        <v/>
      </c>
      <c r="BQ106" s="124" t="str">
        <f>IF($B106="","",IFERROR(IF(ABS(AT106)+ABS(AV106)+ABS(AW106)+ABS(AX106)+ABS(AY106)+ABS(AZ106)+ABS(BA106)+ABS(BB106)&gt;0,1,0),1))</f>
        <v/>
      </c>
      <c r="BR106" s="124" t="str">
        <f>IF($B106="","",COUNTIF(STG_ZPMW03!$B$6:$B$505,B106))</f>
        <v/>
      </c>
      <c r="BS106" s="124" t="str">
        <f>IF($B106="","",COUNTIF($B$6:$B$505,B106))</f>
        <v/>
      </c>
      <c r="BT106" s="124" t="str">
        <f>IF($B106="","",IF(BR106=0,0,IF(INDEX(STG_ZPMW03!$I$6:$I$505,MATCH(B106,STG_ZPMW03!$B$6:$B$505,0))=J106&amp;"",0,1)))</f>
        <v/>
      </c>
      <c r="BU106" s="124" t="str">
        <f>IF($B106="","",IFERROR(IF(ABS(INDEX(Mapping!$D$5:$D$104,MATCH(B106,Mapping!$A$5:$A$104,0))-Q106)&gt;P_Tol,1,0),0))</f>
        <v/>
      </c>
      <c r="BV106" s="124" t="str">
        <f>IF($B106="","",IFERROR(IF(AND(INDEX(Mapping!$G$5:$G$104,MATCH(B106,Mapping!$A$5:$A$104,0))="Nee",ABS(Q106)+ABS(Z106)+ABS(AR106)&gt;0),1,0),0))</f>
        <v/>
      </c>
      <c r="BW106" s="124" t="str">
        <f>IF($B106="","",IF(COUNTIF(Mapping!$A$5:$A$104,B106)&gt;0,1,0))</f>
        <v/>
      </c>
      <c r="BX106" s="124" t="str">
        <f>IF($B106="","",IF(BR106=0,COUNTIF($BR$6:BR106,0),""))</f>
        <v/>
      </c>
    </row>
    <row r="107">
      <c r="A107" s="15" t="n">
        <v>103</v>
      </c>
      <c r="B107" t="str">
        <f>IF(B$3=0,"",IF(INDEX(SRC_Woningetalage!$A$1:$ZZ$501,$A107,B$3)&amp;""="","",INDEX(SRC_Woningetalage!$A$1:$ZZ$501,$A107,B$3)&amp;""))</f>
        <v/>
      </c>
      <c r="C107" t="str">
        <f>IF($B107="","",IF(C$3=0,"n.b.",INDEX(SRC_Woningetalage!$A$1:$ZZ$501,$A107,C$3)))</f>
        <v/>
      </c>
      <c r="D107" t="str">
        <f>IF($B107="","",IF(D$3=0,"n.b.",INDEX(SRC_Woningetalage!$A$1:$ZZ$501,$A107,D$3)))</f>
        <v/>
      </c>
      <c r="E107" t="str">
        <f>IF($B107="","",IF(E$3=0,"n.b.",INDEX(SRC_Woningetalage!$A$1:$ZZ$501,$A107,E$3)))</f>
        <v/>
      </c>
      <c r="F107" t="str">
        <f>IF($B107="","",IF(F$3=0,"n.b.",INDEX(SRC_Woningetalage!$A$1:$ZZ$501,$A107,F$3)))</f>
        <v/>
      </c>
      <c r="G107" t="str">
        <f>IF($B107="","",IF(G$3=0,"n.b.",INDEX(SRC_Woningetalage!$A$1:$ZZ$501,$A107,G$3)))</f>
        <v/>
      </c>
      <c r="H107" t="str">
        <f>IF($B107="","",IF(H$3=0,"n.b.",INDEX(SRC_Woningetalage!$A$1:$ZZ$501,$A107,H$3)))</f>
        <v/>
      </c>
      <c r="I107" t="str">
        <f>IF($B107="","",IF(I$3=0,"n.b.",INDEX(SRC_Woningetalage!$A$1:$ZZ$501,$A107,I$3)))</f>
        <v/>
      </c>
      <c r="J107" t="str">
        <f>IF($B107="","",IF(J$3=0,"n.b.",INDEX(SRC_Woningetalage!$A$1:$ZZ$501,$A107,J$3)))</f>
        <v/>
      </c>
      <c r="K107" t="str">
        <f>IF($B107="","",IF(K$3=0,"n.b.",INDEX(SRC_Woningetalage!$A$1:$ZZ$501,$A107,K$3)))</f>
        <v/>
      </c>
      <c r="L107" t="str">
        <f>IF($B107="","",IF(L$3=0,"n.b.",INDEX(SRC_Woningetalage!$A$1:$ZZ$501,$A107,L$3)))</f>
        <v/>
      </c>
      <c r="M107" t="str">
        <f>IF($B107="","",IF(M$3=0,"n.b.",INDEX(SRC_Woningetalage!$A$1:$ZZ$501,$A107,M$3)))</f>
        <v/>
      </c>
      <c r="N107" t="str">
        <f>IF($B107="","",IF(N$3=0,"n.b.",INDEX(SRC_Woningetalage!$A$1:$ZZ$501,$A107,N$3)))</f>
        <v/>
      </c>
      <c r="O107" t="str">
        <f>IF($B107="","",IF(O$3=0,"n.b.",INDEX(SRC_Woningetalage!$A$1:$ZZ$501,$A107,O$3)))</f>
        <v/>
      </c>
      <c r="P107" t="str">
        <f>IF($B107="","",IF(P$3=0,"n.b.",INDEX(SRC_Woningetalage!$A$1:$ZZ$501,$A107,P$3)))</f>
        <v/>
      </c>
      <c r="Q107" s="124" t="str">
        <f>IF($B107="","",IF(Q$3=0,"n.b.",INDEX(SRC_Woningetalage!$A$1:$ZZ$501,$A107,Q$3)))</f>
        <v/>
      </c>
      <c r="R107" s="124" t="str">
        <f>IF($B107="","",IF(R$3=0,"n.b.",INDEX(SRC_Woningetalage!$A$1:$ZZ$501,$A107,R$3)))</f>
        <v/>
      </c>
      <c r="S107" s="124" t="str">
        <f>IF($B107="","",IF(S$3=0,"n.b.",INDEX(SRC_Woningetalage!$A$1:$ZZ$501,$A107,S$3)))</f>
        <v/>
      </c>
      <c r="T107" s="124" t="str">
        <f>IF($B107="","",IF(T$3=0,"n.b.",INDEX(SRC_Woningetalage!$A$1:$ZZ$501,$A107,T$3)))</f>
        <v/>
      </c>
      <c r="U107" s="124" t="str">
        <f>IF($B107="","",IF(U$3=0,"n.b.",INDEX(SRC_Woningetalage!$A$1:$ZZ$501,$A107,U$3)))</f>
        <v/>
      </c>
      <c r="V107" s="124" t="str">
        <f>IF($B107="","",IF(V$3=0,"n.b.",INDEX(SRC_Woningetalage!$A$1:$ZZ$501,$A107,V$3)))</f>
        <v/>
      </c>
      <c r="W107" s="124" t="str">
        <f>IF($B107="","",IF(W$3=0,"n.b.",INDEX(SRC_Woningetalage!$A$1:$ZZ$501,$A107,W$3)))</f>
        <v/>
      </c>
      <c r="X107" s="124" t="str">
        <f>IF($B107="","",IF(X$3=0,"n.b.",INDEX(SRC_Woningetalage!$A$1:$ZZ$501,$A107,X$3)))</f>
        <v/>
      </c>
      <c r="Y107" s="124" t="str">
        <f>IF($B107="","",IF(Y$3=0,"n.b.",INDEX(SRC_Woningetalage!$A$1:$ZZ$501,$A107,Y$3)))</f>
        <v/>
      </c>
      <c r="Z107" s="124" t="str">
        <f>IF($B107="","",IF(Z$3=0,"n.b.",INDEX(SRC_Woningetalage!$A$1:$ZZ$501,$A107,Z$3)))</f>
        <v/>
      </c>
      <c r="AA107" s="124" t="str">
        <f>IF($B107="","",IF(AA$3=0,"n.b.",INDEX(SRC_Woningetalage!$A$1:$ZZ$501,$A107,AA$3)))</f>
        <v/>
      </c>
      <c r="AB107" s="124" t="str">
        <f>IF($B107="","",IF(AB$3=0,"n.b.",INDEX(SRC_Woningetalage!$A$1:$ZZ$501,$A107,AB$3)))</f>
        <v/>
      </c>
      <c r="AC107" s="124" t="str">
        <f>IF($B107="","",IF(AC$3=0,"n.b.",INDEX(SRC_Woningetalage!$A$1:$ZZ$501,$A107,AC$3)))</f>
        <v/>
      </c>
      <c r="AD107" s="124" t="str">
        <f>IF($B107="","",IF(AD$3=0,"n.b.",INDEX(SRC_Woningetalage!$A$1:$ZZ$501,$A107,AD$3)))</f>
        <v/>
      </c>
      <c r="AE107" s="124" t="str">
        <f>IF($B107="","",IF(AE$3=0,"n.b.",INDEX(SRC_Woningetalage!$A$1:$ZZ$501,$A107,AE$3)))</f>
        <v/>
      </c>
      <c r="AF107" s="124" t="str">
        <f>IF($B107="","",IF(AF$3=0,"n.b.",INDEX(SRC_Woningetalage!$A$1:$ZZ$501,$A107,AF$3)))</f>
        <v/>
      </c>
      <c r="AG107" s="124" t="str">
        <f>IF($B107="","",IF(AG$3=0,"n.b.",INDEX(SRC_Woningetalage!$A$1:$ZZ$501,$A107,AG$3)))</f>
        <v/>
      </c>
      <c r="AH107" s="124" t="str">
        <f>IF($B107="","",IF(AH$3=0,"n.b.",INDEX(SRC_Woningetalage!$A$1:$ZZ$501,$A107,AH$3)))</f>
        <v/>
      </c>
      <c r="AI107" s="124" t="str">
        <f>IF($B107="","",IF(AI$3=0,"n.b.",INDEX(SRC_Woningetalage!$A$1:$ZZ$501,$A107,AI$3)))</f>
        <v/>
      </c>
      <c r="AJ107" s="124" t="str">
        <f>IF($B107="","",IF(AJ$3=0,"n.b.",INDEX(SRC_Woningetalage!$A$1:$ZZ$501,$A107,AJ$3)))</f>
        <v/>
      </c>
      <c r="AK107" s="124" t="str">
        <f>IF($B107="","",IF(AK$3=0,"n.b.",INDEX(SRC_Woningetalage!$A$1:$ZZ$501,$A107,AK$3)))</f>
        <v/>
      </c>
      <c r="AL107" s="124" t="str">
        <f>IF($B107="","",IF(AL$3=0,"n.b.",INDEX(SRC_Woningetalage!$A$1:$ZZ$501,$A107,AL$3)))</f>
        <v/>
      </c>
      <c r="AM107" s="124" t="str">
        <f>IF($B107="","",IF(AM$3=0,"n.b.",INDEX(SRC_Woningetalage!$A$1:$ZZ$501,$A107,AM$3)))</f>
        <v/>
      </c>
      <c r="AN107" s="124" t="str">
        <f>IF($B107="","",IF(AN$3=0,"n.b.",INDEX(SRC_Woningetalage!$A$1:$ZZ$501,$A107,AN$3)))</f>
        <v/>
      </c>
      <c r="AO107" s="124" t="str">
        <f>IF($B107="","",IF(AO$3=0,"n.b.",INDEX(SRC_Woningetalage!$A$1:$ZZ$501,$A107,AO$3)))</f>
        <v/>
      </c>
      <c r="AP107" s="124" t="str">
        <f>IF($B107="","",IF(AP$3=0,"n.b.",INDEX(SRC_Woningetalage!$A$1:$ZZ$501,$A107,AP$3)))</f>
        <v/>
      </c>
      <c r="AQ107" s="124" t="str">
        <f>IF($B107="","",IF(AQ$3=0,"n.b.",INDEX(SRC_Woningetalage!$A$1:$ZZ$501,$A107,AQ$3)))</f>
        <v/>
      </c>
      <c r="AR107" s="124" t="str">
        <f>IF($B107="","",IF(AR$3=0,"n.b.",INDEX(SRC_Woningetalage!$A$1:$ZZ$501,$A107,AR$3)))</f>
        <v/>
      </c>
      <c r="AS107" s="124" t="str">
        <f>IF($B107="","",IF(AS$3=0,"n.b.",INDEX(SRC_Woningetalage!$A$1:$ZZ$501,$A107,AS$3)))</f>
        <v/>
      </c>
      <c r="AT107" s="124" t="str">
        <f>IF($B107="","",IF(AT$3=0,"n.b.",INDEX(SRC_Woningetalage!$A$1:$ZZ$501,$A107,AT$3)))</f>
        <v/>
      </c>
      <c r="AU107" s="124" t="str">
        <f>IF($B107="","",IF(AU$3=0,"n.b.",INDEX(SRC_Woningetalage!$A$1:$ZZ$501,$A107,AU$3)))</f>
        <v/>
      </c>
      <c r="AV107" s="124" t="str">
        <f>IF($B107="","",IF(AV$3=0,"n.b.",INDEX(SRC_Woningetalage!$A$1:$ZZ$501,$A107,AV$3)))</f>
        <v/>
      </c>
      <c r="AW107" s="124" t="str">
        <f>IF($B107="","",IF(AW$3=0,"n.b.",INDEX(SRC_Woningetalage!$A$1:$ZZ$501,$A107,AW$3)))</f>
        <v/>
      </c>
      <c r="AX107" s="124" t="str">
        <f>IF($B107="","",IF(AX$3=0,"n.b.",INDEX(SRC_Woningetalage!$A$1:$ZZ$501,$A107,AX$3)))</f>
        <v/>
      </c>
      <c r="AY107" s="124" t="str">
        <f>IF($B107="","",IF(AY$3=0,"n.b.",INDEX(SRC_Woningetalage!$A$1:$ZZ$501,$A107,AY$3)))</f>
        <v/>
      </c>
      <c r="AZ107" s="124" t="str">
        <f>IF($B107="","",IF(AZ$3=0,"n.b.",INDEX(SRC_Woningetalage!$A$1:$ZZ$501,$A107,AZ$3)))</f>
        <v/>
      </c>
      <c r="BA107" s="124" t="str">
        <f>IF($B107="","",IF(BA$3=0,"n.b.",INDEX(SRC_Woningetalage!$A$1:$ZZ$501,$A107,BA$3)))</f>
        <v/>
      </c>
      <c r="BB107" s="124" t="str">
        <f>IF($B107="","",IF(BB$3=0,"n.b.",INDEX(SRC_Woningetalage!$A$1:$ZZ$501,$A107,BB$3)))</f>
        <v/>
      </c>
      <c r="BC107" s="124" t="str">
        <f>IF($B107="","",IFERROR(_xlfn.NUMBERVALUE(E107&amp;"",",","."),"n.b."))</f>
        <v/>
      </c>
      <c r="BD107" s="124" t="str">
        <f>IF($B107="","",IFERROR(_xlfn.NUMBERVALUE(M107&amp;"",",","."),"n.b."))</f>
        <v/>
      </c>
      <c r="BE107" s="124" t="str">
        <f>IF($B107="","",IFERROR(AB107+AC107+AD107,"n.b."))</f>
        <v/>
      </c>
      <c r="BF107" s="124" t="str">
        <f>IF($B107="","",IFERROR(AE107+AF107+AG107,"n.b."))</f>
        <v/>
      </c>
      <c r="BG107" s="124" t="str">
        <f>IF($B107="","",IFERROR(AH107+AI107+AJ107,"n.b."))</f>
        <v/>
      </c>
      <c r="BH107" s="124" t="str">
        <f>IF($B107="","",IFERROR(AK107+AL107+AM107,"n.b."))</f>
        <v/>
      </c>
      <c r="BI107" s="124" t="str">
        <f>IF($B107="","",IFERROR(SUMIF($AB$5:$AM$5,"&lt;="&amp;P_PeilMaand,AB107:AM107),"n.b."))</f>
        <v/>
      </c>
      <c r="BJ107" s="124" t="str">
        <f>IF($B107="","",IFERROR(SUM(AB107:AM107)-BI107,"n.b."))</f>
        <v/>
      </c>
      <c r="BK107" s="124" t="str">
        <f>IF($B107="","",IFERROR(IF(ABS(Q107-(T107+SUM(AB107:AM107)+AS107+AU107))&gt;P_Tol,1,0),1))</f>
        <v/>
      </c>
      <c r="BL107" s="124" t="str">
        <f>IF($B107="","",IFERROR(IF(ABS(AA107-(Q107-Z107))&gt;P_Tol,1,0),1))</f>
        <v/>
      </c>
      <c r="BM107" s="124" t="str">
        <f>IF($B107="","",IFERROR(IF(ABS(Z107-(T107+W107))&gt;P_Tol,1,0),1))</f>
        <v/>
      </c>
      <c r="BN107" s="124" t="str">
        <f>IF($B107="","",IFERROR(IF(ABS(W107-BI107)&gt;P_Tol,1,0),1))</f>
        <v/>
      </c>
      <c r="BO107" s="124" t="str">
        <f>IF($B107="","",IFERROR(IF(OR(ABS(R107+S107-T107)&gt;P_Tol,ABS(U107+V107-W107)&gt;P_Tol,ABS(X107+Y107-Z107)&gt;P_Tol),1,0),1))</f>
        <v/>
      </c>
      <c r="BP107" s="124" t="str">
        <f>IF($B107="","",IFERROR(IF(OR(ABS(AR107-SUM(AB107:AM107))&gt;P_Tol,ABS(AS107-(AN107+AO107+AP107+AQ107))&gt;P_Tol),1,0),1))</f>
        <v/>
      </c>
      <c r="BQ107" s="124" t="str">
        <f>IF($B107="","",IFERROR(IF(ABS(AT107)+ABS(AV107)+ABS(AW107)+ABS(AX107)+ABS(AY107)+ABS(AZ107)+ABS(BA107)+ABS(BB107)&gt;0,1,0),1))</f>
        <v/>
      </c>
      <c r="BR107" s="124" t="str">
        <f>IF($B107="","",COUNTIF(STG_ZPMW03!$B$6:$B$505,B107))</f>
        <v/>
      </c>
      <c r="BS107" s="124" t="str">
        <f>IF($B107="","",COUNTIF($B$6:$B$505,B107))</f>
        <v/>
      </c>
      <c r="BT107" s="124" t="str">
        <f>IF($B107="","",IF(BR107=0,0,IF(INDEX(STG_ZPMW03!$I$6:$I$505,MATCH(B107,STG_ZPMW03!$B$6:$B$505,0))=J107&amp;"",0,1)))</f>
        <v/>
      </c>
      <c r="BU107" s="124" t="str">
        <f>IF($B107="","",IFERROR(IF(ABS(INDEX(Mapping!$D$5:$D$104,MATCH(B107,Mapping!$A$5:$A$104,0))-Q107)&gt;P_Tol,1,0),0))</f>
        <v/>
      </c>
      <c r="BV107" s="124" t="str">
        <f>IF($B107="","",IFERROR(IF(AND(INDEX(Mapping!$G$5:$G$104,MATCH(B107,Mapping!$A$5:$A$104,0))="Nee",ABS(Q107)+ABS(Z107)+ABS(AR107)&gt;0),1,0),0))</f>
        <v/>
      </c>
      <c r="BW107" s="124" t="str">
        <f>IF($B107="","",IF(COUNTIF(Mapping!$A$5:$A$104,B107)&gt;0,1,0))</f>
        <v/>
      </c>
      <c r="BX107" s="124" t="str">
        <f>IF($B107="","",IF(BR107=0,COUNTIF($BR$6:BR107,0),""))</f>
        <v/>
      </c>
    </row>
    <row r="108">
      <c r="A108" s="15" t="n">
        <v>104</v>
      </c>
      <c r="B108" t="str">
        <f>IF(B$3=0,"",IF(INDEX(SRC_Woningetalage!$A$1:$ZZ$501,$A108,B$3)&amp;""="","",INDEX(SRC_Woningetalage!$A$1:$ZZ$501,$A108,B$3)&amp;""))</f>
        <v/>
      </c>
      <c r="C108" t="str">
        <f>IF($B108="","",IF(C$3=0,"n.b.",INDEX(SRC_Woningetalage!$A$1:$ZZ$501,$A108,C$3)))</f>
        <v/>
      </c>
      <c r="D108" t="str">
        <f>IF($B108="","",IF(D$3=0,"n.b.",INDEX(SRC_Woningetalage!$A$1:$ZZ$501,$A108,D$3)))</f>
        <v/>
      </c>
      <c r="E108" t="str">
        <f>IF($B108="","",IF(E$3=0,"n.b.",INDEX(SRC_Woningetalage!$A$1:$ZZ$501,$A108,E$3)))</f>
        <v/>
      </c>
      <c r="F108" t="str">
        <f>IF($B108="","",IF(F$3=0,"n.b.",INDEX(SRC_Woningetalage!$A$1:$ZZ$501,$A108,F$3)))</f>
        <v/>
      </c>
      <c r="G108" t="str">
        <f>IF($B108="","",IF(G$3=0,"n.b.",INDEX(SRC_Woningetalage!$A$1:$ZZ$501,$A108,G$3)))</f>
        <v/>
      </c>
      <c r="H108" t="str">
        <f>IF($B108="","",IF(H$3=0,"n.b.",INDEX(SRC_Woningetalage!$A$1:$ZZ$501,$A108,H$3)))</f>
        <v/>
      </c>
      <c r="I108" t="str">
        <f>IF($B108="","",IF(I$3=0,"n.b.",INDEX(SRC_Woningetalage!$A$1:$ZZ$501,$A108,I$3)))</f>
        <v/>
      </c>
      <c r="J108" t="str">
        <f>IF($B108="","",IF(J$3=0,"n.b.",INDEX(SRC_Woningetalage!$A$1:$ZZ$501,$A108,J$3)))</f>
        <v/>
      </c>
      <c r="K108" t="str">
        <f>IF($B108="","",IF(K$3=0,"n.b.",INDEX(SRC_Woningetalage!$A$1:$ZZ$501,$A108,K$3)))</f>
        <v/>
      </c>
      <c r="L108" t="str">
        <f>IF($B108="","",IF(L$3=0,"n.b.",INDEX(SRC_Woningetalage!$A$1:$ZZ$501,$A108,L$3)))</f>
        <v/>
      </c>
      <c r="M108" t="str">
        <f>IF($B108="","",IF(M$3=0,"n.b.",INDEX(SRC_Woningetalage!$A$1:$ZZ$501,$A108,M$3)))</f>
        <v/>
      </c>
      <c r="N108" t="str">
        <f>IF($B108="","",IF(N$3=0,"n.b.",INDEX(SRC_Woningetalage!$A$1:$ZZ$501,$A108,N$3)))</f>
        <v/>
      </c>
      <c r="O108" t="str">
        <f>IF($B108="","",IF(O$3=0,"n.b.",INDEX(SRC_Woningetalage!$A$1:$ZZ$501,$A108,O$3)))</f>
        <v/>
      </c>
      <c r="P108" t="str">
        <f>IF($B108="","",IF(P$3=0,"n.b.",INDEX(SRC_Woningetalage!$A$1:$ZZ$501,$A108,P$3)))</f>
        <v/>
      </c>
      <c r="Q108" s="124" t="str">
        <f>IF($B108="","",IF(Q$3=0,"n.b.",INDEX(SRC_Woningetalage!$A$1:$ZZ$501,$A108,Q$3)))</f>
        <v/>
      </c>
      <c r="R108" s="124" t="str">
        <f>IF($B108="","",IF(R$3=0,"n.b.",INDEX(SRC_Woningetalage!$A$1:$ZZ$501,$A108,R$3)))</f>
        <v/>
      </c>
      <c r="S108" s="124" t="str">
        <f>IF($B108="","",IF(S$3=0,"n.b.",INDEX(SRC_Woningetalage!$A$1:$ZZ$501,$A108,S$3)))</f>
        <v/>
      </c>
      <c r="T108" s="124" t="str">
        <f>IF($B108="","",IF(T$3=0,"n.b.",INDEX(SRC_Woningetalage!$A$1:$ZZ$501,$A108,T$3)))</f>
        <v/>
      </c>
      <c r="U108" s="124" t="str">
        <f>IF($B108="","",IF(U$3=0,"n.b.",INDEX(SRC_Woningetalage!$A$1:$ZZ$501,$A108,U$3)))</f>
        <v/>
      </c>
      <c r="V108" s="124" t="str">
        <f>IF($B108="","",IF(V$3=0,"n.b.",INDEX(SRC_Woningetalage!$A$1:$ZZ$501,$A108,V$3)))</f>
        <v/>
      </c>
      <c r="W108" s="124" t="str">
        <f>IF($B108="","",IF(W$3=0,"n.b.",INDEX(SRC_Woningetalage!$A$1:$ZZ$501,$A108,W$3)))</f>
        <v/>
      </c>
      <c r="X108" s="124" t="str">
        <f>IF($B108="","",IF(X$3=0,"n.b.",INDEX(SRC_Woningetalage!$A$1:$ZZ$501,$A108,X$3)))</f>
        <v/>
      </c>
      <c r="Y108" s="124" t="str">
        <f>IF($B108="","",IF(Y$3=0,"n.b.",INDEX(SRC_Woningetalage!$A$1:$ZZ$501,$A108,Y$3)))</f>
        <v/>
      </c>
      <c r="Z108" s="124" t="str">
        <f>IF($B108="","",IF(Z$3=0,"n.b.",INDEX(SRC_Woningetalage!$A$1:$ZZ$501,$A108,Z$3)))</f>
        <v/>
      </c>
      <c r="AA108" s="124" t="str">
        <f>IF($B108="","",IF(AA$3=0,"n.b.",INDEX(SRC_Woningetalage!$A$1:$ZZ$501,$A108,AA$3)))</f>
        <v/>
      </c>
      <c r="AB108" s="124" t="str">
        <f>IF($B108="","",IF(AB$3=0,"n.b.",INDEX(SRC_Woningetalage!$A$1:$ZZ$501,$A108,AB$3)))</f>
        <v/>
      </c>
      <c r="AC108" s="124" t="str">
        <f>IF($B108="","",IF(AC$3=0,"n.b.",INDEX(SRC_Woningetalage!$A$1:$ZZ$501,$A108,AC$3)))</f>
        <v/>
      </c>
      <c r="AD108" s="124" t="str">
        <f>IF($B108="","",IF(AD$3=0,"n.b.",INDEX(SRC_Woningetalage!$A$1:$ZZ$501,$A108,AD$3)))</f>
        <v/>
      </c>
      <c r="AE108" s="124" t="str">
        <f>IF($B108="","",IF(AE$3=0,"n.b.",INDEX(SRC_Woningetalage!$A$1:$ZZ$501,$A108,AE$3)))</f>
        <v/>
      </c>
      <c r="AF108" s="124" t="str">
        <f>IF($B108="","",IF(AF$3=0,"n.b.",INDEX(SRC_Woningetalage!$A$1:$ZZ$501,$A108,AF$3)))</f>
        <v/>
      </c>
      <c r="AG108" s="124" t="str">
        <f>IF($B108="","",IF(AG$3=0,"n.b.",INDEX(SRC_Woningetalage!$A$1:$ZZ$501,$A108,AG$3)))</f>
        <v/>
      </c>
      <c r="AH108" s="124" t="str">
        <f>IF($B108="","",IF(AH$3=0,"n.b.",INDEX(SRC_Woningetalage!$A$1:$ZZ$501,$A108,AH$3)))</f>
        <v/>
      </c>
      <c r="AI108" s="124" t="str">
        <f>IF($B108="","",IF(AI$3=0,"n.b.",INDEX(SRC_Woningetalage!$A$1:$ZZ$501,$A108,AI$3)))</f>
        <v/>
      </c>
      <c r="AJ108" s="124" t="str">
        <f>IF($B108="","",IF(AJ$3=0,"n.b.",INDEX(SRC_Woningetalage!$A$1:$ZZ$501,$A108,AJ$3)))</f>
        <v/>
      </c>
      <c r="AK108" s="124" t="str">
        <f>IF($B108="","",IF(AK$3=0,"n.b.",INDEX(SRC_Woningetalage!$A$1:$ZZ$501,$A108,AK$3)))</f>
        <v/>
      </c>
      <c r="AL108" s="124" t="str">
        <f>IF($B108="","",IF(AL$3=0,"n.b.",INDEX(SRC_Woningetalage!$A$1:$ZZ$501,$A108,AL$3)))</f>
        <v/>
      </c>
      <c r="AM108" s="124" t="str">
        <f>IF($B108="","",IF(AM$3=0,"n.b.",INDEX(SRC_Woningetalage!$A$1:$ZZ$501,$A108,AM$3)))</f>
        <v/>
      </c>
      <c r="AN108" s="124" t="str">
        <f>IF($B108="","",IF(AN$3=0,"n.b.",INDEX(SRC_Woningetalage!$A$1:$ZZ$501,$A108,AN$3)))</f>
        <v/>
      </c>
      <c r="AO108" s="124" t="str">
        <f>IF($B108="","",IF(AO$3=0,"n.b.",INDEX(SRC_Woningetalage!$A$1:$ZZ$501,$A108,AO$3)))</f>
        <v/>
      </c>
      <c r="AP108" s="124" t="str">
        <f>IF($B108="","",IF(AP$3=0,"n.b.",INDEX(SRC_Woningetalage!$A$1:$ZZ$501,$A108,AP$3)))</f>
        <v/>
      </c>
      <c r="AQ108" s="124" t="str">
        <f>IF($B108="","",IF(AQ$3=0,"n.b.",INDEX(SRC_Woningetalage!$A$1:$ZZ$501,$A108,AQ$3)))</f>
        <v/>
      </c>
      <c r="AR108" s="124" t="str">
        <f>IF($B108="","",IF(AR$3=0,"n.b.",INDEX(SRC_Woningetalage!$A$1:$ZZ$501,$A108,AR$3)))</f>
        <v/>
      </c>
      <c r="AS108" s="124" t="str">
        <f>IF($B108="","",IF(AS$3=0,"n.b.",INDEX(SRC_Woningetalage!$A$1:$ZZ$501,$A108,AS$3)))</f>
        <v/>
      </c>
      <c r="AT108" s="124" t="str">
        <f>IF($B108="","",IF(AT$3=0,"n.b.",INDEX(SRC_Woningetalage!$A$1:$ZZ$501,$A108,AT$3)))</f>
        <v/>
      </c>
      <c r="AU108" s="124" t="str">
        <f>IF($B108="","",IF(AU$3=0,"n.b.",INDEX(SRC_Woningetalage!$A$1:$ZZ$501,$A108,AU$3)))</f>
        <v/>
      </c>
      <c r="AV108" s="124" t="str">
        <f>IF($B108="","",IF(AV$3=0,"n.b.",INDEX(SRC_Woningetalage!$A$1:$ZZ$501,$A108,AV$3)))</f>
        <v/>
      </c>
      <c r="AW108" s="124" t="str">
        <f>IF($B108="","",IF(AW$3=0,"n.b.",INDEX(SRC_Woningetalage!$A$1:$ZZ$501,$A108,AW$3)))</f>
        <v/>
      </c>
      <c r="AX108" s="124" t="str">
        <f>IF($B108="","",IF(AX$3=0,"n.b.",INDEX(SRC_Woningetalage!$A$1:$ZZ$501,$A108,AX$3)))</f>
        <v/>
      </c>
      <c r="AY108" s="124" t="str">
        <f>IF($B108="","",IF(AY$3=0,"n.b.",INDEX(SRC_Woningetalage!$A$1:$ZZ$501,$A108,AY$3)))</f>
        <v/>
      </c>
      <c r="AZ108" s="124" t="str">
        <f>IF($B108="","",IF(AZ$3=0,"n.b.",INDEX(SRC_Woningetalage!$A$1:$ZZ$501,$A108,AZ$3)))</f>
        <v/>
      </c>
      <c r="BA108" s="124" t="str">
        <f>IF($B108="","",IF(BA$3=0,"n.b.",INDEX(SRC_Woningetalage!$A$1:$ZZ$501,$A108,BA$3)))</f>
        <v/>
      </c>
      <c r="BB108" s="124" t="str">
        <f>IF($B108="","",IF(BB$3=0,"n.b.",INDEX(SRC_Woningetalage!$A$1:$ZZ$501,$A108,BB$3)))</f>
        <v/>
      </c>
      <c r="BC108" s="124" t="str">
        <f>IF($B108="","",IFERROR(_xlfn.NUMBERVALUE(E108&amp;"",",","."),"n.b."))</f>
        <v/>
      </c>
      <c r="BD108" s="124" t="str">
        <f>IF($B108="","",IFERROR(_xlfn.NUMBERVALUE(M108&amp;"",",","."),"n.b."))</f>
        <v/>
      </c>
      <c r="BE108" s="124" t="str">
        <f>IF($B108="","",IFERROR(AB108+AC108+AD108,"n.b."))</f>
        <v/>
      </c>
      <c r="BF108" s="124" t="str">
        <f>IF($B108="","",IFERROR(AE108+AF108+AG108,"n.b."))</f>
        <v/>
      </c>
      <c r="BG108" s="124" t="str">
        <f>IF($B108="","",IFERROR(AH108+AI108+AJ108,"n.b."))</f>
        <v/>
      </c>
      <c r="BH108" s="124" t="str">
        <f>IF($B108="","",IFERROR(AK108+AL108+AM108,"n.b."))</f>
        <v/>
      </c>
      <c r="BI108" s="124" t="str">
        <f>IF($B108="","",IFERROR(SUMIF($AB$5:$AM$5,"&lt;="&amp;P_PeilMaand,AB108:AM108),"n.b."))</f>
        <v/>
      </c>
      <c r="BJ108" s="124" t="str">
        <f>IF($B108="","",IFERROR(SUM(AB108:AM108)-BI108,"n.b."))</f>
        <v/>
      </c>
      <c r="BK108" s="124" t="str">
        <f>IF($B108="","",IFERROR(IF(ABS(Q108-(T108+SUM(AB108:AM108)+AS108+AU108))&gt;P_Tol,1,0),1))</f>
        <v/>
      </c>
      <c r="BL108" s="124" t="str">
        <f>IF($B108="","",IFERROR(IF(ABS(AA108-(Q108-Z108))&gt;P_Tol,1,0),1))</f>
        <v/>
      </c>
      <c r="BM108" s="124" t="str">
        <f>IF($B108="","",IFERROR(IF(ABS(Z108-(T108+W108))&gt;P_Tol,1,0),1))</f>
        <v/>
      </c>
      <c r="BN108" s="124" t="str">
        <f>IF($B108="","",IFERROR(IF(ABS(W108-BI108)&gt;P_Tol,1,0),1))</f>
        <v/>
      </c>
      <c r="BO108" s="124" t="str">
        <f>IF($B108="","",IFERROR(IF(OR(ABS(R108+S108-T108)&gt;P_Tol,ABS(U108+V108-W108)&gt;P_Tol,ABS(X108+Y108-Z108)&gt;P_Tol),1,0),1))</f>
        <v/>
      </c>
      <c r="BP108" s="124" t="str">
        <f>IF($B108="","",IFERROR(IF(OR(ABS(AR108-SUM(AB108:AM108))&gt;P_Tol,ABS(AS108-(AN108+AO108+AP108+AQ108))&gt;P_Tol),1,0),1))</f>
        <v/>
      </c>
      <c r="BQ108" s="124" t="str">
        <f>IF($B108="","",IFERROR(IF(ABS(AT108)+ABS(AV108)+ABS(AW108)+ABS(AX108)+ABS(AY108)+ABS(AZ108)+ABS(BA108)+ABS(BB108)&gt;0,1,0),1))</f>
        <v/>
      </c>
      <c r="BR108" s="124" t="str">
        <f>IF($B108="","",COUNTIF(STG_ZPMW03!$B$6:$B$505,B108))</f>
        <v/>
      </c>
      <c r="BS108" s="124" t="str">
        <f>IF($B108="","",COUNTIF($B$6:$B$505,B108))</f>
        <v/>
      </c>
      <c r="BT108" s="124" t="str">
        <f>IF($B108="","",IF(BR108=0,0,IF(INDEX(STG_ZPMW03!$I$6:$I$505,MATCH(B108,STG_ZPMW03!$B$6:$B$505,0))=J108&amp;"",0,1)))</f>
        <v/>
      </c>
      <c r="BU108" s="124" t="str">
        <f>IF($B108="","",IFERROR(IF(ABS(INDEX(Mapping!$D$5:$D$104,MATCH(B108,Mapping!$A$5:$A$104,0))-Q108)&gt;P_Tol,1,0),0))</f>
        <v/>
      </c>
      <c r="BV108" s="124" t="str">
        <f>IF($B108="","",IFERROR(IF(AND(INDEX(Mapping!$G$5:$G$104,MATCH(B108,Mapping!$A$5:$A$104,0))="Nee",ABS(Q108)+ABS(Z108)+ABS(AR108)&gt;0),1,0),0))</f>
        <v/>
      </c>
      <c r="BW108" s="124" t="str">
        <f>IF($B108="","",IF(COUNTIF(Mapping!$A$5:$A$104,B108)&gt;0,1,0))</f>
        <v/>
      </c>
      <c r="BX108" s="124" t="str">
        <f>IF($B108="","",IF(BR108=0,COUNTIF($BR$6:BR108,0),""))</f>
        <v/>
      </c>
    </row>
    <row r="109">
      <c r="A109" s="15" t="n">
        <v>105</v>
      </c>
      <c r="B109" t="str">
        <f>IF(B$3=0,"",IF(INDEX(SRC_Woningetalage!$A$1:$ZZ$501,$A109,B$3)&amp;""="","",INDEX(SRC_Woningetalage!$A$1:$ZZ$501,$A109,B$3)&amp;""))</f>
        <v/>
      </c>
      <c r="C109" t="str">
        <f>IF($B109="","",IF(C$3=0,"n.b.",INDEX(SRC_Woningetalage!$A$1:$ZZ$501,$A109,C$3)))</f>
        <v/>
      </c>
      <c r="D109" t="str">
        <f>IF($B109="","",IF(D$3=0,"n.b.",INDEX(SRC_Woningetalage!$A$1:$ZZ$501,$A109,D$3)))</f>
        <v/>
      </c>
      <c r="E109" t="str">
        <f>IF($B109="","",IF(E$3=0,"n.b.",INDEX(SRC_Woningetalage!$A$1:$ZZ$501,$A109,E$3)))</f>
        <v/>
      </c>
      <c r="F109" t="str">
        <f>IF($B109="","",IF(F$3=0,"n.b.",INDEX(SRC_Woningetalage!$A$1:$ZZ$501,$A109,F$3)))</f>
        <v/>
      </c>
      <c r="G109" t="str">
        <f>IF($B109="","",IF(G$3=0,"n.b.",INDEX(SRC_Woningetalage!$A$1:$ZZ$501,$A109,G$3)))</f>
        <v/>
      </c>
      <c r="H109" t="str">
        <f>IF($B109="","",IF(H$3=0,"n.b.",INDEX(SRC_Woningetalage!$A$1:$ZZ$501,$A109,H$3)))</f>
        <v/>
      </c>
      <c r="I109" t="str">
        <f>IF($B109="","",IF(I$3=0,"n.b.",INDEX(SRC_Woningetalage!$A$1:$ZZ$501,$A109,I$3)))</f>
        <v/>
      </c>
      <c r="J109" t="str">
        <f>IF($B109="","",IF(J$3=0,"n.b.",INDEX(SRC_Woningetalage!$A$1:$ZZ$501,$A109,J$3)))</f>
        <v/>
      </c>
      <c r="K109" t="str">
        <f>IF($B109="","",IF(K$3=0,"n.b.",INDEX(SRC_Woningetalage!$A$1:$ZZ$501,$A109,K$3)))</f>
        <v/>
      </c>
      <c r="L109" t="str">
        <f>IF($B109="","",IF(L$3=0,"n.b.",INDEX(SRC_Woningetalage!$A$1:$ZZ$501,$A109,L$3)))</f>
        <v/>
      </c>
      <c r="M109" t="str">
        <f>IF($B109="","",IF(M$3=0,"n.b.",INDEX(SRC_Woningetalage!$A$1:$ZZ$501,$A109,M$3)))</f>
        <v/>
      </c>
      <c r="N109" t="str">
        <f>IF($B109="","",IF(N$3=0,"n.b.",INDEX(SRC_Woningetalage!$A$1:$ZZ$501,$A109,N$3)))</f>
        <v/>
      </c>
      <c r="O109" t="str">
        <f>IF($B109="","",IF(O$3=0,"n.b.",INDEX(SRC_Woningetalage!$A$1:$ZZ$501,$A109,O$3)))</f>
        <v/>
      </c>
      <c r="P109" t="str">
        <f>IF($B109="","",IF(P$3=0,"n.b.",INDEX(SRC_Woningetalage!$A$1:$ZZ$501,$A109,P$3)))</f>
        <v/>
      </c>
      <c r="Q109" s="124" t="str">
        <f>IF($B109="","",IF(Q$3=0,"n.b.",INDEX(SRC_Woningetalage!$A$1:$ZZ$501,$A109,Q$3)))</f>
        <v/>
      </c>
      <c r="R109" s="124" t="str">
        <f>IF($B109="","",IF(R$3=0,"n.b.",INDEX(SRC_Woningetalage!$A$1:$ZZ$501,$A109,R$3)))</f>
        <v/>
      </c>
      <c r="S109" s="124" t="str">
        <f>IF($B109="","",IF(S$3=0,"n.b.",INDEX(SRC_Woningetalage!$A$1:$ZZ$501,$A109,S$3)))</f>
        <v/>
      </c>
      <c r="T109" s="124" t="str">
        <f>IF($B109="","",IF(T$3=0,"n.b.",INDEX(SRC_Woningetalage!$A$1:$ZZ$501,$A109,T$3)))</f>
        <v/>
      </c>
      <c r="U109" s="124" t="str">
        <f>IF($B109="","",IF(U$3=0,"n.b.",INDEX(SRC_Woningetalage!$A$1:$ZZ$501,$A109,U$3)))</f>
        <v/>
      </c>
      <c r="V109" s="124" t="str">
        <f>IF($B109="","",IF(V$3=0,"n.b.",INDEX(SRC_Woningetalage!$A$1:$ZZ$501,$A109,V$3)))</f>
        <v/>
      </c>
      <c r="W109" s="124" t="str">
        <f>IF($B109="","",IF(W$3=0,"n.b.",INDEX(SRC_Woningetalage!$A$1:$ZZ$501,$A109,W$3)))</f>
        <v/>
      </c>
      <c r="X109" s="124" t="str">
        <f>IF($B109="","",IF(X$3=0,"n.b.",INDEX(SRC_Woningetalage!$A$1:$ZZ$501,$A109,X$3)))</f>
        <v/>
      </c>
      <c r="Y109" s="124" t="str">
        <f>IF($B109="","",IF(Y$3=0,"n.b.",INDEX(SRC_Woningetalage!$A$1:$ZZ$501,$A109,Y$3)))</f>
        <v/>
      </c>
      <c r="Z109" s="124" t="str">
        <f>IF($B109="","",IF(Z$3=0,"n.b.",INDEX(SRC_Woningetalage!$A$1:$ZZ$501,$A109,Z$3)))</f>
        <v/>
      </c>
      <c r="AA109" s="124" t="str">
        <f>IF($B109="","",IF(AA$3=0,"n.b.",INDEX(SRC_Woningetalage!$A$1:$ZZ$501,$A109,AA$3)))</f>
        <v/>
      </c>
      <c r="AB109" s="124" t="str">
        <f>IF($B109="","",IF(AB$3=0,"n.b.",INDEX(SRC_Woningetalage!$A$1:$ZZ$501,$A109,AB$3)))</f>
        <v/>
      </c>
      <c r="AC109" s="124" t="str">
        <f>IF($B109="","",IF(AC$3=0,"n.b.",INDEX(SRC_Woningetalage!$A$1:$ZZ$501,$A109,AC$3)))</f>
        <v/>
      </c>
      <c r="AD109" s="124" t="str">
        <f>IF($B109="","",IF(AD$3=0,"n.b.",INDEX(SRC_Woningetalage!$A$1:$ZZ$501,$A109,AD$3)))</f>
        <v/>
      </c>
      <c r="AE109" s="124" t="str">
        <f>IF($B109="","",IF(AE$3=0,"n.b.",INDEX(SRC_Woningetalage!$A$1:$ZZ$501,$A109,AE$3)))</f>
        <v/>
      </c>
      <c r="AF109" s="124" t="str">
        <f>IF($B109="","",IF(AF$3=0,"n.b.",INDEX(SRC_Woningetalage!$A$1:$ZZ$501,$A109,AF$3)))</f>
        <v/>
      </c>
      <c r="AG109" s="124" t="str">
        <f>IF($B109="","",IF(AG$3=0,"n.b.",INDEX(SRC_Woningetalage!$A$1:$ZZ$501,$A109,AG$3)))</f>
        <v/>
      </c>
      <c r="AH109" s="124" t="str">
        <f>IF($B109="","",IF(AH$3=0,"n.b.",INDEX(SRC_Woningetalage!$A$1:$ZZ$501,$A109,AH$3)))</f>
        <v/>
      </c>
      <c r="AI109" s="124" t="str">
        <f>IF($B109="","",IF(AI$3=0,"n.b.",INDEX(SRC_Woningetalage!$A$1:$ZZ$501,$A109,AI$3)))</f>
        <v/>
      </c>
      <c r="AJ109" s="124" t="str">
        <f>IF($B109="","",IF(AJ$3=0,"n.b.",INDEX(SRC_Woningetalage!$A$1:$ZZ$501,$A109,AJ$3)))</f>
        <v/>
      </c>
      <c r="AK109" s="124" t="str">
        <f>IF($B109="","",IF(AK$3=0,"n.b.",INDEX(SRC_Woningetalage!$A$1:$ZZ$501,$A109,AK$3)))</f>
        <v/>
      </c>
      <c r="AL109" s="124" t="str">
        <f>IF($B109="","",IF(AL$3=0,"n.b.",INDEX(SRC_Woningetalage!$A$1:$ZZ$501,$A109,AL$3)))</f>
        <v/>
      </c>
      <c r="AM109" s="124" t="str">
        <f>IF($B109="","",IF(AM$3=0,"n.b.",INDEX(SRC_Woningetalage!$A$1:$ZZ$501,$A109,AM$3)))</f>
        <v/>
      </c>
      <c r="AN109" s="124" t="str">
        <f>IF($B109="","",IF(AN$3=0,"n.b.",INDEX(SRC_Woningetalage!$A$1:$ZZ$501,$A109,AN$3)))</f>
        <v/>
      </c>
      <c r="AO109" s="124" t="str">
        <f>IF($B109="","",IF(AO$3=0,"n.b.",INDEX(SRC_Woningetalage!$A$1:$ZZ$501,$A109,AO$3)))</f>
        <v/>
      </c>
      <c r="AP109" s="124" t="str">
        <f>IF($B109="","",IF(AP$3=0,"n.b.",INDEX(SRC_Woningetalage!$A$1:$ZZ$501,$A109,AP$3)))</f>
        <v/>
      </c>
      <c r="AQ109" s="124" t="str">
        <f>IF($B109="","",IF(AQ$3=0,"n.b.",INDEX(SRC_Woningetalage!$A$1:$ZZ$501,$A109,AQ$3)))</f>
        <v/>
      </c>
      <c r="AR109" s="124" t="str">
        <f>IF($B109="","",IF(AR$3=0,"n.b.",INDEX(SRC_Woningetalage!$A$1:$ZZ$501,$A109,AR$3)))</f>
        <v/>
      </c>
      <c r="AS109" s="124" t="str">
        <f>IF($B109="","",IF(AS$3=0,"n.b.",INDEX(SRC_Woningetalage!$A$1:$ZZ$501,$A109,AS$3)))</f>
        <v/>
      </c>
      <c r="AT109" s="124" t="str">
        <f>IF($B109="","",IF(AT$3=0,"n.b.",INDEX(SRC_Woningetalage!$A$1:$ZZ$501,$A109,AT$3)))</f>
        <v/>
      </c>
      <c r="AU109" s="124" t="str">
        <f>IF($B109="","",IF(AU$3=0,"n.b.",INDEX(SRC_Woningetalage!$A$1:$ZZ$501,$A109,AU$3)))</f>
        <v/>
      </c>
      <c r="AV109" s="124" t="str">
        <f>IF($B109="","",IF(AV$3=0,"n.b.",INDEX(SRC_Woningetalage!$A$1:$ZZ$501,$A109,AV$3)))</f>
        <v/>
      </c>
      <c r="AW109" s="124" t="str">
        <f>IF($B109="","",IF(AW$3=0,"n.b.",INDEX(SRC_Woningetalage!$A$1:$ZZ$501,$A109,AW$3)))</f>
        <v/>
      </c>
      <c r="AX109" s="124" t="str">
        <f>IF($B109="","",IF(AX$3=0,"n.b.",INDEX(SRC_Woningetalage!$A$1:$ZZ$501,$A109,AX$3)))</f>
        <v/>
      </c>
      <c r="AY109" s="124" t="str">
        <f>IF($B109="","",IF(AY$3=0,"n.b.",INDEX(SRC_Woningetalage!$A$1:$ZZ$501,$A109,AY$3)))</f>
        <v/>
      </c>
      <c r="AZ109" s="124" t="str">
        <f>IF($B109="","",IF(AZ$3=0,"n.b.",INDEX(SRC_Woningetalage!$A$1:$ZZ$501,$A109,AZ$3)))</f>
        <v/>
      </c>
      <c r="BA109" s="124" t="str">
        <f>IF($B109="","",IF(BA$3=0,"n.b.",INDEX(SRC_Woningetalage!$A$1:$ZZ$501,$A109,BA$3)))</f>
        <v/>
      </c>
      <c r="BB109" s="124" t="str">
        <f>IF($B109="","",IF(BB$3=0,"n.b.",INDEX(SRC_Woningetalage!$A$1:$ZZ$501,$A109,BB$3)))</f>
        <v/>
      </c>
      <c r="BC109" s="124" t="str">
        <f>IF($B109="","",IFERROR(_xlfn.NUMBERVALUE(E109&amp;"",",","."),"n.b."))</f>
        <v/>
      </c>
      <c r="BD109" s="124" t="str">
        <f>IF($B109="","",IFERROR(_xlfn.NUMBERVALUE(M109&amp;"",",","."),"n.b."))</f>
        <v/>
      </c>
      <c r="BE109" s="124" t="str">
        <f>IF($B109="","",IFERROR(AB109+AC109+AD109,"n.b."))</f>
        <v/>
      </c>
      <c r="BF109" s="124" t="str">
        <f>IF($B109="","",IFERROR(AE109+AF109+AG109,"n.b."))</f>
        <v/>
      </c>
      <c r="BG109" s="124" t="str">
        <f>IF($B109="","",IFERROR(AH109+AI109+AJ109,"n.b."))</f>
        <v/>
      </c>
      <c r="BH109" s="124" t="str">
        <f>IF($B109="","",IFERROR(AK109+AL109+AM109,"n.b."))</f>
        <v/>
      </c>
      <c r="BI109" s="124" t="str">
        <f>IF($B109="","",IFERROR(SUMIF($AB$5:$AM$5,"&lt;="&amp;P_PeilMaand,AB109:AM109),"n.b."))</f>
        <v/>
      </c>
      <c r="BJ109" s="124" t="str">
        <f>IF($B109="","",IFERROR(SUM(AB109:AM109)-BI109,"n.b."))</f>
        <v/>
      </c>
      <c r="BK109" s="124" t="str">
        <f>IF($B109="","",IFERROR(IF(ABS(Q109-(T109+SUM(AB109:AM109)+AS109+AU109))&gt;P_Tol,1,0),1))</f>
        <v/>
      </c>
      <c r="BL109" s="124" t="str">
        <f>IF($B109="","",IFERROR(IF(ABS(AA109-(Q109-Z109))&gt;P_Tol,1,0),1))</f>
        <v/>
      </c>
      <c r="BM109" s="124" t="str">
        <f>IF($B109="","",IFERROR(IF(ABS(Z109-(T109+W109))&gt;P_Tol,1,0),1))</f>
        <v/>
      </c>
      <c r="BN109" s="124" t="str">
        <f>IF($B109="","",IFERROR(IF(ABS(W109-BI109)&gt;P_Tol,1,0),1))</f>
        <v/>
      </c>
      <c r="BO109" s="124" t="str">
        <f>IF($B109="","",IFERROR(IF(OR(ABS(R109+S109-T109)&gt;P_Tol,ABS(U109+V109-W109)&gt;P_Tol,ABS(X109+Y109-Z109)&gt;P_Tol),1,0),1))</f>
        <v/>
      </c>
      <c r="BP109" s="124" t="str">
        <f>IF($B109="","",IFERROR(IF(OR(ABS(AR109-SUM(AB109:AM109))&gt;P_Tol,ABS(AS109-(AN109+AO109+AP109+AQ109))&gt;P_Tol),1,0),1))</f>
        <v/>
      </c>
      <c r="BQ109" s="124" t="str">
        <f>IF($B109="","",IFERROR(IF(ABS(AT109)+ABS(AV109)+ABS(AW109)+ABS(AX109)+ABS(AY109)+ABS(AZ109)+ABS(BA109)+ABS(BB109)&gt;0,1,0),1))</f>
        <v/>
      </c>
      <c r="BR109" s="124" t="str">
        <f>IF($B109="","",COUNTIF(STG_ZPMW03!$B$6:$B$505,B109))</f>
        <v/>
      </c>
      <c r="BS109" s="124" t="str">
        <f>IF($B109="","",COUNTIF($B$6:$B$505,B109))</f>
        <v/>
      </c>
      <c r="BT109" s="124" t="str">
        <f>IF($B109="","",IF(BR109=0,0,IF(INDEX(STG_ZPMW03!$I$6:$I$505,MATCH(B109,STG_ZPMW03!$B$6:$B$505,0))=J109&amp;"",0,1)))</f>
        <v/>
      </c>
      <c r="BU109" s="124" t="str">
        <f>IF($B109="","",IFERROR(IF(ABS(INDEX(Mapping!$D$5:$D$104,MATCH(B109,Mapping!$A$5:$A$104,0))-Q109)&gt;P_Tol,1,0),0))</f>
        <v/>
      </c>
      <c r="BV109" s="124" t="str">
        <f>IF($B109="","",IFERROR(IF(AND(INDEX(Mapping!$G$5:$G$104,MATCH(B109,Mapping!$A$5:$A$104,0))="Nee",ABS(Q109)+ABS(Z109)+ABS(AR109)&gt;0),1,0),0))</f>
        <v/>
      </c>
      <c r="BW109" s="124" t="str">
        <f>IF($B109="","",IF(COUNTIF(Mapping!$A$5:$A$104,B109)&gt;0,1,0))</f>
        <v/>
      </c>
      <c r="BX109" s="124" t="str">
        <f>IF($B109="","",IF(BR109=0,COUNTIF($BR$6:BR109,0),""))</f>
        <v/>
      </c>
    </row>
    <row r="110">
      <c r="A110" s="15" t="n">
        <v>106</v>
      </c>
      <c r="B110" t="str">
        <f>IF(B$3=0,"",IF(INDEX(SRC_Woningetalage!$A$1:$ZZ$501,$A110,B$3)&amp;""="","",INDEX(SRC_Woningetalage!$A$1:$ZZ$501,$A110,B$3)&amp;""))</f>
        <v/>
      </c>
      <c r="C110" t="str">
        <f>IF($B110="","",IF(C$3=0,"n.b.",INDEX(SRC_Woningetalage!$A$1:$ZZ$501,$A110,C$3)))</f>
        <v/>
      </c>
      <c r="D110" t="str">
        <f>IF($B110="","",IF(D$3=0,"n.b.",INDEX(SRC_Woningetalage!$A$1:$ZZ$501,$A110,D$3)))</f>
        <v/>
      </c>
      <c r="E110" t="str">
        <f>IF($B110="","",IF(E$3=0,"n.b.",INDEX(SRC_Woningetalage!$A$1:$ZZ$501,$A110,E$3)))</f>
        <v/>
      </c>
      <c r="F110" t="str">
        <f>IF($B110="","",IF(F$3=0,"n.b.",INDEX(SRC_Woningetalage!$A$1:$ZZ$501,$A110,F$3)))</f>
        <v/>
      </c>
      <c r="G110" t="str">
        <f>IF($B110="","",IF(G$3=0,"n.b.",INDEX(SRC_Woningetalage!$A$1:$ZZ$501,$A110,G$3)))</f>
        <v/>
      </c>
      <c r="H110" t="str">
        <f>IF($B110="","",IF(H$3=0,"n.b.",INDEX(SRC_Woningetalage!$A$1:$ZZ$501,$A110,H$3)))</f>
        <v/>
      </c>
      <c r="I110" t="str">
        <f>IF($B110="","",IF(I$3=0,"n.b.",INDEX(SRC_Woningetalage!$A$1:$ZZ$501,$A110,I$3)))</f>
        <v/>
      </c>
      <c r="J110" t="str">
        <f>IF($B110="","",IF(J$3=0,"n.b.",INDEX(SRC_Woningetalage!$A$1:$ZZ$501,$A110,J$3)))</f>
        <v/>
      </c>
      <c r="K110" t="str">
        <f>IF($B110="","",IF(K$3=0,"n.b.",INDEX(SRC_Woningetalage!$A$1:$ZZ$501,$A110,K$3)))</f>
        <v/>
      </c>
      <c r="L110" t="str">
        <f>IF($B110="","",IF(L$3=0,"n.b.",INDEX(SRC_Woningetalage!$A$1:$ZZ$501,$A110,L$3)))</f>
        <v/>
      </c>
      <c r="M110" t="str">
        <f>IF($B110="","",IF(M$3=0,"n.b.",INDEX(SRC_Woningetalage!$A$1:$ZZ$501,$A110,M$3)))</f>
        <v/>
      </c>
      <c r="N110" t="str">
        <f>IF($B110="","",IF(N$3=0,"n.b.",INDEX(SRC_Woningetalage!$A$1:$ZZ$501,$A110,N$3)))</f>
        <v/>
      </c>
      <c r="O110" t="str">
        <f>IF($B110="","",IF(O$3=0,"n.b.",INDEX(SRC_Woningetalage!$A$1:$ZZ$501,$A110,O$3)))</f>
        <v/>
      </c>
      <c r="P110" t="str">
        <f>IF($B110="","",IF(P$3=0,"n.b.",INDEX(SRC_Woningetalage!$A$1:$ZZ$501,$A110,P$3)))</f>
        <v/>
      </c>
      <c r="Q110" s="124" t="str">
        <f>IF($B110="","",IF(Q$3=0,"n.b.",INDEX(SRC_Woningetalage!$A$1:$ZZ$501,$A110,Q$3)))</f>
        <v/>
      </c>
      <c r="R110" s="124" t="str">
        <f>IF($B110="","",IF(R$3=0,"n.b.",INDEX(SRC_Woningetalage!$A$1:$ZZ$501,$A110,R$3)))</f>
        <v/>
      </c>
      <c r="S110" s="124" t="str">
        <f>IF($B110="","",IF(S$3=0,"n.b.",INDEX(SRC_Woningetalage!$A$1:$ZZ$501,$A110,S$3)))</f>
        <v/>
      </c>
      <c r="T110" s="124" t="str">
        <f>IF($B110="","",IF(T$3=0,"n.b.",INDEX(SRC_Woningetalage!$A$1:$ZZ$501,$A110,T$3)))</f>
        <v/>
      </c>
      <c r="U110" s="124" t="str">
        <f>IF($B110="","",IF(U$3=0,"n.b.",INDEX(SRC_Woningetalage!$A$1:$ZZ$501,$A110,U$3)))</f>
        <v/>
      </c>
      <c r="V110" s="124" t="str">
        <f>IF($B110="","",IF(V$3=0,"n.b.",INDEX(SRC_Woningetalage!$A$1:$ZZ$501,$A110,V$3)))</f>
        <v/>
      </c>
      <c r="W110" s="124" t="str">
        <f>IF($B110="","",IF(W$3=0,"n.b.",INDEX(SRC_Woningetalage!$A$1:$ZZ$501,$A110,W$3)))</f>
        <v/>
      </c>
      <c r="X110" s="124" t="str">
        <f>IF($B110="","",IF(X$3=0,"n.b.",INDEX(SRC_Woningetalage!$A$1:$ZZ$501,$A110,X$3)))</f>
        <v/>
      </c>
      <c r="Y110" s="124" t="str">
        <f>IF($B110="","",IF(Y$3=0,"n.b.",INDEX(SRC_Woningetalage!$A$1:$ZZ$501,$A110,Y$3)))</f>
        <v/>
      </c>
      <c r="Z110" s="124" t="str">
        <f>IF($B110="","",IF(Z$3=0,"n.b.",INDEX(SRC_Woningetalage!$A$1:$ZZ$501,$A110,Z$3)))</f>
        <v/>
      </c>
      <c r="AA110" s="124" t="str">
        <f>IF($B110="","",IF(AA$3=0,"n.b.",INDEX(SRC_Woningetalage!$A$1:$ZZ$501,$A110,AA$3)))</f>
        <v/>
      </c>
      <c r="AB110" s="124" t="str">
        <f>IF($B110="","",IF(AB$3=0,"n.b.",INDEX(SRC_Woningetalage!$A$1:$ZZ$501,$A110,AB$3)))</f>
        <v/>
      </c>
      <c r="AC110" s="124" t="str">
        <f>IF($B110="","",IF(AC$3=0,"n.b.",INDEX(SRC_Woningetalage!$A$1:$ZZ$501,$A110,AC$3)))</f>
        <v/>
      </c>
      <c r="AD110" s="124" t="str">
        <f>IF($B110="","",IF(AD$3=0,"n.b.",INDEX(SRC_Woningetalage!$A$1:$ZZ$501,$A110,AD$3)))</f>
        <v/>
      </c>
      <c r="AE110" s="124" t="str">
        <f>IF($B110="","",IF(AE$3=0,"n.b.",INDEX(SRC_Woningetalage!$A$1:$ZZ$501,$A110,AE$3)))</f>
        <v/>
      </c>
      <c r="AF110" s="124" t="str">
        <f>IF($B110="","",IF(AF$3=0,"n.b.",INDEX(SRC_Woningetalage!$A$1:$ZZ$501,$A110,AF$3)))</f>
        <v/>
      </c>
      <c r="AG110" s="124" t="str">
        <f>IF($B110="","",IF(AG$3=0,"n.b.",INDEX(SRC_Woningetalage!$A$1:$ZZ$501,$A110,AG$3)))</f>
        <v/>
      </c>
      <c r="AH110" s="124" t="str">
        <f>IF($B110="","",IF(AH$3=0,"n.b.",INDEX(SRC_Woningetalage!$A$1:$ZZ$501,$A110,AH$3)))</f>
        <v/>
      </c>
      <c r="AI110" s="124" t="str">
        <f>IF($B110="","",IF(AI$3=0,"n.b.",INDEX(SRC_Woningetalage!$A$1:$ZZ$501,$A110,AI$3)))</f>
        <v/>
      </c>
      <c r="AJ110" s="124" t="str">
        <f>IF($B110="","",IF(AJ$3=0,"n.b.",INDEX(SRC_Woningetalage!$A$1:$ZZ$501,$A110,AJ$3)))</f>
        <v/>
      </c>
      <c r="AK110" s="124" t="str">
        <f>IF($B110="","",IF(AK$3=0,"n.b.",INDEX(SRC_Woningetalage!$A$1:$ZZ$501,$A110,AK$3)))</f>
        <v/>
      </c>
      <c r="AL110" s="124" t="str">
        <f>IF($B110="","",IF(AL$3=0,"n.b.",INDEX(SRC_Woningetalage!$A$1:$ZZ$501,$A110,AL$3)))</f>
        <v/>
      </c>
      <c r="AM110" s="124" t="str">
        <f>IF($B110="","",IF(AM$3=0,"n.b.",INDEX(SRC_Woningetalage!$A$1:$ZZ$501,$A110,AM$3)))</f>
        <v/>
      </c>
      <c r="AN110" s="124" t="str">
        <f>IF($B110="","",IF(AN$3=0,"n.b.",INDEX(SRC_Woningetalage!$A$1:$ZZ$501,$A110,AN$3)))</f>
        <v/>
      </c>
      <c r="AO110" s="124" t="str">
        <f>IF($B110="","",IF(AO$3=0,"n.b.",INDEX(SRC_Woningetalage!$A$1:$ZZ$501,$A110,AO$3)))</f>
        <v/>
      </c>
      <c r="AP110" s="124" t="str">
        <f>IF($B110="","",IF(AP$3=0,"n.b.",INDEX(SRC_Woningetalage!$A$1:$ZZ$501,$A110,AP$3)))</f>
        <v/>
      </c>
      <c r="AQ110" s="124" t="str">
        <f>IF($B110="","",IF(AQ$3=0,"n.b.",INDEX(SRC_Woningetalage!$A$1:$ZZ$501,$A110,AQ$3)))</f>
        <v/>
      </c>
      <c r="AR110" s="124" t="str">
        <f>IF($B110="","",IF(AR$3=0,"n.b.",INDEX(SRC_Woningetalage!$A$1:$ZZ$501,$A110,AR$3)))</f>
        <v/>
      </c>
      <c r="AS110" s="124" t="str">
        <f>IF($B110="","",IF(AS$3=0,"n.b.",INDEX(SRC_Woningetalage!$A$1:$ZZ$501,$A110,AS$3)))</f>
        <v/>
      </c>
      <c r="AT110" s="124" t="str">
        <f>IF($B110="","",IF(AT$3=0,"n.b.",INDEX(SRC_Woningetalage!$A$1:$ZZ$501,$A110,AT$3)))</f>
        <v/>
      </c>
      <c r="AU110" s="124" t="str">
        <f>IF($B110="","",IF(AU$3=0,"n.b.",INDEX(SRC_Woningetalage!$A$1:$ZZ$501,$A110,AU$3)))</f>
        <v/>
      </c>
      <c r="AV110" s="124" t="str">
        <f>IF($B110="","",IF(AV$3=0,"n.b.",INDEX(SRC_Woningetalage!$A$1:$ZZ$501,$A110,AV$3)))</f>
        <v/>
      </c>
      <c r="AW110" s="124" t="str">
        <f>IF($B110="","",IF(AW$3=0,"n.b.",INDEX(SRC_Woningetalage!$A$1:$ZZ$501,$A110,AW$3)))</f>
        <v/>
      </c>
      <c r="AX110" s="124" t="str">
        <f>IF($B110="","",IF(AX$3=0,"n.b.",INDEX(SRC_Woningetalage!$A$1:$ZZ$501,$A110,AX$3)))</f>
        <v/>
      </c>
      <c r="AY110" s="124" t="str">
        <f>IF($B110="","",IF(AY$3=0,"n.b.",INDEX(SRC_Woningetalage!$A$1:$ZZ$501,$A110,AY$3)))</f>
        <v/>
      </c>
      <c r="AZ110" s="124" t="str">
        <f>IF($B110="","",IF(AZ$3=0,"n.b.",INDEX(SRC_Woningetalage!$A$1:$ZZ$501,$A110,AZ$3)))</f>
        <v/>
      </c>
      <c r="BA110" s="124" t="str">
        <f>IF($B110="","",IF(BA$3=0,"n.b.",INDEX(SRC_Woningetalage!$A$1:$ZZ$501,$A110,BA$3)))</f>
        <v/>
      </c>
      <c r="BB110" s="124" t="str">
        <f>IF($B110="","",IF(BB$3=0,"n.b.",INDEX(SRC_Woningetalage!$A$1:$ZZ$501,$A110,BB$3)))</f>
        <v/>
      </c>
      <c r="BC110" s="124" t="str">
        <f>IF($B110="","",IFERROR(_xlfn.NUMBERVALUE(E110&amp;"",",","."),"n.b."))</f>
        <v/>
      </c>
      <c r="BD110" s="124" t="str">
        <f>IF($B110="","",IFERROR(_xlfn.NUMBERVALUE(M110&amp;"",",","."),"n.b."))</f>
        <v/>
      </c>
      <c r="BE110" s="124" t="str">
        <f>IF($B110="","",IFERROR(AB110+AC110+AD110,"n.b."))</f>
        <v/>
      </c>
      <c r="BF110" s="124" t="str">
        <f>IF($B110="","",IFERROR(AE110+AF110+AG110,"n.b."))</f>
        <v/>
      </c>
      <c r="BG110" s="124" t="str">
        <f>IF($B110="","",IFERROR(AH110+AI110+AJ110,"n.b."))</f>
        <v/>
      </c>
      <c r="BH110" s="124" t="str">
        <f>IF($B110="","",IFERROR(AK110+AL110+AM110,"n.b."))</f>
        <v/>
      </c>
      <c r="BI110" s="124" t="str">
        <f>IF($B110="","",IFERROR(SUMIF($AB$5:$AM$5,"&lt;="&amp;P_PeilMaand,AB110:AM110),"n.b."))</f>
        <v/>
      </c>
      <c r="BJ110" s="124" t="str">
        <f>IF($B110="","",IFERROR(SUM(AB110:AM110)-BI110,"n.b."))</f>
        <v/>
      </c>
      <c r="BK110" s="124" t="str">
        <f>IF($B110="","",IFERROR(IF(ABS(Q110-(T110+SUM(AB110:AM110)+AS110+AU110))&gt;P_Tol,1,0),1))</f>
        <v/>
      </c>
      <c r="BL110" s="124" t="str">
        <f>IF($B110="","",IFERROR(IF(ABS(AA110-(Q110-Z110))&gt;P_Tol,1,0),1))</f>
        <v/>
      </c>
      <c r="BM110" s="124" t="str">
        <f>IF($B110="","",IFERROR(IF(ABS(Z110-(T110+W110))&gt;P_Tol,1,0),1))</f>
        <v/>
      </c>
      <c r="BN110" s="124" t="str">
        <f>IF($B110="","",IFERROR(IF(ABS(W110-BI110)&gt;P_Tol,1,0),1))</f>
        <v/>
      </c>
      <c r="BO110" s="124" t="str">
        <f>IF($B110="","",IFERROR(IF(OR(ABS(R110+S110-T110)&gt;P_Tol,ABS(U110+V110-W110)&gt;P_Tol,ABS(X110+Y110-Z110)&gt;P_Tol),1,0),1))</f>
        <v/>
      </c>
      <c r="BP110" s="124" t="str">
        <f>IF($B110="","",IFERROR(IF(OR(ABS(AR110-SUM(AB110:AM110))&gt;P_Tol,ABS(AS110-(AN110+AO110+AP110+AQ110))&gt;P_Tol),1,0),1))</f>
        <v/>
      </c>
      <c r="BQ110" s="124" t="str">
        <f>IF($B110="","",IFERROR(IF(ABS(AT110)+ABS(AV110)+ABS(AW110)+ABS(AX110)+ABS(AY110)+ABS(AZ110)+ABS(BA110)+ABS(BB110)&gt;0,1,0),1))</f>
        <v/>
      </c>
      <c r="BR110" s="124" t="str">
        <f>IF($B110="","",COUNTIF(STG_ZPMW03!$B$6:$B$505,B110))</f>
        <v/>
      </c>
      <c r="BS110" s="124" t="str">
        <f>IF($B110="","",COUNTIF($B$6:$B$505,B110))</f>
        <v/>
      </c>
      <c r="BT110" s="124" t="str">
        <f>IF($B110="","",IF(BR110=0,0,IF(INDEX(STG_ZPMW03!$I$6:$I$505,MATCH(B110,STG_ZPMW03!$B$6:$B$505,0))=J110&amp;"",0,1)))</f>
        <v/>
      </c>
      <c r="BU110" s="124" t="str">
        <f>IF($B110="","",IFERROR(IF(ABS(INDEX(Mapping!$D$5:$D$104,MATCH(B110,Mapping!$A$5:$A$104,0))-Q110)&gt;P_Tol,1,0),0))</f>
        <v/>
      </c>
      <c r="BV110" s="124" t="str">
        <f>IF($B110="","",IFERROR(IF(AND(INDEX(Mapping!$G$5:$G$104,MATCH(B110,Mapping!$A$5:$A$104,0))="Nee",ABS(Q110)+ABS(Z110)+ABS(AR110)&gt;0),1,0),0))</f>
        <v/>
      </c>
      <c r="BW110" s="124" t="str">
        <f>IF($B110="","",IF(COUNTIF(Mapping!$A$5:$A$104,B110)&gt;0,1,0))</f>
        <v/>
      </c>
      <c r="BX110" s="124" t="str">
        <f>IF($B110="","",IF(BR110=0,COUNTIF($BR$6:BR110,0),""))</f>
        <v/>
      </c>
    </row>
    <row r="111">
      <c r="A111" s="15" t="n">
        <v>107</v>
      </c>
      <c r="B111" t="str">
        <f>IF(B$3=0,"",IF(INDEX(SRC_Woningetalage!$A$1:$ZZ$501,$A111,B$3)&amp;""="","",INDEX(SRC_Woningetalage!$A$1:$ZZ$501,$A111,B$3)&amp;""))</f>
        <v/>
      </c>
      <c r="C111" t="str">
        <f>IF($B111="","",IF(C$3=0,"n.b.",INDEX(SRC_Woningetalage!$A$1:$ZZ$501,$A111,C$3)))</f>
        <v/>
      </c>
      <c r="D111" t="str">
        <f>IF($B111="","",IF(D$3=0,"n.b.",INDEX(SRC_Woningetalage!$A$1:$ZZ$501,$A111,D$3)))</f>
        <v/>
      </c>
      <c r="E111" t="str">
        <f>IF($B111="","",IF(E$3=0,"n.b.",INDEX(SRC_Woningetalage!$A$1:$ZZ$501,$A111,E$3)))</f>
        <v/>
      </c>
      <c r="F111" t="str">
        <f>IF($B111="","",IF(F$3=0,"n.b.",INDEX(SRC_Woningetalage!$A$1:$ZZ$501,$A111,F$3)))</f>
        <v/>
      </c>
      <c r="G111" t="str">
        <f>IF($B111="","",IF(G$3=0,"n.b.",INDEX(SRC_Woningetalage!$A$1:$ZZ$501,$A111,G$3)))</f>
        <v/>
      </c>
      <c r="H111" t="str">
        <f>IF($B111="","",IF(H$3=0,"n.b.",INDEX(SRC_Woningetalage!$A$1:$ZZ$501,$A111,H$3)))</f>
        <v/>
      </c>
      <c r="I111" t="str">
        <f>IF($B111="","",IF(I$3=0,"n.b.",INDEX(SRC_Woningetalage!$A$1:$ZZ$501,$A111,I$3)))</f>
        <v/>
      </c>
      <c r="J111" t="str">
        <f>IF($B111="","",IF(J$3=0,"n.b.",INDEX(SRC_Woningetalage!$A$1:$ZZ$501,$A111,J$3)))</f>
        <v/>
      </c>
      <c r="K111" t="str">
        <f>IF($B111="","",IF(K$3=0,"n.b.",INDEX(SRC_Woningetalage!$A$1:$ZZ$501,$A111,K$3)))</f>
        <v/>
      </c>
      <c r="L111" t="str">
        <f>IF($B111="","",IF(L$3=0,"n.b.",INDEX(SRC_Woningetalage!$A$1:$ZZ$501,$A111,L$3)))</f>
        <v/>
      </c>
      <c r="M111" t="str">
        <f>IF($B111="","",IF(M$3=0,"n.b.",INDEX(SRC_Woningetalage!$A$1:$ZZ$501,$A111,M$3)))</f>
        <v/>
      </c>
      <c r="N111" t="str">
        <f>IF($B111="","",IF(N$3=0,"n.b.",INDEX(SRC_Woningetalage!$A$1:$ZZ$501,$A111,N$3)))</f>
        <v/>
      </c>
      <c r="O111" t="str">
        <f>IF($B111="","",IF(O$3=0,"n.b.",INDEX(SRC_Woningetalage!$A$1:$ZZ$501,$A111,O$3)))</f>
        <v/>
      </c>
      <c r="P111" t="str">
        <f>IF($B111="","",IF(P$3=0,"n.b.",INDEX(SRC_Woningetalage!$A$1:$ZZ$501,$A111,P$3)))</f>
        <v/>
      </c>
      <c r="Q111" s="124" t="str">
        <f>IF($B111="","",IF(Q$3=0,"n.b.",INDEX(SRC_Woningetalage!$A$1:$ZZ$501,$A111,Q$3)))</f>
        <v/>
      </c>
      <c r="R111" s="124" t="str">
        <f>IF($B111="","",IF(R$3=0,"n.b.",INDEX(SRC_Woningetalage!$A$1:$ZZ$501,$A111,R$3)))</f>
        <v/>
      </c>
      <c r="S111" s="124" t="str">
        <f>IF($B111="","",IF(S$3=0,"n.b.",INDEX(SRC_Woningetalage!$A$1:$ZZ$501,$A111,S$3)))</f>
        <v/>
      </c>
      <c r="T111" s="124" t="str">
        <f>IF($B111="","",IF(T$3=0,"n.b.",INDEX(SRC_Woningetalage!$A$1:$ZZ$501,$A111,T$3)))</f>
        <v/>
      </c>
      <c r="U111" s="124" t="str">
        <f>IF($B111="","",IF(U$3=0,"n.b.",INDEX(SRC_Woningetalage!$A$1:$ZZ$501,$A111,U$3)))</f>
        <v/>
      </c>
      <c r="V111" s="124" t="str">
        <f>IF($B111="","",IF(V$3=0,"n.b.",INDEX(SRC_Woningetalage!$A$1:$ZZ$501,$A111,V$3)))</f>
        <v/>
      </c>
      <c r="W111" s="124" t="str">
        <f>IF($B111="","",IF(W$3=0,"n.b.",INDEX(SRC_Woningetalage!$A$1:$ZZ$501,$A111,W$3)))</f>
        <v/>
      </c>
      <c r="X111" s="124" t="str">
        <f>IF($B111="","",IF(X$3=0,"n.b.",INDEX(SRC_Woningetalage!$A$1:$ZZ$501,$A111,X$3)))</f>
        <v/>
      </c>
      <c r="Y111" s="124" t="str">
        <f>IF($B111="","",IF(Y$3=0,"n.b.",INDEX(SRC_Woningetalage!$A$1:$ZZ$501,$A111,Y$3)))</f>
        <v/>
      </c>
      <c r="Z111" s="124" t="str">
        <f>IF($B111="","",IF(Z$3=0,"n.b.",INDEX(SRC_Woningetalage!$A$1:$ZZ$501,$A111,Z$3)))</f>
        <v/>
      </c>
      <c r="AA111" s="124" t="str">
        <f>IF($B111="","",IF(AA$3=0,"n.b.",INDEX(SRC_Woningetalage!$A$1:$ZZ$501,$A111,AA$3)))</f>
        <v/>
      </c>
      <c r="AB111" s="124" t="str">
        <f>IF($B111="","",IF(AB$3=0,"n.b.",INDEX(SRC_Woningetalage!$A$1:$ZZ$501,$A111,AB$3)))</f>
        <v/>
      </c>
      <c r="AC111" s="124" t="str">
        <f>IF($B111="","",IF(AC$3=0,"n.b.",INDEX(SRC_Woningetalage!$A$1:$ZZ$501,$A111,AC$3)))</f>
        <v/>
      </c>
      <c r="AD111" s="124" t="str">
        <f>IF($B111="","",IF(AD$3=0,"n.b.",INDEX(SRC_Woningetalage!$A$1:$ZZ$501,$A111,AD$3)))</f>
        <v/>
      </c>
      <c r="AE111" s="124" t="str">
        <f>IF($B111="","",IF(AE$3=0,"n.b.",INDEX(SRC_Woningetalage!$A$1:$ZZ$501,$A111,AE$3)))</f>
        <v/>
      </c>
      <c r="AF111" s="124" t="str">
        <f>IF($B111="","",IF(AF$3=0,"n.b.",INDEX(SRC_Woningetalage!$A$1:$ZZ$501,$A111,AF$3)))</f>
        <v/>
      </c>
      <c r="AG111" s="124" t="str">
        <f>IF($B111="","",IF(AG$3=0,"n.b.",INDEX(SRC_Woningetalage!$A$1:$ZZ$501,$A111,AG$3)))</f>
        <v/>
      </c>
      <c r="AH111" s="124" t="str">
        <f>IF($B111="","",IF(AH$3=0,"n.b.",INDEX(SRC_Woningetalage!$A$1:$ZZ$501,$A111,AH$3)))</f>
        <v/>
      </c>
      <c r="AI111" s="124" t="str">
        <f>IF($B111="","",IF(AI$3=0,"n.b.",INDEX(SRC_Woningetalage!$A$1:$ZZ$501,$A111,AI$3)))</f>
        <v/>
      </c>
      <c r="AJ111" s="124" t="str">
        <f>IF($B111="","",IF(AJ$3=0,"n.b.",INDEX(SRC_Woningetalage!$A$1:$ZZ$501,$A111,AJ$3)))</f>
        <v/>
      </c>
      <c r="AK111" s="124" t="str">
        <f>IF($B111="","",IF(AK$3=0,"n.b.",INDEX(SRC_Woningetalage!$A$1:$ZZ$501,$A111,AK$3)))</f>
        <v/>
      </c>
      <c r="AL111" s="124" t="str">
        <f>IF($B111="","",IF(AL$3=0,"n.b.",INDEX(SRC_Woningetalage!$A$1:$ZZ$501,$A111,AL$3)))</f>
        <v/>
      </c>
      <c r="AM111" s="124" t="str">
        <f>IF($B111="","",IF(AM$3=0,"n.b.",INDEX(SRC_Woningetalage!$A$1:$ZZ$501,$A111,AM$3)))</f>
        <v/>
      </c>
      <c r="AN111" s="124" t="str">
        <f>IF($B111="","",IF(AN$3=0,"n.b.",INDEX(SRC_Woningetalage!$A$1:$ZZ$501,$A111,AN$3)))</f>
        <v/>
      </c>
      <c r="AO111" s="124" t="str">
        <f>IF($B111="","",IF(AO$3=0,"n.b.",INDEX(SRC_Woningetalage!$A$1:$ZZ$501,$A111,AO$3)))</f>
        <v/>
      </c>
      <c r="AP111" s="124" t="str">
        <f>IF($B111="","",IF(AP$3=0,"n.b.",INDEX(SRC_Woningetalage!$A$1:$ZZ$501,$A111,AP$3)))</f>
        <v/>
      </c>
      <c r="AQ111" s="124" t="str">
        <f>IF($B111="","",IF(AQ$3=0,"n.b.",INDEX(SRC_Woningetalage!$A$1:$ZZ$501,$A111,AQ$3)))</f>
        <v/>
      </c>
      <c r="AR111" s="124" t="str">
        <f>IF($B111="","",IF(AR$3=0,"n.b.",INDEX(SRC_Woningetalage!$A$1:$ZZ$501,$A111,AR$3)))</f>
        <v/>
      </c>
      <c r="AS111" s="124" t="str">
        <f>IF($B111="","",IF(AS$3=0,"n.b.",INDEX(SRC_Woningetalage!$A$1:$ZZ$501,$A111,AS$3)))</f>
        <v/>
      </c>
      <c r="AT111" s="124" t="str">
        <f>IF($B111="","",IF(AT$3=0,"n.b.",INDEX(SRC_Woningetalage!$A$1:$ZZ$501,$A111,AT$3)))</f>
        <v/>
      </c>
      <c r="AU111" s="124" t="str">
        <f>IF($B111="","",IF(AU$3=0,"n.b.",INDEX(SRC_Woningetalage!$A$1:$ZZ$501,$A111,AU$3)))</f>
        <v/>
      </c>
      <c r="AV111" s="124" t="str">
        <f>IF($B111="","",IF(AV$3=0,"n.b.",INDEX(SRC_Woningetalage!$A$1:$ZZ$501,$A111,AV$3)))</f>
        <v/>
      </c>
      <c r="AW111" s="124" t="str">
        <f>IF($B111="","",IF(AW$3=0,"n.b.",INDEX(SRC_Woningetalage!$A$1:$ZZ$501,$A111,AW$3)))</f>
        <v/>
      </c>
      <c r="AX111" s="124" t="str">
        <f>IF($B111="","",IF(AX$3=0,"n.b.",INDEX(SRC_Woningetalage!$A$1:$ZZ$501,$A111,AX$3)))</f>
        <v/>
      </c>
      <c r="AY111" s="124" t="str">
        <f>IF($B111="","",IF(AY$3=0,"n.b.",INDEX(SRC_Woningetalage!$A$1:$ZZ$501,$A111,AY$3)))</f>
        <v/>
      </c>
      <c r="AZ111" s="124" t="str">
        <f>IF($B111="","",IF(AZ$3=0,"n.b.",INDEX(SRC_Woningetalage!$A$1:$ZZ$501,$A111,AZ$3)))</f>
        <v/>
      </c>
      <c r="BA111" s="124" t="str">
        <f>IF($B111="","",IF(BA$3=0,"n.b.",INDEX(SRC_Woningetalage!$A$1:$ZZ$501,$A111,BA$3)))</f>
        <v/>
      </c>
      <c r="BB111" s="124" t="str">
        <f>IF($B111="","",IF(BB$3=0,"n.b.",INDEX(SRC_Woningetalage!$A$1:$ZZ$501,$A111,BB$3)))</f>
        <v/>
      </c>
      <c r="BC111" s="124" t="str">
        <f>IF($B111="","",IFERROR(_xlfn.NUMBERVALUE(E111&amp;"",",","."),"n.b."))</f>
        <v/>
      </c>
      <c r="BD111" s="124" t="str">
        <f>IF($B111="","",IFERROR(_xlfn.NUMBERVALUE(M111&amp;"",",","."),"n.b."))</f>
        <v/>
      </c>
      <c r="BE111" s="124" t="str">
        <f>IF($B111="","",IFERROR(AB111+AC111+AD111,"n.b."))</f>
        <v/>
      </c>
      <c r="BF111" s="124" t="str">
        <f>IF($B111="","",IFERROR(AE111+AF111+AG111,"n.b."))</f>
        <v/>
      </c>
      <c r="BG111" s="124" t="str">
        <f>IF($B111="","",IFERROR(AH111+AI111+AJ111,"n.b."))</f>
        <v/>
      </c>
      <c r="BH111" s="124" t="str">
        <f>IF($B111="","",IFERROR(AK111+AL111+AM111,"n.b."))</f>
        <v/>
      </c>
      <c r="BI111" s="124" t="str">
        <f>IF($B111="","",IFERROR(SUMIF($AB$5:$AM$5,"&lt;="&amp;P_PeilMaand,AB111:AM111),"n.b."))</f>
        <v/>
      </c>
      <c r="BJ111" s="124" t="str">
        <f>IF($B111="","",IFERROR(SUM(AB111:AM111)-BI111,"n.b."))</f>
        <v/>
      </c>
      <c r="BK111" s="124" t="str">
        <f>IF($B111="","",IFERROR(IF(ABS(Q111-(T111+SUM(AB111:AM111)+AS111+AU111))&gt;P_Tol,1,0),1))</f>
        <v/>
      </c>
      <c r="BL111" s="124" t="str">
        <f>IF($B111="","",IFERROR(IF(ABS(AA111-(Q111-Z111))&gt;P_Tol,1,0),1))</f>
        <v/>
      </c>
      <c r="BM111" s="124" t="str">
        <f>IF($B111="","",IFERROR(IF(ABS(Z111-(T111+W111))&gt;P_Tol,1,0),1))</f>
        <v/>
      </c>
      <c r="BN111" s="124" t="str">
        <f>IF($B111="","",IFERROR(IF(ABS(W111-BI111)&gt;P_Tol,1,0),1))</f>
        <v/>
      </c>
      <c r="BO111" s="124" t="str">
        <f>IF($B111="","",IFERROR(IF(OR(ABS(R111+S111-T111)&gt;P_Tol,ABS(U111+V111-W111)&gt;P_Tol,ABS(X111+Y111-Z111)&gt;P_Tol),1,0),1))</f>
        <v/>
      </c>
      <c r="BP111" s="124" t="str">
        <f>IF($B111="","",IFERROR(IF(OR(ABS(AR111-SUM(AB111:AM111))&gt;P_Tol,ABS(AS111-(AN111+AO111+AP111+AQ111))&gt;P_Tol),1,0),1))</f>
        <v/>
      </c>
      <c r="BQ111" s="124" t="str">
        <f>IF($B111="","",IFERROR(IF(ABS(AT111)+ABS(AV111)+ABS(AW111)+ABS(AX111)+ABS(AY111)+ABS(AZ111)+ABS(BA111)+ABS(BB111)&gt;0,1,0),1))</f>
        <v/>
      </c>
      <c r="BR111" s="124" t="str">
        <f>IF($B111="","",COUNTIF(STG_ZPMW03!$B$6:$B$505,B111))</f>
        <v/>
      </c>
      <c r="BS111" s="124" t="str">
        <f>IF($B111="","",COUNTIF($B$6:$B$505,B111))</f>
        <v/>
      </c>
      <c r="BT111" s="124" t="str">
        <f>IF($B111="","",IF(BR111=0,0,IF(INDEX(STG_ZPMW03!$I$6:$I$505,MATCH(B111,STG_ZPMW03!$B$6:$B$505,0))=J111&amp;"",0,1)))</f>
        <v/>
      </c>
      <c r="BU111" s="124" t="str">
        <f>IF($B111="","",IFERROR(IF(ABS(INDEX(Mapping!$D$5:$D$104,MATCH(B111,Mapping!$A$5:$A$104,0))-Q111)&gt;P_Tol,1,0),0))</f>
        <v/>
      </c>
      <c r="BV111" s="124" t="str">
        <f>IF($B111="","",IFERROR(IF(AND(INDEX(Mapping!$G$5:$G$104,MATCH(B111,Mapping!$A$5:$A$104,0))="Nee",ABS(Q111)+ABS(Z111)+ABS(AR111)&gt;0),1,0),0))</f>
        <v/>
      </c>
      <c r="BW111" s="124" t="str">
        <f>IF($B111="","",IF(COUNTIF(Mapping!$A$5:$A$104,B111)&gt;0,1,0))</f>
        <v/>
      </c>
      <c r="BX111" s="124" t="str">
        <f>IF($B111="","",IF(BR111=0,COUNTIF($BR$6:BR111,0),""))</f>
        <v/>
      </c>
    </row>
    <row r="112">
      <c r="A112" s="15" t="n">
        <v>108</v>
      </c>
      <c r="B112" t="str">
        <f>IF(B$3=0,"",IF(INDEX(SRC_Woningetalage!$A$1:$ZZ$501,$A112,B$3)&amp;""="","",INDEX(SRC_Woningetalage!$A$1:$ZZ$501,$A112,B$3)&amp;""))</f>
        <v/>
      </c>
      <c r="C112" t="str">
        <f>IF($B112="","",IF(C$3=0,"n.b.",INDEX(SRC_Woningetalage!$A$1:$ZZ$501,$A112,C$3)))</f>
        <v/>
      </c>
      <c r="D112" t="str">
        <f>IF($B112="","",IF(D$3=0,"n.b.",INDEX(SRC_Woningetalage!$A$1:$ZZ$501,$A112,D$3)))</f>
        <v/>
      </c>
      <c r="E112" t="str">
        <f>IF($B112="","",IF(E$3=0,"n.b.",INDEX(SRC_Woningetalage!$A$1:$ZZ$501,$A112,E$3)))</f>
        <v/>
      </c>
      <c r="F112" t="str">
        <f>IF($B112="","",IF(F$3=0,"n.b.",INDEX(SRC_Woningetalage!$A$1:$ZZ$501,$A112,F$3)))</f>
        <v/>
      </c>
      <c r="G112" t="str">
        <f>IF($B112="","",IF(G$3=0,"n.b.",INDEX(SRC_Woningetalage!$A$1:$ZZ$501,$A112,G$3)))</f>
        <v/>
      </c>
      <c r="H112" t="str">
        <f>IF($B112="","",IF(H$3=0,"n.b.",INDEX(SRC_Woningetalage!$A$1:$ZZ$501,$A112,H$3)))</f>
        <v/>
      </c>
      <c r="I112" t="str">
        <f>IF($B112="","",IF(I$3=0,"n.b.",INDEX(SRC_Woningetalage!$A$1:$ZZ$501,$A112,I$3)))</f>
        <v/>
      </c>
      <c r="J112" t="str">
        <f>IF($B112="","",IF(J$3=0,"n.b.",INDEX(SRC_Woningetalage!$A$1:$ZZ$501,$A112,J$3)))</f>
        <v/>
      </c>
      <c r="K112" t="str">
        <f>IF($B112="","",IF(K$3=0,"n.b.",INDEX(SRC_Woningetalage!$A$1:$ZZ$501,$A112,K$3)))</f>
        <v/>
      </c>
      <c r="L112" t="str">
        <f>IF($B112="","",IF(L$3=0,"n.b.",INDEX(SRC_Woningetalage!$A$1:$ZZ$501,$A112,L$3)))</f>
        <v/>
      </c>
      <c r="M112" t="str">
        <f>IF($B112="","",IF(M$3=0,"n.b.",INDEX(SRC_Woningetalage!$A$1:$ZZ$501,$A112,M$3)))</f>
        <v/>
      </c>
      <c r="N112" t="str">
        <f>IF($B112="","",IF(N$3=0,"n.b.",INDEX(SRC_Woningetalage!$A$1:$ZZ$501,$A112,N$3)))</f>
        <v/>
      </c>
      <c r="O112" t="str">
        <f>IF($B112="","",IF(O$3=0,"n.b.",INDEX(SRC_Woningetalage!$A$1:$ZZ$501,$A112,O$3)))</f>
        <v/>
      </c>
      <c r="P112" t="str">
        <f>IF($B112="","",IF(P$3=0,"n.b.",INDEX(SRC_Woningetalage!$A$1:$ZZ$501,$A112,P$3)))</f>
        <v/>
      </c>
      <c r="Q112" s="124" t="str">
        <f>IF($B112="","",IF(Q$3=0,"n.b.",INDEX(SRC_Woningetalage!$A$1:$ZZ$501,$A112,Q$3)))</f>
        <v/>
      </c>
      <c r="R112" s="124" t="str">
        <f>IF($B112="","",IF(R$3=0,"n.b.",INDEX(SRC_Woningetalage!$A$1:$ZZ$501,$A112,R$3)))</f>
        <v/>
      </c>
      <c r="S112" s="124" t="str">
        <f>IF($B112="","",IF(S$3=0,"n.b.",INDEX(SRC_Woningetalage!$A$1:$ZZ$501,$A112,S$3)))</f>
        <v/>
      </c>
      <c r="T112" s="124" t="str">
        <f>IF($B112="","",IF(T$3=0,"n.b.",INDEX(SRC_Woningetalage!$A$1:$ZZ$501,$A112,T$3)))</f>
        <v/>
      </c>
      <c r="U112" s="124" t="str">
        <f>IF($B112="","",IF(U$3=0,"n.b.",INDEX(SRC_Woningetalage!$A$1:$ZZ$501,$A112,U$3)))</f>
        <v/>
      </c>
      <c r="V112" s="124" t="str">
        <f>IF($B112="","",IF(V$3=0,"n.b.",INDEX(SRC_Woningetalage!$A$1:$ZZ$501,$A112,V$3)))</f>
        <v/>
      </c>
      <c r="W112" s="124" t="str">
        <f>IF($B112="","",IF(W$3=0,"n.b.",INDEX(SRC_Woningetalage!$A$1:$ZZ$501,$A112,W$3)))</f>
        <v/>
      </c>
      <c r="X112" s="124" t="str">
        <f>IF($B112="","",IF(X$3=0,"n.b.",INDEX(SRC_Woningetalage!$A$1:$ZZ$501,$A112,X$3)))</f>
        <v/>
      </c>
      <c r="Y112" s="124" t="str">
        <f>IF($B112="","",IF(Y$3=0,"n.b.",INDEX(SRC_Woningetalage!$A$1:$ZZ$501,$A112,Y$3)))</f>
        <v/>
      </c>
      <c r="Z112" s="124" t="str">
        <f>IF($B112="","",IF(Z$3=0,"n.b.",INDEX(SRC_Woningetalage!$A$1:$ZZ$501,$A112,Z$3)))</f>
        <v/>
      </c>
      <c r="AA112" s="124" t="str">
        <f>IF($B112="","",IF(AA$3=0,"n.b.",INDEX(SRC_Woningetalage!$A$1:$ZZ$501,$A112,AA$3)))</f>
        <v/>
      </c>
      <c r="AB112" s="124" t="str">
        <f>IF($B112="","",IF(AB$3=0,"n.b.",INDEX(SRC_Woningetalage!$A$1:$ZZ$501,$A112,AB$3)))</f>
        <v/>
      </c>
      <c r="AC112" s="124" t="str">
        <f>IF($B112="","",IF(AC$3=0,"n.b.",INDEX(SRC_Woningetalage!$A$1:$ZZ$501,$A112,AC$3)))</f>
        <v/>
      </c>
      <c r="AD112" s="124" t="str">
        <f>IF($B112="","",IF(AD$3=0,"n.b.",INDEX(SRC_Woningetalage!$A$1:$ZZ$501,$A112,AD$3)))</f>
        <v/>
      </c>
      <c r="AE112" s="124" t="str">
        <f>IF($B112="","",IF(AE$3=0,"n.b.",INDEX(SRC_Woningetalage!$A$1:$ZZ$501,$A112,AE$3)))</f>
        <v/>
      </c>
      <c r="AF112" s="124" t="str">
        <f>IF($B112="","",IF(AF$3=0,"n.b.",INDEX(SRC_Woningetalage!$A$1:$ZZ$501,$A112,AF$3)))</f>
        <v/>
      </c>
      <c r="AG112" s="124" t="str">
        <f>IF($B112="","",IF(AG$3=0,"n.b.",INDEX(SRC_Woningetalage!$A$1:$ZZ$501,$A112,AG$3)))</f>
        <v/>
      </c>
      <c r="AH112" s="124" t="str">
        <f>IF($B112="","",IF(AH$3=0,"n.b.",INDEX(SRC_Woningetalage!$A$1:$ZZ$501,$A112,AH$3)))</f>
        <v/>
      </c>
      <c r="AI112" s="124" t="str">
        <f>IF($B112="","",IF(AI$3=0,"n.b.",INDEX(SRC_Woningetalage!$A$1:$ZZ$501,$A112,AI$3)))</f>
        <v/>
      </c>
      <c r="AJ112" s="124" t="str">
        <f>IF($B112="","",IF(AJ$3=0,"n.b.",INDEX(SRC_Woningetalage!$A$1:$ZZ$501,$A112,AJ$3)))</f>
        <v/>
      </c>
      <c r="AK112" s="124" t="str">
        <f>IF($B112="","",IF(AK$3=0,"n.b.",INDEX(SRC_Woningetalage!$A$1:$ZZ$501,$A112,AK$3)))</f>
        <v/>
      </c>
      <c r="AL112" s="124" t="str">
        <f>IF($B112="","",IF(AL$3=0,"n.b.",INDEX(SRC_Woningetalage!$A$1:$ZZ$501,$A112,AL$3)))</f>
        <v/>
      </c>
      <c r="AM112" s="124" t="str">
        <f>IF($B112="","",IF(AM$3=0,"n.b.",INDEX(SRC_Woningetalage!$A$1:$ZZ$501,$A112,AM$3)))</f>
        <v/>
      </c>
      <c r="AN112" s="124" t="str">
        <f>IF($B112="","",IF(AN$3=0,"n.b.",INDEX(SRC_Woningetalage!$A$1:$ZZ$501,$A112,AN$3)))</f>
        <v/>
      </c>
      <c r="AO112" s="124" t="str">
        <f>IF($B112="","",IF(AO$3=0,"n.b.",INDEX(SRC_Woningetalage!$A$1:$ZZ$501,$A112,AO$3)))</f>
        <v/>
      </c>
      <c r="AP112" s="124" t="str">
        <f>IF($B112="","",IF(AP$3=0,"n.b.",INDEX(SRC_Woningetalage!$A$1:$ZZ$501,$A112,AP$3)))</f>
        <v/>
      </c>
      <c r="AQ112" s="124" t="str">
        <f>IF($B112="","",IF(AQ$3=0,"n.b.",INDEX(SRC_Woningetalage!$A$1:$ZZ$501,$A112,AQ$3)))</f>
        <v/>
      </c>
      <c r="AR112" s="124" t="str">
        <f>IF($B112="","",IF(AR$3=0,"n.b.",INDEX(SRC_Woningetalage!$A$1:$ZZ$501,$A112,AR$3)))</f>
        <v/>
      </c>
      <c r="AS112" s="124" t="str">
        <f>IF($B112="","",IF(AS$3=0,"n.b.",INDEX(SRC_Woningetalage!$A$1:$ZZ$501,$A112,AS$3)))</f>
        <v/>
      </c>
      <c r="AT112" s="124" t="str">
        <f>IF($B112="","",IF(AT$3=0,"n.b.",INDEX(SRC_Woningetalage!$A$1:$ZZ$501,$A112,AT$3)))</f>
        <v/>
      </c>
      <c r="AU112" s="124" t="str">
        <f>IF($B112="","",IF(AU$3=0,"n.b.",INDEX(SRC_Woningetalage!$A$1:$ZZ$501,$A112,AU$3)))</f>
        <v/>
      </c>
      <c r="AV112" s="124" t="str">
        <f>IF($B112="","",IF(AV$3=0,"n.b.",INDEX(SRC_Woningetalage!$A$1:$ZZ$501,$A112,AV$3)))</f>
        <v/>
      </c>
      <c r="AW112" s="124" t="str">
        <f>IF($B112="","",IF(AW$3=0,"n.b.",INDEX(SRC_Woningetalage!$A$1:$ZZ$501,$A112,AW$3)))</f>
        <v/>
      </c>
      <c r="AX112" s="124" t="str">
        <f>IF($B112="","",IF(AX$3=0,"n.b.",INDEX(SRC_Woningetalage!$A$1:$ZZ$501,$A112,AX$3)))</f>
        <v/>
      </c>
      <c r="AY112" s="124" t="str">
        <f>IF($B112="","",IF(AY$3=0,"n.b.",INDEX(SRC_Woningetalage!$A$1:$ZZ$501,$A112,AY$3)))</f>
        <v/>
      </c>
      <c r="AZ112" s="124" t="str">
        <f>IF($B112="","",IF(AZ$3=0,"n.b.",INDEX(SRC_Woningetalage!$A$1:$ZZ$501,$A112,AZ$3)))</f>
        <v/>
      </c>
      <c r="BA112" s="124" t="str">
        <f>IF($B112="","",IF(BA$3=0,"n.b.",INDEX(SRC_Woningetalage!$A$1:$ZZ$501,$A112,BA$3)))</f>
        <v/>
      </c>
      <c r="BB112" s="124" t="str">
        <f>IF($B112="","",IF(BB$3=0,"n.b.",INDEX(SRC_Woningetalage!$A$1:$ZZ$501,$A112,BB$3)))</f>
        <v/>
      </c>
      <c r="BC112" s="124" t="str">
        <f>IF($B112="","",IFERROR(_xlfn.NUMBERVALUE(E112&amp;"",",","."),"n.b."))</f>
        <v/>
      </c>
      <c r="BD112" s="124" t="str">
        <f>IF($B112="","",IFERROR(_xlfn.NUMBERVALUE(M112&amp;"",",","."),"n.b."))</f>
        <v/>
      </c>
      <c r="BE112" s="124" t="str">
        <f>IF($B112="","",IFERROR(AB112+AC112+AD112,"n.b."))</f>
        <v/>
      </c>
      <c r="BF112" s="124" t="str">
        <f>IF($B112="","",IFERROR(AE112+AF112+AG112,"n.b."))</f>
        <v/>
      </c>
      <c r="BG112" s="124" t="str">
        <f>IF($B112="","",IFERROR(AH112+AI112+AJ112,"n.b."))</f>
        <v/>
      </c>
      <c r="BH112" s="124" t="str">
        <f>IF($B112="","",IFERROR(AK112+AL112+AM112,"n.b."))</f>
        <v/>
      </c>
      <c r="BI112" s="124" t="str">
        <f>IF($B112="","",IFERROR(SUMIF($AB$5:$AM$5,"&lt;="&amp;P_PeilMaand,AB112:AM112),"n.b."))</f>
        <v/>
      </c>
      <c r="BJ112" s="124" t="str">
        <f>IF($B112="","",IFERROR(SUM(AB112:AM112)-BI112,"n.b."))</f>
        <v/>
      </c>
      <c r="BK112" s="124" t="str">
        <f>IF($B112="","",IFERROR(IF(ABS(Q112-(T112+SUM(AB112:AM112)+AS112+AU112))&gt;P_Tol,1,0),1))</f>
        <v/>
      </c>
      <c r="BL112" s="124" t="str">
        <f>IF($B112="","",IFERROR(IF(ABS(AA112-(Q112-Z112))&gt;P_Tol,1,0),1))</f>
        <v/>
      </c>
      <c r="BM112" s="124" t="str">
        <f>IF($B112="","",IFERROR(IF(ABS(Z112-(T112+W112))&gt;P_Tol,1,0),1))</f>
        <v/>
      </c>
      <c r="BN112" s="124" t="str">
        <f>IF($B112="","",IFERROR(IF(ABS(W112-BI112)&gt;P_Tol,1,0),1))</f>
        <v/>
      </c>
      <c r="BO112" s="124" t="str">
        <f>IF($B112="","",IFERROR(IF(OR(ABS(R112+S112-T112)&gt;P_Tol,ABS(U112+V112-W112)&gt;P_Tol,ABS(X112+Y112-Z112)&gt;P_Tol),1,0),1))</f>
        <v/>
      </c>
      <c r="BP112" s="124" t="str">
        <f>IF($B112="","",IFERROR(IF(OR(ABS(AR112-SUM(AB112:AM112))&gt;P_Tol,ABS(AS112-(AN112+AO112+AP112+AQ112))&gt;P_Tol),1,0),1))</f>
        <v/>
      </c>
      <c r="BQ112" s="124" t="str">
        <f>IF($B112="","",IFERROR(IF(ABS(AT112)+ABS(AV112)+ABS(AW112)+ABS(AX112)+ABS(AY112)+ABS(AZ112)+ABS(BA112)+ABS(BB112)&gt;0,1,0),1))</f>
        <v/>
      </c>
      <c r="BR112" s="124" t="str">
        <f>IF($B112="","",COUNTIF(STG_ZPMW03!$B$6:$B$505,B112))</f>
        <v/>
      </c>
      <c r="BS112" s="124" t="str">
        <f>IF($B112="","",COUNTIF($B$6:$B$505,B112))</f>
        <v/>
      </c>
      <c r="BT112" s="124" t="str">
        <f>IF($B112="","",IF(BR112=0,0,IF(INDEX(STG_ZPMW03!$I$6:$I$505,MATCH(B112,STG_ZPMW03!$B$6:$B$505,0))=J112&amp;"",0,1)))</f>
        <v/>
      </c>
      <c r="BU112" s="124" t="str">
        <f>IF($B112="","",IFERROR(IF(ABS(INDEX(Mapping!$D$5:$D$104,MATCH(B112,Mapping!$A$5:$A$104,0))-Q112)&gt;P_Tol,1,0),0))</f>
        <v/>
      </c>
      <c r="BV112" s="124" t="str">
        <f>IF($B112="","",IFERROR(IF(AND(INDEX(Mapping!$G$5:$G$104,MATCH(B112,Mapping!$A$5:$A$104,0))="Nee",ABS(Q112)+ABS(Z112)+ABS(AR112)&gt;0),1,0),0))</f>
        <v/>
      </c>
      <c r="BW112" s="124" t="str">
        <f>IF($B112="","",IF(COUNTIF(Mapping!$A$5:$A$104,B112)&gt;0,1,0))</f>
        <v/>
      </c>
      <c r="BX112" s="124" t="str">
        <f>IF($B112="","",IF(BR112=0,COUNTIF($BR$6:BR112,0),""))</f>
        <v/>
      </c>
    </row>
    <row r="113">
      <c r="A113" s="15" t="n">
        <v>109</v>
      </c>
      <c r="B113" t="str">
        <f>IF(B$3=0,"",IF(INDEX(SRC_Woningetalage!$A$1:$ZZ$501,$A113,B$3)&amp;""="","",INDEX(SRC_Woningetalage!$A$1:$ZZ$501,$A113,B$3)&amp;""))</f>
        <v/>
      </c>
      <c r="C113" t="str">
        <f>IF($B113="","",IF(C$3=0,"n.b.",INDEX(SRC_Woningetalage!$A$1:$ZZ$501,$A113,C$3)))</f>
        <v/>
      </c>
      <c r="D113" t="str">
        <f>IF($B113="","",IF(D$3=0,"n.b.",INDEX(SRC_Woningetalage!$A$1:$ZZ$501,$A113,D$3)))</f>
        <v/>
      </c>
      <c r="E113" t="str">
        <f>IF($B113="","",IF(E$3=0,"n.b.",INDEX(SRC_Woningetalage!$A$1:$ZZ$501,$A113,E$3)))</f>
        <v/>
      </c>
      <c r="F113" t="str">
        <f>IF($B113="","",IF(F$3=0,"n.b.",INDEX(SRC_Woningetalage!$A$1:$ZZ$501,$A113,F$3)))</f>
        <v/>
      </c>
      <c r="G113" t="str">
        <f>IF($B113="","",IF(G$3=0,"n.b.",INDEX(SRC_Woningetalage!$A$1:$ZZ$501,$A113,G$3)))</f>
        <v/>
      </c>
      <c r="H113" t="str">
        <f>IF($B113="","",IF(H$3=0,"n.b.",INDEX(SRC_Woningetalage!$A$1:$ZZ$501,$A113,H$3)))</f>
        <v/>
      </c>
      <c r="I113" t="str">
        <f>IF($B113="","",IF(I$3=0,"n.b.",INDEX(SRC_Woningetalage!$A$1:$ZZ$501,$A113,I$3)))</f>
        <v/>
      </c>
      <c r="J113" t="str">
        <f>IF($B113="","",IF(J$3=0,"n.b.",INDEX(SRC_Woningetalage!$A$1:$ZZ$501,$A113,J$3)))</f>
        <v/>
      </c>
      <c r="K113" t="str">
        <f>IF($B113="","",IF(K$3=0,"n.b.",INDEX(SRC_Woningetalage!$A$1:$ZZ$501,$A113,K$3)))</f>
        <v/>
      </c>
      <c r="L113" t="str">
        <f>IF($B113="","",IF(L$3=0,"n.b.",INDEX(SRC_Woningetalage!$A$1:$ZZ$501,$A113,L$3)))</f>
        <v/>
      </c>
      <c r="M113" t="str">
        <f>IF($B113="","",IF(M$3=0,"n.b.",INDEX(SRC_Woningetalage!$A$1:$ZZ$501,$A113,M$3)))</f>
        <v/>
      </c>
      <c r="N113" t="str">
        <f>IF($B113="","",IF(N$3=0,"n.b.",INDEX(SRC_Woningetalage!$A$1:$ZZ$501,$A113,N$3)))</f>
        <v/>
      </c>
      <c r="O113" t="str">
        <f>IF($B113="","",IF(O$3=0,"n.b.",INDEX(SRC_Woningetalage!$A$1:$ZZ$501,$A113,O$3)))</f>
        <v/>
      </c>
      <c r="P113" t="str">
        <f>IF($B113="","",IF(P$3=0,"n.b.",INDEX(SRC_Woningetalage!$A$1:$ZZ$501,$A113,P$3)))</f>
        <v/>
      </c>
      <c r="Q113" s="124" t="str">
        <f>IF($B113="","",IF(Q$3=0,"n.b.",INDEX(SRC_Woningetalage!$A$1:$ZZ$501,$A113,Q$3)))</f>
        <v/>
      </c>
      <c r="R113" s="124" t="str">
        <f>IF($B113="","",IF(R$3=0,"n.b.",INDEX(SRC_Woningetalage!$A$1:$ZZ$501,$A113,R$3)))</f>
        <v/>
      </c>
      <c r="S113" s="124" t="str">
        <f>IF($B113="","",IF(S$3=0,"n.b.",INDEX(SRC_Woningetalage!$A$1:$ZZ$501,$A113,S$3)))</f>
        <v/>
      </c>
      <c r="T113" s="124" t="str">
        <f>IF($B113="","",IF(T$3=0,"n.b.",INDEX(SRC_Woningetalage!$A$1:$ZZ$501,$A113,T$3)))</f>
        <v/>
      </c>
      <c r="U113" s="124" t="str">
        <f>IF($B113="","",IF(U$3=0,"n.b.",INDEX(SRC_Woningetalage!$A$1:$ZZ$501,$A113,U$3)))</f>
        <v/>
      </c>
      <c r="V113" s="124" t="str">
        <f>IF($B113="","",IF(V$3=0,"n.b.",INDEX(SRC_Woningetalage!$A$1:$ZZ$501,$A113,V$3)))</f>
        <v/>
      </c>
      <c r="W113" s="124" t="str">
        <f>IF($B113="","",IF(W$3=0,"n.b.",INDEX(SRC_Woningetalage!$A$1:$ZZ$501,$A113,W$3)))</f>
        <v/>
      </c>
      <c r="X113" s="124" t="str">
        <f>IF($B113="","",IF(X$3=0,"n.b.",INDEX(SRC_Woningetalage!$A$1:$ZZ$501,$A113,X$3)))</f>
        <v/>
      </c>
      <c r="Y113" s="124" t="str">
        <f>IF($B113="","",IF(Y$3=0,"n.b.",INDEX(SRC_Woningetalage!$A$1:$ZZ$501,$A113,Y$3)))</f>
        <v/>
      </c>
      <c r="Z113" s="124" t="str">
        <f>IF($B113="","",IF(Z$3=0,"n.b.",INDEX(SRC_Woningetalage!$A$1:$ZZ$501,$A113,Z$3)))</f>
        <v/>
      </c>
      <c r="AA113" s="124" t="str">
        <f>IF($B113="","",IF(AA$3=0,"n.b.",INDEX(SRC_Woningetalage!$A$1:$ZZ$501,$A113,AA$3)))</f>
        <v/>
      </c>
      <c r="AB113" s="124" t="str">
        <f>IF($B113="","",IF(AB$3=0,"n.b.",INDEX(SRC_Woningetalage!$A$1:$ZZ$501,$A113,AB$3)))</f>
        <v/>
      </c>
      <c r="AC113" s="124" t="str">
        <f>IF($B113="","",IF(AC$3=0,"n.b.",INDEX(SRC_Woningetalage!$A$1:$ZZ$501,$A113,AC$3)))</f>
        <v/>
      </c>
      <c r="AD113" s="124" t="str">
        <f>IF($B113="","",IF(AD$3=0,"n.b.",INDEX(SRC_Woningetalage!$A$1:$ZZ$501,$A113,AD$3)))</f>
        <v/>
      </c>
      <c r="AE113" s="124" t="str">
        <f>IF($B113="","",IF(AE$3=0,"n.b.",INDEX(SRC_Woningetalage!$A$1:$ZZ$501,$A113,AE$3)))</f>
        <v/>
      </c>
      <c r="AF113" s="124" t="str">
        <f>IF($B113="","",IF(AF$3=0,"n.b.",INDEX(SRC_Woningetalage!$A$1:$ZZ$501,$A113,AF$3)))</f>
        <v/>
      </c>
      <c r="AG113" s="124" t="str">
        <f>IF($B113="","",IF(AG$3=0,"n.b.",INDEX(SRC_Woningetalage!$A$1:$ZZ$501,$A113,AG$3)))</f>
        <v/>
      </c>
      <c r="AH113" s="124" t="str">
        <f>IF($B113="","",IF(AH$3=0,"n.b.",INDEX(SRC_Woningetalage!$A$1:$ZZ$501,$A113,AH$3)))</f>
        <v/>
      </c>
      <c r="AI113" s="124" t="str">
        <f>IF($B113="","",IF(AI$3=0,"n.b.",INDEX(SRC_Woningetalage!$A$1:$ZZ$501,$A113,AI$3)))</f>
        <v/>
      </c>
      <c r="AJ113" s="124" t="str">
        <f>IF($B113="","",IF(AJ$3=0,"n.b.",INDEX(SRC_Woningetalage!$A$1:$ZZ$501,$A113,AJ$3)))</f>
        <v/>
      </c>
      <c r="AK113" s="124" t="str">
        <f>IF($B113="","",IF(AK$3=0,"n.b.",INDEX(SRC_Woningetalage!$A$1:$ZZ$501,$A113,AK$3)))</f>
        <v/>
      </c>
      <c r="AL113" s="124" t="str">
        <f>IF($B113="","",IF(AL$3=0,"n.b.",INDEX(SRC_Woningetalage!$A$1:$ZZ$501,$A113,AL$3)))</f>
        <v/>
      </c>
      <c r="AM113" s="124" t="str">
        <f>IF($B113="","",IF(AM$3=0,"n.b.",INDEX(SRC_Woningetalage!$A$1:$ZZ$501,$A113,AM$3)))</f>
        <v/>
      </c>
      <c r="AN113" s="124" t="str">
        <f>IF($B113="","",IF(AN$3=0,"n.b.",INDEX(SRC_Woningetalage!$A$1:$ZZ$501,$A113,AN$3)))</f>
        <v/>
      </c>
      <c r="AO113" s="124" t="str">
        <f>IF($B113="","",IF(AO$3=0,"n.b.",INDEX(SRC_Woningetalage!$A$1:$ZZ$501,$A113,AO$3)))</f>
        <v/>
      </c>
      <c r="AP113" s="124" t="str">
        <f>IF($B113="","",IF(AP$3=0,"n.b.",INDEX(SRC_Woningetalage!$A$1:$ZZ$501,$A113,AP$3)))</f>
        <v/>
      </c>
      <c r="AQ113" s="124" t="str">
        <f>IF($B113="","",IF(AQ$3=0,"n.b.",INDEX(SRC_Woningetalage!$A$1:$ZZ$501,$A113,AQ$3)))</f>
        <v/>
      </c>
      <c r="AR113" s="124" t="str">
        <f>IF($B113="","",IF(AR$3=0,"n.b.",INDEX(SRC_Woningetalage!$A$1:$ZZ$501,$A113,AR$3)))</f>
        <v/>
      </c>
      <c r="AS113" s="124" t="str">
        <f>IF($B113="","",IF(AS$3=0,"n.b.",INDEX(SRC_Woningetalage!$A$1:$ZZ$501,$A113,AS$3)))</f>
        <v/>
      </c>
      <c r="AT113" s="124" t="str">
        <f>IF($B113="","",IF(AT$3=0,"n.b.",INDEX(SRC_Woningetalage!$A$1:$ZZ$501,$A113,AT$3)))</f>
        <v/>
      </c>
      <c r="AU113" s="124" t="str">
        <f>IF($B113="","",IF(AU$3=0,"n.b.",INDEX(SRC_Woningetalage!$A$1:$ZZ$501,$A113,AU$3)))</f>
        <v/>
      </c>
      <c r="AV113" s="124" t="str">
        <f>IF($B113="","",IF(AV$3=0,"n.b.",INDEX(SRC_Woningetalage!$A$1:$ZZ$501,$A113,AV$3)))</f>
        <v/>
      </c>
      <c r="AW113" s="124" t="str">
        <f>IF($B113="","",IF(AW$3=0,"n.b.",INDEX(SRC_Woningetalage!$A$1:$ZZ$501,$A113,AW$3)))</f>
        <v/>
      </c>
      <c r="AX113" s="124" t="str">
        <f>IF($B113="","",IF(AX$3=0,"n.b.",INDEX(SRC_Woningetalage!$A$1:$ZZ$501,$A113,AX$3)))</f>
        <v/>
      </c>
      <c r="AY113" s="124" t="str">
        <f>IF($B113="","",IF(AY$3=0,"n.b.",INDEX(SRC_Woningetalage!$A$1:$ZZ$501,$A113,AY$3)))</f>
        <v/>
      </c>
      <c r="AZ113" s="124" t="str">
        <f>IF($B113="","",IF(AZ$3=0,"n.b.",INDEX(SRC_Woningetalage!$A$1:$ZZ$501,$A113,AZ$3)))</f>
        <v/>
      </c>
      <c r="BA113" s="124" t="str">
        <f>IF($B113="","",IF(BA$3=0,"n.b.",INDEX(SRC_Woningetalage!$A$1:$ZZ$501,$A113,BA$3)))</f>
        <v/>
      </c>
      <c r="BB113" s="124" t="str">
        <f>IF($B113="","",IF(BB$3=0,"n.b.",INDEX(SRC_Woningetalage!$A$1:$ZZ$501,$A113,BB$3)))</f>
        <v/>
      </c>
      <c r="BC113" s="124" t="str">
        <f>IF($B113="","",IFERROR(_xlfn.NUMBERVALUE(E113&amp;"",",","."),"n.b."))</f>
        <v/>
      </c>
      <c r="BD113" s="124" t="str">
        <f>IF($B113="","",IFERROR(_xlfn.NUMBERVALUE(M113&amp;"",",","."),"n.b."))</f>
        <v/>
      </c>
      <c r="BE113" s="124" t="str">
        <f>IF($B113="","",IFERROR(AB113+AC113+AD113,"n.b."))</f>
        <v/>
      </c>
      <c r="BF113" s="124" t="str">
        <f>IF($B113="","",IFERROR(AE113+AF113+AG113,"n.b."))</f>
        <v/>
      </c>
      <c r="BG113" s="124" t="str">
        <f>IF($B113="","",IFERROR(AH113+AI113+AJ113,"n.b."))</f>
        <v/>
      </c>
      <c r="BH113" s="124" t="str">
        <f>IF($B113="","",IFERROR(AK113+AL113+AM113,"n.b."))</f>
        <v/>
      </c>
      <c r="BI113" s="124" t="str">
        <f>IF($B113="","",IFERROR(SUMIF($AB$5:$AM$5,"&lt;="&amp;P_PeilMaand,AB113:AM113),"n.b."))</f>
        <v/>
      </c>
      <c r="BJ113" s="124" t="str">
        <f>IF($B113="","",IFERROR(SUM(AB113:AM113)-BI113,"n.b."))</f>
        <v/>
      </c>
      <c r="BK113" s="124" t="str">
        <f>IF($B113="","",IFERROR(IF(ABS(Q113-(T113+SUM(AB113:AM113)+AS113+AU113))&gt;P_Tol,1,0),1))</f>
        <v/>
      </c>
      <c r="BL113" s="124" t="str">
        <f>IF($B113="","",IFERROR(IF(ABS(AA113-(Q113-Z113))&gt;P_Tol,1,0),1))</f>
        <v/>
      </c>
      <c r="BM113" s="124" t="str">
        <f>IF($B113="","",IFERROR(IF(ABS(Z113-(T113+W113))&gt;P_Tol,1,0),1))</f>
        <v/>
      </c>
      <c r="BN113" s="124" t="str">
        <f>IF($B113="","",IFERROR(IF(ABS(W113-BI113)&gt;P_Tol,1,0),1))</f>
        <v/>
      </c>
      <c r="BO113" s="124" t="str">
        <f>IF($B113="","",IFERROR(IF(OR(ABS(R113+S113-T113)&gt;P_Tol,ABS(U113+V113-W113)&gt;P_Tol,ABS(X113+Y113-Z113)&gt;P_Tol),1,0),1))</f>
        <v/>
      </c>
      <c r="BP113" s="124" t="str">
        <f>IF($B113="","",IFERROR(IF(OR(ABS(AR113-SUM(AB113:AM113))&gt;P_Tol,ABS(AS113-(AN113+AO113+AP113+AQ113))&gt;P_Tol),1,0),1))</f>
        <v/>
      </c>
      <c r="BQ113" s="124" t="str">
        <f>IF($B113="","",IFERROR(IF(ABS(AT113)+ABS(AV113)+ABS(AW113)+ABS(AX113)+ABS(AY113)+ABS(AZ113)+ABS(BA113)+ABS(BB113)&gt;0,1,0),1))</f>
        <v/>
      </c>
      <c r="BR113" s="124" t="str">
        <f>IF($B113="","",COUNTIF(STG_ZPMW03!$B$6:$B$505,B113))</f>
        <v/>
      </c>
      <c r="BS113" s="124" t="str">
        <f>IF($B113="","",COUNTIF($B$6:$B$505,B113))</f>
        <v/>
      </c>
      <c r="BT113" s="124" t="str">
        <f>IF($B113="","",IF(BR113=0,0,IF(INDEX(STG_ZPMW03!$I$6:$I$505,MATCH(B113,STG_ZPMW03!$B$6:$B$505,0))=J113&amp;"",0,1)))</f>
        <v/>
      </c>
      <c r="BU113" s="124" t="str">
        <f>IF($B113="","",IFERROR(IF(ABS(INDEX(Mapping!$D$5:$D$104,MATCH(B113,Mapping!$A$5:$A$104,0))-Q113)&gt;P_Tol,1,0),0))</f>
        <v/>
      </c>
      <c r="BV113" s="124" t="str">
        <f>IF($B113="","",IFERROR(IF(AND(INDEX(Mapping!$G$5:$G$104,MATCH(B113,Mapping!$A$5:$A$104,0))="Nee",ABS(Q113)+ABS(Z113)+ABS(AR113)&gt;0),1,0),0))</f>
        <v/>
      </c>
      <c r="BW113" s="124" t="str">
        <f>IF($B113="","",IF(COUNTIF(Mapping!$A$5:$A$104,B113)&gt;0,1,0))</f>
        <v/>
      </c>
      <c r="BX113" s="124" t="str">
        <f>IF($B113="","",IF(BR113=0,COUNTIF($BR$6:BR113,0),""))</f>
        <v/>
      </c>
    </row>
    <row r="114">
      <c r="A114" s="15" t="n">
        <v>110</v>
      </c>
      <c r="B114" t="str">
        <f>IF(B$3=0,"",IF(INDEX(SRC_Woningetalage!$A$1:$ZZ$501,$A114,B$3)&amp;""="","",INDEX(SRC_Woningetalage!$A$1:$ZZ$501,$A114,B$3)&amp;""))</f>
        <v/>
      </c>
      <c r="C114" t="str">
        <f>IF($B114="","",IF(C$3=0,"n.b.",INDEX(SRC_Woningetalage!$A$1:$ZZ$501,$A114,C$3)))</f>
        <v/>
      </c>
      <c r="D114" t="str">
        <f>IF($B114="","",IF(D$3=0,"n.b.",INDEX(SRC_Woningetalage!$A$1:$ZZ$501,$A114,D$3)))</f>
        <v/>
      </c>
      <c r="E114" t="str">
        <f>IF($B114="","",IF(E$3=0,"n.b.",INDEX(SRC_Woningetalage!$A$1:$ZZ$501,$A114,E$3)))</f>
        <v/>
      </c>
      <c r="F114" t="str">
        <f>IF($B114="","",IF(F$3=0,"n.b.",INDEX(SRC_Woningetalage!$A$1:$ZZ$501,$A114,F$3)))</f>
        <v/>
      </c>
      <c r="G114" t="str">
        <f>IF($B114="","",IF(G$3=0,"n.b.",INDEX(SRC_Woningetalage!$A$1:$ZZ$501,$A114,G$3)))</f>
        <v/>
      </c>
      <c r="H114" t="str">
        <f>IF($B114="","",IF(H$3=0,"n.b.",INDEX(SRC_Woningetalage!$A$1:$ZZ$501,$A114,H$3)))</f>
        <v/>
      </c>
      <c r="I114" t="str">
        <f>IF($B114="","",IF(I$3=0,"n.b.",INDEX(SRC_Woningetalage!$A$1:$ZZ$501,$A114,I$3)))</f>
        <v/>
      </c>
      <c r="J114" t="str">
        <f>IF($B114="","",IF(J$3=0,"n.b.",INDEX(SRC_Woningetalage!$A$1:$ZZ$501,$A114,J$3)))</f>
        <v/>
      </c>
      <c r="K114" t="str">
        <f>IF($B114="","",IF(K$3=0,"n.b.",INDEX(SRC_Woningetalage!$A$1:$ZZ$501,$A114,K$3)))</f>
        <v/>
      </c>
      <c r="L114" t="str">
        <f>IF($B114="","",IF(L$3=0,"n.b.",INDEX(SRC_Woningetalage!$A$1:$ZZ$501,$A114,L$3)))</f>
        <v/>
      </c>
      <c r="M114" t="str">
        <f>IF($B114="","",IF(M$3=0,"n.b.",INDEX(SRC_Woningetalage!$A$1:$ZZ$501,$A114,M$3)))</f>
        <v/>
      </c>
      <c r="N114" t="str">
        <f>IF($B114="","",IF(N$3=0,"n.b.",INDEX(SRC_Woningetalage!$A$1:$ZZ$501,$A114,N$3)))</f>
        <v/>
      </c>
      <c r="O114" t="str">
        <f>IF($B114="","",IF(O$3=0,"n.b.",INDEX(SRC_Woningetalage!$A$1:$ZZ$501,$A114,O$3)))</f>
        <v/>
      </c>
      <c r="P114" t="str">
        <f>IF($B114="","",IF(P$3=0,"n.b.",INDEX(SRC_Woningetalage!$A$1:$ZZ$501,$A114,P$3)))</f>
        <v/>
      </c>
      <c r="Q114" s="124" t="str">
        <f>IF($B114="","",IF(Q$3=0,"n.b.",INDEX(SRC_Woningetalage!$A$1:$ZZ$501,$A114,Q$3)))</f>
        <v/>
      </c>
      <c r="R114" s="124" t="str">
        <f>IF($B114="","",IF(R$3=0,"n.b.",INDEX(SRC_Woningetalage!$A$1:$ZZ$501,$A114,R$3)))</f>
        <v/>
      </c>
      <c r="S114" s="124" t="str">
        <f>IF($B114="","",IF(S$3=0,"n.b.",INDEX(SRC_Woningetalage!$A$1:$ZZ$501,$A114,S$3)))</f>
        <v/>
      </c>
      <c r="T114" s="124" t="str">
        <f>IF($B114="","",IF(T$3=0,"n.b.",INDEX(SRC_Woningetalage!$A$1:$ZZ$501,$A114,T$3)))</f>
        <v/>
      </c>
      <c r="U114" s="124" t="str">
        <f>IF($B114="","",IF(U$3=0,"n.b.",INDEX(SRC_Woningetalage!$A$1:$ZZ$501,$A114,U$3)))</f>
        <v/>
      </c>
      <c r="V114" s="124" t="str">
        <f>IF($B114="","",IF(V$3=0,"n.b.",INDEX(SRC_Woningetalage!$A$1:$ZZ$501,$A114,V$3)))</f>
        <v/>
      </c>
      <c r="W114" s="124" t="str">
        <f>IF($B114="","",IF(W$3=0,"n.b.",INDEX(SRC_Woningetalage!$A$1:$ZZ$501,$A114,W$3)))</f>
        <v/>
      </c>
      <c r="X114" s="124" t="str">
        <f>IF($B114="","",IF(X$3=0,"n.b.",INDEX(SRC_Woningetalage!$A$1:$ZZ$501,$A114,X$3)))</f>
        <v/>
      </c>
      <c r="Y114" s="124" t="str">
        <f>IF($B114="","",IF(Y$3=0,"n.b.",INDEX(SRC_Woningetalage!$A$1:$ZZ$501,$A114,Y$3)))</f>
        <v/>
      </c>
      <c r="Z114" s="124" t="str">
        <f>IF($B114="","",IF(Z$3=0,"n.b.",INDEX(SRC_Woningetalage!$A$1:$ZZ$501,$A114,Z$3)))</f>
        <v/>
      </c>
      <c r="AA114" s="124" t="str">
        <f>IF($B114="","",IF(AA$3=0,"n.b.",INDEX(SRC_Woningetalage!$A$1:$ZZ$501,$A114,AA$3)))</f>
        <v/>
      </c>
      <c r="AB114" s="124" t="str">
        <f>IF($B114="","",IF(AB$3=0,"n.b.",INDEX(SRC_Woningetalage!$A$1:$ZZ$501,$A114,AB$3)))</f>
        <v/>
      </c>
      <c r="AC114" s="124" t="str">
        <f>IF($B114="","",IF(AC$3=0,"n.b.",INDEX(SRC_Woningetalage!$A$1:$ZZ$501,$A114,AC$3)))</f>
        <v/>
      </c>
      <c r="AD114" s="124" t="str">
        <f>IF($B114="","",IF(AD$3=0,"n.b.",INDEX(SRC_Woningetalage!$A$1:$ZZ$501,$A114,AD$3)))</f>
        <v/>
      </c>
      <c r="AE114" s="124" t="str">
        <f>IF($B114="","",IF(AE$3=0,"n.b.",INDEX(SRC_Woningetalage!$A$1:$ZZ$501,$A114,AE$3)))</f>
        <v/>
      </c>
      <c r="AF114" s="124" t="str">
        <f>IF($B114="","",IF(AF$3=0,"n.b.",INDEX(SRC_Woningetalage!$A$1:$ZZ$501,$A114,AF$3)))</f>
        <v/>
      </c>
      <c r="AG114" s="124" t="str">
        <f>IF($B114="","",IF(AG$3=0,"n.b.",INDEX(SRC_Woningetalage!$A$1:$ZZ$501,$A114,AG$3)))</f>
        <v/>
      </c>
      <c r="AH114" s="124" t="str">
        <f>IF($B114="","",IF(AH$3=0,"n.b.",INDEX(SRC_Woningetalage!$A$1:$ZZ$501,$A114,AH$3)))</f>
        <v/>
      </c>
      <c r="AI114" s="124" t="str">
        <f>IF($B114="","",IF(AI$3=0,"n.b.",INDEX(SRC_Woningetalage!$A$1:$ZZ$501,$A114,AI$3)))</f>
        <v/>
      </c>
      <c r="AJ114" s="124" t="str">
        <f>IF($B114="","",IF(AJ$3=0,"n.b.",INDEX(SRC_Woningetalage!$A$1:$ZZ$501,$A114,AJ$3)))</f>
        <v/>
      </c>
      <c r="AK114" s="124" t="str">
        <f>IF($B114="","",IF(AK$3=0,"n.b.",INDEX(SRC_Woningetalage!$A$1:$ZZ$501,$A114,AK$3)))</f>
        <v/>
      </c>
      <c r="AL114" s="124" t="str">
        <f>IF($B114="","",IF(AL$3=0,"n.b.",INDEX(SRC_Woningetalage!$A$1:$ZZ$501,$A114,AL$3)))</f>
        <v/>
      </c>
      <c r="AM114" s="124" t="str">
        <f>IF($B114="","",IF(AM$3=0,"n.b.",INDEX(SRC_Woningetalage!$A$1:$ZZ$501,$A114,AM$3)))</f>
        <v/>
      </c>
      <c r="AN114" s="124" t="str">
        <f>IF($B114="","",IF(AN$3=0,"n.b.",INDEX(SRC_Woningetalage!$A$1:$ZZ$501,$A114,AN$3)))</f>
        <v/>
      </c>
      <c r="AO114" s="124" t="str">
        <f>IF($B114="","",IF(AO$3=0,"n.b.",INDEX(SRC_Woningetalage!$A$1:$ZZ$501,$A114,AO$3)))</f>
        <v/>
      </c>
      <c r="AP114" s="124" t="str">
        <f>IF($B114="","",IF(AP$3=0,"n.b.",INDEX(SRC_Woningetalage!$A$1:$ZZ$501,$A114,AP$3)))</f>
        <v/>
      </c>
      <c r="AQ114" s="124" t="str">
        <f>IF($B114="","",IF(AQ$3=0,"n.b.",INDEX(SRC_Woningetalage!$A$1:$ZZ$501,$A114,AQ$3)))</f>
        <v/>
      </c>
      <c r="AR114" s="124" t="str">
        <f>IF($B114="","",IF(AR$3=0,"n.b.",INDEX(SRC_Woningetalage!$A$1:$ZZ$501,$A114,AR$3)))</f>
        <v/>
      </c>
      <c r="AS114" s="124" t="str">
        <f>IF($B114="","",IF(AS$3=0,"n.b.",INDEX(SRC_Woningetalage!$A$1:$ZZ$501,$A114,AS$3)))</f>
        <v/>
      </c>
      <c r="AT114" s="124" t="str">
        <f>IF($B114="","",IF(AT$3=0,"n.b.",INDEX(SRC_Woningetalage!$A$1:$ZZ$501,$A114,AT$3)))</f>
        <v/>
      </c>
      <c r="AU114" s="124" t="str">
        <f>IF($B114="","",IF(AU$3=0,"n.b.",INDEX(SRC_Woningetalage!$A$1:$ZZ$501,$A114,AU$3)))</f>
        <v/>
      </c>
      <c r="AV114" s="124" t="str">
        <f>IF($B114="","",IF(AV$3=0,"n.b.",INDEX(SRC_Woningetalage!$A$1:$ZZ$501,$A114,AV$3)))</f>
        <v/>
      </c>
      <c r="AW114" s="124" t="str">
        <f>IF($B114="","",IF(AW$3=0,"n.b.",INDEX(SRC_Woningetalage!$A$1:$ZZ$501,$A114,AW$3)))</f>
        <v/>
      </c>
      <c r="AX114" s="124" t="str">
        <f>IF($B114="","",IF(AX$3=0,"n.b.",INDEX(SRC_Woningetalage!$A$1:$ZZ$501,$A114,AX$3)))</f>
        <v/>
      </c>
      <c r="AY114" s="124" t="str">
        <f>IF($B114="","",IF(AY$3=0,"n.b.",INDEX(SRC_Woningetalage!$A$1:$ZZ$501,$A114,AY$3)))</f>
        <v/>
      </c>
      <c r="AZ114" s="124" t="str">
        <f>IF($B114="","",IF(AZ$3=0,"n.b.",INDEX(SRC_Woningetalage!$A$1:$ZZ$501,$A114,AZ$3)))</f>
        <v/>
      </c>
      <c r="BA114" s="124" t="str">
        <f>IF($B114="","",IF(BA$3=0,"n.b.",INDEX(SRC_Woningetalage!$A$1:$ZZ$501,$A114,BA$3)))</f>
        <v/>
      </c>
      <c r="BB114" s="124" t="str">
        <f>IF($B114="","",IF(BB$3=0,"n.b.",INDEX(SRC_Woningetalage!$A$1:$ZZ$501,$A114,BB$3)))</f>
        <v/>
      </c>
      <c r="BC114" s="124" t="str">
        <f>IF($B114="","",IFERROR(_xlfn.NUMBERVALUE(E114&amp;"",",","."),"n.b."))</f>
        <v/>
      </c>
      <c r="BD114" s="124" t="str">
        <f>IF($B114="","",IFERROR(_xlfn.NUMBERVALUE(M114&amp;"",",","."),"n.b."))</f>
        <v/>
      </c>
      <c r="BE114" s="124" t="str">
        <f>IF($B114="","",IFERROR(AB114+AC114+AD114,"n.b."))</f>
        <v/>
      </c>
      <c r="BF114" s="124" t="str">
        <f>IF($B114="","",IFERROR(AE114+AF114+AG114,"n.b."))</f>
        <v/>
      </c>
      <c r="BG114" s="124" t="str">
        <f>IF($B114="","",IFERROR(AH114+AI114+AJ114,"n.b."))</f>
        <v/>
      </c>
      <c r="BH114" s="124" t="str">
        <f>IF($B114="","",IFERROR(AK114+AL114+AM114,"n.b."))</f>
        <v/>
      </c>
      <c r="BI114" s="124" t="str">
        <f>IF($B114="","",IFERROR(SUMIF($AB$5:$AM$5,"&lt;="&amp;P_PeilMaand,AB114:AM114),"n.b."))</f>
        <v/>
      </c>
      <c r="BJ114" s="124" t="str">
        <f>IF($B114="","",IFERROR(SUM(AB114:AM114)-BI114,"n.b."))</f>
        <v/>
      </c>
      <c r="BK114" s="124" t="str">
        <f>IF($B114="","",IFERROR(IF(ABS(Q114-(T114+SUM(AB114:AM114)+AS114+AU114))&gt;P_Tol,1,0),1))</f>
        <v/>
      </c>
      <c r="BL114" s="124" t="str">
        <f>IF($B114="","",IFERROR(IF(ABS(AA114-(Q114-Z114))&gt;P_Tol,1,0),1))</f>
        <v/>
      </c>
      <c r="BM114" s="124" t="str">
        <f>IF($B114="","",IFERROR(IF(ABS(Z114-(T114+W114))&gt;P_Tol,1,0),1))</f>
        <v/>
      </c>
      <c r="BN114" s="124" t="str">
        <f>IF($B114="","",IFERROR(IF(ABS(W114-BI114)&gt;P_Tol,1,0),1))</f>
        <v/>
      </c>
      <c r="BO114" s="124" t="str">
        <f>IF($B114="","",IFERROR(IF(OR(ABS(R114+S114-T114)&gt;P_Tol,ABS(U114+V114-W114)&gt;P_Tol,ABS(X114+Y114-Z114)&gt;P_Tol),1,0),1))</f>
        <v/>
      </c>
      <c r="BP114" s="124" t="str">
        <f>IF($B114="","",IFERROR(IF(OR(ABS(AR114-SUM(AB114:AM114))&gt;P_Tol,ABS(AS114-(AN114+AO114+AP114+AQ114))&gt;P_Tol),1,0),1))</f>
        <v/>
      </c>
      <c r="BQ114" s="124" t="str">
        <f>IF($B114="","",IFERROR(IF(ABS(AT114)+ABS(AV114)+ABS(AW114)+ABS(AX114)+ABS(AY114)+ABS(AZ114)+ABS(BA114)+ABS(BB114)&gt;0,1,0),1))</f>
        <v/>
      </c>
      <c r="BR114" s="124" t="str">
        <f>IF($B114="","",COUNTIF(STG_ZPMW03!$B$6:$B$505,B114))</f>
        <v/>
      </c>
      <c r="BS114" s="124" t="str">
        <f>IF($B114="","",COUNTIF($B$6:$B$505,B114))</f>
        <v/>
      </c>
      <c r="BT114" s="124" t="str">
        <f>IF($B114="","",IF(BR114=0,0,IF(INDEX(STG_ZPMW03!$I$6:$I$505,MATCH(B114,STG_ZPMW03!$B$6:$B$505,0))=J114&amp;"",0,1)))</f>
        <v/>
      </c>
      <c r="BU114" s="124" t="str">
        <f>IF($B114="","",IFERROR(IF(ABS(INDEX(Mapping!$D$5:$D$104,MATCH(B114,Mapping!$A$5:$A$104,0))-Q114)&gt;P_Tol,1,0),0))</f>
        <v/>
      </c>
      <c r="BV114" s="124" t="str">
        <f>IF($B114="","",IFERROR(IF(AND(INDEX(Mapping!$G$5:$G$104,MATCH(B114,Mapping!$A$5:$A$104,0))="Nee",ABS(Q114)+ABS(Z114)+ABS(AR114)&gt;0),1,0),0))</f>
        <v/>
      </c>
      <c r="BW114" s="124" t="str">
        <f>IF($B114="","",IF(COUNTIF(Mapping!$A$5:$A$104,B114)&gt;0,1,0))</f>
        <v/>
      </c>
      <c r="BX114" s="124" t="str">
        <f>IF($B114="","",IF(BR114=0,COUNTIF($BR$6:BR114,0),""))</f>
        <v/>
      </c>
    </row>
    <row r="115">
      <c r="A115" s="15" t="n">
        <v>111</v>
      </c>
      <c r="B115" t="str">
        <f>IF(B$3=0,"",IF(INDEX(SRC_Woningetalage!$A$1:$ZZ$501,$A115,B$3)&amp;""="","",INDEX(SRC_Woningetalage!$A$1:$ZZ$501,$A115,B$3)&amp;""))</f>
        <v/>
      </c>
      <c r="C115" t="str">
        <f>IF($B115="","",IF(C$3=0,"n.b.",INDEX(SRC_Woningetalage!$A$1:$ZZ$501,$A115,C$3)))</f>
        <v/>
      </c>
      <c r="D115" t="str">
        <f>IF($B115="","",IF(D$3=0,"n.b.",INDEX(SRC_Woningetalage!$A$1:$ZZ$501,$A115,D$3)))</f>
        <v/>
      </c>
      <c r="E115" t="str">
        <f>IF($B115="","",IF(E$3=0,"n.b.",INDEX(SRC_Woningetalage!$A$1:$ZZ$501,$A115,E$3)))</f>
        <v/>
      </c>
      <c r="F115" t="str">
        <f>IF($B115="","",IF(F$3=0,"n.b.",INDEX(SRC_Woningetalage!$A$1:$ZZ$501,$A115,F$3)))</f>
        <v/>
      </c>
      <c r="G115" t="str">
        <f>IF($B115="","",IF(G$3=0,"n.b.",INDEX(SRC_Woningetalage!$A$1:$ZZ$501,$A115,G$3)))</f>
        <v/>
      </c>
      <c r="H115" t="str">
        <f>IF($B115="","",IF(H$3=0,"n.b.",INDEX(SRC_Woningetalage!$A$1:$ZZ$501,$A115,H$3)))</f>
        <v/>
      </c>
      <c r="I115" t="str">
        <f>IF($B115="","",IF(I$3=0,"n.b.",INDEX(SRC_Woningetalage!$A$1:$ZZ$501,$A115,I$3)))</f>
        <v/>
      </c>
      <c r="J115" t="str">
        <f>IF($B115="","",IF(J$3=0,"n.b.",INDEX(SRC_Woningetalage!$A$1:$ZZ$501,$A115,J$3)))</f>
        <v/>
      </c>
      <c r="K115" t="str">
        <f>IF($B115="","",IF(K$3=0,"n.b.",INDEX(SRC_Woningetalage!$A$1:$ZZ$501,$A115,K$3)))</f>
        <v/>
      </c>
      <c r="L115" t="str">
        <f>IF($B115="","",IF(L$3=0,"n.b.",INDEX(SRC_Woningetalage!$A$1:$ZZ$501,$A115,L$3)))</f>
        <v/>
      </c>
      <c r="M115" t="str">
        <f>IF($B115="","",IF(M$3=0,"n.b.",INDEX(SRC_Woningetalage!$A$1:$ZZ$501,$A115,M$3)))</f>
        <v/>
      </c>
      <c r="N115" t="str">
        <f>IF($B115="","",IF(N$3=0,"n.b.",INDEX(SRC_Woningetalage!$A$1:$ZZ$501,$A115,N$3)))</f>
        <v/>
      </c>
      <c r="O115" t="str">
        <f>IF($B115="","",IF(O$3=0,"n.b.",INDEX(SRC_Woningetalage!$A$1:$ZZ$501,$A115,O$3)))</f>
        <v/>
      </c>
      <c r="P115" t="str">
        <f>IF($B115="","",IF(P$3=0,"n.b.",INDEX(SRC_Woningetalage!$A$1:$ZZ$501,$A115,P$3)))</f>
        <v/>
      </c>
      <c r="Q115" s="124" t="str">
        <f>IF($B115="","",IF(Q$3=0,"n.b.",INDEX(SRC_Woningetalage!$A$1:$ZZ$501,$A115,Q$3)))</f>
        <v/>
      </c>
      <c r="R115" s="124" t="str">
        <f>IF($B115="","",IF(R$3=0,"n.b.",INDEX(SRC_Woningetalage!$A$1:$ZZ$501,$A115,R$3)))</f>
        <v/>
      </c>
      <c r="S115" s="124" t="str">
        <f>IF($B115="","",IF(S$3=0,"n.b.",INDEX(SRC_Woningetalage!$A$1:$ZZ$501,$A115,S$3)))</f>
        <v/>
      </c>
      <c r="T115" s="124" t="str">
        <f>IF($B115="","",IF(T$3=0,"n.b.",INDEX(SRC_Woningetalage!$A$1:$ZZ$501,$A115,T$3)))</f>
        <v/>
      </c>
      <c r="U115" s="124" t="str">
        <f>IF($B115="","",IF(U$3=0,"n.b.",INDEX(SRC_Woningetalage!$A$1:$ZZ$501,$A115,U$3)))</f>
        <v/>
      </c>
      <c r="V115" s="124" t="str">
        <f>IF($B115="","",IF(V$3=0,"n.b.",INDEX(SRC_Woningetalage!$A$1:$ZZ$501,$A115,V$3)))</f>
        <v/>
      </c>
      <c r="W115" s="124" t="str">
        <f>IF($B115="","",IF(W$3=0,"n.b.",INDEX(SRC_Woningetalage!$A$1:$ZZ$501,$A115,W$3)))</f>
        <v/>
      </c>
      <c r="X115" s="124" t="str">
        <f>IF($B115="","",IF(X$3=0,"n.b.",INDEX(SRC_Woningetalage!$A$1:$ZZ$501,$A115,X$3)))</f>
        <v/>
      </c>
      <c r="Y115" s="124" t="str">
        <f>IF($B115="","",IF(Y$3=0,"n.b.",INDEX(SRC_Woningetalage!$A$1:$ZZ$501,$A115,Y$3)))</f>
        <v/>
      </c>
      <c r="Z115" s="124" t="str">
        <f>IF($B115="","",IF(Z$3=0,"n.b.",INDEX(SRC_Woningetalage!$A$1:$ZZ$501,$A115,Z$3)))</f>
        <v/>
      </c>
      <c r="AA115" s="124" t="str">
        <f>IF($B115="","",IF(AA$3=0,"n.b.",INDEX(SRC_Woningetalage!$A$1:$ZZ$501,$A115,AA$3)))</f>
        <v/>
      </c>
      <c r="AB115" s="124" t="str">
        <f>IF($B115="","",IF(AB$3=0,"n.b.",INDEX(SRC_Woningetalage!$A$1:$ZZ$501,$A115,AB$3)))</f>
        <v/>
      </c>
      <c r="AC115" s="124" t="str">
        <f>IF($B115="","",IF(AC$3=0,"n.b.",INDEX(SRC_Woningetalage!$A$1:$ZZ$501,$A115,AC$3)))</f>
        <v/>
      </c>
      <c r="AD115" s="124" t="str">
        <f>IF($B115="","",IF(AD$3=0,"n.b.",INDEX(SRC_Woningetalage!$A$1:$ZZ$501,$A115,AD$3)))</f>
        <v/>
      </c>
      <c r="AE115" s="124" t="str">
        <f>IF($B115="","",IF(AE$3=0,"n.b.",INDEX(SRC_Woningetalage!$A$1:$ZZ$501,$A115,AE$3)))</f>
        <v/>
      </c>
      <c r="AF115" s="124" t="str">
        <f>IF($B115="","",IF(AF$3=0,"n.b.",INDEX(SRC_Woningetalage!$A$1:$ZZ$501,$A115,AF$3)))</f>
        <v/>
      </c>
      <c r="AG115" s="124" t="str">
        <f>IF($B115="","",IF(AG$3=0,"n.b.",INDEX(SRC_Woningetalage!$A$1:$ZZ$501,$A115,AG$3)))</f>
        <v/>
      </c>
      <c r="AH115" s="124" t="str">
        <f>IF($B115="","",IF(AH$3=0,"n.b.",INDEX(SRC_Woningetalage!$A$1:$ZZ$501,$A115,AH$3)))</f>
        <v/>
      </c>
      <c r="AI115" s="124" t="str">
        <f>IF($B115="","",IF(AI$3=0,"n.b.",INDEX(SRC_Woningetalage!$A$1:$ZZ$501,$A115,AI$3)))</f>
        <v/>
      </c>
      <c r="AJ115" s="124" t="str">
        <f>IF($B115="","",IF(AJ$3=0,"n.b.",INDEX(SRC_Woningetalage!$A$1:$ZZ$501,$A115,AJ$3)))</f>
        <v/>
      </c>
      <c r="AK115" s="124" t="str">
        <f>IF($B115="","",IF(AK$3=0,"n.b.",INDEX(SRC_Woningetalage!$A$1:$ZZ$501,$A115,AK$3)))</f>
        <v/>
      </c>
      <c r="AL115" s="124" t="str">
        <f>IF($B115="","",IF(AL$3=0,"n.b.",INDEX(SRC_Woningetalage!$A$1:$ZZ$501,$A115,AL$3)))</f>
        <v/>
      </c>
      <c r="AM115" s="124" t="str">
        <f>IF($B115="","",IF(AM$3=0,"n.b.",INDEX(SRC_Woningetalage!$A$1:$ZZ$501,$A115,AM$3)))</f>
        <v/>
      </c>
      <c r="AN115" s="124" t="str">
        <f>IF($B115="","",IF(AN$3=0,"n.b.",INDEX(SRC_Woningetalage!$A$1:$ZZ$501,$A115,AN$3)))</f>
        <v/>
      </c>
      <c r="AO115" s="124" t="str">
        <f>IF($B115="","",IF(AO$3=0,"n.b.",INDEX(SRC_Woningetalage!$A$1:$ZZ$501,$A115,AO$3)))</f>
        <v/>
      </c>
      <c r="AP115" s="124" t="str">
        <f>IF($B115="","",IF(AP$3=0,"n.b.",INDEX(SRC_Woningetalage!$A$1:$ZZ$501,$A115,AP$3)))</f>
        <v/>
      </c>
      <c r="AQ115" s="124" t="str">
        <f>IF($B115="","",IF(AQ$3=0,"n.b.",INDEX(SRC_Woningetalage!$A$1:$ZZ$501,$A115,AQ$3)))</f>
        <v/>
      </c>
      <c r="AR115" s="124" t="str">
        <f>IF($B115="","",IF(AR$3=0,"n.b.",INDEX(SRC_Woningetalage!$A$1:$ZZ$501,$A115,AR$3)))</f>
        <v/>
      </c>
      <c r="AS115" s="124" t="str">
        <f>IF($B115="","",IF(AS$3=0,"n.b.",INDEX(SRC_Woningetalage!$A$1:$ZZ$501,$A115,AS$3)))</f>
        <v/>
      </c>
      <c r="AT115" s="124" t="str">
        <f>IF($B115="","",IF(AT$3=0,"n.b.",INDEX(SRC_Woningetalage!$A$1:$ZZ$501,$A115,AT$3)))</f>
        <v/>
      </c>
      <c r="AU115" s="124" t="str">
        <f>IF($B115="","",IF(AU$3=0,"n.b.",INDEX(SRC_Woningetalage!$A$1:$ZZ$501,$A115,AU$3)))</f>
        <v/>
      </c>
      <c r="AV115" s="124" t="str">
        <f>IF($B115="","",IF(AV$3=0,"n.b.",INDEX(SRC_Woningetalage!$A$1:$ZZ$501,$A115,AV$3)))</f>
        <v/>
      </c>
      <c r="AW115" s="124" t="str">
        <f>IF($B115="","",IF(AW$3=0,"n.b.",INDEX(SRC_Woningetalage!$A$1:$ZZ$501,$A115,AW$3)))</f>
        <v/>
      </c>
      <c r="AX115" s="124" t="str">
        <f>IF($B115="","",IF(AX$3=0,"n.b.",INDEX(SRC_Woningetalage!$A$1:$ZZ$501,$A115,AX$3)))</f>
        <v/>
      </c>
      <c r="AY115" s="124" t="str">
        <f>IF($B115="","",IF(AY$3=0,"n.b.",INDEX(SRC_Woningetalage!$A$1:$ZZ$501,$A115,AY$3)))</f>
        <v/>
      </c>
      <c r="AZ115" s="124" t="str">
        <f>IF($B115="","",IF(AZ$3=0,"n.b.",INDEX(SRC_Woningetalage!$A$1:$ZZ$501,$A115,AZ$3)))</f>
        <v/>
      </c>
      <c r="BA115" s="124" t="str">
        <f>IF($B115="","",IF(BA$3=0,"n.b.",INDEX(SRC_Woningetalage!$A$1:$ZZ$501,$A115,BA$3)))</f>
        <v/>
      </c>
      <c r="BB115" s="124" t="str">
        <f>IF($B115="","",IF(BB$3=0,"n.b.",INDEX(SRC_Woningetalage!$A$1:$ZZ$501,$A115,BB$3)))</f>
        <v/>
      </c>
      <c r="BC115" s="124" t="str">
        <f>IF($B115="","",IFERROR(_xlfn.NUMBERVALUE(E115&amp;"",",","."),"n.b."))</f>
        <v/>
      </c>
      <c r="BD115" s="124" t="str">
        <f>IF($B115="","",IFERROR(_xlfn.NUMBERVALUE(M115&amp;"",",","."),"n.b."))</f>
        <v/>
      </c>
      <c r="BE115" s="124" t="str">
        <f>IF($B115="","",IFERROR(AB115+AC115+AD115,"n.b."))</f>
        <v/>
      </c>
      <c r="BF115" s="124" t="str">
        <f>IF($B115="","",IFERROR(AE115+AF115+AG115,"n.b."))</f>
        <v/>
      </c>
      <c r="BG115" s="124" t="str">
        <f>IF($B115="","",IFERROR(AH115+AI115+AJ115,"n.b."))</f>
        <v/>
      </c>
      <c r="BH115" s="124" t="str">
        <f>IF($B115="","",IFERROR(AK115+AL115+AM115,"n.b."))</f>
        <v/>
      </c>
      <c r="BI115" s="124" t="str">
        <f>IF($B115="","",IFERROR(SUMIF($AB$5:$AM$5,"&lt;="&amp;P_PeilMaand,AB115:AM115),"n.b."))</f>
        <v/>
      </c>
      <c r="BJ115" s="124" t="str">
        <f>IF($B115="","",IFERROR(SUM(AB115:AM115)-BI115,"n.b."))</f>
        <v/>
      </c>
      <c r="BK115" s="124" t="str">
        <f>IF($B115="","",IFERROR(IF(ABS(Q115-(T115+SUM(AB115:AM115)+AS115+AU115))&gt;P_Tol,1,0),1))</f>
        <v/>
      </c>
      <c r="BL115" s="124" t="str">
        <f>IF($B115="","",IFERROR(IF(ABS(AA115-(Q115-Z115))&gt;P_Tol,1,0),1))</f>
        <v/>
      </c>
      <c r="BM115" s="124" t="str">
        <f>IF($B115="","",IFERROR(IF(ABS(Z115-(T115+W115))&gt;P_Tol,1,0),1))</f>
        <v/>
      </c>
      <c r="BN115" s="124" t="str">
        <f>IF($B115="","",IFERROR(IF(ABS(W115-BI115)&gt;P_Tol,1,0),1))</f>
        <v/>
      </c>
      <c r="BO115" s="124" t="str">
        <f>IF($B115="","",IFERROR(IF(OR(ABS(R115+S115-T115)&gt;P_Tol,ABS(U115+V115-W115)&gt;P_Tol,ABS(X115+Y115-Z115)&gt;P_Tol),1,0),1))</f>
        <v/>
      </c>
      <c r="BP115" s="124" t="str">
        <f>IF($B115="","",IFERROR(IF(OR(ABS(AR115-SUM(AB115:AM115))&gt;P_Tol,ABS(AS115-(AN115+AO115+AP115+AQ115))&gt;P_Tol),1,0),1))</f>
        <v/>
      </c>
      <c r="BQ115" s="124" t="str">
        <f>IF($B115="","",IFERROR(IF(ABS(AT115)+ABS(AV115)+ABS(AW115)+ABS(AX115)+ABS(AY115)+ABS(AZ115)+ABS(BA115)+ABS(BB115)&gt;0,1,0),1))</f>
        <v/>
      </c>
      <c r="BR115" s="124" t="str">
        <f>IF($B115="","",COUNTIF(STG_ZPMW03!$B$6:$B$505,B115))</f>
        <v/>
      </c>
      <c r="BS115" s="124" t="str">
        <f>IF($B115="","",COUNTIF($B$6:$B$505,B115))</f>
        <v/>
      </c>
      <c r="BT115" s="124" t="str">
        <f>IF($B115="","",IF(BR115=0,0,IF(INDEX(STG_ZPMW03!$I$6:$I$505,MATCH(B115,STG_ZPMW03!$B$6:$B$505,0))=J115&amp;"",0,1)))</f>
        <v/>
      </c>
      <c r="BU115" s="124" t="str">
        <f>IF($B115="","",IFERROR(IF(ABS(INDEX(Mapping!$D$5:$D$104,MATCH(B115,Mapping!$A$5:$A$104,0))-Q115)&gt;P_Tol,1,0),0))</f>
        <v/>
      </c>
      <c r="BV115" s="124" t="str">
        <f>IF($B115="","",IFERROR(IF(AND(INDEX(Mapping!$G$5:$G$104,MATCH(B115,Mapping!$A$5:$A$104,0))="Nee",ABS(Q115)+ABS(Z115)+ABS(AR115)&gt;0),1,0),0))</f>
        <v/>
      </c>
      <c r="BW115" s="124" t="str">
        <f>IF($B115="","",IF(COUNTIF(Mapping!$A$5:$A$104,B115)&gt;0,1,0))</f>
        <v/>
      </c>
      <c r="BX115" s="124" t="str">
        <f>IF($B115="","",IF(BR115=0,COUNTIF($BR$6:BR115,0),""))</f>
        <v/>
      </c>
    </row>
    <row r="116">
      <c r="A116" s="15" t="n">
        <v>112</v>
      </c>
      <c r="B116" t="str">
        <f>IF(B$3=0,"",IF(INDEX(SRC_Woningetalage!$A$1:$ZZ$501,$A116,B$3)&amp;""="","",INDEX(SRC_Woningetalage!$A$1:$ZZ$501,$A116,B$3)&amp;""))</f>
        <v/>
      </c>
      <c r="C116" t="str">
        <f>IF($B116="","",IF(C$3=0,"n.b.",INDEX(SRC_Woningetalage!$A$1:$ZZ$501,$A116,C$3)))</f>
        <v/>
      </c>
      <c r="D116" t="str">
        <f>IF($B116="","",IF(D$3=0,"n.b.",INDEX(SRC_Woningetalage!$A$1:$ZZ$501,$A116,D$3)))</f>
        <v/>
      </c>
      <c r="E116" t="str">
        <f>IF($B116="","",IF(E$3=0,"n.b.",INDEX(SRC_Woningetalage!$A$1:$ZZ$501,$A116,E$3)))</f>
        <v/>
      </c>
      <c r="F116" t="str">
        <f>IF($B116="","",IF(F$3=0,"n.b.",INDEX(SRC_Woningetalage!$A$1:$ZZ$501,$A116,F$3)))</f>
        <v/>
      </c>
      <c r="G116" t="str">
        <f>IF($B116="","",IF(G$3=0,"n.b.",INDEX(SRC_Woningetalage!$A$1:$ZZ$501,$A116,G$3)))</f>
        <v/>
      </c>
      <c r="H116" t="str">
        <f>IF($B116="","",IF(H$3=0,"n.b.",INDEX(SRC_Woningetalage!$A$1:$ZZ$501,$A116,H$3)))</f>
        <v/>
      </c>
      <c r="I116" t="str">
        <f>IF($B116="","",IF(I$3=0,"n.b.",INDEX(SRC_Woningetalage!$A$1:$ZZ$501,$A116,I$3)))</f>
        <v/>
      </c>
      <c r="J116" t="str">
        <f>IF($B116="","",IF(J$3=0,"n.b.",INDEX(SRC_Woningetalage!$A$1:$ZZ$501,$A116,J$3)))</f>
        <v/>
      </c>
      <c r="K116" t="str">
        <f>IF($B116="","",IF(K$3=0,"n.b.",INDEX(SRC_Woningetalage!$A$1:$ZZ$501,$A116,K$3)))</f>
        <v/>
      </c>
      <c r="L116" t="str">
        <f>IF($B116="","",IF(L$3=0,"n.b.",INDEX(SRC_Woningetalage!$A$1:$ZZ$501,$A116,L$3)))</f>
        <v/>
      </c>
      <c r="M116" t="str">
        <f>IF($B116="","",IF(M$3=0,"n.b.",INDEX(SRC_Woningetalage!$A$1:$ZZ$501,$A116,M$3)))</f>
        <v/>
      </c>
      <c r="N116" t="str">
        <f>IF($B116="","",IF(N$3=0,"n.b.",INDEX(SRC_Woningetalage!$A$1:$ZZ$501,$A116,N$3)))</f>
        <v/>
      </c>
      <c r="O116" t="str">
        <f>IF($B116="","",IF(O$3=0,"n.b.",INDEX(SRC_Woningetalage!$A$1:$ZZ$501,$A116,O$3)))</f>
        <v/>
      </c>
      <c r="P116" t="str">
        <f>IF($B116="","",IF(P$3=0,"n.b.",INDEX(SRC_Woningetalage!$A$1:$ZZ$501,$A116,P$3)))</f>
        <v/>
      </c>
      <c r="Q116" s="124" t="str">
        <f>IF($B116="","",IF(Q$3=0,"n.b.",INDEX(SRC_Woningetalage!$A$1:$ZZ$501,$A116,Q$3)))</f>
        <v/>
      </c>
      <c r="R116" s="124" t="str">
        <f>IF($B116="","",IF(R$3=0,"n.b.",INDEX(SRC_Woningetalage!$A$1:$ZZ$501,$A116,R$3)))</f>
        <v/>
      </c>
      <c r="S116" s="124" t="str">
        <f>IF($B116="","",IF(S$3=0,"n.b.",INDEX(SRC_Woningetalage!$A$1:$ZZ$501,$A116,S$3)))</f>
        <v/>
      </c>
      <c r="T116" s="124" t="str">
        <f>IF($B116="","",IF(T$3=0,"n.b.",INDEX(SRC_Woningetalage!$A$1:$ZZ$501,$A116,T$3)))</f>
        <v/>
      </c>
      <c r="U116" s="124" t="str">
        <f>IF($B116="","",IF(U$3=0,"n.b.",INDEX(SRC_Woningetalage!$A$1:$ZZ$501,$A116,U$3)))</f>
        <v/>
      </c>
      <c r="V116" s="124" t="str">
        <f>IF($B116="","",IF(V$3=0,"n.b.",INDEX(SRC_Woningetalage!$A$1:$ZZ$501,$A116,V$3)))</f>
        <v/>
      </c>
      <c r="W116" s="124" t="str">
        <f>IF($B116="","",IF(W$3=0,"n.b.",INDEX(SRC_Woningetalage!$A$1:$ZZ$501,$A116,W$3)))</f>
        <v/>
      </c>
      <c r="X116" s="124" t="str">
        <f>IF($B116="","",IF(X$3=0,"n.b.",INDEX(SRC_Woningetalage!$A$1:$ZZ$501,$A116,X$3)))</f>
        <v/>
      </c>
      <c r="Y116" s="124" t="str">
        <f>IF($B116="","",IF(Y$3=0,"n.b.",INDEX(SRC_Woningetalage!$A$1:$ZZ$501,$A116,Y$3)))</f>
        <v/>
      </c>
      <c r="Z116" s="124" t="str">
        <f>IF($B116="","",IF(Z$3=0,"n.b.",INDEX(SRC_Woningetalage!$A$1:$ZZ$501,$A116,Z$3)))</f>
        <v/>
      </c>
      <c r="AA116" s="124" t="str">
        <f>IF($B116="","",IF(AA$3=0,"n.b.",INDEX(SRC_Woningetalage!$A$1:$ZZ$501,$A116,AA$3)))</f>
        <v/>
      </c>
      <c r="AB116" s="124" t="str">
        <f>IF($B116="","",IF(AB$3=0,"n.b.",INDEX(SRC_Woningetalage!$A$1:$ZZ$501,$A116,AB$3)))</f>
        <v/>
      </c>
      <c r="AC116" s="124" t="str">
        <f>IF($B116="","",IF(AC$3=0,"n.b.",INDEX(SRC_Woningetalage!$A$1:$ZZ$501,$A116,AC$3)))</f>
        <v/>
      </c>
      <c r="AD116" s="124" t="str">
        <f>IF($B116="","",IF(AD$3=0,"n.b.",INDEX(SRC_Woningetalage!$A$1:$ZZ$501,$A116,AD$3)))</f>
        <v/>
      </c>
      <c r="AE116" s="124" t="str">
        <f>IF($B116="","",IF(AE$3=0,"n.b.",INDEX(SRC_Woningetalage!$A$1:$ZZ$501,$A116,AE$3)))</f>
        <v/>
      </c>
      <c r="AF116" s="124" t="str">
        <f>IF($B116="","",IF(AF$3=0,"n.b.",INDEX(SRC_Woningetalage!$A$1:$ZZ$501,$A116,AF$3)))</f>
        <v/>
      </c>
      <c r="AG116" s="124" t="str">
        <f>IF($B116="","",IF(AG$3=0,"n.b.",INDEX(SRC_Woningetalage!$A$1:$ZZ$501,$A116,AG$3)))</f>
        <v/>
      </c>
      <c r="AH116" s="124" t="str">
        <f>IF($B116="","",IF(AH$3=0,"n.b.",INDEX(SRC_Woningetalage!$A$1:$ZZ$501,$A116,AH$3)))</f>
        <v/>
      </c>
      <c r="AI116" s="124" t="str">
        <f>IF($B116="","",IF(AI$3=0,"n.b.",INDEX(SRC_Woningetalage!$A$1:$ZZ$501,$A116,AI$3)))</f>
        <v/>
      </c>
      <c r="AJ116" s="124" t="str">
        <f>IF($B116="","",IF(AJ$3=0,"n.b.",INDEX(SRC_Woningetalage!$A$1:$ZZ$501,$A116,AJ$3)))</f>
        <v/>
      </c>
      <c r="AK116" s="124" t="str">
        <f>IF($B116="","",IF(AK$3=0,"n.b.",INDEX(SRC_Woningetalage!$A$1:$ZZ$501,$A116,AK$3)))</f>
        <v/>
      </c>
      <c r="AL116" s="124" t="str">
        <f>IF($B116="","",IF(AL$3=0,"n.b.",INDEX(SRC_Woningetalage!$A$1:$ZZ$501,$A116,AL$3)))</f>
        <v/>
      </c>
      <c r="AM116" s="124" t="str">
        <f>IF($B116="","",IF(AM$3=0,"n.b.",INDEX(SRC_Woningetalage!$A$1:$ZZ$501,$A116,AM$3)))</f>
        <v/>
      </c>
      <c r="AN116" s="124" t="str">
        <f>IF($B116="","",IF(AN$3=0,"n.b.",INDEX(SRC_Woningetalage!$A$1:$ZZ$501,$A116,AN$3)))</f>
        <v/>
      </c>
      <c r="AO116" s="124" t="str">
        <f>IF($B116="","",IF(AO$3=0,"n.b.",INDEX(SRC_Woningetalage!$A$1:$ZZ$501,$A116,AO$3)))</f>
        <v/>
      </c>
      <c r="AP116" s="124" t="str">
        <f>IF($B116="","",IF(AP$3=0,"n.b.",INDEX(SRC_Woningetalage!$A$1:$ZZ$501,$A116,AP$3)))</f>
        <v/>
      </c>
      <c r="AQ116" s="124" t="str">
        <f>IF($B116="","",IF(AQ$3=0,"n.b.",INDEX(SRC_Woningetalage!$A$1:$ZZ$501,$A116,AQ$3)))</f>
        <v/>
      </c>
      <c r="AR116" s="124" t="str">
        <f>IF($B116="","",IF(AR$3=0,"n.b.",INDEX(SRC_Woningetalage!$A$1:$ZZ$501,$A116,AR$3)))</f>
        <v/>
      </c>
      <c r="AS116" s="124" t="str">
        <f>IF($B116="","",IF(AS$3=0,"n.b.",INDEX(SRC_Woningetalage!$A$1:$ZZ$501,$A116,AS$3)))</f>
        <v/>
      </c>
      <c r="AT116" s="124" t="str">
        <f>IF($B116="","",IF(AT$3=0,"n.b.",INDEX(SRC_Woningetalage!$A$1:$ZZ$501,$A116,AT$3)))</f>
        <v/>
      </c>
      <c r="AU116" s="124" t="str">
        <f>IF($B116="","",IF(AU$3=0,"n.b.",INDEX(SRC_Woningetalage!$A$1:$ZZ$501,$A116,AU$3)))</f>
        <v/>
      </c>
      <c r="AV116" s="124" t="str">
        <f>IF($B116="","",IF(AV$3=0,"n.b.",INDEX(SRC_Woningetalage!$A$1:$ZZ$501,$A116,AV$3)))</f>
        <v/>
      </c>
      <c r="AW116" s="124" t="str">
        <f>IF($B116="","",IF(AW$3=0,"n.b.",INDEX(SRC_Woningetalage!$A$1:$ZZ$501,$A116,AW$3)))</f>
        <v/>
      </c>
      <c r="AX116" s="124" t="str">
        <f>IF($B116="","",IF(AX$3=0,"n.b.",INDEX(SRC_Woningetalage!$A$1:$ZZ$501,$A116,AX$3)))</f>
        <v/>
      </c>
      <c r="AY116" s="124" t="str">
        <f>IF($B116="","",IF(AY$3=0,"n.b.",INDEX(SRC_Woningetalage!$A$1:$ZZ$501,$A116,AY$3)))</f>
        <v/>
      </c>
      <c r="AZ116" s="124" t="str">
        <f>IF($B116="","",IF(AZ$3=0,"n.b.",INDEX(SRC_Woningetalage!$A$1:$ZZ$501,$A116,AZ$3)))</f>
        <v/>
      </c>
      <c r="BA116" s="124" t="str">
        <f>IF($B116="","",IF(BA$3=0,"n.b.",INDEX(SRC_Woningetalage!$A$1:$ZZ$501,$A116,BA$3)))</f>
        <v/>
      </c>
      <c r="BB116" s="124" t="str">
        <f>IF($B116="","",IF(BB$3=0,"n.b.",INDEX(SRC_Woningetalage!$A$1:$ZZ$501,$A116,BB$3)))</f>
        <v/>
      </c>
      <c r="BC116" s="124" t="str">
        <f>IF($B116="","",IFERROR(_xlfn.NUMBERVALUE(E116&amp;"",",","."),"n.b."))</f>
        <v/>
      </c>
      <c r="BD116" s="124" t="str">
        <f>IF($B116="","",IFERROR(_xlfn.NUMBERVALUE(M116&amp;"",",","."),"n.b."))</f>
        <v/>
      </c>
      <c r="BE116" s="124" t="str">
        <f>IF($B116="","",IFERROR(AB116+AC116+AD116,"n.b."))</f>
        <v/>
      </c>
      <c r="BF116" s="124" t="str">
        <f>IF($B116="","",IFERROR(AE116+AF116+AG116,"n.b."))</f>
        <v/>
      </c>
      <c r="BG116" s="124" t="str">
        <f>IF($B116="","",IFERROR(AH116+AI116+AJ116,"n.b."))</f>
        <v/>
      </c>
      <c r="BH116" s="124" t="str">
        <f>IF($B116="","",IFERROR(AK116+AL116+AM116,"n.b."))</f>
        <v/>
      </c>
      <c r="BI116" s="124" t="str">
        <f>IF($B116="","",IFERROR(SUMIF($AB$5:$AM$5,"&lt;="&amp;P_PeilMaand,AB116:AM116),"n.b."))</f>
        <v/>
      </c>
      <c r="BJ116" s="124" t="str">
        <f>IF($B116="","",IFERROR(SUM(AB116:AM116)-BI116,"n.b."))</f>
        <v/>
      </c>
      <c r="BK116" s="124" t="str">
        <f>IF($B116="","",IFERROR(IF(ABS(Q116-(T116+SUM(AB116:AM116)+AS116+AU116))&gt;P_Tol,1,0),1))</f>
        <v/>
      </c>
      <c r="BL116" s="124" t="str">
        <f>IF($B116="","",IFERROR(IF(ABS(AA116-(Q116-Z116))&gt;P_Tol,1,0),1))</f>
        <v/>
      </c>
      <c r="BM116" s="124" t="str">
        <f>IF($B116="","",IFERROR(IF(ABS(Z116-(T116+W116))&gt;P_Tol,1,0),1))</f>
        <v/>
      </c>
      <c r="BN116" s="124" t="str">
        <f>IF($B116="","",IFERROR(IF(ABS(W116-BI116)&gt;P_Tol,1,0),1))</f>
        <v/>
      </c>
      <c r="BO116" s="124" t="str">
        <f>IF($B116="","",IFERROR(IF(OR(ABS(R116+S116-T116)&gt;P_Tol,ABS(U116+V116-W116)&gt;P_Tol,ABS(X116+Y116-Z116)&gt;P_Tol),1,0),1))</f>
        <v/>
      </c>
      <c r="BP116" s="124" t="str">
        <f>IF($B116="","",IFERROR(IF(OR(ABS(AR116-SUM(AB116:AM116))&gt;P_Tol,ABS(AS116-(AN116+AO116+AP116+AQ116))&gt;P_Tol),1,0),1))</f>
        <v/>
      </c>
      <c r="BQ116" s="124" t="str">
        <f>IF($B116="","",IFERROR(IF(ABS(AT116)+ABS(AV116)+ABS(AW116)+ABS(AX116)+ABS(AY116)+ABS(AZ116)+ABS(BA116)+ABS(BB116)&gt;0,1,0),1))</f>
        <v/>
      </c>
      <c r="BR116" s="124" t="str">
        <f>IF($B116="","",COUNTIF(STG_ZPMW03!$B$6:$B$505,B116))</f>
        <v/>
      </c>
      <c r="BS116" s="124" t="str">
        <f>IF($B116="","",COUNTIF($B$6:$B$505,B116))</f>
        <v/>
      </c>
      <c r="BT116" s="124" t="str">
        <f>IF($B116="","",IF(BR116=0,0,IF(INDEX(STG_ZPMW03!$I$6:$I$505,MATCH(B116,STG_ZPMW03!$B$6:$B$505,0))=J116&amp;"",0,1)))</f>
        <v/>
      </c>
      <c r="BU116" s="124" t="str">
        <f>IF($B116="","",IFERROR(IF(ABS(INDEX(Mapping!$D$5:$D$104,MATCH(B116,Mapping!$A$5:$A$104,0))-Q116)&gt;P_Tol,1,0),0))</f>
        <v/>
      </c>
      <c r="BV116" s="124" t="str">
        <f>IF($B116="","",IFERROR(IF(AND(INDEX(Mapping!$G$5:$G$104,MATCH(B116,Mapping!$A$5:$A$104,0))="Nee",ABS(Q116)+ABS(Z116)+ABS(AR116)&gt;0),1,0),0))</f>
        <v/>
      </c>
      <c r="BW116" s="124" t="str">
        <f>IF($B116="","",IF(COUNTIF(Mapping!$A$5:$A$104,B116)&gt;0,1,0))</f>
        <v/>
      </c>
      <c r="BX116" s="124" t="str">
        <f>IF($B116="","",IF(BR116=0,COUNTIF($BR$6:BR116,0),""))</f>
        <v/>
      </c>
    </row>
    <row r="117">
      <c r="A117" s="15" t="n">
        <v>113</v>
      </c>
      <c r="B117" t="str">
        <f>IF(B$3=0,"",IF(INDEX(SRC_Woningetalage!$A$1:$ZZ$501,$A117,B$3)&amp;""="","",INDEX(SRC_Woningetalage!$A$1:$ZZ$501,$A117,B$3)&amp;""))</f>
        <v/>
      </c>
      <c r="C117" t="str">
        <f>IF($B117="","",IF(C$3=0,"n.b.",INDEX(SRC_Woningetalage!$A$1:$ZZ$501,$A117,C$3)))</f>
        <v/>
      </c>
      <c r="D117" t="str">
        <f>IF($B117="","",IF(D$3=0,"n.b.",INDEX(SRC_Woningetalage!$A$1:$ZZ$501,$A117,D$3)))</f>
        <v/>
      </c>
      <c r="E117" t="str">
        <f>IF($B117="","",IF(E$3=0,"n.b.",INDEX(SRC_Woningetalage!$A$1:$ZZ$501,$A117,E$3)))</f>
        <v/>
      </c>
      <c r="F117" t="str">
        <f>IF($B117="","",IF(F$3=0,"n.b.",INDEX(SRC_Woningetalage!$A$1:$ZZ$501,$A117,F$3)))</f>
        <v/>
      </c>
      <c r="G117" t="str">
        <f>IF($B117="","",IF(G$3=0,"n.b.",INDEX(SRC_Woningetalage!$A$1:$ZZ$501,$A117,G$3)))</f>
        <v/>
      </c>
      <c r="H117" t="str">
        <f>IF($B117="","",IF(H$3=0,"n.b.",INDEX(SRC_Woningetalage!$A$1:$ZZ$501,$A117,H$3)))</f>
        <v/>
      </c>
      <c r="I117" t="str">
        <f>IF($B117="","",IF(I$3=0,"n.b.",INDEX(SRC_Woningetalage!$A$1:$ZZ$501,$A117,I$3)))</f>
        <v/>
      </c>
      <c r="J117" t="str">
        <f>IF($B117="","",IF(J$3=0,"n.b.",INDEX(SRC_Woningetalage!$A$1:$ZZ$501,$A117,J$3)))</f>
        <v/>
      </c>
      <c r="K117" t="str">
        <f>IF($B117="","",IF(K$3=0,"n.b.",INDEX(SRC_Woningetalage!$A$1:$ZZ$501,$A117,K$3)))</f>
        <v/>
      </c>
      <c r="L117" t="str">
        <f>IF($B117="","",IF(L$3=0,"n.b.",INDEX(SRC_Woningetalage!$A$1:$ZZ$501,$A117,L$3)))</f>
        <v/>
      </c>
      <c r="M117" t="str">
        <f>IF($B117="","",IF(M$3=0,"n.b.",INDEX(SRC_Woningetalage!$A$1:$ZZ$501,$A117,M$3)))</f>
        <v/>
      </c>
      <c r="N117" t="str">
        <f>IF($B117="","",IF(N$3=0,"n.b.",INDEX(SRC_Woningetalage!$A$1:$ZZ$501,$A117,N$3)))</f>
        <v/>
      </c>
      <c r="O117" t="str">
        <f>IF($B117="","",IF(O$3=0,"n.b.",INDEX(SRC_Woningetalage!$A$1:$ZZ$501,$A117,O$3)))</f>
        <v/>
      </c>
      <c r="P117" t="str">
        <f>IF($B117="","",IF(P$3=0,"n.b.",INDEX(SRC_Woningetalage!$A$1:$ZZ$501,$A117,P$3)))</f>
        <v/>
      </c>
      <c r="Q117" s="124" t="str">
        <f>IF($B117="","",IF(Q$3=0,"n.b.",INDEX(SRC_Woningetalage!$A$1:$ZZ$501,$A117,Q$3)))</f>
        <v/>
      </c>
      <c r="R117" s="124" t="str">
        <f>IF($B117="","",IF(R$3=0,"n.b.",INDEX(SRC_Woningetalage!$A$1:$ZZ$501,$A117,R$3)))</f>
        <v/>
      </c>
      <c r="S117" s="124" t="str">
        <f>IF($B117="","",IF(S$3=0,"n.b.",INDEX(SRC_Woningetalage!$A$1:$ZZ$501,$A117,S$3)))</f>
        <v/>
      </c>
      <c r="T117" s="124" t="str">
        <f>IF($B117="","",IF(T$3=0,"n.b.",INDEX(SRC_Woningetalage!$A$1:$ZZ$501,$A117,T$3)))</f>
        <v/>
      </c>
      <c r="U117" s="124" t="str">
        <f>IF($B117="","",IF(U$3=0,"n.b.",INDEX(SRC_Woningetalage!$A$1:$ZZ$501,$A117,U$3)))</f>
        <v/>
      </c>
      <c r="V117" s="124" t="str">
        <f>IF($B117="","",IF(V$3=0,"n.b.",INDEX(SRC_Woningetalage!$A$1:$ZZ$501,$A117,V$3)))</f>
        <v/>
      </c>
      <c r="W117" s="124" t="str">
        <f>IF($B117="","",IF(W$3=0,"n.b.",INDEX(SRC_Woningetalage!$A$1:$ZZ$501,$A117,W$3)))</f>
        <v/>
      </c>
      <c r="X117" s="124" t="str">
        <f>IF($B117="","",IF(X$3=0,"n.b.",INDEX(SRC_Woningetalage!$A$1:$ZZ$501,$A117,X$3)))</f>
        <v/>
      </c>
      <c r="Y117" s="124" t="str">
        <f>IF($B117="","",IF(Y$3=0,"n.b.",INDEX(SRC_Woningetalage!$A$1:$ZZ$501,$A117,Y$3)))</f>
        <v/>
      </c>
      <c r="Z117" s="124" t="str">
        <f>IF($B117="","",IF(Z$3=0,"n.b.",INDEX(SRC_Woningetalage!$A$1:$ZZ$501,$A117,Z$3)))</f>
        <v/>
      </c>
      <c r="AA117" s="124" t="str">
        <f>IF($B117="","",IF(AA$3=0,"n.b.",INDEX(SRC_Woningetalage!$A$1:$ZZ$501,$A117,AA$3)))</f>
        <v/>
      </c>
      <c r="AB117" s="124" t="str">
        <f>IF($B117="","",IF(AB$3=0,"n.b.",INDEX(SRC_Woningetalage!$A$1:$ZZ$501,$A117,AB$3)))</f>
        <v/>
      </c>
      <c r="AC117" s="124" t="str">
        <f>IF($B117="","",IF(AC$3=0,"n.b.",INDEX(SRC_Woningetalage!$A$1:$ZZ$501,$A117,AC$3)))</f>
        <v/>
      </c>
      <c r="AD117" s="124" t="str">
        <f>IF($B117="","",IF(AD$3=0,"n.b.",INDEX(SRC_Woningetalage!$A$1:$ZZ$501,$A117,AD$3)))</f>
        <v/>
      </c>
      <c r="AE117" s="124" t="str">
        <f>IF($B117="","",IF(AE$3=0,"n.b.",INDEX(SRC_Woningetalage!$A$1:$ZZ$501,$A117,AE$3)))</f>
        <v/>
      </c>
      <c r="AF117" s="124" t="str">
        <f>IF($B117="","",IF(AF$3=0,"n.b.",INDEX(SRC_Woningetalage!$A$1:$ZZ$501,$A117,AF$3)))</f>
        <v/>
      </c>
      <c r="AG117" s="124" t="str">
        <f>IF($B117="","",IF(AG$3=0,"n.b.",INDEX(SRC_Woningetalage!$A$1:$ZZ$501,$A117,AG$3)))</f>
        <v/>
      </c>
      <c r="AH117" s="124" t="str">
        <f>IF($B117="","",IF(AH$3=0,"n.b.",INDEX(SRC_Woningetalage!$A$1:$ZZ$501,$A117,AH$3)))</f>
        <v/>
      </c>
      <c r="AI117" s="124" t="str">
        <f>IF($B117="","",IF(AI$3=0,"n.b.",INDEX(SRC_Woningetalage!$A$1:$ZZ$501,$A117,AI$3)))</f>
        <v/>
      </c>
      <c r="AJ117" s="124" t="str">
        <f>IF($B117="","",IF(AJ$3=0,"n.b.",INDEX(SRC_Woningetalage!$A$1:$ZZ$501,$A117,AJ$3)))</f>
        <v/>
      </c>
      <c r="AK117" s="124" t="str">
        <f>IF($B117="","",IF(AK$3=0,"n.b.",INDEX(SRC_Woningetalage!$A$1:$ZZ$501,$A117,AK$3)))</f>
        <v/>
      </c>
      <c r="AL117" s="124" t="str">
        <f>IF($B117="","",IF(AL$3=0,"n.b.",INDEX(SRC_Woningetalage!$A$1:$ZZ$501,$A117,AL$3)))</f>
        <v/>
      </c>
      <c r="AM117" s="124" t="str">
        <f>IF($B117="","",IF(AM$3=0,"n.b.",INDEX(SRC_Woningetalage!$A$1:$ZZ$501,$A117,AM$3)))</f>
        <v/>
      </c>
      <c r="AN117" s="124" t="str">
        <f>IF($B117="","",IF(AN$3=0,"n.b.",INDEX(SRC_Woningetalage!$A$1:$ZZ$501,$A117,AN$3)))</f>
        <v/>
      </c>
      <c r="AO117" s="124" t="str">
        <f>IF($B117="","",IF(AO$3=0,"n.b.",INDEX(SRC_Woningetalage!$A$1:$ZZ$501,$A117,AO$3)))</f>
        <v/>
      </c>
      <c r="AP117" s="124" t="str">
        <f>IF($B117="","",IF(AP$3=0,"n.b.",INDEX(SRC_Woningetalage!$A$1:$ZZ$501,$A117,AP$3)))</f>
        <v/>
      </c>
      <c r="AQ117" s="124" t="str">
        <f>IF($B117="","",IF(AQ$3=0,"n.b.",INDEX(SRC_Woningetalage!$A$1:$ZZ$501,$A117,AQ$3)))</f>
        <v/>
      </c>
      <c r="AR117" s="124" t="str">
        <f>IF($B117="","",IF(AR$3=0,"n.b.",INDEX(SRC_Woningetalage!$A$1:$ZZ$501,$A117,AR$3)))</f>
        <v/>
      </c>
      <c r="AS117" s="124" t="str">
        <f>IF($B117="","",IF(AS$3=0,"n.b.",INDEX(SRC_Woningetalage!$A$1:$ZZ$501,$A117,AS$3)))</f>
        <v/>
      </c>
      <c r="AT117" s="124" t="str">
        <f>IF($B117="","",IF(AT$3=0,"n.b.",INDEX(SRC_Woningetalage!$A$1:$ZZ$501,$A117,AT$3)))</f>
        <v/>
      </c>
      <c r="AU117" s="124" t="str">
        <f>IF($B117="","",IF(AU$3=0,"n.b.",INDEX(SRC_Woningetalage!$A$1:$ZZ$501,$A117,AU$3)))</f>
        <v/>
      </c>
      <c r="AV117" s="124" t="str">
        <f>IF($B117="","",IF(AV$3=0,"n.b.",INDEX(SRC_Woningetalage!$A$1:$ZZ$501,$A117,AV$3)))</f>
        <v/>
      </c>
      <c r="AW117" s="124" t="str">
        <f>IF($B117="","",IF(AW$3=0,"n.b.",INDEX(SRC_Woningetalage!$A$1:$ZZ$501,$A117,AW$3)))</f>
        <v/>
      </c>
      <c r="AX117" s="124" t="str">
        <f>IF($B117="","",IF(AX$3=0,"n.b.",INDEX(SRC_Woningetalage!$A$1:$ZZ$501,$A117,AX$3)))</f>
        <v/>
      </c>
      <c r="AY117" s="124" t="str">
        <f>IF($B117="","",IF(AY$3=0,"n.b.",INDEX(SRC_Woningetalage!$A$1:$ZZ$501,$A117,AY$3)))</f>
        <v/>
      </c>
      <c r="AZ117" s="124" t="str">
        <f>IF($B117="","",IF(AZ$3=0,"n.b.",INDEX(SRC_Woningetalage!$A$1:$ZZ$501,$A117,AZ$3)))</f>
        <v/>
      </c>
      <c r="BA117" s="124" t="str">
        <f>IF($B117="","",IF(BA$3=0,"n.b.",INDEX(SRC_Woningetalage!$A$1:$ZZ$501,$A117,BA$3)))</f>
        <v/>
      </c>
      <c r="BB117" s="124" t="str">
        <f>IF($B117="","",IF(BB$3=0,"n.b.",INDEX(SRC_Woningetalage!$A$1:$ZZ$501,$A117,BB$3)))</f>
        <v/>
      </c>
      <c r="BC117" s="124" t="str">
        <f>IF($B117="","",IFERROR(_xlfn.NUMBERVALUE(E117&amp;"",",","."),"n.b."))</f>
        <v/>
      </c>
      <c r="BD117" s="124" t="str">
        <f>IF($B117="","",IFERROR(_xlfn.NUMBERVALUE(M117&amp;"",",","."),"n.b."))</f>
        <v/>
      </c>
      <c r="BE117" s="124" t="str">
        <f>IF($B117="","",IFERROR(AB117+AC117+AD117,"n.b."))</f>
        <v/>
      </c>
      <c r="BF117" s="124" t="str">
        <f>IF($B117="","",IFERROR(AE117+AF117+AG117,"n.b."))</f>
        <v/>
      </c>
      <c r="BG117" s="124" t="str">
        <f>IF($B117="","",IFERROR(AH117+AI117+AJ117,"n.b."))</f>
        <v/>
      </c>
      <c r="BH117" s="124" t="str">
        <f>IF($B117="","",IFERROR(AK117+AL117+AM117,"n.b."))</f>
        <v/>
      </c>
      <c r="BI117" s="124" t="str">
        <f>IF($B117="","",IFERROR(SUMIF($AB$5:$AM$5,"&lt;="&amp;P_PeilMaand,AB117:AM117),"n.b."))</f>
        <v/>
      </c>
      <c r="BJ117" s="124" t="str">
        <f>IF($B117="","",IFERROR(SUM(AB117:AM117)-BI117,"n.b."))</f>
        <v/>
      </c>
      <c r="BK117" s="124" t="str">
        <f>IF($B117="","",IFERROR(IF(ABS(Q117-(T117+SUM(AB117:AM117)+AS117+AU117))&gt;P_Tol,1,0),1))</f>
        <v/>
      </c>
      <c r="BL117" s="124" t="str">
        <f>IF($B117="","",IFERROR(IF(ABS(AA117-(Q117-Z117))&gt;P_Tol,1,0),1))</f>
        <v/>
      </c>
      <c r="BM117" s="124" t="str">
        <f>IF($B117="","",IFERROR(IF(ABS(Z117-(T117+W117))&gt;P_Tol,1,0),1))</f>
        <v/>
      </c>
      <c r="BN117" s="124" t="str">
        <f>IF($B117="","",IFERROR(IF(ABS(W117-BI117)&gt;P_Tol,1,0),1))</f>
        <v/>
      </c>
      <c r="BO117" s="124" t="str">
        <f>IF($B117="","",IFERROR(IF(OR(ABS(R117+S117-T117)&gt;P_Tol,ABS(U117+V117-W117)&gt;P_Tol,ABS(X117+Y117-Z117)&gt;P_Tol),1,0),1))</f>
        <v/>
      </c>
      <c r="BP117" s="124" t="str">
        <f>IF($B117="","",IFERROR(IF(OR(ABS(AR117-SUM(AB117:AM117))&gt;P_Tol,ABS(AS117-(AN117+AO117+AP117+AQ117))&gt;P_Tol),1,0),1))</f>
        <v/>
      </c>
      <c r="BQ117" s="124" t="str">
        <f>IF($B117="","",IFERROR(IF(ABS(AT117)+ABS(AV117)+ABS(AW117)+ABS(AX117)+ABS(AY117)+ABS(AZ117)+ABS(BA117)+ABS(BB117)&gt;0,1,0),1))</f>
        <v/>
      </c>
      <c r="BR117" s="124" t="str">
        <f>IF($B117="","",COUNTIF(STG_ZPMW03!$B$6:$B$505,B117))</f>
        <v/>
      </c>
      <c r="BS117" s="124" t="str">
        <f>IF($B117="","",COUNTIF($B$6:$B$505,B117))</f>
        <v/>
      </c>
      <c r="BT117" s="124" t="str">
        <f>IF($B117="","",IF(BR117=0,0,IF(INDEX(STG_ZPMW03!$I$6:$I$505,MATCH(B117,STG_ZPMW03!$B$6:$B$505,0))=J117&amp;"",0,1)))</f>
        <v/>
      </c>
      <c r="BU117" s="124" t="str">
        <f>IF($B117="","",IFERROR(IF(ABS(INDEX(Mapping!$D$5:$D$104,MATCH(B117,Mapping!$A$5:$A$104,0))-Q117)&gt;P_Tol,1,0),0))</f>
        <v/>
      </c>
      <c r="BV117" s="124" t="str">
        <f>IF($B117="","",IFERROR(IF(AND(INDEX(Mapping!$G$5:$G$104,MATCH(B117,Mapping!$A$5:$A$104,0))="Nee",ABS(Q117)+ABS(Z117)+ABS(AR117)&gt;0),1,0),0))</f>
        <v/>
      </c>
      <c r="BW117" s="124" t="str">
        <f>IF($B117="","",IF(COUNTIF(Mapping!$A$5:$A$104,B117)&gt;0,1,0))</f>
        <v/>
      </c>
      <c r="BX117" s="124" t="str">
        <f>IF($B117="","",IF(BR117=0,COUNTIF($BR$6:BR117,0),""))</f>
        <v/>
      </c>
    </row>
    <row r="118">
      <c r="A118" s="15" t="n">
        <v>114</v>
      </c>
      <c r="B118" t="str">
        <f>IF(B$3=0,"",IF(INDEX(SRC_Woningetalage!$A$1:$ZZ$501,$A118,B$3)&amp;""="","",INDEX(SRC_Woningetalage!$A$1:$ZZ$501,$A118,B$3)&amp;""))</f>
        <v/>
      </c>
      <c r="C118" t="str">
        <f>IF($B118="","",IF(C$3=0,"n.b.",INDEX(SRC_Woningetalage!$A$1:$ZZ$501,$A118,C$3)))</f>
        <v/>
      </c>
      <c r="D118" t="str">
        <f>IF($B118="","",IF(D$3=0,"n.b.",INDEX(SRC_Woningetalage!$A$1:$ZZ$501,$A118,D$3)))</f>
        <v/>
      </c>
      <c r="E118" t="str">
        <f>IF($B118="","",IF(E$3=0,"n.b.",INDEX(SRC_Woningetalage!$A$1:$ZZ$501,$A118,E$3)))</f>
        <v/>
      </c>
      <c r="F118" t="str">
        <f>IF($B118="","",IF(F$3=0,"n.b.",INDEX(SRC_Woningetalage!$A$1:$ZZ$501,$A118,F$3)))</f>
        <v/>
      </c>
      <c r="G118" t="str">
        <f>IF($B118="","",IF(G$3=0,"n.b.",INDEX(SRC_Woningetalage!$A$1:$ZZ$501,$A118,G$3)))</f>
        <v/>
      </c>
      <c r="H118" t="str">
        <f>IF($B118="","",IF(H$3=0,"n.b.",INDEX(SRC_Woningetalage!$A$1:$ZZ$501,$A118,H$3)))</f>
        <v/>
      </c>
      <c r="I118" t="str">
        <f>IF($B118="","",IF(I$3=0,"n.b.",INDEX(SRC_Woningetalage!$A$1:$ZZ$501,$A118,I$3)))</f>
        <v/>
      </c>
      <c r="J118" t="str">
        <f>IF($B118="","",IF(J$3=0,"n.b.",INDEX(SRC_Woningetalage!$A$1:$ZZ$501,$A118,J$3)))</f>
        <v/>
      </c>
      <c r="K118" t="str">
        <f>IF($B118="","",IF(K$3=0,"n.b.",INDEX(SRC_Woningetalage!$A$1:$ZZ$501,$A118,K$3)))</f>
        <v/>
      </c>
      <c r="L118" t="str">
        <f>IF($B118="","",IF(L$3=0,"n.b.",INDEX(SRC_Woningetalage!$A$1:$ZZ$501,$A118,L$3)))</f>
        <v/>
      </c>
      <c r="M118" t="str">
        <f>IF($B118="","",IF(M$3=0,"n.b.",INDEX(SRC_Woningetalage!$A$1:$ZZ$501,$A118,M$3)))</f>
        <v/>
      </c>
      <c r="N118" t="str">
        <f>IF($B118="","",IF(N$3=0,"n.b.",INDEX(SRC_Woningetalage!$A$1:$ZZ$501,$A118,N$3)))</f>
        <v/>
      </c>
      <c r="O118" t="str">
        <f>IF($B118="","",IF(O$3=0,"n.b.",INDEX(SRC_Woningetalage!$A$1:$ZZ$501,$A118,O$3)))</f>
        <v/>
      </c>
      <c r="P118" t="str">
        <f>IF($B118="","",IF(P$3=0,"n.b.",INDEX(SRC_Woningetalage!$A$1:$ZZ$501,$A118,P$3)))</f>
        <v/>
      </c>
      <c r="Q118" s="124" t="str">
        <f>IF($B118="","",IF(Q$3=0,"n.b.",INDEX(SRC_Woningetalage!$A$1:$ZZ$501,$A118,Q$3)))</f>
        <v/>
      </c>
      <c r="R118" s="124" t="str">
        <f>IF($B118="","",IF(R$3=0,"n.b.",INDEX(SRC_Woningetalage!$A$1:$ZZ$501,$A118,R$3)))</f>
        <v/>
      </c>
      <c r="S118" s="124" t="str">
        <f>IF($B118="","",IF(S$3=0,"n.b.",INDEX(SRC_Woningetalage!$A$1:$ZZ$501,$A118,S$3)))</f>
        <v/>
      </c>
      <c r="T118" s="124" t="str">
        <f>IF($B118="","",IF(T$3=0,"n.b.",INDEX(SRC_Woningetalage!$A$1:$ZZ$501,$A118,T$3)))</f>
        <v/>
      </c>
      <c r="U118" s="124" t="str">
        <f>IF($B118="","",IF(U$3=0,"n.b.",INDEX(SRC_Woningetalage!$A$1:$ZZ$501,$A118,U$3)))</f>
        <v/>
      </c>
      <c r="V118" s="124" t="str">
        <f>IF($B118="","",IF(V$3=0,"n.b.",INDEX(SRC_Woningetalage!$A$1:$ZZ$501,$A118,V$3)))</f>
        <v/>
      </c>
      <c r="W118" s="124" t="str">
        <f>IF($B118="","",IF(W$3=0,"n.b.",INDEX(SRC_Woningetalage!$A$1:$ZZ$501,$A118,W$3)))</f>
        <v/>
      </c>
      <c r="X118" s="124" t="str">
        <f>IF($B118="","",IF(X$3=0,"n.b.",INDEX(SRC_Woningetalage!$A$1:$ZZ$501,$A118,X$3)))</f>
        <v/>
      </c>
      <c r="Y118" s="124" t="str">
        <f>IF($B118="","",IF(Y$3=0,"n.b.",INDEX(SRC_Woningetalage!$A$1:$ZZ$501,$A118,Y$3)))</f>
        <v/>
      </c>
      <c r="Z118" s="124" t="str">
        <f>IF($B118="","",IF(Z$3=0,"n.b.",INDEX(SRC_Woningetalage!$A$1:$ZZ$501,$A118,Z$3)))</f>
        <v/>
      </c>
      <c r="AA118" s="124" t="str">
        <f>IF($B118="","",IF(AA$3=0,"n.b.",INDEX(SRC_Woningetalage!$A$1:$ZZ$501,$A118,AA$3)))</f>
        <v/>
      </c>
      <c r="AB118" s="124" t="str">
        <f>IF($B118="","",IF(AB$3=0,"n.b.",INDEX(SRC_Woningetalage!$A$1:$ZZ$501,$A118,AB$3)))</f>
        <v/>
      </c>
      <c r="AC118" s="124" t="str">
        <f>IF($B118="","",IF(AC$3=0,"n.b.",INDEX(SRC_Woningetalage!$A$1:$ZZ$501,$A118,AC$3)))</f>
        <v/>
      </c>
      <c r="AD118" s="124" t="str">
        <f>IF($B118="","",IF(AD$3=0,"n.b.",INDEX(SRC_Woningetalage!$A$1:$ZZ$501,$A118,AD$3)))</f>
        <v/>
      </c>
      <c r="AE118" s="124" t="str">
        <f>IF($B118="","",IF(AE$3=0,"n.b.",INDEX(SRC_Woningetalage!$A$1:$ZZ$501,$A118,AE$3)))</f>
        <v/>
      </c>
      <c r="AF118" s="124" t="str">
        <f>IF($B118="","",IF(AF$3=0,"n.b.",INDEX(SRC_Woningetalage!$A$1:$ZZ$501,$A118,AF$3)))</f>
        <v/>
      </c>
      <c r="AG118" s="124" t="str">
        <f>IF($B118="","",IF(AG$3=0,"n.b.",INDEX(SRC_Woningetalage!$A$1:$ZZ$501,$A118,AG$3)))</f>
        <v/>
      </c>
      <c r="AH118" s="124" t="str">
        <f>IF($B118="","",IF(AH$3=0,"n.b.",INDEX(SRC_Woningetalage!$A$1:$ZZ$501,$A118,AH$3)))</f>
        <v/>
      </c>
      <c r="AI118" s="124" t="str">
        <f>IF($B118="","",IF(AI$3=0,"n.b.",INDEX(SRC_Woningetalage!$A$1:$ZZ$501,$A118,AI$3)))</f>
        <v/>
      </c>
      <c r="AJ118" s="124" t="str">
        <f>IF($B118="","",IF(AJ$3=0,"n.b.",INDEX(SRC_Woningetalage!$A$1:$ZZ$501,$A118,AJ$3)))</f>
        <v/>
      </c>
      <c r="AK118" s="124" t="str">
        <f>IF($B118="","",IF(AK$3=0,"n.b.",INDEX(SRC_Woningetalage!$A$1:$ZZ$501,$A118,AK$3)))</f>
        <v/>
      </c>
      <c r="AL118" s="124" t="str">
        <f>IF($B118="","",IF(AL$3=0,"n.b.",INDEX(SRC_Woningetalage!$A$1:$ZZ$501,$A118,AL$3)))</f>
        <v/>
      </c>
      <c r="AM118" s="124" t="str">
        <f>IF($B118="","",IF(AM$3=0,"n.b.",INDEX(SRC_Woningetalage!$A$1:$ZZ$501,$A118,AM$3)))</f>
        <v/>
      </c>
      <c r="AN118" s="124" t="str">
        <f>IF($B118="","",IF(AN$3=0,"n.b.",INDEX(SRC_Woningetalage!$A$1:$ZZ$501,$A118,AN$3)))</f>
        <v/>
      </c>
      <c r="AO118" s="124" t="str">
        <f>IF($B118="","",IF(AO$3=0,"n.b.",INDEX(SRC_Woningetalage!$A$1:$ZZ$501,$A118,AO$3)))</f>
        <v/>
      </c>
      <c r="AP118" s="124" t="str">
        <f>IF($B118="","",IF(AP$3=0,"n.b.",INDEX(SRC_Woningetalage!$A$1:$ZZ$501,$A118,AP$3)))</f>
        <v/>
      </c>
      <c r="AQ118" s="124" t="str">
        <f>IF($B118="","",IF(AQ$3=0,"n.b.",INDEX(SRC_Woningetalage!$A$1:$ZZ$501,$A118,AQ$3)))</f>
        <v/>
      </c>
      <c r="AR118" s="124" t="str">
        <f>IF($B118="","",IF(AR$3=0,"n.b.",INDEX(SRC_Woningetalage!$A$1:$ZZ$501,$A118,AR$3)))</f>
        <v/>
      </c>
      <c r="AS118" s="124" t="str">
        <f>IF($B118="","",IF(AS$3=0,"n.b.",INDEX(SRC_Woningetalage!$A$1:$ZZ$501,$A118,AS$3)))</f>
        <v/>
      </c>
      <c r="AT118" s="124" t="str">
        <f>IF($B118="","",IF(AT$3=0,"n.b.",INDEX(SRC_Woningetalage!$A$1:$ZZ$501,$A118,AT$3)))</f>
        <v/>
      </c>
      <c r="AU118" s="124" t="str">
        <f>IF($B118="","",IF(AU$3=0,"n.b.",INDEX(SRC_Woningetalage!$A$1:$ZZ$501,$A118,AU$3)))</f>
        <v/>
      </c>
      <c r="AV118" s="124" t="str">
        <f>IF($B118="","",IF(AV$3=0,"n.b.",INDEX(SRC_Woningetalage!$A$1:$ZZ$501,$A118,AV$3)))</f>
        <v/>
      </c>
      <c r="AW118" s="124" t="str">
        <f>IF($B118="","",IF(AW$3=0,"n.b.",INDEX(SRC_Woningetalage!$A$1:$ZZ$501,$A118,AW$3)))</f>
        <v/>
      </c>
      <c r="AX118" s="124" t="str">
        <f>IF($B118="","",IF(AX$3=0,"n.b.",INDEX(SRC_Woningetalage!$A$1:$ZZ$501,$A118,AX$3)))</f>
        <v/>
      </c>
      <c r="AY118" s="124" t="str">
        <f>IF($B118="","",IF(AY$3=0,"n.b.",INDEX(SRC_Woningetalage!$A$1:$ZZ$501,$A118,AY$3)))</f>
        <v/>
      </c>
      <c r="AZ118" s="124" t="str">
        <f>IF($B118="","",IF(AZ$3=0,"n.b.",INDEX(SRC_Woningetalage!$A$1:$ZZ$501,$A118,AZ$3)))</f>
        <v/>
      </c>
      <c r="BA118" s="124" t="str">
        <f>IF($B118="","",IF(BA$3=0,"n.b.",INDEX(SRC_Woningetalage!$A$1:$ZZ$501,$A118,BA$3)))</f>
        <v/>
      </c>
      <c r="BB118" s="124" t="str">
        <f>IF($B118="","",IF(BB$3=0,"n.b.",INDEX(SRC_Woningetalage!$A$1:$ZZ$501,$A118,BB$3)))</f>
        <v/>
      </c>
      <c r="BC118" s="124" t="str">
        <f>IF($B118="","",IFERROR(_xlfn.NUMBERVALUE(E118&amp;"",",","."),"n.b."))</f>
        <v/>
      </c>
      <c r="BD118" s="124" t="str">
        <f>IF($B118="","",IFERROR(_xlfn.NUMBERVALUE(M118&amp;"",",","."),"n.b."))</f>
        <v/>
      </c>
      <c r="BE118" s="124" t="str">
        <f>IF($B118="","",IFERROR(AB118+AC118+AD118,"n.b."))</f>
        <v/>
      </c>
      <c r="BF118" s="124" t="str">
        <f>IF($B118="","",IFERROR(AE118+AF118+AG118,"n.b."))</f>
        <v/>
      </c>
      <c r="BG118" s="124" t="str">
        <f>IF($B118="","",IFERROR(AH118+AI118+AJ118,"n.b."))</f>
        <v/>
      </c>
      <c r="BH118" s="124" t="str">
        <f>IF($B118="","",IFERROR(AK118+AL118+AM118,"n.b."))</f>
        <v/>
      </c>
      <c r="BI118" s="124" t="str">
        <f>IF($B118="","",IFERROR(SUMIF($AB$5:$AM$5,"&lt;="&amp;P_PeilMaand,AB118:AM118),"n.b."))</f>
        <v/>
      </c>
      <c r="BJ118" s="124" t="str">
        <f>IF($B118="","",IFERROR(SUM(AB118:AM118)-BI118,"n.b."))</f>
        <v/>
      </c>
      <c r="BK118" s="124" t="str">
        <f>IF($B118="","",IFERROR(IF(ABS(Q118-(T118+SUM(AB118:AM118)+AS118+AU118))&gt;P_Tol,1,0),1))</f>
        <v/>
      </c>
      <c r="BL118" s="124" t="str">
        <f>IF($B118="","",IFERROR(IF(ABS(AA118-(Q118-Z118))&gt;P_Tol,1,0),1))</f>
        <v/>
      </c>
      <c r="BM118" s="124" t="str">
        <f>IF($B118="","",IFERROR(IF(ABS(Z118-(T118+W118))&gt;P_Tol,1,0),1))</f>
        <v/>
      </c>
      <c r="BN118" s="124" t="str">
        <f>IF($B118="","",IFERROR(IF(ABS(W118-BI118)&gt;P_Tol,1,0),1))</f>
        <v/>
      </c>
      <c r="BO118" s="124" t="str">
        <f>IF($B118="","",IFERROR(IF(OR(ABS(R118+S118-T118)&gt;P_Tol,ABS(U118+V118-W118)&gt;P_Tol,ABS(X118+Y118-Z118)&gt;P_Tol),1,0),1))</f>
        <v/>
      </c>
      <c r="BP118" s="124" t="str">
        <f>IF($B118="","",IFERROR(IF(OR(ABS(AR118-SUM(AB118:AM118))&gt;P_Tol,ABS(AS118-(AN118+AO118+AP118+AQ118))&gt;P_Tol),1,0),1))</f>
        <v/>
      </c>
      <c r="BQ118" s="124" t="str">
        <f>IF($B118="","",IFERROR(IF(ABS(AT118)+ABS(AV118)+ABS(AW118)+ABS(AX118)+ABS(AY118)+ABS(AZ118)+ABS(BA118)+ABS(BB118)&gt;0,1,0),1))</f>
        <v/>
      </c>
      <c r="BR118" s="124" t="str">
        <f>IF($B118="","",COUNTIF(STG_ZPMW03!$B$6:$B$505,B118))</f>
        <v/>
      </c>
      <c r="BS118" s="124" t="str">
        <f>IF($B118="","",COUNTIF($B$6:$B$505,B118))</f>
        <v/>
      </c>
      <c r="BT118" s="124" t="str">
        <f>IF($B118="","",IF(BR118=0,0,IF(INDEX(STG_ZPMW03!$I$6:$I$505,MATCH(B118,STG_ZPMW03!$B$6:$B$505,0))=J118&amp;"",0,1)))</f>
        <v/>
      </c>
      <c r="BU118" s="124" t="str">
        <f>IF($B118="","",IFERROR(IF(ABS(INDEX(Mapping!$D$5:$D$104,MATCH(B118,Mapping!$A$5:$A$104,0))-Q118)&gt;P_Tol,1,0),0))</f>
        <v/>
      </c>
      <c r="BV118" s="124" t="str">
        <f>IF($B118="","",IFERROR(IF(AND(INDEX(Mapping!$G$5:$G$104,MATCH(B118,Mapping!$A$5:$A$104,0))="Nee",ABS(Q118)+ABS(Z118)+ABS(AR118)&gt;0),1,0),0))</f>
        <v/>
      </c>
      <c r="BW118" s="124" t="str">
        <f>IF($B118="","",IF(COUNTIF(Mapping!$A$5:$A$104,B118)&gt;0,1,0))</f>
        <v/>
      </c>
      <c r="BX118" s="124" t="str">
        <f>IF($B118="","",IF(BR118=0,COUNTIF($BR$6:BR118,0),""))</f>
        <v/>
      </c>
    </row>
    <row r="119">
      <c r="A119" s="15" t="n">
        <v>115</v>
      </c>
      <c r="B119" t="str">
        <f>IF(B$3=0,"",IF(INDEX(SRC_Woningetalage!$A$1:$ZZ$501,$A119,B$3)&amp;""="","",INDEX(SRC_Woningetalage!$A$1:$ZZ$501,$A119,B$3)&amp;""))</f>
        <v/>
      </c>
      <c r="C119" t="str">
        <f>IF($B119="","",IF(C$3=0,"n.b.",INDEX(SRC_Woningetalage!$A$1:$ZZ$501,$A119,C$3)))</f>
        <v/>
      </c>
      <c r="D119" t="str">
        <f>IF($B119="","",IF(D$3=0,"n.b.",INDEX(SRC_Woningetalage!$A$1:$ZZ$501,$A119,D$3)))</f>
        <v/>
      </c>
      <c r="E119" t="str">
        <f>IF($B119="","",IF(E$3=0,"n.b.",INDEX(SRC_Woningetalage!$A$1:$ZZ$501,$A119,E$3)))</f>
        <v/>
      </c>
      <c r="F119" t="str">
        <f>IF($B119="","",IF(F$3=0,"n.b.",INDEX(SRC_Woningetalage!$A$1:$ZZ$501,$A119,F$3)))</f>
        <v/>
      </c>
      <c r="G119" t="str">
        <f>IF($B119="","",IF(G$3=0,"n.b.",INDEX(SRC_Woningetalage!$A$1:$ZZ$501,$A119,G$3)))</f>
        <v/>
      </c>
      <c r="H119" t="str">
        <f>IF($B119="","",IF(H$3=0,"n.b.",INDEX(SRC_Woningetalage!$A$1:$ZZ$501,$A119,H$3)))</f>
        <v/>
      </c>
      <c r="I119" t="str">
        <f>IF($B119="","",IF(I$3=0,"n.b.",INDEX(SRC_Woningetalage!$A$1:$ZZ$501,$A119,I$3)))</f>
        <v/>
      </c>
      <c r="J119" t="str">
        <f>IF($B119="","",IF(J$3=0,"n.b.",INDEX(SRC_Woningetalage!$A$1:$ZZ$501,$A119,J$3)))</f>
        <v/>
      </c>
      <c r="K119" t="str">
        <f>IF($B119="","",IF(K$3=0,"n.b.",INDEX(SRC_Woningetalage!$A$1:$ZZ$501,$A119,K$3)))</f>
        <v/>
      </c>
      <c r="L119" t="str">
        <f>IF($B119="","",IF(L$3=0,"n.b.",INDEX(SRC_Woningetalage!$A$1:$ZZ$501,$A119,L$3)))</f>
        <v/>
      </c>
      <c r="M119" t="str">
        <f>IF($B119="","",IF(M$3=0,"n.b.",INDEX(SRC_Woningetalage!$A$1:$ZZ$501,$A119,M$3)))</f>
        <v/>
      </c>
      <c r="N119" t="str">
        <f>IF($B119="","",IF(N$3=0,"n.b.",INDEX(SRC_Woningetalage!$A$1:$ZZ$501,$A119,N$3)))</f>
        <v/>
      </c>
      <c r="O119" t="str">
        <f>IF($B119="","",IF(O$3=0,"n.b.",INDEX(SRC_Woningetalage!$A$1:$ZZ$501,$A119,O$3)))</f>
        <v/>
      </c>
      <c r="P119" t="str">
        <f>IF($B119="","",IF(P$3=0,"n.b.",INDEX(SRC_Woningetalage!$A$1:$ZZ$501,$A119,P$3)))</f>
        <v/>
      </c>
      <c r="Q119" s="124" t="str">
        <f>IF($B119="","",IF(Q$3=0,"n.b.",INDEX(SRC_Woningetalage!$A$1:$ZZ$501,$A119,Q$3)))</f>
        <v/>
      </c>
      <c r="R119" s="124" t="str">
        <f>IF($B119="","",IF(R$3=0,"n.b.",INDEX(SRC_Woningetalage!$A$1:$ZZ$501,$A119,R$3)))</f>
        <v/>
      </c>
      <c r="S119" s="124" t="str">
        <f>IF($B119="","",IF(S$3=0,"n.b.",INDEX(SRC_Woningetalage!$A$1:$ZZ$501,$A119,S$3)))</f>
        <v/>
      </c>
      <c r="T119" s="124" t="str">
        <f>IF($B119="","",IF(T$3=0,"n.b.",INDEX(SRC_Woningetalage!$A$1:$ZZ$501,$A119,T$3)))</f>
        <v/>
      </c>
      <c r="U119" s="124" t="str">
        <f>IF($B119="","",IF(U$3=0,"n.b.",INDEX(SRC_Woningetalage!$A$1:$ZZ$501,$A119,U$3)))</f>
        <v/>
      </c>
      <c r="V119" s="124" t="str">
        <f>IF($B119="","",IF(V$3=0,"n.b.",INDEX(SRC_Woningetalage!$A$1:$ZZ$501,$A119,V$3)))</f>
        <v/>
      </c>
      <c r="W119" s="124" t="str">
        <f>IF($B119="","",IF(W$3=0,"n.b.",INDEX(SRC_Woningetalage!$A$1:$ZZ$501,$A119,W$3)))</f>
        <v/>
      </c>
      <c r="X119" s="124" t="str">
        <f>IF($B119="","",IF(X$3=0,"n.b.",INDEX(SRC_Woningetalage!$A$1:$ZZ$501,$A119,X$3)))</f>
        <v/>
      </c>
      <c r="Y119" s="124" t="str">
        <f>IF($B119="","",IF(Y$3=0,"n.b.",INDEX(SRC_Woningetalage!$A$1:$ZZ$501,$A119,Y$3)))</f>
        <v/>
      </c>
      <c r="Z119" s="124" t="str">
        <f>IF($B119="","",IF(Z$3=0,"n.b.",INDEX(SRC_Woningetalage!$A$1:$ZZ$501,$A119,Z$3)))</f>
        <v/>
      </c>
      <c r="AA119" s="124" t="str">
        <f>IF($B119="","",IF(AA$3=0,"n.b.",INDEX(SRC_Woningetalage!$A$1:$ZZ$501,$A119,AA$3)))</f>
        <v/>
      </c>
      <c r="AB119" s="124" t="str">
        <f>IF($B119="","",IF(AB$3=0,"n.b.",INDEX(SRC_Woningetalage!$A$1:$ZZ$501,$A119,AB$3)))</f>
        <v/>
      </c>
      <c r="AC119" s="124" t="str">
        <f>IF($B119="","",IF(AC$3=0,"n.b.",INDEX(SRC_Woningetalage!$A$1:$ZZ$501,$A119,AC$3)))</f>
        <v/>
      </c>
      <c r="AD119" s="124" t="str">
        <f>IF($B119="","",IF(AD$3=0,"n.b.",INDEX(SRC_Woningetalage!$A$1:$ZZ$501,$A119,AD$3)))</f>
        <v/>
      </c>
      <c r="AE119" s="124" t="str">
        <f>IF($B119="","",IF(AE$3=0,"n.b.",INDEX(SRC_Woningetalage!$A$1:$ZZ$501,$A119,AE$3)))</f>
        <v/>
      </c>
      <c r="AF119" s="124" t="str">
        <f>IF($B119="","",IF(AF$3=0,"n.b.",INDEX(SRC_Woningetalage!$A$1:$ZZ$501,$A119,AF$3)))</f>
        <v/>
      </c>
      <c r="AG119" s="124" t="str">
        <f>IF($B119="","",IF(AG$3=0,"n.b.",INDEX(SRC_Woningetalage!$A$1:$ZZ$501,$A119,AG$3)))</f>
        <v/>
      </c>
      <c r="AH119" s="124" t="str">
        <f>IF($B119="","",IF(AH$3=0,"n.b.",INDEX(SRC_Woningetalage!$A$1:$ZZ$501,$A119,AH$3)))</f>
        <v/>
      </c>
      <c r="AI119" s="124" t="str">
        <f>IF($B119="","",IF(AI$3=0,"n.b.",INDEX(SRC_Woningetalage!$A$1:$ZZ$501,$A119,AI$3)))</f>
        <v/>
      </c>
      <c r="AJ119" s="124" t="str">
        <f>IF($B119="","",IF(AJ$3=0,"n.b.",INDEX(SRC_Woningetalage!$A$1:$ZZ$501,$A119,AJ$3)))</f>
        <v/>
      </c>
      <c r="AK119" s="124" t="str">
        <f>IF($B119="","",IF(AK$3=0,"n.b.",INDEX(SRC_Woningetalage!$A$1:$ZZ$501,$A119,AK$3)))</f>
        <v/>
      </c>
      <c r="AL119" s="124" t="str">
        <f>IF($B119="","",IF(AL$3=0,"n.b.",INDEX(SRC_Woningetalage!$A$1:$ZZ$501,$A119,AL$3)))</f>
        <v/>
      </c>
      <c r="AM119" s="124" t="str">
        <f>IF($B119="","",IF(AM$3=0,"n.b.",INDEX(SRC_Woningetalage!$A$1:$ZZ$501,$A119,AM$3)))</f>
        <v/>
      </c>
      <c r="AN119" s="124" t="str">
        <f>IF($B119="","",IF(AN$3=0,"n.b.",INDEX(SRC_Woningetalage!$A$1:$ZZ$501,$A119,AN$3)))</f>
        <v/>
      </c>
      <c r="AO119" s="124" t="str">
        <f>IF($B119="","",IF(AO$3=0,"n.b.",INDEX(SRC_Woningetalage!$A$1:$ZZ$501,$A119,AO$3)))</f>
        <v/>
      </c>
      <c r="AP119" s="124" t="str">
        <f>IF($B119="","",IF(AP$3=0,"n.b.",INDEX(SRC_Woningetalage!$A$1:$ZZ$501,$A119,AP$3)))</f>
        <v/>
      </c>
      <c r="AQ119" s="124" t="str">
        <f>IF($B119="","",IF(AQ$3=0,"n.b.",INDEX(SRC_Woningetalage!$A$1:$ZZ$501,$A119,AQ$3)))</f>
        <v/>
      </c>
      <c r="AR119" s="124" t="str">
        <f>IF($B119="","",IF(AR$3=0,"n.b.",INDEX(SRC_Woningetalage!$A$1:$ZZ$501,$A119,AR$3)))</f>
        <v/>
      </c>
      <c r="AS119" s="124" t="str">
        <f>IF($B119="","",IF(AS$3=0,"n.b.",INDEX(SRC_Woningetalage!$A$1:$ZZ$501,$A119,AS$3)))</f>
        <v/>
      </c>
      <c r="AT119" s="124" t="str">
        <f>IF($B119="","",IF(AT$3=0,"n.b.",INDEX(SRC_Woningetalage!$A$1:$ZZ$501,$A119,AT$3)))</f>
        <v/>
      </c>
      <c r="AU119" s="124" t="str">
        <f>IF($B119="","",IF(AU$3=0,"n.b.",INDEX(SRC_Woningetalage!$A$1:$ZZ$501,$A119,AU$3)))</f>
        <v/>
      </c>
      <c r="AV119" s="124" t="str">
        <f>IF($B119="","",IF(AV$3=0,"n.b.",INDEX(SRC_Woningetalage!$A$1:$ZZ$501,$A119,AV$3)))</f>
        <v/>
      </c>
      <c r="AW119" s="124" t="str">
        <f>IF($B119="","",IF(AW$3=0,"n.b.",INDEX(SRC_Woningetalage!$A$1:$ZZ$501,$A119,AW$3)))</f>
        <v/>
      </c>
      <c r="AX119" s="124" t="str">
        <f>IF($B119="","",IF(AX$3=0,"n.b.",INDEX(SRC_Woningetalage!$A$1:$ZZ$501,$A119,AX$3)))</f>
        <v/>
      </c>
      <c r="AY119" s="124" t="str">
        <f>IF($B119="","",IF(AY$3=0,"n.b.",INDEX(SRC_Woningetalage!$A$1:$ZZ$501,$A119,AY$3)))</f>
        <v/>
      </c>
      <c r="AZ119" s="124" t="str">
        <f>IF($B119="","",IF(AZ$3=0,"n.b.",INDEX(SRC_Woningetalage!$A$1:$ZZ$501,$A119,AZ$3)))</f>
        <v/>
      </c>
      <c r="BA119" s="124" t="str">
        <f>IF($B119="","",IF(BA$3=0,"n.b.",INDEX(SRC_Woningetalage!$A$1:$ZZ$501,$A119,BA$3)))</f>
        <v/>
      </c>
      <c r="BB119" s="124" t="str">
        <f>IF($B119="","",IF(BB$3=0,"n.b.",INDEX(SRC_Woningetalage!$A$1:$ZZ$501,$A119,BB$3)))</f>
        <v/>
      </c>
      <c r="BC119" s="124" t="str">
        <f>IF($B119="","",IFERROR(_xlfn.NUMBERVALUE(E119&amp;"",",","."),"n.b."))</f>
        <v/>
      </c>
      <c r="BD119" s="124" t="str">
        <f>IF($B119="","",IFERROR(_xlfn.NUMBERVALUE(M119&amp;"",",","."),"n.b."))</f>
        <v/>
      </c>
      <c r="BE119" s="124" t="str">
        <f>IF($B119="","",IFERROR(AB119+AC119+AD119,"n.b."))</f>
        <v/>
      </c>
      <c r="BF119" s="124" t="str">
        <f>IF($B119="","",IFERROR(AE119+AF119+AG119,"n.b."))</f>
        <v/>
      </c>
      <c r="BG119" s="124" t="str">
        <f>IF($B119="","",IFERROR(AH119+AI119+AJ119,"n.b."))</f>
        <v/>
      </c>
      <c r="BH119" s="124" t="str">
        <f>IF($B119="","",IFERROR(AK119+AL119+AM119,"n.b."))</f>
        <v/>
      </c>
      <c r="BI119" s="124" t="str">
        <f>IF($B119="","",IFERROR(SUMIF($AB$5:$AM$5,"&lt;="&amp;P_PeilMaand,AB119:AM119),"n.b."))</f>
        <v/>
      </c>
      <c r="BJ119" s="124" t="str">
        <f>IF($B119="","",IFERROR(SUM(AB119:AM119)-BI119,"n.b."))</f>
        <v/>
      </c>
      <c r="BK119" s="124" t="str">
        <f>IF($B119="","",IFERROR(IF(ABS(Q119-(T119+SUM(AB119:AM119)+AS119+AU119))&gt;P_Tol,1,0),1))</f>
        <v/>
      </c>
      <c r="BL119" s="124" t="str">
        <f>IF($B119="","",IFERROR(IF(ABS(AA119-(Q119-Z119))&gt;P_Tol,1,0),1))</f>
        <v/>
      </c>
      <c r="BM119" s="124" t="str">
        <f>IF($B119="","",IFERROR(IF(ABS(Z119-(T119+W119))&gt;P_Tol,1,0),1))</f>
        <v/>
      </c>
      <c r="BN119" s="124" t="str">
        <f>IF($B119="","",IFERROR(IF(ABS(W119-BI119)&gt;P_Tol,1,0),1))</f>
        <v/>
      </c>
      <c r="BO119" s="124" t="str">
        <f>IF($B119="","",IFERROR(IF(OR(ABS(R119+S119-T119)&gt;P_Tol,ABS(U119+V119-W119)&gt;P_Tol,ABS(X119+Y119-Z119)&gt;P_Tol),1,0),1))</f>
        <v/>
      </c>
      <c r="BP119" s="124" t="str">
        <f>IF($B119="","",IFERROR(IF(OR(ABS(AR119-SUM(AB119:AM119))&gt;P_Tol,ABS(AS119-(AN119+AO119+AP119+AQ119))&gt;P_Tol),1,0),1))</f>
        <v/>
      </c>
      <c r="BQ119" s="124" t="str">
        <f>IF($B119="","",IFERROR(IF(ABS(AT119)+ABS(AV119)+ABS(AW119)+ABS(AX119)+ABS(AY119)+ABS(AZ119)+ABS(BA119)+ABS(BB119)&gt;0,1,0),1))</f>
        <v/>
      </c>
      <c r="BR119" s="124" t="str">
        <f>IF($B119="","",COUNTIF(STG_ZPMW03!$B$6:$B$505,B119))</f>
        <v/>
      </c>
      <c r="BS119" s="124" t="str">
        <f>IF($B119="","",COUNTIF($B$6:$B$505,B119))</f>
        <v/>
      </c>
      <c r="BT119" s="124" t="str">
        <f>IF($B119="","",IF(BR119=0,0,IF(INDEX(STG_ZPMW03!$I$6:$I$505,MATCH(B119,STG_ZPMW03!$B$6:$B$505,0))=J119&amp;"",0,1)))</f>
        <v/>
      </c>
      <c r="BU119" s="124" t="str">
        <f>IF($B119="","",IFERROR(IF(ABS(INDEX(Mapping!$D$5:$D$104,MATCH(B119,Mapping!$A$5:$A$104,0))-Q119)&gt;P_Tol,1,0),0))</f>
        <v/>
      </c>
      <c r="BV119" s="124" t="str">
        <f>IF($B119="","",IFERROR(IF(AND(INDEX(Mapping!$G$5:$G$104,MATCH(B119,Mapping!$A$5:$A$104,0))="Nee",ABS(Q119)+ABS(Z119)+ABS(AR119)&gt;0),1,0),0))</f>
        <v/>
      </c>
      <c r="BW119" s="124" t="str">
        <f>IF($B119="","",IF(COUNTIF(Mapping!$A$5:$A$104,B119)&gt;0,1,0))</f>
        <v/>
      </c>
      <c r="BX119" s="124" t="str">
        <f>IF($B119="","",IF(BR119=0,COUNTIF($BR$6:BR119,0),""))</f>
        <v/>
      </c>
    </row>
    <row r="120">
      <c r="A120" s="15" t="n">
        <v>116</v>
      </c>
      <c r="B120" t="str">
        <f>IF(B$3=0,"",IF(INDEX(SRC_Woningetalage!$A$1:$ZZ$501,$A120,B$3)&amp;""="","",INDEX(SRC_Woningetalage!$A$1:$ZZ$501,$A120,B$3)&amp;""))</f>
        <v/>
      </c>
      <c r="C120" t="str">
        <f>IF($B120="","",IF(C$3=0,"n.b.",INDEX(SRC_Woningetalage!$A$1:$ZZ$501,$A120,C$3)))</f>
        <v/>
      </c>
      <c r="D120" t="str">
        <f>IF($B120="","",IF(D$3=0,"n.b.",INDEX(SRC_Woningetalage!$A$1:$ZZ$501,$A120,D$3)))</f>
        <v/>
      </c>
      <c r="E120" t="str">
        <f>IF($B120="","",IF(E$3=0,"n.b.",INDEX(SRC_Woningetalage!$A$1:$ZZ$501,$A120,E$3)))</f>
        <v/>
      </c>
      <c r="F120" t="str">
        <f>IF($B120="","",IF(F$3=0,"n.b.",INDEX(SRC_Woningetalage!$A$1:$ZZ$501,$A120,F$3)))</f>
        <v/>
      </c>
      <c r="G120" t="str">
        <f>IF($B120="","",IF(G$3=0,"n.b.",INDEX(SRC_Woningetalage!$A$1:$ZZ$501,$A120,G$3)))</f>
        <v/>
      </c>
      <c r="H120" t="str">
        <f>IF($B120="","",IF(H$3=0,"n.b.",INDEX(SRC_Woningetalage!$A$1:$ZZ$501,$A120,H$3)))</f>
        <v/>
      </c>
      <c r="I120" t="str">
        <f>IF($B120="","",IF(I$3=0,"n.b.",INDEX(SRC_Woningetalage!$A$1:$ZZ$501,$A120,I$3)))</f>
        <v/>
      </c>
      <c r="J120" t="str">
        <f>IF($B120="","",IF(J$3=0,"n.b.",INDEX(SRC_Woningetalage!$A$1:$ZZ$501,$A120,J$3)))</f>
        <v/>
      </c>
      <c r="K120" t="str">
        <f>IF($B120="","",IF(K$3=0,"n.b.",INDEX(SRC_Woningetalage!$A$1:$ZZ$501,$A120,K$3)))</f>
        <v/>
      </c>
      <c r="L120" t="str">
        <f>IF($B120="","",IF(L$3=0,"n.b.",INDEX(SRC_Woningetalage!$A$1:$ZZ$501,$A120,L$3)))</f>
        <v/>
      </c>
      <c r="M120" t="str">
        <f>IF($B120="","",IF(M$3=0,"n.b.",INDEX(SRC_Woningetalage!$A$1:$ZZ$501,$A120,M$3)))</f>
        <v/>
      </c>
      <c r="N120" t="str">
        <f>IF($B120="","",IF(N$3=0,"n.b.",INDEX(SRC_Woningetalage!$A$1:$ZZ$501,$A120,N$3)))</f>
        <v/>
      </c>
      <c r="O120" t="str">
        <f>IF($B120="","",IF(O$3=0,"n.b.",INDEX(SRC_Woningetalage!$A$1:$ZZ$501,$A120,O$3)))</f>
        <v/>
      </c>
      <c r="P120" t="str">
        <f>IF($B120="","",IF(P$3=0,"n.b.",INDEX(SRC_Woningetalage!$A$1:$ZZ$501,$A120,P$3)))</f>
        <v/>
      </c>
      <c r="Q120" s="124" t="str">
        <f>IF($B120="","",IF(Q$3=0,"n.b.",INDEX(SRC_Woningetalage!$A$1:$ZZ$501,$A120,Q$3)))</f>
        <v/>
      </c>
      <c r="R120" s="124" t="str">
        <f>IF($B120="","",IF(R$3=0,"n.b.",INDEX(SRC_Woningetalage!$A$1:$ZZ$501,$A120,R$3)))</f>
        <v/>
      </c>
      <c r="S120" s="124" t="str">
        <f>IF($B120="","",IF(S$3=0,"n.b.",INDEX(SRC_Woningetalage!$A$1:$ZZ$501,$A120,S$3)))</f>
        <v/>
      </c>
      <c r="T120" s="124" t="str">
        <f>IF($B120="","",IF(T$3=0,"n.b.",INDEX(SRC_Woningetalage!$A$1:$ZZ$501,$A120,T$3)))</f>
        <v/>
      </c>
      <c r="U120" s="124" t="str">
        <f>IF($B120="","",IF(U$3=0,"n.b.",INDEX(SRC_Woningetalage!$A$1:$ZZ$501,$A120,U$3)))</f>
        <v/>
      </c>
      <c r="V120" s="124" t="str">
        <f>IF($B120="","",IF(V$3=0,"n.b.",INDEX(SRC_Woningetalage!$A$1:$ZZ$501,$A120,V$3)))</f>
        <v/>
      </c>
      <c r="W120" s="124" t="str">
        <f>IF($B120="","",IF(W$3=0,"n.b.",INDEX(SRC_Woningetalage!$A$1:$ZZ$501,$A120,W$3)))</f>
        <v/>
      </c>
      <c r="X120" s="124" t="str">
        <f>IF($B120="","",IF(X$3=0,"n.b.",INDEX(SRC_Woningetalage!$A$1:$ZZ$501,$A120,X$3)))</f>
        <v/>
      </c>
      <c r="Y120" s="124" t="str">
        <f>IF($B120="","",IF(Y$3=0,"n.b.",INDEX(SRC_Woningetalage!$A$1:$ZZ$501,$A120,Y$3)))</f>
        <v/>
      </c>
      <c r="Z120" s="124" t="str">
        <f>IF($B120="","",IF(Z$3=0,"n.b.",INDEX(SRC_Woningetalage!$A$1:$ZZ$501,$A120,Z$3)))</f>
        <v/>
      </c>
      <c r="AA120" s="124" t="str">
        <f>IF($B120="","",IF(AA$3=0,"n.b.",INDEX(SRC_Woningetalage!$A$1:$ZZ$501,$A120,AA$3)))</f>
        <v/>
      </c>
      <c r="AB120" s="124" t="str">
        <f>IF($B120="","",IF(AB$3=0,"n.b.",INDEX(SRC_Woningetalage!$A$1:$ZZ$501,$A120,AB$3)))</f>
        <v/>
      </c>
      <c r="AC120" s="124" t="str">
        <f>IF($B120="","",IF(AC$3=0,"n.b.",INDEX(SRC_Woningetalage!$A$1:$ZZ$501,$A120,AC$3)))</f>
        <v/>
      </c>
      <c r="AD120" s="124" t="str">
        <f>IF($B120="","",IF(AD$3=0,"n.b.",INDEX(SRC_Woningetalage!$A$1:$ZZ$501,$A120,AD$3)))</f>
        <v/>
      </c>
      <c r="AE120" s="124" t="str">
        <f>IF($B120="","",IF(AE$3=0,"n.b.",INDEX(SRC_Woningetalage!$A$1:$ZZ$501,$A120,AE$3)))</f>
        <v/>
      </c>
      <c r="AF120" s="124" t="str">
        <f>IF($B120="","",IF(AF$3=0,"n.b.",INDEX(SRC_Woningetalage!$A$1:$ZZ$501,$A120,AF$3)))</f>
        <v/>
      </c>
      <c r="AG120" s="124" t="str">
        <f>IF($B120="","",IF(AG$3=0,"n.b.",INDEX(SRC_Woningetalage!$A$1:$ZZ$501,$A120,AG$3)))</f>
        <v/>
      </c>
      <c r="AH120" s="124" t="str">
        <f>IF($B120="","",IF(AH$3=0,"n.b.",INDEX(SRC_Woningetalage!$A$1:$ZZ$501,$A120,AH$3)))</f>
        <v/>
      </c>
      <c r="AI120" s="124" t="str">
        <f>IF($B120="","",IF(AI$3=0,"n.b.",INDEX(SRC_Woningetalage!$A$1:$ZZ$501,$A120,AI$3)))</f>
        <v/>
      </c>
      <c r="AJ120" s="124" t="str">
        <f>IF($B120="","",IF(AJ$3=0,"n.b.",INDEX(SRC_Woningetalage!$A$1:$ZZ$501,$A120,AJ$3)))</f>
        <v/>
      </c>
      <c r="AK120" s="124" t="str">
        <f>IF($B120="","",IF(AK$3=0,"n.b.",INDEX(SRC_Woningetalage!$A$1:$ZZ$501,$A120,AK$3)))</f>
        <v/>
      </c>
      <c r="AL120" s="124" t="str">
        <f>IF($B120="","",IF(AL$3=0,"n.b.",INDEX(SRC_Woningetalage!$A$1:$ZZ$501,$A120,AL$3)))</f>
        <v/>
      </c>
      <c r="AM120" s="124" t="str">
        <f>IF($B120="","",IF(AM$3=0,"n.b.",INDEX(SRC_Woningetalage!$A$1:$ZZ$501,$A120,AM$3)))</f>
        <v/>
      </c>
      <c r="AN120" s="124" t="str">
        <f>IF($B120="","",IF(AN$3=0,"n.b.",INDEX(SRC_Woningetalage!$A$1:$ZZ$501,$A120,AN$3)))</f>
        <v/>
      </c>
      <c r="AO120" s="124" t="str">
        <f>IF($B120="","",IF(AO$3=0,"n.b.",INDEX(SRC_Woningetalage!$A$1:$ZZ$501,$A120,AO$3)))</f>
        <v/>
      </c>
      <c r="AP120" s="124" t="str">
        <f>IF($B120="","",IF(AP$3=0,"n.b.",INDEX(SRC_Woningetalage!$A$1:$ZZ$501,$A120,AP$3)))</f>
        <v/>
      </c>
      <c r="AQ120" s="124" t="str">
        <f>IF($B120="","",IF(AQ$3=0,"n.b.",INDEX(SRC_Woningetalage!$A$1:$ZZ$501,$A120,AQ$3)))</f>
        <v/>
      </c>
      <c r="AR120" s="124" t="str">
        <f>IF($B120="","",IF(AR$3=0,"n.b.",INDEX(SRC_Woningetalage!$A$1:$ZZ$501,$A120,AR$3)))</f>
        <v/>
      </c>
      <c r="AS120" s="124" t="str">
        <f>IF($B120="","",IF(AS$3=0,"n.b.",INDEX(SRC_Woningetalage!$A$1:$ZZ$501,$A120,AS$3)))</f>
        <v/>
      </c>
      <c r="AT120" s="124" t="str">
        <f>IF($B120="","",IF(AT$3=0,"n.b.",INDEX(SRC_Woningetalage!$A$1:$ZZ$501,$A120,AT$3)))</f>
        <v/>
      </c>
      <c r="AU120" s="124" t="str">
        <f>IF($B120="","",IF(AU$3=0,"n.b.",INDEX(SRC_Woningetalage!$A$1:$ZZ$501,$A120,AU$3)))</f>
        <v/>
      </c>
      <c r="AV120" s="124" t="str">
        <f>IF($B120="","",IF(AV$3=0,"n.b.",INDEX(SRC_Woningetalage!$A$1:$ZZ$501,$A120,AV$3)))</f>
        <v/>
      </c>
      <c r="AW120" s="124" t="str">
        <f>IF($B120="","",IF(AW$3=0,"n.b.",INDEX(SRC_Woningetalage!$A$1:$ZZ$501,$A120,AW$3)))</f>
        <v/>
      </c>
      <c r="AX120" s="124" t="str">
        <f>IF($B120="","",IF(AX$3=0,"n.b.",INDEX(SRC_Woningetalage!$A$1:$ZZ$501,$A120,AX$3)))</f>
        <v/>
      </c>
      <c r="AY120" s="124" t="str">
        <f>IF($B120="","",IF(AY$3=0,"n.b.",INDEX(SRC_Woningetalage!$A$1:$ZZ$501,$A120,AY$3)))</f>
        <v/>
      </c>
      <c r="AZ120" s="124" t="str">
        <f>IF($B120="","",IF(AZ$3=0,"n.b.",INDEX(SRC_Woningetalage!$A$1:$ZZ$501,$A120,AZ$3)))</f>
        <v/>
      </c>
      <c r="BA120" s="124" t="str">
        <f>IF($B120="","",IF(BA$3=0,"n.b.",INDEX(SRC_Woningetalage!$A$1:$ZZ$501,$A120,BA$3)))</f>
        <v/>
      </c>
      <c r="BB120" s="124" t="str">
        <f>IF($B120="","",IF(BB$3=0,"n.b.",INDEX(SRC_Woningetalage!$A$1:$ZZ$501,$A120,BB$3)))</f>
        <v/>
      </c>
      <c r="BC120" s="124" t="str">
        <f>IF($B120="","",IFERROR(_xlfn.NUMBERVALUE(E120&amp;"",",","."),"n.b."))</f>
        <v/>
      </c>
      <c r="BD120" s="124" t="str">
        <f>IF($B120="","",IFERROR(_xlfn.NUMBERVALUE(M120&amp;"",",","."),"n.b."))</f>
        <v/>
      </c>
      <c r="BE120" s="124" t="str">
        <f>IF($B120="","",IFERROR(AB120+AC120+AD120,"n.b."))</f>
        <v/>
      </c>
      <c r="BF120" s="124" t="str">
        <f>IF($B120="","",IFERROR(AE120+AF120+AG120,"n.b."))</f>
        <v/>
      </c>
      <c r="BG120" s="124" t="str">
        <f>IF($B120="","",IFERROR(AH120+AI120+AJ120,"n.b."))</f>
        <v/>
      </c>
      <c r="BH120" s="124" t="str">
        <f>IF($B120="","",IFERROR(AK120+AL120+AM120,"n.b."))</f>
        <v/>
      </c>
      <c r="BI120" s="124" t="str">
        <f>IF($B120="","",IFERROR(SUMIF($AB$5:$AM$5,"&lt;="&amp;P_PeilMaand,AB120:AM120),"n.b."))</f>
        <v/>
      </c>
      <c r="BJ120" s="124" t="str">
        <f>IF($B120="","",IFERROR(SUM(AB120:AM120)-BI120,"n.b."))</f>
        <v/>
      </c>
      <c r="BK120" s="124" t="str">
        <f>IF($B120="","",IFERROR(IF(ABS(Q120-(T120+SUM(AB120:AM120)+AS120+AU120))&gt;P_Tol,1,0),1))</f>
        <v/>
      </c>
      <c r="BL120" s="124" t="str">
        <f>IF($B120="","",IFERROR(IF(ABS(AA120-(Q120-Z120))&gt;P_Tol,1,0),1))</f>
        <v/>
      </c>
      <c r="BM120" s="124" t="str">
        <f>IF($B120="","",IFERROR(IF(ABS(Z120-(T120+W120))&gt;P_Tol,1,0),1))</f>
        <v/>
      </c>
      <c r="BN120" s="124" t="str">
        <f>IF($B120="","",IFERROR(IF(ABS(W120-BI120)&gt;P_Tol,1,0),1))</f>
        <v/>
      </c>
      <c r="BO120" s="124" t="str">
        <f>IF($B120="","",IFERROR(IF(OR(ABS(R120+S120-T120)&gt;P_Tol,ABS(U120+V120-W120)&gt;P_Tol,ABS(X120+Y120-Z120)&gt;P_Tol),1,0),1))</f>
        <v/>
      </c>
      <c r="BP120" s="124" t="str">
        <f>IF($B120="","",IFERROR(IF(OR(ABS(AR120-SUM(AB120:AM120))&gt;P_Tol,ABS(AS120-(AN120+AO120+AP120+AQ120))&gt;P_Tol),1,0),1))</f>
        <v/>
      </c>
      <c r="BQ120" s="124" t="str">
        <f>IF($B120="","",IFERROR(IF(ABS(AT120)+ABS(AV120)+ABS(AW120)+ABS(AX120)+ABS(AY120)+ABS(AZ120)+ABS(BA120)+ABS(BB120)&gt;0,1,0),1))</f>
        <v/>
      </c>
      <c r="BR120" s="124" t="str">
        <f>IF($B120="","",COUNTIF(STG_ZPMW03!$B$6:$B$505,B120))</f>
        <v/>
      </c>
      <c r="BS120" s="124" t="str">
        <f>IF($B120="","",COUNTIF($B$6:$B$505,B120))</f>
        <v/>
      </c>
      <c r="BT120" s="124" t="str">
        <f>IF($B120="","",IF(BR120=0,0,IF(INDEX(STG_ZPMW03!$I$6:$I$505,MATCH(B120,STG_ZPMW03!$B$6:$B$505,0))=J120&amp;"",0,1)))</f>
        <v/>
      </c>
      <c r="BU120" s="124" t="str">
        <f>IF($B120="","",IFERROR(IF(ABS(INDEX(Mapping!$D$5:$D$104,MATCH(B120,Mapping!$A$5:$A$104,0))-Q120)&gt;P_Tol,1,0),0))</f>
        <v/>
      </c>
      <c r="BV120" s="124" t="str">
        <f>IF($B120="","",IFERROR(IF(AND(INDEX(Mapping!$G$5:$G$104,MATCH(B120,Mapping!$A$5:$A$104,0))="Nee",ABS(Q120)+ABS(Z120)+ABS(AR120)&gt;0),1,0),0))</f>
        <v/>
      </c>
      <c r="BW120" s="124" t="str">
        <f>IF($B120="","",IF(COUNTIF(Mapping!$A$5:$A$104,B120)&gt;0,1,0))</f>
        <v/>
      </c>
      <c r="BX120" s="124" t="str">
        <f>IF($B120="","",IF(BR120=0,COUNTIF($BR$6:BR120,0),""))</f>
        <v/>
      </c>
    </row>
    <row r="121">
      <c r="A121" s="15" t="n">
        <v>117</v>
      </c>
      <c r="B121" t="str">
        <f>IF(B$3=0,"",IF(INDEX(SRC_Woningetalage!$A$1:$ZZ$501,$A121,B$3)&amp;""="","",INDEX(SRC_Woningetalage!$A$1:$ZZ$501,$A121,B$3)&amp;""))</f>
        <v/>
      </c>
      <c r="C121" t="str">
        <f>IF($B121="","",IF(C$3=0,"n.b.",INDEX(SRC_Woningetalage!$A$1:$ZZ$501,$A121,C$3)))</f>
        <v/>
      </c>
      <c r="D121" t="str">
        <f>IF($B121="","",IF(D$3=0,"n.b.",INDEX(SRC_Woningetalage!$A$1:$ZZ$501,$A121,D$3)))</f>
        <v/>
      </c>
      <c r="E121" t="str">
        <f>IF($B121="","",IF(E$3=0,"n.b.",INDEX(SRC_Woningetalage!$A$1:$ZZ$501,$A121,E$3)))</f>
        <v/>
      </c>
      <c r="F121" t="str">
        <f>IF($B121="","",IF(F$3=0,"n.b.",INDEX(SRC_Woningetalage!$A$1:$ZZ$501,$A121,F$3)))</f>
        <v/>
      </c>
      <c r="G121" t="str">
        <f>IF($B121="","",IF(G$3=0,"n.b.",INDEX(SRC_Woningetalage!$A$1:$ZZ$501,$A121,G$3)))</f>
        <v/>
      </c>
      <c r="H121" t="str">
        <f>IF($B121="","",IF(H$3=0,"n.b.",INDEX(SRC_Woningetalage!$A$1:$ZZ$501,$A121,H$3)))</f>
        <v/>
      </c>
      <c r="I121" t="str">
        <f>IF($B121="","",IF(I$3=0,"n.b.",INDEX(SRC_Woningetalage!$A$1:$ZZ$501,$A121,I$3)))</f>
        <v/>
      </c>
      <c r="J121" t="str">
        <f>IF($B121="","",IF(J$3=0,"n.b.",INDEX(SRC_Woningetalage!$A$1:$ZZ$501,$A121,J$3)))</f>
        <v/>
      </c>
      <c r="K121" t="str">
        <f>IF($B121="","",IF(K$3=0,"n.b.",INDEX(SRC_Woningetalage!$A$1:$ZZ$501,$A121,K$3)))</f>
        <v/>
      </c>
      <c r="L121" t="str">
        <f>IF($B121="","",IF(L$3=0,"n.b.",INDEX(SRC_Woningetalage!$A$1:$ZZ$501,$A121,L$3)))</f>
        <v/>
      </c>
      <c r="M121" t="str">
        <f>IF($B121="","",IF(M$3=0,"n.b.",INDEX(SRC_Woningetalage!$A$1:$ZZ$501,$A121,M$3)))</f>
        <v/>
      </c>
      <c r="N121" t="str">
        <f>IF($B121="","",IF(N$3=0,"n.b.",INDEX(SRC_Woningetalage!$A$1:$ZZ$501,$A121,N$3)))</f>
        <v/>
      </c>
      <c r="O121" t="str">
        <f>IF($B121="","",IF(O$3=0,"n.b.",INDEX(SRC_Woningetalage!$A$1:$ZZ$501,$A121,O$3)))</f>
        <v/>
      </c>
      <c r="P121" t="str">
        <f>IF($B121="","",IF(P$3=0,"n.b.",INDEX(SRC_Woningetalage!$A$1:$ZZ$501,$A121,P$3)))</f>
        <v/>
      </c>
      <c r="Q121" s="124" t="str">
        <f>IF($B121="","",IF(Q$3=0,"n.b.",INDEX(SRC_Woningetalage!$A$1:$ZZ$501,$A121,Q$3)))</f>
        <v/>
      </c>
      <c r="R121" s="124" t="str">
        <f>IF($B121="","",IF(R$3=0,"n.b.",INDEX(SRC_Woningetalage!$A$1:$ZZ$501,$A121,R$3)))</f>
        <v/>
      </c>
      <c r="S121" s="124" t="str">
        <f>IF($B121="","",IF(S$3=0,"n.b.",INDEX(SRC_Woningetalage!$A$1:$ZZ$501,$A121,S$3)))</f>
        <v/>
      </c>
      <c r="T121" s="124" t="str">
        <f>IF($B121="","",IF(T$3=0,"n.b.",INDEX(SRC_Woningetalage!$A$1:$ZZ$501,$A121,T$3)))</f>
        <v/>
      </c>
      <c r="U121" s="124" t="str">
        <f>IF($B121="","",IF(U$3=0,"n.b.",INDEX(SRC_Woningetalage!$A$1:$ZZ$501,$A121,U$3)))</f>
        <v/>
      </c>
      <c r="V121" s="124" t="str">
        <f>IF($B121="","",IF(V$3=0,"n.b.",INDEX(SRC_Woningetalage!$A$1:$ZZ$501,$A121,V$3)))</f>
        <v/>
      </c>
      <c r="W121" s="124" t="str">
        <f>IF($B121="","",IF(W$3=0,"n.b.",INDEX(SRC_Woningetalage!$A$1:$ZZ$501,$A121,W$3)))</f>
        <v/>
      </c>
      <c r="X121" s="124" t="str">
        <f>IF($B121="","",IF(X$3=0,"n.b.",INDEX(SRC_Woningetalage!$A$1:$ZZ$501,$A121,X$3)))</f>
        <v/>
      </c>
      <c r="Y121" s="124" t="str">
        <f>IF($B121="","",IF(Y$3=0,"n.b.",INDEX(SRC_Woningetalage!$A$1:$ZZ$501,$A121,Y$3)))</f>
        <v/>
      </c>
      <c r="Z121" s="124" t="str">
        <f>IF($B121="","",IF(Z$3=0,"n.b.",INDEX(SRC_Woningetalage!$A$1:$ZZ$501,$A121,Z$3)))</f>
        <v/>
      </c>
      <c r="AA121" s="124" t="str">
        <f>IF($B121="","",IF(AA$3=0,"n.b.",INDEX(SRC_Woningetalage!$A$1:$ZZ$501,$A121,AA$3)))</f>
        <v/>
      </c>
      <c r="AB121" s="124" t="str">
        <f>IF($B121="","",IF(AB$3=0,"n.b.",INDEX(SRC_Woningetalage!$A$1:$ZZ$501,$A121,AB$3)))</f>
        <v/>
      </c>
      <c r="AC121" s="124" t="str">
        <f>IF($B121="","",IF(AC$3=0,"n.b.",INDEX(SRC_Woningetalage!$A$1:$ZZ$501,$A121,AC$3)))</f>
        <v/>
      </c>
      <c r="AD121" s="124" t="str">
        <f>IF($B121="","",IF(AD$3=0,"n.b.",INDEX(SRC_Woningetalage!$A$1:$ZZ$501,$A121,AD$3)))</f>
        <v/>
      </c>
      <c r="AE121" s="124" t="str">
        <f>IF($B121="","",IF(AE$3=0,"n.b.",INDEX(SRC_Woningetalage!$A$1:$ZZ$501,$A121,AE$3)))</f>
        <v/>
      </c>
      <c r="AF121" s="124" t="str">
        <f>IF($B121="","",IF(AF$3=0,"n.b.",INDEX(SRC_Woningetalage!$A$1:$ZZ$501,$A121,AF$3)))</f>
        <v/>
      </c>
      <c r="AG121" s="124" t="str">
        <f>IF($B121="","",IF(AG$3=0,"n.b.",INDEX(SRC_Woningetalage!$A$1:$ZZ$501,$A121,AG$3)))</f>
        <v/>
      </c>
      <c r="AH121" s="124" t="str">
        <f>IF($B121="","",IF(AH$3=0,"n.b.",INDEX(SRC_Woningetalage!$A$1:$ZZ$501,$A121,AH$3)))</f>
        <v/>
      </c>
      <c r="AI121" s="124" t="str">
        <f>IF($B121="","",IF(AI$3=0,"n.b.",INDEX(SRC_Woningetalage!$A$1:$ZZ$501,$A121,AI$3)))</f>
        <v/>
      </c>
      <c r="AJ121" s="124" t="str">
        <f>IF($B121="","",IF(AJ$3=0,"n.b.",INDEX(SRC_Woningetalage!$A$1:$ZZ$501,$A121,AJ$3)))</f>
        <v/>
      </c>
      <c r="AK121" s="124" t="str">
        <f>IF($B121="","",IF(AK$3=0,"n.b.",INDEX(SRC_Woningetalage!$A$1:$ZZ$501,$A121,AK$3)))</f>
        <v/>
      </c>
      <c r="AL121" s="124" t="str">
        <f>IF($B121="","",IF(AL$3=0,"n.b.",INDEX(SRC_Woningetalage!$A$1:$ZZ$501,$A121,AL$3)))</f>
        <v/>
      </c>
      <c r="AM121" s="124" t="str">
        <f>IF($B121="","",IF(AM$3=0,"n.b.",INDEX(SRC_Woningetalage!$A$1:$ZZ$501,$A121,AM$3)))</f>
        <v/>
      </c>
      <c r="AN121" s="124" t="str">
        <f>IF($B121="","",IF(AN$3=0,"n.b.",INDEX(SRC_Woningetalage!$A$1:$ZZ$501,$A121,AN$3)))</f>
        <v/>
      </c>
      <c r="AO121" s="124" t="str">
        <f>IF($B121="","",IF(AO$3=0,"n.b.",INDEX(SRC_Woningetalage!$A$1:$ZZ$501,$A121,AO$3)))</f>
        <v/>
      </c>
      <c r="AP121" s="124" t="str">
        <f>IF($B121="","",IF(AP$3=0,"n.b.",INDEX(SRC_Woningetalage!$A$1:$ZZ$501,$A121,AP$3)))</f>
        <v/>
      </c>
      <c r="AQ121" s="124" t="str">
        <f>IF($B121="","",IF(AQ$3=0,"n.b.",INDEX(SRC_Woningetalage!$A$1:$ZZ$501,$A121,AQ$3)))</f>
        <v/>
      </c>
      <c r="AR121" s="124" t="str">
        <f>IF($B121="","",IF(AR$3=0,"n.b.",INDEX(SRC_Woningetalage!$A$1:$ZZ$501,$A121,AR$3)))</f>
        <v/>
      </c>
      <c r="AS121" s="124" t="str">
        <f>IF($B121="","",IF(AS$3=0,"n.b.",INDEX(SRC_Woningetalage!$A$1:$ZZ$501,$A121,AS$3)))</f>
        <v/>
      </c>
      <c r="AT121" s="124" t="str">
        <f>IF($B121="","",IF(AT$3=0,"n.b.",INDEX(SRC_Woningetalage!$A$1:$ZZ$501,$A121,AT$3)))</f>
        <v/>
      </c>
      <c r="AU121" s="124" t="str">
        <f>IF($B121="","",IF(AU$3=0,"n.b.",INDEX(SRC_Woningetalage!$A$1:$ZZ$501,$A121,AU$3)))</f>
        <v/>
      </c>
      <c r="AV121" s="124" t="str">
        <f>IF($B121="","",IF(AV$3=0,"n.b.",INDEX(SRC_Woningetalage!$A$1:$ZZ$501,$A121,AV$3)))</f>
        <v/>
      </c>
      <c r="AW121" s="124" t="str">
        <f>IF($B121="","",IF(AW$3=0,"n.b.",INDEX(SRC_Woningetalage!$A$1:$ZZ$501,$A121,AW$3)))</f>
        <v/>
      </c>
      <c r="AX121" s="124" t="str">
        <f>IF($B121="","",IF(AX$3=0,"n.b.",INDEX(SRC_Woningetalage!$A$1:$ZZ$501,$A121,AX$3)))</f>
        <v/>
      </c>
      <c r="AY121" s="124" t="str">
        <f>IF($B121="","",IF(AY$3=0,"n.b.",INDEX(SRC_Woningetalage!$A$1:$ZZ$501,$A121,AY$3)))</f>
        <v/>
      </c>
      <c r="AZ121" s="124" t="str">
        <f>IF($B121="","",IF(AZ$3=0,"n.b.",INDEX(SRC_Woningetalage!$A$1:$ZZ$501,$A121,AZ$3)))</f>
        <v/>
      </c>
      <c r="BA121" s="124" t="str">
        <f>IF($B121="","",IF(BA$3=0,"n.b.",INDEX(SRC_Woningetalage!$A$1:$ZZ$501,$A121,BA$3)))</f>
        <v/>
      </c>
      <c r="BB121" s="124" t="str">
        <f>IF($B121="","",IF(BB$3=0,"n.b.",INDEX(SRC_Woningetalage!$A$1:$ZZ$501,$A121,BB$3)))</f>
        <v/>
      </c>
      <c r="BC121" s="124" t="str">
        <f>IF($B121="","",IFERROR(_xlfn.NUMBERVALUE(E121&amp;"",",","."),"n.b."))</f>
        <v/>
      </c>
      <c r="BD121" s="124" t="str">
        <f>IF($B121="","",IFERROR(_xlfn.NUMBERVALUE(M121&amp;"",",","."),"n.b."))</f>
        <v/>
      </c>
      <c r="BE121" s="124" t="str">
        <f>IF($B121="","",IFERROR(AB121+AC121+AD121,"n.b."))</f>
        <v/>
      </c>
      <c r="BF121" s="124" t="str">
        <f>IF($B121="","",IFERROR(AE121+AF121+AG121,"n.b."))</f>
        <v/>
      </c>
      <c r="BG121" s="124" t="str">
        <f>IF($B121="","",IFERROR(AH121+AI121+AJ121,"n.b."))</f>
        <v/>
      </c>
      <c r="BH121" s="124" t="str">
        <f>IF($B121="","",IFERROR(AK121+AL121+AM121,"n.b."))</f>
        <v/>
      </c>
      <c r="BI121" s="124" t="str">
        <f>IF($B121="","",IFERROR(SUMIF($AB$5:$AM$5,"&lt;="&amp;P_PeilMaand,AB121:AM121),"n.b."))</f>
        <v/>
      </c>
      <c r="BJ121" s="124" t="str">
        <f>IF($B121="","",IFERROR(SUM(AB121:AM121)-BI121,"n.b."))</f>
        <v/>
      </c>
      <c r="BK121" s="124" t="str">
        <f>IF($B121="","",IFERROR(IF(ABS(Q121-(T121+SUM(AB121:AM121)+AS121+AU121))&gt;P_Tol,1,0),1))</f>
        <v/>
      </c>
      <c r="BL121" s="124" t="str">
        <f>IF($B121="","",IFERROR(IF(ABS(AA121-(Q121-Z121))&gt;P_Tol,1,0),1))</f>
        <v/>
      </c>
      <c r="BM121" s="124" t="str">
        <f>IF($B121="","",IFERROR(IF(ABS(Z121-(T121+W121))&gt;P_Tol,1,0),1))</f>
        <v/>
      </c>
      <c r="BN121" s="124" t="str">
        <f>IF($B121="","",IFERROR(IF(ABS(W121-BI121)&gt;P_Tol,1,0),1))</f>
        <v/>
      </c>
      <c r="BO121" s="124" t="str">
        <f>IF($B121="","",IFERROR(IF(OR(ABS(R121+S121-T121)&gt;P_Tol,ABS(U121+V121-W121)&gt;P_Tol,ABS(X121+Y121-Z121)&gt;P_Tol),1,0),1))</f>
        <v/>
      </c>
      <c r="BP121" s="124" t="str">
        <f>IF($B121="","",IFERROR(IF(OR(ABS(AR121-SUM(AB121:AM121))&gt;P_Tol,ABS(AS121-(AN121+AO121+AP121+AQ121))&gt;P_Tol),1,0),1))</f>
        <v/>
      </c>
      <c r="BQ121" s="124" t="str">
        <f>IF($B121="","",IFERROR(IF(ABS(AT121)+ABS(AV121)+ABS(AW121)+ABS(AX121)+ABS(AY121)+ABS(AZ121)+ABS(BA121)+ABS(BB121)&gt;0,1,0),1))</f>
        <v/>
      </c>
      <c r="BR121" s="124" t="str">
        <f>IF($B121="","",COUNTIF(STG_ZPMW03!$B$6:$B$505,B121))</f>
        <v/>
      </c>
      <c r="BS121" s="124" t="str">
        <f>IF($B121="","",COUNTIF($B$6:$B$505,B121))</f>
        <v/>
      </c>
      <c r="BT121" s="124" t="str">
        <f>IF($B121="","",IF(BR121=0,0,IF(INDEX(STG_ZPMW03!$I$6:$I$505,MATCH(B121,STG_ZPMW03!$B$6:$B$505,0))=J121&amp;"",0,1)))</f>
        <v/>
      </c>
      <c r="BU121" s="124" t="str">
        <f>IF($B121="","",IFERROR(IF(ABS(INDEX(Mapping!$D$5:$D$104,MATCH(B121,Mapping!$A$5:$A$104,0))-Q121)&gt;P_Tol,1,0),0))</f>
        <v/>
      </c>
      <c r="BV121" s="124" t="str">
        <f>IF($B121="","",IFERROR(IF(AND(INDEX(Mapping!$G$5:$G$104,MATCH(B121,Mapping!$A$5:$A$104,0))="Nee",ABS(Q121)+ABS(Z121)+ABS(AR121)&gt;0),1,0),0))</f>
        <v/>
      </c>
      <c r="BW121" s="124" t="str">
        <f>IF($B121="","",IF(COUNTIF(Mapping!$A$5:$A$104,B121)&gt;0,1,0))</f>
        <v/>
      </c>
      <c r="BX121" s="124" t="str">
        <f>IF($B121="","",IF(BR121=0,COUNTIF($BR$6:BR121,0),""))</f>
        <v/>
      </c>
    </row>
    <row r="122">
      <c r="A122" s="15" t="n">
        <v>118</v>
      </c>
      <c r="B122" t="str">
        <f>IF(B$3=0,"",IF(INDEX(SRC_Woningetalage!$A$1:$ZZ$501,$A122,B$3)&amp;""="","",INDEX(SRC_Woningetalage!$A$1:$ZZ$501,$A122,B$3)&amp;""))</f>
        <v/>
      </c>
      <c r="C122" t="str">
        <f>IF($B122="","",IF(C$3=0,"n.b.",INDEX(SRC_Woningetalage!$A$1:$ZZ$501,$A122,C$3)))</f>
        <v/>
      </c>
      <c r="D122" t="str">
        <f>IF($B122="","",IF(D$3=0,"n.b.",INDEX(SRC_Woningetalage!$A$1:$ZZ$501,$A122,D$3)))</f>
        <v/>
      </c>
      <c r="E122" t="str">
        <f>IF($B122="","",IF(E$3=0,"n.b.",INDEX(SRC_Woningetalage!$A$1:$ZZ$501,$A122,E$3)))</f>
        <v/>
      </c>
      <c r="F122" t="str">
        <f>IF($B122="","",IF(F$3=0,"n.b.",INDEX(SRC_Woningetalage!$A$1:$ZZ$501,$A122,F$3)))</f>
        <v/>
      </c>
      <c r="G122" t="str">
        <f>IF($B122="","",IF(G$3=0,"n.b.",INDEX(SRC_Woningetalage!$A$1:$ZZ$501,$A122,G$3)))</f>
        <v/>
      </c>
      <c r="H122" t="str">
        <f>IF($B122="","",IF(H$3=0,"n.b.",INDEX(SRC_Woningetalage!$A$1:$ZZ$501,$A122,H$3)))</f>
        <v/>
      </c>
      <c r="I122" t="str">
        <f>IF($B122="","",IF(I$3=0,"n.b.",INDEX(SRC_Woningetalage!$A$1:$ZZ$501,$A122,I$3)))</f>
        <v/>
      </c>
      <c r="J122" t="str">
        <f>IF($B122="","",IF(J$3=0,"n.b.",INDEX(SRC_Woningetalage!$A$1:$ZZ$501,$A122,J$3)))</f>
        <v/>
      </c>
      <c r="K122" t="str">
        <f>IF($B122="","",IF(K$3=0,"n.b.",INDEX(SRC_Woningetalage!$A$1:$ZZ$501,$A122,K$3)))</f>
        <v/>
      </c>
      <c r="L122" t="str">
        <f>IF($B122="","",IF(L$3=0,"n.b.",INDEX(SRC_Woningetalage!$A$1:$ZZ$501,$A122,L$3)))</f>
        <v/>
      </c>
      <c r="M122" t="str">
        <f>IF($B122="","",IF(M$3=0,"n.b.",INDEX(SRC_Woningetalage!$A$1:$ZZ$501,$A122,M$3)))</f>
        <v/>
      </c>
      <c r="N122" t="str">
        <f>IF($B122="","",IF(N$3=0,"n.b.",INDEX(SRC_Woningetalage!$A$1:$ZZ$501,$A122,N$3)))</f>
        <v/>
      </c>
      <c r="O122" t="str">
        <f>IF($B122="","",IF(O$3=0,"n.b.",INDEX(SRC_Woningetalage!$A$1:$ZZ$501,$A122,O$3)))</f>
        <v/>
      </c>
      <c r="P122" t="str">
        <f>IF($B122="","",IF(P$3=0,"n.b.",INDEX(SRC_Woningetalage!$A$1:$ZZ$501,$A122,P$3)))</f>
        <v/>
      </c>
      <c r="Q122" s="124" t="str">
        <f>IF($B122="","",IF(Q$3=0,"n.b.",INDEX(SRC_Woningetalage!$A$1:$ZZ$501,$A122,Q$3)))</f>
        <v/>
      </c>
      <c r="R122" s="124" t="str">
        <f>IF($B122="","",IF(R$3=0,"n.b.",INDEX(SRC_Woningetalage!$A$1:$ZZ$501,$A122,R$3)))</f>
        <v/>
      </c>
      <c r="S122" s="124" t="str">
        <f>IF($B122="","",IF(S$3=0,"n.b.",INDEX(SRC_Woningetalage!$A$1:$ZZ$501,$A122,S$3)))</f>
        <v/>
      </c>
      <c r="T122" s="124" t="str">
        <f>IF($B122="","",IF(T$3=0,"n.b.",INDEX(SRC_Woningetalage!$A$1:$ZZ$501,$A122,T$3)))</f>
        <v/>
      </c>
      <c r="U122" s="124" t="str">
        <f>IF($B122="","",IF(U$3=0,"n.b.",INDEX(SRC_Woningetalage!$A$1:$ZZ$501,$A122,U$3)))</f>
        <v/>
      </c>
      <c r="V122" s="124" t="str">
        <f>IF($B122="","",IF(V$3=0,"n.b.",INDEX(SRC_Woningetalage!$A$1:$ZZ$501,$A122,V$3)))</f>
        <v/>
      </c>
      <c r="W122" s="124" t="str">
        <f>IF($B122="","",IF(W$3=0,"n.b.",INDEX(SRC_Woningetalage!$A$1:$ZZ$501,$A122,W$3)))</f>
        <v/>
      </c>
      <c r="X122" s="124" t="str">
        <f>IF($B122="","",IF(X$3=0,"n.b.",INDEX(SRC_Woningetalage!$A$1:$ZZ$501,$A122,X$3)))</f>
        <v/>
      </c>
      <c r="Y122" s="124" t="str">
        <f>IF($B122="","",IF(Y$3=0,"n.b.",INDEX(SRC_Woningetalage!$A$1:$ZZ$501,$A122,Y$3)))</f>
        <v/>
      </c>
      <c r="Z122" s="124" t="str">
        <f>IF($B122="","",IF(Z$3=0,"n.b.",INDEX(SRC_Woningetalage!$A$1:$ZZ$501,$A122,Z$3)))</f>
        <v/>
      </c>
      <c r="AA122" s="124" t="str">
        <f>IF($B122="","",IF(AA$3=0,"n.b.",INDEX(SRC_Woningetalage!$A$1:$ZZ$501,$A122,AA$3)))</f>
        <v/>
      </c>
      <c r="AB122" s="124" t="str">
        <f>IF($B122="","",IF(AB$3=0,"n.b.",INDEX(SRC_Woningetalage!$A$1:$ZZ$501,$A122,AB$3)))</f>
        <v/>
      </c>
      <c r="AC122" s="124" t="str">
        <f>IF($B122="","",IF(AC$3=0,"n.b.",INDEX(SRC_Woningetalage!$A$1:$ZZ$501,$A122,AC$3)))</f>
        <v/>
      </c>
      <c r="AD122" s="124" t="str">
        <f>IF($B122="","",IF(AD$3=0,"n.b.",INDEX(SRC_Woningetalage!$A$1:$ZZ$501,$A122,AD$3)))</f>
        <v/>
      </c>
      <c r="AE122" s="124" t="str">
        <f>IF($B122="","",IF(AE$3=0,"n.b.",INDEX(SRC_Woningetalage!$A$1:$ZZ$501,$A122,AE$3)))</f>
        <v/>
      </c>
      <c r="AF122" s="124" t="str">
        <f>IF($B122="","",IF(AF$3=0,"n.b.",INDEX(SRC_Woningetalage!$A$1:$ZZ$501,$A122,AF$3)))</f>
        <v/>
      </c>
      <c r="AG122" s="124" t="str">
        <f>IF($B122="","",IF(AG$3=0,"n.b.",INDEX(SRC_Woningetalage!$A$1:$ZZ$501,$A122,AG$3)))</f>
        <v/>
      </c>
      <c r="AH122" s="124" t="str">
        <f>IF($B122="","",IF(AH$3=0,"n.b.",INDEX(SRC_Woningetalage!$A$1:$ZZ$501,$A122,AH$3)))</f>
        <v/>
      </c>
      <c r="AI122" s="124" t="str">
        <f>IF($B122="","",IF(AI$3=0,"n.b.",INDEX(SRC_Woningetalage!$A$1:$ZZ$501,$A122,AI$3)))</f>
        <v/>
      </c>
      <c r="AJ122" s="124" t="str">
        <f>IF($B122="","",IF(AJ$3=0,"n.b.",INDEX(SRC_Woningetalage!$A$1:$ZZ$501,$A122,AJ$3)))</f>
        <v/>
      </c>
      <c r="AK122" s="124" t="str">
        <f>IF($B122="","",IF(AK$3=0,"n.b.",INDEX(SRC_Woningetalage!$A$1:$ZZ$501,$A122,AK$3)))</f>
        <v/>
      </c>
      <c r="AL122" s="124" t="str">
        <f>IF($B122="","",IF(AL$3=0,"n.b.",INDEX(SRC_Woningetalage!$A$1:$ZZ$501,$A122,AL$3)))</f>
        <v/>
      </c>
      <c r="AM122" s="124" t="str">
        <f>IF($B122="","",IF(AM$3=0,"n.b.",INDEX(SRC_Woningetalage!$A$1:$ZZ$501,$A122,AM$3)))</f>
        <v/>
      </c>
      <c r="AN122" s="124" t="str">
        <f>IF($B122="","",IF(AN$3=0,"n.b.",INDEX(SRC_Woningetalage!$A$1:$ZZ$501,$A122,AN$3)))</f>
        <v/>
      </c>
      <c r="AO122" s="124" t="str">
        <f>IF($B122="","",IF(AO$3=0,"n.b.",INDEX(SRC_Woningetalage!$A$1:$ZZ$501,$A122,AO$3)))</f>
        <v/>
      </c>
      <c r="AP122" s="124" t="str">
        <f>IF($B122="","",IF(AP$3=0,"n.b.",INDEX(SRC_Woningetalage!$A$1:$ZZ$501,$A122,AP$3)))</f>
        <v/>
      </c>
      <c r="AQ122" s="124" t="str">
        <f>IF($B122="","",IF(AQ$3=0,"n.b.",INDEX(SRC_Woningetalage!$A$1:$ZZ$501,$A122,AQ$3)))</f>
        <v/>
      </c>
      <c r="AR122" s="124" t="str">
        <f>IF($B122="","",IF(AR$3=0,"n.b.",INDEX(SRC_Woningetalage!$A$1:$ZZ$501,$A122,AR$3)))</f>
        <v/>
      </c>
      <c r="AS122" s="124" t="str">
        <f>IF($B122="","",IF(AS$3=0,"n.b.",INDEX(SRC_Woningetalage!$A$1:$ZZ$501,$A122,AS$3)))</f>
        <v/>
      </c>
      <c r="AT122" s="124" t="str">
        <f>IF($B122="","",IF(AT$3=0,"n.b.",INDEX(SRC_Woningetalage!$A$1:$ZZ$501,$A122,AT$3)))</f>
        <v/>
      </c>
      <c r="AU122" s="124" t="str">
        <f>IF($B122="","",IF(AU$3=0,"n.b.",INDEX(SRC_Woningetalage!$A$1:$ZZ$501,$A122,AU$3)))</f>
        <v/>
      </c>
      <c r="AV122" s="124" t="str">
        <f>IF($B122="","",IF(AV$3=0,"n.b.",INDEX(SRC_Woningetalage!$A$1:$ZZ$501,$A122,AV$3)))</f>
        <v/>
      </c>
      <c r="AW122" s="124" t="str">
        <f>IF($B122="","",IF(AW$3=0,"n.b.",INDEX(SRC_Woningetalage!$A$1:$ZZ$501,$A122,AW$3)))</f>
        <v/>
      </c>
      <c r="AX122" s="124" t="str">
        <f>IF($B122="","",IF(AX$3=0,"n.b.",INDEX(SRC_Woningetalage!$A$1:$ZZ$501,$A122,AX$3)))</f>
        <v/>
      </c>
      <c r="AY122" s="124" t="str">
        <f>IF($B122="","",IF(AY$3=0,"n.b.",INDEX(SRC_Woningetalage!$A$1:$ZZ$501,$A122,AY$3)))</f>
        <v/>
      </c>
      <c r="AZ122" s="124" t="str">
        <f>IF($B122="","",IF(AZ$3=0,"n.b.",INDEX(SRC_Woningetalage!$A$1:$ZZ$501,$A122,AZ$3)))</f>
        <v/>
      </c>
      <c r="BA122" s="124" t="str">
        <f>IF($B122="","",IF(BA$3=0,"n.b.",INDEX(SRC_Woningetalage!$A$1:$ZZ$501,$A122,BA$3)))</f>
        <v/>
      </c>
      <c r="BB122" s="124" t="str">
        <f>IF($B122="","",IF(BB$3=0,"n.b.",INDEX(SRC_Woningetalage!$A$1:$ZZ$501,$A122,BB$3)))</f>
        <v/>
      </c>
      <c r="BC122" s="124" t="str">
        <f>IF($B122="","",IFERROR(_xlfn.NUMBERVALUE(E122&amp;"",",","."),"n.b."))</f>
        <v/>
      </c>
      <c r="BD122" s="124" t="str">
        <f>IF($B122="","",IFERROR(_xlfn.NUMBERVALUE(M122&amp;"",",","."),"n.b."))</f>
        <v/>
      </c>
      <c r="BE122" s="124" t="str">
        <f>IF($B122="","",IFERROR(AB122+AC122+AD122,"n.b."))</f>
        <v/>
      </c>
      <c r="BF122" s="124" t="str">
        <f>IF($B122="","",IFERROR(AE122+AF122+AG122,"n.b."))</f>
        <v/>
      </c>
      <c r="BG122" s="124" t="str">
        <f>IF($B122="","",IFERROR(AH122+AI122+AJ122,"n.b."))</f>
        <v/>
      </c>
      <c r="BH122" s="124" t="str">
        <f>IF($B122="","",IFERROR(AK122+AL122+AM122,"n.b."))</f>
        <v/>
      </c>
      <c r="BI122" s="124" t="str">
        <f>IF($B122="","",IFERROR(SUMIF($AB$5:$AM$5,"&lt;="&amp;P_PeilMaand,AB122:AM122),"n.b."))</f>
        <v/>
      </c>
      <c r="BJ122" s="124" t="str">
        <f>IF($B122="","",IFERROR(SUM(AB122:AM122)-BI122,"n.b."))</f>
        <v/>
      </c>
      <c r="BK122" s="124" t="str">
        <f>IF($B122="","",IFERROR(IF(ABS(Q122-(T122+SUM(AB122:AM122)+AS122+AU122))&gt;P_Tol,1,0),1))</f>
        <v/>
      </c>
      <c r="BL122" s="124" t="str">
        <f>IF($B122="","",IFERROR(IF(ABS(AA122-(Q122-Z122))&gt;P_Tol,1,0),1))</f>
        <v/>
      </c>
      <c r="BM122" s="124" t="str">
        <f>IF($B122="","",IFERROR(IF(ABS(Z122-(T122+W122))&gt;P_Tol,1,0),1))</f>
        <v/>
      </c>
      <c r="BN122" s="124" t="str">
        <f>IF($B122="","",IFERROR(IF(ABS(W122-BI122)&gt;P_Tol,1,0),1))</f>
        <v/>
      </c>
      <c r="BO122" s="124" t="str">
        <f>IF($B122="","",IFERROR(IF(OR(ABS(R122+S122-T122)&gt;P_Tol,ABS(U122+V122-W122)&gt;P_Tol,ABS(X122+Y122-Z122)&gt;P_Tol),1,0),1))</f>
        <v/>
      </c>
      <c r="BP122" s="124" t="str">
        <f>IF($B122="","",IFERROR(IF(OR(ABS(AR122-SUM(AB122:AM122))&gt;P_Tol,ABS(AS122-(AN122+AO122+AP122+AQ122))&gt;P_Tol),1,0),1))</f>
        <v/>
      </c>
      <c r="BQ122" s="124" t="str">
        <f>IF($B122="","",IFERROR(IF(ABS(AT122)+ABS(AV122)+ABS(AW122)+ABS(AX122)+ABS(AY122)+ABS(AZ122)+ABS(BA122)+ABS(BB122)&gt;0,1,0),1))</f>
        <v/>
      </c>
      <c r="BR122" s="124" t="str">
        <f>IF($B122="","",COUNTIF(STG_ZPMW03!$B$6:$B$505,B122))</f>
        <v/>
      </c>
      <c r="BS122" s="124" t="str">
        <f>IF($B122="","",COUNTIF($B$6:$B$505,B122))</f>
        <v/>
      </c>
      <c r="BT122" s="124" t="str">
        <f>IF($B122="","",IF(BR122=0,0,IF(INDEX(STG_ZPMW03!$I$6:$I$505,MATCH(B122,STG_ZPMW03!$B$6:$B$505,0))=J122&amp;"",0,1)))</f>
        <v/>
      </c>
      <c r="BU122" s="124" t="str">
        <f>IF($B122="","",IFERROR(IF(ABS(INDEX(Mapping!$D$5:$D$104,MATCH(B122,Mapping!$A$5:$A$104,0))-Q122)&gt;P_Tol,1,0),0))</f>
        <v/>
      </c>
      <c r="BV122" s="124" t="str">
        <f>IF($B122="","",IFERROR(IF(AND(INDEX(Mapping!$G$5:$G$104,MATCH(B122,Mapping!$A$5:$A$104,0))="Nee",ABS(Q122)+ABS(Z122)+ABS(AR122)&gt;0),1,0),0))</f>
        <v/>
      </c>
      <c r="BW122" s="124" t="str">
        <f>IF($B122="","",IF(COUNTIF(Mapping!$A$5:$A$104,B122)&gt;0,1,0))</f>
        <v/>
      </c>
      <c r="BX122" s="124" t="str">
        <f>IF($B122="","",IF(BR122=0,COUNTIF($BR$6:BR122,0),""))</f>
        <v/>
      </c>
    </row>
    <row r="123">
      <c r="A123" s="15" t="n">
        <v>119</v>
      </c>
      <c r="B123" t="str">
        <f>IF(B$3=0,"",IF(INDEX(SRC_Woningetalage!$A$1:$ZZ$501,$A123,B$3)&amp;""="","",INDEX(SRC_Woningetalage!$A$1:$ZZ$501,$A123,B$3)&amp;""))</f>
        <v/>
      </c>
      <c r="C123" t="str">
        <f>IF($B123="","",IF(C$3=0,"n.b.",INDEX(SRC_Woningetalage!$A$1:$ZZ$501,$A123,C$3)))</f>
        <v/>
      </c>
      <c r="D123" t="str">
        <f>IF($B123="","",IF(D$3=0,"n.b.",INDEX(SRC_Woningetalage!$A$1:$ZZ$501,$A123,D$3)))</f>
        <v/>
      </c>
      <c r="E123" t="str">
        <f>IF($B123="","",IF(E$3=0,"n.b.",INDEX(SRC_Woningetalage!$A$1:$ZZ$501,$A123,E$3)))</f>
        <v/>
      </c>
      <c r="F123" t="str">
        <f>IF($B123="","",IF(F$3=0,"n.b.",INDEX(SRC_Woningetalage!$A$1:$ZZ$501,$A123,F$3)))</f>
        <v/>
      </c>
      <c r="G123" t="str">
        <f>IF($B123="","",IF(G$3=0,"n.b.",INDEX(SRC_Woningetalage!$A$1:$ZZ$501,$A123,G$3)))</f>
        <v/>
      </c>
      <c r="H123" t="str">
        <f>IF($B123="","",IF(H$3=0,"n.b.",INDEX(SRC_Woningetalage!$A$1:$ZZ$501,$A123,H$3)))</f>
        <v/>
      </c>
      <c r="I123" t="str">
        <f>IF($B123="","",IF(I$3=0,"n.b.",INDEX(SRC_Woningetalage!$A$1:$ZZ$501,$A123,I$3)))</f>
        <v/>
      </c>
      <c r="J123" t="str">
        <f>IF($B123="","",IF(J$3=0,"n.b.",INDEX(SRC_Woningetalage!$A$1:$ZZ$501,$A123,J$3)))</f>
        <v/>
      </c>
      <c r="K123" t="str">
        <f>IF($B123="","",IF(K$3=0,"n.b.",INDEX(SRC_Woningetalage!$A$1:$ZZ$501,$A123,K$3)))</f>
        <v/>
      </c>
      <c r="L123" t="str">
        <f>IF($B123="","",IF(L$3=0,"n.b.",INDEX(SRC_Woningetalage!$A$1:$ZZ$501,$A123,L$3)))</f>
        <v/>
      </c>
      <c r="M123" t="str">
        <f>IF($B123="","",IF(M$3=0,"n.b.",INDEX(SRC_Woningetalage!$A$1:$ZZ$501,$A123,M$3)))</f>
        <v/>
      </c>
      <c r="N123" t="str">
        <f>IF($B123="","",IF(N$3=0,"n.b.",INDEX(SRC_Woningetalage!$A$1:$ZZ$501,$A123,N$3)))</f>
        <v/>
      </c>
      <c r="O123" t="str">
        <f>IF($B123="","",IF(O$3=0,"n.b.",INDEX(SRC_Woningetalage!$A$1:$ZZ$501,$A123,O$3)))</f>
        <v/>
      </c>
      <c r="P123" t="str">
        <f>IF($B123="","",IF(P$3=0,"n.b.",INDEX(SRC_Woningetalage!$A$1:$ZZ$501,$A123,P$3)))</f>
        <v/>
      </c>
      <c r="Q123" s="124" t="str">
        <f>IF($B123="","",IF(Q$3=0,"n.b.",INDEX(SRC_Woningetalage!$A$1:$ZZ$501,$A123,Q$3)))</f>
        <v/>
      </c>
      <c r="R123" s="124" t="str">
        <f>IF($B123="","",IF(R$3=0,"n.b.",INDEX(SRC_Woningetalage!$A$1:$ZZ$501,$A123,R$3)))</f>
        <v/>
      </c>
      <c r="S123" s="124" t="str">
        <f>IF($B123="","",IF(S$3=0,"n.b.",INDEX(SRC_Woningetalage!$A$1:$ZZ$501,$A123,S$3)))</f>
        <v/>
      </c>
      <c r="T123" s="124" t="str">
        <f>IF($B123="","",IF(T$3=0,"n.b.",INDEX(SRC_Woningetalage!$A$1:$ZZ$501,$A123,T$3)))</f>
        <v/>
      </c>
      <c r="U123" s="124" t="str">
        <f>IF($B123="","",IF(U$3=0,"n.b.",INDEX(SRC_Woningetalage!$A$1:$ZZ$501,$A123,U$3)))</f>
        <v/>
      </c>
      <c r="V123" s="124" t="str">
        <f>IF($B123="","",IF(V$3=0,"n.b.",INDEX(SRC_Woningetalage!$A$1:$ZZ$501,$A123,V$3)))</f>
        <v/>
      </c>
      <c r="W123" s="124" t="str">
        <f>IF($B123="","",IF(W$3=0,"n.b.",INDEX(SRC_Woningetalage!$A$1:$ZZ$501,$A123,W$3)))</f>
        <v/>
      </c>
      <c r="X123" s="124" t="str">
        <f>IF($B123="","",IF(X$3=0,"n.b.",INDEX(SRC_Woningetalage!$A$1:$ZZ$501,$A123,X$3)))</f>
        <v/>
      </c>
      <c r="Y123" s="124" t="str">
        <f>IF($B123="","",IF(Y$3=0,"n.b.",INDEX(SRC_Woningetalage!$A$1:$ZZ$501,$A123,Y$3)))</f>
        <v/>
      </c>
      <c r="Z123" s="124" t="str">
        <f>IF($B123="","",IF(Z$3=0,"n.b.",INDEX(SRC_Woningetalage!$A$1:$ZZ$501,$A123,Z$3)))</f>
        <v/>
      </c>
      <c r="AA123" s="124" t="str">
        <f>IF($B123="","",IF(AA$3=0,"n.b.",INDEX(SRC_Woningetalage!$A$1:$ZZ$501,$A123,AA$3)))</f>
        <v/>
      </c>
      <c r="AB123" s="124" t="str">
        <f>IF($B123="","",IF(AB$3=0,"n.b.",INDEX(SRC_Woningetalage!$A$1:$ZZ$501,$A123,AB$3)))</f>
        <v/>
      </c>
      <c r="AC123" s="124" t="str">
        <f>IF($B123="","",IF(AC$3=0,"n.b.",INDEX(SRC_Woningetalage!$A$1:$ZZ$501,$A123,AC$3)))</f>
        <v/>
      </c>
      <c r="AD123" s="124" t="str">
        <f>IF($B123="","",IF(AD$3=0,"n.b.",INDEX(SRC_Woningetalage!$A$1:$ZZ$501,$A123,AD$3)))</f>
        <v/>
      </c>
      <c r="AE123" s="124" t="str">
        <f>IF($B123="","",IF(AE$3=0,"n.b.",INDEX(SRC_Woningetalage!$A$1:$ZZ$501,$A123,AE$3)))</f>
        <v/>
      </c>
      <c r="AF123" s="124" t="str">
        <f>IF($B123="","",IF(AF$3=0,"n.b.",INDEX(SRC_Woningetalage!$A$1:$ZZ$501,$A123,AF$3)))</f>
        <v/>
      </c>
      <c r="AG123" s="124" t="str">
        <f>IF($B123="","",IF(AG$3=0,"n.b.",INDEX(SRC_Woningetalage!$A$1:$ZZ$501,$A123,AG$3)))</f>
        <v/>
      </c>
      <c r="AH123" s="124" t="str">
        <f>IF($B123="","",IF(AH$3=0,"n.b.",INDEX(SRC_Woningetalage!$A$1:$ZZ$501,$A123,AH$3)))</f>
        <v/>
      </c>
      <c r="AI123" s="124" t="str">
        <f>IF($B123="","",IF(AI$3=0,"n.b.",INDEX(SRC_Woningetalage!$A$1:$ZZ$501,$A123,AI$3)))</f>
        <v/>
      </c>
      <c r="AJ123" s="124" t="str">
        <f>IF($B123="","",IF(AJ$3=0,"n.b.",INDEX(SRC_Woningetalage!$A$1:$ZZ$501,$A123,AJ$3)))</f>
        <v/>
      </c>
      <c r="AK123" s="124" t="str">
        <f>IF($B123="","",IF(AK$3=0,"n.b.",INDEX(SRC_Woningetalage!$A$1:$ZZ$501,$A123,AK$3)))</f>
        <v/>
      </c>
      <c r="AL123" s="124" t="str">
        <f>IF($B123="","",IF(AL$3=0,"n.b.",INDEX(SRC_Woningetalage!$A$1:$ZZ$501,$A123,AL$3)))</f>
        <v/>
      </c>
      <c r="AM123" s="124" t="str">
        <f>IF($B123="","",IF(AM$3=0,"n.b.",INDEX(SRC_Woningetalage!$A$1:$ZZ$501,$A123,AM$3)))</f>
        <v/>
      </c>
      <c r="AN123" s="124" t="str">
        <f>IF($B123="","",IF(AN$3=0,"n.b.",INDEX(SRC_Woningetalage!$A$1:$ZZ$501,$A123,AN$3)))</f>
        <v/>
      </c>
      <c r="AO123" s="124" t="str">
        <f>IF($B123="","",IF(AO$3=0,"n.b.",INDEX(SRC_Woningetalage!$A$1:$ZZ$501,$A123,AO$3)))</f>
        <v/>
      </c>
      <c r="AP123" s="124" t="str">
        <f>IF($B123="","",IF(AP$3=0,"n.b.",INDEX(SRC_Woningetalage!$A$1:$ZZ$501,$A123,AP$3)))</f>
        <v/>
      </c>
      <c r="AQ123" s="124" t="str">
        <f>IF($B123="","",IF(AQ$3=0,"n.b.",INDEX(SRC_Woningetalage!$A$1:$ZZ$501,$A123,AQ$3)))</f>
        <v/>
      </c>
      <c r="AR123" s="124" t="str">
        <f>IF($B123="","",IF(AR$3=0,"n.b.",INDEX(SRC_Woningetalage!$A$1:$ZZ$501,$A123,AR$3)))</f>
        <v/>
      </c>
      <c r="AS123" s="124" t="str">
        <f>IF($B123="","",IF(AS$3=0,"n.b.",INDEX(SRC_Woningetalage!$A$1:$ZZ$501,$A123,AS$3)))</f>
        <v/>
      </c>
      <c r="AT123" s="124" t="str">
        <f>IF($B123="","",IF(AT$3=0,"n.b.",INDEX(SRC_Woningetalage!$A$1:$ZZ$501,$A123,AT$3)))</f>
        <v/>
      </c>
      <c r="AU123" s="124" t="str">
        <f>IF($B123="","",IF(AU$3=0,"n.b.",INDEX(SRC_Woningetalage!$A$1:$ZZ$501,$A123,AU$3)))</f>
        <v/>
      </c>
      <c r="AV123" s="124" t="str">
        <f>IF($B123="","",IF(AV$3=0,"n.b.",INDEX(SRC_Woningetalage!$A$1:$ZZ$501,$A123,AV$3)))</f>
        <v/>
      </c>
      <c r="AW123" s="124" t="str">
        <f>IF($B123="","",IF(AW$3=0,"n.b.",INDEX(SRC_Woningetalage!$A$1:$ZZ$501,$A123,AW$3)))</f>
        <v/>
      </c>
      <c r="AX123" s="124" t="str">
        <f>IF($B123="","",IF(AX$3=0,"n.b.",INDEX(SRC_Woningetalage!$A$1:$ZZ$501,$A123,AX$3)))</f>
        <v/>
      </c>
      <c r="AY123" s="124" t="str">
        <f>IF($B123="","",IF(AY$3=0,"n.b.",INDEX(SRC_Woningetalage!$A$1:$ZZ$501,$A123,AY$3)))</f>
        <v/>
      </c>
      <c r="AZ123" s="124" t="str">
        <f>IF($B123="","",IF(AZ$3=0,"n.b.",INDEX(SRC_Woningetalage!$A$1:$ZZ$501,$A123,AZ$3)))</f>
        <v/>
      </c>
      <c r="BA123" s="124" t="str">
        <f>IF($B123="","",IF(BA$3=0,"n.b.",INDEX(SRC_Woningetalage!$A$1:$ZZ$501,$A123,BA$3)))</f>
        <v/>
      </c>
      <c r="BB123" s="124" t="str">
        <f>IF($B123="","",IF(BB$3=0,"n.b.",INDEX(SRC_Woningetalage!$A$1:$ZZ$501,$A123,BB$3)))</f>
        <v/>
      </c>
      <c r="BC123" s="124" t="str">
        <f>IF($B123="","",IFERROR(_xlfn.NUMBERVALUE(E123&amp;"",",","."),"n.b."))</f>
        <v/>
      </c>
      <c r="BD123" s="124" t="str">
        <f>IF($B123="","",IFERROR(_xlfn.NUMBERVALUE(M123&amp;"",",","."),"n.b."))</f>
        <v/>
      </c>
      <c r="BE123" s="124" t="str">
        <f>IF($B123="","",IFERROR(AB123+AC123+AD123,"n.b."))</f>
        <v/>
      </c>
      <c r="BF123" s="124" t="str">
        <f>IF($B123="","",IFERROR(AE123+AF123+AG123,"n.b."))</f>
        <v/>
      </c>
      <c r="BG123" s="124" t="str">
        <f>IF($B123="","",IFERROR(AH123+AI123+AJ123,"n.b."))</f>
        <v/>
      </c>
      <c r="BH123" s="124" t="str">
        <f>IF($B123="","",IFERROR(AK123+AL123+AM123,"n.b."))</f>
        <v/>
      </c>
      <c r="BI123" s="124" t="str">
        <f>IF($B123="","",IFERROR(SUMIF($AB$5:$AM$5,"&lt;="&amp;P_PeilMaand,AB123:AM123),"n.b."))</f>
        <v/>
      </c>
      <c r="BJ123" s="124" t="str">
        <f>IF($B123="","",IFERROR(SUM(AB123:AM123)-BI123,"n.b."))</f>
        <v/>
      </c>
      <c r="BK123" s="124" t="str">
        <f>IF($B123="","",IFERROR(IF(ABS(Q123-(T123+SUM(AB123:AM123)+AS123+AU123))&gt;P_Tol,1,0),1))</f>
        <v/>
      </c>
      <c r="BL123" s="124" t="str">
        <f>IF($B123="","",IFERROR(IF(ABS(AA123-(Q123-Z123))&gt;P_Tol,1,0),1))</f>
        <v/>
      </c>
      <c r="BM123" s="124" t="str">
        <f>IF($B123="","",IFERROR(IF(ABS(Z123-(T123+W123))&gt;P_Tol,1,0),1))</f>
        <v/>
      </c>
      <c r="BN123" s="124" t="str">
        <f>IF($B123="","",IFERROR(IF(ABS(W123-BI123)&gt;P_Tol,1,0),1))</f>
        <v/>
      </c>
      <c r="BO123" s="124" t="str">
        <f>IF($B123="","",IFERROR(IF(OR(ABS(R123+S123-T123)&gt;P_Tol,ABS(U123+V123-W123)&gt;P_Tol,ABS(X123+Y123-Z123)&gt;P_Tol),1,0),1))</f>
        <v/>
      </c>
      <c r="BP123" s="124" t="str">
        <f>IF($B123="","",IFERROR(IF(OR(ABS(AR123-SUM(AB123:AM123))&gt;P_Tol,ABS(AS123-(AN123+AO123+AP123+AQ123))&gt;P_Tol),1,0),1))</f>
        <v/>
      </c>
      <c r="BQ123" s="124" t="str">
        <f>IF($B123="","",IFERROR(IF(ABS(AT123)+ABS(AV123)+ABS(AW123)+ABS(AX123)+ABS(AY123)+ABS(AZ123)+ABS(BA123)+ABS(BB123)&gt;0,1,0),1))</f>
        <v/>
      </c>
      <c r="BR123" s="124" t="str">
        <f>IF($B123="","",COUNTIF(STG_ZPMW03!$B$6:$B$505,B123))</f>
        <v/>
      </c>
      <c r="BS123" s="124" t="str">
        <f>IF($B123="","",COUNTIF($B$6:$B$505,B123))</f>
        <v/>
      </c>
      <c r="BT123" s="124" t="str">
        <f>IF($B123="","",IF(BR123=0,0,IF(INDEX(STG_ZPMW03!$I$6:$I$505,MATCH(B123,STG_ZPMW03!$B$6:$B$505,0))=J123&amp;"",0,1)))</f>
        <v/>
      </c>
      <c r="BU123" s="124" t="str">
        <f>IF($B123="","",IFERROR(IF(ABS(INDEX(Mapping!$D$5:$D$104,MATCH(B123,Mapping!$A$5:$A$104,0))-Q123)&gt;P_Tol,1,0),0))</f>
        <v/>
      </c>
      <c r="BV123" s="124" t="str">
        <f>IF($B123="","",IFERROR(IF(AND(INDEX(Mapping!$G$5:$G$104,MATCH(B123,Mapping!$A$5:$A$104,0))="Nee",ABS(Q123)+ABS(Z123)+ABS(AR123)&gt;0),1,0),0))</f>
        <v/>
      </c>
      <c r="BW123" s="124" t="str">
        <f>IF($B123="","",IF(COUNTIF(Mapping!$A$5:$A$104,B123)&gt;0,1,0))</f>
        <v/>
      </c>
      <c r="BX123" s="124" t="str">
        <f>IF($B123="","",IF(BR123=0,COUNTIF($BR$6:BR123,0),""))</f>
        <v/>
      </c>
    </row>
    <row r="124">
      <c r="A124" s="15" t="n">
        <v>120</v>
      </c>
      <c r="B124" t="str">
        <f>IF(B$3=0,"",IF(INDEX(SRC_Woningetalage!$A$1:$ZZ$501,$A124,B$3)&amp;""="","",INDEX(SRC_Woningetalage!$A$1:$ZZ$501,$A124,B$3)&amp;""))</f>
        <v/>
      </c>
      <c r="C124" t="str">
        <f>IF($B124="","",IF(C$3=0,"n.b.",INDEX(SRC_Woningetalage!$A$1:$ZZ$501,$A124,C$3)))</f>
        <v/>
      </c>
      <c r="D124" t="str">
        <f>IF($B124="","",IF(D$3=0,"n.b.",INDEX(SRC_Woningetalage!$A$1:$ZZ$501,$A124,D$3)))</f>
        <v/>
      </c>
      <c r="E124" t="str">
        <f>IF($B124="","",IF(E$3=0,"n.b.",INDEX(SRC_Woningetalage!$A$1:$ZZ$501,$A124,E$3)))</f>
        <v/>
      </c>
      <c r="F124" t="str">
        <f>IF($B124="","",IF(F$3=0,"n.b.",INDEX(SRC_Woningetalage!$A$1:$ZZ$501,$A124,F$3)))</f>
        <v/>
      </c>
      <c r="G124" t="str">
        <f>IF($B124="","",IF(G$3=0,"n.b.",INDEX(SRC_Woningetalage!$A$1:$ZZ$501,$A124,G$3)))</f>
        <v/>
      </c>
      <c r="H124" t="str">
        <f>IF($B124="","",IF(H$3=0,"n.b.",INDEX(SRC_Woningetalage!$A$1:$ZZ$501,$A124,H$3)))</f>
        <v/>
      </c>
      <c r="I124" t="str">
        <f>IF($B124="","",IF(I$3=0,"n.b.",INDEX(SRC_Woningetalage!$A$1:$ZZ$501,$A124,I$3)))</f>
        <v/>
      </c>
      <c r="J124" t="str">
        <f>IF($B124="","",IF(J$3=0,"n.b.",INDEX(SRC_Woningetalage!$A$1:$ZZ$501,$A124,J$3)))</f>
        <v/>
      </c>
      <c r="K124" t="str">
        <f>IF($B124="","",IF(K$3=0,"n.b.",INDEX(SRC_Woningetalage!$A$1:$ZZ$501,$A124,K$3)))</f>
        <v/>
      </c>
      <c r="L124" t="str">
        <f>IF($B124="","",IF(L$3=0,"n.b.",INDEX(SRC_Woningetalage!$A$1:$ZZ$501,$A124,L$3)))</f>
        <v/>
      </c>
      <c r="M124" t="str">
        <f>IF($B124="","",IF(M$3=0,"n.b.",INDEX(SRC_Woningetalage!$A$1:$ZZ$501,$A124,M$3)))</f>
        <v/>
      </c>
      <c r="N124" t="str">
        <f>IF($B124="","",IF(N$3=0,"n.b.",INDEX(SRC_Woningetalage!$A$1:$ZZ$501,$A124,N$3)))</f>
        <v/>
      </c>
      <c r="O124" t="str">
        <f>IF($B124="","",IF(O$3=0,"n.b.",INDEX(SRC_Woningetalage!$A$1:$ZZ$501,$A124,O$3)))</f>
        <v/>
      </c>
      <c r="P124" t="str">
        <f>IF($B124="","",IF(P$3=0,"n.b.",INDEX(SRC_Woningetalage!$A$1:$ZZ$501,$A124,P$3)))</f>
        <v/>
      </c>
      <c r="Q124" s="124" t="str">
        <f>IF($B124="","",IF(Q$3=0,"n.b.",INDEX(SRC_Woningetalage!$A$1:$ZZ$501,$A124,Q$3)))</f>
        <v/>
      </c>
      <c r="R124" s="124" t="str">
        <f>IF($B124="","",IF(R$3=0,"n.b.",INDEX(SRC_Woningetalage!$A$1:$ZZ$501,$A124,R$3)))</f>
        <v/>
      </c>
      <c r="S124" s="124" t="str">
        <f>IF($B124="","",IF(S$3=0,"n.b.",INDEX(SRC_Woningetalage!$A$1:$ZZ$501,$A124,S$3)))</f>
        <v/>
      </c>
      <c r="T124" s="124" t="str">
        <f>IF($B124="","",IF(T$3=0,"n.b.",INDEX(SRC_Woningetalage!$A$1:$ZZ$501,$A124,T$3)))</f>
        <v/>
      </c>
      <c r="U124" s="124" t="str">
        <f>IF($B124="","",IF(U$3=0,"n.b.",INDEX(SRC_Woningetalage!$A$1:$ZZ$501,$A124,U$3)))</f>
        <v/>
      </c>
      <c r="V124" s="124" t="str">
        <f>IF($B124="","",IF(V$3=0,"n.b.",INDEX(SRC_Woningetalage!$A$1:$ZZ$501,$A124,V$3)))</f>
        <v/>
      </c>
      <c r="W124" s="124" t="str">
        <f>IF($B124="","",IF(W$3=0,"n.b.",INDEX(SRC_Woningetalage!$A$1:$ZZ$501,$A124,W$3)))</f>
        <v/>
      </c>
      <c r="X124" s="124" t="str">
        <f>IF($B124="","",IF(X$3=0,"n.b.",INDEX(SRC_Woningetalage!$A$1:$ZZ$501,$A124,X$3)))</f>
        <v/>
      </c>
      <c r="Y124" s="124" t="str">
        <f>IF($B124="","",IF(Y$3=0,"n.b.",INDEX(SRC_Woningetalage!$A$1:$ZZ$501,$A124,Y$3)))</f>
        <v/>
      </c>
      <c r="Z124" s="124" t="str">
        <f>IF($B124="","",IF(Z$3=0,"n.b.",INDEX(SRC_Woningetalage!$A$1:$ZZ$501,$A124,Z$3)))</f>
        <v/>
      </c>
      <c r="AA124" s="124" t="str">
        <f>IF($B124="","",IF(AA$3=0,"n.b.",INDEX(SRC_Woningetalage!$A$1:$ZZ$501,$A124,AA$3)))</f>
        <v/>
      </c>
      <c r="AB124" s="124" t="str">
        <f>IF($B124="","",IF(AB$3=0,"n.b.",INDEX(SRC_Woningetalage!$A$1:$ZZ$501,$A124,AB$3)))</f>
        <v/>
      </c>
      <c r="AC124" s="124" t="str">
        <f>IF($B124="","",IF(AC$3=0,"n.b.",INDEX(SRC_Woningetalage!$A$1:$ZZ$501,$A124,AC$3)))</f>
        <v/>
      </c>
      <c r="AD124" s="124" t="str">
        <f>IF($B124="","",IF(AD$3=0,"n.b.",INDEX(SRC_Woningetalage!$A$1:$ZZ$501,$A124,AD$3)))</f>
        <v/>
      </c>
      <c r="AE124" s="124" t="str">
        <f>IF($B124="","",IF(AE$3=0,"n.b.",INDEX(SRC_Woningetalage!$A$1:$ZZ$501,$A124,AE$3)))</f>
        <v/>
      </c>
      <c r="AF124" s="124" t="str">
        <f>IF($B124="","",IF(AF$3=0,"n.b.",INDEX(SRC_Woningetalage!$A$1:$ZZ$501,$A124,AF$3)))</f>
        <v/>
      </c>
      <c r="AG124" s="124" t="str">
        <f>IF($B124="","",IF(AG$3=0,"n.b.",INDEX(SRC_Woningetalage!$A$1:$ZZ$501,$A124,AG$3)))</f>
        <v/>
      </c>
      <c r="AH124" s="124" t="str">
        <f>IF($B124="","",IF(AH$3=0,"n.b.",INDEX(SRC_Woningetalage!$A$1:$ZZ$501,$A124,AH$3)))</f>
        <v/>
      </c>
      <c r="AI124" s="124" t="str">
        <f>IF($B124="","",IF(AI$3=0,"n.b.",INDEX(SRC_Woningetalage!$A$1:$ZZ$501,$A124,AI$3)))</f>
        <v/>
      </c>
      <c r="AJ124" s="124" t="str">
        <f>IF($B124="","",IF(AJ$3=0,"n.b.",INDEX(SRC_Woningetalage!$A$1:$ZZ$501,$A124,AJ$3)))</f>
        <v/>
      </c>
      <c r="AK124" s="124" t="str">
        <f>IF($B124="","",IF(AK$3=0,"n.b.",INDEX(SRC_Woningetalage!$A$1:$ZZ$501,$A124,AK$3)))</f>
        <v/>
      </c>
      <c r="AL124" s="124" t="str">
        <f>IF($B124="","",IF(AL$3=0,"n.b.",INDEX(SRC_Woningetalage!$A$1:$ZZ$501,$A124,AL$3)))</f>
        <v/>
      </c>
      <c r="AM124" s="124" t="str">
        <f>IF($B124="","",IF(AM$3=0,"n.b.",INDEX(SRC_Woningetalage!$A$1:$ZZ$501,$A124,AM$3)))</f>
        <v/>
      </c>
      <c r="AN124" s="124" t="str">
        <f>IF($B124="","",IF(AN$3=0,"n.b.",INDEX(SRC_Woningetalage!$A$1:$ZZ$501,$A124,AN$3)))</f>
        <v/>
      </c>
      <c r="AO124" s="124" t="str">
        <f>IF($B124="","",IF(AO$3=0,"n.b.",INDEX(SRC_Woningetalage!$A$1:$ZZ$501,$A124,AO$3)))</f>
        <v/>
      </c>
      <c r="AP124" s="124" t="str">
        <f>IF($B124="","",IF(AP$3=0,"n.b.",INDEX(SRC_Woningetalage!$A$1:$ZZ$501,$A124,AP$3)))</f>
        <v/>
      </c>
      <c r="AQ124" s="124" t="str">
        <f>IF($B124="","",IF(AQ$3=0,"n.b.",INDEX(SRC_Woningetalage!$A$1:$ZZ$501,$A124,AQ$3)))</f>
        <v/>
      </c>
      <c r="AR124" s="124" t="str">
        <f>IF($B124="","",IF(AR$3=0,"n.b.",INDEX(SRC_Woningetalage!$A$1:$ZZ$501,$A124,AR$3)))</f>
        <v/>
      </c>
      <c r="AS124" s="124" t="str">
        <f>IF($B124="","",IF(AS$3=0,"n.b.",INDEX(SRC_Woningetalage!$A$1:$ZZ$501,$A124,AS$3)))</f>
        <v/>
      </c>
      <c r="AT124" s="124" t="str">
        <f>IF($B124="","",IF(AT$3=0,"n.b.",INDEX(SRC_Woningetalage!$A$1:$ZZ$501,$A124,AT$3)))</f>
        <v/>
      </c>
      <c r="AU124" s="124" t="str">
        <f>IF($B124="","",IF(AU$3=0,"n.b.",INDEX(SRC_Woningetalage!$A$1:$ZZ$501,$A124,AU$3)))</f>
        <v/>
      </c>
      <c r="AV124" s="124" t="str">
        <f>IF($B124="","",IF(AV$3=0,"n.b.",INDEX(SRC_Woningetalage!$A$1:$ZZ$501,$A124,AV$3)))</f>
        <v/>
      </c>
      <c r="AW124" s="124" t="str">
        <f>IF($B124="","",IF(AW$3=0,"n.b.",INDEX(SRC_Woningetalage!$A$1:$ZZ$501,$A124,AW$3)))</f>
        <v/>
      </c>
      <c r="AX124" s="124" t="str">
        <f>IF($B124="","",IF(AX$3=0,"n.b.",INDEX(SRC_Woningetalage!$A$1:$ZZ$501,$A124,AX$3)))</f>
        <v/>
      </c>
      <c r="AY124" s="124" t="str">
        <f>IF($B124="","",IF(AY$3=0,"n.b.",INDEX(SRC_Woningetalage!$A$1:$ZZ$501,$A124,AY$3)))</f>
        <v/>
      </c>
      <c r="AZ124" s="124" t="str">
        <f>IF($B124="","",IF(AZ$3=0,"n.b.",INDEX(SRC_Woningetalage!$A$1:$ZZ$501,$A124,AZ$3)))</f>
        <v/>
      </c>
      <c r="BA124" s="124" t="str">
        <f>IF($B124="","",IF(BA$3=0,"n.b.",INDEX(SRC_Woningetalage!$A$1:$ZZ$501,$A124,BA$3)))</f>
        <v/>
      </c>
      <c r="BB124" s="124" t="str">
        <f>IF($B124="","",IF(BB$3=0,"n.b.",INDEX(SRC_Woningetalage!$A$1:$ZZ$501,$A124,BB$3)))</f>
        <v/>
      </c>
      <c r="BC124" s="124" t="str">
        <f>IF($B124="","",IFERROR(_xlfn.NUMBERVALUE(E124&amp;"",",","."),"n.b."))</f>
        <v/>
      </c>
      <c r="BD124" s="124" t="str">
        <f>IF($B124="","",IFERROR(_xlfn.NUMBERVALUE(M124&amp;"",",","."),"n.b."))</f>
        <v/>
      </c>
      <c r="BE124" s="124" t="str">
        <f>IF($B124="","",IFERROR(AB124+AC124+AD124,"n.b."))</f>
        <v/>
      </c>
      <c r="BF124" s="124" t="str">
        <f>IF($B124="","",IFERROR(AE124+AF124+AG124,"n.b."))</f>
        <v/>
      </c>
      <c r="BG124" s="124" t="str">
        <f>IF($B124="","",IFERROR(AH124+AI124+AJ124,"n.b."))</f>
        <v/>
      </c>
      <c r="BH124" s="124" t="str">
        <f>IF($B124="","",IFERROR(AK124+AL124+AM124,"n.b."))</f>
        <v/>
      </c>
      <c r="BI124" s="124" t="str">
        <f>IF($B124="","",IFERROR(SUMIF($AB$5:$AM$5,"&lt;="&amp;P_PeilMaand,AB124:AM124),"n.b."))</f>
        <v/>
      </c>
      <c r="BJ124" s="124" t="str">
        <f>IF($B124="","",IFERROR(SUM(AB124:AM124)-BI124,"n.b."))</f>
        <v/>
      </c>
      <c r="BK124" s="124" t="str">
        <f>IF($B124="","",IFERROR(IF(ABS(Q124-(T124+SUM(AB124:AM124)+AS124+AU124))&gt;P_Tol,1,0),1))</f>
        <v/>
      </c>
      <c r="BL124" s="124" t="str">
        <f>IF($B124="","",IFERROR(IF(ABS(AA124-(Q124-Z124))&gt;P_Tol,1,0),1))</f>
        <v/>
      </c>
      <c r="BM124" s="124" t="str">
        <f>IF($B124="","",IFERROR(IF(ABS(Z124-(T124+W124))&gt;P_Tol,1,0),1))</f>
        <v/>
      </c>
      <c r="BN124" s="124" t="str">
        <f>IF($B124="","",IFERROR(IF(ABS(W124-BI124)&gt;P_Tol,1,0),1))</f>
        <v/>
      </c>
      <c r="BO124" s="124" t="str">
        <f>IF($B124="","",IFERROR(IF(OR(ABS(R124+S124-T124)&gt;P_Tol,ABS(U124+V124-W124)&gt;P_Tol,ABS(X124+Y124-Z124)&gt;P_Tol),1,0),1))</f>
        <v/>
      </c>
      <c r="BP124" s="124" t="str">
        <f>IF($B124="","",IFERROR(IF(OR(ABS(AR124-SUM(AB124:AM124))&gt;P_Tol,ABS(AS124-(AN124+AO124+AP124+AQ124))&gt;P_Tol),1,0),1))</f>
        <v/>
      </c>
      <c r="BQ124" s="124" t="str">
        <f>IF($B124="","",IFERROR(IF(ABS(AT124)+ABS(AV124)+ABS(AW124)+ABS(AX124)+ABS(AY124)+ABS(AZ124)+ABS(BA124)+ABS(BB124)&gt;0,1,0),1))</f>
        <v/>
      </c>
      <c r="BR124" s="124" t="str">
        <f>IF($B124="","",COUNTIF(STG_ZPMW03!$B$6:$B$505,B124))</f>
        <v/>
      </c>
      <c r="BS124" s="124" t="str">
        <f>IF($B124="","",COUNTIF($B$6:$B$505,B124))</f>
        <v/>
      </c>
      <c r="BT124" s="124" t="str">
        <f>IF($B124="","",IF(BR124=0,0,IF(INDEX(STG_ZPMW03!$I$6:$I$505,MATCH(B124,STG_ZPMW03!$B$6:$B$505,0))=J124&amp;"",0,1)))</f>
        <v/>
      </c>
      <c r="BU124" s="124" t="str">
        <f>IF($B124="","",IFERROR(IF(ABS(INDEX(Mapping!$D$5:$D$104,MATCH(B124,Mapping!$A$5:$A$104,0))-Q124)&gt;P_Tol,1,0),0))</f>
        <v/>
      </c>
      <c r="BV124" s="124" t="str">
        <f>IF($B124="","",IFERROR(IF(AND(INDEX(Mapping!$G$5:$G$104,MATCH(B124,Mapping!$A$5:$A$104,0))="Nee",ABS(Q124)+ABS(Z124)+ABS(AR124)&gt;0),1,0),0))</f>
        <v/>
      </c>
      <c r="BW124" s="124" t="str">
        <f>IF($B124="","",IF(COUNTIF(Mapping!$A$5:$A$104,B124)&gt;0,1,0))</f>
        <v/>
      </c>
      <c r="BX124" s="124" t="str">
        <f>IF($B124="","",IF(BR124=0,COUNTIF($BR$6:BR124,0),""))</f>
        <v/>
      </c>
    </row>
    <row r="125">
      <c r="A125" s="15" t="n">
        <v>121</v>
      </c>
      <c r="B125" t="str">
        <f>IF(B$3=0,"",IF(INDEX(SRC_Woningetalage!$A$1:$ZZ$501,$A125,B$3)&amp;""="","",INDEX(SRC_Woningetalage!$A$1:$ZZ$501,$A125,B$3)&amp;""))</f>
        <v/>
      </c>
      <c r="C125" t="str">
        <f>IF($B125="","",IF(C$3=0,"n.b.",INDEX(SRC_Woningetalage!$A$1:$ZZ$501,$A125,C$3)))</f>
        <v/>
      </c>
      <c r="D125" t="str">
        <f>IF($B125="","",IF(D$3=0,"n.b.",INDEX(SRC_Woningetalage!$A$1:$ZZ$501,$A125,D$3)))</f>
        <v/>
      </c>
      <c r="E125" t="str">
        <f>IF($B125="","",IF(E$3=0,"n.b.",INDEX(SRC_Woningetalage!$A$1:$ZZ$501,$A125,E$3)))</f>
        <v/>
      </c>
      <c r="F125" t="str">
        <f>IF($B125="","",IF(F$3=0,"n.b.",INDEX(SRC_Woningetalage!$A$1:$ZZ$501,$A125,F$3)))</f>
        <v/>
      </c>
      <c r="G125" t="str">
        <f>IF($B125="","",IF(G$3=0,"n.b.",INDEX(SRC_Woningetalage!$A$1:$ZZ$501,$A125,G$3)))</f>
        <v/>
      </c>
      <c r="H125" t="str">
        <f>IF($B125="","",IF(H$3=0,"n.b.",INDEX(SRC_Woningetalage!$A$1:$ZZ$501,$A125,H$3)))</f>
        <v/>
      </c>
      <c r="I125" t="str">
        <f>IF($B125="","",IF(I$3=0,"n.b.",INDEX(SRC_Woningetalage!$A$1:$ZZ$501,$A125,I$3)))</f>
        <v/>
      </c>
      <c r="J125" t="str">
        <f>IF($B125="","",IF(J$3=0,"n.b.",INDEX(SRC_Woningetalage!$A$1:$ZZ$501,$A125,J$3)))</f>
        <v/>
      </c>
      <c r="K125" t="str">
        <f>IF($B125="","",IF(K$3=0,"n.b.",INDEX(SRC_Woningetalage!$A$1:$ZZ$501,$A125,K$3)))</f>
        <v/>
      </c>
      <c r="L125" t="str">
        <f>IF($B125="","",IF(L$3=0,"n.b.",INDEX(SRC_Woningetalage!$A$1:$ZZ$501,$A125,L$3)))</f>
        <v/>
      </c>
      <c r="M125" t="str">
        <f>IF($B125="","",IF(M$3=0,"n.b.",INDEX(SRC_Woningetalage!$A$1:$ZZ$501,$A125,M$3)))</f>
        <v/>
      </c>
      <c r="N125" t="str">
        <f>IF($B125="","",IF(N$3=0,"n.b.",INDEX(SRC_Woningetalage!$A$1:$ZZ$501,$A125,N$3)))</f>
        <v/>
      </c>
      <c r="O125" t="str">
        <f>IF($B125="","",IF(O$3=0,"n.b.",INDEX(SRC_Woningetalage!$A$1:$ZZ$501,$A125,O$3)))</f>
        <v/>
      </c>
      <c r="P125" t="str">
        <f>IF($B125="","",IF(P$3=0,"n.b.",INDEX(SRC_Woningetalage!$A$1:$ZZ$501,$A125,P$3)))</f>
        <v/>
      </c>
      <c r="Q125" s="124" t="str">
        <f>IF($B125="","",IF(Q$3=0,"n.b.",INDEX(SRC_Woningetalage!$A$1:$ZZ$501,$A125,Q$3)))</f>
        <v/>
      </c>
      <c r="R125" s="124" t="str">
        <f>IF($B125="","",IF(R$3=0,"n.b.",INDEX(SRC_Woningetalage!$A$1:$ZZ$501,$A125,R$3)))</f>
        <v/>
      </c>
      <c r="S125" s="124" t="str">
        <f>IF($B125="","",IF(S$3=0,"n.b.",INDEX(SRC_Woningetalage!$A$1:$ZZ$501,$A125,S$3)))</f>
        <v/>
      </c>
      <c r="T125" s="124" t="str">
        <f>IF($B125="","",IF(T$3=0,"n.b.",INDEX(SRC_Woningetalage!$A$1:$ZZ$501,$A125,T$3)))</f>
        <v/>
      </c>
      <c r="U125" s="124" t="str">
        <f>IF($B125="","",IF(U$3=0,"n.b.",INDEX(SRC_Woningetalage!$A$1:$ZZ$501,$A125,U$3)))</f>
        <v/>
      </c>
      <c r="V125" s="124" t="str">
        <f>IF($B125="","",IF(V$3=0,"n.b.",INDEX(SRC_Woningetalage!$A$1:$ZZ$501,$A125,V$3)))</f>
        <v/>
      </c>
      <c r="W125" s="124" t="str">
        <f>IF($B125="","",IF(W$3=0,"n.b.",INDEX(SRC_Woningetalage!$A$1:$ZZ$501,$A125,W$3)))</f>
        <v/>
      </c>
      <c r="X125" s="124" t="str">
        <f>IF($B125="","",IF(X$3=0,"n.b.",INDEX(SRC_Woningetalage!$A$1:$ZZ$501,$A125,X$3)))</f>
        <v/>
      </c>
      <c r="Y125" s="124" t="str">
        <f>IF($B125="","",IF(Y$3=0,"n.b.",INDEX(SRC_Woningetalage!$A$1:$ZZ$501,$A125,Y$3)))</f>
        <v/>
      </c>
      <c r="Z125" s="124" t="str">
        <f>IF($B125="","",IF(Z$3=0,"n.b.",INDEX(SRC_Woningetalage!$A$1:$ZZ$501,$A125,Z$3)))</f>
        <v/>
      </c>
      <c r="AA125" s="124" t="str">
        <f>IF($B125="","",IF(AA$3=0,"n.b.",INDEX(SRC_Woningetalage!$A$1:$ZZ$501,$A125,AA$3)))</f>
        <v/>
      </c>
      <c r="AB125" s="124" t="str">
        <f>IF($B125="","",IF(AB$3=0,"n.b.",INDEX(SRC_Woningetalage!$A$1:$ZZ$501,$A125,AB$3)))</f>
        <v/>
      </c>
      <c r="AC125" s="124" t="str">
        <f>IF($B125="","",IF(AC$3=0,"n.b.",INDEX(SRC_Woningetalage!$A$1:$ZZ$501,$A125,AC$3)))</f>
        <v/>
      </c>
      <c r="AD125" s="124" t="str">
        <f>IF($B125="","",IF(AD$3=0,"n.b.",INDEX(SRC_Woningetalage!$A$1:$ZZ$501,$A125,AD$3)))</f>
        <v/>
      </c>
      <c r="AE125" s="124" t="str">
        <f>IF($B125="","",IF(AE$3=0,"n.b.",INDEX(SRC_Woningetalage!$A$1:$ZZ$501,$A125,AE$3)))</f>
        <v/>
      </c>
      <c r="AF125" s="124" t="str">
        <f>IF($B125="","",IF(AF$3=0,"n.b.",INDEX(SRC_Woningetalage!$A$1:$ZZ$501,$A125,AF$3)))</f>
        <v/>
      </c>
      <c r="AG125" s="124" t="str">
        <f>IF($B125="","",IF(AG$3=0,"n.b.",INDEX(SRC_Woningetalage!$A$1:$ZZ$501,$A125,AG$3)))</f>
        <v/>
      </c>
      <c r="AH125" s="124" t="str">
        <f>IF($B125="","",IF(AH$3=0,"n.b.",INDEX(SRC_Woningetalage!$A$1:$ZZ$501,$A125,AH$3)))</f>
        <v/>
      </c>
      <c r="AI125" s="124" t="str">
        <f>IF($B125="","",IF(AI$3=0,"n.b.",INDEX(SRC_Woningetalage!$A$1:$ZZ$501,$A125,AI$3)))</f>
        <v/>
      </c>
      <c r="AJ125" s="124" t="str">
        <f>IF($B125="","",IF(AJ$3=0,"n.b.",INDEX(SRC_Woningetalage!$A$1:$ZZ$501,$A125,AJ$3)))</f>
        <v/>
      </c>
      <c r="AK125" s="124" t="str">
        <f>IF($B125="","",IF(AK$3=0,"n.b.",INDEX(SRC_Woningetalage!$A$1:$ZZ$501,$A125,AK$3)))</f>
        <v/>
      </c>
      <c r="AL125" s="124" t="str">
        <f>IF($B125="","",IF(AL$3=0,"n.b.",INDEX(SRC_Woningetalage!$A$1:$ZZ$501,$A125,AL$3)))</f>
        <v/>
      </c>
      <c r="AM125" s="124" t="str">
        <f>IF($B125="","",IF(AM$3=0,"n.b.",INDEX(SRC_Woningetalage!$A$1:$ZZ$501,$A125,AM$3)))</f>
        <v/>
      </c>
      <c r="AN125" s="124" t="str">
        <f>IF($B125="","",IF(AN$3=0,"n.b.",INDEX(SRC_Woningetalage!$A$1:$ZZ$501,$A125,AN$3)))</f>
        <v/>
      </c>
      <c r="AO125" s="124" t="str">
        <f>IF($B125="","",IF(AO$3=0,"n.b.",INDEX(SRC_Woningetalage!$A$1:$ZZ$501,$A125,AO$3)))</f>
        <v/>
      </c>
      <c r="AP125" s="124" t="str">
        <f>IF($B125="","",IF(AP$3=0,"n.b.",INDEX(SRC_Woningetalage!$A$1:$ZZ$501,$A125,AP$3)))</f>
        <v/>
      </c>
      <c r="AQ125" s="124" t="str">
        <f>IF($B125="","",IF(AQ$3=0,"n.b.",INDEX(SRC_Woningetalage!$A$1:$ZZ$501,$A125,AQ$3)))</f>
        <v/>
      </c>
      <c r="AR125" s="124" t="str">
        <f>IF($B125="","",IF(AR$3=0,"n.b.",INDEX(SRC_Woningetalage!$A$1:$ZZ$501,$A125,AR$3)))</f>
        <v/>
      </c>
      <c r="AS125" s="124" t="str">
        <f>IF($B125="","",IF(AS$3=0,"n.b.",INDEX(SRC_Woningetalage!$A$1:$ZZ$501,$A125,AS$3)))</f>
        <v/>
      </c>
      <c r="AT125" s="124" t="str">
        <f>IF($B125="","",IF(AT$3=0,"n.b.",INDEX(SRC_Woningetalage!$A$1:$ZZ$501,$A125,AT$3)))</f>
        <v/>
      </c>
      <c r="AU125" s="124" t="str">
        <f>IF($B125="","",IF(AU$3=0,"n.b.",INDEX(SRC_Woningetalage!$A$1:$ZZ$501,$A125,AU$3)))</f>
        <v/>
      </c>
      <c r="AV125" s="124" t="str">
        <f>IF($B125="","",IF(AV$3=0,"n.b.",INDEX(SRC_Woningetalage!$A$1:$ZZ$501,$A125,AV$3)))</f>
        <v/>
      </c>
      <c r="AW125" s="124" t="str">
        <f>IF($B125="","",IF(AW$3=0,"n.b.",INDEX(SRC_Woningetalage!$A$1:$ZZ$501,$A125,AW$3)))</f>
        <v/>
      </c>
      <c r="AX125" s="124" t="str">
        <f>IF($B125="","",IF(AX$3=0,"n.b.",INDEX(SRC_Woningetalage!$A$1:$ZZ$501,$A125,AX$3)))</f>
        <v/>
      </c>
      <c r="AY125" s="124" t="str">
        <f>IF($B125="","",IF(AY$3=0,"n.b.",INDEX(SRC_Woningetalage!$A$1:$ZZ$501,$A125,AY$3)))</f>
        <v/>
      </c>
      <c r="AZ125" s="124" t="str">
        <f>IF($B125="","",IF(AZ$3=0,"n.b.",INDEX(SRC_Woningetalage!$A$1:$ZZ$501,$A125,AZ$3)))</f>
        <v/>
      </c>
      <c r="BA125" s="124" t="str">
        <f>IF($B125="","",IF(BA$3=0,"n.b.",INDEX(SRC_Woningetalage!$A$1:$ZZ$501,$A125,BA$3)))</f>
        <v/>
      </c>
      <c r="BB125" s="124" t="str">
        <f>IF($B125="","",IF(BB$3=0,"n.b.",INDEX(SRC_Woningetalage!$A$1:$ZZ$501,$A125,BB$3)))</f>
        <v/>
      </c>
      <c r="BC125" s="124" t="str">
        <f>IF($B125="","",IFERROR(_xlfn.NUMBERVALUE(E125&amp;"",",","."),"n.b."))</f>
        <v/>
      </c>
      <c r="BD125" s="124" t="str">
        <f>IF($B125="","",IFERROR(_xlfn.NUMBERVALUE(M125&amp;"",",","."),"n.b."))</f>
        <v/>
      </c>
      <c r="BE125" s="124" t="str">
        <f>IF($B125="","",IFERROR(AB125+AC125+AD125,"n.b."))</f>
        <v/>
      </c>
      <c r="BF125" s="124" t="str">
        <f>IF($B125="","",IFERROR(AE125+AF125+AG125,"n.b."))</f>
        <v/>
      </c>
      <c r="BG125" s="124" t="str">
        <f>IF($B125="","",IFERROR(AH125+AI125+AJ125,"n.b."))</f>
        <v/>
      </c>
      <c r="BH125" s="124" t="str">
        <f>IF($B125="","",IFERROR(AK125+AL125+AM125,"n.b."))</f>
        <v/>
      </c>
      <c r="BI125" s="124" t="str">
        <f>IF($B125="","",IFERROR(SUMIF($AB$5:$AM$5,"&lt;="&amp;P_PeilMaand,AB125:AM125),"n.b."))</f>
        <v/>
      </c>
      <c r="BJ125" s="124" t="str">
        <f>IF($B125="","",IFERROR(SUM(AB125:AM125)-BI125,"n.b."))</f>
        <v/>
      </c>
      <c r="BK125" s="124" t="str">
        <f>IF($B125="","",IFERROR(IF(ABS(Q125-(T125+SUM(AB125:AM125)+AS125+AU125))&gt;P_Tol,1,0),1))</f>
        <v/>
      </c>
      <c r="BL125" s="124" t="str">
        <f>IF($B125="","",IFERROR(IF(ABS(AA125-(Q125-Z125))&gt;P_Tol,1,0),1))</f>
        <v/>
      </c>
      <c r="BM125" s="124" t="str">
        <f>IF($B125="","",IFERROR(IF(ABS(Z125-(T125+W125))&gt;P_Tol,1,0),1))</f>
        <v/>
      </c>
      <c r="BN125" s="124" t="str">
        <f>IF($B125="","",IFERROR(IF(ABS(W125-BI125)&gt;P_Tol,1,0),1))</f>
        <v/>
      </c>
      <c r="BO125" s="124" t="str">
        <f>IF($B125="","",IFERROR(IF(OR(ABS(R125+S125-T125)&gt;P_Tol,ABS(U125+V125-W125)&gt;P_Tol,ABS(X125+Y125-Z125)&gt;P_Tol),1,0),1))</f>
        <v/>
      </c>
      <c r="BP125" s="124" t="str">
        <f>IF($B125="","",IFERROR(IF(OR(ABS(AR125-SUM(AB125:AM125))&gt;P_Tol,ABS(AS125-(AN125+AO125+AP125+AQ125))&gt;P_Tol),1,0),1))</f>
        <v/>
      </c>
      <c r="BQ125" s="124" t="str">
        <f>IF($B125="","",IFERROR(IF(ABS(AT125)+ABS(AV125)+ABS(AW125)+ABS(AX125)+ABS(AY125)+ABS(AZ125)+ABS(BA125)+ABS(BB125)&gt;0,1,0),1))</f>
        <v/>
      </c>
      <c r="BR125" s="124" t="str">
        <f>IF($B125="","",COUNTIF(STG_ZPMW03!$B$6:$B$505,B125))</f>
        <v/>
      </c>
      <c r="BS125" s="124" t="str">
        <f>IF($B125="","",COUNTIF($B$6:$B$505,B125))</f>
        <v/>
      </c>
      <c r="BT125" s="124" t="str">
        <f>IF($B125="","",IF(BR125=0,0,IF(INDEX(STG_ZPMW03!$I$6:$I$505,MATCH(B125,STG_ZPMW03!$B$6:$B$505,0))=J125&amp;"",0,1)))</f>
        <v/>
      </c>
      <c r="BU125" s="124" t="str">
        <f>IF($B125="","",IFERROR(IF(ABS(INDEX(Mapping!$D$5:$D$104,MATCH(B125,Mapping!$A$5:$A$104,0))-Q125)&gt;P_Tol,1,0),0))</f>
        <v/>
      </c>
      <c r="BV125" s="124" t="str">
        <f>IF($B125="","",IFERROR(IF(AND(INDEX(Mapping!$G$5:$G$104,MATCH(B125,Mapping!$A$5:$A$104,0))="Nee",ABS(Q125)+ABS(Z125)+ABS(AR125)&gt;0),1,0),0))</f>
        <v/>
      </c>
      <c r="BW125" s="124" t="str">
        <f>IF($B125="","",IF(COUNTIF(Mapping!$A$5:$A$104,B125)&gt;0,1,0))</f>
        <v/>
      </c>
      <c r="BX125" s="124" t="str">
        <f>IF($B125="","",IF(BR125=0,COUNTIF($BR$6:BR125,0),""))</f>
        <v/>
      </c>
    </row>
    <row r="126">
      <c r="A126" s="15" t="n">
        <v>122</v>
      </c>
      <c r="B126" t="str">
        <f>IF(B$3=0,"",IF(INDEX(SRC_Woningetalage!$A$1:$ZZ$501,$A126,B$3)&amp;""="","",INDEX(SRC_Woningetalage!$A$1:$ZZ$501,$A126,B$3)&amp;""))</f>
        <v/>
      </c>
      <c r="C126" t="str">
        <f>IF($B126="","",IF(C$3=0,"n.b.",INDEX(SRC_Woningetalage!$A$1:$ZZ$501,$A126,C$3)))</f>
        <v/>
      </c>
      <c r="D126" t="str">
        <f>IF($B126="","",IF(D$3=0,"n.b.",INDEX(SRC_Woningetalage!$A$1:$ZZ$501,$A126,D$3)))</f>
        <v/>
      </c>
      <c r="E126" t="str">
        <f>IF($B126="","",IF(E$3=0,"n.b.",INDEX(SRC_Woningetalage!$A$1:$ZZ$501,$A126,E$3)))</f>
        <v/>
      </c>
      <c r="F126" t="str">
        <f>IF($B126="","",IF(F$3=0,"n.b.",INDEX(SRC_Woningetalage!$A$1:$ZZ$501,$A126,F$3)))</f>
        <v/>
      </c>
      <c r="G126" t="str">
        <f>IF($B126="","",IF(G$3=0,"n.b.",INDEX(SRC_Woningetalage!$A$1:$ZZ$501,$A126,G$3)))</f>
        <v/>
      </c>
      <c r="H126" t="str">
        <f>IF($B126="","",IF(H$3=0,"n.b.",INDEX(SRC_Woningetalage!$A$1:$ZZ$501,$A126,H$3)))</f>
        <v/>
      </c>
      <c r="I126" t="str">
        <f>IF($B126="","",IF(I$3=0,"n.b.",INDEX(SRC_Woningetalage!$A$1:$ZZ$501,$A126,I$3)))</f>
        <v/>
      </c>
      <c r="J126" t="str">
        <f>IF($B126="","",IF(J$3=0,"n.b.",INDEX(SRC_Woningetalage!$A$1:$ZZ$501,$A126,J$3)))</f>
        <v/>
      </c>
      <c r="K126" t="str">
        <f>IF($B126="","",IF(K$3=0,"n.b.",INDEX(SRC_Woningetalage!$A$1:$ZZ$501,$A126,K$3)))</f>
        <v/>
      </c>
      <c r="L126" t="str">
        <f>IF($B126="","",IF(L$3=0,"n.b.",INDEX(SRC_Woningetalage!$A$1:$ZZ$501,$A126,L$3)))</f>
        <v/>
      </c>
      <c r="M126" t="str">
        <f>IF($B126="","",IF(M$3=0,"n.b.",INDEX(SRC_Woningetalage!$A$1:$ZZ$501,$A126,M$3)))</f>
        <v/>
      </c>
      <c r="N126" t="str">
        <f>IF($B126="","",IF(N$3=0,"n.b.",INDEX(SRC_Woningetalage!$A$1:$ZZ$501,$A126,N$3)))</f>
        <v/>
      </c>
      <c r="O126" t="str">
        <f>IF($B126="","",IF(O$3=0,"n.b.",INDEX(SRC_Woningetalage!$A$1:$ZZ$501,$A126,O$3)))</f>
        <v/>
      </c>
      <c r="P126" t="str">
        <f>IF($B126="","",IF(P$3=0,"n.b.",INDEX(SRC_Woningetalage!$A$1:$ZZ$501,$A126,P$3)))</f>
        <v/>
      </c>
      <c r="Q126" s="124" t="str">
        <f>IF($B126="","",IF(Q$3=0,"n.b.",INDEX(SRC_Woningetalage!$A$1:$ZZ$501,$A126,Q$3)))</f>
        <v/>
      </c>
      <c r="R126" s="124" t="str">
        <f>IF($B126="","",IF(R$3=0,"n.b.",INDEX(SRC_Woningetalage!$A$1:$ZZ$501,$A126,R$3)))</f>
        <v/>
      </c>
      <c r="S126" s="124" t="str">
        <f>IF($B126="","",IF(S$3=0,"n.b.",INDEX(SRC_Woningetalage!$A$1:$ZZ$501,$A126,S$3)))</f>
        <v/>
      </c>
      <c r="T126" s="124" t="str">
        <f>IF($B126="","",IF(T$3=0,"n.b.",INDEX(SRC_Woningetalage!$A$1:$ZZ$501,$A126,T$3)))</f>
        <v/>
      </c>
      <c r="U126" s="124" t="str">
        <f>IF($B126="","",IF(U$3=0,"n.b.",INDEX(SRC_Woningetalage!$A$1:$ZZ$501,$A126,U$3)))</f>
        <v/>
      </c>
      <c r="V126" s="124" t="str">
        <f>IF($B126="","",IF(V$3=0,"n.b.",INDEX(SRC_Woningetalage!$A$1:$ZZ$501,$A126,V$3)))</f>
        <v/>
      </c>
      <c r="W126" s="124" t="str">
        <f>IF($B126="","",IF(W$3=0,"n.b.",INDEX(SRC_Woningetalage!$A$1:$ZZ$501,$A126,W$3)))</f>
        <v/>
      </c>
      <c r="X126" s="124" t="str">
        <f>IF($B126="","",IF(X$3=0,"n.b.",INDEX(SRC_Woningetalage!$A$1:$ZZ$501,$A126,X$3)))</f>
        <v/>
      </c>
      <c r="Y126" s="124" t="str">
        <f>IF($B126="","",IF(Y$3=0,"n.b.",INDEX(SRC_Woningetalage!$A$1:$ZZ$501,$A126,Y$3)))</f>
        <v/>
      </c>
      <c r="Z126" s="124" t="str">
        <f>IF($B126="","",IF(Z$3=0,"n.b.",INDEX(SRC_Woningetalage!$A$1:$ZZ$501,$A126,Z$3)))</f>
        <v/>
      </c>
      <c r="AA126" s="124" t="str">
        <f>IF($B126="","",IF(AA$3=0,"n.b.",INDEX(SRC_Woningetalage!$A$1:$ZZ$501,$A126,AA$3)))</f>
        <v/>
      </c>
      <c r="AB126" s="124" t="str">
        <f>IF($B126="","",IF(AB$3=0,"n.b.",INDEX(SRC_Woningetalage!$A$1:$ZZ$501,$A126,AB$3)))</f>
        <v/>
      </c>
      <c r="AC126" s="124" t="str">
        <f>IF($B126="","",IF(AC$3=0,"n.b.",INDEX(SRC_Woningetalage!$A$1:$ZZ$501,$A126,AC$3)))</f>
        <v/>
      </c>
      <c r="AD126" s="124" t="str">
        <f>IF($B126="","",IF(AD$3=0,"n.b.",INDEX(SRC_Woningetalage!$A$1:$ZZ$501,$A126,AD$3)))</f>
        <v/>
      </c>
      <c r="AE126" s="124" t="str">
        <f>IF($B126="","",IF(AE$3=0,"n.b.",INDEX(SRC_Woningetalage!$A$1:$ZZ$501,$A126,AE$3)))</f>
        <v/>
      </c>
      <c r="AF126" s="124" t="str">
        <f>IF($B126="","",IF(AF$3=0,"n.b.",INDEX(SRC_Woningetalage!$A$1:$ZZ$501,$A126,AF$3)))</f>
        <v/>
      </c>
      <c r="AG126" s="124" t="str">
        <f>IF($B126="","",IF(AG$3=0,"n.b.",INDEX(SRC_Woningetalage!$A$1:$ZZ$501,$A126,AG$3)))</f>
        <v/>
      </c>
      <c r="AH126" s="124" t="str">
        <f>IF($B126="","",IF(AH$3=0,"n.b.",INDEX(SRC_Woningetalage!$A$1:$ZZ$501,$A126,AH$3)))</f>
        <v/>
      </c>
      <c r="AI126" s="124" t="str">
        <f>IF($B126="","",IF(AI$3=0,"n.b.",INDEX(SRC_Woningetalage!$A$1:$ZZ$501,$A126,AI$3)))</f>
        <v/>
      </c>
      <c r="AJ126" s="124" t="str">
        <f>IF($B126="","",IF(AJ$3=0,"n.b.",INDEX(SRC_Woningetalage!$A$1:$ZZ$501,$A126,AJ$3)))</f>
        <v/>
      </c>
      <c r="AK126" s="124" t="str">
        <f>IF($B126="","",IF(AK$3=0,"n.b.",INDEX(SRC_Woningetalage!$A$1:$ZZ$501,$A126,AK$3)))</f>
        <v/>
      </c>
      <c r="AL126" s="124" t="str">
        <f>IF($B126="","",IF(AL$3=0,"n.b.",INDEX(SRC_Woningetalage!$A$1:$ZZ$501,$A126,AL$3)))</f>
        <v/>
      </c>
      <c r="AM126" s="124" t="str">
        <f>IF($B126="","",IF(AM$3=0,"n.b.",INDEX(SRC_Woningetalage!$A$1:$ZZ$501,$A126,AM$3)))</f>
        <v/>
      </c>
      <c r="AN126" s="124" t="str">
        <f>IF($B126="","",IF(AN$3=0,"n.b.",INDEX(SRC_Woningetalage!$A$1:$ZZ$501,$A126,AN$3)))</f>
        <v/>
      </c>
      <c r="AO126" s="124" t="str">
        <f>IF($B126="","",IF(AO$3=0,"n.b.",INDEX(SRC_Woningetalage!$A$1:$ZZ$501,$A126,AO$3)))</f>
        <v/>
      </c>
      <c r="AP126" s="124" t="str">
        <f>IF($B126="","",IF(AP$3=0,"n.b.",INDEX(SRC_Woningetalage!$A$1:$ZZ$501,$A126,AP$3)))</f>
        <v/>
      </c>
      <c r="AQ126" s="124" t="str">
        <f>IF($B126="","",IF(AQ$3=0,"n.b.",INDEX(SRC_Woningetalage!$A$1:$ZZ$501,$A126,AQ$3)))</f>
        <v/>
      </c>
      <c r="AR126" s="124" t="str">
        <f>IF($B126="","",IF(AR$3=0,"n.b.",INDEX(SRC_Woningetalage!$A$1:$ZZ$501,$A126,AR$3)))</f>
        <v/>
      </c>
      <c r="AS126" s="124" t="str">
        <f>IF($B126="","",IF(AS$3=0,"n.b.",INDEX(SRC_Woningetalage!$A$1:$ZZ$501,$A126,AS$3)))</f>
        <v/>
      </c>
      <c r="AT126" s="124" t="str">
        <f>IF($B126="","",IF(AT$3=0,"n.b.",INDEX(SRC_Woningetalage!$A$1:$ZZ$501,$A126,AT$3)))</f>
        <v/>
      </c>
      <c r="AU126" s="124" t="str">
        <f>IF($B126="","",IF(AU$3=0,"n.b.",INDEX(SRC_Woningetalage!$A$1:$ZZ$501,$A126,AU$3)))</f>
        <v/>
      </c>
      <c r="AV126" s="124" t="str">
        <f>IF($B126="","",IF(AV$3=0,"n.b.",INDEX(SRC_Woningetalage!$A$1:$ZZ$501,$A126,AV$3)))</f>
        <v/>
      </c>
      <c r="AW126" s="124" t="str">
        <f>IF($B126="","",IF(AW$3=0,"n.b.",INDEX(SRC_Woningetalage!$A$1:$ZZ$501,$A126,AW$3)))</f>
        <v/>
      </c>
      <c r="AX126" s="124" t="str">
        <f>IF($B126="","",IF(AX$3=0,"n.b.",INDEX(SRC_Woningetalage!$A$1:$ZZ$501,$A126,AX$3)))</f>
        <v/>
      </c>
      <c r="AY126" s="124" t="str">
        <f>IF($B126="","",IF(AY$3=0,"n.b.",INDEX(SRC_Woningetalage!$A$1:$ZZ$501,$A126,AY$3)))</f>
        <v/>
      </c>
      <c r="AZ126" s="124" t="str">
        <f>IF($B126="","",IF(AZ$3=0,"n.b.",INDEX(SRC_Woningetalage!$A$1:$ZZ$501,$A126,AZ$3)))</f>
        <v/>
      </c>
      <c r="BA126" s="124" t="str">
        <f>IF($B126="","",IF(BA$3=0,"n.b.",INDEX(SRC_Woningetalage!$A$1:$ZZ$501,$A126,BA$3)))</f>
        <v/>
      </c>
      <c r="BB126" s="124" t="str">
        <f>IF($B126="","",IF(BB$3=0,"n.b.",INDEX(SRC_Woningetalage!$A$1:$ZZ$501,$A126,BB$3)))</f>
        <v/>
      </c>
      <c r="BC126" s="124" t="str">
        <f>IF($B126="","",IFERROR(_xlfn.NUMBERVALUE(E126&amp;"",",","."),"n.b."))</f>
        <v/>
      </c>
      <c r="BD126" s="124" t="str">
        <f>IF($B126="","",IFERROR(_xlfn.NUMBERVALUE(M126&amp;"",",","."),"n.b."))</f>
        <v/>
      </c>
      <c r="BE126" s="124" t="str">
        <f>IF($B126="","",IFERROR(AB126+AC126+AD126,"n.b."))</f>
        <v/>
      </c>
      <c r="BF126" s="124" t="str">
        <f>IF($B126="","",IFERROR(AE126+AF126+AG126,"n.b."))</f>
        <v/>
      </c>
      <c r="BG126" s="124" t="str">
        <f>IF($B126="","",IFERROR(AH126+AI126+AJ126,"n.b."))</f>
        <v/>
      </c>
      <c r="BH126" s="124" t="str">
        <f>IF($B126="","",IFERROR(AK126+AL126+AM126,"n.b."))</f>
        <v/>
      </c>
      <c r="BI126" s="124" t="str">
        <f>IF($B126="","",IFERROR(SUMIF($AB$5:$AM$5,"&lt;="&amp;P_PeilMaand,AB126:AM126),"n.b."))</f>
        <v/>
      </c>
      <c r="BJ126" s="124" t="str">
        <f>IF($B126="","",IFERROR(SUM(AB126:AM126)-BI126,"n.b."))</f>
        <v/>
      </c>
      <c r="BK126" s="124" t="str">
        <f>IF($B126="","",IFERROR(IF(ABS(Q126-(T126+SUM(AB126:AM126)+AS126+AU126))&gt;P_Tol,1,0),1))</f>
        <v/>
      </c>
      <c r="BL126" s="124" t="str">
        <f>IF($B126="","",IFERROR(IF(ABS(AA126-(Q126-Z126))&gt;P_Tol,1,0),1))</f>
        <v/>
      </c>
      <c r="BM126" s="124" t="str">
        <f>IF($B126="","",IFERROR(IF(ABS(Z126-(T126+W126))&gt;P_Tol,1,0),1))</f>
        <v/>
      </c>
      <c r="BN126" s="124" t="str">
        <f>IF($B126="","",IFERROR(IF(ABS(W126-BI126)&gt;P_Tol,1,0),1))</f>
        <v/>
      </c>
      <c r="BO126" s="124" t="str">
        <f>IF($B126="","",IFERROR(IF(OR(ABS(R126+S126-T126)&gt;P_Tol,ABS(U126+V126-W126)&gt;P_Tol,ABS(X126+Y126-Z126)&gt;P_Tol),1,0),1))</f>
        <v/>
      </c>
      <c r="BP126" s="124" t="str">
        <f>IF($B126="","",IFERROR(IF(OR(ABS(AR126-SUM(AB126:AM126))&gt;P_Tol,ABS(AS126-(AN126+AO126+AP126+AQ126))&gt;P_Tol),1,0),1))</f>
        <v/>
      </c>
      <c r="BQ126" s="124" t="str">
        <f>IF($B126="","",IFERROR(IF(ABS(AT126)+ABS(AV126)+ABS(AW126)+ABS(AX126)+ABS(AY126)+ABS(AZ126)+ABS(BA126)+ABS(BB126)&gt;0,1,0),1))</f>
        <v/>
      </c>
      <c r="BR126" s="124" t="str">
        <f>IF($B126="","",COUNTIF(STG_ZPMW03!$B$6:$B$505,B126))</f>
        <v/>
      </c>
      <c r="BS126" s="124" t="str">
        <f>IF($B126="","",COUNTIF($B$6:$B$505,B126))</f>
        <v/>
      </c>
      <c r="BT126" s="124" t="str">
        <f>IF($B126="","",IF(BR126=0,0,IF(INDEX(STG_ZPMW03!$I$6:$I$505,MATCH(B126,STG_ZPMW03!$B$6:$B$505,0))=J126&amp;"",0,1)))</f>
        <v/>
      </c>
      <c r="BU126" s="124" t="str">
        <f>IF($B126="","",IFERROR(IF(ABS(INDEX(Mapping!$D$5:$D$104,MATCH(B126,Mapping!$A$5:$A$104,0))-Q126)&gt;P_Tol,1,0),0))</f>
        <v/>
      </c>
      <c r="BV126" s="124" t="str">
        <f>IF($B126="","",IFERROR(IF(AND(INDEX(Mapping!$G$5:$G$104,MATCH(B126,Mapping!$A$5:$A$104,0))="Nee",ABS(Q126)+ABS(Z126)+ABS(AR126)&gt;0),1,0),0))</f>
        <v/>
      </c>
      <c r="BW126" s="124" t="str">
        <f>IF($B126="","",IF(COUNTIF(Mapping!$A$5:$A$104,B126)&gt;0,1,0))</f>
        <v/>
      </c>
      <c r="BX126" s="124" t="str">
        <f>IF($B126="","",IF(BR126=0,COUNTIF($BR$6:BR126,0),""))</f>
        <v/>
      </c>
    </row>
    <row r="127">
      <c r="A127" s="15" t="n">
        <v>123</v>
      </c>
      <c r="B127" t="str">
        <f>IF(B$3=0,"",IF(INDEX(SRC_Woningetalage!$A$1:$ZZ$501,$A127,B$3)&amp;""="","",INDEX(SRC_Woningetalage!$A$1:$ZZ$501,$A127,B$3)&amp;""))</f>
        <v/>
      </c>
      <c r="C127" t="str">
        <f>IF($B127="","",IF(C$3=0,"n.b.",INDEX(SRC_Woningetalage!$A$1:$ZZ$501,$A127,C$3)))</f>
        <v/>
      </c>
      <c r="D127" t="str">
        <f>IF($B127="","",IF(D$3=0,"n.b.",INDEX(SRC_Woningetalage!$A$1:$ZZ$501,$A127,D$3)))</f>
        <v/>
      </c>
      <c r="E127" t="str">
        <f>IF($B127="","",IF(E$3=0,"n.b.",INDEX(SRC_Woningetalage!$A$1:$ZZ$501,$A127,E$3)))</f>
        <v/>
      </c>
      <c r="F127" t="str">
        <f>IF($B127="","",IF(F$3=0,"n.b.",INDEX(SRC_Woningetalage!$A$1:$ZZ$501,$A127,F$3)))</f>
        <v/>
      </c>
      <c r="G127" t="str">
        <f>IF($B127="","",IF(G$3=0,"n.b.",INDEX(SRC_Woningetalage!$A$1:$ZZ$501,$A127,G$3)))</f>
        <v/>
      </c>
      <c r="H127" t="str">
        <f>IF($B127="","",IF(H$3=0,"n.b.",INDEX(SRC_Woningetalage!$A$1:$ZZ$501,$A127,H$3)))</f>
        <v/>
      </c>
      <c r="I127" t="str">
        <f>IF($B127="","",IF(I$3=0,"n.b.",INDEX(SRC_Woningetalage!$A$1:$ZZ$501,$A127,I$3)))</f>
        <v/>
      </c>
      <c r="J127" t="str">
        <f>IF($B127="","",IF(J$3=0,"n.b.",INDEX(SRC_Woningetalage!$A$1:$ZZ$501,$A127,J$3)))</f>
        <v/>
      </c>
      <c r="K127" t="str">
        <f>IF($B127="","",IF(K$3=0,"n.b.",INDEX(SRC_Woningetalage!$A$1:$ZZ$501,$A127,K$3)))</f>
        <v/>
      </c>
      <c r="L127" t="str">
        <f>IF($B127="","",IF(L$3=0,"n.b.",INDEX(SRC_Woningetalage!$A$1:$ZZ$501,$A127,L$3)))</f>
        <v/>
      </c>
      <c r="M127" t="str">
        <f>IF($B127="","",IF(M$3=0,"n.b.",INDEX(SRC_Woningetalage!$A$1:$ZZ$501,$A127,M$3)))</f>
        <v/>
      </c>
      <c r="N127" t="str">
        <f>IF($B127="","",IF(N$3=0,"n.b.",INDEX(SRC_Woningetalage!$A$1:$ZZ$501,$A127,N$3)))</f>
        <v/>
      </c>
      <c r="O127" t="str">
        <f>IF($B127="","",IF(O$3=0,"n.b.",INDEX(SRC_Woningetalage!$A$1:$ZZ$501,$A127,O$3)))</f>
        <v/>
      </c>
      <c r="P127" t="str">
        <f>IF($B127="","",IF(P$3=0,"n.b.",INDEX(SRC_Woningetalage!$A$1:$ZZ$501,$A127,P$3)))</f>
        <v/>
      </c>
      <c r="Q127" s="124" t="str">
        <f>IF($B127="","",IF(Q$3=0,"n.b.",INDEX(SRC_Woningetalage!$A$1:$ZZ$501,$A127,Q$3)))</f>
        <v/>
      </c>
      <c r="R127" s="124" t="str">
        <f>IF($B127="","",IF(R$3=0,"n.b.",INDEX(SRC_Woningetalage!$A$1:$ZZ$501,$A127,R$3)))</f>
        <v/>
      </c>
      <c r="S127" s="124" t="str">
        <f>IF($B127="","",IF(S$3=0,"n.b.",INDEX(SRC_Woningetalage!$A$1:$ZZ$501,$A127,S$3)))</f>
        <v/>
      </c>
      <c r="T127" s="124" t="str">
        <f>IF($B127="","",IF(T$3=0,"n.b.",INDEX(SRC_Woningetalage!$A$1:$ZZ$501,$A127,T$3)))</f>
        <v/>
      </c>
      <c r="U127" s="124" t="str">
        <f>IF($B127="","",IF(U$3=0,"n.b.",INDEX(SRC_Woningetalage!$A$1:$ZZ$501,$A127,U$3)))</f>
        <v/>
      </c>
      <c r="V127" s="124" t="str">
        <f>IF($B127="","",IF(V$3=0,"n.b.",INDEX(SRC_Woningetalage!$A$1:$ZZ$501,$A127,V$3)))</f>
        <v/>
      </c>
      <c r="W127" s="124" t="str">
        <f>IF($B127="","",IF(W$3=0,"n.b.",INDEX(SRC_Woningetalage!$A$1:$ZZ$501,$A127,W$3)))</f>
        <v/>
      </c>
      <c r="X127" s="124" t="str">
        <f>IF($B127="","",IF(X$3=0,"n.b.",INDEX(SRC_Woningetalage!$A$1:$ZZ$501,$A127,X$3)))</f>
        <v/>
      </c>
      <c r="Y127" s="124" t="str">
        <f>IF($B127="","",IF(Y$3=0,"n.b.",INDEX(SRC_Woningetalage!$A$1:$ZZ$501,$A127,Y$3)))</f>
        <v/>
      </c>
      <c r="Z127" s="124" t="str">
        <f>IF($B127="","",IF(Z$3=0,"n.b.",INDEX(SRC_Woningetalage!$A$1:$ZZ$501,$A127,Z$3)))</f>
        <v/>
      </c>
      <c r="AA127" s="124" t="str">
        <f>IF($B127="","",IF(AA$3=0,"n.b.",INDEX(SRC_Woningetalage!$A$1:$ZZ$501,$A127,AA$3)))</f>
        <v/>
      </c>
      <c r="AB127" s="124" t="str">
        <f>IF($B127="","",IF(AB$3=0,"n.b.",INDEX(SRC_Woningetalage!$A$1:$ZZ$501,$A127,AB$3)))</f>
        <v/>
      </c>
      <c r="AC127" s="124" t="str">
        <f>IF($B127="","",IF(AC$3=0,"n.b.",INDEX(SRC_Woningetalage!$A$1:$ZZ$501,$A127,AC$3)))</f>
        <v/>
      </c>
      <c r="AD127" s="124" t="str">
        <f>IF($B127="","",IF(AD$3=0,"n.b.",INDEX(SRC_Woningetalage!$A$1:$ZZ$501,$A127,AD$3)))</f>
        <v/>
      </c>
      <c r="AE127" s="124" t="str">
        <f>IF($B127="","",IF(AE$3=0,"n.b.",INDEX(SRC_Woningetalage!$A$1:$ZZ$501,$A127,AE$3)))</f>
        <v/>
      </c>
      <c r="AF127" s="124" t="str">
        <f>IF($B127="","",IF(AF$3=0,"n.b.",INDEX(SRC_Woningetalage!$A$1:$ZZ$501,$A127,AF$3)))</f>
        <v/>
      </c>
      <c r="AG127" s="124" t="str">
        <f>IF($B127="","",IF(AG$3=0,"n.b.",INDEX(SRC_Woningetalage!$A$1:$ZZ$501,$A127,AG$3)))</f>
        <v/>
      </c>
      <c r="AH127" s="124" t="str">
        <f>IF($B127="","",IF(AH$3=0,"n.b.",INDEX(SRC_Woningetalage!$A$1:$ZZ$501,$A127,AH$3)))</f>
        <v/>
      </c>
      <c r="AI127" s="124" t="str">
        <f>IF($B127="","",IF(AI$3=0,"n.b.",INDEX(SRC_Woningetalage!$A$1:$ZZ$501,$A127,AI$3)))</f>
        <v/>
      </c>
      <c r="AJ127" s="124" t="str">
        <f>IF($B127="","",IF(AJ$3=0,"n.b.",INDEX(SRC_Woningetalage!$A$1:$ZZ$501,$A127,AJ$3)))</f>
        <v/>
      </c>
      <c r="AK127" s="124" t="str">
        <f>IF($B127="","",IF(AK$3=0,"n.b.",INDEX(SRC_Woningetalage!$A$1:$ZZ$501,$A127,AK$3)))</f>
        <v/>
      </c>
      <c r="AL127" s="124" t="str">
        <f>IF($B127="","",IF(AL$3=0,"n.b.",INDEX(SRC_Woningetalage!$A$1:$ZZ$501,$A127,AL$3)))</f>
        <v/>
      </c>
      <c r="AM127" s="124" t="str">
        <f>IF($B127="","",IF(AM$3=0,"n.b.",INDEX(SRC_Woningetalage!$A$1:$ZZ$501,$A127,AM$3)))</f>
        <v/>
      </c>
      <c r="AN127" s="124" t="str">
        <f>IF($B127="","",IF(AN$3=0,"n.b.",INDEX(SRC_Woningetalage!$A$1:$ZZ$501,$A127,AN$3)))</f>
        <v/>
      </c>
      <c r="AO127" s="124" t="str">
        <f>IF($B127="","",IF(AO$3=0,"n.b.",INDEX(SRC_Woningetalage!$A$1:$ZZ$501,$A127,AO$3)))</f>
        <v/>
      </c>
      <c r="AP127" s="124" t="str">
        <f>IF($B127="","",IF(AP$3=0,"n.b.",INDEX(SRC_Woningetalage!$A$1:$ZZ$501,$A127,AP$3)))</f>
        <v/>
      </c>
      <c r="AQ127" s="124" t="str">
        <f>IF($B127="","",IF(AQ$3=0,"n.b.",INDEX(SRC_Woningetalage!$A$1:$ZZ$501,$A127,AQ$3)))</f>
        <v/>
      </c>
      <c r="AR127" s="124" t="str">
        <f>IF($B127="","",IF(AR$3=0,"n.b.",INDEX(SRC_Woningetalage!$A$1:$ZZ$501,$A127,AR$3)))</f>
        <v/>
      </c>
      <c r="AS127" s="124" t="str">
        <f>IF($B127="","",IF(AS$3=0,"n.b.",INDEX(SRC_Woningetalage!$A$1:$ZZ$501,$A127,AS$3)))</f>
        <v/>
      </c>
      <c r="AT127" s="124" t="str">
        <f>IF($B127="","",IF(AT$3=0,"n.b.",INDEX(SRC_Woningetalage!$A$1:$ZZ$501,$A127,AT$3)))</f>
        <v/>
      </c>
      <c r="AU127" s="124" t="str">
        <f>IF($B127="","",IF(AU$3=0,"n.b.",INDEX(SRC_Woningetalage!$A$1:$ZZ$501,$A127,AU$3)))</f>
        <v/>
      </c>
      <c r="AV127" s="124" t="str">
        <f>IF($B127="","",IF(AV$3=0,"n.b.",INDEX(SRC_Woningetalage!$A$1:$ZZ$501,$A127,AV$3)))</f>
        <v/>
      </c>
      <c r="AW127" s="124" t="str">
        <f>IF($B127="","",IF(AW$3=0,"n.b.",INDEX(SRC_Woningetalage!$A$1:$ZZ$501,$A127,AW$3)))</f>
        <v/>
      </c>
      <c r="AX127" s="124" t="str">
        <f>IF($B127="","",IF(AX$3=0,"n.b.",INDEX(SRC_Woningetalage!$A$1:$ZZ$501,$A127,AX$3)))</f>
        <v/>
      </c>
      <c r="AY127" s="124" t="str">
        <f>IF($B127="","",IF(AY$3=0,"n.b.",INDEX(SRC_Woningetalage!$A$1:$ZZ$501,$A127,AY$3)))</f>
        <v/>
      </c>
      <c r="AZ127" s="124" t="str">
        <f>IF($B127="","",IF(AZ$3=0,"n.b.",INDEX(SRC_Woningetalage!$A$1:$ZZ$501,$A127,AZ$3)))</f>
        <v/>
      </c>
      <c r="BA127" s="124" t="str">
        <f>IF($B127="","",IF(BA$3=0,"n.b.",INDEX(SRC_Woningetalage!$A$1:$ZZ$501,$A127,BA$3)))</f>
        <v/>
      </c>
      <c r="BB127" s="124" t="str">
        <f>IF($B127="","",IF(BB$3=0,"n.b.",INDEX(SRC_Woningetalage!$A$1:$ZZ$501,$A127,BB$3)))</f>
        <v/>
      </c>
      <c r="BC127" s="124" t="str">
        <f>IF($B127="","",IFERROR(_xlfn.NUMBERVALUE(E127&amp;"",",","."),"n.b."))</f>
        <v/>
      </c>
      <c r="BD127" s="124" t="str">
        <f>IF($B127="","",IFERROR(_xlfn.NUMBERVALUE(M127&amp;"",",","."),"n.b."))</f>
        <v/>
      </c>
      <c r="BE127" s="124" t="str">
        <f>IF($B127="","",IFERROR(AB127+AC127+AD127,"n.b."))</f>
        <v/>
      </c>
      <c r="BF127" s="124" t="str">
        <f>IF($B127="","",IFERROR(AE127+AF127+AG127,"n.b."))</f>
        <v/>
      </c>
      <c r="BG127" s="124" t="str">
        <f>IF($B127="","",IFERROR(AH127+AI127+AJ127,"n.b."))</f>
        <v/>
      </c>
      <c r="BH127" s="124" t="str">
        <f>IF($B127="","",IFERROR(AK127+AL127+AM127,"n.b."))</f>
        <v/>
      </c>
      <c r="BI127" s="124" t="str">
        <f>IF($B127="","",IFERROR(SUMIF($AB$5:$AM$5,"&lt;="&amp;P_PeilMaand,AB127:AM127),"n.b."))</f>
        <v/>
      </c>
      <c r="BJ127" s="124" t="str">
        <f>IF($B127="","",IFERROR(SUM(AB127:AM127)-BI127,"n.b."))</f>
        <v/>
      </c>
      <c r="BK127" s="124" t="str">
        <f>IF($B127="","",IFERROR(IF(ABS(Q127-(T127+SUM(AB127:AM127)+AS127+AU127))&gt;P_Tol,1,0),1))</f>
        <v/>
      </c>
      <c r="BL127" s="124" t="str">
        <f>IF($B127="","",IFERROR(IF(ABS(AA127-(Q127-Z127))&gt;P_Tol,1,0),1))</f>
        <v/>
      </c>
      <c r="BM127" s="124" t="str">
        <f>IF($B127="","",IFERROR(IF(ABS(Z127-(T127+W127))&gt;P_Tol,1,0),1))</f>
        <v/>
      </c>
      <c r="BN127" s="124" t="str">
        <f>IF($B127="","",IFERROR(IF(ABS(W127-BI127)&gt;P_Tol,1,0),1))</f>
        <v/>
      </c>
      <c r="BO127" s="124" t="str">
        <f>IF($B127="","",IFERROR(IF(OR(ABS(R127+S127-T127)&gt;P_Tol,ABS(U127+V127-W127)&gt;P_Tol,ABS(X127+Y127-Z127)&gt;P_Tol),1,0),1))</f>
        <v/>
      </c>
      <c r="BP127" s="124" t="str">
        <f>IF($B127="","",IFERROR(IF(OR(ABS(AR127-SUM(AB127:AM127))&gt;P_Tol,ABS(AS127-(AN127+AO127+AP127+AQ127))&gt;P_Tol),1,0),1))</f>
        <v/>
      </c>
      <c r="BQ127" s="124" t="str">
        <f>IF($B127="","",IFERROR(IF(ABS(AT127)+ABS(AV127)+ABS(AW127)+ABS(AX127)+ABS(AY127)+ABS(AZ127)+ABS(BA127)+ABS(BB127)&gt;0,1,0),1))</f>
        <v/>
      </c>
      <c r="BR127" s="124" t="str">
        <f>IF($B127="","",COUNTIF(STG_ZPMW03!$B$6:$B$505,B127))</f>
        <v/>
      </c>
      <c r="BS127" s="124" t="str">
        <f>IF($B127="","",COUNTIF($B$6:$B$505,B127))</f>
        <v/>
      </c>
      <c r="BT127" s="124" t="str">
        <f>IF($B127="","",IF(BR127=0,0,IF(INDEX(STG_ZPMW03!$I$6:$I$505,MATCH(B127,STG_ZPMW03!$B$6:$B$505,0))=J127&amp;"",0,1)))</f>
        <v/>
      </c>
      <c r="BU127" s="124" t="str">
        <f>IF($B127="","",IFERROR(IF(ABS(INDEX(Mapping!$D$5:$D$104,MATCH(B127,Mapping!$A$5:$A$104,0))-Q127)&gt;P_Tol,1,0),0))</f>
        <v/>
      </c>
      <c r="BV127" s="124" t="str">
        <f>IF($B127="","",IFERROR(IF(AND(INDEX(Mapping!$G$5:$G$104,MATCH(B127,Mapping!$A$5:$A$104,0))="Nee",ABS(Q127)+ABS(Z127)+ABS(AR127)&gt;0),1,0),0))</f>
        <v/>
      </c>
      <c r="BW127" s="124" t="str">
        <f>IF($B127="","",IF(COUNTIF(Mapping!$A$5:$A$104,B127)&gt;0,1,0))</f>
        <v/>
      </c>
      <c r="BX127" s="124" t="str">
        <f>IF($B127="","",IF(BR127=0,COUNTIF($BR$6:BR127,0),""))</f>
        <v/>
      </c>
    </row>
    <row r="128">
      <c r="A128" s="15" t="n">
        <v>124</v>
      </c>
      <c r="B128" t="str">
        <f>IF(B$3=0,"",IF(INDEX(SRC_Woningetalage!$A$1:$ZZ$501,$A128,B$3)&amp;""="","",INDEX(SRC_Woningetalage!$A$1:$ZZ$501,$A128,B$3)&amp;""))</f>
        <v/>
      </c>
      <c r="C128" t="str">
        <f>IF($B128="","",IF(C$3=0,"n.b.",INDEX(SRC_Woningetalage!$A$1:$ZZ$501,$A128,C$3)))</f>
        <v/>
      </c>
      <c r="D128" t="str">
        <f>IF($B128="","",IF(D$3=0,"n.b.",INDEX(SRC_Woningetalage!$A$1:$ZZ$501,$A128,D$3)))</f>
        <v/>
      </c>
      <c r="E128" t="str">
        <f>IF($B128="","",IF(E$3=0,"n.b.",INDEX(SRC_Woningetalage!$A$1:$ZZ$501,$A128,E$3)))</f>
        <v/>
      </c>
      <c r="F128" t="str">
        <f>IF($B128="","",IF(F$3=0,"n.b.",INDEX(SRC_Woningetalage!$A$1:$ZZ$501,$A128,F$3)))</f>
        <v/>
      </c>
      <c r="G128" t="str">
        <f>IF($B128="","",IF(G$3=0,"n.b.",INDEX(SRC_Woningetalage!$A$1:$ZZ$501,$A128,G$3)))</f>
        <v/>
      </c>
      <c r="H128" t="str">
        <f>IF($B128="","",IF(H$3=0,"n.b.",INDEX(SRC_Woningetalage!$A$1:$ZZ$501,$A128,H$3)))</f>
        <v/>
      </c>
      <c r="I128" t="str">
        <f>IF($B128="","",IF(I$3=0,"n.b.",INDEX(SRC_Woningetalage!$A$1:$ZZ$501,$A128,I$3)))</f>
        <v/>
      </c>
      <c r="J128" t="str">
        <f>IF($B128="","",IF(J$3=0,"n.b.",INDEX(SRC_Woningetalage!$A$1:$ZZ$501,$A128,J$3)))</f>
        <v/>
      </c>
      <c r="K128" t="str">
        <f>IF($B128="","",IF(K$3=0,"n.b.",INDEX(SRC_Woningetalage!$A$1:$ZZ$501,$A128,K$3)))</f>
        <v/>
      </c>
      <c r="L128" t="str">
        <f>IF($B128="","",IF(L$3=0,"n.b.",INDEX(SRC_Woningetalage!$A$1:$ZZ$501,$A128,L$3)))</f>
        <v/>
      </c>
      <c r="M128" t="str">
        <f>IF($B128="","",IF(M$3=0,"n.b.",INDEX(SRC_Woningetalage!$A$1:$ZZ$501,$A128,M$3)))</f>
        <v/>
      </c>
      <c r="N128" t="str">
        <f>IF($B128="","",IF(N$3=0,"n.b.",INDEX(SRC_Woningetalage!$A$1:$ZZ$501,$A128,N$3)))</f>
        <v/>
      </c>
      <c r="O128" t="str">
        <f>IF($B128="","",IF(O$3=0,"n.b.",INDEX(SRC_Woningetalage!$A$1:$ZZ$501,$A128,O$3)))</f>
        <v/>
      </c>
      <c r="P128" t="str">
        <f>IF($B128="","",IF(P$3=0,"n.b.",INDEX(SRC_Woningetalage!$A$1:$ZZ$501,$A128,P$3)))</f>
        <v/>
      </c>
      <c r="Q128" s="124" t="str">
        <f>IF($B128="","",IF(Q$3=0,"n.b.",INDEX(SRC_Woningetalage!$A$1:$ZZ$501,$A128,Q$3)))</f>
        <v/>
      </c>
      <c r="R128" s="124" t="str">
        <f>IF($B128="","",IF(R$3=0,"n.b.",INDEX(SRC_Woningetalage!$A$1:$ZZ$501,$A128,R$3)))</f>
        <v/>
      </c>
      <c r="S128" s="124" t="str">
        <f>IF($B128="","",IF(S$3=0,"n.b.",INDEX(SRC_Woningetalage!$A$1:$ZZ$501,$A128,S$3)))</f>
        <v/>
      </c>
      <c r="T128" s="124" t="str">
        <f>IF($B128="","",IF(T$3=0,"n.b.",INDEX(SRC_Woningetalage!$A$1:$ZZ$501,$A128,T$3)))</f>
        <v/>
      </c>
      <c r="U128" s="124" t="str">
        <f>IF($B128="","",IF(U$3=0,"n.b.",INDEX(SRC_Woningetalage!$A$1:$ZZ$501,$A128,U$3)))</f>
        <v/>
      </c>
      <c r="V128" s="124" t="str">
        <f>IF($B128="","",IF(V$3=0,"n.b.",INDEX(SRC_Woningetalage!$A$1:$ZZ$501,$A128,V$3)))</f>
        <v/>
      </c>
      <c r="W128" s="124" t="str">
        <f>IF($B128="","",IF(W$3=0,"n.b.",INDEX(SRC_Woningetalage!$A$1:$ZZ$501,$A128,W$3)))</f>
        <v/>
      </c>
      <c r="X128" s="124" t="str">
        <f>IF($B128="","",IF(X$3=0,"n.b.",INDEX(SRC_Woningetalage!$A$1:$ZZ$501,$A128,X$3)))</f>
        <v/>
      </c>
      <c r="Y128" s="124" t="str">
        <f>IF($B128="","",IF(Y$3=0,"n.b.",INDEX(SRC_Woningetalage!$A$1:$ZZ$501,$A128,Y$3)))</f>
        <v/>
      </c>
      <c r="Z128" s="124" t="str">
        <f>IF($B128="","",IF(Z$3=0,"n.b.",INDEX(SRC_Woningetalage!$A$1:$ZZ$501,$A128,Z$3)))</f>
        <v/>
      </c>
      <c r="AA128" s="124" t="str">
        <f>IF($B128="","",IF(AA$3=0,"n.b.",INDEX(SRC_Woningetalage!$A$1:$ZZ$501,$A128,AA$3)))</f>
        <v/>
      </c>
      <c r="AB128" s="124" t="str">
        <f>IF($B128="","",IF(AB$3=0,"n.b.",INDEX(SRC_Woningetalage!$A$1:$ZZ$501,$A128,AB$3)))</f>
        <v/>
      </c>
      <c r="AC128" s="124" t="str">
        <f>IF($B128="","",IF(AC$3=0,"n.b.",INDEX(SRC_Woningetalage!$A$1:$ZZ$501,$A128,AC$3)))</f>
        <v/>
      </c>
      <c r="AD128" s="124" t="str">
        <f>IF($B128="","",IF(AD$3=0,"n.b.",INDEX(SRC_Woningetalage!$A$1:$ZZ$501,$A128,AD$3)))</f>
        <v/>
      </c>
      <c r="AE128" s="124" t="str">
        <f>IF($B128="","",IF(AE$3=0,"n.b.",INDEX(SRC_Woningetalage!$A$1:$ZZ$501,$A128,AE$3)))</f>
        <v/>
      </c>
      <c r="AF128" s="124" t="str">
        <f>IF($B128="","",IF(AF$3=0,"n.b.",INDEX(SRC_Woningetalage!$A$1:$ZZ$501,$A128,AF$3)))</f>
        <v/>
      </c>
      <c r="AG128" s="124" t="str">
        <f>IF($B128="","",IF(AG$3=0,"n.b.",INDEX(SRC_Woningetalage!$A$1:$ZZ$501,$A128,AG$3)))</f>
        <v/>
      </c>
      <c r="AH128" s="124" t="str">
        <f>IF($B128="","",IF(AH$3=0,"n.b.",INDEX(SRC_Woningetalage!$A$1:$ZZ$501,$A128,AH$3)))</f>
        <v/>
      </c>
      <c r="AI128" s="124" t="str">
        <f>IF($B128="","",IF(AI$3=0,"n.b.",INDEX(SRC_Woningetalage!$A$1:$ZZ$501,$A128,AI$3)))</f>
        <v/>
      </c>
      <c r="AJ128" s="124" t="str">
        <f>IF($B128="","",IF(AJ$3=0,"n.b.",INDEX(SRC_Woningetalage!$A$1:$ZZ$501,$A128,AJ$3)))</f>
        <v/>
      </c>
      <c r="AK128" s="124" t="str">
        <f>IF($B128="","",IF(AK$3=0,"n.b.",INDEX(SRC_Woningetalage!$A$1:$ZZ$501,$A128,AK$3)))</f>
        <v/>
      </c>
      <c r="AL128" s="124" t="str">
        <f>IF($B128="","",IF(AL$3=0,"n.b.",INDEX(SRC_Woningetalage!$A$1:$ZZ$501,$A128,AL$3)))</f>
        <v/>
      </c>
      <c r="AM128" s="124" t="str">
        <f>IF($B128="","",IF(AM$3=0,"n.b.",INDEX(SRC_Woningetalage!$A$1:$ZZ$501,$A128,AM$3)))</f>
        <v/>
      </c>
      <c r="AN128" s="124" t="str">
        <f>IF($B128="","",IF(AN$3=0,"n.b.",INDEX(SRC_Woningetalage!$A$1:$ZZ$501,$A128,AN$3)))</f>
        <v/>
      </c>
      <c r="AO128" s="124" t="str">
        <f>IF($B128="","",IF(AO$3=0,"n.b.",INDEX(SRC_Woningetalage!$A$1:$ZZ$501,$A128,AO$3)))</f>
        <v/>
      </c>
      <c r="AP128" s="124" t="str">
        <f>IF($B128="","",IF(AP$3=0,"n.b.",INDEX(SRC_Woningetalage!$A$1:$ZZ$501,$A128,AP$3)))</f>
        <v/>
      </c>
      <c r="AQ128" s="124" t="str">
        <f>IF($B128="","",IF(AQ$3=0,"n.b.",INDEX(SRC_Woningetalage!$A$1:$ZZ$501,$A128,AQ$3)))</f>
        <v/>
      </c>
      <c r="AR128" s="124" t="str">
        <f>IF($B128="","",IF(AR$3=0,"n.b.",INDEX(SRC_Woningetalage!$A$1:$ZZ$501,$A128,AR$3)))</f>
        <v/>
      </c>
      <c r="AS128" s="124" t="str">
        <f>IF($B128="","",IF(AS$3=0,"n.b.",INDEX(SRC_Woningetalage!$A$1:$ZZ$501,$A128,AS$3)))</f>
        <v/>
      </c>
      <c r="AT128" s="124" t="str">
        <f>IF($B128="","",IF(AT$3=0,"n.b.",INDEX(SRC_Woningetalage!$A$1:$ZZ$501,$A128,AT$3)))</f>
        <v/>
      </c>
      <c r="AU128" s="124" t="str">
        <f>IF($B128="","",IF(AU$3=0,"n.b.",INDEX(SRC_Woningetalage!$A$1:$ZZ$501,$A128,AU$3)))</f>
        <v/>
      </c>
      <c r="AV128" s="124" t="str">
        <f>IF($B128="","",IF(AV$3=0,"n.b.",INDEX(SRC_Woningetalage!$A$1:$ZZ$501,$A128,AV$3)))</f>
        <v/>
      </c>
      <c r="AW128" s="124" t="str">
        <f>IF($B128="","",IF(AW$3=0,"n.b.",INDEX(SRC_Woningetalage!$A$1:$ZZ$501,$A128,AW$3)))</f>
        <v/>
      </c>
      <c r="AX128" s="124" t="str">
        <f>IF($B128="","",IF(AX$3=0,"n.b.",INDEX(SRC_Woningetalage!$A$1:$ZZ$501,$A128,AX$3)))</f>
        <v/>
      </c>
      <c r="AY128" s="124" t="str">
        <f>IF($B128="","",IF(AY$3=0,"n.b.",INDEX(SRC_Woningetalage!$A$1:$ZZ$501,$A128,AY$3)))</f>
        <v/>
      </c>
      <c r="AZ128" s="124" t="str">
        <f>IF($B128="","",IF(AZ$3=0,"n.b.",INDEX(SRC_Woningetalage!$A$1:$ZZ$501,$A128,AZ$3)))</f>
        <v/>
      </c>
      <c r="BA128" s="124" t="str">
        <f>IF($B128="","",IF(BA$3=0,"n.b.",INDEX(SRC_Woningetalage!$A$1:$ZZ$501,$A128,BA$3)))</f>
        <v/>
      </c>
      <c r="BB128" s="124" t="str">
        <f>IF($B128="","",IF(BB$3=0,"n.b.",INDEX(SRC_Woningetalage!$A$1:$ZZ$501,$A128,BB$3)))</f>
        <v/>
      </c>
      <c r="BC128" s="124" t="str">
        <f>IF($B128="","",IFERROR(_xlfn.NUMBERVALUE(E128&amp;"",",","."),"n.b."))</f>
        <v/>
      </c>
      <c r="BD128" s="124" t="str">
        <f>IF($B128="","",IFERROR(_xlfn.NUMBERVALUE(M128&amp;"",",","."),"n.b."))</f>
        <v/>
      </c>
      <c r="BE128" s="124" t="str">
        <f>IF($B128="","",IFERROR(AB128+AC128+AD128,"n.b."))</f>
        <v/>
      </c>
      <c r="BF128" s="124" t="str">
        <f>IF($B128="","",IFERROR(AE128+AF128+AG128,"n.b."))</f>
        <v/>
      </c>
      <c r="BG128" s="124" t="str">
        <f>IF($B128="","",IFERROR(AH128+AI128+AJ128,"n.b."))</f>
        <v/>
      </c>
      <c r="BH128" s="124" t="str">
        <f>IF($B128="","",IFERROR(AK128+AL128+AM128,"n.b."))</f>
        <v/>
      </c>
      <c r="BI128" s="124" t="str">
        <f>IF($B128="","",IFERROR(SUMIF($AB$5:$AM$5,"&lt;="&amp;P_PeilMaand,AB128:AM128),"n.b."))</f>
        <v/>
      </c>
      <c r="BJ128" s="124" t="str">
        <f>IF($B128="","",IFERROR(SUM(AB128:AM128)-BI128,"n.b."))</f>
        <v/>
      </c>
      <c r="BK128" s="124" t="str">
        <f>IF($B128="","",IFERROR(IF(ABS(Q128-(T128+SUM(AB128:AM128)+AS128+AU128))&gt;P_Tol,1,0),1))</f>
        <v/>
      </c>
      <c r="BL128" s="124" t="str">
        <f>IF($B128="","",IFERROR(IF(ABS(AA128-(Q128-Z128))&gt;P_Tol,1,0),1))</f>
        <v/>
      </c>
      <c r="BM128" s="124" t="str">
        <f>IF($B128="","",IFERROR(IF(ABS(Z128-(T128+W128))&gt;P_Tol,1,0),1))</f>
        <v/>
      </c>
      <c r="BN128" s="124" t="str">
        <f>IF($B128="","",IFERROR(IF(ABS(W128-BI128)&gt;P_Tol,1,0),1))</f>
        <v/>
      </c>
      <c r="BO128" s="124" t="str">
        <f>IF($B128="","",IFERROR(IF(OR(ABS(R128+S128-T128)&gt;P_Tol,ABS(U128+V128-W128)&gt;P_Tol,ABS(X128+Y128-Z128)&gt;P_Tol),1,0),1))</f>
        <v/>
      </c>
      <c r="BP128" s="124" t="str">
        <f>IF($B128="","",IFERROR(IF(OR(ABS(AR128-SUM(AB128:AM128))&gt;P_Tol,ABS(AS128-(AN128+AO128+AP128+AQ128))&gt;P_Tol),1,0),1))</f>
        <v/>
      </c>
      <c r="BQ128" s="124" t="str">
        <f>IF($B128="","",IFERROR(IF(ABS(AT128)+ABS(AV128)+ABS(AW128)+ABS(AX128)+ABS(AY128)+ABS(AZ128)+ABS(BA128)+ABS(BB128)&gt;0,1,0),1))</f>
        <v/>
      </c>
      <c r="BR128" s="124" t="str">
        <f>IF($B128="","",COUNTIF(STG_ZPMW03!$B$6:$B$505,B128))</f>
        <v/>
      </c>
      <c r="BS128" s="124" t="str">
        <f>IF($B128="","",COUNTIF($B$6:$B$505,B128))</f>
        <v/>
      </c>
      <c r="BT128" s="124" t="str">
        <f>IF($B128="","",IF(BR128=0,0,IF(INDEX(STG_ZPMW03!$I$6:$I$505,MATCH(B128,STG_ZPMW03!$B$6:$B$505,0))=J128&amp;"",0,1)))</f>
        <v/>
      </c>
      <c r="BU128" s="124" t="str">
        <f>IF($B128="","",IFERROR(IF(ABS(INDEX(Mapping!$D$5:$D$104,MATCH(B128,Mapping!$A$5:$A$104,0))-Q128)&gt;P_Tol,1,0),0))</f>
        <v/>
      </c>
      <c r="BV128" s="124" t="str">
        <f>IF($B128="","",IFERROR(IF(AND(INDEX(Mapping!$G$5:$G$104,MATCH(B128,Mapping!$A$5:$A$104,0))="Nee",ABS(Q128)+ABS(Z128)+ABS(AR128)&gt;0),1,0),0))</f>
        <v/>
      </c>
      <c r="BW128" s="124" t="str">
        <f>IF($B128="","",IF(COUNTIF(Mapping!$A$5:$A$104,B128)&gt;0,1,0))</f>
        <v/>
      </c>
      <c r="BX128" s="124" t="str">
        <f>IF($B128="","",IF(BR128=0,COUNTIF($BR$6:BR128,0),""))</f>
        <v/>
      </c>
    </row>
    <row r="129">
      <c r="A129" s="15" t="n">
        <v>125</v>
      </c>
      <c r="B129" t="str">
        <f>IF(B$3=0,"",IF(INDEX(SRC_Woningetalage!$A$1:$ZZ$501,$A129,B$3)&amp;""="","",INDEX(SRC_Woningetalage!$A$1:$ZZ$501,$A129,B$3)&amp;""))</f>
        <v/>
      </c>
      <c r="C129" t="str">
        <f>IF($B129="","",IF(C$3=0,"n.b.",INDEX(SRC_Woningetalage!$A$1:$ZZ$501,$A129,C$3)))</f>
        <v/>
      </c>
      <c r="D129" t="str">
        <f>IF($B129="","",IF(D$3=0,"n.b.",INDEX(SRC_Woningetalage!$A$1:$ZZ$501,$A129,D$3)))</f>
        <v/>
      </c>
      <c r="E129" t="str">
        <f>IF($B129="","",IF(E$3=0,"n.b.",INDEX(SRC_Woningetalage!$A$1:$ZZ$501,$A129,E$3)))</f>
        <v/>
      </c>
      <c r="F129" t="str">
        <f>IF($B129="","",IF(F$3=0,"n.b.",INDEX(SRC_Woningetalage!$A$1:$ZZ$501,$A129,F$3)))</f>
        <v/>
      </c>
      <c r="G129" t="str">
        <f>IF($B129="","",IF(G$3=0,"n.b.",INDEX(SRC_Woningetalage!$A$1:$ZZ$501,$A129,G$3)))</f>
        <v/>
      </c>
      <c r="H129" t="str">
        <f>IF($B129="","",IF(H$3=0,"n.b.",INDEX(SRC_Woningetalage!$A$1:$ZZ$501,$A129,H$3)))</f>
        <v/>
      </c>
      <c r="I129" t="str">
        <f>IF($B129="","",IF(I$3=0,"n.b.",INDEX(SRC_Woningetalage!$A$1:$ZZ$501,$A129,I$3)))</f>
        <v/>
      </c>
      <c r="J129" t="str">
        <f>IF($B129="","",IF(J$3=0,"n.b.",INDEX(SRC_Woningetalage!$A$1:$ZZ$501,$A129,J$3)))</f>
        <v/>
      </c>
      <c r="K129" t="str">
        <f>IF($B129="","",IF(K$3=0,"n.b.",INDEX(SRC_Woningetalage!$A$1:$ZZ$501,$A129,K$3)))</f>
        <v/>
      </c>
      <c r="L129" t="str">
        <f>IF($B129="","",IF(L$3=0,"n.b.",INDEX(SRC_Woningetalage!$A$1:$ZZ$501,$A129,L$3)))</f>
        <v/>
      </c>
      <c r="M129" t="str">
        <f>IF($B129="","",IF(M$3=0,"n.b.",INDEX(SRC_Woningetalage!$A$1:$ZZ$501,$A129,M$3)))</f>
        <v/>
      </c>
      <c r="N129" t="str">
        <f>IF($B129="","",IF(N$3=0,"n.b.",INDEX(SRC_Woningetalage!$A$1:$ZZ$501,$A129,N$3)))</f>
        <v/>
      </c>
      <c r="O129" t="str">
        <f>IF($B129="","",IF(O$3=0,"n.b.",INDEX(SRC_Woningetalage!$A$1:$ZZ$501,$A129,O$3)))</f>
        <v/>
      </c>
      <c r="P129" t="str">
        <f>IF($B129="","",IF(P$3=0,"n.b.",INDEX(SRC_Woningetalage!$A$1:$ZZ$501,$A129,P$3)))</f>
        <v/>
      </c>
      <c r="Q129" s="124" t="str">
        <f>IF($B129="","",IF(Q$3=0,"n.b.",INDEX(SRC_Woningetalage!$A$1:$ZZ$501,$A129,Q$3)))</f>
        <v/>
      </c>
      <c r="R129" s="124" t="str">
        <f>IF($B129="","",IF(R$3=0,"n.b.",INDEX(SRC_Woningetalage!$A$1:$ZZ$501,$A129,R$3)))</f>
        <v/>
      </c>
      <c r="S129" s="124" t="str">
        <f>IF($B129="","",IF(S$3=0,"n.b.",INDEX(SRC_Woningetalage!$A$1:$ZZ$501,$A129,S$3)))</f>
        <v/>
      </c>
      <c r="T129" s="124" t="str">
        <f>IF($B129="","",IF(T$3=0,"n.b.",INDEX(SRC_Woningetalage!$A$1:$ZZ$501,$A129,T$3)))</f>
        <v/>
      </c>
      <c r="U129" s="124" t="str">
        <f>IF($B129="","",IF(U$3=0,"n.b.",INDEX(SRC_Woningetalage!$A$1:$ZZ$501,$A129,U$3)))</f>
        <v/>
      </c>
      <c r="V129" s="124" t="str">
        <f>IF($B129="","",IF(V$3=0,"n.b.",INDEX(SRC_Woningetalage!$A$1:$ZZ$501,$A129,V$3)))</f>
        <v/>
      </c>
      <c r="W129" s="124" t="str">
        <f>IF($B129="","",IF(W$3=0,"n.b.",INDEX(SRC_Woningetalage!$A$1:$ZZ$501,$A129,W$3)))</f>
        <v/>
      </c>
      <c r="X129" s="124" t="str">
        <f>IF($B129="","",IF(X$3=0,"n.b.",INDEX(SRC_Woningetalage!$A$1:$ZZ$501,$A129,X$3)))</f>
        <v/>
      </c>
      <c r="Y129" s="124" t="str">
        <f>IF($B129="","",IF(Y$3=0,"n.b.",INDEX(SRC_Woningetalage!$A$1:$ZZ$501,$A129,Y$3)))</f>
        <v/>
      </c>
      <c r="Z129" s="124" t="str">
        <f>IF($B129="","",IF(Z$3=0,"n.b.",INDEX(SRC_Woningetalage!$A$1:$ZZ$501,$A129,Z$3)))</f>
        <v/>
      </c>
      <c r="AA129" s="124" t="str">
        <f>IF($B129="","",IF(AA$3=0,"n.b.",INDEX(SRC_Woningetalage!$A$1:$ZZ$501,$A129,AA$3)))</f>
        <v/>
      </c>
      <c r="AB129" s="124" t="str">
        <f>IF($B129="","",IF(AB$3=0,"n.b.",INDEX(SRC_Woningetalage!$A$1:$ZZ$501,$A129,AB$3)))</f>
        <v/>
      </c>
      <c r="AC129" s="124" t="str">
        <f>IF($B129="","",IF(AC$3=0,"n.b.",INDEX(SRC_Woningetalage!$A$1:$ZZ$501,$A129,AC$3)))</f>
        <v/>
      </c>
      <c r="AD129" s="124" t="str">
        <f>IF($B129="","",IF(AD$3=0,"n.b.",INDEX(SRC_Woningetalage!$A$1:$ZZ$501,$A129,AD$3)))</f>
        <v/>
      </c>
      <c r="AE129" s="124" t="str">
        <f>IF($B129="","",IF(AE$3=0,"n.b.",INDEX(SRC_Woningetalage!$A$1:$ZZ$501,$A129,AE$3)))</f>
        <v/>
      </c>
      <c r="AF129" s="124" t="str">
        <f>IF($B129="","",IF(AF$3=0,"n.b.",INDEX(SRC_Woningetalage!$A$1:$ZZ$501,$A129,AF$3)))</f>
        <v/>
      </c>
      <c r="AG129" s="124" t="str">
        <f>IF($B129="","",IF(AG$3=0,"n.b.",INDEX(SRC_Woningetalage!$A$1:$ZZ$501,$A129,AG$3)))</f>
        <v/>
      </c>
      <c r="AH129" s="124" t="str">
        <f>IF($B129="","",IF(AH$3=0,"n.b.",INDEX(SRC_Woningetalage!$A$1:$ZZ$501,$A129,AH$3)))</f>
        <v/>
      </c>
      <c r="AI129" s="124" t="str">
        <f>IF($B129="","",IF(AI$3=0,"n.b.",INDEX(SRC_Woningetalage!$A$1:$ZZ$501,$A129,AI$3)))</f>
        <v/>
      </c>
      <c r="AJ129" s="124" t="str">
        <f>IF($B129="","",IF(AJ$3=0,"n.b.",INDEX(SRC_Woningetalage!$A$1:$ZZ$501,$A129,AJ$3)))</f>
        <v/>
      </c>
      <c r="AK129" s="124" t="str">
        <f>IF($B129="","",IF(AK$3=0,"n.b.",INDEX(SRC_Woningetalage!$A$1:$ZZ$501,$A129,AK$3)))</f>
        <v/>
      </c>
      <c r="AL129" s="124" t="str">
        <f>IF($B129="","",IF(AL$3=0,"n.b.",INDEX(SRC_Woningetalage!$A$1:$ZZ$501,$A129,AL$3)))</f>
        <v/>
      </c>
      <c r="AM129" s="124" t="str">
        <f>IF($B129="","",IF(AM$3=0,"n.b.",INDEX(SRC_Woningetalage!$A$1:$ZZ$501,$A129,AM$3)))</f>
        <v/>
      </c>
      <c r="AN129" s="124" t="str">
        <f>IF($B129="","",IF(AN$3=0,"n.b.",INDEX(SRC_Woningetalage!$A$1:$ZZ$501,$A129,AN$3)))</f>
        <v/>
      </c>
      <c r="AO129" s="124" t="str">
        <f>IF($B129="","",IF(AO$3=0,"n.b.",INDEX(SRC_Woningetalage!$A$1:$ZZ$501,$A129,AO$3)))</f>
        <v/>
      </c>
      <c r="AP129" s="124" t="str">
        <f>IF($B129="","",IF(AP$3=0,"n.b.",INDEX(SRC_Woningetalage!$A$1:$ZZ$501,$A129,AP$3)))</f>
        <v/>
      </c>
      <c r="AQ129" s="124" t="str">
        <f>IF($B129="","",IF(AQ$3=0,"n.b.",INDEX(SRC_Woningetalage!$A$1:$ZZ$501,$A129,AQ$3)))</f>
        <v/>
      </c>
      <c r="AR129" s="124" t="str">
        <f>IF($B129="","",IF(AR$3=0,"n.b.",INDEX(SRC_Woningetalage!$A$1:$ZZ$501,$A129,AR$3)))</f>
        <v/>
      </c>
      <c r="AS129" s="124" t="str">
        <f>IF($B129="","",IF(AS$3=0,"n.b.",INDEX(SRC_Woningetalage!$A$1:$ZZ$501,$A129,AS$3)))</f>
        <v/>
      </c>
      <c r="AT129" s="124" t="str">
        <f>IF($B129="","",IF(AT$3=0,"n.b.",INDEX(SRC_Woningetalage!$A$1:$ZZ$501,$A129,AT$3)))</f>
        <v/>
      </c>
      <c r="AU129" s="124" t="str">
        <f>IF($B129="","",IF(AU$3=0,"n.b.",INDEX(SRC_Woningetalage!$A$1:$ZZ$501,$A129,AU$3)))</f>
        <v/>
      </c>
      <c r="AV129" s="124" t="str">
        <f>IF($B129="","",IF(AV$3=0,"n.b.",INDEX(SRC_Woningetalage!$A$1:$ZZ$501,$A129,AV$3)))</f>
        <v/>
      </c>
      <c r="AW129" s="124" t="str">
        <f>IF($B129="","",IF(AW$3=0,"n.b.",INDEX(SRC_Woningetalage!$A$1:$ZZ$501,$A129,AW$3)))</f>
        <v/>
      </c>
      <c r="AX129" s="124" t="str">
        <f>IF($B129="","",IF(AX$3=0,"n.b.",INDEX(SRC_Woningetalage!$A$1:$ZZ$501,$A129,AX$3)))</f>
        <v/>
      </c>
      <c r="AY129" s="124" t="str">
        <f>IF($B129="","",IF(AY$3=0,"n.b.",INDEX(SRC_Woningetalage!$A$1:$ZZ$501,$A129,AY$3)))</f>
        <v/>
      </c>
      <c r="AZ129" s="124" t="str">
        <f>IF($B129="","",IF(AZ$3=0,"n.b.",INDEX(SRC_Woningetalage!$A$1:$ZZ$501,$A129,AZ$3)))</f>
        <v/>
      </c>
      <c r="BA129" s="124" t="str">
        <f>IF($B129="","",IF(BA$3=0,"n.b.",INDEX(SRC_Woningetalage!$A$1:$ZZ$501,$A129,BA$3)))</f>
        <v/>
      </c>
      <c r="BB129" s="124" t="str">
        <f>IF($B129="","",IF(BB$3=0,"n.b.",INDEX(SRC_Woningetalage!$A$1:$ZZ$501,$A129,BB$3)))</f>
        <v/>
      </c>
      <c r="BC129" s="124" t="str">
        <f>IF($B129="","",IFERROR(_xlfn.NUMBERVALUE(E129&amp;"",",","."),"n.b."))</f>
        <v/>
      </c>
      <c r="BD129" s="124" t="str">
        <f>IF($B129="","",IFERROR(_xlfn.NUMBERVALUE(M129&amp;"",",","."),"n.b."))</f>
        <v/>
      </c>
      <c r="BE129" s="124" t="str">
        <f>IF($B129="","",IFERROR(AB129+AC129+AD129,"n.b."))</f>
        <v/>
      </c>
      <c r="BF129" s="124" t="str">
        <f>IF($B129="","",IFERROR(AE129+AF129+AG129,"n.b."))</f>
        <v/>
      </c>
      <c r="BG129" s="124" t="str">
        <f>IF($B129="","",IFERROR(AH129+AI129+AJ129,"n.b."))</f>
        <v/>
      </c>
      <c r="BH129" s="124" t="str">
        <f>IF($B129="","",IFERROR(AK129+AL129+AM129,"n.b."))</f>
        <v/>
      </c>
      <c r="BI129" s="124" t="str">
        <f>IF($B129="","",IFERROR(SUMIF($AB$5:$AM$5,"&lt;="&amp;P_PeilMaand,AB129:AM129),"n.b."))</f>
        <v/>
      </c>
      <c r="BJ129" s="124" t="str">
        <f>IF($B129="","",IFERROR(SUM(AB129:AM129)-BI129,"n.b."))</f>
        <v/>
      </c>
      <c r="BK129" s="124" t="str">
        <f>IF($B129="","",IFERROR(IF(ABS(Q129-(T129+SUM(AB129:AM129)+AS129+AU129))&gt;P_Tol,1,0),1))</f>
        <v/>
      </c>
      <c r="BL129" s="124" t="str">
        <f>IF($B129="","",IFERROR(IF(ABS(AA129-(Q129-Z129))&gt;P_Tol,1,0),1))</f>
        <v/>
      </c>
      <c r="BM129" s="124" t="str">
        <f>IF($B129="","",IFERROR(IF(ABS(Z129-(T129+W129))&gt;P_Tol,1,0),1))</f>
        <v/>
      </c>
      <c r="BN129" s="124" t="str">
        <f>IF($B129="","",IFERROR(IF(ABS(W129-BI129)&gt;P_Tol,1,0),1))</f>
        <v/>
      </c>
      <c r="BO129" s="124" t="str">
        <f>IF($B129="","",IFERROR(IF(OR(ABS(R129+S129-T129)&gt;P_Tol,ABS(U129+V129-W129)&gt;P_Tol,ABS(X129+Y129-Z129)&gt;P_Tol),1,0),1))</f>
        <v/>
      </c>
      <c r="BP129" s="124" t="str">
        <f>IF($B129="","",IFERROR(IF(OR(ABS(AR129-SUM(AB129:AM129))&gt;P_Tol,ABS(AS129-(AN129+AO129+AP129+AQ129))&gt;P_Tol),1,0),1))</f>
        <v/>
      </c>
      <c r="BQ129" s="124" t="str">
        <f>IF($B129="","",IFERROR(IF(ABS(AT129)+ABS(AV129)+ABS(AW129)+ABS(AX129)+ABS(AY129)+ABS(AZ129)+ABS(BA129)+ABS(BB129)&gt;0,1,0),1))</f>
        <v/>
      </c>
      <c r="BR129" s="124" t="str">
        <f>IF($B129="","",COUNTIF(STG_ZPMW03!$B$6:$B$505,B129))</f>
        <v/>
      </c>
      <c r="BS129" s="124" t="str">
        <f>IF($B129="","",COUNTIF($B$6:$B$505,B129))</f>
        <v/>
      </c>
      <c r="BT129" s="124" t="str">
        <f>IF($B129="","",IF(BR129=0,0,IF(INDEX(STG_ZPMW03!$I$6:$I$505,MATCH(B129,STG_ZPMW03!$B$6:$B$505,0))=J129&amp;"",0,1)))</f>
        <v/>
      </c>
      <c r="BU129" s="124" t="str">
        <f>IF($B129="","",IFERROR(IF(ABS(INDEX(Mapping!$D$5:$D$104,MATCH(B129,Mapping!$A$5:$A$104,0))-Q129)&gt;P_Tol,1,0),0))</f>
        <v/>
      </c>
      <c r="BV129" s="124" t="str">
        <f>IF($B129="","",IFERROR(IF(AND(INDEX(Mapping!$G$5:$G$104,MATCH(B129,Mapping!$A$5:$A$104,0))="Nee",ABS(Q129)+ABS(Z129)+ABS(AR129)&gt;0),1,0),0))</f>
        <v/>
      </c>
      <c r="BW129" s="124" t="str">
        <f>IF($B129="","",IF(COUNTIF(Mapping!$A$5:$A$104,B129)&gt;0,1,0))</f>
        <v/>
      </c>
      <c r="BX129" s="124" t="str">
        <f>IF($B129="","",IF(BR129=0,COUNTIF($BR$6:BR129,0),""))</f>
        <v/>
      </c>
    </row>
    <row r="130">
      <c r="A130" s="15" t="n">
        <v>126</v>
      </c>
      <c r="B130" t="str">
        <f>IF(B$3=0,"",IF(INDEX(SRC_Woningetalage!$A$1:$ZZ$501,$A130,B$3)&amp;""="","",INDEX(SRC_Woningetalage!$A$1:$ZZ$501,$A130,B$3)&amp;""))</f>
        <v/>
      </c>
      <c r="C130" t="str">
        <f>IF($B130="","",IF(C$3=0,"n.b.",INDEX(SRC_Woningetalage!$A$1:$ZZ$501,$A130,C$3)))</f>
        <v/>
      </c>
      <c r="D130" t="str">
        <f>IF($B130="","",IF(D$3=0,"n.b.",INDEX(SRC_Woningetalage!$A$1:$ZZ$501,$A130,D$3)))</f>
        <v/>
      </c>
      <c r="E130" t="str">
        <f>IF($B130="","",IF(E$3=0,"n.b.",INDEX(SRC_Woningetalage!$A$1:$ZZ$501,$A130,E$3)))</f>
        <v/>
      </c>
      <c r="F130" t="str">
        <f>IF($B130="","",IF(F$3=0,"n.b.",INDEX(SRC_Woningetalage!$A$1:$ZZ$501,$A130,F$3)))</f>
        <v/>
      </c>
      <c r="G130" t="str">
        <f>IF($B130="","",IF(G$3=0,"n.b.",INDEX(SRC_Woningetalage!$A$1:$ZZ$501,$A130,G$3)))</f>
        <v/>
      </c>
      <c r="H130" t="str">
        <f>IF($B130="","",IF(H$3=0,"n.b.",INDEX(SRC_Woningetalage!$A$1:$ZZ$501,$A130,H$3)))</f>
        <v/>
      </c>
      <c r="I130" t="str">
        <f>IF($B130="","",IF(I$3=0,"n.b.",INDEX(SRC_Woningetalage!$A$1:$ZZ$501,$A130,I$3)))</f>
        <v/>
      </c>
      <c r="J130" t="str">
        <f>IF($B130="","",IF(J$3=0,"n.b.",INDEX(SRC_Woningetalage!$A$1:$ZZ$501,$A130,J$3)))</f>
        <v/>
      </c>
      <c r="K130" t="str">
        <f>IF($B130="","",IF(K$3=0,"n.b.",INDEX(SRC_Woningetalage!$A$1:$ZZ$501,$A130,K$3)))</f>
        <v/>
      </c>
      <c r="L130" t="str">
        <f>IF($B130="","",IF(L$3=0,"n.b.",INDEX(SRC_Woningetalage!$A$1:$ZZ$501,$A130,L$3)))</f>
        <v/>
      </c>
      <c r="M130" t="str">
        <f>IF($B130="","",IF(M$3=0,"n.b.",INDEX(SRC_Woningetalage!$A$1:$ZZ$501,$A130,M$3)))</f>
        <v/>
      </c>
      <c r="N130" t="str">
        <f>IF($B130="","",IF(N$3=0,"n.b.",INDEX(SRC_Woningetalage!$A$1:$ZZ$501,$A130,N$3)))</f>
        <v/>
      </c>
      <c r="O130" t="str">
        <f>IF($B130="","",IF(O$3=0,"n.b.",INDEX(SRC_Woningetalage!$A$1:$ZZ$501,$A130,O$3)))</f>
        <v/>
      </c>
      <c r="P130" t="str">
        <f>IF($B130="","",IF(P$3=0,"n.b.",INDEX(SRC_Woningetalage!$A$1:$ZZ$501,$A130,P$3)))</f>
        <v/>
      </c>
      <c r="Q130" s="124" t="str">
        <f>IF($B130="","",IF(Q$3=0,"n.b.",INDEX(SRC_Woningetalage!$A$1:$ZZ$501,$A130,Q$3)))</f>
        <v/>
      </c>
      <c r="R130" s="124" t="str">
        <f>IF($B130="","",IF(R$3=0,"n.b.",INDEX(SRC_Woningetalage!$A$1:$ZZ$501,$A130,R$3)))</f>
        <v/>
      </c>
      <c r="S130" s="124" t="str">
        <f>IF($B130="","",IF(S$3=0,"n.b.",INDEX(SRC_Woningetalage!$A$1:$ZZ$501,$A130,S$3)))</f>
        <v/>
      </c>
      <c r="T130" s="124" t="str">
        <f>IF($B130="","",IF(T$3=0,"n.b.",INDEX(SRC_Woningetalage!$A$1:$ZZ$501,$A130,T$3)))</f>
        <v/>
      </c>
      <c r="U130" s="124" t="str">
        <f>IF($B130="","",IF(U$3=0,"n.b.",INDEX(SRC_Woningetalage!$A$1:$ZZ$501,$A130,U$3)))</f>
        <v/>
      </c>
      <c r="V130" s="124" t="str">
        <f>IF($B130="","",IF(V$3=0,"n.b.",INDEX(SRC_Woningetalage!$A$1:$ZZ$501,$A130,V$3)))</f>
        <v/>
      </c>
      <c r="W130" s="124" t="str">
        <f>IF($B130="","",IF(W$3=0,"n.b.",INDEX(SRC_Woningetalage!$A$1:$ZZ$501,$A130,W$3)))</f>
        <v/>
      </c>
      <c r="X130" s="124" t="str">
        <f>IF($B130="","",IF(X$3=0,"n.b.",INDEX(SRC_Woningetalage!$A$1:$ZZ$501,$A130,X$3)))</f>
        <v/>
      </c>
      <c r="Y130" s="124" t="str">
        <f>IF($B130="","",IF(Y$3=0,"n.b.",INDEX(SRC_Woningetalage!$A$1:$ZZ$501,$A130,Y$3)))</f>
        <v/>
      </c>
      <c r="Z130" s="124" t="str">
        <f>IF($B130="","",IF(Z$3=0,"n.b.",INDEX(SRC_Woningetalage!$A$1:$ZZ$501,$A130,Z$3)))</f>
        <v/>
      </c>
      <c r="AA130" s="124" t="str">
        <f>IF($B130="","",IF(AA$3=0,"n.b.",INDEX(SRC_Woningetalage!$A$1:$ZZ$501,$A130,AA$3)))</f>
        <v/>
      </c>
      <c r="AB130" s="124" t="str">
        <f>IF($B130="","",IF(AB$3=0,"n.b.",INDEX(SRC_Woningetalage!$A$1:$ZZ$501,$A130,AB$3)))</f>
        <v/>
      </c>
      <c r="AC130" s="124" t="str">
        <f>IF($B130="","",IF(AC$3=0,"n.b.",INDEX(SRC_Woningetalage!$A$1:$ZZ$501,$A130,AC$3)))</f>
        <v/>
      </c>
      <c r="AD130" s="124" t="str">
        <f>IF($B130="","",IF(AD$3=0,"n.b.",INDEX(SRC_Woningetalage!$A$1:$ZZ$501,$A130,AD$3)))</f>
        <v/>
      </c>
      <c r="AE130" s="124" t="str">
        <f>IF($B130="","",IF(AE$3=0,"n.b.",INDEX(SRC_Woningetalage!$A$1:$ZZ$501,$A130,AE$3)))</f>
        <v/>
      </c>
      <c r="AF130" s="124" t="str">
        <f>IF($B130="","",IF(AF$3=0,"n.b.",INDEX(SRC_Woningetalage!$A$1:$ZZ$501,$A130,AF$3)))</f>
        <v/>
      </c>
      <c r="AG130" s="124" t="str">
        <f>IF($B130="","",IF(AG$3=0,"n.b.",INDEX(SRC_Woningetalage!$A$1:$ZZ$501,$A130,AG$3)))</f>
        <v/>
      </c>
      <c r="AH130" s="124" t="str">
        <f>IF($B130="","",IF(AH$3=0,"n.b.",INDEX(SRC_Woningetalage!$A$1:$ZZ$501,$A130,AH$3)))</f>
        <v/>
      </c>
      <c r="AI130" s="124" t="str">
        <f>IF($B130="","",IF(AI$3=0,"n.b.",INDEX(SRC_Woningetalage!$A$1:$ZZ$501,$A130,AI$3)))</f>
        <v/>
      </c>
      <c r="AJ130" s="124" t="str">
        <f>IF($B130="","",IF(AJ$3=0,"n.b.",INDEX(SRC_Woningetalage!$A$1:$ZZ$501,$A130,AJ$3)))</f>
        <v/>
      </c>
      <c r="AK130" s="124" t="str">
        <f>IF($B130="","",IF(AK$3=0,"n.b.",INDEX(SRC_Woningetalage!$A$1:$ZZ$501,$A130,AK$3)))</f>
        <v/>
      </c>
      <c r="AL130" s="124" t="str">
        <f>IF($B130="","",IF(AL$3=0,"n.b.",INDEX(SRC_Woningetalage!$A$1:$ZZ$501,$A130,AL$3)))</f>
        <v/>
      </c>
      <c r="AM130" s="124" t="str">
        <f>IF($B130="","",IF(AM$3=0,"n.b.",INDEX(SRC_Woningetalage!$A$1:$ZZ$501,$A130,AM$3)))</f>
        <v/>
      </c>
      <c r="AN130" s="124" t="str">
        <f>IF($B130="","",IF(AN$3=0,"n.b.",INDEX(SRC_Woningetalage!$A$1:$ZZ$501,$A130,AN$3)))</f>
        <v/>
      </c>
      <c r="AO130" s="124" t="str">
        <f>IF($B130="","",IF(AO$3=0,"n.b.",INDEX(SRC_Woningetalage!$A$1:$ZZ$501,$A130,AO$3)))</f>
        <v/>
      </c>
      <c r="AP130" s="124" t="str">
        <f>IF($B130="","",IF(AP$3=0,"n.b.",INDEX(SRC_Woningetalage!$A$1:$ZZ$501,$A130,AP$3)))</f>
        <v/>
      </c>
      <c r="AQ130" s="124" t="str">
        <f>IF($B130="","",IF(AQ$3=0,"n.b.",INDEX(SRC_Woningetalage!$A$1:$ZZ$501,$A130,AQ$3)))</f>
        <v/>
      </c>
      <c r="AR130" s="124" t="str">
        <f>IF($B130="","",IF(AR$3=0,"n.b.",INDEX(SRC_Woningetalage!$A$1:$ZZ$501,$A130,AR$3)))</f>
        <v/>
      </c>
      <c r="AS130" s="124" t="str">
        <f>IF($B130="","",IF(AS$3=0,"n.b.",INDEX(SRC_Woningetalage!$A$1:$ZZ$501,$A130,AS$3)))</f>
        <v/>
      </c>
      <c r="AT130" s="124" t="str">
        <f>IF($B130="","",IF(AT$3=0,"n.b.",INDEX(SRC_Woningetalage!$A$1:$ZZ$501,$A130,AT$3)))</f>
        <v/>
      </c>
      <c r="AU130" s="124" t="str">
        <f>IF($B130="","",IF(AU$3=0,"n.b.",INDEX(SRC_Woningetalage!$A$1:$ZZ$501,$A130,AU$3)))</f>
        <v/>
      </c>
      <c r="AV130" s="124" t="str">
        <f>IF($B130="","",IF(AV$3=0,"n.b.",INDEX(SRC_Woningetalage!$A$1:$ZZ$501,$A130,AV$3)))</f>
        <v/>
      </c>
      <c r="AW130" s="124" t="str">
        <f>IF($B130="","",IF(AW$3=0,"n.b.",INDEX(SRC_Woningetalage!$A$1:$ZZ$501,$A130,AW$3)))</f>
        <v/>
      </c>
      <c r="AX130" s="124" t="str">
        <f>IF($B130="","",IF(AX$3=0,"n.b.",INDEX(SRC_Woningetalage!$A$1:$ZZ$501,$A130,AX$3)))</f>
        <v/>
      </c>
      <c r="AY130" s="124" t="str">
        <f>IF($B130="","",IF(AY$3=0,"n.b.",INDEX(SRC_Woningetalage!$A$1:$ZZ$501,$A130,AY$3)))</f>
        <v/>
      </c>
      <c r="AZ130" s="124" t="str">
        <f>IF($B130="","",IF(AZ$3=0,"n.b.",INDEX(SRC_Woningetalage!$A$1:$ZZ$501,$A130,AZ$3)))</f>
        <v/>
      </c>
      <c r="BA130" s="124" t="str">
        <f>IF($B130="","",IF(BA$3=0,"n.b.",INDEX(SRC_Woningetalage!$A$1:$ZZ$501,$A130,BA$3)))</f>
        <v/>
      </c>
      <c r="BB130" s="124" t="str">
        <f>IF($B130="","",IF(BB$3=0,"n.b.",INDEX(SRC_Woningetalage!$A$1:$ZZ$501,$A130,BB$3)))</f>
        <v/>
      </c>
      <c r="BC130" s="124" t="str">
        <f>IF($B130="","",IFERROR(_xlfn.NUMBERVALUE(E130&amp;"",",","."),"n.b."))</f>
        <v/>
      </c>
      <c r="BD130" s="124" t="str">
        <f>IF($B130="","",IFERROR(_xlfn.NUMBERVALUE(M130&amp;"",",","."),"n.b."))</f>
        <v/>
      </c>
      <c r="BE130" s="124" t="str">
        <f>IF($B130="","",IFERROR(AB130+AC130+AD130,"n.b."))</f>
        <v/>
      </c>
      <c r="BF130" s="124" t="str">
        <f>IF($B130="","",IFERROR(AE130+AF130+AG130,"n.b."))</f>
        <v/>
      </c>
      <c r="BG130" s="124" t="str">
        <f>IF($B130="","",IFERROR(AH130+AI130+AJ130,"n.b."))</f>
        <v/>
      </c>
      <c r="BH130" s="124" t="str">
        <f>IF($B130="","",IFERROR(AK130+AL130+AM130,"n.b."))</f>
        <v/>
      </c>
      <c r="BI130" s="124" t="str">
        <f>IF($B130="","",IFERROR(SUMIF($AB$5:$AM$5,"&lt;="&amp;P_PeilMaand,AB130:AM130),"n.b."))</f>
        <v/>
      </c>
      <c r="BJ130" s="124" t="str">
        <f>IF($B130="","",IFERROR(SUM(AB130:AM130)-BI130,"n.b."))</f>
        <v/>
      </c>
      <c r="BK130" s="124" t="str">
        <f>IF($B130="","",IFERROR(IF(ABS(Q130-(T130+SUM(AB130:AM130)+AS130+AU130))&gt;P_Tol,1,0),1))</f>
        <v/>
      </c>
      <c r="BL130" s="124" t="str">
        <f>IF($B130="","",IFERROR(IF(ABS(AA130-(Q130-Z130))&gt;P_Tol,1,0),1))</f>
        <v/>
      </c>
      <c r="BM130" s="124" t="str">
        <f>IF($B130="","",IFERROR(IF(ABS(Z130-(T130+W130))&gt;P_Tol,1,0),1))</f>
        <v/>
      </c>
      <c r="BN130" s="124" t="str">
        <f>IF($B130="","",IFERROR(IF(ABS(W130-BI130)&gt;P_Tol,1,0),1))</f>
        <v/>
      </c>
      <c r="BO130" s="124" t="str">
        <f>IF($B130="","",IFERROR(IF(OR(ABS(R130+S130-T130)&gt;P_Tol,ABS(U130+V130-W130)&gt;P_Tol,ABS(X130+Y130-Z130)&gt;P_Tol),1,0),1))</f>
        <v/>
      </c>
      <c r="BP130" s="124" t="str">
        <f>IF($B130="","",IFERROR(IF(OR(ABS(AR130-SUM(AB130:AM130))&gt;P_Tol,ABS(AS130-(AN130+AO130+AP130+AQ130))&gt;P_Tol),1,0),1))</f>
        <v/>
      </c>
      <c r="BQ130" s="124" t="str">
        <f>IF($B130="","",IFERROR(IF(ABS(AT130)+ABS(AV130)+ABS(AW130)+ABS(AX130)+ABS(AY130)+ABS(AZ130)+ABS(BA130)+ABS(BB130)&gt;0,1,0),1))</f>
        <v/>
      </c>
      <c r="BR130" s="124" t="str">
        <f>IF($B130="","",COUNTIF(STG_ZPMW03!$B$6:$B$505,B130))</f>
        <v/>
      </c>
      <c r="BS130" s="124" t="str">
        <f>IF($B130="","",COUNTIF($B$6:$B$505,B130))</f>
        <v/>
      </c>
      <c r="BT130" s="124" t="str">
        <f>IF($B130="","",IF(BR130=0,0,IF(INDEX(STG_ZPMW03!$I$6:$I$505,MATCH(B130,STG_ZPMW03!$B$6:$B$505,0))=J130&amp;"",0,1)))</f>
        <v/>
      </c>
      <c r="BU130" s="124" t="str">
        <f>IF($B130="","",IFERROR(IF(ABS(INDEX(Mapping!$D$5:$D$104,MATCH(B130,Mapping!$A$5:$A$104,0))-Q130)&gt;P_Tol,1,0),0))</f>
        <v/>
      </c>
      <c r="BV130" s="124" t="str">
        <f>IF($B130="","",IFERROR(IF(AND(INDEX(Mapping!$G$5:$G$104,MATCH(B130,Mapping!$A$5:$A$104,0))="Nee",ABS(Q130)+ABS(Z130)+ABS(AR130)&gt;0),1,0),0))</f>
        <v/>
      </c>
      <c r="BW130" s="124" t="str">
        <f>IF($B130="","",IF(COUNTIF(Mapping!$A$5:$A$104,B130)&gt;0,1,0))</f>
        <v/>
      </c>
      <c r="BX130" s="124" t="str">
        <f>IF($B130="","",IF(BR130=0,COUNTIF($BR$6:BR130,0),""))</f>
        <v/>
      </c>
    </row>
    <row r="131">
      <c r="A131" s="15" t="n">
        <v>127</v>
      </c>
      <c r="B131" t="str">
        <f>IF(B$3=0,"",IF(INDEX(SRC_Woningetalage!$A$1:$ZZ$501,$A131,B$3)&amp;""="","",INDEX(SRC_Woningetalage!$A$1:$ZZ$501,$A131,B$3)&amp;""))</f>
        <v/>
      </c>
      <c r="C131" t="str">
        <f>IF($B131="","",IF(C$3=0,"n.b.",INDEX(SRC_Woningetalage!$A$1:$ZZ$501,$A131,C$3)))</f>
        <v/>
      </c>
      <c r="D131" t="str">
        <f>IF($B131="","",IF(D$3=0,"n.b.",INDEX(SRC_Woningetalage!$A$1:$ZZ$501,$A131,D$3)))</f>
        <v/>
      </c>
      <c r="E131" t="str">
        <f>IF($B131="","",IF(E$3=0,"n.b.",INDEX(SRC_Woningetalage!$A$1:$ZZ$501,$A131,E$3)))</f>
        <v/>
      </c>
      <c r="F131" t="str">
        <f>IF($B131="","",IF(F$3=0,"n.b.",INDEX(SRC_Woningetalage!$A$1:$ZZ$501,$A131,F$3)))</f>
        <v/>
      </c>
      <c r="G131" t="str">
        <f>IF($B131="","",IF(G$3=0,"n.b.",INDEX(SRC_Woningetalage!$A$1:$ZZ$501,$A131,G$3)))</f>
        <v/>
      </c>
      <c r="H131" t="str">
        <f>IF($B131="","",IF(H$3=0,"n.b.",INDEX(SRC_Woningetalage!$A$1:$ZZ$501,$A131,H$3)))</f>
        <v/>
      </c>
      <c r="I131" t="str">
        <f>IF($B131="","",IF(I$3=0,"n.b.",INDEX(SRC_Woningetalage!$A$1:$ZZ$501,$A131,I$3)))</f>
        <v/>
      </c>
      <c r="J131" t="str">
        <f>IF($B131="","",IF(J$3=0,"n.b.",INDEX(SRC_Woningetalage!$A$1:$ZZ$501,$A131,J$3)))</f>
        <v/>
      </c>
      <c r="K131" t="str">
        <f>IF($B131="","",IF(K$3=0,"n.b.",INDEX(SRC_Woningetalage!$A$1:$ZZ$501,$A131,K$3)))</f>
        <v/>
      </c>
      <c r="L131" t="str">
        <f>IF($B131="","",IF(L$3=0,"n.b.",INDEX(SRC_Woningetalage!$A$1:$ZZ$501,$A131,L$3)))</f>
        <v/>
      </c>
      <c r="M131" t="str">
        <f>IF($B131="","",IF(M$3=0,"n.b.",INDEX(SRC_Woningetalage!$A$1:$ZZ$501,$A131,M$3)))</f>
        <v/>
      </c>
      <c r="N131" t="str">
        <f>IF($B131="","",IF(N$3=0,"n.b.",INDEX(SRC_Woningetalage!$A$1:$ZZ$501,$A131,N$3)))</f>
        <v/>
      </c>
      <c r="O131" t="str">
        <f>IF($B131="","",IF(O$3=0,"n.b.",INDEX(SRC_Woningetalage!$A$1:$ZZ$501,$A131,O$3)))</f>
        <v/>
      </c>
      <c r="P131" t="str">
        <f>IF($B131="","",IF(P$3=0,"n.b.",INDEX(SRC_Woningetalage!$A$1:$ZZ$501,$A131,P$3)))</f>
        <v/>
      </c>
      <c r="Q131" s="124" t="str">
        <f>IF($B131="","",IF(Q$3=0,"n.b.",INDEX(SRC_Woningetalage!$A$1:$ZZ$501,$A131,Q$3)))</f>
        <v/>
      </c>
      <c r="R131" s="124" t="str">
        <f>IF($B131="","",IF(R$3=0,"n.b.",INDEX(SRC_Woningetalage!$A$1:$ZZ$501,$A131,R$3)))</f>
        <v/>
      </c>
      <c r="S131" s="124" t="str">
        <f>IF($B131="","",IF(S$3=0,"n.b.",INDEX(SRC_Woningetalage!$A$1:$ZZ$501,$A131,S$3)))</f>
        <v/>
      </c>
      <c r="T131" s="124" t="str">
        <f>IF($B131="","",IF(T$3=0,"n.b.",INDEX(SRC_Woningetalage!$A$1:$ZZ$501,$A131,T$3)))</f>
        <v/>
      </c>
      <c r="U131" s="124" t="str">
        <f>IF($B131="","",IF(U$3=0,"n.b.",INDEX(SRC_Woningetalage!$A$1:$ZZ$501,$A131,U$3)))</f>
        <v/>
      </c>
      <c r="V131" s="124" t="str">
        <f>IF($B131="","",IF(V$3=0,"n.b.",INDEX(SRC_Woningetalage!$A$1:$ZZ$501,$A131,V$3)))</f>
        <v/>
      </c>
      <c r="W131" s="124" t="str">
        <f>IF($B131="","",IF(W$3=0,"n.b.",INDEX(SRC_Woningetalage!$A$1:$ZZ$501,$A131,W$3)))</f>
        <v/>
      </c>
      <c r="X131" s="124" t="str">
        <f>IF($B131="","",IF(X$3=0,"n.b.",INDEX(SRC_Woningetalage!$A$1:$ZZ$501,$A131,X$3)))</f>
        <v/>
      </c>
      <c r="Y131" s="124" t="str">
        <f>IF($B131="","",IF(Y$3=0,"n.b.",INDEX(SRC_Woningetalage!$A$1:$ZZ$501,$A131,Y$3)))</f>
        <v/>
      </c>
      <c r="Z131" s="124" t="str">
        <f>IF($B131="","",IF(Z$3=0,"n.b.",INDEX(SRC_Woningetalage!$A$1:$ZZ$501,$A131,Z$3)))</f>
        <v/>
      </c>
      <c r="AA131" s="124" t="str">
        <f>IF($B131="","",IF(AA$3=0,"n.b.",INDEX(SRC_Woningetalage!$A$1:$ZZ$501,$A131,AA$3)))</f>
        <v/>
      </c>
      <c r="AB131" s="124" t="str">
        <f>IF($B131="","",IF(AB$3=0,"n.b.",INDEX(SRC_Woningetalage!$A$1:$ZZ$501,$A131,AB$3)))</f>
        <v/>
      </c>
      <c r="AC131" s="124" t="str">
        <f>IF($B131="","",IF(AC$3=0,"n.b.",INDEX(SRC_Woningetalage!$A$1:$ZZ$501,$A131,AC$3)))</f>
        <v/>
      </c>
      <c r="AD131" s="124" t="str">
        <f>IF($B131="","",IF(AD$3=0,"n.b.",INDEX(SRC_Woningetalage!$A$1:$ZZ$501,$A131,AD$3)))</f>
        <v/>
      </c>
      <c r="AE131" s="124" t="str">
        <f>IF($B131="","",IF(AE$3=0,"n.b.",INDEX(SRC_Woningetalage!$A$1:$ZZ$501,$A131,AE$3)))</f>
        <v/>
      </c>
      <c r="AF131" s="124" t="str">
        <f>IF($B131="","",IF(AF$3=0,"n.b.",INDEX(SRC_Woningetalage!$A$1:$ZZ$501,$A131,AF$3)))</f>
        <v/>
      </c>
      <c r="AG131" s="124" t="str">
        <f>IF($B131="","",IF(AG$3=0,"n.b.",INDEX(SRC_Woningetalage!$A$1:$ZZ$501,$A131,AG$3)))</f>
        <v/>
      </c>
      <c r="AH131" s="124" t="str">
        <f>IF($B131="","",IF(AH$3=0,"n.b.",INDEX(SRC_Woningetalage!$A$1:$ZZ$501,$A131,AH$3)))</f>
        <v/>
      </c>
      <c r="AI131" s="124" t="str">
        <f>IF($B131="","",IF(AI$3=0,"n.b.",INDEX(SRC_Woningetalage!$A$1:$ZZ$501,$A131,AI$3)))</f>
        <v/>
      </c>
      <c r="AJ131" s="124" t="str">
        <f>IF($B131="","",IF(AJ$3=0,"n.b.",INDEX(SRC_Woningetalage!$A$1:$ZZ$501,$A131,AJ$3)))</f>
        <v/>
      </c>
      <c r="AK131" s="124" t="str">
        <f>IF($B131="","",IF(AK$3=0,"n.b.",INDEX(SRC_Woningetalage!$A$1:$ZZ$501,$A131,AK$3)))</f>
        <v/>
      </c>
      <c r="AL131" s="124" t="str">
        <f>IF($B131="","",IF(AL$3=0,"n.b.",INDEX(SRC_Woningetalage!$A$1:$ZZ$501,$A131,AL$3)))</f>
        <v/>
      </c>
      <c r="AM131" s="124" t="str">
        <f>IF($B131="","",IF(AM$3=0,"n.b.",INDEX(SRC_Woningetalage!$A$1:$ZZ$501,$A131,AM$3)))</f>
        <v/>
      </c>
      <c r="AN131" s="124" t="str">
        <f>IF($B131="","",IF(AN$3=0,"n.b.",INDEX(SRC_Woningetalage!$A$1:$ZZ$501,$A131,AN$3)))</f>
        <v/>
      </c>
      <c r="AO131" s="124" t="str">
        <f>IF($B131="","",IF(AO$3=0,"n.b.",INDEX(SRC_Woningetalage!$A$1:$ZZ$501,$A131,AO$3)))</f>
        <v/>
      </c>
      <c r="AP131" s="124" t="str">
        <f>IF($B131="","",IF(AP$3=0,"n.b.",INDEX(SRC_Woningetalage!$A$1:$ZZ$501,$A131,AP$3)))</f>
        <v/>
      </c>
      <c r="AQ131" s="124" t="str">
        <f>IF($B131="","",IF(AQ$3=0,"n.b.",INDEX(SRC_Woningetalage!$A$1:$ZZ$501,$A131,AQ$3)))</f>
        <v/>
      </c>
      <c r="AR131" s="124" t="str">
        <f>IF($B131="","",IF(AR$3=0,"n.b.",INDEX(SRC_Woningetalage!$A$1:$ZZ$501,$A131,AR$3)))</f>
        <v/>
      </c>
      <c r="AS131" s="124" t="str">
        <f>IF($B131="","",IF(AS$3=0,"n.b.",INDEX(SRC_Woningetalage!$A$1:$ZZ$501,$A131,AS$3)))</f>
        <v/>
      </c>
      <c r="AT131" s="124" t="str">
        <f>IF($B131="","",IF(AT$3=0,"n.b.",INDEX(SRC_Woningetalage!$A$1:$ZZ$501,$A131,AT$3)))</f>
        <v/>
      </c>
      <c r="AU131" s="124" t="str">
        <f>IF($B131="","",IF(AU$3=0,"n.b.",INDEX(SRC_Woningetalage!$A$1:$ZZ$501,$A131,AU$3)))</f>
        <v/>
      </c>
      <c r="AV131" s="124" t="str">
        <f>IF($B131="","",IF(AV$3=0,"n.b.",INDEX(SRC_Woningetalage!$A$1:$ZZ$501,$A131,AV$3)))</f>
        <v/>
      </c>
      <c r="AW131" s="124" t="str">
        <f>IF($B131="","",IF(AW$3=0,"n.b.",INDEX(SRC_Woningetalage!$A$1:$ZZ$501,$A131,AW$3)))</f>
        <v/>
      </c>
      <c r="AX131" s="124" t="str">
        <f>IF($B131="","",IF(AX$3=0,"n.b.",INDEX(SRC_Woningetalage!$A$1:$ZZ$501,$A131,AX$3)))</f>
        <v/>
      </c>
      <c r="AY131" s="124" t="str">
        <f>IF($B131="","",IF(AY$3=0,"n.b.",INDEX(SRC_Woningetalage!$A$1:$ZZ$501,$A131,AY$3)))</f>
        <v/>
      </c>
      <c r="AZ131" s="124" t="str">
        <f>IF($B131="","",IF(AZ$3=0,"n.b.",INDEX(SRC_Woningetalage!$A$1:$ZZ$501,$A131,AZ$3)))</f>
        <v/>
      </c>
      <c r="BA131" s="124" t="str">
        <f>IF($B131="","",IF(BA$3=0,"n.b.",INDEX(SRC_Woningetalage!$A$1:$ZZ$501,$A131,BA$3)))</f>
        <v/>
      </c>
      <c r="BB131" s="124" t="str">
        <f>IF($B131="","",IF(BB$3=0,"n.b.",INDEX(SRC_Woningetalage!$A$1:$ZZ$501,$A131,BB$3)))</f>
        <v/>
      </c>
      <c r="BC131" s="124" t="str">
        <f>IF($B131="","",IFERROR(_xlfn.NUMBERVALUE(E131&amp;"",",","."),"n.b."))</f>
        <v/>
      </c>
      <c r="BD131" s="124" t="str">
        <f>IF($B131="","",IFERROR(_xlfn.NUMBERVALUE(M131&amp;"",",","."),"n.b."))</f>
        <v/>
      </c>
      <c r="BE131" s="124" t="str">
        <f>IF($B131="","",IFERROR(AB131+AC131+AD131,"n.b."))</f>
        <v/>
      </c>
      <c r="BF131" s="124" t="str">
        <f>IF($B131="","",IFERROR(AE131+AF131+AG131,"n.b."))</f>
        <v/>
      </c>
      <c r="BG131" s="124" t="str">
        <f>IF($B131="","",IFERROR(AH131+AI131+AJ131,"n.b."))</f>
        <v/>
      </c>
      <c r="BH131" s="124" t="str">
        <f>IF($B131="","",IFERROR(AK131+AL131+AM131,"n.b."))</f>
        <v/>
      </c>
      <c r="BI131" s="124" t="str">
        <f>IF($B131="","",IFERROR(SUMIF($AB$5:$AM$5,"&lt;="&amp;P_PeilMaand,AB131:AM131),"n.b."))</f>
        <v/>
      </c>
      <c r="BJ131" s="124" t="str">
        <f>IF($B131="","",IFERROR(SUM(AB131:AM131)-BI131,"n.b."))</f>
        <v/>
      </c>
      <c r="BK131" s="124" t="str">
        <f>IF($B131="","",IFERROR(IF(ABS(Q131-(T131+SUM(AB131:AM131)+AS131+AU131))&gt;P_Tol,1,0),1))</f>
        <v/>
      </c>
      <c r="BL131" s="124" t="str">
        <f>IF($B131="","",IFERROR(IF(ABS(AA131-(Q131-Z131))&gt;P_Tol,1,0),1))</f>
        <v/>
      </c>
      <c r="BM131" s="124" t="str">
        <f>IF($B131="","",IFERROR(IF(ABS(Z131-(T131+W131))&gt;P_Tol,1,0),1))</f>
        <v/>
      </c>
      <c r="BN131" s="124" t="str">
        <f>IF($B131="","",IFERROR(IF(ABS(W131-BI131)&gt;P_Tol,1,0),1))</f>
        <v/>
      </c>
      <c r="BO131" s="124" t="str">
        <f>IF($B131="","",IFERROR(IF(OR(ABS(R131+S131-T131)&gt;P_Tol,ABS(U131+V131-W131)&gt;P_Tol,ABS(X131+Y131-Z131)&gt;P_Tol),1,0),1))</f>
        <v/>
      </c>
      <c r="BP131" s="124" t="str">
        <f>IF($B131="","",IFERROR(IF(OR(ABS(AR131-SUM(AB131:AM131))&gt;P_Tol,ABS(AS131-(AN131+AO131+AP131+AQ131))&gt;P_Tol),1,0),1))</f>
        <v/>
      </c>
      <c r="BQ131" s="124" t="str">
        <f>IF($B131="","",IFERROR(IF(ABS(AT131)+ABS(AV131)+ABS(AW131)+ABS(AX131)+ABS(AY131)+ABS(AZ131)+ABS(BA131)+ABS(BB131)&gt;0,1,0),1))</f>
        <v/>
      </c>
      <c r="BR131" s="124" t="str">
        <f>IF($B131="","",COUNTIF(STG_ZPMW03!$B$6:$B$505,B131))</f>
        <v/>
      </c>
      <c r="BS131" s="124" t="str">
        <f>IF($B131="","",COUNTIF($B$6:$B$505,B131))</f>
        <v/>
      </c>
      <c r="BT131" s="124" t="str">
        <f>IF($B131="","",IF(BR131=0,0,IF(INDEX(STG_ZPMW03!$I$6:$I$505,MATCH(B131,STG_ZPMW03!$B$6:$B$505,0))=J131&amp;"",0,1)))</f>
        <v/>
      </c>
      <c r="BU131" s="124" t="str">
        <f>IF($B131="","",IFERROR(IF(ABS(INDEX(Mapping!$D$5:$D$104,MATCH(B131,Mapping!$A$5:$A$104,0))-Q131)&gt;P_Tol,1,0),0))</f>
        <v/>
      </c>
      <c r="BV131" s="124" t="str">
        <f>IF($B131="","",IFERROR(IF(AND(INDEX(Mapping!$G$5:$G$104,MATCH(B131,Mapping!$A$5:$A$104,0))="Nee",ABS(Q131)+ABS(Z131)+ABS(AR131)&gt;0),1,0),0))</f>
        <v/>
      </c>
      <c r="BW131" s="124" t="str">
        <f>IF($B131="","",IF(COUNTIF(Mapping!$A$5:$A$104,B131)&gt;0,1,0))</f>
        <v/>
      </c>
      <c r="BX131" s="124" t="str">
        <f>IF($B131="","",IF(BR131=0,COUNTIF($BR$6:BR131,0),""))</f>
        <v/>
      </c>
    </row>
    <row r="132">
      <c r="A132" s="15" t="n">
        <v>128</v>
      </c>
      <c r="B132" t="str">
        <f>IF(B$3=0,"",IF(INDEX(SRC_Woningetalage!$A$1:$ZZ$501,$A132,B$3)&amp;""="","",INDEX(SRC_Woningetalage!$A$1:$ZZ$501,$A132,B$3)&amp;""))</f>
        <v/>
      </c>
      <c r="C132" t="str">
        <f>IF($B132="","",IF(C$3=0,"n.b.",INDEX(SRC_Woningetalage!$A$1:$ZZ$501,$A132,C$3)))</f>
        <v/>
      </c>
      <c r="D132" t="str">
        <f>IF($B132="","",IF(D$3=0,"n.b.",INDEX(SRC_Woningetalage!$A$1:$ZZ$501,$A132,D$3)))</f>
        <v/>
      </c>
      <c r="E132" t="str">
        <f>IF($B132="","",IF(E$3=0,"n.b.",INDEX(SRC_Woningetalage!$A$1:$ZZ$501,$A132,E$3)))</f>
        <v/>
      </c>
      <c r="F132" t="str">
        <f>IF($B132="","",IF(F$3=0,"n.b.",INDEX(SRC_Woningetalage!$A$1:$ZZ$501,$A132,F$3)))</f>
        <v/>
      </c>
      <c r="G132" t="str">
        <f>IF($B132="","",IF(G$3=0,"n.b.",INDEX(SRC_Woningetalage!$A$1:$ZZ$501,$A132,G$3)))</f>
        <v/>
      </c>
      <c r="H132" t="str">
        <f>IF($B132="","",IF(H$3=0,"n.b.",INDEX(SRC_Woningetalage!$A$1:$ZZ$501,$A132,H$3)))</f>
        <v/>
      </c>
      <c r="I132" t="str">
        <f>IF($B132="","",IF(I$3=0,"n.b.",INDEX(SRC_Woningetalage!$A$1:$ZZ$501,$A132,I$3)))</f>
        <v/>
      </c>
      <c r="J132" t="str">
        <f>IF($B132="","",IF(J$3=0,"n.b.",INDEX(SRC_Woningetalage!$A$1:$ZZ$501,$A132,J$3)))</f>
        <v/>
      </c>
      <c r="K132" t="str">
        <f>IF($B132="","",IF(K$3=0,"n.b.",INDEX(SRC_Woningetalage!$A$1:$ZZ$501,$A132,K$3)))</f>
        <v/>
      </c>
      <c r="L132" t="str">
        <f>IF($B132="","",IF(L$3=0,"n.b.",INDEX(SRC_Woningetalage!$A$1:$ZZ$501,$A132,L$3)))</f>
        <v/>
      </c>
      <c r="M132" t="str">
        <f>IF($B132="","",IF(M$3=0,"n.b.",INDEX(SRC_Woningetalage!$A$1:$ZZ$501,$A132,M$3)))</f>
        <v/>
      </c>
      <c r="N132" t="str">
        <f>IF($B132="","",IF(N$3=0,"n.b.",INDEX(SRC_Woningetalage!$A$1:$ZZ$501,$A132,N$3)))</f>
        <v/>
      </c>
      <c r="O132" t="str">
        <f>IF($B132="","",IF(O$3=0,"n.b.",INDEX(SRC_Woningetalage!$A$1:$ZZ$501,$A132,O$3)))</f>
        <v/>
      </c>
      <c r="P132" t="str">
        <f>IF($B132="","",IF(P$3=0,"n.b.",INDEX(SRC_Woningetalage!$A$1:$ZZ$501,$A132,P$3)))</f>
        <v/>
      </c>
      <c r="Q132" s="124" t="str">
        <f>IF($B132="","",IF(Q$3=0,"n.b.",INDEX(SRC_Woningetalage!$A$1:$ZZ$501,$A132,Q$3)))</f>
        <v/>
      </c>
      <c r="R132" s="124" t="str">
        <f>IF($B132="","",IF(R$3=0,"n.b.",INDEX(SRC_Woningetalage!$A$1:$ZZ$501,$A132,R$3)))</f>
        <v/>
      </c>
      <c r="S132" s="124" t="str">
        <f>IF($B132="","",IF(S$3=0,"n.b.",INDEX(SRC_Woningetalage!$A$1:$ZZ$501,$A132,S$3)))</f>
        <v/>
      </c>
      <c r="T132" s="124" t="str">
        <f>IF($B132="","",IF(T$3=0,"n.b.",INDEX(SRC_Woningetalage!$A$1:$ZZ$501,$A132,T$3)))</f>
        <v/>
      </c>
      <c r="U132" s="124" t="str">
        <f>IF($B132="","",IF(U$3=0,"n.b.",INDEX(SRC_Woningetalage!$A$1:$ZZ$501,$A132,U$3)))</f>
        <v/>
      </c>
      <c r="V132" s="124" t="str">
        <f>IF($B132="","",IF(V$3=0,"n.b.",INDEX(SRC_Woningetalage!$A$1:$ZZ$501,$A132,V$3)))</f>
        <v/>
      </c>
      <c r="W132" s="124" t="str">
        <f>IF($B132="","",IF(W$3=0,"n.b.",INDEX(SRC_Woningetalage!$A$1:$ZZ$501,$A132,W$3)))</f>
        <v/>
      </c>
      <c r="X132" s="124" t="str">
        <f>IF($B132="","",IF(X$3=0,"n.b.",INDEX(SRC_Woningetalage!$A$1:$ZZ$501,$A132,X$3)))</f>
        <v/>
      </c>
      <c r="Y132" s="124" t="str">
        <f>IF($B132="","",IF(Y$3=0,"n.b.",INDEX(SRC_Woningetalage!$A$1:$ZZ$501,$A132,Y$3)))</f>
        <v/>
      </c>
      <c r="Z132" s="124" t="str">
        <f>IF($B132="","",IF(Z$3=0,"n.b.",INDEX(SRC_Woningetalage!$A$1:$ZZ$501,$A132,Z$3)))</f>
        <v/>
      </c>
      <c r="AA132" s="124" t="str">
        <f>IF($B132="","",IF(AA$3=0,"n.b.",INDEX(SRC_Woningetalage!$A$1:$ZZ$501,$A132,AA$3)))</f>
        <v/>
      </c>
      <c r="AB132" s="124" t="str">
        <f>IF($B132="","",IF(AB$3=0,"n.b.",INDEX(SRC_Woningetalage!$A$1:$ZZ$501,$A132,AB$3)))</f>
        <v/>
      </c>
      <c r="AC132" s="124" t="str">
        <f>IF($B132="","",IF(AC$3=0,"n.b.",INDEX(SRC_Woningetalage!$A$1:$ZZ$501,$A132,AC$3)))</f>
        <v/>
      </c>
      <c r="AD132" s="124" t="str">
        <f>IF($B132="","",IF(AD$3=0,"n.b.",INDEX(SRC_Woningetalage!$A$1:$ZZ$501,$A132,AD$3)))</f>
        <v/>
      </c>
      <c r="AE132" s="124" t="str">
        <f>IF($B132="","",IF(AE$3=0,"n.b.",INDEX(SRC_Woningetalage!$A$1:$ZZ$501,$A132,AE$3)))</f>
        <v/>
      </c>
      <c r="AF132" s="124" t="str">
        <f>IF($B132="","",IF(AF$3=0,"n.b.",INDEX(SRC_Woningetalage!$A$1:$ZZ$501,$A132,AF$3)))</f>
        <v/>
      </c>
      <c r="AG132" s="124" t="str">
        <f>IF($B132="","",IF(AG$3=0,"n.b.",INDEX(SRC_Woningetalage!$A$1:$ZZ$501,$A132,AG$3)))</f>
        <v/>
      </c>
      <c r="AH132" s="124" t="str">
        <f>IF($B132="","",IF(AH$3=0,"n.b.",INDEX(SRC_Woningetalage!$A$1:$ZZ$501,$A132,AH$3)))</f>
        <v/>
      </c>
      <c r="AI132" s="124" t="str">
        <f>IF($B132="","",IF(AI$3=0,"n.b.",INDEX(SRC_Woningetalage!$A$1:$ZZ$501,$A132,AI$3)))</f>
        <v/>
      </c>
      <c r="AJ132" s="124" t="str">
        <f>IF($B132="","",IF(AJ$3=0,"n.b.",INDEX(SRC_Woningetalage!$A$1:$ZZ$501,$A132,AJ$3)))</f>
        <v/>
      </c>
      <c r="AK132" s="124" t="str">
        <f>IF($B132="","",IF(AK$3=0,"n.b.",INDEX(SRC_Woningetalage!$A$1:$ZZ$501,$A132,AK$3)))</f>
        <v/>
      </c>
      <c r="AL132" s="124" t="str">
        <f>IF($B132="","",IF(AL$3=0,"n.b.",INDEX(SRC_Woningetalage!$A$1:$ZZ$501,$A132,AL$3)))</f>
        <v/>
      </c>
      <c r="AM132" s="124" t="str">
        <f>IF($B132="","",IF(AM$3=0,"n.b.",INDEX(SRC_Woningetalage!$A$1:$ZZ$501,$A132,AM$3)))</f>
        <v/>
      </c>
      <c r="AN132" s="124" t="str">
        <f>IF($B132="","",IF(AN$3=0,"n.b.",INDEX(SRC_Woningetalage!$A$1:$ZZ$501,$A132,AN$3)))</f>
        <v/>
      </c>
      <c r="AO132" s="124" t="str">
        <f>IF($B132="","",IF(AO$3=0,"n.b.",INDEX(SRC_Woningetalage!$A$1:$ZZ$501,$A132,AO$3)))</f>
        <v/>
      </c>
      <c r="AP132" s="124" t="str">
        <f>IF($B132="","",IF(AP$3=0,"n.b.",INDEX(SRC_Woningetalage!$A$1:$ZZ$501,$A132,AP$3)))</f>
        <v/>
      </c>
      <c r="AQ132" s="124" t="str">
        <f>IF($B132="","",IF(AQ$3=0,"n.b.",INDEX(SRC_Woningetalage!$A$1:$ZZ$501,$A132,AQ$3)))</f>
        <v/>
      </c>
      <c r="AR132" s="124" t="str">
        <f>IF($B132="","",IF(AR$3=0,"n.b.",INDEX(SRC_Woningetalage!$A$1:$ZZ$501,$A132,AR$3)))</f>
        <v/>
      </c>
      <c r="AS132" s="124" t="str">
        <f>IF($B132="","",IF(AS$3=0,"n.b.",INDEX(SRC_Woningetalage!$A$1:$ZZ$501,$A132,AS$3)))</f>
        <v/>
      </c>
      <c r="AT132" s="124" t="str">
        <f>IF($B132="","",IF(AT$3=0,"n.b.",INDEX(SRC_Woningetalage!$A$1:$ZZ$501,$A132,AT$3)))</f>
        <v/>
      </c>
      <c r="AU132" s="124" t="str">
        <f>IF($B132="","",IF(AU$3=0,"n.b.",INDEX(SRC_Woningetalage!$A$1:$ZZ$501,$A132,AU$3)))</f>
        <v/>
      </c>
      <c r="AV132" s="124" t="str">
        <f>IF($B132="","",IF(AV$3=0,"n.b.",INDEX(SRC_Woningetalage!$A$1:$ZZ$501,$A132,AV$3)))</f>
        <v/>
      </c>
      <c r="AW132" s="124" t="str">
        <f>IF($B132="","",IF(AW$3=0,"n.b.",INDEX(SRC_Woningetalage!$A$1:$ZZ$501,$A132,AW$3)))</f>
        <v/>
      </c>
      <c r="AX132" s="124" t="str">
        <f>IF($B132="","",IF(AX$3=0,"n.b.",INDEX(SRC_Woningetalage!$A$1:$ZZ$501,$A132,AX$3)))</f>
        <v/>
      </c>
      <c r="AY132" s="124" t="str">
        <f>IF($B132="","",IF(AY$3=0,"n.b.",INDEX(SRC_Woningetalage!$A$1:$ZZ$501,$A132,AY$3)))</f>
        <v/>
      </c>
      <c r="AZ132" s="124" t="str">
        <f>IF($B132="","",IF(AZ$3=0,"n.b.",INDEX(SRC_Woningetalage!$A$1:$ZZ$501,$A132,AZ$3)))</f>
        <v/>
      </c>
      <c r="BA132" s="124" t="str">
        <f>IF($B132="","",IF(BA$3=0,"n.b.",INDEX(SRC_Woningetalage!$A$1:$ZZ$501,$A132,BA$3)))</f>
        <v/>
      </c>
      <c r="BB132" s="124" t="str">
        <f>IF($B132="","",IF(BB$3=0,"n.b.",INDEX(SRC_Woningetalage!$A$1:$ZZ$501,$A132,BB$3)))</f>
        <v/>
      </c>
      <c r="BC132" s="124" t="str">
        <f>IF($B132="","",IFERROR(_xlfn.NUMBERVALUE(E132&amp;"",",","."),"n.b."))</f>
        <v/>
      </c>
      <c r="BD132" s="124" t="str">
        <f>IF($B132="","",IFERROR(_xlfn.NUMBERVALUE(M132&amp;"",",","."),"n.b."))</f>
        <v/>
      </c>
      <c r="BE132" s="124" t="str">
        <f>IF($B132="","",IFERROR(AB132+AC132+AD132,"n.b."))</f>
        <v/>
      </c>
      <c r="BF132" s="124" t="str">
        <f>IF($B132="","",IFERROR(AE132+AF132+AG132,"n.b."))</f>
        <v/>
      </c>
      <c r="BG132" s="124" t="str">
        <f>IF($B132="","",IFERROR(AH132+AI132+AJ132,"n.b."))</f>
        <v/>
      </c>
      <c r="BH132" s="124" t="str">
        <f>IF($B132="","",IFERROR(AK132+AL132+AM132,"n.b."))</f>
        <v/>
      </c>
      <c r="BI132" s="124" t="str">
        <f>IF($B132="","",IFERROR(SUMIF($AB$5:$AM$5,"&lt;="&amp;P_PeilMaand,AB132:AM132),"n.b."))</f>
        <v/>
      </c>
      <c r="BJ132" s="124" t="str">
        <f>IF($B132="","",IFERROR(SUM(AB132:AM132)-BI132,"n.b."))</f>
        <v/>
      </c>
      <c r="BK132" s="124" t="str">
        <f>IF($B132="","",IFERROR(IF(ABS(Q132-(T132+SUM(AB132:AM132)+AS132+AU132))&gt;P_Tol,1,0),1))</f>
        <v/>
      </c>
      <c r="BL132" s="124" t="str">
        <f>IF($B132="","",IFERROR(IF(ABS(AA132-(Q132-Z132))&gt;P_Tol,1,0),1))</f>
        <v/>
      </c>
      <c r="BM132" s="124" t="str">
        <f>IF($B132="","",IFERROR(IF(ABS(Z132-(T132+W132))&gt;P_Tol,1,0),1))</f>
        <v/>
      </c>
      <c r="BN132" s="124" t="str">
        <f>IF($B132="","",IFERROR(IF(ABS(W132-BI132)&gt;P_Tol,1,0),1))</f>
        <v/>
      </c>
      <c r="BO132" s="124" t="str">
        <f>IF($B132="","",IFERROR(IF(OR(ABS(R132+S132-T132)&gt;P_Tol,ABS(U132+V132-W132)&gt;P_Tol,ABS(X132+Y132-Z132)&gt;P_Tol),1,0),1))</f>
        <v/>
      </c>
      <c r="BP132" s="124" t="str">
        <f>IF($B132="","",IFERROR(IF(OR(ABS(AR132-SUM(AB132:AM132))&gt;P_Tol,ABS(AS132-(AN132+AO132+AP132+AQ132))&gt;P_Tol),1,0),1))</f>
        <v/>
      </c>
      <c r="BQ132" s="124" t="str">
        <f>IF($B132="","",IFERROR(IF(ABS(AT132)+ABS(AV132)+ABS(AW132)+ABS(AX132)+ABS(AY132)+ABS(AZ132)+ABS(BA132)+ABS(BB132)&gt;0,1,0),1))</f>
        <v/>
      </c>
      <c r="BR132" s="124" t="str">
        <f>IF($B132="","",COUNTIF(STG_ZPMW03!$B$6:$B$505,B132))</f>
        <v/>
      </c>
      <c r="BS132" s="124" t="str">
        <f>IF($B132="","",COUNTIF($B$6:$B$505,B132))</f>
        <v/>
      </c>
      <c r="BT132" s="124" t="str">
        <f>IF($B132="","",IF(BR132=0,0,IF(INDEX(STG_ZPMW03!$I$6:$I$505,MATCH(B132,STG_ZPMW03!$B$6:$B$505,0))=J132&amp;"",0,1)))</f>
        <v/>
      </c>
      <c r="BU132" s="124" t="str">
        <f>IF($B132="","",IFERROR(IF(ABS(INDEX(Mapping!$D$5:$D$104,MATCH(B132,Mapping!$A$5:$A$104,0))-Q132)&gt;P_Tol,1,0),0))</f>
        <v/>
      </c>
      <c r="BV132" s="124" t="str">
        <f>IF($B132="","",IFERROR(IF(AND(INDEX(Mapping!$G$5:$G$104,MATCH(B132,Mapping!$A$5:$A$104,0))="Nee",ABS(Q132)+ABS(Z132)+ABS(AR132)&gt;0),1,0),0))</f>
        <v/>
      </c>
      <c r="BW132" s="124" t="str">
        <f>IF($B132="","",IF(COUNTIF(Mapping!$A$5:$A$104,B132)&gt;0,1,0))</f>
        <v/>
      </c>
      <c r="BX132" s="124" t="str">
        <f>IF($B132="","",IF(BR132=0,COUNTIF($BR$6:BR132,0),""))</f>
        <v/>
      </c>
    </row>
    <row r="133">
      <c r="A133" s="15" t="n">
        <v>129</v>
      </c>
      <c r="B133" t="str">
        <f>IF(B$3=0,"",IF(INDEX(SRC_Woningetalage!$A$1:$ZZ$501,$A133,B$3)&amp;""="","",INDEX(SRC_Woningetalage!$A$1:$ZZ$501,$A133,B$3)&amp;""))</f>
        <v/>
      </c>
      <c r="C133" t="str">
        <f>IF($B133="","",IF(C$3=0,"n.b.",INDEX(SRC_Woningetalage!$A$1:$ZZ$501,$A133,C$3)))</f>
        <v/>
      </c>
      <c r="D133" t="str">
        <f>IF($B133="","",IF(D$3=0,"n.b.",INDEX(SRC_Woningetalage!$A$1:$ZZ$501,$A133,D$3)))</f>
        <v/>
      </c>
      <c r="E133" t="str">
        <f>IF($B133="","",IF(E$3=0,"n.b.",INDEX(SRC_Woningetalage!$A$1:$ZZ$501,$A133,E$3)))</f>
        <v/>
      </c>
      <c r="F133" t="str">
        <f>IF($B133="","",IF(F$3=0,"n.b.",INDEX(SRC_Woningetalage!$A$1:$ZZ$501,$A133,F$3)))</f>
        <v/>
      </c>
      <c r="G133" t="str">
        <f>IF($B133="","",IF(G$3=0,"n.b.",INDEX(SRC_Woningetalage!$A$1:$ZZ$501,$A133,G$3)))</f>
        <v/>
      </c>
      <c r="H133" t="str">
        <f>IF($B133="","",IF(H$3=0,"n.b.",INDEX(SRC_Woningetalage!$A$1:$ZZ$501,$A133,H$3)))</f>
        <v/>
      </c>
      <c r="I133" t="str">
        <f>IF($B133="","",IF(I$3=0,"n.b.",INDEX(SRC_Woningetalage!$A$1:$ZZ$501,$A133,I$3)))</f>
        <v/>
      </c>
      <c r="J133" t="str">
        <f>IF($B133="","",IF(J$3=0,"n.b.",INDEX(SRC_Woningetalage!$A$1:$ZZ$501,$A133,J$3)))</f>
        <v/>
      </c>
      <c r="K133" t="str">
        <f>IF($B133="","",IF(K$3=0,"n.b.",INDEX(SRC_Woningetalage!$A$1:$ZZ$501,$A133,K$3)))</f>
        <v/>
      </c>
      <c r="L133" t="str">
        <f>IF($B133="","",IF(L$3=0,"n.b.",INDEX(SRC_Woningetalage!$A$1:$ZZ$501,$A133,L$3)))</f>
        <v/>
      </c>
      <c r="M133" t="str">
        <f>IF($B133="","",IF(M$3=0,"n.b.",INDEX(SRC_Woningetalage!$A$1:$ZZ$501,$A133,M$3)))</f>
        <v/>
      </c>
      <c r="N133" t="str">
        <f>IF($B133="","",IF(N$3=0,"n.b.",INDEX(SRC_Woningetalage!$A$1:$ZZ$501,$A133,N$3)))</f>
        <v/>
      </c>
      <c r="O133" t="str">
        <f>IF($B133="","",IF(O$3=0,"n.b.",INDEX(SRC_Woningetalage!$A$1:$ZZ$501,$A133,O$3)))</f>
        <v/>
      </c>
      <c r="P133" t="str">
        <f>IF($B133="","",IF(P$3=0,"n.b.",INDEX(SRC_Woningetalage!$A$1:$ZZ$501,$A133,P$3)))</f>
        <v/>
      </c>
      <c r="Q133" s="124" t="str">
        <f>IF($B133="","",IF(Q$3=0,"n.b.",INDEX(SRC_Woningetalage!$A$1:$ZZ$501,$A133,Q$3)))</f>
        <v/>
      </c>
      <c r="R133" s="124" t="str">
        <f>IF($B133="","",IF(R$3=0,"n.b.",INDEX(SRC_Woningetalage!$A$1:$ZZ$501,$A133,R$3)))</f>
        <v/>
      </c>
      <c r="S133" s="124" t="str">
        <f>IF($B133="","",IF(S$3=0,"n.b.",INDEX(SRC_Woningetalage!$A$1:$ZZ$501,$A133,S$3)))</f>
        <v/>
      </c>
      <c r="T133" s="124" t="str">
        <f>IF($B133="","",IF(T$3=0,"n.b.",INDEX(SRC_Woningetalage!$A$1:$ZZ$501,$A133,T$3)))</f>
        <v/>
      </c>
      <c r="U133" s="124" t="str">
        <f>IF($B133="","",IF(U$3=0,"n.b.",INDEX(SRC_Woningetalage!$A$1:$ZZ$501,$A133,U$3)))</f>
        <v/>
      </c>
      <c r="V133" s="124" t="str">
        <f>IF($B133="","",IF(V$3=0,"n.b.",INDEX(SRC_Woningetalage!$A$1:$ZZ$501,$A133,V$3)))</f>
        <v/>
      </c>
      <c r="W133" s="124" t="str">
        <f>IF($B133="","",IF(W$3=0,"n.b.",INDEX(SRC_Woningetalage!$A$1:$ZZ$501,$A133,W$3)))</f>
        <v/>
      </c>
      <c r="X133" s="124" t="str">
        <f>IF($B133="","",IF(X$3=0,"n.b.",INDEX(SRC_Woningetalage!$A$1:$ZZ$501,$A133,X$3)))</f>
        <v/>
      </c>
      <c r="Y133" s="124" t="str">
        <f>IF($B133="","",IF(Y$3=0,"n.b.",INDEX(SRC_Woningetalage!$A$1:$ZZ$501,$A133,Y$3)))</f>
        <v/>
      </c>
      <c r="Z133" s="124" t="str">
        <f>IF($B133="","",IF(Z$3=0,"n.b.",INDEX(SRC_Woningetalage!$A$1:$ZZ$501,$A133,Z$3)))</f>
        <v/>
      </c>
      <c r="AA133" s="124" t="str">
        <f>IF($B133="","",IF(AA$3=0,"n.b.",INDEX(SRC_Woningetalage!$A$1:$ZZ$501,$A133,AA$3)))</f>
        <v/>
      </c>
      <c r="AB133" s="124" t="str">
        <f>IF($B133="","",IF(AB$3=0,"n.b.",INDEX(SRC_Woningetalage!$A$1:$ZZ$501,$A133,AB$3)))</f>
        <v/>
      </c>
      <c r="AC133" s="124" t="str">
        <f>IF($B133="","",IF(AC$3=0,"n.b.",INDEX(SRC_Woningetalage!$A$1:$ZZ$501,$A133,AC$3)))</f>
        <v/>
      </c>
      <c r="AD133" s="124" t="str">
        <f>IF($B133="","",IF(AD$3=0,"n.b.",INDEX(SRC_Woningetalage!$A$1:$ZZ$501,$A133,AD$3)))</f>
        <v/>
      </c>
      <c r="AE133" s="124" t="str">
        <f>IF($B133="","",IF(AE$3=0,"n.b.",INDEX(SRC_Woningetalage!$A$1:$ZZ$501,$A133,AE$3)))</f>
        <v/>
      </c>
      <c r="AF133" s="124" t="str">
        <f>IF($B133="","",IF(AF$3=0,"n.b.",INDEX(SRC_Woningetalage!$A$1:$ZZ$501,$A133,AF$3)))</f>
        <v/>
      </c>
      <c r="AG133" s="124" t="str">
        <f>IF($B133="","",IF(AG$3=0,"n.b.",INDEX(SRC_Woningetalage!$A$1:$ZZ$501,$A133,AG$3)))</f>
        <v/>
      </c>
      <c r="AH133" s="124" t="str">
        <f>IF($B133="","",IF(AH$3=0,"n.b.",INDEX(SRC_Woningetalage!$A$1:$ZZ$501,$A133,AH$3)))</f>
        <v/>
      </c>
      <c r="AI133" s="124" t="str">
        <f>IF($B133="","",IF(AI$3=0,"n.b.",INDEX(SRC_Woningetalage!$A$1:$ZZ$501,$A133,AI$3)))</f>
        <v/>
      </c>
      <c r="AJ133" s="124" t="str">
        <f>IF($B133="","",IF(AJ$3=0,"n.b.",INDEX(SRC_Woningetalage!$A$1:$ZZ$501,$A133,AJ$3)))</f>
        <v/>
      </c>
      <c r="AK133" s="124" t="str">
        <f>IF($B133="","",IF(AK$3=0,"n.b.",INDEX(SRC_Woningetalage!$A$1:$ZZ$501,$A133,AK$3)))</f>
        <v/>
      </c>
      <c r="AL133" s="124" t="str">
        <f>IF($B133="","",IF(AL$3=0,"n.b.",INDEX(SRC_Woningetalage!$A$1:$ZZ$501,$A133,AL$3)))</f>
        <v/>
      </c>
      <c r="AM133" s="124" t="str">
        <f>IF($B133="","",IF(AM$3=0,"n.b.",INDEX(SRC_Woningetalage!$A$1:$ZZ$501,$A133,AM$3)))</f>
        <v/>
      </c>
      <c r="AN133" s="124" t="str">
        <f>IF($B133="","",IF(AN$3=0,"n.b.",INDEX(SRC_Woningetalage!$A$1:$ZZ$501,$A133,AN$3)))</f>
        <v/>
      </c>
      <c r="AO133" s="124" t="str">
        <f>IF($B133="","",IF(AO$3=0,"n.b.",INDEX(SRC_Woningetalage!$A$1:$ZZ$501,$A133,AO$3)))</f>
        <v/>
      </c>
      <c r="AP133" s="124" t="str">
        <f>IF($B133="","",IF(AP$3=0,"n.b.",INDEX(SRC_Woningetalage!$A$1:$ZZ$501,$A133,AP$3)))</f>
        <v/>
      </c>
      <c r="AQ133" s="124" t="str">
        <f>IF($B133="","",IF(AQ$3=0,"n.b.",INDEX(SRC_Woningetalage!$A$1:$ZZ$501,$A133,AQ$3)))</f>
        <v/>
      </c>
      <c r="AR133" s="124" t="str">
        <f>IF($B133="","",IF(AR$3=0,"n.b.",INDEX(SRC_Woningetalage!$A$1:$ZZ$501,$A133,AR$3)))</f>
        <v/>
      </c>
      <c r="AS133" s="124" t="str">
        <f>IF($B133="","",IF(AS$3=0,"n.b.",INDEX(SRC_Woningetalage!$A$1:$ZZ$501,$A133,AS$3)))</f>
        <v/>
      </c>
      <c r="AT133" s="124" t="str">
        <f>IF($B133="","",IF(AT$3=0,"n.b.",INDEX(SRC_Woningetalage!$A$1:$ZZ$501,$A133,AT$3)))</f>
        <v/>
      </c>
      <c r="AU133" s="124" t="str">
        <f>IF($B133="","",IF(AU$3=0,"n.b.",INDEX(SRC_Woningetalage!$A$1:$ZZ$501,$A133,AU$3)))</f>
        <v/>
      </c>
      <c r="AV133" s="124" t="str">
        <f>IF($B133="","",IF(AV$3=0,"n.b.",INDEX(SRC_Woningetalage!$A$1:$ZZ$501,$A133,AV$3)))</f>
        <v/>
      </c>
      <c r="AW133" s="124" t="str">
        <f>IF($B133="","",IF(AW$3=0,"n.b.",INDEX(SRC_Woningetalage!$A$1:$ZZ$501,$A133,AW$3)))</f>
        <v/>
      </c>
      <c r="AX133" s="124" t="str">
        <f>IF($B133="","",IF(AX$3=0,"n.b.",INDEX(SRC_Woningetalage!$A$1:$ZZ$501,$A133,AX$3)))</f>
        <v/>
      </c>
      <c r="AY133" s="124" t="str">
        <f>IF($B133="","",IF(AY$3=0,"n.b.",INDEX(SRC_Woningetalage!$A$1:$ZZ$501,$A133,AY$3)))</f>
        <v/>
      </c>
      <c r="AZ133" s="124" t="str">
        <f>IF($B133="","",IF(AZ$3=0,"n.b.",INDEX(SRC_Woningetalage!$A$1:$ZZ$501,$A133,AZ$3)))</f>
        <v/>
      </c>
      <c r="BA133" s="124" t="str">
        <f>IF($B133="","",IF(BA$3=0,"n.b.",INDEX(SRC_Woningetalage!$A$1:$ZZ$501,$A133,BA$3)))</f>
        <v/>
      </c>
      <c r="BB133" s="124" t="str">
        <f>IF($B133="","",IF(BB$3=0,"n.b.",INDEX(SRC_Woningetalage!$A$1:$ZZ$501,$A133,BB$3)))</f>
        <v/>
      </c>
      <c r="BC133" s="124" t="str">
        <f>IF($B133="","",IFERROR(_xlfn.NUMBERVALUE(E133&amp;"",",","."),"n.b."))</f>
        <v/>
      </c>
      <c r="BD133" s="124" t="str">
        <f>IF($B133="","",IFERROR(_xlfn.NUMBERVALUE(M133&amp;"",",","."),"n.b."))</f>
        <v/>
      </c>
      <c r="BE133" s="124" t="str">
        <f>IF($B133="","",IFERROR(AB133+AC133+AD133,"n.b."))</f>
        <v/>
      </c>
      <c r="BF133" s="124" t="str">
        <f>IF($B133="","",IFERROR(AE133+AF133+AG133,"n.b."))</f>
        <v/>
      </c>
      <c r="BG133" s="124" t="str">
        <f>IF($B133="","",IFERROR(AH133+AI133+AJ133,"n.b."))</f>
        <v/>
      </c>
      <c r="BH133" s="124" t="str">
        <f>IF($B133="","",IFERROR(AK133+AL133+AM133,"n.b."))</f>
        <v/>
      </c>
      <c r="BI133" s="124" t="str">
        <f>IF($B133="","",IFERROR(SUMIF($AB$5:$AM$5,"&lt;="&amp;P_PeilMaand,AB133:AM133),"n.b."))</f>
        <v/>
      </c>
      <c r="BJ133" s="124" t="str">
        <f>IF($B133="","",IFERROR(SUM(AB133:AM133)-BI133,"n.b."))</f>
        <v/>
      </c>
      <c r="BK133" s="124" t="str">
        <f>IF($B133="","",IFERROR(IF(ABS(Q133-(T133+SUM(AB133:AM133)+AS133+AU133))&gt;P_Tol,1,0),1))</f>
        <v/>
      </c>
      <c r="BL133" s="124" t="str">
        <f>IF($B133="","",IFERROR(IF(ABS(AA133-(Q133-Z133))&gt;P_Tol,1,0),1))</f>
        <v/>
      </c>
      <c r="BM133" s="124" t="str">
        <f>IF($B133="","",IFERROR(IF(ABS(Z133-(T133+W133))&gt;P_Tol,1,0),1))</f>
        <v/>
      </c>
      <c r="BN133" s="124" t="str">
        <f>IF($B133="","",IFERROR(IF(ABS(W133-BI133)&gt;P_Tol,1,0),1))</f>
        <v/>
      </c>
      <c r="BO133" s="124" t="str">
        <f>IF($B133="","",IFERROR(IF(OR(ABS(R133+S133-T133)&gt;P_Tol,ABS(U133+V133-W133)&gt;P_Tol,ABS(X133+Y133-Z133)&gt;P_Tol),1,0),1))</f>
        <v/>
      </c>
      <c r="BP133" s="124" t="str">
        <f>IF($B133="","",IFERROR(IF(OR(ABS(AR133-SUM(AB133:AM133))&gt;P_Tol,ABS(AS133-(AN133+AO133+AP133+AQ133))&gt;P_Tol),1,0),1))</f>
        <v/>
      </c>
      <c r="BQ133" s="124" t="str">
        <f>IF($B133="","",IFERROR(IF(ABS(AT133)+ABS(AV133)+ABS(AW133)+ABS(AX133)+ABS(AY133)+ABS(AZ133)+ABS(BA133)+ABS(BB133)&gt;0,1,0),1))</f>
        <v/>
      </c>
      <c r="BR133" s="124" t="str">
        <f>IF($B133="","",COUNTIF(STG_ZPMW03!$B$6:$B$505,B133))</f>
        <v/>
      </c>
      <c r="BS133" s="124" t="str">
        <f>IF($B133="","",COUNTIF($B$6:$B$505,B133))</f>
        <v/>
      </c>
      <c r="BT133" s="124" t="str">
        <f>IF($B133="","",IF(BR133=0,0,IF(INDEX(STG_ZPMW03!$I$6:$I$505,MATCH(B133,STG_ZPMW03!$B$6:$B$505,0))=J133&amp;"",0,1)))</f>
        <v/>
      </c>
      <c r="BU133" s="124" t="str">
        <f>IF($B133="","",IFERROR(IF(ABS(INDEX(Mapping!$D$5:$D$104,MATCH(B133,Mapping!$A$5:$A$104,0))-Q133)&gt;P_Tol,1,0),0))</f>
        <v/>
      </c>
      <c r="BV133" s="124" t="str">
        <f>IF($B133="","",IFERROR(IF(AND(INDEX(Mapping!$G$5:$G$104,MATCH(B133,Mapping!$A$5:$A$104,0))="Nee",ABS(Q133)+ABS(Z133)+ABS(AR133)&gt;0),1,0),0))</f>
        <v/>
      </c>
      <c r="BW133" s="124" t="str">
        <f>IF($B133="","",IF(COUNTIF(Mapping!$A$5:$A$104,B133)&gt;0,1,0))</f>
        <v/>
      </c>
      <c r="BX133" s="124" t="str">
        <f>IF($B133="","",IF(BR133=0,COUNTIF($BR$6:BR133,0),""))</f>
        <v/>
      </c>
    </row>
    <row r="134">
      <c r="A134" s="15" t="n">
        <v>130</v>
      </c>
      <c r="B134" t="str">
        <f>IF(B$3=0,"",IF(INDEX(SRC_Woningetalage!$A$1:$ZZ$501,$A134,B$3)&amp;""="","",INDEX(SRC_Woningetalage!$A$1:$ZZ$501,$A134,B$3)&amp;""))</f>
        <v/>
      </c>
      <c r="C134" t="str">
        <f>IF($B134="","",IF(C$3=0,"n.b.",INDEX(SRC_Woningetalage!$A$1:$ZZ$501,$A134,C$3)))</f>
        <v/>
      </c>
      <c r="D134" t="str">
        <f>IF($B134="","",IF(D$3=0,"n.b.",INDEX(SRC_Woningetalage!$A$1:$ZZ$501,$A134,D$3)))</f>
        <v/>
      </c>
      <c r="E134" t="str">
        <f>IF($B134="","",IF(E$3=0,"n.b.",INDEX(SRC_Woningetalage!$A$1:$ZZ$501,$A134,E$3)))</f>
        <v/>
      </c>
      <c r="F134" t="str">
        <f>IF($B134="","",IF(F$3=0,"n.b.",INDEX(SRC_Woningetalage!$A$1:$ZZ$501,$A134,F$3)))</f>
        <v/>
      </c>
      <c r="G134" t="str">
        <f>IF($B134="","",IF(G$3=0,"n.b.",INDEX(SRC_Woningetalage!$A$1:$ZZ$501,$A134,G$3)))</f>
        <v/>
      </c>
      <c r="H134" t="str">
        <f>IF($B134="","",IF(H$3=0,"n.b.",INDEX(SRC_Woningetalage!$A$1:$ZZ$501,$A134,H$3)))</f>
        <v/>
      </c>
      <c r="I134" t="str">
        <f>IF($B134="","",IF(I$3=0,"n.b.",INDEX(SRC_Woningetalage!$A$1:$ZZ$501,$A134,I$3)))</f>
        <v/>
      </c>
      <c r="J134" t="str">
        <f>IF($B134="","",IF(J$3=0,"n.b.",INDEX(SRC_Woningetalage!$A$1:$ZZ$501,$A134,J$3)))</f>
        <v/>
      </c>
      <c r="K134" t="str">
        <f>IF($B134="","",IF(K$3=0,"n.b.",INDEX(SRC_Woningetalage!$A$1:$ZZ$501,$A134,K$3)))</f>
        <v/>
      </c>
      <c r="L134" t="str">
        <f>IF($B134="","",IF(L$3=0,"n.b.",INDEX(SRC_Woningetalage!$A$1:$ZZ$501,$A134,L$3)))</f>
        <v/>
      </c>
      <c r="M134" t="str">
        <f>IF($B134="","",IF(M$3=0,"n.b.",INDEX(SRC_Woningetalage!$A$1:$ZZ$501,$A134,M$3)))</f>
        <v/>
      </c>
      <c r="N134" t="str">
        <f>IF($B134="","",IF(N$3=0,"n.b.",INDEX(SRC_Woningetalage!$A$1:$ZZ$501,$A134,N$3)))</f>
        <v/>
      </c>
      <c r="O134" t="str">
        <f>IF($B134="","",IF(O$3=0,"n.b.",INDEX(SRC_Woningetalage!$A$1:$ZZ$501,$A134,O$3)))</f>
        <v/>
      </c>
      <c r="P134" t="str">
        <f>IF($B134="","",IF(P$3=0,"n.b.",INDEX(SRC_Woningetalage!$A$1:$ZZ$501,$A134,P$3)))</f>
        <v/>
      </c>
      <c r="Q134" s="124" t="str">
        <f>IF($B134="","",IF(Q$3=0,"n.b.",INDEX(SRC_Woningetalage!$A$1:$ZZ$501,$A134,Q$3)))</f>
        <v/>
      </c>
      <c r="R134" s="124" t="str">
        <f>IF($B134="","",IF(R$3=0,"n.b.",INDEX(SRC_Woningetalage!$A$1:$ZZ$501,$A134,R$3)))</f>
        <v/>
      </c>
      <c r="S134" s="124" t="str">
        <f>IF($B134="","",IF(S$3=0,"n.b.",INDEX(SRC_Woningetalage!$A$1:$ZZ$501,$A134,S$3)))</f>
        <v/>
      </c>
      <c r="T134" s="124" t="str">
        <f>IF($B134="","",IF(T$3=0,"n.b.",INDEX(SRC_Woningetalage!$A$1:$ZZ$501,$A134,T$3)))</f>
        <v/>
      </c>
      <c r="U134" s="124" t="str">
        <f>IF($B134="","",IF(U$3=0,"n.b.",INDEX(SRC_Woningetalage!$A$1:$ZZ$501,$A134,U$3)))</f>
        <v/>
      </c>
      <c r="V134" s="124" t="str">
        <f>IF($B134="","",IF(V$3=0,"n.b.",INDEX(SRC_Woningetalage!$A$1:$ZZ$501,$A134,V$3)))</f>
        <v/>
      </c>
      <c r="W134" s="124" t="str">
        <f>IF($B134="","",IF(W$3=0,"n.b.",INDEX(SRC_Woningetalage!$A$1:$ZZ$501,$A134,W$3)))</f>
        <v/>
      </c>
      <c r="X134" s="124" t="str">
        <f>IF($B134="","",IF(X$3=0,"n.b.",INDEX(SRC_Woningetalage!$A$1:$ZZ$501,$A134,X$3)))</f>
        <v/>
      </c>
      <c r="Y134" s="124" t="str">
        <f>IF($B134="","",IF(Y$3=0,"n.b.",INDEX(SRC_Woningetalage!$A$1:$ZZ$501,$A134,Y$3)))</f>
        <v/>
      </c>
      <c r="Z134" s="124" t="str">
        <f>IF($B134="","",IF(Z$3=0,"n.b.",INDEX(SRC_Woningetalage!$A$1:$ZZ$501,$A134,Z$3)))</f>
        <v/>
      </c>
      <c r="AA134" s="124" t="str">
        <f>IF($B134="","",IF(AA$3=0,"n.b.",INDEX(SRC_Woningetalage!$A$1:$ZZ$501,$A134,AA$3)))</f>
        <v/>
      </c>
      <c r="AB134" s="124" t="str">
        <f>IF($B134="","",IF(AB$3=0,"n.b.",INDEX(SRC_Woningetalage!$A$1:$ZZ$501,$A134,AB$3)))</f>
        <v/>
      </c>
      <c r="AC134" s="124" t="str">
        <f>IF($B134="","",IF(AC$3=0,"n.b.",INDEX(SRC_Woningetalage!$A$1:$ZZ$501,$A134,AC$3)))</f>
        <v/>
      </c>
      <c r="AD134" s="124" t="str">
        <f>IF($B134="","",IF(AD$3=0,"n.b.",INDEX(SRC_Woningetalage!$A$1:$ZZ$501,$A134,AD$3)))</f>
        <v/>
      </c>
      <c r="AE134" s="124" t="str">
        <f>IF($B134="","",IF(AE$3=0,"n.b.",INDEX(SRC_Woningetalage!$A$1:$ZZ$501,$A134,AE$3)))</f>
        <v/>
      </c>
      <c r="AF134" s="124" t="str">
        <f>IF($B134="","",IF(AF$3=0,"n.b.",INDEX(SRC_Woningetalage!$A$1:$ZZ$501,$A134,AF$3)))</f>
        <v/>
      </c>
      <c r="AG134" s="124" t="str">
        <f>IF($B134="","",IF(AG$3=0,"n.b.",INDEX(SRC_Woningetalage!$A$1:$ZZ$501,$A134,AG$3)))</f>
        <v/>
      </c>
      <c r="AH134" s="124" t="str">
        <f>IF($B134="","",IF(AH$3=0,"n.b.",INDEX(SRC_Woningetalage!$A$1:$ZZ$501,$A134,AH$3)))</f>
        <v/>
      </c>
      <c r="AI134" s="124" t="str">
        <f>IF($B134="","",IF(AI$3=0,"n.b.",INDEX(SRC_Woningetalage!$A$1:$ZZ$501,$A134,AI$3)))</f>
        <v/>
      </c>
      <c r="AJ134" s="124" t="str">
        <f>IF($B134="","",IF(AJ$3=0,"n.b.",INDEX(SRC_Woningetalage!$A$1:$ZZ$501,$A134,AJ$3)))</f>
        <v/>
      </c>
      <c r="AK134" s="124" t="str">
        <f>IF($B134="","",IF(AK$3=0,"n.b.",INDEX(SRC_Woningetalage!$A$1:$ZZ$501,$A134,AK$3)))</f>
        <v/>
      </c>
      <c r="AL134" s="124" t="str">
        <f>IF($B134="","",IF(AL$3=0,"n.b.",INDEX(SRC_Woningetalage!$A$1:$ZZ$501,$A134,AL$3)))</f>
        <v/>
      </c>
      <c r="AM134" s="124" t="str">
        <f>IF($B134="","",IF(AM$3=0,"n.b.",INDEX(SRC_Woningetalage!$A$1:$ZZ$501,$A134,AM$3)))</f>
        <v/>
      </c>
      <c r="AN134" s="124" t="str">
        <f>IF($B134="","",IF(AN$3=0,"n.b.",INDEX(SRC_Woningetalage!$A$1:$ZZ$501,$A134,AN$3)))</f>
        <v/>
      </c>
      <c r="AO134" s="124" t="str">
        <f>IF($B134="","",IF(AO$3=0,"n.b.",INDEX(SRC_Woningetalage!$A$1:$ZZ$501,$A134,AO$3)))</f>
        <v/>
      </c>
      <c r="AP134" s="124" t="str">
        <f>IF($B134="","",IF(AP$3=0,"n.b.",INDEX(SRC_Woningetalage!$A$1:$ZZ$501,$A134,AP$3)))</f>
        <v/>
      </c>
      <c r="AQ134" s="124" t="str">
        <f>IF($B134="","",IF(AQ$3=0,"n.b.",INDEX(SRC_Woningetalage!$A$1:$ZZ$501,$A134,AQ$3)))</f>
        <v/>
      </c>
      <c r="AR134" s="124" t="str">
        <f>IF($B134="","",IF(AR$3=0,"n.b.",INDEX(SRC_Woningetalage!$A$1:$ZZ$501,$A134,AR$3)))</f>
        <v/>
      </c>
      <c r="AS134" s="124" t="str">
        <f>IF($B134="","",IF(AS$3=0,"n.b.",INDEX(SRC_Woningetalage!$A$1:$ZZ$501,$A134,AS$3)))</f>
        <v/>
      </c>
      <c r="AT134" s="124" t="str">
        <f>IF($B134="","",IF(AT$3=0,"n.b.",INDEX(SRC_Woningetalage!$A$1:$ZZ$501,$A134,AT$3)))</f>
        <v/>
      </c>
      <c r="AU134" s="124" t="str">
        <f>IF($B134="","",IF(AU$3=0,"n.b.",INDEX(SRC_Woningetalage!$A$1:$ZZ$501,$A134,AU$3)))</f>
        <v/>
      </c>
      <c r="AV134" s="124" t="str">
        <f>IF($B134="","",IF(AV$3=0,"n.b.",INDEX(SRC_Woningetalage!$A$1:$ZZ$501,$A134,AV$3)))</f>
        <v/>
      </c>
      <c r="AW134" s="124" t="str">
        <f>IF($B134="","",IF(AW$3=0,"n.b.",INDEX(SRC_Woningetalage!$A$1:$ZZ$501,$A134,AW$3)))</f>
        <v/>
      </c>
      <c r="AX134" s="124" t="str">
        <f>IF($B134="","",IF(AX$3=0,"n.b.",INDEX(SRC_Woningetalage!$A$1:$ZZ$501,$A134,AX$3)))</f>
        <v/>
      </c>
      <c r="AY134" s="124" t="str">
        <f>IF($B134="","",IF(AY$3=0,"n.b.",INDEX(SRC_Woningetalage!$A$1:$ZZ$501,$A134,AY$3)))</f>
        <v/>
      </c>
      <c r="AZ134" s="124" t="str">
        <f>IF($B134="","",IF(AZ$3=0,"n.b.",INDEX(SRC_Woningetalage!$A$1:$ZZ$501,$A134,AZ$3)))</f>
        <v/>
      </c>
      <c r="BA134" s="124" t="str">
        <f>IF($B134="","",IF(BA$3=0,"n.b.",INDEX(SRC_Woningetalage!$A$1:$ZZ$501,$A134,BA$3)))</f>
        <v/>
      </c>
      <c r="BB134" s="124" t="str">
        <f>IF($B134="","",IF(BB$3=0,"n.b.",INDEX(SRC_Woningetalage!$A$1:$ZZ$501,$A134,BB$3)))</f>
        <v/>
      </c>
      <c r="BC134" s="124" t="str">
        <f>IF($B134="","",IFERROR(_xlfn.NUMBERVALUE(E134&amp;"",",","."),"n.b."))</f>
        <v/>
      </c>
      <c r="BD134" s="124" t="str">
        <f>IF($B134="","",IFERROR(_xlfn.NUMBERVALUE(M134&amp;"",",","."),"n.b."))</f>
        <v/>
      </c>
      <c r="BE134" s="124" t="str">
        <f>IF($B134="","",IFERROR(AB134+AC134+AD134,"n.b."))</f>
        <v/>
      </c>
      <c r="BF134" s="124" t="str">
        <f>IF($B134="","",IFERROR(AE134+AF134+AG134,"n.b."))</f>
        <v/>
      </c>
      <c r="BG134" s="124" t="str">
        <f>IF($B134="","",IFERROR(AH134+AI134+AJ134,"n.b."))</f>
        <v/>
      </c>
      <c r="BH134" s="124" t="str">
        <f>IF($B134="","",IFERROR(AK134+AL134+AM134,"n.b."))</f>
        <v/>
      </c>
      <c r="BI134" s="124" t="str">
        <f>IF($B134="","",IFERROR(SUMIF($AB$5:$AM$5,"&lt;="&amp;P_PeilMaand,AB134:AM134),"n.b."))</f>
        <v/>
      </c>
      <c r="BJ134" s="124" t="str">
        <f>IF($B134="","",IFERROR(SUM(AB134:AM134)-BI134,"n.b."))</f>
        <v/>
      </c>
      <c r="BK134" s="124" t="str">
        <f>IF($B134="","",IFERROR(IF(ABS(Q134-(T134+SUM(AB134:AM134)+AS134+AU134))&gt;P_Tol,1,0),1))</f>
        <v/>
      </c>
      <c r="BL134" s="124" t="str">
        <f>IF($B134="","",IFERROR(IF(ABS(AA134-(Q134-Z134))&gt;P_Tol,1,0),1))</f>
        <v/>
      </c>
      <c r="BM134" s="124" t="str">
        <f>IF($B134="","",IFERROR(IF(ABS(Z134-(T134+W134))&gt;P_Tol,1,0),1))</f>
        <v/>
      </c>
      <c r="BN134" s="124" t="str">
        <f>IF($B134="","",IFERROR(IF(ABS(W134-BI134)&gt;P_Tol,1,0),1))</f>
        <v/>
      </c>
      <c r="BO134" s="124" t="str">
        <f>IF($B134="","",IFERROR(IF(OR(ABS(R134+S134-T134)&gt;P_Tol,ABS(U134+V134-W134)&gt;P_Tol,ABS(X134+Y134-Z134)&gt;P_Tol),1,0),1))</f>
        <v/>
      </c>
      <c r="BP134" s="124" t="str">
        <f>IF($B134="","",IFERROR(IF(OR(ABS(AR134-SUM(AB134:AM134))&gt;P_Tol,ABS(AS134-(AN134+AO134+AP134+AQ134))&gt;P_Tol),1,0),1))</f>
        <v/>
      </c>
      <c r="BQ134" s="124" t="str">
        <f>IF($B134="","",IFERROR(IF(ABS(AT134)+ABS(AV134)+ABS(AW134)+ABS(AX134)+ABS(AY134)+ABS(AZ134)+ABS(BA134)+ABS(BB134)&gt;0,1,0),1))</f>
        <v/>
      </c>
      <c r="BR134" s="124" t="str">
        <f>IF($B134="","",COUNTIF(STG_ZPMW03!$B$6:$B$505,B134))</f>
        <v/>
      </c>
      <c r="BS134" s="124" t="str">
        <f>IF($B134="","",COUNTIF($B$6:$B$505,B134))</f>
        <v/>
      </c>
      <c r="BT134" s="124" t="str">
        <f>IF($B134="","",IF(BR134=0,0,IF(INDEX(STG_ZPMW03!$I$6:$I$505,MATCH(B134,STG_ZPMW03!$B$6:$B$505,0))=J134&amp;"",0,1)))</f>
        <v/>
      </c>
      <c r="BU134" s="124" t="str">
        <f>IF($B134="","",IFERROR(IF(ABS(INDEX(Mapping!$D$5:$D$104,MATCH(B134,Mapping!$A$5:$A$104,0))-Q134)&gt;P_Tol,1,0),0))</f>
        <v/>
      </c>
      <c r="BV134" s="124" t="str">
        <f>IF($B134="","",IFERROR(IF(AND(INDEX(Mapping!$G$5:$G$104,MATCH(B134,Mapping!$A$5:$A$104,0))="Nee",ABS(Q134)+ABS(Z134)+ABS(AR134)&gt;0),1,0),0))</f>
        <v/>
      </c>
      <c r="BW134" s="124" t="str">
        <f>IF($B134="","",IF(COUNTIF(Mapping!$A$5:$A$104,B134)&gt;0,1,0))</f>
        <v/>
      </c>
      <c r="BX134" s="124" t="str">
        <f>IF($B134="","",IF(BR134=0,COUNTIF($BR$6:BR134,0),""))</f>
        <v/>
      </c>
    </row>
    <row r="135">
      <c r="A135" s="15" t="n">
        <v>131</v>
      </c>
      <c r="B135" t="str">
        <f>IF(B$3=0,"",IF(INDEX(SRC_Woningetalage!$A$1:$ZZ$501,$A135,B$3)&amp;""="","",INDEX(SRC_Woningetalage!$A$1:$ZZ$501,$A135,B$3)&amp;""))</f>
        <v/>
      </c>
      <c r="C135" t="str">
        <f>IF($B135="","",IF(C$3=0,"n.b.",INDEX(SRC_Woningetalage!$A$1:$ZZ$501,$A135,C$3)))</f>
        <v/>
      </c>
      <c r="D135" t="str">
        <f>IF($B135="","",IF(D$3=0,"n.b.",INDEX(SRC_Woningetalage!$A$1:$ZZ$501,$A135,D$3)))</f>
        <v/>
      </c>
      <c r="E135" t="str">
        <f>IF($B135="","",IF(E$3=0,"n.b.",INDEX(SRC_Woningetalage!$A$1:$ZZ$501,$A135,E$3)))</f>
        <v/>
      </c>
      <c r="F135" t="str">
        <f>IF($B135="","",IF(F$3=0,"n.b.",INDEX(SRC_Woningetalage!$A$1:$ZZ$501,$A135,F$3)))</f>
        <v/>
      </c>
      <c r="G135" t="str">
        <f>IF($B135="","",IF(G$3=0,"n.b.",INDEX(SRC_Woningetalage!$A$1:$ZZ$501,$A135,G$3)))</f>
        <v/>
      </c>
      <c r="H135" t="str">
        <f>IF($B135="","",IF(H$3=0,"n.b.",INDEX(SRC_Woningetalage!$A$1:$ZZ$501,$A135,H$3)))</f>
        <v/>
      </c>
      <c r="I135" t="str">
        <f>IF($B135="","",IF(I$3=0,"n.b.",INDEX(SRC_Woningetalage!$A$1:$ZZ$501,$A135,I$3)))</f>
        <v/>
      </c>
      <c r="J135" t="str">
        <f>IF($B135="","",IF(J$3=0,"n.b.",INDEX(SRC_Woningetalage!$A$1:$ZZ$501,$A135,J$3)))</f>
        <v/>
      </c>
      <c r="K135" t="str">
        <f>IF($B135="","",IF(K$3=0,"n.b.",INDEX(SRC_Woningetalage!$A$1:$ZZ$501,$A135,K$3)))</f>
        <v/>
      </c>
      <c r="L135" t="str">
        <f>IF($B135="","",IF(L$3=0,"n.b.",INDEX(SRC_Woningetalage!$A$1:$ZZ$501,$A135,L$3)))</f>
        <v/>
      </c>
      <c r="M135" t="str">
        <f>IF($B135="","",IF(M$3=0,"n.b.",INDEX(SRC_Woningetalage!$A$1:$ZZ$501,$A135,M$3)))</f>
        <v/>
      </c>
      <c r="N135" t="str">
        <f>IF($B135="","",IF(N$3=0,"n.b.",INDEX(SRC_Woningetalage!$A$1:$ZZ$501,$A135,N$3)))</f>
        <v/>
      </c>
      <c r="O135" t="str">
        <f>IF($B135="","",IF(O$3=0,"n.b.",INDEX(SRC_Woningetalage!$A$1:$ZZ$501,$A135,O$3)))</f>
        <v/>
      </c>
      <c r="P135" t="str">
        <f>IF($B135="","",IF(P$3=0,"n.b.",INDEX(SRC_Woningetalage!$A$1:$ZZ$501,$A135,P$3)))</f>
        <v/>
      </c>
      <c r="Q135" s="124" t="str">
        <f>IF($B135="","",IF(Q$3=0,"n.b.",INDEX(SRC_Woningetalage!$A$1:$ZZ$501,$A135,Q$3)))</f>
        <v/>
      </c>
      <c r="R135" s="124" t="str">
        <f>IF($B135="","",IF(R$3=0,"n.b.",INDEX(SRC_Woningetalage!$A$1:$ZZ$501,$A135,R$3)))</f>
        <v/>
      </c>
      <c r="S135" s="124" t="str">
        <f>IF($B135="","",IF(S$3=0,"n.b.",INDEX(SRC_Woningetalage!$A$1:$ZZ$501,$A135,S$3)))</f>
        <v/>
      </c>
      <c r="T135" s="124" t="str">
        <f>IF($B135="","",IF(T$3=0,"n.b.",INDEX(SRC_Woningetalage!$A$1:$ZZ$501,$A135,T$3)))</f>
        <v/>
      </c>
      <c r="U135" s="124" t="str">
        <f>IF($B135="","",IF(U$3=0,"n.b.",INDEX(SRC_Woningetalage!$A$1:$ZZ$501,$A135,U$3)))</f>
        <v/>
      </c>
      <c r="V135" s="124" t="str">
        <f>IF($B135="","",IF(V$3=0,"n.b.",INDEX(SRC_Woningetalage!$A$1:$ZZ$501,$A135,V$3)))</f>
        <v/>
      </c>
      <c r="W135" s="124" t="str">
        <f>IF($B135="","",IF(W$3=0,"n.b.",INDEX(SRC_Woningetalage!$A$1:$ZZ$501,$A135,W$3)))</f>
        <v/>
      </c>
      <c r="X135" s="124" t="str">
        <f>IF($B135="","",IF(X$3=0,"n.b.",INDEX(SRC_Woningetalage!$A$1:$ZZ$501,$A135,X$3)))</f>
        <v/>
      </c>
      <c r="Y135" s="124" t="str">
        <f>IF($B135="","",IF(Y$3=0,"n.b.",INDEX(SRC_Woningetalage!$A$1:$ZZ$501,$A135,Y$3)))</f>
        <v/>
      </c>
      <c r="Z135" s="124" t="str">
        <f>IF($B135="","",IF(Z$3=0,"n.b.",INDEX(SRC_Woningetalage!$A$1:$ZZ$501,$A135,Z$3)))</f>
        <v/>
      </c>
      <c r="AA135" s="124" t="str">
        <f>IF($B135="","",IF(AA$3=0,"n.b.",INDEX(SRC_Woningetalage!$A$1:$ZZ$501,$A135,AA$3)))</f>
        <v/>
      </c>
      <c r="AB135" s="124" t="str">
        <f>IF($B135="","",IF(AB$3=0,"n.b.",INDEX(SRC_Woningetalage!$A$1:$ZZ$501,$A135,AB$3)))</f>
        <v/>
      </c>
      <c r="AC135" s="124" t="str">
        <f>IF($B135="","",IF(AC$3=0,"n.b.",INDEX(SRC_Woningetalage!$A$1:$ZZ$501,$A135,AC$3)))</f>
        <v/>
      </c>
      <c r="AD135" s="124" t="str">
        <f>IF($B135="","",IF(AD$3=0,"n.b.",INDEX(SRC_Woningetalage!$A$1:$ZZ$501,$A135,AD$3)))</f>
        <v/>
      </c>
      <c r="AE135" s="124" t="str">
        <f>IF($B135="","",IF(AE$3=0,"n.b.",INDEX(SRC_Woningetalage!$A$1:$ZZ$501,$A135,AE$3)))</f>
        <v/>
      </c>
      <c r="AF135" s="124" t="str">
        <f>IF($B135="","",IF(AF$3=0,"n.b.",INDEX(SRC_Woningetalage!$A$1:$ZZ$501,$A135,AF$3)))</f>
        <v/>
      </c>
      <c r="AG135" s="124" t="str">
        <f>IF($B135="","",IF(AG$3=0,"n.b.",INDEX(SRC_Woningetalage!$A$1:$ZZ$501,$A135,AG$3)))</f>
        <v/>
      </c>
      <c r="AH135" s="124" t="str">
        <f>IF($B135="","",IF(AH$3=0,"n.b.",INDEX(SRC_Woningetalage!$A$1:$ZZ$501,$A135,AH$3)))</f>
        <v/>
      </c>
      <c r="AI135" s="124" t="str">
        <f>IF($B135="","",IF(AI$3=0,"n.b.",INDEX(SRC_Woningetalage!$A$1:$ZZ$501,$A135,AI$3)))</f>
        <v/>
      </c>
      <c r="AJ135" s="124" t="str">
        <f>IF($B135="","",IF(AJ$3=0,"n.b.",INDEX(SRC_Woningetalage!$A$1:$ZZ$501,$A135,AJ$3)))</f>
        <v/>
      </c>
      <c r="AK135" s="124" t="str">
        <f>IF($B135="","",IF(AK$3=0,"n.b.",INDEX(SRC_Woningetalage!$A$1:$ZZ$501,$A135,AK$3)))</f>
        <v/>
      </c>
      <c r="AL135" s="124" t="str">
        <f>IF($B135="","",IF(AL$3=0,"n.b.",INDEX(SRC_Woningetalage!$A$1:$ZZ$501,$A135,AL$3)))</f>
        <v/>
      </c>
      <c r="AM135" s="124" t="str">
        <f>IF($B135="","",IF(AM$3=0,"n.b.",INDEX(SRC_Woningetalage!$A$1:$ZZ$501,$A135,AM$3)))</f>
        <v/>
      </c>
      <c r="AN135" s="124" t="str">
        <f>IF($B135="","",IF(AN$3=0,"n.b.",INDEX(SRC_Woningetalage!$A$1:$ZZ$501,$A135,AN$3)))</f>
        <v/>
      </c>
      <c r="AO135" s="124" t="str">
        <f>IF($B135="","",IF(AO$3=0,"n.b.",INDEX(SRC_Woningetalage!$A$1:$ZZ$501,$A135,AO$3)))</f>
        <v/>
      </c>
      <c r="AP135" s="124" t="str">
        <f>IF($B135="","",IF(AP$3=0,"n.b.",INDEX(SRC_Woningetalage!$A$1:$ZZ$501,$A135,AP$3)))</f>
        <v/>
      </c>
      <c r="AQ135" s="124" t="str">
        <f>IF($B135="","",IF(AQ$3=0,"n.b.",INDEX(SRC_Woningetalage!$A$1:$ZZ$501,$A135,AQ$3)))</f>
        <v/>
      </c>
      <c r="AR135" s="124" t="str">
        <f>IF($B135="","",IF(AR$3=0,"n.b.",INDEX(SRC_Woningetalage!$A$1:$ZZ$501,$A135,AR$3)))</f>
        <v/>
      </c>
      <c r="AS135" s="124" t="str">
        <f>IF($B135="","",IF(AS$3=0,"n.b.",INDEX(SRC_Woningetalage!$A$1:$ZZ$501,$A135,AS$3)))</f>
        <v/>
      </c>
      <c r="AT135" s="124" t="str">
        <f>IF($B135="","",IF(AT$3=0,"n.b.",INDEX(SRC_Woningetalage!$A$1:$ZZ$501,$A135,AT$3)))</f>
        <v/>
      </c>
      <c r="AU135" s="124" t="str">
        <f>IF($B135="","",IF(AU$3=0,"n.b.",INDEX(SRC_Woningetalage!$A$1:$ZZ$501,$A135,AU$3)))</f>
        <v/>
      </c>
      <c r="AV135" s="124" t="str">
        <f>IF($B135="","",IF(AV$3=0,"n.b.",INDEX(SRC_Woningetalage!$A$1:$ZZ$501,$A135,AV$3)))</f>
        <v/>
      </c>
      <c r="AW135" s="124" t="str">
        <f>IF($B135="","",IF(AW$3=0,"n.b.",INDEX(SRC_Woningetalage!$A$1:$ZZ$501,$A135,AW$3)))</f>
        <v/>
      </c>
      <c r="AX135" s="124" t="str">
        <f>IF($B135="","",IF(AX$3=0,"n.b.",INDEX(SRC_Woningetalage!$A$1:$ZZ$501,$A135,AX$3)))</f>
        <v/>
      </c>
      <c r="AY135" s="124" t="str">
        <f>IF($B135="","",IF(AY$3=0,"n.b.",INDEX(SRC_Woningetalage!$A$1:$ZZ$501,$A135,AY$3)))</f>
        <v/>
      </c>
      <c r="AZ135" s="124" t="str">
        <f>IF($B135="","",IF(AZ$3=0,"n.b.",INDEX(SRC_Woningetalage!$A$1:$ZZ$501,$A135,AZ$3)))</f>
        <v/>
      </c>
      <c r="BA135" s="124" t="str">
        <f>IF($B135="","",IF(BA$3=0,"n.b.",INDEX(SRC_Woningetalage!$A$1:$ZZ$501,$A135,BA$3)))</f>
        <v/>
      </c>
      <c r="BB135" s="124" t="str">
        <f>IF($B135="","",IF(BB$3=0,"n.b.",INDEX(SRC_Woningetalage!$A$1:$ZZ$501,$A135,BB$3)))</f>
        <v/>
      </c>
      <c r="BC135" s="124" t="str">
        <f>IF($B135="","",IFERROR(_xlfn.NUMBERVALUE(E135&amp;"",",","."),"n.b."))</f>
        <v/>
      </c>
      <c r="BD135" s="124" t="str">
        <f>IF($B135="","",IFERROR(_xlfn.NUMBERVALUE(M135&amp;"",",","."),"n.b."))</f>
        <v/>
      </c>
      <c r="BE135" s="124" t="str">
        <f>IF($B135="","",IFERROR(AB135+AC135+AD135,"n.b."))</f>
        <v/>
      </c>
      <c r="BF135" s="124" t="str">
        <f>IF($B135="","",IFERROR(AE135+AF135+AG135,"n.b."))</f>
        <v/>
      </c>
      <c r="BG135" s="124" t="str">
        <f>IF($B135="","",IFERROR(AH135+AI135+AJ135,"n.b."))</f>
        <v/>
      </c>
      <c r="BH135" s="124" t="str">
        <f>IF($B135="","",IFERROR(AK135+AL135+AM135,"n.b."))</f>
        <v/>
      </c>
      <c r="BI135" s="124" t="str">
        <f>IF($B135="","",IFERROR(SUMIF($AB$5:$AM$5,"&lt;="&amp;P_PeilMaand,AB135:AM135),"n.b."))</f>
        <v/>
      </c>
      <c r="BJ135" s="124" t="str">
        <f>IF($B135="","",IFERROR(SUM(AB135:AM135)-BI135,"n.b."))</f>
        <v/>
      </c>
      <c r="BK135" s="124" t="str">
        <f>IF($B135="","",IFERROR(IF(ABS(Q135-(T135+SUM(AB135:AM135)+AS135+AU135))&gt;P_Tol,1,0),1))</f>
        <v/>
      </c>
      <c r="BL135" s="124" t="str">
        <f>IF($B135="","",IFERROR(IF(ABS(AA135-(Q135-Z135))&gt;P_Tol,1,0),1))</f>
        <v/>
      </c>
      <c r="BM135" s="124" t="str">
        <f>IF($B135="","",IFERROR(IF(ABS(Z135-(T135+W135))&gt;P_Tol,1,0),1))</f>
        <v/>
      </c>
      <c r="BN135" s="124" t="str">
        <f>IF($B135="","",IFERROR(IF(ABS(W135-BI135)&gt;P_Tol,1,0),1))</f>
        <v/>
      </c>
      <c r="BO135" s="124" t="str">
        <f>IF($B135="","",IFERROR(IF(OR(ABS(R135+S135-T135)&gt;P_Tol,ABS(U135+V135-W135)&gt;P_Tol,ABS(X135+Y135-Z135)&gt;P_Tol),1,0),1))</f>
        <v/>
      </c>
      <c r="BP135" s="124" t="str">
        <f>IF($B135="","",IFERROR(IF(OR(ABS(AR135-SUM(AB135:AM135))&gt;P_Tol,ABS(AS135-(AN135+AO135+AP135+AQ135))&gt;P_Tol),1,0),1))</f>
        <v/>
      </c>
      <c r="BQ135" s="124" t="str">
        <f>IF($B135="","",IFERROR(IF(ABS(AT135)+ABS(AV135)+ABS(AW135)+ABS(AX135)+ABS(AY135)+ABS(AZ135)+ABS(BA135)+ABS(BB135)&gt;0,1,0),1))</f>
        <v/>
      </c>
      <c r="BR135" s="124" t="str">
        <f>IF($B135="","",COUNTIF(STG_ZPMW03!$B$6:$B$505,B135))</f>
        <v/>
      </c>
      <c r="BS135" s="124" t="str">
        <f>IF($B135="","",COUNTIF($B$6:$B$505,B135))</f>
        <v/>
      </c>
      <c r="BT135" s="124" t="str">
        <f>IF($B135="","",IF(BR135=0,0,IF(INDEX(STG_ZPMW03!$I$6:$I$505,MATCH(B135,STG_ZPMW03!$B$6:$B$505,0))=J135&amp;"",0,1)))</f>
        <v/>
      </c>
      <c r="BU135" s="124" t="str">
        <f>IF($B135="","",IFERROR(IF(ABS(INDEX(Mapping!$D$5:$D$104,MATCH(B135,Mapping!$A$5:$A$104,0))-Q135)&gt;P_Tol,1,0),0))</f>
        <v/>
      </c>
      <c r="BV135" s="124" t="str">
        <f>IF($B135="","",IFERROR(IF(AND(INDEX(Mapping!$G$5:$G$104,MATCH(B135,Mapping!$A$5:$A$104,0))="Nee",ABS(Q135)+ABS(Z135)+ABS(AR135)&gt;0),1,0),0))</f>
        <v/>
      </c>
      <c r="BW135" s="124" t="str">
        <f>IF($B135="","",IF(COUNTIF(Mapping!$A$5:$A$104,B135)&gt;0,1,0))</f>
        <v/>
      </c>
      <c r="BX135" s="124" t="str">
        <f>IF($B135="","",IF(BR135=0,COUNTIF($BR$6:BR135,0),""))</f>
        <v/>
      </c>
    </row>
    <row r="136">
      <c r="A136" s="15" t="n">
        <v>132</v>
      </c>
      <c r="B136" t="str">
        <f>IF(B$3=0,"",IF(INDEX(SRC_Woningetalage!$A$1:$ZZ$501,$A136,B$3)&amp;""="","",INDEX(SRC_Woningetalage!$A$1:$ZZ$501,$A136,B$3)&amp;""))</f>
        <v/>
      </c>
      <c r="C136" t="str">
        <f>IF($B136="","",IF(C$3=0,"n.b.",INDEX(SRC_Woningetalage!$A$1:$ZZ$501,$A136,C$3)))</f>
        <v/>
      </c>
      <c r="D136" t="str">
        <f>IF($B136="","",IF(D$3=0,"n.b.",INDEX(SRC_Woningetalage!$A$1:$ZZ$501,$A136,D$3)))</f>
        <v/>
      </c>
      <c r="E136" t="str">
        <f>IF($B136="","",IF(E$3=0,"n.b.",INDEX(SRC_Woningetalage!$A$1:$ZZ$501,$A136,E$3)))</f>
        <v/>
      </c>
      <c r="F136" t="str">
        <f>IF($B136="","",IF(F$3=0,"n.b.",INDEX(SRC_Woningetalage!$A$1:$ZZ$501,$A136,F$3)))</f>
        <v/>
      </c>
      <c r="G136" t="str">
        <f>IF($B136="","",IF(G$3=0,"n.b.",INDEX(SRC_Woningetalage!$A$1:$ZZ$501,$A136,G$3)))</f>
        <v/>
      </c>
      <c r="H136" t="str">
        <f>IF($B136="","",IF(H$3=0,"n.b.",INDEX(SRC_Woningetalage!$A$1:$ZZ$501,$A136,H$3)))</f>
        <v/>
      </c>
      <c r="I136" t="str">
        <f>IF($B136="","",IF(I$3=0,"n.b.",INDEX(SRC_Woningetalage!$A$1:$ZZ$501,$A136,I$3)))</f>
        <v/>
      </c>
      <c r="J136" t="str">
        <f>IF($B136="","",IF(J$3=0,"n.b.",INDEX(SRC_Woningetalage!$A$1:$ZZ$501,$A136,J$3)))</f>
        <v/>
      </c>
      <c r="K136" t="str">
        <f>IF($B136="","",IF(K$3=0,"n.b.",INDEX(SRC_Woningetalage!$A$1:$ZZ$501,$A136,K$3)))</f>
        <v/>
      </c>
      <c r="L136" t="str">
        <f>IF($B136="","",IF(L$3=0,"n.b.",INDEX(SRC_Woningetalage!$A$1:$ZZ$501,$A136,L$3)))</f>
        <v/>
      </c>
      <c r="M136" t="str">
        <f>IF($B136="","",IF(M$3=0,"n.b.",INDEX(SRC_Woningetalage!$A$1:$ZZ$501,$A136,M$3)))</f>
        <v/>
      </c>
      <c r="N136" t="str">
        <f>IF($B136="","",IF(N$3=0,"n.b.",INDEX(SRC_Woningetalage!$A$1:$ZZ$501,$A136,N$3)))</f>
        <v/>
      </c>
      <c r="O136" t="str">
        <f>IF($B136="","",IF(O$3=0,"n.b.",INDEX(SRC_Woningetalage!$A$1:$ZZ$501,$A136,O$3)))</f>
        <v/>
      </c>
      <c r="P136" t="str">
        <f>IF($B136="","",IF(P$3=0,"n.b.",INDEX(SRC_Woningetalage!$A$1:$ZZ$501,$A136,P$3)))</f>
        <v/>
      </c>
      <c r="Q136" s="124" t="str">
        <f>IF($B136="","",IF(Q$3=0,"n.b.",INDEX(SRC_Woningetalage!$A$1:$ZZ$501,$A136,Q$3)))</f>
        <v/>
      </c>
      <c r="R136" s="124" t="str">
        <f>IF($B136="","",IF(R$3=0,"n.b.",INDEX(SRC_Woningetalage!$A$1:$ZZ$501,$A136,R$3)))</f>
        <v/>
      </c>
      <c r="S136" s="124" t="str">
        <f>IF($B136="","",IF(S$3=0,"n.b.",INDEX(SRC_Woningetalage!$A$1:$ZZ$501,$A136,S$3)))</f>
        <v/>
      </c>
      <c r="T136" s="124" t="str">
        <f>IF($B136="","",IF(T$3=0,"n.b.",INDEX(SRC_Woningetalage!$A$1:$ZZ$501,$A136,T$3)))</f>
        <v/>
      </c>
      <c r="U136" s="124" t="str">
        <f>IF($B136="","",IF(U$3=0,"n.b.",INDEX(SRC_Woningetalage!$A$1:$ZZ$501,$A136,U$3)))</f>
        <v/>
      </c>
      <c r="V136" s="124" t="str">
        <f>IF($B136="","",IF(V$3=0,"n.b.",INDEX(SRC_Woningetalage!$A$1:$ZZ$501,$A136,V$3)))</f>
        <v/>
      </c>
      <c r="W136" s="124" t="str">
        <f>IF($B136="","",IF(W$3=0,"n.b.",INDEX(SRC_Woningetalage!$A$1:$ZZ$501,$A136,W$3)))</f>
        <v/>
      </c>
      <c r="X136" s="124" t="str">
        <f>IF($B136="","",IF(X$3=0,"n.b.",INDEX(SRC_Woningetalage!$A$1:$ZZ$501,$A136,X$3)))</f>
        <v/>
      </c>
      <c r="Y136" s="124" t="str">
        <f>IF($B136="","",IF(Y$3=0,"n.b.",INDEX(SRC_Woningetalage!$A$1:$ZZ$501,$A136,Y$3)))</f>
        <v/>
      </c>
      <c r="Z136" s="124" t="str">
        <f>IF($B136="","",IF(Z$3=0,"n.b.",INDEX(SRC_Woningetalage!$A$1:$ZZ$501,$A136,Z$3)))</f>
        <v/>
      </c>
      <c r="AA136" s="124" t="str">
        <f>IF($B136="","",IF(AA$3=0,"n.b.",INDEX(SRC_Woningetalage!$A$1:$ZZ$501,$A136,AA$3)))</f>
        <v/>
      </c>
      <c r="AB136" s="124" t="str">
        <f>IF($B136="","",IF(AB$3=0,"n.b.",INDEX(SRC_Woningetalage!$A$1:$ZZ$501,$A136,AB$3)))</f>
        <v/>
      </c>
      <c r="AC136" s="124" t="str">
        <f>IF($B136="","",IF(AC$3=0,"n.b.",INDEX(SRC_Woningetalage!$A$1:$ZZ$501,$A136,AC$3)))</f>
        <v/>
      </c>
      <c r="AD136" s="124" t="str">
        <f>IF($B136="","",IF(AD$3=0,"n.b.",INDEX(SRC_Woningetalage!$A$1:$ZZ$501,$A136,AD$3)))</f>
        <v/>
      </c>
      <c r="AE136" s="124" t="str">
        <f>IF($B136="","",IF(AE$3=0,"n.b.",INDEX(SRC_Woningetalage!$A$1:$ZZ$501,$A136,AE$3)))</f>
        <v/>
      </c>
      <c r="AF136" s="124" t="str">
        <f>IF($B136="","",IF(AF$3=0,"n.b.",INDEX(SRC_Woningetalage!$A$1:$ZZ$501,$A136,AF$3)))</f>
        <v/>
      </c>
      <c r="AG136" s="124" t="str">
        <f>IF($B136="","",IF(AG$3=0,"n.b.",INDEX(SRC_Woningetalage!$A$1:$ZZ$501,$A136,AG$3)))</f>
        <v/>
      </c>
      <c r="AH136" s="124" t="str">
        <f>IF($B136="","",IF(AH$3=0,"n.b.",INDEX(SRC_Woningetalage!$A$1:$ZZ$501,$A136,AH$3)))</f>
        <v/>
      </c>
      <c r="AI136" s="124" t="str">
        <f>IF($B136="","",IF(AI$3=0,"n.b.",INDEX(SRC_Woningetalage!$A$1:$ZZ$501,$A136,AI$3)))</f>
        <v/>
      </c>
      <c r="AJ136" s="124" t="str">
        <f>IF($B136="","",IF(AJ$3=0,"n.b.",INDEX(SRC_Woningetalage!$A$1:$ZZ$501,$A136,AJ$3)))</f>
        <v/>
      </c>
      <c r="AK136" s="124" t="str">
        <f>IF($B136="","",IF(AK$3=0,"n.b.",INDEX(SRC_Woningetalage!$A$1:$ZZ$501,$A136,AK$3)))</f>
        <v/>
      </c>
      <c r="AL136" s="124" t="str">
        <f>IF($B136="","",IF(AL$3=0,"n.b.",INDEX(SRC_Woningetalage!$A$1:$ZZ$501,$A136,AL$3)))</f>
        <v/>
      </c>
      <c r="AM136" s="124" t="str">
        <f>IF($B136="","",IF(AM$3=0,"n.b.",INDEX(SRC_Woningetalage!$A$1:$ZZ$501,$A136,AM$3)))</f>
        <v/>
      </c>
      <c r="AN136" s="124" t="str">
        <f>IF($B136="","",IF(AN$3=0,"n.b.",INDEX(SRC_Woningetalage!$A$1:$ZZ$501,$A136,AN$3)))</f>
        <v/>
      </c>
      <c r="AO136" s="124" t="str">
        <f>IF($B136="","",IF(AO$3=0,"n.b.",INDEX(SRC_Woningetalage!$A$1:$ZZ$501,$A136,AO$3)))</f>
        <v/>
      </c>
      <c r="AP136" s="124" t="str">
        <f>IF($B136="","",IF(AP$3=0,"n.b.",INDEX(SRC_Woningetalage!$A$1:$ZZ$501,$A136,AP$3)))</f>
        <v/>
      </c>
      <c r="AQ136" s="124" t="str">
        <f>IF($B136="","",IF(AQ$3=0,"n.b.",INDEX(SRC_Woningetalage!$A$1:$ZZ$501,$A136,AQ$3)))</f>
        <v/>
      </c>
      <c r="AR136" s="124" t="str">
        <f>IF($B136="","",IF(AR$3=0,"n.b.",INDEX(SRC_Woningetalage!$A$1:$ZZ$501,$A136,AR$3)))</f>
        <v/>
      </c>
      <c r="AS136" s="124" t="str">
        <f>IF($B136="","",IF(AS$3=0,"n.b.",INDEX(SRC_Woningetalage!$A$1:$ZZ$501,$A136,AS$3)))</f>
        <v/>
      </c>
      <c r="AT136" s="124" t="str">
        <f>IF($B136="","",IF(AT$3=0,"n.b.",INDEX(SRC_Woningetalage!$A$1:$ZZ$501,$A136,AT$3)))</f>
        <v/>
      </c>
      <c r="AU136" s="124" t="str">
        <f>IF($B136="","",IF(AU$3=0,"n.b.",INDEX(SRC_Woningetalage!$A$1:$ZZ$501,$A136,AU$3)))</f>
        <v/>
      </c>
      <c r="AV136" s="124" t="str">
        <f>IF($B136="","",IF(AV$3=0,"n.b.",INDEX(SRC_Woningetalage!$A$1:$ZZ$501,$A136,AV$3)))</f>
        <v/>
      </c>
      <c r="AW136" s="124" t="str">
        <f>IF($B136="","",IF(AW$3=0,"n.b.",INDEX(SRC_Woningetalage!$A$1:$ZZ$501,$A136,AW$3)))</f>
        <v/>
      </c>
      <c r="AX136" s="124" t="str">
        <f>IF($B136="","",IF(AX$3=0,"n.b.",INDEX(SRC_Woningetalage!$A$1:$ZZ$501,$A136,AX$3)))</f>
        <v/>
      </c>
      <c r="AY136" s="124" t="str">
        <f>IF($B136="","",IF(AY$3=0,"n.b.",INDEX(SRC_Woningetalage!$A$1:$ZZ$501,$A136,AY$3)))</f>
        <v/>
      </c>
      <c r="AZ136" s="124" t="str">
        <f>IF($B136="","",IF(AZ$3=0,"n.b.",INDEX(SRC_Woningetalage!$A$1:$ZZ$501,$A136,AZ$3)))</f>
        <v/>
      </c>
      <c r="BA136" s="124" t="str">
        <f>IF($B136="","",IF(BA$3=0,"n.b.",INDEX(SRC_Woningetalage!$A$1:$ZZ$501,$A136,BA$3)))</f>
        <v/>
      </c>
      <c r="BB136" s="124" t="str">
        <f>IF($B136="","",IF(BB$3=0,"n.b.",INDEX(SRC_Woningetalage!$A$1:$ZZ$501,$A136,BB$3)))</f>
        <v/>
      </c>
      <c r="BC136" s="124" t="str">
        <f>IF($B136="","",IFERROR(_xlfn.NUMBERVALUE(E136&amp;"",",","."),"n.b."))</f>
        <v/>
      </c>
      <c r="BD136" s="124" t="str">
        <f>IF($B136="","",IFERROR(_xlfn.NUMBERVALUE(M136&amp;"",",","."),"n.b."))</f>
        <v/>
      </c>
      <c r="BE136" s="124" t="str">
        <f>IF($B136="","",IFERROR(AB136+AC136+AD136,"n.b."))</f>
        <v/>
      </c>
      <c r="BF136" s="124" t="str">
        <f>IF($B136="","",IFERROR(AE136+AF136+AG136,"n.b."))</f>
        <v/>
      </c>
      <c r="BG136" s="124" t="str">
        <f>IF($B136="","",IFERROR(AH136+AI136+AJ136,"n.b."))</f>
        <v/>
      </c>
      <c r="BH136" s="124" t="str">
        <f>IF($B136="","",IFERROR(AK136+AL136+AM136,"n.b."))</f>
        <v/>
      </c>
      <c r="BI136" s="124" t="str">
        <f>IF($B136="","",IFERROR(SUMIF($AB$5:$AM$5,"&lt;="&amp;P_PeilMaand,AB136:AM136),"n.b."))</f>
        <v/>
      </c>
      <c r="BJ136" s="124" t="str">
        <f>IF($B136="","",IFERROR(SUM(AB136:AM136)-BI136,"n.b."))</f>
        <v/>
      </c>
      <c r="BK136" s="124" t="str">
        <f>IF($B136="","",IFERROR(IF(ABS(Q136-(T136+SUM(AB136:AM136)+AS136+AU136))&gt;P_Tol,1,0),1))</f>
        <v/>
      </c>
      <c r="BL136" s="124" t="str">
        <f>IF($B136="","",IFERROR(IF(ABS(AA136-(Q136-Z136))&gt;P_Tol,1,0),1))</f>
        <v/>
      </c>
      <c r="BM136" s="124" t="str">
        <f>IF($B136="","",IFERROR(IF(ABS(Z136-(T136+W136))&gt;P_Tol,1,0),1))</f>
        <v/>
      </c>
      <c r="BN136" s="124" t="str">
        <f>IF($B136="","",IFERROR(IF(ABS(W136-BI136)&gt;P_Tol,1,0),1))</f>
        <v/>
      </c>
      <c r="BO136" s="124" t="str">
        <f>IF($B136="","",IFERROR(IF(OR(ABS(R136+S136-T136)&gt;P_Tol,ABS(U136+V136-W136)&gt;P_Tol,ABS(X136+Y136-Z136)&gt;P_Tol),1,0),1))</f>
        <v/>
      </c>
      <c r="BP136" s="124" t="str">
        <f>IF($B136="","",IFERROR(IF(OR(ABS(AR136-SUM(AB136:AM136))&gt;P_Tol,ABS(AS136-(AN136+AO136+AP136+AQ136))&gt;P_Tol),1,0),1))</f>
        <v/>
      </c>
      <c r="BQ136" s="124" t="str">
        <f>IF($B136="","",IFERROR(IF(ABS(AT136)+ABS(AV136)+ABS(AW136)+ABS(AX136)+ABS(AY136)+ABS(AZ136)+ABS(BA136)+ABS(BB136)&gt;0,1,0),1))</f>
        <v/>
      </c>
      <c r="BR136" s="124" t="str">
        <f>IF($B136="","",COUNTIF(STG_ZPMW03!$B$6:$B$505,B136))</f>
        <v/>
      </c>
      <c r="BS136" s="124" t="str">
        <f>IF($B136="","",COUNTIF($B$6:$B$505,B136))</f>
        <v/>
      </c>
      <c r="BT136" s="124" t="str">
        <f>IF($B136="","",IF(BR136=0,0,IF(INDEX(STG_ZPMW03!$I$6:$I$505,MATCH(B136,STG_ZPMW03!$B$6:$B$505,0))=J136&amp;"",0,1)))</f>
        <v/>
      </c>
      <c r="BU136" s="124" t="str">
        <f>IF($B136="","",IFERROR(IF(ABS(INDEX(Mapping!$D$5:$D$104,MATCH(B136,Mapping!$A$5:$A$104,0))-Q136)&gt;P_Tol,1,0),0))</f>
        <v/>
      </c>
      <c r="BV136" s="124" t="str">
        <f>IF($B136="","",IFERROR(IF(AND(INDEX(Mapping!$G$5:$G$104,MATCH(B136,Mapping!$A$5:$A$104,0))="Nee",ABS(Q136)+ABS(Z136)+ABS(AR136)&gt;0),1,0),0))</f>
        <v/>
      </c>
      <c r="BW136" s="124" t="str">
        <f>IF($B136="","",IF(COUNTIF(Mapping!$A$5:$A$104,B136)&gt;0,1,0))</f>
        <v/>
      </c>
      <c r="BX136" s="124" t="str">
        <f>IF($B136="","",IF(BR136=0,COUNTIF($BR$6:BR136,0),""))</f>
        <v/>
      </c>
    </row>
    <row r="137">
      <c r="A137" s="15" t="n">
        <v>133</v>
      </c>
      <c r="B137" t="str">
        <f>IF(B$3=0,"",IF(INDEX(SRC_Woningetalage!$A$1:$ZZ$501,$A137,B$3)&amp;""="","",INDEX(SRC_Woningetalage!$A$1:$ZZ$501,$A137,B$3)&amp;""))</f>
        <v/>
      </c>
      <c r="C137" t="str">
        <f>IF($B137="","",IF(C$3=0,"n.b.",INDEX(SRC_Woningetalage!$A$1:$ZZ$501,$A137,C$3)))</f>
        <v/>
      </c>
      <c r="D137" t="str">
        <f>IF($B137="","",IF(D$3=0,"n.b.",INDEX(SRC_Woningetalage!$A$1:$ZZ$501,$A137,D$3)))</f>
        <v/>
      </c>
      <c r="E137" t="str">
        <f>IF($B137="","",IF(E$3=0,"n.b.",INDEX(SRC_Woningetalage!$A$1:$ZZ$501,$A137,E$3)))</f>
        <v/>
      </c>
      <c r="F137" t="str">
        <f>IF($B137="","",IF(F$3=0,"n.b.",INDEX(SRC_Woningetalage!$A$1:$ZZ$501,$A137,F$3)))</f>
        <v/>
      </c>
      <c r="G137" t="str">
        <f>IF($B137="","",IF(G$3=0,"n.b.",INDEX(SRC_Woningetalage!$A$1:$ZZ$501,$A137,G$3)))</f>
        <v/>
      </c>
      <c r="H137" t="str">
        <f>IF($B137="","",IF(H$3=0,"n.b.",INDEX(SRC_Woningetalage!$A$1:$ZZ$501,$A137,H$3)))</f>
        <v/>
      </c>
      <c r="I137" t="str">
        <f>IF($B137="","",IF(I$3=0,"n.b.",INDEX(SRC_Woningetalage!$A$1:$ZZ$501,$A137,I$3)))</f>
        <v/>
      </c>
      <c r="J137" t="str">
        <f>IF($B137="","",IF(J$3=0,"n.b.",INDEX(SRC_Woningetalage!$A$1:$ZZ$501,$A137,J$3)))</f>
        <v/>
      </c>
      <c r="K137" t="str">
        <f>IF($B137="","",IF(K$3=0,"n.b.",INDEX(SRC_Woningetalage!$A$1:$ZZ$501,$A137,K$3)))</f>
        <v/>
      </c>
      <c r="L137" t="str">
        <f>IF($B137="","",IF(L$3=0,"n.b.",INDEX(SRC_Woningetalage!$A$1:$ZZ$501,$A137,L$3)))</f>
        <v/>
      </c>
      <c r="M137" t="str">
        <f>IF($B137="","",IF(M$3=0,"n.b.",INDEX(SRC_Woningetalage!$A$1:$ZZ$501,$A137,M$3)))</f>
        <v/>
      </c>
      <c r="N137" t="str">
        <f>IF($B137="","",IF(N$3=0,"n.b.",INDEX(SRC_Woningetalage!$A$1:$ZZ$501,$A137,N$3)))</f>
        <v/>
      </c>
      <c r="O137" t="str">
        <f>IF($B137="","",IF(O$3=0,"n.b.",INDEX(SRC_Woningetalage!$A$1:$ZZ$501,$A137,O$3)))</f>
        <v/>
      </c>
      <c r="P137" t="str">
        <f>IF($B137="","",IF(P$3=0,"n.b.",INDEX(SRC_Woningetalage!$A$1:$ZZ$501,$A137,P$3)))</f>
        <v/>
      </c>
      <c r="Q137" s="124" t="str">
        <f>IF($B137="","",IF(Q$3=0,"n.b.",INDEX(SRC_Woningetalage!$A$1:$ZZ$501,$A137,Q$3)))</f>
        <v/>
      </c>
      <c r="R137" s="124" t="str">
        <f>IF($B137="","",IF(R$3=0,"n.b.",INDEX(SRC_Woningetalage!$A$1:$ZZ$501,$A137,R$3)))</f>
        <v/>
      </c>
      <c r="S137" s="124" t="str">
        <f>IF($B137="","",IF(S$3=0,"n.b.",INDEX(SRC_Woningetalage!$A$1:$ZZ$501,$A137,S$3)))</f>
        <v/>
      </c>
      <c r="T137" s="124" t="str">
        <f>IF($B137="","",IF(T$3=0,"n.b.",INDEX(SRC_Woningetalage!$A$1:$ZZ$501,$A137,T$3)))</f>
        <v/>
      </c>
      <c r="U137" s="124" t="str">
        <f>IF($B137="","",IF(U$3=0,"n.b.",INDEX(SRC_Woningetalage!$A$1:$ZZ$501,$A137,U$3)))</f>
        <v/>
      </c>
      <c r="V137" s="124" t="str">
        <f>IF($B137="","",IF(V$3=0,"n.b.",INDEX(SRC_Woningetalage!$A$1:$ZZ$501,$A137,V$3)))</f>
        <v/>
      </c>
      <c r="W137" s="124" t="str">
        <f>IF($B137="","",IF(W$3=0,"n.b.",INDEX(SRC_Woningetalage!$A$1:$ZZ$501,$A137,W$3)))</f>
        <v/>
      </c>
      <c r="X137" s="124" t="str">
        <f>IF($B137="","",IF(X$3=0,"n.b.",INDEX(SRC_Woningetalage!$A$1:$ZZ$501,$A137,X$3)))</f>
        <v/>
      </c>
      <c r="Y137" s="124" t="str">
        <f>IF($B137="","",IF(Y$3=0,"n.b.",INDEX(SRC_Woningetalage!$A$1:$ZZ$501,$A137,Y$3)))</f>
        <v/>
      </c>
      <c r="Z137" s="124" t="str">
        <f>IF($B137="","",IF(Z$3=0,"n.b.",INDEX(SRC_Woningetalage!$A$1:$ZZ$501,$A137,Z$3)))</f>
        <v/>
      </c>
      <c r="AA137" s="124" t="str">
        <f>IF($B137="","",IF(AA$3=0,"n.b.",INDEX(SRC_Woningetalage!$A$1:$ZZ$501,$A137,AA$3)))</f>
        <v/>
      </c>
      <c r="AB137" s="124" t="str">
        <f>IF($B137="","",IF(AB$3=0,"n.b.",INDEX(SRC_Woningetalage!$A$1:$ZZ$501,$A137,AB$3)))</f>
        <v/>
      </c>
      <c r="AC137" s="124" t="str">
        <f>IF($B137="","",IF(AC$3=0,"n.b.",INDEX(SRC_Woningetalage!$A$1:$ZZ$501,$A137,AC$3)))</f>
        <v/>
      </c>
      <c r="AD137" s="124" t="str">
        <f>IF($B137="","",IF(AD$3=0,"n.b.",INDEX(SRC_Woningetalage!$A$1:$ZZ$501,$A137,AD$3)))</f>
        <v/>
      </c>
      <c r="AE137" s="124" t="str">
        <f>IF($B137="","",IF(AE$3=0,"n.b.",INDEX(SRC_Woningetalage!$A$1:$ZZ$501,$A137,AE$3)))</f>
        <v/>
      </c>
      <c r="AF137" s="124" t="str">
        <f>IF($B137="","",IF(AF$3=0,"n.b.",INDEX(SRC_Woningetalage!$A$1:$ZZ$501,$A137,AF$3)))</f>
        <v/>
      </c>
      <c r="AG137" s="124" t="str">
        <f>IF($B137="","",IF(AG$3=0,"n.b.",INDEX(SRC_Woningetalage!$A$1:$ZZ$501,$A137,AG$3)))</f>
        <v/>
      </c>
      <c r="AH137" s="124" t="str">
        <f>IF($B137="","",IF(AH$3=0,"n.b.",INDEX(SRC_Woningetalage!$A$1:$ZZ$501,$A137,AH$3)))</f>
        <v/>
      </c>
      <c r="AI137" s="124" t="str">
        <f>IF($B137="","",IF(AI$3=0,"n.b.",INDEX(SRC_Woningetalage!$A$1:$ZZ$501,$A137,AI$3)))</f>
        <v/>
      </c>
      <c r="AJ137" s="124" t="str">
        <f>IF($B137="","",IF(AJ$3=0,"n.b.",INDEX(SRC_Woningetalage!$A$1:$ZZ$501,$A137,AJ$3)))</f>
        <v/>
      </c>
      <c r="AK137" s="124" t="str">
        <f>IF($B137="","",IF(AK$3=0,"n.b.",INDEX(SRC_Woningetalage!$A$1:$ZZ$501,$A137,AK$3)))</f>
        <v/>
      </c>
      <c r="AL137" s="124" t="str">
        <f>IF($B137="","",IF(AL$3=0,"n.b.",INDEX(SRC_Woningetalage!$A$1:$ZZ$501,$A137,AL$3)))</f>
        <v/>
      </c>
      <c r="AM137" s="124" t="str">
        <f>IF($B137="","",IF(AM$3=0,"n.b.",INDEX(SRC_Woningetalage!$A$1:$ZZ$501,$A137,AM$3)))</f>
        <v/>
      </c>
      <c r="AN137" s="124" t="str">
        <f>IF($B137="","",IF(AN$3=0,"n.b.",INDEX(SRC_Woningetalage!$A$1:$ZZ$501,$A137,AN$3)))</f>
        <v/>
      </c>
      <c r="AO137" s="124" t="str">
        <f>IF($B137="","",IF(AO$3=0,"n.b.",INDEX(SRC_Woningetalage!$A$1:$ZZ$501,$A137,AO$3)))</f>
        <v/>
      </c>
      <c r="AP137" s="124" t="str">
        <f>IF($B137="","",IF(AP$3=0,"n.b.",INDEX(SRC_Woningetalage!$A$1:$ZZ$501,$A137,AP$3)))</f>
        <v/>
      </c>
      <c r="AQ137" s="124" t="str">
        <f>IF($B137="","",IF(AQ$3=0,"n.b.",INDEX(SRC_Woningetalage!$A$1:$ZZ$501,$A137,AQ$3)))</f>
        <v/>
      </c>
      <c r="AR137" s="124" t="str">
        <f>IF($B137="","",IF(AR$3=0,"n.b.",INDEX(SRC_Woningetalage!$A$1:$ZZ$501,$A137,AR$3)))</f>
        <v/>
      </c>
      <c r="AS137" s="124" t="str">
        <f>IF($B137="","",IF(AS$3=0,"n.b.",INDEX(SRC_Woningetalage!$A$1:$ZZ$501,$A137,AS$3)))</f>
        <v/>
      </c>
      <c r="AT137" s="124" t="str">
        <f>IF($B137="","",IF(AT$3=0,"n.b.",INDEX(SRC_Woningetalage!$A$1:$ZZ$501,$A137,AT$3)))</f>
        <v/>
      </c>
      <c r="AU137" s="124" t="str">
        <f>IF($B137="","",IF(AU$3=0,"n.b.",INDEX(SRC_Woningetalage!$A$1:$ZZ$501,$A137,AU$3)))</f>
        <v/>
      </c>
      <c r="AV137" s="124" t="str">
        <f>IF($B137="","",IF(AV$3=0,"n.b.",INDEX(SRC_Woningetalage!$A$1:$ZZ$501,$A137,AV$3)))</f>
        <v/>
      </c>
      <c r="AW137" s="124" t="str">
        <f>IF($B137="","",IF(AW$3=0,"n.b.",INDEX(SRC_Woningetalage!$A$1:$ZZ$501,$A137,AW$3)))</f>
        <v/>
      </c>
      <c r="AX137" s="124" t="str">
        <f>IF($B137="","",IF(AX$3=0,"n.b.",INDEX(SRC_Woningetalage!$A$1:$ZZ$501,$A137,AX$3)))</f>
        <v/>
      </c>
      <c r="AY137" s="124" t="str">
        <f>IF($B137="","",IF(AY$3=0,"n.b.",INDEX(SRC_Woningetalage!$A$1:$ZZ$501,$A137,AY$3)))</f>
        <v/>
      </c>
      <c r="AZ137" s="124" t="str">
        <f>IF($B137="","",IF(AZ$3=0,"n.b.",INDEX(SRC_Woningetalage!$A$1:$ZZ$501,$A137,AZ$3)))</f>
        <v/>
      </c>
      <c r="BA137" s="124" t="str">
        <f>IF($B137="","",IF(BA$3=0,"n.b.",INDEX(SRC_Woningetalage!$A$1:$ZZ$501,$A137,BA$3)))</f>
        <v/>
      </c>
      <c r="BB137" s="124" t="str">
        <f>IF($B137="","",IF(BB$3=0,"n.b.",INDEX(SRC_Woningetalage!$A$1:$ZZ$501,$A137,BB$3)))</f>
        <v/>
      </c>
      <c r="BC137" s="124" t="str">
        <f>IF($B137="","",IFERROR(_xlfn.NUMBERVALUE(E137&amp;"",",","."),"n.b."))</f>
        <v/>
      </c>
      <c r="BD137" s="124" t="str">
        <f>IF($B137="","",IFERROR(_xlfn.NUMBERVALUE(M137&amp;"",",","."),"n.b."))</f>
        <v/>
      </c>
      <c r="BE137" s="124" t="str">
        <f>IF($B137="","",IFERROR(AB137+AC137+AD137,"n.b."))</f>
        <v/>
      </c>
      <c r="BF137" s="124" t="str">
        <f>IF($B137="","",IFERROR(AE137+AF137+AG137,"n.b."))</f>
        <v/>
      </c>
      <c r="BG137" s="124" t="str">
        <f>IF($B137="","",IFERROR(AH137+AI137+AJ137,"n.b."))</f>
        <v/>
      </c>
      <c r="BH137" s="124" t="str">
        <f>IF($B137="","",IFERROR(AK137+AL137+AM137,"n.b."))</f>
        <v/>
      </c>
      <c r="BI137" s="124" t="str">
        <f>IF($B137="","",IFERROR(SUMIF($AB$5:$AM$5,"&lt;="&amp;P_PeilMaand,AB137:AM137),"n.b."))</f>
        <v/>
      </c>
      <c r="BJ137" s="124" t="str">
        <f>IF($B137="","",IFERROR(SUM(AB137:AM137)-BI137,"n.b."))</f>
        <v/>
      </c>
      <c r="BK137" s="124" t="str">
        <f>IF($B137="","",IFERROR(IF(ABS(Q137-(T137+SUM(AB137:AM137)+AS137+AU137))&gt;P_Tol,1,0),1))</f>
        <v/>
      </c>
      <c r="BL137" s="124" t="str">
        <f>IF($B137="","",IFERROR(IF(ABS(AA137-(Q137-Z137))&gt;P_Tol,1,0),1))</f>
        <v/>
      </c>
      <c r="BM137" s="124" t="str">
        <f>IF($B137="","",IFERROR(IF(ABS(Z137-(T137+W137))&gt;P_Tol,1,0),1))</f>
        <v/>
      </c>
      <c r="BN137" s="124" t="str">
        <f>IF($B137="","",IFERROR(IF(ABS(W137-BI137)&gt;P_Tol,1,0),1))</f>
        <v/>
      </c>
      <c r="BO137" s="124" t="str">
        <f>IF($B137="","",IFERROR(IF(OR(ABS(R137+S137-T137)&gt;P_Tol,ABS(U137+V137-W137)&gt;P_Tol,ABS(X137+Y137-Z137)&gt;P_Tol),1,0),1))</f>
        <v/>
      </c>
      <c r="BP137" s="124" t="str">
        <f>IF($B137="","",IFERROR(IF(OR(ABS(AR137-SUM(AB137:AM137))&gt;P_Tol,ABS(AS137-(AN137+AO137+AP137+AQ137))&gt;P_Tol),1,0),1))</f>
        <v/>
      </c>
      <c r="BQ137" s="124" t="str">
        <f>IF($B137="","",IFERROR(IF(ABS(AT137)+ABS(AV137)+ABS(AW137)+ABS(AX137)+ABS(AY137)+ABS(AZ137)+ABS(BA137)+ABS(BB137)&gt;0,1,0),1))</f>
        <v/>
      </c>
      <c r="BR137" s="124" t="str">
        <f>IF($B137="","",COUNTIF(STG_ZPMW03!$B$6:$B$505,B137))</f>
        <v/>
      </c>
      <c r="BS137" s="124" t="str">
        <f>IF($B137="","",COUNTIF($B$6:$B$505,B137))</f>
        <v/>
      </c>
      <c r="BT137" s="124" t="str">
        <f>IF($B137="","",IF(BR137=0,0,IF(INDEX(STG_ZPMW03!$I$6:$I$505,MATCH(B137,STG_ZPMW03!$B$6:$B$505,0))=J137&amp;"",0,1)))</f>
        <v/>
      </c>
      <c r="BU137" s="124" t="str">
        <f>IF($B137="","",IFERROR(IF(ABS(INDEX(Mapping!$D$5:$D$104,MATCH(B137,Mapping!$A$5:$A$104,0))-Q137)&gt;P_Tol,1,0),0))</f>
        <v/>
      </c>
      <c r="BV137" s="124" t="str">
        <f>IF($B137="","",IFERROR(IF(AND(INDEX(Mapping!$G$5:$G$104,MATCH(B137,Mapping!$A$5:$A$104,0))="Nee",ABS(Q137)+ABS(Z137)+ABS(AR137)&gt;0),1,0),0))</f>
        <v/>
      </c>
      <c r="BW137" s="124" t="str">
        <f>IF($B137="","",IF(COUNTIF(Mapping!$A$5:$A$104,B137)&gt;0,1,0))</f>
        <v/>
      </c>
      <c r="BX137" s="124" t="str">
        <f>IF($B137="","",IF(BR137=0,COUNTIF($BR$6:BR137,0),""))</f>
        <v/>
      </c>
    </row>
    <row r="138">
      <c r="A138" s="15" t="n">
        <v>134</v>
      </c>
      <c r="B138" t="str">
        <f>IF(B$3=0,"",IF(INDEX(SRC_Woningetalage!$A$1:$ZZ$501,$A138,B$3)&amp;""="","",INDEX(SRC_Woningetalage!$A$1:$ZZ$501,$A138,B$3)&amp;""))</f>
        <v/>
      </c>
      <c r="C138" t="str">
        <f>IF($B138="","",IF(C$3=0,"n.b.",INDEX(SRC_Woningetalage!$A$1:$ZZ$501,$A138,C$3)))</f>
        <v/>
      </c>
      <c r="D138" t="str">
        <f>IF($B138="","",IF(D$3=0,"n.b.",INDEX(SRC_Woningetalage!$A$1:$ZZ$501,$A138,D$3)))</f>
        <v/>
      </c>
      <c r="E138" t="str">
        <f>IF($B138="","",IF(E$3=0,"n.b.",INDEX(SRC_Woningetalage!$A$1:$ZZ$501,$A138,E$3)))</f>
        <v/>
      </c>
      <c r="F138" t="str">
        <f>IF($B138="","",IF(F$3=0,"n.b.",INDEX(SRC_Woningetalage!$A$1:$ZZ$501,$A138,F$3)))</f>
        <v/>
      </c>
      <c r="G138" t="str">
        <f>IF($B138="","",IF(G$3=0,"n.b.",INDEX(SRC_Woningetalage!$A$1:$ZZ$501,$A138,G$3)))</f>
        <v/>
      </c>
      <c r="H138" t="str">
        <f>IF($B138="","",IF(H$3=0,"n.b.",INDEX(SRC_Woningetalage!$A$1:$ZZ$501,$A138,H$3)))</f>
        <v/>
      </c>
      <c r="I138" t="str">
        <f>IF($B138="","",IF(I$3=0,"n.b.",INDEX(SRC_Woningetalage!$A$1:$ZZ$501,$A138,I$3)))</f>
        <v/>
      </c>
      <c r="J138" t="str">
        <f>IF($B138="","",IF(J$3=0,"n.b.",INDEX(SRC_Woningetalage!$A$1:$ZZ$501,$A138,J$3)))</f>
        <v/>
      </c>
      <c r="K138" t="str">
        <f>IF($B138="","",IF(K$3=0,"n.b.",INDEX(SRC_Woningetalage!$A$1:$ZZ$501,$A138,K$3)))</f>
        <v/>
      </c>
      <c r="L138" t="str">
        <f>IF($B138="","",IF(L$3=0,"n.b.",INDEX(SRC_Woningetalage!$A$1:$ZZ$501,$A138,L$3)))</f>
        <v/>
      </c>
      <c r="M138" t="str">
        <f>IF($B138="","",IF(M$3=0,"n.b.",INDEX(SRC_Woningetalage!$A$1:$ZZ$501,$A138,M$3)))</f>
        <v/>
      </c>
      <c r="N138" t="str">
        <f>IF($B138="","",IF(N$3=0,"n.b.",INDEX(SRC_Woningetalage!$A$1:$ZZ$501,$A138,N$3)))</f>
        <v/>
      </c>
      <c r="O138" t="str">
        <f>IF($B138="","",IF(O$3=0,"n.b.",INDEX(SRC_Woningetalage!$A$1:$ZZ$501,$A138,O$3)))</f>
        <v/>
      </c>
      <c r="P138" t="str">
        <f>IF($B138="","",IF(P$3=0,"n.b.",INDEX(SRC_Woningetalage!$A$1:$ZZ$501,$A138,P$3)))</f>
        <v/>
      </c>
      <c r="Q138" s="124" t="str">
        <f>IF($B138="","",IF(Q$3=0,"n.b.",INDEX(SRC_Woningetalage!$A$1:$ZZ$501,$A138,Q$3)))</f>
        <v/>
      </c>
      <c r="R138" s="124" t="str">
        <f>IF($B138="","",IF(R$3=0,"n.b.",INDEX(SRC_Woningetalage!$A$1:$ZZ$501,$A138,R$3)))</f>
        <v/>
      </c>
      <c r="S138" s="124" t="str">
        <f>IF($B138="","",IF(S$3=0,"n.b.",INDEX(SRC_Woningetalage!$A$1:$ZZ$501,$A138,S$3)))</f>
        <v/>
      </c>
      <c r="T138" s="124" t="str">
        <f>IF($B138="","",IF(T$3=0,"n.b.",INDEX(SRC_Woningetalage!$A$1:$ZZ$501,$A138,T$3)))</f>
        <v/>
      </c>
      <c r="U138" s="124" t="str">
        <f>IF($B138="","",IF(U$3=0,"n.b.",INDEX(SRC_Woningetalage!$A$1:$ZZ$501,$A138,U$3)))</f>
        <v/>
      </c>
      <c r="V138" s="124" t="str">
        <f>IF($B138="","",IF(V$3=0,"n.b.",INDEX(SRC_Woningetalage!$A$1:$ZZ$501,$A138,V$3)))</f>
        <v/>
      </c>
      <c r="W138" s="124" t="str">
        <f>IF($B138="","",IF(W$3=0,"n.b.",INDEX(SRC_Woningetalage!$A$1:$ZZ$501,$A138,W$3)))</f>
        <v/>
      </c>
      <c r="X138" s="124" t="str">
        <f>IF($B138="","",IF(X$3=0,"n.b.",INDEX(SRC_Woningetalage!$A$1:$ZZ$501,$A138,X$3)))</f>
        <v/>
      </c>
      <c r="Y138" s="124" t="str">
        <f>IF($B138="","",IF(Y$3=0,"n.b.",INDEX(SRC_Woningetalage!$A$1:$ZZ$501,$A138,Y$3)))</f>
        <v/>
      </c>
      <c r="Z138" s="124" t="str">
        <f>IF($B138="","",IF(Z$3=0,"n.b.",INDEX(SRC_Woningetalage!$A$1:$ZZ$501,$A138,Z$3)))</f>
        <v/>
      </c>
      <c r="AA138" s="124" t="str">
        <f>IF($B138="","",IF(AA$3=0,"n.b.",INDEX(SRC_Woningetalage!$A$1:$ZZ$501,$A138,AA$3)))</f>
        <v/>
      </c>
      <c r="AB138" s="124" t="str">
        <f>IF($B138="","",IF(AB$3=0,"n.b.",INDEX(SRC_Woningetalage!$A$1:$ZZ$501,$A138,AB$3)))</f>
        <v/>
      </c>
      <c r="AC138" s="124" t="str">
        <f>IF($B138="","",IF(AC$3=0,"n.b.",INDEX(SRC_Woningetalage!$A$1:$ZZ$501,$A138,AC$3)))</f>
        <v/>
      </c>
      <c r="AD138" s="124" t="str">
        <f>IF($B138="","",IF(AD$3=0,"n.b.",INDEX(SRC_Woningetalage!$A$1:$ZZ$501,$A138,AD$3)))</f>
        <v/>
      </c>
      <c r="AE138" s="124" t="str">
        <f>IF($B138="","",IF(AE$3=0,"n.b.",INDEX(SRC_Woningetalage!$A$1:$ZZ$501,$A138,AE$3)))</f>
        <v/>
      </c>
      <c r="AF138" s="124" t="str">
        <f>IF($B138="","",IF(AF$3=0,"n.b.",INDEX(SRC_Woningetalage!$A$1:$ZZ$501,$A138,AF$3)))</f>
        <v/>
      </c>
      <c r="AG138" s="124" t="str">
        <f>IF($B138="","",IF(AG$3=0,"n.b.",INDEX(SRC_Woningetalage!$A$1:$ZZ$501,$A138,AG$3)))</f>
        <v/>
      </c>
      <c r="AH138" s="124" t="str">
        <f>IF($B138="","",IF(AH$3=0,"n.b.",INDEX(SRC_Woningetalage!$A$1:$ZZ$501,$A138,AH$3)))</f>
        <v/>
      </c>
      <c r="AI138" s="124" t="str">
        <f>IF($B138="","",IF(AI$3=0,"n.b.",INDEX(SRC_Woningetalage!$A$1:$ZZ$501,$A138,AI$3)))</f>
        <v/>
      </c>
      <c r="AJ138" s="124" t="str">
        <f>IF($B138="","",IF(AJ$3=0,"n.b.",INDEX(SRC_Woningetalage!$A$1:$ZZ$501,$A138,AJ$3)))</f>
        <v/>
      </c>
      <c r="AK138" s="124" t="str">
        <f>IF($B138="","",IF(AK$3=0,"n.b.",INDEX(SRC_Woningetalage!$A$1:$ZZ$501,$A138,AK$3)))</f>
        <v/>
      </c>
      <c r="AL138" s="124" t="str">
        <f>IF($B138="","",IF(AL$3=0,"n.b.",INDEX(SRC_Woningetalage!$A$1:$ZZ$501,$A138,AL$3)))</f>
        <v/>
      </c>
      <c r="AM138" s="124" t="str">
        <f>IF($B138="","",IF(AM$3=0,"n.b.",INDEX(SRC_Woningetalage!$A$1:$ZZ$501,$A138,AM$3)))</f>
        <v/>
      </c>
      <c r="AN138" s="124" t="str">
        <f>IF($B138="","",IF(AN$3=0,"n.b.",INDEX(SRC_Woningetalage!$A$1:$ZZ$501,$A138,AN$3)))</f>
        <v/>
      </c>
      <c r="AO138" s="124" t="str">
        <f>IF($B138="","",IF(AO$3=0,"n.b.",INDEX(SRC_Woningetalage!$A$1:$ZZ$501,$A138,AO$3)))</f>
        <v/>
      </c>
      <c r="AP138" s="124" t="str">
        <f>IF($B138="","",IF(AP$3=0,"n.b.",INDEX(SRC_Woningetalage!$A$1:$ZZ$501,$A138,AP$3)))</f>
        <v/>
      </c>
      <c r="AQ138" s="124" t="str">
        <f>IF($B138="","",IF(AQ$3=0,"n.b.",INDEX(SRC_Woningetalage!$A$1:$ZZ$501,$A138,AQ$3)))</f>
        <v/>
      </c>
      <c r="AR138" s="124" t="str">
        <f>IF($B138="","",IF(AR$3=0,"n.b.",INDEX(SRC_Woningetalage!$A$1:$ZZ$501,$A138,AR$3)))</f>
        <v/>
      </c>
      <c r="AS138" s="124" t="str">
        <f>IF($B138="","",IF(AS$3=0,"n.b.",INDEX(SRC_Woningetalage!$A$1:$ZZ$501,$A138,AS$3)))</f>
        <v/>
      </c>
      <c r="AT138" s="124" t="str">
        <f>IF($B138="","",IF(AT$3=0,"n.b.",INDEX(SRC_Woningetalage!$A$1:$ZZ$501,$A138,AT$3)))</f>
        <v/>
      </c>
      <c r="AU138" s="124" t="str">
        <f>IF($B138="","",IF(AU$3=0,"n.b.",INDEX(SRC_Woningetalage!$A$1:$ZZ$501,$A138,AU$3)))</f>
        <v/>
      </c>
      <c r="AV138" s="124" t="str">
        <f>IF($B138="","",IF(AV$3=0,"n.b.",INDEX(SRC_Woningetalage!$A$1:$ZZ$501,$A138,AV$3)))</f>
        <v/>
      </c>
      <c r="AW138" s="124" t="str">
        <f>IF($B138="","",IF(AW$3=0,"n.b.",INDEX(SRC_Woningetalage!$A$1:$ZZ$501,$A138,AW$3)))</f>
        <v/>
      </c>
      <c r="AX138" s="124" t="str">
        <f>IF($B138="","",IF(AX$3=0,"n.b.",INDEX(SRC_Woningetalage!$A$1:$ZZ$501,$A138,AX$3)))</f>
        <v/>
      </c>
      <c r="AY138" s="124" t="str">
        <f>IF($B138="","",IF(AY$3=0,"n.b.",INDEX(SRC_Woningetalage!$A$1:$ZZ$501,$A138,AY$3)))</f>
        <v/>
      </c>
      <c r="AZ138" s="124" t="str">
        <f>IF($B138="","",IF(AZ$3=0,"n.b.",INDEX(SRC_Woningetalage!$A$1:$ZZ$501,$A138,AZ$3)))</f>
        <v/>
      </c>
      <c r="BA138" s="124" t="str">
        <f>IF($B138="","",IF(BA$3=0,"n.b.",INDEX(SRC_Woningetalage!$A$1:$ZZ$501,$A138,BA$3)))</f>
        <v/>
      </c>
      <c r="BB138" s="124" t="str">
        <f>IF($B138="","",IF(BB$3=0,"n.b.",INDEX(SRC_Woningetalage!$A$1:$ZZ$501,$A138,BB$3)))</f>
        <v/>
      </c>
      <c r="BC138" s="124" t="str">
        <f>IF($B138="","",IFERROR(_xlfn.NUMBERVALUE(E138&amp;"",",","."),"n.b."))</f>
        <v/>
      </c>
      <c r="BD138" s="124" t="str">
        <f>IF($B138="","",IFERROR(_xlfn.NUMBERVALUE(M138&amp;"",",","."),"n.b."))</f>
        <v/>
      </c>
      <c r="BE138" s="124" t="str">
        <f>IF($B138="","",IFERROR(AB138+AC138+AD138,"n.b."))</f>
        <v/>
      </c>
      <c r="BF138" s="124" t="str">
        <f>IF($B138="","",IFERROR(AE138+AF138+AG138,"n.b."))</f>
        <v/>
      </c>
      <c r="BG138" s="124" t="str">
        <f>IF($B138="","",IFERROR(AH138+AI138+AJ138,"n.b."))</f>
        <v/>
      </c>
      <c r="BH138" s="124" t="str">
        <f>IF($B138="","",IFERROR(AK138+AL138+AM138,"n.b."))</f>
        <v/>
      </c>
      <c r="BI138" s="124" t="str">
        <f>IF($B138="","",IFERROR(SUMIF($AB$5:$AM$5,"&lt;="&amp;P_PeilMaand,AB138:AM138),"n.b."))</f>
        <v/>
      </c>
      <c r="BJ138" s="124" t="str">
        <f>IF($B138="","",IFERROR(SUM(AB138:AM138)-BI138,"n.b."))</f>
        <v/>
      </c>
      <c r="BK138" s="124" t="str">
        <f>IF($B138="","",IFERROR(IF(ABS(Q138-(T138+SUM(AB138:AM138)+AS138+AU138))&gt;P_Tol,1,0),1))</f>
        <v/>
      </c>
      <c r="BL138" s="124" t="str">
        <f>IF($B138="","",IFERROR(IF(ABS(AA138-(Q138-Z138))&gt;P_Tol,1,0),1))</f>
        <v/>
      </c>
      <c r="BM138" s="124" t="str">
        <f>IF($B138="","",IFERROR(IF(ABS(Z138-(T138+W138))&gt;P_Tol,1,0),1))</f>
        <v/>
      </c>
      <c r="BN138" s="124" t="str">
        <f>IF($B138="","",IFERROR(IF(ABS(W138-BI138)&gt;P_Tol,1,0),1))</f>
        <v/>
      </c>
      <c r="BO138" s="124" t="str">
        <f>IF($B138="","",IFERROR(IF(OR(ABS(R138+S138-T138)&gt;P_Tol,ABS(U138+V138-W138)&gt;P_Tol,ABS(X138+Y138-Z138)&gt;P_Tol),1,0),1))</f>
        <v/>
      </c>
      <c r="BP138" s="124" t="str">
        <f>IF($B138="","",IFERROR(IF(OR(ABS(AR138-SUM(AB138:AM138))&gt;P_Tol,ABS(AS138-(AN138+AO138+AP138+AQ138))&gt;P_Tol),1,0),1))</f>
        <v/>
      </c>
      <c r="BQ138" s="124" t="str">
        <f>IF($B138="","",IFERROR(IF(ABS(AT138)+ABS(AV138)+ABS(AW138)+ABS(AX138)+ABS(AY138)+ABS(AZ138)+ABS(BA138)+ABS(BB138)&gt;0,1,0),1))</f>
        <v/>
      </c>
      <c r="BR138" s="124" t="str">
        <f>IF($B138="","",COUNTIF(STG_ZPMW03!$B$6:$B$505,B138))</f>
        <v/>
      </c>
      <c r="BS138" s="124" t="str">
        <f>IF($B138="","",COUNTIF($B$6:$B$505,B138))</f>
        <v/>
      </c>
      <c r="BT138" s="124" t="str">
        <f>IF($B138="","",IF(BR138=0,0,IF(INDEX(STG_ZPMW03!$I$6:$I$505,MATCH(B138,STG_ZPMW03!$B$6:$B$505,0))=J138&amp;"",0,1)))</f>
        <v/>
      </c>
      <c r="BU138" s="124" t="str">
        <f>IF($B138="","",IFERROR(IF(ABS(INDEX(Mapping!$D$5:$D$104,MATCH(B138,Mapping!$A$5:$A$104,0))-Q138)&gt;P_Tol,1,0),0))</f>
        <v/>
      </c>
      <c r="BV138" s="124" t="str">
        <f>IF($B138="","",IFERROR(IF(AND(INDEX(Mapping!$G$5:$G$104,MATCH(B138,Mapping!$A$5:$A$104,0))="Nee",ABS(Q138)+ABS(Z138)+ABS(AR138)&gt;0),1,0),0))</f>
        <v/>
      </c>
      <c r="BW138" s="124" t="str">
        <f>IF($B138="","",IF(COUNTIF(Mapping!$A$5:$A$104,B138)&gt;0,1,0))</f>
        <v/>
      </c>
      <c r="BX138" s="124" t="str">
        <f>IF($B138="","",IF(BR138=0,COUNTIF($BR$6:BR138,0),""))</f>
        <v/>
      </c>
    </row>
    <row r="139">
      <c r="A139" s="15" t="n">
        <v>135</v>
      </c>
      <c r="B139" t="str">
        <f>IF(B$3=0,"",IF(INDEX(SRC_Woningetalage!$A$1:$ZZ$501,$A139,B$3)&amp;""="","",INDEX(SRC_Woningetalage!$A$1:$ZZ$501,$A139,B$3)&amp;""))</f>
        <v/>
      </c>
      <c r="C139" t="str">
        <f>IF($B139="","",IF(C$3=0,"n.b.",INDEX(SRC_Woningetalage!$A$1:$ZZ$501,$A139,C$3)))</f>
        <v/>
      </c>
      <c r="D139" t="str">
        <f>IF($B139="","",IF(D$3=0,"n.b.",INDEX(SRC_Woningetalage!$A$1:$ZZ$501,$A139,D$3)))</f>
        <v/>
      </c>
      <c r="E139" t="str">
        <f>IF($B139="","",IF(E$3=0,"n.b.",INDEX(SRC_Woningetalage!$A$1:$ZZ$501,$A139,E$3)))</f>
        <v/>
      </c>
      <c r="F139" t="str">
        <f>IF($B139="","",IF(F$3=0,"n.b.",INDEX(SRC_Woningetalage!$A$1:$ZZ$501,$A139,F$3)))</f>
        <v/>
      </c>
      <c r="G139" t="str">
        <f>IF($B139="","",IF(G$3=0,"n.b.",INDEX(SRC_Woningetalage!$A$1:$ZZ$501,$A139,G$3)))</f>
        <v/>
      </c>
      <c r="H139" t="str">
        <f>IF($B139="","",IF(H$3=0,"n.b.",INDEX(SRC_Woningetalage!$A$1:$ZZ$501,$A139,H$3)))</f>
        <v/>
      </c>
      <c r="I139" t="str">
        <f>IF($B139="","",IF(I$3=0,"n.b.",INDEX(SRC_Woningetalage!$A$1:$ZZ$501,$A139,I$3)))</f>
        <v/>
      </c>
      <c r="J139" t="str">
        <f>IF($B139="","",IF(J$3=0,"n.b.",INDEX(SRC_Woningetalage!$A$1:$ZZ$501,$A139,J$3)))</f>
        <v/>
      </c>
      <c r="K139" t="str">
        <f>IF($B139="","",IF(K$3=0,"n.b.",INDEX(SRC_Woningetalage!$A$1:$ZZ$501,$A139,K$3)))</f>
        <v/>
      </c>
      <c r="L139" t="str">
        <f>IF($B139="","",IF(L$3=0,"n.b.",INDEX(SRC_Woningetalage!$A$1:$ZZ$501,$A139,L$3)))</f>
        <v/>
      </c>
      <c r="M139" t="str">
        <f>IF($B139="","",IF(M$3=0,"n.b.",INDEX(SRC_Woningetalage!$A$1:$ZZ$501,$A139,M$3)))</f>
        <v/>
      </c>
      <c r="N139" t="str">
        <f>IF($B139="","",IF(N$3=0,"n.b.",INDEX(SRC_Woningetalage!$A$1:$ZZ$501,$A139,N$3)))</f>
        <v/>
      </c>
      <c r="O139" t="str">
        <f>IF($B139="","",IF(O$3=0,"n.b.",INDEX(SRC_Woningetalage!$A$1:$ZZ$501,$A139,O$3)))</f>
        <v/>
      </c>
      <c r="P139" t="str">
        <f>IF($B139="","",IF(P$3=0,"n.b.",INDEX(SRC_Woningetalage!$A$1:$ZZ$501,$A139,P$3)))</f>
        <v/>
      </c>
      <c r="Q139" s="124" t="str">
        <f>IF($B139="","",IF(Q$3=0,"n.b.",INDEX(SRC_Woningetalage!$A$1:$ZZ$501,$A139,Q$3)))</f>
        <v/>
      </c>
      <c r="R139" s="124" t="str">
        <f>IF($B139="","",IF(R$3=0,"n.b.",INDEX(SRC_Woningetalage!$A$1:$ZZ$501,$A139,R$3)))</f>
        <v/>
      </c>
      <c r="S139" s="124" t="str">
        <f>IF($B139="","",IF(S$3=0,"n.b.",INDEX(SRC_Woningetalage!$A$1:$ZZ$501,$A139,S$3)))</f>
        <v/>
      </c>
      <c r="T139" s="124" t="str">
        <f>IF($B139="","",IF(T$3=0,"n.b.",INDEX(SRC_Woningetalage!$A$1:$ZZ$501,$A139,T$3)))</f>
        <v/>
      </c>
      <c r="U139" s="124" t="str">
        <f>IF($B139="","",IF(U$3=0,"n.b.",INDEX(SRC_Woningetalage!$A$1:$ZZ$501,$A139,U$3)))</f>
        <v/>
      </c>
      <c r="V139" s="124" t="str">
        <f>IF($B139="","",IF(V$3=0,"n.b.",INDEX(SRC_Woningetalage!$A$1:$ZZ$501,$A139,V$3)))</f>
        <v/>
      </c>
      <c r="W139" s="124" t="str">
        <f>IF($B139="","",IF(W$3=0,"n.b.",INDEX(SRC_Woningetalage!$A$1:$ZZ$501,$A139,W$3)))</f>
        <v/>
      </c>
      <c r="X139" s="124" t="str">
        <f>IF($B139="","",IF(X$3=0,"n.b.",INDEX(SRC_Woningetalage!$A$1:$ZZ$501,$A139,X$3)))</f>
        <v/>
      </c>
      <c r="Y139" s="124" t="str">
        <f>IF($B139="","",IF(Y$3=0,"n.b.",INDEX(SRC_Woningetalage!$A$1:$ZZ$501,$A139,Y$3)))</f>
        <v/>
      </c>
      <c r="Z139" s="124" t="str">
        <f>IF($B139="","",IF(Z$3=0,"n.b.",INDEX(SRC_Woningetalage!$A$1:$ZZ$501,$A139,Z$3)))</f>
        <v/>
      </c>
      <c r="AA139" s="124" t="str">
        <f>IF($B139="","",IF(AA$3=0,"n.b.",INDEX(SRC_Woningetalage!$A$1:$ZZ$501,$A139,AA$3)))</f>
        <v/>
      </c>
      <c r="AB139" s="124" t="str">
        <f>IF($B139="","",IF(AB$3=0,"n.b.",INDEX(SRC_Woningetalage!$A$1:$ZZ$501,$A139,AB$3)))</f>
        <v/>
      </c>
      <c r="AC139" s="124" t="str">
        <f>IF($B139="","",IF(AC$3=0,"n.b.",INDEX(SRC_Woningetalage!$A$1:$ZZ$501,$A139,AC$3)))</f>
        <v/>
      </c>
      <c r="AD139" s="124" t="str">
        <f>IF($B139="","",IF(AD$3=0,"n.b.",INDEX(SRC_Woningetalage!$A$1:$ZZ$501,$A139,AD$3)))</f>
        <v/>
      </c>
      <c r="AE139" s="124" t="str">
        <f>IF($B139="","",IF(AE$3=0,"n.b.",INDEX(SRC_Woningetalage!$A$1:$ZZ$501,$A139,AE$3)))</f>
        <v/>
      </c>
      <c r="AF139" s="124" t="str">
        <f>IF($B139="","",IF(AF$3=0,"n.b.",INDEX(SRC_Woningetalage!$A$1:$ZZ$501,$A139,AF$3)))</f>
        <v/>
      </c>
      <c r="AG139" s="124" t="str">
        <f>IF($B139="","",IF(AG$3=0,"n.b.",INDEX(SRC_Woningetalage!$A$1:$ZZ$501,$A139,AG$3)))</f>
        <v/>
      </c>
      <c r="AH139" s="124" t="str">
        <f>IF($B139="","",IF(AH$3=0,"n.b.",INDEX(SRC_Woningetalage!$A$1:$ZZ$501,$A139,AH$3)))</f>
        <v/>
      </c>
      <c r="AI139" s="124" t="str">
        <f>IF($B139="","",IF(AI$3=0,"n.b.",INDEX(SRC_Woningetalage!$A$1:$ZZ$501,$A139,AI$3)))</f>
        <v/>
      </c>
      <c r="AJ139" s="124" t="str">
        <f>IF($B139="","",IF(AJ$3=0,"n.b.",INDEX(SRC_Woningetalage!$A$1:$ZZ$501,$A139,AJ$3)))</f>
        <v/>
      </c>
      <c r="AK139" s="124" t="str">
        <f>IF($B139="","",IF(AK$3=0,"n.b.",INDEX(SRC_Woningetalage!$A$1:$ZZ$501,$A139,AK$3)))</f>
        <v/>
      </c>
      <c r="AL139" s="124" t="str">
        <f>IF($B139="","",IF(AL$3=0,"n.b.",INDEX(SRC_Woningetalage!$A$1:$ZZ$501,$A139,AL$3)))</f>
        <v/>
      </c>
      <c r="AM139" s="124" t="str">
        <f>IF($B139="","",IF(AM$3=0,"n.b.",INDEX(SRC_Woningetalage!$A$1:$ZZ$501,$A139,AM$3)))</f>
        <v/>
      </c>
      <c r="AN139" s="124" t="str">
        <f>IF($B139="","",IF(AN$3=0,"n.b.",INDEX(SRC_Woningetalage!$A$1:$ZZ$501,$A139,AN$3)))</f>
        <v/>
      </c>
      <c r="AO139" s="124" t="str">
        <f>IF($B139="","",IF(AO$3=0,"n.b.",INDEX(SRC_Woningetalage!$A$1:$ZZ$501,$A139,AO$3)))</f>
        <v/>
      </c>
      <c r="AP139" s="124" t="str">
        <f>IF($B139="","",IF(AP$3=0,"n.b.",INDEX(SRC_Woningetalage!$A$1:$ZZ$501,$A139,AP$3)))</f>
        <v/>
      </c>
      <c r="AQ139" s="124" t="str">
        <f>IF($B139="","",IF(AQ$3=0,"n.b.",INDEX(SRC_Woningetalage!$A$1:$ZZ$501,$A139,AQ$3)))</f>
        <v/>
      </c>
      <c r="AR139" s="124" t="str">
        <f>IF($B139="","",IF(AR$3=0,"n.b.",INDEX(SRC_Woningetalage!$A$1:$ZZ$501,$A139,AR$3)))</f>
        <v/>
      </c>
      <c r="AS139" s="124" t="str">
        <f>IF($B139="","",IF(AS$3=0,"n.b.",INDEX(SRC_Woningetalage!$A$1:$ZZ$501,$A139,AS$3)))</f>
        <v/>
      </c>
      <c r="AT139" s="124" t="str">
        <f>IF($B139="","",IF(AT$3=0,"n.b.",INDEX(SRC_Woningetalage!$A$1:$ZZ$501,$A139,AT$3)))</f>
        <v/>
      </c>
      <c r="AU139" s="124" t="str">
        <f>IF($B139="","",IF(AU$3=0,"n.b.",INDEX(SRC_Woningetalage!$A$1:$ZZ$501,$A139,AU$3)))</f>
        <v/>
      </c>
      <c r="AV139" s="124" t="str">
        <f>IF($B139="","",IF(AV$3=0,"n.b.",INDEX(SRC_Woningetalage!$A$1:$ZZ$501,$A139,AV$3)))</f>
        <v/>
      </c>
      <c r="AW139" s="124" t="str">
        <f>IF($B139="","",IF(AW$3=0,"n.b.",INDEX(SRC_Woningetalage!$A$1:$ZZ$501,$A139,AW$3)))</f>
        <v/>
      </c>
      <c r="AX139" s="124" t="str">
        <f>IF($B139="","",IF(AX$3=0,"n.b.",INDEX(SRC_Woningetalage!$A$1:$ZZ$501,$A139,AX$3)))</f>
        <v/>
      </c>
      <c r="AY139" s="124" t="str">
        <f>IF($B139="","",IF(AY$3=0,"n.b.",INDEX(SRC_Woningetalage!$A$1:$ZZ$501,$A139,AY$3)))</f>
        <v/>
      </c>
      <c r="AZ139" s="124" t="str">
        <f>IF($B139="","",IF(AZ$3=0,"n.b.",INDEX(SRC_Woningetalage!$A$1:$ZZ$501,$A139,AZ$3)))</f>
        <v/>
      </c>
      <c r="BA139" s="124" t="str">
        <f>IF($B139="","",IF(BA$3=0,"n.b.",INDEX(SRC_Woningetalage!$A$1:$ZZ$501,$A139,BA$3)))</f>
        <v/>
      </c>
      <c r="BB139" s="124" t="str">
        <f>IF($B139="","",IF(BB$3=0,"n.b.",INDEX(SRC_Woningetalage!$A$1:$ZZ$501,$A139,BB$3)))</f>
        <v/>
      </c>
      <c r="BC139" s="124" t="str">
        <f>IF($B139="","",IFERROR(_xlfn.NUMBERVALUE(E139&amp;"",",","."),"n.b."))</f>
        <v/>
      </c>
      <c r="BD139" s="124" t="str">
        <f>IF($B139="","",IFERROR(_xlfn.NUMBERVALUE(M139&amp;"",",","."),"n.b."))</f>
        <v/>
      </c>
      <c r="BE139" s="124" t="str">
        <f>IF($B139="","",IFERROR(AB139+AC139+AD139,"n.b."))</f>
        <v/>
      </c>
      <c r="BF139" s="124" t="str">
        <f>IF($B139="","",IFERROR(AE139+AF139+AG139,"n.b."))</f>
        <v/>
      </c>
      <c r="BG139" s="124" t="str">
        <f>IF($B139="","",IFERROR(AH139+AI139+AJ139,"n.b."))</f>
        <v/>
      </c>
      <c r="BH139" s="124" t="str">
        <f>IF($B139="","",IFERROR(AK139+AL139+AM139,"n.b."))</f>
        <v/>
      </c>
      <c r="BI139" s="124" t="str">
        <f>IF($B139="","",IFERROR(SUMIF($AB$5:$AM$5,"&lt;="&amp;P_PeilMaand,AB139:AM139),"n.b."))</f>
        <v/>
      </c>
      <c r="BJ139" s="124" t="str">
        <f>IF($B139="","",IFERROR(SUM(AB139:AM139)-BI139,"n.b."))</f>
        <v/>
      </c>
      <c r="BK139" s="124" t="str">
        <f>IF($B139="","",IFERROR(IF(ABS(Q139-(T139+SUM(AB139:AM139)+AS139+AU139))&gt;P_Tol,1,0),1))</f>
        <v/>
      </c>
      <c r="BL139" s="124" t="str">
        <f>IF($B139="","",IFERROR(IF(ABS(AA139-(Q139-Z139))&gt;P_Tol,1,0),1))</f>
        <v/>
      </c>
      <c r="BM139" s="124" t="str">
        <f>IF($B139="","",IFERROR(IF(ABS(Z139-(T139+W139))&gt;P_Tol,1,0),1))</f>
        <v/>
      </c>
      <c r="BN139" s="124" t="str">
        <f>IF($B139="","",IFERROR(IF(ABS(W139-BI139)&gt;P_Tol,1,0),1))</f>
        <v/>
      </c>
      <c r="BO139" s="124" t="str">
        <f>IF($B139="","",IFERROR(IF(OR(ABS(R139+S139-T139)&gt;P_Tol,ABS(U139+V139-W139)&gt;P_Tol,ABS(X139+Y139-Z139)&gt;P_Tol),1,0),1))</f>
        <v/>
      </c>
      <c r="BP139" s="124" t="str">
        <f>IF($B139="","",IFERROR(IF(OR(ABS(AR139-SUM(AB139:AM139))&gt;P_Tol,ABS(AS139-(AN139+AO139+AP139+AQ139))&gt;P_Tol),1,0),1))</f>
        <v/>
      </c>
      <c r="BQ139" s="124" t="str">
        <f>IF($B139="","",IFERROR(IF(ABS(AT139)+ABS(AV139)+ABS(AW139)+ABS(AX139)+ABS(AY139)+ABS(AZ139)+ABS(BA139)+ABS(BB139)&gt;0,1,0),1))</f>
        <v/>
      </c>
      <c r="BR139" s="124" t="str">
        <f>IF($B139="","",COUNTIF(STG_ZPMW03!$B$6:$B$505,B139))</f>
        <v/>
      </c>
      <c r="BS139" s="124" t="str">
        <f>IF($B139="","",COUNTIF($B$6:$B$505,B139))</f>
        <v/>
      </c>
      <c r="BT139" s="124" t="str">
        <f>IF($B139="","",IF(BR139=0,0,IF(INDEX(STG_ZPMW03!$I$6:$I$505,MATCH(B139,STG_ZPMW03!$B$6:$B$505,0))=J139&amp;"",0,1)))</f>
        <v/>
      </c>
      <c r="BU139" s="124" t="str">
        <f>IF($B139="","",IFERROR(IF(ABS(INDEX(Mapping!$D$5:$D$104,MATCH(B139,Mapping!$A$5:$A$104,0))-Q139)&gt;P_Tol,1,0),0))</f>
        <v/>
      </c>
      <c r="BV139" s="124" t="str">
        <f>IF($B139="","",IFERROR(IF(AND(INDEX(Mapping!$G$5:$G$104,MATCH(B139,Mapping!$A$5:$A$104,0))="Nee",ABS(Q139)+ABS(Z139)+ABS(AR139)&gt;0),1,0),0))</f>
        <v/>
      </c>
      <c r="BW139" s="124" t="str">
        <f>IF($B139="","",IF(COUNTIF(Mapping!$A$5:$A$104,B139)&gt;0,1,0))</f>
        <v/>
      </c>
      <c r="BX139" s="124" t="str">
        <f>IF($B139="","",IF(BR139=0,COUNTIF($BR$6:BR139,0),""))</f>
        <v/>
      </c>
    </row>
    <row r="140">
      <c r="A140" s="15" t="n">
        <v>136</v>
      </c>
      <c r="B140" t="str">
        <f>IF(B$3=0,"",IF(INDEX(SRC_Woningetalage!$A$1:$ZZ$501,$A140,B$3)&amp;""="","",INDEX(SRC_Woningetalage!$A$1:$ZZ$501,$A140,B$3)&amp;""))</f>
        <v/>
      </c>
      <c r="C140" t="str">
        <f>IF($B140="","",IF(C$3=0,"n.b.",INDEX(SRC_Woningetalage!$A$1:$ZZ$501,$A140,C$3)))</f>
        <v/>
      </c>
      <c r="D140" t="str">
        <f>IF($B140="","",IF(D$3=0,"n.b.",INDEX(SRC_Woningetalage!$A$1:$ZZ$501,$A140,D$3)))</f>
        <v/>
      </c>
      <c r="E140" t="str">
        <f>IF($B140="","",IF(E$3=0,"n.b.",INDEX(SRC_Woningetalage!$A$1:$ZZ$501,$A140,E$3)))</f>
        <v/>
      </c>
      <c r="F140" t="str">
        <f>IF($B140="","",IF(F$3=0,"n.b.",INDEX(SRC_Woningetalage!$A$1:$ZZ$501,$A140,F$3)))</f>
        <v/>
      </c>
      <c r="G140" t="str">
        <f>IF($B140="","",IF(G$3=0,"n.b.",INDEX(SRC_Woningetalage!$A$1:$ZZ$501,$A140,G$3)))</f>
        <v/>
      </c>
      <c r="H140" t="str">
        <f>IF($B140="","",IF(H$3=0,"n.b.",INDEX(SRC_Woningetalage!$A$1:$ZZ$501,$A140,H$3)))</f>
        <v/>
      </c>
      <c r="I140" t="str">
        <f>IF($B140="","",IF(I$3=0,"n.b.",INDEX(SRC_Woningetalage!$A$1:$ZZ$501,$A140,I$3)))</f>
        <v/>
      </c>
      <c r="J140" t="str">
        <f>IF($B140="","",IF(J$3=0,"n.b.",INDEX(SRC_Woningetalage!$A$1:$ZZ$501,$A140,J$3)))</f>
        <v/>
      </c>
      <c r="K140" t="str">
        <f>IF($B140="","",IF(K$3=0,"n.b.",INDEX(SRC_Woningetalage!$A$1:$ZZ$501,$A140,K$3)))</f>
        <v/>
      </c>
      <c r="L140" t="str">
        <f>IF($B140="","",IF(L$3=0,"n.b.",INDEX(SRC_Woningetalage!$A$1:$ZZ$501,$A140,L$3)))</f>
        <v/>
      </c>
      <c r="M140" t="str">
        <f>IF($B140="","",IF(M$3=0,"n.b.",INDEX(SRC_Woningetalage!$A$1:$ZZ$501,$A140,M$3)))</f>
        <v/>
      </c>
      <c r="N140" t="str">
        <f>IF($B140="","",IF(N$3=0,"n.b.",INDEX(SRC_Woningetalage!$A$1:$ZZ$501,$A140,N$3)))</f>
        <v/>
      </c>
      <c r="O140" t="str">
        <f>IF($B140="","",IF(O$3=0,"n.b.",INDEX(SRC_Woningetalage!$A$1:$ZZ$501,$A140,O$3)))</f>
        <v/>
      </c>
      <c r="P140" t="str">
        <f>IF($B140="","",IF(P$3=0,"n.b.",INDEX(SRC_Woningetalage!$A$1:$ZZ$501,$A140,P$3)))</f>
        <v/>
      </c>
      <c r="Q140" s="124" t="str">
        <f>IF($B140="","",IF(Q$3=0,"n.b.",INDEX(SRC_Woningetalage!$A$1:$ZZ$501,$A140,Q$3)))</f>
        <v/>
      </c>
      <c r="R140" s="124" t="str">
        <f>IF($B140="","",IF(R$3=0,"n.b.",INDEX(SRC_Woningetalage!$A$1:$ZZ$501,$A140,R$3)))</f>
        <v/>
      </c>
      <c r="S140" s="124" t="str">
        <f>IF($B140="","",IF(S$3=0,"n.b.",INDEX(SRC_Woningetalage!$A$1:$ZZ$501,$A140,S$3)))</f>
        <v/>
      </c>
      <c r="T140" s="124" t="str">
        <f>IF($B140="","",IF(T$3=0,"n.b.",INDEX(SRC_Woningetalage!$A$1:$ZZ$501,$A140,T$3)))</f>
        <v/>
      </c>
      <c r="U140" s="124" t="str">
        <f>IF($B140="","",IF(U$3=0,"n.b.",INDEX(SRC_Woningetalage!$A$1:$ZZ$501,$A140,U$3)))</f>
        <v/>
      </c>
      <c r="V140" s="124" t="str">
        <f>IF($B140="","",IF(V$3=0,"n.b.",INDEX(SRC_Woningetalage!$A$1:$ZZ$501,$A140,V$3)))</f>
        <v/>
      </c>
      <c r="W140" s="124" t="str">
        <f>IF($B140="","",IF(W$3=0,"n.b.",INDEX(SRC_Woningetalage!$A$1:$ZZ$501,$A140,W$3)))</f>
        <v/>
      </c>
      <c r="X140" s="124" t="str">
        <f>IF($B140="","",IF(X$3=0,"n.b.",INDEX(SRC_Woningetalage!$A$1:$ZZ$501,$A140,X$3)))</f>
        <v/>
      </c>
      <c r="Y140" s="124" t="str">
        <f>IF($B140="","",IF(Y$3=0,"n.b.",INDEX(SRC_Woningetalage!$A$1:$ZZ$501,$A140,Y$3)))</f>
        <v/>
      </c>
      <c r="Z140" s="124" t="str">
        <f>IF($B140="","",IF(Z$3=0,"n.b.",INDEX(SRC_Woningetalage!$A$1:$ZZ$501,$A140,Z$3)))</f>
        <v/>
      </c>
      <c r="AA140" s="124" t="str">
        <f>IF($B140="","",IF(AA$3=0,"n.b.",INDEX(SRC_Woningetalage!$A$1:$ZZ$501,$A140,AA$3)))</f>
        <v/>
      </c>
      <c r="AB140" s="124" t="str">
        <f>IF($B140="","",IF(AB$3=0,"n.b.",INDEX(SRC_Woningetalage!$A$1:$ZZ$501,$A140,AB$3)))</f>
        <v/>
      </c>
      <c r="AC140" s="124" t="str">
        <f>IF($B140="","",IF(AC$3=0,"n.b.",INDEX(SRC_Woningetalage!$A$1:$ZZ$501,$A140,AC$3)))</f>
        <v/>
      </c>
      <c r="AD140" s="124" t="str">
        <f>IF($B140="","",IF(AD$3=0,"n.b.",INDEX(SRC_Woningetalage!$A$1:$ZZ$501,$A140,AD$3)))</f>
        <v/>
      </c>
      <c r="AE140" s="124" t="str">
        <f>IF($B140="","",IF(AE$3=0,"n.b.",INDEX(SRC_Woningetalage!$A$1:$ZZ$501,$A140,AE$3)))</f>
        <v/>
      </c>
      <c r="AF140" s="124" t="str">
        <f>IF($B140="","",IF(AF$3=0,"n.b.",INDEX(SRC_Woningetalage!$A$1:$ZZ$501,$A140,AF$3)))</f>
        <v/>
      </c>
      <c r="AG140" s="124" t="str">
        <f>IF($B140="","",IF(AG$3=0,"n.b.",INDEX(SRC_Woningetalage!$A$1:$ZZ$501,$A140,AG$3)))</f>
        <v/>
      </c>
      <c r="AH140" s="124" t="str">
        <f>IF($B140="","",IF(AH$3=0,"n.b.",INDEX(SRC_Woningetalage!$A$1:$ZZ$501,$A140,AH$3)))</f>
        <v/>
      </c>
      <c r="AI140" s="124" t="str">
        <f>IF($B140="","",IF(AI$3=0,"n.b.",INDEX(SRC_Woningetalage!$A$1:$ZZ$501,$A140,AI$3)))</f>
        <v/>
      </c>
      <c r="AJ140" s="124" t="str">
        <f>IF($B140="","",IF(AJ$3=0,"n.b.",INDEX(SRC_Woningetalage!$A$1:$ZZ$501,$A140,AJ$3)))</f>
        <v/>
      </c>
      <c r="AK140" s="124" t="str">
        <f>IF($B140="","",IF(AK$3=0,"n.b.",INDEX(SRC_Woningetalage!$A$1:$ZZ$501,$A140,AK$3)))</f>
        <v/>
      </c>
      <c r="AL140" s="124" t="str">
        <f>IF($B140="","",IF(AL$3=0,"n.b.",INDEX(SRC_Woningetalage!$A$1:$ZZ$501,$A140,AL$3)))</f>
        <v/>
      </c>
      <c r="AM140" s="124" t="str">
        <f>IF($B140="","",IF(AM$3=0,"n.b.",INDEX(SRC_Woningetalage!$A$1:$ZZ$501,$A140,AM$3)))</f>
        <v/>
      </c>
      <c r="AN140" s="124" t="str">
        <f>IF($B140="","",IF(AN$3=0,"n.b.",INDEX(SRC_Woningetalage!$A$1:$ZZ$501,$A140,AN$3)))</f>
        <v/>
      </c>
      <c r="AO140" s="124" t="str">
        <f>IF($B140="","",IF(AO$3=0,"n.b.",INDEX(SRC_Woningetalage!$A$1:$ZZ$501,$A140,AO$3)))</f>
        <v/>
      </c>
      <c r="AP140" s="124" t="str">
        <f>IF($B140="","",IF(AP$3=0,"n.b.",INDEX(SRC_Woningetalage!$A$1:$ZZ$501,$A140,AP$3)))</f>
        <v/>
      </c>
      <c r="AQ140" s="124" t="str">
        <f>IF($B140="","",IF(AQ$3=0,"n.b.",INDEX(SRC_Woningetalage!$A$1:$ZZ$501,$A140,AQ$3)))</f>
        <v/>
      </c>
      <c r="AR140" s="124" t="str">
        <f>IF($B140="","",IF(AR$3=0,"n.b.",INDEX(SRC_Woningetalage!$A$1:$ZZ$501,$A140,AR$3)))</f>
        <v/>
      </c>
      <c r="AS140" s="124" t="str">
        <f>IF($B140="","",IF(AS$3=0,"n.b.",INDEX(SRC_Woningetalage!$A$1:$ZZ$501,$A140,AS$3)))</f>
        <v/>
      </c>
      <c r="AT140" s="124" t="str">
        <f>IF($B140="","",IF(AT$3=0,"n.b.",INDEX(SRC_Woningetalage!$A$1:$ZZ$501,$A140,AT$3)))</f>
        <v/>
      </c>
      <c r="AU140" s="124" t="str">
        <f>IF($B140="","",IF(AU$3=0,"n.b.",INDEX(SRC_Woningetalage!$A$1:$ZZ$501,$A140,AU$3)))</f>
        <v/>
      </c>
      <c r="AV140" s="124" t="str">
        <f>IF($B140="","",IF(AV$3=0,"n.b.",INDEX(SRC_Woningetalage!$A$1:$ZZ$501,$A140,AV$3)))</f>
        <v/>
      </c>
      <c r="AW140" s="124" t="str">
        <f>IF($B140="","",IF(AW$3=0,"n.b.",INDEX(SRC_Woningetalage!$A$1:$ZZ$501,$A140,AW$3)))</f>
        <v/>
      </c>
      <c r="AX140" s="124" t="str">
        <f>IF($B140="","",IF(AX$3=0,"n.b.",INDEX(SRC_Woningetalage!$A$1:$ZZ$501,$A140,AX$3)))</f>
        <v/>
      </c>
      <c r="AY140" s="124" t="str">
        <f>IF($B140="","",IF(AY$3=0,"n.b.",INDEX(SRC_Woningetalage!$A$1:$ZZ$501,$A140,AY$3)))</f>
        <v/>
      </c>
      <c r="AZ140" s="124" t="str">
        <f>IF($B140="","",IF(AZ$3=0,"n.b.",INDEX(SRC_Woningetalage!$A$1:$ZZ$501,$A140,AZ$3)))</f>
        <v/>
      </c>
      <c r="BA140" s="124" t="str">
        <f>IF($B140="","",IF(BA$3=0,"n.b.",INDEX(SRC_Woningetalage!$A$1:$ZZ$501,$A140,BA$3)))</f>
        <v/>
      </c>
      <c r="BB140" s="124" t="str">
        <f>IF($B140="","",IF(BB$3=0,"n.b.",INDEX(SRC_Woningetalage!$A$1:$ZZ$501,$A140,BB$3)))</f>
        <v/>
      </c>
      <c r="BC140" s="124" t="str">
        <f>IF($B140="","",IFERROR(_xlfn.NUMBERVALUE(E140&amp;"",",","."),"n.b."))</f>
        <v/>
      </c>
      <c r="BD140" s="124" t="str">
        <f>IF($B140="","",IFERROR(_xlfn.NUMBERVALUE(M140&amp;"",",","."),"n.b."))</f>
        <v/>
      </c>
      <c r="BE140" s="124" t="str">
        <f>IF($B140="","",IFERROR(AB140+AC140+AD140,"n.b."))</f>
        <v/>
      </c>
      <c r="BF140" s="124" t="str">
        <f>IF($B140="","",IFERROR(AE140+AF140+AG140,"n.b."))</f>
        <v/>
      </c>
      <c r="BG140" s="124" t="str">
        <f>IF($B140="","",IFERROR(AH140+AI140+AJ140,"n.b."))</f>
        <v/>
      </c>
      <c r="BH140" s="124" t="str">
        <f>IF($B140="","",IFERROR(AK140+AL140+AM140,"n.b."))</f>
        <v/>
      </c>
      <c r="BI140" s="124" t="str">
        <f>IF($B140="","",IFERROR(SUMIF($AB$5:$AM$5,"&lt;="&amp;P_PeilMaand,AB140:AM140),"n.b."))</f>
        <v/>
      </c>
      <c r="BJ140" s="124" t="str">
        <f>IF($B140="","",IFERROR(SUM(AB140:AM140)-BI140,"n.b."))</f>
        <v/>
      </c>
      <c r="BK140" s="124" t="str">
        <f>IF($B140="","",IFERROR(IF(ABS(Q140-(T140+SUM(AB140:AM140)+AS140+AU140))&gt;P_Tol,1,0),1))</f>
        <v/>
      </c>
      <c r="BL140" s="124" t="str">
        <f>IF($B140="","",IFERROR(IF(ABS(AA140-(Q140-Z140))&gt;P_Tol,1,0),1))</f>
        <v/>
      </c>
      <c r="BM140" s="124" t="str">
        <f>IF($B140="","",IFERROR(IF(ABS(Z140-(T140+W140))&gt;P_Tol,1,0),1))</f>
        <v/>
      </c>
      <c r="BN140" s="124" t="str">
        <f>IF($B140="","",IFERROR(IF(ABS(W140-BI140)&gt;P_Tol,1,0),1))</f>
        <v/>
      </c>
      <c r="BO140" s="124" t="str">
        <f>IF($B140="","",IFERROR(IF(OR(ABS(R140+S140-T140)&gt;P_Tol,ABS(U140+V140-W140)&gt;P_Tol,ABS(X140+Y140-Z140)&gt;P_Tol),1,0),1))</f>
        <v/>
      </c>
      <c r="BP140" s="124" t="str">
        <f>IF($B140="","",IFERROR(IF(OR(ABS(AR140-SUM(AB140:AM140))&gt;P_Tol,ABS(AS140-(AN140+AO140+AP140+AQ140))&gt;P_Tol),1,0),1))</f>
        <v/>
      </c>
      <c r="BQ140" s="124" t="str">
        <f>IF($B140="","",IFERROR(IF(ABS(AT140)+ABS(AV140)+ABS(AW140)+ABS(AX140)+ABS(AY140)+ABS(AZ140)+ABS(BA140)+ABS(BB140)&gt;0,1,0),1))</f>
        <v/>
      </c>
      <c r="BR140" s="124" t="str">
        <f>IF($B140="","",COUNTIF(STG_ZPMW03!$B$6:$B$505,B140))</f>
        <v/>
      </c>
      <c r="BS140" s="124" t="str">
        <f>IF($B140="","",COUNTIF($B$6:$B$505,B140))</f>
        <v/>
      </c>
      <c r="BT140" s="124" t="str">
        <f>IF($B140="","",IF(BR140=0,0,IF(INDEX(STG_ZPMW03!$I$6:$I$505,MATCH(B140,STG_ZPMW03!$B$6:$B$505,0))=J140&amp;"",0,1)))</f>
        <v/>
      </c>
      <c r="BU140" s="124" t="str">
        <f>IF($B140="","",IFERROR(IF(ABS(INDEX(Mapping!$D$5:$D$104,MATCH(B140,Mapping!$A$5:$A$104,0))-Q140)&gt;P_Tol,1,0),0))</f>
        <v/>
      </c>
      <c r="BV140" s="124" t="str">
        <f>IF($B140="","",IFERROR(IF(AND(INDEX(Mapping!$G$5:$G$104,MATCH(B140,Mapping!$A$5:$A$104,0))="Nee",ABS(Q140)+ABS(Z140)+ABS(AR140)&gt;0),1,0),0))</f>
        <v/>
      </c>
      <c r="BW140" s="124" t="str">
        <f>IF($B140="","",IF(COUNTIF(Mapping!$A$5:$A$104,B140)&gt;0,1,0))</f>
        <v/>
      </c>
      <c r="BX140" s="124" t="str">
        <f>IF($B140="","",IF(BR140=0,COUNTIF($BR$6:BR140,0),""))</f>
        <v/>
      </c>
    </row>
    <row r="141">
      <c r="A141" s="15" t="n">
        <v>137</v>
      </c>
      <c r="B141" t="str">
        <f>IF(B$3=0,"",IF(INDEX(SRC_Woningetalage!$A$1:$ZZ$501,$A141,B$3)&amp;""="","",INDEX(SRC_Woningetalage!$A$1:$ZZ$501,$A141,B$3)&amp;""))</f>
        <v/>
      </c>
      <c r="C141" t="str">
        <f>IF($B141="","",IF(C$3=0,"n.b.",INDEX(SRC_Woningetalage!$A$1:$ZZ$501,$A141,C$3)))</f>
        <v/>
      </c>
      <c r="D141" t="str">
        <f>IF($B141="","",IF(D$3=0,"n.b.",INDEX(SRC_Woningetalage!$A$1:$ZZ$501,$A141,D$3)))</f>
        <v/>
      </c>
      <c r="E141" t="str">
        <f>IF($B141="","",IF(E$3=0,"n.b.",INDEX(SRC_Woningetalage!$A$1:$ZZ$501,$A141,E$3)))</f>
        <v/>
      </c>
      <c r="F141" t="str">
        <f>IF($B141="","",IF(F$3=0,"n.b.",INDEX(SRC_Woningetalage!$A$1:$ZZ$501,$A141,F$3)))</f>
        <v/>
      </c>
      <c r="G141" t="str">
        <f>IF($B141="","",IF(G$3=0,"n.b.",INDEX(SRC_Woningetalage!$A$1:$ZZ$501,$A141,G$3)))</f>
        <v/>
      </c>
      <c r="H141" t="str">
        <f>IF($B141="","",IF(H$3=0,"n.b.",INDEX(SRC_Woningetalage!$A$1:$ZZ$501,$A141,H$3)))</f>
        <v/>
      </c>
      <c r="I141" t="str">
        <f>IF($B141="","",IF(I$3=0,"n.b.",INDEX(SRC_Woningetalage!$A$1:$ZZ$501,$A141,I$3)))</f>
        <v/>
      </c>
      <c r="J141" t="str">
        <f>IF($B141="","",IF(J$3=0,"n.b.",INDEX(SRC_Woningetalage!$A$1:$ZZ$501,$A141,J$3)))</f>
        <v/>
      </c>
      <c r="K141" t="str">
        <f>IF($B141="","",IF(K$3=0,"n.b.",INDEX(SRC_Woningetalage!$A$1:$ZZ$501,$A141,K$3)))</f>
        <v/>
      </c>
      <c r="L141" t="str">
        <f>IF($B141="","",IF(L$3=0,"n.b.",INDEX(SRC_Woningetalage!$A$1:$ZZ$501,$A141,L$3)))</f>
        <v/>
      </c>
      <c r="M141" t="str">
        <f>IF($B141="","",IF(M$3=0,"n.b.",INDEX(SRC_Woningetalage!$A$1:$ZZ$501,$A141,M$3)))</f>
        <v/>
      </c>
      <c r="N141" t="str">
        <f>IF($B141="","",IF(N$3=0,"n.b.",INDEX(SRC_Woningetalage!$A$1:$ZZ$501,$A141,N$3)))</f>
        <v/>
      </c>
      <c r="O141" t="str">
        <f>IF($B141="","",IF(O$3=0,"n.b.",INDEX(SRC_Woningetalage!$A$1:$ZZ$501,$A141,O$3)))</f>
        <v/>
      </c>
      <c r="P141" t="str">
        <f>IF($B141="","",IF(P$3=0,"n.b.",INDEX(SRC_Woningetalage!$A$1:$ZZ$501,$A141,P$3)))</f>
        <v/>
      </c>
      <c r="Q141" s="124" t="str">
        <f>IF($B141="","",IF(Q$3=0,"n.b.",INDEX(SRC_Woningetalage!$A$1:$ZZ$501,$A141,Q$3)))</f>
        <v/>
      </c>
      <c r="R141" s="124" t="str">
        <f>IF($B141="","",IF(R$3=0,"n.b.",INDEX(SRC_Woningetalage!$A$1:$ZZ$501,$A141,R$3)))</f>
        <v/>
      </c>
      <c r="S141" s="124" t="str">
        <f>IF($B141="","",IF(S$3=0,"n.b.",INDEX(SRC_Woningetalage!$A$1:$ZZ$501,$A141,S$3)))</f>
        <v/>
      </c>
      <c r="T141" s="124" t="str">
        <f>IF($B141="","",IF(T$3=0,"n.b.",INDEX(SRC_Woningetalage!$A$1:$ZZ$501,$A141,T$3)))</f>
        <v/>
      </c>
      <c r="U141" s="124" t="str">
        <f>IF($B141="","",IF(U$3=0,"n.b.",INDEX(SRC_Woningetalage!$A$1:$ZZ$501,$A141,U$3)))</f>
        <v/>
      </c>
      <c r="V141" s="124" t="str">
        <f>IF($B141="","",IF(V$3=0,"n.b.",INDEX(SRC_Woningetalage!$A$1:$ZZ$501,$A141,V$3)))</f>
        <v/>
      </c>
      <c r="W141" s="124" t="str">
        <f>IF($B141="","",IF(W$3=0,"n.b.",INDEX(SRC_Woningetalage!$A$1:$ZZ$501,$A141,W$3)))</f>
        <v/>
      </c>
      <c r="X141" s="124" t="str">
        <f>IF($B141="","",IF(X$3=0,"n.b.",INDEX(SRC_Woningetalage!$A$1:$ZZ$501,$A141,X$3)))</f>
        <v/>
      </c>
      <c r="Y141" s="124" t="str">
        <f>IF($B141="","",IF(Y$3=0,"n.b.",INDEX(SRC_Woningetalage!$A$1:$ZZ$501,$A141,Y$3)))</f>
        <v/>
      </c>
      <c r="Z141" s="124" t="str">
        <f>IF($B141="","",IF(Z$3=0,"n.b.",INDEX(SRC_Woningetalage!$A$1:$ZZ$501,$A141,Z$3)))</f>
        <v/>
      </c>
      <c r="AA141" s="124" t="str">
        <f>IF($B141="","",IF(AA$3=0,"n.b.",INDEX(SRC_Woningetalage!$A$1:$ZZ$501,$A141,AA$3)))</f>
        <v/>
      </c>
      <c r="AB141" s="124" t="str">
        <f>IF($B141="","",IF(AB$3=0,"n.b.",INDEX(SRC_Woningetalage!$A$1:$ZZ$501,$A141,AB$3)))</f>
        <v/>
      </c>
      <c r="AC141" s="124" t="str">
        <f>IF($B141="","",IF(AC$3=0,"n.b.",INDEX(SRC_Woningetalage!$A$1:$ZZ$501,$A141,AC$3)))</f>
        <v/>
      </c>
      <c r="AD141" s="124" t="str">
        <f>IF($B141="","",IF(AD$3=0,"n.b.",INDEX(SRC_Woningetalage!$A$1:$ZZ$501,$A141,AD$3)))</f>
        <v/>
      </c>
      <c r="AE141" s="124" t="str">
        <f>IF($B141="","",IF(AE$3=0,"n.b.",INDEX(SRC_Woningetalage!$A$1:$ZZ$501,$A141,AE$3)))</f>
        <v/>
      </c>
      <c r="AF141" s="124" t="str">
        <f>IF($B141="","",IF(AF$3=0,"n.b.",INDEX(SRC_Woningetalage!$A$1:$ZZ$501,$A141,AF$3)))</f>
        <v/>
      </c>
      <c r="AG141" s="124" t="str">
        <f>IF($B141="","",IF(AG$3=0,"n.b.",INDEX(SRC_Woningetalage!$A$1:$ZZ$501,$A141,AG$3)))</f>
        <v/>
      </c>
      <c r="AH141" s="124" t="str">
        <f>IF($B141="","",IF(AH$3=0,"n.b.",INDEX(SRC_Woningetalage!$A$1:$ZZ$501,$A141,AH$3)))</f>
        <v/>
      </c>
      <c r="AI141" s="124" t="str">
        <f>IF($B141="","",IF(AI$3=0,"n.b.",INDEX(SRC_Woningetalage!$A$1:$ZZ$501,$A141,AI$3)))</f>
        <v/>
      </c>
      <c r="AJ141" s="124" t="str">
        <f>IF($B141="","",IF(AJ$3=0,"n.b.",INDEX(SRC_Woningetalage!$A$1:$ZZ$501,$A141,AJ$3)))</f>
        <v/>
      </c>
      <c r="AK141" s="124" t="str">
        <f>IF($B141="","",IF(AK$3=0,"n.b.",INDEX(SRC_Woningetalage!$A$1:$ZZ$501,$A141,AK$3)))</f>
        <v/>
      </c>
      <c r="AL141" s="124" t="str">
        <f>IF($B141="","",IF(AL$3=0,"n.b.",INDEX(SRC_Woningetalage!$A$1:$ZZ$501,$A141,AL$3)))</f>
        <v/>
      </c>
      <c r="AM141" s="124" t="str">
        <f>IF($B141="","",IF(AM$3=0,"n.b.",INDEX(SRC_Woningetalage!$A$1:$ZZ$501,$A141,AM$3)))</f>
        <v/>
      </c>
      <c r="AN141" s="124" t="str">
        <f>IF($B141="","",IF(AN$3=0,"n.b.",INDEX(SRC_Woningetalage!$A$1:$ZZ$501,$A141,AN$3)))</f>
        <v/>
      </c>
      <c r="AO141" s="124" t="str">
        <f>IF($B141="","",IF(AO$3=0,"n.b.",INDEX(SRC_Woningetalage!$A$1:$ZZ$501,$A141,AO$3)))</f>
        <v/>
      </c>
      <c r="AP141" s="124" t="str">
        <f>IF($B141="","",IF(AP$3=0,"n.b.",INDEX(SRC_Woningetalage!$A$1:$ZZ$501,$A141,AP$3)))</f>
        <v/>
      </c>
      <c r="AQ141" s="124" t="str">
        <f>IF($B141="","",IF(AQ$3=0,"n.b.",INDEX(SRC_Woningetalage!$A$1:$ZZ$501,$A141,AQ$3)))</f>
        <v/>
      </c>
      <c r="AR141" s="124" t="str">
        <f>IF($B141="","",IF(AR$3=0,"n.b.",INDEX(SRC_Woningetalage!$A$1:$ZZ$501,$A141,AR$3)))</f>
        <v/>
      </c>
      <c r="AS141" s="124" t="str">
        <f>IF($B141="","",IF(AS$3=0,"n.b.",INDEX(SRC_Woningetalage!$A$1:$ZZ$501,$A141,AS$3)))</f>
        <v/>
      </c>
      <c r="AT141" s="124" t="str">
        <f>IF($B141="","",IF(AT$3=0,"n.b.",INDEX(SRC_Woningetalage!$A$1:$ZZ$501,$A141,AT$3)))</f>
        <v/>
      </c>
      <c r="AU141" s="124" t="str">
        <f>IF($B141="","",IF(AU$3=0,"n.b.",INDEX(SRC_Woningetalage!$A$1:$ZZ$501,$A141,AU$3)))</f>
        <v/>
      </c>
      <c r="AV141" s="124" t="str">
        <f>IF($B141="","",IF(AV$3=0,"n.b.",INDEX(SRC_Woningetalage!$A$1:$ZZ$501,$A141,AV$3)))</f>
        <v/>
      </c>
      <c r="AW141" s="124" t="str">
        <f>IF($B141="","",IF(AW$3=0,"n.b.",INDEX(SRC_Woningetalage!$A$1:$ZZ$501,$A141,AW$3)))</f>
        <v/>
      </c>
      <c r="AX141" s="124" t="str">
        <f>IF($B141="","",IF(AX$3=0,"n.b.",INDEX(SRC_Woningetalage!$A$1:$ZZ$501,$A141,AX$3)))</f>
        <v/>
      </c>
      <c r="AY141" s="124" t="str">
        <f>IF($B141="","",IF(AY$3=0,"n.b.",INDEX(SRC_Woningetalage!$A$1:$ZZ$501,$A141,AY$3)))</f>
        <v/>
      </c>
      <c r="AZ141" s="124" t="str">
        <f>IF($B141="","",IF(AZ$3=0,"n.b.",INDEX(SRC_Woningetalage!$A$1:$ZZ$501,$A141,AZ$3)))</f>
        <v/>
      </c>
      <c r="BA141" s="124" t="str">
        <f>IF($B141="","",IF(BA$3=0,"n.b.",INDEX(SRC_Woningetalage!$A$1:$ZZ$501,$A141,BA$3)))</f>
        <v/>
      </c>
      <c r="BB141" s="124" t="str">
        <f>IF($B141="","",IF(BB$3=0,"n.b.",INDEX(SRC_Woningetalage!$A$1:$ZZ$501,$A141,BB$3)))</f>
        <v/>
      </c>
      <c r="BC141" s="124" t="str">
        <f>IF($B141="","",IFERROR(_xlfn.NUMBERVALUE(E141&amp;"",",","."),"n.b."))</f>
        <v/>
      </c>
      <c r="BD141" s="124" t="str">
        <f>IF($B141="","",IFERROR(_xlfn.NUMBERVALUE(M141&amp;"",",","."),"n.b."))</f>
        <v/>
      </c>
      <c r="BE141" s="124" t="str">
        <f>IF($B141="","",IFERROR(AB141+AC141+AD141,"n.b."))</f>
        <v/>
      </c>
      <c r="BF141" s="124" t="str">
        <f>IF($B141="","",IFERROR(AE141+AF141+AG141,"n.b."))</f>
        <v/>
      </c>
      <c r="BG141" s="124" t="str">
        <f>IF($B141="","",IFERROR(AH141+AI141+AJ141,"n.b."))</f>
        <v/>
      </c>
      <c r="BH141" s="124" t="str">
        <f>IF($B141="","",IFERROR(AK141+AL141+AM141,"n.b."))</f>
        <v/>
      </c>
      <c r="BI141" s="124" t="str">
        <f>IF($B141="","",IFERROR(SUMIF($AB$5:$AM$5,"&lt;="&amp;P_PeilMaand,AB141:AM141),"n.b."))</f>
        <v/>
      </c>
      <c r="BJ141" s="124" t="str">
        <f>IF($B141="","",IFERROR(SUM(AB141:AM141)-BI141,"n.b."))</f>
        <v/>
      </c>
      <c r="BK141" s="124" t="str">
        <f>IF($B141="","",IFERROR(IF(ABS(Q141-(T141+SUM(AB141:AM141)+AS141+AU141))&gt;P_Tol,1,0),1))</f>
        <v/>
      </c>
      <c r="BL141" s="124" t="str">
        <f>IF($B141="","",IFERROR(IF(ABS(AA141-(Q141-Z141))&gt;P_Tol,1,0),1))</f>
        <v/>
      </c>
      <c r="BM141" s="124" t="str">
        <f>IF($B141="","",IFERROR(IF(ABS(Z141-(T141+W141))&gt;P_Tol,1,0),1))</f>
        <v/>
      </c>
      <c r="BN141" s="124" t="str">
        <f>IF($B141="","",IFERROR(IF(ABS(W141-BI141)&gt;P_Tol,1,0),1))</f>
        <v/>
      </c>
      <c r="BO141" s="124" t="str">
        <f>IF($B141="","",IFERROR(IF(OR(ABS(R141+S141-T141)&gt;P_Tol,ABS(U141+V141-W141)&gt;P_Tol,ABS(X141+Y141-Z141)&gt;P_Tol),1,0),1))</f>
        <v/>
      </c>
      <c r="BP141" s="124" t="str">
        <f>IF($B141="","",IFERROR(IF(OR(ABS(AR141-SUM(AB141:AM141))&gt;P_Tol,ABS(AS141-(AN141+AO141+AP141+AQ141))&gt;P_Tol),1,0),1))</f>
        <v/>
      </c>
      <c r="BQ141" s="124" t="str">
        <f>IF($B141="","",IFERROR(IF(ABS(AT141)+ABS(AV141)+ABS(AW141)+ABS(AX141)+ABS(AY141)+ABS(AZ141)+ABS(BA141)+ABS(BB141)&gt;0,1,0),1))</f>
        <v/>
      </c>
      <c r="BR141" s="124" t="str">
        <f>IF($B141="","",COUNTIF(STG_ZPMW03!$B$6:$B$505,B141))</f>
        <v/>
      </c>
      <c r="BS141" s="124" t="str">
        <f>IF($B141="","",COUNTIF($B$6:$B$505,B141))</f>
        <v/>
      </c>
      <c r="BT141" s="124" t="str">
        <f>IF($B141="","",IF(BR141=0,0,IF(INDEX(STG_ZPMW03!$I$6:$I$505,MATCH(B141,STG_ZPMW03!$B$6:$B$505,0))=J141&amp;"",0,1)))</f>
        <v/>
      </c>
      <c r="BU141" s="124" t="str">
        <f>IF($B141="","",IFERROR(IF(ABS(INDEX(Mapping!$D$5:$D$104,MATCH(B141,Mapping!$A$5:$A$104,0))-Q141)&gt;P_Tol,1,0),0))</f>
        <v/>
      </c>
      <c r="BV141" s="124" t="str">
        <f>IF($B141="","",IFERROR(IF(AND(INDEX(Mapping!$G$5:$G$104,MATCH(B141,Mapping!$A$5:$A$104,0))="Nee",ABS(Q141)+ABS(Z141)+ABS(AR141)&gt;0),1,0),0))</f>
        <v/>
      </c>
      <c r="BW141" s="124" t="str">
        <f>IF($B141="","",IF(COUNTIF(Mapping!$A$5:$A$104,B141)&gt;0,1,0))</f>
        <v/>
      </c>
      <c r="BX141" s="124" t="str">
        <f>IF($B141="","",IF(BR141=0,COUNTIF($BR$6:BR141,0),""))</f>
        <v/>
      </c>
    </row>
    <row r="142">
      <c r="A142" s="15" t="n">
        <v>138</v>
      </c>
      <c r="B142" t="str">
        <f>IF(B$3=0,"",IF(INDEX(SRC_Woningetalage!$A$1:$ZZ$501,$A142,B$3)&amp;""="","",INDEX(SRC_Woningetalage!$A$1:$ZZ$501,$A142,B$3)&amp;""))</f>
        <v/>
      </c>
      <c r="C142" t="str">
        <f>IF($B142="","",IF(C$3=0,"n.b.",INDEX(SRC_Woningetalage!$A$1:$ZZ$501,$A142,C$3)))</f>
        <v/>
      </c>
      <c r="D142" t="str">
        <f>IF($B142="","",IF(D$3=0,"n.b.",INDEX(SRC_Woningetalage!$A$1:$ZZ$501,$A142,D$3)))</f>
        <v/>
      </c>
      <c r="E142" t="str">
        <f>IF($B142="","",IF(E$3=0,"n.b.",INDEX(SRC_Woningetalage!$A$1:$ZZ$501,$A142,E$3)))</f>
        <v/>
      </c>
      <c r="F142" t="str">
        <f>IF($B142="","",IF(F$3=0,"n.b.",INDEX(SRC_Woningetalage!$A$1:$ZZ$501,$A142,F$3)))</f>
        <v/>
      </c>
      <c r="G142" t="str">
        <f>IF($B142="","",IF(G$3=0,"n.b.",INDEX(SRC_Woningetalage!$A$1:$ZZ$501,$A142,G$3)))</f>
        <v/>
      </c>
      <c r="H142" t="str">
        <f>IF($B142="","",IF(H$3=0,"n.b.",INDEX(SRC_Woningetalage!$A$1:$ZZ$501,$A142,H$3)))</f>
        <v/>
      </c>
      <c r="I142" t="str">
        <f>IF($B142="","",IF(I$3=0,"n.b.",INDEX(SRC_Woningetalage!$A$1:$ZZ$501,$A142,I$3)))</f>
        <v/>
      </c>
      <c r="J142" t="str">
        <f>IF($B142="","",IF(J$3=0,"n.b.",INDEX(SRC_Woningetalage!$A$1:$ZZ$501,$A142,J$3)))</f>
        <v/>
      </c>
      <c r="K142" t="str">
        <f>IF($B142="","",IF(K$3=0,"n.b.",INDEX(SRC_Woningetalage!$A$1:$ZZ$501,$A142,K$3)))</f>
        <v/>
      </c>
      <c r="L142" t="str">
        <f>IF($B142="","",IF(L$3=0,"n.b.",INDEX(SRC_Woningetalage!$A$1:$ZZ$501,$A142,L$3)))</f>
        <v/>
      </c>
      <c r="M142" t="str">
        <f>IF($B142="","",IF(M$3=0,"n.b.",INDEX(SRC_Woningetalage!$A$1:$ZZ$501,$A142,M$3)))</f>
        <v/>
      </c>
      <c r="N142" t="str">
        <f>IF($B142="","",IF(N$3=0,"n.b.",INDEX(SRC_Woningetalage!$A$1:$ZZ$501,$A142,N$3)))</f>
        <v/>
      </c>
      <c r="O142" t="str">
        <f>IF($B142="","",IF(O$3=0,"n.b.",INDEX(SRC_Woningetalage!$A$1:$ZZ$501,$A142,O$3)))</f>
        <v/>
      </c>
      <c r="P142" t="str">
        <f>IF($B142="","",IF(P$3=0,"n.b.",INDEX(SRC_Woningetalage!$A$1:$ZZ$501,$A142,P$3)))</f>
        <v/>
      </c>
      <c r="Q142" s="124" t="str">
        <f>IF($B142="","",IF(Q$3=0,"n.b.",INDEX(SRC_Woningetalage!$A$1:$ZZ$501,$A142,Q$3)))</f>
        <v/>
      </c>
      <c r="R142" s="124" t="str">
        <f>IF($B142="","",IF(R$3=0,"n.b.",INDEX(SRC_Woningetalage!$A$1:$ZZ$501,$A142,R$3)))</f>
        <v/>
      </c>
      <c r="S142" s="124" t="str">
        <f>IF($B142="","",IF(S$3=0,"n.b.",INDEX(SRC_Woningetalage!$A$1:$ZZ$501,$A142,S$3)))</f>
        <v/>
      </c>
      <c r="T142" s="124" t="str">
        <f>IF($B142="","",IF(T$3=0,"n.b.",INDEX(SRC_Woningetalage!$A$1:$ZZ$501,$A142,T$3)))</f>
        <v/>
      </c>
      <c r="U142" s="124" t="str">
        <f>IF($B142="","",IF(U$3=0,"n.b.",INDEX(SRC_Woningetalage!$A$1:$ZZ$501,$A142,U$3)))</f>
        <v/>
      </c>
      <c r="V142" s="124" t="str">
        <f>IF($B142="","",IF(V$3=0,"n.b.",INDEX(SRC_Woningetalage!$A$1:$ZZ$501,$A142,V$3)))</f>
        <v/>
      </c>
      <c r="W142" s="124" t="str">
        <f>IF($B142="","",IF(W$3=0,"n.b.",INDEX(SRC_Woningetalage!$A$1:$ZZ$501,$A142,W$3)))</f>
        <v/>
      </c>
      <c r="X142" s="124" t="str">
        <f>IF($B142="","",IF(X$3=0,"n.b.",INDEX(SRC_Woningetalage!$A$1:$ZZ$501,$A142,X$3)))</f>
        <v/>
      </c>
      <c r="Y142" s="124" t="str">
        <f>IF($B142="","",IF(Y$3=0,"n.b.",INDEX(SRC_Woningetalage!$A$1:$ZZ$501,$A142,Y$3)))</f>
        <v/>
      </c>
      <c r="Z142" s="124" t="str">
        <f>IF($B142="","",IF(Z$3=0,"n.b.",INDEX(SRC_Woningetalage!$A$1:$ZZ$501,$A142,Z$3)))</f>
        <v/>
      </c>
      <c r="AA142" s="124" t="str">
        <f>IF($B142="","",IF(AA$3=0,"n.b.",INDEX(SRC_Woningetalage!$A$1:$ZZ$501,$A142,AA$3)))</f>
        <v/>
      </c>
      <c r="AB142" s="124" t="str">
        <f>IF($B142="","",IF(AB$3=0,"n.b.",INDEX(SRC_Woningetalage!$A$1:$ZZ$501,$A142,AB$3)))</f>
        <v/>
      </c>
      <c r="AC142" s="124" t="str">
        <f>IF($B142="","",IF(AC$3=0,"n.b.",INDEX(SRC_Woningetalage!$A$1:$ZZ$501,$A142,AC$3)))</f>
        <v/>
      </c>
      <c r="AD142" s="124" t="str">
        <f>IF($B142="","",IF(AD$3=0,"n.b.",INDEX(SRC_Woningetalage!$A$1:$ZZ$501,$A142,AD$3)))</f>
        <v/>
      </c>
      <c r="AE142" s="124" t="str">
        <f>IF($B142="","",IF(AE$3=0,"n.b.",INDEX(SRC_Woningetalage!$A$1:$ZZ$501,$A142,AE$3)))</f>
        <v/>
      </c>
      <c r="AF142" s="124" t="str">
        <f>IF($B142="","",IF(AF$3=0,"n.b.",INDEX(SRC_Woningetalage!$A$1:$ZZ$501,$A142,AF$3)))</f>
        <v/>
      </c>
      <c r="AG142" s="124" t="str">
        <f>IF($B142="","",IF(AG$3=0,"n.b.",INDEX(SRC_Woningetalage!$A$1:$ZZ$501,$A142,AG$3)))</f>
        <v/>
      </c>
      <c r="AH142" s="124" t="str">
        <f>IF($B142="","",IF(AH$3=0,"n.b.",INDEX(SRC_Woningetalage!$A$1:$ZZ$501,$A142,AH$3)))</f>
        <v/>
      </c>
      <c r="AI142" s="124" t="str">
        <f>IF($B142="","",IF(AI$3=0,"n.b.",INDEX(SRC_Woningetalage!$A$1:$ZZ$501,$A142,AI$3)))</f>
        <v/>
      </c>
      <c r="AJ142" s="124" t="str">
        <f>IF($B142="","",IF(AJ$3=0,"n.b.",INDEX(SRC_Woningetalage!$A$1:$ZZ$501,$A142,AJ$3)))</f>
        <v/>
      </c>
      <c r="AK142" s="124" t="str">
        <f>IF($B142="","",IF(AK$3=0,"n.b.",INDEX(SRC_Woningetalage!$A$1:$ZZ$501,$A142,AK$3)))</f>
        <v/>
      </c>
      <c r="AL142" s="124" t="str">
        <f>IF($B142="","",IF(AL$3=0,"n.b.",INDEX(SRC_Woningetalage!$A$1:$ZZ$501,$A142,AL$3)))</f>
        <v/>
      </c>
      <c r="AM142" s="124" t="str">
        <f>IF($B142="","",IF(AM$3=0,"n.b.",INDEX(SRC_Woningetalage!$A$1:$ZZ$501,$A142,AM$3)))</f>
        <v/>
      </c>
      <c r="AN142" s="124" t="str">
        <f>IF($B142="","",IF(AN$3=0,"n.b.",INDEX(SRC_Woningetalage!$A$1:$ZZ$501,$A142,AN$3)))</f>
        <v/>
      </c>
      <c r="AO142" s="124" t="str">
        <f>IF($B142="","",IF(AO$3=0,"n.b.",INDEX(SRC_Woningetalage!$A$1:$ZZ$501,$A142,AO$3)))</f>
        <v/>
      </c>
      <c r="AP142" s="124" t="str">
        <f>IF($B142="","",IF(AP$3=0,"n.b.",INDEX(SRC_Woningetalage!$A$1:$ZZ$501,$A142,AP$3)))</f>
        <v/>
      </c>
      <c r="AQ142" s="124" t="str">
        <f>IF($B142="","",IF(AQ$3=0,"n.b.",INDEX(SRC_Woningetalage!$A$1:$ZZ$501,$A142,AQ$3)))</f>
        <v/>
      </c>
      <c r="AR142" s="124" t="str">
        <f>IF($B142="","",IF(AR$3=0,"n.b.",INDEX(SRC_Woningetalage!$A$1:$ZZ$501,$A142,AR$3)))</f>
        <v/>
      </c>
      <c r="AS142" s="124" t="str">
        <f>IF($B142="","",IF(AS$3=0,"n.b.",INDEX(SRC_Woningetalage!$A$1:$ZZ$501,$A142,AS$3)))</f>
        <v/>
      </c>
      <c r="AT142" s="124" t="str">
        <f>IF($B142="","",IF(AT$3=0,"n.b.",INDEX(SRC_Woningetalage!$A$1:$ZZ$501,$A142,AT$3)))</f>
        <v/>
      </c>
      <c r="AU142" s="124" t="str">
        <f>IF($B142="","",IF(AU$3=0,"n.b.",INDEX(SRC_Woningetalage!$A$1:$ZZ$501,$A142,AU$3)))</f>
        <v/>
      </c>
      <c r="AV142" s="124" t="str">
        <f>IF($B142="","",IF(AV$3=0,"n.b.",INDEX(SRC_Woningetalage!$A$1:$ZZ$501,$A142,AV$3)))</f>
        <v/>
      </c>
      <c r="AW142" s="124" t="str">
        <f>IF($B142="","",IF(AW$3=0,"n.b.",INDEX(SRC_Woningetalage!$A$1:$ZZ$501,$A142,AW$3)))</f>
        <v/>
      </c>
      <c r="AX142" s="124" t="str">
        <f>IF($B142="","",IF(AX$3=0,"n.b.",INDEX(SRC_Woningetalage!$A$1:$ZZ$501,$A142,AX$3)))</f>
        <v/>
      </c>
      <c r="AY142" s="124" t="str">
        <f>IF($B142="","",IF(AY$3=0,"n.b.",INDEX(SRC_Woningetalage!$A$1:$ZZ$501,$A142,AY$3)))</f>
        <v/>
      </c>
      <c r="AZ142" s="124" t="str">
        <f>IF($B142="","",IF(AZ$3=0,"n.b.",INDEX(SRC_Woningetalage!$A$1:$ZZ$501,$A142,AZ$3)))</f>
        <v/>
      </c>
      <c r="BA142" s="124" t="str">
        <f>IF($B142="","",IF(BA$3=0,"n.b.",INDEX(SRC_Woningetalage!$A$1:$ZZ$501,$A142,BA$3)))</f>
        <v/>
      </c>
      <c r="BB142" s="124" t="str">
        <f>IF($B142="","",IF(BB$3=0,"n.b.",INDEX(SRC_Woningetalage!$A$1:$ZZ$501,$A142,BB$3)))</f>
        <v/>
      </c>
      <c r="BC142" s="124" t="str">
        <f>IF($B142="","",IFERROR(_xlfn.NUMBERVALUE(E142&amp;"",",","."),"n.b."))</f>
        <v/>
      </c>
      <c r="BD142" s="124" t="str">
        <f>IF($B142="","",IFERROR(_xlfn.NUMBERVALUE(M142&amp;"",",","."),"n.b."))</f>
        <v/>
      </c>
      <c r="BE142" s="124" t="str">
        <f>IF($B142="","",IFERROR(AB142+AC142+AD142,"n.b."))</f>
        <v/>
      </c>
      <c r="BF142" s="124" t="str">
        <f>IF($B142="","",IFERROR(AE142+AF142+AG142,"n.b."))</f>
        <v/>
      </c>
      <c r="BG142" s="124" t="str">
        <f>IF($B142="","",IFERROR(AH142+AI142+AJ142,"n.b."))</f>
        <v/>
      </c>
      <c r="BH142" s="124" t="str">
        <f>IF($B142="","",IFERROR(AK142+AL142+AM142,"n.b."))</f>
        <v/>
      </c>
      <c r="BI142" s="124" t="str">
        <f>IF($B142="","",IFERROR(SUMIF($AB$5:$AM$5,"&lt;="&amp;P_PeilMaand,AB142:AM142),"n.b."))</f>
        <v/>
      </c>
      <c r="BJ142" s="124" t="str">
        <f>IF($B142="","",IFERROR(SUM(AB142:AM142)-BI142,"n.b."))</f>
        <v/>
      </c>
      <c r="BK142" s="124" t="str">
        <f>IF($B142="","",IFERROR(IF(ABS(Q142-(T142+SUM(AB142:AM142)+AS142+AU142))&gt;P_Tol,1,0),1))</f>
        <v/>
      </c>
      <c r="BL142" s="124" t="str">
        <f>IF($B142="","",IFERROR(IF(ABS(AA142-(Q142-Z142))&gt;P_Tol,1,0),1))</f>
        <v/>
      </c>
      <c r="BM142" s="124" t="str">
        <f>IF($B142="","",IFERROR(IF(ABS(Z142-(T142+W142))&gt;P_Tol,1,0),1))</f>
        <v/>
      </c>
      <c r="BN142" s="124" t="str">
        <f>IF($B142="","",IFERROR(IF(ABS(W142-BI142)&gt;P_Tol,1,0),1))</f>
        <v/>
      </c>
      <c r="BO142" s="124" t="str">
        <f>IF($B142="","",IFERROR(IF(OR(ABS(R142+S142-T142)&gt;P_Tol,ABS(U142+V142-W142)&gt;P_Tol,ABS(X142+Y142-Z142)&gt;P_Tol),1,0),1))</f>
        <v/>
      </c>
      <c r="BP142" s="124" t="str">
        <f>IF($B142="","",IFERROR(IF(OR(ABS(AR142-SUM(AB142:AM142))&gt;P_Tol,ABS(AS142-(AN142+AO142+AP142+AQ142))&gt;P_Tol),1,0),1))</f>
        <v/>
      </c>
      <c r="BQ142" s="124" t="str">
        <f>IF($B142="","",IFERROR(IF(ABS(AT142)+ABS(AV142)+ABS(AW142)+ABS(AX142)+ABS(AY142)+ABS(AZ142)+ABS(BA142)+ABS(BB142)&gt;0,1,0),1))</f>
        <v/>
      </c>
      <c r="BR142" s="124" t="str">
        <f>IF($B142="","",COUNTIF(STG_ZPMW03!$B$6:$B$505,B142))</f>
        <v/>
      </c>
      <c r="BS142" s="124" t="str">
        <f>IF($B142="","",COUNTIF($B$6:$B$505,B142))</f>
        <v/>
      </c>
      <c r="BT142" s="124" t="str">
        <f>IF($B142="","",IF(BR142=0,0,IF(INDEX(STG_ZPMW03!$I$6:$I$505,MATCH(B142,STG_ZPMW03!$B$6:$B$505,0))=J142&amp;"",0,1)))</f>
        <v/>
      </c>
      <c r="BU142" s="124" t="str">
        <f>IF($B142="","",IFERROR(IF(ABS(INDEX(Mapping!$D$5:$D$104,MATCH(B142,Mapping!$A$5:$A$104,0))-Q142)&gt;P_Tol,1,0),0))</f>
        <v/>
      </c>
      <c r="BV142" s="124" t="str">
        <f>IF($B142="","",IFERROR(IF(AND(INDEX(Mapping!$G$5:$G$104,MATCH(B142,Mapping!$A$5:$A$104,0))="Nee",ABS(Q142)+ABS(Z142)+ABS(AR142)&gt;0),1,0),0))</f>
        <v/>
      </c>
      <c r="BW142" s="124" t="str">
        <f>IF($B142="","",IF(COUNTIF(Mapping!$A$5:$A$104,B142)&gt;0,1,0))</f>
        <v/>
      </c>
      <c r="BX142" s="124" t="str">
        <f>IF($B142="","",IF(BR142=0,COUNTIF($BR$6:BR142,0),""))</f>
        <v/>
      </c>
    </row>
    <row r="143">
      <c r="A143" s="15" t="n">
        <v>139</v>
      </c>
      <c r="B143" t="str">
        <f>IF(B$3=0,"",IF(INDEX(SRC_Woningetalage!$A$1:$ZZ$501,$A143,B$3)&amp;""="","",INDEX(SRC_Woningetalage!$A$1:$ZZ$501,$A143,B$3)&amp;""))</f>
        <v/>
      </c>
      <c r="C143" t="str">
        <f>IF($B143="","",IF(C$3=0,"n.b.",INDEX(SRC_Woningetalage!$A$1:$ZZ$501,$A143,C$3)))</f>
        <v/>
      </c>
      <c r="D143" t="str">
        <f>IF($B143="","",IF(D$3=0,"n.b.",INDEX(SRC_Woningetalage!$A$1:$ZZ$501,$A143,D$3)))</f>
        <v/>
      </c>
      <c r="E143" t="str">
        <f>IF($B143="","",IF(E$3=0,"n.b.",INDEX(SRC_Woningetalage!$A$1:$ZZ$501,$A143,E$3)))</f>
        <v/>
      </c>
      <c r="F143" t="str">
        <f>IF($B143="","",IF(F$3=0,"n.b.",INDEX(SRC_Woningetalage!$A$1:$ZZ$501,$A143,F$3)))</f>
        <v/>
      </c>
      <c r="G143" t="str">
        <f>IF($B143="","",IF(G$3=0,"n.b.",INDEX(SRC_Woningetalage!$A$1:$ZZ$501,$A143,G$3)))</f>
        <v/>
      </c>
      <c r="H143" t="str">
        <f>IF($B143="","",IF(H$3=0,"n.b.",INDEX(SRC_Woningetalage!$A$1:$ZZ$501,$A143,H$3)))</f>
        <v/>
      </c>
      <c r="I143" t="str">
        <f>IF($B143="","",IF(I$3=0,"n.b.",INDEX(SRC_Woningetalage!$A$1:$ZZ$501,$A143,I$3)))</f>
        <v/>
      </c>
      <c r="J143" t="str">
        <f>IF($B143="","",IF(J$3=0,"n.b.",INDEX(SRC_Woningetalage!$A$1:$ZZ$501,$A143,J$3)))</f>
        <v/>
      </c>
      <c r="K143" t="str">
        <f>IF($B143="","",IF(K$3=0,"n.b.",INDEX(SRC_Woningetalage!$A$1:$ZZ$501,$A143,K$3)))</f>
        <v/>
      </c>
      <c r="L143" t="str">
        <f>IF($B143="","",IF(L$3=0,"n.b.",INDEX(SRC_Woningetalage!$A$1:$ZZ$501,$A143,L$3)))</f>
        <v/>
      </c>
      <c r="M143" t="str">
        <f>IF($B143="","",IF(M$3=0,"n.b.",INDEX(SRC_Woningetalage!$A$1:$ZZ$501,$A143,M$3)))</f>
        <v/>
      </c>
      <c r="N143" t="str">
        <f>IF($B143="","",IF(N$3=0,"n.b.",INDEX(SRC_Woningetalage!$A$1:$ZZ$501,$A143,N$3)))</f>
        <v/>
      </c>
      <c r="O143" t="str">
        <f>IF($B143="","",IF(O$3=0,"n.b.",INDEX(SRC_Woningetalage!$A$1:$ZZ$501,$A143,O$3)))</f>
        <v/>
      </c>
      <c r="P143" t="str">
        <f>IF($B143="","",IF(P$3=0,"n.b.",INDEX(SRC_Woningetalage!$A$1:$ZZ$501,$A143,P$3)))</f>
        <v/>
      </c>
      <c r="Q143" s="124" t="str">
        <f>IF($B143="","",IF(Q$3=0,"n.b.",INDEX(SRC_Woningetalage!$A$1:$ZZ$501,$A143,Q$3)))</f>
        <v/>
      </c>
      <c r="R143" s="124" t="str">
        <f>IF($B143="","",IF(R$3=0,"n.b.",INDEX(SRC_Woningetalage!$A$1:$ZZ$501,$A143,R$3)))</f>
        <v/>
      </c>
      <c r="S143" s="124" t="str">
        <f>IF($B143="","",IF(S$3=0,"n.b.",INDEX(SRC_Woningetalage!$A$1:$ZZ$501,$A143,S$3)))</f>
        <v/>
      </c>
      <c r="T143" s="124" t="str">
        <f>IF($B143="","",IF(T$3=0,"n.b.",INDEX(SRC_Woningetalage!$A$1:$ZZ$501,$A143,T$3)))</f>
        <v/>
      </c>
      <c r="U143" s="124" t="str">
        <f>IF($B143="","",IF(U$3=0,"n.b.",INDEX(SRC_Woningetalage!$A$1:$ZZ$501,$A143,U$3)))</f>
        <v/>
      </c>
      <c r="V143" s="124" t="str">
        <f>IF($B143="","",IF(V$3=0,"n.b.",INDEX(SRC_Woningetalage!$A$1:$ZZ$501,$A143,V$3)))</f>
        <v/>
      </c>
      <c r="W143" s="124" t="str">
        <f>IF($B143="","",IF(W$3=0,"n.b.",INDEX(SRC_Woningetalage!$A$1:$ZZ$501,$A143,W$3)))</f>
        <v/>
      </c>
      <c r="X143" s="124" t="str">
        <f>IF($B143="","",IF(X$3=0,"n.b.",INDEX(SRC_Woningetalage!$A$1:$ZZ$501,$A143,X$3)))</f>
        <v/>
      </c>
      <c r="Y143" s="124" t="str">
        <f>IF($B143="","",IF(Y$3=0,"n.b.",INDEX(SRC_Woningetalage!$A$1:$ZZ$501,$A143,Y$3)))</f>
        <v/>
      </c>
      <c r="Z143" s="124" t="str">
        <f>IF($B143="","",IF(Z$3=0,"n.b.",INDEX(SRC_Woningetalage!$A$1:$ZZ$501,$A143,Z$3)))</f>
        <v/>
      </c>
      <c r="AA143" s="124" t="str">
        <f>IF($B143="","",IF(AA$3=0,"n.b.",INDEX(SRC_Woningetalage!$A$1:$ZZ$501,$A143,AA$3)))</f>
        <v/>
      </c>
      <c r="AB143" s="124" t="str">
        <f>IF($B143="","",IF(AB$3=0,"n.b.",INDEX(SRC_Woningetalage!$A$1:$ZZ$501,$A143,AB$3)))</f>
        <v/>
      </c>
      <c r="AC143" s="124" t="str">
        <f>IF($B143="","",IF(AC$3=0,"n.b.",INDEX(SRC_Woningetalage!$A$1:$ZZ$501,$A143,AC$3)))</f>
        <v/>
      </c>
      <c r="AD143" s="124" t="str">
        <f>IF($B143="","",IF(AD$3=0,"n.b.",INDEX(SRC_Woningetalage!$A$1:$ZZ$501,$A143,AD$3)))</f>
        <v/>
      </c>
      <c r="AE143" s="124" t="str">
        <f>IF($B143="","",IF(AE$3=0,"n.b.",INDEX(SRC_Woningetalage!$A$1:$ZZ$501,$A143,AE$3)))</f>
        <v/>
      </c>
      <c r="AF143" s="124" t="str">
        <f>IF($B143="","",IF(AF$3=0,"n.b.",INDEX(SRC_Woningetalage!$A$1:$ZZ$501,$A143,AF$3)))</f>
        <v/>
      </c>
      <c r="AG143" s="124" t="str">
        <f>IF($B143="","",IF(AG$3=0,"n.b.",INDEX(SRC_Woningetalage!$A$1:$ZZ$501,$A143,AG$3)))</f>
        <v/>
      </c>
      <c r="AH143" s="124" t="str">
        <f>IF($B143="","",IF(AH$3=0,"n.b.",INDEX(SRC_Woningetalage!$A$1:$ZZ$501,$A143,AH$3)))</f>
        <v/>
      </c>
      <c r="AI143" s="124" t="str">
        <f>IF($B143="","",IF(AI$3=0,"n.b.",INDEX(SRC_Woningetalage!$A$1:$ZZ$501,$A143,AI$3)))</f>
        <v/>
      </c>
      <c r="AJ143" s="124" t="str">
        <f>IF($B143="","",IF(AJ$3=0,"n.b.",INDEX(SRC_Woningetalage!$A$1:$ZZ$501,$A143,AJ$3)))</f>
        <v/>
      </c>
      <c r="AK143" s="124" t="str">
        <f>IF($B143="","",IF(AK$3=0,"n.b.",INDEX(SRC_Woningetalage!$A$1:$ZZ$501,$A143,AK$3)))</f>
        <v/>
      </c>
      <c r="AL143" s="124" t="str">
        <f>IF($B143="","",IF(AL$3=0,"n.b.",INDEX(SRC_Woningetalage!$A$1:$ZZ$501,$A143,AL$3)))</f>
        <v/>
      </c>
      <c r="AM143" s="124" t="str">
        <f>IF($B143="","",IF(AM$3=0,"n.b.",INDEX(SRC_Woningetalage!$A$1:$ZZ$501,$A143,AM$3)))</f>
        <v/>
      </c>
      <c r="AN143" s="124" t="str">
        <f>IF($B143="","",IF(AN$3=0,"n.b.",INDEX(SRC_Woningetalage!$A$1:$ZZ$501,$A143,AN$3)))</f>
        <v/>
      </c>
      <c r="AO143" s="124" t="str">
        <f>IF($B143="","",IF(AO$3=0,"n.b.",INDEX(SRC_Woningetalage!$A$1:$ZZ$501,$A143,AO$3)))</f>
        <v/>
      </c>
      <c r="AP143" s="124" t="str">
        <f>IF($B143="","",IF(AP$3=0,"n.b.",INDEX(SRC_Woningetalage!$A$1:$ZZ$501,$A143,AP$3)))</f>
        <v/>
      </c>
      <c r="AQ143" s="124" t="str">
        <f>IF($B143="","",IF(AQ$3=0,"n.b.",INDEX(SRC_Woningetalage!$A$1:$ZZ$501,$A143,AQ$3)))</f>
        <v/>
      </c>
      <c r="AR143" s="124" t="str">
        <f>IF($B143="","",IF(AR$3=0,"n.b.",INDEX(SRC_Woningetalage!$A$1:$ZZ$501,$A143,AR$3)))</f>
        <v/>
      </c>
      <c r="AS143" s="124" t="str">
        <f>IF($B143="","",IF(AS$3=0,"n.b.",INDEX(SRC_Woningetalage!$A$1:$ZZ$501,$A143,AS$3)))</f>
        <v/>
      </c>
      <c r="AT143" s="124" t="str">
        <f>IF($B143="","",IF(AT$3=0,"n.b.",INDEX(SRC_Woningetalage!$A$1:$ZZ$501,$A143,AT$3)))</f>
        <v/>
      </c>
      <c r="AU143" s="124" t="str">
        <f>IF($B143="","",IF(AU$3=0,"n.b.",INDEX(SRC_Woningetalage!$A$1:$ZZ$501,$A143,AU$3)))</f>
        <v/>
      </c>
      <c r="AV143" s="124" t="str">
        <f>IF($B143="","",IF(AV$3=0,"n.b.",INDEX(SRC_Woningetalage!$A$1:$ZZ$501,$A143,AV$3)))</f>
        <v/>
      </c>
      <c r="AW143" s="124" t="str">
        <f>IF($B143="","",IF(AW$3=0,"n.b.",INDEX(SRC_Woningetalage!$A$1:$ZZ$501,$A143,AW$3)))</f>
        <v/>
      </c>
      <c r="AX143" s="124" t="str">
        <f>IF($B143="","",IF(AX$3=0,"n.b.",INDEX(SRC_Woningetalage!$A$1:$ZZ$501,$A143,AX$3)))</f>
        <v/>
      </c>
      <c r="AY143" s="124" t="str">
        <f>IF($B143="","",IF(AY$3=0,"n.b.",INDEX(SRC_Woningetalage!$A$1:$ZZ$501,$A143,AY$3)))</f>
        <v/>
      </c>
      <c r="AZ143" s="124" t="str">
        <f>IF($B143="","",IF(AZ$3=0,"n.b.",INDEX(SRC_Woningetalage!$A$1:$ZZ$501,$A143,AZ$3)))</f>
        <v/>
      </c>
      <c r="BA143" s="124" t="str">
        <f>IF($B143="","",IF(BA$3=0,"n.b.",INDEX(SRC_Woningetalage!$A$1:$ZZ$501,$A143,BA$3)))</f>
        <v/>
      </c>
      <c r="BB143" s="124" t="str">
        <f>IF($B143="","",IF(BB$3=0,"n.b.",INDEX(SRC_Woningetalage!$A$1:$ZZ$501,$A143,BB$3)))</f>
        <v/>
      </c>
      <c r="BC143" s="124" t="str">
        <f>IF($B143="","",IFERROR(_xlfn.NUMBERVALUE(E143&amp;"",",","."),"n.b."))</f>
        <v/>
      </c>
      <c r="BD143" s="124" t="str">
        <f>IF($B143="","",IFERROR(_xlfn.NUMBERVALUE(M143&amp;"",",","."),"n.b."))</f>
        <v/>
      </c>
      <c r="BE143" s="124" t="str">
        <f>IF($B143="","",IFERROR(AB143+AC143+AD143,"n.b."))</f>
        <v/>
      </c>
      <c r="BF143" s="124" t="str">
        <f>IF($B143="","",IFERROR(AE143+AF143+AG143,"n.b."))</f>
        <v/>
      </c>
      <c r="BG143" s="124" t="str">
        <f>IF($B143="","",IFERROR(AH143+AI143+AJ143,"n.b."))</f>
        <v/>
      </c>
      <c r="BH143" s="124" t="str">
        <f>IF($B143="","",IFERROR(AK143+AL143+AM143,"n.b."))</f>
        <v/>
      </c>
      <c r="BI143" s="124" t="str">
        <f>IF($B143="","",IFERROR(SUMIF($AB$5:$AM$5,"&lt;="&amp;P_PeilMaand,AB143:AM143),"n.b."))</f>
        <v/>
      </c>
      <c r="BJ143" s="124" t="str">
        <f>IF($B143="","",IFERROR(SUM(AB143:AM143)-BI143,"n.b."))</f>
        <v/>
      </c>
      <c r="BK143" s="124" t="str">
        <f>IF($B143="","",IFERROR(IF(ABS(Q143-(T143+SUM(AB143:AM143)+AS143+AU143))&gt;P_Tol,1,0),1))</f>
        <v/>
      </c>
      <c r="BL143" s="124" t="str">
        <f>IF($B143="","",IFERROR(IF(ABS(AA143-(Q143-Z143))&gt;P_Tol,1,0),1))</f>
        <v/>
      </c>
      <c r="BM143" s="124" t="str">
        <f>IF($B143="","",IFERROR(IF(ABS(Z143-(T143+W143))&gt;P_Tol,1,0),1))</f>
        <v/>
      </c>
      <c r="BN143" s="124" t="str">
        <f>IF($B143="","",IFERROR(IF(ABS(W143-BI143)&gt;P_Tol,1,0),1))</f>
        <v/>
      </c>
      <c r="BO143" s="124" t="str">
        <f>IF($B143="","",IFERROR(IF(OR(ABS(R143+S143-T143)&gt;P_Tol,ABS(U143+V143-W143)&gt;P_Tol,ABS(X143+Y143-Z143)&gt;P_Tol),1,0),1))</f>
        <v/>
      </c>
      <c r="BP143" s="124" t="str">
        <f>IF($B143="","",IFERROR(IF(OR(ABS(AR143-SUM(AB143:AM143))&gt;P_Tol,ABS(AS143-(AN143+AO143+AP143+AQ143))&gt;P_Tol),1,0),1))</f>
        <v/>
      </c>
      <c r="BQ143" s="124" t="str">
        <f>IF($B143="","",IFERROR(IF(ABS(AT143)+ABS(AV143)+ABS(AW143)+ABS(AX143)+ABS(AY143)+ABS(AZ143)+ABS(BA143)+ABS(BB143)&gt;0,1,0),1))</f>
        <v/>
      </c>
      <c r="BR143" s="124" t="str">
        <f>IF($B143="","",COUNTIF(STG_ZPMW03!$B$6:$B$505,B143))</f>
        <v/>
      </c>
      <c r="BS143" s="124" t="str">
        <f>IF($B143="","",COUNTIF($B$6:$B$505,B143))</f>
        <v/>
      </c>
      <c r="BT143" s="124" t="str">
        <f>IF($B143="","",IF(BR143=0,0,IF(INDEX(STG_ZPMW03!$I$6:$I$505,MATCH(B143,STG_ZPMW03!$B$6:$B$505,0))=J143&amp;"",0,1)))</f>
        <v/>
      </c>
      <c r="BU143" s="124" t="str">
        <f>IF($B143="","",IFERROR(IF(ABS(INDEX(Mapping!$D$5:$D$104,MATCH(B143,Mapping!$A$5:$A$104,0))-Q143)&gt;P_Tol,1,0),0))</f>
        <v/>
      </c>
      <c r="BV143" s="124" t="str">
        <f>IF($B143="","",IFERROR(IF(AND(INDEX(Mapping!$G$5:$G$104,MATCH(B143,Mapping!$A$5:$A$104,0))="Nee",ABS(Q143)+ABS(Z143)+ABS(AR143)&gt;0),1,0),0))</f>
        <v/>
      </c>
      <c r="BW143" s="124" t="str">
        <f>IF($B143="","",IF(COUNTIF(Mapping!$A$5:$A$104,B143)&gt;0,1,0))</f>
        <v/>
      </c>
      <c r="BX143" s="124" t="str">
        <f>IF($B143="","",IF(BR143=0,COUNTIF($BR$6:BR143,0),""))</f>
        <v/>
      </c>
    </row>
    <row r="144">
      <c r="A144" s="15" t="n">
        <v>140</v>
      </c>
      <c r="B144" t="str">
        <f>IF(B$3=0,"",IF(INDEX(SRC_Woningetalage!$A$1:$ZZ$501,$A144,B$3)&amp;""="","",INDEX(SRC_Woningetalage!$A$1:$ZZ$501,$A144,B$3)&amp;""))</f>
        <v/>
      </c>
      <c r="C144" t="str">
        <f>IF($B144="","",IF(C$3=0,"n.b.",INDEX(SRC_Woningetalage!$A$1:$ZZ$501,$A144,C$3)))</f>
        <v/>
      </c>
      <c r="D144" t="str">
        <f>IF($B144="","",IF(D$3=0,"n.b.",INDEX(SRC_Woningetalage!$A$1:$ZZ$501,$A144,D$3)))</f>
        <v/>
      </c>
      <c r="E144" t="str">
        <f>IF($B144="","",IF(E$3=0,"n.b.",INDEX(SRC_Woningetalage!$A$1:$ZZ$501,$A144,E$3)))</f>
        <v/>
      </c>
      <c r="F144" t="str">
        <f>IF($B144="","",IF(F$3=0,"n.b.",INDEX(SRC_Woningetalage!$A$1:$ZZ$501,$A144,F$3)))</f>
        <v/>
      </c>
      <c r="G144" t="str">
        <f>IF($B144="","",IF(G$3=0,"n.b.",INDEX(SRC_Woningetalage!$A$1:$ZZ$501,$A144,G$3)))</f>
        <v/>
      </c>
      <c r="H144" t="str">
        <f>IF($B144="","",IF(H$3=0,"n.b.",INDEX(SRC_Woningetalage!$A$1:$ZZ$501,$A144,H$3)))</f>
        <v/>
      </c>
      <c r="I144" t="str">
        <f>IF($B144="","",IF(I$3=0,"n.b.",INDEX(SRC_Woningetalage!$A$1:$ZZ$501,$A144,I$3)))</f>
        <v/>
      </c>
      <c r="J144" t="str">
        <f>IF($B144="","",IF(J$3=0,"n.b.",INDEX(SRC_Woningetalage!$A$1:$ZZ$501,$A144,J$3)))</f>
        <v/>
      </c>
      <c r="K144" t="str">
        <f>IF($B144="","",IF(K$3=0,"n.b.",INDEX(SRC_Woningetalage!$A$1:$ZZ$501,$A144,K$3)))</f>
        <v/>
      </c>
      <c r="L144" t="str">
        <f>IF($B144="","",IF(L$3=0,"n.b.",INDEX(SRC_Woningetalage!$A$1:$ZZ$501,$A144,L$3)))</f>
        <v/>
      </c>
      <c r="M144" t="str">
        <f>IF($B144="","",IF(M$3=0,"n.b.",INDEX(SRC_Woningetalage!$A$1:$ZZ$501,$A144,M$3)))</f>
        <v/>
      </c>
      <c r="N144" t="str">
        <f>IF($B144="","",IF(N$3=0,"n.b.",INDEX(SRC_Woningetalage!$A$1:$ZZ$501,$A144,N$3)))</f>
        <v/>
      </c>
      <c r="O144" t="str">
        <f>IF($B144="","",IF(O$3=0,"n.b.",INDEX(SRC_Woningetalage!$A$1:$ZZ$501,$A144,O$3)))</f>
        <v/>
      </c>
      <c r="P144" t="str">
        <f>IF($B144="","",IF(P$3=0,"n.b.",INDEX(SRC_Woningetalage!$A$1:$ZZ$501,$A144,P$3)))</f>
        <v/>
      </c>
      <c r="Q144" s="124" t="str">
        <f>IF($B144="","",IF(Q$3=0,"n.b.",INDEX(SRC_Woningetalage!$A$1:$ZZ$501,$A144,Q$3)))</f>
        <v/>
      </c>
      <c r="R144" s="124" t="str">
        <f>IF($B144="","",IF(R$3=0,"n.b.",INDEX(SRC_Woningetalage!$A$1:$ZZ$501,$A144,R$3)))</f>
        <v/>
      </c>
      <c r="S144" s="124" t="str">
        <f>IF($B144="","",IF(S$3=0,"n.b.",INDEX(SRC_Woningetalage!$A$1:$ZZ$501,$A144,S$3)))</f>
        <v/>
      </c>
      <c r="T144" s="124" t="str">
        <f>IF($B144="","",IF(T$3=0,"n.b.",INDEX(SRC_Woningetalage!$A$1:$ZZ$501,$A144,T$3)))</f>
        <v/>
      </c>
      <c r="U144" s="124" t="str">
        <f>IF($B144="","",IF(U$3=0,"n.b.",INDEX(SRC_Woningetalage!$A$1:$ZZ$501,$A144,U$3)))</f>
        <v/>
      </c>
      <c r="V144" s="124" t="str">
        <f>IF($B144="","",IF(V$3=0,"n.b.",INDEX(SRC_Woningetalage!$A$1:$ZZ$501,$A144,V$3)))</f>
        <v/>
      </c>
      <c r="W144" s="124" t="str">
        <f>IF($B144="","",IF(W$3=0,"n.b.",INDEX(SRC_Woningetalage!$A$1:$ZZ$501,$A144,W$3)))</f>
        <v/>
      </c>
      <c r="X144" s="124" t="str">
        <f>IF($B144="","",IF(X$3=0,"n.b.",INDEX(SRC_Woningetalage!$A$1:$ZZ$501,$A144,X$3)))</f>
        <v/>
      </c>
      <c r="Y144" s="124" t="str">
        <f>IF($B144="","",IF(Y$3=0,"n.b.",INDEX(SRC_Woningetalage!$A$1:$ZZ$501,$A144,Y$3)))</f>
        <v/>
      </c>
      <c r="Z144" s="124" t="str">
        <f>IF($B144="","",IF(Z$3=0,"n.b.",INDEX(SRC_Woningetalage!$A$1:$ZZ$501,$A144,Z$3)))</f>
        <v/>
      </c>
      <c r="AA144" s="124" t="str">
        <f>IF($B144="","",IF(AA$3=0,"n.b.",INDEX(SRC_Woningetalage!$A$1:$ZZ$501,$A144,AA$3)))</f>
        <v/>
      </c>
      <c r="AB144" s="124" t="str">
        <f>IF($B144="","",IF(AB$3=0,"n.b.",INDEX(SRC_Woningetalage!$A$1:$ZZ$501,$A144,AB$3)))</f>
        <v/>
      </c>
      <c r="AC144" s="124" t="str">
        <f>IF($B144="","",IF(AC$3=0,"n.b.",INDEX(SRC_Woningetalage!$A$1:$ZZ$501,$A144,AC$3)))</f>
        <v/>
      </c>
      <c r="AD144" s="124" t="str">
        <f>IF($B144="","",IF(AD$3=0,"n.b.",INDEX(SRC_Woningetalage!$A$1:$ZZ$501,$A144,AD$3)))</f>
        <v/>
      </c>
      <c r="AE144" s="124" t="str">
        <f>IF($B144="","",IF(AE$3=0,"n.b.",INDEX(SRC_Woningetalage!$A$1:$ZZ$501,$A144,AE$3)))</f>
        <v/>
      </c>
      <c r="AF144" s="124" t="str">
        <f>IF($B144="","",IF(AF$3=0,"n.b.",INDEX(SRC_Woningetalage!$A$1:$ZZ$501,$A144,AF$3)))</f>
        <v/>
      </c>
      <c r="AG144" s="124" t="str">
        <f>IF($B144="","",IF(AG$3=0,"n.b.",INDEX(SRC_Woningetalage!$A$1:$ZZ$501,$A144,AG$3)))</f>
        <v/>
      </c>
      <c r="AH144" s="124" t="str">
        <f>IF($B144="","",IF(AH$3=0,"n.b.",INDEX(SRC_Woningetalage!$A$1:$ZZ$501,$A144,AH$3)))</f>
        <v/>
      </c>
      <c r="AI144" s="124" t="str">
        <f>IF($B144="","",IF(AI$3=0,"n.b.",INDEX(SRC_Woningetalage!$A$1:$ZZ$501,$A144,AI$3)))</f>
        <v/>
      </c>
      <c r="AJ144" s="124" t="str">
        <f>IF($B144="","",IF(AJ$3=0,"n.b.",INDEX(SRC_Woningetalage!$A$1:$ZZ$501,$A144,AJ$3)))</f>
        <v/>
      </c>
      <c r="AK144" s="124" t="str">
        <f>IF($B144="","",IF(AK$3=0,"n.b.",INDEX(SRC_Woningetalage!$A$1:$ZZ$501,$A144,AK$3)))</f>
        <v/>
      </c>
      <c r="AL144" s="124" t="str">
        <f>IF($B144="","",IF(AL$3=0,"n.b.",INDEX(SRC_Woningetalage!$A$1:$ZZ$501,$A144,AL$3)))</f>
        <v/>
      </c>
      <c r="AM144" s="124" t="str">
        <f>IF($B144="","",IF(AM$3=0,"n.b.",INDEX(SRC_Woningetalage!$A$1:$ZZ$501,$A144,AM$3)))</f>
        <v/>
      </c>
      <c r="AN144" s="124" t="str">
        <f>IF($B144="","",IF(AN$3=0,"n.b.",INDEX(SRC_Woningetalage!$A$1:$ZZ$501,$A144,AN$3)))</f>
        <v/>
      </c>
      <c r="AO144" s="124" t="str">
        <f>IF($B144="","",IF(AO$3=0,"n.b.",INDEX(SRC_Woningetalage!$A$1:$ZZ$501,$A144,AO$3)))</f>
        <v/>
      </c>
      <c r="AP144" s="124" t="str">
        <f>IF($B144="","",IF(AP$3=0,"n.b.",INDEX(SRC_Woningetalage!$A$1:$ZZ$501,$A144,AP$3)))</f>
        <v/>
      </c>
      <c r="AQ144" s="124" t="str">
        <f>IF($B144="","",IF(AQ$3=0,"n.b.",INDEX(SRC_Woningetalage!$A$1:$ZZ$501,$A144,AQ$3)))</f>
        <v/>
      </c>
      <c r="AR144" s="124" t="str">
        <f>IF($B144="","",IF(AR$3=0,"n.b.",INDEX(SRC_Woningetalage!$A$1:$ZZ$501,$A144,AR$3)))</f>
        <v/>
      </c>
      <c r="AS144" s="124" t="str">
        <f>IF($B144="","",IF(AS$3=0,"n.b.",INDEX(SRC_Woningetalage!$A$1:$ZZ$501,$A144,AS$3)))</f>
        <v/>
      </c>
      <c r="AT144" s="124" t="str">
        <f>IF($B144="","",IF(AT$3=0,"n.b.",INDEX(SRC_Woningetalage!$A$1:$ZZ$501,$A144,AT$3)))</f>
        <v/>
      </c>
      <c r="AU144" s="124" t="str">
        <f>IF($B144="","",IF(AU$3=0,"n.b.",INDEX(SRC_Woningetalage!$A$1:$ZZ$501,$A144,AU$3)))</f>
        <v/>
      </c>
      <c r="AV144" s="124" t="str">
        <f>IF($B144="","",IF(AV$3=0,"n.b.",INDEX(SRC_Woningetalage!$A$1:$ZZ$501,$A144,AV$3)))</f>
        <v/>
      </c>
      <c r="AW144" s="124" t="str">
        <f>IF($B144="","",IF(AW$3=0,"n.b.",INDEX(SRC_Woningetalage!$A$1:$ZZ$501,$A144,AW$3)))</f>
        <v/>
      </c>
      <c r="AX144" s="124" t="str">
        <f>IF($B144="","",IF(AX$3=0,"n.b.",INDEX(SRC_Woningetalage!$A$1:$ZZ$501,$A144,AX$3)))</f>
        <v/>
      </c>
      <c r="AY144" s="124" t="str">
        <f>IF($B144="","",IF(AY$3=0,"n.b.",INDEX(SRC_Woningetalage!$A$1:$ZZ$501,$A144,AY$3)))</f>
        <v/>
      </c>
      <c r="AZ144" s="124" t="str">
        <f>IF($B144="","",IF(AZ$3=0,"n.b.",INDEX(SRC_Woningetalage!$A$1:$ZZ$501,$A144,AZ$3)))</f>
        <v/>
      </c>
      <c r="BA144" s="124" t="str">
        <f>IF($B144="","",IF(BA$3=0,"n.b.",INDEX(SRC_Woningetalage!$A$1:$ZZ$501,$A144,BA$3)))</f>
        <v/>
      </c>
      <c r="BB144" s="124" t="str">
        <f>IF($B144="","",IF(BB$3=0,"n.b.",INDEX(SRC_Woningetalage!$A$1:$ZZ$501,$A144,BB$3)))</f>
        <v/>
      </c>
      <c r="BC144" s="124" t="str">
        <f>IF($B144="","",IFERROR(_xlfn.NUMBERVALUE(E144&amp;"",",","."),"n.b."))</f>
        <v/>
      </c>
      <c r="BD144" s="124" t="str">
        <f>IF($B144="","",IFERROR(_xlfn.NUMBERVALUE(M144&amp;"",",","."),"n.b."))</f>
        <v/>
      </c>
      <c r="BE144" s="124" t="str">
        <f>IF($B144="","",IFERROR(AB144+AC144+AD144,"n.b."))</f>
        <v/>
      </c>
      <c r="BF144" s="124" t="str">
        <f>IF($B144="","",IFERROR(AE144+AF144+AG144,"n.b."))</f>
        <v/>
      </c>
      <c r="BG144" s="124" t="str">
        <f>IF($B144="","",IFERROR(AH144+AI144+AJ144,"n.b."))</f>
        <v/>
      </c>
      <c r="BH144" s="124" t="str">
        <f>IF($B144="","",IFERROR(AK144+AL144+AM144,"n.b."))</f>
        <v/>
      </c>
      <c r="BI144" s="124" t="str">
        <f>IF($B144="","",IFERROR(SUMIF($AB$5:$AM$5,"&lt;="&amp;P_PeilMaand,AB144:AM144),"n.b."))</f>
        <v/>
      </c>
      <c r="BJ144" s="124" t="str">
        <f>IF($B144="","",IFERROR(SUM(AB144:AM144)-BI144,"n.b."))</f>
        <v/>
      </c>
      <c r="BK144" s="124" t="str">
        <f>IF($B144="","",IFERROR(IF(ABS(Q144-(T144+SUM(AB144:AM144)+AS144+AU144))&gt;P_Tol,1,0),1))</f>
        <v/>
      </c>
      <c r="BL144" s="124" t="str">
        <f>IF($B144="","",IFERROR(IF(ABS(AA144-(Q144-Z144))&gt;P_Tol,1,0),1))</f>
        <v/>
      </c>
      <c r="BM144" s="124" t="str">
        <f>IF($B144="","",IFERROR(IF(ABS(Z144-(T144+W144))&gt;P_Tol,1,0),1))</f>
        <v/>
      </c>
      <c r="BN144" s="124" t="str">
        <f>IF($B144="","",IFERROR(IF(ABS(W144-BI144)&gt;P_Tol,1,0),1))</f>
        <v/>
      </c>
      <c r="BO144" s="124" t="str">
        <f>IF($B144="","",IFERROR(IF(OR(ABS(R144+S144-T144)&gt;P_Tol,ABS(U144+V144-W144)&gt;P_Tol,ABS(X144+Y144-Z144)&gt;P_Tol),1,0),1))</f>
        <v/>
      </c>
      <c r="BP144" s="124" t="str">
        <f>IF($B144="","",IFERROR(IF(OR(ABS(AR144-SUM(AB144:AM144))&gt;P_Tol,ABS(AS144-(AN144+AO144+AP144+AQ144))&gt;P_Tol),1,0),1))</f>
        <v/>
      </c>
      <c r="BQ144" s="124" t="str">
        <f>IF($B144="","",IFERROR(IF(ABS(AT144)+ABS(AV144)+ABS(AW144)+ABS(AX144)+ABS(AY144)+ABS(AZ144)+ABS(BA144)+ABS(BB144)&gt;0,1,0),1))</f>
        <v/>
      </c>
      <c r="BR144" s="124" t="str">
        <f>IF($B144="","",COUNTIF(STG_ZPMW03!$B$6:$B$505,B144))</f>
        <v/>
      </c>
      <c r="BS144" s="124" t="str">
        <f>IF($B144="","",COUNTIF($B$6:$B$505,B144))</f>
        <v/>
      </c>
      <c r="BT144" s="124" t="str">
        <f>IF($B144="","",IF(BR144=0,0,IF(INDEX(STG_ZPMW03!$I$6:$I$505,MATCH(B144,STG_ZPMW03!$B$6:$B$505,0))=J144&amp;"",0,1)))</f>
        <v/>
      </c>
      <c r="BU144" s="124" t="str">
        <f>IF($B144="","",IFERROR(IF(ABS(INDEX(Mapping!$D$5:$D$104,MATCH(B144,Mapping!$A$5:$A$104,0))-Q144)&gt;P_Tol,1,0),0))</f>
        <v/>
      </c>
      <c r="BV144" s="124" t="str">
        <f>IF($B144="","",IFERROR(IF(AND(INDEX(Mapping!$G$5:$G$104,MATCH(B144,Mapping!$A$5:$A$104,0))="Nee",ABS(Q144)+ABS(Z144)+ABS(AR144)&gt;0),1,0),0))</f>
        <v/>
      </c>
      <c r="BW144" s="124" t="str">
        <f>IF($B144="","",IF(COUNTIF(Mapping!$A$5:$A$104,B144)&gt;0,1,0))</f>
        <v/>
      </c>
      <c r="BX144" s="124" t="str">
        <f>IF($B144="","",IF(BR144=0,COUNTIF($BR$6:BR144,0),""))</f>
        <v/>
      </c>
    </row>
    <row r="145">
      <c r="A145" s="15" t="n">
        <v>141</v>
      </c>
      <c r="B145" t="str">
        <f>IF(B$3=0,"",IF(INDEX(SRC_Woningetalage!$A$1:$ZZ$501,$A145,B$3)&amp;""="","",INDEX(SRC_Woningetalage!$A$1:$ZZ$501,$A145,B$3)&amp;""))</f>
        <v/>
      </c>
      <c r="C145" t="str">
        <f>IF($B145="","",IF(C$3=0,"n.b.",INDEX(SRC_Woningetalage!$A$1:$ZZ$501,$A145,C$3)))</f>
        <v/>
      </c>
      <c r="D145" t="str">
        <f>IF($B145="","",IF(D$3=0,"n.b.",INDEX(SRC_Woningetalage!$A$1:$ZZ$501,$A145,D$3)))</f>
        <v/>
      </c>
      <c r="E145" t="str">
        <f>IF($B145="","",IF(E$3=0,"n.b.",INDEX(SRC_Woningetalage!$A$1:$ZZ$501,$A145,E$3)))</f>
        <v/>
      </c>
      <c r="F145" t="str">
        <f>IF($B145="","",IF(F$3=0,"n.b.",INDEX(SRC_Woningetalage!$A$1:$ZZ$501,$A145,F$3)))</f>
        <v/>
      </c>
      <c r="G145" t="str">
        <f>IF($B145="","",IF(G$3=0,"n.b.",INDEX(SRC_Woningetalage!$A$1:$ZZ$501,$A145,G$3)))</f>
        <v/>
      </c>
      <c r="H145" t="str">
        <f>IF($B145="","",IF(H$3=0,"n.b.",INDEX(SRC_Woningetalage!$A$1:$ZZ$501,$A145,H$3)))</f>
        <v/>
      </c>
      <c r="I145" t="str">
        <f>IF($B145="","",IF(I$3=0,"n.b.",INDEX(SRC_Woningetalage!$A$1:$ZZ$501,$A145,I$3)))</f>
        <v/>
      </c>
      <c r="J145" t="str">
        <f>IF($B145="","",IF(J$3=0,"n.b.",INDEX(SRC_Woningetalage!$A$1:$ZZ$501,$A145,J$3)))</f>
        <v/>
      </c>
      <c r="K145" t="str">
        <f>IF($B145="","",IF(K$3=0,"n.b.",INDEX(SRC_Woningetalage!$A$1:$ZZ$501,$A145,K$3)))</f>
        <v/>
      </c>
      <c r="L145" t="str">
        <f>IF($B145="","",IF(L$3=0,"n.b.",INDEX(SRC_Woningetalage!$A$1:$ZZ$501,$A145,L$3)))</f>
        <v/>
      </c>
      <c r="M145" t="str">
        <f>IF($B145="","",IF(M$3=0,"n.b.",INDEX(SRC_Woningetalage!$A$1:$ZZ$501,$A145,M$3)))</f>
        <v/>
      </c>
      <c r="N145" t="str">
        <f>IF($B145="","",IF(N$3=0,"n.b.",INDEX(SRC_Woningetalage!$A$1:$ZZ$501,$A145,N$3)))</f>
        <v/>
      </c>
      <c r="O145" t="str">
        <f>IF($B145="","",IF(O$3=0,"n.b.",INDEX(SRC_Woningetalage!$A$1:$ZZ$501,$A145,O$3)))</f>
        <v/>
      </c>
      <c r="P145" t="str">
        <f>IF($B145="","",IF(P$3=0,"n.b.",INDEX(SRC_Woningetalage!$A$1:$ZZ$501,$A145,P$3)))</f>
        <v/>
      </c>
      <c r="Q145" s="124" t="str">
        <f>IF($B145="","",IF(Q$3=0,"n.b.",INDEX(SRC_Woningetalage!$A$1:$ZZ$501,$A145,Q$3)))</f>
        <v/>
      </c>
      <c r="R145" s="124" t="str">
        <f>IF($B145="","",IF(R$3=0,"n.b.",INDEX(SRC_Woningetalage!$A$1:$ZZ$501,$A145,R$3)))</f>
        <v/>
      </c>
      <c r="S145" s="124" t="str">
        <f>IF($B145="","",IF(S$3=0,"n.b.",INDEX(SRC_Woningetalage!$A$1:$ZZ$501,$A145,S$3)))</f>
        <v/>
      </c>
      <c r="T145" s="124" t="str">
        <f>IF($B145="","",IF(T$3=0,"n.b.",INDEX(SRC_Woningetalage!$A$1:$ZZ$501,$A145,T$3)))</f>
        <v/>
      </c>
      <c r="U145" s="124" t="str">
        <f>IF($B145="","",IF(U$3=0,"n.b.",INDEX(SRC_Woningetalage!$A$1:$ZZ$501,$A145,U$3)))</f>
        <v/>
      </c>
      <c r="V145" s="124" t="str">
        <f>IF($B145="","",IF(V$3=0,"n.b.",INDEX(SRC_Woningetalage!$A$1:$ZZ$501,$A145,V$3)))</f>
        <v/>
      </c>
      <c r="W145" s="124" t="str">
        <f>IF($B145="","",IF(W$3=0,"n.b.",INDEX(SRC_Woningetalage!$A$1:$ZZ$501,$A145,W$3)))</f>
        <v/>
      </c>
      <c r="X145" s="124" t="str">
        <f>IF($B145="","",IF(X$3=0,"n.b.",INDEX(SRC_Woningetalage!$A$1:$ZZ$501,$A145,X$3)))</f>
        <v/>
      </c>
      <c r="Y145" s="124" t="str">
        <f>IF($B145="","",IF(Y$3=0,"n.b.",INDEX(SRC_Woningetalage!$A$1:$ZZ$501,$A145,Y$3)))</f>
        <v/>
      </c>
      <c r="Z145" s="124" t="str">
        <f>IF($B145="","",IF(Z$3=0,"n.b.",INDEX(SRC_Woningetalage!$A$1:$ZZ$501,$A145,Z$3)))</f>
        <v/>
      </c>
      <c r="AA145" s="124" t="str">
        <f>IF($B145="","",IF(AA$3=0,"n.b.",INDEX(SRC_Woningetalage!$A$1:$ZZ$501,$A145,AA$3)))</f>
        <v/>
      </c>
      <c r="AB145" s="124" t="str">
        <f>IF($B145="","",IF(AB$3=0,"n.b.",INDEX(SRC_Woningetalage!$A$1:$ZZ$501,$A145,AB$3)))</f>
        <v/>
      </c>
      <c r="AC145" s="124" t="str">
        <f>IF($B145="","",IF(AC$3=0,"n.b.",INDEX(SRC_Woningetalage!$A$1:$ZZ$501,$A145,AC$3)))</f>
        <v/>
      </c>
      <c r="AD145" s="124" t="str">
        <f>IF($B145="","",IF(AD$3=0,"n.b.",INDEX(SRC_Woningetalage!$A$1:$ZZ$501,$A145,AD$3)))</f>
        <v/>
      </c>
      <c r="AE145" s="124" t="str">
        <f>IF($B145="","",IF(AE$3=0,"n.b.",INDEX(SRC_Woningetalage!$A$1:$ZZ$501,$A145,AE$3)))</f>
        <v/>
      </c>
      <c r="AF145" s="124" t="str">
        <f>IF($B145="","",IF(AF$3=0,"n.b.",INDEX(SRC_Woningetalage!$A$1:$ZZ$501,$A145,AF$3)))</f>
        <v/>
      </c>
      <c r="AG145" s="124" t="str">
        <f>IF($B145="","",IF(AG$3=0,"n.b.",INDEX(SRC_Woningetalage!$A$1:$ZZ$501,$A145,AG$3)))</f>
        <v/>
      </c>
      <c r="AH145" s="124" t="str">
        <f>IF($B145="","",IF(AH$3=0,"n.b.",INDEX(SRC_Woningetalage!$A$1:$ZZ$501,$A145,AH$3)))</f>
        <v/>
      </c>
      <c r="AI145" s="124" t="str">
        <f>IF($B145="","",IF(AI$3=0,"n.b.",INDEX(SRC_Woningetalage!$A$1:$ZZ$501,$A145,AI$3)))</f>
        <v/>
      </c>
      <c r="AJ145" s="124" t="str">
        <f>IF($B145="","",IF(AJ$3=0,"n.b.",INDEX(SRC_Woningetalage!$A$1:$ZZ$501,$A145,AJ$3)))</f>
        <v/>
      </c>
      <c r="AK145" s="124" t="str">
        <f>IF($B145="","",IF(AK$3=0,"n.b.",INDEX(SRC_Woningetalage!$A$1:$ZZ$501,$A145,AK$3)))</f>
        <v/>
      </c>
      <c r="AL145" s="124" t="str">
        <f>IF($B145="","",IF(AL$3=0,"n.b.",INDEX(SRC_Woningetalage!$A$1:$ZZ$501,$A145,AL$3)))</f>
        <v/>
      </c>
      <c r="AM145" s="124" t="str">
        <f>IF($B145="","",IF(AM$3=0,"n.b.",INDEX(SRC_Woningetalage!$A$1:$ZZ$501,$A145,AM$3)))</f>
        <v/>
      </c>
      <c r="AN145" s="124" t="str">
        <f>IF($B145="","",IF(AN$3=0,"n.b.",INDEX(SRC_Woningetalage!$A$1:$ZZ$501,$A145,AN$3)))</f>
        <v/>
      </c>
      <c r="AO145" s="124" t="str">
        <f>IF($B145="","",IF(AO$3=0,"n.b.",INDEX(SRC_Woningetalage!$A$1:$ZZ$501,$A145,AO$3)))</f>
        <v/>
      </c>
      <c r="AP145" s="124" t="str">
        <f>IF($B145="","",IF(AP$3=0,"n.b.",INDEX(SRC_Woningetalage!$A$1:$ZZ$501,$A145,AP$3)))</f>
        <v/>
      </c>
      <c r="AQ145" s="124" t="str">
        <f>IF($B145="","",IF(AQ$3=0,"n.b.",INDEX(SRC_Woningetalage!$A$1:$ZZ$501,$A145,AQ$3)))</f>
        <v/>
      </c>
      <c r="AR145" s="124" t="str">
        <f>IF($B145="","",IF(AR$3=0,"n.b.",INDEX(SRC_Woningetalage!$A$1:$ZZ$501,$A145,AR$3)))</f>
        <v/>
      </c>
      <c r="AS145" s="124" t="str">
        <f>IF($B145="","",IF(AS$3=0,"n.b.",INDEX(SRC_Woningetalage!$A$1:$ZZ$501,$A145,AS$3)))</f>
        <v/>
      </c>
      <c r="AT145" s="124" t="str">
        <f>IF($B145="","",IF(AT$3=0,"n.b.",INDEX(SRC_Woningetalage!$A$1:$ZZ$501,$A145,AT$3)))</f>
        <v/>
      </c>
      <c r="AU145" s="124" t="str">
        <f>IF($B145="","",IF(AU$3=0,"n.b.",INDEX(SRC_Woningetalage!$A$1:$ZZ$501,$A145,AU$3)))</f>
        <v/>
      </c>
      <c r="AV145" s="124" t="str">
        <f>IF($B145="","",IF(AV$3=0,"n.b.",INDEX(SRC_Woningetalage!$A$1:$ZZ$501,$A145,AV$3)))</f>
        <v/>
      </c>
      <c r="AW145" s="124" t="str">
        <f>IF($B145="","",IF(AW$3=0,"n.b.",INDEX(SRC_Woningetalage!$A$1:$ZZ$501,$A145,AW$3)))</f>
        <v/>
      </c>
      <c r="AX145" s="124" t="str">
        <f>IF($B145="","",IF(AX$3=0,"n.b.",INDEX(SRC_Woningetalage!$A$1:$ZZ$501,$A145,AX$3)))</f>
        <v/>
      </c>
      <c r="AY145" s="124" t="str">
        <f>IF($B145="","",IF(AY$3=0,"n.b.",INDEX(SRC_Woningetalage!$A$1:$ZZ$501,$A145,AY$3)))</f>
        <v/>
      </c>
      <c r="AZ145" s="124" t="str">
        <f>IF($B145="","",IF(AZ$3=0,"n.b.",INDEX(SRC_Woningetalage!$A$1:$ZZ$501,$A145,AZ$3)))</f>
        <v/>
      </c>
      <c r="BA145" s="124" t="str">
        <f>IF($B145="","",IF(BA$3=0,"n.b.",INDEX(SRC_Woningetalage!$A$1:$ZZ$501,$A145,BA$3)))</f>
        <v/>
      </c>
      <c r="BB145" s="124" t="str">
        <f>IF($B145="","",IF(BB$3=0,"n.b.",INDEX(SRC_Woningetalage!$A$1:$ZZ$501,$A145,BB$3)))</f>
        <v/>
      </c>
      <c r="BC145" s="124" t="str">
        <f>IF($B145="","",IFERROR(_xlfn.NUMBERVALUE(E145&amp;"",",","."),"n.b."))</f>
        <v/>
      </c>
      <c r="BD145" s="124" t="str">
        <f>IF($B145="","",IFERROR(_xlfn.NUMBERVALUE(M145&amp;"",",","."),"n.b."))</f>
        <v/>
      </c>
      <c r="BE145" s="124" t="str">
        <f>IF($B145="","",IFERROR(AB145+AC145+AD145,"n.b."))</f>
        <v/>
      </c>
      <c r="BF145" s="124" t="str">
        <f>IF($B145="","",IFERROR(AE145+AF145+AG145,"n.b."))</f>
        <v/>
      </c>
      <c r="BG145" s="124" t="str">
        <f>IF($B145="","",IFERROR(AH145+AI145+AJ145,"n.b."))</f>
        <v/>
      </c>
      <c r="BH145" s="124" t="str">
        <f>IF($B145="","",IFERROR(AK145+AL145+AM145,"n.b."))</f>
        <v/>
      </c>
      <c r="BI145" s="124" t="str">
        <f>IF($B145="","",IFERROR(SUMIF($AB$5:$AM$5,"&lt;="&amp;P_PeilMaand,AB145:AM145),"n.b."))</f>
        <v/>
      </c>
      <c r="BJ145" s="124" t="str">
        <f>IF($B145="","",IFERROR(SUM(AB145:AM145)-BI145,"n.b."))</f>
        <v/>
      </c>
      <c r="BK145" s="124" t="str">
        <f>IF($B145="","",IFERROR(IF(ABS(Q145-(T145+SUM(AB145:AM145)+AS145+AU145))&gt;P_Tol,1,0),1))</f>
        <v/>
      </c>
      <c r="BL145" s="124" t="str">
        <f>IF($B145="","",IFERROR(IF(ABS(AA145-(Q145-Z145))&gt;P_Tol,1,0),1))</f>
        <v/>
      </c>
      <c r="BM145" s="124" t="str">
        <f>IF($B145="","",IFERROR(IF(ABS(Z145-(T145+W145))&gt;P_Tol,1,0),1))</f>
        <v/>
      </c>
      <c r="BN145" s="124" t="str">
        <f>IF($B145="","",IFERROR(IF(ABS(W145-BI145)&gt;P_Tol,1,0),1))</f>
        <v/>
      </c>
      <c r="BO145" s="124" t="str">
        <f>IF($B145="","",IFERROR(IF(OR(ABS(R145+S145-T145)&gt;P_Tol,ABS(U145+V145-W145)&gt;P_Tol,ABS(X145+Y145-Z145)&gt;P_Tol),1,0),1))</f>
        <v/>
      </c>
      <c r="BP145" s="124" t="str">
        <f>IF($B145="","",IFERROR(IF(OR(ABS(AR145-SUM(AB145:AM145))&gt;P_Tol,ABS(AS145-(AN145+AO145+AP145+AQ145))&gt;P_Tol),1,0),1))</f>
        <v/>
      </c>
      <c r="BQ145" s="124" t="str">
        <f>IF($B145="","",IFERROR(IF(ABS(AT145)+ABS(AV145)+ABS(AW145)+ABS(AX145)+ABS(AY145)+ABS(AZ145)+ABS(BA145)+ABS(BB145)&gt;0,1,0),1))</f>
        <v/>
      </c>
      <c r="BR145" s="124" t="str">
        <f>IF($B145="","",COUNTIF(STG_ZPMW03!$B$6:$B$505,B145))</f>
        <v/>
      </c>
      <c r="BS145" s="124" t="str">
        <f>IF($B145="","",COUNTIF($B$6:$B$505,B145))</f>
        <v/>
      </c>
      <c r="BT145" s="124" t="str">
        <f>IF($B145="","",IF(BR145=0,0,IF(INDEX(STG_ZPMW03!$I$6:$I$505,MATCH(B145,STG_ZPMW03!$B$6:$B$505,0))=J145&amp;"",0,1)))</f>
        <v/>
      </c>
      <c r="BU145" s="124" t="str">
        <f>IF($B145="","",IFERROR(IF(ABS(INDEX(Mapping!$D$5:$D$104,MATCH(B145,Mapping!$A$5:$A$104,0))-Q145)&gt;P_Tol,1,0),0))</f>
        <v/>
      </c>
      <c r="BV145" s="124" t="str">
        <f>IF($B145="","",IFERROR(IF(AND(INDEX(Mapping!$G$5:$G$104,MATCH(B145,Mapping!$A$5:$A$104,0))="Nee",ABS(Q145)+ABS(Z145)+ABS(AR145)&gt;0),1,0),0))</f>
        <v/>
      </c>
      <c r="BW145" s="124" t="str">
        <f>IF($B145="","",IF(COUNTIF(Mapping!$A$5:$A$104,B145)&gt;0,1,0))</f>
        <v/>
      </c>
      <c r="BX145" s="124" t="str">
        <f>IF($B145="","",IF(BR145=0,COUNTIF($BR$6:BR145,0),""))</f>
        <v/>
      </c>
    </row>
    <row r="146">
      <c r="A146" s="15" t="n">
        <v>142</v>
      </c>
      <c r="B146" t="str">
        <f>IF(B$3=0,"",IF(INDEX(SRC_Woningetalage!$A$1:$ZZ$501,$A146,B$3)&amp;""="","",INDEX(SRC_Woningetalage!$A$1:$ZZ$501,$A146,B$3)&amp;""))</f>
        <v/>
      </c>
      <c r="C146" t="str">
        <f>IF($B146="","",IF(C$3=0,"n.b.",INDEX(SRC_Woningetalage!$A$1:$ZZ$501,$A146,C$3)))</f>
        <v/>
      </c>
      <c r="D146" t="str">
        <f>IF($B146="","",IF(D$3=0,"n.b.",INDEX(SRC_Woningetalage!$A$1:$ZZ$501,$A146,D$3)))</f>
        <v/>
      </c>
      <c r="E146" t="str">
        <f>IF($B146="","",IF(E$3=0,"n.b.",INDEX(SRC_Woningetalage!$A$1:$ZZ$501,$A146,E$3)))</f>
        <v/>
      </c>
      <c r="F146" t="str">
        <f>IF($B146="","",IF(F$3=0,"n.b.",INDEX(SRC_Woningetalage!$A$1:$ZZ$501,$A146,F$3)))</f>
        <v/>
      </c>
      <c r="G146" t="str">
        <f>IF($B146="","",IF(G$3=0,"n.b.",INDEX(SRC_Woningetalage!$A$1:$ZZ$501,$A146,G$3)))</f>
        <v/>
      </c>
      <c r="H146" t="str">
        <f>IF($B146="","",IF(H$3=0,"n.b.",INDEX(SRC_Woningetalage!$A$1:$ZZ$501,$A146,H$3)))</f>
        <v/>
      </c>
      <c r="I146" t="str">
        <f>IF($B146="","",IF(I$3=0,"n.b.",INDEX(SRC_Woningetalage!$A$1:$ZZ$501,$A146,I$3)))</f>
        <v/>
      </c>
      <c r="J146" t="str">
        <f>IF($B146="","",IF(J$3=0,"n.b.",INDEX(SRC_Woningetalage!$A$1:$ZZ$501,$A146,J$3)))</f>
        <v/>
      </c>
      <c r="K146" t="str">
        <f>IF($B146="","",IF(K$3=0,"n.b.",INDEX(SRC_Woningetalage!$A$1:$ZZ$501,$A146,K$3)))</f>
        <v/>
      </c>
      <c r="L146" t="str">
        <f>IF($B146="","",IF(L$3=0,"n.b.",INDEX(SRC_Woningetalage!$A$1:$ZZ$501,$A146,L$3)))</f>
        <v/>
      </c>
      <c r="M146" t="str">
        <f>IF($B146="","",IF(M$3=0,"n.b.",INDEX(SRC_Woningetalage!$A$1:$ZZ$501,$A146,M$3)))</f>
        <v/>
      </c>
      <c r="N146" t="str">
        <f>IF($B146="","",IF(N$3=0,"n.b.",INDEX(SRC_Woningetalage!$A$1:$ZZ$501,$A146,N$3)))</f>
        <v/>
      </c>
      <c r="O146" t="str">
        <f>IF($B146="","",IF(O$3=0,"n.b.",INDEX(SRC_Woningetalage!$A$1:$ZZ$501,$A146,O$3)))</f>
        <v/>
      </c>
      <c r="P146" t="str">
        <f>IF($B146="","",IF(P$3=0,"n.b.",INDEX(SRC_Woningetalage!$A$1:$ZZ$501,$A146,P$3)))</f>
        <v/>
      </c>
      <c r="Q146" s="124" t="str">
        <f>IF($B146="","",IF(Q$3=0,"n.b.",INDEX(SRC_Woningetalage!$A$1:$ZZ$501,$A146,Q$3)))</f>
        <v/>
      </c>
      <c r="R146" s="124" t="str">
        <f>IF($B146="","",IF(R$3=0,"n.b.",INDEX(SRC_Woningetalage!$A$1:$ZZ$501,$A146,R$3)))</f>
        <v/>
      </c>
      <c r="S146" s="124" t="str">
        <f>IF($B146="","",IF(S$3=0,"n.b.",INDEX(SRC_Woningetalage!$A$1:$ZZ$501,$A146,S$3)))</f>
        <v/>
      </c>
      <c r="T146" s="124" t="str">
        <f>IF($B146="","",IF(T$3=0,"n.b.",INDEX(SRC_Woningetalage!$A$1:$ZZ$501,$A146,T$3)))</f>
        <v/>
      </c>
      <c r="U146" s="124" t="str">
        <f>IF($B146="","",IF(U$3=0,"n.b.",INDEX(SRC_Woningetalage!$A$1:$ZZ$501,$A146,U$3)))</f>
        <v/>
      </c>
      <c r="V146" s="124" t="str">
        <f>IF($B146="","",IF(V$3=0,"n.b.",INDEX(SRC_Woningetalage!$A$1:$ZZ$501,$A146,V$3)))</f>
        <v/>
      </c>
      <c r="W146" s="124" t="str">
        <f>IF($B146="","",IF(W$3=0,"n.b.",INDEX(SRC_Woningetalage!$A$1:$ZZ$501,$A146,W$3)))</f>
        <v/>
      </c>
      <c r="X146" s="124" t="str">
        <f>IF($B146="","",IF(X$3=0,"n.b.",INDEX(SRC_Woningetalage!$A$1:$ZZ$501,$A146,X$3)))</f>
        <v/>
      </c>
      <c r="Y146" s="124" t="str">
        <f>IF($B146="","",IF(Y$3=0,"n.b.",INDEX(SRC_Woningetalage!$A$1:$ZZ$501,$A146,Y$3)))</f>
        <v/>
      </c>
      <c r="Z146" s="124" t="str">
        <f>IF($B146="","",IF(Z$3=0,"n.b.",INDEX(SRC_Woningetalage!$A$1:$ZZ$501,$A146,Z$3)))</f>
        <v/>
      </c>
      <c r="AA146" s="124" t="str">
        <f>IF($B146="","",IF(AA$3=0,"n.b.",INDEX(SRC_Woningetalage!$A$1:$ZZ$501,$A146,AA$3)))</f>
        <v/>
      </c>
      <c r="AB146" s="124" t="str">
        <f>IF($B146="","",IF(AB$3=0,"n.b.",INDEX(SRC_Woningetalage!$A$1:$ZZ$501,$A146,AB$3)))</f>
        <v/>
      </c>
      <c r="AC146" s="124" t="str">
        <f>IF($B146="","",IF(AC$3=0,"n.b.",INDEX(SRC_Woningetalage!$A$1:$ZZ$501,$A146,AC$3)))</f>
        <v/>
      </c>
      <c r="AD146" s="124" t="str">
        <f>IF($B146="","",IF(AD$3=0,"n.b.",INDEX(SRC_Woningetalage!$A$1:$ZZ$501,$A146,AD$3)))</f>
        <v/>
      </c>
      <c r="AE146" s="124" t="str">
        <f>IF($B146="","",IF(AE$3=0,"n.b.",INDEX(SRC_Woningetalage!$A$1:$ZZ$501,$A146,AE$3)))</f>
        <v/>
      </c>
      <c r="AF146" s="124" t="str">
        <f>IF($B146="","",IF(AF$3=0,"n.b.",INDEX(SRC_Woningetalage!$A$1:$ZZ$501,$A146,AF$3)))</f>
        <v/>
      </c>
      <c r="AG146" s="124" t="str">
        <f>IF($B146="","",IF(AG$3=0,"n.b.",INDEX(SRC_Woningetalage!$A$1:$ZZ$501,$A146,AG$3)))</f>
        <v/>
      </c>
      <c r="AH146" s="124" t="str">
        <f>IF($B146="","",IF(AH$3=0,"n.b.",INDEX(SRC_Woningetalage!$A$1:$ZZ$501,$A146,AH$3)))</f>
        <v/>
      </c>
      <c r="AI146" s="124" t="str">
        <f>IF($B146="","",IF(AI$3=0,"n.b.",INDEX(SRC_Woningetalage!$A$1:$ZZ$501,$A146,AI$3)))</f>
        <v/>
      </c>
      <c r="AJ146" s="124" t="str">
        <f>IF($B146="","",IF(AJ$3=0,"n.b.",INDEX(SRC_Woningetalage!$A$1:$ZZ$501,$A146,AJ$3)))</f>
        <v/>
      </c>
      <c r="AK146" s="124" t="str">
        <f>IF($B146="","",IF(AK$3=0,"n.b.",INDEX(SRC_Woningetalage!$A$1:$ZZ$501,$A146,AK$3)))</f>
        <v/>
      </c>
      <c r="AL146" s="124" t="str">
        <f>IF($B146="","",IF(AL$3=0,"n.b.",INDEX(SRC_Woningetalage!$A$1:$ZZ$501,$A146,AL$3)))</f>
        <v/>
      </c>
      <c r="AM146" s="124" t="str">
        <f>IF($B146="","",IF(AM$3=0,"n.b.",INDEX(SRC_Woningetalage!$A$1:$ZZ$501,$A146,AM$3)))</f>
        <v/>
      </c>
      <c r="AN146" s="124" t="str">
        <f>IF($B146="","",IF(AN$3=0,"n.b.",INDEX(SRC_Woningetalage!$A$1:$ZZ$501,$A146,AN$3)))</f>
        <v/>
      </c>
      <c r="AO146" s="124" t="str">
        <f>IF($B146="","",IF(AO$3=0,"n.b.",INDEX(SRC_Woningetalage!$A$1:$ZZ$501,$A146,AO$3)))</f>
        <v/>
      </c>
      <c r="AP146" s="124" t="str">
        <f>IF($B146="","",IF(AP$3=0,"n.b.",INDEX(SRC_Woningetalage!$A$1:$ZZ$501,$A146,AP$3)))</f>
        <v/>
      </c>
      <c r="AQ146" s="124" t="str">
        <f>IF($B146="","",IF(AQ$3=0,"n.b.",INDEX(SRC_Woningetalage!$A$1:$ZZ$501,$A146,AQ$3)))</f>
        <v/>
      </c>
      <c r="AR146" s="124" t="str">
        <f>IF($B146="","",IF(AR$3=0,"n.b.",INDEX(SRC_Woningetalage!$A$1:$ZZ$501,$A146,AR$3)))</f>
        <v/>
      </c>
      <c r="AS146" s="124" t="str">
        <f>IF($B146="","",IF(AS$3=0,"n.b.",INDEX(SRC_Woningetalage!$A$1:$ZZ$501,$A146,AS$3)))</f>
        <v/>
      </c>
      <c r="AT146" s="124" t="str">
        <f>IF($B146="","",IF(AT$3=0,"n.b.",INDEX(SRC_Woningetalage!$A$1:$ZZ$501,$A146,AT$3)))</f>
        <v/>
      </c>
      <c r="AU146" s="124" t="str">
        <f>IF($B146="","",IF(AU$3=0,"n.b.",INDEX(SRC_Woningetalage!$A$1:$ZZ$501,$A146,AU$3)))</f>
        <v/>
      </c>
      <c r="AV146" s="124" t="str">
        <f>IF($B146="","",IF(AV$3=0,"n.b.",INDEX(SRC_Woningetalage!$A$1:$ZZ$501,$A146,AV$3)))</f>
        <v/>
      </c>
      <c r="AW146" s="124" t="str">
        <f>IF($B146="","",IF(AW$3=0,"n.b.",INDEX(SRC_Woningetalage!$A$1:$ZZ$501,$A146,AW$3)))</f>
        <v/>
      </c>
      <c r="AX146" s="124" t="str">
        <f>IF($B146="","",IF(AX$3=0,"n.b.",INDEX(SRC_Woningetalage!$A$1:$ZZ$501,$A146,AX$3)))</f>
        <v/>
      </c>
      <c r="AY146" s="124" t="str">
        <f>IF($B146="","",IF(AY$3=0,"n.b.",INDEX(SRC_Woningetalage!$A$1:$ZZ$501,$A146,AY$3)))</f>
        <v/>
      </c>
      <c r="AZ146" s="124" t="str">
        <f>IF($B146="","",IF(AZ$3=0,"n.b.",INDEX(SRC_Woningetalage!$A$1:$ZZ$501,$A146,AZ$3)))</f>
        <v/>
      </c>
      <c r="BA146" s="124" t="str">
        <f>IF($B146="","",IF(BA$3=0,"n.b.",INDEX(SRC_Woningetalage!$A$1:$ZZ$501,$A146,BA$3)))</f>
        <v/>
      </c>
      <c r="BB146" s="124" t="str">
        <f>IF($B146="","",IF(BB$3=0,"n.b.",INDEX(SRC_Woningetalage!$A$1:$ZZ$501,$A146,BB$3)))</f>
        <v/>
      </c>
      <c r="BC146" s="124" t="str">
        <f>IF($B146="","",IFERROR(_xlfn.NUMBERVALUE(E146&amp;"",",","."),"n.b."))</f>
        <v/>
      </c>
      <c r="BD146" s="124" t="str">
        <f>IF($B146="","",IFERROR(_xlfn.NUMBERVALUE(M146&amp;"",",","."),"n.b."))</f>
        <v/>
      </c>
      <c r="BE146" s="124" t="str">
        <f>IF($B146="","",IFERROR(AB146+AC146+AD146,"n.b."))</f>
        <v/>
      </c>
      <c r="BF146" s="124" t="str">
        <f>IF($B146="","",IFERROR(AE146+AF146+AG146,"n.b."))</f>
        <v/>
      </c>
      <c r="BG146" s="124" t="str">
        <f>IF($B146="","",IFERROR(AH146+AI146+AJ146,"n.b."))</f>
        <v/>
      </c>
      <c r="BH146" s="124" t="str">
        <f>IF($B146="","",IFERROR(AK146+AL146+AM146,"n.b."))</f>
        <v/>
      </c>
      <c r="BI146" s="124" t="str">
        <f>IF($B146="","",IFERROR(SUMIF($AB$5:$AM$5,"&lt;="&amp;P_PeilMaand,AB146:AM146),"n.b."))</f>
        <v/>
      </c>
      <c r="BJ146" s="124" t="str">
        <f>IF($B146="","",IFERROR(SUM(AB146:AM146)-BI146,"n.b."))</f>
        <v/>
      </c>
      <c r="BK146" s="124" t="str">
        <f>IF($B146="","",IFERROR(IF(ABS(Q146-(T146+SUM(AB146:AM146)+AS146+AU146))&gt;P_Tol,1,0),1))</f>
        <v/>
      </c>
      <c r="BL146" s="124" t="str">
        <f>IF($B146="","",IFERROR(IF(ABS(AA146-(Q146-Z146))&gt;P_Tol,1,0),1))</f>
        <v/>
      </c>
      <c r="BM146" s="124" t="str">
        <f>IF($B146="","",IFERROR(IF(ABS(Z146-(T146+W146))&gt;P_Tol,1,0),1))</f>
        <v/>
      </c>
      <c r="BN146" s="124" t="str">
        <f>IF($B146="","",IFERROR(IF(ABS(W146-BI146)&gt;P_Tol,1,0),1))</f>
        <v/>
      </c>
      <c r="BO146" s="124" t="str">
        <f>IF($B146="","",IFERROR(IF(OR(ABS(R146+S146-T146)&gt;P_Tol,ABS(U146+V146-W146)&gt;P_Tol,ABS(X146+Y146-Z146)&gt;P_Tol),1,0),1))</f>
        <v/>
      </c>
      <c r="BP146" s="124" t="str">
        <f>IF($B146="","",IFERROR(IF(OR(ABS(AR146-SUM(AB146:AM146))&gt;P_Tol,ABS(AS146-(AN146+AO146+AP146+AQ146))&gt;P_Tol),1,0),1))</f>
        <v/>
      </c>
      <c r="BQ146" s="124" t="str">
        <f>IF($B146="","",IFERROR(IF(ABS(AT146)+ABS(AV146)+ABS(AW146)+ABS(AX146)+ABS(AY146)+ABS(AZ146)+ABS(BA146)+ABS(BB146)&gt;0,1,0),1))</f>
        <v/>
      </c>
      <c r="BR146" s="124" t="str">
        <f>IF($B146="","",COUNTIF(STG_ZPMW03!$B$6:$B$505,B146))</f>
        <v/>
      </c>
      <c r="BS146" s="124" t="str">
        <f>IF($B146="","",COUNTIF($B$6:$B$505,B146))</f>
        <v/>
      </c>
      <c r="BT146" s="124" t="str">
        <f>IF($B146="","",IF(BR146=0,0,IF(INDEX(STG_ZPMW03!$I$6:$I$505,MATCH(B146,STG_ZPMW03!$B$6:$B$505,0))=J146&amp;"",0,1)))</f>
        <v/>
      </c>
      <c r="BU146" s="124" t="str">
        <f>IF($B146="","",IFERROR(IF(ABS(INDEX(Mapping!$D$5:$D$104,MATCH(B146,Mapping!$A$5:$A$104,0))-Q146)&gt;P_Tol,1,0),0))</f>
        <v/>
      </c>
      <c r="BV146" s="124" t="str">
        <f>IF($B146="","",IFERROR(IF(AND(INDEX(Mapping!$G$5:$G$104,MATCH(B146,Mapping!$A$5:$A$104,0))="Nee",ABS(Q146)+ABS(Z146)+ABS(AR146)&gt;0),1,0),0))</f>
        <v/>
      </c>
      <c r="BW146" s="124" t="str">
        <f>IF($B146="","",IF(COUNTIF(Mapping!$A$5:$A$104,B146)&gt;0,1,0))</f>
        <v/>
      </c>
      <c r="BX146" s="124" t="str">
        <f>IF($B146="","",IF(BR146=0,COUNTIF($BR$6:BR146,0),""))</f>
        <v/>
      </c>
    </row>
    <row r="147">
      <c r="A147" s="15" t="n">
        <v>143</v>
      </c>
      <c r="B147" t="str">
        <f>IF(B$3=0,"",IF(INDEX(SRC_Woningetalage!$A$1:$ZZ$501,$A147,B$3)&amp;""="","",INDEX(SRC_Woningetalage!$A$1:$ZZ$501,$A147,B$3)&amp;""))</f>
        <v/>
      </c>
      <c r="C147" t="str">
        <f>IF($B147="","",IF(C$3=0,"n.b.",INDEX(SRC_Woningetalage!$A$1:$ZZ$501,$A147,C$3)))</f>
        <v/>
      </c>
      <c r="D147" t="str">
        <f>IF($B147="","",IF(D$3=0,"n.b.",INDEX(SRC_Woningetalage!$A$1:$ZZ$501,$A147,D$3)))</f>
        <v/>
      </c>
      <c r="E147" t="str">
        <f>IF($B147="","",IF(E$3=0,"n.b.",INDEX(SRC_Woningetalage!$A$1:$ZZ$501,$A147,E$3)))</f>
        <v/>
      </c>
      <c r="F147" t="str">
        <f>IF($B147="","",IF(F$3=0,"n.b.",INDEX(SRC_Woningetalage!$A$1:$ZZ$501,$A147,F$3)))</f>
        <v/>
      </c>
      <c r="G147" t="str">
        <f>IF($B147="","",IF(G$3=0,"n.b.",INDEX(SRC_Woningetalage!$A$1:$ZZ$501,$A147,G$3)))</f>
        <v/>
      </c>
      <c r="H147" t="str">
        <f>IF($B147="","",IF(H$3=0,"n.b.",INDEX(SRC_Woningetalage!$A$1:$ZZ$501,$A147,H$3)))</f>
        <v/>
      </c>
      <c r="I147" t="str">
        <f>IF($B147="","",IF(I$3=0,"n.b.",INDEX(SRC_Woningetalage!$A$1:$ZZ$501,$A147,I$3)))</f>
        <v/>
      </c>
      <c r="J147" t="str">
        <f>IF($B147="","",IF(J$3=0,"n.b.",INDEX(SRC_Woningetalage!$A$1:$ZZ$501,$A147,J$3)))</f>
        <v/>
      </c>
      <c r="K147" t="str">
        <f>IF($B147="","",IF(K$3=0,"n.b.",INDEX(SRC_Woningetalage!$A$1:$ZZ$501,$A147,K$3)))</f>
        <v/>
      </c>
      <c r="L147" t="str">
        <f>IF($B147="","",IF(L$3=0,"n.b.",INDEX(SRC_Woningetalage!$A$1:$ZZ$501,$A147,L$3)))</f>
        <v/>
      </c>
      <c r="M147" t="str">
        <f>IF($B147="","",IF(M$3=0,"n.b.",INDEX(SRC_Woningetalage!$A$1:$ZZ$501,$A147,M$3)))</f>
        <v/>
      </c>
      <c r="N147" t="str">
        <f>IF($B147="","",IF(N$3=0,"n.b.",INDEX(SRC_Woningetalage!$A$1:$ZZ$501,$A147,N$3)))</f>
        <v/>
      </c>
      <c r="O147" t="str">
        <f>IF($B147="","",IF(O$3=0,"n.b.",INDEX(SRC_Woningetalage!$A$1:$ZZ$501,$A147,O$3)))</f>
        <v/>
      </c>
      <c r="P147" t="str">
        <f>IF($B147="","",IF(P$3=0,"n.b.",INDEX(SRC_Woningetalage!$A$1:$ZZ$501,$A147,P$3)))</f>
        <v/>
      </c>
      <c r="Q147" s="124" t="str">
        <f>IF($B147="","",IF(Q$3=0,"n.b.",INDEX(SRC_Woningetalage!$A$1:$ZZ$501,$A147,Q$3)))</f>
        <v/>
      </c>
      <c r="R147" s="124" t="str">
        <f>IF($B147="","",IF(R$3=0,"n.b.",INDEX(SRC_Woningetalage!$A$1:$ZZ$501,$A147,R$3)))</f>
        <v/>
      </c>
      <c r="S147" s="124" t="str">
        <f>IF($B147="","",IF(S$3=0,"n.b.",INDEX(SRC_Woningetalage!$A$1:$ZZ$501,$A147,S$3)))</f>
        <v/>
      </c>
      <c r="T147" s="124" t="str">
        <f>IF($B147="","",IF(T$3=0,"n.b.",INDEX(SRC_Woningetalage!$A$1:$ZZ$501,$A147,T$3)))</f>
        <v/>
      </c>
      <c r="U147" s="124" t="str">
        <f>IF($B147="","",IF(U$3=0,"n.b.",INDEX(SRC_Woningetalage!$A$1:$ZZ$501,$A147,U$3)))</f>
        <v/>
      </c>
      <c r="V147" s="124" t="str">
        <f>IF($B147="","",IF(V$3=0,"n.b.",INDEX(SRC_Woningetalage!$A$1:$ZZ$501,$A147,V$3)))</f>
        <v/>
      </c>
      <c r="W147" s="124" t="str">
        <f>IF($B147="","",IF(W$3=0,"n.b.",INDEX(SRC_Woningetalage!$A$1:$ZZ$501,$A147,W$3)))</f>
        <v/>
      </c>
      <c r="X147" s="124" t="str">
        <f>IF($B147="","",IF(X$3=0,"n.b.",INDEX(SRC_Woningetalage!$A$1:$ZZ$501,$A147,X$3)))</f>
        <v/>
      </c>
      <c r="Y147" s="124" t="str">
        <f>IF($B147="","",IF(Y$3=0,"n.b.",INDEX(SRC_Woningetalage!$A$1:$ZZ$501,$A147,Y$3)))</f>
        <v/>
      </c>
      <c r="Z147" s="124" t="str">
        <f>IF($B147="","",IF(Z$3=0,"n.b.",INDEX(SRC_Woningetalage!$A$1:$ZZ$501,$A147,Z$3)))</f>
        <v/>
      </c>
      <c r="AA147" s="124" t="str">
        <f>IF($B147="","",IF(AA$3=0,"n.b.",INDEX(SRC_Woningetalage!$A$1:$ZZ$501,$A147,AA$3)))</f>
        <v/>
      </c>
      <c r="AB147" s="124" t="str">
        <f>IF($B147="","",IF(AB$3=0,"n.b.",INDEX(SRC_Woningetalage!$A$1:$ZZ$501,$A147,AB$3)))</f>
        <v/>
      </c>
      <c r="AC147" s="124" t="str">
        <f>IF($B147="","",IF(AC$3=0,"n.b.",INDEX(SRC_Woningetalage!$A$1:$ZZ$501,$A147,AC$3)))</f>
        <v/>
      </c>
      <c r="AD147" s="124" t="str">
        <f>IF($B147="","",IF(AD$3=0,"n.b.",INDEX(SRC_Woningetalage!$A$1:$ZZ$501,$A147,AD$3)))</f>
        <v/>
      </c>
      <c r="AE147" s="124" t="str">
        <f>IF($B147="","",IF(AE$3=0,"n.b.",INDEX(SRC_Woningetalage!$A$1:$ZZ$501,$A147,AE$3)))</f>
        <v/>
      </c>
      <c r="AF147" s="124" t="str">
        <f>IF($B147="","",IF(AF$3=0,"n.b.",INDEX(SRC_Woningetalage!$A$1:$ZZ$501,$A147,AF$3)))</f>
        <v/>
      </c>
      <c r="AG147" s="124" t="str">
        <f>IF($B147="","",IF(AG$3=0,"n.b.",INDEX(SRC_Woningetalage!$A$1:$ZZ$501,$A147,AG$3)))</f>
        <v/>
      </c>
      <c r="AH147" s="124" t="str">
        <f>IF($B147="","",IF(AH$3=0,"n.b.",INDEX(SRC_Woningetalage!$A$1:$ZZ$501,$A147,AH$3)))</f>
        <v/>
      </c>
      <c r="AI147" s="124" t="str">
        <f>IF($B147="","",IF(AI$3=0,"n.b.",INDEX(SRC_Woningetalage!$A$1:$ZZ$501,$A147,AI$3)))</f>
        <v/>
      </c>
      <c r="AJ147" s="124" t="str">
        <f>IF($B147="","",IF(AJ$3=0,"n.b.",INDEX(SRC_Woningetalage!$A$1:$ZZ$501,$A147,AJ$3)))</f>
        <v/>
      </c>
      <c r="AK147" s="124" t="str">
        <f>IF($B147="","",IF(AK$3=0,"n.b.",INDEX(SRC_Woningetalage!$A$1:$ZZ$501,$A147,AK$3)))</f>
        <v/>
      </c>
      <c r="AL147" s="124" t="str">
        <f>IF($B147="","",IF(AL$3=0,"n.b.",INDEX(SRC_Woningetalage!$A$1:$ZZ$501,$A147,AL$3)))</f>
        <v/>
      </c>
      <c r="AM147" s="124" t="str">
        <f>IF($B147="","",IF(AM$3=0,"n.b.",INDEX(SRC_Woningetalage!$A$1:$ZZ$501,$A147,AM$3)))</f>
        <v/>
      </c>
      <c r="AN147" s="124" t="str">
        <f>IF($B147="","",IF(AN$3=0,"n.b.",INDEX(SRC_Woningetalage!$A$1:$ZZ$501,$A147,AN$3)))</f>
        <v/>
      </c>
      <c r="AO147" s="124" t="str">
        <f>IF($B147="","",IF(AO$3=0,"n.b.",INDEX(SRC_Woningetalage!$A$1:$ZZ$501,$A147,AO$3)))</f>
        <v/>
      </c>
      <c r="AP147" s="124" t="str">
        <f>IF($B147="","",IF(AP$3=0,"n.b.",INDEX(SRC_Woningetalage!$A$1:$ZZ$501,$A147,AP$3)))</f>
        <v/>
      </c>
      <c r="AQ147" s="124" t="str">
        <f>IF($B147="","",IF(AQ$3=0,"n.b.",INDEX(SRC_Woningetalage!$A$1:$ZZ$501,$A147,AQ$3)))</f>
        <v/>
      </c>
      <c r="AR147" s="124" t="str">
        <f>IF($B147="","",IF(AR$3=0,"n.b.",INDEX(SRC_Woningetalage!$A$1:$ZZ$501,$A147,AR$3)))</f>
        <v/>
      </c>
      <c r="AS147" s="124" t="str">
        <f>IF($B147="","",IF(AS$3=0,"n.b.",INDEX(SRC_Woningetalage!$A$1:$ZZ$501,$A147,AS$3)))</f>
        <v/>
      </c>
      <c r="AT147" s="124" t="str">
        <f>IF($B147="","",IF(AT$3=0,"n.b.",INDEX(SRC_Woningetalage!$A$1:$ZZ$501,$A147,AT$3)))</f>
        <v/>
      </c>
      <c r="AU147" s="124" t="str">
        <f>IF($B147="","",IF(AU$3=0,"n.b.",INDEX(SRC_Woningetalage!$A$1:$ZZ$501,$A147,AU$3)))</f>
        <v/>
      </c>
      <c r="AV147" s="124" t="str">
        <f>IF($B147="","",IF(AV$3=0,"n.b.",INDEX(SRC_Woningetalage!$A$1:$ZZ$501,$A147,AV$3)))</f>
        <v/>
      </c>
      <c r="AW147" s="124" t="str">
        <f>IF($B147="","",IF(AW$3=0,"n.b.",INDEX(SRC_Woningetalage!$A$1:$ZZ$501,$A147,AW$3)))</f>
        <v/>
      </c>
      <c r="AX147" s="124" t="str">
        <f>IF($B147="","",IF(AX$3=0,"n.b.",INDEX(SRC_Woningetalage!$A$1:$ZZ$501,$A147,AX$3)))</f>
        <v/>
      </c>
      <c r="AY147" s="124" t="str">
        <f>IF($B147="","",IF(AY$3=0,"n.b.",INDEX(SRC_Woningetalage!$A$1:$ZZ$501,$A147,AY$3)))</f>
        <v/>
      </c>
      <c r="AZ147" s="124" t="str">
        <f>IF($B147="","",IF(AZ$3=0,"n.b.",INDEX(SRC_Woningetalage!$A$1:$ZZ$501,$A147,AZ$3)))</f>
        <v/>
      </c>
      <c r="BA147" s="124" t="str">
        <f>IF($B147="","",IF(BA$3=0,"n.b.",INDEX(SRC_Woningetalage!$A$1:$ZZ$501,$A147,BA$3)))</f>
        <v/>
      </c>
      <c r="BB147" s="124" t="str">
        <f>IF($B147="","",IF(BB$3=0,"n.b.",INDEX(SRC_Woningetalage!$A$1:$ZZ$501,$A147,BB$3)))</f>
        <v/>
      </c>
      <c r="BC147" s="124" t="str">
        <f>IF($B147="","",IFERROR(_xlfn.NUMBERVALUE(E147&amp;"",",","."),"n.b."))</f>
        <v/>
      </c>
      <c r="BD147" s="124" t="str">
        <f>IF($B147="","",IFERROR(_xlfn.NUMBERVALUE(M147&amp;"",",","."),"n.b."))</f>
        <v/>
      </c>
      <c r="BE147" s="124" t="str">
        <f>IF($B147="","",IFERROR(AB147+AC147+AD147,"n.b."))</f>
        <v/>
      </c>
      <c r="BF147" s="124" t="str">
        <f>IF($B147="","",IFERROR(AE147+AF147+AG147,"n.b."))</f>
        <v/>
      </c>
      <c r="BG147" s="124" t="str">
        <f>IF($B147="","",IFERROR(AH147+AI147+AJ147,"n.b."))</f>
        <v/>
      </c>
      <c r="BH147" s="124" t="str">
        <f>IF($B147="","",IFERROR(AK147+AL147+AM147,"n.b."))</f>
        <v/>
      </c>
      <c r="BI147" s="124" t="str">
        <f>IF($B147="","",IFERROR(SUMIF($AB$5:$AM$5,"&lt;="&amp;P_PeilMaand,AB147:AM147),"n.b."))</f>
        <v/>
      </c>
      <c r="BJ147" s="124" t="str">
        <f>IF($B147="","",IFERROR(SUM(AB147:AM147)-BI147,"n.b."))</f>
        <v/>
      </c>
      <c r="BK147" s="124" t="str">
        <f>IF($B147="","",IFERROR(IF(ABS(Q147-(T147+SUM(AB147:AM147)+AS147+AU147))&gt;P_Tol,1,0),1))</f>
        <v/>
      </c>
      <c r="BL147" s="124" t="str">
        <f>IF($B147="","",IFERROR(IF(ABS(AA147-(Q147-Z147))&gt;P_Tol,1,0),1))</f>
        <v/>
      </c>
      <c r="BM147" s="124" t="str">
        <f>IF($B147="","",IFERROR(IF(ABS(Z147-(T147+W147))&gt;P_Tol,1,0),1))</f>
        <v/>
      </c>
      <c r="BN147" s="124" t="str">
        <f>IF($B147="","",IFERROR(IF(ABS(W147-BI147)&gt;P_Tol,1,0),1))</f>
        <v/>
      </c>
      <c r="BO147" s="124" t="str">
        <f>IF($B147="","",IFERROR(IF(OR(ABS(R147+S147-T147)&gt;P_Tol,ABS(U147+V147-W147)&gt;P_Tol,ABS(X147+Y147-Z147)&gt;P_Tol),1,0),1))</f>
        <v/>
      </c>
      <c r="BP147" s="124" t="str">
        <f>IF($B147="","",IFERROR(IF(OR(ABS(AR147-SUM(AB147:AM147))&gt;P_Tol,ABS(AS147-(AN147+AO147+AP147+AQ147))&gt;P_Tol),1,0),1))</f>
        <v/>
      </c>
      <c r="BQ147" s="124" t="str">
        <f>IF($B147="","",IFERROR(IF(ABS(AT147)+ABS(AV147)+ABS(AW147)+ABS(AX147)+ABS(AY147)+ABS(AZ147)+ABS(BA147)+ABS(BB147)&gt;0,1,0),1))</f>
        <v/>
      </c>
      <c r="BR147" s="124" t="str">
        <f>IF($B147="","",COUNTIF(STG_ZPMW03!$B$6:$B$505,B147))</f>
        <v/>
      </c>
      <c r="BS147" s="124" t="str">
        <f>IF($B147="","",COUNTIF($B$6:$B$505,B147))</f>
        <v/>
      </c>
      <c r="BT147" s="124" t="str">
        <f>IF($B147="","",IF(BR147=0,0,IF(INDEX(STG_ZPMW03!$I$6:$I$505,MATCH(B147,STG_ZPMW03!$B$6:$B$505,0))=J147&amp;"",0,1)))</f>
        <v/>
      </c>
      <c r="BU147" s="124" t="str">
        <f>IF($B147="","",IFERROR(IF(ABS(INDEX(Mapping!$D$5:$D$104,MATCH(B147,Mapping!$A$5:$A$104,0))-Q147)&gt;P_Tol,1,0),0))</f>
        <v/>
      </c>
      <c r="BV147" s="124" t="str">
        <f>IF($B147="","",IFERROR(IF(AND(INDEX(Mapping!$G$5:$G$104,MATCH(B147,Mapping!$A$5:$A$104,0))="Nee",ABS(Q147)+ABS(Z147)+ABS(AR147)&gt;0),1,0),0))</f>
        <v/>
      </c>
      <c r="BW147" s="124" t="str">
        <f>IF($B147="","",IF(COUNTIF(Mapping!$A$5:$A$104,B147)&gt;0,1,0))</f>
        <v/>
      </c>
      <c r="BX147" s="124" t="str">
        <f>IF($B147="","",IF(BR147=0,COUNTIF($BR$6:BR147,0),""))</f>
        <v/>
      </c>
    </row>
    <row r="148">
      <c r="A148" s="15" t="n">
        <v>144</v>
      </c>
      <c r="B148" t="str">
        <f>IF(B$3=0,"",IF(INDEX(SRC_Woningetalage!$A$1:$ZZ$501,$A148,B$3)&amp;""="","",INDEX(SRC_Woningetalage!$A$1:$ZZ$501,$A148,B$3)&amp;""))</f>
        <v/>
      </c>
      <c r="C148" t="str">
        <f>IF($B148="","",IF(C$3=0,"n.b.",INDEX(SRC_Woningetalage!$A$1:$ZZ$501,$A148,C$3)))</f>
        <v/>
      </c>
      <c r="D148" t="str">
        <f>IF($B148="","",IF(D$3=0,"n.b.",INDEX(SRC_Woningetalage!$A$1:$ZZ$501,$A148,D$3)))</f>
        <v/>
      </c>
      <c r="E148" t="str">
        <f>IF($B148="","",IF(E$3=0,"n.b.",INDEX(SRC_Woningetalage!$A$1:$ZZ$501,$A148,E$3)))</f>
        <v/>
      </c>
      <c r="F148" t="str">
        <f>IF($B148="","",IF(F$3=0,"n.b.",INDEX(SRC_Woningetalage!$A$1:$ZZ$501,$A148,F$3)))</f>
        <v/>
      </c>
      <c r="G148" t="str">
        <f>IF($B148="","",IF(G$3=0,"n.b.",INDEX(SRC_Woningetalage!$A$1:$ZZ$501,$A148,G$3)))</f>
        <v/>
      </c>
      <c r="H148" t="str">
        <f>IF($B148="","",IF(H$3=0,"n.b.",INDEX(SRC_Woningetalage!$A$1:$ZZ$501,$A148,H$3)))</f>
        <v/>
      </c>
      <c r="I148" t="str">
        <f>IF($B148="","",IF(I$3=0,"n.b.",INDEX(SRC_Woningetalage!$A$1:$ZZ$501,$A148,I$3)))</f>
        <v/>
      </c>
      <c r="J148" t="str">
        <f>IF($B148="","",IF(J$3=0,"n.b.",INDEX(SRC_Woningetalage!$A$1:$ZZ$501,$A148,J$3)))</f>
        <v/>
      </c>
      <c r="K148" t="str">
        <f>IF($B148="","",IF(K$3=0,"n.b.",INDEX(SRC_Woningetalage!$A$1:$ZZ$501,$A148,K$3)))</f>
        <v/>
      </c>
      <c r="L148" t="str">
        <f>IF($B148="","",IF(L$3=0,"n.b.",INDEX(SRC_Woningetalage!$A$1:$ZZ$501,$A148,L$3)))</f>
        <v/>
      </c>
      <c r="M148" t="str">
        <f>IF($B148="","",IF(M$3=0,"n.b.",INDEX(SRC_Woningetalage!$A$1:$ZZ$501,$A148,M$3)))</f>
        <v/>
      </c>
      <c r="N148" t="str">
        <f>IF($B148="","",IF(N$3=0,"n.b.",INDEX(SRC_Woningetalage!$A$1:$ZZ$501,$A148,N$3)))</f>
        <v/>
      </c>
      <c r="O148" t="str">
        <f>IF($B148="","",IF(O$3=0,"n.b.",INDEX(SRC_Woningetalage!$A$1:$ZZ$501,$A148,O$3)))</f>
        <v/>
      </c>
      <c r="P148" t="str">
        <f>IF($B148="","",IF(P$3=0,"n.b.",INDEX(SRC_Woningetalage!$A$1:$ZZ$501,$A148,P$3)))</f>
        <v/>
      </c>
      <c r="Q148" s="124" t="str">
        <f>IF($B148="","",IF(Q$3=0,"n.b.",INDEX(SRC_Woningetalage!$A$1:$ZZ$501,$A148,Q$3)))</f>
        <v/>
      </c>
      <c r="R148" s="124" t="str">
        <f>IF($B148="","",IF(R$3=0,"n.b.",INDEX(SRC_Woningetalage!$A$1:$ZZ$501,$A148,R$3)))</f>
        <v/>
      </c>
      <c r="S148" s="124" t="str">
        <f>IF($B148="","",IF(S$3=0,"n.b.",INDEX(SRC_Woningetalage!$A$1:$ZZ$501,$A148,S$3)))</f>
        <v/>
      </c>
      <c r="T148" s="124" t="str">
        <f>IF($B148="","",IF(T$3=0,"n.b.",INDEX(SRC_Woningetalage!$A$1:$ZZ$501,$A148,T$3)))</f>
        <v/>
      </c>
      <c r="U148" s="124" t="str">
        <f>IF($B148="","",IF(U$3=0,"n.b.",INDEX(SRC_Woningetalage!$A$1:$ZZ$501,$A148,U$3)))</f>
        <v/>
      </c>
      <c r="V148" s="124" t="str">
        <f>IF($B148="","",IF(V$3=0,"n.b.",INDEX(SRC_Woningetalage!$A$1:$ZZ$501,$A148,V$3)))</f>
        <v/>
      </c>
      <c r="W148" s="124" t="str">
        <f>IF($B148="","",IF(W$3=0,"n.b.",INDEX(SRC_Woningetalage!$A$1:$ZZ$501,$A148,W$3)))</f>
        <v/>
      </c>
      <c r="X148" s="124" t="str">
        <f>IF($B148="","",IF(X$3=0,"n.b.",INDEX(SRC_Woningetalage!$A$1:$ZZ$501,$A148,X$3)))</f>
        <v/>
      </c>
      <c r="Y148" s="124" t="str">
        <f>IF($B148="","",IF(Y$3=0,"n.b.",INDEX(SRC_Woningetalage!$A$1:$ZZ$501,$A148,Y$3)))</f>
        <v/>
      </c>
      <c r="Z148" s="124" t="str">
        <f>IF($B148="","",IF(Z$3=0,"n.b.",INDEX(SRC_Woningetalage!$A$1:$ZZ$501,$A148,Z$3)))</f>
        <v/>
      </c>
      <c r="AA148" s="124" t="str">
        <f>IF($B148="","",IF(AA$3=0,"n.b.",INDEX(SRC_Woningetalage!$A$1:$ZZ$501,$A148,AA$3)))</f>
        <v/>
      </c>
      <c r="AB148" s="124" t="str">
        <f>IF($B148="","",IF(AB$3=0,"n.b.",INDEX(SRC_Woningetalage!$A$1:$ZZ$501,$A148,AB$3)))</f>
        <v/>
      </c>
      <c r="AC148" s="124" t="str">
        <f>IF($B148="","",IF(AC$3=0,"n.b.",INDEX(SRC_Woningetalage!$A$1:$ZZ$501,$A148,AC$3)))</f>
        <v/>
      </c>
      <c r="AD148" s="124" t="str">
        <f>IF($B148="","",IF(AD$3=0,"n.b.",INDEX(SRC_Woningetalage!$A$1:$ZZ$501,$A148,AD$3)))</f>
        <v/>
      </c>
      <c r="AE148" s="124" t="str">
        <f>IF($B148="","",IF(AE$3=0,"n.b.",INDEX(SRC_Woningetalage!$A$1:$ZZ$501,$A148,AE$3)))</f>
        <v/>
      </c>
      <c r="AF148" s="124" t="str">
        <f>IF($B148="","",IF(AF$3=0,"n.b.",INDEX(SRC_Woningetalage!$A$1:$ZZ$501,$A148,AF$3)))</f>
        <v/>
      </c>
      <c r="AG148" s="124" t="str">
        <f>IF($B148="","",IF(AG$3=0,"n.b.",INDEX(SRC_Woningetalage!$A$1:$ZZ$501,$A148,AG$3)))</f>
        <v/>
      </c>
      <c r="AH148" s="124" t="str">
        <f>IF($B148="","",IF(AH$3=0,"n.b.",INDEX(SRC_Woningetalage!$A$1:$ZZ$501,$A148,AH$3)))</f>
        <v/>
      </c>
      <c r="AI148" s="124" t="str">
        <f>IF($B148="","",IF(AI$3=0,"n.b.",INDEX(SRC_Woningetalage!$A$1:$ZZ$501,$A148,AI$3)))</f>
        <v/>
      </c>
      <c r="AJ148" s="124" t="str">
        <f>IF($B148="","",IF(AJ$3=0,"n.b.",INDEX(SRC_Woningetalage!$A$1:$ZZ$501,$A148,AJ$3)))</f>
        <v/>
      </c>
      <c r="AK148" s="124" t="str">
        <f>IF($B148="","",IF(AK$3=0,"n.b.",INDEX(SRC_Woningetalage!$A$1:$ZZ$501,$A148,AK$3)))</f>
        <v/>
      </c>
      <c r="AL148" s="124" t="str">
        <f>IF($B148="","",IF(AL$3=0,"n.b.",INDEX(SRC_Woningetalage!$A$1:$ZZ$501,$A148,AL$3)))</f>
        <v/>
      </c>
      <c r="AM148" s="124" t="str">
        <f>IF($B148="","",IF(AM$3=0,"n.b.",INDEX(SRC_Woningetalage!$A$1:$ZZ$501,$A148,AM$3)))</f>
        <v/>
      </c>
      <c r="AN148" s="124" t="str">
        <f>IF($B148="","",IF(AN$3=0,"n.b.",INDEX(SRC_Woningetalage!$A$1:$ZZ$501,$A148,AN$3)))</f>
        <v/>
      </c>
      <c r="AO148" s="124" t="str">
        <f>IF($B148="","",IF(AO$3=0,"n.b.",INDEX(SRC_Woningetalage!$A$1:$ZZ$501,$A148,AO$3)))</f>
        <v/>
      </c>
      <c r="AP148" s="124" t="str">
        <f>IF($B148="","",IF(AP$3=0,"n.b.",INDEX(SRC_Woningetalage!$A$1:$ZZ$501,$A148,AP$3)))</f>
        <v/>
      </c>
      <c r="AQ148" s="124" t="str">
        <f>IF($B148="","",IF(AQ$3=0,"n.b.",INDEX(SRC_Woningetalage!$A$1:$ZZ$501,$A148,AQ$3)))</f>
        <v/>
      </c>
      <c r="AR148" s="124" t="str">
        <f>IF($B148="","",IF(AR$3=0,"n.b.",INDEX(SRC_Woningetalage!$A$1:$ZZ$501,$A148,AR$3)))</f>
        <v/>
      </c>
      <c r="AS148" s="124" t="str">
        <f>IF($B148="","",IF(AS$3=0,"n.b.",INDEX(SRC_Woningetalage!$A$1:$ZZ$501,$A148,AS$3)))</f>
        <v/>
      </c>
      <c r="AT148" s="124" t="str">
        <f>IF($B148="","",IF(AT$3=0,"n.b.",INDEX(SRC_Woningetalage!$A$1:$ZZ$501,$A148,AT$3)))</f>
        <v/>
      </c>
      <c r="AU148" s="124" t="str">
        <f>IF($B148="","",IF(AU$3=0,"n.b.",INDEX(SRC_Woningetalage!$A$1:$ZZ$501,$A148,AU$3)))</f>
        <v/>
      </c>
      <c r="AV148" s="124" t="str">
        <f>IF($B148="","",IF(AV$3=0,"n.b.",INDEX(SRC_Woningetalage!$A$1:$ZZ$501,$A148,AV$3)))</f>
        <v/>
      </c>
      <c r="AW148" s="124" t="str">
        <f>IF($B148="","",IF(AW$3=0,"n.b.",INDEX(SRC_Woningetalage!$A$1:$ZZ$501,$A148,AW$3)))</f>
        <v/>
      </c>
      <c r="AX148" s="124" t="str">
        <f>IF($B148="","",IF(AX$3=0,"n.b.",INDEX(SRC_Woningetalage!$A$1:$ZZ$501,$A148,AX$3)))</f>
        <v/>
      </c>
      <c r="AY148" s="124" t="str">
        <f>IF($B148="","",IF(AY$3=0,"n.b.",INDEX(SRC_Woningetalage!$A$1:$ZZ$501,$A148,AY$3)))</f>
        <v/>
      </c>
      <c r="AZ148" s="124" t="str">
        <f>IF($B148="","",IF(AZ$3=0,"n.b.",INDEX(SRC_Woningetalage!$A$1:$ZZ$501,$A148,AZ$3)))</f>
        <v/>
      </c>
      <c r="BA148" s="124" t="str">
        <f>IF($B148="","",IF(BA$3=0,"n.b.",INDEX(SRC_Woningetalage!$A$1:$ZZ$501,$A148,BA$3)))</f>
        <v/>
      </c>
      <c r="BB148" s="124" t="str">
        <f>IF($B148="","",IF(BB$3=0,"n.b.",INDEX(SRC_Woningetalage!$A$1:$ZZ$501,$A148,BB$3)))</f>
        <v/>
      </c>
      <c r="BC148" s="124" t="str">
        <f>IF($B148="","",IFERROR(_xlfn.NUMBERVALUE(E148&amp;"",",","."),"n.b."))</f>
        <v/>
      </c>
      <c r="BD148" s="124" t="str">
        <f>IF($B148="","",IFERROR(_xlfn.NUMBERVALUE(M148&amp;"",",","."),"n.b."))</f>
        <v/>
      </c>
      <c r="BE148" s="124" t="str">
        <f>IF($B148="","",IFERROR(AB148+AC148+AD148,"n.b."))</f>
        <v/>
      </c>
      <c r="BF148" s="124" t="str">
        <f>IF($B148="","",IFERROR(AE148+AF148+AG148,"n.b."))</f>
        <v/>
      </c>
      <c r="BG148" s="124" t="str">
        <f>IF($B148="","",IFERROR(AH148+AI148+AJ148,"n.b."))</f>
        <v/>
      </c>
      <c r="BH148" s="124" t="str">
        <f>IF($B148="","",IFERROR(AK148+AL148+AM148,"n.b."))</f>
        <v/>
      </c>
      <c r="BI148" s="124" t="str">
        <f>IF($B148="","",IFERROR(SUMIF($AB$5:$AM$5,"&lt;="&amp;P_PeilMaand,AB148:AM148),"n.b."))</f>
        <v/>
      </c>
      <c r="BJ148" s="124" t="str">
        <f>IF($B148="","",IFERROR(SUM(AB148:AM148)-BI148,"n.b."))</f>
        <v/>
      </c>
      <c r="BK148" s="124" t="str">
        <f>IF($B148="","",IFERROR(IF(ABS(Q148-(T148+SUM(AB148:AM148)+AS148+AU148))&gt;P_Tol,1,0),1))</f>
        <v/>
      </c>
      <c r="BL148" s="124" t="str">
        <f>IF($B148="","",IFERROR(IF(ABS(AA148-(Q148-Z148))&gt;P_Tol,1,0),1))</f>
        <v/>
      </c>
      <c r="BM148" s="124" t="str">
        <f>IF($B148="","",IFERROR(IF(ABS(Z148-(T148+W148))&gt;P_Tol,1,0),1))</f>
        <v/>
      </c>
      <c r="BN148" s="124" t="str">
        <f>IF($B148="","",IFERROR(IF(ABS(W148-BI148)&gt;P_Tol,1,0),1))</f>
        <v/>
      </c>
      <c r="BO148" s="124" t="str">
        <f>IF($B148="","",IFERROR(IF(OR(ABS(R148+S148-T148)&gt;P_Tol,ABS(U148+V148-W148)&gt;P_Tol,ABS(X148+Y148-Z148)&gt;P_Tol),1,0),1))</f>
        <v/>
      </c>
      <c r="BP148" s="124" t="str">
        <f>IF($B148="","",IFERROR(IF(OR(ABS(AR148-SUM(AB148:AM148))&gt;P_Tol,ABS(AS148-(AN148+AO148+AP148+AQ148))&gt;P_Tol),1,0),1))</f>
        <v/>
      </c>
      <c r="BQ148" s="124" t="str">
        <f>IF($B148="","",IFERROR(IF(ABS(AT148)+ABS(AV148)+ABS(AW148)+ABS(AX148)+ABS(AY148)+ABS(AZ148)+ABS(BA148)+ABS(BB148)&gt;0,1,0),1))</f>
        <v/>
      </c>
      <c r="BR148" s="124" t="str">
        <f>IF($B148="","",COUNTIF(STG_ZPMW03!$B$6:$B$505,B148))</f>
        <v/>
      </c>
      <c r="BS148" s="124" t="str">
        <f>IF($B148="","",COUNTIF($B$6:$B$505,B148))</f>
        <v/>
      </c>
      <c r="BT148" s="124" t="str">
        <f>IF($B148="","",IF(BR148=0,0,IF(INDEX(STG_ZPMW03!$I$6:$I$505,MATCH(B148,STG_ZPMW03!$B$6:$B$505,0))=J148&amp;"",0,1)))</f>
        <v/>
      </c>
      <c r="BU148" s="124" t="str">
        <f>IF($B148="","",IFERROR(IF(ABS(INDEX(Mapping!$D$5:$D$104,MATCH(B148,Mapping!$A$5:$A$104,0))-Q148)&gt;P_Tol,1,0),0))</f>
        <v/>
      </c>
      <c r="BV148" s="124" t="str">
        <f>IF($B148="","",IFERROR(IF(AND(INDEX(Mapping!$G$5:$G$104,MATCH(B148,Mapping!$A$5:$A$104,0))="Nee",ABS(Q148)+ABS(Z148)+ABS(AR148)&gt;0),1,0),0))</f>
        <v/>
      </c>
      <c r="BW148" s="124" t="str">
        <f>IF($B148="","",IF(COUNTIF(Mapping!$A$5:$A$104,B148)&gt;0,1,0))</f>
        <v/>
      </c>
      <c r="BX148" s="124" t="str">
        <f>IF($B148="","",IF(BR148=0,COUNTIF($BR$6:BR148,0),""))</f>
        <v/>
      </c>
    </row>
    <row r="149">
      <c r="A149" s="15" t="n">
        <v>145</v>
      </c>
      <c r="B149" t="str">
        <f>IF(B$3=0,"",IF(INDEX(SRC_Woningetalage!$A$1:$ZZ$501,$A149,B$3)&amp;""="","",INDEX(SRC_Woningetalage!$A$1:$ZZ$501,$A149,B$3)&amp;""))</f>
        <v/>
      </c>
      <c r="C149" t="str">
        <f>IF($B149="","",IF(C$3=0,"n.b.",INDEX(SRC_Woningetalage!$A$1:$ZZ$501,$A149,C$3)))</f>
        <v/>
      </c>
      <c r="D149" t="str">
        <f>IF($B149="","",IF(D$3=0,"n.b.",INDEX(SRC_Woningetalage!$A$1:$ZZ$501,$A149,D$3)))</f>
        <v/>
      </c>
      <c r="E149" t="str">
        <f>IF($B149="","",IF(E$3=0,"n.b.",INDEX(SRC_Woningetalage!$A$1:$ZZ$501,$A149,E$3)))</f>
        <v/>
      </c>
      <c r="F149" t="str">
        <f>IF($B149="","",IF(F$3=0,"n.b.",INDEX(SRC_Woningetalage!$A$1:$ZZ$501,$A149,F$3)))</f>
        <v/>
      </c>
      <c r="G149" t="str">
        <f>IF($B149="","",IF(G$3=0,"n.b.",INDEX(SRC_Woningetalage!$A$1:$ZZ$501,$A149,G$3)))</f>
        <v/>
      </c>
      <c r="H149" t="str">
        <f>IF($B149="","",IF(H$3=0,"n.b.",INDEX(SRC_Woningetalage!$A$1:$ZZ$501,$A149,H$3)))</f>
        <v/>
      </c>
      <c r="I149" t="str">
        <f>IF($B149="","",IF(I$3=0,"n.b.",INDEX(SRC_Woningetalage!$A$1:$ZZ$501,$A149,I$3)))</f>
        <v/>
      </c>
      <c r="J149" t="str">
        <f>IF($B149="","",IF(J$3=0,"n.b.",INDEX(SRC_Woningetalage!$A$1:$ZZ$501,$A149,J$3)))</f>
        <v/>
      </c>
      <c r="K149" t="str">
        <f>IF($B149="","",IF(K$3=0,"n.b.",INDEX(SRC_Woningetalage!$A$1:$ZZ$501,$A149,K$3)))</f>
        <v/>
      </c>
      <c r="L149" t="str">
        <f>IF($B149="","",IF(L$3=0,"n.b.",INDEX(SRC_Woningetalage!$A$1:$ZZ$501,$A149,L$3)))</f>
        <v/>
      </c>
      <c r="M149" t="str">
        <f>IF($B149="","",IF(M$3=0,"n.b.",INDEX(SRC_Woningetalage!$A$1:$ZZ$501,$A149,M$3)))</f>
        <v/>
      </c>
      <c r="N149" t="str">
        <f>IF($B149="","",IF(N$3=0,"n.b.",INDEX(SRC_Woningetalage!$A$1:$ZZ$501,$A149,N$3)))</f>
        <v/>
      </c>
      <c r="O149" t="str">
        <f>IF($B149="","",IF(O$3=0,"n.b.",INDEX(SRC_Woningetalage!$A$1:$ZZ$501,$A149,O$3)))</f>
        <v/>
      </c>
      <c r="P149" t="str">
        <f>IF($B149="","",IF(P$3=0,"n.b.",INDEX(SRC_Woningetalage!$A$1:$ZZ$501,$A149,P$3)))</f>
        <v/>
      </c>
      <c r="Q149" s="124" t="str">
        <f>IF($B149="","",IF(Q$3=0,"n.b.",INDEX(SRC_Woningetalage!$A$1:$ZZ$501,$A149,Q$3)))</f>
        <v/>
      </c>
      <c r="R149" s="124" t="str">
        <f>IF($B149="","",IF(R$3=0,"n.b.",INDEX(SRC_Woningetalage!$A$1:$ZZ$501,$A149,R$3)))</f>
        <v/>
      </c>
      <c r="S149" s="124" t="str">
        <f>IF($B149="","",IF(S$3=0,"n.b.",INDEX(SRC_Woningetalage!$A$1:$ZZ$501,$A149,S$3)))</f>
        <v/>
      </c>
      <c r="T149" s="124" t="str">
        <f>IF($B149="","",IF(T$3=0,"n.b.",INDEX(SRC_Woningetalage!$A$1:$ZZ$501,$A149,T$3)))</f>
        <v/>
      </c>
      <c r="U149" s="124" t="str">
        <f>IF($B149="","",IF(U$3=0,"n.b.",INDEX(SRC_Woningetalage!$A$1:$ZZ$501,$A149,U$3)))</f>
        <v/>
      </c>
      <c r="V149" s="124" t="str">
        <f>IF($B149="","",IF(V$3=0,"n.b.",INDEX(SRC_Woningetalage!$A$1:$ZZ$501,$A149,V$3)))</f>
        <v/>
      </c>
      <c r="W149" s="124" t="str">
        <f>IF($B149="","",IF(W$3=0,"n.b.",INDEX(SRC_Woningetalage!$A$1:$ZZ$501,$A149,W$3)))</f>
        <v/>
      </c>
      <c r="X149" s="124" t="str">
        <f>IF($B149="","",IF(X$3=0,"n.b.",INDEX(SRC_Woningetalage!$A$1:$ZZ$501,$A149,X$3)))</f>
        <v/>
      </c>
      <c r="Y149" s="124" t="str">
        <f>IF($B149="","",IF(Y$3=0,"n.b.",INDEX(SRC_Woningetalage!$A$1:$ZZ$501,$A149,Y$3)))</f>
        <v/>
      </c>
      <c r="Z149" s="124" t="str">
        <f>IF($B149="","",IF(Z$3=0,"n.b.",INDEX(SRC_Woningetalage!$A$1:$ZZ$501,$A149,Z$3)))</f>
        <v/>
      </c>
      <c r="AA149" s="124" t="str">
        <f>IF($B149="","",IF(AA$3=0,"n.b.",INDEX(SRC_Woningetalage!$A$1:$ZZ$501,$A149,AA$3)))</f>
        <v/>
      </c>
      <c r="AB149" s="124" t="str">
        <f>IF($B149="","",IF(AB$3=0,"n.b.",INDEX(SRC_Woningetalage!$A$1:$ZZ$501,$A149,AB$3)))</f>
        <v/>
      </c>
      <c r="AC149" s="124" t="str">
        <f>IF($B149="","",IF(AC$3=0,"n.b.",INDEX(SRC_Woningetalage!$A$1:$ZZ$501,$A149,AC$3)))</f>
        <v/>
      </c>
      <c r="AD149" s="124" t="str">
        <f>IF($B149="","",IF(AD$3=0,"n.b.",INDEX(SRC_Woningetalage!$A$1:$ZZ$501,$A149,AD$3)))</f>
        <v/>
      </c>
      <c r="AE149" s="124" t="str">
        <f>IF($B149="","",IF(AE$3=0,"n.b.",INDEX(SRC_Woningetalage!$A$1:$ZZ$501,$A149,AE$3)))</f>
        <v/>
      </c>
      <c r="AF149" s="124" t="str">
        <f>IF($B149="","",IF(AF$3=0,"n.b.",INDEX(SRC_Woningetalage!$A$1:$ZZ$501,$A149,AF$3)))</f>
        <v/>
      </c>
      <c r="AG149" s="124" t="str">
        <f>IF($B149="","",IF(AG$3=0,"n.b.",INDEX(SRC_Woningetalage!$A$1:$ZZ$501,$A149,AG$3)))</f>
        <v/>
      </c>
      <c r="AH149" s="124" t="str">
        <f>IF($B149="","",IF(AH$3=0,"n.b.",INDEX(SRC_Woningetalage!$A$1:$ZZ$501,$A149,AH$3)))</f>
        <v/>
      </c>
      <c r="AI149" s="124" t="str">
        <f>IF($B149="","",IF(AI$3=0,"n.b.",INDEX(SRC_Woningetalage!$A$1:$ZZ$501,$A149,AI$3)))</f>
        <v/>
      </c>
      <c r="AJ149" s="124" t="str">
        <f>IF($B149="","",IF(AJ$3=0,"n.b.",INDEX(SRC_Woningetalage!$A$1:$ZZ$501,$A149,AJ$3)))</f>
        <v/>
      </c>
      <c r="AK149" s="124" t="str">
        <f>IF($B149="","",IF(AK$3=0,"n.b.",INDEX(SRC_Woningetalage!$A$1:$ZZ$501,$A149,AK$3)))</f>
        <v/>
      </c>
      <c r="AL149" s="124" t="str">
        <f>IF($B149="","",IF(AL$3=0,"n.b.",INDEX(SRC_Woningetalage!$A$1:$ZZ$501,$A149,AL$3)))</f>
        <v/>
      </c>
      <c r="AM149" s="124" t="str">
        <f>IF($B149="","",IF(AM$3=0,"n.b.",INDEX(SRC_Woningetalage!$A$1:$ZZ$501,$A149,AM$3)))</f>
        <v/>
      </c>
      <c r="AN149" s="124" t="str">
        <f>IF($B149="","",IF(AN$3=0,"n.b.",INDEX(SRC_Woningetalage!$A$1:$ZZ$501,$A149,AN$3)))</f>
        <v/>
      </c>
      <c r="AO149" s="124" t="str">
        <f>IF($B149="","",IF(AO$3=0,"n.b.",INDEX(SRC_Woningetalage!$A$1:$ZZ$501,$A149,AO$3)))</f>
        <v/>
      </c>
      <c r="AP149" s="124" t="str">
        <f>IF($B149="","",IF(AP$3=0,"n.b.",INDEX(SRC_Woningetalage!$A$1:$ZZ$501,$A149,AP$3)))</f>
        <v/>
      </c>
      <c r="AQ149" s="124" t="str">
        <f>IF($B149="","",IF(AQ$3=0,"n.b.",INDEX(SRC_Woningetalage!$A$1:$ZZ$501,$A149,AQ$3)))</f>
        <v/>
      </c>
      <c r="AR149" s="124" t="str">
        <f>IF($B149="","",IF(AR$3=0,"n.b.",INDEX(SRC_Woningetalage!$A$1:$ZZ$501,$A149,AR$3)))</f>
        <v/>
      </c>
      <c r="AS149" s="124" t="str">
        <f>IF($B149="","",IF(AS$3=0,"n.b.",INDEX(SRC_Woningetalage!$A$1:$ZZ$501,$A149,AS$3)))</f>
        <v/>
      </c>
      <c r="AT149" s="124" t="str">
        <f>IF($B149="","",IF(AT$3=0,"n.b.",INDEX(SRC_Woningetalage!$A$1:$ZZ$501,$A149,AT$3)))</f>
        <v/>
      </c>
      <c r="AU149" s="124" t="str">
        <f>IF($B149="","",IF(AU$3=0,"n.b.",INDEX(SRC_Woningetalage!$A$1:$ZZ$501,$A149,AU$3)))</f>
        <v/>
      </c>
      <c r="AV149" s="124" t="str">
        <f>IF($B149="","",IF(AV$3=0,"n.b.",INDEX(SRC_Woningetalage!$A$1:$ZZ$501,$A149,AV$3)))</f>
        <v/>
      </c>
      <c r="AW149" s="124" t="str">
        <f>IF($B149="","",IF(AW$3=0,"n.b.",INDEX(SRC_Woningetalage!$A$1:$ZZ$501,$A149,AW$3)))</f>
        <v/>
      </c>
      <c r="AX149" s="124" t="str">
        <f>IF($B149="","",IF(AX$3=0,"n.b.",INDEX(SRC_Woningetalage!$A$1:$ZZ$501,$A149,AX$3)))</f>
        <v/>
      </c>
      <c r="AY149" s="124" t="str">
        <f>IF($B149="","",IF(AY$3=0,"n.b.",INDEX(SRC_Woningetalage!$A$1:$ZZ$501,$A149,AY$3)))</f>
        <v/>
      </c>
      <c r="AZ149" s="124" t="str">
        <f>IF($B149="","",IF(AZ$3=0,"n.b.",INDEX(SRC_Woningetalage!$A$1:$ZZ$501,$A149,AZ$3)))</f>
        <v/>
      </c>
      <c r="BA149" s="124" t="str">
        <f>IF($B149="","",IF(BA$3=0,"n.b.",INDEX(SRC_Woningetalage!$A$1:$ZZ$501,$A149,BA$3)))</f>
        <v/>
      </c>
      <c r="BB149" s="124" t="str">
        <f>IF($B149="","",IF(BB$3=0,"n.b.",INDEX(SRC_Woningetalage!$A$1:$ZZ$501,$A149,BB$3)))</f>
        <v/>
      </c>
      <c r="BC149" s="124" t="str">
        <f>IF($B149="","",IFERROR(_xlfn.NUMBERVALUE(E149&amp;"",",","."),"n.b."))</f>
        <v/>
      </c>
      <c r="BD149" s="124" t="str">
        <f>IF($B149="","",IFERROR(_xlfn.NUMBERVALUE(M149&amp;"",",","."),"n.b."))</f>
        <v/>
      </c>
      <c r="BE149" s="124" t="str">
        <f>IF($B149="","",IFERROR(AB149+AC149+AD149,"n.b."))</f>
        <v/>
      </c>
      <c r="BF149" s="124" t="str">
        <f>IF($B149="","",IFERROR(AE149+AF149+AG149,"n.b."))</f>
        <v/>
      </c>
      <c r="BG149" s="124" t="str">
        <f>IF($B149="","",IFERROR(AH149+AI149+AJ149,"n.b."))</f>
        <v/>
      </c>
      <c r="BH149" s="124" t="str">
        <f>IF($B149="","",IFERROR(AK149+AL149+AM149,"n.b."))</f>
        <v/>
      </c>
      <c r="BI149" s="124" t="str">
        <f>IF($B149="","",IFERROR(SUMIF($AB$5:$AM$5,"&lt;="&amp;P_PeilMaand,AB149:AM149),"n.b."))</f>
        <v/>
      </c>
      <c r="BJ149" s="124" t="str">
        <f>IF($B149="","",IFERROR(SUM(AB149:AM149)-BI149,"n.b."))</f>
        <v/>
      </c>
      <c r="BK149" s="124" t="str">
        <f>IF($B149="","",IFERROR(IF(ABS(Q149-(T149+SUM(AB149:AM149)+AS149+AU149))&gt;P_Tol,1,0),1))</f>
        <v/>
      </c>
      <c r="BL149" s="124" t="str">
        <f>IF($B149="","",IFERROR(IF(ABS(AA149-(Q149-Z149))&gt;P_Tol,1,0),1))</f>
        <v/>
      </c>
      <c r="BM149" s="124" t="str">
        <f>IF($B149="","",IFERROR(IF(ABS(Z149-(T149+W149))&gt;P_Tol,1,0),1))</f>
        <v/>
      </c>
      <c r="BN149" s="124" t="str">
        <f>IF($B149="","",IFERROR(IF(ABS(W149-BI149)&gt;P_Tol,1,0),1))</f>
        <v/>
      </c>
      <c r="BO149" s="124" t="str">
        <f>IF($B149="","",IFERROR(IF(OR(ABS(R149+S149-T149)&gt;P_Tol,ABS(U149+V149-W149)&gt;P_Tol,ABS(X149+Y149-Z149)&gt;P_Tol),1,0),1))</f>
        <v/>
      </c>
      <c r="BP149" s="124" t="str">
        <f>IF($B149="","",IFERROR(IF(OR(ABS(AR149-SUM(AB149:AM149))&gt;P_Tol,ABS(AS149-(AN149+AO149+AP149+AQ149))&gt;P_Tol),1,0),1))</f>
        <v/>
      </c>
      <c r="BQ149" s="124" t="str">
        <f>IF($B149="","",IFERROR(IF(ABS(AT149)+ABS(AV149)+ABS(AW149)+ABS(AX149)+ABS(AY149)+ABS(AZ149)+ABS(BA149)+ABS(BB149)&gt;0,1,0),1))</f>
        <v/>
      </c>
      <c r="BR149" s="124" t="str">
        <f>IF($B149="","",COUNTIF(STG_ZPMW03!$B$6:$B$505,B149))</f>
        <v/>
      </c>
      <c r="BS149" s="124" t="str">
        <f>IF($B149="","",COUNTIF($B$6:$B$505,B149))</f>
        <v/>
      </c>
      <c r="BT149" s="124" t="str">
        <f>IF($B149="","",IF(BR149=0,0,IF(INDEX(STG_ZPMW03!$I$6:$I$505,MATCH(B149,STG_ZPMW03!$B$6:$B$505,0))=J149&amp;"",0,1)))</f>
        <v/>
      </c>
      <c r="BU149" s="124" t="str">
        <f>IF($B149="","",IFERROR(IF(ABS(INDEX(Mapping!$D$5:$D$104,MATCH(B149,Mapping!$A$5:$A$104,0))-Q149)&gt;P_Tol,1,0),0))</f>
        <v/>
      </c>
      <c r="BV149" s="124" t="str">
        <f>IF($B149="","",IFERROR(IF(AND(INDEX(Mapping!$G$5:$G$104,MATCH(B149,Mapping!$A$5:$A$104,0))="Nee",ABS(Q149)+ABS(Z149)+ABS(AR149)&gt;0),1,0),0))</f>
        <v/>
      </c>
      <c r="BW149" s="124" t="str">
        <f>IF($B149="","",IF(COUNTIF(Mapping!$A$5:$A$104,B149)&gt;0,1,0))</f>
        <v/>
      </c>
      <c r="BX149" s="124" t="str">
        <f>IF($B149="","",IF(BR149=0,COUNTIF($BR$6:BR149,0),""))</f>
        <v/>
      </c>
    </row>
    <row r="150">
      <c r="A150" s="15" t="n">
        <v>146</v>
      </c>
      <c r="B150" t="str">
        <f>IF(B$3=0,"",IF(INDEX(SRC_Woningetalage!$A$1:$ZZ$501,$A150,B$3)&amp;""="","",INDEX(SRC_Woningetalage!$A$1:$ZZ$501,$A150,B$3)&amp;""))</f>
        <v/>
      </c>
      <c r="C150" t="str">
        <f>IF($B150="","",IF(C$3=0,"n.b.",INDEX(SRC_Woningetalage!$A$1:$ZZ$501,$A150,C$3)))</f>
        <v/>
      </c>
      <c r="D150" t="str">
        <f>IF($B150="","",IF(D$3=0,"n.b.",INDEX(SRC_Woningetalage!$A$1:$ZZ$501,$A150,D$3)))</f>
        <v/>
      </c>
      <c r="E150" t="str">
        <f>IF($B150="","",IF(E$3=0,"n.b.",INDEX(SRC_Woningetalage!$A$1:$ZZ$501,$A150,E$3)))</f>
        <v/>
      </c>
      <c r="F150" t="str">
        <f>IF($B150="","",IF(F$3=0,"n.b.",INDEX(SRC_Woningetalage!$A$1:$ZZ$501,$A150,F$3)))</f>
        <v/>
      </c>
      <c r="G150" t="str">
        <f>IF($B150="","",IF(G$3=0,"n.b.",INDEX(SRC_Woningetalage!$A$1:$ZZ$501,$A150,G$3)))</f>
        <v/>
      </c>
      <c r="H150" t="str">
        <f>IF($B150="","",IF(H$3=0,"n.b.",INDEX(SRC_Woningetalage!$A$1:$ZZ$501,$A150,H$3)))</f>
        <v/>
      </c>
      <c r="I150" t="str">
        <f>IF($B150="","",IF(I$3=0,"n.b.",INDEX(SRC_Woningetalage!$A$1:$ZZ$501,$A150,I$3)))</f>
        <v/>
      </c>
      <c r="J150" t="str">
        <f>IF($B150="","",IF(J$3=0,"n.b.",INDEX(SRC_Woningetalage!$A$1:$ZZ$501,$A150,J$3)))</f>
        <v/>
      </c>
      <c r="K150" t="str">
        <f>IF($B150="","",IF(K$3=0,"n.b.",INDEX(SRC_Woningetalage!$A$1:$ZZ$501,$A150,K$3)))</f>
        <v/>
      </c>
      <c r="L150" t="str">
        <f>IF($B150="","",IF(L$3=0,"n.b.",INDEX(SRC_Woningetalage!$A$1:$ZZ$501,$A150,L$3)))</f>
        <v/>
      </c>
      <c r="M150" t="str">
        <f>IF($B150="","",IF(M$3=0,"n.b.",INDEX(SRC_Woningetalage!$A$1:$ZZ$501,$A150,M$3)))</f>
        <v/>
      </c>
      <c r="N150" t="str">
        <f>IF($B150="","",IF(N$3=0,"n.b.",INDEX(SRC_Woningetalage!$A$1:$ZZ$501,$A150,N$3)))</f>
        <v/>
      </c>
      <c r="O150" t="str">
        <f>IF($B150="","",IF(O$3=0,"n.b.",INDEX(SRC_Woningetalage!$A$1:$ZZ$501,$A150,O$3)))</f>
        <v/>
      </c>
      <c r="P150" t="str">
        <f>IF($B150="","",IF(P$3=0,"n.b.",INDEX(SRC_Woningetalage!$A$1:$ZZ$501,$A150,P$3)))</f>
        <v/>
      </c>
      <c r="Q150" s="124" t="str">
        <f>IF($B150="","",IF(Q$3=0,"n.b.",INDEX(SRC_Woningetalage!$A$1:$ZZ$501,$A150,Q$3)))</f>
        <v/>
      </c>
      <c r="R150" s="124" t="str">
        <f>IF($B150="","",IF(R$3=0,"n.b.",INDEX(SRC_Woningetalage!$A$1:$ZZ$501,$A150,R$3)))</f>
        <v/>
      </c>
      <c r="S150" s="124" t="str">
        <f>IF($B150="","",IF(S$3=0,"n.b.",INDEX(SRC_Woningetalage!$A$1:$ZZ$501,$A150,S$3)))</f>
        <v/>
      </c>
      <c r="T150" s="124" t="str">
        <f>IF($B150="","",IF(T$3=0,"n.b.",INDEX(SRC_Woningetalage!$A$1:$ZZ$501,$A150,T$3)))</f>
        <v/>
      </c>
      <c r="U150" s="124" t="str">
        <f>IF($B150="","",IF(U$3=0,"n.b.",INDEX(SRC_Woningetalage!$A$1:$ZZ$501,$A150,U$3)))</f>
        <v/>
      </c>
      <c r="V150" s="124" t="str">
        <f>IF($B150="","",IF(V$3=0,"n.b.",INDEX(SRC_Woningetalage!$A$1:$ZZ$501,$A150,V$3)))</f>
        <v/>
      </c>
      <c r="W150" s="124" t="str">
        <f>IF($B150="","",IF(W$3=0,"n.b.",INDEX(SRC_Woningetalage!$A$1:$ZZ$501,$A150,W$3)))</f>
        <v/>
      </c>
      <c r="X150" s="124" t="str">
        <f>IF($B150="","",IF(X$3=0,"n.b.",INDEX(SRC_Woningetalage!$A$1:$ZZ$501,$A150,X$3)))</f>
        <v/>
      </c>
      <c r="Y150" s="124" t="str">
        <f>IF($B150="","",IF(Y$3=0,"n.b.",INDEX(SRC_Woningetalage!$A$1:$ZZ$501,$A150,Y$3)))</f>
        <v/>
      </c>
      <c r="Z150" s="124" t="str">
        <f>IF($B150="","",IF(Z$3=0,"n.b.",INDEX(SRC_Woningetalage!$A$1:$ZZ$501,$A150,Z$3)))</f>
        <v/>
      </c>
      <c r="AA150" s="124" t="str">
        <f>IF($B150="","",IF(AA$3=0,"n.b.",INDEX(SRC_Woningetalage!$A$1:$ZZ$501,$A150,AA$3)))</f>
        <v/>
      </c>
      <c r="AB150" s="124" t="str">
        <f>IF($B150="","",IF(AB$3=0,"n.b.",INDEX(SRC_Woningetalage!$A$1:$ZZ$501,$A150,AB$3)))</f>
        <v/>
      </c>
      <c r="AC150" s="124" t="str">
        <f>IF($B150="","",IF(AC$3=0,"n.b.",INDEX(SRC_Woningetalage!$A$1:$ZZ$501,$A150,AC$3)))</f>
        <v/>
      </c>
      <c r="AD150" s="124" t="str">
        <f>IF($B150="","",IF(AD$3=0,"n.b.",INDEX(SRC_Woningetalage!$A$1:$ZZ$501,$A150,AD$3)))</f>
        <v/>
      </c>
      <c r="AE150" s="124" t="str">
        <f>IF($B150="","",IF(AE$3=0,"n.b.",INDEX(SRC_Woningetalage!$A$1:$ZZ$501,$A150,AE$3)))</f>
        <v/>
      </c>
      <c r="AF150" s="124" t="str">
        <f>IF($B150="","",IF(AF$3=0,"n.b.",INDEX(SRC_Woningetalage!$A$1:$ZZ$501,$A150,AF$3)))</f>
        <v/>
      </c>
      <c r="AG150" s="124" t="str">
        <f>IF($B150="","",IF(AG$3=0,"n.b.",INDEX(SRC_Woningetalage!$A$1:$ZZ$501,$A150,AG$3)))</f>
        <v/>
      </c>
      <c r="AH150" s="124" t="str">
        <f>IF($B150="","",IF(AH$3=0,"n.b.",INDEX(SRC_Woningetalage!$A$1:$ZZ$501,$A150,AH$3)))</f>
        <v/>
      </c>
      <c r="AI150" s="124" t="str">
        <f>IF($B150="","",IF(AI$3=0,"n.b.",INDEX(SRC_Woningetalage!$A$1:$ZZ$501,$A150,AI$3)))</f>
        <v/>
      </c>
      <c r="AJ150" s="124" t="str">
        <f>IF($B150="","",IF(AJ$3=0,"n.b.",INDEX(SRC_Woningetalage!$A$1:$ZZ$501,$A150,AJ$3)))</f>
        <v/>
      </c>
      <c r="AK150" s="124" t="str">
        <f>IF($B150="","",IF(AK$3=0,"n.b.",INDEX(SRC_Woningetalage!$A$1:$ZZ$501,$A150,AK$3)))</f>
        <v/>
      </c>
      <c r="AL150" s="124" t="str">
        <f>IF($B150="","",IF(AL$3=0,"n.b.",INDEX(SRC_Woningetalage!$A$1:$ZZ$501,$A150,AL$3)))</f>
        <v/>
      </c>
      <c r="AM150" s="124" t="str">
        <f>IF($B150="","",IF(AM$3=0,"n.b.",INDEX(SRC_Woningetalage!$A$1:$ZZ$501,$A150,AM$3)))</f>
        <v/>
      </c>
      <c r="AN150" s="124" t="str">
        <f>IF($B150="","",IF(AN$3=0,"n.b.",INDEX(SRC_Woningetalage!$A$1:$ZZ$501,$A150,AN$3)))</f>
        <v/>
      </c>
      <c r="AO150" s="124" t="str">
        <f>IF($B150="","",IF(AO$3=0,"n.b.",INDEX(SRC_Woningetalage!$A$1:$ZZ$501,$A150,AO$3)))</f>
        <v/>
      </c>
      <c r="AP150" s="124" t="str">
        <f>IF($B150="","",IF(AP$3=0,"n.b.",INDEX(SRC_Woningetalage!$A$1:$ZZ$501,$A150,AP$3)))</f>
        <v/>
      </c>
      <c r="AQ150" s="124" t="str">
        <f>IF($B150="","",IF(AQ$3=0,"n.b.",INDEX(SRC_Woningetalage!$A$1:$ZZ$501,$A150,AQ$3)))</f>
        <v/>
      </c>
      <c r="AR150" s="124" t="str">
        <f>IF($B150="","",IF(AR$3=0,"n.b.",INDEX(SRC_Woningetalage!$A$1:$ZZ$501,$A150,AR$3)))</f>
        <v/>
      </c>
      <c r="AS150" s="124" t="str">
        <f>IF($B150="","",IF(AS$3=0,"n.b.",INDEX(SRC_Woningetalage!$A$1:$ZZ$501,$A150,AS$3)))</f>
        <v/>
      </c>
      <c r="AT150" s="124" t="str">
        <f>IF($B150="","",IF(AT$3=0,"n.b.",INDEX(SRC_Woningetalage!$A$1:$ZZ$501,$A150,AT$3)))</f>
        <v/>
      </c>
      <c r="AU150" s="124" t="str">
        <f>IF($B150="","",IF(AU$3=0,"n.b.",INDEX(SRC_Woningetalage!$A$1:$ZZ$501,$A150,AU$3)))</f>
        <v/>
      </c>
      <c r="AV150" s="124" t="str">
        <f>IF($B150="","",IF(AV$3=0,"n.b.",INDEX(SRC_Woningetalage!$A$1:$ZZ$501,$A150,AV$3)))</f>
        <v/>
      </c>
      <c r="AW150" s="124" t="str">
        <f>IF($B150="","",IF(AW$3=0,"n.b.",INDEX(SRC_Woningetalage!$A$1:$ZZ$501,$A150,AW$3)))</f>
        <v/>
      </c>
      <c r="AX150" s="124" t="str">
        <f>IF($B150="","",IF(AX$3=0,"n.b.",INDEX(SRC_Woningetalage!$A$1:$ZZ$501,$A150,AX$3)))</f>
        <v/>
      </c>
      <c r="AY150" s="124" t="str">
        <f>IF($B150="","",IF(AY$3=0,"n.b.",INDEX(SRC_Woningetalage!$A$1:$ZZ$501,$A150,AY$3)))</f>
        <v/>
      </c>
      <c r="AZ150" s="124" t="str">
        <f>IF($B150="","",IF(AZ$3=0,"n.b.",INDEX(SRC_Woningetalage!$A$1:$ZZ$501,$A150,AZ$3)))</f>
        <v/>
      </c>
      <c r="BA150" s="124" t="str">
        <f>IF($B150="","",IF(BA$3=0,"n.b.",INDEX(SRC_Woningetalage!$A$1:$ZZ$501,$A150,BA$3)))</f>
        <v/>
      </c>
      <c r="BB150" s="124" t="str">
        <f>IF($B150="","",IF(BB$3=0,"n.b.",INDEX(SRC_Woningetalage!$A$1:$ZZ$501,$A150,BB$3)))</f>
        <v/>
      </c>
      <c r="BC150" s="124" t="str">
        <f>IF($B150="","",IFERROR(_xlfn.NUMBERVALUE(E150&amp;"",",","."),"n.b."))</f>
        <v/>
      </c>
      <c r="BD150" s="124" t="str">
        <f>IF($B150="","",IFERROR(_xlfn.NUMBERVALUE(M150&amp;"",",","."),"n.b."))</f>
        <v/>
      </c>
      <c r="BE150" s="124" t="str">
        <f>IF($B150="","",IFERROR(AB150+AC150+AD150,"n.b."))</f>
        <v/>
      </c>
      <c r="BF150" s="124" t="str">
        <f>IF($B150="","",IFERROR(AE150+AF150+AG150,"n.b."))</f>
        <v/>
      </c>
      <c r="BG150" s="124" t="str">
        <f>IF($B150="","",IFERROR(AH150+AI150+AJ150,"n.b."))</f>
        <v/>
      </c>
      <c r="BH150" s="124" t="str">
        <f>IF($B150="","",IFERROR(AK150+AL150+AM150,"n.b."))</f>
        <v/>
      </c>
      <c r="BI150" s="124" t="str">
        <f>IF($B150="","",IFERROR(SUMIF($AB$5:$AM$5,"&lt;="&amp;P_PeilMaand,AB150:AM150),"n.b."))</f>
        <v/>
      </c>
      <c r="BJ150" s="124" t="str">
        <f>IF($B150="","",IFERROR(SUM(AB150:AM150)-BI150,"n.b."))</f>
        <v/>
      </c>
      <c r="BK150" s="124" t="str">
        <f>IF($B150="","",IFERROR(IF(ABS(Q150-(T150+SUM(AB150:AM150)+AS150+AU150))&gt;P_Tol,1,0),1))</f>
        <v/>
      </c>
      <c r="BL150" s="124" t="str">
        <f>IF($B150="","",IFERROR(IF(ABS(AA150-(Q150-Z150))&gt;P_Tol,1,0),1))</f>
        <v/>
      </c>
      <c r="BM150" s="124" t="str">
        <f>IF($B150="","",IFERROR(IF(ABS(Z150-(T150+W150))&gt;P_Tol,1,0),1))</f>
        <v/>
      </c>
      <c r="BN150" s="124" t="str">
        <f>IF($B150="","",IFERROR(IF(ABS(W150-BI150)&gt;P_Tol,1,0),1))</f>
        <v/>
      </c>
      <c r="BO150" s="124" t="str">
        <f>IF($B150="","",IFERROR(IF(OR(ABS(R150+S150-T150)&gt;P_Tol,ABS(U150+V150-W150)&gt;P_Tol,ABS(X150+Y150-Z150)&gt;P_Tol),1,0),1))</f>
        <v/>
      </c>
      <c r="BP150" s="124" t="str">
        <f>IF($B150="","",IFERROR(IF(OR(ABS(AR150-SUM(AB150:AM150))&gt;P_Tol,ABS(AS150-(AN150+AO150+AP150+AQ150))&gt;P_Tol),1,0),1))</f>
        <v/>
      </c>
      <c r="BQ150" s="124" t="str">
        <f>IF($B150="","",IFERROR(IF(ABS(AT150)+ABS(AV150)+ABS(AW150)+ABS(AX150)+ABS(AY150)+ABS(AZ150)+ABS(BA150)+ABS(BB150)&gt;0,1,0),1))</f>
        <v/>
      </c>
      <c r="BR150" s="124" t="str">
        <f>IF($B150="","",COUNTIF(STG_ZPMW03!$B$6:$B$505,B150))</f>
        <v/>
      </c>
      <c r="BS150" s="124" t="str">
        <f>IF($B150="","",COUNTIF($B$6:$B$505,B150))</f>
        <v/>
      </c>
      <c r="BT150" s="124" t="str">
        <f>IF($B150="","",IF(BR150=0,0,IF(INDEX(STG_ZPMW03!$I$6:$I$505,MATCH(B150,STG_ZPMW03!$B$6:$B$505,0))=J150&amp;"",0,1)))</f>
        <v/>
      </c>
      <c r="BU150" s="124" t="str">
        <f>IF($B150="","",IFERROR(IF(ABS(INDEX(Mapping!$D$5:$D$104,MATCH(B150,Mapping!$A$5:$A$104,0))-Q150)&gt;P_Tol,1,0),0))</f>
        <v/>
      </c>
      <c r="BV150" s="124" t="str">
        <f>IF($B150="","",IFERROR(IF(AND(INDEX(Mapping!$G$5:$G$104,MATCH(B150,Mapping!$A$5:$A$104,0))="Nee",ABS(Q150)+ABS(Z150)+ABS(AR150)&gt;0),1,0),0))</f>
        <v/>
      </c>
      <c r="BW150" s="124" t="str">
        <f>IF($B150="","",IF(COUNTIF(Mapping!$A$5:$A$104,B150)&gt;0,1,0))</f>
        <v/>
      </c>
      <c r="BX150" s="124" t="str">
        <f>IF($B150="","",IF(BR150=0,COUNTIF($BR$6:BR150,0),""))</f>
        <v/>
      </c>
    </row>
    <row r="151">
      <c r="A151" s="15" t="n">
        <v>147</v>
      </c>
      <c r="B151" t="str">
        <f>IF(B$3=0,"",IF(INDEX(SRC_Woningetalage!$A$1:$ZZ$501,$A151,B$3)&amp;""="","",INDEX(SRC_Woningetalage!$A$1:$ZZ$501,$A151,B$3)&amp;""))</f>
        <v/>
      </c>
      <c r="C151" t="str">
        <f>IF($B151="","",IF(C$3=0,"n.b.",INDEX(SRC_Woningetalage!$A$1:$ZZ$501,$A151,C$3)))</f>
        <v/>
      </c>
      <c r="D151" t="str">
        <f>IF($B151="","",IF(D$3=0,"n.b.",INDEX(SRC_Woningetalage!$A$1:$ZZ$501,$A151,D$3)))</f>
        <v/>
      </c>
      <c r="E151" t="str">
        <f>IF($B151="","",IF(E$3=0,"n.b.",INDEX(SRC_Woningetalage!$A$1:$ZZ$501,$A151,E$3)))</f>
        <v/>
      </c>
      <c r="F151" t="str">
        <f>IF($B151="","",IF(F$3=0,"n.b.",INDEX(SRC_Woningetalage!$A$1:$ZZ$501,$A151,F$3)))</f>
        <v/>
      </c>
      <c r="G151" t="str">
        <f>IF($B151="","",IF(G$3=0,"n.b.",INDEX(SRC_Woningetalage!$A$1:$ZZ$501,$A151,G$3)))</f>
        <v/>
      </c>
      <c r="H151" t="str">
        <f>IF($B151="","",IF(H$3=0,"n.b.",INDEX(SRC_Woningetalage!$A$1:$ZZ$501,$A151,H$3)))</f>
        <v/>
      </c>
      <c r="I151" t="str">
        <f>IF($B151="","",IF(I$3=0,"n.b.",INDEX(SRC_Woningetalage!$A$1:$ZZ$501,$A151,I$3)))</f>
        <v/>
      </c>
      <c r="J151" t="str">
        <f>IF($B151="","",IF(J$3=0,"n.b.",INDEX(SRC_Woningetalage!$A$1:$ZZ$501,$A151,J$3)))</f>
        <v/>
      </c>
      <c r="K151" t="str">
        <f>IF($B151="","",IF(K$3=0,"n.b.",INDEX(SRC_Woningetalage!$A$1:$ZZ$501,$A151,K$3)))</f>
        <v/>
      </c>
      <c r="L151" t="str">
        <f>IF($B151="","",IF(L$3=0,"n.b.",INDEX(SRC_Woningetalage!$A$1:$ZZ$501,$A151,L$3)))</f>
        <v/>
      </c>
      <c r="M151" t="str">
        <f>IF($B151="","",IF(M$3=0,"n.b.",INDEX(SRC_Woningetalage!$A$1:$ZZ$501,$A151,M$3)))</f>
        <v/>
      </c>
      <c r="N151" t="str">
        <f>IF($B151="","",IF(N$3=0,"n.b.",INDEX(SRC_Woningetalage!$A$1:$ZZ$501,$A151,N$3)))</f>
        <v/>
      </c>
      <c r="O151" t="str">
        <f>IF($B151="","",IF(O$3=0,"n.b.",INDEX(SRC_Woningetalage!$A$1:$ZZ$501,$A151,O$3)))</f>
        <v/>
      </c>
      <c r="P151" t="str">
        <f>IF($B151="","",IF(P$3=0,"n.b.",INDEX(SRC_Woningetalage!$A$1:$ZZ$501,$A151,P$3)))</f>
        <v/>
      </c>
      <c r="Q151" s="124" t="str">
        <f>IF($B151="","",IF(Q$3=0,"n.b.",INDEX(SRC_Woningetalage!$A$1:$ZZ$501,$A151,Q$3)))</f>
        <v/>
      </c>
      <c r="R151" s="124" t="str">
        <f>IF($B151="","",IF(R$3=0,"n.b.",INDEX(SRC_Woningetalage!$A$1:$ZZ$501,$A151,R$3)))</f>
        <v/>
      </c>
      <c r="S151" s="124" t="str">
        <f>IF($B151="","",IF(S$3=0,"n.b.",INDEX(SRC_Woningetalage!$A$1:$ZZ$501,$A151,S$3)))</f>
        <v/>
      </c>
      <c r="T151" s="124" t="str">
        <f>IF($B151="","",IF(T$3=0,"n.b.",INDEX(SRC_Woningetalage!$A$1:$ZZ$501,$A151,T$3)))</f>
        <v/>
      </c>
      <c r="U151" s="124" t="str">
        <f>IF($B151="","",IF(U$3=0,"n.b.",INDEX(SRC_Woningetalage!$A$1:$ZZ$501,$A151,U$3)))</f>
        <v/>
      </c>
      <c r="V151" s="124" t="str">
        <f>IF($B151="","",IF(V$3=0,"n.b.",INDEX(SRC_Woningetalage!$A$1:$ZZ$501,$A151,V$3)))</f>
        <v/>
      </c>
      <c r="W151" s="124" t="str">
        <f>IF($B151="","",IF(W$3=0,"n.b.",INDEX(SRC_Woningetalage!$A$1:$ZZ$501,$A151,W$3)))</f>
        <v/>
      </c>
      <c r="X151" s="124" t="str">
        <f>IF($B151="","",IF(X$3=0,"n.b.",INDEX(SRC_Woningetalage!$A$1:$ZZ$501,$A151,X$3)))</f>
        <v/>
      </c>
      <c r="Y151" s="124" t="str">
        <f>IF($B151="","",IF(Y$3=0,"n.b.",INDEX(SRC_Woningetalage!$A$1:$ZZ$501,$A151,Y$3)))</f>
        <v/>
      </c>
      <c r="Z151" s="124" t="str">
        <f>IF($B151="","",IF(Z$3=0,"n.b.",INDEX(SRC_Woningetalage!$A$1:$ZZ$501,$A151,Z$3)))</f>
        <v/>
      </c>
      <c r="AA151" s="124" t="str">
        <f>IF($B151="","",IF(AA$3=0,"n.b.",INDEX(SRC_Woningetalage!$A$1:$ZZ$501,$A151,AA$3)))</f>
        <v/>
      </c>
      <c r="AB151" s="124" t="str">
        <f>IF($B151="","",IF(AB$3=0,"n.b.",INDEX(SRC_Woningetalage!$A$1:$ZZ$501,$A151,AB$3)))</f>
        <v/>
      </c>
      <c r="AC151" s="124" t="str">
        <f>IF($B151="","",IF(AC$3=0,"n.b.",INDEX(SRC_Woningetalage!$A$1:$ZZ$501,$A151,AC$3)))</f>
        <v/>
      </c>
      <c r="AD151" s="124" t="str">
        <f>IF($B151="","",IF(AD$3=0,"n.b.",INDEX(SRC_Woningetalage!$A$1:$ZZ$501,$A151,AD$3)))</f>
        <v/>
      </c>
      <c r="AE151" s="124" t="str">
        <f>IF($B151="","",IF(AE$3=0,"n.b.",INDEX(SRC_Woningetalage!$A$1:$ZZ$501,$A151,AE$3)))</f>
        <v/>
      </c>
      <c r="AF151" s="124" t="str">
        <f>IF($B151="","",IF(AF$3=0,"n.b.",INDEX(SRC_Woningetalage!$A$1:$ZZ$501,$A151,AF$3)))</f>
        <v/>
      </c>
      <c r="AG151" s="124" t="str">
        <f>IF($B151="","",IF(AG$3=0,"n.b.",INDEX(SRC_Woningetalage!$A$1:$ZZ$501,$A151,AG$3)))</f>
        <v/>
      </c>
      <c r="AH151" s="124" t="str">
        <f>IF($B151="","",IF(AH$3=0,"n.b.",INDEX(SRC_Woningetalage!$A$1:$ZZ$501,$A151,AH$3)))</f>
        <v/>
      </c>
      <c r="AI151" s="124" t="str">
        <f>IF($B151="","",IF(AI$3=0,"n.b.",INDEX(SRC_Woningetalage!$A$1:$ZZ$501,$A151,AI$3)))</f>
        <v/>
      </c>
      <c r="AJ151" s="124" t="str">
        <f>IF($B151="","",IF(AJ$3=0,"n.b.",INDEX(SRC_Woningetalage!$A$1:$ZZ$501,$A151,AJ$3)))</f>
        <v/>
      </c>
      <c r="AK151" s="124" t="str">
        <f>IF($B151="","",IF(AK$3=0,"n.b.",INDEX(SRC_Woningetalage!$A$1:$ZZ$501,$A151,AK$3)))</f>
        <v/>
      </c>
      <c r="AL151" s="124" t="str">
        <f>IF($B151="","",IF(AL$3=0,"n.b.",INDEX(SRC_Woningetalage!$A$1:$ZZ$501,$A151,AL$3)))</f>
        <v/>
      </c>
      <c r="AM151" s="124" t="str">
        <f>IF($B151="","",IF(AM$3=0,"n.b.",INDEX(SRC_Woningetalage!$A$1:$ZZ$501,$A151,AM$3)))</f>
        <v/>
      </c>
      <c r="AN151" s="124" t="str">
        <f>IF($B151="","",IF(AN$3=0,"n.b.",INDEX(SRC_Woningetalage!$A$1:$ZZ$501,$A151,AN$3)))</f>
        <v/>
      </c>
      <c r="AO151" s="124" t="str">
        <f>IF($B151="","",IF(AO$3=0,"n.b.",INDEX(SRC_Woningetalage!$A$1:$ZZ$501,$A151,AO$3)))</f>
        <v/>
      </c>
      <c r="AP151" s="124" t="str">
        <f>IF($B151="","",IF(AP$3=0,"n.b.",INDEX(SRC_Woningetalage!$A$1:$ZZ$501,$A151,AP$3)))</f>
        <v/>
      </c>
      <c r="AQ151" s="124" t="str">
        <f>IF($B151="","",IF(AQ$3=0,"n.b.",INDEX(SRC_Woningetalage!$A$1:$ZZ$501,$A151,AQ$3)))</f>
        <v/>
      </c>
      <c r="AR151" s="124" t="str">
        <f>IF($B151="","",IF(AR$3=0,"n.b.",INDEX(SRC_Woningetalage!$A$1:$ZZ$501,$A151,AR$3)))</f>
        <v/>
      </c>
      <c r="AS151" s="124" t="str">
        <f>IF($B151="","",IF(AS$3=0,"n.b.",INDEX(SRC_Woningetalage!$A$1:$ZZ$501,$A151,AS$3)))</f>
        <v/>
      </c>
      <c r="AT151" s="124" t="str">
        <f>IF($B151="","",IF(AT$3=0,"n.b.",INDEX(SRC_Woningetalage!$A$1:$ZZ$501,$A151,AT$3)))</f>
        <v/>
      </c>
      <c r="AU151" s="124" t="str">
        <f>IF($B151="","",IF(AU$3=0,"n.b.",INDEX(SRC_Woningetalage!$A$1:$ZZ$501,$A151,AU$3)))</f>
        <v/>
      </c>
      <c r="AV151" s="124" t="str">
        <f>IF($B151="","",IF(AV$3=0,"n.b.",INDEX(SRC_Woningetalage!$A$1:$ZZ$501,$A151,AV$3)))</f>
        <v/>
      </c>
      <c r="AW151" s="124" t="str">
        <f>IF($B151="","",IF(AW$3=0,"n.b.",INDEX(SRC_Woningetalage!$A$1:$ZZ$501,$A151,AW$3)))</f>
        <v/>
      </c>
      <c r="AX151" s="124" t="str">
        <f>IF($B151="","",IF(AX$3=0,"n.b.",INDEX(SRC_Woningetalage!$A$1:$ZZ$501,$A151,AX$3)))</f>
        <v/>
      </c>
      <c r="AY151" s="124" t="str">
        <f>IF($B151="","",IF(AY$3=0,"n.b.",INDEX(SRC_Woningetalage!$A$1:$ZZ$501,$A151,AY$3)))</f>
        <v/>
      </c>
      <c r="AZ151" s="124" t="str">
        <f>IF($B151="","",IF(AZ$3=0,"n.b.",INDEX(SRC_Woningetalage!$A$1:$ZZ$501,$A151,AZ$3)))</f>
        <v/>
      </c>
      <c r="BA151" s="124" t="str">
        <f>IF($B151="","",IF(BA$3=0,"n.b.",INDEX(SRC_Woningetalage!$A$1:$ZZ$501,$A151,BA$3)))</f>
        <v/>
      </c>
      <c r="BB151" s="124" t="str">
        <f>IF($B151="","",IF(BB$3=0,"n.b.",INDEX(SRC_Woningetalage!$A$1:$ZZ$501,$A151,BB$3)))</f>
        <v/>
      </c>
      <c r="BC151" s="124" t="str">
        <f>IF($B151="","",IFERROR(_xlfn.NUMBERVALUE(E151&amp;"",",","."),"n.b."))</f>
        <v/>
      </c>
      <c r="BD151" s="124" t="str">
        <f>IF($B151="","",IFERROR(_xlfn.NUMBERVALUE(M151&amp;"",",","."),"n.b."))</f>
        <v/>
      </c>
      <c r="BE151" s="124" t="str">
        <f>IF($B151="","",IFERROR(AB151+AC151+AD151,"n.b."))</f>
        <v/>
      </c>
      <c r="BF151" s="124" t="str">
        <f>IF($B151="","",IFERROR(AE151+AF151+AG151,"n.b."))</f>
        <v/>
      </c>
      <c r="BG151" s="124" t="str">
        <f>IF($B151="","",IFERROR(AH151+AI151+AJ151,"n.b."))</f>
        <v/>
      </c>
      <c r="BH151" s="124" t="str">
        <f>IF($B151="","",IFERROR(AK151+AL151+AM151,"n.b."))</f>
        <v/>
      </c>
      <c r="BI151" s="124" t="str">
        <f>IF($B151="","",IFERROR(SUMIF($AB$5:$AM$5,"&lt;="&amp;P_PeilMaand,AB151:AM151),"n.b."))</f>
        <v/>
      </c>
      <c r="BJ151" s="124" t="str">
        <f>IF($B151="","",IFERROR(SUM(AB151:AM151)-BI151,"n.b."))</f>
        <v/>
      </c>
      <c r="BK151" s="124" t="str">
        <f>IF($B151="","",IFERROR(IF(ABS(Q151-(T151+SUM(AB151:AM151)+AS151+AU151))&gt;P_Tol,1,0),1))</f>
        <v/>
      </c>
      <c r="BL151" s="124" t="str">
        <f>IF($B151="","",IFERROR(IF(ABS(AA151-(Q151-Z151))&gt;P_Tol,1,0),1))</f>
        <v/>
      </c>
      <c r="BM151" s="124" t="str">
        <f>IF($B151="","",IFERROR(IF(ABS(Z151-(T151+W151))&gt;P_Tol,1,0),1))</f>
        <v/>
      </c>
      <c r="BN151" s="124" t="str">
        <f>IF($B151="","",IFERROR(IF(ABS(W151-BI151)&gt;P_Tol,1,0),1))</f>
        <v/>
      </c>
      <c r="BO151" s="124" t="str">
        <f>IF($B151="","",IFERROR(IF(OR(ABS(R151+S151-T151)&gt;P_Tol,ABS(U151+V151-W151)&gt;P_Tol,ABS(X151+Y151-Z151)&gt;P_Tol),1,0),1))</f>
        <v/>
      </c>
      <c r="BP151" s="124" t="str">
        <f>IF($B151="","",IFERROR(IF(OR(ABS(AR151-SUM(AB151:AM151))&gt;P_Tol,ABS(AS151-(AN151+AO151+AP151+AQ151))&gt;P_Tol),1,0),1))</f>
        <v/>
      </c>
      <c r="BQ151" s="124" t="str">
        <f>IF($B151="","",IFERROR(IF(ABS(AT151)+ABS(AV151)+ABS(AW151)+ABS(AX151)+ABS(AY151)+ABS(AZ151)+ABS(BA151)+ABS(BB151)&gt;0,1,0),1))</f>
        <v/>
      </c>
      <c r="BR151" s="124" t="str">
        <f>IF($B151="","",COUNTIF(STG_ZPMW03!$B$6:$B$505,B151))</f>
        <v/>
      </c>
      <c r="BS151" s="124" t="str">
        <f>IF($B151="","",COUNTIF($B$6:$B$505,B151))</f>
        <v/>
      </c>
      <c r="BT151" s="124" t="str">
        <f>IF($B151="","",IF(BR151=0,0,IF(INDEX(STG_ZPMW03!$I$6:$I$505,MATCH(B151,STG_ZPMW03!$B$6:$B$505,0))=J151&amp;"",0,1)))</f>
        <v/>
      </c>
      <c r="BU151" s="124" t="str">
        <f>IF($B151="","",IFERROR(IF(ABS(INDEX(Mapping!$D$5:$D$104,MATCH(B151,Mapping!$A$5:$A$104,0))-Q151)&gt;P_Tol,1,0),0))</f>
        <v/>
      </c>
      <c r="BV151" s="124" t="str">
        <f>IF($B151="","",IFERROR(IF(AND(INDEX(Mapping!$G$5:$G$104,MATCH(B151,Mapping!$A$5:$A$104,0))="Nee",ABS(Q151)+ABS(Z151)+ABS(AR151)&gt;0),1,0),0))</f>
        <v/>
      </c>
      <c r="BW151" s="124" t="str">
        <f>IF($B151="","",IF(COUNTIF(Mapping!$A$5:$A$104,B151)&gt;0,1,0))</f>
        <v/>
      </c>
      <c r="BX151" s="124" t="str">
        <f>IF($B151="","",IF(BR151=0,COUNTIF($BR$6:BR151,0),""))</f>
        <v/>
      </c>
    </row>
    <row r="152">
      <c r="A152" s="15" t="n">
        <v>148</v>
      </c>
      <c r="B152" t="str">
        <f>IF(B$3=0,"",IF(INDEX(SRC_Woningetalage!$A$1:$ZZ$501,$A152,B$3)&amp;""="","",INDEX(SRC_Woningetalage!$A$1:$ZZ$501,$A152,B$3)&amp;""))</f>
        <v/>
      </c>
      <c r="C152" t="str">
        <f>IF($B152="","",IF(C$3=0,"n.b.",INDEX(SRC_Woningetalage!$A$1:$ZZ$501,$A152,C$3)))</f>
        <v/>
      </c>
      <c r="D152" t="str">
        <f>IF($B152="","",IF(D$3=0,"n.b.",INDEX(SRC_Woningetalage!$A$1:$ZZ$501,$A152,D$3)))</f>
        <v/>
      </c>
      <c r="E152" t="str">
        <f>IF($B152="","",IF(E$3=0,"n.b.",INDEX(SRC_Woningetalage!$A$1:$ZZ$501,$A152,E$3)))</f>
        <v/>
      </c>
      <c r="F152" t="str">
        <f>IF($B152="","",IF(F$3=0,"n.b.",INDEX(SRC_Woningetalage!$A$1:$ZZ$501,$A152,F$3)))</f>
        <v/>
      </c>
      <c r="G152" t="str">
        <f>IF($B152="","",IF(G$3=0,"n.b.",INDEX(SRC_Woningetalage!$A$1:$ZZ$501,$A152,G$3)))</f>
        <v/>
      </c>
      <c r="H152" t="str">
        <f>IF($B152="","",IF(H$3=0,"n.b.",INDEX(SRC_Woningetalage!$A$1:$ZZ$501,$A152,H$3)))</f>
        <v/>
      </c>
      <c r="I152" t="str">
        <f>IF($B152="","",IF(I$3=0,"n.b.",INDEX(SRC_Woningetalage!$A$1:$ZZ$501,$A152,I$3)))</f>
        <v/>
      </c>
      <c r="J152" t="str">
        <f>IF($B152="","",IF(J$3=0,"n.b.",INDEX(SRC_Woningetalage!$A$1:$ZZ$501,$A152,J$3)))</f>
        <v/>
      </c>
      <c r="K152" t="str">
        <f>IF($B152="","",IF(K$3=0,"n.b.",INDEX(SRC_Woningetalage!$A$1:$ZZ$501,$A152,K$3)))</f>
        <v/>
      </c>
      <c r="L152" t="str">
        <f>IF($B152="","",IF(L$3=0,"n.b.",INDEX(SRC_Woningetalage!$A$1:$ZZ$501,$A152,L$3)))</f>
        <v/>
      </c>
      <c r="M152" t="str">
        <f>IF($B152="","",IF(M$3=0,"n.b.",INDEX(SRC_Woningetalage!$A$1:$ZZ$501,$A152,M$3)))</f>
        <v/>
      </c>
      <c r="N152" t="str">
        <f>IF($B152="","",IF(N$3=0,"n.b.",INDEX(SRC_Woningetalage!$A$1:$ZZ$501,$A152,N$3)))</f>
        <v/>
      </c>
      <c r="O152" t="str">
        <f>IF($B152="","",IF(O$3=0,"n.b.",INDEX(SRC_Woningetalage!$A$1:$ZZ$501,$A152,O$3)))</f>
        <v/>
      </c>
      <c r="P152" t="str">
        <f>IF($B152="","",IF(P$3=0,"n.b.",INDEX(SRC_Woningetalage!$A$1:$ZZ$501,$A152,P$3)))</f>
        <v/>
      </c>
      <c r="Q152" s="124" t="str">
        <f>IF($B152="","",IF(Q$3=0,"n.b.",INDEX(SRC_Woningetalage!$A$1:$ZZ$501,$A152,Q$3)))</f>
        <v/>
      </c>
      <c r="R152" s="124" t="str">
        <f>IF($B152="","",IF(R$3=0,"n.b.",INDEX(SRC_Woningetalage!$A$1:$ZZ$501,$A152,R$3)))</f>
        <v/>
      </c>
      <c r="S152" s="124" t="str">
        <f>IF($B152="","",IF(S$3=0,"n.b.",INDEX(SRC_Woningetalage!$A$1:$ZZ$501,$A152,S$3)))</f>
        <v/>
      </c>
      <c r="T152" s="124" t="str">
        <f>IF($B152="","",IF(T$3=0,"n.b.",INDEX(SRC_Woningetalage!$A$1:$ZZ$501,$A152,T$3)))</f>
        <v/>
      </c>
      <c r="U152" s="124" t="str">
        <f>IF($B152="","",IF(U$3=0,"n.b.",INDEX(SRC_Woningetalage!$A$1:$ZZ$501,$A152,U$3)))</f>
        <v/>
      </c>
      <c r="V152" s="124" t="str">
        <f>IF($B152="","",IF(V$3=0,"n.b.",INDEX(SRC_Woningetalage!$A$1:$ZZ$501,$A152,V$3)))</f>
        <v/>
      </c>
      <c r="W152" s="124" t="str">
        <f>IF($B152="","",IF(W$3=0,"n.b.",INDEX(SRC_Woningetalage!$A$1:$ZZ$501,$A152,W$3)))</f>
        <v/>
      </c>
      <c r="X152" s="124" t="str">
        <f>IF($B152="","",IF(X$3=0,"n.b.",INDEX(SRC_Woningetalage!$A$1:$ZZ$501,$A152,X$3)))</f>
        <v/>
      </c>
      <c r="Y152" s="124" t="str">
        <f>IF($B152="","",IF(Y$3=0,"n.b.",INDEX(SRC_Woningetalage!$A$1:$ZZ$501,$A152,Y$3)))</f>
        <v/>
      </c>
      <c r="Z152" s="124" t="str">
        <f>IF($B152="","",IF(Z$3=0,"n.b.",INDEX(SRC_Woningetalage!$A$1:$ZZ$501,$A152,Z$3)))</f>
        <v/>
      </c>
      <c r="AA152" s="124" t="str">
        <f>IF($B152="","",IF(AA$3=0,"n.b.",INDEX(SRC_Woningetalage!$A$1:$ZZ$501,$A152,AA$3)))</f>
        <v/>
      </c>
      <c r="AB152" s="124" t="str">
        <f>IF($B152="","",IF(AB$3=0,"n.b.",INDEX(SRC_Woningetalage!$A$1:$ZZ$501,$A152,AB$3)))</f>
        <v/>
      </c>
      <c r="AC152" s="124" t="str">
        <f>IF($B152="","",IF(AC$3=0,"n.b.",INDEX(SRC_Woningetalage!$A$1:$ZZ$501,$A152,AC$3)))</f>
        <v/>
      </c>
      <c r="AD152" s="124" t="str">
        <f>IF($B152="","",IF(AD$3=0,"n.b.",INDEX(SRC_Woningetalage!$A$1:$ZZ$501,$A152,AD$3)))</f>
        <v/>
      </c>
      <c r="AE152" s="124" t="str">
        <f>IF($B152="","",IF(AE$3=0,"n.b.",INDEX(SRC_Woningetalage!$A$1:$ZZ$501,$A152,AE$3)))</f>
        <v/>
      </c>
      <c r="AF152" s="124" t="str">
        <f>IF($B152="","",IF(AF$3=0,"n.b.",INDEX(SRC_Woningetalage!$A$1:$ZZ$501,$A152,AF$3)))</f>
        <v/>
      </c>
      <c r="AG152" s="124" t="str">
        <f>IF($B152="","",IF(AG$3=0,"n.b.",INDEX(SRC_Woningetalage!$A$1:$ZZ$501,$A152,AG$3)))</f>
        <v/>
      </c>
      <c r="AH152" s="124" t="str">
        <f>IF($B152="","",IF(AH$3=0,"n.b.",INDEX(SRC_Woningetalage!$A$1:$ZZ$501,$A152,AH$3)))</f>
        <v/>
      </c>
      <c r="AI152" s="124" t="str">
        <f>IF($B152="","",IF(AI$3=0,"n.b.",INDEX(SRC_Woningetalage!$A$1:$ZZ$501,$A152,AI$3)))</f>
        <v/>
      </c>
      <c r="AJ152" s="124" t="str">
        <f>IF($B152="","",IF(AJ$3=0,"n.b.",INDEX(SRC_Woningetalage!$A$1:$ZZ$501,$A152,AJ$3)))</f>
        <v/>
      </c>
      <c r="AK152" s="124" t="str">
        <f>IF($B152="","",IF(AK$3=0,"n.b.",INDEX(SRC_Woningetalage!$A$1:$ZZ$501,$A152,AK$3)))</f>
        <v/>
      </c>
      <c r="AL152" s="124" t="str">
        <f>IF($B152="","",IF(AL$3=0,"n.b.",INDEX(SRC_Woningetalage!$A$1:$ZZ$501,$A152,AL$3)))</f>
        <v/>
      </c>
      <c r="AM152" s="124" t="str">
        <f>IF($B152="","",IF(AM$3=0,"n.b.",INDEX(SRC_Woningetalage!$A$1:$ZZ$501,$A152,AM$3)))</f>
        <v/>
      </c>
      <c r="AN152" s="124" t="str">
        <f>IF($B152="","",IF(AN$3=0,"n.b.",INDEX(SRC_Woningetalage!$A$1:$ZZ$501,$A152,AN$3)))</f>
        <v/>
      </c>
      <c r="AO152" s="124" t="str">
        <f>IF($B152="","",IF(AO$3=0,"n.b.",INDEX(SRC_Woningetalage!$A$1:$ZZ$501,$A152,AO$3)))</f>
        <v/>
      </c>
      <c r="AP152" s="124" t="str">
        <f>IF($B152="","",IF(AP$3=0,"n.b.",INDEX(SRC_Woningetalage!$A$1:$ZZ$501,$A152,AP$3)))</f>
        <v/>
      </c>
      <c r="AQ152" s="124" t="str">
        <f>IF($B152="","",IF(AQ$3=0,"n.b.",INDEX(SRC_Woningetalage!$A$1:$ZZ$501,$A152,AQ$3)))</f>
        <v/>
      </c>
      <c r="AR152" s="124" t="str">
        <f>IF($B152="","",IF(AR$3=0,"n.b.",INDEX(SRC_Woningetalage!$A$1:$ZZ$501,$A152,AR$3)))</f>
        <v/>
      </c>
      <c r="AS152" s="124" t="str">
        <f>IF($B152="","",IF(AS$3=0,"n.b.",INDEX(SRC_Woningetalage!$A$1:$ZZ$501,$A152,AS$3)))</f>
        <v/>
      </c>
      <c r="AT152" s="124" t="str">
        <f>IF($B152="","",IF(AT$3=0,"n.b.",INDEX(SRC_Woningetalage!$A$1:$ZZ$501,$A152,AT$3)))</f>
        <v/>
      </c>
      <c r="AU152" s="124" t="str">
        <f>IF($B152="","",IF(AU$3=0,"n.b.",INDEX(SRC_Woningetalage!$A$1:$ZZ$501,$A152,AU$3)))</f>
        <v/>
      </c>
      <c r="AV152" s="124" t="str">
        <f>IF($B152="","",IF(AV$3=0,"n.b.",INDEX(SRC_Woningetalage!$A$1:$ZZ$501,$A152,AV$3)))</f>
        <v/>
      </c>
      <c r="AW152" s="124" t="str">
        <f>IF($B152="","",IF(AW$3=0,"n.b.",INDEX(SRC_Woningetalage!$A$1:$ZZ$501,$A152,AW$3)))</f>
        <v/>
      </c>
      <c r="AX152" s="124" t="str">
        <f>IF($B152="","",IF(AX$3=0,"n.b.",INDEX(SRC_Woningetalage!$A$1:$ZZ$501,$A152,AX$3)))</f>
        <v/>
      </c>
      <c r="AY152" s="124" t="str">
        <f>IF($B152="","",IF(AY$3=0,"n.b.",INDEX(SRC_Woningetalage!$A$1:$ZZ$501,$A152,AY$3)))</f>
        <v/>
      </c>
      <c r="AZ152" s="124" t="str">
        <f>IF($B152="","",IF(AZ$3=0,"n.b.",INDEX(SRC_Woningetalage!$A$1:$ZZ$501,$A152,AZ$3)))</f>
        <v/>
      </c>
      <c r="BA152" s="124" t="str">
        <f>IF($B152="","",IF(BA$3=0,"n.b.",INDEX(SRC_Woningetalage!$A$1:$ZZ$501,$A152,BA$3)))</f>
        <v/>
      </c>
      <c r="BB152" s="124" t="str">
        <f>IF($B152="","",IF(BB$3=0,"n.b.",INDEX(SRC_Woningetalage!$A$1:$ZZ$501,$A152,BB$3)))</f>
        <v/>
      </c>
      <c r="BC152" s="124" t="str">
        <f>IF($B152="","",IFERROR(_xlfn.NUMBERVALUE(E152&amp;"",",","."),"n.b."))</f>
        <v/>
      </c>
      <c r="BD152" s="124" t="str">
        <f>IF($B152="","",IFERROR(_xlfn.NUMBERVALUE(M152&amp;"",",","."),"n.b."))</f>
        <v/>
      </c>
      <c r="BE152" s="124" t="str">
        <f>IF($B152="","",IFERROR(AB152+AC152+AD152,"n.b."))</f>
        <v/>
      </c>
      <c r="BF152" s="124" t="str">
        <f>IF($B152="","",IFERROR(AE152+AF152+AG152,"n.b."))</f>
        <v/>
      </c>
      <c r="BG152" s="124" t="str">
        <f>IF($B152="","",IFERROR(AH152+AI152+AJ152,"n.b."))</f>
        <v/>
      </c>
      <c r="BH152" s="124" t="str">
        <f>IF($B152="","",IFERROR(AK152+AL152+AM152,"n.b."))</f>
        <v/>
      </c>
      <c r="BI152" s="124" t="str">
        <f>IF($B152="","",IFERROR(SUMIF($AB$5:$AM$5,"&lt;="&amp;P_PeilMaand,AB152:AM152),"n.b."))</f>
        <v/>
      </c>
      <c r="BJ152" s="124" t="str">
        <f>IF($B152="","",IFERROR(SUM(AB152:AM152)-BI152,"n.b."))</f>
        <v/>
      </c>
      <c r="BK152" s="124" t="str">
        <f>IF($B152="","",IFERROR(IF(ABS(Q152-(T152+SUM(AB152:AM152)+AS152+AU152))&gt;P_Tol,1,0),1))</f>
        <v/>
      </c>
      <c r="BL152" s="124" t="str">
        <f>IF($B152="","",IFERROR(IF(ABS(AA152-(Q152-Z152))&gt;P_Tol,1,0),1))</f>
        <v/>
      </c>
      <c r="BM152" s="124" t="str">
        <f>IF($B152="","",IFERROR(IF(ABS(Z152-(T152+W152))&gt;P_Tol,1,0),1))</f>
        <v/>
      </c>
      <c r="BN152" s="124" t="str">
        <f>IF($B152="","",IFERROR(IF(ABS(W152-BI152)&gt;P_Tol,1,0),1))</f>
        <v/>
      </c>
      <c r="BO152" s="124" t="str">
        <f>IF($B152="","",IFERROR(IF(OR(ABS(R152+S152-T152)&gt;P_Tol,ABS(U152+V152-W152)&gt;P_Tol,ABS(X152+Y152-Z152)&gt;P_Tol),1,0),1))</f>
        <v/>
      </c>
      <c r="BP152" s="124" t="str">
        <f>IF($B152="","",IFERROR(IF(OR(ABS(AR152-SUM(AB152:AM152))&gt;P_Tol,ABS(AS152-(AN152+AO152+AP152+AQ152))&gt;P_Tol),1,0),1))</f>
        <v/>
      </c>
      <c r="BQ152" s="124" t="str">
        <f>IF($B152="","",IFERROR(IF(ABS(AT152)+ABS(AV152)+ABS(AW152)+ABS(AX152)+ABS(AY152)+ABS(AZ152)+ABS(BA152)+ABS(BB152)&gt;0,1,0),1))</f>
        <v/>
      </c>
      <c r="BR152" s="124" t="str">
        <f>IF($B152="","",COUNTIF(STG_ZPMW03!$B$6:$B$505,B152))</f>
        <v/>
      </c>
      <c r="BS152" s="124" t="str">
        <f>IF($B152="","",COUNTIF($B$6:$B$505,B152))</f>
        <v/>
      </c>
      <c r="BT152" s="124" t="str">
        <f>IF($B152="","",IF(BR152=0,0,IF(INDEX(STG_ZPMW03!$I$6:$I$505,MATCH(B152,STG_ZPMW03!$B$6:$B$505,0))=J152&amp;"",0,1)))</f>
        <v/>
      </c>
      <c r="BU152" s="124" t="str">
        <f>IF($B152="","",IFERROR(IF(ABS(INDEX(Mapping!$D$5:$D$104,MATCH(B152,Mapping!$A$5:$A$104,0))-Q152)&gt;P_Tol,1,0),0))</f>
        <v/>
      </c>
      <c r="BV152" s="124" t="str">
        <f>IF($B152="","",IFERROR(IF(AND(INDEX(Mapping!$G$5:$G$104,MATCH(B152,Mapping!$A$5:$A$104,0))="Nee",ABS(Q152)+ABS(Z152)+ABS(AR152)&gt;0),1,0),0))</f>
        <v/>
      </c>
      <c r="BW152" s="124" t="str">
        <f>IF($B152="","",IF(COUNTIF(Mapping!$A$5:$A$104,B152)&gt;0,1,0))</f>
        <v/>
      </c>
      <c r="BX152" s="124" t="str">
        <f>IF($B152="","",IF(BR152=0,COUNTIF($BR$6:BR152,0),""))</f>
        <v/>
      </c>
    </row>
    <row r="153">
      <c r="A153" s="15" t="n">
        <v>149</v>
      </c>
      <c r="B153" t="str">
        <f>IF(B$3=0,"",IF(INDEX(SRC_Woningetalage!$A$1:$ZZ$501,$A153,B$3)&amp;""="","",INDEX(SRC_Woningetalage!$A$1:$ZZ$501,$A153,B$3)&amp;""))</f>
        <v/>
      </c>
      <c r="C153" t="str">
        <f>IF($B153="","",IF(C$3=0,"n.b.",INDEX(SRC_Woningetalage!$A$1:$ZZ$501,$A153,C$3)))</f>
        <v/>
      </c>
      <c r="D153" t="str">
        <f>IF($B153="","",IF(D$3=0,"n.b.",INDEX(SRC_Woningetalage!$A$1:$ZZ$501,$A153,D$3)))</f>
        <v/>
      </c>
      <c r="E153" t="str">
        <f>IF($B153="","",IF(E$3=0,"n.b.",INDEX(SRC_Woningetalage!$A$1:$ZZ$501,$A153,E$3)))</f>
        <v/>
      </c>
      <c r="F153" t="str">
        <f>IF($B153="","",IF(F$3=0,"n.b.",INDEX(SRC_Woningetalage!$A$1:$ZZ$501,$A153,F$3)))</f>
        <v/>
      </c>
      <c r="G153" t="str">
        <f>IF($B153="","",IF(G$3=0,"n.b.",INDEX(SRC_Woningetalage!$A$1:$ZZ$501,$A153,G$3)))</f>
        <v/>
      </c>
      <c r="H153" t="str">
        <f>IF($B153="","",IF(H$3=0,"n.b.",INDEX(SRC_Woningetalage!$A$1:$ZZ$501,$A153,H$3)))</f>
        <v/>
      </c>
      <c r="I153" t="str">
        <f>IF($B153="","",IF(I$3=0,"n.b.",INDEX(SRC_Woningetalage!$A$1:$ZZ$501,$A153,I$3)))</f>
        <v/>
      </c>
      <c r="J153" t="str">
        <f>IF($B153="","",IF(J$3=0,"n.b.",INDEX(SRC_Woningetalage!$A$1:$ZZ$501,$A153,J$3)))</f>
        <v/>
      </c>
      <c r="K153" t="str">
        <f>IF($B153="","",IF(K$3=0,"n.b.",INDEX(SRC_Woningetalage!$A$1:$ZZ$501,$A153,K$3)))</f>
        <v/>
      </c>
      <c r="L153" t="str">
        <f>IF($B153="","",IF(L$3=0,"n.b.",INDEX(SRC_Woningetalage!$A$1:$ZZ$501,$A153,L$3)))</f>
        <v/>
      </c>
      <c r="M153" t="str">
        <f>IF($B153="","",IF(M$3=0,"n.b.",INDEX(SRC_Woningetalage!$A$1:$ZZ$501,$A153,M$3)))</f>
        <v/>
      </c>
      <c r="N153" t="str">
        <f>IF($B153="","",IF(N$3=0,"n.b.",INDEX(SRC_Woningetalage!$A$1:$ZZ$501,$A153,N$3)))</f>
        <v/>
      </c>
      <c r="O153" t="str">
        <f>IF($B153="","",IF(O$3=0,"n.b.",INDEX(SRC_Woningetalage!$A$1:$ZZ$501,$A153,O$3)))</f>
        <v/>
      </c>
      <c r="P153" t="str">
        <f>IF($B153="","",IF(P$3=0,"n.b.",INDEX(SRC_Woningetalage!$A$1:$ZZ$501,$A153,P$3)))</f>
        <v/>
      </c>
      <c r="Q153" s="124" t="str">
        <f>IF($B153="","",IF(Q$3=0,"n.b.",INDEX(SRC_Woningetalage!$A$1:$ZZ$501,$A153,Q$3)))</f>
        <v/>
      </c>
      <c r="R153" s="124" t="str">
        <f>IF($B153="","",IF(R$3=0,"n.b.",INDEX(SRC_Woningetalage!$A$1:$ZZ$501,$A153,R$3)))</f>
        <v/>
      </c>
      <c r="S153" s="124" t="str">
        <f>IF($B153="","",IF(S$3=0,"n.b.",INDEX(SRC_Woningetalage!$A$1:$ZZ$501,$A153,S$3)))</f>
        <v/>
      </c>
      <c r="T153" s="124" t="str">
        <f>IF($B153="","",IF(T$3=0,"n.b.",INDEX(SRC_Woningetalage!$A$1:$ZZ$501,$A153,T$3)))</f>
        <v/>
      </c>
      <c r="U153" s="124" t="str">
        <f>IF($B153="","",IF(U$3=0,"n.b.",INDEX(SRC_Woningetalage!$A$1:$ZZ$501,$A153,U$3)))</f>
        <v/>
      </c>
      <c r="V153" s="124" t="str">
        <f>IF($B153="","",IF(V$3=0,"n.b.",INDEX(SRC_Woningetalage!$A$1:$ZZ$501,$A153,V$3)))</f>
        <v/>
      </c>
      <c r="W153" s="124" t="str">
        <f>IF($B153="","",IF(W$3=0,"n.b.",INDEX(SRC_Woningetalage!$A$1:$ZZ$501,$A153,W$3)))</f>
        <v/>
      </c>
      <c r="X153" s="124" t="str">
        <f>IF($B153="","",IF(X$3=0,"n.b.",INDEX(SRC_Woningetalage!$A$1:$ZZ$501,$A153,X$3)))</f>
        <v/>
      </c>
      <c r="Y153" s="124" t="str">
        <f>IF($B153="","",IF(Y$3=0,"n.b.",INDEX(SRC_Woningetalage!$A$1:$ZZ$501,$A153,Y$3)))</f>
        <v/>
      </c>
      <c r="Z153" s="124" t="str">
        <f>IF($B153="","",IF(Z$3=0,"n.b.",INDEX(SRC_Woningetalage!$A$1:$ZZ$501,$A153,Z$3)))</f>
        <v/>
      </c>
      <c r="AA153" s="124" t="str">
        <f>IF($B153="","",IF(AA$3=0,"n.b.",INDEX(SRC_Woningetalage!$A$1:$ZZ$501,$A153,AA$3)))</f>
        <v/>
      </c>
      <c r="AB153" s="124" t="str">
        <f>IF($B153="","",IF(AB$3=0,"n.b.",INDEX(SRC_Woningetalage!$A$1:$ZZ$501,$A153,AB$3)))</f>
        <v/>
      </c>
      <c r="AC153" s="124" t="str">
        <f>IF($B153="","",IF(AC$3=0,"n.b.",INDEX(SRC_Woningetalage!$A$1:$ZZ$501,$A153,AC$3)))</f>
        <v/>
      </c>
      <c r="AD153" s="124" t="str">
        <f>IF($B153="","",IF(AD$3=0,"n.b.",INDEX(SRC_Woningetalage!$A$1:$ZZ$501,$A153,AD$3)))</f>
        <v/>
      </c>
      <c r="AE153" s="124" t="str">
        <f>IF($B153="","",IF(AE$3=0,"n.b.",INDEX(SRC_Woningetalage!$A$1:$ZZ$501,$A153,AE$3)))</f>
        <v/>
      </c>
      <c r="AF153" s="124" t="str">
        <f>IF($B153="","",IF(AF$3=0,"n.b.",INDEX(SRC_Woningetalage!$A$1:$ZZ$501,$A153,AF$3)))</f>
        <v/>
      </c>
      <c r="AG153" s="124" t="str">
        <f>IF($B153="","",IF(AG$3=0,"n.b.",INDEX(SRC_Woningetalage!$A$1:$ZZ$501,$A153,AG$3)))</f>
        <v/>
      </c>
      <c r="AH153" s="124" t="str">
        <f>IF($B153="","",IF(AH$3=0,"n.b.",INDEX(SRC_Woningetalage!$A$1:$ZZ$501,$A153,AH$3)))</f>
        <v/>
      </c>
      <c r="AI153" s="124" t="str">
        <f>IF($B153="","",IF(AI$3=0,"n.b.",INDEX(SRC_Woningetalage!$A$1:$ZZ$501,$A153,AI$3)))</f>
        <v/>
      </c>
      <c r="AJ153" s="124" t="str">
        <f>IF($B153="","",IF(AJ$3=0,"n.b.",INDEX(SRC_Woningetalage!$A$1:$ZZ$501,$A153,AJ$3)))</f>
        <v/>
      </c>
      <c r="AK153" s="124" t="str">
        <f>IF($B153="","",IF(AK$3=0,"n.b.",INDEX(SRC_Woningetalage!$A$1:$ZZ$501,$A153,AK$3)))</f>
        <v/>
      </c>
      <c r="AL153" s="124" t="str">
        <f>IF($B153="","",IF(AL$3=0,"n.b.",INDEX(SRC_Woningetalage!$A$1:$ZZ$501,$A153,AL$3)))</f>
        <v/>
      </c>
      <c r="AM153" s="124" t="str">
        <f>IF($B153="","",IF(AM$3=0,"n.b.",INDEX(SRC_Woningetalage!$A$1:$ZZ$501,$A153,AM$3)))</f>
        <v/>
      </c>
      <c r="AN153" s="124" t="str">
        <f>IF($B153="","",IF(AN$3=0,"n.b.",INDEX(SRC_Woningetalage!$A$1:$ZZ$501,$A153,AN$3)))</f>
        <v/>
      </c>
      <c r="AO153" s="124" t="str">
        <f>IF($B153="","",IF(AO$3=0,"n.b.",INDEX(SRC_Woningetalage!$A$1:$ZZ$501,$A153,AO$3)))</f>
        <v/>
      </c>
      <c r="AP153" s="124" t="str">
        <f>IF($B153="","",IF(AP$3=0,"n.b.",INDEX(SRC_Woningetalage!$A$1:$ZZ$501,$A153,AP$3)))</f>
        <v/>
      </c>
      <c r="AQ153" s="124" t="str">
        <f>IF($B153="","",IF(AQ$3=0,"n.b.",INDEX(SRC_Woningetalage!$A$1:$ZZ$501,$A153,AQ$3)))</f>
        <v/>
      </c>
      <c r="AR153" s="124" t="str">
        <f>IF($B153="","",IF(AR$3=0,"n.b.",INDEX(SRC_Woningetalage!$A$1:$ZZ$501,$A153,AR$3)))</f>
        <v/>
      </c>
      <c r="AS153" s="124" t="str">
        <f>IF($B153="","",IF(AS$3=0,"n.b.",INDEX(SRC_Woningetalage!$A$1:$ZZ$501,$A153,AS$3)))</f>
        <v/>
      </c>
      <c r="AT153" s="124" t="str">
        <f>IF($B153="","",IF(AT$3=0,"n.b.",INDEX(SRC_Woningetalage!$A$1:$ZZ$501,$A153,AT$3)))</f>
        <v/>
      </c>
      <c r="AU153" s="124" t="str">
        <f>IF($B153="","",IF(AU$3=0,"n.b.",INDEX(SRC_Woningetalage!$A$1:$ZZ$501,$A153,AU$3)))</f>
        <v/>
      </c>
      <c r="AV153" s="124" t="str">
        <f>IF($B153="","",IF(AV$3=0,"n.b.",INDEX(SRC_Woningetalage!$A$1:$ZZ$501,$A153,AV$3)))</f>
        <v/>
      </c>
      <c r="AW153" s="124" t="str">
        <f>IF($B153="","",IF(AW$3=0,"n.b.",INDEX(SRC_Woningetalage!$A$1:$ZZ$501,$A153,AW$3)))</f>
        <v/>
      </c>
      <c r="AX153" s="124" t="str">
        <f>IF($B153="","",IF(AX$3=0,"n.b.",INDEX(SRC_Woningetalage!$A$1:$ZZ$501,$A153,AX$3)))</f>
        <v/>
      </c>
      <c r="AY153" s="124" t="str">
        <f>IF($B153="","",IF(AY$3=0,"n.b.",INDEX(SRC_Woningetalage!$A$1:$ZZ$501,$A153,AY$3)))</f>
        <v/>
      </c>
      <c r="AZ153" s="124" t="str">
        <f>IF($B153="","",IF(AZ$3=0,"n.b.",INDEX(SRC_Woningetalage!$A$1:$ZZ$501,$A153,AZ$3)))</f>
        <v/>
      </c>
      <c r="BA153" s="124" t="str">
        <f>IF($B153="","",IF(BA$3=0,"n.b.",INDEX(SRC_Woningetalage!$A$1:$ZZ$501,$A153,BA$3)))</f>
        <v/>
      </c>
      <c r="BB153" s="124" t="str">
        <f>IF($B153="","",IF(BB$3=0,"n.b.",INDEX(SRC_Woningetalage!$A$1:$ZZ$501,$A153,BB$3)))</f>
        <v/>
      </c>
      <c r="BC153" s="124" t="str">
        <f>IF($B153="","",IFERROR(_xlfn.NUMBERVALUE(E153&amp;"",",","."),"n.b."))</f>
        <v/>
      </c>
      <c r="BD153" s="124" t="str">
        <f>IF($B153="","",IFERROR(_xlfn.NUMBERVALUE(M153&amp;"",",","."),"n.b."))</f>
        <v/>
      </c>
      <c r="BE153" s="124" t="str">
        <f>IF($B153="","",IFERROR(AB153+AC153+AD153,"n.b."))</f>
        <v/>
      </c>
      <c r="BF153" s="124" t="str">
        <f>IF($B153="","",IFERROR(AE153+AF153+AG153,"n.b."))</f>
        <v/>
      </c>
      <c r="BG153" s="124" t="str">
        <f>IF($B153="","",IFERROR(AH153+AI153+AJ153,"n.b."))</f>
        <v/>
      </c>
      <c r="BH153" s="124" t="str">
        <f>IF($B153="","",IFERROR(AK153+AL153+AM153,"n.b."))</f>
        <v/>
      </c>
      <c r="BI153" s="124" t="str">
        <f>IF($B153="","",IFERROR(SUMIF($AB$5:$AM$5,"&lt;="&amp;P_PeilMaand,AB153:AM153),"n.b."))</f>
        <v/>
      </c>
      <c r="BJ153" s="124" t="str">
        <f>IF($B153="","",IFERROR(SUM(AB153:AM153)-BI153,"n.b."))</f>
        <v/>
      </c>
      <c r="BK153" s="124" t="str">
        <f>IF($B153="","",IFERROR(IF(ABS(Q153-(T153+SUM(AB153:AM153)+AS153+AU153))&gt;P_Tol,1,0),1))</f>
        <v/>
      </c>
      <c r="BL153" s="124" t="str">
        <f>IF($B153="","",IFERROR(IF(ABS(AA153-(Q153-Z153))&gt;P_Tol,1,0),1))</f>
        <v/>
      </c>
      <c r="BM153" s="124" t="str">
        <f>IF($B153="","",IFERROR(IF(ABS(Z153-(T153+W153))&gt;P_Tol,1,0),1))</f>
        <v/>
      </c>
      <c r="BN153" s="124" t="str">
        <f>IF($B153="","",IFERROR(IF(ABS(W153-BI153)&gt;P_Tol,1,0),1))</f>
        <v/>
      </c>
      <c r="BO153" s="124" t="str">
        <f>IF($B153="","",IFERROR(IF(OR(ABS(R153+S153-T153)&gt;P_Tol,ABS(U153+V153-W153)&gt;P_Tol,ABS(X153+Y153-Z153)&gt;P_Tol),1,0),1))</f>
        <v/>
      </c>
      <c r="BP153" s="124" t="str">
        <f>IF($B153="","",IFERROR(IF(OR(ABS(AR153-SUM(AB153:AM153))&gt;P_Tol,ABS(AS153-(AN153+AO153+AP153+AQ153))&gt;P_Tol),1,0),1))</f>
        <v/>
      </c>
      <c r="BQ153" s="124" t="str">
        <f>IF($B153="","",IFERROR(IF(ABS(AT153)+ABS(AV153)+ABS(AW153)+ABS(AX153)+ABS(AY153)+ABS(AZ153)+ABS(BA153)+ABS(BB153)&gt;0,1,0),1))</f>
        <v/>
      </c>
      <c r="BR153" s="124" t="str">
        <f>IF($B153="","",COUNTIF(STG_ZPMW03!$B$6:$B$505,B153))</f>
        <v/>
      </c>
      <c r="BS153" s="124" t="str">
        <f>IF($B153="","",COUNTIF($B$6:$B$505,B153))</f>
        <v/>
      </c>
      <c r="BT153" s="124" t="str">
        <f>IF($B153="","",IF(BR153=0,0,IF(INDEX(STG_ZPMW03!$I$6:$I$505,MATCH(B153,STG_ZPMW03!$B$6:$B$505,0))=J153&amp;"",0,1)))</f>
        <v/>
      </c>
      <c r="BU153" s="124" t="str">
        <f>IF($B153="","",IFERROR(IF(ABS(INDEX(Mapping!$D$5:$D$104,MATCH(B153,Mapping!$A$5:$A$104,0))-Q153)&gt;P_Tol,1,0),0))</f>
        <v/>
      </c>
      <c r="BV153" s="124" t="str">
        <f>IF($B153="","",IFERROR(IF(AND(INDEX(Mapping!$G$5:$G$104,MATCH(B153,Mapping!$A$5:$A$104,0))="Nee",ABS(Q153)+ABS(Z153)+ABS(AR153)&gt;0),1,0),0))</f>
        <v/>
      </c>
      <c r="BW153" s="124" t="str">
        <f>IF($B153="","",IF(COUNTIF(Mapping!$A$5:$A$104,B153)&gt;0,1,0))</f>
        <v/>
      </c>
      <c r="BX153" s="124" t="str">
        <f>IF($B153="","",IF(BR153=0,COUNTIF($BR$6:BR153,0),""))</f>
        <v/>
      </c>
    </row>
    <row r="154">
      <c r="A154" s="15" t="n">
        <v>150</v>
      </c>
      <c r="B154" t="str">
        <f>IF(B$3=0,"",IF(INDEX(SRC_Woningetalage!$A$1:$ZZ$501,$A154,B$3)&amp;""="","",INDEX(SRC_Woningetalage!$A$1:$ZZ$501,$A154,B$3)&amp;""))</f>
        <v/>
      </c>
      <c r="C154" t="str">
        <f>IF($B154="","",IF(C$3=0,"n.b.",INDEX(SRC_Woningetalage!$A$1:$ZZ$501,$A154,C$3)))</f>
        <v/>
      </c>
      <c r="D154" t="str">
        <f>IF($B154="","",IF(D$3=0,"n.b.",INDEX(SRC_Woningetalage!$A$1:$ZZ$501,$A154,D$3)))</f>
        <v/>
      </c>
      <c r="E154" t="str">
        <f>IF($B154="","",IF(E$3=0,"n.b.",INDEX(SRC_Woningetalage!$A$1:$ZZ$501,$A154,E$3)))</f>
        <v/>
      </c>
      <c r="F154" t="str">
        <f>IF($B154="","",IF(F$3=0,"n.b.",INDEX(SRC_Woningetalage!$A$1:$ZZ$501,$A154,F$3)))</f>
        <v/>
      </c>
      <c r="G154" t="str">
        <f>IF($B154="","",IF(G$3=0,"n.b.",INDEX(SRC_Woningetalage!$A$1:$ZZ$501,$A154,G$3)))</f>
        <v/>
      </c>
      <c r="H154" t="str">
        <f>IF($B154="","",IF(H$3=0,"n.b.",INDEX(SRC_Woningetalage!$A$1:$ZZ$501,$A154,H$3)))</f>
        <v/>
      </c>
      <c r="I154" t="str">
        <f>IF($B154="","",IF(I$3=0,"n.b.",INDEX(SRC_Woningetalage!$A$1:$ZZ$501,$A154,I$3)))</f>
        <v/>
      </c>
      <c r="J154" t="str">
        <f>IF($B154="","",IF(J$3=0,"n.b.",INDEX(SRC_Woningetalage!$A$1:$ZZ$501,$A154,J$3)))</f>
        <v/>
      </c>
      <c r="K154" t="str">
        <f>IF($B154="","",IF(K$3=0,"n.b.",INDEX(SRC_Woningetalage!$A$1:$ZZ$501,$A154,K$3)))</f>
        <v/>
      </c>
      <c r="L154" t="str">
        <f>IF($B154="","",IF(L$3=0,"n.b.",INDEX(SRC_Woningetalage!$A$1:$ZZ$501,$A154,L$3)))</f>
        <v/>
      </c>
      <c r="M154" t="str">
        <f>IF($B154="","",IF(M$3=0,"n.b.",INDEX(SRC_Woningetalage!$A$1:$ZZ$501,$A154,M$3)))</f>
        <v/>
      </c>
      <c r="N154" t="str">
        <f>IF($B154="","",IF(N$3=0,"n.b.",INDEX(SRC_Woningetalage!$A$1:$ZZ$501,$A154,N$3)))</f>
        <v/>
      </c>
      <c r="O154" t="str">
        <f>IF($B154="","",IF(O$3=0,"n.b.",INDEX(SRC_Woningetalage!$A$1:$ZZ$501,$A154,O$3)))</f>
        <v/>
      </c>
      <c r="P154" t="str">
        <f>IF($B154="","",IF(P$3=0,"n.b.",INDEX(SRC_Woningetalage!$A$1:$ZZ$501,$A154,P$3)))</f>
        <v/>
      </c>
      <c r="Q154" s="124" t="str">
        <f>IF($B154="","",IF(Q$3=0,"n.b.",INDEX(SRC_Woningetalage!$A$1:$ZZ$501,$A154,Q$3)))</f>
        <v/>
      </c>
      <c r="R154" s="124" t="str">
        <f>IF($B154="","",IF(R$3=0,"n.b.",INDEX(SRC_Woningetalage!$A$1:$ZZ$501,$A154,R$3)))</f>
        <v/>
      </c>
      <c r="S154" s="124" t="str">
        <f>IF($B154="","",IF(S$3=0,"n.b.",INDEX(SRC_Woningetalage!$A$1:$ZZ$501,$A154,S$3)))</f>
        <v/>
      </c>
      <c r="T154" s="124" t="str">
        <f>IF($B154="","",IF(T$3=0,"n.b.",INDEX(SRC_Woningetalage!$A$1:$ZZ$501,$A154,T$3)))</f>
        <v/>
      </c>
      <c r="U154" s="124" t="str">
        <f>IF($B154="","",IF(U$3=0,"n.b.",INDEX(SRC_Woningetalage!$A$1:$ZZ$501,$A154,U$3)))</f>
        <v/>
      </c>
      <c r="V154" s="124" t="str">
        <f>IF($B154="","",IF(V$3=0,"n.b.",INDEX(SRC_Woningetalage!$A$1:$ZZ$501,$A154,V$3)))</f>
        <v/>
      </c>
      <c r="W154" s="124" t="str">
        <f>IF($B154="","",IF(W$3=0,"n.b.",INDEX(SRC_Woningetalage!$A$1:$ZZ$501,$A154,W$3)))</f>
        <v/>
      </c>
      <c r="X154" s="124" t="str">
        <f>IF($B154="","",IF(X$3=0,"n.b.",INDEX(SRC_Woningetalage!$A$1:$ZZ$501,$A154,X$3)))</f>
        <v/>
      </c>
      <c r="Y154" s="124" t="str">
        <f>IF($B154="","",IF(Y$3=0,"n.b.",INDEX(SRC_Woningetalage!$A$1:$ZZ$501,$A154,Y$3)))</f>
        <v/>
      </c>
      <c r="Z154" s="124" t="str">
        <f>IF($B154="","",IF(Z$3=0,"n.b.",INDEX(SRC_Woningetalage!$A$1:$ZZ$501,$A154,Z$3)))</f>
        <v/>
      </c>
      <c r="AA154" s="124" t="str">
        <f>IF($B154="","",IF(AA$3=0,"n.b.",INDEX(SRC_Woningetalage!$A$1:$ZZ$501,$A154,AA$3)))</f>
        <v/>
      </c>
      <c r="AB154" s="124" t="str">
        <f>IF($B154="","",IF(AB$3=0,"n.b.",INDEX(SRC_Woningetalage!$A$1:$ZZ$501,$A154,AB$3)))</f>
        <v/>
      </c>
      <c r="AC154" s="124" t="str">
        <f>IF($B154="","",IF(AC$3=0,"n.b.",INDEX(SRC_Woningetalage!$A$1:$ZZ$501,$A154,AC$3)))</f>
        <v/>
      </c>
      <c r="AD154" s="124" t="str">
        <f>IF($B154="","",IF(AD$3=0,"n.b.",INDEX(SRC_Woningetalage!$A$1:$ZZ$501,$A154,AD$3)))</f>
        <v/>
      </c>
      <c r="AE154" s="124" t="str">
        <f>IF($B154="","",IF(AE$3=0,"n.b.",INDEX(SRC_Woningetalage!$A$1:$ZZ$501,$A154,AE$3)))</f>
        <v/>
      </c>
      <c r="AF154" s="124" t="str">
        <f>IF($B154="","",IF(AF$3=0,"n.b.",INDEX(SRC_Woningetalage!$A$1:$ZZ$501,$A154,AF$3)))</f>
        <v/>
      </c>
      <c r="AG154" s="124" t="str">
        <f>IF($B154="","",IF(AG$3=0,"n.b.",INDEX(SRC_Woningetalage!$A$1:$ZZ$501,$A154,AG$3)))</f>
        <v/>
      </c>
      <c r="AH154" s="124" t="str">
        <f>IF($B154="","",IF(AH$3=0,"n.b.",INDEX(SRC_Woningetalage!$A$1:$ZZ$501,$A154,AH$3)))</f>
        <v/>
      </c>
      <c r="AI154" s="124" t="str">
        <f>IF($B154="","",IF(AI$3=0,"n.b.",INDEX(SRC_Woningetalage!$A$1:$ZZ$501,$A154,AI$3)))</f>
        <v/>
      </c>
      <c r="AJ154" s="124" t="str">
        <f>IF($B154="","",IF(AJ$3=0,"n.b.",INDEX(SRC_Woningetalage!$A$1:$ZZ$501,$A154,AJ$3)))</f>
        <v/>
      </c>
      <c r="AK154" s="124" t="str">
        <f>IF($B154="","",IF(AK$3=0,"n.b.",INDEX(SRC_Woningetalage!$A$1:$ZZ$501,$A154,AK$3)))</f>
        <v/>
      </c>
      <c r="AL154" s="124" t="str">
        <f>IF($B154="","",IF(AL$3=0,"n.b.",INDEX(SRC_Woningetalage!$A$1:$ZZ$501,$A154,AL$3)))</f>
        <v/>
      </c>
      <c r="AM154" s="124" t="str">
        <f>IF($B154="","",IF(AM$3=0,"n.b.",INDEX(SRC_Woningetalage!$A$1:$ZZ$501,$A154,AM$3)))</f>
        <v/>
      </c>
      <c r="AN154" s="124" t="str">
        <f>IF($B154="","",IF(AN$3=0,"n.b.",INDEX(SRC_Woningetalage!$A$1:$ZZ$501,$A154,AN$3)))</f>
        <v/>
      </c>
      <c r="AO154" s="124" t="str">
        <f>IF($B154="","",IF(AO$3=0,"n.b.",INDEX(SRC_Woningetalage!$A$1:$ZZ$501,$A154,AO$3)))</f>
        <v/>
      </c>
      <c r="AP154" s="124" t="str">
        <f>IF($B154="","",IF(AP$3=0,"n.b.",INDEX(SRC_Woningetalage!$A$1:$ZZ$501,$A154,AP$3)))</f>
        <v/>
      </c>
      <c r="AQ154" s="124" t="str">
        <f>IF($B154="","",IF(AQ$3=0,"n.b.",INDEX(SRC_Woningetalage!$A$1:$ZZ$501,$A154,AQ$3)))</f>
        <v/>
      </c>
      <c r="AR154" s="124" t="str">
        <f>IF($B154="","",IF(AR$3=0,"n.b.",INDEX(SRC_Woningetalage!$A$1:$ZZ$501,$A154,AR$3)))</f>
        <v/>
      </c>
      <c r="AS154" s="124" t="str">
        <f>IF($B154="","",IF(AS$3=0,"n.b.",INDEX(SRC_Woningetalage!$A$1:$ZZ$501,$A154,AS$3)))</f>
        <v/>
      </c>
      <c r="AT154" s="124" t="str">
        <f>IF($B154="","",IF(AT$3=0,"n.b.",INDEX(SRC_Woningetalage!$A$1:$ZZ$501,$A154,AT$3)))</f>
        <v/>
      </c>
      <c r="AU154" s="124" t="str">
        <f>IF($B154="","",IF(AU$3=0,"n.b.",INDEX(SRC_Woningetalage!$A$1:$ZZ$501,$A154,AU$3)))</f>
        <v/>
      </c>
      <c r="AV154" s="124" t="str">
        <f>IF($B154="","",IF(AV$3=0,"n.b.",INDEX(SRC_Woningetalage!$A$1:$ZZ$501,$A154,AV$3)))</f>
        <v/>
      </c>
      <c r="AW154" s="124" t="str">
        <f>IF($B154="","",IF(AW$3=0,"n.b.",INDEX(SRC_Woningetalage!$A$1:$ZZ$501,$A154,AW$3)))</f>
        <v/>
      </c>
      <c r="AX154" s="124" t="str">
        <f>IF($B154="","",IF(AX$3=0,"n.b.",INDEX(SRC_Woningetalage!$A$1:$ZZ$501,$A154,AX$3)))</f>
        <v/>
      </c>
      <c r="AY154" s="124" t="str">
        <f>IF($B154="","",IF(AY$3=0,"n.b.",INDEX(SRC_Woningetalage!$A$1:$ZZ$501,$A154,AY$3)))</f>
        <v/>
      </c>
      <c r="AZ154" s="124" t="str">
        <f>IF($B154="","",IF(AZ$3=0,"n.b.",INDEX(SRC_Woningetalage!$A$1:$ZZ$501,$A154,AZ$3)))</f>
        <v/>
      </c>
      <c r="BA154" s="124" t="str">
        <f>IF($B154="","",IF(BA$3=0,"n.b.",INDEX(SRC_Woningetalage!$A$1:$ZZ$501,$A154,BA$3)))</f>
        <v/>
      </c>
      <c r="BB154" s="124" t="str">
        <f>IF($B154="","",IF(BB$3=0,"n.b.",INDEX(SRC_Woningetalage!$A$1:$ZZ$501,$A154,BB$3)))</f>
        <v/>
      </c>
      <c r="BC154" s="124" t="str">
        <f>IF($B154="","",IFERROR(_xlfn.NUMBERVALUE(E154&amp;"",",","."),"n.b."))</f>
        <v/>
      </c>
      <c r="BD154" s="124" t="str">
        <f>IF($B154="","",IFERROR(_xlfn.NUMBERVALUE(M154&amp;"",",","."),"n.b."))</f>
        <v/>
      </c>
      <c r="BE154" s="124" t="str">
        <f>IF($B154="","",IFERROR(AB154+AC154+AD154,"n.b."))</f>
        <v/>
      </c>
      <c r="BF154" s="124" t="str">
        <f>IF($B154="","",IFERROR(AE154+AF154+AG154,"n.b."))</f>
        <v/>
      </c>
      <c r="BG154" s="124" t="str">
        <f>IF($B154="","",IFERROR(AH154+AI154+AJ154,"n.b."))</f>
        <v/>
      </c>
      <c r="BH154" s="124" t="str">
        <f>IF($B154="","",IFERROR(AK154+AL154+AM154,"n.b."))</f>
        <v/>
      </c>
      <c r="BI154" s="124" t="str">
        <f>IF($B154="","",IFERROR(SUMIF($AB$5:$AM$5,"&lt;="&amp;P_PeilMaand,AB154:AM154),"n.b."))</f>
        <v/>
      </c>
      <c r="BJ154" s="124" t="str">
        <f>IF($B154="","",IFERROR(SUM(AB154:AM154)-BI154,"n.b."))</f>
        <v/>
      </c>
      <c r="BK154" s="124" t="str">
        <f>IF($B154="","",IFERROR(IF(ABS(Q154-(T154+SUM(AB154:AM154)+AS154+AU154))&gt;P_Tol,1,0),1))</f>
        <v/>
      </c>
      <c r="BL154" s="124" t="str">
        <f>IF($B154="","",IFERROR(IF(ABS(AA154-(Q154-Z154))&gt;P_Tol,1,0),1))</f>
        <v/>
      </c>
      <c r="BM154" s="124" t="str">
        <f>IF($B154="","",IFERROR(IF(ABS(Z154-(T154+W154))&gt;P_Tol,1,0),1))</f>
        <v/>
      </c>
      <c r="BN154" s="124" t="str">
        <f>IF($B154="","",IFERROR(IF(ABS(W154-BI154)&gt;P_Tol,1,0),1))</f>
        <v/>
      </c>
      <c r="BO154" s="124" t="str">
        <f>IF($B154="","",IFERROR(IF(OR(ABS(R154+S154-T154)&gt;P_Tol,ABS(U154+V154-W154)&gt;P_Tol,ABS(X154+Y154-Z154)&gt;P_Tol),1,0),1))</f>
        <v/>
      </c>
      <c r="BP154" s="124" t="str">
        <f>IF($B154="","",IFERROR(IF(OR(ABS(AR154-SUM(AB154:AM154))&gt;P_Tol,ABS(AS154-(AN154+AO154+AP154+AQ154))&gt;P_Tol),1,0),1))</f>
        <v/>
      </c>
      <c r="BQ154" s="124" t="str">
        <f>IF($B154="","",IFERROR(IF(ABS(AT154)+ABS(AV154)+ABS(AW154)+ABS(AX154)+ABS(AY154)+ABS(AZ154)+ABS(BA154)+ABS(BB154)&gt;0,1,0),1))</f>
        <v/>
      </c>
      <c r="BR154" s="124" t="str">
        <f>IF($B154="","",COUNTIF(STG_ZPMW03!$B$6:$B$505,B154))</f>
        <v/>
      </c>
      <c r="BS154" s="124" t="str">
        <f>IF($B154="","",COUNTIF($B$6:$B$505,B154))</f>
        <v/>
      </c>
      <c r="BT154" s="124" t="str">
        <f>IF($B154="","",IF(BR154=0,0,IF(INDEX(STG_ZPMW03!$I$6:$I$505,MATCH(B154,STG_ZPMW03!$B$6:$B$505,0))=J154&amp;"",0,1)))</f>
        <v/>
      </c>
      <c r="BU154" s="124" t="str">
        <f>IF($B154="","",IFERROR(IF(ABS(INDEX(Mapping!$D$5:$D$104,MATCH(B154,Mapping!$A$5:$A$104,0))-Q154)&gt;P_Tol,1,0),0))</f>
        <v/>
      </c>
      <c r="BV154" s="124" t="str">
        <f>IF($B154="","",IFERROR(IF(AND(INDEX(Mapping!$G$5:$G$104,MATCH(B154,Mapping!$A$5:$A$104,0))="Nee",ABS(Q154)+ABS(Z154)+ABS(AR154)&gt;0),1,0),0))</f>
        <v/>
      </c>
      <c r="BW154" s="124" t="str">
        <f>IF($B154="","",IF(COUNTIF(Mapping!$A$5:$A$104,B154)&gt;0,1,0))</f>
        <v/>
      </c>
      <c r="BX154" s="124" t="str">
        <f>IF($B154="","",IF(BR154=0,COUNTIF($BR$6:BR154,0),""))</f>
        <v/>
      </c>
    </row>
    <row r="155">
      <c r="A155" s="15" t="n">
        <v>151</v>
      </c>
      <c r="B155" t="str">
        <f>IF(B$3=0,"",IF(INDEX(SRC_Woningetalage!$A$1:$ZZ$501,$A155,B$3)&amp;""="","",INDEX(SRC_Woningetalage!$A$1:$ZZ$501,$A155,B$3)&amp;""))</f>
        <v/>
      </c>
      <c r="C155" t="str">
        <f>IF($B155="","",IF(C$3=0,"n.b.",INDEX(SRC_Woningetalage!$A$1:$ZZ$501,$A155,C$3)))</f>
        <v/>
      </c>
      <c r="D155" t="str">
        <f>IF($B155="","",IF(D$3=0,"n.b.",INDEX(SRC_Woningetalage!$A$1:$ZZ$501,$A155,D$3)))</f>
        <v/>
      </c>
      <c r="E155" t="str">
        <f>IF($B155="","",IF(E$3=0,"n.b.",INDEX(SRC_Woningetalage!$A$1:$ZZ$501,$A155,E$3)))</f>
        <v/>
      </c>
      <c r="F155" t="str">
        <f>IF($B155="","",IF(F$3=0,"n.b.",INDEX(SRC_Woningetalage!$A$1:$ZZ$501,$A155,F$3)))</f>
        <v/>
      </c>
      <c r="G155" t="str">
        <f>IF($B155="","",IF(G$3=0,"n.b.",INDEX(SRC_Woningetalage!$A$1:$ZZ$501,$A155,G$3)))</f>
        <v/>
      </c>
      <c r="H155" t="str">
        <f>IF($B155="","",IF(H$3=0,"n.b.",INDEX(SRC_Woningetalage!$A$1:$ZZ$501,$A155,H$3)))</f>
        <v/>
      </c>
      <c r="I155" t="str">
        <f>IF($B155="","",IF(I$3=0,"n.b.",INDEX(SRC_Woningetalage!$A$1:$ZZ$501,$A155,I$3)))</f>
        <v/>
      </c>
      <c r="J155" t="str">
        <f>IF($B155="","",IF(J$3=0,"n.b.",INDEX(SRC_Woningetalage!$A$1:$ZZ$501,$A155,J$3)))</f>
        <v/>
      </c>
      <c r="K155" t="str">
        <f>IF($B155="","",IF(K$3=0,"n.b.",INDEX(SRC_Woningetalage!$A$1:$ZZ$501,$A155,K$3)))</f>
        <v/>
      </c>
      <c r="L155" t="str">
        <f>IF($B155="","",IF(L$3=0,"n.b.",INDEX(SRC_Woningetalage!$A$1:$ZZ$501,$A155,L$3)))</f>
        <v/>
      </c>
      <c r="M155" t="str">
        <f>IF($B155="","",IF(M$3=0,"n.b.",INDEX(SRC_Woningetalage!$A$1:$ZZ$501,$A155,M$3)))</f>
        <v/>
      </c>
      <c r="N155" t="str">
        <f>IF($B155="","",IF(N$3=0,"n.b.",INDEX(SRC_Woningetalage!$A$1:$ZZ$501,$A155,N$3)))</f>
        <v/>
      </c>
      <c r="O155" t="str">
        <f>IF($B155="","",IF(O$3=0,"n.b.",INDEX(SRC_Woningetalage!$A$1:$ZZ$501,$A155,O$3)))</f>
        <v/>
      </c>
      <c r="P155" t="str">
        <f>IF($B155="","",IF(P$3=0,"n.b.",INDEX(SRC_Woningetalage!$A$1:$ZZ$501,$A155,P$3)))</f>
        <v/>
      </c>
      <c r="Q155" s="124" t="str">
        <f>IF($B155="","",IF(Q$3=0,"n.b.",INDEX(SRC_Woningetalage!$A$1:$ZZ$501,$A155,Q$3)))</f>
        <v/>
      </c>
      <c r="R155" s="124" t="str">
        <f>IF($B155="","",IF(R$3=0,"n.b.",INDEX(SRC_Woningetalage!$A$1:$ZZ$501,$A155,R$3)))</f>
        <v/>
      </c>
      <c r="S155" s="124" t="str">
        <f>IF($B155="","",IF(S$3=0,"n.b.",INDEX(SRC_Woningetalage!$A$1:$ZZ$501,$A155,S$3)))</f>
        <v/>
      </c>
      <c r="T155" s="124" t="str">
        <f>IF($B155="","",IF(T$3=0,"n.b.",INDEX(SRC_Woningetalage!$A$1:$ZZ$501,$A155,T$3)))</f>
        <v/>
      </c>
      <c r="U155" s="124" t="str">
        <f>IF($B155="","",IF(U$3=0,"n.b.",INDEX(SRC_Woningetalage!$A$1:$ZZ$501,$A155,U$3)))</f>
        <v/>
      </c>
      <c r="V155" s="124" t="str">
        <f>IF($B155="","",IF(V$3=0,"n.b.",INDEX(SRC_Woningetalage!$A$1:$ZZ$501,$A155,V$3)))</f>
        <v/>
      </c>
      <c r="W155" s="124" t="str">
        <f>IF($B155="","",IF(W$3=0,"n.b.",INDEX(SRC_Woningetalage!$A$1:$ZZ$501,$A155,W$3)))</f>
        <v/>
      </c>
      <c r="X155" s="124" t="str">
        <f>IF($B155="","",IF(X$3=0,"n.b.",INDEX(SRC_Woningetalage!$A$1:$ZZ$501,$A155,X$3)))</f>
        <v/>
      </c>
      <c r="Y155" s="124" t="str">
        <f>IF($B155="","",IF(Y$3=0,"n.b.",INDEX(SRC_Woningetalage!$A$1:$ZZ$501,$A155,Y$3)))</f>
        <v/>
      </c>
      <c r="Z155" s="124" t="str">
        <f>IF($B155="","",IF(Z$3=0,"n.b.",INDEX(SRC_Woningetalage!$A$1:$ZZ$501,$A155,Z$3)))</f>
        <v/>
      </c>
      <c r="AA155" s="124" t="str">
        <f>IF($B155="","",IF(AA$3=0,"n.b.",INDEX(SRC_Woningetalage!$A$1:$ZZ$501,$A155,AA$3)))</f>
        <v/>
      </c>
      <c r="AB155" s="124" t="str">
        <f>IF($B155="","",IF(AB$3=0,"n.b.",INDEX(SRC_Woningetalage!$A$1:$ZZ$501,$A155,AB$3)))</f>
        <v/>
      </c>
      <c r="AC155" s="124" t="str">
        <f>IF($B155="","",IF(AC$3=0,"n.b.",INDEX(SRC_Woningetalage!$A$1:$ZZ$501,$A155,AC$3)))</f>
        <v/>
      </c>
      <c r="AD155" s="124" t="str">
        <f>IF($B155="","",IF(AD$3=0,"n.b.",INDEX(SRC_Woningetalage!$A$1:$ZZ$501,$A155,AD$3)))</f>
        <v/>
      </c>
      <c r="AE155" s="124" t="str">
        <f>IF($B155="","",IF(AE$3=0,"n.b.",INDEX(SRC_Woningetalage!$A$1:$ZZ$501,$A155,AE$3)))</f>
        <v/>
      </c>
      <c r="AF155" s="124" t="str">
        <f>IF($B155="","",IF(AF$3=0,"n.b.",INDEX(SRC_Woningetalage!$A$1:$ZZ$501,$A155,AF$3)))</f>
        <v/>
      </c>
      <c r="AG155" s="124" t="str">
        <f>IF($B155="","",IF(AG$3=0,"n.b.",INDEX(SRC_Woningetalage!$A$1:$ZZ$501,$A155,AG$3)))</f>
        <v/>
      </c>
      <c r="AH155" s="124" t="str">
        <f>IF($B155="","",IF(AH$3=0,"n.b.",INDEX(SRC_Woningetalage!$A$1:$ZZ$501,$A155,AH$3)))</f>
        <v/>
      </c>
      <c r="AI155" s="124" t="str">
        <f>IF($B155="","",IF(AI$3=0,"n.b.",INDEX(SRC_Woningetalage!$A$1:$ZZ$501,$A155,AI$3)))</f>
        <v/>
      </c>
      <c r="AJ155" s="124" t="str">
        <f>IF($B155="","",IF(AJ$3=0,"n.b.",INDEX(SRC_Woningetalage!$A$1:$ZZ$501,$A155,AJ$3)))</f>
        <v/>
      </c>
      <c r="AK155" s="124" t="str">
        <f>IF($B155="","",IF(AK$3=0,"n.b.",INDEX(SRC_Woningetalage!$A$1:$ZZ$501,$A155,AK$3)))</f>
        <v/>
      </c>
      <c r="AL155" s="124" t="str">
        <f>IF($B155="","",IF(AL$3=0,"n.b.",INDEX(SRC_Woningetalage!$A$1:$ZZ$501,$A155,AL$3)))</f>
        <v/>
      </c>
      <c r="AM155" s="124" t="str">
        <f>IF($B155="","",IF(AM$3=0,"n.b.",INDEX(SRC_Woningetalage!$A$1:$ZZ$501,$A155,AM$3)))</f>
        <v/>
      </c>
      <c r="AN155" s="124" t="str">
        <f>IF($B155="","",IF(AN$3=0,"n.b.",INDEX(SRC_Woningetalage!$A$1:$ZZ$501,$A155,AN$3)))</f>
        <v/>
      </c>
      <c r="AO155" s="124" t="str">
        <f>IF($B155="","",IF(AO$3=0,"n.b.",INDEX(SRC_Woningetalage!$A$1:$ZZ$501,$A155,AO$3)))</f>
        <v/>
      </c>
      <c r="AP155" s="124" t="str">
        <f>IF($B155="","",IF(AP$3=0,"n.b.",INDEX(SRC_Woningetalage!$A$1:$ZZ$501,$A155,AP$3)))</f>
        <v/>
      </c>
      <c r="AQ155" s="124" t="str">
        <f>IF($B155="","",IF(AQ$3=0,"n.b.",INDEX(SRC_Woningetalage!$A$1:$ZZ$501,$A155,AQ$3)))</f>
        <v/>
      </c>
      <c r="AR155" s="124" t="str">
        <f>IF($B155="","",IF(AR$3=0,"n.b.",INDEX(SRC_Woningetalage!$A$1:$ZZ$501,$A155,AR$3)))</f>
        <v/>
      </c>
      <c r="AS155" s="124" t="str">
        <f>IF($B155="","",IF(AS$3=0,"n.b.",INDEX(SRC_Woningetalage!$A$1:$ZZ$501,$A155,AS$3)))</f>
        <v/>
      </c>
      <c r="AT155" s="124" t="str">
        <f>IF($B155="","",IF(AT$3=0,"n.b.",INDEX(SRC_Woningetalage!$A$1:$ZZ$501,$A155,AT$3)))</f>
        <v/>
      </c>
      <c r="AU155" s="124" t="str">
        <f>IF($B155="","",IF(AU$3=0,"n.b.",INDEX(SRC_Woningetalage!$A$1:$ZZ$501,$A155,AU$3)))</f>
        <v/>
      </c>
      <c r="AV155" s="124" t="str">
        <f>IF($B155="","",IF(AV$3=0,"n.b.",INDEX(SRC_Woningetalage!$A$1:$ZZ$501,$A155,AV$3)))</f>
        <v/>
      </c>
      <c r="AW155" s="124" t="str">
        <f>IF($B155="","",IF(AW$3=0,"n.b.",INDEX(SRC_Woningetalage!$A$1:$ZZ$501,$A155,AW$3)))</f>
        <v/>
      </c>
      <c r="AX155" s="124" t="str">
        <f>IF($B155="","",IF(AX$3=0,"n.b.",INDEX(SRC_Woningetalage!$A$1:$ZZ$501,$A155,AX$3)))</f>
        <v/>
      </c>
      <c r="AY155" s="124" t="str">
        <f>IF($B155="","",IF(AY$3=0,"n.b.",INDEX(SRC_Woningetalage!$A$1:$ZZ$501,$A155,AY$3)))</f>
        <v/>
      </c>
      <c r="AZ155" s="124" t="str">
        <f>IF($B155="","",IF(AZ$3=0,"n.b.",INDEX(SRC_Woningetalage!$A$1:$ZZ$501,$A155,AZ$3)))</f>
        <v/>
      </c>
      <c r="BA155" s="124" t="str">
        <f>IF($B155="","",IF(BA$3=0,"n.b.",INDEX(SRC_Woningetalage!$A$1:$ZZ$501,$A155,BA$3)))</f>
        <v/>
      </c>
      <c r="BB155" s="124" t="str">
        <f>IF($B155="","",IF(BB$3=0,"n.b.",INDEX(SRC_Woningetalage!$A$1:$ZZ$501,$A155,BB$3)))</f>
        <v/>
      </c>
      <c r="BC155" s="124" t="str">
        <f>IF($B155="","",IFERROR(_xlfn.NUMBERVALUE(E155&amp;"",",","."),"n.b."))</f>
        <v/>
      </c>
      <c r="BD155" s="124" t="str">
        <f>IF($B155="","",IFERROR(_xlfn.NUMBERVALUE(M155&amp;"",",","."),"n.b."))</f>
        <v/>
      </c>
      <c r="BE155" s="124" t="str">
        <f>IF($B155="","",IFERROR(AB155+AC155+AD155,"n.b."))</f>
        <v/>
      </c>
      <c r="BF155" s="124" t="str">
        <f>IF($B155="","",IFERROR(AE155+AF155+AG155,"n.b."))</f>
        <v/>
      </c>
      <c r="BG155" s="124" t="str">
        <f>IF($B155="","",IFERROR(AH155+AI155+AJ155,"n.b."))</f>
        <v/>
      </c>
      <c r="BH155" s="124" t="str">
        <f>IF($B155="","",IFERROR(AK155+AL155+AM155,"n.b."))</f>
        <v/>
      </c>
      <c r="BI155" s="124" t="str">
        <f>IF($B155="","",IFERROR(SUMIF($AB$5:$AM$5,"&lt;="&amp;P_PeilMaand,AB155:AM155),"n.b."))</f>
        <v/>
      </c>
      <c r="BJ155" s="124" t="str">
        <f>IF($B155="","",IFERROR(SUM(AB155:AM155)-BI155,"n.b."))</f>
        <v/>
      </c>
      <c r="BK155" s="124" t="str">
        <f>IF($B155="","",IFERROR(IF(ABS(Q155-(T155+SUM(AB155:AM155)+AS155+AU155))&gt;P_Tol,1,0),1))</f>
        <v/>
      </c>
      <c r="BL155" s="124" t="str">
        <f>IF($B155="","",IFERROR(IF(ABS(AA155-(Q155-Z155))&gt;P_Tol,1,0),1))</f>
        <v/>
      </c>
      <c r="BM155" s="124" t="str">
        <f>IF($B155="","",IFERROR(IF(ABS(Z155-(T155+W155))&gt;P_Tol,1,0),1))</f>
        <v/>
      </c>
      <c r="BN155" s="124" t="str">
        <f>IF($B155="","",IFERROR(IF(ABS(W155-BI155)&gt;P_Tol,1,0),1))</f>
        <v/>
      </c>
      <c r="BO155" s="124" t="str">
        <f>IF($B155="","",IFERROR(IF(OR(ABS(R155+S155-T155)&gt;P_Tol,ABS(U155+V155-W155)&gt;P_Tol,ABS(X155+Y155-Z155)&gt;P_Tol),1,0),1))</f>
        <v/>
      </c>
      <c r="BP155" s="124" t="str">
        <f>IF($B155="","",IFERROR(IF(OR(ABS(AR155-SUM(AB155:AM155))&gt;P_Tol,ABS(AS155-(AN155+AO155+AP155+AQ155))&gt;P_Tol),1,0),1))</f>
        <v/>
      </c>
      <c r="BQ155" s="124" t="str">
        <f>IF($B155="","",IFERROR(IF(ABS(AT155)+ABS(AV155)+ABS(AW155)+ABS(AX155)+ABS(AY155)+ABS(AZ155)+ABS(BA155)+ABS(BB155)&gt;0,1,0),1))</f>
        <v/>
      </c>
      <c r="BR155" s="124" t="str">
        <f>IF($B155="","",COUNTIF(STG_ZPMW03!$B$6:$B$505,B155))</f>
        <v/>
      </c>
      <c r="BS155" s="124" t="str">
        <f>IF($B155="","",COUNTIF($B$6:$B$505,B155))</f>
        <v/>
      </c>
      <c r="BT155" s="124" t="str">
        <f>IF($B155="","",IF(BR155=0,0,IF(INDEX(STG_ZPMW03!$I$6:$I$505,MATCH(B155,STG_ZPMW03!$B$6:$B$505,0))=J155&amp;"",0,1)))</f>
        <v/>
      </c>
      <c r="BU155" s="124" t="str">
        <f>IF($B155="","",IFERROR(IF(ABS(INDEX(Mapping!$D$5:$D$104,MATCH(B155,Mapping!$A$5:$A$104,0))-Q155)&gt;P_Tol,1,0),0))</f>
        <v/>
      </c>
      <c r="BV155" s="124" t="str">
        <f>IF($B155="","",IFERROR(IF(AND(INDEX(Mapping!$G$5:$G$104,MATCH(B155,Mapping!$A$5:$A$104,0))="Nee",ABS(Q155)+ABS(Z155)+ABS(AR155)&gt;0),1,0),0))</f>
        <v/>
      </c>
      <c r="BW155" s="124" t="str">
        <f>IF($B155="","",IF(COUNTIF(Mapping!$A$5:$A$104,B155)&gt;0,1,0))</f>
        <v/>
      </c>
      <c r="BX155" s="124" t="str">
        <f>IF($B155="","",IF(BR155=0,COUNTIF($BR$6:BR155,0),""))</f>
        <v/>
      </c>
    </row>
    <row r="156">
      <c r="A156" s="15" t="n">
        <v>152</v>
      </c>
      <c r="B156" t="str">
        <f>IF(B$3=0,"",IF(INDEX(SRC_Woningetalage!$A$1:$ZZ$501,$A156,B$3)&amp;""="","",INDEX(SRC_Woningetalage!$A$1:$ZZ$501,$A156,B$3)&amp;""))</f>
        <v/>
      </c>
      <c r="C156" t="str">
        <f>IF($B156="","",IF(C$3=0,"n.b.",INDEX(SRC_Woningetalage!$A$1:$ZZ$501,$A156,C$3)))</f>
        <v/>
      </c>
      <c r="D156" t="str">
        <f>IF($B156="","",IF(D$3=0,"n.b.",INDEX(SRC_Woningetalage!$A$1:$ZZ$501,$A156,D$3)))</f>
        <v/>
      </c>
      <c r="E156" t="str">
        <f>IF($B156="","",IF(E$3=0,"n.b.",INDEX(SRC_Woningetalage!$A$1:$ZZ$501,$A156,E$3)))</f>
        <v/>
      </c>
      <c r="F156" t="str">
        <f>IF($B156="","",IF(F$3=0,"n.b.",INDEX(SRC_Woningetalage!$A$1:$ZZ$501,$A156,F$3)))</f>
        <v/>
      </c>
      <c r="G156" t="str">
        <f>IF($B156="","",IF(G$3=0,"n.b.",INDEX(SRC_Woningetalage!$A$1:$ZZ$501,$A156,G$3)))</f>
        <v/>
      </c>
      <c r="H156" t="str">
        <f>IF($B156="","",IF(H$3=0,"n.b.",INDEX(SRC_Woningetalage!$A$1:$ZZ$501,$A156,H$3)))</f>
        <v/>
      </c>
      <c r="I156" t="str">
        <f>IF($B156="","",IF(I$3=0,"n.b.",INDEX(SRC_Woningetalage!$A$1:$ZZ$501,$A156,I$3)))</f>
        <v/>
      </c>
      <c r="J156" t="str">
        <f>IF($B156="","",IF(J$3=0,"n.b.",INDEX(SRC_Woningetalage!$A$1:$ZZ$501,$A156,J$3)))</f>
        <v/>
      </c>
      <c r="K156" t="str">
        <f>IF($B156="","",IF(K$3=0,"n.b.",INDEX(SRC_Woningetalage!$A$1:$ZZ$501,$A156,K$3)))</f>
        <v/>
      </c>
      <c r="L156" t="str">
        <f>IF($B156="","",IF(L$3=0,"n.b.",INDEX(SRC_Woningetalage!$A$1:$ZZ$501,$A156,L$3)))</f>
        <v/>
      </c>
      <c r="M156" t="str">
        <f>IF($B156="","",IF(M$3=0,"n.b.",INDEX(SRC_Woningetalage!$A$1:$ZZ$501,$A156,M$3)))</f>
        <v/>
      </c>
      <c r="N156" t="str">
        <f>IF($B156="","",IF(N$3=0,"n.b.",INDEX(SRC_Woningetalage!$A$1:$ZZ$501,$A156,N$3)))</f>
        <v/>
      </c>
      <c r="O156" t="str">
        <f>IF($B156="","",IF(O$3=0,"n.b.",INDEX(SRC_Woningetalage!$A$1:$ZZ$501,$A156,O$3)))</f>
        <v/>
      </c>
      <c r="P156" t="str">
        <f>IF($B156="","",IF(P$3=0,"n.b.",INDEX(SRC_Woningetalage!$A$1:$ZZ$501,$A156,P$3)))</f>
        <v/>
      </c>
      <c r="Q156" s="124" t="str">
        <f>IF($B156="","",IF(Q$3=0,"n.b.",INDEX(SRC_Woningetalage!$A$1:$ZZ$501,$A156,Q$3)))</f>
        <v/>
      </c>
      <c r="R156" s="124" t="str">
        <f>IF($B156="","",IF(R$3=0,"n.b.",INDEX(SRC_Woningetalage!$A$1:$ZZ$501,$A156,R$3)))</f>
        <v/>
      </c>
      <c r="S156" s="124" t="str">
        <f>IF($B156="","",IF(S$3=0,"n.b.",INDEX(SRC_Woningetalage!$A$1:$ZZ$501,$A156,S$3)))</f>
        <v/>
      </c>
      <c r="T156" s="124" t="str">
        <f>IF($B156="","",IF(T$3=0,"n.b.",INDEX(SRC_Woningetalage!$A$1:$ZZ$501,$A156,T$3)))</f>
        <v/>
      </c>
      <c r="U156" s="124" t="str">
        <f>IF($B156="","",IF(U$3=0,"n.b.",INDEX(SRC_Woningetalage!$A$1:$ZZ$501,$A156,U$3)))</f>
        <v/>
      </c>
      <c r="V156" s="124" t="str">
        <f>IF($B156="","",IF(V$3=0,"n.b.",INDEX(SRC_Woningetalage!$A$1:$ZZ$501,$A156,V$3)))</f>
        <v/>
      </c>
      <c r="W156" s="124" t="str">
        <f>IF($B156="","",IF(W$3=0,"n.b.",INDEX(SRC_Woningetalage!$A$1:$ZZ$501,$A156,W$3)))</f>
        <v/>
      </c>
      <c r="X156" s="124" t="str">
        <f>IF($B156="","",IF(X$3=0,"n.b.",INDEX(SRC_Woningetalage!$A$1:$ZZ$501,$A156,X$3)))</f>
        <v/>
      </c>
      <c r="Y156" s="124" t="str">
        <f>IF($B156="","",IF(Y$3=0,"n.b.",INDEX(SRC_Woningetalage!$A$1:$ZZ$501,$A156,Y$3)))</f>
        <v/>
      </c>
      <c r="Z156" s="124" t="str">
        <f>IF($B156="","",IF(Z$3=0,"n.b.",INDEX(SRC_Woningetalage!$A$1:$ZZ$501,$A156,Z$3)))</f>
        <v/>
      </c>
      <c r="AA156" s="124" t="str">
        <f>IF($B156="","",IF(AA$3=0,"n.b.",INDEX(SRC_Woningetalage!$A$1:$ZZ$501,$A156,AA$3)))</f>
        <v/>
      </c>
      <c r="AB156" s="124" t="str">
        <f>IF($B156="","",IF(AB$3=0,"n.b.",INDEX(SRC_Woningetalage!$A$1:$ZZ$501,$A156,AB$3)))</f>
        <v/>
      </c>
      <c r="AC156" s="124" t="str">
        <f>IF($B156="","",IF(AC$3=0,"n.b.",INDEX(SRC_Woningetalage!$A$1:$ZZ$501,$A156,AC$3)))</f>
        <v/>
      </c>
      <c r="AD156" s="124" t="str">
        <f>IF($B156="","",IF(AD$3=0,"n.b.",INDEX(SRC_Woningetalage!$A$1:$ZZ$501,$A156,AD$3)))</f>
        <v/>
      </c>
      <c r="AE156" s="124" t="str">
        <f>IF($B156="","",IF(AE$3=0,"n.b.",INDEX(SRC_Woningetalage!$A$1:$ZZ$501,$A156,AE$3)))</f>
        <v/>
      </c>
      <c r="AF156" s="124" t="str">
        <f>IF($B156="","",IF(AF$3=0,"n.b.",INDEX(SRC_Woningetalage!$A$1:$ZZ$501,$A156,AF$3)))</f>
        <v/>
      </c>
      <c r="AG156" s="124" t="str">
        <f>IF($B156="","",IF(AG$3=0,"n.b.",INDEX(SRC_Woningetalage!$A$1:$ZZ$501,$A156,AG$3)))</f>
        <v/>
      </c>
      <c r="AH156" s="124" t="str">
        <f>IF($B156="","",IF(AH$3=0,"n.b.",INDEX(SRC_Woningetalage!$A$1:$ZZ$501,$A156,AH$3)))</f>
        <v/>
      </c>
      <c r="AI156" s="124" t="str">
        <f>IF($B156="","",IF(AI$3=0,"n.b.",INDEX(SRC_Woningetalage!$A$1:$ZZ$501,$A156,AI$3)))</f>
        <v/>
      </c>
      <c r="AJ156" s="124" t="str">
        <f>IF($B156="","",IF(AJ$3=0,"n.b.",INDEX(SRC_Woningetalage!$A$1:$ZZ$501,$A156,AJ$3)))</f>
        <v/>
      </c>
      <c r="AK156" s="124" t="str">
        <f>IF($B156="","",IF(AK$3=0,"n.b.",INDEX(SRC_Woningetalage!$A$1:$ZZ$501,$A156,AK$3)))</f>
        <v/>
      </c>
      <c r="AL156" s="124" t="str">
        <f>IF($B156="","",IF(AL$3=0,"n.b.",INDEX(SRC_Woningetalage!$A$1:$ZZ$501,$A156,AL$3)))</f>
        <v/>
      </c>
      <c r="AM156" s="124" t="str">
        <f>IF($B156="","",IF(AM$3=0,"n.b.",INDEX(SRC_Woningetalage!$A$1:$ZZ$501,$A156,AM$3)))</f>
        <v/>
      </c>
      <c r="AN156" s="124" t="str">
        <f>IF($B156="","",IF(AN$3=0,"n.b.",INDEX(SRC_Woningetalage!$A$1:$ZZ$501,$A156,AN$3)))</f>
        <v/>
      </c>
      <c r="AO156" s="124" t="str">
        <f>IF($B156="","",IF(AO$3=0,"n.b.",INDEX(SRC_Woningetalage!$A$1:$ZZ$501,$A156,AO$3)))</f>
        <v/>
      </c>
      <c r="AP156" s="124" t="str">
        <f>IF($B156="","",IF(AP$3=0,"n.b.",INDEX(SRC_Woningetalage!$A$1:$ZZ$501,$A156,AP$3)))</f>
        <v/>
      </c>
      <c r="AQ156" s="124" t="str">
        <f>IF($B156="","",IF(AQ$3=0,"n.b.",INDEX(SRC_Woningetalage!$A$1:$ZZ$501,$A156,AQ$3)))</f>
        <v/>
      </c>
      <c r="AR156" s="124" t="str">
        <f>IF($B156="","",IF(AR$3=0,"n.b.",INDEX(SRC_Woningetalage!$A$1:$ZZ$501,$A156,AR$3)))</f>
        <v/>
      </c>
      <c r="AS156" s="124" t="str">
        <f>IF($B156="","",IF(AS$3=0,"n.b.",INDEX(SRC_Woningetalage!$A$1:$ZZ$501,$A156,AS$3)))</f>
        <v/>
      </c>
      <c r="AT156" s="124" t="str">
        <f>IF($B156="","",IF(AT$3=0,"n.b.",INDEX(SRC_Woningetalage!$A$1:$ZZ$501,$A156,AT$3)))</f>
        <v/>
      </c>
      <c r="AU156" s="124" t="str">
        <f>IF($B156="","",IF(AU$3=0,"n.b.",INDEX(SRC_Woningetalage!$A$1:$ZZ$501,$A156,AU$3)))</f>
        <v/>
      </c>
      <c r="AV156" s="124" t="str">
        <f>IF($B156="","",IF(AV$3=0,"n.b.",INDEX(SRC_Woningetalage!$A$1:$ZZ$501,$A156,AV$3)))</f>
        <v/>
      </c>
      <c r="AW156" s="124" t="str">
        <f>IF($B156="","",IF(AW$3=0,"n.b.",INDEX(SRC_Woningetalage!$A$1:$ZZ$501,$A156,AW$3)))</f>
        <v/>
      </c>
      <c r="AX156" s="124" t="str">
        <f>IF($B156="","",IF(AX$3=0,"n.b.",INDEX(SRC_Woningetalage!$A$1:$ZZ$501,$A156,AX$3)))</f>
        <v/>
      </c>
      <c r="AY156" s="124" t="str">
        <f>IF($B156="","",IF(AY$3=0,"n.b.",INDEX(SRC_Woningetalage!$A$1:$ZZ$501,$A156,AY$3)))</f>
        <v/>
      </c>
      <c r="AZ156" s="124" t="str">
        <f>IF($B156="","",IF(AZ$3=0,"n.b.",INDEX(SRC_Woningetalage!$A$1:$ZZ$501,$A156,AZ$3)))</f>
        <v/>
      </c>
      <c r="BA156" s="124" t="str">
        <f>IF($B156="","",IF(BA$3=0,"n.b.",INDEX(SRC_Woningetalage!$A$1:$ZZ$501,$A156,BA$3)))</f>
        <v/>
      </c>
      <c r="BB156" s="124" t="str">
        <f>IF($B156="","",IF(BB$3=0,"n.b.",INDEX(SRC_Woningetalage!$A$1:$ZZ$501,$A156,BB$3)))</f>
        <v/>
      </c>
      <c r="BC156" s="124" t="str">
        <f>IF($B156="","",IFERROR(_xlfn.NUMBERVALUE(E156&amp;"",",","."),"n.b."))</f>
        <v/>
      </c>
      <c r="BD156" s="124" t="str">
        <f>IF($B156="","",IFERROR(_xlfn.NUMBERVALUE(M156&amp;"",",","."),"n.b."))</f>
        <v/>
      </c>
      <c r="BE156" s="124" t="str">
        <f>IF($B156="","",IFERROR(AB156+AC156+AD156,"n.b."))</f>
        <v/>
      </c>
      <c r="BF156" s="124" t="str">
        <f>IF($B156="","",IFERROR(AE156+AF156+AG156,"n.b."))</f>
        <v/>
      </c>
      <c r="BG156" s="124" t="str">
        <f>IF($B156="","",IFERROR(AH156+AI156+AJ156,"n.b."))</f>
        <v/>
      </c>
      <c r="BH156" s="124" t="str">
        <f>IF($B156="","",IFERROR(AK156+AL156+AM156,"n.b."))</f>
        <v/>
      </c>
      <c r="BI156" s="124" t="str">
        <f>IF($B156="","",IFERROR(SUMIF($AB$5:$AM$5,"&lt;="&amp;P_PeilMaand,AB156:AM156),"n.b."))</f>
        <v/>
      </c>
      <c r="BJ156" s="124" t="str">
        <f>IF($B156="","",IFERROR(SUM(AB156:AM156)-BI156,"n.b."))</f>
        <v/>
      </c>
      <c r="BK156" s="124" t="str">
        <f>IF($B156="","",IFERROR(IF(ABS(Q156-(T156+SUM(AB156:AM156)+AS156+AU156))&gt;P_Tol,1,0),1))</f>
        <v/>
      </c>
      <c r="BL156" s="124" t="str">
        <f>IF($B156="","",IFERROR(IF(ABS(AA156-(Q156-Z156))&gt;P_Tol,1,0),1))</f>
        <v/>
      </c>
      <c r="BM156" s="124" t="str">
        <f>IF($B156="","",IFERROR(IF(ABS(Z156-(T156+W156))&gt;P_Tol,1,0),1))</f>
        <v/>
      </c>
      <c r="BN156" s="124" t="str">
        <f>IF($B156="","",IFERROR(IF(ABS(W156-BI156)&gt;P_Tol,1,0),1))</f>
        <v/>
      </c>
      <c r="BO156" s="124" t="str">
        <f>IF($B156="","",IFERROR(IF(OR(ABS(R156+S156-T156)&gt;P_Tol,ABS(U156+V156-W156)&gt;P_Tol,ABS(X156+Y156-Z156)&gt;P_Tol),1,0),1))</f>
        <v/>
      </c>
      <c r="BP156" s="124" t="str">
        <f>IF($B156="","",IFERROR(IF(OR(ABS(AR156-SUM(AB156:AM156))&gt;P_Tol,ABS(AS156-(AN156+AO156+AP156+AQ156))&gt;P_Tol),1,0),1))</f>
        <v/>
      </c>
      <c r="BQ156" s="124" t="str">
        <f>IF($B156="","",IFERROR(IF(ABS(AT156)+ABS(AV156)+ABS(AW156)+ABS(AX156)+ABS(AY156)+ABS(AZ156)+ABS(BA156)+ABS(BB156)&gt;0,1,0),1))</f>
        <v/>
      </c>
      <c r="BR156" s="124" t="str">
        <f>IF($B156="","",COUNTIF(STG_ZPMW03!$B$6:$B$505,B156))</f>
        <v/>
      </c>
      <c r="BS156" s="124" t="str">
        <f>IF($B156="","",COUNTIF($B$6:$B$505,B156))</f>
        <v/>
      </c>
      <c r="BT156" s="124" t="str">
        <f>IF($B156="","",IF(BR156=0,0,IF(INDEX(STG_ZPMW03!$I$6:$I$505,MATCH(B156,STG_ZPMW03!$B$6:$B$505,0))=J156&amp;"",0,1)))</f>
        <v/>
      </c>
      <c r="BU156" s="124" t="str">
        <f>IF($B156="","",IFERROR(IF(ABS(INDEX(Mapping!$D$5:$D$104,MATCH(B156,Mapping!$A$5:$A$104,0))-Q156)&gt;P_Tol,1,0),0))</f>
        <v/>
      </c>
      <c r="BV156" s="124" t="str">
        <f>IF($B156="","",IFERROR(IF(AND(INDEX(Mapping!$G$5:$G$104,MATCH(B156,Mapping!$A$5:$A$104,0))="Nee",ABS(Q156)+ABS(Z156)+ABS(AR156)&gt;0),1,0),0))</f>
        <v/>
      </c>
      <c r="BW156" s="124" t="str">
        <f>IF($B156="","",IF(COUNTIF(Mapping!$A$5:$A$104,B156)&gt;0,1,0))</f>
        <v/>
      </c>
      <c r="BX156" s="124" t="str">
        <f>IF($B156="","",IF(BR156=0,COUNTIF($BR$6:BR156,0),""))</f>
        <v/>
      </c>
    </row>
    <row r="157">
      <c r="A157" s="15" t="n">
        <v>153</v>
      </c>
      <c r="B157" t="str">
        <f>IF(B$3=0,"",IF(INDEX(SRC_Woningetalage!$A$1:$ZZ$501,$A157,B$3)&amp;""="","",INDEX(SRC_Woningetalage!$A$1:$ZZ$501,$A157,B$3)&amp;""))</f>
        <v/>
      </c>
      <c r="C157" t="str">
        <f>IF($B157="","",IF(C$3=0,"n.b.",INDEX(SRC_Woningetalage!$A$1:$ZZ$501,$A157,C$3)))</f>
        <v/>
      </c>
      <c r="D157" t="str">
        <f>IF($B157="","",IF(D$3=0,"n.b.",INDEX(SRC_Woningetalage!$A$1:$ZZ$501,$A157,D$3)))</f>
        <v/>
      </c>
      <c r="E157" t="str">
        <f>IF($B157="","",IF(E$3=0,"n.b.",INDEX(SRC_Woningetalage!$A$1:$ZZ$501,$A157,E$3)))</f>
        <v/>
      </c>
      <c r="F157" t="str">
        <f>IF($B157="","",IF(F$3=0,"n.b.",INDEX(SRC_Woningetalage!$A$1:$ZZ$501,$A157,F$3)))</f>
        <v/>
      </c>
      <c r="G157" t="str">
        <f>IF($B157="","",IF(G$3=0,"n.b.",INDEX(SRC_Woningetalage!$A$1:$ZZ$501,$A157,G$3)))</f>
        <v/>
      </c>
      <c r="H157" t="str">
        <f>IF($B157="","",IF(H$3=0,"n.b.",INDEX(SRC_Woningetalage!$A$1:$ZZ$501,$A157,H$3)))</f>
        <v/>
      </c>
      <c r="I157" t="str">
        <f>IF($B157="","",IF(I$3=0,"n.b.",INDEX(SRC_Woningetalage!$A$1:$ZZ$501,$A157,I$3)))</f>
        <v/>
      </c>
      <c r="J157" t="str">
        <f>IF($B157="","",IF(J$3=0,"n.b.",INDEX(SRC_Woningetalage!$A$1:$ZZ$501,$A157,J$3)))</f>
        <v/>
      </c>
      <c r="K157" t="str">
        <f>IF($B157="","",IF(K$3=0,"n.b.",INDEX(SRC_Woningetalage!$A$1:$ZZ$501,$A157,K$3)))</f>
        <v/>
      </c>
      <c r="L157" t="str">
        <f>IF($B157="","",IF(L$3=0,"n.b.",INDEX(SRC_Woningetalage!$A$1:$ZZ$501,$A157,L$3)))</f>
        <v/>
      </c>
      <c r="M157" t="str">
        <f>IF($B157="","",IF(M$3=0,"n.b.",INDEX(SRC_Woningetalage!$A$1:$ZZ$501,$A157,M$3)))</f>
        <v/>
      </c>
      <c r="N157" t="str">
        <f>IF($B157="","",IF(N$3=0,"n.b.",INDEX(SRC_Woningetalage!$A$1:$ZZ$501,$A157,N$3)))</f>
        <v/>
      </c>
      <c r="O157" t="str">
        <f>IF($B157="","",IF(O$3=0,"n.b.",INDEX(SRC_Woningetalage!$A$1:$ZZ$501,$A157,O$3)))</f>
        <v/>
      </c>
      <c r="P157" t="str">
        <f>IF($B157="","",IF(P$3=0,"n.b.",INDEX(SRC_Woningetalage!$A$1:$ZZ$501,$A157,P$3)))</f>
        <v/>
      </c>
      <c r="Q157" s="124" t="str">
        <f>IF($B157="","",IF(Q$3=0,"n.b.",INDEX(SRC_Woningetalage!$A$1:$ZZ$501,$A157,Q$3)))</f>
        <v/>
      </c>
      <c r="R157" s="124" t="str">
        <f>IF($B157="","",IF(R$3=0,"n.b.",INDEX(SRC_Woningetalage!$A$1:$ZZ$501,$A157,R$3)))</f>
        <v/>
      </c>
      <c r="S157" s="124" t="str">
        <f>IF($B157="","",IF(S$3=0,"n.b.",INDEX(SRC_Woningetalage!$A$1:$ZZ$501,$A157,S$3)))</f>
        <v/>
      </c>
      <c r="T157" s="124" t="str">
        <f>IF($B157="","",IF(T$3=0,"n.b.",INDEX(SRC_Woningetalage!$A$1:$ZZ$501,$A157,T$3)))</f>
        <v/>
      </c>
      <c r="U157" s="124" t="str">
        <f>IF($B157="","",IF(U$3=0,"n.b.",INDEX(SRC_Woningetalage!$A$1:$ZZ$501,$A157,U$3)))</f>
        <v/>
      </c>
      <c r="V157" s="124" t="str">
        <f>IF($B157="","",IF(V$3=0,"n.b.",INDEX(SRC_Woningetalage!$A$1:$ZZ$501,$A157,V$3)))</f>
        <v/>
      </c>
      <c r="W157" s="124" t="str">
        <f>IF($B157="","",IF(W$3=0,"n.b.",INDEX(SRC_Woningetalage!$A$1:$ZZ$501,$A157,W$3)))</f>
        <v/>
      </c>
      <c r="X157" s="124" t="str">
        <f>IF($B157="","",IF(X$3=0,"n.b.",INDEX(SRC_Woningetalage!$A$1:$ZZ$501,$A157,X$3)))</f>
        <v/>
      </c>
      <c r="Y157" s="124" t="str">
        <f>IF($B157="","",IF(Y$3=0,"n.b.",INDEX(SRC_Woningetalage!$A$1:$ZZ$501,$A157,Y$3)))</f>
        <v/>
      </c>
      <c r="Z157" s="124" t="str">
        <f>IF($B157="","",IF(Z$3=0,"n.b.",INDEX(SRC_Woningetalage!$A$1:$ZZ$501,$A157,Z$3)))</f>
        <v/>
      </c>
      <c r="AA157" s="124" t="str">
        <f>IF($B157="","",IF(AA$3=0,"n.b.",INDEX(SRC_Woningetalage!$A$1:$ZZ$501,$A157,AA$3)))</f>
        <v/>
      </c>
      <c r="AB157" s="124" t="str">
        <f>IF($B157="","",IF(AB$3=0,"n.b.",INDEX(SRC_Woningetalage!$A$1:$ZZ$501,$A157,AB$3)))</f>
        <v/>
      </c>
      <c r="AC157" s="124" t="str">
        <f>IF($B157="","",IF(AC$3=0,"n.b.",INDEX(SRC_Woningetalage!$A$1:$ZZ$501,$A157,AC$3)))</f>
        <v/>
      </c>
      <c r="AD157" s="124" t="str">
        <f>IF($B157="","",IF(AD$3=0,"n.b.",INDEX(SRC_Woningetalage!$A$1:$ZZ$501,$A157,AD$3)))</f>
        <v/>
      </c>
      <c r="AE157" s="124" t="str">
        <f>IF($B157="","",IF(AE$3=0,"n.b.",INDEX(SRC_Woningetalage!$A$1:$ZZ$501,$A157,AE$3)))</f>
        <v/>
      </c>
      <c r="AF157" s="124" t="str">
        <f>IF($B157="","",IF(AF$3=0,"n.b.",INDEX(SRC_Woningetalage!$A$1:$ZZ$501,$A157,AF$3)))</f>
        <v/>
      </c>
      <c r="AG157" s="124" t="str">
        <f>IF($B157="","",IF(AG$3=0,"n.b.",INDEX(SRC_Woningetalage!$A$1:$ZZ$501,$A157,AG$3)))</f>
        <v/>
      </c>
      <c r="AH157" s="124" t="str">
        <f>IF($B157="","",IF(AH$3=0,"n.b.",INDEX(SRC_Woningetalage!$A$1:$ZZ$501,$A157,AH$3)))</f>
        <v/>
      </c>
      <c r="AI157" s="124" t="str">
        <f>IF($B157="","",IF(AI$3=0,"n.b.",INDEX(SRC_Woningetalage!$A$1:$ZZ$501,$A157,AI$3)))</f>
        <v/>
      </c>
      <c r="AJ157" s="124" t="str">
        <f>IF($B157="","",IF(AJ$3=0,"n.b.",INDEX(SRC_Woningetalage!$A$1:$ZZ$501,$A157,AJ$3)))</f>
        <v/>
      </c>
      <c r="AK157" s="124" t="str">
        <f>IF($B157="","",IF(AK$3=0,"n.b.",INDEX(SRC_Woningetalage!$A$1:$ZZ$501,$A157,AK$3)))</f>
        <v/>
      </c>
      <c r="AL157" s="124" t="str">
        <f>IF($B157="","",IF(AL$3=0,"n.b.",INDEX(SRC_Woningetalage!$A$1:$ZZ$501,$A157,AL$3)))</f>
        <v/>
      </c>
      <c r="AM157" s="124" t="str">
        <f>IF($B157="","",IF(AM$3=0,"n.b.",INDEX(SRC_Woningetalage!$A$1:$ZZ$501,$A157,AM$3)))</f>
        <v/>
      </c>
      <c r="AN157" s="124" t="str">
        <f>IF($B157="","",IF(AN$3=0,"n.b.",INDEX(SRC_Woningetalage!$A$1:$ZZ$501,$A157,AN$3)))</f>
        <v/>
      </c>
      <c r="AO157" s="124" t="str">
        <f>IF($B157="","",IF(AO$3=0,"n.b.",INDEX(SRC_Woningetalage!$A$1:$ZZ$501,$A157,AO$3)))</f>
        <v/>
      </c>
      <c r="AP157" s="124" t="str">
        <f>IF($B157="","",IF(AP$3=0,"n.b.",INDEX(SRC_Woningetalage!$A$1:$ZZ$501,$A157,AP$3)))</f>
        <v/>
      </c>
      <c r="AQ157" s="124" t="str">
        <f>IF($B157="","",IF(AQ$3=0,"n.b.",INDEX(SRC_Woningetalage!$A$1:$ZZ$501,$A157,AQ$3)))</f>
        <v/>
      </c>
      <c r="AR157" s="124" t="str">
        <f>IF($B157="","",IF(AR$3=0,"n.b.",INDEX(SRC_Woningetalage!$A$1:$ZZ$501,$A157,AR$3)))</f>
        <v/>
      </c>
      <c r="AS157" s="124" t="str">
        <f>IF($B157="","",IF(AS$3=0,"n.b.",INDEX(SRC_Woningetalage!$A$1:$ZZ$501,$A157,AS$3)))</f>
        <v/>
      </c>
      <c r="AT157" s="124" t="str">
        <f>IF($B157="","",IF(AT$3=0,"n.b.",INDEX(SRC_Woningetalage!$A$1:$ZZ$501,$A157,AT$3)))</f>
        <v/>
      </c>
      <c r="AU157" s="124" t="str">
        <f>IF($B157="","",IF(AU$3=0,"n.b.",INDEX(SRC_Woningetalage!$A$1:$ZZ$501,$A157,AU$3)))</f>
        <v/>
      </c>
      <c r="AV157" s="124" t="str">
        <f>IF($B157="","",IF(AV$3=0,"n.b.",INDEX(SRC_Woningetalage!$A$1:$ZZ$501,$A157,AV$3)))</f>
        <v/>
      </c>
      <c r="AW157" s="124" t="str">
        <f>IF($B157="","",IF(AW$3=0,"n.b.",INDEX(SRC_Woningetalage!$A$1:$ZZ$501,$A157,AW$3)))</f>
        <v/>
      </c>
      <c r="AX157" s="124" t="str">
        <f>IF($B157="","",IF(AX$3=0,"n.b.",INDEX(SRC_Woningetalage!$A$1:$ZZ$501,$A157,AX$3)))</f>
        <v/>
      </c>
      <c r="AY157" s="124" t="str">
        <f>IF($B157="","",IF(AY$3=0,"n.b.",INDEX(SRC_Woningetalage!$A$1:$ZZ$501,$A157,AY$3)))</f>
        <v/>
      </c>
      <c r="AZ157" s="124" t="str">
        <f>IF($B157="","",IF(AZ$3=0,"n.b.",INDEX(SRC_Woningetalage!$A$1:$ZZ$501,$A157,AZ$3)))</f>
        <v/>
      </c>
      <c r="BA157" s="124" t="str">
        <f>IF($B157="","",IF(BA$3=0,"n.b.",INDEX(SRC_Woningetalage!$A$1:$ZZ$501,$A157,BA$3)))</f>
        <v/>
      </c>
      <c r="BB157" s="124" t="str">
        <f>IF($B157="","",IF(BB$3=0,"n.b.",INDEX(SRC_Woningetalage!$A$1:$ZZ$501,$A157,BB$3)))</f>
        <v/>
      </c>
      <c r="BC157" s="124" t="str">
        <f>IF($B157="","",IFERROR(_xlfn.NUMBERVALUE(E157&amp;"",",","."),"n.b."))</f>
        <v/>
      </c>
      <c r="BD157" s="124" t="str">
        <f>IF($B157="","",IFERROR(_xlfn.NUMBERVALUE(M157&amp;"",",","."),"n.b."))</f>
        <v/>
      </c>
      <c r="BE157" s="124" t="str">
        <f>IF($B157="","",IFERROR(AB157+AC157+AD157,"n.b."))</f>
        <v/>
      </c>
      <c r="BF157" s="124" t="str">
        <f>IF($B157="","",IFERROR(AE157+AF157+AG157,"n.b."))</f>
        <v/>
      </c>
      <c r="BG157" s="124" t="str">
        <f>IF($B157="","",IFERROR(AH157+AI157+AJ157,"n.b."))</f>
        <v/>
      </c>
      <c r="BH157" s="124" t="str">
        <f>IF($B157="","",IFERROR(AK157+AL157+AM157,"n.b."))</f>
        <v/>
      </c>
      <c r="BI157" s="124" t="str">
        <f>IF($B157="","",IFERROR(SUMIF($AB$5:$AM$5,"&lt;="&amp;P_PeilMaand,AB157:AM157),"n.b."))</f>
        <v/>
      </c>
      <c r="BJ157" s="124" t="str">
        <f>IF($B157="","",IFERROR(SUM(AB157:AM157)-BI157,"n.b."))</f>
        <v/>
      </c>
      <c r="BK157" s="124" t="str">
        <f>IF($B157="","",IFERROR(IF(ABS(Q157-(T157+SUM(AB157:AM157)+AS157+AU157))&gt;P_Tol,1,0),1))</f>
        <v/>
      </c>
      <c r="BL157" s="124" t="str">
        <f>IF($B157="","",IFERROR(IF(ABS(AA157-(Q157-Z157))&gt;P_Tol,1,0),1))</f>
        <v/>
      </c>
      <c r="BM157" s="124" t="str">
        <f>IF($B157="","",IFERROR(IF(ABS(Z157-(T157+W157))&gt;P_Tol,1,0),1))</f>
        <v/>
      </c>
      <c r="BN157" s="124" t="str">
        <f>IF($B157="","",IFERROR(IF(ABS(W157-BI157)&gt;P_Tol,1,0),1))</f>
        <v/>
      </c>
      <c r="BO157" s="124" t="str">
        <f>IF($B157="","",IFERROR(IF(OR(ABS(R157+S157-T157)&gt;P_Tol,ABS(U157+V157-W157)&gt;P_Tol,ABS(X157+Y157-Z157)&gt;P_Tol),1,0),1))</f>
        <v/>
      </c>
      <c r="BP157" s="124" t="str">
        <f>IF($B157="","",IFERROR(IF(OR(ABS(AR157-SUM(AB157:AM157))&gt;P_Tol,ABS(AS157-(AN157+AO157+AP157+AQ157))&gt;P_Tol),1,0),1))</f>
        <v/>
      </c>
      <c r="BQ157" s="124" t="str">
        <f>IF($B157="","",IFERROR(IF(ABS(AT157)+ABS(AV157)+ABS(AW157)+ABS(AX157)+ABS(AY157)+ABS(AZ157)+ABS(BA157)+ABS(BB157)&gt;0,1,0),1))</f>
        <v/>
      </c>
      <c r="BR157" s="124" t="str">
        <f>IF($B157="","",COUNTIF(STG_ZPMW03!$B$6:$B$505,B157))</f>
        <v/>
      </c>
      <c r="BS157" s="124" t="str">
        <f>IF($B157="","",COUNTIF($B$6:$B$505,B157))</f>
        <v/>
      </c>
      <c r="BT157" s="124" t="str">
        <f>IF($B157="","",IF(BR157=0,0,IF(INDEX(STG_ZPMW03!$I$6:$I$505,MATCH(B157,STG_ZPMW03!$B$6:$B$505,0))=J157&amp;"",0,1)))</f>
        <v/>
      </c>
      <c r="BU157" s="124" t="str">
        <f>IF($B157="","",IFERROR(IF(ABS(INDEX(Mapping!$D$5:$D$104,MATCH(B157,Mapping!$A$5:$A$104,0))-Q157)&gt;P_Tol,1,0),0))</f>
        <v/>
      </c>
      <c r="BV157" s="124" t="str">
        <f>IF($B157="","",IFERROR(IF(AND(INDEX(Mapping!$G$5:$G$104,MATCH(B157,Mapping!$A$5:$A$104,0))="Nee",ABS(Q157)+ABS(Z157)+ABS(AR157)&gt;0),1,0),0))</f>
        <v/>
      </c>
      <c r="BW157" s="124" t="str">
        <f>IF($B157="","",IF(COUNTIF(Mapping!$A$5:$A$104,B157)&gt;0,1,0))</f>
        <v/>
      </c>
      <c r="BX157" s="124" t="str">
        <f>IF($B157="","",IF(BR157=0,COUNTIF($BR$6:BR157,0),""))</f>
        <v/>
      </c>
    </row>
    <row r="158">
      <c r="A158" s="15" t="n">
        <v>154</v>
      </c>
      <c r="B158" t="str">
        <f>IF(B$3=0,"",IF(INDEX(SRC_Woningetalage!$A$1:$ZZ$501,$A158,B$3)&amp;""="","",INDEX(SRC_Woningetalage!$A$1:$ZZ$501,$A158,B$3)&amp;""))</f>
        <v/>
      </c>
      <c r="C158" t="str">
        <f>IF($B158="","",IF(C$3=0,"n.b.",INDEX(SRC_Woningetalage!$A$1:$ZZ$501,$A158,C$3)))</f>
        <v/>
      </c>
      <c r="D158" t="str">
        <f>IF($B158="","",IF(D$3=0,"n.b.",INDEX(SRC_Woningetalage!$A$1:$ZZ$501,$A158,D$3)))</f>
        <v/>
      </c>
      <c r="E158" t="str">
        <f>IF($B158="","",IF(E$3=0,"n.b.",INDEX(SRC_Woningetalage!$A$1:$ZZ$501,$A158,E$3)))</f>
        <v/>
      </c>
      <c r="F158" t="str">
        <f>IF($B158="","",IF(F$3=0,"n.b.",INDEX(SRC_Woningetalage!$A$1:$ZZ$501,$A158,F$3)))</f>
        <v/>
      </c>
      <c r="G158" t="str">
        <f>IF($B158="","",IF(G$3=0,"n.b.",INDEX(SRC_Woningetalage!$A$1:$ZZ$501,$A158,G$3)))</f>
        <v/>
      </c>
      <c r="H158" t="str">
        <f>IF($B158="","",IF(H$3=0,"n.b.",INDEX(SRC_Woningetalage!$A$1:$ZZ$501,$A158,H$3)))</f>
        <v/>
      </c>
      <c r="I158" t="str">
        <f>IF($B158="","",IF(I$3=0,"n.b.",INDEX(SRC_Woningetalage!$A$1:$ZZ$501,$A158,I$3)))</f>
        <v/>
      </c>
      <c r="J158" t="str">
        <f>IF($B158="","",IF(J$3=0,"n.b.",INDEX(SRC_Woningetalage!$A$1:$ZZ$501,$A158,J$3)))</f>
        <v/>
      </c>
      <c r="K158" t="str">
        <f>IF($B158="","",IF(K$3=0,"n.b.",INDEX(SRC_Woningetalage!$A$1:$ZZ$501,$A158,K$3)))</f>
        <v/>
      </c>
      <c r="L158" t="str">
        <f>IF($B158="","",IF(L$3=0,"n.b.",INDEX(SRC_Woningetalage!$A$1:$ZZ$501,$A158,L$3)))</f>
        <v/>
      </c>
      <c r="M158" t="str">
        <f>IF($B158="","",IF(M$3=0,"n.b.",INDEX(SRC_Woningetalage!$A$1:$ZZ$501,$A158,M$3)))</f>
        <v/>
      </c>
      <c r="N158" t="str">
        <f>IF($B158="","",IF(N$3=0,"n.b.",INDEX(SRC_Woningetalage!$A$1:$ZZ$501,$A158,N$3)))</f>
        <v/>
      </c>
      <c r="O158" t="str">
        <f>IF($B158="","",IF(O$3=0,"n.b.",INDEX(SRC_Woningetalage!$A$1:$ZZ$501,$A158,O$3)))</f>
        <v/>
      </c>
      <c r="P158" t="str">
        <f>IF($B158="","",IF(P$3=0,"n.b.",INDEX(SRC_Woningetalage!$A$1:$ZZ$501,$A158,P$3)))</f>
        <v/>
      </c>
      <c r="Q158" s="124" t="str">
        <f>IF($B158="","",IF(Q$3=0,"n.b.",INDEX(SRC_Woningetalage!$A$1:$ZZ$501,$A158,Q$3)))</f>
        <v/>
      </c>
      <c r="R158" s="124" t="str">
        <f>IF($B158="","",IF(R$3=0,"n.b.",INDEX(SRC_Woningetalage!$A$1:$ZZ$501,$A158,R$3)))</f>
        <v/>
      </c>
      <c r="S158" s="124" t="str">
        <f>IF($B158="","",IF(S$3=0,"n.b.",INDEX(SRC_Woningetalage!$A$1:$ZZ$501,$A158,S$3)))</f>
        <v/>
      </c>
      <c r="T158" s="124" t="str">
        <f>IF($B158="","",IF(T$3=0,"n.b.",INDEX(SRC_Woningetalage!$A$1:$ZZ$501,$A158,T$3)))</f>
        <v/>
      </c>
      <c r="U158" s="124" t="str">
        <f>IF($B158="","",IF(U$3=0,"n.b.",INDEX(SRC_Woningetalage!$A$1:$ZZ$501,$A158,U$3)))</f>
        <v/>
      </c>
      <c r="V158" s="124" t="str">
        <f>IF($B158="","",IF(V$3=0,"n.b.",INDEX(SRC_Woningetalage!$A$1:$ZZ$501,$A158,V$3)))</f>
        <v/>
      </c>
      <c r="W158" s="124" t="str">
        <f>IF($B158="","",IF(W$3=0,"n.b.",INDEX(SRC_Woningetalage!$A$1:$ZZ$501,$A158,W$3)))</f>
        <v/>
      </c>
      <c r="X158" s="124" t="str">
        <f>IF($B158="","",IF(X$3=0,"n.b.",INDEX(SRC_Woningetalage!$A$1:$ZZ$501,$A158,X$3)))</f>
        <v/>
      </c>
      <c r="Y158" s="124" t="str">
        <f>IF($B158="","",IF(Y$3=0,"n.b.",INDEX(SRC_Woningetalage!$A$1:$ZZ$501,$A158,Y$3)))</f>
        <v/>
      </c>
      <c r="Z158" s="124" t="str">
        <f>IF($B158="","",IF(Z$3=0,"n.b.",INDEX(SRC_Woningetalage!$A$1:$ZZ$501,$A158,Z$3)))</f>
        <v/>
      </c>
      <c r="AA158" s="124" t="str">
        <f>IF($B158="","",IF(AA$3=0,"n.b.",INDEX(SRC_Woningetalage!$A$1:$ZZ$501,$A158,AA$3)))</f>
        <v/>
      </c>
      <c r="AB158" s="124" t="str">
        <f>IF($B158="","",IF(AB$3=0,"n.b.",INDEX(SRC_Woningetalage!$A$1:$ZZ$501,$A158,AB$3)))</f>
        <v/>
      </c>
      <c r="AC158" s="124" t="str">
        <f>IF($B158="","",IF(AC$3=0,"n.b.",INDEX(SRC_Woningetalage!$A$1:$ZZ$501,$A158,AC$3)))</f>
        <v/>
      </c>
      <c r="AD158" s="124" t="str">
        <f>IF($B158="","",IF(AD$3=0,"n.b.",INDEX(SRC_Woningetalage!$A$1:$ZZ$501,$A158,AD$3)))</f>
        <v/>
      </c>
      <c r="AE158" s="124" t="str">
        <f>IF($B158="","",IF(AE$3=0,"n.b.",INDEX(SRC_Woningetalage!$A$1:$ZZ$501,$A158,AE$3)))</f>
        <v/>
      </c>
      <c r="AF158" s="124" t="str">
        <f>IF($B158="","",IF(AF$3=0,"n.b.",INDEX(SRC_Woningetalage!$A$1:$ZZ$501,$A158,AF$3)))</f>
        <v/>
      </c>
      <c r="AG158" s="124" t="str">
        <f>IF($B158="","",IF(AG$3=0,"n.b.",INDEX(SRC_Woningetalage!$A$1:$ZZ$501,$A158,AG$3)))</f>
        <v/>
      </c>
      <c r="AH158" s="124" t="str">
        <f>IF($B158="","",IF(AH$3=0,"n.b.",INDEX(SRC_Woningetalage!$A$1:$ZZ$501,$A158,AH$3)))</f>
        <v/>
      </c>
      <c r="AI158" s="124" t="str">
        <f>IF($B158="","",IF(AI$3=0,"n.b.",INDEX(SRC_Woningetalage!$A$1:$ZZ$501,$A158,AI$3)))</f>
        <v/>
      </c>
      <c r="AJ158" s="124" t="str">
        <f>IF($B158="","",IF(AJ$3=0,"n.b.",INDEX(SRC_Woningetalage!$A$1:$ZZ$501,$A158,AJ$3)))</f>
        <v/>
      </c>
      <c r="AK158" s="124" t="str">
        <f>IF($B158="","",IF(AK$3=0,"n.b.",INDEX(SRC_Woningetalage!$A$1:$ZZ$501,$A158,AK$3)))</f>
        <v/>
      </c>
      <c r="AL158" s="124" t="str">
        <f>IF($B158="","",IF(AL$3=0,"n.b.",INDEX(SRC_Woningetalage!$A$1:$ZZ$501,$A158,AL$3)))</f>
        <v/>
      </c>
      <c r="AM158" s="124" t="str">
        <f>IF($B158="","",IF(AM$3=0,"n.b.",INDEX(SRC_Woningetalage!$A$1:$ZZ$501,$A158,AM$3)))</f>
        <v/>
      </c>
      <c r="AN158" s="124" t="str">
        <f>IF($B158="","",IF(AN$3=0,"n.b.",INDEX(SRC_Woningetalage!$A$1:$ZZ$501,$A158,AN$3)))</f>
        <v/>
      </c>
      <c r="AO158" s="124" t="str">
        <f>IF($B158="","",IF(AO$3=0,"n.b.",INDEX(SRC_Woningetalage!$A$1:$ZZ$501,$A158,AO$3)))</f>
        <v/>
      </c>
      <c r="AP158" s="124" t="str">
        <f>IF($B158="","",IF(AP$3=0,"n.b.",INDEX(SRC_Woningetalage!$A$1:$ZZ$501,$A158,AP$3)))</f>
        <v/>
      </c>
      <c r="AQ158" s="124" t="str">
        <f>IF($B158="","",IF(AQ$3=0,"n.b.",INDEX(SRC_Woningetalage!$A$1:$ZZ$501,$A158,AQ$3)))</f>
        <v/>
      </c>
      <c r="AR158" s="124" t="str">
        <f>IF($B158="","",IF(AR$3=0,"n.b.",INDEX(SRC_Woningetalage!$A$1:$ZZ$501,$A158,AR$3)))</f>
        <v/>
      </c>
      <c r="AS158" s="124" t="str">
        <f>IF($B158="","",IF(AS$3=0,"n.b.",INDEX(SRC_Woningetalage!$A$1:$ZZ$501,$A158,AS$3)))</f>
        <v/>
      </c>
      <c r="AT158" s="124" t="str">
        <f>IF($B158="","",IF(AT$3=0,"n.b.",INDEX(SRC_Woningetalage!$A$1:$ZZ$501,$A158,AT$3)))</f>
        <v/>
      </c>
      <c r="AU158" s="124" t="str">
        <f>IF($B158="","",IF(AU$3=0,"n.b.",INDEX(SRC_Woningetalage!$A$1:$ZZ$501,$A158,AU$3)))</f>
        <v/>
      </c>
      <c r="AV158" s="124" t="str">
        <f>IF($B158="","",IF(AV$3=0,"n.b.",INDEX(SRC_Woningetalage!$A$1:$ZZ$501,$A158,AV$3)))</f>
        <v/>
      </c>
      <c r="AW158" s="124" t="str">
        <f>IF($B158="","",IF(AW$3=0,"n.b.",INDEX(SRC_Woningetalage!$A$1:$ZZ$501,$A158,AW$3)))</f>
        <v/>
      </c>
      <c r="AX158" s="124" t="str">
        <f>IF($B158="","",IF(AX$3=0,"n.b.",INDEX(SRC_Woningetalage!$A$1:$ZZ$501,$A158,AX$3)))</f>
        <v/>
      </c>
      <c r="AY158" s="124" t="str">
        <f>IF($B158="","",IF(AY$3=0,"n.b.",INDEX(SRC_Woningetalage!$A$1:$ZZ$501,$A158,AY$3)))</f>
        <v/>
      </c>
      <c r="AZ158" s="124" t="str">
        <f>IF($B158="","",IF(AZ$3=0,"n.b.",INDEX(SRC_Woningetalage!$A$1:$ZZ$501,$A158,AZ$3)))</f>
        <v/>
      </c>
      <c r="BA158" s="124" t="str">
        <f>IF($B158="","",IF(BA$3=0,"n.b.",INDEX(SRC_Woningetalage!$A$1:$ZZ$501,$A158,BA$3)))</f>
        <v/>
      </c>
      <c r="BB158" s="124" t="str">
        <f>IF($B158="","",IF(BB$3=0,"n.b.",INDEX(SRC_Woningetalage!$A$1:$ZZ$501,$A158,BB$3)))</f>
        <v/>
      </c>
      <c r="BC158" s="124" t="str">
        <f>IF($B158="","",IFERROR(_xlfn.NUMBERVALUE(E158&amp;"",",","."),"n.b."))</f>
        <v/>
      </c>
      <c r="BD158" s="124" t="str">
        <f>IF($B158="","",IFERROR(_xlfn.NUMBERVALUE(M158&amp;"",",","."),"n.b."))</f>
        <v/>
      </c>
      <c r="BE158" s="124" t="str">
        <f>IF($B158="","",IFERROR(AB158+AC158+AD158,"n.b."))</f>
        <v/>
      </c>
      <c r="BF158" s="124" t="str">
        <f>IF($B158="","",IFERROR(AE158+AF158+AG158,"n.b."))</f>
        <v/>
      </c>
      <c r="BG158" s="124" t="str">
        <f>IF($B158="","",IFERROR(AH158+AI158+AJ158,"n.b."))</f>
        <v/>
      </c>
      <c r="BH158" s="124" t="str">
        <f>IF($B158="","",IFERROR(AK158+AL158+AM158,"n.b."))</f>
        <v/>
      </c>
      <c r="BI158" s="124" t="str">
        <f>IF($B158="","",IFERROR(SUMIF($AB$5:$AM$5,"&lt;="&amp;P_PeilMaand,AB158:AM158),"n.b."))</f>
        <v/>
      </c>
      <c r="BJ158" s="124" t="str">
        <f>IF($B158="","",IFERROR(SUM(AB158:AM158)-BI158,"n.b."))</f>
        <v/>
      </c>
      <c r="BK158" s="124" t="str">
        <f>IF($B158="","",IFERROR(IF(ABS(Q158-(T158+SUM(AB158:AM158)+AS158+AU158))&gt;P_Tol,1,0),1))</f>
        <v/>
      </c>
      <c r="BL158" s="124" t="str">
        <f>IF($B158="","",IFERROR(IF(ABS(AA158-(Q158-Z158))&gt;P_Tol,1,0),1))</f>
        <v/>
      </c>
      <c r="BM158" s="124" t="str">
        <f>IF($B158="","",IFERROR(IF(ABS(Z158-(T158+W158))&gt;P_Tol,1,0),1))</f>
        <v/>
      </c>
      <c r="BN158" s="124" t="str">
        <f>IF($B158="","",IFERROR(IF(ABS(W158-BI158)&gt;P_Tol,1,0),1))</f>
        <v/>
      </c>
      <c r="BO158" s="124" t="str">
        <f>IF($B158="","",IFERROR(IF(OR(ABS(R158+S158-T158)&gt;P_Tol,ABS(U158+V158-W158)&gt;P_Tol,ABS(X158+Y158-Z158)&gt;P_Tol),1,0),1))</f>
        <v/>
      </c>
      <c r="BP158" s="124" t="str">
        <f>IF($B158="","",IFERROR(IF(OR(ABS(AR158-SUM(AB158:AM158))&gt;P_Tol,ABS(AS158-(AN158+AO158+AP158+AQ158))&gt;P_Tol),1,0),1))</f>
        <v/>
      </c>
      <c r="BQ158" s="124" t="str">
        <f>IF($B158="","",IFERROR(IF(ABS(AT158)+ABS(AV158)+ABS(AW158)+ABS(AX158)+ABS(AY158)+ABS(AZ158)+ABS(BA158)+ABS(BB158)&gt;0,1,0),1))</f>
        <v/>
      </c>
      <c r="BR158" s="124" t="str">
        <f>IF($B158="","",COUNTIF(STG_ZPMW03!$B$6:$B$505,B158))</f>
        <v/>
      </c>
      <c r="BS158" s="124" t="str">
        <f>IF($B158="","",COUNTIF($B$6:$B$505,B158))</f>
        <v/>
      </c>
      <c r="BT158" s="124" t="str">
        <f>IF($B158="","",IF(BR158=0,0,IF(INDEX(STG_ZPMW03!$I$6:$I$505,MATCH(B158,STG_ZPMW03!$B$6:$B$505,0))=J158&amp;"",0,1)))</f>
        <v/>
      </c>
      <c r="BU158" s="124" t="str">
        <f>IF($B158="","",IFERROR(IF(ABS(INDEX(Mapping!$D$5:$D$104,MATCH(B158,Mapping!$A$5:$A$104,0))-Q158)&gt;P_Tol,1,0),0))</f>
        <v/>
      </c>
      <c r="BV158" s="124" t="str">
        <f>IF($B158="","",IFERROR(IF(AND(INDEX(Mapping!$G$5:$G$104,MATCH(B158,Mapping!$A$5:$A$104,0))="Nee",ABS(Q158)+ABS(Z158)+ABS(AR158)&gt;0),1,0),0))</f>
        <v/>
      </c>
      <c r="BW158" s="124" t="str">
        <f>IF($B158="","",IF(COUNTIF(Mapping!$A$5:$A$104,B158)&gt;0,1,0))</f>
        <v/>
      </c>
      <c r="BX158" s="124" t="str">
        <f>IF($B158="","",IF(BR158=0,COUNTIF($BR$6:BR158,0),""))</f>
        <v/>
      </c>
    </row>
    <row r="159">
      <c r="A159" s="15" t="n">
        <v>155</v>
      </c>
      <c r="B159" t="str">
        <f>IF(B$3=0,"",IF(INDEX(SRC_Woningetalage!$A$1:$ZZ$501,$A159,B$3)&amp;""="","",INDEX(SRC_Woningetalage!$A$1:$ZZ$501,$A159,B$3)&amp;""))</f>
        <v/>
      </c>
      <c r="C159" t="str">
        <f>IF($B159="","",IF(C$3=0,"n.b.",INDEX(SRC_Woningetalage!$A$1:$ZZ$501,$A159,C$3)))</f>
        <v/>
      </c>
      <c r="D159" t="str">
        <f>IF($B159="","",IF(D$3=0,"n.b.",INDEX(SRC_Woningetalage!$A$1:$ZZ$501,$A159,D$3)))</f>
        <v/>
      </c>
      <c r="E159" t="str">
        <f>IF($B159="","",IF(E$3=0,"n.b.",INDEX(SRC_Woningetalage!$A$1:$ZZ$501,$A159,E$3)))</f>
        <v/>
      </c>
      <c r="F159" t="str">
        <f>IF($B159="","",IF(F$3=0,"n.b.",INDEX(SRC_Woningetalage!$A$1:$ZZ$501,$A159,F$3)))</f>
        <v/>
      </c>
      <c r="G159" t="str">
        <f>IF($B159="","",IF(G$3=0,"n.b.",INDEX(SRC_Woningetalage!$A$1:$ZZ$501,$A159,G$3)))</f>
        <v/>
      </c>
      <c r="H159" t="str">
        <f>IF($B159="","",IF(H$3=0,"n.b.",INDEX(SRC_Woningetalage!$A$1:$ZZ$501,$A159,H$3)))</f>
        <v/>
      </c>
      <c r="I159" t="str">
        <f>IF($B159="","",IF(I$3=0,"n.b.",INDEX(SRC_Woningetalage!$A$1:$ZZ$501,$A159,I$3)))</f>
        <v/>
      </c>
      <c r="J159" t="str">
        <f>IF($B159="","",IF(J$3=0,"n.b.",INDEX(SRC_Woningetalage!$A$1:$ZZ$501,$A159,J$3)))</f>
        <v/>
      </c>
      <c r="K159" t="str">
        <f>IF($B159="","",IF(K$3=0,"n.b.",INDEX(SRC_Woningetalage!$A$1:$ZZ$501,$A159,K$3)))</f>
        <v/>
      </c>
      <c r="L159" t="str">
        <f>IF($B159="","",IF(L$3=0,"n.b.",INDEX(SRC_Woningetalage!$A$1:$ZZ$501,$A159,L$3)))</f>
        <v/>
      </c>
      <c r="M159" t="str">
        <f>IF($B159="","",IF(M$3=0,"n.b.",INDEX(SRC_Woningetalage!$A$1:$ZZ$501,$A159,M$3)))</f>
        <v/>
      </c>
      <c r="N159" t="str">
        <f>IF($B159="","",IF(N$3=0,"n.b.",INDEX(SRC_Woningetalage!$A$1:$ZZ$501,$A159,N$3)))</f>
        <v/>
      </c>
      <c r="O159" t="str">
        <f>IF($B159="","",IF(O$3=0,"n.b.",INDEX(SRC_Woningetalage!$A$1:$ZZ$501,$A159,O$3)))</f>
        <v/>
      </c>
      <c r="P159" t="str">
        <f>IF($B159="","",IF(P$3=0,"n.b.",INDEX(SRC_Woningetalage!$A$1:$ZZ$501,$A159,P$3)))</f>
        <v/>
      </c>
      <c r="Q159" s="124" t="str">
        <f>IF($B159="","",IF(Q$3=0,"n.b.",INDEX(SRC_Woningetalage!$A$1:$ZZ$501,$A159,Q$3)))</f>
        <v/>
      </c>
      <c r="R159" s="124" t="str">
        <f>IF($B159="","",IF(R$3=0,"n.b.",INDEX(SRC_Woningetalage!$A$1:$ZZ$501,$A159,R$3)))</f>
        <v/>
      </c>
      <c r="S159" s="124" t="str">
        <f>IF($B159="","",IF(S$3=0,"n.b.",INDEX(SRC_Woningetalage!$A$1:$ZZ$501,$A159,S$3)))</f>
        <v/>
      </c>
      <c r="T159" s="124" t="str">
        <f>IF($B159="","",IF(T$3=0,"n.b.",INDEX(SRC_Woningetalage!$A$1:$ZZ$501,$A159,T$3)))</f>
        <v/>
      </c>
      <c r="U159" s="124" t="str">
        <f>IF($B159="","",IF(U$3=0,"n.b.",INDEX(SRC_Woningetalage!$A$1:$ZZ$501,$A159,U$3)))</f>
        <v/>
      </c>
      <c r="V159" s="124" t="str">
        <f>IF($B159="","",IF(V$3=0,"n.b.",INDEX(SRC_Woningetalage!$A$1:$ZZ$501,$A159,V$3)))</f>
        <v/>
      </c>
      <c r="W159" s="124" t="str">
        <f>IF($B159="","",IF(W$3=0,"n.b.",INDEX(SRC_Woningetalage!$A$1:$ZZ$501,$A159,W$3)))</f>
        <v/>
      </c>
      <c r="X159" s="124" t="str">
        <f>IF($B159="","",IF(X$3=0,"n.b.",INDEX(SRC_Woningetalage!$A$1:$ZZ$501,$A159,X$3)))</f>
        <v/>
      </c>
      <c r="Y159" s="124" t="str">
        <f>IF($B159="","",IF(Y$3=0,"n.b.",INDEX(SRC_Woningetalage!$A$1:$ZZ$501,$A159,Y$3)))</f>
        <v/>
      </c>
      <c r="Z159" s="124" t="str">
        <f>IF($B159="","",IF(Z$3=0,"n.b.",INDEX(SRC_Woningetalage!$A$1:$ZZ$501,$A159,Z$3)))</f>
        <v/>
      </c>
      <c r="AA159" s="124" t="str">
        <f>IF($B159="","",IF(AA$3=0,"n.b.",INDEX(SRC_Woningetalage!$A$1:$ZZ$501,$A159,AA$3)))</f>
        <v/>
      </c>
      <c r="AB159" s="124" t="str">
        <f>IF($B159="","",IF(AB$3=0,"n.b.",INDEX(SRC_Woningetalage!$A$1:$ZZ$501,$A159,AB$3)))</f>
        <v/>
      </c>
      <c r="AC159" s="124" t="str">
        <f>IF($B159="","",IF(AC$3=0,"n.b.",INDEX(SRC_Woningetalage!$A$1:$ZZ$501,$A159,AC$3)))</f>
        <v/>
      </c>
      <c r="AD159" s="124" t="str">
        <f>IF($B159="","",IF(AD$3=0,"n.b.",INDEX(SRC_Woningetalage!$A$1:$ZZ$501,$A159,AD$3)))</f>
        <v/>
      </c>
      <c r="AE159" s="124" t="str">
        <f>IF($B159="","",IF(AE$3=0,"n.b.",INDEX(SRC_Woningetalage!$A$1:$ZZ$501,$A159,AE$3)))</f>
        <v/>
      </c>
      <c r="AF159" s="124" t="str">
        <f>IF($B159="","",IF(AF$3=0,"n.b.",INDEX(SRC_Woningetalage!$A$1:$ZZ$501,$A159,AF$3)))</f>
        <v/>
      </c>
      <c r="AG159" s="124" t="str">
        <f>IF($B159="","",IF(AG$3=0,"n.b.",INDEX(SRC_Woningetalage!$A$1:$ZZ$501,$A159,AG$3)))</f>
        <v/>
      </c>
      <c r="AH159" s="124" t="str">
        <f>IF($B159="","",IF(AH$3=0,"n.b.",INDEX(SRC_Woningetalage!$A$1:$ZZ$501,$A159,AH$3)))</f>
        <v/>
      </c>
      <c r="AI159" s="124" t="str">
        <f>IF($B159="","",IF(AI$3=0,"n.b.",INDEX(SRC_Woningetalage!$A$1:$ZZ$501,$A159,AI$3)))</f>
        <v/>
      </c>
      <c r="AJ159" s="124" t="str">
        <f>IF($B159="","",IF(AJ$3=0,"n.b.",INDEX(SRC_Woningetalage!$A$1:$ZZ$501,$A159,AJ$3)))</f>
        <v/>
      </c>
      <c r="AK159" s="124" t="str">
        <f>IF($B159="","",IF(AK$3=0,"n.b.",INDEX(SRC_Woningetalage!$A$1:$ZZ$501,$A159,AK$3)))</f>
        <v/>
      </c>
      <c r="AL159" s="124" t="str">
        <f>IF($B159="","",IF(AL$3=0,"n.b.",INDEX(SRC_Woningetalage!$A$1:$ZZ$501,$A159,AL$3)))</f>
        <v/>
      </c>
      <c r="AM159" s="124" t="str">
        <f>IF($B159="","",IF(AM$3=0,"n.b.",INDEX(SRC_Woningetalage!$A$1:$ZZ$501,$A159,AM$3)))</f>
        <v/>
      </c>
      <c r="AN159" s="124" t="str">
        <f>IF($B159="","",IF(AN$3=0,"n.b.",INDEX(SRC_Woningetalage!$A$1:$ZZ$501,$A159,AN$3)))</f>
        <v/>
      </c>
      <c r="AO159" s="124" t="str">
        <f>IF($B159="","",IF(AO$3=0,"n.b.",INDEX(SRC_Woningetalage!$A$1:$ZZ$501,$A159,AO$3)))</f>
        <v/>
      </c>
      <c r="AP159" s="124" t="str">
        <f>IF($B159="","",IF(AP$3=0,"n.b.",INDEX(SRC_Woningetalage!$A$1:$ZZ$501,$A159,AP$3)))</f>
        <v/>
      </c>
      <c r="AQ159" s="124" t="str">
        <f>IF($B159="","",IF(AQ$3=0,"n.b.",INDEX(SRC_Woningetalage!$A$1:$ZZ$501,$A159,AQ$3)))</f>
        <v/>
      </c>
      <c r="AR159" s="124" t="str">
        <f>IF($B159="","",IF(AR$3=0,"n.b.",INDEX(SRC_Woningetalage!$A$1:$ZZ$501,$A159,AR$3)))</f>
        <v/>
      </c>
      <c r="AS159" s="124" t="str">
        <f>IF($B159="","",IF(AS$3=0,"n.b.",INDEX(SRC_Woningetalage!$A$1:$ZZ$501,$A159,AS$3)))</f>
        <v/>
      </c>
      <c r="AT159" s="124" t="str">
        <f>IF($B159="","",IF(AT$3=0,"n.b.",INDEX(SRC_Woningetalage!$A$1:$ZZ$501,$A159,AT$3)))</f>
        <v/>
      </c>
      <c r="AU159" s="124" t="str">
        <f>IF($B159="","",IF(AU$3=0,"n.b.",INDEX(SRC_Woningetalage!$A$1:$ZZ$501,$A159,AU$3)))</f>
        <v/>
      </c>
      <c r="AV159" s="124" t="str">
        <f>IF($B159="","",IF(AV$3=0,"n.b.",INDEX(SRC_Woningetalage!$A$1:$ZZ$501,$A159,AV$3)))</f>
        <v/>
      </c>
      <c r="AW159" s="124" t="str">
        <f>IF($B159="","",IF(AW$3=0,"n.b.",INDEX(SRC_Woningetalage!$A$1:$ZZ$501,$A159,AW$3)))</f>
        <v/>
      </c>
      <c r="AX159" s="124" t="str">
        <f>IF($B159="","",IF(AX$3=0,"n.b.",INDEX(SRC_Woningetalage!$A$1:$ZZ$501,$A159,AX$3)))</f>
        <v/>
      </c>
      <c r="AY159" s="124" t="str">
        <f>IF($B159="","",IF(AY$3=0,"n.b.",INDEX(SRC_Woningetalage!$A$1:$ZZ$501,$A159,AY$3)))</f>
        <v/>
      </c>
      <c r="AZ159" s="124" t="str">
        <f>IF($B159="","",IF(AZ$3=0,"n.b.",INDEX(SRC_Woningetalage!$A$1:$ZZ$501,$A159,AZ$3)))</f>
        <v/>
      </c>
      <c r="BA159" s="124" t="str">
        <f>IF($B159="","",IF(BA$3=0,"n.b.",INDEX(SRC_Woningetalage!$A$1:$ZZ$501,$A159,BA$3)))</f>
        <v/>
      </c>
      <c r="BB159" s="124" t="str">
        <f>IF($B159="","",IF(BB$3=0,"n.b.",INDEX(SRC_Woningetalage!$A$1:$ZZ$501,$A159,BB$3)))</f>
        <v/>
      </c>
      <c r="BC159" s="124" t="str">
        <f>IF($B159="","",IFERROR(_xlfn.NUMBERVALUE(E159&amp;"",",","."),"n.b."))</f>
        <v/>
      </c>
      <c r="BD159" s="124" t="str">
        <f>IF($B159="","",IFERROR(_xlfn.NUMBERVALUE(M159&amp;"",",","."),"n.b."))</f>
        <v/>
      </c>
      <c r="BE159" s="124" t="str">
        <f>IF($B159="","",IFERROR(AB159+AC159+AD159,"n.b."))</f>
        <v/>
      </c>
      <c r="BF159" s="124" t="str">
        <f>IF($B159="","",IFERROR(AE159+AF159+AG159,"n.b."))</f>
        <v/>
      </c>
      <c r="BG159" s="124" t="str">
        <f>IF($B159="","",IFERROR(AH159+AI159+AJ159,"n.b."))</f>
        <v/>
      </c>
      <c r="BH159" s="124" t="str">
        <f>IF($B159="","",IFERROR(AK159+AL159+AM159,"n.b."))</f>
        <v/>
      </c>
      <c r="BI159" s="124" t="str">
        <f>IF($B159="","",IFERROR(SUMIF($AB$5:$AM$5,"&lt;="&amp;P_PeilMaand,AB159:AM159),"n.b."))</f>
        <v/>
      </c>
      <c r="BJ159" s="124" t="str">
        <f>IF($B159="","",IFERROR(SUM(AB159:AM159)-BI159,"n.b."))</f>
        <v/>
      </c>
      <c r="BK159" s="124" t="str">
        <f>IF($B159="","",IFERROR(IF(ABS(Q159-(T159+SUM(AB159:AM159)+AS159+AU159))&gt;P_Tol,1,0),1))</f>
        <v/>
      </c>
      <c r="BL159" s="124" t="str">
        <f>IF($B159="","",IFERROR(IF(ABS(AA159-(Q159-Z159))&gt;P_Tol,1,0),1))</f>
        <v/>
      </c>
      <c r="BM159" s="124" t="str">
        <f>IF($B159="","",IFERROR(IF(ABS(Z159-(T159+W159))&gt;P_Tol,1,0),1))</f>
        <v/>
      </c>
      <c r="BN159" s="124" t="str">
        <f>IF($B159="","",IFERROR(IF(ABS(W159-BI159)&gt;P_Tol,1,0),1))</f>
        <v/>
      </c>
      <c r="BO159" s="124" t="str">
        <f>IF($B159="","",IFERROR(IF(OR(ABS(R159+S159-T159)&gt;P_Tol,ABS(U159+V159-W159)&gt;P_Tol,ABS(X159+Y159-Z159)&gt;P_Tol),1,0),1))</f>
        <v/>
      </c>
      <c r="BP159" s="124" t="str">
        <f>IF($B159="","",IFERROR(IF(OR(ABS(AR159-SUM(AB159:AM159))&gt;P_Tol,ABS(AS159-(AN159+AO159+AP159+AQ159))&gt;P_Tol),1,0),1))</f>
        <v/>
      </c>
      <c r="BQ159" s="124" t="str">
        <f>IF($B159="","",IFERROR(IF(ABS(AT159)+ABS(AV159)+ABS(AW159)+ABS(AX159)+ABS(AY159)+ABS(AZ159)+ABS(BA159)+ABS(BB159)&gt;0,1,0),1))</f>
        <v/>
      </c>
      <c r="BR159" s="124" t="str">
        <f>IF($B159="","",COUNTIF(STG_ZPMW03!$B$6:$B$505,B159))</f>
        <v/>
      </c>
      <c r="BS159" s="124" t="str">
        <f>IF($B159="","",COUNTIF($B$6:$B$505,B159))</f>
        <v/>
      </c>
      <c r="BT159" s="124" t="str">
        <f>IF($B159="","",IF(BR159=0,0,IF(INDEX(STG_ZPMW03!$I$6:$I$505,MATCH(B159,STG_ZPMW03!$B$6:$B$505,0))=J159&amp;"",0,1)))</f>
        <v/>
      </c>
      <c r="BU159" s="124" t="str">
        <f>IF($B159="","",IFERROR(IF(ABS(INDEX(Mapping!$D$5:$D$104,MATCH(B159,Mapping!$A$5:$A$104,0))-Q159)&gt;P_Tol,1,0),0))</f>
        <v/>
      </c>
      <c r="BV159" s="124" t="str">
        <f>IF($B159="","",IFERROR(IF(AND(INDEX(Mapping!$G$5:$G$104,MATCH(B159,Mapping!$A$5:$A$104,0))="Nee",ABS(Q159)+ABS(Z159)+ABS(AR159)&gt;0),1,0),0))</f>
        <v/>
      </c>
      <c r="BW159" s="124" t="str">
        <f>IF($B159="","",IF(COUNTIF(Mapping!$A$5:$A$104,B159)&gt;0,1,0))</f>
        <v/>
      </c>
      <c r="BX159" s="124" t="str">
        <f>IF($B159="","",IF(BR159=0,COUNTIF($BR$6:BR159,0),""))</f>
        <v/>
      </c>
    </row>
    <row r="160">
      <c r="A160" s="15" t="n">
        <v>156</v>
      </c>
      <c r="B160" t="str">
        <f>IF(B$3=0,"",IF(INDEX(SRC_Woningetalage!$A$1:$ZZ$501,$A160,B$3)&amp;""="","",INDEX(SRC_Woningetalage!$A$1:$ZZ$501,$A160,B$3)&amp;""))</f>
        <v/>
      </c>
      <c r="C160" t="str">
        <f>IF($B160="","",IF(C$3=0,"n.b.",INDEX(SRC_Woningetalage!$A$1:$ZZ$501,$A160,C$3)))</f>
        <v/>
      </c>
      <c r="D160" t="str">
        <f>IF($B160="","",IF(D$3=0,"n.b.",INDEX(SRC_Woningetalage!$A$1:$ZZ$501,$A160,D$3)))</f>
        <v/>
      </c>
      <c r="E160" t="str">
        <f>IF($B160="","",IF(E$3=0,"n.b.",INDEX(SRC_Woningetalage!$A$1:$ZZ$501,$A160,E$3)))</f>
        <v/>
      </c>
      <c r="F160" t="str">
        <f>IF($B160="","",IF(F$3=0,"n.b.",INDEX(SRC_Woningetalage!$A$1:$ZZ$501,$A160,F$3)))</f>
        <v/>
      </c>
      <c r="G160" t="str">
        <f>IF($B160="","",IF(G$3=0,"n.b.",INDEX(SRC_Woningetalage!$A$1:$ZZ$501,$A160,G$3)))</f>
        <v/>
      </c>
      <c r="H160" t="str">
        <f>IF($B160="","",IF(H$3=0,"n.b.",INDEX(SRC_Woningetalage!$A$1:$ZZ$501,$A160,H$3)))</f>
        <v/>
      </c>
      <c r="I160" t="str">
        <f>IF($B160="","",IF(I$3=0,"n.b.",INDEX(SRC_Woningetalage!$A$1:$ZZ$501,$A160,I$3)))</f>
        <v/>
      </c>
      <c r="J160" t="str">
        <f>IF($B160="","",IF(J$3=0,"n.b.",INDEX(SRC_Woningetalage!$A$1:$ZZ$501,$A160,J$3)))</f>
        <v/>
      </c>
      <c r="K160" t="str">
        <f>IF($B160="","",IF(K$3=0,"n.b.",INDEX(SRC_Woningetalage!$A$1:$ZZ$501,$A160,K$3)))</f>
        <v/>
      </c>
      <c r="L160" t="str">
        <f>IF($B160="","",IF(L$3=0,"n.b.",INDEX(SRC_Woningetalage!$A$1:$ZZ$501,$A160,L$3)))</f>
        <v/>
      </c>
      <c r="M160" t="str">
        <f>IF($B160="","",IF(M$3=0,"n.b.",INDEX(SRC_Woningetalage!$A$1:$ZZ$501,$A160,M$3)))</f>
        <v/>
      </c>
      <c r="N160" t="str">
        <f>IF($B160="","",IF(N$3=0,"n.b.",INDEX(SRC_Woningetalage!$A$1:$ZZ$501,$A160,N$3)))</f>
        <v/>
      </c>
      <c r="O160" t="str">
        <f>IF($B160="","",IF(O$3=0,"n.b.",INDEX(SRC_Woningetalage!$A$1:$ZZ$501,$A160,O$3)))</f>
        <v/>
      </c>
      <c r="P160" t="str">
        <f>IF($B160="","",IF(P$3=0,"n.b.",INDEX(SRC_Woningetalage!$A$1:$ZZ$501,$A160,P$3)))</f>
        <v/>
      </c>
      <c r="Q160" s="124" t="str">
        <f>IF($B160="","",IF(Q$3=0,"n.b.",INDEX(SRC_Woningetalage!$A$1:$ZZ$501,$A160,Q$3)))</f>
        <v/>
      </c>
      <c r="R160" s="124" t="str">
        <f>IF($B160="","",IF(R$3=0,"n.b.",INDEX(SRC_Woningetalage!$A$1:$ZZ$501,$A160,R$3)))</f>
        <v/>
      </c>
      <c r="S160" s="124" t="str">
        <f>IF($B160="","",IF(S$3=0,"n.b.",INDEX(SRC_Woningetalage!$A$1:$ZZ$501,$A160,S$3)))</f>
        <v/>
      </c>
      <c r="T160" s="124" t="str">
        <f>IF($B160="","",IF(T$3=0,"n.b.",INDEX(SRC_Woningetalage!$A$1:$ZZ$501,$A160,T$3)))</f>
        <v/>
      </c>
      <c r="U160" s="124" t="str">
        <f>IF($B160="","",IF(U$3=0,"n.b.",INDEX(SRC_Woningetalage!$A$1:$ZZ$501,$A160,U$3)))</f>
        <v/>
      </c>
      <c r="V160" s="124" t="str">
        <f>IF($B160="","",IF(V$3=0,"n.b.",INDEX(SRC_Woningetalage!$A$1:$ZZ$501,$A160,V$3)))</f>
        <v/>
      </c>
      <c r="W160" s="124" t="str">
        <f>IF($B160="","",IF(W$3=0,"n.b.",INDEX(SRC_Woningetalage!$A$1:$ZZ$501,$A160,W$3)))</f>
        <v/>
      </c>
      <c r="X160" s="124" t="str">
        <f>IF($B160="","",IF(X$3=0,"n.b.",INDEX(SRC_Woningetalage!$A$1:$ZZ$501,$A160,X$3)))</f>
        <v/>
      </c>
      <c r="Y160" s="124" t="str">
        <f>IF($B160="","",IF(Y$3=0,"n.b.",INDEX(SRC_Woningetalage!$A$1:$ZZ$501,$A160,Y$3)))</f>
        <v/>
      </c>
      <c r="Z160" s="124" t="str">
        <f>IF($B160="","",IF(Z$3=0,"n.b.",INDEX(SRC_Woningetalage!$A$1:$ZZ$501,$A160,Z$3)))</f>
        <v/>
      </c>
      <c r="AA160" s="124" t="str">
        <f>IF($B160="","",IF(AA$3=0,"n.b.",INDEX(SRC_Woningetalage!$A$1:$ZZ$501,$A160,AA$3)))</f>
        <v/>
      </c>
      <c r="AB160" s="124" t="str">
        <f>IF($B160="","",IF(AB$3=0,"n.b.",INDEX(SRC_Woningetalage!$A$1:$ZZ$501,$A160,AB$3)))</f>
        <v/>
      </c>
      <c r="AC160" s="124" t="str">
        <f>IF($B160="","",IF(AC$3=0,"n.b.",INDEX(SRC_Woningetalage!$A$1:$ZZ$501,$A160,AC$3)))</f>
        <v/>
      </c>
      <c r="AD160" s="124" t="str">
        <f>IF($B160="","",IF(AD$3=0,"n.b.",INDEX(SRC_Woningetalage!$A$1:$ZZ$501,$A160,AD$3)))</f>
        <v/>
      </c>
      <c r="AE160" s="124" t="str">
        <f>IF($B160="","",IF(AE$3=0,"n.b.",INDEX(SRC_Woningetalage!$A$1:$ZZ$501,$A160,AE$3)))</f>
        <v/>
      </c>
      <c r="AF160" s="124" t="str">
        <f>IF($B160="","",IF(AF$3=0,"n.b.",INDEX(SRC_Woningetalage!$A$1:$ZZ$501,$A160,AF$3)))</f>
        <v/>
      </c>
      <c r="AG160" s="124" t="str">
        <f>IF($B160="","",IF(AG$3=0,"n.b.",INDEX(SRC_Woningetalage!$A$1:$ZZ$501,$A160,AG$3)))</f>
        <v/>
      </c>
      <c r="AH160" s="124" t="str">
        <f>IF($B160="","",IF(AH$3=0,"n.b.",INDEX(SRC_Woningetalage!$A$1:$ZZ$501,$A160,AH$3)))</f>
        <v/>
      </c>
      <c r="AI160" s="124" t="str">
        <f>IF($B160="","",IF(AI$3=0,"n.b.",INDEX(SRC_Woningetalage!$A$1:$ZZ$501,$A160,AI$3)))</f>
        <v/>
      </c>
      <c r="AJ160" s="124" t="str">
        <f>IF($B160="","",IF(AJ$3=0,"n.b.",INDEX(SRC_Woningetalage!$A$1:$ZZ$501,$A160,AJ$3)))</f>
        <v/>
      </c>
      <c r="AK160" s="124" t="str">
        <f>IF($B160="","",IF(AK$3=0,"n.b.",INDEX(SRC_Woningetalage!$A$1:$ZZ$501,$A160,AK$3)))</f>
        <v/>
      </c>
      <c r="AL160" s="124" t="str">
        <f>IF($B160="","",IF(AL$3=0,"n.b.",INDEX(SRC_Woningetalage!$A$1:$ZZ$501,$A160,AL$3)))</f>
        <v/>
      </c>
      <c r="AM160" s="124" t="str">
        <f>IF($B160="","",IF(AM$3=0,"n.b.",INDEX(SRC_Woningetalage!$A$1:$ZZ$501,$A160,AM$3)))</f>
        <v/>
      </c>
      <c r="AN160" s="124" t="str">
        <f>IF($B160="","",IF(AN$3=0,"n.b.",INDEX(SRC_Woningetalage!$A$1:$ZZ$501,$A160,AN$3)))</f>
        <v/>
      </c>
      <c r="AO160" s="124" t="str">
        <f>IF($B160="","",IF(AO$3=0,"n.b.",INDEX(SRC_Woningetalage!$A$1:$ZZ$501,$A160,AO$3)))</f>
        <v/>
      </c>
      <c r="AP160" s="124" t="str">
        <f>IF($B160="","",IF(AP$3=0,"n.b.",INDEX(SRC_Woningetalage!$A$1:$ZZ$501,$A160,AP$3)))</f>
        <v/>
      </c>
      <c r="AQ160" s="124" t="str">
        <f>IF($B160="","",IF(AQ$3=0,"n.b.",INDEX(SRC_Woningetalage!$A$1:$ZZ$501,$A160,AQ$3)))</f>
        <v/>
      </c>
      <c r="AR160" s="124" t="str">
        <f>IF($B160="","",IF(AR$3=0,"n.b.",INDEX(SRC_Woningetalage!$A$1:$ZZ$501,$A160,AR$3)))</f>
        <v/>
      </c>
      <c r="AS160" s="124" t="str">
        <f>IF($B160="","",IF(AS$3=0,"n.b.",INDEX(SRC_Woningetalage!$A$1:$ZZ$501,$A160,AS$3)))</f>
        <v/>
      </c>
      <c r="AT160" s="124" t="str">
        <f>IF($B160="","",IF(AT$3=0,"n.b.",INDEX(SRC_Woningetalage!$A$1:$ZZ$501,$A160,AT$3)))</f>
        <v/>
      </c>
      <c r="AU160" s="124" t="str">
        <f>IF($B160="","",IF(AU$3=0,"n.b.",INDEX(SRC_Woningetalage!$A$1:$ZZ$501,$A160,AU$3)))</f>
        <v/>
      </c>
      <c r="AV160" s="124" t="str">
        <f>IF($B160="","",IF(AV$3=0,"n.b.",INDEX(SRC_Woningetalage!$A$1:$ZZ$501,$A160,AV$3)))</f>
        <v/>
      </c>
      <c r="AW160" s="124" t="str">
        <f>IF($B160="","",IF(AW$3=0,"n.b.",INDEX(SRC_Woningetalage!$A$1:$ZZ$501,$A160,AW$3)))</f>
        <v/>
      </c>
      <c r="AX160" s="124" t="str">
        <f>IF($B160="","",IF(AX$3=0,"n.b.",INDEX(SRC_Woningetalage!$A$1:$ZZ$501,$A160,AX$3)))</f>
        <v/>
      </c>
      <c r="AY160" s="124" t="str">
        <f>IF($B160="","",IF(AY$3=0,"n.b.",INDEX(SRC_Woningetalage!$A$1:$ZZ$501,$A160,AY$3)))</f>
        <v/>
      </c>
      <c r="AZ160" s="124" t="str">
        <f>IF($B160="","",IF(AZ$3=0,"n.b.",INDEX(SRC_Woningetalage!$A$1:$ZZ$501,$A160,AZ$3)))</f>
        <v/>
      </c>
      <c r="BA160" s="124" t="str">
        <f>IF($B160="","",IF(BA$3=0,"n.b.",INDEX(SRC_Woningetalage!$A$1:$ZZ$501,$A160,BA$3)))</f>
        <v/>
      </c>
      <c r="BB160" s="124" t="str">
        <f>IF($B160="","",IF(BB$3=0,"n.b.",INDEX(SRC_Woningetalage!$A$1:$ZZ$501,$A160,BB$3)))</f>
        <v/>
      </c>
      <c r="BC160" s="124" t="str">
        <f>IF($B160="","",IFERROR(_xlfn.NUMBERVALUE(E160&amp;"",",","."),"n.b."))</f>
        <v/>
      </c>
      <c r="BD160" s="124" t="str">
        <f>IF($B160="","",IFERROR(_xlfn.NUMBERVALUE(M160&amp;"",",","."),"n.b."))</f>
        <v/>
      </c>
      <c r="BE160" s="124" t="str">
        <f>IF($B160="","",IFERROR(AB160+AC160+AD160,"n.b."))</f>
        <v/>
      </c>
      <c r="BF160" s="124" t="str">
        <f>IF($B160="","",IFERROR(AE160+AF160+AG160,"n.b."))</f>
        <v/>
      </c>
      <c r="BG160" s="124" t="str">
        <f>IF($B160="","",IFERROR(AH160+AI160+AJ160,"n.b."))</f>
        <v/>
      </c>
      <c r="BH160" s="124" t="str">
        <f>IF($B160="","",IFERROR(AK160+AL160+AM160,"n.b."))</f>
        <v/>
      </c>
      <c r="BI160" s="124" t="str">
        <f>IF($B160="","",IFERROR(SUMIF($AB$5:$AM$5,"&lt;="&amp;P_PeilMaand,AB160:AM160),"n.b."))</f>
        <v/>
      </c>
      <c r="BJ160" s="124" t="str">
        <f>IF($B160="","",IFERROR(SUM(AB160:AM160)-BI160,"n.b."))</f>
        <v/>
      </c>
      <c r="BK160" s="124" t="str">
        <f>IF($B160="","",IFERROR(IF(ABS(Q160-(T160+SUM(AB160:AM160)+AS160+AU160))&gt;P_Tol,1,0),1))</f>
        <v/>
      </c>
      <c r="BL160" s="124" t="str">
        <f>IF($B160="","",IFERROR(IF(ABS(AA160-(Q160-Z160))&gt;P_Tol,1,0),1))</f>
        <v/>
      </c>
      <c r="BM160" s="124" t="str">
        <f>IF($B160="","",IFERROR(IF(ABS(Z160-(T160+W160))&gt;P_Tol,1,0),1))</f>
        <v/>
      </c>
      <c r="BN160" s="124" t="str">
        <f>IF($B160="","",IFERROR(IF(ABS(W160-BI160)&gt;P_Tol,1,0),1))</f>
        <v/>
      </c>
      <c r="BO160" s="124" t="str">
        <f>IF($B160="","",IFERROR(IF(OR(ABS(R160+S160-T160)&gt;P_Tol,ABS(U160+V160-W160)&gt;P_Tol,ABS(X160+Y160-Z160)&gt;P_Tol),1,0),1))</f>
        <v/>
      </c>
      <c r="BP160" s="124" t="str">
        <f>IF($B160="","",IFERROR(IF(OR(ABS(AR160-SUM(AB160:AM160))&gt;P_Tol,ABS(AS160-(AN160+AO160+AP160+AQ160))&gt;P_Tol),1,0),1))</f>
        <v/>
      </c>
      <c r="BQ160" s="124" t="str">
        <f>IF($B160="","",IFERROR(IF(ABS(AT160)+ABS(AV160)+ABS(AW160)+ABS(AX160)+ABS(AY160)+ABS(AZ160)+ABS(BA160)+ABS(BB160)&gt;0,1,0),1))</f>
        <v/>
      </c>
      <c r="BR160" s="124" t="str">
        <f>IF($B160="","",COUNTIF(STG_ZPMW03!$B$6:$B$505,B160))</f>
        <v/>
      </c>
      <c r="BS160" s="124" t="str">
        <f>IF($B160="","",COUNTIF($B$6:$B$505,B160))</f>
        <v/>
      </c>
      <c r="BT160" s="124" t="str">
        <f>IF($B160="","",IF(BR160=0,0,IF(INDEX(STG_ZPMW03!$I$6:$I$505,MATCH(B160,STG_ZPMW03!$B$6:$B$505,0))=J160&amp;"",0,1)))</f>
        <v/>
      </c>
      <c r="BU160" s="124" t="str">
        <f>IF($B160="","",IFERROR(IF(ABS(INDEX(Mapping!$D$5:$D$104,MATCH(B160,Mapping!$A$5:$A$104,0))-Q160)&gt;P_Tol,1,0),0))</f>
        <v/>
      </c>
      <c r="BV160" s="124" t="str">
        <f>IF($B160="","",IFERROR(IF(AND(INDEX(Mapping!$G$5:$G$104,MATCH(B160,Mapping!$A$5:$A$104,0))="Nee",ABS(Q160)+ABS(Z160)+ABS(AR160)&gt;0),1,0),0))</f>
        <v/>
      </c>
      <c r="BW160" s="124" t="str">
        <f>IF($B160="","",IF(COUNTIF(Mapping!$A$5:$A$104,B160)&gt;0,1,0))</f>
        <v/>
      </c>
      <c r="BX160" s="124" t="str">
        <f>IF($B160="","",IF(BR160=0,COUNTIF($BR$6:BR160,0),""))</f>
        <v/>
      </c>
    </row>
    <row r="161">
      <c r="A161" s="15" t="n">
        <v>157</v>
      </c>
      <c r="B161" t="str">
        <f>IF(B$3=0,"",IF(INDEX(SRC_Woningetalage!$A$1:$ZZ$501,$A161,B$3)&amp;""="","",INDEX(SRC_Woningetalage!$A$1:$ZZ$501,$A161,B$3)&amp;""))</f>
        <v/>
      </c>
      <c r="C161" t="str">
        <f>IF($B161="","",IF(C$3=0,"n.b.",INDEX(SRC_Woningetalage!$A$1:$ZZ$501,$A161,C$3)))</f>
        <v/>
      </c>
      <c r="D161" t="str">
        <f>IF($B161="","",IF(D$3=0,"n.b.",INDEX(SRC_Woningetalage!$A$1:$ZZ$501,$A161,D$3)))</f>
        <v/>
      </c>
      <c r="E161" t="str">
        <f>IF($B161="","",IF(E$3=0,"n.b.",INDEX(SRC_Woningetalage!$A$1:$ZZ$501,$A161,E$3)))</f>
        <v/>
      </c>
      <c r="F161" t="str">
        <f>IF($B161="","",IF(F$3=0,"n.b.",INDEX(SRC_Woningetalage!$A$1:$ZZ$501,$A161,F$3)))</f>
        <v/>
      </c>
      <c r="G161" t="str">
        <f>IF($B161="","",IF(G$3=0,"n.b.",INDEX(SRC_Woningetalage!$A$1:$ZZ$501,$A161,G$3)))</f>
        <v/>
      </c>
      <c r="H161" t="str">
        <f>IF($B161="","",IF(H$3=0,"n.b.",INDEX(SRC_Woningetalage!$A$1:$ZZ$501,$A161,H$3)))</f>
        <v/>
      </c>
      <c r="I161" t="str">
        <f>IF($B161="","",IF(I$3=0,"n.b.",INDEX(SRC_Woningetalage!$A$1:$ZZ$501,$A161,I$3)))</f>
        <v/>
      </c>
      <c r="J161" t="str">
        <f>IF($B161="","",IF(J$3=0,"n.b.",INDEX(SRC_Woningetalage!$A$1:$ZZ$501,$A161,J$3)))</f>
        <v/>
      </c>
      <c r="K161" t="str">
        <f>IF($B161="","",IF(K$3=0,"n.b.",INDEX(SRC_Woningetalage!$A$1:$ZZ$501,$A161,K$3)))</f>
        <v/>
      </c>
      <c r="L161" t="str">
        <f>IF($B161="","",IF(L$3=0,"n.b.",INDEX(SRC_Woningetalage!$A$1:$ZZ$501,$A161,L$3)))</f>
        <v/>
      </c>
      <c r="M161" t="str">
        <f>IF($B161="","",IF(M$3=0,"n.b.",INDEX(SRC_Woningetalage!$A$1:$ZZ$501,$A161,M$3)))</f>
        <v/>
      </c>
      <c r="N161" t="str">
        <f>IF($B161="","",IF(N$3=0,"n.b.",INDEX(SRC_Woningetalage!$A$1:$ZZ$501,$A161,N$3)))</f>
        <v/>
      </c>
      <c r="O161" t="str">
        <f>IF($B161="","",IF(O$3=0,"n.b.",INDEX(SRC_Woningetalage!$A$1:$ZZ$501,$A161,O$3)))</f>
        <v/>
      </c>
      <c r="P161" t="str">
        <f>IF($B161="","",IF(P$3=0,"n.b.",INDEX(SRC_Woningetalage!$A$1:$ZZ$501,$A161,P$3)))</f>
        <v/>
      </c>
      <c r="Q161" s="124" t="str">
        <f>IF($B161="","",IF(Q$3=0,"n.b.",INDEX(SRC_Woningetalage!$A$1:$ZZ$501,$A161,Q$3)))</f>
        <v/>
      </c>
      <c r="R161" s="124" t="str">
        <f>IF($B161="","",IF(R$3=0,"n.b.",INDEX(SRC_Woningetalage!$A$1:$ZZ$501,$A161,R$3)))</f>
        <v/>
      </c>
      <c r="S161" s="124" t="str">
        <f>IF($B161="","",IF(S$3=0,"n.b.",INDEX(SRC_Woningetalage!$A$1:$ZZ$501,$A161,S$3)))</f>
        <v/>
      </c>
      <c r="T161" s="124" t="str">
        <f>IF($B161="","",IF(T$3=0,"n.b.",INDEX(SRC_Woningetalage!$A$1:$ZZ$501,$A161,T$3)))</f>
        <v/>
      </c>
      <c r="U161" s="124" t="str">
        <f>IF($B161="","",IF(U$3=0,"n.b.",INDEX(SRC_Woningetalage!$A$1:$ZZ$501,$A161,U$3)))</f>
        <v/>
      </c>
      <c r="V161" s="124" t="str">
        <f>IF($B161="","",IF(V$3=0,"n.b.",INDEX(SRC_Woningetalage!$A$1:$ZZ$501,$A161,V$3)))</f>
        <v/>
      </c>
      <c r="W161" s="124" t="str">
        <f>IF($B161="","",IF(W$3=0,"n.b.",INDEX(SRC_Woningetalage!$A$1:$ZZ$501,$A161,W$3)))</f>
        <v/>
      </c>
      <c r="X161" s="124" t="str">
        <f>IF($B161="","",IF(X$3=0,"n.b.",INDEX(SRC_Woningetalage!$A$1:$ZZ$501,$A161,X$3)))</f>
        <v/>
      </c>
      <c r="Y161" s="124" t="str">
        <f>IF($B161="","",IF(Y$3=0,"n.b.",INDEX(SRC_Woningetalage!$A$1:$ZZ$501,$A161,Y$3)))</f>
        <v/>
      </c>
      <c r="Z161" s="124" t="str">
        <f>IF($B161="","",IF(Z$3=0,"n.b.",INDEX(SRC_Woningetalage!$A$1:$ZZ$501,$A161,Z$3)))</f>
        <v/>
      </c>
      <c r="AA161" s="124" t="str">
        <f>IF($B161="","",IF(AA$3=0,"n.b.",INDEX(SRC_Woningetalage!$A$1:$ZZ$501,$A161,AA$3)))</f>
        <v/>
      </c>
      <c r="AB161" s="124" t="str">
        <f>IF($B161="","",IF(AB$3=0,"n.b.",INDEX(SRC_Woningetalage!$A$1:$ZZ$501,$A161,AB$3)))</f>
        <v/>
      </c>
      <c r="AC161" s="124" t="str">
        <f>IF($B161="","",IF(AC$3=0,"n.b.",INDEX(SRC_Woningetalage!$A$1:$ZZ$501,$A161,AC$3)))</f>
        <v/>
      </c>
      <c r="AD161" s="124" t="str">
        <f>IF($B161="","",IF(AD$3=0,"n.b.",INDEX(SRC_Woningetalage!$A$1:$ZZ$501,$A161,AD$3)))</f>
        <v/>
      </c>
      <c r="AE161" s="124" t="str">
        <f>IF($B161="","",IF(AE$3=0,"n.b.",INDEX(SRC_Woningetalage!$A$1:$ZZ$501,$A161,AE$3)))</f>
        <v/>
      </c>
      <c r="AF161" s="124" t="str">
        <f>IF($B161="","",IF(AF$3=0,"n.b.",INDEX(SRC_Woningetalage!$A$1:$ZZ$501,$A161,AF$3)))</f>
        <v/>
      </c>
      <c r="AG161" s="124" t="str">
        <f>IF($B161="","",IF(AG$3=0,"n.b.",INDEX(SRC_Woningetalage!$A$1:$ZZ$501,$A161,AG$3)))</f>
        <v/>
      </c>
      <c r="AH161" s="124" t="str">
        <f>IF($B161="","",IF(AH$3=0,"n.b.",INDEX(SRC_Woningetalage!$A$1:$ZZ$501,$A161,AH$3)))</f>
        <v/>
      </c>
      <c r="AI161" s="124" t="str">
        <f>IF($B161="","",IF(AI$3=0,"n.b.",INDEX(SRC_Woningetalage!$A$1:$ZZ$501,$A161,AI$3)))</f>
        <v/>
      </c>
      <c r="AJ161" s="124" t="str">
        <f>IF($B161="","",IF(AJ$3=0,"n.b.",INDEX(SRC_Woningetalage!$A$1:$ZZ$501,$A161,AJ$3)))</f>
        <v/>
      </c>
      <c r="AK161" s="124" t="str">
        <f>IF($B161="","",IF(AK$3=0,"n.b.",INDEX(SRC_Woningetalage!$A$1:$ZZ$501,$A161,AK$3)))</f>
        <v/>
      </c>
      <c r="AL161" s="124" t="str">
        <f>IF($B161="","",IF(AL$3=0,"n.b.",INDEX(SRC_Woningetalage!$A$1:$ZZ$501,$A161,AL$3)))</f>
        <v/>
      </c>
      <c r="AM161" s="124" t="str">
        <f>IF($B161="","",IF(AM$3=0,"n.b.",INDEX(SRC_Woningetalage!$A$1:$ZZ$501,$A161,AM$3)))</f>
        <v/>
      </c>
      <c r="AN161" s="124" t="str">
        <f>IF($B161="","",IF(AN$3=0,"n.b.",INDEX(SRC_Woningetalage!$A$1:$ZZ$501,$A161,AN$3)))</f>
        <v/>
      </c>
      <c r="AO161" s="124" t="str">
        <f>IF($B161="","",IF(AO$3=0,"n.b.",INDEX(SRC_Woningetalage!$A$1:$ZZ$501,$A161,AO$3)))</f>
        <v/>
      </c>
      <c r="AP161" s="124" t="str">
        <f>IF($B161="","",IF(AP$3=0,"n.b.",INDEX(SRC_Woningetalage!$A$1:$ZZ$501,$A161,AP$3)))</f>
        <v/>
      </c>
      <c r="AQ161" s="124" t="str">
        <f>IF($B161="","",IF(AQ$3=0,"n.b.",INDEX(SRC_Woningetalage!$A$1:$ZZ$501,$A161,AQ$3)))</f>
        <v/>
      </c>
      <c r="AR161" s="124" t="str">
        <f>IF($B161="","",IF(AR$3=0,"n.b.",INDEX(SRC_Woningetalage!$A$1:$ZZ$501,$A161,AR$3)))</f>
        <v/>
      </c>
      <c r="AS161" s="124" t="str">
        <f>IF($B161="","",IF(AS$3=0,"n.b.",INDEX(SRC_Woningetalage!$A$1:$ZZ$501,$A161,AS$3)))</f>
        <v/>
      </c>
      <c r="AT161" s="124" t="str">
        <f>IF($B161="","",IF(AT$3=0,"n.b.",INDEX(SRC_Woningetalage!$A$1:$ZZ$501,$A161,AT$3)))</f>
        <v/>
      </c>
      <c r="AU161" s="124" t="str">
        <f>IF($B161="","",IF(AU$3=0,"n.b.",INDEX(SRC_Woningetalage!$A$1:$ZZ$501,$A161,AU$3)))</f>
        <v/>
      </c>
      <c r="AV161" s="124" t="str">
        <f>IF($B161="","",IF(AV$3=0,"n.b.",INDEX(SRC_Woningetalage!$A$1:$ZZ$501,$A161,AV$3)))</f>
        <v/>
      </c>
      <c r="AW161" s="124" t="str">
        <f>IF($B161="","",IF(AW$3=0,"n.b.",INDEX(SRC_Woningetalage!$A$1:$ZZ$501,$A161,AW$3)))</f>
        <v/>
      </c>
      <c r="AX161" s="124" t="str">
        <f>IF($B161="","",IF(AX$3=0,"n.b.",INDEX(SRC_Woningetalage!$A$1:$ZZ$501,$A161,AX$3)))</f>
        <v/>
      </c>
      <c r="AY161" s="124" t="str">
        <f>IF($B161="","",IF(AY$3=0,"n.b.",INDEX(SRC_Woningetalage!$A$1:$ZZ$501,$A161,AY$3)))</f>
        <v/>
      </c>
      <c r="AZ161" s="124" t="str">
        <f>IF($B161="","",IF(AZ$3=0,"n.b.",INDEX(SRC_Woningetalage!$A$1:$ZZ$501,$A161,AZ$3)))</f>
        <v/>
      </c>
      <c r="BA161" s="124" t="str">
        <f>IF($B161="","",IF(BA$3=0,"n.b.",INDEX(SRC_Woningetalage!$A$1:$ZZ$501,$A161,BA$3)))</f>
        <v/>
      </c>
      <c r="BB161" s="124" t="str">
        <f>IF($B161="","",IF(BB$3=0,"n.b.",INDEX(SRC_Woningetalage!$A$1:$ZZ$501,$A161,BB$3)))</f>
        <v/>
      </c>
      <c r="BC161" s="124" t="str">
        <f>IF($B161="","",IFERROR(_xlfn.NUMBERVALUE(E161&amp;"",",","."),"n.b."))</f>
        <v/>
      </c>
      <c r="BD161" s="124" t="str">
        <f>IF($B161="","",IFERROR(_xlfn.NUMBERVALUE(M161&amp;"",",","."),"n.b."))</f>
        <v/>
      </c>
      <c r="BE161" s="124" t="str">
        <f>IF($B161="","",IFERROR(AB161+AC161+AD161,"n.b."))</f>
        <v/>
      </c>
      <c r="BF161" s="124" t="str">
        <f>IF($B161="","",IFERROR(AE161+AF161+AG161,"n.b."))</f>
        <v/>
      </c>
      <c r="BG161" s="124" t="str">
        <f>IF($B161="","",IFERROR(AH161+AI161+AJ161,"n.b."))</f>
        <v/>
      </c>
      <c r="BH161" s="124" t="str">
        <f>IF($B161="","",IFERROR(AK161+AL161+AM161,"n.b."))</f>
        <v/>
      </c>
      <c r="BI161" s="124" t="str">
        <f>IF($B161="","",IFERROR(SUMIF($AB$5:$AM$5,"&lt;="&amp;P_PeilMaand,AB161:AM161),"n.b."))</f>
        <v/>
      </c>
      <c r="BJ161" s="124" t="str">
        <f>IF($B161="","",IFERROR(SUM(AB161:AM161)-BI161,"n.b."))</f>
        <v/>
      </c>
      <c r="BK161" s="124" t="str">
        <f>IF($B161="","",IFERROR(IF(ABS(Q161-(T161+SUM(AB161:AM161)+AS161+AU161))&gt;P_Tol,1,0),1))</f>
        <v/>
      </c>
      <c r="BL161" s="124" t="str">
        <f>IF($B161="","",IFERROR(IF(ABS(AA161-(Q161-Z161))&gt;P_Tol,1,0),1))</f>
        <v/>
      </c>
      <c r="BM161" s="124" t="str">
        <f>IF($B161="","",IFERROR(IF(ABS(Z161-(T161+W161))&gt;P_Tol,1,0),1))</f>
        <v/>
      </c>
      <c r="BN161" s="124" t="str">
        <f>IF($B161="","",IFERROR(IF(ABS(W161-BI161)&gt;P_Tol,1,0),1))</f>
        <v/>
      </c>
      <c r="BO161" s="124" t="str">
        <f>IF($B161="","",IFERROR(IF(OR(ABS(R161+S161-T161)&gt;P_Tol,ABS(U161+V161-W161)&gt;P_Tol,ABS(X161+Y161-Z161)&gt;P_Tol),1,0),1))</f>
        <v/>
      </c>
      <c r="BP161" s="124" t="str">
        <f>IF($B161="","",IFERROR(IF(OR(ABS(AR161-SUM(AB161:AM161))&gt;P_Tol,ABS(AS161-(AN161+AO161+AP161+AQ161))&gt;P_Tol),1,0),1))</f>
        <v/>
      </c>
      <c r="BQ161" s="124" t="str">
        <f>IF($B161="","",IFERROR(IF(ABS(AT161)+ABS(AV161)+ABS(AW161)+ABS(AX161)+ABS(AY161)+ABS(AZ161)+ABS(BA161)+ABS(BB161)&gt;0,1,0),1))</f>
        <v/>
      </c>
      <c r="BR161" s="124" t="str">
        <f>IF($B161="","",COUNTIF(STG_ZPMW03!$B$6:$B$505,B161))</f>
        <v/>
      </c>
      <c r="BS161" s="124" t="str">
        <f>IF($B161="","",COUNTIF($B$6:$B$505,B161))</f>
        <v/>
      </c>
      <c r="BT161" s="124" t="str">
        <f>IF($B161="","",IF(BR161=0,0,IF(INDEX(STG_ZPMW03!$I$6:$I$505,MATCH(B161,STG_ZPMW03!$B$6:$B$505,0))=J161&amp;"",0,1)))</f>
        <v/>
      </c>
      <c r="BU161" s="124" t="str">
        <f>IF($B161="","",IFERROR(IF(ABS(INDEX(Mapping!$D$5:$D$104,MATCH(B161,Mapping!$A$5:$A$104,0))-Q161)&gt;P_Tol,1,0),0))</f>
        <v/>
      </c>
      <c r="BV161" s="124" t="str">
        <f>IF($B161="","",IFERROR(IF(AND(INDEX(Mapping!$G$5:$G$104,MATCH(B161,Mapping!$A$5:$A$104,0))="Nee",ABS(Q161)+ABS(Z161)+ABS(AR161)&gt;0),1,0),0))</f>
        <v/>
      </c>
      <c r="BW161" s="124" t="str">
        <f>IF($B161="","",IF(COUNTIF(Mapping!$A$5:$A$104,B161)&gt;0,1,0))</f>
        <v/>
      </c>
      <c r="BX161" s="124" t="str">
        <f>IF($B161="","",IF(BR161=0,COUNTIF($BR$6:BR161,0),""))</f>
        <v/>
      </c>
    </row>
    <row r="162">
      <c r="A162" s="15" t="n">
        <v>158</v>
      </c>
      <c r="B162" t="str">
        <f>IF(B$3=0,"",IF(INDEX(SRC_Woningetalage!$A$1:$ZZ$501,$A162,B$3)&amp;""="","",INDEX(SRC_Woningetalage!$A$1:$ZZ$501,$A162,B$3)&amp;""))</f>
        <v/>
      </c>
      <c r="C162" t="str">
        <f>IF($B162="","",IF(C$3=0,"n.b.",INDEX(SRC_Woningetalage!$A$1:$ZZ$501,$A162,C$3)))</f>
        <v/>
      </c>
      <c r="D162" t="str">
        <f>IF($B162="","",IF(D$3=0,"n.b.",INDEX(SRC_Woningetalage!$A$1:$ZZ$501,$A162,D$3)))</f>
        <v/>
      </c>
      <c r="E162" t="str">
        <f>IF($B162="","",IF(E$3=0,"n.b.",INDEX(SRC_Woningetalage!$A$1:$ZZ$501,$A162,E$3)))</f>
        <v/>
      </c>
      <c r="F162" t="str">
        <f>IF($B162="","",IF(F$3=0,"n.b.",INDEX(SRC_Woningetalage!$A$1:$ZZ$501,$A162,F$3)))</f>
        <v/>
      </c>
      <c r="G162" t="str">
        <f>IF($B162="","",IF(G$3=0,"n.b.",INDEX(SRC_Woningetalage!$A$1:$ZZ$501,$A162,G$3)))</f>
        <v/>
      </c>
      <c r="H162" t="str">
        <f>IF($B162="","",IF(H$3=0,"n.b.",INDEX(SRC_Woningetalage!$A$1:$ZZ$501,$A162,H$3)))</f>
        <v/>
      </c>
      <c r="I162" t="str">
        <f>IF($B162="","",IF(I$3=0,"n.b.",INDEX(SRC_Woningetalage!$A$1:$ZZ$501,$A162,I$3)))</f>
        <v/>
      </c>
      <c r="J162" t="str">
        <f>IF($B162="","",IF(J$3=0,"n.b.",INDEX(SRC_Woningetalage!$A$1:$ZZ$501,$A162,J$3)))</f>
        <v/>
      </c>
      <c r="K162" t="str">
        <f>IF($B162="","",IF(K$3=0,"n.b.",INDEX(SRC_Woningetalage!$A$1:$ZZ$501,$A162,K$3)))</f>
        <v/>
      </c>
      <c r="L162" t="str">
        <f>IF($B162="","",IF(L$3=0,"n.b.",INDEX(SRC_Woningetalage!$A$1:$ZZ$501,$A162,L$3)))</f>
        <v/>
      </c>
      <c r="M162" t="str">
        <f>IF($B162="","",IF(M$3=0,"n.b.",INDEX(SRC_Woningetalage!$A$1:$ZZ$501,$A162,M$3)))</f>
        <v/>
      </c>
      <c r="N162" t="str">
        <f>IF($B162="","",IF(N$3=0,"n.b.",INDEX(SRC_Woningetalage!$A$1:$ZZ$501,$A162,N$3)))</f>
        <v/>
      </c>
      <c r="O162" t="str">
        <f>IF($B162="","",IF(O$3=0,"n.b.",INDEX(SRC_Woningetalage!$A$1:$ZZ$501,$A162,O$3)))</f>
        <v/>
      </c>
      <c r="P162" t="str">
        <f>IF($B162="","",IF(P$3=0,"n.b.",INDEX(SRC_Woningetalage!$A$1:$ZZ$501,$A162,P$3)))</f>
        <v/>
      </c>
      <c r="Q162" s="124" t="str">
        <f>IF($B162="","",IF(Q$3=0,"n.b.",INDEX(SRC_Woningetalage!$A$1:$ZZ$501,$A162,Q$3)))</f>
        <v/>
      </c>
      <c r="R162" s="124" t="str">
        <f>IF($B162="","",IF(R$3=0,"n.b.",INDEX(SRC_Woningetalage!$A$1:$ZZ$501,$A162,R$3)))</f>
        <v/>
      </c>
      <c r="S162" s="124" t="str">
        <f>IF($B162="","",IF(S$3=0,"n.b.",INDEX(SRC_Woningetalage!$A$1:$ZZ$501,$A162,S$3)))</f>
        <v/>
      </c>
      <c r="T162" s="124" t="str">
        <f>IF($B162="","",IF(T$3=0,"n.b.",INDEX(SRC_Woningetalage!$A$1:$ZZ$501,$A162,T$3)))</f>
        <v/>
      </c>
      <c r="U162" s="124" t="str">
        <f>IF($B162="","",IF(U$3=0,"n.b.",INDEX(SRC_Woningetalage!$A$1:$ZZ$501,$A162,U$3)))</f>
        <v/>
      </c>
      <c r="V162" s="124" t="str">
        <f>IF($B162="","",IF(V$3=0,"n.b.",INDEX(SRC_Woningetalage!$A$1:$ZZ$501,$A162,V$3)))</f>
        <v/>
      </c>
      <c r="W162" s="124" t="str">
        <f>IF($B162="","",IF(W$3=0,"n.b.",INDEX(SRC_Woningetalage!$A$1:$ZZ$501,$A162,W$3)))</f>
        <v/>
      </c>
      <c r="X162" s="124" t="str">
        <f>IF($B162="","",IF(X$3=0,"n.b.",INDEX(SRC_Woningetalage!$A$1:$ZZ$501,$A162,X$3)))</f>
        <v/>
      </c>
      <c r="Y162" s="124" t="str">
        <f>IF($B162="","",IF(Y$3=0,"n.b.",INDEX(SRC_Woningetalage!$A$1:$ZZ$501,$A162,Y$3)))</f>
        <v/>
      </c>
      <c r="Z162" s="124" t="str">
        <f>IF($B162="","",IF(Z$3=0,"n.b.",INDEX(SRC_Woningetalage!$A$1:$ZZ$501,$A162,Z$3)))</f>
        <v/>
      </c>
      <c r="AA162" s="124" t="str">
        <f>IF($B162="","",IF(AA$3=0,"n.b.",INDEX(SRC_Woningetalage!$A$1:$ZZ$501,$A162,AA$3)))</f>
        <v/>
      </c>
      <c r="AB162" s="124" t="str">
        <f>IF($B162="","",IF(AB$3=0,"n.b.",INDEX(SRC_Woningetalage!$A$1:$ZZ$501,$A162,AB$3)))</f>
        <v/>
      </c>
      <c r="AC162" s="124" t="str">
        <f>IF($B162="","",IF(AC$3=0,"n.b.",INDEX(SRC_Woningetalage!$A$1:$ZZ$501,$A162,AC$3)))</f>
        <v/>
      </c>
      <c r="AD162" s="124" t="str">
        <f>IF($B162="","",IF(AD$3=0,"n.b.",INDEX(SRC_Woningetalage!$A$1:$ZZ$501,$A162,AD$3)))</f>
        <v/>
      </c>
      <c r="AE162" s="124" t="str">
        <f>IF($B162="","",IF(AE$3=0,"n.b.",INDEX(SRC_Woningetalage!$A$1:$ZZ$501,$A162,AE$3)))</f>
        <v/>
      </c>
      <c r="AF162" s="124" t="str">
        <f>IF($B162="","",IF(AF$3=0,"n.b.",INDEX(SRC_Woningetalage!$A$1:$ZZ$501,$A162,AF$3)))</f>
        <v/>
      </c>
      <c r="AG162" s="124" t="str">
        <f>IF($B162="","",IF(AG$3=0,"n.b.",INDEX(SRC_Woningetalage!$A$1:$ZZ$501,$A162,AG$3)))</f>
        <v/>
      </c>
      <c r="AH162" s="124" t="str">
        <f>IF($B162="","",IF(AH$3=0,"n.b.",INDEX(SRC_Woningetalage!$A$1:$ZZ$501,$A162,AH$3)))</f>
        <v/>
      </c>
      <c r="AI162" s="124" t="str">
        <f>IF($B162="","",IF(AI$3=0,"n.b.",INDEX(SRC_Woningetalage!$A$1:$ZZ$501,$A162,AI$3)))</f>
        <v/>
      </c>
      <c r="AJ162" s="124" t="str">
        <f>IF($B162="","",IF(AJ$3=0,"n.b.",INDEX(SRC_Woningetalage!$A$1:$ZZ$501,$A162,AJ$3)))</f>
        <v/>
      </c>
      <c r="AK162" s="124" t="str">
        <f>IF($B162="","",IF(AK$3=0,"n.b.",INDEX(SRC_Woningetalage!$A$1:$ZZ$501,$A162,AK$3)))</f>
        <v/>
      </c>
      <c r="AL162" s="124" t="str">
        <f>IF($B162="","",IF(AL$3=0,"n.b.",INDEX(SRC_Woningetalage!$A$1:$ZZ$501,$A162,AL$3)))</f>
        <v/>
      </c>
      <c r="AM162" s="124" t="str">
        <f>IF($B162="","",IF(AM$3=0,"n.b.",INDEX(SRC_Woningetalage!$A$1:$ZZ$501,$A162,AM$3)))</f>
        <v/>
      </c>
      <c r="AN162" s="124" t="str">
        <f>IF($B162="","",IF(AN$3=0,"n.b.",INDEX(SRC_Woningetalage!$A$1:$ZZ$501,$A162,AN$3)))</f>
        <v/>
      </c>
      <c r="AO162" s="124" t="str">
        <f>IF($B162="","",IF(AO$3=0,"n.b.",INDEX(SRC_Woningetalage!$A$1:$ZZ$501,$A162,AO$3)))</f>
        <v/>
      </c>
      <c r="AP162" s="124" t="str">
        <f>IF($B162="","",IF(AP$3=0,"n.b.",INDEX(SRC_Woningetalage!$A$1:$ZZ$501,$A162,AP$3)))</f>
        <v/>
      </c>
      <c r="AQ162" s="124" t="str">
        <f>IF($B162="","",IF(AQ$3=0,"n.b.",INDEX(SRC_Woningetalage!$A$1:$ZZ$501,$A162,AQ$3)))</f>
        <v/>
      </c>
      <c r="AR162" s="124" t="str">
        <f>IF($B162="","",IF(AR$3=0,"n.b.",INDEX(SRC_Woningetalage!$A$1:$ZZ$501,$A162,AR$3)))</f>
        <v/>
      </c>
      <c r="AS162" s="124" t="str">
        <f>IF($B162="","",IF(AS$3=0,"n.b.",INDEX(SRC_Woningetalage!$A$1:$ZZ$501,$A162,AS$3)))</f>
        <v/>
      </c>
      <c r="AT162" s="124" t="str">
        <f>IF($B162="","",IF(AT$3=0,"n.b.",INDEX(SRC_Woningetalage!$A$1:$ZZ$501,$A162,AT$3)))</f>
        <v/>
      </c>
      <c r="AU162" s="124" t="str">
        <f>IF($B162="","",IF(AU$3=0,"n.b.",INDEX(SRC_Woningetalage!$A$1:$ZZ$501,$A162,AU$3)))</f>
        <v/>
      </c>
      <c r="AV162" s="124" t="str">
        <f>IF($B162="","",IF(AV$3=0,"n.b.",INDEX(SRC_Woningetalage!$A$1:$ZZ$501,$A162,AV$3)))</f>
        <v/>
      </c>
      <c r="AW162" s="124" t="str">
        <f>IF($B162="","",IF(AW$3=0,"n.b.",INDEX(SRC_Woningetalage!$A$1:$ZZ$501,$A162,AW$3)))</f>
        <v/>
      </c>
      <c r="AX162" s="124" t="str">
        <f>IF($B162="","",IF(AX$3=0,"n.b.",INDEX(SRC_Woningetalage!$A$1:$ZZ$501,$A162,AX$3)))</f>
        <v/>
      </c>
      <c r="AY162" s="124" t="str">
        <f>IF($B162="","",IF(AY$3=0,"n.b.",INDEX(SRC_Woningetalage!$A$1:$ZZ$501,$A162,AY$3)))</f>
        <v/>
      </c>
      <c r="AZ162" s="124" t="str">
        <f>IF($B162="","",IF(AZ$3=0,"n.b.",INDEX(SRC_Woningetalage!$A$1:$ZZ$501,$A162,AZ$3)))</f>
        <v/>
      </c>
      <c r="BA162" s="124" t="str">
        <f>IF($B162="","",IF(BA$3=0,"n.b.",INDEX(SRC_Woningetalage!$A$1:$ZZ$501,$A162,BA$3)))</f>
        <v/>
      </c>
      <c r="BB162" s="124" t="str">
        <f>IF($B162="","",IF(BB$3=0,"n.b.",INDEX(SRC_Woningetalage!$A$1:$ZZ$501,$A162,BB$3)))</f>
        <v/>
      </c>
      <c r="BC162" s="124" t="str">
        <f>IF($B162="","",IFERROR(_xlfn.NUMBERVALUE(E162&amp;"",",","."),"n.b."))</f>
        <v/>
      </c>
      <c r="BD162" s="124" t="str">
        <f>IF($B162="","",IFERROR(_xlfn.NUMBERVALUE(M162&amp;"",",","."),"n.b."))</f>
        <v/>
      </c>
      <c r="BE162" s="124" t="str">
        <f>IF($B162="","",IFERROR(AB162+AC162+AD162,"n.b."))</f>
        <v/>
      </c>
      <c r="BF162" s="124" t="str">
        <f>IF($B162="","",IFERROR(AE162+AF162+AG162,"n.b."))</f>
        <v/>
      </c>
      <c r="BG162" s="124" t="str">
        <f>IF($B162="","",IFERROR(AH162+AI162+AJ162,"n.b."))</f>
        <v/>
      </c>
      <c r="BH162" s="124" t="str">
        <f>IF($B162="","",IFERROR(AK162+AL162+AM162,"n.b."))</f>
        <v/>
      </c>
      <c r="BI162" s="124" t="str">
        <f>IF($B162="","",IFERROR(SUMIF($AB$5:$AM$5,"&lt;="&amp;P_PeilMaand,AB162:AM162),"n.b."))</f>
        <v/>
      </c>
      <c r="BJ162" s="124" t="str">
        <f>IF($B162="","",IFERROR(SUM(AB162:AM162)-BI162,"n.b."))</f>
        <v/>
      </c>
      <c r="BK162" s="124" t="str">
        <f>IF($B162="","",IFERROR(IF(ABS(Q162-(T162+SUM(AB162:AM162)+AS162+AU162))&gt;P_Tol,1,0),1))</f>
        <v/>
      </c>
      <c r="BL162" s="124" t="str">
        <f>IF($B162="","",IFERROR(IF(ABS(AA162-(Q162-Z162))&gt;P_Tol,1,0),1))</f>
        <v/>
      </c>
      <c r="BM162" s="124" t="str">
        <f>IF($B162="","",IFERROR(IF(ABS(Z162-(T162+W162))&gt;P_Tol,1,0),1))</f>
        <v/>
      </c>
      <c r="BN162" s="124" t="str">
        <f>IF($B162="","",IFERROR(IF(ABS(W162-BI162)&gt;P_Tol,1,0),1))</f>
        <v/>
      </c>
      <c r="BO162" s="124" t="str">
        <f>IF($B162="","",IFERROR(IF(OR(ABS(R162+S162-T162)&gt;P_Tol,ABS(U162+V162-W162)&gt;P_Tol,ABS(X162+Y162-Z162)&gt;P_Tol),1,0),1))</f>
        <v/>
      </c>
      <c r="BP162" s="124" t="str">
        <f>IF($B162="","",IFERROR(IF(OR(ABS(AR162-SUM(AB162:AM162))&gt;P_Tol,ABS(AS162-(AN162+AO162+AP162+AQ162))&gt;P_Tol),1,0),1))</f>
        <v/>
      </c>
      <c r="BQ162" s="124" t="str">
        <f>IF($B162="","",IFERROR(IF(ABS(AT162)+ABS(AV162)+ABS(AW162)+ABS(AX162)+ABS(AY162)+ABS(AZ162)+ABS(BA162)+ABS(BB162)&gt;0,1,0),1))</f>
        <v/>
      </c>
      <c r="BR162" s="124" t="str">
        <f>IF($B162="","",COUNTIF(STG_ZPMW03!$B$6:$B$505,B162))</f>
        <v/>
      </c>
      <c r="BS162" s="124" t="str">
        <f>IF($B162="","",COUNTIF($B$6:$B$505,B162))</f>
        <v/>
      </c>
      <c r="BT162" s="124" t="str">
        <f>IF($B162="","",IF(BR162=0,0,IF(INDEX(STG_ZPMW03!$I$6:$I$505,MATCH(B162,STG_ZPMW03!$B$6:$B$505,0))=J162&amp;"",0,1)))</f>
        <v/>
      </c>
      <c r="BU162" s="124" t="str">
        <f>IF($B162="","",IFERROR(IF(ABS(INDEX(Mapping!$D$5:$D$104,MATCH(B162,Mapping!$A$5:$A$104,0))-Q162)&gt;P_Tol,1,0),0))</f>
        <v/>
      </c>
      <c r="BV162" s="124" t="str">
        <f>IF($B162="","",IFERROR(IF(AND(INDEX(Mapping!$G$5:$G$104,MATCH(B162,Mapping!$A$5:$A$104,0))="Nee",ABS(Q162)+ABS(Z162)+ABS(AR162)&gt;0),1,0),0))</f>
        <v/>
      </c>
      <c r="BW162" s="124" t="str">
        <f>IF($B162="","",IF(COUNTIF(Mapping!$A$5:$A$104,B162)&gt;0,1,0))</f>
        <v/>
      </c>
      <c r="BX162" s="124" t="str">
        <f>IF($B162="","",IF(BR162=0,COUNTIF($BR$6:BR162,0),""))</f>
        <v/>
      </c>
    </row>
    <row r="163">
      <c r="A163" s="15" t="n">
        <v>159</v>
      </c>
      <c r="B163" t="str">
        <f>IF(B$3=0,"",IF(INDEX(SRC_Woningetalage!$A$1:$ZZ$501,$A163,B$3)&amp;""="","",INDEX(SRC_Woningetalage!$A$1:$ZZ$501,$A163,B$3)&amp;""))</f>
        <v/>
      </c>
      <c r="C163" t="str">
        <f>IF($B163="","",IF(C$3=0,"n.b.",INDEX(SRC_Woningetalage!$A$1:$ZZ$501,$A163,C$3)))</f>
        <v/>
      </c>
      <c r="D163" t="str">
        <f>IF($B163="","",IF(D$3=0,"n.b.",INDEX(SRC_Woningetalage!$A$1:$ZZ$501,$A163,D$3)))</f>
        <v/>
      </c>
      <c r="E163" t="str">
        <f>IF($B163="","",IF(E$3=0,"n.b.",INDEX(SRC_Woningetalage!$A$1:$ZZ$501,$A163,E$3)))</f>
        <v/>
      </c>
      <c r="F163" t="str">
        <f>IF($B163="","",IF(F$3=0,"n.b.",INDEX(SRC_Woningetalage!$A$1:$ZZ$501,$A163,F$3)))</f>
        <v/>
      </c>
      <c r="G163" t="str">
        <f>IF($B163="","",IF(G$3=0,"n.b.",INDEX(SRC_Woningetalage!$A$1:$ZZ$501,$A163,G$3)))</f>
        <v/>
      </c>
      <c r="H163" t="str">
        <f>IF($B163="","",IF(H$3=0,"n.b.",INDEX(SRC_Woningetalage!$A$1:$ZZ$501,$A163,H$3)))</f>
        <v/>
      </c>
      <c r="I163" t="str">
        <f>IF($B163="","",IF(I$3=0,"n.b.",INDEX(SRC_Woningetalage!$A$1:$ZZ$501,$A163,I$3)))</f>
        <v/>
      </c>
      <c r="J163" t="str">
        <f>IF($B163="","",IF(J$3=0,"n.b.",INDEX(SRC_Woningetalage!$A$1:$ZZ$501,$A163,J$3)))</f>
        <v/>
      </c>
      <c r="K163" t="str">
        <f>IF($B163="","",IF(K$3=0,"n.b.",INDEX(SRC_Woningetalage!$A$1:$ZZ$501,$A163,K$3)))</f>
        <v/>
      </c>
      <c r="L163" t="str">
        <f>IF($B163="","",IF(L$3=0,"n.b.",INDEX(SRC_Woningetalage!$A$1:$ZZ$501,$A163,L$3)))</f>
        <v/>
      </c>
      <c r="M163" t="str">
        <f>IF($B163="","",IF(M$3=0,"n.b.",INDEX(SRC_Woningetalage!$A$1:$ZZ$501,$A163,M$3)))</f>
        <v/>
      </c>
      <c r="N163" t="str">
        <f>IF($B163="","",IF(N$3=0,"n.b.",INDEX(SRC_Woningetalage!$A$1:$ZZ$501,$A163,N$3)))</f>
        <v/>
      </c>
      <c r="O163" t="str">
        <f>IF($B163="","",IF(O$3=0,"n.b.",INDEX(SRC_Woningetalage!$A$1:$ZZ$501,$A163,O$3)))</f>
        <v/>
      </c>
      <c r="P163" t="str">
        <f>IF($B163="","",IF(P$3=0,"n.b.",INDEX(SRC_Woningetalage!$A$1:$ZZ$501,$A163,P$3)))</f>
        <v/>
      </c>
      <c r="Q163" s="124" t="str">
        <f>IF($B163="","",IF(Q$3=0,"n.b.",INDEX(SRC_Woningetalage!$A$1:$ZZ$501,$A163,Q$3)))</f>
        <v/>
      </c>
      <c r="R163" s="124" t="str">
        <f>IF($B163="","",IF(R$3=0,"n.b.",INDEX(SRC_Woningetalage!$A$1:$ZZ$501,$A163,R$3)))</f>
        <v/>
      </c>
      <c r="S163" s="124" t="str">
        <f>IF($B163="","",IF(S$3=0,"n.b.",INDEX(SRC_Woningetalage!$A$1:$ZZ$501,$A163,S$3)))</f>
        <v/>
      </c>
      <c r="T163" s="124" t="str">
        <f>IF($B163="","",IF(T$3=0,"n.b.",INDEX(SRC_Woningetalage!$A$1:$ZZ$501,$A163,T$3)))</f>
        <v/>
      </c>
      <c r="U163" s="124" t="str">
        <f>IF($B163="","",IF(U$3=0,"n.b.",INDEX(SRC_Woningetalage!$A$1:$ZZ$501,$A163,U$3)))</f>
        <v/>
      </c>
      <c r="V163" s="124" t="str">
        <f>IF($B163="","",IF(V$3=0,"n.b.",INDEX(SRC_Woningetalage!$A$1:$ZZ$501,$A163,V$3)))</f>
        <v/>
      </c>
      <c r="W163" s="124" t="str">
        <f>IF($B163="","",IF(W$3=0,"n.b.",INDEX(SRC_Woningetalage!$A$1:$ZZ$501,$A163,W$3)))</f>
        <v/>
      </c>
      <c r="X163" s="124" t="str">
        <f>IF($B163="","",IF(X$3=0,"n.b.",INDEX(SRC_Woningetalage!$A$1:$ZZ$501,$A163,X$3)))</f>
        <v/>
      </c>
      <c r="Y163" s="124" t="str">
        <f>IF($B163="","",IF(Y$3=0,"n.b.",INDEX(SRC_Woningetalage!$A$1:$ZZ$501,$A163,Y$3)))</f>
        <v/>
      </c>
      <c r="Z163" s="124" t="str">
        <f>IF($B163="","",IF(Z$3=0,"n.b.",INDEX(SRC_Woningetalage!$A$1:$ZZ$501,$A163,Z$3)))</f>
        <v/>
      </c>
      <c r="AA163" s="124" t="str">
        <f>IF($B163="","",IF(AA$3=0,"n.b.",INDEX(SRC_Woningetalage!$A$1:$ZZ$501,$A163,AA$3)))</f>
        <v/>
      </c>
      <c r="AB163" s="124" t="str">
        <f>IF($B163="","",IF(AB$3=0,"n.b.",INDEX(SRC_Woningetalage!$A$1:$ZZ$501,$A163,AB$3)))</f>
        <v/>
      </c>
      <c r="AC163" s="124" t="str">
        <f>IF($B163="","",IF(AC$3=0,"n.b.",INDEX(SRC_Woningetalage!$A$1:$ZZ$501,$A163,AC$3)))</f>
        <v/>
      </c>
      <c r="AD163" s="124" t="str">
        <f>IF($B163="","",IF(AD$3=0,"n.b.",INDEX(SRC_Woningetalage!$A$1:$ZZ$501,$A163,AD$3)))</f>
        <v/>
      </c>
      <c r="AE163" s="124" t="str">
        <f>IF($B163="","",IF(AE$3=0,"n.b.",INDEX(SRC_Woningetalage!$A$1:$ZZ$501,$A163,AE$3)))</f>
        <v/>
      </c>
      <c r="AF163" s="124" t="str">
        <f>IF($B163="","",IF(AF$3=0,"n.b.",INDEX(SRC_Woningetalage!$A$1:$ZZ$501,$A163,AF$3)))</f>
        <v/>
      </c>
      <c r="AG163" s="124" t="str">
        <f>IF($B163="","",IF(AG$3=0,"n.b.",INDEX(SRC_Woningetalage!$A$1:$ZZ$501,$A163,AG$3)))</f>
        <v/>
      </c>
      <c r="AH163" s="124" t="str">
        <f>IF($B163="","",IF(AH$3=0,"n.b.",INDEX(SRC_Woningetalage!$A$1:$ZZ$501,$A163,AH$3)))</f>
        <v/>
      </c>
      <c r="AI163" s="124" t="str">
        <f>IF($B163="","",IF(AI$3=0,"n.b.",INDEX(SRC_Woningetalage!$A$1:$ZZ$501,$A163,AI$3)))</f>
        <v/>
      </c>
      <c r="AJ163" s="124" t="str">
        <f>IF($B163="","",IF(AJ$3=0,"n.b.",INDEX(SRC_Woningetalage!$A$1:$ZZ$501,$A163,AJ$3)))</f>
        <v/>
      </c>
      <c r="AK163" s="124" t="str">
        <f>IF($B163="","",IF(AK$3=0,"n.b.",INDEX(SRC_Woningetalage!$A$1:$ZZ$501,$A163,AK$3)))</f>
        <v/>
      </c>
      <c r="AL163" s="124" t="str">
        <f>IF($B163="","",IF(AL$3=0,"n.b.",INDEX(SRC_Woningetalage!$A$1:$ZZ$501,$A163,AL$3)))</f>
        <v/>
      </c>
      <c r="AM163" s="124" t="str">
        <f>IF($B163="","",IF(AM$3=0,"n.b.",INDEX(SRC_Woningetalage!$A$1:$ZZ$501,$A163,AM$3)))</f>
        <v/>
      </c>
      <c r="AN163" s="124" t="str">
        <f>IF($B163="","",IF(AN$3=0,"n.b.",INDEX(SRC_Woningetalage!$A$1:$ZZ$501,$A163,AN$3)))</f>
        <v/>
      </c>
      <c r="AO163" s="124" t="str">
        <f>IF($B163="","",IF(AO$3=0,"n.b.",INDEX(SRC_Woningetalage!$A$1:$ZZ$501,$A163,AO$3)))</f>
        <v/>
      </c>
      <c r="AP163" s="124" t="str">
        <f>IF($B163="","",IF(AP$3=0,"n.b.",INDEX(SRC_Woningetalage!$A$1:$ZZ$501,$A163,AP$3)))</f>
        <v/>
      </c>
      <c r="AQ163" s="124" t="str">
        <f>IF($B163="","",IF(AQ$3=0,"n.b.",INDEX(SRC_Woningetalage!$A$1:$ZZ$501,$A163,AQ$3)))</f>
        <v/>
      </c>
      <c r="AR163" s="124" t="str">
        <f>IF($B163="","",IF(AR$3=0,"n.b.",INDEX(SRC_Woningetalage!$A$1:$ZZ$501,$A163,AR$3)))</f>
        <v/>
      </c>
      <c r="AS163" s="124" t="str">
        <f>IF($B163="","",IF(AS$3=0,"n.b.",INDEX(SRC_Woningetalage!$A$1:$ZZ$501,$A163,AS$3)))</f>
        <v/>
      </c>
      <c r="AT163" s="124" t="str">
        <f>IF($B163="","",IF(AT$3=0,"n.b.",INDEX(SRC_Woningetalage!$A$1:$ZZ$501,$A163,AT$3)))</f>
        <v/>
      </c>
      <c r="AU163" s="124" t="str">
        <f>IF($B163="","",IF(AU$3=0,"n.b.",INDEX(SRC_Woningetalage!$A$1:$ZZ$501,$A163,AU$3)))</f>
        <v/>
      </c>
      <c r="AV163" s="124" t="str">
        <f>IF($B163="","",IF(AV$3=0,"n.b.",INDEX(SRC_Woningetalage!$A$1:$ZZ$501,$A163,AV$3)))</f>
        <v/>
      </c>
      <c r="AW163" s="124" t="str">
        <f>IF($B163="","",IF(AW$3=0,"n.b.",INDEX(SRC_Woningetalage!$A$1:$ZZ$501,$A163,AW$3)))</f>
        <v/>
      </c>
      <c r="AX163" s="124" t="str">
        <f>IF($B163="","",IF(AX$3=0,"n.b.",INDEX(SRC_Woningetalage!$A$1:$ZZ$501,$A163,AX$3)))</f>
        <v/>
      </c>
      <c r="AY163" s="124" t="str">
        <f>IF($B163="","",IF(AY$3=0,"n.b.",INDEX(SRC_Woningetalage!$A$1:$ZZ$501,$A163,AY$3)))</f>
        <v/>
      </c>
      <c r="AZ163" s="124" t="str">
        <f>IF($B163="","",IF(AZ$3=0,"n.b.",INDEX(SRC_Woningetalage!$A$1:$ZZ$501,$A163,AZ$3)))</f>
        <v/>
      </c>
      <c r="BA163" s="124" t="str">
        <f>IF($B163="","",IF(BA$3=0,"n.b.",INDEX(SRC_Woningetalage!$A$1:$ZZ$501,$A163,BA$3)))</f>
        <v/>
      </c>
      <c r="BB163" s="124" t="str">
        <f>IF($B163="","",IF(BB$3=0,"n.b.",INDEX(SRC_Woningetalage!$A$1:$ZZ$501,$A163,BB$3)))</f>
        <v/>
      </c>
      <c r="BC163" s="124" t="str">
        <f>IF($B163="","",IFERROR(_xlfn.NUMBERVALUE(E163&amp;"",",","."),"n.b."))</f>
        <v/>
      </c>
      <c r="BD163" s="124" t="str">
        <f>IF($B163="","",IFERROR(_xlfn.NUMBERVALUE(M163&amp;"",",","."),"n.b."))</f>
        <v/>
      </c>
      <c r="BE163" s="124" t="str">
        <f>IF($B163="","",IFERROR(AB163+AC163+AD163,"n.b."))</f>
        <v/>
      </c>
      <c r="BF163" s="124" t="str">
        <f>IF($B163="","",IFERROR(AE163+AF163+AG163,"n.b."))</f>
        <v/>
      </c>
      <c r="BG163" s="124" t="str">
        <f>IF($B163="","",IFERROR(AH163+AI163+AJ163,"n.b."))</f>
        <v/>
      </c>
      <c r="BH163" s="124" t="str">
        <f>IF($B163="","",IFERROR(AK163+AL163+AM163,"n.b."))</f>
        <v/>
      </c>
      <c r="BI163" s="124" t="str">
        <f>IF($B163="","",IFERROR(SUMIF($AB$5:$AM$5,"&lt;="&amp;P_PeilMaand,AB163:AM163),"n.b."))</f>
        <v/>
      </c>
      <c r="BJ163" s="124" t="str">
        <f>IF($B163="","",IFERROR(SUM(AB163:AM163)-BI163,"n.b."))</f>
        <v/>
      </c>
      <c r="BK163" s="124" t="str">
        <f>IF($B163="","",IFERROR(IF(ABS(Q163-(T163+SUM(AB163:AM163)+AS163+AU163))&gt;P_Tol,1,0),1))</f>
        <v/>
      </c>
      <c r="BL163" s="124" t="str">
        <f>IF($B163="","",IFERROR(IF(ABS(AA163-(Q163-Z163))&gt;P_Tol,1,0),1))</f>
        <v/>
      </c>
      <c r="BM163" s="124" t="str">
        <f>IF($B163="","",IFERROR(IF(ABS(Z163-(T163+W163))&gt;P_Tol,1,0),1))</f>
        <v/>
      </c>
      <c r="BN163" s="124" t="str">
        <f>IF($B163="","",IFERROR(IF(ABS(W163-BI163)&gt;P_Tol,1,0),1))</f>
        <v/>
      </c>
      <c r="BO163" s="124" t="str">
        <f>IF($B163="","",IFERROR(IF(OR(ABS(R163+S163-T163)&gt;P_Tol,ABS(U163+V163-W163)&gt;P_Tol,ABS(X163+Y163-Z163)&gt;P_Tol),1,0),1))</f>
        <v/>
      </c>
      <c r="BP163" s="124" t="str">
        <f>IF($B163="","",IFERROR(IF(OR(ABS(AR163-SUM(AB163:AM163))&gt;P_Tol,ABS(AS163-(AN163+AO163+AP163+AQ163))&gt;P_Tol),1,0),1))</f>
        <v/>
      </c>
      <c r="BQ163" s="124" t="str">
        <f>IF($B163="","",IFERROR(IF(ABS(AT163)+ABS(AV163)+ABS(AW163)+ABS(AX163)+ABS(AY163)+ABS(AZ163)+ABS(BA163)+ABS(BB163)&gt;0,1,0),1))</f>
        <v/>
      </c>
      <c r="BR163" s="124" t="str">
        <f>IF($B163="","",COUNTIF(STG_ZPMW03!$B$6:$B$505,B163))</f>
        <v/>
      </c>
      <c r="BS163" s="124" t="str">
        <f>IF($B163="","",COUNTIF($B$6:$B$505,B163))</f>
        <v/>
      </c>
      <c r="BT163" s="124" t="str">
        <f>IF($B163="","",IF(BR163=0,0,IF(INDEX(STG_ZPMW03!$I$6:$I$505,MATCH(B163,STG_ZPMW03!$B$6:$B$505,0))=J163&amp;"",0,1)))</f>
        <v/>
      </c>
      <c r="BU163" s="124" t="str">
        <f>IF($B163="","",IFERROR(IF(ABS(INDEX(Mapping!$D$5:$D$104,MATCH(B163,Mapping!$A$5:$A$104,0))-Q163)&gt;P_Tol,1,0),0))</f>
        <v/>
      </c>
      <c r="BV163" s="124" t="str">
        <f>IF($B163="","",IFERROR(IF(AND(INDEX(Mapping!$G$5:$G$104,MATCH(B163,Mapping!$A$5:$A$104,0))="Nee",ABS(Q163)+ABS(Z163)+ABS(AR163)&gt;0),1,0),0))</f>
        <v/>
      </c>
      <c r="BW163" s="124" t="str">
        <f>IF($B163="","",IF(COUNTIF(Mapping!$A$5:$A$104,B163)&gt;0,1,0))</f>
        <v/>
      </c>
      <c r="BX163" s="124" t="str">
        <f>IF($B163="","",IF(BR163=0,COUNTIF($BR$6:BR163,0),""))</f>
        <v/>
      </c>
    </row>
    <row r="164">
      <c r="A164" s="15" t="n">
        <v>160</v>
      </c>
      <c r="B164" t="str">
        <f>IF(B$3=0,"",IF(INDEX(SRC_Woningetalage!$A$1:$ZZ$501,$A164,B$3)&amp;""="","",INDEX(SRC_Woningetalage!$A$1:$ZZ$501,$A164,B$3)&amp;""))</f>
        <v/>
      </c>
      <c r="C164" t="str">
        <f>IF($B164="","",IF(C$3=0,"n.b.",INDEX(SRC_Woningetalage!$A$1:$ZZ$501,$A164,C$3)))</f>
        <v/>
      </c>
      <c r="D164" t="str">
        <f>IF($B164="","",IF(D$3=0,"n.b.",INDEX(SRC_Woningetalage!$A$1:$ZZ$501,$A164,D$3)))</f>
        <v/>
      </c>
      <c r="E164" t="str">
        <f>IF($B164="","",IF(E$3=0,"n.b.",INDEX(SRC_Woningetalage!$A$1:$ZZ$501,$A164,E$3)))</f>
        <v/>
      </c>
      <c r="F164" t="str">
        <f>IF($B164="","",IF(F$3=0,"n.b.",INDEX(SRC_Woningetalage!$A$1:$ZZ$501,$A164,F$3)))</f>
        <v/>
      </c>
      <c r="G164" t="str">
        <f>IF($B164="","",IF(G$3=0,"n.b.",INDEX(SRC_Woningetalage!$A$1:$ZZ$501,$A164,G$3)))</f>
        <v/>
      </c>
      <c r="H164" t="str">
        <f>IF($B164="","",IF(H$3=0,"n.b.",INDEX(SRC_Woningetalage!$A$1:$ZZ$501,$A164,H$3)))</f>
        <v/>
      </c>
      <c r="I164" t="str">
        <f>IF($B164="","",IF(I$3=0,"n.b.",INDEX(SRC_Woningetalage!$A$1:$ZZ$501,$A164,I$3)))</f>
        <v/>
      </c>
      <c r="J164" t="str">
        <f>IF($B164="","",IF(J$3=0,"n.b.",INDEX(SRC_Woningetalage!$A$1:$ZZ$501,$A164,J$3)))</f>
        <v/>
      </c>
      <c r="K164" t="str">
        <f>IF($B164="","",IF(K$3=0,"n.b.",INDEX(SRC_Woningetalage!$A$1:$ZZ$501,$A164,K$3)))</f>
        <v/>
      </c>
      <c r="L164" t="str">
        <f>IF($B164="","",IF(L$3=0,"n.b.",INDEX(SRC_Woningetalage!$A$1:$ZZ$501,$A164,L$3)))</f>
        <v/>
      </c>
      <c r="M164" t="str">
        <f>IF($B164="","",IF(M$3=0,"n.b.",INDEX(SRC_Woningetalage!$A$1:$ZZ$501,$A164,M$3)))</f>
        <v/>
      </c>
      <c r="N164" t="str">
        <f>IF($B164="","",IF(N$3=0,"n.b.",INDEX(SRC_Woningetalage!$A$1:$ZZ$501,$A164,N$3)))</f>
        <v/>
      </c>
      <c r="O164" t="str">
        <f>IF($B164="","",IF(O$3=0,"n.b.",INDEX(SRC_Woningetalage!$A$1:$ZZ$501,$A164,O$3)))</f>
        <v/>
      </c>
      <c r="P164" t="str">
        <f>IF($B164="","",IF(P$3=0,"n.b.",INDEX(SRC_Woningetalage!$A$1:$ZZ$501,$A164,P$3)))</f>
        <v/>
      </c>
      <c r="Q164" s="124" t="str">
        <f>IF($B164="","",IF(Q$3=0,"n.b.",INDEX(SRC_Woningetalage!$A$1:$ZZ$501,$A164,Q$3)))</f>
        <v/>
      </c>
      <c r="R164" s="124" t="str">
        <f>IF($B164="","",IF(R$3=0,"n.b.",INDEX(SRC_Woningetalage!$A$1:$ZZ$501,$A164,R$3)))</f>
        <v/>
      </c>
      <c r="S164" s="124" t="str">
        <f>IF($B164="","",IF(S$3=0,"n.b.",INDEX(SRC_Woningetalage!$A$1:$ZZ$501,$A164,S$3)))</f>
        <v/>
      </c>
      <c r="T164" s="124" t="str">
        <f>IF($B164="","",IF(T$3=0,"n.b.",INDEX(SRC_Woningetalage!$A$1:$ZZ$501,$A164,T$3)))</f>
        <v/>
      </c>
      <c r="U164" s="124" t="str">
        <f>IF($B164="","",IF(U$3=0,"n.b.",INDEX(SRC_Woningetalage!$A$1:$ZZ$501,$A164,U$3)))</f>
        <v/>
      </c>
      <c r="V164" s="124" t="str">
        <f>IF($B164="","",IF(V$3=0,"n.b.",INDEX(SRC_Woningetalage!$A$1:$ZZ$501,$A164,V$3)))</f>
        <v/>
      </c>
      <c r="W164" s="124" t="str">
        <f>IF($B164="","",IF(W$3=0,"n.b.",INDEX(SRC_Woningetalage!$A$1:$ZZ$501,$A164,W$3)))</f>
        <v/>
      </c>
      <c r="X164" s="124" t="str">
        <f>IF($B164="","",IF(X$3=0,"n.b.",INDEX(SRC_Woningetalage!$A$1:$ZZ$501,$A164,X$3)))</f>
        <v/>
      </c>
      <c r="Y164" s="124" t="str">
        <f>IF($B164="","",IF(Y$3=0,"n.b.",INDEX(SRC_Woningetalage!$A$1:$ZZ$501,$A164,Y$3)))</f>
        <v/>
      </c>
      <c r="Z164" s="124" t="str">
        <f>IF($B164="","",IF(Z$3=0,"n.b.",INDEX(SRC_Woningetalage!$A$1:$ZZ$501,$A164,Z$3)))</f>
        <v/>
      </c>
      <c r="AA164" s="124" t="str">
        <f>IF($B164="","",IF(AA$3=0,"n.b.",INDEX(SRC_Woningetalage!$A$1:$ZZ$501,$A164,AA$3)))</f>
        <v/>
      </c>
      <c r="AB164" s="124" t="str">
        <f>IF($B164="","",IF(AB$3=0,"n.b.",INDEX(SRC_Woningetalage!$A$1:$ZZ$501,$A164,AB$3)))</f>
        <v/>
      </c>
      <c r="AC164" s="124" t="str">
        <f>IF($B164="","",IF(AC$3=0,"n.b.",INDEX(SRC_Woningetalage!$A$1:$ZZ$501,$A164,AC$3)))</f>
        <v/>
      </c>
      <c r="AD164" s="124" t="str">
        <f>IF($B164="","",IF(AD$3=0,"n.b.",INDEX(SRC_Woningetalage!$A$1:$ZZ$501,$A164,AD$3)))</f>
        <v/>
      </c>
      <c r="AE164" s="124" t="str">
        <f>IF($B164="","",IF(AE$3=0,"n.b.",INDEX(SRC_Woningetalage!$A$1:$ZZ$501,$A164,AE$3)))</f>
        <v/>
      </c>
      <c r="AF164" s="124" t="str">
        <f>IF($B164="","",IF(AF$3=0,"n.b.",INDEX(SRC_Woningetalage!$A$1:$ZZ$501,$A164,AF$3)))</f>
        <v/>
      </c>
      <c r="AG164" s="124" t="str">
        <f>IF($B164="","",IF(AG$3=0,"n.b.",INDEX(SRC_Woningetalage!$A$1:$ZZ$501,$A164,AG$3)))</f>
        <v/>
      </c>
      <c r="AH164" s="124" t="str">
        <f>IF($B164="","",IF(AH$3=0,"n.b.",INDEX(SRC_Woningetalage!$A$1:$ZZ$501,$A164,AH$3)))</f>
        <v/>
      </c>
      <c r="AI164" s="124" t="str">
        <f>IF($B164="","",IF(AI$3=0,"n.b.",INDEX(SRC_Woningetalage!$A$1:$ZZ$501,$A164,AI$3)))</f>
        <v/>
      </c>
      <c r="AJ164" s="124" t="str">
        <f>IF($B164="","",IF(AJ$3=0,"n.b.",INDEX(SRC_Woningetalage!$A$1:$ZZ$501,$A164,AJ$3)))</f>
        <v/>
      </c>
      <c r="AK164" s="124" t="str">
        <f>IF($B164="","",IF(AK$3=0,"n.b.",INDEX(SRC_Woningetalage!$A$1:$ZZ$501,$A164,AK$3)))</f>
        <v/>
      </c>
      <c r="AL164" s="124" t="str">
        <f>IF($B164="","",IF(AL$3=0,"n.b.",INDEX(SRC_Woningetalage!$A$1:$ZZ$501,$A164,AL$3)))</f>
        <v/>
      </c>
      <c r="AM164" s="124" t="str">
        <f>IF($B164="","",IF(AM$3=0,"n.b.",INDEX(SRC_Woningetalage!$A$1:$ZZ$501,$A164,AM$3)))</f>
        <v/>
      </c>
      <c r="AN164" s="124" t="str">
        <f>IF($B164="","",IF(AN$3=0,"n.b.",INDEX(SRC_Woningetalage!$A$1:$ZZ$501,$A164,AN$3)))</f>
        <v/>
      </c>
      <c r="AO164" s="124" t="str">
        <f>IF($B164="","",IF(AO$3=0,"n.b.",INDEX(SRC_Woningetalage!$A$1:$ZZ$501,$A164,AO$3)))</f>
        <v/>
      </c>
      <c r="AP164" s="124" t="str">
        <f>IF($B164="","",IF(AP$3=0,"n.b.",INDEX(SRC_Woningetalage!$A$1:$ZZ$501,$A164,AP$3)))</f>
        <v/>
      </c>
      <c r="AQ164" s="124" t="str">
        <f>IF($B164="","",IF(AQ$3=0,"n.b.",INDEX(SRC_Woningetalage!$A$1:$ZZ$501,$A164,AQ$3)))</f>
        <v/>
      </c>
      <c r="AR164" s="124" t="str">
        <f>IF($B164="","",IF(AR$3=0,"n.b.",INDEX(SRC_Woningetalage!$A$1:$ZZ$501,$A164,AR$3)))</f>
        <v/>
      </c>
      <c r="AS164" s="124" t="str">
        <f>IF($B164="","",IF(AS$3=0,"n.b.",INDEX(SRC_Woningetalage!$A$1:$ZZ$501,$A164,AS$3)))</f>
        <v/>
      </c>
      <c r="AT164" s="124" t="str">
        <f>IF($B164="","",IF(AT$3=0,"n.b.",INDEX(SRC_Woningetalage!$A$1:$ZZ$501,$A164,AT$3)))</f>
        <v/>
      </c>
      <c r="AU164" s="124" t="str">
        <f>IF($B164="","",IF(AU$3=0,"n.b.",INDEX(SRC_Woningetalage!$A$1:$ZZ$501,$A164,AU$3)))</f>
        <v/>
      </c>
      <c r="AV164" s="124" t="str">
        <f>IF($B164="","",IF(AV$3=0,"n.b.",INDEX(SRC_Woningetalage!$A$1:$ZZ$501,$A164,AV$3)))</f>
        <v/>
      </c>
      <c r="AW164" s="124" t="str">
        <f>IF($B164="","",IF(AW$3=0,"n.b.",INDEX(SRC_Woningetalage!$A$1:$ZZ$501,$A164,AW$3)))</f>
        <v/>
      </c>
      <c r="AX164" s="124" t="str">
        <f>IF($B164="","",IF(AX$3=0,"n.b.",INDEX(SRC_Woningetalage!$A$1:$ZZ$501,$A164,AX$3)))</f>
        <v/>
      </c>
      <c r="AY164" s="124" t="str">
        <f>IF($B164="","",IF(AY$3=0,"n.b.",INDEX(SRC_Woningetalage!$A$1:$ZZ$501,$A164,AY$3)))</f>
        <v/>
      </c>
      <c r="AZ164" s="124" t="str">
        <f>IF($B164="","",IF(AZ$3=0,"n.b.",INDEX(SRC_Woningetalage!$A$1:$ZZ$501,$A164,AZ$3)))</f>
        <v/>
      </c>
      <c r="BA164" s="124" t="str">
        <f>IF($B164="","",IF(BA$3=0,"n.b.",INDEX(SRC_Woningetalage!$A$1:$ZZ$501,$A164,BA$3)))</f>
        <v/>
      </c>
      <c r="BB164" s="124" t="str">
        <f>IF($B164="","",IF(BB$3=0,"n.b.",INDEX(SRC_Woningetalage!$A$1:$ZZ$501,$A164,BB$3)))</f>
        <v/>
      </c>
      <c r="BC164" s="124" t="str">
        <f>IF($B164="","",IFERROR(_xlfn.NUMBERVALUE(E164&amp;"",",","."),"n.b."))</f>
        <v/>
      </c>
      <c r="BD164" s="124" t="str">
        <f>IF($B164="","",IFERROR(_xlfn.NUMBERVALUE(M164&amp;"",",","."),"n.b."))</f>
        <v/>
      </c>
      <c r="BE164" s="124" t="str">
        <f>IF($B164="","",IFERROR(AB164+AC164+AD164,"n.b."))</f>
        <v/>
      </c>
      <c r="BF164" s="124" t="str">
        <f>IF($B164="","",IFERROR(AE164+AF164+AG164,"n.b."))</f>
        <v/>
      </c>
      <c r="BG164" s="124" t="str">
        <f>IF($B164="","",IFERROR(AH164+AI164+AJ164,"n.b."))</f>
        <v/>
      </c>
      <c r="BH164" s="124" t="str">
        <f>IF($B164="","",IFERROR(AK164+AL164+AM164,"n.b."))</f>
        <v/>
      </c>
      <c r="BI164" s="124" t="str">
        <f>IF($B164="","",IFERROR(SUMIF($AB$5:$AM$5,"&lt;="&amp;P_PeilMaand,AB164:AM164),"n.b."))</f>
        <v/>
      </c>
      <c r="BJ164" s="124" t="str">
        <f>IF($B164="","",IFERROR(SUM(AB164:AM164)-BI164,"n.b."))</f>
        <v/>
      </c>
      <c r="BK164" s="124" t="str">
        <f>IF($B164="","",IFERROR(IF(ABS(Q164-(T164+SUM(AB164:AM164)+AS164+AU164))&gt;P_Tol,1,0),1))</f>
        <v/>
      </c>
      <c r="BL164" s="124" t="str">
        <f>IF($B164="","",IFERROR(IF(ABS(AA164-(Q164-Z164))&gt;P_Tol,1,0),1))</f>
        <v/>
      </c>
      <c r="BM164" s="124" t="str">
        <f>IF($B164="","",IFERROR(IF(ABS(Z164-(T164+W164))&gt;P_Tol,1,0),1))</f>
        <v/>
      </c>
      <c r="BN164" s="124" t="str">
        <f>IF($B164="","",IFERROR(IF(ABS(W164-BI164)&gt;P_Tol,1,0),1))</f>
        <v/>
      </c>
      <c r="BO164" s="124" t="str">
        <f>IF($B164="","",IFERROR(IF(OR(ABS(R164+S164-T164)&gt;P_Tol,ABS(U164+V164-W164)&gt;P_Tol,ABS(X164+Y164-Z164)&gt;P_Tol),1,0),1))</f>
        <v/>
      </c>
      <c r="BP164" s="124" t="str">
        <f>IF($B164="","",IFERROR(IF(OR(ABS(AR164-SUM(AB164:AM164))&gt;P_Tol,ABS(AS164-(AN164+AO164+AP164+AQ164))&gt;P_Tol),1,0),1))</f>
        <v/>
      </c>
      <c r="BQ164" s="124" t="str">
        <f>IF($B164="","",IFERROR(IF(ABS(AT164)+ABS(AV164)+ABS(AW164)+ABS(AX164)+ABS(AY164)+ABS(AZ164)+ABS(BA164)+ABS(BB164)&gt;0,1,0),1))</f>
        <v/>
      </c>
      <c r="BR164" s="124" t="str">
        <f>IF($B164="","",COUNTIF(STG_ZPMW03!$B$6:$B$505,B164))</f>
        <v/>
      </c>
      <c r="BS164" s="124" t="str">
        <f>IF($B164="","",COUNTIF($B$6:$B$505,B164))</f>
        <v/>
      </c>
      <c r="BT164" s="124" t="str">
        <f>IF($B164="","",IF(BR164=0,0,IF(INDEX(STG_ZPMW03!$I$6:$I$505,MATCH(B164,STG_ZPMW03!$B$6:$B$505,0))=J164&amp;"",0,1)))</f>
        <v/>
      </c>
      <c r="BU164" s="124" t="str">
        <f>IF($B164="","",IFERROR(IF(ABS(INDEX(Mapping!$D$5:$D$104,MATCH(B164,Mapping!$A$5:$A$104,0))-Q164)&gt;P_Tol,1,0),0))</f>
        <v/>
      </c>
      <c r="BV164" s="124" t="str">
        <f>IF($B164="","",IFERROR(IF(AND(INDEX(Mapping!$G$5:$G$104,MATCH(B164,Mapping!$A$5:$A$104,0))="Nee",ABS(Q164)+ABS(Z164)+ABS(AR164)&gt;0),1,0),0))</f>
        <v/>
      </c>
      <c r="BW164" s="124" t="str">
        <f>IF($B164="","",IF(COUNTIF(Mapping!$A$5:$A$104,B164)&gt;0,1,0))</f>
        <v/>
      </c>
      <c r="BX164" s="124" t="str">
        <f>IF($B164="","",IF(BR164=0,COUNTIF($BR$6:BR164,0),""))</f>
        <v/>
      </c>
    </row>
    <row r="165">
      <c r="A165" s="15" t="n">
        <v>161</v>
      </c>
      <c r="B165" t="str">
        <f>IF(B$3=0,"",IF(INDEX(SRC_Woningetalage!$A$1:$ZZ$501,$A165,B$3)&amp;""="","",INDEX(SRC_Woningetalage!$A$1:$ZZ$501,$A165,B$3)&amp;""))</f>
        <v/>
      </c>
      <c r="C165" t="str">
        <f>IF($B165="","",IF(C$3=0,"n.b.",INDEX(SRC_Woningetalage!$A$1:$ZZ$501,$A165,C$3)))</f>
        <v/>
      </c>
      <c r="D165" t="str">
        <f>IF($B165="","",IF(D$3=0,"n.b.",INDEX(SRC_Woningetalage!$A$1:$ZZ$501,$A165,D$3)))</f>
        <v/>
      </c>
      <c r="E165" t="str">
        <f>IF($B165="","",IF(E$3=0,"n.b.",INDEX(SRC_Woningetalage!$A$1:$ZZ$501,$A165,E$3)))</f>
        <v/>
      </c>
      <c r="F165" t="str">
        <f>IF($B165="","",IF(F$3=0,"n.b.",INDEX(SRC_Woningetalage!$A$1:$ZZ$501,$A165,F$3)))</f>
        <v/>
      </c>
      <c r="G165" t="str">
        <f>IF($B165="","",IF(G$3=0,"n.b.",INDEX(SRC_Woningetalage!$A$1:$ZZ$501,$A165,G$3)))</f>
        <v/>
      </c>
      <c r="H165" t="str">
        <f>IF($B165="","",IF(H$3=0,"n.b.",INDEX(SRC_Woningetalage!$A$1:$ZZ$501,$A165,H$3)))</f>
        <v/>
      </c>
      <c r="I165" t="str">
        <f>IF($B165="","",IF(I$3=0,"n.b.",INDEX(SRC_Woningetalage!$A$1:$ZZ$501,$A165,I$3)))</f>
        <v/>
      </c>
      <c r="J165" t="str">
        <f>IF($B165="","",IF(J$3=0,"n.b.",INDEX(SRC_Woningetalage!$A$1:$ZZ$501,$A165,J$3)))</f>
        <v/>
      </c>
      <c r="K165" t="str">
        <f>IF($B165="","",IF(K$3=0,"n.b.",INDEX(SRC_Woningetalage!$A$1:$ZZ$501,$A165,K$3)))</f>
        <v/>
      </c>
      <c r="L165" t="str">
        <f>IF($B165="","",IF(L$3=0,"n.b.",INDEX(SRC_Woningetalage!$A$1:$ZZ$501,$A165,L$3)))</f>
        <v/>
      </c>
      <c r="M165" t="str">
        <f>IF($B165="","",IF(M$3=0,"n.b.",INDEX(SRC_Woningetalage!$A$1:$ZZ$501,$A165,M$3)))</f>
        <v/>
      </c>
      <c r="N165" t="str">
        <f>IF($B165="","",IF(N$3=0,"n.b.",INDEX(SRC_Woningetalage!$A$1:$ZZ$501,$A165,N$3)))</f>
        <v/>
      </c>
      <c r="O165" t="str">
        <f>IF($B165="","",IF(O$3=0,"n.b.",INDEX(SRC_Woningetalage!$A$1:$ZZ$501,$A165,O$3)))</f>
        <v/>
      </c>
      <c r="P165" t="str">
        <f>IF($B165="","",IF(P$3=0,"n.b.",INDEX(SRC_Woningetalage!$A$1:$ZZ$501,$A165,P$3)))</f>
        <v/>
      </c>
      <c r="Q165" s="124" t="str">
        <f>IF($B165="","",IF(Q$3=0,"n.b.",INDEX(SRC_Woningetalage!$A$1:$ZZ$501,$A165,Q$3)))</f>
        <v/>
      </c>
      <c r="R165" s="124" t="str">
        <f>IF($B165="","",IF(R$3=0,"n.b.",INDEX(SRC_Woningetalage!$A$1:$ZZ$501,$A165,R$3)))</f>
        <v/>
      </c>
      <c r="S165" s="124" t="str">
        <f>IF($B165="","",IF(S$3=0,"n.b.",INDEX(SRC_Woningetalage!$A$1:$ZZ$501,$A165,S$3)))</f>
        <v/>
      </c>
      <c r="T165" s="124" t="str">
        <f>IF($B165="","",IF(T$3=0,"n.b.",INDEX(SRC_Woningetalage!$A$1:$ZZ$501,$A165,T$3)))</f>
        <v/>
      </c>
      <c r="U165" s="124" t="str">
        <f>IF($B165="","",IF(U$3=0,"n.b.",INDEX(SRC_Woningetalage!$A$1:$ZZ$501,$A165,U$3)))</f>
        <v/>
      </c>
      <c r="V165" s="124" t="str">
        <f>IF($B165="","",IF(V$3=0,"n.b.",INDEX(SRC_Woningetalage!$A$1:$ZZ$501,$A165,V$3)))</f>
        <v/>
      </c>
      <c r="W165" s="124" t="str">
        <f>IF($B165="","",IF(W$3=0,"n.b.",INDEX(SRC_Woningetalage!$A$1:$ZZ$501,$A165,W$3)))</f>
        <v/>
      </c>
      <c r="X165" s="124" t="str">
        <f>IF($B165="","",IF(X$3=0,"n.b.",INDEX(SRC_Woningetalage!$A$1:$ZZ$501,$A165,X$3)))</f>
        <v/>
      </c>
      <c r="Y165" s="124" t="str">
        <f>IF($B165="","",IF(Y$3=0,"n.b.",INDEX(SRC_Woningetalage!$A$1:$ZZ$501,$A165,Y$3)))</f>
        <v/>
      </c>
      <c r="Z165" s="124" t="str">
        <f>IF($B165="","",IF(Z$3=0,"n.b.",INDEX(SRC_Woningetalage!$A$1:$ZZ$501,$A165,Z$3)))</f>
        <v/>
      </c>
      <c r="AA165" s="124" t="str">
        <f>IF($B165="","",IF(AA$3=0,"n.b.",INDEX(SRC_Woningetalage!$A$1:$ZZ$501,$A165,AA$3)))</f>
        <v/>
      </c>
      <c r="AB165" s="124" t="str">
        <f>IF($B165="","",IF(AB$3=0,"n.b.",INDEX(SRC_Woningetalage!$A$1:$ZZ$501,$A165,AB$3)))</f>
        <v/>
      </c>
      <c r="AC165" s="124" t="str">
        <f>IF($B165="","",IF(AC$3=0,"n.b.",INDEX(SRC_Woningetalage!$A$1:$ZZ$501,$A165,AC$3)))</f>
        <v/>
      </c>
      <c r="AD165" s="124" t="str">
        <f>IF($B165="","",IF(AD$3=0,"n.b.",INDEX(SRC_Woningetalage!$A$1:$ZZ$501,$A165,AD$3)))</f>
        <v/>
      </c>
      <c r="AE165" s="124" t="str">
        <f>IF($B165="","",IF(AE$3=0,"n.b.",INDEX(SRC_Woningetalage!$A$1:$ZZ$501,$A165,AE$3)))</f>
        <v/>
      </c>
      <c r="AF165" s="124" t="str">
        <f>IF($B165="","",IF(AF$3=0,"n.b.",INDEX(SRC_Woningetalage!$A$1:$ZZ$501,$A165,AF$3)))</f>
        <v/>
      </c>
      <c r="AG165" s="124" t="str">
        <f>IF($B165="","",IF(AG$3=0,"n.b.",INDEX(SRC_Woningetalage!$A$1:$ZZ$501,$A165,AG$3)))</f>
        <v/>
      </c>
      <c r="AH165" s="124" t="str">
        <f>IF($B165="","",IF(AH$3=0,"n.b.",INDEX(SRC_Woningetalage!$A$1:$ZZ$501,$A165,AH$3)))</f>
        <v/>
      </c>
      <c r="AI165" s="124" t="str">
        <f>IF($B165="","",IF(AI$3=0,"n.b.",INDEX(SRC_Woningetalage!$A$1:$ZZ$501,$A165,AI$3)))</f>
        <v/>
      </c>
      <c r="AJ165" s="124" t="str">
        <f>IF($B165="","",IF(AJ$3=0,"n.b.",INDEX(SRC_Woningetalage!$A$1:$ZZ$501,$A165,AJ$3)))</f>
        <v/>
      </c>
      <c r="AK165" s="124" t="str">
        <f>IF($B165="","",IF(AK$3=0,"n.b.",INDEX(SRC_Woningetalage!$A$1:$ZZ$501,$A165,AK$3)))</f>
        <v/>
      </c>
      <c r="AL165" s="124" t="str">
        <f>IF($B165="","",IF(AL$3=0,"n.b.",INDEX(SRC_Woningetalage!$A$1:$ZZ$501,$A165,AL$3)))</f>
        <v/>
      </c>
      <c r="AM165" s="124" t="str">
        <f>IF($B165="","",IF(AM$3=0,"n.b.",INDEX(SRC_Woningetalage!$A$1:$ZZ$501,$A165,AM$3)))</f>
        <v/>
      </c>
      <c r="AN165" s="124" t="str">
        <f>IF($B165="","",IF(AN$3=0,"n.b.",INDEX(SRC_Woningetalage!$A$1:$ZZ$501,$A165,AN$3)))</f>
        <v/>
      </c>
      <c r="AO165" s="124" t="str">
        <f>IF($B165="","",IF(AO$3=0,"n.b.",INDEX(SRC_Woningetalage!$A$1:$ZZ$501,$A165,AO$3)))</f>
        <v/>
      </c>
      <c r="AP165" s="124" t="str">
        <f>IF($B165="","",IF(AP$3=0,"n.b.",INDEX(SRC_Woningetalage!$A$1:$ZZ$501,$A165,AP$3)))</f>
        <v/>
      </c>
      <c r="AQ165" s="124" t="str">
        <f>IF($B165="","",IF(AQ$3=0,"n.b.",INDEX(SRC_Woningetalage!$A$1:$ZZ$501,$A165,AQ$3)))</f>
        <v/>
      </c>
      <c r="AR165" s="124" t="str">
        <f>IF($B165="","",IF(AR$3=0,"n.b.",INDEX(SRC_Woningetalage!$A$1:$ZZ$501,$A165,AR$3)))</f>
        <v/>
      </c>
      <c r="AS165" s="124" t="str">
        <f>IF($B165="","",IF(AS$3=0,"n.b.",INDEX(SRC_Woningetalage!$A$1:$ZZ$501,$A165,AS$3)))</f>
        <v/>
      </c>
      <c r="AT165" s="124" t="str">
        <f>IF($B165="","",IF(AT$3=0,"n.b.",INDEX(SRC_Woningetalage!$A$1:$ZZ$501,$A165,AT$3)))</f>
        <v/>
      </c>
      <c r="AU165" s="124" t="str">
        <f>IF($B165="","",IF(AU$3=0,"n.b.",INDEX(SRC_Woningetalage!$A$1:$ZZ$501,$A165,AU$3)))</f>
        <v/>
      </c>
      <c r="AV165" s="124" t="str">
        <f>IF($B165="","",IF(AV$3=0,"n.b.",INDEX(SRC_Woningetalage!$A$1:$ZZ$501,$A165,AV$3)))</f>
        <v/>
      </c>
      <c r="AW165" s="124" t="str">
        <f>IF($B165="","",IF(AW$3=0,"n.b.",INDEX(SRC_Woningetalage!$A$1:$ZZ$501,$A165,AW$3)))</f>
        <v/>
      </c>
      <c r="AX165" s="124" t="str">
        <f>IF($B165="","",IF(AX$3=0,"n.b.",INDEX(SRC_Woningetalage!$A$1:$ZZ$501,$A165,AX$3)))</f>
        <v/>
      </c>
      <c r="AY165" s="124" t="str">
        <f>IF($B165="","",IF(AY$3=0,"n.b.",INDEX(SRC_Woningetalage!$A$1:$ZZ$501,$A165,AY$3)))</f>
        <v/>
      </c>
      <c r="AZ165" s="124" t="str">
        <f>IF($B165="","",IF(AZ$3=0,"n.b.",INDEX(SRC_Woningetalage!$A$1:$ZZ$501,$A165,AZ$3)))</f>
        <v/>
      </c>
      <c r="BA165" s="124" t="str">
        <f>IF($B165="","",IF(BA$3=0,"n.b.",INDEX(SRC_Woningetalage!$A$1:$ZZ$501,$A165,BA$3)))</f>
        <v/>
      </c>
      <c r="BB165" s="124" t="str">
        <f>IF($B165="","",IF(BB$3=0,"n.b.",INDEX(SRC_Woningetalage!$A$1:$ZZ$501,$A165,BB$3)))</f>
        <v/>
      </c>
      <c r="BC165" s="124" t="str">
        <f>IF($B165="","",IFERROR(_xlfn.NUMBERVALUE(E165&amp;"",",","."),"n.b."))</f>
        <v/>
      </c>
      <c r="BD165" s="124" t="str">
        <f>IF($B165="","",IFERROR(_xlfn.NUMBERVALUE(M165&amp;"",",","."),"n.b."))</f>
        <v/>
      </c>
      <c r="BE165" s="124" t="str">
        <f>IF($B165="","",IFERROR(AB165+AC165+AD165,"n.b."))</f>
        <v/>
      </c>
      <c r="BF165" s="124" t="str">
        <f>IF($B165="","",IFERROR(AE165+AF165+AG165,"n.b."))</f>
        <v/>
      </c>
      <c r="BG165" s="124" t="str">
        <f>IF($B165="","",IFERROR(AH165+AI165+AJ165,"n.b."))</f>
        <v/>
      </c>
      <c r="BH165" s="124" t="str">
        <f>IF($B165="","",IFERROR(AK165+AL165+AM165,"n.b."))</f>
        <v/>
      </c>
      <c r="BI165" s="124" t="str">
        <f>IF($B165="","",IFERROR(SUMIF($AB$5:$AM$5,"&lt;="&amp;P_PeilMaand,AB165:AM165),"n.b."))</f>
        <v/>
      </c>
      <c r="BJ165" s="124" t="str">
        <f>IF($B165="","",IFERROR(SUM(AB165:AM165)-BI165,"n.b."))</f>
        <v/>
      </c>
      <c r="BK165" s="124" t="str">
        <f>IF($B165="","",IFERROR(IF(ABS(Q165-(T165+SUM(AB165:AM165)+AS165+AU165))&gt;P_Tol,1,0),1))</f>
        <v/>
      </c>
      <c r="BL165" s="124" t="str">
        <f>IF($B165="","",IFERROR(IF(ABS(AA165-(Q165-Z165))&gt;P_Tol,1,0),1))</f>
        <v/>
      </c>
      <c r="BM165" s="124" t="str">
        <f>IF($B165="","",IFERROR(IF(ABS(Z165-(T165+W165))&gt;P_Tol,1,0),1))</f>
        <v/>
      </c>
      <c r="BN165" s="124" t="str">
        <f>IF($B165="","",IFERROR(IF(ABS(W165-BI165)&gt;P_Tol,1,0),1))</f>
        <v/>
      </c>
      <c r="BO165" s="124" t="str">
        <f>IF($B165="","",IFERROR(IF(OR(ABS(R165+S165-T165)&gt;P_Tol,ABS(U165+V165-W165)&gt;P_Tol,ABS(X165+Y165-Z165)&gt;P_Tol),1,0),1))</f>
        <v/>
      </c>
      <c r="BP165" s="124" t="str">
        <f>IF($B165="","",IFERROR(IF(OR(ABS(AR165-SUM(AB165:AM165))&gt;P_Tol,ABS(AS165-(AN165+AO165+AP165+AQ165))&gt;P_Tol),1,0),1))</f>
        <v/>
      </c>
      <c r="BQ165" s="124" t="str">
        <f>IF($B165="","",IFERROR(IF(ABS(AT165)+ABS(AV165)+ABS(AW165)+ABS(AX165)+ABS(AY165)+ABS(AZ165)+ABS(BA165)+ABS(BB165)&gt;0,1,0),1))</f>
        <v/>
      </c>
      <c r="BR165" s="124" t="str">
        <f>IF($B165="","",COUNTIF(STG_ZPMW03!$B$6:$B$505,B165))</f>
        <v/>
      </c>
      <c r="BS165" s="124" t="str">
        <f>IF($B165="","",COUNTIF($B$6:$B$505,B165))</f>
        <v/>
      </c>
      <c r="BT165" s="124" t="str">
        <f>IF($B165="","",IF(BR165=0,0,IF(INDEX(STG_ZPMW03!$I$6:$I$505,MATCH(B165,STG_ZPMW03!$B$6:$B$505,0))=J165&amp;"",0,1)))</f>
        <v/>
      </c>
      <c r="BU165" s="124" t="str">
        <f>IF($B165="","",IFERROR(IF(ABS(INDEX(Mapping!$D$5:$D$104,MATCH(B165,Mapping!$A$5:$A$104,0))-Q165)&gt;P_Tol,1,0),0))</f>
        <v/>
      </c>
      <c r="BV165" s="124" t="str">
        <f>IF($B165="","",IFERROR(IF(AND(INDEX(Mapping!$G$5:$G$104,MATCH(B165,Mapping!$A$5:$A$104,0))="Nee",ABS(Q165)+ABS(Z165)+ABS(AR165)&gt;0),1,0),0))</f>
        <v/>
      </c>
      <c r="BW165" s="124" t="str">
        <f>IF($B165="","",IF(COUNTIF(Mapping!$A$5:$A$104,B165)&gt;0,1,0))</f>
        <v/>
      </c>
      <c r="BX165" s="124" t="str">
        <f>IF($B165="","",IF(BR165=0,COUNTIF($BR$6:BR165,0),""))</f>
        <v/>
      </c>
    </row>
    <row r="166">
      <c r="A166" s="15" t="n">
        <v>162</v>
      </c>
      <c r="B166" t="str">
        <f>IF(B$3=0,"",IF(INDEX(SRC_Woningetalage!$A$1:$ZZ$501,$A166,B$3)&amp;""="","",INDEX(SRC_Woningetalage!$A$1:$ZZ$501,$A166,B$3)&amp;""))</f>
        <v/>
      </c>
      <c r="C166" t="str">
        <f>IF($B166="","",IF(C$3=0,"n.b.",INDEX(SRC_Woningetalage!$A$1:$ZZ$501,$A166,C$3)))</f>
        <v/>
      </c>
      <c r="D166" t="str">
        <f>IF($B166="","",IF(D$3=0,"n.b.",INDEX(SRC_Woningetalage!$A$1:$ZZ$501,$A166,D$3)))</f>
        <v/>
      </c>
      <c r="E166" t="str">
        <f>IF($B166="","",IF(E$3=0,"n.b.",INDEX(SRC_Woningetalage!$A$1:$ZZ$501,$A166,E$3)))</f>
        <v/>
      </c>
      <c r="F166" t="str">
        <f>IF($B166="","",IF(F$3=0,"n.b.",INDEX(SRC_Woningetalage!$A$1:$ZZ$501,$A166,F$3)))</f>
        <v/>
      </c>
      <c r="G166" t="str">
        <f>IF($B166="","",IF(G$3=0,"n.b.",INDEX(SRC_Woningetalage!$A$1:$ZZ$501,$A166,G$3)))</f>
        <v/>
      </c>
      <c r="H166" t="str">
        <f>IF($B166="","",IF(H$3=0,"n.b.",INDEX(SRC_Woningetalage!$A$1:$ZZ$501,$A166,H$3)))</f>
        <v/>
      </c>
      <c r="I166" t="str">
        <f>IF($B166="","",IF(I$3=0,"n.b.",INDEX(SRC_Woningetalage!$A$1:$ZZ$501,$A166,I$3)))</f>
        <v/>
      </c>
      <c r="J166" t="str">
        <f>IF($B166="","",IF(J$3=0,"n.b.",INDEX(SRC_Woningetalage!$A$1:$ZZ$501,$A166,J$3)))</f>
        <v/>
      </c>
      <c r="K166" t="str">
        <f>IF($B166="","",IF(K$3=0,"n.b.",INDEX(SRC_Woningetalage!$A$1:$ZZ$501,$A166,K$3)))</f>
        <v/>
      </c>
      <c r="L166" t="str">
        <f>IF($B166="","",IF(L$3=0,"n.b.",INDEX(SRC_Woningetalage!$A$1:$ZZ$501,$A166,L$3)))</f>
        <v/>
      </c>
      <c r="M166" t="str">
        <f>IF($B166="","",IF(M$3=0,"n.b.",INDEX(SRC_Woningetalage!$A$1:$ZZ$501,$A166,M$3)))</f>
        <v/>
      </c>
      <c r="N166" t="str">
        <f>IF($B166="","",IF(N$3=0,"n.b.",INDEX(SRC_Woningetalage!$A$1:$ZZ$501,$A166,N$3)))</f>
        <v/>
      </c>
      <c r="O166" t="str">
        <f>IF($B166="","",IF(O$3=0,"n.b.",INDEX(SRC_Woningetalage!$A$1:$ZZ$501,$A166,O$3)))</f>
        <v/>
      </c>
      <c r="P166" t="str">
        <f>IF($B166="","",IF(P$3=0,"n.b.",INDEX(SRC_Woningetalage!$A$1:$ZZ$501,$A166,P$3)))</f>
        <v/>
      </c>
      <c r="Q166" s="124" t="str">
        <f>IF($B166="","",IF(Q$3=0,"n.b.",INDEX(SRC_Woningetalage!$A$1:$ZZ$501,$A166,Q$3)))</f>
        <v/>
      </c>
      <c r="R166" s="124" t="str">
        <f>IF($B166="","",IF(R$3=0,"n.b.",INDEX(SRC_Woningetalage!$A$1:$ZZ$501,$A166,R$3)))</f>
        <v/>
      </c>
      <c r="S166" s="124" t="str">
        <f>IF($B166="","",IF(S$3=0,"n.b.",INDEX(SRC_Woningetalage!$A$1:$ZZ$501,$A166,S$3)))</f>
        <v/>
      </c>
      <c r="T166" s="124" t="str">
        <f>IF($B166="","",IF(T$3=0,"n.b.",INDEX(SRC_Woningetalage!$A$1:$ZZ$501,$A166,T$3)))</f>
        <v/>
      </c>
      <c r="U166" s="124" t="str">
        <f>IF($B166="","",IF(U$3=0,"n.b.",INDEX(SRC_Woningetalage!$A$1:$ZZ$501,$A166,U$3)))</f>
        <v/>
      </c>
      <c r="V166" s="124" t="str">
        <f>IF($B166="","",IF(V$3=0,"n.b.",INDEX(SRC_Woningetalage!$A$1:$ZZ$501,$A166,V$3)))</f>
        <v/>
      </c>
      <c r="W166" s="124" t="str">
        <f>IF($B166="","",IF(W$3=0,"n.b.",INDEX(SRC_Woningetalage!$A$1:$ZZ$501,$A166,W$3)))</f>
        <v/>
      </c>
      <c r="X166" s="124" t="str">
        <f>IF($B166="","",IF(X$3=0,"n.b.",INDEX(SRC_Woningetalage!$A$1:$ZZ$501,$A166,X$3)))</f>
        <v/>
      </c>
      <c r="Y166" s="124" t="str">
        <f>IF($B166="","",IF(Y$3=0,"n.b.",INDEX(SRC_Woningetalage!$A$1:$ZZ$501,$A166,Y$3)))</f>
        <v/>
      </c>
      <c r="Z166" s="124" t="str">
        <f>IF($B166="","",IF(Z$3=0,"n.b.",INDEX(SRC_Woningetalage!$A$1:$ZZ$501,$A166,Z$3)))</f>
        <v/>
      </c>
      <c r="AA166" s="124" t="str">
        <f>IF($B166="","",IF(AA$3=0,"n.b.",INDEX(SRC_Woningetalage!$A$1:$ZZ$501,$A166,AA$3)))</f>
        <v/>
      </c>
      <c r="AB166" s="124" t="str">
        <f>IF($B166="","",IF(AB$3=0,"n.b.",INDEX(SRC_Woningetalage!$A$1:$ZZ$501,$A166,AB$3)))</f>
        <v/>
      </c>
      <c r="AC166" s="124" t="str">
        <f>IF($B166="","",IF(AC$3=0,"n.b.",INDEX(SRC_Woningetalage!$A$1:$ZZ$501,$A166,AC$3)))</f>
        <v/>
      </c>
      <c r="AD166" s="124" t="str">
        <f>IF($B166="","",IF(AD$3=0,"n.b.",INDEX(SRC_Woningetalage!$A$1:$ZZ$501,$A166,AD$3)))</f>
        <v/>
      </c>
      <c r="AE166" s="124" t="str">
        <f>IF($B166="","",IF(AE$3=0,"n.b.",INDEX(SRC_Woningetalage!$A$1:$ZZ$501,$A166,AE$3)))</f>
        <v/>
      </c>
      <c r="AF166" s="124" t="str">
        <f>IF($B166="","",IF(AF$3=0,"n.b.",INDEX(SRC_Woningetalage!$A$1:$ZZ$501,$A166,AF$3)))</f>
        <v/>
      </c>
      <c r="AG166" s="124" t="str">
        <f>IF($B166="","",IF(AG$3=0,"n.b.",INDEX(SRC_Woningetalage!$A$1:$ZZ$501,$A166,AG$3)))</f>
        <v/>
      </c>
      <c r="AH166" s="124" t="str">
        <f>IF($B166="","",IF(AH$3=0,"n.b.",INDEX(SRC_Woningetalage!$A$1:$ZZ$501,$A166,AH$3)))</f>
        <v/>
      </c>
      <c r="AI166" s="124" t="str">
        <f>IF($B166="","",IF(AI$3=0,"n.b.",INDEX(SRC_Woningetalage!$A$1:$ZZ$501,$A166,AI$3)))</f>
        <v/>
      </c>
      <c r="AJ166" s="124" t="str">
        <f>IF($B166="","",IF(AJ$3=0,"n.b.",INDEX(SRC_Woningetalage!$A$1:$ZZ$501,$A166,AJ$3)))</f>
        <v/>
      </c>
      <c r="AK166" s="124" t="str">
        <f>IF($B166="","",IF(AK$3=0,"n.b.",INDEX(SRC_Woningetalage!$A$1:$ZZ$501,$A166,AK$3)))</f>
        <v/>
      </c>
      <c r="AL166" s="124" t="str">
        <f>IF($B166="","",IF(AL$3=0,"n.b.",INDEX(SRC_Woningetalage!$A$1:$ZZ$501,$A166,AL$3)))</f>
        <v/>
      </c>
      <c r="AM166" s="124" t="str">
        <f>IF($B166="","",IF(AM$3=0,"n.b.",INDEX(SRC_Woningetalage!$A$1:$ZZ$501,$A166,AM$3)))</f>
        <v/>
      </c>
      <c r="AN166" s="124" t="str">
        <f>IF($B166="","",IF(AN$3=0,"n.b.",INDEX(SRC_Woningetalage!$A$1:$ZZ$501,$A166,AN$3)))</f>
        <v/>
      </c>
      <c r="AO166" s="124" t="str">
        <f>IF($B166="","",IF(AO$3=0,"n.b.",INDEX(SRC_Woningetalage!$A$1:$ZZ$501,$A166,AO$3)))</f>
        <v/>
      </c>
      <c r="AP166" s="124" t="str">
        <f>IF($B166="","",IF(AP$3=0,"n.b.",INDEX(SRC_Woningetalage!$A$1:$ZZ$501,$A166,AP$3)))</f>
        <v/>
      </c>
      <c r="AQ166" s="124" t="str">
        <f>IF($B166="","",IF(AQ$3=0,"n.b.",INDEX(SRC_Woningetalage!$A$1:$ZZ$501,$A166,AQ$3)))</f>
        <v/>
      </c>
      <c r="AR166" s="124" t="str">
        <f>IF($B166="","",IF(AR$3=0,"n.b.",INDEX(SRC_Woningetalage!$A$1:$ZZ$501,$A166,AR$3)))</f>
        <v/>
      </c>
      <c r="AS166" s="124" t="str">
        <f>IF($B166="","",IF(AS$3=0,"n.b.",INDEX(SRC_Woningetalage!$A$1:$ZZ$501,$A166,AS$3)))</f>
        <v/>
      </c>
      <c r="AT166" s="124" t="str">
        <f>IF($B166="","",IF(AT$3=0,"n.b.",INDEX(SRC_Woningetalage!$A$1:$ZZ$501,$A166,AT$3)))</f>
        <v/>
      </c>
      <c r="AU166" s="124" t="str">
        <f>IF($B166="","",IF(AU$3=0,"n.b.",INDEX(SRC_Woningetalage!$A$1:$ZZ$501,$A166,AU$3)))</f>
        <v/>
      </c>
      <c r="AV166" s="124" t="str">
        <f>IF($B166="","",IF(AV$3=0,"n.b.",INDEX(SRC_Woningetalage!$A$1:$ZZ$501,$A166,AV$3)))</f>
        <v/>
      </c>
      <c r="AW166" s="124" t="str">
        <f>IF($B166="","",IF(AW$3=0,"n.b.",INDEX(SRC_Woningetalage!$A$1:$ZZ$501,$A166,AW$3)))</f>
        <v/>
      </c>
      <c r="AX166" s="124" t="str">
        <f>IF($B166="","",IF(AX$3=0,"n.b.",INDEX(SRC_Woningetalage!$A$1:$ZZ$501,$A166,AX$3)))</f>
        <v/>
      </c>
      <c r="AY166" s="124" t="str">
        <f>IF($B166="","",IF(AY$3=0,"n.b.",INDEX(SRC_Woningetalage!$A$1:$ZZ$501,$A166,AY$3)))</f>
        <v/>
      </c>
      <c r="AZ166" s="124" t="str">
        <f>IF($B166="","",IF(AZ$3=0,"n.b.",INDEX(SRC_Woningetalage!$A$1:$ZZ$501,$A166,AZ$3)))</f>
        <v/>
      </c>
      <c r="BA166" s="124" t="str">
        <f>IF($B166="","",IF(BA$3=0,"n.b.",INDEX(SRC_Woningetalage!$A$1:$ZZ$501,$A166,BA$3)))</f>
        <v/>
      </c>
      <c r="BB166" s="124" t="str">
        <f>IF($B166="","",IF(BB$3=0,"n.b.",INDEX(SRC_Woningetalage!$A$1:$ZZ$501,$A166,BB$3)))</f>
        <v/>
      </c>
      <c r="BC166" s="124" t="str">
        <f>IF($B166="","",IFERROR(_xlfn.NUMBERVALUE(E166&amp;"",",","."),"n.b."))</f>
        <v/>
      </c>
      <c r="BD166" s="124" t="str">
        <f>IF($B166="","",IFERROR(_xlfn.NUMBERVALUE(M166&amp;"",",","."),"n.b."))</f>
        <v/>
      </c>
      <c r="BE166" s="124" t="str">
        <f>IF($B166="","",IFERROR(AB166+AC166+AD166,"n.b."))</f>
        <v/>
      </c>
      <c r="BF166" s="124" t="str">
        <f>IF($B166="","",IFERROR(AE166+AF166+AG166,"n.b."))</f>
        <v/>
      </c>
      <c r="BG166" s="124" t="str">
        <f>IF($B166="","",IFERROR(AH166+AI166+AJ166,"n.b."))</f>
        <v/>
      </c>
      <c r="BH166" s="124" t="str">
        <f>IF($B166="","",IFERROR(AK166+AL166+AM166,"n.b."))</f>
        <v/>
      </c>
      <c r="BI166" s="124" t="str">
        <f>IF($B166="","",IFERROR(SUMIF($AB$5:$AM$5,"&lt;="&amp;P_PeilMaand,AB166:AM166),"n.b."))</f>
        <v/>
      </c>
      <c r="BJ166" s="124" t="str">
        <f>IF($B166="","",IFERROR(SUM(AB166:AM166)-BI166,"n.b."))</f>
        <v/>
      </c>
      <c r="BK166" s="124" t="str">
        <f>IF($B166="","",IFERROR(IF(ABS(Q166-(T166+SUM(AB166:AM166)+AS166+AU166))&gt;P_Tol,1,0),1))</f>
        <v/>
      </c>
      <c r="BL166" s="124" t="str">
        <f>IF($B166="","",IFERROR(IF(ABS(AA166-(Q166-Z166))&gt;P_Tol,1,0),1))</f>
        <v/>
      </c>
      <c r="BM166" s="124" t="str">
        <f>IF($B166="","",IFERROR(IF(ABS(Z166-(T166+W166))&gt;P_Tol,1,0),1))</f>
        <v/>
      </c>
      <c r="BN166" s="124" t="str">
        <f>IF($B166="","",IFERROR(IF(ABS(W166-BI166)&gt;P_Tol,1,0),1))</f>
        <v/>
      </c>
      <c r="BO166" s="124" t="str">
        <f>IF($B166="","",IFERROR(IF(OR(ABS(R166+S166-T166)&gt;P_Tol,ABS(U166+V166-W166)&gt;P_Tol,ABS(X166+Y166-Z166)&gt;P_Tol),1,0),1))</f>
        <v/>
      </c>
      <c r="BP166" s="124" t="str">
        <f>IF($B166="","",IFERROR(IF(OR(ABS(AR166-SUM(AB166:AM166))&gt;P_Tol,ABS(AS166-(AN166+AO166+AP166+AQ166))&gt;P_Tol),1,0),1))</f>
        <v/>
      </c>
      <c r="BQ166" s="124" t="str">
        <f>IF($B166="","",IFERROR(IF(ABS(AT166)+ABS(AV166)+ABS(AW166)+ABS(AX166)+ABS(AY166)+ABS(AZ166)+ABS(BA166)+ABS(BB166)&gt;0,1,0),1))</f>
        <v/>
      </c>
      <c r="BR166" s="124" t="str">
        <f>IF($B166="","",COUNTIF(STG_ZPMW03!$B$6:$B$505,B166))</f>
        <v/>
      </c>
      <c r="BS166" s="124" t="str">
        <f>IF($B166="","",COUNTIF($B$6:$B$505,B166))</f>
        <v/>
      </c>
      <c r="BT166" s="124" t="str">
        <f>IF($B166="","",IF(BR166=0,0,IF(INDEX(STG_ZPMW03!$I$6:$I$505,MATCH(B166,STG_ZPMW03!$B$6:$B$505,0))=J166&amp;"",0,1)))</f>
        <v/>
      </c>
      <c r="BU166" s="124" t="str">
        <f>IF($B166="","",IFERROR(IF(ABS(INDEX(Mapping!$D$5:$D$104,MATCH(B166,Mapping!$A$5:$A$104,0))-Q166)&gt;P_Tol,1,0),0))</f>
        <v/>
      </c>
      <c r="BV166" s="124" t="str">
        <f>IF($B166="","",IFERROR(IF(AND(INDEX(Mapping!$G$5:$G$104,MATCH(B166,Mapping!$A$5:$A$104,0))="Nee",ABS(Q166)+ABS(Z166)+ABS(AR166)&gt;0),1,0),0))</f>
        <v/>
      </c>
      <c r="BW166" s="124" t="str">
        <f>IF($B166="","",IF(COUNTIF(Mapping!$A$5:$A$104,B166)&gt;0,1,0))</f>
        <v/>
      </c>
      <c r="BX166" s="124" t="str">
        <f>IF($B166="","",IF(BR166=0,COUNTIF($BR$6:BR166,0),""))</f>
        <v/>
      </c>
    </row>
    <row r="167">
      <c r="A167" s="15" t="n">
        <v>163</v>
      </c>
      <c r="B167" t="str">
        <f>IF(B$3=0,"",IF(INDEX(SRC_Woningetalage!$A$1:$ZZ$501,$A167,B$3)&amp;""="","",INDEX(SRC_Woningetalage!$A$1:$ZZ$501,$A167,B$3)&amp;""))</f>
        <v/>
      </c>
      <c r="C167" t="str">
        <f>IF($B167="","",IF(C$3=0,"n.b.",INDEX(SRC_Woningetalage!$A$1:$ZZ$501,$A167,C$3)))</f>
        <v/>
      </c>
      <c r="D167" t="str">
        <f>IF($B167="","",IF(D$3=0,"n.b.",INDEX(SRC_Woningetalage!$A$1:$ZZ$501,$A167,D$3)))</f>
        <v/>
      </c>
      <c r="E167" t="str">
        <f>IF($B167="","",IF(E$3=0,"n.b.",INDEX(SRC_Woningetalage!$A$1:$ZZ$501,$A167,E$3)))</f>
        <v/>
      </c>
      <c r="F167" t="str">
        <f>IF($B167="","",IF(F$3=0,"n.b.",INDEX(SRC_Woningetalage!$A$1:$ZZ$501,$A167,F$3)))</f>
        <v/>
      </c>
      <c r="G167" t="str">
        <f>IF($B167="","",IF(G$3=0,"n.b.",INDEX(SRC_Woningetalage!$A$1:$ZZ$501,$A167,G$3)))</f>
        <v/>
      </c>
      <c r="H167" t="str">
        <f>IF($B167="","",IF(H$3=0,"n.b.",INDEX(SRC_Woningetalage!$A$1:$ZZ$501,$A167,H$3)))</f>
        <v/>
      </c>
      <c r="I167" t="str">
        <f>IF($B167="","",IF(I$3=0,"n.b.",INDEX(SRC_Woningetalage!$A$1:$ZZ$501,$A167,I$3)))</f>
        <v/>
      </c>
      <c r="J167" t="str">
        <f>IF($B167="","",IF(J$3=0,"n.b.",INDEX(SRC_Woningetalage!$A$1:$ZZ$501,$A167,J$3)))</f>
        <v/>
      </c>
      <c r="K167" t="str">
        <f>IF($B167="","",IF(K$3=0,"n.b.",INDEX(SRC_Woningetalage!$A$1:$ZZ$501,$A167,K$3)))</f>
        <v/>
      </c>
      <c r="L167" t="str">
        <f>IF($B167="","",IF(L$3=0,"n.b.",INDEX(SRC_Woningetalage!$A$1:$ZZ$501,$A167,L$3)))</f>
        <v/>
      </c>
      <c r="M167" t="str">
        <f>IF($B167="","",IF(M$3=0,"n.b.",INDEX(SRC_Woningetalage!$A$1:$ZZ$501,$A167,M$3)))</f>
        <v/>
      </c>
      <c r="N167" t="str">
        <f>IF($B167="","",IF(N$3=0,"n.b.",INDEX(SRC_Woningetalage!$A$1:$ZZ$501,$A167,N$3)))</f>
        <v/>
      </c>
      <c r="O167" t="str">
        <f>IF($B167="","",IF(O$3=0,"n.b.",INDEX(SRC_Woningetalage!$A$1:$ZZ$501,$A167,O$3)))</f>
        <v/>
      </c>
      <c r="P167" t="str">
        <f>IF($B167="","",IF(P$3=0,"n.b.",INDEX(SRC_Woningetalage!$A$1:$ZZ$501,$A167,P$3)))</f>
        <v/>
      </c>
      <c r="Q167" s="124" t="str">
        <f>IF($B167="","",IF(Q$3=0,"n.b.",INDEX(SRC_Woningetalage!$A$1:$ZZ$501,$A167,Q$3)))</f>
        <v/>
      </c>
      <c r="R167" s="124" t="str">
        <f>IF($B167="","",IF(R$3=0,"n.b.",INDEX(SRC_Woningetalage!$A$1:$ZZ$501,$A167,R$3)))</f>
        <v/>
      </c>
      <c r="S167" s="124" t="str">
        <f>IF($B167="","",IF(S$3=0,"n.b.",INDEX(SRC_Woningetalage!$A$1:$ZZ$501,$A167,S$3)))</f>
        <v/>
      </c>
      <c r="T167" s="124" t="str">
        <f>IF($B167="","",IF(T$3=0,"n.b.",INDEX(SRC_Woningetalage!$A$1:$ZZ$501,$A167,T$3)))</f>
        <v/>
      </c>
      <c r="U167" s="124" t="str">
        <f>IF($B167="","",IF(U$3=0,"n.b.",INDEX(SRC_Woningetalage!$A$1:$ZZ$501,$A167,U$3)))</f>
        <v/>
      </c>
      <c r="V167" s="124" t="str">
        <f>IF($B167="","",IF(V$3=0,"n.b.",INDEX(SRC_Woningetalage!$A$1:$ZZ$501,$A167,V$3)))</f>
        <v/>
      </c>
      <c r="W167" s="124" t="str">
        <f>IF($B167="","",IF(W$3=0,"n.b.",INDEX(SRC_Woningetalage!$A$1:$ZZ$501,$A167,W$3)))</f>
        <v/>
      </c>
      <c r="X167" s="124" t="str">
        <f>IF($B167="","",IF(X$3=0,"n.b.",INDEX(SRC_Woningetalage!$A$1:$ZZ$501,$A167,X$3)))</f>
        <v/>
      </c>
      <c r="Y167" s="124" t="str">
        <f>IF($B167="","",IF(Y$3=0,"n.b.",INDEX(SRC_Woningetalage!$A$1:$ZZ$501,$A167,Y$3)))</f>
        <v/>
      </c>
      <c r="Z167" s="124" t="str">
        <f>IF($B167="","",IF(Z$3=0,"n.b.",INDEX(SRC_Woningetalage!$A$1:$ZZ$501,$A167,Z$3)))</f>
        <v/>
      </c>
      <c r="AA167" s="124" t="str">
        <f>IF($B167="","",IF(AA$3=0,"n.b.",INDEX(SRC_Woningetalage!$A$1:$ZZ$501,$A167,AA$3)))</f>
        <v/>
      </c>
      <c r="AB167" s="124" t="str">
        <f>IF($B167="","",IF(AB$3=0,"n.b.",INDEX(SRC_Woningetalage!$A$1:$ZZ$501,$A167,AB$3)))</f>
        <v/>
      </c>
      <c r="AC167" s="124" t="str">
        <f>IF($B167="","",IF(AC$3=0,"n.b.",INDEX(SRC_Woningetalage!$A$1:$ZZ$501,$A167,AC$3)))</f>
        <v/>
      </c>
      <c r="AD167" s="124" t="str">
        <f>IF($B167="","",IF(AD$3=0,"n.b.",INDEX(SRC_Woningetalage!$A$1:$ZZ$501,$A167,AD$3)))</f>
        <v/>
      </c>
      <c r="AE167" s="124" t="str">
        <f>IF($B167="","",IF(AE$3=0,"n.b.",INDEX(SRC_Woningetalage!$A$1:$ZZ$501,$A167,AE$3)))</f>
        <v/>
      </c>
      <c r="AF167" s="124" t="str">
        <f>IF($B167="","",IF(AF$3=0,"n.b.",INDEX(SRC_Woningetalage!$A$1:$ZZ$501,$A167,AF$3)))</f>
        <v/>
      </c>
      <c r="AG167" s="124" t="str">
        <f>IF($B167="","",IF(AG$3=0,"n.b.",INDEX(SRC_Woningetalage!$A$1:$ZZ$501,$A167,AG$3)))</f>
        <v/>
      </c>
      <c r="AH167" s="124" t="str">
        <f>IF($B167="","",IF(AH$3=0,"n.b.",INDEX(SRC_Woningetalage!$A$1:$ZZ$501,$A167,AH$3)))</f>
        <v/>
      </c>
      <c r="AI167" s="124" t="str">
        <f>IF($B167="","",IF(AI$3=0,"n.b.",INDEX(SRC_Woningetalage!$A$1:$ZZ$501,$A167,AI$3)))</f>
        <v/>
      </c>
      <c r="AJ167" s="124" t="str">
        <f>IF($B167="","",IF(AJ$3=0,"n.b.",INDEX(SRC_Woningetalage!$A$1:$ZZ$501,$A167,AJ$3)))</f>
        <v/>
      </c>
      <c r="AK167" s="124" t="str">
        <f>IF($B167="","",IF(AK$3=0,"n.b.",INDEX(SRC_Woningetalage!$A$1:$ZZ$501,$A167,AK$3)))</f>
        <v/>
      </c>
      <c r="AL167" s="124" t="str">
        <f>IF($B167="","",IF(AL$3=0,"n.b.",INDEX(SRC_Woningetalage!$A$1:$ZZ$501,$A167,AL$3)))</f>
        <v/>
      </c>
      <c r="AM167" s="124" t="str">
        <f>IF($B167="","",IF(AM$3=0,"n.b.",INDEX(SRC_Woningetalage!$A$1:$ZZ$501,$A167,AM$3)))</f>
        <v/>
      </c>
      <c r="AN167" s="124" t="str">
        <f>IF($B167="","",IF(AN$3=0,"n.b.",INDEX(SRC_Woningetalage!$A$1:$ZZ$501,$A167,AN$3)))</f>
        <v/>
      </c>
      <c r="AO167" s="124" t="str">
        <f>IF($B167="","",IF(AO$3=0,"n.b.",INDEX(SRC_Woningetalage!$A$1:$ZZ$501,$A167,AO$3)))</f>
        <v/>
      </c>
      <c r="AP167" s="124" t="str">
        <f>IF($B167="","",IF(AP$3=0,"n.b.",INDEX(SRC_Woningetalage!$A$1:$ZZ$501,$A167,AP$3)))</f>
        <v/>
      </c>
      <c r="AQ167" s="124" t="str">
        <f>IF($B167="","",IF(AQ$3=0,"n.b.",INDEX(SRC_Woningetalage!$A$1:$ZZ$501,$A167,AQ$3)))</f>
        <v/>
      </c>
      <c r="AR167" s="124" t="str">
        <f>IF($B167="","",IF(AR$3=0,"n.b.",INDEX(SRC_Woningetalage!$A$1:$ZZ$501,$A167,AR$3)))</f>
        <v/>
      </c>
      <c r="AS167" s="124" t="str">
        <f>IF($B167="","",IF(AS$3=0,"n.b.",INDEX(SRC_Woningetalage!$A$1:$ZZ$501,$A167,AS$3)))</f>
        <v/>
      </c>
      <c r="AT167" s="124" t="str">
        <f>IF($B167="","",IF(AT$3=0,"n.b.",INDEX(SRC_Woningetalage!$A$1:$ZZ$501,$A167,AT$3)))</f>
        <v/>
      </c>
      <c r="AU167" s="124" t="str">
        <f>IF($B167="","",IF(AU$3=0,"n.b.",INDEX(SRC_Woningetalage!$A$1:$ZZ$501,$A167,AU$3)))</f>
        <v/>
      </c>
      <c r="AV167" s="124" t="str">
        <f>IF($B167="","",IF(AV$3=0,"n.b.",INDEX(SRC_Woningetalage!$A$1:$ZZ$501,$A167,AV$3)))</f>
        <v/>
      </c>
      <c r="AW167" s="124" t="str">
        <f>IF($B167="","",IF(AW$3=0,"n.b.",INDEX(SRC_Woningetalage!$A$1:$ZZ$501,$A167,AW$3)))</f>
        <v/>
      </c>
      <c r="AX167" s="124" t="str">
        <f>IF($B167="","",IF(AX$3=0,"n.b.",INDEX(SRC_Woningetalage!$A$1:$ZZ$501,$A167,AX$3)))</f>
        <v/>
      </c>
      <c r="AY167" s="124" t="str">
        <f>IF($B167="","",IF(AY$3=0,"n.b.",INDEX(SRC_Woningetalage!$A$1:$ZZ$501,$A167,AY$3)))</f>
        <v/>
      </c>
      <c r="AZ167" s="124" t="str">
        <f>IF($B167="","",IF(AZ$3=0,"n.b.",INDEX(SRC_Woningetalage!$A$1:$ZZ$501,$A167,AZ$3)))</f>
        <v/>
      </c>
      <c r="BA167" s="124" t="str">
        <f>IF($B167="","",IF(BA$3=0,"n.b.",INDEX(SRC_Woningetalage!$A$1:$ZZ$501,$A167,BA$3)))</f>
        <v/>
      </c>
      <c r="BB167" s="124" t="str">
        <f>IF($B167="","",IF(BB$3=0,"n.b.",INDEX(SRC_Woningetalage!$A$1:$ZZ$501,$A167,BB$3)))</f>
        <v/>
      </c>
      <c r="BC167" s="124" t="str">
        <f>IF($B167="","",IFERROR(_xlfn.NUMBERVALUE(E167&amp;"",",","."),"n.b."))</f>
        <v/>
      </c>
      <c r="BD167" s="124" t="str">
        <f>IF($B167="","",IFERROR(_xlfn.NUMBERVALUE(M167&amp;"",",","."),"n.b."))</f>
        <v/>
      </c>
      <c r="BE167" s="124" t="str">
        <f>IF($B167="","",IFERROR(AB167+AC167+AD167,"n.b."))</f>
        <v/>
      </c>
      <c r="BF167" s="124" t="str">
        <f>IF($B167="","",IFERROR(AE167+AF167+AG167,"n.b."))</f>
        <v/>
      </c>
      <c r="BG167" s="124" t="str">
        <f>IF($B167="","",IFERROR(AH167+AI167+AJ167,"n.b."))</f>
        <v/>
      </c>
      <c r="BH167" s="124" t="str">
        <f>IF($B167="","",IFERROR(AK167+AL167+AM167,"n.b."))</f>
        <v/>
      </c>
      <c r="BI167" s="124" t="str">
        <f>IF($B167="","",IFERROR(SUMIF($AB$5:$AM$5,"&lt;="&amp;P_PeilMaand,AB167:AM167),"n.b."))</f>
        <v/>
      </c>
      <c r="BJ167" s="124" t="str">
        <f>IF($B167="","",IFERROR(SUM(AB167:AM167)-BI167,"n.b."))</f>
        <v/>
      </c>
      <c r="BK167" s="124" t="str">
        <f>IF($B167="","",IFERROR(IF(ABS(Q167-(T167+SUM(AB167:AM167)+AS167+AU167))&gt;P_Tol,1,0),1))</f>
        <v/>
      </c>
      <c r="BL167" s="124" t="str">
        <f>IF($B167="","",IFERROR(IF(ABS(AA167-(Q167-Z167))&gt;P_Tol,1,0),1))</f>
        <v/>
      </c>
      <c r="BM167" s="124" t="str">
        <f>IF($B167="","",IFERROR(IF(ABS(Z167-(T167+W167))&gt;P_Tol,1,0),1))</f>
        <v/>
      </c>
      <c r="BN167" s="124" t="str">
        <f>IF($B167="","",IFERROR(IF(ABS(W167-BI167)&gt;P_Tol,1,0),1))</f>
        <v/>
      </c>
      <c r="BO167" s="124" t="str">
        <f>IF($B167="","",IFERROR(IF(OR(ABS(R167+S167-T167)&gt;P_Tol,ABS(U167+V167-W167)&gt;P_Tol,ABS(X167+Y167-Z167)&gt;P_Tol),1,0),1))</f>
        <v/>
      </c>
      <c r="BP167" s="124" t="str">
        <f>IF($B167="","",IFERROR(IF(OR(ABS(AR167-SUM(AB167:AM167))&gt;P_Tol,ABS(AS167-(AN167+AO167+AP167+AQ167))&gt;P_Tol),1,0),1))</f>
        <v/>
      </c>
      <c r="BQ167" s="124" t="str">
        <f>IF($B167="","",IFERROR(IF(ABS(AT167)+ABS(AV167)+ABS(AW167)+ABS(AX167)+ABS(AY167)+ABS(AZ167)+ABS(BA167)+ABS(BB167)&gt;0,1,0),1))</f>
        <v/>
      </c>
      <c r="BR167" s="124" t="str">
        <f>IF($B167="","",COUNTIF(STG_ZPMW03!$B$6:$B$505,B167))</f>
        <v/>
      </c>
      <c r="BS167" s="124" t="str">
        <f>IF($B167="","",COUNTIF($B$6:$B$505,B167))</f>
        <v/>
      </c>
      <c r="BT167" s="124" t="str">
        <f>IF($B167="","",IF(BR167=0,0,IF(INDEX(STG_ZPMW03!$I$6:$I$505,MATCH(B167,STG_ZPMW03!$B$6:$B$505,0))=J167&amp;"",0,1)))</f>
        <v/>
      </c>
      <c r="BU167" s="124" t="str">
        <f>IF($B167="","",IFERROR(IF(ABS(INDEX(Mapping!$D$5:$D$104,MATCH(B167,Mapping!$A$5:$A$104,0))-Q167)&gt;P_Tol,1,0),0))</f>
        <v/>
      </c>
      <c r="BV167" s="124" t="str">
        <f>IF($B167="","",IFERROR(IF(AND(INDEX(Mapping!$G$5:$G$104,MATCH(B167,Mapping!$A$5:$A$104,0))="Nee",ABS(Q167)+ABS(Z167)+ABS(AR167)&gt;0),1,0),0))</f>
        <v/>
      </c>
      <c r="BW167" s="124" t="str">
        <f>IF($B167="","",IF(COUNTIF(Mapping!$A$5:$A$104,B167)&gt;0,1,0))</f>
        <v/>
      </c>
      <c r="BX167" s="124" t="str">
        <f>IF($B167="","",IF(BR167=0,COUNTIF($BR$6:BR167,0),""))</f>
        <v/>
      </c>
    </row>
    <row r="168">
      <c r="A168" s="15" t="n">
        <v>164</v>
      </c>
      <c r="B168" t="str">
        <f>IF(B$3=0,"",IF(INDEX(SRC_Woningetalage!$A$1:$ZZ$501,$A168,B$3)&amp;""="","",INDEX(SRC_Woningetalage!$A$1:$ZZ$501,$A168,B$3)&amp;""))</f>
        <v/>
      </c>
      <c r="C168" t="str">
        <f>IF($B168="","",IF(C$3=0,"n.b.",INDEX(SRC_Woningetalage!$A$1:$ZZ$501,$A168,C$3)))</f>
        <v/>
      </c>
      <c r="D168" t="str">
        <f>IF($B168="","",IF(D$3=0,"n.b.",INDEX(SRC_Woningetalage!$A$1:$ZZ$501,$A168,D$3)))</f>
        <v/>
      </c>
      <c r="E168" t="str">
        <f>IF($B168="","",IF(E$3=0,"n.b.",INDEX(SRC_Woningetalage!$A$1:$ZZ$501,$A168,E$3)))</f>
        <v/>
      </c>
      <c r="F168" t="str">
        <f>IF($B168="","",IF(F$3=0,"n.b.",INDEX(SRC_Woningetalage!$A$1:$ZZ$501,$A168,F$3)))</f>
        <v/>
      </c>
      <c r="G168" t="str">
        <f>IF($B168="","",IF(G$3=0,"n.b.",INDEX(SRC_Woningetalage!$A$1:$ZZ$501,$A168,G$3)))</f>
        <v/>
      </c>
      <c r="H168" t="str">
        <f>IF($B168="","",IF(H$3=0,"n.b.",INDEX(SRC_Woningetalage!$A$1:$ZZ$501,$A168,H$3)))</f>
        <v/>
      </c>
      <c r="I168" t="str">
        <f>IF($B168="","",IF(I$3=0,"n.b.",INDEX(SRC_Woningetalage!$A$1:$ZZ$501,$A168,I$3)))</f>
        <v/>
      </c>
      <c r="J168" t="str">
        <f>IF($B168="","",IF(J$3=0,"n.b.",INDEX(SRC_Woningetalage!$A$1:$ZZ$501,$A168,J$3)))</f>
        <v/>
      </c>
      <c r="K168" t="str">
        <f>IF($B168="","",IF(K$3=0,"n.b.",INDEX(SRC_Woningetalage!$A$1:$ZZ$501,$A168,K$3)))</f>
        <v/>
      </c>
      <c r="L168" t="str">
        <f>IF($B168="","",IF(L$3=0,"n.b.",INDEX(SRC_Woningetalage!$A$1:$ZZ$501,$A168,L$3)))</f>
        <v/>
      </c>
      <c r="M168" t="str">
        <f>IF($B168="","",IF(M$3=0,"n.b.",INDEX(SRC_Woningetalage!$A$1:$ZZ$501,$A168,M$3)))</f>
        <v/>
      </c>
      <c r="N168" t="str">
        <f>IF($B168="","",IF(N$3=0,"n.b.",INDEX(SRC_Woningetalage!$A$1:$ZZ$501,$A168,N$3)))</f>
        <v/>
      </c>
      <c r="O168" t="str">
        <f>IF($B168="","",IF(O$3=0,"n.b.",INDEX(SRC_Woningetalage!$A$1:$ZZ$501,$A168,O$3)))</f>
        <v/>
      </c>
      <c r="P168" t="str">
        <f>IF($B168="","",IF(P$3=0,"n.b.",INDEX(SRC_Woningetalage!$A$1:$ZZ$501,$A168,P$3)))</f>
        <v/>
      </c>
      <c r="Q168" s="124" t="str">
        <f>IF($B168="","",IF(Q$3=0,"n.b.",INDEX(SRC_Woningetalage!$A$1:$ZZ$501,$A168,Q$3)))</f>
        <v/>
      </c>
      <c r="R168" s="124" t="str">
        <f>IF($B168="","",IF(R$3=0,"n.b.",INDEX(SRC_Woningetalage!$A$1:$ZZ$501,$A168,R$3)))</f>
        <v/>
      </c>
      <c r="S168" s="124" t="str">
        <f>IF($B168="","",IF(S$3=0,"n.b.",INDEX(SRC_Woningetalage!$A$1:$ZZ$501,$A168,S$3)))</f>
        <v/>
      </c>
      <c r="T168" s="124" t="str">
        <f>IF($B168="","",IF(T$3=0,"n.b.",INDEX(SRC_Woningetalage!$A$1:$ZZ$501,$A168,T$3)))</f>
        <v/>
      </c>
      <c r="U168" s="124" t="str">
        <f>IF($B168="","",IF(U$3=0,"n.b.",INDEX(SRC_Woningetalage!$A$1:$ZZ$501,$A168,U$3)))</f>
        <v/>
      </c>
      <c r="V168" s="124" t="str">
        <f>IF($B168="","",IF(V$3=0,"n.b.",INDEX(SRC_Woningetalage!$A$1:$ZZ$501,$A168,V$3)))</f>
        <v/>
      </c>
      <c r="W168" s="124" t="str">
        <f>IF($B168="","",IF(W$3=0,"n.b.",INDEX(SRC_Woningetalage!$A$1:$ZZ$501,$A168,W$3)))</f>
        <v/>
      </c>
      <c r="X168" s="124" t="str">
        <f>IF($B168="","",IF(X$3=0,"n.b.",INDEX(SRC_Woningetalage!$A$1:$ZZ$501,$A168,X$3)))</f>
        <v/>
      </c>
      <c r="Y168" s="124" t="str">
        <f>IF($B168="","",IF(Y$3=0,"n.b.",INDEX(SRC_Woningetalage!$A$1:$ZZ$501,$A168,Y$3)))</f>
        <v/>
      </c>
      <c r="Z168" s="124" t="str">
        <f>IF($B168="","",IF(Z$3=0,"n.b.",INDEX(SRC_Woningetalage!$A$1:$ZZ$501,$A168,Z$3)))</f>
        <v/>
      </c>
      <c r="AA168" s="124" t="str">
        <f>IF($B168="","",IF(AA$3=0,"n.b.",INDEX(SRC_Woningetalage!$A$1:$ZZ$501,$A168,AA$3)))</f>
        <v/>
      </c>
      <c r="AB168" s="124" t="str">
        <f>IF($B168="","",IF(AB$3=0,"n.b.",INDEX(SRC_Woningetalage!$A$1:$ZZ$501,$A168,AB$3)))</f>
        <v/>
      </c>
      <c r="AC168" s="124" t="str">
        <f>IF($B168="","",IF(AC$3=0,"n.b.",INDEX(SRC_Woningetalage!$A$1:$ZZ$501,$A168,AC$3)))</f>
        <v/>
      </c>
      <c r="AD168" s="124" t="str">
        <f>IF($B168="","",IF(AD$3=0,"n.b.",INDEX(SRC_Woningetalage!$A$1:$ZZ$501,$A168,AD$3)))</f>
        <v/>
      </c>
      <c r="AE168" s="124" t="str">
        <f>IF($B168="","",IF(AE$3=0,"n.b.",INDEX(SRC_Woningetalage!$A$1:$ZZ$501,$A168,AE$3)))</f>
        <v/>
      </c>
      <c r="AF168" s="124" t="str">
        <f>IF($B168="","",IF(AF$3=0,"n.b.",INDEX(SRC_Woningetalage!$A$1:$ZZ$501,$A168,AF$3)))</f>
        <v/>
      </c>
      <c r="AG168" s="124" t="str">
        <f>IF($B168="","",IF(AG$3=0,"n.b.",INDEX(SRC_Woningetalage!$A$1:$ZZ$501,$A168,AG$3)))</f>
        <v/>
      </c>
      <c r="AH168" s="124" t="str">
        <f>IF($B168="","",IF(AH$3=0,"n.b.",INDEX(SRC_Woningetalage!$A$1:$ZZ$501,$A168,AH$3)))</f>
        <v/>
      </c>
      <c r="AI168" s="124" t="str">
        <f>IF($B168="","",IF(AI$3=0,"n.b.",INDEX(SRC_Woningetalage!$A$1:$ZZ$501,$A168,AI$3)))</f>
        <v/>
      </c>
      <c r="AJ168" s="124" t="str">
        <f>IF($B168="","",IF(AJ$3=0,"n.b.",INDEX(SRC_Woningetalage!$A$1:$ZZ$501,$A168,AJ$3)))</f>
        <v/>
      </c>
      <c r="AK168" s="124" t="str">
        <f>IF($B168="","",IF(AK$3=0,"n.b.",INDEX(SRC_Woningetalage!$A$1:$ZZ$501,$A168,AK$3)))</f>
        <v/>
      </c>
      <c r="AL168" s="124" t="str">
        <f>IF($B168="","",IF(AL$3=0,"n.b.",INDEX(SRC_Woningetalage!$A$1:$ZZ$501,$A168,AL$3)))</f>
        <v/>
      </c>
      <c r="AM168" s="124" t="str">
        <f>IF($B168="","",IF(AM$3=0,"n.b.",INDEX(SRC_Woningetalage!$A$1:$ZZ$501,$A168,AM$3)))</f>
        <v/>
      </c>
      <c r="AN168" s="124" t="str">
        <f>IF($B168="","",IF(AN$3=0,"n.b.",INDEX(SRC_Woningetalage!$A$1:$ZZ$501,$A168,AN$3)))</f>
        <v/>
      </c>
      <c r="AO168" s="124" t="str">
        <f>IF($B168="","",IF(AO$3=0,"n.b.",INDEX(SRC_Woningetalage!$A$1:$ZZ$501,$A168,AO$3)))</f>
        <v/>
      </c>
      <c r="AP168" s="124" t="str">
        <f>IF($B168="","",IF(AP$3=0,"n.b.",INDEX(SRC_Woningetalage!$A$1:$ZZ$501,$A168,AP$3)))</f>
        <v/>
      </c>
      <c r="AQ168" s="124" t="str">
        <f>IF($B168="","",IF(AQ$3=0,"n.b.",INDEX(SRC_Woningetalage!$A$1:$ZZ$501,$A168,AQ$3)))</f>
        <v/>
      </c>
      <c r="AR168" s="124" t="str">
        <f>IF($B168="","",IF(AR$3=0,"n.b.",INDEX(SRC_Woningetalage!$A$1:$ZZ$501,$A168,AR$3)))</f>
        <v/>
      </c>
      <c r="AS168" s="124" t="str">
        <f>IF($B168="","",IF(AS$3=0,"n.b.",INDEX(SRC_Woningetalage!$A$1:$ZZ$501,$A168,AS$3)))</f>
        <v/>
      </c>
      <c r="AT168" s="124" t="str">
        <f>IF($B168="","",IF(AT$3=0,"n.b.",INDEX(SRC_Woningetalage!$A$1:$ZZ$501,$A168,AT$3)))</f>
        <v/>
      </c>
      <c r="AU168" s="124" t="str">
        <f>IF($B168="","",IF(AU$3=0,"n.b.",INDEX(SRC_Woningetalage!$A$1:$ZZ$501,$A168,AU$3)))</f>
        <v/>
      </c>
      <c r="AV168" s="124" t="str">
        <f>IF($B168="","",IF(AV$3=0,"n.b.",INDEX(SRC_Woningetalage!$A$1:$ZZ$501,$A168,AV$3)))</f>
        <v/>
      </c>
      <c r="AW168" s="124" t="str">
        <f>IF($B168="","",IF(AW$3=0,"n.b.",INDEX(SRC_Woningetalage!$A$1:$ZZ$501,$A168,AW$3)))</f>
        <v/>
      </c>
      <c r="AX168" s="124" t="str">
        <f>IF($B168="","",IF(AX$3=0,"n.b.",INDEX(SRC_Woningetalage!$A$1:$ZZ$501,$A168,AX$3)))</f>
        <v/>
      </c>
      <c r="AY168" s="124" t="str">
        <f>IF($B168="","",IF(AY$3=0,"n.b.",INDEX(SRC_Woningetalage!$A$1:$ZZ$501,$A168,AY$3)))</f>
        <v/>
      </c>
      <c r="AZ168" s="124" t="str">
        <f>IF($B168="","",IF(AZ$3=0,"n.b.",INDEX(SRC_Woningetalage!$A$1:$ZZ$501,$A168,AZ$3)))</f>
        <v/>
      </c>
      <c r="BA168" s="124" t="str">
        <f>IF($B168="","",IF(BA$3=0,"n.b.",INDEX(SRC_Woningetalage!$A$1:$ZZ$501,$A168,BA$3)))</f>
        <v/>
      </c>
      <c r="BB168" s="124" t="str">
        <f>IF($B168="","",IF(BB$3=0,"n.b.",INDEX(SRC_Woningetalage!$A$1:$ZZ$501,$A168,BB$3)))</f>
        <v/>
      </c>
      <c r="BC168" s="124" t="str">
        <f>IF($B168="","",IFERROR(_xlfn.NUMBERVALUE(E168&amp;"",",","."),"n.b."))</f>
        <v/>
      </c>
      <c r="BD168" s="124" t="str">
        <f>IF($B168="","",IFERROR(_xlfn.NUMBERVALUE(M168&amp;"",",","."),"n.b."))</f>
        <v/>
      </c>
      <c r="BE168" s="124" t="str">
        <f>IF($B168="","",IFERROR(AB168+AC168+AD168,"n.b."))</f>
        <v/>
      </c>
      <c r="BF168" s="124" t="str">
        <f>IF($B168="","",IFERROR(AE168+AF168+AG168,"n.b."))</f>
        <v/>
      </c>
      <c r="BG168" s="124" t="str">
        <f>IF($B168="","",IFERROR(AH168+AI168+AJ168,"n.b."))</f>
        <v/>
      </c>
      <c r="BH168" s="124" t="str">
        <f>IF($B168="","",IFERROR(AK168+AL168+AM168,"n.b."))</f>
        <v/>
      </c>
      <c r="BI168" s="124" t="str">
        <f>IF($B168="","",IFERROR(SUMIF($AB$5:$AM$5,"&lt;="&amp;P_PeilMaand,AB168:AM168),"n.b."))</f>
        <v/>
      </c>
      <c r="BJ168" s="124" t="str">
        <f>IF($B168="","",IFERROR(SUM(AB168:AM168)-BI168,"n.b."))</f>
        <v/>
      </c>
      <c r="BK168" s="124" t="str">
        <f>IF($B168="","",IFERROR(IF(ABS(Q168-(T168+SUM(AB168:AM168)+AS168+AU168))&gt;P_Tol,1,0),1))</f>
        <v/>
      </c>
      <c r="BL168" s="124" t="str">
        <f>IF($B168="","",IFERROR(IF(ABS(AA168-(Q168-Z168))&gt;P_Tol,1,0),1))</f>
        <v/>
      </c>
      <c r="BM168" s="124" t="str">
        <f>IF($B168="","",IFERROR(IF(ABS(Z168-(T168+W168))&gt;P_Tol,1,0),1))</f>
        <v/>
      </c>
      <c r="BN168" s="124" t="str">
        <f>IF($B168="","",IFERROR(IF(ABS(W168-BI168)&gt;P_Tol,1,0),1))</f>
        <v/>
      </c>
      <c r="BO168" s="124" t="str">
        <f>IF($B168="","",IFERROR(IF(OR(ABS(R168+S168-T168)&gt;P_Tol,ABS(U168+V168-W168)&gt;P_Tol,ABS(X168+Y168-Z168)&gt;P_Tol),1,0),1))</f>
        <v/>
      </c>
      <c r="BP168" s="124" t="str">
        <f>IF($B168="","",IFERROR(IF(OR(ABS(AR168-SUM(AB168:AM168))&gt;P_Tol,ABS(AS168-(AN168+AO168+AP168+AQ168))&gt;P_Tol),1,0),1))</f>
        <v/>
      </c>
      <c r="BQ168" s="124" t="str">
        <f>IF($B168="","",IFERROR(IF(ABS(AT168)+ABS(AV168)+ABS(AW168)+ABS(AX168)+ABS(AY168)+ABS(AZ168)+ABS(BA168)+ABS(BB168)&gt;0,1,0),1))</f>
        <v/>
      </c>
      <c r="BR168" s="124" t="str">
        <f>IF($B168="","",COUNTIF(STG_ZPMW03!$B$6:$B$505,B168))</f>
        <v/>
      </c>
      <c r="BS168" s="124" t="str">
        <f>IF($B168="","",COUNTIF($B$6:$B$505,B168))</f>
        <v/>
      </c>
      <c r="BT168" s="124" t="str">
        <f>IF($B168="","",IF(BR168=0,0,IF(INDEX(STG_ZPMW03!$I$6:$I$505,MATCH(B168,STG_ZPMW03!$B$6:$B$505,0))=J168&amp;"",0,1)))</f>
        <v/>
      </c>
      <c r="BU168" s="124" t="str">
        <f>IF($B168="","",IFERROR(IF(ABS(INDEX(Mapping!$D$5:$D$104,MATCH(B168,Mapping!$A$5:$A$104,0))-Q168)&gt;P_Tol,1,0),0))</f>
        <v/>
      </c>
      <c r="BV168" s="124" t="str">
        <f>IF($B168="","",IFERROR(IF(AND(INDEX(Mapping!$G$5:$G$104,MATCH(B168,Mapping!$A$5:$A$104,0))="Nee",ABS(Q168)+ABS(Z168)+ABS(AR168)&gt;0),1,0),0))</f>
        <v/>
      </c>
      <c r="BW168" s="124" t="str">
        <f>IF($B168="","",IF(COUNTIF(Mapping!$A$5:$A$104,B168)&gt;0,1,0))</f>
        <v/>
      </c>
      <c r="BX168" s="124" t="str">
        <f>IF($B168="","",IF(BR168=0,COUNTIF($BR$6:BR168,0),""))</f>
        <v/>
      </c>
    </row>
    <row r="169">
      <c r="A169" s="15" t="n">
        <v>165</v>
      </c>
      <c r="B169" t="str">
        <f>IF(B$3=0,"",IF(INDEX(SRC_Woningetalage!$A$1:$ZZ$501,$A169,B$3)&amp;""="","",INDEX(SRC_Woningetalage!$A$1:$ZZ$501,$A169,B$3)&amp;""))</f>
        <v/>
      </c>
      <c r="C169" t="str">
        <f>IF($B169="","",IF(C$3=0,"n.b.",INDEX(SRC_Woningetalage!$A$1:$ZZ$501,$A169,C$3)))</f>
        <v/>
      </c>
      <c r="D169" t="str">
        <f>IF($B169="","",IF(D$3=0,"n.b.",INDEX(SRC_Woningetalage!$A$1:$ZZ$501,$A169,D$3)))</f>
        <v/>
      </c>
      <c r="E169" t="str">
        <f>IF($B169="","",IF(E$3=0,"n.b.",INDEX(SRC_Woningetalage!$A$1:$ZZ$501,$A169,E$3)))</f>
        <v/>
      </c>
      <c r="F169" t="str">
        <f>IF($B169="","",IF(F$3=0,"n.b.",INDEX(SRC_Woningetalage!$A$1:$ZZ$501,$A169,F$3)))</f>
        <v/>
      </c>
      <c r="G169" t="str">
        <f>IF($B169="","",IF(G$3=0,"n.b.",INDEX(SRC_Woningetalage!$A$1:$ZZ$501,$A169,G$3)))</f>
        <v/>
      </c>
      <c r="H169" t="str">
        <f>IF($B169="","",IF(H$3=0,"n.b.",INDEX(SRC_Woningetalage!$A$1:$ZZ$501,$A169,H$3)))</f>
        <v/>
      </c>
      <c r="I169" t="str">
        <f>IF($B169="","",IF(I$3=0,"n.b.",INDEX(SRC_Woningetalage!$A$1:$ZZ$501,$A169,I$3)))</f>
        <v/>
      </c>
      <c r="J169" t="str">
        <f>IF($B169="","",IF(J$3=0,"n.b.",INDEX(SRC_Woningetalage!$A$1:$ZZ$501,$A169,J$3)))</f>
        <v/>
      </c>
      <c r="K169" t="str">
        <f>IF($B169="","",IF(K$3=0,"n.b.",INDEX(SRC_Woningetalage!$A$1:$ZZ$501,$A169,K$3)))</f>
        <v/>
      </c>
      <c r="L169" t="str">
        <f>IF($B169="","",IF(L$3=0,"n.b.",INDEX(SRC_Woningetalage!$A$1:$ZZ$501,$A169,L$3)))</f>
        <v/>
      </c>
      <c r="M169" t="str">
        <f>IF($B169="","",IF(M$3=0,"n.b.",INDEX(SRC_Woningetalage!$A$1:$ZZ$501,$A169,M$3)))</f>
        <v/>
      </c>
      <c r="N169" t="str">
        <f>IF($B169="","",IF(N$3=0,"n.b.",INDEX(SRC_Woningetalage!$A$1:$ZZ$501,$A169,N$3)))</f>
        <v/>
      </c>
      <c r="O169" t="str">
        <f>IF($B169="","",IF(O$3=0,"n.b.",INDEX(SRC_Woningetalage!$A$1:$ZZ$501,$A169,O$3)))</f>
        <v/>
      </c>
      <c r="P169" t="str">
        <f>IF($B169="","",IF(P$3=0,"n.b.",INDEX(SRC_Woningetalage!$A$1:$ZZ$501,$A169,P$3)))</f>
        <v/>
      </c>
      <c r="Q169" s="124" t="str">
        <f>IF($B169="","",IF(Q$3=0,"n.b.",INDEX(SRC_Woningetalage!$A$1:$ZZ$501,$A169,Q$3)))</f>
        <v/>
      </c>
      <c r="R169" s="124" t="str">
        <f>IF($B169="","",IF(R$3=0,"n.b.",INDEX(SRC_Woningetalage!$A$1:$ZZ$501,$A169,R$3)))</f>
        <v/>
      </c>
      <c r="S169" s="124" t="str">
        <f>IF($B169="","",IF(S$3=0,"n.b.",INDEX(SRC_Woningetalage!$A$1:$ZZ$501,$A169,S$3)))</f>
        <v/>
      </c>
      <c r="T169" s="124" t="str">
        <f>IF($B169="","",IF(T$3=0,"n.b.",INDEX(SRC_Woningetalage!$A$1:$ZZ$501,$A169,T$3)))</f>
        <v/>
      </c>
      <c r="U169" s="124" t="str">
        <f>IF($B169="","",IF(U$3=0,"n.b.",INDEX(SRC_Woningetalage!$A$1:$ZZ$501,$A169,U$3)))</f>
        <v/>
      </c>
      <c r="V169" s="124" t="str">
        <f>IF($B169="","",IF(V$3=0,"n.b.",INDEX(SRC_Woningetalage!$A$1:$ZZ$501,$A169,V$3)))</f>
        <v/>
      </c>
      <c r="W169" s="124" t="str">
        <f>IF($B169="","",IF(W$3=0,"n.b.",INDEX(SRC_Woningetalage!$A$1:$ZZ$501,$A169,W$3)))</f>
        <v/>
      </c>
      <c r="X169" s="124" t="str">
        <f>IF($B169="","",IF(X$3=0,"n.b.",INDEX(SRC_Woningetalage!$A$1:$ZZ$501,$A169,X$3)))</f>
        <v/>
      </c>
      <c r="Y169" s="124" t="str">
        <f>IF($B169="","",IF(Y$3=0,"n.b.",INDEX(SRC_Woningetalage!$A$1:$ZZ$501,$A169,Y$3)))</f>
        <v/>
      </c>
      <c r="Z169" s="124" t="str">
        <f>IF($B169="","",IF(Z$3=0,"n.b.",INDEX(SRC_Woningetalage!$A$1:$ZZ$501,$A169,Z$3)))</f>
        <v/>
      </c>
      <c r="AA169" s="124" t="str">
        <f>IF($B169="","",IF(AA$3=0,"n.b.",INDEX(SRC_Woningetalage!$A$1:$ZZ$501,$A169,AA$3)))</f>
        <v/>
      </c>
      <c r="AB169" s="124" t="str">
        <f>IF($B169="","",IF(AB$3=0,"n.b.",INDEX(SRC_Woningetalage!$A$1:$ZZ$501,$A169,AB$3)))</f>
        <v/>
      </c>
      <c r="AC169" s="124" t="str">
        <f>IF($B169="","",IF(AC$3=0,"n.b.",INDEX(SRC_Woningetalage!$A$1:$ZZ$501,$A169,AC$3)))</f>
        <v/>
      </c>
      <c r="AD169" s="124" t="str">
        <f>IF($B169="","",IF(AD$3=0,"n.b.",INDEX(SRC_Woningetalage!$A$1:$ZZ$501,$A169,AD$3)))</f>
        <v/>
      </c>
      <c r="AE169" s="124" t="str">
        <f>IF($B169="","",IF(AE$3=0,"n.b.",INDEX(SRC_Woningetalage!$A$1:$ZZ$501,$A169,AE$3)))</f>
        <v/>
      </c>
      <c r="AF169" s="124" t="str">
        <f>IF($B169="","",IF(AF$3=0,"n.b.",INDEX(SRC_Woningetalage!$A$1:$ZZ$501,$A169,AF$3)))</f>
        <v/>
      </c>
      <c r="AG169" s="124" t="str">
        <f>IF($B169="","",IF(AG$3=0,"n.b.",INDEX(SRC_Woningetalage!$A$1:$ZZ$501,$A169,AG$3)))</f>
        <v/>
      </c>
      <c r="AH169" s="124" t="str">
        <f>IF($B169="","",IF(AH$3=0,"n.b.",INDEX(SRC_Woningetalage!$A$1:$ZZ$501,$A169,AH$3)))</f>
        <v/>
      </c>
      <c r="AI169" s="124" t="str">
        <f>IF($B169="","",IF(AI$3=0,"n.b.",INDEX(SRC_Woningetalage!$A$1:$ZZ$501,$A169,AI$3)))</f>
        <v/>
      </c>
      <c r="AJ169" s="124" t="str">
        <f>IF($B169="","",IF(AJ$3=0,"n.b.",INDEX(SRC_Woningetalage!$A$1:$ZZ$501,$A169,AJ$3)))</f>
        <v/>
      </c>
      <c r="AK169" s="124" t="str">
        <f>IF($B169="","",IF(AK$3=0,"n.b.",INDEX(SRC_Woningetalage!$A$1:$ZZ$501,$A169,AK$3)))</f>
        <v/>
      </c>
      <c r="AL169" s="124" t="str">
        <f>IF($B169="","",IF(AL$3=0,"n.b.",INDEX(SRC_Woningetalage!$A$1:$ZZ$501,$A169,AL$3)))</f>
        <v/>
      </c>
      <c r="AM169" s="124" t="str">
        <f>IF($B169="","",IF(AM$3=0,"n.b.",INDEX(SRC_Woningetalage!$A$1:$ZZ$501,$A169,AM$3)))</f>
        <v/>
      </c>
      <c r="AN169" s="124" t="str">
        <f>IF($B169="","",IF(AN$3=0,"n.b.",INDEX(SRC_Woningetalage!$A$1:$ZZ$501,$A169,AN$3)))</f>
        <v/>
      </c>
      <c r="AO169" s="124" t="str">
        <f>IF($B169="","",IF(AO$3=0,"n.b.",INDEX(SRC_Woningetalage!$A$1:$ZZ$501,$A169,AO$3)))</f>
        <v/>
      </c>
      <c r="AP169" s="124" t="str">
        <f>IF($B169="","",IF(AP$3=0,"n.b.",INDEX(SRC_Woningetalage!$A$1:$ZZ$501,$A169,AP$3)))</f>
        <v/>
      </c>
      <c r="AQ169" s="124" t="str">
        <f>IF($B169="","",IF(AQ$3=0,"n.b.",INDEX(SRC_Woningetalage!$A$1:$ZZ$501,$A169,AQ$3)))</f>
        <v/>
      </c>
      <c r="AR169" s="124" t="str">
        <f>IF($B169="","",IF(AR$3=0,"n.b.",INDEX(SRC_Woningetalage!$A$1:$ZZ$501,$A169,AR$3)))</f>
        <v/>
      </c>
      <c r="AS169" s="124" t="str">
        <f>IF($B169="","",IF(AS$3=0,"n.b.",INDEX(SRC_Woningetalage!$A$1:$ZZ$501,$A169,AS$3)))</f>
        <v/>
      </c>
      <c r="AT169" s="124" t="str">
        <f>IF($B169="","",IF(AT$3=0,"n.b.",INDEX(SRC_Woningetalage!$A$1:$ZZ$501,$A169,AT$3)))</f>
        <v/>
      </c>
      <c r="AU169" s="124" t="str">
        <f>IF($B169="","",IF(AU$3=0,"n.b.",INDEX(SRC_Woningetalage!$A$1:$ZZ$501,$A169,AU$3)))</f>
        <v/>
      </c>
      <c r="AV169" s="124" t="str">
        <f>IF($B169="","",IF(AV$3=0,"n.b.",INDEX(SRC_Woningetalage!$A$1:$ZZ$501,$A169,AV$3)))</f>
        <v/>
      </c>
      <c r="AW169" s="124" t="str">
        <f>IF($B169="","",IF(AW$3=0,"n.b.",INDEX(SRC_Woningetalage!$A$1:$ZZ$501,$A169,AW$3)))</f>
        <v/>
      </c>
      <c r="AX169" s="124" t="str">
        <f>IF($B169="","",IF(AX$3=0,"n.b.",INDEX(SRC_Woningetalage!$A$1:$ZZ$501,$A169,AX$3)))</f>
        <v/>
      </c>
      <c r="AY169" s="124" t="str">
        <f>IF($B169="","",IF(AY$3=0,"n.b.",INDEX(SRC_Woningetalage!$A$1:$ZZ$501,$A169,AY$3)))</f>
        <v/>
      </c>
      <c r="AZ169" s="124" t="str">
        <f>IF($B169="","",IF(AZ$3=0,"n.b.",INDEX(SRC_Woningetalage!$A$1:$ZZ$501,$A169,AZ$3)))</f>
        <v/>
      </c>
      <c r="BA169" s="124" t="str">
        <f>IF($B169="","",IF(BA$3=0,"n.b.",INDEX(SRC_Woningetalage!$A$1:$ZZ$501,$A169,BA$3)))</f>
        <v/>
      </c>
      <c r="BB169" s="124" t="str">
        <f>IF($B169="","",IF(BB$3=0,"n.b.",INDEX(SRC_Woningetalage!$A$1:$ZZ$501,$A169,BB$3)))</f>
        <v/>
      </c>
      <c r="BC169" s="124" t="str">
        <f>IF($B169="","",IFERROR(_xlfn.NUMBERVALUE(E169&amp;"",",","."),"n.b."))</f>
        <v/>
      </c>
      <c r="BD169" s="124" t="str">
        <f>IF($B169="","",IFERROR(_xlfn.NUMBERVALUE(M169&amp;"",",","."),"n.b."))</f>
        <v/>
      </c>
      <c r="BE169" s="124" t="str">
        <f>IF($B169="","",IFERROR(AB169+AC169+AD169,"n.b."))</f>
        <v/>
      </c>
      <c r="BF169" s="124" t="str">
        <f>IF($B169="","",IFERROR(AE169+AF169+AG169,"n.b."))</f>
        <v/>
      </c>
      <c r="BG169" s="124" t="str">
        <f>IF($B169="","",IFERROR(AH169+AI169+AJ169,"n.b."))</f>
        <v/>
      </c>
      <c r="BH169" s="124" t="str">
        <f>IF($B169="","",IFERROR(AK169+AL169+AM169,"n.b."))</f>
        <v/>
      </c>
      <c r="BI169" s="124" t="str">
        <f>IF($B169="","",IFERROR(SUMIF($AB$5:$AM$5,"&lt;="&amp;P_PeilMaand,AB169:AM169),"n.b."))</f>
        <v/>
      </c>
      <c r="BJ169" s="124" t="str">
        <f>IF($B169="","",IFERROR(SUM(AB169:AM169)-BI169,"n.b."))</f>
        <v/>
      </c>
      <c r="BK169" s="124" t="str">
        <f>IF($B169="","",IFERROR(IF(ABS(Q169-(T169+SUM(AB169:AM169)+AS169+AU169))&gt;P_Tol,1,0),1))</f>
        <v/>
      </c>
      <c r="BL169" s="124" t="str">
        <f>IF($B169="","",IFERROR(IF(ABS(AA169-(Q169-Z169))&gt;P_Tol,1,0),1))</f>
        <v/>
      </c>
      <c r="BM169" s="124" t="str">
        <f>IF($B169="","",IFERROR(IF(ABS(Z169-(T169+W169))&gt;P_Tol,1,0),1))</f>
        <v/>
      </c>
      <c r="BN169" s="124" t="str">
        <f>IF($B169="","",IFERROR(IF(ABS(W169-BI169)&gt;P_Tol,1,0),1))</f>
        <v/>
      </c>
      <c r="BO169" s="124" t="str">
        <f>IF($B169="","",IFERROR(IF(OR(ABS(R169+S169-T169)&gt;P_Tol,ABS(U169+V169-W169)&gt;P_Tol,ABS(X169+Y169-Z169)&gt;P_Tol),1,0),1))</f>
        <v/>
      </c>
      <c r="BP169" s="124" t="str">
        <f>IF($B169="","",IFERROR(IF(OR(ABS(AR169-SUM(AB169:AM169))&gt;P_Tol,ABS(AS169-(AN169+AO169+AP169+AQ169))&gt;P_Tol),1,0),1))</f>
        <v/>
      </c>
      <c r="BQ169" s="124" t="str">
        <f>IF($B169="","",IFERROR(IF(ABS(AT169)+ABS(AV169)+ABS(AW169)+ABS(AX169)+ABS(AY169)+ABS(AZ169)+ABS(BA169)+ABS(BB169)&gt;0,1,0),1))</f>
        <v/>
      </c>
      <c r="BR169" s="124" t="str">
        <f>IF($B169="","",COUNTIF(STG_ZPMW03!$B$6:$B$505,B169))</f>
        <v/>
      </c>
      <c r="BS169" s="124" t="str">
        <f>IF($B169="","",COUNTIF($B$6:$B$505,B169))</f>
        <v/>
      </c>
      <c r="BT169" s="124" t="str">
        <f>IF($B169="","",IF(BR169=0,0,IF(INDEX(STG_ZPMW03!$I$6:$I$505,MATCH(B169,STG_ZPMW03!$B$6:$B$505,0))=J169&amp;"",0,1)))</f>
        <v/>
      </c>
      <c r="BU169" s="124" t="str">
        <f>IF($B169="","",IFERROR(IF(ABS(INDEX(Mapping!$D$5:$D$104,MATCH(B169,Mapping!$A$5:$A$104,0))-Q169)&gt;P_Tol,1,0),0))</f>
        <v/>
      </c>
      <c r="BV169" s="124" t="str">
        <f>IF($B169="","",IFERROR(IF(AND(INDEX(Mapping!$G$5:$G$104,MATCH(B169,Mapping!$A$5:$A$104,0))="Nee",ABS(Q169)+ABS(Z169)+ABS(AR169)&gt;0),1,0),0))</f>
        <v/>
      </c>
      <c r="BW169" s="124" t="str">
        <f>IF($B169="","",IF(COUNTIF(Mapping!$A$5:$A$104,B169)&gt;0,1,0))</f>
        <v/>
      </c>
      <c r="BX169" s="124" t="str">
        <f>IF($B169="","",IF(BR169=0,COUNTIF($BR$6:BR169,0),""))</f>
        <v/>
      </c>
    </row>
    <row r="170">
      <c r="A170" s="15" t="n">
        <v>166</v>
      </c>
      <c r="B170" t="str">
        <f>IF(B$3=0,"",IF(INDEX(SRC_Woningetalage!$A$1:$ZZ$501,$A170,B$3)&amp;""="","",INDEX(SRC_Woningetalage!$A$1:$ZZ$501,$A170,B$3)&amp;""))</f>
        <v/>
      </c>
      <c r="C170" t="str">
        <f>IF($B170="","",IF(C$3=0,"n.b.",INDEX(SRC_Woningetalage!$A$1:$ZZ$501,$A170,C$3)))</f>
        <v/>
      </c>
      <c r="D170" t="str">
        <f>IF($B170="","",IF(D$3=0,"n.b.",INDEX(SRC_Woningetalage!$A$1:$ZZ$501,$A170,D$3)))</f>
        <v/>
      </c>
      <c r="E170" t="str">
        <f>IF($B170="","",IF(E$3=0,"n.b.",INDEX(SRC_Woningetalage!$A$1:$ZZ$501,$A170,E$3)))</f>
        <v/>
      </c>
      <c r="F170" t="str">
        <f>IF($B170="","",IF(F$3=0,"n.b.",INDEX(SRC_Woningetalage!$A$1:$ZZ$501,$A170,F$3)))</f>
        <v/>
      </c>
      <c r="G170" t="str">
        <f>IF($B170="","",IF(G$3=0,"n.b.",INDEX(SRC_Woningetalage!$A$1:$ZZ$501,$A170,G$3)))</f>
        <v/>
      </c>
      <c r="H170" t="str">
        <f>IF($B170="","",IF(H$3=0,"n.b.",INDEX(SRC_Woningetalage!$A$1:$ZZ$501,$A170,H$3)))</f>
        <v/>
      </c>
      <c r="I170" t="str">
        <f>IF($B170="","",IF(I$3=0,"n.b.",INDEX(SRC_Woningetalage!$A$1:$ZZ$501,$A170,I$3)))</f>
        <v/>
      </c>
      <c r="J170" t="str">
        <f>IF($B170="","",IF(J$3=0,"n.b.",INDEX(SRC_Woningetalage!$A$1:$ZZ$501,$A170,J$3)))</f>
        <v/>
      </c>
      <c r="K170" t="str">
        <f>IF($B170="","",IF(K$3=0,"n.b.",INDEX(SRC_Woningetalage!$A$1:$ZZ$501,$A170,K$3)))</f>
        <v/>
      </c>
      <c r="L170" t="str">
        <f>IF($B170="","",IF(L$3=0,"n.b.",INDEX(SRC_Woningetalage!$A$1:$ZZ$501,$A170,L$3)))</f>
        <v/>
      </c>
      <c r="M170" t="str">
        <f>IF($B170="","",IF(M$3=0,"n.b.",INDEX(SRC_Woningetalage!$A$1:$ZZ$501,$A170,M$3)))</f>
        <v/>
      </c>
      <c r="N170" t="str">
        <f>IF($B170="","",IF(N$3=0,"n.b.",INDEX(SRC_Woningetalage!$A$1:$ZZ$501,$A170,N$3)))</f>
        <v/>
      </c>
      <c r="O170" t="str">
        <f>IF($B170="","",IF(O$3=0,"n.b.",INDEX(SRC_Woningetalage!$A$1:$ZZ$501,$A170,O$3)))</f>
        <v/>
      </c>
      <c r="P170" t="str">
        <f>IF($B170="","",IF(P$3=0,"n.b.",INDEX(SRC_Woningetalage!$A$1:$ZZ$501,$A170,P$3)))</f>
        <v/>
      </c>
      <c r="Q170" s="124" t="str">
        <f>IF($B170="","",IF(Q$3=0,"n.b.",INDEX(SRC_Woningetalage!$A$1:$ZZ$501,$A170,Q$3)))</f>
        <v/>
      </c>
      <c r="R170" s="124" t="str">
        <f>IF($B170="","",IF(R$3=0,"n.b.",INDEX(SRC_Woningetalage!$A$1:$ZZ$501,$A170,R$3)))</f>
        <v/>
      </c>
      <c r="S170" s="124" t="str">
        <f>IF($B170="","",IF(S$3=0,"n.b.",INDEX(SRC_Woningetalage!$A$1:$ZZ$501,$A170,S$3)))</f>
        <v/>
      </c>
      <c r="T170" s="124" t="str">
        <f>IF($B170="","",IF(T$3=0,"n.b.",INDEX(SRC_Woningetalage!$A$1:$ZZ$501,$A170,T$3)))</f>
        <v/>
      </c>
      <c r="U170" s="124" t="str">
        <f>IF($B170="","",IF(U$3=0,"n.b.",INDEX(SRC_Woningetalage!$A$1:$ZZ$501,$A170,U$3)))</f>
        <v/>
      </c>
      <c r="V170" s="124" t="str">
        <f>IF($B170="","",IF(V$3=0,"n.b.",INDEX(SRC_Woningetalage!$A$1:$ZZ$501,$A170,V$3)))</f>
        <v/>
      </c>
      <c r="W170" s="124" t="str">
        <f>IF($B170="","",IF(W$3=0,"n.b.",INDEX(SRC_Woningetalage!$A$1:$ZZ$501,$A170,W$3)))</f>
        <v/>
      </c>
      <c r="X170" s="124" t="str">
        <f>IF($B170="","",IF(X$3=0,"n.b.",INDEX(SRC_Woningetalage!$A$1:$ZZ$501,$A170,X$3)))</f>
        <v/>
      </c>
      <c r="Y170" s="124" t="str">
        <f>IF($B170="","",IF(Y$3=0,"n.b.",INDEX(SRC_Woningetalage!$A$1:$ZZ$501,$A170,Y$3)))</f>
        <v/>
      </c>
      <c r="Z170" s="124" t="str">
        <f>IF($B170="","",IF(Z$3=0,"n.b.",INDEX(SRC_Woningetalage!$A$1:$ZZ$501,$A170,Z$3)))</f>
        <v/>
      </c>
      <c r="AA170" s="124" t="str">
        <f>IF($B170="","",IF(AA$3=0,"n.b.",INDEX(SRC_Woningetalage!$A$1:$ZZ$501,$A170,AA$3)))</f>
        <v/>
      </c>
      <c r="AB170" s="124" t="str">
        <f>IF($B170="","",IF(AB$3=0,"n.b.",INDEX(SRC_Woningetalage!$A$1:$ZZ$501,$A170,AB$3)))</f>
        <v/>
      </c>
      <c r="AC170" s="124" t="str">
        <f>IF($B170="","",IF(AC$3=0,"n.b.",INDEX(SRC_Woningetalage!$A$1:$ZZ$501,$A170,AC$3)))</f>
        <v/>
      </c>
      <c r="AD170" s="124" t="str">
        <f>IF($B170="","",IF(AD$3=0,"n.b.",INDEX(SRC_Woningetalage!$A$1:$ZZ$501,$A170,AD$3)))</f>
        <v/>
      </c>
      <c r="AE170" s="124" t="str">
        <f>IF($B170="","",IF(AE$3=0,"n.b.",INDEX(SRC_Woningetalage!$A$1:$ZZ$501,$A170,AE$3)))</f>
        <v/>
      </c>
      <c r="AF170" s="124" t="str">
        <f>IF($B170="","",IF(AF$3=0,"n.b.",INDEX(SRC_Woningetalage!$A$1:$ZZ$501,$A170,AF$3)))</f>
        <v/>
      </c>
      <c r="AG170" s="124" t="str">
        <f>IF($B170="","",IF(AG$3=0,"n.b.",INDEX(SRC_Woningetalage!$A$1:$ZZ$501,$A170,AG$3)))</f>
        <v/>
      </c>
      <c r="AH170" s="124" t="str">
        <f>IF($B170="","",IF(AH$3=0,"n.b.",INDEX(SRC_Woningetalage!$A$1:$ZZ$501,$A170,AH$3)))</f>
        <v/>
      </c>
      <c r="AI170" s="124" t="str">
        <f>IF($B170="","",IF(AI$3=0,"n.b.",INDEX(SRC_Woningetalage!$A$1:$ZZ$501,$A170,AI$3)))</f>
        <v/>
      </c>
      <c r="AJ170" s="124" t="str">
        <f>IF($B170="","",IF(AJ$3=0,"n.b.",INDEX(SRC_Woningetalage!$A$1:$ZZ$501,$A170,AJ$3)))</f>
        <v/>
      </c>
      <c r="AK170" s="124" t="str">
        <f>IF($B170="","",IF(AK$3=0,"n.b.",INDEX(SRC_Woningetalage!$A$1:$ZZ$501,$A170,AK$3)))</f>
        <v/>
      </c>
      <c r="AL170" s="124" t="str">
        <f>IF($B170="","",IF(AL$3=0,"n.b.",INDEX(SRC_Woningetalage!$A$1:$ZZ$501,$A170,AL$3)))</f>
        <v/>
      </c>
      <c r="AM170" s="124" t="str">
        <f>IF($B170="","",IF(AM$3=0,"n.b.",INDEX(SRC_Woningetalage!$A$1:$ZZ$501,$A170,AM$3)))</f>
        <v/>
      </c>
      <c r="AN170" s="124" t="str">
        <f>IF($B170="","",IF(AN$3=0,"n.b.",INDEX(SRC_Woningetalage!$A$1:$ZZ$501,$A170,AN$3)))</f>
        <v/>
      </c>
      <c r="AO170" s="124" t="str">
        <f>IF($B170="","",IF(AO$3=0,"n.b.",INDEX(SRC_Woningetalage!$A$1:$ZZ$501,$A170,AO$3)))</f>
        <v/>
      </c>
      <c r="AP170" s="124" t="str">
        <f>IF($B170="","",IF(AP$3=0,"n.b.",INDEX(SRC_Woningetalage!$A$1:$ZZ$501,$A170,AP$3)))</f>
        <v/>
      </c>
      <c r="AQ170" s="124" t="str">
        <f>IF($B170="","",IF(AQ$3=0,"n.b.",INDEX(SRC_Woningetalage!$A$1:$ZZ$501,$A170,AQ$3)))</f>
        <v/>
      </c>
      <c r="AR170" s="124" t="str">
        <f>IF($B170="","",IF(AR$3=0,"n.b.",INDEX(SRC_Woningetalage!$A$1:$ZZ$501,$A170,AR$3)))</f>
        <v/>
      </c>
      <c r="AS170" s="124" t="str">
        <f>IF($B170="","",IF(AS$3=0,"n.b.",INDEX(SRC_Woningetalage!$A$1:$ZZ$501,$A170,AS$3)))</f>
        <v/>
      </c>
      <c r="AT170" s="124" t="str">
        <f>IF($B170="","",IF(AT$3=0,"n.b.",INDEX(SRC_Woningetalage!$A$1:$ZZ$501,$A170,AT$3)))</f>
        <v/>
      </c>
      <c r="AU170" s="124" t="str">
        <f>IF($B170="","",IF(AU$3=0,"n.b.",INDEX(SRC_Woningetalage!$A$1:$ZZ$501,$A170,AU$3)))</f>
        <v/>
      </c>
      <c r="AV170" s="124" t="str">
        <f>IF($B170="","",IF(AV$3=0,"n.b.",INDEX(SRC_Woningetalage!$A$1:$ZZ$501,$A170,AV$3)))</f>
        <v/>
      </c>
      <c r="AW170" s="124" t="str">
        <f>IF($B170="","",IF(AW$3=0,"n.b.",INDEX(SRC_Woningetalage!$A$1:$ZZ$501,$A170,AW$3)))</f>
        <v/>
      </c>
      <c r="AX170" s="124" t="str">
        <f>IF($B170="","",IF(AX$3=0,"n.b.",INDEX(SRC_Woningetalage!$A$1:$ZZ$501,$A170,AX$3)))</f>
        <v/>
      </c>
      <c r="AY170" s="124" t="str">
        <f>IF($B170="","",IF(AY$3=0,"n.b.",INDEX(SRC_Woningetalage!$A$1:$ZZ$501,$A170,AY$3)))</f>
        <v/>
      </c>
      <c r="AZ170" s="124" t="str">
        <f>IF($B170="","",IF(AZ$3=0,"n.b.",INDEX(SRC_Woningetalage!$A$1:$ZZ$501,$A170,AZ$3)))</f>
        <v/>
      </c>
      <c r="BA170" s="124" t="str">
        <f>IF($B170="","",IF(BA$3=0,"n.b.",INDEX(SRC_Woningetalage!$A$1:$ZZ$501,$A170,BA$3)))</f>
        <v/>
      </c>
      <c r="BB170" s="124" t="str">
        <f>IF($B170="","",IF(BB$3=0,"n.b.",INDEX(SRC_Woningetalage!$A$1:$ZZ$501,$A170,BB$3)))</f>
        <v/>
      </c>
      <c r="BC170" s="124" t="str">
        <f>IF($B170="","",IFERROR(_xlfn.NUMBERVALUE(E170&amp;"",",","."),"n.b."))</f>
        <v/>
      </c>
      <c r="BD170" s="124" t="str">
        <f>IF($B170="","",IFERROR(_xlfn.NUMBERVALUE(M170&amp;"",",","."),"n.b."))</f>
        <v/>
      </c>
      <c r="BE170" s="124" t="str">
        <f>IF($B170="","",IFERROR(AB170+AC170+AD170,"n.b."))</f>
        <v/>
      </c>
      <c r="BF170" s="124" t="str">
        <f>IF($B170="","",IFERROR(AE170+AF170+AG170,"n.b."))</f>
        <v/>
      </c>
      <c r="BG170" s="124" t="str">
        <f>IF($B170="","",IFERROR(AH170+AI170+AJ170,"n.b."))</f>
        <v/>
      </c>
      <c r="BH170" s="124" t="str">
        <f>IF($B170="","",IFERROR(AK170+AL170+AM170,"n.b."))</f>
        <v/>
      </c>
      <c r="BI170" s="124" t="str">
        <f>IF($B170="","",IFERROR(SUMIF($AB$5:$AM$5,"&lt;="&amp;P_PeilMaand,AB170:AM170),"n.b."))</f>
        <v/>
      </c>
      <c r="BJ170" s="124" t="str">
        <f>IF($B170="","",IFERROR(SUM(AB170:AM170)-BI170,"n.b."))</f>
        <v/>
      </c>
      <c r="BK170" s="124" t="str">
        <f>IF($B170="","",IFERROR(IF(ABS(Q170-(T170+SUM(AB170:AM170)+AS170+AU170))&gt;P_Tol,1,0),1))</f>
        <v/>
      </c>
      <c r="BL170" s="124" t="str">
        <f>IF($B170="","",IFERROR(IF(ABS(AA170-(Q170-Z170))&gt;P_Tol,1,0),1))</f>
        <v/>
      </c>
      <c r="BM170" s="124" t="str">
        <f>IF($B170="","",IFERROR(IF(ABS(Z170-(T170+W170))&gt;P_Tol,1,0),1))</f>
        <v/>
      </c>
      <c r="BN170" s="124" t="str">
        <f>IF($B170="","",IFERROR(IF(ABS(W170-BI170)&gt;P_Tol,1,0),1))</f>
        <v/>
      </c>
      <c r="BO170" s="124" t="str">
        <f>IF($B170="","",IFERROR(IF(OR(ABS(R170+S170-T170)&gt;P_Tol,ABS(U170+V170-W170)&gt;P_Tol,ABS(X170+Y170-Z170)&gt;P_Tol),1,0),1))</f>
        <v/>
      </c>
      <c r="BP170" s="124" t="str">
        <f>IF($B170="","",IFERROR(IF(OR(ABS(AR170-SUM(AB170:AM170))&gt;P_Tol,ABS(AS170-(AN170+AO170+AP170+AQ170))&gt;P_Tol),1,0),1))</f>
        <v/>
      </c>
      <c r="BQ170" s="124" t="str">
        <f>IF($B170="","",IFERROR(IF(ABS(AT170)+ABS(AV170)+ABS(AW170)+ABS(AX170)+ABS(AY170)+ABS(AZ170)+ABS(BA170)+ABS(BB170)&gt;0,1,0),1))</f>
        <v/>
      </c>
      <c r="BR170" s="124" t="str">
        <f>IF($B170="","",COUNTIF(STG_ZPMW03!$B$6:$B$505,B170))</f>
        <v/>
      </c>
      <c r="BS170" s="124" t="str">
        <f>IF($B170="","",COUNTIF($B$6:$B$505,B170))</f>
        <v/>
      </c>
      <c r="BT170" s="124" t="str">
        <f>IF($B170="","",IF(BR170=0,0,IF(INDEX(STG_ZPMW03!$I$6:$I$505,MATCH(B170,STG_ZPMW03!$B$6:$B$505,0))=J170&amp;"",0,1)))</f>
        <v/>
      </c>
      <c r="BU170" s="124" t="str">
        <f>IF($B170="","",IFERROR(IF(ABS(INDEX(Mapping!$D$5:$D$104,MATCH(B170,Mapping!$A$5:$A$104,0))-Q170)&gt;P_Tol,1,0),0))</f>
        <v/>
      </c>
      <c r="BV170" s="124" t="str">
        <f>IF($B170="","",IFERROR(IF(AND(INDEX(Mapping!$G$5:$G$104,MATCH(B170,Mapping!$A$5:$A$104,0))="Nee",ABS(Q170)+ABS(Z170)+ABS(AR170)&gt;0),1,0),0))</f>
        <v/>
      </c>
      <c r="BW170" s="124" t="str">
        <f>IF($B170="","",IF(COUNTIF(Mapping!$A$5:$A$104,B170)&gt;0,1,0))</f>
        <v/>
      </c>
      <c r="BX170" s="124" t="str">
        <f>IF($B170="","",IF(BR170=0,COUNTIF($BR$6:BR170,0),""))</f>
        <v/>
      </c>
    </row>
    <row r="171">
      <c r="A171" s="15" t="n">
        <v>167</v>
      </c>
      <c r="B171" t="str">
        <f>IF(B$3=0,"",IF(INDEX(SRC_Woningetalage!$A$1:$ZZ$501,$A171,B$3)&amp;""="","",INDEX(SRC_Woningetalage!$A$1:$ZZ$501,$A171,B$3)&amp;""))</f>
        <v/>
      </c>
      <c r="C171" t="str">
        <f>IF($B171="","",IF(C$3=0,"n.b.",INDEX(SRC_Woningetalage!$A$1:$ZZ$501,$A171,C$3)))</f>
        <v/>
      </c>
      <c r="D171" t="str">
        <f>IF($B171="","",IF(D$3=0,"n.b.",INDEX(SRC_Woningetalage!$A$1:$ZZ$501,$A171,D$3)))</f>
        <v/>
      </c>
      <c r="E171" t="str">
        <f>IF($B171="","",IF(E$3=0,"n.b.",INDEX(SRC_Woningetalage!$A$1:$ZZ$501,$A171,E$3)))</f>
        <v/>
      </c>
      <c r="F171" t="str">
        <f>IF($B171="","",IF(F$3=0,"n.b.",INDEX(SRC_Woningetalage!$A$1:$ZZ$501,$A171,F$3)))</f>
        <v/>
      </c>
      <c r="G171" t="str">
        <f>IF($B171="","",IF(G$3=0,"n.b.",INDEX(SRC_Woningetalage!$A$1:$ZZ$501,$A171,G$3)))</f>
        <v/>
      </c>
      <c r="H171" t="str">
        <f>IF($B171="","",IF(H$3=0,"n.b.",INDEX(SRC_Woningetalage!$A$1:$ZZ$501,$A171,H$3)))</f>
        <v/>
      </c>
      <c r="I171" t="str">
        <f>IF($B171="","",IF(I$3=0,"n.b.",INDEX(SRC_Woningetalage!$A$1:$ZZ$501,$A171,I$3)))</f>
        <v/>
      </c>
      <c r="J171" t="str">
        <f>IF($B171="","",IF(J$3=0,"n.b.",INDEX(SRC_Woningetalage!$A$1:$ZZ$501,$A171,J$3)))</f>
        <v/>
      </c>
      <c r="K171" t="str">
        <f>IF($B171="","",IF(K$3=0,"n.b.",INDEX(SRC_Woningetalage!$A$1:$ZZ$501,$A171,K$3)))</f>
        <v/>
      </c>
      <c r="L171" t="str">
        <f>IF($B171="","",IF(L$3=0,"n.b.",INDEX(SRC_Woningetalage!$A$1:$ZZ$501,$A171,L$3)))</f>
        <v/>
      </c>
      <c r="M171" t="str">
        <f>IF($B171="","",IF(M$3=0,"n.b.",INDEX(SRC_Woningetalage!$A$1:$ZZ$501,$A171,M$3)))</f>
        <v/>
      </c>
      <c r="N171" t="str">
        <f>IF($B171="","",IF(N$3=0,"n.b.",INDEX(SRC_Woningetalage!$A$1:$ZZ$501,$A171,N$3)))</f>
        <v/>
      </c>
      <c r="O171" t="str">
        <f>IF($B171="","",IF(O$3=0,"n.b.",INDEX(SRC_Woningetalage!$A$1:$ZZ$501,$A171,O$3)))</f>
        <v/>
      </c>
      <c r="P171" t="str">
        <f>IF($B171="","",IF(P$3=0,"n.b.",INDEX(SRC_Woningetalage!$A$1:$ZZ$501,$A171,P$3)))</f>
        <v/>
      </c>
      <c r="Q171" s="124" t="str">
        <f>IF($B171="","",IF(Q$3=0,"n.b.",INDEX(SRC_Woningetalage!$A$1:$ZZ$501,$A171,Q$3)))</f>
        <v/>
      </c>
      <c r="R171" s="124" t="str">
        <f>IF($B171="","",IF(R$3=0,"n.b.",INDEX(SRC_Woningetalage!$A$1:$ZZ$501,$A171,R$3)))</f>
        <v/>
      </c>
      <c r="S171" s="124" t="str">
        <f>IF($B171="","",IF(S$3=0,"n.b.",INDEX(SRC_Woningetalage!$A$1:$ZZ$501,$A171,S$3)))</f>
        <v/>
      </c>
      <c r="T171" s="124" t="str">
        <f>IF($B171="","",IF(T$3=0,"n.b.",INDEX(SRC_Woningetalage!$A$1:$ZZ$501,$A171,T$3)))</f>
        <v/>
      </c>
      <c r="U171" s="124" t="str">
        <f>IF($B171="","",IF(U$3=0,"n.b.",INDEX(SRC_Woningetalage!$A$1:$ZZ$501,$A171,U$3)))</f>
        <v/>
      </c>
      <c r="V171" s="124" t="str">
        <f>IF($B171="","",IF(V$3=0,"n.b.",INDEX(SRC_Woningetalage!$A$1:$ZZ$501,$A171,V$3)))</f>
        <v/>
      </c>
      <c r="W171" s="124" t="str">
        <f>IF($B171="","",IF(W$3=0,"n.b.",INDEX(SRC_Woningetalage!$A$1:$ZZ$501,$A171,W$3)))</f>
        <v/>
      </c>
      <c r="X171" s="124" t="str">
        <f>IF($B171="","",IF(X$3=0,"n.b.",INDEX(SRC_Woningetalage!$A$1:$ZZ$501,$A171,X$3)))</f>
        <v/>
      </c>
      <c r="Y171" s="124" t="str">
        <f>IF($B171="","",IF(Y$3=0,"n.b.",INDEX(SRC_Woningetalage!$A$1:$ZZ$501,$A171,Y$3)))</f>
        <v/>
      </c>
      <c r="Z171" s="124" t="str">
        <f>IF($B171="","",IF(Z$3=0,"n.b.",INDEX(SRC_Woningetalage!$A$1:$ZZ$501,$A171,Z$3)))</f>
        <v/>
      </c>
      <c r="AA171" s="124" t="str">
        <f>IF($B171="","",IF(AA$3=0,"n.b.",INDEX(SRC_Woningetalage!$A$1:$ZZ$501,$A171,AA$3)))</f>
        <v/>
      </c>
      <c r="AB171" s="124" t="str">
        <f>IF($B171="","",IF(AB$3=0,"n.b.",INDEX(SRC_Woningetalage!$A$1:$ZZ$501,$A171,AB$3)))</f>
        <v/>
      </c>
      <c r="AC171" s="124" t="str">
        <f>IF($B171="","",IF(AC$3=0,"n.b.",INDEX(SRC_Woningetalage!$A$1:$ZZ$501,$A171,AC$3)))</f>
        <v/>
      </c>
      <c r="AD171" s="124" t="str">
        <f>IF($B171="","",IF(AD$3=0,"n.b.",INDEX(SRC_Woningetalage!$A$1:$ZZ$501,$A171,AD$3)))</f>
        <v/>
      </c>
      <c r="AE171" s="124" t="str">
        <f>IF($B171="","",IF(AE$3=0,"n.b.",INDEX(SRC_Woningetalage!$A$1:$ZZ$501,$A171,AE$3)))</f>
        <v/>
      </c>
      <c r="AF171" s="124" t="str">
        <f>IF($B171="","",IF(AF$3=0,"n.b.",INDEX(SRC_Woningetalage!$A$1:$ZZ$501,$A171,AF$3)))</f>
        <v/>
      </c>
      <c r="AG171" s="124" t="str">
        <f>IF($B171="","",IF(AG$3=0,"n.b.",INDEX(SRC_Woningetalage!$A$1:$ZZ$501,$A171,AG$3)))</f>
        <v/>
      </c>
      <c r="AH171" s="124" t="str">
        <f>IF($B171="","",IF(AH$3=0,"n.b.",INDEX(SRC_Woningetalage!$A$1:$ZZ$501,$A171,AH$3)))</f>
        <v/>
      </c>
      <c r="AI171" s="124" t="str">
        <f>IF($B171="","",IF(AI$3=0,"n.b.",INDEX(SRC_Woningetalage!$A$1:$ZZ$501,$A171,AI$3)))</f>
        <v/>
      </c>
      <c r="AJ171" s="124" t="str">
        <f>IF($B171="","",IF(AJ$3=0,"n.b.",INDEX(SRC_Woningetalage!$A$1:$ZZ$501,$A171,AJ$3)))</f>
        <v/>
      </c>
      <c r="AK171" s="124" t="str">
        <f>IF($B171="","",IF(AK$3=0,"n.b.",INDEX(SRC_Woningetalage!$A$1:$ZZ$501,$A171,AK$3)))</f>
        <v/>
      </c>
      <c r="AL171" s="124" t="str">
        <f>IF($B171="","",IF(AL$3=0,"n.b.",INDEX(SRC_Woningetalage!$A$1:$ZZ$501,$A171,AL$3)))</f>
        <v/>
      </c>
      <c r="AM171" s="124" t="str">
        <f>IF($B171="","",IF(AM$3=0,"n.b.",INDEX(SRC_Woningetalage!$A$1:$ZZ$501,$A171,AM$3)))</f>
        <v/>
      </c>
      <c r="AN171" s="124" t="str">
        <f>IF($B171="","",IF(AN$3=0,"n.b.",INDEX(SRC_Woningetalage!$A$1:$ZZ$501,$A171,AN$3)))</f>
        <v/>
      </c>
      <c r="AO171" s="124" t="str">
        <f>IF($B171="","",IF(AO$3=0,"n.b.",INDEX(SRC_Woningetalage!$A$1:$ZZ$501,$A171,AO$3)))</f>
        <v/>
      </c>
      <c r="AP171" s="124" t="str">
        <f>IF($B171="","",IF(AP$3=0,"n.b.",INDEX(SRC_Woningetalage!$A$1:$ZZ$501,$A171,AP$3)))</f>
        <v/>
      </c>
      <c r="AQ171" s="124" t="str">
        <f>IF($B171="","",IF(AQ$3=0,"n.b.",INDEX(SRC_Woningetalage!$A$1:$ZZ$501,$A171,AQ$3)))</f>
        <v/>
      </c>
      <c r="AR171" s="124" t="str">
        <f>IF($B171="","",IF(AR$3=0,"n.b.",INDEX(SRC_Woningetalage!$A$1:$ZZ$501,$A171,AR$3)))</f>
        <v/>
      </c>
      <c r="AS171" s="124" t="str">
        <f>IF($B171="","",IF(AS$3=0,"n.b.",INDEX(SRC_Woningetalage!$A$1:$ZZ$501,$A171,AS$3)))</f>
        <v/>
      </c>
      <c r="AT171" s="124" t="str">
        <f>IF($B171="","",IF(AT$3=0,"n.b.",INDEX(SRC_Woningetalage!$A$1:$ZZ$501,$A171,AT$3)))</f>
        <v/>
      </c>
      <c r="AU171" s="124" t="str">
        <f>IF($B171="","",IF(AU$3=0,"n.b.",INDEX(SRC_Woningetalage!$A$1:$ZZ$501,$A171,AU$3)))</f>
        <v/>
      </c>
      <c r="AV171" s="124" t="str">
        <f>IF($B171="","",IF(AV$3=0,"n.b.",INDEX(SRC_Woningetalage!$A$1:$ZZ$501,$A171,AV$3)))</f>
        <v/>
      </c>
      <c r="AW171" s="124" t="str">
        <f>IF($B171="","",IF(AW$3=0,"n.b.",INDEX(SRC_Woningetalage!$A$1:$ZZ$501,$A171,AW$3)))</f>
        <v/>
      </c>
      <c r="AX171" s="124" t="str">
        <f>IF($B171="","",IF(AX$3=0,"n.b.",INDEX(SRC_Woningetalage!$A$1:$ZZ$501,$A171,AX$3)))</f>
        <v/>
      </c>
      <c r="AY171" s="124" t="str">
        <f>IF($B171="","",IF(AY$3=0,"n.b.",INDEX(SRC_Woningetalage!$A$1:$ZZ$501,$A171,AY$3)))</f>
        <v/>
      </c>
      <c r="AZ171" s="124" t="str">
        <f>IF($B171="","",IF(AZ$3=0,"n.b.",INDEX(SRC_Woningetalage!$A$1:$ZZ$501,$A171,AZ$3)))</f>
        <v/>
      </c>
      <c r="BA171" s="124" t="str">
        <f>IF($B171="","",IF(BA$3=0,"n.b.",INDEX(SRC_Woningetalage!$A$1:$ZZ$501,$A171,BA$3)))</f>
        <v/>
      </c>
      <c r="BB171" s="124" t="str">
        <f>IF($B171="","",IF(BB$3=0,"n.b.",INDEX(SRC_Woningetalage!$A$1:$ZZ$501,$A171,BB$3)))</f>
        <v/>
      </c>
      <c r="BC171" s="124" t="str">
        <f>IF($B171="","",IFERROR(_xlfn.NUMBERVALUE(E171&amp;"",",","."),"n.b."))</f>
        <v/>
      </c>
      <c r="BD171" s="124" t="str">
        <f>IF($B171="","",IFERROR(_xlfn.NUMBERVALUE(M171&amp;"",",","."),"n.b."))</f>
        <v/>
      </c>
      <c r="BE171" s="124" t="str">
        <f>IF($B171="","",IFERROR(AB171+AC171+AD171,"n.b."))</f>
        <v/>
      </c>
      <c r="BF171" s="124" t="str">
        <f>IF($B171="","",IFERROR(AE171+AF171+AG171,"n.b."))</f>
        <v/>
      </c>
      <c r="BG171" s="124" t="str">
        <f>IF($B171="","",IFERROR(AH171+AI171+AJ171,"n.b."))</f>
        <v/>
      </c>
      <c r="BH171" s="124" t="str">
        <f>IF($B171="","",IFERROR(AK171+AL171+AM171,"n.b."))</f>
        <v/>
      </c>
      <c r="BI171" s="124" t="str">
        <f>IF($B171="","",IFERROR(SUMIF($AB$5:$AM$5,"&lt;="&amp;P_PeilMaand,AB171:AM171),"n.b."))</f>
        <v/>
      </c>
      <c r="BJ171" s="124" t="str">
        <f>IF($B171="","",IFERROR(SUM(AB171:AM171)-BI171,"n.b."))</f>
        <v/>
      </c>
      <c r="BK171" s="124" t="str">
        <f>IF($B171="","",IFERROR(IF(ABS(Q171-(T171+SUM(AB171:AM171)+AS171+AU171))&gt;P_Tol,1,0),1))</f>
        <v/>
      </c>
      <c r="BL171" s="124" t="str">
        <f>IF($B171="","",IFERROR(IF(ABS(AA171-(Q171-Z171))&gt;P_Tol,1,0),1))</f>
        <v/>
      </c>
      <c r="BM171" s="124" t="str">
        <f>IF($B171="","",IFERROR(IF(ABS(Z171-(T171+W171))&gt;P_Tol,1,0),1))</f>
        <v/>
      </c>
      <c r="BN171" s="124" t="str">
        <f>IF($B171="","",IFERROR(IF(ABS(W171-BI171)&gt;P_Tol,1,0),1))</f>
        <v/>
      </c>
      <c r="BO171" s="124" t="str">
        <f>IF($B171="","",IFERROR(IF(OR(ABS(R171+S171-T171)&gt;P_Tol,ABS(U171+V171-W171)&gt;P_Tol,ABS(X171+Y171-Z171)&gt;P_Tol),1,0),1))</f>
        <v/>
      </c>
      <c r="BP171" s="124" t="str">
        <f>IF($B171="","",IFERROR(IF(OR(ABS(AR171-SUM(AB171:AM171))&gt;P_Tol,ABS(AS171-(AN171+AO171+AP171+AQ171))&gt;P_Tol),1,0),1))</f>
        <v/>
      </c>
      <c r="BQ171" s="124" t="str">
        <f>IF($B171="","",IFERROR(IF(ABS(AT171)+ABS(AV171)+ABS(AW171)+ABS(AX171)+ABS(AY171)+ABS(AZ171)+ABS(BA171)+ABS(BB171)&gt;0,1,0),1))</f>
        <v/>
      </c>
      <c r="BR171" s="124" t="str">
        <f>IF($B171="","",COUNTIF(STG_ZPMW03!$B$6:$B$505,B171))</f>
        <v/>
      </c>
      <c r="BS171" s="124" t="str">
        <f>IF($B171="","",COUNTIF($B$6:$B$505,B171))</f>
        <v/>
      </c>
      <c r="BT171" s="124" t="str">
        <f>IF($B171="","",IF(BR171=0,0,IF(INDEX(STG_ZPMW03!$I$6:$I$505,MATCH(B171,STG_ZPMW03!$B$6:$B$505,0))=J171&amp;"",0,1)))</f>
        <v/>
      </c>
      <c r="BU171" s="124" t="str">
        <f>IF($B171="","",IFERROR(IF(ABS(INDEX(Mapping!$D$5:$D$104,MATCH(B171,Mapping!$A$5:$A$104,0))-Q171)&gt;P_Tol,1,0),0))</f>
        <v/>
      </c>
      <c r="BV171" s="124" t="str">
        <f>IF($B171="","",IFERROR(IF(AND(INDEX(Mapping!$G$5:$G$104,MATCH(B171,Mapping!$A$5:$A$104,0))="Nee",ABS(Q171)+ABS(Z171)+ABS(AR171)&gt;0),1,0),0))</f>
        <v/>
      </c>
      <c r="BW171" s="124" t="str">
        <f>IF($B171="","",IF(COUNTIF(Mapping!$A$5:$A$104,B171)&gt;0,1,0))</f>
        <v/>
      </c>
      <c r="BX171" s="124" t="str">
        <f>IF($B171="","",IF(BR171=0,COUNTIF($BR$6:BR171,0),""))</f>
        <v/>
      </c>
    </row>
    <row r="172">
      <c r="A172" s="15" t="n">
        <v>168</v>
      </c>
      <c r="B172" t="str">
        <f>IF(B$3=0,"",IF(INDEX(SRC_Woningetalage!$A$1:$ZZ$501,$A172,B$3)&amp;""="","",INDEX(SRC_Woningetalage!$A$1:$ZZ$501,$A172,B$3)&amp;""))</f>
        <v/>
      </c>
      <c r="C172" t="str">
        <f>IF($B172="","",IF(C$3=0,"n.b.",INDEX(SRC_Woningetalage!$A$1:$ZZ$501,$A172,C$3)))</f>
        <v/>
      </c>
      <c r="D172" t="str">
        <f>IF($B172="","",IF(D$3=0,"n.b.",INDEX(SRC_Woningetalage!$A$1:$ZZ$501,$A172,D$3)))</f>
        <v/>
      </c>
      <c r="E172" t="str">
        <f>IF($B172="","",IF(E$3=0,"n.b.",INDEX(SRC_Woningetalage!$A$1:$ZZ$501,$A172,E$3)))</f>
        <v/>
      </c>
      <c r="F172" t="str">
        <f>IF($B172="","",IF(F$3=0,"n.b.",INDEX(SRC_Woningetalage!$A$1:$ZZ$501,$A172,F$3)))</f>
        <v/>
      </c>
      <c r="G172" t="str">
        <f>IF($B172="","",IF(G$3=0,"n.b.",INDEX(SRC_Woningetalage!$A$1:$ZZ$501,$A172,G$3)))</f>
        <v/>
      </c>
      <c r="H172" t="str">
        <f>IF($B172="","",IF(H$3=0,"n.b.",INDEX(SRC_Woningetalage!$A$1:$ZZ$501,$A172,H$3)))</f>
        <v/>
      </c>
      <c r="I172" t="str">
        <f>IF($B172="","",IF(I$3=0,"n.b.",INDEX(SRC_Woningetalage!$A$1:$ZZ$501,$A172,I$3)))</f>
        <v/>
      </c>
      <c r="J172" t="str">
        <f>IF($B172="","",IF(J$3=0,"n.b.",INDEX(SRC_Woningetalage!$A$1:$ZZ$501,$A172,J$3)))</f>
        <v/>
      </c>
      <c r="K172" t="str">
        <f>IF($B172="","",IF(K$3=0,"n.b.",INDEX(SRC_Woningetalage!$A$1:$ZZ$501,$A172,K$3)))</f>
        <v/>
      </c>
      <c r="L172" t="str">
        <f>IF($B172="","",IF(L$3=0,"n.b.",INDEX(SRC_Woningetalage!$A$1:$ZZ$501,$A172,L$3)))</f>
        <v/>
      </c>
      <c r="M172" t="str">
        <f>IF($B172="","",IF(M$3=0,"n.b.",INDEX(SRC_Woningetalage!$A$1:$ZZ$501,$A172,M$3)))</f>
        <v/>
      </c>
      <c r="N172" t="str">
        <f>IF($B172="","",IF(N$3=0,"n.b.",INDEX(SRC_Woningetalage!$A$1:$ZZ$501,$A172,N$3)))</f>
        <v/>
      </c>
      <c r="O172" t="str">
        <f>IF($B172="","",IF(O$3=0,"n.b.",INDEX(SRC_Woningetalage!$A$1:$ZZ$501,$A172,O$3)))</f>
        <v/>
      </c>
      <c r="P172" t="str">
        <f>IF($B172="","",IF(P$3=0,"n.b.",INDEX(SRC_Woningetalage!$A$1:$ZZ$501,$A172,P$3)))</f>
        <v/>
      </c>
      <c r="Q172" s="124" t="str">
        <f>IF($B172="","",IF(Q$3=0,"n.b.",INDEX(SRC_Woningetalage!$A$1:$ZZ$501,$A172,Q$3)))</f>
        <v/>
      </c>
      <c r="R172" s="124" t="str">
        <f>IF($B172="","",IF(R$3=0,"n.b.",INDEX(SRC_Woningetalage!$A$1:$ZZ$501,$A172,R$3)))</f>
        <v/>
      </c>
      <c r="S172" s="124" t="str">
        <f>IF($B172="","",IF(S$3=0,"n.b.",INDEX(SRC_Woningetalage!$A$1:$ZZ$501,$A172,S$3)))</f>
        <v/>
      </c>
      <c r="T172" s="124" t="str">
        <f>IF($B172="","",IF(T$3=0,"n.b.",INDEX(SRC_Woningetalage!$A$1:$ZZ$501,$A172,T$3)))</f>
        <v/>
      </c>
      <c r="U172" s="124" t="str">
        <f>IF($B172="","",IF(U$3=0,"n.b.",INDEX(SRC_Woningetalage!$A$1:$ZZ$501,$A172,U$3)))</f>
        <v/>
      </c>
      <c r="V172" s="124" t="str">
        <f>IF($B172="","",IF(V$3=0,"n.b.",INDEX(SRC_Woningetalage!$A$1:$ZZ$501,$A172,V$3)))</f>
        <v/>
      </c>
      <c r="W172" s="124" t="str">
        <f>IF($B172="","",IF(W$3=0,"n.b.",INDEX(SRC_Woningetalage!$A$1:$ZZ$501,$A172,W$3)))</f>
        <v/>
      </c>
      <c r="X172" s="124" t="str">
        <f>IF($B172="","",IF(X$3=0,"n.b.",INDEX(SRC_Woningetalage!$A$1:$ZZ$501,$A172,X$3)))</f>
        <v/>
      </c>
      <c r="Y172" s="124" t="str">
        <f>IF($B172="","",IF(Y$3=0,"n.b.",INDEX(SRC_Woningetalage!$A$1:$ZZ$501,$A172,Y$3)))</f>
        <v/>
      </c>
      <c r="Z172" s="124" t="str">
        <f>IF($B172="","",IF(Z$3=0,"n.b.",INDEX(SRC_Woningetalage!$A$1:$ZZ$501,$A172,Z$3)))</f>
        <v/>
      </c>
      <c r="AA172" s="124" t="str">
        <f>IF($B172="","",IF(AA$3=0,"n.b.",INDEX(SRC_Woningetalage!$A$1:$ZZ$501,$A172,AA$3)))</f>
        <v/>
      </c>
      <c r="AB172" s="124" t="str">
        <f>IF($B172="","",IF(AB$3=0,"n.b.",INDEX(SRC_Woningetalage!$A$1:$ZZ$501,$A172,AB$3)))</f>
        <v/>
      </c>
      <c r="AC172" s="124" t="str">
        <f>IF($B172="","",IF(AC$3=0,"n.b.",INDEX(SRC_Woningetalage!$A$1:$ZZ$501,$A172,AC$3)))</f>
        <v/>
      </c>
      <c r="AD172" s="124" t="str">
        <f>IF($B172="","",IF(AD$3=0,"n.b.",INDEX(SRC_Woningetalage!$A$1:$ZZ$501,$A172,AD$3)))</f>
        <v/>
      </c>
      <c r="AE172" s="124" t="str">
        <f>IF($B172="","",IF(AE$3=0,"n.b.",INDEX(SRC_Woningetalage!$A$1:$ZZ$501,$A172,AE$3)))</f>
        <v/>
      </c>
      <c r="AF172" s="124" t="str">
        <f>IF($B172="","",IF(AF$3=0,"n.b.",INDEX(SRC_Woningetalage!$A$1:$ZZ$501,$A172,AF$3)))</f>
        <v/>
      </c>
      <c r="AG172" s="124" t="str">
        <f>IF($B172="","",IF(AG$3=0,"n.b.",INDEX(SRC_Woningetalage!$A$1:$ZZ$501,$A172,AG$3)))</f>
        <v/>
      </c>
      <c r="AH172" s="124" t="str">
        <f>IF($B172="","",IF(AH$3=0,"n.b.",INDEX(SRC_Woningetalage!$A$1:$ZZ$501,$A172,AH$3)))</f>
        <v/>
      </c>
      <c r="AI172" s="124" t="str">
        <f>IF($B172="","",IF(AI$3=0,"n.b.",INDEX(SRC_Woningetalage!$A$1:$ZZ$501,$A172,AI$3)))</f>
        <v/>
      </c>
      <c r="AJ172" s="124" t="str">
        <f>IF($B172="","",IF(AJ$3=0,"n.b.",INDEX(SRC_Woningetalage!$A$1:$ZZ$501,$A172,AJ$3)))</f>
        <v/>
      </c>
      <c r="AK172" s="124" t="str">
        <f>IF($B172="","",IF(AK$3=0,"n.b.",INDEX(SRC_Woningetalage!$A$1:$ZZ$501,$A172,AK$3)))</f>
        <v/>
      </c>
      <c r="AL172" s="124" t="str">
        <f>IF($B172="","",IF(AL$3=0,"n.b.",INDEX(SRC_Woningetalage!$A$1:$ZZ$501,$A172,AL$3)))</f>
        <v/>
      </c>
      <c r="AM172" s="124" t="str">
        <f>IF($B172="","",IF(AM$3=0,"n.b.",INDEX(SRC_Woningetalage!$A$1:$ZZ$501,$A172,AM$3)))</f>
        <v/>
      </c>
      <c r="AN172" s="124" t="str">
        <f>IF($B172="","",IF(AN$3=0,"n.b.",INDEX(SRC_Woningetalage!$A$1:$ZZ$501,$A172,AN$3)))</f>
        <v/>
      </c>
      <c r="AO172" s="124" t="str">
        <f>IF($B172="","",IF(AO$3=0,"n.b.",INDEX(SRC_Woningetalage!$A$1:$ZZ$501,$A172,AO$3)))</f>
        <v/>
      </c>
      <c r="AP172" s="124" t="str">
        <f>IF($B172="","",IF(AP$3=0,"n.b.",INDEX(SRC_Woningetalage!$A$1:$ZZ$501,$A172,AP$3)))</f>
        <v/>
      </c>
      <c r="AQ172" s="124" t="str">
        <f>IF($B172="","",IF(AQ$3=0,"n.b.",INDEX(SRC_Woningetalage!$A$1:$ZZ$501,$A172,AQ$3)))</f>
        <v/>
      </c>
      <c r="AR172" s="124" t="str">
        <f>IF($B172="","",IF(AR$3=0,"n.b.",INDEX(SRC_Woningetalage!$A$1:$ZZ$501,$A172,AR$3)))</f>
        <v/>
      </c>
      <c r="AS172" s="124" t="str">
        <f>IF($B172="","",IF(AS$3=0,"n.b.",INDEX(SRC_Woningetalage!$A$1:$ZZ$501,$A172,AS$3)))</f>
        <v/>
      </c>
      <c r="AT172" s="124" t="str">
        <f>IF($B172="","",IF(AT$3=0,"n.b.",INDEX(SRC_Woningetalage!$A$1:$ZZ$501,$A172,AT$3)))</f>
        <v/>
      </c>
      <c r="AU172" s="124" t="str">
        <f>IF($B172="","",IF(AU$3=0,"n.b.",INDEX(SRC_Woningetalage!$A$1:$ZZ$501,$A172,AU$3)))</f>
        <v/>
      </c>
      <c r="AV172" s="124" t="str">
        <f>IF($B172="","",IF(AV$3=0,"n.b.",INDEX(SRC_Woningetalage!$A$1:$ZZ$501,$A172,AV$3)))</f>
        <v/>
      </c>
      <c r="AW172" s="124" t="str">
        <f>IF($B172="","",IF(AW$3=0,"n.b.",INDEX(SRC_Woningetalage!$A$1:$ZZ$501,$A172,AW$3)))</f>
        <v/>
      </c>
      <c r="AX172" s="124" t="str">
        <f>IF($B172="","",IF(AX$3=0,"n.b.",INDEX(SRC_Woningetalage!$A$1:$ZZ$501,$A172,AX$3)))</f>
        <v/>
      </c>
      <c r="AY172" s="124" t="str">
        <f>IF($B172="","",IF(AY$3=0,"n.b.",INDEX(SRC_Woningetalage!$A$1:$ZZ$501,$A172,AY$3)))</f>
        <v/>
      </c>
      <c r="AZ172" s="124" t="str">
        <f>IF($B172="","",IF(AZ$3=0,"n.b.",INDEX(SRC_Woningetalage!$A$1:$ZZ$501,$A172,AZ$3)))</f>
        <v/>
      </c>
      <c r="BA172" s="124" t="str">
        <f>IF($B172="","",IF(BA$3=0,"n.b.",INDEX(SRC_Woningetalage!$A$1:$ZZ$501,$A172,BA$3)))</f>
        <v/>
      </c>
      <c r="BB172" s="124" t="str">
        <f>IF($B172="","",IF(BB$3=0,"n.b.",INDEX(SRC_Woningetalage!$A$1:$ZZ$501,$A172,BB$3)))</f>
        <v/>
      </c>
      <c r="BC172" s="124" t="str">
        <f>IF($B172="","",IFERROR(_xlfn.NUMBERVALUE(E172&amp;"",",","."),"n.b."))</f>
        <v/>
      </c>
      <c r="BD172" s="124" t="str">
        <f>IF($B172="","",IFERROR(_xlfn.NUMBERVALUE(M172&amp;"",",","."),"n.b."))</f>
        <v/>
      </c>
      <c r="BE172" s="124" t="str">
        <f>IF($B172="","",IFERROR(AB172+AC172+AD172,"n.b."))</f>
        <v/>
      </c>
      <c r="BF172" s="124" t="str">
        <f>IF($B172="","",IFERROR(AE172+AF172+AG172,"n.b."))</f>
        <v/>
      </c>
      <c r="BG172" s="124" t="str">
        <f>IF($B172="","",IFERROR(AH172+AI172+AJ172,"n.b."))</f>
        <v/>
      </c>
      <c r="BH172" s="124" t="str">
        <f>IF($B172="","",IFERROR(AK172+AL172+AM172,"n.b."))</f>
        <v/>
      </c>
      <c r="BI172" s="124" t="str">
        <f>IF($B172="","",IFERROR(SUMIF($AB$5:$AM$5,"&lt;="&amp;P_PeilMaand,AB172:AM172),"n.b."))</f>
        <v/>
      </c>
      <c r="BJ172" s="124" t="str">
        <f>IF($B172="","",IFERROR(SUM(AB172:AM172)-BI172,"n.b."))</f>
        <v/>
      </c>
      <c r="BK172" s="124" t="str">
        <f>IF($B172="","",IFERROR(IF(ABS(Q172-(T172+SUM(AB172:AM172)+AS172+AU172))&gt;P_Tol,1,0),1))</f>
        <v/>
      </c>
      <c r="BL172" s="124" t="str">
        <f>IF($B172="","",IFERROR(IF(ABS(AA172-(Q172-Z172))&gt;P_Tol,1,0),1))</f>
        <v/>
      </c>
      <c r="BM172" s="124" t="str">
        <f>IF($B172="","",IFERROR(IF(ABS(Z172-(T172+W172))&gt;P_Tol,1,0),1))</f>
        <v/>
      </c>
      <c r="BN172" s="124" t="str">
        <f>IF($B172="","",IFERROR(IF(ABS(W172-BI172)&gt;P_Tol,1,0),1))</f>
        <v/>
      </c>
      <c r="BO172" s="124" t="str">
        <f>IF($B172="","",IFERROR(IF(OR(ABS(R172+S172-T172)&gt;P_Tol,ABS(U172+V172-W172)&gt;P_Tol,ABS(X172+Y172-Z172)&gt;P_Tol),1,0),1))</f>
        <v/>
      </c>
      <c r="BP172" s="124" t="str">
        <f>IF($B172="","",IFERROR(IF(OR(ABS(AR172-SUM(AB172:AM172))&gt;P_Tol,ABS(AS172-(AN172+AO172+AP172+AQ172))&gt;P_Tol),1,0),1))</f>
        <v/>
      </c>
      <c r="BQ172" s="124" t="str">
        <f>IF($B172="","",IFERROR(IF(ABS(AT172)+ABS(AV172)+ABS(AW172)+ABS(AX172)+ABS(AY172)+ABS(AZ172)+ABS(BA172)+ABS(BB172)&gt;0,1,0),1))</f>
        <v/>
      </c>
      <c r="BR172" s="124" t="str">
        <f>IF($B172="","",COUNTIF(STG_ZPMW03!$B$6:$B$505,B172))</f>
        <v/>
      </c>
      <c r="BS172" s="124" t="str">
        <f>IF($B172="","",COUNTIF($B$6:$B$505,B172))</f>
        <v/>
      </c>
      <c r="BT172" s="124" t="str">
        <f>IF($B172="","",IF(BR172=0,0,IF(INDEX(STG_ZPMW03!$I$6:$I$505,MATCH(B172,STG_ZPMW03!$B$6:$B$505,0))=J172&amp;"",0,1)))</f>
        <v/>
      </c>
      <c r="BU172" s="124" t="str">
        <f>IF($B172="","",IFERROR(IF(ABS(INDEX(Mapping!$D$5:$D$104,MATCH(B172,Mapping!$A$5:$A$104,0))-Q172)&gt;P_Tol,1,0),0))</f>
        <v/>
      </c>
      <c r="BV172" s="124" t="str">
        <f>IF($B172="","",IFERROR(IF(AND(INDEX(Mapping!$G$5:$G$104,MATCH(B172,Mapping!$A$5:$A$104,0))="Nee",ABS(Q172)+ABS(Z172)+ABS(AR172)&gt;0),1,0),0))</f>
        <v/>
      </c>
      <c r="BW172" s="124" t="str">
        <f>IF($B172="","",IF(COUNTIF(Mapping!$A$5:$A$104,B172)&gt;0,1,0))</f>
        <v/>
      </c>
      <c r="BX172" s="124" t="str">
        <f>IF($B172="","",IF(BR172=0,COUNTIF($BR$6:BR172,0),""))</f>
        <v/>
      </c>
    </row>
    <row r="173">
      <c r="A173" s="15" t="n">
        <v>169</v>
      </c>
      <c r="B173" t="str">
        <f>IF(B$3=0,"",IF(INDEX(SRC_Woningetalage!$A$1:$ZZ$501,$A173,B$3)&amp;""="","",INDEX(SRC_Woningetalage!$A$1:$ZZ$501,$A173,B$3)&amp;""))</f>
        <v/>
      </c>
      <c r="C173" t="str">
        <f>IF($B173="","",IF(C$3=0,"n.b.",INDEX(SRC_Woningetalage!$A$1:$ZZ$501,$A173,C$3)))</f>
        <v/>
      </c>
      <c r="D173" t="str">
        <f>IF($B173="","",IF(D$3=0,"n.b.",INDEX(SRC_Woningetalage!$A$1:$ZZ$501,$A173,D$3)))</f>
        <v/>
      </c>
      <c r="E173" t="str">
        <f>IF($B173="","",IF(E$3=0,"n.b.",INDEX(SRC_Woningetalage!$A$1:$ZZ$501,$A173,E$3)))</f>
        <v/>
      </c>
      <c r="F173" t="str">
        <f>IF($B173="","",IF(F$3=0,"n.b.",INDEX(SRC_Woningetalage!$A$1:$ZZ$501,$A173,F$3)))</f>
        <v/>
      </c>
      <c r="G173" t="str">
        <f>IF($B173="","",IF(G$3=0,"n.b.",INDEX(SRC_Woningetalage!$A$1:$ZZ$501,$A173,G$3)))</f>
        <v/>
      </c>
      <c r="H173" t="str">
        <f>IF($B173="","",IF(H$3=0,"n.b.",INDEX(SRC_Woningetalage!$A$1:$ZZ$501,$A173,H$3)))</f>
        <v/>
      </c>
      <c r="I173" t="str">
        <f>IF($B173="","",IF(I$3=0,"n.b.",INDEX(SRC_Woningetalage!$A$1:$ZZ$501,$A173,I$3)))</f>
        <v/>
      </c>
      <c r="J173" t="str">
        <f>IF($B173="","",IF(J$3=0,"n.b.",INDEX(SRC_Woningetalage!$A$1:$ZZ$501,$A173,J$3)))</f>
        <v/>
      </c>
      <c r="K173" t="str">
        <f>IF($B173="","",IF(K$3=0,"n.b.",INDEX(SRC_Woningetalage!$A$1:$ZZ$501,$A173,K$3)))</f>
        <v/>
      </c>
      <c r="L173" t="str">
        <f>IF($B173="","",IF(L$3=0,"n.b.",INDEX(SRC_Woningetalage!$A$1:$ZZ$501,$A173,L$3)))</f>
        <v/>
      </c>
      <c r="M173" t="str">
        <f>IF($B173="","",IF(M$3=0,"n.b.",INDEX(SRC_Woningetalage!$A$1:$ZZ$501,$A173,M$3)))</f>
        <v/>
      </c>
      <c r="N173" t="str">
        <f>IF($B173="","",IF(N$3=0,"n.b.",INDEX(SRC_Woningetalage!$A$1:$ZZ$501,$A173,N$3)))</f>
        <v/>
      </c>
      <c r="O173" t="str">
        <f>IF($B173="","",IF(O$3=0,"n.b.",INDEX(SRC_Woningetalage!$A$1:$ZZ$501,$A173,O$3)))</f>
        <v/>
      </c>
      <c r="P173" t="str">
        <f>IF($B173="","",IF(P$3=0,"n.b.",INDEX(SRC_Woningetalage!$A$1:$ZZ$501,$A173,P$3)))</f>
        <v/>
      </c>
      <c r="Q173" s="124" t="str">
        <f>IF($B173="","",IF(Q$3=0,"n.b.",INDEX(SRC_Woningetalage!$A$1:$ZZ$501,$A173,Q$3)))</f>
        <v/>
      </c>
      <c r="R173" s="124" t="str">
        <f>IF($B173="","",IF(R$3=0,"n.b.",INDEX(SRC_Woningetalage!$A$1:$ZZ$501,$A173,R$3)))</f>
        <v/>
      </c>
      <c r="S173" s="124" t="str">
        <f>IF($B173="","",IF(S$3=0,"n.b.",INDEX(SRC_Woningetalage!$A$1:$ZZ$501,$A173,S$3)))</f>
        <v/>
      </c>
      <c r="T173" s="124" t="str">
        <f>IF($B173="","",IF(T$3=0,"n.b.",INDEX(SRC_Woningetalage!$A$1:$ZZ$501,$A173,T$3)))</f>
        <v/>
      </c>
      <c r="U173" s="124" t="str">
        <f>IF($B173="","",IF(U$3=0,"n.b.",INDEX(SRC_Woningetalage!$A$1:$ZZ$501,$A173,U$3)))</f>
        <v/>
      </c>
      <c r="V173" s="124" t="str">
        <f>IF($B173="","",IF(V$3=0,"n.b.",INDEX(SRC_Woningetalage!$A$1:$ZZ$501,$A173,V$3)))</f>
        <v/>
      </c>
      <c r="W173" s="124" t="str">
        <f>IF($B173="","",IF(W$3=0,"n.b.",INDEX(SRC_Woningetalage!$A$1:$ZZ$501,$A173,W$3)))</f>
        <v/>
      </c>
      <c r="X173" s="124" t="str">
        <f>IF($B173="","",IF(X$3=0,"n.b.",INDEX(SRC_Woningetalage!$A$1:$ZZ$501,$A173,X$3)))</f>
        <v/>
      </c>
      <c r="Y173" s="124" t="str">
        <f>IF($B173="","",IF(Y$3=0,"n.b.",INDEX(SRC_Woningetalage!$A$1:$ZZ$501,$A173,Y$3)))</f>
        <v/>
      </c>
      <c r="Z173" s="124" t="str">
        <f>IF($B173="","",IF(Z$3=0,"n.b.",INDEX(SRC_Woningetalage!$A$1:$ZZ$501,$A173,Z$3)))</f>
        <v/>
      </c>
      <c r="AA173" s="124" t="str">
        <f>IF($B173="","",IF(AA$3=0,"n.b.",INDEX(SRC_Woningetalage!$A$1:$ZZ$501,$A173,AA$3)))</f>
        <v/>
      </c>
      <c r="AB173" s="124" t="str">
        <f>IF($B173="","",IF(AB$3=0,"n.b.",INDEX(SRC_Woningetalage!$A$1:$ZZ$501,$A173,AB$3)))</f>
        <v/>
      </c>
      <c r="AC173" s="124" t="str">
        <f>IF($B173="","",IF(AC$3=0,"n.b.",INDEX(SRC_Woningetalage!$A$1:$ZZ$501,$A173,AC$3)))</f>
        <v/>
      </c>
      <c r="AD173" s="124" t="str">
        <f>IF($B173="","",IF(AD$3=0,"n.b.",INDEX(SRC_Woningetalage!$A$1:$ZZ$501,$A173,AD$3)))</f>
        <v/>
      </c>
      <c r="AE173" s="124" t="str">
        <f>IF($B173="","",IF(AE$3=0,"n.b.",INDEX(SRC_Woningetalage!$A$1:$ZZ$501,$A173,AE$3)))</f>
        <v/>
      </c>
      <c r="AF173" s="124" t="str">
        <f>IF($B173="","",IF(AF$3=0,"n.b.",INDEX(SRC_Woningetalage!$A$1:$ZZ$501,$A173,AF$3)))</f>
        <v/>
      </c>
      <c r="AG173" s="124" t="str">
        <f>IF($B173="","",IF(AG$3=0,"n.b.",INDEX(SRC_Woningetalage!$A$1:$ZZ$501,$A173,AG$3)))</f>
        <v/>
      </c>
      <c r="AH173" s="124" t="str">
        <f>IF($B173="","",IF(AH$3=0,"n.b.",INDEX(SRC_Woningetalage!$A$1:$ZZ$501,$A173,AH$3)))</f>
        <v/>
      </c>
      <c r="AI173" s="124" t="str">
        <f>IF($B173="","",IF(AI$3=0,"n.b.",INDEX(SRC_Woningetalage!$A$1:$ZZ$501,$A173,AI$3)))</f>
        <v/>
      </c>
      <c r="AJ173" s="124" t="str">
        <f>IF($B173="","",IF(AJ$3=0,"n.b.",INDEX(SRC_Woningetalage!$A$1:$ZZ$501,$A173,AJ$3)))</f>
        <v/>
      </c>
      <c r="AK173" s="124" t="str">
        <f>IF($B173="","",IF(AK$3=0,"n.b.",INDEX(SRC_Woningetalage!$A$1:$ZZ$501,$A173,AK$3)))</f>
        <v/>
      </c>
      <c r="AL173" s="124" t="str">
        <f>IF($B173="","",IF(AL$3=0,"n.b.",INDEX(SRC_Woningetalage!$A$1:$ZZ$501,$A173,AL$3)))</f>
        <v/>
      </c>
      <c r="AM173" s="124" t="str">
        <f>IF($B173="","",IF(AM$3=0,"n.b.",INDEX(SRC_Woningetalage!$A$1:$ZZ$501,$A173,AM$3)))</f>
        <v/>
      </c>
      <c r="AN173" s="124" t="str">
        <f>IF($B173="","",IF(AN$3=0,"n.b.",INDEX(SRC_Woningetalage!$A$1:$ZZ$501,$A173,AN$3)))</f>
        <v/>
      </c>
      <c r="AO173" s="124" t="str">
        <f>IF($B173="","",IF(AO$3=0,"n.b.",INDEX(SRC_Woningetalage!$A$1:$ZZ$501,$A173,AO$3)))</f>
        <v/>
      </c>
      <c r="AP173" s="124" t="str">
        <f>IF($B173="","",IF(AP$3=0,"n.b.",INDEX(SRC_Woningetalage!$A$1:$ZZ$501,$A173,AP$3)))</f>
        <v/>
      </c>
      <c r="AQ173" s="124" t="str">
        <f>IF($B173="","",IF(AQ$3=0,"n.b.",INDEX(SRC_Woningetalage!$A$1:$ZZ$501,$A173,AQ$3)))</f>
        <v/>
      </c>
      <c r="AR173" s="124" t="str">
        <f>IF($B173="","",IF(AR$3=0,"n.b.",INDEX(SRC_Woningetalage!$A$1:$ZZ$501,$A173,AR$3)))</f>
        <v/>
      </c>
      <c r="AS173" s="124" t="str">
        <f>IF($B173="","",IF(AS$3=0,"n.b.",INDEX(SRC_Woningetalage!$A$1:$ZZ$501,$A173,AS$3)))</f>
        <v/>
      </c>
      <c r="AT173" s="124" t="str">
        <f>IF($B173="","",IF(AT$3=0,"n.b.",INDEX(SRC_Woningetalage!$A$1:$ZZ$501,$A173,AT$3)))</f>
        <v/>
      </c>
      <c r="AU173" s="124" t="str">
        <f>IF($B173="","",IF(AU$3=0,"n.b.",INDEX(SRC_Woningetalage!$A$1:$ZZ$501,$A173,AU$3)))</f>
        <v/>
      </c>
      <c r="AV173" s="124" t="str">
        <f>IF($B173="","",IF(AV$3=0,"n.b.",INDEX(SRC_Woningetalage!$A$1:$ZZ$501,$A173,AV$3)))</f>
        <v/>
      </c>
      <c r="AW173" s="124" t="str">
        <f>IF($B173="","",IF(AW$3=0,"n.b.",INDEX(SRC_Woningetalage!$A$1:$ZZ$501,$A173,AW$3)))</f>
        <v/>
      </c>
      <c r="AX173" s="124" t="str">
        <f>IF($B173="","",IF(AX$3=0,"n.b.",INDEX(SRC_Woningetalage!$A$1:$ZZ$501,$A173,AX$3)))</f>
        <v/>
      </c>
      <c r="AY173" s="124" t="str">
        <f>IF($B173="","",IF(AY$3=0,"n.b.",INDEX(SRC_Woningetalage!$A$1:$ZZ$501,$A173,AY$3)))</f>
        <v/>
      </c>
      <c r="AZ173" s="124" t="str">
        <f>IF($B173="","",IF(AZ$3=0,"n.b.",INDEX(SRC_Woningetalage!$A$1:$ZZ$501,$A173,AZ$3)))</f>
        <v/>
      </c>
      <c r="BA173" s="124" t="str">
        <f>IF($B173="","",IF(BA$3=0,"n.b.",INDEX(SRC_Woningetalage!$A$1:$ZZ$501,$A173,BA$3)))</f>
        <v/>
      </c>
      <c r="BB173" s="124" t="str">
        <f>IF($B173="","",IF(BB$3=0,"n.b.",INDEX(SRC_Woningetalage!$A$1:$ZZ$501,$A173,BB$3)))</f>
        <v/>
      </c>
      <c r="BC173" s="124" t="str">
        <f>IF($B173="","",IFERROR(_xlfn.NUMBERVALUE(E173&amp;"",",","."),"n.b."))</f>
        <v/>
      </c>
      <c r="BD173" s="124" t="str">
        <f>IF($B173="","",IFERROR(_xlfn.NUMBERVALUE(M173&amp;"",",","."),"n.b."))</f>
        <v/>
      </c>
      <c r="BE173" s="124" t="str">
        <f>IF($B173="","",IFERROR(AB173+AC173+AD173,"n.b."))</f>
        <v/>
      </c>
      <c r="BF173" s="124" t="str">
        <f>IF($B173="","",IFERROR(AE173+AF173+AG173,"n.b."))</f>
        <v/>
      </c>
      <c r="BG173" s="124" t="str">
        <f>IF($B173="","",IFERROR(AH173+AI173+AJ173,"n.b."))</f>
        <v/>
      </c>
      <c r="BH173" s="124" t="str">
        <f>IF($B173="","",IFERROR(AK173+AL173+AM173,"n.b."))</f>
        <v/>
      </c>
      <c r="BI173" s="124" t="str">
        <f>IF($B173="","",IFERROR(SUMIF($AB$5:$AM$5,"&lt;="&amp;P_PeilMaand,AB173:AM173),"n.b."))</f>
        <v/>
      </c>
      <c r="BJ173" s="124" t="str">
        <f>IF($B173="","",IFERROR(SUM(AB173:AM173)-BI173,"n.b."))</f>
        <v/>
      </c>
      <c r="BK173" s="124" t="str">
        <f>IF($B173="","",IFERROR(IF(ABS(Q173-(T173+SUM(AB173:AM173)+AS173+AU173))&gt;P_Tol,1,0),1))</f>
        <v/>
      </c>
      <c r="BL173" s="124" t="str">
        <f>IF($B173="","",IFERROR(IF(ABS(AA173-(Q173-Z173))&gt;P_Tol,1,0),1))</f>
        <v/>
      </c>
      <c r="BM173" s="124" t="str">
        <f>IF($B173="","",IFERROR(IF(ABS(Z173-(T173+W173))&gt;P_Tol,1,0),1))</f>
        <v/>
      </c>
      <c r="BN173" s="124" t="str">
        <f>IF($B173="","",IFERROR(IF(ABS(W173-BI173)&gt;P_Tol,1,0),1))</f>
        <v/>
      </c>
      <c r="BO173" s="124" t="str">
        <f>IF($B173="","",IFERROR(IF(OR(ABS(R173+S173-T173)&gt;P_Tol,ABS(U173+V173-W173)&gt;P_Tol,ABS(X173+Y173-Z173)&gt;P_Tol),1,0),1))</f>
        <v/>
      </c>
      <c r="BP173" s="124" t="str">
        <f>IF($B173="","",IFERROR(IF(OR(ABS(AR173-SUM(AB173:AM173))&gt;P_Tol,ABS(AS173-(AN173+AO173+AP173+AQ173))&gt;P_Tol),1,0),1))</f>
        <v/>
      </c>
      <c r="BQ173" s="124" t="str">
        <f>IF($B173="","",IFERROR(IF(ABS(AT173)+ABS(AV173)+ABS(AW173)+ABS(AX173)+ABS(AY173)+ABS(AZ173)+ABS(BA173)+ABS(BB173)&gt;0,1,0),1))</f>
        <v/>
      </c>
      <c r="BR173" s="124" t="str">
        <f>IF($B173="","",COUNTIF(STG_ZPMW03!$B$6:$B$505,B173))</f>
        <v/>
      </c>
      <c r="BS173" s="124" t="str">
        <f>IF($B173="","",COUNTIF($B$6:$B$505,B173))</f>
        <v/>
      </c>
      <c r="BT173" s="124" t="str">
        <f>IF($B173="","",IF(BR173=0,0,IF(INDEX(STG_ZPMW03!$I$6:$I$505,MATCH(B173,STG_ZPMW03!$B$6:$B$505,0))=J173&amp;"",0,1)))</f>
        <v/>
      </c>
      <c r="BU173" s="124" t="str">
        <f>IF($B173="","",IFERROR(IF(ABS(INDEX(Mapping!$D$5:$D$104,MATCH(B173,Mapping!$A$5:$A$104,0))-Q173)&gt;P_Tol,1,0),0))</f>
        <v/>
      </c>
      <c r="BV173" s="124" t="str">
        <f>IF($B173="","",IFERROR(IF(AND(INDEX(Mapping!$G$5:$G$104,MATCH(B173,Mapping!$A$5:$A$104,0))="Nee",ABS(Q173)+ABS(Z173)+ABS(AR173)&gt;0),1,0),0))</f>
        <v/>
      </c>
      <c r="BW173" s="124" t="str">
        <f>IF($B173="","",IF(COUNTIF(Mapping!$A$5:$A$104,B173)&gt;0,1,0))</f>
        <v/>
      </c>
      <c r="BX173" s="124" t="str">
        <f>IF($B173="","",IF(BR173=0,COUNTIF($BR$6:BR173,0),""))</f>
        <v/>
      </c>
    </row>
    <row r="174">
      <c r="A174" s="15" t="n">
        <v>170</v>
      </c>
      <c r="B174" t="str">
        <f>IF(B$3=0,"",IF(INDEX(SRC_Woningetalage!$A$1:$ZZ$501,$A174,B$3)&amp;""="","",INDEX(SRC_Woningetalage!$A$1:$ZZ$501,$A174,B$3)&amp;""))</f>
        <v/>
      </c>
      <c r="C174" t="str">
        <f>IF($B174="","",IF(C$3=0,"n.b.",INDEX(SRC_Woningetalage!$A$1:$ZZ$501,$A174,C$3)))</f>
        <v/>
      </c>
      <c r="D174" t="str">
        <f>IF($B174="","",IF(D$3=0,"n.b.",INDEX(SRC_Woningetalage!$A$1:$ZZ$501,$A174,D$3)))</f>
        <v/>
      </c>
      <c r="E174" t="str">
        <f>IF($B174="","",IF(E$3=0,"n.b.",INDEX(SRC_Woningetalage!$A$1:$ZZ$501,$A174,E$3)))</f>
        <v/>
      </c>
      <c r="F174" t="str">
        <f>IF($B174="","",IF(F$3=0,"n.b.",INDEX(SRC_Woningetalage!$A$1:$ZZ$501,$A174,F$3)))</f>
        <v/>
      </c>
      <c r="G174" t="str">
        <f>IF($B174="","",IF(G$3=0,"n.b.",INDEX(SRC_Woningetalage!$A$1:$ZZ$501,$A174,G$3)))</f>
        <v/>
      </c>
      <c r="H174" t="str">
        <f>IF($B174="","",IF(H$3=0,"n.b.",INDEX(SRC_Woningetalage!$A$1:$ZZ$501,$A174,H$3)))</f>
        <v/>
      </c>
      <c r="I174" t="str">
        <f>IF($B174="","",IF(I$3=0,"n.b.",INDEX(SRC_Woningetalage!$A$1:$ZZ$501,$A174,I$3)))</f>
        <v/>
      </c>
      <c r="J174" t="str">
        <f>IF($B174="","",IF(J$3=0,"n.b.",INDEX(SRC_Woningetalage!$A$1:$ZZ$501,$A174,J$3)))</f>
        <v/>
      </c>
      <c r="K174" t="str">
        <f>IF($B174="","",IF(K$3=0,"n.b.",INDEX(SRC_Woningetalage!$A$1:$ZZ$501,$A174,K$3)))</f>
        <v/>
      </c>
      <c r="L174" t="str">
        <f>IF($B174="","",IF(L$3=0,"n.b.",INDEX(SRC_Woningetalage!$A$1:$ZZ$501,$A174,L$3)))</f>
        <v/>
      </c>
      <c r="M174" t="str">
        <f>IF($B174="","",IF(M$3=0,"n.b.",INDEX(SRC_Woningetalage!$A$1:$ZZ$501,$A174,M$3)))</f>
        <v/>
      </c>
      <c r="N174" t="str">
        <f>IF($B174="","",IF(N$3=0,"n.b.",INDEX(SRC_Woningetalage!$A$1:$ZZ$501,$A174,N$3)))</f>
        <v/>
      </c>
      <c r="O174" t="str">
        <f>IF($B174="","",IF(O$3=0,"n.b.",INDEX(SRC_Woningetalage!$A$1:$ZZ$501,$A174,O$3)))</f>
        <v/>
      </c>
      <c r="P174" t="str">
        <f>IF($B174="","",IF(P$3=0,"n.b.",INDEX(SRC_Woningetalage!$A$1:$ZZ$501,$A174,P$3)))</f>
        <v/>
      </c>
      <c r="Q174" s="124" t="str">
        <f>IF($B174="","",IF(Q$3=0,"n.b.",INDEX(SRC_Woningetalage!$A$1:$ZZ$501,$A174,Q$3)))</f>
        <v/>
      </c>
      <c r="R174" s="124" t="str">
        <f>IF($B174="","",IF(R$3=0,"n.b.",INDEX(SRC_Woningetalage!$A$1:$ZZ$501,$A174,R$3)))</f>
        <v/>
      </c>
      <c r="S174" s="124" t="str">
        <f>IF($B174="","",IF(S$3=0,"n.b.",INDEX(SRC_Woningetalage!$A$1:$ZZ$501,$A174,S$3)))</f>
        <v/>
      </c>
      <c r="T174" s="124" t="str">
        <f>IF($B174="","",IF(T$3=0,"n.b.",INDEX(SRC_Woningetalage!$A$1:$ZZ$501,$A174,T$3)))</f>
        <v/>
      </c>
      <c r="U174" s="124" t="str">
        <f>IF($B174="","",IF(U$3=0,"n.b.",INDEX(SRC_Woningetalage!$A$1:$ZZ$501,$A174,U$3)))</f>
        <v/>
      </c>
      <c r="V174" s="124" t="str">
        <f>IF($B174="","",IF(V$3=0,"n.b.",INDEX(SRC_Woningetalage!$A$1:$ZZ$501,$A174,V$3)))</f>
        <v/>
      </c>
      <c r="W174" s="124" t="str">
        <f>IF($B174="","",IF(W$3=0,"n.b.",INDEX(SRC_Woningetalage!$A$1:$ZZ$501,$A174,W$3)))</f>
        <v/>
      </c>
      <c r="X174" s="124" t="str">
        <f>IF($B174="","",IF(X$3=0,"n.b.",INDEX(SRC_Woningetalage!$A$1:$ZZ$501,$A174,X$3)))</f>
        <v/>
      </c>
      <c r="Y174" s="124" t="str">
        <f>IF($B174="","",IF(Y$3=0,"n.b.",INDEX(SRC_Woningetalage!$A$1:$ZZ$501,$A174,Y$3)))</f>
        <v/>
      </c>
      <c r="Z174" s="124" t="str">
        <f>IF($B174="","",IF(Z$3=0,"n.b.",INDEX(SRC_Woningetalage!$A$1:$ZZ$501,$A174,Z$3)))</f>
        <v/>
      </c>
      <c r="AA174" s="124" t="str">
        <f>IF($B174="","",IF(AA$3=0,"n.b.",INDEX(SRC_Woningetalage!$A$1:$ZZ$501,$A174,AA$3)))</f>
        <v/>
      </c>
      <c r="AB174" s="124" t="str">
        <f>IF($B174="","",IF(AB$3=0,"n.b.",INDEX(SRC_Woningetalage!$A$1:$ZZ$501,$A174,AB$3)))</f>
        <v/>
      </c>
      <c r="AC174" s="124" t="str">
        <f>IF($B174="","",IF(AC$3=0,"n.b.",INDEX(SRC_Woningetalage!$A$1:$ZZ$501,$A174,AC$3)))</f>
        <v/>
      </c>
      <c r="AD174" s="124" t="str">
        <f>IF($B174="","",IF(AD$3=0,"n.b.",INDEX(SRC_Woningetalage!$A$1:$ZZ$501,$A174,AD$3)))</f>
        <v/>
      </c>
      <c r="AE174" s="124" t="str">
        <f>IF($B174="","",IF(AE$3=0,"n.b.",INDEX(SRC_Woningetalage!$A$1:$ZZ$501,$A174,AE$3)))</f>
        <v/>
      </c>
      <c r="AF174" s="124" t="str">
        <f>IF($B174="","",IF(AF$3=0,"n.b.",INDEX(SRC_Woningetalage!$A$1:$ZZ$501,$A174,AF$3)))</f>
        <v/>
      </c>
      <c r="AG174" s="124" t="str">
        <f>IF($B174="","",IF(AG$3=0,"n.b.",INDEX(SRC_Woningetalage!$A$1:$ZZ$501,$A174,AG$3)))</f>
        <v/>
      </c>
      <c r="AH174" s="124" t="str">
        <f>IF($B174="","",IF(AH$3=0,"n.b.",INDEX(SRC_Woningetalage!$A$1:$ZZ$501,$A174,AH$3)))</f>
        <v/>
      </c>
      <c r="AI174" s="124" t="str">
        <f>IF($B174="","",IF(AI$3=0,"n.b.",INDEX(SRC_Woningetalage!$A$1:$ZZ$501,$A174,AI$3)))</f>
        <v/>
      </c>
      <c r="AJ174" s="124" t="str">
        <f>IF($B174="","",IF(AJ$3=0,"n.b.",INDEX(SRC_Woningetalage!$A$1:$ZZ$501,$A174,AJ$3)))</f>
        <v/>
      </c>
      <c r="AK174" s="124" t="str">
        <f>IF($B174="","",IF(AK$3=0,"n.b.",INDEX(SRC_Woningetalage!$A$1:$ZZ$501,$A174,AK$3)))</f>
        <v/>
      </c>
      <c r="AL174" s="124" t="str">
        <f>IF($B174="","",IF(AL$3=0,"n.b.",INDEX(SRC_Woningetalage!$A$1:$ZZ$501,$A174,AL$3)))</f>
        <v/>
      </c>
      <c r="AM174" s="124" t="str">
        <f>IF($B174="","",IF(AM$3=0,"n.b.",INDEX(SRC_Woningetalage!$A$1:$ZZ$501,$A174,AM$3)))</f>
        <v/>
      </c>
      <c r="AN174" s="124" t="str">
        <f>IF($B174="","",IF(AN$3=0,"n.b.",INDEX(SRC_Woningetalage!$A$1:$ZZ$501,$A174,AN$3)))</f>
        <v/>
      </c>
      <c r="AO174" s="124" t="str">
        <f>IF($B174="","",IF(AO$3=0,"n.b.",INDEX(SRC_Woningetalage!$A$1:$ZZ$501,$A174,AO$3)))</f>
        <v/>
      </c>
      <c r="AP174" s="124" t="str">
        <f>IF($B174="","",IF(AP$3=0,"n.b.",INDEX(SRC_Woningetalage!$A$1:$ZZ$501,$A174,AP$3)))</f>
        <v/>
      </c>
      <c r="AQ174" s="124" t="str">
        <f>IF($B174="","",IF(AQ$3=0,"n.b.",INDEX(SRC_Woningetalage!$A$1:$ZZ$501,$A174,AQ$3)))</f>
        <v/>
      </c>
      <c r="AR174" s="124" t="str">
        <f>IF($B174="","",IF(AR$3=0,"n.b.",INDEX(SRC_Woningetalage!$A$1:$ZZ$501,$A174,AR$3)))</f>
        <v/>
      </c>
      <c r="AS174" s="124" t="str">
        <f>IF($B174="","",IF(AS$3=0,"n.b.",INDEX(SRC_Woningetalage!$A$1:$ZZ$501,$A174,AS$3)))</f>
        <v/>
      </c>
      <c r="AT174" s="124" t="str">
        <f>IF($B174="","",IF(AT$3=0,"n.b.",INDEX(SRC_Woningetalage!$A$1:$ZZ$501,$A174,AT$3)))</f>
        <v/>
      </c>
      <c r="AU174" s="124" t="str">
        <f>IF($B174="","",IF(AU$3=0,"n.b.",INDEX(SRC_Woningetalage!$A$1:$ZZ$501,$A174,AU$3)))</f>
        <v/>
      </c>
      <c r="AV174" s="124" t="str">
        <f>IF($B174="","",IF(AV$3=0,"n.b.",INDEX(SRC_Woningetalage!$A$1:$ZZ$501,$A174,AV$3)))</f>
        <v/>
      </c>
      <c r="AW174" s="124" t="str">
        <f>IF($B174="","",IF(AW$3=0,"n.b.",INDEX(SRC_Woningetalage!$A$1:$ZZ$501,$A174,AW$3)))</f>
        <v/>
      </c>
      <c r="AX174" s="124" t="str">
        <f>IF($B174="","",IF(AX$3=0,"n.b.",INDEX(SRC_Woningetalage!$A$1:$ZZ$501,$A174,AX$3)))</f>
        <v/>
      </c>
      <c r="AY174" s="124" t="str">
        <f>IF($B174="","",IF(AY$3=0,"n.b.",INDEX(SRC_Woningetalage!$A$1:$ZZ$501,$A174,AY$3)))</f>
        <v/>
      </c>
      <c r="AZ174" s="124" t="str">
        <f>IF($B174="","",IF(AZ$3=0,"n.b.",INDEX(SRC_Woningetalage!$A$1:$ZZ$501,$A174,AZ$3)))</f>
        <v/>
      </c>
      <c r="BA174" s="124" t="str">
        <f>IF($B174="","",IF(BA$3=0,"n.b.",INDEX(SRC_Woningetalage!$A$1:$ZZ$501,$A174,BA$3)))</f>
        <v/>
      </c>
      <c r="BB174" s="124" t="str">
        <f>IF($B174="","",IF(BB$3=0,"n.b.",INDEX(SRC_Woningetalage!$A$1:$ZZ$501,$A174,BB$3)))</f>
        <v/>
      </c>
      <c r="BC174" s="124" t="str">
        <f>IF($B174="","",IFERROR(_xlfn.NUMBERVALUE(E174&amp;"",",","."),"n.b."))</f>
        <v/>
      </c>
      <c r="BD174" s="124" t="str">
        <f>IF($B174="","",IFERROR(_xlfn.NUMBERVALUE(M174&amp;"",",","."),"n.b."))</f>
        <v/>
      </c>
      <c r="BE174" s="124" t="str">
        <f>IF($B174="","",IFERROR(AB174+AC174+AD174,"n.b."))</f>
        <v/>
      </c>
      <c r="BF174" s="124" t="str">
        <f>IF($B174="","",IFERROR(AE174+AF174+AG174,"n.b."))</f>
        <v/>
      </c>
      <c r="BG174" s="124" t="str">
        <f>IF($B174="","",IFERROR(AH174+AI174+AJ174,"n.b."))</f>
        <v/>
      </c>
      <c r="BH174" s="124" t="str">
        <f>IF($B174="","",IFERROR(AK174+AL174+AM174,"n.b."))</f>
        <v/>
      </c>
      <c r="BI174" s="124" t="str">
        <f>IF($B174="","",IFERROR(SUMIF($AB$5:$AM$5,"&lt;="&amp;P_PeilMaand,AB174:AM174),"n.b."))</f>
        <v/>
      </c>
      <c r="BJ174" s="124" t="str">
        <f>IF($B174="","",IFERROR(SUM(AB174:AM174)-BI174,"n.b."))</f>
        <v/>
      </c>
      <c r="BK174" s="124" t="str">
        <f>IF($B174="","",IFERROR(IF(ABS(Q174-(T174+SUM(AB174:AM174)+AS174+AU174))&gt;P_Tol,1,0),1))</f>
        <v/>
      </c>
      <c r="BL174" s="124" t="str">
        <f>IF($B174="","",IFERROR(IF(ABS(AA174-(Q174-Z174))&gt;P_Tol,1,0),1))</f>
        <v/>
      </c>
      <c r="BM174" s="124" t="str">
        <f>IF($B174="","",IFERROR(IF(ABS(Z174-(T174+W174))&gt;P_Tol,1,0),1))</f>
        <v/>
      </c>
      <c r="BN174" s="124" t="str">
        <f>IF($B174="","",IFERROR(IF(ABS(W174-BI174)&gt;P_Tol,1,0),1))</f>
        <v/>
      </c>
      <c r="BO174" s="124" t="str">
        <f>IF($B174="","",IFERROR(IF(OR(ABS(R174+S174-T174)&gt;P_Tol,ABS(U174+V174-W174)&gt;P_Tol,ABS(X174+Y174-Z174)&gt;P_Tol),1,0),1))</f>
        <v/>
      </c>
      <c r="BP174" s="124" t="str">
        <f>IF($B174="","",IFERROR(IF(OR(ABS(AR174-SUM(AB174:AM174))&gt;P_Tol,ABS(AS174-(AN174+AO174+AP174+AQ174))&gt;P_Tol),1,0),1))</f>
        <v/>
      </c>
      <c r="BQ174" s="124" t="str">
        <f>IF($B174="","",IFERROR(IF(ABS(AT174)+ABS(AV174)+ABS(AW174)+ABS(AX174)+ABS(AY174)+ABS(AZ174)+ABS(BA174)+ABS(BB174)&gt;0,1,0),1))</f>
        <v/>
      </c>
      <c r="BR174" s="124" t="str">
        <f>IF($B174="","",COUNTIF(STG_ZPMW03!$B$6:$B$505,B174))</f>
        <v/>
      </c>
      <c r="BS174" s="124" t="str">
        <f>IF($B174="","",COUNTIF($B$6:$B$505,B174))</f>
        <v/>
      </c>
      <c r="BT174" s="124" t="str">
        <f>IF($B174="","",IF(BR174=0,0,IF(INDEX(STG_ZPMW03!$I$6:$I$505,MATCH(B174,STG_ZPMW03!$B$6:$B$505,0))=J174&amp;"",0,1)))</f>
        <v/>
      </c>
      <c r="BU174" s="124" t="str">
        <f>IF($B174="","",IFERROR(IF(ABS(INDEX(Mapping!$D$5:$D$104,MATCH(B174,Mapping!$A$5:$A$104,0))-Q174)&gt;P_Tol,1,0),0))</f>
        <v/>
      </c>
      <c r="BV174" s="124" t="str">
        <f>IF($B174="","",IFERROR(IF(AND(INDEX(Mapping!$G$5:$G$104,MATCH(B174,Mapping!$A$5:$A$104,0))="Nee",ABS(Q174)+ABS(Z174)+ABS(AR174)&gt;0),1,0),0))</f>
        <v/>
      </c>
      <c r="BW174" s="124" t="str">
        <f>IF($B174="","",IF(COUNTIF(Mapping!$A$5:$A$104,B174)&gt;0,1,0))</f>
        <v/>
      </c>
      <c r="BX174" s="124" t="str">
        <f>IF($B174="","",IF(BR174=0,COUNTIF($BR$6:BR174,0),""))</f>
        <v/>
      </c>
    </row>
    <row r="175">
      <c r="A175" s="15" t="n">
        <v>171</v>
      </c>
      <c r="B175" t="str">
        <f>IF(B$3=0,"",IF(INDEX(SRC_Woningetalage!$A$1:$ZZ$501,$A175,B$3)&amp;""="","",INDEX(SRC_Woningetalage!$A$1:$ZZ$501,$A175,B$3)&amp;""))</f>
        <v/>
      </c>
      <c r="C175" t="str">
        <f>IF($B175="","",IF(C$3=0,"n.b.",INDEX(SRC_Woningetalage!$A$1:$ZZ$501,$A175,C$3)))</f>
        <v/>
      </c>
      <c r="D175" t="str">
        <f>IF($B175="","",IF(D$3=0,"n.b.",INDEX(SRC_Woningetalage!$A$1:$ZZ$501,$A175,D$3)))</f>
        <v/>
      </c>
      <c r="E175" t="str">
        <f>IF($B175="","",IF(E$3=0,"n.b.",INDEX(SRC_Woningetalage!$A$1:$ZZ$501,$A175,E$3)))</f>
        <v/>
      </c>
      <c r="F175" t="str">
        <f>IF($B175="","",IF(F$3=0,"n.b.",INDEX(SRC_Woningetalage!$A$1:$ZZ$501,$A175,F$3)))</f>
        <v/>
      </c>
      <c r="G175" t="str">
        <f>IF($B175="","",IF(G$3=0,"n.b.",INDEX(SRC_Woningetalage!$A$1:$ZZ$501,$A175,G$3)))</f>
        <v/>
      </c>
      <c r="H175" t="str">
        <f>IF($B175="","",IF(H$3=0,"n.b.",INDEX(SRC_Woningetalage!$A$1:$ZZ$501,$A175,H$3)))</f>
        <v/>
      </c>
      <c r="I175" t="str">
        <f>IF($B175="","",IF(I$3=0,"n.b.",INDEX(SRC_Woningetalage!$A$1:$ZZ$501,$A175,I$3)))</f>
        <v/>
      </c>
      <c r="J175" t="str">
        <f>IF($B175="","",IF(J$3=0,"n.b.",INDEX(SRC_Woningetalage!$A$1:$ZZ$501,$A175,J$3)))</f>
        <v/>
      </c>
      <c r="K175" t="str">
        <f>IF($B175="","",IF(K$3=0,"n.b.",INDEX(SRC_Woningetalage!$A$1:$ZZ$501,$A175,K$3)))</f>
        <v/>
      </c>
      <c r="L175" t="str">
        <f>IF($B175="","",IF(L$3=0,"n.b.",INDEX(SRC_Woningetalage!$A$1:$ZZ$501,$A175,L$3)))</f>
        <v/>
      </c>
      <c r="M175" t="str">
        <f>IF($B175="","",IF(M$3=0,"n.b.",INDEX(SRC_Woningetalage!$A$1:$ZZ$501,$A175,M$3)))</f>
        <v/>
      </c>
      <c r="N175" t="str">
        <f>IF($B175="","",IF(N$3=0,"n.b.",INDEX(SRC_Woningetalage!$A$1:$ZZ$501,$A175,N$3)))</f>
        <v/>
      </c>
      <c r="O175" t="str">
        <f>IF($B175="","",IF(O$3=0,"n.b.",INDEX(SRC_Woningetalage!$A$1:$ZZ$501,$A175,O$3)))</f>
        <v/>
      </c>
      <c r="P175" t="str">
        <f>IF($B175="","",IF(P$3=0,"n.b.",INDEX(SRC_Woningetalage!$A$1:$ZZ$501,$A175,P$3)))</f>
        <v/>
      </c>
      <c r="Q175" s="124" t="str">
        <f>IF($B175="","",IF(Q$3=0,"n.b.",INDEX(SRC_Woningetalage!$A$1:$ZZ$501,$A175,Q$3)))</f>
        <v/>
      </c>
      <c r="R175" s="124" t="str">
        <f>IF($B175="","",IF(R$3=0,"n.b.",INDEX(SRC_Woningetalage!$A$1:$ZZ$501,$A175,R$3)))</f>
        <v/>
      </c>
      <c r="S175" s="124" t="str">
        <f>IF($B175="","",IF(S$3=0,"n.b.",INDEX(SRC_Woningetalage!$A$1:$ZZ$501,$A175,S$3)))</f>
        <v/>
      </c>
      <c r="T175" s="124" t="str">
        <f>IF($B175="","",IF(T$3=0,"n.b.",INDEX(SRC_Woningetalage!$A$1:$ZZ$501,$A175,T$3)))</f>
        <v/>
      </c>
      <c r="U175" s="124" t="str">
        <f>IF($B175="","",IF(U$3=0,"n.b.",INDEX(SRC_Woningetalage!$A$1:$ZZ$501,$A175,U$3)))</f>
        <v/>
      </c>
      <c r="V175" s="124" t="str">
        <f>IF($B175="","",IF(V$3=0,"n.b.",INDEX(SRC_Woningetalage!$A$1:$ZZ$501,$A175,V$3)))</f>
        <v/>
      </c>
      <c r="W175" s="124" t="str">
        <f>IF($B175="","",IF(W$3=0,"n.b.",INDEX(SRC_Woningetalage!$A$1:$ZZ$501,$A175,W$3)))</f>
        <v/>
      </c>
      <c r="X175" s="124" t="str">
        <f>IF($B175="","",IF(X$3=0,"n.b.",INDEX(SRC_Woningetalage!$A$1:$ZZ$501,$A175,X$3)))</f>
        <v/>
      </c>
      <c r="Y175" s="124" t="str">
        <f>IF($B175="","",IF(Y$3=0,"n.b.",INDEX(SRC_Woningetalage!$A$1:$ZZ$501,$A175,Y$3)))</f>
        <v/>
      </c>
      <c r="Z175" s="124" t="str">
        <f>IF($B175="","",IF(Z$3=0,"n.b.",INDEX(SRC_Woningetalage!$A$1:$ZZ$501,$A175,Z$3)))</f>
        <v/>
      </c>
      <c r="AA175" s="124" t="str">
        <f>IF($B175="","",IF(AA$3=0,"n.b.",INDEX(SRC_Woningetalage!$A$1:$ZZ$501,$A175,AA$3)))</f>
        <v/>
      </c>
      <c r="AB175" s="124" t="str">
        <f>IF($B175="","",IF(AB$3=0,"n.b.",INDEX(SRC_Woningetalage!$A$1:$ZZ$501,$A175,AB$3)))</f>
        <v/>
      </c>
      <c r="AC175" s="124" t="str">
        <f>IF($B175="","",IF(AC$3=0,"n.b.",INDEX(SRC_Woningetalage!$A$1:$ZZ$501,$A175,AC$3)))</f>
        <v/>
      </c>
      <c r="AD175" s="124" t="str">
        <f>IF($B175="","",IF(AD$3=0,"n.b.",INDEX(SRC_Woningetalage!$A$1:$ZZ$501,$A175,AD$3)))</f>
        <v/>
      </c>
      <c r="AE175" s="124" t="str">
        <f>IF($B175="","",IF(AE$3=0,"n.b.",INDEX(SRC_Woningetalage!$A$1:$ZZ$501,$A175,AE$3)))</f>
        <v/>
      </c>
      <c r="AF175" s="124" t="str">
        <f>IF($B175="","",IF(AF$3=0,"n.b.",INDEX(SRC_Woningetalage!$A$1:$ZZ$501,$A175,AF$3)))</f>
        <v/>
      </c>
      <c r="AG175" s="124" t="str">
        <f>IF($B175="","",IF(AG$3=0,"n.b.",INDEX(SRC_Woningetalage!$A$1:$ZZ$501,$A175,AG$3)))</f>
        <v/>
      </c>
      <c r="AH175" s="124" t="str">
        <f>IF($B175="","",IF(AH$3=0,"n.b.",INDEX(SRC_Woningetalage!$A$1:$ZZ$501,$A175,AH$3)))</f>
        <v/>
      </c>
      <c r="AI175" s="124" t="str">
        <f>IF($B175="","",IF(AI$3=0,"n.b.",INDEX(SRC_Woningetalage!$A$1:$ZZ$501,$A175,AI$3)))</f>
        <v/>
      </c>
      <c r="AJ175" s="124" t="str">
        <f>IF($B175="","",IF(AJ$3=0,"n.b.",INDEX(SRC_Woningetalage!$A$1:$ZZ$501,$A175,AJ$3)))</f>
        <v/>
      </c>
      <c r="AK175" s="124" t="str">
        <f>IF($B175="","",IF(AK$3=0,"n.b.",INDEX(SRC_Woningetalage!$A$1:$ZZ$501,$A175,AK$3)))</f>
        <v/>
      </c>
      <c r="AL175" s="124" t="str">
        <f>IF($B175="","",IF(AL$3=0,"n.b.",INDEX(SRC_Woningetalage!$A$1:$ZZ$501,$A175,AL$3)))</f>
        <v/>
      </c>
      <c r="AM175" s="124" t="str">
        <f>IF($B175="","",IF(AM$3=0,"n.b.",INDEX(SRC_Woningetalage!$A$1:$ZZ$501,$A175,AM$3)))</f>
        <v/>
      </c>
      <c r="AN175" s="124" t="str">
        <f>IF($B175="","",IF(AN$3=0,"n.b.",INDEX(SRC_Woningetalage!$A$1:$ZZ$501,$A175,AN$3)))</f>
        <v/>
      </c>
      <c r="AO175" s="124" t="str">
        <f>IF($B175="","",IF(AO$3=0,"n.b.",INDEX(SRC_Woningetalage!$A$1:$ZZ$501,$A175,AO$3)))</f>
        <v/>
      </c>
      <c r="AP175" s="124" t="str">
        <f>IF($B175="","",IF(AP$3=0,"n.b.",INDEX(SRC_Woningetalage!$A$1:$ZZ$501,$A175,AP$3)))</f>
        <v/>
      </c>
      <c r="AQ175" s="124" t="str">
        <f>IF($B175="","",IF(AQ$3=0,"n.b.",INDEX(SRC_Woningetalage!$A$1:$ZZ$501,$A175,AQ$3)))</f>
        <v/>
      </c>
      <c r="AR175" s="124" t="str">
        <f>IF($B175="","",IF(AR$3=0,"n.b.",INDEX(SRC_Woningetalage!$A$1:$ZZ$501,$A175,AR$3)))</f>
        <v/>
      </c>
      <c r="AS175" s="124" t="str">
        <f>IF($B175="","",IF(AS$3=0,"n.b.",INDEX(SRC_Woningetalage!$A$1:$ZZ$501,$A175,AS$3)))</f>
        <v/>
      </c>
      <c r="AT175" s="124" t="str">
        <f>IF($B175="","",IF(AT$3=0,"n.b.",INDEX(SRC_Woningetalage!$A$1:$ZZ$501,$A175,AT$3)))</f>
        <v/>
      </c>
      <c r="AU175" s="124" t="str">
        <f>IF($B175="","",IF(AU$3=0,"n.b.",INDEX(SRC_Woningetalage!$A$1:$ZZ$501,$A175,AU$3)))</f>
        <v/>
      </c>
      <c r="AV175" s="124" t="str">
        <f>IF($B175="","",IF(AV$3=0,"n.b.",INDEX(SRC_Woningetalage!$A$1:$ZZ$501,$A175,AV$3)))</f>
        <v/>
      </c>
      <c r="AW175" s="124" t="str">
        <f>IF($B175="","",IF(AW$3=0,"n.b.",INDEX(SRC_Woningetalage!$A$1:$ZZ$501,$A175,AW$3)))</f>
        <v/>
      </c>
      <c r="AX175" s="124" t="str">
        <f>IF($B175="","",IF(AX$3=0,"n.b.",INDEX(SRC_Woningetalage!$A$1:$ZZ$501,$A175,AX$3)))</f>
        <v/>
      </c>
      <c r="AY175" s="124" t="str">
        <f>IF($B175="","",IF(AY$3=0,"n.b.",INDEX(SRC_Woningetalage!$A$1:$ZZ$501,$A175,AY$3)))</f>
        <v/>
      </c>
      <c r="AZ175" s="124" t="str">
        <f>IF($B175="","",IF(AZ$3=0,"n.b.",INDEX(SRC_Woningetalage!$A$1:$ZZ$501,$A175,AZ$3)))</f>
        <v/>
      </c>
      <c r="BA175" s="124" t="str">
        <f>IF($B175="","",IF(BA$3=0,"n.b.",INDEX(SRC_Woningetalage!$A$1:$ZZ$501,$A175,BA$3)))</f>
        <v/>
      </c>
      <c r="BB175" s="124" t="str">
        <f>IF($B175="","",IF(BB$3=0,"n.b.",INDEX(SRC_Woningetalage!$A$1:$ZZ$501,$A175,BB$3)))</f>
        <v/>
      </c>
      <c r="BC175" s="124" t="str">
        <f>IF($B175="","",IFERROR(_xlfn.NUMBERVALUE(E175&amp;"",",","."),"n.b."))</f>
        <v/>
      </c>
      <c r="BD175" s="124" t="str">
        <f>IF($B175="","",IFERROR(_xlfn.NUMBERVALUE(M175&amp;"",",","."),"n.b."))</f>
        <v/>
      </c>
      <c r="BE175" s="124" t="str">
        <f>IF($B175="","",IFERROR(AB175+AC175+AD175,"n.b."))</f>
        <v/>
      </c>
      <c r="BF175" s="124" t="str">
        <f>IF($B175="","",IFERROR(AE175+AF175+AG175,"n.b."))</f>
        <v/>
      </c>
      <c r="BG175" s="124" t="str">
        <f>IF($B175="","",IFERROR(AH175+AI175+AJ175,"n.b."))</f>
        <v/>
      </c>
      <c r="BH175" s="124" t="str">
        <f>IF($B175="","",IFERROR(AK175+AL175+AM175,"n.b."))</f>
        <v/>
      </c>
      <c r="BI175" s="124" t="str">
        <f>IF($B175="","",IFERROR(SUMIF($AB$5:$AM$5,"&lt;="&amp;P_PeilMaand,AB175:AM175),"n.b."))</f>
        <v/>
      </c>
      <c r="BJ175" s="124" t="str">
        <f>IF($B175="","",IFERROR(SUM(AB175:AM175)-BI175,"n.b."))</f>
        <v/>
      </c>
      <c r="BK175" s="124" t="str">
        <f>IF($B175="","",IFERROR(IF(ABS(Q175-(T175+SUM(AB175:AM175)+AS175+AU175))&gt;P_Tol,1,0),1))</f>
        <v/>
      </c>
      <c r="BL175" s="124" t="str">
        <f>IF($B175="","",IFERROR(IF(ABS(AA175-(Q175-Z175))&gt;P_Tol,1,0),1))</f>
        <v/>
      </c>
      <c r="BM175" s="124" t="str">
        <f>IF($B175="","",IFERROR(IF(ABS(Z175-(T175+W175))&gt;P_Tol,1,0),1))</f>
        <v/>
      </c>
      <c r="BN175" s="124" t="str">
        <f>IF($B175="","",IFERROR(IF(ABS(W175-BI175)&gt;P_Tol,1,0),1))</f>
        <v/>
      </c>
      <c r="BO175" s="124" t="str">
        <f>IF($B175="","",IFERROR(IF(OR(ABS(R175+S175-T175)&gt;P_Tol,ABS(U175+V175-W175)&gt;P_Tol,ABS(X175+Y175-Z175)&gt;P_Tol),1,0),1))</f>
        <v/>
      </c>
      <c r="BP175" s="124" t="str">
        <f>IF($B175="","",IFERROR(IF(OR(ABS(AR175-SUM(AB175:AM175))&gt;P_Tol,ABS(AS175-(AN175+AO175+AP175+AQ175))&gt;P_Tol),1,0),1))</f>
        <v/>
      </c>
      <c r="BQ175" s="124" t="str">
        <f>IF($B175="","",IFERROR(IF(ABS(AT175)+ABS(AV175)+ABS(AW175)+ABS(AX175)+ABS(AY175)+ABS(AZ175)+ABS(BA175)+ABS(BB175)&gt;0,1,0),1))</f>
        <v/>
      </c>
      <c r="BR175" s="124" t="str">
        <f>IF($B175="","",COUNTIF(STG_ZPMW03!$B$6:$B$505,B175))</f>
        <v/>
      </c>
      <c r="BS175" s="124" t="str">
        <f>IF($B175="","",COUNTIF($B$6:$B$505,B175))</f>
        <v/>
      </c>
      <c r="BT175" s="124" t="str">
        <f>IF($B175="","",IF(BR175=0,0,IF(INDEX(STG_ZPMW03!$I$6:$I$505,MATCH(B175,STG_ZPMW03!$B$6:$B$505,0))=J175&amp;"",0,1)))</f>
        <v/>
      </c>
      <c r="BU175" s="124" t="str">
        <f>IF($B175="","",IFERROR(IF(ABS(INDEX(Mapping!$D$5:$D$104,MATCH(B175,Mapping!$A$5:$A$104,0))-Q175)&gt;P_Tol,1,0),0))</f>
        <v/>
      </c>
      <c r="BV175" s="124" t="str">
        <f>IF($B175="","",IFERROR(IF(AND(INDEX(Mapping!$G$5:$G$104,MATCH(B175,Mapping!$A$5:$A$104,0))="Nee",ABS(Q175)+ABS(Z175)+ABS(AR175)&gt;0),1,0),0))</f>
        <v/>
      </c>
      <c r="BW175" s="124" t="str">
        <f>IF($B175="","",IF(COUNTIF(Mapping!$A$5:$A$104,B175)&gt;0,1,0))</f>
        <v/>
      </c>
      <c r="BX175" s="124" t="str">
        <f>IF($B175="","",IF(BR175=0,COUNTIF($BR$6:BR175,0),""))</f>
        <v/>
      </c>
    </row>
    <row r="176">
      <c r="A176" s="15" t="n">
        <v>172</v>
      </c>
      <c r="B176" t="str">
        <f>IF(B$3=0,"",IF(INDEX(SRC_Woningetalage!$A$1:$ZZ$501,$A176,B$3)&amp;""="","",INDEX(SRC_Woningetalage!$A$1:$ZZ$501,$A176,B$3)&amp;""))</f>
        <v/>
      </c>
      <c r="C176" t="str">
        <f>IF($B176="","",IF(C$3=0,"n.b.",INDEX(SRC_Woningetalage!$A$1:$ZZ$501,$A176,C$3)))</f>
        <v/>
      </c>
      <c r="D176" t="str">
        <f>IF($B176="","",IF(D$3=0,"n.b.",INDEX(SRC_Woningetalage!$A$1:$ZZ$501,$A176,D$3)))</f>
        <v/>
      </c>
      <c r="E176" t="str">
        <f>IF($B176="","",IF(E$3=0,"n.b.",INDEX(SRC_Woningetalage!$A$1:$ZZ$501,$A176,E$3)))</f>
        <v/>
      </c>
      <c r="F176" t="str">
        <f>IF($B176="","",IF(F$3=0,"n.b.",INDEX(SRC_Woningetalage!$A$1:$ZZ$501,$A176,F$3)))</f>
        <v/>
      </c>
      <c r="G176" t="str">
        <f>IF($B176="","",IF(G$3=0,"n.b.",INDEX(SRC_Woningetalage!$A$1:$ZZ$501,$A176,G$3)))</f>
        <v/>
      </c>
      <c r="H176" t="str">
        <f>IF($B176="","",IF(H$3=0,"n.b.",INDEX(SRC_Woningetalage!$A$1:$ZZ$501,$A176,H$3)))</f>
        <v/>
      </c>
      <c r="I176" t="str">
        <f>IF($B176="","",IF(I$3=0,"n.b.",INDEX(SRC_Woningetalage!$A$1:$ZZ$501,$A176,I$3)))</f>
        <v/>
      </c>
      <c r="J176" t="str">
        <f>IF($B176="","",IF(J$3=0,"n.b.",INDEX(SRC_Woningetalage!$A$1:$ZZ$501,$A176,J$3)))</f>
        <v/>
      </c>
      <c r="K176" t="str">
        <f>IF($B176="","",IF(K$3=0,"n.b.",INDEX(SRC_Woningetalage!$A$1:$ZZ$501,$A176,K$3)))</f>
        <v/>
      </c>
      <c r="L176" t="str">
        <f>IF($B176="","",IF(L$3=0,"n.b.",INDEX(SRC_Woningetalage!$A$1:$ZZ$501,$A176,L$3)))</f>
        <v/>
      </c>
      <c r="M176" t="str">
        <f>IF($B176="","",IF(M$3=0,"n.b.",INDEX(SRC_Woningetalage!$A$1:$ZZ$501,$A176,M$3)))</f>
        <v/>
      </c>
      <c r="N176" t="str">
        <f>IF($B176="","",IF(N$3=0,"n.b.",INDEX(SRC_Woningetalage!$A$1:$ZZ$501,$A176,N$3)))</f>
        <v/>
      </c>
      <c r="O176" t="str">
        <f>IF($B176="","",IF(O$3=0,"n.b.",INDEX(SRC_Woningetalage!$A$1:$ZZ$501,$A176,O$3)))</f>
        <v/>
      </c>
      <c r="P176" t="str">
        <f>IF($B176="","",IF(P$3=0,"n.b.",INDEX(SRC_Woningetalage!$A$1:$ZZ$501,$A176,P$3)))</f>
        <v/>
      </c>
      <c r="Q176" s="124" t="str">
        <f>IF($B176="","",IF(Q$3=0,"n.b.",INDEX(SRC_Woningetalage!$A$1:$ZZ$501,$A176,Q$3)))</f>
        <v/>
      </c>
      <c r="R176" s="124" t="str">
        <f>IF($B176="","",IF(R$3=0,"n.b.",INDEX(SRC_Woningetalage!$A$1:$ZZ$501,$A176,R$3)))</f>
        <v/>
      </c>
      <c r="S176" s="124" t="str">
        <f>IF($B176="","",IF(S$3=0,"n.b.",INDEX(SRC_Woningetalage!$A$1:$ZZ$501,$A176,S$3)))</f>
        <v/>
      </c>
      <c r="T176" s="124" t="str">
        <f>IF($B176="","",IF(T$3=0,"n.b.",INDEX(SRC_Woningetalage!$A$1:$ZZ$501,$A176,T$3)))</f>
        <v/>
      </c>
      <c r="U176" s="124" t="str">
        <f>IF($B176="","",IF(U$3=0,"n.b.",INDEX(SRC_Woningetalage!$A$1:$ZZ$501,$A176,U$3)))</f>
        <v/>
      </c>
      <c r="V176" s="124" t="str">
        <f>IF($B176="","",IF(V$3=0,"n.b.",INDEX(SRC_Woningetalage!$A$1:$ZZ$501,$A176,V$3)))</f>
        <v/>
      </c>
      <c r="W176" s="124" t="str">
        <f>IF($B176="","",IF(W$3=0,"n.b.",INDEX(SRC_Woningetalage!$A$1:$ZZ$501,$A176,W$3)))</f>
        <v/>
      </c>
      <c r="X176" s="124" t="str">
        <f>IF($B176="","",IF(X$3=0,"n.b.",INDEX(SRC_Woningetalage!$A$1:$ZZ$501,$A176,X$3)))</f>
        <v/>
      </c>
      <c r="Y176" s="124" t="str">
        <f>IF($B176="","",IF(Y$3=0,"n.b.",INDEX(SRC_Woningetalage!$A$1:$ZZ$501,$A176,Y$3)))</f>
        <v/>
      </c>
      <c r="Z176" s="124" t="str">
        <f>IF($B176="","",IF(Z$3=0,"n.b.",INDEX(SRC_Woningetalage!$A$1:$ZZ$501,$A176,Z$3)))</f>
        <v/>
      </c>
      <c r="AA176" s="124" t="str">
        <f>IF($B176="","",IF(AA$3=0,"n.b.",INDEX(SRC_Woningetalage!$A$1:$ZZ$501,$A176,AA$3)))</f>
        <v/>
      </c>
      <c r="AB176" s="124" t="str">
        <f>IF($B176="","",IF(AB$3=0,"n.b.",INDEX(SRC_Woningetalage!$A$1:$ZZ$501,$A176,AB$3)))</f>
        <v/>
      </c>
      <c r="AC176" s="124" t="str">
        <f>IF($B176="","",IF(AC$3=0,"n.b.",INDEX(SRC_Woningetalage!$A$1:$ZZ$501,$A176,AC$3)))</f>
        <v/>
      </c>
      <c r="AD176" s="124" t="str">
        <f>IF($B176="","",IF(AD$3=0,"n.b.",INDEX(SRC_Woningetalage!$A$1:$ZZ$501,$A176,AD$3)))</f>
        <v/>
      </c>
      <c r="AE176" s="124" t="str">
        <f>IF($B176="","",IF(AE$3=0,"n.b.",INDEX(SRC_Woningetalage!$A$1:$ZZ$501,$A176,AE$3)))</f>
        <v/>
      </c>
      <c r="AF176" s="124" t="str">
        <f>IF($B176="","",IF(AF$3=0,"n.b.",INDEX(SRC_Woningetalage!$A$1:$ZZ$501,$A176,AF$3)))</f>
        <v/>
      </c>
      <c r="AG176" s="124" t="str">
        <f>IF($B176="","",IF(AG$3=0,"n.b.",INDEX(SRC_Woningetalage!$A$1:$ZZ$501,$A176,AG$3)))</f>
        <v/>
      </c>
      <c r="AH176" s="124" t="str">
        <f>IF($B176="","",IF(AH$3=0,"n.b.",INDEX(SRC_Woningetalage!$A$1:$ZZ$501,$A176,AH$3)))</f>
        <v/>
      </c>
      <c r="AI176" s="124" t="str">
        <f>IF($B176="","",IF(AI$3=0,"n.b.",INDEX(SRC_Woningetalage!$A$1:$ZZ$501,$A176,AI$3)))</f>
        <v/>
      </c>
      <c r="AJ176" s="124" t="str">
        <f>IF($B176="","",IF(AJ$3=0,"n.b.",INDEX(SRC_Woningetalage!$A$1:$ZZ$501,$A176,AJ$3)))</f>
        <v/>
      </c>
      <c r="AK176" s="124" t="str">
        <f>IF($B176="","",IF(AK$3=0,"n.b.",INDEX(SRC_Woningetalage!$A$1:$ZZ$501,$A176,AK$3)))</f>
        <v/>
      </c>
      <c r="AL176" s="124" t="str">
        <f>IF($B176="","",IF(AL$3=0,"n.b.",INDEX(SRC_Woningetalage!$A$1:$ZZ$501,$A176,AL$3)))</f>
        <v/>
      </c>
      <c r="AM176" s="124" t="str">
        <f>IF($B176="","",IF(AM$3=0,"n.b.",INDEX(SRC_Woningetalage!$A$1:$ZZ$501,$A176,AM$3)))</f>
        <v/>
      </c>
      <c r="AN176" s="124" t="str">
        <f>IF($B176="","",IF(AN$3=0,"n.b.",INDEX(SRC_Woningetalage!$A$1:$ZZ$501,$A176,AN$3)))</f>
        <v/>
      </c>
      <c r="AO176" s="124" t="str">
        <f>IF($B176="","",IF(AO$3=0,"n.b.",INDEX(SRC_Woningetalage!$A$1:$ZZ$501,$A176,AO$3)))</f>
        <v/>
      </c>
      <c r="AP176" s="124" t="str">
        <f>IF($B176="","",IF(AP$3=0,"n.b.",INDEX(SRC_Woningetalage!$A$1:$ZZ$501,$A176,AP$3)))</f>
        <v/>
      </c>
      <c r="AQ176" s="124" t="str">
        <f>IF($B176="","",IF(AQ$3=0,"n.b.",INDEX(SRC_Woningetalage!$A$1:$ZZ$501,$A176,AQ$3)))</f>
        <v/>
      </c>
      <c r="AR176" s="124" t="str">
        <f>IF($B176="","",IF(AR$3=0,"n.b.",INDEX(SRC_Woningetalage!$A$1:$ZZ$501,$A176,AR$3)))</f>
        <v/>
      </c>
      <c r="AS176" s="124" t="str">
        <f>IF($B176="","",IF(AS$3=0,"n.b.",INDEX(SRC_Woningetalage!$A$1:$ZZ$501,$A176,AS$3)))</f>
        <v/>
      </c>
      <c r="AT176" s="124" t="str">
        <f>IF($B176="","",IF(AT$3=0,"n.b.",INDEX(SRC_Woningetalage!$A$1:$ZZ$501,$A176,AT$3)))</f>
        <v/>
      </c>
      <c r="AU176" s="124" t="str">
        <f>IF($B176="","",IF(AU$3=0,"n.b.",INDEX(SRC_Woningetalage!$A$1:$ZZ$501,$A176,AU$3)))</f>
        <v/>
      </c>
      <c r="AV176" s="124" t="str">
        <f>IF($B176="","",IF(AV$3=0,"n.b.",INDEX(SRC_Woningetalage!$A$1:$ZZ$501,$A176,AV$3)))</f>
        <v/>
      </c>
      <c r="AW176" s="124" t="str">
        <f>IF($B176="","",IF(AW$3=0,"n.b.",INDEX(SRC_Woningetalage!$A$1:$ZZ$501,$A176,AW$3)))</f>
        <v/>
      </c>
      <c r="AX176" s="124" t="str">
        <f>IF($B176="","",IF(AX$3=0,"n.b.",INDEX(SRC_Woningetalage!$A$1:$ZZ$501,$A176,AX$3)))</f>
        <v/>
      </c>
      <c r="AY176" s="124" t="str">
        <f>IF($B176="","",IF(AY$3=0,"n.b.",INDEX(SRC_Woningetalage!$A$1:$ZZ$501,$A176,AY$3)))</f>
        <v/>
      </c>
      <c r="AZ176" s="124" t="str">
        <f>IF($B176="","",IF(AZ$3=0,"n.b.",INDEX(SRC_Woningetalage!$A$1:$ZZ$501,$A176,AZ$3)))</f>
        <v/>
      </c>
      <c r="BA176" s="124" t="str">
        <f>IF($B176="","",IF(BA$3=0,"n.b.",INDEX(SRC_Woningetalage!$A$1:$ZZ$501,$A176,BA$3)))</f>
        <v/>
      </c>
      <c r="BB176" s="124" t="str">
        <f>IF($B176="","",IF(BB$3=0,"n.b.",INDEX(SRC_Woningetalage!$A$1:$ZZ$501,$A176,BB$3)))</f>
        <v/>
      </c>
      <c r="BC176" s="124" t="str">
        <f>IF($B176="","",IFERROR(_xlfn.NUMBERVALUE(E176&amp;"",",","."),"n.b."))</f>
        <v/>
      </c>
      <c r="BD176" s="124" t="str">
        <f>IF($B176="","",IFERROR(_xlfn.NUMBERVALUE(M176&amp;"",",","."),"n.b."))</f>
        <v/>
      </c>
      <c r="BE176" s="124" t="str">
        <f>IF($B176="","",IFERROR(AB176+AC176+AD176,"n.b."))</f>
        <v/>
      </c>
      <c r="BF176" s="124" t="str">
        <f>IF($B176="","",IFERROR(AE176+AF176+AG176,"n.b."))</f>
        <v/>
      </c>
      <c r="BG176" s="124" t="str">
        <f>IF($B176="","",IFERROR(AH176+AI176+AJ176,"n.b."))</f>
        <v/>
      </c>
      <c r="BH176" s="124" t="str">
        <f>IF($B176="","",IFERROR(AK176+AL176+AM176,"n.b."))</f>
        <v/>
      </c>
      <c r="BI176" s="124" t="str">
        <f>IF($B176="","",IFERROR(SUMIF($AB$5:$AM$5,"&lt;="&amp;P_PeilMaand,AB176:AM176),"n.b."))</f>
        <v/>
      </c>
      <c r="BJ176" s="124" t="str">
        <f>IF($B176="","",IFERROR(SUM(AB176:AM176)-BI176,"n.b."))</f>
        <v/>
      </c>
      <c r="BK176" s="124" t="str">
        <f>IF($B176="","",IFERROR(IF(ABS(Q176-(T176+SUM(AB176:AM176)+AS176+AU176))&gt;P_Tol,1,0),1))</f>
        <v/>
      </c>
      <c r="BL176" s="124" t="str">
        <f>IF($B176="","",IFERROR(IF(ABS(AA176-(Q176-Z176))&gt;P_Tol,1,0),1))</f>
        <v/>
      </c>
      <c r="BM176" s="124" t="str">
        <f>IF($B176="","",IFERROR(IF(ABS(Z176-(T176+W176))&gt;P_Tol,1,0),1))</f>
        <v/>
      </c>
      <c r="BN176" s="124" t="str">
        <f>IF($B176="","",IFERROR(IF(ABS(W176-BI176)&gt;P_Tol,1,0),1))</f>
        <v/>
      </c>
      <c r="BO176" s="124" t="str">
        <f>IF($B176="","",IFERROR(IF(OR(ABS(R176+S176-T176)&gt;P_Tol,ABS(U176+V176-W176)&gt;P_Tol,ABS(X176+Y176-Z176)&gt;P_Tol),1,0),1))</f>
        <v/>
      </c>
      <c r="BP176" s="124" t="str">
        <f>IF($B176="","",IFERROR(IF(OR(ABS(AR176-SUM(AB176:AM176))&gt;P_Tol,ABS(AS176-(AN176+AO176+AP176+AQ176))&gt;P_Tol),1,0),1))</f>
        <v/>
      </c>
      <c r="BQ176" s="124" t="str">
        <f>IF($B176="","",IFERROR(IF(ABS(AT176)+ABS(AV176)+ABS(AW176)+ABS(AX176)+ABS(AY176)+ABS(AZ176)+ABS(BA176)+ABS(BB176)&gt;0,1,0),1))</f>
        <v/>
      </c>
      <c r="BR176" s="124" t="str">
        <f>IF($B176="","",COUNTIF(STG_ZPMW03!$B$6:$B$505,B176))</f>
        <v/>
      </c>
      <c r="BS176" s="124" t="str">
        <f>IF($B176="","",COUNTIF($B$6:$B$505,B176))</f>
        <v/>
      </c>
      <c r="BT176" s="124" t="str">
        <f>IF($B176="","",IF(BR176=0,0,IF(INDEX(STG_ZPMW03!$I$6:$I$505,MATCH(B176,STG_ZPMW03!$B$6:$B$505,0))=J176&amp;"",0,1)))</f>
        <v/>
      </c>
      <c r="BU176" s="124" t="str">
        <f>IF($B176="","",IFERROR(IF(ABS(INDEX(Mapping!$D$5:$D$104,MATCH(B176,Mapping!$A$5:$A$104,0))-Q176)&gt;P_Tol,1,0),0))</f>
        <v/>
      </c>
      <c r="BV176" s="124" t="str">
        <f>IF($B176="","",IFERROR(IF(AND(INDEX(Mapping!$G$5:$G$104,MATCH(B176,Mapping!$A$5:$A$104,0))="Nee",ABS(Q176)+ABS(Z176)+ABS(AR176)&gt;0),1,0),0))</f>
        <v/>
      </c>
      <c r="BW176" s="124" t="str">
        <f>IF($B176="","",IF(COUNTIF(Mapping!$A$5:$A$104,B176)&gt;0,1,0))</f>
        <v/>
      </c>
      <c r="BX176" s="124" t="str">
        <f>IF($B176="","",IF(BR176=0,COUNTIF($BR$6:BR176,0),""))</f>
        <v/>
      </c>
    </row>
    <row r="177">
      <c r="A177" s="15" t="n">
        <v>173</v>
      </c>
      <c r="B177" t="str">
        <f>IF(B$3=0,"",IF(INDEX(SRC_Woningetalage!$A$1:$ZZ$501,$A177,B$3)&amp;""="","",INDEX(SRC_Woningetalage!$A$1:$ZZ$501,$A177,B$3)&amp;""))</f>
        <v/>
      </c>
      <c r="C177" t="str">
        <f>IF($B177="","",IF(C$3=0,"n.b.",INDEX(SRC_Woningetalage!$A$1:$ZZ$501,$A177,C$3)))</f>
        <v/>
      </c>
      <c r="D177" t="str">
        <f>IF($B177="","",IF(D$3=0,"n.b.",INDEX(SRC_Woningetalage!$A$1:$ZZ$501,$A177,D$3)))</f>
        <v/>
      </c>
      <c r="E177" t="str">
        <f>IF($B177="","",IF(E$3=0,"n.b.",INDEX(SRC_Woningetalage!$A$1:$ZZ$501,$A177,E$3)))</f>
        <v/>
      </c>
      <c r="F177" t="str">
        <f>IF($B177="","",IF(F$3=0,"n.b.",INDEX(SRC_Woningetalage!$A$1:$ZZ$501,$A177,F$3)))</f>
        <v/>
      </c>
      <c r="G177" t="str">
        <f>IF($B177="","",IF(G$3=0,"n.b.",INDEX(SRC_Woningetalage!$A$1:$ZZ$501,$A177,G$3)))</f>
        <v/>
      </c>
      <c r="H177" t="str">
        <f>IF($B177="","",IF(H$3=0,"n.b.",INDEX(SRC_Woningetalage!$A$1:$ZZ$501,$A177,H$3)))</f>
        <v/>
      </c>
      <c r="I177" t="str">
        <f>IF($B177="","",IF(I$3=0,"n.b.",INDEX(SRC_Woningetalage!$A$1:$ZZ$501,$A177,I$3)))</f>
        <v/>
      </c>
      <c r="J177" t="str">
        <f>IF($B177="","",IF(J$3=0,"n.b.",INDEX(SRC_Woningetalage!$A$1:$ZZ$501,$A177,J$3)))</f>
        <v/>
      </c>
      <c r="K177" t="str">
        <f>IF($B177="","",IF(K$3=0,"n.b.",INDEX(SRC_Woningetalage!$A$1:$ZZ$501,$A177,K$3)))</f>
        <v/>
      </c>
      <c r="L177" t="str">
        <f>IF($B177="","",IF(L$3=0,"n.b.",INDEX(SRC_Woningetalage!$A$1:$ZZ$501,$A177,L$3)))</f>
        <v/>
      </c>
      <c r="M177" t="str">
        <f>IF($B177="","",IF(M$3=0,"n.b.",INDEX(SRC_Woningetalage!$A$1:$ZZ$501,$A177,M$3)))</f>
        <v/>
      </c>
      <c r="N177" t="str">
        <f>IF($B177="","",IF(N$3=0,"n.b.",INDEX(SRC_Woningetalage!$A$1:$ZZ$501,$A177,N$3)))</f>
        <v/>
      </c>
      <c r="O177" t="str">
        <f>IF($B177="","",IF(O$3=0,"n.b.",INDEX(SRC_Woningetalage!$A$1:$ZZ$501,$A177,O$3)))</f>
        <v/>
      </c>
      <c r="P177" t="str">
        <f>IF($B177="","",IF(P$3=0,"n.b.",INDEX(SRC_Woningetalage!$A$1:$ZZ$501,$A177,P$3)))</f>
        <v/>
      </c>
      <c r="Q177" s="124" t="str">
        <f>IF($B177="","",IF(Q$3=0,"n.b.",INDEX(SRC_Woningetalage!$A$1:$ZZ$501,$A177,Q$3)))</f>
        <v/>
      </c>
      <c r="R177" s="124" t="str">
        <f>IF($B177="","",IF(R$3=0,"n.b.",INDEX(SRC_Woningetalage!$A$1:$ZZ$501,$A177,R$3)))</f>
        <v/>
      </c>
      <c r="S177" s="124" t="str">
        <f>IF($B177="","",IF(S$3=0,"n.b.",INDEX(SRC_Woningetalage!$A$1:$ZZ$501,$A177,S$3)))</f>
        <v/>
      </c>
      <c r="T177" s="124" t="str">
        <f>IF($B177="","",IF(T$3=0,"n.b.",INDEX(SRC_Woningetalage!$A$1:$ZZ$501,$A177,T$3)))</f>
        <v/>
      </c>
      <c r="U177" s="124" t="str">
        <f>IF($B177="","",IF(U$3=0,"n.b.",INDEX(SRC_Woningetalage!$A$1:$ZZ$501,$A177,U$3)))</f>
        <v/>
      </c>
      <c r="V177" s="124" t="str">
        <f>IF($B177="","",IF(V$3=0,"n.b.",INDEX(SRC_Woningetalage!$A$1:$ZZ$501,$A177,V$3)))</f>
        <v/>
      </c>
      <c r="W177" s="124" t="str">
        <f>IF($B177="","",IF(W$3=0,"n.b.",INDEX(SRC_Woningetalage!$A$1:$ZZ$501,$A177,W$3)))</f>
        <v/>
      </c>
      <c r="X177" s="124" t="str">
        <f>IF($B177="","",IF(X$3=0,"n.b.",INDEX(SRC_Woningetalage!$A$1:$ZZ$501,$A177,X$3)))</f>
        <v/>
      </c>
      <c r="Y177" s="124" t="str">
        <f>IF($B177="","",IF(Y$3=0,"n.b.",INDEX(SRC_Woningetalage!$A$1:$ZZ$501,$A177,Y$3)))</f>
        <v/>
      </c>
      <c r="Z177" s="124" t="str">
        <f>IF($B177="","",IF(Z$3=0,"n.b.",INDEX(SRC_Woningetalage!$A$1:$ZZ$501,$A177,Z$3)))</f>
        <v/>
      </c>
      <c r="AA177" s="124" t="str">
        <f>IF($B177="","",IF(AA$3=0,"n.b.",INDEX(SRC_Woningetalage!$A$1:$ZZ$501,$A177,AA$3)))</f>
        <v/>
      </c>
      <c r="AB177" s="124" t="str">
        <f>IF($B177="","",IF(AB$3=0,"n.b.",INDEX(SRC_Woningetalage!$A$1:$ZZ$501,$A177,AB$3)))</f>
        <v/>
      </c>
      <c r="AC177" s="124" t="str">
        <f>IF($B177="","",IF(AC$3=0,"n.b.",INDEX(SRC_Woningetalage!$A$1:$ZZ$501,$A177,AC$3)))</f>
        <v/>
      </c>
      <c r="AD177" s="124" t="str">
        <f>IF($B177="","",IF(AD$3=0,"n.b.",INDEX(SRC_Woningetalage!$A$1:$ZZ$501,$A177,AD$3)))</f>
        <v/>
      </c>
      <c r="AE177" s="124" t="str">
        <f>IF($B177="","",IF(AE$3=0,"n.b.",INDEX(SRC_Woningetalage!$A$1:$ZZ$501,$A177,AE$3)))</f>
        <v/>
      </c>
      <c r="AF177" s="124" t="str">
        <f>IF($B177="","",IF(AF$3=0,"n.b.",INDEX(SRC_Woningetalage!$A$1:$ZZ$501,$A177,AF$3)))</f>
        <v/>
      </c>
      <c r="AG177" s="124" t="str">
        <f>IF($B177="","",IF(AG$3=0,"n.b.",INDEX(SRC_Woningetalage!$A$1:$ZZ$501,$A177,AG$3)))</f>
        <v/>
      </c>
      <c r="AH177" s="124" t="str">
        <f>IF($B177="","",IF(AH$3=0,"n.b.",INDEX(SRC_Woningetalage!$A$1:$ZZ$501,$A177,AH$3)))</f>
        <v/>
      </c>
      <c r="AI177" s="124" t="str">
        <f>IF($B177="","",IF(AI$3=0,"n.b.",INDEX(SRC_Woningetalage!$A$1:$ZZ$501,$A177,AI$3)))</f>
        <v/>
      </c>
      <c r="AJ177" s="124" t="str">
        <f>IF($B177="","",IF(AJ$3=0,"n.b.",INDEX(SRC_Woningetalage!$A$1:$ZZ$501,$A177,AJ$3)))</f>
        <v/>
      </c>
      <c r="AK177" s="124" t="str">
        <f>IF($B177="","",IF(AK$3=0,"n.b.",INDEX(SRC_Woningetalage!$A$1:$ZZ$501,$A177,AK$3)))</f>
        <v/>
      </c>
      <c r="AL177" s="124" t="str">
        <f>IF($B177="","",IF(AL$3=0,"n.b.",INDEX(SRC_Woningetalage!$A$1:$ZZ$501,$A177,AL$3)))</f>
        <v/>
      </c>
      <c r="AM177" s="124" t="str">
        <f>IF($B177="","",IF(AM$3=0,"n.b.",INDEX(SRC_Woningetalage!$A$1:$ZZ$501,$A177,AM$3)))</f>
        <v/>
      </c>
      <c r="AN177" s="124" t="str">
        <f>IF($B177="","",IF(AN$3=0,"n.b.",INDEX(SRC_Woningetalage!$A$1:$ZZ$501,$A177,AN$3)))</f>
        <v/>
      </c>
      <c r="AO177" s="124" t="str">
        <f>IF($B177="","",IF(AO$3=0,"n.b.",INDEX(SRC_Woningetalage!$A$1:$ZZ$501,$A177,AO$3)))</f>
        <v/>
      </c>
      <c r="AP177" s="124" t="str">
        <f>IF($B177="","",IF(AP$3=0,"n.b.",INDEX(SRC_Woningetalage!$A$1:$ZZ$501,$A177,AP$3)))</f>
        <v/>
      </c>
      <c r="AQ177" s="124" t="str">
        <f>IF($B177="","",IF(AQ$3=0,"n.b.",INDEX(SRC_Woningetalage!$A$1:$ZZ$501,$A177,AQ$3)))</f>
        <v/>
      </c>
      <c r="AR177" s="124" t="str">
        <f>IF($B177="","",IF(AR$3=0,"n.b.",INDEX(SRC_Woningetalage!$A$1:$ZZ$501,$A177,AR$3)))</f>
        <v/>
      </c>
      <c r="AS177" s="124" t="str">
        <f>IF($B177="","",IF(AS$3=0,"n.b.",INDEX(SRC_Woningetalage!$A$1:$ZZ$501,$A177,AS$3)))</f>
        <v/>
      </c>
      <c r="AT177" s="124" t="str">
        <f>IF($B177="","",IF(AT$3=0,"n.b.",INDEX(SRC_Woningetalage!$A$1:$ZZ$501,$A177,AT$3)))</f>
        <v/>
      </c>
      <c r="AU177" s="124" t="str">
        <f>IF($B177="","",IF(AU$3=0,"n.b.",INDEX(SRC_Woningetalage!$A$1:$ZZ$501,$A177,AU$3)))</f>
        <v/>
      </c>
      <c r="AV177" s="124" t="str">
        <f>IF($B177="","",IF(AV$3=0,"n.b.",INDEX(SRC_Woningetalage!$A$1:$ZZ$501,$A177,AV$3)))</f>
        <v/>
      </c>
      <c r="AW177" s="124" t="str">
        <f>IF($B177="","",IF(AW$3=0,"n.b.",INDEX(SRC_Woningetalage!$A$1:$ZZ$501,$A177,AW$3)))</f>
        <v/>
      </c>
      <c r="AX177" s="124" t="str">
        <f>IF($B177="","",IF(AX$3=0,"n.b.",INDEX(SRC_Woningetalage!$A$1:$ZZ$501,$A177,AX$3)))</f>
        <v/>
      </c>
      <c r="AY177" s="124" t="str">
        <f>IF($B177="","",IF(AY$3=0,"n.b.",INDEX(SRC_Woningetalage!$A$1:$ZZ$501,$A177,AY$3)))</f>
        <v/>
      </c>
      <c r="AZ177" s="124" t="str">
        <f>IF($B177="","",IF(AZ$3=0,"n.b.",INDEX(SRC_Woningetalage!$A$1:$ZZ$501,$A177,AZ$3)))</f>
        <v/>
      </c>
      <c r="BA177" s="124" t="str">
        <f>IF($B177="","",IF(BA$3=0,"n.b.",INDEX(SRC_Woningetalage!$A$1:$ZZ$501,$A177,BA$3)))</f>
        <v/>
      </c>
      <c r="BB177" s="124" t="str">
        <f>IF($B177="","",IF(BB$3=0,"n.b.",INDEX(SRC_Woningetalage!$A$1:$ZZ$501,$A177,BB$3)))</f>
        <v/>
      </c>
      <c r="BC177" s="124" t="str">
        <f>IF($B177="","",IFERROR(_xlfn.NUMBERVALUE(E177&amp;"",",","."),"n.b."))</f>
        <v/>
      </c>
      <c r="BD177" s="124" t="str">
        <f>IF($B177="","",IFERROR(_xlfn.NUMBERVALUE(M177&amp;"",",","."),"n.b."))</f>
        <v/>
      </c>
      <c r="BE177" s="124" t="str">
        <f>IF($B177="","",IFERROR(AB177+AC177+AD177,"n.b."))</f>
        <v/>
      </c>
      <c r="BF177" s="124" t="str">
        <f>IF($B177="","",IFERROR(AE177+AF177+AG177,"n.b."))</f>
        <v/>
      </c>
      <c r="BG177" s="124" t="str">
        <f>IF($B177="","",IFERROR(AH177+AI177+AJ177,"n.b."))</f>
        <v/>
      </c>
      <c r="BH177" s="124" t="str">
        <f>IF($B177="","",IFERROR(AK177+AL177+AM177,"n.b."))</f>
        <v/>
      </c>
      <c r="BI177" s="124" t="str">
        <f>IF($B177="","",IFERROR(SUMIF($AB$5:$AM$5,"&lt;="&amp;P_PeilMaand,AB177:AM177),"n.b."))</f>
        <v/>
      </c>
      <c r="BJ177" s="124" t="str">
        <f>IF($B177="","",IFERROR(SUM(AB177:AM177)-BI177,"n.b."))</f>
        <v/>
      </c>
      <c r="BK177" s="124" t="str">
        <f>IF($B177="","",IFERROR(IF(ABS(Q177-(T177+SUM(AB177:AM177)+AS177+AU177))&gt;P_Tol,1,0),1))</f>
        <v/>
      </c>
      <c r="BL177" s="124" t="str">
        <f>IF($B177="","",IFERROR(IF(ABS(AA177-(Q177-Z177))&gt;P_Tol,1,0),1))</f>
        <v/>
      </c>
      <c r="BM177" s="124" t="str">
        <f>IF($B177="","",IFERROR(IF(ABS(Z177-(T177+W177))&gt;P_Tol,1,0),1))</f>
        <v/>
      </c>
      <c r="BN177" s="124" t="str">
        <f>IF($B177="","",IFERROR(IF(ABS(W177-BI177)&gt;P_Tol,1,0),1))</f>
        <v/>
      </c>
      <c r="BO177" s="124" t="str">
        <f>IF($B177="","",IFERROR(IF(OR(ABS(R177+S177-T177)&gt;P_Tol,ABS(U177+V177-W177)&gt;P_Tol,ABS(X177+Y177-Z177)&gt;P_Tol),1,0),1))</f>
        <v/>
      </c>
      <c r="BP177" s="124" t="str">
        <f>IF($B177="","",IFERROR(IF(OR(ABS(AR177-SUM(AB177:AM177))&gt;P_Tol,ABS(AS177-(AN177+AO177+AP177+AQ177))&gt;P_Tol),1,0),1))</f>
        <v/>
      </c>
      <c r="BQ177" s="124" t="str">
        <f>IF($B177="","",IFERROR(IF(ABS(AT177)+ABS(AV177)+ABS(AW177)+ABS(AX177)+ABS(AY177)+ABS(AZ177)+ABS(BA177)+ABS(BB177)&gt;0,1,0),1))</f>
        <v/>
      </c>
      <c r="BR177" s="124" t="str">
        <f>IF($B177="","",COUNTIF(STG_ZPMW03!$B$6:$B$505,B177))</f>
        <v/>
      </c>
      <c r="BS177" s="124" t="str">
        <f>IF($B177="","",COUNTIF($B$6:$B$505,B177))</f>
        <v/>
      </c>
      <c r="BT177" s="124" t="str">
        <f>IF($B177="","",IF(BR177=0,0,IF(INDEX(STG_ZPMW03!$I$6:$I$505,MATCH(B177,STG_ZPMW03!$B$6:$B$505,0))=J177&amp;"",0,1)))</f>
        <v/>
      </c>
      <c r="BU177" s="124" t="str">
        <f>IF($B177="","",IFERROR(IF(ABS(INDEX(Mapping!$D$5:$D$104,MATCH(B177,Mapping!$A$5:$A$104,0))-Q177)&gt;P_Tol,1,0),0))</f>
        <v/>
      </c>
      <c r="BV177" s="124" t="str">
        <f>IF($B177="","",IFERROR(IF(AND(INDEX(Mapping!$G$5:$G$104,MATCH(B177,Mapping!$A$5:$A$104,0))="Nee",ABS(Q177)+ABS(Z177)+ABS(AR177)&gt;0),1,0),0))</f>
        <v/>
      </c>
      <c r="BW177" s="124" t="str">
        <f>IF($B177="","",IF(COUNTIF(Mapping!$A$5:$A$104,B177)&gt;0,1,0))</f>
        <v/>
      </c>
      <c r="BX177" s="124" t="str">
        <f>IF($B177="","",IF(BR177=0,COUNTIF($BR$6:BR177,0),""))</f>
        <v/>
      </c>
    </row>
    <row r="178">
      <c r="A178" s="15" t="n">
        <v>174</v>
      </c>
      <c r="B178" t="str">
        <f>IF(B$3=0,"",IF(INDEX(SRC_Woningetalage!$A$1:$ZZ$501,$A178,B$3)&amp;""="","",INDEX(SRC_Woningetalage!$A$1:$ZZ$501,$A178,B$3)&amp;""))</f>
        <v/>
      </c>
      <c r="C178" t="str">
        <f>IF($B178="","",IF(C$3=0,"n.b.",INDEX(SRC_Woningetalage!$A$1:$ZZ$501,$A178,C$3)))</f>
        <v/>
      </c>
      <c r="D178" t="str">
        <f>IF($B178="","",IF(D$3=0,"n.b.",INDEX(SRC_Woningetalage!$A$1:$ZZ$501,$A178,D$3)))</f>
        <v/>
      </c>
      <c r="E178" t="str">
        <f>IF($B178="","",IF(E$3=0,"n.b.",INDEX(SRC_Woningetalage!$A$1:$ZZ$501,$A178,E$3)))</f>
        <v/>
      </c>
      <c r="F178" t="str">
        <f>IF($B178="","",IF(F$3=0,"n.b.",INDEX(SRC_Woningetalage!$A$1:$ZZ$501,$A178,F$3)))</f>
        <v/>
      </c>
      <c r="G178" t="str">
        <f>IF($B178="","",IF(G$3=0,"n.b.",INDEX(SRC_Woningetalage!$A$1:$ZZ$501,$A178,G$3)))</f>
        <v/>
      </c>
      <c r="H178" t="str">
        <f>IF($B178="","",IF(H$3=0,"n.b.",INDEX(SRC_Woningetalage!$A$1:$ZZ$501,$A178,H$3)))</f>
        <v/>
      </c>
      <c r="I178" t="str">
        <f>IF($B178="","",IF(I$3=0,"n.b.",INDEX(SRC_Woningetalage!$A$1:$ZZ$501,$A178,I$3)))</f>
        <v/>
      </c>
      <c r="J178" t="str">
        <f>IF($B178="","",IF(J$3=0,"n.b.",INDEX(SRC_Woningetalage!$A$1:$ZZ$501,$A178,J$3)))</f>
        <v/>
      </c>
      <c r="K178" t="str">
        <f>IF($B178="","",IF(K$3=0,"n.b.",INDEX(SRC_Woningetalage!$A$1:$ZZ$501,$A178,K$3)))</f>
        <v/>
      </c>
      <c r="L178" t="str">
        <f>IF($B178="","",IF(L$3=0,"n.b.",INDEX(SRC_Woningetalage!$A$1:$ZZ$501,$A178,L$3)))</f>
        <v/>
      </c>
      <c r="M178" t="str">
        <f>IF($B178="","",IF(M$3=0,"n.b.",INDEX(SRC_Woningetalage!$A$1:$ZZ$501,$A178,M$3)))</f>
        <v/>
      </c>
      <c r="N178" t="str">
        <f>IF($B178="","",IF(N$3=0,"n.b.",INDEX(SRC_Woningetalage!$A$1:$ZZ$501,$A178,N$3)))</f>
        <v/>
      </c>
      <c r="O178" t="str">
        <f>IF($B178="","",IF(O$3=0,"n.b.",INDEX(SRC_Woningetalage!$A$1:$ZZ$501,$A178,O$3)))</f>
        <v/>
      </c>
      <c r="P178" t="str">
        <f>IF($B178="","",IF(P$3=0,"n.b.",INDEX(SRC_Woningetalage!$A$1:$ZZ$501,$A178,P$3)))</f>
        <v/>
      </c>
      <c r="Q178" s="124" t="str">
        <f>IF($B178="","",IF(Q$3=0,"n.b.",INDEX(SRC_Woningetalage!$A$1:$ZZ$501,$A178,Q$3)))</f>
        <v/>
      </c>
      <c r="R178" s="124" t="str">
        <f>IF($B178="","",IF(R$3=0,"n.b.",INDEX(SRC_Woningetalage!$A$1:$ZZ$501,$A178,R$3)))</f>
        <v/>
      </c>
      <c r="S178" s="124" t="str">
        <f>IF($B178="","",IF(S$3=0,"n.b.",INDEX(SRC_Woningetalage!$A$1:$ZZ$501,$A178,S$3)))</f>
        <v/>
      </c>
      <c r="T178" s="124" t="str">
        <f>IF($B178="","",IF(T$3=0,"n.b.",INDEX(SRC_Woningetalage!$A$1:$ZZ$501,$A178,T$3)))</f>
        <v/>
      </c>
      <c r="U178" s="124" t="str">
        <f>IF($B178="","",IF(U$3=0,"n.b.",INDEX(SRC_Woningetalage!$A$1:$ZZ$501,$A178,U$3)))</f>
        <v/>
      </c>
      <c r="V178" s="124" t="str">
        <f>IF($B178="","",IF(V$3=0,"n.b.",INDEX(SRC_Woningetalage!$A$1:$ZZ$501,$A178,V$3)))</f>
        <v/>
      </c>
      <c r="W178" s="124" t="str">
        <f>IF($B178="","",IF(W$3=0,"n.b.",INDEX(SRC_Woningetalage!$A$1:$ZZ$501,$A178,W$3)))</f>
        <v/>
      </c>
      <c r="X178" s="124" t="str">
        <f>IF($B178="","",IF(X$3=0,"n.b.",INDEX(SRC_Woningetalage!$A$1:$ZZ$501,$A178,X$3)))</f>
        <v/>
      </c>
      <c r="Y178" s="124" t="str">
        <f>IF($B178="","",IF(Y$3=0,"n.b.",INDEX(SRC_Woningetalage!$A$1:$ZZ$501,$A178,Y$3)))</f>
        <v/>
      </c>
      <c r="Z178" s="124" t="str">
        <f>IF($B178="","",IF(Z$3=0,"n.b.",INDEX(SRC_Woningetalage!$A$1:$ZZ$501,$A178,Z$3)))</f>
        <v/>
      </c>
      <c r="AA178" s="124" t="str">
        <f>IF($B178="","",IF(AA$3=0,"n.b.",INDEX(SRC_Woningetalage!$A$1:$ZZ$501,$A178,AA$3)))</f>
        <v/>
      </c>
      <c r="AB178" s="124" t="str">
        <f>IF($B178="","",IF(AB$3=0,"n.b.",INDEX(SRC_Woningetalage!$A$1:$ZZ$501,$A178,AB$3)))</f>
        <v/>
      </c>
      <c r="AC178" s="124" t="str">
        <f>IF($B178="","",IF(AC$3=0,"n.b.",INDEX(SRC_Woningetalage!$A$1:$ZZ$501,$A178,AC$3)))</f>
        <v/>
      </c>
      <c r="AD178" s="124" t="str">
        <f>IF($B178="","",IF(AD$3=0,"n.b.",INDEX(SRC_Woningetalage!$A$1:$ZZ$501,$A178,AD$3)))</f>
        <v/>
      </c>
      <c r="AE178" s="124" t="str">
        <f>IF($B178="","",IF(AE$3=0,"n.b.",INDEX(SRC_Woningetalage!$A$1:$ZZ$501,$A178,AE$3)))</f>
        <v/>
      </c>
      <c r="AF178" s="124" t="str">
        <f>IF($B178="","",IF(AF$3=0,"n.b.",INDEX(SRC_Woningetalage!$A$1:$ZZ$501,$A178,AF$3)))</f>
        <v/>
      </c>
      <c r="AG178" s="124" t="str">
        <f>IF($B178="","",IF(AG$3=0,"n.b.",INDEX(SRC_Woningetalage!$A$1:$ZZ$501,$A178,AG$3)))</f>
        <v/>
      </c>
      <c r="AH178" s="124" t="str">
        <f>IF($B178="","",IF(AH$3=0,"n.b.",INDEX(SRC_Woningetalage!$A$1:$ZZ$501,$A178,AH$3)))</f>
        <v/>
      </c>
      <c r="AI178" s="124" t="str">
        <f>IF($B178="","",IF(AI$3=0,"n.b.",INDEX(SRC_Woningetalage!$A$1:$ZZ$501,$A178,AI$3)))</f>
        <v/>
      </c>
      <c r="AJ178" s="124" t="str">
        <f>IF($B178="","",IF(AJ$3=0,"n.b.",INDEX(SRC_Woningetalage!$A$1:$ZZ$501,$A178,AJ$3)))</f>
        <v/>
      </c>
      <c r="AK178" s="124" t="str">
        <f>IF($B178="","",IF(AK$3=0,"n.b.",INDEX(SRC_Woningetalage!$A$1:$ZZ$501,$A178,AK$3)))</f>
        <v/>
      </c>
      <c r="AL178" s="124" t="str">
        <f>IF($B178="","",IF(AL$3=0,"n.b.",INDEX(SRC_Woningetalage!$A$1:$ZZ$501,$A178,AL$3)))</f>
        <v/>
      </c>
      <c r="AM178" s="124" t="str">
        <f>IF($B178="","",IF(AM$3=0,"n.b.",INDEX(SRC_Woningetalage!$A$1:$ZZ$501,$A178,AM$3)))</f>
        <v/>
      </c>
      <c r="AN178" s="124" t="str">
        <f>IF($B178="","",IF(AN$3=0,"n.b.",INDEX(SRC_Woningetalage!$A$1:$ZZ$501,$A178,AN$3)))</f>
        <v/>
      </c>
      <c r="AO178" s="124" t="str">
        <f>IF($B178="","",IF(AO$3=0,"n.b.",INDEX(SRC_Woningetalage!$A$1:$ZZ$501,$A178,AO$3)))</f>
        <v/>
      </c>
      <c r="AP178" s="124" t="str">
        <f>IF($B178="","",IF(AP$3=0,"n.b.",INDEX(SRC_Woningetalage!$A$1:$ZZ$501,$A178,AP$3)))</f>
        <v/>
      </c>
      <c r="AQ178" s="124" t="str">
        <f>IF($B178="","",IF(AQ$3=0,"n.b.",INDEX(SRC_Woningetalage!$A$1:$ZZ$501,$A178,AQ$3)))</f>
        <v/>
      </c>
      <c r="AR178" s="124" t="str">
        <f>IF($B178="","",IF(AR$3=0,"n.b.",INDEX(SRC_Woningetalage!$A$1:$ZZ$501,$A178,AR$3)))</f>
        <v/>
      </c>
      <c r="AS178" s="124" t="str">
        <f>IF($B178="","",IF(AS$3=0,"n.b.",INDEX(SRC_Woningetalage!$A$1:$ZZ$501,$A178,AS$3)))</f>
        <v/>
      </c>
      <c r="AT178" s="124" t="str">
        <f>IF($B178="","",IF(AT$3=0,"n.b.",INDEX(SRC_Woningetalage!$A$1:$ZZ$501,$A178,AT$3)))</f>
        <v/>
      </c>
      <c r="AU178" s="124" t="str">
        <f>IF($B178="","",IF(AU$3=0,"n.b.",INDEX(SRC_Woningetalage!$A$1:$ZZ$501,$A178,AU$3)))</f>
        <v/>
      </c>
      <c r="AV178" s="124" t="str">
        <f>IF($B178="","",IF(AV$3=0,"n.b.",INDEX(SRC_Woningetalage!$A$1:$ZZ$501,$A178,AV$3)))</f>
        <v/>
      </c>
      <c r="AW178" s="124" t="str">
        <f>IF($B178="","",IF(AW$3=0,"n.b.",INDEX(SRC_Woningetalage!$A$1:$ZZ$501,$A178,AW$3)))</f>
        <v/>
      </c>
      <c r="AX178" s="124" t="str">
        <f>IF($B178="","",IF(AX$3=0,"n.b.",INDEX(SRC_Woningetalage!$A$1:$ZZ$501,$A178,AX$3)))</f>
        <v/>
      </c>
      <c r="AY178" s="124" t="str">
        <f>IF($B178="","",IF(AY$3=0,"n.b.",INDEX(SRC_Woningetalage!$A$1:$ZZ$501,$A178,AY$3)))</f>
        <v/>
      </c>
      <c r="AZ178" s="124" t="str">
        <f>IF($B178="","",IF(AZ$3=0,"n.b.",INDEX(SRC_Woningetalage!$A$1:$ZZ$501,$A178,AZ$3)))</f>
        <v/>
      </c>
      <c r="BA178" s="124" t="str">
        <f>IF($B178="","",IF(BA$3=0,"n.b.",INDEX(SRC_Woningetalage!$A$1:$ZZ$501,$A178,BA$3)))</f>
        <v/>
      </c>
      <c r="BB178" s="124" t="str">
        <f>IF($B178="","",IF(BB$3=0,"n.b.",INDEX(SRC_Woningetalage!$A$1:$ZZ$501,$A178,BB$3)))</f>
        <v/>
      </c>
      <c r="BC178" s="124" t="str">
        <f>IF($B178="","",IFERROR(_xlfn.NUMBERVALUE(E178&amp;"",",","."),"n.b."))</f>
        <v/>
      </c>
      <c r="BD178" s="124" t="str">
        <f>IF($B178="","",IFERROR(_xlfn.NUMBERVALUE(M178&amp;"",",","."),"n.b."))</f>
        <v/>
      </c>
      <c r="BE178" s="124" t="str">
        <f>IF($B178="","",IFERROR(AB178+AC178+AD178,"n.b."))</f>
        <v/>
      </c>
      <c r="BF178" s="124" t="str">
        <f>IF($B178="","",IFERROR(AE178+AF178+AG178,"n.b."))</f>
        <v/>
      </c>
      <c r="BG178" s="124" t="str">
        <f>IF($B178="","",IFERROR(AH178+AI178+AJ178,"n.b."))</f>
        <v/>
      </c>
      <c r="BH178" s="124" t="str">
        <f>IF($B178="","",IFERROR(AK178+AL178+AM178,"n.b."))</f>
        <v/>
      </c>
      <c r="BI178" s="124" t="str">
        <f>IF($B178="","",IFERROR(SUMIF($AB$5:$AM$5,"&lt;="&amp;P_PeilMaand,AB178:AM178),"n.b."))</f>
        <v/>
      </c>
      <c r="BJ178" s="124" t="str">
        <f>IF($B178="","",IFERROR(SUM(AB178:AM178)-BI178,"n.b."))</f>
        <v/>
      </c>
      <c r="BK178" s="124" t="str">
        <f>IF($B178="","",IFERROR(IF(ABS(Q178-(T178+SUM(AB178:AM178)+AS178+AU178))&gt;P_Tol,1,0),1))</f>
        <v/>
      </c>
      <c r="BL178" s="124" t="str">
        <f>IF($B178="","",IFERROR(IF(ABS(AA178-(Q178-Z178))&gt;P_Tol,1,0),1))</f>
        <v/>
      </c>
      <c r="BM178" s="124" t="str">
        <f>IF($B178="","",IFERROR(IF(ABS(Z178-(T178+W178))&gt;P_Tol,1,0),1))</f>
        <v/>
      </c>
      <c r="BN178" s="124" t="str">
        <f>IF($B178="","",IFERROR(IF(ABS(W178-BI178)&gt;P_Tol,1,0),1))</f>
        <v/>
      </c>
      <c r="BO178" s="124" t="str">
        <f>IF($B178="","",IFERROR(IF(OR(ABS(R178+S178-T178)&gt;P_Tol,ABS(U178+V178-W178)&gt;P_Tol,ABS(X178+Y178-Z178)&gt;P_Tol),1,0),1))</f>
        <v/>
      </c>
      <c r="BP178" s="124" t="str">
        <f>IF($B178="","",IFERROR(IF(OR(ABS(AR178-SUM(AB178:AM178))&gt;P_Tol,ABS(AS178-(AN178+AO178+AP178+AQ178))&gt;P_Tol),1,0),1))</f>
        <v/>
      </c>
      <c r="BQ178" s="124" t="str">
        <f>IF($B178="","",IFERROR(IF(ABS(AT178)+ABS(AV178)+ABS(AW178)+ABS(AX178)+ABS(AY178)+ABS(AZ178)+ABS(BA178)+ABS(BB178)&gt;0,1,0),1))</f>
        <v/>
      </c>
      <c r="BR178" s="124" t="str">
        <f>IF($B178="","",COUNTIF(STG_ZPMW03!$B$6:$B$505,B178))</f>
        <v/>
      </c>
      <c r="BS178" s="124" t="str">
        <f>IF($B178="","",COUNTIF($B$6:$B$505,B178))</f>
        <v/>
      </c>
      <c r="BT178" s="124" t="str">
        <f>IF($B178="","",IF(BR178=0,0,IF(INDEX(STG_ZPMW03!$I$6:$I$505,MATCH(B178,STG_ZPMW03!$B$6:$B$505,0))=J178&amp;"",0,1)))</f>
        <v/>
      </c>
      <c r="BU178" s="124" t="str">
        <f>IF($B178="","",IFERROR(IF(ABS(INDEX(Mapping!$D$5:$D$104,MATCH(B178,Mapping!$A$5:$A$104,0))-Q178)&gt;P_Tol,1,0),0))</f>
        <v/>
      </c>
      <c r="BV178" s="124" t="str">
        <f>IF($B178="","",IFERROR(IF(AND(INDEX(Mapping!$G$5:$G$104,MATCH(B178,Mapping!$A$5:$A$104,0))="Nee",ABS(Q178)+ABS(Z178)+ABS(AR178)&gt;0),1,0),0))</f>
        <v/>
      </c>
      <c r="BW178" s="124" t="str">
        <f>IF($B178="","",IF(COUNTIF(Mapping!$A$5:$A$104,B178)&gt;0,1,0))</f>
        <v/>
      </c>
      <c r="BX178" s="124" t="str">
        <f>IF($B178="","",IF(BR178=0,COUNTIF($BR$6:BR178,0),""))</f>
        <v/>
      </c>
    </row>
    <row r="179">
      <c r="A179" s="15" t="n">
        <v>175</v>
      </c>
      <c r="B179" t="str">
        <f>IF(B$3=0,"",IF(INDEX(SRC_Woningetalage!$A$1:$ZZ$501,$A179,B$3)&amp;""="","",INDEX(SRC_Woningetalage!$A$1:$ZZ$501,$A179,B$3)&amp;""))</f>
        <v/>
      </c>
      <c r="C179" t="str">
        <f>IF($B179="","",IF(C$3=0,"n.b.",INDEX(SRC_Woningetalage!$A$1:$ZZ$501,$A179,C$3)))</f>
        <v/>
      </c>
      <c r="D179" t="str">
        <f>IF($B179="","",IF(D$3=0,"n.b.",INDEX(SRC_Woningetalage!$A$1:$ZZ$501,$A179,D$3)))</f>
        <v/>
      </c>
      <c r="E179" t="str">
        <f>IF($B179="","",IF(E$3=0,"n.b.",INDEX(SRC_Woningetalage!$A$1:$ZZ$501,$A179,E$3)))</f>
        <v/>
      </c>
      <c r="F179" t="str">
        <f>IF($B179="","",IF(F$3=0,"n.b.",INDEX(SRC_Woningetalage!$A$1:$ZZ$501,$A179,F$3)))</f>
        <v/>
      </c>
      <c r="G179" t="str">
        <f>IF($B179="","",IF(G$3=0,"n.b.",INDEX(SRC_Woningetalage!$A$1:$ZZ$501,$A179,G$3)))</f>
        <v/>
      </c>
      <c r="H179" t="str">
        <f>IF($B179="","",IF(H$3=0,"n.b.",INDEX(SRC_Woningetalage!$A$1:$ZZ$501,$A179,H$3)))</f>
        <v/>
      </c>
      <c r="I179" t="str">
        <f>IF($B179="","",IF(I$3=0,"n.b.",INDEX(SRC_Woningetalage!$A$1:$ZZ$501,$A179,I$3)))</f>
        <v/>
      </c>
      <c r="J179" t="str">
        <f>IF($B179="","",IF(J$3=0,"n.b.",INDEX(SRC_Woningetalage!$A$1:$ZZ$501,$A179,J$3)))</f>
        <v/>
      </c>
      <c r="K179" t="str">
        <f>IF($B179="","",IF(K$3=0,"n.b.",INDEX(SRC_Woningetalage!$A$1:$ZZ$501,$A179,K$3)))</f>
        <v/>
      </c>
      <c r="L179" t="str">
        <f>IF($B179="","",IF(L$3=0,"n.b.",INDEX(SRC_Woningetalage!$A$1:$ZZ$501,$A179,L$3)))</f>
        <v/>
      </c>
      <c r="M179" t="str">
        <f>IF($B179="","",IF(M$3=0,"n.b.",INDEX(SRC_Woningetalage!$A$1:$ZZ$501,$A179,M$3)))</f>
        <v/>
      </c>
      <c r="N179" t="str">
        <f>IF($B179="","",IF(N$3=0,"n.b.",INDEX(SRC_Woningetalage!$A$1:$ZZ$501,$A179,N$3)))</f>
        <v/>
      </c>
      <c r="O179" t="str">
        <f>IF($B179="","",IF(O$3=0,"n.b.",INDEX(SRC_Woningetalage!$A$1:$ZZ$501,$A179,O$3)))</f>
        <v/>
      </c>
      <c r="P179" t="str">
        <f>IF($B179="","",IF(P$3=0,"n.b.",INDEX(SRC_Woningetalage!$A$1:$ZZ$501,$A179,P$3)))</f>
        <v/>
      </c>
      <c r="Q179" s="124" t="str">
        <f>IF($B179="","",IF(Q$3=0,"n.b.",INDEX(SRC_Woningetalage!$A$1:$ZZ$501,$A179,Q$3)))</f>
        <v/>
      </c>
      <c r="R179" s="124" t="str">
        <f>IF($B179="","",IF(R$3=0,"n.b.",INDEX(SRC_Woningetalage!$A$1:$ZZ$501,$A179,R$3)))</f>
        <v/>
      </c>
      <c r="S179" s="124" t="str">
        <f>IF($B179="","",IF(S$3=0,"n.b.",INDEX(SRC_Woningetalage!$A$1:$ZZ$501,$A179,S$3)))</f>
        <v/>
      </c>
      <c r="T179" s="124" t="str">
        <f>IF($B179="","",IF(T$3=0,"n.b.",INDEX(SRC_Woningetalage!$A$1:$ZZ$501,$A179,T$3)))</f>
        <v/>
      </c>
      <c r="U179" s="124" t="str">
        <f>IF($B179="","",IF(U$3=0,"n.b.",INDEX(SRC_Woningetalage!$A$1:$ZZ$501,$A179,U$3)))</f>
        <v/>
      </c>
      <c r="V179" s="124" t="str">
        <f>IF($B179="","",IF(V$3=0,"n.b.",INDEX(SRC_Woningetalage!$A$1:$ZZ$501,$A179,V$3)))</f>
        <v/>
      </c>
      <c r="W179" s="124" t="str">
        <f>IF($B179="","",IF(W$3=0,"n.b.",INDEX(SRC_Woningetalage!$A$1:$ZZ$501,$A179,W$3)))</f>
        <v/>
      </c>
      <c r="X179" s="124" t="str">
        <f>IF($B179="","",IF(X$3=0,"n.b.",INDEX(SRC_Woningetalage!$A$1:$ZZ$501,$A179,X$3)))</f>
        <v/>
      </c>
      <c r="Y179" s="124" t="str">
        <f>IF($B179="","",IF(Y$3=0,"n.b.",INDEX(SRC_Woningetalage!$A$1:$ZZ$501,$A179,Y$3)))</f>
        <v/>
      </c>
      <c r="Z179" s="124" t="str">
        <f>IF($B179="","",IF(Z$3=0,"n.b.",INDEX(SRC_Woningetalage!$A$1:$ZZ$501,$A179,Z$3)))</f>
        <v/>
      </c>
      <c r="AA179" s="124" t="str">
        <f>IF($B179="","",IF(AA$3=0,"n.b.",INDEX(SRC_Woningetalage!$A$1:$ZZ$501,$A179,AA$3)))</f>
        <v/>
      </c>
      <c r="AB179" s="124" t="str">
        <f>IF($B179="","",IF(AB$3=0,"n.b.",INDEX(SRC_Woningetalage!$A$1:$ZZ$501,$A179,AB$3)))</f>
        <v/>
      </c>
      <c r="AC179" s="124" t="str">
        <f>IF($B179="","",IF(AC$3=0,"n.b.",INDEX(SRC_Woningetalage!$A$1:$ZZ$501,$A179,AC$3)))</f>
        <v/>
      </c>
      <c r="AD179" s="124" t="str">
        <f>IF($B179="","",IF(AD$3=0,"n.b.",INDEX(SRC_Woningetalage!$A$1:$ZZ$501,$A179,AD$3)))</f>
        <v/>
      </c>
      <c r="AE179" s="124" t="str">
        <f>IF($B179="","",IF(AE$3=0,"n.b.",INDEX(SRC_Woningetalage!$A$1:$ZZ$501,$A179,AE$3)))</f>
        <v/>
      </c>
      <c r="AF179" s="124" t="str">
        <f>IF($B179="","",IF(AF$3=0,"n.b.",INDEX(SRC_Woningetalage!$A$1:$ZZ$501,$A179,AF$3)))</f>
        <v/>
      </c>
      <c r="AG179" s="124" t="str">
        <f>IF($B179="","",IF(AG$3=0,"n.b.",INDEX(SRC_Woningetalage!$A$1:$ZZ$501,$A179,AG$3)))</f>
        <v/>
      </c>
      <c r="AH179" s="124" t="str">
        <f>IF($B179="","",IF(AH$3=0,"n.b.",INDEX(SRC_Woningetalage!$A$1:$ZZ$501,$A179,AH$3)))</f>
        <v/>
      </c>
      <c r="AI179" s="124" t="str">
        <f>IF($B179="","",IF(AI$3=0,"n.b.",INDEX(SRC_Woningetalage!$A$1:$ZZ$501,$A179,AI$3)))</f>
        <v/>
      </c>
      <c r="AJ179" s="124" t="str">
        <f>IF($B179="","",IF(AJ$3=0,"n.b.",INDEX(SRC_Woningetalage!$A$1:$ZZ$501,$A179,AJ$3)))</f>
        <v/>
      </c>
      <c r="AK179" s="124" t="str">
        <f>IF($B179="","",IF(AK$3=0,"n.b.",INDEX(SRC_Woningetalage!$A$1:$ZZ$501,$A179,AK$3)))</f>
        <v/>
      </c>
      <c r="AL179" s="124" t="str">
        <f>IF($B179="","",IF(AL$3=0,"n.b.",INDEX(SRC_Woningetalage!$A$1:$ZZ$501,$A179,AL$3)))</f>
        <v/>
      </c>
      <c r="AM179" s="124" t="str">
        <f>IF($B179="","",IF(AM$3=0,"n.b.",INDEX(SRC_Woningetalage!$A$1:$ZZ$501,$A179,AM$3)))</f>
        <v/>
      </c>
      <c r="AN179" s="124" t="str">
        <f>IF($B179="","",IF(AN$3=0,"n.b.",INDEX(SRC_Woningetalage!$A$1:$ZZ$501,$A179,AN$3)))</f>
        <v/>
      </c>
      <c r="AO179" s="124" t="str">
        <f>IF($B179="","",IF(AO$3=0,"n.b.",INDEX(SRC_Woningetalage!$A$1:$ZZ$501,$A179,AO$3)))</f>
        <v/>
      </c>
      <c r="AP179" s="124" t="str">
        <f>IF($B179="","",IF(AP$3=0,"n.b.",INDEX(SRC_Woningetalage!$A$1:$ZZ$501,$A179,AP$3)))</f>
        <v/>
      </c>
      <c r="AQ179" s="124" t="str">
        <f>IF($B179="","",IF(AQ$3=0,"n.b.",INDEX(SRC_Woningetalage!$A$1:$ZZ$501,$A179,AQ$3)))</f>
        <v/>
      </c>
      <c r="AR179" s="124" t="str">
        <f>IF($B179="","",IF(AR$3=0,"n.b.",INDEX(SRC_Woningetalage!$A$1:$ZZ$501,$A179,AR$3)))</f>
        <v/>
      </c>
      <c r="AS179" s="124" t="str">
        <f>IF($B179="","",IF(AS$3=0,"n.b.",INDEX(SRC_Woningetalage!$A$1:$ZZ$501,$A179,AS$3)))</f>
        <v/>
      </c>
      <c r="AT179" s="124" t="str">
        <f>IF($B179="","",IF(AT$3=0,"n.b.",INDEX(SRC_Woningetalage!$A$1:$ZZ$501,$A179,AT$3)))</f>
        <v/>
      </c>
      <c r="AU179" s="124" t="str">
        <f>IF($B179="","",IF(AU$3=0,"n.b.",INDEX(SRC_Woningetalage!$A$1:$ZZ$501,$A179,AU$3)))</f>
        <v/>
      </c>
      <c r="AV179" s="124" t="str">
        <f>IF($B179="","",IF(AV$3=0,"n.b.",INDEX(SRC_Woningetalage!$A$1:$ZZ$501,$A179,AV$3)))</f>
        <v/>
      </c>
      <c r="AW179" s="124" t="str">
        <f>IF($B179="","",IF(AW$3=0,"n.b.",INDEX(SRC_Woningetalage!$A$1:$ZZ$501,$A179,AW$3)))</f>
        <v/>
      </c>
      <c r="AX179" s="124" t="str">
        <f>IF($B179="","",IF(AX$3=0,"n.b.",INDEX(SRC_Woningetalage!$A$1:$ZZ$501,$A179,AX$3)))</f>
        <v/>
      </c>
      <c r="AY179" s="124" t="str">
        <f>IF($B179="","",IF(AY$3=0,"n.b.",INDEX(SRC_Woningetalage!$A$1:$ZZ$501,$A179,AY$3)))</f>
        <v/>
      </c>
      <c r="AZ179" s="124" t="str">
        <f>IF($B179="","",IF(AZ$3=0,"n.b.",INDEX(SRC_Woningetalage!$A$1:$ZZ$501,$A179,AZ$3)))</f>
        <v/>
      </c>
      <c r="BA179" s="124" t="str">
        <f>IF($B179="","",IF(BA$3=0,"n.b.",INDEX(SRC_Woningetalage!$A$1:$ZZ$501,$A179,BA$3)))</f>
        <v/>
      </c>
      <c r="BB179" s="124" t="str">
        <f>IF($B179="","",IF(BB$3=0,"n.b.",INDEX(SRC_Woningetalage!$A$1:$ZZ$501,$A179,BB$3)))</f>
        <v/>
      </c>
      <c r="BC179" s="124" t="str">
        <f>IF($B179="","",IFERROR(_xlfn.NUMBERVALUE(E179&amp;"",",","."),"n.b."))</f>
        <v/>
      </c>
      <c r="BD179" s="124" t="str">
        <f>IF($B179="","",IFERROR(_xlfn.NUMBERVALUE(M179&amp;"",",","."),"n.b."))</f>
        <v/>
      </c>
      <c r="BE179" s="124" t="str">
        <f>IF($B179="","",IFERROR(AB179+AC179+AD179,"n.b."))</f>
        <v/>
      </c>
      <c r="BF179" s="124" t="str">
        <f>IF($B179="","",IFERROR(AE179+AF179+AG179,"n.b."))</f>
        <v/>
      </c>
      <c r="BG179" s="124" t="str">
        <f>IF($B179="","",IFERROR(AH179+AI179+AJ179,"n.b."))</f>
        <v/>
      </c>
      <c r="BH179" s="124" t="str">
        <f>IF($B179="","",IFERROR(AK179+AL179+AM179,"n.b."))</f>
        <v/>
      </c>
      <c r="BI179" s="124" t="str">
        <f>IF($B179="","",IFERROR(SUMIF($AB$5:$AM$5,"&lt;="&amp;P_PeilMaand,AB179:AM179),"n.b."))</f>
        <v/>
      </c>
      <c r="BJ179" s="124" t="str">
        <f>IF($B179="","",IFERROR(SUM(AB179:AM179)-BI179,"n.b."))</f>
        <v/>
      </c>
      <c r="BK179" s="124" t="str">
        <f>IF($B179="","",IFERROR(IF(ABS(Q179-(T179+SUM(AB179:AM179)+AS179+AU179))&gt;P_Tol,1,0),1))</f>
        <v/>
      </c>
      <c r="BL179" s="124" t="str">
        <f>IF($B179="","",IFERROR(IF(ABS(AA179-(Q179-Z179))&gt;P_Tol,1,0),1))</f>
        <v/>
      </c>
      <c r="BM179" s="124" t="str">
        <f>IF($B179="","",IFERROR(IF(ABS(Z179-(T179+W179))&gt;P_Tol,1,0),1))</f>
        <v/>
      </c>
      <c r="BN179" s="124" t="str">
        <f>IF($B179="","",IFERROR(IF(ABS(W179-BI179)&gt;P_Tol,1,0),1))</f>
        <v/>
      </c>
      <c r="BO179" s="124" t="str">
        <f>IF($B179="","",IFERROR(IF(OR(ABS(R179+S179-T179)&gt;P_Tol,ABS(U179+V179-W179)&gt;P_Tol,ABS(X179+Y179-Z179)&gt;P_Tol),1,0),1))</f>
        <v/>
      </c>
      <c r="BP179" s="124" t="str">
        <f>IF($B179="","",IFERROR(IF(OR(ABS(AR179-SUM(AB179:AM179))&gt;P_Tol,ABS(AS179-(AN179+AO179+AP179+AQ179))&gt;P_Tol),1,0),1))</f>
        <v/>
      </c>
      <c r="BQ179" s="124" t="str">
        <f>IF($B179="","",IFERROR(IF(ABS(AT179)+ABS(AV179)+ABS(AW179)+ABS(AX179)+ABS(AY179)+ABS(AZ179)+ABS(BA179)+ABS(BB179)&gt;0,1,0),1))</f>
        <v/>
      </c>
      <c r="BR179" s="124" t="str">
        <f>IF($B179="","",COUNTIF(STG_ZPMW03!$B$6:$B$505,B179))</f>
        <v/>
      </c>
      <c r="BS179" s="124" t="str">
        <f>IF($B179="","",COUNTIF($B$6:$B$505,B179))</f>
        <v/>
      </c>
      <c r="BT179" s="124" t="str">
        <f>IF($B179="","",IF(BR179=0,0,IF(INDEX(STG_ZPMW03!$I$6:$I$505,MATCH(B179,STG_ZPMW03!$B$6:$B$505,0))=J179&amp;"",0,1)))</f>
        <v/>
      </c>
      <c r="BU179" s="124" t="str">
        <f>IF($B179="","",IFERROR(IF(ABS(INDEX(Mapping!$D$5:$D$104,MATCH(B179,Mapping!$A$5:$A$104,0))-Q179)&gt;P_Tol,1,0),0))</f>
        <v/>
      </c>
      <c r="BV179" s="124" t="str">
        <f>IF($B179="","",IFERROR(IF(AND(INDEX(Mapping!$G$5:$G$104,MATCH(B179,Mapping!$A$5:$A$104,0))="Nee",ABS(Q179)+ABS(Z179)+ABS(AR179)&gt;0),1,0),0))</f>
        <v/>
      </c>
      <c r="BW179" s="124" t="str">
        <f>IF($B179="","",IF(COUNTIF(Mapping!$A$5:$A$104,B179)&gt;0,1,0))</f>
        <v/>
      </c>
      <c r="BX179" s="124" t="str">
        <f>IF($B179="","",IF(BR179=0,COUNTIF($BR$6:BR179,0),""))</f>
        <v/>
      </c>
    </row>
    <row r="180">
      <c r="A180" s="15" t="n">
        <v>176</v>
      </c>
      <c r="B180" t="str">
        <f>IF(B$3=0,"",IF(INDEX(SRC_Woningetalage!$A$1:$ZZ$501,$A180,B$3)&amp;""="","",INDEX(SRC_Woningetalage!$A$1:$ZZ$501,$A180,B$3)&amp;""))</f>
        <v/>
      </c>
      <c r="C180" t="str">
        <f>IF($B180="","",IF(C$3=0,"n.b.",INDEX(SRC_Woningetalage!$A$1:$ZZ$501,$A180,C$3)))</f>
        <v/>
      </c>
      <c r="D180" t="str">
        <f>IF($B180="","",IF(D$3=0,"n.b.",INDEX(SRC_Woningetalage!$A$1:$ZZ$501,$A180,D$3)))</f>
        <v/>
      </c>
      <c r="E180" t="str">
        <f>IF($B180="","",IF(E$3=0,"n.b.",INDEX(SRC_Woningetalage!$A$1:$ZZ$501,$A180,E$3)))</f>
        <v/>
      </c>
      <c r="F180" t="str">
        <f>IF($B180="","",IF(F$3=0,"n.b.",INDEX(SRC_Woningetalage!$A$1:$ZZ$501,$A180,F$3)))</f>
        <v/>
      </c>
      <c r="G180" t="str">
        <f>IF($B180="","",IF(G$3=0,"n.b.",INDEX(SRC_Woningetalage!$A$1:$ZZ$501,$A180,G$3)))</f>
        <v/>
      </c>
      <c r="H180" t="str">
        <f>IF($B180="","",IF(H$3=0,"n.b.",INDEX(SRC_Woningetalage!$A$1:$ZZ$501,$A180,H$3)))</f>
        <v/>
      </c>
      <c r="I180" t="str">
        <f>IF($B180="","",IF(I$3=0,"n.b.",INDEX(SRC_Woningetalage!$A$1:$ZZ$501,$A180,I$3)))</f>
        <v/>
      </c>
      <c r="J180" t="str">
        <f>IF($B180="","",IF(J$3=0,"n.b.",INDEX(SRC_Woningetalage!$A$1:$ZZ$501,$A180,J$3)))</f>
        <v/>
      </c>
      <c r="K180" t="str">
        <f>IF($B180="","",IF(K$3=0,"n.b.",INDEX(SRC_Woningetalage!$A$1:$ZZ$501,$A180,K$3)))</f>
        <v/>
      </c>
      <c r="L180" t="str">
        <f>IF($B180="","",IF(L$3=0,"n.b.",INDEX(SRC_Woningetalage!$A$1:$ZZ$501,$A180,L$3)))</f>
        <v/>
      </c>
      <c r="M180" t="str">
        <f>IF($B180="","",IF(M$3=0,"n.b.",INDEX(SRC_Woningetalage!$A$1:$ZZ$501,$A180,M$3)))</f>
        <v/>
      </c>
      <c r="N180" t="str">
        <f>IF($B180="","",IF(N$3=0,"n.b.",INDEX(SRC_Woningetalage!$A$1:$ZZ$501,$A180,N$3)))</f>
        <v/>
      </c>
      <c r="O180" t="str">
        <f>IF($B180="","",IF(O$3=0,"n.b.",INDEX(SRC_Woningetalage!$A$1:$ZZ$501,$A180,O$3)))</f>
        <v/>
      </c>
      <c r="P180" t="str">
        <f>IF($B180="","",IF(P$3=0,"n.b.",INDEX(SRC_Woningetalage!$A$1:$ZZ$501,$A180,P$3)))</f>
        <v/>
      </c>
      <c r="Q180" s="124" t="str">
        <f>IF($B180="","",IF(Q$3=0,"n.b.",INDEX(SRC_Woningetalage!$A$1:$ZZ$501,$A180,Q$3)))</f>
        <v/>
      </c>
      <c r="R180" s="124" t="str">
        <f>IF($B180="","",IF(R$3=0,"n.b.",INDEX(SRC_Woningetalage!$A$1:$ZZ$501,$A180,R$3)))</f>
        <v/>
      </c>
      <c r="S180" s="124" t="str">
        <f>IF($B180="","",IF(S$3=0,"n.b.",INDEX(SRC_Woningetalage!$A$1:$ZZ$501,$A180,S$3)))</f>
        <v/>
      </c>
      <c r="T180" s="124" t="str">
        <f>IF($B180="","",IF(T$3=0,"n.b.",INDEX(SRC_Woningetalage!$A$1:$ZZ$501,$A180,T$3)))</f>
        <v/>
      </c>
      <c r="U180" s="124" t="str">
        <f>IF($B180="","",IF(U$3=0,"n.b.",INDEX(SRC_Woningetalage!$A$1:$ZZ$501,$A180,U$3)))</f>
        <v/>
      </c>
      <c r="V180" s="124" t="str">
        <f>IF($B180="","",IF(V$3=0,"n.b.",INDEX(SRC_Woningetalage!$A$1:$ZZ$501,$A180,V$3)))</f>
        <v/>
      </c>
      <c r="W180" s="124" t="str">
        <f>IF($B180="","",IF(W$3=0,"n.b.",INDEX(SRC_Woningetalage!$A$1:$ZZ$501,$A180,W$3)))</f>
        <v/>
      </c>
      <c r="X180" s="124" t="str">
        <f>IF($B180="","",IF(X$3=0,"n.b.",INDEX(SRC_Woningetalage!$A$1:$ZZ$501,$A180,X$3)))</f>
        <v/>
      </c>
      <c r="Y180" s="124" t="str">
        <f>IF($B180="","",IF(Y$3=0,"n.b.",INDEX(SRC_Woningetalage!$A$1:$ZZ$501,$A180,Y$3)))</f>
        <v/>
      </c>
      <c r="Z180" s="124" t="str">
        <f>IF($B180="","",IF(Z$3=0,"n.b.",INDEX(SRC_Woningetalage!$A$1:$ZZ$501,$A180,Z$3)))</f>
        <v/>
      </c>
      <c r="AA180" s="124" t="str">
        <f>IF($B180="","",IF(AA$3=0,"n.b.",INDEX(SRC_Woningetalage!$A$1:$ZZ$501,$A180,AA$3)))</f>
        <v/>
      </c>
      <c r="AB180" s="124" t="str">
        <f>IF($B180="","",IF(AB$3=0,"n.b.",INDEX(SRC_Woningetalage!$A$1:$ZZ$501,$A180,AB$3)))</f>
        <v/>
      </c>
      <c r="AC180" s="124" t="str">
        <f>IF($B180="","",IF(AC$3=0,"n.b.",INDEX(SRC_Woningetalage!$A$1:$ZZ$501,$A180,AC$3)))</f>
        <v/>
      </c>
      <c r="AD180" s="124" t="str">
        <f>IF($B180="","",IF(AD$3=0,"n.b.",INDEX(SRC_Woningetalage!$A$1:$ZZ$501,$A180,AD$3)))</f>
        <v/>
      </c>
      <c r="AE180" s="124" t="str">
        <f>IF($B180="","",IF(AE$3=0,"n.b.",INDEX(SRC_Woningetalage!$A$1:$ZZ$501,$A180,AE$3)))</f>
        <v/>
      </c>
      <c r="AF180" s="124" t="str">
        <f>IF($B180="","",IF(AF$3=0,"n.b.",INDEX(SRC_Woningetalage!$A$1:$ZZ$501,$A180,AF$3)))</f>
        <v/>
      </c>
      <c r="AG180" s="124" t="str">
        <f>IF($B180="","",IF(AG$3=0,"n.b.",INDEX(SRC_Woningetalage!$A$1:$ZZ$501,$A180,AG$3)))</f>
        <v/>
      </c>
      <c r="AH180" s="124" t="str">
        <f>IF($B180="","",IF(AH$3=0,"n.b.",INDEX(SRC_Woningetalage!$A$1:$ZZ$501,$A180,AH$3)))</f>
        <v/>
      </c>
      <c r="AI180" s="124" t="str">
        <f>IF($B180="","",IF(AI$3=0,"n.b.",INDEX(SRC_Woningetalage!$A$1:$ZZ$501,$A180,AI$3)))</f>
        <v/>
      </c>
      <c r="AJ180" s="124" t="str">
        <f>IF($B180="","",IF(AJ$3=0,"n.b.",INDEX(SRC_Woningetalage!$A$1:$ZZ$501,$A180,AJ$3)))</f>
        <v/>
      </c>
      <c r="AK180" s="124" t="str">
        <f>IF($B180="","",IF(AK$3=0,"n.b.",INDEX(SRC_Woningetalage!$A$1:$ZZ$501,$A180,AK$3)))</f>
        <v/>
      </c>
      <c r="AL180" s="124" t="str">
        <f>IF($B180="","",IF(AL$3=0,"n.b.",INDEX(SRC_Woningetalage!$A$1:$ZZ$501,$A180,AL$3)))</f>
        <v/>
      </c>
      <c r="AM180" s="124" t="str">
        <f>IF($B180="","",IF(AM$3=0,"n.b.",INDEX(SRC_Woningetalage!$A$1:$ZZ$501,$A180,AM$3)))</f>
        <v/>
      </c>
      <c r="AN180" s="124" t="str">
        <f>IF($B180="","",IF(AN$3=0,"n.b.",INDEX(SRC_Woningetalage!$A$1:$ZZ$501,$A180,AN$3)))</f>
        <v/>
      </c>
      <c r="AO180" s="124" t="str">
        <f>IF($B180="","",IF(AO$3=0,"n.b.",INDEX(SRC_Woningetalage!$A$1:$ZZ$501,$A180,AO$3)))</f>
        <v/>
      </c>
      <c r="AP180" s="124" t="str">
        <f>IF($B180="","",IF(AP$3=0,"n.b.",INDEX(SRC_Woningetalage!$A$1:$ZZ$501,$A180,AP$3)))</f>
        <v/>
      </c>
      <c r="AQ180" s="124" t="str">
        <f>IF($B180="","",IF(AQ$3=0,"n.b.",INDEX(SRC_Woningetalage!$A$1:$ZZ$501,$A180,AQ$3)))</f>
        <v/>
      </c>
      <c r="AR180" s="124" t="str">
        <f>IF($B180="","",IF(AR$3=0,"n.b.",INDEX(SRC_Woningetalage!$A$1:$ZZ$501,$A180,AR$3)))</f>
        <v/>
      </c>
      <c r="AS180" s="124" t="str">
        <f>IF($B180="","",IF(AS$3=0,"n.b.",INDEX(SRC_Woningetalage!$A$1:$ZZ$501,$A180,AS$3)))</f>
        <v/>
      </c>
      <c r="AT180" s="124" t="str">
        <f>IF($B180="","",IF(AT$3=0,"n.b.",INDEX(SRC_Woningetalage!$A$1:$ZZ$501,$A180,AT$3)))</f>
        <v/>
      </c>
      <c r="AU180" s="124" t="str">
        <f>IF($B180="","",IF(AU$3=0,"n.b.",INDEX(SRC_Woningetalage!$A$1:$ZZ$501,$A180,AU$3)))</f>
        <v/>
      </c>
      <c r="AV180" s="124" t="str">
        <f>IF($B180="","",IF(AV$3=0,"n.b.",INDEX(SRC_Woningetalage!$A$1:$ZZ$501,$A180,AV$3)))</f>
        <v/>
      </c>
      <c r="AW180" s="124" t="str">
        <f>IF($B180="","",IF(AW$3=0,"n.b.",INDEX(SRC_Woningetalage!$A$1:$ZZ$501,$A180,AW$3)))</f>
        <v/>
      </c>
      <c r="AX180" s="124" t="str">
        <f>IF($B180="","",IF(AX$3=0,"n.b.",INDEX(SRC_Woningetalage!$A$1:$ZZ$501,$A180,AX$3)))</f>
        <v/>
      </c>
      <c r="AY180" s="124" t="str">
        <f>IF($B180="","",IF(AY$3=0,"n.b.",INDEX(SRC_Woningetalage!$A$1:$ZZ$501,$A180,AY$3)))</f>
        <v/>
      </c>
      <c r="AZ180" s="124" t="str">
        <f>IF($B180="","",IF(AZ$3=0,"n.b.",INDEX(SRC_Woningetalage!$A$1:$ZZ$501,$A180,AZ$3)))</f>
        <v/>
      </c>
      <c r="BA180" s="124" t="str">
        <f>IF($B180="","",IF(BA$3=0,"n.b.",INDEX(SRC_Woningetalage!$A$1:$ZZ$501,$A180,BA$3)))</f>
        <v/>
      </c>
      <c r="BB180" s="124" t="str">
        <f>IF($B180="","",IF(BB$3=0,"n.b.",INDEX(SRC_Woningetalage!$A$1:$ZZ$501,$A180,BB$3)))</f>
        <v/>
      </c>
      <c r="BC180" s="124" t="str">
        <f>IF($B180="","",IFERROR(_xlfn.NUMBERVALUE(E180&amp;"",",","."),"n.b."))</f>
        <v/>
      </c>
      <c r="BD180" s="124" t="str">
        <f>IF($B180="","",IFERROR(_xlfn.NUMBERVALUE(M180&amp;"",",","."),"n.b."))</f>
        <v/>
      </c>
      <c r="BE180" s="124" t="str">
        <f>IF($B180="","",IFERROR(AB180+AC180+AD180,"n.b."))</f>
        <v/>
      </c>
      <c r="BF180" s="124" t="str">
        <f>IF($B180="","",IFERROR(AE180+AF180+AG180,"n.b."))</f>
        <v/>
      </c>
      <c r="BG180" s="124" t="str">
        <f>IF($B180="","",IFERROR(AH180+AI180+AJ180,"n.b."))</f>
        <v/>
      </c>
      <c r="BH180" s="124" t="str">
        <f>IF($B180="","",IFERROR(AK180+AL180+AM180,"n.b."))</f>
        <v/>
      </c>
      <c r="BI180" s="124" t="str">
        <f>IF($B180="","",IFERROR(SUMIF($AB$5:$AM$5,"&lt;="&amp;P_PeilMaand,AB180:AM180),"n.b."))</f>
        <v/>
      </c>
      <c r="BJ180" s="124" t="str">
        <f>IF($B180="","",IFERROR(SUM(AB180:AM180)-BI180,"n.b."))</f>
        <v/>
      </c>
      <c r="BK180" s="124" t="str">
        <f>IF($B180="","",IFERROR(IF(ABS(Q180-(T180+SUM(AB180:AM180)+AS180+AU180))&gt;P_Tol,1,0),1))</f>
        <v/>
      </c>
      <c r="BL180" s="124" t="str">
        <f>IF($B180="","",IFERROR(IF(ABS(AA180-(Q180-Z180))&gt;P_Tol,1,0),1))</f>
        <v/>
      </c>
      <c r="BM180" s="124" t="str">
        <f>IF($B180="","",IFERROR(IF(ABS(Z180-(T180+W180))&gt;P_Tol,1,0),1))</f>
        <v/>
      </c>
      <c r="BN180" s="124" t="str">
        <f>IF($B180="","",IFERROR(IF(ABS(W180-BI180)&gt;P_Tol,1,0),1))</f>
        <v/>
      </c>
      <c r="BO180" s="124" t="str">
        <f>IF($B180="","",IFERROR(IF(OR(ABS(R180+S180-T180)&gt;P_Tol,ABS(U180+V180-W180)&gt;P_Tol,ABS(X180+Y180-Z180)&gt;P_Tol),1,0),1))</f>
        <v/>
      </c>
      <c r="BP180" s="124" t="str">
        <f>IF($B180="","",IFERROR(IF(OR(ABS(AR180-SUM(AB180:AM180))&gt;P_Tol,ABS(AS180-(AN180+AO180+AP180+AQ180))&gt;P_Tol),1,0),1))</f>
        <v/>
      </c>
      <c r="BQ180" s="124" t="str">
        <f>IF($B180="","",IFERROR(IF(ABS(AT180)+ABS(AV180)+ABS(AW180)+ABS(AX180)+ABS(AY180)+ABS(AZ180)+ABS(BA180)+ABS(BB180)&gt;0,1,0),1))</f>
        <v/>
      </c>
      <c r="BR180" s="124" t="str">
        <f>IF($B180="","",COUNTIF(STG_ZPMW03!$B$6:$B$505,B180))</f>
        <v/>
      </c>
      <c r="BS180" s="124" t="str">
        <f>IF($B180="","",COUNTIF($B$6:$B$505,B180))</f>
        <v/>
      </c>
      <c r="BT180" s="124" t="str">
        <f>IF($B180="","",IF(BR180=0,0,IF(INDEX(STG_ZPMW03!$I$6:$I$505,MATCH(B180,STG_ZPMW03!$B$6:$B$505,0))=J180&amp;"",0,1)))</f>
        <v/>
      </c>
      <c r="BU180" s="124" t="str">
        <f>IF($B180="","",IFERROR(IF(ABS(INDEX(Mapping!$D$5:$D$104,MATCH(B180,Mapping!$A$5:$A$104,0))-Q180)&gt;P_Tol,1,0),0))</f>
        <v/>
      </c>
      <c r="BV180" s="124" t="str">
        <f>IF($B180="","",IFERROR(IF(AND(INDEX(Mapping!$G$5:$G$104,MATCH(B180,Mapping!$A$5:$A$104,0))="Nee",ABS(Q180)+ABS(Z180)+ABS(AR180)&gt;0),1,0),0))</f>
        <v/>
      </c>
      <c r="BW180" s="124" t="str">
        <f>IF($B180="","",IF(COUNTIF(Mapping!$A$5:$A$104,B180)&gt;0,1,0))</f>
        <v/>
      </c>
      <c r="BX180" s="124" t="str">
        <f>IF($B180="","",IF(BR180=0,COUNTIF($BR$6:BR180,0),""))</f>
        <v/>
      </c>
    </row>
    <row r="181">
      <c r="A181" s="15" t="n">
        <v>177</v>
      </c>
      <c r="B181" t="str">
        <f>IF(B$3=0,"",IF(INDEX(SRC_Woningetalage!$A$1:$ZZ$501,$A181,B$3)&amp;""="","",INDEX(SRC_Woningetalage!$A$1:$ZZ$501,$A181,B$3)&amp;""))</f>
        <v/>
      </c>
      <c r="C181" t="str">
        <f>IF($B181="","",IF(C$3=0,"n.b.",INDEX(SRC_Woningetalage!$A$1:$ZZ$501,$A181,C$3)))</f>
        <v/>
      </c>
      <c r="D181" t="str">
        <f>IF($B181="","",IF(D$3=0,"n.b.",INDEX(SRC_Woningetalage!$A$1:$ZZ$501,$A181,D$3)))</f>
        <v/>
      </c>
      <c r="E181" t="str">
        <f>IF($B181="","",IF(E$3=0,"n.b.",INDEX(SRC_Woningetalage!$A$1:$ZZ$501,$A181,E$3)))</f>
        <v/>
      </c>
      <c r="F181" t="str">
        <f>IF($B181="","",IF(F$3=0,"n.b.",INDEX(SRC_Woningetalage!$A$1:$ZZ$501,$A181,F$3)))</f>
        <v/>
      </c>
      <c r="G181" t="str">
        <f>IF($B181="","",IF(G$3=0,"n.b.",INDEX(SRC_Woningetalage!$A$1:$ZZ$501,$A181,G$3)))</f>
        <v/>
      </c>
      <c r="H181" t="str">
        <f>IF($B181="","",IF(H$3=0,"n.b.",INDEX(SRC_Woningetalage!$A$1:$ZZ$501,$A181,H$3)))</f>
        <v/>
      </c>
      <c r="I181" t="str">
        <f>IF($B181="","",IF(I$3=0,"n.b.",INDEX(SRC_Woningetalage!$A$1:$ZZ$501,$A181,I$3)))</f>
        <v/>
      </c>
      <c r="J181" t="str">
        <f>IF($B181="","",IF(J$3=0,"n.b.",INDEX(SRC_Woningetalage!$A$1:$ZZ$501,$A181,J$3)))</f>
        <v/>
      </c>
      <c r="K181" t="str">
        <f>IF($B181="","",IF(K$3=0,"n.b.",INDEX(SRC_Woningetalage!$A$1:$ZZ$501,$A181,K$3)))</f>
        <v/>
      </c>
      <c r="L181" t="str">
        <f>IF($B181="","",IF(L$3=0,"n.b.",INDEX(SRC_Woningetalage!$A$1:$ZZ$501,$A181,L$3)))</f>
        <v/>
      </c>
      <c r="M181" t="str">
        <f>IF($B181="","",IF(M$3=0,"n.b.",INDEX(SRC_Woningetalage!$A$1:$ZZ$501,$A181,M$3)))</f>
        <v/>
      </c>
      <c r="N181" t="str">
        <f>IF($B181="","",IF(N$3=0,"n.b.",INDEX(SRC_Woningetalage!$A$1:$ZZ$501,$A181,N$3)))</f>
        <v/>
      </c>
      <c r="O181" t="str">
        <f>IF($B181="","",IF(O$3=0,"n.b.",INDEX(SRC_Woningetalage!$A$1:$ZZ$501,$A181,O$3)))</f>
        <v/>
      </c>
      <c r="P181" t="str">
        <f>IF($B181="","",IF(P$3=0,"n.b.",INDEX(SRC_Woningetalage!$A$1:$ZZ$501,$A181,P$3)))</f>
        <v/>
      </c>
      <c r="Q181" s="124" t="str">
        <f>IF($B181="","",IF(Q$3=0,"n.b.",INDEX(SRC_Woningetalage!$A$1:$ZZ$501,$A181,Q$3)))</f>
        <v/>
      </c>
      <c r="R181" s="124" t="str">
        <f>IF($B181="","",IF(R$3=0,"n.b.",INDEX(SRC_Woningetalage!$A$1:$ZZ$501,$A181,R$3)))</f>
        <v/>
      </c>
      <c r="S181" s="124" t="str">
        <f>IF($B181="","",IF(S$3=0,"n.b.",INDEX(SRC_Woningetalage!$A$1:$ZZ$501,$A181,S$3)))</f>
        <v/>
      </c>
      <c r="T181" s="124" t="str">
        <f>IF($B181="","",IF(T$3=0,"n.b.",INDEX(SRC_Woningetalage!$A$1:$ZZ$501,$A181,T$3)))</f>
        <v/>
      </c>
      <c r="U181" s="124" t="str">
        <f>IF($B181="","",IF(U$3=0,"n.b.",INDEX(SRC_Woningetalage!$A$1:$ZZ$501,$A181,U$3)))</f>
        <v/>
      </c>
      <c r="V181" s="124" t="str">
        <f>IF($B181="","",IF(V$3=0,"n.b.",INDEX(SRC_Woningetalage!$A$1:$ZZ$501,$A181,V$3)))</f>
        <v/>
      </c>
      <c r="W181" s="124" t="str">
        <f>IF($B181="","",IF(W$3=0,"n.b.",INDEX(SRC_Woningetalage!$A$1:$ZZ$501,$A181,W$3)))</f>
        <v/>
      </c>
      <c r="X181" s="124" t="str">
        <f>IF($B181="","",IF(X$3=0,"n.b.",INDEX(SRC_Woningetalage!$A$1:$ZZ$501,$A181,X$3)))</f>
        <v/>
      </c>
      <c r="Y181" s="124" t="str">
        <f>IF($B181="","",IF(Y$3=0,"n.b.",INDEX(SRC_Woningetalage!$A$1:$ZZ$501,$A181,Y$3)))</f>
        <v/>
      </c>
      <c r="Z181" s="124" t="str">
        <f>IF($B181="","",IF(Z$3=0,"n.b.",INDEX(SRC_Woningetalage!$A$1:$ZZ$501,$A181,Z$3)))</f>
        <v/>
      </c>
      <c r="AA181" s="124" t="str">
        <f>IF($B181="","",IF(AA$3=0,"n.b.",INDEX(SRC_Woningetalage!$A$1:$ZZ$501,$A181,AA$3)))</f>
        <v/>
      </c>
      <c r="AB181" s="124" t="str">
        <f>IF($B181="","",IF(AB$3=0,"n.b.",INDEX(SRC_Woningetalage!$A$1:$ZZ$501,$A181,AB$3)))</f>
        <v/>
      </c>
      <c r="AC181" s="124" t="str">
        <f>IF($B181="","",IF(AC$3=0,"n.b.",INDEX(SRC_Woningetalage!$A$1:$ZZ$501,$A181,AC$3)))</f>
        <v/>
      </c>
      <c r="AD181" s="124" t="str">
        <f>IF($B181="","",IF(AD$3=0,"n.b.",INDEX(SRC_Woningetalage!$A$1:$ZZ$501,$A181,AD$3)))</f>
        <v/>
      </c>
      <c r="AE181" s="124" t="str">
        <f>IF($B181="","",IF(AE$3=0,"n.b.",INDEX(SRC_Woningetalage!$A$1:$ZZ$501,$A181,AE$3)))</f>
        <v/>
      </c>
      <c r="AF181" s="124" t="str">
        <f>IF($B181="","",IF(AF$3=0,"n.b.",INDEX(SRC_Woningetalage!$A$1:$ZZ$501,$A181,AF$3)))</f>
        <v/>
      </c>
      <c r="AG181" s="124" t="str">
        <f>IF($B181="","",IF(AG$3=0,"n.b.",INDEX(SRC_Woningetalage!$A$1:$ZZ$501,$A181,AG$3)))</f>
        <v/>
      </c>
      <c r="AH181" s="124" t="str">
        <f>IF($B181="","",IF(AH$3=0,"n.b.",INDEX(SRC_Woningetalage!$A$1:$ZZ$501,$A181,AH$3)))</f>
        <v/>
      </c>
      <c r="AI181" s="124" t="str">
        <f>IF($B181="","",IF(AI$3=0,"n.b.",INDEX(SRC_Woningetalage!$A$1:$ZZ$501,$A181,AI$3)))</f>
        <v/>
      </c>
      <c r="AJ181" s="124" t="str">
        <f>IF($B181="","",IF(AJ$3=0,"n.b.",INDEX(SRC_Woningetalage!$A$1:$ZZ$501,$A181,AJ$3)))</f>
        <v/>
      </c>
      <c r="AK181" s="124" t="str">
        <f>IF($B181="","",IF(AK$3=0,"n.b.",INDEX(SRC_Woningetalage!$A$1:$ZZ$501,$A181,AK$3)))</f>
        <v/>
      </c>
      <c r="AL181" s="124" t="str">
        <f>IF($B181="","",IF(AL$3=0,"n.b.",INDEX(SRC_Woningetalage!$A$1:$ZZ$501,$A181,AL$3)))</f>
        <v/>
      </c>
      <c r="AM181" s="124" t="str">
        <f>IF($B181="","",IF(AM$3=0,"n.b.",INDEX(SRC_Woningetalage!$A$1:$ZZ$501,$A181,AM$3)))</f>
        <v/>
      </c>
      <c r="AN181" s="124" t="str">
        <f>IF($B181="","",IF(AN$3=0,"n.b.",INDEX(SRC_Woningetalage!$A$1:$ZZ$501,$A181,AN$3)))</f>
        <v/>
      </c>
      <c r="AO181" s="124" t="str">
        <f>IF($B181="","",IF(AO$3=0,"n.b.",INDEX(SRC_Woningetalage!$A$1:$ZZ$501,$A181,AO$3)))</f>
        <v/>
      </c>
      <c r="AP181" s="124" t="str">
        <f>IF($B181="","",IF(AP$3=0,"n.b.",INDEX(SRC_Woningetalage!$A$1:$ZZ$501,$A181,AP$3)))</f>
        <v/>
      </c>
      <c r="AQ181" s="124" t="str">
        <f>IF($B181="","",IF(AQ$3=0,"n.b.",INDEX(SRC_Woningetalage!$A$1:$ZZ$501,$A181,AQ$3)))</f>
        <v/>
      </c>
      <c r="AR181" s="124" t="str">
        <f>IF($B181="","",IF(AR$3=0,"n.b.",INDEX(SRC_Woningetalage!$A$1:$ZZ$501,$A181,AR$3)))</f>
        <v/>
      </c>
      <c r="AS181" s="124" t="str">
        <f>IF($B181="","",IF(AS$3=0,"n.b.",INDEX(SRC_Woningetalage!$A$1:$ZZ$501,$A181,AS$3)))</f>
        <v/>
      </c>
      <c r="AT181" s="124" t="str">
        <f>IF($B181="","",IF(AT$3=0,"n.b.",INDEX(SRC_Woningetalage!$A$1:$ZZ$501,$A181,AT$3)))</f>
        <v/>
      </c>
      <c r="AU181" s="124" t="str">
        <f>IF($B181="","",IF(AU$3=0,"n.b.",INDEX(SRC_Woningetalage!$A$1:$ZZ$501,$A181,AU$3)))</f>
        <v/>
      </c>
      <c r="AV181" s="124" t="str">
        <f>IF($B181="","",IF(AV$3=0,"n.b.",INDEX(SRC_Woningetalage!$A$1:$ZZ$501,$A181,AV$3)))</f>
        <v/>
      </c>
      <c r="AW181" s="124" t="str">
        <f>IF($B181="","",IF(AW$3=0,"n.b.",INDEX(SRC_Woningetalage!$A$1:$ZZ$501,$A181,AW$3)))</f>
        <v/>
      </c>
      <c r="AX181" s="124" t="str">
        <f>IF($B181="","",IF(AX$3=0,"n.b.",INDEX(SRC_Woningetalage!$A$1:$ZZ$501,$A181,AX$3)))</f>
        <v/>
      </c>
      <c r="AY181" s="124" t="str">
        <f>IF($B181="","",IF(AY$3=0,"n.b.",INDEX(SRC_Woningetalage!$A$1:$ZZ$501,$A181,AY$3)))</f>
        <v/>
      </c>
      <c r="AZ181" s="124" t="str">
        <f>IF($B181="","",IF(AZ$3=0,"n.b.",INDEX(SRC_Woningetalage!$A$1:$ZZ$501,$A181,AZ$3)))</f>
        <v/>
      </c>
      <c r="BA181" s="124" t="str">
        <f>IF($B181="","",IF(BA$3=0,"n.b.",INDEX(SRC_Woningetalage!$A$1:$ZZ$501,$A181,BA$3)))</f>
        <v/>
      </c>
      <c r="BB181" s="124" t="str">
        <f>IF($B181="","",IF(BB$3=0,"n.b.",INDEX(SRC_Woningetalage!$A$1:$ZZ$501,$A181,BB$3)))</f>
        <v/>
      </c>
      <c r="BC181" s="124" t="str">
        <f>IF($B181="","",IFERROR(_xlfn.NUMBERVALUE(E181&amp;"",",","."),"n.b."))</f>
        <v/>
      </c>
      <c r="BD181" s="124" t="str">
        <f>IF($B181="","",IFERROR(_xlfn.NUMBERVALUE(M181&amp;"",",","."),"n.b."))</f>
        <v/>
      </c>
      <c r="BE181" s="124" t="str">
        <f>IF($B181="","",IFERROR(AB181+AC181+AD181,"n.b."))</f>
        <v/>
      </c>
      <c r="BF181" s="124" t="str">
        <f>IF($B181="","",IFERROR(AE181+AF181+AG181,"n.b."))</f>
        <v/>
      </c>
      <c r="BG181" s="124" t="str">
        <f>IF($B181="","",IFERROR(AH181+AI181+AJ181,"n.b."))</f>
        <v/>
      </c>
      <c r="BH181" s="124" t="str">
        <f>IF($B181="","",IFERROR(AK181+AL181+AM181,"n.b."))</f>
        <v/>
      </c>
      <c r="BI181" s="124" t="str">
        <f>IF($B181="","",IFERROR(SUMIF($AB$5:$AM$5,"&lt;="&amp;P_PeilMaand,AB181:AM181),"n.b."))</f>
        <v/>
      </c>
      <c r="BJ181" s="124" t="str">
        <f>IF($B181="","",IFERROR(SUM(AB181:AM181)-BI181,"n.b."))</f>
        <v/>
      </c>
      <c r="BK181" s="124" t="str">
        <f>IF($B181="","",IFERROR(IF(ABS(Q181-(T181+SUM(AB181:AM181)+AS181+AU181))&gt;P_Tol,1,0),1))</f>
        <v/>
      </c>
      <c r="BL181" s="124" t="str">
        <f>IF($B181="","",IFERROR(IF(ABS(AA181-(Q181-Z181))&gt;P_Tol,1,0),1))</f>
        <v/>
      </c>
      <c r="BM181" s="124" t="str">
        <f>IF($B181="","",IFERROR(IF(ABS(Z181-(T181+W181))&gt;P_Tol,1,0),1))</f>
        <v/>
      </c>
      <c r="BN181" s="124" t="str">
        <f>IF($B181="","",IFERROR(IF(ABS(W181-BI181)&gt;P_Tol,1,0),1))</f>
        <v/>
      </c>
      <c r="BO181" s="124" t="str">
        <f>IF($B181="","",IFERROR(IF(OR(ABS(R181+S181-T181)&gt;P_Tol,ABS(U181+V181-W181)&gt;P_Tol,ABS(X181+Y181-Z181)&gt;P_Tol),1,0),1))</f>
        <v/>
      </c>
      <c r="BP181" s="124" t="str">
        <f>IF($B181="","",IFERROR(IF(OR(ABS(AR181-SUM(AB181:AM181))&gt;P_Tol,ABS(AS181-(AN181+AO181+AP181+AQ181))&gt;P_Tol),1,0),1))</f>
        <v/>
      </c>
      <c r="BQ181" s="124" t="str">
        <f>IF($B181="","",IFERROR(IF(ABS(AT181)+ABS(AV181)+ABS(AW181)+ABS(AX181)+ABS(AY181)+ABS(AZ181)+ABS(BA181)+ABS(BB181)&gt;0,1,0),1))</f>
        <v/>
      </c>
      <c r="BR181" s="124" t="str">
        <f>IF($B181="","",COUNTIF(STG_ZPMW03!$B$6:$B$505,B181))</f>
        <v/>
      </c>
      <c r="BS181" s="124" t="str">
        <f>IF($B181="","",COUNTIF($B$6:$B$505,B181))</f>
        <v/>
      </c>
      <c r="BT181" s="124" t="str">
        <f>IF($B181="","",IF(BR181=0,0,IF(INDEX(STG_ZPMW03!$I$6:$I$505,MATCH(B181,STG_ZPMW03!$B$6:$B$505,0))=J181&amp;"",0,1)))</f>
        <v/>
      </c>
      <c r="BU181" s="124" t="str">
        <f>IF($B181="","",IFERROR(IF(ABS(INDEX(Mapping!$D$5:$D$104,MATCH(B181,Mapping!$A$5:$A$104,0))-Q181)&gt;P_Tol,1,0),0))</f>
        <v/>
      </c>
      <c r="BV181" s="124" t="str">
        <f>IF($B181="","",IFERROR(IF(AND(INDEX(Mapping!$G$5:$G$104,MATCH(B181,Mapping!$A$5:$A$104,0))="Nee",ABS(Q181)+ABS(Z181)+ABS(AR181)&gt;0),1,0),0))</f>
        <v/>
      </c>
      <c r="BW181" s="124" t="str">
        <f>IF($B181="","",IF(COUNTIF(Mapping!$A$5:$A$104,B181)&gt;0,1,0))</f>
        <v/>
      </c>
      <c r="BX181" s="124" t="str">
        <f>IF($B181="","",IF(BR181=0,COUNTIF($BR$6:BR181,0),""))</f>
        <v/>
      </c>
    </row>
    <row r="182">
      <c r="A182" s="15" t="n">
        <v>178</v>
      </c>
      <c r="B182" t="str">
        <f>IF(B$3=0,"",IF(INDEX(SRC_Woningetalage!$A$1:$ZZ$501,$A182,B$3)&amp;""="","",INDEX(SRC_Woningetalage!$A$1:$ZZ$501,$A182,B$3)&amp;""))</f>
        <v/>
      </c>
      <c r="C182" t="str">
        <f>IF($B182="","",IF(C$3=0,"n.b.",INDEX(SRC_Woningetalage!$A$1:$ZZ$501,$A182,C$3)))</f>
        <v/>
      </c>
      <c r="D182" t="str">
        <f>IF($B182="","",IF(D$3=0,"n.b.",INDEX(SRC_Woningetalage!$A$1:$ZZ$501,$A182,D$3)))</f>
        <v/>
      </c>
      <c r="E182" t="str">
        <f>IF($B182="","",IF(E$3=0,"n.b.",INDEX(SRC_Woningetalage!$A$1:$ZZ$501,$A182,E$3)))</f>
        <v/>
      </c>
      <c r="F182" t="str">
        <f>IF($B182="","",IF(F$3=0,"n.b.",INDEX(SRC_Woningetalage!$A$1:$ZZ$501,$A182,F$3)))</f>
        <v/>
      </c>
      <c r="G182" t="str">
        <f>IF($B182="","",IF(G$3=0,"n.b.",INDEX(SRC_Woningetalage!$A$1:$ZZ$501,$A182,G$3)))</f>
        <v/>
      </c>
      <c r="H182" t="str">
        <f>IF($B182="","",IF(H$3=0,"n.b.",INDEX(SRC_Woningetalage!$A$1:$ZZ$501,$A182,H$3)))</f>
        <v/>
      </c>
      <c r="I182" t="str">
        <f>IF($B182="","",IF(I$3=0,"n.b.",INDEX(SRC_Woningetalage!$A$1:$ZZ$501,$A182,I$3)))</f>
        <v/>
      </c>
      <c r="J182" t="str">
        <f>IF($B182="","",IF(J$3=0,"n.b.",INDEX(SRC_Woningetalage!$A$1:$ZZ$501,$A182,J$3)))</f>
        <v/>
      </c>
      <c r="K182" t="str">
        <f>IF($B182="","",IF(K$3=0,"n.b.",INDEX(SRC_Woningetalage!$A$1:$ZZ$501,$A182,K$3)))</f>
        <v/>
      </c>
      <c r="L182" t="str">
        <f>IF($B182="","",IF(L$3=0,"n.b.",INDEX(SRC_Woningetalage!$A$1:$ZZ$501,$A182,L$3)))</f>
        <v/>
      </c>
      <c r="M182" t="str">
        <f>IF($B182="","",IF(M$3=0,"n.b.",INDEX(SRC_Woningetalage!$A$1:$ZZ$501,$A182,M$3)))</f>
        <v/>
      </c>
      <c r="N182" t="str">
        <f>IF($B182="","",IF(N$3=0,"n.b.",INDEX(SRC_Woningetalage!$A$1:$ZZ$501,$A182,N$3)))</f>
        <v/>
      </c>
      <c r="O182" t="str">
        <f>IF($B182="","",IF(O$3=0,"n.b.",INDEX(SRC_Woningetalage!$A$1:$ZZ$501,$A182,O$3)))</f>
        <v/>
      </c>
      <c r="P182" t="str">
        <f>IF($B182="","",IF(P$3=0,"n.b.",INDEX(SRC_Woningetalage!$A$1:$ZZ$501,$A182,P$3)))</f>
        <v/>
      </c>
      <c r="Q182" s="124" t="str">
        <f>IF($B182="","",IF(Q$3=0,"n.b.",INDEX(SRC_Woningetalage!$A$1:$ZZ$501,$A182,Q$3)))</f>
        <v/>
      </c>
      <c r="R182" s="124" t="str">
        <f>IF($B182="","",IF(R$3=0,"n.b.",INDEX(SRC_Woningetalage!$A$1:$ZZ$501,$A182,R$3)))</f>
        <v/>
      </c>
      <c r="S182" s="124" t="str">
        <f>IF($B182="","",IF(S$3=0,"n.b.",INDEX(SRC_Woningetalage!$A$1:$ZZ$501,$A182,S$3)))</f>
        <v/>
      </c>
      <c r="T182" s="124" t="str">
        <f>IF($B182="","",IF(T$3=0,"n.b.",INDEX(SRC_Woningetalage!$A$1:$ZZ$501,$A182,T$3)))</f>
        <v/>
      </c>
      <c r="U182" s="124" t="str">
        <f>IF($B182="","",IF(U$3=0,"n.b.",INDEX(SRC_Woningetalage!$A$1:$ZZ$501,$A182,U$3)))</f>
        <v/>
      </c>
      <c r="V182" s="124" t="str">
        <f>IF($B182="","",IF(V$3=0,"n.b.",INDEX(SRC_Woningetalage!$A$1:$ZZ$501,$A182,V$3)))</f>
        <v/>
      </c>
      <c r="W182" s="124" t="str">
        <f>IF($B182="","",IF(W$3=0,"n.b.",INDEX(SRC_Woningetalage!$A$1:$ZZ$501,$A182,W$3)))</f>
        <v/>
      </c>
      <c r="X182" s="124" t="str">
        <f>IF($B182="","",IF(X$3=0,"n.b.",INDEX(SRC_Woningetalage!$A$1:$ZZ$501,$A182,X$3)))</f>
        <v/>
      </c>
      <c r="Y182" s="124" t="str">
        <f>IF($B182="","",IF(Y$3=0,"n.b.",INDEX(SRC_Woningetalage!$A$1:$ZZ$501,$A182,Y$3)))</f>
        <v/>
      </c>
      <c r="Z182" s="124" t="str">
        <f>IF($B182="","",IF(Z$3=0,"n.b.",INDEX(SRC_Woningetalage!$A$1:$ZZ$501,$A182,Z$3)))</f>
        <v/>
      </c>
      <c r="AA182" s="124" t="str">
        <f>IF($B182="","",IF(AA$3=0,"n.b.",INDEX(SRC_Woningetalage!$A$1:$ZZ$501,$A182,AA$3)))</f>
        <v/>
      </c>
      <c r="AB182" s="124" t="str">
        <f>IF($B182="","",IF(AB$3=0,"n.b.",INDEX(SRC_Woningetalage!$A$1:$ZZ$501,$A182,AB$3)))</f>
        <v/>
      </c>
      <c r="AC182" s="124" t="str">
        <f>IF($B182="","",IF(AC$3=0,"n.b.",INDEX(SRC_Woningetalage!$A$1:$ZZ$501,$A182,AC$3)))</f>
        <v/>
      </c>
      <c r="AD182" s="124" t="str">
        <f>IF($B182="","",IF(AD$3=0,"n.b.",INDEX(SRC_Woningetalage!$A$1:$ZZ$501,$A182,AD$3)))</f>
        <v/>
      </c>
      <c r="AE182" s="124" t="str">
        <f>IF($B182="","",IF(AE$3=0,"n.b.",INDEX(SRC_Woningetalage!$A$1:$ZZ$501,$A182,AE$3)))</f>
        <v/>
      </c>
      <c r="AF182" s="124" t="str">
        <f>IF($B182="","",IF(AF$3=0,"n.b.",INDEX(SRC_Woningetalage!$A$1:$ZZ$501,$A182,AF$3)))</f>
        <v/>
      </c>
      <c r="AG182" s="124" t="str">
        <f>IF($B182="","",IF(AG$3=0,"n.b.",INDEX(SRC_Woningetalage!$A$1:$ZZ$501,$A182,AG$3)))</f>
        <v/>
      </c>
      <c r="AH182" s="124" t="str">
        <f>IF($B182="","",IF(AH$3=0,"n.b.",INDEX(SRC_Woningetalage!$A$1:$ZZ$501,$A182,AH$3)))</f>
        <v/>
      </c>
      <c r="AI182" s="124" t="str">
        <f>IF($B182="","",IF(AI$3=0,"n.b.",INDEX(SRC_Woningetalage!$A$1:$ZZ$501,$A182,AI$3)))</f>
        <v/>
      </c>
      <c r="AJ182" s="124" t="str">
        <f>IF($B182="","",IF(AJ$3=0,"n.b.",INDEX(SRC_Woningetalage!$A$1:$ZZ$501,$A182,AJ$3)))</f>
        <v/>
      </c>
      <c r="AK182" s="124" t="str">
        <f>IF($B182="","",IF(AK$3=0,"n.b.",INDEX(SRC_Woningetalage!$A$1:$ZZ$501,$A182,AK$3)))</f>
        <v/>
      </c>
      <c r="AL182" s="124" t="str">
        <f>IF($B182="","",IF(AL$3=0,"n.b.",INDEX(SRC_Woningetalage!$A$1:$ZZ$501,$A182,AL$3)))</f>
        <v/>
      </c>
      <c r="AM182" s="124" t="str">
        <f>IF($B182="","",IF(AM$3=0,"n.b.",INDEX(SRC_Woningetalage!$A$1:$ZZ$501,$A182,AM$3)))</f>
        <v/>
      </c>
      <c r="AN182" s="124" t="str">
        <f>IF($B182="","",IF(AN$3=0,"n.b.",INDEX(SRC_Woningetalage!$A$1:$ZZ$501,$A182,AN$3)))</f>
        <v/>
      </c>
      <c r="AO182" s="124" t="str">
        <f>IF($B182="","",IF(AO$3=0,"n.b.",INDEX(SRC_Woningetalage!$A$1:$ZZ$501,$A182,AO$3)))</f>
        <v/>
      </c>
      <c r="AP182" s="124" t="str">
        <f>IF($B182="","",IF(AP$3=0,"n.b.",INDEX(SRC_Woningetalage!$A$1:$ZZ$501,$A182,AP$3)))</f>
        <v/>
      </c>
      <c r="AQ182" s="124" t="str">
        <f>IF($B182="","",IF(AQ$3=0,"n.b.",INDEX(SRC_Woningetalage!$A$1:$ZZ$501,$A182,AQ$3)))</f>
        <v/>
      </c>
      <c r="AR182" s="124" t="str">
        <f>IF($B182="","",IF(AR$3=0,"n.b.",INDEX(SRC_Woningetalage!$A$1:$ZZ$501,$A182,AR$3)))</f>
        <v/>
      </c>
      <c r="AS182" s="124" t="str">
        <f>IF($B182="","",IF(AS$3=0,"n.b.",INDEX(SRC_Woningetalage!$A$1:$ZZ$501,$A182,AS$3)))</f>
        <v/>
      </c>
      <c r="AT182" s="124" t="str">
        <f>IF($B182="","",IF(AT$3=0,"n.b.",INDEX(SRC_Woningetalage!$A$1:$ZZ$501,$A182,AT$3)))</f>
        <v/>
      </c>
      <c r="AU182" s="124" t="str">
        <f>IF($B182="","",IF(AU$3=0,"n.b.",INDEX(SRC_Woningetalage!$A$1:$ZZ$501,$A182,AU$3)))</f>
        <v/>
      </c>
      <c r="AV182" s="124" t="str">
        <f>IF($B182="","",IF(AV$3=0,"n.b.",INDEX(SRC_Woningetalage!$A$1:$ZZ$501,$A182,AV$3)))</f>
        <v/>
      </c>
      <c r="AW182" s="124" t="str">
        <f>IF($B182="","",IF(AW$3=0,"n.b.",INDEX(SRC_Woningetalage!$A$1:$ZZ$501,$A182,AW$3)))</f>
        <v/>
      </c>
      <c r="AX182" s="124" t="str">
        <f>IF($B182="","",IF(AX$3=0,"n.b.",INDEX(SRC_Woningetalage!$A$1:$ZZ$501,$A182,AX$3)))</f>
        <v/>
      </c>
      <c r="AY182" s="124" t="str">
        <f>IF($B182="","",IF(AY$3=0,"n.b.",INDEX(SRC_Woningetalage!$A$1:$ZZ$501,$A182,AY$3)))</f>
        <v/>
      </c>
      <c r="AZ182" s="124" t="str">
        <f>IF($B182="","",IF(AZ$3=0,"n.b.",INDEX(SRC_Woningetalage!$A$1:$ZZ$501,$A182,AZ$3)))</f>
        <v/>
      </c>
      <c r="BA182" s="124" t="str">
        <f>IF($B182="","",IF(BA$3=0,"n.b.",INDEX(SRC_Woningetalage!$A$1:$ZZ$501,$A182,BA$3)))</f>
        <v/>
      </c>
      <c r="BB182" s="124" t="str">
        <f>IF($B182="","",IF(BB$3=0,"n.b.",INDEX(SRC_Woningetalage!$A$1:$ZZ$501,$A182,BB$3)))</f>
        <v/>
      </c>
      <c r="BC182" s="124" t="str">
        <f>IF($B182="","",IFERROR(_xlfn.NUMBERVALUE(E182&amp;"",",","."),"n.b."))</f>
        <v/>
      </c>
      <c r="BD182" s="124" t="str">
        <f>IF($B182="","",IFERROR(_xlfn.NUMBERVALUE(M182&amp;"",",","."),"n.b."))</f>
        <v/>
      </c>
      <c r="BE182" s="124" t="str">
        <f>IF($B182="","",IFERROR(AB182+AC182+AD182,"n.b."))</f>
        <v/>
      </c>
      <c r="BF182" s="124" t="str">
        <f>IF($B182="","",IFERROR(AE182+AF182+AG182,"n.b."))</f>
        <v/>
      </c>
      <c r="BG182" s="124" t="str">
        <f>IF($B182="","",IFERROR(AH182+AI182+AJ182,"n.b."))</f>
        <v/>
      </c>
      <c r="BH182" s="124" t="str">
        <f>IF($B182="","",IFERROR(AK182+AL182+AM182,"n.b."))</f>
        <v/>
      </c>
      <c r="BI182" s="124" t="str">
        <f>IF($B182="","",IFERROR(SUMIF($AB$5:$AM$5,"&lt;="&amp;P_PeilMaand,AB182:AM182),"n.b."))</f>
        <v/>
      </c>
      <c r="BJ182" s="124" t="str">
        <f>IF($B182="","",IFERROR(SUM(AB182:AM182)-BI182,"n.b."))</f>
        <v/>
      </c>
      <c r="BK182" s="124" t="str">
        <f>IF($B182="","",IFERROR(IF(ABS(Q182-(T182+SUM(AB182:AM182)+AS182+AU182))&gt;P_Tol,1,0),1))</f>
        <v/>
      </c>
      <c r="BL182" s="124" t="str">
        <f>IF($B182="","",IFERROR(IF(ABS(AA182-(Q182-Z182))&gt;P_Tol,1,0),1))</f>
        <v/>
      </c>
      <c r="BM182" s="124" t="str">
        <f>IF($B182="","",IFERROR(IF(ABS(Z182-(T182+W182))&gt;P_Tol,1,0),1))</f>
        <v/>
      </c>
      <c r="BN182" s="124" t="str">
        <f>IF($B182="","",IFERROR(IF(ABS(W182-BI182)&gt;P_Tol,1,0),1))</f>
        <v/>
      </c>
      <c r="BO182" s="124" t="str">
        <f>IF($B182="","",IFERROR(IF(OR(ABS(R182+S182-T182)&gt;P_Tol,ABS(U182+V182-W182)&gt;P_Tol,ABS(X182+Y182-Z182)&gt;P_Tol),1,0),1))</f>
        <v/>
      </c>
      <c r="BP182" s="124" t="str">
        <f>IF($B182="","",IFERROR(IF(OR(ABS(AR182-SUM(AB182:AM182))&gt;P_Tol,ABS(AS182-(AN182+AO182+AP182+AQ182))&gt;P_Tol),1,0),1))</f>
        <v/>
      </c>
      <c r="BQ182" s="124" t="str">
        <f>IF($B182="","",IFERROR(IF(ABS(AT182)+ABS(AV182)+ABS(AW182)+ABS(AX182)+ABS(AY182)+ABS(AZ182)+ABS(BA182)+ABS(BB182)&gt;0,1,0),1))</f>
        <v/>
      </c>
      <c r="BR182" s="124" t="str">
        <f>IF($B182="","",COUNTIF(STG_ZPMW03!$B$6:$B$505,B182))</f>
        <v/>
      </c>
      <c r="BS182" s="124" t="str">
        <f>IF($B182="","",COUNTIF($B$6:$B$505,B182))</f>
        <v/>
      </c>
      <c r="BT182" s="124" t="str">
        <f>IF($B182="","",IF(BR182=0,0,IF(INDEX(STG_ZPMW03!$I$6:$I$505,MATCH(B182,STG_ZPMW03!$B$6:$B$505,0))=J182&amp;"",0,1)))</f>
        <v/>
      </c>
      <c r="BU182" s="124" t="str">
        <f>IF($B182="","",IFERROR(IF(ABS(INDEX(Mapping!$D$5:$D$104,MATCH(B182,Mapping!$A$5:$A$104,0))-Q182)&gt;P_Tol,1,0),0))</f>
        <v/>
      </c>
      <c r="BV182" s="124" t="str">
        <f>IF($B182="","",IFERROR(IF(AND(INDEX(Mapping!$G$5:$G$104,MATCH(B182,Mapping!$A$5:$A$104,0))="Nee",ABS(Q182)+ABS(Z182)+ABS(AR182)&gt;0),1,0),0))</f>
        <v/>
      </c>
      <c r="BW182" s="124" t="str">
        <f>IF($B182="","",IF(COUNTIF(Mapping!$A$5:$A$104,B182)&gt;0,1,0))</f>
        <v/>
      </c>
      <c r="BX182" s="124" t="str">
        <f>IF($B182="","",IF(BR182=0,COUNTIF($BR$6:BR182,0),""))</f>
        <v/>
      </c>
    </row>
    <row r="183">
      <c r="A183" s="15" t="n">
        <v>179</v>
      </c>
      <c r="B183" t="str">
        <f>IF(B$3=0,"",IF(INDEX(SRC_Woningetalage!$A$1:$ZZ$501,$A183,B$3)&amp;""="","",INDEX(SRC_Woningetalage!$A$1:$ZZ$501,$A183,B$3)&amp;""))</f>
        <v/>
      </c>
      <c r="C183" t="str">
        <f>IF($B183="","",IF(C$3=0,"n.b.",INDEX(SRC_Woningetalage!$A$1:$ZZ$501,$A183,C$3)))</f>
        <v/>
      </c>
      <c r="D183" t="str">
        <f>IF($B183="","",IF(D$3=0,"n.b.",INDEX(SRC_Woningetalage!$A$1:$ZZ$501,$A183,D$3)))</f>
        <v/>
      </c>
      <c r="E183" t="str">
        <f>IF($B183="","",IF(E$3=0,"n.b.",INDEX(SRC_Woningetalage!$A$1:$ZZ$501,$A183,E$3)))</f>
        <v/>
      </c>
      <c r="F183" t="str">
        <f>IF($B183="","",IF(F$3=0,"n.b.",INDEX(SRC_Woningetalage!$A$1:$ZZ$501,$A183,F$3)))</f>
        <v/>
      </c>
      <c r="G183" t="str">
        <f>IF($B183="","",IF(G$3=0,"n.b.",INDEX(SRC_Woningetalage!$A$1:$ZZ$501,$A183,G$3)))</f>
        <v/>
      </c>
      <c r="H183" t="str">
        <f>IF($B183="","",IF(H$3=0,"n.b.",INDEX(SRC_Woningetalage!$A$1:$ZZ$501,$A183,H$3)))</f>
        <v/>
      </c>
      <c r="I183" t="str">
        <f>IF($B183="","",IF(I$3=0,"n.b.",INDEX(SRC_Woningetalage!$A$1:$ZZ$501,$A183,I$3)))</f>
        <v/>
      </c>
      <c r="J183" t="str">
        <f>IF($B183="","",IF(J$3=0,"n.b.",INDEX(SRC_Woningetalage!$A$1:$ZZ$501,$A183,J$3)))</f>
        <v/>
      </c>
      <c r="K183" t="str">
        <f>IF($B183="","",IF(K$3=0,"n.b.",INDEX(SRC_Woningetalage!$A$1:$ZZ$501,$A183,K$3)))</f>
        <v/>
      </c>
      <c r="L183" t="str">
        <f>IF($B183="","",IF(L$3=0,"n.b.",INDEX(SRC_Woningetalage!$A$1:$ZZ$501,$A183,L$3)))</f>
        <v/>
      </c>
      <c r="M183" t="str">
        <f>IF($B183="","",IF(M$3=0,"n.b.",INDEX(SRC_Woningetalage!$A$1:$ZZ$501,$A183,M$3)))</f>
        <v/>
      </c>
      <c r="N183" t="str">
        <f>IF($B183="","",IF(N$3=0,"n.b.",INDEX(SRC_Woningetalage!$A$1:$ZZ$501,$A183,N$3)))</f>
        <v/>
      </c>
      <c r="O183" t="str">
        <f>IF($B183="","",IF(O$3=0,"n.b.",INDEX(SRC_Woningetalage!$A$1:$ZZ$501,$A183,O$3)))</f>
        <v/>
      </c>
      <c r="P183" t="str">
        <f>IF($B183="","",IF(P$3=0,"n.b.",INDEX(SRC_Woningetalage!$A$1:$ZZ$501,$A183,P$3)))</f>
        <v/>
      </c>
      <c r="Q183" s="124" t="str">
        <f>IF($B183="","",IF(Q$3=0,"n.b.",INDEX(SRC_Woningetalage!$A$1:$ZZ$501,$A183,Q$3)))</f>
        <v/>
      </c>
      <c r="R183" s="124" t="str">
        <f>IF($B183="","",IF(R$3=0,"n.b.",INDEX(SRC_Woningetalage!$A$1:$ZZ$501,$A183,R$3)))</f>
        <v/>
      </c>
      <c r="S183" s="124" t="str">
        <f>IF($B183="","",IF(S$3=0,"n.b.",INDEX(SRC_Woningetalage!$A$1:$ZZ$501,$A183,S$3)))</f>
        <v/>
      </c>
      <c r="T183" s="124" t="str">
        <f>IF($B183="","",IF(T$3=0,"n.b.",INDEX(SRC_Woningetalage!$A$1:$ZZ$501,$A183,T$3)))</f>
        <v/>
      </c>
      <c r="U183" s="124" t="str">
        <f>IF($B183="","",IF(U$3=0,"n.b.",INDEX(SRC_Woningetalage!$A$1:$ZZ$501,$A183,U$3)))</f>
        <v/>
      </c>
      <c r="V183" s="124" t="str">
        <f>IF($B183="","",IF(V$3=0,"n.b.",INDEX(SRC_Woningetalage!$A$1:$ZZ$501,$A183,V$3)))</f>
        <v/>
      </c>
      <c r="W183" s="124" t="str">
        <f>IF($B183="","",IF(W$3=0,"n.b.",INDEX(SRC_Woningetalage!$A$1:$ZZ$501,$A183,W$3)))</f>
        <v/>
      </c>
      <c r="X183" s="124" t="str">
        <f>IF($B183="","",IF(X$3=0,"n.b.",INDEX(SRC_Woningetalage!$A$1:$ZZ$501,$A183,X$3)))</f>
        <v/>
      </c>
      <c r="Y183" s="124" t="str">
        <f>IF($B183="","",IF(Y$3=0,"n.b.",INDEX(SRC_Woningetalage!$A$1:$ZZ$501,$A183,Y$3)))</f>
        <v/>
      </c>
      <c r="Z183" s="124" t="str">
        <f>IF($B183="","",IF(Z$3=0,"n.b.",INDEX(SRC_Woningetalage!$A$1:$ZZ$501,$A183,Z$3)))</f>
        <v/>
      </c>
      <c r="AA183" s="124" t="str">
        <f>IF($B183="","",IF(AA$3=0,"n.b.",INDEX(SRC_Woningetalage!$A$1:$ZZ$501,$A183,AA$3)))</f>
        <v/>
      </c>
      <c r="AB183" s="124" t="str">
        <f>IF($B183="","",IF(AB$3=0,"n.b.",INDEX(SRC_Woningetalage!$A$1:$ZZ$501,$A183,AB$3)))</f>
        <v/>
      </c>
      <c r="AC183" s="124" t="str">
        <f>IF($B183="","",IF(AC$3=0,"n.b.",INDEX(SRC_Woningetalage!$A$1:$ZZ$501,$A183,AC$3)))</f>
        <v/>
      </c>
      <c r="AD183" s="124" t="str">
        <f>IF($B183="","",IF(AD$3=0,"n.b.",INDEX(SRC_Woningetalage!$A$1:$ZZ$501,$A183,AD$3)))</f>
        <v/>
      </c>
      <c r="AE183" s="124" t="str">
        <f>IF($B183="","",IF(AE$3=0,"n.b.",INDEX(SRC_Woningetalage!$A$1:$ZZ$501,$A183,AE$3)))</f>
        <v/>
      </c>
      <c r="AF183" s="124" t="str">
        <f>IF($B183="","",IF(AF$3=0,"n.b.",INDEX(SRC_Woningetalage!$A$1:$ZZ$501,$A183,AF$3)))</f>
        <v/>
      </c>
      <c r="AG183" s="124" t="str">
        <f>IF($B183="","",IF(AG$3=0,"n.b.",INDEX(SRC_Woningetalage!$A$1:$ZZ$501,$A183,AG$3)))</f>
        <v/>
      </c>
      <c r="AH183" s="124" t="str">
        <f>IF($B183="","",IF(AH$3=0,"n.b.",INDEX(SRC_Woningetalage!$A$1:$ZZ$501,$A183,AH$3)))</f>
        <v/>
      </c>
      <c r="AI183" s="124" t="str">
        <f>IF($B183="","",IF(AI$3=0,"n.b.",INDEX(SRC_Woningetalage!$A$1:$ZZ$501,$A183,AI$3)))</f>
        <v/>
      </c>
      <c r="AJ183" s="124" t="str">
        <f>IF($B183="","",IF(AJ$3=0,"n.b.",INDEX(SRC_Woningetalage!$A$1:$ZZ$501,$A183,AJ$3)))</f>
        <v/>
      </c>
      <c r="AK183" s="124" t="str">
        <f>IF($B183="","",IF(AK$3=0,"n.b.",INDEX(SRC_Woningetalage!$A$1:$ZZ$501,$A183,AK$3)))</f>
        <v/>
      </c>
      <c r="AL183" s="124" t="str">
        <f>IF($B183="","",IF(AL$3=0,"n.b.",INDEX(SRC_Woningetalage!$A$1:$ZZ$501,$A183,AL$3)))</f>
        <v/>
      </c>
      <c r="AM183" s="124" t="str">
        <f>IF($B183="","",IF(AM$3=0,"n.b.",INDEX(SRC_Woningetalage!$A$1:$ZZ$501,$A183,AM$3)))</f>
        <v/>
      </c>
      <c r="AN183" s="124" t="str">
        <f>IF($B183="","",IF(AN$3=0,"n.b.",INDEX(SRC_Woningetalage!$A$1:$ZZ$501,$A183,AN$3)))</f>
        <v/>
      </c>
      <c r="AO183" s="124" t="str">
        <f>IF($B183="","",IF(AO$3=0,"n.b.",INDEX(SRC_Woningetalage!$A$1:$ZZ$501,$A183,AO$3)))</f>
        <v/>
      </c>
      <c r="AP183" s="124" t="str">
        <f>IF($B183="","",IF(AP$3=0,"n.b.",INDEX(SRC_Woningetalage!$A$1:$ZZ$501,$A183,AP$3)))</f>
        <v/>
      </c>
      <c r="AQ183" s="124" t="str">
        <f>IF($B183="","",IF(AQ$3=0,"n.b.",INDEX(SRC_Woningetalage!$A$1:$ZZ$501,$A183,AQ$3)))</f>
        <v/>
      </c>
      <c r="AR183" s="124" t="str">
        <f>IF($B183="","",IF(AR$3=0,"n.b.",INDEX(SRC_Woningetalage!$A$1:$ZZ$501,$A183,AR$3)))</f>
        <v/>
      </c>
      <c r="AS183" s="124" t="str">
        <f>IF($B183="","",IF(AS$3=0,"n.b.",INDEX(SRC_Woningetalage!$A$1:$ZZ$501,$A183,AS$3)))</f>
        <v/>
      </c>
      <c r="AT183" s="124" t="str">
        <f>IF($B183="","",IF(AT$3=0,"n.b.",INDEX(SRC_Woningetalage!$A$1:$ZZ$501,$A183,AT$3)))</f>
        <v/>
      </c>
      <c r="AU183" s="124" t="str">
        <f>IF($B183="","",IF(AU$3=0,"n.b.",INDEX(SRC_Woningetalage!$A$1:$ZZ$501,$A183,AU$3)))</f>
        <v/>
      </c>
      <c r="AV183" s="124" t="str">
        <f>IF($B183="","",IF(AV$3=0,"n.b.",INDEX(SRC_Woningetalage!$A$1:$ZZ$501,$A183,AV$3)))</f>
        <v/>
      </c>
      <c r="AW183" s="124" t="str">
        <f>IF($B183="","",IF(AW$3=0,"n.b.",INDEX(SRC_Woningetalage!$A$1:$ZZ$501,$A183,AW$3)))</f>
        <v/>
      </c>
      <c r="AX183" s="124" t="str">
        <f>IF($B183="","",IF(AX$3=0,"n.b.",INDEX(SRC_Woningetalage!$A$1:$ZZ$501,$A183,AX$3)))</f>
        <v/>
      </c>
      <c r="AY183" s="124" t="str">
        <f>IF($B183="","",IF(AY$3=0,"n.b.",INDEX(SRC_Woningetalage!$A$1:$ZZ$501,$A183,AY$3)))</f>
        <v/>
      </c>
      <c r="AZ183" s="124" t="str">
        <f>IF($B183="","",IF(AZ$3=0,"n.b.",INDEX(SRC_Woningetalage!$A$1:$ZZ$501,$A183,AZ$3)))</f>
        <v/>
      </c>
      <c r="BA183" s="124" t="str">
        <f>IF($B183="","",IF(BA$3=0,"n.b.",INDEX(SRC_Woningetalage!$A$1:$ZZ$501,$A183,BA$3)))</f>
        <v/>
      </c>
      <c r="BB183" s="124" t="str">
        <f>IF($B183="","",IF(BB$3=0,"n.b.",INDEX(SRC_Woningetalage!$A$1:$ZZ$501,$A183,BB$3)))</f>
        <v/>
      </c>
      <c r="BC183" s="124" t="str">
        <f>IF($B183="","",IFERROR(_xlfn.NUMBERVALUE(E183&amp;"",",","."),"n.b."))</f>
        <v/>
      </c>
      <c r="BD183" s="124" t="str">
        <f>IF($B183="","",IFERROR(_xlfn.NUMBERVALUE(M183&amp;"",",","."),"n.b."))</f>
        <v/>
      </c>
      <c r="BE183" s="124" t="str">
        <f>IF($B183="","",IFERROR(AB183+AC183+AD183,"n.b."))</f>
        <v/>
      </c>
      <c r="BF183" s="124" t="str">
        <f>IF($B183="","",IFERROR(AE183+AF183+AG183,"n.b."))</f>
        <v/>
      </c>
      <c r="BG183" s="124" t="str">
        <f>IF($B183="","",IFERROR(AH183+AI183+AJ183,"n.b."))</f>
        <v/>
      </c>
      <c r="BH183" s="124" t="str">
        <f>IF($B183="","",IFERROR(AK183+AL183+AM183,"n.b."))</f>
        <v/>
      </c>
      <c r="BI183" s="124" t="str">
        <f>IF($B183="","",IFERROR(SUMIF($AB$5:$AM$5,"&lt;="&amp;P_PeilMaand,AB183:AM183),"n.b."))</f>
        <v/>
      </c>
      <c r="BJ183" s="124" t="str">
        <f>IF($B183="","",IFERROR(SUM(AB183:AM183)-BI183,"n.b."))</f>
        <v/>
      </c>
      <c r="BK183" s="124" t="str">
        <f>IF($B183="","",IFERROR(IF(ABS(Q183-(T183+SUM(AB183:AM183)+AS183+AU183))&gt;P_Tol,1,0),1))</f>
        <v/>
      </c>
      <c r="BL183" s="124" t="str">
        <f>IF($B183="","",IFERROR(IF(ABS(AA183-(Q183-Z183))&gt;P_Tol,1,0),1))</f>
        <v/>
      </c>
      <c r="BM183" s="124" t="str">
        <f>IF($B183="","",IFERROR(IF(ABS(Z183-(T183+W183))&gt;P_Tol,1,0),1))</f>
        <v/>
      </c>
      <c r="BN183" s="124" t="str">
        <f>IF($B183="","",IFERROR(IF(ABS(W183-BI183)&gt;P_Tol,1,0),1))</f>
        <v/>
      </c>
      <c r="BO183" s="124" t="str">
        <f>IF($B183="","",IFERROR(IF(OR(ABS(R183+S183-T183)&gt;P_Tol,ABS(U183+V183-W183)&gt;P_Tol,ABS(X183+Y183-Z183)&gt;P_Tol),1,0),1))</f>
        <v/>
      </c>
      <c r="BP183" s="124" t="str">
        <f>IF($B183="","",IFERROR(IF(OR(ABS(AR183-SUM(AB183:AM183))&gt;P_Tol,ABS(AS183-(AN183+AO183+AP183+AQ183))&gt;P_Tol),1,0),1))</f>
        <v/>
      </c>
      <c r="BQ183" s="124" t="str">
        <f>IF($B183="","",IFERROR(IF(ABS(AT183)+ABS(AV183)+ABS(AW183)+ABS(AX183)+ABS(AY183)+ABS(AZ183)+ABS(BA183)+ABS(BB183)&gt;0,1,0),1))</f>
        <v/>
      </c>
      <c r="BR183" s="124" t="str">
        <f>IF($B183="","",COUNTIF(STG_ZPMW03!$B$6:$B$505,B183))</f>
        <v/>
      </c>
      <c r="BS183" s="124" t="str">
        <f>IF($B183="","",COUNTIF($B$6:$B$505,B183))</f>
        <v/>
      </c>
      <c r="BT183" s="124" t="str">
        <f>IF($B183="","",IF(BR183=0,0,IF(INDEX(STG_ZPMW03!$I$6:$I$505,MATCH(B183,STG_ZPMW03!$B$6:$B$505,0))=J183&amp;"",0,1)))</f>
        <v/>
      </c>
      <c r="BU183" s="124" t="str">
        <f>IF($B183="","",IFERROR(IF(ABS(INDEX(Mapping!$D$5:$D$104,MATCH(B183,Mapping!$A$5:$A$104,0))-Q183)&gt;P_Tol,1,0),0))</f>
        <v/>
      </c>
      <c r="BV183" s="124" t="str">
        <f>IF($B183="","",IFERROR(IF(AND(INDEX(Mapping!$G$5:$G$104,MATCH(B183,Mapping!$A$5:$A$104,0))="Nee",ABS(Q183)+ABS(Z183)+ABS(AR183)&gt;0),1,0),0))</f>
        <v/>
      </c>
      <c r="BW183" s="124" t="str">
        <f>IF($B183="","",IF(COUNTIF(Mapping!$A$5:$A$104,B183)&gt;0,1,0))</f>
        <v/>
      </c>
      <c r="BX183" s="124" t="str">
        <f>IF($B183="","",IF(BR183=0,COUNTIF($BR$6:BR183,0),""))</f>
        <v/>
      </c>
    </row>
    <row r="184">
      <c r="A184" s="15" t="n">
        <v>180</v>
      </c>
      <c r="B184" t="str">
        <f>IF(B$3=0,"",IF(INDEX(SRC_Woningetalage!$A$1:$ZZ$501,$A184,B$3)&amp;""="","",INDEX(SRC_Woningetalage!$A$1:$ZZ$501,$A184,B$3)&amp;""))</f>
        <v/>
      </c>
      <c r="C184" t="str">
        <f>IF($B184="","",IF(C$3=0,"n.b.",INDEX(SRC_Woningetalage!$A$1:$ZZ$501,$A184,C$3)))</f>
        <v/>
      </c>
      <c r="D184" t="str">
        <f>IF($B184="","",IF(D$3=0,"n.b.",INDEX(SRC_Woningetalage!$A$1:$ZZ$501,$A184,D$3)))</f>
        <v/>
      </c>
      <c r="E184" t="str">
        <f>IF($B184="","",IF(E$3=0,"n.b.",INDEX(SRC_Woningetalage!$A$1:$ZZ$501,$A184,E$3)))</f>
        <v/>
      </c>
      <c r="F184" t="str">
        <f>IF($B184="","",IF(F$3=0,"n.b.",INDEX(SRC_Woningetalage!$A$1:$ZZ$501,$A184,F$3)))</f>
        <v/>
      </c>
      <c r="G184" t="str">
        <f>IF($B184="","",IF(G$3=0,"n.b.",INDEX(SRC_Woningetalage!$A$1:$ZZ$501,$A184,G$3)))</f>
        <v/>
      </c>
      <c r="H184" t="str">
        <f>IF($B184="","",IF(H$3=0,"n.b.",INDEX(SRC_Woningetalage!$A$1:$ZZ$501,$A184,H$3)))</f>
        <v/>
      </c>
      <c r="I184" t="str">
        <f>IF($B184="","",IF(I$3=0,"n.b.",INDEX(SRC_Woningetalage!$A$1:$ZZ$501,$A184,I$3)))</f>
        <v/>
      </c>
      <c r="J184" t="str">
        <f>IF($B184="","",IF(J$3=0,"n.b.",INDEX(SRC_Woningetalage!$A$1:$ZZ$501,$A184,J$3)))</f>
        <v/>
      </c>
      <c r="K184" t="str">
        <f>IF($B184="","",IF(K$3=0,"n.b.",INDEX(SRC_Woningetalage!$A$1:$ZZ$501,$A184,K$3)))</f>
        <v/>
      </c>
      <c r="L184" t="str">
        <f>IF($B184="","",IF(L$3=0,"n.b.",INDEX(SRC_Woningetalage!$A$1:$ZZ$501,$A184,L$3)))</f>
        <v/>
      </c>
      <c r="M184" t="str">
        <f>IF($B184="","",IF(M$3=0,"n.b.",INDEX(SRC_Woningetalage!$A$1:$ZZ$501,$A184,M$3)))</f>
        <v/>
      </c>
      <c r="N184" t="str">
        <f>IF($B184="","",IF(N$3=0,"n.b.",INDEX(SRC_Woningetalage!$A$1:$ZZ$501,$A184,N$3)))</f>
        <v/>
      </c>
      <c r="O184" t="str">
        <f>IF($B184="","",IF(O$3=0,"n.b.",INDEX(SRC_Woningetalage!$A$1:$ZZ$501,$A184,O$3)))</f>
        <v/>
      </c>
      <c r="P184" t="str">
        <f>IF($B184="","",IF(P$3=0,"n.b.",INDEX(SRC_Woningetalage!$A$1:$ZZ$501,$A184,P$3)))</f>
        <v/>
      </c>
      <c r="Q184" s="124" t="str">
        <f>IF($B184="","",IF(Q$3=0,"n.b.",INDEX(SRC_Woningetalage!$A$1:$ZZ$501,$A184,Q$3)))</f>
        <v/>
      </c>
      <c r="R184" s="124" t="str">
        <f>IF($B184="","",IF(R$3=0,"n.b.",INDEX(SRC_Woningetalage!$A$1:$ZZ$501,$A184,R$3)))</f>
        <v/>
      </c>
      <c r="S184" s="124" t="str">
        <f>IF($B184="","",IF(S$3=0,"n.b.",INDEX(SRC_Woningetalage!$A$1:$ZZ$501,$A184,S$3)))</f>
        <v/>
      </c>
      <c r="T184" s="124" t="str">
        <f>IF($B184="","",IF(T$3=0,"n.b.",INDEX(SRC_Woningetalage!$A$1:$ZZ$501,$A184,T$3)))</f>
        <v/>
      </c>
      <c r="U184" s="124" t="str">
        <f>IF($B184="","",IF(U$3=0,"n.b.",INDEX(SRC_Woningetalage!$A$1:$ZZ$501,$A184,U$3)))</f>
        <v/>
      </c>
      <c r="V184" s="124" t="str">
        <f>IF($B184="","",IF(V$3=0,"n.b.",INDEX(SRC_Woningetalage!$A$1:$ZZ$501,$A184,V$3)))</f>
        <v/>
      </c>
      <c r="W184" s="124" t="str">
        <f>IF($B184="","",IF(W$3=0,"n.b.",INDEX(SRC_Woningetalage!$A$1:$ZZ$501,$A184,W$3)))</f>
        <v/>
      </c>
      <c r="X184" s="124" t="str">
        <f>IF($B184="","",IF(X$3=0,"n.b.",INDEX(SRC_Woningetalage!$A$1:$ZZ$501,$A184,X$3)))</f>
        <v/>
      </c>
      <c r="Y184" s="124" t="str">
        <f>IF($B184="","",IF(Y$3=0,"n.b.",INDEX(SRC_Woningetalage!$A$1:$ZZ$501,$A184,Y$3)))</f>
        <v/>
      </c>
      <c r="Z184" s="124" t="str">
        <f>IF($B184="","",IF(Z$3=0,"n.b.",INDEX(SRC_Woningetalage!$A$1:$ZZ$501,$A184,Z$3)))</f>
        <v/>
      </c>
      <c r="AA184" s="124" t="str">
        <f>IF($B184="","",IF(AA$3=0,"n.b.",INDEX(SRC_Woningetalage!$A$1:$ZZ$501,$A184,AA$3)))</f>
        <v/>
      </c>
      <c r="AB184" s="124" t="str">
        <f>IF($B184="","",IF(AB$3=0,"n.b.",INDEX(SRC_Woningetalage!$A$1:$ZZ$501,$A184,AB$3)))</f>
        <v/>
      </c>
      <c r="AC184" s="124" t="str">
        <f>IF($B184="","",IF(AC$3=0,"n.b.",INDEX(SRC_Woningetalage!$A$1:$ZZ$501,$A184,AC$3)))</f>
        <v/>
      </c>
      <c r="AD184" s="124" t="str">
        <f>IF($B184="","",IF(AD$3=0,"n.b.",INDEX(SRC_Woningetalage!$A$1:$ZZ$501,$A184,AD$3)))</f>
        <v/>
      </c>
      <c r="AE184" s="124" t="str">
        <f>IF($B184="","",IF(AE$3=0,"n.b.",INDEX(SRC_Woningetalage!$A$1:$ZZ$501,$A184,AE$3)))</f>
        <v/>
      </c>
      <c r="AF184" s="124" t="str">
        <f>IF($B184="","",IF(AF$3=0,"n.b.",INDEX(SRC_Woningetalage!$A$1:$ZZ$501,$A184,AF$3)))</f>
        <v/>
      </c>
      <c r="AG184" s="124" t="str">
        <f>IF($B184="","",IF(AG$3=0,"n.b.",INDEX(SRC_Woningetalage!$A$1:$ZZ$501,$A184,AG$3)))</f>
        <v/>
      </c>
      <c r="AH184" s="124" t="str">
        <f>IF($B184="","",IF(AH$3=0,"n.b.",INDEX(SRC_Woningetalage!$A$1:$ZZ$501,$A184,AH$3)))</f>
        <v/>
      </c>
      <c r="AI184" s="124" t="str">
        <f>IF($B184="","",IF(AI$3=0,"n.b.",INDEX(SRC_Woningetalage!$A$1:$ZZ$501,$A184,AI$3)))</f>
        <v/>
      </c>
      <c r="AJ184" s="124" t="str">
        <f>IF($B184="","",IF(AJ$3=0,"n.b.",INDEX(SRC_Woningetalage!$A$1:$ZZ$501,$A184,AJ$3)))</f>
        <v/>
      </c>
      <c r="AK184" s="124" t="str">
        <f>IF($B184="","",IF(AK$3=0,"n.b.",INDEX(SRC_Woningetalage!$A$1:$ZZ$501,$A184,AK$3)))</f>
        <v/>
      </c>
      <c r="AL184" s="124" t="str">
        <f>IF($B184="","",IF(AL$3=0,"n.b.",INDEX(SRC_Woningetalage!$A$1:$ZZ$501,$A184,AL$3)))</f>
        <v/>
      </c>
      <c r="AM184" s="124" t="str">
        <f>IF($B184="","",IF(AM$3=0,"n.b.",INDEX(SRC_Woningetalage!$A$1:$ZZ$501,$A184,AM$3)))</f>
        <v/>
      </c>
      <c r="AN184" s="124" t="str">
        <f>IF($B184="","",IF(AN$3=0,"n.b.",INDEX(SRC_Woningetalage!$A$1:$ZZ$501,$A184,AN$3)))</f>
        <v/>
      </c>
      <c r="AO184" s="124" t="str">
        <f>IF($B184="","",IF(AO$3=0,"n.b.",INDEX(SRC_Woningetalage!$A$1:$ZZ$501,$A184,AO$3)))</f>
        <v/>
      </c>
      <c r="AP184" s="124" t="str">
        <f>IF($B184="","",IF(AP$3=0,"n.b.",INDEX(SRC_Woningetalage!$A$1:$ZZ$501,$A184,AP$3)))</f>
        <v/>
      </c>
      <c r="AQ184" s="124" t="str">
        <f>IF($B184="","",IF(AQ$3=0,"n.b.",INDEX(SRC_Woningetalage!$A$1:$ZZ$501,$A184,AQ$3)))</f>
        <v/>
      </c>
      <c r="AR184" s="124" t="str">
        <f>IF($B184="","",IF(AR$3=0,"n.b.",INDEX(SRC_Woningetalage!$A$1:$ZZ$501,$A184,AR$3)))</f>
        <v/>
      </c>
      <c r="AS184" s="124" t="str">
        <f>IF($B184="","",IF(AS$3=0,"n.b.",INDEX(SRC_Woningetalage!$A$1:$ZZ$501,$A184,AS$3)))</f>
        <v/>
      </c>
      <c r="AT184" s="124" t="str">
        <f>IF($B184="","",IF(AT$3=0,"n.b.",INDEX(SRC_Woningetalage!$A$1:$ZZ$501,$A184,AT$3)))</f>
        <v/>
      </c>
      <c r="AU184" s="124" t="str">
        <f>IF($B184="","",IF(AU$3=0,"n.b.",INDEX(SRC_Woningetalage!$A$1:$ZZ$501,$A184,AU$3)))</f>
        <v/>
      </c>
      <c r="AV184" s="124" t="str">
        <f>IF($B184="","",IF(AV$3=0,"n.b.",INDEX(SRC_Woningetalage!$A$1:$ZZ$501,$A184,AV$3)))</f>
        <v/>
      </c>
      <c r="AW184" s="124" t="str">
        <f>IF($B184="","",IF(AW$3=0,"n.b.",INDEX(SRC_Woningetalage!$A$1:$ZZ$501,$A184,AW$3)))</f>
        <v/>
      </c>
      <c r="AX184" s="124" t="str">
        <f>IF($B184="","",IF(AX$3=0,"n.b.",INDEX(SRC_Woningetalage!$A$1:$ZZ$501,$A184,AX$3)))</f>
        <v/>
      </c>
      <c r="AY184" s="124" t="str">
        <f>IF($B184="","",IF(AY$3=0,"n.b.",INDEX(SRC_Woningetalage!$A$1:$ZZ$501,$A184,AY$3)))</f>
        <v/>
      </c>
      <c r="AZ184" s="124" t="str">
        <f>IF($B184="","",IF(AZ$3=0,"n.b.",INDEX(SRC_Woningetalage!$A$1:$ZZ$501,$A184,AZ$3)))</f>
        <v/>
      </c>
      <c r="BA184" s="124" t="str">
        <f>IF($B184="","",IF(BA$3=0,"n.b.",INDEX(SRC_Woningetalage!$A$1:$ZZ$501,$A184,BA$3)))</f>
        <v/>
      </c>
      <c r="BB184" s="124" t="str">
        <f>IF($B184="","",IF(BB$3=0,"n.b.",INDEX(SRC_Woningetalage!$A$1:$ZZ$501,$A184,BB$3)))</f>
        <v/>
      </c>
      <c r="BC184" s="124" t="str">
        <f>IF($B184="","",IFERROR(_xlfn.NUMBERVALUE(E184&amp;"",",","."),"n.b."))</f>
        <v/>
      </c>
      <c r="BD184" s="124" t="str">
        <f>IF($B184="","",IFERROR(_xlfn.NUMBERVALUE(M184&amp;"",",","."),"n.b."))</f>
        <v/>
      </c>
      <c r="BE184" s="124" t="str">
        <f>IF($B184="","",IFERROR(AB184+AC184+AD184,"n.b."))</f>
        <v/>
      </c>
      <c r="BF184" s="124" t="str">
        <f>IF($B184="","",IFERROR(AE184+AF184+AG184,"n.b."))</f>
        <v/>
      </c>
      <c r="BG184" s="124" t="str">
        <f>IF($B184="","",IFERROR(AH184+AI184+AJ184,"n.b."))</f>
        <v/>
      </c>
      <c r="BH184" s="124" t="str">
        <f>IF($B184="","",IFERROR(AK184+AL184+AM184,"n.b."))</f>
        <v/>
      </c>
      <c r="BI184" s="124" t="str">
        <f>IF($B184="","",IFERROR(SUMIF($AB$5:$AM$5,"&lt;="&amp;P_PeilMaand,AB184:AM184),"n.b."))</f>
        <v/>
      </c>
      <c r="BJ184" s="124" t="str">
        <f>IF($B184="","",IFERROR(SUM(AB184:AM184)-BI184,"n.b."))</f>
        <v/>
      </c>
      <c r="BK184" s="124" t="str">
        <f>IF($B184="","",IFERROR(IF(ABS(Q184-(T184+SUM(AB184:AM184)+AS184+AU184))&gt;P_Tol,1,0),1))</f>
        <v/>
      </c>
      <c r="BL184" s="124" t="str">
        <f>IF($B184="","",IFERROR(IF(ABS(AA184-(Q184-Z184))&gt;P_Tol,1,0),1))</f>
        <v/>
      </c>
      <c r="BM184" s="124" t="str">
        <f>IF($B184="","",IFERROR(IF(ABS(Z184-(T184+W184))&gt;P_Tol,1,0),1))</f>
        <v/>
      </c>
      <c r="BN184" s="124" t="str">
        <f>IF($B184="","",IFERROR(IF(ABS(W184-BI184)&gt;P_Tol,1,0),1))</f>
        <v/>
      </c>
      <c r="BO184" s="124" t="str">
        <f>IF($B184="","",IFERROR(IF(OR(ABS(R184+S184-T184)&gt;P_Tol,ABS(U184+V184-W184)&gt;P_Tol,ABS(X184+Y184-Z184)&gt;P_Tol),1,0),1))</f>
        <v/>
      </c>
      <c r="BP184" s="124" t="str">
        <f>IF($B184="","",IFERROR(IF(OR(ABS(AR184-SUM(AB184:AM184))&gt;P_Tol,ABS(AS184-(AN184+AO184+AP184+AQ184))&gt;P_Tol),1,0),1))</f>
        <v/>
      </c>
      <c r="BQ184" s="124" t="str">
        <f>IF($B184="","",IFERROR(IF(ABS(AT184)+ABS(AV184)+ABS(AW184)+ABS(AX184)+ABS(AY184)+ABS(AZ184)+ABS(BA184)+ABS(BB184)&gt;0,1,0),1))</f>
        <v/>
      </c>
      <c r="BR184" s="124" t="str">
        <f>IF($B184="","",COUNTIF(STG_ZPMW03!$B$6:$B$505,B184))</f>
        <v/>
      </c>
      <c r="BS184" s="124" t="str">
        <f>IF($B184="","",COUNTIF($B$6:$B$505,B184))</f>
        <v/>
      </c>
      <c r="BT184" s="124" t="str">
        <f>IF($B184="","",IF(BR184=0,0,IF(INDEX(STG_ZPMW03!$I$6:$I$505,MATCH(B184,STG_ZPMW03!$B$6:$B$505,0))=J184&amp;"",0,1)))</f>
        <v/>
      </c>
      <c r="BU184" s="124" t="str">
        <f>IF($B184="","",IFERROR(IF(ABS(INDEX(Mapping!$D$5:$D$104,MATCH(B184,Mapping!$A$5:$A$104,0))-Q184)&gt;P_Tol,1,0),0))</f>
        <v/>
      </c>
      <c r="BV184" s="124" t="str">
        <f>IF($B184="","",IFERROR(IF(AND(INDEX(Mapping!$G$5:$G$104,MATCH(B184,Mapping!$A$5:$A$104,0))="Nee",ABS(Q184)+ABS(Z184)+ABS(AR184)&gt;0),1,0),0))</f>
        <v/>
      </c>
      <c r="BW184" s="124" t="str">
        <f>IF($B184="","",IF(COUNTIF(Mapping!$A$5:$A$104,B184)&gt;0,1,0))</f>
        <v/>
      </c>
      <c r="BX184" s="124" t="str">
        <f>IF($B184="","",IF(BR184=0,COUNTIF($BR$6:BR184,0),""))</f>
        <v/>
      </c>
    </row>
    <row r="185">
      <c r="A185" s="15" t="n">
        <v>181</v>
      </c>
      <c r="B185" t="str">
        <f>IF(B$3=0,"",IF(INDEX(SRC_Woningetalage!$A$1:$ZZ$501,$A185,B$3)&amp;""="","",INDEX(SRC_Woningetalage!$A$1:$ZZ$501,$A185,B$3)&amp;""))</f>
        <v/>
      </c>
      <c r="C185" t="str">
        <f>IF($B185="","",IF(C$3=0,"n.b.",INDEX(SRC_Woningetalage!$A$1:$ZZ$501,$A185,C$3)))</f>
        <v/>
      </c>
      <c r="D185" t="str">
        <f>IF($B185="","",IF(D$3=0,"n.b.",INDEX(SRC_Woningetalage!$A$1:$ZZ$501,$A185,D$3)))</f>
        <v/>
      </c>
      <c r="E185" t="str">
        <f>IF($B185="","",IF(E$3=0,"n.b.",INDEX(SRC_Woningetalage!$A$1:$ZZ$501,$A185,E$3)))</f>
        <v/>
      </c>
      <c r="F185" t="str">
        <f>IF($B185="","",IF(F$3=0,"n.b.",INDEX(SRC_Woningetalage!$A$1:$ZZ$501,$A185,F$3)))</f>
        <v/>
      </c>
      <c r="G185" t="str">
        <f>IF($B185="","",IF(G$3=0,"n.b.",INDEX(SRC_Woningetalage!$A$1:$ZZ$501,$A185,G$3)))</f>
        <v/>
      </c>
      <c r="H185" t="str">
        <f>IF($B185="","",IF(H$3=0,"n.b.",INDEX(SRC_Woningetalage!$A$1:$ZZ$501,$A185,H$3)))</f>
        <v/>
      </c>
      <c r="I185" t="str">
        <f>IF($B185="","",IF(I$3=0,"n.b.",INDEX(SRC_Woningetalage!$A$1:$ZZ$501,$A185,I$3)))</f>
        <v/>
      </c>
      <c r="J185" t="str">
        <f>IF($B185="","",IF(J$3=0,"n.b.",INDEX(SRC_Woningetalage!$A$1:$ZZ$501,$A185,J$3)))</f>
        <v/>
      </c>
      <c r="K185" t="str">
        <f>IF($B185="","",IF(K$3=0,"n.b.",INDEX(SRC_Woningetalage!$A$1:$ZZ$501,$A185,K$3)))</f>
        <v/>
      </c>
      <c r="L185" t="str">
        <f>IF($B185="","",IF(L$3=0,"n.b.",INDEX(SRC_Woningetalage!$A$1:$ZZ$501,$A185,L$3)))</f>
        <v/>
      </c>
      <c r="M185" t="str">
        <f>IF($B185="","",IF(M$3=0,"n.b.",INDEX(SRC_Woningetalage!$A$1:$ZZ$501,$A185,M$3)))</f>
        <v/>
      </c>
      <c r="N185" t="str">
        <f>IF($B185="","",IF(N$3=0,"n.b.",INDEX(SRC_Woningetalage!$A$1:$ZZ$501,$A185,N$3)))</f>
        <v/>
      </c>
      <c r="O185" t="str">
        <f>IF($B185="","",IF(O$3=0,"n.b.",INDEX(SRC_Woningetalage!$A$1:$ZZ$501,$A185,O$3)))</f>
        <v/>
      </c>
      <c r="P185" t="str">
        <f>IF($B185="","",IF(P$3=0,"n.b.",INDEX(SRC_Woningetalage!$A$1:$ZZ$501,$A185,P$3)))</f>
        <v/>
      </c>
      <c r="Q185" s="124" t="str">
        <f>IF($B185="","",IF(Q$3=0,"n.b.",INDEX(SRC_Woningetalage!$A$1:$ZZ$501,$A185,Q$3)))</f>
        <v/>
      </c>
      <c r="R185" s="124" t="str">
        <f>IF($B185="","",IF(R$3=0,"n.b.",INDEX(SRC_Woningetalage!$A$1:$ZZ$501,$A185,R$3)))</f>
        <v/>
      </c>
      <c r="S185" s="124" t="str">
        <f>IF($B185="","",IF(S$3=0,"n.b.",INDEX(SRC_Woningetalage!$A$1:$ZZ$501,$A185,S$3)))</f>
        <v/>
      </c>
      <c r="T185" s="124" t="str">
        <f>IF($B185="","",IF(T$3=0,"n.b.",INDEX(SRC_Woningetalage!$A$1:$ZZ$501,$A185,T$3)))</f>
        <v/>
      </c>
      <c r="U185" s="124" t="str">
        <f>IF($B185="","",IF(U$3=0,"n.b.",INDEX(SRC_Woningetalage!$A$1:$ZZ$501,$A185,U$3)))</f>
        <v/>
      </c>
      <c r="V185" s="124" t="str">
        <f>IF($B185="","",IF(V$3=0,"n.b.",INDEX(SRC_Woningetalage!$A$1:$ZZ$501,$A185,V$3)))</f>
        <v/>
      </c>
      <c r="W185" s="124" t="str">
        <f>IF($B185="","",IF(W$3=0,"n.b.",INDEX(SRC_Woningetalage!$A$1:$ZZ$501,$A185,W$3)))</f>
        <v/>
      </c>
      <c r="X185" s="124" t="str">
        <f>IF($B185="","",IF(X$3=0,"n.b.",INDEX(SRC_Woningetalage!$A$1:$ZZ$501,$A185,X$3)))</f>
        <v/>
      </c>
      <c r="Y185" s="124" t="str">
        <f>IF($B185="","",IF(Y$3=0,"n.b.",INDEX(SRC_Woningetalage!$A$1:$ZZ$501,$A185,Y$3)))</f>
        <v/>
      </c>
      <c r="Z185" s="124" t="str">
        <f>IF($B185="","",IF(Z$3=0,"n.b.",INDEX(SRC_Woningetalage!$A$1:$ZZ$501,$A185,Z$3)))</f>
        <v/>
      </c>
      <c r="AA185" s="124" t="str">
        <f>IF($B185="","",IF(AA$3=0,"n.b.",INDEX(SRC_Woningetalage!$A$1:$ZZ$501,$A185,AA$3)))</f>
        <v/>
      </c>
      <c r="AB185" s="124" t="str">
        <f>IF($B185="","",IF(AB$3=0,"n.b.",INDEX(SRC_Woningetalage!$A$1:$ZZ$501,$A185,AB$3)))</f>
        <v/>
      </c>
      <c r="AC185" s="124" t="str">
        <f>IF($B185="","",IF(AC$3=0,"n.b.",INDEX(SRC_Woningetalage!$A$1:$ZZ$501,$A185,AC$3)))</f>
        <v/>
      </c>
      <c r="AD185" s="124" t="str">
        <f>IF($B185="","",IF(AD$3=0,"n.b.",INDEX(SRC_Woningetalage!$A$1:$ZZ$501,$A185,AD$3)))</f>
        <v/>
      </c>
      <c r="AE185" s="124" t="str">
        <f>IF($B185="","",IF(AE$3=0,"n.b.",INDEX(SRC_Woningetalage!$A$1:$ZZ$501,$A185,AE$3)))</f>
        <v/>
      </c>
      <c r="AF185" s="124" t="str">
        <f>IF($B185="","",IF(AF$3=0,"n.b.",INDEX(SRC_Woningetalage!$A$1:$ZZ$501,$A185,AF$3)))</f>
        <v/>
      </c>
      <c r="AG185" s="124" t="str">
        <f>IF($B185="","",IF(AG$3=0,"n.b.",INDEX(SRC_Woningetalage!$A$1:$ZZ$501,$A185,AG$3)))</f>
        <v/>
      </c>
      <c r="AH185" s="124" t="str">
        <f>IF($B185="","",IF(AH$3=0,"n.b.",INDEX(SRC_Woningetalage!$A$1:$ZZ$501,$A185,AH$3)))</f>
        <v/>
      </c>
      <c r="AI185" s="124" t="str">
        <f>IF($B185="","",IF(AI$3=0,"n.b.",INDEX(SRC_Woningetalage!$A$1:$ZZ$501,$A185,AI$3)))</f>
        <v/>
      </c>
      <c r="AJ185" s="124" t="str">
        <f>IF($B185="","",IF(AJ$3=0,"n.b.",INDEX(SRC_Woningetalage!$A$1:$ZZ$501,$A185,AJ$3)))</f>
        <v/>
      </c>
      <c r="AK185" s="124" t="str">
        <f>IF($B185="","",IF(AK$3=0,"n.b.",INDEX(SRC_Woningetalage!$A$1:$ZZ$501,$A185,AK$3)))</f>
        <v/>
      </c>
      <c r="AL185" s="124" t="str">
        <f>IF($B185="","",IF(AL$3=0,"n.b.",INDEX(SRC_Woningetalage!$A$1:$ZZ$501,$A185,AL$3)))</f>
        <v/>
      </c>
      <c r="AM185" s="124" t="str">
        <f>IF($B185="","",IF(AM$3=0,"n.b.",INDEX(SRC_Woningetalage!$A$1:$ZZ$501,$A185,AM$3)))</f>
        <v/>
      </c>
      <c r="AN185" s="124" t="str">
        <f>IF($B185="","",IF(AN$3=0,"n.b.",INDEX(SRC_Woningetalage!$A$1:$ZZ$501,$A185,AN$3)))</f>
        <v/>
      </c>
      <c r="AO185" s="124" t="str">
        <f>IF($B185="","",IF(AO$3=0,"n.b.",INDEX(SRC_Woningetalage!$A$1:$ZZ$501,$A185,AO$3)))</f>
        <v/>
      </c>
      <c r="AP185" s="124" t="str">
        <f>IF($B185="","",IF(AP$3=0,"n.b.",INDEX(SRC_Woningetalage!$A$1:$ZZ$501,$A185,AP$3)))</f>
        <v/>
      </c>
      <c r="AQ185" s="124" t="str">
        <f>IF($B185="","",IF(AQ$3=0,"n.b.",INDEX(SRC_Woningetalage!$A$1:$ZZ$501,$A185,AQ$3)))</f>
        <v/>
      </c>
      <c r="AR185" s="124" t="str">
        <f>IF($B185="","",IF(AR$3=0,"n.b.",INDEX(SRC_Woningetalage!$A$1:$ZZ$501,$A185,AR$3)))</f>
        <v/>
      </c>
      <c r="AS185" s="124" t="str">
        <f>IF($B185="","",IF(AS$3=0,"n.b.",INDEX(SRC_Woningetalage!$A$1:$ZZ$501,$A185,AS$3)))</f>
        <v/>
      </c>
      <c r="AT185" s="124" t="str">
        <f>IF($B185="","",IF(AT$3=0,"n.b.",INDEX(SRC_Woningetalage!$A$1:$ZZ$501,$A185,AT$3)))</f>
        <v/>
      </c>
      <c r="AU185" s="124" t="str">
        <f>IF($B185="","",IF(AU$3=0,"n.b.",INDEX(SRC_Woningetalage!$A$1:$ZZ$501,$A185,AU$3)))</f>
        <v/>
      </c>
      <c r="AV185" s="124" t="str">
        <f>IF($B185="","",IF(AV$3=0,"n.b.",INDEX(SRC_Woningetalage!$A$1:$ZZ$501,$A185,AV$3)))</f>
        <v/>
      </c>
      <c r="AW185" s="124" t="str">
        <f>IF($B185="","",IF(AW$3=0,"n.b.",INDEX(SRC_Woningetalage!$A$1:$ZZ$501,$A185,AW$3)))</f>
        <v/>
      </c>
      <c r="AX185" s="124" t="str">
        <f>IF($B185="","",IF(AX$3=0,"n.b.",INDEX(SRC_Woningetalage!$A$1:$ZZ$501,$A185,AX$3)))</f>
        <v/>
      </c>
      <c r="AY185" s="124" t="str">
        <f>IF($B185="","",IF(AY$3=0,"n.b.",INDEX(SRC_Woningetalage!$A$1:$ZZ$501,$A185,AY$3)))</f>
        <v/>
      </c>
      <c r="AZ185" s="124" t="str">
        <f>IF($B185="","",IF(AZ$3=0,"n.b.",INDEX(SRC_Woningetalage!$A$1:$ZZ$501,$A185,AZ$3)))</f>
        <v/>
      </c>
      <c r="BA185" s="124" t="str">
        <f>IF($B185="","",IF(BA$3=0,"n.b.",INDEX(SRC_Woningetalage!$A$1:$ZZ$501,$A185,BA$3)))</f>
        <v/>
      </c>
      <c r="BB185" s="124" t="str">
        <f>IF($B185="","",IF(BB$3=0,"n.b.",INDEX(SRC_Woningetalage!$A$1:$ZZ$501,$A185,BB$3)))</f>
        <v/>
      </c>
      <c r="BC185" s="124" t="str">
        <f>IF($B185="","",IFERROR(_xlfn.NUMBERVALUE(E185&amp;"",",","."),"n.b."))</f>
        <v/>
      </c>
      <c r="BD185" s="124" t="str">
        <f>IF($B185="","",IFERROR(_xlfn.NUMBERVALUE(M185&amp;"",",","."),"n.b."))</f>
        <v/>
      </c>
      <c r="BE185" s="124" t="str">
        <f>IF($B185="","",IFERROR(AB185+AC185+AD185,"n.b."))</f>
        <v/>
      </c>
      <c r="BF185" s="124" t="str">
        <f>IF($B185="","",IFERROR(AE185+AF185+AG185,"n.b."))</f>
        <v/>
      </c>
      <c r="BG185" s="124" t="str">
        <f>IF($B185="","",IFERROR(AH185+AI185+AJ185,"n.b."))</f>
        <v/>
      </c>
      <c r="BH185" s="124" t="str">
        <f>IF($B185="","",IFERROR(AK185+AL185+AM185,"n.b."))</f>
        <v/>
      </c>
      <c r="BI185" s="124" t="str">
        <f>IF($B185="","",IFERROR(SUMIF($AB$5:$AM$5,"&lt;="&amp;P_PeilMaand,AB185:AM185),"n.b."))</f>
        <v/>
      </c>
      <c r="BJ185" s="124" t="str">
        <f>IF($B185="","",IFERROR(SUM(AB185:AM185)-BI185,"n.b."))</f>
        <v/>
      </c>
      <c r="BK185" s="124" t="str">
        <f>IF($B185="","",IFERROR(IF(ABS(Q185-(T185+SUM(AB185:AM185)+AS185+AU185))&gt;P_Tol,1,0),1))</f>
        <v/>
      </c>
      <c r="BL185" s="124" t="str">
        <f>IF($B185="","",IFERROR(IF(ABS(AA185-(Q185-Z185))&gt;P_Tol,1,0),1))</f>
        <v/>
      </c>
      <c r="BM185" s="124" t="str">
        <f>IF($B185="","",IFERROR(IF(ABS(Z185-(T185+W185))&gt;P_Tol,1,0),1))</f>
        <v/>
      </c>
      <c r="BN185" s="124" t="str">
        <f>IF($B185="","",IFERROR(IF(ABS(W185-BI185)&gt;P_Tol,1,0),1))</f>
        <v/>
      </c>
      <c r="BO185" s="124" t="str">
        <f>IF($B185="","",IFERROR(IF(OR(ABS(R185+S185-T185)&gt;P_Tol,ABS(U185+V185-W185)&gt;P_Tol,ABS(X185+Y185-Z185)&gt;P_Tol),1,0),1))</f>
        <v/>
      </c>
      <c r="BP185" s="124" t="str">
        <f>IF($B185="","",IFERROR(IF(OR(ABS(AR185-SUM(AB185:AM185))&gt;P_Tol,ABS(AS185-(AN185+AO185+AP185+AQ185))&gt;P_Tol),1,0),1))</f>
        <v/>
      </c>
      <c r="BQ185" s="124" t="str">
        <f>IF($B185="","",IFERROR(IF(ABS(AT185)+ABS(AV185)+ABS(AW185)+ABS(AX185)+ABS(AY185)+ABS(AZ185)+ABS(BA185)+ABS(BB185)&gt;0,1,0),1))</f>
        <v/>
      </c>
      <c r="BR185" s="124" t="str">
        <f>IF($B185="","",COUNTIF(STG_ZPMW03!$B$6:$B$505,B185))</f>
        <v/>
      </c>
      <c r="BS185" s="124" t="str">
        <f>IF($B185="","",COUNTIF($B$6:$B$505,B185))</f>
        <v/>
      </c>
      <c r="BT185" s="124" t="str">
        <f>IF($B185="","",IF(BR185=0,0,IF(INDEX(STG_ZPMW03!$I$6:$I$505,MATCH(B185,STG_ZPMW03!$B$6:$B$505,0))=J185&amp;"",0,1)))</f>
        <v/>
      </c>
      <c r="BU185" s="124" t="str">
        <f>IF($B185="","",IFERROR(IF(ABS(INDEX(Mapping!$D$5:$D$104,MATCH(B185,Mapping!$A$5:$A$104,0))-Q185)&gt;P_Tol,1,0),0))</f>
        <v/>
      </c>
      <c r="BV185" s="124" t="str">
        <f>IF($B185="","",IFERROR(IF(AND(INDEX(Mapping!$G$5:$G$104,MATCH(B185,Mapping!$A$5:$A$104,0))="Nee",ABS(Q185)+ABS(Z185)+ABS(AR185)&gt;0),1,0),0))</f>
        <v/>
      </c>
      <c r="BW185" s="124" t="str">
        <f>IF($B185="","",IF(COUNTIF(Mapping!$A$5:$A$104,B185)&gt;0,1,0))</f>
        <v/>
      </c>
      <c r="BX185" s="124" t="str">
        <f>IF($B185="","",IF(BR185=0,COUNTIF($BR$6:BR185,0),""))</f>
        <v/>
      </c>
    </row>
    <row r="186">
      <c r="A186" s="15" t="n">
        <v>182</v>
      </c>
      <c r="B186" t="str">
        <f>IF(B$3=0,"",IF(INDEX(SRC_Woningetalage!$A$1:$ZZ$501,$A186,B$3)&amp;""="","",INDEX(SRC_Woningetalage!$A$1:$ZZ$501,$A186,B$3)&amp;""))</f>
        <v/>
      </c>
      <c r="C186" t="str">
        <f>IF($B186="","",IF(C$3=0,"n.b.",INDEX(SRC_Woningetalage!$A$1:$ZZ$501,$A186,C$3)))</f>
        <v/>
      </c>
      <c r="D186" t="str">
        <f>IF($B186="","",IF(D$3=0,"n.b.",INDEX(SRC_Woningetalage!$A$1:$ZZ$501,$A186,D$3)))</f>
        <v/>
      </c>
      <c r="E186" t="str">
        <f>IF($B186="","",IF(E$3=0,"n.b.",INDEX(SRC_Woningetalage!$A$1:$ZZ$501,$A186,E$3)))</f>
        <v/>
      </c>
      <c r="F186" t="str">
        <f>IF($B186="","",IF(F$3=0,"n.b.",INDEX(SRC_Woningetalage!$A$1:$ZZ$501,$A186,F$3)))</f>
        <v/>
      </c>
      <c r="G186" t="str">
        <f>IF($B186="","",IF(G$3=0,"n.b.",INDEX(SRC_Woningetalage!$A$1:$ZZ$501,$A186,G$3)))</f>
        <v/>
      </c>
      <c r="H186" t="str">
        <f>IF($B186="","",IF(H$3=0,"n.b.",INDEX(SRC_Woningetalage!$A$1:$ZZ$501,$A186,H$3)))</f>
        <v/>
      </c>
      <c r="I186" t="str">
        <f>IF($B186="","",IF(I$3=0,"n.b.",INDEX(SRC_Woningetalage!$A$1:$ZZ$501,$A186,I$3)))</f>
        <v/>
      </c>
      <c r="J186" t="str">
        <f>IF($B186="","",IF(J$3=0,"n.b.",INDEX(SRC_Woningetalage!$A$1:$ZZ$501,$A186,J$3)))</f>
        <v/>
      </c>
      <c r="K186" t="str">
        <f>IF($B186="","",IF(K$3=0,"n.b.",INDEX(SRC_Woningetalage!$A$1:$ZZ$501,$A186,K$3)))</f>
        <v/>
      </c>
      <c r="L186" t="str">
        <f>IF($B186="","",IF(L$3=0,"n.b.",INDEX(SRC_Woningetalage!$A$1:$ZZ$501,$A186,L$3)))</f>
        <v/>
      </c>
      <c r="M186" t="str">
        <f>IF($B186="","",IF(M$3=0,"n.b.",INDEX(SRC_Woningetalage!$A$1:$ZZ$501,$A186,M$3)))</f>
        <v/>
      </c>
      <c r="N186" t="str">
        <f>IF($B186="","",IF(N$3=0,"n.b.",INDEX(SRC_Woningetalage!$A$1:$ZZ$501,$A186,N$3)))</f>
        <v/>
      </c>
      <c r="O186" t="str">
        <f>IF($B186="","",IF(O$3=0,"n.b.",INDEX(SRC_Woningetalage!$A$1:$ZZ$501,$A186,O$3)))</f>
        <v/>
      </c>
      <c r="P186" t="str">
        <f>IF($B186="","",IF(P$3=0,"n.b.",INDEX(SRC_Woningetalage!$A$1:$ZZ$501,$A186,P$3)))</f>
        <v/>
      </c>
      <c r="Q186" s="124" t="str">
        <f>IF($B186="","",IF(Q$3=0,"n.b.",INDEX(SRC_Woningetalage!$A$1:$ZZ$501,$A186,Q$3)))</f>
        <v/>
      </c>
      <c r="R186" s="124" t="str">
        <f>IF($B186="","",IF(R$3=0,"n.b.",INDEX(SRC_Woningetalage!$A$1:$ZZ$501,$A186,R$3)))</f>
        <v/>
      </c>
      <c r="S186" s="124" t="str">
        <f>IF($B186="","",IF(S$3=0,"n.b.",INDEX(SRC_Woningetalage!$A$1:$ZZ$501,$A186,S$3)))</f>
        <v/>
      </c>
      <c r="T186" s="124" t="str">
        <f>IF($B186="","",IF(T$3=0,"n.b.",INDEX(SRC_Woningetalage!$A$1:$ZZ$501,$A186,T$3)))</f>
        <v/>
      </c>
      <c r="U186" s="124" t="str">
        <f>IF($B186="","",IF(U$3=0,"n.b.",INDEX(SRC_Woningetalage!$A$1:$ZZ$501,$A186,U$3)))</f>
        <v/>
      </c>
      <c r="V186" s="124" t="str">
        <f>IF($B186="","",IF(V$3=0,"n.b.",INDEX(SRC_Woningetalage!$A$1:$ZZ$501,$A186,V$3)))</f>
        <v/>
      </c>
      <c r="W186" s="124" t="str">
        <f>IF($B186="","",IF(W$3=0,"n.b.",INDEX(SRC_Woningetalage!$A$1:$ZZ$501,$A186,W$3)))</f>
        <v/>
      </c>
      <c r="X186" s="124" t="str">
        <f>IF($B186="","",IF(X$3=0,"n.b.",INDEX(SRC_Woningetalage!$A$1:$ZZ$501,$A186,X$3)))</f>
        <v/>
      </c>
      <c r="Y186" s="124" t="str">
        <f>IF($B186="","",IF(Y$3=0,"n.b.",INDEX(SRC_Woningetalage!$A$1:$ZZ$501,$A186,Y$3)))</f>
        <v/>
      </c>
      <c r="Z186" s="124" t="str">
        <f>IF($B186="","",IF(Z$3=0,"n.b.",INDEX(SRC_Woningetalage!$A$1:$ZZ$501,$A186,Z$3)))</f>
        <v/>
      </c>
      <c r="AA186" s="124" t="str">
        <f>IF($B186="","",IF(AA$3=0,"n.b.",INDEX(SRC_Woningetalage!$A$1:$ZZ$501,$A186,AA$3)))</f>
        <v/>
      </c>
      <c r="AB186" s="124" t="str">
        <f>IF($B186="","",IF(AB$3=0,"n.b.",INDEX(SRC_Woningetalage!$A$1:$ZZ$501,$A186,AB$3)))</f>
        <v/>
      </c>
      <c r="AC186" s="124" t="str">
        <f>IF($B186="","",IF(AC$3=0,"n.b.",INDEX(SRC_Woningetalage!$A$1:$ZZ$501,$A186,AC$3)))</f>
        <v/>
      </c>
      <c r="AD186" s="124" t="str">
        <f>IF($B186="","",IF(AD$3=0,"n.b.",INDEX(SRC_Woningetalage!$A$1:$ZZ$501,$A186,AD$3)))</f>
        <v/>
      </c>
      <c r="AE186" s="124" t="str">
        <f>IF($B186="","",IF(AE$3=0,"n.b.",INDEX(SRC_Woningetalage!$A$1:$ZZ$501,$A186,AE$3)))</f>
        <v/>
      </c>
      <c r="AF186" s="124" t="str">
        <f>IF($B186="","",IF(AF$3=0,"n.b.",INDEX(SRC_Woningetalage!$A$1:$ZZ$501,$A186,AF$3)))</f>
        <v/>
      </c>
      <c r="AG186" s="124" t="str">
        <f>IF($B186="","",IF(AG$3=0,"n.b.",INDEX(SRC_Woningetalage!$A$1:$ZZ$501,$A186,AG$3)))</f>
        <v/>
      </c>
      <c r="AH186" s="124" t="str">
        <f>IF($B186="","",IF(AH$3=0,"n.b.",INDEX(SRC_Woningetalage!$A$1:$ZZ$501,$A186,AH$3)))</f>
        <v/>
      </c>
      <c r="AI186" s="124" t="str">
        <f>IF($B186="","",IF(AI$3=0,"n.b.",INDEX(SRC_Woningetalage!$A$1:$ZZ$501,$A186,AI$3)))</f>
        <v/>
      </c>
      <c r="AJ186" s="124" t="str">
        <f>IF($B186="","",IF(AJ$3=0,"n.b.",INDEX(SRC_Woningetalage!$A$1:$ZZ$501,$A186,AJ$3)))</f>
        <v/>
      </c>
      <c r="AK186" s="124" t="str">
        <f>IF($B186="","",IF(AK$3=0,"n.b.",INDEX(SRC_Woningetalage!$A$1:$ZZ$501,$A186,AK$3)))</f>
        <v/>
      </c>
      <c r="AL186" s="124" t="str">
        <f>IF($B186="","",IF(AL$3=0,"n.b.",INDEX(SRC_Woningetalage!$A$1:$ZZ$501,$A186,AL$3)))</f>
        <v/>
      </c>
      <c r="AM186" s="124" t="str">
        <f>IF($B186="","",IF(AM$3=0,"n.b.",INDEX(SRC_Woningetalage!$A$1:$ZZ$501,$A186,AM$3)))</f>
        <v/>
      </c>
      <c r="AN186" s="124" t="str">
        <f>IF($B186="","",IF(AN$3=0,"n.b.",INDEX(SRC_Woningetalage!$A$1:$ZZ$501,$A186,AN$3)))</f>
        <v/>
      </c>
      <c r="AO186" s="124" t="str">
        <f>IF($B186="","",IF(AO$3=0,"n.b.",INDEX(SRC_Woningetalage!$A$1:$ZZ$501,$A186,AO$3)))</f>
        <v/>
      </c>
      <c r="AP186" s="124" t="str">
        <f>IF($B186="","",IF(AP$3=0,"n.b.",INDEX(SRC_Woningetalage!$A$1:$ZZ$501,$A186,AP$3)))</f>
        <v/>
      </c>
      <c r="AQ186" s="124" t="str">
        <f>IF($B186="","",IF(AQ$3=0,"n.b.",INDEX(SRC_Woningetalage!$A$1:$ZZ$501,$A186,AQ$3)))</f>
        <v/>
      </c>
      <c r="AR186" s="124" t="str">
        <f>IF($B186="","",IF(AR$3=0,"n.b.",INDEX(SRC_Woningetalage!$A$1:$ZZ$501,$A186,AR$3)))</f>
        <v/>
      </c>
      <c r="AS186" s="124" t="str">
        <f>IF($B186="","",IF(AS$3=0,"n.b.",INDEX(SRC_Woningetalage!$A$1:$ZZ$501,$A186,AS$3)))</f>
        <v/>
      </c>
      <c r="AT186" s="124" t="str">
        <f>IF($B186="","",IF(AT$3=0,"n.b.",INDEX(SRC_Woningetalage!$A$1:$ZZ$501,$A186,AT$3)))</f>
        <v/>
      </c>
      <c r="AU186" s="124" t="str">
        <f>IF($B186="","",IF(AU$3=0,"n.b.",INDEX(SRC_Woningetalage!$A$1:$ZZ$501,$A186,AU$3)))</f>
        <v/>
      </c>
      <c r="AV186" s="124" t="str">
        <f>IF($B186="","",IF(AV$3=0,"n.b.",INDEX(SRC_Woningetalage!$A$1:$ZZ$501,$A186,AV$3)))</f>
        <v/>
      </c>
      <c r="AW186" s="124" t="str">
        <f>IF($B186="","",IF(AW$3=0,"n.b.",INDEX(SRC_Woningetalage!$A$1:$ZZ$501,$A186,AW$3)))</f>
        <v/>
      </c>
      <c r="AX186" s="124" t="str">
        <f>IF($B186="","",IF(AX$3=0,"n.b.",INDEX(SRC_Woningetalage!$A$1:$ZZ$501,$A186,AX$3)))</f>
        <v/>
      </c>
      <c r="AY186" s="124" t="str">
        <f>IF($B186="","",IF(AY$3=0,"n.b.",INDEX(SRC_Woningetalage!$A$1:$ZZ$501,$A186,AY$3)))</f>
        <v/>
      </c>
      <c r="AZ186" s="124" t="str">
        <f>IF($B186="","",IF(AZ$3=0,"n.b.",INDEX(SRC_Woningetalage!$A$1:$ZZ$501,$A186,AZ$3)))</f>
        <v/>
      </c>
      <c r="BA186" s="124" t="str">
        <f>IF($B186="","",IF(BA$3=0,"n.b.",INDEX(SRC_Woningetalage!$A$1:$ZZ$501,$A186,BA$3)))</f>
        <v/>
      </c>
      <c r="BB186" s="124" t="str">
        <f>IF($B186="","",IF(BB$3=0,"n.b.",INDEX(SRC_Woningetalage!$A$1:$ZZ$501,$A186,BB$3)))</f>
        <v/>
      </c>
      <c r="BC186" s="124" t="str">
        <f>IF($B186="","",IFERROR(_xlfn.NUMBERVALUE(E186&amp;"",",","."),"n.b."))</f>
        <v/>
      </c>
      <c r="BD186" s="124" t="str">
        <f>IF($B186="","",IFERROR(_xlfn.NUMBERVALUE(M186&amp;"",",","."),"n.b."))</f>
        <v/>
      </c>
      <c r="BE186" s="124" t="str">
        <f>IF($B186="","",IFERROR(AB186+AC186+AD186,"n.b."))</f>
        <v/>
      </c>
      <c r="BF186" s="124" t="str">
        <f>IF($B186="","",IFERROR(AE186+AF186+AG186,"n.b."))</f>
        <v/>
      </c>
      <c r="BG186" s="124" t="str">
        <f>IF($B186="","",IFERROR(AH186+AI186+AJ186,"n.b."))</f>
        <v/>
      </c>
      <c r="BH186" s="124" t="str">
        <f>IF($B186="","",IFERROR(AK186+AL186+AM186,"n.b."))</f>
        <v/>
      </c>
      <c r="BI186" s="124" t="str">
        <f>IF($B186="","",IFERROR(SUMIF($AB$5:$AM$5,"&lt;="&amp;P_PeilMaand,AB186:AM186),"n.b."))</f>
        <v/>
      </c>
      <c r="BJ186" s="124" t="str">
        <f>IF($B186="","",IFERROR(SUM(AB186:AM186)-BI186,"n.b."))</f>
        <v/>
      </c>
      <c r="BK186" s="124" t="str">
        <f>IF($B186="","",IFERROR(IF(ABS(Q186-(T186+SUM(AB186:AM186)+AS186+AU186))&gt;P_Tol,1,0),1))</f>
        <v/>
      </c>
      <c r="BL186" s="124" t="str">
        <f>IF($B186="","",IFERROR(IF(ABS(AA186-(Q186-Z186))&gt;P_Tol,1,0),1))</f>
        <v/>
      </c>
      <c r="BM186" s="124" t="str">
        <f>IF($B186="","",IFERROR(IF(ABS(Z186-(T186+W186))&gt;P_Tol,1,0),1))</f>
        <v/>
      </c>
      <c r="BN186" s="124" t="str">
        <f>IF($B186="","",IFERROR(IF(ABS(W186-BI186)&gt;P_Tol,1,0),1))</f>
        <v/>
      </c>
      <c r="BO186" s="124" t="str">
        <f>IF($B186="","",IFERROR(IF(OR(ABS(R186+S186-T186)&gt;P_Tol,ABS(U186+V186-W186)&gt;P_Tol,ABS(X186+Y186-Z186)&gt;P_Tol),1,0),1))</f>
        <v/>
      </c>
      <c r="BP186" s="124" t="str">
        <f>IF($B186="","",IFERROR(IF(OR(ABS(AR186-SUM(AB186:AM186))&gt;P_Tol,ABS(AS186-(AN186+AO186+AP186+AQ186))&gt;P_Tol),1,0),1))</f>
        <v/>
      </c>
      <c r="BQ186" s="124" t="str">
        <f>IF($B186="","",IFERROR(IF(ABS(AT186)+ABS(AV186)+ABS(AW186)+ABS(AX186)+ABS(AY186)+ABS(AZ186)+ABS(BA186)+ABS(BB186)&gt;0,1,0),1))</f>
        <v/>
      </c>
      <c r="BR186" s="124" t="str">
        <f>IF($B186="","",COUNTIF(STG_ZPMW03!$B$6:$B$505,B186))</f>
        <v/>
      </c>
      <c r="BS186" s="124" t="str">
        <f>IF($B186="","",COUNTIF($B$6:$B$505,B186))</f>
        <v/>
      </c>
      <c r="BT186" s="124" t="str">
        <f>IF($B186="","",IF(BR186=0,0,IF(INDEX(STG_ZPMW03!$I$6:$I$505,MATCH(B186,STG_ZPMW03!$B$6:$B$505,0))=J186&amp;"",0,1)))</f>
        <v/>
      </c>
      <c r="BU186" s="124" t="str">
        <f>IF($B186="","",IFERROR(IF(ABS(INDEX(Mapping!$D$5:$D$104,MATCH(B186,Mapping!$A$5:$A$104,0))-Q186)&gt;P_Tol,1,0),0))</f>
        <v/>
      </c>
      <c r="BV186" s="124" t="str">
        <f>IF($B186="","",IFERROR(IF(AND(INDEX(Mapping!$G$5:$G$104,MATCH(B186,Mapping!$A$5:$A$104,0))="Nee",ABS(Q186)+ABS(Z186)+ABS(AR186)&gt;0),1,0),0))</f>
        <v/>
      </c>
      <c r="BW186" s="124" t="str">
        <f>IF($B186="","",IF(COUNTIF(Mapping!$A$5:$A$104,B186)&gt;0,1,0))</f>
        <v/>
      </c>
      <c r="BX186" s="124" t="str">
        <f>IF($B186="","",IF(BR186=0,COUNTIF($BR$6:BR186,0),""))</f>
        <v/>
      </c>
    </row>
    <row r="187">
      <c r="A187" s="15" t="n">
        <v>183</v>
      </c>
      <c r="B187" t="str">
        <f>IF(B$3=0,"",IF(INDEX(SRC_Woningetalage!$A$1:$ZZ$501,$A187,B$3)&amp;""="","",INDEX(SRC_Woningetalage!$A$1:$ZZ$501,$A187,B$3)&amp;""))</f>
        <v/>
      </c>
      <c r="C187" t="str">
        <f>IF($B187="","",IF(C$3=0,"n.b.",INDEX(SRC_Woningetalage!$A$1:$ZZ$501,$A187,C$3)))</f>
        <v/>
      </c>
      <c r="D187" t="str">
        <f>IF($B187="","",IF(D$3=0,"n.b.",INDEX(SRC_Woningetalage!$A$1:$ZZ$501,$A187,D$3)))</f>
        <v/>
      </c>
      <c r="E187" t="str">
        <f>IF($B187="","",IF(E$3=0,"n.b.",INDEX(SRC_Woningetalage!$A$1:$ZZ$501,$A187,E$3)))</f>
        <v/>
      </c>
      <c r="F187" t="str">
        <f>IF($B187="","",IF(F$3=0,"n.b.",INDEX(SRC_Woningetalage!$A$1:$ZZ$501,$A187,F$3)))</f>
        <v/>
      </c>
      <c r="G187" t="str">
        <f>IF($B187="","",IF(G$3=0,"n.b.",INDEX(SRC_Woningetalage!$A$1:$ZZ$501,$A187,G$3)))</f>
        <v/>
      </c>
      <c r="H187" t="str">
        <f>IF($B187="","",IF(H$3=0,"n.b.",INDEX(SRC_Woningetalage!$A$1:$ZZ$501,$A187,H$3)))</f>
        <v/>
      </c>
      <c r="I187" t="str">
        <f>IF($B187="","",IF(I$3=0,"n.b.",INDEX(SRC_Woningetalage!$A$1:$ZZ$501,$A187,I$3)))</f>
        <v/>
      </c>
      <c r="J187" t="str">
        <f>IF($B187="","",IF(J$3=0,"n.b.",INDEX(SRC_Woningetalage!$A$1:$ZZ$501,$A187,J$3)))</f>
        <v/>
      </c>
      <c r="K187" t="str">
        <f>IF($B187="","",IF(K$3=0,"n.b.",INDEX(SRC_Woningetalage!$A$1:$ZZ$501,$A187,K$3)))</f>
        <v/>
      </c>
      <c r="L187" t="str">
        <f>IF($B187="","",IF(L$3=0,"n.b.",INDEX(SRC_Woningetalage!$A$1:$ZZ$501,$A187,L$3)))</f>
        <v/>
      </c>
      <c r="M187" t="str">
        <f>IF($B187="","",IF(M$3=0,"n.b.",INDEX(SRC_Woningetalage!$A$1:$ZZ$501,$A187,M$3)))</f>
        <v/>
      </c>
      <c r="N187" t="str">
        <f>IF($B187="","",IF(N$3=0,"n.b.",INDEX(SRC_Woningetalage!$A$1:$ZZ$501,$A187,N$3)))</f>
        <v/>
      </c>
      <c r="O187" t="str">
        <f>IF($B187="","",IF(O$3=0,"n.b.",INDEX(SRC_Woningetalage!$A$1:$ZZ$501,$A187,O$3)))</f>
        <v/>
      </c>
      <c r="P187" t="str">
        <f>IF($B187="","",IF(P$3=0,"n.b.",INDEX(SRC_Woningetalage!$A$1:$ZZ$501,$A187,P$3)))</f>
        <v/>
      </c>
      <c r="Q187" s="124" t="str">
        <f>IF($B187="","",IF(Q$3=0,"n.b.",INDEX(SRC_Woningetalage!$A$1:$ZZ$501,$A187,Q$3)))</f>
        <v/>
      </c>
      <c r="R187" s="124" t="str">
        <f>IF($B187="","",IF(R$3=0,"n.b.",INDEX(SRC_Woningetalage!$A$1:$ZZ$501,$A187,R$3)))</f>
        <v/>
      </c>
      <c r="S187" s="124" t="str">
        <f>IF($B187="","",IF(S$3=0,"n.b.",INDEX(SRC_Woningetalage!$A$1:$ZZ$501,$A187,S$3)))</f>
        <v/>
      </c>
      <c r="T187" s="124" t="str">
        <f>IF($B187="","",IF(T$3=0,"n.b.",INDEX(SRC_Woningetalage!$A$1:$ZZ$501,$A187,T$3)))</f>
        <v/>
      </c>
      <c r="U187" s="124" t="str">
        <f>IF($B187="","",IF(U$3=0,"n.b.",INDEX(SRC_Woningetalage!$A$1:$ZZ$501,$A187,U$3)))</f>
        <v/>
      </c>
      <c r="V187" s="124" t="str">
        <f>IF($B187="","",IF(V$3=0,"n.b.",INDEX(SRC_Woningetalage!$A$1:$ZZ$501,$A187,V$3)))</f>
        <v/>
      </c>
      <c r="W187" s="124" t="str">
        <f>IF($B187="","",IF(W$3=0,"n.b.",INDEX(SRC_Woningetalage!$A$1:$ZZ$501,$A187,W$3)))</f>
        <v/>
      </c>
      <c r="X187" s="124" t="str">
        <f>IF($B187="","",IF(X$3=0,"n.b.",INDEX(SRC_Woningetalage!$A$1:$ZZ$501,$A187,X$3)))</f>
        <v/>
      </c>
      <c r="Y187" s="124" t="str">
        <f>IF($B187="","",IF(Y$3=0,"n.b.",INDEX(SRC_Woningetalage!$A$1:$ZZ$501,$A187,Y$3)))</f>
        <v/>
      </c>
      <c r="Z187" s="124" t="str">
        <f>IF($B187="","",IF(Z$3=0,"n.b.",INDEX(SRC_Woningetalage!$A$1:$ZZ$501,$A187,Z$3)))</f>
        <v/>
      </c>
      <c r="AA187" s="124" t="str">
        <f>IF($B187="","",IF(AA$3=0,"n.b.",INDEX(SRC_Woningetalage!$A$1:$ZZ$501,$A187,AA$3)))</f>
        <v/>
      </c>
      <c r="AB187" s="124" t="str">
        <f>IF($B187="","",IF(AB$3=0,"n.b.",INDEX(SRC_Woningetalage!$A$1:$ZZ$501,$A187,AB$3)))</f>
        <v/>
      </c>
      <c r="AC187" s="124" t="str">
        <f>IF($B187="","",IF(AC$3=0,"n.b.",INDEX(SRC_Woningetalage!$A$1:$ZZ$501,$A187,AC$3)))</f>
        <v/>
      </c>
      <c r="AD187" s="124" t="str">
        <f>IF($B187="","",IF(AD$3=0,"n.b.",INDEX(SRC_Woningetalage!$A$1:$ZZ$501,$A187,AD$3)))</f>
        <v/>
      </c>
      <c r="AE187" s="124" t="str">
        <f>IF($B187="","",IF(AE$3=0,"n.b.",INDEX(SRC_Woningetalage!$A$1:$ZZ$501,$A187,AE$3)))</f>
        <v/>
      </c>
      <c r="AF187" s="124" t="str">
        <f>IF($B187="","",IF(AF$3=0,"n.b.",INDEX(SRC_Woningetalage!$A$1:$ZZ$501,$A187,AF$3)))</f>
        <v/>
      </c>
      <c r="AG187" s="124" t="str">
        <f>IF($B187="","",IF(AG$3=0,"n.b.",INDEX(SRC_Woningetalage!$A$1:$ZZ$501,$A187,AG$3)))</f>
        <v/>
      </c>
      <c r="AH187" s="124" t="str">
        <f>IF($B187="","",IF(AH$3=0,"n.b.",INDEX(SRC_Woningetalage!$A$1:$ZZ$501,$A187,AH$3)))</f>
        <v/>
      </c>
      <c r="AI187" s="124" t="str">
        <f>IF($B187="","",IF(AI$3=0,"n.b.",INDEX(SRC_Woningetalage!$A$1:$ZZ$501,$A187,AI$3)))</f>
        <v/>
      </c>
      <c r="AJ187" s="124" t="str">
        <f>IF($B187="","",IF(AJ$3=0,"n.b.",INDEX(SRC_Woningetalage!$A$1:$ZZ$501,$A187,AJ$3)))</f>
        <v/>
      </c>
      <c r="AK187" s="124" t="str">
        <f>IF($B187="","",IF(AK$3=0,"n.b.",INDEX(SRC_Woningetalage!$A$1:$ZZ$501,$A187,AK$3)))</f>
        <v/>
      </c>
      <c r="AL187" s="124" t="str">
        <f>IF($B187="","",IF(AL$3=0,"n.b.",INDEX(SRC_Woningetalage!$A$1:$ZZ$501,$A187,AL$3)))</f>
        <v/>
      </c>
      <c r="AM187" s="124" t="str">
        <f>IF($B187="","",IF(AM$3=0,"n.b.",INDEX(SRC_Woningetalage!$A$1:$ZZ$501,$A187,AM$3)))</f>
        <v/>
      </c>
      <c r="AN187" s="124" t="str">
        <f>IF($B187="","",IF(AN$3=0,"n.b.",INDEX(SRC_Woningetalage!$A$1:$ZZ$501,$A187,AN$3)))</f>
        <v/>
      </c>
      <c r="AO187" s="124" t="str">
        <f>IF($B187="","",IF(AO$3=0,"n.b.",INDEX(SRC_Woningetalage!$A$1:$ZZ$501,$A187,AO$3)))</f>
        <v/>
      </c>
      <c r="AP187" s="124" t="str">
        <f>IF($B187="","",IF(AP$3=0,"n.b.",INDEX(SRC_Woningetalage!$A$1:$ZZ$501,$A187,AP$3)))</f>
        <v/>
      </c>
      <c r="AQ187" s="124" t="str">
        <f>IF($B187="","",IF(AQ$3=0,"n.b.",INDEX(SRC_Woningetalage!$A$1:$ZZ$501,$A187,AQ$3)))</f>
        <v/>
      </c>
      <c r="AR187" s="124" t="str">
        <f>IF($B187="","",IF(AR$3=0,"n.b.",INDEX(SRC_Woningetalage!$A$1:$ZZ$501,$A187,AR$3)))</f>
        <v/>
      </c>
      <c r="AS187" s="124" t="str">
        <f>IF($B187="","",IF(AS$3=0,"n.b.",INDEX(SRC_Woningetalage!$A$1:$ZZ$501,$A187,AS$3)))</f>
        <v/>
      </c>
      <c r="AT187" s="124" t="str">
        <f>IF($B187="","",IF(AT$3=0,"n.b.",INDEX(SRC_Woningetalage!$A$1:$ZZ$501,$A187,AT$3)))</f>
        <v/>
      </c>
      <c r="AU187" s="124" t="str">
        <f>IF($B187="","",IF(AU$3=0,"n.b.",INDEX(SRC_Woningetalage!$A$1:$ZZ$501,$A187,AU$3)))</f>
        <v/>
      </c>
      <c r="AV187" s="124" t="str">
        <f>IF($B187="","",IF(AV$3=0,"n.b.",INDEX(SRC_Woningetalage!$A$1:$ZZ$501,$A187,AV$3)))</f>
        <v/>
      </c>
      <c r="AW187" s="124" t="str">
        <f>IF($B187="","",IF(AW$3=0,"n.b.",INDEX(SRC_Woningetalage!$A$1:$ZZ$501,$A187,AW$3)))</f>
        <v/>
      </c>
      <c r="AX187" s="124" t="str">
        <f>IF($B187="","",IF(AX$3=0,"n.b.",INDEX(SRC_Woningetalage!$A$1:$ZZ$501,$A187,AX$3)))</f>
        <v/>
      </c>
      <c r="AY187" s="124" t="str">
        <f>IF($B187="","",IF(AY$3=0,"n.b.",INDEX(SRC_Woningetalage!$A$1:$ZZ$501,$A187,AY$3)))</f>
        <v/>
      </c>
      <c r="AZ187" s="124" t="str">
        <f>IF($B187="","",IF(AZ$3=0,"n.b.",INDEX(SRC_Woningetalage!$A$1:$ZZ$501,$A187,AZ$3)))</f>
        <v/>
      </c>
      <c r="BA187" s="124" t="str">
        <f>IF($B187="","",IF(BA$3=0,"n.b.",INDEX(SRC_Woningetalage!$A$1:$ZZ$501,$A187,BA$3)))</f>
        <v/>
      </c>
      <c r="BB187" s="124" t="str">
        <f>IF($B187="","",IF(BB$3=0,"n.b.",INDEX(SRC_Woningetalage!$A$1:$ZZ$501,$A187,BB$3)))</f>
        <v/>
      </c>
      <c r="BC187" s="124" t="str">
        <f>IF($B187="","",IFERROR(_xlfn.NUMBERVALUE(E187&amp;"",",","."),"n.b."))</f>
        <v/>
      </c>
      <c r="BD187" s="124" t="str">
        <f>IF($B187="","",IFERROR(_xlfn.NUMBERVALUE(M187&amp;"",",","."),"n.b."))</f>
        <v/>
      </c>
      <c r="BE187" s="124" t="str">
        <f>IF($B187="","",IFERROR(AB187+AC187+AD187,"n.b."))</f>
        <v/>
      </c>
      <c r="BF187" s="124" t="str">
        <f>IF($B187="","",IFERROR(AE187+AF187+AG187,"n.b."))</f>
        <v/>
      </c>
      <c r="BG187" s="124" t="str">
        <f>IF($B187="","",IFERROR(AH187+AI187+AJ187,"n.b."))</f>
        <v/>
      </c>
      <c r="BH187" s="124" t="str">
        <f>IF($B187="","",IFERROR(AK187+AL187+AM187,"n.b."))</f>
        <v/>
      </c>
      <c r="BI187" s="124" t="str">
        <f>IF($B187="","",IFERROR(SUMIF($AB$5:$AM$5,"&lt;="&amp;P_PeilMaand,AB187:AM187),"n.b."))</f>
        <v/>
      </c>
      <c r="BJ187" s="124" t="str">
        <f>IF($B187="","",IFERROR(SUM(AB187:AM187)-BI187,"n.b."))</f>
        <v/>
      </c>
      <c r="BK187" s="124" t="str">
        <f>IF($B187="","",IFERROR(IF(ABS(Q187-(T187+SUM(AB187:AM187)+AS187+AU187))&gt;P_Tol,1,0),1))</f>
        <v/>
      </c>
      <c r="BL187" s="124" t="str">
        <f>IF($B187="","",IFERROR(IF(ABS(AA187-(Q187-Z187))&gt;P_Tol,1,0),1))</f>
        <v/>
      </c>
      <c r="BM187" s="124" t="str">
        <f>IF($B187="","",IFERROR(IF(ABS(Z187-(T187+W187))&gt;P_Tol,1,0),1))</f>
        <v/>
      </c>
      <c r="BN187" s="124" t="str">
        <f>IF($B187="","",IFERROR(IF(ABS(W187-BI187)&gt;P_Tol,1,0),1))</f>
        <v/>
      </c>
      <c r="BO187" s="124" t="str">
        <f>IF($B187="","",IFERROR(IF(OR(ABS(R187+S187-T187)&gt;P_Tol,ABS(U187+V187-W187)&gt;P_Tol,ABS(X187+Y187-Z187)&gt;P_Tol),1,0),1))</f>
        <v/>
      </c>
      <c r="BP187" s="124" t="str">
        <f>IF($B187="","",IFERROR(IF(OR(ABS(AR187-SUM(AB187:AM187))&gt;P_Tol,ABS(AS187-(AN187+AO187+AP187+AQ187))&gt;P_Tol),1,0),1))</f>
        <v/>
      </c>
      <c r="BQ187" s="124" t="str">
        <f>IF($B187="","",IFERROR(IF(ABS(AT187)+ABS(AV187)+ABS(AW187)+ABS(AX187)+ABS(AY187)+ABS(AZ187)+ABS(BA187)+ABS(BB187)&gt;0,1,0),1))</f>
        <v/>
      </c>
      <c r="BR187" s="124" t="str">
        <f>IF($B187="","",COUNTIF(STG_ZPMW03!$B$6:$B$505,B187))</f>
        <v/>
      </c>
      <c r="BS187" s="124" t="str">
        <f>IF($B187="","",COUNTIF($B$6:$B$505,B187))</f>
        <v/>
      </c>
      <c r="BT187" s="124" t="str">
        <f>IF($B187="","",IF(BR187=0,0,IF(INDEX(STG_ZPMW03!$I$6:$I$505,MATCH(B187,STG_ZPMW03!$B$6:$B$505,0))=J187&amp;"",0,1)))</f>
        <v/>
      </c>
      <c r="BU187" s="124" t="str">
        <f>IF($B187="","",IFERROR(IF(ABS(INDEX(Mapping!$D$5:$D$104,MATCH(B187,Mapping!$A$5:$A$104,0))-Q187)&gt;P_Tol,1,0),0))</f>
        <v/>
      </c>
      <c r="BV187" s="124" t="str">
        <f>IF($B187="","",IFERROR(IF(AND(INDEX(Mapping!$G$5:$G$104,MATCH(B187,Mapping!$A$5:$A$104,0))="Nee",ABS(Q187)+ABS(Z187)+ABS(AR187)&gt;0),1,0),0))</f>
        <v/>
      </c>
      <c r="BW187" s="124" t="str">
        <f>IF($B187="","",IF(COUNTIF(Mapping!$A$5:$A$104,B187)&gt;0,1,0))</f>
        <v/>
      </c>
      <c r="BX187" s="124" t="str">
        <f>IF($B187="","",IF(BR187=0,COUNTIF($BR$6:BR187,0),""))</f>
        <v/>
      </c>
    </row>
    <row r="188">
      <c r="A188" s="15" t="n">
        <v>184</v>
      </c>
      <c r="B188" t="str">
        <f>IF(B$3=0,"",IF(INDEX(SRC_Woningetalage!$A$1:$ZZ$501,$A188,B$3)&amp;""="","",INDEX(SRC_Woningetalage!$A$1:$ZZ$501,$A188,B$3)&amp;""))</f>
        <v/>
      </c>
      <c r="C188" t="str">
        <f>IF($B188="","",IF(C$3=0,"n.b.",INDEX(SRC_Woningetalage!$A$1:$ZZ$501,$A188,C$3)))</f>
        <v/>
      </c>
      <c r="D188" t="str">
        <f>IF($B188="","",IF(D$3=0,"n.b.",INDEX(SRC_Woningetalage!$A$1:$ZZ$501,$A188,D$3)))</f>
        <v/>
      </c>
      <c r="E188" t="str">
        <f>IF($B188="","",IF(E$3=0,"n.b.",INDEX(SRC_Woningetalage!$A$1:$ZZ$501,$A188,E$3)))</f>
        <v/>
      </c>
      <c r="F188" t="str">
        <f>IF($B188="","",IF(F$3=0,"n.b.",INDEX(SRC_Woningetalage!$A$1:$ZZ$501,$A188,F$3)))</f>
        <v/>
      </c>
      <c r="G188" t="str">
        <f>IF($B188="","",IF(G$3=0,"n.b.",INDEX(SRC_Woningetalage!$A$1:$ZZ$501,$A188,G$3)))</f>
        <v/>
      </c>
      <c r="H188" t="str">
        <f>IF($B188="","",IF(H$3=0,"n.b.",INDEX(SRC_Woningetalage!$A$1:$ZZ$501,$A188,H$3)))</f>
        <v/>
      </c>
      <c r="I188" t="str">
        <f>IF($B188="","",IF(I$3=0,"n.b.",INDEX(SRC_Woningetalage!$A$1:$ZZ$501,$A188,I$3)))</f>
        <v/>
      </c>
      <c r="J188" t="str">
        <f>IF($B188="","",IF(J$3=0,"n.b.",INDEX(SRC_Woningetalage!$A$1:$ZZ$501,$A188,J$3)))</f>
        <v/>
      </c>
      <c r="K188" t="str">
        <f>IF($B188="","",IF(K$3=0,"n.b.",INDEX(SRC_Woningetalage!$A$1:$ZZ$501,$A188,K$3)))</f>
        <v/>
      </c>
      <c r="L188" t="str">
        <f>IF($B188="","",IF(L$3=0,"n.b.",INDEX(SRC_Woningetalage!$A$1:$ZZ$501,$A188,L$3)))</f>
        <v/>
      </c>
      <c r="M188" t="str">
        <f>IF($B188="","",IF(M$3=0,"n.b.",INDEX(SRC_Woningetalage!$A$1:$ZZ$501,$A188,M$3)))</f>
        <v/>
      </c>
      <c r="N188" t="str">
        <f>IF($B188="","",IF(N$3=0,"n.b.",INDEX(SRC_Woningetalage!$A$1:$ZZ$501,$A188,N$3)))</f>
        <v/>
      </c>
      <c r="O188" t="str">
        <f>IF($B188="","",IF(O$3=0,"n.b.",INDEX(SRC_Woningetalage!$A$1:$ZZ$501,$A188,O$3)))</f>
        <v/>
      </c>
      <c r="P188" t="str">
        <f>IF($B188="","",IF(P$3=0,"n.b.",INDEX(SRC_Woningetalage!$A$1:$ZZ$501,$A188,P$3)))</f>
        <v/>
      </c>
      <c r="Q188" s="124" t="str">
        <f>IF($B188="","",IF(Q$3=0,"n.b.",INDEX(SRC_Woningetalage!$A$1:$ZZ$501,$A188,Q$3)))</f>
        <v/>
      </c>
      <c r="R188" s="124" t="str">
        <f>IF($B188="","",IF(R$3=0,"n.b.",INDEX(SRC_Woningetalage!$A$1:$ZZ$501,$A188,R$3)))</f>
        <v/>
      </c>
      <c r="S188" s="124" t="str">
        <f>IF($B188="","",IF(S$3=0,"n.b.",INDEX(SRC_Woningetalage!$A$1:$ZZ$501,$A188,S$3)))</f>
        <v/>
      </c>
      <c r="T188" s="124" t="str">
        <f>IF($B188="","",IF(T$3=0,"n.b.",INDEX(SRC_Woningetalage!$A$1:$ZZ$501,$A188,T$3)))</f>
        <v/>
      </c>
      <c r="U188" s="124" t="str">
        <f>IF($B188="","",IF(U$3=0,"n.b.",INDEX(SRC_Woningetalage!$A$1:$ZZ$501,$A188,U$3)))</f>
        <v/>
      </c>
      <c r="V188" s="124" t="str">
        <f>IF($B188="","",IF(V$3=0,"n.b.",INDEX(SRC_Woningetalage!$A$1:$ZZ$501,$A188,V$3)))</f>
        <v/>
      </c>
      <c r="W188" s="124" t="str">
        <f>IF($B188="","",IF(W$3=0,"n.b.",INDEX(SRC_Woningetalage!$A$1:$ZZ$501,$A188,W$3)))</f>
        <v/>
      </c>
      <c r="X188" s="124" t="str">
        <f>IF($B188="","",IF(X$3=0,"n.b.",INDEX(SRC_Woningetalage!$A$1:$ZZ$501,$A188,X$3)))</f>
        <v/>
      </c>
      <c r="Y188" s="124" t="str">
        <f>IF($B188="","",IF(Y$3=0,"n.b.",INDEX(SRC_Woningetalage!$A$1:$ZZ$501,$A188,Y$3)))</f>
        <v/>
      </c>
      <c r="Z188" s="124" t="str">
        <f>IF($B188="","",IF(Z$3=0,"n.b.",INDEX(SRC_Woningetalage!$A$1:$ZZ$501,$A188,Z$3)))</f>
        <v/>
      </c>
      <c r="AA188" s="124" t="str">
        <f>IF($B188="","",IF(AA$3=0,"n.b.",INDEX(SRC_Woningetalage!$A$1:$ZZ$501,$A188,AA$3)))</f>
        <v/>
      </c>
      <c r="AB188" s="124" t="str">
        <f>IF($B188="","",IF(AB$3=0,"n.b.",INDEX(SRC_Woningetalage!$A$1:$ZZ$501,$A188,AB$3)))</f>
        <v/>
      </c>
      <c r="AC188" s="124" t="str">
        <f>IF($B188="","",IF(AC$3=0,"n.b.",INDEX(SRC_Woningetalage!$A$1:$ZZ$501,$A188,AC$3)))</f>
        <v/>
      </c>
      <c r="AD188" s="124" t="str">
        <f>IF($B188="","",IF(AD$3=0,"n.b.",INDEX(SRC_Woningetalage!$A$1:$ZZ$501,$A188,AD$3)))</f>
        <v/>
      </c>
      <c r="AE188" s="124" t="str">
        <f>IF($B188="","",IF(AE$3=0,"n.b.",INDEX(SRC_Woningetalage!$A$1:$ZZ$501,$A188,AE$3)))</f>
        <v/>
      </c>
      <c r="AF188" s="124" t="str">
        <f>IF($B188="","",IF(AF$3=0,"n.b.",INDEX(SRC_Woningetalage!$A$1:$ZZ$501,$A188,AF$3)))</f>
        <v/>
      </c>
      <c r="AG188" s="124" t="str">
        <f>IF($B188="","",IF(AG$3=0,"n.b.",INDEX(SRC_Woningetalage!$A$1:$ZZ$501,$A188,AG$3)))</f>
        <v/>
      </c>
      <c r="AH188" s="124" t="str">
        <f>IF($B188="","",IF(AH$3=0,"n.b.",INDEX(SRC_Woningetalage!$A$1:$ZZ$501,$A188,AH$3)))</f>
        <v/>
      </c>
      <c r="AI188" s="124" t="str">
        <f>IF($B188="","",IF(AI$3=0,"n.b.",INDEX(SRC_Woningetalage!$A$1:$ZZ$501,$A188,AI$3)))</f>
        <v/>
      </c>
      <c r="AJ188" s="124" t="str">
        <f>IF($B188="","",IF(AJ$3=0,"n.b.",INDEX(SRC_Woningetalage!$A$1:$ZZ$501,$A188,AJ$3)))</f>
        <v/>
      </c>
      <c r="AK188" s="124" t="str">
        <f>IF($B188="","",IF(AK$3=0,"n.b.",INDEX(SRC_Woningetalage!$A$1:$ZZ$501,$A188,AK$3)))</f>
        <v/>
      </c>
      <c r="AL188" s="124" t="str">
        <f>IF($B188="","",IF(AL$3=0,"n.b.",INDEX(SRC_Woningetalage!$A$1:$ZZ$501,$A188,AL$3)))</f>
        <v/>
      </c>
      <c r="AM188" s="124" t="str">
        <f>IF($B188="","",IF(AM$3=0,"n.b.",INDEX(SRC_Woningetalage!$A$1:$ZZ$501,$A188,AM$3)))</f>
        <v/>
      </c>
      <c r="AN188" s="124" t="str">
        <f>IF($B188="","",IF(AN$3=0,"n.b.",INDEX(SRC_Woningetalage!$A$1:$ZZ$501,$A188,AN$3)))</f>
        <v/>
      </c>
      <c r="AO188" s="124" t="str">
        <f>IF($B188="","",IF(AO$3=0,"n.b.",INDEX(SRC_Woningetalage!$A$1:$ZZ$501,$A188,AO$3)))</f>
        <v/>
      </c>
      <c r="AP188" s="124" t="str">
        <f>IF($B188="","",IF(AP$3=0,"n.b.",INDEX(SRC_Woningetalage!$A$1:$ZZ$501,$A188,AP$3)))</f>
        <v/>
      </c>
      <c r="AQ188" s="124" t="str">
        <f>IF($B188="","",IF(AQ$3=0,"n.b.",INDEX(SRC_Woningetalage!$A$1:$ZZ$501,$A188,AQ$3)))</f>
        <v/>
      </c>
      <c r="AR188" s="124" t="str">
        <f>IF($B188="","",IF(AR$3=0,"n.b.",INDEX(SRC_Woningetalage!$A$1:$ZZ$501,$A188,AR$3)))</f>
        <v/>
      </c>
      <c r="AS188" s="124" t="str">
        <f>IF($B188="","",IF(AS$3=0,"n.b.",INDEX(SRC_Woningetalage!$A$1:$ZZ$501,$A188,AS$3)))</f>
        <v/>
      </c>
      <c r="AT188" s="124" t="str">
        <f>IF($B188="","",IF(AT$3=0,"n.b.",INDEX(SRC_Woningetalage!$A$1:$ZZ$501,$A188,AT$3)))</f>
        <v/>
      </c>
      <c r="AU188" s="124" t="str">
        <f>IF($B188="","",IF(AU$3=0,"n.b.",INDEX(SRC_Woningetalage!$A$1:$ZZ$501,$A188,AU$3)))</f>
        <v/>
      </c>
      <c r="AV188" s="124" t="str">
        <f>IF($B188="","",IF(AV$3=0,"n.b.",INDEX(SRC_Woningetalage!$A$1:$ZZ$501,$A188,AV$3)))</f>
        <v/>
      </c>
      <c r="AW188" s="124" t="str">
        <f>IF($B188="","",IF(AW$3=0,"n.b.",INDEX(SRC_Woningetalage!$A$1:$ZZ$501,$A188,AW$3)))</f>
        <v/>
      </c>
      <c r="AX188" s="124" t="str">
        <f>IF($B188="","",IF(AX$3=0,"n.b.",INDEX(SRC_Woningetalage!$A$1:$ZZ$501,$A188,AX$3)))</f>
        <v/>
      </c>
      <c r="AY188" s="124" t="str">
        <f>IF($B188="","",IF(AY$3=0,"n.b.",INDEX(SRC_Woningetalage!$A$1:$ZZ$501,$A188,AY$3)))</f>
        <v/>
      </c>
      <c r="AZ188" s="124" t="str">
        <f>IF($B188="","",IF(AZ$3=0,"n.b.",INDEX(SRC_Woningetalage!$A$1:$ZZ$501,$A188,AZ$3)))</f>
        <v/>
      </c>
      <c r="BA188" s="124" t="str">
        <f>IF($B188="","",IF(BA$3=0,"n.b.",INDEX(SRC_Woningetalage!$A$1:$ZZ$501,$A188,BA$3)))</f>
        <v/>
      </c>
      <c r="BB188" s="124" t="str">
        <f>IF($B188="","",IF(BB$3=0,"n.b.",INDEX(SRC_Woningetalage!$A$1:$ZZ$501,$A188,BB$3)))</f>
        <v/>
      </c>
      <c r="BC188" s="124" t="str">
        <f>IF($B188="","",IFERROR(_xlfn.NUMBERVALUE(E188&amp;"",",","."),"n.b."))</f>
        <v/>
      </c>
      <c r="BD188" s="124" t="str">
        <f>IF($B188="","",IFERROR(_xlfn.NUMBERVALUE(M188&amp;"",",","."),"n.b."))</f>
        <v/>
      </c>
      <c r="BE188" s="124" t="str">
        <f>IF($B188="","",IFERROR(AB188+AC188+AD188,"n.b."))</f>
        <v/>
      </c>
      <c r="BF188" s="124" t="str">
        <f>IF($B188="","",IFERROR(AE188+AF188+AG188,"n.b."))</f>
        <v/>
      </c>
      <c r="BG188" s="124" t="str">
        <f>IF($B188="","",IFERROR(AH188+AI188+AJ188,"n.b."))</f>
        <v/>
      </c>
      <c r="BH188" s="124" t="str">
        <f>IF($B188="","",IFERROR(AK188+AL188+AM188,"n.b."))</f>
        <v/>
      </c>
      <c r="BI188" s="124" t="str">
        <f>IF($B188="","",IFERROR(SUMIF($AB$5:$AM$5,"&lt;="&amp;P_PeilMaand,AB188:AM188),"n.b."))</f>
        <v/>
      </c>
      <c r="BJ188" s="124" t="str">
        <f>IF($B188="","",IFERROR(SUM(AB188:AM188)-BI188,"n.b."))</f>
        <v/>
      </c>
      <c r="BK188" s="124" t="str">
        <f>IF($B188="","",IFERROR(IF(ABS(Q188-(T188+SUM(AB188:AM188)+AS188+AU188))&gt;P_Tol,1,0),1))</f>
        <v/>
      </c>
      <c r="BL188" s="124" t="str">
        <f>IF($B188="","",IFERROR(IF(ABS(AA188-(Q188-Z188))&gt;P_Tol,1,0),1))</f>
        <v/>
      </c>
      <c r="BM188" s="124" t="str">
        <f>IF($B188="","",IFERROR(IF(ABS(Z188-(T188+W188))&gt;P_Tol,1,0),1))</f>
        <v/>
      </c>
      <c r="BN188" s="124" t="str">
        <f>IF($B188="","",IFERROR(IF(ABS(W188-BI188)&gt;P_Tol,1,0),1))</f>
        <v/>
      </c>
      <c r="BO188" s="124" t="str">
        <f>IF($B188="","",IFERROR(IF(OR(ABS(R188+S188-T188)&gt;P_Tol,ABS(U188+V188-W188)&gt;P_Tol,ABS(X188+Y188-Z188)&gt;P_Tol),1,0),1))</f>
        <v/>
      </c>
      <c r="BP188" s="124" t="str">
        <f>IF($B188="","",IFERROR(IF(OR(ABS(AR188-SUM(AB188:AM188))&gt;P_Tol,ABS(AS188-(AN188+AO188+AP188+AQ188))&gt;P_Tol),1,0),1))</f>
        <v/>
      </c>
      <c r="BQ188" s="124" t="str">
        <f>IF($B188="","",IFERROR(IF(ABS(AT188)+ABS(AV188)+ABS(AW188)+ABS(AX188)+ABS(AY188)+ABS(AZ188)+ABS(BA188)+ABS(BB188)&gt;0,1,0),1))</f>
        <v/>
      </c>
      <c r="BR188" s="124" t="str">
        <f>IF($B188="","",COUNTIF(STG_ZPMW03!$B$6:$B$505,B188))</f>
        <v/>
      </c>
      <c r="BS188" s="124" t="str">
        <f>IF($B188="","",COUNTIF($B$6:$B$505,B188))</f>
        <v/>
      </c>
      <c r="BT188" s="124" t="str">
        <f>IF($B188="","",IF(BR188=0,0,IF(INDEX(STG_ZPMW03!$I$6:$I$505,MATCH(B188,STG_ZPMW03!$B$6:$B$505,0))=J188&amp;"",0,1)))</f>
        <v/>
      </c>
      <c r="BU188" s="124" t="str">
        <f>IF($B188="","",IFERROR(IF(ABS(INDEX(Mapping!$D$5:$D$104,MATCH(B188,Mapping!$A$5:$A$104,0))-Q188)&gt;P_Tol,1,0),0))</f>
        <v/>
      </c>
      <c r="BV188" s="124" t="str">
        <f>IF($B188="","",IFERROR(IF(AND(INDEX(Mapping!$G$5:$G$104,MATCH(B188,Mapping!$A$5:$A$104,0))="Nee",ABS(Q188)+ABS(Z188)+ABS(AR188)&gt;0),1,0),0))</f>
        <v/>
      </c>
      <c r="BW188" s="124" t="str">
        <f>IF($B188="","",IF(COUNTIF(Mapping!$A$5:$A$104,B188)&gt;0,1,0))</f>
        <v/>
      </c>
      <c r="BX188" s="124" t="str">
        <f>IF($B188="","",IF(BR188=0,COUNTIF($BR$6:BR188,0),""))</f>
        <v/>
      </c>
    </row>
    <row r="189">
      <c r="A189" s="15" t="n">
        <v>185</v>
      </c>
      <c r="B189" t="str">
        <f>IF(B$3=0,"",IF(INDEX(SRC_Woningetalage!$A$1:$ZZ$501,$A189,B$3)&amp;""="","",INDEX(SRC_Woningetalage!$A$1:$ZZ$501,$A189,B$3)&amp;""))</f>
        <v/>
      </c>
      <c r="C189" t="str">
        <f>IF($B189="","",IF(C$3=0,"n.b.",INDEX(SRC_Woningetalage!$A$1:$ZZ$501,$A189,C$3)))</f>
        <v/>
      </c>
      <c r="D189" t="str">
        <f>IF($B189="","",IF(D$3=0,"n.b.",INDEX(SRC_Woningetalage!$A$1:$ZZ$501,$A189,D$3)))</f>
        <v/>
      </c>
      <c r="E189" t="str">
        <f>IF($B189="","",IF(E$3=0,"n.b.",INDEX(SRC_Woningetalage!$A$1:$ZZ$501,$A189,E$3)))</f>
        <v/>
      </c>
      <c r="F189" t="str">
        <f>IF($B189="","",IF(F$3=0,"n.b.",INDEX(SRC_Woningetalage!$A$1:$ZZ$501,$A189,F$3)))</f>
        <v/>
      </c>
      <c r="G189" t="str">
        <f>IF($B189="","",IF(G$3=0,"n.b.",INDEX(SRC_Woningetalage!$A$1:$ZZ$501,$A189,G$3)))</f>
        <v/>
      </c>
      <c r="H189" t="str">
        <f>IF($B189="","",IF(H$3=0,"n.b.",INDEX(SRC_Woningetalage!$A$1:$ZZ$501,$A189,H$3)))</f>
        <v/>
      </c>
      <c r="I189" t="str">
        <f>IF($B189="","",IF(I$3=0,"n.b.",INDEX(SRC_Woningetalage!$A$1:$ZZ$501,$A189,I$3)))</f>
        <v/>
      </c>
      <c r="J189" t="str">
        <f>IF($B189="","",IF(J$3=0,"n.b.",INDEX(SRC_Woningetalage!$A$1:$ZZ$501,$A189,J$3)))</f>
        <v/>
      </c>
      <c r="K189" t="str">
        <f>IF($B189="","",IF(K$3=0,"n.b.",INDEX(SRC_Woningetalage!$A$1:$ZZ$501,$A189,K$3)))</f>
        <v/>
      </c>
      <c r="L189" t="str">
        <f>IF($B189="","",IF(L$3=0,"n.b.",INDEX(SRC_Woningetalage!$A$1:$ZZ$501,$A189,L$3)))</f>
        <v/>
      </c>
      <c r="M189" t="str">
        <f>IF($B189="","",IF(M$3=0,"n.b.",INDEX(SRC_Woningetalage!$A$1:$ZZ$501,$A189,M$3)))</f>
        <v/>
      </c>
      <c r="N189" t="str">
        <f>IF($B189="","",IF(N$3=0,"n.b.",INDEX(SRC_Woningetalage!$A$1:$ZZ$501,$A189,N$3)))</f>
        <v/>
      </c>
      <c r="O189" t="str">
        <f>IF($B189="","",IF(O$3=0,"n.b.",INDEX(SRC_Woningetalage!$A$1:$ZZ$501,$A189,O$3)))</f>
        <v/>
      </c>
      <c r="P189" t="str">
        <f>IF($B189="","",IF(P$3=0,"n.b.",INDEX(SRC_Woningetalage!$A$1:$ZZ$501,$A189,P$3)))</f>
        <v/>
      </c>
      <c r="Q189" s="124" t="str">
        <f>IF($B189="","",IF(Q$3=0,"n.b.",INDEX(SRC_Woningetalage!$A$1:$ZZ$501,$A189,Q$3)))</f>
        <v/>
      </c>
      <c r="R189" s="124" t="str">
        <f>IF($B189="","",IF(R$3=0,"n.b.",INDEX(SRC_Woningetalage!$A$1:$ZZ$501,$A189,R$3)))</f>
        <v/>
      </c>
      <c r="S189" s="124" t="str">
        <f>IF($B189="","",IF(S$3=0,"n.b.",INDEX(SRC_Woningetalage!$A$1:$ZZ$501,$A189,S$3)))</f>
        <v/>
      </c>
      <c r="T189" s="124" t="str">
        <f>IF($B189="","",IF(T$3=0,"n.b.",INDEX(SRC_Woningetalage!$A$1:$ZZ$501,$A189,T$3)))</f>
        <v/>
      </c>
      <c r="U189" s="124" t="str">
        <f>IF($B189="","",IF(U$3=0,"n.b.",INDEX(SRC_Woningetalage!$A$1:$ZZ$501,$A189,U$3)))</f>
        <v/>
      </c>
      <c r="V189" s="124" t="str">
        <f>IF($B189="","",IF(V$3=0,"n.b.",INDEX(SRC_Woningetalage!$A$1:$ZZ$501,$A189,V$3)))</f>
        <v/>
      </c>
      <c r="W189" s="124" t="str">
        <f>IF($B189="","",IF(W$3=0,"n.b.",INDEX(SRC_Woningetalage!$A$1:$ZZ$501,$A189,W$3)))</f>
        <v/>
      </c>
      <c r="X189" s="124" t="str">
        <f>IF($B189="","",IF(X$3=0,"n.b.",INDEX(SRC_Woningetalage!$A$1:$ZZ$501,$A189,X$3)))</f>
        <v/>
      </c>
      <c r="Y189" s="124" t="str">
        <f>IF($B189="","",IF(Y$3=0,"n.b.",INDEX(SRC_Woningetalage!$A$1:$ZZ$501,$A189,Y$3)))</f>
        <v/>
      </c>
      <c r="Z189" s="124" t="str">
        <f>IF($B189="","",IF(Z$3=0,"n.b.",INDEX(SRC_Woningetalage!$A$1:$ZZ$501,$A189,Z$3)))</f>
        <v/>
      </c>
      <c r="AA189" s="124" t="str">
        <f>IF($B189="","",IF(AA$3=0,"n.b.",INDEX(SRC_Woningetalage!$A$1:$ZZ$501,$A189,AA$3)))</f>
        <v/>
      </c>
      <c r="AB189" s="124" t="str">
        <f>IF($B189="","",IF(AB$3=0,"n.b.",INDEX(SRC_Woningetalage!$A$1:$ZZ$501,$A189,AB$3)))</f>
        <v/>
      </c>
      <c r="AC189" s="124" t="str">
        <f>IF($B189="","",IF(AC$3=0,"n.b.",INDEX(SRC_Woningetalage!$A$1:$ZZ$501,$A189,AC$3)))</f>
        <v/>
      </c>
      <c r="AD189" s="124" t="str">
        <f>IF($B189="","",IF(AD$3=0,"n.b.",INDEX(SRC_Woningetalage!$A$1:$ZZ$501,$A189,AD$3)))</f>
        <v/>
      </c>
      <c r="AE189" s="124" t="str">
        <f>IF($B189="","",IF(AE$3=0,"n.b.",INDEX(SRC_Woningetalage!$A$1:$ZZ$501,$A189,AE$3)))</f>
        <v/>
      </c>
      <c r="AF189" s="124" t="str">
        <f>IF($B189="","",IF(AF$3=0,"n.b.",INDEX(SRC_Woningetalage!$A$1:$ZZ$501,$A189,AF$3)))</f>
        <v/>
      </c>
      <c r="AG189" s="124" t="str">
        <f>IF($B189="","",IF(AG$3=0,"n.b.",INDEX(SRC_Woningetalage!$A$1:$ZZ$501,$A189,AG$3)))</f>
        <v/>
      </c>
      <c r="AH189" s="124" t="str">
        <f>IF($B189="","",IF(AH$3=0,"n.b.",INDEX(SRC_Woningetalage!$A$1:$ZZ$501,$A189,AH$3)))</f>
        <v/>
      </c>
      <c r="AI189" s="124" t="str">
        <f>IF($B189="","",IF(AI$3=0,"n.b.",INDEX(SRC_Woningetalage!$A$1:$ZZ$501,$A189,AI$3)))</f>
        <v/>
      </c>
      <c r="AJ189" s="124" t="str">
        <f>IF($B189="","",IF(AJ$3=0,"n.b.",INDEX(SRC_Woningetalage!$A$1:$ZZ$501,$A189,AJ$3)))</f>
        <v/>
      </c>
      <c r="AK189" s="124" t="str">
        <f>IF($B189="","",IF(AK$3=0,"n.b.",INDEX(SRC_Woningetalage!$A$1:$ZZ$501,$A189,AK$3)))</f>
        <v/>
      </c>
      <c r="AL189" s="124" t="str">
        <f>IF($B189="","",IF(AL$3=0,"n.b.",INDEX(SRC_Woningetalage!$A$1:$ZZ$501,$A189,AL$3)))</f>
        <v/>
      </c>
      <c r="AM189" s="124" t="str">
        <f>IF($B189="","",IF(AM$3=0,"n.b.",INDEX(SRC_Woningetalage!$A$1:$ZZ$501,$A189,AM$3)))</f>
        <v/>
      </c>
      <c r="AN189" s="124" t="str">
        <f>IF($B189="","",IF(AN$3=0,"n.b.",INDEX(SRC_Woningetalage!$A$1:$ZZ$501,$A189,AN$3)))</f>
        <v/>
      </c>
      <c r="AO189" s="124" t="str">
        <f>IF($B189="","",IF(AO$3=0,"n.b.",INDEX(SRC_Woningetalage!$A$1:$ZZ$501,$A189,AO$3)))</f>
        <v/>
      </c>
      <c r="AP189" s="124" t="str">
        <f>IF($B189="","",IF(AP$3=0,"n.b.",INDEX(SRC_Woningetalage!$A$1:$ZZ$501,$A189,AP$3)))</f>
        <v/>
      </c>
      <c r="AQ189" s="124" t="str">
        <f>IF($B189="","",IF(AQ$3=0,"n.b.",INDEX(SRC_Woningetalage!$A$1:$ZZ$501,$A189,AQ$3)))</f>
        <v/>
      </c>
      <c r="AR189" s="124" t="str">
        <f>IF($B189="","",IF(AR$3=0,"n.b.",INDEX(SRC_Woningetalage!$A$1:$ZZ$501,$A189,AR$3)))</f>
        <v/>
      </c>
      <c r="AS189" s="124" t="str">
        <f>IF($B189="","",IF(AS$3=0,"n.b.",INDEX(SRC_Woningetalage!$A$1:$ZZ$501,$A189,AS$3)))</f>
        <v/>
      </c>
      <c r="AT189" s="124" t="str">
        <f>IF($B189="","",IF(AT$3=0,"n.b.",INDEX(SRC_Woningetalage!$A$1:$ZZ$501,$A189,AT$3)))</f>
        <v/>
      </c>
      <c r="AU189" s="124" t="str">
        <f>IF($B189="","",IF(AU$3=0,"n.b.",INDEX(SRC_Woningetalage!$A$1:$ZZ$501,$A189,AU$3)))</f>
        <v/>
      </c>
      <c r="AV189" s="124" t="str">
        <f>IF($B189="","",IF(AV$3=0,"n.b.",INDEX(SRC_Woningetalage!$A$1:$ZZ$501,$A189,AV$3)))</f>
        <v/>
      </c>
      <c r="AW189" s="124" t="str">
        <f>IF($B189="","",IF(AW$3=0,"n.b.",INDEX(SRC_Woningetalage!$A$1:$ZZ$501,$A189,AW$3)))</f>
        <v/>
      </c>
      <c r="AX189" s="124" t="str">
        <f>IF($B189="","",IF(AX$3=0,"n.b.",INDEX(SRC_Woningetalage!$A$1:$ZZ$501,$A189,AX$3)))</f>
        <v/>
      </c>
      <c r="AY189" s="124" t="str">
        <f>IF($B189="","",IF(AY$3=0,"n.b.",INDEX(SRC_Woningetalage!$A$1:$ZZ$501,$A189,AY$3)))</f>
        <v/>
      </c>
      <c r="AZ189" s="124" t="str">
        <f>IF($B189="","",IF(AZ$3=0,"n.b.",INDEX(SRC_Woningetalage!$A$1:$ZZ$501,$A189,AZ$3)))</f>
        <v/>
      </c>
      <c r="BA189" s="124" t="str">
        <f>IF($B189="","",IF(BA$3=0,"n.b.",INDEX(SRC_Woningetalage!$A$1:$ZZ$501,$A189,BA$3)))</f>
        <v/>
      </c>
      <c r="BB189" s="124" t="str">
        <f>IF($B189="","",IF(BB$3=0,"n.b.",INDEX(SRC_Woningetalage!$A$1:$ZZ$501,$A189,BB$3)))</f>
        <v/>
      </c>
      <c r="BC189" s="124" t="str">
        <f>IF($B189="","",IFERROR(_xlfn.NUMBERVALUE(E189&amp;"",",","."),"n.b."))</f>
        <v/>
      </c>
      <c r="BD189" s="124" t="str">
        <f>IF($B189="","",IFERROR(_xlfn.NUMBERVALUE(M189&amp;"",",","."),"n.b."))</f>
        <v/>
      </c>
      <c r="BE189" s="124" t="str">
        <f>IF($B189="","",IFERROR(AB189+AC189+AD189,"n.b."))</f>
        <v/>
      </c>
      <c r="BF189" s="124" t="str">
        <f>IF($B189="","",IFERROR(AE189+AF189+AG189,"n.b."))</f>
        <v/>
      </c>
      <c r="BG189" s="124" t="str">
        <f>IF($B189="","",IFERROR(AH189+AI189+AJ189,"n.b."))</f>
        <v/>
      </c>
      <c r="BH189" s="124" t="str">
        <f>IF($B189="","",IFERROR(AK189+AL189+AM189,"n.b."))</f>
        <v/>
      </c>
      <c r="BI189" s="124" t="str">
        <f>IF($B189="","",IFERROR(SUMIF($AB$5:$AM$5,"&lt;="&amp;P_PeilMaand,AB189:AM189),"n.b."))</f>
        <v/>
      </c>
      <c r="BJ189" s="124" t="str">
        <f>IF($B189="","",IFERROR(SUM(AB189:AM189)-BI189,"n.b."))</f>
        <v/>
      </c>
      <c r="BK189" s="124" t="str">
        <f>IF($B189="","",IFERROR(IF(ABS(Q189-(T189+SUM(AB189:AM189)+AS189+AU189))&gt;P_Tol,1,0),1))</f>
        <v/>
      </c>
      <c r="BL189" s="124" t="str">
        <f>IF($B189="","",IFERROR(IF(ABS(AA189-(Q189-Z189))&gt;P_Tol,1,0),1))</f>
        <v/>
      </c>
      <c r="BM189" s="124" t="str">
        <f>IF($B189="","",IFERROR(IF(ABS(Z189-(T189+W189))&gt;P_Tol,1,0),1))</f>
        <v/>
      </c>
      <c r="BN189" s="124" t="str">
        <f>IF($B189="","",IFERROR(IF(ABS(W189-BI189)&gt;P_Tol,1,0),1))</f>
        <v/>
      </c>
      <c r="BO189" s="124" t="str">
        <f>IF($B189="","",IFERROR(IF(OR(ABS(R189+S189-T189)&gt;P_Tol,ABS(U189+V189-W189)&gt;P_Tol,ABS(X189+Y189-Z189)&gt;P_Tol),1,0),1))</f>
        <v/>
      </c>
      <c r="BP189" s="124" t="str">
        <f>IF($B189="","",IFERROR(IF(OR(ABS(AR189-SUM(AB189:AM189))&gt;P_Tol,ABS(AS189-(AN189+AO189+AP189+AQ189))&gt;P_Tol),1,0),1))</f>
        <v/>
      </c>
      <c r="BQ189" s="124" t="str">
        <f>IF($B189="","",IFERROR(IF(ABS(AT189)+ABS(AV189)+ABS(AW189)+ABS(AX189)+ABS(AY189)+ABS(AZ189)+ABS(BA189)+ABS(BB189)&gt;0,1,0),1))</f>
        <v/>
      </c>
      <c r="BR189" s="124" t="str">
        <f>IF($B189="","",COUNTIF(STG_ZPMW03!$B$6:$B$505,B189))</f>
        <v/>
      </c>
      <c r="BS189" s="124" t="str">
        <f>IF($B189="","",COUNTIF($B$6:$B$505,B189))</f>
        <v/>
      </c>
      <c r="BT189" s="124" t="str">
        <f>IF($B189="","",IF(BR189=0,0,IF(INDEX(STG_ZPMW03!$I$6:$I$505,MATCH(B189,STG_ZPMW03!$B$6:$B$505,0))=J189&amp;"",0,1)))</f>
        <v/>
      </c>
      <c r="BU189" s="124" t="str">
        <f>IF($B189="","",IFERROR(IF(ABS(INDEX(Mapping!$D$5:$D$104,MATCH(B189,Mapping!$A$5:$A$104,0))-Q189)&gt;P_Tol,1,0),0))</f>
        <v/>
      </c>
      <c r="BV189" s="124" t="str">
        <f>IF($B189="","",IFERROR(IF(AND(INDEX(Mapping!$G$5:$G$104,MATCH(B189,Mapping!$A$5:$A$104,0))="Nee",ABS(Q189)+ABS(Z189)+ABS(AR189)&gt;0),1,0),0))</f>
        <v/>
      </c>
      <c r="BW189" s="124" t="str">
        <f>IF($B189="","",IF(COUNTIF(Mapping!$A$5:$A$104,B189)&gt;0,1,0))</f>
        <v/>
      </c>
      <c r="BX189" s="124" t="str">
        <f>IF($B189="","",IF(BR189=0,COUNTIF($BR$6:BR189,0),""))</f>
        <v/>
      </c>
    </row>
    <row r="190">
      <c r="A190" s="15" t="n">
        <v>186</v>
      </c>
      <c r="B190" t="str">
        <f>IF(B$3=0,"",IF(INDEX(SRC_Woningetalage!$A$1:$ZZ$501,$A190,B$3)&amp;""="","",INDEX(SRC_Woningetalage!$A$1:$ZZ$501,$A190,B$3)&amp;""))</f>
        <v/>
      </c>
      <c r="C190" t="str">
        <f>IF($B190="","",IF(C$3=0,"n.b.",INDEX(SRC_Woningetalage!$A$1:$ZZ$501,$A190,C$3)))</f>
        <v/>
      </c>
      <c r="D190" t="str">
        <f>IF($B190="","",IF(D$3=0,"n.b.",INDEX(SRC_Woningetalage!$A$1:$ZZ$501,$A190,D$3)))</f>
        <v/>
      </c>
      <c r="E190" t="str">
        <f>IF($B190="","",IF(E$3=0,"n.b.",INDEX(SRC_Woningetalage!$A$1:$ZZ$501,$A190,E$3)))</f>
        <v/>
      </c>
      <c r="F190" t="str">
        <f>IF($B190="","",IF(F$3=0,"n.b.",INDEX(SRC_Woningetalage!$A$1:$ZZ$501,$A190,F$3)))</f>
        <v/>
      </c>
      <c r="G190" t="str">
        <f>IF($B190="","",IF(G$3=0,"n.b.",INDEX(SRC_Woningetalage!$A$1:$ZZ$501,$A190,G$3)))</f>
        <v/>
      </c>
      <c r="H190" t="str">
        <f>IF($B190="","",IF(H$3=0,"n.b.",INDEX(SRC_Woningetalage!$A$1:$ZZ$501,$A190,H$3)))</f>
        <v/>
      </c>
      <c r="I190" t="str">
        <f>IF($B190="","",IF(I$3=0,"n.b.",INDEX(SRC_Woningetalage!$A$1:$ZZ$501,$A190,I$3)))</f>
        <v/>
      </c>
      <c r="J190" t="str">
        <f>IF($B190="","",IF(J$3=0,"n.b.",INDEX(SRC_Woningetalage!$A$1:$ZZ$501,$A190,J$3)))</f>
        <v/>
      </c>
      <c r="K190" t="str">
        <f>IF($B190="","",IF(K$3=0,"n.b.",INDEX(SRC_Woningetalage!$A$1:$ZZ$501,$A190,K$3)))</f>
        <v/>
      </c>
      <c r="L190" t="str">
        <f>IF($B190="","",IF(L$3=0,"n.b.",INDEX(SRC_Woningetalage!$A$1:$ZZ$501,$A190,L$3)))</f>
        <v/>
      </c>
      <c r="M190" t="str">
        <f>IF($B190="","",IF(M$3=0,"n.b.",INDEX(SRC_Woningetalage!$A$1:$ZZ$501,$A190,M$3)))</f>
        <v/>
      </c>
      <c r="N190" t="str">
        <f>IF($B190="","",IF(N$3=0,"n.b.",INDEX(SRC_Woningetalage!$A$1:$ZZ$501,$A190,N$3)))</f>
        <v/>
      </c>
      <c r="O190" t="str">
        <f>IF($B190="","",IF(O$3=0,"n.b.",INDEX(SRC_Woningetalage!$A$1:$ZZ$501,$A190,O$3)))</f>
        <v/>
      </c>
      <c r="P190" t="str">
        <f>IF($B190="","",IF(P$3=0,"n.b.",INDEX(SRC_Woningetalage!$A$1:$ZZ$501,$A190,P$3)))</f>
        <v/>
      </c>
      <c r="Q190" s="124" t="str">
        <f>IF($B190="","",IF(Q$3=0,"n.b.",INDEX(SRC_Woningetalage!$A$1:$ZZ$501,$A190,Q$3)))</f>
        <v/>
      </c>
      <c r="R190" s="124" t="str">
        <f>IF($B190="","",IF(R$3=0,"n.b.",INDEX(SRC_Woningetalage!$A$1:$ZZ$501,$A190,R$3)))</f>
        <v/>
      </c>
      <c r="S190" s="124" t="str">
        <f>IF($B190="","",IF(S$3=0,"n.b.",INDEX(SRC_Woningetalage!$A$1:$ZZ$501,$A190,S$3)))</f>
        <v/>
      </c>
      <c r="T190" s="124" t="str">
        <f>IF($B190="","",IF(T$3=0,"n.b.",INDEX(SRC_Woningetalage!$A$1:$ZZ$501,$A190,T$3)))</f>
        <v/>
      </c>
      <c r="U190" s="124" t="str">
        <f>IF($B190="","",IF(U$3=0,"n.b.",INDEX(SRC_Woningetalage!$A$1:$ZZ$501,$A190,U$3)))</f>
        <v/>
      </c>
      <c r="V190" s="124" t="str">
        <f>IF($B190="","",IF(V$3=0,"n.b.",INDEX(SRC_Woningetalage!$A$1:$ZZ$501,$A190,V$3)))</f>
        <v/>
      </c>
      <c r="W190" s="124" t="str">
        <f>IF($B190="","",IF(W$3=0,"n.b.",INDEX(SRC_Woningetalage!$A$1:$ZZ$501,$A190,W$3)))</f>
        <v/>
      </c>
      <c r="X190" s="124" t="str">
        <f>IF($B190="","",IF(X$3=0,"n.b.",INDEX(SRC_Woningetalage!$A$1:$ZZ$501,$A190,X$3)))</f>
        <v/>
      </c>
      <c r="Y190" s="124" t="str">
        <f>IF($B190="","",IF(Y$3=0,"n.b.",INDEX(SRC_Woningetalage!$A$1:$ZZ$501,$A190,Y$3)))</f>
        <v/>
      </c>
      <c r="Z190" s="124" t="str">
        <f>IF($B190="","",IF(Z$3=0,"n.b.",INDEX(SRC_Woningetalage!$A$1:$ZZ$501,$A190,Z$3)))</f>
        <v/>
      </c>
      <c r="AA190" s="124" t="str">
        <f>IF($B190="","",IF(AA$3=0,"n.b.",INDEX(SRC_Woningetalage!$A$1:$ZZ$501,$A190,AA$3)))</f>
        <v/>
      </c>
      <c r="AB190" s="124" t="str">
        <f>IF($B190="","",IF(AB$3=0,"n.b.",INDEX(SRC_Woningetalage!$A$1:$ZZ$501,$A190,AB$3)))</f>
        <v/>
      </c>
      <c r="AC190" s="124" t="str">
        <f>IF($B190="","",IF(AC$3=0,"n.b.",INDEX(SRC_Woningetalage!$A$1:$ZZ$501,$A190,AC$3)))</f>
        <v/>
      </c>
      <c r="AD190" s="124" t="str">
        <f>IF($B190="","",IF(AD$3=0,"n.b.",INDEX(SRC_Woningetalage!$A$1:$ZZ$501,$A190,AD$3)))</f>
        <v/>
      </c>
      <c r="AE190" s="124" t="str">
        <f>IF($B190="","",IF(AE$3=0,"n.b.",INDEX(SRC_Woningetalage!$A$1:$ZZ$501,$A190,AE$3)))</f>
        <v/>
      </c>
      <c r="AF190" s="124" t="str">
        <f>IF($B190="","",IF(AF$3=0,"n.b.",INDEX(SRC_Woningetalage!$A$1:$ZZ$501,$A190,AF$3)))</f>
        <v/>
      </c>
      <c r="AG190" s="124" t="str">
        <f>IF($B190="","",IF(AG$3=0,"n.b.",INDEX(SRC_Woningetalage!$A$1:$ZZ$501,$A190,AG$3)))</f>
        <v/>
      </c>
      <c r="AH190" s="124" t="str">
        <f>IF($B190="","",IF(AH$3=0,"n.b.",INDEX(SRC_Woningetalage!$A$1:$ZZ$501,$A190,AH$3)))</f>
        <v/>
      </c>
      <c r="AI190" s="124" t="str">
        <f>IF($B190="","",IF(AI$3=0,"n.b.",INDEX(SRC_Woningetalage!$A$1:$ZZ$501,$A190,AI$3)))</f>
        <v/>
      </c>
      <c r="AJ190" s="124" t="str">
        <f>IF($B190="","",IF(AJ$3=0,"n.b.",INDEX(SRC_Woningetalage!$A$1:$ZZ$501,$A190,AJ$3)))</f>
        <v/>
      </c>
      <c r="AK190" s="124" t="str">
        <f>IF($B190="","",IF(AK$3=0,"n.b.",INDEX(SRC_Woningetalage!$A$1:$ZZ$501,$A190,AK$3)))</f>
        <v/>
      </c>
      <c r="AL190" s="124" t="str">
        <f>IF($B190="","",IF(AL$3=0,"n.b.",INDEX(SRC_Woningetalage!$A$1:$ZZ$501,$A190,AL$3)))</f>
        <v/>
      </c>
      <c r="AM190" s="124" t="str">
        <f>IF($B190="","",IF(AM$3=0,"n.b.",INDEX(SRC_Woningetalage!$A$1:$ZZ$501,$A190,AM$3)))</f>
        <v/>
      </c>
      <c r="AN190" s="124" t="str">
        <f>IF($B190="","",IF(AN$3=0,"n.b.",INDEX(SRC_Woningetalage!$A$1:$ZZ$501,$A190,AN$3)))</f>
        <v/>
      </c>
      <c r="AO190" s="124" t="str">
        <f>IF($B190="","",IF(AO$3=0,"n.b.",INDEX(SRC_Woningetalage!$A$1:$ZZ$501,$A190,AO$3)))</f>
        <v/>
      </c>
      <c r="AP190" s="124" t="str">
        <f>IF($B190="","",IF(AP$3=0,"n.b.",INDEX(SRC_Woningetalage!$A$1:$ZZ$501,$A190,AP$3)))</f>
        <v/>
      </c>
      <c r="AQ190" s="124" t="str">
        <f>IF($B190="","",IF(AQ$3=0,"n.b.",INDEX(SRC_Woningetalage!$A$1:$ZZ$501,$A190,AQ$3)))</f>
        <v/>
      </c>
      <c r="AR190" s="124" t="str">
        <f>IF($B190="","",IF(AR$3=0,"n.b.",INDEX(SRC_Woningetalage!$A$1:$ZZ$501,$A190,AR$3)))</f>
        <v/>
      </c>
      <c r="AS190" s="124" t="str">
        <f>IF($B190="","",IF(AS$3=0,"n.b.",INDEX(SRC_Woningetalage!$A$1:$ZZ$501,$A190,AS$3)))</f>
        <v/>
      </c>
      <c r="AT190" s="124" t="str">
        <f>IF($B190="","",IF(AT$3=0,"n.b.",INDEX(SRC_Woningetalage!$A$1:$ZZ$501,$A190,AT$3)))</f>
        <v/>
      </c>
      <c r="AU190" s="124" t="str">
        <f>IF($B190="","",IF(AU$3=0,"n.b.",INDEX(SRC_Woningetalage!$A$1:$ZZ$501,$A190,AU$3)))</f>
        <v/>
      </c>
      <c r="AV190" s="124" t="str">
        <f>IF($B190="","",IF(AV$3=0,"n.b.",INDEX(SRC_Woningetalage!$A$1:$ZZ$501,$A190,AV$3)))</f>
        <v/>
      </c>
      <c r="AW190" s="124" t="str">
        <f>IF($B190="","",IF(AW$3=0,"n.b.",INDEX(SRC_Woningetalage!$A$1:$ZZ$501,$A190,AW$3)))</f>
        <v/>
      </c>
      <c r="AX190" s="124" t="str">
        <f>IF($B190="","",IF(AX$3=0,"n.b.",INDEX(SRC_Woningetalage!$A$1:$ZZ$501,$A190,AX$3)))</f>
        <v/>
      </c>
      <c r="AY190" s="124" t="str">
        <f>IF($B190="","",IF(AY$3=0,"n.b.",INDEX(SRC_Woningetalage!$A$1:$ZZ$501,$A190,AY$3)))</f>
        <v/>
      </c>
      <c r="AZ190" s="124" t="str">
        <f>IF($B190="","",IF(AZ$3=0,"n.b.",INDEX(SRC_Woningetalage!$A$1:$ZZ$501,$A190,AZ$3)))</f>
        <v/>
      </c>
      <c r="BA190" s="124" t="str">
        <f>IF($B190="","",IF(BA$3=0,"n.b.",INDEX(SRC_Woningetalage!$A$1:$ZZ$501,$A190,BA$3)))</f>
        <v/>
      </c>
      <c r="BB190" s="124" t="str">
        <f>IF($B190="","",IF(BB$3=0,"n.b.",INDEX(SRC_Woningetalage!$A$1:$ZZ$501,$A190,BB$3)))</f>
        <v/>
      </c>
      <c r="BC190" s="124" t="str">
        <f>IF($B190="","",IFERROR(_xlfn.NUMBERVALUE(E190&amp;"",",","."),"n.b."))</f>
        <v/>
      </c>
      <c r="BD190" s="124" t="str">
        <f>IF($B190="","",IFERROR(_xlfn.NUMBERVALUE(M190&amp;"",",","."),"n.b."))</f>
        <v/>
      </c>
      <c r="BE190" s="124" t="str">
        <f>IF($B190="","",IFERROR(AB190+AC190+AD190,"n.b."))</f>
        <v/>
      </c>
      <c r="BF190" s="124" t="str">
        <f>IF($B190="","",IFERROR(AE190+AF190+AG190,"n.b."))</f>
        <v/>
      </c>
      <c r="BG190" s="124" t="str">
        <f>IF($B190="","",IFERROR(AH190+AI190+AJ190,"n.b."))</f>
        <v/>
      </c>
      <c r="BH190" s="124" t="str">
        <f>IF($B190="","",IFERROR(AK190+AL190+AM190,"n.b."))</f>
        <v/>
      </c>
      <c r="BI190" s="124" t="str">
        <f>IF($B190="","",IFERROR(SUMIF($AB$5:$AM$5,"&lt;="&amp;P_PeilMaand,AB190:AM190),"n.b."))</f>
        <v/>
      </c>
      <c r="BJ190" s="124" t="str">
        <f>IF($B190="","",IFERROR(SUM(AB190:AM190)-BI190,"n.b."))</f>
        <v/>
      </c>
      <c r="BK190" s="124" t="str">
        <f>IF($B190="","",IFERROR(IF(ABS(Q190-(T190+SUM(AB190:AM190)+AS190+AU190))&gt;P_Tol,1,0),1))</f>
        <v/>
      </c>
      <c r="BL190" s="124" t="str">
        <f>IF($B190="","",IFERROR(IF(ABS(AA190-(Q190-Z190))&gt;P_Tol,1,0),1))</f>
        <v/>
      </c>
      <c r="BM190" s="124" t="str">
        <f>IF($B190="","",IFERROR(IF(ABS(Z190-(T190+W190))&gt;P_Tol,1,0),1))</f>
        <v/>
      </c>
      <c r="BN190" s="124" t="str">
        <f>IF($B190="","",IFERROR(IF(ABS(W190-BI190)&gt;P_Tol,1,0),1))</f>
        <v/>
      </c>
      <c r="BO190" s="124" t="str">
        <f>IF($B190="","",IFERROR(IF(OR(ABS(R190+S190-T190)&gt;P_Tol,ABS(U190+V190-W190)&gt;P_Tol,ABS(X190+Y190-Z190)&gt;P_Tol),1,0),1))</f>
        <v/>
      </c>
      <c r="BP190" s="124" t="str">
        <f>IF($B190="","",IFERROR(IF(OR(ABS(AR190-SUM(AB190:AM190))&gt;P_Tol,ABS(AS190-(AN190+AO190+AP190+AQ190))&gt;P_Tol),1,0),1))</f>
        <v/>
      </c>
      <c r="BQ190" s="124" t="str">
        <f>IF($B190="","",IFERROR(IF(ABS(AT190)+ABS(AV190)+ABS(AW190)+ABS(AX190)+ABS(AY190)+ABS(AZ190)+ABS(BA190)+ABS(BB190)&gt;0,1,0),1))</f>
        <v/>
      </c>
      <c r="BR190" s="124" t="str">
        <f>IF($B190="","",COUNTIF(STG_ZPMW03!$B$6:$B$505,B190))</f>
        <v/>
      </c>
      <c r="BS190" s="124" t="str">
        <f>IF($B190="","",COUNTIF($B$6:$B$505,B190))</f>
        <v/>
      </c>
      <c r="BT190" s="124" t="str">
        <f>IF($B190="","",IF(BR190=0,0,IF(INDEX(STG_ZPMW03!$I$6:$I$505,MATCH(B190,STG_ZPMW03!$B$6:$B$505,0))=J190&amp;"",0,1)))</f>
        <v/>
      </c>
      <c r="BU190" s="124" t="str">
        <f>IF($B190="","",IFERROR(IF(ABS(INDEX(Mapping!$D$5:$D$104,MATCH(B190,Mapping!$A$5:$A$104,0))-Q190)&gt;P_Tol,1,0),0))</f>
        <v/>
      </c>
      <c r="BV190" s="124" t="str">
        <f>IF($B190="","",IFERROR(IF(AND(INDEX(Mapping!$G$5:$G$104,MATCH(B190,Mapping!$A$5:$A$104,0))="Nee",ABS(Q190)+ABS(Z190)+ABS(AR190)&gt;0),1,0),0))</f>
        <v/>
      </c>
      <c r="BW190" s="124" t="str">
        <f>IF($B190="","",IF(COUNTIF(Mapping!$A$5:$A$104,B190)&gt;0,1,0))</f>
        <v/>
      </c>
      <c r="BX190" s="124" t="str">
        <f>IF($B190="","",IF(BR190=0,COUNTIF($BR$6:BR190,0),""))</f>
        <v/>
      </c>
    </row>
    <row r="191">
      <c r="A191" s="15" t="n">
        <v>187</v>
      </c>
      <c r="B191" t="str">
        <f>IF(B$3=0,"",IF(INDEX(SRC_Woningetalage!$A$1:$ZZ$501,$A191,B$3)&amp;""="","",INDEX(SRC_Woningetalage!$A$1:$ZZ$501,$A191,B$3)&amp;""))</f>
        <v/>
      </c>
      <c r="C191" t="str">
        <f>IF($B191="","",IF(C$3=0,"n.b.",INDEX(SRC_Woningetalage!$A$1:$ZZ$501,$A191,C$3)))</f>
        <v/>
      </c>
      <c r="D191" t="str">
        <f>IF($B191="","",IF(D$3=0,"n.b.",INDEX(SRC_Woningetalage!$A$1:$ZZ$501,$A191,D$3)))</f>
        <v/>
      </c>
      <c r="E191" t="str">
        <f>IF($B191="","",IF(E$3=0,"n.b.",INDEX(SRC_Woningetalage!$A$1:$ZZ$501,$A191,E$3)))</f>
        <v/>
      </c>
      <c r="F191" t="str">
        <f>IF($B191="","",IF(F$3=0,"n.b.",INDEX(SRC_Woningetalage!$A$1:$ZZ$501,$A191,F$3)))</f>
        <v/>
      </c>
      <c r="G191" t="str">
        <f>IF($B191="","",IF(G$3=0,"n.b.",INDEX(SRC_Woningetalage!$A$1:$ZZ$501,$A191,G$3)))</f>
        <v/>
      </c>
      <c r="H191" t="str">
        <f>IF($B191="","",IF(H$3=0,"n.b.",INDEX(SRC_Woningetalage!$A$1:$ZZ$501,$A191,H$3)))</f>
        <v/>
      </c>
      <c r="I191" t="str">
        <f>IF($B191="","",IF(I$3=0,"n.b.",INDEX(SRC_Woningetalage!$A$1:$ZZ$501,$A191,I$3)))</f>
        <v/>
      </c>
      <c r="J191" t="str">
        <f>IF($B191="","",IF(J$3=0,"n.b.",INDEX(SRC_Woningetalage!$A$1:$ZZ$501,$A191,J$3)))</f>
        <v/>
      </c>
      <c r="K191" t="str">
        <f>IF($B191="","",IF(K$3=0,"n.b.",INDEX(SRC_Woningetalage!$A$1:$ZZ$501,$A191,K$3)))</f>
        <v/>
      </c>
      <c r="L191" t="str">
        <f>IF($B191="","",IF(L$3=0,"n.b.",INDEX(SRC_Woningetalage!$A$1:$ZZ$501,$A191,L$3)))</f>
        <v/>
      </c>
      <c r="M191" t="str">
        <f>IF($B191="","",IF(M$3=0,"n.b.",INDEX(SRC_Woningetalage!$A$1:$ZZ$501,$A191,M$3)))</f>
        <v/>
      </c>
      <c r="N191" t="str">
        <f>IF($B191="","",IF(N$3=0,"n.b.",INDEX(SRC_Woningetalage!$A$1:$ZZ$501,$A191,N$3)))</f>
        <v/>
      </c>
      <c r="O191" t="str">
        <f>IF($B191="","",IF(O$3=0,"n.b.",INDEX(SRC_Woningetalage!$A$1:$ZZ$501,$A191,O$3)))</f>
        <v/>
      </c>
      <c r="P191" t="str">
        <f>IF($B191="","",IF(P$3=0,"n.b.",INDEX(SRC_Woningetalage!$A$1:$ZZ$501,$A191,P$3)))</f>
        <v/>
      </c>
      <c r="Q191" s="124" t="str">
        <f>IF($B191="","",IF(Q$3=0,"n.b.",INDEX(SRC_Woningetalage!$A$1:$ZZ$501,$A191,Q$3)))</f>
        <v/>
      </c>
      <c r="R191" s="124" t="str">
        <f>IF($B191="","",IF(R$3=0,"n.b.",INDEX(SRC_Woningetalage!$A$1:$ZZ$501,$A191,R$3)))</f>
        <v/>
      </c>
      <c r="S191" s="124" t="str">
        <f>IF($B191="","",IF(S$3=0,"n.b.",INDEX(SRC_Woningetalage!$A$1:$ZZ$501,$A191,S$3)))</f>
        <v/>
      </c>
      <c r="T191" s="124" t="str">
        <f>IF($B191="","",IF(T$3=0,"n.b.",INDEX(SRC_Woningetalage!$A$1:$ZZ$501,$A191,T$3)))</f>
        <v/>
      </c>
      <c r="U191" s="124" t="str">
        <f>IF($B191="","",IF(U$3=0,"n.b.",INDEX(SRC_Woningetalage!$A$1:$ZZ$501,$A191,U$3)))</f>
        <v/>
      </c>
      <c r="V191" s="124" t="str">
        <f>IF($B191="","",IF(V$3=0,"n.b.",INDEX(SRC_Woningetalage!$A$1:$ZZ$501,$A191,V$3)))</f>
        <v/>
      </c>
      <c r="W191" s="124" t="str">
        <f>IF($B191="","",IF(W$3=0,"n.b.",INDEX(SRC_Woningetalage!$A$1:$ZZ$501,$A191,W$3)))</f>
        <v/>
      </c>
      <c r="X191" s="124" t="str">
        <f>IF($B191="","",IF(X$3=0,"n.b.",INDEX(SRC_Woningetalage!$A$1:$ZZ$501,$A191,X$3)))</f>
        <v/>
      </c>
      <c r="Y191" s="124" t="str">
        <f>IF($B191="","",IF(Y$3=0,"n.b.",INDEX(SRC_Woningetalage!$A$1:$ZZ$501,$A191,Y$3)))</f>
        <v/>
      </c>
      <c r="Z191" s="124" t="str">
        <f>IF($B191="","",IF(Z$3=0,"n.b.",INDEX(SRC_Woningetalage!$A$1:$ZZ$501,$A191,Z$3)))</f>
        <v/>
      </c>
      <c r="AA191" s="124" t="str">
        <f>IF($B191="","",IF(AA$3=0,"n.b.",INDEX(SRC_Woningetalage!$A$1:$ZZ$501,$A191,AA$3)))</f>
        <v/>
      </c>
      <c r="AB191" s="124" t="str">
        <f>IF($B191="","",IF(AB$3=0,"n.b.",INDEX(SRC_Woningetalage!$A$1:$ZZ$501,$A191,AB$3)))</f>
        <v/>
      </c>
      <c r="AC191" s="124" t="str">
        <f>IF($B191="","",IF(AC$3=0,"n.b.",INDEX(SRC_Woningetalage!$A$1:$ZZ$501,$A191,AC$3)))</f>
        <v/>
      </c>
      <c r="AD191" s="124" t="str">
        <f>IF($B191="","",IF(AD$3=0,"n.b.",INDEX(SRC_Woningetalage!$A$1:$ZZ$501,$A191,AD$3)))</f>
        <v/>
      </c>
      <c r="AE191" s="124" t="str">
        <f>IF($B191="","",IF(AE$3=0,"n.b.",INDEX(SRC_Woningetalage!$A$1:$ZZ$501,$A191,AE$3)))</f>
        <v/>
      </c>
      <c r="AF191" s="124" t="str">
        <f>IF($B191="","",IF(AF$3=0,"n.b.",INDEX(SRC_Woningetalage!$A$1:$ZZ$501,$A191,AF$3)))</f>
        <v/>
      </c>
      <c r="AG191" s="124" t="str">
        <f>IF($B191="","",IF(AG$3=0,"n.b.",INDEX(SRC_Woningetalage!$A$1:$ZZ$501,$A191,AG$3)))</f>
        <v/>
      </c>
      <c r="AH191" s="124" t="str">
        <f>IF($B191="","",IF(AH$3=0,"n.b.",INDEX(SRC_Woningetalage!$A$1:$ZZ$501,$A191,AH$3)))</f>
        <v/>
      </c>
      <c r="AI191" s="124" t="str">
        <f>IF($B191="","",IF(AI$3=0,"n.b.",INDEX(SRC_Woningetalage!$A$1:$ZZ$501,$A191,AI$3)))</f>
        <v/>
      </c>
      <c r="AJ191" s="124" t="str">
        <f>IF($B191="","",IF(AJ$3=0,"n.b.",INDEX(SRC_Woningetalage!$A$1:$ZZ$501,$A191,AJ$3)))</f>
        <v/>
      </c>
      <c r="AK191" s="124" t="str">
        <f>IF($B191="","",IF(AK$3=0,"n.b.",INDEX(SRC_Woningetalage!$A$1:$ZZ$501,$A191,AK$3)))</f>
        <v/>
      </c>
      <c r="AL191" s="124" t="str">
        <f>IF($B191="","",IF(AL$3=0,"n.b.",INDEX(SRC_Woningetalage!$A$1:$ZZ$501,$A191,AL$3)))</f>
        <v/>
      </c>
      <c r="AM191" s="124" t="str">
        <f>IF($B191="","",IF(AM$3=0,"n.b.",INDEX(SRC_Woningetalage!$A$1:$ZZ$501,$A191,AM$3)))</f>
        <v/>
      </c>
      <c r="AN191" s="124" t="str">
        <f>IF($B191="","",IF(AN$3=0,"n.b.",INDEX(SRC_Woningetalage!$A$1:$ZZ$501,$A191,AN$3)))</f>
        <v/>
      </c>
      <c r="AO191" s="124" t="str">
        <f>IF($B191="","",IF(AO$3=0,"n.b.",INDEX(SRC_Woningetalage!$A$1:$ZZ$501,$A191,AO$3)))</f>
        <v/>
      </c>
      <c r="AP191" s="124" t="str">
        <f>IF($B191="","",IF(AP$3=0,"n.b.",INDEX(SRC_Woningetalage!$A$1:$ZZ$501,$A191,AP$3)))</f>
        <v/>
      </c>
      <c r="AQ191" s="124" t="str">
        <f>IF($B191="","",IF(AQ$3=0,"n.b.",INDEX(SRC_Woningetalage!$A$1:$ZZ$501,$A191,AQ$3)))</f>
        <v/>
      </c>
      <c r="AR191" s="124" t="str">
        <f>IF($B191="","",IF(AR$3=0,"n.b.",INDEX(SRC_Woningetalage!$A$1:$ZZ$501,$A191,AR$3)))</f>
        <v/>
      </c>
      <c r="AS191" s="124" t="str">
        <f>IF($B191="","",IF(AS$3=0,"n.b.",INDEX(SRC_Woningetalage!$A$1:$ZZ$501,$A191,AS$3)))</f>
        <v/>
      </c>
      <c r="AT191" s="124" t="str">
        <f>IF($B191="","",IF(AT$3=0,"n.b.",INDEX(SRC_Woningetalage!$A$1:$ZZ$501,$A191,AT$3)))</f>
        <v/>
      </c>
      <c r="AU191" s="124" t="str">
        <f>IF($B191="","",IF(AU$3=0,"n.b.",INDEX(SRC_Woningetalage!$A$1:$ZZ$501,$A191,AU$3)))</f>
        <v/>
      </c>
      <c r="AV191" s="124" t="str">
        <f>IF($B191="","",IF(AV$3=0,"n.b.",INDEX(SRC_Woningetalage!$A$1:$ZZ$501,$A191,AV$3)))</f>
        <v/>
      </c>
      <c r="AW191" s="124" t="str">
        <f>IF($B191="","",IF(AW$3=0,"n.b.",INDEX(SRC_Woningetalage!$A$1:$ZZ$501,$A191,AW$3)))</f>
        <v/>
      </c>
      <c r="AX191" s="124" t="str">
        <f>IF($B191="","",IF(AX$3=0,"n.b.",INDEX(SRC_Woningetalage!$A$1:$ZZ$501,$A191,AX$3)))</f>
        <v/>
      </c>
      <c r="AY191" s="124" t="str">
        <f>IF($B191="","",IF(AY$3=0,"n.b.",INDEX(SRC_Woningetalage!$A$1:$ZZ$501,$A191,AY$3)))</f>
        <v/>
      </c>
      <c r="AZ191" s="124" t="str">
        <f>IF($B191="","",IF(AZ$3=0,"n.b.",INDEX(SRC_Woningetalage!$A$1:$ZZ$501,$A191,AZ$3)))</f>
        <v/>
      </c>
      <c r="BA191" s="124" t="str">
        <f>IF($B191="","",IF(BA$3=0,"n.b.",INDEX(SRC_Woningetalage!$A$1:$ZZ$501,$A191,BA$3)))</f>
        <v/>
      </c>
      <c r="BB191" s="124" t="str">
        <f>IF($B191="","",IF(BB$3=0,"n.b.",INDEX(SRC_Woningetalage!$A$1:$ZZ$501,$A191,BB$3)))</f>
        <v/>
      </c>
      <c r="BC191" s="124" t="str">
        <f>IF($B191="","",IFERROR(_xlfn.NUMBERVALUE(E191&amp;"",",","."),"n.b."))</f>
        <v/>
      </c>
      <c r="BD191" s="124" t="str">
        <f>IF($B191="","",IFERROR(_xlfn.NUMBERVALUE(M191&amp;"",",","."),"n.b."))</f>
        <v/>
      </c>
      <c r="BE191" s="124" t="str">
        <f>IF($B191="","",IFERROR(AB191+AC191+AD191,"n.b."))</f>
        <v/>
      </c>
      <c r="BF191" s="124" t="str">
        <f>IF($B191="","",IFERROR(AE191+AF191+AG191,"n.b."))</f>
        <v/>
      </c>
      <c r="BG191" s="124" t="str">
        <f>IF($B191="","",IFERROR(AH191+AI191+AJ191,"n.b."))</f>
        <v/>
      </c>
      <c r="BH191" s="124" t="str">
        <f>IF($B191="","",IFERROR(AK191+AL191+AM191,"n.b."))</f>
        <v/>
      </c>
      <c r="BI191" s="124" t="str">
        <f>IF($B191="","",IFERROR(SUMIF($AB$5:$AM$5,"&lt;="&amp;P_PeilMaand,AB191:AM191),"n.b."))</f>
        <v/>
      </c>
      <c r="BJ191" s="124" t="str">
        <f>IF($B191="","",IFERROR(SUM(AB191:AM191)-BI191,"n.b."))</f>
        <v/>
      </c>
      <c r="BK191" s="124" t="str">
        <f>IF($B191="","",IFERROR(IF(ABS(Q191-(T191+SUM(AB191:AM191)+AS191+AU191))&gt;P_Tol,1,0),1))</f>
        <v/>
      </c>
      <c r="BL191" s="124" t="str">
        <f>IF($B191="","",IFERROR(IF(ABS(AA191-(Q191-Z191))&gt;P_Tol,1,0),1))</f>
        <v/>
      </c>
      <c r="BM191" s="124" t="str">
        <f>IF($B191="","",IFERROR(IF(ABS(Z191-(T191+W191))&gt;P_Tol,1,0),1))</f>
        <v/>
      </c>
      <c r="BN191" s="124" t="str">
        <f>IF($B191="","",IFERROR(IF(ABS(W191-BI191)&gt;P_Tol,1,0),1))</f>
        <v/>
      </c>
      <c r="BO191" s="124" t="str">
        <f>IF($B191="","",IFERROR(IF(OR(ABS(R191+S191-T191)&gt;P_Tol,ABS(U191+V191-W191)&gt;P_Tol,ABS(X191+Y191-Z191)&gt;P_Tol),1,0),1))</f>
        <v/>
      </c>
      <c r="BP191" s="124" t="str">
        <f>IF($B191="","",IFERROR(IF(OR(ABS(AR191-SUM(AB191:AM191))&gt;P_Tol,ABS(AS191-(AN191+AO191+AP191+AQ191))&gt;P_Tol),1,0),1))</f>
        <v/>
      </c>
      <c r="BQ191" s="124" t="str">
        <f>IF($B191="","",IFERROR(IF(ABS(AT191)+ABS(AV191)+ABS(AW191)+ABS(AX191)+ABS(AY191)+ABS(AZ191)+ABS(BA191)+ABS(BB191)&gt;0,1,0),1))</f>
        <v/>
      </c>
      <c r="BR191" s="124" t="str">
        <f>IF($B191="","",COUNTIF(STG_ZPMW03!$B$6:$B$505,B191))</f>
        <v/>
      </c>
      <c r="BS191" s="124" t="str">
        <f>IF($B191="","",COUNTIF($B$6:$B$505,B191))</f>
        <v/>
      </c>
      <c r="BT191" s="124" t="str">
        <f>IF($B191="","",IF(BR191=0,0,IF(INDEX(STG_ZPMW03!$I$6:$I$505,MATCH(B191,STG_ZPMW03!$B$6:$B$505,0))=J191&amp;"",0,1)))</f>
        <v/>
      </c>
      <c r="BU191" s="124" t="str">
        <f>IF($B191="","",IFERROR(IF(ABS(INDEX(Mapping!$D$5:$D$104,MATCH(B191,Mapping!$A$5:$A$104,0))-Q191)&gt;P_Tol,1,0),0))</f>
        <v/>
      </c>
      <c r="BV191" s="124" t="str">
        <f>IF($B191="","",IFERROR(IF(AND(INDEX(Mapping!$G$5:$G$104,MATCH(B191,Mapping!$A$5:$A$104,0))="Nee",ABS(Q191)+ABS(Z191)+ABS(AR191)&gt;0),1,0),0))</f>
        <v/>
      </c>
      <c r="BW191" s="124" t="str">
        <f>IF($B191="","",IF(COUNTIF(Mapping!$A$5:$A$104,B191)&gt;0,1,0))</f>
        <v/>
      </c>
      <c r="BX191" s="124" t="str">
        <f>IF($B191="","",IF(BR191=0,COUNTIF($BR$6:BR191,0),""))</f>
        <v/>
      </c>
    </row>
    <row r="192">
      <c r="A192" s="15" t="n">
        <v>188</v>
      </c>
      <c r="B192" t="str">
        <f>IF(B$3=0,"",IF(INDEX(SRC_Woningetalage!$A$1:$ZZ$501,$A192,B$3)&amp;""="","",INDEX(SRC_Woningetalage!$A$1:$ZZ$501,$A192,B$3)&amp;""))</f>
        <v/>
      </c>
      <c r="C192" t="str">
        <f>IF($B192="","",IF(C$3=0,"n.b.",INDEX(SRC_Woningetalage!$A$1:$ZZ$501,$A192,C$3)))</f>
        <v/>
      </c>
      <c r="D192" t="str">
        <f>IF($B192="","",IF(D$3=0,"n.b.",INDEX(SRC_Woningetalage!$A$1:$ZZ$501,$A192,D$3)))</f>
        <v/>
      </c>
      <c r="E192" t="str">
        <f>IF($B192="","",IF(E$3=0,"n.b.",INDEX(SRC_Woningetalage!$A$1:$ZZ$501,$A192,E$3)))</f>
        <v/>
      </c>
      <c r="F192" t="str">
        <f>IF($B192="","",IF(F$3=0,"n.b.",INDEX(SRC_Woningetalage!$A$1:$ZZ$501,$A192,F$3)))</f>
        <v/>
      </c>
      <c r="G192" t="str">
        <f>IF($B192="","",IF(G$3=0,"n.b.",INDEX(SRC_Woningetalage!$A$1:$ZZ$501,$A192,G$3)))</f>
        <v/>
      </c>
      <c r="H192" t="str">
        <f>IF($B192="","",IF(H$3=0,"n.b.",INDEX(SRC_Woningetalage!$A$1:$ZZ$501,$A192,H$3)))</f>
        <v/>
      </c>
      <c r="I192" t="str">
        <f>IF($B192="","",IF(I$3=0,"n.b.",INDEX(SRC_Woningetalage!$A$1:$ZZ$501,$A192,I$3)))</f>
        <v/>
      </c>
      <c r="J192" t="str">
        <f>IF($B192="","",IF(J$3=0,"n.b.",INDEX(SRC_Woningetalage!$A$1:$ZZ$501,$A192,J$3)))</f>
        <v/>
      </c>
      <c r="K192" t="str">
        <f>IF($B192="","",IF(K$3=0,"n.b.",INDEX(SRC_Woningetalage!$A$1:$ZZ$501,$A192,K$3)))</f>
        <v/>
      </c>
      <c r="L192" t="str">
        <f>IF($B192="","",IF(L$3=0,"n.b.",INDEX(SRC_Woningetalage!$A$1:$ZZ$501,$A192,L$3)))</f>
        <v/>
      </c>
      <c r="M192" t="str">
        <f>IF($B192="","",IF(M$3=0,"n.b.",INDEX(SRC_Woningetalage!$A$1:$ZZ$501,$A192,M$3)))</f>
        <v/>
      </c>
      <c r="N192" t="str">
        <f>IF($B192="","",IF(N$3=0,"n.b.",INDEX(SRC_Woningetalage!$A$1:$ZZ$501,$A192,N$3)))</f>
        <v/>
      </c>
      <c r="O192" t="str">
        <f>IF($B192="","",IF(O$3=0,"n.b.",INDEX(SRC_Woningetalage!$A$1:$ZZ$501,$A192,O$3)))</f>
        <v/>
      </c>
      <c r="P192" t="str">
        <f>IF($B192="","",IF(P$3=0,"n.b.",INDEX(SRC_Woningetalage!$A$1:$ZZ$501,$A192,P$3)))</f>
        <v/>
      </c>
      <c r="Q192" s="124" t="str">
        <f>IF($B192="","",IF(Q$3=0,"n.b.",INDEX(SRC_Woningetalage!$A$1:$ZZ$501,$A192,Q$3)))</f>
        <v/>
      </c>
      <c r="R192" s="124" t="str">
        <f>IF($B192="","",IF(R$3=0,"n.b.",INDEX(SRC_Woningetalage!$A$1:$ZZ$501,$A192,R$3)))</f>
        <v/>
      </c>
      <c r="S192" s="124" t="str">
        <f>IF($B192="","",IF(S$3=0,"n.b.",INDEX(SRC_Woningetalage!$A$1:$ZZ$501,$A192,S$3)))</f>
        <v/>
      </c>
      <c r="T192" s="124" t="str">
        <f>IF($B192="","",IF(T$3=0,"n.b.",INDEX(SRC_Woningetalage!$A$1:$ZZ$501,$A192,T$3)))</f>
        <v/>
      </c>
      <c r="U192" s="124" t="str">
        <f>IF($B192="","",IF(U$3=0,"n.b.",INDEX(SRC_Woningetalage!$A$1:$ZZ$501,$A192,U$3)))</f>
        <v/>
      </c>
      <c r="V192" s="124" t="str">
        <f>IF($B192="","",IF(V$3=0,"n.b.",INDEX(SRC_Woningetalage!$A$1:$ZZ$501,$A192,V$3)))</f>
        <v/>
      </c>
      <c r="W192" s="124" t="str">
        <f>IF($B192="","",IF(W$3=0,"n.b.",INDEX(SRC_Woningetalage!$A$1:$ZZ$501,$A192,W$3)))</f>
        <v/>
      </c>
      <c r="X192" s="124" t="str">
        <f>IF($B192="","",IF(X$3=0,"n.b.",INDEX(SRC_Woningetalage!$A$1:$ZZ$501,$A192,X$3)))</f>
        <v/>
      </c>
      <c r="Y192" s="124" t="str">
        <f>IF($B192="","",IF(Y$3=0,"n.b.",INDEX(SRC_Woningetalage!$A$1:$ZZ$501,$A192,Y$3)))</f>
        <v/>
      </c>
      <c r="Z192" s="124" t="str">
        <f>IF($B192="","",IF(Z$3=0,"n.b.",INDEX(SRC_Woningetalage!$A$1:$ZZ$501,$A192,Z$3)))</f>
        <v/>
      </c>
      <c r="AA192" s="124" t="str">
        <f>IF($B192="","",IF(AA$3=0,"n.b.",INDEX(SRC_Woningetalage!$A$1:$ZZ$501,$A192,AA$3)))</f>
        <v/>
      </c>
      <c r="AB192" s="124" t="str">
        <f>IF($B192="","",IF(AB$3=0,"n.b.",INDEX(SRC_Woningetalage!$A$1:$ZZ$501,$A192,AB$3)))</f>
        <v/>
      </c>
      <c r="AC192" s="124" t="str">
        <f>IF($B192="","",IF(AC$3=0,"n.b.",INDEX(SRC_Woningetalage!$A$1:$ZZ$501,$A192,AC$3)))</f>
        <v/>
      </c>
      <c r="AD192" s="124" t="str">
        <f>IF($B192="","",IF(AD$3=0,"n.b.",INDEX(SRC_Woningetalage!$A$1:$ZZ$501,$A192,AD$3)))</f>
        <v/>
      </c>
      <c r="AE192" s="124" t="str">
        <f>IF($B192="","",IF(AE$3=0,"n.b.",INDEX(SRC_Woningetalage!$A$1:$ZZ$501,$A192,AE$3)))</f>
        <v/>
      </c>
      <c r="AF192" s="124" t="str">
        <f>IF($B192="","",IF(AF$3=0,"n.b.",INDEX(SRC_Woningetalage!$A$1:$ZZ$501,$A192,AF$3)))</f>
        <v/>
      </c>
      <c r="AG192" s="124" t="str">
        <f>IF($B192="","",IF(AG$3=0,"n.b.",INDEX(SRC_Woningetalage!$A$1:$ZZ$501,$A192,AG$3)))</f>
        <v/>
      </c>
      <c r="AH192" s="124" t="str">
        <f>IF($B192="","",IF(AH$3=0,"n.b.",INDEX(SRC_Woningetalage!$A$1:$ZZ$501,$A192,AH$3)))</f>
        <v/>
      </c>
      <c r="AI192" s="124" t="str">
        <f>IF($B192="","",IF(AI$3=0,"n.b.",INDEX(SRC_Woningetalage!$A$1:$ZZ$501,$A192,AI$3)))</f>
        <v/>
      </c>
      <c r="AJ192" s="124" t="str">
        <f>IF($B192="","",IF(AJ$3=0,"n.b.",INDEX(SRC_Woningetalage!$A$1:$ZZ$501,$A192,AJ$3)))</f>
        <v/>
      </c>
      <c r="AK192" s="124" t="str">
        <f>IF($B192="","",IF(AK$3=0,"n.b.",INDEX(SRC_Woningetalage!$A$1:$ZZ$501,$A192,AK$3)))</f>
        <v/>
      </c>
      <c r="AL192" s="124" t="str">
        <f>IF($B192="","",IF(AL$3=0,"n.b.",INDEX(SRC_Woningetalage!$A$1:$ZZ$501,$A192,AL$3)))</f>
        <v/>
      </c>
      <c r="AM192" s="124" t="str">
        <f>IF($B192="","",IF(AM$3=0,"n.b.",INDEX(SRC_Woningetalage!$A$1:$ZZ$501,$A192,AM$3)))</f>
        <v/>
      </c>
      <c r="AN192" s="124" t="str">
        <f>IF($B192="","",IF(AN$3=0,"n.b.",INDEX(SRC_Woningetalage!$A$1:$ZZ$501,$A192,AN$3)))</f>
        <v/>
      </c>
      <c r="AO192" s="124" t="str">
        <f>IF($B192="","",IF(AO$3=0,"n.b.",INDEX(SRC_Woningetalage!$A$1:$ZZ$501,$A192,AO$3)))</f>
        <v/>
      </c>
      <c r="AP192" s="124" t="str">
        <f>IF($B192="","",IF(AP$3=0,"n.b.",INDEX(SRC_Woningetalage!$A$1:$ZZ$501,$A192,AP$3)))</f>
        <v/>
      </c>
      <c r="AQ192" s="124" t="str">
        <f>IF($B192="","",IF(AQ$3=0,"n.b.",INDEX(SRC_Woningetalage!$A$1:$ZZ$501,$A192,AQ$3)))</f>
        <v/>
      </c>
      <c r="AR192" s="124" t="str">
        <f>IF($B192="","",IF(AR$3=0,"n.b.",INDEX(SRC_Woningetalage!$A$1:$ZZ$501,$A192,AR$3)))</f>
        <v/>
      </c>
      <c r="AS192" s="124" t="str">
        <f>IF($B192="","",IF(AS$3=0,"n.b.",INDEX(SRC_Woningetalage!$A$1:$ZZ$501,$A192,AS$3)))</f>
        <v/>
      </c>
      <c r="AT192" s="124" t="str">
        <f>IF($B192="","",IF(AT$3=0,"n.b.",INDEX(SRC_Woningetalage!$A$1:$ZZ$501,$A192,AT$3)))</f>
        <v/>
      </c>
      <c r="AU192" s="124" t="str">
        <f>IF($B192="","",IF(AU$3=0,"n.b.",INDEX(SRC_Woningetalage!$A$1:$ZZ$501,$A192,AU$3)))</f>
        <v/>
      </c>
      <c r="AV192" s="124" t="str">
        <f>IF($B192="","",IF(AV$3=0,"n.b.",INDEX(SRC_Woningetalage!$A$1:$ZZ$501,$A192,AV$3)))</f>
        <v/>
      </c>
      <c r="AW192" s="124" t="str">
        <f>IF($B192="","",IF(AW$3=0,"n.b.",INDEX(SRC_Woningetalage!$A$1:$ZZ$501,$A192,AW$3)))</f>
        <v/>
      </c>
      <c r="AX192" s="124" t="str">
        <f>IF($B192="","",IF(AX$3=0,"n.b.",INDEX(SRC_Woningetalage!$A$1:$ZZ$501,$A192,AX$3)))</f>
        <v/>
      </c>
      <c r="AY192" s="124" t="str">
        <f>IF($B192="","",IF(AY$3=0,"n.b.",INDEX(SRC_Woningetalage!$A$1:$ZZ$501,$A192,AY$3)))</f>
        <v/>
      </c>
      <c r="AZ192" s="124" t="str">
        <f>IF($B192="","",IF(AZ$3=0,"n.b.",INDEX(SRC_Woningetalage!$A$1:$ZZ$501,$A192,AZ$3)))</f>
        <v/>
      </c>
      <c r="BA192" s="124" t="str">
        <f>IF($B192="","",IF(BA$3=0,"n.b.",INDEX(SRC_Woningetalage!$A$1:$ZZ$501,$A192,BA$3)))</f>
        <v/>
      </c>
      <c r="BB192" s="124" t="str">
        <f>IF($B192="","",IF(BB$3=0,"n.b.",INDEX(SRC_Woningetalage!$A$1:$ZZ$501,$A192,BB$3)))</f>
        <v/>
      </c>
      <c r="BC192" s="124" t="str">
        <f>IF($B192="","",IFERROR(_xlfn.NUMBERVALUE(E192&amp;"",",","."),"n.b."))</f>
        <v/>
      </c>
      <c r="BD192" s="124" t="str">
        <f>IF($B192="","",IFERROR(_xlfn.NUMBERVALUE(M192&amp;"",",","."),"n.b."))</f>
        <v/>
      </c>
      <c r="BE192" s="124" t="str">
        <f>IF($B192="","",IFERROR(AB192+AC192+AD192,"n.b."))</f>
        <v/>
      </c>
      <c r="BF192" s="124" t="str">
        <f>IF($B192="","",IFERROR(AE192+AF192+AG192,"n.b."))</f>
        <v/>
      </c>
      <c r="BG192" s="124" t="str">
        <f>IF($B192="","",IFERROR(AH192+AI192+AJ192,"n.b."))</f>
        <v/>
      </c>
      <c r="BH192" s="124" t="str">
        <f>IF($B192="","",IFERROR(AK192+AL192+AM192,"n.b."))</f>
        <v/>
      </c>
      <c r="BI192" s="124" t="str">
        <f>IF($B192="","",IFERROR(SUMIF($AB$5:$AM$5,"&lt;="&amp;P_PeilMaand,AB192:AM192),"n.b."))</f>
        <v/>
      </c>
      <c r="BJ192" s="124" t="str">
        <f>IF($B192="","",IFERROR(SUM(AB192:AM192)-BI192,"n.b."))</f>
        <v/>
      </c>
      <c r="BK192" s="124" t="str">
        <f>IF($B192="","",IFERROR(IF(ABS(Q192-(T192+SUM(AB192:AM192)+AS192+AU192))&gt;P_Tol,1,0),1))</f>
        <v/>
      </c>
      <c r="BL192" s="124" t="str">
        <f>IF($B192="","",IFERROR(IF(ABS(AA192-(Q192-Z192))&gt;P_Tol,1,0),1))</f>
        <v/>
      </c>
      <c r="BM192" s="124" t="str">
        <f>IF($B192="","",IFERROR(IF(ABS(Z192-(T192+W192))&gt;P_Tol,1,0),1))</f>
        <v/>
      </c>
      <c r="BN192" s="124" t="str">
        <f>IF($B192="","",IFERROR(IF(ABS(W192-BI192)&gt;P_Tol,1,0),1))</f>
        <v/>
      </c>
      <c r="BO192" s="124" t="str">
        <f>IF($B192="","",IFERROR(IF(OR(ABS(R192+S192-T192)&gt;P_Tol,ABS(U192+V192-W192)&gt;P_Tol,ABS(X192+Y192-Z192)&gt;P_Tol),1,0),1))</f>
        <v/>
      </c>
      <c r="BP192" s="124" t="str">
        <f>IF($B192="","",IFERROR(IF(OR(ABS(AR192-SUM(AB192:AM192))&gt;P_Tol,ABS(AS192-(AN192+AO192+AP192+AQ192))&gt;P_Tol),1,0),1))</f>
        <v/>
      </c>
      <c r="BQ192" s="124" t="str">
        <f>IF($B192="","",IFERROR(IF(ABS(AT192)+ABS(AV192)+ABS(AW192)+ABS(AX192)+ABS(AY192)+ABS(AZ192)+ABS(BA192)+ABS(BB192)&gt;0,1,0),1))</f>
        <v/>
      </c>
      <c r="BR192" s="124" t="str">
        <f>IF($B192="","",COUNTIF(STG_ZPMW03!$B$6:$B$505,B192))</f>
        <v/>
      </c>
      <c r="BS192" s="124" t="str">
        <f>IF($B192="","",COUNTIF($B$6:$B$505,B192))</f>
        <v/>
      </c>
      <c r="BT192" s="124" t="str">
        <f>IF($B192="","",IF(BR192=0,0,IF(INDEX(STG_ZPMW03!$I$6:$I$505,MATCH(B192,STG_ZPMW03!$B$6:$B$505,0))=J192&amp;"",0,1)))</f>
        <v/>
      </c>
      <c r="BU192" s="124" t="str">
        <f>IF($B192="","",IFERROR(IF(ABS(INDEX(Mapping!$D$5:$D$104,MATCH(B192,Mapping!$A$5:$A$104,0))-Q192)&gt;P_Tol,1,0),0))</f>
        <v/>
      </c>
      <c r="BV192" s="124" t="str">
        <f>IF($B192="","",IFERROR(IF(AND(INDEX(Mapping!$G$5:$G$104,MATCH(B192,Mapping!$A$5:$A$104,0))="Nee",ABS(Q192)+ABS(Z192)+ABS(AR192)&gt;0),1,0),0))</f>
        <v/>
      </c>
      <c r="BW192" s="124" t="str">
        <f>IF($B192="","",IF(COUNTIF(Mapping!$A$5:$A$104,B192)&gt;0,1,0))</f>
        <v/>
      </c>
      <c r="BX192" s="124" t="str">
        <f>IF($B192="","",IF(BR192=0,COUNTIF($BR$6:BR192,0),""))</f>
        <v/>
      </c>
    </row>
    <row r="193">
      <c r="A193" s="15" t="n">
        <v>189</v>
      </c>
      <c r="B193" t="str">
        <f>IF(B$3=0,"",IF(INDEX(SRC_Woningetalage!$A$1:$ZZ$501,$A193,B$3)&amp;""="","",INDEX(SRC_Woningetalage!$A$1:$ZZ$501,$A193,B$3)&amp;""))</f>
        <v/>
      </c>
      <c r="C193" t="str">
        <f>IF($B193="","",IF(C$3=0,"n.b.",INDEX(SRC_Woningetalage!$A$1:$ZZ$501,$A193,C$3)))</f>
        <v/>
      </c>
      <c r="D193" t="str">
        <f>IF($B193="","",IF(D$3=0,"n.b.",INDEX(SRC_Woningetalage!$A$1:$ZZ$501,$A193,D$3)))</f>
        <v/>
      </c>
      <c r="E193" t="str">
        <f>IF($B193="","",IF(E$3=0,"n.b.",INDEX(SRC_Woningetalage!$A$1:$ZZ$501,$A193,E$3)))</f>
        <v/>
      </c>
      <c r="F193" t="str">
        <f>IF($B193="","",IF(F$3=0,"n.b.",INDEX(SRC_Woningetalage!$A$1:$ZZ$501,$A193,F$3)))</f>
        <v/>
      </c>
      <c r="G193" t="str">
        <f>IF($B193="","",IF(G$3=0,"n.b.",INDEX(SRC_Woningetalage!$A$1:$ZZ$501,$A193,G$3)))</f>
        <v/>
      </c>
      <c r="H193" t="str">
        <f>IF($B193="","",IF(H$3=0,"n.b.",INDEX(SRC_Woningetalage!$A$1:$ZZ$501,$A193,H$3)))</f>
        <v/>
      </c>
      <c r="I193" t="str">
        <f>IF($B193="","",IF(I$3=0,"n.b.",INDEX(SRC_Woningetalage!$A$1:$ZZ$501,$A193,I$3)))</f>
        <v/>
      </c>
      <c r="J193" t="str">
        <f>IF($B193="","",IF(J$3=0,"n.b.",INDEX(SRC_Woningetalage!$A$1:$ZZ$501,$A193,J$3)))</f>
        <v/>
      </c>
      <c r="K193" t="str">
        <f>IF($B193="","",IF(K$3=0,"n.b.",INDEX(SRC_Woningetalage!$A$1:$ZZ$501,$A193,K$3)))</f>
        <v/>
      </c>
      <c r="L193" t="str">
        <f>IF($B193="","",IF(L$3=0,"n.b.",INDEX(SRC_Woningetalage!$A$1:$ZZ$501,$A193,L$3)))</f>
        <v/>
      </c>
      <c r="M193" t="str">
        <f>IF($B193="","",IF(M$3=0,"n.b.",INDEX(SRC_Woningetalage!$A$1:$ZZ$501,$A193,M$3)))</f>
        <v/>
      </c>
      <c r="N193" t="str">
        <f>IF($B193="","",IF(N$3=0,"n.b.",INDEX(SRC_Woningetalage!$A$1:$ZZ$501,$A193,N$3)))</f>
        <v/>
      </c>
      <c r="O193" t="str">
        <f>IF($B193="","",IF(O$3=0,"n.b.",INDEX(SRC_Woningetalage!$A$1:$ZZ$501,$A193,O$3)))</f>
        <v/>
      </c>
      <c r="P193" t="str">
        <f>IF($B193="","",IF(P$3=0,"n.b.",INDEX(SRC_Woningetalage!$A$1:$ZZ$501,$A193,P$3)))</f>
        <v/>
      </c>
      <c r="Q193" s="124" t="str">
        <f>IF($B193="","",IF(Q$3=0,"n.b.",INDEX(SRC_Woningetalage!$A$1:$ZZ$501,$A193,Q$3)))</f>
        <v/>
      </c>
      <c r="R193" s="124" t="str">
        <f>IF($B193="","",IF(R$3=0,"n.b.",INDEX(SRC_Woningetalage!$A$1:$ZZ$501,$A193,R$3)))</f>
        <v/>
      </c>
      <c r="S193" s="124" t="str">
        <f>IF($B193="","",IF(S$3=0,"n.b.",INDEX(SRC_Woningetalage!$A$1:$ZZ$501,$A193,S$3)))</f>
        <v/>
      </c>
      <c r="T193" s="124" t="str">
        <f>IF($B193="","",IF(T$3=0,"n.b.",INDEX(SRC_Woningetalage!$A$1:$ZZ$501,$A193,T$3)))</f>
        <v/>
      </c>
      <c r="U193" s="124" t="str">
        <f>IF($B193="","",IF(U$3=0,"n.b.",INDEX(SRC_Woningetalage!$A$1:$ZZ$501,$A193,U$3)))</f>
        <v/>
      </c>
      <c r="V193" s="124" t="str">
        <f>IF($B193="","",IF(V$3=0,"n.b.",INDEX(SRC_Woningetalage!$A$1:$ZZ$501,$A193,V$3)))</f>
        <v/>
      </c>
      <c r="W193" s="124" t="str">
        <f>IF($B193="","",IF(W$3=0,"n.b.",INDEX(SRC_Woningetalage!$A$1:$ZZ$501,$A193,W$3)))</f>
        <v/>
      </c>
      <c r="X193" s="124" t="str">
        <f>IF($B193="","",IF(X$3=0,"n.b.",INDEX(SRC_Woningetalage!$A$1:$ZZ$501,$A193,X$3)))</f>
        <v/>
      </c>
      <c r="Y193" s="124" t="str">
        <f>IF($B193="","",IF(Y$3=0,"n.b.",INDEX(SRC_Woningetalage!$A$1:$ZZ$501,$A193,Y$3)))</f>
        <v/>
      </c>
      <c r="Z193" s="124" t="str">
        <f>IF($B193="","",IF(Z$3=0,"n.b.",INDEX(SRC_Woningetalage!$A$1:$ZZ$501,$A193,Z$3)))</f>
        <v/>
      </c>
      <c r="AA193" s="124" t="str">
        <f>IF($B193="","",IF(AA$3=0,"n.b.",INDEX(SRC_Woningetalage!$A$1:$ZZ$501,$A193,AA$3)))</f>
        <v/>
      </c>
      <c r="AB193" s="124" t="str">
        <f>IF($B193="","",IF(AB$3=0,"n.b.",INDEX(SRC_Woningetalage!$A$1:$ZZ$501,$A193,AB$3)))</f>
        <v/>
      </c>
      <c r="AC193" s="124" t="str">
        <f>IF($B193="","",IF(AC$3=0,"n.b.",INDEX(SRC_Woningetalage!$A$1:$ZZ$501,$A193,AC$3)))</f>
        <v/>
      </c>
      <c r="AD193" s="124" t="str">
        <f>IF($B193="","",IF(AD$3=0,"n.b.",INDEX(SRC_Woningetalage!$A$1:$ZZ$501,$A193,AD$3)))</f>
        <v/>
      </c>
      <c r="AE193" s="124" t="str">
        <f>IF($B193="","",IF(AE$3=0,"n.b.",INDEX(SRC_Woningetalage!$A$1:$ZZ$501,$A193,AE$3)))</f>
        <v/>
      </c>
      <c r="AF193" s="124" t="str">
        <f>IF($B193="","",IF(AF$3=0,"n.b.",INDEX(SRC_Woningetalage!$A$1:$ZZ$501,$A193,AF$3)))</f>
        <v/>
      </c>
      <c r="AG193" s="124" t="str">
        <f>IF($B193="","",IF(AG$3=0,"n.b.",INDEX(SRC_Woningetalage!$A$1:$ZZ$501,$A193,AG$3)))</f>
        <v/>
      </c>
      <c r="AH193" s="124" t="str">
        <f>IF($B193="","",IF(AH$3=0,"n.b.",INDEX(SRC_Woningetalage!$A$1:$ZZ$501,$A193,AH$3)))</f>
        <v/>
      </c>
      <c r="AI193" s="124" t="str">
        <f>IF($B193="","",IF(AI$3=0,"n.b.",INDEX(SRC_Woningetalage!$A$1:$ZZ$501,$A193,AI$3)))</f>
        <v/>
      </c>
      <c r="AJ193" s="124" t="str">
        <f>IF($B193="","",IF(AJ$3=0,"n.b.",INDEX(SRC_Woningetalage!$A$1:$ZZ$501,$A193,AJ$3)))</f>
        <v/>
      </c>
      <c r="AK193" s="124" t="str">
        <f>IF($B193="","",IF(AK$3=0,"n.b.",INDEX(SRC_Woningetalage!$A$1:$ZZ$501,$A193,AK$3)))</f>
        <v/>
      </c>
      <c r="AL193" s="124" t="str">
        <f>IF($B193="","",IF(AL$3=0,"n.b.",INDEX(SRC_Woningetalage!$A$1:$ZZ$501,$A193,AL$3)))</f>
        <v/>
      </c>
      <c r="AM193" s="124" t="str">
        <f>IF($B193="","",IF(AM$3=0,"n.b.",INDEX(SRC_Woningetalage!$A$1:$ZZ$501,$A193,AM$3)))</f>
        <v/>
      </c>
      <c r="AN193" s="124" t="str">
        <f>IF($B193="","",IF(AN$3=0,"n.b.",INDEX(SRC_Woningetalage!$A$1:$ZZ$501,$A193,AN$3)))</f>
        <v/>
      </c>
      <c r="AO193" s="124" t="str">
        <f>IF($B193="","",IF(AO$3=0,"n.b.",INDEX(SRC_Woningetalage!$A$1:$ZZ$501,$A193,AO$3)))</f>
        <v/>
      </c>
      <c r="AP193" s="124" t="str">
        <f>IF($B193="","",IF(AP$3=0,"n.b.",INDEX(SRC_Woningetalage!$A$1:$ZZ$501,$A193,AP$3)))</f>
        <v/>
      </c>
      <c r="AQ193" s="124" t="str">
        <f>IF($B193="","",IF(AQ$3=0,"n.b.",INDEX(SRC_Woningetalage!$A$1:$ZZ$501,$A193,AQ$3)))</f>
        <v/>
      </c>
      <c r="AR193" s="124" t="str">
        <f>IF($B193="","",IF(AR$3=0,"n.b.",INDEX(SRC_Woningetalage!$A$1:$ZZ$501,$A193,AR$3)))</f>
        <v/>
      </c>
      <c r="AS193" s="124" t="str">
        <f>IF($B193="","",IF(AS$3=0,"n.b.",INDEX(SRC_Woningetalage!$A$1:$ZZ$501,$A193,AS$3)))</f>
        <v/>
      </c>
      <c r="AT193" s="124" t="str">
        <f>IF($B193="","",IF(AT$3=0,"n.b.",INDEX(SRC_Woningetalage!$A$1:$ZZ$501,$A193,AT$3)))</f>
        <v/>
      </c>
      <c r="AU193" s="124" t="str">
        <f>IF($B193="","",IF(AU$3=0,"n.b.",INDEX(SRC_Woningetalage!$A$1:$ZZ$501,$A193,AU$3)))</f>
        <v/>
      </c>
      <c r="AV193" s="124" t="str">
        <f>IF($B193="","",IF(AV$3=0,"n.b.",INDEX(SRC_Woningetalage!$A$1:$ZZ$501,$A193,AV$3)))</f>
        <v/>
      </c>
      <c r="AW193" s="124" t="str">
        <f>IF($B193="","",IF(AW$3=0,"n.b.",INDEX(SRC_Woningetalage!$A$1:$ZZ$501,$A193,AW$3)))</f>
        <v/>
      </c>
      <c r="AX193" s="124" t="str">
        <f>IF($B193="","",IF(AX$3=0,"n.b.",INDEX(SRC_Woningetalage!$A$1:$ZZ$501,$A193,AX$3)))</f>
        <v/>
      </c>
      <c r="AY193" s="124" t="str">
        <f>IF($B193="","",IF(AY$3=0,"n.b.",INDEX(SRC_Woningetalage!$A$1:$ZZ$501,$A193,AY$3)))</f>
        <v/>
      </c>
      <c r="AZ193" s="124" t="str">
        <f>IF($B193="","",IF(AZ$3=0,"n.b.",INDEX(SRC_Woningetalage!$A$1:$ZZ$501,$A193,AZ$3)))</f>
        <v/>
      </c>
      <c r="BA193" s="124" t="str">
        <f>IF($B193="","",IF(BA$3=0,"n.b.",INDEX(SRC_Woningetalage!$A$1:$ZZ$501,$A193,BA$3)))</f>
        <v/>
      </c>
      <c r="BB193" s="124" t="str">
        <f>IF($B193="","",IF(BB$3=0,"n.b.",INDEX(SRC_Woningetalage!$A$1:$ZZ$501,$A193,BB$3)))</f>
        <v/>
      </c>
      <c r="BC193" s="124" t="str">
        <f>IF($B193="","",IFERROR(_xlfn.NUMBERVALUE(E193&amp;"",",","."),"n.b."))</f>
        <v/>
      </c>
      <c r="BD193" s="124" t="str">
        <f>IF($B193="","",IFERROR(_xlfn.NUMBERVALUE(M193&amp;"",",","."),"n.b."))</f>
        <v/>
      </c>
      <c r="BE193" s="124" t="str">
        <f>IF($B193="","",IFERROR(AB193+AC193+AD193,"n.b."))</f>
        <v/>
      </c>
      <c r="BF193" s="124" t="str">
        <f>IF($B193="","",IFERROR(AE193+AF193+AG193,"n.b."))</f>
        <v/>
      </c>
      <c r="BG193" s="124" t="str">
        <f>IF($B193="","",IFERROR(AH193+AI193+AJ193,"n.b."))</f>
        <v/>
      </c>
      <c r="BH193" s="124" t="str">
        <f>IF($B193="","",IFERROR(AK193+AL193+AM193,"n.b."))</f>
        <v/>
      </c>
      <c r="BI193" s="124" t="str">
        <f>IF($B193="","",IFERROR(SUMIF($AB$5:$AM$5,"&lt;="&amp;P_PeilMaand,AB193:AM193),"n.b."))</f>
        <v/>
      </c>
      <c r="BJ193" s="124" t="str">
        <f>IF($B193="","",IFERROR(SUM(AB193:AM193)-BI193,"n.b."))</f>
        <v/>
      </c>
      <c r="BK193" s="124" t="str">
        <f>IF($B193="","",IFERROR(IF(ABS(Q193-(T193+SUM(AB193:AM193)+AS193+AU193))&gt;P_Tol,1,0),1))</f>
        <v/>
      </c>
      <c r="BL193" s="124" t="str">
        <f>IF($B193="","",IFERROR(IF(ABS(AA193-(Q193-Z193))&gt;P_Tol,1,0),1))</f>
        <v/>
      </c>
      <c r="BM193" s="124" t="str">
        <f>IF($B193="","",IFERROR(IF(ABS(Z193-(T193+W193))&gt;P_Tol,1,0),1))</f>
        <v/>
      </c>
      <c r="BN193" s="124" t="str">
        <f>IF($B193="","",IFERROR(IF(ABS(W193-BI193)&gt;P_Tol,1,0),1))</f>
        <v/>
      </c>
      <c r="BO193" s="124" t="str">
        <f>IF($B193="","",IFERROR(IF(OR(ABS(R193+S193-T193)&gt;P_Tol,ABS(U193+V193-W193)&gt;P_Tol,ABS(X193+Y193-Z193)&gt;P_Tol),1,0),1))</f>
        <v/>
      </c>
      <c r="BP193" s="124" t="str">
        <f>IF($B193="","",IFERROR(IF(OR(ABS(AR193-SUM(AB193:AM193))&gt;P_Tol,ABS(AS193-(AN193+AO193+AP193+AQ193))&gt;P_Tol),1,0),1))</f>
        <v/>
      </c>
      <c r="BQ193" s="124" t="str">
        <f>IF($B193="","",IFERROR(IF(ABS(AT193)+ABS(AV193)+ABS(AW193)+ABS(AX193)+ABS(AY193)+ABS(AZ193)+ABS(BA193)+ABS(BB193)&gt;0,1,0),1))</f>
        <v/>
      </c>
      <c r="BR193" s="124" t="str">
        <f>IF($B193="","",COUNTIF(STG_ZPMW03!$B$6:$B$505,B193))</f>
        <v/>
      </c>
      <c r="BS193" s="124" t="str">
        <f>IF($B193="","",COUNTIF($B$6:$B$505,B193))</f>
        <v/>
      </c>
      <c r="BT193" s="124" t="str">
        <f>IF($B193="","",IF(BR193=0,0,IF(INDEX(STG_ZPMW03!$I$6:$I$505,MATCH(B193,STG_ZPMW03!$B$6:$B$505,0))=J193&amp;"",0,1)))</f>
        <v/>
      </c>
      <c r="BU193" s="124" t="str">
        <f>IF($B193="","",IFERROR(IF(ABS(INDEX(Mapping!$D$5:$D$104,MATCH(B193,Mapping!$A$5:$A$104,0))-Q193)&gt;P_Tol,1,0),0))</f>
        <v/>
      </c>
      <c r="BV193" s="124" t="str">
        <f>IF($B193="","",IFERROR(IF(AND(INDEX(Mapping!$G$5:$G$104,MATCH(B193,Mapping!$A$5:$A$104,0))="Nee",ABS(Q193)+ABS(Z193)+ABS(AR193)&gt;0),1,0),0))</f>
        <v/>
      </c>
      <c r="BW193" s="124" t="str">
        <f>IF($B193="","",IF(COUNTIF(Mapping!$A$5:$A$104,B193)&gt;0,1,0))</f>
        <v/>
      </c>
      <c r="BX193" s="124" t="str">
        <f>IF($B193="","",IF(BR193=0,COUNTIF($BR$6:BR193,0),""))</f>
        <v/>
      </c>
    </row>
    <row r="194">
      <c r="A194" s="15" t="n">
        <v>190</v>
      </c>
      <c r="B194" t="str">
        <f>IF(B$3=0,"",IF(INDEX(SRC_Woningetalage!$A$1:$ZZ$501,$A194,B$3)&amp;""="","",INDEX(SRC_Woningetalage!$A$1:$ZZ$501,$A194,B$3)&amp;""))</f>
        <v/>
      </c>
      <c r="C194" t="str">
        <f>IF($B194="","",IF(C$3=0,"n.b.",INDEX(SRC_Woningetalage!$A$1:$ZZ$501,$A194,C$3)))</f>
        <v/>
      </c>
      <c r="D194" t="str">
        <f>IF($B194="","",IF(D$3=0,"n.b.",INDEX(SRC_Woningetalage!$A$1:$ZZ$501,$A194,D$3)))</f>
        <v/>
      </c>
      <c r="E194" t="str">
        <f>IF($B194="","",IF(E$3=0,"n.b.",INDEX(SRC_Woningetalage!$A$1:$ZZ$501,$A194,E$3)))</f>
        <v/>
      </c>
      <c r="F194" t="str">
        <f>IF($B194="","",IF(F$3=0,"n.b.",INDEX(SRC_Woningetalage!$A$1:$ZZ$501,$A194,F$3)))</f>
        <v/>
      </c>
      <c r="G194" t="str">
        <f>IF($B194="","",IF(G$3=0,"n.b.",INDEX(SRC_Woningetalage!$A$1:$ZZ$501,$A194,G$3)))</f>
        <v/>
      </c>
      <c r="H194" t="str">
        <f>IF($B194="","",IF(H$3=0,"n.b.",INDEX(SRC_Woningetalage!$A$1:$ZZ$501,$A194,H$3)))</f>
        <v/>
      </c>
      <c r="I194" t="str">
        <f>IF($B194="","",IF(I$3=0,"n.b.",INDEX(SRC_Woningetalage!$A$1:$ZZ$501,$A194,I$3)))</f>
        <v/>
      </c>
      <c r="J194" t="str">
        <f>IF($B194="","",IF(J$3=0,"n.b.",INDEX(SRC_Woningetalage!$A$1:$ZZ$501,$A194,J$3)))</f>
        <v/>
      </c>
      <c r="K194" t="str">
        <f>IF($B194="","",IF(K$3=0,"n.b.",INDEX(SRC_Woningetalage!$A$1:$ZZ$501,$A194,K$3)))</f>
        <v/>
      </c>
      <c r="L194" t="str">
        <f>IF($B194="","",IF(L$3=0,"n.b.",INDEX(SRC_Woningetalage!$A$1:$ZZ$501,$A194,L$3)))</f>
        <v/>
      </c>
      <c r="M194" t="str">
        <f>IF($B194="","",IF(M$3=0,"n.b.",INDEX(SRC_Woningetalage!$A$1:$ZZ$501,$A194,M$3)))</f>
        <v/>
      </c>
      <c r="N194" t="str">
        <f>IF($B194="","",IF(N$3=0,"n.b.",INDEX(SRC_Woningetalage!$A$1:$ZZ$501,$A194,N$3)))</f>
        <v/>
      </c>
      <c r="O194" t="str">
        <f>IF($B194="","",IF(O$3=0,"n.b.",INDEX(SRC_Woningetalage!$A$1:$ZZ$501,$A194,O$3)))</f>
        <v/>
      </c>
      <c r="P194" t="str">
        <f>IF($B194="","",IF(P$3=0,"n.b.",INDEX(SRC_Woningetalage!$A$1:$ZZ$501,$A194,P$3)))</f>
        <v/>
      </c>
      <c r="Q194" s="124" t="str">
        <f>IF($B194="","",IF(Q$3=0,"n.b.",INDEX(SRC_Woningetalage!$A$1:$ZZ$501,$A194,Q$3)))</f>
        <v/>
      </c>
      <c r="R194" s="124" t="str">
        <f>IF($B194="","",IF(R$3=0,"n.b.",INDEX(SRC_Woningetalage!$A$1:$ZZ$501,$A194,R$3)))</f>
        <v/>
      </c>
      <c r="S194" s="124" t="str">
        <f>IF($B194="","",IF(S$3=0,"n.b.",INDEX(SRC_Woningetalage!$A$1:$ZZ$501,$A194,S$3)))</f>
        <v/>
      </c>
      <c r="T194" s="124" t="str">
        <f>IF($B194="","",IF(T$3=0,"n.b.",INDEX(SRC_Woningetalage!$A$1:$ZZ$501,$A194,T$3)))</f>
        <v/>
      </c>
      <c r="U194" s="124" t="str">
        <f>IF($B194="","",IF(U$3=0,"n.b.",INDEX(SRC_Woningetalage!$A$1:$ZZ$501,$A194,U$3)))</f>
        <v/>
      </c>
      <c r="V194" s="124" t="str">
        <f>IF($B194="","",IF(V$3=0,"n.b.",INDEX(SRC_Woningetalage!$A$1:$ZZ$501,$A194,V$3)))</f>
        <v/>
      </c>
      <c r="W194" s="124" t="str">
        <f>IF($B194="","",IF(W$3=0,"n.b.",INDEX(SRC_Woningetalage!$A$1:$ZZ$501,$A194,W$3)))</f>
        <v/>
      </c>
      <c r="X194" s="124" t="str">
        <f>IF($B194="","",IF(X$3=0,"n.b.",INDEX(SRC_Woningetalage!$A$1:$ZZ$501,$A194,X$3)))</f>
        <v/>
      </c>
      <c r="Y194" s="124" t="str">
        <f>IF($B194="","",IF(Y$3=0,"n.b.",INDEX(SRC_Woningetalage!$A$1:$ZZ$501,$A194,Y$3)))</f>
        <v/>
      </c>
      <c r="Z194" s="124" t="str">
        <f>IF($B194="","",IF(Z$3=0,"n.b.",INDEX(SRC_Woningetalage!$A$1:$ZZ$501,$A194,Z$3)))</f>
        <v/>
      </c>
      <c r="AA194" s="124" t="str">
        <f>IF($B194="","",IF(AA$3=0,"n.b.",INDEX(SRC_Woningetalage!$A$1:$ZZ$501,$A194,AA$3)))</f>
        <v/>
      </c>
      <c r="AB194" s="124" t="str">
        <f>IF($B194="","",IF(AB$3=0,"n.b.",INDEX(SRC_Woningetalage!$A$1:$ZZ$501,$A194,AB$3)))</f>
        <v/>
      </c>
      <c r="AC194" s="124" t="str">
        <f>IF($B194="","",IF(AC$3=0,"n.b.",INDEX(SRC_Woningetalage!$A$1:$ZZ$501,$A194,AC$3)))</f>
        <v/>
      </c>
      <c r="AD194" s="124" t="str">
        <f>IF($B194="","",IF(AD$3=0,"n.b.",INDEX(SRC_Woningetalage!$A$1:$ZZ$501,$A194,AD$3)))</f>
        <v/>
      </c>
      <c r="AE194" s="124" t="str">
        <f>IF($B194="","",IF(AE$3=0,"n.b.",INDEX(SRC_Woningetalage!$A$1:$ZZ$501,$A194,AE$3)))</f>
        <v/>
      </c>
      <c r="AF194" s="124" t="str">
        <f>IF($B194="","",IF(AF$3=0,"n.b.",INDEX(SRC_Woningetalage!$A$1:$ZZ$501,$A194,AF$3)))</f>
        <v/>
      </c>
      <c r="AG194" s="124" t="str">
        <f>IF($B194="","",IF(AG$3=0,"n.b.",INDEX(SRC_Woningetalage!$A$1:$ZZ$501,$A194,AG$3)))</f>
        <v/>
      </c>
      <c r="AH194" s="124" t="str">
        <f>IF($B194="","",IF(AH$3=0,"n.b.",INDEX(SRC_Woningetalage!$A$1:$ZZ$501,$A194,AH$3)))</f>
        <v/>
      </c>
      <c r="AI194" s="124" t="str">
        <f>IF($B194="","",IF(AI$3=0,"n.b.",INDEX(SRC_Woningetalage!$A$1:$ZZ$501,$A194,AI$3)))</f>
        <v/>
      </c>
      <c r="AJ194" s="124" t="str">
        <f>IF($B194="","",IF(AJ$3=0,"n.b.",INDEX(SRC_Woningetalage!$A$1:$ZZ$501,$A194,AJ$3)))</f>
        <v/>
      </c>
      <c r="AK194" s="124" t="str">
        <f>IF($B194="","",IF(AK$3=0,"n.b.",INDEX(SRC_Woningetalage!$A$1:$ZZ$501,$A194,AK$3)))</f>
        <v/>
      </c>
      <c r="AL194" s="124" t="str">
        <f>IF($B194="","",IF(AL$3=0,"n.b.",INDEX(SRC_Woningetalage!$A$1:$ZZ$501,$A194,AL$3)))</f>
        <v/>
      </c>
      <c r="AM194" s="124" t="str">
        <f>IF($B194="","",IF(AM$3=0,"n.b.",INDEX(SRC_Woningetalage!$A$1:$ZZ$501,$A194,AM$3)))</f>
        <v/>
      </c>
      <c r="AN194" s="124" t="str">
        <f>IF($B194="","",IF(AN$3=0,"n.b.",INDEX(SRC_Woningetalage!$A$1:$ZZ$501,$A194,AN$3)))</f>
        <v/>
      </c>
      <c r="AO194" s="124" t="str">
        <f>IF($B194="","",IF(AO$3=0,"n.b.",INDEX(SRC_Woningetalage!$A$1:$ZZ$501,$A194,AO$3)))</f>
        <v/>
      </c>
      <c r="AP194" s="124" t="str">
        <f>IF($B194="","",IF(AP$3=0,"n.b.",INDEX(SRC_Woningetalage!$A$1:$ZZ$501,$A194,AP$3)))</f>
        <v/>
      </c>
      <c r="AQ194" s="124" t="str">
        <f>IF($B194="","",IF(AQ$3=0,"n.b.",INDEX(SRC_Woningetalage!$A$1:$ZZ$501,$A194,AQ$3)))</f>
        <v/>
      </c>
      <c r="AR194" s="124" t="str">
        <f>IF($B194="","",IF(AR$3=0,"n.b.",INDEX(SRC_Woningetalage!$A$1:$ZZ$501,$A194,AR$3)))</f>
        <v/>
      </c>
      <c r="AS194" s="124" t="str">
        <f>IF($B194="","",IF(AS$3=0,"n.b.",INDEX(SRC_Woningetalage!$A$1:$ZZ$501,$A194,AS$3)))</f>
        <v/>
      </c>
      <c r="AT194" s="124" t="str">
        <f>IF($B194="","",IF(AT$3=0,"n.b.",INDEX(SRC_Woningetalage!$A$1:$ZZ$501,$A194,AT$3)))</f>
        <v/>
      </c>
      <c r="AU194" s="124" t="str">
        <f>IF($B194="","",IF(AU$3=0,"n.b.",INDEX(SRC_Woningetalage!$A$1:$ZZ$501,$A194,AU$3)))</f>
        <v/>
      </c>
      <c r="AV194" s="124" t="str">
        <f>IF($B194="","",IF(AV$3=0,"n.b.",INDEX(SRC_Woningetalage!$A$1:$ZZ$501,$A194,AV$3)))</f>
        <v/>
      </c>
      <c r="AW194" s="124" t="str">
        <f>IF($B194="","",IF(AW$3=0,"n.b.",INDEX(SRC_Woningetalage!$A$1:$ZZ$501,$A194,AW$3)))</f>
        <v/>
      </c>
      <c r="AX194" s="124" t="str">
        <f>IF($B194="","",IF(AX$3=0,"n.b.",INDEX(SRC_Woningetalage!$A$1:$ZZ$501,$A194,AX$3)))</f>
        <v/>
      </c>
      <c r="AY194" s="124" t="str">
        <f>IF($B194="","",IF(AY$3=0,"n.b.",INDEX(SRC_Woningetalage!$A$1:$ZZ$501,$A194,AY$3)))</f>
        <v/>
      </c>
      <c r="AZ194" s="124" t="str">
        <f>IF($B194="","",IF(AZ$3=0,"n.b.",INDEX(SRC_Woningetalage!$A$1:$ZZ$501,$A194,AZ$3)))</f>
        <v/>
      </c>
      <c r="BA194" s="124" t="str">
        <f>IF($B194="","",IF(BA$3=0,"n.b.",INDEX(SRC_Woningetalage!$A$1:$ZZ$501,$A194,BA$3)))</f>
        <v/>
      </c>
      <c r="BB194" s="124" t="str">
        <f>IF($B194="","",IF(BB$3=0,"n.b.",INDEX(SRC_Woningetalage!$A$1:$ZZ$501,$A194,BB$3)))</f>
        <v/>
      </c>
      <c r="BC194" s="124" t="str">
        <f>IF($B194="","",IFERROR(_xlfn.NUMBERVALUE(E194&amp;"",",","."),"n.b."))</f>
        <v/>
      </c>
      <c r="BD194" s="124" t="str">
        <f>IF($B194="","",IFERROR(_xlfn.NUMBERVALUE(M194&amp;"",",","."),"n.b."))</f>
        <v/>
      </c>
      <c r="BE194" s="124" t="str">
        <f>IF($B194="","",IFERROR(AB194+AC194+AD194,"n.b."))</f>
        <v/>
      </c>
      <c r="BF194" s="124" t="str">
        <f>IF($B194="","",IFERROR(AE194+AF194+AG194,"n.b."))</f>
        <v/>
      </c>
      <c r="BG194" s="124" t="str">
        <f>IF($B194="","",IFERROR(AH194+AI194+AJ194,"n.b."))</f>
        <v/>
      </c>
      <c r="BH194" s="124" t="str">
        <f>IF($B194="","",IFERROR(AK194+AL194+AM194,"n.b."))</f>
        <v/>
      </c>
      <c r="BI194" s="124" t="str">
        <f>IF($B194="","",IFERROR(SUMIF($AB$5:$AM$5,"&lt;="&amp;P_PeilMaand,AB194:AM194),"n.b."))</f>
        <v/>
      </c>
      <c r="BJ194" s="124" t="str">
        <f>IF($B194="","",IFERROR(SUM(AB194:AM194)-BI194,"n.b."))</f>
        <v/>
      </c>
      <c r="BK194" s="124" t="str">
        <f>IF($B194="","",IFERROR(IF(ABS(Q194-(T194+SUM(AB194:AM194)+AS194+AU194))&gt;P_Tol,1,0),1))</f>
        <v/>
      </c>
      <c r="BL194" s="124" t="str">
        <f>IF($B194="","",IFERROR(IF(ABS(AA194-(Q194-Z194))&gt;P_Tol,1,0),1))</f>
        <v/>
      </c>
      <c r="BM194" s="124" t="str">
        <f>IF($B194="","",IFERROR(IF(ABS(Z194-(T194+W194))&gt;P_Tol,1,0),1))</f>
        <v/>
      </c>
      <c r="BN194" s="124" t="str">
        <f>IF($B194="","",IFERROR(IF(ABS(W194-BI194)&gt;P_Tol,1,0),1))</f>
        <v/>
      </c>
      <c r="BO194" s="124" t="str">
        <f>IF($B194="","",IFERROR(IF(OR(ABS(R194+S194-T194)&gt;P_Tol,ABS(U194+V194-W194)&gt;P_Tol,ABS(X194+Y194-Z194)&gt;P_Tol),1,0),1))</f>
        <v/>
      </c>
      <c r="BP194" s="124" t="str">
        <f>IF($B194="","",IFERROR(IF(OR(ABS(AR194-SUM(AB194:AM194))&gt;P_Tol,ABS(AS194-(AN194+AO194+AP194+AQ194))&gt;P_Tol),1,0),1))</f>
        <v/>
      </c>
      <c r="BQ194" s="124" t="str">
        <f>IF($B194="","",IFERROR(IF(ABS(AT194)+ABS(AV194)+ABS(AW194)+ABS(AX194)+ABS(AY194)+ABS(AZ194)+ABS(BA194)+ABS(BB194)&gt;0,1,0),1))</f>
        <v/>
      </c>
      <c r="BR194" s="124" t="str">
        <f>IF($B194="","",COUNTIF(STG_ZPMW03!$B$6:$B$505,B194))</f>
        <v/>
      </c>
      <c r="BS194" s="124" t="str">
        <f>IF($B194="","",COUNTIF($B$6:$B$505,B194))</f>
        <v/>
      </c>
      <c r="BT194" s="124" t="str">
        <f>IF($B194="","",IF(BR194=0,0,IF(INDEX(STG_ZPMW03!$I$6:$I$505,MATCH(B194,STG_ZPMW03!$B$6:$B$505,0))=J194&amp;"",0,1)))</f>
        <v/>
      </c>
      <c r="BU194" s="124" t="str">
        <f>IF($B194="","",IFERROR(IF(ABS(INDEX(Mapping!$D$5:$D$104,MATCH(B194,Mapping!$A$5:$A$104,0))-Q194)&gt;P_Tol,1,0),0))</f>
        <v/>
      </c>
      <c r="BV194" s="124" t="str">
        <f>IF($B194="","",IFERROR(IF(AND(INDEX(Mapping!$G$5:$G$104,MATCH(B194,Mapping!$A$5:$A$104,0))="Nee",ABS(Q194)+ABS(Z194)+ABS(AR194)&gt;0),1,0),0))</f>
        <v/>
      </c>
      <c r="BW194" s="124" t="str">
        <f>IF($B194="","",IF(COUNTIF(Mapping!$A$5:$A$104,B194)&gt;0,1,0))</f>
        <v/>
      </c>
      <c r="BX194" s="124" t="str">
        <f>IF($B194="","",IF(BR194=0,COUNTIF($BR$6:BR194,0),""))</f>
        <v/>
      </c>
    </row>
    <row r="195">
      <c r="A195" s="15" t="n">
        <v>191</v>
      </c>
      <c r="B195" t="str">
        <f>IF(B$3=0,"",IF(INDEX(SRC_Woningetalage!$A$1:$ZZ$501,$A195,B$3)&amp;""="","",INDEX(SRC_Woningetalage!$A$1:$ZZ$501,$A195,B$3)&amp;""))</f>
        <v/>
      </c>
      <c r="C195" t="str">
        <f>IF($B195="","",IF(C$3=0,"n.b.",INDEX(SRC_Woningetalage!$A$1:$ZZ$501,$A195,C$3)))</f>
        <v/>
      </c>
      <c r="D195" t="str">
        <f>IF($B195="","",IF(D$3=0,"n.b.",INDEX(SRC_Woningetalage!$A$1:$ZZ$501,$A195,D$3)))</f>
        <v/>
      </c>
      <c r="E195" t="str">
        <f>IF($B195="","",IF(E$3=0,"n.b.",INDEX(SRC_Woningetalage!$A$1:$ZZ$501,$A195,E$3)))</f>
        <v/>
      </c>
      <c r="F195" t="str">
        <f>IF($B195="","",IF(F$3=0,"n.b.",INDEX(SRC_Woningetalage!$A$1:$ZZ$501,$A195,F$3)))</f>
        <v/>
      </c>
      <c r="G195" t="str">
        <f>IF($B195="","",IF(G$3=0,"n.b.",INDEX(SRC_Woningetalage!$A$1:$ZZ$501,$A195,G$3)))</f>
        <v/>
      </c>
      <c r="H195" t="str">
        <f>IF($B195="","",IF(H$3=0,"n.b.",INDEX(SRC_Woningetalage!$A$1:$ZZ$501,$A195,H$3)))</f>
        <v/>
      </c>
      <c r="I195" t="str">
        <f>IF($B195="","",IF(I$3=0,"n.b.",INDEX(SRC_Woningetalage!$A$1:$ZZ$501,$A195,I$3)))</f>
        <v/>
      </c>
      <c r="J195" t="str">
        <f>IF($B195="","",IF(J$3=0,"n.b.",INDEX(SRC_Woningetalage!$A$1:$ZZ$501,$A195,J$3)))</f>
        <v/>
      </c>
      <c r="K195" t="str">
        <f>IF($B195="","",IF(K$3=0,"n.b.",INDEX(SRC_Woningetalage!$A$1:$ZZ$501,$A195,K$3)))</f>
        <v/>
      </c>
      <c r="L195" t="str">
        <f>IF($B195="","",IF(L$3=0,"n.b.",INDEX(SRC_Woningetalage!$A$1:$ZZ$501,$A195,L$3)))</f>
        <v/>
      </c>
      <c r="M195" t="str">
        <f>IF($B195="","",IF(M$3=0,"n.b.",INDEX(SRC_Woningetalage!$A$1:$ZZ$501,$A195,M$3)))</f>
        <v/>
      </c>
      <c r="N195" t="str">
        <f>IF($B195="","",IF(N$3=0,"n.b.",INDEX(SRC_Woningetalage!$A$1:$ZZ$501,$A195,N$3)))</f>
        <v/>
      </c>
      <c r="O195" t="str">
        <f>IF($B195="","",IF(O$3=0,"n.b.",INDEX(SRC_Woningetalage!$A$1:$ZZ$501,$A195,O$3)))</f>
        <v/>
      </c>
      <c r="P195" t="str">
        <f>IF($B195="","",IF(P$3=0,"n.b.",INDEX(SRC_Woningetalage!$A$1:$ZZ$501,$A195,P$3)))</f>
        <v/>
      </c>
      <c r="Q195" s="124" t="str">
        <f>IF($B195="","",IF(Q$3=0,"n.b.",INDEX(SRC_Woningetalage!$A$1:$ZZ$501,$A195,Q$3)))</f>
        <v/>
      </c>
      <c r="R195" s="124" t="str">
        <f>IF($B195="","",IF(R$3=0,"n.b.",INDEX(SRC_Woningetalage!$A$1:$ZZ$501,$A195,R$3)))</f>
        <v/>
      </c>
      <c r="S195" s="124" t="str">
        <f>IF($B195="","",IF(S$3=0,"n.b.",INDEX(SRC_Woningetalage!$A$1:$ZZ$501,$A195,S$3)))</f>
        <v/>
      </c>
      <c r="T195" s="124" t="str">
        <f>IF($B195="","",IF(T$3=0,"n.b.",INDEX(SRC_Woningetalage!$A$1:$ZZ$501,$A195,T$3)))</f>
        <v/>
      </c>
      <c r="U195" s="124" t="str">
        <f>IF($B195="","",IF(U$3=0,"n.b.",INDEX(SRC_Woningetalage!$A$1:$ZZ$501,$A195,U$3)))</f>
        <v/>
      </c>
      <c r="V195" s="124" t="str">
        <f>IF($B195="","",IF(V$3=0,"n.b.",INDEX(SRC_Woningetalage!$A$1:$ZZ$501,$A195,V$3)))</f>
        <v/>
      </c>
      <c r="W195" s="124" t="str">
        <f>IF($B195="","",IF(W$3=0,"n.b.",INDEX(SRC_Woningetalage!$A$1:$ZZ$501,$A195,W$3)))</f>
        <v/>
      </c>
      <c r="X195" s="124" t="str">
        <f>IF($B195="","",IF(X$3=0,"n.b.",INDEX(SRC_Woningetalage!$A$1:$ZZ$501,$A195,X$3)))</f>
        <v/>
      </c>
      <c r="Y195" s="124" t="str">
        <f>IF($B195="","",IF(Y$3=0,"n.b.",INDEX(SRC_Woningetalage!$A$1:$ZZ$501,$A195,Y$3)))</f>
        <v/>
      </c>
      <c r="Z195" s="124" t="str">
        <f>IF($B195="","",IF(Z$3=0,"n.b.",INDEX(SRC_Woningetalage!$A$1:$ZZ$501,$A195,Z$3)))</f>
        <v/>
      </c>
      <c r="AA195" s="124" t="str">
        <f>IF($B195="","",IF(AA$3=0,"n.b.",INDEX(SRC_Woningetalage!$A$1:$ZZ$501,$A195,AA$3)))</f>
        <v/>
      </c>
      <c r="AB195" s="124" t="str">
        <f>IF($B195="","",IF(AB$3=0,"n.b.",INDEX(SRC_Woningetalage!$A$1:$ZZ$501,$A195,AB$3)))</f>
        <v/>
      </c>
      <c r="AC195" s="124" t="str">
        <f>IF($B195="","",IF(AC$3=0,"n.b.",INDEX(SRC_Woningetalage!$A$1:$ZZ$501,$A195,AC$3)))</f>
        <v/>
      </c>
      <c r="AD195" s="124" t="str">
        <f>IF($B195="","",IF(AD$3=0,"n.b.",INDEX(SRC_Woningetalage!$A$1:$ZZ$501,$A195,AD$3)))</f>
        <v/>
      </c>
      <c r="AE195" s="124" t="str">
        <f>IF($B195="","",IF(AE$3=0,"n.b.",INDEX(SRC_Woningetalage!$A$1:$ZZ$501,$A195,AE$3)))</f>
        <v/>
      </c>
      <c r="AF195" s="124" t="str">
        <f>IF($B195="","",IF(AF$3=0,"n.b.",INDEX(SRC_Woningetalage!$A$1:$ZZ$501,$A195,AF$3)))</f>
        <v/>
      </c>
      <c r="AG195" s="124" t="str">
        <f>IF($B195="","",IF(AG$3=0,"n.b.",INDEX(SRC_Woningetalage!$A$1:$ZZ$501,$A195,AG$3)))</f>
        <v/>
      </c>
      <c r="AH195" s="124" t="str">
        <f>IF($B195="","",IF(AH$3=0,"n.b.",INDEX(SRC_Woningetalage!$A$1:$ZZ$501,$A195,AH$3)))</f>
        <v/>
      </c>
      <c r="AI195" s="124" t="str">
        <f>IF($B195="","",IF(AI$3=0,"n.b.",INDEX(SRC_Woningetalage!$A$1:$ZZ$501,$A195,AI$3)))</f>
        <v/>
      </c>
      <c r="AJ195" s="124" t="str">
        <f>IF($B195="","",IF(AJ$3=0,"n.b.",INDEX(SRC_Woningetalage!$A$1:$ZZ$501,$A195,AJ$3)))</f>
        <v/>
      </c>
      <c r="AK195" s="124" t="str">
        <f>IF($B195="","",IF(AK$3=0,"n.b.",INDEX(SRC_Woningetalage!$A$1:$ZZ$501,$A195,AK$3)))</f>
        <v/>
      </c>
      <c r="AL195" s="124" t="str">
        <f>IF($B195="","",IF(AL$3=0,"n.b.",INDEX(SRC_Woningetalage!$A$1:$ZZ$501,$A195,AL$3)))</f>
        <v/>
      </c>
      <c r="AM195" s="124" t="str">
        <f>IF($B195="","",IF(AM$3=0,"n.b.",INDEX(SRC_Woningetalage!$A$1:$ZZ$501,$A195,AM$3)))</f>
        <v/>
      </c>
      <c r="AN195" s="124" t="str">
        <f>IF($B195="","",IF(AN$3=0,"n.b.",INDEX(SRC_Woningetalage!$A$1:$ZZ$501,$A195,AN$3)))</f>
        <v/>
      </c>
      <c r="AO195" s="124" t="str">
        <f>IF($B195="","",IF(AO$3=0,"n.b.",INDEX(SRC_Woningetalage!$A$1:$ZZ$501,$A195,AO$3)))</f>
        <v/>
      </c>
      <c r="AP195" s="124" t="str">
        <f>IF($B195="","",IF(AP$3=0,"n.b.",INDEX(SRC_Woningetalage!$A$1:$ZZ$501,$A195,AP$3)))</f>
        <v/>
      </c>
      <c r="AQ195" s="124" t="str">
        <f>IF($B195="","",IF(AQ$3=0,"n.b.",INDEX(SRC_Woningetalage!$A$1:$ZZ$501,$A195,AQ$3)))</f>
        <v/>
      </c>
      <c r="AR195" s="124" t="str">
        <f>IF($B195="","",IF(AR$3=0,"n.b.",INDEX(SRC_Woningetalage!$A$1:$ZZ$501,$A195,AR$3)))</f>
        <v/>
      </c>
      <c r="AS195" s="124" t="str">
        <f>IF($B195="","",IF(AS$3=0,"n.b.",INDEX(SRC_Woningetalage!$A$1:$ZZ$501,$A195,AS$3)))</f>
        <v/>
      </c>
      <c r="AT195" s="124" t="str">
        <f>IF($B195="","",IF(AT$3=0,"n.b.",INDEX(SRC_Woningetalage!$A$1:$ZZ$501,$A195,AT$3)))</f>
        <v/>
      </c>
      <c r="AU195" s="124" t="str">
        <f>IF($B195="","",IF(AU$3=0,"n.b.",INDEX(SRC_Woningetalage!$A$1:$ZZ$501,$A195,AU$3)))</f>
        <v/>
      </c>
      <c r="AV195" s="124" t="str">
        <f>IF($B195="","",IF(AV$3=0,"n.b.",INDEX(SRC_Woningetalage!$A$1:$ZZ$501,$A195,AV$3)))</f>
        <v/>
      </c>
      <c r="AW195" s="124" t="str">
        <f>IF($B195="","",IF(AW$3=0,"n.b.",INDEX(SRC_Woningetalage!$A$1:$ZZ$501,$A195,AW$3)))</f>
        <v/>
      </c>
      <c r="AX195" s="124" t="str">
        <f>IF($B195="","",IF(AX$3=0,"n.b.",INDEX(SRC_Woningetalage!$A$1:$ZZ$501,$A195,AX$3)))</f>
        <v/>
      </c>
      <c r="AY195" s="124" t="str">
        <f>IF($B195="","",IF(AY$3=0,"n.b.",INDEX(SRC_Woningetalage!$A$1:$ZZ$501,$A195,AY$3)))</f>
        <v/>
      </c>
      <c r="AZ195" s="124" t="str">
        <f>IF($B195="","",IF(AZ$3=0,"n.b.",INDEX(SRC_Woningetalage!$A$1:$ZZ$501,$A195,AZ$3)))</f>
        <v/>
      </c>
      <c r="BA195" s="124" t="str">
        <f>IF($B195="","",IF(BA$3=0,"n.b.",INDEX(SRC_Woningetalage!$A$1:$ZZ$501,$A195,BA$3)))</f>
        <v/>
      </c>
      <c r="BB195" s="124" t="str">
        <f>IF($B195="","",IF(BB$3=0,"n.b.",INDEX(SRC_Woningetalage!$A$1:$ZZ$501,$A195,BB$3)))</f>
        <v/>
      </c>
      <c r="BC195" s="124" t="str">
        <f>IF($B195="","",IFERROR(_xlfn.NUMBERVALUE(E195&amp;"",",","."),"n.b."))</f>
        <v/>
      </c>
      <c r="BD195" s="124" t="str">
        <f>IF($B195="","",IFERROR(_xlfn.NUMBERVALUE(M195&amp;"",",","."),"n.b."))</f>
        <v/>
      </c>
      <c r="BE195" s="124" t="str">
        <f>IF($B195="","",IFERROR(AB195+AC195+AD195,"n.b."))</f>
        <v/>
      </c>
      <c r="BF195" s="124" t="str">
        <f>IF($B195="","",IFERROR(AE195+AF195+AG195,"n.b."))</f>
        <v/>
      </c>
      <c r="BG195" s="124" t="str">
        <f>IF($B195="","",IFERROR(AH195+AI195+AJ195,"n.b."))</f>
        <v/>
      </c>
      <c r="BH195" s="124" t="str">
        <f>IF($B195="","",IFERROR(AK195+AL195+AM195,"n.b."))</f>
        <v/>
      </c>
      <c r="BI195" s="124" t="str">
        <f>IF($B195="","",IFERROR(SUMIF($AB$5:$AM$5,"&lt;="&amp;P_PeilMaand,AB195:AM195),"n.b."))</f>
        <v/>
      </c>
      <c r="BJ195" s="124" t="str">
        <f>IF($B195="","",IFERROR(SUM(AB195:AM195)-BI195,"n.b."))</f>
        <v/>
      </c>
      <c r="BK195" s="124" t="str">
        <f>IF($B195="","",IFERROR(IF(ABS(Q195-(T195+SUM(AB195:AM195)+AS195+AU195))&gt;P_Tol,1,0),1))</f>
        <v/>
      </c>
      <c r="BL195" s="124" t="str">
        <f>IF($B195="","",IFERROR(IF(ABS(AA195-(Q195-Z195))&gt;P_Tol,1,0),1))</f>
        <v/>
      </c>
      <c r="BM195" s="124" t="str">
        <f>IF($B195="","",IFERROR(IF(ABS(Z195-(T195+W195))&gt;P_Tol,1,0),1))</f>
        <v/>
      </c>
      <c r="BN195" s="124" t="str">
        <f>IF($B195="","",IFERROR(IF(ABS(W195-BI195)&gt;P_Tol,1,0),1))</f>
        <v/>
      </c>
      <c r="BO195" s="124" t="str">
        <f>IF($B195="","",IFERROR(IF(OR(ABS(R195+S195-T195)&gt;P_Tol,ABS(U195+V195-W195)&gt;P_Tol,ABS(X195+Y195-Z195)&gt;P_Tol),1,0),1))</f>
        <v/>
      </c>
      <c r="BP195" s="124" t="str">
        <f>IF($B195="","",IFERROR(IF(OR(ABS(AR195-SUM(AB195:AM195))&gt;P_Tol,ABS(AS195-(AN195+AO195+AP195+AQ195))&gt;P_Tol),1,0),1))</f>
        <v/>
      </c>
      <c r="BQ195" s="124" t="str">
        <f>IF($B195="","",IFERROR(IF(ABS(AT195)+ABS(AV195)+ABS(AW195)+ABS(AX195)+ABS(AY195)+ABS(AZ195)+ABS(BA195)+ABS(BB195)&gt;0,1,0),1))</f>
        <v/>
      </c>
      <c r="BR195" s="124" t="str">
        <f>IF($B195="","",COUNTIF(STG_ZPMW03!$B$6:$B$505,B195))</f>
        <v/>
      </c>
      <c r="BS195" s="124" t="str">
        <f>IF($B195="","",COUNTIF($B$6:$B$505,B195))</f>
        <v/>
      </c>
      <c r="BT195" s="124" t="str">
        <f>IF($B195="","",IF(BR195=0,0,IF(INDEX(STG_ZPMW03!$I$6:$I$505,MATCH(B195,STG_ZPMW03!$B$6:$B$505,0))=J195&amp;"",0,1)))</f>
        <v/>
      </c>
      <c r="BU195" s="124" t="str">
        <f>IF($B195="","",IFERROR(IF(ABS(INDEX(Mapping!$D$5:$D$104,MATCH(B195,Mapping!$A$5:$A$104,0))-Q195)&gt;P_Tol,1,0),0))</f>
        <v/>
      </c>
      <c r="BV195" s="124" t="str">
        <f>IF($B195="","",IFERROR(IF(AND(INDEX(Mapping!$G$5:$G$104,MATCH(B195,Mapping!$A$5:$A$104,0))="Nee",ABS(Q195)+ABS(Z195)+ABS(AR195)&gt;0),1,0),0))</f>
        <v/>
      </c>
      <c r="BW195" s="124" t="str">
        <f>IF($B195="","",IF(COUNTIF(Mapping!$A$5:$A$104,B195)&gt;0,1,0))</f>
        <v/>
      </c>
      <c r="BX195" s="124" t="str">
        <f>IF($B195="","",IF(BR195=0,COUNTIF($BR$6:BR195,0),""))</f>
        <v/>
      </c>
    </row>
    <row r="196">
      <c r="A196" s="15" t="n">
        <v>192</v>
      </c>
      <c r="B196" t="str">
        <f>IF(B$3=0,"",IF(INDEX(SRC_Woningetalage!$A$1:$ZZ$501,$A196,B$3)&amp;""="","",INDEX(SRC_Woningetalage!$A$1:$ZZ$501,$A196,B$3)&amp;""))</f>
        <v/>
      </c>
      <c r="C196" t="str">
        <f>IF($B196="","",IF(C$3=0,"n.b.",INDEX(SRC_Woningetalage!$A$1:$ZZ$501,$A196,C$3)))</f>
        <v/>
      </c>
      <c r="D196" t="str">
        <f>IF($B196="","",IF(D$3=0,"n.b.",INDEX(SRC_Woningetalage!$A$1:$ZZ$501,$A196,D$3)))</f>
        <v/>
      </c>
      <c r="E196" t="str">
        <f>IF($B196="","",IF(E$3=0,"n.b.",INDEX(SRC_Woningetalage!$A$1:$ZZ$501,$A196,E$3)))</f>
        <v/>
      </c>
      <c r="F196" t="str">
        <f>IF($B196="","",IF(F$3=0,"n.b.",INDEX(SRC_Woningetalage!$A$1:$ZZ$501,$A196,F$3)))</f>
        <v/>
      </c>
      <c r="G196" t="str">
        <f>IF($B196="","",IF(G$3=0,"n.b.",INDEX(SRC_Woningetalage!$A$1:$ZZ$501,$A196,G$3)))</f>
        <v/>
      </c>
      <c r="H196" t="str">
        <f>IF($B196="","",IF(H$3=0,"n.b.",INDEX(SRC_Woningetalage!$A$1:$ZZ$501,$A196,H$3)))</f>
        <v/>
      </c>
      <c r="I196" t="str">
        <f>IF($B196="","",IF(I$3=0,"n.b.",INDEX(SRC_Woningetalage!$A$1:$ZZ$501,$A196,I$3)))</f>
        <v/>
      </c>
      <c r="J196" t="str">
        <f>IF($B196="","",IF(J$3=0,"n.b.",INDEX(SRC_Woningetalage!$A$1:$ZZ$501,$A196,J$3)))</f>
        <v/>
      </c>
      <c r="K196" t="str">
        <f>IF($B196="","",IF(K$3=0,"n.b.",INDEX(SRC_Woningetalage!$A$1:$ZZ$501,$A196,K$3)))</f>
        <v/>
      </c>
      <c r="L196" t="str">
        <f>IF($B196="","",IF(L$3=0,"n.b.",INDEX(SRC_Woningetalage!$A$1:$ZZ$501,$A196,L$3)))</f>
        <v/>
      </c>
      <c r="M196" t="str">
        <f>IF($B196="","",IF(M$3=0,"n.b.",INDEX(SRC_Woningetalage!$A$1:$ZZ$501,$A196,M$3)))</f>
        <v/>
      </c>
      <c r="N196" t="str">
        <f>IF($B196="","",IF(N$3=0,"n.b.",INDEX(SRC_Woningetalage!$A$1:$ZZ$501,$A196,N$3)))</f>
        <v/>
      </c>
      <c r="O196" t="str">
        <f>IF($B196="","",IF(O$3=0,"n.b.",INDEX(SRC_Woningetalage!$A$1:$ZZ$501,$A196,O$3)))</f>
        <v/>
      </c>
      <c r="P196" t="str">
        <f>IF($B196="","",IF(P$3=0,"n.b.",INDEX(SRC_Woningetalage!$A$1:$ZZ$501,$A196,P$3)))</f>
        <v/>
      </c>
      <c r="Q196" s="124" t="str">
        <f>IF($B196="","",IF(Q$3=0,"n.b.",INDEX(SRC_Woningetalage!$A$1:$ZZ$501,$A196,Q$3)))</f>
        <v/>
      </c>
      <c r="R196" s="124" t="str">
        <f>IF($B196="","",IF(R$3=0,"n.b.",INDEX(SRC_Woningetalage!$A$1:$ZZ$501,$A196,R$3)))</f>
        <v/>
      </c>
      <c r="S196" s="124" t="str">
        <f>IF($B196="","",IF(S$3=0,"n.b.",INDEX(SRC_Woningetalage!$A$1:$ZZ$501,$A196,S$3)))</f>
        <v/>
      </c>
      <c r="T196" s="124" t="str">
        <f>IF($B196="","",IF(T$3=0,"n.b.",INDEX(SRC_Woningetalage!$A$1:$ZZ$501,$A196,T$3)))</f>
        <v/>
      </c>
      <c r="U196" s="124" t="str">
        <f>IF($B196="","",IF(U$3=0,"n.b.",INDEX(SRC_Woningetalage!$A$1:$ZZ$501,$A196,U$3)))</f>
        <v/>
      </c>
      <c r="V196" s="124" t="str">
        <f>IF($B196="","",IF(V$3=0,"n.b.",INDEX(SRC_Woningetalage!$A$1:$ZZ$501,$A196,V$3)))</f>
        <v/>
      </c>
      <c r="W196" s="124" t="str">
        <f>IF($B196="","",IF(W$3=0,"n.b.",INDEX(SRC_Woningetalage!$A$1:$ZZ$501,$A196,W$3)))</f>
        <v/>
      </c>
      <c r="X196" s="124" t="str">
        <f>IF($B196="","",IF(X$3=0,"n.b.",INDEX(SRC_Woningetalage!$A$1:$ZZ$501,$A196,X$3)))</f>
        <v/>
      </c>
      <c r="Y196" s="124" t="str">
        <f>IF($B196="","",IF(Y$3=0,"n.b.",INDEX(SRC_Woningetalage!$A$1:$ZZ$501,$A196,Y$3)))</f>
        <v/>
      </c>
      <c r="Z196" s="124" t="str">
        <f>IF($B196="","",IF(Z$3=0,"n.b.",INDEX(SRC_Woningetalage!$A$1:$ZZ$501,$A196,Z$3)))</f>
        <v/>
      </c>
      <c r="AA196" s="124" t="str">
        <f>IF($B196="","",IF(AA$3=0,"n.b.",INDEX(SRC_Woningetalage!$A$1:$ZZ$501,$A196,AA$3)))</f>
        <v/>
      </c>
      <c r="AB196" s="124" t="str">
        <f>IF($B196="","",IF(AB$3=0,"n.b.",INDEX(SRC_Woningetalage!$A$1:$ZZ$501,$A196,AB$3)))</f>
        <v/>
      </c>
      <c r="AC196" s="124" t="str">
        <f>IF($B196="","",IF(AC$3=0,"n.b.",INDEX(SRC_Woningetalage!$A$1:$ZZ$501,$A196,AC$3)))</f>
        <v/>
      </c>
      <c r="AD196" s="124" t="str">
        <f>IF($B196="","",IF(AD$3=0,"n.b.",INDEX(SRC_Woningetalage!$A$1:$ZZ$501,$A196,AD$3)))</f>
        <v/>
      </c>
      <c r="AE196" s="124" t="str">
        <f>IF($B196="","",IF(AE$3=0,"n.b.",INDEX(SRC_Woningetalage!$A$1:$ZZ$501,$A196,AE$3)))</f>
        <v/>
      </c>
      <c r="AF196" s="124" t="str">
        <f>IF($B196="","",IF(AF$3=0,"n.b.",INDEX(SRC_Woningetalage!$A$1:$ZZ$501,$A196,AF$3)))</f>
        <v/>
      </c>
      <c r="AG196" s="124" t="str">
        <f>IF($B196="","",IF(AG$3=0,"n.b.",INDEX(SRC_Woningetalage!$A$1:$ZZ$501,$A196,AG$3)))</f>
        <v/>
      </c>
      <c r="AH196" s="124" t="str">
        <f>IF($B196="","",IF(AH$3=0,"n.b.",INDEX(SRC_Woningetalage!$A$1:$ZZ$501,$A196,AH$3)))</f>
        <v/>
      </c>
      <c r="AI196" s="124" t="str">
        <f>IF($B196="","",IF(AI$3=0,"n.b.",INDEX(SRC_Woningetalage!$A$1:$ZZ$501,$A196,AI$3)))</f>
        <v/>
      </c>
      <c r="AJ196" s="124" t="str">
        <f>IF($B196="","",IF(AJ$3=0,"n.b.",INDEX(SRC_Woningetalage!$A$1:$ZZ$501,$A196,AJ$3)))</f>
        <v/>
      </c>
      <c r="AK196" s="124" t="str">
        <f>IF($B196="","",IF(AK$3=0,"n.b.",INDEX(SRC_Woningetalage!$A$1:$ZZ$501,$A196,AK$3)))</f>
        <v/>
      </c>
      <c r="AL196" s="124" t="str">
        <f>IF($B196="","",IF(AL$3=0,"n.b.",INDEX(SRC_Woningetalage!$A$1:$ZZ$501,$A196,AL$3)))</f>
        <v/>
      </c>
      <c r="AM196" s="124" t="str">
        <f>IF($B196="","",IF(AM$3=0,"n.b.",INDEX(SRC_Woningetalage!$A$1:$ZZ$501,$A196,AM$3)))</f>
        <v/>
      </c>
      <c r="AN196" s="124" t="str">
        <f>IF($B196="","",IF(AN$3=0,"n.b.",INDEX(SRC_Woningetalage!$A$1:$ZZ$501,$A196,AN$3)))</f>
        <v/>
      </c>
      <c r="AO196" s="124" t="str">
        <f>IF($B196="","",IF(AO$3=0,"n.b.",INDEX(SRC_Woningetalage!$A$1:$ZZ$501,$A196,AO$3)))</f>
        <v/>
      </c>
      <c r="AP196" s="124" t="str">
        <f>IF($B196="","",IF(AP$3=0,"n.b.",INDEX(SRC_Woningetalage!$A$1:$ZZ$501,$A196,AP$3)))</f>
        <v/>
      </c>
      <c r="AQ196" s="124" t="str">
        <f>IF($B196="","",IF(AQ$3=0,"n.b.",INDEX(SRC_Woningetalage!$A$1:$ZZ$501,$A196,AQ$3)))</f>
        <v/>
      </c>
      <c r="AR196" s="124" t="str">
        <f>IF($B196="","",IF(AR$3=0,"n.b.",INDEX(SRC_Woningetalage!$A$1:$ZZ$501,$A196,AR$3)))</f>
        <v/>
      </c>
      <c r="AS196" s="124" t="str">
        <f>IF($B196="","",IF(AS$3=0,"n.b.",INDEX(SRC_Woningetalage!$A$1:$ZZ$501,$A196,AS$3)))</f>
        <v/>
      </c>
      <c r="AT196" s="124" t="str">
        <f>IF($B196="","",IF(AT$3=0,"n.b.",INDEX(SRC_Woningetalage!$A$1:$ZZ$501,$A196,AT$3)))</f>
        <v/>
      </c>
      <c r="AU196" s="124" t="str">
        <f>IF($B196="","",IF(AU$3=0,"n.b.",INDEX(SRC_Woningetalage!$A$1:$ZZ$501,$A196,AU$3)))</f>
        <v/>
      </c>
      <c r="AV196" s="124" t="str">
        <f>IF($B196="","",IF(AV$3=0,"n.b.",INDEX(SRC_Woningetalage!$A$1:$ZZ$501,$A196,AV$3)))</f>
        <v/>
      </c>
      <c r="AW196" s="124" t="str">
        <f>IF($B196="","",IF(AW$3=0,"n.b.",INDEX(SRC_Woningetalage!$A$1:$ZZ$501,$A196,AW$3)))</f>
        <v/>
      </c>
      <c r="AX196" s="124" t="str">
        <f>IF($B196="","",IF(AX$3=0,"n.b.",INDEX(SRC_Woningetalage!$A$1:$ZZ$501,$A196,AX$3)))</f>
        <v/>
      </c>
      <c r="AY196" s="124" t="str">
        <f>IF($B196="","",IF(AY$3=0,"n.b.",INDEX(SRC_Woningetalage!$A$1:$ZZ$501,$A196,AY$3)))</f>
        <v/>
      </c>
      <c r="AZ196" s="124" t="str">
        <f>IF($B196="","",IF(AZ$3=0,"n.b.",INDEX(SRC_Woningetalage!$A$1:$ZZ$501,$A196,AZ$3)))</f>
        <v/>
      </c>
      <c r="BA196" s="124" t="str">
        <f>IF($B196="","",IF(BA$3=0,"n.b.",INDEX(SRC_Woningetalage!$A$1:$ZZ$501,$A196,BA$3)))</f>
        <v/>
      </c>
      <c r="BB196" s="124" t="str">
        <f>IF($B196="","",IF(BB$3=0,"n.b.",INDEX(SRC_Woningetalage!$A$1:$ZZ$501,$A196,BB$3)))</f>
        <v/>
      </c>
      <c r="BC196" s="124" t="str">
        <f>IF($B196="","",IFERROR(_xlfn.NUMBERVALUE(E196&amp;"",",","."),"n.b."))</f>
        <v/>
      </c>
      <c r="BD196" s="124" t="str">
        <f>IF($B196="","",IFERROR(_xlfn.NUMBERVALUE(M196&amp;"",",","."),"n.b."))</f>
        <v/>
      </c>
      <c r="BE196" s="124" t="str">
        <f>IF($B196="","",IFERROR(AB196+AC196+AD196,"n.b."))</f>
        <v/>
      </c>
      <c r="BF196" s="124" t="str">
        <f>IF($B196="","",IFERROR(AE196+AF196+AG196,"n.b."))</f>
        <v/>
      </c>
      <c r="BG196" s="124" t="str">
        <f>IF($B196="","",IFERROR(AH196+AI196+AJ196,"n.b."))</f>
        <v/>
      </c>
      <c r="BH196" s="124" t="str">
        <f>IF($B196="","",IFERROR(AK196+AL196+AM196,"n.b."))</f>
        <v/>
      </c>
      <c r="BI196" s="124" t="str">
        <f>IF($B196="","",IFERROR(SUMIF($AB$5:$AM$5,"&lt;="&amp;P_PeilMaand,AB196:AM196),"n.b."))</f>
        <v/>
      </c>
      <c r="BJ196" s="124" t="str">
        <f>IF($B196="","",IFERROR(SUM(AB196:AM196)-BI196,"n.b."))</f>
        <v/>
      </c>
      <c r="BK196" s="124" t="str">
        <f>IF($B196="","",IFERROR(IF(ABS(Q196-(T196+SUM(AB196:AM196)+AS196+AU196))&gt;P_Tol,1,0),1))</f>
        <v/>
      </c>
      <c r="BL196" s="124" t="str">
        <f>IF($B196="","",IFERROR(IF(ABS(AA196-(Q196-Z196))&gt;P_Tol,1,0),1))</f>
        <v/>
      </c>
      <c r="BM196" s="124" t="str">
        <f>IF($B196="","",IFERROR(IF(ABS(Z196-(T196+W196))&gt;P_Tol,1,0),1))</f>
        <v/>
      </c>
      <c r="BN196" s="124" t="str">
        <f>IF($B196="","",IFERROR(IF(ABS(W196-BI196)&gt;P_Tol,1,0),1))</f>
        <v/>
      </c>
      <c r="BO196" s="124" t="str">
        <f>IF($B196="","",IFERROR(IF(OR(ABS(R196+S196-T196)&gt;P_Tol,ABS(U196+V196-W196)&gt;P_Tol,ABS(X196+Y196-Z196)&gt;P_Tol),1,0),1))</f>
        <v/>
      </c>
      <c r="BP196" s="124" t="str">
        <f>IF($B196="","",IFERROR(IF(OR(ABS(AR196-SUM(AB196:AM196))&gt;P_Tol,ABS(AS196-(AN196+AO196+AP196+AQ196))&gt;P_Tol),1,0),1))</f>
        <v/>
      </c>
      <c r="BQ196" s="124" t="str">
        <f>IF($B196="","",IFERROR(IF(ABS(AT196)+ABS(AV196)+ABS(AW196)+ABS(AX196)+ABS(AY196)+ABS(AZ196)+ABS(BA196)+ABS(BB196)&gt;0,1,0),1))</f>
        <v/>
      </c>
      <c r="BR196" s="124" t="str">
        <f>IF($B196="","",COUNTIF(STG_ZPMW03!$B$6:$B$505,B196))</f>
        <v/>
      </c>
      <c r="BS196" s="124" t="str">
        <f>IF($B196="","",COUNTIF($B$6:$B$505,B196))</f>
        <v/>
      </c>
      <c r="BT196" s="124" t="str">
        <f>IF($B196="","",IF(BR196=0,0,IF(INDEX(STG_ZPMW03!$I$6:$I$505,MATCH(B196,STG_ZPMW03!$B$6:$B$505,0))=J196&amp;"",0,1)))</f>
        <v/>
      </c>
      <c r="BU196" s="124" t="str">
        <f>IF($B196="","",IFERROR(IF(ABS(INDEX(Mapping!$D$5:$D$104,MATCH(B196,Mapping!$A$5:$A$104,0))-Q196)&gt;P_Tol,1,0),0))</f>
        <v/>
      </c>
      <c r="BV196" s="124" t="str">
        <f>IF($B196="","",IFERROR(IF(AND(INDEX(Mapping!$G$5:$G$104,MATCH(B196,Mapping!$A$5:$A$104,0))="Nee",ABS(Q196)+ABS(Z196)+ABS(AR196)&gt;0),1,0),0))</f>
        <v/>
      </c>
      <c r="BW196" s="124" t="str">
        <f>IF($B196="","",IF(COUNTIF(Mapping!$A$5:$A$104,B196)&gt;0,1,0))</f>
        <v/>
      </c>
      <c r="BX196" s="124" t="str">
        <f>IF($B196="","",IF(BR196=0,COUNTIF($BR$6:BR196,0),""))</f>
        <v/>
      </c>
    </row>
    <row r="197">
      <c r="A197" s="15" t="n">
        <v>193</v>
      </c>
      <c r="B197" t="str">
        <f>IF(B$3=0,"",IF(INDEX(SRC_Woningetalage!$A$1:$ZZ$501,$A197,B$3)&amp;""="","",INDEX(SRC_Woningetalage!$A$1:$ZZ$501,$A197,B$3)&amp;""))</f>
        <v/>
      </c>
      <c r="C197" t="str">
        <f>IF($B197="","",IF(C$3=0,"n.b.",INDEX(SRC_Woningetalage!$A$1:$ZZ$501,$A197,C$3)))</f>
        <v/>
      </c>
      <c r="D197" t="str">
        <f>IF($B197="","",IF(D$3=0,"n.b.",INDEX(SRC_Woningetalage!$A$1:$ZZ$501,$A197,D$3)))</f>
        <v/>
      </c>
      <c r="E197" t="str">
        <f>IF($B197="","",IF(E$3=0,"n.b.",INDEX(SRC_Woningetalage!$A$1:$ZZ$501,$A197,E$3)))</f>
        <v/>
      </c>
      <c r="F197" t="str">
        <f>IF($B197="","",IF(F$3=0,"n.b.",INDEX(SRC_Woningetalage!$A$1:$ZZ$501,$A197,F$3)))</f>
        <v/>
      </c>
      <c r="G197" t="str">
        <f>IF($B197="","",IF(G$3=0,"n.b.",INDEX(SRC_Woningetalage!$A$1:$ZZ$501,$A197,G$3)))</f>
        <v/>
      </c>
      <c r="H197" t="str">
        <f>IF($B197="","",IF(H$3=0,"n.b.",INDEX(SRC_Woningetalage!$A$1:$ZZ$501,$A197,H$3)))</f>
        <v/>
      </c>
      <c r="I197" t="str">
        <f>IF($B197="","",IF(I$3=0,"n.b.",INDEX(SRC_Woningetalage!$A$1:$ZZ$501,$A197,I$3)))</f>
        <v/>
      </c>
      <c r="J197" t="str">
        <f>IF($B197="","",IF(J$3=0,"n.b.",INDEX(SRC_Woningetalage!$A$1:$ZZ$501,$A197,J$3)))</f>
        <v/>
      </c>
      <c r="K197" t="str">
        <f>IF($B197="","",IF(K$3=0,"n.b.",INDEX(SRC_Woningetalage!$A$1:$ZZ$501,$A197,K$3)))</f>
        <v/>
      </c>
      <c r="L197" t="str">
        <f>IF($B197="","",IF(L$3=0,"n.b.",INDEX(SRC_Woningetalage!$A$1:$ZZ$501,$A197,L$3)))</f>
        <v/>
      </c>
      <c r="M197" t="str">
        <f>IF($B197="","",IF(M$3=0,"n.b.",INDEX(SRC_Woningetalage!$A$1:$ZZ$501,$A197,M$3)))</f>
        <v/>
      </c>
      <c r="N197" t="str">
        <f>IF($B197="","",IF(N$3=0,"n.b.",INDEX(SRC_Woningetalage!$A$1:$ZZ$501,$A197,N$3)))</f>
        <v/>
      </c>
      <c r="O197" t="str">
        <f>IF($B197="","",IF(O$3=0,"n.b.",INDEX(SRC_Woningetalage!$A$1:$ZZ$501,$A197,O$3)))</f>
        <v/>
      </c>
      <c r="P197" t="str">
        <f>IF($B197="","",IF(P$3=0,"n.b.",INDEX(SRC_Woningetalage!$A$1:$ZZ$501,$A197,P$3)))</f>
        <v/>
      </c>
      <c r="Q197" s="124" t="str">
        <f>IF($B197="","",IF(Q$3=0,"n.b.",INDEX(SRC_Woningetalage!$A$1:$ZZ$501,$A197,Q$3)))</f>
        <v/>
      </c>
      <c r="R197" s="124" t="str">
        <f>IF($B197="","",IF(R$3=0,"n.b.",INDEX(SRC_Woningetalage!$A$1:$ZZ$501,$A197,R$3)))</f>
        <v/>
      </c>
      <c r="S197" s="124" t="str">
        <f>IF($B197="","",IF(S$3=0,"n.b.",INDEX(SRC_Woningetalage!$A$1:$ZZ$501,$A197,S$3)))</f>
        <v/>
      </c>
      <c r="T197" s="124" t="str">
        <f>IF($B197="","",IF(T$3=0,"n.b.",INDEX(SRC_Woningetalage!$A$1:$ZZ$501,$A197,T$3)))</f>
        <v/>
      </c>
      <c r="U197" s="124" t="str">
        <f>IF($B197="","",IF(U$3=0,"n.b.",INDEX(SRC_Woningetalage!$A$1:$ZZ$501,$A197,U$3)))</f>
        <v/>
      </c>
      <c r="V197" s="124" t="str">
        <f>IF($B197="","",IF(V$3=0,"n.b.",INDEX(SRC_Woningetalage!$A$1:$ZZ$501,$A197,V$3)))</f>
        <v/>
      </c>
      <c r="W197" s="124" t="str">
        <f>IF($B197="","",IF(W$3=0,"n.b.",INDEX(SRC_Woningetalage!$A$1:$ZZ$501,$A197,W$3)))</f>
        <v/>
      </c>
      <c r="X197" s="124" t="str">
        <f>IF($B197="","",IF(X$3=0,"n.b.",INDEX(SRC_Woningetalage!$A$1:$ZZ$501,$A197,X$3)))</f>
        <v/>
      </c>
      <c r="Y197" s="124" t="str">
        <f>IF($B197="","",IF(Y$3=0,"n.b.",INDEX(SRC_Woningetalage!$A$1:$ZZ$501,$A197,Y$3)))</f>
        <v/>
      </c>
      <c r="Z197" s="124" t="str">
        <f>IF($B197="","",IF(Z$3=0,"n.b.",INDEX(SRC_Woningetalage!$A$1:$ZZ$501,$A197,Z$3)))</f>
        <v/>
      </c>
      <c r="AA197" s="124" t="str">
        <f>IF($B197="","",IF(AA$3=0,"n.b.",INDEX(SRC_Woningetalage!$A$1:$ZZ$501,$A197,AA$3)))</f>
        <v/>
      </c>
      <c r="AB197" s="124" t="str">
        <f>IF($B197="","",IF(AB$3=0,"n.b.",INDEX(SRC_Woningetalage!$A$1:$ZZ$501,$A197,AB$3)))</f>
        <v/>
      </c>
      <c r="AC197" s="124" t="str">
        <f>IF($B197="","",IF(AC$3=0,"n.b.",INDEX(SRC_Woningetalage!$A$1:$ZZ$501,$A197,AC$3)))</f>
        <v/>
      </c>
      <c r="AD197" s="124" t="str">
        <f>IF($B197="","",IF(AD$3=0,"n.b.",INDEX(SRC_Woningetalage!$A$1:$ZZ$501,$A197,AD$3)))</f>
        <v/>
      </c>
      <c r="AE197" s="124" t="str">
        <f>IF($B197="","",IF(AE$3=0,"n.b.",INDEX(SRC_Woningetalage!$A$1:$ZZ$501,$A197,AE$3)))</f>
        <v/>
      </c>
      <c r="AF197" s="124" t="str">
        <f>IF($B197="","",IF(AF$3=0,"n.b.",INDEX(SRC_Woningetalage!$A$1:$ZZ$501,$A197,AF$3)))</f>
        <v/>
      </c>
      <c r="AG197" s="124" t="str">
        <f>IF($B197="","",IF(AG$3=0,"n.b.",INDEX(SRC_Woningetalage!$A$1:$ZZ$501,$A197,AG$3)))</f>
        <v/>
      </c>
      <c r="AH197" s="124" t="str">
        <f>IF($B197="","",IF(AH$3=0,"n.b.",INDEX(SRC_Woningetalage!$A$1:$ZZ$501,$A197,AH$3)))</f>
        <v/>
      </c>
      <c r="AI197" s="124" t="str">
        <f>IF($B197="","",IF(AI$3=0,"n.b.",INDEX(SRC_Woningetalage!$A$1:$ZZ$501,$A197,AI$3)))</f>
        <v/>
      </c>
      <c r="AJ197" s="124" t="str">
        <f>IF($B197="","",IF(AJ$3=0,"n.b.",INDEX(SRC_Woningetalage!$A$1:$ZZ$501,$A197,AJ$3)))</f>
        <v/>
      </c>
      <c r="AK197" s="124" t="str">
        <f>IF($B197="","",IF(AK$3=0,"n.b.",INDEX(SRC_Woningetalage!$A$1:$ZZ$501,$A197,AK$3)))</f>
        <v/>
      </c>
      <c r="AL197" s="124" t="str">
        <f>IF($B197="","",IF(AL$3=0,"n.b.",INDEX(SRC_Woningetalage!$A$1:$ZZ$501,$A197,AL$3)))</f>
        <v/>
      </c>
      <c r="AM197" s="124" t="str">
        <f>IF($B197="","",IF(AM$3=0,"n.b.",INDEX(SRC_Woningetalage!$A$1:$ZZ$501,$A197,AM$3)))</f>
        <v/>
      </c>
      <c r="AN197" s="124" t="str">
        <f>IF($B197="","",IF(AN$3=0,"n.b.",INDEX(SRC_Woningetalage!$A$1:$ZZ$501,$A197,AN$3)))</f>
        <v/>
      </c>
      <c r="AO197" s="124" t="str">
        <f>IF($B197="","",IF(AO$3=0,"n.b.",INDEX(SRC_Woningetalage!$A$1:$ZZ$501,$A197,AO$3)))</f>
        <v/>
      </c>
      <c r="AP197" s="124" t="str">
        <f>IF($B197="","",IF(AP$3=0,"n.b.",INDEX(SRC_Woningetalage!$A$1:$ZZ$501,$A197,AP$3)))</f>
        <v/>
      </c>
      <c r="AQ197" s="124" t="str">
        <f>IF($B197="","",IF(AQ$3=0,"n.b.",INDEX(SRC_Woningetalage!$A$1:$ZZ$501,$A197,AQ$3)))</f>
        <v/>
      </c>
      <c r="AR197" s="124" t="str">
        <f>IF($B197="","",IF(AR$3=0,"n.b.",INDEX(SRC_Woningetalage!$A$1:$ZZ$501,$A197,AR$3)))</f>
        <v/>
      </c>
      <c r="AS197" s="124" t="str">
        <f>IF($B197="","",IF(AS$3=0,"n.b.",INDEX(SRC_Woningetalage!$A$1:$ZZ$501,$A197,AS$3)))</f>
        <v/>
      </c>
      <c r="AT197" s="124" t="str">
        <f>IF($B197="","",IF(AT$3=0,"n.b.",INDEX(SRC_Woningetalage!$A$1:$ZZ$501,$A197,AT$3)))</f>
        <v/>
      </c>
      <c r="AU197" s="124" t="str">
        <f>IF($B197="","",IF(AU$3=0,"n.b.",INDEX(SRC_Woningetalage!$A$1:$ZZ$501,$A197,AU$3)))</f>
        <v/>
      </c>
      <c r="AV197" s="124" t="str">
        <f>IF($B197="","",IF(AV$3=0,"n.b.",INDEX(SRC_Woningetalage!$A$1:$ZZ$501,$A197,AV$3)))</f>
        <v/>
      </c>
      <c r="AW197" s="124" t="str">
        <f>IF($B197="","",IF(AW$3=0,"n.b.",INDEX(SRC_Woningetalage!$A$1:$ZZ$501,$A197,AW$3)))</f>
        <v/>
      </c>
      <c r="AX197" s="124" t="str">
        <f>IF($B197="","",IF(AX$3=0,"n.b.",INDEX(SRC_Woningetalage!$A$1:$ZZ$501,$A197,AX$3)))</f>
        <v/>
      </c>
      <c r="AY197" s="124" t="str">
        <f>IF($B197="","",IF(AY$3=0,"n.b.",INDEX(SRC_Woningetalage!$A$1:$ZZ$501,$A197,AY$3)))</f>
        <v/>
      </c>
      <c r="AZ197" s="124" t="str">
        <f>IF($B197="","",IF(AZ$3=0,"n.b.",INDEX(SRC_Woningetalage!$A$1:$ZZ$501,$A197,AZ$3)))</f>
        <v/>
      </c>
      <c r="BA197" s="124" t="str">
        <f>IF($B197="","",IF(BA$3=0,"n.b.",INDEX(SRC_Woningetalage!$A$1:$ZZ$501,$A197,BA$3)))</f>
        <v/>
      </c>
      <c r="BB197" s="124" t="str">
        <f>IF($B197="","",IF(BB$3=0,"n.b.",INDEX(SRC_Woningetalage!$A$1:$ZZ$501,$A197,BB$3)))</f>
        <v/>
      </c>
      <c r="BC197" s="124" t="str">
        <f>IF($B197="","",IFERROR(_xlfn.NUMBERVALUE(E197&amp;"",",","."),"n.b."))</f>
        <v/>
      </c>
      <c r="BD197" s="124" t="str">
        <f>IF($B197="","",IFERROR(_xlfn.NUMBERVALUE(M197&amp;"",",","."),"n.b."))</f>
        <v/>
      </c>
      <c r="BE197" s="124" t="str">
        <f>IF($B197="","",IFERROR(AB197+AC197+AD197,"n.b."))</f>
        <v/>
      </c>
      <c r="BF197" s="124" t="str">
        <f>IF($B197="","",IFERROR(AE197+AF197+AG197,"n.b."))</f>
        <v/>
      </c>
      <c r="BG197" s="124" t="str">
        <f>IF($B197="","",IFERROR(AH197+AI197+AJ197,"n.b."))</f>
        <v/>
      </c>
      <c r="BH197" s="124" t="str">
        <f>IF($B197="","",IFERROR(AK197+AL197+AM197,"n.b."))</f>
        <v/>
      </c>
      <c r="BI197" s="124" t="str">
        <f>IF($B197="","",IFERROR(SUMIF($AB$5:$AM$5,"&lt;="&amp;P_PeilMaand,AB197:AM197),"n.b."))</f>
        <v/>
      </c>
      <c r="BJ197" s="124" t="str">
        <f>IF($B197="","",IFERROR(SUM(AB197:AM197)-BI197,"n.b."))</f>
        <v/>
      </c>
      <c r="BK197" s="124" t="str">
        <f>IF($B197="","",IFERROR(IF(ABS(Q197-(T197+SUM(AB197:AM197)+AS197+AU197))&gt;P_Tol,1,0),1))</f>
        <v/>
      </c>
      <c r="BL197" s="124" t="str">
        <f>IF($B197="","",IFERROR(IF(ABS(AA197-(Q197-Z197))&gt;P_Tol,1,0),1))</f>
        <v/>
      </c>
      <c r="BM197" s="124" t="str">
        <f>IF($B197="","",IFERROR(IF(ABS(Z197-(T197+W197))&gt;P_Tol,1,0),1))</f>
        <v/>
      </c>
      <c r="BN197" s="124" t="str">
        <f>IF($B197="","",IFERROR(IF(ABS(W197-BI197)&gt;P_Tol,1,0),1))</f>
        <v/>
      </c>
      <c r="BO197" s="124" t="str">
        <f>IF($B197="","",IFERROR(IF(OR(ABS(R197+S197-T197)&gt;P_Tol,ABS(U197+V197-W197)&gt;P_Tol,ABS(X197+Y197-Z197)&gt;P_Tol),1,0),1))</f>
        <v/>
      </c>
      <c r="BP197" s="124" t="str">
        <f>IF($B197="","",IFERROR(IF(OR(ABS(AR197-SUM(AB197:AM197))&gt;P_Tol,ABS(AS197-(AN197+AO197+AP197+AQ197))&gt;P_Tol),1,0),1))</f>
        <v/>
      </c>
      <c r="BQ197" s="124" t="str">
        <f>IF($B197="","",IFERROR(IF(ABS(AT197)+ABS(AV197)+ABS(AW197)+ABS(AX197)+ABS(AY197)+ABS(AZ197)+ABS(BA197)+ABS(BB197)&gt;0,1,0),1))</f>
        <v/>
      </c>
      <c r="BR197" s="124" t="str">
        <f>IF($B197="","",COUNTIF(STG_ZPMW03!$B$6:$B$505,B197))</f>
        <v/>
      </c>
      <c r="BS197" s="124" t="str">
        <f>IF($B197="","",COUNTIF($B$6:$B$505,B197))</f>
        <v/>
      </c>
      <c r="BT197" s="124" t="str">
        <f>IF($B197="","",IF(BR197=0,0,IF(INDEX(STG_ZPMW03!$I$6:$I$505,MATCH(B197,STG_ZPMW03!$B$6:$B$505,0))=J197&amp;"",0,1)))</f>
        <v/>
      </c>
      <c r="BU197" s="124" t="str">
        <f>IF($B197="","",IFERROR(IF(ABS(INDEX(Mapping!$D$5:$D$104,MATCH(B197,Mapping!$A$5:$A$104,0))-Q197)&gt;P_Tol,1,0),0))</f>
        <v/>
      </c>
      <c r="BV197" s="124" t="str">
        <f>IF($B197="","",IFERROR(IF(AND(INDEX(Mapping!$G$5:$G$104,MATCH(B197,Mapping!$A$5:$A$104,0))="Nee",ABS(Q197)+ABS(Z197)+ABS(AR197)&gt;0),1,0),0))</f>
        <v/>
      </c>
      <c r="BW197" s="124" t="str">
        <f>IF($B197="","",IF(COUNTIF(Mapping!$A$5:$A$104,B197)&gt;0,1,0))</f>
        <v/>
      </c>
      <c r="BX197" s="124" t="str">
        <f>IF($B197="","",IF(BR197=0,COUNTIF($BR$6:BR197,0),""))</f>
        <v/>
      </c>
    </row>
    <row r="198">
      <c r="A198" s="15" t="n">
        <v>194</v>
      </c>
      <c r="B198" t="str">
        <f>IF(B$3=0,"",IF(INDEX(SRC_Woningetalage!$A$1:$ZZ$501,$A198,B$3)&amp;""="","",INDEX(SRC_Woningetalage!$A$1:$ZZ$501,$A198,B$3)&amp;""))</f>
        <v/>
      </c>
      <c r="C198" t="str">
        <f>IF($B198="","",IF(C$3=0,"n.b.",INDEX(SRC_Woningetalage!$A$1:$ZZ$501,$A198,C$3)))</f>
        <v/>
      </c>
      <c r="D198" t="str">
        <f>IF($B198="","",IF(D$3=0,"n.b.",INDEX(SRC_Woningetalage!$A$1:$ZZ$501,$A198,D$3)))</f>
        <v/>
      </c>
      <c r="E198" t="str">
        <f>IF($B198="","",IF(E$3=0,"n.b.",INDEX(SRC_Woningetalage!$A$1:$ZZ$501,$A198,E$3)))</f>
        <v/>
      </c>
      <c r="F198" t="str">
        <f>IF($B198="","",IF(F$3=0,"n.b.",INDEX(SRC_Woningetalage!$A$1:$ZZ$501,$A198,F$3)))</f>
        <v/>
      </c>
      <c r="G198" t="str">
        <f>IF($B198="","",IF(G$3=0,"n.b.",INDEX(SRC_Woningetalage!$A$1:$ZZ$501,$A198,G$3)))</f>
        <v/>
      </c>
      <c r="H198" t="str">
        <f>IF($B198="","",IF(H$3=0,"n.b.",INDEX(SRC_Woningetalage!$A$1:$ZZ$501,$A198,H$3)))</f>
        <v/>
      </c>
      <c r="I198" t="str">
        <f>IF($B198="","",IF(I$3=0,"n.b.",INDEX(SRC_Woningetalage!$A$1:$ZZ$501,$A198,I$3)))</f>
        <v/>
      </c>
      <c r="J198" t="str">
        <f>IF($B198="","",IF(J$3=0,"n.b.",INDEX(SRC_Woningetalage!$A$1:$ZZ$501,$A198,J$3)))</f>
        <v/>
      </c>
      <c r="K198" t="str">
        <f>IF($B198="","",IF(K$3=0,"n.b.",INDEX(SRC_Woningetalage!$A$1:$ZZ$501,$A198,K$3)))</f>
        <v/>
      </c>
      <c r="L198" t="str">
        <f>IF($B198="","",IF(L$3=0,"n.b.",INDEX(SRC_Woningetalage!$A$1:$ZZ$501,$A198,L$3)))</f>
        <v/>
      </c>
      <c r="M198" t="str">
        <f>IF($B198="","",IF(M$3=0,"n.b.",INDEX(SRC_Woningetalage!$A$1:$ZZ$501,$A198,M$3)))</f>
        <v/>
      </c>
      <c r="N198" t="str">
        <f>IF($B198="","",IF(N$3=0,"n.b.",INDEX(SRC_Woningetalage!$A$1:$ZZ$501,$A198,N$3)))</f>
        <v/>
      </c>
      <c r="O198" t="str">
        <f>IF($B198="","",IF(O$3=0,"n.b.",INDEX(SRC_Woningetalage!$A$1:$ZZ$501,$A198,O$3)))</f>
        <v/>
      </c>
      <c r="P198" t="str">
        <f>IF($B198="","",IF(P$3=0,"n.b.",INDEX(SRC_Woningetalage!$A$1:$ZZ$501,$A198,P$3)))</f>
        <v/>
      </c>
      <c r="Q198" s="124" t="str">
        <f>IF($B198="","",IF(Q$3=0,"n.b.",INDEX(SRC_Woningetalage!$A$1:$ZZ$501,$A198,Q$3)))</f>
        <v/>
      </c>
      <c r="R198" s="124" t="str">
        <f>IF($B198="","",IF(R$3=0,"n.b.",INDEX(SRC_Woningetalage!$A$1:$ZZ$501,$A198,R$3)))</f>
        <v/>
      </c>
      <c r="S198" s="124" t="str">
        <f>IF($B198="","",IF(S$3=0,"n.b.",INDEX(SRC_Woningetalage!$A$1:$ZZ$501,$A198,S$3)))</f>
        <v/>
      </c>
      <c r="T198" s="124" t="str">
        <f>IF($B198="","",IF(T$3=0,"n.b.",INDEX(SRC_Woningetalage!$A$1:$ZZ$501,$A198,T$3)))</f>
        <v/>
      </c>
      <c r="U198" s="124" t="str">
        <f>IF($B198="","",IF(U$3=0,"n.b.",INDEX(SRC_Woningetalage!$A$1:$ZZ$501,$A198,U$3)))</f>
        <v/>
      </c>
      <c r="V198" s="124" t="str">
        <f>IF($B198="","",IF(V$3=0,"n.b.",INDEX(SRC_Woningetalage!$A$1:$ZZ$501,$A198,V$3)))</f>
        <v/>
      </c>
      <c r="W198" s="124" t="str">
        <f>IF($B198="","",IF(W$3=0,"n.b.",INDEX(SRC_Woningetalage!$A$1:$ZZ$501,$A198,W$3)))</f>
        <v/>
      </c>
      <c r="X198" s="124" t="str">
        <f>IF($B198="","",IF(X$3=0,"n.b.",INDEX(SRC_Woningetalage!$A$1:$ZZ$501,$A198,X$3)))</f>
        <v/>
      </c>
      <c r="Y198" s="124" t="str">
        <f>IF($B198="","",IF(Y$3=0,"n.b.",INDEX(SRC_Woningetalage!$A$1:$ZZ$501,$A198,Y$3)))</f>
        <v/>
      </c>
      <c r="Z198" s="124" t="str">
        <f>IF($B198="","",IF(Z$3=0,"n.b.",INDEX(SRC_Woningetalage!$A$1:$ZZ$501,$A198,Z$3)))</f>
        <v/>
      </c>
      <c r="AA198" s="124" t="str">
        <f>IF($B198="","",IF(AA$3=0,"n.b.",INDEX(SRC_Woningetalage!$A$1:$ZZ$501,$A198,AA$3)))</f>
        <v/>
      </c>
      <c r="AB198" s="124" t="str">
        <f>IF($B198="","",IF(AB$3=0,"n.b.",INDEX(SRC_Woningetalage!$A$1:$ZZ$501,$A198,AB$3)))</f>
        <v/>
      </c>
      <c r="AC198" s="124" t="str">
        <f>IF($B198="","",IF(AC$3=0,"n.b.",INDEX(SRC_Woningetalage!$A$1:$ZZ$501,$A198,AC$3)))</f>
        <v/>
      </c>
      <c r="AD198" s="124" t="str">
        <f>IF($B198="","",IF(AD$3=0,"n.b.",INDEX(SRC_Woningetalage!$A$1:$ZZ$501,$A198,AD$3)))</f>
        <v/>
      </c>
      <c r="AE198" s="124" t="str">
        <f>IF($B198="","",IF(AE$3=0,"n.b.",INDEX(SRC_Woningetalage!$A$1:$ZZ$501,$A198,AE$3)))</f>
        <v/>
      </c>
      <c r="AF198" s="124" t="str">
        <f>IF($B198="","",IF(AF$3=0,"n.b.",INDEX(SRC_Woningetalage!$A$1:$ZZ$501,$A198,AF$3)))</f>
        <v/>
      </c>
      <c r="AG198" s="124" t="str">
        <f>IF($B198="","",IF(AG$3=0,"n.b.",INDEX(SRC_Woningetalage!$A$1:$ZZ$501,$A198,AG$3)))</f>
        <v/>
      </c>
      <c r="AH198" s="124" t="str">
        <f>IF($B198="","",IF(AH$3=0,"n.b.",INDEX(SRC_Woningetalage!$A$1:$ZZ$501,$A198,AH$3)))</f>
        <v/>
      </c>
      <c r="AI198" s="124" t="str">
        <f>IF($B198="","",IF(AI$3=0,"n.b.",INDEX(SRC_Woningetalage!$A$1:$ZZ$501,$A198,AI$3)))</f>
        <v/>
      </c>
      <c r="AJ198" s="124" t="str">
        <f>IF($B198="","",IF(AJ$3=0,"n.b.",INDEX(SRC_Woningetalage!$A$1:$ZZ$501,$A198,AJ$3)))</f>
        <v/>
      </c>
      <c r="AK198" s="124" t="str">
        <f>IF($B198="","",IF(AK$3=0,"n.b.",INDEX(SRC_Woningetalage!$A$1:$ZZ$501,$A198,AK$3)))</f>
        <v/>
      </c>
      <c r="AL198" s="124" t="str">
        <f>IF($B198="","",IF(AL$3=0,"n.b.",INDEX(SRC_Woningetalage!$A$1:$ZZ$501,$A198,AL$3)))</f>
        <v/>
      </c>
      <c r="AM198" s="124" t="str">
        <f>IF($B198="","",IF(AM$3=0,"n.b.",INDEX(SRC_Woningetalage!$A$1:$ZZ$501,$A198,AM$3)))</f>
        <v/>
      </c>
      <c r="AN198" s="124" t="str">
        <f>IF($B198="","",IF(AN$3=0,"n.b.",INDEX(SRC_Woningetalage!$A$1:$ZZ$501,$A198,AN$3)))</f>
        <v/>
      </c>
      <c r="AO198" s="124" t="str">
        <f>IF($B198="","",IF(AO$3=0,"n.b.",INDEX(SRC_Woningetalage!$A$1:$ZZ$501,$A198,AO$3)))</f>
        <v/>
      </c>
      <c r="AP198" s="124" t="str">
        <f>IF($B198="","",IF(AP$3=0,"n.b.",INDEX(SRC_Woningetalage!$A$1:$ZZ$501,$A198,AP$3)))</f>
        <v/>
      </c>
      <c r="AQ198" s="124" t="str">
        <f>IF($B198="","",IF(AQ$3=0,"n.b.",INDEX(SRC_Woningetalage!$A$1:$ZZ$501,$A198,AQ$3)))</f>
        <v/>
      </c>
      <c r="AR198" s="124" t="str">
        <f>IF($B198="","",IF(AR$3=0,"n.b.",INDEX(SRC_Woningetalage!$A$1:$ZZ$501,$A198,AR$3)))</f>
        <v/>
      </c>
      <c r="AS198" s="124" t="str">
        <f>IF($B198="","",IF(AS$3=0,"n.b.",INDEX(SRC_Woningetalage!$A$1:$ZZ$501,$A198,AS$3)))</f>
        <v/>
      </c>
      <c r="AT198" s="124" t="str">
        <f>IF($B198="","",IF(AT$3=0,"n.b.",INDEX(SRC_Woningetalage!$A$1:$ZZ$501,$A198,AT$3)))</f>
        <v/>
      </c>
      <c r="AU198" s="124" t="str">
        <f>IF($B198="","",IF(AU$3=0,"n.b.",INDEX(SRC_Woningetalage!$A$1:$ZZ$501,$A198,AU$3)))</f>
        <v/>
      </c>
      <c r="AV198" s="124" t="str">
        <f>IF($B198="","",IF(AV$3=0,"n.b.",INDEX(SRC_Woningetalage!$A$1:$ZZ$501,$A198,AV$3)))</f>
        <v/>
      </c>
      <c r="AW198" s="124" t="str">
        <f>IF($B198="","",IF(AW$3=0,"n.b.",INDEX(SRC_Woningetalage!$A$1:$ZZ$501,$A198,AW$3)))</f>
        <v/>
      </c>
      <c r="AX198" s="124" t="str">
        <f>IF($B198="","",IF(AX$3=0,"n.b.",INDEX(SRC_Woningetalage!$A$1:$ZZ$501,$A198,AX$3)))</f>
        <v/>
      </c>
      <c r="AY198" s="124" t="str">
        <f>IF($B198="","",IF(AY$3=0,"n.b.",INDEX(SRC_Woningetalage!$A$1:$ZZ$501,$A198,AY$3)))</f>
        <v/>
      </c>
      <c r="AZ198" s="124" t="str">
        <f>IF($B198="","",IF(AZ$3=0,"n.b.",INDEX(SRC_Woningetalage!$A$1:$ZZ$501,$A198,AZ$3)))</f>
        <v/>
      </c>
      <c r="BA198" s="124" t="str">
        <f>IF($B198="","",IF(BA$3=0,"n.b.",INDEX(SRC_Woningetalage!$A$1:$ZZ$501,$A198,BA$3)))</f>
        <v/>
      </c>
      <c r="BB198" s="124" t="str">
        <f>IF($B198="","",IF(BB$3=0,"n.b.",INDEX(SRC_Woningetalage!$A$1:$ZZ$501,$A198,BB$3)))</f>
        <v/>
      </c>
      <c r="BC198" s="124" t="str">
        <f>IF($B198="","",IFERROR(_xlfn.NUMBERVALUE(E198&amp;"",",","."),"n.b."))</f>
        <v/>
      </c>
      <c r="BD198" s="124" t="str">
        <f>IF($B198="","",IFERROR(_xlfn.NUMBERVALUE(M198&amp;"",",","."),"n.b."))</f>
        <v/>
      </c>
      <c r="BE198" s="124" t="str">
        <f>IF($B198="","",IFERROR(AB198+AC198+AD198,"n.b."))</f>
        <v/>
      </c>
      <c r="BF198" s="124" t="str">
        <f>IF($B198="","",IFERROR(AE198+AF198+AG198,"n.b."))</f>
        <v/>
      </c>
      <c r="BG198" s="124" t="str">
        <f>IF($B198="","",IFERROR(AH198+AI198+AJ198,"n.b."))</f>
        <v/>
      </c>
      <c r="BH198" s="124" t="str">
        <f>IF($B198="","",IFERROR(AK198+AL198+AM198,"n.b."))</f>
        <v/>
      </c>
      <c r="BI198" s="124" t="str">
        <f>IF($B198="","",IFERROR(SUMIF($AB$5:$AM$5,"&lt;="&amp;P_PeilMaand,AB198:AM198),"n.b."))</f>
        <v/>
      </c>
      <c r="BJ198" s="124" t="str">
        <f>IF($B198="","",IFERROR(SUM(AB198:AM198)-BI198,"n.b."))</f>
        <v/>
      </c>
      <c r="BK198" s="124" t="str">
        <f>IF($B198="","",IFERROR(IF(ABS(Q198-(T198+SUM(AB198:AM198)+AS198+AU198))&gt;P_Tol,1,0),1))</f>
        <v/>
      </c>
      <c r="BL198" s="124" t="str">
        <f>IF($B198="","",IFERROR(IF(ABS(AA198-(Q198-Z198))&gt;P_Tol,1,0),1))</f>
        <v/>
      </c>
      <c r="BM198" s="124" t="str">
        <f>IF($B198="","",IFERROR(IF(ABS(Z198-(T198+W198))&gt;P_Tol,1,0),1))</f>
        <v/>
      </c>
      <c r="BN198" s="124" t="str">
        <f>IF($B198="","",IFERROR(IF(ABS(W198-BI198)&gt;P_Tol,1,0),1))</f>
        <v/>
      </c>
      <c r="BO198" s="124" t="str">
        <f>IF($B198="","",IFERROR(IF(OR(ABS(R198+S198-T198)&gt;P_Tol,ABS(U198+V198-W198)&gt;P_Tol,ABS(X198+Y198-Z198)&gt;P_Tol),1,0),1))</f>
        <v/>
      </c>
      <c r="BP198" s="124" t="str">
        <f>IF($B198="","",IFERROR(IF(OR(ABS(AR198-SUM(AB198:AM198))&gt;P_Tol,ABS(AS198-(AN198+AO198+AP198+AQ198))&gt;P_Tol),1,0),1))</f>
        <v/>
      </c>
      <c r="BQ198" s="124" t="str">
        <f>IF($B198="","",IFERROR(IF(ABS(AT198)+ABS(AV198)+ABS(AW198)+ABS(AX198)+ABS(AY198)+ABS(AZ198)+ABS(BA198)+ABS(BB198)&gt;0,1,0),1))</f>
        <v/>
      </c>
      <c r="BR198" s="124" t="str">
        <f>IF($B198="","",COUNTIF(STG_ZPMW03!$B$6:$B$505,B198))</f>
        <v/>
      </c>
      <c r="BS198" s="124" t="str">
        <f>IF($B198="","",COUNTIF($B$6:$B$505,B198))</f>
        <v/>
      </c>
      <c r="BT198" s="124" t="str">
        <f>IF($B198="","",IF(BR198=0,0,IF(INDEX(STG_ZPMW03!$I$6:$I$505,MATCH(B198,STG_ZPMW03!$B$6:$B$505,0))=J198&amp;"",0,1)))</f>
        <v/>
      </c>
      <c r="BU198" s="124" t="str">
        <f>IF($B198="","",IFERROR(IF(ABS(INDEX(Mapping!$D$5:$D$104,MATCH(B198,Mapping!$A$5:$A$104,0))-Q198)&gt;P_Tol,1,0),0))</f>
        <v/>
      </c>
      <c r="BV198" s="124" t="str">
        <f>IF($B198="","",IFERROR(IF(AND(INDEX(Mapping!$G$5:$G$104,MATCH(B198,Mapping!$A$5:$A$104,0))="Nee",ABS(Q198)+ABS(Z198)+ABS(AR198)&gt;0),1,0),0))</f>
        <v/>
      </c>
      <c r="BW198" s="124" t="str">
        <f>IF($B198="","",IF(COUNTIF(Mapping!$A$5:$A$104,B198)&gt;0,1,0))</f>
        <v/>
      </c>
      <c r="BX198" s="124" t="str">
        <f>IF($B198="","",IF(BR198=0,COUNTIF($BR$6:BR198,0),""))</f>
        <v/>
      </c>
    </row>
    <row r="199">
      <c r="A199" s="15" t="n">
        <v>195</v>
      </c>
      <c r="B199" t="str">
        <f>IF(B$3=0,"",IF(INDEX(SRC_Woningetalage!$A$1:$ZZ$501,$A199,B$3)&amp;""="","",INDEX(SRC_Woningetalage!$A$1:$ZZ$501,$A199,B$3)&amp;""))</f>
        <v/>
      </c>
      <c r="C199" t="str">
        <f>IF($B199="","",IF(C$3=0,"n.b.",INDEX(SRC_Woningetalage!$A$1:$ZZ$501,$A199,C$3)))</f>
        <v/>
      </c>
      <c r="D199" t="str">
        <f>IF($B199="","",IF(D$3=0,"n.b.",INDEX(SRC_Woningetalage!$A$1:$ZZ$501,$A199,D$3)))</f>
        <v/>
      </c>
      <c r="E199" t="str">
        <f>IF($B199="","",IF(E$3=0,"n.b.",INDEX(SRC_Woningetalage!$A$1:$ZZ$501,$A199,E$3)))</f>
        <v/>
      </c>
      <c r="F199" t="str">
        <f>IF($B199="","",IF(F$3=0,"n.b.",INDEX(SRC_Woningetalage!$A$1:$ZZ$501,$A199,F$3)))</f>
        <v/>
      </c>
      <c r="G199" t="str">
        <f>IF($B199="","",IF(G$3=0,"n.b.",INDEX(SRC_Woningetalage!$A$1:$ZZ$501,$A199,G$3)))</f>
        <v/>
      </c>
      <c r="H199" t="str">
        <f>IF($B199="","",IF(H$3=0,"n.b.",INDEX(SRC_Woningetalage!$A$1:$ZZ$501,$A199,H$3)))</f>
        <v/>
      </c>
      <c r="I199" t="str">
        <f>IF($B199="","",IF(I$3=0,"n.b.",INDEX(SRC_Woningetalage!$A$1:$ZZ$501,$A199,I$3)))</f>
        <v/>
      </c>
      <c r="J199" t="str">
        <f>IF($B199="","",IF(J$3=0,"n.b.",INDEX(SRC_Woningetalage!$A$1:$ZZ$501,$A199,J$3)))</f>
        <v/>
      </c>
      <c r="K199" t="str">
        <f>IF($B199="","",IF(K$3=0,"n.b.",INDEX(SRC_Woningetalage!$A$1:$ZZ$501,$A199,K$3)))</f>
        <v/>
      </c>
      <c r="L199" t="str">
        <f>IF($B199="","",IF(L$3=0,"n.b.",INDEX(SRC_Woningetalage!$A$1:$ZZ$501,$A199,L$3)))</f>
        <v/>
      </c>
      <c r="M199" t="str">
        <f>IF($B199="","",IF(M$3=0,"n.b.",INDEX(SRC_Woningetalage!$A$1:$ZZ$501,$A199,M$3)))</f>
        <v/>
      </c>
      <c r="N199" t="str">
        <f>IF($B199="","",IF(N$3=0,"n.b.",INDEX(SRC_Woningetalage!$A$1:$ZZ$501,$A199,N$3)))</f>
        <v/>
      </c>
      <c r="O199" t="str">
        <f>IF($B199="","",IF(O$3=0,"n.b.",INDEX(SRC_Woningetalage!$A$1:$ZZ$501,$A199,O$3)))</f>
        <v/>
      </c>
      <c r="P199" t="str">
        <f>IF($B199="","",IF(P$3=0,"n.b.",INDEX(SRC_Woningetalage!$A$1:$ZZ$501,$A199,P$3)))</f>
        <v/>
      </c>
      <c r="Q199" s="124" t="str">
        <f>IF($B199="","",IF(Q$3=0,"n.b.",INDEX(SRC_Woningetalage!$A$1:$ZZ$501,$A199,Q$3)))</f>
        <v/>
      </c>
      <c r="R199" s="124" t="str">
        <f>IF($B199="","",IF(R$3=0,"n.b.",INDEX(SRC_Woningetalage!$A$1:$ZZ$501,$A199,R$3)))</f>
        <v/>
      </c>
      <c r="S199" s="124" t="str">
        <f>IF($B199="","",IF(S$3=0,"n.b.",INDEX(SRC_Woningetalage!$A$1:$ZZ$501,$A199,S$3)))</f>
        <v/>
      </c>
      <c r="T199" s="124" t="str">
        <f>IF($B199="","",IF(T$3=0,"n.b.",INDEX(SRC_Woningetalage!$A$1:$ZZ$501,$A199,T$3)))</f>
        <v/>
      </c>
      <c r="U199" s="124" t="str">
        <f>IF($B199="","",IF(U$3=0,"n.b.",INDEX(SRC_Woningetalage!$A$1:$ZZ$501,$A199,U$3)))</f>
        <v/>
      </c>
      <c r="V199" s="124" t="str">
        <f>IF($B199="","",IF(V$3=0,"n.b.",INDEX(SRC_Woningetalage!$A$1:$ZZ$501,$A199,V$3)))</f>
        <v/>
      </c>
      <c r="W199" s="124" t="str">
        <f>IF($B199="","",IF(W$3=0,"n.b.",INDEX(SRC_Woningetalage!$A$1:$ZZ$501,$A199,W$3)))</f>
        <v/>
      </c>
      <c r="X199" s="124" t="str">
        <f>IF($B199="","",IF(X$3=0,"n.b.",INDEX(SRC_Woningetalage!$A$1:$ZZ$501,$A199,X$3)))</f>
        <v/>
      </c>
      <c r="Y199" s="124" t="str">
        <f>IF($B199="","",IF(Y$3=0,"n.b.",INDEX(SRC_Woningetalage!$A$1:$ZZ$501,$A199,Y$3)))</f>
        <v/>
      </c>
      <c r="Z199" s="124" t="str">
        <f>IF($B199="","",IF(Z$3=0,"n.b.",INDEX(SRC_Woningetalage!$A$1:$ZZ$501,$A199,Z$3)))</f>
        <v/>
      </c>
      <c r="AA199" s="124" t="str">
        <f>IF($B199="","",IF(AA$3=0,"n.b.",INDEX(SRC_Woningetalage!$A$1:$ZZ$501,$A199,AA$3)))</f>
        <v/>
      </c>
      <c r="AB199" s="124" t="str">
        <f>IF($B199="","",IF(AB$3=0,"n.b.",INDEX(SRC_Woningetalage!$A$1:$ZZ$501,$A199,AB$3)))</f>
        <v/>
      </c>
      <c r="AC199" s="124" t="str">
        <f>IF($B199="","",IF(AC$3=0,"n.b.",INDEX(SRC_Woningetalage!$A$1:$ZZ$501,$A199,AC$3)))</f>
        <v/>
      </c>
      <c r="AD199" s="124" t="str">
        <f>IF($B199="","",IF(AD$3=0,"n.b.",INDEX(SRC_Woningetalage!$A$1:$ZZ$501,$A199,AD$3)))</f>
        <v/>
      </c>
      <c r="AE199" s="124" t="str">
        <f>IF($B199="","",IF(AE$3=0,"n.b.",INDEX(SRC_Woningetalage!$A$1:$ZZ$501,$A199,AE$3)))</f>
        <v/>
      </c>
      <c r="AF199" s="124" t="str">
        <f>IF($B199="","",IF(AF$3=0,"n.b.",INDEX(SRC_Woningetalage!$A$1:$ZZ$501,$A199,AF$3)))</f>
        <v/>
      </c>
      <c r="AG199" s="124" t="str">
        <f>IF($B199="","",IF(AG$3=0,"n.b.",INDEX(SRC_Woningetalage!$A$1:$ZZ$501,$A199,AG$3)))</f>
        <v/>
      </c>
      <c r="AH199" s="124" t="str">
        <f>IF($B199="","",IF(AH$3=0,"n.b.",INDEX(SRC_Woningetalage!$A$1:$ZZ$501,$A199,AH$3)))</f>
        <v/>
      </c>
      <c r="AI199" s="124" t="str">
        <f>IF($B199="","",IF(AI$3=0,"n.b.",INDEX(SRC_Woningetalage!$A$1:$ZZ$501,$A199,AI$3)))</f>
        <v/>
      </c>
      <c r="AJ199" s="124" t="str">
        <f>IF($B199="","",IF(AJ$3=0,"n.b.",INDEX(SRC_Woningetalage!$A$1:$ZZ$501,$A199,AJ$3)))</f>
        <v/>
      </c>
      <c r="AK199" s="124" t="str">
        <f>IF($B199="","",IF(AK$3=0,"n.b.",INDEX(SRC_Woningetalage!$A$1:$ZZ$501,$A199,AK$3)))</f>
        <v/>
      </c>
      <c r="AL199" s="124" t="str">
        <f>IF($B199="","",IF(AL$3=0,"n.b.",INDEX(SRC_Woningetalage!$A$1:$ZZ$501,$A199,AL$3)))</f>
        <v/>
      </c>
      <c r="AM199" s="124" t="str">
        <f>IF($B199="","",IF(AM$3=0,"n.b.",INDEX(SRC_Woningetalage!$A$1:$ZZ$501,$A199,AM$3)))</f>
        <v/>
      </c>
      <c r="AN199" s="124" t="str">
        <f>IF($B199="","",IF(AN$3=0,"n.b.",INDEX(SRC_Woningetalage!$A$1:$ZZ$501,$A199,AN$3)))</f>
        <v/>
      </c>
      <c r="AO199" s="124" t="str">
        <f>IF($B199="","",IF(AO$3=0,"n.b.",INDEX(SRC_Woningetalage!$A$1:$ZZ$501,$A199,AO$3)))</f>
        <v/>
      </c>
      <c r="AP199" s="124" t="str">
        <f>IF($B199="","",IF(AP$3=0,"n.b.",INDEX(SRC_Woningetalage!$A$1:$ZZ$501,$A199,AP$3)))</f>
        <v/>
      </c>
      <c r="AQ199" s="124" t="str">
        <f>IF($B199="","",IF(AQ$3=0,"n.b.",INDEX(SRC_Woningetalage!$A$1:$ZZ$501,$A199,AQ$3)))</f>
        <v/>
      </c>
      <c r="AR199" s="124" t="str">
        <f>IF($B199="","",IF(AR$3=0,"n.b.",INDEX(SRC_Woningetalage!$A$1:$ZZ$501,$A199,AR$3)))</f>
        <v/>
      </c>
      <c r="AS199" s="124" t="str">
        <f>IF($B199="","",IF(AS$3=0,"n.b.",INDEX(SRC_Woningetalage!$A$1:$ZZ$501,$A199,AS$3)))</f>
        <v/>
      </c>
      <c r="AT199" s="124" t="str">
        <f>IF($B199="","",IF(AT$3=0,"n.b.",INDEX(SRC_Woningetalage!$A$1:$ZZ$501,$A199,AT$3)))</f>
        <v/>
      </c>
      <c r="AU199" s="124" t="str">
        <f>IF($B199="","",IF(AU$3=0,"n.b.",INDEX(SRC_Woningetalage!$A$1:$ZZ$501,$A199,AU$3)))</f>
        <v/>
      </c>
      <c r="AV199" s="124" t="str">
        <f>IF($B199="","",IF(AV$3=0,"n.b.",INDEX(SRC_Woningetalage!$A$1:$ZZ$501,$A199,AV$3)))</f>
        <v/>
      </c>
      <c r="AW199" s="124" t="str">
        <f>IF($B199="","",IF(AW$3=0,"n.b.",INDEX(SRC_Woningetalage!$A$1:$ZZ$501,$A199,AW$3)))</f>
        <v/>
      </c>
      <c r="AX199" s="124" t="str">
        <f>IF($B199="","",IF(AX$3=0,"n.b.",INDEX(SRC_Woningetalage!$A$1:$ZZ$501,$A199,AX$3)))</f>
        <v/>
      </c>
      <c r="AY199" s="124" t="str">
        <f>IF($B199="","",IF(AY$3=0,"n.b.",INDEX(SRC_Woningetalage!$A$1:$ZZ$501,$A199,AY$3)))</f>
        <v/>
      </c>
      <c r="AZ199" s="124" t="str">
        <f>IF($B199="","",IF(AZ$3=0,"n.b.",INDEX(SRC_Woningetalage!$A$1:$ZZ$501,$A199,AZ$3)))</f>
        <v/>
      </c>
      <c r="BA199" s="124" t="str">
        <f>IF($B199="","",IF(BA$3=0,"n.b.",INDEX(SRC_Woningetalage!$A$1:$ZZ$501,$A199,BA$3)))</f>
        <v/>
      </c>
      <c r="BB199" s="124" t="str">
        <f>IF($B199="","",IF(BB$3=0,"n.b.",INDEX(SRC_Woningetalage!$A$1:$ZZ$501,$A199,BB$3)))</f>
        <v/>
      </c>
      <c r="BC199" s="124" t="str">
        <f>IF($B199="","",IFERROR(_xlfn.NUMBERVALUE(E199&amp;"",",","."),"n.b."))</f>
        <v/>
      </c>
      <c r="BD199" s="124" t="str">
        <f>IF($B199="","",IFERROR(_xlfn.NUMBERVALUE(M199&amp;"",",","."),"n.b."))</f>
        <v/>
      </c>
      <c r="BE199" s="124" t="str">
        <f>IF($B199="","",IFERROR(AB199+AC199+AD199,"n.b."))</f>
        <v/>
      </c>
      <c r="BF199" s="124" t="str">
        <f>IF($B199="","",IFERROR(AE199+AF199+AG199,"n.b."))</f>
        <v/>
      </c>
      <c r="BG199" s="124" t="str">
        <f>IF($B199="","",IFERROR(AH199+AI199+AJ199,"n.b."))</f>
        <v/>
      </c>
      <c r="BH199" s="124" t="str">
        <f>IF($B199="","",IFERROR(AK199+AL199+AM199,"n.b."))</f>
        <v/>
      </c>
      <c r="BI199" s="124" t="str">
        <f>IF($B199="","",IFERROR(SUMIF($AB$5:$AM$5,"&lt;="&amp;P_PeilMaand,AB199:AM199),"n.b."))</f>
        <v/>
      </c>
      <c r="BJ199" s="124" t="str">
        <f>IF($B199="","",IFERROR(SUM(AB199:AM199)-BI199,"n.b."))</f>
        <v/>
      </c>
      <c r="BK199" s="124" t="str">
        <f>IF($B199="","",IFERROR(IF(ABS(Q199-(T199+SUM(AB199:AM199)+AS199+AU199))&gt;P_Tol,1,0),1))</f>
        <v/>
      </c>
      <c r="BL199" s="124" t="str">
        <f>IF($B199="","",IFERROR(IF(ABS(AA199-(Q199-Z199))&gt;P_Tol,1,0),1))</f>
        <v/>
      </c>
      <c r="BM199" s="124" t="str">
        <f>IF($B199="","",IFERROR(IF(ABS(Z199-(T199+W199))&gt;P_Tol,1,0),1))</f>
        <v/>
      </c>
      <c r="BN199" s="124" t="str">
        <f>IF($B199="","",IFERROR(IF(ABS(W199-BI199)&gt;P_Tol,1,0),1))</f>
        <v/>
      </c>
      <c r="BO199" s="124" t="str">
        <f>IF($B199="","",IFERROR(IF(OR(ABS(R199+S199-T199)&gt;P_Tol,ABS(U199+V199-W199)&gt;P_Tol,ABS(X199+Y199-Z199)&gt;P_Tol),1,0),1))</f>
        <v/>
      </c>
      <c r="BP199" s="124" t="str">
        <f>IF($B199="","",IFERROR(IF(OR(ABS(AR199-SUM(AB199:AM199))&gt;P_Tol,ABS(AS199-(AN199+AO199+AP199+AQ199))&gt;P_Tol),1,0),1))</f>
        <v/>
      </c>
      <c r="BQ199" s="124" t="str">
        <f>IF($B199="","",IFERROR(IF(ABS(AT199)+ABS(AV199)+ABS(AW199)+ABS(AX199)+ABS(AY199)+ABS(AZ199)+ABS(BA199)+ABS(BB199)&gt;0,1,0),1))</f>
        <v/>
      </c>
      <c r="BR199" s="124" t="str">
        <f>IF($B199="","",COUNTIF(STG_ZPMW03!$B$6:$B$505,B199))</f>
        <v/>
      </c>
      <c r="BS199" s="124" t="str">
        <f>IF($B199="","",COUNTIF($B$6:$B$505,B199))</f>
        <v/>
      </c>
      <c r="BT199" s="124" t="str">
        <f>IF($B199="","",IF(BR199=0,0,IF(INDEX(STG_ZPMW03!$I$6:$I$505,MATCH(B199,STG_ZPMW03!$B$6:$B$505,0))=J199&amp;"",0,1)))</f>
        <v/>
      </c>
      <c r="BU199" s="124" t="str">
        <f>IF($B199="","",IFERROR(IF(ABS(INDEX(Mapping!$D$5:$D$104,MATCH(B199,Mapping!$A$5:$A$104,0))-Q199)&gt;P_Tol,1,0),0))</f>
        <v/>
      </c>
      <c r="BV199" s="124" t="str">
        <f>IF($B199="","",IFERROR(IF(AND(INDEX(Mapping!$G$5:$G$104,MATCH(B199,Mapping!$A$5:$A$104,0))="Nee",ABS(Q199)+ABS(Z199)+ABS(AR199)&gt;0),1,0),0))</f>
        <v/>
      </c>
      <c r="BW199" s="124" t="str">
        <f>IF($B199="","",IF(COUNTIF(Mapping!$A$5:$A$104,B199)&gt;0,1,0))</f>
        <v/>
      </c>
      <c r="BX199" s="124" t="str">
        <f>IF($B199="","",IF(BR199=0,COUNTIF($BR$6:BR199,0),""))</f>
        <v/>
      </c>
    </row>
    <row r="200">
      <c r="A200" s="15" t="n">
        <v>196</v>
      </c>
      <c r="B200" t="str">
        <f>IF(B$3=0,"",IF(INDEX(SRC_Woningetalage!$A$1:$ZZ$501,$A200,B$3)&amp;""="","",INDEX(SRC_Woningetalage!$A$1:$ZZ$501,$A200,B$3)&amp;""))</f>
        <v/>
      </c>
      <c r="C200" t="str">
        <f>IF($B200="","",IF(C$3=0,"n.b.",INDEX(SRC_Woningetalage!$A$1:$ZZ$501,$A200,C$3)))</f>
        <v/>
      </c>
      <c r="D200" t="str">
        <f>IF($B200="","",IF(D$3=0,"n.b.",INDEX(SRC_Woningetalage!$A$1:$ZZ$501,$A200,D$3)))</f>
        <v/>
      </c>
      <c r="E200" t="str">
        <f>IF($B200="","",IF(E$3=0,"n.b.",INDEX(SRC_Woningetalage!$A$1:$ZZ$501,$A200,E$3)))</f>
        <v/>
      </c>
      <c r="F200" t="str">
        <f>IF($B200="","",IF(F$3=0,"n.b.",INDEX(SRC_Woningetalage!$A$1:$ZZ$501,$A200,F$3)))</f>
        <v/>
      </c>
      <c r="G200" t="str">
        <f>IF($B200="","",IF(G$3=0,"n.b.",INDEX(SRC_Woningetalage!$A$1:$ZZ$501,$A200,G$3)))</f>
        <v/>
      </c>
      <c r="H200" t="str">
        <f>IF($B200="","",IF(H$3=0,"n.b.",INDEX(SRC_Woningetalage!$A$1:$ZZ$501,$A200,H$3)))</f>
        <v/>
      </c>
      <c r="I200" t="str">
        <f>IF($B200="","",IF(I$3=0,"n.b.",INDEX(SRC_Woningetalage!$A$1:$ZZ$501,$A200,I$3)))</f>
        <v/>
      </c>
      <c r="J200" t="str">
        <f>IF($B200="","",IF(J$3=0,"n.b.",INDEX(SRC_Woningetalage!$A$1:$ZZ$501,$A200,J$3)))</f>
        <v/>
      </c>
      <c r="K200" t="str">
        <f>IF($B200="","",IF(K$3=0,"n.b.",INDEX(SRC_Woningetalage!$A$1:$ZZ$501,$A200,K$3)))</f>
        <v/>
      </c>
      <c r="L200" t="str">
        <f>IF($B200="","",IF(L$3=0,"n.b.",INDEX(SRC_Woningetalage!$A$1:$ZZ$501,$A200,L$3)))</f>
        <v/>
      </c>
      <c r="M200" t="str">
        <f>IF($B200="","",IF(M$3=0,"n.b.",INDEX(SRC_Woningetalage!$A$1:$ZZ$501,$A200,M$3)))</f>
        <v/>
      </c>
      <c r="N200" t="str">
        <f>IF($B200="","",IF(N$3=0,"n.b.",INDEX(SRC_Woningetalage!$A$1:$ZZ$501,$A200,N$3)))</f>
        <v/>
      </c>
      <c r="O200" t="str">
        <f>IF($B200="","",IF(O$3=0,"n.b.",INDEX(SRC_Woningetalage!$A$1:$ZZ$501,$A200,O$3)))</f>
        <v/>
      </c>
      <c r="P200" t="str">
        <f>IF($B200="","",IF(P$3=0,"n.b.",INDEX(SRC_Woningetalage!$A$1:$ZZ$501,$A200,P$3)))</f>
        <v/>
      </c>
      <c r="Q200" s="124" t="str">
        <f>IF($B200="","",IF(Q$3=0,"n.b.",INDEX(SRC_Woningetalage!$A$1:$ZZ$501,$A200,Q$3)))</f>
        <v/>
      </c>
      <c r="R200" s="124" t="str">
        <f>IF($B200="","",IF(R$3=0,"n.b.",INDEX(SRC_Woningetalage!$A$1:$ZZ$501,$A200,R$3)))</f>
        <v/>
      </c>
      <c r="S200" s="124" t="str">
        <f>IF($B200="","",IF(S$3=0,"n.b.",INDEX(SRC_Woningetalage!$A$1:$ZZ$501,$A200,S$3)))</f>
        <v/>
      </c>
      <c r="T200" s="124" t="str">
        <f>IF($B200="","",IF(T$3=0,"n.b.",INDEX(SRC_Woningetalage!$A$1:$ZZ$501,$A200,T$3)))</f>
        <v/>
      </c>
      <c r="U200" s="124" t="str">
        <f>IF($B200="","",IF(U$3=0,"n.b.",INDEX(SRC_Woningetalage!$A$1:$ZZ$501,$A200,U$3)))</f>
        <v/>
      </c>
      <c r="V200" s="124" t="str">
        <f>IF($B200="","",IF(V$3=0,"n.b.",INDEX(SRC_Woningetalage!$A$1:$ZZ$501,$A200,V$3)))</f>
        <v/>
      </c>
      <c r="W200" s="124" t="str">
        <f>IF($B200="","",IF(W$3=0,"n.b.",INDEX(SRC_Woningetalage!$A$1:$ZZ$501,$A200,W$3)))</f>
        <v/>
      </c>
      <c r="X200" s="124" t="str">
        <f>IF($B200="","",IF(X$3=0,"n.b.",INDEX(SRC_Woningetalage!$A$1:$ZZ$501,$A200,X$3)))</f>
        <v/>
      </c>
      <c r="Y200" s="124" t="str">
        <f>IF($B200="","",IF(Y$3=0,"n.b.",INDEX(SRC_Woningetalage!$A$1:$ZZ$501,$A200,Y$3)))</f>
        <v/>
      </c>
      <c r="Z200" s="124" t="str">
        <f>IF($B200="","",IF(Z$3=0,"n.b.",INDEX(SRC_Woningetalage!$A$1:$ZZ$501,$A200,Z$3)))</f>
        <v/>
      </c>
      <c r="AA200" s="124" t="str">
        <f>IF($B200="","",IF(AA$3=0,"n.b.",INDEX(SRC_Woningetalage!$A$1:$ZZ$501,$A200,AA$3)))</f>
        <v/>
      </c>
      <c r="AB200" s="124" t="str">
        <f>IF($B200="","",IF(AB$3=0,"n.b.",INDEX(SRC_Woningetalage!$A$1:$ZZ$501,$A200,AB$3)))</f>
        <v/>
      </c>
      <c r="AC200" s="124" t="str">
        <f>IF($B200="","",IF(AC$3=0,"n.b.",INDEX(SRC_Woningetalage!$A$1:$ZZ$501,$A200,AC$3)))</f>
        <v/>
      </c>
      <c r="AD200" s="124" t="str">
        <f>IF($B200="","",IF(AD$3=0,"n.b.",INDEX(SRC_Woningetalage!$A$1:$ZZ$501,$A200,AD$3)))</f>
        <v/>
      </c>
      <c r="AE200" s="124" t="str">
        <f>IF($B200="","",IF(AE$3=0,"n.b.",INDEX(SRC_Woningetalage!$A$1:$ZZ$501,$A200,AE$3)))</f>
        <v/>
      </c>
      <c r="AF200" s="124" t="str">
        <f>IF($B200="","",IF(AF$3=0,"n.b.",INDEX(SRC_Woningetalage!$A$1:$ZZ$501,$A200,AF$3)))</f>
        <v/>
      </c>
      <c r="AG200" s="124" t="str">
        <f>IF($B200="","",IF(AG$3=0,"n.b.",INDEX(SRC_Woningetalage!$A$1:$ZZ$501,$A200,AG$3)))</f>
        <v/>
      </c>
      <c r="AH200" s="124" t="str">
        <f>IF($B200="","",IF(AH$3=0,"n.b.",INDEX(SRC_Woningetalage!$A$1:$ZZ$501,$A200,AH$3)))</f>
        <v/>
      </c>
      <c r="AI200" s="124" t="str">
        <f>IF($B200="","",IF(AI$3=0,"n.b.",INDEX(SRC_Woningetalage!$A$1:$ZZ$501,$A200,AI$3)))</f>
        <v/>
      </c>
      <c r="AJ200" s="124" t="str">
        <f>IF($B200="","",IF(AJ$3=0,"n.b.",INDEX(SRC_Woningetalage!$A$1:$ZZ$501,$A200,AJ$3)))</f>
        <v/>
      </c>
      <c r="AK200" s="124" t="str">
        <f>IF($B200="","",IF(AK$3=0,"n.b.",INDEX(SRC_Woningetalage!$A$1:$ZZ$501,$A200,AK$3)))</f>
        <v/>
      </c>
      <c r="AL200" s="124" t="str">
        <f>IF($B200="","",IF(AL$3=0,"n.b.",INDEX(SRC_Woningetalage!$A$1:$ZZ$501,$A200,AL$3)))</f>
        <v/>
      </c>
      <c r="AM200" s="124" t="str">
        <f>IF($B200="","",IF(AM$3=0,"n.b.",INDEX(SRC_Woningetalage!$A$1:$ZZ$501,$A200,AM$3)))</f>
        <v/>
      </c>
      <c r="AN200" s="124" t="str">
        <f>IF($B200="","",IF(AN$3=0,"n.b.",INDEX(SRC_Woningetalage!$A$1:$ZZ$501,$A200,AN$3)))</f>
        <v/>
      </c>
      <c r="AO200" s="124" t="str">
        <f>IF($B200="","",IF(AO$3=0,"n.b.",INDEX(SRC_Woningetalage!$A$1:$ZZ$501,$A200,AO$3)))</f>
        <v/>
      </c>
      <c r="AP200" s="124" t="str">
        <f>IF($B200="","",IF(AP$3=0,"n.b.",INDEX(SRC_Woningetalage!$A$1:$ZZ$501,$A200,AP$3)))</f>
        <v/>
      </c>
      <c r="AQ200" s="124" t="str">
        <f>IF($B200="","",IF(AQ$3=0,"n.b.",INDEX(SRC_Woningetalage!$A$1:$ZZ$501,$A200,AQ$3)))</f>
        <v/>
      </c>
      <c r="AR200" s="124" t="str">
        <f>IF($B200="","",IF(AR$3=0,"n.b.",INDEX(SRC_Woningetalage!$A$1:$ZZ$501,$A200,AR$3)))</f>
        <v/>
      </c>
      <c r="AS200" s="124" t="str">
        <f>IF($B200="","",IF(AS$3=0,"n.b.",INDEX(SRC_Woningetalage!$A$1:$ZZ$501,$A200,AS$3)))</f>
        <v/>
      </c>
      <c r="AT200" s="124" t="str">
        <f>IF($B200="","",IF(AT$3=0,"n.b.",INDEX(SRC_Woningetalage!$A$1:$ZZ$501,$A200,AT$3)))</f>
        <v/>
      </c>
      <c r="AU200" s="124" t="str">
        <f>IF($B200="","",IF(AU$3=0,"n.b.",INDEX(SRC_Woningetalage!$A$1:$ZZ$501,$A200,AU$3)))</f>
        <v/>
      </c>
      <c r="AV200" s="124" t="str">
        <f>IF($B200="","",IF(AV$3=0,"n.b.",INDEX(SRC_Woningetalage!$A$1:$ZZ$501,$A200,AV$3)))</f>
        <v/>
      </c>
      <c r="AW200" s="124" t="str">
        <f>IF($B200="","",IF(AW$3=0,"n.b.",INDEX(SRC_Woningetalage!$A$1:$ZZ$501,$A200,AW$3)))</f>
        <v/>
      </c>
      <c r="AX200" s="124" t="str">
        <f>IF($B200="","",IF(AX$3=0,"n.b.",INDEX(SRC_Woningetalage!$A$1:$ZZ$501,$A200,AX$3)))</f>
        <v/>
      </c>
      <c r="AY200" s="124" t="str">
        <f>IF($B200="","",IF(AY$3=0,"n.b.",INDEX(SRC_Woningetalage!$A$1:$ZZ$501,$A200,AY$3)))</f>
        <v/>
      </c>
      <c r="AZ200" s="124" t="str">
        <f>IF($B200="","",IF(AZ$3=0,"n.b.",INDEX(SRC_Woningetalage!$A$1:$ZZ$501,$A200,AZ$3)))</f>
        <v/>
      </c>
      <c r="BA200" s="124" t="str">
        <f>IF($B200="","",IF(BA$3=0,"n.b.",INDEX(SRC_Woningetalage!$A$1:$ZZ$501,$A200,BA$3)))</f>
        <v/>
      </c>
      <c r="BB200" s="124" t="str">
        <f>IF($B200="","",IF(BB$3=0,"n.b.",INDEX(SRC_Woningetalage!$A$1:$ZZ$501,$A200,BB$3)))</f>
        <v/>
      </c>
      <c r="BC200" s="124" t="str">
        <f>IF($B200="","",IFERROR(_xlfn.NUMBERVALUE(E200&amp;"",",","."),"n.b."))</f>
        <v/>
      </c>
      <c r="BD200" s="124" t="str">
        <f>IF($B200="","",IFERROR(_xlfn.NUMBERVALUE(M200&amp;"",",","."),"n.b."))</f>
        <v/>
      </c>
      <c r="BE200" s="124" t="str">
        <f>IF($B200="","",IFERROR(AB200+AC200+AD200,"n.b."))</f>
        <v/>
      </c>
      <c r="BF200" s="124" t="str">
        <f>IF($B200="","",IFERROR(AE200+AF200+AG200,"n.b."))</f>
        <v/>
      </c>
      <c r="BG200" s="124" t="str">
        <f>IF($B200="","",IFERROR(AH200+AI200+AJ200,"n.b."))</f>
        <v/>
      </c>
      <c r="BH200" s="124" t="str">
        <f>IF($B200="","",IFERROR(AK200+AL200+AM200,"n.b."))</f>
        <v/>
      </c>
      <c r="BI200" s="124" t="str">
        <f>IF($B200="","",IFERROR(SUMIF($AB$5:$AM$5,"&lt;="&amp;P_PeilMaand,AB200:AM200),"n.b."))</f>
        <v/>
      </c>
      <c r="BJ200" s="124" t="str">
        <f>IF($B200="","",IFERROR(SUM(AB200:AM200)-BI200,"n.b."))</f>
        <v/>
      </c>
      <c r="BK200" s="124" t="str">
        <f>IF($B200="","",IFERROR(IF(ABS(Q200-(T200+SUM(AB200:AM200)+AS200+AU200))&gt;P_Tol,1,0),1))</f>
        <v/>
      </c>
      <c r="BL200" s="124" t="str">
        <f>IF($B200="","",IFERROR(IF(ABS(AA200-(Q200-Z200))&gt;P_Tol,1,0),1))</f>
        <v/>
      </c>
      <c r="BM200" s="124" t="str">
        <f>IF($B200="","",IFERROR(IF(ABS(Z200-(T200+W200))&gt;P_Tol,1,0),1))</f>
        <v/>
      </c>
      <c r="BN200" s="124" t="str">
        <f>IF($B200="","",IFERROR(IF(ABS(W200-BI200)&gt;P_Tol,1,0),1))</f>
        <v/>
      </c>
      <c r="BO200" s="124" t="str">
        <f>IF($B200="","",IFERROR(IF(OR(ABS(R200+S200-T200)&gt;P_Tol,ABS(U200+V200-W200)&gt;P_Tol,ABS(X200+Y200-Z200)&gt;P_Tol),1,0),1))</f>
        <v/>
      </c>
      <c r="BP200" s="124" t="str">
        <f>IF($B200="","",IFERROR(IF(OR(ABS(AR200-SUM(AB200:AM200))&gt;P_Tol,ABS(AS200-(AN200+AO200+AP200+AQ200))&gt;P_Tol),1,0),1))</f>
        <v/>
      </c>
      <c r="BQ200" s="124" t="str">
        <f>IF($B200="","",IFERROR(IF(ABS(AT200)+ABS(AV200)+ABS(AW200)+ABS(AX200)+ABS(AY200)+ABS(AZ200)+ABS(BA200)+ABS(BB200)&gt;0,1,0),1))</f>
        <v/>
      </c>
      <c r="BR200" s="124" t="str">
        <f>IF($B200="","",COUNTIF(STG_ZPMW03!$B$6:$B$505,B200))</f>
        <v/>
      </c>
      <c r="BS200" s="124" t="str">
        <f>IF($B200="","",COUNTIF($B$6:$B$505,B200))</f>
        <v/>
      </c>
      <c r="BT200" s="124" t="str">
        <f>IF($B200="","",IF(BR200=0,0,IF(INDEX(STG_ZPMW03!$I$6:$I$505,MATCH(B200,STG_ZPMW03!$B$6:$B$505,0))=J200&amp;"",0,1)))</f>
        <v/>
      </c>
      <c r="BU200" s="124" t="str">
        <f>IF($B200="","",IFERROR(IF(ABS(INDEX(Mapping!$D$5:$D$104,MATCH(B200,Mapping!$A$5:$A$104,0))-Q200)&gt;P_Tol,1,0),0))</f>
        <v/>
      </c>
      <c r="BV200" s="124" t="str">
        <f>IF($B200="","",IFERROR(IF(AND(INDEX(Mapping!$G$5:$G$104,MATCH(B200,Mapping!$A$5:$A$104,0))="Nee",ABS(Q200)+ABS(Z200)+ABS(AR200)&gt;0),1,0),0))</f>
        <v/>
      </c>
      <c r="BW200" s="124" t="str">
        <f>IF($B200="","",IF(COUNTIF(Mapping!$A$5:$A$104,B200)&gt;0,1,0))</f>
        <v/>
      </c>
      <c r="BX200" s="124" t="str">
        <f>IF($B200="","",IF(BR200=0,COUNTIF($BR$6:BR200,0),""))</f>
        <v/>
      </c>
    </row>
    <row r="201">
      <c r="A201" s="15" t="n">
        <v>197</v>
      </c>
      <c r="B201" t="str">
        <f>IF(B$3=0,"",IF(INDEX(SRC_Woningetalage!$A$1:$ZZ$501,$A201,B$3)&amp;""="","",INDEX(SRC_Woningetalage!$A$1:$ZZ$501,$A201,B$3)&amp;""))</f>
        <v/>
      </c>
      <c r="C201" t="str">
        <f>IF($B201="","",IF(C$3=0,"n.b.",INDEX(SRC_Woningetalage!$A$1:$ZZ$501,$A201,C$3)))</f>
        <v/>
      </c>
      <c r="D201" t="str">
        <f>IF($B201="","",IF(D$3=0,"n.b.",INDEX(SRC_Woningetalage!$A$1:$ZZ$501,$A201,D$3)))</f>
        <v/>
      </c>
      <c r="E201" t="str">
        <f>IF($B201="","",IF(E$3=0,"n.b.",INDEX(SRC_Woningetalage!$A$1:$ZZ$501,$A201,E$3)))</f>
        <v/>
      </c>
      <c r="F201" t="str">
        <f>IF($B201="","",IF(F$3=0,"n.b.",INDEX(SRC_Woningetalage!$A$1:$ZZ$501,$A201,F$3)))</f>
        <v/>
      </c>
      <c r="G201" t="str">
        <f>IF($B201="","",IF(G$3=0,"n.b.",INDEX(SRC_Woningetalage!$A$1:$ZZ$501,$A201,G$3)))</f>
        <v/>
      </c>
      <c r="H201" t="str">
        <f>IF($B201="","",IF(H$3=0,"n.b.",INDEX(SRC_Woningetalage!$A$1:$ZZ$501,$A201,H$3)))</f>
        <v/>
      </c>
      <c r="I201" t="str">
        <f>IF($B201="","",IF(I$3=0,"n.b.",INDEX(SRC_Woningetalage!$A$1:$ZZ$501,$A201,I$3)))</f>
        <v/>
      </c>
      <c r="J201" t="str">
        <f>IF($B201="","",IF(J$3=0,"n.b.",INDEX(SRC_Woningetalage!$A$1:$ZZ$501,$A201,J$3)))</f>
        <v/>
      </c>
      <c r="K201" t="str">
        <f>IF($B201="","",IF(K$3=0,"n.b.",INDEX(SRC_Woningetalage!$A$1:$ZZ$501,$A201,K$3)))</f>
        <v/>
      </c>
      <c r="L201" t="str">
        <f>IF($B201="","",IF(L$3=0,"n.b.",INDEX(SRC_Woningetalage!$A$1:$ZZ$501,$A201,L$3)))</f>
        <v/>
      </c>
      <c r="M201" t="str">
        <f>IF($B201="","",IF(M$3=0,"n.b.",INDEX(SRC_Woningetalage!$A$1:$ZZ$501,$A201,M$3)))</f>
        <v/>
      </c>
      <c r="N201" t="str">
        <f>IF($B201="","",IF(N$3=0,"n.b.",INDEX(SRC_Woningetalage!$A$1:$ZZ$501,$A201,N$3)))</f>
        <v/>
      </c>
      <c r="O201" t="str">
        <f>IF($B201="","",IF(O$3=0,"n.b.",INDEX(SRC_Woningetalage!$A$1:$ZZ$501,$A201,O$3)))</f>
        <v/>
      </c>
      <c r="P201" t="str">
        <f>IF($B201="","",IF(P$3=0,"n.b.",INDEX(SRC_Woningetalage!$A$1:$ZZ$501,$A201,P$3)))</f>
        <v/>
      </c>
      <c r="Q201" s="124" t="str">
        <f>IF($B201="","",IF(Q$3=0,"n.b.",INDEX(SRC_Woningetalage!$A$1:$ZZ$501,$A201,Q$3)))</f>
        <v/>
      </c>
      <c r="R201" s="124" t="str">
        <f>IF($B201="","",IF(R$3=0,"n.b.",INDEX(SRC_Woningetalage!$A$1:$ZZ$501,$A201,R$3)))</f>
        <v/>
      </c>
      <c r="S201" s="124" t="str">
        <f>IF($B201="","",IF(S$3=0,"n.b.",INDEX(SRC_Woningetalage!$A$1:$ZZ$501,$A201,S$3)))</f>
        <v/>
      </c>
      <c r="T201" s="124" t="str">
        <f>IF($B201="","",IF(T$3=0,"n.b.",INDEX(SRC_Woningetalage!$A$1:$ZZ$501,$A201,T$3)))</f>
        <v/>
      </c>
      <c r="U201" s="124" t="str">
        <f>IF($B201="","",IF(U$3=0,"n.b.",INDEX(SRC_Woningetalage!$A$1:$ZZ$501,$A201,U$3)))</f>
        <v/>
      </c>
      <c r="V201" s="124" t="str">
        <f>IF($B201="","",IF(V$3=0,"n.b.",INDEX(SRC_Woningetalage!$A$1:$ZZ$501,$A201,V$3)))</f>
        <v/>
      </c>
      <c r="W201" s="124" t="str">
        <f>IF($B201="","",IF(W$3=0,"n.b.",INDEX(SRC_Woningetalage!$A$1:$ZZ$501,$A201,W$3)))</f>
        <v/>
      </c>
      <c r="X201" s="124" t="str">
        <f>IF($B201="","",IF(X$3=0,"n.b.",INDEX(SRC_Woningetalage!$A$1:$ZZ$501,$A201,X$3)))</f>
        <v/>
      </c>
      <c r="Y201" s="124" t="str">
        <f>IF($B201="","",IF(Y$3=0,"n.b.",INDEX(SRC_Woningetalage!$A$1:$ZZ$501,$A201,Y$3)))</f>
        <v/>
      </c>
      <c r="Z201" s="124" t="str">
        <f>IF($B201="","",IF(Z$3=0,"n.b.",INDEX(SRC_Woningetalage!$A$1:$ZZ$501,$A201,Z$3)))</f>
        <v/>
      </c>
      <c r="AA201" s="124" t="str">
        <f>IF($B201="","",IF(AA$3=0,"n.b.",INDEX(SRC_Woningetalage!$A$1:$ZZ$501,$A201,AA$3)))</f>
        <v/>
      </c>
      <c r="AB201" s="124" t="str">
        <f>IF($B201="","",IF(AB$3=0,"n.b.",INDEX(SRC_Woningetalage!$A$1:$ZZ$501,$A201,AB$3)))</f>
        <v/>
      </c>
      <c r="AC201" s="124" t="str">
        <f>IF($B201="","",IF(AC$3=0,"n.b.",INDEX(SRC_Woningetalage!$A$1:$ZZ$501,$A201,AC$3)))</f>
        <v/>
      </c>
      <c r="AD201" s="124" t="str">
        <f>IF($B201="","",IF(AD$3=0,"n.b.",INDEX(SRC_Woningetalage!$A$1:$ZZ$501,$A201,AD$3)))</f>
        <v/>
      </c>
      <c r="AE201" s="124" t="str">
        <f>IF($B201="","",IF(AE$3=0,"n.b.",INDEX(SRC_Woningetalage!$A$1:$ZZ$501,$A201,AE$3)))</f>
        <v/>
      </c>
      <c r="AF201" s="124" t="str">
        <f>IF($B201="","",IF(AF$3=0,"n.b.",INDEX(SRC_Woningetalage!$A$1:$ZZ$501,$A201,AF$3)))</f>
        <v/>
      </c>
      <c r="AG201" s="124" t="str">
        <f>IF($B201="","",IF(AG$3=0,"n.b.",INDEX(SRC_Woningetalage!$A$1:$ZZ$501,$A201,AG$3)))</f>
        <v/>
      </c>
      <c r="AH201" s="124" t="str">
        <f>IF($B201="","",IF(AH$3=0,"n.b.",INDEX(SRC_Woningetalage!$A$1:$ZZ$501,$A201,AH$3)))</f>
        <v/>
      </c>
      <c r="AI201" s="124" t="str">
        <f>IF($B201="","",IF(AI$3=0,"n.b.",INDEX(SRC_Woningetalage!$A$1:$ZZ$501,$A201,AI$3)))</f>
        <v/>
      </c>
      <c r="AJ201" s="124" t="str">
        <f>IF($B201="","",IF(AJ$3=0,"n.b.",INDEX(SRC_Woningetalage!$A$1:$ZZ$501,$A201,AJ$3)))</f>
        <v/>
      </c>
      <c r="AK201" s="124" t="str">
        <f>IF($B201="","",IF(AK$3=0,"n.b.",INDEX(SRC_Woningetalage!$A$1:$ZZ$501,$A201,AK$3)))</f>
        <v/>
      </c>
      <c r="AL201" s="124" t="str">
        <f>IF($B201="","",IF(AL$3=0,"n.b.",INDEX(SRC_Woningetalage!$A$1:$ZZ$501,$A201,AL$3)))</f>
        <v/>
      </c>
      <c r="AM201" s="124" t="str">
        <f>IF($B201="","",IF(AM$3=0,"n.b.",INDEX(SRC_Woningetalage!$A$1:$ZZ$501,$A201,AM$3)))</f>
        <v/>
      </c>
      <c r="AN201" s="124" t="str">
        <f>IF($B201="","",IF(AN$3=0,"n.b.",INDEX(SRC_Woningetalage!$A$1:$ZZ$501,$A201,AN$3)))</f>
        <v/>
      </c>
      <c r="AO201" s="124" t="str">
        <f>IF($B201="","",IF(AO$3=0,"n.b.",INDEX(SRC_Woningetalage!$A$1:$ZZ$501,$A201,AO$3)))</f>
        <v/>
      </c>
      <c r="AP201" s="124" t="str">
        <f>IF($B201="","",IF(AP$3=0,"n.b.",INDEX(SRC_Woningetalage!$A$1:$ZZ$501,$A201,AP$3)))</f>
        <v/>
      </c>
      <c r="AQ201" s="124" t="str">
        <f>IF($B201="","",IF(AQ$3=0,"n.b.",INDEX(SRC_Woningetalage!$A$1:$ZZ$501,$A201,AQ$3)))</f>
        <v/>
      </c>
      <c r="AR201" s="124" t="str">
        <f>IF($B201="","",IF(AR$3=0,"n.b.",INDEX(SRC_Woningetalage!$A$1:$ZZ$501,$A201,AR$3)))</f>
        <v/>
      </c>
      <c r="AS201" s="124" t="str">
        <f>IF($B201="","",IF(AS$3=0,"n.b.",INDEX(SRC_Woningetalage!$A$1:$ZZ$501,$A201,AS$3)))</f>
        <v/>
      </c>
      <c r="AT201" s="124" t="str">
        <f>IF($B201="","",IF(AT$3=0,"n.b.",INDEX(SRC_Woningetalage!$A$1:$ZZ$501,$A201,AT$3)))</f>
        <v/>
      </c>
      <c r="AU201" s="124" t="str">
        <f>IF($B201="","",IF(AU$3=0,"n.b.",INDEX(SRC_Woningetalage!$A$1:$ZZ$501,$A201,AU$3)))</f>
        <v/>
      </c>
      <c r="AV201" s="124" t="str">
        <f>IF($B201="","",IF(AV$3=0,"n.b.",INDEX(SRC_Woningetalage!$A$1:$ZZ$501,$A201,AV$3)))</f>
        <v/>
      </c>
      <c r="AW201" s="124" t="str">
        <f>IF($B201="","",IF(AW$3=0,"n.b.",INDEX(SRC_Woningetalage!$A$1:$ZZ$501,$A201,AW$3)))</f>
        <v/>
      </c>
      <c r="AX201" s="124" t="str">
        <f>IF($B201="","",IF(AX$3=0,"n.b.",INDEX(SRC_Woningetalage!$A$1:$ZZ$501,$A201,AX$3)))</f>
        <v/>
      </c>
      <c r="AY201" s="124" t="str">
        <f>IF($B201="","",IF(AY$3=0,"n.b.",INDEX(SRC_Woningetalage!$A$1:$ZZ$501,$A201,AY$3)))</f>
        <v/>
      </c>
      <c r="AZ201" s="124" t="str">
        <f>IF($B201="","",IF(AZ$3=0,"n.b.",INDEX(SRC_Woningetalage!$A$1:$ZZ$501,$A201,AZ$3)))</f>
        <v/>
      </c>
      <c r="BA201" s="124" t="str">
        <f>IF($B201="","",IF(BA$3=0,"n.b.",INDEX(SRC_Woningetalage!$A$1:$ZZ$501,$A201,BA$3)))</f>
        <v/>
      </c>
      <c r="BB201" s="124" t="str">
        <f>IF($B201="","",IF(BB$3=0,"n.b.",INDEX(SRC_Woningetalage!$A$1:$ZZ$501,$A201,BB$3)))</f>
        <v/>
      </c>
      <c r="BC201" s="124" t="str">
        <f>IF($B201="","",IFERROR(_xlfn.NUMBERVALUE(E201&amp;"",",","."),"n.b."))</f>
        <v/>
      </c>
      <c r="BD201" s="124" t="str">
        <f>IF($B201="","",IFERROR(_xlfn.NUMBERVALUE(M201&amp;"",",","."),"n.b."))</f>
        <v/>
      </c>
      <c r="BE201" s="124" t="str">
        <f>IF($B201="","",IFERROR(AB201+AC201+AD201,"n.b."))</f>
        <v/>
      </c>
      <c r="BF201" s="124" t="str">
        <f>IF($B201="","",IFERROR(AE201+AF201+AG201,"n.b."))</f>
        <v/>
      </c>
      <c r="BG201" s="124" t="str">
        <f>IF($B201="","",IFERROR(AH201+AI201+AJ201,"n.b."))</f>
        <v/>
      </c>
      <c r="BH201" s="124" t="str">
        <f>IF($B201="","",IFERROR(AK201+AL201+AM201,"n.b."))</f>
        <v/>
      </c>
      <c r="BI201" s="124" t="str">
        <f>IF($B201="","",IFERROR(SUMIF($AB$5:$AM$5,"&lt;="&amp;P_PeilMaand,AB201:AM201),"n.b."))</f>
        <v/>
      </c>
      <c r="BJ201" s="124" t="str">
        <f>IF($B201="","",IFERROR(SUM(AB201:AM201)-BI201,"n.b."))</f>
        <v/>
      </c>
      <c r="BK201" s="124" t="str">
        <f>IF($B201="","",IFERROR(IF(ABS(Q201-(T201+SUM(AB201:AM201)+AS201+AU201))&gt;P_Tol,1,0),1))</f>
        <v/>
      </c>
      <c r="BL201" s="124" t="str">
        <f>IF($B201="","",IFERROR(IF(ABS(AA201-(Q201-Z201))&gt;P_Tol,1,0),1))</f>
        <v/>
      </c>
      <c r="BM201" s="124" t="str">
        <f>IF($B201="","",IFERROR(IF(ABS(Z201-(T201+W201))&gt;P_Tol,1,0),1))</f>
        <v/>
      </c>
      <c r="BN201" s="124" t="str">
        <f>IF($B201="","",IFERROR(IF(ABS(W201-BI201)&gt;P_Tol,1,0),1))</f>
        <v/>
      </c>
      <c r="BO201" s="124" t="str">
        <f>IF($B201="","",IFERROR(IF(OR(ABS(R201+S201-T201)&gt;P_Tol,ABS(U201+V201-W201)&gt;P_Tol,ABS(X201+Y201-Z201)&gt;P_Tol),1,0),1))</f>
        <v/>
      </c>
      <c r="BP201" s="124" t="str">
        <f>IF($B201="","",IFERROR(IF(OR(ABS(AR201-SUM(AB201:AM201))&gt;P_Tol,ABS(AS201-(AN201+AO201+AP201+AQ201))&gt;P_Tol),1,0),1))</f>
        <v/>
      </c>
      <c r="BQ201" s="124" t="str">
        <f>IF($B201="","",IFERROR(IF(ABS(AT201)+ABS(AV201)+ABS(AW201)+ABS(AX201)+ABS(AY201)+ABS(AZ201)+ABS(BA201)+ABS(BB201)&gt;0,1,0),1))</f>
        <v/>
      </c>
      <c r="BR201" s="124" t="str">
        <f>IF($B201="","",COUNTIF(STG_ZPMW03!$B$6:$B$505,B201))</f>
        <v/>
      </c>
      <c r="BS201" s="124" t="str">
        <f>IF($B201="","",COUNTIF($B$6:$B$505,B201))</f>
        <v/>
      </c>
      <c r="BT201" s="124" t="str">
        <f>IF($B201="","",IF(BR201=0,0,IF(INDEX(STG_ZPMW03!$I$6:$I$505,MATCH(B201,STG_ZPMW03!$B$6:$B$505,0))=J201&amp;"",0,1)))</f>
        <v/>
      </c>
      <c r="BU201" s="124" t="str">
        <f>IF($B201="","",IFERROR(IF(ABS(INDEX(Mapping!$D$5:$D$104,MATCH(B201,Mapping!$A$5:$A$104,0))-Q201)&gt;P_Tol,1,0),0))</f>
        <v/>
      </c>
      <c r="BV201" s="124" t="str">
        <f>IF($B201="","",IFERROR(IF(AND(INDEX(Mapping!$G$5:$G$104,MATCH(B201,Mapping!$A$5:$A$104,0))="Nee",ABS(Q201)+ABS(Z201)+ABS(AR201)&gt;0),1,0),0))</f>
        <v/>
      </c>
      <c r="BW201" s="124" t="str">
        <f>IF($B201="","",IF(COUNTIF(Mapping!$A$5:$A$104,B201)&gt;0,1,0))</f>
        <v/>
      </c>
      <c r="BX201" s="124" t="str">
        <f>IF($B201="","",IF(BR201=0,COUNTIF($BR$6:BR201,0),""))</f>
        <v/>
      </c>
    </row>
    <row r="202">
      <c r="A202" s="15" t="n">
        <v>198</v>
      </c>
      <c r="B202" t="str">
        <f>IF(B$3=0,"",IF(INDEX(SRC_Woningetalage!$A$1:$ZZ$501,$A202,B$3)&amp;""="","",INDEX(SRC_Woningetalage!$A$1:$ZZ$501,$A202,B$3)&amp;""))</f>
        <v/>
      </c>
      <c r="C202" t="str">
        <f>IF($B202="","",IF(C$3=0,"n.b.",INDEX(SRC_Woningetalage!$A$1:$ZZ$501,$A202,C$3)))</f>
        <v/>
      </c>
      <c r="D202" t="str">
        <f>IF($B202="","",IF(D$3=0,"n.b.",INDEX(SRC_Woningetalage!$A$1:$ZZ$501,$A202,D$3)))</f>
        <v/>
      </c>
      <c r="E202" t="str">
        <f>IF($B202="","",IF(E$3=0,"n.b.",INDEX(SRC_Woningetalage!$A$1:$ZZ$501,$A202,E$3)))</f>
        <v/>
      </c>
      <c r="F202" t="str">
        <f>IF($B202="","",IF(F$3=0,"n.b.",INDEX(SRC_Woningetalage!$A$1:$ZZ$501,$A202,F$3)))</f>
        <v/>
      </c>
      <c r="G202" t="str">
        <f>IF($B202="","",IF(G$3=0,"n.b.",INDEX(SRC_Woningetalage!$A$1:$ZZ$501,$A202,G$3)))</f>
        <v/>
      </c>
      <c r="H202" t="str">
        <f>IF($B202="","",IF(H$3=0,"n.b.",INDEX(SRC_Woningetalage!$A$1:$ZZ$501,$A202,H$3)))</f>
        <v/>
      </c>
      <c r="I202" t="str">
        <f>IF($B202="","",IF(I$3=0,"n.b.",INDEX(SRC_Woningetalage!$A$1:$ZZ$501,$A202,I$3)))</f>
        <v/>
      </c>
      <c r="J202" t="str">
        <f>IF($B202="","",IF(J$3=0,"n.b.",INDEX(SRC_Woningetalage!$A$1:$ZZ$501,$A202,J$3)))</f>
        <v/>
      </c>
      <c r="K202" t="str">
        <f>IF($B202="","",IF(K$3=0,"n.b.",INDEX(SRC_Woningetalage!$A$1:$ZZ$501,$A202,K$3)))</f>
        <v/>
      </c>
      <c r="L202" t="str">
        <f>IF($B202="","",IF(L$3=0,"n.b.",INDEX(SRC_Woningetalage!$A$1:$ZZ$501,$A202,L$3)))</f>
        <v/>
      </c>
      <c r="M202" t="str">
        <f>IF($B202="","",IF(M$3=0,"n.b.",INDEX(SRC_Woningetalage!$A$1:$ZZ$501,$A202,M$3)))</f>
        <v/>
      </c>
      <c r="N202" t="str">
        <f>IF($B202="","",IF(N$3=0,"n.b.",INDEX(SRC_Woningetalage!$A$1:$ZZ$501,$A202,N$3)))</f>
        <v/>
      </c>
      <c r="O202" t="str">
        <f>IF($B202="","",IF(O$3=0,"n.b.",INDEX(SRC_Woningetalage!$A$1:$ZZ$501,$A202,O$3)))</f>
        <v/>
      </c>
      <c r="P202" t="str">
        <f>IF($B202="","",IF(P$3=0,"n.b.",INDEX(SRC_Woningetalage!$A$1:$ZZ$501,$A202,P$3)))</f>
        <v/>
      </c>
      <c r="Q202" s="124" t="str">
        <f>IF($B202="","",IF(Q$3=0,"n.b.",INDEX(SRC_Woningetalage!$A$1:$ZZ$501,$A202,Q$3)))</f>
        <v/>
      </c>
      <c r="R202" s="124" t="str">
        <f>IF($B202="","",IF(R$3=0,"n.b.",INDEX(SRC_Woningetalage!$A$1:$ZZ$501,$A202,R$3)))</f>
        <v/>
      </c>
      <c r="S202" s="124" t="str">
        <f>IF($B202="","",IF(S$3=0,"n.b.",INDEX(SRC_Woningetalage!$A$1:$ZZ$501,$A202,S$3)))</f>
        <v/>
      </c>
      <c r="T202" s="124" t="str">
        <f>IF($B202="","",IF(T$3=0,"n.b.",INDEX(SRC_Woningetalage!$A$1:$ZZ$501,$A202,T$3)))</f>
        <v/>
      </c>
      <c r="U202" s="124" t="str">
        <f>IF($B202="","",IF(U$3=0,"n.b.",INDEX(SRC_Woningetalage!$A$1:$ZZ$501,$A202,U$3)))</f>
        <v/>
      </c>
      <c r="V202" s="124" t="str">
        <f>IF($B202="","",IF(V$3=0,"n.b.",INDEX(SRC_Woningetalage!$A$1:$ZZ$501,$A202,V$3)))</f>
        <v/>
      </c>
      <c r="W202" s="124" t="str">
        <f>IF($B202="","",IF(W$3=0,"n.b.",INDEX(SRC_Woningetalage!$A$1:$ZZ$501,$A202,W$3)))</f>
        <v/>
      </c>
      <c r="X202" s="124" t="str">
        <f>IF($B202="","",IF(X$3=0,"n.b.",INDEX(SRC_Woningetalage!$A$1:$ZZ$501,$A202,X$3)))</f>
        <v/>
      </c>
      <c r="Y202" s="124" t="str">
        <f>IF($B202="","",IF(Y$3=0,"n.b.",INDEX(SRC_Woningetalage!$A$1:$ZZ$501,$A202,Y$3)))</f>
        <v/>
      </c>
      <c r="Z202" s="124" t="str">
        <f>IF($B202="","",IF(Z$3=0,"n.b.",INDEX(SRC_Woningetalage!$A$1:$ZZ$501,$A202,Z$3)))</f>
        <v/>
      </c>
      <c r="AA202" s="124" t="str">
        <f>IF($B202="","",IF(AA$3=0,"n.b.",INDEX(SRC_Woningetalage!$A$1:$ZZ$501,$A202,AA$3)))</f>
        <v/>
      </c>
      <c r="AB202" s="124" t="str">
        <f>IF($B202="","",IF(AB$3=0,"n.b.",INDEX(SRC_Woningetalage!$A$1:$ZZ$501,$A202,AB$3)))</f>
        <v/>
      </c>
      <c r="AC202" s="124" t="str">
        <f>IF($B202="","",IF(AC$3=0,"n.b.",INDEX(SRC_Woningetalage!$A$1:$ZZ$501,$A202,AC$3)))</f>
        <v/>
      </c>
      <c r="AD202" s="124" t="str">
        <f>IF($B202="","",IF(AD$3=0,"n.b.",INDEX(SRC_Woningetalage!$A$1:$ZZ$501,$A202,AD$3)))</f>
        <v/>
      </c>
      <c r="AE202" s="124" t="str">
        <f>IF($B202="","",IF(AE$3=0,"n.b.",INDEX(SRC_Woningetalage!$A$1:$ZZ$501,$A202,AE$3)))</f>
        <v/>
      </c>
      <c r="AF202" s="124" t="str">
        <f>IF($B202="","",IF(AF$3=0,"n.b.",INDEX(SRC_Woningetalage!$A$1:$ZZ$501,$A202,AF$3)))</f>
        <v/>
      </c>
      <c r="AG202" s="124" t="str">
        <f>IF($B202="","",IF(AG$3=0,"n.b.",INDEX(SRC_Woningetalage!$A$1:$ZZ$501,$A202,AG$3)))</f>
        <v/>
      </c>
      <c r="AH202" s="124" t="str">
        <f>IF($B202="","",IF(AH$3=0,"n.b.",INDEX(SRC_Woningetalage!$A$1:$ZZ$501,$A202,AH$3)))</f>
        <v/>
      </c>
      <c r="AI202" s="124" t="str">
        <f>IF($B202="","",IF(AI$3=0,"n.b.",INDEX(SRC_Woningetalage!$A$1:$ZZ$501,$A202,AI$3)))</f>
        <v/>
      </c>
      <c r="AJ202" s="124" t="str">
        <f>IF($B202="","",IF(AJ$3=0,"n.b.",INDEX(SRC_Woningetalage!$A$1:$ZZ$501,$A202,AJ$3)))</f>
        <v/>
      </c>
      <c r="AK202" s="124" t="str">
        <f>IF($B202="","",IF(AK$3=0,"n.b.",INDEX(SRC_Woningetalage!$A$1:$ZZ$501,$A202,AK$3)))</f>
        <v/>
      </c>
      <c r="AL202" s="124" t="str">
        <f>IF($B202="","",IF(AL$3=0,"n.b.",INDEX(SRC_Woningetalage!$A$1:$ZZ$501,$A202,AL$3)))</f>
        <v/>
      </c>
      <c r="AM202" s="124" t="str">
        <f>IF($B202="","",IF(AM$3=0,"n.b.",INDEX(SRC_Woningetalage!$A$1:$ZZ$501,$A202,AM$3)))</f>
        <v/>
      </c>
      <c r="AN202" s="124" t="str">
        <f>IF($B202="","",IF(AN$3=0,"n.b.",INDEX(SRC_Woningetalage!$A$1:$ZZ$501,$A202,AN$3)))</f>
        <v/>
      </c>
      <c r="AO202" s="124" t="str">
        <f>IF($B202="","",IF(AO$3=0,"n.b.",INDEX(SRC_Woningetalage!$A$1:$ZZ$501,$A202,AO$3)))</f>
        <v/>
      </c>
      <c r="AP202" s="124" t="str">
        <f>IF($B202="","",IF(AP$3=0,"n.b.",INDEX(SRC_Woningetalage!$A$1:$ZZ$501,$A202,AP$3)))</f>
        <v/>
      </c>
      <c r="AQ202" s="124" t="str">
        <f>IF($B202="","",IF(AQ$3=0,"n.b.",INDEX(SRC_Woningetalage!$A$1:$ZZ$501,$A202,AQ$3)))</f>
        <v/>
      </c>
      <c r="AR202" s="124" t="str">
        <f>IF($B202="","",IF(AR$3=0,"n.b.",INDEX(SRC_Woningetalage!$A$1:$ZZ$501,$A202,AR$3)))</f>
        <v/>
      </c>
      <c r="AS202" s="124" t="str">
        <f>IF($B202="","",IF(AS$3=0,"n.b.",INDEX(SRC_Woningetalage!$A$1:$ZZ$501,$A202,AS$3)))</f>
        <v/>
      </c>
      <c r="AT202" s="124" t="str">
        <f>IF($B202="","",IF(AT$3=0,"n.b.",INDEX(SRC_Woningetalage!$A$1:$ZZ$501,$A202,AT$3)))</f>
        <v/>
      </c>
      <c r="AU202" s="124" t="str">
        <f>IF($B202="","",IF(AU$3=0,"n.b.",INDEX(SRC_Woningetalage!$A$1:$ZZ$501,$A202,AU$3)))</f>
        <v/>
      </c>
      <c r="AV202" s="124" t="str">
        <f>IF($B202="","",IF(AV$3=0,"n.b.",INDEX(SRC_Woningetalage!$A$1:$ZZ$501,$A202,AV$3)))</f>
        <v/>
      </c>
      <c r="AW202" s="124" t="str">
        <f>IF($B202="","",IF(AW$3=0,"n.b.",INDEX(SRC_Woningetalage!$A$1:$ZZ$501,$A202,AW$3)))</f>
        <v/>
      </c>
      <c r="AX202" s="124" t="str">
        <f>IF($B202="","",IF(AX$3=0,"n.b.",INDEX(SRC_Woningetalage!$A$1:$ZZ$501,$A202,AX$3)))</f>
        <v/>
      </c>
      <c r="AY202" s="124" t="str">
        <f>IF($B202="","",IF(AY$3=0,"n.b.",INDEX(SRC_Woningetalage!$A$1:$ZZ$501,$A202,AY$3)))</f>
        <v/>
      </c>
      <c r="AZ202" s="124" t="str">
        <f>IF($B202="","",IF(AZ$3=0,"n.b.",INDEX(SRC_Woningetalage!$A$1:$ZZ$501,$A202,AZ$3)))</f>
        <v/>
      </c>
      <c r="BA202" s="124" t="str">
        <f>IF($B202="","",IF(BA$3=0,"n.b.",INDEX(SRC_Woningetalage!$A$1:$ZZ$501,$A202,BA$3)))</f>
        <v/>
      </c>
      <c r="BB202" s="124" t="str">
        <f>IF($B202="","",IF(BB$3=0,"n.b.",INDEX(SRC_Woningetalage!$A$1:$ZZ$501,$A202,BB$3)))</f>
        <v/>
      </c>
      <c r="BC202" s="124" t="str">
        <f>IF($B202="","",IFERROR(_xlfn.NUMBERVALUE(E202&amp;"",",","."),"n.b."))</f>
        <v/>
      </c>
      <c r="BD202" s="124" t="str">
        <f>IF($B202="","",IFERROR(_xlfn.NUMBERVALUE(M202&amp;"",",","."),"n.b."))</f>
        <v/>
      </c>
      <c r="BE202" s="124" t="str">
        <f>IF($B202="","",IFERROR(AB202+AC202+AD202,"n.b."))</f>
        <v/>
      </c>
      <c r="BF202" s="124" t="str">
        <f>IF($B202="","",IFERROR(AE202+AF202+AG202,"n.b."))</f>
        <v/>
      </c>
      <c r="BG202" s="124" t="str">
        <f>IF($B202="","",IFERROR(AH202+AI202+AJ202,"n.b."))</f>
        <v/>
      </c>
      <c r="BH202" s="124" t="str">
        <f>IF($B202="","",IFERROR(AK202+AL202+AM202,"n.b."))</f>
        <v/>
      </c>
      <c r="BI202" s="124" t="str">
        <f>IF($B202="","",IFERROR(SUMIF($AB$5:$AM$5,"&lt;="&amp;P_PeilMaand,AB202:AM202),"n.b."))</f>
        <v/>
      </c>
      <c r="BJ202" s="124" t="str">
        <f>IF($B202="","",IFERROR(SUM(AB202:AM202)-BI202,"n.b."))</f>
        <v/>
      </c>
      <c r="BK202" s="124" t="str">
        <f>IF($B202="","",IFERROR(IF(ABS(Q202-(T202+SUM(AB202:AM202)+AS202+AU202))&gt;P_Tol,1,0),1))</f>
        <v/>
      </c>
      <c r="BL202" s="124" t="str">
        <f>IF($B202="","",IFERROR(IF(ABS(AA202-(Q202-Z202))&gt;P_Tol,1,0),1))</f>
        <v/>
      </c>
      <c r="BM202" s="124" t="str">
        <f>IF($B202="","",IFERROR(IF(ABS(Z202-(T202+W202))&gt;P_Tol,1,0),1))</f>
        <v/>
      </c>
      <c r="BN202" s="124" t="str">
        <f>IF($B202="","",IFERROR(IF(ABS(W202-BI202)&gt;P_Tol,1,0),1))</f>
        <v/>
      </c>
      <c r="BO202" s="124" t="str">
        <f>IF($B202="","",IFERROR(IF(OR(ABS(R202+S202-T202)&gt;P_Tol,ABS(U202+V202-W202)&gt;P_Tol,ABS(X202+Y202-Z202)&gt;P_Tol),1,0),1))</f>
        <v/>
      </c>
      <c r="BP202" s="124" t="str">
        <f>IF($B202="","",IFERROR(IF(OR(ABS(AR202-SUM(AB202:AM202))&gt;P_Tol,ABS(AS202-(AN202+AO202+AP202+AQ202))&gt;P_Tol),1,0),1))</f>
        <v/>
      </c>
      <c r="BQ202" s="124" t="str">
        <f>IF($B202="","",IFERROR(IF(ABS(AT202)+ABS(AV202)+ABS(AW202)+ABS(AX202)+ABS(AY202)+ABS(AZ202)+ABS(BA202)+ABS(BB202)&gt;0,1,0),1))</f>
        <v/>
      </c>
      <c r="BR202" s="124" t="str">
        <f>IF($B202="","",COUNTIF(STG_ZPMW03!$B$6:$B$505,B202))</f>
        <v/>
      </c>
      <c r="BS202" s="124" t="str">
        <f>IF($B202="","",COUNTIF($B$6:$B$505,B202))</f>
        <v/>
      </c>
      <c r="BT202" s="124" t="str">
        <f>IF($B202="","",IF(BR202=0,0,IF(INDEX(STG_ZPMW03!$I$6:$I$505,MATCH(B202,STG_ZPMW03!$B$6:$B$505,0))=J202&amp;"",0,1)))</f>
        <v/>
      </c>
      <c r="BU202" s="124" t="str">
        <f>IF($B202="","",IFERROR(IF(ABS(INDEX(Mapping!$D$5:$D$104,MATCH(B202,Mapping!$A$5:$A$104,0))-Q202)&gt;P_Tol,1,0),0))</f>
        <v/>
      </c>
      <c r="BV202" s="124" t="str">
        <f>IF($B202="","",IFERROR(IF(AND(INDEX(Mapping!$G$5:$G$104,MATCH(B202,Mapping!$A$5:$A$104,0))="Nee",ABS(Q202)+ABS(Z202)+ABS(AR202)&gt;0),1,0),0))</f>
        <v/>
      </c>
      <c r="BW202" s="124" t="str">
        <f>IF($B202="","",IF(COUNTIF(Mapping!$A$5:$A$104,B202)&gt;0,1,0))</f>
        <v/>
      </c>
      <c r="BX202" s="124" t="str">
        <f>IF($B202="","",IF(BR202=0,COUNTIF($BR$6:BR202,0),""))</f>
        <v/>
      </c>
    </row>
    <row r="203">
      <c r="A203" s="15" t="n">
        <v>199</v>
      </c>
      <c r="B203" t="str">
        <f>IF(B$3=0,"",IF(INDEX(SRC_Woningetalage!$A$1:$ZZ$501,$A203,B$3)&amp;""="","",INDEX(SRC_Woningetalage!$A$1:$ZZ$501,$A203,B$3)&amp;""))</f>
        <v/>
      </c>
      <c r="C203" t="str">
        <f>IF($B203="","",IF(C$3=0,"n.b.",INDEX(SRC_Woningetalage!$A$1:$ZZ$501,$A203,C$3)))</f>
        <v/>
      </c>
      <c r="D203" t="str">
        <f>IF($B203="","",IF(D$3=0,"n.b.",INDEX(SRC_Woningetalage!$A$1:$ZZ$501,$A203,D$3)))</f>
        <v/>
      </c>
      <c r="E203" t="str">
        <f>IF($B203="","",IF(E$3=0,"n.b.",INDEX(SRC_Woningetalage!$A$1:$ZZ$501,$A203,E$3)))</f>
        <v/>
      </c>
      <c r="F203" t="str">
        <f>IF($B203="","",IF(F$3=0,"n.b.",INDEX(SRC_Woningetalage!$A$1:$ZZ$501,$A203,F$3)))</f>
        <v/>
      </c>
      <c r="G203" t="str">
        <f>IF($B203="","",IF(G$3=0,"n.b.",INDEX(SRC_Woningetalage!$A$1:$ZZ$501,$A203,G$3)))</f>
        <v/>
      </c>
      <c r="H203" t="str">
        <f>IF($B203="","",IF(H$3=0,"n.b.",INDEX(SRC_Woningetalage!$A$1:$ZZ$501,$A203,H$3)))</f>
        <v/>
      </c>
      <c r="I203" t="str">
        <f>IF($B203="","",IF(I$3=0,"n.b.",INDEX(SRC_Woningetalage!$A$1:$ZZ$501,$A203,I$3)))</f>
        <v/>
      </c>
      <c r="J203" t="str">
        <f>IF($B203="","",IF(J$3=0,"n.b.",INDEX(SRC_Woningetalage!$A$1:$ZZ$501,$A203,J$3)))</f>
        <v/>
      </c>
      <c r="K203" t="str">
        <f>IF($B203="","",IF(K$3=0,"n.b.",INDEX(SRC_Woningetalage!$A$1:$ZZ$501,$A203,K$3)))</f>
        <v/>
      </c>
      <c r="L203" t="str">
        <f>IF($B203="","",IF(L$3=0,"n.b.",INDEX(SRC_Woningetalage!$A$1:$ZZ$501,$A203,L$3)))</f>
        <v/>
      </c>
      <c r="M203" t="str">
        <f>IF($B203="","",IF(M$3=0,"n.b.",INDEX(SRC_Woningetalage!$A$1:$ZZ$501,$A203,M$3)))</f>
        <v/>
      </c>
      <c r="N203" t="str">
        <f>IF($B203="","",IF(N$3=0,"n.b.",INDEX(SRC_Woningetalage!$A$1:$ZZ$501,$A203,N$3)))</f>
        <v/>
      </c>
      <c r="O203" t="str">
        <f>IF($B203="","",IF(O$3=0,"n.b.",INDEX(SRC_Woningetalage!$A$1:$ZZ$501,$A203,O$3)))</f>
        <v/>
      </c>
      <c r="P203" t="str">
        <f>IF($B203="","",IF(P$3=0,"n.b.",INDEX(SRC_Woningetalage!$A$1:$ZZ$501,$A203,P$3)))</f>
        <v/>
      </c>
      <c r="Q203" s="124" t="str">
        <f>IF($B203="","",IF(Q$3=0,"n.b.",INDEX(SRC_Woningetalage!$A$1:$ZZ$501,$A203,Q$3)))</f>
        <v/>
      </c>
      <c r="R203" s="124" t="str">
        <f>IF($B203="","",IF(R$3=0,"n.b.",INDEX(SRC_Woningetalage!$A$1:$ZZ$501,$A203,R$3)))</f>
        <v/>
      </c>
      <c r="S203" s="124" t="str">
        <f>IF($B203="","",IF(S$3=0,"n.b.",INDEX(SRC_Woningetalage!$A$1:$ZZ$501,$A203,S$3)))</f>
        <v/>
      </c>
      <c r="T203" s="124" t="str">
        <f>IF($B203="","",IF(T$3=0,"n.b.",INDEX(SRC_Woningetalage!$A$1:$ZZ$501,$A203,T$3)))</f>
        <v/>
      </c>
      <c r="U203" s="124" t="str">
        <f>IF($B203="","",IF(U$3=0,"n.b.",INDEX(SRC_Woningetalage!$A$1:$ZZ$501,$A203,U$3)))</f>
        <v/>
      </c>
      <c r="V203" s="124" t="str">
        <f>IF($B203="","",IF(V$3=0,"n.b.",INDEX(SRC_Woningetalage!$A$1:$ZZ$501,$A203,V$3)))</f>
        <v/>
      </c>
      <c r="W203" s="124" t="str">
        <f>IF($B203="","",IF(W$3=0,"n.b.",INDEX(SRC_Woningetalage!$A$1:$ZZ$501,$A203,W$3)))</f>
        <v/>
      </c>
      <c r="X203" s="124" t="str">
        <f>IF($B203="","",IF(X$3=0,"n.b.",INDEX(SRC_Woningetalage!$A$1:$ZZ$501,$A203,X$3)))</f>
        <v/>
      </c>
      <c r="Y203" s="124" t="str">
        <f>IF($B203="","",IF(Y$3=0,"n.b.",INDEX(SRC_Woningetalage!$A$1:$ZZ$501,$A203,Y$3)))</f>
        <v/>
      </c>
      <c r="Z203" s="124" t="str">
        <f>IF($B203="","",IF(Z$3=0,"n.b.",INDEX(SRC_Woningetalage!$A$1:$ZZ$501,$A203,Z$3)))</f>
        <v/>
      </c>
      <c r="AA203" s="124" t="str">
        <f>IF($B203="","",IF(AA$3=0,"n.b.",INDEX(SRC_Woningetalage!$A$1:$ZZ$501,$A203,AA$3)))</f>
        <v/>
      </c>
      <c r="AB203" s="124" t="str">
        <f>IF($B203="","",IF(AB$3=0,"n.b.",INDEX(SRC_Woningetalage!$A$1:$ZZ$501,$A203,AB$3)))</f>
        <v/>
      </c>
      <c r="AC203" s="124" t="str">
        <f>IF($B203="","",IF(AC$3=0,"n.b.",INDEX(SRC_Woningetalage!$A$1:$ZZ$501,$A203,AC$3)))</f>
        <v/>
      </c>
      <c r="AD203" s="124" t="str">
        <f>IF($B203="","",IF(AD$3=0,"n.b.",INDEX(SRC_Woningetalage!$A$1:$ZZ$501,$A203,AD$3)))</f>
        <v/>
      </c>
      <c r="AE203" s="124" t="str">
        <f>IF($B203="","",IF(AE$3=0,"n.b.",INDEX(SRC_Woningetalage!$A$1:$ZZ$501,$A203,AE$3)))</f>
        <v/>
      </c>
      <c r="AF203" s="124" t="str">
        <f>IF($B203="","",IF(AF$3=0,"n.b.",INDEX(SRC_Woningetalage!$A$1:$ZZ$501,$A203,AF$3)))</f>
        <v/>
      </c>
      <c r="AG203" s="124" t="str">
        <f>IF($B203="","",IF(AG$3=0,"n.b.",INDEX(SRC_Woningetalage!$A$1:$ZZ$501,$A203,AG$3)))</f>
        <v/>
      </c>
      <c r="AH203" s="124" t="str">
        <f>IF($B203="","",IF(AH$3=0,"n.b.",INDEX(SRC_Woningetalage!$A$1:$ZZ$501,$A203,AH$3)))</f>
        <v/>
      </c>
      <c r="AI203" s="124" t="str">
        <f>IF($B203="","",IF(AI$3=0,"n.b.",INDEX(SRC_Woningetalage!$A$1:$ZZ$501,$A203,AI$3)))</f>
        <v/>
      </c>
      <c r="AJ203" s="124" t="str">
        <f>IF($B203="","",IF(AJ$3=0,"n.b.",INDEX(SRC_Woningetalage!$A$1:$ZZ$501,$A203,AJ$3)))</f>
        <v/>
      </c>
      <c r="AK203" s="124" t="str">
        <f>IF($B203="","",IF(AK$3=0,"n.b.",INDEX(SRC_Woningetalage!$A$1:$ZZ$501,$A203,AK$3)))</f>
        <v/>
      </c>
      <c r="AL203" s="124" t="str">
        <f>IF($B203="","",IF(AL$3=0,"n.b.",INDEX(SRC_Woningetalage!$A$1:$ZZ$501,$A203,AL$3)))</f>
        <v/>
      </c>
      <c r="AM203" s="124" t="str">
        <f>IF($B203="","",IF(AM$3=0,"n.b.",INDEX(SRC_Woningetalage!$A$1:$ZZ$501,$A203,AM$3)))</f>
        <v/>
      </c>
      <c r="AN203" s="124" t="str">
        <f>IF($B203="","",IF(AN$3=0,"n.b.",INDEX(SRC_Woningetalage!$A$1:$ZZ$501,$A203,AN$3)))</f>
        <v/>
      </c>
      <c r="AO203" s="124" t="str">
        <f>IF($B203="","",IF(AO$3=0,"n.b.",INDEX(SRC_Woningetalage!$A$1:$ZZ$501,$A203,AO$3)))</f>
        <v/>
      </c>
      <c r="AP203" s="124" t="str">
        <f>IF($B203="","",IF(AP$3=0,"n.b.",INDEX(SRC_Woningetalage!$A$1:$ZZ$501,$A203,AP$3)))</f>
        <v/>
      </c>
      <c r="AQ203" s="124" t="str">
        <f>IF($B203="","",IF(AQ$3=0,"n.b.",INDEX(SRC_Woningetalage!$A$1:$ZZ$501,$A203,AQ$3)))</f>
        <v/>
      </c>
      <c r="AR203" s="124" t="str">
        <f>IF($B203="","",IF(AR$3=0,"n.b.",INDEX(SRC_Woningetalage!$A$1:$ZZ$501,$A203,AR$3)))</f>
        <v/>
      </c>
      <c r="AS203" s="124" t="str">
        <f>IF($B203="","",IF(AS$3=0,"n.b.",INDEX(SRC_Woningetalage!$A$1:$ZZ$501,$A203,AS$3)))</f>
        <v/>
      </c>
      <c r="AT203" s="124" t="str">
        <f>IF($B203="","",IF(AT$3=0,"n.b.",INDEX(SRC_Woningetalage!$A$1:$ZZ$501,$A203,AT$3)))</f>
        <v/>
      </c>
      <c r="AU203" s="124" t="str">
        <f>IF($B203="","",IF(AU$3=0,"n.b.",INDEX(SRC_Woningetalage!$A$1:$ZZ$501,$A203,AU$3)))</f>
        <v/>
      </c>
      <c r="AV203" s="124" t="str">
        <f>IF($B203="","",IF(AV$3=0,"n.b.",INDEX(SRC_Woningetalage!$A$1:$ZZ$501,$A203,AV$3)))</f>
        <v/>
      </c>
      <c r="AW203" s="124" t="str">
        <f>IF($B203="","",IF(AW$3=0,"n.b.",INDEX(SRC_Woningetalage!$A$1:$ZZ$501,$A203,AW$3)))</f>
        <v/>
      </c>
      <c r="AX203" s="124" t="str">
        <f>IF($B203="","",IF(AX$3=0,"n.b.",INDEX(SRC_Woningetalage!$A$1:$ZZ$501,$A203,AX$3)))</f>
        <v/>
      </c>
      <c r="AY203" s="124" t="str">
        <f>IF($B203="","",IF(AY$3=0,"n.b.",INDEX(SRC_Woningetalage!$A$1:$ZZ$501,$A203,AY$3)))</f>
        <v/>
      </c>
      <c r="AZ203" s="124" t="str">
        <f>IF($B203="","",IF(AZ$3=0,"n.b.",INDEX(SRC_Woningetalage!$A$1:$ZZ$501,$A203,AZ$3)))</f>
        <v/>
      </c>
      <c r="BA203" s="124" t="str">
        <f>IF($B203="","",IF(BA$3=0,"n.b.",INDEX(SRC_Woningetalage!$A$1:$ZZ$501,$A203,BA$3)))</f>
        <v/>
      </c>
      <c r="BB203" s="124" t="str">
        <f>IF($B203="","",IF(BB$3=0,"n.b.",INDEX(SRC_Woningetalage!$A$1:$ZZ$501,$A203,BB$3)))</f>
        <v/>
      </c>
      <c r="BC203" s="124" t="str">
        <f>IF($B203="","",IFERROR(_xlfn.NUMBERVALUE(E203&amp;"",",","."),"n.b."))</f>
        <v/>
      </c>
      <c r="BD203" s="124" t="str">
        <f>IF($B203="","",IFERROR(_xlfn.NUMBERVALUE(M203&amp;"",",","."),"n.b."))</f>
        <v/>
      </c>
      <c r="BE203" s="124" t="str">
        <f>IF($B203="","",IFERROR(AB203+AC203+AD203,"n.b."))</f>
        <v/>
      </c>
      <c r="BF203" s="124" t="str">
        <f>IF($B203="","",IFERROR(AE203+AF203+AG203,"n.b."))</f>
        <v/>
      </c>
      <c r="BG203" s="124" t="str">
        <f>IF($B203="","",IFERROR(AH203+AI203+AJ203,"n.b."))</f>
        <v/>
      </c>
      <c r="BH203" s="124" t="str">
        <f>IF($B203="","",IFERROR(AK203+AL203+AM203,"n.b."))</f>
        <v/>
      </c>
      <c r="BI203" s="124" t="str">
        <f>IF($B203="","",IFERROR(SUMIF($AB$5:$AM$5,"&lt;="&amp;P_PeilMaand,AB203:AM203),"n.b."))</f>
        <v/>
      </c>
      <c r="BJ203" s="124" t="str">
        <f>IF($B203="","",IFERROR(SUM(AB203:AM203)-BI203,"n.b."))</f>
        <v/>
      </c>
      <c r="BK203" s="124" t="str">
        <f>IF($B203="","",IFERROR(IF(ABS(Q203-(T203+SUM(AB203:AM203)+AS203+AU203))&gt;P_Tol,1,0),1))</f>
        <v/>
      </c>
      <c r="BL203" s="124" t="str">
        <f>IF($B203="","",IFERROR(IF(ABS(AA203-(Q203-Z203))&gt;P_Tol,1,0),1))</f>
        <v/>
      </c>
      <c r="BM203" s="124" t="str">
        <f>IF($B203="","",IFERROR(IF(ABS(Z203-(T203+W203))&gt;P_Tol,1,0),1))</f>
        <v/>
      </c>
      <c r="BN203" s="124" t="str">
        <f>IF($B203="","",IFERROR(IF(ABS(W203-BI203)&gt;P_Tol,1,0),1))</f>
        <v/>
      </c>
      <c r="BO203" s="124" t="str">
        <f>IF($B203="","",IFERROR(IF(OR(ABS(R203+S203-T203)&gt;P_Tol,ABS(U203+V203-W203)&gt;P_Tol,ABS(X203+Y203-Z203)&gt;P_Tol),1,0),1))</f>
        <v/>
      </c>
      <c r="BP203" s="124" t="str">
        <f>IF($B203="","",IFERROR(IF(OR(ABS(AR203-SUM(AB203:AM203))&gt;P_Tol,ABS(AS203-(AN203+AO203+AP203+AQ203))&gt;P_Tol),1,0),1))</f>
        <v/>
      </c>
      <c r="BQ203" s="124" t="str">
        <f>IF($B203="","",IFERROR(IF(ABS(AT203)+ABS(AV203)+ABS(AW203)+ABS(AX203)+ABS(AY203)+ABS(AZ203)+ABS(BA203)+ABS(BB203)&gt;0,1,0),1))</f>
        <v/>
      </c>
      <c r="BR203" s="124" t="str">
        <f>IF($B203="","",COUNTIF(STG_ZPMW03!$B$6:$B$505,B203))</f>
        <v/>
      </c>
      <c r="BS203" s="124" t="str">
        <f>IF($B203="","",COUNTIF($B$6:$B$505,B203))</f>
        <v/>
      </c>
      <c r="BT203" s="124" t="str">
        <f>IF($B203="","",IF(BR203=0,0,IF(INDEX(STG_ZPMW03!$I$6:$I$505,MATCH(B203,STG_ZPMW03!$B$6:$B$505,0))=J203&amp;"",0,1)))</f>
        <v/>
      </c>
      <c r="BU203" s="124" t="str">
        <f>IF($B203="","",IFERROR(IF(ABS(INDEX(Mapping!$D$5:$D$104,MATCH(B203,Mapping!$A$5:$A$104,0))-Q203)&gt;P_Tol,1,0),0))</f>
        <v/>
      </c>
      <c r="BV203" s="124" t="str">
        <f>IF($B203="","",IFERROR(IF(AND(INDEX(Mapping!$G$5:$G$104,MATCH(B203,Mapping!$A$5:$A$104,0))="Nee",ABS(Q203)+ABS(Z203)+ABS(AR203)&gt;0),1,0),0))</f>
        <v/>
      </c>
      <c r="BW203" s="124" t="str">
        <f>IF($B203="","",IF(COUNTIF(Mapping!$A$5:$A$104,B203)&gt;0,1,0))</f>
        <v/>
      </c>
      <c r="BX203" s="124" t="str">
        <f>IF($B203="","",IF(BR203=0,COUNTIF($BR$6:BR203,0),""))</f>
        <v/>
      </c>
    </row>
    <row r="204">
      <c r="A204" s="15" t="n">
        <v>200</v>
      </c>
      <c r="B204" t="str">
        <f>IF(B$3=0,"",IF(INDEX(SRC_Woningetalage!$A$1:$ZZ$501,$A204,B$3)&amp;""="","",INDEX(SRC_Woningetalage!$A$1:$ZZ$501,$A204,B$3)&amp;""))</f>
        <v/>
      </c>
      <c r="C204" t="str">
        <f>IF($B204="","",IF(C$3=0,"n.b.",INDEX(SRC_Woningetalage!$A$1:$ZZ$501,$A204,C$3)))</f>
        <v/>
      </c>
      <c r="D204" t="str">
        <f>IF($B204="","",IF(D$3=0,"n.b.",INDEX(SRC_Woningetalage!$A$1:$ZZ$501,$A204,D$3)))</f>
        <v/>
      </c>
      <c r="E204" t="str">
        <f>IF($B204="","",IF(E$3=0,"n.b.",INDEX(SRC_Woningetalage!$A$1:$ZZ$501,$A204,E$3)))</f>
        <v/>
      </c>
      <c r="F204" t="str">
        <f>IF($B204="","",IF(F$3=0,"n.b.",INDEX(SRC_Woningetalage!$A$1:$ZZ$501,$A204,F$3)))</f>
        <v/>
      </c>
      <c r="G204" t="str">
        <f>IF($B204="","",IF(G$3=0,"n.b.",INDEX(SRC_Woningetalage!$A$1:$ZZ$501,$A204,G$3)))</f>
        <v/>
      </c>
      <c r="H204" t="str">
        <f>IF($B204="","",IF(H$3=0,"n.b.",INDEX(SRC_Woningetalage!$A$1:$ZZ$501,$A204,H$3)))</f>
        <v/>
      </c>
      <c r="I204" t="str">
        <f>IF($B204="","",IF(I$3=0,"n.b.",INDEX(SRC_Woningetalage!$A$1:$ZZ$501,$A204,I$3)))</f>
        <v/>
      </c>
      <c r="J204" t="str">
        <f>IF($B204="","",IF(J$3=0,"n.b.",INDEX(SRC_Woningetalage!$A$1:$ZZ$501,$A204,J$3)))</f>
        <v/>
      </c>
      <c r="K204" t="str">
        <f>IF($B204="","",IF(K$3=0,"n.b.",INDEX(SRC_Woningetalage!$A$1:$ZZ$501,$A204,K$3)))</f>
        <v/>
      </c>
      <c r="L204" t="str">
        <f>IF($B204="","",IF(L$3=0,"n.b.",INDEX(SRC_Woningetalage!$A$1:$ZZ$501,$A204,L$3)))</f>
        <v/>
      </c>
      <c r="M204" t="str">
        <f>IF($B204="","",IF(M$3=0,"n.b.",INDEX(SRC_Woningetalage!$A$1:$ZZ$501,$A204,M$3)))</f>
        <v/>
      </c>
      <c r="N204" t="str">
        <f>IF($B204="","",IF(N$3=0,"n.b.",INDEX(SRC_Woningetalage!$A$1:$ZZ$501,$A204,N$3)))</f>
        <v/>
      </c>
      <c r="O204" t="str">
        <f>IF($B204="","",IF(O$3=0,"n.b.",INDEX(SRC_Woningetalage!$A$1:$ZZ$501,$A204,O$3)))</f>
        <v/>
      </c>
      <c r="P204" t="str">
        <f>IF($B204="","",IF(P$3=0,"n.b.",INDEX(SRC_Woningetalage!$A$1:$ZZ$501,$A204,P$3)))</f>
        <v/>
      </c>
      <c r="Q204" s="124" t="str">
        <f>IF($B204="","",IF(Q$3=0,"n.b.",INDEX(SRC_Woningetalage!$A$1:$ZZ$501,$A204,Q$3)))</f>
        <v/>
      </c>
      <c r="R204" s="124" t="str">
        <f>IF($B204="","",IF(R$3=0,"n.b.",INDEX(SRC_Woningetalage!$A$1:$ZZ$501,$A204,R$3)))</f>
        <v/>
      </c>
      <c r="S204" s="124" t="str">
        <f>IF($B204="","",IF(S$3=0,"n.b.",INDEX(SRC_Woningetalage!$A$1:$ZZ$501,$A204,S$3)))</f>
        <v/>
      </c>
      <c r="T204" s="124" t="str">
        <f>IF($B204="","",IF(T$3=0,"n.b.",INDEX(SRC_Woningetalage!$A$1:$ZZ$501,$A204,T$3)))</f>
        <v/>
      </c>
      <c r="U204" s="124" t="str">
        <f>IF($B204="","",IF(U$3=0,"n.b.",INDEX(SRC_Woningetalage!$A$1:$ZZ$501,$A204,U$3)))</f>
        <v/>
      </c>
      <c r="V204" s="124" t="str">
        <f>IF($B204="","",IF(V$3=0,"n.b.",INDEX(SRC_Woningetalage!$A$1:$ZZ$501,$A204,V$3)))</f>
        <v/>
      </c>
      <c r="W204" s="124" t="str">
        <f>IF($B204="","",IF(W$3=0,"n.b.",INDEX(SRC_Woningetalage!$A$1:$ZZ$501,$A204,W$3)))</f>
        <v/>
      </c>
      <c r="X204" s="124" t="str">
        <f>IF($B204="","",IF(X$3=0,"n.b.",INDEX(SRC_Woningetalage!$A$1:$ZZ$501,$A204,X$3)))</f>
        <v/>
      </c>
      <c r="Y204" s="124" t="str">
        <f>IF($B204="","",IF(Y$3=0,"n.b.",INDEX(SRC_Woningetalage!$A$1:$ZZ$501,$A204,Y$3)))</f>
        <v/>
      </c>
      <c r="Z204" s="124" t="str">
        <f>IF($B204="","",IF(Z$3=0,"n.b.",INDEX(SRC_Woningetalage!$A$1:$ZZ$501,$A204,Z$3)))</f>
        <v/>
      </c>
      <c r="AA204" s="124" t="str">
        <f>IF($B204="","",IF(AA$3=0,"n.b.",INDEX(SRC_Woningetalage!$A$1:$ZZ$501,$A204,AA$3)))</f>
        <v/>
      </c>
      <c r="AB204" s="124" t="str">
        <f>IF($B204="","",IF(AB$3=0,"n.b.",INDEX(SRC_Woningetalage!$A$1:$ZZ$501,$A204,AB$3)))</f>
        <v/>
      </c>
      <c r="AC204" s="124" t="str">
        <f>IF($B204="","",IF(AC$3=0,"n.b.",INDEX(SRC_Woningetalage!$A$1:$ZZ$501,$A204,AC$3)))</f>
        <v/>
      </c>
      <c r="AD204" s="124" t="str">
        <f>IF($B204="","",IF(AD$3=0,"n.b.",INDEX(SRC_Woningetalage!$A$1:$ZZ$501,$A204,AD$3)))</f>
        <v/>
      </c>
      <c r="AE204" s="124" t="str">
        <f>IF($B204="","",IF(AE$3=0,"n.b.",INDEX(SRC_Woningetalage!$A$1:$ZZ$501,$A204,AE$3)))</f>
        <v/>
      </c>
      <c r="AF204" s="124" t="str">
        <f>IF($B204="","",IF(AF$3=0,"n.b.",INDEX(SRC_Woningetalage!$A$1:$ZZ$501,$A204,AF$3)))</f>
        <v/>
      </c>
      <c r="AG204" s="124" t="str">
        <f>IF($B204="","",IF(AG$3=0,"n.b.",INDEX(SRC_Woningetalage!$A$1:$ZZ$501,$A204,AG$3)))</f>
        <v/>
      </c>
      <c r="AH204" s="124" t="str">
        <f>IF($B204="","",IF(AH$3=0,"n.b.",INDEX(SRC_Woningetalage!$A$1:$ZZ$501,$A204,AH$3)))</f>
        <v/>
      </c>
      <c r="AI204" s="124" t="str">
        <f>IF($B204="","",IF(AI$3=0,"n.b.",INDEX(SRC_Woningetalage!$A$1:$ZZ$501,$A204,AI$3)))</f>
        <v/>
      </c>
      <c r="AJ204" s="124" t="str">
        <f>IF($B204="","",IF(AJ$3=0,"n.b.",INDEX(SRC_Woningetalage!$A$1:$ZZ$501,$A204,AJ$3)))</f>
        <v/>
      </c>
      <c r="AK204" s="124" t="str">
        <f>IF($B204="","",IF(AK$3=0,"n.b.",INDEX(SRC_Woningetalage!$A$1:$ZZ$501,$A204,AK$3)))</f>
        <v/>
      </c>
      <c r="AL204" s="124" t="str">
        <f>IF($B204="","",IF(AL$3=0,"n.b.",INDEX(SRC_Woningetalage!$A$1:$ZZ$501,$A204,AL$3)))</f>
        <v/>
      </c>
      <c r="AM204" s="124" t="str">
        <f>IF($B204="","",IF(AM$3=0,"n.b.",INDEX(SRC_Woningetalage!$A$1:$ZZ$501,$A204,AM$3)))</f>
        <v/>
      </c>
      <c r="AN204" s="124" t="str">
        <f>IF($B204="","",IF(AN$3=0,"n.b.",INDEX(SRC_Woningetalage!$A$1:$ZZ$501,$A204,AN$3)))</f>
        <v/>
      </c>
      <c r="AO204" s="124" t="str">
        <f>IF($B204="","",IF(AO$3=0,"n.b.",INDEX(SRC_Woningetalage!$A$1:$ZZ$501,$A204,AO$3)))</f>
        <v/>
      </c>
      <c r="AP204" s="124" t="str">
        <f>IF($B204="","",IF(AP$3=0,"n.b.",INDEX(SRC_Woningetalage!$A$1:$ZZ$501,$A204,AP$3)))</f>
        <v/>
      </c>
      <c r="AQ204" s="124" t="str">
        <f>IF($B204="","",IF(AQ$3=0,"n.b.",INDEX(SRC_Woningetalage!$A$1:$ZZ$501,$A204,AQ$3)))</f>
        <v/>
      </c>
      <c r="AR204" s="124" t="str">
        <f>IF($B204="","",IF(AR$3=0,"n.b.",INDEX(SRC_Woningetalage!$A$1:$ZZ$501,$A204,AR$3)))</f>
        <v/>
      </c>
      <c r="AS204" s="124" t="str">
        <f>IF($B204="","",IF(AS$3=0,"n.b.",INDEX(SRC_Woningetalage!$A$1:$ZZ$501,$A204,AS$3)))</f>
        <v/>
      </c>
      <c r="AT204" s="124" t="str">
        <f>IF($B204="","",IF(AT$3=0,"n.b.",INDEX(SRC_Woningetalage!$A$1:$ZZ$501,$A204,AT$3)))</f>
        <v/>
      </c>
      <c r="AU204" s="124" t="str">
        <f>IF($B204="","",IF(AU$3=0,"n.b.",INDEX(SRC_Woningetalage!$A$1:$ZZ$501,$A204,AU$3)))</f>
        <v/>
      </c>
      <c r="AV204" s="124" t="str">
        <f>IF($B204="","",IF(AV$3=0,"n.b.",INDEX(SRC_Woningetalage!$A$1:$ZZ$501,$A204,AV$3)))</f>
        <v/>
      </c>
      <c r="AW204" s="124" t="str">
        <f>IF($B204="","",IF(AW$3=0,"n.b.",INDEX(SRC_Woningetalage!$A$1:$ZZ$501,$A204,AW$3)))</f>
        <v/>
      </c>
      <c r="AX204" s="124" t="str">
        <f>IF($B204="","",IF(AX$3=0,"n.b.",INDEX(SRC_Woningetalage!$A$1:$ZZ$501,$A204,AX$3)))</f>
        <v/>
      </c>
      <c r="AY204" s="124" t="str">
        <f>IF($B204="","",IF(AY$3=0,"n.b.",INDEX(SRC_Woningetalage!$A$1:$ZZ$501,$A204,AY$3)))</f>
        <v/>
      </c>
      <c r="AZ204" s="124" t="str">
        <f>IF($B204="","",IF(AZ$3=0,"n.b.",INDEX(SRC_Woningetalage!$A$1:$ZZ$501,$A204,AZ$3)))</f>
        <v/>
      </c>
      <c r="BA204" s="124" t="str">
        <f>IF($B204="","",IF(BA$3=0,"n.b.",INDEX(SRC_Woningetalage!$A$1:$ZZ$501,$A204,BA$3)))</f>
        <v/>
      </c>
      <c r="BB204" s="124" t="str">
        <f>IF($B204="","",IF(BB$3=0,"n.b.",INDEX(SRC_Woningetalage!$A$1:$ZZ$501,$A204,BB$3)))</f>
        <v/>
      </c>
      <c r="BC204" s="124" t="str">
        <f>IF($B204="","",IFERROR(_xlfn.NUMBERVALUE(E204&amp;"",",","."),"n.b."))</f>
        <v/>
      </c>
      <c r="BD204" s="124" t="str">
        <f>IF($B204="","",IFERROR(_xlfn.NUMBERVALUE(M204&amp;"",",","."),"n.b."))</f>
        <v/>
      </c>
      <c r="BE204" s="124" t="str">
        <f>IF($B204="","",IFERROR(AB204+AC204+AD204,"n.b."))</f>
        <v/>
      </c>
      <c r="BF204" s="124" t="str">
        <f>IF($B204="","",IFERROR(AE204+AF204+AG204,"n.b."))</f>
        <v/>
      </c>
      <c r="BG204" s="124" t="str">
        <f>IF($B204="","",IFERROR(AH204+AI204+AJ204,"n.b."))</f>
        <v/>
      </c>
      <c r="BH204" s="124" t="str">
        <f>IF($B204="","",IFERROR(AK204+AL204+AM204,"n.b."))</f>
        <v/>
      </c>
      <c r="BI204" s="124" t="str">
        <f>IF($B204="","",IFERROR(SUMIF($AB$5:$AM$5,"&lt;="&amp;P_PeilMaand,AB204:AM204),"n.b."))</f>
        <v/>
      </c>
      <c r="BJ204" s="124" t="str">
        <f>IF($B204="","",IFERROR(SUM(AB204:AM204)-BI204,"n.b."))</f>
        <v/>
      </c>
      <c r="BK204" s="124" t="str">
        <f>IF($B204="","",IFERROR(IF(ABS(Q204-(T204+SUM(AB204:AM204)+AS204+AU204))&gt;P_Tol,1,0),1))</f>
        <v/>
      </c>
      <c r="BL204" s="124" t="str">
        <f>IF($B204="","",IFERROR(IF(ABS(AA204-(Q204-Z204))&gt;P_Tol,1,0),1))</f>
        <v/>
      </c>
      <c r="BM204" s="124" t="str">
        <f>IF($B204="","",IFERROR(IF(ABS(Z204-(T204+W204))&gt;P_Tol,1,0),1))</f>
        <v/>
      </c>
      <c r="BN204" s="124" t="str">
        <f>IF($B204="","",IFERROR(IF(ABS(W204-BI204)&gt;P_Tol,1,0),1))</f>
        <v/>
      </c>
      <c r="BO204" s="124" t="str">
        <f>IF($B204="","",IFERROR(IF(OR(ABS(R204+S204-T204)&gt;P_Tol,ABS(U204+V204-W204)&gt;P_Tol,ABS(X204+Y204-Z204)&gt;P_Tol),1,0),1))</f>
        <v/>
      </c>
      <c r="BP204" s="124" t="str">
        <f>IF($B204="","",IFERROR(IF(OR(ABS(AR204-SUM(AB204:AM204))&gt;P_Tol,ABS(AS204-(AN204+AO204+AP204+AQ204))&gt;P_Tol),1,0),1))</f>
        <v/>
      </c>
      <c r="BQ204" s="124" t="str">
        <f>IF($B204="","",IFERROR(IF(ABS(AT204)+ABS(AV204)+ABS(AW204)+ABS(AX204)+ABS(AY204)+ABS(AZ204)+ABS(BA204)+ABS(BB204)&gt;0,1,0),1))</f>
        <v/>
      </c>
      <c r="BR204" s="124" t="str">
        <f>IF($B204="","",COUNTIF(STG_ZPMW03!$B$6:$B$505,B204))</f>
        <v/>
      </c>
      <c r="BS204" s="124" t="str">
        <f>IF($B204="","",COUNTIF($B$6:$B$505,B204))</f>
        <v/>
      </c>
      <c r="BT204" s="124" t="str">
        <f>IF($B204="","",IF(BR204=0,0,IF(INDEX(STG_ZPMW03!$I$6:$I$505,MATCH(B204,STG_ZPMW03!$B$6:$B$505,0))=J204&amp;"",0,1)))</f>
        <v/>
      </c>
      <c r="BU204" s="124" t="str">
        <f>IF($B204="","",IFERROR(IF(ABS(INDEX(Mapping!$D$5:$D$104,MATCH(B204,Mapping!$A$5:$A$104,0))-Q204)&gt;P_Tol,1,0),0))</f>
        <v/>
      </c>
      <c r="BV204" s="124" t="str">
        <f>IF($B204="","",IFERROR(IF(AND(INDEX(Mapping!$G$5:$G$104,MATCH(B204,Mapping!$A$5:$A$104,0))="Nee",ABS(Q204)+ABS(Z204)+ABS(AR204)&gt;0),1,0),0))</f>
        <v/>
      </c>
      <c r="BW204" s="124" t="str">
        <f>IF($B204="","",IF(COUNTIF(Mapping!$A$5:$A$104,B204)&gt;0,1,0))</f>
        <v/>
      </c>
      <c r="BX204" s="124" t="str">
        <f>IF($B204="","",IF(BR204=0,COUNTIF($BR$6:BR204,0),""))</f>
        <v/>
      </c>
    </row>
    <row r="205">
      <c r="A205" s="15" t="n">
        <v>201</v>
      </c>
      <c r="B205" t="str">
        <f>IF(B$3=0,"",IF(INDEX(SRC_Woningetalage!$A$1:$ZZ$501,$A205,B$3)&amp;""="","",INDEX(SRC_Woningetalage!$A$1:$ZZ$501,$A205,B$3)&amp;""))</f>
        <v/>
      </c>
      <c r="C205" t="str">
        <f>IF($B205="","",IF(C$3=0,"n.b.",INDEX(SRC_Woningetalage!$A$1:$ZZ$501,$A205,C$3)))</f>
        <v/>
      </c>
      <c r="D205" t="str">
        <f>IF($B205="","",IF(D$3=0,"n.b.",INDEX(SRC_Woningetalage!$A$1:$ZZ$501,$A205,D$3)))</f>
        <v/>
      </c>
      <c r="E205" t="str">
        <f>IF($B205="","",IF(E$3=0,"n.b.",INDEX(SRC_Woningetalage!$A$1:$ZZ$501,$A205,E$3)))</f>
        <v/>
      </c>
      <c r="F205" t="str">
        <f>IF($B205="","",IF(F$3=0,"n.b.",INDEX(SRC_Woningetalage!$A$1:$ZZ$501,$A205,F$3)))</f>
        <v/>
      </c>
      <c r="G205" t="str">
        <f>IF($B205="","",IF(G$3=0,"n.b.",INDEX(SRC_Woningetalage!$A$1:$ZZ$501,$A205,G$3)))</f>
        <v/>
      </c>
      <c r="H205" t="str">
        <f>IF($B205="","",IF(H$3=0,"n.b.",INDEX(SRC_Woningetalage!$A$1:$ZZ$501,$A205,H$3)))</f>
        <v/>
      </c>
      <c r="I205" t="str">
        <f>IF($B205="","",IF(I$3=0,"n.b.",INDEX(SRC_Woningetalage!$A$1:$ZZ$501,$A205,I$3)))</f>
        <v/>
      </c>
      <c r="J205" t="str">
        <f>IF($B205="","",IF(J$3=0,"n.b.",INDEX(SRC_Woningetalage!$A$1:$ZZ$501,$A205,J$3)))</f>
        <v/>
      </c>
      <c r="K205" t="str">
        <f>IF($B205="","",IF(K$3=0,"n.b.",INDEX(SRC_Woningetalage!$A$1:$ZZ$501,$A205,K$3)))</f>
        <v/>
      </c>
      <c r="L205" t="str">
        <f>IF($B205="","",IF(L$3=0,"n.b.",INDEX(SRC_Woningetalage!$A$1:$ZZ$501,$A205,L$3)))</f>
        <v/>
      </c>
      <c r="M205" t="str">
        <f>IF($B205="","",IF(M$3=0,"n.b.",INDEX(SRC_Woningetalage!$A$1:$ZZ$501,$A205,M$3)))</f>
        <v/>
      </c>
      <c r="N205" t="str">
        <f>IF($B205="","",IF(N$3=0,"n.b.",INDEX(SRC_Woningetalage!$A$1:$ZZ$501,$A205,N$3)))</f>
        <v/>
      </c>
      <c r="O205" t="str">
        <f>IF($B205="","",IF(O$3=0,"n.b.",INDEX(SRC_Woningetalage!$A$1:$ZZ$501,$A205,O$3)))</f>
        <v/>
      </c>
      <c r="P205" t="str">
        <f>IF($B205="","",IF(P$3=0,"n.b.",INDEX(SRC_Woningetalage!$A$1:$ZZ$501,$A205,P$3)))</f>
        <v/>
      </c>
      <c r="Q205" s="124" t="str">
        <f>IF($B205="","",IF(Q$3=0,"n.b.",INDEX(SRC_Woningetalage!$A$1:$ZZ$501,$A205,Q$3)))</f>
        <v/>
      </c>
      <c r="R205" s="124" t="str">
        <f>IF($B205="","",IF(R$3=0,"n.b.",INDEX(SRC_Woningetalage!$A$1:$ZZ$501,$A205,R$3)))</f>
        <v/>
      </c>
      <c r="S205" s="124" t="str">
        <f>IF($B205="","",IF(S$3=0,"n.b.",INDEX(SRC_Woningetalage!$A$1:$ZZ$501,$A205,S$3)))</f>
        <v/>
      </c>
      <c r="T205" s="124" t="str">
        <f>IF($B205="","",IF(T$3=0,"n.b.",INDEX(SRC_Woningetalage!$A$1:$ZZ$501,$A205,T$3)))</f>
        <v/>
      </c>
      <c r="U205" s="124" t="str">
        <f>IF($B205="","",IF(U$3=0,"n.b.",INDEX(SRC_Woningetalage!$A$1:$ZZ$501,$A205,U$3)))</f>
        <v/>
      </c>
      <c r="V205" s="124" t="str">
        <f>IF($B205="","",IF(V$3=0,"n.b.",INDEX(SRC_Woningetalage!$A$1:$ZZ$501,$A205,V$3)))</f>
        <v/>
      </c>
      <c r="W205" s="124" t="str">
        <f>IF($B205="","",IF(W$3=0,"n.b.",INDEX(SRC_Woningetalage!$A$1:$ZZ$501,$A205,W$3)))</f>
        <v/>
      </c>
      <c r="X205" s="124" t="str">
        <f>IF($B205="","",IF(X$3=0,"n.b.",INDEX(SRC_Woningetalage!$A$1:$ZZ$501,$A205,X$3)))</f>
        <v/>
      </c>
      <c r="Y205" s="124" t="str">
        <f>IF($B205="","",IF(Y$3=0,"n.b.",INDEX(SRC_Woningetalage!$A$1:$ZZ$501,$A205,Y$3)))</f>
        <v/>
      </c>
      <c r="Z205" s="124" t="str">
        <f>IF($B205="","",IF(Z$3=0,"n.b.",INDEX(SRC_Woningetalage!$A$1:$ZZ$501,$A205,Z$3)))</f>
        <v/>
      </c>
      <c r="AA205" s="124" t="str">
        <f>IF($B205="","",IF(AA$3=0,"n.b.",INDEX(SRC_Woningetalage!$A$1:$ZZ$501,$A205,AA$3)))</f>
        <v/>
      </c>
      <c r="AB205" s="124" t="str">
        <f>IF($B205="","",IF(AB$3=0,"n.b.",INDEX(SRC_Woningetalage!$A$1:$ZZ$501,$A205,AB$3)))</f>
        <v/>
      </c>
      <c r="AC205" s="124" t="str">
        <f>IF($B205="","",IF(AC$3=0,"n.b.",INDEX(SRC_Woningetalage!$A$1:$ZZ$501,$A205,AC$3)))</f>
        <v/>
      </c>
      <c r="AD205" s="124" t="str">
        <f>IF($B205="","",IF(AD$3=0,"n.b.",INDEX(SRC_Woningetalage!$A$1:$ZZ$501,$A205,AD$3)))</f>
        <v/>
      </c>
      <c r="AE205" s="124" t="str">
        <f>IF($B205="","",IF(AE$3=0,"n.b.",INDEX(SRC_Woningetalage!$A$1:$ZZ$501,$A205,AE$3)))</f>
        <v/>
      </c>
      <c r="AF205" s="124" t="str">
        <f>IF($B205="","",IF(AF$3=0,"n.b.",INDEX(SRC_Woningetalage!$A$1:$ZZ$501,$A205,AF$3)))</f>
        <v/>
      </c>
      <c r="AG205" s="124" t="str">
        <f>IF($B205="","",IF(AG$3=0,"n.b.",INDEX(SRC_Woningetalage!$A$1:$ZZ$501,$A205,AG$3)))</f>
        <v/>
      </c>
      <c r="AH205" s="124" t="str">
        <f>IF($B205="","",IF(AH$3=0,"n.b.",INDEX(SRC_Woningetalage!$A$1:$ZZ$501,$A205,AH$3)))</f>
        <v/>
      </c>
      <c r="AI205" s="124" t="str">
        <f>IF($B205="","",IF(AI$3=0,"n.b.",INDEX(SRC_Woningetalage!$A$1:$ZZ$501,$A205,AI$3)))</f>
        <v/>
      </c>
      <c r="AJ205" s="124" t="str">
        <f>IF($B205="","",IF(AJ$3=0,"n.b.",INDEX(SRC_Woningetalage!$A$1:$ZZ$501,$A205,AJ$3)))</f>
        <v/>
      </c>
      <c r="AK205" s="124" t="str">
        <f>IF($B205="","",IF(AK$3=0,"n.b.",INDEX(SRC_Woningetalage!$A$1:$ZZ$501,$A205,AK$3)))</f>
        <v/>
      </c>
      <c r="AL205" s="124" t="str">
        <f>IF($B205="","",IF(AL$3=0,"n.b.",INDEX(SRC_Woningetalage!$A$1:$ZZ$501,$A205,AL$3)))</f>
        <v/>
      </c>
      <c r="AM205" s="124" t="str">
        <f>IF($B205="","",IF(AM$3=0,"n.b.",INDEX(SRC_Woningetalage!$A$1:$ZZ$501,$A205,AM$3)))</f>
        <v/>
      </c>
      <c r="AN205" s="124" t="str">
        <f>IF($B205="","",IF(AN$3=0,"n.b.",INDEX(SRC_Woningetalage!$A$1:$ZZ$501,$A205,AN$3)))</f>
        <v/>
      </c>
      <c r="AO205" s="124" t="str">
        <f>IF($B205="","",IF(AO$3=0,"n.b.",INDEX(SRC_Woningetalage!$A$1:$ZZ$501,$A205,AO$3)))</f>
        <v/>
      </c>
      <c r="AP205" s="124" t="str">
        <f>IF($B205="","",IF(AP$3=0,"n.b.",INDEX(SRC_Woningetalage!$A$1:$ZZ$501,$A205,AP$3)))</f>
        <v/>
      </c>
      <c r="AQ205" s="124" t="str">
        <f>IF($B205="","",IF(AQ$3=0,"n.b.",INDEX(SRC_Woningetalage!$A$1:$ZZ$501,$A205,AQ$3)))</f>
        <v/>
      </c>
      <c r="AR205" s="124" t="str">
        <f>IF($B205="","",IF(AR$3=0,"n.b.",INDEX(SRC_Woningetalage!$A$1:$ZZ$501,$A205,AR$3)))</f>
        <v/>
      </c>
      <c r="AS205" s="124" t="str">
        <f>IF($B205="","",IF(AS$3=0,"n.b.",INDEX(SRC_Woningetalage!$A$1:$ZZ$501,$A205,AS$3)))</f>
        <v/>
      </c>
      <c r="AT205" s="124" t="str">
        <f>IF($B205="","",IF(AT$3=0,"n.b.",INDEX(SRC_Woningetalage!$A$1:$ZZ$501,$A205,AT$3)))</f>
        <v/>
      </c>
      <c r="AU205" s="124" t="str">
        <f>IF($B205="","",IF(AU$3=0,"n.b.",INDEX(SRC_Woningetalage!$A$1:$ZZ$501,$A205,AU$3)))</f>
        <v/>
      </c>
      <c r="AV205" s="124" t="str">
        <f>IF($B205="","",IF(AV$3=0,"n.b.",INDEX(SRC_Woningetalage!$A$1:$ZZ$501,$A205,AV$3)))</f>
        <v/>
      </c>
      <c r="AW205" s="124" t="str">
        <f>IF($B205="","",IF(AW$3=0,"n.b.",INDEX(SRC_Woningetalage!$A$1:$ZZ$501,$A205,AW$3)))</f>
        <v/>
      </c>
      <c r="AX205" s="124" t="str">
        <f>IF($B205="","",IF(AX$3=0,"n.b.",INDEX(SRC_Woningetalage!$A$1:$ZZ$501,$A205,AX$3)))</f>
        <v/>
      </c>
      <c r="AY205" s="124" t="str">
        <f>IF($B205="","",IF(AY$3=0,"n.b.",INDEX(SRC_Woningetalage!$A$1:$ZZ$501,$A205,AY$3)))</f>
        <v/>
      </c>
      <c r="AZ205" s="124" t="str">
        <f>IF($B205="","",IF(AZ$3=0,"n.b.",INDEX(SRC_Woningetalage!$A$1:$ZZ$501,$A205,AZ$3)))</f>
        <v/>
      </c>
      <c r="BA205" s="124" t="str">
        <f>IF($B205="","",IF(BA$3=0,"n.b.",INDEX(SRC_Woningetalage!$A$1:$ZZ$501,$A205,BA$3)))</f>
        <v/>
      </c>
      <c r="BB205" s="124" t="str">
        <f>IF($B205="","",IF(BB$3=0,"n.b.",INDEX(SRC_Woningetalage!$A$1:$ZZ$501,$A205,BB$3)))</f>
        <v/>
      </c>
      <c r="BC205" s="124" t="str">
        <f>IF($B205="","",IFERROR(_xlfn.NUMBERVALUE(E205&amp;"",",","."),"n.b."))</f>
        <v/>
      </c>
      <c r="BD205" s="124" t="str">
        <f>IF($B205="","",IFERROR(_xlfn.NUMBERVALUE(M205&amp;"",",","."),"n.b."))</f>
        <v/>
      </c>
      <c r="BE205" s="124" t="str">
        <f>IF($B205="","",IFERROR(AB205+AC205+AD205,"n.b."))</f>
        <v/>
      </c>
      <c r="BF205" s="124" t="str">
        <f>IF($B205="","",IFERROR(AE205+AF205+AG205,"n.b."))</f>
        <v/>
      </c>
      <c r="BG205" s="124" t="str">
        <f>IF($B205="","",IFERROR(AH205+AI205+AJ205,"n.b."))</f>
        <v/>
      </c>
      <c r="BH205" s="124" t="str">
        <f>IF($B205="","",IFERROR(AK205+AL205+AM205,"n.b."))</f>
        <v/>
      </c>
      <c r="BI205" s="124" t="str">
        <f>IF($B205="","",IFERROR(SUMIF($AB$5:$AM$5,"&lt;="&amp;P_PeilMaand,AB205:AM205),"n.b."))</f>
        <v/>
      </c>
      <c r="BJ205" s="124" t="str">
        <f>IF($B205="","",IFERROR(SUM(AB205:AM205)-BI205,"n.b."))</f>
        <v/>
      </c>
      <c r="BK205" s="124" t="str">
        <f>IF($B205="","",IFERROR(IF(ABS(Q205-(T205+SUM(AB205:AM205)+AS205+AU205))&gt;P_Tol,1,0),1))</f>
        <v/>
      </c>
      <c r="BL205" s="124" t="str">
        <f>IF($B205="","",IFERROR(IF(ABS(AA205-(Q205-Z205))&gt;P_Tol,1,0),1))</f>
        <v/>
      </c>
      <c r="BM205" s="124" t="str">
        <f>IF($B205="","",IFERROR(IF(ABS(Z205-(T205+W205))&gt;P_Tol,1,0),1))</f>
        <v/>
      </c>
      <c r="BN205" s="124" t="str">
        <f>IF($B205="","",IFERROR(IF(ABS(W205-BI205)&gt;P_Tol,1,0),1))</f>
        <v/>
      </c>
      <c r="BO205" s="124" t="str">
        <f>IF($B205="","",IFERROR(IF(OR(ABS(R205+S205-T205)&gt;P_Tol,ABS(U205+V205-W205)&gt;P_Tol,ABS(X205+Y205-Z205)&gt;P_Tol),1,0),1))</f>
        <v/>
      </c>
      <c r="BP205" s="124" t="str">
        <f>IF($B205="","",IFERROR(IF(OR(ABS(AR205-SUM(AB205:AM205))&gt;P_Tol,ABS(AS205-(AN205+AO205+AP205+AQ205))&gt;P_Tol),1,0),1))</f>
        <v/>
      </c>
      <c r="BQ205" s="124" t="str">
        <f>IF($B205="","",IFERROR(IF(ABS(AT205)+ABS(AV205)+ABS(AW205)+ABS(AX205)+ABS(AY205)+ABS(AZ205)+ABS(BA205)+ABS(BB205)&gt;0,1,0),1))</f>
        <v/>
      </c>
      <c r="BR205" s="124" t="str">
        <f>IF($B205="","",COUNTIF(STG_ZPMW03!$B$6:$B$505,B205))</f>
        <v/>
      </c>
      <c r="BS205" s="124" t="str">
        <f>IF($B205="","",COUNTIF($B$6:$B$505,B205))</f>
        <v/>
      </c>
      <c r="BT205" s="124" t="str">
        <f>IF($B205="","",IF(BR205=0,0,IF(INDEX(STG_ZPMW03!$I$6:$I$505,MATCH(B205,STG_ZPMW03!$B$6:$B$505,0))=J205&amp;"",0,1)))</f>
        <v/>
      </c>
      <c r="BU205" s="124" t="str">
        <f>IF($B205="","",IFERROR(IF(ABS(INDEX(Mapping!$D$5:$D$104,MATCH(B205,Mapping!$A$5:$A$104,0))-Q205)&gt;P_Tol,1,0),0))</f>
        <v/>
      </c>
      <c r="BV205" s="124" t="str">
        <f>IF($B205="","",IFERROR(IF(AND(INDEX(Mapping!$G$5:$G$104,MATCH(B205,Mapping!$A$5:$A$104,0))="Nee",ABS(Q205)+ABS(Z205)+ABS(AR205)&gt;0),1,0),0))</f>
        <v/>
      </c>
      <c r="BW205" s="124" t="str">
        <f>IF($B205="","",IF(COUNTIF(Mapping!$A$5:$A$104,B205)&gt;0,1,0))</f>
        <v/>
      </c>
      <c r="BX205" s="124" t="str">
        <f>IF($B205="","",IF(BR205=0,COUNTIF($BR$6:BR205,0),""))</f>
        <v/>
      </c>
    </row>
    <row r="206">
      <c r="A206" s="15" t="n">
        <v>202</v>
      </c>
      <c r="B206" t="str">
        <f>IF(B$3=0,"",IF(INDEX(SRC_Woningetalage!$A$1:$ZZ$501,$A206,B$3)&amp;""="","",INDEX(SRC_Woningetalage!$A$1:$ZZ$501,$A206,B$3)&amp;""))</f>
        <v/>
      </c>
      <c r="C206" t="str">
        <f>IF($B206="","",IF(C$3=0,"n.b.",INDEX(SRC_Woningetalage!$A$1:$ZZ$501,$A206,C$3)))</f>
        <v/>
      </c>
      <c r="D206" t="str">
        <f>IF($B206="","",IF(D$3=0,"n.b.",INDEX(SRC_Woningetalage!$A$1:$ZZ$501,$A206,D$3)))</f>
        <v/>
      </c>
      <c r="E206" t="str">
        <f>IF($B206="","",IF(E$3=0,"n.b.",INDEX(SRC_Woningetalage!$A$1:$ZZ$501,$A206,E$3)))</f>
        <v/>
      </c>
      <c r="F206" t="str">
        <f>IF($B206="","",IF(F$3=0,"n.b.",INDEX(SRC_Woningetalage!$A$1:$ZZ$501,$A206,F$3)))</f>
        <v/>
      </c>
      <c r="G206" t="str">
        <f>IF($B206="","",IF(G$3=0,"n.b.",INDEX(SRC_Woningetalage!$A$1:$ZZ$501,$A206,G$3)))</f>
        <v/>
      </c>
      <c r="H206" t="str">
        <f>IF($B206="","",IF(H$3=0,"n.b.",INDEX(SRC_Woningetalage!$A$1:$ZZ$501,$A206,H$3)))</f>
        <v/>
      </c>
      <c r="I206" t="str">
        <f>IF($B206="","",IF(I$3=0,"n.b.",INDEX(SRC_Woningetalage!$A$1:$ZZ$501,$A206,I$3)))</f>
        <v/>
      </c>
      <c r="J206" t="str">
        <f>IF($B206="","",IF(J$3=0,"n.b.",INDEX(SRC_Woningetalage!$A$1:$ZZ$501,$A206,J$3)))</f>
        <v/>
      </c>
      <c r="K206" t="str">
        <f>IF($B206="","",IF(K$3=0,"n.b.",INDEX(SRC_Woningetalage!$A$1:$ZZ$501,$A206,K$3)))</f>
        <v/>
      </c>
      <c r="L206" t="str">
        <f>IF($B206="","",IF(L$3=0,"n.b.",INDEX(SRC_Woningetalage!$A$1:$ZZ$501,$A206,L$3)))</f>
        <v/>
      </c>
      <c r="M206" t="str">
        <f>IF($B206="","",IF(M$3=0,"n.b.",INDEX(SRC_Woningetalage!$A$1:$ZZ$501,$A206,M$3)))</f>
        <v/>
      </c>
      <c r="N206" t="str">
        <f>IF($B206="","",IF(N$3=0,"n.b.",INDEX(SRC_Woningetalage!$A$1:$ZZ$501,$A206,N$3)))</f>
        <v/>
      </c>
      <c r="O206" t="str">
        <f>IF($B206="","",IF(O$3=0,"n.b.",INDEX(SRC_Woningetalage!$A$1:$ZZ$501,$A206,O$3)))</f>
        <v/>
      </c>
      <c r="P206" t="str">
        <f>IF($B206="","",IF(P$3=0,"n.b.",INDEX(SRC_Woningetalage!$A$1:$ZZ$501,$A206,P$3)))</f>
        <v/>
      </c>
      <c r="Q206" s="124" t="str">
        <f>IF($B206="","",IF(Q$3=0,"n.b.",INDEX(SRC_Woningetalage!$A$1:$ZZ$501,$A206,Q$3)))</f>
        <v/>
      </c>
      <c r="R206" s="124" t="str">
        <f>IF($B206="","",IF(R$3=0,"n.b.",INDEX(SRC_Woningetalage!$A$1:$ZZ$501,$A206,R$3)))</f>
        <v/>
      </c>
      <c r="S206" s="124" t="str">
        <f>IF($B206="","",IF(S$3=0,"n.b.",INDEX(SRC_Woningetalage!$A$1:$ZZ$501,$A206,S$3)))</f>
        <v/>
      </c>
      <c r="T206" s="124" t="str">
        <f>IF($B206="","",IF(T$3=0,"n.b.",INDEX(SRC_Woningetalage!$A$1:$ZZ$501,$A206,T$3)))</f>
        <v/>
      </c>
      <c r="U206" s="124" t="str">
        <f>IF($B206="","",IF(U$3=0,"n.b.",INDEX(SRC_Woningetalage!$A$1:$ZZ$501,$A206,U$3)))</f>
        <v/>
      </c>
      <c r="V206" s="124" t="str">
        <f>IF($B206="","",IF(V$3=0,"n.b.",INDEX(SRC_Woningetalage!$A$1:$ZZ$501,$A206,V$3)))</f>
        <v/>
      </c>
      <c r="W206" s="124" t="str">
        <f>IF($B206="","",IF(W$3=0,"n.b.",INDEX(SRC_Woningetalage!$A$1:$ZZ$501,$A206,W$3)))</f>
        <v/>
      </c>
      <c r="X206" s="124" t="str">
        <f>IF($B206="","",IF(X$3=0,"n.b.",INDEX(SRC_Woningetalage!$A$1:$ZZ$501,$A206,X$3)))</f>
        <v/>
      </c>
      <c r="Y206" s="124" t="str">
        <f>IF($B206="","",IF(Y$3=0,"n.b.",INDEX(SRC_Woningetalage!$A$1:$ZZ$501,$A206,Y$3)))</f>
        <v/>
      </c>
      <c r="Z206" s="124" t="str">
        <f>IF($B206="","",IF(Z$3=0,"n.b.",INDEX(SRC_Woningetalage!$A$1:$ZZ$501,$A206,Z$3)))</f>
        <v/>
      </c>
      <c r="AA206" s="124" t="str">
        <f>IF($B206="","",IF(AA$3=0,"n.b.",INDEX(SRC_Woningetalage!$A$1:$ZZ$501,$A206,AA$3)))</f>
        <v/>
      </c>
      <c r="AB206" s="124" t="str">
        <f>IF($B206="","",IF(AB$3=0,"n.b.",INDEX(SRC_Woningetalage!$A$1:$ZZ$501,$A206,AB$3)))</f>
        <v/>
      </c>
      <c r="AC206" s="124" t="str">
        <f>IF($B206="","",IF(AC$3=0,"n.b.",INDEX(SRC_Woningetalage!$A$1:$ZZ$501,$A206,AC$3)))</f>
        <v/>
      </c>
      <c r="AD206" s="124" t="str">
        <f>IF($B206="","",IF(AD$3=0,"n.b.",INDEX(SRC_Woningetalage!$A$1:$ZZ$501,$A206,AD$3)))</f>
        <v/>
      </c>
      <c r="AE206" s="124" t="str">
        <f>IF($B206="","",IF(AE$3=0,"n.b.",INDEX(SRC_Woningetalage!$A$1:$ZZ$501,$A206,AE$3)))</f>
        <v/>
      </c>
      <c r="AF206" s="124" t="str">
        <f>IF($B206="","",IF(AF$3=0,"n.b.",INDEX(SRC_Woningetalage!$A$1:$ZZ$501,$A206,AF$3)))</f>
        <v/>
      </c>
      <c r="AG206" s="124" t="str">
        <f>IF($B206="","",IF(AG$3=0,"n.b.",INDEX(SRC_Woningetalage!$A$1:$ZZ$501,$A206,AG$3)))</f>
        <v/>
      </c>
      <c r="AH206" s="124" t="str">
        <f>IF($B206="","",IF(AH$3=0,"n.b.",INDEX(SRC_Woningetalage!$A$1:$ZZ$501,$A206,AH$3)))</f>
        <v/>
      </c>
      <c r="AI206" s="124" t="str">
        <f>IF($B206="","",IF(AI$3=0,"n.b.",INDEX(SRC_Woningetalage!$A$1:$ZZ$501,$A206,AI$3)))</f>
        <v/>
      </c>
      <c r="AJ206" s="124" t="str">
        <f>IF($B206="","",IF(AJ$3=0,"n.b.",INDEX(SRC_Woningetalage!$A$1:$ZZ$501,$A206,AJ$3)))</f>
        <v/>
      </c>
      <c r="AK206" s="124" t="str">
        <f>IF($B206="","",IF(AK$3=0,"n.b.",INDEX(SRC_Woningetalage!$A$1:$ZZ$501,$A206,AK$3)))</f>
        <v/>
      </c>
      <c r="AL206" s="124" t="str">
        <f>IF($B206="","",IF(AL$3=0,"n.b.",INDEX(SRC_Woningetalage!$A$1:$ZZ$501,$A206,AL$3)))</f>
        <v/>
      </c>
      <c r="AM206" s="124" t="str">
        <f>IF($B206="","",IF(AM$3=0,"n.b.",INDEX(SRC_Woningetalage!$A$1:$ZZ$501,$A206,AM$3)))</f>
        <v/>
      </c>
      <c r="AN206" s="124" t="str">
        <f>IF($B206="","",IF(AN$3=0,"n.b.",INDEX(SRC_Woningetalage!$A$1:$ZZ$501,$A206,AN$3)))</f>
        <v/>
      </c>
      <c r="AO206" s="124" t="str">
        <f>IF($B206="","",IF(AO$3=0,"n.b.",INDEX(SRC_Woningetalage!$A$1:$ZZ$501,$A206,AO$3)))</f>
        <v/>
      </c>
      <c r="AP206" s="124" t="str">
        <f>IF($B206="","",IF(AP$3=0,"n.b.",INDEX(SRC_Woningetalage!$A$1:$ZZ$501,$A206,AP$3)))</f>
        <v/>
      </c>
      <c r="AQ206" s="124" t="str">
        <f>IF($B206="","",IF(AQ$3=0,"n.b.",INDEX(SRC_Woningetalage!$A$1:$ZZ$501,$A206,AQ$3)))</f>
        <v/>
      </c>
      <c r="AR206" s="124" t="str">
        <f>IF($B206="","",IF(AR$3=0,"n.b.",INDEX(SRC_Woningetalage!$A$1:$ZZ$501,$A206,AR$3)))</f>
        <v/>
      </c>
      <c r="AS206" s="124" t="str">
        <f>IF($B206="","",IF(AS$3=0,"n.b.",INDEX(SRC_Woningetalage!$A$1:$ZZ$501,$A206,AS$3)))</f>
        <v/>
      </c>
      <c r="AT206" s="124" t="str">
        <f>IF($B206="","",IF(AT$3=0,"n.b.",INDEX(SRC_Woningetalage!$A$1:$ZZ$501,$A206,AT$3)))</f>
        <v/>
      </c>
      <c r="AU206" s="124" t="str">
        <f>IF($B206="","",IF(AU$3=0,"n.b.",INDEX(SRC_Woningetalage!$A$1:$ZZ$501,$A206,AU$3)))</f>
        <v/>
      </c>
      <c r="AV206" s="124" t="str">
        <f>IF($B206="","",IF(AV$3=0,"n.b.",INDEX(SRC_Woningetalage!$A$1:$ZZ$501,$A206,AV$3)))</f>
        <v/>
      </c>
      <c r="AW206" s="124" t="str">
        <f>IF($B206="","",IF(AW$3=0,"n.b.",INDEX(SRC_Woningetalage!$A$1:$ZZ$501,$A206,AW$3)))</f>
        <v/>
      </c>
      <c r="AX206" s="124" t="str">
        <f>IF($B206="","",IF(AX$3=0,"n.b.",INDEX(SRC_Woningetalage!$A$1:$ZZ$501,$A206,AX$3)))</f>
        <v/>
      </c>
      <c r="AY206" s="124" t="str">
        <f>IF($B206="","",IF(AY$3=0,"n.b.",INDEX(SRC_Woningetalage!$A$1:$ZZ$501,$A206,AY$3)))</f>
        <v/>
      </c>
      <c r="AZ206" s="124" t="str">
        <f>IF($B206="","",IF(AZ$3=0,"n.b.",INDEX(SRC_Woningetalage!$A$1:$ZZ$501,$A206,AZ$3)))</f>
        <v/>
      </c>
      <c r="BA206" s="124" t="str">
        <f>IF($B206="","",IF(BA$3=0,"n.b.",INDEX(SRC_Woningetalage!$A$1:$ZZ$501,$A206,BA$3)))</f>
        <v/>
      </c>
      <c r="BB206" s="124" t="str">
        <f>IF($B206="","",IF(BB$3=0,"n.b.",INDEX(SRC_Woningetalage!$A$1:$ZZ$501,$A206,BB$3)))</f>
        <v/>
      </c>
      <c r="BC206" s="124" t="str">
        <f>IF($B206="","",IFERROR(_xlfn.NUMBERVALUE(E206&amp;"",",","."),"n.b."))</f>
        <v/>
      </c>
      <c r="BD206" s="124" t="str">
        <f>IF($B206="","",IFERROR(_xlfn.NUMBERVALUE(M206&amp;"",",","."),"n.b."))</f>
        <v/>
      </c>
      <c r="BE206" s="124" t="str">
        <f>IF($B206="","",IFERROR(AB206+AC206+AD206,"n.b."))</f>
        <v/>
      </c>
      <c r="BF206" s="124" t="str">
        <f>IF($B206="","",IFERROR(AE206+AF206+AG206,"n.b."))</f>
        <v/>
      </c>
      <c r="BG206" s="124" t="str">
        <f>IF($B206="","",IFERROR(AH206+AI206+AJ206,"n.b."))</f>
        <v/>
      </c>
      <c r="BH206" s="124" t="str">
        <f>IF($B206="","",IFERROR(AK206+AL206+AM206,"n.b."))</f>
        <v/>
      </c>
      <c r="BI206" s="124" t="str">
        <f>IF($B206="","",IFERROR(SUMIF($AB$5:$AM$5,"&lt;="&amp;P_PeilMaand,AB206:AM206),"n.b."))</f>
        <v/>
      </c>
      <c r="BJ206" s="124" t="str">
        <f>IF($B206="","",IFERROR(SUM(AB206:AM206)-BI206,"n.b."))</f>
        <v/>
      </c>
      <c r="BK206" s="124" t="str">
        <f>IF($B206="","",IFERROR(IF(ABS(Q206-(T206+SUM(AB206:AM206)+AS206+AU206))&gt;P_Tol,1,0),1))</f>
        <v/>
      </c>
      <c r="BL206" s="124" t="str">
        <f>IF($B206="","",IFERROR(IF(ABS(AA206-(Q206-Z206))&gt;P_Tol,1,0),1))</f>
        <v/>
      </c>
      <c r="BM206" s="124" t="str">
        <f>IF($B206="","",IFERROR(IF(ABS(Z206-(T206+W206))&gt;P_Tol,1,0),1))</f>
        <v/>
      </c>
      <c r="BN206" s="124" t="str">
        <f>IF($B206="","",IFERROR(IF(ABS(W206-BI206)&gt;P_Tol,1,0),1))</f>
        <v/>
      </c>
      <c r="BO206" s="124" t="str">
        <f>IF($B206="","",IFERROR(IF(OR(ABS(R206+S206-T206)&gt;P_Tol,ABS(U206+V206-W206)&gt;P_Tol,ABS(X206+Y206-Z206)&gt;P_Tol),1,0),1))</f>
        <v/>
      </c>
      <c r="BP206" s="124" t="str">
        <f>IF($B206="","",IFERROR(IF(OR(ABS(AR206-SUM(AB206:AM206))&gt;P_Tol,ABS(AS206-(AN206+AO206+AP206+AQ206))&gt;P_Tol),1,0),1))</f>
        <v/>
      </c>
      <c r="BQ206" s="124" t="str">
        <f>IF($B206="","",IFERROR(IF(ABS(AT206)+ABS(AV206)+ABS(AW206)+ABS(AX206)+ABS(AY206)+ABS(AZ206)+ABS(BA206)+ABS(BB206)&gt;0,1,0),1))</f>
        <v/>
      </c>
      <c r="BR206" s="124" t="str">
        <f>IF($B206="","",COUNTIF(STG_ZPMW03!$B$6:$B$505,B206))</f>
        <v/>
      </c>
      <c r="BS206" s="124" t="str">
        <f>IF($B206="","",COUNTIF($B$6:$B$505,B206))</f>
        <v/>
      </c>
      <c r="BT206" s="124" t="str">
        <f>IF($B206="","",IF(BR206=0,0,IF(INDEX(STG_ZPMW03!$I$6:$I$505,MATCH(B206,STG_ZPMW03!$B$6:$B$505,0))=J206&amp;"",0,1)))</f>
        <v/>
      </c>
      <c r="BU206" s="124" t="str">
        <f>IF($B206="","",IFERROR(IF(ABS(INDEX(Mapping!$D$5:$D$104,MATCH(B206,Mapping!$A$5:$A$104,0))-Q206)&gt;P_Tol,1,0),0))</f>
        <v/>
      </c>
      <c r="BV206" s="124" t="str">
        <f>IF($B206="","",IFERROR(IF(AND(INDEX(Mapping!$G$5:$G$104,MATCH(B206,Mapping!$A$5:$A$104,0))="Nee",ABS(Q206)+ABS(Z206)+ABS(AR206)&gt;0),1,0),0))</f>
        <v/>
      </c>
      <c r="BW206" s="124" t="str">
        <f>IF($B206="","",IF(COUNTIF(Mapping!$A$5:$A$104,B206)&gt;0,1,0))</f>
        <v/>
      </c>
      <c r="BX206" s="124" t="str">
        <f>IF($B206="","",IF(BR206=0,COUNTIF($BR$6:BR206,0),""))</f>
        <v/>
      </c>
    </row>
    <row r="207">
      <c r="A207" s="15" t="n">
        <v>203</v>
      </c>
      <c r="B207" t="str">
        <f>IF(B$3=0,"",IF(INDEX(SRC_Woningetalage!$A$1:$ZZ$501,$A207,B$3)&amp;""="","",INDEX(SRC_Woningetalage!$A$1:$ZZ$501,$A207,B$3)&amp;""))</f>
        <v/>
      </c>
      <c r="C207" t="str">
        <f>IF($B207="","",IF(C$3=0,"n.b.",INDEX(SRC_Woningetalage!$A$1:$ZZ$501,$A207,C$3)))</f>
        <v/>
      </c>
      <c r="D207" t="str">
        <f>IF($B207="","",IF(D$3=0,"n.b.",INDEX(SRC_Woningetalage!$A$1:$ZZ$501,$A207,D$3)))</f>
        <v/>
      </c>
      <c r="E207" t="str">
        <f>IF($B207="","",IF(E$3=0,"n.b.",INDEX(SRC_Woningetalage!$A$1:$ZZ$501,$A207,E$3)))</f>
        <v/>
      </c>
      <c r="F207" t="str">
        <f>IF($B207="","",IF(F$3=0,"n.b.",INDEX(SRC_Woningetalage!$A$1:$ZZ$501,$A207,F$3)))</f>
        <v/>
      </c>
      <c r="G207" t="str">
        <f>IF($B207="","",IF(G$3=0,"n.b.",INDEX(SRC_Woningetalage!$A$1:$ZZ$501,$A207,G$3)))</f>
        <v/>
      </c>
      <c r="H207" t="str">
        <f>IF($B207="","",IF(H$3=0,"n.b.",INDEX(SRC_Woningetalage!$A$1:$ZZ$501,$A207,H$3)))</f>
        <v/>
      </c>
      <c r="I207" t="str">
        <f>IF($B207="","",IF(I$3=0,"n.b.",INDEX(SRC_Woningetalage!$A$1:$ZZ$501,$A207,I$3)))</f>
        <v/>
      </c>
      <c r="J207" t="str">
        <f>IF($B207="","",IF(J$3=0,"n.b.",INDEX(SRC_Woningetalage!$A$1:$ZZ$501,$A207,J$3)))</f>
        <v/>
      </c>
      <c r="K207" t="str">
        <f>IF($B207="","",IF(K$3=0,"n.b.",INDEX(SRC_Woningetalage!$A$1:$ZZ$501,$A207,K$3)))</f>
        <v/>
      </c>
      <c r="L207" t="str">
        <f>IF($B207="","",IF(L$3=0,"n.b.",INDEX(SRC_Woningetalage!$A$1:$ZZ$501,$A207,L$3)))</f>
        <v/>
      </c>
      <c r="M207" t="str">
        <f>IF($B207="","",IF(M$3=0,"n.b.",INDEX(SRC_Woningetalage!$A$1:$ZZ$501,$A207,M$3)))</f>
        <v/>
      </c>
      <c r="N207" t="str">
        <f>IF($B207="","",IF(N$3=0,"n.b.",INDEX(SRC_Woningetalage!$A$1:$ZZ$501,$A207,N$3)))</f>
        <v/>
      </c>
      <c r="O207" t="str">
        <f>IF($B207="","",IF(O$3=0,"n.b.",INDEX(SRC_Woningetalage!$A$1:$ZZ$501,$A207,O$3)))</f>
        <v/>
      </c>
      <c r="P207" t="str">
        <f>IF($B207="","",IF(P$3=0,"n.b.",INDEX(SRC_Woningetalage!$A$1:$ZZ$501,$A207,P$3)))</f>
        <v/>
      </c>
      <c r="Q207" s="124" t="str">
        <f>IF($B207="","",IF(Q$3=0,"n.b.",INDEX(SRC_Woningetalage!$A$1:$ZZ$501,$A207,Q$3)))</f>
        <v/>
      </c>
      <c r="R207" s="124" t="str">
        <f>IF($B207="","",IF(R$3=0,"n.b.",INDEX(SRC_Woningetalage!$A$1:$ZZ$501,$A207,R$3)))</f>
        <v/>
      </c>
      <c r="S207" s="124" t="str">
        <f>IF($B207="","",IF(S$3=0,"n.b.",INDEX(SRC_Woningetalage!$A$1:$ZZ$501,$A207,S$3)))</f>
        <v/>
      </c>
      <c r="T207" s="124" t="str">
        <f>IF($B207="","",IF(T$3=0,"n.b.",INDEX(SRC_Woningetalage!$A$1:$ZZ$501,$A207,T$3)))</f>
        <v/>
      </c>
      <c r="U207" s="124" t="str">
        <f>IF($B207="","",IF(U$3=0,"n.b.",INDEX(SRC_Woningetalage!$A$1:$ZZ$501,$A207,U$3)))</f>
        <v/>
      </c>
      <c r="V207" s="124" t="str">
        <f>IF($B207="","",IF(V$3=0,"n.b.",INDEX(SRC_Woningetalage!$A$1:$ZZ$501,$A207,V$3)))</f>
        <v/>
      </c>
      <c r="W207" s="124" t="str">
        <f>IF($B207="","",IF(W$3=0,"n.b.",INDEX(SRC_Woningetalage!$A$1:$ZZ$501,$A207,W$3)))</f>
        <v/>
      </c>
      <c r="X207" s="124" t="str">
        <f>IF($B207="","",IF(X$3=0,"n.b.",INDEX(SRC_Woningetalage!$A$1:$ZZ$501,$A207,X$3)))</f>
        <v/>
      </c>
      <c r="Y207" s="124" t="str">
        <f>IF($B207="","",IF(Y$3=0,"n.b.",INDEX(SRC_Woningetalage!$A$1:$ZZ$501,$A207,Y$3)))</f>
        <v/>
      </c>
      <c r="Z207" s="124" t="str">
        <f>IF($B207="","",IF(Z$3=0,"n.b.",INDEX(SRC_Woningetalage!$A$1:$ZZ$501,$A207,Z$3)))</f>
        <v/>
      </c>
      <c r="AA207" s="124" t="str">
        <f>IF($B207="","",IF(AA$3=0,"n.b.",INDEX(SRC_Woningetalage!$A$1:$ZZ$501,$A207,AA$3)))</f>
        <v/>
      </c>
      <c r="AB207" s="124" t="str">
        <f>IF($B207="","",IF(AB$3=0,"n.b.",INDEX(SRC_Woningetalage!$A$1:$ZZ$501,$A207,AB$3)))</f>
        <v/>
      </c>
      <c r="AC207" s="124" t="str">
        <f>IF($B207="","",IF(AC$3=0,"n.b.",INDEX(SRC_Woningetalage!$A$1:$ZZ$501,$A207,AC$3)))</f>
        <v/>
      </c>
      <c r="AD207" s="124" t="str">
        <f>IF($B207="","",IF(AD$3=0,"n.b.",INDEX(SRC_Woningetalage!$A$1:$ZZ$501,$A207,AD$3)))</f>
        <v/>
      </c>
      <c r="AE207" s="124" t="str">
        <f>IF($B207="","",IF(AE$3=0,"n.b.",INDEX(SRC_Woningetalage!$A$1:$ZZ$501,$A207,AE$3)))</f>
        <v/>
      </c>
      <c r="AF207" s="124" t="str">
        <f>IF($B207="","",IF(AF$3=0,"n.b.",INDEX(SRC_Woningetalage!$A$1:$ZZ$501,$A207,AF$3)))</f>
        <v/>
      </c>
      <c r="AG207" s="124" t="str">
        <f>IF($B207="","",IF(AG$3=0,"n.b.",INDEX(SRC_Woningetalage!$A$1:$ZZ$501,$A207,AG$3)))</f>
        <v/>
      </c>
      <c r="AH207" s="124" t="str">
        <f>IF($B207="","",IF(AH$3=0,"n.b.",INDEX(SRC_Woningetalage!$A$1:$ZZ$501,$A207,AH$3)))</f>
        <v/>
      </c>
      <c r="AI207" s="124" t="str">
        <f>IF($B207="","",IF(AI$3=0,"n.b.",INDEX(SRC_Woningetalage!$A$1:$ZZ$501,$A207,AI$3)))</f>
        <v/>
      </c>
      <c r="AJ207" s="124" t="str">
        <f>IF($B207="","",IF(AJ$3=0,"n.b.",INDEX(SRC_Woningetalage!$A$1:$ZZ$501,$A207,AJ$3)))</f>
        <v/>
      </c>
      <c r="AK207" s="124" t="str">
        <f>IF($B207="","",IF(AK$3=0,"n.b.",INDEX(SRC_Woningetalage!$A$1:$ZZ$501,$A207,AK$3)))</f>
        <v/>
      </c>
      <c r="AL207" s="124" t="str">
        <f>IF($B207="","",IF(AL$3=0,"n.b.",INDEX(SRC_Woningetalage!$A$1:$ZZ$501,$A207,AL$3)))</f>
        <v/>
      </c>
      <c r="AM207" s="124" t="str">
        <f>IF($B207="","",IF(AM$3=0,"n.b.",INDEX(SRC_Woningetalage!$A$1:$ZZ$501,$A207,AM$3)))</f>
        <v/>
      </c>
      <c r="AN207" s="124" t="str">
        <f>IF($B207="","",IF(AN$3=0,"n.b.",INDEX(SRC_Woningetalage!$A$1:$ZZ$501,$A207,AN$3)))</f>
        <v/>
      </c>
      <c r="AO207" s="124" t="str">
        <f>IF($B207="","",IF(AO$3=0,"n.b.",INDEX(SRC_Woningetalage!$A$1:$ZZ$501,$A207,AO$3)))</f>
        <v/>
      </c>
      <c r="AP207" s="124" t="str">
        <f>IF($B207="","",IF(AP$3=0,"n.b.",INDEX(SRC_Woningetalage!$A$1:$ZZ$501,$A207,AP$3)))</f>
        <v/>
      </c>
      <c r="AQ207" s="124" t="str">
        <f>IF($B207="","",IF(AQ$3=0,"n.b.",INDEX(SRC_Woningetalage!$A$1:$ZZ$501,$A207,AQ$3)))</f>
        <v/>
      </c>
      <c r="AR207" s="124" t="str">
        <f>IF($B207="","",IF(AR$3=0,"n.b.",INDEX(SRC_Woningetalage!$A$1:$ZZ$501,$A207,AR$3)))</f>
        <v/>
      </c>
      <c r="AS207" s="124" t="str">
        <f>IF($B207="","",IF(AS$3=0,"n.b.",INDEX(SRC_Woningetalage!$A$1:$ZZ$501,$A207,AS$3)))</f>
        <v/>
      </c>
      <c r="AT207" s="124" t="str">
        <f>IF($B207="","",IF(AT$3=0,"n.b.",INDEX(SRC_Woningetalage!$A$1:$ZZ$501,$A207,AT$3)))</f>
        <v/>
      </c>
      <c r="AU207" s="124" t="str">
        <f>IF($B207="","",IF(AU$3=0,"n.b.",INDEX(SRC_Woningetalage!$A$1:$ZZ$501,$A207,AU$3)))</f>
        <v/>
      </c>
      <c r="AV207" s="124" t="str">
        <f>IF($B207="","",IF(AV$3=0,"n.b.",INDEX(SRC_Woningetalage!$A$1:$ZZ$501,$A207,AV$3)))</f>
        <v/>
      </c>
      <c r="AW207" s="124" t="str">
        <f>IF($B207="","",IF(AW$3=0,"n.b.",INDEX(SRC_Woningetalage!$A$1:$ZZ$501,$A207,AW$3)))</f>
        <v/>
      </c>
      <c r="AX207" s="124" t="str">
        <f>IF($B207="","",IF(AX$3=0,"n.b.",INDEX(SRC_Woningetalage!$A$1:$ZZ$501,$A207,AX$3)))</f>
        <v/>
      </c>
      <c r="AY207" s="124" t="str">
        <f>IF($B207="","",IF(AY$3=0,"n.b.",INDEX(SRC_Woningetalage!$A$1:$ZZ$501,$A207,AY$3)))</f>
        <v/>
      </c>
      <c r="AZ207" s="124" t="str">
        <f>IF($B207="","",IF(AZ$3=0,"n.b.",INDEX(SRC_Woningetalage!$A$1:$ZZ$501,$A207,AZ$3)))</f>
        <v/>
      </c>
      <c r="BA207" s="124" t="str">
        <f>IF($B207="","",IF(BA$3=0,"n.b.",INDEX(SRC_Woningetalage!$A$1:$ZZ$501,$A207,BA$3)))</f>
        <v/>
      </c>
      <c r="BB207" s="124" t="str">
        <f>IF($B207="","",IF(BB$3=0,"n.b.",INDEX(SRC_Woningetalage!$A$1:$ZZ$501,$A207,BB$3)))</f>
        <v/>
      </c>
      <c r="BC207" s="124" t="str">
        <f>IF($B207="","",IFERROR(_xlfn.NUMBERVALUE(E207&amp;"",",","."),"n.b."))</f>
        <v/>
      </c>
      <c r="BD207" s="124" t="str">
        <f>IF($B207="","",IFERROR(_xlfn.NUMBERVALUE(M207&amp;"",",","."),"n.b."))</f>
        <v/>
      </c>
      <c r="BE207" s="124" t="str">
        <f>IF($B207="","",IFERROR(AB207+AC207+AD207,"n.b."))</f>
        <v/>
      </c>
      <c r="BF207" s="124" t="str">
        <f>IF($B207="","",IFERROR(AE207+AF207+AG207,"n.b."))</f>
        <v/>
      </c>
      <c r="BG207" s="124" t="str">
        <f>IF($B207="","",IFERROR(AH207+AI207+AJ207,"n.b."))</f>
        <v/>
      </c>
      <c r="BH207" s="124" t="str">
        <f>IF($B207="","",IFERROR(AK207+AL207+AM207,"n.b."))</f>
        <v/>
      </c>
      <c r="BI207" s="124" t="str">
        <f>IF($B207="","",IFERROR(SUMIF($AB$5:$AM$5,"&lt;="&amp;P_PeilMaand,AB207:AM207),"n.b."))</f>
        <v/>
      </c>
      <c r="BJ207" s="124" t="str">
        <f>IF($B207="","",IFERROR(SUM(AB207:AM207)-BI207,"n.b."))</f>
        <v/>
      </c>
      <c r="BK207" s="124" t="str">
        <f>IF($B207="","",IFERROR(IF(ABS(Q207-(T207+SUM(AB207:AM207)+AS207+AU207))&gt;P_Tol,1,0),1))</f>
        <v/>
      </c>
      <c r="BL207" s="124" t="str">
        <f>IF($B207="","",IFERROR(IF(ABS(AA207-(Q207-Z207))&gt;P_Tol,1,0),1))</f>
        <v/>
      </c>
      <c r="BM207" s="124" t="str">
        <f>IF($B207="","",IFERROR(IF(ABS(Z207-(T207+W207))&gt;P_Tol,1,0),1))</f>
        <v/>
      </c>
      <c r="BN207" s="124" t="str">
        <f>IF($B207="","",IFERROR(IF(ABS(W207-BI207)&gt;P_Tol,1,0),1))</f>
        <v/>
      </c>
      <c r="BO207" s="124" t="str">
        <f>IF($B207="","",IFERROR(IF(OR(ABS(R207+S207-T207)&gt;P_Tol,ABS(U207+V207-W207)&gt;P_Tol,ABS(X207+Y207-Z207)&gt;P_Tol),1,0),1))</f>
        <v/>
      </c>
      <c r="BP207" s="124" t="str">
        <f>IF($B207="","",IFERROR(IF(OR(ABS(AR207-SUM(AB207:AM207))&gt;P_Tol,ABS(AS207-(AN207+AO207+AP207+AQ207))&gt;P_Tol),1,0),1))</f>
        <v/>
      </c>
      <c r="BQ207" s="124" t="str">
        <f>IF($B207="","",IFERROR(IF(ABS(AT207)+ABS(AV207)+ABS(AW207)+ABS(AX207)+ABS(AY207)+ABS(AZ207)+ABS(BA207)+ABS(BB207)&gt;0,1,0),1))</f>
        <v/>
      </c>
      <c r="BR207" s="124" t="str">
        <f>IF($B207="","",COUNTIF(STG_ZPMW03!$B$6:$B$505,B207))</f>
        <v/>
      </c>
      <c r="BS207" s="124" t="str">
        <f>IF($B207="","",COUNTIF($B$6:$B$505,B207))</f>
        <v/>
      </c>
      <c r="BT207" s="124" t="str">
        <f>IF($B207="","",IF(BR207=0,0,IF(INDEX(STG_ZPMW03!$I$6:$I$505,MATCH(B207,STG_ZPMW03!$B$6:$B$505,0))=J207&amp;"",0,1)))</f>
        <v/>
      </c>
      <c r="BU207" s="124" t="str">
        <f>IF($B207="","",IFERROR(IF(ABS(INDEX(Mapping!$D$5:$D$104,MATCH(B207,Mapping!$A$5:$A$104,0))-Q207)&gt;P_Tol,1,0),0))</f>
        <v/>
      </c>
      <c r="BV207" s="124" t="str">
        <f>IF($B207="","",IFERROR(IF(AND(INDEX(Mapping!$G$5:$G$104,MATCH(B207,Mapping!$A$5:$A$104,0))="Nee",ABS(Q207)+ABS(Z207)+ABS(AR207)&gt;0),1,0),0))</f>
        <v/>
      </c>
      <c r="BW207" s="124" t="str">
        <f>IF($B207="","",IF(COUNTIF(Mapping!$A$5:$A$104,B207)&gt;0,1,0))</f>
        <v/>
      </c>
      <c r="BX207" s="124" t="str">
        <f>IF($B207="","",IF(BR207=0,COUNTIF($BR$6:BR207,0),""))</f>
        <v/>
      </c>
    </row>
    <row r="208">
      <c r="A208" s="15" t="n">
        <v>204</v>
      </c>
      <c r="B208" t="str">
        <f>IF(B$3=0,"",IF(INDEX(SRC_Woningetalage!$A$1:$ZZ$501,$A208,B$3)&amp;""="","",INDEX(SRC_Woningetalage!$A$1:$ZZ$501,$A208,B$3)&amp;""))</f>
        <v/>
      </c>
      <c r="C208" t="str">
        <f>IF($B208="","",IF(C$3=0,"n.b.",INDEX(SRC_Woningetalage!$A$1:$ZZ$501,$A208,C$3)))</f>
        <v/>
      </c>
      <c r="D208" t="str">
        <f>IF($B208="","",IF(D$3=0,"n.b.",INDEX(SRC_Woningetalage!$A$1:$ZZ$501,$A208,D$3)))</f>
        <v/>
      </c>
      <c r="E208" t="str">
        <f>IF($B208="","",IF(E$3=0,"n.b.",INDEX(SRC_Woningetalage!$A$1:$ZZ$501,$A208,E$3)))</f>
        <v/>
      </c>
      <c r="F208" t="str">
        <f>IF($B208="","",IF(F$3=0,"n.b.",INDEX(SRC_Woningetalage!$A$1:$ZZ$501,$A208,F$3)))</f>
        <v/>
      </c>
      <c r="G208" t="str">
        <f>IF($B208="","",IF(G$3=0,"n.b.",INDEX(SRC_Woningetalage!$A$1:$ZZ$501,$A208,G$3)))</f>
        <v/>
      </c>
      <c r="H208" t="str">
        <f>IF($B208="","",IF(H$3=0,"n.b.",INDEX(SRC_Woningetalage!$A$1:$ZZ$501,$A208,H$3)))</f>
        <v/>
      </c>
      <c r="I208" t="str">
        <f>IF($B208="","",IF(I$3=0,"n.b.",INDEX(SRC_Woningetalage!$A$1:$ZZ$501,$A208,I$3)))</f>
        <v/>
      </c>
      <c r="J208" t="str">
        <f>IF($B208="","",IF(J$3=0,"n.b.",INDEX(SRC_Woningetalage!$A$1:$ZZ$501,$A208,J$3)))</f>
        <v/>
      </c>
      <c r="K208" t="str">
        <f>IF($B208="","",IF(K$3=0,"n.b.",INDEX(SRC_Woningetalage!$A$1:$ZZ$501,$A208,K$3)))</f>
        <v/>
      </c>
      <c r="L208" t="str">
        <f>IF($B208="","",IF(L$3=0,"n.b.",INDEX(SRC_Woningetalage!$A$1:$ZZ$501,$A208,L$3)))</f>
        <v/>
      </c>
      <c r="M208" t="str">
        <f>IF($B208="","",IF(M$3=0,"n.b.",INDEX(SRC_Woningetalage!$A$1:$ZZ$501,$A208,M$3)))</f>
        <v/>
      </c>
      <c r="N208" t="str">
        <f>IF($B208="","",IF(N$3=0,"n.b.",INDEX(SRC_Woningetalage!$A$1:$ZZ$501,$A208,N$3)))</f>
        <v/>
      </c>
      <c r="O208" t="str">
        <f>IF($B208="","",IF(O$3=0,"n.b.",INDEX(SRC_Woningetalage!$A$1:$ZZ$501,$A208,O$3)))</f>
        <v/>
      </c>
      <c r="P208" t="str">
        <f>IF($B208="","",IF(P$3=0,"n.b.",INDEX(SRC_Woningetalage!$A$1:$ZZ$501,$A208,P$3)))</f>
        <v/>
      </c>
      <c r="Q208" s="124" t="str">
        <f>IF($B208="","",IF(Q$3=0,"n.b.",INDEX(SRC_Woningetalage!$A$1:$ZZ$501,$A208,Q$3)))</f>
        <v/>
      </c>
      <c r="R208" s="124" t="str">
        <f>IF($B208="","",IF(R$3=0,"n.b.",INDEX(SRC_Woningetalage!$A$1:$ZZ$501,$A208,R$3)))</f>
        <v/>
      </c>
      <c r="S208" s="124" t="str">
        <f>IF($B208="","",IF(S$3=0,"n.b.",INDEX(SRC_Woningetalage!$A$1:$ZZ$501,$A208,S$3)))</f>
        <v/>
      </c>
      <c r="T208" s="124" t="str">
        <f>IF($B208="","",IF(T$3=0,"n.b.",INDEX(SRC_Woningetalage!$A$1:$ZZ$501,$A208,T$3)))</f>
        <v/>
      </c>
      <c r="U208" s="124" t="str">
        <f>IF($B208="","",IF(U$3=0,"n.b.",INDEX(SRC_Woningetalage!$A$1:$ZZ$501,$A208,U$3)))</f>
        <v/>
      </c>
      <c r="V208" s="124" t="str">
        <f>IF($B208="","",IF(V$3=0,"n.b.",INDEX(SRC_Woningetalage!$A$1:$ZZ$501,$A208,V$3)))</f>
        <v/>
      </c>
      <c r="W208" s="124" t="str">
        <f>IF($B208="","",IF(W$3=0,"n.b.",INDEX(SRC_Woningetalage!$A$1:$ZZ$501,$A208,W$3)))</f>
        <v/>
      </c>
      <c r="X208" s="124" t="str">
        <f>IF($B208="","",IF(X$3=0,"n.b.",INDEX(SRC_Woningetalage!$A$1:$ZZ$501,$A208,X$3)))</f>
        <v/>
      </c>
      <c r="Y208" s="124" t="str">
        <f>IF($B208="","",IF(Y$3=0,"n.b.",INDEX(SRC_Woningetalage!$A$1:$ZZ$501,$A208,Y$3)))</f>
        <v/>
      </c>
      <c r="Z208" s="124" t="str">
        <f>IF($B208="","",IF(Z$3=0,"n.b.",INDEX(SRC_Woningetalage!$A$1:$ZZ$501,$A208,Z$3)))</f>
        <v/>
      </c>
      <c r="AA208" s="124" t="str">
        <f>IF($B208="","",IF(AA$3=0,"n.b.",INDEX(SRC_Woningetalage!$A$1:$ZZ$501,$A208,AA$3)))</f>
        <v/>
      </c>
      <c r="AB208" s="124" t="str">
        <f>IF($B208="","",IF(AB$3=0,"n.b.",INDEX(SRC_Woningetalage!$A$1:$ZZ$501,$A208,AB$3)))</f>
        <v/>
      </c>
      <c r="AC208" s="124" t="str">
        <f>IF($B208="","",IF(AC$3=0,"n.b.",INDEX(SRC_Woningetalage!$A$1:$ZZ$501,$A208,AC$3)))</f>
        <v/>
      </c>
      <c r="AD208" s="124" t="str">
        <f>IF($B208="","",IF(AD$3=0,"n.b.",INDEX(SRC_Woningetalage!$A$1:$ZZ$501,$A208,AD$3)))</f>
        <v/>
      </c>
      <c r="AE208" s="124" t="str">
        <f>IF($B208="","",IF(AE$3=0,"n.b.",INDEX(SRC_Woningetalage!$A$1:$ZZ$501,$A208,AE$3)))</f>
        <v/>
      </c>
      <c r="AF208" s="124" t="str">
        <f>IF($B208="","",IF(AF$3=0,"n.b.",INDEX(SRC_Woningetalage!$A$1:$ZZ$501,$A208,AF$3)))</f>
        <v/>
      </c>
      <c r="AG208" s="124" t="str">
        <f>IF($B208="","",IF(AG$3=0,"n.b.",INDEX(SRC_Woningetalage!$A$1:$ZZ$501,$A208,AG$3)))</f>
        <v/>
      </c>
      <c r="AH208" s="124" t="str">
        <f>IF($B208="","",IF(AH$3=0,"n.b.",INDEX(SRC_Woningetalage!$A$1:$ZZ$501,$A208,AH$3)))</f>
        <v/>
      </c>
      <c r="AI208" s="124" t="str">
        <f>IF($B208="","",IF(AI$3=0,"n.b.",INDEX(SRC_Woningetalage!$A$1:$ZZ$501,$A208,AI$3)))</f>
        <v/>
      </c>
      <c r="AJ208" s="124" t="str">
        <f>IF($B208="","",IF(AJ$3=0,"n.b.",INDEX(SRC_Woningetalage!$A$1:$ZZ$501,$A208,AJ$3)))</f>
        <v/>
      </c>
      <c r="AK208" s="124" t="str">
        <f>IF($B208="","",IF(AK$3=0,"n.b.",INDEX(SRC_Woningetalage!$A$1:$ZZ$501,$A208,AK$3)))</f>
        <v/>
      </c>
      <c r="AL208" s="124" t="str">
        <f>IF($B208="","",IF(AL$3=0,"n.b.",INDEX(SRC_Woningetalage!$A$1:$ZZ$501,$A208,AL$3)))</f>
        <v/>
      </c>
      <c r="AM208" s="124" t="str">
        <f>IF($B208="","",IF(AM$3=0,"n.b.",INDEX(SRC_Woningetalage!$A$1:$ZZ$501,$A208,AM$3)))</f>
        <v/>
      </c>
      <c r="AN208" s="124" t="str">
        <f>IF($B208="","",IF(AN$3=0,"n.b.",INDEX(SRC_Woningetalage!$A$1:$ZZ$501,$A208,AN$3)))</f>
        <v/>
      </c>
      <c r="AO208" s="124" t="str">
        <f>IF($B208="","",IF(AO$3=0,"n.b.",INDEX(SRC_Woningetalage!$A$1:$ZZ$501,$A208,AO$3)))</f>
        <v/>
      </c>
      <c r="AP208" s="124" t="str">
        <f>IF($B208="","",IF(AP$3=0,"n.b.",INDEX(SRC_Woningetalage!$A$1:$ZZ$501,$A208,AP$3)))</f>
        <v/>
      </c>
      <c r="AQ208" s="124" t="str">
        <f>IF($B208="","",IF(AQ$3=0,"n.b.",INDEX(SRC_Woningetalage!$A$1:$ZZ$501,$A208,AQ$3)))</f>
        <v/>
      </c>
      <c r="AR208" s="124" t="str">
        <f>IF($B208="","",IF(AR$3=0,"n.b.",INDEX(SRC_Woningetalage!$A$1:$ZZ$501,$A208,AR$3)))</f>
        <v/>
      </c>
      <c r="AS208" s="124" t="str">
        <f>IF($B208="","",IF(AS$3=0,"n.b.",INDEX(SRC_Woningetalage!$A$1:$ZZ$501,$A208,AS$3)))</f>
        <v/>
      </c>
      <c r="AT208" s="124" t="str">
        <f>IF($B208="","",IF(AT$3=0,"n.b.",INDEX(SRC_Woningetalage!$A$1:$ZZ$501,$A208,AT$3)))</f>
        <v/>
      </c>
      <c r="AU208" s="124" t="str">
        <f>IF($B208="","",IF(AU$3=0,"n.b.",INDEX(SRC_Woningetalage!$A$1:$ZZ$501,$A208,AU$3)))</f>
        <v/>
      </c>
      <c r="AV208" s="124" t="str">
        <f>IF($B208="","",IF(AV$3=0,"n.b.",INDEX(SRC_Woningetalage!$A$1:$ZZ$501,$A208,AV$3)))</f>
        <v/>
      </c>
      <c r="AW208" s="124" t="str">
        <f>IF($B208="","",IF(AW$3=0,"n.b.",INDEX(SRC_Woningetalage!$A$1:$ZZ$501,$A208,AW$3)))</f>
        <v/>
      </c>
      <c r="AX208" s="124" t="str">
        <f>IF($B208="","",IF(AX$3=0,"n.b.",INDEX(SRC_Woningetalage!$A$1:$ZZ$501,$A208,AX$3)))</f>
        <v/>
      </c>
      <c r="AY208" s="124" t="str">
        <f>IF($B208="","",IF(AY$3=0,"n.b.",INDEX(SRC_Woningetalage!$A$1:$ZZ$501,$A208,AY$3)))</f>
        <v/>
      </c>
      <c r="AZ208" s="124" t="str">
        <f>IF($B208="","",IF(AZ$3=0,"n.b.",INDEX(SRC_Woningetalage!$A$1:$ZZ$501,$A208,AZ$3)))</f>
        <v/>
      </c>
      <c r="BA208" s="124" t="str">
        <f>IF($B208="","",IF(BA$3=0,"n.b.",INDEX(SRC_Woningetalage!$A$1:$ZZ$501,$A208,BA$3)))</f>
        <v/>
      </c>
      <c r="BB208" s="124" t="str">
        <f>IF($B208="","",IF(BB$3=0,"n.b.",INDEX(SRC_Woningetalage!$A$1:$ZZ$501,$A208,BB$3)))</f>
        <v/>
      </c>
      <c r="BC208" s="124" t="str">
        <f>IF($B208="","",IFERROR(_xlfn.NUMBERVALUE(E208&amp;"",",","."),"n.b."))</f>
        <v/>
      </c>
      <c r="BD208" s="124" t="str">
        <f>IF($B208="","",IFERROR(_xlfn.NUMBERVALUE(M208&amp;"",",","."),"n.b."))</f>
        <v/>
      </c>
      <c r="BE208" s="124" t="str">
        <f>IF($B208="","",IFERROR(AB208+AC208+AD208,"n.b."))</f>
        <v/>
      </c>
      <c r="BF208" s="124" t="str">
        <f>IF($B208="","",IFERROR(AE208+AF208+AG208,"n.b."))</f>
        <v/>
      </c>
      <c r="BG208" s="124" t="str">
        <f>IF($B208="","",IFERROR(AH208+AI208+AJ208,"n.b."))</f>
        <v/>
      </c>
      <c r="BH208" s="124" t="str">
        <f>IF($B208="","",IFERROR(AK208+AL208+AM208,"n.b."))</f>
        <v/>
      </c>
      <c r="BI208" s="124" t="str">
        <f>IF($B208="","",IFERROR(SUMIF($AB$5:$AM$5,"&lt;="&amp;P_PeilMaand,AB208:AM208),"n.b."))</f>
        <v/>
      </c>
      <c r="BJ208" s="124" t="str">
        <f>IF($B208="","",IFERROR(SUM(AB208:AM208)-BI208,"n.b."))</f>
        <v/>
      </c>
      <c r="BK208" s="124" t="str">
        <f>IF($B208="","",IFERROR(IF(ABS(Q208-(T208+SUM(AB208:AM208)+AS208+AU208))&gt;P_Tol,1,0),1))</f>
        <v/>
      </c>
      <c r="BL208" s="124" t="str">
        <f>IF($B208="","",IFERROR(IF(ABS(AA208-(Q208-Z208))&gt;P_Tol,1,0),1))</f>
        <v/>
      </c>
      <c r="BM208" s="124" t="str">
        <f>IF($B208="","",IFERROR(IF(ABS(Z208-(T208+W208))&gt;P_Tol,1,0),1))</f>
        <v/>
      </c>
      <c r="BN208" s="124" t="str">
        <f>IF($B208="","",IFERROR(IF(ABS(W208-BI208)&gt;P_Tol,1,0),1))</f>
        <v/>
      </c>
      <c r="BO208" s="124" t="str">
        <f>IF($B208="","",IFERROR(IF(OR(ABS(R208+S208-T208)&gt;P_Tol,ABS(U208+V208-W208)&gt;P_Tol,ABS(X208+Y208-Z208)&gt;P_Tol),1,0),1))</f>
        <v/>
      </c>
      <c r="BP208" s="124" t="str">
        <f>IF($B208="","",IFERROR(IF(OR(ABS(AR208-SUM(AB208:AM208))&gt;P_Tol,ABS(AS208-(AN208+AO208+AP208+AQ208))&gt;P_Tol),1,0),1))</f>
        <v/>
      </c>
      <c r="BQ208" s="124" t="str">
        <f>IF($B208="","",IFERROR(IF(ABS(AT208)+ABS(AV208)+ABS(AW208)+ABS(AX208)+ABS(AY208)+ABS(AZ208)+ABS(BA208)+ABS(BB208)&gt;0,1,0),1))</f>
        <v/>
      </c>
      <c r="BR208" s="124" t="str">
        <f>IF($B208="","",COUNTIF(STG_ZPMW03!$B$6:$B$505,B208))</f>
        <v/>
      </c>
      <c r="BS208" s="124" t="str">
        <f>IF($B208="","",COUNTIF($B$6:$B$505,B208))</f>
        <v/>
      </c>
      <c r="BT208" s="124" t="str">
        <f>IF($B208="","",IF(BR208=0,0,IF(INDEX(STG_ZPMW03!$I$6:$I$505,MATCH(B208,STG_ZPMW03!$B$6:$B$505,0))=J208&amp;"",0,1)))</f>
        <v/>
      </c>
      <c r="BU208" s="124" t="str">
        <f>IF($B208="","",IFERROR(IF(ABS(INDEX(Mapping!$D$5:$D$104,MATCH(B208,Mapping!$A$5:$A$104,0))-Q208)&gt;P_Tol,1,0),0))</f>
        <v/>
      </c>
      <c r="BV208" s="124" t="str">
        <f>IF($B208="","",IFERROR(IF(AND(INDEX(Mapping!$G$5:$G$104,MATCH(B208,Mapping!$A$5:$A$104,0))="Nee",ABS(Q208)+ABS(Z208)+ABS(AR208)&gt;0),1,0),0))</f>
        <v/>
      </c>
      <c r="BW208" s="124" t="str">
        <f>IF($B208="","",IF(COUNTIF(Mapping!$A$5:$A$104,B208)&gt;0,1,0))</f>
        <v/>
      </c>
      <c r="BX208" s="124" t="str">
        <f>IF($B208="","",IF(BR208=0,COUNTIF($BR$6:BR208,0),""))</f>
        <v/>
      </c>
    </row>
    <row r="209">
      <c r="A209" s="15" t="n">
        <v>205</v>
      </c>
      <c r="B209" t="str">
        <f>IF(B$3=0,"",IF(INDEX(SRC_Woningetalage!$A$1:$ZZ$501,$A209,B$3)&amp;""="","",INDEX(SRC_Woningetalage!$A$1:$ZZ$501,$A209,B$3)&amp;""))</f>
        <v/>
      </c>
      <c r="C209" t="str">
        <f>IF($B209="","",IF(C$3=0,"n.b.",INDEX(SRC_Woningetalage!$A$1:$ZZ$501,$A209,C$3)))</f>
        <v/>
      </c>
      <c r="D209" t="str">
        <f>IF($B209="","",IF(D$3=0,"n.b.",INDEX(SRC_Woningetalage!$A$1:$ZZ$501,$A209,D$3)))</f>
        <v/>
      </c>
      <c r="E209" t="str">
        <f>IF($B209="","",IF(E$3=0,"n.b.",INDEX(SRC_Woningetalage!$A$1:$ZZ$501,$A209,E$3)))</f>
        <v/>
      </c>
      <c r="F209" t="str">
        <f>IF($B209="","",IF(F$3=0,"n.b.",INDEX(SRC_Woningetalage!$A$1:$ZZ$501,$A209,F$3)))</f>
        <v/>
      </c>
      <c r="G209" t="str">
        <f>IF($B209="","",IF(G$3=0,"n.b.",INDEX(SRC_Woningetalage!$A$1:$ZZ$501,$A209,G$3)))</f>
        <v/>
      </c>
      <c r="H209" t="str">
        <f>IF($B209="","",IF(H$3=0,"n.b.",INDEX(SRC_Woningetalage!$A$1:$ZZ$501,$A209,H$3)))</f>
        <v/>
      </c>
      <c r="I209" t="str">
        <f>IF($B209="","",IF(I$3=0,"n.b.",INDEX(SRC_Woningetalage!$A$1:$ZZ$501,$A209,I$3)))</f>
        <v/>
      </c>
      <c r="J209" t="str">
        <f>IF($B209="","",IF(J$3=0,"n.b.",INDEX(SRC_Woningetalage!$A$1:$ZZ$501,$A209,J$3)))</f>
        <v/>
      </c>
      <c r="K209" t="str">
        <f>IF($B209="","",IF(K$3=0,"n.b.",INDEX(SRC_Woningetalage!$A$1:$ZZ$501,$A209,K$3)))</f>
        <v/>
      </c>
      <c r="L209" t="str">
        <f>IF($B209="","",IF(L$3=0,"n.b.",INDEX(SRC_Woningetalage!$A$1:$ZZ$501,$A209,L$3)))</f>
        <v/>
      </c>
      <c r="M209" t="str">
        <f>IF($B209="","",IF(M$3=0,"n.b.",INDEX(SRC_Woningetalage!$A$1:$ZZ$501,$A209,M$3)))</f>
        <v/>
      </c>
      <c r="N209" t="str">
        <f>IF($B209="","",IF(N$3=0,"n.b.",INDEX(SRC_Woningetalage!$A$1:$ZZ$501,$A209,N$3)))</f>
        <v/>
      </c>
      <c r="O209" t="str">
        <f>IF($B209="","",IF(O$3=0,"n.b.",INDEX(SRC_Woningetalage!$A$1:$ZZ$501,$A209,O$3)))</f>
        <v/>
      </c>
      <c r="P209" t="str">
        <f>IF($B209="","",IF(P$3=0,"n.b.",INDEX(SRC_Woningetalage!$A$1:$ZZ$501,$A209,P$3)))</f>
        <v/>
      </c>
      <c r="Q209" s="124" t="str">
        <f>IF($B209="","",IF(Q$3=0,"n.b.",INDEX(SRC_Woningetalage!$A$1:$ZZ$501,$A209,Q$3)))</f>
        <v/>
      </c>
      <c r="R209" s="124" t="str">
        <f>IF($B209="","",IF(R$3=0,"n.b.",INDEX(SRC_Woningetalage!$A$1:$ZZ$501,$A209,R$3)))</f>
        <v/>
      </c>
      <c r="S209" s="124" t="str">
        <f>IF($B209="","",IF(S$3=0,"n.b.",INDEX(SRC_Woningetalage!$A$1:$ZZ$501,$A209,S$3)))</f>
        <v/>
      </c>
      <c r="T209" s="124" t="str">
        <f>IF($B209="","",IF(T$3=0,"n.b.",INDEX(SRC_Woningetalage!$A$1:$ZZ$501,$A209,T$3)))</f>
        <v/>
      </c>
      <c r="U209" s="124" t="str">
        <f>IF($B209="","",IF(U$3=0,"n.b.",INDEX(SRC_Woningetalage!$A$1:$ZZ$501,$A209,U$3)))</f>
        <v/>
      </c>
      <c r="V209" s="124" t="str">
        <f>IF($B209="","",IF(V$3=0,"n.b.",INDEX(SRC_Woningetalage!$A$1:$ZZ$501,$A209,V$3)))</f>
        <v/>
      </c>
      <c r="W209" s="124" t="str">
        <f>IF($B209="","",IF(W$3=0,"n.b.",INDEX(SRC_Woningetalage!$A$1:$ZZ$501,$A209,W$3)))</f>
        <v/>
      </c>
      <c r="X209" s="124" t="str">
        <f>IF($B209="","",IF(X$3=0,"n.b.",INDEX(SRC_Woningetalage!$A$1:$ZZ$501,$A209,X$3)))</f>
        <v/>
      </c>
      <c r="Y209" s="124" t="str">
        <f>IF($B209="","",IF(Y$3=0,"n.b.",INDEX(SRC_Woningetalage!$A$1:$ZZ$501,$A209,Y$3)))</f>
        <v/>
      </c>
      <c r="Z209" s="124" t="str">
        <f>IF($B209="","",IF(Z$3=0,"n.b.",INDEX(SRC_Woningetalage!$A$1:$ZZ$501,$A209,Z$3)))</f>
        <v/>
      </c>
      <c r="AA209" s="124" t="str">
        <f>IF($B209="","",IF(AA$3=0,"n.b.",INDEX(SRC_Woningetalage!$A$1:$ZZ$501,$A209,AA$3)))</f>
        <v/>
      </c>
      <c r="AB209" s="124" t="str">
        <f>IF($B209="","",IF(AB$3=0,"n.b.",INDEX(SRC_Woningetalage!$A$1:$ZZ$501,$A209,AB$3)))</f>
        <v/>
      </c>
      <c r="AC209" s="124" t="str">
        <f>IF($B209="","",IF(AC$3=0,"n.b.",INDEX(SRC_Woningetalage!$A$1:$ZZ$501,$A209,AC$3)))</f>
        <v/>
      </c>
      <c r="AD209" s="124" t="str">
        <f>IF($B209="","",IF(AD$3=0,"n.b.",INDEX(SRC_Woningetalage!$A$1:$ZZ$501,$A209,AD$3)))</f>
        <v/>
      </c>
      <c r="AE209" s="124" t="str">
        <f>IF($B209="","",IF(AE$3=0,"n.b.",INDEX(SRC_Woningetalage!$A$1:$ZZ$501,$A209,AE$3)))</f>
        <v/>
      </c>
      <c r="AF209" s="124" t="str">
        <f>IF($B209="","",IF(AF$3=0,"n.b.",INDEX(SRC_Woningetalage!$A$1:$ZZ$501,$A209,AF$3)))</f>
        <v/>
      </c>
      <c r="AG209" s="124" t="str">
        <f>IF($B209="","",IF(AG$3=0,"n.b.",INDEX(SRC_Woningetalage!$A$1:$ZZ$501,$A209,AG$3)))</f>
        <v/>
      </c>
      <c r="AH209" s="124" t="str">
        <f>IF($B209="","",IF(AH$3=0,"n.b.",INDEX(SRC_Woningetalage!$A$1:$ZZ$501,$A209,AH$3)))</f>
        <v/>
      </c>
      <c r="AI209" s="124" t="str">
        <f>IF($B209="","",IF(AI$3=0,"n.b.",INDEX(SRC_Woningetalage!$A$1:$ZZ$501,$A209,AI$3)))</f>
        <v/>
      </c>
      <c r="AJ209" s="124" t="str">
        <f>IF($B209="","",IF(AJ$3=0,"n.b.",INDEX(SRC_Woningetalage!$A$1:$ZZ$501,$A209,AJ$3)))</f>
        <v/>
      </c>
      <c r="AK209" s="124" t="str">
        <f>IF($B209="","",IF(AK$3=0,"n.b.",INDEX(SRC_Woningetalage!$A$1:$ZZ$501,$A209,AK$3)))</f>
        <v/>
      </c>
      <c r="AL209" s="124" t="str">
        <f>IF($B209="","",IF(AL$3=0,"n.b.",INDEX(SRC_Woningetalage!$A$1:$ZZ$501,$A209,AL$3)))</f>
        <v/>
      </c>
      <c r="AM209" s="124" t="str">
        <f>IF($B209="","",IF(AM$3=0,"n.b.",INDEX(SRC_Woningetalage!$A$1:$ZZ$501,$A209,AM$3)))</f>
        <v/>
      </c>
      <c r="AN209" s="124" t="str">
        <f>IF($B209="","",IF(AN$3=0,"n.b.",INDEX(SRC_Woningetalage!$A$1:$ZZ$501,$A209,AN$3)))</f>
        <v/>
      </c>
      <c r="AO209" s="124" t="str">
        <f>IF($B209="","",IF(AO$3=0,"n.b.",INDEX(SRC_Woningetalage!$A$1:$ZZ$501,$A209,AO$3)))</f>
        <v/>
      </c>
      <c r="AP209" s="124" t="str">
        <f>IF($B209="","",IF(AP$3=0,"n.b.",INDEX(SRC_Woningetalage!$A$1:$ZZ$501,$A209,AP$3)))</f>
        <v/>
      </c>
      <c r="AQ209" s="124" t="str">
        <f>IF($B209="","",IF(AQ$3=0,"n.b.",INDEX(SRC_Woningetalage!$A$1:$ZZ$501,$A209,AQ$3)))</f>
        <v/>
      </c>
      <c r="AR209" s="124" t="str">
        <f>IF($B209="","",IF(AR$3=0,"n.b.",INDEX(SRC_Woningetalage!$A$1:$ZZ$501,$A209,AR$3)))</f>
        <v/>
      </c>
      <c r="AS209" s="124" t="str">
        <f>IF($B209="","",IF(AS$3=0,"n.b.",INDEX(SRC_Woningetalage!$A$1:$ZZ$501,$A209,AS$3)))</f>
        <v/>
      </c>
      <c r="AT209" s="124" t="str">
        <f>IF($B209="","",IF(AT$3=0,"n.b.",INDEX(SRC_Woningetalage!$A$1:$ZZ$501,$A209,AT$3)))</f>
        <v/>
      </c>
      <c r="AU209" s="124" t="str">
        <f>IF($B209="","",IF(AU$3=0,"n.b.",INDEX(SRC_Woningetalage!$A$1:$ZZ$501,$A209,AU$3)))</f>
        <v/>
      </c>
      <c r="AV209" s="124" t="str">
        <f>IF($B209="","",IF(AV$3=0,"n.b.",INDEX(SRC_Woningetalage!$A$1:$ZZ$501,$A209,AV$3)))</f>
        <v/>
      </c>
      <c r="AW209" s="124" t="str">
        <f>IF($B209="","",IF(AW$3=0,"n.b.",INDEX(SRC_Woningetalage!$A$1:$ZZ$501,$A209,AW$3)))</f>
        <v/>
      </c>
      <c r="AX209" s="124" t="str">
        <f>IF($B209="","",IF(AX$3=0,"n.b.",INDEX(SRC_Woningetalage!$A$1:$ZZ$501,$A209,AX$3)))</f>
        <v/>
      </c>
      <c r="AY209" s="124" t="str">
        <f>IF($B209="","",IF(AY$3=0,"n.b.",INDEX(SRC_Woningetalage!$A$1:$ZZ$501,$A209,AY$3)))</f>
        <v/>
      </c>
      <c r="AZ209" s="124" t="str">
        <f>IF($B209="","",IF(AZ$3=0,"n.b.",INDEX(SRC_Woningetalage!$A$1:$ZZ$501,$A209,AZ$3)))</f>
        <v/>
      </c>
      <c r="BA209" s="124" t="str">
        <f>IF($B209="","",IF(BA$3=0,"n.b.",INDEX(SRC_Woningetalage!$A$1:$ZZ$501,$A209,BA$3)))</f>
        <v/>
      </c>
      <c r="BB209" s="124" t="str">
        <f>IF($B209="","",IF(BB$3=0,"n.b.",INDEX(SRC_Woningetalage!$A$1:$ZZ$501,$A209,BB$3)))</f>
        <v/>
      </c>
      <c r="BC209" s="124" t="str">
        <f>IF($B209="","",IFERROR(_xlfn.NUMBERVALUE(E209&amp;"",",","."),"n.b."))</f>
        <v/>
      </c>
      <c r="BD209" s="124" t="str">
        <f>IF($B209="","",IFERROR(_xlfn.NUMBERVALUE(M209&amp;"",",","."),"n.b."))</f>
        <v/>
      </c>
      <c r="BE209" s="124" t="str">
        <f>IF($B209="","",IFERROR(AB209+AC209+AD209,"n.b."))</f>
        <v/>
      </c>
      <c r="BF209" s="124" t="str">
        <f>IF($B209="","",IFERROR(AE209+AF209+AG209,"n.b."))</f>
        <v/>
      </c>
      <c r="BG209" s="124" t="str">
        <f>IF($B209="","",IFERROR(AH209+AI209+AJ209,"n.b."))</f>
        <v/>
      </c>
      <c r="BH209" s="124" t="str">
        <f>IF($B209="","",IFERROR(AK209+AL209+AM209,"n.b."))</f>
        <v/>
      </c>
      <c r="BI209" s="124" t="str">
        <f>IF($B209="","",IFERROR(SUMIF($AB$5:$AM$5,"&lt;="&amp;P_PeilMaand,AB209:AM209),"n.b."))</f>
        <v/>
      </c>
      <c r="BJ209" s="124" t="str">
        <f>IF($B209="","",IFERROR(SUM(AB209:AM209)-BI209,"n.b."))</f>
        <v/>
      </c>
      <c r="BK209" s="124" t="str">
        <f>IF($B209="","",IFERROR(IF(ABS(Q209-(T209+SUM(AB209:AM209)+AS209+AU209))&gt;P_Tol,1,0),1))</f>
        <v/>
      </c>
      <c r="BL209" s="124" t="str">
        <f>IF($B209="","",IFERROR(IF(ABS(AA209-(Q209-Z209))&gt;P_Tol,1,0),1))</f>
        <v/>
      </c>
      <c r="BM209" s="124" t="str">
        <f>IF($B209="","",IFERROR(IF(ABS(Z209-(T209+W209))&gt;P_Tol,1,0),1))</f>
        <v/>
      </c>
      <c r="BN209" s="124" t="str">
        <f>IF($B209="","",IFERROR(IF(ABS(W209-BI209)&gt;P_Tol,1,0),1))</f>
        <v/>
      </c>
      <c r="BO209" s="124" t="str">
        <f>IF($B209="","",IFERROR(IF(OR(ABS(R209+S209-T209)&gt;P_Tol,ABS(U209+V209-W209)&gt;P_Tol,ABS(X209+Y209-Z209)&gt;P_Tol),1,0),1))</f>
        <v/>
      </c>
      <c r="BP209" s="124" t="str">
        <f>IF($B209="","",IFERROR(IF(OR(ABS(AR209-SUM(AB209:AM209))&gt;P_Tol,ABS(AS209-(AN209+AO209+AP209+AQ209))&gt;P_Tol),1,0),1))</f>
        <v/>
      </c>
      <c r="BQ209" s="124" t="str">
        <f>IF($B209="","",IFERROR(IF(ABS(AT209)+ABS(AV209)+ABS(AW209)+ABS(AX209)+ABS(AY209)+ABS(AZ209)+ABS(BA209)+ABS(BB209)&gt;0,1,0),1))</f>
        <v/>
      </c>
      <c r="BR209" s="124" t="str">
        <f>IF($B209="","",COUNTIF(STG_ZPMW03!$B$6:$B$505,B209))</f>
        <v/>
      </c>
      <c r="BS209" s="124" t="str">
        <f>IF($B209="","",COUNTIF($B$6:$B$505,B209))</f>
        <v/>
      </c>
      <c r="BT209" s="124" t="str">
        <f>IF($B209="","",IF(BR209=0,0,IF(INDEX(STG_ZPMW03!$I$6:$I$505,MATCH(B209,STG_ZPMW03!$B$6:$B$505,0))=J209&amp;"",0,1)))</f>
        <v/>
      </c>
      <c r="BU209" s="124" t="str">
        <f>IF($B209="","",IFERROR(IF(ABS(INDEX(Mapping!$D$5:$D$104,MATCH(B209,Mapping!$A$5:$A$104,0))-Q209)&gt;P_Tol,1,0),0))</f>
        <v/>
      </c>
      <c r="BV209" s="124" t="str">
        <f>IF($B209="","",IFERROR(IF(AND(INDEX(Mapping!$G$5:$G$104,MATCH(B209,Mapping!$A$5:$A$104,0))="Nee",ABS(Q209)+ABS(Z209)+ABS(AR209)&gt;0),1,0),0))</f>
        <v/>
      </c>
      <c r="BW209" s="124" t="str">
        <f>IF($B209="","",IF(COUNTIF(Mapping!$A$5:$A$104,B209)&gt;0,1,0))</f>
        <v/>
      </c>
      <c r="BX209" s="124" t="str">
        <f>IF($B209="","",IF(BR209=0,COUNTIF($BR$6:BR209,0),""))</f>
        <v/>
      </c>
    </row>
    <row r="210">
      <c r="A210" s="15" t="n">
        <v>206</v>
      </c>
      <c r="B210" t="str">
        <f>IF(B$3=0,"",IF(INDEX(SRC_Woningetalage!$A$1:$ZZ$501,$A210,B$3)&amp;""="","",INDEX(SRC_Woningetalage!$A$1:$ZZ$501,$A210,B$3)&amp;""))</f>
        <v/>
      </c>
      <c r="C210" t="str">
        <f>IF($B210="","",IF(C$3=0,"n.b.",INDEX(SRC_Woningetalage!$A$1:$ZZ$501,$A210,C$3)))</f>
        <v/>
      </c>
      <c r="D210" t="str">
        <f>IF($B210="","",IF(D$3=0,"n.b.",INDEX(SRC_Woningetalage!$A$1:$ZZ$501,$A210,D$3)))</f>
        <v/>
      </c>
      <c r="E210" t="str">
        <f>IF($B210="","",IF(E$3=0,"n.b.",INDEX(SRC_Woningetalage!$A$1:$ZZ$501,$A210,E$3)))</f>
        <v/>
      </c>
      <c r="F210" t="str">
        <f>IF($B210="","",IF(F$3=0,"n.b.",INDEX(SRC_Woningetalage!$A$1:$ZZ$501,$A210,F$3)))</f>
        <v/>
      </c>
      <c r="G210" t="str">
        <f>IF($B210="","",IF(G$3=0,"n.b.",INDEX(SRC_Woningetalage!$A$1:$ZZ$501,$A210,G$3)))</f>
        <v/>
      </c>
      <c r="H210" t="str">
        <f>IF($B210="","",IF(H$3=0,"n.b.",INDEX(SRC_Woningetalage!$A$1:$ZZ$501,$A210,H$3)))</f>
        <v/>
      </c>
      <c r="I210" t="str">
        <f>IF($B210="","",IF(I$3=0,"n.b.",INDEX(SRC_Woningetalage!$A$1:$ZZ$501,$A210,I$3)))</f>
        <v/>
      </c>
      <c r="J210" t="str">
        <f>IF($B210="","",IF(J$3=0,"n.b.",INDEX(SRC_Woningetalage!$A$1:$ZZ$501,$A210,J$3)))</f>
        <v/>
      </c>
      <c r="K210" t="str">
        <f>IF($B210="","",IF(K$3=0,"n.b.",INDEX(SRC_Woningetalage!$A$1:$ZZ$501,$A210,K$3)))</f>
        <v/>
      </c>
      <c r="L210" t="str">
        <f>IF($B210="","",IF(L$3=0,"n.b.",INDEX(SRC_Woningetalage!$A$1:$ZZ$501,$A210,L$3)))</f>
        <v/>
      </c>
      <c r="M210" t="str">
        <f>IF($B210="","",IF(M$3=0,"n.b.",INDEX(SRC_Woningetalage!$A$1:$ZZ$501,$A210,M$3)))</f>
        <v/>
      </c>
      <c r="N210" t="str">
        <f>IF($B210="","",IF(N$3=0,"n.b.",INDEX(SRC_Woningetalage!$A$1:$ZZ$501,$A210,N$3)))</f>
        <v/>
      </c>
      <c r="O210" t="str">
        <f>IF($B210="","",IF(O$3=0,"n.b.",INDEX(SRC_Woningetalage!$A$1:$ZZ$501,$A210,O$3)))</f>
        <v/>
      </c>
      <c r="P210" t="str">
        <f>IF($B210="","",IF(P$3=0,"n.b.",INDEX(SRC_Woningetalage!$A$1:$ZZ$501,$A210,P$3)))</f>
        <v/>
      </c>
      <c r="Q210" s="124" t="str">
        <f>IF($B210="","",IF(Q$3=0,"n.b.",INDEX(SRC_Woningetalage!$A$1:$ZZ$501,$A210,Q$3)))</f>
        <v/>
      </c>
      <c r="R210" s="124" t="str">
        <f>IF($B210="","",IF(R$3=0,"n.b.",INDEX(SRC_Woningetalage!$A$1:$ZZ$501,$A210,R$3)))</f>
        <v/>
      </c>
      <c r="S210" s="124" t="str">
        <f>IF($B210="","",IF(S$3=0,"n.b.",INDEX(SRC_Woningetalage!$A$1:$ZZ$501,$A210,S$3)))</f>
        <v/>
      </c>
      <c r="T210" s="124" t="str">
        <f>IF($B210="","",IF(T$3=0,"n.b.",INDEX(SRC_Woningetalage!$A$1:$ZZ$501,$A210,T$3)))</f>
        <v/>
      </c>
      <c r="U210" s="124" t="str">
        <f>IF($B210="","",IF(U$3=0,"n.b.",INDEX(SRC_Woningetalage!$A$1:$ZZ$501,$A210,U$3)))</f>
        <v/>
      </c>
      <c r="V210" s="124" t="str">
        <f>IF($B210="","",IF(V$3=0,"n.b.",INDEX(SRC_Woningetalage!$A$1:$ZZ$501,$A210,V$3)))</f>
        <v/>
      </c>
      <c r="W210" s="124" t="str">
        <f>IF($B210="","",IF(W$3=0,"n.b.",INDEX(SRC_Woningetalage!$A$1:$ZZ$501,$A210,W$3)))</f>
        <v/>
      </c>
      <c r="X210" s="124" t="str">
        <f>IF($B210="","",IF(X$3=0,"n.b.",INDEX(SRC_Woningetalage!$A$1:$ZZ$501,$A210,X$3)))</f>
        <v/>
      </c>
      <c r="Y210" s="124" t="str">
        <f>IF($B210="","",IF(Y$3=0,"n.b.",INDEX(SRC_Woningetalage!$A$1:$ZZ$501,$A210,Y$3)))</f>
        <v/>
      </c>
      <c r="Z210" s="124" t="str">
        <f>IF($B210="","",IF(Z$3=0,"n.b.",INDEX(SRC_Woningetalage!$A$1:$ZZ$501,$A210,Z$3)))</f>
        <v/>
      </c>
      <c r="AA210" s="124" t="str">
        <f>IF($B210="","",IF(AA$3=0,"n.b.",INDEX(SRC_Woningetalage!$A$1:$ZZ$501,$A210,AA$3)))</f>
        <v/>
      </c>
      <c r="AB210" s="124" t="str">
        <f>IF($B210="","",IF(AB$3=0,"n.b.",INDEX(SRC_Woningetalage!$A$1:$ZZ$501,$A210,AB$3)))</f>
        <v/>
      </c>
      <c r="AC210" s="124" t="str">
        <f>IF($B210="","",IF(AC$3=0,"n.b.",INDEX(SRC_Woningetalage!$A$1:$ZZ$501,$A210,AC$3)))</f>
        <v/>
      </c>
      <c r="AD210" s="124" t="str">
        <f>IF($B210="","",IF(AD$3=0,"n.b.",INDEX(SRC_Woningetalage!$A$1:$ZZ$501,$A210,AD$3)))</f>
        <v/>
      </c>
      <c r="AE210" s="124" t="str">
        <f>IF($B210="","",IF(AE$3=0,"n.b.",INDEX(SRC_Woningetalage!$A$1:$ZZ$501,$A210,AE$3)))</f>
        <v/>
      </c>
      <c r="AF210" s="124" t="str">
        <f>IF($B210="","",IF(AF$3=0,"n.b.",INDEX(SRC_Woningetalage!$A$1:$ZZ$501,$A210,AF$3)))</f>
        <v/>
      </c>
      <c r="AG210" s="124" t="str">
        <f>IF($B210="","",IF(AG$3=0,"n.b.",INDEX(SRC_Woningetalage!$A$1:$ZZ$501,$A210,AG$3)))</f>
        <v/>
      </c>
      <c r="AH210" s="124" t="str">
        <f>IF($B210="","",IF(AH$3=0,"n.b.",INDEX(SRC_Woningetalage!$A$1:$ZZ$501,$A210,AH$3)))</f>
        <v/>
      </c>
      <c r="AI210" s="124" t="str">
        <f>IF($B210="","",IF(AI$3=0,"n.b.",INDEX(SRC_Woningetalage!$A$1:$ZZ$501,$A210,AI$3)))</f>
        <v/>
      </c>
      <c r="AJ210" s="124" t="str">
        <f>IF($B210="","",IF(AJ$3=0,"n.b.",INDEX(SRC_Woningetalage!$A$1:$ZZ$501,$A210,AJ$3)))</f>
        <v/>
      </c>
      <c r="AK210" s="124" t="str">
        <f>IF($B210="","",IF(AK$3=0,"n.b.",INDEX(SRC_Woningetalage!$A$1:$ZZ$501,$A210,AK$3)))</f>
        <v/>
      </c>
      <c r="AL210" s="124" t="str">
        <f>IF($B210="","",IF(AL$3=0,"n.b.",INDEX(SRC_Woningetalage!$A$1:$ZZ$501,$A210,AL$3)))</f>
        <v/>
      </c>
      <c r="AM210" s="124" t="str">
        <f>IF($B210="","",IF(AM$3=0,"n.b.",INDEX(SRC_Woningetalage!$A$1:$ZZ$501,$A210,AM$3)))</f>
        <v/>
      </c>
      <c r="AN210" s="124" t="str">
        <f>IF($B210="","",IF(AN$3=0,"n.b.",INDEX(SRC_Woningetalage!$A$1:$ZZ$501,$A210,AN$3)))</f>
        <v/>
      </c>
      <c r="AO210" s="124" t="str">
        <f>IF($B210="","",IF(AO$3=0,"n.b.",INDEX(SRC_Woningetalage!$A$1:$ZZ$501,$A210,AO$3)))</f>
        <v/>
      </c>
      <c r="AP210" s="124" t="str">
        <f>IF($B210="","",IF(AP$3=0,"n.b.",INDEX(SRC_Woningetalage!$A$1:$ZZ$501,$A210,AP$3)))</f>
        <v/>
      </c>
      <c r="AQ210" s="124" t="str">
        <f>IF($B210="","",IF(AQ$3=0,"n.b.",INDEX(SRC_Woningetalage!$A$1:$ZZ$501,$A210,AQ$3)))</f>
        <v/>
      </c>
      <c r="AR210" s="124" t="str">
        <f>IF($B210="","",IF(AR$3=0,"n.b.",INDEX(SRC_Woningetalage!$A$1:$ZZ$501,$A210,AR$3)))</f>
        <v/>
      </c>
      <c r="AS210" s="124" t="str">
        <f>IF($B210="","",IF(AS$3=0,"n.b.",INDEX(SRC_Woningetalage!$A$1:$ZZ$501,$A210,AS$3)))</f>
        <v/>
      </c>
      <c r="AT210" s="124" t="str">
        <f>IF($B210="","",IF(AT$3=0,"n.b.",INDEX(SRC_Woningetalage!$A$1:$ZZ$501,$A210,AT$3)))</f>
        <v/>
      </c>
      <c r="AU210" s="124" t="str">
        <f>IF($B210="","",IF(AU$3=0,"n.b.",INDEX(SRC_Woningetalage!$A$1:$ZZ$501,$A210,AU$3)))</f>
        <v/>
      </c>
      <c r="AV210" s="124" t="str">
        <f>IF($B210="","",IF(AV$3=0,"n.b.",INDEX(SRC_Woningetalage!$A$1:$ZZ$501,$A210,AV$3)))</f>
        <v/>
      </c>
      <c r="AW210" s="124" t="str">
        <f>IF($B210="","",IF(AW$3=0,"n.b.",INDEX(SRC_Woningetalage!$A$1:$ZZ$501,$A210,AW$3)))</f>
        <v/>
      </c>
      <c r="AX210" s="124" t="str">
        <f>IF($B210="","",IF(AX$3=0,"n.b.",INDEX(SRC_Woningetalage!$A$1:$ZZ$501,$A210,AX$3)))</f>
        <v/>
      </c>
      <c r="AY210" s="124" t="str">
        <f>IF($B210="","",IF(AY$3=0,"n.b.",INDEX(SRC_Woningetalage!$A$1:$ZZ$501,$A210,AY$3)))</f>
        <v/>
      </c>
      <c r="AZ210" s="124" t="str">
        <f>IF($B210="","",IF(AZ$3=0,"n.b.",INDEX(SRC_Woningetalage!$A$1:$ZZ$501,$A210,AZ$3)))</f>
        <v/>
      </c>
      <c r="BA210" s="124" t="str">
        <f>IF($B210="","",IF(BA$3=0,"n.b.",INDEX(SRC_Woningetalage!$A$1:$ZZ$501,$A210,BA$3)))</f>
        <v/>
      </c>
      <c r="BB210" s="124" t="str">
        <f>IF($B210="","",IF(BB$3=0,"n.b.",INDEX(SRC_Woningetalage!$A$1:$ZZ$501,$A210,BB$3)))</f>
        <v/>
      </c>
      <c r="BC210" s="124" t="str">
        <f>IF($B210="","",IFERROR(_xlfn.NUMBERVALUE(E210&amp;"",",","."),"n.b."))</f>
        <v/>
      </c>
      <c r="BD210" s="124" t="str">
        <f>IF($B210="","",IFERROR(_xlfn.NUMBERVALUE(M210&amp;"",",","."),"n.b."))</f>
        <v/>
      </c>
      <c r="BE210" s="124" t="str">
        <f>IF($B210="","",IFERROR(AB210+AC210+AD210,"n.b."))</f>
        <v/>
      </c>
      <c r="BF210" s="124" t="str">
        <f>IF($B210="","",IFERROR(AE210+AF210+AG210,"n.b."))</f>
        <v/>
      </c>
      <c r="BG210" s="124" t="str">
        <f>IF($B210="","",IFERROR(AH210+AI210+AJ210,"n.b."))</f>
        <v/>
      </c>
      <c r="BH210" s="124" t="str">
        <f>IF($B210="","",IFERROR(AK210+AL210+AM210,"n.b."))</f>
        <v/>
      </c>
      <c r="BI210" s="124" t="str">
        <f>IF($B210="","",IFERROR(SUMIF($AB$5:$AM$5,"&lt;="&amp;P_PeilMaand,AB210:AM210),"n.b."))</f>
        <v/>
      </c>
      <c r="BJ210" s="124" t="str">
        <f>IF($B210="","",IFERROR(SUM(AB210:AM210)-BI210,"n.b."))</f>
        <v/>
      </c>
      <c r="BK210" s="124" t="str">
        <f>IF($B210="","",IFERROR(IF(ABS(Q210-(T210+SUM(AB210:AM210)+AS210+AU210))&gt;P_Tol,1,0),1))</f>
        <v/>
      </c>
      <c r="BL210" s="124" t="str">
        <f>IF($B210="","",IFERROR(IF(ABS(AA210-(Q210-Z210))&gt;P_Tol,1,0),1))</f>
        <v/>
      </c>
      <c r="BM210" s="124" t="str">
        <f>IF($B210="","",IFERROR(IF(ABS(Z210-(T210+W210))&gt;P_Tol,1,0),1))</f>
        <v/>
      </c>
      <c r="BN210" s="124" t="str">
        <f>IF($B210="","",IFERROR(IF(ABS(W210-BI210)&gt;P_Tol,1,0),1))</f>
        <v/>
      </c>
      <c r="BO210" s="124" t="str">
        <f>IF($B210="","",IFERROR(IF(OR(ABS(R210+S210-T210)&gt;P_Tol,ABS(U210+V210-W210)&gt;P_Tol,ABS(X210+Y210-Z210)&gt;P_Tol),1,0),1))</f>
        <v/>
      </c>
      <c r="BP210" s="124" t="str">
        <f>IF($B210="","",IFERROR(IF(OR(ABS(AR210-SUM(AB210:AM210))&gt;P_Tol,ABS(AS210-(AN210+AO210+AP210+AQ210))&gt;P_Tol),1,0),1))</f>
        <v/>
      </c>
      <c r="BQ210" s="124" t="str">
        <f>IF($B210="","",IFERROR(IF(ABS(AT210)+ABS(AV210)+ABS(AW210)+ABS(AX210)+ABS(AY210)+ABS(AZ210)+ABS(BA210)+ABS(BB210)&gt;0,1,0),1))</f>
        <v/>
      </c>
      <c r="BR210" s="124" t="str">
        <f>IF($B210="","",COUNTIF(STG_ZPMW03!$B$6:$B$505,B210))</f>
        <v/>
      </c>
      <c r="BS210" s="124" t="str">
        <f>IF($B210="","",COUNTIF($B$6:$B$505,B210))</f>
        <v/>
      </c>
      <c r="BT210" s="124" t="str">
        <f>IF($B210="","",IF(BR210=0,0,IF(INDEX(STG_ZPMW03!$I$6:$I$505,MATCH(B210,STG_ZPMW03!$B$6:$B$505,0))=J210&amp;"",0,1)))</f>
        <v/>
      </c>
      <c r="BU210" s="124" t="str">
        <f>IF($B210="","",IFERROR(IF(ABS(INDEX(Mapping!$D$5:$D$104,MATCH(B210,Mapping!$A$5:$A$104,0))-Q210)&gt;P_Tol,1,0),0))</f>
        <v/>
      </c>
      <c r="BV210" s="124" t="str">
        <f>IF($B210="","",IFERROR(IF(AND(INDEX(Mapping!$G$5:$G$104,MATCH(B210,Mapping!$A$5:$A$104,0))="Nee",ABS(Q210)+ABS(Z210)+ABS(AR210)&gt;0),1,0),0))</f>
        <v/>
      </c>
      <c r="BW210" s="124" t="str">
        <f>IF($B210="","",IF(COUNTIF(Mapping!$A$5:$A$104,B210)&gt;0,1,0))</f>
        <v/>
      </c>
      <c r="BX210" s="124" t="str">
        <f>IF($B210="","",IF(BR210=0,COUNTIF($BR$6:BR210,0),""))</f>
        <v/>
      </c>
    </row>
    <row r="211">
      <c r="A211" s="15" t="n">
        <v>207</v>
      </c>
      <c r="B211" t="str">
        <f>IF(B$3=0,"",IF(INDEX(SRC_Woningetalage!$A$1:$ZZ$501,$A211,B$3)&amp;""="","",INDEX(SRC_Woningetalage!$A$1:$ZZ$501,$A211,B$3)&amp;""))</f>
        <v/>
      </c>
      <c r="C211" t="str">
        <f>IF($B211="","",IF(C$3=0,"n.b.",INDEX(SRC_Woningetalage!$A$1:$ZZ$501,$A211,C$3)))</f>
        <v/>
      </c>
      <c r="D211" t="str">
        <f>IF($B211="","",IF(D$3=0,"n.b.",INDEX(SRC_Woningetalage!$A$1:$ZZ$501,$A211,D$3)))</f>
        <v/>
      </c>
      <c r="E211" t="str">
        <f>IF($B211="","",IF(E$3=0,"n.b.",INDEX(SRC_Woningetalage!$A$1:$ZZ$501,$A211,E$3)))</f>
        <v/>
      </c>
      <c r="F211" t="str">
        <f>IF($B211="","",IF(F$3=0,"n.b.",INDEX(SRC_Woningetalage!$A$1:$ZZ$501,$A211,F$3)))</f>
        <v/>
      </c>
      <c r="G211" t="str">
        <f>IF($B211="","",IF(G$3=0,"n.b.",INDEX(SRC_Woningetalage!$A$1:$ZZ$501,$A211,G$3)))</f>
        <v/>
      </c>
      <c r="H211" t="str">
        <f>IF($B211="","",IF(H$3=0,"n.b.",INDEX(SRC_Woningetalage!$A$1:$ZZ$501,$A211,H$3)))</f>
        <v/>
      </c>
      <c r="I211" t="str">
        <f>IF($B211="","",IF(I$3=0,"n.b.",INDEX(SRC_Woningetalage!$A$1:$ZZ$501,$A211,I$3)))</f>
        <v/>
      </c>
      <c r="J211" t="str">
        <f>IF($B211="","",IF(J$3=0,"n.b.",INDEX(SRC_Woningetalage!$A$1:$ZZ$501,$A211,J$3)))</f>
        <v/>
      </c>
      <c r="K211" t="str">
        <f>IF($B211="","",IF(K$3=0,"n.b.",INDEX(SRC_Woningetalage!$A$1:$ZZ$501,$A211,K$3)))</f>
        <v/>
      </c>
      <c r="L211" t="str">
        <f>IF($B211="","",IF(L$3=0,"n.b.",INDEX(SRC_Woningetalage!$A$1:$ZZ$501,$A211,L$3)))</f>
        <v/>
      </c>
      <c r="M211" t="str">
        <f>IF($B211="","",IF(M$3=0,"n.b.",INDEX(SRC_Woningetalage!$A$1:$ZZ$501,$A211,M$3)))</f>
        <v/>
      </c>
      <c r="N211" t="str">
        <f>IF($B211="","",IF(N$3=0,"n.b.",INDEX(SRC_Woningetalage!$A$1:$ZZ$501,$A211,N$3)))</f>
        <v/>
      </c>
      <c r="O211" t="str">
        <f>IF($B211="","",IF(O$3=0,"n.b.",INDEX(SRC_Woningetalage!$A$1:$ZZ$501,$A211,O$3)))</f>
        <v/>
      </c>
      <c r="P211" t="str">
        <f>IF($B211="","",IF(P$3=0,"n.b.",INDEX(SRC_Woningetalage!$A$1:$ZZ$501,$A211,P$3)))</f>
        <v/>
      </c>
      <c r="Q211" s="124" t="str">
        <f>IF($B211="","",IF(Q$3=0,"n.b.",INDEX(SRC_Woningetalage!$A$1:$ZZ$501,$A211,Q$3)))</f>
        <v/>
      </c>
      <c r="R211" s="124" t="str">
        <f>IF($B211="","",IF(R$3=0,"n.b.",INDEX(SRC_Woningetalage!$A$1:$ZZ$501,$A211,R$3)))</f>
        <v/>
      </c>
      <c r="S211" s="124" t="str">
        <f>IF($B211="","",IF(S$3=0,"n.b.",INDEX(SRC_Woningetalage!$A$1:$ZZ$501,$A211,S$3)))</f>
        <v/>
      </c>
      <c r="T211" s="124" t="str">
        <f>IF($B211="","",IF(T$3=0,"n.b.",INDEX(SRC_Woningetalage!$A$1:$ZZ$501,$A211,T$3)))</f>
        <v/>
      </c>
      <c r="U211" s="124" t="str">
        <f>IF($B211="","",IF(U$3=0,"n.b.",INDEX(SRC_Woningetalage!$A$1:$ZZ$501,$A211,U$3)))</f>
        <v/>
      </c>
      <c r="V211" s="124" t="str">
        <f>IF($B211="","",IF(V$3=0,"n.b.",INDEX(SRC_Woningetalage!$A$1:$ZZ$501,$A211,V$3)))</f>
        <v/>
      </c>
      <c r="W211" s="124" t="str">
        <f>IF($B211="","",IF(W$3=0,"n.b.",INDEX(SRC_Woningetalage!$A$1:$ZZ$501,$A211,W$3)))</f>
        <v/>
      </c>
      <c r="X211" s="124" t="str">
        <f>IF($B211="","",IF(X$3=0,"n.b.",INDEX(SRC_Woningetalage!$A$1:$ZZ$501,$A211,X$3)))</f>
        <v/>
      </c>
      <c r="Y211" s="124" t="str">
        <f>IF($B211="","",IF(Y$3=0,"n.b.",INDEX(SRC_Woningetalage!$A$1:$ZZ$501,$A211,Y$3)))</f>
        <v/>
      </c>
      <c r="Z211" s="124" t="str">
        <f>IF($B211="","",IF(Z$3=0,"n.b.",INDEX(SRC_Woningetalage!$A$1:$ZZ$501,$A211,Z$3)))</f>
        <v/>
      </c>
      <c r="AA211" s="124" t="str">
        <f>IF($B211="","",IF(AA$3=0,"n.b.",INDEX(SRC_Woningetalage!$A$1:$ZZ$501,$A211,AA$3)))</f>
        <v/>
      </c>
      <c r="AB211" s="124" t="str">
        <f>IF($B211="","",IF(AB$3=0,"n.b.",INDEX(SRC_Woningetalage!$A$1:$ZZ$501,$A211,AB$3)))</f>
        <v/>
      </c>
      <c r="AC211" s="124" t="str">
        <f>IF($B211="","",IF(AC$3=0,"n.b.",INDEX(SRC_Woningetalage!$A$1:$ZZ$501,$A211,AC$3)))</f>
        <v/>
      </c>
      <c r="AD211" s="124" t="str">
        <f>IF($B211="","",IF(AD$3=0,"n.b.",INDEX(SRC_Woningetalage!$A$1:$ZZ$501,$A211,AD$3)))</f>
        <v/>
      </c>
      <c r="AE211" s="124" t="str">
        <f>IF($B211="","",IF(AE$3=0,"n.b.",INDEX(SRC_Woningetalage!$A$1:$ZZ$501,$A211,AE$3)))</f>
        <v/>
      </c>
      <c r="AF211" s="124" t="str">
        <f>IF($B211="","",IF(AF$3=0,"n.b.",INDEX(SRC_Woningetalage!$A$1:$ZZ$501,$A211,AF$3)))</f>
        <v/>
      </c>
      <c r="AG211" s="124" t="str">
        <f>IF($B211="","",IF(AG$3=0,"n.b.",INDEX(SRC_Woningetalage!$A$1:$ZZ$501,$A211,AG$3)))</f>
        <v/>
      </c>
      <c r="AH211" s="124" t="str">
        <f>IF($B211="","",IF(AH$3=0,"n.b.",INDEX(SRC_Woningetalage!$A$1:$ZZ$501,$A211,AH$3)))</f>
        <v/>
      </c>
      <c r="AI211" s="124" t="str">
        <f>IF($B211="","",IF(AI$3=0,"n.b.",INDEX(SRC_Woningetalage!$A$1:$ZZ$501,$A211,AI$3)))</f>
        <v/>
      </c>
      <c r="AJ211" s="124" t="str">
        <f>IF($B211="","",IF(AJ$3=0,"n.b.",INDEX(SRC_Woningetalage!$A$1:$ZZ$501,$A211,AJ$3)))</f>
        <v/>
      </c>
      <c r="AK211" s="124" t="str">
        <f>IF($B211="","",IF(AK$3=0,"n.b.",INDEX(SRC_Woningetalage!$A$1:$ZZ$501,$A211,AK$3)))</f>
        <v/>
      </c>
      <c r="AL211" s="124" t="str">
        <f>IF($B211="","",IF(AL$3=0,"n.b.",INDEX(SRC_Woningetalage!$A$1:$ZZ$501,$A211,AL$3)))</f>
        <v/>
      </c>
      <c r="AM211" s="124" t="str">
        <f>IF($B211="","",IF(AM$3=0,"n.b.",INDEX(SRC_Woningetalage!$A$1:$ZZ$501,$A211,AM$3)))</f>
        <v/>
      </c>
      <c r="AN211" s="124" t="str">
        <f>IF($B211="","",IF(AN$3=0,"n.b.",INDEX(SRC_Woningetalage!$A$1:$ZZ$501,$A211,AN$3)))</f>
        <v/>
      </c>
      <c r="AO211" s="124" t="str">
        <f>IF($B211="","",IF(AO$3=0,"n.b.",INDEX(SRC_Woningetalage!$A$1:$ZZ$501,$A211,AO$3)))</f>
        <v/>
      </c>
      <c r="AP211" s="124" t="str">
        <f>IF($B211="","",IF(AP$3=0,"n.b.",INDEX(SRC_Woningetalage!$A$1:$ZZ$501,$A211,AP$3)))</f>
        <v/>
      </c>
      <c r="AQ211" s="124" t="str">
        <f>IF($B211="","",IF(AQ$3=0,"n.b.",INDEX(SRC_Woningetalage!$A$1:$ZZ$501,$A211,AQ$3)))</f>
        <v/>
      </c>
      <c r="AR211" s="124" t="str">
        <f>IF($B211="","",IF(AR$3=0,"n.b.",INDEX(SRC_Woningetalage!$A$1:$ZZ$501,$A211,AR$3)))</f>
        <v/>
      </c>
      <c r="AS211" s="124" t="str">
        <f>IF($B211="","",IF(AS$3=0,"n.b.",INDEX(SRC_Woningetalage!$A$1:$ZZ$501,$A211,AS$3)))</f>
        <v/>
      </c>
      <c r="AT211" s="124" t="str">
        <f>IF($B211="","",IF(AT$3=0,"n.b.",INDEX(SRC_Woningetalage!$A$1:$ZZ$501,$A211,AT$3)))</f>
        <v/>
      </c>
      <c r="AU211" s="124" t="str">
        <f>IF($B211="","",IF(AU$3=0,"n.b.",INDEX(SRC_Woningetalage!$A$1:$ZZ$501,$A211,AU$3)))</f>
        <v/>
      </c>
      <c r="AV211" s="124" t="str">
        <f>IF($B211="","",IF(AV$3=0,"n.b.",INDEX(SRC_Woningetalage!$A$1:$ZZ$501,$A211,AV$3)))</f>
        <v/>
      </c>
      <c r="AW211" s="124" t="str">
        <f>IF($B211="","",IF(AW$3=0,"n.b.",INDEX(SRC_Woningetalage!$A$1:$ZZ$501,$A211,AW$3)))</f>
        <v/>
      </c>
      <c r="AX211" s="124" t="str">
        <f>IF($B211="","",IF(AX$3=0,"n.b.",INDEX(SRC_Woningetalage!$A$1:$ZZ$501,$A211,AX$3)))</f>
        <v/>
      </c>
      <c r="AY211" s="124" t="str">
        <f>IF($B211="","",IF(AY$3=0,"n.b.",INDEX(SRC_Woningetalage!$A$1:$ZZ$501,$A211,AY$3)))</f>
        <v/>
      </c>
      <c r="AZ211" s="124" t="str">
        <f>IF($B211="","",IF(AZ$3=0,"n.b.",INDEX(SRC_Woningetalage!$A$1:$ZZ$501,$A211,AZ$3)))</f>
        <v/>
      </c>
      <c r="BA211" s="124" t="str">
        <f>IF($B211="","",IF(BA$3=0,"n.b.",INDEX(SRC_Woningetalage!$A$1:$ZZ$501,$A211,BA$3)))</f>
        <v/>
      </c>
      <c r="BB211" s="124" t="str">
        <f>IF($B211="","",IF(BB$3=0,"n.b.",INDEX(SRC_Woningetalage!$A$1:$ZZ$501,$A211,BB$3)))</f>
        <v/>
      </c>
      <c r="BC211" s="124" t="str">
        <f>IF($B211="","",IFERROR(_xlfn.NUMBERVALUE(E211&amp;"",",","."),"n.b."))</f>
        <v/>
      </c>
      <c r="BD211" s="124" t="str">
        <f>IF($B211="","",IFERROR(_xlfn.NUMBERVALUE(M211&amp;"",",","."),"n.b."))</f>
        <v/>
      </c>
      <c r="BE211" s="124" t="str">
        <f>IF($B211="","",IFERROR(AB211+AC211+AD211,"n.b."))</f>
        <v/>
      </c>
      <c r="BF211" s="124" t="str">
        <f>IF($B211="","",IFERROR(AE211+AF211+AG211,"n.b."))</f>
        <v/>
      </c>
      <c r="BG211" s="124" t="str">
        <f>IF($B211="","",IFERROR(AH211+AI211+AJ211,"n.b."))</f>
        <v/>
      </c>
      <c r="BH211" s="124" t="str">
        <f>IF($B211="","",IFERROR(AK211+AL211+AM211,"n.b."))</f>
        <v/>
      </c>
      <c r="BI211" s="124" t="str">
        <f>IF($B211="","",IFERROR(SUMIF($AB$5:$AM$5,"&lt;="&amp;P_PeilMaand,AB211:AM211),"n.b."))</f>
        <v/>
      </c>
      <c r="BJ211" s="124" t="str">
        <f>IF($B211="","",IFERROR(SUM(AB211:AM211)-BI211,"n.b."))</f>
        <v/>
      </c>
      <c r="BK211" s="124" t="str">
        <f>IF($B211="","",IFERROR(IF(ABS(Q211-(T211+SUM(AB211:AM211)+AS211+AU211))&gt;P_Tol,1,0),1))</f>
        <v/>
      </c>
      <c r="BL211" s="124" t="str">
        <f>IF($B211="","",IFERROR(IF(ABS(AA211-(Q211-Z211))&gt;P_Tol,1,0),1))</f>
        <v/>
      </c>
      <c r="BM211" s="124" t="str">
        <f>IF($B211="","",IFERROR(IF(ABS(Z211-(T211+W211))&gt;P_Tol,1,0),1))</f>
        <v/>
      </c>
      <c r="BN211" s="124" t="str">
        <f>IF($B211="","",IFERROR(IF(ABS(W211-BI211)&gt;P_Tol,1,0),1))</f>
        <v/>
      </c>
      <c r="BO211" s="124" t="str">
        <f>IF($B211="","",IFERROR(IF(OR(ABS(R211+S211-T211)&gt;P_Tol,ABS(U211+V211-W211)&gt;P_Tol,ABS(X211+Y211-Z211)&gt;P_Tol),1,0),1))</f>
        <v/>
      </c>
      <c r="BP211" s="124" t="str">
        <f>IF($B211="","",IFERROR(IF(OR(ABS(AR211-SUM(AB211:AM211))&gt;P_Tol,ABS(AS211-(AN211+AO211+AP211+AQ211))&gt;P_Tol),1,0),1))</f>
        <v/>
      </c>
      <c r="BQ211" s="124" t="str">
        <f>IF($B211="","",IFERROR(IF(ABS(AT211)+ABS(AV211)+ABS(AW211)+ABS(AX211)+ABS(AY211)+ABS(AZ211)+ABS(BA211)+ABS(BB211)&gt;0,1,0),1))</f>
        <v/>
      </c>
      <c r="BR211" s="124" t="str">
        <f>IF($B211="","",COUNTIF(STG_ZPMW03!$B$6:$B$505,B211))</f>
        <v/>
      </c>
      <c r="BS211" s="124" t="str">
        <f>IF($B211="","",COUNTIF($B$6:$B$505,B211))</f>
        <v/>
      </c>
      <c r="BT211" s="124" t="str">
        <f>IF($B211="","",IF(BR211=0,0,IF(INDEX(STG_ZPMW03!$I$6:$I$505,MATCH(B211,STG_ZPMW03!$B$6:$B$505,0))=J211&amp;"",0,1)))</f>
        <v/>
      </c>
      <c r="BU211" s="124" t="str">
        <f>IF($B211="","",IFERROR(IF(ABS(INDEX(Mapping!$D$5:$D$104,MATCH(B211,Mapping!$A$5:$A$104,0))-Q211)&gt;P_Tol,1,0),0))</f>
        <v/>
      </c>
      <c r="BV211" s="124" t="str">
        <f>IF($B211="","",IFERROR(IF(AND(INDEX(Mapping!$G$5:$G$104,MATCH(B211,Mapping!$A$5:$A$104,0))="Nee",ABS(Q211)+ABS(Z211)+ABS(AR211)&gt;0),1,0),0))</f>
        <v/>
      </c>
      <c r="BW211" s="124" t="str">
        <f>IF($B211="","",IF(COUNTIF(Mapping!$A$5:$A$104,B211)&gt;0,1,0))</f>
        <v/>
      </c>
      <c r="BX211" s="124" t="str">
        <f>IF($B211="","",IF(BR211=0,COUNTIF($BR$6:BR211,0),""))</f>
        <v/>
      </c>
    </row>
    <row r="212">
      <c r="A212" s="15" t="n">
        <v>208</v>
      </c>
      <c r="B212" t="str">
        <f>IF(B$3=0,"",IF(INDEX(SRC_Woningetalage!$A$1:$ZZ$501,$A212,B$3)&amp;""="","",INDEX(SRC_Woningetalage!$A$1:$ZZ$501,$A212,B$3)&amp;""))</f>
        <v/>
      </c>
      <c r="C212" t="str">
        <f>IF($B212="","",IF(C$3=0,"n.b.",INDEX(SRC_Woningetalage!$A$1:$ZZ$501,$A212,C$3)))</f>
        <v/>
      </c>
      <c r="D212" t="str">
        <f>IF($B212="","",IF(D$3=0,"n.b.",INDEX(SRC_Woningetalage!$A$1:$ZZ$501,$A212,D$3)))</f>
        <v/>
      </c>
      <c r="E212" t="str">
        <f>IF($B212="","",IF(E$3=0,"n.b.",INDEX(SRC_Woningetalage!$A$1:$ZZ$501,$A212,E$3)))</f>
        <v/>
      </c>
      <c r="F212" t="str">
        <f>IF($B212="","",IF(F$3=0,"n.b.",INDEX(SRC_Woningetalage!$A$1:$ZZ$501,$A212,F$3)))</f>
        <v/>
      </c>
      <c r="G212" t="str">
        <f>IF($B212="","",IF(G$3=0,"n.b.",INDEX(SRC_Woningetalage!$A$1:$ZZ$501,$A212,G$3)))</f>
        <v/>
      </c>
      <c r="H212" t="str">
        <f>IF($B212="","",IF(H$3=0,"n.b.",INDEX(SRC_Woningetalage!$A$1:$ZZ$501,$A212,H$3)))</f>
        <v/>
      </c>
      <c r="I212" t="str">
        <f>IF($B212="","",IF(I$3=0,"n.b.",INDEX(SRC_Woningetalage!$A$1:$ZZ$501,$A212,I$3)))</f>
        <v/>
      </c>
      <c r="J212" t="str">
        <f>IF($B212="","",IF(J$3=0,"n.b.",INDEX(SRC_Woningetalage!$A$1:$ZZ$501,$A212,J$3)))</f>
        <v/>
      </c>
      <c r="K212" t="str">
        <f>IF($B212="","",IF(K$3=0,"n.b.",INDEX(SRC_Woningetalage!$A$1:$ZZ$501,$A212,K$3)))</f>
        <v/>
      </c>
      <c r="L212" t="str">
        <f>IF($B212="","",IF(L$3=0,"n.b.",INDEX(SRC_Woningetalage!$A$1:$ZZ$501,$A212,L$3)))</f>
        <v/>
      </c>
      <c r="M212" t="str">
        <f>IF($B212="","",IF(M$3=0,"n.b.",INDEX(SRC_Woningetalage!$A$1:$ZZ$501,$A212,M$3)))</f>
        <v/>
      </c>
      <c r="N212" t="str">
        <f>IF($B212="","",IF(N$3=0,"n.b.",INDEX(SRC_Woningetalage!$A$1:$ZZ$501,$A212,N$3)))</f>
        <v/>
      </c>
      <c r="O212" t="str">
        <f>IF($B212="","",IF(O$3=0,"n.b.",INDEX(SRC_Woningetalage!$A$1:$ZZ$501,$A212,O$3)))</f>
        <v/>
      </c>
      <c r="P212" t="str">
        <f>IF($B212="","",IF(P$3=0,"n.b.",INDEX(SRC_Woningetalage!$A$1:$ZZ$501,$A212,P$3)))</f>
        <v/>
      </c>
      <c r="Q212" s="124" t="str">
        <f>IF($B212="","",IF(Q$3=0,"n.b.",INDEX(SRC_Woningetalage!$A$1:$ZZ$501,$A212,Q$3)))</f>
        <v/>
      </c>
      <c r="R212" s="124" t="str">
        <f>IF($B212="","",IF(R$3=0,"n.b.",INDEX(SRC_Woningetalage!$A$1:$ZZ$501,$A212,R$3)))</f>
        <v/>
      </c>
      <c r="S212" s="124" t="str">
        <f>IF($B212="","",IF(S$3=0,"n.b.",INDEX(SRC_Woningetalage!$A$1:$ZZ$501,$A212,S$3)))</f>
        <v/>
      </c>
      <c r="T212" s="124" t="str">
        <f>IF($B212="","",IF(T$3=0,"n.b.",INDEX(SRC_Woningetalage!$A$1:$ZZ$501,$A212,T$3)))</f>
        <v/>
      </c>
      <c r="U212" s="124" t="str">
        <f>IF($B212="","",IF(U$3=0,"n.b.",INDEX(SRC_Woningetalage!$A$1:$ZZ$501,$A212,U$3)))</f>
        <v/>
      </c>
      <c r="V212" s="124" t="str">
        <f>IF($B212="","",IF(V$3=0,"n.b.",INDEX(SRC_Woningetalage!$A$1:$ZZ$501,$A212,V$3)))</f>
        <v/>
      </c>
      <c r="W212" s="124" t="str">
        <f>IF($B212="","",IF(W$3=0,"n.b.",INDEX(SRC_Woningetalage!$A$1:$ZZ$501,$A212,W$3)))</f>
        <v/>
      </c>
      <c r="X212" s="124" t="str">
        <f>IF($B212="","",IF(X$3=0,"n.b.",INDEX(SRC_Woningetalage!$A$1:$ZZ$501,$A212,X$3)))</f>
        <v/>
      </c>
      <c r="Y212" s="124" t="str">
        <f>IF($B212="","",IF(Y$3=0,"n.b.",INDEX(SRC_Woningetalage!$A$1:$ZZ$501,$A212,Y$3)))</f>
        <v/>
      </c>
      <c r="Z212" s="124" t="str">
        <f>IF($B212="","",IF(Z$3=0,"n.b.",INDEX(SRC_Woningetalage!$A$1:$ZZ$501,$A212,Z$3)))</f>
        <v/>
      </c>
      <c r="AA212" s="124" t="str">
        <f>IF($B212="","",IF(AA$3=0,"n.b.",INDEX(SRC_Woningetalage!$A$1:$ZZ$501,$A212,AA$3)))</f>
        <v/>
      </c>
      <c r="AB212" s="124" t="str">
        <f>IF($B212="","",IF(AB$3=0,"n.b.",INDEX(SRC_Woningetalage!$A$1:$ZZ$501,$A212,AB$3)))</f>
        <v/>
      </c>
      <c r="AC212" s="124" t="str">
        <f>IF($B212="","",IF(AC$3=0,"n.b.",INDEX(SRC_Woningetalage!$A$1:$ZZ$501,$A212,AC$3)))</f>
        <v/>
      </c>
      <c r="AD212" s="124" t="str">
        <f>IF($B212="","",IF(AD$3=0,"n.b.",INDEX(SRC_Woningetalage!$A$1:$ZZ$501,$A212,AD$3)))</f>
        <v/>
      </c>
      <c r="AE212" s="124" t="str">
        <f>IF($B212="","",IF(AE$3=0,"n.b.",INDEX(SRC_Woningetalage!$A$1:$ZZ$501,$A212,AE$3)))</f>
        <v/>
      </c>
      <c r="AF212" s="124" t="str">
        <f>IF($B212="","",IF(AF$3=0,"n.b.",INDEX(SRC_Woningetalage!$A$1:$ZZ$501,$A212,AF$3)))</f>
        <v/>
      </c>
      <c r="AG212" s="124" t="str">
        <f>IF($B212="","",IF(AG$3=0,"n.b.",INDEX(SRC_Woningetalage!$A$1:$ZZ$501,$A212,AG$3)))</f>
        <v/>
      </c>
      <c r="AH212" s="124" t="str">
        <f>IF($B212="","",IF(AH$3=0,"n.b.",INDEX(SRC_Woningetalage!$A$1:$ZZ$501,$A212,AH$3)))</f>
        <v/>
      </c>
      <c r="AI212" s="124" t="str">
        <f>IF($B212="","",IF(AI$3=0,"n.b.",INDEX(SRC_Woningetalage!$A$1:$ZZ$501,$A212,AI$3)))</f>
        <v/>
      </c>
      <c r="AJ212" s="124" t="str">
        <f>IF($B212="","",IF(AJ$3=0,"n.b.",INDEX(SRC_Woningetalage!$A$1:$ZZ$501,$A212,AJ$3)))</f>
        <v/>
      </c>
      <c r="AK212" s="124" t="str">
        <f>IF($B212="","",IF(AK$3=0,"n.b.",INDEX(SRC_Woningetalage!$A$1:$ZZ$501,$A212,AK$3)))</f>
        <v/>
      </c>
      <c r="AL212" s="124" t="str">
        <f>IF($B212="","",IF(AL$3=0,"n.b.",INDEX(SRC_Woningetalage!$A$1:$ZZ$501,$A212,AL$3)))</f>
        <v/>
      </c>
      <c r="AM212" s="124" t="str">
        <f>IF($B212="","",IF(AM$3=0,"n.b.",INDEX(SRC_Woningetalage!$A$1:$ZZ$501,$A212,AM$3)))</f>
        <v/>
      </c>
      <c r="AN212" s="124" t="str">
        <f>IF($B212="","",IF(AN$3=0,"n.b.",INDEX(SRC_Woningetalage!$A$1:$ZZ$501,$A212,AN$3)))</f>
        <v/>
      </c>
      <c r="AO212" s="124" t="str">
        <f>IF($B212="","",IF(AO$3=0,"n.b.",INDEX(SRC_Woningetalage!$A$1:$ZZ$501,$A212,AO$3)))</f>
        <v/>
      </c>
      <c r="AP212" s="124" t="str">
        <f>IF($B212="","",IF(AP$3=0,"n.b.",INDEX(SRC_Woningetalage!$A$1:$ZZ$501,$A212,AP$3)))</f>
        <v/>
      </c>
      <c r="AQ212" s="124" t="str">
        <f>IF($B212="","",IF(AQ$3=0,"n.b.",INDEX(SRC_Woningetalage!$A$1:$ZZ$501,$A212,AQ$3)))</f>
        <v/>
      </c>
      <c r="AR212" s="124" t="str">
        <f>IF($B212="","",IF(AR$3=0,"n.b.",INDEX(SRC_Woningetalage!$A$1:$ZZ$501,$A212,AR$3)))</f>
        <v/>
      </c>
      <c r="AS212" s="124" t="str">
        <f>IF($B212="","",IF(AS$3=0,"n.b.",INDEX(SRC_Woningetalage!$A$1:$ZZ$501,$A212,AS$3)))</f>
        <v/>
      </c>
      <c r="AT212" s="124" t="str">
        <f>IF($B212="","",IF(AT$3=0,"n.b.",INDEX(SRC_Woningetalage!$A$1:$ZZ$501,$A212,AT$3)))</f>
        <v/>
      </c>
      <c r="AU212" s="124" t="str">
        <f>IF($B212="","",IF(AU$3=0,"n.b.",INDEX(SRC_Woningetalage!$A$1:$ZZ$501,$A212,AU$3)))</f>
        <v/>
      </c>
      <c r="AV212" s="124" t="str">
        <f>IF($B212="","",IF(AV$3=0,"n.b.",INDEX(SRC_Woningetalage!$A$1:$ZZ$501,$A212,AV$3)))</f>
        <v/>
      </c>
      <c r="AW212" s="124" t="str">
        <f>IF($B212="","",IF(AW$3=0,"n.b.",INDEX(SRC_Woningetalage!$A$1:$ZZ$501,$A212,AW$3)))</f>
        <v/>
      </c>
      <c r="AX212" s="124" t="str">
        <f>IF($B212="","",IF(AX$3=0,"n.b.",INDEX(SRC_Woningetalage!$A$1:$ZZ$501,$A212,AX$3)))</f>
        <v/>
      </c>
      <c r="AY212" s="124" t="str">
        <f>IF($B212="","",IF(AY$3=0,"n.b.",INDEX(SRC_Woningetalage!$A$1:$ZZ$501,$A212,AY$3)))</f>
        <v/>
      </c>
      <c r="AZ212" s="124" t="str">
        <f>IF($B212="","",IF(AZ$3=0,"n.b.",INDEX(SRC_Woningetalage!$A$1:$ZZ$501,$A212,AZ$3)))</f>
        <v/>
      </c>
      <c r="BA212" s="124" t="str">
        <f>IF($B212="","",IF(BA$3=0,"n.b.",INDEX(SRC_Woningetalage!$A$1:$ZZ$501,$A212,BA$3)))</f>
        <v/>
      </c>
      <c r="BB212" s="124" t="str">
        <f>IF($B212="","",IF(BB$3=0,"n.b.",INDEX(SRC_Woningetalage!$A$1:$ZZ$501,$A212,BB$3)))</f>
        <v/>
      </c>
      <c r="BC212" s="124" t="str">
        <f>IF($B212="","",IFERROR(_xlfn.NUMBERVALUE(E212&amp;"",",","."),"n.b."))</f>
        <v/>
      </c>
      <c r="BD212" s="124" t="str">
        <f>IF($B212="","",IFERROR(_xlfn.NUMBERVALUE(M212&amp;"",",","."),"n.b."))</f>
        <v/>
      </c>
      <c r="BE212" s="124" t="str">
        <f>IF($B212="","",IFERROR(AB212+AC212+AD212,"n.b."))</f>
        <v/>
      </c>
      <c r="BF212" s="124" t="str">
        <f>IF($B212="","",IFERROR(AE212+AF212+AG212,"n.b."))</f>
        <v/>
      </c>
      <c r="BG212" s="124" t="str">
        <f>IF($B212="","",IFERROR(AH212+AI212+AJ212,"n.b."))</f>
        <v/>
      </c>
      <c r="BH212" s="124" t="str">
        <f>IF($B212="","",IFERROR(AK212+AL212+AM212,"n.b."))</f>
        <v/>
      </c>
      <c r="BI212" s="124" t="str">
        <f>IF($B212="","",IFERROR(SUMIF($AB$5:$AM$5,"&lt;="&amp;P_PeilMaand,AB212:AM212),"n.b."))</f>
        <v/>
      </c>
      <c r="BJ212" s="124" t="str">
        <f>IF($B212="","",IFERROR(SUM(AB212:AM212)-BI212,"n.b."))</f>
        <v/>
      </c>
      <c r="BK212" s="124" t="str">
        <f>IF($B212="","",IFERROR(IF(ABS(Q212-(T212+SUM(AB212:AM212)+AS212+AU212))&gt;P_Tol,1,0),1))</f>
        <v/>
      </c>
      <c r="BL212" s="124" t="str">
        <f>IF($B212="","",IFERROR(IF(ABS(AA212-(Q212-Z212))&gt;P_Tol,1,0),1))</f>
        <v/>
      </c>
      <c r="BM212" s="124" t="str">
        <f>IF($B212="","",IFERROR(IF(ABS(Z212-(T212+W212))&gt;P_Tol,1,0),1))</f>
        <v/>
      </c>
      <c r="BN212" s="124" t="str">
        <f>IF($B212="","",IFERROR(IF(ABS(W212-BI212)&gt;P_Tol,1,0),1))</f>
        <v/>
      </c>
      <c r="BO212" s="124" t="str">
        <f>IF($B212="","",IFERROR(IF(OR(ABS(R212+S212-T212)&gt;P_Tol,ABS(U212+V212-W212)&gt;P_Tol,ABS(X212+Y212-Z212)&gt;P_Tol),1,0),1))</f>
        <v/>
      </c>
      <c r="BP212" s="124" t="str">
        <f>IF($B212="","",IFERROR(IF(OR(ABS(AR212-SUM(AB212:AM212))&gt;P_Tol,ABS(AS212-(AN212+AO212+AP212+AQ212))&gt;P_Tol),1,0),1))</f>
        <v/>
      </c>
      <c r="BQ212" s="124" t="str">
        <f>IF($B212="","",IFERROR(IF(ABS(AT212)+ABS(AV212)+ABS(AW212)+ABS(AX212)+ABS(AY212)+ABS(AZ212)+ABS(BA212)+ABS(BB212)&gt;0,1,0),1))</f>
        <v/>
      </c>
      <c r="BR212" s="124" t="str">
        <f>IF($B212="","",COUNTIF(STG_ZPMW03!$B$6:$B$505,B212))</f>
        <v/>
      </c>
      <c r="BS212" s="124" t="str">
        <f>IF($B212="","",COUNTIF($B$6:$B$505,B212))</f>
        <v/>
      </c>
      <c r="BT212" s="124" t="str">
        <f>IF($B212="","",IF(BR212=0,0,IF(INDEX(STG_ZPMW03!$I$6:$I$505,MATCH(B212,STG_ZPMW03!$B$6:$B$505,0))=J212&amp;"",0,1)))</f>
        <v/>
      </c>
      <c r="BU212" s="124" t="str">
        <f>IF($B212="","",IFERROR(IF(ABS(INDEX(Mapping!$D$5:$D$104,MATCH(B212,Mapping!$A$5:$A$104,0))-Q212)&gt;P_Tol,1,0),0))</f>
        <v/>
      </c>
      <c r="BV212" s="124" t="str">
        <f>IF($B212="","",IFERROR(IF(AND(INDEX(Mapping!$G$5:$G$104,MATCH(B212,Mapping!$A$5:$A$104,0))="Nee",ABS(Q212)+ABS(Z212)+ABS(AR212)&gt;0),1,0),0))</f>
        <v/>
      </c>
      <c r="BW212" s="124" t="str">
        <f>IF($B212="","",IF(COUNTIF(Mapping!$A$5:$A$104,B212)&gt;0,1,0))</f>
        <v/>
      </c>
      <c r="BX212" s="124" t="str">
        <f>IF($B212="","",IF(BR212=0,COUNTIF($BR$6:BR212,0),""))</f>
        <v/>
      </c>
    </row>
    <row r="213">
      <c r="A213" s="15" t="n">
        <v>209</v>
      </c>
      <c r="B213" t="str">
        <f>IF(B$3=0,"",IF(INDEX(SRC_Woningetalage!$A$1:$ZZ$501,$A213,B$3)&amp;""="","",INDEX(SRC_Woningetalage!$A$1:$ZZ$501,$A213,B$3)&amp;""))</f>
        <v/>
      </c>
      <c r="C213" t="str">
        <f>IF($B213="","",IF(C$3=0,"n.b.",INDEX(SRC_Woningetalage!$A$1:$ZZ$501,$A213,C$3)))</f>
        <v/>
      </c>
      <c r="D213" t="str">
        <f>IF($B213="","",IF(D$3=0,"n.b.",INDEX(SRC_Woningetalage!$A$1:$ZZ$501,$A213,D$3)))</f>
        <v/>
      </c>
      <c r="E213" t="str">
        <f>IF($B213="","",IF(E$3=0,"n.b.",INDEX(SRC_Woningetalage!$A$1:$ZZ$501,$A213,E$3)))</f>
        <v/>
      </c>
      <c r="F213" t="str">
        <f>IF($B213="","",IF(F$3=0,"n.b.",INDEX(SRC_Woningetalage!$A$1:$ZZ$501,$A213,F$3)))</f>
        <v/>
      </c>
      <c r="G213" t="str">
        <f>IF($B213="","",IF(G$3=0,"n.b.",INDEX(SRC_Woningetalage!$A$1:$ZZ$501,$A213,G$3)))</f>
        <v/>
      </c>
      <c r="H213" t="str">
        <f>IF($B213="","",IF(H$3=0,"n.b.",INDEX(SRC_Woningetalage!$A$1:$ZZ$501,$A213,H$3)))</f>
        <v/>
      </c>
      <c r="I213" t="str">
        <f>IF($B213="","",IF(I$3=0,"n.b.",INDEX(SRC_Woningetalage!$A$1:$ZZ$501,$A213,I$3)))</f>
        <v/>
      </c>
      <c r="J213" t="str">
        <f>IF($B213="","",IF(J$3=0,"n.b.",INDEX(SRC_Woningetalage!$A$1:$ZZ$501,$A213,J$3)))</f>
        <v/>
      </c>
      <c r="K213" t="str">
        <f>IF($B213="","",IF(K$3=0,"n.b.",INDEX(SRC_Woningetalage!$A$1:$ZZ$501,$A213,K$3)))</f>
        <v/>
      </c>
      <c r="L213" t="str">
        <f>IF($B213="","",IF(L$3=0,"n.b.",INDEX(SRC_Woningetalage!$A$1:$ZZ$501,$A213,L$3)))</f>
        <v/>
      </c>
      <c r="M213" t="str">
        <f>IF($B213="","",IF(M$3=0,"n.b.",INDEX(SRC_Woningetalage!$A$1:$ZZ$501,$A213,M$3)))</f>
        <v/>
      </c>
      <c r="N213" t="str">
        <f>IF($B213="","",IF(N$3=0,"n.b.",INDEX(SRC_Woningetalage!$A$1:$ZZ$501,$A213,N$3)))</f>
        <v/>
      </c>
      <c r="O213" t="str">
        <f>IF($B213="","",IF(O$3=0,"n.b.",INDEX(SRC_Woningetalage!$A$1:$ZZ$501,$A213,O$3)))</f>
        <v/>
      </c>
      <c r="P213" t="str">
        <f>IF($B213="","",IF(P$3=0,"n.b.",INDEX(SRC_Woningetalage!$A$1:$ZZ$501,$A213,P$3)))</f>
        <v/>
      </c>
      <c r="Q213" s="124" t="str">
        <f>IF($B213="","",IF(Q$3=0,"n.b.",INDEX(SRC_Woningetalage!$A$1:$ZZ$501,$A213,Q$3)))</f>
        <v/>
      </c>
      <c r="R213" s="124" t="str">
        <f>IF($B213="","",IF(R$3=0,"n.b.",INDEX(SRC_Woningetalage!$A$1:$ZZ$501,$A213,R$3)))</f>
        <v/>
      </c>
      <c r="S213" s="124" t="str">
        <f>IF($B213="","",IF(S$3=0,"n.b.",INDEX(SRC_Woningetalage!$A$1:$ZZ$501,$A213,S$3)))</f>
        <v/>
      </c>
      <c r="T213" s="124" t="str">
        <f>IF($B213="","",IF(T$3=0,"n.b.",INDEX(SRC_Woningetalage!$A$1:$ZZ$501,$A213,T$3)))</f>
        <v/>
      </c>
      <c r="U213" s="124" t="str">
        <f>IF($B213="","",IF(U$3=0,"n.b.",INDEX(SRC_Woningetalage!$A$1:$ZZ$501,$A213,U$3)))</f>
        <v/>
      </c>
      <c r="V213" s="124" t="str">
        <f>IF($B213="","",IF(V$3=0,"n.b.",INDEX(SRC_Woningetalage!$A$1:$ZZ$501,$A213,V$3)))</f>
        <v/>
      </c>
      <c r="W213" s="124" t="str">
        <f>IF($B213="","",IF(W$3=0,"n.b.",INDEX(SRC_Woningetalage!$A$1:$ZZ$501,$A213,W$3)))</f>
        <v/>
      </c>
      <c r="X213" s="124" t="str">
        <f>IF($B213="","",IF(X$3=0,"n.b.",INDEX(SRC_Woningetalage!$A$1:$ZZ$501,$A213,X$3)))</f>
        <v/>
      </c>
      <c r="Y213" s="124" t="str">
        <f>IF($B213="","",IF(Y$3=0,"n.b.",INDEX(SRC_Woningetalage!$A$1:$ZZ$501,$A213,Y$3)))</f>
        <v/>
      </c>
      <c r="Z213" s="124" t="str">
        <f>IF($B213="","",IF(Z$3=0,"n.b.",INDEX(SRC_Woningetalage!$A$1:$ZZ$501,$A213,Z$3)))</f>
        <v/>
      </c>
      <c r="AA213" s="124" t="str">
        <f>IF($B213="","",IF(AA$3=0,"n.b.",INDEX(SRC_Woningetalage!$A$1:$ZZ$501,$A213,AA$3)))</f>
        <v/>
      </c>
      <c r="AB213" s="124" t="str">
        <f>IF($B213="","",IF(AB$3=0,"n.b.",INDEX(SRC_Woningetalage!$A$1:$ZZ$501,$A213,AB$3)))</f>
        <v/>
      </c>
      <c r="AC213" s="124" t="str">
        <f>IF($B213="","",IF(AC$3=0,"n.b.",INDEX(SRC_Woningetalage!$A$1:$ZZ$501,$A213,AC$3)))</f>
        <v/>
      </c>
      <c r="AD213" s="124" t="str">
        <f>IF($B213="","",IF(AD$3=0,"n.b.",INDEX(SRC_Woningetalage!$A$1:$ZZ$501,$A213,AD$3)))</f>
        <v/>
      </c>
      <c r="AE213" s="124" t="str">
        <f>IF($B213="","",IF(AE$3=0,"n.b.",INDEX(SRC_Woningetalage!$A$1:$ZZ$501,$A213,AE$3)))</f>
        <v/>
      </c>
      <c r="AF213" s="124" t="str">
        <f>IF($B213="","",IF(AF$3=0,"n.b.",INDEX(SRC_Woningetalage!$A$1:$ZZ$501,$A213,AF$3)))</f>
        <v/>
      </c>
      <c r="AG213" s="124" t="str">
        <f>IF($B213="","",IF(AG$3=0,"n.b.",INDEX(SRC_Woningetalage!$A$1:$ZZ$501,$A213,AG$3)))</f>
        <v/>
      </c>
      <c r="AH213" s="124" t="str">
        <f>IF($B213="","",IF(AH$3=0,"n.b.",INDEX(SRC_Woningetalage!$A$1:$ZZ$501,$A213,AH$3)))</f>
        <v/>
      </c>
      <c r="AI213" s="124" t="str">
        <f>IF($B213="","",IF(AI$3=0,"n.b.",INDEX(SRC_Woningetalage!$A$1:$ZZ$501,$A213,AI$3)))</f>
        <v/>
      </c>
      <c r="AJ213" s="124" t="str">
        <f>IF($B213="","",IF(AJ$3=0,"n.b.",INDEX(SRC_Woningetalage!$A$1:$ZZ$501,$A213,AJ$3)))</f>
        <v/>
      </c>
      <c r="AK213" s="124" t="str">
        <f>IF($B213="","",IF(AK$3=0,"n.b.",INDEX(SRC_Woningetalage!$A$1:$ZZ$501,$A213,AK$3)))</f>
        <v/>
      </c>
      <c r="AL213" s="124" t="str">
        <f>IF($B213="","",IF(AL$3=0,"n.b.",INDEX(SRC_Woningetalage!$A$1:$ZZ$501,$A213,AL$3)))</f>
        <v/>
      </c>
      <c r="AM213" s="124" t="str">
        <f>IF($B213="","",IF(AM$3=0,"n.b.",INDEX(SRC_Woningetalage!$A$1:$ZZ$501,$A213,AM$3)))</f>
        <v/>
      </c>
      <c r="AN213" s="124" t="str">
        <f>IF($B213="","",IF(AN$3=0,"n.b.",INDEX(SRC_Woningetalage!$A$1:$ZZ$501,$A213,AN$3)))</f>
        <v/>
      </c>
      <c r="AO213" s="124" t="str">
        <f>IF($B213="","",IF(AO$3=0,"n.b.",INDEX(SRC_Woningetalage!$A$1:$ZZ$501,$A213,AO$3)))</f>
        <v/>
      </c>
      <c r="AP213" s="124" t="str">
        <f>IF($B213="","",IF(AP$3=0,"n.b.",INDEX(SRC_Woningetalage!$A$1:$ZZ$501,$A213,AP$3)))</f>
        <v/>
      </c>
      <c r="AQ213" s="124" t="str">
        <f>IF($B213="","",IF(AQ$3=0,"n.b.",INDEX(SRC_Woningetalage!$A$1:$ZZ$501,$A213,AQ$3)))</f>
        <v/>
      </c>
      <c r="AR213" s="124" t="str">
        <f>IF($B213="","",IF(AR$3=0,"n.b.",INDEX(SRC_Woningetalage!$A$1:$ZZ$501,$A213,AR$3)))</f>
        <v/>
      </c>
      <c r="AS213" s="124" t="str">
        <f>IF($B213="","",IF(AS$3=0,"n.b.",INDEX(SRC_Woningetalage!$A$1:$ZZ$501,$A213,AS$3)))</f>
        <v/>
      </c>
      <c r="AT213" s="124" t="str">
        <f>IF($B213="","",IF(AT$3=0,"n.b.",INDEX(SRC_Woningetalage!$A$1:$ZZ$501,$A213,AT$3)))</f>
        <v/>
      </c>
      <c r="AU213" s="124" t="str">
        <f>IF($B213="","",IF(AU$3=0,"n.b.",INDEX(SRC_Woningetalage!$A$1:$ZZ$501,$A213,AU$3)))</f>
        <v/>
      </c>
      <c r="AV213" s="124" t="str">
        <f>IF($B213="","",IF(AV$3=0,"n.b.",INDEX(SRC_Woningetalage!$A$1:$ZZ$501,$A213,AV$3)))</f>
        <v/>
      </c>
      <c r="AW213" s="124" t="str">
        <f>IF($B213="","",IF(AW$3=0,"n.b.",INDEX(SRC_Woningetalage!$A$1:$ZZ$501,$A213,AW$3)))</f>
        <v/>
      </c>
      <c r="AX213" s="124" t="str">
        <f>IF($B213="","",IF(AX$3=0,"n.b.",INDEX(SRC_Woningetalage!$A$1:$ZZ$501,$A213,AX$3)))</f>
        <v/>
      </c>
      <c r="AY213" s="124" t="str">
        <f>IF($B213="","",IF(AY$3=0,"n.b.",INDEX(SRC_Woningetalage!$A$1:$ZZ$501,$A213,AY$3)))</f>
        <v/>
      </c>
      <c r="AZ213" s="124" t="str">
        <f>IF($B213="","",IF(AZ$3=0,"n.b.",INDEX(SRC_Woningetalage!$A$1:$ZZ$501,$A213,AZ$3)))</f>
        <v/>
      </c>
      <c r="BA213" s="124" t="str">
        <f>IF($B213="","",IF(BA$3=0,"n.b.",INDEX(SRC_Woningetalage!$A$1:$ZZ$501,$A213,BA$3)))</f>
        <v/>
      </c>
      <c r="BB213" s="124" t="str">
        <f>IF($B213="","",IF(BB$3=0,"n.b.",INDEX(SRC_Woningetalage!$A$1:$ZZ$501,$A213,BB$3)))</f>
        <v/>
      </c>
      <c r="BC213" s="124" t="str">
        <f>IF($B213="","",IFERROR(_xlfn.NUMBERVALUE(E213&amp;"",",","."),"n.b."))</f>
        <v/>
      </c>
      <c r="BD213" s="124" t="str">
        <f>IF($B213="","",IFERROR(_xlfn.NUMBERVALUE(M213&amp;"",",","."),"n.b."))</f>
        <v/>
      </c>
      <c r="BE213" s="124" t="str">
        <f>IF($B213="","",IFERROR(AB213+AC213+AD213,"n.b."))</f>
        <v/>
      </c>
      <c r="BF213" s="124" t="str">
        <f>IF($B213="","",IFERROR(AE213+AF213+AG213,"n.b."))</f>
        <v/>
      </c>
      <c r="BG213" s="124" t="str">
        <f>IF($B213="","",IFERROR(AH213+AI213+AJ213,"n.b."))</f>
        <v/>
      </c>
      <c r="BH213" s="124" t="str">
        <f>IF($B213="","",IFERROR(AK213+AL213+AM213,"n.b."))</f>
        <v/>
      </c>
      <c r="BI213" s="124" t="str">
        <f>IF($B213="","",IFERROR(SUMIF($AB$5:$AM$5,"&lt;="&amp;P_PeilMaand,AB213:AM213),"n.b."))</f>
        <v/>
      </c>
      <c r="BJ213" s="124" t="str">
        <f>IF($B213="","",IFERROR(SUM(AB213:AM213)-BI213,"n.b."))</f>
        <v/>
      </c>
      <c r="BK213" s="124" t="str">
        <f>IF($B213="","",IFERROR(IF(ABS(Q213-(T213+SUM(AB213:AM213)+AS213+AU213))&gt;P_Tol,1,0),1))</f>
        <v/>
      </c>
      <c r="BL213" s="124" t="str">
        <f>IF($B213="","",IFERROR(IF(ABS(AA213-(Q213-Z213))&gt;P_Tol,1,0),1))</f>
        <v/>
      </c>
      <c r="BM213" s="124" t="str">
        <f>IF($B213="","",IFERROR(IF(ABS(Z213-(T213+W213))&gt;P_Tol,1,0),1))</f>
        <v/>
      </c>
      <c r="BN213" s="124" t="str">
        <f>IF($B213="","",IFERROR(IF(ABS(W213-BI213)&gt;P_Tol,1,0),1))</f>
        <v/>
      </c>
      <c r="BO213" s="124" t="str">
        <f>IF($B213="","",IFERROR(IF(OR(ABS(R213+S213-T213)&gt;P_Tol,ABS(U213+V213-W213)&gt;P_Tol,ABS(X213+Y213-Z213)&gt;P_Tol),1,0),1))</f>
        <v/>
      </c>
      <c r="BP213" s="124" t="str">
        <f>IF($B213="","",IFERROR(IF(OR(ABS(AR213-SUM(AB213:AM213))&gt;P_Tol,ABS(AS213-(AN213+AO213+AP213+AQ213))&gt;P_Tol),1,0),1))</f>
        <v/>
      </c>
      <c r="BQ213" s="124" t="str">
        <f>IF($B213="","",IFERROR(IF(ABS(AT213)+ABS(AV213)+ABS(AW213)+ABS(AX213)+ABS(AY213)+ABS(AZ213)+ABS(BA213)+ABS(BB213)&gt;0,1,0),1))</f>
        <v/>
      </c>
      <c r="BR213" s="124" t="str">
        <f>IF($B213="","",COUNTIF(STG_ZPMW03!$B$6:$B$505,B213))</f>
        <v/>
      </c>
      <c r="BS213" s="124" t="str">
        <f>IF($B213="","",COUNTIF($B$6:$B$505,B213))</f>
        <v/>
      </c>
      <c r="BT213" s="124" t="str">
        <f>IF($B213="","",IF(BR213=0,0,IF(INDEX(STG_ZPMW03!$I$6:$I$505,MATCH(B213,STG_ZPMW03!$B$6:$B$505,0))=J213&amp;"",0,1)))</f>
        <v/>
      </c>
      <c r="BU213" s="124" t="str">
        <f>IF($B213="","",IFERROR(IF(ABS(INDEX(Mapping!$D$5:$D$104,MATCH(B213,Mapping!$A$5:$A$104,0))-Q213)&gt;P_Tol,1,0),0))</f>
        <v/>
      </c>
      <c r="BV213" s="124" t="str">
        <f>IF($B213="","",IFERROR(IF(AND(INDEX(Mapping!$G$5:$G$104,MATCH(B213,Mapping!$A$5:$A$104,0))="Nee",ABS(Q213)+ABS(Z213)+ABS(AR213)&gt;0),1,0),0))</f>
        <v/>
      </c>
      <c r="BW213" s="124" t="str">
        <f>IF($B213="","",IF(COUNTIF(Mapping!$A$5:$A$104,B213)&gt;0,1,0))</f>
        <v/>
      </c>
      <c r="BX213" s="124" t="str">
        <f>IF($B213="","",IF(BR213=0,COUNTIF($BR$6:BR213,0),""))</f>
        <v/>
      </c>
    </row>
    <row r="214">
      <c r="A214" s="15" t="n">
        <v>210</v>
      </c>
      <c r="B214" t="str">
        <f>IF(B$3=0,"",IF(INDEX(SRC_Woningetalage!$A$1:$ZZ$501,$A214,B$3)&amp;""="","",INDEX(SRC_Woningetalage!$A$1:$ZZ$501,$A214,B$3)&amp;""))</f>
        <v/>
      </c>
      <c r="C214" t="str">
        <f>IF($B214="","",IF(C$3=0,"n.b.",INDEX(SRC_Woningetalage!$A$1:$ZZ$501,$A214,C$3)))</f>
        <v/>
      </c>
      <c r="D214" t="str">
        <f>IF($B214="","",IF(D$3=0,"n.b.",INDEX(SRC_Woningetalage!$A$1:$ZZ$501,$A214,D$3)))</f>
        <v/>
      </c>
      <c r="E214" t="str">
        <f>IF($B214="","",IF(E$3=0,"n.b.",INDEX(SRC_Woningetalage!$A$1:$ZZ$501,$A214,E$3)))</f>
        <v/>
      </c>
      <c r="F214" t="str">
        <f>IF($B214="","",IF(F$3=0,"n.b.",INDEX(SRC_Woningetalage!$A$1:$ZZ$501,$A214,F$3)))</f>
        <v/>
      </c>
      <c r="G214" t="str">
        <f>IF($B214="","",IF(G$3=0,"n.b.",INDEX(SRC_Woningetalage!$A$1:$ZZ$501,$A214,G$3)))</f>
        <v/>
      </c>
      <c r="H214" t="str">
        <f>IF($B214="","",IF(H$3=0,"n.b.",INDEX(SRC_Woningetalage!$A$1:$ZZ$501,$A214,H$3)))</f>
        <v/>
      </c>
      <c r="I214" t="str">
        <f>IF($B214="","",IF(I$3=0,"n.b.",INDEX(SRC_Woningetalage!$A$1:$ZZ$501,$A214,I$3)))</f>
        <v/>
      </c>
      <c r="J214" t="str">
        <f>IF($B214="","",IF(J$3=0,"n.b.",INDEX(SRC_Woningetalage!$A$1:$ZZ$501,$A214,J$3)))</f>
        <v/>
      </c>
      <c r="K214" t="str">
        <f>IF($B214="","",IF(K$3=0,"n.b.",INDEX(SRC_Woningetalage!$A$1:$ZZ$501,$A214,K$3)))</f>
        <v/>
      </c>
      <c r="L214" t="str">
        <f>IF($B214="","",IF(L$3=0,"n.b.",INDEX(SRC_Woningetalage!$A$1:$ZZ$501,$A214,L$3)))</f>
        <v/>
      </c>
      <c r="M214" t="str">
        <f>IF($B214="","",IF(M$3=0,"n.b.",INDEX(SRC_Woningetalage!$A$1:$ZZ$501,$A214,M$3)))</f>
        <v/>
      </c>
      <c r="N214" t="str">
        <f>IF($B214="","",IF(N$3=0,"n.b.",INDEX(SRC_Woningetalage!$A$1:$ZZ$501,$A214,N$3)))</f>
        <v/>
      </c>
      <c r="O214" t="str">
        <f>IF($B214="","",IF(O$3=0,"n.b.",INDEX(SRC_Woningetalage!$A$1:$ZZ$501,$A214,O$3)))</f>
        <v/>
      </c>
      <c r="P214" t="str">
        <f>IF($B214="","",IF(P$3=0,"n.b.",INDEX(SRC_Woningetalage!$A$1:$ZZ$501,$A214,P$3)))</f>
        <v/>
      </c>
      <c r="Q214" s="124" t="str">
        <f>IF($B214="","",IF(Q$3=0,"n.b.",INDEX(SRC_Woningetalage!$A$1:$ZZ$501,$A214,Q$3)))</f>
        <v/>
      </c>
      <c r="R214" s="124" t="str">
        <f>IF($B214="","",IF(R$3=0,"n.b.",INDEX(SRC_Woningetalage!$A$1:$ZZ$501,$A214,R$3)))</f>
        <v/>
      </c>
      <c r="S214" s="124" t="str">
        <f>IF($B214="","",IF(S$3=0,"n.b.",INDEX(SRC_Woningetalage!$A$1:$ZZ$501,$A214,S$3)))</f>
        <v/>
      </c>
      <c r="T214" s="124" t="str">
        <f>IF($B214="","",IF(T$3=0,"n.b.",INDEX(SRC_Woningetalage!$A$1:$ZZ$501,$A214,T$3)))</f>
        <v/>
      </c>
      <c r="U214" s="124" t="str">
        <f>IF($B214="","",IF(U$3=0,"n.b.",INDEX(SRC_Woningetalage!$A$1:$ZZ$501,$A214,U$3)))</f>
        <v/>
      </c>
      <c r="V214" s="124" t="str">
        <f>IF($B214="","",IF(V$3=0,"n.b.",INDEX(SRC_Woningetalage!$A$1:$ZZ$501,$A214,V$3)))</f>
        <v/>
      </c>
      <c r="W214" s="124" t="str">
        <f>IF($B214="","",IF(W$3=0,"n.b.",INDEX(SRC_Woningetalage!$A$1:$ZZ$501,$A214,W$3)))</f>
        <v/>
      </c>
      <c r="X214" s="124" t="str">
        <f>IF($B214="","",IF(X$3=0,"n.b.",INDEX(SRC_Woningetalage!$A$1:$ZZ$501,$A214,X$3)))</f>
        <v/>
      </c>
      <c r="Y214" s="124" t="str">
        <f>IF($B214="","",IF(Y$3=0,"n.b.",INDEX(SRC_Woningetalage!$A$1:$ZZ$501,$A214,Y$3)))</f>
        <v/>
      </c>
      <c r="Z214" s="124" t="str">
        <f>IF($B214="","",IF(Z$3=0,"n.b.",INDEX(SRC_Woningetalage!$A$1:$ZZ$501,$A214,Z$3)))</f>
        <v/>
      </c>
      <c r="AA214" s="124" t="str">
        <f>IF($B214="","",IF(AA$3=0,"n.b.",INDEX(SRC_Woningetalage!$A$1:$ZZ$501,$A214,AA$3)))</f>
        <v/>
      </c>
      <c r="AB214" s="124" t="str">
        <f>IF($B214="","",IF(AB$3=0,"n.b.",INDEX(SRC_Woningetalage!$A$1:$ZZ$501,$A214,AB$3)))</f>
        <v/>
      </c>
      <c r="AC214" s="124" t="str">
        <f>IF($B214="","",IF(AC$3=0,"n.b.",INDEX(SRC_Woningetalage!$A$1:$ZZ$501,$A214,AC$3)))</f>
        <v/>
      </c>
      <c r="AD214" s="124" t="str">
        <f>IF($B214="","",IF(AD$3=0,"n.b.",INDEX(SRC_Woningetalage!$A$1:$ZZ$501,$A214,AD$3)))</f>
        <v/>
      </c>
      <c r="AE214" s="124" t="str">
        <f>IF($B214="","",IF(AE$3=0,"n.b.",INDEX(SRC_Woningetalage!$A$1:$ZZ$501,$A214,AE$3)))</f>
        <v/>
      </c>
      <c r="AF214" s="124" t="str">
        <f>IF($B214="","",IF(AF$3=0,"n.b.",INDEX(SRC_Woningetalage!$A$1:$ZZ$501,$A214,AF$3)))</f>
        <v/>
      </c>
      <c r="AG214" s="124" t="str">
        <f>IF($B214="","",IF(AG$3=0,"n.b.",INDEX(SRC_Woningetalage!$A$1:$ZZ$501,$A214,AG$3)))</f>
        <v/>
      </c>
      <c r="AH214" s="124" t="str">
        <f>IF($B214="","",IF(AH$3=0,"n.b.",INDEX(SRC_Woningetalage!$A$1:$ZZ$501,$A214,AH$3)))</f>
        <v/>
      </c>
      <c r="AI214" s="124" t="str">
        <f>IF($B214="","",IF(AI$3=0,"n.b.",INDEX(SRC_Woningetalage!$A$1:$ZZ$501,$A214,AI$3)))</f>
        <v/>
      </c>
      <c r="AJ214" s="124" t="str">
        <f>IF($B214="","",IF(AJ$3=0,"n.b.",INDEX(SRC_Woningetalage!$A$1:$ZZ$501,$A214,AJ$3)))</f>
        <v/>
      </c>
      <c r="AK214" s="124" t="str">
        <f>IF($B214="","",IF(AK$3=0,"n.b.",INDEX(SRC_Woningetalage!$A$1:$ZZ$501,$A214,AK$3)))</f>
        <v/>
      </c>
      <c r="AL214" s="124" t="str">
        <f>IF($B214="","",IF(AL$3=0,"n.b.",INDEX(SRC_Woningetalage!$A$1:$ZZ$501,$A214,AL$3)))</f>
        <v/>
      </c>
      <c r="AM214" s="124" t="str">
        <f>IF($B214="","",IF(AM$3=0,"n.b.",INDEX(SRC_Woningetalage!$A$1:$ZZ$501,$A214,AM$3)))</f>
        <v/>
      </c>
      <c r="AN214" s="124" t="str">
        <f>IF($B214="","",IF(AN$3=0,"n.b.",INDEX(SRC_Woningetalage!$A$1:$ZZ$501,$A214,AN$3)))</f>
        <v/>
      </c>
      <c r="AO214" s="124" t="str">
        <f>IF($B214="","",IF(AO$3=0,"n.b.",INDEX(SRC_Woningetalage!$A$1:$ZZ$501,$A214,AO$3)))</f>
        <v/>
      </c>
      <c r="AP214" s="124" t="str">
        <f>IF($B214="","",IF(AP$3=0,"n.b.",INDEX(SRC_Woningetalage!$A$1:$ZZ$501,$A214,AP$3)))</f>
        <v/>
      </c>
      <c r="AQ214" s="124" t="str">
        <f>IF($B214="","",IF(AQ$3=0,"n.b.",INDEX(SRC_Woningetalage!$A$1:$ZZ$501,$A214,AQ$3)))</f>
        <v/>
      </c>
      <c r="AR214" s="124" t="str">
        <f>IF($B214="","",IF(AR$3=0,"n.b.",INDEX(SRC_Woningetalage!$A$1:$ZZ$501,$A214,AR$3)))</f>
        <v/>
      </c>
      <c r="AS214" s="124" t="str">
        <f>IF($B214="","",IF(AS$3=0,"n.b.",INDEX(SRC_Woningetalage!$A$1:$ZZ$501,$A214,AS$3)))</f>
        <v/>
      </c>
      <c r="AT214" s="124" t="str">
        <f>IF($B214="","",IF(AT$3=0,"n.b.",INDEX(SRC_Woningetalage!$A$1:$ZZ$501,$A214,AT$3)))</f>
        <v/>
      </c>
      <c r="AU214" s="124" t="str">
        <f>IF($B214="","",IF(AU$3=0,"n.b.",INDEX(SRC_Woningetalage!$A$1:$ZZ$501,$A214,AU$3)))</f>
        <v/>
      </c>
      <c r="AV214" s="124" t="str">
        <f>IF($B214="","",IF(AV$3=0,"n.b.",INDEX(SRC_Woningetalage!$A$1:$ZZ$501,$A214,AV$3)))</f>
        <v/>
      </c>
      <c r="AW214" s="124" t="str">
        <f>IF($B214="","",IF(AW$3=0,"n.b.",INDEX(SRC_Woningetalage!$A$1:$ZZ$501,$A214,AW$3)))</f>
        <v/>
      </c>
      <c r="AX214" s="124" t="str">
        <f>IF($B214="","",IF(AX$3=0,"n.b.",INDEX(SRC_Woningetalage!$A$1:$ZZ$501,$A214,AX$3)))</f>
        <v/>
      </c>
      <c r="AY214" s="124" t="str">
        <f>IF($B214="","",IF(AY$3=0,"n.b.",INDEX(SRC_Woningetalage!$A$1:$ZZ$501,$A214,AY$3)))</f>
        <v/>
      </c>
      <c r="AZ214" s="124" t="str">
        <f>IF($B214="","",IF(AZ$3=0,"n.b.",INDEX(SRC_Woningetalage!$A$1:$ZZ$501,$A214,AZ$3)))</f>
        <v/>
      </c>
      <c r="BA214" s="124" t="str">
        <f>IF($B214="","",IF(BA$3=0,"n.b.",INDEX(SRC_Woningetalage!$A$1:$ZZ$501,$A214,BA$3)))</f>
        <v/>
      </c>
      <c r="BB214" s="124" t="str">
        <f>IF($B214="","",IF(BB$3=0,"n.b.",INDEX(SRC_Woningetalage!$A$1:$ZZ$501,$A214,BB$3)))</f>
        <v/>
      </c>
      <c r="BC214" s="124" t="str">
        <f>IF($B214="","",IFERROR(_xlfn.NUMBERVALUE(E214&amp;"",",","."),"n.b."))</f>
        <v/>
      </c>
      <c r="BD214" s="124" t="str">
        <f>IF($B214="","",IFERROR(_xlfn.NUMBERVALUE(M214&amp;"",",","."),"n.b."))</f>
        <v/>
      </c>
      <c r="BE214" s="124" t="str">
        <f>IF($B214="","",IFERROR(AB214+AC214+AD214,"n.b."))</f>
        <v/>
      </c>
      <c r="BF214" s="124" t="str">
        <f>IF($B214="","",IFERROR(AE214+AF214+AG214,"n.b."))</f>
        <v/>
      </c>
      <c r="BG214" s="124" t="str">
        <f>IF($B214="","",IFERROR(AH214+AI214+AJ214,"n.b."))</f>
        <v/>
      </c>
      <c r="BH214" s="124" t="str">
        <f>IF($B214="","",IFERROR(AK214+AL214+AM214,"n.b."))</f>
        <v/>
      </c>
      <c r="BI214" s="124" t="str">
        <f>IF($B214="","",IFERROR(SUMIF($AB$5:$AM$5,"&lt;="&amp;P_PeilMaand,AB214:AM214),"n.b."))</f>
        <v/>
      </c>
      <c r="BJ214" s="124" t="str">
        <f>IF($B214="","",IFERROR(SUM(AB214:AM214)-BI214,"n.b."))</f>
        <v/>
      </c>
      <c r="BK214" s="124" t="str">
        <f>IF($B214="","",IFERROR(IF(ABS(Q214-(T214+SUM(AB214:AM214)+AS214+AU214))&gt;P_Tol,1,0),1))</f>
        <v/>
      </c>
      <c r="BL214" s="124" t="str">
        <f>IF($B214="","",IFERROR(IF(ABS(AA214-(Q214-Z214))&gt;P_Tol,1,0),1))</f>
        <v/>
      </c>
      <c r="BM214" s="124" t="str">
        <f>IF($B214="","",IFERROR(IF(ABS(Z214-(T214+W214))&gt;P_Tol,1,0),1))</f>
        <v/>
      </c>
      <c r="BN214" s="124" t="str">
        <f>IF($B214="","",IFERROR(IF(ABS(W214-BI214)&gt;P_Tol,1,0),1))</f>
        <v/>
      </c>
      <c r="BO214" s="124" t="str">
        <f>IF($B214="","",IFERROR(IF(OR(ABS(R214+S214-T214)&gt;P_Tol,ABS(U214+V214-W214)&gt;P_Tol,ABS(X214+Y214-Z214)&gt;P_Tol),1,0),1))</f>
        <v/>
      </c>
      <c r="BP214" s="124" t="str">
        <f>IF($B214="","",IFERROR(IF(OR(ABS(AR214-SUM(AB214:AM214))&gt;P_Tol,ABS(AS214-(AN214+AO214+AP214+AQ214))&gt;P_Tol),1,0),1))</f>
        <v/>
      </c>
      <c r="BQ214" s="124" t="str">
        <f>IF($B214="","",IFERROR(IF(ABS(AT214)+ABS(AV214)+ABS(AW214)+ABS(AX214)+ABS(AY214)+ABS(AZ214)+ABS(BA214)+ABS(BB214)&gt;0,1,0),1))</f>
        <v/>
      </c>
      <c r="BR214" s="124" t="str">
        <f>IF($B214="","",COUNTIF(STG_ZPMW03!$B$6:$B$505,B214))</f>
        <v/>
      </c>
      <c r="BS214" s="124" t="str">
        <f>IF($B214="","",COUNTIF($B$6:$B$505,B214))</f>
        <v/>
      </c>
      <c r="BT214" s="124" t="str">
        <f>IF($B214="","",IF(BR214=0,0,IF(INDEX(STG_ZPMW03!$I$6:$I$505,MATCH(B214,STG_ZPMW03!$B$6:$B$505,0))=J214&amp;"",0,1)))</f>
        <v/>
      </c>
      <c r="BU214" s="124" t="str">
        <f>IF($B214="","",IFERROR(IF(ABS(INDEX(Mapping!$D$5:$D$104,MATCH(B214,Mapping!$A$5:$A$104,0))-Q214)&gt;P_Tol,1,0),0))</f>
        <v/>
      </c>
      <c r="BV214" s="124" t="str">
        <f>IF($B214="","",IFERROR(IF(AND(INDEX(Mapping!$G$5:$G$104,MATCH(B214,Mapping!$A$5:$A$104,0))="Nee",ABS(Q214)+ABS(Z214)+ABS(AR214)&gt;0),1,0),0))</f>
        <v/>
      </c>
      <c r="BW214" s="124" t="str">
        <f>IF($B214="","",IF(COUNTIF(Mapping!$A$5:$A$104,B214)&gt;0,1,0))</f>
        <v/>
      </c>
      <c r="BX214" s="124" t="str">
        <f>IF($B214="","",IF(BR214=0,COUNTIF($BR$6:BR214,0),""))</f>
        <v/>
      </c>
    </row>
    <row r="215">
      <c r="A215" s="15" t="n">
        <v>211</v>
      </c>
      <c r="B215" t="str">
        <f>IF(B$3=0,"",IF(INDEX(SRC_Woningetalage!$A$1:$ZZ$501,$A215,B$3)&amp;""="","",INDEX(SRC_Woningetalage!$A$1:$ZZ$501,$A215,B$3)&amp;""))</f>
        <v/>
      </c>
      <c r="C215" t="str">
        <f>IF($B215="","",IF(C$3=0,"n.b.",INDEX(SRC_Woningetalage!$A$1:$ZZ$501,$A215,C$3)))</f>
        <v/>
      </c>
      <c r="D215" t="str">
        <f>IF($B215="","",IF(D$3=0,"n.b.",INDEX(SRC_Woningetalage!$A$1:$ZZ$501,$A215,D$3)))</f>
        <v/>
      </c>
      <c r="E215" t="str">
        <f>IF($B215="","",IF(E$3=0,"n.b.",INDEX(SRC_Woningetalage!$A$1:$ZZ$501,$A215,E$3)))</f>
        <v/>
      </c>
      <c r="F215" t="str">
        <f>IF($B215="","",IF(F$3=0,"n.b.",INDEX(SRC_Woningetalage!$A$1:$ZZ$501,$A215,F$3)))</f>
        <v/>
      </c>
      <c r="G215" t="str">
        <f>IF($B215="","",IF(G$3=0,"n.b.",INDEX(SRC_Woningetalage!$A$1:$ZZ$501,$A215,G$3)))</f>
        <v/>
      </c>
      <c r="H215" t="str">
        <f>IF($B215="","",IF(H$3=0,"n.b.",INDEX(SRC_Woningetalage!$A$1:$ZZ$501,$A215,H$3)))</f>
        <v/>
      </c>
      <c r="I215" t="str">
        <f>IF($B215="","",IF(I$3=0,"n.b.",INDEX(SRC_Woningetalage!$A$1:$ZZ$501,$A215,I$3)))</f>
        <v/>
      </c>
      <c r="J215" t="str">
        <f>IF($B215="","",IF(J$3=0,"n.b.",INDEX(SRC_Woningetalage!$A$1:$ZZ$501,$A215,J$3)))</f>
        <v/>
      </c>
      <c r="K215" t="str">
        <f>IF($B215="","",IF(K$3=0,"n.b.",INDEX(SRC_Woningetalage!$A$1:$ZZ$501,$A215,K$3)))</f>
        <v/>
      </c>
      <c r="L215" t="str">
        <f>IF($B215="","",IF(L$3=0,"n.b.",INDEX(SRC_Woningetalage!$A$1:$ZZ$501,$A215,L$3)))</f>
        <v/>
      </c>
      <c r="M215" t="str">
        <f>IF($B215="","",IF(M$3=0,"n.b.",INDEX(SRC_Woningetalage!$A$1:$ZZ$501,$A215,M$3)))</f>
        <v/>
      </c>
      <c r="N215" t="str">
        <f>IF($B215="","",IF(N$3=0,"n.b.",INDEX(SRC_Woningetalage!$A$1:$ZZ$501,$A215,N$3)))</f>
        <v/>
      </c>
      <c r="O215" t="str">
        <f>IF($B215="","",IF(O$3=0,"n.b.",INDEX(SRC_Woningetalage!$A$1:$ZZ$501,$A215,O$3)))</f>
        <v/>
      </c>
      <c r="P215" t="str">
        <f>IF($B215="","",IF(P$3=0,"n.b.",INDEX(SRC_Woningetalage!$A$1:$ZZ$501,$A215,P$3)))</f>
        <v/>
      </c>
      <c r="Q215" s="124" t="str">
        <f>IF($B215="","",IF(Q$3=0,"n.b.",INDEX(SRC_Woningetalage!$A$1:$ZZ$501,$A215,Q$3)))</f>
        <v/>
      </c>
      <c r="R215" s="124" t="str">
        <f>IF($B215="","",IF(R$3=0,"n.b.",INDEX(SRC_Woningetalage!$A$1:$ZZ$501,$A215,R$3)))</f>
        <v/>
      </c>
      <c r="S215" s="124" t="str">
        <f>IF($B215="","",IF(S$3=0,"n.b.",INDEX(SRC_Woningetalage!$A$1:$ZZ$501,$A215,S$3)))</f>
        <v/>
      </c>
      <c r="T215" s="124" t="str">
        <f>IF($B215="","",IF(T$3=0,"n.b.",INDEX(SRC_Woningetalage!$A$1:$ZZ$501,$A215,T$3)))</f>
        <v/>
      </c>
      <c r="U215" s="124" t="str">
        <f>IF($B215="","",IF(U$3=0,"n.b.",INDEX(SRC_Woningetalage!$A$1:$ZZ$501,$A215,U$3)))</f>
        <v/>
      </c>
      <c r="V215" s="124" t="str">
        <f>IF($B215="","",IF(V$3=0,"n.b.",INDEX(SRC_Woningetalage!$A$1:$ZZ$501,$A215,V$3)))</f>
        <v/>
      </c>
      <c r="W215" s="124" t="str">
        <f>IF($B215="","",IF(W$3=0,"n.b.",INDEX(SRC_Woningetalage!$A$1:$ZZ$501,$A215,W$3)))</f>
        <v/>
      </c>
      <c r="X215" s="124" t="str">
        <f>IF($B215="","",IF(X$3=0,"n.b.",INDEX(SRC_Woningetalage!$A$1:$ZZ$501,$A215,X$3)))</f>
        <v/>
      </c>
      <c r="Y215" s="124" t="str">
        <f>IF($B215="","",IF(Y$3=0,"n.b.",INDEX(SRC_Woningetalage!$A$1:$ZZ$501,$A215,Y$3)))</f>
        <v/>
      </c>
      <c r="Z215" s="124" t="str">
        <f>IF($B215="","",IF(Z$3=0,"n.b.",INDEX(SRC_Woningetalage!$A$1:$ZZ$501,$A215,Z$3)))</f>
        <v/>
      </c>
      <c r="AA215" s="124" t="str">
        <f>IF($B215="","",IF(AA$3=0,"n.b.",INDEX(SRC_Woningetalage!$A$1:$ZZ$501,$A215,AA$3)))</f>
        <v/>
      </c>
      <c r="AB215" s="124" t="str">
        <f>IF($B215="","",IF(AB$3=0,"n.b.",INDEX(SRC_Woningetalage!$A$1:$ZZ$501,$A215,AB$3)))</f>
        <v/>
      </c>
      <c r="AC215" s="124" t="str">
        <f>IF($B215="","",IF(AC$3=0,"n.b.",INDEX(SRC_Woningetalage!$A$1:$ZZ$501,$A215,AC$3)))</f>
        <v/>
      </c>
      <c r="AD215" s="124" t="str">
        <f>IF($B215="","",IF(AD$3=0,"n.b.",INDEX(SRC_Woningetalage!$A$1:$ZZ$501,$A215,AD$3)))</f>
        <v/>
      </c>
      <c r="AE215" s="124" t="str">
        <f>IF($B215="","",IF(AE$3=0,"n.b.",INDEX(SRC_Woningetalage!$A$1:$ZZ$501,$A215,AE$3)))</f>
        <v/>
      </c>
      <c r="AF215" s="124" t="str">
        <f>IF($B215="","",IF(AF$3=0,"n.b.",INDEX(SRC_Woningetalage!$A$1:$ZZ$501,$A215,AF$3)))</f>
        <v/>
      </c>
      <c r="AG215" s="124" t="str">
        <f>IF($B215="","",IF(AG$3=0,"n.b.",INDEX(SRC_Woningetalage!$A$1:$ZZ$501,$A215,AG$3)))</f>
        <v/>
      </c>
      <c r="AH215" s="124" t="str">
        <f>IF($B215="","",IF(AH$3=0,"n.b.",INDEX(SRC_Woningetalage!$A$1:$ZZ$501,$A215,AH$3)))</f>
        <v/>
      </c>
      <c r="AI215" s="124" t="str">
        <f>IF($B215="","",IF(AI$3=0,"n.b.",INDEX(SRC_Woningetalage!$A$1:$ZZ$501,$A215,AI$3)))</f>
        <v/>
      </c>
      <c r="AJ215" s="124" t="str">
        <f>IF($B215="","",IF(AJ$3=0,"n.b.",INDEX(SRC_Woningetalage!$A$1:$ZZ$501,$A215,AJ$3)))</f>
        <v/>
      </c>
      <c r="AK215" s="124" t="str">
        <f>IF($B215="","",IF(AK$3=0,"n.b.",INDEX(SRC_Woningetalage!$A$1:$ZZ$501,$A215,AK$3)))</f>
        <v/>
      </c>
      <c r="AL215" s="124" t="str">
        <f>IF($B215="","",IF(AL$3=0,"n.b.",INDEX(SRC_Woningetalage!$A$1:$ZZ$501,$A215,AL$3)))</f>
        <v/>
      </c>
      <c r="AM215" s="124" t="str">
        <f>IF($B215="","",IF(AM$3=0,"n.b.",INDEX(SRC_Woningetalage!$A$1:$ZZ$501,$A215,AM$3)))</f>
        <v/>
      </c>
      <c r="AN215" s="124" t="str">
        <f>IF($B215="","",IF(AN$3=0,"n.b.",INDEX(SRC_Woningetalage!$A$1:$ZZ$501,$A215,AN$3)))</f>
        <v/>
      </c>
      <c r="AO215" s="124" t="str">
        <f>IF($B215="","",IF(AO$3=0,"n.b.",INDEX(SRC_Woningetalage!$A$1:$ZZ$501,$A215,AO$3)))</f>
        <v/>
      </c>
      <c r="AP215" s="124" t="str">
        <f>IF($B215="","",IF(AP$3=0,"n.b.",INDEX(SRC_Woningetalage!$A$1:$ZZ$501,$A215,AP$3)))</f>
        <v/>
      </c>
      <c r="AQ215" s="124" t="str">
        <f>IF($B215="","",IF(AQ$3=0,"n.b.",INDEX(SRC_Woningetalage!$A$1:$ZZ$501,$A215,AQ$3)))</f>
        <v/>
      </c>
      <c r="AR215" s="124" t="str">
        <f>IF($B215="","",IF(AR$3=0,"n.b.",INDEX(SRC_Woningetalage!$A$1:$ZZ$501,$A215,AR$3)))</f>
        <v/>
      </c>
      <c r="AS215" s="124" t="str">
        <f>IF($B215="","",IF(AS$3=0,"n.b.",INDEX(SRC_Woningetalage!$A$1:$ZZ$501,$A215,AS$3)))</f>
        <v/>
      </c>
      <c r="AT215" s="124" t="str">
        <f>IF($B215="","",IF(AT$3=0,"n.b.",INDEX(SRC_Woningetalage!$A$1:$ZZ$501,$A215,AT$3)))</f>
        <v/>
      </c>
      <c r="AU215" s="124" t="str">
        <f>IF($B215="","",IF(AU$3=0,"n.b.",INDEX(SRC_Woningetalage!$A$1:$ZZ$501,$A215,AU$3)))</f>
        <v/>
      </c>
      <c r="AV215" s="124" t="str">
        <f>IF($B215="","",IF(AV$3=0,"n.b.",INDEX(SRC_Woningetalage!$A$1:$ZZ$501,$A215,AV$3)))</f>
        <v/>
      </c>
      <c r="AW215" s="124" t="str">
        <f>IF($B215="","",IF(AW$3=0,"n.b.",INDEX(SRC_Woningetalage!$A$1:$ZZ$501,$A215,AW$3)))</f>
        <v/>
      </c>
      <c r="AX215" s="124" t="str">
        <f>IF($B215="","",IF(AX$3=0,"n.b.",INDEX(SRC_Woningetalage!$A$1:$ZZ$501,$A215,AX$3)))</f>
        <v/>
      </c>
      <c r="AY215" s="124" t="str">
        <f>IF($B215="","",IF(AY$3=0,"n.b.",INDEX(SRC_Woningetalage!$A$1:$ZZ$501,$A215,AY$3)))</f>
        <v/>
      </c>
      <c r="AZ215" s="124" t="str">
        <f>IF($B215="","",IF(AZ$3=0,"n.b.",INDEX(SRC_Woningetalage!$A$1:$ZZ$501,$A215,AZ$3)))</f>
        <v/>
      </c>
      <c r="BA215" s="124" t="str">
        <f>IF($B215="","",IF(BA$3=0,"n.b.",INDEX(SRC_Woningetalage!$A$1:$ZZ$501,$A215,BA$3)))</f>
        <v/>
      </c>
      <c r="BB215" s="124" t="str">
        <f>IF($B215="","",IF(BB$3=0,"n.b.",INDEX(SRC_Woningetalage!$A$1:$ZZ$501,$A215,BB$3)))</f>
        <v/>
      </c>
      <c r="BC215" s="124" t="str">
        <f>IF($B215="","",IFERROR(_xlfn.NUMBERVALUE(E215&amp;"",",","."),"n.b."))</f>
        <v/>
      </c>
      <c r="BD215" s="124" t="str">
        <f>IF($B215="","",IFERROR(_xlfn.NUMBERVALUE(M215&amp;"",",","."),"n.b."))</f>
        <v/>
      </c>
      <c r="BE215" s="124" t="str">
        <f>IF($B215="","",IFERROR(AB215+AC215+AD215,"n.b."))</f>
        <v/>
      </c>
      <c r="BF215" s="124" t="str">
        <f>IF($B215="","",IFERROR(AE215+AF215+AG215,"n.b."))</f>
        <v/>
      </c>
      <c r="BG215" s="124" t="str">
        <f>IF($B215="","",IFERROR(AH215+AI215+AJ215,"n.b."))</f>
        <v/>
      </c>
      <c r="BH215" s="124" t="str">
        <f>IF($B215="","",IFERROR(AK215+AL215+AM215,"n.b."))</f>
        <v/>
      </c>
      <c r="BI215" s="124" t="str">
        <f>IF($B215="","",IFERROR(SUMIF($AB$5:$AM$5,"&lt;="&amp;P_PeilMaand,AB215:AM215),"n.b."))</f>
        <v/>
      </c>
      <c r="BJ215" s="124" t="str">
        <f>IF($B215="","",IFERROR(SUM(AB215:AM215)-BI215,"n.b."))</f>
        <v/>
      </c>
      <c r="BK215" s="124" t="str">
        <f>IF($B215="","",IFERROR(IF(ABS(Q215-(T215+SUM(AB215:AM215)+AS215+AU215))&gt;P_Tol,1,0),1))</f>
        <v/>
      </c>
      <c r="BL215" s="124" t="str">
        <f>IF($B215="","",IFERROR(IF(ABS(AA215-(Q215-Z215))&gt;P_Tol,1,0),1))</f>
        <v/>
      </c>
      <c r="BM215" s="124" t="str">
        <f>IF($B215="","",IFERROR(IF(ABS(Z215-(T215+W215))&gt;P_Tol,1,0),1))</f>
        <v/>
      </c>
      <c r="BN215" s="124" t="str">
        <f>IF($B215="","",IFERROR(IF(ABS(W215-BI215)&gt;P_Tol,1,0),1))</f>
        <v/>
      </c>
      <c r="BO215" s="124" t="str">
        <f>IF($B215="","",IFERROR(IF(OR(ABS(R215+S215-T215)&gt;P_Tol,ABS(U215+V215-W215)&gt;P_Tol,ABS(X215+Y215-Z215)&gt;P_Tol),1,0),1))</f>
        <v/>
      </c>
      <c r="BP215" s="124" t="str">
        <f>IF($B215="","",IFERROR(IF(OR(ABS(AR215-SUM(AB215:AM215))&gt;P_Tol,ABS(AS215-(AN215+AO215+AP215+AQ215))&gt;P_Tol),1,0),1))</f>
        <v/>
      </c>
      <c r="BQ215" s="124" t="str">
        <f>IF($B215="","",IFERROR(IF(ABS(AT215)+ABS(AV215)+ABS(AW215)+ABS(AX215)+ABS(AY215)+ABS(AZ215)+ABS(BA215)+ABS(BB215)&gt;0,1,0),1))</f>
        <v/>
      </c>
      <c r="BR215" s="124" t="str">
        <f>IF($B215="","",COUNTIF(STG_ZPMW03!$B$6:$B$505,B215))</f>
        <v/>
      </c>
      <c r="BS215" s="124" t="str">
        <f>IF($B215="","",COUNTIF($B$6:$B$505,B215))</f>
        <v/>
      </c>
      <c r="BT215" s="124" t="str">
        <f>IF($B215="","",IF(BR215=0,0,IF(INDEX(STG_ZPMW03!$I$6:$I$505,MATCH(B215,STG_ZPMW03!$B$6:$B$505,0))=J215&amp;"",0,1)))</f>
        <v/>
      </c>
      <c r="BU215" s="124" t="str">
        <f>IF($B215="","",IFERROR(IF(ABS(INDEX(Mapping!$D$5:$D$104,MATCH(B215,Mapping!$A$5:$A$104,0))-Q215)&gt;P_Tol,1,0),0))</f>
        <v/>
      </c>
      <c r="BV215" s="124" t="str">
        <f>IF($B215="","",IFERROR(IF(AND(INDEX(Mapping!$G$5:$G$104,MATCH(B215,Mapping!$A$5:$A$104,0))="Nee",ABS(Q215)+ABS(Z215)+ABS(AR215)&gt;0),1,0),0))</f>
        <v/>
      </c>
      <c r="BW215" s="124" t="str">
        <f>IF($B215="","",IF(COUNTIF(Mapping!$A$5:$A$104,B215)&gt;0,1,0))</f>
        <v/>
      </c>
      <c r="BX215" s="124" t="str">
        <f>IF($B215="","",IF(BR215=0,COUNTIF($BR$6:BR215,0),""))</f>
        <v/>
      </c>
    </row>
    <row r="216">
      <c r="A216" s="15" t="n">
        <v>212</v>
      </c>
      <c r="B216" t="str">
        <f>IF(B$3=0,"",IF(INDEX(SRC_Woningetalage!$A$1:$ZZ$501,$A216,B$3)&amp;""="","",INDEX(SRC_Woningetalage!$A$1:$ZZ$501,$A216,B$3)&amp;""))</f>
        <v/>
      </c>
      <c r="C216" t="str">
        <f>IF($B216="","",IF(C$3=0,"n.b.",INDEX(SRC_Woningetalage!$A$1:$ZZ$501,$A216,C$3)))</f>
        <v/>
      </c>
      <c r="D216" t="str">
        <f>IF($B216="","",IF(D$3=0,"n.b.",INDEX(SRC_Woningetalage!$A$1:$ZZ$501,$A216,D$3)))</f>
        <v/>
      </c>
      <c r="E216" t="str">
        <f>IF($B216="","",IF(E$3=0,"n.b.",INDEX(SRC_Woningetalage!$A$1:$ZZ$501,$A216,E$3)))</f>
        <v/>
      </c>
      <c r="F216" t="str">
        <f>IF($B216="","",IF(F$3=0,"n.b.",INDEX(SRC_Woningetalage!$A$1:$ZZ$501,$A216,F$3)))</f>
        <v/>
      </c>
      <c r="G216" t="str">
        <f>IF($B216="","",IF(G$3=0,"n.b.",INDEX(SRC_Woningetalage!$A$1:$ZZ$501,$A216,G$3)))</f>
        <v/>
      </c>
      <c r="H216" t="str">
        <f>IF($B216="","",IF(H$3=0,"n.b.",INDEX(SRC_Woningetalage!$A$1:$ZZ$501,$A216,H$3)))</f>
        <v/>
      </c>
      <c r="I216" t="str">
        <f>IF($B216="","",IF(I$3=0,"n.b.",INDEX(SRC_Woningetalage!$A$1:$ZZ$501,$A216,I$3)))</f>
        <v/>
      </c>
      <c r="J216" t="str">
        <f>IF($B216="","",IF(J$3=0,"n.b.",INDEX(SRC_Woningetalage!$A$1:$ZZ$501,$A216,J$3)))</f>
        <v/>
      </c>
      <c r="K216" t="str">
        <f>IF($B216="","",IF(K$3=0,"n.b.",INDEX(SRC_Woningetalage!$A$1:$ZZ$501,$A216,K$3)))</f>
        <v/>
      </c>
      <c r="L216" t="str">
        <f>IF($B216="","",IF(L$3=0,"n.b.",INDEX(SRC_Woningetalage!$A$1:$ZZ$501,$A216,L$3)))</f>
        <v/>
      </c>
      <c r="M216" t="str">
        <f>IF($B216="","",IF(M$3=0,"n.b.",INDEX(SRC_Woningetalage!$A$1:$ZZ$501,$A216,M$3)))</f>
        <v/>
      </c>
      <c r="N216" t="str">
        <f>IF($B216="","",IF(N$3=0,"n.b.",INDEX(SRC_Woningetalage!$A$1:$ZZ$501,$A216,N$3)))</f>
        <v/>
      </c>
      <c r="O216" t="str">
        <f>IF($B216="","",IF(O$3=0,"n.b.",INDEX(SRC_Woningetalage!$A$1:$ZZ$501,$A216,O$3)))</f>
        <v/>
      </c>
      <c r="P216" t="str">
        <f>IF($B216="","",IF(P$3=0,"n.b.",INDEX(SRC_Woningetalage!$A$1:$ZZ$501,$A216,P$3)))</f>
        <v/>
      </c>
      <c r="Q216" s="124" t="str">
        <f>IF($B216="","",IF(Q$3=0,"n.b.",INDEX(SRC_Woningetalage!$A$1:$ZZ$501,$A216,Q$3)))</f>
        <v/>
      </c>
      <c r="R216" s="124" t="str">
        <f>IF($B216="","",IF(R$3=0,"n.b.",INDEX(SRC_Woningetalage!$A$1:$ZZ$501,$A216,R$3)))</f>
        <v/>
      </c>
      <c r="S216" s="124" t="str">
        <f>IF($B216="","",IF(S$3=0,"n.b.",INDEX(SRC_Woningetalage!$A$1:$ZZ$501,$A216,S$3)))</f>
        <v/>
      </c>
      <c r="T216" s="124" t="str">
        <f>IF($B216="","",IF(T$3=0,"n.b.",INDEX(SRC_Woningetalage!$A$1:$ZZ$501,$A216,T$3)))</f>
        <v/>
      </c>
      <c r="U216" s="124" t="str">
        <f>IF($B216="","",IF(U$3=0,"n.b.",INDEX(SRC_Woningetalage!$A$1:$ZZ$501,$A216,U$3)))</f>
        <v/>
      </c>
      <c r="V216" s="124" t="str">
        <f>IF($B216="","",IF(V$3=0,"n.b.",INDEX(SRC_Woningetalage!$A$1:$ZZ$501,$A216,V$3)))</f>
        <v/>
      </c>
      <c r="W216" s="124" t="str">
        <f>IF($B216="","",IF(W$3=0,"n.b.",INDEX(SRC_Woningetalage!$A$1:$ZZ$501,$A216,W$3)))</f>
        <v/>
      </c>
      <c r="X216" s="124" t="str">
        <f>IF($B216="","",IF(X$3=0,"n.b.",INDEX(SRC_Woningetalage!$A$1:$ZZ$501,$A216,X$3)))</f>
        <v/>
      </c>
      <c r="Y216" s="124" t="str">
        <f>IF($B216="","",IF(Y$3=0,"n.b.",INDEX(SRC_Woningetalage!$A$1:$ZZ$501,$A216,Y$3)))</f>
        <v/>
      </c>
      <c r="Z216" s="124" t="str">
        <f>IF($B216="","",IF(Z$3=0,"n.b.",INDEX(SRC_Woningetalage!$A$1:$ZZ$501,$A216,Z$3)))</f>
        <v/>
      </c>
      <c r="AA216" s="124" t="str">
        <f>IF($B216="","",IF(AA$3=0,"n.b.",INDEX(SRC_Woningetalage!$A$1:$ZZ$501,$A216,AA$3)))</f>
        <v/>
      </c>
      <c r="AB216" s="124" t="str">
        <f>IF($B216="","",IF(AB$3=0,"n.b.",INDEX(SRC_Woningetalage!$A$1:$ZZ$501,$A216,AB$3)))</f>
        <v/>
      </c>
      <c r="AC216" s="124" t="str">
        <f>IF($B216="","",IF(AC$3=0,"n.b.",INDEX(SRC_Woningetalage!$A$1:$ZZ$501,$A216,AC$3)))</f>
        <v/>
      </c>
      <c r="AD216" s="124" t="str">
        <f>IF($B216="","",IF(AD$3=0,"n.b.",INDEX(SRC_Woningetalage!$A$1:$ZZ$501,$A216,AD$3)))</f>
        <v/>
      </c>
      <c r="AE216" s="124" t="str">
        <f>IF($B216="","",IF(AE$3=0,"n.b.",INDEX(SRC_Woningetalage!$A$1:$ZZ$501,$A216,AE$3)))</f>
        <v/>
      </c>
      <c r="AF216" s="124" t="str">
        <f>IF($B216="","",IF(AF$3=0,"n.b.",INDEX(SRC_Woningetalage!$A$1:$ZZ$501,$A216,AF$3)))</f>
        <v/>
      </c>
      <c r="AG216" s="124" t="str">
        <f>IF($B216="","",IF(AG$3=0,"n.b.",INDEX(SRC_Woningetalage!$A$1:$ZZ$501,$A216,AG$3)))</f>
        <v/>
      </c>
      <c r="AH216" s="124" t="str">
        <f>IF($B216="","",IF(AH$3=0,"n.b.",INDEX(SRC_Woningetalage!$A$1:$ZZ$501,$A216,AH$3)))</f>
        <v/>
      </c>
      <c r="AI216" s="124" t="str">
        <f>IF($B216="","",IF(AI$3=0,"n.b.",INDEX(SRC_Woningetalage!$A$1:$ZZ$501,$A216,AI$3)))</f>
        <v/>
      </c>
      <c r="AJ216" s="124" t="str">
        <f>IF($B216="","",IF(AJ$3=0,"n.b.",INDEX(SRC_Woningetalage!$A$1:$ZZ$501,$A216,AJ$3)))</f>
        <v/>
      </c>
      <c r="AK216" s="124" t="str">
        <f>IF($B216="","",IF(AK$3=0,"n.b.",INDEX(SRC_Woningetalage!$A$1:$ZZ$501,$A216,AK$3)))</f>
        <v/>
      </c>
      <c r="AL216" s="124" t="str">
        <f>IF($B216="","",IF(AL$3=0,"n.b.",INDEX(SRC_Woningetalage!$A$1:$ZZ$501,$A216,AL$3)))</f>
        <v/>
      </c>
      <c r="AM216" s="124" t="str">
        <f>IF($B216="","",IF(AM$3=0,"n.b.",INDEX(SRC_Woningetalage!$A$1:$ZZ$501,$A216,AM$3)))</f>
        <v/>
      </c>
      <c r="AN216" s="124" t="str">
        <f>IF($B216="","",IF(AN$3=0,"n.b.",INDEX(SRC_Woningetalage!$A$1:$ZZ$501,$A216,AN$3)))</f>
        <v/>
      </c>
      <c r="AO216" s="124" t="str">
        <f>IF($B216="","",IF(AO$3=0,"n.b.",INDEX(SRC_Woningetalage!$A$1:$ZZ$501,$A216,AO$3)))</f>
        <v/>
      </c>
      <c r="AP216" s="124" t="str">
        <f>IF($B216="","",IF(AP$3=0,"n.b.",INDEX(SRC_Woningetalage!$A$1:$ZZ$501,$A216,AP$3)))</f>
        <v/>
      </c>
      <c r="AQ216" s="124" t="str">
        <f>IF($B216="","",IF(AQ$3=0,"n.b.",INDEX(SRC_Woningetalage!$A$1:$ZZ$501,$A216,AQ$3)))</f>
        <v/>
      </c>
      <c r="AR216" s="124" t="str">
        <f>IF($B216="","",IF(AR$3=0,"n.b.",INDEX(SRC_Woningetalage!$A$1:$ZZ$501,$A216,AR$3)))</f>
        <v/>
      </c>
      <c r="AS216" s="124" t="str">
        <f>IF($B216="","",IF(AS$3=0,"n.b.",INDEX(SRC_Woningetalage!$A$1:$ZZ$501,$A216,AS$3)))</f>
        <v/>
      </c>
      <c r="AT216" s="124" t="str">
        <f>IF($B216="","",IF(AT$3=0,"n.b.",INDEX(SRC_Woningetalage!$A$1:$ZZ$501,$A216,AT$3)))</f>
        <v/>
      </c>
      <c r="AU216" s="124" t="str">
        <f>IF($B216="","",IF(AU$3=0,"n.b.",INDEX(SRC_Woningetalage!$A$1:$ZZ$501,$A216,AU$3)))</f>
        <v/>
      </c>
      <c r="AV216" s="124" t="str">
        <f>IF($B216="","",IF(AV$3=0,"n.b.",INDEX(SRC_Woningetalage!$A$1:$ZZ$501,$A216,AV$3)))</f>
        <v/>
      </c>
      <c r="AW216" s="124" t="str">
        <f>IF($B216="","",IF(AW$3=0,"n.b.",INDEX(SRC_Woningetalage!$A$1:$ZZ$501,$A216,AW$3)))</f>
        <v/>
      </c>
      <c r="AX216" s="124" t="str">
        <f>IF($B216="","",IF(AX$3=0,"n.b.",INDEX(SRC_Woningetalage!$A$1:$ZZ$501,$A216,AX$3)))</f>
        <v/>
      </c>
      <c r="AY216" s="124" t="str">
        <f>IF($B216="","",IF(AY$3=0,"n.b.",INDEX(SRC_Woningetalage!$A$1:$ZZ$501,$A216,AY$3)))</f>
        <v/>
      </c>
      <c r="AZ216" s="124" t="str">
        <f>IF($B216="","",IF(AZ$3=0,"n.b.",INDEX(SRC_Woningetalage!$A$1:$ZZ$501,$A216,AZ$3)))</f>
        <v/>
      </c>
      <c r="BA216" s="124" t="str">
        <f>IF($B216="","",IF(BA$3=0,"n.b.",INDEX(SRC_Woningetalage!$A$1:$ZZ$501,$A216,BA$3)))</f>
        <v/>
      </c>
      <c r="BB216" s="124" t="str">
        <f>IF($B216="","",IF(BB$3=0,"n.b.",INDEX(SRC_Woningetalage!$A$1:$ZZ$501,$A216,BB$3)))</f>
        <v/>
      </c>
      <c r="BC216" s="124" t="str">
        <f>IF($B216="","",IFERROR(_xlfn.NUMBERVALUE(E216&amp;"",",","."),"n.b."))</f>
        <v/>
      </c>
      <c r="BD216" s="124" t="str">
        <f>IF($B216="","",IFERROR(_xlfn.NUMBERVALUE(M216&amp;"",",","."),"n.b."))</f>
        <v/>
      </c>
      <c r="BE216" s="124" t="str">
        <f>IF($B216="","",IFERROR(AB216+AC216+AD216,"n.b."))</f>
        <v/>
      </c>
      <c r="BF216" s="124" t="str">
        <f>IF($B216="","",IFERROR(AE216+AF216+AG216,"n.b."))</f>
        <v/>
      </c>
      <c r="BG216" s="124" t="str">
        <f>IF($B216="","",IFERROR(AH216+AI216+AJ216,"n.b."))</f>
        <v/>
      </c>
      <c r="BH216" s="124" t="str">
        <f>IF($B216="","",IFERROR(AK216+AL216+AM216,"n.b."))</f>
        <v/>
      </c>
      <c r="BI216" s="124" t="str">
        <f>IF($B216="","",IFERROR(SUMIF($AB$5:$AM$5,"&lt;="&amp;P_PeilMaand,AB216:AM216),"n.b."))</f>
        <v/>
      </c>
      <c r="BJ216" s="124" t="str">
        <f>IF($B216="","",IFERROR(SUM(AB216:AM216)-BI216,"n.b."))</f>
        <v/>
      </c>
      <c r="BK216" s="124" t="str">
        <f>IF($B216="","",IFERROR(IF(ABS(Q216-(T216+SUM(AB216:AM216)+AS216+AU216))&gt;P_Tol,1,0),1))</f>
        <v/>
      </c>
      <c r="BL216" s="124" t="str">
        <f>IF($B216="","",IFERROR(IF(ABS(AA216-(Q216-Z216))&gt;P_Tol,1,0),1))</f>
        <v/>
      </c>
      <c r="BM216" s="124" t="str">
        <f>IF($B216="","",IFERROR(IF(ABS(Z216-(T216+W216))&gt;P_Tol,1,0),1))</f>
        <v/>
      </c>
      <c r="BN216" s="124" t="str">
        <f>IF($B216="","",IFERROR(IF(ABS(W216-BI216)&gt;P_Tol,1,0),1))</f>
        <v/>
      </c>
      <c r="BO216" s="124" t="str">
        <f>IF($B216="","",IFERROR(IF(OR(ABS(R216+S216-T216)&gt;P_Tol,ABS(U216+V216-W216)&gt;P_Tol,ABS(X216+Y216-Z216)&gt;P_Tol),1,0),1))</f>
        <v/>
      </c>
      <c r="BP216" s="124" t="str">
        <f>IF($B216="","",IFERROR(IF(OR(ABS(AR216-SUM(AB216:AM216))&gt;P_Tol,ABS(AS216-(AN216+AO216+AP216+AQ216))&gt;P_Tol),1,0),1))</f>
        <v/>
      </c>
      <c r="BQ216" s="124" t="str">
        <f>IF($B216="","",IFERROR(IF(ABS(AT216)+ABS(AV216)+ABS(AW216)+ABS(AX216)+ABS(AY216)+ABS(AZ216)+ABS(BA216)+ABS(BB216)&gt;0,1,0),1))</f>
        <v/>
      </c>
      <c r="BR216" s="124" t="str">
        <f>IF($B216="","",COUNTIF(STG_ZPMW03!$B$6:$B$505,B216))</f>
        <v/>
      </c>
      <c r="BS216" s="124" t="str">
        <f>IF($B216="","",COUNTIF($B$6:$B$505,B216))</f>
        <v/>
      </c>
      <c r="BT216" s="124" t="str">
        <f>IF($B216="","",IF(BR216=0,0,IF(INDEX(STG_ZPMW03!$I$6:$I$505,MATCH(B216,STG_ZPMW03!$B$6:$B$505,0))=J216&amp;"",0,1)))</f>
        <v/>
      </c>
      <c r="BU216" s="124" t="str">
        <f>IF($B216="","",IFERROR(IF(ABS(INDEX(Mapping!$D$5:$D$104,MATCH(B216,Mapping!$A$5:$A$104,0))-Q216)&gt;P_Tol,1,0),0))</f>
        <v/>
      </c>
      <c r="BV216" s="124" t="str">
        <f>IF($B216="","",IFERROR(IF(AND(INDEX(Mapping!$G$5:$G$104,MATCH(B216,Mapping!$A$5:$A$104,0))="Nee",ABS(Q216)+ABS(Z216)+ABS(AR216)&gt;0),1,0),0))</f>
        <v/>
      </c>
      <c r="BW216" s="124" t="str">
        <f>IF($B216="","",IF(COUNTIF(Mapping!$A$5:$A$104,B216)&gt;0,1,0))</f>
        <v/>
      </c>
      <c r="BX216" s="124" t="str">
        <f>IF($B216="","",IF(BR216=0,COUNTIF($BR$6:BR216,0),""))</f>
        <v/>
      </c>
    </row>
    <row r="217">
      <c r="A217" s="15" t="n">
        <v>213</v>
      </c>
      <c r="B217" t="str">
        <f>IF(B$3=0,"",IF(INDEX(SRC_Woningetalage!$A$1:$ZZ$501,$A217,B$3)&amp;""="","",INDEX(SRC_Woningetalage!$A$1:$ZZ$501,$A217,B$3)&amp;""))</f>
        <v/>
      </c>
      <c r="C217" t="str">
        <f>IF($B217="","",IF(C$3=0,"n.b.",INDEX(SRC_Woningetalage!$A$1:$ZZ$501,$A217,C$3)))</f>
        <v/>
      </c>
      <c r="D217" t="str">
        <f>IF($B217="","",IF(D$3=0,"n.b.",INDEX(SRC_Woningetalage!$A$1:$ZZ$501,$A217,D$3)))</f>
        <v/>
      </c>
      <c r="E217" t="str">
        <f>IF($B217="","",IF(E$3=0,"n.b.",INDEX(SRC_Woningetalage!$A$1:$ZZ$501,$A217,E$3)))</f>
        <v/>
      </c>
      <c r="F217" t="str">
        <f>IF($B217="","",IF(F$3=0,"n.b.",INDEX(SRC_Woningetalage!$A$1:$ZZ$501,$A217,F$3)))</f>
        <v/>
      </c>
      <c r="G217" t="str">
        <f>IF($B217="","",IF(G$3=0,"n.b.",INDEX(SRC_Woningetalage!$A$1:$ZZ$501,$A217,G$3)))</f>
        <v/>
      </c>
      <c r="H217" t="str">
        <f>IF($B217="","",IF(H$3=0,"n.b.",INDEX(SRC_Woningetalage!$A$1:$ZZ$501,$A217,H$3)))</f>
        <v/>
      </c>
      <c r="I217" t="str">
        <f>IF($B217="","",IF(I$3=0,"n.b.",INDEX(SRC_Woningetalage!$A$1:$ZZ$501,$A217,I$3)))</f>
        <v/>
      </c>
      <c r="J217" t="str">
        <f>IF($B217="","",IF(J$3=0,"n.b.",INDEX(SRC_Woningetalage!$A$1:$ZZ$501,$A217,J$3)))</f>
        <v/>
      </c>
      <c r="K217" t="str">
        <f>IF($B217="","",IF(K$3=0,"n.b.",INDEX(SRC_Woningetalage!$A$1:$ZZ$501,$A217,K$3)))</f>
        <v/>
      </c>
      <c r="L217" t="str">
        <f>IF($B217="","",IF(L$3=0,"n.b.",INDEX(SRC_Woningetalage!$A$1:$ZZ$501,$A217,L$3)))</f>
        <v/>
      </c>
      <c r="M217" t="str">
        <f>IF($B217="","",IF(M$3=0,"n.b.",INDEX(SRC_Woningetalage!$A$1:$ZZ$501,$A217,M$3)))</f>
        <v/>
      </c>
      <c r="N217" t="str">
        <f>IF($B217="","",IF(N$3=0,"n.b.",INDEX(SRC_Woningetalage!$A$1:$ZZ$501,$A217,N$3)))</f>
        <v/>
      </c>
      <c r="O217" t="str">
        <f>IF($B217="","",IF(O$3=0,"n.b.",INDEX(SRC_Woningetalage!$A$1:$ZZ$501,$A217,O$3)))</f>
        <v/>
      </c>
      <c r="P217" t="str">
        <f>IF($B217="","",IF(P$3=0,"n.b.",INDEX(SRC_Woningetalage!$A$1:$ZZ$501,$A217,P$3)))</f>
        <v/>
      </c>
      <c r="Q217" s="124" t="str">
        <f>IF($B217="","",IF(Q$3=0,"n.b.",INDEX(SRC_Woningetalage!$A$1:$ZZ$501,$A217,Q$3)))</f>
        <v/>
      </c>
      <c r="R217" s="124" t="str">
        <f>IF($B217="","",IF(R$3=0,"n.b.",INDEX(SRC_Woningetalage!$A$1:$ZZ$501,$A217,R$3)))</f>
        <v/>
      </c>
      <c r="S217" s="124" t="str">
        <f>IF($B217="","",IF(S$3=0,"n.b.",INDEX(SRC_Woningetalage!$A$1:$ZZ$501,$A217,S$3)))</f>
        <v/>
      </c>
      <c r="T217" s="124" t="str">
        <f>IF($B217="","",IF(T$3=0,"n.b.",INDEX(SRC_Woningetalage!$A$1:$ZZ$501,$A217,T$3)))</f>
        <v/>
      </c>
      <c r="U217" s="124" t="str">
        <f>IF($B217="","",IF(U$3=0,"n.b.",INDEX(SRC_Woningetalage!$A$1:$ZZ$501,$A217,U$3)))</f>
        <v/>
      </c>
      <c r="V217" s="124" t="str">
        <f>IF($B217="","",IF(V$3=0,"n.b.",INDEX(SRC_Woningetalage!$A$1:$ZZ$501,$A217,V$3)))</f>
        <v/>
      </c>
      <c r="W217" s="124" t="str">
        <f>IF($B217="","",IF(W$3=0,"n.b.",INDEX(SRC_Woningetalage!$A$1:$ZZ$501,$A217,W$3)))</f>
        <v/>
      </c>
      <c r="X217" s="124" t="str">
        <f>IF($B217="","",IF(X$3=0,"n.b.",INDEX(SRC_Woningetalage!$A$1:$ZZ$501,$A217,X$3)))</f>
        <v/>
      </c>
      <c r="Y217" s="124" t="str">
        <f>IF($B217="","",IF(Y$3=0,"n.b.",INDEX(SRC_Woningetalage!$A$1:$ZZ$501,$A217,Y$3)))</f>
        <v/>
      </c>
      <c r="Z217" s="124" t="str">
        <f>IF($B217="","",IF(Z$3=0,"n.b.",INDEX(SRC_Woningetalage!$A$1:$ZZ$501,$A217,Z$3)))</f>
        <v/>
      </c>
      <c r="AA217" s="124" t="str">
        <f>IF($B217="","",IF(AA$3=0,"n.b.",INDEX(SRC_Woningetalage!$A$1:$ZZ$501,$A217,AA$3)))</f>
        <v/>
      </c>
      <c r="AB217" s="124" t="str">
        <f>IF($B217="","",IF(AB$3=0,"n.b.",INDEX(SRC_Woningetalage!$A$1:$ZZ$501,$A217,AB$3)))</f>
        <v/>
      </c>
      <c r="AC217" s="124" t="str">
        <f>IF($B217="","",IF(AC$3=0,"n.b.",INDEX(SRC_Woningetalage!$A$1:$ZZ$501,$A217,AC$3)))</f>
        <v/>
      </c>
      <c r="AD217" s="124" t="str">
        <f>IF($B217="","",IF(AD$3=0,"n.b.",INDEX(SRC_Woningetalage!$A$1:$ZZ$501,$A217,AD$3)))</f>
        <v/>
      </c>
      <c r="AE217" s="124" t="str">
        <f>IF($B217="","",IF(AE$3=0,"n.b.",INDEX(SRC_Woningetalage!$A$1:$ZZ$501,$A217,AE$3)))</f>
        <v/>
      </c>
      <c r="AF217" s="124" t="str">
        <f>IF($B217="","",IF(AF$3=0,"n.b.",INDEX(SRC_Woningetalage!$A$1:$ZZ$501,$A217,AF$3)))</f>
        <v/>
      </c>
      <c r="AG217" s="124" t="str">
        <f>IF($B217="","",IF(AG$3=0,"n.b.",INDEX(SRC_Woningetalage!$A$1:$ZZ$501,$A217,AG$3)))</f>
        <v/>
      </c>
      <c r="AH217" s="124" t="str">
        <f>IF($B217="","",IF(AH$3=0,"n.b.",INDEX(SRC_Woningetalage!$A$1:$ZZ$501,$A217,AH$3)))</f>
        <v/>
      </c>
      <c r="AI217" s="124" t="str">
        <f>IF($B217="","",IF(AI$3=0,"n.b.",INDEX(SRC_Woningetalage!$A$1:$ZZ$501,$A217,AI$3)))</f>
        <v/>
      </c>
      <c r="AJ217" s="124" t="str">
        <f>IF($B217="","",IF(AJ$3=0,"n.b.",INDEX(SRC_Woningetalage!$A$1:$ZZ$501,$A217,AJ$3)))</f>
        <v/>
      </c>
      <c r="AK217" s="124" t="str">
        <f>IF($B217="","",IF(AK$3=0,"n.b.",INDEX(SRC_Woningetalage!$A$1:$ZZ$501,$A217,AK$3)))</f>
        <v/>
      </c>
      <c r="AL217" s="124" t="str">
        <f>IF($B217="","",IF(AL$3=0,"n.b.",INDEX(SRC_Woningetalage!$A$1:$ZZ$501,$A217,AL$3)))</f>
        <v/>
      </c>
      <c r="AM217" s="124" t="str">
        <f>IF($B217="","",IF(AM$3=0,"n.b.",INDEX(SRC_Woningetalage!$A$1:$ZZ$501,$A217,AM$3)))</f>
        <v/>
      </c>
      <c r="AN217" s="124" t="str">
        <f>IF($B217="","",IF(AN$3=0,"n.b.",INDEX(SRC_Woningetalage!$A$1:$ZZ$501,$A217,AN$3)))</f>
        <v/>
      </c>
      <c r="AO217" s="124" t="str">
        <f>IF($B217="","",IF(AO$3=0,"n.b.",INDEX(SRC_Woningetalage!$A$1:$ZZ$501,$A217,AO$3)))</f>
        <v/>
      </c>
      <c r="AP217" s="124" t="str">
        <f>IF($B217="","",IF(AP$3=0,"n.b.",INDEX(SRC_Woningetalage!$A$1:$ZZ$501,$A217,AP$3)))</f>
        <v/>
      </c>
      <c r="AQ217" s="124" t="str">
        <f>IF($B217="","",IF(AQ$3=0,"n.b.",INDEX(SRC_Woningetalage!$A$1:$ZZ$501,$A217,AQ$3)))</f>
        <v/>
      </c>
      <c r="AR217" s="124" t="str">
        <f>IF($B217="","",IF(AR$3=0,"n.b.",INDEX(SRC_Woningetalage!$A$1:$ZZ$501,$A217,AR$3)))</f>
        <v/>
      </c>
      <c r="AS217" s="124" t="str">
        <f>IF($B217="","",IF(AS$3=0,"n.b.",INDEX(SRC_Woningetalage!$A$1:$ZZ$501,$A217,AS$3)))</f>
        <v/>
      </c>
      <c r="AT217" s="124" t="str">
        <f>IF($B217="","",IF(AT$3=0,"n.b.",INDEX(SRC_Woningetalage!$A$1:$ZZ$501,$A217,AT$3)))</f>
        <v/>
      </c>
      <c r="AU217" s="124" t="str">
        <f>IF($B217="","",IF(AU$3=0,"n.b.",INDEX(SRC_Woningetalage!$A$1:$ZZ$501,$A217,AU$3)))</f>
        <v/>
      </c>
      <c r="AV217" s="124" t="str">
        <f>IF($B217="","",IF(AV$3=0,"n.b.",INDEX(SRC_Woningetalage!$A$1:$ZZ$501,$A217,AV$3)))</f>
        <v/>
      </c>
      <c r="AW217" s="124" t="str">
        <f>IF($B217="","",IF(AW$3=0,"n.b.",INDEX(SRC_Woningetalage!$A$1:$ZZ$501,$A217,AW$3)))</f>
        <v/>
      </c>
      <c r="AX217" s="124" t="str">
        <f>IF($B217="","",IF(AX$3=0,"n.b.",INDEX(SRC_Woningetalage!$A$1:$ZZ$501,$A217,AX$3)))</f>
        <v/>
      </c>
      <c r="AY217" s="124" t="str">
        <f>IF($B217="","",IF(AY$3=0,"n.b.",INDEX(SRC_Woningetalage!$A$1:$ZZ$501,$A217,AY$3)))</f>
        <v/>
      </c>
      <c r="AZ217" s="124" t="str">
        <f>IF($B217="","",IF(AZ$3=0,"n.b.",INDEX(SRC_Woningetalage!$A$1:$ZZ$501,$A217,AZ$3)))</f>
        <v/>
      </c>
      <c r="BA217" s="124" t="str">
        <f>IF($B217="","",IF(BA$3=0,"n.b.",INDEX(SRC_Woningetalage!$A$1:$ZZ$501,$A217,BA$3)))</f>
        <v/>
      </c>
      <c r="BB217" s="124" t="str">
        <f>IF($B217="","",IF(BB$3=0,"n.b.",INDEX(SRC_Woningetalage!$A$1:$ZZ$501,$A217,BB$3)))</f>
        <v/>
      </c>
      <c r="BC217" s="124" t="str">
        <f>IF($B217="","",IFERROR(_xlfn.NUMBERVALUE(E217&amp;"",",","."),"n.b."))</f>
        <v/>
      </c>
      <c r="BD217" s="124" t="str">
        <f>IF($B217="","",IFERROR(_xlfn.NUMBERVALUE(M217&amp;"",",","."),"n.b."))</f>
        <v/>
      </c>
      <c r="BE217" s="124" t="str">
        <f>IF($B217="","",IFERROR(AB217+AC217+AD217,"n.b."))</f>
        <v/>
      </c>
      <c r="BF217" s="124" t="str">
        <f>IF($B217="","",IFERROR(AE217+AF217+AG217,"n.b."))</f>
        <v/>
      </c>
      <c r="BG217" s="124" t="str">
        <f>IF($B217="","",IFERROR(AH217+AI217+AJ217,"n.b."))</f>
        <v/>
      </c>
      <c r="BH217" s="124" t="str">
        <f>IF($B217="","",IFERROR(AK217+AL217+AM217,"n.b."))</f>
        <v/>
      </c>
      <c r="BI217" s="124" t="str">
        <f>IF($B217="","",IFERROR(SUMIF($AB$5:$AM$5,"&lt;="&amp;P_PeilMaand,AB217:AM217),"n.b."))</f>
        <v/>
      </c>
      <c r="BJ217" s="124" t="str">
        <f>IF($B217="","",IFERROR(SUM(AB217:AM217)-BI217,"n.b."))</f>
        <v/>
      </c>
      <c r="BK217" s="124" t="str">
        <f>IF($B217="","",IFERROR(IF(ABS(Q217-(T217+SUM(AB217:AM217)+AS217+AU217))&gt;P_Tol,1,0),1))</f>
        <v/>
      </c>
      <c r="BL217" s="124" t="str">
        <f>IF($B217="","",IFERROR(IF(ABS(AA217-(Q217-Z217))&gt;P_Tol,1,0),1))</f>
        <v/>
      </c>
      <c r="BM217" s="124" t="str">
        <f>IF($B217="","",IFERROR(IF(ABS(Z217-(T217+W217))&gt;P_Tol,1,0),1))</f>
        <v/>
      </c>
      <c r="BN217" s="124" t="str">
        <f>IF($B217="","",IFERROR(IF(ABS(W217-BI217)&gt;P_Tol,1,0),1))</f>
        <v/>
      </c>
      <c r="BO217" s="124" t="str">
        <f>IF($B217="","",IFERROR(IF(OR(ABS(R217+S217-T217)&gt;P_Tol,ABS(U217+V217-W217)&gt;P_Tol,ABS(X217+Y217-Z217)&gt;P_Tol),1,0),1))</f>
        <v/>
      </c>
      <c r="BP217" s="124" t="str">
        <f>IF($B217="","",IFERROR(IF(OR(ABS(AR217-SUM(AB217:AM217))&gt;P_Tol,ABS(AS217-(AN217+AO217+AP217+AQ217))&gt;P_Tol),1,0),1))</f>
        <v/>
      </c>
      <c r="BQ217" s="124" t="str">
        <f>IF($B217="","",IFERROR(IF(ABS(AT217)+ABS(AV217)+ABS(AW217)+ABS(AX217)+ABS(AY217)+ABS(AZ217)+ABS(BA217)+ABS(BB217)&gt;0,1,0),1))</f>
        <v/>
      </c>
      <c r="BR217" s="124" t="str">
        <f>IF($B217="","",COUNTIF(STG_ZPMW03!$B$6:$B$505,B217))</f>
        <v/>
      </c>
      <c r="BS217" s="124" t="str">
        <f>IF($B217="","",COUNTIF($B$6:$B$505,B217))</f>
        <v/>
      </c>
      <c r="BT217" s="124" t="str">
        <f>IF($B217="","",IF(BR217=0,0,IF(INDEX(STG_ZPMW03!$I$6:$I$505,MATCH(B217,STG_ZPMW03!$B$6:$B$505,0))=J217&amp;"",0,1)))</f>
        <v/>
      </c>
      <c r="BU217" s="124" t="str">
        <f>IF($B217="","",IFERROR(IF(ABS(INDEX(Mapping!$D$5:$D$104,MATCH(B217,Mapping!$A$5:$A$104,0))-Q217)&gt;P_Tol,1,0),0))</f>
        <v/>
      </c>
      <c r="BV217" s="124" t="str">
        <f>IF($B217="","",IFERROR(IF(AND(INDEX(Mapping!$G$5:$G$104,MATCH(B217,Mapping!$A$5:$A$104,0))="Nee",ABS(Q217)+ABS(Z217)+ABS(AR217)&gt;0),1,0),0))</f>
        <v/>
      </c>
      <c r="BW217" s="124" t="str">
        <f>IF($B217="","",IF(COUNTIF(Mapping!$A$5:$A$104,B217)&gt;0,1,0))</f>
        <v/>
      </c>
      <c r="BX217" s="124" t="str">
        <f>IF($B217="","",IF(BR217=0,COUNTIF($BR$6:BR217,0),""))</f>
        <v/>
      </c>
    </row>
    <row r="218">
      <c r="A218" s="15" t="n">
        <v>214</v>
      </c>
      <c r="B218" t="str">
        <f>IF(B$3=0,"",IF(INDEX(SRC_Woningetalage!$A$1:$ZZ$501,$A218,B$3)&amp;""="","",INDEX(SRC_Woningetalage!$A$1:$ZZ$501,$A218,B$3)&amp;""))</f>
        <v/>
      </c>
      <c r="C218" t="str">
        <f>IF($B218="","",IF(C$3=0,"n.b.",INDEX(SRC_Woningetalage!$A$1:$ZZ$501,$A218,C$3)))</f>
        <v/>
      </c>
      <c r="D218" t="str">
        <f>IF($B218="","",IF(D$3=0,"n.b.",INDEX(SRC_Woningetalage!$A$1:$ZZ$501,$A218,D$3)))</f>
        <v/>
      </c>
      <c r="E218" t="str">
        <f>IF($B218="","",IF(E$3=0,"n.b.",INDEX(SRC_Woningetalage!$A$1:$ZZ$501,$A218,E$3)))</f>
        <v/>
      </c>
      <c r="F218" t="str">
        <f>IF($B218="","",IF(F$3=0,"n.b.",INDEX(SRC_Woningetalage!$A$1:$ZZ$501,$A218,F$3)))</f>
        <v/>
      </c>
      <c r="G218" t="str">
        <f>IF($B218="","",IF(G$3=0,"n.b.",INDEX(SRC_Woningetalage!$A$1:$ZZ$501,$A218,G$3)))</f>
        <v/>
      </c>
      <c r="H218" t="str">
        <f>IF($B218="","",IF(H$3=0,"n.b.",INDEX(SRC_Woningetalage!$A$1:$ZZ$501,$A218,H$3)))</f>
        <v/>
      </c>
      <c r="I218" t="str">
        <f>IF($B218="","",IF(I$3=0,"n.b.",INDEX(SRC_Woningetalage!$A$1:$ZZ$501,$A218,I$3)))</f>
        <v/>
      </c>
      <c r="J218" t="str">
        <f>IF($B218="","",IF(J$3=0,"n.b.",INDEX(SRC_Woningetalage!$A$1:$ZZ$501,$A218,J$3)))</f>
        <v/>
      </c>
      <c r="K218" t="str">
        <f>IF($B218="","",IF(K$3=0,"n.b.",INDEX(SRC_Woningetalage!$A$1:$ZZ$501,$A218,K$3)))</f>
        <v/>
      </c>
      <c r="L218" t="str">
        <f>IF($B218="","",IF(L$3=0,"n.b.",INDEX(SRC_Woningetalage!$A$1:$ZZ$501,$A218,L$3)))</f>
        <v/>
      </c>
      <c r="M218" t="str">
        <f>IF($B218="","",IF(M$3=0,"n.b.",INDEX(SRC_Woningetalage!$A$1:$ZZ$501,$A218,M$3)))</f>
        <v/>
      </c>
      <c r="N218" t="str">
        <f>IF($B218="","",IF(N$3=0,"n.b.",INDEX(SRC_Woningetalage!$A$1:$ZZ$501,$A218,N$3)))</f>
        <v/>
      </c>
      <c r="O218" t="str">
        <f>IF($B218="","",IF(O$3=0,"n.b.",INDEX(SRC_Woningetalage!$A$1:$ZZ$501,$A218,O$3)))</f>
        <v/>
      </c>
      <c r="P218" t="str">
        <f>IF($B218="","",IF(P$3=0,"n.b.",INDEX(SRC_Woningetalage!$A$1:$ZZ$501,$A218,P$3)))</f>
        <v/>
      </c>
      <c r="Q218" s="124" t="str">
        <f>IF($B218="","",IF(Q$3=0,"n.b.",INDEX(SRC_Woningetalage!$A$1:$ZZ$501,$A218,Q$3)))</f>
        <v/>
      </c>
      <c r="R218" s="124" t="str">
        <f>IF($B218="","",IF(R$3=0,"n.b.",INDEX(SRC_Woningetalage!$A$1:$ZZ$501,$A218,R$3)))</f>
        <v/>
      </c>
      <c r="S218" s="124" t="str">
        <f>IF($B218="","",IF(S$3=0,"n.b.",INDEX(SRC_Woningetalage!$A$1:$ZZ$501,$A218,S$3)))</f>
        <v/>
      </c>
      <c r="T218" s="124" t="str">
        <f>IF($B218="","",IF(T$3=0,"n.b.",INDEX(SRC_Woningetalage!$A$1:$ZZ$501,$A218,T$3)))</f>
        <v/>
      </c>
      <c r="U218" s="124" t="str">
        <f>IF($B218="","",IF(U$3=0,"n.b.",INDEX(SRC_Woningetalage!$A$1:$ZZ$501,$A218,U$3)))</f>
        <v/>
      </c>
      <c r="V218" s="124" t="str">
        <f>IF($B218="","",IF(V$3=0,"n.b.",INDEX(SRC_Woningetalage!$A$1:$ZZ$501,$A218,V$3)))</f>
        <v/>
      </c>
      <c r="W218" s="124" t="str">
        <f>IF($B218="","",IF(W$3=0,"n.b.",INDEX(SRC_Woningetalage!$A$1:$ZZ$501,$A218,W$3)))</f>
        <v/>
      </c>
      <c r="X218" s="124" t="str">
        <f>IF($B218="","",IF(X$3=0,"n.b.",INDEX(SRC_Woningetalage!$A$1:$ZZ$501,$A218,X$3)))</f>
        <v/>
      </c>
      <c r="Y218" s="124" t="str">
        <f>IF($B218="","",IF(Y$3=0,"n.b.",INDEX(SRC_Woningetalage!$A$1:$ZZ$501,$A218,Y$3)))</f>
        <v/>
      </c>
      <c r="Z218" s="124" t="str">
        <f>IF($B218="","",IF(Z$3=0,"n.b.",INDEX(SRC_Woningetalage!$A$1:$ZZ$501,$A218,Z$3)))</f>
        <v/>
      </c>
      <c r="AA218" s="124" t="str">
        <f>IF($B218="","",IF(AA$3=0,"n.b.",INDEX(SRC_Woningetalage!$A$1:$ZZ$501,$A218,AA$3)))</f>
        <v/>
      </c>
      <c r="AB218" s="124" t="str">
        <f>IF($B218="","",IF(AB$3=0,"n.b.",INDEX(SRC_Woningetalage!$A$1:$ZZ$501,$A218,AB$3)))</f>
        <v/>
      </c>
      <c r="AC218" s="124" t="str">
        <f>IF($B218="","",IF(AC$3=0,"n.b.",INDEX(SRC_Woningetalage!$A$1:$ZZ$501,$A218,AC$3)))</f>
        <v/>
      </c>
      <c r="AD218" s="124" t="str">
        <f>IF($B218="","",IF(AD$3=0,"n.b.",INDEX(SRC_Woningetalage!$A$1:$ZZ$501,$A218,AD$3)))</f>
        <v/>
      </c>
      <c r="AE218" s="124" t="str">
        <f>IF($B218="","",IF(AE$3=0,"n.b.",INDEX(SRC_Woningetalage!$A$1:$ZZ$501,$A218,AE$3)))</f>
        <v/>
      </c>
      <c r="AF218" s="124" t="str">
        <f>IF($B218="","",IF(AF$3=0,"n.b.",INDEX(SRC_Woningetalage!$A$1:$ZZ$501,$A218,AF$3)))</f>
        <v/>
      </c>
      <c r="AG218" s="124" t="str">
        <f>IF($B218="","",IF(AG$3=0,"n.b.",INDEX(SRC_Woningetalage!$A$1:$ZZ$501,$A218,AG$3)))</f>
        <v/>
      </c>
      <c r="AH218" s="124" t="str">
        <f>IF($B218="","",IF(AH$3=0,"n.b.",INDEX(SRC_Woningetalage!$A$1:$ZZ$501,$A218,AH$3)))</f>
        <v/>
      </c>
      <c r="AI218" s="124" t="str">
        <f>IF($B218="","",IF(AI$3=0,"n.b.",INDEX(SRC_Woningetalage!$A$1:$ZZ$501,$A218,AI$3)))</f>
        <v/>
      </c>
      <c r="AJ218" s="124" t="str">
        <f>IF($B218="","",IF(AJ$3=0,"n.b.",INDEX(SRC_Woningetalage!$A$1:$ZZ$501,$A218,AJ$3)))</f>
        <v/>
      </c>
      <c r="AK218" s="124" t="str">
        <f>IF($B218="","",IF(AK$3=0,"n.b.",INDEX(SRC_Woningetalage!$A$1:$ZZ$501,$A218,AK$3)))</f>
        <v/>
      </c>
      <c r="AL218" s="124" t="str">
        <f>IF($B218="","",IF(AL$3=0,"n.b.",INDEX(SRC_Woningetalage!$A$1:$ZZ$501,$A218,AL$3)))</f>
        <v/>
      </c>
      <c r="AM218" s="124" t="str">
        <f>IF($B218="","",IF(AM$3=0,"n.b.",INDEX(SRC_Woningetalage!$A$1:$ZZ$501,$A218,AM$3)))</f>
        <v/>
      </c>
      <c r="AN218" s="124" t="str">
        <f>IF($B218="","",IF(AN$3=0,"n.b.",INDEX(SRC_Woningetalage!$A$1:$ZZ$501,$A218,AN$3)))</f>
        <v/>
      </c>
      <c r="AO218" s="124" t="str">
        <f>IF($B218="","",IF(AO$3=0,"n.b.",INDEX(SRC_Woningetalage!$A$1:$ZZ$501,$A218,AO$3)))</f>
        <v/>
      </c>
      <c r="AP218" s="124" t="str">
        <f>IF($B218="","",IF(AP$3=0,"n.b.",INDEX(SRC_Woningetalage!$A$1:$ZZ$501,$A218,AP$3)))</f>
        <v/>
      </c>
      <c r="AQ218" s="124" t="str">
        <f>IF($B218="","",IF(AQ$3=0,"n.b.",INDEX(SRC_Woningetalage!$A$1:$ZZ$501,$A218,AQ$3)))</f>
        <v/>
      </c>
      <c r="AR218" s="124" t="str">
        <f>IF($B218="","",IF(AR$3=0,"n.b.",INDEX(SRC_Woningetalage!$A$1:$ZZ$501,$A218,AR$3)))</f>
        <v/>
      </c>
      <c r="AS218" s="124" t="str">
        <f>IF($B218="","",IF(AS$3=0,"n.b.",INDEX(SRC_Woningetalage!$A$1:$ZZ$501,$A218,AS$3)))</f>
        <v/>
      </c>
      <c r="AT218" s="124" t="str">
        <f>IF($B218="","",IF(AT$3=0,"n.b.",INDEX(SRC_Woningetalage!$A$1:$ZZ$501,$A218,AT$3)))</f>
        <v/>
      </c>
      <c r="AU218" s="124" t="str">
        <f>IF($B218="","",IF(AU$3=0,"n.b.",INDEX(SRC_Woningetalage!$A$1:$ZZ$501,$A218,AU$3)))</f>
        <v/>
      </c>
      <c r="AV218" s="124" t="str">
        <f>IF($B218="","",IF(AV$3=0,"n.b.",INDEX(SRC_Woningetalage!$A$1:$ZZ$501,$A218,AV$3)))</f>
        <v/>
      </c>
      <c r="AW218" s="124" t="str">
        <f>IF($B218="","",IF(AW$3=0,"n.b.",INDEX(SRC_Woningetalage!$A$1:$ZZ$501,$A218,AW$3)))</f>
        <v/>
      </c>
      <c r="AX218" s="124" t="str">
        <f>IF($B218="","",IF(AX$3=0,"n.b.",INDEX(SRC_Woningetalage!$A$1:$ZZ$501,$A218,AX$3)))</f>
        <v/>
      </c>
      <c r="AY218" s="124" t="str">
        <f>IF($B218="","",IF(AY$3=0,"n.b.",INDEX(SRC_Woningetalage!$A$1:$ZZ$501,$A218,AY$3)))</f>
        <v/>
      </c>
      <c r="AZ218" s="124" t="str">
        <f>IF($B218="","",IF(AZ$3=0,"n.b.",INDEX(SRC_Woningetalage!$A$1:$ZZ$501,$A218,AZ$3)))</f>
        <v/>
      </c>
      <c r="BA218" s="124" t="str">
        <f>IF($B218="","",IF(BA$3=0,"n.b.",INDEX(SRC_Woningetalage!$A$1:$ZZ$501,$A218,BA$3)))</f>
        <v/>
      </c>
      <c r="BB218" s="124" t="str">
        <f>IF($B218="","",IF(BB$3=0,"n.b.",INDEX(SRC_Woningetalage!$A$1:$ZZ$501,$A218,BB$3)))</f>
        <v/>
      </c>
      <c r="BC218" s="124" t="str">
        <f>IF($B218="","",IFERROR(_xlfn.NUMBERVALUE(E218&amp;"",",","."),"n.b."))</f>
        <v/>
      </c>
      <c r="BD218" s="124" t="str">
        <f>IF($B218="","",IFERROR(_xlfn.NUMBERVALUE(M218&amp;"",",","."),"n.b."))</f>
        <v/>
      </c>
      <c r="BE218" s="124" t="str">
        <f>IF($B218="","",IFERROR(AB218+AC218+AD218,"n.b."))</f>
        <v/>
      </c>
      <c r="BF218" s="124" t="str">
        <f>IF($B218="","",IFERROR(AE218+AF218+AG218,"n.b."))</f>
        <v/>
      </c>
      <c r="BG218" s="124" t="str">
        <f>IF($B218="","",IFERROR(AH218+AI218+AJ218,"n.b."))</f>
        <v/>
      </c>
      <c r="BH218" s="124" t="str">
        <f>IF($B218="","",IFERROR(AK218+AL218+AM218,"n.b."))</f>
        <v/>
      </c>
      <c r="BI218" s="124" t="str">
        <f>IF($B218="","",IFERROR(SUMIF($AB$5:$AM$5,"&lt;="&amp;P_PeilMaand,AB218:AM218),"n.b."))</f>
        <v/>
      </c>
      <c r="BJ218" s="124" t="str">
        <f>IF($B218="","",IFERROR(SUM(AB218:AM218)-BI218,"n.b."))</f>
        <v/>
      </c>
      <c r="BK218" s="124" t="str">
        <f>IF($B218="","",IFERROR(IF(ABS(Q218-(T218+SUM(AB218:AM218)+AS218+AU218))&gt;P_Tol,1,0),1))</f>
        <v/>
      </c>
      <c r="BL218" s="124" t="str">
        <f>IF($B218="","",IFERROR(IF(ABS(AA218-(Q218-Z218))&gt;P_Tol,1,0),1))</f>
        <v/>
      </c>
      <c r="BM218" s="124" t="str">
        <f>IF($B218="","",IFERROR(IF(ABS(Z218-(T218+W218))&gt;P_Tol,1,0),1))</f>
        <v/>
      </c>
      <c r="BN218" s="124" t="str">
        <f>IF($B218="","",IFERROR(IF(ABS(W218-BI218)&gt;P_Tol,1,0),1))</f>
        <v/>
      </c>
      <c r="BO218" s="124" t="str">
        <f>IF($B218="","",IFERROR(IF(OR(ABS(R218+S218-T218)&gt;P_Tol,ABS(U218+V218-W218)&gt;P_Tol,ABS(X218+Y218-Z218)&gt;P_Tol),1,0),1))</f>
        <v/>
      </c>
      <c r="BP218" s="124" t="str">
        <f>IF($B218="","",IFERROR(IF(OR(ABS(AR218-SUM(AB218:AM218))&gt;P_Tol,ABS(AS218-(AN218+AO218+AP218+AQ218))&gt;P_Tol),1,0),1))</f>
        <v/>
      </c>
      <c r="BQ218" s="124" t="str">
        <f>IF($B218="","",IFERROR(IF(ABS(AT218)+ABS(AV218)+ABS(AW218)+ABS(AX218)+ABS(AY218)+ABS(AZ218)+ABS(BA218)+ABS(BB218)&gt;0,1,0),1))</f>
        <v/>
      </c>
      <c r="BR218" s="124" t="str">
        <f>IF($B218="","",COUNTIF(STG_ZPMW03!$B$6:$B$505,B218))</f>
        <v/>
      </c>
      <c r="BS218" s="124" t="str">
        <f>IF($B218="","",COUNTIF($B$6:$B$505,B218))</f>
        <v/>
      </c>
      <c r="BT218" s="124" t="str">
        <f>IF($B218="","",IF(BR218=0,0,IF(INDEX(STG_ZPMW03!$I$6:$I$505,MATCH(B218,STG_ZPMW03!$B$6:$B$505,0))=J218&amp;"",0,1)))</f>
        <v/>
      </c>
      <c r="BU218" s="124" t="str">
        <f>IF($B218="","",IFERROR(IF(ABS(INDEX(Mapping!$D$5:$D$104,MATCH(B218,Mapping!$A$5:$A$104,0))-Q218)&gt;P_Tol,1,0),0))</f>
        <v/>
      </c>
      <c r="BV218" s="124" t="str">
        <f>IF($B218="","",IFERROR(IF(AND(INDEX(Mapping!$G$5:$G$104,MATCH(B218,Mapping!$A$5:$A$104,0))="Nee",ABS(Q218)+ABS(Z218)+ABS(AR218)&gt;0),1,0),0))</f>
        <v/>
      </c>
      <c r="BW218" s="124" t="str">
        <f>IF($B218="","",IF(COUNTIF(Mapping!$A$5:$A$104,B218)&gt;0,1,0))</f>
        <v/>
      </c>
      <c r="BX218" s="124" t="str">
        <f>IF($B218="","",IF(BR218=0,COUNTIF($BR$6:BR218,0),""))</f>
        <v/>
      </c>
    </row>
    <row r="219">
      <c r="A219" s="15" t="n">
        <v>215</v>
      </c>
      <c r="B219" t="str">
        <f>IF(B$3=0,"",IF(INDEX(SRC_Woningetalage!$A$1:$ZZ$501,$A219,B$3)&amp;""="","",INDEX(SRC_Woningetalage!$A$1:$ZZ$501,$A219,B$3)&amp;""))</f>
        <v/>
      </c>
      <c r="C219" t="str">
        <f>IF($B219="","",IF(C$3=0,"n.b.",INDEX(SRC_Woningetalage!$A$1:$ZZ$501,$A219,C$3)))</f>
        <v/>
      </c>
      <c r="D219" t="str">
        <f>IF($B219="","",IF(D$3=0,"n.b.",INDEX(SRC_Woningetalage!$A$1:$ZZ$501,$A219,D$3)))</f>
        <v/>
      </c>
      <c r="E219" t="str">
        <f>IF($B219="","",IF(E$3=0,"n.b.",INDEX(SRC_Woningetalage!$A$1:$ZZ$501,$A219,E$3)))</f>
        <v/>
      </c>
      <c r="F219" t="str">
        <f>IF($B219="","",IF(F$3=0,"n.b.",INDEX(SRC_Woningetalage!$A$1:$ZZ$501,$A219,F$3)))</f>
        <v/>
      </c>
      <c r="G219" t="str">
        <f>IF($B219="","",IF(G$3=0,"n.b.",INDEX(SRC_Woningetalage!$A$1:$ZZ$501,$A219,G$3)))</f>
        <v/>
      </c>
      <c r="H219" t="str">
        <f>IF($B219="","",IF(H$3=0,"n.b.",INDEX(SRC_Woningetalage!$A$1:$ZZ$501,$A219,H$3)))</f>
        <v/>
      </c>
      <c r="I219" t="str">
        <f>IF($B219="","",IF(I$3=0,"n.b.",INDEX(SRC_Woningetalage!$A$1:$ZZ$501,$A219,I$3)))</f>
        <v/>
      </c>
      <c r="J219" t="str">
        <f>IF($B219="","",IF(J$3=0,"n.b.",INDEX(SRC_Woningetalage!$A$1:$ZZ$501,$A219,J$3)))</f>
        <v/>
      </c>
      <c r="K219" t="str">
        <f>IF($B219="","",IF(K$3=0,"n.b.",INDEX(SRC_Woningetalage!$A$1:$ZZ$501,$A219,K$3)))</f>
        <v/>
      </c>
      <c r="L219" t="str">
        <f>IF($B219="","",IF(L$3=0,"n.b.",INDEX(SRC_Woningetalage!$A$1:$ZZ$501,$A219,L$3)))</f>
        <v/>
      </c>
      <c r="M219" t="str">
        <f>IF($B219="","",IF(M$3=0,"n.b.",INDEX(SRC_Woningetalage!$A$1:$ZZ$501,$A219,M$3)))</f>
        <v/>
      </c>
      <c r="N219" t="str">
        <f>IF($B219="","",IF(N$3=0,"n.b.",INDEX(SRC_Woningetalage!$A$1:$ZZ$501,$A219,N$3)))</f>
        <v/>
      </c>
      <c r="O219" t="str">
        <f>IF($B219="","",IF(O$3=0,"n.b.",INDEX(SRC_Woningetalage!$A$1:$ZZ$501,$A219,O$3)))</f>
        <v/>
      </c>
      <c r="P219" t="str">
        <f>IF($B219="","",IF(P$3=0,"n.b.",INDEX(SRC_Woningetalage!$A$1:$ZZ$501,$A219,P$3)))</f>
        <v/>
      </c>
      <c r="Q219" s="124" t="str">
        <f>IF($B219="","",IF(Q$3=0,"n.b.",INDEX(SRC_Woningetalage!$A$1:$ZZ$501,$A219,Q$3)))</f>
        <v/>
      </c>
      <c r="R219" s="124" t="str">
        <f>IF($B219="","",IF(R$3=0,"n.b.",INDEX(SRC_Woningetalage!$A$1:$ZZ$501,$A219,R$3)))</f>
        <v/>
      </c>
      <c r="S219" s="124" t="str">
        <f>IF($B219="","",IF(S$3=0,"n.b.",INDEX(SRC_Woningetalage!$A$1:$ZZ$501,$A219,S$3)))</f>
        <v/>
      </c>
      <c r="T219" s="124" t="str">
        <f>IF($B219="","",IF(T$3=0,"n.b.",INDEX(SRC_Woningetalage!$A$1:$ZZ$501,$A219,T$3)))</f>
        <v/>
      </c>
      <c r="U219" s="124" t="str">
        <f>IF($B219="","",IF(U$3=0,"n.b.",INDEX(SRC_Woningetalage!$A$1:$ZZ$501,$A219,U$3)))</f>
        <v/>
      </c>
      <c r="V219" s="124" t="str">
        <f>IF($B219="","",IF(V$3=0,"n.b.",INDEX(SRC_Woningetalage!$A$1:$ZZ$501,$A219,V$3)))</f>
        <v/>
      </c>
      <c r="W219" s="124" t="str">
        <f>IF($B219="","",IF(W$3=0,"n.b.",INDEX(SRC_Woningetalage!$A$1:$ZZ$501,$A219,W$3)))</f>
        <v/>
      </c>
      <c r="X219" s="124" t="str">
        <f>IF($B219="","",IF(X$3=0,"n.b.",INDEX(SRC_Woningetalage!$A$1:$ZZ$501,$A219,X$3)))</f>
        <v/>
      </c>
      <c r="Y219" s="124" t="str">
        <f>IF($B219="","",IF(Y$3=0,"n.b.",INDEX(SRC_Woningetalage!$A$1:$ZZ$501,$A219,Y$3)))</f>
        <v/>
      </c>
      <c r="Z219" s="124" t="str">
        <f>IF($B219="","",IF(Z$3=0,"n.b.",INDEX(SRC_Woningetalage!$A$1:$ZZ$501,$A219,Z$3)))</f>
        <v/>
      </c>
      <c r="AA219" s="124" t="str">
        <f>IF($B219="","",IF(AA$3=0,"n.b.",INDEX(SRC_Woningetalage!$A$1:$ZZ$501,$A219,AA$3)))</f>
        <v/>
      </c>
      <c r="AB219" s="124" t="str">
        <f>IF($B219="","",IF(AB$3=0,"n.b.",INDEX(SRC_Woningetalage!$A$1:$ZZ$501,$A219,AB$3)))</f>
        <v/>
      </c>
      <c r="AC219" s="124" t="str">
        <f>IF($B219="","",IF(AC$3=0,"n.b.",INDEX(SRC_Woningetalage!$A$1:$ZZ$501,$A219,AC$3)))</f>
        <v/>
      </c>
      <c r="AD219" s="124" t="str">
        <f>IF($B219="","",IF(AD$3=0,"n.b.",INDEX(SRC_Woningetalage!$A$1:$ZZ$501,$A219,AD$3)))</f>
        <v/>
      </c>
      <c r="AE219" s="124" t="str">
        <f>IF($B219="","",IF(AE$3=0,"n.b.",INDEX(SRC_Woningetalage!$A$1:$ZZ$501,$A219,AE$3)))</f>
        <v/>
      </c>
      <c r="AF219" s="124" t="str">
        <f>IF($B219="","",IF(AF$3=0,"n.b.",INDEX(SRC_Woningetalage!$A$1:$ZZ$501,$A219,AF$3)))</f>
        <v/>
      </c>
      <c r="AG219" s="124" t="str">
        <f>IF($B219="","",IF(AG$3=0,"n.b.",INDEX(SRC_Woningetalage!$A$1:$ZZ$501,$A219,AG$3)))</f>
        <v/>
      </c>
      <c r="AH219" s="124" t="str">
        <f>IF($B219="","",IF(AH$3=0,"n.b.",INDEX(SRC_Woningetalage!$A$1:$ZZ$501,$A219,AH$3)))</f>
        <v/>
      </c>
      <c r="AI219" s="124" t="str">
        <f>IF($B219="","",IF(AI$3=0,"n.b.",INDEX(SRC_Woningetalage!$A$1:$ZZ$501,$A219,AI$3)))</f>
        <v/>
      </c>
      <c r="AJ219" s="124" t="str">
        <f>IF($B219="","",IF(AJ$3=0,"n.b.",INDEX(SRC_Woningetalage!$A$1:$ZZ$501,$A219,AJ$3)))</f>
        <v/>
      </c>
      <c r="AK219" s="124" t="str">
        <f>IF($B219="","",IF(AK$3=0,"n.b.",INDEX(SRC_Woningetalage!$A$1:$ZZ$501,$A219,AK$3)))</f>
        <v/>
      </c>
      <c r="AL219" s="124" t="str">
        <f>IF($B219="","",IF(AL$3=0,"n.b.",INDEX(SRC_Woningetalage!$A$1:$ZZ$501,$A219,AL$3)))</f>
        <v/>
      </c>
      <c r="AM219" s="124" t="str">
        <f>IF($B219="","",IF(AM$3=0,"n.b.",INDEX(SRC_Woningetalage!$A$1:$ZZ$501,$A219,AM$3)))</f>
        <v/>
      </c>
      <c r="AN219" s="124" t="str">
        <f>IF($B219="","",IF(AN$3=0,"n.b.",INDEX(SRC_Woningetalage!$A$1:$ZZ$501,$A219,AN$3)))</f>
        <v/>
      </c>
      <c r="AO219" s="124" t="str">
        <f>IF($B219="","",IF(AO$3=0,"n.b.",INDEX(SRC_Woningetalage!$A$1:$ZZ$501,$A219,AO$3)))</f>
        <v/>
      </c>
      <c r="AP219" s="124" t="str">
        <f>IF($B219="","",IF(AP$3=0,"n.b.",INDEX(SRC_Woningetalage!$A$1:$ZZ$501,$A219,AP$3)))</f>
        <v/>
      </c>
      <c r="AQ219" s="124" t="str">
        <f>IF($B219="","",IF(AQ$3=0,"n.b.",INDEX(SRC_Woningetalage!$A$1:$ZZ$501,$A219,AQ$3)))</f>
        <v/>
      </c>
      <c r="AR219" s="124" t="str">
        <f>IF($B219="","",IF(AR$3=0,"n.b.",INDEX(SRC_Woningetalage!$A$1:$ZZ$501,$A219,AR$3)))</f>
        <v/>
      </c>
      <c r="AS219" s="124" t="str">
        <f>IF($B219="","",IF(AS$3=0,"n.b.",INDEX(SRC_Woningetalage!$A$1:$ZZ$501,$A219,AS$3)))</f>
        <v/>
      </c>
      <c r="AT219" s="124" t="str">
        <f>IF($B219="","",IF(AT$3=0,"n.b.",INDEX(SRC_Woningetalage!$A$1:$ZZ$501,$A219,AT$3)))</f>
        <v/>
      </c>
      <c r="AU219" s="124" t="str">
        <f>IF($B219="","",IF(AU$3=0,"n.b.",INDEX(SRC_Woningetalage!$A$1:$ZZ$501,$A219,AU$3)))</f>
        <v/>
      </c>
      <c r="AV219" s="124" t="str">
        <f>IF($B219="","",IF(AV$3=0,"n.b.",INDEX(SRC_Woningetalage!$A$1:$ZZ$501,$A219,AV$3)))</f>
        <v/>
      </c>
      <c r="AW219" s="124" t="str">
        <f>IF($B219="","",IF(AW$3=0,"n.b.",INDEX(SRC_Woningetalage!$A$1:$ZZ$501,$A219,AW$3)))</f>
        <v/>
      </c>
      <c r="AX219" s="124" t="str">
        <f>IF($B219="","",IF(AX$3=0,"n.b.",INDEX(SRC_Woningetalage!$A$1:$ZZ$501,$A219,AX$3)))</f>
        <v/>
      </c>
      <c r="AY219" s="124" t="str">
        <f>IF($B219="","",IF(AY$3=0,"n.b.",INDEX(SRC_Woningetalage!$A$1:$ZZ$501,$A219,AY$3)))</f>
        <v/>
      </c>
      <c r="AZ219" s="124" t="str">
        <f>IF($B219="","",IF(AZ$3=0,"n.b.",INDEX(SRC_Woningetalage!$A$1:$ZZ$501,$A219,AZ$3)))</f>
        <v/>
      </c>
      <c r="BA219" s="124" t="str">
        <f>IF($B219="","",IF(BA$3=0,"n.b.",INDEX(SRC_Woningetalage!$A$1:$ZZ$501,$A219,BA$3)))</f>
        <v/>
      </c>
      <c r="BB219" s="124" t="str">
        <f>IF($B219="","",IF(BB$3=0,"n.b.",INDEX(SRC_Woningetalage!$A$1:$ZZ$501,$A219,BB$3)))</f>
        <v/>
      </c>
      <c r="BC219" s="124" t="str">
        <f>IF($B219="","",IFERROR(_xlfn.NUMBERVALUE(E219&amp;"",",","."),"n.b."))</f>
        <v/>
      </c>
      <c r="BD219" s="124" t="str">
        <f>IF($B219="","",IFERROR(_xlfn.NUMBERVALUE(M219&amp;"",",","."),"n.b."))</f>
        <v/>
      </c>
      <c r="BE219" s="124" t="str">
        <f>IF($B219="","",IFERROR(AB219+AC219+AD219,"n.b."))</f>
        <v/>
      </c>
      <c r="BF219" s="124" t="str">
        <f>IF($B219="","",IFERROR(AE219+AF219+AG219,"n.b."))</f>
        <v/>
      </c>
      <c r="BG219" s="124" t="str">
        <f>IF($B219="","",IFERROR(AH219+AI219+AJ219,"n.b."))</f>
        <v/>
      </c>
      <c r="BH219" s="124" t="str">
        <f>IF($B219="","",IFERROR(AK219+AL219+AM219,"n.b."))</f>
        <v/>
      </c>
      <c r="BI219" s="124" t="str">
        <f>IF($B219="","",IFERROR(SUMIF($AB$5:$AM$5,"&lt;="&amp;P_PeilMaand,AB219:AM219),"n.b."))</f>
        <v/>
      </c>
      <c r="BJ219" s="124" t="str">
        <f>IF($B219="","",IFERROR(SUM(AB219:AM219)-BI219,"n.b."))</f>
        <v/>
      </c>
      <c r="BK219" s="124" t="str">
        <f>IF($B219="","",IFERROR(IF(ABS(Q219-(T219+SUM(AB219:AM219)+AS219+AU219))&gt;P_Tol,1,0),1))</f>
        <v/>
      </c>
      <c r="BL219" s="124" t="str">
        <f>IF($B219="","",IFERROR(IF(ABS(AA219-(Q219-Z219))&gt;P_Tol,1,0),1))</f>
        <v/>
      </c>
      <c r="BM219" s="124" t="str">
        <f>IF($B219="","",IFERROR(IF(ABS(Z219-(T219+W219))&gt;P_Tol,1,0),1))</f>
        <v/>
      </c>
      <c r="BN219" s="124" t="str">
        <f>IF($B219="","",IFERROR(IF(ABS(W219-BI219)&gt;P_Tol,1,0),1))</f>
        <v/>
      </c>
      <c r="BO219" s="124" t="str">
        <f>IF($B219="","",IFERROR(IF(OR(ABS(R219+S219-T219)&gt;P_Tol,ABS(U219+V219-W219)&gt;P_Tol,ABS(X219+Y219-Z219)&gt;P_Tol),1,0),1))</f>
        <v/>
      </c>
      <c r="BP219" s="124" t="str">
        <f>IF($B219="","",IFERROR(IF(OR(ABS(AR219-SUM(AB219:AM219))&gt;P_Tol,ABS(AS219-(AN219+AO219+AP219+AQ219))&gt;P_Tol),1,0),1))</f>
        <v/>
      </c>
      <c r="BQ219" s="124" t="str">
        <f>IF($B219="","",IFERROR(IF(ABS(AT219)+ABS(AV219)+ABS(AW219)+ABS(AX219)+ABS(AY219)+ABS(AZ219)+ABS(BA219)+ABS(BB219)&gt;0,1,0),1))</f>
        <v/>
      </c>
      <c r="BR219" s="124" t="str">
        <f>IF($B219="","",COUNTIF(STG_ZPMW03!$B$6:$B$505,B219))</f>
        <v/>
      </c>
      <c r="BS219" s="124" t="str">
        <f>IF($B219="","",COUNTIF($B$6:$B$505,B219))</f>
        <v/>
      </c>
      <c r="BT219" s="124" t="str">
        <f>IF($B219="","",IF(BR219=0,0,IF(INDEX(STG_ZPMW03!$I$6:$I$505,MATCH(B219,STG_ZPMW03!$B$6:$B$505,0))=J219&amp;"",0,1)))</f>
        <v/>
      </c>
      <c r="BU219" s="124" t="str">
        <f>IF($B219="","",IFERROR(IF(ABS(INDEX(Mapping!$D$5:$D$104,MATCH(B219,Mapping!$A$5:$A$104,0))-Q219)&gt;P_Tol,1,0),0))</f>
        <v/>
      </c>
      <c r="BV219" s="124" t="str">
        <f>IF($B219="","",IFERROR(IF(AND(INDEX(Mapping!$G$5:$G$104,MATCH(B219,Mapping!$A$5:$A$104,0))="Nee",ABS(Q219)+ABS(Z219)+ABS(AR219)&gt;0),1,0),0))</f>
        <v/>
      </c>
      <c r="BW219" s="124" t="str">
        <f>IF($B219="","",IF(COUNTIF(Mapping!$A$5:$A$104,B219)&gt;0,1,0))</f>
        <v/>
      </c>
      <c r="BX219" s="124" t="str">
        <f>IF($B219="","",IF(BR219=0,COUNTIF($BR$6:BR219,0),""))</f>
        <v/>
      </c>
    </row>
    <row r="220">
      <c r="A220" s="15" t="n">
        <v>216</v>
      </c>
      <c r="B220" t="str">
        <f>IF(B$3=0,"",IF(INDEX(SRC_Woningetalage!$A$1:$ZZ$501,$A220,B$3)&amp;""="","",INDEX(SRC_Woningetalage!$A$1:$ZZ$501,$A220,B$3)&amp;""))</f>
        <v/>
      </c>
      <c r="C220" t="str">
        <f>IF($B220="","",IF(C$3=0,"n.b.",INDEX(SRC_Woningetalage!$A$1:$ZZ$501,$A220,C$3)))</f>
        <v/>
      </c>
      <c r="D220" t="str">
        <f>IF($B220="","",IF(D$3=0,"n.b.",INDEX(SRC_Woningetalage!$A$1:$ZZ$501,$A220,D$3)))</f>
        <v/>
      </c>
      <c r="E220" t="str">
        <f>IF($B220="","",IF(E$3=0,"n.b.",INDEX(SRC_Woningetalage!$A$1:$ZZ$501,$A220,E$3)))</f>
        <v/>
      </c>
      <c r="F220" t="str">
        <f>IF($B220="","",IF(F$3=0,"n.b.",INDEX(SRC_Woningetalage!$A$1:$ZZ$501,$A220,F$3)))</f>
        <v/>
      </c>
      <c r="G220" t="str">
        <f>IF($B220="","",IF(G$3=0,"n.b.",INDEX(SRC_Woningetalage!$A$1:$ZZ$501,$A220,G$3)))</f>
        <v/>
      </c>
      <c r="H220" t="str">
        <f>IF($B220="","",IF(H$3=0,"n.b.",INDEX(SRC_Woningetalage!$A$1:$ZZ$501,$A220,H$3)))</f>
        <v/>
      </c>
      <c r="I220" t="str">
        <f>IF($B220="","",IF(I$3=0,"n.b.",INDEX(SRC_Woningetalage!$A$1:$ZZ$501,$A220,I$3)))</f>
        <v/>
      </c>
      <c r="J220" t="str">
        <f>IF($B220="","",IF(J$3=0,"n.b.",INDEX(SRC_Woningetalage!$A$1:$ZZ$501,$A220,J$3)))</f>
        <v/>
      </c>
      <c r="K220" t="str">
        <f>IF($B220="","",IF(K$3=0,"n.b.",INDEX(SRC_Woningetalage!$A$1:$ZZ$501,$A220,K$3)))</f>
        <v/>
      </c>
      <c r="L220" t="str">
        <f>IF($B220="","",IF(L$3=0,"n.b.",INDEX(SRC_Woningetalage!$A$1:$ZZ$501,$A220,L$3)))</f>
        <v/>
      </c>
      <c r="M220" t="str">
        <f>IF($B220="","",IF(M$3=0,"n.b.",INDEX(SRC_Woningetalage!$A$1:$ZZ$501,$A220,M$3)))</f>
        <v/>
      </c>
      <c r="N220" t="str">
        <f>IF($B220="","",IF(N$3=0,"n.b.",INDEX(SRC_Woningetalage!$A$1:$ZZ$501,$A220,N$3)))</f>
        <v/>
      </c>
      <c r="O220" t="str">
        <f>IF($B220="","",IF(O$3=0,"n.b.",INDEX(SRC_Woningetalage!$A$1:$ZZ$501,$A220,O$3)))</f>
        <v/>
      </c>
      <c r="P220" t="str">
        <f>IF($B220="","",IF(P$3=0,"n.b.",INDEX(SRC_Woningetalage!$A$1:$ZZ$501,$A220,P$3)))</f>
        <v/>
      </c>
      <c r="Q220" s="124" t="str">
        <f>IF($B220="","",IF(Q$3=0,"n.b.",INDEX(SRC_Woningetalage!$A$1:$ZZ$501,$A220,Q$3)))</f>
        <v/>
      </c>
      <c r="R220" s="124" t="str">
        <f>IF($B220="","",IF(R$3=0,"n.b.",INDEX(SRC_Woningetalage!$A$1:$ZZ$501,$A220,R$3)))</f>
        <v/>
      </c>
      <c r="S220" s="124" t="str">
        <f>IF($B220="","",IF(S$3=0,"n.b.",INDEX(SRC_Woningetalage!$A$1:$ZZ$501,$A220,S$3)))</f>
        <v/>
      </c>
      <c r="T220" s="124" t="str">
        <f>IF($B220="","",IF(T$3=0,"n.b.",INDEX(SRC_Woningetalage!$A$1:$ZZ$501,$A220,T$3)))</f>
        <v/>
      </c>
      <c r="U220" s="124" t="str">
        <f>IF($B220="","",IF(U$3=0,"n.b.",INDEX(SRC_Woningetalage!$A$1:$ZZ$501,$A220,U$3)))</f>
        <v/>
      </c>
      <c r="V220" s="124" t="str">
        <f>IF($B220="","",IF(V$3=0,"n.b.",INDEX(SRC_Woningetalage!$A$1:$ZZ$501,$A220,V$3)))</f>
        <v/>
      </c>
      <c r="W220" s="124" t="str">
        <f>IF($B220="","",IF(W$3=0,"n.b.",INDEX(SRC_Woningetalage!$A$1:$ZZ$501,$A220,W$3)))</f>
        <v/>
      </c>
      <c r="X220" s="124" t="str">
        <f>IF($B220="","",IF(X$3=0,"n.b.",INDEX(SRC_Woningetalage!$A$1:$ZZ$501,$A220,X$3)))</f>
        <v/>
      </c>
      <c r="Y220" s="124" t="str">
        <f>IF($B220="","",IF(Y$3=0,"n.b.",INDEX(SRC_Woningetalage!$A$1:$ZZ$501,$A220,Y$3)))</f>
        <v/>
      </c>
      <c r="Z220" s="124" t="str">
        <f>IF($B220="","",IF(Z$3=0,"n.b.",INDEX(SRC_Woningetalage!$A$1:$ZZ$501,$A220,Z$3)))</f>
        <v/>
      </c>
      <c r="AA220" s="124" t="str">
        <f>IF($B220="","",IF(AA$3=0,"n.b.",INDEX(SRC_Woningetalage!$A$1:$ZZ$501,$A220,AA$3)))</f>
        <v/>
      </c>
      <c r="AB220" s="124" t="str">
        <f>IF($B220="","",IF(AB$3=0,"n.b.",INDEX(SRC_Woningetalage!$A$1:$ZZ$501,$A220,AB$3)))</f>
        <v/>
      </c>
      <c r="AC220" s="124" t="str">
        <f>IF($B220="","",IF(AC$3=0,"n.b.",INDEX(SRC_Woningetalage!$A$1:$ZZ$501,$A220,AC$3)))</f>
        <v/>
      </c>
      <c r="AD220" s="124" t="str">
        <f>IF($B220="","",IF(AD$3=0,"n.b.",INDEX(SRC_Woningetalage!$A$1:$ZZ$501,$A220,AD$3)))</f>
        <v/>
      </c>
      <c r="AE220" s="124" t="str">
        <f>IF($B220="","",IF(AE$3=0,"n.b.",INDEX(SRC_Woningetalage!$A$1:$ZZ$501,$A220,AE$3)))</f>
        <v/>
      </c>
      <c r="AF220" s="124" t="str">
        <f>IF($B220="","",IF(AF$3=0,"n.b.",INDEX(SRC_Woningetalage!$A$1:$ZZ$501,$A220,AF$3)))</f>
        <v/>
      </c>
      <c r="AG220" s="124" t="str">
        <f>IF($B220="","",IF(AG$3=0,"n.b.",INDEX(SRC_Woningetalage!$A$1:$ZZ$501,$A220,AG$3)))</f>
        <v/>
      </c>
      <c r="AH220" s="124" t="str">
        <f>IF($B220="","",IF(AH$3=0,"n.b.",INDEX(SRC_Woningetalage!$A$1:$ZZ$501,$A220,AH$3)))</f>
        <v/>
      </c>
      <c r="AI220" s="124" t="str">
        <f>IF($B220="","",IF(AI$3=0,"n.b.",INDEX(SRC_Woningetalage!$A$1:$ZZ$501,$A220,AI$3)))</f>
        <v/>
      </c>
      <c r="AJ220" s="124" t="str">
        <f>IF($B220="","",IF(AJ$3=0,"n.b.",INDEX(SRC_Woningetalage!$A$1:$ZZ$501,$A220,AJ$3)))</f>
        <v/>
      </c>
      <c r="AK220" s="124" t="str">
        <f>IF($B220="","",IF(AK$3=0,"n.b.",INDEX(SRC_Woningetalage!$A$1:$ZZ$501,$A220,AK$3)))</f>
        <v/>
      </c>
      <c r="AL220" s="124" t="str">
        <f>IF($B220="","",IF(AL$3=0,"n.b.",INDEX(SRC_Woningetalage!$A$1:$ZZ$501,$A220,AL$3)))</f>
        <v/>
      </c>
      <c r="AM220" s="124" t="str">
        <f>IF($B220="","",IF(AM$3=0,"n.b.",INDEX(SRC_Woningetalage!$A$1:$ZZ$501,$A220,AM$3)))</f>
        <v/>
      </c>
      <c r="AN220" s="124" t="str">
        <f>IF($B220="","",IF(AN$3=0,"n.b.",INDEX(SRC_Woningetalage!$A$1:$ZZ$501,$A220,AN$3)))</f>
        <v/>
      </c>
      <c r="AO220" s="124" t="str">
        <f>IF($B220="","",IF(AO$3=0,"n.b.",INDEX(SRC_Woningetalage!$A$1:$ZZ$501,$A220,AO$3)))</f>
        <v/>
      </c>
      <c r="AP220" s="124" t="str">
        <f>IF($B220="","",IF(AP$3=0,"n.b.",INDEX(SRC_Woningetalage!$A$1:$ZZ$501,$A220,AP$3)))</f>
        <v/>
      </c>
      <c r="AQ220" s="124" t="str">
        <f>IF($B220="","",IF(AQ$3=0,"n.b.",INDEX(SRC_Woningetalage!$A$1:$ZZ$501,$A220,AQ$3)))</f>
        <v/>
      </c>
      <c r="AR220" s="124" t="str">
        <f>IF($B220="","",IF(AR$3=0,"n.b.",INDEX(SRC_Woningetalage!$A$1:$ZZ$501,$A220,AR$3)))</f>
        <v/>
      </c>
      <c r="AS220" s="124" t="str">
        <f>IF($B220="","",IF(AS$3=0,"n.b.",INDEX(SRC_Woningetalage!$A$1:$ZZ$501,$A220,AS$3)))</f>
        <v/>
      </c>
      <c r="AT220" s="124" t="str">
        <f>IF($B220="","",IF(AT$3=0,"n.b.",INDEX(SRC_Woningetalage!$A$1:$ZZ$501,$A220,AT$3)))</f>
        <v/>
      </c>
      <c r="AU220" s="124" t="str">
        <f>IF($B220="","",IF(AU$3=0,"n.b.",INDEX(SRC_Woningetalage!$A$1:$ZZ$501,$A220,AU$3)))</f>
        <v/>
      </c>
      <c r="AV220" s="124" t="str">
        <f>IF($B220="","",IF(AV$3=0,"n.b.",INDEX(SRC_Woningetalage!$A$1:$ZZ$501,$A220,AV$3)))</f>
        <v/>
      </c>
      <c r="AW220" s="124" t="str">
        <f>IF($B220="","",IF(AW$3=0,"n.b.",INDEX(SRC_Woningetalage!$A$1:$ZZ$501,$A220,AW$3)))</f>
        <v/>
      </c>
      <c r="AX220" s="124" t="str">
        <f>IF($B220="","",IF(AX$3=0,"n.b.",INDEX(SRC_Woningetalage!$A$1:$ZZ$501,$A220,AX$3)))</f>
        <v/>
      </c>
      <c r="AY220" s="124" t="str">
        <f>IF($B220="","",IF(AY$3=0,"n.b.",INDEX(SRC_Woningetalage!$A$1:$ZZ$501,$A220,AY$3)))</f>
        <v/>
      </c>
      <c r="AZ220" s="124" t="str">
        <f>IF($B220="","",IF(AZ$3=0,"n.b.",INDEX(SRC_Woningetalage!$A$1:$ZZ$501,$A220,AZ$3)))</f>
        <v/>
      </c>
      <c r="BA220" s="124" t="str">
        <f>IF($B220="","",IF(BA$3=0,"n.b.",INDEX(SRC_Woningetalage!$A$1:$ZZ$501,$A220,BA$3)))</f>
        <v/>
      </c>
      <c r="BB220" s="124" t="str">
        <f>IF($B220="","",IF(BB$3=0,"n.b.",INDEX(SRC_Woningetalage!$A$1:$ZZ$501,$A220,BB$3)))</f>
        <v/>
      </c>
      <c r="BC220" s="124" t="str">
        <f>IF($B220="","",IFERROR(_xlfn.NUMBERVALUE(E220&amp;"",",","."),"n.b."))</f>
        <v/>
      </c>
      <c r="BD220" s="124" t="str">
        <f>IF($B220="","",IFERROR(_xlfn.NUMBERVALUE(M220&amp;"",",","."),"n.b."))</f>
        <v/>
      </c>
      <c r="BE220" s="124" t="str">
        <f>IF($B220="","",IFERROR(AB220+AC220+AD220,"n.b."))</f>
        <v/>
      </c>
      <c r="BF220" s="124" t="str">
        <f>IF($B220="","",IFERROR(AE220+AF220+AG220,"n.b."))</f>
        <v/>
      </c>
      <c r="BG220" s="124" t="str">
        <f>IF($B220="","",IFERROR(AH220+AI220+AJ220,"n.b."))</f>
        <v/>
      </c>
      <c r="BH220" s="124" t="str">
        <f>IF($B220="","",IFERROR(AK220+AL220+AM220,"n.b."))</f>
        <v/>
      </c>
      <c r="BI220" s="124" t="str">
        <f>IF($B220="","",IFERROR(SUMIF($AB$5:$AM$5,"&lt;="&amp;P_PeilMaand,AB220:AM220),"n.b."))</f>
        <v/>
      </c>
      <c r="BJ220" s="124" t="str">
        <f>IF($B220="","",IFERROR(SUM(AB220:AM220)-BI220,"n.b."))</f>
        <v/>
      </c>
      <c r="BK220" s="124" t="str">
        <f>IF($B220="","",IFERROR(IF(ABS(Q220-(T220+SUM(AB220:AM220)+AS220+AU220))&gt;P_Tol,1,0),1))</f>
        <v/>
      </c>
      <c r="BL220" s="124" t="str">
        <f>IF($B220="","",IFERROR(IF(ABS(AA220-(Q220-Z220))&gt;P_Tol,1,0),1))</f>
        <v/>
      </c>
      <c r="BM220" s="124" t="str">
        <f>IF($B220="","",IFERROR(IF(ABS(Z220-(T220+W220))&gt;P_Tol,1,0),1))</f>
        <v/>
      </c>
      <c r="BN220" s="124" t="str">
        <f>IF($B220="","",IFERROR(IF(ABS(W220-BI220)&gt;P_Tol,1,0),1))</f>
        <v/>
      </c>
      <c r="BO220" s="124" t="str">
        <f>IF($B220="","",IFERROR(IF(OR(ABS(R220+S220-T220)&gt;P_Tol,ABS(U220+V220-W220)&gt;P_Tol,ABS(X220+Y220-Z220)&gt;P_Tol),1,0),1))</f>
        <v/>
      </c>
      <c r="BP220" s="124" t="str">
        <f>IF($B220="","",IFERROR(IF(OR(ABS(AR220-SUM(AB220:AM220))&gt;P_Tol,ABS(AS220-(AN220+AO220+AP220+AQ220))&gt;P_Tol),1,0),1))</f>
        <v/>
      </c>
      <c r="BQ220" s="124" t="str">
        <f>IF($B220="","",IFERROR(IF(ABS(AT220)+ABS(AV220)+ABS(AW220)+ABS(AX220)+ABS(AY220)+ABS(AZ220)+ABS(BA220)+ABS(BB220)&gt;0,1,0),1))</f>
        <v/>
      </c>
      <c r="BR220" s="124" t="str">
        <f>IF($B220="","",COUNTIF(STG_ZPMW03!$B$6:$B$505,B220))</f>
        <v/>
      </c>
      <c r="BS220" s="124" t="str">
        <f>IF($B220="","",COUNTIF($B$6:$B$505,B220))</f>
        <v/>
      </c>
      <c r="BT220" s="124" t="str">
        <f>IF($B220="","",IF(BR220=0,0,IF(INDEX(STG_ZPMW03!$I$6:$I$505,MATCH(B220,STG_ZPMW03!$B$6:$B$505,0))=J220&amp;"",0,1)))</f>
        <v/>
      </c>
      <c r="BU220" s="124" t="str">
        <f>IF($B220="","",IFERROR(IF(ABS(INDEX(Mapping!$D$5:$D$104,MATCH(B220,Mapping!$A$5:$A$104,0))-Q220)&gt;P_Tol,1,0),0))</f>
        <v/>
      </c>
      <c r="BV220" s="124" t="str">
        <f>IF($B220="","",IFERROR(IF(AND(INDEX(Mapping!$G$5:$G$104,MATCH(B220,Mapping!$A$5:$A$104,0))="Nee",ABS(Q220)+ABS(Z220)+ABS(AR220)&gt;0),1,0),0))</f>
        <v/>
      </c>
      <c r="BW220" s="124" t="str">
        <f>IF($B220="","",IF(COUNTIF(Mapping!$A$5:$A$104,B220)&gt;0,1,0))</f>
        <v/>
      </c>
      <c r="BX220" s="124" t="str">
        <f>IF($B220="","",IF(BR220=0,COUNTIF($BR$6:BR220,0),""))</f>
        <v/>
      </c>
    </row>
    <row r="221">
      <c r="A221" s="15" t="n">
        <v>217</v>
      </c>
      <c r="B221" t="str">
        <f>IF(B$3=0,"",IF(INDEX(SRC_Woningetalage!$A$1:$ZZ$501,$A221,B$3)&amp;""="","",INDEX(SRC_Woningetalage!$A$1:$ZZ$501,$A221,B$3)&amp;""))</f>
        <v/>
      </c>
      <c r="C221" t="str">
        <f>IF($B221="","",IF(C$3=0,"n.b.",INDEX(SRC_Woningetalage!$A$1:$ZZ$501,$A221,C$3)))</f>
        <v/>
      </c>
      <c r="D221" t="str">
        <f>IF($B221="","",IF(D$3=0,"n.b.",INDEX(SRC_Woningetalage!$A$1:$ZZ$501,$A221,D$3)))</f>
        <v/>
      </c>
      <c r="E221" t="str">
        <f>IF($B221="","",IF(E$3=0,"n.b.",INDEX(SRC_Woningetalage!$A$1:$ZZ$501,$A221,E$3)))</f>
        <v/>
      </c>
      <c r="F221" t="str">
        <f>IF($B221="","",IF(F$3=0,"n.b.",INDEX(SRC_Woningetalage!$A$1:$ZZ$501,$A221,F$3)))</f>
        <v/>
      </c>
      <c r="G221" t="str">
        <f>IF($B221="","",IF(G$3=0,"n.b.",INDEX(SRC_Woningetalage!$A$1:$ZZ$501,$A221,G$3)))</f>
        <v/>
      </c>
      <c r="H221" t="str">
        <f>IF($B221="","",IF(H$3=0,"n.b.",INDEX(SRC_Woningetalage!$A$1:$ZZ$501,$A221,H$3)))</f>
        <v/>
      </c>
      <c r="I221" t="str">
        <f>IF($B221="","",IF(I$3=0,"n.b.",INDEX(SRC_Woningetalage!$A$1:$ZZ$501,$A221,I$3)))</f>
        <v/>
      </c>
      <c r="J221" t="str">
        <f>IF($B221="","",IF(J$3=0,"n.b.",INDEX(SRC_Woningetalage!$A$1:$ZZ$501,$A221,J$3)))</f>
        <v/>
      </c>
      <c r="K221" t="str">
        <f>IF($B221="","",IF(K$3=0,"n.b.",INDEX(SRC_Woningetalage!$A$1:$ZZ$501,$A221,K$3)))</f>
        <v/>
      </c>
      <c r="L221" t="str">
        <f>IF($B221="","",IF(L$3=0,"n.b.",INDEX(SRC_Woningetalage!$A$1:$ZZ$501,$A221,L$3)))</f>
        <v/>
      </c>
      <c r="M221" t="str">
        <f>IF($B221="","",IF(M$3=0,"n.b.",INDEX(SRC_Woningetalage!$A$1:$ZZ$501,$A221,M$3)))</f>
        <v/>
      </c>
      <c r="N221" t="str">
        <f>IF($B221="","",IF(N$3=0,"n.b.",INDEX(SRC_Woningetalage!$A$1:$ZZ$501,$A221,N$3)))</f>
        <v/>
      </c>
      <c r="O221" t="str">
        <f>IF($B221="","",IF(O$3=0,"n.b.",INDEX(SRC_Woningetalage!$A$1:$ZZ$501,$A221,O$3)))</f>
        <v/>
      </c>
      <c r="P221" t="str">
        <f>IF($B221="","",IF(P$3=0,"n.b.",INDEX(SRC_Woningetalage!$A$1:$ZZ$501,$A221,P$3)))</f>
        <v/>
      </c>
      <c r="Q221" s="124" t="str">
        <f>IF($B221="","",IF(Q$3=0,"n.b.",INDEX(SRC_Woningetalage!$A$1:$ZZ$501,$A221,Q$3)))</f>
        <v/>
      </c>
      <c r="R221" s="124" t="str">
        <f>IF($B221="","",IF(R$3=0,"n.b.",INDEX(SRC_Woningetalage!$A$1:$ZZ$501,$A221,R$3)))</f>
        <v/>
      </c>
      <c r="S221" s="124" t="str">
        <f>IF($B221="","",IF(S$3=0,"n.b.",INDEX(SRC_Woningetalage!$A$1:$ZZ$501,$A221,S$3)))</f>
        <v/>
      </c>
      <c r="T221" s="124" t="str">
        <f>IF($B221="","",IF(T$3=0,"n.b.",INDEX(SRC_Woningetalage!$A$1:$ZZ$501,$A221,T$3)))</f>
        <v/>
      </c>
      <c r="U221" s="124" t="str">
        <f>IF($B221="","",IF(U$3=0,"n.b.",INDEX(SRC_Woningetalage!$A$1:$ZZ$501,$A221,U$3)))</f>
        <v/>
      </c>
      <c r="V221" s="124" t="str">
        <f>IF($B221="","",IF(V$3=0,"n.b.",INDEX(SRC_Woningetalage!$A$1:$ZZ$501,$A221,V$3)))</f>
        <v/>
      </c>
      <c r="W221" s="124" t="str">
        <f>IF($B221="","",IF(W$3=0,"n.b.",INDEX(SRC_Woningetalage!$A$1:$ZZ$501,$A221,W$3)))</f>
        <v/>
      </c>
      <c r="X221" s="124" t="str">
        <f>IF($B221="","",IF(X$3=0,"n.b.",INDEX(SRC_Woningetalage!$A$1:$ZZ$501,$A221,X$3)))</f>
        <v/>
      </c>
      <c r="Y221" s="124" t="str">
        <f>IF($B221="","",IF(Y$3=0,"n.b.",INDEX(SRC_Woningetalage!$A$1:$ZZ$501,$A221,Y$3)))</f>
        <v/>
      </c>
      <c r="Z221" s="124" t="str">
        <f>IF($B221="","",IF(Z$3=0,"n.b.",INDEX(SRC_Woningetalage!$A$1:$ZZ$501,$A221,Z$3)))</f>
        <v/>
      </c>
      <c r="AA221" s="124" t="str">
        <f>IF($B221="","",IF(AA$3=0,"n.b.",INDEX(SRC_Woningetalage!$A$1:$ZZ$501,$A221,AA$3)))</f>
        <v/>
      </c>
      <c r="AB221" s="124" t="str">
        <f>IF($B221="","",IF(AB$3=0,"n.b.",INDEX(SRC_Woningetalage!$A$1:$ZZ$501,$A221,AB$3)))</f>
        <v/>
      </c>
      <c r="AC221" s="124" t="str">
        <f>IF($B221="","",IF(AC$3=0,"n.b.",INDEX(SRC_Woningetalage!$A$1:$ZZ$501,$A221,AC$3)))</f>
        <v/>
      </c>
      <c r="AD221" s="124" t="str">
        <f>IF($B221="","",IF(AD$3=0,"n.b.",INDEX(SRC_Woningetalage!$A$1:$ZZ$501,$A221,AD$3)))</f>
        <v/>
      </c>
      <c r="AE221" s="124" t="str">
        <f>IF($B221="","",IF(AE$3=0,"n.b.",INDEX(SRC_Woningetalage!$A$1:$ZZ$501,$A221,AE$3)))</f>
        <v/>
      </c>
      <c r="AF221" s="124" t="str">
        <f>IF($B221="","",IF(AF$3=0,"n.b.",INDEX(SRC_Woningetalage!$A$1:$ZZ$501,$A221,AF$3)))</f>
        <v/>
      </c>
      <c r="AG221" s="124" t="str">
        <f>IF($B221="","",IF(AG$3=0,"n.b.",INDEX(SRC_Woningetalage!$A$1:$ZZ$501,$A221,AG$3)))</f>
        <v/>
      </c>
      <c r="AH221" s="124" t="str">
        <f>IF($B221="","",IF(AH$3=0,"n.b.",INDEX(SRC_Woningetalage!$A$1:$ZZ$501,$A221,AH$3)))</f>
        <v/>
      </c>
      <c r="AI221" s="124" t="str">
        <f>IF($B221="","",IF(AI$3=0,"n.b.",INDEX(SRC_Woningetalage!$A$1:$ZZ$501,$A221,AI$3)))</f>
        <v/>
      </c>
      <c r="AJ221" s="124" t="str">
        <f>IF($B221="","",IF(AJ$3=0,"n.b.",INDEX(SRC_Woningetalage!$A$1:$ZZ$501,$A221,AJ$3)))</f>
        <v/>
      </c>
      <c r="AK221" s="124" t="str">
        <f>IF($B221="","",IF(AK$3=0,"n.b.",INDEX(SRC_Woningetalage!$A$1:$ZZ$501,$A221,AK$3)))</f>
        <v/>
      </c>
      <c r="AL221" s="124" t="str">
        <f>IF($B221="","",IF(AL$3=0,"n.b.",INDEX(SRC_Woningetalage!$A$1:$ZZ$501,$A221,AL$3)))</f>
        <v/>
      </c>
      <c r="AM221" s="124" t="str">
        <f>IF($B221="","",IF(AM$3=0,"n.b.",INDEX(SRC_Woningetalage!$A$1:$ZZ$501,$A221,AM$3)))</f>
        <v/>
      </c>
      <c r="AN221" s="124" t="str">
        <f>IF($B221="","",IF(AN$3=0,"n.b.",INDEX(SRC_Woningetalage!$A$1:$ZZ$501,$A221,AN$3)))</f>
        <v/>
      </c>
      <c r="AO221" s="124" t="str">
        <f>IF($B221="","",IF(AO$3=0,"n.b.",INDEX(SRC_Woningetalage!$A$1:$ZZ$501,$A221,AO$3)))</f>
        <v/>
      </c>
      <c r="AP221" s="124" t="str">
        <f>IF($B221="","",IF(AP$3=0,"n.b.",INDEX(SRC_Woningetalage!$A$1:$ZZ$501,$A221,AP$3)))</f>
        <v/>
      </c>
      <c r="AQ221" s="124" t="str">
        <f>IF($B221="","",IF(AQ$3=0,"n.b.",INDEX(SRC_Woningetalage!$A$1:$ZZ$501,$A221,AQ$3)))</f>
        <v/>
      </c>
      <c r="AR221" s="124" t="str">
        <f>IF($B221="","",IF(AR$3=0,"n.b.",INDEX(SRC_Woningetalage!$A$1:$ZZ$501,$A221,AR$3)))</f>
        <v/>
      </c>
      <c r="AS221" s="124" t="str">
        <f>IF($B221="","",IF(AS$3=0,"n.b.",INDEX(SRC_Woningetalage!$A$1:$ZZ$501,$A221,AS$3)))</f>
        <v/>
      </c>
      <c r="AT221" s="124" t="str">
        <f>IF($B221="","",IF(AT$3=0,"n.b.",INDEX(SRC_Woningetalage!$A$1:$ZZ$501,$A221,AT$3)))</f>
        <v/>
      </c>
      <c r="AU221" s="124" t="str">
        <f>IF($B221="","",IF(AU$3=0,"n.b.",INDEX(SRC_Woningetalage!$A$1:$ZZ$501,$A221,AU$3)))</f>
        <v/>
      </c>
      <c r="AV221" s="124" t="str">
        <f>IF($B221="","",IF(AV$3=0,"n.b.",INDEX(SRC_Woningetalage!$A$1:$ZZ$501,$A221,AV$3)))</f>
        <v/>
      </c>
      <c r="AW221" s="124" t="str">
        <f>IF($B221="","",IF(AW$3=0,"n.b.",INDEX(SRC_Woningetalage!$A$1:$ZZ$501,$A221,AW$3)))</f>
        <v/>
      </c>
      <c r="AX221" s="124" t="str">
        <f>IF($B221="","",IF(AX$3=0,"n.b.",INDEX(SRC_Woningetalage!$A$1:$ZZ$501,$A221,AX$3)))</f>
        <v/>
      </c>
      <c r="AY221" s="124" t="str">
        <f>IF($B221="","",IF(AY$3=0,"n.b.",INDEX(SRC_Woningetalage!$A$1:$ZZ$501,$A221,AY$3)))</f>
        <v/>
      </c>
      <c r="AZ221" s="124" t="str">
        <f>IF($B221="","",IF(AZ$3=0,"n.b.",INDEX(SRC_Woningetalage!$A$1:$ZZ$501,$A221,AZ$3)))</f>
        <v/>
      </c>
      <c r="BA221" s="124" t="str">
        <f>IF($B221="","",IF(BA$3=0,"n.b.",INDEX(SRC_Woningetalage!$A$1:$ZZ$501,$A221,BA$3)))</f>
        <v/>
      </c>
      <c r="BB221" s="124" t="str">
        <f>IF($B221="","",IF(BB$3=0,"n.b.",INDEX(SRC_Woningetalage!$A$1:$ZZ$501,$A221,BB$3)))</f>
        <v/>
      </c>
      <c r="BC221" s="124" t="str">
        <f>IF($B221="","",IFERROR(_xlfn.NUMBERVALUE(E221&amp;"",",","."),"n.b."))</f>
        <v/>
      </c>
      <c r="BD221" s="124" t="str">
        <f>IF($B221="","",IFERROR(_xlfn.NUMBERVALUE(M221&amp;"",",","."),"n.b."))</f>
        <v/>
      </c>
      <c r="BE221" s="124" t="str">
        <f>IF($B221="","",IFERROR(AB221+AC221+AD221,"n.b."))</f>
        <v/>
      </c>
      <c r="BF221" s="124" t="str">
        <f>IF($B221="","",IFERROR(AE221+AF221+AG221,"n.b."))</f>
        <v/>
      </c>
      <c r="BG221" s="124" t="str">
        <f>IF($B221="","",IFERROR(AH221+AI221+AJ221,"n.b."))</f>
        <v/>
      </c>
      <c r="BH221" s="124" t="str">
        <f>IF($B221="","",IFERROR(AK221+AL221+AM221,"n.b."))</f>
        <v/>
      </c>
      <c r="BI221" s="124" t="str">
        <f>IF($B221="","",IFERROR(SUMIF($AB$5:$AM$5,"&lt;="&amp;P_PeilMaand,AB221:AM221),"n.b."))</f>
        <v/>
      </c>
      <c r="BJ221" s="124" t="str">
        <f>IF($B221="","",IFERROR(SUM(AB221:AM221)-BI221,"n.b."))</f>
        <v/>
      </c>
      <c r="BK221" s="124" t="str">
        <f>IF($B221="","",IFERROR(IF(ABS(Q221-(T221+SUM(AB221:AM221)+AS221+AU221))&gt;P_Tol,1,0),1))</f>
        <v/>
      </c>
      <c r="BL221" s="124" t="str">
        <f>IF($B221="","",IFERROR(IF(ABS(AA221-(Q221-Z221))&gt;P_Tol,1,0),1))</f>
        <v/>
      </c>
      <c r="BM221" s="124" t="str">
        <f>IF($B221="","",IFERROR(IF(ABS(Z221-(T221+W221))&gt;P_Tol,1,0),1))</f>
        <v/>
      </c>
      <c r="BN221" s="124" t="str">
        <f>IF($B221="","",IFERROR(IF(ABS(W221-BI221)&gt;P_Tol,1,0),1))</f>
        <v/>
      </c>
      <c r="BO221" s="124" t="str">
        <f>IF($B221="","",IFERROR(IF(OR(ABS(R221+S221-T221)&gt;P_Tol,ABS(U221+V221-W221)&gt;P_Tol,ABS(X221+Y221-Z221)&gt;P_Tol),1,0),1))</f>
        <v/>
      </c>
      <c r="BP221" s="124" t="str">
        <f>IF($B221="","",IFERROR(IF(OR(ABS(AR221-SUM(AB221:AM221))&gt;P_Tol,ABS(AS221-(AN221+AO221+AP221+AQ221))&gt;P_Tol),1,0),1))</f>
        <v/>
      </c>
      <c r="BQ221" s="124" t="str">
        <f>IF($B221="","",IFERROR(IF(ABS(AT221)+ABS(AV221)+ABS(AW221)+ABS(AX221)+ABS(AY221)+ABS(AZ221)+ABS(BA221)+ABS(BB221)&gt;0,1,0),1))</f>
        <v/>
      </c>
      <c r="BR221" s="124" t="str">
        <f>IF($B221="","",COUNTIF(STG_ZPMW03!$B$6:$B$505,B221))</f>
        <v/>
      </c>
      <c r="BS221" s="124" t="str">
        <f>IF($B221="","",COUNTIF($B$6:$B$505,B221))</f>
        <v/>
      </c>
      <c r="BT221" s="124" t="str">
        <f>IF($B221="","",IF(BR221=0,0,IF(INDEX(STG_ZPMW03!$I$6:$I$505,MATCH(B221,STG_ZPMW03!$B$6:$B$505,0))=J221&amp;"",0,1)))</f>
        <v/>
      </c>
      <c r="BU221" s="124" t="str">
        <f>IF($B221="","",IFERROR(IF(ABS(INDEX(Mapping!$D$5:$D$104,MATCH(B221,Mapping!$A$5:$A$104,0))-Q221)&gt;P_Tol,1,0),0))</f>
        <v/>
      </c>
      <c r="BV221" s="124" t="str">
        <f>IF($B221="","",IFERROR(IF(AND(INDEX(Mapping!$G$5:$G$104,MATCH(B221,Mapping!$A$5:$A$104,0))="Nee",ABS(Q221)+ABS(Z221)+ABS(AR221)&gt;0),1,0),0))</f>
        <v/>
      </c>
      <c r="BW221" s="124" t="str">
        <f>IF($B221="","",IF(COUNTIF(Mapping!$A$5:$A$104,B221)&gt;0,1,0))</f>
        <v/>
      </c>
      <c r="BX221" s="124" t="str">
        <f>IF($B221="","",IF(BR221=0,COUNTIF($BR$6:BR221,0),""))</f>
        <v/>
      </c>
    </row>
    <row r="222">
      <c r="A222" s="15" t="n">
        <v>218</v>
      </c>
      <c r="B222" t="str">
        <f>IF(B$3=0,"",IF(INDEX(SRC_Woningetalage!$A$1:$ZZ$501,$A222,B$3)&amp;""="","",INDEX(SRC_Woningetalage!$A$1:$ZZ$501,$A222,B$3)&amp;""))</f>
        <v/>
      </c>
      <c r="C222" t="str">
        <f>IF($B222="","",IF(C$3=0,"n.b.",INDEX(SRC_Woningetalage!$A$1:$ZZ$501,$A222,C$3)))</f>
        <v/>
      </c>
      <c r="D222" t="str">
        <f>IF($B222="","",IF(D$3=0,"n.b.",INDEX(SRC_Woningetalage!$A$1:$ZZ$501,$A222,D$3)))</f>
        <v/>
      </c>
      <c r="E222" t="str">
        <f>IF($B222="","",IF(E$3=0,"n.b.",INDEX(SRC_Woningetalage!$A$1:$ZZ$501,$A222,E$3)))</f>
        <v/>
      </c>
      <c r="F222" t="str">
        <f>IF($B222="","",IF(F$3=0,"n.b.",INDEX(SRC_Woningetalage!$A$1:$ZZ$501,$A222,F$3)))</f>
        <v/>
      </c>
      <c r="G222" t="str">
        <f>IF($B222="","",IF(G$3=0,"n.b.",INDEX(SRC_Woningetalage!$A$1:$ZZ$501,$A222,G$3)))</f>
        <v/>
      </c>
      <c r="H222" t="str">
        <f>IF($B222="","",IF(H$3=0,"n.b.",INDEX(SRC_Woningetalage!$A$1:$ZZ$501,$A222,H$3)))</f>
        <v/>
      </c>
      <c r="I222" t="str">
        <f>IF($B222="","",IF(I$3=0,"n.b.",INDEX(SRC_Woningetalage!$A$1:$ZZ$501,$A222,I$3)))</f>
        <v/>
      </c>
      <c r="J222" t="str">
        <f>IF($B222="","",IF(J$3=0,"n.b.",INDEX(SRC_Woningetalage!$A$1:$ZZ$501,$A222,J$3)))</f>
        <v/>
      </c>
      <c r="K222" t="str">
        <f>IF($B222="","",IF(K$3=0,"n.b.",INDEX(SRC_Woningetalage!$A$1:$ZZ$501,$A222,K$3)))</f>
        <v/>
      </c>
      <c r="L222" t="str">
        <f>IF($B222="","",IF(L$3=0,"n.b.",INDEX(SRC_Woningetalage!$A$1:$ZZ$501,$A222,L$3)))</f>
        <v/>
      </c>
      <c r="M222" t="str">
        <f>IF($B222="","",IF(M$3=0,"n.b.",INDEX(SRC_Woningetalage!$A$1:$ZZ$501,$A222,M$3)))</f>
        <v/>
      </c>
      <c r="N222" t="str">
        <f>IF($B222="","",IF(N$3=0,"n.b.",INDEX(SRC_Woningetalage!$A$1:$ZZ$501,$A222,N$3)))</f>
        <v/>
      </c>
      <c r="O222" t="str">
        <f>IF($B222="","",IF(O$3=0,"n.b.",INDEX(SRC_Woningetalage!$A$1:$ZZ$501,$A222,O$3)))</f>
        <v/>
      </c>
      <c r="P222" t="str">
        <f>IF($B222="","",IF(P$3=0,"n.b.",INDEX(SRC_Woningetalage!$A$1:$ZZ$501,$A222,P$3)))</f>
        <v/>
      </c>
      <c r="Q222" s="124" t="str">
        <f>IF($B222="","",IF(Q$3=0,"n.b.",INDEX(SRC_Woningetalage!$A$1:$ZZ$501,$A222,Q$3)))</f>
        <v/>
      </c>
      <c r="R222" s="124" t="str">
        <f>IF($B222="","",IF(R$3=0,"n.b.",INDEX(SRC_Woningetalage!$A$1:$ZZ$501,$A222,R$3)))</f>
        <v/>
      </c>
      <c r="S222" s="124" t="str">
        <f>IF($B222="","",IF(S$3=0,"n.b.",INDEX(SRC_Woningetalage!$A$1:$ZZ$501,$A222,S$3)))</f>
        <v/>
      </c>
      <c r="T222" s="124" t="str">
        <f>IF($B222="","",IF(T$3=0,"n.b.",INDEX(SRC_Woningetalage!$A$1:$ZZ$501,$A222,T$3)))</f>
        <v/>
      </c>
      <c r="U222" s="124" t="str">
        <f>IF($B222="","",IF(U$3=0,"n.b.",INDEX(SRC_Woningetalage!$A$1:$ZZ$501,$A222,U$3)))</f>
        <v/>
      </c>
      <c r="V222" s="124" t="str">
        <f>IF($B222="","",IF(V$3=0,"n.b.",INDEX(SRC_Woningetalage!$A$1:$ZZ$501,$A222,V$3)))</f>
        <v/>
      </c>
      <c r="W222" s="124" t="str">
        <f>IF($B222="","",IF(W$3=0,"n.b.",INDEX(SRC_Woningetalage!$A$1:$ZZ$501,$A222,W$3)))</f>
        <v/>
      </c>
      <c r="X222" s="124" t="str">
        <f>IF($B222="","",IF(X$3=0,"n.b.",INDEX(SRC_Woningetalage!$A$1:$ZZ$501,$A222,X$3)))</f>
        <v/>
      </c>
      <c r="Y222" s="124" t="str">
        <f>IF($B222="","",IF(Y$3=0,"n.b.",INDEX(SRC_Woningetalage!$A$1:$ZZ$501,$A222,Y$3)))</f>
        <v/>
      </c>
      <c r="Z222" s="124" t="str">
        <f>IF($B222="","",IF(Z$3=0,"n.b.",INDEX(SRC_Woningetalage!$A$1:$ZZ$501,$A222,Z$3)))</f>
        <v/>
      </c>
      <c r="AA222" s="124" t="str">
        <f>IF($B222="","",IF(AA$3=0,"n.b.",INDEX(SRC_Woningetalage!$A$1:$ZZ$501,$A222,AA$3)))</f>
        <v/>
      </c>
      <c r="AB222" s="124" t="str">
        <f>IF($B222="","",IF(AB$3=0,"n.b.",INDEX(SRC_Woningetalage!$A$1:$ZZ$501,$A222,AB$3)))</f>
        <v/>
      </c>
      <c r="AC222" s="124" t="str">
        <f>IF($B222="","",IF(AC$3=0,"n.b.",INDEX(SRC_Woningetalage!$A$1:$ZZ$501,$A222,AC$3)))</f>
        <v/>
      </c>
      <c r="AD222" s="124" t="str">
        <f>IF($B222="","",IF(AD$3=0,"n.b.",INDEX(SRC_Woningetalage!$A$1:$ZZ$501,$A222,AD$3)))</f>
        <v/>
      </c>
      <c r="AE222" s="124" t="str">
        <f>IF($B222="","",IF(AE$3=0,"n.b.",INDEX(SRC_Woningetalage!$A$1:$ZZ$501,$A222,AE$3)))</f>
        <v/>
      </c>
      <c r="AF222" s="124" t="str">
        <f>IF($B222="","",IF(AF$3=0,"n.b.",INDEX(SRC_Woningetalage!$A$1:$ZZ$501,$A222,AF$3)))</f>
        <v/>
      </c>
      <c r="AG222" s="124" t="str">
        <f>IF($B222="","",IF(AG$3=0,"n.b.",INDEX(SRC_Woningetalage!$A$1:$ZZ$501,$A222,AG$3)))</f>
        <v/>
      </c>
      <c r="AH222" s="124" t="str">
        <f>IF($B222="","",IF(AH$3=0,"n.b.",INDEX(SRC_Woningetalage!$A$1:$ZZ$501,$A222,AH$3)))</f>
        <v/>
      </c>
      <c r="AI222" s="124" t="str">
        <f>IF($B222="","",IF(AI$3=0,"n.b.",INDEX(SRC_Woningetalage!$A$1:$ZZ$501,$A222,AI$3)))</f>
        <v/>
      </c>
      <c r="AJ222" s="124" t="str">
        <f>IF($B222="","",IF(AJ$3=0,"n.b.",INDEX(SRC_Woningetalage!$A$1:$ZZ$501,$A222,AJ$3)))</f>
        <v/>
      </c>
      <c r="AK222" s="124" t="str">
        <f>IF($B222="","",IF(AK$3=0,"n.b.",INDEX(SRC_Woningetalage!$A$1:$ZZ$501,$A222,AK$3)))</f>
        <v/>
      </c>
      <c r="AL222" s="124" t="str">
        <f>IF($B222="","",IF(AL$3=0,"n.b.",INDEX(SRC_Woningetalage!$A$1:$ZZ$501,$A222,AL$3)))</f>
        <v/>
      </c>
      <c r="AM222" s="124" t="str">
        <f>IF($B222="","",IF(AM$3=0,"n.b.",INDEX(SRC_Woningetalage!$A$1:$ZZ$501,$A222,AM$3)))</f>
        <v/>
      </c>
      <c r="AN222" s="124" t="str">
        <f>IF($B222="","",IF(AN$3=0,"n.b.",INDEX(SRC_Woningetalage!$A$1:$ZZ$501,$A222,AN$3)))</f>
        <v/>
      </c>
      <c r="AO222" s="124" t="str">
        <f>IF($B222="","",IF(AO$3=0,"n.b.",INDEX(SRC_Woningetalage!$A$1:$ZZ$501,$A222,AO$3)))</f>
        <v/>
      </c>
      <c r="AP222" s="124" t="str">
        <f>IF($B222="","",IF(AP$3=0,"n.b.",INDEX(SRC_Woningetalage!$A$1:$ZZ$501,$A222,AP$3)))</f>
        <v/>
      </c>
      <c r="AQ222" s="124" t="str">
        <f>IF($B222="","",IF(AQ$3=0,"n.b.",INDEX(SRC_Woningetalage!$A$1:$ZZ$501,$A222,AQ$3)))</f>
        <v/>
      </c>
      <c r="AR222" s="124" t="str">
        <f>IF($B222="","",IF(AR$3=0,"n.b.",INDEX(SRC_Woningetalage!$A$1:$ZZ$501,$A222,AR$3)))</f>
        <v/>
      </c>
      <c r="AS222" s="124" t="str">
        <f>IF($B222="","",IF(AS$3=0,"n.b.",INDEX(SRC_Woningetalage!$A$1:$ZZ$501,$A222,AS$3)))</f>
        <v/>
      </c>
      <c r="AT222" s="124" t="str">
        <f>IF($B222="","",IF(AT$3=0,"n.b.",INDEX(SRC_Woningetalage!$A$1:$ZZ$501,$A222,AT$3)))</f>
        <v/>
      </c>
      <c r="AU222" s="124" t="str">
        <f>IF($B222="","",IF(AU$3=0,"n.b.",INDEX(SRC_Woningetalage!$A$1:$ZZ$501,$A222,AU$3)))</f>
        <v/>
      </c>
      <c r="AV222" s="124" t="str">
        <f>IF($B222="","",IF(AV$3=0,"n.b.",INDEX(SRC_Woningetalage!$A$1:$ZZ$501,$A222,AV$3)))</f>
        <v/>
      </c>
      <c r="AW222" s="124" t="str">
        <f>IF($B222="","",IF(AW$3=0,"n.b.",INDEX(SRC_Woningetalage!$A$1:$ZZ$501,$A222,AW$3)))</f>
        <v/>
      </c>
      <c r="AX222" s="124" t="str">
        <f>IF($B222="","",IF(AX$3=0,"n.b.",INDEX(SRC_Woningetalage!$A$1:$ZZ$501,$A222,AX$3)))</f>
        <v/>
      </c>
      <c r="AY222" s="124" t="str">
        <f>IF($B222="","",IF(AY$3=0,"n.b.",INDEX(SRC_Woningetalage!$A$1:$ZZ$501,$A222,AY$3)))</f>
        <v/>
      </c>
      <c r="AZ222" s="124" t="str">
        <f>IF($B222="","",IF(AZ$3=0,"n.b.",INDEX(SRC_Woningetalage!$A$1:$ZZ$501,$A222,AZ$3)))</f>
        <v/>
      </c>
      <c r="BA222" s="124" t="str">
        <f>IF($B222="","",IF(BA$3=0,"n.b.",INDEX(SRC_Woningetalage!$A$1:$ZZ$501,$A222,BA$3)))</f>
        <v/>
      </c>
      <c r="BB222" s="124" t="str">
        <f>IF($B222="","",IF(BB$3=0,"n.b.",INDEX(SRC_Woningetalage!$A$1:$ZZ$501,$A222,BB$3)))</f>
        <v/>
      </c>
      <c r="BC222" s="124" t="str">
        <f>IF($B222="","",IFERROR(_xlfn.NUMBERVALUE(E222&amp;"",",","."),"n.b."))</f>
        <v/>
      </c>
      <c r="BD222" s="124" t="str">
        <f>IF($B222="","",IFERROR(_xlfn.NUMBERVALUE(M222&amp;"",",","."),"n.b."))</f>
        <v/>
      </c>
      <c r="BE222" s="124" t="str">
        <f>IF($B222="","",IFERROR(AB222+AC222+AD222,"n.b."))</f>
        <v/>
      </c>
      <c r="BF222" s="124" t="str">
        <f>IF($B222="","",IFERROR(AE222+AF222+AG222,"n.b."))</f>
        <v/>
      </c>
      <c r="BG222" s="124" t="str">
        <f>IF($B222="","",IFERROR(AH222+AI222+AJ222,"n.b."))</f>
        <v/>
      </c>
      <c r="BH222" s="124" t="str">
        <f>IF($B222="","",IFERROR(AK222+AL222+AM222,"n.b."))</f>
        <v/>
      </c>
      <c r="BI222" s="124" t="str">
        <f>IF($B222="","",IFERROR(SUMIF($AB$5:$AM$5,"&lt;="&amp;P_PeilMaand,AB222:AM222),"n.b."))</f>
        <v/>
      </c>
      <c r="BJ222" s="124" t="str">
        <f>IF($B222="","",IFERROR(SUM(AB222:AM222)-BI222,"n.b."))</f>
        <v/>
      </c>
      <c r="BK222" s="124" t="str">
        <f>IF($B222="","",IFERROR(IF(ABS(Q222-(T222+SUM(AB222:AM222)+AS222+AU222))&gt;P_Tol,1,0),1))</f>
        <v/>
      </c>
      <c r="BL222" s="124" t="str">
        <f>IF($B222="","",IFERROR(IF(ABS(AA222-(Q222-Z222))&gt;P_Tol,1,0),1))</f>
        <v/>
      </c>
      <c r="BM222" s="124" t="str">
        <f>IF($B222="","",IFERROR(IF(ABS(Z222-(T222+W222))&gt;P_Tol,1,0),1))</f>
        <v/>
      </c>
      <c r="BN222" s="124" t="str">
        <f>IF($B222="","",IFERROR(IF(ABS(W222-BI222)&gt;P_Tol,1,0),1))</f>
        <v/>
      </c>
      <c r="BO222" s="124" t="str">
        <f>IF($B222="","",IFERROR(IF(OR(ABS(R222+S222-T222)&gt;P_Tol,ABS(U222+V222-W222)&gt;P_Tol,ABS(X222+Y222-Z222)&gt;P_Tol),1,0),1))</f>
        <v/>
      </c>
      <c r="BP222" s="124" t="str">
        <f>IF($B222="","",IFERROR(IF(OR(ABS(AR222-SUM(AB222:AM222))&gt;P_Tol,ABS(AS222-(AN222+AO222+AP222+AQ222))&gt;P_Tol),1,0),1))</f>
        <v/>
      </c>
      <c r="BQ222" s="124" t="str">
        <f>IF($B222="","",IFERROR(IF(ABS(AT222)+ABS(AV222)+ABS(AW222)+ABS(AX222)+ABS(AY222)+ABS(AZ222)+ABS(BA222)+ABS(BB222)&gt;0,1,0),1))</f>
        <v/>
      </c>
      <c r="BR222" s="124" t="str">
        <f>IF($B222="","",COUNTIF(STG_ZPMW03!$B$6:$B$505,B222))</f>
        <v/>
      </c>
      <c r="BS222" s="124" t="str">
        <f>IF($B222="","",COUNTIF($B$6:$B$505,B222))</f>
        <v/>
      </c>
      <c r="BT222" s="124" t="str">
        <f>IF($B222="","",IF(BR222=0,0,IF(INDEX(STG_ZPMW03!$I$6:$I$505,MATCH(B222,STG_ZPMW03!$B$6:$B$505,0))=J222&amp;"",0,1)))</f>
        <v/>
      </c>
      <c r="BU222" s="124" t="str">
        <f>IF($B222="","",IFERROR(IF(ABS(INDEX(Mapping!$D$5:$D$104,MATCH(B222,Mapping!$A$5:$A$104,0))-Q222)&gt;P_Tol,1,0),0))</f>
        <v/>
      </c>
      <c r="BV222" s="124" t="str">
        <f>IF($B222="","",IFERROR(IF(AND(INDEX(Mapping!$G$5:$G$104,MATCH(B222,Mapping!$A$5:$A$104,0))="Nee",ABS(Q222)+ABS(Z222)+ABS(AR222)&gt;0),1,0),0))</f>
        <v/>
      </c>
      <c r="BW222" s="124" t="str">
        <f>IF($B222="","",IF(COUNTIF(Mapping!$A$5:$A$104,B222)&gt;0,1,0))</f>
        <v/>
      </c>
      <c r="BX222" s="124" t="str">
        <f>IF($B222="","",IF(BR222=0,COUNTIF($BR$6:BR222,0),""))</f>
        <v/>
      </c>
    </row>
    <row r="223">
      <c r="A223" s="15" t="n">
        <v>219</v>
      </c>
      <c r="B223" t="str">
        <f>IF(B$3=0,"",IF(INDEX(SRC_Woningetalage!$A$1:$ZZ$501,$A223,B$3)&amp;""="","",INDEX(SRC_Woningetalage!$A$1:$ZZ$501,$A223,B$3)&amp;""))</f>
        <v/>
      </c>
      <c r="C223" t="str">
        <f>IF($B223="","",IF(C$3=0,"n.b.",INDEX(SRC_Woningetalage!$A$1:$ZZ$501,$A223,C$3)))</f>
        <v/>
      </c>
      <c r="D223" t="str">
        <f>IF($B223="","",IF(D$3=0,"n.b.",INDEX(SRC_Woningetalage!$A$1:$ZZ$501,$A223,D$3)))</f>
        <v/>
      </c>
      <c r="E223" t="str">
        <f>IF($B223="","",IF(E$3=0,"n.b.",INDEX(SRC_Woningetalage!$A$1:$ZZ$501,$A223,E$3)))</f>
        <v/>
      </c>
      <c r="F223" t="str">
        <f>IF($B223="","",IF(F$3=0,"n.b.",INDEX(SRC_Woningetalage!$A$1:$ZZ$501,$A223,F$3)))</f>
        <v/>
      </c>
      <c r="G223" t="str">
        <f>IF($B223="","",IF(G$3=0,"n.b.",INDEX(SRC_Woningetalage!$A$1:$ZZ$501,$A223,G$3)))</f>
        <v/>
      </c>
      <c r="H223" t="str">
        <f>IF($B223="","",IF(H$3=0,"n.b.",INDEX(SRC_Woningetalage!$A$1:$ZZ$501,$A223,H$3)))</f>
        <v/>
      </c>
      <c r="I223" t="str">
        <f>IF($B223="","",IF(I$3=0,"n.b.",INDEX(SRC_Woningetalage!$A$1:$ZZ$501,$A223,I$3)))</f>
        <v/>
      </c>
      <c r="J223" t="str">
        <f>IF($B223="","",IF(J$3=0,"n.b.",INDEX(SRC_Woningetalage!$A$1:$ZZ$501,$A223,J$3)))</f>
        <v/>
      </c>
      <c r="K223" t="str">
        <f>IF($B223="","",IF(K$3=0,"n.b.",INDEX(SRC_Woningetalage!$A$1:$ZZ$501,$A223,K$3)))</f>
        <v/>
      </c>
      <c r="L223" t="str">
        <f>IF($B223="","",IF(L$3=0,"n.b.",INDEX(SRC_Woningetalage!$A$1:$ZZ$501,$A223,L$3)))</f>
        <v/>
      </c>
      <c r="M223" t="str">
        <f>IF($B223="","",IF(M$3=0,"n.b.",INDEX(SRC_Woningetalage!$A$1:$ZZ$501,$A223,M$3)))</f>
        <v/>
      </c>
      <c r="N223" t="str">
        <f>IF($B223="","",IF(N$3=0,"n.b.",INDEX(SRC_Woningetalage!$A$1:$ZZ$501,$A223,N$3)))</f>
        <v/>
      </c>
      <c r="O223" t="str">
        <f>IF($B223="","",IF(O$3=0,"n.b.",INDEX(SRC_Woningetalage!$A$1:$ZZ$501,$A223,O$3)))</f>
        <v/>
      </c>
      <c r="P223" t="str">
        <f>IF($B223="","",IF(P$3=0,"n.b.",INDEX(SRC_Woningetalage!$A$1:$ZZ$501,$A223,P$3)))</f>
        <v/>
      </c>
      <c r="Q223" s="124" t="str">
        <f>IF($B223="","",IF(Q$3=0,"n.b.",INDEX(SRC_Woningetalage!$A$1:$ZZ$501,$A223,Q$3)))</f>
        <v/>
      </c>
      <c r="R223" s="124" t="str">
        <f>IF($B223="","",IF(R$3=0,"n.b.",INDEX(SRC_Woningetalage!$A$1:$ZZ$501,$A223,R$3)))</f>
        <v/>
      </c>
      <c r="S223" s="124" t="str">
        <f>IF($B223="","",IF(S$3=0,"n.b.",INDEX(SRC_Woningetalage!$A$1:$ZZ$501,$A223,S$3)))</f>
        <v/>
      </c>
      <c r="T223" s="124" t="str">
        <f>IF($B223="","",IF(T$3=0,"n.b.",INDEX(SRC_Woningetalage!$A$1:$ZZ$501,$A223,T$3)))</f>
        <v/>
      </c>
      <c r="U223" s="124" t="str">
        <f>IF($B223="","",IF(U$3=0,"n.b.",INDEX(SRC_Woningetalage!$A$1:$ZZ$501,$A223,U$3)))</f>
        <v/>
      </c>
      <c r="V223" s="124" t="str">
        <f>IF($B223="","",IF(V$3=0,"n.b.",INDEX(SRC_Woningetalage!$A$1:$ZZ$501,$A223,V$3)))</f>
        <v/>
      </c>
      <c r="W223" s="124" t="str">
        <f>IF($B223="","",IF(W$3=0,"n.b.",INDEX(SRC_Woningetalage!$A$1:$ZZ$501,$A223,W$3)))</f>
        <v/>
      </c>
      <c r="X223" s="124" t="str">
        <f>IF($B223="","",IF(X$3=0,"n.b.",INDEX(SRC_Woningetalage!$A$1:$ZZ$501,$A223,X$3)))</f>
        <v/>
      </c>
      <c r="Y223" s="124" t="str">
        <f>IF($B223="","",IF(Y$3=0,"n.b.",INDEX(SRC_Woningetalage!$A$1:$ZZ$501,$A223,Y$3)))</f>
        <v/>
      </c>
      <c r="Z223" s="124" t="str">
        <f>IF($B223="","",IF(Z$3=0,"n.b.",INDEX(SRC_Woningetalage!$A$1:$ZZ$501,$A223,Z$3)))</f>
        <v/>
      </c>
      <c r="AA223" s="124" t="str">
        <f>IF($B223="","",IF(AA$3=0,"n.b.",INDEX(SRC_Woningetalage!$A$1:$ZZ$501,$A223,AA$3)))</f>
        <v/>
      </c>
      <c r="AB223" s="124" t="str">
        <f>IF($B223="","",IF(AB$3=0,"n.b.",INDEX(SRC_Woningetalage!$A$1:$ZZ$501,$A223,AB$3)))</f>
        <v/>
      </c>
      <c r="AC223" s="124" t="str">
        <f>IF($B223="","",IF(AC$3=0,"n.b.",INDEX(SRC_Woningetalage!$A$1:$ZZ$501,$A223,AC$3)))</f>
        <v/>
      </c>
      <c r="AD223" s="124" t="str">
        <f>IF($B223="","",IF(AD$3=0,"n.b.",INDEX(SRC_Woningetalage!$A$1:$ZZ$501,$A223,AD$3)))</f>
        <v/>
      </c>
      <c r="AE223" s="124" t="str">
        <f>IF($B223="","",IF(AE$3=0,"n.b.",INDEX(SRC_Woningetalage!$A$1:$ZZ$501,$A223,AE$3)))</f>
        <v/>
      </c>
      <c r="AF223" s="124" t="str">
        <f>IF($B223="","",IF(AF$3=0,"n.b.",INDEX(SRC_Woningetalage!$A$1:$ZZ$501,$A223,AF$3)))</f>
        <v/>
      </c>
      <c r="AG223" s="124" t="str">
        <f>IF($B223="","",IF(AG$3=0,"n.b.",INDEX(SRC_Woningetalage!$A$1:$ZZ$501,$A223,AG$3)))</f>
        <v/>
      </c>
      <c r="AH223" s="124" t="str">
        <f>IF($B223="","",IF(AH$3=0,"n.b.",INDEX(SRC_Woningetalage!$A$1:$ZZ$501,$A223,AH$3)))</f>
        <v/>
      </c>
      <c r="AI223" s="124" t="str">
        <f>IF($B223="","",IF(AI$3=0,"n.b.",INDEX(SRC_Woningetalage!$A$1:$ZZ$501,$A223,AI$3)))</f>
        <v/>
      </c>
      <c r="AJ223" s="124" t="str">
        <f>IF($B223="","",IF(AJ$3=0,"n.b.",INDEX(SRC_Woningetalage!$A$1:$ZZ$501,$A223,AJ$3)))</f>
        <v/>
      </c>
      <c r="AK223" s="124" t="str">
        <f>IF($B223="","",IF(AK$3=0,"n.b.",INDEX(SRC_Woningetalage!$A$1:$ZZ$501,$A223,AK$3)))</f>
        <v/>
      </c>
      <c r="AL223" s="124" t="str">
        <f>IF($B223="","",IF(AL$3=0,"n.b.",INDEX(SRC_Woningetalage!$A$1:$ZZ$501,$A223,AL$3)))</f>
        <v/>
      </c>
      <c r="AM223" s="124" t="str">
        <f>IF($B223="","",IF(AM$3=0,"n.b.",INDEX(SRC_Woningetalage!$A$1:$ZZ$501,$A223,AM$3)))</f>
        <v/>
      </c>
      <c r="AN223" s="124" t="str">
        <f>IF($B223="","",IF(AN$3=0,"n.b.",INDEX(SRC_Woningetalage!$A$1:$ZZ$501,$A223,AN$3)))</f>
        <v/>
      </c>
      <c r="AO223" s="124" t="str">
        <f>IF($B223="","",IF(AO$3=0,"n.b.",INDEX(SRC_Woningetalage!$A$1:$ZZ$501,$A223,AO$3)))</f>
        <v/>
      </c>
      <c r="AP223" s="124" t="str">
        <f>IF($B223="","",IF(AP$3=0,"n.b.",INDEX(SRC_Woningetalage!$A$1:$ZZ$501,$A223,AP$3)))</f>
        <v/>
      </c>
      <c r="AQ223" s="124" t="str">
        <f>IF($B223="","",IF(AQ$3=0,"n.b.",INDEX(SRC_Woningetalage!$A$1:$ZZ$501,$A223,AQ$3)))</f>
        <v/>
      </c>
      <c r="AR223" s="124" t="str">
        <f>IF($B223="","",IF(AR$3=0,"n.b.",INDEX(SRC_Woningetalage!$A$1:$ZZ$501,$A223,AR$3)))</f>
        <v/>
      </c>
      <c r="AS223" s="124" t="str">
        <f>IF($B223="","",IF(AS$3=0,"n.b.",INDEX(SRC_Woningetalage!$A$1:$ZZ$501,$A223,AS$3)))</f>
        <v/>
      </c>
      <c r="AT223" s="124" t="str">
        <f>IF($B223="","",IF(AT$3=0,"n.b.",INDEX(SRC_Woningetalage!$A$1:$ZZ$501,$A223,AT$3)))</f>
        <v/>
      </c>
      <c r="AU223" s="124" t="str">
        <f>IF($B223="","",IF(AU$3=0,"n.b.",INDEX(SRC_Woningetalage!$A$1:$ZZ$501,$A223,AU$3)))</f>
        <v/>
      </c>
      <c r="AV223" s="124" t="str">
        <f>IF($B223="","",IF(AV$3=0,"n.b.",INDEX(SRC_Woningetalage!$A$1:$ZZ$501,$A223,AV$3)))</f>
        <v/>
      </c>
      <c r="AW223" s="124" t="str">
        <f>IF($B223="","",IF(AW$3=0,"n.b.",INDEX(SRC_Woningetalage!$A$1:$ZZ$501,$A223,AW$3)))</f>
        <v/>
      </c>
      <c r="AX223" s="124" t="str">
        <f>IF($B223="","",IF(AX$3=0,"n.b.",INDEX(SRC_Woningetalage!$A$1:$ZZ$501,$A223,AX$3)))</f>
        <v/>
      </c>
      <c r="AY223" s="124" t="str">
        <f>IF($B223="","",IF(AY$3=0,"n.b.",INDEX(SRC_Woningetalage!$A$1:$ZZ$501,$A223,AY$3)))</f>
        <v/>
      </c>
      <c r="AZ223" s="124" t="str">
        <f>IF($B223="","",IF(AZ$3=0,"n.b.",INDEX(SRC_Woningetalage!$A$1:$ZZ$501,$A223,AZ$3)))</f>
        <v/>
      </c>
      <c r="BA223" s="124" t="str">
        <f>IF($B223="","",IF(BA$3=0,"n.b.",INDEX(SRC_Woningetalage!$A$1:$ZZ$501,$A223,BA$3)))</f>
        <v/>
      </c>
      <c r="BB223" s="124" t="str">
        <f>IF($B223="","",IF(BB$3=0,"n.b.",INDEX(SRC_Woningetalage!$A$1:$ZZ$501,$A223,BB$3)))</f>
        <v/>
      </c>
      <c r="BC223" s="124" t="str">
        <f>IF($B223="","",IFERROR(_xlfn.NUMBERVALUE(E223&amp;"",",","."),"n.b."))</f>
        <v/>
      </c>
      <c r="BD223" s="124" t="str">
        <f>IF($B223="","",IFERROR(_xlfn.NUMBERVALUE(M223&amp;"",",","."),"n.b."))</f>
        <v/>
      </c>
      <c r="BE223" s="124" t="str">
        <f>IF($B223="","",IFERROR(AB223+AC223+AD223,"n.b."))</f>
        <v/>
      </c>
      <c r="BF223" s="124" t="str">
        <f>IF($B223="","",IFERROR(AE223+AF223+AG223,"n.b."))</f>
        <v/>
      </c>
      <c r="BG223" s="124" t="str">
        <f>IF($B223="","",IFERROR(AH223+AI223+AJ223,"n.b."))</f>
        <v/>
      </c>
      <c r="BH223" s="124" t="str">
        <f>IF($B223="","",IFERROR(AK223+AL223+AM223,"n.b."))</f>
        <v/>
      </c>
      <c r="BI223" s="124" t="str">
        <f>IF($B223="","",IFERROR(SUMIF($AB$5:$AM$5,"&lt;="&amp;P_PeilMaand,AB223:AM223),"n.b."))</f>
        <v/>
      </c>
      <c r="BJ223" s="124" t="str">
        <f>IF($B223="","",IFERROR(SUM(AB223:AM223)-BI223,"n.b."))</f>
        <v/>
      </c>
      <c r="BK223" s="124" t="str">
        <f>IF($B223="","",IFERROR(IF(ABS(Q223-(T223+SUM(AB223:AM223)+AS223+AU223))&gt;P_Tol,1,0),1))</f>
        <v/>
      </c>
      <c r="BL223" s="124" t="str">
        <f>IF($B223="","",IFERROR(IF(ABS(AA223-(Q223-Z223))&gt;P_Tol,1,0),1))</f>
        <v/>
      </c>
      <c r="BM223" s="124" t="str">
        <f>IF($B223="","",IFERROR(IF(ABS(Z223-(T223+W223))&gt;P_Tol,1,0),1))</f>
        <v/>
      </c>
      <c r="BN223" s="124" t="str">
        <f>IF($B223="","",IFERROR(IF(ABS(W223-BI223)&gt;P_Tol,1,0),1))</f>
        <v/>
      </c>
      <c r="BO223" s="124" t="str">
        <f>IF($B223="","",IFERROR(IF(OR(ABS(R223+S223-T223)&gt;P_Tol,ABS(U223+V223-W223)&gt;P_Tol,ABS(X223+Y223-Z223)&gt;P_Tol),1,0),1))</f>
        <v/>
      </c>
      <c r="BP223" s="124" t="str">
        <f>IF($B223="","",IFERROR(IF(OR(ABS(AR223-SUM(AB223:AM223))&gt;P_Tol,ABS(AS223-(AN223+AO223+AP223+AQ223))&gt;P_Tol),1,0),1))</f>
        <v/>
      </c>
      <c r="BQ223" s="124" t="str">
        <f>IF($B223="","",IFERROR(IF(ABS(AT223)+ABS(AV223)+ABS(AW223)+ABS(AX223)+ABS(AY223)+ABS(AZ223)+ABS(BA223)+ABS(BB223)&gt;0,1,0),1))</f>
        <v/>
      </c>
      <c r="BR223" s="124" t="str">
        <f>IF($B223="","",COUNTIF(STG_ZPMW03!$B$6:$B$505,B223))</f>
        <v/>
      </c>
      <c r="BS223" s="124" t="str">
        <f>IF($B223="","",COUNTIF($B$6:$B$505,B223))</f>
        <v/>
      </c>
      <c r="BT223" s="124" t="str">
        <f>IF($B223="","",IF(BR223=0,0,IF(INDEX(STG_ZPMW03!$I$6:$I$505,MATCH(B223,STG_ZPMW03!$B$6:$B$505,0))=J223&amp;"",0,1)))</f>
        <v/>
      </c>
      <c r="BU223" s="124" t="str">
        <f>IF($B223="","",IFERROR(IF(ABS(INDEX(Mapping!$D$5:$D$104,MATCH(B223,Mapping!$A$5:$A$104,0))-Q223)&gt;P_Tol,1,0),0))</f>
        <v/>
      </c>
      <c r="BV223" s="124" t="str">
        <f>IF($B223="","",IFERROR(IF(AND(INDEX(Mapping!$G$5:$G$104,MATCH(B223,Mapping!$A$5:$A$104,0))="Nee",ABS(Q223)+ABS(Z223)+ABS(AR223)&gt;0),1,0),0))</f>
        <v/>
      </c>
      <c r="BW223" s="124" t="str">
        <f>IF($B223="","",IF(COUNTIF(Mapping!$A$5:$A$104,B223)&gt;0,1,0))</f>
        <v/>
      </c>
      <c r="BX223" s="124" t="str">
        <f>IF($B223="","",IF(BR223=0,COUNTIF($BR$6:BR223,0),""))</f>
        <v/>
      </c>
    </row>
    <row r="224">
      <c r="A224" s="15" t="n">
        <v>220</v>
      </c>
      <c r="B224" t="str">
        <f>IF(B$3=0,"",IF(INDEX(SRC_Woningetalage!$A$1:$ZZ$501,$A224,B$3)&amp;""="","",INDEX(SRC_Woningetalage!$A$1:$ZZ$501,$A224,B$3)&amp;""))</f>
        <v/>
      </c>
      <c r="C224" t="str">
        <f>IF($B224="","",IF(C$3=0,"n.b.",INDEX(SRC_Woningetalage!$A$1:$ZZ$501,$A224,C$3)))</f>
        <v/>
      </c>
      <c r="D224" t="str">
        <f>IF($B224="","",IF(D$3=0,"n.b.",INDEX(SRC_Woningetalage!$A$1:$ZZ$501,$A224,D$3)))</f>
        <v/>
      </c>
      <c r="E224" t="str">
        <f>IF($B224="","",IF(E$3=0,"n.b.",INDEX(SRC_Woningetalage!$A$1:$ZZ$501,$A224,E$3)))</f>
        <v/>
      </c>
      <c r="F224" t="str">
        <f>IF($B224="","",IF(F$3=0,"n.b.",INDEX(SRC_Woningetalage!$A$1:$ZZ$501,$A224,F$3)))</f>
        <v/>
      </c>
      <c r="G224" t="str">
        <f>IF($B224="","",IF(G$3=0,"n.b.",INDEX(SRC_Woningetalage!$A$1:$ZZ$501,$A224,G$3)))</f>
        <v/>
      </c>
      <c r="H224" t="str">
        <f>IF($B224="","",IF(H$3=0,"n.b.",INDEX(SRC_Woningetalage!$A$1:$ZZ$501,$A224,H$3)))</f>
        <v/>
      </c>
      <c r="I224" t="str">
        <f>IF($B224="","",IF(I$3=0,"n.b.",INDEX(SRC_Woningetalage!$A$1:$ZZ$501,$A224,I$3)))</f>
        <v/>
      </c>
      <c r="J224" t="str">
        <f>IF($B224="","",IF(J$3=0,"n.b.",INDEX(SRC_Woningetalage!$A$1:$ZZ$501,$A224,J$3)))</f>
        <v/>
      </c>
      <c r="K224" t="str">
        <f>IF($B224="","",IF(K$3=0,"n.b.",INDEX(SRC_Woningetalage!$A$1:$ZZ$501,$A224,K$3)))</f>
        <v/>
      </c>
      <c r="L224" t="str">
        <f>IF($B224="","",IF(L$3=0,"n.b.",INDEX(SRC_Woningetalage!$A$1:$ZZ$501,$A224,L$3)))</f>
        <v/>
      </c>
      <c r="M224" t="str">
        <f>IF($B224="","",IF(M$3=0,"n.b.",INDEX(SRC_Woningetalage!$A$1:$ZZ$501,$A224,M$3)))</f>
        <v/>
      </c>
      <c r="N224" t="str">
        <f>IF($B224="","",IF(N$3=0,"n.b.",INDEX(SRC_Woningetalage!$A$1:$ZZ$501,$A224,N$3)))</f>
        <v/>
      </c>
      <c r="O224" t="str">
        <f>IF($B224="","",IF(O$3=0,"n.b.",INDEX(SRC_Woningetalage!$A$1:$ZZ$501,$A224,O$3)))</f>
        <v/>
      </c>
      <c r="P224" t="str">
        <f>IF($B224="","",IF(P$3=0,"n.b.",INDEX(SRC_Woningetalage!$A$1:$ZZ$501,$A224,P$3)))</f>
        <v/>
      </c>
      <c r="Q224" s="124" t="str">
        <f>IF($B224="","",IF(Q$3=0,"n.b.",INDEX(SRC_Woningetalage!$A$1:$ZZ$501,$A224,Q$3)))</f>
        <v/>
      </c>
      <c r="R224" s="124" t="str">
        <f>IF($B224="","",IF(R$3=0,"n.b.",INDEX(SRC_Woningetalage!$A$1:$ZZ$501,$A224,R$3)))</f>
        <v/>
      </c>
      <c r="S224" s="124" t="str">
        <f>IF($B224="","",IF(S$3=0,"n.b.",INDEX(SRC_Woningetalage!$A$1:$ZZ$501,$A224,S$3)))</f>
        <v/>
      </c>
      <c r="T224" s="124" t="str">
        <f>IF($B224="","",IF(T$3=0,"n.b.",INDEX(SRC_Woningetalage!$A$1:$ZZ$501,$A224,T$3)))</f>
        <v/>
      </c>
      <c r="U224" s="124" t="str">
        <f>IF($B224="","",IF(U$3=0,"n.b.",INDEX(SRC_Woningetalage!$A$1:$ZZ$501,$A224,U$3)))</f>
        <v/>
      </c>
      <c r="V224" s="124" t="str">
        <f>IF($B224="","",IF(V$3=0,"n.b.",INDEX(SRC_Woningetalage!$A$1:$ZZ$501,$A224,V$3)))</f>
        <v/>
      </c>
      <c r="W224" s="124" t="str">
        <f>IF($B224="","",IF(W$3=0,"n.b.",INDEX(SRC_Woningetalage!$A$1:$ZZ$501,$A224,W$3)))</f>
        <v/>
      </c>
      <c r="X224" s="124" t="str">
        <f>IF($B224="","",IF(X$3=0,"n.b.",INDEX(SRC_Woningetalage!$A$1:$ZZ$501,$A224,X$3)))</f>
        <v/>
      </c>
      <c r="Y224" s="124" t="str">
        <f>IF($B224="","",IF(Y$3=0,"n.b.",INDEX(SRC_Woningetalage!$A$1:$ZZ$501,$A224,Y$3)))</f>
        <v/>
      </c>
      <c r="Z224" s="124" t="str">
        <f>IF($B224="","",IF(Z$3=0,"n.b.",INDEX(SRC_Woningetalage!$A$1:$ZZ$501,$A224,Z$3)))</f>
        <v/>
      </c>
      <c r="AA224" s="124" t="str">
        <f>IF($B224="","",IF(AA$3=0,"n.b.",INDEX(SRC_Woningetalage!$A$1:$ZZ$501,$A224,AA$3)))</f>
        <v/>
      </c>
      <c r="AB224" s="124" t="str">
        <f>IF($B224="","",IF(AB$3=0,"n.b.",INDEX(SRC_Woningetalage!$A$1:$ZZ$501,$A224,AB$3)))</f>
        <v/>
      </c>
      <c r="AC224" s="124" t="str">
        <f>IF($B224="","",IF(AC$3=0,"n.b.",INDEX(SRC_Woningetalage!$A$1:$ZZ$501,$A224,AC$3)))</f>
        <v/>
      </c>
      <c r="AD224" s="124" t="str">
        <f>IF($B224="","",IF(AD$3=0,"n.b.",INDEX(SRC_Woningetalage!$A$1:$ZZ$501,$A224,AD$3)))</f>
        <v/>
      </c>
      <c r="AE224" s="124" t="str">
        <f>IF($B224="","",IF(AE$3=0,"n.b.",INDEX(SRC_Woningetalage!$A$1:$ZZ$501,$A224,AE$3)))</f>
        <v/>
      </c>
      <c r="AF224" s="124" t="str">
        <f>IF($B224="","",IF(AF$3=0,"n.b.",INDEX(SRC_Woningetalage!$A$1:$ZZ$501,$A224,AF$3)))</f>
        <v/>
      </c>
      <c r="AG224" s="124" t="str">
        <f>IF($B224="","",IF(AG$3=0,"n.b.",INDEX(SRC_Woningetalage!$A$1:$ZZ$501,$A224,AG$3)))</f>
        <v/>
      </c>
      <c r="AH224" s="124" t="str">
        <f>IF($B224="","",IF(AH$3=0,"n.b.",INDEX(SRC_Woningetalage!$A$1:$ZZ$501,$A224,AH$3)))</f>
        <v/>
      </c>
      <c r="AI224" s="124" t="str">
        <f>IF($B224="","",IF(AI$3=0,"n.b.",INDEX(SRC_Woningetalage!$A$1:$ZZ$501,$A224,AI$3)))</f>
        <v/>
      </c>
      <c r="AJ224" s="124" t="str">
        <f>IF($B224="","",IF(AJ$3=0,"n.b.",INDEX(SRC_Woningetalage!$A$1:$ZZ$501,$A224,AJ$3)))</f>
        <v/>
      </c>
      <c r="AK224" s="124" t="str">
        <f>IF($B224="","",IF(AK$3=0,"n.b.",INDEX(SRC_Woningetalage!$A$1:$ZZ$501,$A224,AK$3)))</f>
        <v/>
      </c>
      <c r="AL224" s="124" t="str">
        <f>IF($B224="","",IF(AL$3=0,"n.b.",INDEX(SRC_Woningetalage!$A$1:$ZZ$501,$A224,AL$3)))</f>
        <v/>
      </c>
      <c r="AM224" s="124" t="str">
        <f>IF($B224="","",IF(AM$3=0,"n.b.",INDEX(SRC_Woningetalage!$A$1:$ZZ$501,$A224,AM$3)))</f>
        <v/>
      </c>
      <c r="AN224" s="124" t="str">
        <f>IF($B224="","",IF(AN$3=0,"n.b.",INDEX(SRC_Woningetalage!$A$1:$ZZ$501,$A224,AN$3)))</f>
        <v/>
      </c>
      <c r="AO224" s="124" t="str">
        <f>IF($B224="","",IF(AO$3=0,"n.b.",INDEX(SRC_Woningetalage!$A$1:$ZZ$501,$A224,AO$3)))</f>
        <v/>
      </c>
      <c r="AP224" s="124" t="str">
        <f>IF($B224="","",IF(AP$3=0,"n.b.",INDEX(SRC_Woningetalage!$A$1:$ZZ$501,$A224,AP$3)))</f>
        <v/>
      </c>
      <c r="AQ224" s="124" t="str">
        <f>IF($B224="","",IF(AQ$3=0,"n.b.",INDEX(SRC_Woningetalage!$A$1:$ZZ$501,$A224,AQ$3)))</f>
        <v/>
      </c>
      <c r="AR224" s="124" t="str">
        <f>IF($B224="","",IF(AR$3=0,"n.b.",INDEX(SRC_Woningetalage!$A$1:$ZZ$501,$A224,AR$3)))</f>
        <v/>
      </c>
      <c r="AS224" s="124" t="str">
        <f>IF($B224="","",IF(AS$3=0,"n.b.",INDEX(SRC_Woningetalage!$A$1:$ZZ$501,$A224,AS$3)))</f>
        <v/>
      </c>
      <c r="AT224" s="124" t="str">
        <f>IF($B224="","",IF(AT$3=0,"n.b.",INDEX(SRC_Woningetalage!$A$1:$ZZ$501,$A224,AT$3)))</f>
        <v/>
      </c>
      <c r="AU224" s="124" t="str">
        <f>IF($B224="","",IF(AU$3=0,"n.b.",INDEX(SRC_Woningetalage!$A$1:$ZZ$501,$A224,AU$3)))</f>
        <v/>
      </c>
      <c r="AV224" s="124" t="str">
        <f>IF($B224="","",IF(AV$3=0,"n.b.",INDEX(SRC_Woningetalage!$A$1:$ZZ$501,$A224,AV$3)))</f>
        <v/>
      </c>
      <c r="AW224" s="124" t="str">
        <f>IF($B224="","",IF(AW$3=0,"n.b.",INDEX(SRC_Woningetalage!$A$1:$ZZ$501,$A224,AW$3)))</f>
        <v/>
      </c>
      <c r="AX224" s="124" t="str">
        <f>IF($B224="","",IF(AX$3=0,"n.b.",INDEX(SRC_Woningetalage!$A$1:$ZZ$501,$A224,AX$3)))</f>
        <v/>
      </c>
      <c r="AY224" s="124" t="str">
        <f>IF($B224="","",IF(AY$3=0,"n.b.",INDEX(SRC_Woningetalage!$A$1:$ZZ$501,$A224,AY$3)))</f>
        <v/>
      </c>
      <c r="AZ224" s="124" t="str">
        <f>IF($B224="","",IF(AZ$3=0,"n.b.",INDEX(SRC_Woningetalage!$A$1:$ZZ$501,$A224,AZ$3)))</f>
        <v/>
      </c>
      <c r="BA224" s="124" t="str">
        <f>IF($B224="","",IF(BA$3=0,"n.b.",INDEX(SRC_Woningetalage!$A$1:$ZZ$501,$A224,BA$3)))</f>
        <v/>
      </c>
      <c r="BB224" s="124" t="str">
        <f>IF($B224="","",IF(BB$3=0,"n.b.",INDEX(SRC_Woningetalage!$A$1:$ZZ$501,$A224,BB$3)))</f>
        <v/>
      </c>
      <c r="BC224" s="124" t="str">
        <f>IF($B224="","",IFERROR(_xlfn.NUMBERVALUE(E224&amp;"",",","."),"n.b."))</f>
        <v/>
      </c>
      <c r="BD224" s="124" t="str">
        <f>IF($B224="","",IFERROR(_xlfn.NUMBERVALUE(M224&amp;"",",","."),"n.b."))</f>
        <v/>
      </c>
      <c r="BE224" s="124" t="str">
        <f>IF($B224="","",IFERROR(AB224+AC224+AD224,"n.b."))</f>
        <v/>
      </c>
      <c r="BF224" s="124" t="str">
        <f>IF($B224="","",IFERROR(AE224+AF224+AG224,"n.b."))</f>
        <v/>
      </c>
      <c r="BG224" s="124" t="str">
        <f>IF($B224="","",IFERROR(AH224+AI224+AJ224,"n.b."))</f>
        <v/>
      </c>
      <c r="BH224" s="124" t="str">
        <f>IF($B224="","",IFERROR(AK224+AL224+AM224,"n.b."))</f>
        <v/>
      </c>
      <c r="BI224" s="124" t="str">
        <f>IF($B224="","",IFERROR(SUMIF($AB$5:$AM$5,"&lt;="&amp;P_PeilMaand,AB224:AM224),"n.b."))</f>
        <v/>
      </c>
      <c r="BJ224" s="124" t="str">
        <f>IF($B224="","",IFERROR(SUM(AB224:AM224)-BI224,"n.b."))</f>
        <v/>
      </c>
      <c r="BK224" s="124" t="str">
        <f>IF($B224="","",IFERROR(IF(ABS(Q224-(T224+SUM(AB224:AM224)+AS224+AU224))&gt;P_Tol,1,0),1))</f>
        <v/>
      </c>
      <c r="BL224" s="124" t="str">
        <f>IF($B224="","",IFERROR(IF(ABS(AA224-(Q224-Z224))&gt;P_Tol,1,0),1))</f>
        <v/>
      </c>
      <c r="BM224" s="124" t="str">
        <f>IF($B224="","",IFERROR(IF(ABS(Z224-(T224+W224))&gt;P_Tol,1,0),1))</f>
        <v/>
      </c>
      <c r="BN224" s="124" t="str">
        <f>IF($B224="","",IFERROR(IF(ABS(W224-BI224)&gt;P_Tol,1,0),1))</f>
        <v/>
      </c>
      <c r="BO224" s="124" t="str">
        <f>IF($B224="","",IFERROR(IF(OR(ABS(R224+S224-T224)&gt;P_Tol,ABS(U224+V224-W224)&gt;P_Tol,ABS(X224+Y224-Z224)&gt;P_Tol),1,0),1))</f>
        <v/>
      </c>
      <c r="BP224" s="124" t="str">
        <f>IF($B224="","",IFERROR(IF(OR(ABS(AR224-SUM(AB224:AM224))&gt;P_Tol,ABS(AS224-(AN224+AO224+AP224+AQ224))&gt;P_Tol),1,0),1))</f>
        <v/>
      </c>
      <c r="BQ224" s="124" t="str">
        <f>IF($B224="","",IFERROR(IF(ABS(AT224)+ABS(AV224)+ABS(AW224)+ABS(AX224)+ABS(AY224)+ABS(AZ224)+ABS(BA224)+ABS(BB224)&gt;0,1,0),1))</f>
        <v/>
      </c>
      <c r="BR224" s="124" t="str">
        <f>IF($B224="","",COUNTIF(STG_ZPMW03!$B$6:$B$505,B224))</f>
        <v/>
      </c>
      <c r="BS224" s="124" t="str">
        <f>IF($B224="","",COUNTIF($B$6:$B$505,B224))</f>
        <v/>
      </c>
      <c r="BT224" s="124" t="str">
        <f>IF($B224="","",IF(BR224=0,0,IF(INDEX(STG_ZPMW03!$I$6:$I$505,MATCH(B224,STG_ZPMW03!$B$6:$B$505,0))=J224&amp;"",0,1)))</f>
        <v/>
      </c>
      <c r="BU224" s="124" t="str">
        <f>IF($B224="","",IFERROR(IF(ABS(INDEX(Mapping!$D$5:$D$104,MATCH(B224,Mapping!$A$5:$A$104,0))-Q224)&gt;P_Tol,1,0),0))</f>
        <v/>
      </c>
      <c r="BV224" s="124" t="str">
        <f>IF($B224="","",IFERROR(IF(AND(INDEX(Mapping!$G$5:$G$104,MATCH(B224,Mapping!$A$5:$A$104,0))="Nee",ABS(Q224)+ABS(Z224)+ABS(AR224)&gt;0),1,0),0))</f>
        <v/>
      </c>
      <c r="BW224" s="124" t="str">
        <f>IF($B224="","",IF(COUNTIF(Mapping!$A$5:$A$104,B224)&gt;0,1,0))</f>
        <v/>
      </c>
      <c r="BX224" s="124" t="str">
        <f>IF($B224="","",IF(BR224=0,COUNTIF($BR$6:BR224,0),""))</f>
        <v/>
      </c>
    </row>
    <row r="225">
      <c r="A225" s="15" t="n">
        <v>221</v>
      </c>
      <c r="B225" t="str">
        <f>IF(B$3=0,"",IF(INDEX(SRC_Woningetalage!$A$1:$ZZ$501,$A225,B$3)&amp;""="","",INDEX(SRC_Woningetalage!$A$1:$ZZ$501,$A225,B$3)&amp;""))</f>
        <v/>
      </c>
      <c r="C225" t="str">
        <f>IF($B225="","",IF(C$3=0,"n.b.",INDEX(SRC_Woningetalage!$A$1:$ZZ$501,$A225,C$3)))</f>
        <v/>
      </c>
      <c r="D225" t="str">
        <f>IF($B225="","",IF(D$3=0,"n.b.",INDEX(SRC_Woningetalage!$A$1:$ZZ$501,$A225,D$3)))</f>
        <v/>
      </c>
      <c r="E225" t="str">
        <f>IF($B225="","",IF(E$3=0,"n.b.",INDEX(SRC_Woningetalage!$A$1:$ZZ$501,$A225,E$3)))</f>
        <v/>
      </c>
      <c r="F225" t="str">
        <f>IF($B225="","",IF(F$3=0,"n.b.",INDEX(SRC_Woningetalage!$A$1:$ZZ$501,$A225,F$3)))</f>
        <v/>
      </c>
      <c r="G225" t="str">
        <f>IF($B225="","",IF(G$3=0,"n.b.",INDEX(SRC_Woningetalage!$A$1:$ZZ$501,$A225,G$3)))</f>
        <v/>
      </c>
      <c r="H225" t="str">
        <f>IF($B225="","",IF(H$3=0,"n.b.",INDEX(SRC_Woningetalage!$A$1:$ZZ$501,$A225,H$3)))</f>
        <v/>
      </c>
      <c r="I225" t="str">
        <f>IF($B225="","",IF(I$3=0,"n.b.",INDEX(SRC_Woningetalage!$A$1:$ZZ$501,$A225,I$3)))</f>
        <v/>
      </c>
      <c r="J225" t="str">
        <f>IF($B225="","",IF(J$3=0,"n.b.",INDEX(SRC_Woningetalage!$A$1:$ZZ$501,$A225,J$3)))</f>
        <v/>
      </c>
      <c r="K225" t="str">
        <f>IF($B225="","",IF(K$3=0,"n.b.",INDEX(SRC_Woningetalage!$A$1:$ZZ$501,$A225,K$3)))</f>
        <v/>
      </c>
      <c r="L225" t="str">
        <f>IF($B225="","",IF(L$3=0,"n.b.",INDEX(SRC_Woningetalage!$A$1:$ZZ$501,$A225,L$3)))</f>
        <v/>
      </c>
      <c r="M225" t="str">
        <f>IF($B225="","",IF(M$3=0,"n.b.",INDEX(SRC_Woningetalage!$A$1:$ZZ$501,$A225,M$3)))</f>
        <v/>
      </c>
      <c r="N225" t="str">
        <f>IF($B225="","",IF(N$3=0,"n.b.",INDEX(SRC_Woningetalage!$A$1:$ZZ$501,$A225,N$3)))</f>
        <v/>
      </c>
      <c r="O225" t="str">
        <f>IF($B225="","",IF(O$3=0,"n.b.",INDEX(SRC_Woningetalage!$A$1:$ZZ$501,$A225,O$3)))</f>
        <v/>
      </c>
      <c r="P225" t="str">
        <f>IF($B225="","",IF(P$3=0,"n.b.",INDEX(SRC_Woningetalage!$A$1:$ZZ$501,$A225,P$3)))</f>
        <v/>
      </c>
      <c r="Q225" s="124" t="str">
        <f>IF($B225="","",IF(Q$3=0,"n.b.",INDEX(SRC_Woningetalage!$A$1:$ZZ$501,$A225,Q$3)))</f>
        <v/>
      </c>
      <c r="R225" s="124" t="str">
        <f>IF($B225="","",IF(R$3=0,"n.b.",INDEX(SRC_Woningetalage!$A$1:$ZZ$501,$A225,R$3)))</f>
        <v/>
      </c>
      <c r="S225" s="124" t="str">
        <f>IF($B225="","",IF(S$3=0,"n.b.",INDEX(SRC_Woningetalage!$A$1:$ZZ$501,$A225,S$3)))</f>
        <v/>
      </c>
      <c r="T225" s="124" t="str">
        <f>IF($B225="","",IF(T$3=0,"n.b.",INDEX(SRC_Woningetalage!$A$1:$ZZ$501,$A225,T$3)))</f>
        <v/>
      </c>
      <c r="U225" s="124" t="str">
        <f>IF($B225="","",IF(U$3=0,"n.b.",INDEX(SRC_Woningetalage!$A$1:$ZZ$501,$A225,U$3)))</f>
        <v/>
      </c>
      <c r="V225" s="124" t="str">
        <f>IF($B225="","",IF(V$3=0,"n.b.",INDEX(SRC_Woningetalage!$A$1:$ZZ$501,$A225,V$3)))</f>
        <v/>
      </c>
      <c r="W225" s="124" t="str">
        <f>IF($B225="","",IF(W$3=0,"n.b.",INDEX(SRC_Woningetalage!$A$1:$ZZ$501,$A225,W$3)))</f>
        <v/>
      </c>
      <c r="X225" s="124" t="str">
        <f>IF($B225="","",IF(X$3=0,"n.b.",INDEX(SRC_Woningetalage!$A$1:$ZZ$501,$A225,X$3)))</f>
        <v/>
      </c>
      <c r="Y225" s="124" t="str">
        <f>IF($B225="","",IF(Y$3=0,"n.b.",INDEX(SRC_Woningetalage!$A$1:$ZZ$501,$A225,Y$3)))</f>
        <v/>
      </c>
      <c r="Z225" s="124" t="str">
        <f>IF($B225="","",IF(Z$3=0,"n.b.",INDEX(SRC_Woningetalage!$A$1:$ZZ$501,$A225,Z$3)))</f>
        <v/>
      </c>
      <c r="AA225" s="124" t="str">
        <f>IF($B225="","",IF(AA$3=0,"n.b.",INDEX(SRC_Woningetalage!$A$1:$ZZ$501,$A225,AA$3)))</f>
        <v/>
      </c>
      <c r="AB225" s="124" t="str">
        <f>IF($B225="","",IF(AB$3=0,"n.b.",INDEX(SRC_Woningetalage!$A$1:$ZZ$501,$A225,AB$3)))</f>
        <v/>
      </c>
      <c r="AC225" s="124" t="str">
        <f>IF($B225="","",IF(AC$3=0,"n.b.",INDEX(SRC_Woningetalage!$A$1:$ZZ$501,$A225,AC$3)))</f>
        <v/>
      </c>
      <c r="AD225" s="124" t="str">
        <f>IF($B225="","",IF(AD$3=0,"n.b.",INDEX(SRC_Woningetalage!$A$1:$ZZ$501,$A225,AD$3)))</f>
        <v/>
      </c>
      <c r="AE225" s="124" t="str">
        <f>IF($B225="","",IF(AE$3=0,"n.b.",INDEX(SRC_Woningetalage!$A$1:$ZZ$501,$A225,AE$3)))</f>
        <v/>
      </c>
      <c r="AF225" s="124" t="str">
        <f>IF($B225="","",IF(AF$3=0,"n.b.",INDEX(SRC_Woningetalage!$A$1:$ZZ$501,$A225,AF$3)))</f>
        <v/>
      </c>
      <c r="AG225" s="124" t="str">
        <f>IF($B225="","",IF(AG$3=0,"n.b.",INDEX(SRC_Woningetalage!$A$1:$ZZ$501,$A225,AG$3)))</f>
        <v/>
      </c>
      <c r="AH225" s="124" t="str">
        <f>IF($B225="","",IF(AH$3=0,"n.b.",INDEX(SRC_Woningetalage!$A$1:$ZZ$501,$A225,AH$3)))</f>
        <v/>
      </c>
      <c r="AI225" s="124" t="str">
        <f>IF($B225="","",IF(AI$3=0,"n.b.",INDEX(SRC_Woningetalage!$A$1:$ZZ$501,$A225,AI$3)))</f>
        <v/>
      </c>
      <c r="AJ225" s="124" t="str">
        <f>IF($B225="","",IF(AJ$3=0,"n.b.",INDEX(SRC_Woningetalage!$A$1:$ZZ$501,$A225,AJ$3)))</f>
        <v/>
      </c>
      <c r="AK225" s="124" t="str">
        <f>IF($B225="","",IF(AK$3=0,"n.b.",INDEX(SRC_Woningetalage!$A$1:$ZZ$501,$A225,AK$3)))</f>
        <v/>
      </c>
      <c r="AL225" s="124" t="str">
        <f>IF($B225="","",IF(AL$3=0,"n.b.",INDEX(SRC_Woningetalage!$A$1:$ZZ$501,$A225,AL$3)))</f>
        <v/>
      </c>
      <c r="AM225" s="124" t="str">
        <f>IF($B225="","",IF(AM$3=0,"n.b.",INDEX(SRC_Woningetalage!$A$1:$ZZ$501,$A225,AM$3)))</f>
        <v/>
      </c>
      <c r="AN225" s="124" t="str">
        <f>IF($B225="","",IF(AN$3=0,"n.b.",INDEX(SRC_Woningetalage!$A$1:$ZZ$501,$A225,AN$3)))</f>
        <v/>
      </c>
      <c r="AO225" s="124" t="str">
        <f>IF($B225="","",IF(AO$3=0,"n.b.",INDEX(SRC_Woningetalage!$A$1:$ZZ$501,$A225,AO$3)))</f>
        <v/>
      </c>
      <c r="AP225" s="124" t="str">
        <f>IF($B225="","",IF(AP$3=0,"n.b.",INDEX(SRC_Woningetalage!$A$1:$ZZ$501,$A225,AP$3)))</f>
        <v/>
      </c>
      <c r="AQ225" s="124" t="str">
        <f>IF($B225="","",IF(AQ$3=0,"n.b.",INDEX(SRC_Woningetalage!$A$1:$ZZ$501,$A225,AQ$3)))</f>
        <v/>
      </c>
      <c r="AR225" s="124" t="str">
        <f>IF($B225="","",IF(AR$3=0,"n.b.",INDEX(SRC_Woningetalage!$A$1:$ZZ$501,$A225,AR$3)))</f>
        <v/>
      </c>
      <c r="AS225" s="124" t="str">
        <f>IF($B225="","",IF(AS$3=0,"n.b.",INDEX(SRC_Woningetalage!$A$1:$ZZ$501,$A225,AS$3)))</f>
        <v/>
      </c>
      <c r="AT225" s="124" t="str">
        <f>IF($B225="","",IF(AT$3=0,"n.b.",INDEX(SRC_Woningetalage!$A$1:$ZZ$501,$A225,AT$3)))</f>
        <v/>
      </c>
      <c r="AU225" s="124" t="str">
        <f>IF($B225="","",IF(AU$3=0,"n.b.",INDEX(SRC_Woningetalage!$A$1:$ZZ$501,$A225,AU$3)))</f>
        <v/>
      </c>
      <c r="AV225" s="124" t="str">
        <f>IF($B225="","",IF(AV$3=0,"n.b.",INDEX(SRC_Woningetalage!$A$1:$ZZ$501,$A225,AV$3)))</f>
        <v/>
      </c>
      <c r="AW225" s="124" t="str">
        <f>IF($B225="","",IF(AW$3=0,"n.b.",INDEX(SRC_Woningetalage!$A$1:$ZZ$501,$A225,AW$3)))</f>
        <v/>
      </c>
      <c r="AX225" s="124" t="str">
        <f>IF($B225="","",IF(AX$3=0,"n.b.",INDEX(SRC_Woningetalage!$A$1:$ZZ$501,$A225,AX$3)))</f>
        <v/>
      </c>
      <c r="AY225" s="124" t="str">
        <f>IF($B225="","",IF(AY$3=0,"n.b.",INDEX(SRC_Woningetalage!$A$1:$ZZ$501,$A225,AY$3)))</f>
        <v/>
      </c>
      <c r="AZ225" s="124" t="str">
        <f>IF($B225="","",IF(AZ$3=0,"n.b.",INDEX(SRC_Woningetalage!$A$1:$ZZ$501,$A225,AZ$3)))</f>
        <v/>
      </c>
      <c r="BA225" s="124" t="str">
        <f>IF($B225="","",IF(BA$3=0,"n.b.",INDEX(SRC_Woningetalage!$A$1:$ZZ$501,$A225,BA$3)))</f>
        <v/>
      </c>
      <c r="BB225" s="124" t="str">
        <f>IF($B225="","",IF(BB$3=0,"n.b.",INDEX(SRC_Woningetalage!$A$1:$ZZ$501,$A225,BB$3)))</f>
        <v/>
      </c>
      <c r="BC225" s="124" t="str">
        <f>IF($B225="","",IFERROR(_xlfn.NUMBERVALUE(E225&amp;"",",","."),"n.b."))</f>
        <v/>
      </c>
      <c r="BD225" s="124" t="str">
        <f>IF($B225="","",IFERROR(_xlfn.NUMBERVALUE(M225&amp;"",",","."),"n.b."))</f>
        <v/>
      </c>
      <c r="BE225" s="124" t="str">
        <f>IF($B225="","",IFERROR(AB225+AC225+AD225,"n.b."))</f>
        <v/>
      </c>
      <c r="BF225" s="124" t="str">
        <f>IF($B225="","",IFERROR(AE225+AF225+AG225,"n.b."))</f>
        <v/>
      </c>
      <c r="BG225" s="124" t="str">
        <f>IF($B225="","",IFERROR(AH225+AI225+AJ225,"n.b."))</f>
        <v/>
      </c>
      <c r="BH225" s="124" t="str">
        <f>IF($B225="","",IFERROR(AK225+AL225+AM225,"n.b."))</f>
        <v/>
      </c>
      <c r="BI225" s="124" t="str">
        <f>IF($B225="","",IFERROR(SUMIF($AB$5:$AM$5,"&lt;="&amp;P_PeilMaand,AB225:AM225),"n.b."))</f>
        <v/>
      </c>
      <c r="BJ225" s="124" t="str">
        <f>IF($B225="","",IFERROR(SUM(AB225:AM225)-BI225,"n.b."))</f>
        <v/>
      </c>
      <c r="BK225" s="124" t="str">
        <f>IF($B225="","",IFERROR(IF(ABS(Q225-(T225+SUM(AB225:AM225)+AS225+AU225))&gt;P_Tol,1,0),1))</f>
        <v/>
      </c>
      <c r="BL225" s="124" t="str">
        <f>IF($B225="","",IFERROR(IF(ABS(AA225-(Q225-Z225))&gt;P_Tol,1,0),1))</f>
        <v/>
      </c>
      <c r="BM225" s="124" t="str">
        <f>IF($B225="","",IFERROR(IF(ABS(Z225-(T225+W225))&gt;P_Tol,1,0),1))</f>
        <v/>
      </c>
      <c r="BN225" s="124" t="str">
        <f>IF($B225="","",IFERROR(IF(ABS(W225-BI225)&gt;P_Tol,1,0),1))</f>
        <v/>
      </c>
      <c r="BO225" s="124" t="str">
        <f>IF($B225="","",IFERROR(IF(OR(ABS(R225+S225-T225)&gt;P_Tol,ABS(U225+V225-W225)&gt;P_Tol,ABS(X225+Y225-Z225)&gt;P_Tol),1,0),1))</f>
        <v/>
      </c>
      <c r="BP225" s="124" t="str">
        <f>IF($B225="","",IFERROR(IF(OR(ABS(AR225-SUM(AB225:AM225))&gt;P_Tol,ABS(AS225-(AN225+AO225+AP225+AQ225))&gt;P_Tol),1,0),1))</f>
        <v/>
      </c>
      <c r="BQ225" s="124" t="str">
        <f>IF($B225="","",IFERROR(IF(ABS(AT225)+ABS(AV225)+ABS(AW225)+ABS(AX225)+ABS(AY225)+ABS(AZ225)+ABS(BA225)+ABS(BB225)&gt;0,1,0),1))</f>
        <v/>
      </c>
      <c r="BR225" s="124" t="str">
        <f>IF($B225="","",COUNTIF(STG_ZPMW03!$B$6:$B$505,B225))</f>
        <v/>
      </c>
      <c r="BS225" s="124" t="str">
        <f>IF($B225="","",COUNTIF($B$6:$B$505,B225))</f>
        <v/>
      </c>
      <c r="BT225" s="124" t="str">
        <f>IF($B225="","",IF(BR225=0,0,IF(INDEX(STG_ZPMW03!$I$6:$I$505,MATCH(B225,STG_ZPMW03!$B$6:$B$505,0))=J225&amp;"",0,1)))</f>
        <v/>
      </c>
      <c r="BU225" s="124" t="str">
        <f>IF($B225="","",IFERROR(IF(ABS(INDEX(Mapping!$D$5:$D$104,MATCH(B225,Mapping!$A$5:$A$104,0))-Q225)&gt;P_Tol,1,0),0))</f>
        <v/>
      </c>
      <c r="BV225" s="124" t="str">
        <f>IF($B225="","",IFERROR(IF(AND(INDEX(Mapping!$G$5:$G$104,MATCH(B225,Mapping!$A$5:$A$104,0))="Nee",ABS(Q225)+ABS(Z225)+ABS(AR225)&gt;0),1,0),0))</f>
        <v/>
      </c>
      <c r="BW225" s="124" t="str">
        <f>IF($B225="","",IF(COUNTIF(Mapping!$A$5:$A$104,B225)&gt;0,1,0))</f>
        <v/>
      </c>
      <c r="BX225" s="124" t="str">
        <f>IF($B225="","",IF(BR225=0,COUNTIF($BR$6:BR225,0),""))</f>
        <v/>
      </c>
    </row>
    <row r="226">
      <c r="A226" s="15" t="n">
        <v>222</v>
      </c>
      <c r="B226" t="str">
        <f>IF(B$3=0,"",IF(INDEX(SRC_Woningetalage!$A$1:$ZZ$501,$A226,B$3)&amp;""="","",INDEX(SRC_Woningetalage!$A$1:$ZZ$501,$A226,B$3)&amp;""))</f>
        <v/>
      </c>
      <c r="C226" t="str">
        <f>IF($B226="","",IF(C$3=0,"n.b.",INDEX(SRC_Woningetalage!$A$1:$ZZ$501,$A226,C$3)))</f>
        <v/>
      </c>
      <c r="D226" t="str">
        <f>IF($B226="","",IF(D$3=0,"n.b.",INDEX(SRC_Woningetalage!$A$1:$ZZ$501,$A226,D$3)))</f>
        <v/>
      </c>
      <c r="E226" t="str">
        <f>IF($B226="","",IF(E$3=0,"n.b.",INDEX(SRC_Woningetalage!$A$1:$ZZ$501,$A226,E$3)))</f>
        <v/>
      </c>
      <c r="F226" t="str">
        <f>IF($B226="","",IF(F$3=0,"n.b.",INDEX(SRC_Woningetalage!$A$1:$ZZ$501,$A226,F$3)))</f>
        <v/>
      </c>
      <c r="G226" t="str">
        <f>IF($B226="","",IF(G$3=0,"n.b.",INDEX(SRC_Woningetalage!$A$1:$ZZ$501,$A226,G$3)))</f>
        <v/>
      </c>
      <c r="H226" t="str">
        <f>IF($B226="","",IF(H$3=0,"n.b.",INDEX(SRC_Woningetalage!$A$1:$ZZ$501,$A226,H$3)))</f>
        <v/>
      </c>
      <c r="I226" t="str">
        <f>IF($B226="","",IF(I$3=0,"n.b.",INDEX(SRC_Woningetalage!$A$1:$ZZ$501,$A226,I$3)))</f>
        <v/>
      </c>
      <c r="J226" t="str">
        <f>IF($B226="","",IF(J$3=0,"n.b.",INDEX(SRC_Woningetalage!$A$1:$ZZ$501,$A226,J$3)))</f>
        <v/>
      </c>
      <c r="K226" t="str">
        <f>IF($B226="","",IF(K$3=0,"n.b.",INDEX(SRC_Woningetalage!$A$1:$ZZ$501,$A226,K$3)))</f>
        <v/>
      </c>
      <c r="L226" t="str">
        <f>IF($B226="","",IF(L$3=0,"n.b.",INDEX(SRC_Woningetalage!$A$1:$ZZ$501,$A226,L$3)))</f>
        <v/>
      </c>
      <c r="M226" t="str">
        <f>IF($B226="","",IF(M$3=0,"n.b.",INDEX(SRC_Woningetalage!$A$1:$ZZ$501,$A226,M$3)))</f>
        <v/>
      </c>
      <c r="N226" t="str">
        <f>IF($B226="","",IF(N$3=0,"n.b.",INDEX(SRC_Woningetalage!$A$1:$ZZ$501,$A226,N$3)))</f>
        <v/>
      </c>
      <c r="O226" t="str">
        <f>IF($B226="","",IF(O$3=0,"n.b.",INDEX(SRC_Woningetalage!$A$1:$ZZ$501,$A226,O$3)))</f>
        <v/>
      </c>
      <c r="P226" t="str">
        <f>IF($B226="","",IF(P$3=0,"n.b.",INDEX(SRC_Woningetalage!$A$1:$ZZ$501,$A226,P$3)))</f>
        <v/>
      </c>
      <c r="Q226" s="124" t="str">
        <f>IF($B226="","",IF(Q$3=0,"n.b.",INDEX(SRC_Woningetalage!$A$1:$ZZ$501,$A226,Q$3)))</f>
        <v/>
      </c>
      <c r="R226" s="124" t="str">
        <f>IF($B226="","",IF(R$3=0,"n.b.",INDEX(SRC_Woningetalage!$A$1:$ZZ$501,$A226,R$3)))</f>
        <v/>
      </c>
      <c r="S226" s="124" t="str">
        <f>IF($B226="","",IF(S$3=0,"n.b.",INDEX(SRC_Woningetalage!$A$1:$ZZ$501,$A226,S$3)))</f>
        <v/>
      </c>
      <c r="T226" s="124" t="str">
        <f>IF($B226="","",IF(T$3=0,"n.b.",INDEX(SRC_Woningetalage!$A$1:$ZZ$501,$A226,T$3)))</f>
        <v/>
      </c>
      <c r="U226" s="124" t="str">
        <f>IF($B226="","",IF(U$3=0,"n.b.",INDEX(SRC_Woningetalage!$A$1:$ZZ$501,$A226,U$3)))</f>
        <v/>
      </c>
      <c r="V226" s="124" t="str">
        <f>IF($B226="","",IF(V$3=0,"n.b.",INDEX(SRC_Woningetalage!$A$1:$ZZ$501,$A226,V$3)))</f>
        <v/>
      </c>
      <c r="W226" s="124" t="str">
        <f>IF($B226="","",IF(W$3=0,"n.b.",INDEX(SRC_Woningetalage!$A$1:$ZZ$501,$A226,W$3)))</f>
        <v/>
      </c>
      <c r="X226" s="124" t="str">
        <f>IF($B226="","",IF(X$3=0,"n.b.",INDEX(SRC_Woningetalage!$A$1:$ZZ$501,$A226,X$3)))</f>
        <v/>
      </c>
      <c r="Y226" s="124" t="str">
        <f>IF($B226="","",IF(Y$3=0,"n.b.",INDEX(SRC_Woningetalage!$A$1:$ZZ$501,$A226,Y$3)))</f>
        <v/>
      </c>
      <c r="Z226" s="124" t="str">
        <f>IF($B226="","",IF(Z$3=0,"n.b.",INDEX(SRC_Woningetalage!$A$1:$ZZ$501,$A226,Z$3)))</f>
        <v/>
      </c>
      <c r="AA226" s="124" t="str">
        <f>IF($B226="","",IF(AA$3=0,"n.b.",INDEX(SRC_Woningetalage!$A$1:$ZZ$501,$A226,AA$3)))</f>
        <v/>
      </c>
      <c r="AB226" s="124" t="str">
        <f>IF($B226="","",IF(AB$3=0,"n.b.",INDEX(SRC_Woningetalage!$A$1:$ZZ$501,$A226,AB$3)))</f>
        <v/>
      </c>
      <c r="AC226" s="124" t="str">
        <f>IF($B226="","",IF(AC$3=0,"n.b.",INDEX(SRC_Woningetalage!$A$1:$ZZ$501,$A226,AC$3)))</f>
        <v/>
      </c>
      <c r="AD226" s="124" t="str">
        <f>IF($B226="","",IF(AD$3=0,"n.b.",INDEX(SRC_Woningetalage!$A$1:$ZZ$501,$A226,AD$3)))</f>
        <v/>
      </c>
      <c r="AE226" s="124" t="str">
        <f>IF($B226="","",IF(AE$3=0,"n.b.",INDEX(SRC_Woningetalage!$A$1:$ZZ$501,$A226,AE$3)))</f>
        <v/>
      </c>
      <c r="AF226" s="124" t="str">
        <f>IF($B226="","",IF(AF$3=0,"n.b.",INDEX(SRC_Woningetalage!$A$1:$ZZ$501,$A226,AF$3)))</f>
        <v/>
      </c>
      <c r="AG226" s="124" t="str">
        <f>IF($B226="","",IF(AG$3=0,"n.b.",INDEX(SRC_Woningetalage!$A$1:$ZZ$501,$A226,AG$3)))</f>
        <v/>
      </c>
      <c r="AH226" s="124" t="str">
        <f>IF($B226="","",IF(AH$3=0,"n.b.",INDEX(SRC_Woningetalage!$A$1:$ZZ$501,$A226,AH$3)))</f>
        <v/>
      </c>
      <c r="AI226" s="124" t="str">
        <f>IF($B226="","",IF(AI$3=0,"n.b.",INDEX(SRC_Woningetalage!$A$1:$ZZ$501,$A226,AI$3)))</f>
        <v/>
      </c>
      <c r="AJ226" s="124" t="str">
        <f>IF($B226="","",IF(AJ$3=0,"n.b.",INDEX(SRC_Woningetalage!$A$1:$ZZ$501,$A226,AJ$3)))</f>
        <v/>
      </c>
      <c r="AK226" s="124" t="str">
        <f>IF($B226="","",IF(AK$3=0,"n.b.",INDEX(SRC_Woningetalage!$A$1:$ZZ$501,$A226,AK$3)))</f>
        <v/>
      </c>
      <c r="AL226" s="124" t="str">
        <f>IF($B226="","",IF(AL$3=0,"n.b.",INDEX(SRC_Woningetalage!$A$1:$ZZ$501,$A226,AL$3)))</f>
        <v/>
      </c>
      <c r="AM226" s="124" t="str">
        <f>IF($B226="","",IF(AM$3=0,"n.b.",INDEX(SRC_Woningetalage!$A$1:$ZZ$501,$A226,AM$3)))</f>
        <v/>
      </c>
      <c r="AN226" s="124" t="str">
        <f>IF($B226="","",IF(AN$3=0,"n.b.",INDEX(SRC_Woningetalage!$A$1:$ZZ$501,$A226,AN$3)))</f>
        <v/>
      </c>
      <c r="AO226" s="124" t="str">
        <f>IF($B226="","",IF(AO$3=0,"n.b.",INDEX(SRC_Woningetalage!$A$1:$ZZ$501,$A226,AO$3)))</f>
        <v/>
      </c>
      <c r="AP226" s="124" t="str">
        <f>IF($B226="","",IF(AP$3=0,"n.b.",INDEX(SRC_Woningetalage!$A$1:$ZZ$501,$A226,AP$3)))</f>
        <v/>
      </c>
      <c r="AQ226" s="124" t="str">
        <f>IF($B226="","",IF(AQ$3=0,"n.b.",INDEX(SRC_Woningetalage!$A$1:$ZZ$501,$A226,AQ$3)))</f>
        <v/>
      </c>
      <c r="AR226" s="124" t="str">
        <f>IF($B226="","",IF(AR$3=0,"n.b.",INDEX(SRC_Woningetalage!$A$1:$ZZ$501,$A226,AR$3)))</f>
        <v/>
      </c>
      <c r="AS226" s="124" t="str">
        <f>IF($B226="","",IF(AS$3=0,"n.b.",INDEX(SRC_Woningetalage!$A$1:$ZZ$501,$A226,AS$3)))</f>
        <v/>
      </c>
      <c r="AT226" s="124" t="str">
        <f>IF($B226="","",IF(AT$3=0,"n.b.",INDEX(SRC_Woningetalage!$A$1:$ZZ$501,$A226,AT$3)))</f>
        <v/>
      </c>
      <c r="AU226" s="124" t="str">
        <f>IF($B226="","",IF(AU$3=0,"n.b.",INDEX(SRC_Woningetalage!$A$1:$ZZ$501,$A226,AU$3)))</f>
        <v/>
      </c>
      <c r="AV226" s="124" t="str">
        <f>IF($B226="","",IF(AV$3=0,"n.b.",INDEX(SRC_Woningetalage!$A$1:$ZZ$501,$A226,AV$3)))</f>
        <v/>
      </c>
      <c r="AW226" s="124" t="str">
        <f>IF($B226="","",IF(AW$3=0,"n.b.",INDEX(SRC_Woningetalage!$A$1:$ZZ$501,$A226,AW$3)))</f>
        <v/>
      </c>
      <c r="AX226" s="124" t="str">
        <f>IF($B226="","",IF(AX$3=0,"n.b.",INDEX(SRC_Woningetalage!$A$1:$ZZ$501,$A226,AX$3)))</f>
        <v/>
      </c>
      <c r="AY226" s="124" t="str">
        <f>IF($B226="","",IF(AY$3=0,"n.b.",INDEX(SRC_Woningetalage!$A$1:$ZZ$501,$A226,AY$3)))</f>
        <v/>
      </c>
      <c r="AZ226" s="124" t="str">
        <f>IF($B226="","",IF(AZ$3=0,"n.b.",INDEX(SRC_Woningetalage!$A$1:$ZZ$501,$A226,AZ$3)))</f>
        <v/>
      </c>
      <c r="BA226" s="124" t="str">
        <f>IF($B226="","",IF(BA$3=0,"n.b.",INDEX(SRC_Woningetalage!$A$1:$ZZ$501,$A226,BA$3)))</f>
        <v/>
      </c>
      <c r="BB226" s="124" t="str">
        <f>IF($B226="","",IF(BB$3=0,"n.b.",INDEX(SRC_Woningetalage!$A$1:$ZZ$501,$A226,BB$3)))</f>
        <v/>
      </c>
      <c r="BC226" s="124" t="str">
        <f>IF($B226="","",IFERROR(_xlfn.NUMBERVALUE(E226&amp;"",",","."),"n.b."))</f>
        <v/>
      </c>
      <c r="BD226" s="124" t="str">
        <f>IF($B226="","",IFERROR(_xlfn.NUMBERVALUE(M226&amp;"",",","."),"n.b."))</f>
        <v/>
      </c>
      <c r="BE226" s="124" t="str">
        <f>IF($B226="","",IFERROR(AB226+AC226+AD226,"n.b."))</f>
        <v/>
      </c>
      <c r="BF226" s="124" t="str">
        <f>IF($B226="","",IFERROR(AE226+AF226+AG226,"n.b."))</f>
        <v/>
      </c>
      <c r="BG226" s="124" t="str">
        <f>IF($B226="","",IFERROR(AH226+AI226+AJ226,"n.b."))</f>
        <v/>
      </c>
      <c r="BH226" s="124" t="str">
        <f>IF($B226="","",IFERROR(AK226+AL226+AM226,"n.b."))</f>
        <v/>
      </c>
      <c r="BI226" s="124" t="str">
        <f>IF($B226="","",IFERROR(SUMIF($AB$5:$AM$5,"&lt;="&amp;P_PeilMaand,AB226:AM226),"n.b."))</f>
        <v/>
      </c>
      <c r="BJ226" s="124" t="str">
        <f>IF($B226="","",IFERROR(SUM(AB226:AM226)-BI226,"n.b."))</f>
        <v/>
      </c>
      <c r="BK226" s="124" t="str">
        <f>IF($B226="","",IFERROR(IF(ABS(Q226-(T226+SUM(AB226:AM226)+AS226+AU226))&gt;P_Tol,1,0),1))</f>
        <v/>
      </c>
      <c r="BL226" s="124" t="str">
        <f>IF($B226="","",IFERROR(IF(ABS(AA226-(Q226-Z226))&gt;P_Tol,1,0),1))</f>
        <v/>
      </c>
      <c r="BM226" s="124" t="str">
        <f>IF($B226="","",IFERROR(IF(ABS(Z226-(T226+W226))&gt;P_Tol,1,0),1))</f>
        <v/>
      </c>
      <c r="BN226" s="124" t="str">
        <f>IF($B226="","",IFERROR(IF(ABS(W226-BI226)&gt;P_Tol,1,0),1))</f>
        <v/>
      </c>
      <c r="BO226" s="124" t="str">
        <f>IF($B226="","",IFERROR(IF(OR(ABS(R226+S226-T226)&gt;P_Tol,ABS(U226+V226-W226)&gt;P_Tol,ABS(X226+Y226-Z226)&gt;P_Tol),1,0),1))</f>
        <v/>
      </c>
      <c r="BP226" s="124" t="str">
        <f>IF($B226="","",IFERROR(IF(OR(ABS(AR226-SUM(AB226:AM226))&gt;P_Tol,ABS(AS226-(AN226+AO226+AP226+AQ226))&gt;P_Tol),1,0),1))</f>
        <v/>
      </c>
      <c r="BQ226" s="124" t="str">
        <f>IF($B226="","",IFERROR(IF(ABS(AT226)+ABS(AV226)+ABS(AW226)+ABS(AX226)+ABS(AY226)+ABS(AZ226)+ABS(BA226)+ABS(BB226)&gt;0,1,0),1))</f>
        <v/>
      </c>
      <c r="BR226" s="124" t="str">
        <f>IF($B226="","",COUNTIF(STG_ZPMW03!$B$6:$B$505,B226))</f>
        <v/>
      </c>
      <c r="BS226" s="124" t="str">
        <f>IF($B226="","",COUNTIF($B$6:$B$505,B226))</f>
        <v/>
      </c>
      <c r="BT226" s="124" t="str">
        <f>IF($B226="","",IF(BR226=0,0,IF(INDEX(STG_ZPMW03!$I$6:$I$505,MATCH(B226,STG_ZPMW03!$B$6:$B$505,0))=J226&amp;"",0,1)))</f>
        <v/>
      </c>
      <c r="BU226" s="124" t="str">
        <f>IF($B226="","",IFERROR(IF(ABS(INDEX(Mapping!$D$5:$D$104,MATCH(B226,Mapping!$A$5:$A$104,0))-Q226)&gt;P_Tol,1,0),0))</f>
        <v/>
      </c>
      <c r="BV226" s="124" t="str">
        <f>IF($B226="","",IFERROR(IF(AND(INDEX(Mapping!$G$5:$G$104,MATCH(B226,Mapping!$A$5:$A$104,0))="Nee",ABS(Q226)+ABS(Z226)+ABS(AR226)&gt;0),1,0),0))</f>
        <v/>
      </c>
      <c r="BW226" s="124" t="str">
        <f>IF($B226="","",IF(COUNTIF(Mapping!$A$5:$A$104,B226)&gt;0,1,0))</f>
        <v/>
      </c>
      <c r="BX226" s="124" t="str">
        <f>IF($B226="","",IF(BR226=0,COUNTIF($BR$6:BR226,0),""))</f>
        <v/>
      </c>
    </row>
    <row r="227">
      <c r="A227" s="15" t="n">
        <v>223</v>
      </c>
      <c r="B227" t="str">
        <f>IF(B$3=0,"",IF(INDEX(SRC_Woningetalage!$A$1:$ZZ$501,$A227,B$3)&amp;""="","",INDEX(SRC_Woningetalage!$A$1:$ZZ$501,$A227,B$3)&amp;""))</f>
        <v/>
      </c>
      <c r="C227" t="str">
        <f>IF($B227="","",IF(C$3=0,"n.b.",INDEX(SRC_Woningetalage!$A$1:$ZZ$501,$A227,C$3)))</f>
        <v/>
      </c>
      <c r="D227" t="str">
        <f>IF($B227="","",IF(D$3=0,"n.b.",INDEX(SRC_Woningetalage!$A$1:$ZZ$501,$A227,D$3)))</f>
        <v/>
      </c>
      <c r="E227" t="str">
        <f>IF($B227="","",IF(E$3=0,"n.b.",INDEX(SRC_Woningetalage!$A$1:$ZZ$501,$A227,E$3)))</f>
        <v/>
      </c>
      <c r="F227" t="str">
        <f>IF($B227="","",IF(F$3=0,"n.b.",INDEX(SRC_Woningetalage!$A$1:$ZZ$501,$A227,F$3)))</f>
        <v/>
      </c>
      <c r="G227" t="str">
        <f>IF($B227="","",IF(G$3=0,"n.b.",INDEX(SRC_Woningetalage!$A$1:$ZZ$501,$A227,G$3)))</f>
        <v/>
      </c>
      <c r="H227" t="str">
        <f>IF($B227="","",IF(H$3=0,"n.b.",INDEX(SRC_Woningetalage!$A$1:$ZZ$501,$A227,H$3)))</f>
        <v/>
      </c>
      <c r="I227" t="str">
        <f>IF($B227="","",IF(I$3=0,"n.b.",INDEX(SRC_Woningetalage!$A$1:$ZZ$501,$A227,I$3)))</f>
        <v/>
      </c>
      <c r="J227" t="str">
        <f>IF($B227="","",IF(J$3=0,"n.b.",INDEX(SRC_Woningetalage!$A$1:$ZZ$501,$A227,J$3)))</f>
        <v/>
      </c>
      <c r="K227" t="str">
        <f>IF($B227="","",IF(K$3=0,"n.b.",INDEX(SRC_Woningetalage!$A$1:$ZZ$501,$A227,K$3)))</f>
        <v/>
      </c>
      <c r="L227" t="str">
        <f>IF($B227="","",IF(L$3=0,"n.b.",INDEX(SRC_Woningetalage!$A$1:$ZZ$501,$A227,L$3)))</f>
        <v/>
      </c>
      <c r="M227" t="str">
        <f>IF($B227="","",IF(M$3=0,"n.b.",INDEX(SRC_Woningetalage!$A$1:$ZZ$501,$A227,M$3)))</f>
        <v/>
      </c>
      <c r="N227" t="str">
        <f>IF($B227="","",IF(N$3=0,"n.b.",INDEX(SRC_Woningetalage!$A$1:$ZZ$501,$A227,N$3)))</f>
        <v/>
      </c>
      <c r="O227" t="str">
        <f>IF($B227="","",IF(O$3=0,"n.b.",INDEX(SRC_Woningetalage!$A$1:$ZZ$501,$A227,O$3)))</f>
        <v/>
      </c>
      <c r="P227" t="str">
        <f>IF($B227="","",IF(P$3=0,"n.b.",INDEX(SRC_Woningetalage!$A$1:$ZZ$501,$A227,P$3)))</f>
        <v/>
      </c>
      <c r="Q227" s="124" t="str">
        <f>IF($B227="","",IF(Q$3=0,"n.b.",INDEX(SRC_Woningetalage!$A$1:$ZZ$501,$A227,Q$3)))</f>
        <v/>
      </c>
      <c r="R227" s="124" t="str">
        <f>IF($B227="","",IF(R$3=0,"n.b.",INDEX(SRC_Woningetalage!$A$1:$ZZ$501,$A227,R$3)))</f>
        <v/>
      </c>
      <c r="S227" s="124" t="str">
        <f>IF($B227="","",IF(S$3=0,"n.b.",INDEX(SRC_Woningetalage!$A$1:$ZZ$501,$A227,S$3)))</f>
        <v/>
      </c>
      <c r="T227" s="124" t="str">
        <f>IF($B227="","",IF(T$3=0,"n.b.",INDEX(SRC_Woningetalage!$A$1:$ZZ$501,$A227,T$3)))</f>
        <v/>
      </c>
      <c r="U227" s="124" t="str">
        <f>IF($B227="","",IF(U$3=0,"n.b.",INDEX(SRC_Woningetalage!$A$1:$ZZ$501,$A227,U$3)))</f>
        <v/>
      </c>
      <c r="V227" s="124" t="str">
        <f>IF($B227="","",IF(V$3=0,"n.b.",INDEX(SRC_Woningetalage!$A$1:$ZZ$501,$A227,V$3)))</f>
        <v/>
      </c>
      <c r="W227" s="124" t="str">
        <f>IF($B227="","",IF(W$3=0,"n.b.",INDEX(SRC_Woningetalage!$A$1:$ZZ$501,$A227,W$3)))</f>
        <v/>
      </c>
      <c r="X227" s="124" t="str">
        <f>IF($B227="","",IF(X$3=0,"n.b.",INDEX(SRC_Woningetalage!$A$1:$ZZ$501,$A227,X$3)))</f>
        <v/>
      </c>
      <c r="Y227" s="124" t="str">
        <f>IF($B227="","",IF(Y$3=0,"n.b.",INDEX(SRC_Woningetalage!$A$1:$ZZ$501,$A227,Y$3)))</f>
        <v/>
      </c>
      <c r="Z227" s="124" t="str">
        <f>IF($B227="","",IF(Z$3=0,"n.b.",INDEX(SRC_Woningetalage!$A$1:$ZZ$501,$A227,Z$3)))</f>
        <v/>
      </c>
      <c r="AA227" s="124" t="str">
        <f>IF($B227="","",IF(AA$3=0,"n.b.",INDEX(SRC_Woningetalage!$A$1:$ZZ$501,$A227,AA$3)))</f>
        <v/>
      </c>
      <c r="AB227" s="124" t="str">
        <f>IF($B227="","",IF(AB$3=0,"n.b.",INDEX(SRC_Woningetalage!$A$1:$ZZ$501,$A227,AB$3)))</f>
        <v/>
      </c>
      <c r="AC227" s="124" t="str">
        <f>IF($B227="","",IF(AC$3=0,"n.b.",INDEX(SRC_Woningetalage!$A$1:$ZZ$501,$A227,AC$3)))</f>
        <v/>
      </c>
      <c r="AD227" s="124" t="str">
        <f>IF($B227="","",IF(AD$3=0,"n.b.",INDEX(SRC_Woningetalage!$A$1:$ZZ$501,$A227,AD$3)))</f>
        <v/>
      </c>
      <c r="AE227" s="124" t="str">
        <f>IF($B227="","",IF(AE$3=0,"n.b.",INDEX(SRC_Woningetalage!$A$1:$ZZ$501,$A227,AE$3)))</f>
        <v/>
      </c>
      <c r="AF227" s="124" t="str">
        <f>IF($B227="","",IF(AF$3=0,"n.b.",INDEX(SRC_Woningetalage!$A$1:$ZZ$501,$A227,AF$3)))</f>
        <v/>
      </c>
      <c r="AG227" s="124" t="str">
        <f>IF($B227="","",IF(AG$3=0,"n.b.",INDEX(SRC_Woningetalage!$A$1:$ZZ$501,$A227,AG$3)))</f>
        <v/>
      </c>
      <c r="AH227" s="124" t="str">
        <f>IF($B227="","",IF(AH$3=0,"n.b.",INDEX(SRC_Woningetalage!$A$1:$ZZ$501,$A227,AH$3)))</f>
        <v/>
      </c>
      <c r="AI227" s="124" t="str">
        <f>IF($B227="","",IF(AI$3=0,"n.b.",INDEX(SRC_Woningetalage!$A$1:$ZZ$501,$A227,AI$3)))</f>
        <v/>
      </c>
      <c r="AJ227" s="124" t="str">
        <f>IF($B227="","",IF(AJ$3=0,"n.b.",INDEX(SRC_Woningetalage!$A$1:$ZZ$501,$A227,AJ$3)))</f>
        <v/>
      </c>
      <c r="AK227" s="124" t="str">
        <f>IF($B227="","",IF(AK$3=0,"n.b.",INDEX(SRC_Woningetalage!$A$1:$ZZ$501,$A227,AK$3)))</f>
        <v/>
      </c>
      <c r="AL227" s="124" t="str">
        <f>IF($B227="","",IF(AL$3=0,"n.b.",INDEX(SRC_Woningetalage!$A$1:$ZZ$501,$A227,AL$3)))</f>
        <v/>
      </c>
      <c r="AM227" s="124" t="str">
        <f>IF($B227="","",IF(AM$3=0,"n.b.",INDEX(SRC_Woningetalage!$A$1:$ZZ$501,$A227,AM$3)))</f>
        <v/>
      </c>
      <c r="AN227" s="124" t="str">
        <f>IF($B227="","",IF(AN$3=0,"n.b.",INDEX(SRC_Woningetalage!$A$1:$ZZ$501,$A227,AN$3)))</f>
        <v/>
      </c>
      <c r="AO227" s="124" t="str">
        <f>IF($B227="","",IF(AO$3=0,"n.b.",INDEX(SRC_Woningetalage!$A$1:$ZZ$501,$A227,AO$3)))</f>
        <v/>
      </c>
      <c r="AP227" s="124" t="str">
        <f>IF($B227="","",IF(AP$3=0,"n.b.",INDEX(SRC_Woningetalage!$A$1:$ZZ$501,$A227,AP$3)))</f>
        <v/>
      </c>
      <c r="AQ227" s="124" t="str">
        <f>IF($B227="","",IF(AQ$3=0,"n.b.",INDEX(SRC_Woningetalage!$A$1:$ZZ$501,$A227,AQ$3)))</f>
        <v/>
      </c>
      <c r="AR227" s="124" t="str">
        <f>IF($B227="","",IF(AR$3=0,"n.b.",INDEX(SRC_Woningetalage!$A$1:$ZZ$501,$A227,AR$3)))</f>
        <v/>
      </c>
      <c r="AS227" s="124" t="str">
        <f>IF($B227="","",IF(AS$3=0,"n.b.",INDEX(SRC_Woningetalage!$A$1:$ZZ$501,$A227,AS$3)))</f>
        <v/>
      </c>
      <c r="AT227" s="124" t="str">
        <f>IF($B227="","",IF(AT$3=0,"n.b.",INDEX(SRC_Woningetalage!$A$1:$ZZ$501,$A227,AT$3)))</f>
        <v/>
      </c>
      <c r="AU227" s="124" t="str">
        <f>IF($B227="","",IF(AU$3=0,"n.b.",INDEX(SRC_Woningetalage!$A$1:$ZZ$501,$A227,AU$3)))</f>
        <v/>
      </c>
      <c r="AV227" s="124" t="str">
        <f>IF($B227="","",IF(AV$3=0,"n.b.",INDEX(SRC_Woningetalage!$A$1:$ZZ$501,$A227,AV$3)))</f>
        <v/>
      </c>
      <c r="AW227" s="124" t="str">
        <f>IF($B227="","",IF(AW$3=0,"n.b.",INDEX(SRC_Woningetalage!$A$1:$ZZ$501,$A227,AW$3)))</f>
        <v/>
      </c>
      <c r="AX227" s="124" t="str">
        <f>IF($B227="","",IF(AX$3=0,"n.b.",INDEX(SRC_Woningetalage!$A$1:$ZZ$501,$A227,AX$3)))</f>
        <v/>
      </c>
      <c r="AY227" s="124" t="str">
        <f>IF($B227="","",IF(AY$3=0,"n.b.",INDEX(SRC_Woningetalage!$A$1:$ZZ$501,$A227,AY$3)))</f>
        <v/>
      </c>
      <c r="AZ227" s="124" t="str">
        <f>IF($B227="","",IF(AZ$3=0,"n.b.",INDEX(SRC_Woningetalage!$A$1:$ZZ$501,$A227,AZ$3)))</f>
        <v/>
      </c>
      <c r="BA227" s="124" t="str">
        <f>IF($B227="","",IF(BA$3=0,"n.b.",INDEX(SRC_Woningetalage!$A$1:$ZZ$501,$A227,BA$3)))</f>
        <v/>
      </c>
      <c r="BB227" s="124" t="str">
        <f>IF($B227="","",IF(BB$3=0,"n.b.",INDEX(SRC_Woningetalage!$A$1:$ZZ$501,$A227,BB$3)))</f>
        <v/>
      </c>
      <c r="BC227" s="124" t="str">
        <f>IF($B227="","",IFERROR(_xlfn.NUMBERVALUE(E227&amp;"",",","."),"n.b."))</f>
        <v/>
      </c>
      <c r="BD227" s="124" t="str">
        <f>IF($B227="","",IFERROR(_xlfn.NUMBERVALUE(M227&amp;"",",","."),"n.b."))</f>
        <v/>
      </c>
      <c r="BE227" s="124" t="str">
        <f>IF($B227="","",IFERROR(AB227+AC227+AD227,"n.b."))</f>
        <v/>
      </c>
      <c r="BF227" s="124" t="str">
        <f>IF($B227="","",IFERROR(AE227+AF227+AG227,"n.b."))</f>
        <v/>
      </c>
      <c r="BG227" s="124" t="str">
        <f>IF($B227="","",IFERROR(AH227+AI227+AJ227,"n.b."))</f>
        <v/>
      </c>
      <c r="BH227" s="124" t="str">
        <f>IF($B227="","",IFERROR(AK227+AL227+AM227,"n.b."))</f>
        <v/>
      </c>
      <c r="BI227" s="124" t="str">
        <f>IF($B227="","",IFERROR(SUMIF($AB$5:$AM$5,"&lt;="&amp;P_PeilMaand,AB227:AM227),"n.b."))</f>
        <v/>
      </c>
      <c r="BJ227" s="124" t="str">
        <f>IF($B227="","",IFERROR(SUM(AB227:AM227)-BI227,"n.b."))</f>
        <v/>
      </c>
      <c r="BK227" s="124" t="str">
        <f>IF($B227="","",IFERROR(IF(ABS(Q227-(T227+SUM(AB227:AM227)+AS227+AU227))&gt;P_Tol,1,0),1))</f>
        <v/>
      </c>
      <c r="BL227" s="124" t="str">
        <f>IF($B227="","",IFERROR(IF(ABS(AA227-(Q227-Z227))&gt;P_Tol,1,0),1))</f>
        <v/>
      </c>
      <c r="BM227" s="124" t="str">
        <f>IF($B227="","",IFERROR(IF(ABS(Z227-(T227+W227))&gt;P_Tol,1,0),1))</f>
        <v/>
      </c>
      <c r="BN227" s="124" t="str">
        <f>IF($B227="","",IFERROR(IF(ABS(W227-BI227)&gt;P_Tol,1,0),1))</f>
        <v/>
      </c>
      <c r="BO227" s="124" t="str">
        <f>IF($B227="","",IFERROR(IF(OR(ABS(R227+S227-T227)&gt;P_Tol,ABS(U227+V227-W227)&gt;P_Tol,ABS(X227+Y227-Z227)&gt;P_Tol),1,0),1))</f>
        <v/>
      </c>
      <c r="BP227" s="124" t="str">
        <f>IF($B227="","",IFERROR(IF(OR(ABS(AR227-SUM(AB227:AM227))&gt;P_Tol,ABS(AS227-(AN227+AO227+AP227+AQ227))&gt;P_Tol),1,0),1))</f>
        <v/>
      </c>
      <c r="BQ227" s="124" t="str">
        <f>IF($B227="","",IFERROR(IF(ABS(AT227)+ABS(AV227)+ABS(AW227)+ABS(AX227)+ABS(AY227)+ABS(AZ227)+ABS(BA227)+ABS(BB227)&gt;0,1,0),1))</f>
        <v/>
      </c>
      <c r="BR227" s="124" t="str">
        <f>IF($B227="","",COUNTIF(STG_ZPMW03!$B$6:$B$505,B227))</f>
        <v/>
      </c>
      <c r="BS227" s="124" t="str">
        <f>IF($B227="","",COUNTIF($B$6:$B$505,B227))</f>
        <v/>
      </c>
      <c r="BT227" s="124" t="str">
        <f>IF($B227="","",IF(BR227=0,0,IF(INDEX(STG_ZPMW03!$I$6:$I$505,MATCH(B227,STG_ZPMW03!$B$6:$B$505,0))=J227&amp;"",0,1)))</f>
        <v/>
      </c>
      <c r="BU227" s="124" t="str">
        <f>IF($B227="","",IFERROR(IF(ABS(INDEX(Mapping!$D$5:$D$104,MATCH(B227,Mapping!$A$5:$A$104,0))-Q227)&gt;P_Tol,1,0),0))</f>
        <v/>
      </c>
      <c r="BV227" s="124" t="str">
        <f>IF($B227="","",IFERROR(IF(AND(INDEX(Mapping!$G$5:$G$104,MATCH(B227,Mapping!$A$5:$A$104,0))="Nee",ABS(Q227)+ABS(Z227)+ABS(AR227)&gt;0),1,0),0))</f>
        <v/>
      </c>
      <c r="BW227" s="124" t="str">
        <f>IF($B227="","",IF(COUNTIF(Mapping!$A$5:$A$104,B227)&gt;0,1,0))</f>
        <v/>
      </c>
      <c r="BX227" s="124" t="str">
        <f>IF($B227="","",IF(BR227=0,COUNTIF($BR$6:BR227,0),""))</f>
        <v/>
      </c>
    </row>
    <row r="228">
      <c r="A228" s="15" t="n">
        <v>224</v>
      </c>
      <c r="B228" t="str">
        <f>IF(B$3=0,"",IF(INDEX(SRC_Woningetalage!$A$1:$ZZ$501,$A228,B$3)&amp;""="","",INDEX(SRC_Woningetalage!$A$1:$ZZ$501,$A228,B$3)&amp;""))</f>
        <v/>
      </c>
      <c r="C228" t="str">
        <f>IF($B228="","",IF(C$3=0,"n.b.",INDEX(SRC_Woningetalage!$A$1:$ZZ$501,$A228,C$3)))</f>
        <v/>
      </c>
      <c r="D228" t="str">
        <f>IF($B228="","",IF(D$3=0,"n.b.",INDEX(SRC_Woningetalage!$A$1:$ZZ$501,$A228,D$3)))</f>
        <v/>
      </c>
      <c r="E228" t="str">
        <f>IF($B228="","",IF(E$3=0,"n.b.",INDEX(SRC_Woningetalage!$A$1:$ZZ$501,$A228,E$3)))</f>
        <v/>
      </c>
      <c r="F228" t="str">
        <f>IF($B228="","",IF(F$3=0,"n.b.",INDEX(SRC_Woningetalage!$A$1:$ZZ$501,$A228,F$3)))</f>
        <v/>
      </c>
      <c r="G228" t="str">
        <f>IF($B228="","",IF(G$3=0,"n.b.",INDEX(SRC_Woningetalage!$A$1:$ZZ$501,$A228,G$3)))</f>
        <v/>
      </c>
      <c r="H228" t="str">
        <f>IF($B228="","",IF(H$3=0,"n.b.",INDEX(SRC_Woningetalage!$A$1:$ZZ$501,$A228,H$3)))</f>
        <v/>
      </c>
      <c r="I228" t="str">
        <f>IF($B228="","",IF(I$3=0,"n.b.",INDEX(SRC_Woningetalage!$A$1:$ZZ$501,$A228,I$3)))</f>
        <v/>
      </c>
      <c r="J228" t="str">
        <f>IF($B228="","",IF(J$3=0,"n.b.",INDEX(SRC_Woningetalage!$A$1:$ZZ$501,$A228,J$3)))</f>
        <v/>
      </c>
      <c r="K228" t="str">
        <f>IF($B228="","",IF(K$3=0,"n.b.",INDEX(SRC_Woningetalage!$A$1:$ZZ$501,$A228,K$3)))</f>
        <v/>
      </c>
      <c r="L228" t="str">
        <f>IF($B228="","",IF(L$3=0,"n.b.",INDEX(SRC_Woningetalage!$A$1:$ZZ$501,$A228,L$3)))</f>
        <v/>
      </c>
      <c r="M228" t="str">
        <f>IF($B228="","",IF(M$3=0,"n.b.",INDEX(SRC_Woningetalage!$A$1:$ZZ$501,$A228,M$3)))</f>
        <v/>
      </c>
      <c r="N228" t="str">
        <f>IF($B228="","",IF(N$3=0,"n.b.",INDEX(SRC_Woningetalage!$A$1:$ZZ$501,$A228,N$3)))</f>
        <v/>
      </c>
      <c r="O228" t="str">
        <f>IF($B228="","",IF(O$3=0,"n.b.",INDEX(SRC_Woningetalage!$A$1:$ZZ$501,$A228,O$3)))</f>
        <v/>
      </c>
      <c r="P228" t="str">
        <f>IF($B228="","",IF(P$3=0,"n.b.",INDEX(SRC_Woningetalage!$A$1:$ZZ$501,$A228,P$3)))</f>
        <v/>
      </c>
      <c r="Q228" s="124" t="str">
        <f>IF($B228="","",IF(Q$3=0,"n.b.",INDEX(SRC_Woningetalage!$A$1:$ZZ$501,$A228,Q$3)))</f>
        <v/>
      </c>
      <c r="R228" s="124" t="str">
        <f>IF($B228="","",IF(R$3=0,"n.b.",INDEX(SRC_Woningetalage!$A$1:$ZZ$501,$A228,R$3)))</f>
        <v/>
      </c>
      <c r="S228" s="124" t="str">
        <f>IF($B228="","",IF(S$3=0,"n.b.",INDEX(SRC_Woningetalage!$A$1:$ZZ$501,$A228,S$3)))</f>
        <v/>
      </c>
      <c r="T228" s="124" t="str">
        <f>IF($B228="","",IF(T$3=0,"n.b.",INDEX(SRC_Woningetalage!$A$1:$ZZ$501,$A228,T$3)))</f>
        <v/>
      </c>
      <c r="U228" s="124" t="str">
        <f>IF($B228="","",IF(U$3=0,"n.b.",INDEX(SRC_Woningetalage!$A$1:$ZZ$501,$A228,U$3)))</f>
        <v/>
      </c>
      <c r="V228" s="124" t="str">
        <f>IF($B228="","",IF(V$3=0,"n.b.",INDEX(SRC_Woningetalage!$A$1:$ZZ$501,$A228,V$3)))</f>
        <v/>
      </c>
      <c r="W228" s="124" t="str">
        <f>IF($B228="","",IF(W$3=0,"n.b.",INDEX(SRC_Woningetalage!$A$1:$ZZ$501,$A228,W$3)))</f>
        <v/>
      </c>
      <c r="X228" s="124" t="str">
        <f>IF($B228="","",IF(X$3=0,"n.b.",INDEX(SRC_Woningetalage!$A$1:$ZZ$501,$A228,X$3)))</f>
        <v/>
      </c>
      <c r="Y228" s="124" t="str">
        <f>IF($B228="","",IF(Y$3=0,"n.b.",INDEX(SRC_Woningetalage!$A$1:$ZZ$501,$A228,Y$3)))</f>
        <v/>
      </c>
      <c r="Z228" s="124" t="str">
        <f>IF($B228="","",IF(Z$3=0,"n.b.",INDEX(SRC_Woningetalage!$A$1:$ZZ$501,$A228,Z$3)))</f>
        <v/>
      </c>
      <c r="AA228" s="124" t="str">
        <f>IF($B228="","",IF(AA$3=0,"n.b.",INDEX(SRC_Woningetalage!$A$1:$ZZ$501,$A228,AA$3)))</f>
        <v/>
      </c>
      <c r="AB228" s="124" t="str">
        <f>IF($B228="","",IF(AB$3=0,"n.b.",INDEX(SRC_Woningetalage!$A$1:$ZZ$501,$A228,AB$3)))</f>
        <v/>
      </c>
      <c r="AC228" s="124" t="str">
        <f>IF($B228="","",IF(AC$3=0,"n.b.",INDEX(SRC_Woningetalage!$A$1:$ZZ$501,$A228,AC$3)))</f>
        <v/>
      </c>
      <c r="AD228" s="124" t="str">
        <f>IF($B228="","",IF(AD$3=0,"n.b.",INDEX(SRC_Woningetalage!$A$1:$ZZ$501,$A228,AD$3)))</f>
        <v/>
      </c>
      <c r="AE228" s="124" t="str">
        <f>IF($B228="","",IF(AE$3=0,"n.b.",INDEX(SRC_Woningetalage!$A$1:$ZZ$501,$A228,AE$3)))</f>
        <v/>
      </c>
      <c r="AF228" s="124" t="str">
        <f>IF($B228="","",IF(AF$3=0,"n.b.",INDEX(SRC_Woningetalage!$A$1:$ZZ$501,$A228,AF$3)))</f>
        <v/>
      </c>
      <c r="AG228" s="124" t="str">
        <f>IF($B228="","",IF(AG$3=0,"n.b.",INDEX(SRC_Woningetalage!$A$1:$ZZ$501,$A228,AG$3)))</f>
        <v/>
      </c>
      <c r="AH228" s="124" t="str">
        <f>IF($B228="","",IF(AH$3=0,"n.b.",INDEX(SRC_Woningetalage!$A$1:$ZZ$501,$A228,AH$3)))</f>
        <v/>
      </c>
      <c r="AI228" s="124" t="str">
        <f>IF($B228="","",IF(AI$3=0,"n.b.",INDEX(SRC_Woningetalage!$A$1:$ZZ$501,$A228,AI$3)))</f>
        <v/>
      </c>
      <c r="AJ228" s="124" t="str">
        <f>IF($B228="","",IF(AJ$3=0,"n.b.",INDEX(SRC_Woningetalage!$A$1:$ZZ$501,$A228,AJ$3)))</f>
        <v/>
      </c>
      <c r="AK228" s="124" t="str">
        <f>IF($B228="","",IF(AK$3=0,"n.b.",INDEX(SRC_Woningetalage!$A$1:$ZZ$501,$A228,AK$3)))</f>
        <v/>
      </c>
      <c r="AL228" s="124" t="str">
        <f>IF($B228="","",IF(AL$3=0,"n.b.",INDEX(SRC_Woningetalage!$A$1:$ZZ$501,$A228,AL$3)))</f>
        <v/>
      </c>
      <c r="AM228" s="124" t="str">
        <f>IF($B228="","",IF(AM$3=0,"n.b.",INDEX(SRC_Woningetalage!$A$1:$ZZ$501,$A228,AM$3)))</f>
        <v/>
      </c>
      <c r="AN228" s="124" t="str">
        <f>IF($B228="","",IF(AN$3=0,"n.b.",INDEX(SRC_Woningetalage!$A$1:$ZZ$501,$A228,AN$3)))</f>
        <v/>
      </c>
      <c r="AO228" s="124" t="str">
        <f>IF($B228="","",IF(AO$3=0,"n.b.",INDEX(SRC_Woningetalage!$A$1:$ZZ$501,$A228,AO$3)))</f>
        <v/>
      </c>
      <c r="AP228" s="124" t="str">
        <f>IF($B228="","",IF(AP$3=0,"n.b.",INDEX(SRC_Woningetalage!$A$1:$ZZ$501,$A228,AP$3)))</f>
        <v/>
      </c>
      <c r="AQ228" s="124" t="str">
        <f>IF($B228="","",IF(AQ$3=0,"n.b.",INDEX(SRC_Woningetalage!$A$1:$ZZ$501,$A228,AQ$3)))</f>
        <v/>
      </c>
      <c r="AR228" s="124" t="str">
        <f>IF($B228="","",IF(AR$3=0,"n.b.",INDEX(SRC_Woningetalage!$A$1:$ZZ$501,$A228,AR$3)))</f>
        <v/>
      </c>
      <c r="AS228" s="124" t="str">
        <f>IF($B228="","",IF(AS$3=0,"n.b.",INDEX(SRC_Woningetalage!$A$1:$ZZ$501,$A228,AS$3)))</f>
        <v/>
      </c>
      <c r="AT228" s="124" t="str">
        <f>IF($B228="","",IF(AT$3=0,"n.b.",INDEX(SRC_Woningetalage!$A$1:$ZZ$501,$A228,AT$3)))</f>
        <v/>
      </c>
      <c r="AU228" s="124" t="str">
        <f>IF($B228="","",IF(AU$3=0,"n.b.",INDEX(SRC_Woningetalage!$A$1:$ZZ$501,$A228,AU$3)))</f>
        <v/>
      </c>
      <c r="AV228" s="124" t="str">
        <f>IF($B228="","",IF(AV$3=0,"n.b.",INDEX(SRC_Woningetalage!$A$1:$ZZ$501,$A228,AV$3)))</f>
        <v/>
      </c>
      <c r="AW228" s="124" t="str">
        <f>IF($B228="","",IF(AW$3=0,"n.b.",INDEX(SRC_Woningetalage!$A$1:$ZZ$501,$A228,AW$3)))</f>
        <v/>
      </c>
      <c r="AX228" s="124" t="str">
        <f>IF($B228="","",IF(AX$3=0,"n.b.",INDEX(SRC_Woningetalage!$A$1:$ZZ$501,$A228,AX$3)))</f>
        <v/>
      </c>
      <c r="AY228" s="124" t="str">
        <f>IF($B228="","",IF(AY$3=0,"n.b.",INDEX(SRC_Woningetalage!$A$1:$ZZ$501,$A228,AY$3)))</f>
        <v/>
      </c>
      <c r="AZ228" s="124" t="str">
        <f>IF($B228="","",IF(AZ$3=0,"n.b.",INDEX(SRC_Woningetalage!$A$1:$ZZ$501,$A228,AZ$3)))</f>
        <v/>
      </c>
      <c r="BA228" s="124" t="str">
        <f>IF($B228="","",IF(BA$3=0,"n.b.",INDEX(SRC_Woningetalage!$A$1:$ZZ$501,$A228,BA$3)))</f>
        <v/>
      </c>
      <c r="BB228" s="124" t="str">
        <f>IF($B228="","",IF(BB$3=0,"n.b.",INDEX(SRC_Woningetalage!$A$1:$ZZ$501,$A228,BB$3)))</f>
        <v/>
      </c>
      <c r="BC228" s="124" t="str">
        <f>IF($B228="","",IFERROR(_xlfn.NUMBERVALUE(E228&amp;"",",","."),"n.b."))</f>
        <v/>
      </c>
      <c r="BD228" s="124" t="str">
        <f>IF($B228="","",IFERROR(_xlfn.NUMBERVALUE(M228&amp;"",",","."),"n.b."))</f>
        <v/>
      </c>
      <c r="BE228" s="124" t="str">
        <f>IF($B228="","",IFERROR(AB228+AC228+AD228,"n.b."))</f>
        <v/>
      </c>
      <c r="BF228" s="124" t="str">
        <f>IF($B228="","",IFERROR(AE228+AF228+AG228,"n.b."))</f>
        <v/>
      </c>
      <c r="BG228" s="124" t="str">
        <f>IF($B228="","",IFERROR(AH228+AI228+AJ228,"n.b."))</f>
        <v/>
      </c>
      <c r="BH228" s="124" t="str">
        <f>IF($B228="","",IFERROR(AK228+AL228+AM228,"n.b."))</f>
        <v/>
      </c>
      <c r="BI228" s="124" t="str">
        <f>IF($B228="","",IFERROR(SUMIF($AB$5:$AM$5,"&lt;="&amp;P_PeilMaand,AB228:AM228),"n.b."))</f>
        <v/>
      </c>
      <c r="BJ228" s="124" t="str">
        <f>IF($B228="","",IFERROR(SUM(AB228:AM228)-BI228,"n.b."))</f>
        <v/>
      </c>
      <c r="BK228" s="124" t="str">
        <f>IF($B228="","",IFERROR(IF(ABS(Q228-(T228+SUM(AB228:AM228)+AS228+AU228))&gt;P_Tol,1,0),1))</f>
        <v/>
      </c>
      <c r="BL228" s="124" t="str">
        <f>IF($B228="","",IFERROR(IF(ABS(AA228-(Q228-Z228))&gt;P_Tol,1,0),1))</f>
        <v/>
      </c>
      <c r="BM228" s="124" t="str">
        <f>IF($B228="","",IFERROR(IF(ABS(Z228-(T228+W228))&gt;P_Tol,1,0),1))</f>
        <v/>
      </c>
      <c r="BN228" s="124" t="str">
        <f>IF($B228="","",IFERROR(IF(ABS(W228-BI228)&gt;P_Tol,1,0),1))</f>
        <v/>
      </c>
      <c r="BO228" s="124" t="str">
        <f>IF($B228="","",IFERROR(IF(OR(ABS(R228+S228-T228)&gt;P_Tol,ABS(U228+V228-W228)&gt;P_Tol,ABS(X228+Y228-Z228)&gt;P_Tol),1,0),1))</f>
        <v/>
      </c>
      <c r="BP228" s="124" t="str">
        <f>IF($B228="","",IFERROR(IF(OR(ABS(AR228-SUM(AB228:AM228))&gt;P_Tol,ABS(AS228-(AN228+AO228+AP228+AQ228))&gt;P_Tol),1,0),1))</f>
        <v/>
      </c>
      <c r="BQ228" s="124" t="str">
        <f>IF($B228="","",IFERROR(IF(ABS(AT228)+ABS(AV228)+ABS(AW228)+ABS(AX228)+ABS(AY228)+ABS(AZ228)+ABS(BA228)+ABS(BB228)&gt;0,1,0),1))</f>
        <v/>
      </c>
      <c r="BR228" s="124" t="str">
        <f>IF($B228="","",COUNTIF(STG_ZPMW03!$B$6:$B$505,B228))</f>
        <v/>
      </c>
      <c r="BS228" s="124" t="str">
        <f>IF($B228="","",COUNTIF($B$6:$B$505,B228))</f>
        <v/>
      </c>
      <c r="BT228" s="124" t="str">
        <f>IF($B228="","",IF(BR228=0,0,IF(INDEX(STG_ZPMW03!$I$6:$I$505,MATCH(B228,STG_ZPMW03!$B$6:$B$505,0))=J228&amp;"",0,1)))</f>
        <v/>
      </c>
      <c r="BU228" s="124" t="str">
        <f>IF($B228="","",IFERROR(IF(ABS(INDEX(Mapping!$D$5:$D$104,MATCH(B228,Mapping!$A$5:$A$104,0))-Q228)&gt;P_Tol,1,0),0))</f>
        <v/>
      </c>
      <c r="BV228" s="124" t="str">
        <f>IF($B228="","",IFERROR(IF(AND(INDEX(Mapping!$G$5:$G$104,MATCH(B228,Mapping!$A$5:$A$104,0))="Nee",ABS(Q228)+ABS(Z228)+ABS(AR228)&gt;0),1,0),0))</f>
        <v/>
      </c>
      <c r="BW228" s="124" t="str">
        <f>IF($B228="","",IF(COUNTIF(Mapping!$A$5:$A$104,B228)&gt;0,1,0))</f>
        <v/>
      </c>
      <c r="BX228" s="124" t="str">
        <f>IF($B228="","",IF(BR228=0,COUNTIF($BR$6:BR228,0),""))</f>
        <v/>
      </c>
    </row>
    <row r="229">
      <c r="A229" s="15" t="n">
        <v>225</v>
      </c>
      <c r="B229" t="str">
        <f>IF(B$3=0,"",IF(INDEX(SRC_Woningetalage!$A$1:$ZZ$501,$A229,B$3)&amp;""="","",INDEX(SRC_Woningetalage!$A$1:$ZZ$501,$A229,B$3)&amp;""))</f>
        <v/>
      </c>
      <c r="C229" t="str">
        <f>IF($B229="","",IF(C$3=0,"n.b.",INDEX(SRC_Woningetalage!$A$1:$ZZ$501,$A229,C$3)))</f>
        <v/>
      </c>
      <c r="D229" t="str">
        <f>IF($B229="","",IF(D$3=0,"n.b.",INDEX(SRC_Woningetalage!$A$1:$ZZ$501,$A229,D$3)))</f>
        <v/>
      </c>
      <c r="E229" t="str">
        <f>IF($B229="","",IF(E$3=0,"n.b.",INDEX(SRC_Woningetalage!$A$1:$ZZ$501,$A229,E$3)))</f>
        <v/>
      </c>
      <c r="F229" t="str">
        <f>IF($B229="","",IF(F$3=0,"n.b.",INDEX(SRC_Woningetalage!$A$1:$ZZ$501,$A229,F$3)))</f>
        <v/>
      </c>
      <c r="G229" t="str">
        <f>IF($B229="","",IF(G$3=0,"n.b.",INDEX(SRC_Woningetalage!$A$1:$ZZ$501,$A229,G$3)))</f>
        <v/>
      </c>
      <c r="H229" t="str">
        <f>IF($B229="","",IF(H$3=0,"n.b.",INDEX(SRC_Woningetalage!$A$1:$ZZ$501,$A229,H$3)))</f>
        <v/>
      </c>
      <c r="I229" t="str">
        <f>IF($B229="","",IF(I$3=0,"n.b.",INDEX(SRC_Woningetalage!$A$1:$ZZ$501,$A229,I$3)))</f>
        <v/>
      </c>
      <c r="J229" t="str">
        <f>IF($B229="","",IF(J$3=0,"n.b.",INDEX(SRC_Woningetalage!$A$1:$ZZ$501,$A229,J$3)))</f>
        <v/>
      </c>
      <c r="K229" t="str">
        <f>IF($B229="","",IF(K$3=0,"n.b.",INDEX(SRC_Woningetalage!$A$1:$ZZ$501,$A229,K$3)))</f>
        <v/>
      </c>
      <c r="L229" t="str">
        <f>IF($B229="","",IF(L$3=0,"n.b.",INDEX(SRC_Woningetalage!$A$1:$ZZ$501,$A229,L$3)))</f>
        <v/>
      </c>
      <c r="M229" t="str">
        <f>IF($B229="","",IF(M$3=0,"n.b.",INDEX(SRC_Woningetalage!$A$1:$ZZ$501,$A229,M$3)))</f>
        <v/>
      </c>
      <c r="N229" t="str">
        <f>IF($B229="","",IF(N$3=0,"n.b.",INDEX(SRC_Woningetalage!$A$1:$ZZ$501,$A229,N$3)))</f>
        <v/>
      </c>
      <c r="O229" t="str">
        <f>IF($B229="","",IF(O$3=0,"n.b.",INDEX(SRC_Woningetalage!$A$1:$ZZ$501,$A229,O$3)))</f>
        <v/>
      </c>
      <c r="P229" t="str">
        <f>IF($B229="","",IF(P$3=0,"n.b.",INDEX(SRC_Woningetalage!$A$1:$ZZ$501,$A229,P$3)))</f>
        <v/>
      </c>
      <c r="Q229" s="124" t="str">
        <f>IF($B229="","",IF(Q$3=0,"n.b.",INDEX(SRC_Woningetalage!$A$1:$ZZ$501,$A229,Q$3)))</f>
        <v/>
      </c>
      <c r="R229" s="124" t="str">
        <f>IF($B229="","",IF(R$3=0,"n.b.",INDEX(SRC_Woningetalage!$A$1:$ZZ$501,$A229,R$3)))</f>
        <v/>
      </c>
      <c r="S229" s="124" t="str">
        <f>IF($B229="","",IF(S$3=0,"n.b.",INDEX(SRC_Woningetalage!$A$1:$ZZ$501,$A229,S$3)))</f>
        <v/>
      </c>
      <c r="T229" s="124" t="str">
        <f>IF($B229="","",IF(T$3=0,"n.b.",INDEX(SRC_Woningetalage!$A$1:$ZZ$501,$A229,T$3)))</f>
        <v/>
      </c>
      <c r="U229" s="124" t="str">
        <f>IF($B229="","",IF(U$3=0,"n.b.",INDEX(SRC_Woningetalage!$A$1:$ZZ$501,$A229,U$3)))</f>
        <v/>
      </c>
      <c r="V229" s="124" t="str">
        <f>IF($B229="","",IF(V$3=0,"n.b.",INDEX(SRC_Woningetalage!$A$1:$ZZ$501,$A229,V$3)))</f>
        <v/>
      </c>
      <c r="W229" s="124" t="str">
        <f>IF($B229="","",IF(W$3=0,"n.b.",INDEX(SRC_Woningetalage!$A$1:$ZZ$501,$A229,W$3)))</f>
        <v/>
      </c>
      <c r="X229" s="124" t="str">
        <f>IF($B229="","",IF(X$3=0,"n.b.",INDEX(SRC_Woningetalage!$A$1:$ZZ$501,$A229,X$3)))</f>
        <v/>
      </c>
      <c r="Y229" s="124" t="str">
        <f>IF($B229="","",IF(Y$3=0,"n.b.",INDEX(SRC_Woningetalage!$A$1:$ZZ$501,$A229,Y$3)))</f>
        <v/>
      </c>
      <c r="Z229" s="124" t="str">
        <f>IF($B229="","",IF(Z$3=0,"n.b.",INDEX(SRC_Woningetalage!$A$1:$ZZ$501,$A229,Z$3)))</f>
        <v/>
      </c>
      <c r="AA229" s="124" t="str">
        <f>IF($B229="","",IF(AA$3=0,"n.b.",INDEX(SRC_Woningetalage!$A$1:$ZZ$501,$A229,AA$3)))</f>
        <v/>
      </c>
      <c r="AB229" s="124" t="str">
        <f>IF($B229="","",IF(AB$3=0,"n.b.",INDEX(SRC_Woningetalage!$A$1:$ZZ$501,$A229,AB$3)))</f>
        <v/>
      </c>
      <c r="AC229" s="124" t="str">
        <f>IF($B229="","",IF(AC$3=0,"n.b.",INDEX(SRC_Woningetalage!$A$1:$ZZ$501,$A229,AC$3)))</f>
        <v/>
      </c>
      <c r="AD229" s="124" t="str">
        <f>IF($B229="","",IF(AD$3=0,"n.b.",INDEX(SRC_Woningetalage!$A$1:$ZZ$501,$A229,AD$3)))</f>
        <v/>
      </c>
      <c r="AE229" s="124" t="str">
        <f>IF($B229="","",IF(AE$3=0,"n.b.",INDEX(SRC_Woningetalage!$A$1:$ZZ$501,$A229,AE$3)))</f>
        <v/>
      </c>
      <c r="AF229" s="124" t="str">
        <f>IF($B229="","",IF(AF$3=0,"n.b.",INDEX(SRC_Woningetalage!$A$1:$ZZ$501,$A229,AF$3)))</f>
        <v/>
      </c>
      <c r="AG229" s="124" t="str">
        <f>IF($B229="","",IF(AG$3=0,"n.b.",INDEX(SRC_Woningetalage!$A$1:$ZZ$501,$A229,AG$3)))</f>
        <v/>
      </c>
      <c r="AH229" s="124" t="str">
        <f>IF($B229="","",IF(AH$3=0,"n.b.",INDEX(SRC_Woningetalage!$A$1:$ZZ$501,$A229,AH$3)))</f>
        <v/>
      </c>
      <c r="AI229" s="124" t="str">
        <f>IF($B229="","",IF(AI$3=0,"n.b.",INDEX(SRC_Woningetalage!$A$1:$ZZ$501,$A229,AI$3)))</f>
        <v/>
      </c>
      <c r="AJ229" s="124" t="str">
        <f>IF($B229="","",IF(AJ$3=0,"n.b.",INDEX(SRC_Woningetalage!$A$1:$ZZ$501,$A229,AJ$3)))</f>
        <v/>
      </c>
      <c r="AK229" s="124" t="str">
        <f>IF($B229="","",IF(AK$3=0,"n.b.",INDEX(SRC_Woningetalage!$A$1:$ZZ$501,$A229,AK$3)))</f>
        <v/>
      </c>
      <c r="AL229" s="124" t="str">
        <f>IF($B229="","",IF(AL$3=0,"n.b.",INDEX(SRC_Woningetalage!$A$1:$ZZ$501,$A229,AL$3)))</f>
        <v/>
      </c>
      <c r="AM229" s="124" t="str">
        <f>IF($B229="","",IF(AM$3=0,"n.b.",INDEX(SRC_Woningetalage!$A$1:$ZZ$501,$A229,AM$3)))</f>
        <v/>
      </c>
      <c r="AN229" s="124" t="str">
        <f>IF($B229="","",IF(AN$3=0,"n.b.",INDEX(SRC_Woningetalage!$A$1:$ZZ$501,$A229,AN$3)))</f>
        <v/>
      </c>
      <c r="AO229" s="124" t="str">
        <f>IF($B229="","",IF(AO$3=0,"n.b.",INDEX(SRC_Woningetalage!$A$1:$ZZ$501,$A229,AO$3)))</f>
        <v/>
      </c>
      <c r="AP229" s="124" t="str">
        <f>IF($B229="","",IF(AP$3=0,"n.b.",INDEX(SRC_Woningetalage!$A$1:$ZZ$501,$A229,AP$3)))</f>
        <v/>
      </c>
      <c r="AQ229" s="124" t="str">
        <f>IF($B229="","",IF(AQ$3=0,"n.b.",INDEX(SRC_Woningetalage!$A$1:$ZZ$501,$A229,AQ$3)))</f>
        <v/>
      </c>
      <c r="AR229" s="124" t="str">
        <f>IF($B229="","",IF(AR$3=0,"n.b.",INDEX(SRC_Woningetalage!$A$1:$ZZ$501,$A229,AR$3)))</f>
        <v/>
      </c>
      <c r="AS229" s="124" t="str">
        <f>IF($B229="","",IF(AS$3=0,"n.b.",INDEX(SRC_Woningetalage!$A$1:$ZZ$501,$A229,AS$3)))</f>
        <v/>
      </c>
      <c r="AT229" s="124" t="str">
        <f>IF($B229="","",IF(AT$3=0,"n.b.",INDEX(SRC_Woningetalage!$A$1:$ZZ$501,$A229,AT$3)))</f>
        <v/>
      </c>
      <c r="AU229" s="124" t="str">
        <f>IF($B229="","",IF(AU$3=0,"n.b.",INDEX(SRC_Woningetalage!$A$1:$ZZ$501,$A229,AU$3)))</f>
        <v/>
      </c>
      <c r="AV229" s="124" t="str">
        <f>IF($B229="","",IF(AV$3=0,"n.b.",INDEX(SRC_Woningetalage!$A$1:$ZZ$501,$A229,AV$3)))</f>
        <v/>
      </c>
      <c r="AW229" s="124" t="str">
        <f>IF($B229="","",IF(AW$3=0,"n.b.",INDEX(SRC_Woningetalage!$A$1:$ZZ$501,$A229,AW$3)))</f>
        <v/>
      </c>
      <c r="AX229" s="124" t="str">
        <f>IF($B229="","",IF(AX$3=0,"n.b.",INDEX(SRC_Woningetalage!$A$1:$ZZ$501,$A229,AX$3)))</f>
        <v/>
      </c>
      <c r="AY229" s="124" t="str">
        <f>IF($B229="","",IF(AY$3=0,"n.b.",INDEX(SRC_Woningetalage!$A$1:$ZZ$501,$A229,AY$3)))</f>
        <v/>
      </c>
      <c r="AZ229" s="124" t="str">
        <f>IF($B229="","",IF(AZ$3=0,"n.b.",INDEX(SRC_Woningetalage!$A$1:$ZZ$501,$A229,AZ$3)))</f>
        <v/>
      </c>
      <c r="BA229" s="124" t="str">
        <f>IF($B229="","",IF(BA$3=0,"n.b.",INDEX(SRC_Woningetalage!$A$1:$ZZ$501,$A229,BA$3)))</f>
        <v/>
      </c>
      <c r="BB229" s="124" t="str">
        <f>IF($B229="","",IF(BB$3=0,"n.b.",INDEX(SRC_Woningetalage!$A$1:$ZZ$501,$A229,BB$3)))</f>
        <v/>
      </c>
      <c r="BC229" s="124" t="str">
        <f>IF($B229="","",IFERROR(_xlfn.NUMBERVALUE(E229&amp;"",",","."),"n.b."))</f>
        <v/>
      </c>
      <c r="BD229" s="124" t="str">
        <f>IF($B229="","",IFERROR(_xlfn.NUMBERVALUE(M229&amp;"",",","."),"n.b."))</f>
        <v/>
      </c>
      <c r="BE229" s="124" t="str">
        <f>IF($B229="","",IFERROR(AB229+AC229+AD229,"n.b."))</f>
        <v/>
      </c>
      <c r="BF229" s="124" t="str">
        <f>IF($B229="","",IFERROR(AE229+AF229+AG229,"n.b."))</f>
        <v/>
      </c>
      <c r="BG229" s="124" t="str">
        <f>IF($B229="","",IFERROR(AH229+AI229+AJ229,"n.b."))</f>
        <v/>
      </c>
      <c r="BH229" s="124" t="str">
        <f>IF($B229="","",IFERROR(AK229+AL229+AM229,"n.b."))</f>
        <v/>
      </c>
      <c r="BI229" s="124" t="str">
        <f>IF($B229="","",IFERROR(SUMIF($AB$5:$AM$5,"&lt;="&amp;P_PeilMaand,AB229:AM229),"n.b."))</f>
        <v/>
      </c>
      <c r="BJ229" s="124" t="str">
        <f>IF($B229="","",IFERROR(SUM(AB229:AM229)-BI229,"n.b."))</f>
        <v/>
      </c>
      <c r="BK229" s="124" t="str">
        <f>IF($B229="","",IFERROR(IF(ABS(Q229-(T229+SUM(AB229:AM229)+AS229+AU229))&gt;P_Tol,1,0),1))</f>
        <v/>
      </c>
      <c r="BL229" s="124" t="str">
        <f>IF($B229="","",IFERROR(IF(ABS(AA229-(Q229-Z229))&gt;P_Tol,1,0),1))</f>
        <v/>
      </c>
      <c r="BM229" s="124" t="str">
        <f>IF($B229="","",IFERROR(IF(ABS(Z229-(T229+W229))&gt;P_Tol,1,0),1))</f>
        <v/>
      </c>
      <c r="BN229" s="124" t="str">
        <f>IF($B229="","",IFERROR(IF(ABS(W229-BI229)&gt;P_Tol,1,0),1))</f>
        <v/>
      </c>
      <c r="BO229" s="124" t="str">
        <f>IF($B229="","",IFERROR(IF(OR(ABS(R229+S229-T229)&gt;P_Tol,ABS(U229+V229-W229)&gt;P_Tol,ABS(X229+Y229-Z229)&gt;P_Tol),1,0),1))</f>
        <v/>
      </c>
      <c r="BP229" s="124" t="str">
        <f>IF($B229="","",IFERROR(IF(OR(ABS(AR229-SUM(AB229:AM229))&gt;P_Tol,ABS(AS229-(AN229+AO229+AP229+AQ229))&gt;P_Tol),1,0),1))</f>
        <v/>
      </c>
      <c r="BQ229" s="124" t="str">
        <f>IF($B229="","",IFERROR(IF(ABS(AT229)+ABS(AV229)+ABS(AW229)+ABS(AX229)+ABS(AY229)+ABS(AZ229)+ABS(BA229)+ABS(BB229)&gt;0,1,0),1))</f>
        <v/>
      </c>
      <c r="BR229" s="124" t="str">
        <f>IF($B229="","",COUNTIF(STG_ZPMW03!$B$6:$B$505,B229))</f>
        <v/>
      </c>
      <c r="BS229" s="124" t="str">
        <f>IF($B229="","",COUNTIF($B$6:$B$505,B229))</f>
        <v/>
      </c>
      <c r="BT229" s="124" t="str">
        <f>IF($B229="","",IF(BR229=0,0,IF(INDEX(STG_ZPMW03!$I$6:$I$505,MATCH(B229,STG_ZPMW03!$B$6:$B$505,0))=J229&amp;"",0,1)))</f>
        <v/>
      </c>
      <c r="BU229" s="124" t="str">
        <f>IF($B229="","",IFERROR(IF(ABS(INDEX(Mapping!$D$5:$D$104,MATCH(B229,Mapping!$A$5:$A$104,0))-Q229)&gt;P_Tol,1,0),0))</f>
        <v/>
      </c>
      <c r="BV229" s="124" t="str">
        <f>IF($B229="","",IFERROR(IF(AND(INDEX(Mapping!$G$5:$G$104,MATCH(B229,Mapping!$A$5:$A$104,0))="Nee",ABS(Q229)+ABS(Z229)+ABS(AR229)&gt;0),1,0),0))</f>
        <v/>
      </c>
      <c r="BW229" s="124" t="str">
        <f>IF($B229="","",IF(COUNTIF(Mapping!$A$5:$A$104,B229)&gt;0,1,0))</f>
        <v/>
      </c>
      <c r="BX229" s="124" t="str">
        <f>IF($B229="","",IF(BR229=0,COUNTIF($BR$6:BR229,0),""))</f>
        <v/>
      </c>
    </row>
    <row r="230">
      <c r="A230" s="15" t="n">
        <v>226</v>
      </c>
      <c r="B230" t="str">
        <f>IF(B$3=0,"",IF(INDEX(SRC_Woningetalage!$A$1:$ZZ$501,$A230,B$3)&amp;""="","",INDEX(SRC_Woningetalage!$A$1:$ZZ$501,$A230,B$3)&amp;""))</f>
        <v/>
      </c>
      <c r="C230" t="str">
        <f>IF($B230="","",IF(C$3=0,"n.b.",INDEX(SRC_Woningetalage!$A$1:$ZZ$501,$A230,C$3)))</f>
        <v/>
      </c>
      <c r="D230" t="str">
        <f>IF($B230="","",IF(D$3=0,"n.b.",INDEX(SRC_Woningetalage!$A$1:$ZZ$501,$A230,D$3)))</f>
        <v/>
      </c>
      <c r="E230" t="str">
        <f>IF($B230="","",IF(E$3=0,"n.b.",INDEX(SRC_Woningetalage!$A$1:$ZZ$501,$A230,E$3)))</f>
        <v/>
      </c>
      <c r="F230" t="str">
        <f>IF($B230="","",IF(F$3=0,"n.b.",INDEX(SRC_Woningetalage!$A$1:$ZZ$501,$A230,F$3)))</f>
        <v/>
      </c>
      <c r="G230" t="str">
        <f>IF($B230="","",IF(G$3=0,"n.b.",INDEX(SRC_Woningetalage!$A$1:$ZZ$501,$A230,G$3)))</f>
        <v/>
      </c>
      <c r="H230" t="str">
        <f>IF($B230="","",IF(H$3=0,"n.b.",INDEX(SRC_Woningetalage!$A$1:$ZZ$501,$A230,H$3)))</f>
        <v/>
      </c>
      <c r="I230" t="str">
        <f>IF($B230="","",IF(I$3=0,"n.b.",INDEX(SRC_Woningetalage!$A$1:$ZZ$501,$A230,I$3)))</f>
        <v/>
      </c>
      <c r="J230" t="str">
        <f>IF($B230="","",IF(J$3=0,"n.b.",INDEX(SRC_Woningetalage!$A$1:$ZZ$501,$A230,J$3)))</f>
        <v/>
      </c>
      <c r="K230" t="str">
        <f>IF($B230="","",IF(K$3=0,"n.b.",INDEX(SRC_Woningetalage!$A$1:$ZZ$501,$A230,K$3)))</f>
        <v/>
      </c>
      <c r="L230" t="str">
        <f>IF($B230="","",IF(L$3=0,"n.b.",INDEX(SRC_Woningetalage!$A$1:$ZZ$501,$A230,L$3)))</f>
        <v/>
      </c>
      <c r="M230" t="str">
        <f>IF($B230="","",IF(M$3=0,"n.b.",INDEX(SRC_Woningetalage!$A$1:$ZZ$501,$A230,M$3)))</f>
        <v/>
      </c>
      <c r="N230" t="str">
        <f>IF($B230="","",IF(N$3=0,"n.b.",INDEX(SRC_Woningetalage!$A$1:$ZZ$501,$A230,N$3)))</f>
        <v/>
      </c>
      <c r="O230" t="str">
        <f>IF($B230="","",IF(O$3=0,"n.b.",INDEX(SRC_Woningetalage!$A$1:$ZZ$501,$A230,O$3)))</f>
        <v/>
      </c>
      <c r="P230" t="str">
        <f>IF($B230="","",IF(P$3=0,"n.b.",INDEX(SRC_Woningetalage!$A$1:$ZZ$501,$A230,P$3)))</f>
        <v/>
      </c>
      <c r="Q230" s="124" t="str">
        <f>IF($B230="","",IF(Q$3=0,"n.b.",INDEX(SRC_Woningetalage!$A$1:$ZZ$501,$A230,Q$3)))</f>
        <v/>
      </c>
      <c r="R230" s="124" t="str">
        <f>IF($B230="","",IF(R$3=0,"n.b.",INDEX(SRC_Woningetalage!$A$1:$ZZ$501,$A230,R$3)))</f>
        <v/>
      </c>
      <c r="S230" s="124" t="str">
        <f>IF($B230="","",IF(S$3=0,"n.b.",INDEX(SRC_Woningetalage!$A$1:$ZZ$501,$A230,S$3)))</f>
        <v/>
      </c>
      <c r="T230" s="124" t="str">
        <f>IF($B230="","",IF(T$3=0,"n.b.",INDEX(SRC_Woningetalage!$A$1:$ZZ$501,$A230,T$3)))</f>
        <v/>
      </c>
      <c r="U230" s="124" t="str">
        <f>IF($B230="","",IF(U$3=0,"n.b.",INDEX(SRC_Woningetalage!$A$1:$ZZ$501,$A230,U$3)))</f>
        <v/>
      </c>
      <c r="V230" s="124" t="str">
        <f>IF($B230="","",IF(V$3=0,"n.b.",INDEX(SRC_Woningetalage!$A$1:$ZZ$501,$A230,V$3)))</f>
        <v/>
      </c>
      <c r="W230" s="124" t="str">
        <f>IF($B230="","",IF(W$3=0,"n.b.",INDEX(SRC_Woningetalage!$A$1:$ZZ$501,$A230,W$3)))</f>
        <v/>
      </c>
      <c r="X230" s="124" t="str">
        <f>IF($B230="","",IF(X$3=0,"n.b.",INDEX(SRC_Woningetalage!$A$1:$ZZ$501,$A230,X$3)))</f>
        <v/>
      </c>
      <c r="Y230" s="124" t="str">
        <f>IF($B230="","",IF(Y$3=0,"n.b.",INDEX(SRC_Woningetalage!$A$1:$ZZ$501,$A230,Y$3)))</f>
        <v/>
      </c>
      <c r="Z230" s="124" t="str">
        <f>IF($B230="","",IF(Z$3=0,"n.b.",INDEX(SRC_Woningetalage!$A$1:$ZZ$501,$A230,Z$3)))</f>
        <v/>
      </c>
      <c r="AA230" s="124" t="str">
        <f>IF($B230="","",IF(AA$3=0,"n.b.",INDEX(SRC_Woningetalage!$A$1:$ZZ$501,$A230,AA$3)))</f>
        <v/>
      </c>
      <c r="AB230" s="124" t="str">
        <f>IF($B230="","",IF(AB$3=0,"n.b.",INDEX(SRC_Woningetalage!$A$1:$ZZ$501,$A230,AB$3)))</f>
        <v/>
      </c>
      <c r="AC230" s="124" t="str">
        <f>IF($B230="","",IF(AC$3=0,"n.b.",INDEX(SRC_Woningetalage!$A$1:$ZZ$501,$A230,AC$3)))</f>
        <v/>
      </c>
      <c r="AD230" s="124" t="str">
        <f>IF($B230="","",IF(AD$3=0,"n.b.",INDEX(SRC_Woningetalage!$A$1:$ZZ$501,$A230,AD$3)))</f>
        <v/>
      </c>
      <c r="AE230" s="124" t="str">
        <f>IF($B230="","",IF(AE$3=0,"n.b.",INDEX(SRC_Woningetalage!$A$1:$ZZ$501,$A230,AE$3)))</f>
        <v/>
      </c>
      <c r="AF230" s="124" t="str">
        <f>IF($B230="","",IF(AF$3=0,"n.b.",INDEX(SRC_Woningetalage!$A$1:$ZZ$501,$A230,AF$3)))</f>
        <v/>
      </c>
      <c r="AG230" s="124" t="str">
        <f>IF($B230="","",IF(AG$3=0,"n.b.",INDEX(SRC_Woningetalage!$A$1:$ZZ$501,$A230,AG$3)))</f>
        <v/>
      </c>
      <c r="AH230" s="124" t="str">
        <f>IF($B230="","",IF(AH$3=0,"n.b.",INDEX(SRC_Woningetalage!$A$1:$ZZ$501,$A230,AH$3)))</f>
        <v/>
      </c>
      <c r="AI230" s="124" t="str">
        <f>IF($B230="","",IF(AI$3=0,"n.b.",INDEX(SRC_Woningetalage!$A$1:$ZZ$501,$A230,AI$3)))</f>
        <v/>
      </c>
      <c r="AJ230" s="124" t="str">
        <f>IF($B230="","",IF(AJ$3=0,"n.b.",INDEX(SRC_Woningetalage!$A$1:$ZZ$501,$A230,AJ$3)))</f>
        <v/>
      </c>
      <c r="AK230" s="124" t="str">
        <f>IF($B230="","",IF(AK$3=0,"n.b.",INDEX(SRC_Woningetalage!$A$1:$ZZ$501,$A230,AK$3)))</f>
        <v/>
      </c>
      <c r="AL230" s="124" t="str">
        <f>IF($B230="","",IF(AL$3=0,"n.b.",INDEX(SRC_Woningetalage!$A$1:$ZZ$501,$A230,AL$3)))</f>
        <v/>
      </c>
      <c r="AM230" s="124" t="str">
        <f>IF($B230="","",IF(AM$3=0,"n.b.",INDEX(SRC_Woningetalage!$A$1:$ZZ$501,$A230,AM$3)))</f>
        <v/>
      </c>
      <c r="AN230" s="124" t="str">
        <f>IF($B230="","",IF(AN$3=0,"n.b.",INDEX(SRC_Woningetalage!$A$1:$ZZ$501,$A230,AN$3)))</f>
        <v/>
      </c>
      <c r="AO230" s="124" t="str">
        <f>IF($B230="","",IF(AO$3=0,"n.b.",INDEX(SRC_Woningetalage!$A$1:$ZZ$501,$A230,AO$3)))</f>
        <v/>
      </c>
      <c r="AP230" s="124" t="str">
        <f>IF($B230="","",IF(AP$3=0,"n.b.",INDEX(SRC_Woningetalage!$A$1:$ZZ$501,$A230,AP$3)))</f>
        <v/>
      </c>
      <c r="AQ230" s="124" t="str">
        <f>IF($B230="","",IF(AQ$3=0,"n.b.",INDEX(SRC_Woningetalage!$A$1:$ZZ$501,$A230,AQ$3)))</f>
        <v/>
      </c>
      <c r="AR230" s="124" t="str">
        <f>IF($B230="","",IF(AR$3=0,"n.b.",INDEX(SRC_Woningetalage!$A$1:$ZZ$501,$A230,AR$3)))</f>
        <v/>
      </c>
      <c r="AS230" s="124" t="str">
        <f>IF($B230="","",IF(AS$3=0,"n.b.",INDEX(SRC_Woningetalage!$A$1:$ZZ$501,$A230,AS$3)))</f>
        <v/>
      </c>
      <c r="AT230" s="124" t="str">
        <f>IF($B230="","",IF(AT$3=0,"n.b.",INDEX(SRC_Woningetalage!$A$1:$ZZ$501,$A230,AT$3)))</f>
        <v/>
      </c>
      <c r="AU230" s="124" t="str">
        <f>IF($B230="","",IF(AU$3=0,"n.b.",INDEX(SRC_Woningetalage!$A$1:$ZZ$501,$A230,AU$3)))</f>
        <v/>
      </c>
      <c r="AV230" s="124" t="str">
        <f>IF($B230="","",IF(AV$3=0,"n.b.",INDEX(SRC_Woningetalage!$A$1:$ZZ$501,$A230,AV$3)))</f>
        <v/>
      </c>
      <c r="AW230" s="124" t="str">
        <f>IF($B230="","",IF(AW$3=0,"n.b.",INDEX(SRC_Woningetalage!$A$1:$ZZ$501,$A230,AW$3)))</f>
        <v/>
      </c>
      <c r="AX230" s="124" t="str">
        <f>IF($B230="","",IF(AX$3=0,"n.b.",INDEX(SRC_Woningetalage!$A$1:$ZZ$501,$A230,AX$3)))</f>
        <v/>
      </c>
      <c r="AY230" s="124" t="str">
        <f>IF($B230="","",IF(AY$3=0,"n.b.",INDEX(SRC_Woningetalage!$A$1:$ZZ$501,$A230,AY$3)))</f>
        <v/>
      </c>
      <c r="AZ230" s="124" t="str">
        <f>IF($B230="","",IF(AZ$3=0,"n.b.",INDEX(SRC_Woningetalage!$A$1:$ZZ$501,$A230,AZ$3)))</f>
        <v/>
      </c>
      <c r="BA230" s="124" t="str">
        <f>IF($B230="","",IF(BA$3=0,"n.b.",INDEX(SRC_Woningetalage!$A$1:$ZZ$501,$A230,BA$3)))</f>
        <v/>
      </c>
      <c r="BB230" s="124" t="str">
        <f>IF($B230="","",IF(BB$3=0,"n.b.",INDEX(SRC_Woningetalage!$A$1:$ZZ$501,$A230,BB$3)))</f>
        <v/>
      </c>
      <c r="BC230" s="124" t="str">
        <f>IF($B230="","",IFERROR(_xlfn.NUMBERVALUE(E230&amp;"",",","."),"n.b."))</f>
        <v/>
      </c>
      <c r="BD230" s="124" t="str">
        <f>IF($B230="","",IFERROR(_xlfn.NUMBERVALUE(M230&amp;"",",","."),"n.b."))</f>
        <v/>
      </c>
      <c r="BE230" s="124" t="str">
        <f>IF($B230="","",IFERROR(AB230+AC230+AD230,"n.b."))</f>
        <v/>
      </c>
      <c r="BF230" s="124" t="str">
        <f>IF($B230="","",IFERROR(AE230+AF230+AG230,"n.b."))</f>
        <v/>
      </c>
      <c r="BG230" s="124" t="str">
        <f>IF($B230="","",IFERROR(AH230+AI230+AJ230,"n.b."))</f>
        <v/>
      </c>
      <c r="BH230" s="124" t="str">
        <f>IF($B230="","",IFERROR(AK230+AL230+AM230,"n.b."))</f>
        <v/>
      </c>
      <c r="BI230" s="124" t="str">
        <f>IF($B230="","",IFERROR(SUMIF($AB$5:$AM$5,"&lt;="&amp;P_PeilMaand,AB230:AM230),"n.b."))</f>
        <v/>
      </c>
      <c r="BJ230" s="124" t="str">
        <f>IF($B230="","",IFERROR(SUM(AB230:AM230)-BI230,"n.b."))</f>
        <v/>
      </c>
      <c r="BK230" s="124" t="str">
        <f>IF($B230="","",IFERROR(IF(ABS(Q230-(T230+SUM(AB230:AM230)+AS230+AU230))&gt;P_Tol,1,0),1))</f>
        <v/>
      </c>
      <c r="BL230" s="124" t="str">
        <f>IF($B230="","",IFERROR(IF(ABS(AA230-(Q230-Z230))&gt;P_Tol,1,0),1))</f>
        <v/>
      </c>
      <c r="BM230" s="124" t="str">
        <f>IF($B230="","",IFERROR(IF(ABS(Z230-(T230+W230))&gt;P_Tol,1,0),1))</f>
        <v/>
      </c>
      <c r="BN230" s="124" t="str">
        <f>IF($B230="","",IFERROR(IF(ABS(W230-BI230)&gt;P_Tol,1,0),1))</f>
        <v/>
      </c>
      <c r="BO230" s="124" t="str">
        <f>IF($B230="","",IFERROR(IF(OR(ABS(R230+S230-T230)&gt;P_Tol,ABS(U230+V230-W230)&gt;P_Tol,ABS(X230+Y230-Z230)&gt;P_Tol),1,0),1))</f>
        <v/>
      </c>
      <c r="BP230" s="124" t="str">
        <f>IF($B230="","",IFERROR(IF(OR(ABS(AR230-SUM(AB230:AM230))&gt;P_Tol,ABS(AS230-(AN230+AO230+AP230+AQ230))&gt;P_Tol),1,0),1))</f>
        <v/>
      </c>
      <c r="BQ230" s="124" t="str">
        <f>IF($B230="","",IFERROR(IF(ABS(AT230)+ABS(AV230)+ABS(AW230)+ABS(AX230)+ABS(AY230)+ABS(AZ230)+ABS(BA230)+ABS(BB230)&gt;0,1,0),1))</f>
        <v/>
      </c>
      <c r="BR230" s="124" t="str">
        <f>IF($B230="","",COUNTIF(STG_ZPMW03!$B$6:$B$505,B230))</f>
        <v/>
      </c>
      <c r="BS230" s="124" t="str">
        <f>IF($B230="","",COUNTIF($B$6:$B$505,B230))</f>
        <v/>
      </c>
      <c r="BT230" s="124" t="str">
        <f>IF($B230="","",IF(BR230=0,0,IF(INDEX(STG_ZPMW03!$I$6:$I$505,MATCH(B230,STG_ZPMW03!$B$6:$B$505,0))=J230&amp;"",0,1)))</f>
        <v/>
      </c>
      <c r="BU230" s="124" t="str">
        <f>IF($B230="","",IFERROR(IF(ABS(INDEX(Mapping!$D$5:$D$104,MATCH(B230,Mapping!$A$5:$A$104,0))-Q230)&gt;P_Tol,1,0),0))</f>
        <v/>
      </c>
      <c r="BV230" s="124" t="str">
        <f>IF($B230="","",IFERROR(IF(AND(INDEX(Mapping!$G$5:$G$104,MATCH(B230,Mapping!$A$5:$A$104,0))="Nee",ABS(Q230)+ABS(Z230)+ABS(AR230)&gt;0),1,0),0))</f>
        <v/>
      </c>
      <c r="BW230" s="124" t="str">
        <f>IF($B230="","",IF(COUNTIF(Mapping!$A$5:$A$104,B230)&gt;0,1,0))</f>
        <v/>
      </c>
      <c r="BX230" s="124" t="str">
        <f>IF($B230="","",IF(BR230=0,COUNTIF($BR$6:BR230,0),""))</f>
        <v/>
      </c>
    </row>
    <row r="231">
      <c r="A231" s="15" t="n">
        <v>227</v>
      </c>
      <c r="B231" t="str">
        <f>IF(B$3=0,"",IF(INDEX(SRC_Woningetalage!$A$1:$ZZ$501,$A231,B$3)&amp;""="","",INDEX(SRC_Woningetalage!$A$1:$ZZ$501,$A231,B$3)&amp;""))</f>
        <v/>
      </c>
      <c r="C231" t="str">
        <f>IF($B231="","",IF(C$3=0,"n.b.",INDEX(SRC_Woningetalage!$A$1:$ZZ$501,$A231,C$3)))</f>
        <v/>
      </c>
      <c r="D231" t="str">
        <f>IF($B231="","",IF(D$3=0,"n.b.",INDEX(SRC_Woningetalage!$A$1:$ZZ$501,$A231,D$3)))</f>
        <v/>
      </c>
      <c r="E231" t="str">
        <f>IF($B231="","",IF(E$3=0,"n.b.",INDEX(SRC_Woningetalage!$A$1:$ZZ$501,$A231,E$3)))</f>
        <v/>
      </c>
      <c r="F231" t="str">
        <f>IF($B231="","",IF(F$3=0,"n.b.",INDEX(SRC_Woningetalage!$A$1:$ZZ$501,$A231,F$3)))</f>
        <v/>
      </c>
      <c r="G231" t="str">
        <f>IF($B231="","",IF(G$3=0,"n.b.",INDEX(SRC_Woningetalage!$A$1:$ZZ$501,$A231,G$3)))</f>
        <v/>
      </c>
      <c r="H231" t="str">
        <f>IF($B231="","",IF(H$3=0,"n.b.",INDEX(SRC_Woningetalage!$A$1:$ZZ$501,$A231,H$3)))</f>
        <v/>
      </c>
      <c r="I231" t="str">
        <f>IF($B231="","",IF(I$3=0,"n.b.",INDEX(SRC_Woningetalage!$A$1:$ZZ$501,$A231,I$3)))</f>
        <v/>
      </c>
      <c r="J231" t="str">
        <f>IF($B231="","",IF(J$3=0,"n.b.",INDEX(SRC_Woningetalage!$A$1:$ZZ$501,$A231,J$3)))</f>
        <v/>
      </c>
      <c r="K231" t="str">
        <f>IF($B231="","",IF(K$3=0,"n.b.",INDEX(SRC_Woningetalage!$A$1:$ZZ$501,$A231,K$3)))</f>
        <v/>
      </c>
      <c r="L231" t="str">
        <f>IF($B231="","",IF(L$3=0,"n.b.",INDEX(SRC_Woningetalage!$A$1:$ZZ$501,$A231,L$3)))</f>
        <v/>
      </c>
      <c r="M231" t="str">
        <f>IF($B231="","",IF(M$3=0,"n.b.",INDEX(SRC_Woningetalage!$A$1:$ZZ$501,$A231,M$3)))</f>
        <v/>
      </c>
      <c r="N231" t="str">
        <f>IF($B231="","",IF(N$3=0,"n.b.",INDEX(SRC_Woningetalage!$A$1:$ZZ$501,$A231,N$3)))</f>
        <v/>
      </c>
      <c r="O231" t="str">
        <f>IF($B231="","",IF(O$3=0,"n.b.",INDEX(SRC_Woningetalage!$A$1:$ZZ$501,$A231,O$3)))</f>
        <v/>
      </c>
      <c r="P231" t="str">
        <f>IF($B231="","",IF(P$3=0,"n.b.",INDEX(SRC_Woningetalage!$A$1:$ZZ$501,$A231,P$3)))</f>
        <v/>
      </c>
      <c r="Q231" s="124" t="str">
        <f>IF($B231="","",IF(Q$3=0,"n.b.",INDEX(SRC_Woningetalage!$A$1:$ZZ$501,$A231,Q$3)))</f>
        <v/>
      </c>
      <c r="R231" s="124" t="str">
        <f>IF($B231="","",IF(R$3=0,"n.b.",INDEX(SRC_Woningetalage!$A$1:$ZZ$501,$A231,R$3)))</f>
        <v/>
      </c>
      <c r="S231" s="124" t="str">
        <f>IF($B231="","",IF(S$3=0,"n.b.",INDEX(SRC_Woningetalage!$A$1:$ZZ$501,$A231,S$3)))</f>
        <v/>
      </c>
      <c r="T231" s="124" t="str">
        <f>IF($B231="","",IF(T$3=0,"n.b.",INDEX(SRC_Woningetalage!$A$1:$ZZ$501,$A231,T$3)))</f>
        <v/>
      </c>
      <c r="U231" s="124" t="str">
        <f>IF($B231="","",IF(U$3=0,"n.b.",INDEX(SRC_Woningetalage!$A$1:$ZZ$501,$A231,U$3)))</f>
        <v/>
      </c>
      <c r="V231" s="124" t="str">
        <f>IF($B231="","",IF(V$3=0,"n.b.",INDEX(SRC_Woningetalage!$A$1:$ZZ$501,$A231,V$3)))</f>
        <v/>
      </c>
      <c r="W231" s="124" t="str">
        <f>IF($B231="","",IF(W$3=0,"n.b.",INDEX(SRC_Woningetalage!$A$1:$ZZ$501,$A231,W$3)))</f>
        <v/>
      </c>
      <c r="X231" s="124" t="str">
        <f>IF($B231="","",IF(X$3=0,"n.b.",INDEX(SRC_Woningetalage!$A$1:$ZZ$501,$A231,X$3)))</f>
        <v/>
      </c>
      <c r="Y231" s="124" t="str">
        <f>IF($B231="","",IF(Y$3=0,"n.b.",INDEX(SRC_Woningetalage!$A$1:$ZZ$501,$A231,Y$3)))</f>
        <v/>
      </c>
      <c r="Z231" s="124" t="str">
        <f>IF($B231="","",IF(Z$3=0,"n.b.",INDEX(SRC_Woningetalage!$A$1:$ZZ$501,$A231,Z$3)))</f>
        <v/>
      </c>
      <c r="AA231" s="124" t="str">
        <f>IF($B231="","",IF(AA$3=0,"n.b.",INDEX(SRC_Woningetalage!$A$1:$ZZ$501,$A231,AA$3)))</f>
        <v/>
      </c>
      <c r="AB231" s="124" t="str">
        <f>IF($B231="","",IF(AB$3=0,"n.b.",INDEX(SRC_Woningetalage!$A$1:$ZZ$501,$A231,AB$3)))</f>
        <v/>
      </c>
      <c r="AC231" s="124" t="str">
        <f>IF($B231="","",IF(AC$3=0,"n.b.",INDEX(SRC_Woningetalage!$A$1:$ZZ$501,$A231,AC$3)))</f>
        <v/>
      </c>
      <c r="AD231" s="124" t="str">
        <f>IF($B231="","",IF(AD$3=0,"n.b.",INDEX(SRC_Woningetalage!$A$1:$ZZ$501,$A231,AD$3)))</f>
        <v/>
      </c>
      <c r="AE231" s="124" t="str">
        <f>IF($B231="","",IF(AE$3=0,"n.b.",INDEX(SRC_Woningetalage!$A$1:$ZZ$501,$A231,AE$3)))</f>
        <v/>
      </c>
      <c r="AF231" s="124" t="str">
        <f>IF($B231="","",IF(AF$3=0,"n.b.",INDEX(SRC_Woningetalage!$A$1:$ZZ$501,$A231,AF$3)))</f>
        <v/>
      </c>
      <c r="AG231" s="124" t="str">
        <f>IF($B231="","",IF(AG$3=0,"n.b.",INDEX(SRC_Woningetalage!$A$1:$ZZ$501,$A231,AG$3)))</f>
        <v/>
      </c>
      <c r="AH231" s="124" t="str">
        <f>IF($B231="","",IF(AH$3=0,"n.b.",INDEX(SRC_Woningetalage!$A$1:$ZZ$501,$A231,AH$3)))</f>
        <v/>
      </c>
      <c r="AI231" s="124" t="str">
        <f>IF($B231="","",IF(AI$3=0,"n.b.",INDEX(SRC_Woningetalage!$A$1:$ZZ$501,$A231,AI$3)))</f>
        <v/>
      </c>
      <c r="AJ231" s="124" t="str">
        <f>IF($B231="","",IF(AJ$3=0,"n.b.",INDEX(SRC_Woningetalage!$A$1:$ZZ$501,$A231,AJ$3)))</f>
        <v/>
      </c>
      <c r="AK231" s="124" t="str">
        <f>IF($B231="","",IF(AK$3=0,"n.b.",INDEX(SRC_Woningetalage!$A$1:$ZZ$501,$A231,AK$3)))</f>
        <v/>
      </c>
      <c r="AL231" s="124" t="str">
        <f>IF($B231="","",IF(AL$3=0,"n.b.",INDEX(SRC_Woningetalage!$A$1:$ZZ$501,$A231,AL$3)))</f>
        <v/>
      </c>
      <c r="AM231" s="124" t="str">
        <f>IF($B231="","",IF(AM$3=0,"n.b.",INDEX(SRC_Woningetalage!$A$1:$ZZ$501,$A231,AM$3)))</f>
        <v/>
      </c>
      <c r="AN231" s="124" t="str">
        <f>IF($B231="","",IF(AN$3=0,"n.b.",INDEX(SRC_Woningetalage!$A$1:$ZZ$501,$A231,AN$3)))</f>
        <v/>
      </c>
      <c r="AO231" s="124" t="str">
        <f>IF($B231="","",IF(AO$3=0,"n.b.",INDEX(SRC_Woningetalage!$A$1:$ZZ$501,$A231,AO$3)))</f>
        <v/>
      </c>
      <c r="AP231" s="124" t="str">
        <f>IF($B231="","",IF(AP$3=0,"n.b.",INDEX(SRC_Woningetalage!$A$1:$ZZ$501,$A231,AP$3)))</f>
        <v/>
      </c>
      <c r="AQ231" s="124" t="str">
        <f>IF($B231="","",IF(AQ$3=0,"n.b.",INDEX(SRC_Woningetalage!$A$1:$ZZ$501,$A231,AQ$3)))</f>
        <v/>
      </c>
      <c r="AR231" s="124" t="str">
        <f>IF($B231="","",IF(AR$3=0,"n.b.",INDEX(SRC_Woningetalage!$A$1:$ZZ$501,$A231,AR$3)))</f>
        <v/>
      </c>
      <c r="AS231" s="124" t="str">
        <f>IF($B231="","",IF(AS$3=0,"n.b.",INDEX(SRC_Woningetalage!$A$1:$ZZ$501,$A231,AS$3)))</f>
        <v/>
      </c>
      <c r="AT231" s="124" t="str">
        <f>IF($B231="","",IF(AT$3=0,"n.b.",INDEX(SRC_Woningetalage!$A$1:$ZZ$501,$A231,AT$3)))</f>
        <v/>
      </c>
      <c r="AU231" s="124" t="str">
        <f>IF($B231="","",IF(AU$3=0,"n.b.",INDEX(SRC_Woningetalage!$A$1:$ZZ$501,$A231,AU$3)))</f>
        <v/>
      </c>
      <c r="AV231" s="124" t="str">
        <f>IF($B231="","",IF(AV$3=0,"n.b.",INDEX(SRC_Woningetalage!$A$1:$ZZ$501,$A231,AV$3)))</f>
        <v/>
      </c>
      <c r="AW231" s="124" t="str">
        <f>IF($B231="","",IF(AW$3=0,"n.b.",INDEX(SRC_Woningetalage!$A$1:$ZZ$501,$A231,AW$3)))</f>
        <v/>
      </c>
      <c r="AX231" s="124" t="str">
        <f>IF($B231="","",IF(AX$3=0,"n.b.",INDEX(SRC_Woningetalage!$A$1:$ZZ$501,$A231,AX$3)))</f>
        <v/>
      </c>
      <c r="AY231" s="124" t="str">
        <f>IF($B231="","",IF(AY$3=0,"n.b.",INDEX(SRC_Woningetalage!$A$1:$ZZ$501,$A231,AY$3)))</f>
        <v/>
      </c>
      <c r="AZ231" s="124" t="str">
        <f>IF($B231="","",IF(AZ$3=0,"n.b.",INDEX(SRC_Woningetalage!$A$1:$ZZ$501,$A231,AZ$3)))</f>
        <v/>
      </c>
      <c r="BA231" s="124" t="str">
        <f>IF($B231="","",IF(BA$3=0,"n.b.",INDEX(SRC_Woningetalage!$A$1:$ZZ$501,$A231,BA$3)))</f>
        <v/>
      </c>
      <c r="BB231" s="124" t="str">
        <f>IF($B231="","",IF(BB$3=0,"n.b.",INDEX(SRC_Woningetalage!$A$1:$ZZ$501,$A231,BB$3)))</f>
        <v/>
      </c>
      <c r="BC231" s="124" t="str">
        <f>IF($B231="","",IFERROR(_xlfn.NUMBERVALUE(E231&amp;"",",","."),"n.b."))</f>
        <v/>
      </c>
      <c r="BD231" s="124" t="str">
        <f>IF($B231="","",IFERROR(_xlfn.NUMBERVALUE(M231&amp;"",",","."),"n.b."))</f>
        <v/>
      </c>
      <c r="BE231" s="124" t="str">
        <f>IF($B231="","",IFERROR(AB231+AC231+AD231,"n.b."))</f>
        <v/>
      </c>
      <c r="BF231" s="124" t="str">
        <f>IF($B231="","",IFERROR(AE231+AF231+AG231,"n.b."))</f>
        <v/>
      </c>
      <c r="BG231" s="124" t="str">
        <f>IF($B231="","",IFERROR(AH231+AI231+AJ231,"n.b."))</f>
        <v/>
      </c>
      <c r="BH231" s="124" t="str">
        <f>IF($B231="","",IFERROR(AK231+AL231+AM231,"n.b."))</f>
        <v/>
      </c>
      <c r="BI231" s="124" t="str">
        <f>IF($B231="","",IFERROR(SUMIF($AB$5:$AM$5,"&lt;="&amp;P_PeilMaand,AB231:AM231),"n.b."))</f>
        <v/>
      </c>
      <c r="BJ231" s="124" t="str">
        <f>IF($B231="","",IFERROR(SUM(AB231:AM231)-BI231,"n.b."))</f>
        <v/>
      </c>
      <c r="BK231" s="124" t="str">
        <f>IF($B231="","",IFERROR(IF(ABS(Q231-(T231+SUM(AB231:AM231)+AS231+AU231))&gt;P_Tol,1,0),1))</f>
        <v/>
      </c>
      <c r="BL231" s="124" t="str">
        <f>IF($B231="","",IFERROR(IF(ABS(AA231-(Q231-Z231))&gt;P_Tol,1,0),1))</f>
        <v/>
      </c>
      <c r="BM231" s="124" t="str">
        <f>IF($B231="","",IFERROR(IF(ABS(Z231-(T231+W231))&gt;P_Tol,1,0),1))</f>
        <v/>
      </c>
      <c r="BN231" s="124" t="str">
        <f>IF($B231="","",IFERROR(IF(ABS(W231-BI231)&gt;P_Tol,1,0),1))</f>
        <v/>
      </c>
      <c r="BO231" s="124" t="str">
        <f>IF($B231="","",IFERROR(IF(OR(ABS(R231+S231-T231)&gt;P_Tol,ABS(U231+V231-W231)&gt;P_Tol,ABS(X231+Y231-Z231)&gt;P_Tol),1,0),1))</f>
        <v/>
      </c>
      <c r="BP231" s="124" t="str">
        <f>IF($B231="","",IFERROR(IF(OR(ABS(AR231-SUM(AB231:AM231))&gt;P_Tol,ABS(AS231-(AN231+AO231+AP231+AQ231))&gt;P_Tol),1,0),1))</f>
        <v/>
      </c>
      <c r="BQ231" s="124" t="str">
        <f>IF($B231="","",IFERROR(IF(ABS(AT231)+ABS(AV231)+ABS(AW231)+ABS(AX231)+ABS(AY231)+ABS(AZ231)+ABS(BA231)+ABS(BB231)&gt;0,1,0),1))</f>
        <v/>
      </c>
      <c r="BR231" s="124" t="str">
        <f>IF($B231="","",COUNTIF(STG_ZPMW03!$B$6:$B$505,B231))</f>
        <v/>
      </c>
      <c r="BS231" s="124" t="str">
        <f>IF($B231="","",COUNTIF($B$6:$B$505,B231))</f>
        <v/>
      </c>
      <c r="BT231" s="124" t="str">
        <f>IF($B231="","",IF(BR231=0,0,IF(INDEX(STG_ZPMW03!$I$6:$I$505,MATCH(B231,STG_ZPMW03!$B$6:$B$505,0))=J231&amp;"",0,1)))</f>
        <v/>
      </c>
      <c r="BU231" s="124" t="str">
        <f>IF($B231="","",IFERROR(IF(ABS(INDEX(Mapping!$D$5:$D$104,MATCH(B231,Mapping!$A$5:$A$104,0))-Q231)&gt;P_Tol,1,0),0))</f>
        <v/>
      </c>
      <c r="BV231" s="124" t="str">
        <f>IF($B231="","",IFERROR(IF(AND(INDEX(Mapping!$G$5:$G$104,MATCH(B231,Mapping!$A$5:$A$104,0))="Nee",ABS(Q231)+ABS(Z231)+ABS(AR231)&gt;0),1,0),0))</f>
        <v/>
      </c>
      <c r="BW231" s="124" t="str">
        <f>IF($B231="","",IF(COUNTIF(Mapping!$A$5:$A$104,B231)&gt;0,1,0))</f>
        <v/>
      </c>
      <c r="BX231" s="124" t="str">
        <f>IF($B231="","",IF(BR231=0,COUNTIF($BR$6:BR231,0),""))</f>
        <v/>
      </c>
    </row>
    <row r="232">
      <c r="A232" s="15" t="n">
        <v>228</v>
      </c>
      <c r="B232" t="str">
        <f>IF(B$3=0,"",IF(INDEX(SRC_Woningetalage!$A$1:$ZZ$501,$A232,B$3)&amp;""="","",INDEX(SRC_Woningetalage!$A$1:$ZZ$501,$A232,B$3)&amp;""))</f>
        <v/>
      </c>
      <c r="C232" t="str">
        <f>IF($B232="","",IF(C$3=0,"n.b.",INDEX(SRC_Woningetalage!$A$1:$ZZ$501,$A232,C$3)))</f>
        <v/>
      </c>
      <c r="D232" t="str">
        <f>IF($B232="","",IF(D$3=0,"n.b.",INDEX(SRC_Woningetalage!$A$1:$ZZ$501,$A232,D$3)))</f>
        <v/>
      </c>
      <c r="E232" t="str">
        <f>IF($B232="","",IF(E$3=0,"n.b.",INDEX(SRC_Woningetalage!$A$1:$ZZ$501,$A232,E$3)))</f>
        <v/>
      </c>
      <c r="F232" t="str">
        <f>IF($B232="","",IF(F$3=0,"n.b.",INDEX(SRC_Woningetalage!$A$1:$ZZ$501,$A232,F$3)))</f>
        <v/>
      </c>
      <c r="G232" t="str">
        <f>IF($B232="","",IF(G$3=0,"n.b.",INDEX(SRC_Woningetalage!$A$1:$ZZ$501,$A232,G$3)))</f>
        <v/>
      </c>
      <c r="H232" t="str">
        <f>IF($B232="","",IF(H$3=0,"n.b.",INDEX(SRC_Woningetalage!$A$1:$ZZ$501,$A232,H$3)))</f>
        <v/>
      </c>
      <c r="I232" t="str">
        <f>IF($B232="","",IF(I$3=0,"n.b.",INDEX(SRC_Woningetalage!$A$1:$ZZ$501,$A232,I$3)))</f>
        <v/>
      </c>
      <c r="J232" t="str">
        <f>IF($B232="","",IF(J$3=0,"n.b.",INDEX(SRC_Woningetalage!$A$1:$ZZ$501,$A232,J$3)))</f>
        <v/>
      </c>
      <c r="K232" t="str">
        <f>IF($B232="","",IF(K$3=0,"n.b.",INDEX(SRC_Woningetalage!$A$1:$ZZ$501,$A232,K$3)))</f>
        <v/>
      </c>
      <c r="L232" t="str">
        <f>IF($B232="","",IF(L$3=0,"n.b.",INDEX(SRC_Woningetalage!$A$1:$ZZ$501,$A232,L$3)))</f>
        <v/>
      </c>
      <c r="M232" t="str">
        <f>IF($B232="","",IF(M$3=0,"n.b.",INDEX(SRC_Woningetalage!$A$1:$ZZ$501,$A232,M$3)))</f>
        <v/>
      </c>
      <c r="N232" t="str">
        <f>IF($B232="","",IF(N$3=0,"n.b.",INDEX(SRC_Woningetalage!$A$1:$ZZ$501,$A232,N$3)))</f>
        <v/>
      </c>
      <c r="O232" t="str">
        <f>IF($B232="","",IF(O$3=0,"n.b.",INDEX(SRC_Woningetalage!$A$1:$ZZ$501,$A232,O$3)))</f>
        <v/>
      </c>
      <c r="P232" t="str">
        <f>IF($B232="","",IF(P$3=0,"n.b.",INDEX(SRC_Woningetalage!$A$1:$ZZ$501,$A232,P$3)))</f>
        <v/>
      </c>
      <c r="Q232" s="124" t="str">
        <f>IF($B232="","",IF(Q$3=0,"n.b.",INDEX(SRC_Woningetalage!$A$1:$ZZ$501,$A232,Q$3)))</f>
        <v/>
      </c>
      <c r="R232" s="124" t="str">
        <f>IF($B232="","",IF(R$3=0,"n.b.",INDEX(SRC_Woningetalage!$A$1:$ZZ$501,$A232,R$3)))</f>
        <v/>
      </c>
      <c r="S232" s="124" t="str">
        <f>IF($B232="","",IF(S$3=0,"n.b.",INDEX(SRC_Woningetalage!$A$1:$ZZ$501,$A232,S$3)))</f>
        <v/>
      </c>
      <c r="T232" s="124" t="str">
        <f>IF($B232="","",IF(T$3=0,"n.b.",INDEX(SRC_Woningetalage!$A$1:$ZZ$501,$A232,T$3)))</f>
        <v/>
      </c>
      <c r="U232" s="124" t="str">
        <f>IF($B232="","",IF(U$3=0,"n.b.",INDEX(SRC_Woningetalage!$A$1:$ZZ$501,$A232,U$3)))</f>
        <v/>
      </c>
      <c r="V232" s="124" t="str">
        <f>IF($B232="","",IF(V$3=0,"n.b.",INDEX(SRC_Woningetalage!$A$1:$ZZ$501,$A232,V$3)))</f>
        <v/>
      </c>
      <c r="W232" s="124" t="str">
        <f>IF($B232="","",IF(W$3=0,"n.b.",INDEX(SRC_Woningetalage!$A$1:$ZZ$501,$A232,W$3)))</f>
        <v/>
      </c>
      <c r="X232" s="124" t="str">
        <f>IF($B232="","",IF(X$3=0,"n.b.",INDEX(SRC_Woningetalage!$A$1:$ZZ$501,$A232,X$3)))</f>
        <v/>
      </c>
      <c r="Y232" s="124" t="str">
        <f>IF($B232="","",IF(Y$3=0,"n.b.",INDEX(SRC_Woningetalage!$A$1:$ZZ$501,$A232,Y$3)))</f>
        <v/>
      </c>
      <c r="Z232" s="124" t="str">
        <f>IF($B232="","",IF(Z$3=0,"n.b.",INDEX(SRC_Woningetalage!$A$1:$ZZ$501,$A232,Z$3)))</f>
        <v/>
      </c>
      <c r="AA232" s="124" t="str">
        <f>IF($B232="","",IF(AA$3=0,"n.b.",INDEX(SRC_Woningetalage!$A$1:$ZZ$501,$A232,AA$3)))</f>
        <v/>
      </c>
      <c r="AB232" s="124" t="str">
        <f>IF($B232="","",IF(AB$3=0,"n.b.",INDEX(SRC_Woningetalage!$A$1:$ZZ$501,$A232,AB$3)))</f>
        <v/>
      </c>
      <c r="AC232" s="124" t="str">
        <f>IF($B232="","",IF(AC$3=0,"n.b.",INDEX(SRC_Woningetalage!$A$1:$ZZ$501,$A232,AC$3)))</f>
        <v/>
      </c>
      <c r="AD232" s="124" t="str">
        <f>IF($B232="","",IF(AD$3=0,"n.b.",INDEX(SRC_Woningetalage!$A$1:$ZZ$501,$A232,AD$3)))</f>
        <v/>
      </c>
      <c r="AE232" s="124" t="str">
        <f>IF($B232="","",IF(AE$3=0,"n.b.",INDEX(SRC_Woningetalage!$A$1:$ZZ$501,$A232,AE$3)))</f>
        <v/>
      </c>
      <c r="AF232" s="124" t="str">
        <f>IF($B232="","",IF(AF$3=0,"n.b.",INDEX(SRC_Woningetalage!$A$1:$ZZ$501,$A232,AF$3)))</f>
        <v/>
      </c>
      <c r="AG232" s="124" t="str">
        <f>IF($B232="","",IF(AG$3=0,"n.b.",INDEX(SRC_Woningetalage!$A$1:$ZZ$501,$A232,AG$3)))</f>
        <v/>
      </c>
      <c r="AH232" s="124" t="str">
        <f>IF($B232="","",IF(AH$3=0,"n.b.",INDEX(SRC_Woningetalage!$A$1:$ZZ$501,$A232,AH$3)))</f>
        <v/>
      </c>
      <c r="AI232" s="124" t="str">
        <f>IF($B232="","",IF(AI$3=0,"n.b.",INDEX(SRC_Woningetalage!$A$1:$ZZ$501,$A232,AI$3)))</f>
        <v/>
      </c>
      <c r="AJ232" s="124" t="str">
        <f>IF($B232="","",IF(AJ$3=0,"n.b.",INDEX(SRC_Woningetalage!$A$1:$ZZ$501,$A232,AJ$3)))</f>
        <v/>
      </c>
      <c r="AK232" s="124" t="str">
        <f>IF($B232="","",IF(AK$3=0,"n.b.",INDEX(SRC_Woningetalage!$A$1:$ZZ$501,$A232,AK$3)))</f>
        <v/>
      </c>
      <c r="AL232" s="124" t="str">
        <f>IF($B232="","",IF(AL$3=0,"n.b.",INDEX(SRC_Woningetalage!$A$1:$ZZ$501,$A232,AL$3)))</f>
        <v/>
      </c>
      <c r="AM232" s="124" t="str">
        <f>IF($B232="","",IF(AM$3=0,"n.b.",INDEX(SRC_Woningetalage!$A$1:$ZZ$501,$A232,AM$3)))</f>
        <v/>
      </c>
      <c r="AN232" s="124" t="str">
        <f>IF($B232="","",IF(AN$3=0,"n.b.",INDEX(SRC_Woningetalage!$A$1:$ZZ$501,$A232,AN$3)))</f>
        <v/>
      </c>
      <c r="AO232" s="124" t="str">
        <f>IF($B232="","",IF(AO$3=0,"n.b.",INDEX(SRC_Woningetalage!$A$1:$ZZ$501,$A232,AO$3)))</f>
        <v/>
      </c>
      <c r="AP232" s="124" t="str">
        <f>IF($B232="","",IF(AP$3=0,"n.b.",INDEX(SRC_Woningetalage!$A$1:$ZZ$501,$A232,AP$3)))</f>
        <v/>
      </c>
      <c r="AQ232" s="124" t="str">
        <f>IF($B232="","",IF(AQ$3=0,"n.b.",INDEX(SRC_Woningetalage!$A$1:$ZZ$501,$A232,AQ$3)))</f>
        <v/>
      </c>
      <c r="AR232" s="124" t="str">
        <f>IF($B232="","",IF(AR$3=0,"n.b.",INDEX(SRC_Woningetalage!$A$1:$ZZ$501,$A232,AR$3)))</f>
        <v/>
      </c>
      <c r="AS232" s="124" t="str">
        <f>IF($B232="","",IF(AS$3=0,"n.b.",INDEX(SRC_Woningetalage!$A$1:$ZZ$501,$A232,AS$3)))</f>
        <v/>
      </c>
      <c r="AT232" s="124" t="str">
        <f>IF($B232="","",IF(AT$3=0,"n.b.",INDEX(SRC_Woningetalage!$A$1:$ZZ$501,$A232,AT$3)))</f>
        <v/>
      </c>
      <c r="AU232" s="124" t="str">
        <f>IF($B232="","",IF(AU$3=0,"n.b.",INDEX(SRC_Woningetalage!$A$1:$ZZ$501,$A232,AU$3)))</f>
        <v/>
      </c>
      <c r="AV232" s="124" t="str">
        <f>IF($B232="","",IF(AV$3=0,"n.b.",INDEX(SRC_Woningetalage!$A$1:$ZZ$501,$A232,AV$3)))</f>
        <v/>
      </c>
      <c r="AW232" s="124" t="str">
        <f>IF($B232="","",IF(AW$3=0,"n.b.",INDEX(SRC_Woningetalage!$A$1:$ZZ$501,$A232,AW$3)))</f>
        <v/>
      </c>
      <c r="AX232" s="124" t="str">
        <f>IF($B232="","",IF(AX$3=0,"n.b.",INDEX(SRC_Woningetalage!$A$1:$ZZ$501,$A232,AX$3)))</f>
        <v/>
      </c>
      <c r="AY232" s="124" t="str">
        <f>IF($B232="","",IF(AY$3=0,"n.b.",INDEX(SRC_Woningetalage!$A$1:$ZZ$501,$A232,AY$3)))</f>
        <v/>
      </c>
      <c r="AZ232" s="124" t="str">
        <f>IF($B232="","",IF(AZ$3=0,"n.b.",INDEX(SRC_Woningetalage!$A$1:$ZZ$501,$A232,AZ$3)))</f>
        <v/>
      </c>
      <c r="BA232" s="124" t="str">
        <f>IF($B232="","",IF(BA$3=0,"n.b.",INDEX(SRC_Woningetalage!$A$1:$ZZ$501,$A232,BA$3)))</f>
        <v/>
      </c>
      <c r="BB232" s="124" t="str">
        <f>IF($B232="","",IF(BB$3=0,"n.b.",INDEX(SRC_Woningetalage!$A$1:$ZZ$501,$A232,BB$3)))</f>
        <v/>
      </c>
      <c r="BC232" s="124" t="str">
        <f>IF($B232="","",IFERROR(_xlfn.NUMBERVALUE(E232&amp;"",",","."),"n.b."))</f>
        <v/>
      </c>
      <c r="BD232" s="124" t="str">
        <f>IF($B232="","",IFERROR(_xlfn.NUMBERVALUE(M232&amp;"",",","."),"n.b."))</f>
        <v/>
      </c>
      <c r="BE232" s="124" t="str">
        <f>IF($B232="","",IFERROR(AB232+AC232+AD232,"n.b."))</f>
        <v/>
      </c>
      <c r="BF232" s="124" t="str">
        <f>IF($B232="","",IFERROR(AE232+AF232+AG232,"n.b."))</f>
        <v/>
      </c>
      <c r="BG232" s="124" t="str">
        <f>IF($B232="","",IFERROR(AH232+AI232+AJ232,"n.b."))</f>
        <v/>
      </c>
      <c r="BH232" s="124" t="str">
        <f>IF($B232="","",IFERROR(AK232+AL232+AM232,"n.b."))</f>
        <v/>
      </c>
      <c r="BI232" s="124" t="str">
        <f>IF($B232="","",IFERROR(SUMIF($AB$5:$AM$5,"&lt;="&amp;P_PeilMaand,AB232:AM232),"n.b."))</f>
        <v/>
      </c>
      <c r="BJ232" s="124" t="str">
        <f>IF($B232="","",IFERROR(SUM(AB232:AM232)-BI232,"n.b."))</f>
        <v/>
      </c>
      <c r="BK232" s="124" t="str">
        <f>IF($B232="","",IFERROR(IF(ABS(Q232-(T232+SUM(AB232:AM232)+AS232+AU232))&gt;P_Tol,1,0),1))</f>
        <v/>
      </c>
      <c r="BL232" s="124" t="str">
        <f>IF($B232="","",IFERROR(IF(ABS(AA232-(Q232-Z232))&gt;P_Tol,1,0),1))</f>
        <v/>
      </c>
      <c r="BM232" s="124" t="str">
        <f>IF($B232="","",IFERROR(IF(ABS(Z232-(T232+W232))&gt;P_Tol,1,0),1))</f>
        <v/>
      </c>
      <c r="BN232" s="124" t="str">
        <f>IF($B232="","",IFERROR(IF(ABS(W232-BI232)&gt;P_Tol,1,0),1))</f>
        <v/>
      </c>
      <c r="BO232" s="124" t="str">
        <f>IF($B232="","",IFERROR(IF(OR(ABS(R232+S232-T232)&gt;P_Tol,ABS(U232+V232-W232)&gt;P_Tol,ABS(X232+Y232-Z232)&gt;P_Tol),1,0),1))</f>
        <v/>
      </c>
      <c r="BP232" s="124" t="str">
        <f>IF($B232="","",IFERROR(IF(OR(ABS(AR232-SUM(AB232:AM232))&gt;P_Tol,ABS(AS232-(AN232+AO232+AP232+AQ232))&gt;P_Tol),1,0),1))</f>
        <v/>
      </c>
      <c r="BQ232" s="124" t="str">
        <f>IF($B232="","",IFERROR(IF(ABS(AT232)+ABS(AV232)+ABS(AW232)+ABS(AX232)+ABS(AY232)+ABS(AZ232)+ABS(BA232)+ABS(BB232)&gt;0,1,0),1))</f>
        <v/>
      </c>
      <c r="BR232" s="124" t="str">
        <f>IF($B232="","",COUNTIF(STG_ZPMW03!$B$6:$B$505,B232))</f>
        <v/>
      </c>
      <c r="BS232" s="124" t="str">
        <f>IF($B232="","",COUNTIF($B$6:$B$505,B232))</f>
        <v/>
      </c>
      <c r="BT232" s="124" t="str">
        <f>IF($B232="","",IF(BR232=0,0,IF(INDEX(STG_ZPMW03!$I$6:$I$505,MATCH(B232,STG_ZPMW03!$B$6:$B$505,0))=J232&amp;"",0,1)))</f>
        <v/>
      </c>
      <c r="BU232" s="124" t="str">
        <f>IF($B232="","",IFERROR(IF(ABS(INDEX(Mapping!$D$5:$D$104,MATCH(B232,Mapping!$A$5:$A$104,0))-Q232)&gt;P_Tol,1,0),0))</f>
        <v/>
      </c>
      <c r="BV232" s="124" t="str">
        <f>IF($B232="","",IFERROR(IF(AND(INDEX(Mapping!$G$5:$G$104,MATCH(B232,Mapping!$A$5:$A$104,0))="Nee",ABS(Q232)+ABS(Z232)+ABS(AR232)&gt;0),1,0),0))</f>
        <v/>
      </c>
      <c r="BW232" s="124" t="str">
        <f>IF($B232="","",IF(COUNTIF(Mapping!$A$5:$A$104,B232)&gt;0,1,0))</f>
        <v/>
      </c>
      <c r="BX232" s="124" t="str">
        <f>IF($B232="","",IF(BR232=0,COUNTIF($BR$6:BR232,0),""))</f>
        <v/>
      </c>
    </row>
    <row r="233">
      <c r="A233" s="15" t="n">
        <v>229</v>
      </c>
      <c r="B233" t="str">
        <f>IF(B$3=0,"",IF(INDEX(SRC_Woningetalage!$A$1:$ZZ$501,$A233,B$3)&amp;""="","",INDEX(SRC_Woningetalage!$A$1:$ZZ$501,$A233,B$3)&amp;""))</f>
        <v/>
      </c>
      <c r="C233" t="str">
        <f>IF($B233="","",IF(C$3=0,"n.b.",INDEX(SRC_Woningetalage!$A$1:$ZZ$501,$A233,C$3)))</f>
        <v/>
      </c>
      <c r="D233" t="str">
        <f>IF($B233="","",IF(D$3=0,"n.b.",INDEX(SRC_Woningetalage!$A$1:$ZZ$501,$A233,D$3)))</f>
        <v/>
      </c>
      <c r="E233" t="str">
        <f>IF($B233="","",IF(E$3=0,"n.b.",INDEX(SRC_Woningetalage!$A$1:$ZZ$501,$A233,E$3)))</f>
        <v/>
      </c>
      <c r="F233" t="str">
        <f>IF($B233="","",IF(F$3=0,"n.b.",INDEX(SRC_Woningetalage!$A$1:$ZZ$501,$A233,F$3)))</f>
        <v/>
      </c>
      <c r="G233" t="str">
        <f>IF($B233="","",IF(G$3=0,"n.b.",INDEX(SRC_Woningetalage!$A$1:$ZZ$501,$A233,G$3)))</f>
        <v/>
      </c>
      <c r="H233" t="str">
        <f>IF($B233="","",IF(H$3=0,"n.b.",INDEX(SRC_Woningetalage!$A$1:$ZZ$501,$A233,H$3)))</f>
        <v/>
      </c>
      <c r="I233" t="str">
        <f>IF($B233="","",IF(I$3=0,"n.b.",INDEX(SRC_Woningetalage!$A$1:$ZZ$501,$A233,I$3)))</f>
        <v/>
      </c>
      <c r="J233" t="str">
        <f>IF($B233="","",IF(J$3=0,"n.b.",INDEX(SRC_Woningetalage!$A$1:$ZZ$501,$A233,J$3)))</f>
        <v/>
      </c>
      <c r="K233" t="str">
        <f>IF($B233="","",IF(K$3=0,"n.b.",INDEX(SRC_Woningetalage!$A$1:$ZZ$501,$A233,K$3)))</f>
        <v/>
      </c>
      <c r="L233" t="str">
        <f>IF($B233="","",IF(L$3=0,"n.b.",INDEX(SRC_Woningetalage!$A$1:$ZZ$501,$A233,L$3)))</f>
        <v/>
      </c>
      <c r="M233" t="str">
        <f>IF($B233="","",IF(M$3=0,"n.b.",INDEX(SRC_Woningetalage!$A$1:$ZZ$501,$A233,M$3)))</f>
        <v/>
      </c>
      <c r="N233" t="str">
        <f>IF($B233="","",IF(N$3=0,"n.b.",INDEX(SRC_Woningetalage!$A$1:$ZZ$501,$A233,N$3)))</f>
        <v/>
      </c>
      <c r="O233" t="str">
        <f>IF($B233="","",IF(O$3=0,"n.b.",INDEX(SRC_Woningetalage!$A$1:$ZZ$501,$A233,O$3)))</f>
        <v/>
      </c>
      <c r="P233" t="str">
        <f>IF($B233="","",IF(P$3=0,"n.b.",INDEX(SRC_Woningetalage!$A$1:$ZZ$501,$A233,P$3)))</f>
        <v/>
      </c>
      <c r="Q233" s="124" t="str">
        <f>IF($B233="","",IF(Q$3=0,"n.b.",INDEX(SRC_Woningetalage!$A$1:$ZZ$501,$A233,Q$3)))</f>
        <v/>
      </c>
      <c r="R233" s="124" t="str">
        <f>IF($B233="","",IF(R$3=0,"n.b.",INDEX(SRC_Woningetalage!$A$1:$ZZ$501,$A233,R$3)))</f>
        <v/>
      </c>
      <c r="S233" s="124" t="str">
        <f>IF($B233="","",IF(S$3=0,"n.b.",INDEX(SRC_Woningetalage!$A$1:$ZZ$501,$A233,S$3)))</f>
        <v/>
      </c>
      <c r="T233" s="124" t="str">
        <f>IF($B233="","",IF(T$3=0,"n.b.",INDEX(SRC_Woningetalage!$A$1:$ZZ$501,$A233,T$3)))</f>
        <v/>
      </c>
      <c r="U233" s="124" t="str">
        <f>IF($B233="","",IF(U$3=0,"n.b.",INDEX(SRC_Woningetalage!$A$1:$ZZ$501,$A233,U$3)))</f>
        <v/>
      </c>
      <c r="V233" s="124" t="str">
        <f>IF($B233="","",IF(V$3=0,"n.b.",INDEX(SRC_Woningetalage!$A$1:$ZZ$501,$A233,V$3)))</f>
        <v/>
      </c>
      <c r="W233" s="124" t="str">
        <f>IF($B233="","",IF(W$3=0,"n.b.",INDEX(SRC_Woningetalage!$A$1:$ZZ$501,$A233,W$3)))</f>
        <v/>
      </c>
      <c r="X233" s="124" t="str">
        <f>IF($B233="","",IF(X$3=0,"n.b.",INDEX(SRC_Woningetalage!$A$1:$ZZ$501,$A233,X$3)))</f>
        <v/>
      </c>
      <c r="Y233" s="124" t="str">
        <f>IF($B233="","",IF(Y$3=0,"n.b.",INDEX(SRC_Woningetalage!$A$1:$ZZ$501,$A233,Y$3)))</f>
        <v/>
      </c>
      <c r="Z233" s="124" t="str">
        <f>IF($B233="","",IF(Z$3=0,"n.b.",INDEX(SRC_Woningetalage!$A$1:$ZZ$501,$A233,Z$3)))</f>
        <v/>
      </c>
      <c r="AA233" s="124" t="str">
        <f>IF($B233="","",IF(AA$3=0,"n.b.",INDEX(SRC_Woningetalage!$A$1:$ZZ$501,$A233,AA$3)))</f>
        <v/>
      </c>
      <c r="AB233" s="124" t="str">
        <f>IF($B233="","",IF(AB$3=0,"n.b.",INDEX(SRC_Woningetalage!$A$1:$ZZ$501,$A233,AB$3)))</f>
        <v/>
      </c>
      <c r="AC233" s="124" t="str">
        <f>IF($B233="","",IF(AC$3=0,"n.b.",INDEX(SRC_Woningetalage!$A$1:$ZZ$501,$A233,AC$3)))</f>
        <v/>
      </c>
      <c r="AD233" s="124" t="str">
        <f>IF($B233="","",IF(AD$3=0,"n.b.",INDEX(SRC_Woningetalage!$A$1:$ZZ$501,$A233,AD$3)))</f>
        <v/>
      </c>
      <c r="AE233" s="124" t="str">
        <f>IF($B233="","",IF(AE$3=0,"n.b.",INDEX(SRC_Woningetalage!$A$1:$ZZ$501,$A233,AE$3)))</f>
        <v/>
      </c>
      <c r="AF233" s="124" t="str">
        <f>IF($B233="","",IF(AF$3=0,"n.b.",INDEX(SRC_Woningetalage!$A$1:$ZZ$501,$A233,AF$3)))</f>
        <v/>
      </c>
      <c r="AG233" s="124" t="str">
        <f>IF($B233="","",IF(AG$3=0,"n.b.",INDEX(SRC_Woningetalage!$A$1:$ZZ$501,$A233,AG$3)))</f>
        <v/>
      </c>
      <c r="AH233" s="124" t="str">
        <f>IF($B233="","",IF(AH$3=0,"n.b.",INDEX(SRC_Woningetalage!$A$1:$ZZ$501,$A233,AH$3)))</f>
        <v/>
      </c>
      <c r="AI233" s="124" t="str">
        <f>IF($B233="","",IF(AI$3=0,"n.b.",INDEX(SRC_Woningetalage!$A$1:$ZZ$501,$A233,AI$3)))</f>
        <v/>
      </c>
      <c r="AJ233" s="124" t="str">
        <f>IF($B233="","",IF(AJ$3=0,"n.b.",INDEX(SRC_Woningetalage!$A$1:$ZZ$501,$A233,AJ$3)))</f>
        <v/>
      </c>
      <c r="AK233" s="124" t="str">
        <f>IF($B233="","",IF(AK$3=0,"n.b.",INDEX(SRC_Woningetalage!$A$1:$ZZ$501,$A233,AK$3)))</f>
        <v/>
      </c>
      <c r="AL233" s="124" t="str">
        <f>IF($B233="","",IF(AL$3=0,"n.b.",INDEX(SRC_Woningetalage!$A$1:$ZZ$501,$A233,AL$3)))</f>
        <v/>
      </c>
      <c r="AM233" s="124" t="str">
        <f>IF($B233="","",IF(AM$3=0,"n.b.",INDEX(SRC_Woningetalage!$A$1:$ZZ$501,$A233,AM$3)))</f>
        <v/>
      </c>
      <c r="AN233" s="124" t="str">
        <f>IF($B233="","",IF(AN$3=0,"n.b.",INDEX(SRC_Woningetalage!$A$1:$ZZ$501,$A233,AN$3)))</f>
        <v/>
      </c>
      <c r="AO233" s="124" t="str">
        <f>IF($B233="","",IF(AO$3=0,"n.b.",INDEX(SRC_Woningetalage!$A$1:$ZZ$501,$A233,AO$3)))</f>
        <v/>
      </c>
      <c r="AP233" s="124" t="str">
        <f>IF($B233="","",IF(AP$3=0,"n.b.",INDEX(SRC_Woningetalage!$A$1:$ZZ$501,$A233,AP$3)))</f>
        <v/>
      </c>
      <c r="AQ233" s="124" t="str">
        <f>IF($B233="","",IF(AQ$3=0,"n.b.",INDEX(SRC_Woningetalage!$A$1:$ZZ$501,$A233,AQ$3)))</f>
        <v/>
      </c>
      <c r="AR233" s="124" t="str">
        <f>IF($B233="","",IF(AR$3=0,"n.b.",INDEX(SRC_Woningetalage!$A$1:$ZZ$501,$A233,AR$3)))</f>
        <v/>
      </c>
      <c r="AS233" s="124" t="str">
        <f>IF($B233="","",IF(AS$3=0,"n.b.",INDEX(SRC_Woningetalage!$A$1:$ZZ$501,$A233,AS$3)))</f>
        <v/>
      </c>
      <c r="AT233" s="124" t="str">
        <f>IF($B233="","",IF(AT$3=0,"n.b.",INDEX(SRC_Woningetalage!$A$1:$ZZ$501,$A233,AT$3)))</f>
        <v/>
      </c>
      <c r="AU233" s="124" t="str">
        <f>IF($B233="","",IF(AU$3=0,"n.b.",INDEX(SRC_Woningetalage!$A$1:$ZZ$501,$A233,AU$3)))</f>
        <v/>
      </c>
      <c r="AV233" s="124" t="str">
        <f>IF($B233="","",IF(AV$3=0,"n.b.",INDEX(SRC_Woningetalage!$A$1:$ZZ$501,$A233,AV$3)))</f>
        <v/>
      </c>
      <c r="AW233" s="124" t="str">
        <f>IF($B233="","",IF(AW$3=0,"n.b.",INDEX(SRC_Woningetalage!$A$1:$ZZ$501,$A233,AW$3)))</f>
        <v/>
      </c>
      <c r="AX233" s="124" t="str">
        <f>IF($B233="","",IF(AX$3=0,"n.b.",INDEX(SRC_Woningetalage!$A$1:$ZZ$501,$A233,AX$3)))</f>
        <v/>
      </c>
      <c r="AY233" s="124" t="str">
        <f>IF($B233="","",IF(AY$3=0,"n.b.",INDEX(SRC_Woningetalage!$A$1:$ZZ$501,$A233,AY$3)))</f>
        <v/>
      </c>
      <c r="AZ233" s="124" t="str">
        <f>IF($B233="","",IF(AZ$3=0,"n.b.",INDEX(SRC_Woningetalage!$A$1:$ZZ$501,$A233,AZ$3)))</f>
        <v/>
      </c>
      <c r="BA233" s="124" t="str">
        <f>IF($B233="","",IF(BA$3=0,"n.b.",INDEX(SRC_Woningetalage!$A$1:$ZZ$501,$A233,BA$3)))</f>
        <v/>
      </c>
      <c r="BB233" s="124" t="str">
        <f>IF($B233="","",IF(BB$3=0,"n.b.",INDEX(SRC_Woningetalage!$A$1:$ZZ$501,$A233,BB$3)))</f>
        <v/>
      </c>
      <c r="BC233" s="124" t="str">
        <f>IF($B233="","",IFERROR(_xlfn.NUMBERVALUE(E233&amp;"",",","."),"n.b."))</f>
        <v/>
      </c>
      <c r="BD233" s="124" t="str">
        <f>IF($B233="","",IFERROR(_xlfn.NUMBERVALUE(M233&amp;"",",","."),"n.b."))</f>
        <v/>
      </c>
      <c r="BE233" s="124" t="str">
        <f>IF($B233="","",IFERROR(AB233+AC233+AD233,"n.b."))</f>
        <v/>
      </c>
      <c r="BF233" s="124" t="str">
        <f>IF($B233="","",IFERROR(AE233+AF233+AG233,"n.b."))</f>
        <v/>
      </c>
      <c r="BG233" s="124" t="str">
        <f>IF($B233="","",IFERROR(AH233+AI233+AJ233,"n.b."))</f>
        <v/>
      </c>
      <c r="BH233" s="124" t="str">
        <f>IF($B233="","",IFERROR(AK233+AL233+AM233,"n.b."))</f>
        <v/>
      </c>
      <c r="BI233" s="124" t="str">
        <f>IF($B233="","",IFERROR(SUMIF($AB$5:$AM$5,"&lt;="&amp;P_PeilMaand,AB233:AM233),"n.b."))</f>
        <v/>
      </c>
      <c r="BJ233" s="124" t="str">
        <f>IF($B233="","",IFERROR(SUM(AB233:AM233)-BI233,"n.b."))</f>
        <v/>
      </c>
      <c r="BK233" s="124" t="str">
        <f>IF($B233="","",IFERROR(IF(ABS(Q233-(T233+SUM(AB233:AM233)+AS233+AU233))&gt;P_Tol,1,0),1))</f>
        <v/>
      </c>
      <c r="BL233" s="124" t="str">
        <f>IF($B233="","",IFERROR(IF(ABS(AA233-(Q233-Z233))&gt;P_Tol,1,0),1))</f>
        <v/>
      </c>
      <c r="BM233" s="124" t="str">
        <f>IF($B233="","",IFERROR(IF(ABS(Z233-(T233+W233))&gt;P_Tol,1,0),1))</f>
        <v/>
      </c>
      <c r="BN233" s="124" t="str">
        <f>IF($B233="","",IFERROR(IF(ABS(W233-BI233)&gt;P_Tol,1,0),1))</f>
        <v/>
      </c>
      <c r="BO233" s="124" t="str">
        <f>IF($B233="","",IFERROR(IF(OR(ABS(R233+S233-T233)&gt;P_Tol,ABS(U233+V233-W233)&gt;P_Tol,ABS(X233+Y233-Z233)&gt;P_Tol),1,0),1))</f>
        <v/>
      </c>
      <c r="BP233" s="124" t="str">
        <f>IF($B233="","",IFERROR(IF(OR(ABS(AR233-SUM(AB233:AM233))&gt;P_Tol,ABS(AS233-(AN233+AO233+AP233+AQ233))&gt;P_Tol),1,0),1))</f>
        <v/>
      </c>
      <c r="BQ233" s="124" t="str">
        <f>IF($B233="","",IFERROR(IF(ABS(AT233)+ABS(AV233)+ABS(AW233)+ABS(AX233)+ABS(AY233)+ABS(AZ233)+ABS(BA233)+ABS(BB233)&gt;0,1,0),1))</f>
        <v/>
      </c>
      <c r="BR233" s="124" t="str">
        <f>IF($B233="","",COUNTIF(STG_ZPMW03!$B$6:$B$505,B233))</f>
        <v/>
      </c>
      <c r="BS233" s="124" t="str">
        <f>IF($B233="","",COUNTIF($B$6:$B$505,B233))</f>
        <v/>
      </c>
      <c r="BT233" s="124" t="str">
        <f>IF($B233="","",IF(BR233=0,0,IF(INDEX(STG_ZPMW03!$I$6:$I$505,MATCH(B233,STG_ZPMW03!$B$6:$B$505,0))=J233&amp;"",0,1)))</f>
        <v/>
      </c>
      <c r="BU233" s="124" t="str">
        <f>IF($B233="","",IFERROR(IF(ABS(INDEX(Mapping!$D$5:$D$104,MATCH(B233,Mapping!$A$5:$A$104,0))-Q233)&gt;P_Tol,1,0),0))</f>
        <v/>
      </c>
      <c r="BV233" s="124" t="str">
        <f>IF($B233="","",IFERROR(IF(AND(INDEX(Mapping!$G$5:$G$104,MATCH(B233,Mapping!$A$5:$A$104,0))="Nee",ABS(Q233)+ABS(Z233)+ABS(AR233)&gt;0),1,0),0))</f>
        <v/>
      </c>
      <c r="BW233" s="124" t="str">
        <f>IF($B233="","",IF(COUNTIF(Mapping!$A$5:$A$104,B233)&gt;0,1,0))</f>
        <v/>
      </c>
      <c r="BX233" s="124" t="str">
        <f>IF($B233="","",IF(BR233=0,COUNTIF($BR$6:BR233,0),""))</f>
        <v/>
      </c>
    </row>
    <row r="234">
      <c r="A234" s="15" t="n">
        <v>230</v>
      </c>
      <c r="B234" t="str">
        <f>IF(B$3=0,"",IF(INDEX(SRC_Woningetalage!$A$1:$ZZ$501,$A234,B$3)&amp;""="","",INDEX(SRC_Woningetalage!$A$1:$ZZ$501,$A234,B$3)&amp;""))</f>
        <v/>
      </c>
      <c r="C234" t="str">
        <f>IF($B234="","",IF(C$3=0,"n.b.",INDEX(SRC_Woningetalage!$A$1:$ZZ$501,$A234,C$3)))</f>
        <v/>
      </c>
      <c r="D234" t="str">
        <f>IF($B234="","",IF(D$3=0,"n.b.",INDEX(SRC_Woningetalage!$A$1:$ZZ$501,$A234,D$3)))</f>
        <v/>
      </c>
      <c r="E234" t="str">
        <f>IF($B234="","",IF(E$3=0,"n.b.",INDEX(SRC_Woningetalage!$A$1:$ZZ$501,$A234,E$3)))</f>
        <v/>
      </c>
      <c r="F234" t="str">
        <f>IF($B234="","",IF(F$3=0,"n.b.",INDEX(SRC_Woningetalage!$A$1:$ZZ$501,$A234,F$3)))</f>
        <v/>
      </c>
      <c r="G234" t="str">
        <f>IF($B234="","",IF(G$3=0,"n.b.",INDEX(SRC_Woningetalage!$A$1:$ZZ$501,$A234,G$3)))</f>
        <v/>
      </c>
      <c r="H234" t="str">
        <f>IF($B234="","",IF(H$3=0,"n.b.",INDEX(SRC_Woningetalage!$A$1:$ZZ$501,$A234,H$3)))</f>
        <v/>
      </c>
      <c r="I234" t="str">
        <f>IF($B234="","",IF(I$3=0,"n.b.",INDEX(SRC_Woningetalage!$A$1:$ZZ$501,$A234,I$3)))</f>
        <v/>
      </c>
      <c r="J234" t="str">
        <f>IF($B234="","",IF(J$3=0,"n.b.",INDEX(SRC_Woningetalage!$A$1:$ZZ$501,$A234,J$3)))</f>
        <v/>
      </c>
      <c r="K234" t="str">
        <f>IF($B234="","",IF(K$3=0,"n.b.",INDEX(SRC_Woningetalage!$A$1:$ZZ$501,$A234,K$3)))</f>
        <v/>
      </c>
      <c r="L234" t="str">
        <f>IF($B234="","",IF(L$3=0,"n.b.",INDEX(SRC_Woningetalage!$A$1:$ZZ$501,$A234,L$3)))</f>
        <v/>
      </c>
      <c r="M234" t="str">
        <f>IF($B234="","",IF(M$3=0,"n.b.",INDEX(SRC_Woningetalage!$A$1:$ZZ$501,$A234,M$3)))</f>
        <v/>
      </c>
      <c r="N234" t="str">
        <f>IF($B234="","",IF(N$3=0,"n.b.",INDEX(SRC_Woningetalage!$A$1:$ZZ$501,$A234,N$3)))</f>
        <v/>
      </c>
      <c r="O234" t="str">
        <f>IF($B234="","",IF(O$3=0,"n.b.",INDEX(SRC_Woningetalage!$A$1:$ZZ$501,$A234,O$3)))</f>
        <v/>
      </c>
      <c r="P234" t="str">
        <f>IF($B234="","",IF(P$3=0,"n.b.",INDEX(SRC_Woningetalage!$A$1:$ZZ$501,$A234,P$3)))</f>
        <v/>
      </c>
      <c r="Q234" s="124" t="str">
        <f>IF($B234="","",IF(Q$3=0,"n.b.",INDEX(SRC_Woningetalage!$A$1:$ZZ$501,$A234,Q$3)))</f>
        <v/>
      </c>
      <c r="R234" s="124" t="str">
        <f>IF($B234="","",IF(R$3=0,"n.b.",INDEX(SRC_Woningetalage!$A$1:$ZZ$501,$A234,R$3)))</f>
        <v/>
      </c>
      <c r="S234" s="124" t="str">
        <f>IF($B234="","",IF(S$3=0,"n.b.",INDEX(SRC_Woningetalage!$A$1:$ZZ$501,$A234,S$3)))</f>
        <v/>
      </c>
      <c r="T234" s="124" t="str">
        <f>IF($B234="","",IF(T$3=0,"n.b.",INDEX(SRC_Woningetalage!$A$1:$ZZ$501,$A234,T$3)))</f>
        <v/>
      </c>
      <c r="U234" s="124" t="str">
        <f>IF($B234="","",IF(U$3=0,"n.b.",INDEX(SRC_Woningetalage!$A$1:$ZZ$501,$A234,U$3)))</f>
        <v/>
      </c>
      <c r="V234" s="124" t="str">
        <f>IF($B234="","",IF(V$3=0,"n.b.",INDEX(SRC_Woningetalage!$A$1:$ZZ$501,$A234,V$3)))</f>
        <v/>
      </c>
      <c r="W234" s="124" t="str">
        <f>IF($B234="","",IF(W$3=0,"n.b.",INDEX(SRC_Woningetalage!$A$1:$ZZ$501,$A234,W$3)))</f>
        <v/>
      </c>
      <c r="X234" s="124" t="str">
        <f>IF($B234="","",IF(X$3=0,"n.b.",INDEX(SRC_Woningetalage!$A$1:$ZZ$501,$A234,X$3)))</f>
        <v/>
      </c>
      <c r="Y234" s="124" t="str">
        <f>IF($B234="","",IF(Y$3=0,"n.b.",INDEX(SRC_Woningetalage!$A$1:$ZZ$501,$A234,Y$3)))</f>
        <v/>
      </c>
      <c r="Z234" s="124" t="str">
        <f>IF($B234="","",IF(Z$3=0,"n.b.",INDEX(SRC_Woningetalage!$A$1:$ZZ$501,$A234,Z$3)))</f>
        <v/>
      </c>
      <c r="AA234" s="124" t="str">
        <f>IF($B234="","",IF(AA$3=0,"n.b.",INDEX(SRC_Woningetalage!$A$1:$ZZ$501,$A234,AA$3)))</f>
        <v/>
      </c>
      <c r="AB234" s="124" t="str">
        <f>IF($B234="","",IF(AB$3=0,"n.b.",INDEX(SRC_Woningetalage!$A$1:$ZZ$501,$A234,AB$3)))</f>
        <v/>
      </c>
      <c r="AC234" s="124" t="str">
        <f>IF($B234="","",IF(AC$3=0,"n.b.",INDEX(SRC_Woningetalage!$A$1:$ZZ$501,$A234,AC$3)))</f>
        <v/>
      </c>
      <c r="AD234" s="124" t="str">
        <f>IF($B234="","",IF(AD$3=0,"n.b.",INDEX(SRC_Woningetalage!$A$1:$ZZ$501,$A234,AD$3)))</f>
        <v/>
      </c>
      <c r="AE234" s="124" t="str">
        <f>IF($B234="","",IF(AE$3=0,"n.b.",INDEX(SRC_Woningetalage!$A$1:$ZZ$501,$A234,AE$3)))</f>
        <v/>
      </c>
      <c r="AF234" s="124" t="str">
        <f>IF($B234="","",IF(AF$3=0,"n.b.",INDEX(SRC_Woningetalage!$A$1:$ZZ$501,$A234,AF$3)))</f>
        <v/>
      </c>
      <c r="AG234" s="124" t="str">
        <f>IF($B234="","",IF(AG$3=0,"n.b.",INDEX(SRC_Woningetalage!$A$1:$ZZ$501,$A234,AG$3)))</f>
        <v/>
      </c>
      <c r="AH234" s="124" t="str">
        <f>IF($B234="","",IF(AH$3=0,"n.b.",INDEX(SRC_Woningetalage!$A$1:$ZZ$501,$A234,AH$3)))</f>
        <v/>
      </c>
      <c r="AI234" s="124" t="str">
        <f>IF($B234="","",IF(AI$3=0,"n.b.",INDEX(SRC_Woningetalage!$A$1:$ZZ$501,$A234,AI$3)))</f>
        <v/>
      </c>
      <c r="AJ234" s="124" t="str">
        <f>IF($B234="","",IF(AJ$3=0,"n.b.",INDEX(SRC_Woningetalage!$A$1:$ZZ$501,$A234,AJ$3)))</f>
        <v/>
      </c>
      <c r="AK234" s="124" t="str">
        <f>IF($B234="","",IF(AK$3=0,"n.b.",INDEX(SRC_Woningetalage!$A$1:$ZZ$501,$A234,AK$3)))</f>
        <v/>
      </c>
      <c r="AL234" s="124" t="str">
        <f>IF($B234="","",IF(AL$3=0,"n.b.",INDEX(SRC_Woningetalage!$A$1:$ZZ$501,$A234,AL$3)))</f>
        <v/>
      </c>
      <c r="AM234" s="124" t="str">
        <f>IF($B234="","",IF(AM$3=0,"n.b.",INDEX(SRC_Woningetalage!$A$1:$ZZ$501,$A234,AM$3)))</f>
        <v/>
      </c>
      <c r="AN234" s="124" t="str">
        <f>IF($B234="","",IF(AN$3=0,"n.b.",INDEX(SRC_Woningetalage!$A$1:$ZZ$501,$A234,AN$3)))</f>
        <v/>
      </c>
      <c r="AO234" s="124" t="str">
        <f>IF($B234="","",IF(AO$3=0,"n.b.",INDEX(SRC_Woningetalage!$A$1:$ZZ$501,$A234,AO$3)))</f>
        <v/>
      </c>
      <c r="AP234" s="124" t="str">
        <f>IF($B234="","",IF(AP$3=0,"n.b.",INDEX(SRC_Woningetalage!$A$1:$ZZ$501,$A234,AP$3)))</f>
        <v/>
      </c>
      <c r="AQ234" s="124" t="str">
        <f>IF($B234="","",IF(AQ$3=0,"n.b.",INDEX(SRC_Woningetalage!$A$1:$ZZ$501,$A234,AQ$3)))</f>
        <v/>
      </c>
      <c r="AR234" s="124" t="str">
        <f>IF($B234="","",IF(AR$3=0,"n.b.",INDEX(SRC_Woningetalage!$A$1:$ZZ$501,$A234,AR$3)))</f>
        <v/>
      </c>
      <c r="AS234" s="124" t="str">
        <f>IF($B234="","",IF(AS$3=0,"n.b.",INDEX(SRC_Woningetalage!$A$1:$ZZ$501,$A234,AS$3)))</f>
        <v/>
      </c>
      <c r="AT234" s="124" t="str">
        <f>IF($B234="","",IF(AT$3=0,"n.b.",INDEX(SRC_Woningetalage!$A$1:$ZZ$501,$A234,AT$3)))</f>
        <v/>
      </c>
      <c r="AU234" s="124" t="str">
        <f>IF($B234="","",IF(AU$3=0,"n.b.",INDEX(SRC_Woningetalage!$A$1:$ZZ$501,$A234,AU$3)))</f>
        <v/>
      </c>
      <c r="AV234" s="124" t="str">
        <f>IF($B234="","",IF(AV$3=0,"n.b.",INDEX(SRC_Woningetalage!$A$1:$ZZ$501,$A234,AV$3)))</f>
        <v/>
      </c>
      <c r="AW234" s="124" t="str">
        <f>IF($B234="","",IF(AW$3=0,"n.b.",INDEX(SRC_Woningetalage!$A$1:$ZZ$501,$A234,AW$3)))</f>
        <v/>
      </c>
      <c r="AX234" s="124" t="str">
        <f>IF($B234="","",IF(AX$3=0,"n.b.",INDEX(SRC_Woningetalage!$A$1:$ZZ$501,$A234,AX$3)))</f>
        <v/>
      </c>
      <c r="AY234" s="124" t="str">
        <f>IF($B234="","",IF(AY$3=0,"n.b.",INDEX(SRC_Woningetalage!$A$1:$ZZ$501,$A234,AY$3)))</f>
        <v/>
      </c>
      <c r="AZ234" s="124" t="str">
        <f>IF($B234="","",IF(AZ$3=0,"n.b.",INDEX(SRC_Woningetalage!$A$1:$ZZ$501,$A234,AZ$3)))</f>
        <v/>
      </c>
      <c r="BA234" s="124" t="str">
        <f>IF($B234="","",IF(BA$3=0,"n.b.",INDEX(SRC_Woningetalage!$A$1:$ZZ$501,$A234,BA$3)))</f>
        <v/>
      </c>
      <c r="BB234" s="124" t="str">
        <f>IF($B234="","",IF(BB$3=0,"n.b.",INDEX(SRC_Woningetalage!$A$1:$ZZ$501,$A234,BB$3)))</f>
        <v/>
      </c>
      <c r="BC234" s="124" t="str">
        <f>IF($B234="","",IFERROR(_xlfn.NUMBERVALUE(E234&amp;"",",","."),"n.b."))</f>
        <v/>
      </c>
      <c r="BD234" s="124" t="str">
        <f>IF($B234="","",IFERROR(_xlfn.NUMBERVALUE(M234&amp;"",",","."),"n.b."))</f>
        <v/>
      </c>
      <c r="BE234" s="124" t="str">
        <f>IF($B234="","",IFERROR(AB234+AC234+AD234,"n.b."))</f>
        <v/>
      </c>
      <c r="BF234" s="124" t="str">
        <f>IF($B234="","",IFERROR(AE234+AF234+AG234,"n.b."))</f>
        <v/>
      </c>
      <c r="BG234" s="124" t="str">
        <f>IF($B234="","",IFERROR(AH234+AI234+AJ234,"n.b."))</f>
        <v/>
      </c>
      <c r="BH234" s="124" t="str">
        <f>IF($B234="","",IFERROR(AK234+AL234+AM234,"n.b."))</f>
        <v/>
      </c>
      <c r="BI234" s="124" t="str">
        <f>IF($B234="","",IFERROR(SUMIF($AB$5:$AM$5,"&lt;="&amp;P_PeilMaand,AB234:AM234),"n.b."))</f>
        <v/>
      </c>
      <c r="BJ234" s="124" t="str">
        <f>IF($B234="","",IFERROR(SUM(AB234:AM234)-BI234,"n.b."))</f>
        <v/>
      </c>
      <c r="BK234" s="124" t="str">
        <f>IF($B234="","",IFERROR(IF(ABS(Q234-(T234+SUM(AB234:AM234)+AS234+AU234))&gt;P_Tol,1,0),1))</f>
        <v/>
      </c>
      <c r="BL234" s="124" t="str">
        <f>IF($B234="","",IFERROR(IF(ABS(AA234-(Q234-Z234))&gt;P_Tol,1,0),1))</f>
        <v/>
      </c>
      <c r="BM234" s="124" t="str">
        <f>IF($B234="","",IFERROR(IF(ABS(Z234-(T234+W234))&gt;P_Tol,1,0),1))</f>
        <v/>
      </c>
      <c r="BN234" s="124" t="str">
        <f>IF($B234="","",IFERROR(IF(ABS(W234-BI234)&gt;P_Tol,1,0),1))</f>
        <v/>
      </c>
      <c r="BO234" s="124" t="str">
        <f>IF($B234="","",IFERROR(IF(OR(ABS(R234+S234-T234)&gt;P_Tol,ABS(U234+V234-W234)&gt;P_Tol,ABS(X234+Y234-Z234)&gt;P_Tol),1,0),1))</f>
        <v/>
      </c>
      <c r="BP234" s="124" t="str">
        <f>IF($B234="","",IFERROR(IF(OR(ABS(AR234-SUM(AB234:AM234))&gt;P_Tol,ABS(AS234-(AN234+AO234+AP234+AQ234))&gt;P_Tol),1,0),1))</f>
        <v/>
      </c>
      <c r="BQ234" s="124" t="str">
        <f>IF($B234="","",IFERROR(IF(ABS(AT234)+ABS(AV234)+ABS(AW234)+ABS(AX234)+ABS(AY234)+ABS(AZ234)+ABS(BA234)+ABS(BB234)&gt;0,1,0),1))</f>
        <v/>
      </c>
      <c r="BR234" s="124" t="str">
        <f>IF($B234="","",COUNTIF(STG_ZPMW03!$B$6:$B$505,B234))</f>
        <v/>
      </c>
      <c r="BS234" s="124" t="str">
        <f>IF($B234="","",COUNTIF($B$6:$B$505,B234))</f>
        <v/>
      </c>
      <c r="BT234" s="124" t="str">
        <f>IF($B234="","",IF(BR234=0,0,IF(INDEX(STG_ZPMW03!$I$6:$I$505,MATCH(B234,STG_ZPMW03!$B$6:$B$505,0))=J234&amp;"",0,1)))</f>
        <v/>
      </c>
      <c r="BU234" s="124" t="str">
        <f>IF($B234="","",IFERROR(IF(ABS(INDEX(Mapping!$D$5:$D$104,MATCH(B234,Mapping!$A$5:$A$104,0))-Q234)&gt;P_Tol,1,0),0))</f>
        <v/>
      </c>
      <c r="BV234" s="124" t="str">
        <f>IF($B234="","",IFERROR(IF(AND(INDEX(Mapping!$G$5:$G$104,MATCH(B234,Mapping!$A$5:$A$104,0))="Nee",ABS(Q234)+ABS(Z234)+ABS(AR234)&gt;0),1,0),0))</f>
        <v/>
      </c>
      <c r="BW234" s="124" t="str">
        <f>IF($B234="","",IF(COUNTIF(Mapping!$A$5:$A$104,B234)&gt;0,1,0))</f>
        <v/>
      </c>
      <c r="BX234" s="124" t="str">
        <f>IF($B234="","",IF(BR234=0,COUNTIF($BR$6:BR234,0),""))</f>
        <v/>
      </c>
    </row>
    <row r="235">
      <c r="A235" s="15" t="n">
        <v>231</v>
      </c>
      <c r="B235" t="str">
        <f>IF(B$3=0,"",IF(INDEX(SRC_Woningetalage!$A$1:$ZZ$501,$A235,B$3)&amp;""="","",INDEX(SRC_Woningetalage!$A$1:$ZZ$501,$A235,B$3)&amp;""))</f>
        <v/>
      </c>
      <c r="C235" t="str">
        <f>IF($B235="","",IF(C$3=0,"n.b.",INDEX(SRC_Woningetalage!$A$1:$ZZ$501,$A235,C$3)))</f>
        <v/>
      </c>
      <c r="D235" t="str">
        <f>IF($B235="","",IF(D$3=0,"n.b.",INDEX(SRC_Woningetalage!$A$1:$ZZ$501,$A235,D$3)))</f>
        <v/>
      </c>
      <c r="E235" t="str">
        <f>IF($B235="","",IF(E$3=0,"n.b.",INDEX(SRC_Woningetalage!$A$1:$ZZ$501,$A235,E$3)))</f>
        <v/>
      </c>
      <c r="F235" t="str">
        <f>IF($B235="","",IF(F$3=0,"n.b.",INDEX(SRC_Woningetalage!$A$1:$ZZ$501,$A235,F$3)))</f>
        <v/>
      </c>
      <c r="G235" t="str">
        <f>IF($B235="","",IF(G$3=0,"n.b.",INDEX(SRC_Woningetalage!$A$1:$ZZ$501,$A235,G$3)))</f>
        <v/>
      </c>
      <c r="H235" t="str">
        <f>IF($B235="","",IF(H$3=0,"n.b.",INDEX(SRC_Woningetalage!$A$1:$ZZ$501,$A235,H$3)))</f>
        <v/>
      </c>
      <c r="I235" t="str">
        <f>IF($B235="","",IF(I$3=0,"n.b.",INDEX(SRC_Woningetalage!$A$1:$ZZ$501,$A235,I$3)))</f>
        <v/>
      </c>
      <c r="J235" t="str">
        <f>IF($B235="","",IF(J$3=0,"n.b.",INDEX(SRC_Woningetalage!$A$1:$ZZ$501,$A235,J$3)))</f>
        <v/>
      </c>
      <c r="K235" t="str">
        <f>IF($B235="","",IF(K$3=0,"n.b.",INDEX(SRC_Woningetalage!$A$1:$ZZ$501,$A235,K$3)))</f>
        <v/>
      </c>
      <c r="L235" t="str">
        <f>IF($B235="","",IF(L$3=0,"n.b.",INDEX(SRC_Woningetalage!$A$1:$ZZ$501,$A235,L$3)))</f>
        <v/>
      </c>
      <c r="M235" t="str">
        <f>IF($B235="","",IF(M$3=0,"n.b.",INDEX(SRC_Woningetalage!$A$1:$ZZ$501,$A235,M$3)))</f>
        <v/>
      </c>
      <c r="N235" t="str">
        <f>IF($B235="","",IF(N$3=0,"n.b.",INDEX(SRC_Woningetalage!$A$1:$ZZ$501,$A235,N$3)))</f>
        <v/>
      </c>
      <c r="O235" t="str">
        <f>IF($B235="","",IF(O$3=0,"n.b.",INDEX(SRC_Woningetalage!$A$1:$ZZ$501,$A235,O$3)))</f>
        <v/>
      </c>
      <c r="P235" t="str">
        <f>IF($B235="","",IF(P$3=0,"n.b.",INDEX(SRC_Woningetalage!$A$1:$ZZ$501,$A235,P$3)))</f>
        <v/>
      </c>
      <c r="Q235" s="124" t="str">
        <f>IF($B235="","",IF(Q$3=0,"n.b.",INDEX(SRC_Woningetalage!$A$1:$ZZ$501,$A235,Q$3)))</f>
        <v/>
      </c>
      <c r="R235" s="124" t="str">
        <f>IF($B235="","",IF(R$3=0,"n.b.",INDEX(SRC_Woningetalage!$A$1:$ZZ$501,$A235,R$3)))</f>
        <v/>
      </c>
      <c r="S235" s="124" t="str">
        <f>IF($B235="","",IF(S$3=0,"n.b.",INDEX(SRC_Woningetalage!$A$1:$ZZ$501,$A235,S$3)))</f>
        <v/>
      </c>
      <c r="T235" s="124" t="str">
        <f>IF($B235="","",IF(T$3=0,"n.b.",INDEX(SRC_Woningetalage!$A$1:$ZZ$501,$A235,T$3)))</f>
        <v/>
      </c>
      <c r="U235" s="124" t="str">
        <f>IF($B235="","",IF(U$3=0,"n.b.",INDEX(SRC_Woningetalage!$A$1:$ZZ$501,$A235,U$3)))</f>
        <v/>
      </c>
      <c r="V235" s="124" t="str">
        <f>IF($B235="","",IF(V$3=0,"n.b.",INDEX(SRC_Woningetalage!$A$1:$ZZ$501,$A235,V$3)))</f>
        <v/>
      </c>
      <c r="W235" s="124" t="str">
        <f>IF($B235="","",IF(W$3=0,"n.b.",INDEX(SRC_Woningetalage!$A$1:$ZZ$501,$A235,W$3)))</f>
        <v/>
      </c>
      <c r="X235" s="124" t="str">
        <f>IF($B235="","",IF(X$3=0,"n.b.",INDEX(SRC_Woningetalage!$A$1:$ZZ$501,$A235,X$3)))</f>
        <v/>
      </c>
      <c r="Y235" s="124" t="str">
        <f>IF($B235="","",IF(Y$3=0,"n.b.",INDEX(SRC_Woningetalage!$A$1:$ZZ$501,$A235,Y$3)))</f>
        <v/>
      </c>
      <c r="Z235" s="124" t="str">
        <f>IF($B235="","",IF(Z$3=0,"n.b.",INDEX(SRC_Woningetalage!$A$1:$ZZ$501,$A235,Z$3)))</f>
        <v/>
      </c>
      <c r="AA235" s="124" t="str">
        <f>IF($B235="","",IF(AA$3=0,"n.b.",INDEX(SRC_Woningetalage!$A$1:$ZZ$501,$A235,AA$3)))</f>
        <v/>
      </c>
      <c r="AB235" s="124" t="str">
        <f>IF($B235="","",IF(AB$3=0,"n.b.",INDEX(SRC_Woningetalage!$A$1:$ZZ$501,$A235,AB$3)))</f>
        <v/>
      </c>
      <c r="AC235" s="124" t="str">
        <f>IF($B235="","",IF(AC$3=0,"n.b.",INDEX(SRC_Woningetalage!$A$1:$ZZ$501,$A235,AC$3)))</f>
        <v/>
      </c>
      <c r="AD235" s="124" t="str">
        <f>IF($B235="","",IF(AD$3=0,"n.b.",INDEX(SRC_Woningetalage!$A$1:$ZZ$501,$A235,AD$3)))</f>
        <v/>
      </c>
      <c r="AE235" s="124" t="str">
        <f>IF($B235="","",IF(AE$3=0,"n.b.",INDEX(SRC_Woningetalage!$A$1:$ZZ$501,$A235,AE$3)))</f>
        <v/>
      </c>
      <c r="AF235" s="124" t="str">
        <f>IF($B235="","",IF(AF$3=0,"n.b.",INDEX(SRC_Woningetalage!$A$1:$ZZ$501,$A235,AF$3)))</f>
        <v/>
      </c>
      <c r="AG235" s="124" t="str">
        <f>IF($B235="","",IF(AG$3=0,"n.b.",INDEX(SRC_Woningetalage!$A$1:$ZZ$501,$A235,AG$3)))</f>
        <v/>
      </c>
      <c r="AH235" s="124" t="str">
        <f>IF($B235="","",IF(AH$3=0,"n.b.",INDEX(SRC_Woningetalage!$A$1:$ZZ$501,$A235,AH$3)))</f>
        <v/>
      </c>
      <c r="AI235" s="124" t="str">
        <f>IF($B235="","",IF(AI$3=0,"n.b.",INDEX(SRC_Woningetalage!$A$1:$ZZ$501,$A235,AI$3)))</f>
        <v/>
      </c>
      <c r="AJ235" s="124" t="str">
        <f>IF($B235="","",IF(AJ$3=0,"n.b.",INDEX(SRC_Woningetalage!$A$1:$ZZ$501,$A235,AJ$3)))</f>
        <v/>
      </c>
      <c r="AK235" s="124" t="str">
        <f>IF($B235="","",IF(AK$3=0,"n.b.",INDEX(SRC_Woningetalage!$A$1:$ZZ$501,$A235,AK$3)))</f>
        <v/>
      </c>
      <c r="AL235" s="124" t="str">
        <f>IF($B235="","",IF(AL$3=0,"n.b.",INDEX(SRC_Woningetalage!$A$1:$ZZ$501,$A235,AL$3)))</f>
        <v/>
      </c>
      <c r="AM235" s="124" t="str">
        <f>IF($B235="","",IF(AM$3=0,"n.b.",INDEX(SRC_Woningetalage!$A$1:$ZZ$501,$A235,AM$3)))</f>
        <v/>
      </c>
      <c r="AN235" s="124" t="str">
        <f>IF($B235="","",IF(AN$3=0,"n.b.",INDEX(SRC_Woningetalage!$A$1:$ZZ$501,$A235,AN$3)))</f>
        <v/>
      </c>
      <c r="AO235" s="124" t="str">
        <f>IF($B235="","",IF(AO$3=0,"n.b.",INDEX(SRC_Woningetalage!$A$1:$ZZ$501,$A235,AO$3)))</f>
        <v/>
      </c>
      <c r="AP235" s="124" t="str">
        <f>IF($B235="","",IF(AP$3=0,"n.b.",INDEX(SRC_Woningetalage!$A$1:$ZZ$501,$A235,AP$3)))</f>
        <v/>
      </c>
      <c r="AQ235" s="124" t="str">
        <f>IF($B235="","",IF(AQ$3=0,"n.b.",INDEX(SRC_Woningetalage!$A$1:$ZZ$501,$A235,AQ$3)))</f>
        <v/>
      </c>
      <c r="AR235" s="124" t="str">
        <f>IF($B235="","",IF(AR$3=0,"n.b.",INDEX(SRC_Woningetalage!$A$1:$ZZ$501,$A235,AR$3)))</f>
        <v/>
      </c>
      <c r="AS235" s="124" t="str">
        <f>IF($B235="","",IF(AS$3=0,"n.b.",INDEX(SRC_Woningetalage!$A$1:$ZZ$501,$A235,AS$3)))</f>
        <v/>
      </c>
      <c r="AT235" s="124" t="str">
        <f>IF($B235="","",IF(AT$3=0,"n.b.",INDEX(SRC_Woningetalage!$A$1:$ZZ$501,$A235,AT$3)))</f>
        <v/>
      </c>
      <c r="AU235" s="124" t="str">
        <f>IF($B235="","",IF(AU$3=0,"n.b.",INDEX(SRC_Woningetalage!$A$1:$ZZ$501,$A235,AU$3)))</f>
        <v/>
      </c>
      <c r="AV235" s="124" t="str">
        <f>IF($B235="","",IF(AV$3=0,"n.b.",INDEX(SRC_Woningetalage!$A$1:$ZZ$501,$A235,AV$3)))</f>
        <v/>
      </c>
      <c r="AW235" s="124" t="str">
        <f>IF($B235="","",IF(AW$3=0,"n.b.",INDEX(SRC_Woningetalage!$A$1:$ZZ$501,$A235,AW$3)))</f>
        <v/>
      </c>
      <c r="AX235" s="124" t="str">
        <f>IF($B235="","",IF(AX$3=0,"n.b.",INDEX(SRC_Woningetalage!$A$1:$ZZ$501,$A235,AX$3)))</f>
        <v/>
      </c>
      <c r="AY235" s="124" t="str">
        <f>IF($B235="","",IF(AY$3=0,"n.b.",INDEX(SRC_Woningetalage!$A$1:$ZZ$501,$A235,AY$3)))</f>
        <v/>
      </c>
      <c r="AZ235" s="124" t="str">
        <f>IF($B235="","",IF(AZ$3=0,"n.b.",INDEX(SRC_Woningetalage!$A$1:$ZZ$501,$A235,AZ$3)))</f>
        <v/>
      </c>
      <c r="BA235" s="124" t="str">
        <f>IF($B235="","",IF(BA$3=0,"n.b.",INDEX(SRC_Woningetalage!$A$1:$ZZ$501,$A235,BA$3)))</f>
        <v/>
      </c>
      <c r="BB235" s="124" t="str">
        <f>IF($B235="","",IF(BB$3=0,"n.b.",INDEX(SRC_Woningetalage!$A$1:$ZZ$501,$A235,BB$3)))</f>
        <v/>
      </c>
      <c r="BC235" s="124" t="str">
        <f>IF($B235="","",IFERROR(_xlfn.NUMBERVALUE(E235&amp;"",",","."),"n.b."))</f>
        <v/>
      </c>
      <c r="BD235" s="124" t="str">
        <f>IF($B235="","",IFERROR(_xlfn.NUMBERVALUE(M235&amp;"",",","."),"n.b."))</f>
        <v/>
      </c>
      <c r="BE235" s="124" t="str">
        <f>IF($B235="","",IFERROR(AB235+AC235+AD235,"n.b."))</f>
        <v/>
      </c>
      <c r="BF235" s="124" t="str">
        <f>IF($B235="","",IFERROR(AE235+AF235+AG235,"n.b."))</f>
        <v/>
      </c>
      <c r="BG235" s="124" t="str">
        <f>IF($B235="","",IFERROR(AH235+AI235+AJ235,"n.b."))</f>
        <v/>
      </c>
      <c r="BH235" s="124" t="str">
        <f>IF($B235="","",IFERROR(AK235+AL235+AM235,"n.b."))</f>
        <v/>
      </c>
      <c r="BI235" s="124" t="str">
        <f>IF($B235="","",IFERROR(SUMIF($AB$5:$AM$5,"&lt;="&amp;P_PeilMaand,AB235:AM235),"n.b."))</f>
        <v/>
      </c>
      <c r="BJ235" s="124" t="str">
        <f>IF($B235="","",IFERROR(SUM(AB235:AM235)-BI235,"n.b."))</f>
        <v/>
      </c>
      <c r="BK235" s="124" t="str">
        <f>IF($B235="","",IFERROR(IF(ABS(Q235-(T235+SUM(AB235:AM235)+AS235+AU235))&gt;P_Tol,1,0),1))</f>
        <v/>
      </c>
      <c r="BL235" s="124" t="str">
        <f>IF($B235="","",IFERROR(IF(ABS(AA235-(Q235-Z235))&gt;P_Tol,1,0),1))</f>
        <v/>
      </c>
      <c r="BM235" s="124" t="str">
        <f>IF($B235="","",IFERROR(IF(ABS(Z235-(T235+W235))&gt;P_Tol,1,0),1))</f>
        <v/>
      </c>
      <c r="BN235" s="124" t="str">
        <f>IF($B235="","",IFERROR(IF(ABS(W235-BI235)&gt;P_Tol,1,0),1))</f>
        <v/>
      </c>
      <c r="BO235" s="124" t="str">
        <f>IF($B235="","",IFERROR(IF(OR(ABS(R235+S235-T235)&gt;P_Tol,ABS(U235+V235-W235)&gt;P_Tol,ABS(X235+Y235-Z235)&gt;P_Tol),1,0),1))</f>
        <v/>
      </c>
      <c r="BP235" s="124" t="str">
        <f>IF($B235="","",IFERROR(IF(OR(ABS(AR235-SUM(AB235:AM235))&gt;P_Tol,ABS(AS235-(AN235+AO235+AP235+AQ235))&gt;P_Tol),1,0),1))</f>
        <v/>
      </c>
      <c r="BQ235" s="124" t="str">
        <f>IF($B235="","",IFERROR(IF(ABS(AT235)+ABS(AV235)+ABS(AW235)+ABS(AX235)+ABS(AY235)+ABS(AZ235)+ABS(BA235)+ABS(BB235)&gt;0,1,0),1))</f>
        <v/>
      </c>
      <c r="BR235" s="124" t="str">
        <f>IF($B235="","",COUNTIF(STG_ZPMW03!$B$6:$B$505,B235))</f>
        <v/>
      </c>
      <c r="BS235" s="124" t="str">
        <f>IF($B235="","",COUNTIF($B$6:$B$505,B235))</f>
        <v/>
      </c>
      <c r="BT235" s="124" t="str">
        <f>IF($B235="","",IF(BR235=0,0,IF(INDEX(STG_ZPMW03!$I$6:$I$505,MATCH(B235,STG_ZPMW03!$B$6:$B$505,0))=J235&amp;"",0,1)))</f>
        <v/>
      </c>
      <c r="BU235" s="124" t="str">
        <f>IF($B235="","",IFERROR(IF(ABS(INDEX(Mapping!$D$5:$D$104,MATCH(B235,Mapping!$A$5:$A$104,0))-Q235)&gt;P_Tol,1,0),0))</f>
        <v/>
      </c>
      <c r="BV235" s="124" t="str">
        <f>IF($B235="","",IFERROR(IF(AND(INDEX(Mapping!$G$5:$G$104,MATCH(B235,Mapping!$A$5:$A$104,0))="Nee",ABS(Q235)+ABS(Z235)+ABS(AR235)&gt;0),1,0),0))</f>
        <v/>
      </c>
      <c r="BW235" s="124" t="str">
        <f>IF($B235="","",IF(COUNTIF(Mapping!$A$5:$A$104,B235)&gt;0,1,0))</f>
        <v/>
      </c>
      <c r="BX235" s="124" t="str">
        <f>IF($B235="","",IF(BR235=0,COUNTIF($BR$6:BR235,0),""))</f>
        <v/>
      </c>
    </row>
    <row r="236">
      <c r="A236" s="15" t="n">
        <v>232</v>
      </c>
      <c r="B236" t="str">
        <f>IF(B$3=0,"",IF(INDEX(SRC_Woningetalage!$A$1:$ZZ$501,$A236,B$3)&amp;""="","",INDEX(SRC_Woningetalage!$A$1:$ZZ$501,$A236,B$3)&amp;""))</f>
        <v/>
      </c>
      <c r="C236" t="str">
        <f>IF($B236="","",IF(C$3=0,"n.b.",INDEX(SRC_Woningetalage!$A$1:$ZZ$501,$A236,C$3)))</f>
        <v/>
      </c>
      <c r="D236" t="str">
        <f>IF($B236="","",IF(D$3=0,"n.b.",INDEX(SRC_Woningetalage!$A$1:$ZZ$501,$A236,D$3)))</f>
        <v/>
      </c>
      <c r="E236" t="str">
        <f>IF($B236="","",IF(E$3=0,"n.b.",INDEX(SRC_Woningetalage!$A$1:$ZZ$501,$A236,E$3)))</f>
        <v/>
      </c>
      <c r="F236" t="str">
        <f>IF($B236="","",IF(F$3=0,"n.b.",INDEX(SRC_Woningetalage!$A$1:$ZZ$501,$A236,F$3)))</f>
        <v/>
      </c>
      <c r="G236" t="str">
        <f>IF($B236="","",IF(G$3=0,"n.b.",INDEX(SRC_Woningetalage!$A$1:$ZZ$501,$A236,G$3)))</f>
        <v/>
      </c>
      <c r="H236" t="str">
        <f>IF($B236="","",IF(H$3=0,"n.b.",INDEX(SRC_Woningetalage!$A$1:$ZZ$501,$A236,H$3)))</f>
        <v/>
      </c>
      <c r="I236" t="str">
        <f>IF($B236="","",IF(I$3=0,"n.b.",INDEX(SRC_Woningetalage!$A$1:$ZZ$501,$A236,I$3)))</f>
        <v/>
      </c>
      <c r="J236" t="str">
        <f>IF($B236="","",IF(J$3=0,"n.b.",INDEX(SRC_Woningetalage!$A$1:$ZZ$501,$A236,J$3)))</f>
        <v/>
      </c>
      <c r="K236" t="str">
        <f>IF($B236="","",IF(K$3=0,"n.b.",INDEX(SRC_Woningetalage!$A$1:$ZZ$501,$A236,K$3)))</f>
        <v/>
      </c>
      <c r="L236" t="str">
        <f>IF($B236="","",IF(L$3=0,"n.b.",INDEX(SRC_Woningetalage!$A$1:$ZZ$501,$A236,L$3)))</f>
        <v/>
      </c>
      <c r="M236" t="str">
        <f>IF($B236="","",IF(M$3=0,"n.b.",INDEX(SRC_Woningetalage!$A$1:$ZZ$501,$A236,M$3)))</f>
        <v/>
      </c>
      <c r="N236" t="str">
        <f>IF($B236="","",IF(N$3=0,"n.b.",INDEX(SRC_Woningetalage!$A$1:$ZZ$501,$A236,N$3)))</f>
        <v/>
      </c>
      <c r="O236" t="str">
        <f>IF($B236="","",IF(O$3=0,"n.b.",INDEX(SRC_Woningetalage!$A$1:$ZZ$501,$A236,O$3)))</f>
        <v/>
      </c>
      <c r="P236" t="str">
        <f>IF($B236="","",IF(P$3=0,"n.b.",INDEX(SRC_Woningetalage!$A$1:$ZZ$501,$A236,P$3)))</f>
        <v/>
      </c>
      <c r="Q236" s="124" t="str">
        <f>IF($B236="","",IF(Q$3=0,"n.b.",INDEX(SRC_Woningetalage!$A$1:$ZZ$501,$A236,Q$3)))</f>
        <v/>
      </c>
      <c r="R236" s="124" t="str">
        <f>IF($B236="","",IF(R$3=0,"n.b.",INDEX(SRC_Woningetalage!$A$1:$ZZ$501,$A236,R$3)))</f>
        <v/>
      </c>
      <c r="S236" s="124" t="str">
        <f>IF($B236="","",IF(S$3=0,"n.b.",INDEX(SRC_Woningetalage!$A$1:$ZZ$501,$A236,S$3)))</f>
        <v/>
      </c>
      <c r="T236" s="124" t="str">
        <f>IF($B236="","",IF(T$3=0,"n.b.",INDEX(SRC_Woningetalage!$A$1:$ZZ$501,$A236,T$3)))</f>
        <v/>
      </c>
      <c r="U236" s="124" t="str">
        <f>IF($B236="","",IF(U$3=0,"n.b.",INDEX(SRC_Woningetalage!$A$1:$ZZ$501,$A236,U$3)))</f>
        <v/>
      </c>
      <c r="V236" s="124" t="str">
        <f>IF($B236="","",IF(V$3=0,"n.b.",INDEX(SRC_Woningetalage!$A$1:$ZZ$501,$A236,V$3)))</f>
        <v/>
      </c>
      <c r="W236" s="124" t="str">
        <f>IF($B236="","",IF(W$3=0,"n.b.",INDEX(SRC_Woningetalage!$A$1:$ZZ$501,$A236,W$3)))</f>
        <v/>
      </c>
      <c r="X236" s="124" t="str">
        <f>IF($B236="","",IF(X$3=0,"n.b.",INDEX(SRC_Woningetalage!$A$1:$ZZ$501,$A236,X$3)))</f>
        <v/>
      </c>
      <c r="Y236" s="124" t="str">
        <f>IF($B236="","",IF(Y$3=0,"n.b.",INDEX(SRC_Woningetalage!$A$1:$ZZ$501,$A236,Y$3)))</f>
        <v/>
      </c>
      <c r="Z236" s="124" t="str">
        <f>IF($B236="","",IF(Z$3=0,"n.b.",INDEX(SRC_Woningetalage!$A$1:$ZZ$501,$A236,Z$3)))</f>
        <v/>
      </c>
      <c r="AA236" s="124" t="str">
        <f>IF($B236="","",IF(AA$3=0,"n.b.",INDEX(SRC_Woningetalage!$A$1:$ZZ$501,$A236,AA$3)))</f>
        <v/>
      </c>
      <c r="AB236" s="124" t="str">
        <f>IF($B236="","",IF(AB$3=0,"n.b.",INDEX(SRC_Woningetalage!$A$1:$ZZ$501,$A236,AB$3)))</f>
        <v/>
      </c>
      <c r="AC236" s="124" t="str">
        <f>IF($B236="","",IF(AC$3=0,"n.b.",INDEX(SRC_Woningetalage!$A$1:$ZZ$501,$A236,AC$3)))</f>
        <v/>
      </c>
      <c r="AD236" s="124" t="str">
        <f>IF($B236="","",IF(AD$3=0,"n.b.",INDEX(SRC_Woningetalage!$A$1:$ZZ$501,$A236,AD$3)))</f>
        <v/>
      </c>
      <c r="AE236" s="124" t="str">
        <f>IF($B236="","",IF(AE$3=0,"n.b.",INDEX(SRC_Woningetalage!$A$1:$ZZ$501,$A236,AE$3)))</f>
        <v/>
      </c>
      <c r="AF236" s="124" t="str">
        <f>IF($B236="","",IF(AF$3=0,"n.b.",INDEX(SRC_Woningetalage!$A$1:$ZZ$501,$A236,AF$3)))</f>
        <v/>
      </c>
      <c r="AG236" s="124" t="str">
        <f>IF($B236="","",IF(AG$3=0,"n.b.",INDEX(SRC_Woningetalage!$A$1:$ZZ$501,$A236,AG$3)))</f>
        <v/>
      </c>
      <c r="AH236" s="124" t="str">
        <f>IF($B236="","",IF(AH$3=0,"n.b.",INDEX(SRC_Woningetalage!$A$1:$ZZ$501,$A236,AH$3)))</f>
        <v/>
      </c>
      <c r="AI236" s="124" t="str">
        <f>IF($B236="","",IF(AI$3=0,"n.b.",INDEX(SRC_Woningetalage!$A$1:$ZZ$501,$A236,AI$3)))</f>
        <v/>
      </c>
      <c r="AJ236" s="124" t="str">
        <f>IF($B236="","",IF(AJ$3=0,"n.b.",INDEX(SRC_Woningetalage!$A$1:$ZZ$501,$A236,AJ$3)))</f>
        <v/>
      </c>
      <c r="AK236" s="124" t="str">
        <f>IF($B236="","",IF(AK$3=0,"n.b.",INDEX(SRC_Woningetalage!$A$1:$ZZ$501,$A236,AK$3)))</f>
        <v/>
      </c>
      <c r="AL236" s="124" t="str">
        <f>IF($B236="","",IF(AL$3=0,"n.b.",INDEX(SRC_Woningetalage!$A$1:$ZZ$501,$A236,AL$3)))</f>
        <v/>
      </c>
      <c r="AM236" s="124" t="str">
        <f>IF($B236="","",IF(AM$3=0,"n.b.",INDEX(SRC_Woningetalage!$A$1:$ZZ$501,$A236,AM$3)))</f>
        <v/>
      </c>
      <c r="AN236" s="124" t="str">
        <f>IF($B236="","",IF(AN$3=0,"n.b.",INDEX(SRC_Woningetalage!$A$1:$ZZ$501,$A236,AN$3)))</f>
        <v/>
      </c>
      <c r="AO236" s="124" t="str">
        <f>IF($B236="","",IF(AO$3=0,"n.b.",INDEX(SRC_Woningetalage!$A$1:$ZZ$501,$A236,AO$3)))</f>
        <v/>
      </c>
      <c r="AP236" s="124" t="str">
        <f>IF($B236="","",IF(AP$3=0,"n.b.",INDEX(SRC_Woningetalage!$A$1:$ZZ$501,$A236,AP$3)))</f>
        <v/>
      </c>
      <c r="AQ236" s="124" t="str">
        <f>IF($B236="","",IF(AQ$3=0,"n.b.",INDEX(SRC_Woningetalage!$A$1:$ZZ$501,$A236,AQ$3)))</f>
        <v/>
      </c>
      <c r="AR236" s="124" t="str">
        <f>IF($B236="","",IF(AR$3=0,"n.b.",INDEX(SRC_Woningetalage!$A$1:$ZZ$501,$A236,AR$3)))</f>
        <v/>
      </c>
      <c r="AS236" s="124" t="str">
        <f>IF($B236="","",IF(AS$3=0,"n.b.",INDEX(SRC_Woningetalage!$A$1:$ZZ$501,$A236,AS$3)))</f>
        <v/>
      </c>
      <c r="AT236" s="124" t="str">
        <f>IF($B236="","",IF(AT$3=0,"n.b.",INDEX(SRC_Woningetalage!$A$1:$ZZ$501,$A236,AT$3)))</f>
        <v/>
      </c>
      <c r="AU236" s="124" t="str">
        <f>IF($B236="","",IF(AU$3=0,"n.b.",INDEX(SRC_Woningetalage!$A$1:$ZZ$501,$A236,AU$3)))</f>
        <v/>
      </c>
      <c r="AV236" s="124" t="str">
        <f>IF($B236="","",IF(AV$3=0,"n.b.",INDEX(SRC_Woningetalage!$A$1:$ZZ$501,$A236,AV$3)))</f>
        <v/>
      </c>
      <c r="AW236" s="124" t="str">
        <f>IF($B236="","",IF(AW$3=0,"n.b.",INDEX(SRC_Woningetalage!$A$1:$ZZ$501,$A236,AW$3)))</f>
        <v/>
      </c>
      <c r="AX236" s="124" t="str">
        <f>IF($B236="","",IF(AX$3=0,"n.b.",INDEX(SRC_Woningetalage!$A$1:$ZZ$501,$A236,AX$3)))</f>
        <v/>
      </c>
      <c r="AY236" s="124" t="str">
        <f>IF($B236="","",IF(AY$3=0,"n.b.",INDEX(SRC_Woningetalage!$A$1:$ZZ$501,$A236,AY$3)))</f>
        <v/>
      </c>
      <c r="AZ236" s="124" t="str">
        <f>IF($B236="","",IF(AZ$3=0,"n.b.",INDEX(SRC_Woningetalage!$A$1:$ZZ$501,$A236,AZ$3)))</f>
        <v/>
      </c>
      <c r="BA236" s="124" t="str">
        <f>IF($B236="","",IF(BA$3=0,"n.b.",INDEX(SRC_Woningetalage!$A$1:$ZZ$501,$A236,BA$3)))</f>
        <v/>
      </c>
      <c r="BB236" s="124" t="str">
        <f>IF($B236="","",IF(BB$3=0,"n.b.",INDEX(SRC_Woningetalage!$A$1:$ZZ$501,$A236,BB$3)))</f>
        <v/>
      </c>
      <c r="BC236" s="124" t="str">
        <f>IF($B236="","",IFERROR(_xlfn.NUMBERVALUE(E236&amp;"",",","."),"n.b."))</f>
        <v/>
      </c>
      <c r="BD236" s="124" t="str">
        <f>IF($B236="","",IFERROR(_xlfn.NUMBERVALUE(M236&amp;"",",","."),"n.b."))</f>
        <v/>
      </c>
      <c r="BE236" s="124" t="str">
        <f>IF($B236="","",IFERROR(AB236+AC236+AD236,"n.b."))</f>
        <v/>
      </c>
      <c r="BF236" s="124" t="str">
        <f>IF($B236="","",IFERROR(AE236+AF236+AG236,"n.b."))</f>
        <v/>
      </c>
      <c r="BG236" s="124" t="str">
        <f>IF($B236="","",IFERROR(AH236+AI236+AJ236,"n.b."))</f>
        <v/>
      </c>
      <c r="BH236" s="124" t="str">
        <f>IF($B236="","",IFERROR(AK236+AL236+AM236,"n.b."))</f>
        <v/>
      </c>
      <c r="BI236" s="124" t="str">
        <f>IF($B236="","",IFERROR(SUMIF($AB$5:$AM$5,"&lt;="&amp;P_PeilMaand,AB236:AM236),"n.b."))</f>
        <v/>
      </c>
      <c r="BJ236" s="124" t="str">
        <f>IF($B236="","",IFERROR(SUM(AB236:AM236)-BI236,"n.b."))</f>
        <v/>
      </c>
      <c r="BK236" s="124" t="str">
        <f>IF($B236="","",IFERROR(IF(ABS(Q236-(T236+SUM(AB236:AM236)+AS236+AU236))&gt;P_Tol,1,0),1))</f>
        <v/>
      </c>
      <c r="BL236" s="124" t="str">
        <f>IF($B236="","",IFERROR(IF(ABS(AA236-(Q236-Z236))&gt;P_Tol,1,0),1))</f>
        <v/>
      </c>
      <c r="BM236" s="124" t="str">
        <f>IF($B236="","",IFERROR(IF(ABS(Z236-(T236+W236))&gt;P_Tol,1,0),1))</f>
        <v/>
      </c>
      <c r="BN236" s="124" t="str">
        <f>IF($B236="","",IFERROR(IF(ABS(W236-BI236)&gt;P_Tol,1,0),1))</f>
        <v/>
      </c>
      <c r="BO236" s="124" t="str">
        <f>IF($B236="","",IFERROR(IF(OR(ABS(R236+S236-T236)&gt;P_Tol,ABS(U236+V236-W236)&gt;P_Tol,ABS(X236+Y236-Z236)&gt;P_Tol),1,0),1))</f>
        <v/>
      </c>
      <c r="BP236" s="124" t="str">
        <f>IF($B236="","",IFERROR(IF(OR(ABS(AR236-SUM(AB236:AM236))&gt;P_Tol,ABS(AS236-(AN236+AO236+AP236+AQ236))&gt;P_Tol),1,0),1))</f>
        <v/>
      </c>
      <c r="BQ236" s="124" t="str">
        <f>IF($B236="","",IFERROR(IF(ABS(AT236)+ABS(AV236)+ABS(AW236)+ABS(AX236)+ABS(AY236)+ABS(AZ236)+ABS(BA236)+ABS(BB236)&gt;0,1,0),1))</f>
        <v/>
      </c>
      <c r="BR236" s="124" t="str">
        <f>IF($B236="","",COUNTIF(STG_ZPMW03!$B$6:$B$505,B236))</f>
        <v/>
      </c>
      <c r="BS236" s="124" t="str">
        <f>IF($B236="","",COUNTIF($B$6:$B$505,B236))</f>
        <v/>
      </c>
      <c r="BT236" s="124" t="str">
        <f>IF($B236="","",IF(BR236=0,0,IF(INDEX(STG_ZPMW03!$I$6:$I$505,MATCH(B236,STG_ZPMW03!$B$6:$B$505,0))=J236&amp;"",0,1)))</f>
        <v/>
      </c>
      <c r="BU236" s="124" t="str">
        <f>IF($B236="","",IFERROR(IF(ABS(INDEX(Mapping!$D$5:$D$104,MATCH(B236,Mapping!$A$5:$A$104,0))-Q236)&gt;P_Tol,1,0),0))</f>
        <v/>
      </c>
      <c r="BV236" s="124" t="str">
        <f>IF($B236="","",IFERROR(IF(AND(INDEX(Mapping!$G$5:$G$104,MATCH(B236,Mapping!$A$5:$A$104,0))="Nee",ABS(Q236)+ABS(Z236)+ABS(AR236)&gt;0),1,0),0))</f>
        <v/>
      </c>
      <c r="BW236" s="124" t="str">
        <f>IF($B236="","",IF(COUNTIF(Mapping!$A$5:$A$104,B236)&gt;0,1,0))</f>
        <v/>
      </c>
      <c r="BX236" s="124" t="str">
        <f>IF($B236="","",IF(BR236=0,COUNTIF($BR$6:BR236,0),""))</f>
        <v/>
      </c>
    </row>
    <row r="237">
      <c r="A237" s="15" t="n">
        <v>233</v>
      </c>
      <c r="B237" t="str">
        <f>IF(B$3=0,"",IF(INDEX(SRC_Woningetalage!$A$1:$ZZ$501,$A237,B$3)&amp;""="","",INDEX(SRC_Woningetalage!$A$1:$ZZ$501,$A237,B$3)&amp;""))</f>
        <v/>
      </c>
      <c r="C237" t="str">
        <f>IF($B237="","",IF(C$3=0,"n.b.",INDEX(SRC_Woningetalage!$A$1:$ZZ$501,$A237,C$3)))</f>
        <v/>
      </c>
      <c r="D237" t="str">
        <f>IF($B237="","",IF(D$3=0,"n.b.",INDEX(SRC_Woningetalage!$A$1:$ZZ$501,$A237,D$3)))</f>
        <v/>
      </c>
      <c r="E237" t="str">
        <f>IF($B237="","",IF(E$3=0,"n.b.",INDEX(SRC_Woningetalage!$A$1:$ZZ$501,$A237,E$3)))</f>
        <v/>
      </c>
      <c r="F237" t="str">
        <f>IF($B237="","",IF(F$3=0,"n.b.",INDEX(SRC_Woningetalage!$A$1:$ZZ$501,$A237,F$3)))</f>
        <v/>
      </c>
      <c r="G237" t="str">
        <f>IF($B237="","",IF(G$3=0,"n.b.",INDEX(SRC_Woningetalage!$A$1:$ZZ$501,$A237,G$3)))</f>
        <v/>
      </c>
      <c r="H237" t="str">
        <f>IF($B237="","",IF(H$3=0,"n.b.",INDEX(SRC_Woningetalage!$A$1:$ZZ$501,$A237,H$3)))</f>
        <v/>
      </c>
      <c r="I237" t="str">
        <f>IF($B237="","",IF(I$3=0,"n.b.",INDEX(SRC_Woningetalage!$A$1:$ZZ$501,$A237,I$3)))</f>
        <v/>
      </c>
      <c r="J237" t="str">
        <f>IF($B237="","",IF(J$3=0,"n.b.",INDEX(SRC_Woningetalage!$A$1:$ZZ$501,$A237,J$3)))</f>
        <v/>
      </c>
      <c r="K237" t="str">
        <f>IF($B237="","",IF(K$3=0,"n.b.",INDEX(SRC_Woningetalage!$A$1:$ZZ$501,$A237,K$3)))</f>
        <v/>
      </c>
      <c r="L237" t="str">
        <f>IF($B237="","",IF(L$3=0,"n.b.",INDEX(SRC_Woningetalage!$A$1:$ZZ$501,$A237,L$3)))</f>
        <v/>
      </c>
      <c r="M237" t="str">
        <f>IF($B237="","",IF(M$3=0,"n.b.",INDEX(SRC_Woningetalage!$A$1:$ZZ$501,$A237,M$3)))</f>
        <v/>
      </c>
      <c r="N237" t="str">
        <f>IF($B237="","",IF(N$3=0,"n.b.",INDEX(SRC_Woningetalage!$A$1:$ZZ$501,$A237,N$3)))</f>
        <v/>
      </c>
      <c r="O237" t="str">
        <f>IF($B237="","",IF(O$3=0,"n.b.",INDEX(SRC_Woningetalage!$A$1:$ZZ$501,$A237,O$3)))</f>
        <v/>
      </c>
      <c r="P237" t="str">
        <f>IF($B237="","",IF(P$3=0,"n.b.",INDEX(SRC_Woningetalage!$A$1:$ZZ$501,$A237,P$3)))</f>
        <v/>
      </c>
      <c r="Q237" s="124" t="str">
        <f>IF($B237="","",IF(Q$3=0,"n.b.",INDEX(SRC_Woningetalage!$A$1:$ZZ$501,$A237,Q$3)))</f>
        <v/>
      </c>
      <c r="R237" s="124" t="str">
        <f>IF($B237="","",IF(R$3=0,"n.b.",INDEX(SRC_Woningetalage!$A$1:$ZZ$501,$A237,R$3)))</f>
        <v/>
      </c>
      <c r="S237" s="124" t="str">
        <f>IF($B237="","",IF(S$3=0,"n.b.",INDEX(SRC_Woningetalage!$A$1:$ZZ$501,$A237,S$3)))</f>
        <v/>
      </c>
      <c r="T237" s="124" t="str">
        <f>IF($B237="","",IF(T$3=0,"n.b.",INDEX(SRC_Woningetalage!$A$1:$ZZ$501,$A237,T$3)))</f>
        <v/>
      </c>
      <c r="U237" s="124" t="str">
        <f>IF($B237="","",IF(U$3=0,"n.b.",INDEX(SRC_Woningetalage!$A$1:$ZZ$501,$A237,U$3)))</f>
        <v/>
      </c>
      <c r="V237" s="124" t="str">
        <f>IF($B237="","",IF(V$3=0,"n.b.",INDEX(SRC_Woningetalage!$A$1:$ZZ$501,$A237,V$3)))</f>
        <v/>
      </c>
      <c r="W237" s="124" t="str">
        <f>IF($B237="","",IF(W$3=0,"n.b.",INDEX(SRC_Woningetalage!$A$1:$ZZ$501,$A237,W$3)))</f>
        <v/>
      </c>
      <c r="X237" s="124" t="str">
        <f>IF($B237="","",IF(X$3=0,"n.b.",INDEX(SRC_Woningetalage!$A$1:$ZZ$501,$A237,X$3)))</f>
        <v/>
      </c>
      <c r="Y237" s="124" t="str">
        <f>IF($B237="","",IF(Y$3=0,"n.b.",INDEX(SRC_Woningetalage!$A$1:$ZZ$501,$A237,Y$3)))</f>
        <v/>
      </c>
      <c r="Z237" s="124" t="str">
        <f>IF($B237="","",IF(Z$3=0,"n.b.",INDEX(SRC_Woningetalage!$A$1:$ZZ$501,$A237,Z$3)))</f>
        <v/>
      </c>
      <c r="AA237" s="124" t="str">
        <f>IF($B237="","",IF(AA$3=0,"n.b.",INDEX(SRC_Woningetalage!$A$1:$ZZ$501,$A237,AA$3)))</f>
        <v/>
      </c>
      <c r="AB237" s="124" t="str">
        <f>IF($B237="","",IF(AB$3=0,"n.b.",INDEX(SRC_Woningetalage!$A$1:$ZZ$501,$A237,AB$3)))</f>
        <v/>
      </c>
      <c r="AC237" s="124" t="str">
        <f>IF($B237="","",IF(AC$3=0,"n.b.",INDEX(SRC_Woningetalage!$A$1:$ZZ$501,$A237,AC$3)))</f>
        <v/>
      </c>
      <c r="AD237" s="124" t="str">
        <f>IF($B237="","",IF(AD$3=0,"n.b.",INDEX(SRC_Woningetalage!$A$1:$ZZ$501,$A237,AD$3)))</f>
        <v/>
      </c>
      <c r="AE237" s="124" t="str">
        <f>IF($B237="","",IF(AE$3=0,"n.b.",INDEX(SRC_Woningetalage!$A$1:$ZZ$501,$A237,AE$3)))</f>
        <v/>
      </c>
      <c r="AF237" s="124" t="str">
        <f>IF($B237="","",IF(AF$3=0,"n.b.",INDEX(SRC_Woningetalage!$A$1:$ZZ$501,$A237,AF$3)))</f>
        <v/>
      </c>
      <c r="AG237" s="124" t="str">
        <f>IF($B237="","",IF(AG$3=0,"n.b.",INDEX(SRC_Woningetalage!$A$1:$ZZ$501,$A237,AG$3)))</f>
        <v/>
      </c>
      <c r="AH237" s="124" t="str">
        <f>IF($B237="","",IF(AH$3=0,"n.b.",INDEX(SRC_Woningetalage!$A$1:$ZZ$501,$A237,AH$3)))</f>
        <v/>
      </c>
      <c r="AI237" s="124" t="str">
        <f>IF($B237="","",IF(AI$3=0,"n.b.",INDEX(SRC_Woningetalage!$A$1:$ZZ$501,$A237,AI$3)))</f>
        <v/>
      </c>
      <c r="AJ237" s="124" t="str">
        <f>IF($B237="","",IF(AJ$3=0,"n.b.",INDEX(SRC_Woningetalage!$A$1:$ZZ$501,$A237,AJ$3)))</f>
        <v/>
      </c>
      <c r="AK237" s="124" t="str">
        <f>IF($B237="","",IF(AK$3=0,"n.b.",INDEX(SRC_Woningetalage!$A$1:$ZZ$501,$A237,AK$3)))</f>
        <v/>
      </c>
      <c r="AL237" s="124" t="str">
        <f>IF($B237="","",IF(AL$3=0,"n.b.",INDEX(SRC_Woningetalage!$A$1:$ZZ$501,$A237,AL$3)))</f>
        <v/>
      </c>
      <c r="AM237" s="124" t="str">
        <f>IF($B237="","",IF(AM$3=0,"n.b.",INDEX(SRC_Woningetalage!$A$1:$ZZ$501,$A237,AM$3)))</f>
        <v/>
      </c>
      <c r="AN237" s="124" t="str">
        <f>IF($B237="","",IF(AN$3=0,"n.b.",INDEX(SRC_Woningetalage!$A$1:$ZZ$501,$A237,AN$3)))</f>
        <v/>
      </c>
      <c r="AO237" s="124" t="str">
        <f>IF($B237="","",IF(AO$3=0,"n.b.",INDEX(SRC_Woningetalage!$A$1:$ZZ$501,$A237,AO$3)))</f>
        <v/>
      </c>
      <c r="AP237" s="124" t="str">
        <f>IF($B237="","",IF(AP$3=0,"n.b.",INDEX(SRC_Woningetalage!$A$1:$ZZ$501,$A237,AP$3)))</f>
        <v/>
      </c>
      <c r="AQ237" s="124" t="str">
        <f>IF($B237="","",IF(AQ$3=0,"n.b.",INDEX(SRC_Woningetalage!$A$1:$ZZ$501,$A237,AQ$3)))</f>
        <v/>
      </c>
      <c r="AR237" s="124" t="str">
        <f>IF($B237="","",IF(AR$3=0,"n.b.",INDEX(SRC_Woningetalage!$A$1:$ZZ$501,$A237,AR$3)))</f>
        <v/>
      </c>
      <c r="AS237" s="124" t="str">
        <f>IF($B237="","",IF(AS$3=0,"n.b.",INDEX(SRC_Woningetalage!$A$1:$ZZ$501,$A237,AS$3)))</f>
        <v/>
      </c>
      <c r="AT237" s="124" t="str">
        <f>IF($B237="","",IF(AT$3=0,"n.b.",INDEX(SRC_Woningetalage!$A$1:$ZZ$501,$A237,AT$3)))</f>
        <v/>
      </c>
      <c r="AU237" s="124" t="str">
        <f>IF($B237="","",IF(AU$3=0,"n.b.",INDEX(SRC_Woningetalage!$A$1:$ZZ$501,$A237,AU$3)))</f>
        <v/>
      </c>
      <c r="AV237" s="124" t="str">
        <f>IF($B237="","",IF(AV$3=0,"n.b.",INDEX(SRC_Woningetalage!$A$1:$ZZ$501,$A237,AV$3)))</f>
        <v/>
      </c>
      <c r="AW237" s="124" t="str">
        <f>IF($B237="","",IF(AW$3=0,"n.b.",INDEX(SRC_Woningetalage!$A$1:$ZZ$501,$A237,AW$3)))</f>
        <v/>
      </c>
      <c r="AX237" s="124" t="str">
        <f>IF($B237="","",IF(AX$3=0,"n.b.",INDEX(SRC_Woningetalage!$A$1:$ZZ$501,$A237,AX$3)))</f>
        <v/>
      </c>
      <c r="AY237" s="124" t="str">
        <f>IF($B237="","",IF(AY$3=0,"n.b.",INDEX(SRC_Woningetalage!$A$1:$ZZ$501,$A237,AY$3)))</f>
        <v/>
      </c>
      <c r="AZ237" s="124" t="str">
        <f>IF($B237="","",IF(AZ$3=0,"n.b.",INDEX(SRC_Woningetalage!$A$1:$ZZ$501,$A237,AZ$3)))</f>
        <v/>
      </c>
      <c r="BA237" s="124" t="str">
        <f>IF($B237="","",IF(BA$3=0,"n.b.",INDEX(SRC_Woningetalage!$A$1:$ZZ$501,$A237,BA$3)))</f>
        <v/>
      </c>
      <c r="BB237" s="124" t="str">
        <f>IF($B237="","",IF(BB$3=0,"n.b.",INDEX(SRC_Woningetalage!$A$1:$ZZ$501,$A237,BB$3)))</f>
        <v/>
      </c>
      <c r="BC237" s="124" t="str">
        <f>IF($B237="","",IFERROR(_xlfn.NUMBERVALUE(E237&amp;"",",","."),"n.b."))</f>
        <v/>
      </c>
      <c r="BD237" s="124" t="str">
        <f>IF($B237="","",IFERROR(_xlfn.NUMBERVALUE(M237&amp;"",",","."),"n.b."))</f>
        <v/>
      </c>
      <c r="BE237" s="124" t="str">
        <f>IF($B237="","",IFERROR(AB237+AC237+AD237,"n.b."))</f>
        <v/>
      </c>
      <c r="BF237" s="124" t="str">
        <f>IF($B237="","",IFERROR(AE237+AF237+AG237,"n.b."))</f>
        <v/>
      </c>
      <c r="BG237" s="124" t="str">
        <f>IF($B237="","",IFERROR(AH237+AI237+AJ237,"n.b."))</f>
        <v/>
      </c>
      <c r="BH237" s="124" t="str">
        <f>IF($B237="","",IFERROR(AK237+AL237+AM237,"n.b."))</f>
        <v/>
      </c>
      <c r="BI237" s="124" t="str">
        <f>IF($B237="","",IFERROR(SUMIF($AB$5:$AM$5,"&lt;="&amp;P_PeilMaand,AB237:AM237),"n.b."))</f>
        <v/>
      </c>
      <c r="BJ237" s="124" t="str">
        <f>IF($B237="","",IFERROR(SUM(AB237:AM237)-BI237,"n.b."))</f>
        <v/>
      </c>
      <c r="BK237" s="124" t="str">
        <f>IF($B237="","",IFERROR(IF(ABS(Q237-(T237+SUM(AB237:AM237)+AS237+AU237))&gt;P_Tol,1,0),1))</f>
        <v/>
      </c>
      <c r="BL237" s="124" t="str">
        <f>IF($B237="","",IFERROR(IF(ABS(AA237-(Q237-Z237))&gt;P_Tol,1,0),1))</f>
        <v/>
      </c>
      <c r="BM237" s="124" t="str">
        <f>IF($B237="","",IFERROR(IF(ABS(Z237-(T237+W237))&gt;P_Tol,1,0),1))</f>
        <v/>
      </c>
      <c r="BN237" s="124" t="str">
        <f>IF($B237="","",IFERROR(IF(ABS(W237-BI237)&gt;P_Tol,1,0),1))</f>
        <v/>
      </c>
      <c r="BO237" s="124" t="str">
        <f>IF($B237="","",IFERROR(IF(OR(ABS(R237+S237-T237)&gt;P_Tol,ABS(U237+V237-W237)&gt;P_Tol,ABS(X237+Y237-Z237)&gt;P_Tol),1,0),1))</f>
        <v/>
      </c>
      <c r="BP237" s="124" t="str">
        <f>IF($B237="","",IFERROR(IF(OR(ABS(AR237-SUM(AB237:AM237))&gt;P_Tol,ABS(AS237-(AN237+AO237+AP237+AQ237))&gt;P_Tol),1,0),1))</f>
        <v/>
      </c>
      <c r="BQ237" s="124" t="str">
        <f>IF($B237="","",IFERROR(IF(ABS(AT237)+ABS(AV237)+ABS(AW237)+ABS(AX237)+ABS(AY237)+ABS(AZ237)+ABS(BA237)+ABS(BB237)&gt;0,1,0),1))</f>
        <v/>
      </c>
      <c r="BR237" s="124" t="str">
        <f>IF($B237="","",COUNTIF(STG_ZPMW03!$B$6:$B$505,B237))</f>
        <v/>
      </c>
      <c r="BS237" s="124" t="str">
        <f>IF($B237="","",COUNTIF($B$6:$B$505,B237))</f>
        <v/>
      </c>
      <c r="BT237" s="124" t="str">
        <f>IF($B237="","",IF(BR237=0,0,IF(INDEX(STG_ZPMW03!$I$6:$I$505,MATCH(B237,STG_ZPMW03!$B$6:$B$505,0))=J237&amp;"",0,1)))</f>
        <v/>
      </c>
      <c r="BU237" s="124" t="str">
        <f>IF($B237="","",IFERROR(IF(ABS(INDEX(Mapping!$D$5:$D$104,MATCH(B237,Mapping!$A$5:$A$104,0))-Q237)&gt;P_Tol,1,0),0))</f>
        <v/>
      </c>
      <c r="BV237" s="124" t="str">
        <f>IF($B237="","",IFERROR(IF(AND(INDEX(Mapping!$G$5:$G$104,MATCH(B237,Mapping!$A$5:$A$104,0))="Nee",ABS(Q237)+ABS(Z237)+ABS(AR237)&gt;0),1,0),0))</f>
        <v/>
      </c>
      <c r="BW237" s="124" t="str">
        <f>IF($B237="","",IF(COUNTIF(Mapping!$A$5:$A$104,B237)&gt;0,1,0))</f>
        <v/>
      </c>
      <c r="BX237" s="124" t="str">
        <f>IF($B237="","",IF(BR237=0,COUNTIF($BR$6:BR237,0),""))</f>
        <v/>
      </c>
    </row>
    <row r="238">
      <c r="A238" s="15" t="n">
        <v>234</v>
      </c>
      <c r="B238" t="str">
        <f>IF(B$3=0,"",IF(INDEX(SRC_Woningetalage!$A$1:$ZZ$501,$A238,B$3)&amp;""="","",INDEX(SRC_Woningetalage!$A$1:$ZZ$501,$A238,B$3)&amp;""))</f>
        <v/>
      </c>
      <c r="C238" t="str">
        <f>IF($B238="","",IF(C$3=0,"n.b.",INDEX(SRC_Woningetalage!$A$1:$ZZ$501,$A238,C$3)))</f>
        <v/>
      </c>
      <c r="D238" t="str">
        <f>IF($B238="","",IF(D$3=0,"n.b.",INDEX(SRC_Woningetalage!$A$1:$ZZ$501,$A238,D$3)))</f>
        <v/>
      </c>
      <c r="E238" t="str">
        <f>IF($B238="","",IF(E$3=0,"n.b.",INDEX(SRC_Woningetalage!$A$1:$ZZ$501,$A238,E$3)))</f>
        <v/>
      </c>
      <c r="F238" t="str">
        <f>IF($B238="","",IF(F$3=0,"n.b.",INDEX(SRC_Woningetalage!$A$1:$ZZ$501,$A238,F$3)))</f>
        <v/>
      </c>
      <c r="G238" t="str">
        <f>IF($B238="","",IF(G$3=0,"n.b.",INDEX(SRC_Woningetalage!$A$1:$ZZ$501,$A238,G$3)))</f>
        <v/>
      </c>
      <c r="H238" t="str">
        <f>IF($B238="","",IF(H$3=0,"n.b.",INDEX(SRC_Woningetalage!$A$1:$ZZ$501,$A238,H$3)))</f>
        <v/>
      </c>
      <c r="I238" t="str">
        <f>IF($B238="","",IF(I$3=0,"n.b.",INDEX(SRC_Woningetalage!$A$1:$ZZ$501,$A238,I$3)))</f>
        <v/>
      </c>
      <c r="J238" t="str">
        <f>IF($B238="","",IF(J$3=0,"n.b.",INDEX(SRC_Woningetalage!$A$1:$ZZ$501,$A238,J$3)))</f>
        <v/>
      </c>
      <c r="K238" t="str">
        <f>IF($B238="","",IF(K$3=0,"n.b.",INDEX(SRC_Woningetalage!$A$1:$ZZ$501,$A238,K$3)))</f>
        <v/>
      </c>
      <c r="L238" t="str">
        <f>IF($B238="","",IF(L$3=0,"n.b.",INDEX(SRC_Woningetalage!$A$1:$ZZ$501,$A238,L$3)))</f>
        <v/>
      </c>
      <c r="M238" t="str">
        <f>IF($B238="","",IF(M$3=0,"n.b.",INDEX(SRC_Woningetalage!$A$1:$ZZ$501,$A238,M$3)))</f>
        <v/>
      </c>
      <c r="N238" t="str">
        <f>IF($B238="","",IF(N$3=0,"n.b.",INDEX(SRC_Woningetalage!$A$1:$ZZ$501,$A238,N$3)))</f>
        <v/>
      </c>
      <c r="O238" t="str">
        <f>IF($B238="","",IF(O$3=0,"n.b.",INDEX(SRC_Woningetalage!$A$1:$ZZ$501,$A238,O$3)))</f>
        <v/>
      </c>
      <c r="P238" t="str">
        <f>IF($B238="","",IF(P$3=0,"n.b.",INDEX(SRC_Woningetalage!$A$1:$ZZ$501,$A238,P$3)))</f>
        <v/>
      </c>
      <c r="Q238" s="124" t="str">
        <f>IF($B238="","",IF(Q$3=0,"n.b.",INDEX(SRC_Woningetalage!$A$1:$ZZ$501,$A238,Q$3)))</f>
        <v/>
      </c>
      <c r="R238" s="124" t="str">
        <f>IF($B238="","",IF(R$3=0,"n.b.",INDEX(SRC_Woningetalage!$A$1:$ZZ$501,$A238,R$3)))</f>
        <v/>
      </c>
      <c r="S238" s="124" t="str">
        <f>IF($B238="","",IF(S$3=0,"n.b.",INDEX(SRC_Woningetalage!$A$1:$ZZ$501,$A238,S$3)))</f>
        <v/>
      </c>
      <c r="T238" s="124" t="str">
        <f>IF($B238="","",IF(T$3=0,"n.b.",INDEX(SRC_Woningetalage!$A$1:$ZZ$501,$A238,T$3)))</f>
        <v/>
      </c>
      <c r="U238" s="124" t="str">
        <f>IF($B238="","",IF(U$3=0,"n.b.",INDEX(SRC_Woningetalage!$A$1:$ZZ$501,$A238,U$3)))</f>
        <v/>
      </c>
      <c r="V238" s="124" t="str">
        <f>IF($B238="","",IF(V$3=0,"n.b.",INDEX(SRC_Woningetalage!$A$1:$ZZ$501,$A238,V$3)))</f>
        <v/>
      </c>
      <c r="W238" s="124" t="str">
        <f>IF($B238="","",IF(W$3=0,"n.b.",INDEX(SRC_Woningetalage!$A$1:$ZZ$501,$A238,W$3)))</f>
        <v/>
      </c>
      <c r="X238" s="124" t="str">
        <f>IF($B238="","",IF(X$3=0,"n.b.",INDEX(SRC_Woningetalage!$A$1:$ZZ$501,$A238,X$3)))</f>
        <v/>
      </c>
      <c r="Y238" s="124" t="str">
        <f>IF($B238="","",IF(Y$3=0,"n.b.",INDEX(SRC_Woningetalage!$A$1:$ZZ$501,$A238,Y$3)))</f>
        <v/>
      </c>
      <c r="Z238" s="124" t="str">
        <f>IF($B238="","",IF(Z$3=0,"n.b.",INDEX(SRC_Woningetalage!$A$1:$ZZ$501,$A238,Z$3)))</f>
        <v/>
      </c>
      <c r="AA238" s="124" t="str">
        <f>IF($B238="","",IF(AA$3=0,"n.b.",INDEX(SRC_Woningetalage!$A$1:$ZZ$501,$A238,AA$3)))</f>
        <v/>
      </c>
      <c r="AB238" s="124" t="str">
        <f>IF($B238="","",IF(AB$3=0,"n.b.",INDEX(SRC_Woningetalage!$A$1:$ZZ$501,$A238,AB$3)))</f>
        <v/>
      </c>
      <c r="AC238" s="124" t="str">
        <f>IF($B238="","",IF(AC$3=0,"n.b.",INDEX(SRC_Woningetalage!$A$1:$ZZ$501,$A238,AC$3)))</f>
        <v/>
      </c>
      <c r="AD238" s="124" t="str">
        <f>IF($B238="","",IF(AD$3=0,"n.b.",INDEX(SRC_Woningetalage!$A$1:$ZZ$501,$A238,AD$3)))</f>
        <v/>
      </c>
      <c r="AE238" s="124" t="str">
        <f>IF($B238="","",IF(AE$3=0,"n.b.",INDEX(SRC_Woningetalage!$A$1:$ZZ$501,$A238,AE$3)))</f>
        <v/>
      </c>
      <c r="AF238" s="124" t="str">
        <f>IF($B238="","",IF(AF$3=0,"n.b.",INDEX(SRC_Woningetalage!$A$1:$ZZ$501,$A238,AF$3)))</f>
        <v/>
      </c>
      <c r="AG238" s="124" t="str">
        <f>IF($B238="","",IF(AG$3=0,"n.b.",INDEX(SRC_Woningetalage!$A$1:$ZZ$501,$A238,AG$3)))</f>
        <v/>
      </c>
      <c r="AH238" s="124" t="str">
        <f>IF($B238="","",IF(AH$3=0,"n.b.",INDEX(SRC_Woningetalage!$A$1:$ZZ$501,$A238,AH$3)))</f>
        <v/>
      </c>
      <c r="AI238" s="124" t="str">
        <f>IF($B238="","",IF(AI$3=0,"n.b.",INDEX(SRC_Woningetalage!$A$1:$ZZ$501,$A238,AI$3)))</f>
        <v/>
      </c>
      <c r="AJ238" s="124" t="str">
        <f>IF($B238="","",IF(AJ$3=0,"n.b.",INDEX(SRC_Woningetalage!$A$1:$ZZ$501,$A238,AJ$3)))</f>
        <v/>
      </c>
      <c r="AK238" s="124" t="str">
        <f>IF($B238="","",IF(AK$3=0,"n.b.",INDEX(SRC_Woningetalage!$A$1:$ZZ$501,$A238,AK$3)))</f>
        <v/>
      </c>
      <c r="AL238" s="124" t="str">
        <f>IF($B238="","",IF(AL$3=0,"n.b.",INDEX(SRC_Woningetalage!$A$1:$ZZ$501,$A238,AL$3)))</f>
        <v/>
      </c>
      <c r="AM238" s="124" t="str">
        <f>IF($B238="","",IF(AM$3=0,"n.b.",INDEX(SRC_Woningetalage!$A$1:$ZZ$501,$A238,AM$3)))</f>
        <v/>
      </c>
      <c r="AN238" s="124" t="str">
        <f>IF($B238="","",IF(AN$3=0,"n.b.",INDEX(SRC_Woningetalage!$A$1:$ZZ$501,$A238,AN$3)))</f>
        <v/>
      </c>
      <c r="AO238" s="124" t="str">
        <f>IF($B238="","",IF(AO$3=0,"n.b.",INDEX(SRC_Woningetalage!$A$1:$ZZ$501,$A238,AO$3)))</f>
        <v/>
      </c>
      <c r="AP238" s="124" t="str">
        <f>IF($B238="","",IF(AP$3=0,"n.b.",INDEX(SRC_Woningetalage!$A$1:$ZZ$501,$A238,AP$3)))</f>
        <v/>
      </c>
      <c r="AQ238" s="124" t="str">
        <f>IF($B238="","",IF(AQ$3=0,"n.b.",INDEX(SRC_Woningetalage!$A$1:$ZZ$501,$A238,AQ$3)))</f>
        <v/>
      </c>
      <c r="AR238" s="124" t="str">
        <f>IF($B238="","",IF(AR$3=0,"n.b.",INDEX(SRC_Woningetalage!$A$1:$ZZ$501,$A238,AR$3)))</f>
        <v/>
      </c>
      <c r="AS238" s="124" t="str">
        <f>IF($B238="","",IF(AS$3=0,"n.b.",INDEX(SRC_Woningetalage!$A$1:$ZZ$501,$A238,AS$3)))</f>
        <v/>
      </c>
      <c r="AT238" s="124" t="str">
        <f>IF($B238="","",IF(AT$3=0,"n.b.",INDEX(SRC_Woningetalage!$A$1:$ZZ$501,$A238,AT$3)))</f>
        <v/>
      </c>
      <c r="AU238" s="124" t="str">
        <f>IF($B238="","",IF(AU$3=0,"n.b.",INDEX(SRC_Woningetalage!$A$1:$ZZ$501,$A238,AU$3)))</f>
        <v/>
      </c>
      <c r="AV238" s="124" t="str">
        <f>IF($B238="","",IF(AV$3=0,"n.b.",INDEX(SRC_Woningetalage!$A$1:$ZZ$501,$A238,AV$3)))</f>
        <v/>
      </c>
      <c r="AW238" s="124" t="str">
        <f>IF($B238="","",IF(AW$3=0,"n.b.",INDEX(SRC_Woningetalage!$A$1:$ZZ$501,$A238,AW$3)))</f>
        <v/>
      </c>
      <c r="AX238" s="124" t="str">
        <f>IF($B238="","",IF(AX$3=0,"n.b.",INDEX(SRC_Woningetalage!$A$1:$ZZ$501,$A238,AX$3)))</f>
        <v/>
      </c>
      <c r="AY238" s="124" t="str">
        <f>IF($B238="","",IF(AY$3=0,"n.b.",INDEX(SRC_Woningetalage!$A$1:$ZZ$501,$A238,AY$3)))</f>
        <v/>
      </c>
      <c r="AZ238" s="124" t="str">
        <f>IF($B238="","",IF(AZ$3=0,"n.b.",INDEX(SRC_Woningetalage!$A$1:$ZZ$501,$A238,AZ$3)))</f>
        <v/>
      </c>
      <c r="BA238" s="124" t="str">
        <f>IF($B238="","",IF(BA$3=0,"n.b.",INDEX(SRC_Woningetalage!$A$1:$ZZ$501,$A238,BA$3)))</f>
        <v/>
      </c>
      <c r="BB238" s="124" t="str">
        <f>IF($B238="","",IF(BB$3=0,"n.b.",INDEX(SRC_Woningetalage!$A$1:$ZZ$501,$A238,BB$3)))</f>
        <v/>
      </c>
      <c r="BC238" s="124" t="str">
        <f>IF($B238="","",IFERROR(_xlfn.NUMBERVALUE(E238&amp;"",",","."),"n.b."))</f>
        <v/>
      </c>
      <c r="BD238" s="124" t="str">
        <f>IF($B238="","",IFERROR(_xlfn.NUMBERVALUE(M238&amp;"",",","."),"n.b."))</f>
        <v/>
      </c>
      <c r="BE238" s="124" t="str">
        <f>IF($B238="","",IFERROR(AB238+AC238+AD238,"n.b."))</f>
        <v/>
      </c>
      <c r="BF238" s="124" t="str">
        <f>IF($B238="","",IFERROR(AE238+AF238+AG238,"n.b."))</f>
        <v/>
      </c>
      <c r="BG238" s="124" t="str">
        <f>IF($B238="","",IFERROR(AH238+AI238+AJ238,"n.b."))</f>
        <v/>
      </c>
      <c r="BH238" s="124" t="str">
        <f>IF($B238="","",IFERROR(AK238+AL238+AM238,"n.b."))</f>
        <v/>
      </c>
      <c r="BI238" s="124" t="str">
        <f>IF($B238="","",IFERROR(SUMIF($AB$5:$AM$5,"&lt;="&amp;P_PeilMaand,AB238:AM238),"n.b."))</f>
        <v/>
      </c>
      <c r="BJ238" s="124" t="str">
        <f>IF($B238="","",IFERROR(SUM(AB238:AM238)-BI238,"n.b."))</f>
        <v/>
      </c>
      <c r="BK238" s="124" t="str">
        <f>IF($B238="","",IFERROR(IF(ABS(Q238-(T238+SUM(AB238:AM238)+AS238+AU238))&gt;P_Tol,1,0),1))</f>
        <v/>
      </c>
      <c r="BL238" s="124" t="str">
        <f>IF($B238="","",IFERROR(IF(ABS(AA238-(Q238-Z238))&gt;P_Tol,1,0),1))</f>
        <v/>
      </c>
      <c r="BM238" s="124" t="str">
        <f>IF($B238="","",IFERROR(IF(ABS(Z238-(T238+W238))&gt;P_Tol,1,0),1))</f>
        <v/>
      </c>
      <c r="BN238" s="124" t="str">
        <f>IF($B238="","",IFERROR(IF(ABS(W238-BI238)&gt;P_Tol,1,0),1))</f>
        <v/>
      </c>
      <c r="BO238" s="124" t="str">
        <f>IF($B238="","",IFERROR(IF(OR(ABS(R238+S238-T238)&gt;P_Tol,ABS(U238+V238-W238)&gt;P_Tol,ABS(X238+Y238-Z238)&gt;P_Tol),1,0),1))</f>
        <v/>
      </c>
      <c r="BP238" s="124" t="str">
        <f>IF($B238="","",IFERROR(IF(OR(ABS(AR238-SUM(AB238:AM238))&gt;P_Tol,ABS(AS238-(AN238+AO238+AP238+AQ238))&gt;P_Tol),1,0),1))</f>
        <v/>
      </c>
      <c r="BQ238" s="124" t="str">
        <f>IF($B238="","",IFERROR(IF(ABS(AT238)+ABS(AV238)+ABS(AW238)+ABS(AX238)+ABS(AY238)+ABS(AZ238)+ABS(BA238)+ABS(BB238)&gt;0,1,0),1))</f>
        <v/>
      </c>
      <c r="BR238" s="124" t="str">
        <f>IF($B238="","",COUNTIF(STG_ZPMW03!$B$6:$B$505,B238))</f>
        <v/>
      </c>
      <c r="BS238" s="124" t="str">
        <f>IF($B238="","",COUNTIF($B$6:$B$505,B238))</f>
        <v/>
      </c>
      <c r="BT238" s="124" t="str">
        <f>IF($B238="","",IF(BR238=0,0,IF(INDEX(STG_ZPMW03!$I$6:$I$505,MATCH(B238,STG_ZPMW03!$B$6:$B$505,0))=J238&amp;"",0,1)))</f>
        <v/>
      </c>
      <c r="BU238" s="124" t="str">
        <f>IF($B238="","",IFERROR(IF(ABS(INDEX(Mapping!$D$5:$D$104,MATCH(B238,Mapping!$A$5:$A$104,0))-Q238)&gt;P_Tol,1,0),0))</f>
        <v/>
      </c>
      <c r="BV238" s="124" t="str">
        <f>IF($B238="","",IFERROR(IF(AND(INDEX(Mapping!$G$5:$G$104,MATCH(B238,Mapping!$A$5:$A$104,0))="Nee",ABS(Q238)+ABS(Z238)+ABS(AR238)&gt;0),1,0),0))</f>
        <v/>
      </c>
      <c r="BW238" s="124" t="str">
        <f>IF($B238="","",IF(COUNTIF(Mapping!$A$5:$A$104,B238)&gt;0,1,0))</f>
        <v/>
      </c>
      <c r="BX238" s="124" t="str">
        <f>IF($B238="","",IF(BR238=0,COUNTIF($BR$6:BR238,0),""))</f>
        <v/>
      </c>
    </row>
    <row r="239">
      <c r="A239" s="15" t="n">
        <v>235</v>
      </c>
      <c r="B239" t="str">
        <f>IF(B$3=0,"",IF(INDEX(SRC_Woningetalage!$A$1:$ZZ$501,$A239,B$3)&amp;""="","",INDEX(SRC_Woningetalage!$A$1:$ZZ$501,$A239,B$3)&amp;""))</f>
        <v/>
      </c>
      <c r="C239" t="str">
        <f>IF($B239="","",IF(C$3=0,"n.b.",INDEX(SRC_Woningetalage!$A$1:$ZZ$501,$A239,C$3)))</f>
        <v/>
      </c>
      <c r="D239" t="str">
        <f>IF($B239="","",IF(D$3=0,"n.b.",INDEX(SRC_Woningetalage!$A$1:$ZZ$501,$A239,D$3)))</f>
        <v/>
      </c>
      <c r="E239" t="str">
        <f>IF($B239="","",IF(E$3=0,"n.b.",INDEX(SRC_Woningetalage!$A$1:$ZZ$501,$A239,E$3)))</f>
        <v/>
      </c>
      <c r="F239" t="str">
        <f>IF($B239="","",IF(F$3=0,"n.b.",INDEX(SRC_Woningetalage!$A$1:$ZZ$501,$A239,F$3)))</f>
        <v/>
      </c>
      <c r="G239" t="str">
        <f>IF($B239="","",IF(G$3=0,"n.b.",INDEX(SRC_Woningetalage!$A$1:$ZZ$501,$A239,G$3)))</f>
        <v/>
      </c>
      <c r="H239" t="str">
        <f>IF($B239="","",IF(H$3=0,"n.b.",INDEX(SRC_Woningetalage!$A$1:$ZZ$501,$A239,H$3)))</f>
        <v/>
      </c>
      <c r="I239" t="str">
        <f>IF($B239="","",IF(I$3=0,"n.b.",INDEX(SRC_Woningetalage!$A$1:$ZZ$501,$A239,I$3)))</f>
        <v/>
      </c>
      <c r="J239" t="str">
        <f>IF($B239="","",IF(J$3=0,"n.b.",INDEX(SRC_Woningetalage!$A$1:$ZZ$501,$A239,J$3)))</f>
        <v/>
      </c>
      <c r="K239" t="str">
        <f>IF($B239="","",IF(K$3=0,"n.b.",INDEX(SRC_Woningetalage!$A$1:$ZZ$501,$A239,K$3)))</f>
        <v/>
      </c>
      <c r="L239" t="str">
        <f>IF($B239="","",IF(L$3=0,"n.b.",INDEX(SRC_Woningetalage!$A$1:$ZZ$501,$A239,L$3)))</f>
        <v/>
      </c>
      <c r="M239" t="str">
        <f>IF($B239="","",IF(M$3=0,"n.b.",INDEX(SRC_Woningetalage!$A$1:$ZZ$501,$A239,M$3)))</f>
        <v/>
      </c>
      <c r="N239" t="str">
        <f>IF($B239="","",IF(N$3=0,"n.b.",INDEX(SRC_Woningetalage!$A$1:$ZZ$501,$A239,N$3)))</f>
        <v/>
      </c>
      <c r="O239" t="str">
        <f>IF($B239="","",IF(O$3=0,"n.b.",INDEX(SRC_Woningetalage!$A$1:$ZZ$501,$A239,O$3)))</f>
        <v/>
      </c>
      <c r="P239" t="str">
        <f>IF($B239="","",IF(P$3=0,"n.b.",INDEX(SRC_Woningetalage!$A$1:$ZZ$501,$A239,P$3)))</f>
        <v/>
      </c>
      <c r="Q239" s="124" t="str">
        <f>IF($B239="","",IF(Q$3=0,"n.b.",INDEX(SRC_Woningetalage!$A$1:$ZZ$501,$A239,Q$3)))</f>
        <v/>
      </c>
      <c r="R239" s="124" t="str">
        <f>IF($B239="","",IF(R$3=0,"n.b.",INDEX(SRC_Woningetalage!$A$1:$ZZ$501,$A239,R$3)))</f>
        <v/>
      </c>
      <c r="S239" s="124" t="str">
        <f>IF($B239="","",IF(S$3=0,"n.b.",INDEX(SRC_Woningetalage!$A$1:$ZZ$501,$A239,S$3)))</f>
        <v/>
      </c>
      <c r="T239" s="124" t="str">
        <f>IF($B239="","",IF(T$3=0,"n.b.",INDEX(SRC_Woningetalage!$A$1:$ZZ$501,$A239,T$3)))</f>
        <v/>
      </c>
      <c r="U239" s="124" t="str">
        <f>IF($B239="","",IF(U$3=0,"n.b.",INDEX(SRC_Woningetalage!$A$1:$ZZ$501,$A239,U$3)))</f>
        <v/>
      </c>
      <c r="V239" s="124" t="str">
        <f>IF($B239="","",IF(V$3=0,"n.b.",INDEX(SRC_Woningetalage!$A$1:$ZZ$501,$A239,V$3)))</f>
        <v/>
      </c>
      <c r="W239" s="124" t="str">
        <f>IF($B239="","",IF(W$3=0,"n.b.",INDEX(SRC_Woningetalage!$A$1:$ZZ$501,$A239,W$3)))</f>
        <v/>
      </c>
      <c r="X239" s="124" t="str">
        <f>IF($B239="","",IF(X$3=0,"n.b.",INDEX(SRC_Woningetalage!$A$1:$ZZ$501,$A239,X$3)))</f>
        <v/>
      </c>
      <c r="Y239" s="124" t="str">
        <f>IF($B239="","",IF(Y$3=0,"n.b.",INDEX(SRC_Woningetalage!$A$1:$ZZ$501,$A239,Y$3)))</f>
        <v/>
      </c>
      <c r="Z239" s="124" t="str">
        <f>IF($B239="","",IF(Z$3=0,"n.b.",INDEX(SRC_Woningetalage!$A$1:$ZZ$501,$A239,Z$3)))</f>
        <v/>
      </c>
      <c r="AA239" s="124" t="str">
        <f>IF($B239="","",IF(AA$3=0,"n.b.",INDEX(SRC_Woningetalage!$A$1:$ZZ$501,$A239,AA$3)))</f>
        <v/>
      </c>
      <c r="AB239" s="124" t="str">
        <f>IF($B239="","",IF(AB$3=0,"n.b.",INDEX(SRC_Woningetalage!$A$1:$ZZ$501,$A239,AB$3)))</f>
        <v/>
      </c>
      <c r="AC239" s="124" t="str">
        <f>IF($B239="","",IF(AC$3=0,"n.b.",INDEX(SRC_Woningetalage!$A$1:$ZZ$501,$A239,AC$3)))</f>
        <v/>
      </c>
      <c r="AD239" s="124" t="str">
        <f>IF($B239="","",IF(AD$3=0,"n.b.",INDEX(SRC_Woningetalage!$A$1:$ZZ$501,$A239,AD$3)))</f>
        <v/>
      </c>
      <c r="AE239" s="124" t="str">
        <f>IF($B239="","",IF(AE$3=0,"n.b.",INDEX(SRC_Woningetalage!$A$1:$ZZ$501,$A239,AE$3)))</f>
        <v/>
      </c>
      <c r="AF239" s="124" t="str">
        <f>IF($B239="","",IF(AF$3=0,"n.b.",INDEX(SRC_Woningetalage!$A$1:$ZZ$501,$A239,AF$3)))</f>
        <v/>
      </c>
      <c r="AG239" s="124" t="str">
        <f>IF($B239="","",IF(AG$3=0,"n.b.",INDEX(SRC_Woningetalage!$A$1:$ZZ$501,$A239,AG$3)))</f>
        <v/>
      </c>
      <c r="AH239" s="124" t="str">
        <f>IF($B239="","",IF(AH$3=0,"n.b.",INDEX(SRC_Woningetalage!$A$1:$ZZ$501,$A239,AH$3)))</f>
        <v/>
      </c>
      <c r="AI239" s="124" t="str">
        <f>IF($B239="","",IF(AI$3=0,"n.b.",INDEX(SRC_Woningetalage!$A$1:$ZZ$501,$A239,AI$3)))</f>
        <v/>
      </c>
      <c r="AJ239" s="124" t="str">
        <f>IF($B239="","",IF(AJ$3=0,"n.b.",INDEX(SRC_Woningetalage!$A$1:$ZZ$501,$A239,AJ$3)))</f>
        <v/>
      </c>
      <c r="AK239" s="124" t="str">
        <f>IF($B239="","",IF(AK$3=0,"n.b.",INDEX(SRC_Woningetalage!$A$1:$ZZ$501,$A239,AK$3)))</f>
        <v/>
      </c>
      <c r="AL239" s="124" t="str">
        <f>IF($B239="","",IF(AL$3=0,"n.b.",INDEX(SRC_Woningetalage!$A$1:$ZZ$501,$A239,AL$3)))</f>
        <v/>
      </c>
      <c r="AM239" s="124" t="str">
        <f>IF($B239="","",IF(AM$3=0,"n.b.",INDEX(SRC_Woningetalage!$A$1:$ZZ$501,$A239,AM$3)))</f>
        <v/>
      </c>
      <c r="AN239" s="124" t="str">
        <f>IF($B239="","",IF(AN$3=0,"n.b.",INDEX(SRC_Woningetalage!$A$1:$ZZ$501,$A239,AN$3)))</f>
        <v/>
      </c>
      <c r="AO239" s="124" t="str">
        <f>IF($B239="","",IF(AO$3=0,"n.b.",INDEX(SRC_Woningetalage!$A$1:$ZZ$501,$A239,AO$3)))</f>
        <v/>
      </c>
      <c r="AP239" s="124" t="str">
        <f>IF($B239="","",IF(AP$3=0,"n.b.",INDEX(SRC_Woningetalage!$A$1:$ZZ$501,$A239,AP$3)))</f>
        <v/>
      </c>
      <c r="AQ239" s="124" t="str">
        <f>IF($B239="","",IF(AQ$3=0,"n.b.",INDEX(SRC_Woningetalage!$A$1:$ZZ$501,$A239,AQ$3)))</f>
        <v/>
      </c>
      <c r="AR239" s="124" t="str">
        <f>IF($B239="","",IF(AR$3=0,"n.b.",INDEX(SRC_Woningetalage!$A$1:$ZZ$501,$A239,AR$3)))</f>
        <v/>
      </c>
      <c r="AS239" s="124" t="str">
        <f>IF($B239="","",IF(AS$3=0,"n.b.",INDEX(SRC_Woningetalage!$A$1:$ZZ$501,$A239,AS$3)))</f>
        <v/>
      </c>
      <c r="AT239" s="124" t="str">
        <f>IF($B239="","",IF(AT$3=0,"n.b.",INDEX(SRC_Woningetalage!$A$1:$ZZ$501,$A239,AT$3)))</f>
        <v/>
      </c>
      <c r="AU239" s="124" t="str">
        <f>IF($B239="","",IF(AU$3=0,"n.b.",INDEX(SRC_Woningetalage!$A$1:$ZZ$501,$A239,AU$3)))</f>
        <v/>
      </c>
      <c r="AV239" s="124" t="str">
        <f>IF($B239="","",IF(AV$3=0,"n.b.",INDEX(SRC_Woningetalage!$A$1:$ZZ$501,$A239,AV$3)))</f>
        <v/>
      </c>
      <c r="AW239" s="124" t="str">
        <f>IF($B239="","",IF(AW$3=0,"n.b.",INDEX(SRC_Woningetalage!$A$1:$ZZ$501,$A239,AW$3)))</f>
        <v/>
      </c>
      <c r="AX239" s="124" t="str">
        <f>IF($B239="","",IF(AX$3=0,"n.b.",INDEX(SRC_Woningetalage!$A$1:$ZZ$501,$A239,AX$3)))</f>
        <v/>
      </c>
      <c r="AY239" s="124" t="str">
        <f>IF($B239="","",IF(AY$3=0,"n.b.",INDEX(SRC_Woningetalage!$A$1:$ZZ$501,$A239,AY$3)))</f>
        <v/>
      </c>
      <c r="AZ239" s="124" t="str">
        <f>IF($B239="","",IF(AZ$3=0,"n.b.",INDEX(SRC_Woningetalage!$A$1:$ZZ$501,$A239,AZ$3)))</f>
        <v/>
      </c>
      <c r="BA239" s="124" t="str">
        <f>IF($B239="","",IF(BA$3=0,"n.b.",INDEX(SRC_Woningetalage!$A$1:$ZZ$501,$A239,BA$3)))</f>
        <v/>
      </c>
      <c r="BB239" s="124" t="str">
        <f>IF($B239="","",IF(BB$3=0,"n.b.",INDEX(SRC_Woningetalage!$A$1:$ZZ$501,$A239,BB$3)))</f>
        <v/>
      </c>
      <c r="BC239" s="124" t="str">
        <f>IF($B239="","",IFERROR(_xlfn.NUMBERVALUE(E239&amp;"",",","."),"n.b."))</f>
        <v/>
      </c>
      <c r="BD239" s="124" t="str">
        <f>IF($B239="","",IFERROR(_xlfn.NUMBERVALUE(M239&amp;"",",","."),"n.b."))</f>
        <v/>
      </c>
      <c r="BE239" s="124" t="str">
        <f>IF($B239="","",IFERROR(AB239+AC239+AD239,"n.b."))</f>
        <v/>
      </c>
      <c r="BF239" s="124" t="str">
        <f>IF($B239="","",IFERROR(AE239+AF239+AG239,"n.b."))</f>
        <v/>
      </c>
      <c r="BG239" s="124" t="str">
        <f>IF($B239="","",IFERROR(AH239+AI239+AJ239,"n.b."))</f>
        <v/>
      </c>
      <c r="BH239" s="124" t="str">
        <f>IF($B239="","",IFERROR(AK239+AL239+AM239,"n.b."))</f>
        <v/>
      </c>
      <c r="BI239" s="124" t="str">
        <f>IF($B239="","",IFERROR(SUMIF($AB$5:$AM$5,"&lt;="&amp;P_PeilMaand,AB239:AM239),"n.b."))</f>
        <v/>
      </c>
      <c r="BJ239" s="124" t="str">
        <f>IF($B239="","",IFERROR(SUM(AB239:AM239)-BI239,"n.b."))</f>
        <v/>
      </c>
      <c r="BK239" s="124" t="str">
        <f>IF($B239="","",IFERROR(IF(ABS(Q239-(T239+SUM(AB239:AM239)+AS239+AU239))&gt;P_Tol,1,0),1))</f>
        <v/>
      </c>
      <c r="BL239" s="124" t="str">
        <f>IF($B239="","",IFERROR(IF(ABS(AA239-(Q239-Z239))&gt;P_Tol,1,0),1))</f>
        <v/>
      </c>
      <c r="BM239" s="124" t="str">
        <f>IF($B239="","",IFERROR(IF(ABS(Z239-(T239+W239))&gt;P_Tol,1,0),1))</f>
        <v/>
      </c>
      <c r="BN239" s="124" t="str">
        <f>IF($B239="","",IFERROR(IF(ABS(W239-BI239)&gt;P_Tol,1,0),1))</f>
        <v/>
      </c>
      <c r="BO239" s="124" t="str">
        <f>IF($B239="","",IFERROR(IF(OR(ABS(R239+S239-T239)&gt;P_Tol,ABS(U239+V239-W239)&gt;P_Tol,ABS(X239+Y239-Z239)&gt;P_Tol),1,0),1))</f>
        <v/>
      </c>
      <c r="BP239" s="124" t="str">
        <f>IF($B239="","",IFERROR(IF(OR(ABS(AR239-SUM(AB239:AM239))&gt;P_Tol,ABS(AS239-(AN239+AO239+AP239+AQ239))&gt;P_Tol),1,0),1))</f>
        <v/>
      </c>
      <c r="BQ239" s="124" t="str">
        <f>IF($B239="","",IFERROR(IF(ABS(AT239)+ABS(AV239)+ABS(AW239)+ABS(AX239)+ABS(AY239)+ABS(AZ239)+ABS(BA239)+ABS(BB239)&gt;0,1,0),1))</f>
        <v/>
      </c>
      <c r="BR239" s="124" t="str">
        <f>IF($B239="","",COUNTIF(STG_ZPMW03!$B$6:$B$505,B239))</f>
        <v/>
      </c>
      <c r="BS239" s="124" t="str">
        <f>IF($B239="","",COUNTIF($B$6:$B$505,B239))</f>
        <v/>
      </c>
      <c r="BT239" s="124" t="str">
        <f>IF($B239="","",IF(BR239=0,0,IF(INDEX(STG_ZPMW03!$I$6:$I$505,MATCH(B239,STG_ZPMW03!$B$6:$B$505,0))=J239&amp;"",0,1)))</f>
        <v/>
      </c>
      <c r="BU239" s="124" t="str">
        <f>IF($B239="","",IFERROR(IF(ABS(INDEX(Mapping!$D$5:$D$104,MATCH(B239,Mapping!$A$5:$A$104,0))-Q239)&gt;P_Tol,1,0),0))</f>
        <v/>
      </c>
      <c r="BV239" s="124" t="str">
        <f>IF($B239="","",IFERROR(IF(AND(INDEX(Mapping!$G$5:$G$104,MATCH(B239,Mapping!$A$5:$A$104,0))="Nee",ABS(Q239)+ABS(Z239)+ABS(AR239)&gt;0),1,0),0))</f>
        <v/>
      </c>
      <c r="BW239" s="124" t="str">
        <f>IF($B239="","",IF(COUNTIF(Mapping!$A$5:$A$104,B239)&gt;0,1,0))</f>
        <v/>
      </c>
      <c r="BX239" s="124" t="str">
        <f>IF($B239="","",IF(BR239=0,COUNTIF($BR$6:BR239,0),""))</f>
        <v/>
      </c>
    </row>
    <row r="240">
      <c r="A240" s="15" t="n">
        <v>236</v>
      </c>
      <c r="B240" t="str">
        <f>IF(B$3=0,"",IF(INDEX(SRC_Woningetalage!$A$1:$ZZ$501,$A240,B$3)&amp;""="","",INDEX(SRC_Woningetalage!$A$1:$ZZ$501,$A240,B$3)&amp;""))</f>
        <v/>
      </c>
      <c r="C240" t="str">
        <f>IF($B240="","",IF(C$3=0,"n.b.",INDEX(SRC_Woningetalage!$A$1:$ZZ$501,$A240,C$3)))</f>
        <v/>
      </c>
      <c r="D240" t="str">
        <f>IF($B240="","",IF(D$3=0,"n.b.",INDEX(SRC_Woningetalage!$A$1:$ZZ$501,$A240,D$3)))</f>
        <v/>
      </c>
      <c r="E240" t="str">
        <f>IF($B240="","",IF(E$3=0,"n.b.",INDEX(SRC_Woningetalage!$A$1:$ZZ$501,$A240,E$3)))</f>
        <v/>
      </c>
      <c r="F240" t="str">
        <f>IF($B240="","",IF(F$3=0,"n.b.",INDEX(SRC_Woningetalage!$A$1:$ZZ$501,$A240,F$3)))</f>
        <v/>
      </c>
      <c r="G240" t="str">
        <f>IF($B240="","",IF(G$3=0,"n.b.",INDEX(SRC_Woningetalage!$A$1:$ZZ$501,$A240,G$3)))</f>
        <v/>
      </c>
      <c r="H240" t="str">
        <f>IF($B240="","",IF(H$3=0,"n.b.",INDEX(SRC_Woningetalage!$A$1:$ZZ$501,$A240,H$3)))</f>
        <v/>
      </c>
      <c r="I240" t="str">
        <f>IF($B240="","",IF(I$3=0,"n.b.",INDEX(SRC_Woningetalage!$A$1:$ZZ$501,$A240,I$3)))</f>
        <v/>
      </c>
      <c r="J240" t="str">
        <f>IF($B240="","",IF(J$3=0,"n.b.",INDEX(SRC_Woningetalage!$A$1:$ZZ$501,$A240,J$3)))</f>
        <v/>
      </c>
      <c r="K240" t="str">
        <f>IF($B240="","",IF(K$3=0,"n.b.",INDEX(SRC_Woningetalage!$A$1:$ZZ$501,$A240,K$3)))</f>
        <v/>
      </c>
      <c r="L240" t="str">
        <f>IF($B240="","",IF(L$3=0,"n.b.",INDEX(SRC_Woningetalage!$A$1:$ZZ$501,$A240,L$3)))</f>
        <v/>
      </c>
      <c r="M240" t="str">
        <f>IF($B240="","",IF(M$3=0,"n.b.",INDEX(SRC_Woningetalage!$A$1:$ZZ$501,$A240,M$3)))</f>
        <v/>
      </c>
      <c r="N240" t="str">
        <f>IF($B240="","",IF(N$3=0,"n.b.",INDEX(SRC_Woningetalage!$A$1:$ZZ$501,$A240,N$3)))</f>
        <v/>
      </c>
      <c r="O240" t="str">
        <f>IF($B240="","",IF(O$3=0,"n.b.",INDEX(SRC_Woningetalage!$A$1:$ZZ$501,$A240,O$3)))</f>
        <v/>
      </c>
      <c r="P240" t="str">
        <f>IF($B240="","",IF(P$3=0,"n.b.",INDEX(SRC_Woningetalage!$A$1:$ZZ$501,$A240,P$3)))</f>
        <v/>
      </c>
      <c r="Q240" s="124" t="str">
        <f>IF($B240="","",IF(Q$3=0,"n.b.",INDEX(SRC_Woningetalage!$A$1:$ZZ$501,$A240,Q$3)))</f>
        <v/>
      </c>
      <c r="R240" s="124" t="str">
        <f>IF($B240="","",IF(R$3=0,"n.b.",INDEX(SRC_Woningetalage!$A$1:$ZZ$501,$A240,R$3)))</f>
        <v/>
      </c>
      <c r="S240" s="124" t="str">
        <f>IF($B240="","",IF(S$3=0,"n.b.",INDEX(SRC_Woningetalage!$A$1:$ZZ$501,$A240,S$3)))</f>
        <v/>
      </c>
      <c r="T240" s="124" t="str">
        <f>IF($B240="","",IF(T$3=0,"n.b.",INDEX(SRC_Woningetalage!$A$1:$ZZ$501,$A240,T$3)))</f>
        <v/>
      </c>
      <c r="U240" s="124" t="str">
        <f>IF($B240="","",IF(U$3=0,"n.b.",INDEX(SRC_Woningetalage!$A$1:$ZZ$501,$A240,U$3)))</f>
        <v/>
      </c>
      <c r="V240" s="124" t="str">
        <f>IF($B240="","",IF(V$3=0,"n.b.",INDEX(SRC_Woningetalage!$A$1:$ZZ$501,$A240,V$3)))</f>
        <v/>
      </c>
      <c r="W240" s="124" t="str">
        <f>IF($B240="","",IF(W$3=0,"n.b.",INDEX(SRC_Woningetalage!$A$1:$ZZ$501,$A240,W$3)))</f>
        <v/>
      </c>
      <c r="X240" s="124" t="str">
        <f>IF($B240="","",IF(X$3=0,"n.b.",INDEX(SRC_Woningetalage!$A$1:$ZZ$501,$A240,X$3)))</f>
        <v/>
      </c>
      <c r="Y240" s="124" t="str">
        <f>IF($B240="","",IF(Y$3=0,"n.b.",INDEX(SRC_Woningetalage!$A$1:$ZZ$501,$A240,Y$3)))</f>
        <v/>
      </c>
      <c r="Z240" s="124" t="str">
        <f>IF($B240="","",IF(Z$3=0,"n.b.",INDEX(SRC_Woningetalage!$A$1:$ZZ$501,$A240,Z$3)))</f>
        <v/>
      </c>
      <c r="AA240" s="124" t="str">
        <f>IF($B240="","",IF(AA$3=0,"n.b.",INDEX(SRC_Woningetalage!$A$1:$ZZ$501,$A240,AA$3)))</f>
        <v/>
      </c>
      <c r="AB240" s="124" t="str">
        <f>IF($B240="","",IF(AB$3=0,"n.b.",INDEX(SRC_Woningetalage!$A$1:$ZZ$501,$A240,AB$3)))</f>
        <v/>
      </c>
      <c r="AC240" s="124" t="str">
        <f>IF($B240="","",IF(AC$3=0,"n.b.",INDEX(SRC_Woningetalage!$A$1:$ZZ$501,$A240,AC$3)))</f>
        <v/>
      </c>
      <c r="AD240" s="124" t="str">
        <f>IF($B240="","",IF(AD$3=0,"n.b.",INDEX(SRC_Woningetalage!$A$1:$ZZ$501,$A240,AD$3)))</f>
        <v/>
      </c>
      <c r="AE240" s="124" t="str">
        <f>IF($B240="","",IF(AE$3=0,"n.b.",INDEX(SRC_Woningetalage!$A$1:$ZZ$501,$A240,AE$3)))</f>
        <v/>
      </c>
      <c r="AF240" s="124" t="str">
        <f>IF($B240="","",IF(AF$3=0,"n.b.",INDEX(SRC_Woningetalage!$A$1:$ZZ$501,$A240,AF$3)))</f>
        <v/>
      </c>
      <c r="AG240" s="124" t="str">
        <f>IF($B240="","",IF(AG$3=0,"n.b.",INDEX(SRC_Woningetalage!$A$1:$ZZ$501,$A240,AG$3)))</f>
        <v/>
      </c>
      <c r="AH240" s="124" t="str">
        <f>IF($B240="","",IF(AH$3=0,"n.b.",INDEX(SRC_Woningetalage!$A$1:$ZZ$501,$A240,AH$3)))</f>
        <v/>
      </c>
      <c r="AI240" s="124" t="str">
        <f>IF($B240="","",IF(AI$3=0,"n.b.",INDEX(SRC_Woningetalage!$A$1:$ZZ$501,$A240,AI$3)))</f>
        <v/>
      </c>
      <c r="AJ240" s="124" t="str">
        <f>IF($B240="","",IF(AJ$3=0,"n.b.",INDEX(SRC_Woningetalage!$A$1:$ZZ$501,$A240,AJ$3)))</f>
        <v/>
      </c>
      <c r="AK240" s="124" t="str">
        <f>IF($B240="","",IF(AK$3=0,"n.b.",INDEX(SRC_Woningetalage!$A$1:$ZZ$501,$A240,AK$3)))</f>
        <v/>
      </c>
      <c r="AL240" s="124" t="str">
        <f>IF($B240="","",IF(AL$3=0,"n.b.",INDEX(SRC_Woningetalage!$A$1:$ZZ$501,$A240,AL$3)))</f>
        <v/>
      </c>
      <c r="AM240" s="124" t="str">
        <f>IF($B240="","",IF(AM$3=0,"n.b.",INDEX(SRC_Woningetalage!$A$1:$ZZ$501,$A240,AM$3)))</f>
        <v/>
      </c>
      <c r="AN240" s="124" t="str">
        <f>IF($B240="","",IF(AN$3=0,"n.b.",INDEX(SRC_Woningetalage!$A$1:$ZZ$501,$A240,AN$3)))</f>
        <v/>
      </c>
      <c r="AO240" s="124" t="str">
        <f>IF($B240="","",IF(AO$3=0,"n.b.",INDEX(SRC_Woningetalage!$A$1:$ZZ$501,$A240,AO$3)))</f>
        <v/>
      </c>
      <c r="AP240" s="124" t="str">
        <f>IF($B240="","",IF(AP$3=0,"n.b.",INDEX(SRC_Woningetalage!$A$1:$ZZ$501,$A240,AP$3)))</f>
        <v/>
      </c>
      <c r="AQ240" s="124" t="str">
        <f>IF($B240="","",IF(AQ$3=0,"n.b.",INDEX(SRC_Woningetalage!$A$1:$ZZ$501,$A240,AQ$3)))</f>
        <v/>
      </c>
      <c r="AR240" s="124" t="str">
        <f>IF($B240="","",IF(AR$3=0,"n.b.",INDEX(SRC_Woningetalage!$A$1:$ZZ$501,$A240,AR$3)))</f>
        <v/>
      </c>
      <c r="AS240" s="124" t="str">
        <f>IF($B240="","",IF(AS$3=0,"n.b.",INDEX(SRC_Woningetalage!$A$1:$ZZ$501,$A240,AS$3)))</f>
        <v/>
      </c>
      <c r="AT240" s="124" t="str">
        <f>IF($B240="","",IF(AT$3=0,"n.b.",INDEX(SRC_Woningetalage!$A$1:$ZZ$501,$A240,AT$3)))</f>
        <v/>
      </c>
      <c r="AU240" s="124" t="str">
        <f>IF($B240="","",IF(AU$3=0,"n.b.",INDEX(SRC_Woningetalage!$A$1:$ZZ$501,$A240,AU$3)))</f>
        <v/>
      </c>
      <c r="AV240" s="124" t="str">
        <f>IF($B240="","",IF(AV$3=0,"n.b.",INDEX(SRC_Woningetalage!$A$1:$ZZ$501,$A240,AV$3)))</f>
        <v/>
      </c>
      <c r="AW240" s="124" t="str">
        <f>IF($B240="","",IF(AW$3=0,"n.b.",INDEX(SRC_Woningetalage!$A$1:$ZZ$501,$A240,AW$3)))</f>
        <v/>
      </c>
      <c r="AX240" s="124" t="str">
        <f>IF($B240="","",IF(AX$3=0,"n.b.",INDEX(SRC_Woningetalage!$A$1:$ZZ$501,$A240,AX$3)))</f>
        <v/>
      </c>
      <c r="AY240" s="124" t="str">
        <f>IF($B240="","",IF(AY$3=0,"n.b.",INDEX(SRC_Woningetalage!$A$1:$ZZ$501,$A240,AY$3)))</f>
        <v/>
      </c>
      <c r="AZ240" s="124" t="str">
        <f>IF($B240="","",IF(AZ$3=0,"n.b.",INDEX(SRC_Woningetalage!$A$1:$ZZ$501,$A240,AZ$3)))</f>
        <v/>
      </c>
      <c r="BA240" s="124" t="str">
        <f>IF($B240="","",IF(BA$3=0,"n.b.",INDEX(SRC_Woningetalage!$A$1:$ZZ$501,$A240,BA$3)))</f>
        <v/>
      </c>
      <c r="BB240" s="124" t="str">
        <f>IF($B240="","",IF(BB$3=0,"n.b.",INDEX(SRC_Woningetalage!$A$1:$ZZ$501,$A240,BB$3)))</f>
        <v/>
      </c>
      <c r="BC240" s="124" t="str">
        <f>IF($B240="","",IFERROR(_xlfn.NUMBERVALUE(E240&amp;"",",","."),"n.b."))</f>
        <v/>
      </c>
      <c r="BD240" s="124" t="str">
        <f>IF($B240="","",IFERROR(_xlfn.NUMBERVALUE(M240&amp;"",",","."),"n.b."))</f>
        <v/>
      </c>
      <c r="BE240" s="124" t="str">
        <f>IF($B240="","",IFERROR(AB240+AC240+AD240,"n.b."))</f>
        <v/>
      </c>
      <c r="BF240" s="124" t="str">
        <f>IF($B240="","",IFERROR(AE240+AF240+AG240,"n.b."))</f>
        <v/>
      </c>
      <c r="BG240" s="124" t="str">
        <f>IF($B240="","",IFERROR(AH240+AI240+AJ240,"n.b."))</f>
        <v/>
      </c>
      <c r="BH240" s="124" t="str">
        <f>IF($B240="","",IFERROR(AK240+AL240+AM240,"n.b."))</f>
        <v/>
      </c>
      <c r="BI240" s="124" t="str">
        <f>IF($B240="","",IFERROR(SUMIF($AB$5:$AM$5,"&lt;="&amp;P_PeilMaand,AB240:AM240),"n.b."))</f>
        <v/>
      </c>
      <c r="BJ240" s="124" t="str">
        <f>IF($B240="","",IFERROR(SUM(AB240:AM240)-BI240,"n.b."))</f>
        <v/>
      </c>
      <c r="BK240" s="124" t="str">
        <f>IF($B240="","",IFERROR(IF(ABS(Q240-(T240+SUM(AB240:AM240)+AS240+AU240))&gt;P_Tol,1,0),1))</f>
        <v/>
      </c>
      <c r="BL240" s="124" t="str">
        <f>IF($B240="","",IFERROR(IF(ABS(AA240-(Q240-Z240))&gt;P_Tol,1,0),1))</f>
        <v/>
      </c>
      <c r="BM240" s="124" t="str">
        <f>IF($B240="","",IFERROR(IF(ABS(Z240-(T240+W240))&gt;P_Tol,1,0),1))</f>
        <v/>
      </c>
      <c r="BN240" s="124" t="str">
        <f>IF($B240="","",IFERROR(IF(ABS(W240-BI240)&gt;P_Tol,1,0),1))</f>
        <v/>
      </c>
      <c r="BO240" s="124" t="str">
        <f>IF($B240="","",IFERROR(IF(OR(ABS(R240+S240-T240)&gt;P_Tol,ABS(U240+V240-W240)&gt;P_Tol,ABS(X240+Y240-Z240)&gt;P_Tol),1,0),1))</f>
        <v/>
      </c>
      <c r="BP240" s="124" t="str">
        <f>IF($B240="","",IFERROR(IF(OR(ABS(AR240-SUM(AB240:AM240))&gt;P_Tol,ABS(AS240-(AN240+AO240+AP240+AQ240))&gt;P_Tol),1,0),1))</f>
        <v/>
      </c>
      <c r="BQ240" s="124" t="str">
        <f>IF($B240="","",IFERROR(IF(ABS(AT240)+ABS(AV240)+ABS(AW240)+ABS(AX240)+ABS(AY240)+ABS(AZ240)+ABS(BA240)+ABS(BB240)&gt;0,1,0),1))</f>
        <v/>
      </c>
      <c r="BR240" s="124" t="str">
        <f>IF($B240="","",COUNTIF(STG_ZPMW03!$B$6:$B$505,B240))</f>
        <v/>
      </c>
      <c r="BS240" s="124" t="str">
        <f>IF($B240="","",COUNTIF($B$6:$B$505,B240))</f>
        <v/>
      </c>
      <c r="BT240" s="124" t="str">
        <f>IF($B240="","",IF(BR240=0,0,IF(INDEX(STG_ZPMW03!$I$6:$I$505,MATCH(B240,STG_ZPMW03!$B$6:$B$505,0))=J240&amp;"",0,1)))</f>
        <v/>
      </c>
      <c r="BU240" s="124" t="str">
        <f>IF($B240="","",IFERROR(IF(ABS(INDEX(Mapping!$D$5:$D$104,MATCH(B240,Mapping!$A$5:$A$104,0))-Q240)&gt;P_Tol,1,0),0))</f>
        <v/>
      </c>
      <c r="BV240" s="124" t="str">
        <f>IF($B240="","",IFERROR(IF(AND(INDEX(Mapping!$G$5:$G$104,MATCH(B240,Mapping!$A$5:$A$104,0))="Nee",ABS(Q240)+ABS(Z240)+ABS(AR240)&gt;0),1,0),0))</f>
        <v/>
      </c>
      <c r="BW240" s="124" t="str">
        <f>IF($B240="","",IF(COUNTIF(Mapping!$A$5:$A$104,B240)&gt;0,1,0))</f>
        <v/>
      </c>
      <c r="BX240" s="124" t="str">
        <f>IF($B240="","",IF(BR240=0,COUNTIF($BR$6:BR240,0),""))</f>
        <v/>
      </c>
    </row>
    <row r="241">
      <c r="A241" s="15" t="n">
        <v>237</v>
      </c>
      <c r="B241" t="str">
        <f>IF(B$3=0,"",IF(INDEX(SRC_Woningetalage!$A$1:$ZZ$501,$A241,B$3)&amp;""="","",INDEX(SRC_Woningetalage!$A$1:$ZZ$501,$A241,B$3)&amp;""))</f>
        <v/>
      </c>
      <c r="C241" t="str">
        <f>IF($B241="","",IF(C$3=0,"n.b.",INDEX(SRC_Woningetalage!$A$1:$ZZ$501,$A241,C$3)))</f>
        <v/>
      </c>
      <c r="D241" t="str">
        <f>IF($B241="","",IF(D$3=0,"n.b.",INDEX(SRC_Woningetalage!$A$1:$ZZ$501,$A241,D$3)))</f>
        <v/>
      </c>
      <c r="E241" t="str">
        <f>IF($B241="","",IF(E$3=0,"n.b.",INDEX(SRC_Woningetalage!$A$1:$ZZ$501,$A241,E$3)))</f>
        <v/>
      </c>
      <c r="F241" t="str">
        <f>IF($B241="","",IF(F$3=0,"n.b.",INDEX(SRC_Woningetalage!$A$1:$ZZ$501,$A241,F$3)))</f>
        <v/>
      </c>
      <c r="G241" t="str">
        <f>IF($B241="","",IF(G$3=0,"n.b.",INDEX(SRC_Woningetalage!$A$1:$ZZ$501,$A241,G$3)))</f>
        <v/>
      </c>
      <c r="H241" t="str">
        <f>IF($B241="","",IF(H$3=0,"n.b.",INDEX(SRC_Woningetalage!$A$1:$ZZ$501,$A241,H$3)))</f>
        <v/>
      </c>
      <c r="I241" t="str">
        <f>IF($B241="","",IF(I$3=0,"n.b.",INDEX(SRC_Woningetalage!$A$1:$ZZ$501,$A241,I$3)))</f>
        <v/>
      </c>
      <c r="J241" t="str">
        <f>IF($B241="","",IF(J$3=0,"n.b.",INDEX(SRC_Woningetalage!$A$1:$ZZ$501,$A241,J$3)))</f>
        <v/>
      </c>
      <c r="K241" t="str">
        <f>IF($B241="","",IF(K$3=0,"n.b.",INDEX(SRC_Woningetalage!$A$1:$ZZ$501,$A241,K$3)))</f>
        <v/>
      </c>
      <c r="L241" t="str">
        <f>IF($B241="","",IF(L$3=0,"n.b.",INDEX(SRC_Woningetalage!$A$1:$ZZ$501,$A241,L$3)))</f>
        <v/>
      </c>
      <c r="M241" t="str">
        <f>IF($B241="","",IF(M$3=0,"n.b.",INDEX(SRC_Woningetalage!$A$1:$ZZ$501,$A241,M$3)))</f>
        <v/>
      </c>
      <c r="N241" t="str">
        <f>IF($B241="","",IF(N$3=0,"n.b.",INDEX(SRC_Woningetalage!$A$1:$ZZ$501,$A241,N$3)))</f>
        <v/>
      </c>
      <c r="O241" t="str">
        <f>IF($B241="","",IF(O$3=0,"n.b.",INDEX(SRC_Woningetalage!$A$1:$ZZ$501,$A241,O$3)))</f>
        <v/>
      </c>
      <c r="P241" t="str">
        <f>IF($B241="","",IF(P$3=0,"n.b.",INDEX(SRC_Woningetalage!$A$1:$ZZ$501,$A241,P$3)))</f>
        <v/>
      </c>
      <c r="Q241" s="124" t="str">
        <f>IF($B241="","",IF(Q$3=0,"n.b.",INDEX(SRC_Woningetalage!$A$1:$ZZ$501,$A241,Q$3)))</f>
        <v/>
      </c>
      <c r="R241" s="124" t="str">
        <f>IF($B241="","",IF(R$3=0,"n.b.",INDEX(SRC_Woningetalage!$A$1:$ZZ$501,$A241,R$3)))</f>
        <v/>
      </c>
      <c r="S241" s="124" t="str">
        <f>IF($B241="","",IF(S$3=0,"n.b.",INDEX(SRC_Woningetalage!$A$1:$ZZ$501,$A241,S$3)))</f>
        <v/>
      </c>
      <c r="T241" s="124" t="str">
        <f>IF($B241="","",IF(T$3=0,"n.b.",INDEX(SRC_Woningetalage!$A$1:$ZZ$501,$A241,T$3)))</f>
        <v/>
      </c>
      <c r="U241" s="124" t="str">
        <f>IF($B241="","",IF(U$3=0,"n.b.",INDEX(SRC_Woningetalage!$A$1:$ZZ$501,$A241,U$3)))</f>
        <v/>
      </c>
      <c r="V241" s="124" t="str">
        <f>IF($B241="","",IF(V$3=0,"n.b.",INDEX(SRC_Woningetalage!$A$1:$ZZ$501,$A241,V$3)))</f>
        <v/>
      </c>
      <c r="W241" s="124" t="str">
        <f>IF($B241="","",IF(W$3=0,"n.b.",INDEX(SRC_Woningetalage!$A$1:$ZZ$501,$A241,W$3)))</f>
        <v/>
      </c>
      <c r="X241" s="124" t="str">
        <f>IF($B241="","",IF(X$3=0,"n.b.",INDEX(SRC_Woningetalage!$A$1:$ZZ$501,$A241,X$3)))</f>
        <v/>
      </c>
      <c r="Y241" s="124" t="str">
        <f>IF($B241="","",IF(Y$3=0,"n.b.",INDEX(SRC_Woningetalage!$A$1:$ZZ$501,$A241,Y$3)))</f>
        <v/>
      </c>
      <c r="Z241" s="124" t="str">
        <f>IF($B241="","",IF(Z$3=0,"n.b.",INDEX(SRC_Woningetalage!$A$1:$ZZ$501,$A241,Z$3)))</f>
        <v/>
      </c>
      <c r="AA241" s="124" t="str">
        <f>IF($B241="","",IF(AA$3=0,"n.b.",INDEX(SRC_Woningetalage!$A$1:$ZZ$501,$A241,AA$3)))</f>
        <v/>
      </c>
      <c r="AB241" s="124" t="str">
        <f>IF($B241="","",IF(AB$3=0,"n.b.",INDEX(SRC_Woningetalage!$A$1:$ZZ$501,$A241,AB$3)))</f>
        <v/>
      </c>
      <c r="AC241" s="124" t="str">
        <f>IF($B241="","",IF(AC$3=0,"n.b.",INDEX(SRC_Woningetalage!$A$1:$ZZ$501,$A241,AC$3)))</f>
        <v/>
      </c>
      <c r="AD241" s="124" t="str">
        <f>IF($B241="","",IF(AD$3=0,"n.b.",INDEX(SRC_Woningetalage!$A$1:$ZZ$501,$A241,AD$3)))</f>
        <v/>
      </c>
      <c r="AE241" s="124" t="str">
        <f>IF($B241="","",IF(AE$3=0,"n.b.",INDEX(SRC_Woningetalage!$A$1:$ZZ$501,$A241,AE$3)))</f>
        <v/>
      </c>
      <c r="AF241" s="124" t="str">
        <f>IF($B241="","",IF(AF$3=0,"n.b.",INDEX(SRC_Woningetalage!$A$1:$ZZ$501,$A241,AF$3)))</f>
        <v/>
      </c>
      <c r="AG241" s="124" t="str">
        <f>IF($B241="","",IF(AG$3=0,"n.b.",INDEX(SRC_Woningetalage!$A$1:$ZZ$501,$A241,AG$3)))</f>
        <v/>
      </c>
      <c r="AH241" s="124" t="str">
        <f>IF($B241="","",IF(AH$3=0,"n.b.",INDEX(SRC_Woningetalage!$A$1:$ZZ$501,$A241,AH$3)))</f>
        <v/>
      </c>
      <c r="AI241" s="124" t="str">
        <f>IF($B241="","",IF(AI$3=0,"n.b.",INDEX(SRC_Woningetalage!$A$1:$ZZ$501,$A241,AI$3)))</f>
        <v/>
      </c>
      <c r="AJ241" s="124" t="str">
        <f>IF($B241="","",IF(AJ$3=0,"n.b.",INDEX(SRC_Woningetalage!$A$1:$ZZ$501,$A241,AJ$3)))</f>
        <v/>
      </c>
      <c r="AK241" s="124" t="str">
        <f>IF($B241="","",IF(AK$3=0,"n.b.",INDEX(SRC_Woningetalage!$A$1:$ZZ$501,$A241,AK$3)))</f>
        <v/>
      </c>
      <c r="AL241" s="124" t="str">
        <f>IF($B241="","",IF(AL$3=0,"n.b.",INDEX(SRC_Woningetalage!$A$1:$ZZ$501,$A241,AL$3)))</f>
        <v/>
      </c>
      <c r="AM241" s="124" t="str">
        <f>IF($B241="","",IF(AM$3=0,"n.b.",INDEX(SRC_Woningetalage!$A$1:$ZZ$501,$A241,AM$3)))</f>
        <v/>
      </c>
      <c r="AN241" s="124" t="str">
        <f>IF($B241="","",IF(AN$3=0,"n.b.",INDEX(SRC_Woningetalage!$A$1:$ZZ$501,$A241,AN$3)))</f>
        <v/>
      </c>
      <c r="AO241" s="124" t="str">
        <f>IF($B241="","",IF(AO$3=0,"n.b.",INDEX(SRC_Woningetalage!$A$1:$ZZ$501,$A241,AO$3)))</f>
        <v/>
      </c>
      <c r="AP241" s="124" t="str">
        <f>IF($B241="","",IF(AP$3=0,"n.b.",INDEX(SRC_Woningetalage!$A$1:$ZZ$501,$A241,AP$3)))</f>
        <v/>
      </c>
      <c r="AQ241" s="124" t="str">
        <f>IF($B241="","",IF(AQ$3=0,"n.b.",INDEX(SRC_Woningetalage!$A$1:$ZZ$501,$A241,AQ$3)))</f>
        <v/>
      </c>
      <c r="AR241" s="124" t="str">
        <f>IF($B241="","",IF(AR$3=0,"n.b.",INDEX(SRC_Woningetalage!$A$1:$ZZ$501,$A241,AR$3)))</f>
        <v/>
      </c>
      <c r="AS241" s="124" t="str">
        <f>IF($B241="","",IF(AS$3=0,"n.b.",INDEX(SRC_Woningetalage!$A$1:$ZZ$501,$A241,AS$3)))</f>
        <v/>
      </c>
      <c r="AT241" s="124" t="str">
        <f>IF($B241="","",IF(AT$3=0,"n.b.",INDEX(SRC_Woningetalage!$A$1:$ZZ$501,$A241,AT$3)))</f>
        <v/>
      </c>
      <c r="AU241" s="124" t="str">
        <f>IF($B241="","",IF(AU$3=0,"n.b.",INDEX(SRC_Woningetalage!$A$1:$ZZ$501,$A241,AU$3)))</f>
        <v/>
      </c>
      <c r="AV241" s="124" t="str">
        <f>IF($B241="","",IF(AV$3=0,"n.b.",INDEX(SRC_Woningetalage!$A$1:$ZZ$501,$A241,AV$3)))</f>
        <v/>
      </c>
      <c r="AW241" s="124" t="str">
        <f>IF($B241="","",IF(AW$3=0,"n.b.",INDEX(SRC_Woningetalage!$A$1:$ZZ$501,$A241,AW$3)))</f>
        <v/>
      </c>
      <c r="AX241" s="124" t="str">
        <f>IF($B241="","",IF(AX$3=0,"n.b.",INDEX(SRC_Woningetalage!$A$1:$ZZ$501,$A241,AX$3)))</f>
        <v/>
      </c>
      <c r="AY241" s="124" t="str">
        <f>IF($B241="","",IF(AY$3=0,"n.b.",INDEX(SRC_Woningetalage!$A$1:$ZZ$501,$A241,AY$3)))</f>
        <v/>
      </c>
      <c r="AZ241" s="124" t="str">
        <f>IF($B241="","",IF(AZ$3=0,"n.b.",INDEX(SRC_Woningetalage!$A$1:$ZZ$501,$A241,AZ$3)))</f>
        <v/>
      </c>
      <c r="BA241" s="124" t="str">
        <f>IF($B241="","",IF(BA$3=0,"n.b.",INDEX(SRC_Woningetalage!$A$1:$ZZ$501,$A241,BA$3)))</f>
        <v/>
      </c>
      <c r="BB241" s="124" t="str">
        <f>IF($B241="","",IF(BB$3=0,"n.b.",INDEX(SRC_Woningetalage!$A$1:$ZZ$501,$A241,BB$3)))</f>
        <v/>
      </c>
      <c r="BC241" s="124" t="str">
        <f>IF($B241="","",IFERROR(_xlfn.NUMBERVALUE(E241&amp;"",",","."),"n.b."))</f>
        <v/>
      </c>
      <c r="BD241" s="124" t="str">
        <f>IF($B241="","",IFERROR(_xlfn.NUMBERVALUE(M241&amp;"",",","."),"n.b."))</f>
        <v/>
      </c>
      <c r="BE241" s="124" t="str">
        <f>IF($B241="","",IFERROR(AB241+AC241+AD241,"n.b."))</f>
        <v/>
      </c>
      <c r="BF241" s="124" t="str">
        <f>IF($B241="","",IFERROR(AE241+AF241+AG241,"n.b."))</f>
        <v/>
      </c>
      <c r="BG241" s="124" t="str">
        <f>IF($B241="","",IFERROR(AH241+AI241+AJ241,"n.b."))</f>
        <v/>
      </c>
      <c r="BH241" s="124" t="str">
        <f>IF($B241="","",IFERROR(AK241+AL241+AM241,"n.b."))</f>
        <v/>
      </c>
      <c r="BI241" s="124" t="str">
        <f>IF($B241="","",IFERROR(SUMIF($AB$5:$AM$5,"&lt;="&amp;P_PeilMaand,AB241:AM241),"n.b."))</f>
        <v/>
      </c>
      <c r="BJ241" s="124" t="str">
        <f>IF($B241="","",IFERROR(SUM(AB241:AM241)-BI241,"n.b."))</f>
        <v/>
      </c>
      <c r="BK241" s="124" t="str">
        <f>IF($B241="","",IFERROR(IF(ABS(Q241-(T241+SUM(AB241:AM241)+AS241+AU241))&gt;P_Tol,1,0),1))</f>
        <v/>
      </c>
      <c r="BL241" s="124" t="str">
        <f>IF($B241="","",IFERROR(IF(ABS(AA241-(Q241-Z241))&gt;P_Tol,1,0),1))</f>
        <v/>
      </c>
      <c r="BM241" s="124" t="str">
        <f>IF($B241="","",IFERROR(IF(ABS(Z241-(T241+W241))&gt;P_Tol,1,0),1))</f>
        <v/>
      </c>
      <c r="BN241" s="124" t="str">
        <f>IF($B241="","",IFERROR(IF(ABS(W241-BI241)&gt;P_Tol,1,0),1))</f>
        <v/>
      </c>
      <c r="BO241" s="124" t="str">
        <f>IF($B241="","",IFERROR(IF(OR(ABS(R241+S241-T241)&gt;P_Tol,ABS(U241+V241-W241)&gt;P_Tol,ABS(X241+Y241-Z241)&gt;P_Tol),1,0),1))</f>
        <v/>
      </c>
      <c r="BP241" s="124" t="str">
        <f>IF($B241="","",IFERROR(IF(OR(ABS(AR241-SUM(AB241:AM241))&gt;P_Tol,ABS(AS241-(AN241+AO241+AP241+AQ241))&gt;P_Tol),1,0),1))</f>
        <v/>
      </c>
      <c r="BQ241" s="124" t="str">
        <f>IF($B241="","",IFERROR(IF(ABS(AT241)+ABS(AV241)+ABS(AW241)+ABS(AX241)+ABS(AY241)+ABS(AZ241)+ABS(BA241)+ABS(BB241)&gt;0,1,0),1))</f>
        <v/>
      </c>
      <c r="BR241" s="124" t="str">
        <f>IF($B241="","",COUNTIF(STG_ZPMW03!$B$6:$B$505,B241))</f>
        <v/>
      </c>
      <c r="BS241" s="124" t="str">
        <f>IF($B241="","",COUNTIF($B$6:$B$505,B241))</f>
        <v/>
      </c>
      <c r="BT241" s="124" t="str">
        <f>IF($B241="","",IF(BR241=0,0,IF(INDEX(STG_ZPMW03!$I$6:$I$505,MATCH(B241,STG_ZPMW03!$B$6:$B$505,0))=J241&amp;"",0,1)))</f>
        <v/>
      </c>
      <c r="BU241" s="124" t="str">
        <f>IF($B241="","",IFERROR(IF(ABS(INDEX(Mapping!$D$5:$D$104,MATCH(B241,Mapping!$A$5:$A$104,0))-Q241)&gt;P_Tol,1,0),0))</f>
        <v/>
      </c>
      <c r="BV241" s="124" t="str">
        <f>IF($B241="","",IFERROR(IF(AND(INDEX(Mapping!$G$5:$G$104,MATCH(B241,Mapping!$A$5:$A$104,0))="Nee",ABS(Q241)+ABS(Z241)+ABS(AR241)&gt;0),1,0),0))</f>
        <v/>
      </c>
      <c r="BW241" s="124" t="str">
        <f>IF($B241="","",IF(COUNTIF(Mapping!$A$5:$A$104,B241)&gt;0,1,0))</f>
        <v/>
      </c>
      <c r="BX241" s="124" t="str">
        <f>IF($B241="","",IF(BR241=0,COUNTIF($BR$6:BR241,0),""))</f>
        <v/>
      </c>
    </row>
    <row r="242">
      <c r="A242" s="15" t="n">
        <v>238</v>
      </c>
      <c r="B242" t="str">
        <f>IF(B$3=0,"",IF(INDEX(SRC_Woningetalage!$A$1:$ZZ$501,$A242,B$3)&amp;""="","",INDEX(SRC_Woningetalage!$A$1:$ZZ$501,$A242,B$3)&amp;""))</f>
        <v/>
      </c>
      <c r="C242" t="str">
        <f>IF($B242="","",IF(C$3=0,"n.b.",INDEX(SRC_Woningetalage!$A$1:$ZZ$501,$A242,C$3)))</f>
        <v/>
      </c>
      <c r="D242" t="str">
        <f>IF($B242="","",IF(D$3=0,"n.b.",INDEX(SRC_Woningetalage!$A$1:$ZZ$501,$A242,D$3)))</f>
        <v/>
      </c>
      <c r="E242" t="str">
        <f>IF($B242="","",IF(E$3=0,"n.b.",INDEX(SRC_Woningetalage!$A$1:$ZZ$501,$A242,E$3)))</f>
        <v/>
      </c>
      <c r="F242" t="str">
        <f>IF($B242="","",IF(F$3=0,"n.b.",INDEX(SRC_Woningetalage!$A$1:$ZZ$501,$A242,F$3)))</f>
        <v/>
      </c>
      <c r="G242" t="str">
        <f>IF($B242="","",IF(G$3=0,"n.b.",INDEX(SRC_Woningetalage!$A$1:$ZZ$501,$A242,G$3)))</f>
        <v/>
      </c>
      <c r="H242" t="str">
        <f>IF($B242="","",IF(H$3=0,"n.b.",INDEX(SRC_Woningetalage!$A$1:$ZZ$501,$A242,H$3)))</f>
        <v/>
      </c>
      <c r="I242" t="str">
        <f>IF($B242="","",IF(I$3=0,"n.b.",INDEX(SRC_Woningetalage!$A$1:$ZZ$501,$A242,I$3)))</f>
        <v/>
      </c>
      <c r="J242" t="str">
        <f>IF($B242="","",IF(J$3=0,"n.b.",INDEX(SRC_Woningetalage!$A$1:$ZZ$501,$A242,J$3)))</f>
        <v/>
      </c>
      <c r="K242" t="str">
        <f>IF($B242="","",IF(K$3=0,"n.b.",INDEX(SRC_Woningetalage!$A$1:$ZZ$501,$A242,K$3)))</f>
        <v/>
      </c>
      <c r="L242" t="str">
        <f>IF($B242="","",IF(L$3=0,"n.b.",INDEX(SRC_Woningetalage!$A$1:$ZZ$501,$A242,L$3)))</f>
        <v/>
      </c>
      <c r="M242" t="str">
        <f>IF($B242="","",IF(M$3=0,"n.b.",INDEX(SRC_Woningetalage!$A$1:$ZZ$501,$A242,M$3)))</f>
        <v/>
      </c>
      <c r="N242" t="str">
        <f>IF($B242="","",IF(N$3=0,"n.b.",INDEX(SRC_Woningetalage!$A$1:$ZZ$501,$A242,N$3)))</f>
        <v/>
      </c>
      <c r="O242" t="str">
        <f>IF($B242="","",IF(O$3=0,"n.b.",INDEX(SRC_Woningetalage!$A$1:$ZZ$501,$A242,O$3)))</f>
        <v/>
      </c>
      <c r="P242" t="str">
        <f>IF($B242="","",IF(P$3=0,"n.b.",INDEX(SRC_Woningetalage!$A$1:$ZZ$501,$A242,P$3)))</f>
        <v/>
      </c>
      <c r="Q242" s="124" t="str">
        <f>IF($B242="","",IF(Q$3=0,"n.b.",INDEX(SRC_Woningetalage!$A$1:$ZZ$501,$A242,Q$3)))</f>
        <v/>
      </c>
      <c r="R242" s="124" t="str">
        <f>IF($B242="","",IF(R$3=0,"n.b.",INDEX(SRC_Woningetalage!$A$1:$ZZ$501,$A242,R$3)))</f>
        <v/>
      </c>
      <c r="S242" s="124" t="str">
        <f>IF($B242="","",IF(S$3=0,"n.b.",INDEX(SRC_Woningetalage!$A$1:$ZZ$501,$A242,S$3)))</f>
        <v/>
      </c>
      <c r="T242" s="124" t="str">
        <f>IF($B242="","",IF(T$3=0,"n.b.",INDEX(SRC_Woningetalage!$A$1:$ZZ$501,$A242,T$3)))</f>
        <v/>
      </c>
      <c r="U242" s="124" t="str">
        <f>IF($B242="","",IF(U$3=0,"n.b.",INDEX(SRC_Woningetalage!$A$1:$ZZ$501,$A242,U$3)))</f>
        <v/>
      </c>
      <c r="V242" s="124" t="str">
        <f>IF($B242="","",IF(V$3=0,"n.b.",INDEX(SRC_Woningetalage!$A$1:$ZZ$501,$A242,V$3)))</f>
        <v/>
      </c>
      <c r="W242" s="124" t="str">
        <f>IF($B242="","",IF(W$3=0,"n.b.",INDEX(SRC_Woningetalage!$A$1:$ZZ$501,$A242,W$3)))</f>
        <v/>
      </c>
      <c r="X242" s="124" t="str">
        <f>IF($B242="","",IF(X$3=0,"n.b.",INDEX(SRC_Woningetalage!$A$1:$ZZ$501,$A242,X$3)))</f>
        <v/>
      </c>
      <c r="Y242" s="124" t="str">
        <f>IF($B242="","",IF(Y$3=0,"n.b.",INDEX(SRC_Woningetalage!$A$1:$ZZ$501,$A242,Y$3)))</f>
        <v/>
      </c>
      <c r="Z242" s="124" t="str">
        <f>IF($B242="","",IF(Z$3=0,"n.b.",INDEX(SRC_Woningetalage!$A$1:$ZZ$501,$A242,Z$3)))</f>
        <v/>
      </c>
      <c r="AA242" s="124" t="str">
        <f>IF($B242="","",IF(AA$3=0,"n.b.",INDEX(SRC_Woningetalage!$A$1:$ZZ$501,$A242,AA$3)))</f>
        <v/>
      </c>
      <c r="AB242" s="124" t="str">
        <f>IF($B242="","",IF(AB$3=0,"n.b.",INDEX(SRC_Woningetalage!$A$1:$ZZ$501,$A242,AB$3)))</f>
        <v/>
      </c>
      <c r="AC242" s="124" t="str">
        <f>IF($B242="","",IF(AC$3=0,"n.b.",INDEX(SRC_Woningetalage!$A$1:$ZZ$501,$A242,AC$3)))</f>
        <v/>
      </c>
      <c r="AD242" s="124" t="str">
        <f>IF($B242="","",IF(AD$3=0,"n.b.",INDEX(SRC_Woningetalage!$A$1:$ZZ$501,$A242,AD$3)))</f>
        <v/>
      </c>
      <c r="AE242" s="124" t="str">
        <f>IF($B242="","",IF(AE$3=0,"n.b.",INDEX(SRC_Woningetalage!$A$1:$ZZ$501,$A242,AE$3)))</f>
        <v/>
      </c>
      <c r="AF242" s="124" t="str">
        <f>IF($B242="","",IF(AF$3=0,"n.b.",INDEX(SRC_Woningetalage!$A$1:$ZZ$501,$A242,AF$3)))</f>
        <v/>
      </c>
      <c r="AG242" s="124" t="str">
        <f>IF($B242="","",IF(AG$3=0,"n.b.",INDEX(SRC_Woningetalage!$A$1:$ZZ$501,$A242,AG$3)))</f>
        <v/>
      </c>
      <c r="AH242" s="124" t="str">
        <f>IF($B242="","",IF(AH$3=0,"n.b.",INDEX(SRC_Woningetalage!$A$1:$ZZ$501,$A242,AH$3)))</f>
        <v/>
      </c>
      <c r="AI242" s="124" t="str">
        <f>IF($B242="","",IF(AI$3=0,"n.b.",INDEX(SRC_Woningetalage!$A$1:$ZZ$501,$A242,AI$3)))</f>
        <v/>
      </c>
      <c r="AJ242" s="124" t="str">
        <f>IF($B242="","",IF(AJ$3=0,"n.b.",INDEX(SRC_Woningetalage!$A$1:$ZZ$501,$A242,AJ$3)))</f>
        <v/>
      </c>
      <c r="AK242" s="124" t="str">
        <f>IF($B242="","",IF(AK$3=0,"n.b.",INDEX(SRC_Woningetalage!$A$1:$ZZ$501,$A242,AK$3)))</f>
        <v/>
      </c>
      <c r="AL242" s="124" t="str">
        <f>IF($B242="","",IF(AL$3=0,"n.b.",INDEX(SRC_Woningetalage!$A$1:$ZZ$501,$A242,AL$3)))</f>
        <v/>
      </c>
      <c r="AM242" s="124" t="str">
        <f>IF($B242="","",IF(AM$3=0,"n.b.",INDEX(SRC_Woningetalage!$A$1:$ZZ$501,$A242,AM$3)))</f>
        <v/>
      </c>
      <c r="AN242" s="124" t="str">
        <f>IF($B242="","",IF(AN$3=0,"n.b.",INDEX(SRC_Woningetalage!$A$1:$ZZ$501,$A242,AN$3)))</f>
        <v/>
      </c>
      <c r="AO242" s="124" t="str">
        <f>IF($B242="","",IF(AO$3=0,"n.b.",INDEX(SRC_Woningetalage!$A$1:$ZZ$501,$A242,AO$3)))</f>
        <v/>
      </c>
      <c r="AP242" s="124" t="str">
        <f>IF($B242="","",IF(AP$3=0,"n.b.",INDEX(SRC_Woningetalage!$A$1:$ZZ$501,$A242,AP$3)))</f>
        <v/>
      </c>
      <c r="AQ242" s="124" t="str">
        <f>IF($B242="","",IF(AQ$3=0,"n.b.",INDEX(SRC_Woningetalage!$A$1:$ZZ$501,$A242,AQ$3)))</f>
        <v/>
      </c>
      <c r="AR242" s="124" t="str">
        <f>IF($B242="","",IF(AR$3=0,"n.b.",INDEX(SRC_Woningetalage!$A$1:$ZZ$501,$A242,AR$3)))</f>
        <v/>
      </c>
      <c r="AS242" s="124" t="str">
        <f>IF($B242="","",IF(AS$3=0,"n.b.",INDEX(SRC_Woningetalage!$A$1:$ZZ$501,$A242,AS$3)))</f>
        <v/>
      </c>
      <c r="AT242" s="124" t="str">
        <f>IF($B242="","",IF(AT$3=0,"n.b.",INDEX(SRC_Woningetalage!$A$1:$ZZ$501,$A242,AT$3)))</f>
        <v/>
      </c>
      <c r="AU242" s="124" t="str">
        <f>IF($B242="","",IF(AU$3=0,"n.b.",INDEX(SRC_Woningetalage!$A$1:$ZZ$501,$A242,AU$3)))</f>
        <v/>
      </c>
      <c r="AV242" s="124" t="str">
        <f>IF($B242="","",IF(AV$3=0,"n.b.",INDEX(SRC_Woningetalage!$A$1:$ZZ$501,$A242,AV$3)))</f>
        <v/>
      </c>
      <c r="AW242" s="124" t="str">
        <f>IF($B242="","",IF(AW$3=0,"n.b.",INDEX(SRC_Woningetalage!$A$1:$ZZ$501,$A242,AW$3)))</f>
        <v/>
      </c>
      <c r="AX242" s="124" t="str">
        <f>IF($B242="","",IF(AX$3=0,"n.b.",INDEX(SRC_Woningetalage!$A$1:$ZZ$501,$A242,AX$3)))</f>
        <v/>
      </c>
      <c r="AY242" s="124" t="str">
        <f>IF($B242="","",IF(AY$3=0,"n.b.",INDEX(SRC_Woningetalage!$A$1:$ZZ$501,$A242,AY$3)))</f>
        <v/>
      </c>
      <c r="AZ242" s="124" t="str">
        <f>IF($B242="","",IF(AZ$3=0,"n.b.",INDEX(SRC_Woningetalage!$A$1:$ZZ$501,$A242,AZ$3)))</f>
        <v/>
      </c>
      <c r="BA242" s="124" t="str">
        <f>IF($B242="","",IF(BA$3=0,"n.b.",INDEX(SRC_Woningetalage!$A$1:$ZZ$501,$A242,BA$3)))</f>
        <v/>
      </c>
      <c r="BB242" s="124" t="str">
        <f>IF($B242="","",IF(BB$3=0,"n.b.",INDEX(SRC_Woningetalage!$A$1:$ZZ$501,$A242,BB$3)))</f>
        <v/>
      </c>
      <c r="BC242" s="124" t="str">
        <f>IF($B242="","",IFERROR(_xlfn.NUMBERVALUE(E242&amp;"",",","."),"n.b."))</f>
        <v/>
      </c>
      <c r="BD242" s="124" t="str">
        <f>IF($B242="","",IFERROR(_xlfn.NUMBERVALUE(M242&amp;"",",","."),"n.b."))</f>
        <v/>
      </c>
      <c r="BE242" s="124" t="str">
        <f>IF($B242="","",IFERROR(AB242+AC242+AD242,"n.b."))</f>
        <v/>
      </c>
      <c r="BF242" s="124" t="str">
        <f>IF($B242="","",IFERROR(AE242+AF242+AG242,"n.b."))</f>
        <v/>
      </c>
      <c r="BG242" s="124" t="str">
        <f>IF($B242="","",IFERROR(AH242+AI242+AJ242,"n.b."))</f>
        <v/>
      </c>
      <c r="BH242" s="124" t="str">
        <f>IF($B242="","",IFERROR(AK242+AL242+AM242,"n.b."))</f>
        <v/>
      </c>
      <c r="BI242" s="124" t="str">
        <f>IF($B242="","",IFERROR(SUMIF($AB$5:$AM$5,"&lt;="&amp;P_PeilMaand,AB242:AM242),"n.b."))</f>
        <v/>
      </c>
      <c r="BJ242" s="124" t="str">
        <f>IF($B242="","",IFERROR(SUM(AB242:AM242)-BI242,"n.b."))</f>
        <v/>
      </c>
      <c r="BK242" s="124" t="str">
        <f>IF($B242="","",IFERROR(IF(ABS(Q242-(T242+SUM(AB242:AM242)+AS242+AU242))&gt;P_Tol,1,0),1))</f>
        <v/>
      </c>
      <c r="BL242" s="124" t="str">
        <f>IF($B242="","",IFERROR(IF(ABS(AA242-(Q242-Z242))&gt;P_Tol,1,0),1))</f>
        <v/>
      </c>
      <c r="BM242" s="124" t="str">
        <f>IF($B242="","",IFERROR(IF(ABS(Z242-(T242+W242))&gt;P_Tol,1,0),1))</f>
        <v/>
      </c>
      <c r="BN242" s="124" t="str">
        <f>IF($B242="","",IFERROR(IF(ABS(W242-BI242)&gt;P_Tol,1,0),1))</f>
        <v/>
      </c>
      <c r="BO242" s="124" t="str">
        <f>IF($B242="","",IFERROR(IF(OR(ABS(R242+S242-T242)&gt;P_Tol,ABS(U242+V242-W242)&gt;P_Tol,ABS(X242+Y242-Z242)&gt;P_Tol),1,0),1))</f>
        <v/>
      </c>
      <c r="BP242" s="124" t="str">
        <f>IF($B242="","",IFERROR(IF(OR(ABS(AR242-SUM(AB242:AM242))&gt;P_Tol,ABS(AS242-(AN242+AO242+AP242+AQ242))&gt;P_Tol),1,0),1))</f>
        <v/>
      </c>
      <c r="BQ242" s="124" t="str">
        <f>IF($B242="","",IFERROR(IF(ABS(AT242)+ABS(AV242)+ABS(AW242)+ABS(AX242)+ABS(AY242)+ABS(AZ242)+ABS(BA242)+ABS(BB242)&gt;0,1,0),1))</f>
        <v/>
      </c>
      <c r="BR242" s="124" t="str">
        <f>IF($B242="","",COUNTIF(STG_ZPMW03!$B$6:$B$505,B242))</f>
        <v/>
      </c>
      <c r="BS242" s="124" t="str">
        <f>IF($B242="","",COUNTIF($B$6:$B$505,B242))</f>
        <v/>
      </c>
      <c r="BT242" s="124" t="str">
        <f>IF($B242="","",IF(BR242=0,0,IF(INDEX(STG_ZPMW03!$I$6:$I$505,MATCH(B242,STG_ZPMW03!$B$6:$B$505,0))=J242&amp;"",0,1)))</f>
        <v/>
      </c>
      <c r="BU242" s="124" t="str">
        <f>IF($B242="","",IFERROR(IF(ABS(INDEX(Mapping!$D$5:$D$104,MATCH(B242,Mapping!$A$5:$A$104,0))-Q242)&gt;P_Tol,1,0),0))</f>
        <v/>
      </c>
      <c r="BV242" s="124" t="str">
        <f>IF($B242="","",IFERROR(IF(AND(INDEX(Mapping!$G$5:$G$104,MATCH(B242,Mapping!$A$5:$A$104,0))="Nee",ABS(Q242)+ABS(Z242)+ABS(AR242)&gt;0),1,0),0))</f>
        <v/>
      </c>
      <c r="BW242" s="124" t="str">
        <f>IF($B242="","",IF(COUNTIF(Mapping!$A$5:$A$104,B242)&gt;0,1,0))</f>
        <v/>
      </c>
      <c r="BX242" s="124" t="str">
        <f>IF($B242="","",IF(BR242=0,COUNTIF($BR$6:BR242,0),""))</f>
        <v/>
      </c>
    </row>
    <row r="243">
      <c r="A243" s="15" t="n">
        <v>239</v>
      </c>
      <c r="B243" t="str">
        <f>IF(B$3=0,"",IF(INDEX(SRC_Woningetalage!$A$1:$ZZ$501,$A243,B$3)&amp;""="","",INDEX(SRC_Woningetalage!$A$1:$ZZ$501,$A243,B$3)&amp;""))</f>
        <v/>
      </c>
      <c r="C243" t="str">
        <f>IF($B243="","",IF(C$3=0,"n.b.",INDEX(SRC_Woningetalage!$A$1:$ZZ$501,$A243,C$3)))</f>
        <v/>
      </c>
      <c r="D243" t="str">
        <f>IF($B243="","",IF(D$3=0,"n.b.",INDEX(SRC_Woningetalage!$A$1:$ZZ$501,$A243,D$3)))</f>
        <v/>
      </c>
      <c r="E243" t="str">
        <f>IF($B243="","",IF(E$3=0,"n.b.",INDEX(SRC_Woningetalage!$A$1:$ZZ$501,$A243,E$3)))</f>
        <v/>
      </c>
      <c r="F243" t="str">
        <f>IF($B243="","",IF(F$3=0,"n.b.",INDEX(SRC_Woningetalage!$A$1:$ZZ$501,$A243,F$3)))</f>
        <v/>
      </c>
      <c r="G243" t="str">
        <f>IF($B243="","",IF(G$3=0,"n.b.",INDEX(SRC_Woningetalage!$A$1:$ZZ$501,$A243,G$3)))</f>
        <v/>
      </c>
      <c r="H243" t="str">
        <f>IF($B243="","",IF(H$3=0,"n.b.",INDEX(SRC_Woningetalage!$A$1:$ZZ$501,$A243,H$3)))</f>
        <v/>
      </c>
      <c r="I243" t="str">
        <f>IF($B243="","",IF(I$3=0,"n.b.",INDEX(SRC_Woningetalage!$A$1:$ZZ$501,$A243,I$3)))</f>
        <v/>
      </c>
      <c r="J243" t="str">
        <f>IF($B243="","",IF(J$3=0,"n.b.",INDEX(SRC_Woningetalage!$A$1:$ZZ$501,$A243,J$3)))</f>
        <v/>
      </c>
      <c r="K243" t="str">
        <f>IF($B243="","",IF(K$3=0,"n.b.",INDEX(SRC_Woningetalage!$A$1:$ZZ$501,$A243,K$3)))</f>
        <v/>
      </c>
      <c r="L243" t="str">
        <f>IF($B243="","",IF(L$3=0,"n.b.",INDEX(SRC_Woningetalage!$A$1:$ZZ$501,$A243,L$3)))</f>
        <v/>
      </c>
      <c r="M243" t="str">
        <f>IF($B243="","",IF(M$3=0,"n.b.",INDEX(SRC_Woningetalage!$A$1:$ZZ$501,$A243,M$3)))</f>
        <v/>
      </c>
      <c r="N243" t="str">
        <f>IF($B243="","",IF(N$3=0,"n.b.",INDEX(SRC_Woningetalage!$A$1:$ZZ$501,$A243,N$3)))</f>
        <v/>
      </c>
      <c r="O243" t="str">
        <f>IF($B243="","",IF(O$3=0,"n.b.",INDEX(SRC_Woningetalage!$A$1:$ZZ$501,$A243,O$3)))</f>
        <v/>
      </c>
      <c r="P243" t="str">
        <f>IF($B243="","",IF(P$3=0,"n.b.",INDEX(SRC_Woningetalage!$A$1:$ZZ$501,$A243,P$3)))</f>
        <v/>
      </c>
      <c r="Q243" s="124" t="str">
        <f>IF($B243="","",IF(Q$3=0,"n.b.",INDEX(SRC_Woningetalage!$A$1:$ZZ$501,$A243,Q$3)))</f>
        <v/>
      </c>
      <c r="R243" s="124" t="str">
        <f>IF($B243="","",IF(R$3=0,"n.b.",INDEX(SRC_Woningetalage!$A$1:$ZZ$501,$A243,R$3)))</f>
        <v/>
      </c>
      <c r="S243" s="124" t="str">
        <f>IF($B243="","",IF(S$3=0,"n.b.",INDEX(SRC_Woningetalage!$A$1:$ZZ$501,$A243,S$3)))</f>
        <v/>
      </c>
      <c r="T243" s="124" t="str">
        <f>IF($B243="","",IF(T$3=0,"n.b.",INDEX(SRC_Woningetalage!$A$1:$ZZ$501,$A243,T$3)))</f>
        <v/>
      </c>
      <c r="U243" s="124" t="str">
        <f>IF($B243="","",IF(U$3=0,"n.b.",INDEX(SRC_Woningetalage!$A$1:$ZZ$501,$A243,U$3)))</f>
        <v/>
      </c>
      <c r="V243" s="124" t="str">
        <f>IF($B243="","",IF(V$3=0,"n.b.",INDEX(SRC_Woningetalage!$A$1:$ZZ$501,$A243,V$3)))</f>
        <v/>
      </c>
      <c r="W243" s="124" t="str">
        <f>IF($B243="","",IF(W$3=0,"n.b.",INDEX(SRC_Woningetalage!$A$1:$ZZ$501,$A243,W$3)))</f>
        <v/>
      </c>
      <c r="X243" s="124" t="str">
        <f>IF($B243="","",IF(X$3=0,"n.b.",INDEX(SRC_Woningetalage!$A$1:$ZZ$501,$A243,X$3)))</f>
        <v/>
      </c>
      <c r="Y243" s="124" t="str">
        <f>IF($B243="","",IF(Y$3=0,"n.b.",INDEX(SRC_Woningetalage!$A$1:$ZZ$501,$A243,Y$3)))</f>
        <v/>
      </c>
      <c r="Z243" s="124" t="str">
        <f>IF($B243="","",IF(Z$3=0,"n.b.",INDEX(SRC_Woningetalage!$A$1:$ZZ$501,$A243,Z$3)))</f>
        <v/>
      </c>
      <c r="AA243" s="124" t="str">
        <f>IF($B243="","",IF(AA$3=0,"n.b.",INDEX(SRC_Woningetalage!$A$1:$ZZ$501,$A243,AA$3)))</f>
        <v/>
      </c>
      <c r="AB243" s="124" t="str">
        <f>IF($B243="","",IF(AB$3=0,"n.b.",INDEX(SRC_Woningetalage!$A$1:$ZZ$501,$A243,AB$3)))</f>
        <v/>
      </c>
      <c r="AC243" s="124" t="str">
        <f>IF($B243="","",IF(AC$3=0,"n.b.",INDEX(SRC_Woningetalage!$A$1:$ZZ$501,$A243,AC$3)))</f>
        <v/>
      </c>
      <c r="AD243" s="124" t="str">
        <f>IF($B243="","",IF(AD$3=0,"n.b.",INDEX(SRC_Woningetalage!$A$1:$ZZ$501,$A243,AD$3)))</f>
        <v/>
      </c>
      <c r="AE243" s="124" t="str">
        <f>IF($B243="","",IF(AE$3=0,"n.b.",INDEX(SRC_Woningetalage!$A$1:$ZZ$501,$A243,AE$3)))</f>
        <v/>
      </c>
      <c r="AF243" s="124" t="str">
        <f>IF($B243="","",IF(AF$3=0,"n.b.",INDEX(SRC_Woningetalage!$A$1:$ZZ$501,$A243,AF$3)))</f>
        <v/>
      </c>
      <c r="AG243" s="124" t="str">
        <f>IF($B243="","",IF(AG$3=0,"n.b.",INDEX(SRC_Woningetalage!$A$1:$ZZ$501,$A243,AG$3)))</f>
        <v/>
      </c>
      <c r="AH243" s="124" t="str">
        <f>IF($B243="","",IF(AH$3=0,"n.b.",INDEX(SRC_Woningetalage!$A$1:$ZZ$501,$A243,AH$3)))</f>
        <v/>
      </c>
      <c r="AI243" s="124" t="str">
        <f>IF($B243="","",IF(AI$3=0,"n.b.",INDEX(SRC_Woningetalage!$A$1:$ZZ$501,$A243,AI$3)))</f>
        <v/>
      </c>
      <c r="AJ243" s="124" t="str">
        <f>IF($B243="","",IF(AJ$3=0,"n.b.",INDEX(SRC_Woningetalage!$A$1:$ZZ$501,$A243,AJ$3)))</f>
        <v/>
      </c>
      <c r="AK243" s="124" t="str">
        <f>IF($B243="","",IF(AK$3=0,"n.b.",INDEX(SRC_Woningetalage!$A$1:$ZZ$501,$A243,AK$3)))</f>
        <v/>
      </c>
      <c r="AL243" s="124" t="str">
        <f>IF($B243="","",IF(AL$3=0,"n.b.",INDEX(SRC_Woningetalage!$A$1:$ZZ$501,$A243,AL$3)))</f>
        <v/>
      </c>
      <c r="AM243" s="124" t="str">
        <f>IF($B243="","",IF(AM$3=0,"n.b.",INDEX(SRC_Woningetalage!$A$1:$ZZ$501,$A243,AM$3)))</f>
        <v/>
      </c>
      <c r="AN243" s="124" t="str">
        <f>IF($B243="","",IF(AN$3=0,"n.b.",INDEX(SRC_Woningetalage!$A$1:$ZZ$501,$A243,AN$3)))</f>
        <v/>
      </c>
      <c r="AO243" s="124" t="str">
        <f>IF($B243="","",IF(AO$3=0,"n.b.",INDEX(SRC_Woningetalage!$A$1:$ZZ$501,$A243,AO$3)))</f>
        <v/>
      </c>
      <c r="AP243" s="124" t="str">
        <f>IF($B243="","",IF(AP$3=0,"n.b.",INDEX(SRC_Woningetalage!$A$1:$ZZ$501,$A243,AP$3)))</f>
        <v/>
      </c>
      <c r="AQ243" s="124" t="str">
        <f>IF($B243="","",IF(AQ$3=0,"n.b.",INDEX(SRC_Woningetalage!$A$1:$ZZ$501,$A243,AQ$3)))</f>
        <v/>
      </c>
      <c r="AR243" s="124" t="str">
        <f>IF($B243="","",IF(AR$3=0,"n.b.",INDEX(SRC_Woningetalage!$A$1:$ZZ$501,$A243,AR$3)))</f>
        <v/>
      </c>
      <c r="AS243" s="124" t="str">
        <f>IF($B243="","",IF(AS$3=0,"n.b.",INDEX(SRC_Woningetalage!$A$1:$ZZ$501,$A243,AS$3)))</f>
        <v/>
      </c>
      <c r="AT243" s="124" t="str">
        <f>IF($B243="","",IF(AT$3=0,"n.b.",INDEX(SRC_Woningetalage!$A$1:$ZZ$501,$A243,AT$3)))</f>
        <v/>
      </c>
      <c r="AU243" s="124" t="str">
        <f>IF($B243="","",IF(AU$3=0,"n.b.",INDEX(SRC_Woningetalage!$A$1:$ZZ$501,$A243,AU$3)))</f>
        <v/>
      </c>
      <c r="AV243" s="124" t="str">
        <f>IF($B243="","",IF(AV$3=0,"n.b.",INDEX(SRC_Woningetalage!$A$1:$ZZ$501,$A243,AV$3)))</f>
        <v/>
      </c>
      <c r="AW243" s="124" t="str">
        <f>IF($B243="","",IF(AW$3=0,"n.b.",INDEX(SRC_Woningetalage!$A$1:$ZZ$501,$A243,AW$3)))</f>
        <v/>
      </c>
      <c r="AX243" s="124" t="str">
        <f>IF($B243="","",IF(AX$3=0,"n.b.",INDEX(SRC_Woningetalage!$A$1:$ZZ$501,$A243,AX$3)))</f>
        <v/>
      </c>
      <c r="AY243" s="124" t="str">
        <f>IF($B243="","",IF(AY$3=0,"n.b.",INDEX(SRC_Woningetalage!$A$1:$ZZ$501,$A243,AY$3)))</f>
        <v/>
      </c>
      <c r="AZ243" s="124" t="str">
        <f>IF($B243="","",IF(AZ$3=0,"n.b.",INDEX(SRC_Woningetalage!$A$1:$ZZ$501,$A243,AZ$3)))</f>
        <v/>
      </c>
      <c r="BA243" s="124" t="str">
        <f>IF($B243="","",IF(BA$3=0,"n.b.",INDEX(SRC_Woningetalage!$A$1:$ZZ$501,$A243,BA$3)))</f>
        <v/>
      </c>
      <c r="BB243" s="124" t="str">
        <f>IF($B243="","",IF(BB$3=0,"n.b.",INDEX(SRC_Woningetalage!$A$1:$ZZ$501,$A243,BB$3)))</f>
        <v/>
      </c>
      <c r="BC243" s="124" t="str">
        <f>IF($B243="","",IFERROR(_xlfn.NUMBERVALUE(E243&amp;"",",","."),"n.b."))</f>
        <v/>
      </c>
      <c r="BD243" s="124" t="str">
        <f>IF($B243="","",IFERROR(_xlfn.NUMBERVALUE(M243&amp;"",",","."),"n.b."))</f>
        <v/>
      </c>
      <c r="BE243" s="124" t="str">
        <f>IF($B243="","",IFERROR(AB243+AC243+AD243,"n.b."))</f>
        <v/>
      </c>
      <c r="BF243" s="124" t="str">
        <f>IF($B243="","",IFERROR(AE243+AF243+AG243,"n.b."))</f>
        <v/>
      </c>
      <c r="BG243" s="124" t="str">
        <f>IF($B243="","",IFERROR(AH243+AI243+AJ243,"n.b."))</f>
        <v/>
      </c>
      <c r="BH243" s="124" t="str">
        <f>IF($B243="","",IFERROR(AK243+AL243+AM243,"n.b."))</f>
        <v/>
      </c>
      <c r="BI243" s="124" t="str">
        <f>IF($B243="","",IFERROR(SUMIF($AB$5:$AM$5,"&lt;="&amp;P_PeilMaand,AB243:AM243),"n.b."))</f>
        <v/>
      </c>
      <c r="BJ243" s="124" t="str">
        <f>IF($B243="","",IFERROR(SUM(AB243:AM243)-BI243,"n.b."))</f>
        <v/>
      </c>
      <c r="BK243" s="124" t="str">
        <f>IF($B243="","",IFERROR(IF(ABS(Q243-(T243+SUM(AB243:AM243)+AS243+AU243))&gt;P_Tol,1,0),1))</f>
        <v/>
      </c>
      <c r="BL243" s="124" t="str">
        <f>IF($B243="","",IFERROR(IF(ABS(AA243-(Q243-Z243))&gt;P_Tol,1,0),1))</f>
        <v/>
      </c>
      <c r="BM243" s="124" t="str">
        <f>IF($B243="","",IFERROR(IF(ABS(Z243-(T243+W243))&gt;P_Tol,1,0),1))</f>
        <v/>
      </c>
      <c r="BN243" s="124" t="str">
        <f>IF($B243="","",IFERROR(IF(ABS(W243-BI243)&gt;P_Tol,1,0),1))</f>
        <v/>
      </c>
      <c r="BO243" s="124" t="str">
        <f>IF($B243="","",IFERROR(IF(OR(ABS(R243+S243-T243)&gt;P_Tol,ABS(U243+V243-W243)&gt;P_Tol,ABS(X243+Y243-Z243)&gt;P_Tol),1,0),1))</f>
        <v/>
      </c>
      <c r="BP243" s="124" t="str">
        <f>IF($B243="","",IFERROR(IF(OR(ABS(AR243-SUM(AB243:AM243))&gt;P_Tol,ABS(AS243-(AN243+AO243+AP243+AQ243))&gt;P_Tol),1,0),1))</f>
        <v/>
      </c>
      <c r="BQ243" s="124" t="str">
        <f>IF($B243="","",IFERROR(IF(ABS(AT243)+ABS(AV243)+ABS(AW243)+ABS(AX243)+ABS(AY243)+ABS(AZ243)+ABS(BA243)+ABS(BB243)&gt;0,1,0),1))</f>
        <v/>
      </c>
      <c r="BR243" s="124" t="str">
        <f>IF($B243="","",COUNTIF(STG_ZPMW03!$B$6:$B$505,B243))</f>
        <v/>
      </c>
      <c r="BS243" s="124" t="str">
        <f>IF($B243="","",COUNTIF($B$6:$B$505,B243))</f>
        <v/>
      </c>
      <c r="BT243" s="124" t="str">
        <f>IF($B243="","",IF(BR243=0,0,IF(INDEX(STG_ZPMW03!$I$6:$I$505,MATCH(B243,STG_ZPMW03!$B$6:$B$505,0))=J243&amp;"",0,1)))</f>
        <v/>
      </c>
      <c r="BU243" s="124" t="str">
        <f>IF($B243="","",IFERROR(IF(ABS(INDEX(Mapping!$D$5:$D$104,MATCH(B243,Mapping!$A$5:$A$104,0))-Q243)&gt;P_Tol,1,0),0))</f>
        <v/>
      </c>
      <c r="BV243" s="124" t="str">
        <f>IF($B243="","",IFERROR(IF(AND(INDEX(Mapping!$G$5:$G$104,MATCH(B243,Mapping!$A$5:$A$104,0))="Nee",ABS(Q243)+ABS(Z243)+ABS(AR243)&gt;0),1,0),0))</f>
        <v/>
      </c>
      <c r="BW243" s="124" t="str">
        <f>IF($B243="","",IF(COUNTIF(Mapping!$A$5:$A$104,B243)&gt;0,1,0))</f>
        <v/>
      </c>
      <c r="BX243" s="124" t="str">
        <f>IF($B243="","",IF(BR243=0,COUNTIF($BR$6:BR243,0),""))</f>
        <v/>
      </c>
    </row>
    <row r="244">
      <c r="A244" s="15" t="n">
        <v>240</v>
      </c>
      <c r="B244" t="str">
        <f>IF(B$3=0,"",IF(INDEX(SRC_Woningetalage!$A$1:$ZZ$501,$A244,B$3)&amp;""="","",INDEX(SRC_Woningetalage!$A$1:$ZZ$501,$A244,B$3)&amp;""))</f>
        <v/>
      </c>
      <c r="C244" t="str">
        <f>IF($B244="","",IF(C$3=0,"n.b.",INDEX(SRC_Woningetalage!$A$1:$ZZ$501,$A244,C$3)))</f>
        <v/>
      </c>
      <c r="D244" t="str">
        <f>IF($B244="","",IF(D$3=0,"n.b.",INDEX(SRC_Woningetalage!$A$1:$ZZ$501,$A244,D$3)))</f>
        <v/>
      </c>
      <c r="E244" t="str">
        <f>IF($B244="","",IF(E$3=0,"n.b.",INDEX(SRC_Woningetalage!$A$1:$ZZ$501,$A244,E$3)))</f>
        <v/>
      </c>
      <c r="F244" t="str">
        <f>IF($B244="","",IF(F$3=0,"n.b.",INDEX(SRC_Woningetalage!$A$1:$ZZ$501,$A244,F$3)))</f>
        <v/>
      </c>
      <c r="G244" t="str">
        <f>IF($B244="","",IF(G$3=0,"n.b.",INDEX(SRC_Woningetalage!$A$1:$ZZ$501,$A244,G$3)))</f>
        <v/>
      </c>
      <c r="H244" t="str">
        <f>IF($B244="","",IF(H$3=0,"n.b.",INDEX(SRC_Woningetalage!$A$1:$ZZ$501,$A244,H$3)))</f>
        <v/>
      </c>
      <c r="I244" t="str">
        <f>IF($B244="","",IF(I$3=0,"n.b.",INDEX(SRC_Woningetalage!$A$1:$ZZ$501,$A244,I$3)))</f>
        <v/>
      </c>
      <c r="J244" t="str">
        <f>IF($B244="","",IF(J$3=0,"n.b.",INDEX(SRC_Woningetalage!$A$1:$ZZ$501,$A244,J$3)))</f>
        <v/>
      </c>
      <c r="K244" t="str">
        <f>IF($B244="","",IF(K$3=0,"n.b.",INDEX(SRC_Woningetalage!$A$1:$ZZ$501,$A244,K$3)))</f>
        <v/>
      </c>
      <c r="L244" t="str">
        <f>IF($B244="","",IF(L$3=0,"n.b.",INDEX(SRC_Woningetalage!$A$1:$ZZ$501,$A244,L$3)))</f>
        <v/>
      </c>
      <c r="M244" t="str">
        <f>IF($B244="","",IF(M$3=0,"n.b.",INDEX(SRC_Woningetalage!$A$1:$ZZ$501,$A244,M$3)))</f>
        <v/>
      </c>
      <c r="N244" t="str">
        <f>IF($B244="","",IF(N$3=0,"n.b.",INDEX(SRC_Woningetalage!$A$1:$ZZ$501,$A244,N$3)))</f>
        <v/>
      </c>
      <c r="O244" t="str">
        <f>IF($B244="","",IF(O$3=0,"n.b.",INDEX(SRC_Woningetalage!$A$1:$ZZ$501,$A244,O$3)))</f>
        <v/>
      </c>
      <c r="P244" t="str">
        <f>IF($B244="","",IF(P$3=0,"n.b.",INDEX(SRC_Woningetalage!$A$1:$ZZ$501,$A244,P$3)))</f>
        <v/>
      </c>
      <c r="Q244" s="124" t="str">
        <f>IF($B244="","",IF(Q$3=0,"n.b.",INDEX(SRC_Woningetalage!$A$1:$ZZ$501,$A244,Q$3)))</f>
        <v/>
      </c>
      <c r="R244" s="124" t="str">
        <f>IF($B244="","",IF(R$3=0,"n.b.",INDEX(SRC_Woningetalage!$A$1:$ZZ$501,$A244,R$3)))</f>
        <v/>
      </c>
      <c r="S244" s="124" t="str">
        <f>IF($B244="","",IF(S$3=0,"n.b.",INDEX(SRC_Woningetalage!$A$1:$ZZ$501,$A244,S$3)))</f>
        <v/>
      </c>
      <c r="T244" s="124" t="str">
        <f>IF($B244="","",IF(T$3=0,"n.b.",INDEX(SRC_Woningetalage!$A$1:$ZZ$501,$A244,T$3)))</f>
        <v/>
      </c>
      <c r="U244" s="124" t="str">
        <f>IF($B244="","",IF(U$3=0,"n.b.",INDEX(SRC_Woningetalage!$A$1:$ZZ$501,$A244,U$3)))</f>
        <v/>
      </c>
      <c r="V244" s="124" t="str">
        <f>IF($B244="","",IF(V$3=0,"n.b.",INDEX(SRC_Woningetalage!$A$1:$ZZ$501,$A244,V$3)))</f>
        <v/>
      </c>
      <c r="W244" s="124" t="str">
        <f>IF($B244="","",IF(W$3=0,"n.b.",INDEX(SRC_Woningetalage!$A$1:$ZZ$501,$A244,W$3)))</f>
        <v/>
      </c>
      <c r="X244" s="124" t="str">
        <f>IF($B244="","",IF(X$3=0,"n.b.",INDEX(SRC_Woningetalage!$A$1:$ZZ$501,$A244,X$3)))</f>
        <v/>
      </c>
      <c r="Y244" s="124" t="str">
        <f>IF($B244="","",IF(Y$3=0,"n.b.",INDEX(SRC_Woningetalage!$A$1:$ZZ$501,$A244,Y$3)))</f>
        <v/>
      </c>
      <c r="Z244" s="124" t="str">
        <f>IF($B244="","",IF(Z$3=0,"n.b.",INDEX(SRC_Woningetalage!$A$1:$ZZ$501,$A244,Z$3)))</f>
        <v/>
      </c>
      <c r="AA244" s="124" t="str">
        <f>IF($B244="","",IF(AA$3=0,"n.b.",INDEX(SRC_Woningetalage!$A$1:$ZZ$501,$A244,AA$3)))</f>
        <v/>
      </c>
      <c r="AB244" s="124" t="str">
        <f>IF($B244="","",IF(AB$3=0,"n.b.",INDEX(SRC_Woningetalage!$A$1:$ZZ$501,$A244,AB$3)))</f>
        <v/>
      </c>
      <c r="AC244" s="124" t="str">
        <f>IF($B244="","",IF(AC$3=0,"n.b.",INDEX(SRC_Woningetalage!$A$1:$ZZ$501,$A244,AC$3)))</f>
        <v/>
      </c>
      <c r="AD244" s="124" t="str">
        <f>IF($B244="","",IF(AD$3=0,"n.b.",INDEX(SRC_Woningetalage!$A$1:$ZZ$501,$A244,AD$3)))</f>
        <v/>
      </c>
      <c r="AE244" s="124" t="str">
        <f>IF($B244="","",IF(AE$3=0,"n.b.",INDEX(SRC_Woningetalage!$A$1:$ZZ$501,$A244,AE$3)))</f>
        <v/>
      </c>
      <c r="AF244" s="124" t="str">
        <f>IF($B244="","",IF(AF$3=0,"n.b.",INDEX(SRC_Woningetalage!$A$1:$ZZ$501,$A244,AF$3)))</f>
        <v/>
      </c>
      <c r="AG244" s="124" t="str">
        <f>IF($B244="","",IF(AG$3=0,"n.b.",INDEX(SRC_Woningetalage!$A$1:$ZZ$501,$A244,AG$3)))</f>
        <v/>
      </c>
      <c r="AH244" s="124" t="str">
        <f>IF($B244="","",IF(AH$3=0,"n.b.",INDEX(SRC_Woningetalage!$A$1:$ZZ$501,$A244,AH$3)))</f>
        <v/>
      </c>
      <c r="AI244" s="124" t="str">
        <f>IF($B244="","",IF(AI$3=0,"n.b.",INDEX(SRC_Woningetalage!$A$1:$ZZ$501,$A244,AI$3)))</f>
        <v/>
      </c>
      <c r="AJ244" s="124" t="str">
        <f>IF($B244="","",IF(AJ$3=0,"n.b.",INDEX(SRC_Woningetalage!$A$1:$ZZ$501,$A244,AJ$3)))</f>
        <v/>
      </c>
      <c r="AK244" s="124" t="str">
        <f>IF($B244="","",IF(AK$3=0,"n.b.",INDEX(SRC_Woningetalage!$A$1:$ZZ$501,$A244,AK$3)))</f>
        <v/>
      </c>
      <c r="AL244" s="124" t="str">
        <f>IF($B244="","",IF(AL$3=0,"n.b.",INDEX(SRC_Woningetalage!$A$1:$ZZ$501,$A244,AL$3)))</f>
        <v/>
      </c>
      <c r="AM244" s="124" t="str">
        <f>IF($B244="","",IF(AM$3=0,"n.b.",INDEX(SRC_Woningetalage!$A$1:$ZZ$501,$A244,AM$3)))</f>
        <v/>
      </c>
      <c r="AN244" s="124" t="str">
        <f>IF($B244="","",IF(AN$3=0,"n.b.",INDEX(SRC_Woningetalage!$A$1:$ZZ$501,$A244,AN$3)))</f>
        <v/>
      </c>
      <c r="AO244" s="124" t="str">
        <f>IF($B244="","",IF(AO$3=0,"n.b.",INDEX(SRC_Woningetalage!$A$1:$ZZ$501,$A244,AO$3)))</f>
        <v/>
      </c>
      <c r="AP244" s="124" t="str">
        <f>IF($B244="","",IF(AP$3=0,"n.b.",INDEX(SRC_Woningetalage!$A$1:$ZZ$501,$A244,AP$3)))</f>
        <v/>
      </c>
      <c r="AQ244" s="124" t="str">
        <f>IF($B244="","",IF(AQ$3=0,"n.b.",INDEX(SRC_Woningetalage!$A$1:$ZZ$501,$A244,AQ$3)))</f>
        <v/>
      </c>
      <c r="AR244" s="124" t="str">
        <f>IF($B244="","",IF(AR$3=0,"n.b.",INDEX(SRC_Woningetalage!$A$1:$ZZ$501,$A244,AR$3)))</f>
        <v/>
      </c>
      <c r="AS244" s="124" t="str">
        <f>IF($B244="","",IF(AS$3=0,"n.b.",INDEX(SRC_Woningetalage!$A$1:$ZZ$501,$A244,AS$3)))</f>
        <v/>
      </c>
      <c r="AT244" s="124" t="str">
        <f>IF($B244="","",IF(AT$3=0,"n.b.",INDEX(SRC_Woningetalage!$A$1:$ZZ$501,$A244,AT$3)))</f>
        <v/>
      </c>
      <c r="AU244" s="124" t="str">
        <f>IF($B244="","",IF(AU$3=0,"n.b.",INDEX(SRC_Woningetalage!$A$1:$ZZ$501,$A244,AU$3)))</f>
        <v/>
      </c>
      <c r="AV244" s="124" t="str">
        <f>IF($B244="","",IF(AV$3=0,"n.b.",INDEX(SRC_Woningetalage!$A$1:$ZZ$501,$A244,AV$3)))</f>
        <v/>
      </c>
      <c r="AW244" s="124" t="str">
        <f>IF($B244="","",IF(AW$3=0,"n.b.",INDEX(SRC_Woningetalage!$A$1:$ZZ$501,$A244,AW$3)))</f>
        <v/>
      </c>
      <c r="AX244" s="124" t="str">
        <f>IF($B244="","",IF(AX$3=0,"n.b.",INDEX(SRC_Woningetalage!$A$1:$ZZ$501,$A244,AX$3)))</f>
        <v/>
      </c>
      <c r="AY244" s="124" t="str">
        <f>IF($B244="","",IF(AY$3=0,"n.b.",INDEX(SRC_Woningetalage!$A$1:$ZZ$501,$A244,AY$3)))</f>
        <v/>
      </c>
      <c r="AZ244" s="124" t="str">
        <f>IF($B244="","",IF(AZ$3=0,"n.b.",INDEX(SRC_Woningetalage!$A$1:$ZZ$501,$A244,AZ$3)))</f>
        <v/>
      </c>
      <c r="BA244" s="124" t="str">
        <f>IF($B244="","",IF(BA$3=0,"n.b.",INDEX(SRC_Woningetalage!$A$1:$ZZ$501,$A244,BA$3)))</f>
        <v/>
      </c>
      <c r="BB244" s="124" t="str">
        <f>IF($B244="","",IF(BB$3=0,"n.b.",INDEX(SRC_Woningetalage!$A$1:$ZZ$501,$A244,BB$3)))</f>
        <v/>
      </c>
      <c r="BC244" s="124" t="str">
        <f>IF($B244="","",IFERROR(_xlfn.NUMBERVALUE(E244&amp;"",",","."),"n.b."))</f>
        <v/>
      </c>
      <c r="BD244" s="124" t="str">
        <f>IF($B244="","",IFERROR(_xlfn.NUMBERVALUE(M244&amp;"",",","."),"n.b."))</f>
        <v/>
      </c>
      <c r="BE244" s="124" t="str">
        <f>IF($B244="","",IFERROR(AB244+AC244+AD244,"n.b."))</f>
        <v/>
      </c>
      <c r="BF244" s="124" t="str">
        <f>IF($B244="","",IFERROR(AE244+AF244+AG244,"n.b."))</f>
        <v/>
      </c>
      <c r="BG244" s="124" t="str">
        <f>IF($B244="","",IFERROR(AH244+AI244+AJ244,"n.b."))</f>
        <v/>
      </c>
      <c r="BH244" s="124" t="str">
        <f>IF($B244="","",IFERROR(AK244+AL244+AM244,"n.b."))</f>
        <v/>
      </c>
      <c r="BI244" s="124" t="str">
        <f>IF($B244="","",IFERROR(SUMIF($AB$5:$AM$5,"&lt;="&amp;P_PeilMaand,AB244:AM244),"n.b."))</f>
        <v/>
      </c>
      <c r="BJ244" s="124" t="str">
        <f>IF($B244="","",IFERROR(SUM(AB244:AM244)-BI244,"n.b."))</f>
        <v/>
      </c>
      <c r="BK244" s="124" t="str">
        <f>IF($B244="","",IFERROR(IF(ABS(Q244-(T244+SUM(AB244:AM244)+AS244+AU244))&gt;P_Tol,1,0),1))</f>
        <v/>
      </c>
      <c r="BL244" s="124" t="str">
        <f>IF($B244="","",IFERROR(IF(ABS(AA244-(Q244-Z244))&gt;P_Tol,1,0),1))</f>
        <v/>
      </c>
      <c r="BM244" s="124" t="str">
        <f>IF($B244="","",IFERROR(IF(ABS(Z244-(T244+W244))&gt;P_Tol,1,0),1))</f>
        <v/>
      </c>
      <c r="BN244" s="124" t="str">
        <f>IF($B244="","",IFERROR(IF(ABS(W244-BI244)&gt;P_Tol,1,0),1))</f>
        <v/>
      </c>
      <c r="BO244" s="124" t="str">
        <f>IF($B244="","",IFERROR(IF(OR(ABS(R244+S244-T244)&gt;P_Tol,ABS(U244+V244-W244)&gt;P_Tol,ABS(X244+Y244-Z244)&gt;P_Tol),1,0),1))</f>
        <v/>
      </c>
      <c r="BP244" s="124" t="str">
        <f>IF($B244="","",IFERROR(IF(OR(ABS(AR244-SUM(AB244:AM244))&gt;P_Tol,ABS(AS244-(AN244+AO244+AP244+AQ244))&gt;P_Tol),1,0),1))</f>
        <v/>
      </c>
      <c r="BQ244" s="124" t="str">
        <f>IF($B244="","",IFERROR(IF(ABS(AT244)+ABS(AV244)+ABS(AW244)+ABS(AX244)+ABS(AY244)+ABS(AZ244)+ABS(BA244)+ABS(BB244)&gt;0,1,0),1))</f>
        <v/>
      </c>
      <c r="BR244" s="124" t="str">
        <f>IF($B244="","",COUNTIF(STG_ZPMW03!$B$6:$B$505,B244))</f>
        <v/>
      </c>
      <c r="BS244" s="124" t="str">
        <f>IF($B244="","",COUNTIF($B$6:$B$505,B244))</f>
        <v/>
      </c>
      <c r="BT244" s="124" t="str">
        <f>IF($B244="","",IF(BR244=0,0,IF(INDEX(STG_ZPMW03!$I$6:$I$505,MATCH(B244,STG_ZPMW03!$B$6:$B$505,0))=J244&amp;"",0,1)))</f>
        <v/>
      </c>
      <c r="BU244" s="124" t="str">
        <f>IF($B244="","",IFERROR(IF(ABS(INDEX(Mapping!$D$5:$D$104,MATCH(B244,Mapping!$A$5:$A$104,0))-Q244)&gt;P_Tol,1,0),0))</f>
        <v/>
      </c>
      <c r="BV244" s="124" t="str">
        <f>IF($B244="","",IFERROR(IF(AND(INDEX(Mapping!$G$5:$G$104,MATCH(B244,Mapping!$A$5:$A$104,0))="Nee",ABS(Q244)+ABS(Z244)+ABS(AR244)&gt;0),1,0),0))</f>
        <v/>
      </c>
      <c r="BW244" s="124" t="str">
        <f>IF($B244="","",IF(COUNTIF(Mapping!$A$5:$A$104,B244)&gt;0,1,0))</f>
        <v/>
      </c>
      <c r="BX244" s="124" t="str">
        <f>IF($B244="","",IF(BR244=0,COUNTIF($BR$6:BR244,0),""))</f>
        <v/>
      </c>
    </row>
    <row r="245">
      <c r="A245" s="15" t="n">
        <v>241</v>
      </c>
      <c r="B245" t="str">
        <f>IF(B$3=0,"",IF(INDEX(SRC_Woningetalage!$A$1:$ZZ$501,$A245,B$3)&amp;""="","",INDEX(SRC_Woningetalage!$A$1:$ZZ$501,$A245,B$3)&amp;""))</f>
        <v/>
      </c>
      <c r="C245" t="str">
        <f>IF($B245="","",IF(C$3=0,"n.b.",INDEX(SRC_Woningetalage!$A$1:$ZZ$501,$A245,C$3)))</f>
        <v/>
      </c>
      <c r="D245" t="str">
        <f>IF($B245="","",IF(D$3=0,"n.b.",INDEX(SRC_Woningetalage!$A$1:$ZZ$501,$A245,D$3)))</f>
        <v/>
      </c>
      <c r="E245" t="str">
        <f>IF($B245="","",IF(E$3=0,"n.b.",INDEX(SRC_Woningetalage!$A$1:$ZZ$501,$A245,E$3)))</f>
        <v/>
      </c>
      <c r="F245" t="str">
        <f>IF($B245="","",IF(F$3=0,"n.b.",INDEX(SRC_Woningetalage!$A$1:$ZZ$501,$A245,F$3)))</f>
        <v/>
      </c>
      <c r="G245" t="str">
        <f>IF($B245="","",IF(G$3=0,"n.b.",INDEX(SRC_Woningetalage!$A$1:$ZZ$501,$A245,G$3)))</f>
        <v/>
      </c>
      <c r="H245" t="str">
        <f>IF($B245="","",IF(H$3=0,"n.b.",INDEX(SRC_Woningetalage!$A$1:$ZZ$501,$A245,H$3)))</f>
        <v/>
      </c>
      <c r="I245" t="str">
        <f>IF($B245="","",IF(I$3=0,"n.b.",INDEX(SRC_Woningetalage!$A$1:$ZZ$501,$A245,I$3)))</f>
        <v/>
      </c>
      <c r="J245" t="str">
        <f>IF($B245="","",IF(J$3=0,"n.b.",INDEX(SRC_Woningetalage!$A$1:$ZZ$501,$A245,J$3)))</f>
        <v/>
      </c>
      <c r="K245" t="str">
        <f>IF($B245="","",IF(K$3=0,"n.b.",INDEX(SRC_Woningetalage!$A$1:$ZZ$501,$A245,K$3)))</f>
        <v/>
      </c>
      <c r="L245" t="str">
        <f>IF($B245="","",IF(L$3=0,"n.b.",INDEX(SRC_Woningetalage!$A$1:$ZZ$501,$A245,L$3)))</f>
        <v/>
      </c>
      <c r="M245" t="str">
        <f>IF($B245="","",IF(M$3=0,"n.b.",INDEX(SRC_Woningetalage!$A$1:$ZZ$501,$A245,M$3)))</f>
        <v/>
      </c>
      <c r="N245" t="str">
        <f>IF($B245="","",IF(N$3=0,"n.b.",INDEX(SRC_Woningetalage!$A$1:$ZZ$501,$A245,N$3)))</f>
        <v/>
      </c>
      <c r="O245" t="str">
        <f>IF($B245="","",IF(O$3=0,"n.b.",INDEX(SRC_Woningetalage!$A$1:$ZZ$501,$A245,O$3)))</f>
        <v/>
      </c>
      <c r="P245" t="str">
        <f>IF($B245="","",IF(P$3=0,"n.b.",INDEX(SRC_Woningetalage!$A$1:$ZZ$501,$A245,P$3)))</f>
        <v/>
      </c>
      <c r="Q245" s="124" t="str">
        <f>IF($B245="","",IF(Q$3=0,"n.b.",INDEX(SRC_Woningetalage!$A$1:$ZZ$501,$A245,Q$3)))</f>
        <v/>
      </c>
      <c r="R245" s="124" t="str">
        <f>IF($B245="","",IF(R$3=0,"n.b.",INDEX(SRC_Woningetalage!$A$1:$ZZ$501,$A245,R$3)))</f>
        <v/>
      </c>
      <c r="S245" s="124" t="str">
        <f>IF($B245="","",IF(S$3=0,"n.b.",INDEX(SRC_Woningetalage!$A$1:$ZZ$501,$A245,S$3)))</f>
        <v/>
      </c>
      <c r="T245" s="124" t="str">
        <f>IF($B245="","",IF(T$3=0,"n.b.",INDEX(SRC_Woningetalage!$A$1:$ZZ$501,$A245,T$3)))</f>
        <v/>
      </c>
      <c r="U245" s="124" t="str">
        <f>IF($B245="","",IF(U$3=0,"n.b.",INDEX(SRC_Woningetalage!$A$1:$ZZ$501,$A245,U$3)))</f>
        <v/>
      </c>
      <c r="V245" s="124" t="str">
        <f>IF($B245="","",IF(V$3=0,"n.b.",INDEX(SRC_Woningetalage!$A$1:$ZZ$501,$A245,V$3)))</f>
        <v/>
      </c>
      <c r="W245" s="124" t="str">
        <f>IF($B245="","",IF(W$3=0,"n.b.",INDEX(SRC_Woningetalage!$A$1:$ZZ$501,$A245,W$3)))</f>
        <v/>
      </c>
      <c r="X245" s="124" t="str">
        <f>IF($B245="","",IF(X$3=0,"n.b.",INDEX(SRC_Woningetalage!$A$1:$ZZ$501,$A245,X$3)))</f>
        <v/>
      </c>
      <c r="Y245" s="124" t="str">
        <f>IF($B245="","",IF(Y$3=0,"n.b.",INDEX(SRC_Woningetalage!$A$1:$ZZ$501,$A245,Y$3)))</f>
        <v/>
      </c>
      <c r="Z245" s="124" t="str">
        <f>IF($B245="","",IF(Z$3=0,"n.b.",INDEX(SRC_Woningetalage!$A$1:$ZZ$501,$A245,Z$3)))</f>
        <v/>
      </c>
      <c r="AA245" s="124" t="str">
        <f>IF($B245="","",IF(AA$3=0,"n.b.",INDEX(SRC_Woningetalage!$A$1:$ZZ$501,$A245,AA$3)))</f>
        <v/>
      </c>
      <c r="AB245" s="124" t="str">
        <f>IF($B245="","",IF(AB$3=0,"n.b.",INDEX(SRC_Woningetalage!$A$1:$ZZ$501,$A245,AB$3)))</f>
        <v/>
      </c>
      <c r="AC245" s="124" t="str">
        <f>IF($B245="","",IF(AC$3=0,"n.b.",INDEX(SRC_Woningetalage!$A$1:$ZZ$501,$A245,AC$3)))</f>
        <v/>
      </c>
      <c r="AD245" s="124" t="str">
        <f>IF($B245="","",IF(AD$3=0,"n.b.",INDEX(SRC_Woningetalage!$A$1:$ZZ$501,$A245,AD$3)))</f>
        <v/>
      </c>
      <c r="AE245" s="124" t="str">
        <f>IF($B245="","",IF(AE$3=0,"n.b.",INDEX(SRC_Woningetalage!$A$1:$ZZ$501,$A245,AE$3)))</f>
        <v/>
      </c>
      <c r="AF245" s="124" t="str">
        <f>IF($B245="","",IF(AF$3=0,"n.b.",INDEX(SRC_Woningetalage!$A$1:$ZZ$501,$A245,AF$3)))</f>
        <v/>
      </c>
      <c r="AG245" s="124" t="str">
        <f>IF($B245="","",IF(AG$3=0,"n.b.",INDEX(SRC_Woningetalage!$A$1:$ZZ$501,$A245,AG$3)))</f>
        <v/>
      </c>
      <c r="AH245" s="124" t="str">
        <f>IF($B245="","",IF(AH$3=0,"n.b.",INDEX(SRC_Woningetalage!$A$1:$ZZ$501,$A245,AH$3)))</f>
        <v/>
      </c>
      <c r="AI245" s="124" t="str">
        <f>IF($B245="","",IF(AI$3=0,"n.b.",INDEX(SRC_Woningetalage!$A$1:$ZZ$501,$A245,AI$3)))</f>
        <v/>
      </c>
      <c r="AJ245" s="124" t="str">
        <f>IF($B245="","",IF(AJ$3=0,"n.b.",INDEX(SRC_Woningetalage!$A$1:$ZZ$501,$A245,AJ$3)))</f>
        <v/>
      </c>
      <c r="AK245" s="124" t="str">
        <f>IF($B245="","",IF(AK$3=0,"n.b.",INDEX(SRC_Woningetalage!$A$1:$ZZ$501,$A245,AK$3)))</f>
        <v/>
      </c>
      <c r="AL245" s="124" t="str">
        <f>IF($B245="","",IF(AL$3=0,"n.b.",INDEX(SRC_Woningetalage!$A$1:$ZZ$501,$A245,AL$3)))</f>
        <v/>
      </c>
      <c r="AM245" s="124" t="str">
        <f>IF($B245="","",IF(AM$3=0,"n.b.",INDEX(SRC_Woningetalage!$A$1:$ZZ$501,$A245,AM$3)))</f>
        <v/>
      </c>
      <c r="AN245" s="124" t="str">
        <f>IF($B245="","",IF(AN$3=0,"n.b.",INDEX(SRC_Woningetalage!$A$1:$ZZ$501,$A245,AN$3)))</f>
        <v/>
      </c>
      <c r="AO245" s="124" t="str">
        <f>IF($B245="","",IF(AO$3=0,"n.b.",INDEX(SRC_Woningetalage!$A$1:$ZZ$501,$A245,AO$3)))</f>
        <v/>
      </c>
      <c r="AP245" s="124" t="str">
        <f>IF($B245="","",IF(AP$3=0,"n.b.",INDEX(SRC_Woningetalage!$A$1:$ZZ$501,$A245,AP$3)))</f>
        <v/>
      </c>
      <c r="AQ245" s="124" t="str">
        <f>IF($B245="","",IF(AQ$3=0,"n.b.",INDEX(SRC_Woningetalage!$A$1:$ZZ$501,$A245,AQ$3)))</f>
        <v/>
      </c>
      <c r="AR245" s="124" t="str">
        <f>IF($B245="","",IF(AR$3=0,"n.b.",INDEX(SRC_Woningetalage!$A$1:$ZZ$501,$A245,AR$3)))</f>
        <v/>
      </c>
      <c r="AS245" s="124" t="str">
        <f>IF($B245="","",IF(AS$3=0,"n.b.",INDEX(SRC_Woningetalage!$A$1:$ZZ$501,$A245,AS$3)))</f>
        <v/>
      </c>
      <c r="AT245" s="124" t="str">
        <f>IF($B245="","",IF(AT$3=0,"n.b.",INDEX(SRC_Woningetalage!$A$1:$ZZ$501,$A245,AT$3)))</f>
        <v/>
      </c>
      <c r="AU245" s="124" t="str">
        <f>IF($B245="","",IF(AU$3=0,"n.b.",INDEX(SRC_Woningetalage!$A$1:$ZZ$501,$A245,AU$3)))</f>
        <v/>
      </c>
      <c r="AV245" s="124" t="str">
        <f>IF($B245="","",IF(AV$3=0,"n.b.",INDEX(SRC_Woningetalage!$A$1:$ZZ$501,$A245,AV$3)))</f>
        <v/>
      </c>
      <c r="AW245" s="124" t="str">
        <f>IF($B245="","",IF(AW$3=0,"n.b.",INDEX(SRC_Woningetalage!$A$1:$ZZ$501,$A245,AW$3)))</f>
        <v/>
      </c>
      <c r="AX245" s="124" t="str">
        <f>IF($B245="","",IF(AX$3=0,"n.b.",INDEX(SRC_Woningetalage!$A$1:$ZZ$501,$A245,AX$3)))</f>
        <v/>
      </c>
      <c r="AY245" s="124" t="str">
        <f>IF($B245="","",IF(AY$3=0,"n.b.",INDEX(SRC_Woningetalage!$A$1:$ZZ$501,$A245,AY$3)))</f>
        <v/>
      </c>
      <c r="AZ245" s="124" t="str">
        <f>IF($B245="","",IF(AZ$3=0,"n.b.",INDEX(SRC_Woningetalage!$A$1:$ZZ$501,$A245,AZ$3)))</f>
        <v/>
      </c>
      <c r="BA245" s="124" t="str">
        <f>IF($B245="","",IF(BA$3=0,"n.b.",INDEX(SRC_Woningetalage!$A$1:$ZZ$501,$A245,BA$3)))</f>
        <v/>
      </c>
      <c r="BB245" s="124" t="str">
        <f>IF($B245="","",IF(BB$3=0,"n.b.",INDEX(SRC_Woningetalage!$A$1:$ZZ$501,$A245,BB$3)))</f>
        <v/>
      </c>
      <c r="BC245" s="124" t="str">
        <f>IF($B245="","",IFERROR(_xlfn.NUMBERVALUE(E245&amp;"",",","."),"n.b."))</f>
        <v/>
      </c>
      <c r="BD245" s="124" t="str">
        <f>IF($B245="","",IFERROR(_xlfn.NUMBERVALUE(M245&amp;"",",","."),"n.b."))</f>
        <v/>
      </c>
      <c r="BE245" s="124" t="str">
        <f>IF($B245="","",IFERROR(AB245+AC245+AD245,"n.b."))</f>
        <v/>
      </c>
      <c r="BF245" s="124" t="str">
        <f>IF($B245="","",IFERROR(AE245+AF245+AG245,"n.b."))</f>
        <v/>
      </c>
      <c r="BG245" s="124" t="str">
        <f>IF($B245="","",IFERROR(AH245+AI245+AJ245,"n.b."))</f>
        <v/>
      </c>
      <c r="BH245" s="124" t="str">
        <f>IF($B245="","",IFERROR(AK245+AL245+AM245,"n.b."))</f>
        <v/>
      </c>
      <c r="BI245" s="124" t="str">
        <f>IF($B245="","",IFERROR(SUMIF($AB$5:$AM$5,"&lt;="&amp;P_PeilMaand,AB245:AM245),"n.b."))</f>
        <v/>
      </c>
      <c r="BJ245" s="124" t="str">
        <f>IF($B245="","",IFERROR(SUM(AB245:AM245)-BI245,"n.b."))</f>
        <v/>
      </c>
      <c r="BK245" s="124" t="str">
        <f>IF($B245="","",IFERROR(IF(ABS(Q245-(T245+SUM(AB245:AM245)+AS245+AU245))&gt;P_Tol,1,0),1))</f>
        <v/>
      </c>
      <c r="BL245" s="124" t="str">
        <f>IF($B245="","",IFERROR(IF(ABS(AA245-(Q245-Z245))&gt;P_Tol,1,0),1))</f>
        <v/>
      </c>
      <c r="BM245" s="124" t="str">
        <f>IF($B245="","",IFERROR(IF(ABS(Z245-(T245+W245))&gt;P_Tol,1,0),1))</f>
        <v/>
      </c>
      <c r="BN245" s="124" t="str">
        <f>IF($B245="","",IFERROR(IF(ABS(W245-BI245)&gt;P_Tol,1,0),1))</f>
        <v/>
      </c>
      <c r="BO245" s="124" t="str">
        <f>IF($B245="","",IFERROR(IF(OR(ABS(R245+S245-T245)&gt;P_Tol,ABS(U245+V245-W245)&gt;P_Tol,ABS(X245+Y245-Z245)&gt;P_Tol),1,0),1))</f>
        <v/>
      </c>
      <c r="BP245" s="124" t="str">
        <f>IF($B245="","",IFERROR(IF(OR(ABS(AR245-SUM(AB245:AM245))&gt;P_Tol,ABS(AS245-(AN245+AO245+AP245+AQ245))&gt;P_Tol),1,0),1))</f>
        <v/>
      </c>
      <c r="BQ245" s="124" t="str">
        <f>IF($B245="","",IFERROR(IF(ABS(AT245)+ABS(AV245)+ABS(AW245)+ABS(AX245)+ABS(AY245)+ABS(AZ245)+ABS(BA245)+ABS(BB245)&gt;0,1,0),1))</f>
        <v/>
      </c>
      <c r="BR245" s="124" t="str">
        <f>IF($B245="","",COUNTIF(STG_ZPMW03!$B$6:$B$505,B245))</f>
        <v/>
      </c>
      <c r="BS245" s="124" t="str">
        <f>IF($B245="","",COUNTIF($B$6:$B$505,B245))</f>
        <v/>
      </c>
      <c r="BT245" s="124" t="str">
        <f>IF($B245="","",IF(BR245=0,0,IF(INDEX(STG_ZPMW03!$I$6:$I$505,MATCH(B245,STG_ZPMW03!$B$6:$B$505,0))=J245&amp;"",0,1)))</f>
        <v/>
      </c>
      <c r="BU245" s="124" t="str">
        <f>IF($B245="","",IFERROR(IF(ABS(INDEX(Mapping!$D$5:$D$104,MATCH(B245,Mapping!$A$5:$A$104,0))-Q245)&gt;P_Tol,1,0),0))</f>
        <v/>
      </c>
      <c r="BV245" s="124" t="str">
        <f>IF($B245="","",IFERROR(IF(AND(INDEX(Mapping!$G$5:$G$104,MATCH(B245,Mapping!$A$5:$A$104,0))="Nee",ABS(Q245)+ABS(Z245)+ABS(AR245)&gt;0),1,0),0))</f>
        <v/>
      </c>
      <c r="BW245" s="124" t="str">
        <f>IF($B245="","",IF(COUNTIF(Mapping!$A$5:$A$104,B245)&gt;0,1,0))</f>
        <v/>
      </c>
      <c r="BX245" s="124" t="str">
        <f>IF($B245="","",IF(BR245=0,COUNTIF($BR$6:BR245,0),""))</f>
        <v/>
      </c>
    </row>
    <row r="246">
      <c r="A246" s="15" t="n">
        <v>242</v>
      </c>
      <c r="B246" t="str">
        <f>IF(B$3=0,"",IF(INDEX(SRC_Woningetalage!$A$1:$ZZ$501,$A246,B$3)&amp;""="","",INDEX(SRC_Woningetalage!$A$1:$ZZ$501,$A246,B$3)&amp;""))</f>
        <v/>
      </c>
      <c r="C246" t="str">
        <f>IF($B246="","",IF(C$3=0,"n.b.",INDEX(SRC_Woningetalage!$A$1:$ZZ$501,$A246,C$3)))</f>
        <v/>
      </c>
      <c r="D246" t="str">
        <f>IF($B246="","",IF(D$3=0,"n.b.",INDEX(SRC_Woningetalage!$A$1:$ZZ$501,$A246,D$3)))</f>
        <v/>
      </c>
      <c r="E246" t="str">
        <f>IF($B246="","",IF(E$3=0,"n.b.",INDEX(SRC_Woningetalage!$A$1:$ZZ$501,$A246,E$3)))</f>
        <v/>
      </c>
      <c r="F246" t="str">
        <f>IF($B246="","",IF(F$3=0,"n.b.",INDEX(SRC_Woningetalage!$A$1:$ZZ$501,$A246,F$3)))</f>
        <v/>
      </c>
      <c r="G246" t="str">
        <f>IF($B246="","",IF(G$3=0,"n.b.",INDEX(SRC_Woningetalage!$A$1:$ZZ$501,$A246,G$3)))</f>
        <v/>
      </c>
      <c r="H246" t="str">
        <f>IF($B246="","",IF(H$3=0,"n.b.",INDEX(SRC_Woningetalage!$A$1:$ZZ$501,$A246,H$3)))</f>
        <v/>
      </c>
      <c r="I246" t="str">
        <f>IF($B246="","",IF(I$3=0,"n.b.",INDEX(SRC_Woningetalage!$A$1:$ZZ$501,$A246,I$3)))</f>
        <v/>
      </c>
      <c r="J246" t="str">
        <f>IF($B246="","",IF(J$3=0,"n.b.",INDEX(SRC_Woningetalage!$A$1:$ZZ$501,$A246,J$3)))</f>
        <v/>
      </c>
      <c r="K246" t="str">
        <f>IF($B246="","",IF(K$3=0,"n.b.",INDEX(SRC_Woningetalage!$A$1:$ZZ$501,$A246,K$3)))</f>
        <v/>
      </c>
      <c r="L246" t="str">
        <f>IF($B246="","",IF(L$3=0,"n.b.",INDEX(SRC_Woningetalage!$A$1:$ZZ$501,$A246,L$3)))</f>
        <v/>
      </c>
      <c r="M246" t="str">
        <f>IF($B246="","",IF(M$3=0,"n.b.",INDEX(SRC_Woningetalage!$A$1:$ZZ$501,$A246,M$3)))</f>
        <v/>
      </c>
      <c r="N246" t="str">
        <f>IF($B246="","",IF(N$3=0,"n.b.",INDEX(SRC_Woningetalage!$A$1:$ZZ$501,$A246,N$3)))</f>
        <v/>
      </c>
      <c r="O246" t="str">
        <f>IF($B246="","",IF(O$3=0,"n.b.",INDEX(SRC_Woningetalage!$A$1:$ZZ$501,$A246,O$3)))</f>
        <v/>
      </c>
      <c r="P246" t="str">
        <f>IF($B246="","",IF(P$3=0,"n.b.",INDEX(SRC_Woningetalage!$A$1:$ZZ$501,$A246,P$3)))</f>
        <v/>
      </c>
      <c r="Q246" s="124" t="str">
        <f>IF($B246="","",IF(Q$3=0,"n.b.",INDEX(SRC_Woningetalage!$A$1:$ZZ$501,$A246,Q$3)))</f>
        <v/>
      </c>
      <c r="R246" s="124" t="str">
        <f>IF($B246="","",IF(R$3=0,"n.b.",INDEX(SRC_Woningetalage!$A$1:$ZZ$501,$A246,R$3)))</f>
        <v/>
      </c>
      <c r="S246" s="124" t="str">
        <f>IF($B246="","",IF(S$3=0,"n.b.",INDEX(SRC_Woningetalage!$A$1:$ZZ$501,$A246,S$3)))</f>
        <v/>
      </c>
      <c r="T246" s="124" t="str">
        <f>IF($B246="","",IF(T$3=0,"n.b.",INDEX(SRC_Woningetalage!$A$1:$ZZ$501,$A246,T$3)))</f>
        <v/>
      </c>
      <c r="U246" s="124" t="str">
        <f>IF($B246="","",IF(U$3=0,"n.b.",INDEX(SRC_Woningetalage!$A$1:$ZZ$501,$A246,U$3)))</f>
        <v/>
      </c>
      <c r="V246" s="124" t="str">
        <f>IF($B246="","",IF(V$3=0,"n.b.",INDEX(SRC_Woningetalage!$A$1:$ZZ$501,$A246,V$3)))</f>
        <v/>
      </c>
      <c r="W246" s="124" t="str">
        <f>IF($B246="","",IF(W$3=0,"n.b.",INDEX(SRC_Woningetalage!$A$1:$ZZ$501,$A246,W$3)))</f>
        <v/>
      </c>
      <c r="X246" s="124" t="str">
        <f>IF($B246="","",IF(X$3=0,"n.b.",INDEX(SRC_Woningetalage!$A$1:$ZZ$501,$A246,X$3)))</f>
        <v/>
      </c>
      <c r="Y246" s="124" t="str">
        <f>IF($B246="","",IF(Y$3=0,"n.b.",INDEX(SRC_Woningetalage!$A$1:$ZZ$501,$A246,Y$3)))</f>
        <v/>
      </c>
      <c r="Z246" s="124" t="str">
        <f>IF($B246="","",IF(Z$3=0,"n.b.",INDEX(SRC_Woningetalage!$A$1:$ZZ$501,$A246,Z$3)))</f>
        <v/>
      </c>
      <c r="AA246" s="124" t="str">
        <f>IF($B246="","",IF(AA$3=0,"n.b.",INDEX(SRC_Woningetalage!$A$1:$ZZ$501,$A246,AA$3)))</f>
        <v/>
      </c>
      <c r="AB246" s="124" t="str">
        <f>IF($B246="","",IF(AB$3=0,"n.b.",INDEX(SRC_Woningetalage!$A$1:$ZZ$501,$A246,AB$3)))</f>
        <v/>
      </c>
      <c r="AC246" s="124" t="str">
        <f>IF($B246="","",IF(AC$3=0,"n.b.",INDEX(SRC_Woningetalage!$A$1:$ZZ$501,$A246,AC$3)))</f>
        <v/>
      </c>
      <c r="AD246" s="124" t="str">
        <f>IF($B246="","",IF(AD$3=0,"n.b.",INDEX(SRC_Woningetalage!$A$1:$ZZ$501,$A246,AD$3)))</f>
        <v/>
      </c>
      <c r="AE246" s="124" t="str">
        <f>IF($B246="","",IF(AE$3=0,"n.b.",INDEX(SRC_Woningetalage!$A$1:$ZZ$501,$A246,AE$3)))</f>
        <v/>
      </c>
      <c r="AF246" s="124" t="str">
        <f>IF($B246="","",IF(AF$3=0,"n.b.",INDEX(SRC_Woningetalage!$A$1:$ZZ$501,$A246,AF$3)))</f>
        <v/>
      </c>
      <c r="AG246" s="124" t="str">
        <f>IF($B246="","",IF(AG$3=0,"n.b.",INDEX(SRC_Woningetalage!$A$1:$ZZ$501,$A246,AG$3)))</f>
        <v/>
      </c>
      <c r="AH246" s="124" t="str">
        <f>IF($B246="","",IF(AH$3=0,"n.b.",INDEX(SRC_Woningetalage!$A$1:$ZZ$501,$A246,AH$3)))</f>
        <v/>
      </c>
      <c r="AI246" s="124" t="str">
        <f>IF($B246="","",IF(AI$3=0,"n.b.",INDEX(SRC_Woningetalage!$A$1:$ZZ$501,$A246,AI$3)))</f>
        <v/>
      </c>
      <c r="AJ246" s="124" t="str">
        <f>IF($B246="","",IF(AJ$3=0,"n.b.",INDEX(SRC_Woningetalage!$A$1:$ZZ$501,$A246,AJ$3)))</f>
        <v/>
      </c>
      <c r="AK246" s="124" t="str">
        <f>IF($B246="","",IF(AK$3=0,"n.b.",INDEX(SRC_Woningetalage!$A$1:$ZZ$501,$A246,AK$3)))</f>
        <v/>
      </c>
      <c r="AL246" s="124" t="str">
        <f>IF($B246="","",IF(AL$3=0,"n.b.",INDEX(SRC_Woningetalage!$A$1:$ZZ$501,$A246,AL$3)))</f>
        <v/>
      </c>
      <c r="AM246" s="124" t="str">
        <f>IF($B246="","",IF(AM$3=0,"n.b.",INDEX(SRC_Woningetalage!$A$1:$ZZ$501,$A246,AM$3)))</f>
        <v/>
      </c>
      <c r="AN246" s="124" t="str">
        <f>IF($B246="","",IF(AN$3=0,"n.b.",INDEX(SRC_Woningetalage!$A$1:$ZZ$501,$A246,AN$3)))</f>
        <v/>
      </c>
      <c r="AO246" s="124" t="str">
        <f>IF($B246="","",IF(AO$3=0,"n.b.",INDEX(SRC_Woningetalage!$A$1:$ZZ$501,$A246,AO$3)))</f>
        <v/>
      </c>
      <c r="AP246" s="124" t="str">
        <f>IF($B246="","",IF(AP$3=0,"n.b.",INDEX(SRC_Woningetalage!$A$1:$ZZ$501,$A246,AP$3)))</f>
        <v/>
      </c>
      <c r="AQ246" s="124" t="str">
        <f>IF($B246="","",IF(AQ$3=0,"n.b.",INDEX(SRC_Woningetalage!$A$1:$ZZ$501,$A246,AQ$3)))</f>
        <v/>
      </c>
      <c r="AR246" s="124" t="str">
        <f>IF($B246="","",IF(AR$3=0,"n.b.",INDEX(SRC_Woningetalage!$A$1:$ZZ$501,$A246,AR$3)))</f>
        <v/>
      </c>
      <c r="AS246" s="124" t="str">
        <f>IF($B246="","",IF(AS$3=0,"n.b.",INDEX(SRC_Woningetalage!$A$1:$ZZ$501,$A246,AS$3)))</f>
        <v/>
      </c>
      <c r="AT246" s="124" t="str">
        <f>IF($B246="","",IF(AT$3=0,"n.b.",INDEX(SRC_Woningetalage!$A$1:$ZZ$501,$A246,AT$3)))</f>
        <v/>
      </c>
      <c r="AU246" s="124" t="str">
        <f>IF($B246="","",IF(AU$3=0,"n.b.",INDEX(SRC_Woningetalage!$A$1:$ZZ$501,$A246,AU$3)))</f>
        <v/>
      </c>
      <c r="AV246" s="124" t="str">
        <f>IF($B246="","",IF(AV$3=0,"n.b.",INDEX(SRC_Woningetalage!$A$1:$ZZ$501,$A246,AV$3)))</f>
        <v/>
      </c>
      <c r="AW246" s="124" t="str">
        <f>IF($B246="","",IF(AW$3=0,"n.b.",INDEX(SRC_Woningetalage!$A$1:$ZZ$501,$A246,AW$3)))</f>
        <v/>
      </c>
      <c r="AX246" s="124" t="str">
        <f>IF($B246="","",IF(AX$3=0,"n.b.",INDEX(SRC_Woningetalage!$A$1:$ZZ$501,$A246,AX$3)))</f>
        <v/>
      </c>
      <c r="AY246" s="124" t="str">
        <f>IF($B246="","",IF(AY$3=0,"n.b.",INDEX(SRC_Woningetalage!$A$1:$ZZ$501,$A246,AY$3)))</f>
        <v/>
      </c>
      <c r="AZ246" s="124" t="str">
        <f>IF($B246="","",IF(AZ$3=0,"n.b.",INDEX(SRC_Woningetalage!$A$1:$ZZ$501,$A246,AZ$3)))</f>
        <v/>
      </c>
      <c r="BA246" s="124" t="str">
        <f>IF($B246="","",IF(BA$3=0,"n.b.",INDEX(SRC_Woningetalage!$A$1:$ZZ$501,$A246,BA$3)))</f>
        <v/>
      </c>
      <c r="BB246" s="124" t="str">
        <f>IF($B246="","",IF(BB$3=0,"n.b.",INDEX(SRC_Woningetalage!$A$1:$ZZ$501,$A246,BB$3)))</f>
        <v/>
      </c>
      <c r="BC246" s="124" t="str">
        <f>IF($B246="","",IFERROR(_xlfn.NUMBERVALUE(E246&amp;"",",","."),"n.b."))</f>
        <v/>
      </c>
      <c r="BD246" s="124" t="str">
        <f>IF($B246="","",IFERROR(_xlfn.NUMBERVALUE(M246&amp;"",",","."),"n.b."))</f>
        <v/>
      </c>
      <c r="BE246" s="124" t="str">
        <f>IF($B246="","",IFERROR(AB246+AC246+AD246,"n.b."))</f>
        <v/>
      </c>
      <c r="BF246" s="124" t="str">
        <f>IF($B246="","",IFERROR(AE246+AF246+AG246,"n.b."))</f>
        <v/>
      </c>
      <c r="BG246" s="124" t="str">
        <f>IF($B246="","",IFERROR(AH246+AI246+AJ246,"n.b."))</f>
        <v/>
      </c>
      <c r="BH246" s="124" t="str">
        <f>IF($B246="","",IFERROR(AK246+AL246+AM246,"n.b."))</f>
        <v/>
      </c>
      <c r="BI246" s="124" t="str">
        <f>IF($B246="","",IFERROR(SUMIF($AB$5:$AM$5,"&lt;="&amp;P_PeilMaand,AB246:AM246),"n.b."))</f>
        <v/>
      </c>
      <c r="BJ246" s="124" t="str">
        <f>IF($B246="","",IFERROR(SUM(AB246:AM246)-BI246,"n.b."))</f>
        <v/>
      </c>
      <c r="BK246" s="124" t="str">
        <f>IF($B246="","",IFERROR(IF(ABS(Q246-(T246+SUM(AB246:AM246)+AS246+AU246))&gt;P_Tol,1,0),1))</f>
        <v/>
      </c>
      <c r="BL246" s="124" t="str">
        <f>IF($B246="","",IFERROR(IF(ABS(AA246-(Q246-Z246))&gt;P_Tol,1,0),1))</f>
        <v/>
      </c>
      <c r="BM246" s="124" t="str">
        <f>IF($B246="","",IFERROR(IF(ABS(Z246-(T246+W246))&gt;P_Tol,1,0),1))</f>
        <v/>
      </c>
      <c r="BN246" s="124" t="str">
        <f>IF($B246="","",IFERROR(IF(ABS(W246-BI246)&gt;P_Tol,1,0),1))</f>
        <v/>
      </c>
      <c r="BO246" s="124" t="str">
        <f>IF($B246="","",IFERROR(IF(OR(ABS(R246+S246-T246)&gt;P_Tol,ABS(U246+V246-W246)&gt;P_Tol,ABS(X246+Y246-Z246)&gt;P_Tol),1,0),1))</f>
        <v/>
      </c>
      <c r="BP246" s="124" t="str">
        <f>IF($B246="","",IFERROR(IF(OR(ABS(AR246-SUM(AB246:AM246))&gt;P_Tol,ABS(AS246-(AN246+AO246+AP246+AQ246))&gt;P_Tol),1,0),1))</f>
        <v/>
      </c>
      <c r="BQ246" s="124" t="str">
        <f>IF($B246="","",IFERROR(IF(ABS(AT246)+ABS(AV246)+ABS(AW246)+ABS(AX246)+ABS(AY246)+ABS(AZ246)+ABS(BA246)+ABS(BB246)&gt;0,1,0),1))</f>
        <v/>
      </c>
      <c r="BR246" s="124" t="str">
        <f>IF($B246="","",COUNTIF(STG_ZPMW03!$B$6:$B$505,B246))</f>
        <v/>
      </c>
      <c r="BS246" s="124" t="str">
        <f>IF($B246="","",COUNTIF($B$6:$B$505,B246))</f>
        <v/>
      </c>
      <c r="BT246" s="124" t="str">
        <f>IF($B246="","",IF(BR246=0,0,IF(INDEX(STG_ZPMW03!$I$6:$I$505,MATCH(B246,STG_ZPMW03!$B$6:$B$505,0))=J246&amp;"",0,1)))</f>
        <v/>
      </c>
      <c r="BU246" s="124" t="str">
        <f>IF($B246="","",IFERROR(IF(ABS(INDEX(Mapping!$D$5:$D$104,MATCH(B246,Mapping!$A$5:$A$104,0))-Q246)&gt;P_Tol,1,0),0))</f>
        <v/>
      </c>
      <c r="BV246" s="124" t="str">
        <f>IF($B246="","",IFERROR(IF(AND(INDEX(Mapping!$G$5:$G$104,MATCH(B246,Mapping!$A$5:$A$104,0))="Nee",ABS(Q246)+ABS(Z246)+ABS(AR246)&gt;0),1,0),0))</f>
        <v/>
      </c>
      <c r="BW246" s="124" t="str">
        <f>IF($B246="","",IF(COUNTIF(Mapping!$A$5:$A$104,B246)&gt;0,1,0))</f>
        <v/>
      </c>
      <c r="BX246" s="124" t="str">
        <f>IF($B246="","",IF(BR246=0,COUNTIF($BR$6:BR246,0),""))</f>
        <v/>
      </c>
    </row>
    <row r="247">
      <c r="A247" s="15" t="n">
        <v>243</v>
      </c>
      <c r="B247" t="str">
        <f>IF(B$3=0,"",IF(INDEX(SRC_Woningetalage!$A$1:$ZZ$501,$A247,B$3)&amp;""="","",INDEX(SRC_Woningetalage!$A$1:$ZZ$501,$A247,B$3)&amp;""))</f>
        <v/>
      </c>
      <c r="C247" t="str">
        <f>IF($B247="","",IF(C$3=0,"n.b.",INDEX(SRC_Woningetalage!$A$1:$ZZ$501,$A247,C$3)))</f>
        <v/>
      </c>
      <c r="D247" t="str">
        <f>IF($B247="","",IF(D$3=0,"n.b.",INDEX(SRC_Woningetalage!$A$1:$ZZ$501,$A247,D$3)))</f>
        <v/>
      </c>
      <c r="E247" t="str">
        <f>IF($B247="","",IF(E$3=0,"n.b.",INDEX(SRC_Woningetalage!$A$1:$ZZ$501,$A247,E$3)))</f>
        <v/>
      </c>
      <c r="F247" t="str">
        <f>IF($B247="","",IF(F$3=0,"n.b.",INDEX(SRC_Woningetalage!$A$1:$ZZ$501,$A247,F$3)))</f>
        <v/>
      </c>
      <c r="G247" t="str">
        <f>IF($B247="","",IF(G$3=0,"n.b.",INDEX(SRC_Woningetalage!$A$1:$ZZ$501,$A247,G$3)))</f>
        <v/>
      </c>
      <c r="H247" t="str">
        <f>IF($B247="","",IF(H$3=0,"n.b.",INDEX(SRC_Woningetalage!$A$1:$ZZ$501,$A247,H$3)))</f>
        <v/>
      </c>
      <c r="I247" t="str">
        <f>IF($B247="","",IF(I$3=0,"n.b.",INDEX(SRC_Woningetalage!$A$1:$ZZ$501,$A247,I$3)))</f>
        <v/>
      </c>
      <c r="J247" t="str">
        <f>IF($B247="","",IF(J$3=0,"n.b.",INDEX(SRC_Woningetalage!$A$1:$ZZ$501,$A247,J$3)))</f>
        <v/>
      </c>
      <c r="K247" t="str">
        <f>IF($B247="","",IF(K$3=0,"n.b.",INDEX(SRC_Woningetalage!$A$1:$ZZ$501,$A247,K$3)))</f>
        <v/>
      </c>
      <c r="L247" t="str">
        <f>IF($B247="","",IF(L$3=0,"n.b.",INDEX(SRC_Woningetalage!$A$1:$ZZ$501,$A247,L$3)))</f>
        <v/>
      </c>
      <c r="M247" t="str">
        <f>IF($B247="","",IF(M$3=0,"n.b.",INDEX(SRC_Woningetalage!$A$1:$ZZ$501,$A247,M$3)))</f>
        <v/>
      </c>
      <c r="N247" t="str">
        <f>IF($B247="","",IF(N$3=0,"n.b.",INDEX(SRC_Woningetalage!$A$1:$ZZ$501,$A247,N$3)))</f>
        <v/>
      </c>
      <c r="O247" t="str">
        <f>IF($B247="","",IF(O$3=0,"n.b.",INDEX(SRC_Woningetalage!$A$1:$ZZ$501,$A247,O$3)))</f>
        <v/>
      </c>
      <c r="P247" t="str">
        <f>IF($B247="","",IF(P$3=0,"n.b.",INDEX(SRC_Woningetalage!$A$1:$ZZ$501,$A247,P$3)))</f>
        <v/>
      </c>
      <c r="Q247" s="124" t="str">
        <f>IF($B247="","",IF(Q$3=0,"n.b.",INDEX(SRC_Woningetalage!$A$1:$ZZ$501,$A247,Q$3)))</f>
        <v/>
      </c>
      <c r="R247" s="124" t="str">
        <f>IF($B247="","",IF(R$3=0,"n.b.",INDEX(SRC_Woningetalage!$A$1:$ZZ$501,$A247,R$3)))</f>
        <v/>
      </c>
      <c r="S247" s="124" t="str">
        <f>IF($B247="","",IF(S$3=0,"n.b.",INDEX(SRC_Woningetalage!$A$1:$ZZ$501,$A247,S$3)))</f>
        <v/>
      </c>
      <c r="T247" s="124" t="str">
        <f>IF($B247="","",IF(T$3=0,"n.b.",INDEX(SRC_Woningetalage!$A$1:$ZZ$501,$A247,T$3)))</f>
        <v/>
      </c>
      <c r="U247" s="124" t="str">
        <f>IF($B247="","",IF(U$3=0,"n.b.",INDEX(SRC_Woningetalage!$A$1:$ZZ$501,$A247,U$3)))</f>
        <v/>
      </c>
      <c r="V247" s="124" t="str">
        <f>IF($B247="","",IF(V$3=0,"n.b.",INDEX(SRC_Woningetalage!$A$1:$ZZ$501,$A247,V$3)))</f>
        <v/>
      </c>
      <c r="W247" s="124" t="str">
        <f>IF($B247="","",IF(W$3=0,"n.b.",INDEX(SRC_Woningetalage!$A$1:$ZZ$501,$A247,W$3)))</f>
        <v/>
      </c>
      <c r="X247" s="124" t="str">
        <f>IF($B247="","",IF(X$3=0,"n.b.",INDEX(SRC_Woningetalage!$A$1:$ZZ$501,$A247,X$3)))</f>
        <v/>
      </c>
      <c r="Y247" s="124" t="str">
        <f>IF($B247="","",IF(Y$3=0,"n.b.",INDEX(SRC_Woningetalage!$A$1:$ZZ$501,$A247,Y$3)))</f>
        <v/>
      </c>
      <c r="Z247" s="124" t="str">
        <f>IF($B247="","",IF(Z$3=0,"n.b.",INDEX(SRC_Woningetalage!$A$1:$ZZ$501,$A247,Z$3)))</f>
        <v/>
      </c>
      <c r="AA247" s="124" t="str">
        <f>IF($B247="","",IF(AA$3=0,"n.b.",INDEX(SRC_Woningetalage!$A$1:$ZZ$501,$A247,AA$3)))</f>
        <v/>
      </c>
      <c r="AB247" s="124" t="str">
        <f>IF($B247="","",IF(AB$3=0,"n.b.",INDEX(SRC_Woningetalage!$A$1:$ZZ$501,$A247,AB$3)))</f>
        <v/>
      </c>
      <c r="AC247" s="124" t="str">
        <f>IF($B247="","",IF(AC$3=0,"n.b.",INDEX(SRC_Woningetalage!$A$1:$ZZ$501,$A247,AC$3)))</f>
        <v/>
      </c>
      <c r="AD247" s="124" t="str">
        <f>IF($B247="","",IF(AD$3=0,"n.b.",INDEX(SRC_Woningetalage!$A$1:$ZZ$501,$A247,AD$3)))</f>
        <v/>
      </c>
      <c r="AE247" s="124" t="str">
        <f>IF($B247="","",IF(AE$3=0,"n.b.",INDEX(SRC_Woningetalage!$A$1:$ZZ$501,$A247,AE$3)))</f>
        <v/>
      </c>
      <c r="AF247" s="124" t="str">
        <f>IF($B247="","",IF(AF$3=0,"n.b.",INDEX(SRC_Woningetalage!$A$1:$ZZ$501,$A247,AF$3)))</f>
        <v/>
      </c>
      <c r="AG247" s="124" t="str">
        <f>IF($B247="","",IF(AG$3=0,"n.b.",INDEX(SRC_Woningetalage!$A$1:$ZZ$501,$A247,AG$3)))</f>
        <v/>
      </c>
      <c r="AH247" s="124" t="str">
        <f>IF($B247="","",IF(AH$3=0,"n.b.",INDEX(SRC_Woningetalage!$A$1:$ZZ$501,$A247,AH$3)))</f>
        <v/>
      </c>
      <c r="AI247" s="124" t="str">
        <f>IF($B247="","",IF(AI$3=0,"n.b.",INDEX(SRC_Woningetalage!$A$1:$ZZ$501,$A247,AI$3)))</f>
        <v/>
      </c>
      <c r="AJ247" s="124" t="str">
        <f>IF($B247="","",IF(AJ$3=0,"n.b.",INDEX(SRC_Woningetalage!$A$1:$ZZ$501,$A247,AJ$3)))</f>
        <v/>
      </c>
      <c r="AK247" s="124" t="str">
        <f>IF($B247="","",IF(AK$3=0,"n.b.",INDEX(SRC_Woningetalage!$A$1:$ZZ$501,$A247,AK$3)))</f>
        <v/>
      </c>
      <c r="AL247" s="124" t="str">
        <f>IF($B247="","",IF(AL$3=0,"n.b.",INDEX(SRC_Woningetalage!$A$1:$ZZ$501,$A247,AL$3)))</f>
        <v/>
      </c>
      <c r="AM247" s="124" t="str">
        <f>IF($B247="","",IF(AM$3=0,"n.b.",INDEX(SRC_Woningetalage!$A$1:$ZZ$501,$A247,AM$3)))</f>
        <v/>
      </c>
      <c r="AN247" s="124" t="str">
        <f>IF($B247="","",IF(AN$3=0,"n.b.",INDEX(SRC_Woningetalage!$A$1:$ZZ$501,$A247,AN$3)))</f>
        <v/>
      </c>
      <c r="AO247" s="124" t="str">
        <f>IF($B247="","",IF(AO$3=0,"n.b.",INDEX(SRC_Woningetalage!$A$1:$ZZ$501,$A247,AO$3)))</f>
        <v/>
      </c>
      <c r="AP247" s="124" t="str">
        <f>IF($B247="","",IF(AP$3=0,"n.b.",INDEX(SRC_Woningetalage!$A$1:$ZZ$501,$A247,AP$3)))</f>
        <v/>
      </c>
      <c r="AQ247" s="124" t="str">
        <f>IF($B247="","",IF(AQ$3=0,"n.b.",INDEX(SRC_Woningetalage!$A$1:$ZZ$501,$A247,AQ$3)))</f>
        <v/>
      </c>
      <c r="AR247" s="124" t="str">
        <f>IF($B247="","",IF(AR$3=0,"n.b.",INDEX(SRC_Woningetalage!$A$1:$ZZ$501,$A247,AR$3)))</f>
        <v/>
      </c>
      <c r="AS247" s="124" t="str">
        <f>IF($B247="","",IF(AS$3=0,"n.b.",INDEX(SRC_Woningetalage!$A$1:$ZZ$501,$A247,AS$3)))</f>
        <v/>
      </c>
      <c r="AT247" s="124" t="str">
        <f>IF($B247="","",IF(AT$3=0,"n.b.",INDEX(SRC_Woningetalage!$A$1:$ZZ$501,$A247,AT$3)))</f>
        <v/>
      </c>
      <c r="AU247" s="124" t="str">
        <f>IF($B247="","",IF(AU$3=0,"n.b.",INDEX(SRC_Woningetalage!$A$1:$ZZ$501,$A247,AU$3)))</f>
        <v/>
      </c>
      <c r="AV247" s="124" t="str">
        <f>IF($B247="","",IF(AV$3=0,"n.b.",INDEX(SRC_Woningetalage!$A$1:$ZZ$501,$A247,AV$3)))</f>
        <v/>
      </c>
      <c r="AW247" s="124" t="str">
        <f>IF($B247="","",IF(AW$3=0,"n.b.",INDEX(SRC_Woningetalage!$A$1:$ZZ$501,$A247,AW$3)))</f>
        <v/>
      </c>
      <c r="AX247" s="124" t="str">
        <f>IF($B247="","",IF(AX$3=0,"n.b.",INDEX(SRC_Woningetalage!$A$1:$ZZ$501,$A247,AX$3)))</f>
        <v/>
      </c>
      <c r="AY247" s="124" t="str">
        <f>IF($B247="","",IF(AY$3=0,"n.b.",INDEX(SRC_Woningetalage!$A$1:$ZZ$501,$A247,AY$3)))</f>
        <v/>
      </c>
      <c r="AZ247" s="124" t="str">
        <f>IF($B247="","",IF(AZ$3=0,"n.b.",INDEX(SRC_Woningetalage!$A$1:$ZZ$501,$A247,AZ$3)))</f>
        <v/>
      </c>
      <c r="BA247" s="124" t="str">
        <f>IF($B247="","",IF(BA$3=0,"n.b.",INDEX(SRC_Woningetalage!$A$1:$ZZ$501,$A247,BA$3)))</f>
        <v/>
      </c>
      <c r="BB247" s="124" t="str">
        <f>IF($B247="","",IF(BB$3=0,"n.b.",INDEX(SRC_Woningetalage!$A$1:$ZZ$501,$A247,BB$3)))</f>
        <v/>
      </c>
      <c r="BC247" s="124" t="str">
        <f>IF($B247="","",IFERROR(_xlfn.NUMBERVALUE(E247&amp;"",",","."),"n.b."))</f>
        <v/>
      </c>
      <c r="BD247" s="124" t="str">
        <f>IF($B247="","",IFERROR(_xlfn.NUMBERVALUE(M247&amp;"",",","."),"n.b."))</f>
        <v/>
      </c>
      <c r="BE247" s="124" t="str">
        <f>IF($B247="","",IFERROR(AB247+AC247+AD247,"n.b."))</f>
        <v/>
      </c>
      <c r="BF247" s="124" t="str">
        <f>IF($B247="","",IFERROR(AE247+AF247+AG247,"n.b."))</f>
        <v/>
      </c>
      <c r="BG247" s="124" t="str">
        <f>IF($B247="","",IFERROR(AH247+AI247+AJ247,"n.b."))</f>
        <v/>
      </c>
      <c r="BH247" s="124" t="str">
        <f>IF($B247="","",IFERROR(AK247+AL247+AM247,"n.b."))</f>
        <v/>
      </c>
      <c r="BI247" s="124" t="str">
        <f>IF($B247="","",IFERROR(SUMIF($AB$5:$AM$5,"&lt;="&amp;P_PeilMaand,AB247:AM247),"n.b."))</f>
        <v/>
      </c>
      <c r="BJ247" s="124" t="str">
        <f>IF($B247="","",IFERROR(SUM(AB247:AM247)-BI247,"n.b."))</f>
        <v/>
      </c>
      <c r="BK247" s="124" t="str">
        <f>IF($B247="","",IFERROR(IF(ABS(Q247-(T247+SUM(AB247:AM247)+AS247+AU247))&gt;P_Tol,1,0),1))</f>
        <v/>
      </c>
      <c r="BL247" s="124" t="str">
        <f>IF($B247="","",IFERROR(IF(ABS(AA247-(Q247-Z247))&gt;P_Tol,1,0),1))</f>
        <v/>
      </c>
      <c r="BM247" s="124" t="str">
        <f>IF($B247="","",IFERROR(IF(ABS(Z247-(T247+W247))&gt;P_Tol,1,0),1))</f>
        <v/>
      </c>
      <c r="BN247" s="124" t="str">
        <f>IF($B247="","",IFERROR(IF(ABS(W247-BI247)&gt;P_Tol,1,0),1))</f>
        <v/>
      </c>
      <c r="BO247" s="124" t="str">
        <f>IF($B247="","",IFERROR(IF(OR(ABS(R247+S247-T247)&gt;P_Tol,ABS(U247+V247-W247)&gt;P_Tol,ABS(X247+Y247-Z247)&gt;P_Tol),1,0),1))</f>
        <v/>
      </c>
      <c r="BP247" s="124" t="str">
        <f>IF($B247="","",IFERROR(IF(OR(ABS(AR247-SUM(AB247:AM247))&gt;P_Tol,ABS(AS247-(AN247+AO247+AP247+AQ247))&gt;P_Tol),1,0),1))</f>
        <v/>
      </c>
      <c r="BQ247" s="124" t="str">
        <f>IF($B247="","",IFERROR(IF(ABS(AT247)+ABS(AV247)+ABS(AW247)+ABS(AX247)+ABS(AY247)+ABS(AZ247)+ABS(BA247)+ABS(BB247)&gt;0,1,0),1))</f>
        <v/>
      </c>
      <c r="BR247" s="124" t="str">
        <f>IF($B247="","",COUNTIF(STG_ZPMW03!$B$6:$B$505,B247))</f>
        <v/>
      </c>
      <c r="BS247" s="124" t="str">
        <f>IF($B247="","",COUNTIF($B$6:$B$505,B247))</f>
        <v/>
      </c>
      <c r="BT247" s="124" t="str">
        <f>IF($B247="","",IF(BR247=0,0,IF(INDEX(STG_ZPMW03!$I$6:$I$505,MATCH(B247,STG_ZPMW03!$B$6:$B$505,0))=J247&amp;"",0,1)))</f>
        <v/>
      </c>
      <c r="BU247" s="124" t="str">
        <f>IF($B247="","",IFERROR(IF(ABS(INDEX(Mapping!$D$5:$D$104,MATCH(B247,Mapping!$A$5:$A$104,0))-Q247)&gt;P_Tol,1,0),0))</f>
        <v/>
      </c>
      <c r="BV247" s="124" t="str">
        <f>IF($B247="","",IFERROR(IF(AND(INDEX(Mapping!$G$5:$G$104,MATCH(B247,Mapping!$A$5:$A$104,0))="Nee",ABS(Q247)+ABS(Z247)+ABS(AR247)&gt;0),1,0),0))</f>
        <v/>
      </c>
      <c r="BW247" s="124" t="str">
        <f>IF($B247="","",IF(COUNTIF(Mapping!$A$5:$A$104,B247)&gt;0,1,0))</f>
        <v/>
      </c>
      <c r="BX247" s="124" t="str">
        <f>IF($B247="","",IF(BR247=0,COUNTIF($BR$6:BR247,0),""))</f>
        <v/>
      </c>
    </row>
    <row r="248">
      <c r="A248" s="15" t="n">
        <v>244</v>
      </c>
      <c r="B248" t="str">
        <f>IF(B$3=0,"",IF(INDEX(SRC_Woningetalage!$A$1:$ZZ$501,$A248,B$3)&amp;""="","",INDEX(SRC_Woningetalage!$A$1:$ZZ$501,$A248,B$3)&amp;""))</f>
        <v/>
      </c>
      <c r="C248" t="str">
        <f>IF($B248="","",IF(C$3=0,"n.b.",INDEX(SRC_Woningetalage!$A$1:$ZZ$501,$A248,C$3)))</f>
        <v/>
      </c>
      <c r="D248" t="str">
        <f>IF($B248="","",IF(D$3=0,"n.b.",INDEX(SRC_Woningetalage!$A$1:$ZZ$501,$A248,D$3)))</f>
        <v/>
      </c>
      <c r="E248" t="str">
        <f>IF($B248="","",IF(E$3=0,"n.b.",INDEX(SRC_Woningetalage!$A$1:$ZZ$501,$A248,E$3)))</f>
        <v/>
      </c>
      <c r="F248" t="str">
        <f>IF($B248="","",IF(F$3=0,"n.b.",INDEX(SRC_Woningetalage!$A$1:$ZZ$501,$A248,F$3)))</f>
        <v/>
      </c>
      <c r="G248" t="str">
        <f>IF($B248="","",IF(G$3=0,"n.b.",INDEX(SRC_Woningetalage!$A$1:$ZZ$501,$A248,G$3)))</f>
        <v/>
      </c>
      <c r="H248" t="str">
        <f>IF($B248="","",IF(H$3=0,"n.b.",INDEX(SRC_Woningetalage!$A$1:$ZZ$501,$A248,H$3)))</f>
        <v/>
      </c>
      <c r="I248" t="str">
        <f>IF($B248="","",IF(I$3=0,"n.b.",INDEX(SRC_Woningetalage!$A$1:$ZZ$501,$A248,I$3)))</f>
        <v/>
      </c>
      <c r="J248" t="str">
        <f>IF($B248="","",IF(J$3=0,"n.b.",INDEX(SRC_Woningetalage!$A$1:$ZZ$501,$A248,J$3)))</f>
        <v/>
      </c>
      <c r="K248" t="str">
        <f>IF($B248="","",IF(K$3=0,"n.b.",INDEX(SRC_Woningetalage!$A$1:$ZZ$501,$A248,K$3)))</f>
        <v/>
      </c>
      <c r="L248" t="str">
        <f>IF($B248="","",IF(L$3=0,"n.b.",INDEX(SRC_Woningetalage!$A$1:$ZZ$501,$A248,L$3)))</f>
        <v/>
      </c>
      <c r="M248" t="str">
        <f>IF($B248="","",IF(M$3=0,"n.b.",INDEX(SRC_Woningetalage!$A$1:$ZZ$501,$A248,M$3)))</f>
        <v/>
      </c>
      <c r="N248" t="str">
        <f>IF($B248="","",IF(N$3=0,"n.b.",INDEX(SRC_Woningetalage!$A$1:$ZZ$501,$A248,N$3)))</f>
        <v/>
      </c>
      <c r="O248" t="str">
        <f>IF($B248="","",IF(O$3=0,"n.b.",INDEX(SRC_Woningetalage!$A$1:$ZZ$501,$A248,O$3)))</f>
        <v/>
      </c>
      <c r="P248" t="str">
        <f>IF($B248="","",IF(P$3=0,"n.b.",INDEX(SRC_Woningetalage!$A$1:$ZZ$501,$A248,P$3)))</f>
        <v/>
      </c>
      <c r="Q248" s="124" t="str">
        <f>IF($B248="","",IF(Q$3=0,"n.b.",INDEX(SRC_Woningetalage!$A$1:$ZZ$501,$A248,Q$3)))</f>
        <v/>
      </c>
      <c r="R248" s="124" t="str">
        <f>IF($B248="","",IF(R$3=0,"n.b.",INDEX(SRC_Woningetalage!$A$1:$ZZ$501,$A248,R$3)))</f>
        <v/>
      </c>
      <c r="S248" s="124" t="str">
        <f>IF($B248="","",IF(S$3=0,"n.b.",INDEX(SRC_Woningetalage!$A$1:$ZZ$501,$A248,S$3)))</f>
        <v/>
      </c>
      <c r="T248" s="124" t="str">
        <f>IF($B248="","",IF(T$3=0,"n.b.",INDEX(SRC_Woningetalage!$A$1:$ZZ$501,$A248,T$3)))</f>
        <v/>
      </c>
      <c r="U248" s="124" t="str">
        <f>IF($B248="","",IF(U$3=0,"n.b.",INDEX(SRC_Woningetalage!$A$1:$ZZ$501,$A248,U$3)))</f>
        <v/>
      </c>
      <c r="V248" s="124" t="str">
        <f>IF($B248="","",IF(V$3=0,"n.b.",INDEX(SRC_Woningetalage!$A$1:$ZZ$501,$A248,V$3)))</f>
        <v/>
      </c>
      <c r="W248" s="124" t="str">
        <f>IF($B248="","",IF(W$3=0,"n.b.",INDEX(SRC_Woningetalage!$A$1:$ZZ$501,$A248,W$3)))</f>
        <v/>
      </c>
      <c r="X248" s="124" t="str">
        <f>IF($B248="","",IF(X$3=0,"n.b.",INDEX(SRC_Woningetalage!$A$1:$ZZ$501,$A248,X$3)))</f>
        <v/>
      </c>
      <c r="Y248" s="124" t="str">
        <f>IF($B248="","",IF(Y$3=0,"n.b.",INDEX(SRC_Woningetalage!$A$1:$ZZ$501,$A248,Y$3)))</f>
        <v/>
      </c>
      <c r="Z248" s="124" t="str">
        <f>IF($B248="","",IF(Z$3=0,"n.b.",INDEX(SRC_Woningetalage!$A$1:$ZZ$501,$A248,Z$3)))</f>
        <v/>
      </c>
      <c r="AA248" s="124" t="str">
        <f>IF($B248="","",IF(AA$3=0,"n.b.",INDEX(SRC_Woningetalage!$A$1:$ZZ$501,$A248,AA$3)))</f>
        <v/>
      </c>
      <c r="AB248" s="124" t="str">
        <f>IF($B248="","",IF(AB$3=0,"n.b.",INDEX(SRC_Woningetalage!$A$1:$ZZ$501,$A248,AB$3)))</f>
        <v/>
      </c>
      <c r="AC248" s="124" t="str">
        <f>IF($B248="","",IF(AC$3=0,"n.b.",INDEX(SRC_Woningetalage!$A$1:$ZZ$501,$A248,AC$3)))</f>
        <v/>
      </c>
      <c r="AD248" s="124" t="str">
        <f>IF($B248="","",IF(AD$3=0,"n.b.",INDEX(SRC_Woningetalage!$A$1:$ZZ$501,$A248,AD$3)))</f>
        <v/>
      </c>
      <c r="AE248" s="124" t="str">
        <f>IF($B248="","",IF(AE$3=0,"n.b.",INDEX(SRC_Woningetalage!$A$1:$ZZ$501,$A248,AE$3)))</f>
        <v/>
      </c>
      <c r="AF248" s="124" t="str">
        <f>IF($B248="","",IF(AF$3=0,"n.b.",INDEX(SRC_Woningetalage!$A$1:$ZZ$501,$A248,AF$3)))</f>
        <v/>
      </c>
      <c r="AG248" s="124" t="str">
        <f>IF($B248="","",IF(AG$3=0,"n.b.",INDEX(SRC_Woningetalage!$A$1:$ZZ$501,$A248,AG$3)))</f>
        <v/>
      </c>
      <c r="AH248" s="124" t="str">
        <f>IF($B248="","",IF(AH$3=0,"n.b.",INDEX(SRC_Woningetalage!$A$1:$ZZ$501,$A248,AH$3)))</f>
        <v/>
      </c>
      <c r="AI248" s="124" t="str">
        <f>IF($B248="","",IF(AI$3=0,"n.b.",INDEX(SRC_Woningetalage!$A$1:$ZZ$501,$A248,AI$3)))</f>
        <v/>
      </c>
      <c r="AJ248" s="124" t="str">
        <f>IF($B248="","",IF(AJ$3=0,"n.b.",INDEX(SRC_Woningetalage!$A$1:$ZZ$501,$A248,AJ$3)))</f>
        <v/>
      </c>
      <c r="AK248" s="124" t="str">
        <f>IF($B248="","",IF(AK$3=0,"n.b.",INDEX(SRC_Woningetalage!$A$1:$ZZ$501,$A248,AK$3)))</f>
        <v/>
      </c>
      <c r="AL248" s="124" t="str">
        <f>IF($B248="","",IF(AL$3=0,"n.b.",INDEX(SRC_Woningetalage!$A$1:$ZZ$501,$A248,AL$3)))</f>
        <v/>
      </c>
      <c r="AM248" s="124" t="str">
        <f>IF($B248="","",IF(AM$3=0,"n.b.",INDEX(SRC_Woningetalage!$A$1:$ZZ$501,$A248,AM$3)))</f>
        <v/>
      </c>
      <c r="AN248" s="124" t="str">
        <f>IF($B248="","",IF(AN$3=0,"n.b.",INDEX(SRC_Woningetalage!$A$1:$ZZ$501,$A248,AN$3)))</f>
        <v/>
      </c>
      <c r="AO248" s="124" t="str">
        <f>IF($B248="","",IF(AO$3=0,"n.b.",INDEX(SRC_Woningetalage!$A$1:$ZZ$501,$A248,AO$3)))</f>
        <v/>
      </c>
      <c r="AP248" s="124" t="str">
        <f>IF($B248="","",IF(AP$3=0,"n.b.",INDEX(SRC_Woningetalage!$A$1:$ZZ$501,$A248,AP$3)))</f>
        <v/>
      </c>
      <c r="AQ248" s="124" t="str">
        <f>IF($B248="","",IF(AQ$3=0,"n.b.",INDEX(SRC_Woningetalage!$A$1:$ZZ$501,$A248,AQ$3)))</f>
        <v/>
      </c>
      <c r="AR248" s="124" t="str">
        <f>IF($B248="","",IF(AR$3=0,"n.b.",INDEX(SRC_Woningetalage!$A$1:$ZZ$501,$A248,AR$3)))</f>
        <v/>
      </c>
      <c r="AS248" s="124" t="str">
        <f>IF($B248="","",IF(AS$3=0,"n.b.",INDEX(SRC_Woningetalage!$A$1:$ZZ$501,$A248,AS$3)))</f>
        <v/>
      </c>
      <c r="AT248" s="124" t="str">
        <f>IF($B248="","",IF(AT$3=0,"n.b.",INDEX(SRC_Woningetalage!$A$1:$ZZ$501,$A248,AT$3)))</f>
        <v/>
      </c>
      <c r="AU248" s="124" t="str">
        <f>IF($B248="","",IF(AU$3=0,"n.b.",INDEX(SRC_Woningetalage!$A$1:$ZZ$501,$A248,AU$3)))</f>
        <v/>
      </c>
      <c r="AV248" s="124" t="str">
        <f>IF($B248="","",IF(AV$3=0,"n.b.",INDEX(SRC_Woningetalage!$A$1:$ZZ$501,$A248,AV$3)))</f>
        <v/>
      </c>
      <c r="AW248" s="124" t="str">
        <f>IF($B248="","",IF(AW$3=0,"n.b.",INDEX(SRC_Woningetalage!$A$1:$ZZ$501,$A248,AW$3)))</f>
        <v/>
      </c>
      <c r="AX248" s="124" t="str">
        <f>IF($B248="","",IF(AX$3=0,"n.b.",INDEX(SRC_Woningetalage!$A$1:$ZZ$501,$A248,AX$3)))</f>
        <v/>
      </c>
      <c r="AY248" s="124" t="str">
        <f>IF($B248="","",IF(AY$3=0,"n.b.",INDEX(SRC_Woningetalage!$A$1:$ZZ$501,$A248,AY$3)))</f>
        <v/>
      </c>
      <c r="AZ248" s="124" t="str">
        <f>IF($B248="","",IF(AZ$3=0,"n.b.",INDEX(SRC_Woningetalage!$A$1:$ZZ$501,$A248,AZ$3)))</f>
        <v/>
      </c>
      <c r="BA248" s="124" t="str">
        <f>IF($B248="","",IF(BA$3=0,"n.b.",INDEX(SRC_Woningetalage!$A$1:$ZZ$501,$A248,BA$3)))</f>
        <v/>
      </c>
      <c r="BB248" s="124" t="str">
        <f>IF($B248="","",IF(BB$3=0,"n.b.",INDEX(SRC_Woningetalage!$A$1:$ZZ$501,$A248,BB$3)))</f>
        <v/>
      </c>
      <c r="BC248" s="124" t="str">
        <f>IF($B248="","",IFERROR(_xlfn.NUMBERVALUE(E248&amp;"",",","."),"n.b."))</f>
        <v/>
      </c>
      <c r="BD248" s="124" t="str">
        <f>IF($B248="","",IFERROR(_xlfn.NUMBERVALUE(M248&amp;"",",","."),"n.b."))</f>
        <v/>
      </c>
      <c r="BE248" s="124" t="str">
        <f>IF($B248="","",IFERROR(AB248+AC248+AD248,"n.b."))</f>
        <v/>
      </c>
      <c r="BF248" s="124" t="str">
        <f>IF($B248="","",IFERROR(AE248+AF248+AG248,"n.b."))</f>
        <v/>
      </c>
      <c r="BG248" s="124" t="str">
        <f>IF($B248="","",IFERROR(AH248+AI248+AJ248,"n.b."))</f>
        <v/>
      </c>
      <c r="BH248" s="124" t="str">
        <f>IF($B248="","",IFERROR(AK248+AL248+AM248,"n.b."))</f>
        <v/>
      </c>
      <c r="BI248" s="124" t="str">
        <f>IF($B248="","",IFERROR(SUMIF($AB$5:$AM$5,"&lt;="&amp;P_PeilMaand,AB248:AM248),"n.b."))</f>
        <v/>
      </c>
      <c r="BJ248" s="124" t="str">
        <f>IF($B248="","",IFERROR(SUM(AB248:AM248)-BI248,"n.b."))</f>
        <v/>
      </c>
      <c r="BK248" s="124" t="str">
        <f>IF($B248="","",IFERROR(IF(ABS(Q248-(T248+SUM(AB248:AM248)+AS248+AU248))&gt;P_Tol,1,0),1))</f>
        <v/>
      </c>
      <c r="BL248" s="124" t="str">
        <f>IF($B248="","",IFERROR(IF(ABS(AA248-(Q248-Z248))&gt;P_Tol,1,0),1))</f>
        <v/>
      </c>
      <c r="BM248" s="124" t="str">
        <f>IF($B248="","",IFERROR(IF(ABS(Z248-(T248+W248))&gt;P_Tol,1,0),1))</f>
        <v/>
      </c>
      <c r="BN248" s="124" t="str">
        <f>IF($B248="","",IFERROR(IF(ABS(W248-BI248)&gt;P_Tol,1,0),1))</f>
        <v/>
      </c>
      <c r="BO248" s="124" t="str">
        <f>IF($B248="","",IFERROR(IF(OR(ABS(R248+S248-T248)&gt;P_Tol,ABS(U248+V248-W248)&gt;P_Tol,ABS(X248+Y248-Z248)&gt;P_Tol),1,0),1))</f>
        <v/>
      </c>
      <c r="BP248" s="124" t="str">
        <f>IF($B248="","",IFERROR(IF(OR(ABS(AR248-SUM(AB248:AM248))&gt;P_Tol,ABS(AS248-(AN248+AO248+AP248+AQ248))&gt;P_Tol),1,0),1))</f>
        <v/>
      </c>
      <c r="BQ248" s="124" t="str">
        <f>IF($B248="","",IFERROR(IF(ABS(AT248)+ABS(AV248)+ABS(AW248)+ABS(AX248)+ABS(AY248)+ABS(AZ248)+ABS(BA248)+ABS(BB248)&gt;0,1,0),1))</f>
        <v/>
      </c>
      <c r="BR248" s="124" t="str">
        <f>IF($B248="","",COUNTIF(STG_ZPMW03!$B$6:$B$505,B248))</f>
        <v/>
      </c>
      <c r="BS248" s="124" t="str">
        <f>IF($B248="","",COUNTIF($B$6:$B$505,B248))</f>
        <v/>
      </c>
      <c r="BT248" s="124" t="str">
        <f>IF($B248="","",IF(BR248=0,0,IF(INDEX(STG_ZPMW03!$I$6:$I$505,MATCH(B248,STG_ZPMW03!$B$6:$B$505,0))=J248&amp;"",0,1)))</f>
        <v/>
      </c>
      <c r="BU248" s="124" t="str">
        <f>IF($B248="","",IFERROR(IF(ABS(INDEX(Mapping!$D$5:$D$104,MATCH(B248,Mapping!$A$5:$A$104,0))-Q248)&gt;P_Tol,1,0),0))</f>
        <v/>
      </c>
      <c r="BV248" s="124" t="str">
        <f>IF($B248="","",IFERROR(IF(AND(INDEX(Mapping!$G$5:$G$104,MATCH(B248,Mapping!$A$5:$A$104,0))="Nee",ABS(Q248)+ABS(Z248)+ABS(AR248)&gt;0),1,0),0))</f>
        <v/>
      </c>
      <c r="BW248" s="124" t="str">
        <f>IF($B248="","",IF(COUNTIF(Mapping!$A$5:$A$104,B248)&gt;0,1,0))</f>
        <v/>
      </c>
      <c r="BX248" s="124" t="str">
        <f>IF($B248="","",IF(BR248=0,COUNTIF($BR$6:BR248,0),""))</f>
        <v/>
      </c>
    </row>
    <row r="249">
      <c r="A249" s="15" t="n">
        <v>245</v>
      </c>
      <c r="B249" t="str">
        <f>IF(B$3=0,"",IF(INDEX(SRC_Woningetalage!$A$1:$ZZ$501,$A249,B$3)&amp;""="","",INDEX(SRC_Woningetalage!$A$1:$ZZ$501,$A249,B$3)&amp;""))</f>
        <v/>
      </c>
      <c r="C249" t="str">
        <f>IF($B249="","",IF(C$3=0,"n.b.",INDEX(SRC_Woningetalage!$A$1:$ZZ$501,$A249,C$3)))</f>
        <v/>
      </c>
      <c r="D249" t="str">
        <f>IF($B249="","",IF(D$3=0,"n.b.",INDEX(SRC_Woningetalage!$A$1:$ZZ$501,$A249,D$3)))</f>
        <v/>
      </c>
      <c r="E249" t="str">
        <f>IF($B249="","",IF(E$3=0,"n.b.",INDEX(SRC_Woningetalage!$A$1:$ZZ$501,$A249,E$3)))</f>
        <v/>
      </c>
      <c r="F249" t="str">
        <f>IF($B249="","",IF(F$3=0,"n.b.",INDEX(SRC_Woningetalage!$A$1:$ZZ$501,$A249,F$3)))</f>
        <v/>
      </c>
      <c r="G249" t="str">
        <f>IF($B249="","",IF(G$3=0,"n.b.",INDEX(SRC_Woningetalage!$A$1:$ZZ$501,$A249,G$3)))</f>
        <v/>
      </c>
      <c r="H249" t="str">
        <f>IF($B249="","",IF(H$3=0,"n.b.",INDEX(SRC_Woningetalage!$A$1:$ZZ$501,$A249,H$3)))</f>
        <v/>
      </c>
      <c r="I249" t="str">
        <f>IF($B249="","",IF(I$3=0,"n.b.",INDEX(SRC_Woningetalage!$A$1:$ZZ$501,$A249,I$3)))</f>
        <v/>
      </c>
      <c r="J249" t="str">
        <f>IF($B249="","",IF(J$3=0,"n.b.",INDEX(SRC_Woningetalage!$A$1:$ZZ$501,$A249,J$3)))</f>
        <v/>
      </c>
      <c r="K249" t="str">
        <f>IF($B249="","",IF(K$3=0,"n.b.",INDEX(SRC_Woningetalage!$A$1:$ZZ$501,$A249,K$3)))</f>
        <v/>
      </c>
      <c r="L249" t="str">
        <f>IF($B249="","",IF(L$3=0,"n.b.",INDEX(SRC_Woningetalage!$A$1:$ZZ$501,$A249,L$3)))</f>
        <v/>
      </c>
      <c r="M249" t="str">
        <f>IF($B249="","",IF(M$3=0,"n.b.",INDEX(SRC_Woningetalage!$A$1:$ZZ$501,$A249,M$3)))</f>
        <v/>
      </c>
      <c r="N249" t="str">
        <f>IF($B249="","",IF(N$3=0,"n.b.",INDEX(SRC_Woningetalage!$A$1:$ZZ$501,$A249,N$3)))</f>
        <v/>
      </c>
      <c r="O249" t="str">
        <f>IF($B249="","",IF(O$3=0,"n.b.",INDEX(SRC_Woningetalage!$A$1:$ZZ$501,$A249,O$3)))</f>
        <v/>
      </c>
      <c r="P249" t="str">
        <f>IF($B249="","",IF(P$3=0,"n.b.",INDEX(SRC_Woningetalage!$A$1:$ZZ$501,$A249,P$3)))</f>
        <v/>
      </c>
      <c r="Q249" s="124" t="str">
        <f>IF($B249="","",IF(Q$3=0,"n.b.",INDEX(SRC_Woningetalage!$A$1:$ZZ$501,$A249,Q$3)))</f>
        <v/>
      </c>
      <c r="R249" s="124" t="str">
        <f>IF($B249="","",IF(R$3=0,"n.b.",INDEX(SRC_Woningetalage!$A$1:$ZZ$501,$A249,R$3)))</f>
        <v/>
      </c>
      <c r="S249" s="124" t="str">
        <f>IF($B249="","",IF(S$3=0,"n.b.",INDEX(SRC_Woningetalage!$A$1:$ZZ$501,$A249,S$3)))</f>
        <v/>
      </c>
      <c r="T249" s="124" t="str">
        <f>IF($B249="","",IF(T$3=0,"n.b.",INDEX(SRC_Woningetalage!$A$1:$ZZ$501,$A249,T$3)))</f>
        <v/>
      </c>
      <c r="U249" s="124" t="str">
        <f>IF($B249="","",IF(U$3=0,"n.b.",INDEX(SRC_Woningetalage!$A$1:$ZZ$501,$A249,U$3)))</f>
        <v/>
      </c>
      <c r="V249" s="124" t="str">
        <f>IF($B249="","",IF(V$3=0,"n.b.",INDEX(SRC_Woningetalage!$A$1:$ZZ$501,$A249,V$3)))</f>
        <v/>
      </c>
      <c r="W249" s="124" t="str">
        <f>IF($B249="","",IF(W$3=0,"n.b.",INDEX(SRC_Woningetalage!$A$1:$ZZ$501,$A249,W$3)))</f>
        <v/>
      </c>
      <c r="X249" s="124" t="str">
        <f>IF($B249="","",IF(X$3=0,"n.b.",INDEX(SRC_Woningetalage!$A$1:$ZZ$501,$A249,X$3)))</f>
        <v/>
      </c>
      <c r="Y249" s="124" t="str">
        <f>IF($B249="","",IF(Y$3=0,"n.b.",INDEX(SRC_Woningetalage!$A$1:$ZZ$501,$A249,Y$3)))</f>
        <v/>
      </c>
      <c r="Z249" s="124" t="str">
        <f>IF($B249="","",IF(Z$3=0,"n.b.",INDEX(SRC_Woningetalage!$A$1:$ZZ$501,$A249,Z$3)))</f>
        <v/>
      </c>
      <c r="AA249" s="124" t="str">
        <f>IF($B249="","",IF(AA$3=0,"n.b.",INDEX(SRC_Woningetalage!$A$1:$ZZ$501,$A249,AA$3)))</f>
        <v/>
      </c>
      <c r="AB249" s="124" t="str">
        <f>IF($B249="","",IF(AB$3=0,"n.b.",INDEX(SRC_Woningetalage!$A$1:$ZZ$501,$A249,AB$3)))</f>
        <v/>
      </c>
      <c r="AC249" s="124" t="str">
        <f>IF($B249="","",IF(AC$3=0,"n.b.",INDEX(SRC_Woningetalage!$A$1:$ZZ$501,$A249,AC$3)))</f>
        <v/>
      </c>
      <c r="AD249" s="124" t="str">
        <f>IF($B249="","",IF(AD$3=0,"n.b.",INDEX(SRC_Woningetalage!$A$1:$ZZ$501,$A249,AD$3)))</f>
        <v/>
      </c>
      <c r="AE249" s="124" t="str">
        <f>IF($B249="","",IF(AE$3=0,"n.b.",INDEX(SRC_Woningetalage!$A$1:$ZZ$501,$A249,AE$3)))</f>
        <v/>
      </c>
      <c r="AF249" s="124" t="str">
        <f>IF($B249="","",IF(AF$3=0,"n.b.",INDEX(SRC_Woningetalage!$A$1:$ZZ$501,$A249,AF$3)))</f>
        <v/>
      </c>
      <c r="AG249" s="124" t="str">
        <f>IF($B249="","",IF(AG$3=0,"n.b.",INDEX(SRC_Woningetalage!$A$1:$ZZ$501,$A249,AG$3)))</f>
        <v/>
      </c>
      <c r="AH249" s="124" t="str">
        <f>IF($B249="","",IF(AH$3=0,"n.b.",INDEX(SRC_Woningetalage!$A$1:$ZZ$501,$A249,AH$3)))</f>
        <v/>
      </c>
      <c r="AI249" s="124" t="str">
        <f>IF($B249="","",IF(AI$3=0,"n.b.",INDEX(SRC_Woningetalage!$A$1:$ZZ$501,$A249,AI$3)))</f>
        <v/>
      </c>
      <c r="AJ249" s="124" t="str">
        <f>IF($B249="","",IF(AJ$3=0,"n.b.",INDEX(SRC_Woningetalage!$A$1:$ZZ$501,$A249,AJ$3)))</f>
        <v/>
      </c>
      <c r="AK249" s="124" t="str">
        <f>IF($B249="","",IF(AK$3=0,"n.b.",INDEX(SRC_Woningetalage!$A$1:$ZZ$501,$A249,AK$3)))</f>
        <v/>
      </c>
      <c r="AL249" s="124" t="str">
        <f>IF($B249="","",IF(AL$3=0,"n.b.",INDEX(SRC_Woningetalage!$A$1:$ZZ$501,$A249,AL$3)))</f>
        <v/>
      </c>
      <c r="AM249" s="124" t="str">
        <f>IF($B249="","",IF(AM$3=0,"n.b.",INDEX(SRC_Woningetalage!$A$1:$ZZ$501,$A249,AM$3)))</f>
        <v/>
      </c>
      <c r="AN249" s="124" t="str">
        <f>IF($B249="","",IF(AN$3=0,"n.b.",INDEX(SRC_Woningetalage!$A$1:$ZZ$501,$A249,AN$3)))</f>
        <v/>
      </c>
      <c r="AO249" s="124" t="str">
        <f>IF($B249="","",IF(AO$3=0,"n.b.",INDEX(SRC_Woningetalage!$A$1:$ZZ$501,$A249,AO$3)))</f>
        <v/>
      </c>
      <c r="AP249" s="124" t="str">
        <f>IF($B249="","",IF(AP$3=0,"n.b.",INDEX(SRC_Woningetalage!$A$1:$ZZ$501,$A249,AP$3)))</f>
        <v/>
      </c>
      <c r="AQ249" s="124" t="str">
        <f>IF($B249="","",IF(AQ$3=0,"n.b.",INDEX(SRC_Woningetalage!$A$1:$ZZ$501,$A249,AQ$3)))</f>
        <v/>
      </c>
      <c r="AR249" s="124" t="str">
        <f>IF($B249="","",IF(AR$3=0,"n.b.",INDEX(SRC_Woningetalage!$A$1:$ZZ$501,$A249,AR$3)))</f>
        <v/>
      </c>
      <c r="AS249" s="124" t="str">
        <f>IF($B249="","",IF(AS$3=0,"n.b.",INDEX(SRC_Woningetalage!$A$1:$ZZ$501,$A249,AS$3)))</f>
        <v/>
      </c>
      <c r="AT249" s="124" t="str">
        <f>IF($B249="","",IF(AT$3=0,"n.b.",INDEX(SRC_Woningetalage!$A$1:$ZZ$501,$A249,AT$3)))</f>
        <v/>
      </c>
      <c r="AU249" s="124" t="str">
        <f>IF($B249="","",IF(AU$3=0,"n.b.",INDEX(SRC_Woningetalage!$A$1:$ZZ$501,$A249,AU$3)))</f>
        <v/>
      </c>
      <c r="AV249" s="124" t="str">
        <f>IF($B249="","",IF(AV$3=0,"n.b.",INDEX(SRC_Woningetalage!$A$1:$ZZ$501,$A249,AV$3)))</f>
        <v/>
      </c>
      <c r="AW249" s="124" t="str">
        <f>IF($B249="","",IF(AW$3=0,"n.b.",INDEX(SRC_Woningetalage!$A$1:$ZZ$501,$A249,AW$3)))</f>
        <v/>
      </c>
      <c r="AX249" s="124" t="str">
        <f>IF($B249="","",IF(AX$3=0,"n.b.",INDEX(SRC_Woningetalage!$A$1:$ZZ$501,$A249,AX$3)))</f>
        <v/>
      </c>
      <c r="AY249" s="124" t="str">
        <f>IF($B249="","",IF(AY$3=0,"n.b.",INDEX(SRC_Woningetalage!$A$1:$ZZ$501,$A249,AY$3)))</f>
        <v/>
      </c>
      <c r="AZ249" s="124" t="str">
        <f>IF($B249="","",IF(AZ$3=0,"n.b.",INDEX(SRC_Woningetalage!$A$1:$ZZ$501,$A249,AZ$3)))</f>
        <v/>
      </c>
      <c r="BA249" s="124" t="str">
        <f>IF($B249="","",IF(BA$3=0,"n.b.",INDEX(SRC_Woningetalage!$A$1:$ZZ$501,$A249,BA$3)))</f>
        <v/>
      </c>
      <c r="BB249" s="124" t="str">
        <f>IF($B249="","",IF(BB$3=0,"n.b.",INDEX(SRC_Woningetalage!$A$1:$ZZ$501,$A249,BB$3)))</f>
        <v/>
      </c>
      <c r="BC249" s="124" t="str">
        <f>IF($B249="","",IFERROR(_xlfn.NUMBERVALUE(E249&amp;"",",","."),"n.b."))</f>
        <v/>
      </c>
      <c r="BD249" s="124" t="str">
        <f>IF($B249="","",IFERROR(_xlfn.NUMBERVALUE(M249&amp;"",",","."),"n.b."))</f>
        <v/>
      </c>
      <c r="BE249" s="124" t="str">
        <f>IF($B249="","",IFERROR(AB249+AC249+AD249,"n.b."))</f>
        <v/>
      </c>
      <c r="BF249" s="124" t="str">
        <f>IF($B249="","",IFERROR(AE249+AF249+AG249,"n.b."))</f>
        <v/>
      </c>
      <c r="BG249" s="124" t="str">
        <f>IF($B249="","",IFERROR(AH249+AI249+AJ249,"n.b."))</f>
        <v/>
      </c>
      <c r="BH249" s="124" t="str">
        <f>IF($B249="","",IFERROR(AK249+AL249+AM249,"n.b."))</f>
        <v/>
      </c>
      <c r="BI249" s="124" t="str">
        <f>IF($B249="","",IFERROR(SUMIF($AB$5:$AM$5,"&lt;="&amp;P_PeilMaand,AB249:AM249),"n.b."))</f>
        <v/>
      </c>
      <c r="BJ249" s="124" t="str">
        <f>IF($B249="","",IFERROR(SUM(AB249:AM249)-BI249,"n.b."))</f>
        <v/>
      </c>
      <c r="BK249" s="124" t="str">
        <f>IF($B249="","",IFERROR(IF(ABS(Q249-(T249+SUM(AB249:AM249)+AS249+AU249))&gt;P_Tol,1,0),1))</f>
        <v/>
      </c>
      <c r="BL249" s="124" t="str">
        <f>IF($B249="","",IFERROR(IF(ABS(AA249-(Q249-Z249))&gt;P_Tol,1,0),1))</f>
        <v/>
      </c>
      <c r="BM249" s="124" t="str">
        <f>IF($B249="","",IFERROR(IF(ABS(Z249-(T249+W249))&gt;P_Tol,1,0),1))</f>
        <v/>
      </c>
      <c r="BN249" s="124" t="str">
        <f>IF($B249="","",IFERROR(IF(ABS(W249-BI249)&gt;P_Tol,1,0),1))</f>
        <v/>
      </c>
      <c r="BO249" s="124" t="str">
        <f>IF($B249="","",IFERROR(IF(OR(ABS(R249+S249-T249)&gt;P_Tol,ABS(U249+V249-W249)&gt;P_Tol,ABS(X249+Y249-Z249)&gt;P_Tol),1,0),1))</f>
        <v/>
      </c>
      <c r="BP249" s="124" t="str">
        <f>IF($B249="","",IFERROR(IF(OR(ABS(AR249-SUM(AB249:AM249))&gt;P_Tol,ABS(AS249-(AN249+AO249+AP249+AQ249))&gt;P_Tol),1,0),1))</f>
        <v/>
      </c>
      <c r="BQ249" s="124" t="str">
        <f>IF($B249="","",IFERROR(IF(ABS(AT249)+ABS(AV249)+ABS(AW249)+ABS(AX249)+ABS(AY249)+ABS(AZ249)+ABS(BA249)+ABS(BB249)&gt;0,1,0),1))</f>
        <v/>
      </c>
      <c r="BR249" s="124" t="str">
        <f>IF($B249="","",COUNTIF(STG_ZPMW03!$B$6:$B$505,B249))</f>
        <v/>
      </c>
      <c r="BS249" s="124" t="str">
        <f>IF($B249="","",COUNTIF($B$6:$B$505,B249))</f>
        <v/>
      </c>
      <c r="BT249" s="124" t="str">
        <f>IF($B249="","",IF(BR249=0,0,IF(INDEX(STG_ZPMW03!$I$6:$I$505,MATCH(B249,STG_ZPMW03!$B$6:$B$505,0))=J249&amp;"",0,1)))</f>
        <v/>
      </c>
      <c r="BU249" s="124" t="str">
        <f>IF($B249="","",IFERROR(IF(ABS(INDEX(Mapping!$D$5:$D$104,MATCH(B249,Mapping!$A$5:$A$104,0))-Q249)&gt;P_Tol,1,0),0))</f>
        <v/>
      </c>
      <c r="BV249" s="124" t="str">
        <f>IF($B249="","",IFERROR(IF(AND(INDEX(Mapping!$G$5:$G$104,MATCH(B249,Mapping!$A$5:$A$104,0))="Nee",ABS(Q249)+ABS(Z249)+ABS(AR249)&gt;0),1,0),0))</f>
        <v/>
      </c>
      <c r="BW249" s="124" t="str">
        <f>IF($B249="","",IF(COUNTIF(Mapping!$A$5:$A$104,B249)&gt;0,1,0))</f>
        <v/>
      </c>
      <c r="BX249" s="124" t="str">
        <f>IF($B249="","",IF(BR249=0,COUNTIF($BR$6:BR249,0),""))</f>
        <v/>
      </c>
    </row>
    <row r="250">
      <c r="A250" s="15" t="n">
        <v>246</v>
      </c>
      <c r="B250" t="str">
        <f>IF(B$3=0,"",IF(INDEX(SRC_Woningetalage!$A$1:$ZZ$501,$A250,B$3)&amp;""="","",INDEX(SRC_Woningetalage!$A$1:$ZZ$501,$A250,B$3)&amp;""))</f>
        <v/>
      </c>
      <c r="C250" t="str">
        <f>IF($B250="","",IF(C$3=0,"n.b.",INDEX(SRC_Woningetalage!$A$1:$ZZ$501,$A250,C$3)))</f>
        <v/>
      </c>
      <c r="D250" t="str">
        <f>IF($B250="","",IF(D$3=0,"n.b.",INDEX(SRC_Woningetalage!$A$1:$ZZ$501,$A250,D$3)))</f>
        <v/>
      </c>
      <c r="E250" t="str">
        <f>IF($B250="","",IF(E$3=0,"n.b.",INDEX(SRC_Woningetalage!$A$1:$ZZ$501,$A250,E$3)))</f>
        <v/>
      </c>
      <c r="F250" t="str">
        <f>IF($B250="","",IF(F$3=0,"n.b.",INDEX(SRC_Woningetalage!$A$1:$ZZ$501,$A250,F$3)))</f>
        <v/>
      </c>
      <c r="G250" t="str">
        <f>IF($B250="","",IF(G$3=0,"n.b.",INDEX(SRC_Woningetalage!$A$1:$ZZ$501,$A250,G$3)))</f>
        <v/>
      </c>
      <c r="H250" t="str">
        <f>IF($B250="","",IF(H$3=0,"n.b.",INDEX(SRC_Woningetalage!$A$1:$ZZ$501,$A250,H$3)))</f>
        <v/>
      </c>
      <c r="I250" t="str">
        <f>IF($B250="","",IF(I$3=0,"n.b.",INDEX(SRC_Woningetalage!$A$1:$ZZ$501,$A250,I$3)))</f>
        <v/>
      </c>
      <c r="J250" t="str">
        <f>IF($B250="","",IF(J$3=0,"n.b.",INDEX(SRC_Woningetalage!$A$1:$ZZ$501,$A250,J$3)))</f>
        <v/>
      </c>
      <c r="K250" t="str">
        <f>IF($B250="","",IF(K$3=0,"n.b.",INDEX(SRC_Woningetalage!$A$1:$ZZ$501,$A250,K$3)))</f>
        <v/>
      </c>
      <c r="L250" t="str">
        <f>IF($B250="","",IF(L$3=0,"n.b.",INDEX(SRC_Woningetalage!$A$1:$ZZ$501,$A250,L$3)))</f>
        <v/>
      </c>
      <c r="M250" t="str">
        <f>IF($B250="","",IF(M$3=0,"n.b.",INDEX(SRC_Woningetalage!$A$1:$ZZ$501,$A250,M$3)))</f>
        <v/>
      </c>
      <c r="N250" t="str">
        <f>IF($B250="","",IF(N$3=0,"n.b.",INDEX(SRC_Woningetalage!$A$1:$ZZ$501,$A250,N$3)))</f>
        <v/>
      </c>
      <c r="O250" t="str">
        <f>IF($B250="","",IF(O$3=0,"n.b.",INDEX(SRC_Woningetalage!$A$1:$ZZ$501,$A250,O$3)))</f>
        <v/>
      </c>
      <c r="P250" t="str">
        <f>IF($B250="","",IF(P$3=0,"n.b.",INDEX(SRC_Woningetalage!$A$1:$ZZ$501,$A250,P$3)))</f>
        <v/>
      </c>
      <c r="Q250" s="124" t="str">
        <f>IF($B250="","",IF(Q$3=0,"n.b.",INDEX(SRC_Woningetalage!$A$1:$ZZ$501,$A250,Q$3)))</f>
        <v/>
      </c>
      <c r="R250" s="124" t="str">
        <f>IF($B250="","",IF(R$3=0,"n.b.",INDEX(SRC_Woningetalage!$A$1:$ZZ$501,$A250,R$3)))</f>
        <v/>
      </c>
      <c r="S250" s="124" t="str">
        <f>IF($B250="","",IF(S$3=0,"n.b.",INDEX(SRC_Woningetalage!$A$1:$ZZ$501,$A250,S$3)))</f>
        <v/>
      </c>
      <c r="T250" s="124" t="str">
        <f>IF($B250="","",IF(T$3=0,"n.b.",INDEX(SRC_Woningetalage!$A$1:$ZZ$501,$A250,T$3)))</f>
        <v/>
      </c>
      <c r="U250" s="124" t="str">
        <f>IF($B250="","",IF(U$3=0,"n.b.",INDEX(SRC_Woningetalage!$A$1:$ZZ$501,$A250,U$3)))</f>
        <v/>
      </c>
      <c r="V250" s="124" t="str">
        <f>IF($B250="","",IF(V$3=0,"n.b.",INDEX(SRC_Woningetalage!$A$1:$ZZ$501,$A250,V$3)))</f>
        <v/>
      </c>
      <c r="W250" s="124" t="str">
        <f>IF($B250="","",IF(W$3=0,"n.b.",INDEX(SRC_Woningetalage!$A$1:$ZZ$501,$A250,W$3)))</f>
        <v/>
      </c>
      <c r="X250" s="124" t="str">
        <f>IF($B250="","",IF(X$3=0,"n.b.",INDEX(SRC_Woningetalage!$A$1:$ZZ$501,$A250,X$3)))</f>
        <v/>
      </c>
      <c r="Y250" s="124" t="str">
        <f>IF($B250="","",IF(Y$3=0,"n.b.",INDEX(SRC_Woningetalage!$A$1:$ZZ$501,$A250,Y$3)))</f>
        <v/>
      </c>
      <c r="Z250" s="124" t="str">
        <f>IF($B250="","",IF(Z$3=0,"n.b.",INDEX(SRC_Woningetalage!$A$1:$ZZ$501,$A250,Z$3)))</f>
        <v/>
      </c>
      <c r="AA250" s="124" t="str">
        <f>IF($B250="","",IF(AA$3=0,"n.b.",INDEX(SRC_Woningetalage!$A$1:$ZZ$501,$A250,AA$3)))</f>
        <v/>
      </c>
      <c r="AB250" s="124" t="str">
        <f>IF($B250="","",IF(AB$3=0,"n.b.",INDEX(SRC_Woningetalage!$A$1:$ZZ$501,$A250,AB$3)))</f>
        <v/>
      </c>
      <c r="AC250" s="124" t="str">
        <f>IF($B250="","",IF(AC$3=0,"n.b.",INDEX(SRC_Woningetalage!$A$1:$ZZ$501,$A250,AC$3)))</f>
        <v/>
      </c>
      <c r="AD250" s="124" t="str">
        <f>IF($B250="","",IF(AD$3=0,"n.b.",INDEX(SRC_Woningetalage!$A$1:$ZZ$501,$A250,AD$3)))</f>
        <v/>
      </c>
      <c r="AE250" s="124" t="str">
        <f>IF($B250="","",IF(AE$3=0,"n.b.",INDEX(SRC_Woningetalage!$A$1:$ZZ$501,$A250,AE$3)))</f>
        <v/>
      </c>
      <c r="AF250" s="124" t="str">
        <f>IF($B250="","",IF(AF$3=0,"n.b.",INDEX(SRC_Woningetalage!$A$1:$ZZ$501,$A250,AF$3)))</f>
        <v/>
      </c>
      <c r="AG250" s="124" t="str">
        <f>IF($B250="","",IF(AG$3=0,"n.b.",INDEX(SRC_Woningetalage!$A$1:$ZZ$501,$A250,AG$3)))</f>
        <v/>
      </c>
      <c r="AH250" s="124" t="str">
        <f>IF($B250="","",IF(AH$3=0,"n.b.",INDEX(SRC_Woningetalage!$A$1:$ZZ$501,$A250,AH$3)))</f>
        <v/>
      </c>
      <c r="AI250" s="124" t="str">
        <f>IF($B250="","",IF(AI$3=0,"n.b.",INDEX(SRC_Woningetalage!$A$1:$ZZ$501,$A250,AI$3)))</f>
        <v/>
      </c>
      <c r="AJ250" s="124" t="str">
        <f>IF($B250="","",IF(AJ$3=0,"n.b.",INDEX(SRC_Woningetalage!$A$1:$ZZ$501,$A250,AJ$3)))</f>
        <v/>
      </c>
      <c r="AK250" s="124" t="str">
        <f>IF($B250="","",IF(AK$3=0,"n.b.",INDEX(SRC_Woningetalage!$A$1:$ZZ$501,$A250,AK$3)))</f>
        <v/>
      </c>
      <c r="AL250" s="124" t="str">
        <f>IF($B250="","",IF(AL$3=0,"n.b.",INDEX(SRC_Woningetalage!$A$1:$ZZ$501,$A250,AL$3)))</f>
        <v/>
      </c>
      <c r="AM250" s="124" t="str">
        <f>IF($B250="","",IF(AM$3=0,"n.b.",INDEX(SRC_Woningetalage!$A$1:$ZZ$501,$A250,AM$3)))</f>
        <v/>
      </c>
      <c r="AN250" s="124" t="str">
        <f>IF($B250="","",IF(AN$3=0,"n.b.",INDEX(SRC_Woningetalage!$A$1:$ZZ$501,$A250,AN$3)))</f>
        <v/>
      </c>
      <c r="AO250" s="124" t="str">
        <f>IF($B250="","",IF(AO$3=0,"n.b.",INDEX(SRC_Woningetalage!$A$1:$ZZ$501,$A250,AO$3)))</f>
        <v/>
      </c>
      <c r="AP250" s="124" t="str">
        <f>IF($B250="","",IF(AP$3=0,"n.b.",INDEX(SRC_Woningetalage!$A$1:$ZZ$501,$A250,AP$3)))</f>
        <v/>
      </c>
      <c r="AQ250" s="124" t="str">
        <f>IF($B250="","",IF(AQ$3=0,"n.b.",INDEX(SRC_Woningetalage!$A$1:$ZZ$501,$A250,AQ$3)))</f>
        <v/>
      </c>
      <c r="AR250" s="124" t="str">
        <f>IF($B250="","",IF(AR$3=0,"n.b.",INDEX(SRC_Woningetalage!$A$1:$ZZ$501,$A250,AR$3)))</f>
        <v/>
      </c>
      <c r="AS250" s="124" t="str">
        <f>IF($B250="","",IF(AS$3=0,"n.b.",INDEX(SRC_Woningetalage!$A$1:$ZZ$501,$A250,AS$3)))</f>
        <v/>
      </c>
      <c r="AT250" s="124" t="str">
        <f>IF($B250="","",IF(AT$3=0,"n.b.",INDEX(SRC_Woningetalage!$A$1:$ZZ$501,$A250,AT$3)))</f>
        <v/>
      </c>
      <c r="AU250" s="124" t="str">
        <f>IF($B250="","",IF(AU$3=0,"n.b.",INDEX(SRC_Woningetalage!$A$1:$ZZ$501,$A250,AU$3)))</f>
        <v/>
      </c>
      <c r="AV250" s="124" t="str">
        <f>IF($B250="","",IF(AV$3=0,"n.b.",INDEX(SRC_Woningetalage!$A$1:$ZZ$501,$A250,AV$3)))</f>
        <v/>
      </c>
      <c r="AW250" s="124" t="str">
        <f>IF($B250="","",IF(AW$3=0,"n.b.",INDEX(SRC_Woningetalage!$A$1:$ZZ$501,$A250,AW$3)))</f>
        <v/>
      </c>
      <c r="AX250" s="124" t="str">
        <f>IF($B250="","",IF(AX$3=0,"n.b.",INDEX(SRC_Woningetalage!$A$1:$ZZ$501,$A250,AX$3)))</f>
        <v/>
      </c>
      <c r="AY250" s="124" t="str">
        <f>IF($B250="","",IF(AY$3=0,"n.b.",INDEX(SRC_Woningetalage!$A$1:$ZZ$501,$A250,AY$3)))</f>
        <v/>
      </c>
      <c r="AZ250" s="124" t="str">
        <f>IF($B250="","",IF(AZ$3=0,"n.b.",INDEX(SRC_Woningetalage!$A$1:$ZZ$501,$A250,AZ$3)))</f>
        <v/>
      </c>
      <c r="BA250" s="124" t="str">
        <f>IF($B250="","",IF(BA$3=0,"n.b.",INDEX(SRC_Woningetalage!$A$1:$ZZ$501,$A250,BA$3)))</f>
        <v/>
      </c>
      <c r="BB250" s="124" t="str">
        <f>IF($B250="","",IF(BB$3=0,"n.b.",INDEX(SRC_Woningetalage!$A$1:$ZZ$501,$A250,BB$3)))</f>
        <v/>
      </c>
      <c r="BC250" s="124" t="str">
        <f>IF($B250="","",IFERROR(_xlfn.NUMBERVALUE(E250&amp;"",",","."),"n.b."))</f>
        <v/>
      </c>
      <c r="BD250" s="124" t="str">
        <f>IF($B250="","",IFERROR(_xlfn.NUMBERVALUE(M250&amp;"",",","."),"n.b."))</f>
        <v/>
      </c>
      <c r="BE250" s="124" t="str">
        <f>IF($B250="","",IFERROR(AB250+AC250+AD250,"n.b."))</f>
        <v/>
      </c>
      <c r="BF250" s="124" t="str">
        <f>IF($B250="","",IFERROR(AE250+AF250+AG250,"n.b."))</f>
        <v/>
      </c>
      <c r="BG250" s="124" t="str">
        <f>IF($B250="","",IFERROR(AH250+AI250+AJ250,"n.b."))</f>
        <v/>
      </c>
      <c r="BH250" s="124" t="str">
        <f>IF($B250="","",IFERROR(AK250+AL250+AM250,"n.b."))</f>
        <v/>
      </c>
      <c r="BI250" s="124" t="str">
        <f>IF($B250="","",IFERROR(SUMIF($AB$5:$AM$5,"&lt;="&amp;P_PeilMaand,AB250:AM250),"n.b."))</f>
        <v/>
      </c>
      <c r="BJ250" s="124" t="str">
        <f>IF($B250="","",IFERROR(SUM(AB250:AM250)-BI250,"n.b."))</f>
        <v/>
      </c>
      <c r="BK250" s="124" t="str">
        <f>IF($B250="","",IFERROR(IF(ABS(Q250-(T250+SUM(AB250:AM250)+AS250+AU250))&gt;P_Tol,1,0),1))</f>
        <v/>
      </c>
      <c r="BL250" s="124" t="str">
        <f>IF($B250="","",IFERROR(IF(ABS(AA250-(Q250-Z250))&gt;P_Tol,1,0),1))</f>
        <v/>
      </c>
      <c r="BM250" s="124" t="str">
        <f>IF($B250="","",IFERROR(IF(ABS(Z250-(T250+W250))&gt;P_Tol,1,0),1))</f>
        <v/>
      </c>
      <c r="BN250" s="124" t="str">
        <f>IF($B250="","",IFERROR(IF(ABS(W250-BI250)&gt;P_Tol,1,0),1))</f>
        <v/>
      </c>
      <c r="BO250" s="124" t="str">
        <f>IF($B250="","",IFERROR(IF(OR(ABS(R250+S250-T250)&gt;P_Tol,ABS(U250+V250-W250)&gt;P_Tol,ABS(X250+Y250-Z250)&gt;P_Tol),1,0),1))</f>
        <v/>
      </c>
      <c r="BP250" s="124" t="str">
        <f>IF($B250="","",IFERROR(IF(OR(ABS(AR250-SUM(AB250:AM250))&gt;P_Tol,ABS(AS250-(AN250+AO250+AP250+AQ250))&gt;P_Tol),1,0),1))</f>
        <v/>
      </c>
      <c r="BQ250" s="124" t="str">
        <f>IF($B250="","",IFERROR(IF(ABS(AT250)+ABS(AV250)+ABS(AW250)+ABS(AX250)+ABS(AY250)+ABS(AZ250)+ABS(BA250)+ABS(BB250)&gt;0,1,0),1))</f>
        <v/>
      </c>
      <c r="BR250" s="124" t="str">
        <f>IF($B250="","",COUNTIF(STG_ZPMW03!$B$6:$B$505,B250))</f>
        <v/>
      </c>
      <c r="BS250" s="124" t="str">
        <f>IF($B250="","",COUNTIF($B$6:$B$505,B250))</f>
        <v/>
      </c>
      <c r="BT250" s="124" t="str">
        <f>IF($B250="","",IF(BR250=0,0,IF(INDEX(STG_ZPMW03!$I$6:$I$505,MATCH(B250,STG_ZPMW03!$B$6:$B$505,0))=J250&amp;"",0,1)))</f>
        <v/>
      </c>
      <c r="BU250" s="124" t="str">
        <f>IF($B250="","",IFERROR(IF(ABS(INDEX(Mapping!$D$5:$D$104,MATCH(B250,Mapping!$A$5:$A$104,0))-Q250)&gt;P_Tol,1,0),0))</f>
        <v/>
      </c>
      <c r="BV250" s="124" t="str">
        <f>IF($B250="","",IFERROR(IF(AND(INDEX(Mapping!$G$5:$G$104,MATCH(B250,Mapping!$A$5:$A$104,0))="Nee",ABS(Q250)+ABS(Z250)+ABS(AR250)&gt;0),1,0),0))</f>
        <v/>
      </c>
      <c r="BW250" s="124" t="str">
        <f>IF($B250="","",IF(COUNTIF(Mapping!$A$5:$A$104,B250)&gt;0,1,0))</f>
        <v/>
      </c>
      <c r="BX250" s="124" t="str">
        <f>IF($B250="","",IF(BR250=0,COUNTIF($BR$6:BR250,0),""))</f>
        <v/>
      </c>
    </row>
    <row r="251">
      <c r="A251" s="15" t="n">
        <v>247</v>
      </c>
      <c r="B251" t="str">
        <f>IF(B$3=0,"",IF(INDEX(SRC_Woningetalage!$A$1:$ZZ$501,$A251,B$3)&amp;""="","",INDEX(SRC_Woningetalage!$A$1:$ZZ$501,$A251,B$3)&amp;""))</f>
        <v/>
      </c>
      <c r="C251" t="str">
        <f>IF($B251="","",IF(C$3=0,"n.b.",INDEX(SRC_Woningetalage!$A$1:$ZZ$501,$A251,C$3)))</f>
        <v/>
      </c>
      <c r="D251" t="str">
        <f>IF($B251="","",IF(D$3=0,"n.b.",INDEX(SRC_Woningetalage!$A$1:$ZZ$501,$A251,D$3)))</f>
        <v/>
      </c>
      <c r="E251" t="str">
        <f>IF($B251="","",IF(E$3=0,"n.b.",INDEX(SRC_Woningetalage!$A$1:$ZZ$501,$A251,E$3)))</f>
        <v/>
      </c>
      <c r="F251" t="str">
        <f>IF($B251="","",IF(F$3=0,"n.b.",INDEX(SRC_Woningetalage!$A$1:$ZZ$501,$A251,F$3)))</f>
        <v/>
      </c>
      <c r="G251" t="str">
        <f>IF($B251="","",IF(G$3=0,"n.b.",INDEX(SRC_Woningetalage!$A$1:$ZZ$501,$A251,G$3)))</f>
        <v/>
      </c>
      <c r="H251" t="str">
        <f>IF($B251="","",IF(H$3=0,"n.b.",INDEX(SRC_Woningetalage!$A$1:$ZZ$501,$A251,H$3)))</f>
        <v/>
      </c>
      <c r="I251" t="str">
        <f>IF($B251="","",IF(I$3=0,"n.b.",INDEX(SRC_Woningetalage!$A$1:$ZZ$501,$A251,I$3)))</f>
        <v/>
      </c>
      <c r="J251" t="str">
        <f>IF($B251="","",IF(J$3=0,"n.b.",INDEX(SRC_Woningetalage!$A$1:$ZZ$501,$A251,J$3)))</f>
        <v/>
      </c>
      <c r="K251" t="str">
        <f>IF($B251="","",IF(K$3=0,"n.b.",INDEX(SRC_Woningetalage!$A$1:$ZZ$501,$A251,K$3)))</f>
        <v/>
      </c>
      <c r="L251" t="str">
        <f>IF($B251="","",IF(L$3=0,"n.b.",INDEX(SRC_Woningetalage!$A$1:$ZZ$501,$A251,L$3)))</f>
        <v/>
      </c>
      <c r="M251" t="str">
        <f>IF($B251="","",IF(M$3=0,"n.b.",INDEX(SRC_Woningetalage!$A$1:$ZZ$501,$A251,M$3)))</f>
        <v/>
      </c>
      <c r="N251" t="str">
        <f>IF($B251="","",IF(N$3=0,"n.b.",INDEX(SRC_Woningetalage!$A$1:$ZZ$501,$A251,N$3)))</f>
        <v/>
      </c>
      <c r="O251" t="str">
        <f>IF($B251="","",IF(O$3=0,"n.b.",INDEX(SRC_Woningetalage!$A$1:$ZZ$501,$A251,O$3)))</f>
        <v/>
      </c>
      <c r="P251" t="str">
        <f>IF($B251="","",IF(P$3=0,"n.b.",INDEX(SRC_Woningetalage!$A$1:$ZZ$501,$A251,P$3)))</f>
        <v/>
      </c>
      <c r="Q251" s="124" t="str">
        <f>IF($B251="","",IF(Q$3=0,"n.b.",INDEX(SRC_Woningetalage!$A$1:$ZZ$501,$A251,Q$3)))</f>
        <v/>
      </c>
      <c r="R251" s="124" t="str">
        <f>IF($B251="","",IF(R$3=0,"n.b.",INDEX(SRC_Woningetalage!$A$1:$ZZ$501,$A251,R$3)))</f>
        <v/>
      </c>
      <c r="S251" s="124" t="str">
        <f>IF($B251="","",IF(S$3=0,"n.b.",INDEX(SRC_Woningetalage!$A$1:$ZZ$501,$A251,S$3)))</f>
        <v/>
      </c>
      <c r="T251" s="124" t="str">
        <f>IF($B251="","",IF(T$3=0,"n.b.",INDEX(SRC_Woningetalage!$A$1:$ZZ$501,$A251,T$3)))</f>
        <v/>
      </c>
      <c r="U251" s="124" t="str">
        <f>IF($B251="","",IF(U$3=0,"n.b.",INDEX(SRC_Woningetalage!$A$1:$ZZ$501,$A251,U$3)))</f>
        <v/>
      </c>
      <c r="V251" s="124" t="str">
        <f>IF($B251="","",IF(V$3=0,"n.b.",INDEX(SRC_Woningetalage!$A$1:$ZZ$501,$A251,V$3)))</f>
        <v/>
      </c>
      <c r="W251" s="124" t="str">
        <f>IF($B251="","",IF(W$3=0,"n.b.",INDEX(SRC_Woningetalage!$A$1:$ZZ$501,$A251,W$3)))</f>
        <v/>
      </c>
      <c r="X251" s="124" t="str">
        <f>IF($B251="","",IF(X$3=0,"n.b.",INDEX(SRC_Woningetalage!$A$1:$ZZ$501,$A251,X$3)))</f>
        <v/>
      </c>
      <c r="Y251" s="124" t="str">
        <f>IF($B251="","",IF(Y$3=0,"n.b.",INDEX(SRC_Woningetalage!$A$1:$ZZ$501,$A251,Y$3)))</f>
        <v/>
      </c>
      <c r="Z251" s="124" t="str">
        <f>IF($B251="","",IF(Z$3=0,"n.b.",INDEX(SRC_Woningetalage!$A$1:$ZZ$501,$A251,Z$3)))</f>
        <v/>
      </c>
      <c r="AA251" s="124" t="str">
        <f>IF($B251="","",IF(AA$3=0,"n.b.",INDEX(SRC_Woningetalage!$A$1:$ZZ$501,$A251,AA$3)))</f>
        <v/>
      </c>
      <c r="AB251" s="124" t="str">
        <f>IF($B251="","",IF(AB$3=0,"n.b.",INDEX(SRC_Woningetalage!$A$1:$ZZ$501,$A251,AB$3)))</f>
        <v/>
      </c>
      <c r="AC251" s="124" t="str">
        <f>IF($B251="","",IF(AC$3=0,"n.b.",INDEX(SRC_Woningetalage!$A$1:$ZZ$501,$A251,AC$3)))</f>
        <v/>
      </c>
      <c r="AD251" s="124" t="str">
        <f>IF($B251="","",IF(AD$3=0,"n.b.",INDEX(SRC_Woningetalage!$A$1:$ZZ$501,$A251,AD$3)))</f>
        <v/>
      </c>
      <c r="AE251" s="124" t="str">
        <f>IF($B251="","",IF(AE$3=0,"n.b.",INDEX(SRC_Woningetalage!$A$1:$ZZ$501,$A251,AE$3)))</f>
        <v/>
      </c>
      <c r="AF251" s="124" t="str">
        <f>IF($B251="","",IF(AF$3=0,"n.b.",INDEX(SRC_Woningetalage!$A$1:$ZZ$501,$A251,AF$3)))</f>
        <v/>
      </c>
      <c r="AG251" s="124" t="str">
        <f>IF($B251="","",IF(AG$3=0,"n.b.",INDEX(SRC_Woningetalage!$A$1:$ZZ$501,$A251,AG$3)))</f>
        <v/>
      </c>
      <c r="AH251" s="124" t="str">
        <f>IF($B251="","",IF(AH$3=0,"n.b.",INDEX(SRC_Woningetalage!$A$1:$ZZ$501,$A251,AH$3)))</f>
        <v/>
      </c>
      <c r="AI251" s="124" t="str">
        <f>IF($B251="","",IF(AI$3=0,"n.b.",INDEX(SRC_Woningetalage!$A$1:$ZZ$501,$A251,AI$3)))</f>
        <v/>
      </c>
      <c r="AJ251" s="124" t="str">
        <f>IF($B251="","",IF(AJ$3=0,"n.b.",INDEX(SRC_Woningetalage!$A$1:$ZZ$501,$A251,AJ$3)))</f>
        <v/>
      </c>
      <c r="AK251" s="124" t="str">
        <f>IF($B251="","",IF(AK$3=0,"n.b.",INDEX(SRC_Woningetalage!$A$1:$ZZ$501,$A251,AK$3)))</f>
        <v/>
      </c>
      <c r="AL251" s="124" t="str">
        <f>IF($B251="","",IF(AL$3=0,"n.b.",INDEX(SRC_Woningetalage!$A$1:$ZZ$501,$A251,AL$3)))</f>
        <v/>
      </c>
      <c r="AM251" s="124" t="str">
        <f>IF($B251="","",IF(AM$3=0,"n.b.",INDEX(SRC_Woningetalage!$A$1:$ZZ$501,$A251,AM$3)))</f>
        <v/>
      </c>
      <c r="AN251" s="124" t="str">
        <f>IF($B251="","",IF(AN$3=0,"n.b.",INDEX(SRC_Woningetalage!$A$1:$ZZ$501,$A251,AN$3)))</f>
        <v/>
      </c>
      <c r="AO251" s="124" t="str">
        <f>IF($B251="","",IF(AO$3=0,"n.b.",INDEX(SRC_Woningetalage!$A$1:$ZZ$501,$A251,AO$3)))</f>
        <v/>
      </c>
      <c r="AP251" s="124" t="str">
        <f>IF($B251="","",IF(AP$3=0,"n.b.",INDEX(SRC_Woningetalage!$A$1:$ZZ$501,$A251,AP$3)))</f>
        <v/>
      </c>
      <c r="AQ251" s="124" t="str">
        <f>IF($B251="","",IF(AQ$3=0,"n.b.",INDEX(SRC_Woningetalage!$A$1:$ZZ$501,$A251,AQ$3)))</f>
        <v/>
      </c>
      <c r="AR251" s="124" t="str">
        <f>IF($B251="","",IF(AR$3=0,"n.b.",INDEX(SRC_Woningetalage!$A$1:$ZZ$501,$A251,AR$3)))</f>
        <v/>
      </c>
      <c r="AS251" s="124" t="str">
        <f>IF($B251="","",IF(AS$3=0,"n.b.",INDEX(SRC_Woningetalage!$A$1:$ZZ$501,$A251,AS$3)))</f>
        <v/>
      </c>
      <c r="AT251" s="124" t="str">
        <f>IF($B251="","",IF(AT$3=0,"n.b.",INDEX(SRC_Woningetalage!$A$1:$ZZ$501,$A251,AT$3)))</f>
        <v/>
      </c>
      <c r="AU251" s="124" t="str">
        <f>IF($B251="","",IF(AU$3=0,"n.b.",INDEX(SRC_Woningetalage!$A$1:$ZZ$501,$A251,AU$3)))</f>
        <v/>
      </c>
      <c r="AV251" s="124" t="str">
        <f>IF($B251="","",IF(AV$3=0,"n.b.",INDEX(SRC_Woningetalage!$A$1:$ZZ$501,$A251,AV$3)))</f>
        <v/>
      </c>
      <c r="AW251" s="124" t="str">
        <f>IF($B251="","",IF(AW$3=0,"n.b.",INDEX(SRC_Woningetalage!$A$1:$ZZ$501,$A251,AW$3)))</f>
        <v/>
      </c>
      <c r="AX251" s="124" t="str">
        <f>IF($B251="","",IF(AX$3=0,"n.b.",INDEX(SRC_Woningetalage!$A$1:$ZZ$501,$A251,AX$3)))</f>
        <v/>
      </c>
      <c r="AY251" s="124" t="str">
        <f>IF($B251="","",IF(AY$3=0,"n.b.",INDEX(SRC_Woningetalage!$A$1:$ZZ$501,$A251,AY$3)))</f>
        <v/>
      </c>
      <c r="AZ251" s="124" t="str">
        <f>IF($B251="","",IF(AZ$3=0,"n.b.",INDEX(SRC_Woningetalage!$A$1:$ZZ$501,$A251,AZ$3)))</f>
        <v/>
      </c>
      <c r="BA251" s="124" t="str">
        <f>IF($B251="","",IF(BA$3=0,"n.b.",INDEX(SRC_Woningetalage!$A$1:$ZZ$501,$A251,BA$3)))</f>
        <v/>
      </c>
      <c r="BB251" s="124" t="str">
        <f>IF($B251="","",IF(BB$3=0,"n.b.",INDEX(SRC_Woningetalage!$A$1:$ZZ$501,$A251,BB$3)))</f>
        <v/>
      </c>
      <c r="BC251" s="124" t="str">
        <f>IF($B251="","",IFERROR(_xlfn.NUMBERVALUE(E251&amp;"",",","."),"n.b."))</f>
        <v/>
      </c>
      <c r="BD251" s="124" t="str">
        <f>IF($B251="","",IFERROR(_xlfn.NUMBERVALUE(M251&amp;"",",","."),"n.b."))</f>
        <v/>
      </c>
      <c r="BE251" s="124" t="str">
        <f>IF($B251="","",IFERROR(AB251+AC251+AD251,"n.b."))</f>
        <v/>
      </c>
      <c r="BF251" s="124" t="str">
        <f>IF($B251="","",IFERROR(AE251+AF251+AG251,"n.b."))</f>
        <v/>
      </c>
      <c r="BG251" s="124" t="str">
        <f>IF($B251="","",IFERROR(AH251+AI251+AJ251,"n.b."))</f>
        <v/>
      </c>
      <c r="BH251" s="124" t="str">
        <f>IF($B251="","",IFERROR(AK251+AL251+AM251,"n.b."))</f>
        <v/>
      </c>
      <c r="BI251" s="124" t="str">
        <f>IF($B251="","",IFERROR(SUMIF($AB$5:$AM$5,"&lt;="&amp;P_PeilMaand,AB251:AM251),"n.b."))</f>
        <v/>
      </c>
      <c r="BJ251" s="124" t="str">
        <f>IF($B251="","",IFERROR(SUM(AB251:AM251)-BI251,"n.b."))</f>
        <v/>
      </c>
      <c r="BK251" s="124" t="str">
        <f>IF($B251="","",IFERROR(IF(ABS(Q251-(T251+SUM(AB251:AM251)+AS251+AU251))&gt;P_Tol,1,0),1))</f>
        <v/>
      </c>
      <c r="BL251" s="124" t="str">
        <f>IF($B251="","",IFERROR(IF(ABS(AA251-(Q251-Z251))&gt;P_Tol,1,0),1))</f>
        <v/>
      </c>
      <c r="BM251" s="124" t="str">
        <f>IF($B251="","",IFERROR(IF(ABS(Z251-(T251+W251))&gt;P_Tol,1,0),1))</f>
        <v/>
      </c>
      <c r="BN251" s="124" t="str">
        <f>IF($B251="","",IFERROR(IF(ABS(W251-BI251)&gt;P_Tol,1,0),1))</f>
        <v/>
      </c>
      <c r="BO251" s="124" t="str">
        <f>IF($B251="","",IFERROR(IF(OR(ABS(R251+S251-T251)&gt;P_Tol,ABS(U251+V251-W251)&gt;P_Tol,ABS(X251+Y251-Z251)&gt;P_Tol),1,0),1))</f>
        <v/>
      </c>
      <c r="BP251" s="124" t="str">
        <f>IF($B251="","",IFERROR(IF(OR(ABS(AR251-SUM(AB251:AM251))&gt;P_Tol,ABS(AS251-(AN251+AO251+AP251+AQ251))&gt;P_Tol),1,0),1))</f>
        <v/>
      </c>
      <c r="BQ251" s="124" t="str">
        <f>IF($B251="","",IFERROR(IF(ABS(AT251)+ABS(AV251)+ABS(AW251)+ABS(AX251)+ABS(AY251)+ABS(AZ251)+ABS(BA251)+ABS(BB251)&gt;0,1,0),1))</f>
        <v/>
      </c>
      <c r="BR251" s="124" t="str">
        <f>IF($B251="","",COUNTIF(STG_ZPMW03!$B$6:$B$505,B251))</f>
        <v/>
      </c>
      <c r="BS251" s="124" t="str">
        <f>IF($B251="","",COUNTIF($B$6:$B$505,B251))</f>
        <v/>
      </c>
      <c r="BT251" s="124" t="str">
        <f>IF($B251="","",IF(BR251=0,0,IF(INDEX(STG_ZPMW03!$I$6:$I$505,MATCH(B251,STG_ZPMW03!$B$6:$B$505,0))=J251&amp;"",0,1)))</f>
        <v/>
      </c>
      <c r="BU251" s="124" t="str">
        <f>IF($B251="","",IFERROR(IF(ABS(INDEX(Mapping!$D$5:$D$104,MATCH(B251,Mapping!$A$5:$A$104,0))-Q251)&gt;P_Tol,1,0),0))</f>
        <v/>
      </c>
      <c r="BV251" s="124" t="str">
        <f>IF($B251="","",IFERROR(IF(AND(INDEX(Mapping!$G$5:$G$104,MATCH(B251,Mapping!$A$5:$A$104,0))="Nee",ABS(Q251)+ABS(Z251)+ABS(AR251)&gt;0),1,0),0))</f>
        <v/>
      </c>
      <c r="BW251" s="124" t="str">
        <f>IF($B251="","",IF(COUNTIF(Mapping!$A$5:$A$104,B251)&gt;0,1,0))</f>
        <v/>
      </c>
      <c r="BX251" s="124" t="str">
        <f>IF($B251="","",IF(BR251=0,COUNTIF($BR$6:BR251,0),""))</f>
        <v/>
      </c>
    </row>
    <row r="252">
      <c r="A252" s="15" t="n">
        <v>248</v>
      </c>
      <c r="B252" t="str">
        <f>IF(B$3=0,"",IF(INDEX(SRC_Woningetalage!$A$1:$ZZ$501,$A252,B$3)&amp;""="","",INDEX(SRC_Woningetalage!$A$1:$ZZ$501,$A252,B$3)&amp;""))</f>
        <v/>
      </c>
      <c r="C252" t="str">
        <f>IF($B252="","",IF(C$3=0,"n.b.",INDEX(SRC_Woningetalage!$A$1:$ZZ$501,$A252,C$3)))</f>
        <v/>
      </c>
      <c r="D252" t="str">
        <f>IF($B252="","",IF(D$3=0,"n.b.",INDEX(SRC_Woningetalage!$A$1:$ZZ$501,$A252,D$3)))</f>
        <v/>
      </c>
      <c r="E252" t="str">
        <f>IF($B252="","",IF(E$3=0,"n.b.",INDEX(SRC_Woningetalage!$A$1:$ZZ$501,$A252,E$3)))</f>
        <v/>
      </c>
      <c r="F252" t="str">
        <f>IF($B252="","",IF(F$3=0,"n.b.",INDEX(SRC_Woningetalage!$A$1:$ZZ$501,$A252,F$3)))</f>
        <v/>
      </c>
      <c r="G252" t="str">
        <f>IF($B252="","",IF(G$3=0,"n.b.",INDEX(SRC_Woningetalage!$A$1:$ZZ$501,$A252,G$3)))</f>
        <v/>
      </c>
      <c r="H252" t="str">
        <f>IF($B252="","",IF(H$3=0,"n.b.",INDEX(SRC_Woningetalage!$A$1:$ZZ$501,$A252,H$3)))</f>
        <v/>
      </c>
      <c r="I252" t="str">
        <f>IF($B252="","",IF(I$3=0,"n.b.",INDEX(SRC_Woningetalage!$A$1:$ZZ$501,$A252,I$3)))</f>
        <v/>
      </c>
      <c r="J252" t="str">
        <f>IF($B252="","",IF(J$3=0,"n.b.",INDEX(SRC_Woningetalage!$A$1:$ZZ$501,$A252,J$3)))</f>
        <v/>
      </c>
      <c r="K252" t="str">
        <f>IF($B252="","",IF(K$3=0,"n.b.",INDEX(SRC_Woningetalage!$A$1:$ZZ$501,$A252,K$3)))</f>
        <v/>
      </c>
      <c r="L252" t="str">
        <f>IF($B252="","",IF(L$3=0,"n.b.",INDEX(SRC_Woningetalage!$A$1:$ZZ$501,$A252,L$3)))</f>
        <v/>
      </c>
      <c r="M252" t="str">
        <f>IF($B252="","",IF(M$3=0,"n.b.",INDEX(SRC_Woningetalage!$A$1:$ZZ$501,$A252,M$3)))</f>
        <v/>
      </c>
      <c r="N252" t="str">
        <f>IF($B252="","",IF(N$3=0,"n.b.",INDEX(SRC_Woningetalage!$A$1:$ZZ$501,$A252,N$3)))</f>
        <v/>
      </c>
      <c r="O252" t="str">
        <f>IF($B252="","",IF(O$3=0,"n.b.",INDEX(SRC_Woningetalage!$A$1:$ZZ$501,$A252,O$3)))</f>
        <v/>
      </c>
      <c r="P252" t="str">
        <f>IF($B252="","",IF(P$3=0,"n.b.",INDEX(SRC_Woningetalage!$A$1:$ZZ$501,$A252,P$3)))</f>
        <v/>
      </c>
      <c r="Q252" s="124" t="str">
        <f>IF($B252="","",IF(Q$3=0,"n.b.",INDEX(SRC_Woningetalage!$A$1:$ZZ$501,$A252,Q$3)))</f>
        <v/>
      </c>
      <c r="R252" s="124" t="str">
        <f>IF($B252="","",IF(R$3=0,"n.b.",INDEX(SRC_Woningetalage!$A$1:$ZZ$501,$A252,R$3)))</f>
        <v/>
      </c>
      <c r="S252" s="124" t="str">
        <f>IF($B252="","",IF(S$3=0,"n.b.",INDEX(SRC_Woningetalage!$A$1:$ZZ$501,$A252,S$3)))</f>
        <v/>
      </c>
      <c r="T252" s="124" t="str">
        <f>IF($B252="","",IF(T$3=0,"n.b.",INDEX(SRC_Woningetalage!$A$1:$ZZ$501,$A252,T$3)))</f>
        <v/>
      </c>
      <c r="U252" s="124" t="str">
        <f>IF($B252="","",IF(U$3=0,"n.b.",INDEX(SRC_Woningetalage!$A$1:$ZZ$501,$A252,U$3)))</f>
        <v/>
      </c>
      <c r="V252" s="124" t="str">
        <f>IF($B252="","",IF(V$3=0,"n.b.",INDEX(SRC_Woningetalage!$A$1:$ZZ$501,$A252,V$3)))</f>
        <v/>
      </c>
      <c r="W252" s="124" t="str">
        <f>IF($B252="","",IF(W$3=0,"n.b.",INDEX(SRC_Woningetalage!$A$1:$ZZ$501,$A252,W$3)))</f>
        <v/>
      </c>
      <c r="X252" s="124" t="str">
        <f>IF($B252="","",IF(X$3=0,"n.b.",INDEX(SRC_Woningetalage!$A$1:$ZZ$501,$A252,X$3)))</f>
        <v/>
      </c>
      <c r="Y252" s="124" t="str">
        <f>IF($B252="","",IF(Y$3=0,"n.b.",INDEX(SRC_Woningetalage!$A$1:$ZZ$501,$A252,Y$3)))</f>
        <v/>
      </c>
      <c r="Z252" s="124" t="str">
        <f>IF($B252="","",IF(Z$3=0,"n.b.",INDEX(SRC_Woningetalage!$A$1:$ZZ$501,$A252,Z$3)))</f>
        <v/>
      </c>
      <c r="AA252" s="124" t="str">
        <f>IF($B252="","",IF(AA$3=0,"n.b.",INDEX(SRC_Woningetalage!$A$1:$ZZ$501,$A252,AA$3)))</f>
        <v/>
      </c>
      <c r="AB252" s="124" t="str">
        <f>IF($B252="","",IF(AB$3=0,"n.b.",INDEX(SRC_Woningetalage!$A$1:$ZZ$501,$A252,AB$3)))</f>
        <v/>
      </c>
      <c r="AC252" s="124" t="str">
        <f>IF($B252="","",IF(AC$3=0,"n.b.",INDEX(SRC_Woningetalage!$A$1:$ZZ$501,$A252,AC$3)))</f>
        <v/>
      </c>
      <c r="AD252" s="124" t="str">
        <f>IF($B252="","",IF(AD$3=0,"n.b.",INDEX(SRC_Woningetalage!$A$1:$ZZ$501,$A252,AD$3)))</f>
        <v/>
      </c>
      <c r="AE252" s="124" t="str">
        <f>IF($B252="","",IF(AE$3=0,"n.b.",INDEX(SRC_Woningetalage!$A$1:$ZZ$501,$A252,AE$3)))</f>
        <v/>
      </c>
      <c r="AF252" s="124" t="str">
        <f>IF($B252="","",IF(AF$3=0,"n.b.",INDEX(SRC_Woningetalage!$A$1:$ZZ$501,$A252,AF$3)))</f>
        <v/>
      </c>
      <c r="AG252" s="124" t="str">
        <f>IF($B252="","",IF(AG$3=0,"n.b.",INDEX(SRC_Woningetalage!$A$1:$ZZ$501,$A252,AG$3)))</f>
        <v/>
      </c>
      <c r="AH252" s="124" t="str">
        <f>IF($B252="","",IF(AH$3=0,"n.b.",INDEX(SRC_Woningetalage!$A$1:$ZZ$501,$A252,AH$3)))</f>
        <v/>
      </c>
      <c r="AI252" s="124" t="str">
        <f>IF($B252="","",IF(AI$3=0,"n.b.",INDEX(SRC_Woningetalage!$A$1:$ZZ$501,$A252,AI$3)))</f>
        <v/>
      </c>
      <c r="AJ252" s="124" t="str">
        <f>IF($B252="","",IF(AJ$3=0,"n.b.",INDEX(SRC_Woningetalage!$A$1:$ZZ$501,$A252,AJ$3)))</f>
        <v/>
      </c>
      <c r="AK252" s="124" t="str">
        <f>IF($B252="","",IF(AK$3=0,"n.b.",INDEX(SRC_Woningetalage!$A$1:$ZZ$501,$A252,AK$3)))</f>
        <v/>
      </c>
      <c r="AL252" s="124" t="str">
        <f>IF($B252="","",IF(AL$3=0,"n.b.",INDEX(SRC_Woningetalage!$A$1:$ZZ$501,$A252,AL$3)))</f>
        <v/>
      </c>
      <c r="AM252" s="124" t="str">
        <f>IF($B252="","",IF(AM$3=0,"n.b.",INDEX(SRC_Woningetalage!$A$1:$ZZ$501,$A252,AM$3)))</f>
        <v/>
      </c>
      <c r="AN252" s="124" t="str">
        <f>IF($B252="","",IF(AN$3=0,"n.b.",INDEX(SRC_Woningetalage!$A$1:$ZZ$501,$A252,AN$3)))</f>
        <v/>
      </c>
      <c r="AO252" s="124" t="str">
        <f>IF($B252="","",IF(AO$3=0,"n.b.",INDEX(SRC_Woningetalage!$A$1:$ZZ$501,$A252,AO$3)))</f>
        <v/>
      </c>
      <c r="AP252" s="124" t="str">
        <f>IF($B252="","",IF(AP$3=0,"n.b.",INDEX(SRC_Woningetalage!$A$1:$ZZ$501,$A252,AP$3)))</f>
        <v/>
      </c>
      <c r="AQ252" s="124" t="str">
        <f>IF($B252="","",IF(AQ$3=0,"n.b.",INDEX(SRC_Woningetalage!$A$1:$ZZ$501,$A252,AQ$3)))</f>
        <v/>
      </c>
      <c r="AR252" s="124" t="str">
        <f>IF($B252="","",IF(AR$3=0,"n.b.",INDEX(SRC_Woningetalage!$A$1:$ZZ$501,$A252,AR$3)))</f>
        <v/>
      </c>
      <c r="AS252" s="124" t="str">
        <f>IF($B252="","",IF(AS$3=0,"n.b.",INDEX(SRC_Woningetalage!$A$1:$ZZ$501,$A252,AS$3)))</f>
        <v/>
      </c>
      <c r="AT252" s="124" t="str">
        <f>IF($B252="","",IF(AT$3=0,"n.b.",INDEX(SRC_Woningetalage!$A$1:$ZZ$501,$A252,AT$3)))</f>
        <v/>
      </c>
      <c r="AU252" s="124" t="str">
        <f>IF($B252="","",IF(AU$3=0,"n.b.",INDEX(SRC_Woningetalage!$A$1:$ZZ$501,$A252,AU$3)))</f>
        <v/>
      </c>
      <c r="AV252" s="124" t="str">
        <f>IF($B252="","",IF(AV$3=0,"n.b.",INDEX(SRC_Woningetalage!$A$1:$ZZ$501,$A252,AV$3)))</f>
        <v/>
      </c>
      <c r="AW252" s="124" t="str">
        <f>IF($B252="","",IF(AW$3=0,"n.b.",INDEX(SRC_Woningetalage!$A$1:$ZZ$501,$A252,AW$3)))</f>
        <v/>
      </c>
      <c r="AX252" s="124" t="str">
        <f>IF($B252="","",IF(AX$3=0,"n.b.",INDEX(SRC_Woningetalage!$A$1:$ZZ$501,$A252,AX$3)))</f>
        <v/>
      </c>
      <c r="AY252" s="124" t="str">
        <f>IF($B252="","",IF(AY$3=0,"n.b.",INDEX(SRC_Woningetalage!$A$1:$ZZ$501,$A252,AY$3)))</f>
        <v/>
      </c>
      <c r="AZ252" s="124" t="str">
        <f>IF($B252="","",IF(AZ$3=0,"n.b.",INDEX(SRC_Woningetalage!$A$1:$ZZ$501,$A252,AZ$3)))</f>
        <v/>
      </c>
      <c r="BA252" s="124" t="str">
        <f>IF($B252="","",IF(BA$3=0,"n.b.",INDEX(SRC_Woningetalage!$A$1:$ZZ$501,$A252,BA$3)))</f>
        <v/>
      </c>
      <c r="BB252" s="124" t="str">
        <f>IF($B252="","",IF(BB$3=0,"n.b.",INDEX(SRC_Woningetalage!$A$1:$ZZ$501,$A252,BB$3)))</f>
        <v/>
      </c>
      <c r="BC252" s="124" t="str">
        <f>IF($B252="","",IFERROR(_xlfn.NUMBERVALUE(E252&amp;"",",","."),"n.b."))</f>
        <v/>
      </c>
      <c r="BD252" s="124" t="str">
        <f>IF($B252="","",IFERROR(_xlfn.NUMBERVALUE(M252&amp;"",",","."),"n.b."))</f>
        <v/>
      </c>
      <c r="BE252" s="124" t="str">
        <f>IF($B252="","",IFERROR(AB252+AC252+AD252,"n.b."))</f>
        <v/>
      </c>
      <c r="BF252" s="124" t="str">
        <f>IF($B252="","",IFERROR(AE252+AF252+AG252,"n.b."))</f>
        <v/>
      </c>
      <c r="BG252" s="124" t="str">
        <f>IF($B252="","",IFERROR(AH252+AI252+AJ252,"n.b."))</f>
        <v/>
      </c>
      <c r="BH252" s="124" t="str">
        <f>IF($B252="","",IFERROR(AK252+AL252+AM252,"n.b."))</f>
        <v/>
      </c>
      <c r="BI252" s="124" t="str">
        <f>IF($B252="","",IFERROR(SUMIF($AB$5:$AM$5,"&lt;="&amp;P_PeilMaand,AB252:AM252),"n.b."))</f>
        <v/>
      </c>
      <c r="BJ252" s="124" t="str">
        <f>IF($B252="","",IFERROR(SUM(AB252:AM252)-BI252,"n.b."))</f>
        <v/>
      </c>
      <c r="BK252" s="124" t="str">
        <f>IF($B252="","",IFERROR(IF(ABS(Q252-(T252+SUM(AB252:AM252)+AS252+AU252))&gt;P_Tol,1,0),1))</f>
        <v/>
      </c>
      <c r="BL252" s="124" t="str">
        <f>IF($B252="","",IFERROR(IF(ABS(AA252-(Q252-Z252))&gt;P_Tol,1,0),1))</f>
        <v/>
      </c>
      <c r="BM252" s="124" t="str">
        <f>IF($B252="","",IFERROR(IF(ABS(Z252-(T252+W252))&gt;P_Tol,1,0),1))</f>
        <v/>
      </c>
      <c r="BN252" s="124" t="str">
        <f>IF($B252="","",IFERROR(IF(ABS(W252-BI252)&gt;P_Tol,1,0),1))</f>
        <v/>
      </c>
      <c r="BO252" s="124" t="str">
        <f>IF($B252="","",IFERROR(IF(OR(ABS(R252+S252-T252)&gt;P_Tol,ABS(U252+V252-W252)&gt;P_Tol,ABS(X252+Y252-Z252)&gt;P_Tol),1,0),1))</f>
        <v/>
      </c>
      <c r="BP252" s="124" t="str">
        <f>IF($B252="","",IFERROR(IF(OR(ABS(AR252-SUM(AB252:AM252))&gt;P_Tol,ABS(AS252-(AN252+AO252+AP252+AQ252))&gt;P_Tol),1,0),1))</f>
        <v/>
      </c>
      <c r="BQ252" s="124" t="str">
        <f>IF($B252="","",IFERROR(IF(ABS(AT252)+ABS(AV252)+ABS(AW252)+ABS(AX252)+ABS(AY252)+ABS(AZ252)+ABS(BA252)+ABS(BB252)&gt;0,1,0),1))</f>
        <v/>
      </c>
      <c r="BR252" s="124" t="str">
        <f>IF($B252="","",COUNTIF(STG_ZPMW03!$B$6:$B$505,B252))</f>
        <v/>
      </c>
      <c r="BS252" s="124" t="str">
        <f>IF($B252="","",COUNTIF($B$6:$B$505,B252))</f>
        <v/>
      </c>
      <c r="BT252" s="124" t="str">
        <f>IF($B252="","",IF(BR252=0,0,IF(INDEX(STG_ZPMW03!$I$6:$I$505,MATCH(B252,STG_ZPMW03!$B$6:$B$505,0))=J252&amp;"",0,1)))</f>
        <v/>
      </c>
      <c r="BU252" s="124" t="str">
        <f>IF($B252="","",IFERROR(IF(ABS(INDEX(Mapping!$D$5:$D$104,MATCH(B252,Mapping!$A$5:$A$104,0))-Q252)&gt;P_Tol,1,0),0))</f>
        <v/>
      </c>
      <c r="BV252" s="124" t="str">
        <f>IF($B252="","",IFERROR(IF(AND(INDEX(Mapping!$G$5:$G$104,MATCH(B252,Mapping!$A$5:$A$104,0))="Nee",ABS(Q252)+ABS(Z252)+ABS(AR252)&gt;0),1,0),0))</f>
        <v/>
      </c>
      <c r="BW252" s="124" t="str">
        <f>IF($B252="","",IF(COUNTIF(Mapping!$A$5:$A$104,B252)&gt;0,1,0))</f>
        <v/>
      </c>
      <c r="BX252" s="124" t="str">
        <f>IF($B252="","",IF(BR252=0,COUNTIF($BR$6:BR252,0),""))</f>
        <v/>
      </c>
    </row>
    <row r="253">
      <c r="A253" s="15" t="n">
        <v>249</v>
      </c>
      <c r="B253" t="str">
        <f>IF(B$3=0,"",IF(INDEX(SRC_Woningetalage!$A$1:$ZZ$501,$A253,B$3)&amp;""="","",INDEX(SRC_Woningetalage!$A$1:$ZZ$501,$A253,B$3)&amp;""))</f>
        <v/>
      </c>
      <c r="C253" t="str">
        <f>IF($B253="","",IF(C$3=0,"n.b.",INDEX(SRC_Woningetalage!$A$1:$ZZ$501,$A253,C$3)))</f>
        <v/>
      </c>
      <c r="D253" t="str">
        <f>IF($B253="","",IF(D$3=0,"n.b.",INDEX(SRC_Woningetalage!$A$1:$ZZ$501,$A253,D$3)))</f>
        <v/>
      </c>
      <c r="E253" t="str">
        <f>IF($B253="","",IF(E$3=0,"n.b.",INDEX(SRC_Woningetalage!$A$1:$ZZ$501,$A253,E$3)))</f>
        <v/>
      </c>
      <c r="F253" t="str">
        <f>IF($B253="","",IF(F$3=0,"n.b.",INDEX(SRC_Woningetalage!$A$1:$ZZ$501,$A253,F$3)))</f>
        <v/>
      </c>
      <c r="G253" t="str">
        <f>IF($B253="","",IF(G$3=0,"n.b.",INDEX(SRC_Woningetalage!$A$1:$ZZ$501,$A253,G$3)))</f>
        <v/>
      </c>
      <c r="H253" t="str">
        <f>IF($B253="","",IF(H$3=0,"n.b.",INDEX(SRC_Woningetalage!$A$1:$ZZ$501,$A253,H$3)))</f>
        <v/>
      </c>
      <c r="I253" t="str">
        <f>IF($B253="","",IF(I$3=0,"n.b.",INDEX(SRC_Woningetalage!$A$1:$ZZ$501,$A253,I$3)))</f>
        <v/>
      </c>
      <c r="J253" t="str">
        <f>IF($B253="","",IF(J$3=0,"n.b.",INDEX(SRC_Woningetalage!$A$1:$ZZ$501,$A253,J$3)))</f>
        <v/>
      </c>
      <c r="K253" t="str">
        <f>IF($B253="","",IF(K$3=0,"n.b.",INDEX(SRC_Woningetalage!$A$1:$ZZ$501,$A253,K$3)))</f>
        <v/>
      </c>
      <c r="L253" t="str">
        <f>IF($B253="","",IF(L$3=0,"n.b.",INDEX(SRC_Woningetalage!$A$1:$ZZ$501,$A253,L$3)))</f>
        <v/>
      </c>
      <c r="M253" t="str">
        <f>IF($B253="","",IF(M$3=0,"n.b.",INDEX(SRC_Woningetalage!$A$1:$ZZ$501,$A253,M$3)))</f>
        <v/>
      </c>
      <c r="N253" t="str">
        <f>IF($B253="","",IF(N$3=0,"n.b.",INDEX(SRC_Woningetalage!$A$1:$ZZ$501,$A253,N$3)))</f>
        <v/>
      </c>
      <c r="O253" t="str">
        <f>IF($B253="","",IF(O$3=0,"n.b.",INDEX(SRC_Woningetalage!$A$1:$ZZ$501,$A253,O$3)))</f>
        <v/>
      </c>
      <c r="P253" t="str">
        <f>IF($B253="","",IF(P$3=0,"n.b.",INDEX(SRC_Woningetalage!$A$1:$ZZ$501,$A253,P$3)))</f>
        <v/>
      </c>
      <c r="Q253" s="124" t="str">
        <f>IF($B253="","",IF(Q$3=0,"n.b.",INDEX(SRC_Woningetalage!$A$1:$ZZ$501,$A253,Q$3)))</f>
        <v/>
      </c>
      <c r="R253" s="124" t="str">
        <f>IF($B253="","",IF(R$3=0,"n.b.",INDEX(SRC_Woningetalage!$A$1:$ZZ$501,$A253,R$3)))</f>
        <v/>
      </c>
      <c r="S253" s="124" t="str">
        <f>IF($B253="","",IF(S$3=0,"n.b.",INDEX(SRC_Woningetalage!$A$1:$ZZ$501,$A253,S$3)))</f>
        <v/>
      </c>
      <c r="T253" s="124" t="str">
        <f>IF($B253="","",IF(T$3=0,"n.b.",INDEX(SRC_Woningetalage!$A$1:$ZZ$501,$A253,T$3)))</f>
        <v/>
      </c>
      <c r="U253" s="124" t="str">
        <f>IF($B253="","",IF(U$3=0,"n.b.",INDEX(SRC_Woningetalage!$A$1:$ZZ$501,$A253,U$3)))</f>
        <v/>
      </c>
      <c r="V253" s="124" t="str">
        <f>IF($B253="","",IF(V$3=0,"n.b.",INDEX(SRC_Woningetalage!$A$1:$ZZ$501,$A253,V$3)))</f>
        <v/>
      </c>
      <c r="W253" s="124" t="str">
        <f>IF($B253="","",IF(W$3=0,"n.b.",INDEX(SRC_Woningetalage!$A$1:$ZZ$501,$A253,W$3)))</f>
        <v/>
      </c>
      <c r="X253" s="124" t="str">
        <f>IF($B253="","",IF(X$3=0,"n.b.",INDEX(SRC_Woningetalage!$A$1:$ZZ$501,$A253,X$3)))</f>
        <v/>
      </c>
      <c r="Y253" s="124" t="str">
        <f>IF($B253="","",IF(Y$3=0,"n.b.",INDEX(SRC_Woningetalage!$A$1:$ZZ$501,$A253,Y$3)))</f>
        <v/>
      </c>
      <c r="Z253" s="124" t="str">
        <f>IF($B253="","",IF(Z$3=0,"n.b.",INDEX(SRC_Woningetalage!$A$1:$ZZ$501,$A253,Z$3)))</f>
        <v/>
      </c>
      <c r="AA253" s="124" t="str">
        <f>IF($B253="","",IF(AA$3=0,"n.b.",INDEX(SRC_Woningetalage!$A$1:$ZZ$501,$A253,AA$3)))</f>
        <v/>
      </c>
      <c r="AB253" s="124" t="str">
        <f>IF($B253="","",IF(AB$3=0,"n.b.",INDEX(SRC_Woningetalage!$A$1:$ZZ$501,$A253,AB$3)))</f>
        <v/>
      </c>
      <c r="AC253" s="124" t="str">
        <f>IF($B253="","",IF(AC$3=0,"n.b.",INDEX(SRC_Woningetalage!$A$1:$ZZ$501,$A253,AC$3)))</f>
        <v/>
      </c>
      <c r="AD253" s="124" t="str">
        <f>IF($B253="","",IF(AD$3=0,"n.b.",INDEX(SRC_Woningetalage!$A$1:$ZZ$501,$A253,AD$3)))</f>
        <v/>
      </c>
      <c r="AE253" s="124" t="str">
        <f>IF($B253="","",IF(AE$3=0,"n.b.",INDEX(SRC_Woningetalage!$A$1:$ZZ$501,$A253,AE$3)))</f>
        <v/>
      </c>
      <c r="AF253" s="124" t="str">
        <f>IF($B253="","",IF(AF$3=0,"n.b.",INDEX(SRC_Woningetalage!$A$1:$ZZ$501,$A253,AF$3)))</f>
        <v/>
      </c>
      <c r="AG253" s="124" t="str">
        <f>IF($B253="","",IF(AG$3=0,"n.b.",INDEX(SRC_Woningetalage!$A$1:$ZZ$501,$A253,AG$3)))</f>
        <v/>
      </c>
      <c r="AH253" s="124" t="str">
        <f>IF($B253="","",IF(AH$3=0,"n.b.",INDEX(SRC_Woningetalage!$A$1:$ZZ$501,$A253,AH$3)))</f>
        <v/>
      </c>
      <c r="AI253" s="124" t="str">
        <f>IF($B253="","",IF(AI$3=0,"n.b.",INDEX(SRC_Woningetalage!$A$1:$ZZ$501,$A253,AI$3)))</f>
        <v/>
      </c>
      <c r="AJ253" s="124" t="str">
        <f>IF($B253="","",IF(AJ$3=0,"n.b.",INDEX(SRC_Woningetalage!$A$1:$ZZ$501,$A253,AJ$3)))</f>
        <v/>
      </c>
      <c r="AK253" s="124" t="str">
        <f>IF($B253="","",IF(AK$3=0,"n.b.",INDEX(SRC_Woningetalage!$A$1:$ZZ$501,$A253,AK$3)))</f>
        <v/>
      </c>
      <c r="AL253" s="124" t="str">
        <f>IF($B253="","",IF(AL$3=0,"n.b.",INDEX(SRC_Woningetalage!$A$1:$ZZ$501,$A253,AL$3)))</f>
        <v/>
      </c>
      <c r="AM253" s="124" t="str">
        <f>IF($B253="","",IF(AM$3=0,"n.b.",INDEX(SRC_Woningetalage!$A$1:$ZZ$501,$A253,AM$3)))</f>
        <v/>
      </c>
      <c r="AN253" s="124" t="str">
        <f>IF($B253="","",IF(AN$3=0,"n.b.",INDEX(SRC_Woningetalage!$A$1:$ZZ$501,$A253,AN$3)))</f>
        <v/>
      </c>
      <c r="AO253" s="124" t="str">
        <f>IF($B253="","",IF(AO$3=0,"n.b.",INDEX(SRC_Woningetalage!$A$1:$ZZ$501,$A253,AO$3)))</f>
        <v/>
      </c>
      <c r="AP253" s="124" t="str">
        <f>IF($B253="","",IF(AP$3=0,"n.b.",INDEX(SRC_Woningetalage!$A$1:$ZZ$501,$A253,AP$3)))</f>
        <v/>
      </c>
      <c r="AQ253" s="124" t="str">
        <f>IF($B253="","",IF(AQ$3=0,"n.b.",INDEX(SRC_Woningetalage!$A$1:$ZZ$501,$A253,AQ$3)))</f>
        <v/>
      </c>
      <c r="AR253" s="124" t="str">
        <f>IF($B253="","",IF(AR$3=0,"n.b.",INDEX(SRC_Woningetalage!$A$1:$ZZ$501,$A253,AR$3)))</f>
        <v/>
      </c>
      <c r="AS253" s="124" t="str">
        <f>IF($B253="","",IF(AS$3=0,"n.b.",INDEX(SRC_Woningetalage!$A$1:$ZZ$501,$A253,AS$3)))</f>
        <v/>
      </c>
      <c r="AT253" s="124" t="str">
        <f>IF($B253="","",IF(AT$3=0,"n.b.",INDEX(SRC_Woningetalage!$A$1:$ZZ$501,$A253,AT$3)))</f>
        <v/>
      </c>
      <c r="AU253" s="124" t="str">
        <f>IF($B253="","",IF(AU$3=0,"n.b.",INDEX(SRC_Woningetalage!$A$1:$ZZ$501,$A253,AU$3)))</f>
        <v/>
      </c>
      <c r="AV253" s="124" t="str">
        <f>IF($B253="","",IF(AV$3=0,"n.b.",INDEX(SRC_Woningetalage!$A$1:$ZZ$501,$A253,AV$3)))</f>
        <v/>
      </c>
      <c r="AW253" s="124" t="str">
        <f>IF($B253="","",IF(AW$3=0,"n.b.",INDEX(SRC_Woningetalage!$A$1:$ZZ$501,$A253,AW$3)))</f>
        <v/>
      </c>
      <c r="AX253" s="124" t="str">
        <f>IF($B253="","",IF(AX$3=0,"n.b.",INDEX(SRC_Woningetalage!$A$1:$ZZ$501,$A253,AX$3)))</f>
        <v/>
      </c>
      <c r="AY253" s="124" t="str">
        <f>IF($B253="","",IF(AY$3=0,"n.b.",INDEX(SRC_Woningetalage!$A$1:$ZZ$501,$A253,AY$3)))</f>
        <v/>
      </c>
      <c r="AZ253" s="124" t="str">
        <f>IF($B253="","",IF(AZ$3=0,"n.b.",INDEX(SRC_Woningetalage!$A$1:$ZZ$501,$A253,AZ$3)))</f>
        <v/>
      </c>
      <c r="BA253" s="124" t="str">
        <f>IF($B253="","",IF(BA$3=0,"n.b.",INDEX(SRC_Woningetalage!$A$1:$ZZ$501,$A253,BA$3)))</f>
        <v/>
      </c>
      <c r="BB253" s="124" t="str">
        <f>IF($B253="","",IF(BB$3=0,"n.b.",INDEX(SRC_Woningetalage!$A$1:$ZZ$501,$A253,BB$3)))</f>
        <v/>
      </c>
      <c r="BC253" s="124" t="str">
        <f>IF($B253="","",IFERROR(_xlfn.NUMBERVALUE(E253&amp;"",",","."),"n.b."))</f>
        <v/>
      </c>
      <c r="BD253" s="124" t="str">
        <f>IF($B253="","",IFERROR(_xlfn.NUMBERVALUE(M253&amp;"",",","."),"n.b."))</f>
        <v/>
      </c>
      <c r="BE253" s="124" t="str">
        <f>IF($B253="","",IFERROR(AB253+AC253+AD253,"n.b."))</f>
        <v/>
      </c>
      <c r="BF253" s="124" t="str">
        <f>IF($B253="","",IFERROR(AE253+AF253+AG253,"n.b."))</f>
        <v/>
      </c>
      <c r="BG253" s="124" t="str">
        <f>IF($B253="","",IFERROR(AH253+AI253+AJ253,"n.b."))</f>
        <v/>
      </c>
      <c r="BH253" s="124" t="str">
        <f>IF($B253="","",IFERROR(AK253+AL253+AM253,"n.b."))</f>
        <v/>
      </c>
      <c r="BI253" s="124" t="str">
        <f>IF($B253="","",IFERROR(SUMIF($AB$5:$AM$5,"&lt;="&amp;P_PeilMaand,AB253:AM253),"n.b."))</f>
        <v/>
      </c>
      <c r="BJ253" s="124" t="str">
        <f>IF($B253="","",IFERROR(SUM(AB253:AM253)-BI253,"n.b."))</f>
        <v/>
      </c>
      <c r="BK253" s="124" t="str">
        <f>IF($B253="","",IFERROR(IF(ABS(Q253-(T253+SUM(AB253:AM253)+AS253+AU253))&gt;P_Tol,1,0),1))</f>
        <v/>
      </c>
      <c r="BL253" s="124" t="str">
        <f>IF($B253="","",IFERROR(IF(ABS(AA253-(Q253-Z253))&gt;P_Tol,1,0),1))</f>
        <v/>
      </c>
      <c r="BM253" s="124" t="str">
        <f>IF($B253="","",IFERROR(IF(ABS(Z253-(T253+W253))&gt;P_Tol,1,0),1))</f>
        <v/>
      </c>
      <c r="BN253" s="124" t="str">
        <f>IF($B253="","",IFERROR(IF(ABS(W253-BI253)&gt;P_Tol,1,0),1))</f>
        <v/>
      </c>
      <c r="BO253" s="124" t="str">
        <f>IF($B253="","",IFERROR(IF(OR(ABS(R253+S253-T253)&gt;P_Tol,ABS(U253+V253-W253)&gt;P_Tol,ABS(X253+Y253-Z253)&gt;P_Tol),1,0),1))</f>
        <v/>
      </c>
      <c r="BP253" s="124" t="str">
        <f>IF($B253="","",IFERROR(IF(OR(ABS(AR253-SUM(AB253:AM253))&gt;P_Tol,ABS(AS253-(AN253+AO253+AP253+AQ253))&gt;P_Tol),1,0),1))</f>
        <v/>
      </c>
      <c r="BQ253" s="124" t="str">
        <f>IF($B253="","",IFERROR(IF(ABS(AT253)+ABS(AV253)+ABS(AW253)+ABS(AX253)+ABS(AY253)+ABS(AZ253)+ABS(BA253)+ABS(BB253)&gt;0,1,0),1))</f>
        <v/>
      </c>
      <c r="BR253" s="124" t="str">
        <f>IF($B253="","",COUNTIF(STG_ZPMW03!$B$6:$B$505,B253))</f>
        <v/>
      </c>
      <c r="BS253" s="124" t="str">
        <f>IF($B253="","",COUNTIF($B$6:$B$505,B253))</f>
        <v/>
      </c>
      <c r="BT253" s="124" t="str">
        <f>IF($B253="","",IF(BR253=0,0,IF(INDEX(STG_ZPMW03!$I$6:$I$505,MATCH(B253,STG_ZPMW03!$B$6:$B$505,0))=J253&amp;"",0,1)))</f>
        <v/>
      </c>
      <c r="BU253" s="124" t="str">
        <f>IF($B253="","",IFERROR(IF(ABS(INDEX(Mapping!$D$5:$D$104,MATCH(B253,Mapping!$A$5:$A$104,0))-Q253)&gt;P_Tol,1,0),0))</f>
        <v/>
      </c>
      <c r="BV253" s="124" t="str">
        <f>IF($B253="","",IFERROR(IF(AND(INDEX(Mapping!$G$5:$G$104,MATCH(B253,Mapping!$A$5:$A$104,0))="Nee",ABS(Q253)+ABS(Z253)+ABS(AR253)&gt;0),1,0),0))</f>
        <v/>
      </c>
      <c r="BW253" s="124" t="str">
        <f>IF($B253="","",IF(COUNTIF(Mapping!$A$5:$A$104,B253)&gt;0,1,0))</f>
        <v/>
      </c>
      <c r="BX253" s="124" t="str">
        <f>IF($B253="","",IF(BR253=0,COUNTIF($BR$6:BR253,0),""))</f>
        <v/>
      </c>
    </row>
    <row r="254">
      <c r="A254" s="15" t="n">
        <v>250</v>
      </c>
      <c r="B254" t="str">
        <f>IF(B$3=0,"",IF(INDEX(SRC_Woningetalage!$A$1:$ZZ$501,$A254,B$3)&amp;""="","",INDEX(SRC_Woningetalage!$A$1:$ZZ$501,$A254,B$3)&amp;""))</f>
        <v/>
      </c>
      <c r="C254" t="str">
        <f>IF($B254="","",IF(C$3=0,"n.b.",INDEX(SRC_Woningetalage!$A$1:$ZZ$501,$A254,C$3)))</f>
        <v/>
      </c>
      <c r="D254" t="str">
        <f>IF($B254="","",IF(D$3=0,"n.b.",INDEX(SRC_Woningetalage!$A$1:$ZZ$501,$A254,D$3)))</f>
        <v/>
      </c>
      <c r="E254" t="str">
        <f>IF($B254="","",IF(E$3=0,"n.b.",INDEX(SRC_Woningetalage!$A$1:$ZZ$501,$A254,E$3)))</f>
        <v/>
      </c>
      <c r="F254" t="str">
        <f>IF($B254="","",IF(F$3=0,"n.b.",INDEX(SRC_Woningetalage!$A$1:$ZZ$501,$A254,F$3)))</f>
        <v/>
      </c>
      <c r="G254" t="str">
        <f>IF($B254="","",IF(G$3=0,"n.b.",INDEX(SRC_Woningetalage!$A$1:$ZZ$501,$A254,G$3)))</f>
        <v/>
      </c>
      <c r="H254" t="str">
        <f>IF($B254="","",IF(H$3=0,"n.b.",INDEX(SRC_Woningetalage!$A$1:$ZZ$501,$A254,H$3)))</f>
        <v/>
      </c>
      <c r="I254" t="str">
        <f>IF($B254="","",IF(I$3=0,"n.b.",INDEX(SRC_Woningetalage!$A$1:$ZZ$501,$A254,I$3)))</f>
        <v/>
      </c>
      <c r="J254" t="str">
        <f>IF($B254="","",IF(J$3=0,"n.b.",INDEX(SRC_Woningetalage!$A$1:$ZZ$501,$A254,J$3)))</f>
        <v/>
      </c>
      <c r="K254" t="str">
        <f>IF($B254="","",IF(K$3=0,"n.b.",INDEX(SRC_Woningetalage!$A$1:$ZZ$501,$A254,K$3)))</f>
        <v/>
      </c>
      <c r="L254" t="str">
        <f>IF($B254="","",IF(L$3=0,"n.b.",INDEX(SRC_Woningetalage!$A$1:$ZZ$501,$A254,L$3)))</f>
        <v/>
      </c>
      <c r="M254" t="str">
        <f>IF($B254="","",IF(M$3=0,"n.b.",INDEX(SRC_Woningetalage!$A$1:$ZZ$501,$A254,M$3)))</f>
        <v/>
      </c>
      <c r="N254" t="str">
        <f>IF($B254="","",IF(N$3=0,"n.b.",INDEX(SRC_Woningetalage!$A$1:$ZZ$501,$A254,N$3)))</f>
        <v/>
      </c>
      <c r="O254" t="str">
        <f>IF($B254="","",IF(O$3=0,"n.b.",INDEX(SRC_Woningetalage!$A$1:$ZZ$501,$A254,O$3)))</f>
        <v/>
      </c>
      <c r="P254" t="str">
        <f>IF($B254="","",IF(P$3=0,"n.b.",INDEX(SRC_Woningetalage!$A$1:$ZZ$501,$A254,P$3)))</f>
        <v/>
      </c>
      <c r="Q254" s="124" t="str">
        <f>IF($B254="","",IF(Q$3=0,"n.b.",INDEX(SRC_Woningetalage!$A$1:$ZZ$501,$A254,Q$3)))</f>
        <v/>
      </c>
      <c r="R254" s="124" t="str">
        <f>IF($B254="","",IF(R$3=0,"n.b.",INDEX(SRC_Woningetalage!$A$1:$ZZ$501,$A254,R$3)))</f>
        <v/>
      </c>
      <c r="S254" s="124" t="str">
        <f>IF($B254="","",IF(S$3=0,"n.b.",INDEX(SRC_Woningetalage!$A$1:$ZZ$501,$A254,S$3)))</f>
        <v/>
      </c>
      <c r="T254" s="124" t="str">
        <f>IF($B254="","",IF(T$3=0,"n.b.",INDEX(SRC_Woningetalage!$A$1:$ZZ$501,$A254,T$3)))</f>
        <v/>
      </c>
      <c r="U254" s="124" t="str">
        <f>IF($B254="","",IF(U$3=0,"n.b.",INDEX(SRC_Woningetalage!$A$1:$ZZ$501,$A254,U$3)))</f>
        <v/>
      </c>
      <c r="V254" s="124" t="str">
        <f>IF($B254="","",IF(V$3=0,"n.b.",INDEX(SRC_Woningetalage!$A$1:$ZZ$501,$A254,V$3)))</f>
        <v/>
      </c>
      <c r="W254" s="124" t="str">
        <f>IF($B254="","",IF(W$3=0,"n.b.",INDEX(SRC_Woningetalage!$A$1:$ZZ$501,$A254,W$3)))</f>
        <v/>
      </c>
      <c r="X254" s="124" t="str">
        <f>IF($B254="","",IF(X$3=0,"n.b.",INDEX(SRC_Woningetalage!$A$1:$ZZ$501,$A254,X$3)))</f>
        <v/>
      </c>
      <c r="Y254" s="124" t="str">
        <f>IF($B254="","",IF(Y$3=0,"n.b.",INDEX(SRC_Woningetalage!$A$1:$ZZ$501,$A254,Y$3)))</f>
        <v/>
      </c>
      <c r="Z254" s="124" t="str">
        <f>IF($B254="","",IF(Z$3=0,"n.b.",INDEX(SRC_Woningetalage!$A$1:$ZZ$501,$A254,Z$3)))</f>
        <v/>
      </c>
      <c r="AA254" s="124" t="str">
        <f>IF($B254="","",IF(AA$3=0,"n.b.",INDEX(SRC_Woningetalage!$A$1:$ZZ$501,$A254,AA$3)))</f>
        <v/>
      </c>
      <c r="AB254" s="124" t="str">
        <f>IF($B254="","",IF(AB$3=0,"n.b.",INDEX(SRC_Woningetalage!$A$1:$ZZ$501,$A254,AB$3)))</f>
        <v/>
      </c>
      <c r="AC254" s="124" t="str">
        <f>IF($B254="","",IF(AC$3=0,"n.b.",INDEX(SRC_Woningetalage!$A$1:$ZZ$501,$A254,AC$3)))</f>
        <v/>
      </c>
      <c r="AD254" s="124" t="str">
        <f>IF($B254="","",IF(AD$3=0,"n.b.",INDEX(SRC_Woningetalage!$A$1:$ZZ$501,$A254,AD$3)))</f>
        <v/>
      </c>
      <c r="AE254" s="124" t="str">
        <f>IF($B254="","",IF(AE$3=0,"n.b.",INDEX(SRC_Woningetalage!$A$1:$ZZ$501,$A254,AE$3)))</f>
        <v/>
      </c>
      <c r="AF254" s="124" t="str">
        <f>IF($B254="","",IF(AF$3=0,"n.b.",INDEX(SRC_Woningetalage!$A$1:$ZZ$501,$A254,AF$3)))</f>
        <v/>
      </c>
      <c r="AG254" s="124" t="str">
        <f>IF($B254="","",IF(AG$3=0,"n.b.",INDEX(SRC_Woningetalage!$A$1:$ZZ$501,$A254,AG$3)))</f>
        <v/>
      </c>
      <c r="AH254" s="124" t="str">
        <f>IF($B254="","",IF(AH$3=0,"n.b.",INDEX(SRC_Woningetalage!$A$1:$ZZ$501,$A254,AH$3)))</f>
        <v/>
      </c>
      <c r="AI254" s="124" t="str">
        <f>IF($B254="","",IF(AI$3=0,"n.b.",INDEX(SRC_Woningetalage!$A$1:$ZZ$501,$A254,AI$3)))</f>
        <v/>
      </c>
      <c r="AJ254" s="124" t="str">
        <f>IF($B254="","",IF(AJ$3=0,"n.b.",INDEX(SRC_Woningetalage!$A$1:$ZZ$501,$A254,AJ$3)))</f>
        <v/>
      </c>
      <c r="AK254" s="124" t="str">
        <f>IF($B254="","",IF(AK$3=0,"n.b.",INDEX(SRC_Woningetalage!$A$1:$ZZ$501,$A254,AK$3)))</f>
        <v/>
      </c>
      <c r="AL254" s="124" t="str">
        <f>IF($B254="","",IF(AL$3=0,"n.b.",INDEX(SRC_Woningetalage!$A$1:$ZZ$501,$A254,AL$3)))</f>
        <v/>
      </c>
      <c r="AM254" s="124" t="str">
        <f>IF($B254="","",IF(AM$3=0,"n.b.",INDEX(SRC_Woningetalage!$A$1:$ZZ$501,$A254,AM$3)))</f>
        <v/>
      </c>
      <c r="AN254" s="124" t="str">
        <f>IF($B254="","",IF(AN$3=0,"n.b.",INDEX(SRC_Woningetalage!$A$1:$ZZ$501,$A254,AN$3)))</f>
        <v/>
      </c>
      <c r="AO254" s="124" t="str">
        <f>IF($B254="","",IF(AO$3=0,"n.b.",INDEX(SRC_Woningetalage!$A$1:$ZZ$501,$A254,AO$3)))</f>
        <v/>
      </c>
      <c r="AP254" s="124" t="str">
        <f>IF($B254="","",IF(AP$3=0,"n.b.",INDEX(SRC_Woningetalage!$A$1:$ZZ$501,$A254,AP$3)))</f>
        <v/>
      </c>
      <c r="AQ254" s="124" t="str">
        <f>IF($B254="","",IF(AQ$3=0,"n.b.",INDEX(SRC_Woningetalage!$A$1:$ZZ$501,$A254,AQ$3)))</f>
        <v/>
      </c>
      <c r="AR254" s="124" t="str">
        <f>IF($B254="","",IF(AR$3=0,"n.b.",INDEX(SRC_Woningetalage!$A$1:$ZZ$501,$A254,AR$3)))</f>
        <v/>
      </c>
      <c r="AS254" s="124" t="str">
        <f>IF($B254="","",IF(AS$3=0,"n.b.",INDEX(SRC_Woningetalage!$A$1:$ZZ$501,$A254,AS$3)))</f>
        <v/>
      </c>
      <c r="AT254" s="124" t="str">
        <f>IF($B254="","",IF(AT$3=0,"n.b.",INDEX(SRC_Woningetalage!$A$1:$ZZ$501,$A254,AT$3)))</f>
        <v/>
      </c>
      <c r="AU254" s="124" t="str">
        <f>IF($B254="","",IF(AU$3=0,"n.b.",INDEX(SRC_Woningetalage!$A$1:$ZZ$501,$A254,AU$3)))</f>
        <v/>
      </c>
      <c r="AV254" s="124" t="str">
        <f>IF($B254="","",IF(AV$3=0,"n.b.",INDEX(SRC_Woningetalage!$A$1:$ZZ$501,$A254,AV$3)))</f>
        <v/>
      </c>
      <c r="AW254" s="124" t="str">
        <f>IF($B254="","",IF(AW$3=0,"n.b.",INDEX(SRC_Woningetalage!$A$1:$ZZ$501,$A254,AW$3)))</f>
        <v/>
      </c>
      <c r="AX254" s="124" t="str">
        <f>IF($B254="","",IF(AX$3=0,"n.b.",INDEX(SRC_Woningetalage!$A$1:$ZZ$501,$A254,AX$3)))</f>
        <v/>
      </c>
      <c r="AY254" s="124" t="str">
        <f>IF($B254="","",IF(AY$3=0,"n.b.",INDEX(SRC_Woningetalage!$A$1:$ZZ$501,$A254,AY$3)))</f>
        <v/>
      </c>
      <c r="AZ254" s="124" t="str">
        <f>IF($B254="","",IF(AZ$3=0,"n.b.",INDEX(SRC_Woningetalage!$A$1:$ZZ$501,$A254,AZ$3)))</f>
        <v/>
      </c>
      <c r="BA254" s="124" t="str">
        <f>IF($B254="","",IF(BA$3=0,"n.b.",INDEX(SRC_Woningetalage!$A$1:$ZZ$501,$A254,BA$3)))</f>
        <v/>
      </c>
      <c r="BB254" s="124" t="str">
        <f>IF($B254="","",IF(BB$3=0,"n.b.",INDEX(SRC_Woningetalage!$A$1:$ZZ$501,$A254,BB$3)))</f>
        <v/>
      </c>
      <c r="BC254" s="124" t="str">
        <f>IF($B254="","",IFERROR(_xlfn.NUMBERVALUE(E254&amp;"",",","."),"n.b."))</f>
        <v/>
      </c>
      <c r="BD254" s="124" t="str">
        <f>IF($B254="","",IFERROR(_xlfn.NUMBERVALUE(M254&amp;"",",","."),"n.b."))</f>
        <v/>
      </c>
      <c r="BE254" s="124" t="str">
        <f>IF($B254="","",IFERROR(AB254+AC254+AD254,"n.b."))</f>
        <v/>
      </c>
      <c r="BF254" s="124" t="str">
        <f>IF($B254="","",IFERROR(AE254+AF254+AG254,"n.b."))</f>
        <v/>
      </c>
      <c r="BG254" s="124" t="str">
        <f>IF($B254="","",IFERROR(AH254+AI254+AJ254,"n.b."))</f>
        <v/>
      </c>
      <c r="BH254" s="124" t="str">
        <f>IF($B254="","",IFERROR(AK254+AL254+AM254,"n.b."))</f>
        <v/>
      </c>
      <c r="BI254" s="124" t="str">
        <f>IF($B254="","",IFERROR(SUMIF($AB$5:$AM$5,"&lt;="&amp;P_PeilMaand,AB254:AM254),"n.b."))</f>
        <v/>
      </c>
      <c r="BJ254" s="124" t="str">
        <f>IF($B254="","",IFERROR(SUM(AB254:AM254)-BI254,"n.b."))</f>
        <v/>
      </c>
      <c r="BK254" s="124" t="str">
        <f>IF($B254="","",IFERROR(IF(ABS(Q254-(T254+SUM(AB254:AM254)+AS254+AU254))&gt;P_Tol,1,0),1))</f>
        <v/>
      </c>
      <c r="BL254" s="124" t="str">
        <f>IF($B254="","",IFERROR(IF(ABS(AA254-(Q254-Z254))&gt;P_Tol,1,0),1))</f>
        <v/>
      </c>
      <c r="BM254" s="124" t="str">
        <f>IF($B254="","",IFERROR(IF(ABS(Z254-(T254+W254))&gt;P_Tol,1,0),1))</f>
        <v/>
      </c>
      <c r="BN254" s="124" t="str">
        <f>IF($B254="","",IFERROR(IF(ABS(W254-BI254)&gt;P_Tol,1,0),1))</f>
        <v/>
      </c>
      <c r="BO254" s="124" t="str">
        <f>IF($B254="","",IFERROR(IF(OR(ABS(R254+S254-T254)&gt;P_Tol,ABS(U254+V254-W254)&gt;P_Tol,ABS(X254+Y254-Z254)&gt;P_Tol),1,0),1))</f>
        <v/>
      </c>
      <c r="BP254" s="124" t="str">
        <f>IF($B254="","",IFERROR(IF(OR(ABS(AR254-SUM(AB254:AM254))&gt;P_Tol,ABS(AS254-(AN254+AO254+AP254+AQ254))&gt;P_Tol),1,0),1))</f>
        <v/>
      </c>
      <c r="BQ254" s="124" t="str">
        <f>IF($B254="","",IFERROR(IF(ABS(AT254)+ABS(AV254)+ABS(AW254)+ABS(AX254)+ABS(AY254)+ABS(AZ254)+ABS(BA254)+ABS(BB254)&gt;0,1,0),1))</f>
        <v/>
      </c>
      <c r="BR254" s="124" t="str">
        <f>IF($B254="","",COUNTIF(STG_ZPMW03!$B$6:$B$505,B254))</f>
        <v/>
      </c>
      <c r="BS254" s="124" t="str">
        <f>IF($B254="","",COUNTIF($B$6:$B$505,B254))</f>
        <v/>
      </c>
      <c r="BT254" s="124" t="str">
        <f>IF($B254="","",IF(BR254=0,0,IF(INDEX(STG_ZPMW03!$I$6:$I$505,MATCH(B254,STG_ZPMW03!$B$6:$B$505,0))=J254&amp;"",0,1)))</f>
        <v/>
      </c>
      <c r="BU254" s="124" t="str">
        <f>IF($B254="","",IFERROR(IF(ABS(INDEX(Mapping!$D$5:$D$104,MATCH(B254,Mapping!$A$5:$A$104,0))-Q254)&gt;P_Tol,1,0),0))</f>
        <v/>
      </c>
      <c r="BV254" s="124" t="str">
        <f>IF($B254="","",IFERROR(IF(AND(INDEX(Mapping!$G$5:$G$104,MATCH(B254,Mapping!$A$5:$A$104,0))="Nee",ABS(Q254)+ABS(Z254)+ABS(AR254)&gt;0),1,0),0))</f>
        <v/>
      </c>
      <c r="BW254" s="124" t="str">
        <f>IF($B254="","",IF(COUNTIF(Mapping!$A$5:$A$104,B254)&gt;0,1,0))</f>
        <v/>
      </c>
      <c r="BX254" s="124" t="str">
        <f>IF($B254="","",IF(BR254=0,COUNTIF($BR$6:BR254,0),""))</f>
        <v/>
      </c>
    </row>
    <row r="255">
      <c r="A255" s="15" t="n">
        <v>251</v>
      </c>
      <c r="B255" t="str">
        <f>IF(B$3=0,"",IF(INDEX(SRC_Woningetalage!$A$1:$ZZ$501,$A255,B$3)&amp;""="","",INDEX(SRC_Woningetalage!$A$1:$ZZ$501,$A255,B$3)&amp;""))</f>
        <v/>
      </c>
      <c r="C255" t="str">
        <f>IF($B255="","",IF(C$3=0,"n.b.",INDEX(SRC_Woningetalage!$A$1:$ZZ$501,$A255,C$3)))</f>
        <v/>
      </c>
      <c r="D255" t="str">
        <f>IF($B255="","",IF(D$3=0,"n.b.",INDEX(SRC_Woningetalage!$A$1:$ZZ$501,$A255,D$3)))</f>
        <v/>
      </c>
      <c r="E255" t="str">
        <f>IF($B255="","",IF(E$3=0,"n.b.",INDEX(SRC_Woningetalage!$A$1:$ZZ$501,$A255,E$3)))</f>
        <v/>
      </c>
      <c r="F255" t="str">
        <f>IF($B255="","",IF(F$3=0,"n.b.",INDEX(SRC_Woningetalage!$A$1:$ZZ$501,$A255,F$3)))</f>
        <v/>
      </c>
      <c r="G255" t="str">
        <f>IF($B255="","",IF(G$3=0,"n.b.",INDEX(SRC_Woningetalage!$A$1:$ZZ$501,$A255,G$3)))</f>
        <v/>
      </c>
      <c r="H255" t="str">
        <f>IF($B255="","",IF(H$3=0,"n.b.",INDEX(SRC_Woningetalage!$A$1:$ZZ$501,$A255,H$3)))</f>
        <v/>
      </c>
      <c r="I255" t="str">
        <f>IF($B255="","",IF(I$3=0,"n.b.",INDEX(SRC_Woningetalage!$A$1:$ZZ$501,$A255,I$3)))</f>
        <v/>
      </c>
      <c r="J255" t="str">
        <f>IF($B255="","",IF(J$3=0,"n.b.",INDEX(SRC_Woningetalage!$A$1:$ZZ$501,$A255,J$3)))</f>
        <v/>
      </c>
      <c r="K255" t="str">
        <f>IF($B255="","",IF(K$3=0,"n.b.",INDEX(SRC_Woningetalage!$A$1:$ZZ$501,$A255,K$3)))</f>
        <v/>
      </c>
      <c r="L255" t="str">
        <f>IF($B255="","",IF(L$3=0,"n.b.",INDEX(SRC_Woningetalage!$A$1:$ZZ$501,$A255,L$3)))</f>
        <v/>
      </c>
      <c r="M255" t="str">
        <f>IF($B255="","",IF(M$3=0,"n.b.",INDEX(SRC_Woningetalage!$A$1:$ZZ$501,$A255,M$3)))</f>
        <v/>
      </c>
      <c r="N255" t="str">
        <f>IF($B255="","",IF(N$3=0,"n.b.",INDEX(SRC_Woningetalage!$A$1:$ZZ$501,$A255,N$3)))</f>
        <v/>
      </c>
      <c r="O255" t="str">
        <f>IF($B255="","",IF(O$3=0,"n.b.",INDEX(SRC_Woningetalage!$A$1:$ZZ$501,$A255,O$3)))</f>
        <v/>
      </c>
      <c r="P255" t="str">
        <f>IF($B255="","",IF(P$3=0,"n.b.",INDEX(SRC_Woningetalage!$A$1:$ZZ$501,$A255,P$3)))</f>
        <v/>
      </c>
      <c r="Q255" s="124" t="str">
        <f>IF($B255="","",IF(Q$3=0,"n.b.",INDEX(SRC_Woningetalage!$A$1:$ZZ$501,$A255,Q$3)))</f>
        <v/>
      </c>
      <c r="R255" s="124" t="str">
        <f>IF($B255="","",IF(R$3=0,"n.b.",INDEX(SRC_Woningetalage!$A$1:$ZZ$501,$A255,R$3)))</f>
        <v/>
      </c>
      <c r="S255" s="124" t="str">
        <f>IF($B255="","",IF(S$3=0,"n.b.",INDEX(SRC_Woningetalage!$A$1:$ZZ$501,$A255,S$3)))</f>
        <v/>
      </c>
      <c r="T255" s="124" t="str">
        <f>IF($B255="","",IF(T$3=0,"n.b.",INDEX(SRC_Woningetalage!$A$1:$ZZ$501,$A255,T$3)))</f>
        <v/>
      </c>
      <c r="U255" s="124" t="str">
        <f>IF($B255="","",IF(U$3=0,"n.b.",INDEX(SRC_Woningetalage!$A$1:$ZZ$501,$A255,U$3)))</f>
        <v/>
      </c>
      <c r="V255" s="124" t="str">
        <f>IF($B255="","",IF(V$3=0,"n.b.",INDEX(SRC_Woningetalage!$A$1:$ZZ$501,$A255,V$3)))</f>
        <v/>
      </c>
      <c r="W255" s="124" t="str">
        <f>IF($B255="","",IF(W$3=0,"n.b.",INDEX(SRC_Woningetalage!$A$1:$ZZ$501,$A255,W$3)))</f>
        <v/>
      </c>
      <c r="X255" s="124" t="str">
        <f>IF($B255="","",IF(X$3=0,"n.b.",INDEX(SRC_Woningetalage!$A$1:$ZZ$501,$A255,X$3)))</f>
        <v/>
      </c>
      <c r="Y255" s="124" t="str">
        <f>IF($B255="","",IF(Y$3=0,"n.b.",INDEX(SRC_Woningetalage!$A$1:$ZZ$501,$A255,Y$3)))</f>
        <v/>
      </c>
      <c r="Z255" s="124" t="str">
        <f>IF($B255="","",IF(Z$3=0,"n.b.",INDEX(SRC_Woningetalage!$A$1:$ZZ$501,$A255,Z$3)))</f>
        <v/>
      </c>
      <c r="AA255" s="124" t="str">
        <f>IF($B255="","",IF(AA$3=0,"n.b.",INDEX(SRC_Woningetalage!$A$1:$ZZ$501,$A255,AA$3)))</f>
        <v/>
      </c>
      <c r="AB255" s="124" t="str">
        <f>IF($B255="","",IF(AB$3=0,"n.b.",INDEX(SRC_Woningetalage!$A$1:$ZZ$501,$A255,AB$3)))</f>
        <v/>
      </c>
      <c r="AC255" s="124" t="str">
        <f>IF($B255="","",IF(AC$3=0,"n.b.",INDEX(SRC_Woningetalage!$A$1:$ZZ$501,$A255,AC$3)))</f>
        <v/>
      </c>
      <c r="AD255" s="124" t="str">
        <f>IF($B255="","",IF(AD$3=0,"n.b.",INDEX(SRC_Woningetalage!$A$1:$ZZ$501,$A255,AD$3)))</f>
        <v/>
      </c>
      <c r="AE255" s="124" t="str">
        <f>IF($B255="","",IF(AE$3=0,"n.b.",INDEX(SRC_Woningetalage!$A$1:$ZZ$501,$A255,AE$3)))</f>
        <v/>
      </c>
      <c r="AF255" s="124" t="str">
        <f>IF($B255="","",IF(AF$3=0,"n.b.",INDEX(SRC_Woningetalage!$A$1:$ZZ$501,$A255,AF$3)))</f>
        <v/>
      </c>
      <c r="AG255" s="124" t="str">
        <f>IF($B255="","",IF(AG$3=0,"n.b.",INDEX(SRC_Woningetalage!$A$1:$ZZ$501,$A255,AG$3)))</f>
        <v/>
      </c>
      <c r="AH255" s="124" t="str">
        <f>IF($B255="","",IF(AH$3=0,"n.b.",INDEX(SRC_Woningetalage!$A$1:$ZZ$501,$A255,AH$3)))</f>
        <v/>
      </c>
      <c r="AI255" s="124" t="str">
        <f>IF($B255="","",IF(AI$3=0,"n.b.",INDEX(SRC_Woningetalage!$A$1:$ZZ$501,$A255,AI$3)))</f>
        <v/>
      </c>
      <c r="AJ255" s="124" t="str">
        <f>IF($B255="","",IF(AJ$3=0,"n.b.",INDEX(SRC_Woningetalage!$A$1:$ZZ$501,$A255,AJ$3)))</f>
        <v/>
      </c>
      <c r="AK255" s="124" t="str">
        <f>IF($B255="","",IF(AK$3=0,"n.b.",INDEX(SRC_Woningetalage!$A$1:$ZZ$501,$A255,AK$3)))</f>
        <v/>
      </c>
      <c r="AL255" s="124" t="str">
        <f>IF($B255="","",IF(AL$3=0,"n.b.",INDEX(SRC_Woningetalage!$A$1:$ZZ$501,$A255,AL$3)))</f>
        <v/>
      </c>
      <c r="AM255" s="124" t="str">
        <f>IF($B255="","",IF(AM$3=0,"n.b.",INDEX(SRC_Woningetalage!$A$1:$ZZ$501,$A255,AM$3)))</f>
        <v/>
      </c>
      <c r="AN255" s="124" t="str">
        <f>IF($B255="","",IF(AN$3=0,"n.b.",INDEX(SRC_Woningetalage!$A$1:$ZZ$501,$A255,AN$3)))</f>
        <v/>
      </c>
      <c r="AO255" s="124" t="str">
        <f>IF($B255="","",IF(AO$3=0,"n.b.",INDEX(SRC_Woningetalage!$A$1:$ZZ$501,$A255,AO$3)))</f>
        <v/>
      </c>
      <c r="AP255" s="124" t="str">
        <f>IF($B255="","",IF(AP$3=0,"n.b.",INDEX(SRC_Woningetalage!$A$1:$ZZ$501,$A255,AP$3)))</f>
        <v/>
      </c>
      <c r="AQ255" s="124" t="str">
        <f>IF($B255="","",IF(AQ$3=0,"n.b.",INDEX(SRC_Woningetalage!$A$1:$ZZ$501,$A255,AQ$3)))</f>
        <v/>
      </c>
      <c r="AR255" s="124" t="str">
        <f>IF($B255="","",IF(AR$3=0,"n.b.",INDEX(SRC_Woningetalage!$A$1:$ZZ$501,$A255,AR$3)))</f>
        <v/>
      </c>
      <c r="AS255" s="124" t="str">
        <f>IF($B255="","",IF(AS$3=0,"n.b.",INDEX(SRC_Woningetalage!$A$1:$ZZ$501,$A255,AS$3)))</f>
        <v/>
      </c>
      <c r="AT255" s="124" t="str">
        <f>IF($B255="","",IF(AT$3=0,"n.b.",INDEX(SRC_Woningetalage!$A$1:$ZZ$501,$A255,AT$3)))</f>
        <v/>
      </c>
      <c r="AU255" s="124" t="str">
        <f>IF($B255="","",IF(AU$3=0,"n.b.",INDEX(SRC_Woningetalage!$A$1:$ZZ$501,$A255,AU$3)))</f>
        <v/>
      </c>
      <c r="AV255" s="124" t="str">
        <f>IF($B255="","",IF(AV$3=0,"n.b.",INDEX(SRC_Woningetalage!$A$1:$ZZ$501,$A255,AV$3)))</f>
        <v/>
      </c>
      <c r="AW255" s="124" t="str">
        <f>IF($B255="","",IF(AW$3=0,"n.b.",INDEX(SRC_Woningetalage!$A$1:$ZZ$501,$A255,AW$3)))</f>
        <v/>
      </c>
      <c r="AX255" s="124" t="str">
        <f>IF($B255="","",IF(AX$3=0,"n.b.",INDEX(SRC_Woningetalage!$A$1:$ZZ$501,$A255,AX$3)))</f>
        <v/>
      </c>
      <c r="AY255" s="124" t="str">
        <f>IF($B255="","",IF(AY$3=0,"n.b.",INDEX(SRC_Woningetalage!$A$1:$ZZ$501,$A255,AY$3)))</f>
        <v/>
      </c>
      <c r="AZ255" s="124" t="str">
        <f>IF($B255="","",IF(AZ$3=0,"n.b.",INDEX(SRC_Woningetalage!$A$1:$ZZ$501,$A255,AZ$3)))</f>
        <v/>
      </c>
      <c r="BA255" s="124" t="str">
        <f>IF($B255="","",IF(BA$3=0,"n.b.",INDEX(SRC_Woningetalage!$A$1:$ZZ$501,$A255,BA$3)))</f>
        <v/>
      </c>
      <c r="BB255" s="124" t="str">
        <f>IF($B255="","",IF(BB$3=0,"n.b.",INDEX(SRC_Woningetalage!$A$1:$ZZ$501,$A255,BB$3)))</f>
        <v/>
      </c>
      <c r="BC255" s="124" t="str">
        <f>IF($B255="","",IFERROR(_xlfn.NUMBERVALUE(E255&amp;"",",","."),"n.b."))</f>
        <v/>
      </c>
      <c r="BD255" s="124" t="str">
        <f>IF($B255="","",IFERROR(_xlfn.NUMBERVALUE(M255&amp;"",",","."),"n.b."))</f>
        <v/>
      </c>
      <c r="BE255" s="124" t="str">
        <f>IF($B255="","",IFERROR(AB255+AC255+AD255,"n.b."))</f>
        <v/>
      </c>
      <c r="BF255" s="124" t="str">
        <f>IF($B255="","",IFERROR(AE255+AF255+AG255,"n.b."))</f>
        <v/>
      </c>
      <c r="BG255" s="124" t="str">
        <f>IF($B255="","",IFERROR(AH255+AI255+AJ255,"n.b."))</f>
        <v/>
      </c>
      <c r="BH255" s="124" t="str">
        <f>IF($B255="","",IFERROR(AK255+AL255+AM255,"n.b."))</f>
        <v/>
      </c>
      <c r="BI255" s="124" t="str">
        <f>IF($B255="","",IFERROR(SUMIF($AB$5:$AM$5,"&lt;="&amp;P_PeilMaand,AB255:AM255),"n.b."))</f>
        <v/>
      </c>
      <c r="BJ255" s="124" t="str">
        <f>IF($B255="","",IFERROR(SUM(AB255:AM255)-BI255,"n.b."))</f>
        <v/>
      </c>
      <c r="BK255" s="124" t="str">
        <f>IF($B255="","",IFERROR(IF(ABS(Q255-(T255+SUM(AB255:AM255)+AS255+AU255))&gt;P_Tol,1,0),1))</f>
        <v/>
      </c>
      <c r="BL255" s="124" t="str">
        <f>IF($B255="","",IFERROR(IF(ABS(AA255-(Q255-Z255))&gt;P_Tol,1,0),1))</f>
        <v/>
      </c>
      <c r="BM255" s="124" t="str">
        <f>IF($B255="","",IFERROR(IF(ABS(Z255-(T255+W255))&gt;P_Tol,1,0),1))</f>
        <v/>
      </c>
      <c r="BN255" s="124" t="str">
        <f>IF($B255="","",IFERROR(IF(ABS(W255-BI255)&gt;P_Tol,1,0),1))</f>
        <v/>
      </c>
      <c r="BO255" s="124" t="str">
        <f>IF($B255="","",IFERROR(IF(OR(ABS(R255+S255-T255)&gt;P_Tol,ABS(U255+V255-W255)&gt;P_Tol,ABS(X255+Y255-Z255)&gt;P_Tol),1,0),1))</f>
        <v/>
      </c>
      <c r="BP255" s="124" t="str">
        <f>IF($B255="","",IFERROR(IF(OR(ABS(AR255-SUM(AB255:AM255))&gt;P_Tol,ABS(AS255-(AN255+AO255+AP255+AQ255))&gt;P_Tol),1,0),1))</f>
        <v/>
      </c>
      <c r="BQ255" s="124" t="str">
        <f>IF($B255="","",IFERROR(IF(ABS(AT255)+ABS(AV255)+ABS(AW255)+ABS(AX255)+ABS(AY255)+ABS(AZ255)+ABS(BA255)+ABS(BB255)&gt;0,1,0),1))</f>
        <v/>
      </c>
      <c r="BR255" s="124" t="str">
        <f>IF($B255="","",COUNTIF(STG_ZPMW03!$B$6:$B$505,B255))</f>
        <v/>
      </c>
      <c r="BS255" s="124" t="str">
        <f>IF($B255="","",COUNTIF($B$6:$B$505,B255))</f>
        <v/>
      </c>
      <c r="BT255" s="124" t="str">
        <f>IF($B255="","",IF(BR255=0,0,IF(INDEX(STG_ZPMW03!$I$6:$I$505,MATCH(B255,STG_ZPMW03!$B$6:$B$505,0))=J255&amp;"",0,1)))</f>
        <v/>
      </c>
      <c r="BU255" s="124" t="str">
        <f>IF($B255="","",IFERROR(IF(ABS(INDEX(Mapping!$D$5:$D$104,MATCH(B255,Mapping!$A$5:$A$104,0))-Q255)&gt;P_Tol,1,0),0))</f>
        <v/>
      </c>
      <c r="BV255" s="124" t="str">
        <f>IF($B255="","",IFERROR(IF(AND(INDEX(Mapping!$G$5:$G$104,MATCH(B255,Mapping!$A$5:$A$104,0))="Nee",ABS(Q255)+ABS(Z255)+ABS(AR255)&gt;0),1,0),0))</f>
        <v/>
      </c>
      <c r="BW255" s="124" t="str">
        <f>IF($B255="","",IF(COUNTIF(Mapping!$A$5:$A$104,B255)&gt;0,1,0))</f>
        <v/>
      </c>
      <c r="BX255" s="124" t="str">
        <f>IF($B255="","",IF(BR255=0,COUNTIF($BR$6:BR255,0),""))</f>
        <v/>
      </c>
    </row>
    <row r="256">
      <c r="A256" s="15" t="n">
        <v>252</v>
      </c>
      <c r="B256" t="str">
        <f>IF(B$3=0,"",IF(INDEX(SRC_Woningetalage!$A$1:$ZZ$501,$A256,B$3)&amp;""="","",INDEX(SRC_Woningetalage!$A$1:$ZZ$501,$A256,B$3)&amp;""))</f>
        <v/>
      </c>
      <c r="C256" t="str">
        <f>IF($B256="","",IF(C$3=0,"n.b.",INDEX(SRC_Woningetalage!$A$1:$ZZ$501,$A256,C$3)))</f>
        <v/>
      </c>
      <c r="D256" t="str">
        <f>IF($B256="","",IF(D$3=0,"n.b.",INDEX(SRC_Woningetalage!$A$1:$ZZ$501,$A256,D$3)))</f>
        <v/>
      </c>
      <c r="E256" t="str">
        <f>IF($B256="","",IF(E$3=0,"n.b.",INDEX(SRC_Woningetalage!$A$1:$ZZ$501,$A256,E$3)))</f>
        <v/>
      </c>
      <c r="F256" t="str">
        <f>IF($B256="","",IF(F$3=0,"n.b.",INDEX(SRC_Woningetalage!$A$1:$ZZ$501,$A256,F$3)))</f>
        <v/>
      </c>
      <c r="G256" t="str">
        <f>IF($B256="","",IF(G$3=0,"n.b.",INDEX(SRC_Woningetalage!$A$1:$ZZ$501,$A256,G$3)))</f>
        <v/>
      </c>
      <c r="H256" t="str">
        <f>IF($B256="","",IF(H$3=0,"n.b.",INDEX(SRC_Woningetalage!$A$1:$ZZ$501,$A256,H$3)))</f>
        <v/>
      </c>
      <c r="I256" t="str">
        <f>IF($B256="","",IF(I$3=0,"n.b.",INDEX(SRC_Woningetalage!$A$1:$ZZ$501,$A256,I$3)))</f>
        <v/>
      </c>
      <c r="J256" t="str">
        <f>IF($B256="","",IF(J$3=0,"n.b.",INDEX(SRC_Woningetalage!$A$1:$ZZ$501,$A256,J$3)))</f>
        <v/>
      </c>
      <c r="K256" t="str">
        <f>IF($B256="","",IF(K$3=0,"n.b.",INDEX(SRC_Woningetalage!$A$1:$ZZ$501,$A256,K$3)))</f>
        <v/>
      </c>
      <c r="L256" t="str">
        <f>IF($B256="","",IF(L$3=0,"n.b.",INDEX(SRC_Woningetalage!$A$1:$ZZ$501,$A256,L$3)))</f>
        <v/>
      </c>
      <c r="M256" t="str">
        <f>IF($B256="","",IF(M$3=0,"n.b.",INDEX(SRC_Woningetalage!$A$1:$ZZ$501,$A256,M$3)))</f>
        <v/>
      </c>
      <c r="N256" t="str">
        <f>IF($B256="","",IF(N$3=0,"n.b.",INDEX(SRC_Woningetalage!$A$1:$ZZ$501,$A256,N$3)))</f>
        <v/>
      </c>
      <c r="O256" t="str">
        <f>IF($B256="","",IF(O$3=0,"n.b.",INDEX(SRC_Woningetalage!$A$1:$ZZ$501,$A256,O$3)))</f>
        <v/>
      </c>
      <c r="P256" t="str">
        <f>IF($B256="","",IF(P$3=0,"n.b.",INDEX(SRC_Woningetalage!$A$1:$ZZ$501,$A256,P$3)))</f>
        <v/>
      </c>
      <c r="Q256" s="124" t="str">
        <f>IF($B256="","",IF(Q$3=0,"n.b.",INDEX(SRC_Woningetalage!$A$1:$ZZ$501,$A256,Q$3)))</f>
        <v/>
      </c>
      <c r="R256" s="124" t="str">
        <f>IF($B256="","",IF(R$3=0,"n.b.",INDEX(SRC_Woningetalage!$A$1:$ZZ$501,$A256,R$3)))</f>
        <v/>
      </c>
      <c r="S256" s="124" t="str">
        <f>IF($B256="","",IF(S$3=0,"n.b.",INDEX(SRC_Woningetalage!$A$1:$ZZ$501,$A256,S$3)))</f>
        <v/>
      </c>
      <c r="T256" s="124" t="str">
        <f>IF($B256="","",IF(T$3=0,"n.b.",INDEX(SRC_Woningetalage!$A$1:$ZZ$501,$A256,T$3)))</f>
        <v/>
      </c>
      <c r="U256" s="124" t="str">
        <f>IF($B256="","",IF(U$3=0,"n.b.",INDEX(SRC_Woningetalage!$A$1:$ZZ$501,$A256,U$3)))</f>
        <v/>
      </c>
      <c r="V256" s="124" t="str">
        <f>IF($B256="","",IF(V$3=0,"n.b.",INDEX(SRC_Woningetalage!$A$1:$ZZ$501,$A256,V$3)))</f>
        <v/>
      </c>
      <c r="W256" s="124" t="str">
        <f>IF($B256="","",IF(W$3=0,"n.b.",INDEX(SRC_Woningetalage!$A$1:$ZZ$501,$A256,W$3)))</f>
        <v/>
      </c>
      <c r="X256" s="124" t="str">
        <f>IF($B256="","",IF(X$3=0,"n.b.",INDEX(SRC_Woningetalage!$A$1:$ZZ$501,$A256,X$3)))</f>
        <v/>
      </c>
      <c r="Y256" s="124" t="str">
        <f>IF($B256="","",IF(Y$3=0,"n.b.",INDEX(SRC_Woningetalage!$A$1:$ZZ$501,$A256,Y$3)))</f>
        <v/>
      </c>
      <c r="Z256" s="124" t="str">
        <f>IF($B256="","",IF(Z$3=0,"n.b.",INDEX(SRC_Woningetalage!$A$1:$ZZ$501,$A256,Z$3)))</f>
        <v/>
      </c>
      <c r="AA256" s="124" t="str">
        <f>IF($B256="","",IF(AA$3=0,"n.b.",INDEX(SRC_Woningetalage!$A$1:$ZZ$501,$A256,AA$3)))</f>
        <v/>
      </c>
      <c r="AB256" s="124" t="str">
        <f>IF($B256="","",IF(AB$3=0,"n.b.",INDEX(SRC_Woningetalage!$A$1:$ZZ$501,$A256,AB$3)))</f>
        <v/>
      </c>
      <c r="AC256" s="124" t="str">
        <f>IF($B256="","",IF(AC$3=0,"n.b.",INDEX(SRC_Woningetalage!$A$1:$ZZ$501,$A256,AC$3)))</f>
        <v/>
      </c>
      <c r="AD256" s="124" t="str">
        <f>IF($B256="","",IF(AD$3=0,"n.b.",INDEX(SRC_Woningetalage!$A$1:$ZZ$501,$A256,AD$3)))</f>
        <v/>
      </c>
      <c r="AE256" s="124" t="str">
        <f>IF($B256="","",IF(AE$3=0,"n.b.",INDEX(SRC_Woningetalage!$A$1:$ZZ$501,$A256,AE$3)))</f>
        <v/>
      </c>
      <c r="AF256" s="124" t="str">
        <f>IF($B256="","",IF(AF$3=0,"n.b.",INDEX(SRC_Woningetalage!$A$1:$ZZ$501,$A256,AF$3)))</f>
        <v/>
      </c>
      <c r="AG256" s="124" t="str">
        <f>IF($B256="","",IF(AG$3=0,"n.b.",INDEX(SRC_Woningetalage!$A$1:$ZZ$501,$A256,AG$3)))</f>
        <v/>
      </c>
      <c r="AH256" s="124" t="str">
        <f>IF($B256="","",IF(AH$3=0,"n.b.",INDEX(SRC_Woningetalage!$A$1:$ZZ$501,$A256,AH$3)))</f>
        <v/>
      </c>
      <c r="AI256" s="124" t="str">
        <f>IF($B256="","",IF(AI$3=0,"n.b.",INDEX(SRC_Woningetalage!$A$1:$ZZ$501,$A256,AI$3)))</f>
        <v/>
      </c>
      <c r="AJ256" s="124" t="str">
        <f>IF($B256="","",IF(AJ$3=0,"n.b.",INDEX(SRC_Woningetalage!$A$1:$ZZ$501,$A256,AJ$3)))</f>
        <v/>
      </c>
      <c r="AK256" s="124" t="str">
        <f>IF($B256="","",IF(AK$3=0,"n.b.",INDEX(SRC_Woningetalage!$A$1:$ZZ$501,$A256,AK$3)))</f>
        <v/>
      </c>
      <c r="AL256" s="124" t="str">
        <f>IF($B256="","",IF(AL$3=0,"n.b.",INDEX(SRC_Woningetalage!$A$1:$ZZ$501,$A256,AL$3)))</f>
        <v/>
      </c>
      <c r="AM256" s="124" t="str">
        <f>IF($B256="","",IF(AM$3=0,"n.b.",INDEX(SRC_Woningetalage!$A$1:$ZZ$501,$A256,AM$3)))</f>
        <v/>
      </c>
      <c r="AN256" s="124" t="str">
        <f>IF($B256="","",IF(AN$3=0,"n.b.",INDEX(SRC_Woningetalage!$A$1:$ZZ$501,$A256,AN$3)))</f>
        <v/>
      </c>
      <c r="AO256" s="124" t="str">
        <f>IF($B256="","",IF(AO$3=0,"n.b.",INDEX(SRC_Woningetalage!$A$1:$ZZ$501,$A256,AO$3)))</f>
        <v/>
      </c>
      <c r="AP256" s="124" t="str">
        <f>IF($B256="","",IF(AP$3=0,"n.b.",INDEX(SRC_Woningetalage!$A$1:$ZZ$501,$A256,AP$3)))</f>
        <v/>
      </c>
      <c r="AQ256" s="124" t="str">
        <f>IF($B256="","",IF(AQ$3=0,"n.b.",INDEX(SRC_Woningetalage!$A$1:$ZZ$501,$A256,AQ$3)))</f>
        <v/>
      </c>
      <c r="AR256" s="124" t="str">
        <f>IF($B256="","",IF(AR$3=0,"n.b.",INDEX(SRC_Woningetalage!$A$1:$ZZ$501,$A256,AR$3)))</f>
        <v/>
      </c>
      <c r="AS256" s="124" t="str">
        <f>IF($B256="","",IF(AS$3=0,"n.b.",INDEX(SRC_Woningetalage!$A$1:$ZZ$501,$A256,AS$3)))</f>
        <v/>
      </c>
      <c r="AT256" s="124" t="str">
        <f>IF($B256="","",IF(AT$3=0,"n.b.",INDEX(SRC_Woningetalage!$A$1:$ZZ$501,$A256,AT$3)))</f>
        <v/>
      </c>
      <c r="AU256" s="124" t="str">
        <f>IF($B256="","",IF(AU$3=0,"n.b.",INDEX(SRC_Woningetalage!$A$1:$ZZ$501,$A256,AU$3)))</f>
        <v/>
      </c>
      <c r="AV256" s="124" t="str">
        <f>IF($B256="","",IF(AV$3=0,"n.b.",INDEX(SRC_Woningetalage!$A$1:$ZZ$501,$A256,AV$3)))</f>
        <v/>
      </c>
      <c r="AW256" s="124" t="str">
        <f>IF($B256="","",IF(AW$3=0,"n.b.",INDEX(SRC_Woningetalage!$A$1:$ZZ$501,$A256,AW$3)))</f>
        <v/>
      </c>
      <c r="AX256" s="124" t="str">
        <f>IF($B256="","",IF(AX$3=0,"n.b.",INDEX(SRC_Woningetalage!$A$1:$ZZ$501,$A256,AX$3)))</f>
        <v/>
      </c>
      <c r="AY256" s="124" t="str">
        <f>IF($B256="","",IF(AY$3=0,"n.b.",INDEX(SRC_Woningetalage!$A$1:$ZZ$501,$A256,AY$3)))</f>
        <v/>
      </c>
      <c r="AZ256" s="124" t="str">
        <f>IF($B256="","",IF(AZ$3=0,"n.b.",INDEX(SRC_Woningetalage!$A$1:$ZZ$501,$A256,AZ$3)))</f>
        <v/>
      </c>
      <c r="BA256" s="124" t="str">
        <f>IF($B256="","",IF(BA$3=0,"n.b.",INDEX(SRC_Woningetalage!$A$1:$ZZ$501,$A256,BA$3)))</f>
        <v/>
      </c>
      <c r="BB256" s="124" t="str">
        <f>IF($B256="","",IF(BB$3=0,"n.b.",INDEX(SRC_Woningetalage!$A$1:$ZZ$501,$A256,BB$3)))</f>
        <v/>
      </c>
      <c r="BC256" s="124" t="str">
        <f>IF($B256="","",IFERROR(_xlfn.NUMBERVALUE(E256&amp;"",",","."),"n.b."))</f>
        <v/>
      </c>
      <c r="BD256" s="124" t="str">
        <f>IF($B256="","",IFERROR(_xlfn.NUMBERVALUE(M256&amp;"",",","."),"n.b."))</f>
        <v/>
      </c>
      <c r="BE256" s="124" t="str">
        <f>IF($B256="","",IFERROR(AB256+AC256+AD256,"n.b."))</f>
        <v/>
      </c>
      <c r="BF256" s="124" t="str">
        <f>IF($B256="","",IFERROR(AE256+AF256+AG256,"n.b."))</f>
        <v/>
      </c>
      <c r="BG256" s="124" t="str">
        <f>IF($B256="","",IFERROR(AH256+AI256+AJ256,"n.b."))</f>
        <v/>
      </c>
      <c r="BH256" s="124" t="str">
        <f>IF($B256="","",IFERROR(AK256+AL256+AM256,"n.b."))</f>
        <v/>
      </c>
      <c r="BI256" s="124" t="str">
        <f>IF($B256="","",IFERROR(SUMIF($AB$5:$AM$5,"&lt;="&amp;P_PeilMaand,AB256:AM256),"n.b."))</f>
        <v/>
      </c>
      <c r="BJ256" s="124" t="str">
        <f>IF($B256="","",IFERROR(SUM(AB256:AM256)-BI256,"n.b."))</f>
        <v/>
      </c>
      <c r="BK256" s="124" t="str">
        <f>IF($B256="","",IFERROR(IF(ABS(Q256-(T256+SUM(AB256:AM256)+AS256+AU256))&gt;P_Tol,1,0),1))</f>
        <v/>
      </c>
      <c r="BL256" s="124" t="str">
        <f>IF($B256="","",IFERROR(IF(ABS(AA256-(Q256-Z256))&gt;P_Tol,1,0),1))</f>
        <v/>
      </c>
      <c r="BM256" s="124" t="str">
        <f>IF($B256="","",IFERROR(IF(ABS(Z256-(T256+W256))&gt;P_Tol,1,0),1))</f>
        <v/>
      </c>
      <c r="BN256" s="124" t="str">
        <f>IF($B256="","",IFERROR(IF(ABS(W256-BI256)&gt;P_Tol,1,0),1))</f>
        <v/>
      </c>
      <c r="BO256" s="124" t="str">
        <f>IF($B256="","",IFERROR(IF(OR(ABS(R256+S256-T256)&gt;P_Tol,ABS(U256+V256-W256)&gt;P_Tol,ABS(X256+Y256-Z256)&gt;P_Tol),1,0),1))</f>
        <v/>
      </c>
      <c r="BP256" s="124" t="str">
        <f>IF($B256="","",IFERROR(IF(OR(ABS(AR256-SUM(AB256:AM256))&gt;P_Tol,ABS(AS256-(AN256+AO256+AP256+AQ256))&gt;P_Tol),1,0),1))</f>
        <v/>
      </c>
      <c r="BQ256" s="124" t="str">
        <f>IF($B256="","",IFERROR(IF(ABS(AT256)+ABS(AV256)+ABS(AW256)+ABS(AX256)+ABS(AY256)+ABS(AZ256)+ABS(BA256)+ABS(BB256)&gt;0,1,0),1))</f>
        <v/>
      </c>
      <c r="BR256" s="124" t="str">
        <f>IF($B256="","",COUNTIF(STG_ZPMW03!$B$6:$B$505,B256))</f>
        <v/>
      </c>
      <c r="BS256" s="124" t="str">
        <f>IF($B256="","",COUNTIF($B$6:$B$505,B256))</f>
        <v/>
      </c>
      <c r="BT256" s="124" t="str">
        <f>IF($B256="","",IF(BR256=0,0,IF(INDEX(STG_ZPMW03!$I$6:$I$505,MATCH(B256,STG_ZPMW03!$B$6:$B$505,0))=J256&amp;"",0,1)))</f>
        <v/>
      </c>
      <c r="BU256" s="124" t="str">
        <f>IF($B256="","",IFERROR(IF(ABS(INDEX(Mapping!$D$5:$D$104,MATCH(B256,Mapping!$A$5:$A$104,0))-Q256)&gt;P_Tol,1,0),0))</f>
        <v/>
      </c>
      <c r="BV256" s="124" t="str">
        <f>IF($B256="","",IFERROR(IF(AND(INDEX(Mapping!$G$5:$G$104,MATCH(B256,Mapping!$A$5:$A$104,0))="Nee",ABS(Q256)+ABS(Z256)+ABS(AR256)&gt;0),1,0),0))</f>
        <v/>
      </c>
      <c r="BW256" s="124" t="str">
        <f>IF($B256="","",IF(COUNTIF(Mapping!$A$5:$A$104,B256)&gt;0,1,0))</f>
        <v/>
      </c>
      <c r="BX256" s="124" t="str">
        <f>IF($B256="","",IF(BR256=0,COUNTIF($BR$6:BR256,0),""))</f>
        <v/>
      </c>
    </row>
    <row r="257">
      <c r="A257" s="15" t="n">
        <v>253</v>
      </c>
      <c r="B257" t="str">
        <f>IF(B$3=0,"",IF(INDEX(SRC_Woningetalage!$A$1:$ZZ$501,$A257,B$3)&amp;""="","",INDEX(SRC_Woningetalage!$A$1:$ZZ$501,$A257,B$3)&amp;""))</f>
        <v/>
      </c>
      <c r="C257" t="str">
        <f>IF($B257="","",IF(C$3=0,"n.b.",INDEX(SRC_Woningetalage!$A$1:$ZZ$501,$A257,C$3)))</f>
        <v/>
      </c>
      <c r="D257" t="str">
        <f>IF($B257="","",IF(D$3=0,"n.b.",INDEX(SRC_Woningetalage!$A$1:$ZZ$501,$A257,D$3)))</f>
        <v/>
      </c>
      <c r="E257" t="str">
        <f>IF($B257="","",IF(E$3=0,"n.b.",INDEX(SRC_Woningetalage!$A$1:$ZZ$501,$A257,E$3)))</f>
        <v/>
      </c>
      <c r="F257" t="str">
        <f>IF($B257="","",IF(F$3=0,"n.b.",INDEX(SRC_Woningetalage!$A$1:$ZZ$501,$A257,F$3)))</f>
        <v/>
      </c>
      <c r="G257" t="str">
        <f>IF($B257="","",IF(G$3=0,"n.b.",INDEX(SRC_Woningetalage!$A$1:$ZZ$501,$A257,G$3)))</f>
        <v/>
      </c>
      <c r="H257" t="str">
        <f>IF($B257="","",IF(H$3=0,"n.b.",INDEX(SRC_Woningetalage!$A$1:$ZZ$501,$A257,H$3)))</f>
        <v/>
      </c>
      <c r="I257" t="str">
        <f>IF($B257="","",IF(I$3=0,"n.b.",INDEX(SRC_Woningetalage!$A$1:$ZZ$501,$A257,I$3)))</f>
        <v/>
      </c>
      <c r="J257" t="str">
        <f>IF($B257="","",IF(J$3=0,"n.b.",INDEX(SRC_Woningetalage!$A$1:$ZZ$501,$A257,J$3)))</f>
        <v/>
      </c>
      <c r="K257" t="str">
        <f>IF($B257="","",IF(K$3=0,"n.b.",INDEX(SRC_Woningetalage!$A$1:$ZZ$501,$A257,K$3)))</f>
        <v/>
      </c>
      <c r="L257" t="str">
        <f>IF($B257="","",IF(L$3=0,"n.b.",INDEX(SRC_Woningetalage!$A$1:$ZZ$501,$A257,L$3)))</f>
        <v/>
      </c>
      <c r="M257" t="str">
        <f>IF($B257="","",IF(M$3=0,"n.b.",INDEX(SRC_Woningetalage!$A$1:$ZZ$501,$A257,M$3)))</f>
        <v/>
      </c>
      <c r="N257" t="str">
        <f>IF($B257="","",IF(N$3=0,"n.b.",INDEX(SRC_Woningetalage!$A$1:$ZZ$501,$A257,N$3)))</f>
        <v/>
      </c>
      <c r="O257" t="str">
        <f>IF($B257="","",IF(O$3=0,"n.b.",INDEX(SRC_Woningetalage!$A$1:$ZZ$501,$A257,O$3)))</f>
        <v/>
      </c>
      <c r="P257" t="str">
        <f>IF($B257="","",IF(P$3=0,"n.b.",INDEX(SRC_Woningetalage!$A$1:$ZZ$501,$A257,P$3)))</f>
        <v/>
      </c>
      <c r="Q257" s="124" t="str">
        <f>IF($B257="","",IF(Q$3=0,"n.b.",INDEX(SRC_Woningetalage!$A$1:$ZZ$501,$A257,Q$3)))</f>
        <v/>
      </c>
      <c r="R257" s="124" t="str">
        <f>IF($B257="","",IF(R$3=0,"n.b.",INDEX(SRC_Woningetalage!$A$1:$ZZ$501,$A257,R$3)))</f>
        <v/>
      </c>
      <c r="S257" s="124" t="str">
        <f>IF($B257="","",IF(S$3=0,"n.b.",INDEX(SRC_Woningetalage!$A$1:$ZZ$501,$A257,S$3)))</f>
        <v/>
      </c>
      <c r="T257" s="124" t="str">
        <f>IF($B257="","",IF(T$3=0,"n.b.",INDEX(SRC_Woningetalage!$A$1:$ZZ$501,$A257,T$3)))</f>
        <v/>
      </c>
      <c r="U257" s="124" t="str">
        <f>IF($B257="","",IF(U$3=0,"n.b.",INDEX(SRC_Woningetalage!$A$1:$ZZ$501,$A257,U$3)))</f>
        <v/>
      </c>
      <c r="V257" s="124" t="str">
        <f>IF($B257="","",IF(V$3=0,"n.b.",INDEX(SRC_Woningetalage!$A$1:$ZZ$501,$A257,V$3)))</f>
        <v/>
      </c>
      <c r="W257" s="124" t="str">
        <f>IF($B257="","",IF(W$3=0,"n.b.",INDEX(SRC_Woningetalage!$A$1:$ZZ$501,$A257,W$3)))</f>
        <v/>
      </c>
      <c r="X257" s="124" t="str">
        <f>IF($B257="","",IF(X$3=0,"n.b.",INDEX(SRC_Woningetalage!$A$1:$ZZ$501,$A257,X$3)))</f>
        <v/>
      </c>
      <c r="Y257" s="124" t="str">
        <f>IF($B257="","",IF(Y$3=0,"n.b.",INDEX(SRC_Woningetalage!$A$1:$ZZ$501,$A257,Y$3)))</f>
        <v/>
      </c>
      <c r="Z257" s="124" t="str">
        <f>IF($B257="","",IF(Z$3=0,"n.b.",INDEX(SRC_Woningetalage!$A$1:$ZZ$501,$A257,Z$3)))</f>
        <v/>
      </c>
      <c r="AA257" s="124" t="str">
        <f>IF($B257="","",IF(AA$3=0,"n.b.",INDEX(SRC_Woningetalage!$A$1:$ZZ$501,$A257,AA$3)))</f>
        <v/>
      </c>
      <c r="AB257" s="124" t="str">
        <f>IF($B257="","",IF(AB$3=0,"n.b.",INDEX(SRC_Woningetalage!$A$1:$ZZ$501,$A257,AB$3)))</f>
        <v/>
      </c>
      <c r="AC257" s="124" t="str">
        <f>IF($B257="","",IF(AC$3=0,"n.b.",INDEX(SRC_Woningetalage!$A$1:$ZZ$501,$A257,AC$3)))</f>
        <v/>
      </c>
      <c r="AD257" s="124" t="str">
        <f>IF($B257="","",IF(AD$3=0,"n.b.",INDEX(SRC_Woningetalage!$A$1:$ZZ$501,$A257,AD$3)))</f>
        <v/>
      </c>
      <c r="AE257" s="124" t="str">
        <f>IF($B257="","",IF(AE$3=0,"n.b.",INDEX(SRC_Woningetalage!$A$1:$ZZ$501,$A257,AE$3)))</f>
        <v/>
      </c>
      <c r="AF257" s="124" t="str">
        <f>IF($B257="","",IF(AF$3=0,"n.b.",INDEX(SRC_Woningetalage!$A$1:$ZZ$501,$A257,AF$3)))</f>
        <v/>
      </c>
      <c r="AG257" s="124" t="str">
        <f>IF($B257="","",IF(AG$3=0,"n.b.",INDEX(SRC_Woningetalage!$A$1:$ZZ$501,$A257,AG$3)))</f>
        <v/>
      </c>
      <c r="AH257" s="124" t="str">
        <f>IF($B257="","",IF(AH$3=0,"n.b.",INDEX(SRC_Woningetalage!$A$1:$ZZ$501,$A257,AH$3)))</f>
        <v/>
      </c>
      <c r="AI257" s="124" t="str">
        <f>IF($B257="","",IF(AI$3=0,"n.b.",INDEX(SRC_Woningetalage!$A$1:$ZZ$501,$A257,AI$3)))</f>
        <v/>
      </c>
      <c r="AJ257" s="124" t="str">
        <f>IF($B257="","",IF(AJ$3=0,"n.b.",INDEX(SRC_Woningetalage!$A$1:$ZZ$501,$A257,AJ$3)))</f>
        <v/>
      </c>
      <c r="AK257" s="124" t="str">
        <f>IF($B257="","",IF(AK$3=0,"n.b.",INDEX(SRC_Woningetalage!$A$1:$ZZ$501,$A257,AK$3)))</f>
        <v/>
      </c>
      <c r="AL257" s="124" t="str">
        <f>IF($B257="","",IF(AL$3=0,"n.b.",INDEX(SRC_Woningetalage!$A$1:$ZZ$501,$A257,AL$3)))</f>
        <v/>
      </c>
      <c r="AM257" s="124" t="str">
        <f>IF($B257="","",IF(AM$3=0,"n.b.",INDEX(SRC_Woningetalage!$A$1:$ZZ$501,$A257,AM$3)))</f>
        <v/>
      </c>
      <c r="AN257" s="124" t="str">
        <f>IF($B257="","",IF(AN$3=0,"n.b.",INDEX(SRC_Woningetalage!$A$1:$ZZ$501,$A257,AN$3)))</f>
        <v/>
      </c>
      <c r="AO257" s="124" t="str">
        <f>IF($B257="","",IF(AO$3=0,"n.b.",INDEX(SRC_Woningetalage!$A$1:$ZZ$501,$A257,AO$3)))</f>
        <v/>
      </c>
      <c r="AP257" s="124" t="str">
        <f>IF($B257="","",IF(AP$3=0,"n.b.",INDEX(SRC_Woningetalage!$A$1:$ZZ$501,$A257,AP$3)))</f>
        <v/>
      </c>
      <c r="AQ257" s="124" t="str">
        <f>IF($B257="","",IF(AQ$3=0,"n.b.",INDEX(SRC_Woningetalage!$A$1:$ZZ$501,$A257,AQ$3)))</f>
        <v/>
      </c>
      <c r="AR257" s="124" t="str">
        <f>IF($B257="","",IF(AR$3=0,"n.b.",INDEX(SRC_Woningetalage!$A$1:$ZZ$501,$A257,AR$3)))</f>
        <v/>
      </c>
      <c r="AS257" s="124" t="str">
        <f>IF($B257="","",IF(AS$3=0,"n.b.",INDEX(SRC_Woningetalage!$A$1:$ZZ$501,$A257,AS$3)))</f>
        <v/>
      </c>
      <c r="AT257" s="124" t="str">
        <f>IF($B257="","",IF(AT$3=0,"n.b.",INDEX(SRC_Woningetalage!$A$1:$ZZ$501,$A257,AT$3)))</f>
        <v/>
      </c>
      <c r="AU257" s="124" t="str">
        <f>IF($B257="","",IF(AU$3=0,"n.b.",INDEX(SRC_Woningetalage!$A$1:$ZZ$501,$A257,AU$3)))</f>
        <v/>
      </c>
      <c r="AV257" s="124" t="str">
        <f>IF($B257="","",IF(AV$3=0,"n.b.",INDEX(SRC_Woningetalage!$A$1:$ZZ$501,$A257,AV$3)))</f>
        <v/>
      </c>
      <c r="AW257" s="124" t="str">
        <f>IF($B257="","",IF(AW$3=0,"n.b.",INDEX(SRC_Woningetalage!$A$1:$ZZ$501,$A257,AW$3)))</f>
        <v/>
      </c>
      <c r="AX257" s="124" t="str">
        <f>IF($B257="","",IF(AX$3=0,"n.b.",INDEX(SRC_Woningetalage!$A$1:$ZZ$501,$A257,AX$3)))</f>
        <v/>
      </c>
      <c r="AY257" s="124" t="str">
        <f>IF($B257="","",IF(AY$3=0,"n.b.",INDEX(SRC_Woningetalage!$A$1:$ZZ$501,$A257,AY$3)))</f>
        <v/>
      </c>
      <c r="AZ257" s="124" t="str">
        <f>IF($B257="","",IF(AZ$3=0,"n.b.",INDEX(SRC_Woningetalage!$A$1:$ZZ$501,$A257,AZ$3)))</f>
        <v/>
      </c>
      <c r="BA257" s="124" t="str">
        <f>IF($B257="","",IF(BA$3=0,"n.b.",INDEX(SRC_Woningetalage!$A$1:$ZZ$501,$A257,BA$3)))</f>
        <v/>
      </c>
      <c r="BB257" s="124" t="str">
        <f>IF($B257="","",IF(BB$3=0,"n.b.",INDEX(SRC_Woningetalage!$A$1:$ZZ$501,$A257,BB$3)))</f>
        <v/>
      </c>
      <c r="BC257" s="124" t="str">
        <f>IF($B257="","",IFERROR(_xlfn.NUMBERVALUE(E257&amp;"",",","."),"n.b."))</f>
        <v/>
      </c>
      <c r="BD257" s="124" t="str">
        <f>IF($B257="","",IFERROR(_xlfn.NUMBERVALUE(M257&amp;"",",","."),"n.b."))</f>
        <v/>
      </c>
      <c r="BE257" s="124" t="str">
        <f>IF($B257="","",IFERROR(AB257+AC257+AD257,"n.b."))</f>
        <v/>
      </c>
      <c r="BF257" s="124" t="str">
        <f>IF($B257="","",IFERROR(AE257+AF257+AG257,"n.b."))</f>
        <v/>
      </c>
      <c r="BG257" s="124" t="str">
        <f>IF($B257="","",IFERROR(AH257+AI257+AJ257,"n.b."))</f>
        <v/>
      </c>
      <c r="BH257" s="124" t="str">
        <f>IF($B257="","",IFERROR(AK257+AL257+AM257,"n.b."))</f>
        <v/>
      </c>
      <c r="BI257" s="124" t="str">
        <f>IF($B257="","",IFERROR(SUMIF($AB$5:$AM$5,"&lt;="&amp;P_PeilMaand,AB257:AM257),"n.b."))</f>
        <v/>
      </c>
      <c r="BJ257" s="124" t="str">
        <f>IF($B257="","",IFERROR(SUM(AB257:AM257)-BI257,"n.b."))</f>
        <v/>
      </c>
      <c r="BK257" s="124" t="str">
        <f>IF($B257="","",IFERROR(IF(ABS(Q257-(T257+SUM(AB257:AM257)+AS257+AU257))&gt;P_Tol,1,0),1))</f>
        <v/>
      </c>
      <c r="BL257" s="124" t="str">
        <f>IF($B257="","",IFERROR(IF(ABS(AA257-(Q257-Z257))&gt;P_Tol,1,0),1))</f>
        <v/>
      </c>
      <c r="BM257" s="124" t="str">
        <f>IF($B257="","",IFERROR(IF(ABS(Z257-(T257+W257))&gt;P_Tol,1,0),1))</f>
        <v/>
      </c>
      <c r="BN257" s="124" t="str">
        <f>IF($B257="","",IFERROR(IF(ABS(W257-BI257)&gt;P_Tol,1,0),1))</f>
        <v/>
      </c>
      <c r="BO257" s="124" t="str">
        <f>IF($B257="","",IFERROR(IF(OR(ABS(R257+S257-T257)&gt;P_Tol,ABS(U257+V257-W257)&gt;P_Tol,ABS(X257+Y257-Z257)&gt;P_Tol),1,0),1))</f>
        <v/>
      </c>
      <c r="BP257" s="124" t="str">
        <f>IF($B257="","",IFERROR(IF(OR(ABS(AR257-SUM(AB257:AM257))&gt;P_Tol,ABS(AS257-(AN257+AO257+AP257+AQ257))&gt;P_Tol),1,0),1))</f>
        <v/>
      </c>
      <c r="BQ257" s="124" t="str">
        <f>IF($B257="","",IFERROR(IF(ABS(AT257)+ABS(AV257)+ABS(AW257)+ABS(AX257)+ABS(AY257)+ABS(AZ257)+ABS(BA257)+ABS(BB257)&gt;0,1,0),1))</f>
        <v/>
      </c>
      <c r="BR257" s="124" t="str">
        <f>IF($B257="","",COUNTIF(STG_ZPMW03!$B$6:$B$505,B257))</f>
        <v/>
      </c>
      <c r="BS257" s="124" t="str">
        <f>IF($B257="","",COUNTIF($B$6:$B$505,B257))</f>
        <v/>
      </c>
      <c r="BT257" s="124" t="str">
        <f>IF($B257="","",IF(BR257=0,0,IF(INDEX(STG_ZPMW03!$I$6:$I$505,MATCH(B257,STG_ZPMW03!$B$6:$B$505,0))=J257&amp;"",0,1)))</f>
        <v/>
      </c>
      <c r="BU257" s="124" t="str">
        <f>IF($B257="","",IFERROR(IF(ABS(INDEX(Mapping!$D$5:$D$104,MATCH(B257,Mapping!$A$5:$A$104,0))-Q257)&gt;P_Tol,1,0),0))</f>
        <v/>
      </c>
      <c r="BV257" s="124" t="str">
        <f>IF($B257="","",IFERROR(IF(AND(INDEX(Mapping!$G$5:$G$104,MATCH(B257,Mapping!$A$5:$A$104,0))="Nee",ABS(Q257)+ABS(Z257)+ABS(AR257)&gt;0),1,0),0))</f>
        <v/>
      </c>
      <c r="BW257" s="124" t="str">
        <f>IF($B257="","",IF(COUNTIF(Mapping!$A$5:$A$104,B257)&gt;0,1,0))</f>
        <v/>
      </c>
      <c r="BX257" s="124" t="str">
        <f>IF($B257="","",IF(BR257=0,COUNTIF($BR$6:BR257,0),""))</f>
        <v/>
      </c>
    </row>
    <row r="258">
      <c r="A258" s="15" t="n">
        <v>254</v>
      </c>
      <c r="B258" t="str">
        <f>IF(B$3=0,"",IF(INDEX(SRC_Woningetalage!$A$1:$ZZ$501,$A258,B$3)&amp;""="","",INDEX(SRC_Woningetalage!$A$1:$ZZ$501,$A258,B$3)&amp;""))</f>
        <v/>
      </c>
      <c r="C258" t="str">
        <f>IF($B258="","",IF(C$3=0,"n.b.",INDEX(SRC_Woningetalage!$A$1:$ZZ$501,$A258,C$3)))</f>
        <v/>
      </c>
      <c r="D258" t="str">
        <f>IF($B258="","",IF(D$3=0,"n.b.",INDEX(SRC_Woningetalage!$A$1:$ZZ$501,$A258,D$3)))</f>
        <v/>
      </c>
      <c r="E258" t="str">
        <f>IF($B258="","",IF(E$3=0,"n.b.",INDEX(SRC_Woningetalage!$A$1:$ZZ$501,$A258,E$3)))</f>
        <v/>
      </c>
      <c r="F258" t="str">
        <f>IF($B258="","",IF(F$3=0,"n.b.",INDEX(SRC_Woningetalage!$A$1:$ZZ$501,$A258,F$3)))</f>
        <v/>
      </c>
      <c r="G258" t="str">
        <f>IF($B258="","",IF(G$3=0,"n.b.",INDEX(SRC_Woningetalage!$A$1:$ZZ$501,$A258,G$3)))</f>
        <v/>
      </c>
      <c r="H258" t="str">
        <f>IF($B258="","",IF(H$3=0,"n.b.",INDEX(SRC_Woningetalage!$A$1:$ZZ$501,$A258,H$3)))</f>
        <v/>
      </c>
      <c r="I258" t="str">
        <f>IF($B258="","",IF(I$3=0,"n.b.",INDEX(SRC_Woningetalage!$A$1:$ZZ$501,$A258,I$3)))</f>
        <v/>
      </c>
      <c r="J258" t="str">
        <f>IF($B258="","",IF(J$3=0,"n.b.",INDEX(SRC_Woningetalage!$A$1:$ZZ$501,$A258,J$3)))</f>
        <v/>
      </c>
      <c r="K258" t="str">
        <f>IF($B258="","",IF(K$3=0,"n.b.",INDEX(SRC_Woningetalage!$A$1:$ZZ$501,$A258,K$3)))</f>
        <v/>
      </c>
      <c r="L258" t="str">
        <f>IF($B258="","",IF(L$3=0,"n.b.",INDEX(SRC_Woningetalage!$A$1:$ZZ$501,$A258,L$3)))</f>
        <v/>
      </c>
      <c r="M258" t="str">
        <f>IF($B258="","",IF(M$3=0,"n.b.",INDEX(SRC_Woningetalage!$A$1:$ZZ$501,$A258,M$3)))</f>
        <v/>
      </c>
      <c r="N258" t="str">
        <f>IF($B258="","",IF(N$3=0,"n.b.",INDEX(SRC_Woningetalage!$A$1:$ZZ$501,$A258,N$3)))</f>
        <v/>
      </c>
      <c r="O258" t="str">
        <f>IF($B258="","",IF(O$3=0,"n.b.",INDEX(SRC_Woningetalage!$A$1:$ZZ$501,$A258,O$3)))</f>
        <v/>
      </c>
      <c r="P258" t="str">
        <f>IF($B258="","",IF(P$3=0,"n.b.",INDEX(SRC_Woningetalage!$A$1:$ZZ$501,$A258,P$3)))</f>
        <v/>
      </c>
      <c r="Q258" s="124" t="str">
        <f>IF($B258="","",IF(Q$3=0,"n.b.",INDEX(SRC_Woningetalage!$A$1:$ZZ$501,$A258,Q$3)))</f>
        <v/>
      </c>
      <c r="R258" s="124" t="str">
        <f>IF($B258="","",IF(R$3=0,"n.b.",INDEX(SRC_Woningetalage!$A$1:$ZZ$501,$A258,R$3)))</f>
        <v/>
      </c>
      <c r="S258" s="124" t="str">
        <f>IF($B258="","",IF(S$3=0,"n.b.",INDEX(SRC_Woningetalage!$A$1:$ZZ$501,$A258,S$3)))</f>
        <v/>
      </c>
      <c r="T258" s="124" t="str">
        <f>IF($B258="","",IF(T$3=0,"n.b.",INDEX(SRC_Woningetalage!$A$1:$ZZ$501,$A258,T$3)))</f>
        <v/>
      </c>
      <c r="U258" s="124" t="str">
        <f>IF($B258="","",IF(U$3=0,"n.b.",INDEX(SRC_Woningetalage!$A$1:$ZZ$501,$A258,U$3)))</f>
        <v/>
      </c>
      <c r="V258" s="124" t="str">
        <f>IF($B258="","",IF(V$3=0,"n.b.",INDEX(SRC_Woningetalage!$A$1:$ZZ$501,$A258,V$3)))</f>
        <v/>
      </c>
      <c r="W258" s="124" t="str">
        <f>IF($B258="","",IF(W$3=0,"n.b.",INDEX(SRC_Woningetalage!$A$1:$ZZ$501,$A258,W$3)))</f>
        <v/>
      </c>
      <c r="X258" s="124" t="str">
        <f>IF($B258="","",IF(X$3=0,"n.b.",INDEX(SRC_Woningetalage!$A$1:$ZZ$501,$A258,X$3)))</f>
        <v/>
      </c>
      <c r="Y258" s="124" t="str">
        <f>IF($B258="","",IF(Y$3=0,"n.b.",INDEX(SRC_Woningetalage!$A$1:$ZZ$501,$A258,Y$3)))</f>
        <v/>
      </c>
      <c r="Z258" s="124" t="str">
        <f>IF($B258="","",IF(Z$3=0,"n.b.",INDEX(SRC_Woningetalage!$A$1:$ZZ$501,$A258,Z$3)))</f>
        <v/>
      </c>
      <c r="AA258" s="124" t="str">
        <f>IF($B258="","",IF(AA$3=0,"n.b.",INDEX(SRC_Woningetalage!$A$1:$ZZ$501,$A258,AA$3)))</f>
        <v/>
      </c>
      <c r="AB258" s="124" t="str">
        <f>IF($B258="","",IF(AB$3=0,"n.b.",INDEX(SRC_Woningetalage!$A$1:$ZZ$501,$A258,AB$3)))</f>
        <v/>
      </c>
      <c r="AC258" s="124" t="str">
        <f>IF($B258="","",IF(AC$3=0,"n.b.",INDEX(SRC_Woningetalage!$A$1:$ZZ$501,$A258,AC$3)))</f>
        <v/>
      </c>
      <c r="AD258" s="124" t="str">
        <f>IF($B258="","",IF(AD$3=0,"n.b.",INDEX(SRC_Woningetalage!$A$1:$ZZ$501,$A258,AD$3)))</f>
        <v/>
      </c>
      <c r="AE258" s="124" t="str">
        <f>IF($B258="","",IF(AE$3=0,"n.b.",INDEX(SRC_Woningetalage!$A$1:$ZZ$501,$A258,AE$3)))</f>
        <v/>
      </c>
      <c r="AF258" s="124" t="str">
        <f>IF($B258="","",IF(AF$3=0,"n.b.",INDEX(SRC_Woningetalage!$A$1:$ZZ$501,$A258,AF$3)))</f>
        <v/>
      </c>
      <c r="AG258" s="124" t="str">
        <f>IF($B258="","",IF(AG$3=0,"n.b.",INDEX(SRC_Woningetalage!$A$1:$ZZ$501,$A258,AG$3)))</f>
        <v/>
      </c>
      <c r="AH258" s="124" t="str">
        <f>IF($B258="","",IF(AH$3=0,"n.b.",INDEX(SRC_Woningetalage!$A$1:$ZZ$501,$A258,AH$3)))</f>
        <v/>
      </c>
      <c r="AI258" s="124" t="str">
        <f>IF($B258="","",IF(AI$3=0,"n.b.",INDEX(SRC_Woningetalage!$A$1:$ZZ$501,$A258,AI$3)))</f>
        <v/>
      </c>
      <c r="AJ258" s="124" t="str">
        <f>IF($B258="","",IF(AJ$3=0,"n.b.",INDEX(SRC_Woningetalage!$A$1:$ZZ$501,$A258,AJ$3)))</f>
        <v/>
      </c>
      <c r="AK258" s="124" t="str">
        <f>IF($B258="","",IF(AK$3=0,"n.b.",INDEX(SRC_Woningetalage!$A$1:$ZZ$501,$A258,AK$3)))</f>
        <v/>
      </c>
      <c r="AL258" s="124" t="str">
        <f>IF($B258="","",IF(AL$3=0,"n.b.",INDEX(SRC_Woningetalage!$A$1:$ZZ$501,$A258,AL$3)))</f>
        <v/>
      </c>
      <c r="AM258" s="124" t="str">
        <f>IF($B258="","",IF(AM$3=0,"n.b.",INDEX(SRC_Woningetalage!$A$1:$ZZ$501,$A258,AM$3)))</f>
        <v/>
      </c>
      <c r="AN258" s="124" t="str">
        <f>IF($B258="","",IF(AN$3=0,"n.b.",INDEX(SRC_Woningetalage!$A$1:$ZZ$501,$A258,AN$3)))</f>
        <v/>
      </c>
      <c r="AO258" s="124" t="str">
        <f>IF($B258="","",IF(AO$3=0,"n.b.",INDEX(SRC_Woningetalage!$A$1:$ZZ$501,$A258,AO$3)))</f>
        <v/>
      </c>
      <c r="AP258" s="124" t="str">
        <f>IF($B258="","",IF(AP$3=0,"n.b.",INDEX(SRC_Woningetalage!$A$1:$ZZ$501,$A258,AP$3)))</f>
        <v/>
      </c>
      <c r="AQ258" s="124" t="str">
        <f>IF($B258="","",IF(AQ$3=0,"n.b.",INDEX(SRC_Woningetalage!$A$1:$ZZ$501,$A258,AQ$3)))</f>
        <v/>
      </c>
      <c r="AR258" s="124" t="str">
        <f>IF($B258="","",IF(AR$3=0,"n.b.",INDEX(SRC_Woningetalage!$A$1:$ZZ$501,$A258,AR$3)))</f>
        <v/>
      </c>
      <c r="AS258" s="124" t="str">
        <f>IF($B258="","",IF(AS$3=0,"n.b.",INDEX(SRC_Woningetalage!$A$1:$ZZ$501,$A258,AS$3)))</f>
        <v/>
      </c>
      <c r="AT258" s="124" t="str">
        <f>IF($B258="","",IF(AT$3=0,"n.b.",INDEX(SRC_Woningetalage!$A$1:$ZZ$501,$A258,AT$3)))</f>
        <v/>
      </c>
      <c r="AU258" s="124" t="str">
        <f>IF($B258="","",IF(AU$3=0,"n.b.",INDEX(SRC_Woningetalage!$A$1:$ZZ$501,$A258,AU$3)))</f>
        <v/>
      </c>
      <c r="AV258" s="124" t="str">
        <f>IF($B258="","",IF(AV$3=0,"n.b.",INDEX(SRC_Woningetalage!$A$1:$ZZ$501,$A258,AV$3)))</f>
        <v/>
      </c>
      <c r="AW258" s="124" t="str">
        <f>IF($B258="","",IF(AW$3=0,"n.b.",INDEX(SRC_Woningetalage!$A$1:$ZZ$501,$A258,AW$3)))</f>
        <v/>
      </c>
      <c r="AX258" s="124" t="str">
        <f>IF($B258="","",IF(AX$3=0,"n.b.",INDEX(SRC_Woningetalage!$A$1:$ZZ$501,$A258,AX$3)))</f>
        <v/>
      </c>
      <c r="AY258" s="124" t="str">
        <f>IF($B258="","",IF(AY$3=0,"n.b.",INDEX(SRC_Woningetalage!$A$1:$ZZ$501,$A258,AY$3)))</f>
        <v/>
      </c>
      <c r="AZ258" s="124" t="str">
        <f>IF($B258="","",IF(AZ$3=0,"n.b.",INDEX(SRC_Woningetalage!$A$1:$ZZ$501,$A258,AZ$3)))</f>
        <v/>
      </c>
      <c r="BA258" s="124" t="str">
        <f>IF($B258="","",IF(BA$3=0,"n.b.",INDEX(SRC_Woningetalage!$A$1:$ZZ$501,$A258,BA$3)))</f>
        <v/>
      </c>
      <c r="BB258" s="124" t="str">
        <f>IF($B258="","",IF(BB$3=0,"n.b.",INDEX(SRC_Woningetalage!$A$1:$ZZ$501,$A258,BB$3)))</f>
        <v/>
      </c>
      <c r="BC258" s="124" t="str">
        <f>IF($B258="","",IFERROR(_xlfn.NUMBERVALUE(E258&amp;"",",","."),"n.b."))</f>
        <v/>
      </c>
      <c r="BD258" s="124" t="str">
        <f>IF($B258="","",IFERROR(_xlfn.NUMBERVALUE(M258&amp;"",",","."),"n.b."))</f>
        <v/>
      </c>
      <c r="BE258" s="124" t="str">
        <f>IF($B258="","",IFERROR(AB258+AC258+AD258,"n.b."))</f>
        <v/>
      </c>
      <c r="BF258" s="124" t="str">
        <f>IF($B258="","",IFERROR(AE258+AF258+AG258,"n.b."))</f>
        <v/>
      </c>
      <c r="BG258" s="124" t="str">
        <f>IF($B258="","",IFERROR(AH258+AI258+AJ258,"n.b."))</f>
        <v/>
      </c>
      <c r="BH258" s="124" t="str">
        <f>IF($B258="","",IFERROR(AK258+AL258+AM258,"n.b."))</f>
        <v/>
      </c>
      <c r="BI258" s="124" t="str">
        <f>IF($B258="","",IFERROR(SUMIF($AB$5:$AM$5,"&lt;="&amp;P_PeilMaand,AB258:AM258),"n.b."))</f>
        <v/>
      </c>
      <c r="BJ258" s="124" t="str">
        <f>IF($B258="","",IFERROR(SUM(AB258:AM258)-BI258,"n.b."))</f>
        <v/>
      </c>
      <c r="BK258" s="124" t="str">
        <f>IF($B258="","",IFERROR(IF(ABS(Q258-(T258+SUM(AB258:AM258)+AS258+AU258))&gt;P_Tol,1,0),1))</f>
        <v/>
      </c>
      <c r="BL258" s="124" t="str">
        <f>IF($B258="","",IFERROR(IF(ABS(AA258-(Q258-Z258))&gt;P_Tol,1,0),1))</f>
        <v/>
      </c>
      <c r="BM258" s="124" t="str">
        <f>IF($B258="","",IFERROR(IF(ABS(Z258-(T258+W258))&gt;P_Tol,1,0),1))</f>
        <v/>
      </c>
      <c r="BN258" s="124" t="str">
        <f>IF($B258="","",IFERROR(IF(ABS(W258-BI258)&gt;P_Tol,1,0),1))</f>
        <v/>
      </c>
      <c r="BO258" s="124" t="str">
        <f>IF($B258="","",IFERROR(IF(OR(ABS(R258+S258-T258)&gt;P_Tol,ABS(U258+V258-W258)&gt;P_Tol,ABS(X258+Y258-Z258)&gt;P_Tol),1,0),1))</f>
        <v/>
      </c>
      <c r="BP258" s="124" t="str">
        <f>IF($B258="","",IFERROR(IF(OR(ABS(AR258-SUM(AB258:AM258))&gt;P_Tol,ABS(AS258-(AN258+AO258+AP258+AQ258))&gt;P_Tol),1,0),1))</f>
        <v/>
      </c>
      <c r="BQ258" s="124" t="str">
        <f>IF($B258="","",IFERROR(IF(ABS(AT258)+ABS(AV258)+ABS(AW258)+ABS(AX258)+ABS(AY258)+ABS(AZ258)+ABS(BA258)+ABS(BB258)&gt;0,1,0),1))</f>
        <v/>
      </c>
      <c r="BR258" s="124" t="str">
        <f>IF($B258="","",COUNTIF(STG_ZPMW03!$B$6:$B$505,B258))</f>
        <v/>
      </c>
      <c r="BS258" s="124" t="str">
        <f>IF($B258="","",COUNTIF($B$6:$B$505,B258))</f>
        <v/>
      </c>
      <c r="BT258" s="124" t="str">
        <f>IF($B258="","",IF(BR258=0,0,IF(INDEX(STG_ZPMW03!$I$6:$I$505,MATCH(B258,STG_ZPMW03!$B$6:$B$505,0))=J258&amp;"",0,1)))</f>
        <v/>
      </c>
      <c r="BU258" s="124" t="str">
        <f>IF($B258="","",IFERROR(IF(ABS(INDEX(Mapping!$D$5:$D$104,MATCH(B258,Mapping!$A$5:$A$104,0))-Q258)&gt;P_Tol,1,0),0))</f>
        <v/>
      </c>
      <c r="BV258" s="124" t="str">
        <f>IF($B258="","",IFERROR(IF(AND(INDEX(Mapping!$G$5:$G$104,MATCH(B258,Mapping!$A$5:$A$104,0))="Nee",ABS(Q258)+ABS(Z258)+ABS(AR258)&gt;0),1,0),0))</f>
        <v/>
      </c>
      <c r="BW258" s="124" t="str">
        <f>IF($B258="","",IF(COUNTIF(Mapping!$A$5:$A$104,B258)&gt;0,1,0))</f>
        <v/>
      </c>
      <c r="BX258" s="124" t="str">
        <f>IF($B258="","",IF(BR258=0,COUNTIF($BR$6:BR258,0),""))</f>
        <v/>
      </c>
    </row>
    <row r="259">
      <c r="A259" s="15" t="n">
        <v>255</v>
      </c>
      <c r="B259" t="str">
        <f>IF(B$3=0,"",IF(INDEX(SRC_Woningetalage!$A$1:$ZZ$501,$A259,B$3)&amp;""="","",INDEX(SRC_Woningetalage!$A$1:$ZZ$501,$A259,B$3)&amp;""))</f>
        <v/>
      </c>
      <c r="C259" t="str">
        <f>IF($B259="","",IF(C$3=0,"n.b.",INDEX(SRC_Woningetalage!$A$1:$ZZ$501,$A259,C$3)))</f>
        <v/>
      </c>
      <c r="D259" t="str">
        <f>IF($B259="","",IF(D$3=0,"n.b.",INDEX(SRC_Woningetalage!$A$1:$ZZ$501,$A259,D$3)))</f>
        <v/>
      </c>
      <c r="E259" t="str">
        <f>IF($B259="","",IF(E$3=0,"n.b.",INDEX(SRC_Woningetalage!$A$1:$ZZ$501,$A259,E$3)))</f>
        <v/>
      </c>
      <c r="F259" t="str">
        <f>IF($B259="","",IF(F$3=0,"n.b.",INDEX(SRC_Woningetalage!$A$1:$ZZ$501,$A259,F$3)))</f>
        <v/>
      </c>
      <c r="G259" t="str">
        <f>IF($B259="","",IF(G$3=0,"n.b.",INDEX(SRC_Woningetalage!$A$1:$ZZ$501,$A259,G$3)))</f>
        <v/>
      </c>
      <c r="H259" t="str">
        <f>IF($B259="","",IF(H$3=0,"n.b.",INDEX(SRC_Woningetalage!$A$1:$ZZ$501,$A259,H$3)))</f>
        <v/>
      </c>
      <c r="I259" t="str">
        <f>IF($B259="","",IF(I$3=0,"n.b.",INDEX(SRC_Woningetalage!$A$1:$ZZ$501,$A259,I$3)))</f>
        <v/>
      </c>
      <c r="J259" t="str">
        <f>IF($B259="","",IF(J$3=0,"n.b.",INDEX(SRC_Woningetalage!$A$1:$ZZ$501,$A259,J$3)))</f>
        <v/>
      </c>
      <c r="K259" t="str">
        <f>IF($B259="","",IF(K$3=0,"n.b.",INDEX(SRC_Woningetalage!$A$1:$ZZ$501,$A259,K$3)))</f>
        <v/>
      </c>
      <c r="L259" t="str">
        <f>IF($B259="","",IF(L$3=0,"n.b.",INDEX(SRC_Woningetalage!$A$1:$ZZ$501,$A259,L$3)))</f>
        <v/>
      </c>
      <c r="M259" t="str">
        <f>IF($B259="","",IF(M$3=0,"n.b.",INDEX(SRC_Woningetalage!$A$1:$ZZ$501,$A259,M$3)))</f>
        <v/>
      </c>
      <c r="N259" t="str">
        <f>IF($B259="","",IF(N$3=0,"n.b.",INDEX(SRC_Woningetalage!$A$1:$ZZ$501,$A259,N$3)))</f>
        <v/>
      </c>
      <c r="O259" t="str">
        <f>IF($B259="","",IF(O$3=0,"n.b.",INDEX(SRC_Woningetalage!$A$1:$ZZ$501,$A259,O$3)))</f>
        <v/>
      </c>
      <c r="P259" t="str">
        <f>IF($B259="","",IF(P$3=0,"n.b.",INDEX(SRC_Woningetalage!$A$1:$ZZ$501,$A259,P$3)))</f>
        <v/>
      </c>
      <c r="Q259" s="124" t="str">
        <f>IF($B259="","",IF(Q$3=0,"n.b.",INDEX(SRC_Woningetalage!$A$1:$ZZ$501,$A259,Q$3)))</f>
        <v/>
      </c>
      <c r="R259" s="124" t="str">
        <f>IF($B259="","",IF(R$3=0,"n.b.",INDEX(SRC_Woningetalage!$A$1:$ZZ$501,$A259,R$3)))</f>
        <v/>
      </c>
      <c r="S259" s="124" t="str">
        <f>IF($B259="","",IF(S$3=0,"n.b.",INDEX(SRC_Woningetalage!$A$1:$ZZ$501,$A259,S$3)))</f>
        <v/>
      </c>
      <c r="T259" s="124" t="str">
        <f>IF($B259="","",IF(T$3=0,"n.b.",INDEX(SRC_Woningetalage!$A$1:$ZZ$501,$A259,T$3)))</f>
        <v/>
      </c>
      <c r="U259" s="124" t="str">
        <f>IF($B259="","",IF(U$3=0,"n.b.",INDEX(SRC_Woningetalage!$A$1:$ZZ$501,$A259,U$3)))</f>
        <v/>
      </c>
      <c r="V259" s="124" t="str">
        <f>IF($B259="","",IF(V$3=0,"n.b.",INDEX(SRC_Woningetalage!$A$1:$ZZ$501,$A259,V$3)))</f>
        <v/>
      </c>
      <c r="W259" s="124" t="str">
        <f>IF($B259="","",IF(W$3=0,"n.b.",INDEX(SRC_Woningetalage!$A$1:$ZZ$501,$A259,W$3)))</f>
        <v/>
      </c>
      <c r="X259" s="124" t="str">
        <f>IF($B259="","",IF(X$3=0,"n.b.",INDEX(SRC_Woningetalage!$A$1:$ZZ$501,$A259,X$3)))</f>
        <v/>
      </c>
      <c r="Y259" s="124" t="str">
        <f>IF($B259="","",IF(Y$3=0,"n.b.",INDEX(SRC_Woningetalage!$A$1:$ZZ$501,$A259,Y$3)))</f>
        <v/>
      </c>
      <c r="Z259" s="124" t="str">
        <f>IF($B259="","",IF(Z$3=0,"n.b.",INDEX(SRC_Woningetalage!$A$1:$ZZ$501,$A259,Z$3)))</f>
        <v/>
      </c>
      <c r="AA259" s="124" t="str">
        <f>IF($B259="","",IF(AA$3=0,"n.b.",INDEX(SRC_Woningetalage!$A$1:$ZZ$501,$A259,AA$3)))</f>
        <v/>
      </c>
      <c r="AB259" s="124" t="str">
        <f>IF($B259="","",IF(AB$3=0,"n.b.",INDEX(SRC_Woningetalage!$A$1:$ZZ$501,$A259,AB$3)))</f>
        <v/>
      </c>
      <c r="AC259" s="124" t="str">
        <f>IF($B259="","",IF(AC$3=0,"n.b.",INDEX(SRC_Woningetalage!$A$1:$ZZ$501,$A259,AC$3)))</f>
        <v/>
      </c>
      <c r="AD259" s="124" t="str">
        <f>IF($B259="","",IF(AD$3=0,"n.b.",INDEX(SRC_Woningetalage!$A$1:$ZZ$501,$A259,AD$3)))</f>
        <v/>
      </c>
      <c r="AE259" s="124" t="str">
        <f>IF($B259="","",IF(AE$3=0,"n.b.",INDEX(SRC_Woningetalage!$A$1:$ZZ$501,$A259,AE$3)))</f>
        <v/>
      </c>
      <c r="AF259" s="124" t="str">
        <f>IF($B259="","",IF(AF$3=0,"n.b.",INDEX(SRC_Woningetalage!$A$1:$ZZ$501,$A259,AF$3)))</f>
        <v/>
      </c>
      <c r="AG259" s="124" t="str">
        <f>IF($B259="","",IF(AG$3=0,"n.b.",INDEX(SRC_Woningetalage!$A$1:$ZZ$501,$A259,AG$3)))</f>
        <v/>
      </c>
      <c r="AH259" s="124" t="str">
        <f>IF($B259="","",IF(AH$3=0,"n.b.",INDEX(SRC_Woningetalage!$A$1:$ZZ$501,$A259,AH$3)))</f>
        <v/>
      </c>
      <c r="AI259" s="124" t="str">
        <f>IF($B259="","",IF(AI$3=0,"n.b.",INDEX(SRC_Woningetalage!$A$1:$ZZ$501,$A259,AI$3)))</f>
        <v/>
      </c>
      <c r="AJ259" s="124" t="str">
        <f>IF($B259="","",IF(AJ$3=0,"n.b.",INDEX(SRC_Woningetalage!$A$1:$ZZ$501,$A259,AJ$3)))</f>
        <v/>
      </c>
      <c r="AK259" s="124" t="str">
        <f>IF($B259="","",IF(AK$3=0,"n.b.",INDEX(SRC_Woningetalage!$A$1:$ZZ$501,$A259,AK$3)))</f>
        <v/>
      </c>
      <c r="AL259" s="124" t="str">
        <f>IF($B259="","",IF(AL$3=0,"n.b.",INDEX(SRC_Woningetalage!$A$1:$ZZ$501,$A259,AL$3)))</f>
        <v/>
      </c>
      <c r="AM259" s="124" t="str">
        <f>IF($B259="","",IF(AM$3=0,"n.b.",INDEX(SRC_Woningetalage!$A$1:$ZZ$501,$A259,AM$3)))</f>
        <v/>
      </c>
      <c r="AN259" s="124" t="str">
        <f>IF($B259="","",IF(AN$3=0,"n.b.",INDEX(SRC_Woningetalage!$A$1:$ZZ$501,$A259,AN$3)))</f>
        <v/>
      </c>
      <c r="AO259" s="124" t="str">
        <f>IF($B259="","",IF(AO$3=0,"n.b.",INDEX(SRC_Woningetalage!$A$1:$ZZ$501,$A259,AO$3)))</f>
        <v/>
      </c>
      <c r="AP259" s="124" t="str">
        <f>IF($B259="","",IF(AP$3=0,"n.b.",INDEX(SRC_Woningetalage!$A$1:$ZZ$501,$A259,AP$3)))</f>
        <v/>
      </c>
      <c r="AQ259" s="124" t="str">
        <f>IF($B259="","",IF(AQ$3=0,"n.b.",INDEX(SRC_Woningetalage!$A$1:$ZZ$501,$A259,AQ$3)))</f>
        <v/>
      </c>
      <c r="AR259" s="124" t="str">
        <f>IF($B259="","",IF(AR$3=0,"n.b.",INDEX(SRC_Woningetalage!$A$1:$ZZ$501,$A259,AR$3)))</f>
        <v/>
      </c>
      <c r="AS259" s="124" t="str">
        <f>IF($B259="","",IF(AS$3=0,"n.b.",INDEX(SRC_Woningetalage!$A$1:$ZZ$501,$A259,AS$3)))</f>
        <v/>
      </c>
      <c r="AT259" s="124" t="str">
        <f>IF($B259="","",IF(AT$3=0,"n.b.",INDEX(SRC_Woningetalage!$A$1:$ZZ$501,$A259,AT$3)))</f>
        <v/>
      </c>
      <c r="AU259" s="124" t="str">
        <f>IF($B259="","",IF(AU$3=0,"n.b.",INDEX(SRC_Woningetalage!$A$1:$ZZ$501,$A259,AU$3)))</f>
        <v/>
      </c>
      <c r="AV259" s="124" t="str">
        <f>IF($B259="","",IF(AV$3=0,"n.b.",INDEX(SRC_Woningetalage!$A$1:$ZZ$501,$A259,AV$3)))</f>
        <v/>
      </c>
      <c r="AW259" s="124" t="str">
        <f>IF($B259="","",IF(AW$3=0,"n.b.",INDEX(SRC_Woningetalage!$A$1:$ZZ$501,$A259,AW$3)))</f>
        <v/>
      </c>
      <c r="AX259" s="124" t="str">
        <f>IF($B259="","",IF(AX$3=0,"n.b.",INDEX(SRC_Woningetalage!$A$1:$ZZ$501,$A259,AX$3)))</f>
        <v/>
      </c>
      <c r="AY259" s="124" t="str">
        <f>IF($B259="","",IF(AY$3=0,"n.b.",INDEX(SRC_Woningetalage!$A$1:$ZZ$501,$A259,AY$3)))</f>
        <v/>
      </c>
      <c r="AZ259" s="124" t="str">
        <f>IF($B259="","",IF(AZ$3=0,"n.b.",INDEX(SRC_Woningetalage!$A$1:$ZZ$501,$A259,AZ$3)))</f>
        <v/>
      </c>
      <c r="BA259" s="124" t="str">
        <f>IF($B259="","",IF(BA$3=0,"n.b.",INDEX(SRC_Woningetalage!$A$1:$ZZ$501,$A259,BA$3)))</f>
        <v/>
      </c>
      <c r="BB259" s="124" t="str">
        <f>IF($B259="","",IF(BB$3=0,"n.b.",INDEX(SRC_Woningetalage!$A$1:$ZZ$501,$A259,BB$3)))</f>
        <v/>
      </c>
      <c r="BC259" s="124" t="str">
        <f>IF($B259="","",IFERROR(_xlfn.NUMBERVALUE(E259&amp;"",",","."),"n.b."))</f>
        <v/>
      </c>
      <c r="BD259" s="124" t="str">
        <f>IF($B259="","",IFERROR(_xlfn.NUMBERVALUE(M259&amp;"",",","."),"n.b."))</f>
        <v/>
      </c>
      <c r="BE259" s="124" t="str">
        <f>IF($B259="","",IFERROR(AB259+AC259+AD259,"n.b."))</f>
        <v/>
      </c>
      <c r="BF259" s="124" t="str">
        <f>IF($B259="","",IFERROR(AE259+AF259+AG259,"n.b."))</f>
        <v/>
      </c>
      <c r="BG259" s="124" t="str">
        <f>IF($B259="","",IFERROR(AH259+AI259+AJ259,"n.b."))</f>
        <v/>
      </c>
      <c r="BH259" s="124" t="str">
        <f>IF($B259="","",IFERROR(AK259+AL259+AM259,"n.b."))</f>
        <v/>
      </c>
      <c r="BI259" s="124" t="str">
        <f>IF($B259="","",IFERROR(SUMIF($AB$5:$AM$5,"&lt;="&amp;P_PeilMaand,AB259:AM259),"n.b."))</f>
        <v/>
      </c>
      <c r="BJ259" s="124" t="str">
        <f>IF($B259="","",IFERROR(SUM(AB259:AM259)-BI259,"n.b."))</f>
        <v/>
      </c>
      <c r="BK259" s="124" t="str">
        <f>IF($B259="","",IFERROR(IF(ABS(Q259-(T259+SUM(AB259:AM259)+AS259+AU259))&gt;P_Tol,1,0),1))</f>
        <v/>
      </c>
      <c r="BL259" s="124" t="str">
        <f>IF($B259="","",IFERROR(IF(ABS(AA259-(Q259-Z259))&gt;P_Tol,1,0),1))</f>
        <v/>
      </c>
      <c r="BM259" s="124" t="str">
        <f>IF($B259="","",IFERROR(IF(ABS(Z259-(T259+W259))&gt;P_Tol,1,0),1))</f>
        <v/>
      </c>
      <c r="BN259" s="124" t="str">
        <f>IF($B259="","",IFERROR(IF(ABS(W259-BI259)&gt;P_Tol,1,0),1))</f>
        <v/>
      </c>
      <c r="BO259" s="124" t="str">
        <f>IF($B259="","",IFERROR(IF(OR(ABS(R259+S259-T259)&gt;P_Tol,ABS(U259+V259-W259)&gt;P_Tol,ABS(X259+Y259-Z259)&gt;P_Tol),1,0),1))</f>
        <v/>
      </c>
      <c r="BP259" s="124" t="str">
        <f>IF($B259="","",IFERROR(IF(OR(ABS(AR259-SUM(AB259:AM259))&gt;P_Tol,ABS(AS259-(AN259+AO259+AP259+AQ259))&gt;P_Tol),1,0),1))</f>
        <v/>
      </c>
      <c r="BQ259" s="124" t="str">
        <f>IF($B259="","",IFERROR(IF(ABS(AT259)+ABS(AV259)+ABS(AW259)+ABS(AX259)+ABS(AY259)+ABS(AZ259)+ABS(BA259)+ABS(BB259)&gt;0,1,0),1))</f>
        <v/>
      </c>
      <c r="BR259" s="124" t="str">
        <f>IF($B259="","",COUNTIF(STG_ZPMW03!$B$6:$B$505,B259))</f>
        <v/>
      </c>
      <c r="BS259" s="124" t="str">
        <f>IF($B259="","",COUNTIF($B$6:$B$505,B259))</f>
        <v/>
      </c>
      <c r="BT259" s="124" t="str">
        <f>IF($B259="","",IF(BR259=0,0,IF(INDEX(STG_ZPMW03!$I$6:$I$505,MATCH(B259,STG_ZPMW03!$B$6:$B$505,0))=J259&amp;"",0,1)))</f>
        <v/>
      </c>
      <c r="BU259" s="124" t="str">
        <f>IF($B259="","",IFERROR(IF(ABS(INDEX(Mapping!$D$5:$D$104,MATCH(B259,Mapping!$A$5:$A$104,0))-Q259)&gt;P_Tol,1,0),0))</f>
        <v/>
      </c>
      <c r="BV259" s="124" t="str">
        <f>IF($B259="","",IFERROR(IF(AND(INDEX(Mapping!$G$5:$G$104,MATCH(B259,Mapping!$A$5:$A$104,0))="Nee",ABS(Q259)+ABS(Z259)+ABS(AR259)&gt;0),1,0),0))</f>
        <v/>
      </c>
      <c r="BW259" s="124" t="str">
        <f>IF($B259="","",IF(COUNTIF(Mapping!$A$5:$A$104,B259)&gt;0,1,0))</f>
        <v/>
      </c>
      <c r="BX259" s="124" t="str">
        <f>IF($B259="","",IF(BR259=0,COUNTIF($BR$6:BR259,0),""))</f>
        <v/>
      </c>
    </row>
    <row r="260">
      <c r="A260" s="15" t="n">
        <v>256</v>
      </c>
      <c r="B260" t="str">
        <f>IF(B$3=0,"",IF(INDEX(SRC_Woningetalage!$A$1:$ZZ$501,$A260,B$3)&amp;""="","",INDEX(SRC_Woningetalage!$A$1:$ZZ$501,$A260,B$3)&amp;""))</f>
        <v/>
      </c>
      <c r="C260" t="str">
        <f>IF($B260="","",IF(C$3=0,"n.b.",INDEX(SRC_Woningetalage!$A$1:$ZZ$501,$A260,C$3)))</f>
        <v/>
      </c>
      <c r="D260" t="str">
        <f>IF($B260="","",IF(D$3=0,"n.b.",INDEX(SRC_Woningetalage!$A$1:$ZZ$501,$A260,D$3)))</f>
        <v/>
      </c>
      <c r="E260" t="str">
        <f>IF($B260="","",IF(E$3=0,"n.b.",INDEX(SRC_Woningetalage!$A$1:$ZZ$501,$A260,E$3)))</f>
        <v/>
      </c>
      <c r="F260" t="str">
        <f>IF($B260="","",IF(F$3=0,"n.b.",INDEX(SRC_Woningetalage!$A$1:$ZZ$501,$A260,F$3)))</f>
        <v/>
      </c>
      <c r="G260" t="str">
        <f>IF($B260="","",IF(G$3=0,"n.b.",INDEX(SRC_Woningetalage!$A$1:$ZZ$501,$A260,G$3)))</f>
        <v/>
      </c>
      <c r="H260" t="str">
        <f>IF($B260="","",IF(H$3=0,"n.b.",INDEX(SRC_Woningetalage!$A$1:$ZZ$501,$A260,H$3)))</f>
        <v/>
      </c>
      <c r="I260" t="str">
        <f>IF($B260="","",IF(I$3=0,"n.b.",INDEX(SRC_Woningetalage!$A$1:$ZZ$501,$A260,I$3)))</f>
        <v/>
      </c>
      <c r="J260" t="str">
        <f>IF($B260="","",IF(J$3=0,"n.b.",INDEX(SRC_Woningetalage!$A$1:$ZZ$501,$A260,J$3)))</f>
        <v/>
      </c>
      <c r="K260" t="str">
        <f>IF($B260="","",IF(K$3=0,"n.b.",INDEX(SRC_Woningetalage!$A$1:$ZZ$501,$A260,K$3)))</f>
        <v/>
      </c>
      <c r="L260" t="str">
        <f>IF($B260="","",IF(L$3=0,"n.b.",INDEX(SRC_Woningetalage!$A$1:$ZZ$501,$A260,L$3)))</f>
        <v/>
      </c>
      <c r="M260" t="str">
        <f>IF($B260="","",IF(M$3=0,"n.b.",INDEX(SRC_Woningetalage!$A$1:$ZZ$501,$A260,M$3)))</f>
        <v/>
      </c>
      <c r="N260" t="str">
        <f>IF($B260="","",IF(N$3=0,"n.b.",INDEX(SRC_Woningetalage!$A$1:$ZZ$501,$A260,N$3)))</f>
        <v/>
      </c>
      <c r="O260" t="str">
        <f>IF($B260="","",IF(O$3=0,"n.b.",INDEX(SRC_Woningetalage!$A$1:$ZZ$501,$A260,O$3)))</f>
        <v/>
      </c>
      <c r="P260" t="str">
        <f>IF($B260="","",IF(P$3=0,"n.b.",INDEX(SRC_Woningetalage!$A$1:$ZZ$501,$A260,P$3)))</f>
        <v/>
      </c>
      <c r="Q260" s="124" t="str">
        <f>IF($B260="","",IF(Q$3=0,"n.b.",INDEX(SRC_Woningetalage!$A$1:$ZZ$501,$A260,Q$3)))</f>
        <v/>
      </c>
      <c r="R260" s="124" t="str">
        <f>IF($B260="","",IF(R$3=0,"n.b.",INDEX(SRC_Woningetalage!$A$1:$ZZ$501,$A260,R$3)))</f>
        <v/>
      </c>
      <c r="S260" s="124" t="str">
        <f>IF($B260="","",IF(S$3=0,"n.b.",INDEX(SRC_Woningetalage!$A$1:$ZZ$501,$A260,S$3)))</f>
        <v/>
      </c>
      <c r="T260" s="124" t="str">
        <f>IF($B260="","",IF(T$3=0,"n.b.",INDEX(SRC_Woningetalage!$A$1:$ZZ$501,$A260,T$3)))</f>
        <v/>
      </c>
      <c r="U260" s="124" t="str">
        <f>IF($B260="","",IF(U$3=0,"n.b.",INDEX(SRC_Woningetalage!$A$1:$ZZ$501,$A260,U$3)))</f>
        <v/>
      </c>
      <c r="V260" s="124" t="str">
        <f>IF($B260="","",IF(V$3=0,"n.b.",INDEX(SRC_Woningetalage!$A$1:$ZZ$501,$A260,V$3)))</f>
        <v/>
      </c>
      <c r="W260" s="124" t="str">
        <f>IF($B260="","",IF(W$3=0,"n.b.",INDEX(SRC_Woningetalage!$A$1:$ZZ$501,$A260,W$3)))</f>
        <v/>
      </c>
      <c r="X260" s="124" t="str">
        <f>IF($B260="","",IF(X$3=0,"n.b.",INDEX(SRC_Woningetalage!$A$1:$ZZ$501,$A260,X$3)))</f>
        <v/>
      </c>
      <c r="Y260" s="124" t="str">
        <f>IF($B260="","",IF(Y$3=0,"n.b.",INDEX(SRC_Woningetalage!$A$1:$ZZ$501,$A260,Y$3)))</f>
        <v/>
      </c>
      <c r="Z260" s="124" t="str">
        <f>IF($B260="","",IF(Z$3=0,"n.b.",INDEX(SRC_Woningetalage!$A$1:$ZZ$501,$A260,Z$3)))</f>
        <v/>
      </c>
      <c r="AA260" s="124" t="str">
        <f>IF($B260="","",IF(AA$3=0,"n.b.",INDEX(SRC_Woningetalage!$A$1:$ZZ$501,$A260,AA$3)))</f>
        <v/>
      </c>
      <c r="AB260" s="124" t="str">
        <f>IF($B260="","",IF(AB$3=0,"n.b.",INDEX(SRC_Woningetalage!$A$1:$ZZ$501,$A260,AB$3)))</f>
        <v/>
      </c>
      <c r="AC260" s="124" t="str">
        <f>IF($B260="","",IF(AC$3=0,"n.b.",INDEX(SRC_Woningetalage!$A$1:$ZZ$501,$A260,AC$3)))</f>
        <v/>
      </c>
      <c r="AD260" s="124" t="str">
        <f>IF($B260="","",IF(AD$3=0,"n.b.",INDEX(SRC_Woningetalage!$A$1:$ZZ$501,$A260,AD$3)))</f>
        <v/>
      </c>
      <c r="AE260" s="124" t="str">
        <f>IF($B260="","",IF(AE$3=0,"n.b.",INDEX(SRC_Woningetalage!$A$1:$ZZ$501,$A260,AE$3)))</f>
        <v/>
      </c>
      <c r="AF260" s="124" t="str">
        <f>IF($B260="","",IF(AF$3=0,"n.b.",INDEX(SRC_Woningetalage!$A$1:$ZZ$501,$A260,AF$3)))</f>
        <v/>
      </c>
      <c r="AG260" s="124" t="str">
        <f>IF($B260="","",IF(AG$3=0,"n.b.",INDEX(SRC_Woningetalage!$A$1:$ZZ$501,$A260,AG$3)))</f>
        <v/>
      </c>
      <c r="AH260" s="124" t="str">
        <f>IF($B260="","",IF(AH$3=0,"n.b.",INDEX(SRC_Woningetalage!$A$1:$ZZ$501,$A260,AH$3)))</f>
        <v/>
      </c>
      <c r="AI260" s="124" t="str">
        <f>IF($B260="","",IF(AI$3=0,"n.b.",INDEX(SRC_Woningetalage!$A$1:$ZZ$501,$A260,AI$3)))</f>
        <v/>
      </c>
      <c r="AJ260" s="124" t="str">
        <f>IF($B260="","",IF(AJ$3=0,"n.b.",INDEX(SRC_Woningetalage!$A$1:$ZZ$501,$A260,AJ$3)))</f>
        <v/>
      </c>
      <c r="AK260" s="124" t="str">
        <f>IF($B260="","",IF(AK$3=0,"n.b.",INDEX(SRC_Woningetalage!$A$1:$ZZ$501,$A260,AK$3)))</f>
        <v/>
      </c>
      <c r="AL260" s="124" t="str">
        <f>IF($B260="","",IF(AL$3=0,"n.b.",INDEX(SRC_Woningetalage!$A$1:$ZZ$501,$A260,AL$3)))</f>
        <v/>
      </c>
      <c r="AM260" s="124" t="str">
        <f>IF($B260="","",IF(AM$3=0,"n.b.",INDEX(SRC_Woningetalage!$A$1:$ZZ$501,$A260,AM$3)))</f>
        <v/>
      </c>
      <c r="AN260" s="124" t="str">
        <f>IF($B260="","",IF(AN$3=0,"n.b.",INDEX(SRC_Woningetalage!$A$1:$ZZ$501,$A260,AN$3)))</f>
        <v/>
      </c>
      <c r="AO260" s="124" t="str">
        <f>IF($B260="","",IF(AO$3=0,"n.b.",INDEX(SRC_Woningetalage!$A$1:$ZZ$501,$A260,AO$3)))</f>
        <v/>
      </c>
      <c r="AP260" s="124" t="str">
        <f>IF($B260="","",IF(AP$3=0,"n.b.",INDEX(SRC_Woningetalage!$A$1:$ZZ$501,$A260,AP$3)))</f>
        <v/>
      </c>
      <c r="AQ260" s="124" t="str">
        <f>IF($B260="","",IF(AQ$3=0,"n.b.",INDEX(SRC_Woningetalage!$A$1:$ZZ$501,$A260,AQ$3)))</f>
        <v/>
      </c>
      <c r="AR260" s="124" t="str">
        <f>IF($B260="","",IF(AR$3=0,"n.b.",INDEX(SRC_Woningetalage!$A$1:$ZZ$501,$A260,AR$3)))</f>
        <v/>
      </c>
      <c r="AS260" s="124" t="str">
        <f>IF($B260="","",IF(AS$3=0,"n.b.",INDEX(SRC_Woningetalage!$A$1:$ZZ$501,$A260,AS$3)))</f>
        <v/>
      </c>
      <c r="AT260" s="124" t="str">
        <f>IF($B260="","",IF(AT$3=0,"n.b.",INDEX(SRC_Woningetalage!$A$1:$ZZ$501,$A260,AT$3)))</f>
        <v/>
      </c>
      <c r="AU260" s="124" t="str">
        <f>IF($B260="","",IF(AU$3=0,"n.b.",INDEX(SRC_Woningetalage!$A$1:$ZZ$501,$A260,AU$3)))</f>
        <v/>
      </c>
      <c r="AV260" s="124" t="str">
        <f>IF($B260="","",IF(AV$3=0,"n.b.",INDEX(SRC_Woningetalage!$A$1:$ZZ$501,$A260,AV$3)))</f>
        <v/>
      </c>
      <c r="AW260" s="124" t="str">
        <f>IF($B260="","",IF(AW$3=0,"n.b.",INDEX(SRC_Woningetalage!$A$1:$ZZ$501,$A260,AW$3)))</f>
        <v/>
      </c>
      <c r="AX260" s="124" t="str">
        <f>IF($B260="","",IF(AX$3=0,"n.b.",INDEX(SRC_Woningetalage!$A$1:$ZZ$501,$A260,AX$3)))</f>
        <v/>
      </c>
      <c r="AY260" s="124" t="str">
        <f>IF($B260="","",IF(AY$3=0,"n.b.",INDEX(SRC_Woningetalage!$A$1:$ZZ$501,$A260,AY$3)))</f>
        <v/>
      </c>
      <c r="AZ260" s="124" t="str">
        <f>IF($B260="","",IF(AZ$3=0,"n.b.",INDEX(SRC_Woningetalage!$A$1:$ZZ$501,$A260,AZ$3)))</f>
        <v/>
      </c>
      <c r="BA260" s="124" t="str">
        <f>IF($B260="","",IF(BA$3=0,"n.b.",INDEX(SRC_Woningetalage!$A$1:$ZZ$501,$A260,BA$3)))</f>
        <v/>
      </c>
      <c r="BB260" s="124" t="str">
        <f>IF($B260="","",IF(BB$3=0,"n.b.",INDEX(SRC_Woningetalage!$A$1:$ZZ$501,$A260,BB$3)))</f>
        <v/>
      </c>
      <c r="BC260" s="124" t="str">
        <f>IF($B260="","",IFERROR(_xlfn.NUMBERVALUE(E260&amp;"",",","."),"n.b."))</f>
        <v/>
      </c>
      <c r="BD260" s="124" t="str">
        <f>IF($B260="","",IFERROR(_xlfn.NUMBERVALUE(M260&amp;"",",","."),"n.b."))</f>
        <v/>
      </c>
      <c r="BE260" s="124" t="str">
        <f>IF($B260="","",IFERROR(AB260+AC260+AD260,"n.b."))</f>
        <v/>
      </c>
      <c r="BF260" s="124" t="str">
        <f>IF($B260="","",IFERROR(AE260+AF260+AG260,"n.b."))</f>
        <v/>
      </c>
      <c r="BG260" s="124" t="str">
        <f>IF($B260="","",IFERROR(AH260+AI260+AJ260,"n.b."))</f>
        <v/>
      </c>
      <c r="BH260" s="124" t="str">
        <f>IF($B260="","",IFERROR(AK260+AL260+AM260,"n.b."))</f>
        <v/>
      </c>
      <c r="BI260" s="124" t="str">
        <f>IF($B260="","",IFERROR(SUMIF($AB$5:$AM$5,"&lt;="&amp;P_PeilMaand,AB260:AM260),"n.b."))</f>
        <v/>
      </c>
      <c r="BJ260" s="124" t="str">
        <f>IF($B260="","",IFERROR(SUM(AB260:AM260)-BI260,"n.b."))</f>
        <v/>
      </c>
      <c r="BK260" s="124" t="str">
        <f>IF($B260="","",IFERROR(IF(ABS(Q260-(T260+SUM(AB260:AM260)+AS260+AU260))&gt;P_Tol,1,0),1))</f>
        <v/>
      </c>
      <c r="BL260" s="124" t="str">
        <f>IF($B260="","",IFERROR(IF(ABS(AA260-(Q260-Z260))&gt;P_Tol,1,0),1))</f>
        <v/>
      </c>
      <c r="BM260" s="124" t="str">
        <f>IF($B260="","",IFERROR(IF(ABS(Z260-(T260+W260))&gt;P_Tol,1,0),1))</f>
        <v/>
      </c>
      <c r="BN260" s="124" t="str">
        <f>IF($B260="","",IFERROR(IF(ABS(W260-BI260)&gt;P_Tol,1,0),1))</f>
        <v/>
      </c>
      <c r="BO260" s="124" t="str">
        <f>IF($B260="","",IFERROR(IF(OR(ABS(R260+S260-T260)&gt;P_Tol,ABS(U260+V260-W260)&gt;P_Tol,ABS(X260+Y260-Z260)&gt;P_Tol),1,0),1))</f>
        <v/>
      </c>
      <c r="BP260" s="124" t="str">
        <f>IF($B260="","",IFERROR(IF(OR(ABS(AR260-SUM(AB260:AM260))&gt;P_Tol,ABS(AS260-(AN260+AO260+AP260+AQ260))&gt;P_Tol),1,0),1))</f>
        <v/>
      </c>
      <c r="BQ260" s="124" t="str">
        <f>IF($B260="","",IFERROR(IF(ABS(AT260)+ABS(AV260)+ABS(AW260)+ABS(AX260)+ABS(AY260)+ABS(AZ260)+ABS(BA260)+ABS(BB260)&gt;0,1,0),1))</f>
        <v/>
      </c>
      <c r="BR260" s="124" t="str">
        <f>IF($B260="","",COUNTIF(STG_ZPMW03!$B$6:$B$505,B260))</f>
        <v/>
      </c>
      <c r="BS260" s="124" t="str">
        <f>IF($B260="","",COUNTIF($B$6:$B$505,B260))</f>
        <v/>
      </c>
      <c r="BT260" s="124" t="str">
        <f>IF($B260="","",IF(BR260=0,0,IF(INDEX(STG_ZPMW03!$I$6:$I$505,MATCH(B260,STG_ZPMW03!$B$6:$B$505,0))=J260&amp;"",0,1)))</f>
        <v/>
      </c>
      <c r="BU260" s="124" t="str">
        <f>IF($B260="","",IFERROR(IF(ABS(INDEX(Mapping!$D$5:$D$104,MATCH(B260,Mapping!$A$5:$A$104,0))-Q260)&gt;P_Tol,1,0),0))</f>
        <v/>
      </c>
      <c r="BV260" s="124" t="str">
        <f>IF($B260="","",IFERROR(IF(AND(INDEX(Mapping!$G$5:$G$104,MATCH(B260,Mapping!$A$5:$A$104,0))="Nee",ABS(Q260)+ABS(Z260)+ABS(AR260)&gt;0),1,0),0))</f>
        <v/>
      </c>
      <c r="BW260" s="124" t="str">
        <f>IF($B260="","",IF(COUNTIF(Mapping!$A$5:$A$104,B260)&gt;0,1,0))</f>
        <v/>
      </c>
      <c r="BX260" s="124" t="str">
        <f>IF($B260="","",IF(BR260=0,COUNTIF($BR$6:BR260,0),""))</f>
        <v/>
      </c>
    </row>
    <row r="261">
      <c r="A261" s="15" t="n">
        <v>257</v>
      </c>
      <c r="B261" t="str">
        <f>IF(B$3=0,"",IF(INDEX(SRC_Woningetalage!$A$1:$ZZ$501,$A261,B$3)&amp;""="","",INDEX(SRC_Woningetalage!$A$1:$ZZ$501,$A261,B$3)&amp;""))</f>
        <v/>
      </c>
      <c r="C261" t="str">
        <f>IF($B261="","",IF(C$3=0,"n.b.",INDEX(SRC_Woningetalage!$A$1:$ZZ$501,$A261,C$3)))</f>
        <v/>
      </c>
      <c r="D261" t="str">
        <f>IF($B261="","",IF(D$3=0,"n.b.",INDEX(SRC_Woningetalage!$A$1:$ZZ$501,$A261,D$3)))</f>
        <v/>
      </c>
      <c r="E261" t="str">
        <f>IF($B261="","",IF(E$3=0,"n.b.",INDEX(SRC_Woningetalage!$A$1:$ZZ$501,$A261,E$3)))</f>
        <v/>
      </c>
      <c r="F261" t="str">
        <f>IF($B261="","",IF(F$3=0,"n.b.",INDEX(SRC_Woningetalage!$A$1:$ZZ$501,$A261,F$3)))</f>
        <v/>
      </c>
      <c r="G261" t="str">
        <f>IF($B261="","",IF(G$3=0,"n.b.",INDEX(SRC_Woningetalage!$A$1:$ZZ$501,$A261,G$3)))</f>
        <v/>
      </c>
      <c r="H261" t="str">
        <f>IF($B261="","",IF(H$3=0,"n.b.",INDEX(SRC_Woningetalage!$A$1:$ZZ$501,$A261,H$3)))</f>
        <v/>
      </c>
      <c r="I261" t="str">
        <f>IF($B261="","",IF(I$3=0,"n.b.",INDEX(SRC_Woningetalage!$A$1:$ZZ$501,$A261,I$3)))</f>
        <v/>
      </c>
      <c r="J261" t="str">
        <f>IF($B261="","",IF(J$3=0,"n.b.",INDEX(SRC_Woningetalage!$A$1:$ZZ$501,$A261,J$3)))</f>
        <v/>
      </c>
      <c r="K261" t="str">
        <f>IF($B261="","",IF(K$3=0,"n.b.",INDEX(SRC_Woningetalage!$A$1:$ZZ$501,$A261,K$3)))</f>
        <v/>
      </c>
      <c r="L261" t="str">
        <f>IF($B261="","",IF(L$3=0,"n.b.",INDEX(SRC_Woningetalage!$A$1:$ZZ$501,$A261,L$3)))</f>
        <v/>
      </c>
      <c r="M261" t="str">
        <f>IF($B261="","",IF(M$3=0,"n.b.",INDEX(SRC_Woningetalage!$A$1:$ZZ$501,$A261,M$3)))</f>
        <v/>
      </c>
      <c r="N261" t="str">
        <f>IF($B261="","",IF(N$3=0,"n.b.",INDEX(SRC_Woningetalage!$A$1:$ZZ$501,$A261,N$3)))</f>
        <v/>
      </c>
      <c r="O261" t="str">
        <f>IF($B261="","",IF(O$3=0,"n.b.",INDEX(SRC_Woningetalage!$A$1:$ZZ$501,$A261,O$3)))</f>
        <v/>
      </c>
      <c r="P261" t="str">
        <f>IF($B261="","",IF(P$3=0,"n.b.",INDEX(SRC_Woningetalage!$A$1:$ZZ$501,$A261,P$3)))</f>
        <v/>
      </c>
      <c r="Q261" s="124" t="str">
        <f>IF($B261="","",IF(Q$3=0,"n.b.",INDEX(SRC_Woningetalage!$A$1:$ZZ$501,$A261,Q$3)))</f>
        <v/>
      </c>
      <c r="R261" s="124" t="str">
        <f>IF($B261="","",IF(R$3=0,"n.b.",INDEX(SRC_Woningetalage!$A$1:$ZZ$501,$A261,R$3)))</f>
        <v/>
      </c>
      <c r="S261" s="124" t="str">
        <f>IF($B261="","",IF(S$3=0,"n.b.",INDEX(SRC_Woningetalage!$A$1:$ZZ$501,$A261,S$3)))</f>
        <v/>
      </c>
      <c r="T261" s="124" t="str">
        <f>IF($B261="","",IF(T$3=0,"n.b.",INDEX(SRC_Woningetalage!$A$1:$ZZ$501,$A261,T$3)))</f>
        <v/>
      </c>
      <c r="U261" s="124" t="str">
        <f>IF($B261="","",IF(U$3=0,"n.b.",INDEX(SRC_Woningetalage!$A$1:$ZZ$501,$A261,U$3)))</f>
        <v/>
      </c>
      <c r="V261" s="124" t="str">
        <f>IF($B261="","",IF(V$3=0,"n.b.",INDEX(SRC_Woningetalage!$A$1:$ZZ$501,$A261,V$3)))</f>
        <v/>
      </c>
      <c r="W261" s="124" t="str">
        <f>IF($B261="","",IF(W$3=0,"n.b.",INDEX(SRC_Woningetalage!$A$1:$ZZ$501,$A261,W$3)))</f>
        <v/>
      </c>
      <c r="X261" s="124" t="str">
        <f>IF($B261="","",IF(X$3=0,"n.b.",INDEX(SRC_Woningetalage!$A$1:$ZZ$501,$A261,X$3)))</f>
        <v/>
      </c>
      <c r="Y261" s="124" t="str">
        <f>IF($B261="","",IF(Y$3=0,"n.b.",INDEX(SRC_Woningetalage!$A$1:$ZZ$501,$A261,Y$3)))</f>
        <v/>
      </c>
      <c r="Z261" s="124" t="str">
        <f>IF($B261="","",IF(Z$3=0,"n.b.",INDEX(SRC_Woningetalage!$A$1:$ZZ$501,$A261,Z$3)))</f>
        <v/>
      </c>
      <c r="AA261" s="124" t="str">
        <f>IF($B261="","",IF(AA$3=0,"n.b.",INDEX(SRC_Woningetalage!$A$1:$ZZ$501,$A261,AA$3)))</f>
        <v/>
      </c>
      <c r="AB261" s="124" t="str">
        <f>IF($B261="","",IF(AB$3=0,"n.b.",INDEX(SRC_Woningetalage!$A$1:$ZZ$501,$A261,AB$3)))</f>
        <v/>
      </c>
      <c r="AC261" s="124" t="str">
        <f>IF($B261="","",IF(AC$3=0,"n.b.",INDEX(SRC_Woningetalage!$A$1:$ZZ$501,$A261,AC$3)))</f>
        <v/>
      </c>
      <c r="AD261" s="124" t="str">
        <f>IF($B261="","",IF(AD$3=0,"n.b.",INDEX(SRC_Woningetalage!$A$1:$ZZ$501,$A261,AD$3)))</f>
        <v/>
      </c>
      <c r="AE261" s="124" t="str">
        <f>IF($B261="","",IF(AE$3=0,"n.b.",INDEX(SRC_Woningetalage!$A$1:$ZZ$501,$A261,AE$3)))</f>
        <v/>
      </c>
      <c r="AF261" s="124" t="str">
        <f>IF($B261="","",IF(AF$3=0,"n.b.",INDEX(SRC_Woningetalage!$A$1:$ZZ$501,$A261,AF$3)))</f>
        <v/>
      </c>
      <c r="AG261" s="124" t="str">
        <f>IF($B261="","",IF(AG$3=0,"n.b.",INDEX(SRC_Woningetalage!$A$1:$ZZ$501,$A261,AG$3)))</f>
        <v/>
      </c>
      <c r="AH261" s="124" t="str">
        <f>IF($B261="","",IF(AH$3=0,"n.b.",INDEX(SRC_Woningetalage!$A$1:$ZZ$501,$A261,AH$3)))</f>
        <v/>
      </c>
      <c r="AI261" s="124" t="str">
        <f>IF($B261="","",IF(AI$3=0,"n.b.",INDEX(SRC_Woningetalage!$A$1:$ZZ$501,$A261,AI$3)))</f>
        <v/>
      </c>
      <c r="AJ261" s="124" t="str">
        <f>IF($B261="","",IF(AJ$3=0,"n.b.",INDEX(SRC_Woningetalage!$A$1:$ZZ$501,$A261,AJ$3)))</f>
        <v/>
      </c>
      <c r="AK261" s="124" t="str">
        <f>IF($B261="","",IF(AK$3=0,"n.b.",INDEX(SRC_Woningetalage!$A$1:$ZZ$501,$A261,AK$3)))</f>
        <v/>
      </c>
      <c r="AL261" s="124" t="str">
        <f>IF($B261="","",IF(AL$3=0,"n.b.",INDEX(SRC_Woningetalage!$A$1:$ZZ$501,$A261,AL$3)))</f>
        <v/>
      </c>
      <c r="AM261" s="124" t="str">
        <f>IF($B261="","",IF(AM$3=0,"n.b.",INDEX(SRC_Woningetalage!$A$1:$ZZ$501,$A261,AM$3)))</f>
        <v/>
      </c>
      <c r="AN261" s="124" t="str">
        <f>IF($B261="","",IF(AN$3=0,"n.b.",INDEX(SRC_Woningetalage!$A$1:$ZZ$501,$A261,AN$3)))</f>
        <v/>
      </c>
      <c r="AO261" s="124" t="str">
        <f>IF($B261="","",IF(AO$3=0,"n.b.",INDEX(SRC_Woningetalage!$A$1:$ZZ$501,$A261,AO$3)))</f>
        <v/>
      </c>
      <c r="AP261" s="124" t="str">
        <f>IF($B261="","",IF(AP$3=0,"n.b.",INDEX(SRC_Woningetalage!$A$1:$ZZ$501,$A261,AP$3)))</f>
        <v/>
      </c>
      <c r="AQ261" s="124" t="str">
        <f>IF($B261="","",IF(AQ$3=0,"n.b.",INDEX(SRC_Woningetalage!$A$1:$ZZ$501,$A261,AQ$3)))</f>
        <v/>
      </c>
      <c r="AR261" s="124" t="str">
        <f>IF($B261="","",IF(AR$3=0,"n.b.",INDEX(SRC_Woningetalage!$A$1:$ZZ$501,$A261,AR$3)))</f>
        <v/>
      </c>
      <c r="AS261" s="124" t="str">
        <f>IF($B261="","",IF(AS$3=0,"n.b.",INDEX(SRC_Woningetalage!$A$1:$ZZ$501,$A261,AS$3)))</f>
        <v/>
      </c>
      <c r="AT261" s="124" t="str">
        <f>IF($B261="","",IF(AT$3=0,"n.b.",INDEX(SRC_Woningetalage!$A$1:$ZZ$501,$A261,AT$3)))</f>
        <v/>
      </c>
      <c r="AU261" s="124" t="str">
        <f>IF($B261="","",IF(AU$3=0,"n.b.",INDEX(SRC_Woningetalage!$A$1:$ZZ$501,$A261,AU$3)))</f>
        <v/>
      </c>
      <c r="AV261" s="124" t="str">
        <f>IF($B261="","",IF(AV$3=0,"n.b.",INDEX(SRC_Woningetalage!$A$1:$ZZ$501,$A261,AV$3)))</f>
        <v/>
      </c>
      <c r="AW261" s="124" t="str">
        <f>IF($B261="","",IF(AW$3=0,"n.b.",INDEX(SRC_Woningetalage!$A$1:$ZZ$501,$A261,AW$3)))</f>
        <v/>
      </c>
      <c r="AX261" s="124" t="str">
        <f>IF($B261="","",IF(AX$3=0,"n.b.",INDEX(SRC_Woningetalage!$A$1:$ZZ$501,$A261,AX$3)))</f>
        <v/>
      </c>
      <c r="AY261" s="124" t="str">
        <f>IF($B261="","",IF(AY$3=0,"n.b.",INDEX(SRC_Woningetalage!$A$1:$ZZ$501,$A261,AY$3)))</f>
        <v/>
      </c>
      <c r="AZ261" s="124" t="str">
        <f>IF($B261="","",IF(AZ$3=0,"n.b.",INDEX(SRC_Woningetalage!$A$1:$ZZ$501,$A261,AZ$3)))</f>
        <v/>
      </c>
      <c r="BA261" s="124" t="str">
        <f>IF($B261="","",IF(BA$3=0,"n.b.",INDEX(SRC_Woningetalage!$A$1:$ZZ$501,$A261,BA$3)))</f>
        <v/>
      </c>
      <c r="BB261" s="124" t="str">
        <f>IF($B261="","",IF(BB$3=0,"n.b.",INDEX(SRC_Woningetalage!$A$1:$ZZ$501,$A261,BB$3)))</f>
        <v/>
      </c>
      <c r="BC261" s="124" t="str">
        <f>IF($B261="","",IFERROR(_xlfn.NUMBERVALUE(E261&amp;"",",","."),"n.b."))</f>
        <v/>
      </c>
      <c r="BD261" s="124" t="str">
        <f>IF($B261="","",IFERROR(_xlfn.NUMBERVALUE(M261&amp;"",",","."),"n.b."))</f>
        <v/>
      </c>
      <c r="BE261" s="124" t="str">
        <f>IF($B261="","",IFERROR(AB261+AC261+AD261,"n.b."))</f>
        <v/>
      </c>
      <c r="BF261" s="124" t="str">
        <f>IF($B261="","",IFERROR(AE261+AF261+AG261,"n.b."))</f>
        <v/>
      </c>
      <c r="BG261" s="124" t="str">
        <f>IF($B261="","",IFERROR(AH261+AI261+AJ261,"n.b."))</f>
        <v/>
      </c>
      <c r="BH261" s="124" t="str">
        <f>IF($B261="","",IFERROR(AK261+AL261+AM261,"n.b."))</f>
        <v/>
      </c>
      <c r="BI261" s="124" t="str">
        <f>IF($B261="","",IFERROR(SUMIF($AB$5:$AM$5,"&lt;="&amp;P_PeilMaand,AB261:AM261),"n.b."))</f>
        <v/>
      </c>
      <c r="BJ261" s="124" t="str">
        <f>IF($B261="","",IFERROR(SUM(AB261:AM261)-BI261,"n.b."))</f>
        <v/>
      </c>
      <c r="BK261" s="124" t="str">
        <f>IF($B261="","",IFERROR(IF(ABS(Q261-(T261+SUM(AB261:AM261)+AS261+AU261))&gt;P_Tol,1,0),1))</f>
        <v/>
      </c>
      <c r="BL261" s="124" t="str">
        <f>IF($B261="","",IFERROR(IF(ABS(AA261-(Q261-Z261))&gt;P_Tol,1,0),1))</f>
        <v/>
      </c>
      <c r="BM261" s="124" t="str">
        <f>IF($B261="","",IFERROR(IF(ABS(Z261-(T261+W261))&gt;P_Tol,1,0),1))</f>
        <v/>
      </c>
      <c r="BN261" s="124" t="str">
        <f>IF($B261="","",IFERROR(IF(ABS(W261-BI261)&gt;P_Tol,1,0),1))</f>
        <v/>
      </c>
      <c r="BO261" s="124" t="str">
        <f>IF($B261="","",IFERROR(IF(OR(ABS(R261+S261-T261)&gt;P_Tol,ABS(U261+V261-W261)&gt;P_Tol,ABS(X261+Y261-Z261)&gt;P_Tol),1,0),1))</f>
        <v/>
      </c>
      <c r="BP261" s="124" t="str">
        <f>IF($B261="","",IFERROR(IF(OR(ABS(AR261-SUM(AB261:AM261))&gt;P_Tol,ABS(AS261-(AN261+AO261+AP261+AQ261))&gt;P_Tol),1,0),1))</f>
        <v/>
      </c>
      <c r="BQ261" s="124" t="str">
        <f>IF($B261="","",IFERROR(IF(ABS(AT261)+ABS(AV261)+ABS(AW261)+ABS(AX261)+ABS(AY261)+ABS(AZ261)+ABS(BA261)+ABS(BB261)&gt;0,1,0),1))</f>
        <v/>
      </c>
      <c r="BR261" s="124" t="str">
        <f>IF($B261="","",COUNTIF(STG_ZPMW03!$B$6:$B$505,B261))</f>
        <v/>
      </c>
      <c r="BS261" s="124" t="str">
        <f>IF($B261="","",COUNTIF($B$6:$B$505,B261))</f>
        <v/>
      </c>
      <c r="BT261" s="124" t="str">
        <f>IF($B261="","",IF(BR261=0,0,IF(INDEX(STG_ZPMW03!$I$6:$I$505,MATCH(B261,STG_ZPMW03!$B$6:$B$505,0))=J261&amp;"",0,1)))</f>
        <v/>
      </c>
      <c r="BU261" s="124" t="str">
        <f>IF($B261="","",IFERROR(IF(ABS(INDEX(Mapping!$D$5:$D$104,MATCH(B261,Mapping!$A$5:$A$104,0))-Q261)&gt;P_Tol,1,0),0))</f>
        <v/>
      </c>
      <c r="BV261" s="124" t="str">
        <f>IF($B261="","",IFERROR(IF(AND(INDEX(Mapping!$G$5:$G$104,MATCH(B261,Mapping!$A$5:$A$104,0))="Nee",ABS(Q261)+ABS(Z261)+ABS(AR261)&gt;0),1,0),0))</f>
        <v/>
      </c>
      <c r="BW261" s="124" t="str">
        <f>IF($B261="","",IF(COUNTIF(Mapping!$A$5:$A$104,B261)&gt;0,1,0))</f>
        <v/>
      </c>
      <c r="BX261" s="124" t="str">
        <f>IF($B261="","",IF(BR261=0,COUNTIF($BR$6:BR261,0),""))</f>
        <v/>
      </c>
    </row>
    <row r="262">
      <c r="A262" s="15" t="n">
        <v>258</v>
      </c>
      <c r="B262" t="str">
        <f>IF(B$3=0,"",IF(INDEX(SRC_Woningetalage!$A$1:$ZZ$501,$A262,B$3)&amp;""="","",INDEX(SRC_Woningetalage!$A$1:$ZZ$501,$A262,B$3)&amp;""))</f>
        <v/>
      </c>
      <c r="C262" t="str">
        <f>IF($B262="","",IF(C$3=0,"n.b.",INDEX(SRC_Woningetalage!$A$1:$ZZ$501,$A262,C$3)))</f>
        <v/>
      </c>
      <c r="D262" t="str">
        <f>IF($B262="","",IF(D$3=0,"n.b.",INDEX(SRC_Woningetalage!$A$1:$ZZ$501,$A262,D$3)))</f>
        <v/>
      </c>
      <c r="E262" t="str">
        <f>IF($B262="","",IF(E$3=0,"n.b.",INDEX(SRC_Woningetalage!$A$1:$ZZ$501,$A262,E$3)))</f>
        <v/>
      </c>
      <c r="F262" t="str">
        <f>IF($B262="","",IF(F$3=0,"n.b.",INDEX(SRC_Woningetalage!$A$1:$ZZ$501,$A262,F$3)))</f>
        <v/>
      </c>
      <c r="G262" t="str">
        <f>IF($B262="","",IF(G$3=0,"n.b.",INDEX(SRC_Woningetalage!$A$1:$ZZ$501,$A262,G$3)))</f>
        <v/>
      </c>
      <c r="H262" t="str">
        <f>IF($B262="","",IF(H$3=0,"n.b.",INDEX(SRC_Woningetalage!$A$1:$ZZ$501,$A262,H$3)))</f>
        <v/>
      </c>
      <c r="I262" t="str">
        <f>IF($B262="","",IF(I$3=0,"n.b.",INDEX(SRC_Woningetalage!$A$1:$ZZ$501,$A262,I$3)))</f>
        <v/>
      </c>
      <c r="J262" t="str">
        <f>IF($B262="","",IF(J$3=0,"n.b.",INDEX(SRC_Woningetalage!$A$1:$ZZ$501,$A262,J$3)))</f>
        <v/>
      </c>
      <c r="K262" t="str">
        <f>IF($B262="","",IF(K$3=0,"n.b.",INDEX(SRC_Woningetalage!$A$1:$ZZ$501,$A262,K$3)))</f>
        <v/>
      </c>
      <c r="L262" t="str">
        <f>IF($B262="","",IF(L$3=0,"n.b.",INDEX(SRC_Woningetalage!$A$1:$ZZ$501,$A262,L$3)))</f>
        <v/>
      </c>
      <c r="M262" t="str">
        <f>IF($B262="","",IF(M$3=0,"n.b.",INDEX(SRC_Woningetalage!$A$1:$ZZ$501,$A262,M$3)))</f>
        <v/>
      </c>
      <c r="N262" t="str">
        <f>IF($B262="","",IF(N$3=0,"n.b.",INDEX(SRC_Woningetalage!$A$1:$ZZ$501,$A262,N$3)))</f>
        <v/>
      </c>
      <c r="O262" t="str">
        <f>IF($B262="","",IF(O$3=0,"n.b.",INDEX(SRC_Woningetalage!$A$1:$ZZ$501,$A262,O$3)))</f>
        <v/>
      </c>
      <c r="P262" t="str">
        <f>IF($B262="","",IF(P$3=0,"n.b.",INDEX(SRC_Woningetalage!$A$1:$ZZ$501,$A262,P$3)))</f>
        <v/>
      </c>
      <c r="Q262" s="124" t="str">
        <f>IF($B262="","",IF(Q$3=0,"n.b.",INDEX(SRC_Woningetalage!$A$1:$ZZ$501,$A262,Q$3)))</f>
        <v/>
      </c>
      <c r="R262" s="124" t="str">
        <f>IF($B262="","",IF(R$3=0,"n.b.",INDEX(SRC_Woningetalage!$A$1:$ZZ$501,$A262,R$3)))</f>
        <v/>
      </c>
      <c r="S262" s="124" t="str">
        <f>IF($B262="","",IF(S$3=0,"n.b.",INDEX(SRC_Woningetalage!$A$1:$ZZ$501,$A262,S$3)))</f>
        <v/>
      </c>
      <c r="T262" s="124" t="str">
        <f>IF($B262="","",IF(T$3=0,"n.b.",INDEX(SRC_Woningetalage!$A$1:$ZZ$501,$A262,T$3)))</f>
        <v/>
      </c>
      <c r="U262" s="124" t="str">
        <f>IF($B262="","",IF(U$3=0,"n.b.",INDEX(SRC_Woningetalage!$A$1:$ZZ$501,$A262,U$3)))</f>
        <v/>
      </c>
      <c r="V262" s="124" t="str">
        <f>IF($B262="","",IF(V$3=0,"n.b.",INDEX(SRC_Woningetalage!$A$1:$ZZ$501,$A262,V$3)))</f>
        <v/>
      </c>
      <c r="W262" s="124" t="str">
        <f>IF($B262="","",IF(W$3=0,"n.b.",INDEX(SRC_Woningetalage!$A$1:$ZZ$501,$A262,W$3)))</f>
        <v/>
      </c>
      <c r="X262" s="124" t="str">
        <f>IF($B262="","",IF(X$3=0,"n.b.",INDEX(SRC_Woningetalage!$A$1:$ZZ$501,$A262,X$3)))</f>
        <v/>
      </c>
      <c r="Y262" s="124" t="str">
        <f>IF($B262="","",IF(Y$3=0,"n.b.",INDEX(SRC_Woningetalage!$A$1:$ZZ$501,$A262,Y$3)))</f>
        <v/>
      </c>
      <c r="Z262" s="124" t="str">
        <f>IF($B262="","",IF(Z$3=0,"n.b.",INDEX(SRC_Woningetalage!$A$1:$ZZ$501,$A262,Z$3)))</f>
        <v/>
      </c>
      <c r="AA262" s="124" t="str">
        <f>IF($B262="","",IF(AA$3=0,"n.b.",INDEX(SRC_Woningetalage!$A$1:$ZZ$501,$A262,AA$3)))</f>
        <v/>
      </c>
      <c r="AB262" s="124" t="str">
        <f>IF($B262="","",IF(AB$3=0,"n.b.",INDEX(SRC_Woningetalage!$A$1:$ZZ$501,$A262,AB$3)))</f>
        <v/>
      </c>
      <c r="AC262" s="124" t="str">
        <f>IF($B262="","",IF(AC$3=0,"n.b.",INDEX(SRC_Woningetalage!$A$1:$ZZ$501,$A262,AC$3)))</f>
        <v/>
      </c>
      <c r="AD262" s="124" t="str">
        <f>IF($B262="","",IF(AD$3=0,"n.b.",INDEX(SRC_Woningetalage!$A$1:$ZZ$501,$A262,AD$3)))</f>
        <v/>
      </c>
      <c r="AE262" s="124" t="str">
        <f>IF($B262="","",IF(AE$3=0,"n.b.",INDEX(SRC_Woningetalage!$A$1:$ZZ$501,$A262,AE$3)))</f>
        <v/>
      </c>
      <c r="AF262" s="124" t="str">
        <f>IF($B262="","",IF(AF$3=0,"n.b.",INDEX(SRC_Woningetalage!$A$1:$ZZ$501,$A262,AF$3)))</f>
        <v/>
      </c>
      <c r="AG262" s="124" t="str">
        <f>IF($B262="","",IF(AG$3=0,"n.b.",INDEX(SRC_Woningetalage!$A$1:$ZZ$501,$A262,AG$3)))</f>
        <v/>
      </c>
      <c r="AH262" s="124" t="str">
        <f>IF($B262="","",IF(AH$3=0,"n.b.",INDEX(SRC_Woningetalage!$A$1:$ZZ$501,$A262,AH$3)))</f>
        <v/>
      </c>
      <c r="AI262" s="124" t="str">
        <f>IF($B262="","",IF(AI$3=0,"n.b.",INDEX(SRC_Woningetalage!$A$1:$ZZ$501,$A262,AI$3)))</f>
        <v/>
      </c>
      <c r="AJ262" s="124" t="str">
        <f>IF($B262="","",IF(AJ$3=0,"n.b.",INDEX(SRC_Woningetalage!$A$1:$ZZ$501,$A262,AJ$3)))</f>
        <v/>
      </c>
      <c r="AK262" s="124" t="str">
        <f>IF($B262="","",IF(AK$3=0,"n.b.",INDEX(SRC_Woningetalage!$A$1:$ZZ$501,$A262,AK$3)))</f>
        <v/>
      </c>
      <c r="AL262" s="124" t="str">
        <f>IF($B262="","",IF(AL$3=0,"n.b.",INDEX(SRC_Woningetalage!$A$1:$ZZ$501,$A262,AL$3)))</f>
        <v/>
      </c>
      <c r="AM262" s="124" t="str">
        <f>IF($B262="","",IF(AM$3=0,"n.b.",INDEX(SRC_Woningetalage!$A$1:$ZZ$501,$A262,AM$3)))</f>
        <v/>
      </c>
      <c r="AN262" s="124" t="str">
        <f>IF($B262="","",IF(AN$3=0,"n.b.",INDEX(SRC_Woningetalage!$A$1:$ZZ$501,$A262,AN$3)))</f>
        <v/>
      </c>
      <c r="AO262" s="124" t="str">
        <f>IF($B262="","",IF(AO$3=0,"n.b.",INDEX(SRC_Woningetalage!$A$1:$ZZ$501,$A262,AO$3)))</f>
        <v/>
      </c>
      <c r="AP262" s="124" t="str">
        <f>IF($B262="","",IF(AP$3=0,"n.b.",INDEX(SRC_Woningetalage!$A$1:$ZZ$501,$A262,AP$3)))</f>
        <v/>
      </c>
      <c r="AQ262" s="124" t="str">
        <f>IF($B262="","",IF(AQ$3=0,"n.b.",INDEX(SRC_Woningetalage!$A$1:$ZZ$501,$A262,AQ$3)))</f>
        <v/>
      </c>
      <c r="AR262" s="124" t="str">
        <f>IF($B262="","",IF(AR$3=0,"n.b.",INDEX(SRC_Woningetalage!$A$1:$ZZ$501,$A262,AR$3)))</f>
        <v/>
      </c>
      <c r="AS262" s="124" t="str">
        <f>IF($B262="","",IF(AS$3=0,"n.b.",INDEX(SRC_Woningetalage!$A$1:$ZZ$501,$A262,AS$3)))</f>
        <v/>
      </c>
      <c r="AT262" s="124" t="str">
        <f>IF($B262="","",IF(AT$3=0,"n.b.",INDEX(SRC_Woningetalage!$A$1:$ZZ$501,$A262,AT$3)))</f>
        <v/>
      </c>
      <c r="AU262" s="124" t="str">
        <f>IF($B262="","",IF(AU$3=0,"n.b.",INDEX(SRC_Woningetalage!$A$1:$ZZ$501,$A262,AU$3)))</f>
        <v/>
      </c>
      <c r="AV262" s="124" t="str">
        <f>IF($B262="","",IF(AV$3=0,"n.b.",INDEX(SRC_Woningetalage!$A$1:$ZZ$501,$A262,AV$3)))</f>
        <v/>
      </c>
      <c r="AW262" s="124" t="str">
        <f>IF($B262="","",IF(AW$3=0,"n.b.",INDEX(SRC_Woningetalage!$A$1:$ZZ$501,$A262,AW$3)))</f>
        <v/>
      </c>
      <c r="AX262" s="124" t="str">
        <f>IF($B262="","",IF(AX$3=0,"n.b.",INDEX(SRC_Woningetalage!$A$1:$ZZ$501,$A262,AX$3)))</f>
        <v/>
      </c>
      <c r="AY262" s="124" t="str">
        <f>IF($B262="","",IF(AY$3=0,"n.b.",INDEX(SRC_Woningetalage!$A$1:$ZZ$501,$A262,AY$3)))</f>
        <v/>
      </c>
      <c r="AZ262" s="124" t="str">
        <f>IF($B262="","",IF(AZ$3=0,"n.b.",INDEX(SRC_Woningetalage!$A$1:$ZZ$501,$A262,AZ$3)))</f>
        <v/>
      </c>
      <c r="BA262" s="124" t="str">
        <f>IF($B262="","",IF(BA$3=0,"n.b.",INDEX(SRC_Woningetalage!$A$1:$ZZ$501,$A262,BA$3)))</f>
        <v/>
      </c>
      <c r="BB262" s="124" t="str">
        <f>IF($B262="","",IF(BB$3=0,"n.b.",INDEX(SRC_Woningetalage!$A$1:$ZZ$501,$A262,BB$3)))</f>
        <v/>
      </c>
      <c r="BC262" s="124" t="str">
        <f>IF($B262="","",IFERROR(_xlfn.NUMBERVALUE(E262&amp;"",",","."),"n.b."))</f>
        <v/>
      </c>
      <c r="BD262" s="124" t="str">
        <f>IF($B262="","",IFERROR(_xlfn.NUMBERVALUE(M262&amp;"",",","."),"n.b."))</f>
        <v/>
      </c>
      <c r="BE262" s="124" t="str">
        <f>IF($B262="","",IFERROR(AB262+AC262+AD262,"n.b."))</f>
        <v/>
      </c>
      <c r="BF262" s="124" t="str">
        <f>IF($B262="","",IFERROR(AE262+AF262+AG262,"n.b."))</f>
        <v/>
      </c>
      <c r="BG262" s="124" t="str">
        <f>IF($B262="","",IFERROR(AH262+AI262+AJ262,"n.b."))</f>
        <v/>
      </c>
      <c r="BH262" s="124" t="str">
        <f>IF($B262="","",IFERROR(AK262+AL262+AM262,"n.b."))</f>
        <v/>
      </c>
      <c r="BI262" s="124" t="str">
        <f>IF($B262="","",IFERROR(SUMIF($AB$5:$AM$5,"&lt;="&amp;P_PeilMaand,AB262:AM262),"n.b."))</f>
        <v/>
      </c>
      <c r="BJ262" s="124" t="str">
        <f>IF($B262="","",IFERROR(SUM(AB262:AM262)-BI262,"n.b."))</f>
        <v/>
      </c>
      <c r="BK262" s="124" t="str">
        <f>IF($B262="","",IFERROR(IF(ABS(Q262-(T262+SUM(AB262:AM262)+AS262+AU262))&gt;P_Tol,1,0),1))</f>
        <v/>
      </c>
      <c r="BL262" s="124" t="str">
        <f>IF($B262="","",IFERROR(IF(ABS(AA262-(Q262-Z262))&gt;P_Tol,1,0),1))</f>
        <v/>
      </c>
      <c r="BM262" s="124" t="str">
        <f>IF($B262="","",IFERROR(IF(ABS(Z262-(T262+W262))&gt;P_Tol,1,0),1))</f>
        <v/>
      </c>
      <c r="BN262" s="124" t="str">
        <f>IF($B262="","",IFERROR(IF(ABS(W262-BI262)&gt;P_Tol,1,0),1))</f>
        <v/>
      </c>
      <c r="BO262" s="124" t="str">
        <f>IF($B262="","",IFERROR(IF(OR(ABS(R262+S262-T262)&gt;P_Tol,ABS(U262+V262-W262)&gt;P_Tol,ABS(X262+Y262-Z262)&gt;P_Tol),1,0),1))</f>
        <v/>
      </c>
      <c r="BP262" s="124" t="str">
        <f>IF($B262="","",IFERROR(IF(OR(ABS(AR262-SUM(AB262:AM262))&gt;P_Tol,ABS(AS262-(AN262+AO262+AP262+AQ262))&gt;P_Tol),1,0),1))</f>
        <v/>
      </c>
      <c r="BQ262" s="124" t="str">
        <f>IF($B262="","",IFERROR(IF(ABS(AT262)+ABS(AV262)+ABS(AW262)+ABS(AX262)+ABS(AY262)+ABS(AZ262)+ABS(BA262)+ABS(BB262)&gt;0,1,0),1))</f>
        <v/>
      </c>
      <c r="BR262" s="124" t="str">
        <f>IF($B262="","",COUNTIF(STG_ZPMW03!$B$6:$B$505,B262))</f>
        <v/>
      </c>
      <c r="BS262" s="124" t="str">
        <f>IF($B262="","",COUNTIF($B$6:$B$505,B262))</f>
        <v/>
      </c>
      <c r="BT262" s="124" t="str">
        <f>IF($B262="","",IF(BR262=0,0,IF(INDEX(STG_ZPMW03!$I$6:$I$505,MATCH(B262,STG_ZPMW03!$B$6:$B$505,0))=J262&amp;"",0,1)))</f>
        <v/>
      </c>
      <c r="BU262" s="124" t="str">
        <f>IF($B262="","",IFERROR(IF(ABS(INDEX(Mapping!$D$5:$D$104,MATCH(B262,Mapping!$A$5:$A$104,0))-Q262)&gt;P_Tol,1,0),0))</f>
        <v/>
      </c>
      <c r="BV262" s="124" t="str">
        <f>IF($B262="","",IFERROR(IF(AND(INDEX(Mapping!$G$5:$G$104,MATCH(B262,Mapping!$A$5:$A$104,0))="Nee",ABS(Q262)+ABS(Z262)+ABS(AR262)&gt;0),1,0),0))</f>
        <v/>
      </c>
      <c r="BW262" s="124" t="str">
        <f>IF($B262="","",IF(COUNTIF(Mapping!$A$5:$A$104,B262)&gt;0,1,0))</f>
        <v/>
      </c>
      <c r="BX262" s="124" t="str">
        <f>IF($B262="","",IF(BR262=0,COUNTIF($BR$6:BR262,0),""))</f>
        <v/>
      </c>
    </row>
    <row r="263">
      <c r="A263" s="15" t="n">
        <v>259</v>
      </c>
      <c r="B263" t="str">
        <f>IF(B$3=0,"",IF(INDEX(SRC_Woningetalage!$A$1:$ZZ$501,$A263,B$3)&amp;""="","",INDEX(SRC_Woningetalage!$A$1:$ZZ$501,$A263,B$3)&amp;""))</f>
        <v/>
      </c>
      <c r="C263" t="str">
        <f>IF($B263="","",IF(C$3=0,"n.b.",INDEX(SRC_Woningetalage!$A$1:$ZZ$501,$A263,C$3)))</f>
        <v/>
      </c>
      <c r="D263" t="str">
        <f>IF($B263="","",IF(D$3=0,"n.b.",INDEX(SRC_Woningetalage!$A$1:$ZZ$501,$A263,D$3)))</f>
        <v/>
      </c>
      <c r="E263" t="str">
        <f>IF($B263="","",IF(E$3=0,"n.b.",INDEX(SRC_Woningetalage!$A$1:$ZZ$501,$A263,E$3)))</f>
        <v/>
      </c>
      <c r="F263" t="str">
        <f>IF($B263="","",IF(F$3=0,"n.b.",INDEX(SRC_Woningetalage!$A$1:$ZZ$501,$A263,F$3)))</f>
        <v/>
      </c>
      <c r="G263" t="str">
        <f>IF($B263="","",IF(G$3=0,"n.b.",INDEX(SRC_Woningetalage!$A$1:$ZZ$501,$A263,G$3)))</f>
        <v/>
      </c>
      <c r="H263" t="str">
        <f>IF($B263="","",IF(H$3=0,"n.b.",INDEX(SRC_Woningetalage!$A$1:$ZZ$501,$A263,H$3)))</f>
        <v/>
      </c>
      <c r="I263" t="str">
        <f>IF($B263="","",IF(I$3=0,"n.b.",INDEX(SRC_Woningetalage!$A$1:$ZZ$501,$A263,I$3)))</f>
        <v/>
      </c>
      <c r="J263" t="str">
        <f>IF($B263="","",IF(J$3=0,"n.b.",INDEX(SRC_Woningetalage!$A$1:$ZZ$501,$A263,J$3)))</f>
        <v/>
      </c>
      <c r="K263" t="str">
        <f>IF($B263="","",IF(K$3=0,"n.b.",INDEX(SRC_Woningetalage!$A$1:$ZZ$501,$A263,K$3)))</f>
        <v/>
      </c>
      <c r="L263" t="str">
        <f>IF($B263="","",IF(L$3=0,"n.b.",INDEX(SRC_Woningetalage!$A$1:$ZZ$501,$A263,L$3)))</f>
        <v/>
      </c>
      <c r="M263" t="str">
        <f>IF($B263="","",IF(M$3=0,"n.b.",INDEX(SRC_Woningetalage!$A$1:$ZZ$501,$A263,M$3)))</f>
        <v/>
      </c>
      <c r="N263" t="str">
        <f>IF($B263="","",IF(N$3=0,"n.b.",INDEX(SRC_Woningetalage!$A$1:$ZZ$501,$A263,N$3)))</f>
        <v/>
      </c>
      <c r="O263" t="str">
        <f>IF($B263="","",IF(O$3=0,"n.b.",INDEX(SRC_Woningetalage!$A$1:$ZZ$501,$A263,O$3)))</f>
        <v/>
      </c>
      <c r="P263" t="str">
        <f>IF($B263="","",IF(P$3=0,"n.b.",INDEX(SRC_Woningetalage!$A$1:$ZZ$501,$A263,P$3)))</f>
        <v/>
      </c>
      <c r="Q263" s="124" t="str">
        <f>IF($B263="","",IF(Q$3=0,"n.b.",INDEX(SRC_Woningetalage!$A$1:$ZZ$501,$A263,Q$3)))</f>
        <v/>
      </c>
      <c r="R263" s="124" t="str">
        <f>IF($B263="","",IF(R$3=0,"n.b.",INDEX(SRC_Woningetalage!$A$1:$ZZ$501,$A263,R$3)))</f>
        <v/>
      </c>
      <c r="S263" s="124" t="str">
        <f>IF($B263="","",IF(S$3=0,"n.b.",INDEX(SRC_Woningetalage!$A$1:$ZZ$501,$A263,S$3)))</f>
        <v/>
      </c>
      <c r="T263" s="124" t="str">
        <f>IF($B263="","",IF(T$3=0,"n.b.",INDEX(SRC_Woningetalage!$A$1:$ZZ$501,$A263,T$3)))</f>
        <v/>
      </c>
      <c r="U263" s="124" t="str">
        <f>IF($B263="","",IF(U$3=0,"n.b.",INDEX(SRC_Woningetalage!$A$1:$ZZ$501,$A263,U$3)))</f>
        <v/>
      </c>
      <c r="V263" s="124" t="str">
        <f>IF($B263="","",IF(V$3=0,"n.b.",INDEX(SRC_Woningetalage!$A$1:$ZZ$501,$A263,V$3)))</f>
        <v/>
      </c>
      <c r="W263" s="124" t="str">
        <f>IF($B263="","",IF(W$3=0,"n.b.",INDEX(SRC_Woningetalage!$A$1:$ZZ$501,$A263,W$3)))</f>
        <v/>
      </c>
      <c r="X263" s="124" t="str">
        <f>IF($B263="","",IF(X$3=0,"n.b.",INDEX(SRC_Woningetalage!$A$1:$ZZ$501,$A263,X$3)))</f>
        <v/>
      </c>
      <c r="Y263" s="124" t="str">
        <f>IF($B263="","",IF(Y$3=0,"n.b.",INDEX(SRC_Woningetalage!$A$1:$ZZ$501,$A263,Y$3)))</f>
        <v/>
      </c>
      <c r="Z263" s="124" t="str">
        <f>IF($B263="","",IF(Z$3=0,"n.b.",INDEX(SRC_Woningetalage!$A$1:$ZZ$501,$A263,Z$3)))</f>
        <v/>
      </c>
      <c r="AA263" s="124" t="str">
        <f>IF($B263="","",IF(AA$3=0,"n.b.",INDEX(SRC_Woningetalage!$A$1:$ZZ$501,$A263,AA$3)))</f>
        <v/>
      </c>
      <c r="AB263" s="124" t="str">
        <f>IF($B263="","",IF(AB$3=0,"n.b.",INDEX(SRC_Woningetalage!$A$1:$ZZ$501,$A263,AB$3)))</f>
        <v/>
      </c>
      <c r="AC263" s="124" t="str">
        <f>IF($B263="","",IF(AC$3=0,"n.b.",INDEX(SRC_Woningetalage!$A$1:$ZZ$501,$A263,AC$3)))</f>
        <v/>
      </c>
      <c r="AD263" s="124" t="str">
        <f>IF($B263="","",IF(AD$3=0,"n.b.",INDEX(SRC_Woningetalage!$A$1:$ZZ$501,$A263,AD$3)))</f>
        <v/>
      </c>
      <c r="AE263" s="124" t="str">
        <f>IF($B263="","",IF(AE$3=0,"n.b.",INDEX(SRC_Woningetalage!$A$1:$ZZ$501,$A263,AE$3)))</f>
        <v/>
      </c>
      <c r="AF263" s="124" t="str">
        <f>IF($B263="","",IF(AF$3=0,"n.b.",INDEX(SRC_Woningetalage!$A$1:$ZZ$501,$A263,AF$3)))</f>
        <v/>
      </c>
      <c r="AG263" s="124" t="str">
        <f>IF($B263="","",IF(AG$3=0,"n.b.",INDEX(SRC_Woningetalage!$A$1:$ZZ$501,$A263,AG$3)))</f>
        <v/>
      </c>
      <c r="AH263" s="124" t="str">
        <f>IF($B263="","",IF(AH$3=0,"n.b.",INDEX(SRC_Woningetalage!$A$1:$ZZ$501,$A263,AH$3)))</f>
        <v/>
      </c>
      <c r="AI263" s="124" t="str">
        <f>IF($B263="","",IF(AI$3=0,"n.b.",INDEX(SRC_Woningetalage!$A$1:$ZZ$501,$A263,AI$3)))</f>
        <v/>
      </c>
      <c r="AJ263" s="124" t="str">
        <f>IF($B263="","",IF(AJ$3=0,"n.b.",INDEX(SRC_Woningetalage!$A$1:$ZZ$501,$A263,AJ$3)))</f>
        <v/>
      </c>
      <c r="AK263" s="124" t="str">
        <f>IF($B263="","",IF(AK$3=0,"n.b.",INDEX(SRC_Woningetalage!$A$1:$ZZ$501,$A263,AK$3)))</f>
        <v/>
      </c>
      <c r="AL263" s="124" t="str">
        <f>IF($B263="","",IF(AL$3=0,"n.b.",INDEX(SRC_Woningetalage!$A$1:$ZZ$501,$A263,AL$3)))</f>
        <v/>
      </c>
      <c r="AM263" s="124" t="str">
        <f>IF($B263="","",IF(AM$3=0,"n.b.",INDEX(SRC_Woningetalage!$A$1:$ZZ$501,$A263,AM$3)))</f>
        <v/>
      </c>
      <c r="AN263" s="124" t="str">
        <f>IF($B263="","",IF(AN$3=0,"n.b.",INDEX(SRC_Woningetalage!$A$1:$ZZ$501,$A263,AN$3)))</f>
        <v/>
      </c>
      <c r="AO263" s="124" t="str">
        <f>IF($B263="","",IF(AO$3=0,"n.b.",INDEX(SRC_Woningetalage!$A$1:$ZZ$501,$A263,AO$3)))</f>
        <v/>
      </c>
      <c r="AP263" s="124" t="str">
        <f>IF($B263="","",IF(AP$3=0,"n.b.",INDEX(SRC_Woningetalage!$A$1:$ZZ$501,$A263,AP$3)))</f>
        <v/>
      </c>
      <c r="AQ263" s="124" t="str">
        <f>IF($B263="","",IF(AQ$3=0,"n.b.",INDEX(SRC_Woningetalage!$A$1:$ZZ$501,$A263,AQ$3)))</f>
        <v/>
      </c>
      <c r="AR263" s="124" t="str">
        <f>IF($B263="","",IF(AR$3=0,"n.b.",INDEX(SRC_Woningetalage!$A$1:$ZZ$501,$A263,AR$3)))</f>
        <v/>
      </c>
      <c r="AS263" s="124" t="str">
        <f>IF($B263="","",IF(AS$3=0,"n.b.",INDEX(SRC_Woningetalage!$A$1:$ZZ$501,$A263,AS$3)))</f>
        <v/>
      </c>
      <c r="AT263" s="124" t="str">
        <f>IF($B263="","",IF(AT$3=0,"n.b.",INDEX(SRC_Woningetalage!$A$1:$ZZ$501,$A263,AT$3)))</f>
        <v/>
      </c>
      <c r="AU263" s="124" t="str">
        <f>IF($B263="","",IF(AU$3=0,"n.b.",INDEX(SRC_Woningetalage!$A$1:$ZZ$501,$A263,AU$3)))</f>
        <v/>
      </c>
      <c r="AV263" s="124" t="str">
        <f>IF($B263="","",IF(AV$3=0,"n.b.",INDEX(SRC_Woningetalage!$A$1:$ZZ$501,$A263,AV$3)))</f>
        <v/>
      </c>
      <c r="AW263" s="124" t="str">
        <f>IF($B263="","",IF(AW$3=0,"n.b.",INDEX(SRC_Woningetalage!$A$1:$ZZ$501,$A263,AW$3)))</f>
        <v/>
      </c>
      <c r="AX263" s="124" t="str">
        <f>IF($B263="","",IF(AX$3=0,"n.b.",INDEX(SRC_Woningetalage!$A$1:$ZZ$501,$A263,AX$3)))</f>
        <v/>
      </c>
      <c r="AY263" s="124" t="str">
        <f>IF($B263="","",IF(AY$3=0,"n.b.",INDEX(SRC_Woningetalage!$A$1:$ZZ$501,$A263,AY$3)))</f>
        <v/>
      </c>
      <c r="AZ263" s="124" t="str">
        <f>IF($B263="","",IF(AZ$3=0,"n.b.",INDEX(SRC_Woningetalage!$A$1:$ZZ$501,$A263,AZ$3)))</f>
        <v/>
      </c>
      <c r="BA263" s="124" t="str">
        <f>IF($B263="","",IF(BA$3=0,"n.b.",INDEX(SRC_Woningetalage!$A$1:$ZZ$501,$A263,BA$3)))</f>
        <v/>
      </c>
      <c r="BB263" s="124" t="str">
        <f>IF($B263="","",IF(BB$3=0,"n.b.",INDEX(SRC_Woningetalage!$A$1:$ZZ$501,$A263,BB$3)))</f>
        <v/>
      </c>
      <c r="BC263" s="124" t="str">
        <f>IF($B263="","",IFERROR(_xlfn.NUMBERVALUE(E263&amp;"",",","."),"n.b."))</f>
        <v/>
      </c>
      <c r="BD263" s="124" t="str">
        <f>IF($B263="","",IFERROR(_xlfn.NUMBERVALUE(M263&amp;"",",","."),"n.b."))</f>
        <v/>
      </c>
      <c r="BE263" s="124" t="str">
        <f>IF($B263="","",IFERROR(AB263+AC263+AD263,"n.b."))</f>
        <v/>
      </c>
      <c r="BF263" s="124" t="str">
        <f>IF($B263="","",IFERROR(AE263+AF263+AG263,"n.b."))</f>
        <v/>
      </c>
      <c r="BG263" s="124" t="str">
        <f>IF($B263="","",IFERROR(AH263+AI263+AJ263,"n.b."))</f>
        <v/>
      </c>
      <c r="BH263" s="124" t="str">
        <f>IF($B263="","",IFERROR(AK263+AL263+AM263,"n.b."))</f>
        <v/>
      </c>
      <c r="BI263" s="124" t="str">
        <f>IF($B263="","",IFERROR(SUMIF($AB$5:$AM$5,"&lt;="&amp;P_PeilMaand,AB263:AM263),"n.b."))</f>
        <v/>
      </c>
      <c r="BJ263" s="124" t="str">
        <f>IF($B263="","",IFERROR(SUM(AB263:AM263)-BI263,"n.b."))</f>
        <v/>
      </c>
      <c r="BK263" s="124" t="str">
        <f>IF($B263="","",IFERROR(IF(ABS(Q263-(T263+SUM(AB263:AM263)+AS263+AU263))&gt;P_Tol,1,0),1))</f>
        <v/>
      </c>
      <c r="BL263" s="124" t="str">
        <f>IF($B263="","",IFERROR(IF(ABS(AA263-(Q263-Z263))&gt;P_Tol,1,0),1))</f>
        <v/>
      </c>
      <c r="BM263" s="124" t="str">
        <f>IF($B263="","",IFERROR(IF(ABS(Z263-(T263+W263))&gt;P_Tol,1,0),1))</f>
        <v/>
      </c>
      <c r="BN263" s="124" t="str">
        <f>IF($B263="","",IFERROR(IF(ABS(W263-BI263)&gt;P_Tol,1,0),1))</f>
        <v/>
      </c>
      <c r="BO263" s="124" t="str">
        <f>IF($B263="","",IFERROR(IF(OR(ABS(R263+S263-T263)&gt;P_Tol,ABS(U263+V263-W263)&gt;P_Tol,ABS(X263+Y263-Z263)&gt;P_Tol),1,0),1))</f>
        <v/>
      </c>
      <c r="BP263" s="124" t="str">
        <f>IF($B263="","",IFERROR(IF(OR(ABS(AR263-SUM(AB263:AM263))&gt;P_Tol,ABS(AS263-(AN263+AO263+AP263+AQ263))&gt;P_Tol),1,0),1))</f>
        <v/>
      </c>
      <c r="BQ263" s="124" t="str">
        <f>IF($B263="","",IFERROR(IF(ABS(AT263)+ABS(AV263)+ABS(AW263)+ABS(AX263)+ABS(AY263)+ABS(AZ263)+ABS(BA263)+ABS(BB263)&gt;0,1,0),1))</f>
        <v/>
      </c>
      <c r="BR263" s="124" t="str">
        <f>IF($B263="","",COUNTIF(STG_ZPMW03!$B$6:$B$505,B263))</f>
        <v/>
      </c>
      <c r="BS263" s="124" t="str">
        <f>IF($B263="","",COUNTIF($B$6:$B$505,B263))</f>
        <v/>
      </c>
      <c r="BT263" s="124" t="str">
        <f>IF($B263="","",IF(BR263=0,0,IF(INDEX(STG_ZPMW03!$I$6:$I$505,MATCH(B263,STG_ZPMW03!$B$6:$B$505,0))=J263&amp;"",0,1)))</f>
        <v/>
      </c>
      <c r="BU263" s="124" t="str">
        <f>IF($B263="","",IFERROR(IF(ABS(INDEX(Mapping!$D$5:$D$104,MATCH(B263,Mapping!$A$5:$A$104,0))-Q263)&gt;P_Tol,1,0),0))</f>
        <v/>
      </c>
      <c r="BV263" s="124" t="str">
        <f>IF($B263="","",IFERROR(IF(AND(INDEX(Mapping!$G$5:$G$104,MATCH(B263,Mapping!$A$5:$A$104,0))="Nee",ABS(Q263)+ABS(Z263)+ABS(AR263)&gt;0),1,0),0))</f>
        <v/>
      </c>
      <c r="BW263" s="124" t="str">
        <f>IF($B263="","",IF(COUNTIF(Mapping!$A$5:$A$104,B263)&gt;0,1,0))</f>
        <v/>
      </c>
      <c r="BX263" s="124" t="str">
        <f>IF($B263="","",IF(BR263=0,COUNTIF($BR$6:BR263,0),""))</f>
        <v/>
      </c>
    </row>
    <row r="264">
      <c r="A264" s="15" t="n">
        <v>260</v>
      </c>
      <c r="B264" t="str">
        <f>IF(B$3=0,"",IF(INDEX(SRC_Woningetalage!$A$1:$ZZ$501,$A264,B$3)&amp;""="","",INDEX(SRC_Woningetalage!$A$1:$ZZ$501,$A264,B$3)&amp;""))</f>
        <v/>
      </c>
      <c r="C264" t="str">
        <f>IF($B264="","",IF(C$3=0,"n.b.",INDEX(SRC_Woningetalage!$A$1:$ZZ$501,$A264,C$3)))</f>
        <v/>
      </c>
      <c r="D264" t="str">
        <f>IF($B264="","",IF(D$3=0,"n.b.",INDEX(SRC_Woningetalage!$A$1:$ZZ$501,$A264,D$3)))</f>
        <v/>
      </c>
      <c r="E264" t="str">
        <f>IF($B264="","",IF(E$3=0,"n.b.",INDEX(SRC_Woningetalage!$A$1:$ZZ$501,$A264,E$3)))</f>
        <v/>
      </c>
      <c r="F264" t="str">
        <f>IF($B264="","",IF(F$3=0,"n.b.",INDEX(SRC_Woningetalage!$A$1:$ZZ$501,$A264,F$3)))</f>
        <v/>
      </c>
      <c r="G264" t="str">
        <f>IF($B264="","",IF(G$3=0,"n.b.",INDEX(SRC_Woningetalage!$A$1:$ZZ$501,$A264,G$3)))</f>
        <v/>
      </c>
      <c r="H264" t="str">
        <f>IF($B264="","",IF(H$3=0,"n.b.",INDEX(SRC_Woningetalage!$A$1:$ZZ$501,$A264,H$3)))</f>
        <v/>
      </c>
      <c r="I264" t="str">
        <f>IF($B264="","",IF(I$3=0,"n.b.",INDEX(SRC_Woningetalage!$A$1:$ZZ$501,$A264,I$3)))</f>
        <v/>
      </c>
      <c r="J264" t="str">
        <f>IF($B264="","",IF(J$3=0,"n.b.",INDEX(SRC_Woningetalage!$A$1:$ZZ$501,$A264,J$3)))</f>
        <v/>
      </c>
      <c r="K264" t="str">
        <f>IF($B264="","",IF(K$3=0,"n.b.",INDEX(SRC_Woningetalage!$A$1:$ZZ$501,$A264,K$3)))</f>
        <v/>
      </c>
      <c r="L264" t="str">
        <f>IF($B264="","",IF(L$3=0,"n.b.",INDEX(SRC_Woningetalage!$A$1:$ZZ$501,$A264,L$3)))</f>
        <v/>
      </c>
      <c r="M264" t="str">
        <f>IF($B264="","",IF(M$3=0,"n.b.",INDEX(SRC_Woningetalage!$A$1:$ZZ$501,$A264,M$3)))</f>
        <v/>
      </c>
      <c r="N264" t="str">
        <f>IF($B264="","",IF(N$3=0,"n.b.",INDEX(SRC_Woningetalage!$A$1:$ZZ$501,$A264,N$3)))</f>
        <v/>
      </c>
      <c r="O264" t="str">
        <f>IF($B264="","",IF(O$3=0,"n.b.",INDEX(SRC_Woningetalage!$A$1:$ZZ$501,$A264,O$3)))</f>
        <v/>
      </c>
      <c r="P264" t="str">
        <f>IF($B264="","",IF(P$3=0,"n.b.",INDEX(SRC_Woningetalage!$A$1:$ZZ$501,$A264,P$3)))</f>
        <v/>
      </c>
      <c r="Q264" s="124" t="str">
        <f>IF($B264="","",IF(Q$3=0,"n.b.",INDEX(SRC_Woningetalage!$A$1:$ZZ$501,$A264,Q$3)))</f>
        <v/>
      </c>
      <c r="R264" s="124" t="str">
        <f>IF($B264="","",IF(R$3=0,"n.b.",INDEX(SRC_Woningetalage!$A$1:$ZZ$501,$A264,R$3)))</f>
        <v/>
      </c>
      <c r="S264" s="124" t="str">
        <f>IF($B264="","",IF(S$3=0,"n.b.",INDEX(SRC_Woningetalage!$A$1:$ZZ$501,$A264,S$3)))</f>
        <v/>
      </c>
      <c r="T264" s="124" t="str">
        <f>IF($B264="","",IF(T$3=0,"n.b.",INDEX(SRC_Woningetalage!$A$1:$ZZ$501,$A264,T$3)))</f>
        <v/>
      </c>
      <c r="U264" s="124" t="str">
        <f>IF($B264="","",IF(U$3=0,"n.b.",INDEX(SRC_Woningetalage!$A$1:$ZZ$501,$A264,U$3)))</f>
        <v/>
      </c>
      <c r="V264" s="124" t="str">
        <f>IF($B264="","",IF(V$3=0,"n.b.",INDEX(SRC_Woningetalage!$A$1:$ZZ$501,$A264,V$3)))</f>
        <v/>
      </c>
      <c r="W264" s="124" t="str">
        <f>IF($B264="","",IF(W$3=0,"n.b.",INDEX(SRC_Woningetalage!$A$1:$ZZ$501,$A264,W$3)))</f>
        <v/>
      </c>
      <c r="X264" s="124" t="str">
        <f>IF($B264="","",IF(X$3=0,"n.b.",INDEX(SRC_Woningetalage!$A$1:$ZZ$501,$A264,X$3)))</f>
        <v/>
      </c>
      <c r="Y264" s="124" t="str">
        <f>IF($B264="","",IF(Y$3=0,"n.b.",INDEX(SRC_Woningetalage!$A$1:$ZZ$501,$A264,Y$3)))</f>
        <v/>
      </c>
      <c r="Z264" s="124" t="str">
        <f>IF($B264="","",IF(Z$3=0,"n.b.",INDEX(SRC_Woningetalage!$A$1:$ZZ$501,$A264,Z$3)))</f>
        <v/>
      </c>
      <c r="AA264" s="124" t="str">
        <f>IF($B264="","",IF(AA$3=0,"n.b.",INDEX(SRC_Woningetalage!$A$1:$ZZ$501,$A264,AA$3)))</f>
        <v/>
      </c>
      <c r="AB264" s="124" t="str">
        <f>IF($B264="","",IF(AB$3=0,"n.b.",INDEX(SRC_Woningetalage!$A$1:$ZZ$501,$A264,AB$3)))</f>
        <v/>
      </c>
      <c r="AC264" s="124" t="str">
        <f>IF($B264="","",IF(AC$3=0,"n.b.",INDEX(SRC_Woningetalage!$A$1:$ZZ$501,$A264,AC$3)))</f>
        <v/>
      </c>
      <c r="AD264" s="124" t="str">
        <f>IF($B264="","",IF(AD$3=0,"n.b.",INDEX(SRC_Woningetalage!$A$1:$ZZ$501,$A264,AD$3)))</f>
        <v/>
      </c>
      <c r="AE264" s="124" t="str">
        <f>IF($B264="","",IF(AE$3=0,"n.b.",INDEX(SRC_Woningetalage!$A$1:$ZZ$501,$A264,AE$3)))</f>
        <v/>
      </c>
      <c r="AF264" s="124" t="str">
        <f>IF($B264="","",IF(AF$3=0,"n.b.",INDEX(SRC_Woningetalage!$A$1:$ZZ$501,$A264,AF$3)))</f>
        <v/>
      </c>
      <c r="AG264" s="124" t="str">
        <f>IF($B264="","",IF(AG$3=0,"n.b.",INDEX(SRC_Woningetalage!$A$1:$ZZ$501,$A264,AG$3)))</f>
        <v/>
      </c>
      <c r="AH264" s="124" t="str">
        <f>IF($B264="","",IF(AH$3=0,"n.b.",INDEX(SRC_Woningetalage!$A$1:$ZZ$501,$A264,AH$3)))</f>
        <v/>
      </c>
      <c r="AI264" s="124" t="str">
        <f>IF($B264="","",IF(AI$3=0,"n.b.",INDEX(SRC_Woningetalage!$A$1:$ZZ$501,$A264,AI$3)))</f>
        <v/>
      </c>
      <c r="AJ264" s="124" t="str">
        <f>IF($B264="","",IF(AJ$3=0,"n.b.",INDEX(SRC_Woningetalage!$A$1:$ZZ$501,$A264,AJ$3)))</f>
        <v/>
      </c>
      <c r="AK264" s="124" t="str">
        <f>IF($B264="","",IF(AK$3=0,"n.b.",INDEX(SRC_Woningetalage!$A$1:$ZZ$501,$A264,AK$3)))</f>
        <v/>
      </c>
      <c r="AL264" s="124" t="str">
        <f>IF($B264="","",IF(AL$3=0,"n.b.",INDEX(SRC_Woningetalage!$A$1:$ZZ$501,$A264,AL$3)))</f>
        <v/>
      </c>
      <c r="AM264" s="124" t="str">
        <f>IF($B264="","",IF(AM$3=0,"n.b.",INDEX(SRC_Woningetalage!$A$1:$ZZ$501,$A264,AM$3)))</f>
        <v/>
      </c>
      <c r="AN264" s="124" t="str">
        <f>IF($B264="","",IF(AN$3=0,"n.b.",INDEX(SRC_Woningetalage!$A$1:$ZZ$501,$A264,AN$3)))</f>
        <v/>
      </c>
      <c r="AO264" s="124" t="str">
        <f>IF($B264="","",IF(AO$3=0,"n.b.",INDEX(SRC_Woningetalage!$A$1:$ZZ$501,$A264,AO$3)))</f>
        <v/>
      </c>
      <c r="AP264" s="124" t="str">
        <f>IF($B264="","",IF(AP$3=0,"n.b.",INDEX(SRC_Woningetalage!$A$1:$ZZ$501,$A264,AP$3)))</f>
        <v/>
      </c>
      <c r="AQ264" s="124" t="str">
        <f>IF($B264="","",IF(AQ$3=0,"n.b.",INDEX(SRC_Woningetalage!$A$1:$ZZ$501,$A264,AQ$3)))</f>
        <v/>
      </c>
      <c r="AR264" s="124" t="str">
        <f>IF($B264="","",IF(AR$3=0,"n.b.",INDEX(SRC_Woningetalage!$A$1:$ZZ$501,$A264,AR$3)))</f>
        <v/>
      </c>
      <c r="AS264" s="124" t="str">
        <f>IF($B264="","",IF(AS$3=0,"n.b.",INDEX(SRC_Woningetalage!$A$1:$ZZ$501,$A264,AS$3)))</f>
        <v/>
      </c>
      <c r="AT264" s="124" t="str">
        <f>IF($B264="","",IF(AT$3=0,"n.b.",INDEX(SRC_Woningetalage!$A$1:$ZZ$501,$A264,AT$3)))</f>
        <v/>
      </c>
      <c r="AU264" s="124" t="str">
        <f>IF($B264="","",IF(AU$3=0,"n.b.",INDEX(SRC_Woningetalage!$A$1:$ZZ$501,$A264,AU$3)))</f>
        <v/>
      </c>
      <c r="AV264" s="124" t="str">
        <f>IF($B264="","",IF(AV$3=0,"n.b.",INDEX(SRC_Woningetalage!$A$1:$ZZ$501,$A264,AV$3)))</f>
        <v/>
      </c>
      <c r="AW264" s="124" t="str">
        <f>IF($B264="","",IF(AW$3=0,"n.b.",INDEX(SRC_Woningetalage!$A$1:$ZZ$501,$A264,AW$3)))</f>
        <v/>
      </c>
      <c r="AX264" s="124" t="str">
        <f>IF($B264="","",IF(AX$3=0,"n.b.",INDEX(SRC_Woningetalage!$A$1:$ZZ$501,$A264,AX$3)))</f>
        <v/>
      </c>
      <c r="AY264" s="124" t="str">
        <f>IF($B264="","",IF(AY$3=0,"n.b.",INDEX(SRC_Woningetalage!$A$1:$ZZ$501,$A264,AY$3)))</f>
        <v/>
      </c>
      <c r="AZ264" s="124" t="str">
        <f>IF($B264="","",IF(AZ$3=0,"n.b.",INDEX(SRC_Woningetalage!$A$1:$ZZ$501,$A264,AZ$3)))</f>
        <v/>
      </c>
      <c r="BA264" s="124" t="str">
        <f>IF($B264="","",IF(BA$3=0,"n.b.",INDEX(SRC_Woningetalage!$A$1:$ZZ$501,$A264,BA$3)))</f>
        <v/>
      </c>
      <c r="BB264" s="124" t="str">
        <f>IF($B264="","",IF(BB$3=0,"n.b.",INDEX(SRC_Woningetalage!$A$1:$ZZ$501,$A264,BB$3)))</f>
        <v/>
      </c>
      <c r="BC264" s="124" t="str">
        <f>IF($B264="","",IFERROR(_xlfn.NUMBERVALUE(E264&amp;"",",","."),"n.b."))</f>
        <v/>
      </c>
      <c r="BD264" s="124" t="str">
        <f>IF($B264="","",IFERROR(_xlfn.NUMBERVALUE(M264&amp;"",",","."),"n.b."))</f>
        <v/>
      </c>
      <c r="BE264" s="124" t="str">
        <f>IF($B264="","",IFERROR(AB264+AC264+AD264,"n.b."))</f>
        <v/>
      </c>
      <c r="BF264" s="124" t="str">
        <f>IF($B264="","",IFERROR(AE264+AF264+AG264,"n.b."))</f>
        <v/>
      </c>
      <c r="BG264" s="124" t="str">
        <f>IF($B264="","",IFERROR(AH264+AI264+AJ264,"n.b."))</f>
        <v/>
      </c>
      <c r="BH264" s="124" t="str">
        <f>IF($B264="","",IFERROR(AK264+AL264+AM264,"n.b."))</f>
        <v/>
      </c>
      <c r="BI264" s="124" t="str">
        <f>IF($B264="","",IFERROR(SUMIF($AB$5:$AM$5,"&lt;="&amp;P_PeilMaand,AB264:AM264),"n.b."))</f>
        <v/>
      </c>
      <c r="BJ264" s="124" t="str">
        <f>IF($B264="","",IFERROR(SUM(AB264:AM264)-BI264,"n.b."))</f>
        <v/>
      </c>
      <c r="BK264" s="124" t="str">
        <f>IF($B264="","",IFERROR(IF(ABS(Q264-(T264+SUM(AB264:AM264)+AS264+AU264))&gt;P_Tol,1,0),1))</f>
        <v/>
      </c>
      <c r="BL264" s="124" t="str">
        <f>IF($B264="","",IFERROR(IF(ABS(AA264-(Q264-Z264))&gt;P_Tol,1,0),1))</f>
        <v/>
      </c>
      <c r="BM264" s="124" t="str">
        <f>IF($B264="","",IFERROR(IF(ABS(Z264-(T264+W264))&gt;P_Tol,1,0),1))</f>
        <v/>
      </c>
      <c r="BN264" s="124" t="str">
        <f>IF($B264="","",IFERROR(IF(ABS(W264-BI264)&gt;P_Tol,1,0),1))</f>
        <v/>
      </c>
      <c r="BO264" s="124" t="str">
        <f>IF($B264="","",IFERROR(IF(OR(ABS(R264+S264-T264)&gt;P_Tol,ABS(U264+V264-W264)&gt;P_Tol,ABS(X264+Y264-Z264)&gt;P_Tol),1,0),1))</f>
        <v/>
      </c>
      <c r="BP264" s="124" t="str">
        <f>IF($B264="","",IFERROR(IF(OR(ABS(AR264-SUM(AB264:AM264))&gt;P_Tol,ABS(AS264-(AN264+AO264+AP264+AQ264))&gt;P_Tol),1,0),1))</f>
        <v/>
      </c>
      <c r="BQ264" s="124" t="str">
        <f>IF($B264="","",IFERROR(IF(ABS(AT264)+ABS(AV264)+ABS(AW264)+ABS(AX264)+ABS(AY264)+ABS(AZ264)+ABS(BA264)+ABS(BB264)&gt;0,1,0),1))</f>
        <v/>
      </c>
      <c r="BR264" s="124" t="str">
        <f>IF($B264="","",COUNTIF(STG_ZPMW03!$B$6:$B$505,B264))</f>
        <v/>
      </c>
      <c r="BS264" s="124" t="str">
        <f>IF($B264="","",COUNTIF($B$6:$B$505,B264))</f>
        <v/>
      </c>
      <c r="BT264" s="124" t="str">
        <f>IF($B264="","",IF(BR264=0,0,IF(INDEX(STG_ZPMW03!$I$6:$I$505,MATCH(B264,STG_ZPMW03!$B$6:$B$505,0))=J264&amp;"",0,1)))</f>
        <v/>
      </c>
      <c r="BU264" s="124" t="str">
        <f>IF($B264="","",IFERROR(IF(ABS(INDEX(Mapping!$D$5:$D$104,MATCH(B264,Mapping!$A$5:$A$104,0))-Q264)&gt;P_Tol,1,0),0))</f>
        <v/>
      </c>
      <c r="BV264" s="124" t="str">
        <f>IF($B264="","",IFERROR(IF(AND(INDEX(Mapping!$G$5:$G$104,MATCH(B264,Mapping!$A$5:$A$104,0))="Nee",ABS(Q264)+ABS(Z264)+ABS(AR264)&gt;0),1,0),0))</f>
        <v/>
      </c>
      <c r="BW264" s="124" t="str">
        <f>IF($B264="","",IF(COUNTIF(Mapping!$A$5:$A$104,B264)&gt;0,1,0))</f>
        <v/>
      </c>
      <c r="BX264" s="124" t="str">
        <f>IF($B264="","",IF(BR264=0,COUNTIF($BR$6:BR264,0),""))</f>
        <v/>
      </c>
    </row>
    <row r="265">
      <c r="A265" s="15" t="n">
        <v>261</v>
      </c>
      <c r="B265" t="str">
        <f>IF(B$3=0,"",IF(INDEX(SRC_Woningetalage!$A$1:$ZZ$501,$A265,B$3)&amp;""="","",INDEX(SRC_Woningetalage!$A$1:$ZZ$501,$A265,B$3)&amp;""))</f>
        <v/>
      </c>
      <c r="C265" t="str">
        <f>IF($B265="","",IF(C$3=0,"n.b.",INDEX(SRC_Woningetalage!$A$1:$ZZ$501,$A265,C$3)))</f>
        <v/>
      </c>
      <c r="D265" t="str">
        <f>IF($B265="","",IF(D$3=0,"n.b.",INDEX(SRC_Woningetalage!$A$1:$ZZ$501,$A265,D$3)))</f>
        <v/>
      </c>
      <c r="E265" t="str">
        <f>IF($B265="","",IF(E$3=0,"n.b.",INDEX(SRC_Woningetalage!$A$1:$ZZ$501,$A265,E$3)))</f>
        <v/>
      </c>
      <c r="F265" t="str">
        <f>IF($B265="","",IF(F$3=0,"n.b.",INDEX(SRC_Woningetalage!$A$1:$ZZ$501,$A265,F$3)))</f>
        <v/>
      </c>
      <c r="G265" t="str">
        <f>IF($B265="","",IF(G$3=0,"n.b.",INDEX(SRC_Woningetalage!$A$1:$ZZ$501,$A265,G$3)))</f>
        <v/>
      </c>
      <c r="H265" t="str">
        <f>IF($B265="","",IF(H$3=0,"n.b.",INDEX(SRC_Woningetalage!$A$1:$ZZ$501,$A265,H$3)))</f>
        <v/>
      </c>
      <c r="I265" t="str">
        <f>IF($B265="","",IF(I$3=0,"n.b.",INDEX(SRC_Woningetalage!$A$1:$ZZ$501,$A265,I$3)))</f>
        <v/>
      </c>
      <c r="J265" t="str">
        <f>IF($B265="","",IF(J$3=0,"n.b.",INDEX(SRC_Woningetalage!$A$1:$ZZ$501,$A265,J$3)))</f>
        <v/>
      </c>
      <c r="K265" t="str">
        <f>IF($B265="","",IF(K$3=0,"n.b.",INDEX(SRC_Woningetalage!$A$1:$ZZ$501,$A265,K$3)))</f>
        <v/>
      </c>
      <c r="L265" t="str">
        <f>IF($B265="","",IF(L$3=0,"n.b.",INDEX(SRC_Woningetalage!$A$1:$ZZ$501,$A265,L$3)))</f>
        <v/>
      </c>
      <c r="M265" t="str">
        <f>IF($B265="","",IF(M$3=0,"n.b.",INDEX(SRC_Woningetalage!$A$1:$ZZ$501,$A265,M$3)))</f>
        <v/>
      </c>
      <c r="N265" t="str">
        <f>IF($B265="","",IF(N$3=0,"n.b.",INDEX(SRC_Woningetalage!$A$1:$ZZ$501,$A265,N$3)))</f>
        <v/>
      </c>
      <c r="O265" t="str">
        <f>IF($B265="","",IF(O$3=0,"n.b.",INDEX(SRC_Woningetalage!$A$1:$ZZ$501,$A265,O$3)))</f>
        <v/>
      </c>
      <c r="P265" t="str">
        <f>IF($B265="","",IF(P$3=0,"n.b.",INDEX(SRC_Woningetalage!$A$1:$ZZ$501,$A265,P$3)))</f>
        <v/>
      </c>
      <c r="Q265" s="124" t="str">
        <f>IF($B265="","",IF(Q$3=0,"n.b.",INDEX(SRC_Woningetalage!$A$1:$ZZ$501,$A265,Q$3)))</f>
        <v/>
      </c>
      <c r="R265" s="124" t="str">
        <f>IF($B265="","",IF(R$3=0,"n.b.",INDEX(SRC_Woningetalage!$A$1:$ZZ$501,$A265,R$3)))</f>
        <v/>
      </c>
      <c r="S265" s="124" t="str">
        <f>IF($B265="","",IF(S$3=0,"n.b.",INDEX(SRC_Woningetalage!$A$1:$ZZ$501,$A265,S$3)))</f>
        <v/>
      </c>
      <c r="T265" s="124" t="str">
        <f>IF($B265="","",IF(T$3=0,"n.b.",INDEX(SRC_Woningetalage!$A$1:$ZZ$501,$A265,T$3)))</f>
        <v/>
      </c>
      <c r="U265" s="124" t="str">
        <f>IF($B265="","",IF(U$3=0,"n.b.",INDEX(SRC_Woningetalage!$A$1:$ZZ$501,$A265,U$3)))</f>
        <v/>
      </c>
      <c r="V265" s="124" t="str">
        <f>IF($B265="","",IF(V$3=0,"n.b.",INDEX(SRC_Woningetalage!$A$1:$ZZ$501,$A265,V$3)))</f>
        <v/>
      </c>
      <c r="W265" s="124" t="str">
        <f>IF($B265="","",IF(W$3=0,"n.b.",INDEX(SRC_Woningetalage!$A$1:$ZZ$501,$A265,W$3)))</f>
        <v/>
      </c>
      <c r="X265" s="124" t="str">
        <f>IF($B265="","",IF(X$3=0,"n.b.",INDEX(SRC_Woningetalage!$A$1:$ZZ$501,$A265,X$3)))</f>
        <v/>
      </c>
      <c r="Y265" s="124" t="str">
        <f>IF($B265="","",IF(Y$3=0,"n.b.",INDEX(SRC_Woningetalage!$A$1:$ZZ$501,$A265,Y$3)))</f>
        <v/>
      </c>
      <c r="Z265" s="124" t="str">
        <f>IF($B265="","",IF(Z$3=0,"n.b.",INDEX(SRC_Woningetalage!$A$1:$ZZ$501,$A265,Z$3)))</f>
        <v/>
      </c>
      <c r="AA265" s="124" t="str">
        <f>IF($B265="","",IF(AA$3=0,"n.b.",INDEX(SRC_Woningetalage!$A$1:$ZZ$501,$A265,AA$3)))</f>
        <v/>
      </c>
      <c r="AB265" s="124" t="str">
        <f>IF($B265="","",IF(AB$3=0,"n.b.",INDEX(SRC_Woningetalage!$A$1:$ZZ$501,$A265,AB$3)))</f>
        <v/>
      </c>
      <c r="AC265" s="124" t="str">
        <f>IF($B265="","",IF(AC$3=0,"n.b.",INDEX(SRC_Woningetalage!$A$1:$ZZ$501,$A265,AC$3)))</f>
        <v/>
      </c>
      <c r="AD265" s="124" t="str">
        <f>IF($B265="","",IF(AD$3=0,"n.b.",INDEX(SRC_Woningetalage!$A$1:$ZZ$501,$A265,AD$3)))</f>
        <v/>
      </c>
      <c r="AE265" s="124" t="str">
        <f>IF($B265="","",IF(AE$3=0,"n.b.",INDEX(SRC_Woningetalage!$A$1:$ZZ$501,$A265,AE$3)))</f>
        <v/>
      </c>
      <c r="AF265" s="124" t="str">
        <f>IF($B265="","",IF(AF$3=0,"n.b.",INDEX(SRC_Woningetalage!$A$1:$ZZ$501,$A265,AF$3)))</f>
        <v/>
      </c>
      <c r="AG265" s="124" t="str">
        <f>IF($B265="","",IF(AG$3=0,"n.b.",INDEX(SRC_Woningetalage!$A$1:$ZZ$501,$A265,AG$3)))</f>
        <v/>
      </c>
      <c r="AH265" s="124" t="str">
        <f>IF($B265="","",IF(AH$3=0,"n.b.",INDEX(SRC_Woningetalage!$A$1:$ZZ$501,$A265,AH$3)))</f>
        <v/>
      </c>
      <c r="AI265" s="124" t="str">
        <f>IF($B265="","",IF(AI$3=0,"n.b.",INDEX(SRC_Woningetalage!$A$1:$ZZ$501,$A265,AI$3)))</f>
        <v/>
      </c>
      <c r="AJ265" s="124" t="str">
        <f>IF($B265="","",IF(AJ$3=0,"n.b.",INDEX(SRC_Woningetalage!$A$1:$ZZ$501,$A265,AJ$3)))</f>
        <v/>
      </c>
      <c r="AK265" s="124" t="str">
        <f>IF($B265="","",IF(AK$3=0,"n.b.",INDEX(SRC_Woningetalage!$A$1:$ZZ$501,$A265,AK$3)))</f>
        <v/>
      </c>
      <c r="AL265" s="124" t="str">
        <f>IF($B265="","",IF(AL$3=0,"n.b.",INDEX(SRC_Woningetalage!$A$1:$ZZ$501,$A265,AL$3)))</f>
        <v/>
      </c>
      <c r="AM265" s="124" t="str">
        <f>IF($B265="","",IF(AM$3=0,"n.b.",INDEX(SRC_Woningetalage!$A$1:$ZZ$501,$A265,AM$3)))</f>
        <v/>
      </c>
      <c r="AN265" s="124" t="str">
        <f>IF($B265="","",IF(AN$3=0,"n.b.",INDEX(SRC_Woningetalage!$A$1:$ZZ$501,$A265,AN$3)))</f>
        <v/>
      </c>
      <c r="AO265" s="124" t="str">
        <f>IF($B265="","",IF(AO$3=0,"n.b.",INDEX(SRC_Woningetalage!$A$1:$ZZ$501,$A265,AO$3)))</f>
        <v/>
      </c>
      <c r="AP265" s="124" t="str">
        <f>IF($B265="","",IF(AP$3=0,"n.b.",INDEX(SRC_Woningetalage!$A$1:$ZZ$501,$A265,AP$3)))</f>
        <v/>
      </c>
      <c r="AQ265" s="124" t="str">
        <f>IF($B265="","",IF(AQ$3=0,"n.b.",INDEX(SRC_Woningetalage!$A$1:$ZZ$501,$A265,AQ$3)))</f>
        <v/>
      </c>
      <c r="AR265" s="124" t="str">
        <f>IF($B265="","",IF(AR$3=0,"n.b.",INDEX(SRC_Woningetalage!$A$1:$ZZ$501,$A265,AR$3)))</f>
        <v/>
      </c>
      <c r="AS265" s="124" t="str">
        <f>IF($B265="","",IF(AS$3=0,"n.b.",INDEX(SRC_Woningetalage!$A$1:$ZZ$501,$A265,AS$3)))</f>
        <v/>
      </c>
      <c r="AT265" s="124" t="str">
        <f>IF($B265="","",IF(AT$3=0,"n.b.",INDEX(SRC_Woningetalage!$A$1:$ZZ$501,$A265,AT$3)))</f>
        <v/>
      </c>
      <c r="AU265" s="124" t="str">
        <f>IF($B265="","",IF(AU$3=0,"n.b.",INDEX(SRC_Woningetalage!$A$1:$ZZ$501,$A265,AU$3)))</f>
        <v/>
      </c>
      <c r="AV265" s="124" t="str">
        <f>IF($B265="","",IF(AV$3=0,"n.b.",INDEX(SRC_Woningetalage!$A$1:$ZZ$501,$A265,AV$3)))</f>
        <v/>
      </c>
      <c r="AW265" s="124" t="str">
        <f>IF($B265="","",IF(AW$3=0,"n.b.",INDEX(SRC_Woningetalage!$A$1:$ZZ$501,$A265,AW$3)))</f>
        <v/>
      </c>
      <c r="AX265" s="124" t="str">
        <f>IF($B265="","",IF(AX$3=0,"n.b.",INDEX(SRC_Woningetalage!$A$1:$ZZ$501,$A265,AX$3)))</f>
        <v/>
      </c>
      <c r="AY265" s="124" t="str">
        <f>IF($B265="","",IF(AY$3=0,"n.b.",INDEX(SRC_Woningetalage!$A$1:$ZZ$501,$A265,AY$3)))</f>
        <v/>
      </c>
      <c r="AZ265" s="124" t="str">
        <f>IF($B265="","",IF(AZ$3=0,"n.b.",INDEX(SRC_Woningetalage!$A$1:$ZZ$501,$A265,AZ$3)))</f>
        <v/>
      </c>
      <c r="BA265" s="124" t="str">
        <f>IF($B265="","",IF(BA$3=0,"n.b.",INDEX(SRC_Woningetalage!$A$1:$ZZ$501,$A265,BA$3)))</f>
        <v/>
      </c>
      <c r="BB265" s="124" t="str">
        <f>IF($B265="","",IF(BB$3=0,"n.b.",INDEX(SRC_Woningetalage!$A$1:$ZZ$501,$A265,BB$3)))</f>
        <v/>
      </c>
      <c r="BC265" s="124" t="str">
        <f>IF($B265="","",IFERROR(_xlfn.NUMBERVALUE(E265&amp;"",",","."),"n.b."))</f>
        <v/>
      </c>
      <c r="BD265" s="124" t="str">
        <f>IF($B265="","",IFERROR(_xlfn.NUMBERVALUE(M265&amp;"",",","."),"n.b."))</f>
        <v/>
      </c>
      <c r="BE265" s="124" t="str">
        <f>IF($B265="","",IFERROR(AB265+AC265+AD265,"n.b."))</f>
        <v/>
      </c>
      <c r="BF265" s="124" t="str">
        <f>IF($B265="","",IFERROR(AE265+AF265+AG265,"n.b."))</f>
        <v/>
      </c>
      <c r="BG265" s="124" t="str">
        <f>IF($B265="","",IFERROR(AH265+AI265+AJ265,"n.b."))</f>
        <v/>
      </c>
      <c r="BH265" s="124" t="str">
        <f>IF($B265="","",IFERROR(AK265+AL265+AM265,"n.b."))</f>
        <v/>
      </c>
      <c r="BI265" s="124" t="str">
        <f>IF($B265="","",IFERROR(SUMIF($AB$5:$AM$5,"&lt;="&amp;P_PeilMaand,AB265:AM265),"n.b."))</f>
        <v/>
      </c>
      <c r="BJ265" s="124" t="str">
        <f>IF($B265="","",IFERROR(SUM(AB265:AM265)-BI265,"n.b."))</f>
        <v/>
      </c>
      <c r="BK265" s="124" t="str">
        <f>IF($B265="","",IFERROR(IF(ABS(Q265-(T265+SUM(AB265:AM265)+AS265+AU265))&gt;P_Tol,1,0),1))</f>
        <v/>
      </c>
      <c r="BL265" s="124" t="str">
        <f>IF($B265="","",IFERROR(IF(ABS(AA265-(Q265-Z265))&gt;P_Tol,1,0),1))</f>
        <v/>
      </c>
      <c r="BM265" s="124" t="str">
        <f>IF($B265="","",IFERROR(IF(ABS(Z265-(T265+W265))&gt;P_Tol,1,0),1))</f>
        <v/>
      </c>
      <c r="BN265" s="124" t="str">
        <f>IF($B265="","",IFERROR(IF(ABS(W265-BI265)&gt;P_Tol,1,0),1))</f>
        <v/>
      </c>
      <c r="BO265" s="124" t="str">
        <f>IF($B265="","",IFERROR(IF(OR(ABS(R265+S265-T265)&gt;P_Tol,ABS(U265+V265-W265)&gt;P_Tol,ABS(X265+Y265-Z265)&gt;P_Tol),1,0),1))</f>
        <v/>
      </c>
      <c r="BP265" s="124" t="str">
        <f>IF($B265="","",IFERROR(IF(OR(ABS(AR265-SUM(AB265:AM265))&gt;P_Tol,ABS(AS265-(AN265+AO265+AP265+AQ265))&gt;P_Tol),1,0),1))</f>
        <v/>
      </c>
      <c r="BQ265" s="124" t="str">
        <f>IF($B265="","",IFERROR(IF(ABS(AT265)+ABS(AV265)+ABS(AW265)+ABS(AX265)+ABS(AY265)+ABS(AZ265)+ABS(BA265)+ABS(BB265)&gt;0,1,0),1))</f>
        <v/>
      </c>
      <c r="BR265" s="124" t="str">
        <f>IF($B265="","",COUNTIF(STG_ZPMW03!$B$6:$B$505,B265))</f>
        <v/>
      </c>
      <c r="BS265" s="124" t="str">
        <f>IF($B265="","",COUNTIF($B$6:$B$505,B265))</f>
        <v/>
      </c>
      <c r="BT265" s="124" t="str">
        <f>IF($B265="","",IF(BR265=0,0,IF(INDEX(STG_ZPMW03!$I$6:$I$505,MATCH(B265,STG_ZPMW03!$B$6:$B$505,0))=J265&amp;"",0,1)))</f>
        <v/>
      </c>
      <c r="BU265" s="124" t="str">
        <f>IF($B265="","",IFERROR(IF(ABS(INDEX(Mapping!$D$5:$D$104,MATCH(B265,Mapping!$A$5:$A$104,0))-Q265)&gt;P_Tol,1,0),0))</f>
        <v/>
      </c>
      <c r="BV265" s="124" t="str">
        <f>IF($B265="","",IFERROR(IF(AND(INDEX(Mapping!$G$5:$G$104,MATCH(B265,Mapping!$A$5:$A$104,0))="Nee",ABS(Q265)+ABS(Z265)+ABS(AR265)&gt;0),1,0),0))</f>
        <v/>
      </c>
      <c r="BW265" s="124" t="str">
        <f>IF($B265="","",IF(COUNTIF(Mapping!$A$5:$A$104,B265)&gt;0,1,0))</f>
        <v/>
      </c>
      <c r="BX265" s="124" t="str">
        <f>IF($B265="","",IF(BR265=0,COUNTIF($BR$6:BR265,0),""))</f>
        <v/>
      </c>
    </row>
    <row r="266">
      <c r="A266" s="15" t="n">
        <v>262</v>
      </c>
      <c r="B266" t="str">
        <f>IF(B$3=0,"",IF(INDEX(SRC_Woningetalage!$A$1:$ZZ$501,$A266,B$3)&amp;""="","",INDEX(SRC_Woningetalage!$A$1:$ZZ$501,$A266,B$3)&amp;""))</f>
        <v/>
      </c>
      <c r="C266" t="str">
        <f>IF($B266="","",IF(C$3=0,"n.b.",INDEX(SRC_Woningetalage!$A$1:$ZZ$501,$A266,C$3)))</f>
        <v/>
      </c>
      <c r="D266" t="str">
        <f>IF($B266="","",IF(D$3=0,"n.b.",INDEX(SRC_Woningetalage!$A$1:$ZZ$501,$A266,D$3)))</f>
        <v/>
      </c>
      <c r="E266" t="str">
        <f>IF($B266="","",IF(E$3=0,"n.b.",INDEX(SRC_Woningetalage!$A$1:$ZZ$501,$A266,E$3)))</f>
        <v/>
      </c>
      <c r="F266" t="str">
        <f>IF($B266="","",IF(F$3=0,"n.b.",INDEX(SRC_Woningetalage!$A$1:$ZZ$501,$A266,F$3)))</f>
        <v/>
      </c>
      <c r="G266" t="str">
        <f>IF($B266="","",IF(G$3=0,"n.b.",INDEX(SRC_Woningetalage!$A$1:$ZZ$501,$A266,G$3)))</f>
        <v/>
      </c>
      <c r="H266" t="str">
        <f>IF($B266="","",IF(H$3=0,"n.b.",INDEX(SRC_Woningetalage!$A$1:$ZZ$501,$A266,H$3)))</f>
        <v/>
      </c>
      <c r="I266" t="str">
        <f>IF($B266="","",IF(I$3=0,"n.b.",INDEX(SRC_Woningetalage!$A$1:$ZZ$501,$A266,I$3)))</f>
        <v/>
      </c>
      <c r="J266" t="str">
        <f>IF($B266="","",IF(J$3=0,"n.b.",INDEX(SRC_Woningetalage!$A$1:$ZZ$501,$A266,J$3)))</f>
        <v/>
      </c>
      <c r="K266" t="str">
        <f>IF($B266="","",IF(K$3=0,"n.b.",INDEX(SRC_Woningetalage!$A$1:$ZZ$501,$A266,K$3)))</f>
        <v/>
      </c>
      <c r="L266" t="str">
        <f>IF($B266="","",IF(L$3=0,"n.b.",INDEX(SRC_Woningetalage!$A$1:$ZZ$501,$A266,L$3)))</f>
        <v/>
      </c>
      <c r="M266" t="str">
        <f>IF($B266="","",IF(M$3=0,"n.b.",INDEX(SRC_Woningetalage!$A$1:$ZZ$501,$A266,M$3)))</f>
        <v/>
      </c>
      <c r="N266" t="str">
        <f>IF($B266="","",IF(N$3=0,"n.b.",INDEX(SRC_Woningetalage!$A$1:$ZZ$501,$A266,N$3)))</f>
        <v/>
      </c>
      <c r="O266" t="str">
        <f>IF($B266="","",IF(O$3=0,"n.b.",INDEX(SRC_Woningetalage!$A$1:$ZZ$501,$A266,O$3)))</f>
        <v/>
      </c>
      <c r="P266" t="str">
        <f>IF($B266="","",IF(P$3=0,"n.b.",INDEX(SRC_Woningetalage!$A$1:$ZZ$501,$A266,P$3)))</f>
        <v/>
      </c>
      <c r="Q266" s="124" t="str">
        <f>IF($B266="","",IF(Q$3=0,"n.b.",INDEX(SRC_Woningetalage!$A$1:$ZZ$501,$A266,Q$3)))</f>
        <v/>
      </c>
      <c r="R266" s="124" t="str">
        <f>IF($B266="","",IF(R$3=0,"n.b.",INDEX(SRC_Woningetalage!$A$1:$ZZ$501,$A266,R$3)))</f>
        <v/>
      </c>
      <c r="S266" s="124" t="str">
        <f>IF($B266="","",IF(S$3=0,"n.b.",INDEX(SRC_Woningetalage!$A$1:$ZZ$501,$A266,S$3)))</f>
        <v/>
      </c>
      <c r="T266" s="124" t="str">
        <f>IF($B266="","",IF(T$3=0,"n.b.",INDEX(SRC_Woningetalage!$A$1:$ZZ$501,$A266,T$3)))</f>
        <v/>
      </c>
      <c r="U266" s="124" t="str">
        <f>IF($B266="","",IF(U$3=0,"n.b.",INDEX(SRC_Woningetalage!$A$1:$ZZ$501,$A266,U$3)))</f>
        <v/>
      </c>
      <c r="V266" s="124" t="str">
        <f>IF($B266="","",IF(V$3=0,"n.b.",INDEX(SRC_Woningetalage!$A$1:$ZZ$501,$A266,V$3)))</f>
        <v/>
      </c>
      <c r="W266" s="124" t="str">
        <f>IF($B266="","",IF(W$3=0,"n.b.",INDEX(SRC_Woningetalage!$A$1:$ZZ$501,$A266,W$3)))</f>
        <v/>
      </c>
      <c r="X266" s="124" t="str">
        <f>IF($B266="","",IF(X$3=0,"n.b.",INDEX(SRC_Woningetalage!$A$1:$ZZ$501,$A266,X$3)))</f>
        <v/>
      </c>
      <c r="Y266" s="124" t="str">
        <f>IF($B266="","",IF(Y$3=0,"n.b.",INDEX(SRC_Woningetalage!$A$1:$ZZ$501,$A266,Y$3)))</f>
        <v/>
      </c>
      <c r="Z266" s="124" t="str">
        <f>IF($B266="","",IF(Z$3=0,"n.b.",INDEX(SRC_Woningetalage!$A$1:$ZZ$501,$A266,Z$3)))</f>
        <v/>
      </c>
      <c r="AA266" s="124" t="str">
        <f>IF($B266="","",IF(AA$3=0,"n.b.",INDEX(SRC_Woningetalage!$A$1:$ZZ$501,$A266,AA$3)))</f>
        <v/>
      </c>
      <c r="AB266" s="124" t="str">
        <f>IF($B266="","",IF(AB$3=0,"n.b.",INDEX(SRC_Woningetalage!$A$1:$ZZ$501,$A266,AB$3)))</f>
        <v/>
      </c>
      <c r="AC266" s="124" t="str">
        <f>IF($B266="","",IF(AC$3=0,"n.b.",INDEX(SRC_Woningetalage!$A$1:$ZZ$501,$A266,AC$3)))</f>
        <v/>
      </c>
      <c r="AD266" s="124" t="str">
        <f>IF($B266="","",IF(AD$3=0,"n.b.",INDEX(SRC_Woningetalage!$A$1:$ZZ$501,$A266,AD$3)))</f>
        <v/>
      </c>
      <c r="AE266" s="124" t="str">
        <f>IF($B266="","",IF(AE$3=0,"n.b.",INDEX(SRC_Woningetalage!$A$1:$ZZ$501,$A266,AE$3)))</f>
        <v/>
      </c>
      <c r="AF266" s="124" t="str">
        <f>IF($B266="","",IF(AF$3=0,"n.b.",INDEX(SRC_Woningetalage!$A$1:$ZZ$501,$A266,AF$3)))</f>
        <v/>
      </c>
      <c r="AG266" s="124" t="str">
        <f>IF($B266="","",IF(AG$3=0,"n.b.",INDEX(SRC_Woningetalage!$A$1:$ZZ$501,$A266,AG$3)))</f>
        <v/>
      </c>
      <c r="AH266" s="124" t="str">
        <f>IF($B266="","",IF(AH$3=0,"n.b.",INDEX(SRC_Woningetalage!$A$1:$ZZ$501,$A266,AH$3)))</f>
        <v/>
      </c>
      <c r="AI266" s="124" t="str">
        <f>IF($B266="","",IF(AI$3=0,"n.b.",INDEX(SRC_Woningetalage!$A$1:$ZZ$501,$A266,AI$3)))</f>
        <v/>
      </c>
      <c r="AJ266" s="124" t="str">
        <f>IF($B266="","",IF(AJ$3=0,"n.b.",INDEX(SRC_Woningetalage!$A$1:$ZZ$501,$A266,AJ$3)))</f>
        <v/>
      </c>
      <c r="AK266" s="124" t="str">
        <f>IF($B266="","",IF(AK$3=0,"n.b.",INDEX(SRC_Woningetalage!$A$1:$ZZ$501,$A266,AK$3)))</f>
        <v/>
      </c>
      <c r="AL266" s="124" t="str">
        <f>IF($B266="","",IF(AL$3=0,"n.b.",INDEX(SRC_Woningetalage!$A$1:$ZZ$501,$A266,AL$3)))</f>
        <v/>
      </c>
      <c r="AM266" s="124" t="str">
        <f>IF($B266="","",IF(AM$3=0,"n.b.",INDEX(SRC_Woningetalage!$A$1:$ZZ$501,$A266,AM$3)))</f>
        <v/>
      </c>
      <c r="AN266" s="124" t="str">
        <f>IF($B266="","",IF(AN$3=0,"n.b.",INDEX(SRC_Woningetalage!$A$1:$ZZ$501,$A266,AN$3)))</f>
        <v/>
      </c>
      <c r="AO266" s="124" t="str">
        <f>IF($B266="","",IF(AO$3=0,"n.b.",INDEX(SRC_Woningetalage!$A$1:$ZZ$501,$A266,AO$3)))</f>
        <v/>
      </c>
      <c r="AP266" s="124" t="str">
        <f>IF($B266="","",IF(AP$3=0,"n.b.",INDEX(SRC_Woningetalage!$A$1:$ZZ$501,$A266,AP$3)))</f>
        <v/>
      </c>
      <c r="AQ266" s="124" t="str">
        <f>IF($B266="","",IF(AQ$3=0,"n.b.",INDEX(SRC_Woningetalage!$A$1:$ZZ$501,$A266,AQ$3)))</f>
        <v/>
      </c>
      <c r="AR266" s="124" t="str">
        <f>IF($B266="","",IF(AR$3=0,"n.b.",INDEX(SRC_Woningetalage!$A$1:$ZZ$501,$A266,AR$3)))</f>
        <v/>
      </c>
      <c r="AS266" s="124" t="str">
        <f>IF($B266="","",IF(AS$3=0,"n.b.",INDEX(SRC_Woningetalage!$A$1:$ZZ$501,$A266,AS$3)))</f>
        <v/>
      </c>
      <c r="AT266" s="124" t="str">
        <f>IF($B266="","",IF(AT$3=0,"n.b.",INDEX(SRC_Woningetalage!$A$1:$ZZ$501,$A266,AT$3)))</f>
        <v/>
      </c>
      <c r="AU266" s="124" t="str">
        <f>IF($B266="","",IF(AU$3=0,"n.b.",INDEX(SRC_Woningetalage!$A$1:$ZZ$501,$A266,AU$3)))</f>
        <v/>
      </c>
      <c r="AV266" s="124" t="str">
        <f>IF($B266="","",IF(AV$3=0,"n.b.",INDEX(SRC_Woningetalage!$A$1:$ZZ$501,$A266,AV$3)))</f>
        <v/>
      </c>
      <c r="AW266" s="124" t="str">
        <f>IF($B266="","",IF(AW$3=0,"n.b.",INDEX(SRC_Woningetalage!$A$1:$ZZ$501,$A266,AW$3)))</f>
        <v/>
      </c>
      <c r="AX266" s="124" t="str">
        <f>IF($B266="","",IF(AX$3=0,"n.b.",INDEX(SRC_Woningetalage!$A$1:$ZZ$501,$A266,AX$3)))</f>
        <v/>
      </c>
      <c r="AY266" s="124" t="str">
        <f>IF($B266="","",IF(AY$3=0,"n.b.",INDEX(SRC_Woningetalage!$A$1:$ZZ$501,$A266,AY$3)))</f>
        <v/>
      </c>
      <c r="AZ266" s="124" t="str">
        <f>IF($B266="","",IF(AZ$3=0,"n.b.",INDEX(SRC_Woningetalage!$A$1:$ZZ$501,$A266,AZ$3)))</f>
        <v/>
      </c>
      <c r="BA266" s="124" t="str">
        <f>IF($B266="","",IF(BA$3=0,"n.b.",INDEX(SRC_Woningetalage!$A$1:$ZZ$501,$A266,BA$3)))</f>
        <v/>
      </c>
      <c r="BB266" s="124" t="str">
        <f>IF($B266="","",IF(BB$3=0,"n.b.",INDEX(SRC_Woningetalage!$A$1:$ZZ$501,$A266,BB$3)))</f>
        <v/>
      </c>
      <c r="BC266" s="124" t="str">
        <f>IF($B266="","",IFERROR(_xlfn.NUMBERVALUE(E266&amp;"",",","."),"n.b."))</f>
        <v/>
      </c>
      <c r="BD266" s="124" t="str">
        <f>IF($B266="","",IFERROR(_xlfn.NUMBERVALUE(M266&amp;"",",","."),"n.b."))</f>
        <v/>
      </c>
      <c r="BE266" s="124" t="str">
        <f>IF($B266="","",IFERROR(AB266+AC266+AD266,"n.b."))</f>
        <v/>
      </c>
      <c r="BF266" s="124" t="str">
        <f>IF($B266="","",IFERROR(AE266+AF266+AG266,"n.b."))</f>
        <v/>
      </c>
      <c r="BG266" s="124" t="str">
        <f>IF($B266="","",IFERROR(AH266+AI266+AJ266,"n.b."))</f>
        <v/>
      </c>
      <c r="BH266" s="124" t="str">
        <f>IF($B266="","",IFERROR(AK266+AL266+AM266,"n.b."))</f>
        <v/>
      </c>
      <c r="BI266" s="124" t="str">
        <f>IF($B266="","",IFERROR(SUMIF($AB$5:$AM$5,"&lt;="&amp;P_PeilMaand,AB266:AM266),"n.b."))</f>
        <v/>
      </c>
      <c r="BJ266" s="124" t="str">
        <f>IF($B266="","",IFERROR(SUM(AB266:AM266)-BI266,"n.b."))</f>
        <v/>
      </c>
      <c r="BK266" s="124" t="str">
        <f>IF($B266="","",IFERROR(IF(ABS(Q266-(T266+SUM(AB266:AM266)+AS266+AU266))&gt;P_Tol,1,0),1))</f>
        <v/>
      </c>
      <c r="BL266" s="124" t="str">
        <f>IF($B266="","",IFERROR(IF(ABS(AA266-(Q266-Z266))&gt;P_Tol,1,0),1))</f>
        <v/>
      </c>
      <c r="BM266" s="124" t="str">
        <f>IF($B266="","",IFERROR(IF(ABS(Z266-(T266+W266))&gt;P_Tol,1,0),1))</f>
        <v/>
      </c>
      <c r="BN266" s="124" t="str">
        <f>IF($B266="","",IFERROR(IF(ABS(W266-BI266)&gt;P_Tol,1,0),1))</f>
        <v/>
      </c>
      <c r="BO266" s="124" t="str">
        <f>IF($B266="","",IFERROR(IF(OR(ABS(R266+S266-T266)&gt;P_Tol,ABS(U266+V266-W266)&gt;P_Tol,ABS(X266+Y266-Z266)&gt;P_Tol),1,0),1))</f>
        <v/>
      </c>
      <c r="BP266" s="124" t="str">
        <f>IF($B266="","",IFERROR(IF(OR(ABS(AR266-SUM(AB266:AM266))&gt;P_Tol,ABS(AS266-(AN266+AO266+AP266+AQ266))&gt;P_Tol),1,0),1))</f>
        <v/>
      </c>
      <c r="BQ266" s="124" t="str">
        <f>IF($B266="","",IFERROR(IF(ABS(AT266)+ABS(AV266)+ABS(AW266)+ABS(AX266)+ABS(AY266)+ABS(AZ266)+ABS(BA266)+ABS(BB266)&gt;0,1,0),1))</f>
        <v/>
      </c>
      <c r="BR266" s="124" t="str">
        <f>IF($B266="","",COUNTIF(STG_ZPMW03!$B$6:$B$505,B266))</f>
        <v/>
      </c>
      <c r="BS266" s="124" t="str">
        <f>IF($B266="","",COUNTIF($B$6:$B$505,B266))</f>
        <v/>
      </c>
      <c r="BT266" s="124" t="str">
        <f>IF($B266="","",IF(BR266=0,0,IF(INDEX(STG_ZPMW03!$I$6:$I$505,MATCH(B266,STG_ZPMW03!$B$6:$B$505,0))=J266&amp;"",0,1)))</f>
        <v/>
      </c>
      <c r="BU266" s="124" t="str">
        <f>IF($B266="","",IFERROR(IF(ABS(INDEX(Mapping!$D$5:$D$104,MATCH(B266,Mapping!$A$5:$A$104,0))-Q266)&gt;P_Tol,1,0),0))</f>
        <v/>
      </c>
      <c r="BV266" s="124" t="str">
        <f>IF($B266="","",IFERROR(IF(AND(INDEX(Mapping!$G$5:$G$104,MATCH(B266,Mapping!$A$5:$A$104,0))="Nee",ABS(Q266)+ABS(Z266)+ABS(AR266)&gt;0),1,0),0))</f>
        <v/>
      </c>
      <c r="BW266" s="124" t="str">
        <f>IF($B266="","",IF(COUNTIF(Mapping!$A$5:$A$104,B266)&gt;0,1,0))</f>
        <v/>
      </c>
      <c r="BX266" s="124" t="str">
        <f>IF($B266="","",IF(BR266=0,COUNTIF($BR$6:BR266,0),""))</f>
        <v/>
      </c>
    </row>
    <row r="267">
      <c r="A267" s="15" t="n">
        <v>263</v>
      </c>
      <c r="B267" t="str">
        <f>IF(B$3=0,"",IF(INDEX(SRC_Woningetalage!$A$1:$ZZ$501,$A267,B$3)&amp;""="","",INDEX(SRC_Woningetalage!$A$1:$ZZ$501,$A267,B$3)&amp;""))</f>
        <v/>
      </c>
      <c r="C267" t="str">
        <f>IF($B267="","",IF(C$3=0,"n.b.",INDEX(SRC_Woningetalage!$A$1:$ZZ$501,$A267,C$3)))</f>
        <v/>
      </c>
      <c r="D267" t="str">
        <f>IF($B267="","",IF(D$3=0,"n.b.",INDEX(SRC_Woningetalage!$A$1:$ZZ$501,$A267,D$3)))</f>
        <v/>
      </c>
      <c r="E267" t="str">
        <f>IF($B267="","",IF(E$3=0,"n.b.",INDEX(SRC_Woningetalage!$A$1:$ZZ$501,$A267,E$3)))</f>
        <v/>
      </c>
      <c r="F267" t="str">
        <f>IF($B267="","",IF(F$3=0,"n.b.",INDEX(SRC_Woningetalage!$A$1:$ZZ$501,$A267,F$3)))</f>
        <v/>
      </c>
      <c r="G267" t="str">
        <f>IF($B267="","",IF(G$3=0,"n.b.",INDEX(SRC_Woningetalage!$A$1:$ZZ$501,$A267,G$3)))</f>
        <v/>
      </c>
      <c r="H267" t="str">
        <f>IF($B267="","",IF(H$3=0,"n.b.",INDEX(SRC_Woningetalage!$A$1:$ZZ$501,$A267,H$3)))</f>
        <v/>
      </c>
      <c r="I267" t="str">
        <f>IF($B267="","",IF(I$3=0,"n.b.",INDEX(SRC_Woningetalage!$A$1:$ZZ$501,$A267,I$3)))</f>
        <v/>
      </c>
      <c r="J267" t="str">
        <f>IF($B267="","",IF(J$3=0,"n.b.",INDEX(SRC_Woningetalage!$A$1:$ZZ$501,$A267,J$3)))</f>
        <v/>
      </c>
      <c r="K267" t="str">
        <f>IF($B267="","",IF(K$3=0,"n.b.",INDEX(SRC_Woningetalage!$A$1:$ZZ$501,$A267,K$3)))</f>
        <v/>
      </c>
      <c r="L267" t="str">
        <f>IF($B267="","",IF(L$3=0,"n.b.",INDEX(SRC_Woningetalage!$A$1:$ZZ$501,$A267,L$3)))</f>
        <v/>
      </c>
      <c r="M267" t="str">
        <f>IF($B267="","",IF(M$3=0,"n.b.",INDEX(SRC_Woningetalage!$A$1:$ZZ$501,$A267,M$3)))</f>
        <v/>
      </c>
      <c r="N267" t="str">
        <f>IF($B267="","",IF(N$3=0,"n.b.",INDEX(SRC_Woningetalage!$A$1:$ZZ$501,$A267,N$3)))</f>
        <v/>
      </c>
      <c r="O267" t="str">
        <f>IF($B267="","",IF(O$3=0,"n.b.",INDEX(SRC_Woningetalage!$A$1:$ZZ$501,$A267,O$3)))</f>
        <v/>
      </c>
      <c r="P267" t="str">
        <f>IF($B267="","",IF(P$3=0,"n.b.",INDEX(SRC_Woningetalage!$A$1:$ZZ$501,$A267,P$3)))</f>
        <v/>
      </c>
      <c r="Q267" s="124" t="str">
        <f>IF($B267="","",IF(Q$3=0,"n.b.",INDEX(SRC_Woningetalage!$A$1:$ZZ$501,$A267,Q$3)))</f>
        <v/>
      </c>
      <c r="R267" s="124" t="str">
        <f>IF($B267="","",IF(R$3=0,"n.b.",INDEX(SRC_Woningetalage!$A$1:$ZZ$501,$A267,R$3)))</f>
        <v/>
      </c>
      <c r="S267" s="124" t="str">
        <f>IF($B267="","",IF(S$3=0,"n.b.",INDEX(SRC_Woningetalage!$A$1:$ZZ$501,$A267,S$3)))</f>
        <v/>
      </c>
      <c r="T267" s="124" t="str">
        <f>IF($B267="","",IF(T$3=0,"n.b.",INDEX(SRC_Woningetalage!$A$1:$ZZ$501,$A267,T$3)))</f>
        <v/>
      </c>
      <c r="U267" s="124" t="str">
        <f>IF($B267="","",IF(U$3=0,"n.b.",INDEX(SRC_Woningetalage!$A$1:$ZZ$501,$A267,U$3)))</f>
        <v/>
      </c>
      <c r="V267" s="124" t="str">
        <f>IF($B267="","",IF(V$3=0,"n.b.",INDEX(SRC_Woningetalage!$A$1:$ZZ$501,$A267,V$3)))</f>
        <v/>
      </c>
      <c r="W267" s="124" t="str">
        <f>IF($B267="","",IF(W$3=0,"n.b.",INDEX(SRC_Woningetalage!$A$1:$ZZ$501,$A267,W$3)))</f>
        <v/>
      </c>
      <c r="X267" s="124" t="str">
        <f>IF($B267="","",IF(X$3=0,"n.b.",INDEX(SRC_Woningetalage!$A$1:$ZZ$501,$A267,X$3)))</f>
        <v/>
      </c>
      <c r="Y267" s="124" t="str">
        <f>IF($B267="","",IF(Y$3=0,"n.b.",INDEX(SRC_Woningetalage!$A$1:$ZZ$501,$A267,Y$3)))</f>
        <v/>
      </c>
      <c r="Z267" s="124" t="str">
        <f>IF($B267="","",IF(Z$3=0,"n.b.",INDEX(SRC_Woningetalage!$A$1:$ZZ$501,$A267,Z$3)))</f>
        <v/>
      </c>
      <c r="AA267" s="124" t="str">
        <f>IF($B267="","",IF(AA$3=0,"n.b.",INDEX(SRC_Woningetalage!$A$1:$ZZ$501,$A267,AA$3)))</f>
        <v/>
      </c>
      <c r="AB267" s="124" t="str">
        <f>IF($B267="","",IF(AB$3=0,"n.b.",INDEX(SRC_Woningetalage!$A$1:$ZZ$501,$A267,AB$3)))</f>
        <v/>
      </c>
      <c r="AC267" s="124" t="str">
        <f>IF($B267="","",IF(AC$3=0,"n.b.",INDEX(SRC_Woningetalage!$A$1:$ZZ$501,$A267,AC$3)))</f>
        <v/>
      </c>
      <c r="AD267" s="124" t="str">
        <f>IF($B267="","",IF(AD$3=0,"n.b.",INDEX(SRC_Woningetalage!$A$1:$ZZ$501,$A267,AD$3)))</f>
        <v/>
      </c>
      <c r="AE267" s="124" t="str">
        <f>IF($B267="","",IF(AE$3=0,"n.b.",INDEX(SRC_Woningetalage!$A$1:$ZZ$501,$A267,AE$3)))</f>
        <v/>
      </c>
      <c r="AF267" s="124" t="str">
        <f>IF($B267="","",IF(AF$3=0,"n.b.",INDEX(SRC_Woningetalage!$A$1:$ZZ$501,$A267,AF$3)))</f>
        <v/>
      </c>
      <c r="AG267" s="124" t="str">
        <f>IF($B267="","",IF(AG$3=0,"n.b.",INDEX(SRC_Woningetalage!$A$1:$ZZ$501,$A267,AG$3)))</f>
        <v/>
      </c>
      <c r="AH267" s="124" t="str">
        <f>IF($B267="","",IF(AH$3=0,"n.b.",INDEX(SRC_Woningetalage!$A$1:$ZZ$501,$A267,AH$3)))</f>
        <v/>
      </c>
      <c r="AI267" s="124" t="str">
        <f>IF($B267="","",IF(AI$3=0,"n.b.",INDEX(SRC_Woningetalage!$A$1:$ZZ$501,$A267,AI$3)))</f>
        <v/>
      </c>
      <c r="AJ267" s="124" t="str">
        <f>IF($B267="","",IF(AJ$3=0,"n.b.",INDEX(SRC_Woningetalage!$A$1:$ZZ$501,$A267,AJ$3)))</f>
        <v/>
      </c>
      <c r="AK267" s="124" t="str">
        <f>IF($B267="","",IF(AK$3=0,"n.b.",INDEX(SRC_Woningetalage!$A$1:$ZZ$501,$A267,AK$3)))</f>
        <v/>
      </c>
      <c r="AL267" s="124" t="str">
        <f>IF($B267="","",IF(AL$3=0,"n.b.",INDEX(SRC_Woningetalage!$A$1:$ZZ$501,$A267,AL$3)))</f>
        <v/>
      </c>
      <c r="AM267" s="124" t="str">
        <f>IF($B267="","",IF(AM$3=0,"n.b.",INDEX(SRC_Woningetalage!$A$1:$ZZ$501,$A267,AM$3)))</f>
        <v/>
      </c>
      <c r="AN267" s="124" t="str">
        <f>IF($B267="","",IF(AN$3=0,"n.b.",INDEX(SRC_Woningetalage!$A$1:$ZZ$501,$A267,AN$3)))</f>
        <v/>
      </c>
      <c r="AO267" s="124" t="str">
        <f>IF($B267="","",IF(AO$3=0,"n.b.",INDEX(SRC_Woningetalage!$A$1:$ZZ$501,$A267,AO$3)))</f>
        <v/>
      </c>
      <c r="AP267" s="124" t="str">
        <f>IF($B267="","",IF(AP$3=0,"n.b.",INDEX(SRC_Woningetalage!$A$1:$ZZ$501,$A267,AP$3)))</f>
        <v/>
      </c>
      <c r="AQ267" s="124" t="str">
        <f>IF($B267="","",IF(AQ$3=0,"n.b.",INDEX(SRC_Woningetalage!$A$1:$ZZ$501,$A267,AQ$3)))</f>
        <v/>
      </c>
      <c r="AR267" s="124" t="str">
        <f>IF($B267="","",IF(AR$3=0,"n.b.",INDEX(SRC_Woningetalage!$A$1:$ZZ$501,$A267,AR$3)))</f>
        <v/>
      </c>
      <c r="AS267" s="124" t="str">
        <f>IF($B267="","",IF(AS$3=0,"n.b.",INDEX(SRC_Woningetalage!$A$1:$ZZ$501,$A267,AS$3)))</f>
        <v/>
      </c>
      <c r="AT267" s="124" t="str">
        <f>IF($B267="","",IF(AT$3=0,"n.b.",INDEX(SRC_Woningetalage!$A$1:$ZZ$501,$A267,AT$3)))</f>
        <v/>
      </c>
      <c r="AU267" s="124" t="str">
        <f>IF($B267="","",IF(AU$3=0,"n.b.",INDEX(SRC_Woningetalage!$A$1:$ZZ$501,$A267,AU$3)))</f>
        <v/>
      </c>
      <c r="AV267" s="124" t="str">
        <f>IF($B267="","",IF(AV$3=0,"n.b.",INDEX(SRC_Woningetalage!$A$1:$ZZ$501,$A267,AV$3)))</f>
        <v/>
      </c>
      <c r="AW267" s="124" t="str">
        <f>IF($B267="","",IF(AW$3=0,"n.b.",INDEX(SRC_Woningetalage!$A$1:$ZZ$501,$A267,AW$3)))</f>
        <v/>
      </c>
      <c r="AX267" s="124" t="str">
        <f>IF($B267="","",IF(AX$3=0,"n.b.",INDEX(SRC_Woningetalage!$A$1:$ZZ$501,$A267,AX$3)))</f>
        <v/>
      </c>
      <c r="AY267" s="124" t="str">
        <f>IF($B267="","",IF(AY$3=0,"n.b.",INDEX(SRC_Woningetalage!$A$1:$ZZ$501,$A267,AY$3)))</f>
        <v/>
      </c>
      <c r="AZ267" s="124" t="str">
        <f>IF($B267="","",IF(AZ$3=0,"n.b.",INDEX(SRC_Woningetalage!$A$1:$ZZ$501,$A267,AZ$3)))</f>
        <v/>
      </c>
      <c r="BA267" s="124" t="str">
        <f>IF($B267="","",IF(BA$3=0,"n.b.",INDEX(SRC_Woningetalage!$A$1:$ZZ$501,$A267,BA$3)))</f>
        <v/>
      </c>
      <c r="BB267" s="124" t="str">
        <f>IF($B267="","",IF(BB$3=0,"n.b.",INDEX(SRC_Woningetalage!$A$1:$ZZ$501,$A267,BB$3)))</f>
        <v/>
      </c>
      <c r="BC267" s="124" t="str">
        <f>IF($B267="","",IFERROR(_xlfn.NUMBERVALUE(E267&amp;"",",","."),"n.b."))</f>
        <v/>
      </c>
      <c r="BD267" s="124" t="str">
        <f>IF($B267="","",IFERROR(_xlfn.NUMBERVALUE(M267&amp;"",",","."),"n.b."))</f>
        <v/>
      </c>
      <c r="BE267" s="124" t="str">
        <f>IF($B267="","",IFERROR(AB267+AC267+AD267,"n.b."))</f>
        <v/>
      </c>
      <c r="BF267" s="124" t="str">
        <f>IF($B267="","",IFERROR(AE267+AF267+AG267,"n.b."))</f>
        <v/>
      </c>
      <c r="BG267" s="124" t="str">
        <f>IF($B267="","",IFERROR(AH267+AI267+AJ267,"n.b."))</f>
        <v/>
      </c>
      <c r="BH267" s="124" t="str">
        <f>IF($B267="","",IFERROR(AK267+AL267+AM267,"n.b."))</f>
        <v/>
      </c>
      <c r="BI267" s="124" t="str">
        <f>IF($B267="","",IFERROR(SUMIF($AB$5:$AM$5,"&lt;="&amp;P_PeilMaand,AB267:AM267),"n.b."))</f>
        <v/>
      </c>
      <c r="BJ267" s="124" t="str">
        <f>IF($B267="","",IFERROR(SUM(AB267:AM267)-BI267,"n.b."))</f>
        <v/>
      </c>
      <c r="BK267" s="124" t="str">
        <f>IF($B267="","",IFERROR(IF(ABS(Q267-(T267+SUM(AB267:AM267)+AS267+AU267))&gt;P_Tol,1,0),1))</f>
        <v/>
      </c>
      <c r="BL267" s="124" t="str">
        <f>IF($B267="","",IFERROR(IF(ABS(AA267-(Q267-Z267))&gt;P_Tol,1,0),1))</f>
        <v/>
      </c>
      <c r="BM267" s="124" t="str">
        <f>IF($B267="","",IFERROR(IF(ABS(Z267-(T267+W267))&gt;P_Tol,1,0),1))</f>
        <v/>
      </c>
      <c r="BN267" s="124" t="str">
        <f>IF($B267="","",IFERROR(IF(ABS(W267-BI267)&gt;P_Tol,1,0),1))</f>
        <v/>
      </c>
      <c r="BO267" s="124" t="str">
        <f>IF($B267="","",IFERROR(IF(OR(ABS(R267+S267-T267)&gt;P_Tol,ABS(U267+V267-W267)&gt;P_Tol,ABS(X267+Y267-Z267)&gt;P_Tol),1,0),1))</f>
        <v/>
      </c>
      <c r="BP267" s="124" t="str">
        <f>IF($B267="","",IFERROR(IF(OR(ABS(AR267-SUM(AB267:AM267))&gt;P_Tol,ABS(AS267-(AN267+AO267+AP267+AQ267))&gt;P_Tol),1,0),1))</f>
        <v/>
      </c>
      <c r="BQ267" s="124" t="str">
        <f>IF($B267="","",IFERROR(IF(ABS(AT267)+ABS(AV267)+ABS(AW267)+ABS(AX267)+ABS(AY267)+ABS(AZ267)+ABS(BA267)+ABS(BB267)&gt;0,1,0),1))</f>
        <v/>
      </c>
      <c r="BR267" s="124" t="str">
        <f>IF($B267="","",COUNTIF(STG_ZPMW03!$B$6:$B$505,B267))</f>
        <v/>
      </c>
      <c r="BS267" s="124" t="str">
        <f>IF($B267="","",COUNTIF($B$6:$B$505,B267))</f>
        <v/>
      </c>
      <c r="BT267" s="124" t="str">
        <f>IF($B267="","",IF(BR267=0,0,IF(INDEX(STG_ZPMW03!$I$6:$I$505,MATCH(B267,STG_ZPMW03!$B$6:$B$505,0))=J267&amp;"",0,1)))</f>
        <v/>
      </c>
      <c r="BU267" s="124" t="str">
        <f>IF($B267="","",IFERROR(IF(ABS(INDEX(Mapping!$D$5:$D$104,MATCH(B267,Mapping!$A$5:$A$104,0))-Q267)&gt;P_Tol,1,0),0))</f>
        <v/>
      </c>
      <c r="BV267" s="124" t="str">
        <f>IF($B267="","",IFERROR(IF(AND(INDEX(Mapping!$G$5:$G$104,MATCH(B267,Mapping!$A$5:$A$104,0))="Nee",ABS(Q267)+ABS(Z267)+ABS(AR267)&gt;0),1,0),0))</f>
        <v/>
      </c>
      <c r="BW267" s="124" t="str">
        <f>IF($B267="","",IF(COUNTIF(Mapping!$A$5:$A$104,B267)&gt;0,1,0))</f>
        <v/>
      </c>
      <c r="BX267" s="124" t="str">
        <f>IF($B267="","",IF(BR267=0,COUNTIF($BR$6:BR267,0),""))</f>
        <v/>
      </c>
    </row>
    <row r="268">
      <c r="A268" s="15" t="n">
        <v>264</v>
      </c>
      <c r="B268" t="str">
        <f>IF(B$3=0,"",IF(INDEX(SRC_Woningetalage!$A$1:$ZZ$501,$A268,B$3)&amp;""="","",INDEX(SRC_Woningetalage!$A$1:$ZZ$501,$A268,B$3)&amp;""))</f>
        <v/>
      </c>
      <c r="C268" t="str">
        <f>IF($B268="","",IF(C$3=0,"n.b.",INDEX(SRC_Woningetalage!$A$1:$ZZ$501,$A268,C$3)))</f>
        <v/>
      </c>
      <c r="D268" t="str">
        <f>IF($B268="","",IF(D$3=0,"n.b.",INDEX(SRC_Woningetalage!$A$1:$ZZ$501,$A268,D$3)))</f>
        <v/>
      </c>
      <c r="E268" t="str">
        <f>IF($B268="","",IF(E$3=0,"n.b.",INDEX(SRC_Woningetalage!$A$1:$ZZ$501,$A268,E$3)))</f>
        <v/>
      </c>
      <c r="F268" t="str">
        <f>IF($B268="","",IF(F$3=0,"n.b.",INDEX(SRC_Woningetalage!$A$1:$ZZ$501,$A268,F$3)))</f>
        <v/>
      </c>
      <c r="G268" t="str">
        <f>IF($B268="","",IF(G$3=0,"n.b.",INDEX(SRC_Woningetalage!$A$1:$ZZ$501,$A268,G$3)))</f>
        <v/>
      </c>
      <c r="H268" t="str">
        <f>IF($B268="","",IF(H$3=0,"n.b.",INDEX(SRC_Woningetalage!$A$1:$ZZ$501,$A268,H$3)))</f>
        <v/>
      </c>
      <c r="I268" t="str">
        <f>IF($B268="","",IF(I$3=0,"n.b.",INDEX(SRC_Woningetalage!$A$1:$ZZ$501,$A268,I$3)))</f>
        <v/>
      </c>
      <c r="J268" t="str">
        <f>IF($B268="","",IF(J$3=0,"n.b.",INDEX(SRC_Woningetalage!$A$1:$ZZ$501,$A268,J$3)))</f>
        <v/>
      </c>
      <c r="K268" t="str">
        <f>IF($B268="","",IF(K$3=0,"n.b.",INDEX(SRC_Woningetalage!$A$1:$ZZ$501,$A268,K$3)))</f>
        <v/>
      </c>
      <c r="L268" t="str">
        <f>IF($B268="","",IF(L$3=0,"n.b.",INDEX(SRC_Woningetalage!$A$1:$ZZ$501,$A268,L$3)))</f>
        <v/>
      </c>
      <c r="M268" t="str">
        <f>IF($B268="","",IF(M$3=0,"n.b.",INDEX(SRC_Woningetalage!$A$1:$ZZ$501,$A268,M$3)))</f>
        <v/>
      </c>
      <c r="N268" t="str">
        <f>IF($B268="","",IF(N$3=0,"n.b.",INDEX(SRC_Woningetalage!$A$1:$ZZ$501,$A268,N$3)))</f>
        <v/>
      </c>
      <c r="O268" t="str">
        <f>IF($B268="","",IF(O$3=0,"n.b.",INDEX(SRC_Woningetalage!$A$1:$ZZ$501,$A268,O$3)))</f>
        <v/>
      </c>
      <c r="P268" t="str">
        <f>IF($B268="","",IF(P$3=0,"n.b.",INDEX(SRC_Woningetalage!$A$1:$ZZ$501,$A268,P$3)))</f>
        <v/>
      </c>
      <c r="Q268" s="124" t="str">
        <f>IF($B268="","",IF(Q$3=0,"n.b.",INDEX(SRC_Woningetalage!$A$1:$ZZ$501,$A268,Q$3)))</f>
        <v/>
      </c>
      <c r="R268" s="124" t="str">
        <f>IF($B268="","",IF(R$3=0,"n.b.",INDEX(SRC_Woningetalage!$A$1:$ZZ$501,$A268,R$3)))</f>
        <v/>
      </c>
      <c r="S268" s="124" t="str">
        <f>IF($B268="","",IF(S$3=0,"n.b.",INDEX(SRC_Woningetalage!$A$1:$ZZ$501,$A268,S$3)))</f>
        <v/>
      </c>
      <c r="T268" s="124" t="str">
        <f>IF($B268="","",IF(T$3=0,"n.b.",INDEX(SRC_Woningetalage!$A$1:$ZZ$501,$A268,T$3)))</f>
        <v/>
      </c>
      <c r="U268" s="124" t="str">
        <f>IF($B268="","",IF(U$3=0,"n.b.",INDEX(SRC_Woningetalage!$A$1:$ZZ$501,$A268,U$3)))</f>
        <v/>
      </c>
      <c r="V268" s="124" t="str">
        <f>IF($B268="","",IF(V$3=0,"n.b.",INDEX(SRC_Woningetalage!$A$1:$ZZ$501,$A268,V$3)))</f>
        <v/>
      </c>
      <c r="W268" s="124" t="str">
        <f>IF($B268="","",IF(W$3=0,"n.b.",INDEX(SRC_Woningetalage!$A$1:$ZZ$501,$A268,W$3)))</f>
        <v/>
      </c>
      <c r="X268" s="124" t="str">
        <f>IF($B268="","",IF(X$3=0,"n.b.",INDEX(SRC_Woningetalage!$A$1:$ZZ$501,$A268,X$3)))</f>
        <v/>
      </c>
      <c r="Y268" s="124" t="str">
        <f>IF($B268="","",IF(Y$3=0,"n.b.",INDEX(SRC_Woningetalage!$A$1:$ZZ$501,$A268,Y$3)))</f>
        <v/>
      </c>
      <c r="Z268" s="124" t="str">
        <f>IF($B268="","",IF(Z$3=0,"n.b.",INDEX(SRC_Woningetalage!$A$1:$ZZ$501,$A268,Z$3)))</f>
        <v/>
      </c>
      <c r="AA268" s="124" t="str">
        <f>IF($B268="","",IF(AA$3=0,"n.b.",INDEX(SRC_Woningetalage!$A$1:$ZZ$501,$A268,AA$3)))</f>
        <v/>
      </c>
      <c r="AB268" s="124" t="str">
        <f>IF($B268="","",IF(AB$3=0,"n.b.",INDEX(SRC_Woningetalage!$A$1:$ZZ$501,$A268,AB$3)))</f>
        <v/>
      </c>
      <c r="AC268" s="124" t="str">
        <f>IF($B268="","",IF(AC$3=0,"n.b.",INDEX(SRC_Woningetalage!$A$1:$ZZ$501,$A268,AC$3)))</f>
        <v/>
      </c>
      <c r="AD268" s="124" t="str">
        <f>IF($B268="","",IF(AD$3=0,"n.b.",INDEX(SRC_Woningetalage!$A$1:$ZZ$501,$A268,AD$3)))</f>
        <v/>
      </c>
      <c r="AE268" s="124" t="str">
        <f>IF($B268="","",IF(AE$3=0,"n.b.",INDEX(SRC_Woningetalage!$A$1:$ZZ$501,$A268,AE$3)))</f>
        <v/>
      </c>
      <c r="AF268" s="124" t="str">
        <f>IF($B268="","",IF(AF$3=0,"n.b.",INDEX(SRC_Woningetalage!$A$1:$ZZ$501,$A268,AF$3)))</f>
        <v/>
      </c>
      <c r="AG268" s="124" t="str">
        <f>IF($B268="","",IF(AG$3=0,"n.b.",INDEX(SRC_Woningetalage!$A$1:$ZZ$501,$A268,AG$3)))</f>
        <v/>
      </c>
      <c r="AH268" s="124" t="str">
        <f>IF($B268="","",IF(AH$3=0,"n.b.",INDEX(SRC_Woningetalage!$A$1:$ZZ$501,$A268,AH$3)))</f>
        <v/>
      </c>
      <c r="AI268" s="124" t="str">
        <f>IF($B268="","",IF(AI$3=0,"n.b.",INDEX(SRC_Woningetalage!$A$1:$ZZ$501,$A268,AI$3)))</f>
        <v/>
      </c>
      <c r="AJ268" s="124" t="str">
        <f>IF($B268="","",IF(AJ$3=0,"n.b.",INDEX(SRC_Woningetalage!$A$1:$ZZ$501,$A268,AJ$3)))</f>
        <v/>
      </c>
      <c r="AK268" s="124" t="str">
        <f>IF($B268="","",IF(AK$3=0,"n.b.",INDEX(SRC_Woningetalage!$A$1:$ZZ$501,$A268,AK$3)))</f>
        <v/>
      </c>
      <c r="AL268" s="124" t="str">
        <f>IF($B268="","",IF(AL$3=0,"n.b.",INDEX(SRC_Woningetalage!$A$1:$ZZ$501,$A268,AL$3)))</f>
        <v/>
      </c>
      <c r="AM268" s="124" t="str">
        <f>IF($B268="","",IF(AM$3=0,"n.b.",INDEX(SRC_Woningetalage!$A$1:$ZZ$501,$A268,AM$3)))</f>
        <v/>
      </c>
      <c r="AN268" s="124" t="str">
        <f>IF($B268="","",IF(AN$3=0,"n.b.",INDEX(SRC_Woningetalage!$A$1:$ZZ$501,$A268,AN$3)))</f>
        <v/>
      </c>
      <c r="AO268" s="124" t="str">
        <f>IF($B268="","",IF(AO$3=0,"n.b.",INDEX(SRC_Woningetalage!$A$1:$ZZ$501,$A268,AO$3)))</f>
        <v/>
      </c>
      <c r="AP268" s="124" t="str">
        <f>IF($B268="","",IF(AP$3=0,"n.b.",INDEX(SRC_Woningetalage!$A$1:$ZZ$501,$A268,AP$3)))</f>
        <v/>
      </c>
      <c r="AQ268" s="124" t="str">
        <f>IF($B268="","",IF(AQ$3=0,"n.b.",INDEX(SRC_Woningetalage!$A$1:$ZZ$501,$A268,AQ$3)))</f>
        <v/>
      </c>
      <c r="AR268" s="124" t="str">
        <f>IF($B268="","",IF(AR$3=0,"n.b.",INDEX(SRC_Woningetalage!$A$1:$ZZ$501,$A268,AR$3)))</f>
        <v/>
      </c>
      <c r="AS268" s="124" t="str">
        <f>IF($B268="","",IF(AS$3=0,"n.b.",INDEX(SRC_Woningetalage!$A$1:$ZZ$501,$A268,AS$3)))</f>
        <v/>
      </c>
      <c r="AT268" s="124" t="str">
        <f>IF($B268="","",IF(AT$3=0,"n.b.",INDEX(SRC_Woningetalage!$A$1:$ZZ$501,$A268,AT$3)))</f>
        <v/>
      </c>
      <c r="AU268" s="124" t="str">
        <f>IF($B268="","",IF(AU$3=0,"n.b.",INDEX(SRC_Woningetalage!$A$1:$ZZ$501,$A268,AU$3)))</f>
        <v/>
      </c>
      <c r="AV268" s="124" t="str">
        <f>IF($B268="","",IF(AV$3=0,"n.b.",INDEX(SRC_Woningetalage!$A$1:$ZZ$501,$A268,AV$3)))</f>
        <v/>
      </c>
      <c r="AW268" s="124" t="str">
        <f>IF($B268="","",IF(AW$3=0,"n.b.",INDEX(SRC_Woningetalage!$A$1:$ZZ$501,$A268,AW$3)))</f>
        <v/>
      </c>
      <c r="AX268" s="124" t="str">
        <f>IF($B268="","",IF(AX$3=0,"n.b.",INDEX(SRC_Woningetalage!$A$1:$ZZ$501,$A268,AX$3)))</f>
        <v/>
      </c>
      <c r="AY268" s="124" t="str">
        <f>IF($B268="","",IF(AY$3=0,"n.b.",INDEX(SRC_Woningetalage!$A$1:$ZZ$501,$A268,AY$3)))</f>
        <v/>
      </c>
      <c r="AZ268" s="124" t="str">
        <f>IF($B268="","",IF(AZ$3=0,"n.b.",INDEX(SRC_Woningetalage!$A$1:$ZZ$501,$A268,AZ$3)))</f>
        <v/>
      </c>
      <c r="BA268" s="124" t="str">
        <f>IF($B268="","",IF(BA$3=0,"n.b.",INDEX(SRC_Woningetalage!$A$1:$ZZ$501,$A268,BA$3)))</f>
        <v/>
      </c>
      <c r="BB268" s="124" t="str">
        <f>IF($B268="","",IF(BB$3=0,"n.b.",INDEX(SRC_Woningetalage!$A$1:$ZZ$501,$A268,BB$3)))</f>
        <v/>
      </c>
      <c r="BC268" s="124" t="str">
        <f>IF($B268="","",IFERROR(_xlfn.NUMBERVALUE(E268&amp;"",",","."),"n.b."))</f>
        <v/>
      </c>
      <c r="BD268" s="124" t="str">
        <f>IF($B268="","",IFERROR(_xlfn.NUMBERVALUE(M268&amp;"",",","."),"n.b."))</f>
        <v/>
      </c>
      <c r="BE268" s="124" t="str">
        <f>IF($B268="","",IFERROR(AB268+AC268+AD268,"n.b."))</f>
        <v/>
      </c>
      <c r="BF268" s="124" t="str">
        <f>IF($B268="","",IFERROR(AE268+AF268+AG268,"n.b."))</f>
        <v/>
      </c>
      <c r="BG268" s="124" t="str">
        <f>IF($B268="","",IFERROR(AH268+AI268+AJ268,"n.b."))</f>
        <v/>
      </c>
      <c r="BH268" s="124" t="str">
        <f>IF($B268="","",IFERROR(AK268+AL268+AM268,"n.b."))</f>
        <v/>
      </c>
      <c r="BI268" s="124" t="str">
        <f>IF($B268="","",IFERROR(SUMIF($AB$5:$AM$5,"&lt;="&amp;P_PeilMaand,AB268:AM268),"n.b."))</f>
        <v/>
      </c>
      <c r="BJ268" s="124" t="str">
        <f>IF($B268="","",IFERROR(SUM(AB268:AM268)-BI268,"n.b."))</f>
        <v/>
      </c>
      <c r="BK268" s="124" t="str">
        <f>IF($B268="","",IFERROR(IF(ABS(Q268-(T268+SUM(AB268:AM268)+AS268+AU268))&gt;P_Tol,1,0),1))</f>
        <v/>
      </c>
      <c r="BL268" s="124" t="str">
        <f>IF($B268="","",IFERROR(IF(ABS(AA268-(Q268-Z268))&gt;P_Tol,1,0),1))</f>
        <v/>
      </c>
      <c r="BM268" s="124" t="str">
        <f>IF($B268="","",IFERROR(IF(ABS(Z268-(T268+W268))&gt;P_Tol,1,0),1))</f>
        <v/>
      </c>
      <c r="BN268" s="124" t="str">
        <f>IF($B268="","",IFERROR(IF(ABS(W268-BI268)&gt;P_Tol,1,0),1))</f>
        <v/>
      </c>
      <c r="BO268" s="124" t="str">
        <f>IF($B268="","",IFERROR(IF(OR(ABS(R268+S268-T268)&gt;P_Tol,ABS(U268+V268-W268)&gt;P_Tol,ABS(X268+Y268-Z268)&gt;P_Tol),1,0),1))</f>
        <v/>
      </c>
      <c r="BP268" s="124" t="str">
        <f>IF($B268="","",IFERROR(IF(OR(ABS(AR268-SUM(AB268:AM268))&gt;P_Tol,ABS(AS268-(AN268+AO268+AP268+AQ268))&gt;P_Tol),1,0),1))</f>
        <v/>
      </c>
      <c r="BQ268" s="124" t="str">
        <f>IF($B268="","",IFERROR(IF(ABS(AT268)+ABS(AV268)+ABS(AW268)+ABS(AX268)+ABS(AY268)+ABS(AZ268)+ABS(BA268)+ABS(BB268)&gt;0,1,0),1))</f>
        <v/>
      </c>
      <c r="BR268" s="124" t="str">
        <f>IF($B268="","",COUNTIF(STG_ZPMW03!$B$6:$B$505,B268))</f>
        <v/>
      </c>
      <c r="BS268" s="124" t="str">
        <f>IF($B268="","",COUNTIF($B$6:$B$505,B268))</f>
        <v/>
      </c>
      <c r="BT268" s="124" t="str">
        <f>IF($B268="","",IF(BR268=0,0,IF(INDEX(STG_ZPMW03!$I$6:$I$505,MATCH(B268,STG_ZPMW03!$B$6:$B$505,0))=J268&amp;"",0,1)))</f>
        <v/>
      </c>
      <c r="BU268" s="124" t="str">
        <f>IF($B268="","",IFERROR(IF(ABS(INDEX(Mapping!$D$5:$D$104,MATCH(B268,Mapping!$A$5:$A$104,0))-Q268)&gt;P_Tol,1,0),0))</f>
        <v/>
      </c>
      <c r="BV268" s="124" t="str">
        <f>IF($B268="","",IFERROR(IF(AND(INDEX(Mapping!$G$5:$G$104,MATCH(B268,Mapping!$A$5:$A$104,0))="Nee",ABS(Q268)+ABS(Z268)+ABS(AR268)&gt;0),1,0),0))</f>
        <v/>
      </c>
      <c r="BW268" s="124" t="str">
        <f>IF($B268="","",IF(COUNTIF(Mapping!$A$5:$A$104,B268)&gt;0,1,0))</f>
        <v/>
      </c>
      <c r="BX268" s="124" t="str">
        <f>IF($B268="","",IF(BR268=0,COUNTIF($BR$6:BR268,0),""))</f>
        <v/>
      </c>
    </row>
    <row r="269">
      <c r="A269" s="15" t="n">
        <v>265</v>
      </c>
      <c r="B269" t="str">
        <f>IF(B$3=0,"",IF(INDEX(SRC_Woningetalage!$A$1:$ZZ$501,$A269,B$3)&amp;""="","",INDEX(SRC_Woningetalage!$A$1:$ZZ$501,$A269,B$3)&amp;""))</f>
        <v/>
      </c>
      <c r="C269" t="str">
        <f>IF($B269="","",IF(C$3=0,"n.b.",INDEX(SRC_Woningetalage!$A$1:$ZZ$501,$A269,C$3)))</f>
        <v/>
      </c>
      <c r="D269" t="str">
        <f>IF($B269="","",IF(D$3=0,"n.b.",INDEX(SRC_Woningetalage!$A$1:$ZZ$501,$A269,D$3)))</f>
        <v/>
      </c>
      <c r="E269" t="str">
        <f>IF($B269="","",IF(E$3=0,"n.b.",INDEX(SRC_Woningetalage!$A$1:$ZZ$501,$A269,E$3)))</f>
        <v/>
      </c>
      <c r="F269" t="str">
        <f>IF($B269="","",IF(F$3=0,"n.b.",INDEX(SRC_Woningetalage!$A$1:$ZZ$501,$A269,F$3)))</f>
        <v/>
      </c>
      <c r="G269" t="str">
        <f>IF($B269="","",IF(G$3=0,"n.b.",INDEX(SRC_Woningetalage!$A$1:$ZZ$501,$A269,G$3)))</f>
        <v/>
      </c>
      <c r="H269" t="str">
        <f>IF($B269="","",IF(H$3=0,"n.b.",INDEX(SRC_Woningetalage!$A$1:$ZZ$501,$A269,H$3)))</f>
        <v/>
      </c>
      <c r="I269" t="str">
        <f>IF($B269="","",IF(I$3=0,"n.b.",INDEX(SRC_Woningetalage!$A$1:$ZZ$501,$A269,I$3)))</f>
        <v/>
      </c>
      <c r="J269" t="str">
        <f>IF($B269="","",IF(J$3=0,"n.b.",INDEX(SRC_Woningetalage!$A$1:$ZZ$501,$A269,J$3)))</f>
        <v/>
      </c>
      <c r="K269" t="str">
        <f>IF($B269="","",IF(K$3=0,"n.b.",INDEX(SRC_Woningetalage!$A$1:$ZZ$501,$A269,K$3)))</f>
        <v/>
      </c>
      <c r="L269" t="str">
        <f>IF($B269="","",IF(L$3=0,"n.b.",INDEX(SRC_Woningetalage!$A$1:$ZZ$501,$A269,L$3)))</f>
        <v/>
      </c>
      <c r="M269" t="str">
        <f>IF($B269="","",IF(M$3=0,"n.b.",INDEX(SRC_Woningetalage!$A$1:$ZZ$501,$A269,M$3)))</f>
        <v/>
      </c>
      <c r="N269" t="str">
        <f>IF($B269="","",IF(N$3=0,"n.b.",INDEX(SRC_Woningetalage!$A$1:$ZZ$501,$A269,N$3)))</f>
        <v/>
      </c>
      <c r="O269" t="str">
        <f>IF($B269="","",IF(O$3=0,"n.b.",INDEX(SRC_Woningetalage!$A$1:$ZZ$501,$A269,O$3)))</f>
        <v/>
      </c>
      <c r="P269" t="str">
        <f>IF($B269="","",IF(P$3=0,"n.b.",INDEX(SRC_Woningetalage!$A$1:$ZZ$501,$A269,P$3)))</f>
        <v/>
      </c>
      <c r="Q269" s="124" t="str">
        <f>IF($B269="","",IF(Q$3=0,"n.b.",INDEX(SRC_Woningetalage!$A$1:$ZZ$501,$A269,Q$3)))</f>
        <v/>
      </c>
      <c r="R269" s="124" t="str">
        <f>IF($B269="","",IF(R$3=0,"n.b.",INDEX(SRC_Woningetalage!$A$1:$ZZ$501,$A269,R$3)))</f>
        <v/>
      </c>
      <c r="S269" s="124" t="str">
        <f>IF($B269="","",IF(S$3=0,"n.b.",INDEX(SRC_Woningetalage!$A$1:$ZZ$501,$A269,S$3)))</f>
        <v/>
      </c>
      <c r="T269" s="124" t="str">
        <f>IF($B269="","",IF(T$3=0,"n.b.",INDEX(SRC_Woningetalage!$A$1:$ZZ$501,$A269,T$3)))</f>
        <v/>
      </c>
      <c r="U269" s="124" t="str">
        <f>IF($B269="","",IF(U$3=0,"n.b.",INDEX(SRC_Woningetalage!$A$1:$ZZ$501,$A269,U$3)))</f>
        <v/>
      </c>
      <c r="V269" s="124" t="str">
        <f>IF($B269="","",IF(V$3=0,"n.b.",INDEX(SRC_Woningetalage!$A$1:$ZZ$501,$A269,V$3)))</f>
        <v/>
      </c>
      <c r="W269" s="124" t="str">
        <f>IF($B269="","",IF(W$3=0,"n.b.",INDEX(SRC_Woningetalage!$A$1:$ZZ$501,$A269,W$3)))</f>
        <v/>
      </c>
      <c r="X269" s="124" t="str">
        <f>IF($B269="","",IF(X$3=0,"n.b.",INDEX(SRC_Woningetalage!$A$1:$ZZ$501,$A269,X$3)))</f>
        <v/>
      </c>
      <c r="Y269" s="124" t="str">
        <f>IF($B269="","",IF(Y$3=0,"n.b.",INDEX(SRC_Woningetalage!$A$1:$ZZ$501,$A269,Y$3)))</f>
        <v/>
      </c>
      <c r="Z269" s="124" t="str">
        <f>IF($B269="","",IF(Z$3=0,"n.b.",INDEX(SRC_Woningetalage!$A$1:$ZZ$501,$A269,Z$3)))</f>
        <v/>
      </c>
      <c r="AA269" s="124" t="str">
        <f>IF($B269="","",IF(AA$3=0,"n.b.",INDEX(SRC_Woningetalage!$A$1:$ZZ$501,$A269,AA$3)))</f>
        <v/>
      </c>
      <c r="AB269" s="124" t="str">
        <f>IF($B269="","",IF(AB$3=0,"n.b.",INDEX(SRC_Woningetalage!$A$1:$ZZ$501,$A269,AB$3)))</f>
        <v/>
      </c>
      <c r="AC269" s="124" t="str">
        <f>IF($B269="","",IF(AC$3=0,"n.b.",INDEX(SRC_Woningetalage!$A$1:$ZZ$501,$A269,AC$3)))</f>
        <v/>
      </c>
      <c r="AD269" s="124" t="str">
        <f>IF($B269="","",IF(AD$3=0,"n.b.",INDEX(SRC_Woningetalage!$A$1:$ZZ$501,$A269,AD$3)))</f>
        <v/>
      </c>
      <c r="AE269" s="124" t="str">
        <f>IF($B269="","",IF(AE$3=0,"n.b.",INDEX(SRC_Woningetalage!$A$1:$ZZ$501,$A269,AE$3)))</f>
        <v/>
      </c>
      <c r="AF269" s="124" t="str">
        <f>IF($B269="","",IF(AF$3=0,"n.b.",INDEX(SRC_Woningetalage!$A$1:$ZZ$501,$A269,AF$3)))</f>
        <v/>
      </c>
      <c r="AG269" s="124" t="str">
        <f>IF($B269="","",IF(AG$3=0,"n.b.",INDEX(SRC_Woningetalage!$A$1:$ZZ$501,$A269,AG$3)))</f>
        <v/>
      </c>
      <c r="AH269" s="124" t="str">
        <f>IF($B269="","",IF(AH$3=0,"n.b.",INDEX(SRC_Woningetalage!$A$1:$ZZ$501,$A269,AH$3)))</f>
        <v/>
      </c>
      <c r="AI269" s="124" t="str">
        <f>IF($B269="","",IF(AI$3=0,"n.b.",INDEX(SRC_Woningetalage!$A$1:$ZZ$501,$A269,AI$3)))</f>
        <v/>
      </c>
      <c r="AJ269" s="124" t="str">
        <f>IF($B269="","",IF(AJ$3=0,"n.b.",INDEX(SRC_Woningetalage!$A$1:$ZZ$501,$A269,AJ$3)))</f>
        <v/>
      </c>
      <c r="AK269" s="124" t="str">
        <f>IF($B269="","",IF(AK$3=0,"n.b.",INDEX(SRC_Woningetalage!$A$1:$ZZ$501,$A269,AK$3)))</f>
        <v/>
      </c>
      <c r="AL269" s="124" t="str">
        <f>IF($B269="","",IF(AL$3=0,"n.b.",INDEX(SRC_Woningetalage!$A$1:$ZZ$501,$A269,AL$3)))</f>
        <v/>
      </c>
      <c r="AM269" s="124" t="str">
        <f>IF($B269="","",IF(AM$3=0,"n.b.",INDEX(SRC_Woningetalage!$A$1:$ZZ$501,$A269,AM$3)))</f>
        <v/>
      </c>
      <c r="AN269" s="124" t="str">
        <f>IF($B269="","",IF(AN$3=0,"n.b.",INDEX(SRC_Woningetalage!$A$1:$ZZ$501,$A269,AN$3)))</f>
        <v/>
      </c>
      <c r="AO269" s="124" t="str">
        <f>IF($B269="","",IF(AO$3=0,"n.b.",INDEX(SRC_Woningetalage!$A$1:$ZZ$501,$A269,AO$3)))</f>
        <v/>
      </c>
      <c r="AP269" s="124" t="str">
        <f>IF($B269="","",IF(AP$3=0,"n.b.",INDEX(SRC_Woningetalage!$A$1:$ZZ$501,$A269,AP$3)))</f>
        <v/>
      </c>
      <c r="AQ269" s="124" t="str">
        <f>IF($B269="","",IF(AQ$3=0,"n.b.",INDEX(SRC_Woningetalage!$A$1:$ZZ$501,$A269,AQ$3)))</f>
        <v/>
      </c>
      <c r="AR269" s="124" t="str">
        <f>IF($B269="","",IF(AR$3=0,"n.b.",INDEX(SRC_Woningetalage!$A$1:$ZZ$501,$A269,AR$3)))</f>
        <v/>
      </c>
      <c r="AS269" s="124" t="str">
        <f>IF($B269="","",IF(AS$3=0,"n.b.",INDEX(SRC_Woningetalage!$A$1:$ZZ$501,$A269,AS$3)))</f>
        <v/>
      </c>
      <c r="AT269" s="124" t="str">
        <f>IF($B269="","",IF(AT$3=0,"n.b.",INDEX(SRC_Woningetalage!$A$1:$ZZ$501,$A269,AT$3)))</f>
        <v/>
      </c>
      <c r="AU269" s="124" t="str">
        <f>IF($B269="","",IF(AU$3=0,"n.b.",INDEX(SRC_Woningetalage!$A$1:$ZZ$501,$A269,AU$3)))</f>
        <v/>
      </c>
      <c r="AV269" s="124" t="str">
        <f>IF($B269="","",IF(AV$3=0,"n.b.",INDEX(SRC_Woningetalage!$A$1:$ZZ$501,$A269,AV$3)))</f>
        <v/>
      </c>
      <c r="AW269" s="124" t="str">
        <f>IF($B269="","",IF(AW$3=0,"n.b.",INDEX(SRC_Woningetalage!$A$1:$ZZ$501,$A269,AW$3)))</f>
        <v/>
      </c>
      <c r="AX269" s="124" t="str">
        <f>IF($B269="","",IF(AX$3=0,"n.b.",INDEX(SRC_Woningetalage!$A$1:$ZZ$501,$A269,AX$3)))</f>
        <v/>
      </c>
      <c r="AY269" s="124" t="str">
        <f>IF($B269="","",IF(AY$3=0,"n.b.",INDEX(SRC_Woningetalage!$A$1:$ZZ$501,$A269,AY$3)))</f>
        <v/>
      </c>
      <c r="AZ269" s="124" t="str">
        <f>IF($B269="","",IF(AZ$3=0,"n.b.",INDEX(SRC_Woningetalage!$A$1:$ZZ$501,$A269,AZ$3)))</f>
        <v/>
      </c>
      <c r="BA269" s="124" t="str">
        <f>IF($B269="","",IF(BA$3=0,"n.b.",INDEX(SRC_Woningetalage!$A$1:$ZZ$501,$A269,BA$3)))</f>
        <v/>
      </c>
      <c r="BB269" s="124" t="str">
        <f>IF($B269="","",IF(BB$3=0,"n.b.",INDEX(SRC_Woningetalage!$A$1:$ZZ$501,$A269,BB$3)))</f>
        <v/>
      </c>
      <c r="BC269" s="124" t="str">
        <f>IF($B269="","",IFERROR(_xlfn.NUMBERVALUE(E269&amp;"",",","."),"n.b."))</f>
        <v/>
      </c>
      <c r="BD269" s="124" t="str">
        <f>IF($B269="","",IFERROR(_xlfn.NUMBERVALUE(M269&amp;"",",","."),"n.b."))</f>
        <v/>
      </c>
      <c r="BE269" s="124" t="str">
        <f>IF($B269="","",IFERROR(AB269+AC269+AD269,"n.b."))</f>
        <v/>
      </c>
      <c r="BF269" s="124" t="str">
        <f>IF($B269="","",IFERROR(AE269+AF269+AG269,"n.b."))</f>
        <v/>
      </c>
      <c r="BG269" s="124" t="str">
        <f>IF($B269="","",IFERROR(AH269+AI269+AJ269,"n.b."))</f>
        <v/>
      </c>
      <c r="BH269" s="124" t="str">
        <f>IF($B269="","",IFERROR(AK269+AL269+AM269,"n.b."))</f>
        <v/>
      </c>
      <c r="BI269" s="124" t="str">
        <f>IF($B269="","",IFERROR(SUMIF($AB$5:$AM$5,"&lt;="&amp;P_PeilMaand,AB269:AM269),"n.b."))</f>
        <v/>
      </c>
      <c r="BJ269" s="124" t="str">
        <f>IF($B269="","",IFERROR(SUM(AB269:AM269)-BI269,"n.b."))</f>
        <v/>
      </c>
      <c r="BK269" s="124" t="str">
        <f>IF($B269="","",IFERROR(IF(ABS(Q269-(T269+SUM(AB269:AM269)+AS269+AU269))&gt;P_Tol,1,0),1))</f>
        <v/>
      </c>
      <c r="BL269" s="124" t="str">
        <f>IF($B269="","",IFERROR(IF(ABS(AA269-(Q269-Z269))&gt;P_Tol,1,0),1))</f>
        <v/>
      </c>
      <c r="BM269" s="124" t="str">
        <f>IF($B269="","",IFERROR(IF(ABS(Z269-(T269+W269))&gt;P_Tol,1,0),1))</f>
        <v/>
      </c>
      <c r="BN269" s="124" t="str">
        <f>IF($B269="","",IFERROR(IF(ABS(W269-BI269)&gt;P_Tol,1,0),1))</f>
        <v/>
      </c>
      <c r="BO269" s="124" t="str">
        <f>IF($B269="","",IFERROR(IF(OR(ABS(R269+S269-T269)&gt;P_Tol,ABS(U269+V269-W269)&gt;P_Tol,ABS(X269+Y269-Z269)&gt;P_Tol),1,0),1))</f>
        <v/>
      </c>
      <c r="BP269" s="124" t="str">
        <f>IF($B269="","",IFERROR(IF(OR(ABS(AR269-SUM(AB269:AM269))&gt;P_Tol,ABS(AS269-(AN269+AO269+AP269+AQ269))&gt;P_Tol),1,0),1))</f>
        <v/>
      </c>
      <c r="BQ269" s="124" t="str">
        <f>IF($B269="","",IFERROR(IF(ABS(AT269)+ABS(AV269)+ABS(AW269)+ABS(AX269)+ABS(AY269)+ABS(AZ269)+ABS(BA269)+ABS(BB269)&gt;0,1,0),1))</f>
        <v/>
      </c>
      <c r="BR269" s="124" t="str">
        <f>IF($B269="","",COUNTIF(STG_ZPMW03!$B$6:$B$505,B269))</f>
        <v/>
      </c>
      <c r="BS269" s="124" t="str">
        <f>IF($B269="","",COUNTIF($B$6:$B$505,B269))</f>
        <v/>
      </c>
      <c r="BT269" s="124" t="str">
        <f>IF($B269="","",IF(BR269=0,0,IF(INDEX(STG_ZPMW03!$I$6:$I$505,MATCH(B269,STG_ZPMW03!$B$6:$B$505,0))=J269&amp;"",0,1)))</f>
        <v/>
      </c>
      <c r="BU269" s="124" t="str">
        <f>IF($B269="","",IFERROR(IF(ABS(INDEX(Mapping!$D$5:$D$104,MATCH(B269,Mapping!$A$5:$A$104,0))-Q269)&gt;P_Tol,1,0),0))</f>
        <v/>
      </c>
      <c r="BV269" s="124" t="str">
        <f>IF($B269="","",IFERROR(IF(AND(INDEX(Mapping!$G$5:$G$104,MATCH(B269,Mapping!$A$5:$A$104,0))="Nee",ABS(Q269)+ABS(Z269)+ABS(AR269)&gt;0),1,0),0))</f>
        <v/>
      </c>
      <c r="BW269" s="124" t="str">
        <f>IF($B269="","",IF(COUNTIF(Mapping!$A$5:$A$104,B269)&gt;0,1,0))</f>
        <v/>
      </c>
      <c r="BX269" s="124" t="str">
        <f>IF($B269="","",IF(BR269=0,COUNTIF($BR$6:BR269,0),""))</f>
        <v/>
      </c>
    </row>
    <row r="270">
      <c r="A270" s="15" t="n">
        <v>266</v>
      </c>
      <c r="B270" t="str">
        <f>IF(B$3=0,"",IF(INDEX(SRC_Woningetalage!$A$1:$ZZ$501,$A270,B$3)&amp;""="","",INDEX(SRC_Woningetalage!$A$1:$ZZ$501,$A270,B$3)&amp;""))</f>
        <v/>
      </c>
      <c r="C270" t="str">
        <f>IF($B270="","",IF(C$3=0,"n.b.",INDEX(SRC_Woningetalage!$A$1:$ZZ$501,$A270,C$3)))</f>
        <v/>
      </c>
      <c r="D270" t="str">
        <f>IF($B270="","",IF(D$3=0,"n.b.",INDEX(SRC_Woningetalage!$A$1:$ZZ$501,$A270,D$3)))</f>
        <v/>
      </c>
      <c r="E270" t="str">
        <f>IF($B270="","",IF(E$3=0,"n.b.",INDEX(SRC_Woningetalage!$A$1:$ZZ$501,$A270,E$3)))</f>
        <v/>
      </c>
      <c r="F270" t="str">
        <f>IF($B270="","",IF(F$3=0,"n.b.",INDEX(SRC_Woningetalage!$A$1:$ZZ$501,$A270,F$3)))</f>
        <v/>
      </c>
      <c r="G270" t="str">
        <f>IF($B270="","",IF(G$3=0,"n.b.",INDEX(SRC_Woningetalage!$A$1:$ZZ$501,$A270,G$3)))</f>
        <v/>
      </c>
      <c r="H270" t="str">
        <f>IF($B270="","",IF(H$3=0,"n.b.",INDEX(SRC_Woningetalage!$A$1:$ZZ$501,$A270,H$3)))</f>
        <v/>
      </c>
      <c r="I270" t="str">
        <f>IF($B270="","",IF(I$3=0,"n.b.",INDEX(SRC_Woningetalage!$A$1:$ZZ$501,$A270,I$3)))</f>
        <v/>
      </c>
      <c r="J270" t="str">
        <f>IF($B270="","",IF(J$3=0,"n.b.",INDEX(SRC_Woningetalage!$A$1:$ZZ$501,$A270,J$3)))</f>
        <v/>
      </c>
      <c r="K270" t="str">
        <f>IF($B270="","",IF(K$3=0,"n.b.",INDEX(SRC_Woningetalage!$A$1:$ZZ$501,$A270,K$3)))</f>
        <v/>
      </c>
      <c r="L270" t="str">
        <f>IF($B270="","",IF(L$3=0,"n.b.",INDEX(SRC_Woningetalage!$A$1:$ZZ$501,$A270,L$3)))</f>
        <v/>
      </c>
      <c r="M270" t="str">
        <f>IF($B270="","",IF(M$3=0,"n.b.",INDEX(SRC_Woningetalage!$A$1:$ZZ$501,$A270,M$3)))</f>
        <v/>
      </c>
      <c r="N270" t="str">
        <f>IF($B270="","",IF(N$3=0,"n.b.",INDEX(SRC_Woningetalage!$A$1:$ZZ$501,$A270,N$3)))</f>
        <v/>
      </c>
      <c r="O270" t="str">
        <f>IF($B270="","",IF(O$3=0,"n.b.",INDEX(SRC_Woningetalage!$A$1:$ZZ$501,$A270,O$3)))</f>
        <v/>
      </c>
      <c r="P270" t="str">
        <f>IF($B270="","",IF(P$3=0,"n.b.",INDEX(SRC_Woningetalage!$A$1:$ZZ$501,$A270,P$3)))</f>
        <v/>
      </c>
      <c r="Q270" s="124" t="str">
        <f>IF($B270="","",IF(Q$3=0,"n.b.",INDEX(SRC_Woningetalage!$A$1:$ZZ$501,$A270,Q$3)))</f>
        <v/>
      </c>
      <c r="R270" s="124" t="str">
        <f>IF($B270="","",IF(R$3=0,"n.b.",INDEX(SRC_Woningetalage!$A$1:$ZZ$501,$A270,R$3)))</f>
        <v/>
      </c>
      <c r="S270" s="124" t="str">
        <f>IF($B270="","",IF(S$3=0,"n.b.",INDEX(SRC_Woningetalage!$A$1:$ZZ$501,$A270,S$3)))</f>
        <v/>
      </c>
      <c r="T270" s="124" t="str">
        <f>IF($B270="","",IF(T$3=0,"n.b.",INDEX(SRC_Woningetalage!$A$1:$ZZ$501,$A270,T$3)))</f>
        <v/>
      </c>
      <c r="U270" s="124" t="str">
        <f>IF($B270="","",IF(U$3=0,"n.b.",INDEX(SRC_Woningetalage!$A$1:$ZZ$501,$A270,U$3)))</f>
        <v/>
      </c>
      <c r="V270" s="124" t="str">
        <f>IF($B270="","",IF(V$3=0,"n.b.",INDEX(SRC_Woningetalage!$A$1:$ZZ$501,$A270,V$3)))</f>
        <v/>
      </c>
      <c r="W270" s="124" t="str">
        <f>IF($B270="","",IF(W$3=0,"n.b.",INDEX(SRC_Woningetalage!$A$1:$ZZ$501,$A270,W$3)))</f>
        <v/>
      </c>
      <c r="X270" s="124" t="str">
        <f>IF($B270="","",IF(X$3=0,"n.b.",INDEX(SRC_Woningetalage!$A$1:$ZZ$501,$A270,X$3)))</f>
        <v/>
      </c>
      <c r="Y270" s="124" t="str">
        <f>IF($B270="","",IF(Y$3=0,"n.b.",INDEX(SRC_Woningetalage!$A$1:$ZZ$501,$A270,Y$3)))</f>
        <v/>
      </c>
      <c r="Z270" s="124" t="str">
        <f>IF($B270="","",IF(Z$3=0,"n.b.",INDEX(SRC_Woningetalage!$A$1:$ZZ$501,$A270,Z$3)))</f>
        <v/>
      </c>
      <c r="AA270" s="124" t="str">
        <f>IF($B270="","",IF(AA$3=0,"n.b.",INDEX(SRC_Woningetalage!$A$1:$ZZ$501,$A270,AA$3)))</f>
        <v/>
      </c>
      <c r="AB270" s="124" t="str">
        <f>IF($B270="","",IF(AB$3=0,"n.b.",INDEX(SRC_Woningetalage!$A$1:$ZZ$501,$A270,AB$3)))</f>
        <v/>
      </c>
      <c r="AC270" s="124" t="str">
        <f>IF($B270="","",IF(AC$3=0,"n.b.",INDEX(SRC_Woningetalage!$A$1:$ZZ$501,$A270,AC$3)))</f>
        <v/>
      </c>
      <c r="AD270" s="124" t="str">
        <f>IF($B270="","",IF(AD$3=0,"n.b.",INDEX(SRC_Woningetalage!$A$1:$ZZ$501,$A270,AD$3)))</f>
        <v/>
      </c>
      <c r="AE270" s="124" t="str">
        <f>IF($B270="","",IF(AE$3=0,"n.b.",INDEX(SRC_Woningetalage!$A$1:$ZZ$501,$A270,AE$3)))</f>
        <v/>
      </c>
      <c r="AF270" s="124" t="str">
        <f>IF($B270="","",IF(AF$3=0,"n.b.",INDEX(SRC_Woningetalage!$A$1:$ZZ$501,$A270,AF$3)))</f>
        <v/>
      </c>
      <c r="AG270" s="124" t="str">
        <f>IF($B270="","",IF(AG$3=0,"n.b.",INDEX(SRC_Woningetalage!$A$1:$ZZ$501,$A270,AG$3)))</f>
        <v/>
      </c>
      <c r="AH270" s="124" t="str">
        <f>IF($B270="","",IF(AH$3=0,"n.b.",INDEX(SRC_Woningetalage!$A$1:$ZZ$501,$A270,AH$3)))</f>
        <v/>
      </c>
      <c r="AI270" s="124" t="str">
        <f>IF($B270="","",IF(AI$3=0,"n.b.",INDEX(SRC_Woningetalage!$A$1:$ZZ$501,$A270,AI$3)))</f>
        <v/>
      </c>
      <c r="AJ270" s="124" t="str">
        <f>IF($B270="","",IF(AJ$3=0,"n.b.",INDEX(SRC_Woningetalage!$A$1:$ZZ$501,$A270,AJ$3)))</f>
        <v/>
      </c>
      <c r="AK270" s="124" t="str">
        <f>IF($B270="","",IF(AK$3=0,"n.b.",INDEX(SRC_Woningetalage!$A$1:$ZZ$501,$A270,AK$3)))</f>
        <v/>
      </c>
      <c r="AL270" s="124" t="str">
        <f>IF($B270="","",IF(AL$3=0,"n.b.",INDEX(SRC_Woningetalage!$A$1:$ZZ$501,$A270,AL$3)))</f>
        <v/>
      </c>
      <c r="AM270" s="124" t="str">
        <f>IF($B270="","",IF(AM$3=0,"n.b.",INDEX(SRC_Woningetalage!$A$1:$ZZ$501,$A270,AM$3)))</f>
        <v/>
      </c>
      <c r="AN270" s="124" t="str">
        <f>IF($B270="","",IF(AN$3=0,"n.b.",INDEX(SRC_Woningetalage!$A$1:$ZZ$501,$A270,AN$3)))</f>
        <v/>
      </c>
      <c r="AO270" s="124" t="str">
        <f>IF($B270="","",IF(AO$3=0,"n.b.",INDEX(SRC_Woningetalage!$A$1:$ZZ$501,$A270,AO$3)))</f>
        <v/>
      </c>
      <c r="AP270" s="124" t="str">
        <f>IF($B270="","",IF(AP$3=0,"n.b.",INDEX(SRC_Woningetalage!$A$1:$ZZ$501,$A270,AP$3)))</f>
        <v/>
      </c>
      <c r="AQ270" s="124" t="str">
        <f>IF($B270="","",IF(AQ$3=0,"n.b.",INDEX(SRC_Woningetalage!$A$1:$ZZ$501,$A270,AQ$3)))</f>
        <v/>
      </c>
      <c r="AR270" s="124" t="str">
        <f>IF($B270="","",IF(AR$3=0,"n.b.",INDEX(SRC_Woningetalage!$A$1:$ZZ$501,$A270,AR$3)))</f>
        <v/>
      </c>
      <c r="AS270" s="124" t="str">
        <f>IF($B270="","",IF(AS$3=0,"n.b.",INDEX(SRC_Woningetalage!$A$1:$ZZ$501,$A270,AS$3)))</f>
        <v/>
      </c>
      <c r="AT270" s="124" t="str">
        <f>IF($B270="","",IF(AT$3=0,"n.b.",INDEX(SRC_Woningetalage!$A$1:$ZZ$501,$A270,AT$3)))</f>
        <v/>
      </c>
      <c r="AU270" s="124" t="str">
        <f>IF($B270="","",IF(AU$3=0,"n.b.",INDEX(SRC_Woningetalage!$A$1:$ZZ$501,$A270,AU$3)))</f>
        <v/>
      </c>
      <c r="AV270" s="124" t="str">
        <f>IF($B270="","",IF(AV$3=0,"n.b.",INDEX(SRC_Woningetalage!$A$1:$ZZ$501,$A270,AV$3)))</f>
        <v/>
      </c>
      <c r="AW270" s="124" t="str">
        <f>IF($B270="","",IF(AW$3=0,"n.b.",INDEX(SRC_Woningetalage!$A$1:$ZZ$501,$A270,AW$3)))</f>
        <v/>
      </c>
      <c r="AX270" s="124" t="str">
        <f>IF($B270="","",IF(AX$3=0,"n.b.",INDEX(SRC_Woningetalage!$A$1:$ZZ$501,$A270,AX$3)))</f>
        <v/>
      </c>
      <c r="AY270" s="124" t="str">
        <f>IF($B270="","",IF(AY$3=0,"n.b.",INDEX(SRC_Woningetalage!$A$1:$ZZ$501,$A270,AY$3)))</f>
        <v/>
      </c>
      <c r="AZ270" s="124" t="str">
        <f>IF($B270="","",IF(AZ$3=0,"n.b.",INDEX(SRC_Woningetalage!$A$1:$ZZ$501,$A270,AZ$3)))</f>
        <v/>
      </c>
      <c r="BA270" s="124" t="str">
        <f>IF($B270="","",IF(BA$3=0,"n.b.",INDEX(SRC_Woningetalage!$A$1:$ZZ$501,$A270,BA$3)))</f>
        <v/>
      </c>
      <c r="BB270" s="124" t="str">
        <f>IF($B270="","",IF(BB$3=0,"n.b.",INDEX(SRC_Woningetalage!$A$1:$ZZ$501,$A270,BB$3)))</f>
        <v/>
      </c>
      <c r="BC270" s="124" t="str">
        <f>IF($B270="","",IFERROR(_xlfn.NUMBERVALUE(E270&amp;"",",","."),"n.b."))</f>
        <v/>
      </c>
      <c r="BD270" s="124" t="str">
        <f>IF($B270="","",IFERROR(_xlfn.NUMBERVALUE(M270&amp;"",",","."),"n.b."))</f>
        <v/>
      </c>
      <c r="BE270" s="124" t="str">
        <f>IF($B270="","",IFERROR(AB270+AC270+AD270,"n.b."))</f>
        <v/>
      </c>
      <c r="BF270" s="124" t="str">
        <f>IF($B270="","",IFERROR(AE270+AF270+AG270,"n.b."))</f>
        <v/>
      </c>
      <c r="BG270" s="124" t="str">
        <f>IF($B270="","",IFERROR(AH270+AI270+AJ270,"n.b."))</f>
        <v/>
      </c>
      <c r="BH270" s="124" t="str">
        <f>IF($B270="","",IFERROR(AK270+AL270+AM270,"n.b."))</f>
        <v/>
      </c>
      <c r="BI270" s="124" t="str">
        <f>IF($B270="","",IFERROR(SUMIF($AB$5:$AM$5,"&lt;="&amp;P_PeilMaand,AB270:AM270),"n.b."))</f>
        <v/>
      </c>
      <c r="BJ270" s="124" t="str">
        <f>IF($B270="","",IFERROR(SUM(AB270:AM270)-BI270,"n.b."))</f>
        <v/>
      </c>
      <c r="BK270" s="124" t="str">
        <f>IF($B270="","",IFERROR(IF(ABS(Q270-(T270+SUM(AB270:AM270)+AS270+AU270))&gt;P_Tol,1,0),1))</f>
        <v/>
      </c>
      <c r="BL270" s="124" t="str">
        <f>IF($B270="","",IFERROR(IF(ABS(AA270-(Q270-Z270))&gt;P_Tol,1,0),1))</f>
        <v/>
      </c>
      <c r="BM270" s="124" t="str">
        <f>IF($B270="","",IFERROR(IF(ABS(Z270-(T270+W270))&gt;P_Tol,1,0),1))</f>
        <v/>
      </c>
      <c r="BN270" s="124" t="str">
        <f>IF($B270="","",IFERROR(IF(ABS(W270-BI270)&gt;P_Tol,1,0),1))</f>
        <v/>
      </c>
      <c r="BO270" s="124" t="str">
        <f>IF($B270="","",IFERROR(IF(OR(ABS(R270+S270-T270)&gt;P_Tol,ABS(U270+V270-W270)&gt;P_Tol,ABS(X270+Y270-Z270)&gt;P_Tol),1,0),1))</f>
        <v/>
      </c>
      <c r="BP270" s="124" t="str">
        <f>IF($B270="","",IFERROR(IF(OR(ABS(AR270-SUM(AB270:AM270))&gt;P_Tol,ABS(AS270-(AN270+AO270+AP270+AQ270))&gt;P_Tol),1,0),1))</f>
        <v/>
      </c>
      <c r="BQ270" s="124" t="str">
        <f>IF($B270="","",IFERROR(IF(ABS(AT270)+ABS(AV270)+ABS(AW270)+ABS(AX270)+ABS(AY270)+ABS(AZ270)+ABS(BA270)+ABS(BB270)&gt;0,1,0),1))</f>
        <v/>
      </c>
      <c r="BR270" s="124" t="str">
        <f>IF($B270="","",COUNTIF(STG_ZPMW03!$B$6:$B$505,B270))</f>
        <v/>
      </c>
      <c r="BS270" s="124" t="str">
        <f>IF($B270="","",COUNTIF($B$6:$B$505,B270))</f>
        <v/>
      </c>
      <c r="BT270" s="124" t="str">
        <f>IF($B270="","",IF(BR270=0,0,IF(INDEX(STG_ZPMW03!$I$6:$I$505,MATCH(B270,STG_ZPMW03!$B$6:$B$505,0))=J270&amp;"",0,1)))</f>
        <v/>
      </c>
      <c r="BU270" s="124" t="str">
        <f>IF($B270="","",IFERROR(IF(ABS(INDEX(Mapping!$D$5:$D$104,MATCH(B270,Mapping!$A$5:$A$104,0))-Q270)&gt;P_Tol,1,0),0))</f>
        <v/>
      </c>
      <c r="BV270" s="124" t="str">
        <f>IF($B270="","",IFERROR(IF(AND(INDEX(Mapping!$G$5:$G$104,MATCH(B270,Mapping!$A$5:$A$104,0))="Nee",ABS(Q270)+ABS(Z270)+ABS(AR270)&gt;0),1,0),0))</f>
        <v/>
      </c>
      <c r="BW270" s="124" t="str">
        <f>IF($B270="","",IF(COUNTIF(Mapping!$A$5:$A$104,B270)&gt;0,1,0))</f>
        <v/>
      </c>
      <c r="BX270" s="124" t="str">
        <f>IF($B270="","",IF(BR270=0,COUNTIF($BR$6:BR270,0),""))</f>
        <v/>
      </c>
    </row>
    <row r="271">
      <c r="A271" s="15" t="n">
        <v>267</v>
      </c>
      <c r="B271" t="str">
        <f>IF(B$3=0,"",IF(INDEX(SRC_Woningetalage!$A$1:$ZZ$501,$A271,B$3)&amp;""="","",INDEX(SRC_Woningetalage!$A$1:$ZZ$501,$A271,B$3)&amp;""))</f>
        <v/>
      </c>
      <c r="C271" t="str">
        <f>IF($B271="","",IF(C$3=0,"n.b.",INDEX(SRC_Woningetalage!$A$1:$ZZ$501,$A271,C$3)))</f>
        <v/>
      </c>
      <c r="D271" t="str">
        <f>IF($B271="","",IF(D$3=0,"n.b.",INDEX(SRC_Woningetalage!$A$1:$ZZ$501,$A271,D$3)))</f>
        <v/>
      </c>
      <c r="E271" t="str">
        <f>IF($B271="","",IF(E$3=0,"n.b.",INDEX(SRC_Woningetalage!$A$1:$ZZ$501,$A271,E$3)))</f>
        <v/>
      </c>
      <c r="F271" t="str">
        <f>IF($B271="","",IF(F$3=0,"n.b.",INDEX(SRC_Woningetalage!$A$1:$ZZ$501,$A271,F$3)))</f>
        <v/>
      </c>
      <c r="G271" t="str">
        <f>IF($B271="","",IF(G$3=0,"n.b.",INDEX(SRC_Woningetalage!$A$1:$ZZ$501,$A271,G$3)))</f>
        <v/>
      </c>
      <c r="H271" t="str">
        <f>IF($B271="","",IF(H$3=0,"n.b.",INDEX(SRC_Woningetalage!$A$1:$ZZ$501,$A271,H$3)))</f>
        <v/>
      </c>
      <c r="I271" t="str">
        <f>IF($B271="","",IF(I$3=0,"n.b.",INDEX(SRC_Woningetalage!$A$1:$ZZ$501,$A271,I$3)))</f>
        <v/>
      </c>
      <c r="J271" t="str">
        <f>IF($B271="","",IF(J$3=0,"n.b.",INDEX(SRC_Woningetalage!$A$1:$ZZ$501,$A271,J$3)))</f>
        <v/>
      </c>
      <c r="K271" t="str">
        <f>IF($B271="","",IF(K$3=0,"n.b.",INDEX(SRC_Woningetalage!$A$1:$ZZ$501,$A271,K$3)))</f>
        <v/>
      </c>
      <c r="L271" t="str">
        <f>IF($B271="","",IF(L$3=0,"n.b.",INDEX(SRC_Woningetalage!$A$1:$ZZ$501,$A271,L$3)))</f>
        <v/>
      </c>
      <c r="M271" t="str">
        <f>IF($B271="","",IF(M$3=0,"n.b.",INDEX(SRC_Woningetalage!$A$1:$ZZ$501,$A271,M$3)))</f>
        <v/>
      </c>
      <c r="N271" t="str">
        <f>IF($B271="","",IF(N$3=0,"n.b.",INDEX(SRC_Woningetalage!$A$1:$ZZ$501,$A271,N$3)))</f>
        <v/>
      </c>
      <c r="O271" t="str">
        <f>IF($B271="","",IF(O$3=0,"n.b.",INDEX(SRC_Woningetalage!$A$1:$ZZ$501,$A271,O$3)))</f>
        <v/>
      </c>
      <c r="P271" t="str">
        <f>IF($B271="","",IF(P$3=0,"n.b.",INDEX(SRC_Woningetalage!$A$1:$ZZ$501,$A271,P$3)))</f>
        <v/>
      </c>
      <c r="Q271" s="124" t="str">
        <f>IF($B271="","",IF(Q$3=0,"n.b.",INDEX(SRC_Woningetalage!$A$1:$ZZ$501,$A271,Q$3)))</f>
        <v/>
      </c>
      <c r="R271" s="124" t="str">
        <f>IF($B271="","",IF(R$3=0,"n.b.",INDEX(SRC_Woningetalage!$A$1:$ZZ$501,$A271,R$3)))</f>
        <v/>
      </c>
      <c r="S271" s="124" t="str">
        <f>IF($B271="","",IF(S$3=0,"n.b.",INDEX(SRC_Woningetalage!$A$1:$ZZ$501,$A271,S$3)))</f>
        <v/>
      </c>
      <c r="T271" s="124" t="str">
        <f>IF($B271="","",IF(T$3=0,"n.b.",INDEX(SRC_Woningetalage!$A$1:$ZZ$501,$A271,T$3)))</f>
        <v/>
      </c>
      <c r="U271" s="124" t="str">
        <f>IF($B271="","",IF(U$3=0,"n.b.",INDEX(SRC_Woningetalage!$A$1:$ZZ$501,$A271,U$3)))</f>
        <v/>
      </c>
      <c r="V271" s="124" t="str">
        <f>IF($B271="","",IF(V$3=0,"n.b.",INDEX(SRC_Woningetalage!$A$1:$ZZ$501,$A271,V$3)))</f>
        <v/>
      </c>
      <c r="W271" s="124" t="str">
        <f>IF($B271="","",IF(W$3=0,"n.b.",INDEX(SRC_Woningetalage!$A$1:$ZZ$501,$A271,W$3)))</f>
        <v/>
      </c>
      <c r="X271" s="124" t="str">
        <f>IF($B271="","",IF(X$3=0,"n.b.",INDEX(SRC_Woningetalage!$A$1:$ZZ$501,$A271,X$3)))</f>
        <v/>
      </c>
      <c r="Y271" s="124" t="str">
        <f>IF($B271="","",IF(Y$3=0,"n.b.",INDEX(SRC_Woningetalage!$A$1:$ZZ$501,$A271,Y$3)))</f>
        <v/>
      </c>
      <c r="Z271" s="124" t="str">
        <f>IF($B271="","",IF(Z$3=0,"n.b.",INDEX(SRC_Woningetalage!$A$1:$ZZ$501,$A271,Z$3)))</f>
        <v/>
      </c>
      <c r="AA271" s="124" t="str">
        <f>IF($B271="","",IF(AA$3=0,"n.b.",INDEX(SRC_Woningetalage!$A$1:$ZZ$501,$A271,AA$3)))</f>
        <v/>
      </c>
      <c r="AB271" s="124" t="str">
        <f>IF($B271="","",IF(AB$3=0,"n.b.",INDEX(SRC_Woningetalage!$A$1:$ZZ$501,$A271,AB$3)))</f>
        <v/>
      </c>
      <c r="AC271" s="124" t="str">
        <f>IF($B271="","",IF(AC$3=0,"n.b.",INDEX(SRC_Woningetalage!$A$1:$ZZ$501,$A271,AC$3)))</f>
        <v/>
      </c>
      <c r="AD271" s="124" t="str">
        <f>IF($B271="","",IF(AD$3=0,"n.b.",INDEX(SRC_Woningetalage!$A$1:$ZZ$501,$A271,AD$3)))</f>
        <v/>
      </c>
      <c r="AE271" s="124" t="str">
        <f>IF($B271="","",IF(AE$3=0,"n.b.",INDEX(SRC_Woningetalage!$A$1:$ZZ$501,$A271,AE$3)))</f>
        <v/>
      </c>
      <c r="AF271" s="124" t="str">
        <f>IF($B271="","",IF(AF$3=0,"n.b.",INDEX(SRC_Woningetalage!$A$1:$ZZ$501,$A271,AF$3)))</f>
        <v/>
      </c>
      <c r="AG271" s="124" t="str">
        <f>IF($B271="","",IF(AG$3=0,"n.b.",INDEX(SRC_Woningetalage!$A$1:$ZZ$501,$A271,AG$3)))</f>
        <v/>
      </c>
      <c r="AH271" s="124" t="str">
        <f>IF($B271="","",IF(AH$3=0,"n.b.",INDEX(SRC_Woningetalage!$A$1:$ZZ$501,$A271,AH$3)))</f>
        <v/>
      </c>
      <c r="AI271" s="124" t="str">
        <f>IF($B271="","",IF(AI$3=0,"n.b.",INDEX(SRC_Woningetalage!$A$1:$ZZ$501,$A271,AI$3)))</f>
        <v/>
      </c>
      <c r="AJ271" s="124" t="str">
        <f>IF($B271="","",IF(AJ$3=0,"n.b.",INDEX(SRC_Woningetalage!$A$1:$ZZ$501,$A271,AJ$3)))</f>
        <v/>
      </c>
      <c r="AK271" s="124" t="str">
        <f>IF($B271="","",IF(AK$3=0,"n.b.",INDEX(SRC_Woningetalage!$A$1:$ZZ$501,$A271,AK$3)))</f>
        <v/>
      </c>
      <c r="AL271" s="124" t="str">
        <f>IF($B271="","",IF(AL$3=0,"n.b.",INDEX(SRC_Woningetalage!$A$1:$ZZ$501,$A271,AL$3)))</f>
        <v/>
      </c>
      <c r="AM271" s="124" t="str">
        <f>IF($B271="","",IF(AM$3=0,"n.b.",INDEX(SRC_Woningetalage!$A$1:$ZZ$501,$A271,AM$3)))</f>
        <v/>
      </c>
      <c r="AN271" s="124" t="str">
        <f>IF($B271="","",IF(AN$3=0,"n.b.",INDEX(SRC_Woningetalage!$A$1:$ZZ$501,$A271,AN$3)))</f>
        <v/>
      </c>
      <c r="AO271" s="124" t="str">
        <f>IF($B271="","",IF(AO$3=0,"n.b.",INDEX(SRC_Woningetalage!$A$1:$ZZ$501,$A271,AO$3)))</f>
        <v/>
      </c>
      <c r="AP271" s="124" t="str">
        <f>IF($B271="","",IF(AP$3=0,"n.b.",INDEX(SRC_Woningetalage!$A$1:$ZZ$501,$A271,AP$3)))</f>
        <v/>
      </c>
      <c r="AQ271" s="124" t="str">
        <f>IF($B271="","",IF(AQ$3=0,"n.b.",INDEX(SRC_Woningetalage!$A$1:$ZZ$501,$A271,AQ$3)))</f>
        <v/>
      </c>
      <c r="AR271" s="124" t="str">
        <f>IF($B271="","",IF(AR$3=0,"n.b.",INDEX(SRC_Woningetalage!$A$1:$ZZ$501,$A271,AR$3)))</f>
        <v/>
      </c>
      <c r="AS271" s="124" t="str">
        <f>IF($B271="","",IF(AS$3=0,"n.b.",INDEX(SRC_Woningetalage!$A$1:$ZZ$501,$A271,AS$3)))</f>
        <v/>
      </c>
      <c r="AT271" s="124" t="str">
        <f>IF($B271="","",IF(AT$3=0,"n.b.",INDEX(SRC_Woningetalage!$A$1:$ZZ$501,$A271,AT$3)))</f>
        <v/>
      </c>
      <c r="AU271" s="124" t="str">
        <f>IF($B271="","",IF(AU$3=0,"n.b.",INDEX(SRC_Woningetalage!$A$1:$ZZ$501,$A271,AU$3)))</f>
        <v/>
      </c>
      <c r="AV271" s="124" t="str">
        <f>IF($B271="","",IF(AV$3=0,"n.b.",INDEX(SRC_Woningetalage!$A$1:$ZZ$501,$A271,AV$3)))</f>
        <v/>
      </c>
      <c r="AW271" s="124" t="str">
        <f>IF($B271="","",IF(AW$3=0,"n.b.",INDEX(SRC_Woningetalage!$A$1:$ZZ$501,$A271,AW$3)))</f>
        <v/>
      </c>
      <c r="AX271" s="124" t="str">
        <f>IF($B271="","",IF(AX$3=0,"n.b.",INDEX(SRC_Woningetalage!$A$1:$ZZ$501,$A271,AX$3)))</f>
        <v/>
      </c>
      <c r="AY271" s="124" t="str">
        <f>IF($B271="","",IF(AY$3=0,"n.b.",INDEX(SRC_Woningetalage!$A$1:$ZZ$501,$A271,AY$3)))</f>
        <v/>
      </c>
      <c r="AZ271" s="124" t="str">
        <f>IF($B271="","",IF(AZ$3=0,"n.b.",INDEX(SRC_Woningetalage!$A$1:$ZZ$501,$A271,AZ$3)))</f>
        <v/>
      </c>
      <c r="BA271" s="124" t="str">
        <f>IF($B271="","",IF(BA$3=0,"n.b.",INDEX(SRC_Woningetalage!$A$1:$ZZ$501,$A271,BA$3)))</f>
        <v/>
      </c>
      <c r="BB271" s="124" t="str">
        <f>IF($B271="","",IF(BB$3=0,"n.b.",INDEX(SRC_Woningetalage!$A$1:$ZZ$501,$A271,BB$3)))</f>
        <v/>
      </c>
      <c r="BC271" s="124" t="str">
        <f>IF($B271="","",IFERROR(_xlfn.NUMBERVALUE(E271&amp;"",",","."),"n.b."))</f>
        <v/>
      </c>
      <c r="BD271" s="124" t="str">
        <f>IF($B271="","",IFERROR(_xlfn.NUMBERVALUE(M271&amp;"",",","."),"n.b."))</f>
        <v/>
      </c>
      <c r="BE271" s="124" t="str">
        <f>IF($B271="","",IFERROR(AB271+AC271+AD271,"n.b."))</f>
        <v/>
      </c>
      <c r="BF271" s="124" t="str">
        <f>IF($B271="","",IFERROR(AE271+AF271+AG271,"n.b."))</f>
        <v/>
      </c>
      <c r="BG271" s="124" t="str">
        <f>IF($B271="","",IFERROR(AH271+AI271+AJ271,"n.b."))</f>
        <v/>
      </c>
      <c r="BH271" s="124" t="str">
        <f>IF($B271="","",IFERROR(AK271+AL271+AM271,"n.b."))</f>
        <v/>
      </c>
      <c r="BI271" s="124" t="str">
        <f>IF($B271="","",IFERROR(SUMIF($AB$5:$AM$5,"&lt;="&amp;P_PeilMaand,AB271:AM271),"n.b."))</f>
        <v/>
      </c>
      <c r="BJ271" s="124" t="str">
        <f>IF($B271="","",IFERROR(SUM(AB271:AM271)-BI271,"n.b."))</f>
        <v/>
      </c>
      <c r="BK271" s="124" t="str">
        <f>IF($B271="","",IFERROR(IF(ABS(Q271-(T271+SUM(AB271:AM271)+AS271+AU271))&gt;P_Tol,1,0),1))</f>
        <v/>
      </c>
      <c r="BL271" s="124" t="str">
        <f>IF($B271="","",IFERROR(IF(ABS(AA271-(Q271-Z271))&gt;P_Tol,1,0),1))</f>
        <v/>
      </c>
      <c r="BM271" s="124" t="str">
        <f>IF($B271="","",IFERROR(IF(ABS(Z271-(T271+W271))&gt;P_Tol,1,0),1))</f>
        <v/>
      </c>
      <c r="BN271" s="124" t="str">
        <f>IF($B271="","",IFERROR(IF(ABS(W271-BI271)&gt;P_Tol,1,0),1))</f>
        <v/>
      </c>
      <c r="BO271" s="124" t="str">
        <f>IF($B271="","",IFERROR(IF(OR(ABS(R271+S271-T271)&gt;P_Tol,ABS(U271+V271-W271)&gt;P_Tol,ABS(X271+Y271-Z271)&gt;P_Tol),1,0),1))</f>
        <v/>
      </c>
      <c r="BP271" s="124" t="str">
        <f>IF($B271="","",IFERROR(IF(OR(ABS(AR271-SUM(AB271:AM271))&gt;P_Tol,ABS(AS271-(AN271+AO271+AP271+AQ271))&gt;P_Tol),1,0),1))</f>
        <v/>
      </c>
      <c r="BQ271" s="124" t="str">
        <f>IF($B271="","",IFERROR(IF(ABS(AT271)+ABS(AV271)+ABS(AW271)+ABS(AX271)+ABS(AY271)+ABS(AZ271)+ABS(BA271)+ABS(BB271)&gt;0,1,0),1))</f>
        <v/>
      </c>
      <c r="BR271" s="124" t="str">
        <f>IF($B271="","",COUNTIF(STG_ZPMW03!$B$6:$B$505,B271))</f>
        <v/>
      </c>
      <c r="BS271" s="124" t="str">
        <f>IF($B271="","",COUNTIF($B$6:$B$505,B271))</f>
        <v/>
      </c>
      <c r="BT271" s="124" t="str">
        <f>IF($B271="","",IF(BR271=0,0,IF(INDEX(STG_ZPMW03!$I$6:$I$505,MATCH(B271,STG_ZPMW03!$B$6:$B$505,0))=J271&amp;"",0,1)))</f>
        <v/>
      </c>
      <c r="BU271" s="124" t="str">
        <f>IF($B271="","",IFERROR(IF(ABS(INDEX(Mapping!$D$5:$D$104,MATCH(B271,Mapping!$A$5:$A$104,0))-Q271)&gt;P_Tol,1,0),0))</f>
        <v/>
      </c>
      <c r="BV271" s="124" t="str">
        <f>IF($B271="","",IFERROR(IF(AND(INDEX(Mapping!$G$5:$G$104,MATCH(B271,Mapping!$A$5:$A$104,0))="Nee",ABS(Q271)+ABS(Z271)+ABS(AR271)&gt;0),1,0),0))</f>
        <v/>
      </c>
      <c r="BW271" s="124" t="str">
        <f>IF($B271="","",IF(COUNTIF(Mapping!$A$5:$A$104,B271)&gt;0,1,0))</f>
        <v/>
      </c>
      <c r="BX271" s="124" t="str">
        <f>IF($B271="","",IF(BR271=0,COUNTIF($BR$6:BR271,0),""))</f>
        <v/>
      </c>
    </row>
    <row r="272">
      <c r="A272" s="15" t="n">
        <v>268</v>
      </c>
      <c r="B272" t="str">
        <f>IF(B$3=0,"",IF(INDEX(SRC_Woningetalage!$A$1:$ZZ$501,$A272,B$3)&amp;""="","",INDEX(SRC_Woningetalage!$A$1:$ZZ$501,$A272,B$3)&amp;""))</f>
        <v/>
      </c>
      <c r="C272" t="str">
        <f>IF($B272="","",IF(C$3=0,"n.b.",INDEX(SRC_Woningetalage!$A$1:$ZZ$501,$A272,C$3)))</f>
        <v/>
      </c>
      <c r="D272" t="str">
        <f>IF($B272="","",IF(D$3=0,"n.b.",INDEX(SRC_Woningetalage!$A$1:$ZZ$501,$A272,D$3)))</f>
        <v/>
      </c>
      <c r="E272" t="str">
        <f>IF($B272="","",IF(E$3=0,"n.b.",INDEX(SRC_Woningetalage!$A$1:$ZZ$501,$A272,E$3)))</f>
        <v/>
      </c>
      <c r="F272" t="str">
        <f>IF($B272="","",IF(F$3=0,"n.b.",INDEX(SRC_Woningetalage!$A$1:$ZZ$501,$A272,F$3)))</f>
        <v/>
      </c>
      <c r="G272" t="str">
        <f>IF($B272="","",IF(G$3=0,"n.b.",INDEX(SRC_Woningetalage!$A$1:$ZZ$501,$A272,G$3)))</f>
        <v/>
      </c>
      <c r="H272" t="str">
        <f>IF($B272="","",IF(H$3=0,"n.b.",INDEX(SRC_Woningetalage!$A$1:$ZZ$501,$A272,H$3)))</f>
        <v/>
      </c>
      <c r="I272" t="str">
        <f>IF($B272="","",IF(I$3=0,"n.b.",INDEX(SRC_Woningetalage!$A$1:$ZZ$501,$A272,I$3)))</f>
        <v/>
      </c>
      <c r="J272" t="str">
        <f>IF($B272="","",IF(J$3=0,"n.b.",INDEX(SRC_Woningetalage!$A$1:$ZZ$501,$A272,J$3)))</f>
        <v/>
      </c>
      <c r="K272" t="str">
        <f>IF($B272="","",IF(K$3=0,"n.b.",INDEX(SRC_Woningetalage!$A$1:$ZZ$501,$A272,K$3)))</f>
        <v/>
      </c>
      <c r="L272" t="str">
        <f>IF($B272="","",IF(L$3=0,"n.b.",INDEX(SRC_Woningetalage!$A$1:$ZZ$501,$A272,L$3)))</f>
        <v/>
      </c>
      <c r="M272" t="str">
        <f>IF($B272="","",IF(M$3=0,"n.b.",INDEX(SRC_Woningetalage!$A$1:$ZZ$501,$A272,M$3)))</f>
        <v/>
      </c>
      <c r="N272" t="str">
        <f>IF($B272="","",IF(N$3=0,"n.b.",INDEX(SRC_Woningetalage!$A$1:$ZZ$501,$A272,N$3)))</f>
        <v/>
      </c>
      <c r="O272" t="str">
        <f>IF($B272="","",IF(O$3=0,"n.b.",INDEX(SRC_Woningetalage!$A$1:$ZZ$501,$A272,O$3)))</f>
        <v/>
      </c>
      <c r="P272" t="str">
        <f>IF($B272="","",IF(P$3=0,"n.b.",INDEX(SRC_Woningetalage!$A$1:$ZZ$501,$A272,P$3)))</f>
        <v/>
      </c>
      <c r="Q272" s="124" t="str">
        <f>IF($B272="","",IF(Q$3=0,"n.b.",INDEX(SRC_Woningetalage!$A$1:$ZZ$501,$A272,Q$3)))</f>
        <v/>
      </c>
      <c r="R272" s="124" t="str">
        <f>IF($B272="","",IF(R$3=0,"n.b.",INDEX(SRC_Woningetalage!$A$1:$ZZ$501,$A272,R$3)))</f>
        <v/>
      </c>
      <c r="S272" s="124" t="str">
        <f>IF($B272="","",IF(S$3=0,"n.b.",INDEX(SRC_Woningetalage!$A$1:$ZZ$501,$A272,S$3)))</f>
        <v/>
      </c>
      <c r="T272" s="124" t="str">
        <f>IF($B272="","",IF(T$3=0,"n.b.",INDEX(SRC_Woningetalage!$A$1:$ZZ$501,$A272,T$3)))</f>
        <v/>
      </c>
      <c r="U272" s="124" t="str">
        <f>IF($B272="","",IF(U$3=0,"n.b.",INDEX(SRC_Woningetalage!$A$1:$ZZ$501,$A272,U$3)))</f>
        <v/>
      </c>
      <c r="V272" s="124" t="str">
        <f>IF($B272="","",IF(V$3=0,"n.b.",INDEX(SRC_Woningetalage!$A$1:$ZZ$501,$A272,V$3)))</f>
        <v/>
      </c>
      <c r="W272" s="124" t="str">
        <f>IF($B272="","",IF(W$3=0,"n.b.",INDEX(SRC_Woningetalage!$A$1:$ZZ$501,$A272,W$3)))</f>
        <v/>
      </c>
      <c r="X272" s="124" t="str">
        <f>IF($B272="","",IF(X$3=0,"n.b.",INDEX(SRC_Woningetalage!$A$1:$ZZ$501,$A272,X$3)))</f>
        <v/>
      </c>
      <c r="Y272" s="124" t="str">
        <f>IF($B272="","",IF(Y$3=0,"n.b.",INDEX(SRC_Woningetalage!$A$1:$ZZ$501,$A272,Y$3)))</f>
        <v/>
      </c>
      <c r="Z272" s="124" t="str">
        <f>IF($B272="","",IF(Z$3=0,"n.b.",INDEX(SRC_Woningetalage!$A$1:$ZZ$501,$A272,Z$3)))</f>
        <v/>
      </c>
      <c r="AA272" s="124" t="str">
        <f>IF($B272="","",IF(AA$3=0,"n.b.",INDEX(SRC_Woningetalage!$A$1:$ZZ$501,$A272,AA$3)))</f>
        <v/>
      </c>
      <c r="AB272" s="124" t="str">
        <f>IF($B272="","",IF(AB$3=0,"n.b.",INDEX(SRC_Woningetalage!$A$1:$ZZ$501,$A272,AB$3)))</f>
        <v/>
      </c>
      <c r="AC272" s="124" t="str">
        <f>IF($B272="","",IF(AC$3=0,"n.b.",INDEX(SRC_Woningetalage!$A$1:$ZZ$501,$A272,AC$3)))</f>
        <v/>
      </c>
      <c r="AD272" s="124" t="str">
        <f>IF($B272="","",IF(AD$3=0,"n.b.",INDEX(SRC_Woningetalage!$A$1:$ZZ$501,$A272,AD$3)))</f>
        <v/>
      </c>
      <c r="AE272" s="124" t="str">
        <f>IF($B272="","",IF(AE$3=0,"n.b.",INDEX(SRC_Woningetalage!$A$1:$ZZ$501,$A272,AE$3)))</f>
        <v/>
      </c>
      <c r="AF272" s="124" t="str">
        <f>IF($B272="","",IF(AF$3=0,"n.b.",INDEX(SRC_Woningetalage!$A$1:$ZZ$501,$A272,AF$3)))</f>
        <v/>
      </c>
      <c r="AG272" s="124" t="str">
        <f>IF($B272="","",IF(AG$3=0,"n.b.",INDEX(SRC_Woningetalage!$A$1:$ZZ$501,$A272,AG$3)))</f>
        <v/>
      </c>
      <c r="AH272" s="124" t="str">
        <f>IF($B272="","",IF(AH$3=0,"n.b.",INDEX(SRC_Woningetalage!$A$1:$ZZ$501,$A272,AH$3)))</f>
        <v/>
      </c>
      <c r="AI272" s="124" t="str">
        <f>IF($B272="","",IF(AI$3=0,"n.b.",INDEX(SRC_Woningetalage!$A$1:$ZZ$501,$A272,AI$3)))</f>
        <v/>
      </c>
      <c r="AJ272" s="124" t="str">
        <f>IF($B272="","",IF(AJ$3=0,"n.b.",INDEX(SRC_Woningetalage!$A$1:$ZZ$501,$A272,AJ$3)))</f>
        <v/>
      </c>
      <c r="AK272" s="124" t="str">
        <f>IF($B272="","",IF(AK$3=0,"n.b.",INDEX(SRC_Woningetalage!$A$1:$ZZ$501,$A272,AK$3)))</f>
        <v/>
      </c>
      <c r="AL272" s="124" t="str">
        <f>IF($B272="","",IF(AL$3=0,"n.b.",INDEX(SRC_Woningetalage!$A$1:$ZZ$501,$A272,AL$3)))</f>
        <v/>
      </c>
      <c r="AM272" s="124" t="str">
        <f>IF($B272="","",IF(AM$3=0,"n.b.",INDEX(SRC_Woningetalage!$A$1:$ZZ$501,$A272,AM$3)))</f>
        <v/>
      </c>
      <c r="AN272" s="124" t="str">
        <f>IF($B272="","",IF(AN$3=0,"n.b.",INDEX(SRC_Woningetalage!$A$1:$ZZ$501,$A272,AN$3)))</f>
        <v/>
      </c>
      <c r="AO272" s="124" t="str">
        <f>IF($B272="","",IF(AO$3=0,"n.b.",INDEX(SRC_Woningetalage!$A$1:$ZZ$501,$A272,AO$3)))</f>
        <v/>
      </c>
      <c r="AP272" s="124" t="str">
        <f>IF($B272="","",IF(AP$3=0,"n.b.",INDEX(SRC_Woningetalage!$A$1:$ZZ$501,$A272,AP$3)))</f>
        <v/>
      </c>
      <c r="AQ272" s="124" t="str">
        <f>IF($B272="","",IF(AQ$3=0,"n.b.",INDEX(SRC_Woningetalage!$A$1:$ZZ$501,$A272,AQ$3)))</f>
        <v/>
      </c>
      <c r="AR272" s="124" t="str">
        <f>IF($B272="","",IF(AR$3=0,"n.b.",INDEX(SRC_Woningetalage!$A$1:$ZZ$501,$A272,AR$3)))</f>
        <v/>
      </c>
      <c r="AS272" s="124" t="str">
        <f>IF($B272="","",IF(AS$3=0,"n.b.",INDEX(SRC_Woningetalage!$A$1:$ZZ$501,$A272,AS$3)))</f>
        <v/>
      </c>
      <c r="AT272" s="124" t="str">
        <f>IF($B272="","",IF(AT$3=0,"n.b.",INDEX(SRC_Woningetalage!$A$1:$ZZ$501,$A272,AT$3)))</f>
        <v/>
      </c>
      <c r="AU272" s="124" t="str">
        <f>IF($B272="","",IF(AU$3=0,"n.b.",INDEX(SRC_Woningetalage!$A$1:$ZZ$501,$A272,AU$3)))</f>
        <v/>
      </c>
      <c r="AV272" s="124" t="str">
        <f>IF($B272="","",IF(AV$3=0,"n.b.",INDEX(SRC_Woningetalage!$A$1:$ZZ$501,$A272,AV$3)))</f>
        <v/>
      </c>
      <c r="AW272" s="124" t="str">
        <f>IF($B272="","",IF(AW$3=0,"n.b.",INDEX(SRC_Woningetalage!$A$1:$ZZ$501,$A272,AW$3)))</f>
        <v/>
      </c>
      <c r="AX272" s="124" t="str">
        <f>IF($B272="","",IF(AX$3=0,"n.b.",INDEX(SRC_Woningetalage!$A$1:$ZZ$501,$A272,AX$3)))</f>
        <v/>
      </c>
      <c r="AY272" s="124" t="str">
        <f>IF($B272="","",IF(AY$3=0,"n.b.",INDEX(SRC_Woningetalage!$A$1:$ZZ$501,$A272,AY$3)))</f>
        <v/>
      </c>
      <c r="AZ272" s="124" t="str">
        <f>IF($B272="","",IF(AZ$3=0,"n.b.",INDEX(SRC_Woningetalage!$A$1:$ZZ$501,$A272,AZ$3)))</f>
        <v/>
      </c>
      <c r="BA272" s="124" t="str">
        <f>IF($B272="","",IF(BA$3=0,"n.b.",INDEX(SRC_Woningetalage!$A$1:$ZZ$501,$A272,BA$3)))</f>
        <v/>
      </c>
      <c r="BB272" s="124" t="str">
        <f>IF($B272="","",IF(BB$3=0,"n.b.",INDEX(SRC_Woningetalage!$A$1:$ZZ$501,$A272,BB$3)))</f>
        <v/>
      </c>
      <c r="BC272" s="124" t="str">
        <f>IF($B272="","",IFERROR(_xlfn.NUMBERVALUE(E272&amp;"",",","."),"n.b."))</f>
        <v/>
      </c>
      <c r="BD272" s="124" t="str">
        <f>IF($B272="","",IFERROR(_xlfn.NUMBERVALUE(M272&amp;"",",","."),"n.b."))</f>
        <v/>
      </c>
      <c r="BE272" s="124" t="str">
        <f>IF($B272="","",IFERROR(AB272+AC272+AD272,"n.b."))</f>
        <v/>
      </c>
      <c r="BF272" s="124" t="str">
        <f>IF($B272="","",IFERROR(AE272+AF272+AG272,"n.b."))</f>
        <v/>
      </c>
      <c r="BG272" s="124" t="str">
        <f>IF($B272="","",IFERROR(AH272+AI272+AJ272,"n.b."))</f>
        <v/>
      </c>
      <c r="BH272" s="124" t="str">
        <f>IF($B272="","",IFERROR(AK272+AL272+AM272,"n.b."))</f>
        <v/>
      </c>
      <c r="BI272" s="124" t="str">
        <f>IF($B272="","",IFERROR(SUMIF($AB$5:$AM$5,"&lt;="&amp;P_PeilMaand,AB272:AM272),"n.b."))</f>
        <v/>
      </c>
      <c r="BJ272" s="124" t="str">
        <f>IF($B272="","",IFERROR(SUM(AB272:AM272)-BI272,"n.b."))</f>
        <v/>
      </c>
      <c r="BK272" s="124" t="str">
        <f>IF($B272="","",IFERROR(IF(ABS(Q272-(T272+SUM(AB272:AM272)+AS272+AU272))&gt;P_Tol,1,0),1))</f>
        <v/>
      </c>
      <c r="BL272" s="124" t="str">
        <f>IF($B272="","",IFERROR(IF(ABS(AA272-(Q272-Z272))&gt;P_Tol,1,0),1))</f>
        <v/>
      </c>
      <c r="BM272" s="124" t="str">
        <f>IF($B272="","",IFERROR(IF(ABS(Z272-(T272+W272))&gt;P_Tol,1,0),1))</f>
        <v/>
      </c>
      <c r="BN272" s="124" t="str">
        <f>IF($B272="","",IFERROR(IF(ABS(W272-BI272)&gt;P_Tol,1,0),1))</f>
        <v/>
      </c>
      <c r="BO272" s="124" t="str">
        <f>IF($B272="","",IFERROR(IF(OR(ABS(R272+S272-T272)&gt;P_Tol,ABS(U272+V272-W272)&gt;P_Tol,ABS(X272+Y272-Z272)&gt;P_Tol),1,0),1))</f>
        <v/>
      </c>
      <c r="BP272" s="124" t="str">
        <f>IF($B272="","",IFERROR(IF(OR(ABS(AR272-SUM(AB272:AM272))&gt;P_Tol,ABS(AS272-(AN272+AO272+AP272+AQ272))&gt;P_Tol),1,0),1))</f>
        <v/>
      </c>
      <c r="BQ272" s="124" t="str">
        <f>IF($B272="","",IFERROR(IF(ABS(AT272)+ABS(AV272)+ABS(AW272)+ABS(AX272)+ABS(AY272)+ABS(AZ272)+ABS(BA272)+ABS(BB272)&gt;0,1,0),1))</f>
        <v/>
      </c>
      <c r="BR272" s="124" t="str">
        <f>IF($B272="","",COUNTIF(STG_ZPMW03!$B$6:$B$505,B272))</f>
        <v/>
      </c>
      <c r="BS272" s="124" t="str">
        <f>IF($B272="","",COUNTIF($B$6:$B$505,B272))</f>
        <v/>
      </c>
      <c r="BT272" s="124" t="str">
        <f>IF($B272="","",IF(BR272=0,0,IF(INDEX(STG_ZPMW03!$I$6:$I$505,MATCH(B272,STG_ZPMW03!$B$6:$B$505,0))=J272&amp;"",0,1)))</f>
        <v/>
      </c>
      <c r="BU272" s="124" t="str">
        <f>IF($B272="","",IFERROR(IF(ABS(INDEX(Mapping!$D$5:$D$104,MATCH(B272,Mapping!$A$5:$A$104,0))-Q272)&gt;P_Tol,1,0),0))</f>
        <v/>
      </c>
      <c r="BV272" s="124" t="str">
        <f>IF($B272="","",IFERROR(IF(AND(INDEX(Mapping!$G$5:$G$104,MATCH(B272,Mapping!$A$5:$A$104,0))="Nee",ABS(Q272)+ABS(Z272)+ABS(AR272)&gt;0),1,0),0))</f>
        <v/>
      </c>
      <c r="BW272" s="124" t="str">
        <f>IF($B272="","",IF(COUNTIF(Mapping!$A$5:$A$104,B272)&gt;0,1,0))</f>
        <v/>
      </c>
      <c r="BX272" s="124" t="str">
        <f>IF($B272="","",IF(BR272=0,COUNTIF($BR$6:BR272,0),""))</f>
        <v/>
      </c>
    </row>
    <row r="273">
      <c r="A273" s="15" t="n">
        <v>269</v>
      </c>
      <c r="B273" t="str">
        <f>IF(B$3=0,"",IF(INDEX(SRC_Woningetalage!$A$1:$ZZ$501,$A273,B$3)&amp;""="","",INDEX(SRC_Woningetalage!$A$1:$ZZ$501,$A273,B$3)&amp;""))</f>
        <v/>
      </c>
      <c r="C273" t="str">
        <f>IF($B273="","",IF(C$3=0,"n.b.",INDEX(SRC_Woningetalage!$A$1:$ZZ$501,$A273,C$3)))</f>
        <v/>
      </c>
      <c r="D273" t="str">
        <f>IF($B273="","",IF(D$3=0,"n.b.",INDEX(SRC_Woningetalage!$A$1:$ZZ$501,$A273,D$3)))</f>
        <v/>
      </c>
      <c r="E273" t="str">
        <f>IF($B273="","",IF(E$3=0,"n.b.",INDEX(SRC_Woningetalage!$A$1:$ZZ$501,$A273,E$3)))</f>
        <v/>
      </c>
      <c r="F273" t="str">
        <f>IF($B273="","",IF(F$3=0,"n.b.",INDEX(SRC_Woningetalage!$A$1:$ZZ$501,$A273,F$3)))</f>
        <v/>
      </c>
      <c r="G273" t="str">
        <f>IF($B273="","",IF(G$3=0,"n.b.",INDEX(SRC_Woningetalage!$A$1:$ZZ$501,$A273,G$3)))</f>
        <v/>
      </c>
      <c r="H273" t="str">
        <f>IF($B273="","",IF(H$3=0,"n.b.",INDEX(SRC_Woningetalage!$A$1:$ZZ$501,$A273,H$3)))</f>
        <v/>
      </c>
      <c r="I273" t="str">
        <f>IF($B273="","",IF(I$3=0,"n.b.",INDEX(SRC_Woningetalage!$A$1:$ZZ$501,$A273,I$3)))</f>
        <v/>
      </c>
      <c r="J273" t="str">
        <f>IF($B273="","",IF(J$3=0,"n.b.",INDEX(SRC_Woningetalage!$A$1:$ZZ$501,$A273,J$3)))</f>
        <v/>
      </c>
      <c r="K273" t="str">
        <f>IF($B273="","",IF(K$3=0,"n.b.",INDEX(SRC_Woningetalage!$A$1:$ZZ$501,$A273,K$3)))</f>
        <v/>
      </c>
      <c r="L273" t="str">
        <f>IF($B273="","",IF(L$3=0,"n.b.",INDEX(SRC_Woningetalage!$A$1:$ZZ$501,$A273,L$3)))</f>
        <v/>
      </c>
      <c r="M273" t="str">
        <f>IF($B273="","",IF(M$3=0,"n.b.",INDEX(SRC_Woningetalage!$A$1:$ZZ$501,$A273,M$3)))</f>
        <v/>
      </c>
      <c r="N273" t="str">
        <f>IF($B273="","",IF(N$3=0,"n.b.",INDEX(SRC_Woningetalage!$A$1:$ZZ$501,$A273,N$3)))</f>
        <v/>
      </c>
      <c r="O273" t="str">
        <f>IF($B273="","",IF(O$3=0,"n.b.",INDEX(SRC_Woningetalage!$A$1:$ZZ$501,$A273,O$3)))</f>
        <v/>
      </c>
      <c r="P273" t="str">
        <f>IF($B273="","",IF(P$3=0,"n.b.",INDEX(SRC_Woningetalage!$A$1:$ZZ$501,$A273,P$3)))</f>
        <v/>
      </c>
      <c r="Q273" s="124" t="str">
        <f>IF($B273="","",IF(Q$3=0,"n.b.",INDEX(SRC_Woningetalage!$A$1:$ZZ$501,$A273,Q$3)))</f>
        <v/>
      </c>
      <c r="R273" s="124" t="str">
        <f>IF($B273="","",IF(R$3=0,"n.b.",INDEX(SRC_Woningetalage!$A$1:$ZZ$501,$A273,R$3)))</f>
        <v/>
      </c>
      <c r="S273" s="124" t="str">
        <f>IF($B273="","",IF(S$3=0,"n.b.",INDEX(SRC_Woningetalage!$A$1:$ZZ$501,$A273,S$3)))</f>
        <v/>
      </c>
      <c r="T273" s="124" t="str">
        <f>IF($B273="","",IF(T$3=0,"n.b.",INDEX(SRC_Woningetalage!$A$1:$ZZ$501,$A273,T$3)))</f>
        <v/>
      </c>
      <c r="U273" s="124" t="str">
        <f>IF($B273="","",IF(U$3=0,"n.b.",INDEX(SRC_Woningetalage!$A$1:$ZZ$501,$A273,U$3)))</f>
        <v/>
      </c>
      <c r="V273" s="124" t="str">
        <f>IF($B273="","",IF(V$3=0,"n.b.",INDEX(SRC_Woningetalage!$A$1:$ZZ$501,$A273,V$3)))</f>
        <v/>
      </c>
      <c r="W273" s="124" t="str">
        <f>IF($B273="","",IF(W$3=0,"n.b.",INDEX(SRC_Woningetalage!$A$1:$ZZ$501,$A273,W$3)))</f>
        <v/>
      </c>
      <c r="X273" s="124" t="str">
        <f>IF($B273="","",IF(X$3=0,"n.b.",INDEX(SRC_Woningetalage!$A$1:$ZZ$501,$A273,X$3)))</f>
        <v/>
      </c>
      <c r="Y273" s="124" t="str">
        <f>IF($B273="","",IF(Y$3=0,"n.b.",INDEX(SRC_Woningetalage!$A$1:$ZZ$501,$A273,Y$3)))</f>
        <v/>
      </c>
      <c r="Z273" s="124" t="str">
        <f>IF($B273="","",IF(Z$3=0,"n.b.",INDEX(SRC_Woningetalage!$A$1:$ZZ$501,$A273,Z$3)))</f>
        <v/>
      </c>
      <c r="AA273" s="124" t="str">
        <f>IF($B273="","",IF(AA$3=0,"n.b.",INDEX(SRC_Woningetalage!$A$1:$ZZ$501,$A273,AA$3)))</f>
        <v/>
      </c>
      <c r="AB273" s="124" t="str">
        <f>IF($B273="","",IF(AB$3=0,"n.b.",INDEX(SRC_Woningetalage!$A$1:$ZZ$501,$A273,AB$3)))</f>
        <v/>
      </c>
      <c r="AC273" s="124" t="str">
        <f>IF($B273="","",IF(AC$3=0,"n.b.",INDEX(SRC_Woningetalage!$A$1:$ZZ$501,$A273,AC$3)))</f>
        <v/>
      </c>
      <c r="AD273" s="124" t="str">
        <f>IF($B273="","",IF(AD$3=0,"n.b.",INDEX(SRC_Woningetalage!$A$1:$ZZ$501,$A273,AD$3)))</f>
        <v/>
      </c>
      <c r="AE273" s="124" t="str">
        <f>IF($B273="","",IF(AE$3=0,"n.b.",INDEX(SRC_Woningetalage!$A$1:$ZZ$501,$A273,AE$3)))</f>
        <v/>
      </c>
      <c r="AF273" s="124" t="str">
        <f>IF($B273="","",IF(AF$3=0,"n.b.",INDEX(SRC_Woningetalage!$A$1:$ZZ$501,$A273,AF$3)))</f>
        <v/>
      </c>
      <c r="AG273" s="124" t="str">
        <f>IF($B273="","",IF(AG$3=0,"n.b.",INDEX(SRC_Woningetalage!$A$1:$ZZ$501,$A273,AG$3)))</f>
        <v/>
      </c>
      <c r="AH273" s="124" t="str">
        <f>IF($B273="","",IF(AH$3=0,"n.b.",INDEX(SRC_Woningetalage!$A$1:$ZZ$501,$A273,AH$3)))</f>
        <v/>
      </c>
      <c r="AI273" s="124" t="str">
        <f>IF($B273="","",IF(AI$3=0,"n.b.",INDEX(SRC_Woningetalage!$A$1:$ZZ$501,$A273,AI$3)))</f>
        <v/>
      </c>
      <c r="AJ273" s="124" t="str">
        <f>IF($B273="","",IF(AJ$3=0,"n.b.",INDEX(SRC_Woningetalage!$A$1:$ZZ$501,$A273,AJ$3)))</f>
        <v/>
      </c>
      <c r="AK273" s="124" t="str">
        <f>IF($B273="","",IF(AK$3=0,"n.b.",INDEX(SRC_Woningetalage!$A$1:$ZZ$501,$A273,AK$3)))</f>
        <v/>
      </c>
      <c r="AL273" s="124" t="str">
        <f>IF($B273="","",IF(AL$3=0,"n.b.",INDEX(SRC_Woningetalage!$A$1:$ZZ$501,$A273,AL$3)))</f>
        <v/>
      </c>
      <c r="AM273" s="124" t="str">
        <f>IF($B273="","",IF(AM$3=0,"n.b.",INDEX(SRC_Woningetalage!$A$1:$ZZ$501,$A273,AM$3)))</f>
        <v/>
      </c>
      <c r="AN273" s="124" t="str">
        <f>IF($B273="","",IF(AN$3=0,"n.b.",INDEX(SRC_Woningetalage!$A$1:$ZZ$501,$A273,AN$3)))</f>
        <v/>
      </c>
      <c r="AO273" s="124" t="str">
        <f>IF($B273="","",IF(AO$3=0,"n.b.",INDEX(SRC_Woningetalage!$A$1:$ZZ$501,$A273,AO$3)))</f>
        <v/>
      </c>
      <c r="AP273" s="124" t="str">
        <f>IF($B273="","",IF(AP$3=0,"n.b.",INDEX(SRC_Woningetalage!$A$1:$ZZ$501,$A273,AP$3)))</f>
        <v/>
      </c>
      <c r="AQ273" s="124" t="str">
        <f>IF($B273="","",IF(AQ$3=0,"n.b.",INDEX(SRC_Woningetalage!$A$1:$ZZ$501,$A273,AQ$3)))</f>
        <v/>
      </c>
      <c r="AR273" s="124" t="str">
        <f>IF($B273="","",IF(AR$3=0,"n.b.",INDEX(SRC_Woningetalage!$A$1:$ZZ$501,$A273,AR$3)))</f>
        <v/>
      </c>
      <c r="AS273" s="124" t="str">
        <f>IF($B273="","",IF(AS$3=0,"n.b.",INDEX(SRC_Woningetalage!$A$1:$ZZ$501,$A273,AS$3)))</f>
        <v/>
      </c>
      <c r="AT273" s="124" t="str">
        <f>IF($B273="","",IF(AT$3=0,"n.b.",INDEX(SRC_Woningetalage!$A$1:$ZZ$501,$A273,AT$3)))</f>
        <v/>
      </c>
      <c r="AU273" s="124" t="str">
        <f>IF($B273="","",IF(AU$3=0,"n.b.",INDEX(SRC_Woningetalage!$A$1:$ZZ$501,$A273,AU$3)))</f>
        <v/>
      </c>
      <c r="AV273" s="124" t="str">
        <f>IF($B273="","",IF(AV$3=0,"n.b.",INDEX(SRC_Woningetalage!$A$1:$ZZ$501,$A273,AV$3)))</f>
        <v/>
      </c>
      <c r="AW273" s="124" t="str">
        <f>IF($B273="","",IF(AW$3=0,"n.b.",INDEX(SRC_Woningetalage!$A$1:$ZZ$501,$A273,AW$3)))</f>
        <v/>
      </c>
      <c r="AX273" s="124" t="str">
        <f>IF($B273="","",IF(AX$3=0,"n.b.",INDEX(SRC_Woningetalage!$A$1:$ZZ$501,$A273,AX$3)))</f>
        <v/>
      </c>
      <c r="AY273" s="124" t="str">
        <f>IF($B273="","",IF(AY$3=0,"n.b.",INDEX(SRC_Woningetalage!$A$1:$ZZ$501,$A273,AY$3)))</f>
        <v/>
      </c>
      <c r="AZ273" s="124" t="str">
        <f>IF($B273="","",IF(AZ$3=0,"n.b.",INDEX(SRC_Woningetalage!$A$1:$ZZ$501,$A273,AZ$3)))</f>
        <v/>
      </c>
      <c r="BA273" s="124" t="str">
        <f>IF($B273="","",IF(BA$3=0,"n.b.",INDEX(SRC_Woningetalage!$A$1:$ZZ$501,$A273,BA$3)))</f>
        <v/>
      </c>
      <c r="BB273" s="124" t="str">
        <f>IF($B273="","",IF(BB$3=0,"n.b.",INDEX(SRC_Woningetalage!$A$1:$ZZ$501,$A273,BB$3)))</f>
        <v/>
      </c>
      <c r="BC273" s="124" t="str">
        <f>IF($B273="","",IFERROR(_xlfn.NUMBERVALUE(E273&amp;"",",","."),"n.b."))</f>
        <v/>
      </c>
      <c r="BD273" s="124" t="str">
        <f>IF($B273="","",IFERROR(_xlfn.NUMBERVALUE(M273&amp;"",",","."),"n.b."))</f>
        <v/>
      </c>
      <c r="BE273" s="124" t="str">
        <f>IF($B273="","",IFERROR(AB273+AC273+AD273,"n.b."))</f>
        <v/>
      </c>
      <c r="BF273" s="124" t="str">
        <f>IF($B273="","",IFERROR(AE273+AF273+AG273,"n.b."))</f>
        <v/>
      </c>
      <c r="BG273" s="124" t="str">
        <f>IF($B273="","",IFERROR(AH273+AI273+AJ273,"n.b."))</f>
        <v/>
      </c>
      <c r="BH273" s="124" t="str">
        <f>IF($B273="","",IFERROR(AK273+AL273+AM273,"n.b."))</f>
        <v/>
      </c>
      <c r="BI273" s="124" t="str">
        <f>IF($B273="","",IFERROR(SUMIF($AB$5:$AM$5,"&lt;="&amp;P_PeilMaand,AB273:AM273),"n.b."))</f>
        <v/>
      </c>
      <c r="BJ273" s="124" t="str">
        <f>IF($B273="","",IFERROR(SUM(AB273:AM273)-BI273,"n.b."))</f>
        <v/>
      </c>
      <c r="BK273" s="124" t="str">
        <f>IF($B273="","",IFERROR(IF(ABS(Q273-(T273+SUM(AB273:AM273)+AS273+AU273))&gt;P_Tol,1,0),1))</f>
        <v/>
      </c>
      <c r="BL273" s="124" t="str">
        <f>IF($B273="","",IFERROR(IF(ABS(AA273-(Q273-Z273))&gt;P_Tol,1,0),1))</f>
        <v/>
      </c>
      <c r="BM273" s="124" t="str">
        <f>IF($B273="","",IFERROR(IF(ABS(Z273-(T273+W273))&gt;P_Tol,1,0),1))</f>
        <v/>
      </c>
      <c r="BN273" s="124" t="str">
        <f>IF($B273="","",IFERROR(IF(ABS(W273-BI273)&gt;P_Tol,1,0),1))</f>
        <v/>
      </c>
      <c r="BO273" s="124" t="str">
        <f>IF($B273="","",IFERROR(IF(OR(ABS(R273+S273-T273)&gt;P_Tol,ABS(U273+V273-W273)&gt;P_Tol,ABS(X273+Y273-Z273)&gt;P_Tol),1,0),1))</f>
        <v/>
      </c>
      <c r="BP273" s="124" t="str">
        <f>IF($B273="","",IFERROR(IF(OR(ABS(AR273-SUM(AB273:AM273))&gt;P_Tol,ABS(AS273-(AN273+AO273+AP273+AQ273))&gt;P_Tol),1,0),1))</f>
        <v/>
      </c>
      <c r="BQ273" s="124" t="str">
        <f>IF($B273="","",IFERROR(IF(ABS(AT273)+ABS(AV273)+ABS(AW273)+ABS(AX273)+ABS(AY273)+ABS(AZ273)+ABS(BA273)+ABS(BB273)&gt;0,1,0),1))</f>
        <v/>
      </c>
      <c r="BR273" s="124" t="str">
        <f>IF($B273="","",COUNTIF(STG_ZPMW03!$B$6:$B$505,B273))</f>
        <v/>
      </c>
      <c r="BS273" s="124" t="str">
        <f>IF($B273="","",COUNTIF($B$6:$B$505,B273))</f>
        <v/>
      </c>
      <c r="BT273" s="124" t="str">
        <f>IF($B273="","",IF(BR273=0,0,IF(INDEX(STG_ZPMW03!$I$6:$I$505,MATCH(B273,STG_ZPMW03!$B$6:$B$505,0))=J273&amp;"",0,1)))</f>
        <v/>
      </c>
      <c r="BU273" s="124" t="str">
        <f>IF($B273="","",IFERROR(IF(ABS(INDEX(Mapping!$D$5:$D$104,MATCH(B273,Mapping!$A$5:$A$104,0))-Q273)&gt;P_Tol,1,0),0))</f>
        <v/>
      </c>
      <c r="BV273" s="124" t="str">
        <f>IF($B273="","",IFERROR(IF(AND(INDEX(Mapping!$G$5:$G$104,MATCH(B273,Mapping!$A$5:$A$104,0))="Nee",ABS(Q273)+ABS(Z273)+ABS(AR273)&gt;0),1,0),0))</f>
        <v/>
      </c>
      <c r="BW273" s="124" t="str">
        <f>IF($B273="","",IF(COUNTIF(Mapping!$A$5:$A$104,B273)&gt;0,1,0))</f>
        <v/>
      </c>
      <c r="BX273" s="124" t="str">
        <f>IF($B273="","",IF(BR273=0,COUNTIF($BR$6:BR273,0),""))</f>
        <v/>
      </c>
    </row>
    <row r="274">
      <c r="A274" s="15" t="n">
        <v>270</v>
      </c>
      <c r="B274" t="str">
        <f>IF(B$3=0,"",IF(INDEX(SRC_Woningetalage!$A$1:$ZZ$501,$A274,B$3)&amp;""="","",INDEX(SRC_Woningetalage!$A$1:$ZZ$501,$A274,B$3)&amp;""))</f>
        <v/>
      </c>
      <c r="C274" t="str">
        <f>IF($B274="","",IF(C$3=0,"n.b.",INDEX(SRC_Woningetalage!$A$1:$ZZ$501,$A274,C$3)))</f>
        <v/>
      </c>
      <c r="D274" t="str">
        <f>IF($B274="","",IF(D$3=0,"n.b.",INDEX(SRC_Woningetalage!$A$1:$ZZ$501,$A274,D$3)))</f>
        <v/>
      </c>
      <c r="E274" t="str">
        <f>IF($B274="","",IF(E$3=0,"n.b.",INDEX(SRC_Woningetalage!$A$1:$ZZ$501,$A274,E$3)))</f>
        <v/>
      </c>
      <c r="F274" t="str">
        <f>IF($B274="","",IF(F$3=0,"n.b.",INDEX(SRC_Woningetalage!$A$1:$ZZ$501,$A274,F$3)))</f>
        <v/>
      </c>
      <c r="G274" t="str">
        <f>IF($B274="","",IF(G$3=0,"n.b.",INDEX(SRC_Woningetalage!$A$1:$ZZ$501,$A274,G$3)))</f>
        <v/>
      </c>
      <c r="H274" t="str">
        <f>IF($B274="","",IF(H$3=0,"n.b.",INDEX(SRC_Woningetalage!$A$1:$ZZ$501,$A274,H$3)))</f>
        <v/>
      </c>
      <c r="I274" t="str">
        <f>IF($B274="","",IF(I$3=0,"n.b.",INDEX(SRC_Woningetalage!$A$1:$ZZ$501,$A274,I$3)))</f>
        <v/>
      </c>
      <c r="J274" t="str">
        <f>IF($B274="","",IF(J$3=0,"n.b.",INDEX(SRC_Woningetalage!$A$1:$ZZ$501,$A274,J$3)))</f>
        <v/>
      </c>
      <c r="K274" t="str">
        <f>IF($B274="","",IF(K$3=0,"n.b.",INDEX(SRC_Woningetalage!$A$1:$ZZ$501,$A274,K$3)))</f>
        <v/>
      </c>
      <c r="L274" t="str">
        <f>IF($B274="","",IF(L$3=0,"n.b.",INDEX(SRC_Woningetalage!$A$1:$ZZ$501,$A274,L$3)))</f>
        <v/>
      </c>
      <c r="M274" t="str">
        <f>IF($B274="","",IF(M$3=0,"n.b.",INDEX(SRC_Woningetalage!$A$1:$ZZ$501,$A274,M$3)))</f>
        <v/>
      </c>
      <c r="N274" t="str">
        <f>IF($B274="","",IF(N$3=0,"n.b.",INDEX(SRC_Woningetalage!$A$1:$ZZ$501,$A274,N$3)))</f>
        <v/>
      </c>
      <c r="O274" t="str">
        <f>IF($B274="","",IF(O$3=0,"n.b.",INDEX(SRC_Woningetalage!$A$1:$ZZ$501,$A274,O$3)))</f>
        <v/>
      </c>
      <c r="P274" t="str">
        <f>IF($B274="","",IF(P$3=0,"n.b.",INDEX(SRC_Woningetalage!$A$1:$ZZ$501,$A274,P$3)))</f>
        <v/>
      </c>
      <c r="Q274" s="124" t="str">
        <f>IF($B274="","",IF(Q$3=0,"n.b.",INDEX(SRC_Woningetalage!$A$1:$ZZ$501,$A274,Q$3)))</f>
        <v/>
      </c>
      <c r="R274" s="124" t="str">
        <f>IF($B274="","",IF(R$3=0,"n.b.",INDEX(SRC_Woningetalage!$A$1:$ZZ$501,$A274,R$3)))</f>
        <v/>
      </c>
      <c r="S274" s="124" t="str">
        <f>IF($B274="","",IF(S$3=0,"n.b.",INDEX(SRC_Woningetalage!$A$1:$ZZ$501,$A274,S$3)))</f>
        <v/>
      </c>
      <c r="T274" s="124" t="str">
        <f>IF($B274="","",IF(T$3=0,"n.b.",INDEX(SRC_Woningetalage!$A$1:$ZZ$501,$A274,T$3)))</f>
        <v/>
      </c>
      <c r="U274" s="124" t="str">
        <f>IF($B274="","",IF(U$3=0,"n.b.",INDEX(SRC_Woningetalage!$A$1:$ZZ$501,$A274,U$3)))</f>
        <v/>
      </c>
      <c r="V274" s="124" t="str">
        <f>IF($B274="","",IF(V$3=0,"n.b.",INDEX(SRC_Woningetalage!$A$1:$ZZ$501,$A274,V$3)))</f>
        <v/>
      </c>
      <c r="W274" s="124" t="str">
        <f>IF($B274="","",IF(W$3=0,"n.b.",INDEX(SRC_Woningetalage!$A$1:$ZZ$501,$A274,W$3)))</f>
        <v/>
      </c>
      <c r="X274" s="124" t="str">
        <f>IF($B274="","",IF(X$3=0,"n.b.",INDEX(SRC_Woningetalage!$A$1:$ZZ$501,$A274,X$3)))</f>
        <v/>
      </c>
      <c r="Y274" s="124" t="str">
        <f>IF($B274="","",IF(Y$3=0,"n.b.",INDEX(SRC_Woningetalage!$A$1:$ZZ$501,$A274,Y$3)))</f>
        <v/>
      </c>
      <c r="Z274" s="124" t="str">
        <f>IF($B274="","",IF(Z$3=0,"n.b.",INDEX(SRC_Woningetalage!$A$1:$ZZ$501,$A274,Z$3)))</f>
        <v/>
      </c>
      <c r="AA274" s="124" t="str">
        <f>IF($B274="","",IF(AA$3=0,"n.b.",INDEX(SRC_Woningetalage!$A$1:$ZZ$501,$A274,AA$3)))</f>
        <v/>
      </c>
      <c r="AB274" s="124" t="str">
        <f>IF($B274="","",IF(AB$3=0,"n.b.",INDEX(SRC_Woningetalage!$A$1:$ZZ$501,$A274,AB$3)))</f>
        <v/>
      </c>
      <c r="AC274" s="124" t="str">
        <f>IF($B274="","",IF(AC$3=0,"n.b.",INDEX(SRC_Woningetalage!$A$1:$ZZ$501,$A274,AC$3)))</f>
        <v/>
      </c>
      <c r="AD274" s="124" t="str">
        <f>IF($B274="","",IF(AD$3=0,"n.b.",INDEX(SRC_Woningetalage!$A$1:$ZZ$501,$A274,AD$3)))</f>
        <v/>
      </c>
      <c r="AE274" s="124" t="str">
        <f>IF($B274="","",IF(AE$3=0,"n.b.",INDEX(SRC_Woningetalage!$A$1:$ZZ$501,$A274,AE$3)))</f>
        <v/>
      </c>
      <c r="AF274" s="124" t="str">
        <f>IF($B274="","",IF(AF$3=0,"n.b.",INDEX(SRC_Woningetalage!$A$1:$ZZ$501,$A274,AF$3)))</f>
        <v/>
      </c>
      <c r="AG274" s="124" t="str">
        <f>IF($B274="","",IF(AG$3=0,"n.b.",INDEX(SRC_Woningetalage!$A$1:$ZZ$501,$A274,AG$3)))</f>
        <v/>
      </c>
      <c r="AH274" s="124" t="str">
        <f>IF($B274="","",IF(AH$3=0,"n.b.",INDEX(SRC_Woningetalage!$A$1:$ZZ$501,$A274,AH$3)))</f>
        <v/>
      </c>
      <c r="AI274" s="124" t="str">
        <f>IF($B274="","",IF(AI$3=0,"n.b.",INDEX(SRC_Woningetalage!$A$1:$ZZ$501,$A274,AI$3)))</f>
        <v/>
      </c>
      <c r="AJ274" s="124" t="str">
        <f>IF($B274="","",IF(AJ$3=0,"n.b.",INDEX(SRC_Woningetalage!$A$1:$ZZ$501,$A274,AJ$3)))</f>
        <v/>
      </c>
      <c r="AK274" s="124" t="str">
        <f>IF($B274="","",IF(AK$3=0,"n.b.",INDEX(SRC_Woningetalage!$A$1:$ZZ$501,$A274,AK$3)))</f>
        <v/>
      </c>
      <c r="AL274" s="124" t="str">
        <f>IF($B274="","",IF(AL$3=0,"n.b.",INDEX(SRC_Woningetalage!$A$1:$ZZ$501,$A274,AL$3)))</f>
        <v/>
      </c>
      <c r="AM274" s="124" t="str">
        <f>IF($B274="","",IF(AM$3=0,"n.b.",INDEX(SRC_Woningetalage!$A$1:$ZZ$501,$A274,AM$3)))</f>
        <v/>
      </c>
      <c r="AN274" s="124" t="str">
        <f>IF($B274="","",IF(AN$3=0,"n.b.",INDEX(SRC_Woningetalage!$A$1:$ZZ$501,$A274,AN$3)))</f>
        <v/>
      </c>
      <c r="AO274" s="124" t="str">
        <f>IF($B274="","",IF(AO$3=0,"n.b.",INDEX(SRC_Woningetalage!$A$1:$ZZ$501,$A274,AO$3)))</f>
        <v/>
      </c>
      <c r="AP274" s="124" t="str">
        <f>IF($B274="","",IF(AP$3=0,"n.b.",INDEX(SRC_Woningetalage!$A$1:$ZZ$501,$A274,AP$3)))</f>
        <v/>
      </c>
      <c r="AQ274" s="124" t="str">
        <f>IF($B274="","",IF(AQ$3=0,"n.b.",INDEX(SRC_Woningetalage!$A$1:$ZZ$501,$A274,AQ$3)))</f>
        <v/>
      </c>
      <c r="AR274" s="124" t="str">
        <f>IF($B274="","",IF(AR$3=0,"n.b.",INDEX(SRC_Woningetalage!$A$1:$ZZ$501,$A274,AR$3)))</f>
        <v/>
      </c>
      <c r="AS274" s="124" t="str">
        <f>IF($B274="","",IF(AS$3=0,"n.b.",INDEX(SRC_Woningetalage!$A$1:$ZZ$501,$A274,AS$3)))</f>
        <v/>
      </c>
      <c r="AT274" s="124" t="str">
        <f>IF($B274="","",IF(AT$3=0,"n.b.",INDEX(SRC_Woningetalage!$A$1:$ZZ$501,$A274,AT$3)))</f>
        <v/>
      </c>
      <c r="AU274" s="124" t="str">
        <f>IF($B274="","",IF(AU$3=0,"n.b.",INDEX(SRC_Woningetalage!$A$1:$ZZ$501,$A274,AU$3)))</f>
        <v/>
      </c>
      <c r="AV274" s="124" t="str">
        <f>IF($B274="","",IF(AV$3=0,"n.b.",INDEX(SRC_Woningetalage!$A$1:$ZZ$501,$A274,AV$3)))</f>
        <v/>
      </c>
      <c r="AW274" s="124" t="str">
        <f>IF($B274="","",IF(AW$3=0,"n.b.",INDEX(SRC_Woningetalage!$A$1:$ZZ$501,$A274,AW$3)))</f>
        <v/>
      </c>
      <c r="AX274" s="124" t="str">
        <f>IF($B274="","",IF(AX$3=0,"n.b.",INDEX(SRC_Woningetalage!$A$1:$ZZ$501,$A274,AX$3)))</f>
        <v/>
      </c>
      <c r="AY274" s="124" t="str">
        <f>IF($B274="","",IF(AY$3=0,"n.b.",INDEX(SRC_Woningetalage!$A$1:$ZZ$501,$A274,AY$3)))</f>
        <v/>
      </c>
      <c r="AZ274" s="124" t="str">
        <f>IF($B274="","",IF(AZ$3=0,"n.b.",INDEX(SRC_Woningetalage!$A$1:$ZZ$501,$A274,AZ$3)))</f>
        <v/>
      </c>
      <c r="BA274" s="124" t="str">
        <f>IF($B274="","",IF(BA$3=0,"n.b.",INDEX(SRC_Woningetalage!$A$1:$ZZ$501,$A274,BA$3)))</f>
        <v/>
      </c>
      <c r="BB274" s="124" t="str">
        <f>IF($B274="","",IF(BB$3=0,"n.b.",INDEX(SRC_Woningetalage!$A$1:$ZZ$501,$A274,BB$3)))</f>
        <v/>
      </c>
      <c r="BC274" s="124" t="str">
        <f>IF($B274="","",IFERROR(_xlfn.NUMBERVALUE(E274&amp;"",",","."),"n.b."))</f>
        <v/>
      </c>
      <c r="BD274" s="124" t="str">
        <f>IF($B274="","",IFERROR(_xlfn.NUMBERVALUE(M274&amp;"",",","."),"n.b."))</f>
        <v/>
      </c>
      <c r="BE274" s="124" t="str">
        <f>IF($B274="","",IFERROR(AB274+AC274+AD274,"n.b."))</f>
        <v/>
      </c>
      <c r="BF274" s="124" t="str">
        <f>IF($B274="","",IFERROR(AE274+AF274+AG274,"n.b."))</f>
        <v/>
      </c>
      <c r="BG274" s="124" t="str">
        <f>IF($B274="","",IFERROR(AH274+AI274+AJ274,"n.b."))</f>
        <v/>
      </c>
      <c r="BH274" s="124" t="str">
        <f>IF($B274="","",IFERROR(AK274+AL274+AM274,"n.b."))</f>
        <v/>
      </c>
      <c r="BI274" s="124" t="str">
        <f>IF($B274="","",IFERROR(SUMIF($AB$5:$AM$5,"&lt;="&amp;P_PeilMaand,AB274:AM274),"n.b."))</f>
        <v/>
      </c>
      <c r="BJ274" s="124" t="str">
        <f>IF($B274="","",IFERROR(SUM(AB274:AM274)-BI274,"n.b."))</f>
        <v/>
      </c>
      <c r="BK274" s="124" t="str">
        <f>IF($B274="","",IFERROR(IF(ABS(Q274-(T274+SUM(AB274:AM274)+AS274+AU274))&gt;P_Tol,1,0),1))</f>
        <v/>
      </c>
      <c r="BL274" s="124" t="str">
        <f>IF($B274="","",IFERROR(IF(ABS(AA274-(Q274-Z274))&gt;P_Tol,1,0),1))</f>
        <v/>
      </c>
      <c r="BM274" s="124" t="str">
        <f>IF($B274="","",IFERROR(IF(ABS(Z274-(T274+W274))&gt;P_Tol,1,0),1))</f>
        <v/>
      </c>
      <c r="BN274" s="124" t="str">
        <f>IF($B274="","",IFERROR(IF(ABS(W274-BI274)&gt;P_Tol,1,0),1))</f>
        <v/>
      </c>
      <c r="BO274" s="124" t="str">
        <f>IF($B274="","",IFERROR(IF(OR(ABS(R274+S274-T274)&gt;P_Tol,ABS(U274+V274-W274)&gt;P_Tol,ABS(X274+Y274-Z274)&gt;P_Tol),1,0),1))</f>
        <v/>
      </c>
      <c r="BP274" s="124" t="str">
        <f>IF($B274="","",IFERROR(IF(OR(ABS(AR274-SUM(AB274:AM274))&gt;P_Tol,ABS(AS274-(AN274+AO274+AP274+AQ274))&gt;P_Tol),1,0),1))</f>
        <v/>
      </c>
      <c r="BQ274" s="124" t="str">
        <f>IF($B274="","",IFERROR(IF(ABS(AT274)+ABS(AV274)+ABS(AW274)+ABS(AX274)+ABS(AY274)+ABS(AZ274)+ABS(BA274)+ABS(BB274)&gt;0,1,0),1))</f>
        <v/>
      </c>
      <c r="BR274" s="124" t="str">
        <f>IF($B274="","",COUNTIF(STG_ZPMW03!$B$6:$B$505,B274))</f>
        <v/>
      </c>
      <c r="BS274" s="124" t="str">
        <f>IF($B274="","",COUNTIF($B$6:$B$505,B274))</f>
        <v/>
      </c>
      <c r="BT274" s="124" t="str">
        <f>IF($B274="","",IF(BR274=0,0,IF(INDEX(STG_ZPMW03!$I$6:$I$505,MATCH(B274,STG_ZPMW03!$B$6:$B$505,0))=J274&amp;"",0,1)))</f>
        <v/>
      </c>
      <c r="BU274" s="124" t="str">
        <f>IF($B274="","",IFERROR(IF(ABS(INDEX(Mapping!$D$5:$D$104,MATCH(B274,Mapping!$A$5:$A$104,0))-Q274)&gt;P_Tol,1,0),0))</f>
        <v/>
      </c>
      <c r="BV274" s="124" t="str">
        <f>IF($B274="","",IFERROR(IF(AND(INDEX(Mapping!$G$5:$G$104,MATCH(B274,Mapping!$A$5:$A$104,0))="Nee",ABS(Q274)+ABS(Z274)+ABS(AR274)&gt;0),1,0),0))</f>
        <v/>
      </c>
      <c r="BW274" s="124" t="str">
        <f>IF($B274="","",IF(COUNTIF(Mapping!$A$5:$A$104,B274)&gt;0,1,0))</f>
        <v/>
      </c>
      <c r="BX274" s="124" t="str">
        <f>IF($B274="","",IF(BR274=0,COUNTIF($BR$6:BR274,0),""))</f>
        <v/>
      </c>
    </row>
    <row r="275">
      <c r="A275" s="15" t="n">
        <v>271</v>
      </c>
      <c r="B275" t="str">
        <f>IF(B$3=0,"",IF(INDEX(SRC_Woningetalage!$A$1:$ZZ$501,$A275,B$3)&amp;""="","",INDEX(SRC_Woningetalage!$A$1:$ZZ$501,$A275,B$3)&amp;""))</f>
        <v/>
      </c>
      <c r="C275" t="str">
        <f>IF($B275="","",IF(C$3=0,"n.b.",INDEX(SRC_Woningetalage!$A$1:$ZZ$501,$A275,C$3)))</f>
        <v/>
      </c>
      <c r="D275" t="str">
        <f>IF($B275="","",IF(D$3=0,"n.b.",INDEX(SRC_Woningetalage!$A$1:$ZZ$501,$A275,D$3)))</f>
        <v/>
      </c>
      <c r="E275" t="str">
        <f>IF($B275="","",IF(E$3=0,"n.b.",INDEX(SRC_Woningetalage!$A$1:$ZZ$501,$A275,E$3)))</f>
        <v/>
      </c>
      <c r="F275" t="str">
        <f>IF($B275="","",IF(F$3=0,"n.b.",INDEX(SRC_Woningetalage!$A$1:$ZZ$501,$A275,F$3)))</f>
        <v/>
      </c>
      <c r="G275" t="str">
        <f>IF($B275="","",IF(G$3=0,"n.b.",INDEX(SRC_Woningetalage!$A$1:$ZZ$501,$A275,G$3)))</f>
        <v/>
      </c>
      <c r="H275" t="str">
        <f>IF($B275="","",IF(H$3=0,"n.b.",INDEX(SRC_Woningetalage!$A$1:$ZZ$501,$A275,H$3)))</f>
        <v/>
      </c>
      <c r="I275" t="str">
        <f>IF($B275="","",IF(I$3=0,"n.b.",INDEX(SRC_Woningetalage!$A$1:$ZZ$501,$A275,I$3)))</f>
        <v/>
      </c>
      <c r="J275" t="str">
        <f>IF($B275="","",IF(J$3=0,"n.b.",INDEX(SRC_Woningetalage!$A$1:$ZZ$501,$A275,J$3)))</f>
        <v/>
      </c>
      <c r="K275" t="str">
        <f>IF($B275="","",IF(K$3=0,"n.b.",INDEX(SRC_Woningetalage!$A$1:$ZZ$501,$A275,K$3)))</f>
        <v/>
      </c>
      <c r="L275" t="str">
        <f>IF($B275="","",IF(L$3=0,"n.b.",INDEX(SRC_Woningetalage!$A$1:$ZZ$501,$A275,L$3)))</f>
        <v/>
      </c>
      <c r="M275" t="str">
        <f>IF($B275="","",IF(M$3=0,"n.b.",INDEX(SRC_Woningetalage!$A$1:$ZZ$501,$A275,M$3)))</f>
        <v/>
      </c>
      <c r="N275" t="str">
        <f>IF($B275="","",IF(N$3=0,"n.b.",INDEX(SRC_Woningetalage!$A$1:$ZZ$501,$A275,N$3)))</f>
        <v/>
      </c>
      <c r="O275" t="str">
        <f>IF($B275="","",IF(O$3=0,"n.b.",INDEX(SRC_Woningetalage!$A$1:$ZZ$501,$A275,O$3)))</f>
        <v/>
      </c>
      <c r="P275" t="str">
        <f>IF($B275="","",IF(P$3=0,"n.b.",INDEX(SRC_Woningetalage!$A$1:$ZZ$501,$A275,P$3)))</f>
        <v/>
      </c>
      <c r="Q275" s="124" t="str">
        <f>IF($B275="","",IF(Q$3=0,"n.b.",INDEX(SRC_Woningetalage!$A$1:$ZZ$501,$A275,Q$3)))</f>
        <v/>
      </c>
      <c r="R275" s="124" t="str">
        <f>IF($B275="","",IF(R$3=0,"n.b.",INDEX(SRC_Woningetalage!$A$1:$ZZ$501,$A275,R$3)))</f>
        <v/>
      </c>
      <c r="S275" s="124" t="str">
        <f>IF($B275="","",IF(S$3=0,"n.b.",INDEX(SRC_Woningetalage!$A$1:$ZZ$501,$A275,S$3)))</f>
        <v/>
      </c>
      <c r="T275" s="124" t="str">
        <f>IF($B275="","",IF(T$3=0,"n.b.",INDEX(SRC_Woningetalage!$A$1:$ZZ$501,$A275,T$3)))</f>
        <v/>
      </c>
      <c r="U275" s="124" t="str">
        <f>IF($B275="","",IF(U$3=0,"n.b.",INDEX(SRC_Woningetalage!$A$1:$ZZ$501,$A275,U$3)))</f>
        <v/>
      </c>
      <c r="V275" s="124" t="str">
        <f>IF($B275="","",IF(V$3=0,"n.b.",INDEX(SRC_Woningetalage!$A$1:$ZZ$501,$A275,V$3)))</f>
        <v/>
      </c>
      <c r="W275" s="124" t="str">
        <f>IF($B275="","",IF(W$3=0,"n.b.",INDEX(SRC_Woningetalage!$A$1:$ZZ$501,$A275,W$3)))</f>
        <v/>
      </c>
      <c r="X275" s="124" t="str">
        <f>IF($B275="","",IF(X$3=0,"n.b.",INDEX(SRC_Woningetalage!$A$1:$ZZ$501,$A275,X$3)))</f>
        <v/>
      </c>
      <c r="Y275" s="124" t="str">
        <f>IF($B275="","",IF(Y$3=0,"n.b.",INDEX(SRC_Woningetalage!$A$1:$ZZ$501,$A275,Y$3)))</f>
        <v/>
      </c>
      <c r="Z275" s="124" t="str">
        <f>IF($B275="","",IF(Z$3=0,"n.b.",INDEX(SRC_Woningetalage!$A$1:$ZZ$501,$A275,Z$3)))</f>
        <v/>
      </c>
      <c r="AA275" s="124" t="str">
        <f>IF($B275="","",IF(AA$3=0,"n.b.",INDEX(SRC_Woningetalage!$A$1:$ZZ$501,$A275,AA$3)))</f>
        <v/>
      </c>
      <c r="AB275" s="124" t="str">
        <f>IF($B275="","",IF(AB$3=0,"n.b.",INDEX(SRC_Woningetalage!$A$1:$ZZ$501,$A275,AB$3)))</f>
        <v/>
      </c>
      <c r="AC275" s="124" t="str">
        <f>IF($B275="","",IF(AC$3=0,"n.b.",INDEX(SRC_Woningetalage!$A$1:$ZZ$501,$A275,AC$3)))</f>
        <v/>
      </c>
      <c r="AD275" s="124" t="str">
        <f>IF($B275="","",IF(AD$3=0,"n.b.",INDEX(SRC_Woningetalage!$A$1:$ZZ$501,$A275,AD$3)))</f>
        <v/>
      </c>
      <c r="AE275" s="124" t="str">
        <f>IF($B275="","",IF(AE$3=0,"n.b.",INDEX(SRC_Woningetalage!$A$1:$ZZ$501,$A275,AE$3)))</f>
        <v/>
      </c>
      <c r="AF275" s="124" t="str">
        <f>IF($B275="","",IF(AF$3=0,"n.b.",INDEX(SRC_Woningetalage!$A$1:$ZZ$501,$A275,AF$3)))</f>
        <v/>
      </c>
      <c r="AG275" s="124" t="str">
        <f>IF($B275="","",IF(AG$3=0,"n.b.",INDEX(SRC_Woningetalage!$A$1:$ZZ$501,$A275,AG$3)))</f>
        <v/>
      </c>
      <c r="AH275" s="124" t="str">
        <f>IF($B275="","",IF(AH$3=0,"n.b.",INDEX(SRC_Woningetalage!$A$1:$ZZ$501,$A275,AH$3)))</f>
        <v/>
      </c>
      <c r="AI275" s="124" t="str">
        <f>IF($B275="","",IF(AI$3=0,"n.b.",INDEX(SRC_Woningetalage!$A$1:$ZZ$501,$A275,AI$3)))</f>
        <v/>
      </c>
      <c r="AJ275" s="124" t="str">
        <f>IF($B275="","",IF(AJ$3=0,"n.b.",INDEX(SRC_Woningetalage!$A$1:$ZZ$501,$A275,AJ$3)))</f>
        <v/>
      </c>
      <c r="AK275" s="124" t="str">
        <f>IF($B275="","",IF(AK$3=0,"n.b.",INDEX(SRC_Woningetalage!$A$1:$ZZ$501,$A275,AK$3)))</f>
        <v/>
      </c>
      <c r="AL275" s="124" t="str">
        <f>IF($B275="","",IF(AL$3=0,"n.b.",INDEX(SRC_Woningetalage!$A$1:$ZZ$501,$A275,AL$3)))</f>
        <v/>
      </c>
      <c r="AM275" s="124" t="str">
        <f>IF($B275="","",IF(AM$3=0,"n.b.",INDEX(SRC_Woningetalage!$A$1:$ZZ$501,$A275,AM$3)))</f>
        <v/>
      </c>
      <c r="AN275" s="124" t="str">
        <f>IF($B275="","",IF(AN$3=0,"n.b.",INDEX(SRC_Woningetalage!$A$1:$ZZ$501,$A275,AN$3)))</f>
        <v/>
      </c>
      <c r="AO275" s="124" t="str">
        <f>IF($B275="","",IF(AO$3=0,"n.b.",INDEX(SRC_Woningetalage!$A$1:$ZZ$501,$A275,AO$3)))</f>
        <v/>
      </c>
      <c r="AP275" s="124" t="str">
        <f>IF($B275="","",IF(AP$3=0,"n.b.",INDEX(SRC_Woningetalage!$A$1:$ZZ$501,$A275,AP$3)))</f>
        <v/>
      </c>
      <c r="AQ275" s="124" t="str">
        <f>IF($B275="","",IF(AQ$3=0,"n.b.",INDEX(SRC_Woningetalage!$A$1:$ZZ$501,$A275,AQ$3)))</f>
        <v/>
      </c>
      <c r="AR275" s="124" t="str">
        <f>IF($B275="","",IF(AR$3=0,"n.b.",INDEX(SRC_Woningetalage!$A$1:$ZZ$501,$A275,AR$3)))</f>
        <v/>
      </c>
      <c r="AS275" s="124" t="str">
        <f>IF($B275="","",IF(AS$3=0,"n.b.",INDEX(SRC_Woningetalage!$A$1:$ZZ$501,$A275,AS$3)))</f>
        <v/>
      </c>
      <c r="AT275" s="124" t="str">
        <f>IF($B275="","",IF(AT$3=0,"n.b.",INDEX(SRC_Woningetalage!$A$1:$ZZ$501,$A275,AT$3)))</f>
        <v/>
      </c>
      <c r="AU275" s="124" t="str">
        <f>IF($B275="","",IF(AU$3=0,"n.b.",INDEX(SRC_Woningetalage!$A$1:$ZZ$501,$A275,AU$3)))</f>
        <v/>
      </c>
      <c r="AV275" s="124" t="str">
        <f>IF($B275="","",IF(AV$3=0,"n.b.",INDEX(SRC_Woningetalage!$A$1:$ZZ$501,$A275,AV$3)))</f>
        <v/>
      </c>
      <c r="AW275" s="124" t="str">
        <f>IF($B275="","",IF(AW$3=0,"n.b.",INDEX(SRC_Woningetalage!$A$1:$ZZ$501,$A275,AW$3)))</f>
        <v/>
      </c>
      <c r="AX275" s="124" t="str">
        <f>IF($B275="","",IF(AX$3=0,"n.b.",INDEX(SRC_Woningetalage!$A$1:$ZZ$501,$A275,AX$3)))</f>
        <v/>
      </c>
      <c r="AY275" s="124" t="str">
        <f>IF($B275="","",IF(AY$3=0,"n.b.",INDEX(SRC_Woningetalage!$A$1:$ZZ$501,$A275,AY$3)))</f>
        <v/>
      </c>
      <c r="AZ275" s="124" t="str">
        <f>IF($B275="","",IF(AZ$3=0,"n.b.",INDEX(SRC_Woningetalage!$A$1:$ZZ$501,$A275,AZ$3)))</f>
        <v/>
      </c>
      <c r="BA275" s="124" t="str">
        <f>IF($B275="","",IF(BA$3=0,"n.b.",INDEX(SRC_Woningetalage!$A$1:$ZZ$501,$A275,BA$3)))</f>
        <v/>
      </c>
      <c r="BB275" s="124" t="str">
        <f>IF($B275="","",IF(BB$3=0,"n.b.",INDEX(SRC_Woningetalage!$A$1:$ZZ$501,$A275,BB$3)))</f>
        <v/>
      </c>
      <c r="BC275" s="124" t="str">
        <f>IF($B275="","",IFERROR(_xlfn.NUMBERVALUE(E275&amp;"",",","."),"n.b."))</f>
        <v/>
      </c>
      <c r="BD275" s="124" t="str">
        <f>IF($B275="","",IFERROR(_xlfn.NUMBERVALUE(M275&amp;"",",","."),"n.b."))</f>
        <v/>
      </c>
      <c r="BE275" s="124" t="str">
        <f>IF($B275="","",IFERROR(AB275+AC275+AD275,"n.b."))</f>
        <v/>
      </c>
      <c r="BF275" s="124" t="str">
        <f>IF($B275="","",IFERROR(AE275+AF275+AG275,"n.b."))</f>
        <v/>
      </c>
      <c r="BG275" s="124" t="str">
        <f>IF($B275="","",IFERROR(AH275+AI275+AJ275,"n.b."))</f>
        <v/>
      </c>
      <c r="BH275" s="124" t="str">
        <f>IF($B275="","",IFERROR(AK275+AL275+AM275,"n.b."))</f>
        <v/>
      </c>
      <c r="BI275" s="124" t="str">
        <f>IF($B275="","",IFERROR(SUMIF($AB$5:$AM$5,"&lt;="&amp;P_PeilMaand,AB275:AM275),"n.b."))</f>
        <v/>
      </c>
      <c r="BJ275" s="124" t="str">
        <f>IF($B275="","",IFERROR(SUM(AB275:AM275)-BI275,"n.b."))</f>
        <v/>
      </c>
      <c r="BK275" s="124" t="str">
        <f>IF($B275="","",IFERROR(IF(ABS(Q275-(T275+SUM(AB275:AM275)+AS275+AU275))&gt;P_Tol,1,0),1))</f>
        <v/>
      </c>
      <c r="BL275" s="124" t="str">
        <f>IF($B275="","",IFERROR(IF(ABS(AA275-(Q275-Z275))&gt;P_Tol,1,0),1))</f>
        <v/>
      </c>
      <c r="BM275" s="124" t="str">
        <f>IF($B275="","",IFERROR(IF(ABS(Z275-(T275+W275))&gt;P_Tol,1,0),1))</f>
        <v/>
      </c>
      <c r="BN275" s="124" t="str">
        <f>IF($B275="","",IFERROR(IF(ABS(W275-BI275)&gt;P_Tol,1,0),1))</f>
        <v/>
      </c>
      <c r="BO275" s="124" t="str">
        <f>IF($B275="","",IFERROR(IF(OR(ABS(R275+S275-T275)&gt;P_Tol,ABS(U275+V275-W275)&gt;P_Tol,ABS(X275+Y275-Z275)&gt;P_Tol),1,0),1))</f>
        <v/>
      </c>
      <c r="BP275" s="124" t="str">
        <f>IF($B275="","",IFERROR(IF(OR(ABS(AR275-SUM(AB275:AM275))&gt;P_Tol,ABS(AS275-(AN275+AO275+AP275+AQ275))&gt;P_Tol),1,0),1))</f>
        <v/>
      </c>
      <c r="BQ275" s="124" t="str">
        <f>IF($B275="","",IFERROR(IF(ABS(AT275)+ABS(AV275)+ABS(AW275)+ABS(AX275)+ABS(AY275)+ABS(AZ275)+ABS(BA275)+ABS(BB275)&gt;0,1,0),1))</f>
        <v/>
      </c>
      <c r="BR275" s="124" t="str">
        <f>IF($B275="","",COUNTIF(STG_ZPMW03!$B$6:$B$505,B275))</f>
        <v/>
      </c>
      <c r="BS275" s="124" t="str">
        <f>IF($B275="","",COUNTIF($B$6:$B$505,B275))</f>
        <v/>
      </c>
      <c r="BT275" s="124" t="str">
        <f>IF($B275="","",IF(BR275=0,0,IF(INDEX(STG_ZPMW03!$I$6:$I$505,MATCH(B275,STG_ZPMW03!$B$6:$B$505,0))=J275&amp;"",0,1)))</f>
        <v/>
      </c>
      <c r="BU275" s="124" t="str">
        <f>IF($B275="","",IFERROR(IF(ABS(INDEX(Mapping!$D$5:$D$104,MATCH(B275,Mapping!$A$5:$A$104,0))-Q275)&gt;P_Tol,1,0),0))</f>
        <v/>
      </c>
      <c r="BV275" s="124" t="str">
        <f>IF($B275="","",IFERROR(IF(AND(INDEX(Mapping!$G$5:$G$104,MATCH(B275,Mapping!$A$5:$A$104,0))="Nee",ABS(Q275)+ABS(Z275)+ABS(AR275)&gt;0),1,0),0))</f>
        <v/>
      </c>
      <c r="BW275" s="124" t="str">
        <f>IF($B275="","",IF(COUNTIF(Mapping!$A$5:$A$104,B275)&gt;0,1,0))</f>
        <v/>
      </c>
      <c r="BX275" s="124" t="str">
        <f>IF($B275="","",IF(BR275=0,COUNTIF($BR$6:BR275,0),""))</f>
        <v/>
      </c>
    </row>
    <row r="276">
      <c r="A276" s="15" t="n">
        <v>272</v>
      </c>
      <c r="B276" t="str">
        <f>IF(B$3=0,"",IF(INDEX(SRC_Woningetalage!$A$1:$ZZ$501,$A276,B$3)&amp;""="","",INDEX(SRC_Woningetalage!$A$1:$ZZ$501,$A276,B$3)&amp;""))</f>
        <v/>
      </c>
      <c r="C276" t="str">
        <f>IF($B276="","",IF(C$3=0,"n.b.",INDEX(SRC_Woningetalage!$A$1:$ZZ$501,$A276,C$3)))</f>
        <v/>
      </c>
      <c r="D276" t="str">
        <f>IF($B276="","",IF(D$3=0,"n.b.",INDEX(SRC_Woningetalage!$A$1:$ZZ$501,$A276,D$3)))</f>
        <v/>
      </c>
      <c r="E276" t="str">
        <f>IF($B276="","",IF(E$3=0,"n.b.",INDEX(SRC_Woningetalage!$A$1:$ZZ$501,$A276,E$3)))</f>
        <v/>
      </c>
      <c r="F276" t="str">
        <f>IF($B276="","",IF(F$3=0,"n.b.",INDEX(SRC_Woningetalage!$A$1:$ZZ$501,$A276,F$3)))</f>
        <v/>
      </c>
      <c r="G276" t="str">
        <f>IF($B276="","",IF(G$3=0,"n.b.",INDEX(SRC_Woningetalage!$A$1:$ZZ$501,$A276,G$3)))</f>
        <v/>
      </c>
      <c r="H276" t="str">
        <f>IF($B276="","",IF(H$3=0,"n.b.",INDEX(SRC_Woningetalage!$A$1:$ZZ$501,$A276,H$3)))</f>
        <v/>
      </c>
      <c r="I276" t="str">
        <f>IF($B276="","",IF(I$3=0,"n.b.",INDEX(SRC_Woningetalage!$A$1:$ZZ$501,$A276,I$3)))</f>
        <v/>
      </c>
      <c r="J276" t="str">
        <f>IF($B276="","",IF(J$3=0,"n.b.",INDEX(SRC_Woningetalage!$A$1:$ZZ$501,$A276,J$3)))</f>
        <v/>
      </c>
      <c r="K276" t="str">
        <f>IF($B276="","",IF(K$3=0,"n.b.",INDEX(SRC_Woningetalage!$A$1:$ZZ$501,$A276,K$3)))</f>
        <v/>
      </c>
      <c r="L276" t="str">
        <f>IF($B276="","",IF(L$3=0,"n.b.",INDEX(SRC_Woningetalage!$A$1:$ZZ$501,$A276,L$3)))</f>
        <v/>
      </c>
      <c r="M276" t="str">
        <f>IF($B276="","",IF(M$3=0,"n.b.",INDEX(SRC_Woningetalage!$A$1:$ZZ$501,$A276,M$3)))</f>
        <v/>
      </c>
      <c r="N276" t="str">
        <f>IF($B276="","",IF(N$3=0,"n.b.",INDEX(SRC_Woningetalage!$A$1:$ZZ$501,$A276,N$3)))</f>
        <v/>
      </c>
      <c r="O276" t="str">
        <f>IF($B276="","",IF(O$3=0,"n.b.",INDEX(SRC_Woningetalage!$A$1:$ZZ$501,$A276,O$3)))</f>
        <v/>
      </c>
      <c r="P276" t="str">
        <f>IF($B276="","",IF(P$3=0,"n.b.",INDEX(SRC_Woningetalage!$A$1:$ZZ$501,$A276,P$3)))</f>
        <v/>
      </c>
      <c r="Q276" s="124" t="str">
        <f>IF($B276="","",IF(Q$3=0,"n.b.",INDEX(SRC_Woningetalage!$A$1:$ZZ$501,$A276,Q$3)))</f>
        <v/>
      </c>
      <c r="R276" s="124" t="str">
        <f>IF($B276="","",IF(R$3=0,"n.b.",INDEX(SRC_Woningetalage!$A$1:$ZZ$501,$A276,R$3)))</f>
        <v/>
      </c>
      <c r="S276" s="124" t="str">
        <f>IF($B276="","",IF(S$3=0,"n.b.",INDEX(SRC_Woningetalage!$A$1:$ZZ$501,$A276,S$3)))</f>
        <v/>
      </c>
      <c r="T276" s="124" t="str">
        <f>IF($B276="","",IF(T$3=0,"n.b.",INDEX(SRC_Woningetalage!$A$1:$ZZ$501,$A276,T$3)))</f>
        <v/>
      </c>
      <c r="U276" s="124" t="str">
        <f>IF($B276="","",IF(U$3=0,"n.b.",INDEX(SRC_Woningetalage!$A$1:$ZZ$501,$A276,U$3)))</f>
        <v/>
      </c>
      <c r="V276" s="124" t="str">
        <f>IF($B276="","",IF(V$3=0,"n.b.",INDEX(SRC_Woningetalage!$A$1:$ZZ$501,$A276,V$3)))</f>
        <v/>
      </c>
      <c r="W276" s="124" t="str">
        <f>IF($B276="","",IF(W$3=0,"n.b.",INDEX(SRC_Woningetalage!$A$1:$ZZ$501,$A276,W$3)))</f>
        <v/>
      </c>
      <c r="X276" s="124" t="str">
        <f>IF($B276="","",IF(X$3=0,"n.b.",INDEX(SRC_Woningetalage!$A$1:$ZZ$501,$A276,X$3)))</f>
        <v/>
      </c>
      <c r="Y276" s="124" t="str">
        <f>IF($B276="","",IF(Y$3=0,"n.b.",INDEX(SRC_Woningetalage!$A$1:$ZZ$501,$A276,Y$3)))</f>
        <v/>
      </c>
      <c r="Z276" s="124" t="str">
        <f>IF($B276="","",IF(Z$3=0,"n.b.",INDEX(SRC_Woningetalage!$A$1:$ZZ$501,$A276,Z$3)))</f>
        <v/>
      </c>
      <c r="AA276" s="124" t="str">
        <f>IF($B276="","",IF(AA$3=0,"n.b.",INDEX(SRC_Woningetalage!$A$1:$ZZ$501,$A276,AA$3)))</f>
        <v/>
      </c>
      <c r="AB276" s="124" t="str">
        <f>IF($B276="","",IF(AB$3=0,"n.b.",INDEX(SRC_Woningetalage!$A$1:$ZZ$501,$A276,AB$3)))</f>
        <v/>
      </c>
      <c r="AC276" s="124" t="str">
        <f>IF($B276="","",IF(AC$3=0,"n.b.",INDEX(SRC_Woningetalage!$A$1:$ZZ$501,$A276,AC$3)))</f>
        <v/>
      </c>
      <c r="AD276" s="124" t="str">
        <f>IF($B276="","",IF(AD$3=0,"n.b.",INDEX(SRC_Woningetalage!$A$1:$ZZ$501,$A276,AD$3)))</f>
        <v/>
      </c>
      <c r="AE276" s="124" t="str">
        <f>IF($B276="","",IF(AE$3=0,"n.b.",INDEX(SRC_Woningetalage!$A$1:$ZZ$501,$A276,AE$3)))</f>
        <v/>
      </c>
      <c r="AF276" s="124" t="str">
        <f>IF($B276="","",IF(AF$3=0,"n.b.",INDEX(SRC_Woningetalage!$A$1:$ZZ$501,$A276,AF$3)))</f>
        <v/>
      </c>
      <c r="AG276" s="124" t="str">
        <f>IF($B276="","",IF(AG$3=0,"n.b.",INDEX(SRC_Woningetalage!$A$1:$ZZ$501,$A276,AG$3)))</f>
        <v/>
      </c>
      <c r="AH276" s="124" t="str">
        <f>IF($B276="","",IF(AH$3=0,"n.b.",INDEX(SRC_Woningetalage!$A$1:$ZZ$501,$A276,AH$3)))</f>
        <v/>
      </c>
      <c r="AI276" s="124" t="str">
        <f>IF($B276="","",IF(AI$3=0,"n.b.",INDEX(SRC_Woningetalage!$A$1:$ZZ$501,$A276,AI$3)))</f>
        <v/>
      </c>
      <c r="AJ276" s="124" t="str">
        <f>IF($B276="","",IF(AJ$3=0,"n.b.",INDEX(SRC_Woningetalage!$A$1:$ZZ$501,$A276,AJ$3)))</f>
        <v/>
      </c>
      <c r="AK276" s="124" t="str">
        <f>IF($B276="","",IF(AK$3=0,"n.b.",INDEX(SRC_Woningetalage!$A$1:$ZZ$501,$A276,AK$3)))</f>
        <v/>
      </c>
      <c r="AL276" s="124" t="str">
        <f>IF($B276="","",IF(AL$3=0,"n.b.",INDEX(SRC_Woningetalage!$A$1:$ZZ$501,$A276,AL$3)))</f>
        <v/>
      </c>
      <c r="AM276" s="124" t="str">
        <f>IF($B276="","",IF(AM$3=0,"n.b.",INDEX(SRC_Woningetalage!$A$1:$ZZ$501,$A276,AM$3)))</f>
        <v/>
      </c>
      <c r="AN276" s="124" t="str">
        <f>IF($B276="","",IF(AN$3=0,"n.b.",INDEX(SRC_Woningetalage!$A$1:$ZZ$501,$A276,AN$3)))</f>
        <v/>
      </c>
      <c r="AO276" s="124" t="str">
        <f>IF($B276="","",IF(AO$3=0,"n.b.",INDEX(SRC_Woningetalage!$A$1:$ZZ$501,$A276,AO$3)))</f>
        <v/>
      </c>
      <c r="AP276" s="124" t="str">
        <f>IF($B276="","",IF(AP$3=0,"n.b.",INDEX(SRC_Woningetalage!$A$1:$ZZ$501,$A276,AP$3)))</f>
        <v/>
      </c>
      <c r="AQ276" s="124" t="str">
        <f>IF($B276="","",IF(AQ$3=0,"n.b.",INDEX(SRC_Woningetalage!$A$1:$ZZ$501,$A276,AQ$3)))</f>
        <v/>
      </c>
      <c r="AR276" s="124" t="str">
        <f>IF($B276="","",IF(AR$3=0,"n.b.",INDEX(SRC_Woningetalage!$A$1:$ZZ$501,$A276,AR$3)))</f>
        <v/>
      </c>
      <c r="AS276" s="124" t="str">
        <f>IF($B276="","",IF(AS$3=0,"n.b.",INDEX(SRC_Woningetalage!$A$1:$ZZ$501,$A276,AS$3)))</f>
        <v/>
      </c>
      <c r="AT276" s="124" t="str">
        <f>IF($B276="","",IF(AT$3=0,"n.b.",INDEX(SRC_Woningetalage!$A$1:$ZZ$501,$A276,AT$3)))</f>
        <v/>
      </c>
      <c r="AU276" s="124" t="str">
        <f>IF($B276="","",IF(AU$3=0,"n.b.",INDEX(SRC_Woningetalage!$A$1:$ZZ$501,$A276,AU$3)))</f>
        <v/>
      </c>
      <c r="AV276" s="124" t="str">
        <f>IF($B276="","",IF(AV$3=0,"n.b.",INDEX(SRC_Woningetalage!$A$1:$ZZ$501,$A276,AV$3)))</f>
        <v/>
      </c>
      <c r="AW276" s="124" t="str">
        <f>IF($B276="","",IF(AW$3=0,"n.b.",INDEX(SRC_Woningetalage!$A$1:$ZZ$501,$A276,AW$3)))</f>
        <v/>
      </c>
      <c r="AX276" s="124" t="str">
        <f>IF($B276="","",IF(AX$3=0,"n.b.",INDEX(SRC_Woningetalage!$A$1:$ZZ$501,$A276,AX$3)))</f>
        <v/>
      </c>
      <c r="AY276" s="124" t="str">
        <f>IF($B276="","",IF(AY$3=0,"n.b.",INDEX(SRC_Woningetalage!$A$1:$ZZ$501,$A276,AY$3)))</f>
        <v/>
      </c>
      <c r="AZ276" s="124" t="str">
        <f>IF($B276="","",IF(AZ$3=0,"n.b.",INDEX(SRC_Woningetalage!$A$1:$ZZ$501,$A276,AZ$3)))</f>
        <v/>
      </c>
      <c r="BA276" s="124" t="str">
        <f>IF($B276="","",IF(BA$3=0,"n.b.",INDEX(SRC_Woningetalage!$A$1:$ZZ$501,$A276,BA$3)))</f>
        <v/>
      </c>
      <c r="BB276" s="124" t="str">
        <f>IF($B276="","",IF(BB$3=0,"n.b.",INDEX(SRC_Woningetalage!$A$1:$ZZ$501,$A276,BB$3)))</f>
        <v/>
      </c>
      <c r="BC276" s="124" t="str">
        <f>IF($B276="","",IFERROR(_xlfn.NUMBERVALUE(E276&amp;"",",","."),"n.b."))</f>
        <v/>
      </c>
      <c r="BD276" s="124" t="str">
        <f>IF($B276="","",IFERROR(_xlfn.NUMBERVALUE(M276&amp;"",",","."),"n.b."))</f>
        <v/>
      </c>
      <c r="BE276" s="124" t="str">
        <f>IF($B276="","",IFERROR(AB276+AC276+AD276,"n.b."))</f>
        <v/>
      </c>
      <c r="BF276" s="124" t="str">
        <f>IF($B276="","",IFERROR(AE276+AF276+AG276,"n.b."))</f>
        <v/>
      </c>
      <c r="BG276" s="124" t="str">
        <f>IF($B276="","",IFERROR(AH276+AI276+AJ276,"n.b."))</f>
        <v/>
      </c>
      <c r="BH276" s="124" t="str">
        <f>IF($B276="","",IFERROR(AK276+AL276+AM276,"n.b."))</f>
        <v/>
      </c>
      <c r="BI276" s="124" t="str">
        <f>IF($B276="","",IFERROR(SUMIF($AB$5:$AM$5,"&lt;="&amp;P_PeilMaand,AB276:AM276),"n.b."))</f>
        <v/>
      </c>
      <c r="BJ276" s="124" t="str">
        <f>IF($B276="","",IFERROR(SUM(AB276:AM276)-BI276,"n.b."))</f>
        <v/>
      </c>
      <c r="BK276" s="124" t="str">
        <f>IF($B276="","",IFERROR(IF(ABS(Q276-(T276+SUM(AB276:AM276)+AS276+AU276))&gt;P_Tol,1,0),1))</f>
        <v/>
      </c>
      <c r="BL276" s="124" t="str">
        <f>IF($B276="","",IFERROR(IF(ABS(AA276-(Q276-Z276))&gt;P_Tol,1,0),1))</f>
        <v/>
      </c>
      <c r="BM276" s="124" t="str">
        <f>IF($B276="","",IFERROR(IF(ABS(Z276-(T276+W276))&gt;P_Tol,1,0),1))</f>
        <v/>
      </c>
      <c r="BN276" s="124" t="str">
        <f>IF($B276="","",IFERROR(IF(ABS(W276-BI276)&gt;P_Tol,1,0),1))</f>
        <v/>
      </c>
      <c r="BO276" s="124" t="str">
        <f>IF($B276="","",IFERROR(IF(OR(ABS(R276+S276-T276)&gt;P_Tol,ABS(U276+V276-W276)&gt;P_Tol,ABS(X276+Y276-Z276)&gt;P_Tol),1,0),1))</f>
        <v/>
      </c>
      <c r="BP276" s="124" t="str">
        <f>IF($B276="","",IFERROR(IF(OR(ABS(AR276-SUM(AB276:AM276))&gt;P_Tol,ABS(AS276-(AN276+AO276+AP276+AQ276))&gt;P_Tol),1,0),1))</f>
        <v/>
      </c>
      <c r="BQ276" s="124" t="str">
        <f>IF($B276="","",IFERROR(IF(ABS(AT276)+ABS(AV276)+ABS(AW276)+ABS(AX276)+ABS(AY276)+ABS(AZ276)+ABS(BA276)+ABS(BB276)&gt;0,1,0),1))</f>
        <v/>
      </c>
      <c r="BR276" s="124" t="str">
        <f>IF($B276="","",COUNTIF(STG_ZPMW03!$B$6:$B$505,B276))</f>
        <v/>
      </c>
      <c r="BS276" s="124" t="str">
        <f>IF($B276="","",COUNTIF($B$6:$B$505,B276))</f>
        <v/>
      </c>
      <c r="BT276" s="124" t="str">
        <f>IF($B276="","",IF(BR276=0,0,IF(INDEX(STG_ZPMW03!$I$6:$I$505,MATCH(B276,STG_ZPMW03!$B$6:$B$505,0))=J276&amp;"",0,1)))</f>
        <v/>
      </c>
      <c r="BU276" s="124" t="str">
        <f>IF($B276="","",IFERROR(IF(ABS(INDEX(Mapping!$D$5:$D$104,MATCH(B276,Mapping!$A$5:$A$104,0))-Q276)&gt;P_Tol,1,0),0))</f>
        <v/>
      </c>
      <c r="BV276" s="124" t="str">
        <f>IF($B276="","",IFERROR(IF(AND(INDEX(Mapping!$G$5:$G$104,MATCH(B276,Mapping!$A$5:$A$104,0))="Nee",ABS(Q276)+ABS(Z276)+ABS(AR276)&gt;0),1,0),0))</f>
        <v/>
      </c>
      <c r="BW276" s="124" t="str">
        <f>IF($B276="","",IF(COUNTIF(Mapping!$A$5:$A$104,B276)&gt;0,1,0))</f>
        <v/>
      </c>
      <c r="BX276" s="124" t="str">
        <f>IF($B276="","",IF(BR276=0,COUNTIF($BR$6:BR276,0),""))</f>
        <v/>
      </c>
    </row>
    <row r="277">
      <c r="A277" s="15" t="n">
        <v>273</v>
      </c>
      <c r="B277" t="str">
        <f>IF(B$3=0,"",IF(INDEX(SRC_Woningetalage!$A$1:$ZZ$501,$A277,B$3)&amp;""="","",INDEX(SRC_Woningetalage!$A$1:$ZZ$501,$A277,B$3)&amp;""))</f>
        <v/>
      </c>
      <c r="C277" t="str">
        <f>IF($B277="","",IF(C$3=0,"n.b.",INDEX(SRC_Woningetalage!$A$1:$ZZ$501,$A277,C$3)))</f>
        <v/>
      </c>
      <c r="D277" t="str">
        <f>IF($B277="","",IF(D$3=0,"n.b.",INDEX(SRC_Woningetalage!$A$1:$ZZ$501,$A277,D$3)))</f>
        <v/>
      </c>
      <c r="E277" t="str">
        <f>IF($B277="","",IF(E$3=0,"n.b.",INDEX(SRC_Woningetalage!$A$1:$ZZ$501,$A277,E$3)))</f>
        <v/>
      </c>
      <c r="F277" t="str">
        <f>IF($B277="","",IF(F$3=0,"n.b.",INDEX(SRC_Woningetalage!$A$1:$ZZ$501,$A277,F$3)))</f>
        <v/>
      </c>
      <c r="G277" t="str">
        <f>IF($B277="","",IF(G$3=0,"n.b.",INDEX(SRC_Woningetalage!$A$1:$ZZ$501,$A277,G$3)))</f>
        <v/>
      </c>
      <c r="H277" t="str">
        <f>IF($B277="","",IF(H$3=0,"n.b.",INDEX(SRC_Woningetalage!$A$1:$ZZ$501,$A277,H$3)))</f>
        <v/>
      </c>
      <c r="I277" t="str">
        <f>IF($B277="","",IF(I$3=0,"n.b.",INDEX(SRC_Woningetalage!$A$1:$ZZ$501,$A277,I$3)))</f>
        <v/>
      </c>
      <c r="J277" t="str">
        <f>IF($B277="","",IF(J$3=0,"n.b.",INDEX(SRC_Woningetalage!$A$1:$ZZ$501,$A277,J$3)))</f>
        <v/>
      </c>
      <c r="K277" t="str">
        <f>IF($B277="","",IF(K$3=0,"n.b.",INDEX(SRC_Woningetalage!$A$1:$ZZ$501,$A277,K$3)))</f>
        <v/>
      </c>
      <c r="L277" t="str">
        <f>IF($B277="","",IF(L$3=0,"n.b.",INDEX(SRC_Woningetalage!$A$1:$ZZ$501,$A277,L$3)))</f>
        <v/>
      </c>
      <c r="M277" t="str">
        <f>IF($B277="","",IF(M$3=0,"n.b.",INDEX(SRC_Woningetalage!$A$1:$ZZ$501,$A277,M$3)))</f>
        <v/>
      </c>
      <c r="N277" t="str">
        <f>IF($B277="","",IF(N$3=0,"n.b.",INDEX(SRC_Woningetalage!$A$1:$ZZ$501,$A277,N$3)))</f>
        <v/>
      </c>
      <c r="O277" t="str">
        <f>IF($B277="","",IF(O$3=0,"n.b.",INDEX(SRC_Woningetalage!$A$1:$ZZ$501,$A277,O$3)))</f>
        <v/>
      </c>
      <c r="P277" t="str">
        <f>IF($B277="","",IF(P$3=0,"n.b.",INDEX(SRC_Woningetalage!$A$1:$ZZ$501,$A277,P$3)))</f>
        <v/>
      </c>
      <c r="Q277" s="124" t="str">
        <f>IF($B277="","",IF(Q$3=0,"n.b.",INDEX(SRC_Woningetalage!$A$1:$ZZ$501,$A277,Q$3)))</f>
        <v/>
      </c>
      <c r="R277" s="124" t="str">
        <f>IF($B277="","",IF(R$3=0,"n.b.",INDEX(SRC_Woningetalage!$A$1:$ZZ$501,$A277,R$3)))</f>
        <v/>
      </c>
      <c r="S277" s="124" t="str">
        <f>IF($B277="","",IF(S$3=0,"n.b.",INDEX(SRC_Woningetalage!$A$1:$ZZ$501,$A277,S$3)))</f>
        <v/>
      </c>
      <c r="T277" s="124" t="str">
        <f>IF($B277="","",IF(T$3=0,"n.b.",INDEX(SRC_Woningetalage!$A$1:$ZZ$501,$A277,T$3)))</f>
        <v/>
      </c>
      <c r="U277" s="124" t="str">
        <f>IF($B277="","",IF(U$3=0,"n.b.",INDEX(SRC_Woningetalage!$A$1:$ZZ$501,$A277,U$3)))</f>
        <v/>
      </c>
      <c r="V277" s="124" t="str">
        <f>IF($B277="","",IF(V$3=0,"n.b.",INDEX(SRC_Woningetalage!$A$1:$ZZ$501,$A277,V$3)))</f>
        <v/>
      </c>
      <c r="W277" s="124" t="str">
        <f>IF($B277="","",IF(W$3=0,"n.b.",INDEX(SRC_Woningetalage!$A$1:$ZZ$501,$A277,W$3)))</f>
        <v/>
      </c>
      <c r="X277" s="124" t="str">
        <f>IF($B277="","",IF(X$3=0,"n.b.",INDEX(SRC_Woningetalage!$A$1:$ZZ$501,$A277,X$3)))</f>
        <v/>
      </c>
      <c r="Y277" s="124" t="str">
        <f>IF($B277="","",IF(Y$3=0,"n.b.",INDEX(SRC_Woningetalage!$A$1:$ZZ$501,$A277,Y$3)))</f>
        <v/>
      </c>
      <c r="Z277" s="124" t="str">
        <f>IF($B277="","",IF(Z$3=0,"n.b.",INDEX(SRC_Woningetalage!$A$1:$ZZ$501,$A277,Z$3)))</f>
        <v/>
      </c>
      <c r="AA277" s="124" t="str">
        <f>IF($B277="","",IF(AA$3=0,"n.b.",INDEX(SRC_Woningetalage!$A$1:$ZZ$501,$A277,AA$3)))</f>
        <v/>
      </c>
      <c r="AB277" s="124" t="str">
        <f>IF($B277="","",IF(AB$3=0,"n.b.",INDEX(SRC_Woningetalage!$A$1:$ZZ$501,$A277,AB$3)))</f>
        <v/>
      </c>
      <c r="AC277" s="124" t="str">
        <f>IF($B277="","",IF(AC$3=0,"n.b.",INDEX(SRC_Woningetalage!$A$1:$ZZ$501,$A277,AC$3)))</f>
        <v/>
      </c>
      <c r="AD277" s="124" t="str">
        <f>IF($B277="","",IF(AD$3=0,"n.b.",INDEX(SRC_Woningetalage!$A$1:$ZZ$501,$A277,AD$3)))</f>
        <v/>
      </c>
      <c r="AE277" s="124" t="str">
        <f>IF($B277="","",IF(AE$3=0,"n.b.",INDEX(SRC_Woningetalage!$A$1:$ZZ$501,$A277,AE$3)))</f>
        <v/>
      </c>
      <c r="AF277" s="124" t="str">
        <f>IF($B277="","",IF(AF$3=0,"n.b.",INDEX(SRC_Woningetalage!$A$1:$ZZ$501,$A277,AF$3)))</f>
        <v/>
      </c>
      <c r="AG277" s="124" t="str">
        <f>IF($B277="","",IF(AG$3=0,"n.b.",INDEX(SRC_Woningetalage!$A$1:$ZZ$501,$A277,AG$3)))</f>
        <v/>
      </c>
      <c r="AH277" s="124" t="str">
        <f>IF($B277="","",IF(AH$3=0,"n.b.",INDEX(SRC_Woningetalage!$A$1:$ZZ$501,$A277,AH$3)))</f>
        <v/>
      </c>
      <c r="AI277" s="124" t="str">
        <f>IF($B277="","",IF(AI$3=0,"n.b.",INDEX(SRC_Woningetalage!$A$1:$ZZ$501,$A277,AI$3)))</f>
        <v/>
      </c>
      <c r="AJ277" s="124" t="str">
        <f>IF($B277="","",IF(AJ$3=0,"n.b.",INDEX(SRC_Woningetalage!$A$1:$ZZ$501,$A277,AJ$3)))</f>
        <v/>
      </c>
      <c r="AK277" s="124" t="str">
        <f>IF($B277="","",IF(AK$3=0,"n.b.",INDEX(SRC_Woningetalage!$A$1:$ZZ$501,$A277,AK$3)))</f>
        <v/>
      </c>
      <c r="AL277" s="124" t="str">
        <f>IF($B277="","",IF(AL$3=0,"n.b.",INDEX(SRC_Woningetalage!$A$1:$ZZ$501,$A277,AL$3)))</f>
        <v/>
      </c>
      <c r="AM277" s="124" t="str">
        <f>IF($B277="","",IF(AM$3=0,"n.b.",INDEX(SRC_Woningetalage!$A$1:$ZZ$501,$A277,AM$3)))</f>
        <v/>
      </c>
      <c r="AN277" s="124" t="str">
        <f>IF($B277="","",IF(AN$3=0,"n.b.",INDEX(SRC_Woningetalage!$A$1:$ZZ$501,$A277,AN$3)))</f>
        <v/>
      </c>
      <c r="AO277" s="124" t="str">
        <f>IF($B277="","",IF(AO$3=0,"n.b.",INDEX(SRC_Woningetalage!$A$1:$ZZ$501,$A277,AO$3)))</f>
        <v/>
      </c>
      <c r="AP277" s="124" t="str">
        <f>IF($B277="","",IF(AP$3=0,"n.b.",INDEX(SRC_Woningetalage!$A$1:$ZZ$501,$A277,AP$3)))</f>
        <v/>
      </c>
      <c r="AQ277" s="124" t="str">
        <f>IF($B277="","",IF(AQ$3=0,"n.b.",INDEX(SRC_Woningetalage!$A$1:$ZZ$501,$A277,AQ$3)))</f>
        <v/>
      </c>
      <c r="AR277" s="124" t="str">
        <f>IF($B277="","",IF(AR$3=0,"n.b.",INDEX(SRC_Woningetalage!$A$1:$ZZ$501,$A277,AR$3)))</f>
        <v/>
      </c>
      <c r="AS277" s="124" t="str">
        <f>IF($B277="","",IF(AS$3=0,"n.b.",INDEX(SRC_Woningetalage!$A$1:$ZZ$501,$A277,AS$3)))</f>
        <v/>
      </c>
      <c r="AT277" s="124" t="str">
        <f>IF($B277="","",IF(AT$3=0,"n.b.",INDEX(SRC_Woningetalage!$A$1:$ZZ$501,$A277,AT$3)))</f>
        <v/>
      </c>
      <c r="AU277" s="124" t="str">
        <f>IF($B277="","",IF(AU$3=0,"n.b.",INDEX(SRC_Woningetalage!$A$1:$ZZ$501,$A277,AU$3)))</f>
        <v/>
      </c>
      <c r="AV277" s="124" t="str">
        <f>IF($B277="","",IF(AV$3=0,"n.b.",INDEX(SRC_Woningetalage!$A$1:$ZZ$501,$A277,AV$3)))</f>
        <v/>
      </c>
      <c r="AW277" s="124" t="str">
        <f>IF($B277="","",IF(AW$3=0,"n.b.",INDEX(SRC_Woningetalage!$A$1:$ZZ$501,$A277,AW$3)))</f>
        <v/>
      </c>
      <c r="AX277" s="124" t="str">
        <f>IF($B277="","",IF(AX$3=0,"n.b.",INDEX(SRC_Woningetalage!$A$1:$ZZ$501,$A277,AX$3)))</f>
        <v/>
      </c>
      <c r="AY277" s="124" t="str">
        <f>IF($B277="","",IF(AY$3=0,"n.b.",INDEX(SRC_Woningetalage!$A$1:$ZZ$501,$A277,AY$3)))</f>
        <v/>
      </c>
      <c r="AZ277" s="124" t="str">
        <f>IF($B277="","",IF(AZ$3=0,"n.b.",INDEX(SRC_Woningetalage!$A$1:$ZZ$501,$A277,AZ$3)))</f>
        <v/>
      </c>
      <c r="BA277" s="124" t="str">
        <f>IF($B277="","",IF(BA$3=0,"n.b.",INDEX(SRC_Woningetalage!$A$1:$ZZ$501,$A277,BA$3)))</f>
        <v/>
      </c>
      <c r="BB277" s="124" t="str">
        <f>IF($B277="","",IF(BB$3=0,"n.b.",INDEX(SRC_Woningetalage!$A$1:$ZZ$501,$A277,BB$3)))</f>
        <v/>
      </c>
      <c r="BC277" s="124" t="str">
        <f>IF($B277="","",IFERROR(_xlfn.NUMBERVALUE(E277&amp;"",",","."),"n.b."))</f>
        <v/>
      </c>
      <c r="BD277" s="124" t="str">
        <f>IF($B277="","",IFERROR(_xlfn.NUMBERVALUE(M277&amp;"",",","."),"n.b."))</f>
        <v/>
      </c>
      <c r="BE277" s="124" t="str">
        <f>IF($B277="","",IFERROR(AB277+AC277+AD277,"n.b."))</f>
        <v/>
      </c>
      <c r="BF277" s="124" t="str">
        <f>IF($B277="","",IFERROR(AE277+AF277+AG277,"n.b."))</f>
        <v/>
      </c>
      <c r="BG277" s="124" t="str">
        <f>IF($B277="","",IFERROR(AH277+AI277+AJ277,"n.b."))</f>
        <v/>
      </c>
      <c r="BH277" s="124" t="str">
        <f>IF($B277="","",IFERROR(AK277+AL277+AM277,"n.b."))</f>
        <v/>
      </c>
      <c r="BI277" s="124" t="str">
        <f>IF($B277="","",IFERROR(SUMIF($AB$5:$AM$5,"&lt;="&amp;P_PeilMaand,AB277:AM277),"n.b."))</f>
        <v/>
      </c>
      <c r="BJ277" s="124" t="str">
        <f>IF($B277="","",IFERROR(SUM(AB277:AM277)-BI277,"n.b."))</f>
        <v/>
      </c>
      <c r="BK277" s="124" t="str">
        <f>IF($B277="","",IFERROR(IF(ABS(Q277-(T277+SUM(AB277:AM277)+AS277+AU277))&gt;P_Tol,1,0),1))</f>
        <v/>
      </c>
      <c r="BL277" s="124" t="str">
        <f>IF($B277="","",IFERROR(IF(ABS(AA277-(Q277-Z277))&gt;P_Tol,1,0),1))</f>
        <v/>
      </c>
      <c r="BM277" s="124" t="str">
        <f>IF($B277="","",IFERROR(IF(ABS(Z277-(T277+W277))&gt;P_Tol,1,0),1))</f>
        <v/>
      </c>
      <c r="BN277" s="124" t="str">
        <f>IF($B277="","",IFERROR(IF(ABS(W277-BI277)&gt;P_Tol,1,0),1))</f>
        <v/>
      </c>
      <c r="BO277" s="124" t="str">
        <f>IF($B277="","",IFERROR(IF(OR(ABS(R277+S277-T277)&gt;P_Tol,ABS(U277+V277-W277)&gt;P_Tol,ABS(X277+Y277-Z277)&gt;P_Tol),1,0),1))</f>
        <v/>
      </c>
      <c r="BP277" s="124" t="str">
        <f>IF($B277="","",IFERROR(IF(OR(ABS(AR277-SUM(AB277:AM277))&gt;P_Tol,ABS(AS277-(AN277+AO277+AP277+AQ277))&gt;P_Tol),1,0),1))</f>
        <v/>
      </c>
      <c r="BQ277" s="124" t="str">
        <f>IF($B277="","",IFERROR(IF(ABS(AT277)+ABS(AV277)+ABS(AW277)+ABS(AX277)+ABS(AY277)+ABS(AZ277)+ABS(BA277)+ABS(BB277)&gt;0,1,0),1))</f>
        <v/>
      </c>
      <c r="BR277" s="124" t="str">
        <f>IF($B277="","",COUNTIF(STG_ZPMW03!$B$6:$B$505,B277))</f>
        <v/>
      </c>
      <c r="BS277" s="124" t="str">
        <f>IF($B277="","",COUNTIF($B$6:$B$505,B277))</f>
        <v/>
      </c>
      <c r="BT277" s="124" t="str">
        <f>IF($B277="","",IF(BR277=0,0,IF(INDEX(STG_ZPMW03!$I$6:$I$505,MATCH(B277,STG_ZPMW03!$B$6:$B$505,0))=J277&amp;"",0,1)))</f>
        <v/>
      </c>
      <c r="BU277" s="124" t="str">
        <f>IF($B277="","",IFERROR(IF(ABS(INDEX(Mapping!$D$5:$D$104,MATCH(B277,Mapping!$A$5:$A$104,0))-Q277)&gt;P_Tol,1,0),0))</f>
        <v/>
      </c>
      <c r="BV277" s="124" t="str">
        <f>IF($B277="","",IFERROR(IF(AND(INDEX(Mapping!$G$5:$G$104,MATCH(B277,Mapping!$A$5:$A$104,0))="Nee",ABS(Q277)+ABS(Z277)+ABS(AR277)&gt;0),1,0),0))</f>
        <v/>
      </c>
      <c r="BW277" s="124" t="str">
        <f>IF($B277="","",IF(COUNTIF(Mapping!$A$5:$A$104,B277)&gt;0,1,0))</f>
        <v/>
      </c>
      <c r="BX277" s="124" t="str">
        <f>IF($B277="","",IF(BR277=0,COUNTIF($BR$6:BR277,0),""))</f>
        <v/>
      </c>
    </row>
    <row r="278">
      <c r="A278" s="15" t="n">
        <v>274</v>
      </c>
      <c r="B278" t="str">
        <f>IF(B$3=0,"",IF(INDEX(SRC_Woningetalage!$A$1:$ZZ$501,$A278,B$3)&amp;""="","",INDEX(SRC_Woningetalage!$A$1:$ZZ$501,$A278,B$3)&amp;""))</f>
        <v/>
      </c>
      <c r="C278" t="str">
        <f>IF($B278="","",IF(C$3=0,"n.b.",INDEX(SRC_Woningetalage!$A$1:$ZZ$501,$A278,C$3)))</f>
        <v/>
      </c>
      <c r="D278" t="str">
        <f>IF($B278="","",IF(D$3=0,"n.b.",INDEX(SRC_Woningetalage!$A$1:$ZZ$501,$A278,D$3)))</f>
        <v/>
      </c>
      <c r="E278" t="str">
        <f>IF($B278="","",IF(E$3=0,"n.b.",INDEX(SRC_Woningetalage!$A$1:$ZZ$501,$A278,E$3)))</f>
        <v/>
      </c>
      <c r="F278" t="str">
        <f>IF($B278="","",IF(F$3=0,"n.b.",INDEX(SRC_Woningetalage!$A$1:$ZZ$501,$A278,F$3)))</f>
        <v/>
      </c>
      <c r="G278" t="str">
        <f>IF($B278="","",IF(G$3=0,"n.b.",INDEX(SRC_Woningetalage!$A$1:$ZZ$501,$A278,G$3)))</f>
        <v/>
      </c>
      <c r="H278" t="str">
        <f>IF($B278="","",IF(H$3=0,"n.b.",INDEX(SRC_Woningetalage!$A$1:$ZZ$501,$A278,H$3)))</f>
        <v/>
      </c>
      <c r="I278" t="str">
        <f>IF($B278="","",IF(I$3=0,"n.b.",INDEX(SRC_Woningetalage!$A$1:$ZZ$501,$A278,I$3)))</f>
        <v/>
      </c>
      <c r="J278" t="str">
        <f>IF($B278="","",IF(J$3=0,"n.b.",INDEX(SRC_Woningetalage!$A$1:$ZZ$501,$A278,J$3)))</f>
        <v/>
      </c>
      <c r="K278" t="str">
        <f>IF($B278="","",IF(K$3=0,"n.b.",INDEX(SRC_Woningetalage!$A$1:$ZZ$501,$A278,K$3)))</f>
        <v/>
      </c>
      <c r="L278" t="str">
        <f>IF($B278="","",IF(L$3=0,"n.b.",INDEX(SRC_Woningetalage!$A$1:$ZZ$501,$A278,L$3)))</f>
        <v/>
      </c>
      <c r="M278" t="str">
        <f>IF($B278="","",IF(M$3=0,"n.b.",INDEX(SRC_Woningetalage!$A$1:$ZZ$501,$A278,M$3)))</f>
        <v/>
      </c>
      <c r="N278" t="str">
        <f>IF($B278="","",IF(N$3=0,"n.b.",INDEX(SRC_Woningetalage!$A$1:$ZZ$501,$A278,N$3)))</f>
        <v/>
      </c>
      <c r="O278" t="str">
        <f>IF($B278="","",IF(O$3=0,"n.b.",INDEX(SRC_Woningetalage!$A$1:$ZZ$501,$A278,O$3)))</f>
        <v/>
      </c>
      <c r="P278" t="str">
        <f>IF($B278="","",IF(P$3=0,"n.b.",INDEX(SRC_Woningetalage!$A$1:$ZZ$501,$A278,P$3)))</f>
        <v/>
      </c>
      <c r="Q278" s="124" t="str">
        <f>IF($B278="","",IF(Q$3=0,"n.b.",INDEX(SRC_Woningetalage!$A$1:$ZZ$501,$A278,Q$3)))</f>
        <v/>
      </c>
      <c r="R278" s="124" t="str">
        <f>IF($B278="","",IF(R$3=0,"n.b.",INDEX(SRC_Woningetalage!$A$1:$ZZ$501,$A278,R$3)))</f>
        <v/>
      </c>
      <c r="S278" s="124" t="str">
        <f>IF($B278="","",IF(S$3=0,"n.b.",INDEX(SRC_Woningetalage!$A$1:$ZZ$501,$A278,S$3)))</f>
        <v/>
      </c>
      <c r="T278" s="124" t="str">
        <f>IF($B278="","",IF(T$3=0,"n.b.",INDEX(SRC_Woningetalage!$A$1:$ZZ$501,$A278,T$3)))</f>
        <v/>
      </c>
      <c r="U278" s="124" t="str">
        <f>IF($B278="","",IF(U$3=0,"n.b.",INDEX(SRC_Woningetalage!$A$1:$ZZ$501,$A278,U$3)))</f>
        <v/>
      </c>
      <c r="V278" s="124" t="str">
        <f>IF($B278="","",IF(V$3=0,"n.b.",INDEX(SRC_Woningetalage!$A$1:$ZZ$501,$A278,V$3)))</f>
        <v/>
      </c>
      <c r="W278" s="124" t="str">
        <f>IF($B278="","",IF(W$3=0,"n.b.",INDEX(SRC_Woningetalage!$A$1:$ZZ$501,$A278,W$3)))</f>
        <v/>
      </c>
      <c r="X278" s="124" t="str">
        <f>IF($B278="","",IF(X$3=0,"n.b.",INDEX(SRC_Woningetalage!$A$1:$ZZ$501,$A278,X$3)))</f>
        <v/>
      </c>
      <c r="Y278" s="124" t="str">
        <f>IF($B278="","",IF(Y$3=0,"n.b.",INDEX(SRC_Woningetalage!$A$1:$ZZ$501,$A278,Y$3)))</f>
        <v/>
      </c>
      <c r="Z278" s="124" t="str">
        <f>IF($B278="","",IF(Z$3=0,"n.b.",INDEX(SRC_Woningetalage!$A$1:$ZZ$501,$A278,Z$3)))</f>
        <v/>
      </c>
      <c r="AA278" s="124" t="str">
        <f>IF($B278="","",IF(AA$3=0,"n.b.",INDEX(SRC_Woningetalage!$A$1:$ZZ$501,$A278,AA$3)))</f>
        <v/>
      </c>
      <c r="AB278" s="124" t="str">
        <f>IF($B278="","",IF(AB$3=0,"n.b.",INDEX(SRC_Woningetalage!$A$1:$ZZ$501,$A278,AB$3)))</f>
        <v/>
      </c>
      <c r="AC278" s="124" t="str">
        <f>IF($B278="","",IF(AC$3=0,"n.b.",INDEX(SRC_Woningetalage!$A$1:$ZZ$501,$A278,AC$3)))</f>
        <v/>
      </c>
      <c r="AD278" s="124" t="str">
        <f>IF($B278="","",IF(AD$3=0,"n.b.",INDEX(SRC_Woningetalage!$A$1:$ZZ$501,$A278,AD$3)))</f>
        <v/>
      </c>
      <c r="AE278" s="124" t="str">
        <f>IF($B278="","",IF(AE$3=0,"n.b.",INDEX(SRC_Woningetalage!$A$1:$ZZ$501,$A278,AE$3)))</f>
        <v/>
      </c>
      <c r="AF278" s="124" t="str">
        <f>IF($B278="","",IF(AF$3=0,"n.b.",INDEX(SRC_Woningetalage!$A$1:$ZZ$501,$A278,AF$3)))</f>
        <v/>
      </c>
      <c r="AG278" s="124" t="str">
        <f>IF($B278="","",IF(AG$3=0,"n.b.",INDEX(SRC_Woningetalage!$A$1:$ZZ$501,$A278,AG$3)))</f>
        <v/>
      </c>
      <c r="AH278" s="124" t="str">
        <f>IF($B278="","",IF(AH$3=0,"n.b.",INDEX(SRC_Woningetalage!$A$1:$ZZ$501,$A278,AH$3)))</f>
        <v/>
      </c>
      <c r="AI278" s="124" t="str">
        <f>IF($B278="","",IF(AI$3=0,"n.b.",INDEX(SRC_Woningetalage!$A$1:$ZZ$501,$A278,AI$3)))</f>
        <v/>
      </c>
      <c r="AJ278" s="124" t="str">
        <f>IF($B278="","",IF(AJ$3=0,"n.b.",INDEX(SRC_Woningetalage!$A$1:$ZZ$501,$A278,AJ$3)))</f>
        <v/>
      </c>
      <c r="AK278" s="124" t="str">
        <f>IF($B278="","",IF(AK$3=0,"n.b.",INDEX(SRC_Woningetalage!$A$1:$ZZ$501,$A278,AK$3)))</f>
        <v/>
      </c>
      <c r="AL278" s="124" t="str">
        <f>IF($B278="","",IF(AL$3=0,"n.b.",INDEX(SRC_Woningetalage!$A$1:$ZZ$501,$A278,AL$3)))</f>
        <v/>
      </c>
      <c r="AM278" s="124" t="str">
        <f>IF($B278="","",IF(AM$3=0,"n.b.",INDEX(SRC_Woningetalage!$A$1:$ZZ$501,$A278,AM$3)))</f>
        <v/>
      </c>
      <c r="AN278" s="124" t="str">
        <f>IF($B278="","",IF(AN$3=0,"n.b.",INDEX(SRC_Woningetalage!$A$1:$ZZ$501,$A278,AN$3)))</f>
        <v/>
      </c>
      <c r="AO278" s="124" t="str">
        <f>IF($B278="","",IF(AO$3=0,"n.b.",INDEX(SRC_Woningetalage!$A$1:$ZZ$501,$A278,AO$3)))</f>
        <v/>
      </c>
      <c r="AP278" s="124" t="str">
        <f>IF($B278="","",IF(AP$3=0,"n.b.",INDEX(SRC_Woningetalage!$A$1:$ZZ$501,$A278,AP$3)))</f>
        <v/>
      </c>
      <c r="AQ278" s="124" t="str">
        <f>IF($B278="","",IF(AQ$3=0,"n.b.",INDEX(SRC_Woningetalage!$A$1:$ZZ$501,$A278,AQ$3)))</f>
        <v/>
      </c>
      <c r="AR278" s="124" t="str">
        <f>IF($B278="","",IF(AR$3=0,"n.b.",INDEX(SRC_Woningetalage!$A$1:$ZZ$501,$A278,AR$3)))</f>
        <v/>
      </c>
      <c r="AS278" s="124" t="str">
        <f>IF($B278="","",IF(AS$3=0,"n.b.",INDEX(SRC_Woningetalage!$A$1:$ZZ$501,$A278,AS$3)))</f>
        <v/>
      </c>
      <c r="AT278" s="124" t="str">
        <f>IF($B278="","",IF(AT$3=0,"n.b.",INDEX(SRC_Woningetalage!$A$1:$ZZ$501,$A278,AT$3)))</f>
        <v/>
      </c>
      <c r="AU278" s="124" t="str">
        <f>IF($B278="","",IF(AU$3=0,"n.b.",INDEX(SRC_Woningetalage!$A$1:$ZZ$501,$A278,AU$3)))</f>
        <v/>
      </c>
      <c r="AV278" s="124" t="str">
        <f>IF($B278="","",IF(AV$3=0,"n.b.",INDEX(SRC_Woningetalage!$A$1:$ZZ$501,$A278,AV$3)))</f>
        <v/>
      </c>
      <c r="AW278" s="124" t="str">
        <f>IF($B278="","",IF(AW$3=0,"n.b.",INDEX(SRC_Woningetalage!$A$1:$ZZ$501,$A278,AW$3)))</f>
        <v/>
      </c>
      <c r="AX278" s="124" t="str">
        <f>IF($B278="","",IF(AX$3=0,"n.b.",INDEX(SRC_Woningetalage!$A$1:$ZZ$501,$A278,AX$3)))</f>
        <v/>
      </c>
      <c r="AY278" s="124" t="str">
        <f>IF($B278="","",IF(AY$3=0,"n.b.",INDEX(SRC_Woningetalage!$A$1:$ZZ$501,$A278,AY$3)))</f>
        <v/>
      </c>
      <c r="AZ278" s="124" t="str">
        <f>IF($B278="","",IF(AZ$3=0,"n.b.",INDEX(SRC_Woningetalage!$A$1:$ZZ$501,$A278,AZ$3)))</f>
        <v/>
      </c>
      <c r="BA278" s="124" t="str">
        <f>IF($B278="","",IF(BA$3=0,"n.b.",INDEX(SRC_Woningetalage!$A$1:$ZZ$501,$A278,BA$3)))</f>
        <v/>
      </c>
      <c r="BB278" s="124" t="str">
        <f>IF($B278="","",IF(BB$3=0,"n.b.",INDEX(SRC_Woningetalage!$A$1:$ZZ$501,$A278,BB$3)))</f>
        <v/>
      </c>
      <c r="BC278" s="124" t="str">
        <f>IF($B278="","",IFERROR(_xlfn.NUMBERVALUE(E278&amp;"",",","."),"n.b."))</f>
        <v/>
      </c>
      <c r="BD278" s="124" t="str">
        <f>IF($B278="","",IFERROR(_xlfn.NUMBERVALUE(M278&amp;"",",","."),"n.b."))</f>
        <v/>
      </c>
      <c r="BE278" s="124" t="str">
        <f>IF($B278="","",IFERROR(AB278+AC278+AD278,"n.b."))</f>
        <v/>
      </c>
      <c r="BF278" s="124" t="str">
        <f>IF($B278="","",IFERROR(AE278+AF278+AG278,"n.b."))</f>
        <v/>
      </c>
      <c r="BG278" s="124" t="str">
        <f>IF($B278="","",IFERROR(AH278+AI278+AJ278,"n.b."))</f>
        <v/>
      </c>
      <c r="BH278" s="124" t="str">
        <f>IF($B278="","",IFERROR(AK278+AL278+AM278,"n.b."))</f>
        <v/>
      </c>
      <c r="BI278" s="124" t="str">
        <f>IF($B278="","",IFERROR(SUMIF($AB$5:$AM$5,"&lt;="&amp;P_PeilMaand,AB278:AM278),"n.b."))</f>
        <v/>
      </c>
      <c r="BJ278" s="124" t="str">
        <f>IF($B278="","",IFERROR(SUM(AB278:AM278)-BI278,"n.b."))</f>
        <v/>
      </c>
      <c r="BK278" s="124" t="str">
        <f>IF($B278="","",IFERROR(IF(ABS(Q278-(T278+SUM(AB278:AM278)+AS278+AU278))&gt;P_Tol,1,0),1))</f>
        <v/>
      </c>
      <c r="BL278" s="124" t="str">
        <f>IF($B278="","",IFERROR(IF(ABS(AA278-(Q278-Z278))&gt;P_Tol,1,0),1))</f>
        <v/>
      </c>
      <c r="BM278" s="124" t="str">
        <f>IF($B278="","",IFERROR(IF(ABS(Z278-(T278+W278))&gt;P_Tol,1,0),1))</f>
        <v/>
      </c>
      <c r="BN278" s="124" t="str">
        <f>IF($B278="","",IFERROR(IF(ABS(W278-BI278)&gt;P_Tol,1,0),1))</f>
        <v/>
      </c>
      <c r="BO278" s="124" t="str">
        <f>IF($B278="","",IFERROR(IF(OR(ABS(R278+S278-T278)&gt;P_Tol,ABS(U278+V278-W278)&gt;P_Tol,ABS(X278+Y278-Z278)&gt;P_Tol),1,0),1))</f>
        <v/>
      </c>
      <c r="BP278" s="124" t="str">
        <f>IF($B278="","",IFERROR(IF(OR(ABS(AR278-SUM(AB278:AM278))&gt;P_Tol,ABS(AS278-(AN278+AO278+AP278+AQ278))&gt;P_Tol),1,0),1))</f>
        <v/>
      </c>
      <c r="BQ278" s="124" t="str">
        <f>IF($B278="","",IFERROR(IF(ABS(AT278)+ABS(AV278)+ABS(AW278)+ABS(AX278)+ABS(AY278)+ABS(AZ278)+ABS(BA278)+ABS(BB278)&gt;0,1,0),1))</f>
        <v/>
      </c>
      <c r="BR278" s="124" t="str">
        <f>IF($B278="","",COUNTIF(STG_ZPMW03!$B$6:$B$505,B278))</f>
        <v/>
      </c>
      <c r="BS278" s="124" t="str">
        <f>IF($B278="","",COUNTIF($B$6:$B$505,B278))</f>
        <v/>
      </c>
      <c r="BT278" s="124" t="str">
        <f>IF($B278="","",IF(BR278=0,0,IF(INDEX(STG_ZPMW03!$I$6:$I$505,MATCH(B278,STG_ZPMW03!$B$6:$B$505,0))=J278&amp;"",0,1)))</f>
        <v/>
      </c>
      <c r="BU278" s="124" t="str">
        <f>IF($B278="","",IFERROR(IF(ABS(INDEX(Mapping!$D$5:$D$104,MATCH(B278,Mapping!$A$5:$A$104,0))-Q278)&gt;P_Tol,1,0),0))</f>
        <v/>
      </c>
      <c r="BV278" s="124" t="str">
        <f>IF($B278="","",IFERROR(IF(AND(INDEX(Mapping!$G$5:$G$104,MATCH(B278,Mapping!$A$5:$A$104,0))="Nee",ABS(Q278)+ABS(Z278)+ABS(AR278)&gt;0),1,0),0))</f>
        <v/>
      </c>
      <c r="BW278" s="124" t="str">
        <f>IF($B278="","",IF(COUNTIF(Mapping!$A$5:$A$104,B278)&gt;0,1,0))</f>
        <v/>
      </c>
      <c r="BX278" s="124" t="str">
        <f>IF($B278="","",IF(BR278=0,COUNTIF($BR$6:BR278,0),""))</f>
        <v/>
      </c>
    </row>
    <row r="279">
      <c r="A279" s="15" t="n">
        <v>275</v>
      </c>
      <c r="B279" t="str">
        <f>IF(B$3=0,"",IF(INDEX(SRC_Woningetalage!$A$1:$ZZ$501,$A279,B$3)&amp;""="","",INDEX(SRC_Woningetalage!$A$1:$ZZ$501,$A279,B$3)&amp;""))</f>
        <v/>
      </c>
      <c r="C279" t="str">
        <f>IF($B279="","",IF(C$3=0,"n.b.",INDEX(SRC_Woningetalage!$A$1:$ZZ$501,$A279,C$3)))</f>
        <v/>
      </c>
      <c r="D279" t="str">
        <f>IF($B279="","",IF(D$3=0,"n.b.",INDEX(SRC_Woningetalage!$A$1:$ZZ$501,$A279,D$3)))</f>
        <v/>
      </c>
      <c r="E279" t="str">
        <f>IF($B279="","",IF(E$3=0,"n.b.",INDEX(SRC_Woningetalage!$A$1:$ZZ$501,$A279,E$3)))</f>
        <v/>
      </c>
      <c r="F279" t="str">
        <f>IF($B279="","",IF(F$3=0,"n.b.",INDEX(SRC_Woningetalage!$A$1:$ZZ$501,$A279,F$3)))</f>
        <v/>
      </c>
      <c r="G279" t="str">
        <f>IF($B279="","",IF(G$3=0,"n.b.",INDEX(SRC_Woningetalage!$A$1:$ZZ$501,$A279,G$3)))</f>
        <v/>
      </c>
      <c r="H279" t="str">
        <f>IF($B279="","",IF(H$3=0,"n.b.",INDEX(SRC_Woningetalage!$A$1:$ZZ$501,$A279,H$3)))</f>
        <v/>
      </c>
      <c r="I279" t="str">
        <f>IF($B279="","",IF(I$3=0,"n.b.",INDEX(SRC_Woningetalage!$A$1:$ZZ$501,$A279,I$3)))</f>
        <v/>
      </c>
      <c r="J279" t="str">
        <f>IF($B279="","",IF(J$3=0,"n.b.",INDEX(SRC_Woningetalage!$A$1:$ZZ$501,$A279,J$3)))</f>
        <v/>
      </c>
      <c r="K279" t="str">
        <f>IF($B279="","",IF(K$3=0,"n.b.",INDEX(SRC_Woningetalage!$A$1:$ZZ$501,$A279,K$3)))</f>
        <v/>
      </c>
      <c r="L279" t="str">
        <f>IF($B279="","",IF(L$3=0,"n.b.",INDEX(SRC_Woningetalage!$A$1:$ZZ$501,$A279,L$3)))</f>
        <v/>
      </c>
      <c r="M279" t="str">
        <f>IF($B279="","",IF(M$3=0,"n.b.",INDEX(SRC_Woningetalage!$A$1:$ZZ$501,$A279,M$3)))</f>
        <v/>
      </c>
      <c r="N279" t="str">
        <f>IF($B279="","",IF(N$3=0,"n.b.",INDEX(SRC_Woningetalage!$A$1:$ZZ$501,$A279,N$3)))</f>
        <v/>
      </c>
      <c r="O279" t="str">
        <f>IF($B279="","",IF(O$3=0,"n.b.",INDEX(SRC_Woningetalage!$A$1:$ZZ$501,$A279,O$3)))</f>
        <v/>
      </c>
      <c r="P279" t="str">
        <f>IF($B279="","",IF(P$3=0,"n.b.",INDEX(SRC_Woningetalage!$A$1:$ZZ$501,$A279,P$3)))</f>
        <v/>
      </c>
      <c r="Q279" s="124" t="str">
        <f>IF($B279="","",IF(Q$3=0,"n.b.",INDEX(SRC_Woningetalage!$A$1:$ZZ$501,$A279,Q$3)))</f>
        <v/>
      </c>
      <c r="R279" s="124" t="str">
        <f>IF($B279="","",IF(R$3=0,"n.b.",INDEX(SRC_Woningetalage!$A$1:$ZZ$501,$A279,R$3)))</f>
        <v/>
      </c>
      <c r="S279" s="124" t="str">
        <f>IF($B279="","",IF(S$3=0,"n.b.",INDEX(SRC_Woningetalage!$A$1:$ZZ$501,$A279,S$3)))</f>
        <v/>
      </c>
      <c r="T279" s="124" t="str">
        <f>IF($B279="","",IF(T$3=0,"n.b.",INDEX(SRC_Woningetalage!$A$1:$ZZ$501,$A279,T$3)))</f>
        <v/>
      </c>
      <c r="U279" s="124" t="str">
        <f>IF($B279="","",IF(U$3=0,"n.b.",INDEX(SRC_Woningetalage!$A$1:$ZZ$501,$A279,U$3)))</f>
        <v/>
      </c>
      <c r="V279" s="124" t="str">
        <f>IF($B279="","",IF(V$3=0,"n.b.",INDEX(SRC_Woningetalage!$A$1:$ZZ$501,$A279,V$3)))</f>
        <v/>
      </c>
      <c r="W279" s="124" t="str">
        <f>IF($B279="","",IF(W$3=0,"n.b.",INDEX(SRC_Woningetalage!$A$1:$ZZ$501,$A279,W$3)))</f>
        <v/>
      </c>
      <c r="X279" s="124" t="str">
        <f>IF($B279="","",IF(X$3=0,"n.b.",INDEX(SRC_Woningetalage!$A$1:$ZZ$501,$A279,X$3)))</f>
        <v/>
      </c>
      <c r="Y279" s="124" t="str">
        <f>IF($B279="","",IF(Y$3=0,"n.b.",INDEX(SRC_Woningetalage!$A$1:$ZZ$501,$A279,Y$3)))</f>
        <v/>
      </c>
      <c r="Z279" s="124" t="str">
        <f>IF($B279="","",IF(Z$3=0,"n.b.",INDEX(SRC_Woningetalage!$A$1:$ZZ$501,$A279,Z$3)))</f>
        <v/>
      </c>
      <c r="AA279" s="124" t="str">
        <f>IF($B279="","",IF(AA$3=0,"n.b.",INDEX(SRC_Woningetalage!$A$1:$ZZ$501,$A279,AA$3)))</f>
        <v/>
      </c>
      <c r="AB279" s="124" t="str">
        <f>IF($B279="","",IF(AB$3=0,"n.b.",INDEX(SRC_Woningetalage!$A$1:$ZZ$501,$A279,AB$3)))</f>
        <v/>
      </c>
      <c r="AC279" s="124" t="str">
        <f>IF($B279="","",IF(AC$3=0,"n.b.",INDEX(SRC_Woningetalage!$A$1:$ZZ$501,$A279,AC$3)))</f>
        <v/>
      </c>
      <c r="AD279" s="124" t="str">
        <f>IF($B279="","",IF(AD$3=0,"n.b.",INDEX(SRC_Woningetalage!$A$1:$ZZ$501,$A279,AD$3)))</f>
        <v/>
      </c>
      <c r="AE279" s="124" t="str">
        <f>IF($B279="","",IF(AE$3=0,"n.b.",INDEX(SRC_Woningetalage!$A$1:$ZZ$501,$A279,AE$3)))</f>
        <v/>
      </c>
      <c r="AF279" s="124" t="str">
        <f>IF($B279="","",IF(AF$3=0,"n.b.",INDEX(SRC_Woningetalage!$A$1:$ZZ$501,$A279,AF$3)))</f>
        <v/>
      </c>
      <c r="AG279" s="124" t="str">
        <f>IF($B279="","",IF(AG$3=0,"n.b.",INDEX(SRC_Woningetalage!$A$1:$ZZ$501,$A279,AG$3)))</f>
        <v/>
      </c>
      <c r="AH279" s="124" t="str">
        <f>IF($B279="","",IF(AH$3=0,"n.b.",INDEX(SRC_Woningetalage!$A$1:$ZZ$501,$A279,AH$3)))</f>
        <v/>
      </c>
      <c r="AI279" s="124" t="str">
        <f>IF($B279="","",IF(AI$3=0,"n.b.",INDEX(SRC_Woningetalage!$A$1:$ZZ$501,$A279,AI$3)))</f>
        <v/>
      </c>
      <c r="AJ279" s="124" t="str">
        <f>IF($B279="","",IF(AJ$3=0,"n.b.",INDEX(SRC_Woningetalage!$A$1:$ZZ$501,$A279,AJ$3)))</f>
        <v/>
      </c>
      <c r="AK279" s="124" t="str">
        <f>IF($B279="","",IF(AK$3=0,"n.b.",INDEX(SRC_Woningetalage!$A$1:$ZZ$501,$A279,AK$3)))</f>
        <v/>
      </c>
      <c r="AL279" s="124" t="str">
        <f>IF($B279="","",IF(AL$3=0,"n.b.",INDEX(SRC_Woningetalage!$A$1:$ZZ$501,$A279,AL$3)))</f>
        <v/>
      </c>
      <c r="AM279" s="124" t="str">
        <f>IF($B279="","",IF(AM$3=0,"n.b.",INDEX(SRC_Woningetalage!$A$1:$ZZ$501,$A279,AM$3)))</f>
        <v/>
      </c>
      <c r="AN279" s="124" t="str">
        <f>IF($B279="","",IF(AN$3=0,"n.b.",INDEX(SRC_Woningetalage!$A$1:$ZZ$501,$A279,AN$3)))</f>
        <v/>
      </c>
      <c r="AO279" s="124" t="str">
        <f>IF($B279="","",IF(AO$3=0,"n.b.",INDEX(SRC_Woningetalage!$A$1:$ZZ$501,$A279,AO$3)))</f>
        <v/>
      </c>
      <c r="AP279" s="124" t="str">
        <f>IF($B279="","",IF(AP$3=0,"n.b.",INDEX(SRC_Woningetalage!$A$1:$ZZ$501,$A279,AP$3)))</f>
        <v/>
      </c>
      <c r="AQ279" s="124" t="str">
        <f>IF($B279="","",IF(AQ$3=0,"n.b.",INDEX(SRC_Woningetalage!$A$1:$ZZ$501,$A279,AQ$3)))</f>
        <v/>
      </c>
      <c r="AR279" s="124" t="str">
        <f>IF($B279="","",IF(AR$3=0,"n.b.",INDEX(SRC_Woningetalage!$A$1:$ZZ$501,$A279,AR$3)))</f>
        <v/>
      </c>
      <c r="AS279" s="124" t="str">
        <f>IF($B279="","",IF(AS$3=0,"n.b.",INDEX(SRC_Woningetalage!$A$1:$ZZ$501,$A279,AS$3)))</f>
        <v/>
      </c>
      <c r="AT279" s="124" t="str">
        <f>IF($B279="","",IF(AT$3=0,"n.b.",INDEX(SRC_Woningetalage!$A$1:$ZZ$501,$A279,AT$3)))</f>
        <v/>
      </c>
      <c r="AU279" s="124" t="str">
        <f>IF($B279="","",IF(AU$3=0,"n.b.",INDEX(SRC_Woningetalage!$A$1:$ZZ$501,$A279,AU$3)))</f>
        <v/>
      </c>
      <c r="AV279" s="124" t="str">
        <f>IF($B279="","",IF(AV$3=0,"n.b.",INDEX(SRC_Woningetalage!$A$1:$ZZ$501,$A279,AV$3)))</f>
        <v/>
      </c>
      <c r="AW279" s="124" t="str">
        <f>IF($B279="","",IF(AW$3=0,"n.b.",INDEX(SRC_Woningetalage!$A$1:$ZZ$501,$A279,AW$3)))</f>
        <v/>
      </c>
      <c r="AX279" s="124" t="str">
        <f>IF($B279="","",IF(AX$3=0,"n.b.",INDEX(SRC_Woningetalage!$A$1:$ZZ$501,$A279,AX$3)))</f>
        <v/>
      </c>
      <c r="AY279" s="124" t="str">
        <f>IF($B279="","",IF(AY$3=0,"n.b.",INDEX(SRC_Woningetalage!$A$1:$ZZ$501,$A279,AY$3)))</f>
        <v/>
      </c>
      <c r="AZ279" s="124" t="str">
        <f>IF($B279="","",IF(AZ$3=0,"n.b.",INDEX(SRC_Woningetalage!$A$1:$ZZ$501,$A279,AZ$3)))</f>
        <v/>
      </c>
      <c r="BA279" s="124" t="str">
        <f>IF($B279="","",IF(BA$3=0,"n.b.",INDEX(SRC_Woningetalage!$A$1:$ZZ$501,$A279,BA$3)))</f>
        <v/>
      </c>
      <c r="BB279" s="124" t="str">
        <f>IF($B279="","",IF(BB$3=0,"n.b.",INDEX(SRC_Woningetalage!$A$1:$ZZ$501,$A279,BB$3)))</f>
        <v/>
      </c>
      <c r="BC279" s="124" t="str">
        <f>IF($B279="","",IFERROR(_xlfn.NUMBERVALUE(E279&amp;"",",","."),"n.b."))</f>
        <v/>
      </c>
      <c r="BD279" s="124" t="str">
        <f>IF($B279="","",IFERROR(_xlfn.NUMBERVALUE(M279&amp;"",",","."),"n.b."))</f>
        <v/>
      </c>
      <c r="BE279" s="124" t="str">
        <f>IF($B279="","",IFERROR(AB279+AC279+AD279,"n.b."))</f>
        <v/>
      </c>
      <c r="BF279" s="124" t="str">
        <f>IF($B279="","",IFERROR(AE279+AF279+AG279,"n.b."))</f>
        <v/>
      </c>
      <c r="BG279" s="124" t="str">
        <f>IF($B279="","",IFERROR(AH279+AI279+AJ279,"n.b."))</f>
        <v/>
      </c>
      <c r="BH279" s="124" t="str">
        <f>IF($B279="","",IFERROR(AK279+AL279+AM279,"n.b."))</f>
        <v/>
      </c>
      <c r="BI279" s="124" t="str">
        <f>IF($B279="","",IFERROR(SUMIF($AB$5:$AM$5,"&lt;="&amp;P_PeilMaand,AB279:AM279),"n.b."))</f>
        <v/>
      </c>
      <c r="BJ279" s="124" t="str">
        <f>IF($B279="","",IFERROR(SUM(AB279:AM279)-BI279,"n.b."))</f>
        <v/>
      </c>
      <c r="BK279" s="124" t="str">
        <f>IF($B279="","",IFERROR(IF(ABS(Q279-(T279+SUM(AB279:AM279)+AS279+AU279))&gt;P_Tol,1,0),1))</f>
        <v/>
      </c>
      <c r="BL279" s="124" t="str">
        <f>IF($B279="","",IFERROR(IF(ABS(AA279-(Q279-Z279))&gt;P_Tol,1,0),1))</f>
        <v/>
      </c>
      <c r="BM279" s="124" t="str">
        <f>IF($B279="","",IFERROR(IF(ABS(Z279-(T279+W279))&gt;P_Tol,1,0),1))</f>
        <v/>
      </c>
      <c r="BN279" s="124" t="str">
        <f>IF($B279="","",IFERROR(IF(ABS(W279-BI279)&gt;P_Tol,1,0),1))</f>
        <v/>
      </c>
      <c r="BO279" s="124" t="str">
        <f>IF($B279="","",IFERROR(IF(OR(ABS(R279+S279-T279)&gt;P_Tol,ABS(U279+V279-W279)&gt;P_Tol,ABS(X279+Y279-Z279)&gt;P_Tol),1,0),1))</f>
        <v/>
      </c>
      <c r="BP279" s="124" t="str">
        <f>IF($B279="","",IFERROR(IF(OR(ABS(AR279-SUM(AB279:AM279))&gt;P_Tol,ABS(AS279-(AN279+AO279+AP279+AQ279))&gt;P_Tol),1,0),1))</f>
        <v/>
      </c>
      <c r="BQ279" s="124" t="str">
        <f>IF($B279="","",IFERROR(IF(ABS(AT279)+ABS(AV279)+ABS(AW279)+ABS(AX279)+ABS(AY279)+ABS(AZ279)+ABS(BA279)+ABS(BB279)&gt;0,1,0),1))</f>
        <v/>
      </c>
      <c r="BR279" s="124" t="str">
        <f>IF($B279="","",COUNTIF(STG_ZPMW03!$B$6:$B$505,B279))</f>
        <v/>
      </c>
      <c r="BS279" s="124" t="str">
        <f>IF($B279="","",COUNTIF($B$6:$B$505,B279))</f>
        <v/>
      </c>
      <c r="BT279" s="124" t="str">
        <f>IF($B279="","",IF(BR279=0,0,IF(INDEX(STG_ZPMW03!$I$6:$I$505,MATCH(B279,STG_ZPMW03!$B$6:$B$505,0))=J279&amp;"",0,1)))</f>
        <v/>
      </c>
      <c r="BU279" s="124" t="str">
        <f>IF($B279="","",IFERROR(IF(ABS(INDEX(Mapping!$D$5:$D$104,MATCH(B279,Mapping!$A$5:$A$104,0))-Q279)&gt;P_Tol,1,0),0))</f>
        <v/>
      </c>
      <c r="BV279" s="124" t="str">
        <f>IF($B279="","",IFERROR(IF(AND(INDEX(Mapping!$G$5:$G$104,MATCH(B279,Mapping!$A$5:$A$104,0))="Nee",ABS(Q279)+ABS(Z279)+ABS(AR279)&gt;0),1,0),0))</f>
        <v/>
      </c>
      <c r="BW279" s="124" t="str">
        <f>IF($B279="","",IF(COUNTIF(Mapping!$A$5:$A$104,B279)&gt;0,1,0))</f>
        <v/>
      </c>
      <c r="BX279" s="124" t="str">
        <f>IF($B279="","",IF(BR279=0,COUNTIF($BR$6:BR279,0),""))</f>
        <v/>
      </c>
    </row>
    <row r="280">
      <c r="A280" s="15" t="n">
        <v>276</v>
      </c>
      <c r="B280" t="str">
        <f>IF(B$3=0,"",IF(INDEX(SRC_Woningetalage!$A$1:$ZZ$501,$A280,B$3)&amp;""="","",INDEX(SRC_Woningetalage!$A$1:$ZZ$501,$A280,B$3)&amp;""))</f>
        <v/>
      </c>
      <c r="C280" t="str">
        <f>IF($B280="","",IF(C$3=0,"n.b.",INDEX(SRC_Woningetalage!$A$1:$ZZ$501,$A280,C$3)))</f>
        <v/>
      </c>
      <c r="D280" t="str">
        <f>IF($B280="","",IF(D$3=0,"n.b.",INDEX(SRC_Woningetalage!$A$1:$ZZ$501,$A280,D$3)))</f>
        <v/>
      </c>
      <c r="E280" t="str">
        <f>IF($B280="","",IF(E$3=0,"n.b.",INDEX(SRC_Woningetalage!$A$1:$ZZ$501,$A280,E$3)))</f>
        <v/>
      </c>
      <c r="F280" t="str">
        <f>IF($B280="","",IF(F$3=0,"n.b.",INDEX(SRC_Woningetalage!$A$1:$ZZ$501,$A280,F$3)))</f>
        <v/>
      </c>
      <c r="G280" t="str">
        <f>IF($B280="","",IF(G$3=0,"n.b.",INDEX(SRC_Woningetalage!$A$1:$ZZ$501,$A280,G$3)))</f>
        <v/>
      </c>
      <c r="H280" t="str">
        <f>IF($B280="","",IF(H$3=0,"n.b.",INDEX(SRC_Woningetalage!$A$1:$ZZ$501,$A280,H$3)))</f>
        <v/>
      </c>
      <c r="I280" t="str">
        <f>IF($B280="","",IF(I$3=0,"n.b.",INDEX(SRC_Woningetalage!$A$1:$ZZ$501,$A280,I$3)))</f>
        <v/>
      </c>
      <c r="J280" t="str">
        <f>IF($B280="","",IF(J$3=0,"n.b.",INDEX(SRC_Woningetalage!$A$1:$ZZ$501,$A280,J$3)))</f>
        <v/>
      </c>
      <c r="K280" t="str">
        <f>IF($B280="","",IF(K$3=0,"n.b.",INDEX(SRC_Woningetalage!$A$1:$ZZ$501,$A280,K$3)))</f>
        <v/>
      </c>
      <c r="L280" t="str">
        <f>IF($B280="","",IF(L$3=0,"n.b.",INDEX(SRC_Woningetalage!$A$1:$ZZ$501,$A280,L$3)))</f>
        <v/>
      </c>
      <c r="M280" t="str">
        <f>IF($B280="","",IF(M$3=0,"n.b.",INDEX(SRC_Woningetalage!$A$1:$ZZ$501,$A280,M$3)))</f>
        <v/>
      </c>
      <c r="N280" t="str">
        <f>IF($B280="","",IF(N$3=0,"n.b.",INDEX(SRC_Woningetalage!$A$1:$ZZ$501,$A280,N$3)))</f>
        <v/>
      </c>
      <c r="O280" t="str">
        <f>IF($B280="","",IF(O$3=0,"n.b.",INDEX(SRC_Woningetalage!$A$1:$ZZ$501,$A280,O$3)))</f>
        <v/>
      </c>
      <c r="P280" t="str">
        <f>IF($B280="","",IF(P$3=0,"n.b.",INDEX(SRC_Woningetalage!$A$1:$ZZ$501,$A280,P$3)))</f>
        <v/>
      </c>
      <c r="Q280" s="124" t="str">
        <f>IF($B280="","",IF(Q$3=0,"n.b.",INDEX(SRC_Woningetalage!$A$1:$ZZ$501,$A280,Q$3)))</f>
        <v/>
      </c>
      <c r="R280" s="124" t="str">
        <f>IF($B280="","",IF(R$3=0,"n.b.",INDEX(SRC_Woningetalage!$A$1:$ZZ$501,$A280,R$3)))</f>
        <v/>
      </c>
      <c r="S280" s="124" t="str">
        <f>IF($B280="","",IF(S$3=0,"n.b.",INDEX(SRC_Woningetalage!$A$1:$ZZ$501,$A280,S$3)))</f>
        <v/>
      </c>
      <c r="T280" s="124" t="str">
        <f>IF($B280="","",IF(T$3=0,"n.b.",INDEX(SRC_Woningetalage!$A$1:$ZZ$501,$A280,T$3)))</f>
        <v/>
      </c>
      <c r="U280" s="124" t="str">
        <f>IF($B280="","",IF(U$3=0,"n.b.",INDEX(SRC_Woningetalage!$A$1:$ZZ$501,$A280,U$3)))</f>
        <v/>
      </c>
      <c r="V280" s="124" t="str">
        <f>IF($B280="","",IF(V$3=0,"n.b.",INDEX(SRC_Woningetalage!$A$1:$ZZ$501,$A280,V$3)))</f>
        <v/>
      </c>
      <c r="W280" s="124" t="str">
        <f>IF($B280="","",IF(W$3=0,"n.b.",INDEX(SRC_Woningetalage!$A$1:$ZZ$501,$A280,W$3)))</f>
        <v/>
      </c>
      <c r="X280" s="124" t="str">
        <f>IF($B280="","",IF(X$3=0,"n.b.",INDEX(SRC_Woningetalage!$A$1:$ZZ$501,$A280,X$3)))</f>
        <v/>
      </c>
      <c r="Y280" s="124" t="str">
        <f>IF($B280="","",IF(Y$3=0,"n.b.",INDEX(SRC_Woningetalage!$A$1:$ZZ$501,$A280,Y$3)))</f>
        <v/>
      </c>
      <c r="Z280" s="124" t="str">
        <f>IF($B280="","",IF(Z$3=0,"n.b.",INDEX(SRC_Woningetalage!$A$1:$ZZ$501,$A280,Z$3)))</f>
        <v/>
      </c>
      <c r="AA280" s="124" t="str">
        <f>IF($B280="","",IF(AA$3=0,"n.b.",INDEX(SRC_Woningetalage!$A$1:$ZZ$501,$A280,AA$3)))</f>
        <v/>
      </c>
      <c r="AB280" s="124" t="str">
        <f>IF($B280="","",IF(AB$3=0,"n.b.",INDEX(SRC_Woningetalage!$A$1:$ZZ$501,$A280,AB$3)))</f>
        <v/>
      </c>
      <c r="AC280" s="124" t="str">
        <f>IF($B280="","",IF(AC$3=0,"n.b.",INDEX(SRC_Woningetalage!$A$1:$ZZ$501,$A280,AC$3)))</f>
        <v/>
      </c>
      <c r="AD280" s="124" t="str">
        <f>IF($B280="","",IF(AD$3=0,"n.b.",INDEX(SRC_Woningetalage!$A$1:$ZZ$501,$A280,AD$3)))</f>
        <v/>
      </c>
      <c r="AE280" s="124" t="str">
        <f>IF($B280="","",IF(AE$3=0,"n.b.",INDEX(SRC_Woningetalage!$A$1:$ZZ$501,$A280,AE$3)))</f>
        <v/>
      </c>
      <c r="AF280" s="124" t="str">
        <f>IF($B280="","",IF(AF$3=0,"n.b.",INDEX(SRC_Woningetalage!$A$1:$ZZ$501,$A280,AF$3)))</f>
        <v/>
      </c>
      <c r="AG280" s="124" t="str">
        <f>IF($B280="","",IF(AG$3=0,"n.b.",INDEX(SRC_Woningetalage!$A$1:$ZZ$501,$A280,AG$3)))</f>
        <v/>
      </c>
      <c r="AH280" s="124" t="str">
        <f>IF($B280="","",IF(AH$3=0,"n.b.",INDEX(SRC_Woningetalage!$A$1:$ZZ$501,$A280,AH$3)))</f>
        <v/>
      </c>
      <c r="AI280" s="124" t="str">
        <f>IF($B280="","",IF(AI$3=0,"n.b.",INDEX(SRC_Woningetalage!$A$1:$ZZ$501,$A280,AI$3)))</f>
        <v/>
      </c>
      <c r="AJ280" s="124" t="str">
        <f>IF($B280="","",IF(AJ$3=0,"n.b.",INDEX(SRC_Woningetalage!$A$1:$ZZ$501,$A280,AJ$3)))</f>
        <v/>
      </c>
      <c r="AK280" s="124" t="str">
        <f>IF($B280="","",IF(AK$3=0,"n.b.",INDEX(SRC_Woningetalage!$A$1:$ZZ$501,$A280,AK$3)))</f>
        <v/>
      </c>
      <c r="AL280" s="124" t="str">
        <f>IF($B280="","",IF(AL$3=0,"n.b.",INDEX(SRC_Woningetalage!$A$1:$ZZ$501,$A280,AL$3)))</f>
        <v/>
      </c>
      <c r="AM280" s="124" t="str">
        <f>IF($B280="","",IF(AM$3=0,"n.b.",INDEX(SRC_Woningetalage!$A$1:$ZZ$501,$A280,AM$3)))</f>
        <v/>
      </c>
      <c r="AN280" s="124" t="str">
        <f>IF($B280="","",IF(AN$3=0,"n.b.",INDEX(SRC_Woningetalage!$A$1:$ZZ$501,$A280,AN$3)))</f>
        <v/>
      </c>
      <c r="AO280" s="124" t="str">
        <f>IF($B280="","",IF(AO$3=0,"n.b.",INDEX(SRC_Woningetalage!$A$1:$ZZ$501,$A280,AO$3)))</f>
        <v/>
      </c>
      <c r="AP280" s="124" t="str">
        <f>IF($B280="","",IF(AP$3=0,"n.b.",INDEX(SRC_Woningetalage!$A$1:$ZZ$501,$A280,AP$3)))</f>
        <v/>
      </c>
      <c r="AQ280" s="124" t="str">
        <f>IF($B280="","",IF(AQ$3=0,"n.b.",INDEX(SRC_Woningetalage!$A$1:$ZZ$501,$A280,AQ$3)))</f>
        <v/>
      </c>
      <c r="AR280" s="124" t="str">
        <f>IF($B280="","",IF(AR$3=0,"n.b.",INDEX(SRC_Woningetalage!$A$1:$ZZ$501,$A280,AR$3)))</f>
        <v/>
      </c>
      <c r="AS280" s="124" t="str">
        <f>IF($B280="","",IF(AS$3=0,"n.b.",INDEX(SRC_Woningetalage!$A$1:$ZZ$501,$A280,AS$3)))</f>
        <v/>
      </c>
      <c r="AT280" s="124" t="str">
        <f>IF($B280="","",IF(AT$3=0,"n.b.",INDEX(SRC_Woningetalage!$A$1:$ZZ$501,$A280,AT$3)))</f>
        <v/>
      </c>
      <c r="AU280" s="124" t="str">
        <f>IF($B280="","",IF(AU$3=0,"n.b.",INDEX(SRC_Woningetalage!$A$1:$ZZ$501,$A280,AU$3)))</f>
        <v/>
      </c>
      <c r="AV280" s="124" t="str">
        <f>IF($B280="","",IF(AV$3=0,"n.b.",INDEX(SRC_Woningetalage!$A$1:$ZZ$501,$A280,AV$3)))</f>
        <v/>
      </c>
      <c r="AW280" s="124" t="str">
        <f>IF($B280="","",IF(AW$3=0,"n.b.",INDEX(SRC_Woningetalage!$A$1:$ZZ$501,$A280,AW$3)))</f>
        <v/>
      </c>
      <c r="AX280" s="124" t="str">
        <f>IF($B280="","",IF(AX$3=0,"n.b.",INDEX(SRC_Woningetalage!$A$1:$ZZ$501,$A280,AX$3)))</f>
        <v/>
      </c>
      <c r="AY280" s="124" t="str">
        <f>IF($B280="","",IF(AY$3=0,"n.b.",INDEX(SRC_Woningetalage!$A$1:$ZZ$501,$A280,AY$3)))</f>
        <v/>
      </c>
      <c r="AZ280" s="124" t="str">
        <f>IF($B280="","",IF(AZ$3=0,"n.b.",INDEX(SRC_Woningetalage!$A$1:$ZZ$501,$A280,AZ$3)))</f>
        <v/>
      </c>
      <c r="BA280" s="124" t="str">
        <f>IF($B280="","",IF(BA$3=0,"n.b.",INDEX(SRC_Woningetalage!$A$1:$ZZ$501,$A280,BA$3)))</f>
        <v/>
      </c>
      <c r="BB280" s="124" t="str">
        <f>IF($B280="","",IF(BB$3=0,"n.b.",INDEX(SRC_Woningetalage!$A$1:$ZZ$501,$A280,BB$3)))</f>
        <v/>
      </c>
      <c r="BC280" s="124" t="str">
        <f>IF($B280="","",IFERROR(_xlfn.NUMBERVALUE(E280&amp;"",",","."),"n.b."))</f>
        <v/>
      </c>
      <c r="BD280" s="124" t="str">
        <f>IF($B280="","",IFERROR(_xlfn.NUMBERVALUE(M280&amp;"",",","."),"n.b."))</f>
        <v/>
      </c>
      <c r="BE280" s="124" t="str">
        <f>IF($B280="","",IFERROR(AB280+AC280+AD280,"n.b."))</f>
        <v/>
      </c>
      <c r="BF280" s="124" t="str">
        <f>IF($B280="","",IFERROR(AE280+AF280+AG280,"n.b."))</f>
        <v/>
      </c>
      <c r="BG280" s="124" t="str">
        <f>IF($B280="","",IFERROR(AH280+AI280+AJ280,"n.b."))</f>
        <v/>
      </c>
      <c r="BH280" s="124" t="str">
        <f>IF($B280="","",IFERROR(AK280+AL280+AM280,"n.b."))</f>
        <v/>
      </c>
      <c r="BI280" s="124" t="str">
        <f>IF($B280="","",IFERROR(SUMIF($AB$5:$AM$5,"&lt;="&amp;P_PeilMaand,AB280:AM280),"n.b."))</f>
        <v/>
      </c>
      <c r="BJ280" s="124" t="str">
        <f>IF($B280="","",IFERROR(SUM(AB280:AM280)-BI280,"n.b."))</f>
        <v/>
      </c>
      <c r="BK280" s="124" t="str">
        <f>IF($B280="","",IFERROR(IF(ABS(Q280-(T280+SUM(AB280:AM280)+AS280+AU280))&gt;P_Tol,1,0),1))</f>
        <v/>
      </c>
      <c r="BL280" s="124" t="str">
        <f>IF($B280="","",IFERROR(IF(ABS(AA280-(Q280-Z280))&gt;P_Tol,1,0),1))</f>
        <v/>
      </c>
      <c r="BM280" s="124" t="str">
        <f>IF($B280="","",IFERROR(IF(ABS(Z280-(T280+W280))&gt;P_Tol,1,0),1))</f>
        <v/>
      </c>
      <c r="BN280" s="124" t="str">
        <f>IF($B280="","",IFERROR(IF(ABS(W280-BI280)&gt;P_Tol,1,0),1))</f>
        <v/>
      </c>
      <c r="BO280" s="124" t="str">
        <f>IF($B280="","",IFERROR(IF(OR(ABS(R280+S280-T280)&gt;P_Tol,ABS(U280+V280-W280)&gt;P_Tol,ABS(X280+Y280-Z280)&gt;P_Tol),1,0),1))</f>
        <v/>
      </c>
      <c r="BP280" s="124" t="str">
        <f>IF($B280="","",IFERROR(IF(OR(ABS(AR280-SUM(AB280:AM280))&gt;P_Tol,ABS(AS280-(AN280+AO280+AP280+AQ280))&gt;P_Tol),1,0),1))</f>
        <v/>
      </c>
      <c r="BQ280" s="124" t="str">
        <f>IF($B280="","",IFERROR(IF(ABS(AT280)+ABS(AV280)+ABS(AW280)+ABS(AX280)+ABS(AY280)+ABS(AZ280)+ABS(BA280)+ABS(BB280)&gt;0,1,0),1))</f>
        <v/>
      </c>
      <c r="BR280" s="124" t="str">
        <f>IF($B280="","",COUNTIF(STG_ZPMW03!$B$6:$B$505,B280))</f>
        <v/>
      </c>
      <c r="BS280" s="124" t="str">
        <f>IF($B280="","",COUNTIF($B$6:$B$505,B280))</f>
        <v/>
      </c>
      <c r="BT280" s="124" t="str">
        <f>IF($B280="","",IF(BR280=0,0,IF(INDEX(STG_ZPMW03!$I$6:$I$505,MATCH(B280,STG_ZPMW03!$B$6:$B$505,0))=J280&amp;"",0,1)))</f>
        <v/>
      </c>
      <c r="BU280" s="124" t="str">
        <f>IF($B280="","",IFERROR(IF(ABS(INDEX(Mapping!$D$5:$D$104,MATCH(B280,Mapping!$A$5:$A$104,0))-Q280)&gt;P_Tol,1,0),0))</f>
        <v/>
      </c>
      <c r="BV280" s="124" t="str">
        <f>IF($B280="","",IFERROR(IF(AND(INDEX(Mapping!$G$5:$G$104,MATCH(B280,Mapping!$A$5:$A$104,0))="Nee",ABS(Q280)+ABS(Z280)+ABS(AR280)&gt;0),1,0),0))</f>
        <v/>
      </c>
      <c r="BW280" s="124" t="str">
        <f>IF($B280="","",IF(COUNTIF(Mapping!$A$5:$A$104,B280)&gt;0,1,0))</f>
        <v/>
      </c>
      <c r="BX280" s="124" t="str">
        <f>IF($B280="","",IF(BR280=0,COUNTIF($BR$6:BR280,0),""))</f>
        <v/>
      </c>
    </row>
    <row r="281">
      <c r="A281" s="15" t="n">
        <v>277</v>
      </c>
      <c r="B281" t="str">
        <f>IF(B$3=0,"",IF(INDEX(SRC_Woningetalage!$A$1:$ZZ$501,$A281,B$3)&amp;""="","",INDEX(SRC_Woningetalage!$A$1:$ZZ$501,$A281,B$3)&amp;""))</f>
        <v/>
      </c>
      <c r="C281" t="str">
        <f>IF($B281="","",IF(C$3=0,"n.b.",INDEX(SRC_Woningetalage!$A$1:$ZZ$501,$A281,C$3)))</f>
        <v/>
      </c>
      <c r="D281" t="str">
        <f>IF($B281="","",IF(D$3=0,"n.b.",INDEX(SRC_Woningetalage!$A$1:$ZZ$501,$A281,D$3)))</f>
        <v/>
      </c>
      <c r="E281" t="str">
        <f>IF($B281="","",IF(E$3=0,"n.b.",INDEX(SRC_Woningetalage!$A$1:$ZZ$501,$A281,E$3)))</f>
        <v/>
      </c>
      <c r="F281" t="str">
        <f>IF($B281="","",IF(F$3=0,"n.b.",INDEX(SRC_Woningetalage!$A$1:$ZZ$501,$A281,F$3)))</f>
        <v/>
      </c>
      <c r="G281" t="str">
        <f>IF($B281="","",IF(G$3=0,"n.b.",INDEX(SRC_Woningetalage!$A$1:$ZZ$501,$A281,G$3)))</f>
        <v/>
      </c>
      <c r="H281" t="str">
        <f>IF($B281="","",IF(H$3=0,"n.b.",INDEX(SRC_Woningetalage!$A$1:$ZZ$501,$A281,H$3)))</f>
        <v/>
      </c>
      <c r="I281" t="str">
        <f>IF($B281="","",IF(I$3=0,"n.b.",INDEX(SRC_Woningetalage!$A$1:$ZZ$501,$A281,I$3)))</f>
        <v/>
      </c>
      <c r="J281" t="str">
        <f>IF($B281="","",IF(J$3=0,"n.b.",INDEX(SRC_Woningetalage!$A$1:$ZZ$501,$A281,J$3)))</f>
        <v/>
      </c>
      <c r="K281" t="str">
        <f>IF($B281="","",IF(K$3=0,"n.b.",INDEX(SRC_Woningetalage!$A$1:$ZZ$501,$A281,K$3)))</f>
        <v/>
      </c>
      <c r="L281" t="str">
        <f>IF($B281="","",IF(L$3=0,"n.b.",INDEX(SRC_Woningetalage!$A$1:$ZZ$501,$A281,L$3)))</f>
        <v/>
      </c>
      <c r="M281" t="str">
        <f>IF($B281="","",IF(M$3=0,"n.b.",INDEX(SRC_Woningetalage!$A$1:$ZZ$501,$A281,M$3)))</f>
        <v/>
      </c>
      <c r="N281" t="str">
        <f>IF($B281="","",IF(N$3=0,"n.b.",INDEX(SRC_Woningetalage!$A$1:$ZZ$501,$A281,N$3)))</f>
        <v/>
      </c>
      <c r="O281" t="str">
        <f>IF($B281="","",IF(O$3=0,"n.b.",INDEX(SRC_Woningetalage!$A$1:$ZZ$501,$A281,O$3)))</f>
        <v/>
      </c>
      <c r="P281" t="str">
        <f>IF($B281="","",IF(P$3=0,"n.b.",INDEX(SRC_Woningetalage!$A$1:$ZZ$501,$A281,P$3)))</f>
        <v/>
      </c>
      <c r="Q281" s="124" t="str">
        <f>IF($B281="","",IF(Q$3=0,"n.b.",INDEX(SRC_Woningetalage!$A$1:$ZZ$501,$A281,Q$3)))</f>
        <v/>
      </c>
      <c r="R281" s="124" t="str">
        <f>IF($B281="","",IF(R$3=0,"n.b.",INDEX(SRC_Woningetalage!$A$1:$ZZ$501,$A281,R$3)))</f>
        <v/>
      </c>
      <c r="S281" s="124" t="str">
        <f>IF($B281="","",IF(S$3=0,"n.b.",INDEX(SRC_Woningetalage!$A$1:$ZZ$501,$A281,S$3)))</f>
        <v/>
      </c>
      <c r="T281" s="124" t="str">
        <f>IF($B281="","",IF(T$3=0,"n.b.",INDEX(SRC_Woningetalage!$A$1:$ZZ$501,$A281,T$3)))</f>
        <v/>
      </c>
      <c r="U281" s="124" t="str">
        <f>IF($B281="","",IF(U$3=0,"n.b.",INDEX(SRC_Woningetalage!$A$1:$ZZ$501,$A281,U$3)))</f>
        <v/>
      </c>
      <c r="V281" s="124" t="str">
        <f>IF($B281="","",IF(V$3=0,"n.b.",INDEX(SRC_Woningetalage!$A$1:$ZZ$501,$A281,V$3)))</f>
        <v/>
      </c>
      <c r="W281" s="124" t="str">
        <f>IF($B281="","",IF(W$3=0,"n.b.",INDEX(SRC_Woningetalage!$A$1:$ZZ$501,$A281,W$3)))</f>
        <v/>
      </c>
      <c r="X281" s="124" t="str">
        <f>IF($B281="","",IF(X$3=0,"n.b.",INDEX(SRC_Woningetalage!$A$1:$ZZ$501,$A281,X$3)))</f>
        <v/>
      </c>
      <c r="Y281" s="124" t="str">
        <f>IF($B281="","",IF(Y$3=0,"n.b.",INDEX(SRC_Woningetalage!$A$1:$ZZ$501,$A281,Y$3)))</f>
        <v/>
      </c>
      <c r="Z281" s="124" t="str">
        <f>IF($B281="","",IF(Z$3=0,"n.b.",INDEX(SRC_Woningetalage!$A$1:$ZZ$501,$A281,Z$3)))</f>
        <v/>
      </c>
      <c r="AA281" s="124" t="str">
        <f>IF($B281="","",IF(AA$3=0,"n.b.",INDEX(SRC_Woningetalage!$A$1:$ZZ$501,$A281,AA$3)))</f>
        <v/>
      </c>
      <c r="AB281" s="124" t="str">
        <f>IF($B281="","",IF(AB$3=0,"n.b.",INDEX(SRC_Woningetalage!$A$1:$ZZ$501,$A281,AB$3)))</f>
        <v/>
      </c>
      <c r="AC281" s="124" t="str">
        <f>IF($B281="","",IF(AC$3=0,"n.b.",INDEX(SRC_Woningetalage!$A$1:$ZZ$501,$A281,AC$3)))</f>
        <v/>
      </c>
      <c r="AD281" s="124" t="str">
        <f>IF($B281="","",IF(AD$3=0,"n.b.",INDEX(SRC_Woningetalage!$A$1:$ZZ$501,$A281,AD$3)))</f>
        <v/>
      </c>
      <c r="AE281" s="124" t="str">
        <f>IF($B281="","",IF(AE$3=0,"n.b.",INDEX(SRC_Woningetalage!$A$1:$ZZ$501,$A281,AE$3)))</f>
        <v/>
      </c>
      <c r="AF281" s="124" t="str">
        <f>IF($B281="","",IF(AF$3=0,"n.b.",INDEX(SRC_Woningetalage!$A$1:$ZZ$501,$A281,AF$3)))</f>
        <v/>
      </c>
      <c r="AG281" s="124" t="str">
        <f>IF($B281="","",IF(AG$3=0,"n.b.",INDEX(SRC_Woningetalage!$A$1:$ZZ$501,$A281,AG$3)))</f>
        <v/>
      </c>
      <c r="AH281" s="124" t="str">
        <f>IF($B281="","",IF(AH$3=0,"n.b.",INDEX(SRC_Woningetalage!$A$1:$ZZ$501,$A281,AH$3)))</f>
        <v/>
      </c>
      <c r="AI281" s="124" t="str">
        <f>IF($B281="","",IF(AI$3=0,"n.b.",INDEX(SRC_Woningetalage!$A$1:$ZZ$501,$A281,AI$3)))</f>
        <v/>
      </c>
      <c r="AJ281" s="124" t="str">
        <f>IF($B281="","",IF(AJ$3=0,"n.b.",INDEX(SRC_Woningetalage!$A$1:$ZZ$501,$A281,AJ$3)))</f>
        <v/>
      </c>
      <c r="AK281" s="124" t="str">
        <f>IF($B281="","",IF(AK$3=0,"n.b.",INDEX(SRC_Woningetalage!$A$1:$ZZ$501,$A281,AK$3)))</f>
        <v/>
      </c>
      <c r="AL281" s="124" t="str">
        <f>IF($B281="","",IF(AL$3=0,"n.b.",INDEX(SRC_Woningetalage!$A$1:$ZZ$501,$A281,AL$3)))</f>
        <v/>
      </c>
      <c r="AM281" s="124" t="str">
        <f>IF($B281="","",IF(AM$3=0,"n.b.",INDEX(SRC_Woningetalage!$A$1:$ZZ$501,$A281,AM$3)))</f>
        <v/>
      </c>
      <c r="AN281" s="124" t="str">
        <f>IF($B281="","",IF(AN$3=0,"n.b.",INDEX(SRC_Woningetalage!$A$1:$ZZ$501,$A281,AN$3)))</f>
        <v/>
      </c>
      <c r="AO281" s="124" t="str">
        <f>IF($B281="","",IF(AO$3=0,"n.b.",INDEX(SRC_Woningetalage!$A$1:$ZZ$501,$A281,AO$3)))</f>
        <v/>
      </c>
      <c r="AP281" s="124" t="str">
        <f>IF($B281="","",IF(AP$3=0,"n.b.",INDEX(SRC_Woningetalage!$A$1:$ZZ$501,$A281,AP$3)))</f>
        <v/>
      </c>
      <c r="AQ281" s="124" t="str">
        <f>IF($B281="","",IF(AQ$3=0,"n.b.",INDEX(SRC_Woningetalage!$A$1:$ZZ$501,$A281,AQ$3)))</f>
        <v/>
      </c>
      <c r="AR281" s="124" t="str">
        <f>IF($B281="","",IF(AR$3=0,"n.b.",INDEX(SRC_Woningetalage!$A$1:$ZZ$501,$A281,AR$3)))</f>
        <v/>
      </c>
      <c r="AS281" s="124" t="str">
        <f>IF($B281="","",IF(AS$3=0,"n.b.",INDEX(SRC_Woningetalage!$A$1:$ZZ$501,$A281,AS$3)))</f>
        <v/>
      </c>
      <c r="AT281" s="124" t="str">
        <f>IF($B281="","",IF(AT$3=0,"n.b.",INDEX(SRC_Woningetalage!$A$1:$ZZ$501,$A281,AT$3)))</f>
        <v/>
      </c>
      <c r="AU281" s="124" t="str">
        <f>IF($B281="","",IF(AU$3=0,"n.b.",INDEX(SRC_Woningetalage!$A$1:$ZZ$501,$A281,AU$3)))</f>
        <v/>
      </c>
      <c r="AV281" s="124" t="str">
        <f>IF($B281="","",IF(AV$3=0,"n.b.",INDEX(SRC_Woningetalage!$A$1:$ZZ$501,$A281,AV$3)))</f>
        <v/>
      </c>
      <c r="AW281" s="124" t="str">
        <f>IF($B281="","",IF(AW$3=0,"n.b.",INDEX(SRC_Woningetalage!$A$1:$ZZ$501,$A281,AW$3)))</f>
        <v/>
      </c>
      <c r="AX281" s="124" t="str">
        <f>IF($B281="","",IF(AX$3=0,"n.b.",INDEX(SRC_Woningetalage!$A$1:$ZZ$501,$A281,AX$3)))</f>
        <v/>
      </c>
      <c r="AY281" s="124" t="str">
        <f>IF($B281="","",IF(AY$3=0,"n.b.",INDEX(SRC_Woningetalage!$A$1:$ZZ$501,$A281,AY$3)))</f>
        <v/>
      </c>
      <c r="AZ281" s="124" t="str">
        <f>IF($B281="","",IF(AZ$3=0,"n.b.",INDEX(SRC_Woningetalage!$A$1:$ZZ$501,$A281,AZ$3)))</f>
        <v/>
      </c>
      <c r="BA281" s="124" t="str">
        <f>IF($B281="","",IF(BA$3=0,"n.b.",INDEX(SRC_Woningetalage!$A$1:$ZZ$501,$A281,BA$3)))</f>
        <v/>
      </c>
      <c r="BB281" s="124" t="str">
        <f>IF($B281="","",IF(BB$3=0,"n.b.",INDEX(SRC_Woningetalage!$A$1:$ZZ$501,$A281,BB$3)))</f>
        <v/>
      </c>
      <c r="BC281" s="124" t="str">
        <f>IF($B281="","",IFERROR(_xlfn.NUMBERVALUE(E281&amp;"",",","."),"n.b."))</f>
        <v/>
      </c>
      <c r="BD281" s="124" t="str">
        <f>IF($B281="","",IFERROR(_xlfn.NUMBERVALUE(M281&amp;"",",","."),"n.b."))</f>
        <v/>
      </c>
      <c r="BE281" s="124" t="str">
        <f>IF($B281="","",IFERROR(AB281+AC281+AD281,"n.b."))</f>
        <v/>
      </c>
      <c r="BF281" s="124" t="str">
        <f>IF($B281="","",IFERROR(AE281+AF281+AG281,"n.b."))</f>
        <v/>
      </c>
      <c r="BG281" s="124" t="str">
        <f>IF($B281="","",IFERROR(AH281+AI281+AJ281,"n.b."))</f>
        <v/>
      </c>
      <c r="BH281" s="124" t="str">
        <f>IF($B281="","",IFERROR(AK281+AL281+AM281,"n.b."))</f>
        <v/>
      </c>
      <c r="BI281" s="124" t="str">
        <f>IF($B281="","",IFERROR(SUMIF($AB$5:$AM$5,"&lt;="&amp;P_PeilMaand,AB281:AM281),"n.b."))</f>
        <v/>
      </c>
      <c r="BJ281" s="124" t="str">
        <f>IF($B281="","",IFERROR(SUM(AB281:AM281)-BI281,"n.b."))</f>
        <v/>
      </c>
      <c r="BK281" s="124" t="str">
        <f>IF($B281="","",IFERROR(IF(ABS(Q281-(T281+SUM(AB281:AM281)+AS281+AU281))&gt;P_Tol,1,0),1))</f>
        <v/>
      </c>
      <c r="BL281" s="124" t="str">
        <f>IF($B281="","",IFERROR(IF(ABS(AA281-(Q281-Z281))&gt;P_Tol,1,0),1))</f>
        <v/>
      </c>
      <c r="BM281" s="124" t="str">
        <f>IF($B281="","",IFERROR(IF(ABS(Z281-(T281+W281))&gt;P_Tol,1,0),1))</f>
        <v/>
      </c>
      <c r="BN281" s="124" t="str">
        <f>IF($B281="","",IFERROR(IF(ABS(W281-BI281)&gt;P_Tol,1,0),1))</f>
        <v/>
      </c>
      <c r="BO281" s="124" t="str">
        <f>IF($B281="","",IFERROR(IF(OR(ABS(R281+S281-T281)&gt;P_Tol,ABS(U281+V281-W281)&gt;P_Tol,ABS(X281+Y281-Z281)&gt;P_Tol),1,0),1))</f>
        <v/>
      </c>
      <c r="BP281" s="124" t="str">
        <f>IF($B281="","",IFERROR(IF(OR(ABS(AR281-SUM(AB281:AM281))&gt;P_Tol,ABS(AS281-(AN281+AO281+AP281+AQ281))&gt;P_Tol),1,0),1))</f>
        <v/>
      </c>
      <c r="BQ281" s="124" t="str">
        <f>IF($B281="","",IFERROR(IF(ABS(AT281)+ABS(AV281)+ABS(AW281)+ABS(AX281)+ABS(AY281)+ABS(AZ281)+ABS(BA281)+ABS(BB281)&gt;0,1,0),1))</f>
        <v/>
      </c>
      <c r="BR281" s="124" t="str">
        <f>IF($B281="","",COUNTIF(STG_ZPMW03!$B$6:$B$505,B281))</f>
        <v/>
      </c>
      <c r="BS281" s="124" t="str">
        <f>IF($B281="","",COUNTIF($B$6:$B$505,B281))</f>
        <v/>
      </c>
      <c r="BT281" s="124" t="str">
        <f>IF($B281="","",IF(BR281=0,0,IF(INDEX(STG_ZPMW03!$I$6:$I$505,MATCH(B281,STG_ZPMW03!$B$6:$B$505,0))=J281&amp;"",0,1)))</f>
        <v/>
      </c>
      <c r="BU281" s="124" t="str">
        <f>IF($B281="","",IFERROR(IF(ABS(INDEX(Mapping!$D$5:$D$104,MATCH(B281,Mapping!$A$5:$A$104,0))-Q281)&gt;P_Tol,1,0),0))</f>
        <v/>
      </c>
      <c r="BV281" s="124" t="str">
        <f>IF($B281="","",IFERROR(IF(AND(INDEX(Mapping!$G$5:$G$104,MATCH(B281,Mapping!$A$5:$A$104,0))="Nee",ABS(Q281)+ABS(Z281)+ABS(AR281)&gt;0),1,0),0))</f>
        <v/>
      </c>
      <c r="BW281" s="124" t="str">
        <f>IF($B281="","",IF(COUNTIF(Mapping!$A$5:$A$104,B281)&gt;0,1,0))</f>
        <v/>
      </c>
      <c r="BX281" s="124" t="str">
        <f>IF($B281="","",IF(BR281=0,COUNTIF($BR$6:BR281,0),""))</f>
        <v/>
      </c>
    </row>
    <row r="282">
      <c r="A282" s="15" t="n">
        <v>278</v>
      </c>
      <c r="B282" t="str">
        <f>IF(B$3=0,"",IF(INDEX(SRC_Woningetalage!$A$1:$ZZ$501,$A282,B$3)&amp;""="","",INDEX(SRC_Woningetalage!$A$1:$ZZ$501,$A282,B$3)&amp;""))</f>
        <v/>
      </c>
      <c r="C282" t="str">
        <f>IF($B282="","",IF(C$3=0,"n.b.",INDEX(SRC_Woningetalage!$A$1:$ZZ$501,$A282,C$3)))</f>
        <v/>
      </c>
      <c r="D282" t="str">
        <f>IF($B282="","",IF(D$3=0,"n.b.",INDEX(SRC_Woningetalage!$A$1:$ZZ$501,$A282,D$3)))</f>
        <v/>
      </c>
      <c r="E282" t="str">
        <f>IF($B282="","",IF(E$3=0,"n.b.",INDEX(SRC_Woningetalage!$A$1:$ZZ$501,$A282,E$3)))</f>
        <v/>
      </c>
      <c r="F282" t="str">
        <f>IF($B282="","",IF(F$3=0,"n.b.",INDEX(SRC_Woningetalage!$A$1:$ZZ$501,$A282,F$3)))</f>
        <v/>
      </c>
      <c r="G282" t="str">
        <f>IF($B282="","",IF(G$3=0,"n.b.",INDEX(SRC_Woningetalage!$A$1:$ZZ$501,$A282,G$3)))</f>
        <v/>
      </c>
      <c r="H282" t="str">
        <f>IF($B282="","",IF(H$3=0,"n.b.",INDEX(SRC_Woningetalage!$A$1:$ZZ$501,$A282,H$3)))</f>
        <v/>
      </c>
      <c r="I282" t="str">
        <f>IF($B282="","",IF(I$3=0,"n.b.",INDEX(SRC_Woningetalage!$A$1:$ZZ$501,$A282,I$3)))</f>
        <v/>
      </c>
      <c r="J282" t="str">
        <f>IF($B282="","",IF(J$3=0,"n.b.",INDEX(SRC_Woningetalage!$A$1:$ZZ$501,$A282,J$3)))</f>
        <v/>
      </c>
      <c r="K282" t="str">
        <f>IF($B282="","",IF(K$3=0,"n.b.",INDEX(SRC_Woningetalage!$A$1:$ZZ$501,$A282,K$3)))</f>
        <v/>
      </c>
      <c r="L282" t="str">
        <f>IF($B282="","",IF(L$3=0,"n.b.",INDEX(SRC_Woningetalage!$A$1:$ZZ$501,$A282,L$3)))</f>
        <v/>
      </c>
      <c r="M282" t="str">
        <f>IF($B282="","",IF(M$3=0,"n.b.",INDEX(SRC_Woningetalage!$A$1:$ZZ$501,$A282,M$3)))</f>
        <v/>
      </c>
      <c r="N282" t="str">
        <f>IF($B282="","",IF(N$3=0,"n.b.",INDEX(SRC_Woningetalage!$A$1:$ZZ$501,$A282,N$3)))</f>
        <v/>
      </c>
      <c r="O282" t="str">
        <f>IF($B282="","",IF(O$3=0,"n.b.",INDEX(SRC_Woningetalage!$A$1:$ZZ$501,$A282,O$3)))</f>
        <v/>
      </c>
      <c r="P282" t="str">
        <f>IF($B282="","",IF(P$3=0,"n.b.",INDEX(SRC_Woningetalage!$A$1:$ZZ$501,$A282,P$3)))</f>
        <v/>
      </c>
      <c r="Q282" s="124" t="str">
        <f>IF($B282="","",IF(Q$3=0,"n.b.",INDEX(SRC_Woningetalage!$A$1:$ZZ$501,$A282,Q$3)))</f>
        <v/>
      </c>
      <c r="R282" s="124" t="str">
        <f>IF($B282="","",IF(R$3=0,"n.b.",INDEX(SRC_Woningetalage!$A$1:$ZZ$501,$A282,R$3)))</f>
        <v/>
      </c>
      <c r="S282" s="124" t="str">
        <f>IF($B282="","",IF(S$3=0,"n.b.",INDEX(SRC_Woningetalage!$A$1:$ZZ$501,$A282,S$3)))</f>
        <v/>
      </c>
      <c r="T282" s="124" t="str">
        <f>IF($B282="","",IF(T$3=0,"n.b.",INDEX(SRC_Woningetalage!$A$1:$ZZ$501,$A282,T$3)))</f>
        <v/>
      </c>
      <c r="U282" s="124" t="str">
        <f>IF($B282="","",IF(U$3=0,"n.b.",INDEX(SRC_Woningetalage!$A$1:$ZZ$501,$A282,U$3)))</f>
        <v/>
      </c>
      <c r="V282" s="124" t="str">
        <f>IF($B282="","",IF(V$3=0,"n.b.",INDEX(SRC_Woningetalage!$A$1:$ZZ$501,$A282,V$3)))</f>
        <v/>
      </c>
      <c r="W282" s="124" t="str">
        <f>IF($B282="","",IF(W$3=0,"n.b.",INDEX(SRC_Woningetalage!$A$1:$ZZ$501,$A282,W$3)))</f>
        <v/>
      </c>
      <c r="X282" s="124" t="str">
        <f>IF($B282="","",IF(X$3=0,"n.b.",INDEX(SRC_Woningetalage!$A$1:$ZZ$501,$A282,X$3)))</f>
        <v/>
      </c>
      <c r="Y282" s="124" t="str">
        <f>IF($B282="","",IF(Y$3=0,"n.b.",INDEX(SRC_Woningetalage!$A$1:$ZZ$501,$A282,Y$3)))</f>
        <v/>
      </c>
      <c r="Z282" s="124" t="str">
        <f>IF($B282="","",IF(Z$3=0,"n.b.",INDEX(SRC_Woningetalage!$A$1:$ZZ$501,$A282,Z$3)))</f>
        <v/>
      </c>
      <c r="AA282" s="124" t="str">
        <f>IF($B282="","",IF(AA$3=0,"n.b.",INDEX(SRC_Woningetalage!$A$1:$ZZ$501,$A282,AA$3)))</f>
        <v/>
      </c>
      <c r="AB282" s="124" t="str">
        <f>IF($B282="","",IF(AB$3=0,"n.b.",INDEX(SRC_Woningetalage!$A$1:$ZZ$501,$A282,AB$3)))</f>
        <v/>
      </c>
      <c r="AC282" s="124" t="str">
        <f>IF($B282="","",IF(AC$3=0,"n.b.",INDEX(SRC_Woningetalage!$A$1:$ZZ$501,$A282,AC$3)))</f>
        <v/>
      </c>
      <c r="AD282" s="124" t="str">
        <f>IF($B282="","",IF(AD$3=0,"n.b.",INDEX(SRC_Woningetalage!$A$1:$ZZ$501,$A282,AD$3)))</f>
        <v/>
      </c>
      <c r="AE282" s="124" t="str">
        <f>IF($B282="","",IF(AE$3=0,"n.b.",INDEX(SRC_Woningetalage!$A$1:$ZZ$501,$A282,AE$3)))</f>
        <v/>
      </c>
      <c r="AF282" s="124" t="str">
        <f>IF($B282="","",IF(AF$3=0,"n.b.",INDEX(SRC_Woningetalage!$A$1:$ZZ$501,$A282,AF$3)))</f>
        <v/>
      </c>
      <c r="AG282" s="124" t="str">
        <f>IF($B282="","",IF(AG$3=0,"n.b.",INDEX(SRC_Woningetalage!$A$1:$ZZ$501,$A282,AG$3)))</f>
        <v/>
      </c>
      <c r="AH282" s="124" t="str">
        <f>IF($B282="","",IF(AH$3=0,"n.b.",INDEX(SRC_Woningetalage!$A$1:$ZZ$501,$A282,AH$3)))</f>
        <v/>
      </c>
      <c r="AI282" s="124" t="str">
        <f>IF($B282="","",IF(AI$3=0,"n.b.",INDEX(SRC_Woningetalage!$A$1:$ZZ$501,$A282,AI$3)))</f>
        <v/>
      </c>
      <c r="AJ282" s="124" t="str">
        <f>IF($B282="","",IF(AJ$3=0,"n.b.",INDEX(SRC_Woningetalage!$A$1:$ZZ$501,$A282,AJ$3)))</f>
        <v/>
      </c>
      <c r="AK282" s="124" t="str">
        <f>IF($B282="","",IF(AK$3=0,"n.b.",INDEX(SRC_Woningetalage!$A$1:$ZZ$501,$A282,AK$3)))</f>
        <v/>
      </c>
      <c r="AL282" s="124" t="str">
        <f>IF($B282="","",IF(AL$3=0,"n.b.",INDEX(SRC_Woningetalage!$A$1:$ZZ$501,$A282,AL$3)))</f>
        <v/>
      </c>
      <c r="AM282" s="124" t="str">
        <f>IF($B282="","",IF(AM$3=0,"n.b.",INDEX(SRC_Woningetalage!$A$1:$ZZ$501,$A282,AM$3)))</f>
        <v/>
      </c>
      <c r="AN282" s="124" t="str">
        <f>IF($B282="","",IF(AN$3=0,"n.b.",INDEX(SRC_Woningetalage!$A$1:$ZZ$501,$A282,AN$3)))</f>
        <v/>
      </c>
      <c r="AO282" s="124" t="str">
        <f>IF($B282="","",IF(AO$3=0,"n.b.",INDEX(SRC_Woningetalage!$A$1:$ZZ$501,$A282,AO$3)))</f>
        <v/>
      </c>
      <c r="AP282" s="124" t="str">
        <f>IF($B282="","",IF(AP$3=0,"n.b.",INDEX(SRC_Woningetalage!$A$1:$ZZ$501,$A282,AP$3)))</f>
        <v/>
      </c>
      <c r="AQ282" s="124" t="str">
        <f>IF($B282="","",IF(AQ$3=0,"n.b.",INDEX(SRC_Woningetalage!$A$1:$ZZ$501,$A282,AQ$3)))</f>
        <v/>
      </c>
      <c r="AR282" s="124" t="str">
        <f>IF($B282="","",IF(AR$3=0,"n.b.",INDEX(SRC_Woningetalage!$A$1:$ZZ$501,$A282,AR$3)))</f>
        <v/>
      </c>
      <c r="AS282" s="124" t="str">
        <f>IF($B282="","",IF(AS$3=0,"n.b.",INDEX(SRC_Woningetalage!$A$1:$ZZ$501,$A282,AS$3)))</f>
        <v/>
      </c>
      <c r="AT282" s="124" t="str">
        <f>IF($B282="","",IF(AT$3=0,"n.b.",INDEX(SRC_Woningetalage!$A$1:$ZZ$501,$A282,AT$3)))</f>
        <v/>
      </c>
      <c r="AU282" s="124" t="str">
        <f>IF($B282="","",IF(AU$3=0,"n.b.",INDEX(SRC_Woningetalage!$A$1:$ZZ$501,$A282,AU$3)))</f>
        <v/>
      </c>
      <c r="AV282" s="124" t="str">
        <f>IF($B282="","",IF(AV$3=0,"n.b.",INDEX(SRC_Woningetalage!$A$1:$ZZ$501,$A282,AV$3)))</f>
        <v/>
      </c>
      <c r="AW282" s="124" t="str">
        <f>IF($B282="","",IF(AW$3=0,"n.b.",INDEX(SRC_Woningetalage!$A$1:$ZZ$501,$A282,AW$3)))</f>
        <v/>
      </c>
      <c r="AX282" s="124" t="str">
        <f>IF($B282="","",IF(AX$3=0,"n.b.",INDEX(SRC_Woningetalage!$A$1:$ZZ$501,$A282,AX$3)))</f>
        <v/>
      </c>
      <c r="AY282" s="124" t="str">
        <f>IF($B282="","",IF(AY$3=0,"n.b.",INDEX(SRC_Woningetalage!$A$1:$ZZ$501,$A282,AY$3)))</f>
        <v/>
      </c>
      <c r="AZ282" s="124" t="str">
        <f>IF($B282="","",IF(AZ$3=0,"n.b.",INDEX(SRC_Woningetalage!$A$1:$ZZ$501,$A282,AZ$3)))</f>
        <v/>
      </c>
      <c r="BA282" s="124" t="str">
        <f>IF($B282="","",IF(BA$3=0,"n.b.",INDEX(SRC_Woningetalage!$A$1:$ZZ$501,$A282,BA$3)))</f>
        <v/>
      </c>
      <c r="BB282" s="124" t="str">
        <f>IF($B282="","",IF(BB$3=0,"n.b.",INDEX(SRC_Woningetalage!$A$1:$ZZ$501,$A282,BB$3)))</f>
        <v/>
      </c>
      <c r="BC282" s="124" t="str">
        <f>IF($B282="","",IFERROR(_xlfn.NUMBERVALUE(E282&amp;"",",","."),"n.b."))</f>
        <v/>
      </c>
      <c r="BD282" s="124" t="str">
        <f>IF($B282="","",IFERROR(_xlfn.NUMBERVALUE(M282&amp;"",",","."),"n.b."))</f>
        <v/>
      </c>
      <c r="BE282" s="124" t="str">
        <f>IF($B282="","",IFERROR(AB282+AC282+AD282,"n.b."))</f>
        <v/>
      </c>
      <c r="BF282" s="124" t="str">
        <f>IF($B282="","",IFERROR(AE282+AF282+AG282,"n.b."))</f>
        <v/>
      </c>
      <c r="BG282" s="124" t="str">
        <f>IF($B282="","",IFERROR(AH282+AI282+AJ282,"n.b."))</f>
        <v/>
      </c>
      <c r="BH282" s="124" t="str">
        <f>IF($B282="","",IFERROR(AK282+AL282+AM282,"n.b."))</f>
        <v/>
      </c>
      <c r="BI282" s="124" t="str">
        <f>IF($B282="","",IFERROR(SUMIF($AB$5:$AM$5,"&lt;="&amp;P_PeilMaand,AB282:AM282),"n.b."))</f>
        <v/>
      </c>
      <c r="BJ282" s="124" t="str">
        <f>IF($B282="","",IFERROR(SUM(AB282:AM282)-BI282,"n.b."))</f>
        <v/>
      </c>
      <c r="BK282" s="124" t="str">
        <f>IF($B282="","",IFERROR(IF(ABS(Q282-(T282+SUM(AB282:AM282)+AS282+AU282))&gt;P_Tol,1,0),1))</f>
        <v/>
      </c>
      <c r="BL282" s="124" t="str">
        <f>IF($B282="","",IFERROR(IF(ABS(AA282-(Q282-Z282))&gt;P_Tol,1,0),1))</f>
        <v/>
      </c>
      <c r="BM282" s="124" t="str">
        <f>IF($B282="","",IFERROR(IF(ABS(Z282-(T282+W282))&gt;P_Tol,1,0),1))</f>
        <v/>
      </c>
      <c r="BN282" s="124" t="str">
        <f>IF($B282="","",IFERROR(IF(ABS(W282-BI282)&gt;P_Tol,1,0),1))</f>
        <v/>
      </c>
      <c r="BO282" s="124" t="str">
        <f>IF($B282="","",IFERROR(IF(OR(ABS(R282+S282-T282)&gt;P_Tol,ABS(U282+V282-W282)&gt;P_Tol,ABS(X282+Y282-Z282)&gt;P_Tol),1,0),1))</f>
        <v/>
      </c>
      <c r="BP282" s="124" t="str">
        <f>IF($B282="","",IFERROR(IF(OR(ABS(AR282-SUM(AB282:AM282))&gt;P_Tol,ABS(AS282-(AN282+AO282+AP282+AQ282))&gt;P_Tol),1,0),1))</f>
        <v/>
      </c>
      <c r="BQ282" s="124" t="str">
        <f>IF($B282="","",IFERROR(IF(ABS(AT282)+ABS(AV282)+ABS(AW282)+ABS(AX282)+ABS(AY282)+ABS(AZ282)+ABS(BA282)+ABS(BB282)&gt;0,1,0),1))</f>
        <v/>
      </c>
      <c r="BR282" s="124" t="str">
        <f>IF($B282="","",COUNTIF(STG_ZPMW03!$B$6:$B$505,B282))</f>
        <v/>
      </c>
      <c r="BS282" s="124" t="str">
        <f>IF($B282="","",COUNTIF($B$6:$B$505,B282))</f>
        <v/>
      </c>
      <c r="BT282" s="124" t="str">
        <f>IF($B282="","",IF(BR282=0,0,IF(INDEX(STG_ZPMW03!$I$6:$I$505,MATCH(B282,STG_ZPMW03!$B$6:$B$505,0))=J282&amp;"",0,1)))</f>
        <v/>
      </c>
      <c r="BU282" s="124" t="str">
        <f>IF($B282="","",IFERROR(IF(ABS(INDEX(Mapping!$D$5:$D$104,MATCH(B282,Mapping!$A$5:$A$104,0))-Q282)&gt;P_Tol,1,0),0))</f>
        <v/>
      </c>
      <c r="BV282" s="124" t="str">
        <f>IF($B282="","",IFERROR(IF(AND(INDEX(Mapping!$G$5:$G$104,MATCH(B282,Mapping!$A$5:$A$104,0))="Nee",ABS(Q282)+ABS(Z282)+ABS(AR282)&gt;0),1,0),0))</f>
        <v/>
      </c>
      <c r="BW282" s="124" t="str">
        <f>IF($B282="","",IF(COUNTIF(Mapping!$A$5:$A$104,B282)&gt;0,1,0))</f>
        <v/>
      </c>
      <c r="BX282" s="124" t="str">
        <f>IF($B282="","",IF(BR282=0,COUNTIF($BR$6:BR282,0),""))</f>
        <v/>
      </c>
    </row>
    <row r="283">
      <c r="A283" s="15" t="n">
        <v>279</v>
      </c>
      <c r="B283" t="str">
        <f>IF(B$3=0,"",IF(INDEX(SRC_Woningetalage!$A$1:$ZZ$501,$A283,B$3)&amp;""="","",INDEX(SRC_Woningetalage!$A$1:$ZZ$501,$A283,B$3)&amp;""))</f>
        <v/>
      </c>
      <c r="C283" t="str">
        <f>IF($B283="","",IF(C$3=0,"n.b.",INDEX(SRC_Woningetalage!$A$1:$ZZ$501,$A283,C$3)))</f>
        <v/>
      </c>
      <c r="D283" t="str">
        <f>IF($B283="","",IF(D$3=0,"n.b.",INDEX(SRC_Woningetalage!$A$1:$ZZ$501,$A283,D$3)))</f>
        <v/>
      </c>
      <c r="E283" t="str">
        <f>IF($B283="","",IF(E$3=0,"n.b.",INDEX(SRC_Woningetalage!$A$1:$ZZ$501,$A283,E$3)))</f>
        <v/>
      </c>
      <c r="F283" t="str">
        <f>IF($B283="","",IF(F$3=0,"n.b.",INDEX(SRC_Woningetalage!$A$1:$ZZ$501,$A283,F$3)))</f>
        <v/>
      </c>
      <c r="G283" t="str">
        <f>IF($B283="","",IF(G$3=0,"n.b.",INDEX(SRC_Woningetalage!$A$1:$ZZ$501,$A283,G$3)))</f>
        <v/>
      </c>
      <c r="H283" t="str">
        <f>IF($B283="","",IF(H$3=0,"n.b.",INDEX(SRC_Woningetalage!$A$1:$ZZ$501,$A283,H$3)))</f>
        <v/>
      </c>
      <c r="I283" t="str">
        <f>IF($B283="","",IF(I$3=0,"n.b.",INDEX(SRC_Woningetalage!$A$1:$ZZ$501,$A283,I$3)))</f>
        <v/>
      </c>
      <c r="J283" t="str">
        <f>IF($B283="","",IF(J$3=0,"n.b.",INDEX(SRC_Woningetalage!$A$1:$ZZ$501,$A283,J$3)))</f>
        <v/>
      </c>
      <c r="K283" t="str">
        <f>IF($B283="","",IF(K$3=0,"n.b.",INDEX(SRC_Woningetalage!$A$1:$ZZ$501,$A283,K$3)))</f>
        <v/>
      </c>
      <c r="L283" t="str">
        <f>IF($B283="","",IF(L$3=0,"n.b.",INDEX(SRC_Woningetalage!$A$1:$ZZ$501,$A283,L$3)))</f>
        <v/>
      </c>
      <c r="M283" t="str">
        <f>IF($B283="","",IF(M$3=0,"n.b.",INDEX(SRC_Woningetalage!$A$1:$ZZ$501,$A283,M$3)))</f>
        <v/>
      </c>
      <c r="N283" t="str">
        <f>IF($B283="","",IF(N$3=0,"n.b.",INDEX(SRC_Woningetalage!$A$1:$ZZ$501,$A283,N$3)))</f>
        <v/>
      </c>
      <c r="O283" t="str">
        <f>IF($B283="","",IF(O$3=0,"n.b.",INDEX(SRC_Woningetalage!$A$1:$ZZ$501,$A283,O$3)))</f>
        <v/>
      </c>
      <c r="P283" t="str">
        <f>IF($B283="","",IF(P$3=0,"n.b.",INDEX(SRC_Woningetalage!$A$1:$ZZ$501,$A283,P$3)))</f>
        <v/>
      </c>
      <c r="Q283" s="124" t="str">
        <f>IF($B283="","",IF(Q$3=0,"n.b.",INDEX(SRC_Woningetalage!$A$1:$ZZ$501,$A283,Q$3)))</f>
        <v/>
      </c>
      <c r="R283" s="124" t="str">
        <f>IF($B283="","",IF(R$3=0,"n.b.",INDEX(SRC_Woningetalage!$A$1:$ZZ$501,$A283,R$3)))</f>
        <v/>
      </c>
      <c r="S283" s="124" t="str">
        <f>IF($B283="","",IF(S$3=0,"n.b.",INDEX(SRC_Woningetalage!$A$1:$ZZ$501,$A283,S$3)))</f>
        <v/>
      </c>
      <c r="T283" s="124" t="str">
        <f>IF($B283="","",IF(T$3=0,"n.b.",INDEX(SRC_Woningetalage!$A$1:$ZZ$501,$A283,T$3)))</f>
        <v/>
      </c>
      <c r="U283" s="124" t="str">
        <f>IF($B283="","",IF(U$3=0,"n.b.",INDEX(SRC_Woningetalage!$A$1:$ZZ$501,$A283,U$3)))</f>
        <v/>
      </c>
      <c r="V283" s="124" t="str">
        <f>IF($B283="","",IF(V$3=0,"n.b.",INDEX(SRC_Woningetalage!$A$1:$ZZ$501,$A283,V$3)))</f>
        <v/>
      </c>
      <c r="W283" s="124" t="str">
        <f>IF($B283="","",IF(W$3=0,"n.b.",INDEX(SRC_Woningetalage!$A$1:$ZZ$501,$A283,W$3)))</f>
        <v/>
      </c>
      <c r="X283" s="124" t="str">
        <f>IF($B283="","",IF(X$3=0,"n.b.",INDEX(SRC_Woningetalage!$A$1:$ZZ$501,$A283,X$3)))</f>
        <v/>
      </c>
      <c r="Y283" s="124" t="str">
        <f>IF($B283="","",IF(Y$3=0,"n.b.",INDEX(SRC_Woningetalage!$A$1:$ZZ$501,$A283,Y$3)))</f>
        <v/>
      </c>
      <c r="Z283" s="124" t="str">
        <f>IF($B283="","",IF(Z$3=0,"n.b.",INDEX(SRC_Woningetalage!$A$1:$ZZ$501,$A283,Z$3)))</f>
        <v/>
      </c>
      <c r="AA283" s="124" t="str">
        <f>IF($B283="","",IF(AA$3=0,"n.b.",INDEX(SRC_Woningetalage!$A$1:$ZZ$501,$A283,AA$3)))</f>
        <v/>
      </c>
      <c r="AB283" s="124" t="str">
        <f>IF($B283="","",IF(AB$3=0,"n.b.",INDEX(SRC_Woningetalage!$A$1:$ZZ$501,$A283,AB$3)))</f>
        <v/>
      </c>
      <c r="AC283" s="124" t="str">
        <f>IF($B283="","",IF(AC$3=0,"n.b.",INDEX(SRC_Woningetalage!$A$1:$ZZ$501,$A283,AC$3)))</f>
        <v/>
      </c>
      <c r="AD283" s="124" t="str">
        <f>IF($B283="","",IF(AD$3=0,"n.b.",INDEX(SRC_Woningetalage!$A$1:$ZZ$501,$A283,AD$3)))</f>
        <v/>
      </c>
      <c r="AE283" s="124" t="str">
        <f>IF($B283="","",IF(AE$3=0,"n.b.",INDEX(SRC_Woningetalage!$A$1:$ZZ$501,$A283,AE$3)))</f>
        <v/>
      </c>
      <c r="AF283" s="124" t="str">
        <f>IF($B283="","",IF(AF$3=0,"n.b.",INDEX(SRC_Woningetalage!$A$1:$ZZ$501,$A283,AF$3)))</f>
        <v/>
      </c>
      <c r="AG283" s="124" t="str">
        <f>IF($B283="","",IF(AG$3=0,"n.b.",INDEX(SRC_Woningetalage!$A$1:$ZZ$501,$A283,AG$3)))</f>
        <v/>
      </c>
      <c r="AH283" s="124" t="str">
        <f>IF($B283="","",IF(AH$3=0,"n.b.",INDEX(SRC_Woningetalage!$A$1:$ZZ$501,$A283,AH$3)))</f>
        <v/>
      </c>
      <c r="AI283" s="124" t="str">
        <f>IF($B283="","",IF(AI$3=0,"n.b.",INDEX(SRC_Woningetalage!$A$1:$ZZ$501,$A283,AI$3)))</f>
        <v/>
      </c>
      <c r="AJ283" s="124" t="str">
        <f>IF($B283="","",IF(AJ$3=0,"n.b.",INDEX(SRC_Woningetalage!$A$1:$ZZ$501,$A283,AJ$3)))</f>
        <v/>
      </c>
      <c r="AK283" s="124" t="str">
        <f>IF($B283="","",IF(AK$3=0,"n.b.",INDEX(SRC_Woningetalage!$A$1:$ZZ$501,$A283,AK$3)))</f>
        <v/>
      </c>
      <c r="AL283" s="124" t="str">
        <f>IF($B283="","",IF(AL$3=0,"n.b.",INDEX(SRC_Woningetalage!$A$1:$ZZ$501,$A283,AL$3)))</f>
        <v/>
      </c>
      <c r="AM283" s="124" t="str">
        <f>IF($B283="","",IF(AM$3=0,"n.b.",INDEX(SRC_Woningetalage!$A$1:$ZZ$501,$A283,AM$3)))</f>
        <v/>
      </c>
      <c r="AN283" s="124" t="str">
        <f>IF($B283="","",IF(AN$3=0,"n.b.",INDEX(SRC_Woningetalage!$A$1:$ZZ$501,$A283,AN$3)))</f>
        <v/>
      </c>
      <c r="AO283" s="124" t="str">
        <f>IF($B283="","",IF(AO$3=0,"n.b.",INDEX(SRC_Woningetalage!$A$1:$ZZ$501,$A283,AO$3)))</f>
        <v/>
      </c>
      <c r="AP283" s="124" t="str">
        <f>IF($B283="","",IF(AP$3=0,"n.b.",INDEX(SRC_Woningetalage!$A$1:$ZZ$501,$A283,AP$3)))</f>
        <v/>
      </c>
      <c r="AQ283" s="124" t="str">
        <f>IF($B283="","",IF(AQ$3=0,"n.b.",INDEX(SRC_Woningetalage!$A$1:$ZZ$501,$A283,AQ$3)))</f>
        <v/>
      </c>
      <c r="AR283" s="124" t="str">
        <f>IF($B283="","",IF(AR$3=0,"n.b.",INDEX(SRC_Woningetalage!$A$1:$ZZ$501,$A283,AR$3)))</f>
        <v/>
      </c>
      <c r="AS283" s="124" t="str">
        <f>IF($B283="","",IF(AS$3=0,"n.b.",INDEX(SRC_Woningetalage!$A$1:$ZZ$501,$A283,AS$3)))</f>
        <v/>
      </c>
      <c r="AT283" s="124" t="str">
        <f>IF($B283="","",IF(AT$3=0,"n.b.",INDEX(SRC_Woningetalage!$A$1:$ZZ$501,$A283,AT$3)))</f>
        <v/>
      </c>
      <c r="AU283" s="124" t="str">
        <f>IF($B283="","",IF(AU$3=0,"n.b.",INDEX(SRC_Woningetalage!$A$1:$ZZ$501,$A283,AU$3)))</f>
        <v/>
      </c>
      <c r="AV283" s="124" t="str">
        <f>IF($B283="","",IF(AV$3=0,"n.b.",INDEX(SRC_Woningetalage!$A$1:$ZZ$501,$A283,AV$3)))</f>
        <v/>
      </c>
      <c r="AW283" s="124" t="str">
        <f>IF($B283="","",IF(AW$3=0,"n.b.",INDEX(SRC_Woningetalage!$A$1:$ZZ$501,$A283,AW$3)))</f>
        <v/>
      </c>
      <c r="AX283" s="124" t="str">
        <f>IF($B283="","",IF(AX$3=0,"n.b.",INDEX(SRC_Woningetalage!$A$1:$ZZ$501,$A283,AX$3)))</f>
        <v/>
      </c>
      <c r="AY283" s="124" t="str">
        <f>IF($B283="","",IF(AY$3=0,"n.b.",INDEX(SRC_Woningetalage!$A$1:$ZZ$501,$A283,AY$3)))</f>
        <v/>
      </c>
      <c r="AZ283" s="124" t="str">
        <f>IF($B283="","",IF(AZ$3=0,"n.b.",INDEX(SRC_Woningetalage!$A$1:$ZZ$501,$A283,AZ$3)))</f>
        <v/>
      </c>
      <c r="BA283" s="124" t="str">
        <f>IF($B283="","",IF(BA$3=0,"n.b.",INDEX(SRC_Woningetalage!$A$1:$ZZ$501,$A283,BA$3)))</f>
        <v/>
      </c>
      <c r="BB283" s="124" t="str">
        <f>IF($B283="","",IF(BB$3=0,"n.b.",INDEX(SRC_Woningetalage!$A$1:$ZZ$501,$A283,BB$3)))</f>
        <v/>
      </c>
      <c r="BC283" s="124" t="str">
        <f>IF($B283="","",IFERROR(_xlfn.NUMBERVALUE(E283&amp;"",",","."),"n.b."))</f>
        <v/>
      </c>
      <c r="BD283" s="124" t="str">
        <f>IF($B283="","",IFERROR(_xlfn.NUMBERVALUE(M283&amp;"",",","."),"n.b."))</f>
        <v/>
      </c>
      <c r="BE283" s="124" t="str">
        <f>IF($B283="","",IFERROR(AB283+AC283+AD283,"n.b."))</f>
        <v/>
      </c>
      <c r="BF283" s="124" t="str">
        <f>IF($B283="","",IFERROR(AE283+AF283+AG283,"n.b."))</f>
        <v/>
      </c>
      <c r="BG283" s="124" t="str">
        <f>IF($B283="","",IFERROR(AH283+AI283+AJ283,"n.b."))</f>
        <v/>
      </c>
      <c r="BH283" s="124" t="str">
        <f>IF($B283="","",IFERROR(AK283+AL283+AM283,"n.b."))</f>
        <v/>
      </c>
      <c r="BI283" s="124" t="str">
        <f>IF($B283="","",IFERROR(SUMIF($AB$5:$AM$5,"&lt;="&amp;P_PeilMaand,AB283:AM283),"n.b."))</f>
        <v/>
      </c>
      <c r="BJ283" s="124" t="str">
        <f>IF($B283="","",IFERROR(SUM(AB283:AM283)-BI283,"n.b."))</f>
        <v/>
      </c>
      <c r="BK283" s="124" t="str">
        <f>IF($B283="","",IFERROR(IF(ABS(Q283-(T283+SUM(AB283:AM283)+AS283+AU283))&gt;P_Tol,1,0),1))</f>
        <v/>
      </c>
      <c r="BL283" s="124" t="str">
        <f>IF($B283="","",IFERROR(IF(ABS(AA283-(Q283-Z283))&gt;P_Tol,1,0),1))</f>
        <v/>
      </c>
      <c r="BM283" s="124" t="str">
        <f>IF($B283="","",IFERROR(IF(ABS(Z283-(T283+W283))&gt;P_Tol,1,0),1))</f>
        <v/>
      </c>
      <c r="BN283" s="124" t="str">
        <f>IF($B283="","",IFERROR(IF(ABS(W283-BI283)&gt;P_Tol,1,0),1))</f>
        <v/>
      </c>
      <c r="BO283" s="124" t="str">
        <f>IF($B283="","",IFERROR(IF(OR(ABS(R283+S283-T283)&gt;P_Tol,ABS(U283+V283-W283)&gt;P_Tol,ABS(X283+Y283-Z283)&gt;P_Tol),1,0),1))</f>
        <v/>
      </c>
      <c r="BP283" s="124" t="str">
        <f>IF($B283="","",IFERROR(IF(OR(ABS(AR283-SUM(AB283:AM283))&gt;P_Tol,ABS(AS283-(AN283+AO283+AP283+AQ283))&gt;P_Tol),1,0),1))</f>
        <v/>
      </c>
      <c r="BQ283" s="124" t="str">
        <f>IF($B283="","",IFERROR(IF(ABS(AT283)+ABS(AV283)+ABS(AW283)+ABS(AX283)+ABS(AY283)+ABS(AZ283)+ABS(BA283)+ABS(BB283)&gt;0,1,0),1))</f>
        <v/>
      </c>
      <c r="BR283" s="124" t="str">
        <f>IF($B283="","",COUNTIF(STG_ZPMW03!$B$6:$B$505,B283))</f>
        <v/>
      </c>
      <c r="BS283" s="124" t="str">
        <f>IF($B283="","",COUNTIF($B$6:$B$505,B283))</f>
        <v/>
      </c>
      <c r="BT283" s="124" t="str">
        <f>IF($B283="","",IF(BR283=0,0,IF(INDEX(STG_ZPMW03!$I$6:$I$505,MATCH(B283,STG_ZPMW03!$B$6:$B$505,0))=J283&amp;"",0,1)))</f>
        <v/>
      </c>
      <c r="BU283" s="124" t="str">
        <f>IF($B283="","",IFERROR(IF(ABS(INDEX(Mapping!$D$5:$D$104,MATCH(B283,Mapping!$A$5:$A$104,0))-Q283)&gt;P_Tol,1,0),0))</f>
        <v/>
      </c>
      <c r="BV283" s="124" t="str">
        <f>IF($B283="","",IFERROR(IF(AND(INDEX(Mapping!$G$5:$G$104,MATCH(B283,Mapping!$A$5:$A$104,0))="Nee",ABS(Q283)+ABS(Z283)+ABS(AR283)&gt;0),1,0),0))</f>
        <v/>
      </c>
      <c r="BW283" s="124" t="str">
        <f>IF($B283="","",IF(COUNTIF(Mapping!$A$5:$A$104,B283)&gt;0,1,0))</f>
        <v/>
      </c>
      <c r="BX283" s="124" t="str">
        <f>IF($B283="","",IF(BR283=0,COUNTIF($BR$6:BR283,0),""))</f>
        <v/>
      </c>
    </row>
    <row r="284">
      <c r="A284" s="15" t="n">
        <v>280</v>
      </c>
      <c r="B284" t="str">
        <f>IF(B$3=0,"",IF(INDEX(SRC_Woningetalage!$A$1:$ZZ$501,$A284,B$3)&amp;""="","",INDEX(SRC_Woningetalage!$A$1:$ZZ$501,$A284,B$3)&amp;""))</f>
        <v/>
      </c>
      <c r="C284" t="str">
        <f>IF($B284="","",IF(C$3=0,"n.b.",INDEX(SRC_Woningetalage!$A$1:$ZZ$501,$A284,C$3)))</f>
        <v/>
      </c>
      <c r="D284" t="str">
        <f>IF($B284="","",IF(D$3=0,"n.b.",INDEX(SRC_Woningetalage!$A$1:$ZZ$501,$A284,D$3)))</f>
        <v/>
      </c>
      <c r="E284" t="str">
        <f>IF($B284="","",IF(E$3=0,"n.b.",INDEX(SRC_Woningetalage!$A$1:$ZZ$501,$A284,E$3)))</f>
        <v/>
      </c>
      <c r="F284" t="str">
        <f>IF($B284="","",IF(F$3=0,"n.b.",INDEX(SRC_Woningetalage!$A$1:$ZZ$501,$A284,F$3)))</f>
        <v/>
      </c>
      <c r="G284" t="str">
        <f>IF($B284="","",IF(G$3=0,"n.b.",INDEX(SRC_Woningetalage!$A$1:$ZZ$501,$A284,G$3)))</f>
        <v/>
      </c>
      <c r="H284" t="str">
        <f>IF($B284="","",IF(H$3=0,"n.b.",INDEX(SRC_Woningetalage!$A$1:$ZZ$501,$A284,H$3)))</f>
        <v/>
      </c>
      <c r="I284" t="str">
        <f>IF($B284="","",IF(I$3=0,"n.b.",INDEX(SRC_Woningetalage!$A$1:$ZZ$501,$A284,I$3)))</f>
        <v/>
      </c>
      <c r="J284" t="str">
        <f>IF($B284="","",IF(J$3=0,"n.b.",INDEX(SRC_Woningetalage!$A$1:$ZZ$501,$A284,J$3)))</f>
        <v/>
      </c>
      <c r="K284" t="str">
        <f>IF($B284="","",IF(K$3=0,"n.b.",INDEX(SRC_Woningetalage!$A$1:$ZZ$501,$A284,K$3)))</f>
        <v/>
      </c>
      <c r="L284" t="str">
        <f>IF($B284="","",IF(L$3=0,"n.b.",INDEX(SRC_Woningetalage!$A$1:$ZZ$501,$A284,L$3)))</f>
        <v/>
      </c>
      <c r="M284" t="str">
        <f>IF($B284="","",IF(M$3=0,"n.b.",INDEX(SRC_Woningetalage!$A$1:$ZZ$501,$A284,M$3)))</f>
        <v/>
      </c>
      <c r="N284" t="str">
        <f>IF($B284="","",IF(N$3=0,"n.b.",INDEX(SRC_Woningetalage!$A$1:$ZZ$501,$A284,N$3)))</f>
        <v/>
      </c>
      <c r="O284" t="str">
        <f>IF($B284="","",IF(O$3=0,"n.b.",INDEX(SRC_Woningetalage!$A$1:$ZZ$501,$A284,O$3)))</f>
        <v/>
      </c>
      <c r="P284" t="str">
        <f>IF($B284="","",IF(P$3=0,"n.b.",INDEX(SRC_Woningetalage!$A$1:$ZZ$501,$A284,P$3)))</f>
        <v/>
      </c>
      <c r="Q284" s="124" t="str">
        <f>IF($B284="","",IF(Q$3=0,"n.b.",INDEX(SRC_Woningetalage!$A$1:$ZZ$501,$A284,Q$3)))</f>
        <v/>
      </c>
      <c r="R284" s="124" t="str">
        <f>IF($B284="","",IF(R$3=0,"n.b.",INDEX(SRC_Woningetalage!$A$1:$ZZ$501,$A284,R$3)))</f>
        <v/>
      </c>
      <c r="S284" s="124" t="str">
        <f>IF($B284="","",IF(S$3=0,"n.b.",INDEX(SRC_Woningetalage!$A$1:$ZZ$501,$A284,S$3)))</f>
        <v/>
      </c>
      <c r="T284" s="124" t="str">
        <f>IF($B284="","",IF(T$3=0,"n.b.",INDEX(SRC_Woningetalage!$A$1:$ZZ$501,$A284,T$3)))</f>
        <v/>
      </c>
      <c r="U284" s="124" t="str">
        <f>IF($B284="","",IF(U$3=0,"n.b.",INDEX(SRC_Woningetalage!$A$1:$ZZ$501,$A284,U$3)))</f>
        <v/>
      </c>
      <c r="V284" s="124" t="str">
        <f>IF($B284="","",IF(V$3=0,"n.b.",INDEX(SRC_Woningetalage!$A$1:$ZZ$501,$A284,V$3)))</f>
        <v/>
      </c>
      <c r="W284" s="124" t="str">
        <f>IF($B284="","",IF(W$3=0,"n.b.",INDEX(SRC_Woningetalage!$A$1:$ZZ$501,$A284,W$3)))</f>
        <v/>
      </c>
      <c r="X284" s="124" t="str">
        <f>IF($B284="","",IF(X$3=0,"n.b.",INDEX(SRC_Woningetalage!$A$1:$ZZ$501,$A284,X$3)))</f>
        <v/>
      </c>
      <c r="Y284" s="124" t="str">
        <f>IF($B284="","",IF(Y$3=0,"n.b.",INDEX(SRC_Woningetalage!$A$1:$ZZ$501,$A284,Y$3)))</f>
        <v/>
      </c>
      <c r="Z284" s="124" t="str">
        <f>IF($B284="","",IF(Z$3=0,"n.b.",INDEX(SRC_Woningetalage!$A$1:$ZZ$501,$A284,Z$3)))</f>
        <v/>
      </c>
      <c r="AA284" s="124" t="str">
        <f>IF($B284="","",IF(AA$3=0,"n.b.",INDEX(SRC_Woningetalage!$A$1:$ZZ$501,$A284,AA$3)))</f>
        <v/>
      </c>
      <c r="AB284" s="124" t="str">
        <f>IF($B284="","",IF(AB$3=0,"n.b.",INDEX(SRC_Woningetalage!$A$1:$ZZ$501,$A284,AB$3)))</f>
        <v/>
      </c>
      <c r="AC284" s="124" t="str">
        <f>IF($B284="","",IF(AC$3=0,"n.b.",INDEX(SRC_Woningetalage!$A$1:$ZZ$501,$A284,AC$3)))</f>
        <v/>
      </c>
      <c r="AD284" s="124" t="str">
        <f>IF($B284="","",IF(AD$3=0,"n.b.",INDEX(SRC_Woningetalage!$A$1:$ZZ$501,$A284,AD$3)))</f>
        <v/>
      </c>
      <c r="AE284" s="124" t="str">
        <f>IF($B284="","",IF(AE$3=0,"n.b.",INDEX(SRC_Woningetalage!$A$1:$ZZ$501,$A284,AE$3)))</f>
        <v/>
      </c>
      <c r="AF284" s="124" t="str">
        <f>IF($B284="","",IF(AF$3=0,"n.b.",INDEX(SRC_Woningetalage!$A$1:$ZZ$501,$A284,AF$3)))</f>
        <v/>
      </c>
      <c r="AG284" s="124" t="str">
        <f>IF($B284="","",IF(AG$3=0,"n.b.",INDEX(SRC_Woningetalage!$A$1:$ZZ$501,$A284,AG$3)))</f>
        <v/>
      </c>
      <c r="AH284" s="124" t="str">
        <f>IF($B284="","",IF(AH$3=0,"n.b.",INDEX(SRC_Woningetalage!$A$1:$ZZ$501,$A284,AH$3)))</f>
        <v/>
      </c>
      <c r="AI284" s="124" t="str">
        <f>IF($B284="","",IF(AI$3=0,"n.b.",INDEX(SRC_Woningetalage!$A$1:$ZZ$501,$A284,AI$3)))</f>
        <v/>
      </c>
      <c r="AJ284" s="124" t="str">
        <f>IF($B284="","",IF(AJ$3=0,"n.b.",INDEX(SRC_Woningetalage!$A$1:$ZZ$501,$A284,AJ$3)))</f>
        <v/>
      </c>
      <c r="AK284" s="124" t="str">
        <f>IF($B284="","",IF(AK$3=0,"n.b.",INDEX(SRC_Woningetalage!$A$1:$ZZ$501,$A284,AK$3)))</f>
        <v/>
      </c>
      <c r="AL284" s="124" t="str">
        <f>IF($B284="","",IF(AL$3=0,"n.b.",INDEX(SRC_Woningetalage!$A$1:$ZZ$501,$A284,AL$3)))</f>
        <v/>
      </c>
      <c r="AM284" s="124" t="str">
        <f>IF($B284="","",IF(AM$3=0,"n.b.",INDEX(SRC_Woningetalage!$A$1:$ZZ$501,$A284,AM$3)))</f>
        <v/>
      </c>
      <c r="AN284" s="124" t="str">
        <f>IF($B284="","",IF(AN$3=0,"n.b.",INDEX(SRC_Woningetalage!$A$1:$ZZ$501,$A284,AN$3)))</f>
        <v/>
      </c>
      <c r="AO284" s="124" t="str">
        <f>IF($B284="","",IF(AO$3=0,"n.b.",INDEX(SRC_Woningetalage!$A$1:$ZZ$501,$A284,AO$3)))</f>
        <v/>
      </c>
      <c r="AP284" s="124" t="str">
        <f>IF($B284="","",IF(AP$3=0,"n.b.",INDEX(SRC_Woningetalage!$A$1:$ZZ$501,$A284,AP$3)))</f>
        <v/>
      </c>
      <c r="AQ284" s="124" t="str">
        <f>IF($B284="","",IF(AQ$3=0,"n.b.",INDEX(SRC_Woningetalage!$A$1:$ZZ$501,$A284,AQ$3)))</f>
        <v/>
      </c>
      <c r="AR284" s="124" t="str">
        <f>IF($B284="","",IF(AR$3=0,"n.b.",INDEX(SRC_Woningetalage!$A$1:$ZZ$501,$A284,AR$3)))</f>
        <v/>
      </c>
      <c r="AS284" s="124" t="str">
        <f>IF($B284="","",IF(AS$3=0,"n.b.",INDEX(SRC_Woningetalage!$A$1:$ZZ$501,$A284,AS$3)))</f>
        <v/>
      </c>
      <c r="AT284" s="124" t="str">
        <f>IF($B284="","",IF(AT$3=0,"n.b.",INDEX(SRC_Woningetalage!$A$1:$ZZ$501,$A284,AT$3)))</f>
        <v/>
      </c>
      <c r="AU284" s="124" t="str">
        <f>IF($B284="","",IF(AU$3=0,"n.b.",INDEX(SRC_Woningetalage!$A$1:$ZZ$501,$A284,AU$3)))</f>
        <v/>
      </c>
      <c r="AV284" s="124" t="str">
        <f>IF($B284="","",IF(AV$3=0,"n.b.",INDEX(SRC_Woningetalage!$A$1:$ZZ$501,$A284,AV$3)))</f>
        <v/>
      </c>
      <c r="AW284" s="124" t="str">
        <f>IF($B284="","",IF(AW$3=0,"n.b.",INDEX(SRC_Woningetalage!$A$1:$ZZ$501,$A284,AW$3)))</f>
        <v/>
      </c>
      <c r="AX284" s="124" t="str">
        <f>IF($B284="","",IF(AX$3=0,"n.b.",INDEX(SRC_Woningetalage!$A$1:$ZZ$501,$A284,AX$3)))</f>
        <v/>
      </c>
      <c r="AY284" s="124" t="str">
        <f>IF($B284="","",IF(AY$3=0,"n.b.",INDEX(SRC_Woningetalage!$A$1:$ZZ$501,$A284,AY$3)))</f>
        <v/>
      </c>
      <c r="AZ284" s="124" t="str">
        <f>IF($B284="","",IF(AZ$3=0,"n.b.",INDEX(SRC_Woningetalage!$A$1:$ZZ$501,$A284,AZ$3)))</f>
        <v/>
      </c>
      <c r="BA284" s="124" t="str">
        <f>IF($B284="","",IF(BA$3=0,"n.b.",INDEX(SRC_Woningetalage!$A$1:$ZZ$501,$A284,BA$3)))</f>
        <v/>
      </c>
      <c r="BB284" s="124" t="str">
        <f>IF($B284="","",IF(BB$3=0,"n.b.",INDEX(SRC_Woningetalage!$A$1:$ZZ$501,$A284,BB$3)))</f>
        <v/>
      </c>
      <c r="BC284" s="124" t="str">
        <f>IF($B284="","",IFERROR(_xlfn.NUMBERVALUE(E284&amp;"",",","."),"n.b."))</f>
        <v/>
      </c>
      <c r="BD284" s="124" t="str">
        <f>IF($B284="","",IFERROR(_xlfn.NUMBERVALUE(M284&amp;"",",","."),"n.b."))</f>
        <v/>
      </c>
      <c r="BE284" s="124" t="str">
        <f>IF($B284="","",IFERROR(AB284+AC284+AD284,"n.b."))</f>
        <v/>
      </c>
      <c r="BF284" s="124" t="str">
        <f>IF($B284="","",IFERROR(AE284+AF284+AG284,"n.b."))</f>
        <v/>
      </c>
      <c r="BG284" s="124" t="str">
        <f>IF($B284="","",IFERROR(AH284+AI284+AJ284,"n.b."))</f>
        <v/>
      </c>
      <c r="BH284" s="124" t="str">
        <f>IF($B284="","",IFERROR(AK284+AL284+AM284,"n.b."))</f>
        <v/>
      </c>
      <c r="BI284" s="124" t="str">
        <f>IF($B284="","",IFERROR(SUMIF($AB$5:$AM$5,"&lt;="&amp;P_PeilMaand,AB284:AM284),"n.b."))</f>
        <v/>
      </c>
      <c r="BJ284" s="124" t="str">
        <f>IF($B284="","",IFERROR(SUM(AB284:AM284)-BI284,"n.b."))</f>
        <v/>
      </c>
      <c r="BK284" s="124" t="str">
        <f>IF($B284="","",IFERROR(IF(ABS(Q284-(T284+SUM(AB284:AM284)+AS284+AU284))&gt;P_Tol,1,0),1))</f>
        <v/>
      </c>
      <c r="BL284" s="124" t="str">
        <f>IF($B284="","",IFERROR(IF(ABS(AA284-(Q284-Z284))&gt;P_Tol,1,0),1))</f>
        <v/>
      </c>
      <c r="BM284" s="124" t="str">
        <f>IF($B284="","",IFERROR(IF(ABS(Z284-(T284+W284))&gt;P_Tol,1,0),1))</f>
        <v/>
      </c>
      <c r="BN284" s="124" t="str">
        <f>IF($B284="","",IFERROR(IF(ABS(W284-BI284)&gt;P_Tol,1,0),1))</f>
        <v/>
      </c>
      <c r="BO284" s="124" t="str">
        <f>IF($B284="","",IFERROR(IF(OR(ABS(R284+S284-T284)&gt;P_Tol,ABS(U284+V284-W284)&gt;P_Tol,ABS(X284+Y284-Z284)&gt;P_Tol),1,0),1))</f>
        <v/>
      </c>
      <c r="BP284" s="124" t="str">
        <f>IF($B284="","",IFERROR(IF(OR(ABS(AR284-SUM(AB284:AM284))&gt;P_Tol,ABS(AS284-(AN284+AO284+AP284+AQ284))&gt;P_Tol),1,0),1))</f>
        <v/>
      </c>
      <c r="BQ284" s="124" t="str">
        <f>IF($B284="","",IFERROR(IF(ABS(AT284)+ABS(AV284)+ABS(AW284)+ABS(AX284)+ABS(AY284)+ABS(AZ284)+ABS(BA284)+ABS(BB284)&gt;0,1,0),1))</f>
        <v/>
      </c>
      <c r="BR284" s="124" t="str">
        <f>IF($B284="","",COUNTIF(STG_ZPMW03!$B$6:$B$505,B284))</f>
        <v/>
      </c>
      <c r="BS284" s="124" t="str">
        <f>IF($B284="","",COUNTIF($B$6:$B$505,B284))</f>
        <v/>
      </c>
      <c r="BT284" s="124" t="str">
        <f>IF($B284="","",IF(BR284=0,0,IF(INDEX(STG_ZPMW03!$I$6:$I$505,MATCH(B284,STG_ZPMW03!$B$6:$B$505,0))=J284&amp;"",0,1)))</f>
        <v/>
      </c>
      <c r="BU284" s="124" t="str">
        <f>IF($B284="","",IFERROR(IF(ABS(INDEX(Mapping!$D$5:$D$104,MATCH(B284,Mapping!$A$5:$A$104,0))-Q284)&gt;P_Tol,1,0),0))</f>
        <v/>
      </c>
      <c r="BV284" s="124" t="str">
        <f>IF($B284="","",IFERROR(IF(AND(INDEX(Mapping!$G$5:$G$104,MATCH(B284,Mapping!$A$5:$A$104,0))="Nee",ABS(Q284)+ABS(Z284)+ABS(AR284)&gt;0),1,0),0))</f>
        <v/>
      </c>
      <c r="BW284" s="124" t="str">
        <f>IF($B284="","",IF(COUNTIF(Mapping!$A$5:$A$104,B284)&gt;0,1,0))</f>
        <v/>
      </c>
      <c r="BX284" s="124" t="str">
        <f>IF($B284="","",IF(BR284=0,COUNTIF($BR$6:BR284,0),""))</f>
        <v/>
      </c>
    </row>
    <row r="285">
      <c r="A285" s="15" t="n">
        <v>281</v>
      </c>
      <c r="B285" t="str">
        <f>IF(B$3=0,"",IF(INDEX(SRC_Woningetalage!$A$1:$ZZ$501,$A285,B$3)&amp;""="","",INDEX(SRC_Woningetalage!$A$1:$ZZ$501,$A285,B$3)&amp;""))</f>
        <v/>
      </c>
      <c r="C285" t="str">
        <f>IF($B285="","",IF(C$3=0,"n.b.",INDEX(SRC_Woningetalage!$A$1:$ZZ$501,$A285,C$3)))</f>
        <v/>
      </c>
      <c r="D285" t="str">
        <f>IF($B285="","",IF(D$3=0,"n.b.",INDEX(SRC_Woningetalage!$A$1:$ZZ$501,$A285,D$3)))</f>
        <v/>
      </c>
      <c r="E285" t="str">
        <f>IF($B285="","",IF(E$3=0,"n.b.",INDEX(SRC_Woningetalage!$A$1:$ZZ$501,$A285,E$3)))</f>
        <v/>
      </c>
      <c r="F285" t="str">
        <f>IF($B285="","",IF(F$3=0,"n.b.",INDEX(SRC_Woningetalage!$A$1:$ZZ$501,$A285,F$3)))</f>
        <v/>
      </c>
      <c r="G285" t="str">
        <f>IF($B285="","",IF(G$3=0,"n.b.",INDEX(SRC_Woningetalage!$A$1:$ZZ$501,$A285,G$3)))</f>
        <v/>
      </c>
      <c r="H285" t="str">
        <f>IF($B285="","",IF(H$3=0,"n.b.",INDEX(SRC_Woningetalage!$A$1:$ZZ$501,$A285,H$3)))</f>
        <v/>
      </c>
      <c r="I285" t="str">
        <f>IF($B285="","",IF(I$3=0,"n.b.",INDEX(SRC_Woningetalage!$A$1:$ZZ$501,$A285,I$3)))</f>
        <v/>
      </c>
      <c r="J285" t="str">
        <f>IF($B285="","",IF(J$3=0,"n.b.",INDEX(SRC_Woningetalage!$A$1:$ZZ$501,$A285,J$3)))</f>
        <v/>
      </c>
      <c r="K285" t="str">
        <f>IF($B285="","",IF(K$3=0,"n.b.",INDEX(SRC_Woningetalage!$A$1:$ZZ$501,$A285,K$3)))</f>
        <v/>
      </c>
      <c r="L285" t="str">
        <f>IF($B285="","",IF(L$3=0,"n.b.",INDEX(SRC_Woningetalage!$A$1:$ZZ$501,$A285,L$3)))</f>
        <v/>
      </c>
      <c r="M285" t="str">
        <f>IF($B285="","",IF(M$3=0,"n.b.",INDEX(SRC_Woningetalage!$A$1:$ZZ$501,$A285,M$3)))</f>
        <v/>
      </c>
      <c r="N285" t="str">
        <f>IF($B285="","",IF(N$3=0,"n.b.",INDEX(SRC_Woningetalage!$A$1:$ZZ$501,$A285,N$3)))</f>
        <v/>
      </c>
      <c r="O285" t="str">
        <f>IF($B285="","",IF(O$3=0,"n.b.",INDEX(SRC_Woningetalage!$A$1:$ZZ$501,$A285,O$3)))</f>
        <v/>
      </c>
      <c r="P285" t="str">
        <f>IF($B285="","",IF(P$3=0,"n.b.",INDEX(SRC_Woningetalage!$A$1:$ZZ$501,$A285,P$3)))</f>
        <v/>
      </c>
      <c r="Q285" s="124" t="str">
        <f>IF($B285="","",IF(Q$3=0,"n.b.",INDEX(SRC_Woningetalage!$A$1:$ZZ$501,$A285,Q$3)))</f>
        <v/>
      </c>
      <c r="R285" s="124" t="str">
        <f>IF($B285="","",IF(R$3=0,"n.b.",INDEX(SRC_Woningetalage!$A$1:$ZZ$501,$A285,R$3)))</f>
        <v/>
      </c>
      <c r="S285" s="124" t="str">
        <f>IF($B285="","",IF(S$3=0,"n.b.",INDEX(SRC_Woningetalage!$A$1:$ZZ$501,$A285,S$3)))</f>
        <v/>
      </c>
      <c r="T285" s="124" t="str">
        <f>IF($B285="","",IF(T$3=0,"n.b.",INDEX(SRC_Woningetalage!$A$1:$ZZ$501,$A285,T$3)))</f>
        <v/>
      </c>
      <c r="U285" s="124" t="str">
        <f>IF($B285="","",IF(U$3=0,"n.b.",INDEX(SRC_Woningetalage!$A$1:$ZZ$501,$A285,U$3)))</f>
        <v/>
      </c>
      <c r="V285" s="124" t="str">
        <f>IF($B285="","",IF(V$3=0,"n.b.",INDEX(SRC_Woningetalage!$A$1:$ZZ$501,$A285,V$3)))</f>
        <v/>
      </c>
      <c r="W285" s="124" t="str">
        <f>IF($B285="","",IF(W$3=0,"n.b.",INDEX(SRC_Woningetalage!$A$1:$ZZ$501,$A285,W$3)))</f>
        <v/>
      </c>
      <c r="X285" s="124" t="str">
        <f>IF($B285="","",IF(X$3=0,"n.b.",INDEX(SRC_Woningetalage!$A$1:$ZZ$501,$A285,X$3)))</f>
        <v/>
      </c>
      <c r="Y285" s="124" t="str">
        <f>IF($B285="","",IF(Y$3=0,"n.b.",INDEX(SRC_Woningetalage!$A$1:$ZZ$501,$A285,Y$3)))</f>
        <v/>
      </c>
      <c r="Z285" s="124" t="str">
        <f>IF($B285="","",IF(Z$3=0,"n.b.",INDEX(SRC_Woningetalage!$A$1:$ZZ$501,$A285,Z$3)))</f>
        <v/>
      </c>
      <c r="AA285" s="124" t="str">
        <f>IF($B285="","",IF(AA$3=0,"n.b.",INDEX(SRC_Woningetalage!$A$1:$ZZ$501,$A285,AA$3)))</f>
        <v/>
      </c>
      <c r="AB285" s="124" t="str">
        <f>IF($B285="","",IF(AB$3=0,"n.b.",INDEX(SRC_Woningetalage!$A$1:$ZZ$501,$A285,AB$3)))</f>
        <v/>
      </c>
      <c r="AC285" s="124" t="str">
        <f>IF($B285="","",IF(AC$3=0,"n.b.",INDEX(SRC_Woningetalage!$A$1:$ZZ$501,$A285,AC$3)))</f>
        <v/>
      </c>
      <c r="AD285" s="124" t="str">
        <f>IF($B285="","",IF(AD$3=0,"n.b.",INDEX(SRC_Woningetalage!$A$1:$ZZ$501,$A285,AD$3)))</f>
        <v/>
      </c>
      <c r="AE285" s="124" t="str">
        <f>IF($B285="","",IF(AE$3=0,"n.b.",INDEX(SRC_Woningetalage!$A$1:$ZZ$501,$A285,AE$3)))</f>
        <v/>
      </c>
      <c r="AF285" s="124" t="str">
        <f>IF($B285="","",IF(AF$3=0,"n.b.",INDEX(SRC_Woningetalage!$A$1:$ZZ$501,$A285,AF$3)))</f>
        <v/>
      </c>
      <c r="AG285" s="124" t="str">
        <f>IF($B285="","",IF(AG$3=0,"n.b.",INDEX(SRC_Woningetalage!$A$1:$ZZ$501,$A285,AG$3)))</f>
        <v/>
      </c>
      <c r="AH285" s="124" t="str">
        <f>IF($B285="","",IF(AH$3=0,"n.b.",INDEX(SRC_Woningetalage!$A$1:$ZZ$501,$A285,AH$3)))</f>
        <v/>
      </c>
      <c r="AI285" s="124" t="str">
        <f>IF($B285="","",IF(AI$3=0,"n.b.",INDEX(SRC_Woningetalage!$A$1:$ZZ$501,$A285,AI$3)))</f>
        <v/>
      </c>
      <c r="AJ285" s="124" t="str">
        <f>IF($B285="","",IF(AJ$3=0,"n.b.",INDEX(SRC_Woningetalage!$A$1:$ZZ$501,$A285,AJ$3)))</f>
        <v/>
      </c>
      <c r="AK285" s="124" t="str">
        <f>IF($B285="","",IF(AK$3=0,"n.b.",INDEX(SRC_Woningetalage!$A$1:$ZZ$501,$A285,AK$3)))</f>
        <v/>
      </c>
      <c r="AL285" s="124" t="str">
        <f>IF($B285="","",IF(AL$3=0,"n.b.",INDEX(SRC_Woningetalage!$A$1:$ZZ$501,$A285,AL$3)))</f>
        <v/>
      </c>
      <c r="AM285" s="124" t="str">
        <f>IF($B285="","",IF(AM$3=0,"n.b.",INDEX(SRC_Woningetalage!$A$1:$ZZ$501,$A285,AM$3)))</f>
        <v/>
      </c>
      <c r="AN285" s="124" t="str">
        <f>IF($B285="","",IF(AN$3=0,"n.b.",INDEX(SRC_Woningetalage!$A$1:$ZZ$501,$A285,AN$3)))</f>
        <v/>
      </c>
      <c r="AO285" s="124" t="str">
        <f>IF($B285="","",IF(AO$3=0,"n.b.",INDEX(SRC_Woningetalage!$A$1:$ZZ$501,$A285,AO$3)))</f>
        <v/>
      </c>
      <c r="AP285" s="124" t="str">
        <f>IF($B285="","",IF(AP$3=0,"n.b.",INDEX(SRC_Woningetalage!$A$1:$ZZ$501,$A285,AP$3)))</f>
        <v/>
      </c>
      <c r="AQ285" s="124" t="str">
        <f>IF($B285="","",IF(AQ$3=0,"n.b.",INDEX(SRC_Woningetalage!$A$1:$ZZ$501,$A285,AQ$3)))</f>
        <v/>
      </c>
      <c r="AR285" s="124" t="str">
        <f>IF($B285="","",IF(AR$3=0,"n.b.",INDEX(SRC_Woningetalage!$A$1:$ZZ$501,$A285,AR$3)))</f>
        <v/>
      </c>
      <c r="AS285" s="124" t="str">
        <f>IF($B285="","",IF(AS$3=0,"n.b.",INDEX(SRC_Woningetalage!$A$1:$ZZ$501,$A285,AS$3)))</f>
        <v/>
      </c>
      <c r="AT285" s="124" t="str">
        <f>IF($B285="","",IF(AT$3=0,"n.b.",INDEX(SRC_Woningetalage!$A$1:$ZZ$501,$A285,AT$3)))</f>
        <v/>
      </c>
      <c r="AU285" s="124" t="str">
        <f>IF($B285="","",IF(AU$3=0,"n.b.",INDEX(SRC_Woningetalage!$A$1:$ZZ$501,$A285,AU$3)))</f>
        <v/>
      </c>
      <c r="AV285" s="124" t="str">
        <f>IF($B285="","",IF(AV$3=0,"n.b.",INDEX(SRC_Woningetalage!$A$1:$ZZ$501,$A285,AV$3)))</f>
        <v/>
      </c>
      <c r="AW285" s="124" t="str">
        <f>IF($B285="","",IF(AW$3=0,"n.b.",INDEX(SRC_Woningetalage!$A$1:$ZZ$501,$A285,AW$3)))</f>
        <v/>
      </c>
      <c r="AX285" s="124" t="str">
        <f>IF($B285="","",IF(AX$3=0,"n.b.",INDEX(SRC_Woningetalage!$A$1:$ZZ$501,$A285,AX$3)))</f>
        <v/>
      </c>
      <c r="AY285" s="124" t="str">
        <f>IF($B285="","",IF(AY$3=0,"n.b.",INDEX(SRC_Woningetalage!$A$1:$ZZ$501,$A285,AY$3)))</f>
        <v/>
      </c>
      <c r="AZ285" s="124" t="str">
        <f>IF($B285="","",IF(AZ$3=0,"n.b.",INDEX(SRC_Woningetalage!$A$1:$ZZ$501,$A285,AZ$3)))</f>
        <v/>
      </c>
      <c r="BA285" s="124" t="str">
        <f>IF($B285="","",IF(BA$3=0,"n.b.",INDEX(SRC_Woningetalage!$A$1:$ZZ$501,$A285,BA$3)))</f>
        <v/>
      </c>
      <c r="BB285" s="124" t="str">
        <f>IF($B285="","",IF(BB$3=0,"n.b.",INDEX(SRC_Woningetalage!$A$1:$ZZ$501,$A285,BB$3)))</f>
        <v/>
      </c>
      <c r="BC285" s="124" t="str">
        <f>IF($B285="","",IFERROR(_xlfn.NUMBERVALUE(E285&amp;"",",","."),"n.b."))</f>
        <v/>
      </c>
      <c r="BD285" s="124" t="str">
        <f>IF($B285="","",IFERROR(_xlfn.NUMBERVALUE(M285&amp;"",",","."),"n.b."))</f>
        <v/>
      </c>
      <c r="BE285" s="124" t="str">
        <f>IF($B285="","",IFERROR(AB285+AC285+AD285,"n.b."))</f>
        <v/>
      </c>
      <c r="BF285" s="124" t="str">
        <f>IF($B285="","",IFERROR(AE285+AF285+AG285,"n.b."))</f>
        <v/>
      </c>
      <c r="BG285" s="124" t="str">
        <f>IF($B285="","",IFERROR(AH285+AI285+AJ285,"n.b."))</f>
        <v/>
      </c>
      <c r="BH285" s="124" t="str">
        <f>IF($B285="","",IFERROR(AK285+AL285+AM285,"n.b."))</f>
        <v/>
      </c>
      <c r="BI285" s="124" t="str">
        <f>IF($B285="","",IFERROR(SUMIF($AB$5:$AM$5,"&lt;="&amp;P_PeilMaand,AB285:AM285),"n.b."))</f>
        <v/>
      </c>
      <c r="BJ285" s="124" t="str">
        <f>IF($B285="","",IFERROR(SUM(AB285:AM285)-BI285,"n.b."))</f>
        <v/>
      </c>
      <c r="BK285" s="124" t="str">
        <f>IF($B285="","",IFERROR(IF(ABS(Q285-(T285+SUM(AB285:AM285)+AS285+AU285))&gt;P_Tol,1,0),1))</f>
        <v/>
      </c>
      <c r="BL285" s="124" t="str">
        <f>IF($B285="","",IFERROR(IF(ABS(AA285-(Q285-Z285))&gt;P_Tol,1,0),1))</f>
        <v/>
      </c>
      <c r="BM285" s="124" t="str">
        <f>IF($B285="","",IFERROR(IF(ABS(Z285-(T285+W285))&gt;P_Tol,1,0),1))</f>
        <v/>
      </c>
      <c r="BN285" s="124" t="str">
        <f>IF($B285="","",IFERROR(IF(ABS(W285-BI285)&gt;P_Tol,1,0),1))</f>
        <v/>
      </c>
      <c r="BO285" s="124" t="str">
        <f>IF($B285="","",IFERROR(IF(OR(ABS(R285+S285-T285)&gt;P_Tol,ABS(U285+V285-W285)&gt;P_Tol,ABS(X285+Y285-Z285)&gt;P_Tol),1,0),1))</f>
        <v/>
      </c>
      <c r="BP285" s="124" t="str">
        <f>IF($B285="","",IFERROR(IF(OR(ABS(AR285-SUM(AB285:AM285))&gt;P_Tol,ABS(AS285-(AN285+AO285+AP285+AQ285))&gt;P_Tol),1,0),1))</f>
        <v/>
      </c>
      <c r="BQ285" s="124" t="str">
        <f>IF($B285="","",IFERROR(IF(ABS(AT285)+ABS(AV285)+ABS(AW285)+ABS(AX285)+ABS(AY285)+ABS(AZ285)+ABS(BA285)+ABS(BB285)&gt;0,1,0),1))</f>
        <v/>
      </c>
      <c r="BR285" s="124" t="str">
        <f>IF($B285="","",COUNTIF(STG_ZPMW03!$B$6:$B$505,B285))</f>
        <v/>
      </c>
      <c r="BS285" s="124" t="str">
        <f>IF($B285="","",COUNTIF($B$6:$B$505,B285))</f>
        <v/>
      </c>
      <c r="BT285" s="124" t="str">
        <f>IF($B285="","",IF(BR285=0,0,IF(INDEX(STG_ZPMW03!$I$6:$I$505,MATCH(B285,STG_ZPMW03!$B$6:$B$505,0))=J285&amp;"",0,1)))</f>
        <v/>
      </c>
      <c r="BU285" s="124" t="str">
        <f>IF($B285="","",IFERROR(IF(ABS(INDEX(Mapping!$D$5:$D$104,MATCH(B285,Mapping!$A$5:$A$104,0))-Q285)&gt;P_Tol,1,0),0))</f>
        <v/>
      </c>
      <c r="BV285" s="124" t="str">
        <f>IF($B285="","",IFERROR(IF(AND(INDEX(Mapping!$G$5:$G$104,MATCH(B285,Mapping!$A$5:$A$104,0))="Nee",ABS(Q285)+ABS(Z285)+ABS(AR285)&gt;0),1,0),0))</f>
        <v/>
      </c>
      <c r="BW285" s="124" t="str">
        <f>IF($B285="","",IF(COUNTIF(Mapping!$A$5:$A$104,B285)&gt;0,1,0))</f>
        <v/>
      </c>
      <c r="BX285" s="124" t="str">
        <f>IF($B285="","",IF(BR285=0,COUNTIF($BR$6:BR285,0),""))</f>
        <v/>
      </c>
    </row>
    <row r="286">
      <c r="A286" s="15" t="n">
        <v>282</v>
      </c>
      <c r="B286" t="str">
        <f>IF(B$3=0,"",IF(INDEX(SRC_Woningetalage!$A$1:$ZZ$501,$A286,B$3)&amp;""="","",INDEX(SRC_Woningetalage!$A$1:$ZZ$501,$A286,B$3)&amp;""))</f>
        <v/>
      </c>
      <c r="C286" t="str">
        <f>IF($B286="","",IF(C$3=0,"n.b.",INDEX(SRC_Woningetalage!$A$1:$ZZ$501,$A286,C$3)))</f>
        <v/>
      </c>
      <c r="D286" t="str">
        <f>IF($B286="","",IF(D$3=0,"n.b.",INDEX(SRC_Woningetalage!$A$1:$ZZ$501,$A286,D$3)))</f>
        <v/>
      </c>
      <c r="E286" t="str">
        <f>IF($B286="","",IF(E$3=0,"n.b.",INDEX(SRC_Woningetalage!$A$1:$ZZ$501,$A286,E$3)))</f>
        <v/>
      </c>
      <c r="F286" t="str">
        <f>IF($B286="","",IF(F$3=0,"n.b.",INDEX(SRC_Woningetalage!$A$1:$ZZ$501,$A286,F$3)))</f>
        <v/>
      </c>
      <c r="G286" t="str">
        <f>IF($B286="","",IF(G$3=0,"n.b.",INDEX(SRC_Woningetalage!$A$1:$ZZ$501,$A286,G$3)))</f>
        <v/>
      </c>
      <c r="H286" t="str">
        <f>IF($B286="","",IF(H$3=0,"n.b.",INDEX(SRC_Woningetalage!$A$1:$ZZ$501,$A286,H$3)))</f>
        <v/>
      </c>
      <c r="I286" t="str">
        <f>IF($B286="","",IF(I$3=0,"n.b.",INDEX(SRC_Woningetalage!$A$1:$ZZ$501,$A286,I$3)))</f>
        <v/>
      </c>
      <c r="J286" t="str">
        <f>IF($B286="","",IF(J$3=0,"n.b.",INDEX(SRC_Woningetalage!$A$1:$ZZ$501,$A286,J$3)))</f>
        <v/>
      </c>
      <c r="K286" t="str">
        <f>IF($B286="","",IF(K$3=0,"n.b.",INDEX(SRC_Woningetalage!$A$1:$ZZ$501,$A286,K$3)))</f>
        <v/>
      </c>
      <c r="L286" t="str">
        <f>IF($B286="","",IF(L$3=0,"n.b.",INDEX(SRC_Woningetalage!$A$1:$ZZ$501,$A286,L$3)))</f>
        <v/>
      </c>
      <c r="M286" t="str">
        <f>IF($B286="","",IF(M$3=0,"n.b.",INDEX(SRC_Woningetalage!$A$1:$ZZ$501,$A286,M$3)))</f>
        <v/>
      </c>
      <c r="N286" t="str">
        <f>IF($B286="","",IF(N$3=0,"n.b.",INDEX(SRC_Woningetalage!$A$1:$ZZ$501,$A286,N$3)))</f>
        <v/>
      </c>
      <c r="O286" t="str">
        <f>IF($B286="","",IF(O$3=0,"n.b.",INDEX(SRC_Woningetalage!$A$1:$ZZ$501,$A286,O$3)))</f>
        <v/>
      </c>
      <c r="P286" t="str">
        <f>IF($B286="","",IF(P$3=0,"n.b.",INDEX(SRC_Woningetalage!$A$1:$ZZ$501,$A286,P$3)))</f>
        <v/>
      </c>
      <c r="Q286" s="124" t="str">
        <f>IF($B286="","",IF(Q$3=0,"n.b.",INDEX(SRC_Woningetalage!$A$1:$ZZ$501,$A286,Q$3)))</f>
        <v/>
      </c>
      <c r="R286" s="124" t="str">
        <f>IF($B286="","",IF(R$3=0,"n.b.",INDEX(SRC_Woningetalage!$A$1:$ZZ$501,$A286,R$3)))</f>
        <v/>
      </c>
      <c r="S286" s="124" t="str">
        <f>IF($B286="","",IF(S$3=0,"n.b.",INDEX(SRC_Woningetalage!$A$1:$ZZ$501,$A286,S$3)))</f>
        <v/>
      </c>
      <c r="T286" s="124" t="str">
        <f>IF($B286="","",IF(T$3=0,"n.b.",INDEX(SRC_Woningetalage!$A$1:$ZZ$501,$A286,T$3)))</f>
        <v/>
      </c>
      <c r="U286" s="124" t="str">
        <f>IF($B286="","",IF(U$3=0,"n.b.",INDEX(SRC_Woningetalage!$A$1:$ZZ$501,$A286,U$3)))</f>
        <v/>
      </c>
      <c r="V286" s="124" t="str">
        <f>IF($B286="","",IF(V$3=0,"n.b.",INDEX(SRC_Woningetalage!$A$1:$ZZ$501,$A286,V$3)))</f>
        <v/>
      </c>
      <c r="W286" s="124" t="str">
        <f>IF($B286="","",IF(W$3=0,"n.b.",INDEX(SRC_Woningetalage!$A$1:$ZZ$501,$A286,W$3)))</f>
        <v/>
      </c>
      <c r="X286" s="124" t="str">
        <f>IF($B286="","",IF(X$3=0,"n.b.",INDEX(SRC_Woningetalage!$A$1:$ZZ$501,$A286,X$3)))</f>
        <v/>
      </c>
      <c r="Y286" s="124" t="str">
        <f>IF($B286="","",IF(Y$3=0,"n.b.",INDEX(SRC_Woningetalage!$A$1:$ZZ$501,$A286,Y$3)))</f>
        <v/>
      </c>
      <c r="Z286" s="124" t="str">
        <f>IF($B286="","",IF(Z$3=0,"n.b.",INDEX(SRC_Woningetalage!$A$1:$ZZ$501,$A286,Z$3)))</f>
        <v/>
      </c>
      <c r="AA286" s="124" t="str">
        <f>IF($B286="","",IF(AA$3=0,"n.b.",INDEX(SRC_Woningetalage!$A$1:$ZZ$501,$A286,AA$3)))</f>
        <v/>
      </c>
      <c r="AB286" s="124" t="str">
        <f>IF($B286="","",IF(AB$3=0,"n.b.",INDEX(SRC_Woningetalage!$A$1:$ZZ$501,$A286,AB$3)))</f>
        <v/>
      </c>
      <c r="AC286" s="124" t="str">
        <f>IF($B286="","",IF(AC$3=0,"n.b.",INDEX(SRC_Woningetalage!$A$1:$ZZ$501,$A286,AC$3)))</f>
        <v/>
      </c>
      <c r="AD286" s="124" t="str">
        <f>IF($B286="","",IF(AD$3=0,"n.b.",INDEX(SRC_Woningetalage!$A$1:$ZZ$501,$A286,AD$3)))</f>
        <v/>
      </c>
      <c r="AE286" s="124" t="str">
        <f>IF($B286="","",IF(AE$3=0,"n.b.",INDEX(SRC_Woningetalage!$A$1:$ZZ$501,$A286,AE$3)))</f>
        <v/>
      </c>
      <c r="AF286" s="124" t="str">
        <f>IF($B286="","",IF(AF$3=0,"n.b.",INDEX(SRC_Woningetalage!$A$1:$ZZ$501,$A286,AF$3)))</f>
        <v/>
      </c>
      <c r="AG286" s="124" t="str">
        <f>IF($B286="","",IF(AG$3=0,"n.b.",INDEX(SRC_Woningetalage!$A$1:$ZZ$501,$A286,AG$3)))</f>
        <v/>
      </c>
      <c r="AH286" s="124" t="str">
        <f>IF($B286="","",IF(AH$3=0,"n.b.",INDEX(SRC_Woningetalage!$A$1:$ZZ$501,$A286,AH$3)))</f>
        <v/>
      </c>
      <c r="AI286" s="124" t="str">
        <f>IF($B286="","",IF(AI$3=0,"n.b.",INDEX(SRC_Woningetalage!$A$1:$ZZ$501,$A286,AI$3)))</f>
        <v/>
      </c>
      <c r="AJ286" s="124" t="str">
        <f>IF($B286="","",IF(AJ$3=0,"n.b.",INDEX(SRC_Woningetalage!$A$1:$ZZ$501,$A286,AJ$3)))</f>
        <v/>
      </c>
      <c r="AK286" s="124" t="str">
        <f>IF($B286="","",IF(AK$3=0,"n.b.",INDEX(SRC_Woningetalage!$A$1:$ZZ$501,$A286,AK$3)))</f>
        <v/>
      </c>
      <c r="AL286" s="124" t="str">
        <f>IF($B286="","",IF(AL$3=0,"n.b.",INDEX(SRC_Woningetalage!$A$1:$ZZ$501,$A286,AL$3)))</f>
        <v/>
      </c>
      <c r="AM286" s="124" t="str">
        <f>IF($B286="","",IF(AM$3=0,"n.b.",INDEX(SRC_Woningetalage!$A$1:$ZZ$501,$A286,AM$3)))</f>
        <v/>
      </c>
      <c r="AN286" s="124" t="str">
        <f>IF($B286="","",IF(AN$3=0,"n.b.",INDEX(SRC_Woningetalage!$A$1:$ZZ$501,$A286,AN$3)))</f>
        <v/>
      </c>
      <c r="AO286" s="124" t="str">
        <f>IF($B286="","",IF(AO$3=0,"n.b.",INDEX(SRC_Woningetalage!$A$1:$ZZ$501,$A286,AO$3)))</f>
        <v/>
      </c>
      <c r="AP286" s="124" t="str">
        <f>IF($B286="","",IF(AP$3=0,"n.b.",INDEX(SRC_Woningetalage!$A$1:$ZZ$501,$A286,AP$3)))</f>
        <v/>
      </c>
      <c r="AQ286" s="124" t="str">
        <f>IF($B286="","",IF(AQ$3=0,"n.b.",INDEX(SRC_Woningetalage!$A$1:$ZZ$501,$A286,AQ$3)))</f>
        <v/>
      </c>
      <c r="AR286" s="124" t="str">
        <f>IF($B286="","",IF(AR$3=0,"n.b.",INDEX(SRC_Woningetalage!$A$1:$ZZ$501,$A286,AR$3)))</f>
        <v/>
      </c>
      <c r="AS286" s="124" t="str">
        <f>IF($B286="","",IF(AS$3=0,"n.b.",INDEX(SRC_Woningetalage!$A$1:$ZZ$501,$A286,AS$3)))</f>
        <v/>
      </c>
      <c r="AT286" s="124" t="str">
        <f>IF($B286="","",IF(AT$3=0,"n.b.",INDEX(SRC_Woningetalage!$A$1:$ZZ$501,$A286,AT$3)))</f>
        <v/>
      </c>
      <c r="AU286" s="124" t="str">
        <f>IF($B286="","",IF(AU$3=0,"n.b.",INDEX(SRC_Woningetalage!$A$1:$ZZ$501,$A286,AU$3)))</f>
        <v/>
      </c>
      <c r="AV286" s="124" t="str">
        <f>IF($B286="","",IF(AV$3=0,"n.b.",INDEX(SRC_Woningetalage!$A$1:$ZZ$501,$A286,AV$3)))</f>
        <v/>
      </c>
      <c r="AW286" s="124" t="str">
        <f>IF($B286="","",IF(AW$3=0,"n.b.",INDEX(SRC_Woningetalage!$A$1:$ZZ$501,$A286,AW$3)))</f>
        <v/>
      </c>
      <c r="AX286" s="124" t="str">
        <f>IF($B286="","",IF(AX$3=0,"n.b.",INDEX(SRC_Woningetalage!$A$1:$ZZ$501,$A286,AX$3)))</f>
        <v/>
      </c>
      <c r="AY286" s="124" t="str">
        <f>IF($B286="","",IF(AY$3=0,"n.b.",INDEX(SRC_Woningetalage!$A$1:$ZZ$501,$A286,AY$3)))</f>
        <v/>
      </c>
      <c r="AZ286" s="124" t="str">
        <f>IF($B286="","",IF(AZ$3=0,"n.b.",INDEX(SRC_Woningetalage!$A$1:$ZZ$501,$A286,AZ$3)))</f>
        <v/>
      </c>
      <c r="BA286" s="124" t="str">
        <f>IF($B286="","",IF(BA$3=0,"n.b.",INDEX(SRC_Woningetalage!$A$1:$ZZ$501,$A286,BA$3)))</f>
        <v/>
      </c>
      <c r="BB286" s="124" t="str">
        <f>IF($B286="","",IF(BB$3=0,"n.b.",INDEX(SRC_Woningetalage!$A$1:$ZZ$501,$A286,BB$3)))</f>
        <v/>
      </c>
      <c r="BC286" s="124" t="str">
        <f>IF($B286="","",IFERROR(_xlfn.NUMBERVALUE(E286&amp;"",",","."),"n.b."))</f>
        <v/>
      </c>
      <c r="BD286" s="124" t="str">
        <f>IF($B286="","",IFERROR(_xlfn.NUMBERVALUE(M286&amp;"",",","."),"n.b."))</f>
        <v/>
      </c>
      <c r="BE286" s="124" t="str">
        <f>IF($B286="","",IFERROR(AB286+AC286+AD286,"n.b."))</f>
        <v/>
      </c>
      <c r="BF286" s="124" t="str">
        <f>IF($B286="","",IFERROR(AE286+AF286+AG286,"n.b."))</f>
        <v/>
      </c>
      <c r="BG286" s="124" t="str">
        <f>IF($B286="","",IFERROR(AH286+AI286+AJ286,"n.b."))</f>
        <v/>
      </c>
      <c r="BH286" s="124" t="str">
        <f>IF($B286="","",IFERROR(AK286+AL286+AM286,"n.b."))</f>
        <v/>
      </c>
      <c r="BI286" s="124" t="str">
        <f>IF($B286="","",IFERROR(SUMIF($AB$5:$AM$5,"&lt;="&amp;P_PeilMaand,AB286:AM286),"n.b."))</f>
        <v/>
      </c>
      <c r="BJ286" s="124" t="str">
        <f>IF($B286="","",IFERROR(SUM(AB286:AM286)-BI286,"n.b."))</f>
        <v/>
      </c>
      <c r="BK286" s="124" t="str">
        <f>IF($B286="","",IFERROR(IF(ABS(Q286-(T286+SUM(AB286:AM286)+AS286+AU286))&gt;P_Tol,1,0),1))</f>
        <v/>
      </c>
      <c r="BL286" s="124" t="str">
        <f>IF($B286="","",IFERROR(IF(ABS(AA286-(Q286-Z286))&gt;P_Tol,1,0),1))</f>
        <v/>
      </c>
      <c r="BM286" s="124" t="str">
        <f>IF($B286="","",IFERROR(IF(ABS(Z286-(T286+W286))&gt;P_Tol,1,0),1))</f>
        <v/>
      </c>
      <c r="BN286" s="124" t="str">
        <f>IF($B286="","",IFERROR(IF(ABS(W286-BI286)&gt;P_Tol,1,0),1))</f>
        <v/>
      </c>
      <c r="BO286" s="124" t="str">
        <f>IF($B286="","",IFERROR(IF(OR(ABS(R286+S286-T286)&gt;P_Tol,ABS(U286+V286-W286)&gt;P_Tol,ABS(X286+Y286-Z286)&gt;P_Tol),1,0),1))</f>
        <v/>
      </c>
      <c r="BP286" s="124" t="str">
        <f>IF($B286="","",IFERROR(IF(OR(ABS(AR286-SUM(AB286:AM286))&gt;P_Tol,ABS(AS286-(AN286+AO286+AP286+AQ286))&gt;P_Tol),1,0),1))</f>
        <v/>
      </c>
      <c r="BQ286" s="124" t="str">
        <f>IF($B286="","",IFERROR(IF(ABS(AT286)+ABS(AV286)+ABS(AW286)+ABS(AX286)+ABS(AY286)+ABS(AZ286)+ABS(BA286)+ABS(BB286)&gt;0,1,0),1))</f>
        <v/>
      </c>
      <c r="BR286" s="124" t="str">
        <f>IF($B286="","",COUNTIF(STG_ZPMW03!$B$6:$B$505,B286))</f>
        <v/>
      </c>
      <c r="BS286" s="124" t="str">
        <f>IF($B286="","",COUNTIF($B$6:$B$505,B286))</f>
        <v/>
      </c>
      <c r="BT286" s="124" t="str">
        <f>IF($B286="","",IF(BR286=0,0,IF(INDEX(STG_ZPMW03!$I$6:$I$505,MATCH(B286,STG_ZPMW03!$B$6:$B$505,0))=J286&amp;"",0,1)))</f>
        <v/>
      </c>
      <c r="BU286" s="124" t="str">
        <f>IF($B286="","",IFERROR(IF(ABS(INDEX(Mapping!$D$5:$D$104,MATCH(B286,Mapping!$A$5:$A$104,0))-Q286)&gt;P_Tol,1,0),0))</f>
        <v/>
      </c>
      <c r="BV286" s="124" t="str">
        <f>IF($B286="","",IFERROR(IF(AND(INDEX(Mapping!$G$5:$G$104,MATCH(B286,Mapping!$A$5:$A$104,0))="Nee",ABS(Q286)+ABS(Z286)+ABS(AR286)&gt;0),1,0),0))</f>
        <v/>
      </c>
      <c r="BW286" s="124" t="str">
        <f>IF($B286="","",IF(COUNTIF(Mapping!$A$5:$A$104,B286)&gt;0,1,0))</f>
        <v/>
      </c>
      <c r="BX286" s="124" t="str">
        <f>IF($B286="","",IF(BR286=0,COUNTIF($BR$6:BR286,0),""))</f>
        <v/>
      </c>
    </row>
    <row r="287">
      <c r="A287" s="15" t="n">
        <v>283</v>
      </c>
      <c r="B287" t="str">
        <f>IF(B$3=0,"",IF(INDEX(SRC_Woningetalage!$A$1:$ZZ$501,$A287,B$3)&amp;""="","",INDEX(SRC_Woningetalage!$A$1:$ZZ$501,$A287,B$3)&amp;""))</f>
        <v/>
      </c>
      <c r="C287" t="str">
        <f>IF($B287="","",IF(C$3=0,"n.b.",INDEX(SRC_Woningetalage!$A$1:$ZZ$501,$A287,C$3)))</f>
        <v/>
      </c>
      <c r="D287" t="str">
        <f>IF($B287="","",IF(D$3=0,"n.b.",INDEX(SRC_Woningetalage!$A$1:$ZZ$501,$A287,D$3)))</f>
        <v/>
      </c>
      <c r="E287" t="str">
        <f>IF($B287="","",IF(E$3=0,"n.b.",INDEX(SRC_Woningetalage!$A$1:$ZZ$501,$A287,E$3)))</f>
        <v/>
      </c>
      <c r="F287" t="str">
        <f>IF($B287="","",IF(F$3=0,"n.b.",INDEX(SRC_Woningetalage!$A$1:$ZZ$501,$A287,F$3)))</f>
        <v/>
      </c>
      <c r="G287" t="str">
        <f>IF($B287="","",IF(G$3=0,"n.b.",INDEX(SRC_Woningetalage!$A$1:$ZZ$501,$A287,G$3)))</f>
        <v/>
      </c>
      <c r="H287" t="str">
        <f>IF($B287="","",IF(H$3=0,"n.b.",INDEX(SRC_Woningetalage!$A$1:$ZZ$501,$A287,H$3)))</f>
        <v/>
      </c>
      <c r="I287" t="str">
        <f>IF($B287="","",IF(I$3=0,"n.b.",INDEX(SRC_Woningetalage!$A$1:$ZZ$501,$A287,I$3)))</f>
        <v/>
      </c>
      <c r="J287" t="str">
        <f>IF($B287="","",IF(J$3=0,"n.b.",INDEX(SRC_Woningetalage!$A$1:$ZZ$501,$A287,J$3)))</f>
        <v/>
      </c>
      <c r="K287" t="str">
        <f>IF($B287="","",IF(K$3=0,"n.b.",INDEX(SRC_Woningetalage!$A$1:$ZZ$501,$A287,K$3)))</f>
        <v/>
      </c>
      <c r="L287" t="str">
        <f>IF($B287="","",IF(L$3=0,"n.b.",INDEX(SRC_Woningetalage!$A$1:$ZZ$501,$A287,L$3)))</f>
        <v/>
      </c>
      <c r="M287" t="str">
        <f>IF($B287="","",IF(M$3=0,"n.b.",INDEX(SRC_Woningetalage!$A$1:$ZZ$501,$A287,M$3)))</f>
        <v/>
      </c>
      <c r="N287" t="str">
        <f>IF($B287="","",IF(N$3=0,"n.b.",INDEX(SRC_Woningetalage!$A$1:$ZZ$501,$A287,N$3)))</f>
        <v/>
      </c>
      <c r="O287" t="str">
        <f>IF($B287="","",IF(O$3=0,"n.b.",INDEX(SRC_Woningetalage!$A$1:$ZZ$501,$A287,O$3)))</f>
        <v/>
      </c>
      <c r="P287" t="str">
        <f>IF($B287="","",IF(P$3=0,"n.b.",INDEX(SRC_Woningetalage!$A$1:$ZZ$501,$A287,P$3)))</f>
        <v/>
      </c>
      <c r="Q287" s="124" t="str">
        <f>IF($B287="","",IF(Q$3=0,"n.b.",INDEX(SRC_Woningetalage!$A$1:$ZZ$501,$A287,Q$3)))</f>
        <v/>
      </c>
      <c r="R287" s="124" t="str">
        <f>IF($B287="","",IF(R$3=0,"n.b.",INDEX(SRC_Woningetalage!$A$1:$ZZ$501,$A287,R$3)))</f>
        <v/>
      </c>
      <c r="S287" s="124" t="str">
        <f>IF($B287="","",IF(S$3=0,"n.b.",INDEX(SRC_Woningetalage!$A$1:$ZZ$501,$A287,S$3)))</f>
        <v/>
      </c>
      <c r="T287" s="124" t="str">
        <f>IF($B287="","",IF(T$3=0,"n.b.",INDEX(SRC_Woningetalage!$A$1:$ZZ$501,$A287,T$3)))</f>
        <v/>
      </c>
      <c r="U287" s="124" t="str">
        <f>IF($B287="","",IF(U$3=0,"n.b.",INDEX(SRC_Woningetalage!$A$1:$ZZ$501,$A287,U$3)))</f>
        <v/>
      </c>
      <c r="V287" s="124" t="str">
        <f>IF($B287="","",IF(V$3=0,"n.b.",INDEX(SRC_Woningetalage!$A$1:$ZZ$501,$A287,V$3)))</f>
        <v/>
      </c>
      <c r="W287" s="124" t="str">
        <f>IF($B287="","",IF(W$3=0,"n.b.",INDEX(SRC_Woningetalage!$A$1:$ZZ$501,$A287,W$3)))</f>
        <v/>
      </c>
      <c r="X287" s="124" t="str">
        <f>IF($B287="","",IF(X$3=0,"n.b.",INDEX(SRC_Woningetalage!$A$1:$ZZ$501,$A287,X$3)))</f>
        <v/>
      </c>
      <c r="Y287" s="124" t="str">
        <f>IF($B287="","",IF(Y$3=0,"n.b.",INDEX(SRC_Woningetalage!$A$1:$ZZ$501,$A287,Y$3)))</f>
        <v/>
      </c>
      <c r="Z287" s="124" t="str">
        <f>IF($B287="","",IF(Z$3=0,"n.b.",INDEX(SRC_Woningetalage!$A$1:$ZZ$501,$A287,Z$3)))</f>
        <v/>
      </c>
      <c r="AA287" s="124" t="str">
        <f>IF($B287="","",IF(AA$3=0,"n.b.",INDEX(SRC_Woningetalage!$A$1:$ZZ$501,$A287,AA$3)))</f>
        <v/>
      </c>
      <c r="AB287" s="124" t="str">
        <f>IF($B287="","",IF(AB$3=0,"n.b.",INDEX(SRC_Woningetalage!$A$1:$ZZ$501,$A287,AB$3)))</f>
        <v/>
      </c>
      <c r="AC287" s="124" t="str">
        <f>IF($B287="","",IF(AC$3=0,"n.b.",INDEX(SRC_Woningetalage!$A$1:$ZZ$501,$A287,AC$3)))</f>
        <v/>
      </c>
      <c r="AD287" s="124" t="str">
        <f>IF($B287="","",IF(AD$3=0,"n.b.",INDEX(SRC_Woningetalage!$A$1:$ZZ$501,$A287,AD$3)))</f>
        <v/>
      </c>
      <c r="AE287" s="124" t="str">
        <f>IF($B287="","",IF(AE$3=0,"n.b.",INDEX(SRC_Woningetalage!$A$1:$ZZ$501,$A287,AE$3)))</f>
        <v/>
      </c>
      <c r="AF287" s="124" t="str">
        <f>IF($B287="","",IF(AF$3=0,"n.b.",INDEX(SRC_Woningetalage!$A$1:$ZZ$501,$A287,AF$3)))</f>
        <v/>
      </c>
      <c r="AG287" s="124" t="str">
        <f>IF($B287="","",IF(AG$3=0,"n.b.",INDEX(SRC_Woningetalage!$A$1:$ZZ$501,$A287,AG$3)))</f>
        <v/>
      </c>
      <c r="AH287" s="124" t="str">
        <f>IF($B287="","",IF(AH$3=0,"n.b.",INDEX(SRC_Woningetalage!$A$1:$ZZ$501,$A287,AH$3)))</f>
        <v/>
      </c>
      <c r="AI287" s="124" t="str">
        <f>IF($B287="","",IF(AI$3=0,"n.b.",INDEX(SRC_Woningetalage!$A$1:$ZZ$501,$A287,AI$3)))</f>
        <v/>
      </c>
      <c r="AJ287" s="124" t="str">
        <f>IF($B287="","",IF(AJ$3=0,"n.b.",INDEX(SRC_Woningetalage!$A$1:$ZZ$501,$A287,AJ$3)))</f>
        <v/>
      </c>
      <c r="AK287" s="124" t="str">
        <f>IF($B287="","",IF(AK$3=0,"n.b.",INDEX(SRC_Woningetalage!$A$1:$ZZ$501,$A287,AK$3)))</f>
        <v/>
      </c>
      <c r="AL287" s="124" t="str">
        <f>IF($B287="","",IF(AL$3=0,"n.b.",INDEX(SRC_Woningetalage!$A$1:$ZZ$501,$A287,AL$3)))</f>
        <v/>
      </c>
      <c r="AM287" s="124" t="str">
        <f>IF($B287="","",IF(AM$3=0,"n.b.",INDEX(SRC_Woningetalage!$A$1:$ZZ$501,$A287,AM$3)))</f>
        <v/>
      </c>
      <c r="AN287" s="124" t="str">
        <f>IF($B287="","",IF(AN$3=0,"n.b.",INDEX(SRC_Woningetalage!$A$1:$ZZ$501,$A287,AN$3)))</f>
        <v/>
      </c>
      <c r="AO287" s="124" t="str">
        <f>IF($B287="","",IF(AO$3=0,"n.b.",INDEX(SRC_Woningetalage!$A$1:$ZZ$501,$A287,AO$3)))</f>
        <v/>
      </c>
      <c r="AP287" s="124" t="str">
        <f>IF($B287="","",IF(AP$3=0,"n.b.",INDEX(SRC_Woningetalage!$A$1:$ZZ$501,$A287,AP$3)))</f>
        <v/>
      </c>
      <c r="AQ287" s="124" t="str">
        <f>IF($B287="","",IF(AQ$3=0,"n.b.",INDEX(SRC_Woningetalage!$A$1:$ZZ$501,$A287,AQ$3)))</f>
        <v/>
      </c>
      <c r="AR287" s="124" t="str">
        <f>IF($B287="","",IF(AR$3=0,"n.b.",INDEX(SRC_Woningetalage!$A$1:$ZZ$501,$A287,AR$3)))</f>
        <v/>
      </c>
      <c r="AS287" s="124" t="str">
        <f>IF($B287="","",IF(AS$3=0,"n.b.",INDEX(SRC_Woningetalage!$A$1:$ZZ$501,$A287,AS$3)))</f>
        <v/>
      </c>
      <c r="AT287" s="124" t="str">
        <f>IF($B287="","",IF(AT$3=0,"n.b.",INDEX(SRC_Woningetalage!$A$1:$ZZ$501,$A287,AT$3)))</f>
        <v/>
      </c>
      <c r="AU287" s="124" t="str">
        <f>IF($B287="","",IF(AU$3=0,"n.b.",INDEX(SRC_Woningetalage!$A$1:$ZZ$501,$A287,AU$3)))</f>
        <v/>
      </c>
      <c r="AV287" s="124" t="str">
        <f>IF($B287="","",IF(AV$3=0,"n.b.",INDEX(SRC_Woningetalage!$A$1:$ZZ$501,$A287,AV$3)))</f>
        <v/>
      </c>
      <c r="AW287" s="124" t="str">
        <f>IF($B287="","",IF(AW$3=0,"n.b.",INDEX(SRC_Woningetalage!$A$1:$ZZ$501,$A287,AW$3)))</f>
        <v/>
      </c>
      <c r="AX287" s="124" t="str">
        <f>IF($B287="","",IF(AX$3=0,"n.b.",INDEX(SRC_Woningetalage!$A$1:$ZZ$501,$A287,AX$3)))</f>
        <v/>
      </c>
      <c r="AY287" s="124" t="str">
        <f>IF($B287="","",IF(AY$3=0,"n.b.",INDEX(SRC_Woningetalage!$A$1:$ZZ$501,$A287,AY$3)))</f>
        <v/>
      </c>
      <c r="AZ287" s="124" t="str">
        <f>IF($B287="","",IF(AZ$3=0,"n.b.",INDEX(SRC_Woningetalage!$A$1:$ZZ$501,$A287,AZ$3)))</f>
        <v/>
      </c>
      <c r="BA287" s="124" t="str">
        <f>IF($B287="","",IF(BA$3=0,"n.b.",INDEX(SRC_Woningetalage!$A$1:$ZZ$501,$A287,BA$3)))</f>
        <v/>
      </c>
      <c r="BB287" s="124" t="str">
        <f>IF($B287="","",IF(BB$3=0,"n.b.",INDEX(SRC_Woningetalage!$A$1:$ZZ$501,$A287,BB$3)))</f>
        <v/>
      </c>
      <c r="BC287" s="124" t="str">
        <f>IF($B287="","",IFERROR(_xlfn.NUMBERVALUE(E287&amp;"",",","."),"n.b."))</f>
        <v/>
      </c>
      <c r="BD287" s="124" t="str">
        <f>IF($B287="","",IFERROR(_xlfn.NUMBERVALUE(M287&amp;"",",","."),"n.b."))</f>
        <v/>
      </c>
      <c r="BE287" s="124" t="str">
        <f>IF($B287="","",IFERROR(AB287+AC287+AD287,"n.b."))</f>
        <v/>
      </c>
      <c r="BF287" s="124" t="str">
        <f>IF($B287="","",IFERROR(AE287+AF287+AG287,"n.b."))</f>
        <v/>
      </c>
      <c r="BG287" s="124" t="str">
        <f>IF($B287="","",IFERROR(AH287+AI287+AJ287,"n.b."))</f>
        <v/>
      </c>
      <c r="BH287" s="124" t="str">
        <f>IF($B287="","",IFERROR(AK287+AL287+AM287,"n.b."))</f>
        <v/>
      </c>
      <c r="BI287" s="124" t="str">
        <f>IF($B287="","",IFERROR(SUMIF($AB$5:$AM$5,"&lt;="&amp;P_PeilMaand,AB287:AM287),"n.b."))</f>
        <v/>
      </c>
      <c r="BJ287" s="124" t="str">
        <f>IF($B287="","",IFERROR(SUM(AB287:AM287)-BI287,"n.b."))</f>
        <v/>
      </c>
      <c r="BK287" s="124" t="str">
        <f>IF($B287="","",IFERROR(IF(ABS(Q287-(T287+SUM(AB287:AM287)+AS287+AU287))&gt;P_Tol,1,0),1))</f>
        <v/>
      </c>
      <c r="BL287" s="124" t="str">
        <f>IF($B287="","",IFERROR(IF(ABS(AA287-(Q287-Z287))&gt;P_Tol,1,0),1))</f>
        <v/>
      </c>
      <c r="BM287" s="124" t="str">
        <f>IF($B287="","",IFERROR(IF(ABS(Z287-(T287+W287))&gt;P_Tol,1,0),1))</f>
        <v/>
      </c>
      <c r="BN287" s="124" t="str">
        <f>IF($B287="","",IFERROR(IF(ABS(W287-BI287)&gt;P_Tol,1,0),1))</f>
        <v/>
      </c>
      <c r="BO287" s="124" t="str">
        <f>IF($B287="","",IFERROR(IF(OR(ABS(R287+S287-T287)&gt;P_Tol,ABS(U287+V287-W287)&gt;P_Tol,ABS(X287+Y287-Z287)&gt;P_Tol),1,0),1))</f>
        <v/>
      </c>
      <c r="BP287" s="124" t="str">
        <f>IF($B287="","",IFERROR(IF(OR(ABS(AR287-SUM(AB287:AM287))&gt;P_Tol,ABS(AS287-(AN287+AO287+AP287+AQ287))&gt;P_Tol),1,0),1))</f>
        <v/>
      </c>
      <c r="BQ287" s="124" t="str">
        <f>IF($B287="","",IFERROR(IF(ABS(AT287)+ABS(AV287)+ABS(AW287)+ABS(AX287)+ABS(AY287)+ABS(AZ287)+ABS(BA287)+ABS(BB287)&gt;0,1,0),1))</f>
        <v/>
      </c>
      <c r="BR287" s="124" t="str">
        <f>IF($B287="","",COUNTIF(STG_ZPMW03!$B$6:$B$505,B287))</f>
        <v/>
      </c>
      <c r="BS287" s="124" t="str">
        <f>IF($B287="","",COUNTIF($B$6:$B$505,B287))</f>
        <v/>
      </c>
      <c r="BT287" s="124" t="str">
        <f>IF($B287="","",IF(BR287=0,0,IF(INDEX(STG_ZPMW03!$I$6:$I$505,MATCH(B287,STG_ZPMW03!$B$6:$B$505,0))=J287&amp;"",0,1)))</f>
        <v/>
      </c>
      <c r="BU287" s="124" t="str">
        <f>IF($B287="","",IFERROR(IF(ABS(INDEX(Mapping!$D$5:$D$104,MATCH(B287,Mapping!$A$5:$A$104,0))-Q287)&gt;P_Tol,1,0),0))</f>
        <v/>
      </c>
      <c r="BV287" s="124" t="str">
        <f>IF($B287="","",IFERROR(IF(AND(INDEX(Mapping!$G$5:$G$104,MATCH(B287,Mapping!$A$5:$A$104,0))="Nee",ABS(Q287)+ABS(Z287)+ABS(AR287)&gt;0),1,0),0))</f>
        <v/>
      </c>
      <c r="BW287" s="124" t="str">
        <f>IF($B287="","",IF(COUNTIF(Mapping!$A$5:$A$104,B287)&gt;0,1,0))</f>
        <v/>
      </c>
      <c r="BX287" s="124" t="str">
        <f>IF($B287="","",IF(BR287=0,COUNTIF($BR$6:BR287,0),""))</f>
        <v/>
      </c>
    </row>
    <row r="288">
      <c r="A288" s="15" t="n">
        <v>284</v>
      </c>
      <c r="B288" t="str">
        <f>IF(B$3=0,"",IF(INDEX(SRC_Woningetalage!$A$1:$ZZ$501,$A288,B$3)&amp;""="","",INDEX(SRC_Woningetalage!$A$1:$ZZ$501,$A288,B$3)&amp;""))</f>
        <v/>
      </c>
      <c r="C288" t="str">
        <f>IF($B288="","",IF(C$3=0,"n.b.",INDEX(SRC_Woningetalage!$A$1:$ZZ$501,$A288,C$3)))</f>
        <v/>
      </c>
      <c r="D288" t="str">
        <f>IF($B288="","",IF(D$3=0,"n.b.",INDEX(SRC_Woningetalage!$A$1:$ZZ$501,$A288,D$3)))</f>
        <v/>
      </c>
      <c r="E288" t="str">
        <f>IF($B288="","",IF(E$3=0,"n.b.",INDEX(SRC_Woningetalage!$A$1:$ZZ$501,$A288,E$3)))</f>
        <v/>
      </c>
      <c r="F288" t="str">
        <f>IF($B288="","",IF(F$3=0,"n.b.",INDEX(SRC_Woningetalage!$A$1:$ZZ$501,$A288,F$3)))</f>
        <v/>
      </c>
      <c r="G288" t="str">
        <f>IF($B288="","",IF(G$3=0,"n.b.",INDEX(SRC_Woningetalage!$A$1:$ZZ$501,$A288,G$3)))</f>
        <v/>
      </c>
      <c r="H288" t="str">
        <f>IF($B288="","",IF(H$3=0,"n.b.",INDEX(SRC_Woningetalage!$A$1:$ZZ$501,$A288,H$3)))</f>
        <v/>
      </c>
      <c r="I288" t="str">
        <f>IF($B288="","",IF(I$3=0,"n.b.",INDEX(SRC_Woningetalage!$A$1:$ZZ$501,$A288,I$3)))</f>
        <v/>
      </c>
      <c r="J288" t="str">
        <f>IF($B288="","",IF(J$3=0,"n.b.",INDEX(SRC_Woningetalage!$A$1:$ZZ$501,$A288,J$3)))</f>
        <v/>
      </c>
      <c r="K288" t="str">
        <f>IF($B288="","",IF(K$3=0,"n.b.",INDEX(SRC_Woningetalage!$A$1:$ZZ$501,$A288,K$3)))</f>
        <v/>
      </c>
      <c r="L288" t="str">
        <f>IF($B288="","",IF(L$3=0,"n.b.",INDEX(SRC_Woningetalage!$A$1:$ZZ$501,$A288,L$3)))</f>
        <v/>
      </c>
      <c r="M288" t="str">
        <f>IF($B288="","",IF(M$3=0,"n.b.",INDEX(SRC_Woningetalage!$A$1:$ZZ$501,$A288,M$3)))</f>
        <v/>
      </c>
      <c r="N288" t="str">
        <f>IF($B288="","",IF(N$3=0,"n.b.",INDEX(SRC_Woningetalage!$A$1:$ZZ$501,$A288,N$3)))</f>
        <v/>
      </c>
      <c r="O288" t="str">
        <f>IF($B288="","",IF(O$3=0,"n.b.",INDEX(SRC_Woningetalage!$A$1:$ZZ$501,$A288,O$3)))</f>
        <v/>
      </c>
      <c r="P288" t="str">
        <f>IF($B288="","",IF(P$3=0,"n.b.",INDEX(SRC_Woningetalage!$A$1:$ZZ$501,$A288,P$3)))</f>
        <v/>
      </c>
      <c r="Q288" s="124" t="str">
        <f>IF($B288="","",IF(Q$3=0,"n.b.",INDEX(SRC_Woningetalage!$A$1:$ZZ$501,$A288,Q$3)))</f>
        <v/>
      </c>
      <c r="R288" s="124" t="str">
        <f>IF($B288="","",IF(R$3=0,"n.b.",INDEX(SRC_Woningetalage!$A$1:$ZZ$501,$A288,R$3)))</f>
        <v/>
      </c>
      <c r="S288" s="124" t="str">
        <f>IF($B288="","",IF(S$3=0,"n.b.",INDEX(SRC_Woningetalage!$A$1:$ZZ$501,$A288,S$3)))</f>
        <v/>
      </c>
      <c r="T288" s="124" t="str">
        <f>IF($B288="","",IF(T$3=0,"n.b.",INDEX(SRC_Woningetalage!$A$1:$ZZ$501,$A288,T$3)))</f>
        <v/>
      </c>
      <c r="U288" s="124" t="str">
        <f>IF($B288="","",IF(U$3=0,"n.b.",INDEX(SRC_Woningetalage!$A$1:$ZZ$501,$A288,U$3)))</f>
        <v/>
      </c>
      <c r="V288" s="124" t="str">
        <f>IF($B288="","",IF(V$3=0,"n.b.",INDEX(SRC_Woningetalage!$A$1:$ZZ$501,$A288,V$3)))</f>
        <v/>
      </c>
      <c r="W288" s="124" t="str">
        <f>IF($B288="","",IF(W$3=0,"n.b.",INDEX(SRC_Woningetalage!$A$1:$ZZ$501,$A288,W$3)))</f>
        <v/>
      </c>
      <c r="X288" s="124" t="str">
        <f>IF($B288="","",IF(X$3=0,"n.b.",INDEX(SRC_Woningetalage!$A$1:$ZZ$501,$A288,X$3)))</f>
        <v/>
      </c>
      <c r="Y288" s="124" t="str">
        <f>IF($B288="","",IF(Y$3=0,"n.b.",INDEX(SRC_Woningetalage!$A$1:$ZZ$501,$A288,Y$3)))</f>
        <v/>
      </c>
      <c r="Z288" s="124" t="str">
        <f>IF($B288="","",IF(Z$3=0,"n.b.",INDEX(SRC_Woningetalage!$A$1:$ZZ$501,$A288,Z$3)))</f>
        <v/>
      </c>
      <c r="AA288" s="124" t="str">
        <f>IF($B288="","",IF(AA$3=0,"n.b.",INDEX(SRC_Woningetalage!$A$1:$ZZ$501,$A288,AA$3)))</f>
        <v/>
      </c>
      <c r="AB288" s="124" t="str">
        <f>IF($B288="","",IF(AB$3=0,"n.b.",INDEX(SRC_Woningetalage!$A$1:$ZZ$501,$A288,AB$3)))</f>
        <v/>
      </c>
      <c r="AC288" s="124" t="str">
        <f>IF($B288="","",IF(AC$3=0,"n.b.",INDEX(SRC_Woningetalage!$A$1:$ZZ$501,$A288,AC$3)))</f>
        <v/>
      </c>
      <c r="AD288" s="124" t="str">
        <f>IF($B288="","",IF(AD$3=0,"n.b.",INDEX(SRC_Woningetalage!$A$1:$ZZ$501,$A288,AD$3)))</f>
        <v/>
      </c>
      <c r="AE288" s="124" t="str">
        <f>IF($B288="","",IF(AE$3=0,"n.b.",INDEX(SRC_Woningetalage!$A$1:$ZZ$501,$A288,AE$3)))</f>
        <v/>
      </c>
      <c r="AF288" s="124" t="str">
        <f>IF($B288="","",IF(AF$3=0,"n.b.",INDEX(SRC_Woningetalage!$A$1:$ZZ$501,$A288,AF$3)))</f>
        <v/>
      </c>
      <c r="AG288" s="124" t="str">
        <f>IF($B288="","",IF(AG$3=0,"n.b.",INDEX(SRC_Woningetalage!$A$1:$ZZ$501,$A288,AG$3)))</f>
        <v/>
      </c>
      <c r="AH288" s="124" t="str">
        <f>IF($B288="","",IF(AH$3=0,"n.b.",INDEX(SRC_Woningetalage!$A$1:$ZZ$501,$A288,AH$3)))</f>
        <v/>
      </c>
      <c r="AI288" s="124" t="str">
        <f>IF($B288="","",IF(AI$3=0,"n.b.",INDEX(SRC_Woningetalage!$A$1:$ZZ$501,$A288,AI$3)))</f>
        <v/>
      </c>
      <c r="AJ288" s="124" t="str">
        <f>IF($B288="","",IF(AJ$3=0,"n.b.",INDEX(SRC_Woningetalage!$A$1:$ZZ$501,$A288,AJ$3)))</f>
        <v/>
      </c>
      <c r="AK288" s="124" t="str">
        <f>IF($B288="","",IF(AK$3=0,"n.b.",INDEX(SRC_Woningetalage!$A$1:$ZZ$501,$A288,AK$3)))</f>
        <v/>
      </c>
      <c r="AL288" s="124" t="str">
        <f>IF($B288="","",IF(AL$3=0,"n.b.",INDEX(SRC_Woningetalage!$A$1:$ZZ$501,$A288,AL$3)))</f>
        <v/>
      </c>
      <c r="AM288" s="124" t="str">
        <f>IF($B288="","",IF(AM$3=0,"n.b.",INDEX(SRC_Woningetalage!$A$1:$ZZ$501,$A288,AM$3)))</f>
        <v/>
      </c>
      <c r="AN288" s="124" t="str">
        <f>IF($B288="","",IF(AN$3=0,"n.b.",INDEX(SRC_Woningetalage!$A$1:$ZZ$501,$A288,AN$3)))</f>
        <v/>
      </c>
      <c r="AO288" s="124" t="str">
        <f>IF($B288="","",IF(AO$3=0,"n.b.",INDEX(SRC_Woningetalage!$A$1:$ZZ$501,$A288,AO$3)))</f>
        <v/>
      </c>
      <c r="AP288" s="124" t="str">
        <f>IF($B288="","",IF(AP$3=0,"n.b.",INDEX(SRC_Woningetalage!$A$1:$ZZ$501,$A288,AP$3)))</f>
        <v/>
      </c>
      <c r="AQ288" s="124" t="str">
        <f>IF($B288="","",IF(AQ$3=0,"n.b.",INDEX(SRC_Woningetalage!$A$1:$ZZ$501,$A288,AQ$3)))</f>
        <v/>
      </c>
      <c r="AR288" s="124" t="str">
        <f>IF($B288="","",IF(AR$3=0,"n.b.",INDEX(SRC_Woningetalage!$A$1:$ZZ$501,$A288,AR$3)))</f>
        <v/>
      </c>
      <c r="AS288" s="124" t="str">
        <f>IF($B288="","",IF(AS$3=0,"n.b.",INDEX(SRC_Woningetalage!$A$1:$ZZ$501,$A288,AS$3)))</f>
        <v/>
      </c>
      <c r="AT288" s="124" t="str">
        <f>IF($B288="","",IF(AT$3=0,"n.b.",INDEX(SRC_Woningetalage!$A$1:$ZZ$501,$A288,AT$3)))</f>
        <v/>
      </c>
      <c r="AU288" s="124" t="str">
        <f>IF($B288="","",IF(AU$3=0,"n.b.",INDEX(SRC_Woningetalage!$A$1:$ZZ$501,$A288,AU$3)))</f>
        <v/>
      </c>
      <c r="AV288" s="124" t="str">
        <f>IF($B288="","",IF(AV$3=0,"n.b.",INDEX(SRC_Woningetalage!$A$1:$ZZ$501,$A288,AV$3)))</f>
        <v/>
      </c>
      <c r="AW288" s="124" t="str">
        <f>IF($B288="","",IF(AW$3=0,"n.b.",INDEX(SRC_Woningetalage!$A$1:$ZZ$501,$A288,AW$3)))</f>
        <v/>
      </c>
      <c r="AX288" s="124" t="str">
        <f>IF($B288="","",IF(AX$3=0,"n.b.",INDEX(SRC_Woningetalage!$A$1:$ZZ$501,$A288,AX$3)))</f>
        <v/>
      </c>
      <c r="AY288" s="124" t="str">
        <f>IF($B288="","",IF(AY$3=0,"n.b.",INDEX(SRC_Woningetalage!$A$1:$ZZ$501,$A288,AY$3)))</f>
        <v/>
      </c>
      <c r="AZ288" s="124" t="str">
        <f>IF($B288="","",IF(AZ$3=0,"n.b.",INDEX(SRC_Woningetalage!$A$1:$ZZ$501,$A288,AZ$3)))</f>
        <v/>
      </c>
      <c r="BA288" s="124" t="str">
        <f>IF($B288="","",IF(BA$3=0,"n.b.",INDEX(SRC_Woningetalage!$A$1:$ZZ$501,$A288,BA$3)))</f>
        <v/>
      </c>
      <c r="BB288" s="124" t="str">
        <f>IF($B288="","",IF(BB$3=0,"n.b.",INDEX(SRC_Woningetalage!$A$1:$ZZ$501,$A288,BB$3)))</f>
        <v/>
      </c>
      <c r="BC288" s="124" t="str">
        <f>IF($B288="","",IFERROR(_xlfn.NUMBERVALUE(E288&amp;"",",","."),"n.b."))</f>
        <v/>
      </c>
      <c r="BD288" s="124" t="str">
        <f>IF($B288="","",IFERROR(_xlfn.NUMBERVALUE(M288&amp;"",",","."),"n.b."))</f>
        <v/>
      </c>
      <c r="BE288" s="124" t="str">
        <f>IF($B288="","",IFERROR(AB288+AC288+AD288,"n.b."))</f>
        <v/>
      </c>
      <c r="BF288" s="124" t="str">
        <f>IF($B288="","",IFERROR(AE288+AF288+AG288,"n.b."))</f>
        <v/>
      </c>
      <c r="BG288" s="124" t="str">
        <f>IF($B288="","",IFERROR(AH288+AI288+AJ288,"n.b."))</f>
        <v/>
      </c>
      <c r="BH288" s="124" t="str">
        <f>IF($B288="","",IFERROR(AK288+AL288+AM288,"n.b."))</f>
        <v/>
      </c>
      <c r="BI288" s="124" t="str">
        <f>IF($B288="","",IFERROR(SUMIF($AB$5:$AM$5,"&lt;="&amp;P_PeilMaand,AB288:AM288),"n.b."))</f>
        <v/>
      </c>
      <c r="BJ288" s="124" t="str">
        <f>IF($B288="","",IFERROR(SUM(AB288:AM288)-BI288,"n.b."))</f>
        <v/>
      </c>
      <c r="BK288" s="124" t="str">
        <f>IF($B288="","",IFERROR(IF(ABS(Q288-(T288+SUM(AB288:AM288)+AS288+AU288))&gt;P_Tol,1,0),1))</f>
        <v/>
      </c>
      <c r="BL288" s="124" t="str">
        <f>IF($B288="","",IFERROR(IF(ABS(AA288-(Q288-Z288))&gt;P_Tol,1,0),1))</f>
        <v/>
      </c>
      <c r="BM288" s="124" t="str">
        <f>IF($B288="","",IFERROR(IF(ABS(Z288-(T288+W288))&gt;P_Tol,1,0),1))</f>
        <v/>
      </c>
      <c r="BN288" s="124" t="str">
        <f>IF($B288="","",IFERROR(IF(ABS(W288-BI288)&gt;P_Tol,1,0),1))</f>
        <v/>
      </c>
      <c r="BO288" s="124" t="str">
        <f>IF($B288="","",IFERROR(IF(OR(ABS(R288+S288-T288)&gt;P_Tol,ABS(U288+V288-W288)&gt;P_Tol,ABS(X288+Y288-Z288)&gt;P_Tol),1,0),1))</f>
        <v/>
      </c>
      <c r="BP288" s="124" t="str">
        <f>IF($B288="","",IFERROR(IF(OR(ABS(AR288-SUM(AB288:AM288))&gt;P_Tol,ABS(AS288-(AN288+AO288+AP288+AQ288))&gt;P_Tol),1,0),1))</f>
        <v/>
      </c>
      <c r="BQ288" s="124" t="str">
        <f>IF($B288="","",IFERROR(IF(ABS(AT288)+ABS(AV288)+ABS(AW288)+ABS(AX288)+ABS(AY288)+ABS(AZ288)+ABS(BA288)+ABS(BB288)&gt;0,1,0),1))</f>
        <v/>
      </c>
      <c r="BR288" s="124" t="str">
        <f>IF($B288="","",COUNTIF(STG_ZPMW03!$B$6:$B$505,B288))</f>
        <v/>
      </c>
      <c r="BS288" s="124" t="str">
        <f>IF($B288="","",COUNTIF($B$6:$B$505,B288))</f>
        <v/>
      </c>
      <c r="BT288" s="124" t="str">
        <f>IF($B288="","",IF(BR288=0,0,IF(INDEX(STG_ZPMW03!$I$6:$I$505,MATCH(B288,STG_ZPMW03!$B$6:$B$505,0))=J288&amp;"",0,1)))</f>
        <v/>
      </c>
      <c r="BU288" s="124" t="str">
        <f>IF($B288="","",IFERROR(IF(ABS(INDEX(Mapping!$D$5:$D$104,MATCH(B288,Mapping!$A$5:$A$104,0))-Q288)&gt;P_Tol,1,0),0))</f>
        <v/>
      </c>
      <c r="BV288" s="124" t="str">
        <f>IF($B288="","",IFERROR(IF(AND(INDEX(Mapping!$G$5:$G$104,MATCH(B288,Mapping!$A$5:$A$104,0))="Nee",ABS(Q288)+ABS(Z288)+ABS(AR288)&gt;0),1,0),0))</f>
        <v/>
      </c>
      <c r="BW288" s="124" t="str">
        <f>IF($B288="","",IF(COUNTIF(Mapping!$A$5:$A$104,B288)&gt;0,1,0))</f>
        <v/>
      </c>
      <c r="BX288" s="124" t="str">
        <f>IF($B288="","",IF(BR288=0,COUNTIF($BR$6:BR288,0),""))</f>
        <v/>
      </c>
    </row>
    <row r="289">
      <c r="A289" s="15" t="n">
        <v>285</v>
      </c>
      <c r="B289" t="str">
        <f>IF(B$3=0,"",IF(INDEX(SRC_Woningetalage!$A$1:$ZZ$501,$A289,B$3)&amp;""="","",INDEX(SRC_Woningetalage!$A$1:$ZZ$501,$A289,B$3)&amp;""))</f>
        <v/>
      </c>
      <c r="C289" t="str">
        <f>IF($B289="","",IF(C$3=0,"n.b.",INDEX(SRC_Woningetalage!$A$1:$ZZ$501,$A289,C$3)))</f>
        <v/>
      </c>
      <c r="D289" t="str">
        <f>IF($B289="","",IF(D$3=0,"n.b.",INDEX(SRC_Woningetalage!$A$1:$ZZ$501,$A289,D$3)))</f>
        <v/>
      </c>
      <c r="E289" t="str">
        <f>IF($B289="","",IF(E$3=0,"n.b.",INDEX(SRC_Woningetalage!$A$1:$ZZ$501,$A289,E$3)))</f>
        <v/>
      </c>
      <c r="F289" t="str">
        <f>IF($B289="","",IF(F$3=0,"n.b.",INDEX(SRC_Woningetalage!$A$1:$ZZ$501,$A289,F$3)))</f>
        <v/>
      </c>
      <c r="G289" t="str">
        <f>IF($B289="","",IF(G$3=0,"n.b.",INDEX(SRC_Woningetalage!$A$1:$ZZ$501,$A289,G$3)))</f>
        <v/>
      </c>
      <c r="H289" t="str">
        <f>IF($B289="","",IF(H$3=0,"n.b.",INDEX(SRC_Woningetalage!$A$1:$ZZ$501,$A289,H$3)))</f>
        <v/>
      </c>
      <c r="I289" t="str">
        <f>IF($B289="","",IF(I$3=0,"n.b.",INDEX(SRC_Woningetalage!$A$1:$ZZ$501,$A289,I$3)))</f>
        <v/>
      </c>
      <c r="J289" t="str">
        <f>IF($B289="","",IF(J$3=0,"n.b.",INDEX(SRC_Woningetalage!$A$1:$ZZ$501,$A289,J$3)))</f>
        <v/>
      </c>
      <c r="K289" t="str">
        <f>IF($B289="","",IF(K$3=0,"n.b.",INDEX(SRC_Woningetalage!$A$1:$ZZ$501,$A289,K$3)))</f>
        <v/>
      </c>
      <c r="L289" t="str">
        <f>IF($B289="","",IF(L$3=0,"n.b.",INDEX(SRC_Woningetalage!$A$1:$ZZ$501,$A289,L$3)))</f>
        <v/>
      </c>
      <c r="M289" t="str">
        <f>IF($B289="","",IF(M$3=0,"n.b.",INDEX(SRC_Woningetalage!$A$1:$ZZ$501,$A289,M$3)))</f>
        <v/>
      </c>
      <c r="N289" t="str">
        <f>IF($B289="","",IF(N$3=0,"n.b.",INDEX(SRC_Woningetalage!$A$1:$ZZ$501,$A289,N$3)))</f>
        <v/>
      </c>
      <c r="O289" t="str">
        <f>IF($B289="","",IF(O$3=0,"n.b.",INDEX(SRC_Woningetalage!$A$1:$ZZ$501,$A289,O$3)))</f>
        <v/>
      </c>
      <c r="P289" t="str">
        <f>IF($B289="","",IF(P$3=0,"n.b.",INDEX(SRC_Woningetalage!$A$1:$ZZ$501,$A289,P$3)))</f>
        <v/>
      </c>
      <c r="Q289" s="124" t="str">
        <f>IF($B289="","",IF(Q$3=0,"n.b.",INDEX(SRC_Woningetalage!$A$1:$ZZ$501,$A289,Q$3)))</f>
        <v/>
      </c>
      <c r="R289" s="124" t="str">
        <f>IF($B289="","",IF(R$3=0,"n.b.",INDEX(SRC_Woningetalage!$A$1:$ZZ$501,$A289,R$3)))</f>
        <v/>
      </c>
      <c r="S289" s="124" t="str">
        <f>IF($B289="","",IF(S$3=0,"n.b.",INDEX(SRC_Woningetalage!$A$1:$ZZ$501,$A289,S$3)))</f>
        <v/>
      </c>
      <c r="T289" s="124" t="str">
        <f>IF($B289="","",IF(T$3=0,"n.b.",INDEX(SRC_Woningetalage!$A$1:$ZZ$501,$A289,T$3)))</f>
        <v/>
      </c>
      <c r="U289" s="124" t="str">
        <f>IF($B289="","",IF(U$3=0,"n.b.",INDEX(SRC_Woningetalage!$A$1:$ZZ$501,$A289,U$3)))</f>
        <v/>
      </c>
      <c r="V289" s="124" t="str">
        <f>IF($B289="","",IF(V$3=0,"n.b.",INDEX(SRC_Woningetalage!$A$1:$ZZ$501,$A289,V$3)))</f>
        <v/>
      </c>
      <c r="W289" s="124" t="str">
        <f>IF($B289="","",IF(W$3=0,"n.b.",INDEX(SRC_Woningetalage!$A$1:$ZZ$501,$A289,W$3)))</f>
        <v/>
      </c>
      <c r="X289" s="124" t="str">
        <f>IF($B289="","",IF(X$3=0,"n.b.",INDEX(SRC_Woningetalage!$A$1:$ZZ$501,$A289,X$3)))</f>
        <v/>
      </c>
      <c r="Y289" s="124" t="str">
        <f>IF($B289="","",IF(Y$3=0,"n.b.",INDEX(SRC_Woningetalage!$A$1:$ZZ$501,$A289,Y$3)))</f>
        <v/>
      </c>
      <c r="Z289" s="124" t="str">
        <f>IF($B289="","",IF(Z$3=0,"n.b.",INDEX(SRC_Woningetalage!$A$1:$ZZ$501,$A289,Z$3)))</f>
        <v/>
      </c>
      <c r="AA289" s="124" t="str">
        <f>IF($B289="","",IF(AA$3=0,"n.b.",INDEX(SRC_Woningetalage!$A$1:$ZZ$501,$A289,AA$3)))</f>
        <v/>
      </c>
      <c r="AB289" s="124" t="str">
        <f>IF($B289="","",IF(AB$3=0,"n.b.",INDEX(SRC_Woningetalage!$A$1:$ZZ$501,$A289,AB$3)))</f>
        <v/>
      </c>
      <c r="AC289" s="124" t="str">
        <f>IF($B289="","",IF(AC$3=0,"n.b.",INDEX(SRC_Woningetalage!$A$1:$ZZ$501,$A289,AC$3)))</f>
        <v/>
      </c>
      <c r="AD289" s="124" t="str">
        <f>IF($B289="","",IF(AD$3=0,"n.b.",INDEX(SRC_Woningetalage!$A$1:$ZZ$501,$A289,AD$3)))</f>
        <v/>
      </c>
      <c r="AE289" s="124" t="str">
        <f>IF($B289="","",IF(AE$3=0,"n.b.",INDEX(SRC_Woningetalage!$A$1:$ZZ$501,$A289,AE$3)))</f>
        <v/>
      </c>
      <c r="AF289" s="124" t="str">
        <f>IF($B289="","",IF(AF$3=0,"n.b.",INDEX(SRC_Woningetalage!$A$1:$ZZ$501,$A289,AF$3)))</f>
        <v/>
      </c>
      <c r="AG289" s="124" t="str">
        <f>IF($B289="","",IF(AG$3=0,"n.b.",INDEX(SRC_Woningetalage!$A$1:$ZZ$501,$A289,AG$3)))</f>
        <v/>
      </c>
      <c r="AH289" s="124" t="str">
        <f>IF($B289="","",IF(AH$3=0,"n.b.",INDEX(SRC_Woningetalage!$A$1:$ZZ$501,$A289,AH$3)))</f>
        <v/>
      </c>
      <c r="AI289" s="124" t="str">
        <f>IF($B289="","",IF(AI$3=0,"n.b.",INDEX(SRC_Woningetalage!$A$1:$ZZ$501,$A289,AI$3)))</f>
        <v/>
      </c>
      <c r="AJ289" s="124" t="str">
        <f>IF($B289="","",IF(AJ$3=0,"n.b.",INDEX(SRC_Woningetalage!$A$1:$ZZ$501,$A289,AJ$3)))</f>
        <v/>
      </c>
      <c r="AK289" s="124" t="str">
        <f>IF($B289="","",IF(AK$3=0,"n.b.",INDEX(SRC_Woningetalage!$A$1:$ZZ$501,$A289,AK$3)))</f>
        <v/>
      </c>
      <c r="AL289" s="124" t="str">
        <f>IF($B289="","",IF(AL$3=0,"n.b.",INDEX(SRC_Woningetalage!$A$1:$ZZ$501,$A289,AL$3)))</f>
        <v/>
      </c>
      <c r="AM289" s="124" t="str">
        <f>IF($B289="","",IF(AM$3=0,"n.b.",INDEX(SRC_Woningetalage!$A$1:$ZZ$501,$A289,AM$3)))</f>
        <v/>
      </c>
      <c r="AN289" s="124" t="str">
        <f>IF($B289="","",IF(AN$3=0,"n.b.",INDEX(SRC_Woningetalage!$A$1:$ZZ$501,$A289,AN$3)))</f>
        <v/>
      </c>
      <c r="AO289" s="124" t="str">
        <f>IF($B289="","",IF(AO$3=0,"n.b.",INDEX(SRC_Woningetalage!$A$1:$ZZ$501,$A289,AO$3)))</f>
        <v/>
      </c>
      <c r="AP289" s="124" t="str">
        <f>IF($B289="","",IF(AP$3=0,"n.b.",INDEX(SRC_Woningetalage!$A$1:$ZZ$501,$A289,AP$3)))</f>
        <v/>
      </c>
      <c r="AQ289" s="124" t="str">
        <f>IF($B289="","",IF(AQ$3=0,"n.b.",INDEX(SRC_Woningetalage!$A$1:$ZZ$501,$A289,AQ$3)))</f>
        <v/>
      </c>
      <c r="AR289" s="124" t="str">
        <f>IF($B289="","",IF(AR$3=0,"n.b.",INDEX(SRC_Woningetalage!$A$1:$ZZ$501,$A289,AR$3)))</f>
        <v/>
      </c>
      <c r="AS289" s="124" t="str">
        <f>IF($B289="","",IF(AS$3=0,"n.b.",INDEX(SRC_Woningetalage!$A$1:$ZZ$501,$A289,AS$3)))</f>
        <v/>
      </c>
      <c r="AT289" s="124" t="str">
        <f>IF($B289="","",IF(AT$3=0,"n.b.",INDEX(SRC_Woningetalage!$A$1:$ZZ$501,$A289,AT$3)))</f>
        <v/>
      </c>
      <c r="AU289" s="124" t="str">
        <f>IF($B289="","",IF(AU$3=0,"n.b.",INDEX(SRC_Woningetalage!$A$1:$ZZ$501,$A289,AU$3)))</f>
        <v/>
      </c>
      <c r="AV289" s="124" t="str">
        <f>IF($B289="","",IF(AV$3=0,"n.b.",INDEX(SRC_Woningetalage!$A$1:$ZZ$501,$A289,AV$3)))</f>
        <v/>
      </c>
      <c r="AW289" s="124" t="str">
        <f>IF($B289="","",IF(AW$3=0,"n.b.",INDEX(SRC_Woningetalage!$A$1:$ZZ$501,$A289,AW$3)))</f>
        <v/>
      </c>
      <c r="AX289" s="124" t="str">
        <f>IF($B289="","",IF(AX$3=0,"n.b.",INDEX(SRC_Woningetalage!$A$1:$ZZ$501,$A289,AX$3)))</f>
        <v/>
      </c>
      <c r="AY289" s="124" t="str">
        <f>IF($B289="","",IF(AY$3=0,"n.b.",INDEX(SRC_Woningetalage!$A$1:$ZZ$501,$A289,AY$3)))</f>
        <v/>
      </c>
      <c r="AZ289" s="124" t="str">
        <f>IF($B289="","",IF(AZ$3=0,"n.b.",INDEX(SRC_Woningetalage!$A$1:$ZZ$501,$A289,AZ$3)))</f>
        <v/>
      </c>
      <c r="BA289" s="124" t="str">
        <f>IF($B289="","",IF(BA$3=0,"n.b.",INDEX(SRC_Woningetalage!$A$1:$ZZ$501,$A289,BA$3)))</f>
        <v/>
      </c>
      <c r="BB289" s="124" t="str">
        <f>IF($B289="","",IF(BB$3=0,"n.b.",INDEX(SRC_Woningetalage!$A$1:$ZZ$501,$A289,BB$3)))</f>
        <v/>
      </c>
      <c r="BC289" s="124" t="str">
        <f>IF($B289="","",IFERROR(_xlfn.NUMBERVALUE(E289&amp;"",",","."),"n.b."))</f>
        <v/>
      </c>
      <c r="BD289" s="124" t="str">
        <f>IF($B289="","",IFERROR(_xlfn.NUMBERVALUE(M289&amp;"",",","."),"n.b."))</f>
        <v/>
      </c>
      <c r="BE289" s="124" t="str">
        <f>IF($B289="","",IFERROR(AB289+AC289+AD289,"n.b."))</f>
        <v/>
      </c>
      <c r="BF289" s="124" t="str">
        <f>IF($B289="","",IFERROR(AE289+AF289+AG289,"n.b."))</f>
        <v/>
      </c>
      <c r="BG289" s="124" t="str">
        <f>IF($B289="","",IFERROR(AH289+AI289+AJ289,"n.b."))</f>
        <v/>
      </c>
      <c r="BH289" s="124" t="str">
        <f>IF($B289="","",IFERROR(AK289+AL289+AM289,"n.b."))</f>
        <v/>
      </c>
      <c r="BI289" s="124" t="str">
        <f>IF($B289="","",IFERROR(SUMIF($AB$5:$AM$5,"&lt;="&amp;P_PeilMaand,AB289:AM289),"n.b."))</f>
        <v/>
      </c>
      <c r="BJ289" s="124" t="str">
        <f>IF($B289="","",IFERROR(SUM(AB289:AM289)-BI289,"n.b."))</f>
        <v/>
      </c>
      <c r="BK289" s="124" t="str">
        <f>IF($B289="","",IFERROR(IF(ABS(Q289-(T289+SUM(AB289:AM289)+AS289+AU289))&gt;P_Tol,1,0),1))</f>
        <v/>
      </c>
      <c r="BL289" s="124" t="str">
        <f>IF($B289="","",IFERROR(IF(ABS(AA289-(Q289-Z289))&gt;P_Tol,1,0),1))</f>
        <v/>
      </c>
      <c r="BM289" s="124" t="str">
        <f>IF($B289="","",IFERROR(IF(ABS(Z289-(T289+W289))&gt;P_Tol,1,0),1))</f>
        <v/>
      </c>
      <c r="BN289" s="124" t="str">
        <f>IF($B289="","",IFERROR(IF(ABS(W289-BI289)&gt;P_Tol,1,0),1))</f>
        <v/>
      </c>
      <c r="BO289" s="124" t="str">
        <f>IF($B289="","",IFERROR(IF(OR(ABS(R289+S289-T289)&gt;P_Tol,ABS(U289+V289-W289)&gt;P_Tol,ABS(X289+Y289-Z289)&gt;P_Tol),1,0),1))</f>
        <v/>
      </c>
      <c r="BP289" s="124" t="str">
        <f>IF($B289="","",IFERROR(IF(OR(ABS(AR289-SUM(AB289:AM289))&gt;P_Tol,ABS(AS289-(AN289+AO289+AP289+AQ289))&gt;P_Tol),1,0),1))</f>
        <v/>
      </c>
      <c r="BQ289" s="124" t="str">
        <f>IF($B289="","",IFERROR(IF(ABS(AT289)+ABS(AV289)+ABS(AW289)+ABS(AX289)+ABS(AY289)+ABS(AZ289)+ABS(BA289)+ABS(BB289)&gt;0,1,0),1))</f>
        <v/>
      </c>
      <c r="BR289" s="124" t="str">
        <f>IF($B289="","",COUNTIF(STG_ZPMW03!$B$6:$B$505,B289))</f>
        <v/>
      </c>
      <c r="BS289" s="124" t="str">
        <f>IF($B289="","",COUNTIF($B$6:$B$505,B289))</f>
        <v/>
      </c>
      <c r="BT289" s="124" t="str">
        <f>IF($B289="","",IF(BR289=0,0,IF(INDEX(STG_ZPMW03!$I$6:$I$505,MATCH(B289,STG_ZPMW03!$B$6:$B$505,0))=J289&amp;"",0,1)))</f>
        <v/>
      </c>
      <c r="BU289" s="124" t="str">
        <f>IF($B289="","",IFERROR(IF(ABS(INDEX(Mapping!$D$5:$D$104,MATCH(B289,Mapping!$A$5:$A$104,0))-Q289)&gt;P_Tol,1,0),0))</f>
        <v/>
      </c>
      <c r="BV289" s="124" t="str">
        <f>IF($B289="","",IFERROR(IF(AND(INDEX(Mapping!$G$5:$G$104,MATCH(B289,Mapping!$A$5:$A$104,0))="Nee",ABS(Q289)+ABS(Z289)+ABS(AR289)&gt;0),1,0),0))</f>
        <v/>
      </c>
      <c r="BW289" s="124" t="str">
        <f>IF($B289="","",IF(COUNTIF(Mapping!$A$5:$A$104,B289)&gt;0,1,0))</f>
        <v/>
      </c>
      <c r="BX289" s="124" t="str">
        <f>IF($B289="","",IF(BR289=0,COUNTIF($BR$6:BR289,0),""))</f>
        <v/>
      </c>
    </row>
    <row r="290">
      <c r="A290" s="15" t="n">
        <v>286</v>
      </c>
      <c r="B290" t="str">
        <f>IF(B$3=0,"",IF(INDEX(SRC_Woningetalage!$A$1:$ZZ$501,$A290,B$3)&amp;""="","",INDEX(SRC_Woningetalage!$A$1:$ZZ$501,$A290,B$3)&amp;""))</f>
        <v/>
      </c>
      <c r="C290" t="str">
        <f>IF($B290="","",IF(C$3=0,"n.b.",INDEX(SRC_Woningetalage!$A$1:$ZZ$501,$A290,C$3)))</f>
        <v/>
      </c>
      <c r="D290" t="str">
        <f>IF($B290="","",IF(D$3=0,"n.b.",INDEX(SRC_Woningetalage!$A$1:$ZZ$501,$A290,D$3)))</f>
        <v/>
      </c>
      <c r="E290" t="str">
        <f>IF($B290="","",IF(E$3=0,"n.b.",INDEX(SRC_Woningetalage!$A$1:$ZZ$501,$A290,E$3)))</f>
        <v/>
      </c>
      <c r="F290" t="str">
        <f>IF($B290="","",IF(F$3=0,"n.b.",INDEX(SRC_Woningetalage!$A$1:$ZZ$501,$A290,F$3)))</f>
        <v/>
      </c>
      <c r="G290" t="str">
        <f>IF($B290="","",IF(G$3=0,"n.b.",INDEX(SRC_Woningetalage!$A$1:$ZZ$501,$A290,G$3)))</f>
        <v/>
      </c>
      <c r="H290" t="str">
        <f>IF($B290="","",IF(H$3=0,"n.b.",INDEX(SRC_Woningetalage!$A$1:$ZZ$501,$A290,H$3)))</f>
        <v/>
      </c>
      <c r="I290" t="str">
        <f>IF($B290="","",IF(I$3=0,"n.b.",INDEX(SRC_Woningetalage!$A$1:$ZZ$501,$A290,I$3)))</f>
        <v/>
      </c>
      <c r="J290" t="str">
        <f>IF($B290="","",IF(J$3=0,"n.b.",INDEX(SRC_Woningetalage!$A$1:$ZZ$501,$A290,J$3)))</f>
        <v/>
      </c>
      <c r="K290" t="str">
        <f>IF($B290="","",IF(K$3=0,"n.b.",INDEX(SRC_Woningetalage!$A$1:$ZZ$501,$A290,K$3)))</f>
        <v/>
      </c>
      <c r="L290" t="str">
        <f>IF($B290="","",IF(L$3=0,"n.b.",INDEX(SRC_Woningetalage!$A$1:$ZZ$501,$A290,L$3)))</f>
        <v/>
      </c>
      <c r="M290" t="str">
        <f>IF($B290="","",IF(M$3=0,"n.b.",INDEX(SRC_Woningetalage!$A$1:$ZZ$501,$A290,M$3)))</f>
        <v/>
      </c>
      <c r="N290" t="str">
        <f>IF($B290="","",IF(N$3=0,"n.b.",INDEX(SRC_Woningetalage!$A$1:$ZZ$501,$A290,N$3)))</f>
        <v/>
      </c>
      <c r="O290" t="str">
        <f>IF($B290="","",IF(O$3=0,"n.b.",INDEX(SRC_Woningetalage!$A$1:$ZZ$501,$A290,O$3)))</f>
        <v/>
      </c>
      <c r="P290" t="str">
        <f>IF($B290="","",IF(P$3=0,"n.b.",INDEX(SRC_Woningetalage!$A$1:$ZZ$501,$A290,P$3)))</f>
        <v/>
      </c>
      <c r="Q290" s="124" t="str">
        <f>IF($B290="","",IF(Q$3=0,"n.b.",INDEX(SRC_Woningetalage!$A$1:$ZZ$501,$A290,Q$3)))</f>
        <v/>
      </c>
      <c r="R290" s="124" t="str">
        <f>IF($B290="","",IF(R$3=0,"n.b.",INDEX(SRC_Woningetalage!$A$1:$ZZ$501,$A290,R$3)))</f>
        <v/>
      </c>
      <c r="S290" s="124" t="str">
        <f>IF($B290="","",IF(S$3=0,"n.b.",INDEX(SRC_Woningetalage!$A$1:$ZZ$501,$A290,S$3)))</f>
        <v/>
      </c>
      <c r="T290" s="124" t="str">
        <f>IF($B290="","",IF(T$3=0,"n.b.",INDEX(SRC_Woningetalage!$A$1:$ZZ$501,$A290,T$3)))</f>
        <v/>
      </c>
      <c r="U290" s="124" t="str">
        <f>IF($B290="","",IF(U$3=0,"n.b.",INDEX(SRC_Woningetalage!$A$1:$ZZ$501,$A290,U$3)))</f>
        <v/>
      </c>
      <c r="V290" s="124" t="str">
        <f>IF($B290="","",IF(V$3=0,"n.b.",INDEX(SRC_Woningetalage!$A$1:$ZZ$501,$A290,V$3)))</f>
        <v/>
      </c>
      <c r="W290" s="124" t="str">
        <f>IF($B290="","",IF(W$3=0,"n.b.",INDEX(SRC_Woningetalage!$A$1:$ZZ$501,$A290,W$3)))</f>
        <v/>
      </c>
      <c r="X290" s="124" t="str">
        <f>IF($B290="","",IF(X$3=0,"n.b.",INDEX(SRC_Woningetalage!$A$1:$ZZ$501,$A290,X$3)))</f>
        <v/>
      </c>
      <c r="Y290" s="124" t="str">
        <f>IF($B290="","",IF(Y$3=0,"n.b.",INDEX(SRC_Woningetalage!$A$1:$ZZ$501,$A290,Y$3)))</f>
        <v/>
      </c>
      <c r="Z290" s="124" t="str">
        <f>IF($B290="","",IF(Z$3=0,"n.b.",INDEX(SRC_Woningetalage!$A$1:$ZZ$501,$A290,Z$3)))</f>
        <v/>
      </c>
      <c r="AA290" s="124" t="str">
        <f>IF($B290="","",IF(AA$3=0,"n.b.",INDEX(SRC_Woningetalage!$A$1:$ZZ$501,$A290,AA$3)))</f>
        <v/>
      </c>
      <c r="AB290" s="124" t="str">
        <f>IF($B290="","",IF(AB$3=0,"n.b.",INDEX(SRC_Woningetalage!$A$1:$ZZ$501,$A290,AB$3)))</f>
        <v/>
      </c>
      <c r="AC290" s="124" t="str">
        <f>IF($B290="","",IF(AC$3=0,"n.b.",INDEX(SRC_Woningetalage!$A$1:$ZZ$501,$A290,AC$3)))</f>
        <v/>
      </c>
      <c r="AD290" s="124" t="str">
        <f>IF($B290="","",IF(AD$3=0,"n.b.",INDEX(SRC_Woningetalage!$A$1:$ZZ$501,$A290,AD$3)))</f>
        <v/>
      </c>
      <c r="AE290" s="124" t="str">
        <f>IF($B290="","",IF(AE$3=0,"n.b.",INDEX(SRC_Woningetalage!$A$1:$ZZ$501,$A290,AE$3)))</f>
        <v/>
      </c>
      <c r="AF290" s="124" t="str">
        <f>IF($B290="","",IF(AF$3=0,"n.b.",INDEX(SRC_Woningetalage!$A$1:$ZZ$501,$A290,AF$3)))</f>
        <v/>
      </c>
      <c r="AG290" s="124" t="str">
        <f>IF($B290="","",IF(AG$3=0,"n.b.",INDEX(SRC_Woningetalage!$A$1:$ZZ$501,$A290,AG$3)))</f>
        <v/>
      </c>
      <c r="AH290" s="124" t="str">
        <f>IF($B290="","",IF(AH$3=0,"n.b.",INDEX(SRC_Woningetalage!$A$1:$ZZ$501,$A290,AH$3)))</f>
        <v/>
      </c>
      <c r="AI290" s="124" t="str">
        <f>IF($B290="","",IF(AI$3=0,"n.b.",INDEX(SRC_Woningetalage!$A$1:$ZZ$501,$A290,AI$3)))</f>
        <v/>
      </c>
      <c r="AJ290" s="124" t="str">
        <f>IF($B290="","",IF(AJ$3=0,"n.b.",INDEX(SRC_Woningetalage!$A$1:$ZZ$501,$A290,AJ$3)))</f>
        <v/>
      </c>
      <c r="AK290" s="124" t="str">
        <f>IF($B290="","",IF(AK$3=0,"n.b.",INDEX(SRC_Woningetalage!$A$1:$ZZ$501,$A290,AK$3)))</f>
        <v/>
      </c>
      <c r="AL290" s="124" t="str">
        <f>IF($B290="","",IF(AL$3=0,"n.b.",INDEX(SRC_Woningetalage!$A$1:$ZZ$501,$A290,AL$3)))</f>
        <v/>
      </c>
      <c r="AM290" s="124" t="str">
        <f>IF($B290="","",IF(AM$3=0,"n.b.",INDEX(SRC_Woningetalage!$A$1:$ZZ$501,$A290,AM$3)))</f>
        <v/>
      </c>
      <c r="AN290" s="124" t="str">
        <f>IF($B290="","",IF(AN$3=0,"n.b.",INDEX(SRC_Woningetalage!$A$1:$ZZ$501,$A290,AN$3)))</f>
        <v/>
      </c>
      <c r="AO290" s="124" t="str">
        <f>IF($B290="","",IF(AO$3=0,"n.b.",INDEX(SRC_Woningetalage!$A$1:$ZZ$501,$A290,AO$3)))</f>
        <v/>
      </c>
      <c r="AP290" s="124" t="str">
        <f>IF($B290="","",IF(AP$3=0,"n.b.",INDEX(SRC_Woningetalage!$A$1:$ZZ$501,$A290,AP$3)))</f>
        <v/>
      </c>
      <c r="AQ290" s="124" t="str">
        <f>IF($B290="","",IF(AQ$3=0,"n.b.",INDEX(SRC_Woningetalage!$A$1:$ZZ$501,$A290,AQ$3)))</f>
        <v/>
      </c>
      <c r="AR290" s="124" t="str">
        <f>IF($B290="","",IF(AR$3=0,"n.b.",INDEX(SRC_Woningetalage!$A$1:$ZZ$501,$A290,AR$3)))</f>
        <v/>
      </c>
      <c r="AS290" s="124" t="str">
        <f>IF($B290="","",IF(AS$3=0,"n.b.",INDEX(SRC_Woningetalage!$A$1:$ZZ$501,$A290,AS$3)))</f>
        <v/>
      </c>
      <c r="AT290" s="124" t="str">
        <f>IF($B290="","",IF(AT$3=0,"n.b.",INDEX(SRC_Woningetalage!$A$1:$ZZ$501,$A290,AT$3)))</f>
        <v/>
      </c>
      <c r="AU290" s="124" t="str">
        <f>IF($B290="","",IF(AU$3=0,"n.b.",INDEX(SRC_Woningetalage!$A$1:$ZZ$501,$A290,AU$3)))</f>
        <v/>
      </c>
      <c r="AV290" s="124" t="str">
        <f>IF($B290="","",IF(AV$3=0,"n.b.",INDEX(SRC_Woningetalage!$A$1:$ZZ$501,$A290,AV$3)))</f>
        <v/>
      </c>
      <c r="AW290" s="124" t="str">
        <f>IF($B290="","",IF(AW$3=0,"n.b.",INDEX(SRC_Woningetalage!$A$1:$ZZ$501,$A290,AW$3)))</f>
        <v/>
      </c>
      <c r="AX290" s="124" t="str">
        <f>IF($B290="","",IF(AX$3=0,"n.b.",INDEX(SRC_Woningetalage!$A$1:$ZZ$501,$A290,AX$3)))</f>
        <v/>
      </c>
      <c r="AY290" s="124" t="str">
        <f>IF($B290="","",IF(AY$3=0,"n.b.",INDEX(SRC_Woningetalage!$A$1:$ZZ$501,$A290,AY$3)))</f>
        <v/>
      </c>
      <c r="AZ290" s="124" t="str">
        <f>IF($B290="","",IF(AZ$3=0,"n.b.",INDEX(SRC_Woningetalage!$A$1:$ZZ$501,$A290,AZ$3)))</f>
        <v/>
      </c>
      <c r="BA290" s="124" t="str">
        <f>IF($B290="","",IF(BA$3=0,"n.b.",INDEX(SRC_Woningetalage!$A$1:$ZZ$501,$A290,BA$3)))</f>
        <v/>
      </c>
      <c r="BB290" s="124" t="str">
        <f>IF($B290="","",IF(BB$3=0,"n.b.",INDEX(SRC_Woningetalage!$A$1:$ZZ$501,$A290,BB$3)))</f>
        <v/>
      </c>
      <c r="BC290" s="124" t="str">
        <f>IF($B290="","",IFERROR(_xlfn.NUMBERVALUE(E290&amp;"",",","."),"n.b."))</f>
        <v/>
      </c>
      <c r="BD290" s="124" t="str">
        <f>IF($B290="","",IFERROR(_xlfn.NUMBERVALUE(M290&amp;"",",","."),"n.b."))</f>
        <v/>
      </c>
      <c r="BE290" s="124" t="str">
        <f>IF($B290="","",IFERROR(AB290+AC290+AD290,"n.b."))</f>
        <v/>
      </c>
      <c r="BF290" s="124" t="str">
        <f>IF($B290="","",IFERROR(AE290+AF290+AG290,"n.b."))</f>
        <v/>
      </c>
      <c r="BG290" s="124" t="str">
        <f>IF($B290="","",IFERROR(AH290+AI290+AJ290,"n.b."))</f>
        <v/>
      </c>
      <c r="BH290" s="124" t="str">
        <f>IF($B290="","",IFERROR(AK290+AL290+AM290,"n.b."))</f>
        <v/>
      </c>
      <c r="BI290" s="124" t="str">
        <f>IF($B290="","",IFERROR(SUMIF($AB$5:$AM$5,"&lt;="&amp;P_PeilMaand,AB290:AM290),"n.b."))</f>
        <v/>
      </c>
      <c r="BJ290" s="124" t="str">
        <f>IF($B290="","",IFERROR(SUM(AB290:AM290)-BI290,"n.b."))</f>
        <v/>
      </c>
      <c r="BK290" s="124" t="str">
        <f>IF($B290="","",IFERROR(IF(ABS(Q290-(T290+SUM(AB290:AM290)+AS290+AU290))&gt;P_Tol,1,0),1))</f>
        <v/>
      </c>
      <c r="BL290" s="124" t="str">
        <f>IF($B290="","",IFERROR(IF(ABS(AA290-(Q290-Z290))&gt;P_Tol,1,0),1))</f>
        <v/>
      </c>
      <c r="BM290" s="124" t="str">
        <f>IF($B290="","",IFERROR(IF(ABS(Z290-(T290+W290))&gt;P_Tol,1,0),1))</f>
        <v/>
      </c>
      <c r="BN290" s="124" t="str">
        <f>IF($B290="","",IFERROR(IF(ABS(W290-BI290)&gt;P_Tol,1,0),1))</f>
        <v/>
      </c>
      <c r="BO290" s="124" t="str">
        <f>IF($B290="","",IFERROR(IF(OR(ABS(R290+S290-T290)&gt;P_Tol,ABS(U290+V290-W290)&gt;P_Tol,ABS(X290+Y290-Z290)&gt;P_Tol),1,0),1))</f>
        <v/>
      </c>
      <c r="BP290" s="124" t="str">
        <f>IF($B290="","",IFERROR(IF(OR(ABS(AR290-SUM(AB290:AM290))&gt;P_Tol,ABS(AS290-(AN290+AO290+AP290+AQ290))&gt;P_Tol),1,0),1))</f>
        <v/>
      </c>
      <c r="BQ290" s="124" t="str">
        <f>IF($B290="","",IFERROR(IF(ABS(AT290)+ABS(AV290)+ABS(AW290)+ABS(AX290)+ABS(AY290)+ABS(AZ290)+ABS(BA290)+ABS(BB290)&gt;0,1,0),1))</f>
        <v/>
      </c>
      <c r="BR290" s="124" t="str">
        <f>IF($B290="","",COUNTIF(STG_ZPMW03!$B$6:$B$505,B290))</f>
        <v/>
      </c>
      <c r="BS290" s="124" t="str">
        <f>IF($B290="","",COUNTIF($B$6:$B$505,B290))</f>
        <v/>
      </c>
      <c r="BT290" s="124" t="str">
        <f>IF($B290="","",IF(BR290=0,0,IF(INDEX(STG_ZPMW03!$I$6:$I$505,MATCH(B290,STG_ZPMW03!$B$6:$B$505,0))=J290&amp;"",0,1)))</f>
        <v/>
      </c>
      <c r="BU290" s="124" t="str">
        <f>IF($B290="","",IFERROR(IF(ABS(INDEX(Mapping!$D$5:$D$104,MATCH(B290,Mapping!$A$5:$A$104,0))-Q290)&gt;P_Tol,1,0),0))</f>
        <v/>
      </c>
      <c r="BV290" s="124" t="str">
        <f>IF($B290="","",IFERROR(IF(AND(INDEX(Mapping!$G$5:$G$104,MATCH(B290,Mapping!$A$5:$A$104,0))="Nee",ABS(Q290)+ABS(Z290)+ABS(AR290)&gt;0),1,0),0))</f>
        <v/>
      </c>
      <c r="BW290" s="124" t="str">
        <f>IF($B290="","",IF(COUNTIF(Mapping!$A$5:$A$104,B290)&gt;0,1,0))</f>
        <v/>
      </c>
      <c r="BX290" s="124" t="str">
        <f>IF($B290="","",IF(BR290=0,COUNTIF($BR$6:BR290,0),""))</f>
        <v/>
      </c>
    </row>
    <row r="291">
      <c r="A291" s="15" t="n">
        <v>287</v>
      </c>
      <c r="B291" t="str">
        <f>IF(B$3=0,"",IF(INDEX(SRC_Woningetalage!$A$1:$ZZ$501,$A291,B$3)&amp;""="","",INDEX(SRC_Woningetalage!$A$1:$ZZ$501,$A291,B$3)&amp;""))</f>
        <v/>
      </c>
      <c r="C291" t="str">
        <f>IF($B291="","",IF(C$3=0,"n.b.",INDEX(SRC_Woningetalage!$A$1:$ZZ$501,$A291,C$3)))</f>
        <v/>
      </c>
      <c r="D291" t="str">
        <f>IF($B291="","",IF(D$3=0,"n.b.",INDEX(SRC_Woningetalage!$A$1:$ZZ$501,$A291,D$3)))</f>
        <v/>
      </c>
      <c r="E291" t="str">
        <f>IF($B291="","",IF(E$3=0,"n.b.",INDEX(SRC_Woningetalage!$A$1:$ZZ$501,$A291,E$3)))</f>
        <v/>
      </c>
      <c r="F291" t="str">
        <f>IF($B291="","",IF(F$3=0,"n.b.",INDEX(SRC_Woningetalage!$A$1:$ZZ$501,$A291,F$3)))</f>
        <v/>
      </c>
      <c r="G291" t="str">
        <f>IF($B291="","",IF(G$3=0,"n.b.",INDEX(SRC_Woningetalage!$A$1:$ZZ$501,$A291,G$3)))</f>
        <v/>
      </c>
      <c r="H291" t="str">
        <f>IF($B291="","",IF(H$3=0,"n.b.",INDEX(SRC_Woningetalage!$A$1:$ZZ$501,$A291,H$3)))</f>
        <v/>
      </c>
      <c r="I291" t="str">
        <f>IF($B291="","",IF(I$3=0,"n.b.",INDEX(SRC_Woningetalage!$A$1:$ZZ$501,$A291,I$3)))</f>
        <v/>
      </c>
      <c r="J291" t="str">
        <f>IF($B291="","",IF(J$3=0,"n.b.",INDEX(SRC_Woningetalage!$A$1:$ZZ$501,$A291,J$3)))</f>
        <v/>
      </c>
      <c r="K291" t="str">
        <f>IF($B291="","",IF(K$3=0,"n.b.",INDEX(SRC_Woningetalage!$A$1:$ZZ$501,$A291,K$3)))</f>
        <v/>
      </c>
      <c r="L291" t="str">
        <f>IF($B291="","",IF(L$3=0,"n.b.",INDEX(SRC_Woningetalage!$A$1:$ZZ$501,$A291,L$3)))</f>
        <v/>
      </c>
      <c r="M291" t="str">
        <f>IF($B291="","",IF(M$3=0,"n.b.",INDEX(SRC_Woningetalage!$A$1:$ZZ$501,$A291,M$3)))</f>
        <v/>
      </c>
      <c r="N291" t="str">
        <f>IF($B291="","",IF(N$3=0,"n.b.",INDEX(SRC_Woningetalage!$A$1:$ZZ$501,$A291,N$3)))</f>
        <v/>
      </c>
      <c r="O291" t="str">
        <f>IF($B291="","",IF(O$3=0,"n.b.",INDEX(SRC_Woningetalage!$A$1:$ZZ$501,$A291,O$3)))</f>
        <v/>
      </c>
      <c r="P291" t="str">
        <f>IF($B291="","",IF(P$3=0,"n.b.",INDEX(SRC_Woningetalage!$A$1:$ZZ$501,$A291,P$3)))</f>
        <v/>
      </c>
      <c r="Q291" s="124" t="str">
        <f>IF($B291="","",IF(Q$3=0,"n.b.",INDEX(SRC_Woningetalage!$A$1:$ZZ$501,$A291,Q$3)))</f>
        <v/>
      </c>
      <c r="R291" s="124" t="str">
        <f>IF($B291="","",IF(R$3=0,"n.b.",INDEX(SRC_Woningetalage!$A$1:$ZZ$501,$A291,R$3)))</f>
        <v/>
      </c>
      <c r="S291" s="124" t="str">
        <f>IF($B291="","",IF(S$3=0,"n.b.",INDEX(SRC_Woningetalage!$A$1:$ZZ$501,$A291,S$3)))</f>
        <v/>
      </c>
      <c r="T291" s="124" t="str">
        <f>IF($B291="","",IF(T$3=0,"n.b.",INDEX(SRC_Woningetalage!$A$1:$ZZ$501,$A291,T$3)))</f>
        <v/>
      </c>
      <c r="U291" s="124" t="str">
        <f>IF($B291="","",IF(U$3=0,"n.b.",INDEX(SRC_Woningetalage!$A$1:$ZZ$501,$A291,U$3)))</f>
        <v/>
      </c>
      <c r="V291" s="124" t="str">
        <f>IF($B291="","",IF(V$3=0,"n.b.",INDEX(SRC_Woningetalage!$A$1:$ZZ$501,$A291,V$3)))</f>
        <v/>
      </c>
      <c r="W291" s="124" t="str">
        <f>IF($B291="","",IF(W$3=0,"n.b.",INDEX(SRC_Woningetalage!$A$1:$ZZ$501,$A291,W$3)))</f>
        <v/>
      </c>
      <c r="X291" s="124" t="str">
        <f>IF($B291="","",IF(X$3=0,"n.b.",INDEX(SRC_Woningetalage!$A$1:$ZZ$501,$A291,X$3)))</f>
        <v/>
      </c>
      <c r="Y291" s="124" t="str">
        <f>IF($B291="","",IF(Y$3=0,"n.b.",INDEX(SRC_Woningetalage!$A$1:$ZZ$501,$A291,Y$3)))</f>
        <v/>
      </c>
      <c r="Z291" s="124" t="str">
        <f>IF($B291="","",IF(Z$3=0,"n.b.",INDEX(SRC_Woningetalage!$A$1:$ZZ$501,$A291,Z$3)))</f>
        <v/>
      </c>
      <c r="AA291" s="124" t="str">
        <f>IF($B291="","",IF(AA$3=0,"n.b.",INDEX(SRC_Woningetalage!$A$1:$ZZ$501,$A291,AA$3)))</f>
        <v/>
      </c>
      <c r="AB291" s="124" t="str">
        <f>IF($B291="","",IF(AB$3=0,"n.b.",INDEX(SRC_Woningetalage!$A$1:$ZZ$501,$A291,AB$3)))</f>
        <v/>
      </c>
      <c r="AC291" s="124" t="str">
        <f>IF($B291="","",IF(AC$3=0,"n.b.",INDEX(SRC_Woningetalage!$A$1:$ZZ$501,$A291,AC$3)))</f>
        <v/>
      </c>
      <c r="AD291" s="124" t="str">
        <f>IF($B291="","",IF(AD$3=0,"n.b.",INDEX(SRC_Woningetalage!$A$1:$ZZ$501,$A291,AD$3)))</f>
        <v/>
      </c>
      <c r="AE291" s="124" t="str">
        <f>IF($B291="","",IF(AE$3=0,"n.b.",INDEX(SRC_Woningetalage!$A$1:$ZZ$501,$A291,AE$3)))</f>
        <v/>
      </c>
      <c r="AF291" s="124" t="str">
        <f>IF($B291="","",IF(AF$3=0,"n.b.",INDEX(SRC_Woningetalage!$A$1:$ZZ$501,$A291,AF$3)))</f>
        <v/>
      </c>
      <c r="AG291" s="124" t="str">
        <f>IF($B291="","",IF(AG$3=0,"n.b.",INDEX(SRC_Woningetalage!$A$1:$ZZ$501,$A291,AG$3)))</f>
        <v/>
      </c>
      <c r="AH291" s="124" t="str">
        <f>IF($B291="","",IF(AH$3=0,"n.b.",INDEX(SRC_Woningetalage!$A$1:$ZZ$501,$A291,AH$3)))</f>
        <v/>
      </c>
      <c r="AI291" s="124" t="str">
        <f>IF($B291="","",IF(AI$3=0,"n.b.",INDEX(SRC_Woningetalage!$A$1:$ZZ$501,$A291,AI$3)))</f>
        <v/>
      </c>
      <c r="AJ291" s="124" t="str">
        <f>IF($B291="","",IF(AJ$3=0,"n.b.",INDEX(SRC_Woningetalage!$A$1:$ZZ$501,$A291,AJ$3)))</f>
        <v/>
      </c>
      <c r="AK291" s="124" t="str">
        <f>IF($B291="","",IF(AK$3=0,"n.b.",INDEX(SRC_Woningetalage!$A$1:$ZZ$501,$A291,AK$3)))</f>
        <v/>
      </c>
      <c r="AL291" s="124" t="str">
        <f>IF($B291="","",IF(AL$3=0,"n.b.",INDEX(SRC_Woningetalage!$A$1:$ZZ$501,$A291,AL$3)))</f>
        <v/>
      </c>
      <c r="AM291" s="124" t="str">
        <f>IF($B291="","",IF(AM$3=0,"n.b.",INDEX(SRC_Woningetalage!$A$1:$ZZ$501,$A291,AM$3)))</f>
        <v/>
      </c>
      <c r="AN291" s="124" t="str">
        <f>IF($B291="","",IF(AN$3=0,"n.b.",INDEX(SRC_Woningetalage!$A$1:$ZZ$501,$A291,AN$3)))</f>
        <v/>
      </c>
      <c r="AO291" s="124" t="str">
        <f>IF($B291="","",IF(AO$3=0,"n.b.",INDEX(SRC_Woningetalage!$A$1:$ZZ$501,$A291,AO$3)))</f>
        <v/>
      </c>
      <c r="AP291" s="124" t="str">
        <f>IF($B291="","",IF(AP$3=0,"n.b.",INDEX(SRC_Woningetalage!$A$1:$ZZ$501,$A291,AP$3)))</f>
        <v/>
      </c>
      <c r="AQ291" s="124" t="str">
        <f>IF($B291="","",IF(AQ$3=0,"n.b.",INDEX(SRC_Woningetalage!$A$1:$ZZ$501,$A291,AQ$3)))</f>
        <v/>
      </c>
      <c r="AR291" s="124" t="str">
        <f>IF($B291="","",IF(AR$3=0,"n.b.",INDEX(SRC_Woningetalage!$A$1:$ZZ$501,$A291,AR$3)))</f>
        <v/>
      </c>
      <c r="AS291" s="124" t="str">
        <f>IF($B291="","",IF(AS$3=0,"n.b.",INDEX(SRC_Woningetalage!$A$1:$ZZ$501,$A291,AS$3)))</f>
        <v/>
      </c>
      <c r="AT291" s="124" t="str">
        <f>IF($B291="","",IF(AT$3=0,"n.b.",INDEX(SRC_Woningetalage!$A$1:$ZZ$501,$A291,AT$3)))</f>
        <v/>
      </c>
      <c r="AU291" s="124" t="str">
        <f>IF($B291="","",IF(AU$3=0,"n.b.",INDEX(SRC_Woningetalage!$A$1:$ZZ$501,$A291,AU$3)))</f>
        <v/>
      </c>
      <c r="AV291" s="124" t="str">
        <f>IF($B291="","",IF(AV$3=0,"n.b.",INDEX(SRC_Woningetalage!$A$1:$ZZ$501,$A291,AV$3)))</f>
        <v/>
      </c>
      <c r="AW291" s="124" t="str">
        <f>IF($B291="","",IF(AW$3=0,"n.b.",INDEX(SRC_Woningetalage!$A$1:$ZZ$501,$A291,AW$3)))</f>
        <v/>
      </c>
      <c r="AX291" s="124" t="str">
        <f>IF($B291="","",IF(AX$3=0,"n.b.",INDEX(SRC_Woningetalage!$A$1:$ZZ$501,$A291,AX$3)))</f>
        <v/>
      </c>
      <c r="AY291" s="124" t="str">
        <f>IF($B291="","",IF(AY$3=0,"n.b.",INDEX(SRC_Woningetalage!$A$1:$ZZ$501,$A291,AY$3)))</f>
        <v/>
      </c>
      <c r="AZ291" s="124" t="str">
        <f>IF($B291="","",IF(AZ$3=0,"n.b.",INDEX(SRC_Woningetalage!$A$1:$ZZ$501,$A291,AZ$3)))</f>
        <v/>
      </c>
      <c r="BA291" s="124" t="str">
        <f>IF($B291="","",IF(BA$3=0,"n.b.",INDEX(SRC_Woningetalage!$A$1:$ZZ$501,$A291,BA$3)))</f>
        <v/>
      </c>
      <c r="BB291" s="124" t="str">
        <f>IF($B291="","",IF(BB$3=0,"n.b.",INDEX(SRC_Woningetalage!$A$1:$ZZ$501,$A291,BB$3)))</f>
        <v/>
      </c>
      <c r="BC291" s="124" t="str">
        <f>IF($B291="","",IFERROR(_xlfn.NUMBERVALUE(E291&amp;"",",","."),"n.b."))</f>
        <v/>
      </c>
      <c r="BD291" s="124" t="str">
        <f>IF($B291="","",IFERROR(_xlfn.NUMBERVALUE(M291&amp;"",",","."),"n.b."))</f>
        <v/>
      </c>
      <c r="BE291" s="124" t="str">
        <f>IF($B291="","",IFERROR(AB291+AC291+AD291,"n.b."))</f>
        <v/>
      </c>
      <c r="BF291" s="124" t="str">
        <f>IF($B291="","",IFERROR(AE291+AF291+AG291,"n.b."))</f>
        <v/>
      </c>
      <c r="BG291" s="124" t="str">
        <f>IF($B291="","",IFERROR(AH291+AI291+AJ291,"n.b."))</f>
        <v/>
      </c>
      <c r="BH291" s="124" t="str">
        <f>IF($B291="","",IFERROR(AK291+AL291+AM291,"n.b."))</f>
        <v/>
      </c>
      <c r="BI291" s="124" t="str">
        <f>IF($B291="","",IFERROR(SUMIF($AB$5:$AM$5,"&lt;="&amp;P_PeilMaand,AB291:AM291),"n.b."))</f>
        <v/>
      </c>
      <c r="BJ291" s="124" t="str">
        <f>IF($B291="","",IFERROR(SUM(AB291:AM291)-BI291,"n.b."))</f>
        <v/>
      </c>
      <c r="BK291" s="124" t="str">
        <f>IF($B291="","",IFERROR(IF(ABS(Q291-(T291+SUM(AB291:AM291)+AS291+AU291))&gt;P_Tol,1,0),1))</f>
        <v/>
      </c>
      <c r="BL291" s="124" t="str">
        <f>IF($B291="","",IFERROR(IF(ABS(AA291-(Q291-Z291))&gt;P_Tol,1,0),1))</f>
        <v/>
      </c>
      <c r="BM291" s="124" t="str">
        <f>IF($B291="","",IFERROR(IF(ABS(Z291-(T291+W291))&gt;P_Tol,1,0),1))</f>
        <v/>
      </c>
      <c r="BN291" s="124" t="str">
        <f>IF($B291="","",IFERROR(IF(ABS(W291-BI291)&gt;P_Tol,1,0),1))</f>
        <v/>
      </c>
      <c r="BO291" s="124" t="str">
        <f>IF($B291="","",IFERROR(IF(OR(ABS(R291+S291-T291)&gt;P_Tol,ABS(U291+V291-W291)&gt;P_Tol,ABS(X291+Y291-Z291)&gt;P_Tol),1,0),1))</f>
        <v/>
      </c>
      <c r="BP291" s="124" t="str">
        <f>IF($B291="","",IFERROR(IF(OR(ABS(AR291-SUM(AB291:AM291))&gt;P_Tol,ABS(AS291-(AN291+AO291+AP291+AQ291))&gt;P_Tol),1,0),1))</f>
        <v/>
      </c>
      <c r="BQ291" s="124" t="str">
        <f>IF($B291="","",IFERROR(IF(ABS(AT291)+ABS(AV291)+ABS(AW291)+ABS(AX291)+ABS(AY291)+ABS(AZ291)+ABS(BA291)+ABS(BB291)&gt;0,1,0),1))</f>
        <v/>
      </c>
      <c r="BR291" s="124" t="str">
        <f>IF($B291="","",COUNTIF(STG_ZPMW03!$B$6:$B$505,B291))</f>
        <v/>
      </c>
      <c r="BS291" s="124" t="str">
        <f>IF($B291="","",COUNTIF($B$6:$B$505,B291))</f>
        <v/>
      </c>
      <c r="BT291" s="124" t="str">
        <f>IF($B291="","",IF(BR291=0,0,IF(INDEX(STG_ZPMW03!$I$6:$I$505,MATCH(B291,STG_ZPMW03!$B$6:$B$505,0))=J291&amp;"",0,1)))</f>
        <v/>
      </c>
      <c r="BU291" s="124" t="str">
        <f>IF($B291="","",IFERROR(IF(ABS(INDEX(Mapping!$D$5:$D$104,MATCH(B291,Mapping!$A$5:$A$104,0))-Q291)&gt;P_Tol,1,0),0))</f>
        <v/>
      </c>
      <c r="BV291" s="124" t="str">
        <f>IF($B291="","",IFERROR(IF(AND(INDEX(Mapping!$G$5:$G$104,MATCH(B291,Mapping!$A$5:$A$104,0))="Nee",ABS(Q291)+ABS(Z291)+ABS(AR291)&gt;0),1,0),0))</f>
        <v/>
      </c>
      <c r="BW291" s="124" t="str">
        <f>IF($B291="","",IF(COUNTIF(Mapping!$A$5:$A$104,B291)&gt;0,1,0))</f>
        <v/>
      </c>
      <c r="BX291" s="124" t="str">
        <f>IF($B291="","",IF(BR291=0,COUNTIF($BR$6:BR291,0),""))</f>
        <v/>
      </c>
    </row>
    <row r="292">
      <c r="A292" s="15" t="n">
        <v>288</v>
      </c>
      <c r="B292" t="str">
        <f>IF(B$3=0,"",IF(INDEX(SRC_Woningetalage!$A$1:$ZZ$501,$A292,B$3)&amp;""="","",INDEX(SRC_Woningetalage!$A$1:$ZZ$501,$A292,B$3)&amp;""))</f>
        <v/>
      </c>
      <c r="C292" t="str">
        <f>IF($B292="","",IF(C$3=0,"n.b.",INDEX(SRC_Woningetalage!$A$1:$ZZ$501,$A292,C$3)))</f>
        <v/>
      </c>
      <c r="D292" t="str">
        <f>IF($B292="","",IF(D$3=0,"n.b.",INDEX(SRC_Woningetalage!$A$1:$ZZ$501,$A292,D$3)))</f>
        <v/>
      </c>
      <c r="E292" t="str">
        <f>IF($B292="","",IF(E$3=0,"n.b.",INDEX(SRC_Woningetalage!$A$1:$ZZ$501,$A292,E$3)))</f>
        <v/>
      </c>
      <c r="F292" t="str">
        <f>IF($B292="","",IF(F$3=0,"n.b.",INDEX(SRC_Woningetalage!$A$1:$ZZ$501,$A292,F$3)))</f>
        <v/>
      </c>
      <c r="G292" t="str">
        <f>IF($B292="","",IF(G$3=0,"n.b.",INDEX(SRC_Woningetalage!$A$1:$ZZ$501,$A292,G$3)))</f>
        <v/>
      </c>
      <c r="H292" t="str">
        <f>IF($B292="","",IF(H$3=0,"n.b.",INDEX(SRC_Woningetalage!$A$1:$ZZ$501,$A292,H$3)))</f>
        <v/>
      </c>
      <c r="I292" t="str">
        <f>IF($B292="","",IF(I$3=0,"n.b.",INDEX(SRC_Woningetalage!$A$1:$ZZ$501,$A292,I$3)))</f>
        <v/>
      </c>
      <c r="J292" t="str">
        <f>IF($B292="","",IF(J$3=0,"n.b.",INDEX(SRC_Woningetalage!$A$1:$ZZ$501,$A292,J$3)))</f>
        <v/>
      </c>
      <c r="K292" t="str">
        <f>IF($B292="","",IF(K$3=0,"n.b.",INDEX(SRC_Woningetalage!$A$1:$ZZ$501,$A292,K$3)))</f>
        <v/>
      </c>
      <c r="L292" t="str">
        <f>IF($B292="","",IF(L$3=0,"n.b.",INDEX(SRC_Woningetalage!$A$1:$ZZ$501,$A292,L$3)))</f>
        <v/>
      </c>
      <c r="M292" t="str">
        <f>IF($B292="","",IF(M$3=0,"n.b.",INDEX(SRC_Woningetalage!$A$1:$ZZ$501,$A292,M$3)))</f>
        <v/>
      </c>
      <c r="N292" t="str">
        <f>IF($B292="","",IF(N$3=0,"n.b.",INDEX(SRC_Woningetalage!$A$1:$ZZ$501,$A292,N$3)))</f>
        <v/>
      </c>
      <c r="O292" t="str">
        <f>IF($B292="","",IF(O$3=0,"n.b.",INDEX(SRC_Woningetalage!$A$1:$ZZ$501,$A292,O$3)))</f>
        <v/>
      </c>
      <c r="P292" t="str">
        <f>IF($B292="","",IF(P$3=0,"n.b.",INDEX(SRC_Woningetalage!$A$1:$ZZ$501,$A292,P$3)))</f>
        <v/>
      </c>
      <c r="Q292" s="124" t="str">
        <f>IF($B292="","",IF(Q$3=0,"n.b.",INDEX(SRC_Woningetalage!$A$1:$ZZ$501,$A292,Q$3)))</f>
        <v/>
      </c>
      <c r="R292" s="124" t="str">
        <f>IF($B292="","",IF(R$3=0,"n.b.",INDEX(SRC_Woningetalage!$A$1:$ZZ$501,$A292,R$3)))</f>
        <v/>
      </c>
      <c r="S292" s="124" t="str">
        <f>IF($B292="","",IF(S$3=0,"n.b.",INDEX(SRC_Woningetalage!$A$1:$ZZ$501,$A292,S$3)))</f>
        <v/>
      </c>
      <c r="T292" s="124" t="str">
        <f>IF($B292="","",IF(T$3=0,"n.b.",INDEX(SRC_Woningetalage!$A$1:$ZZ$501,$A292,T$3)))</f>
        <v/>
      </c>
      <c r="U292" s="124" t="str">
        <f>IF($B292="","",IF(U$3=0,"n.b.",INDEX(SRC_Woningetalage!$A$1:$ZZ$501,$A292,U$3)))</f>
        <v/>
      </c>
      <c r="V292" s="124" t="str">
        <f>IF($B292="","",IF(V$3=0,"n.b.",INDEX(SRC_Woningetalage!$A$1:$ZZ$501,$A292,V$3)))</f>
        <v/>
      </c>
      <c r="W292" s="124" t="str">
        <f>IF($B292="","",IF(W$3=0,"n.b.",INDEX(SRC_Woningetalage!$A$1:$ZZ$501,$A292,W$3)))</f>
        <v/>
      </c>
      <c r="X292" s="124" t="str">
        <f>IF($B292="","",IF(X$3=0,"n.b.",INDEX(SRC_Woningetalage!$A$1:$ZZ$501,$A292,X$3)))</f>
        <v/>
      </c>
      <c r="Y292" s="124" t="str">
        <f>IF($B292="","",IF(Y$3=0,"n.b.",INDEX(SRC_Woningetalage!$A$1:$ZZ$501,$A292,Y$3)))</f>
        <v/>
      </c>
      <c r="Z292" s="124" t="str">
        <f>IF($B292="","",IF(Z$3=0,"n.b.",INDEX(SRC_Woningetalage!$A$1:$ZZ$501,$A292,Z$3)))</f>
        <v/>
      </c>
      <c r="AA292" s="124" t="str">
        <f>IF($B292="","",IF(AA$3=0,"n.b.",INDEX(SRC_Woningetalage!$A$1:$ZZ$501,$A292,AA$3)))</f>
        <v/>
      </c>
      <c r="AB292" s="124" t="str">
        <f>IF($B292="","",IF(AB$3=0,"n.b.",INDEX(SRC_Woningetalage!$A$1:$ZZ$501,$A292,AB$3)))</f>
        <v/>
      </c>
      <c r="AC292" s="124" t="str">
        <f>IF($B292="","",IF(AC$3=0,"n.b.",INDEX(SRC_Woningetalage!$A$1:$ZZ$501,$A292,AC$3)))</f>
        <v/>
      </c>
      <c r="AD292" s="124" t="str">
        <f>IF($B292="","",IF(AD$3=0,"n.b.",INDEX(SRC_Woningetalage!$A$1:$ZZ$501,$A292,AD$3)))</f>
        <v/>
      </c>
      <c r="AE292" s="124" t="str">
        <f>IF($B292="","",IF(AE$3=0,"n.b.",INDEX(SRC_Woningetalage!$A$1:$ZZ$501,$A292,AE$3)))</f>
        <v/>
      </c>
      <c r="AF292" s="124" t="str">
        <f>IF($B292="","",IF(AF$3=0,"n.b.",INDEX(SRC_Woningetalage!$A$1:$ZZ$501,$A292,AF$3)))</f>
        <v/>
      </c>
      <c r="AG292" s="124" t="str">
        <f>IF($B292="","",IF(AG$3=0,"n.b.",INDEX(SRC_Woningetalage!$A$1:$ZZ$501,$A292,AG$3)))</f>
        <v/>
      </c>
      <c r="AH292" s="124" t="str">
        <f>IF($B292="","",IF(AH$3=0,"n.b.",INDEX(SRC_Woningetalage!$A$1:$ZZ$501,$A292,AH$3)))</f>
        <v/>
      </c>
      <c r="AI292" s="124" t="str">
        <f>IF($B292="","",IF(AI$3=0,"n.b.",INDEX(SRC_Woningetalage!$A$1:$ZZ$501,$A292,AI$3)))</f>
        <v/>
      </c>
      <c r="AJ292" s="124" t="str">
        <f>IF($B292="","",IF(AJ$3=0,"n.b.",INDEX(SRC_Woningetalage!$A$1:$ZZ$501,$A292,AJ$3)))</f>
        <v/>
      </c>
      <c r="AK292" s="124" t="str">
        <f>IF($B292="","",IF(AK$3=0,"n.b.",INDEX(SRC_Woningetalage!$A$1:$ZZ$501,$A292,AK$3)))</f>
        <v/>
      </c>
      <c r="AL292" s="124" t="str">
        <f>IF($B292="","",IF(AL$3=0,"n.b.",INDEX(SRC_Woningetalage!$A$1:$ZZ$501,$A292,AL$3)))</f>
        <v/>
      </c>
      <c r="AM292" s="124" t="str">
        <f>IF($B292="","",IF(AM$3=0,"n.b.",INDEX(SRC_Woningetalage!$A$1:$ZZ$501,$A292,AM$3)))</f>
        <v/>
      </c>
      <c r="AN292" s="124" t="str">
        <f>IF($B292="","",IF(AN$3=0,"n.b.",INDEX(SRC_Woningetalage!$A$1:$ZZ$501,$A292,AN$3)))</f>
        <v/>
      </c>
      <c r="AO292" s="124" t="str">
        <f>IF($B292="","",IF(AO$3=0,"n.b.",INDEX(SRC_Woningetalage!$A$1:$ZZ$501,$A292,AO$3)))</f>
        <v/>
      </c>
      <c r="AP292" s="124" t="str">
        <f>IF($B292="","",IF(AP$3=0,"n.b.",INDEX(SRC_Woningetalage!$A$1:$ZZ$501,$A292,AP$3)))</f>
        <v/>
      </c>
      <c r="AQ292" s="124" t="str">
        <f>IF($B292="","",IF(AQ$3=0,"n.b.",INDEX(SRC_Woningetalage!$A$1:$ZZ$501,$A292,AQ$3)))</f>
        <v/>
      </c>
      <c r="AR292" s="124" t="str">
        <f>IF($B292="","",IF(AR$3=0,"n.b.",INDEX(SRC_Woningetalage!$A$1:$ZZ$501,$A292,AR$3)))</f>
        <v/>
      </c>
      <c r="AS292" s="124" t="str">
        <f>IF($B292="","",IF(AS$3=0,"n.b.",INDEX(SRC_Woningetalage!$A$1:$ZZ$501,$A292,AS$3)))</f>
        <v/>
      </c>
      <c r="AT292" s="124" t="str">
        <f>IF($B292="","",IF(AT$3=0,"n.b.",INDEX(SRC_Woningetalage!$A$1:$ZZ$501,$A292,AT$3)))</f>
        <v/>
      </c>
      <c r="AU292" s="124" t="str">
        <f>IF($B292="","",IF(AU$3=0,"n.b.",INDEX(SRC_Woningetalage!$A$1:$ZZ$501,$A292,AU$3)))</f>
        <v/>
      </c>
      <c r="AV292" s="124" t="str">
        <f>IF($B292="","",IF(AV$3=0,"n.b.",INDEX(SRC_Woningetalage!$A$1:$ZZ$501,$A292,AV$3)))</f>
        <v/>
      </c>
      <c r="AW292" s="124" t="str">
        <f>IF($B292="","",IF(AW$3=0,"n.b.",INDEX(SRC_Woningetalage!$A$1:$ZZ$501,$A292,AW$3)))</f>
        <v/>
      </c>
      <c r="AX292" s="124" t="str">
        <f>IF($B292="","",IF(AX$3=0,"n.b.",INDEX(SRC_Woningetalage!$A$1:$ZZ$501,$A292,AX$3)))</f>
        <v/>
      </c>
      <c r="AY292" s="124" t="str">
        <f>IF($B292="","",IF(AY$3=0,"n.b.",INDEX(SRC_Woningetalage!$A$1:$ZZ$501,$A292,AY$3)))</f>
        <v/>
      </c>
      <c r="AZ292" s="124" t="str">
        <f>IF($B292="","",IF(AZ$3=0,"n.b.",INDEX(SRC_Woningetalage!$A$1:$ZZ$501,$A292,AZ$3)))</f>
        <v/>
      </c>
      <c r="BA292" s="124" t="str">
        <f>IF($B292="","",IF(BA$3=0,"n.b.",INDEX(SRC_Woningetalage!$A$1:$ZZ$501,$A292,BA$3)))</f>
        <v/>
      </c>
      <c r="BB292" s="124" t="str">
        <f>IF($B292="","",IF(BB$3=0,"n.b.",INDEX(SRC_Woningetalage!$A$1:$ZZ$501,$A292,BB$3)))</f>
        <v/>
      </c>
      <c r="BC292" s="124" t="str">
        <f>IF($B292="","",IFERROR(_xlfn.NUMBERVALUE(E292&amp;"",",","."),"n.b."))</f>
        <v/>
      </c>
      <c r="BD292" s="124" t="str">
        <f>IF($B292="","",IFERROR(_xlfn.NUMBERVALUE(M292&amp;"",",","."),"n.b."))</f>
        <v/>
      </c>
      <c r="BE292" s="124" t="str">
        <f>IF($B292="","",IFERROR(AB292+AC292+AD292,"n.b."))</f>
        <v/>
      </c>
      <c r="BF292" s="124" t="str">
        <f>IF($B292="","",IFERROR(AE292+AF292+AG292,"n.b."))</f>
        <v/>
      </c>
      <c r="BG292" s="124" t="str">
        <f>IF($B292="","",IFERROR(AH292+AI292+AJ292,"n.b."))</f>
        <v/>
      </c>
      <c r="BH292" s="124" t="str">
        <f>IF($B292="","",IFERROR(AK292+AL292+AM292,"n.b."))</f>
        <v/>
      </c>
      <c r="BI292" s="124" t="str">
        <f>IF($B292="","",IFERROR(SUMIF($AB$5:$AM$5,"&lt;="&amp;P_PeilMaand,AB292:AM292),"n.b."))</f>
        <v/>
      </c>
      <c r="BJ292" s="124" t="str">
        <f>IF($B292="","",IFERROR(SUM(AB292:AM292)-BI292,"n.b."))</f>
        <v/>
      </c>
      <c r="BK292" s="124" t="str">
        <f>IF($B292="","",IFERROR(IF(ABS(Q292-(T292+SUM(AB292:AM292)+AS292+AU292))&gt;P_Tol,1,0),1))</f>
        <v/>
      </c>
      <c r="BL292" s="124" t="str">
        <f>IF($B292="","",IFERROR(IF(ABS(AA292-(Q292-Z292))&gt;P_Tol,1,0),1))</f>
        <v/>
      </c>
      <c r="BM292" s="124" t="str">
        <f>IF($B292="","",IFERROR(IF(ABS(Z292-(T292+W292))&gt;P_Tol,1,0),1))</f>
        <v/>
      </c>
      <c r="BN292" s="124" t="str">
        <f>IF($B292="","",IFERROR(IF(ABS(W292-BI292)&gt;P_Tol,1,0),1))</f>
        <v/>
      </c>
      <c r="BO292" s="124" t="str">
        <f>IF($B292="","",IFERROR(IF(OR(ABS(R292+S292-T292)&gt;P_Tol,ABS(U292+V292-W292)&gt;P_Tol,ABS(X292+Y292-Z292)&gt;P_Tol),1,0),1))</f>
        <v/>
      </c>
      <c r="BP292" s="124" t="str">
        <f>IF($B292="","",IFERROR(IF(OR(ABS(AR292-SUM(AB292:AM292))&gt;P_Tol,ABS(AS292-(AN292+AO292+AP292+AQ292))&gt;P_Tol),1,0),1))</f>
        <v/>
      </c>
      <c r="BQ292" s="124" t="str">
        <f>IF($B292="","",IFERROR(IF(ABS(AT292)+ABS(AV292)+ABS(AW292)+ABS(AX292)+ABS(AY292)+ABS(AZ292)+ABS(BA292)+ABS(BB292)&gt;0,1,0),1))</f>
        <v/>
      </c>
      <c r="BR292" s="124" t="str">
        <f>IF($B292="","",COUNTIF(STG_ZPMW03!$B$6:$B$505,B292))</f>
        <v/>
      </c>
      <c r="BS292" s="124" t="str">
        <f>IF($B292="","",COUNTIF($B$6:$B$505,B292))</f>
        <v/>
      </c>
      <c r="BT292" s="124" t="str">
        <f>IF($B292="","",IF(BR292=0,0,IF(INDEX(STG_ZPMW03!$I$6:$I$505,MATCH(B292,STG_ZPMW03!$B$6:$B$505,0))=J292&amp;"",0,1)))</f>
        <v/>
      </c>
      <c r="BU292" s="124" t="str">
        <f>IF($B292="","",IFERROR(IF(ABS(INDEX(Mapping!$D$5:$D$104,MATCH(B292,Mapping!$A$5:$A$104,0))-Q292)&gt;P_Tol,1,0),0))</f>
        <v/>
      </c>
      <c r="BV292" s="124" t="str">
        <f>IF($B292="","",IFERROR(IF(AND(INDEX(Mapping!$G$5:$G$104,MATCH(B292,Mapping!$A$5:$A$104,0))="Nee",ABS(Q292)+ABS(Z292)+ABS(AR292)&gt;0),1,0),0))</f>
        <v/>
      </c>
      <c r="BW292" s="124" t="str">
        <f>IF($B292="","",IF(COUNTIF(Mapping!$A$5:$A$104,B292)&gt;0,1,0))</f>
        <v/>
      </c>
      <c r="BX292" s="124" t="str">
        <f>IF($B292="","",IF(BR292=0,COUNTIF($BR$6:BR292,0),""))</f>
        <v/>
      </c>
    </row>
    <row r="293">
      <c r="A293" s="15" t="n">
        <v>289</v>
      </c>
      <c r="B293" t="str">
        <f>IF(B$3=0,"",IF(INDEX(SRC_Woningetalage!$A$1:$ZZ$501,$A293,B$3)&amp;""="","",INDEX(SRC_Woningetalage!$A$1:$ZZ$501,$A293,B$3)&amp;""))</f>
        <v/>
      </c>
      <c r="C293" t="str">
        <f>IF($B293="","",IF(C$3=0,"n.b.",INDEX(SRC_Woningetalage!$A$1:$ZZ$501,$A293,C$3)))</f>
        <v/>
      </c>
      <c r="D293" t="str">
        <f>IF($B293="","",IF(D$3=0,"n.b.",INDEX(SRC_Woningetalage!$A$1:$ZZ$501,$A293,D$3)))</f>
        <v/>
      </c>
      <c r="E293" t="str">
        <f>IF($B293="","",IF(E$3=0,"n.b.",INDEX(SRC_Woningetalage!$A$1:$ZZ$501,$A293,E$3)))</f>
        <v/>
      </c>
      <c r="F293" t="str">
        <f>IF($B293="","",IF(F$3=0,"n.b.",INDEX(SRC_Woningetalage!$A$1:$ZZ$501,$A293,F$3)))</f>
        <v/>
      </c>
      <c r="G293" t="str">
        <f>IF($B293="","",IF(G$3=0,"n.b.",INDEX(SRC_Woningetalage!$A$1:$ZZ$501,$A293,G$3)))</f>
        <v/>
      </c>
      <c r="H293" t="str">
        <f>IF($B293="","",IF(H$3=0,"n.b.",INDEX(SRC_Woningetalage!$A$1:$ZZ$501,$A293,H$3)))</f>
        <v/>
      </c>
      <c r="I293" t="str">
        <f>IF($B293="","",IF(I$3=0,"n.b.",INDEX(SRC_Woningetalage!$A$1:$ZZ$501,$A293,I$3)))</f>
        <v/>
      </c>
      <c r="J293" t="str">
        <f>IF($B293="","",IF(J$3=0,"n.b.",INDEX(SRC_Woningetalage!$A$1:$ZZ$501,$A293,J$3)))</f>
        <v/>
      </c>
      <c r="K293" t="str">
        <f>IF($B293="","",IF(K$3=0,"n.b.",INDEX(SRC_Woningetalage!$A$1:$ZZ$501,$A293,K$3)))</f>
        <v/>
      </c>
      <c r="L293" t="str">
        <f>IF($B293="","",IF(L$3=0,"n.b.",INDEX(SRC_Woningetalage!$A$1:$ZZ$501,$A293,L$3)))</f>
        <v/>
      </c>
      <c r="M293" t="str">
        <f>IF($B293="","",IF(M$3=0,"n.b.",INDEX(SRC_Woningetalage!$A$1:$ZZ$501,$A293,M$3)))</f>
        <v/>
      </c>
      <c r="N293" t="str">
        <f>IF($B293="","",IF(N$3=0,"n.b.",INDEX(SRC_Woningetalage!$A$1:$ZZ$501,$A293,N$3)))</f>
        <v/>
      </c>
      <c r="O293" t="str">
        <f>IF($B293="","",IF(O$3=0,"n.b.",INDEX(SRC_Woningetalage!$A$1:$ZZ$501,$A293,O$3)))</f>
        <v/>
      </c>
      <c r="P293" t="str">
        <f>IF($B293="","",IF(P$3=0,"n.b.",INDEX(SRC_Woningetalage!$A$1:$ZZ$501,$A293,P$3)))</f>
        <v/>
      </c>
      <c r="Q293" s="124" t="str">
        <f>IF($B293="","",IF(Q$3=0,"n.b.",INDEX(SRC_Woningetalage!$A$1:$ZZ$501,$A293,Q$3)))</f>
        <v/>
      </c>
      <c r="R293" s="124" t="str">
        <f>IF($B293="","",IF(R$3=0,"n.b.",INDEX(SRC_Woningetalage!$A$1:$ZZ$501,$A293,R$3)))</f>
        <v/>
      </c>
      <c r="S293" s="124" t="str">
        <f>IF($B293="","",IF(S$3=0,"n.b.",INDEX(SRC_Woningetalage!$A$1:$ZZ$501,$A293,S$3)))</f>
        <v/>
      </c>
      <c r="T293" s="124" t="str">
        <f>IF($B293="","",IF(T$3=0,"n.b.",INDEX(SRC_Woningetalage!$A$1:$ZZ$501,$A293,T$3)))</f>
        <v/>
      </c>
      <c r="U293" s="124" t="str">
        <f>IF($B293="","",IF(U$3=0,"n.b.",INDEX(SRC_Woningetalage!$A$1:$ZZ$501,$A293,U$3)))</f>
        <v/>
      </c>
      <c r="V293" s="124" t="str">
        <f>IF($B293="","",IF(V$3=0,"n.b.",INDEX(SRC_Woningetalage!$A$1:$ZZ$501,$A293,V$3)))</f>
        <v/>
      </c>
      <c r="W293" s="124" t="str">
        <f>IF($B293="","",IF(W$3=0,"n.b.",INDEX(SRC_Woningetalage!$A$1:$ZZ$501,$A293,W$3)))</f>
        <v/>
      </c>
      <c r="X293" s="124" t="str">
        <f>IF($B293="","",IF(X$3=0,"n.b.",INDEX(SRC_Woningetalage!$A$1:$ZZ$501,$A293,X$3)))</f>
        <v/>
      </c>
      <c r="Y293" s="124" t="str">
        <f>IF($B293="","",IF(Y$3=0,"n.b.",INDEX(SRC_Woningetalage!$A$1:$ZZ$501,$A293,Y$3)))</f>
        <v/>
      </c>
      <c r="Z293" s="124" t="str">
        <f>IF($B293="","",IF(Z$3=0,"n.b.",INDEX(SRC_Woningetalage!$A$1:$ZZ$501,$A293,Z$3)))</f>
        <v/>
      </c>
      <c r="AA293" s="124" t="str">
        <f>IF($B293="","",IF(AA$3=0,"n.b.",INDEX(SRC_Woningetalage!$A$1:$ZZ$501,$A293,AA$3)))</f>
        <v/>
      </c>
      <c r="AB293" s="124" t="str">
        <f>IF($B293="","",IF(AB$3=0,"n.b.",INDEX(SRC_Woningetalage!$A$1:$ZZ$501,$A293,AB$3)))</f>
        <v/>
      </c>
      <c r="AC293" s="124" t="str">
        <f>IF($B293="","",IF(AC$3=0,"n.b.",INDEX(SRC_Woningetalage!$A$1:$ZZ$501,$A293,AC$3)))</f>
        <v/>
      </c>
      <c r="AD293" s="124" t="str">
        <f>IF($B293="","",IF(AD$3=0,"n.b.",INDEX(SRC_Woningetalage!$A$1:$ZZ$501,$A293,AD$3)))</f>
        <v/>
      </c>
      <c r="AE293" s="124" t="str">
        <f>IF($B293="","",IF(AE$3=0,"n.b.",INDEX(SRC_Woningetalage!$A$1:$ZZ$501,$A293,AE$3)))</f>
        <v/>
      </c>
      <c r="AF293" s="124" t="str">
        <f>IF($B293="","",IF(AF$3=0,"n.b.",INDEX(SRC_Woningetalage!$A$1:$ZZ$501,$A293,AF$3)))</f>
        <v/>
      </c>
      <c r="AG293" s="124" t="str">
        <f>IF($B293="","",IF(AG$3=0,"n.b.",INDEX(SRC_Woningetalage!$A$1:$ZZ$501,$A293,AG$3)))</f>
        <v/>
      </c>
      <c r="AH293" s="124" t="str">
        <f>IF($B293="","",IF(AH$3=0,"n.b.",INDEX(SRC_Woningetalage!$A$1:$ZZ$501,$A293,AH$3)))</f>
        <v/>
      </c>
      <c r="AI293" s="124" t="str">
        <f>IF($B293="","",IF(AI$3=0,"n.b.",INDEX(SRC_Woningetalage!$A$1:$ZZ$501,$A293,AI$3)))</f>
        <v/>
      </c>
      <c r="AJ293" s="124" t="str">
        <f>IF($B293="","",IF(AJ$3=0,"n.b.",INDEX(SRC_Woningetalage!$A$1:$ZZ$501,$A293,AJ$3)))</f>
        <v/>
      </c>
      <c r="AK293" s="124" t="str">
        <f>IF($B293="","",IF(AK$3=0,"n.b.",INDEX(SRC_Woningetalage!$A$1:$ZZ$501,$A293,AK$3)))</f>
        <v/>
      </c>
      <c r="AL293" s="124" t="str">
        <f>IF($B293="","",IF(AL$3=0,"n.b.",INDEX(SRC_Woningetalage!$A$1:$ZZ$501,$A293,AL$3)))</f>
        <v/>
      </c>
      <c r="AM293" s="124" t="str">
        <f>IF($B293="","",IF(AM$3=0,"n.b.",INDEX(SRC_Woningetalage!$A$1:$ZZ$501,$A293,AM$3)))</f>
        <v/>
      </c>
      <c r="AN293" s="124" t="str">
        <f>IF($B293="","",IF(AN$3=0,"n.b.",INDEX(SRC_Woningetalage!$A$1:$ZZ$501,$A293,AN$3)))</f>
        <v/>
      </c>
      <c r="AO293" s="124" t="str">
        <f>IF($B293="","",IF(AO$3=0,"n.b.",INDEX(SRC_Woningetalage!$A$1:$ZZ$501,$A293,AO$3)))</f>
        <v/>
      </c>
      <c r="AP293" s="124" t="str">
        <f>IF($B293="","",IF(AP$3=0,"n.b.",INDEX(SRC_Woningetalage!$A$1:$ZZ$501,$A293,AP$3)))</f>
        <v/>
      </c>
      <c r="AQ293" s="124" t="str">
        <f>IF($B293="","",IF(AQ$3=0,"n.b.",INDEX(SRC_Woningetalage!$A$1:$ZZ$501,$A293,AQ$3)))</f>
        <v/>
      </c>
      <c r="AR293" s="124" t="str">
        <f>IF($B293="","",IF(AR$3=0,"n.b.",INDEX(SRC_Woningetalage!$A$1:$ZZ$501,$A293,AR$3)))</f>
        <v/>
      </c>
      <c r="AS293" s="124" t="str">
        <f>IF($B293="","",IF(AS$3=0,"n.b.",INDEX(SRC_Woningetalage!$A$1:$ZZ$501,$A293,AS$3)))</f>
        <v/>
      </c>
      <c r="AT293" s="124" t="str">
        <f>IF($B293="","",IF(AT$3=0,"n.b.",INDEX(SRC_Woningetalage!$A$1:$ZZ$501,$A293,AT$3)))</f>
        <v/>
      </c>
      <c r="AU293" s="124" t="str">
        <f>IF($B293="","",IF(AU$3=0,"n.b.",INDEX(SRC_Woningetalage!$A$1:$ZZ$501,$A293,AU$3)))</f>
        <v/>
      </c>
      <c r="AV293" s="124" t="str">
        <f>IF($B293="","",IF(AV$3=0,"n.b.",INDEX(SRC_Woningetalage!$A$1:$ZZ$501,$A293,AV$3)))</f>
        <v/>
      </c>
      <c r="AW293" s="124" t="str">
        <f>IF($B293="","",IF(AW$3=0,"n.b.",INDEX(SRC_Woningetalage!$A$1:$ZZ$501,$A293,AW$3)))</f>
        <v/>
      </c>
      <c r="AX293" s="124" t="str">
        <f>IF($B293="","",IF(AX$3=0,"n.b.",INDEX(SRC_Woningetalage!$A$1:$ZZ$501,$A293,AX$3)))</f>
        <v/>
      </c>
      <c r="AY293" s="124" t="str">
        <f>IF($B293="","",IF(AY$3=0,"n.b.",INDEX(SRC_Woningetalage!$A$1:$ZZ$501,$A293,AY$3)))</f>
        <v/>
      </c>
      <c r="AZ293" s="124" t="str">
        <f>IF($B293="","",IF(AZ$3=0,"n.b.",INDEX(SRC_Woningetalage!$A$1:$ZZ$501,$A293,AZ$3)))</f>
        <v/>
      </c>
      <c r="BA293" s="124" t="str">
        <f>IF($B293="","",IF(BA$3=0,"n.b.",INDEX(SRC_Woningetalage!$A$1:$ZZ$501,$A293,BA$3)))</f>
        <v/>
      </c>
      <c r="BB293" s="124" t="str">
        <f>IF($B293="","",IF(BB$3=0,"n.b.",INDEX(SRC_Woningetalage!$A$1:$ZZ$501,$A293,BB$3)))</f>
        <v/>
      </c>
      <c r="BC293" s="124" t="str">
        <f>IF($B293="","",IFERROR(_xlfn.NUMBERVALUE(E293&amp;"",",","."),"n.b."))</f>
        <v/>
      </c>
      <c r="BD293" s="124" t="str">
        <f>IF($B293="","",IFERROR(_xlfn.NUMBERVALUE(M293&amp;"",",","."),"n.b."))</f>
        <v/>
      </c>
      <c r="BE293" s="124" t="str">
        <f>IF($B293="","",IFERROR(AB293+AC293+AD293,"n.b."))</f>
        <v/>
      </c>
      <c r="BF293" s="124" t="str">
        <f>IF($B293="","",IFERROR(AE293+AF293+AG293,"n.b."))</f>
        <v/>
      </c>
      <c r="BG293" s="124" t="str">
        <f>IF($B293="","",IFERROR(AH293+AI293+AJ293,"n.b."))</f>
        <v/>
      </c>
      <c r="BH293" s="124" t="str">
        <f>IF($B293="","",IFERROR(AK293+AL293+AM293,"n.b."))</f>
        <v/>
      </c>
      <c r="BI293" s="124" t="str">
        <f>IF($B293="","",IFERROR(SUMIF($AB$5:$AM$5,"&lt;="&amp;P_PeilMaand,AB293:AM293),"n.b."))</f>
        <v/>
      </c>
      <c r="BJ293" s="124" t="str">
        <f>IF($B293="","",IFERROR(SUM(AB293:AM293)-BI293,"n.b."))</f>
        <v/>
      </c>
      <c r="BK293" s="124" t="str">
        <f>IF($B293="","",IFERROR(IF(ABS(Q293-(T293+SUM(AB293:AM293)+AS293+AU293))&gt;P_Tol,1,0),1))</f>
        <v/>
      </c>
      <c r="BL293" s="124" t="str">
        <f>IF($B293="","",IFERROR(IF(ABS(AA293-(Q293-Z293))&gt;P_Tol,1,0),1))</f>
        <v/>
      </c>
      <c r="BM293" s="124" t="str">
        <f>IF($B293="","",IFERROR(IF(ABS(Z293-(T293+W293))&gt;P_Tol,1,0),1))</f>
        <v/>
      </c>
      <c r="BN293" s="124" t="str">
        <f>IF($B293="","",IFERROR(IF(ABS(W293-BI293)&gt;P_Tol,1,0),1))</f>
        <v/>
      </c>
      <c r="BO293" s="124" t="str">
        <f>IF($B293="","",IFERROR(IF(OR(ABS(R293+S293-T293)&gt;P_Tol,ABS(U293+V293-W293)&gt;P_Tol,ABS(X293+Y293-Z293)&gt;P_Tol),1,0),1))</f>
        <v/>
      </c>
      <c r="BP293" s="124" t="str">
        <f>IF($B293="","",IFERROR(IF(OR(ABS(AR293-SUM(AB293:AM293))&gt;P_Tol,ABS(AS293-(AN293+AO293+AP293+AQ293))&gt;P_Tol),1,0),1))</f>
        <v/>
      </c>
      <c r="BQ293" s="124" t="str">
        <f>IF($B293="","",IFERROR(IF(ABS(AT293)+ABS(AV293)+ABS(AW293)+ABS(AX293)+ABS(AY293)+ABS(AZ293)+ABS(BA293)+ABS(BB293)&gt;0,1,0),1))</f>
        <v/>
      </c>
      <c r="BR293" s="124" t="str">
        <f>IF($B293="","",COUNTIF(STG_ZPMW03!$B$6:$B$505,B293))</f>
        <v/>
      </c>
      <c r="BS293" s="124" t="str">
        <f>IF($B293="","",COUNTIF($B$6:$B$505,B293))</f>
        <v/>
      </c>
      <c r="BT293" s="124" t="str">
        <f>IF($B293="","",IF(BR293=0,0,IF(INDEX(STG_ZPMW03!$I$6:$I$505,MATCH(B293,STG_ZPMW03!$B$6:$B$505,0))=J293&amp;"",0,1)))</f>
        <v/>
      </c>
      <c r="BU293" s="124" t="str">
        <f>IF($B293="","",IFERROR(IF(ABS(INDEX(Mapping!$D$5:$D$104,MATCH(B293,Mapping!$A$5:$A$104,0))-Q293)&gt;P_Tol,1,0),0))</f>
        <v/>
      </c>
      <c r="BV293" s="124" t="str">
        <f>IF($B293="","",IFERROR(IF(AND(INDEX(Mapping!$G$5:$G$104,MATCH(B293,Mapping!$A$5:$A$104,0))="Nee",ABS(Q293)+ABS(Z293)+ABS(AR293)&gt;0),1,0),0))</f>
        <v/>
      </c>
      <c r="BW293" s="124" t="str">
        <f>IF($B293="","",IF(COUNTIF(Mapping!$A$5:$A$104,B293)&gt;0,1,0))</f>
        <v/>
      </c>
      <c r="BX293" s="124" t="str">
        <f>IF($B293="","",IF(BR293=0,COUNTIF($BR$6:BR293,0),""))</f>
        <v/>
      </c>
    </row>
    <row r="294">
      <c r="A294" s="15" t="n">
        <v>290</v>
      </c>
      <c r="B294" t="str">
        <f>IF(B$3=0,"",IF(INDEX(SRC_Woningetalage!$A$1:$ZZ$501,$A294,B$3)&amp;""="","",INDEX(SRC_Woningetalage!$A$1:$ZZ$501,$A294,B$3)&amp;""))</f>
        <v/>
      </c>
      <c r="C294" t="str">
        <f>IF($B294="","",IF(C$3=0,"n.b.",INDEX(SRC_Woningetalage!$A$1:$ZZ$501,$A294,C$3)))</f>
        <v/>
      </c>
      <c r="D294" t="str">
        <f>IF($B294="","",IF(D$3=0,"n.b.",INDEX(SRC_Woningetalage!$A$1:$ZZ$501,$A294,D$3)))</f>
        <v/>
      </c>
      <c r="E294" t="str">
        <f>IF($B294="","",IF(E$3=0,"n.b.",INDEX(SRC_Woningetalage!$A$1:$ZZ$501,$A294,E$3)))</f>
        <v/>
      </c>
      <c r="F294" t="str">
        <f>IF($B294="","",IF(F$3=0,"n.b.",INDEX(SRC_Woningetalage!$A$1:$ZZ$501,$A294,F$3)))</f>
        <v/>
      </c>
      <c r="G294" t="str">
        <f>IF($B294="","",IF(G$3=0,"n.b.",INDEX(SRC_Woningetalage!$A$1:$ZZ$501,$A294,G$3)))</f>
        <v/>
      </c>
      <c r="H294" t="str">
        <f>IF($B294="","",IF(H$3=0,"n.b.",INDEX(SRC_Woningetalage!$A$1:$ZZ$501,$A294,H$3)))</f>
        <v/>
      </c>
      <c r="I294" t="str">
        <f>IF($B294="","",IF(I$3=0,"n.b.",INDEX(SRC_Woningetalage!$A$1:$ZZ$501,$A294,I$3)))</f>
        <v/>
      </c>
      <c r="J294" t="str">
        <f>IF($B294="","",IF(J$3=0,"n.b.",INDEX(SRC_Woningetalage!$A$1:$ZZ$501,$A294,J$3)))</f>
        <v/>
      </c>
      <c r="K294" t="str">
        <f>IF($B294="","",IF(K$3=0,"n.b.",INDEX(SRC_Woningetalage!$A$1:$ZZ$501,$A294,K$3)))</f>
        <v/>
      </c>
      <c r="L294" t="str">
        <f>IF($B294="","",IF(L$3=0,"n.b.",INDEX(SRC_Woningetalage!$A$1:$ZZ$501,$A294,L$3)))</f>
        <v/>
      </c>
      <c r="M294" t="str">
        <f>IF($B294="","",IF(M$3=0,"n.b.",INDEX(SRC_Woningetalage!$A$1:$ZZ$501,$A294,M$3)))</f>
        <v/>
      </c>
      <c r="N294" t="str">
        <f>IF($B294="","",IF(N$3=0,"n.b.",INDEX(SRC_Woningetalage!$A$1:$ZZ$501,$A294,N$3)))</f>
        <v/>
      </c>
      <c r="O294" t="str">
        <f>IF($B294="","",IF(O$3=0,"n.b.",INDEX(SRC_Woningetalage!$A$1:$ZZ$501,$A294,O$3)))</f>
        <v/>
      </c>
      <c r="P294" t="str">
        <f>IF($B294="","",IF(P$3=0,"n.b.",INDEX(SRC_Woningetalage!$A$1:$ZZ$501,$A294,P$3)))</f>
        <v/>
      </c>
      <c r="Q294" s="124" t="str">
        <f>IF($B294="","",IF(Q$3=0,"n.b.",INDEX(SRC_Woningetalage!$A$1:$ZZ$501,$A294,Q$3)))</f>
        <v/>
      </c>
      <c r="R294" s="124" t="str">
        <f>IF($B294="","",IF(R$3=0,"n.b.",INDEX(SRC_Woningetalage!$A$1:$ZZ$501,$A294,R$3)))</f>
        <v/>
      </c>
      <c r="S294" s="124" t="str">
        <f>IF($B294="","",IF(S$3=0,"n.b.",INDEX(SRC_Woningetalage!$A$1:$ZZ$501,$A294,S$3)))</f>
        <v/>
      </c>
      <c r="T294" s="124" t="str">
        <f>IF($B294="","",IF(T$3=0,"n.b.",INDEX(SRC_Woningetalage!$A$1:$ZZ$501,$A294,T$3)))</f>
        <v/>
      </c>
      <c r="U294" s="124" t="str">
        <f>IF($B294="","",IF(U$3=0,"n.b.",INDEX(SRC_Woningetalage!$A$1:$ZZ$501,$A294,U$3)))</f>
        <v/>
      </c>
      <c r="V294" s="124" t="str">
        <f>IF($B294="","",IF(V$3=0,"n.b.",INDEX(SRC_Woningetalage!$A$1:$ZZ$501,$A294,V$3)))</f>
        <v/>
      </c>
      <c r="W294" s="124" t="str">
        <f>IF($B294="","",IF(W$3=0,"n.b.",INDEX(SRC_Woningetalage!$A$1:$ZZ$501,$A294,W$3)))</f>
        <v/>
      </c>
      <c r="X294" s="124" t="str">
        <f>IF($B294="","",IF(X$3=0,"n.b.",INDEX(SRC_Woningetalage!$A$1:$ZZ$501,$A294,X$3)))</f>
        <v/>
      </c>
      <c r="Y294" s="124" t="str">
        <f>IF($B294="","",IF(Y$3=0,"n.b.",INDEX(SRC_Woningetalage!$A$1:$ZZ$501,$A294,Y$3)))</f>
        <v/>
      </c>
      <c r="Z294" s="124" t="str">
        <f>IF($B294="","",IF(Z$3=0,"n.b.",INDEX(SRC_Woningetalage!$A$1:$ZZ$501,$A294,Z$3)))</f>
        <v/>
      </c>
      <c r="AA294" s="124" t="str">
        <f>IF($B294="","",IF(AA$3=0,"n.b.",INDEX(SRC_Woningetalage!$A$1:$ZZ$501,$A294,AA$3)))</f>
        <v/>
      </c>
      <c r="AB294" s="124" t="str">
        <f>IF($B294="","",IF(AB$3=0,"n.b.",INDEX(SRC_Woningetalage!$A$1:$ZZ$501,$A294,AB$3)))</f>
        <v/>
      </c>
      <c r="AC294" s="124" t="str">
        <f>IF($B294="","",IF(AC$3=0,"n.b.",INDEX(SRC_Woningetalage!$A$1:$ZZ$501,$A294,AC$3)))</f>
        <v/>
      </c>
      <c r="AD294" s="124" t="str">
        <f>IF($B294="","",IF(AD$3=0,"n.b.",INDEX(SRC_Woningetalage!$A$1:$ZZ$501,$A294,AD$3)))</f>
        <v/>
      </c>
      <c r="AE294" s="124" t="str">
        <f>IF($B294="","",IF(AE$3=0,"n.b.",INDEX(SRC_Woningetalage!$A$1:$ZZ$501,$A294,AE$3)))</f>
        <v/>
      </c>
      <c r="AF294" s="124" t="str">
        <f>IF($B294="","",IF(AF$3=0,"n.b.",INDEX(SRC_Woningetalage!$A$1:$ZZ$501,$A294,AF$3)))</f>
        <v/>
      </c>
      <c r="AG294" s="124" t="str">
        <f>IF($B294="","",IF(AG$3=0,"n.b.",INDEX(SRC_Woningetalage!$A$1:$ZZ$501,$A294,AG$3)))</f>
        <v/>
      </c>
      <c r="AH294" s="124" t="str">
        <f>IF($B294="","",IF(AH$3=0,"n.b.",INDEX(SRC_Woningetalage!$A$1:$ZZ$501,$A294,AH$3)))</f>
        <v/>
      </c>
      <c r="AI294" s="124" t="str">
        <f>IF($B294="","",IF(AI$3=0,"n.b.",INDEX(SRC_Woningetalage!$A$1:$ZZ$501,$A294,AI$3)))</f>
        <v/>
      </c>
      <c r="AJ294" s="124" t="str">
        <f>IF($B294="","",IF(AJ$3=0,"n.b.",INDEX(SRC_Woningetalage!$A$1:$ZZ$501,$A294,AJ$3)))</f>
        <v/>
      </c>
      <c r="AK294" s="124" t="str">
        <f>IF($B294="","",IF(AK$3=0,"n.b.",INDEX(SRC_Woningetalage!$A$1:$ZZ$501,$A294,AK$3)))</f>
        <v/>
      </c>
      <c r="AL294" s="124" t="str">
        <f>IF($B294="","",IF(AL$3=0,"n.b.",INDEX(SRC_Woningetalage!$A$1:$ZZ$501,$A294,AL$3)))</f>
        <v/>
      </c>
      <c r="AM294" s="124" t="str">
        <f>IF($B294="","",IF(AM$3=0,"n.b.",INDEX(SRC_Woningetalage!$A$1:$ZZ$501,$A294,AM$3)))</f>
        <v/>
      </c>
      <c r="AN294" s="124" t="str">
        <f>IF($B294="","",IF(AN$3=0,"n.b.",INDEX(SRC_Woningetalage!$A$1:$ZZ$501,$A294,AN$3)))</f>
        <v/>
      </c>
      <c r="AO294" s="124" t="str">
        <f>IF($B294="","",IF(AO$3=0,"n.b.",INDEX(SRC_Woningetalage!$A$1:$ZZ$501,$A294,AO$3)))</f>
        <v/>
      </c>
      <c r="AP294" s="124" t="str">
        <f>IF($B294="","",IF(AP$3=0,"n.b.",INDEX(SRC_Woningetalage!$A$1:$ZZ$501,$A294,AP$3)))</f>
        <v/>
      </c>
      <c r="AQ294" s="124" t="str">
        <f>IF($B294="","",IF(AQ$3=0,"n.b.",INDEX(SRC_Woningetalage!$A$1:$ZZ$501,$A294,AQ$3)))</f>
        <v/>
      </c>
      <c r="AR294" s="124" t="str">
        <f>IF($B294="","",IF(AR$3=0,"n.b.",INDEX(SRC_Woningetalage!$A$1:$ZZ$501,$A294,AR$3)))</f>
        <v/>
      </c>
      <c r="AS294" s="124" t="str">
        <f>IF($B294="","",IF(AS$3=0,"n.b.",INDEX(SRC_Woningetalage!$A$1:$ZZ$501,$A294,AS$3)))</f>
        <v/>
      </c>
      <c r="AT294" s="124" t="str">
        <f>IF($B294="","",IF(AT$3=0,"n.b.",INDEX(SRC_Woningetalage!$A$1:$ZZ$501,$A294,AT$3)))</f>
        <v/>
      </c>
      <c r="AU294" s="124" t="str">
        <f>IF($B294="","",IF(AU$3=0,"n.b.",INDEX(SRC_Woningetalage!$A$1:$ZZ$501,$A294,AU$3)))</f>
        <v/>
      </c>
      <c r="AV294" s="124" t="str">
        <f>IF($B294="","",IF(AV$3=0,"n.b.",INDEX(SRC_Woningetalage!$A$1:$ZZ$501,$A294,AV$3)))</f>
        <v/>
      </c>
      <c r="AW294" s="124" t="str">
        <f>IF($B294="","",IF(AW$3=0,"n.b.",INDEX(SRC_Woningetalage!$A$1:$ZZ$501,$A294,AW$3)))</f>
        <v/>
      </c>
      <c r="AX294" s="124" t="str">
        <f>IF($B294="","",IF(AX$3=0,"n.b.",INDEX(SRC_Woningetalage!$A$1:$ZZ$501,$A294,AX$3)))</f>
        <v/>
      </c>
      <c r="AY294" s="124" t="str">
        <f>IF($B294="","",IF(AY$3=0,"n.b.",INDEX(SRC_Woningetalage!$A$1:$ZZ$501,$A294,AY$3)))</f>
        <v/>
      </c>
      <c r="AZ294" s="124" t="str">
        <f>IF($B294="","",IF(AZ$3=0,"n.b.",INDEX(SRC_Woningetalage!$A$1:$ZZ$501,$A294,AZ$3)))</f>
        <v/>
      </c>
      <c r="BA294" s="124" t="str">
        <f>IF($B294="","",IF(BA$3=0,"n.b.",INDEX(SRC_Woningetalage!$A$1:$ZZ$501,$A294,BA$3)))</f>
        <v/>
      </c>
      <c r="BB294" s="124" t="str">
        <f>IF($B294="","",IF(BB$3=0,"n.b.",INDEX(SRC_Woningetalage!$A$1:$ZZ$501,$A294,BB$3)))</f>
        <v/>
      </c>
      <c r="BC294" s="124" t="str">
        <f>IF($B294="","",IFERROR(_xlfn.NUMBERVALUE(E294&amp;"",",","."),"n.b."))</f>
        <v/>
      </c>
      <c r="BD294" s="124" t="str">
        <f>IF($B294="","",IFERROR(_xlfn.NUMBERVALUE(M294&amp;"",",","."),"n.b."))</f>
        <v/>
      </c>
      <c r="BE294" s="124" t="str">
        <f>IF($B294="","",IFERROR(AB294+AC294+AD294,"n.b."))</f>
        <v/>
      </c>
      <c r="BF294" s="124" t="str">
        <f>IF($B294="","",IFERROR(AE294+AF294+AG294,"n.b."))</f>
        <v/>
      </c>
      <c r="BG294" s="124" t="str">
        <f>IF($B294="","",IFERROR(AH294+AI294+AJ294,"n.b."))</f>
        <v/>
      </c>
      <c r="BH294" s="124" t="str">
        <f>IF($B294="","",IFERROR(AK294+AL294+AM294,"n.b."))</f>
        <v/>
      </c>
      <c r="BI294" s="124" t="str">
        <f>IF($B294="","",IFERROR(SUMIF($AB$5:$AM$5,"&lt;="&amp;P_PeilMaand,AB294:AM294),"n.b."))</f>
        <v/>
      </c>
      <c r="BJ294" s="124" t="str">
        <f>IF($B294="","",IFERROR(SUM(AB294:AM294)-BI294,"n.b."))</f>
        <v/>
      </c>
      <c r="BK294" s="124" t="str">
        <f>IF($B294="","",IFERROR(IF(ABS(Q294-(T294+SUM(AB294:AM294)+AS294+AU294))&gt;P_Tol,1,0),1))</f>
        <v/>
      </c>
      <c r="BL294" s="124" t="str">
        <f>IF($B294="","",IFERROR(IF(ABS(AA294-(Q294-Z294))&gt;P_Tol,1,0),1))</f>
        <v/>
      </c>
      <c r="BM294" s="124" t="str">
        <f>IF($B294="","",IFERROR(IF(ABS(Z294-(T294+W294))&gt;P_Tol,1,0),1))</f>
        <v/>
      </c>
      <c r="BN294" s="124" t="str">
        <f>IF($B294="","",IFERROR(IF(ABS(W294-BI294)&gt;P_Tol,1,0),1))</f>
        <v/>
      </c>
      <c r="BO294" s="124" t="str">
        <f>IF($B294="","",IFERROR(IF(OR(ABS(R294+S294-T294)&gt;P_Tol,ABS(U294+V294-W294)&gt;P_Tol,ABS(X294+Y294-Z294)&gt;P_Tol),1,0),1))</f>
        <v/>
      </c>
      <c r="BP294" s="124" t="str">
        <f>IF($B294="","",IFERROR(IF(OR(ABS(AR294-SUM(AB294:AM294))&gt;P_Tol,ABS(AS294-(AN294+AO294+AP294+AQ294))&gt;P_Tol),1,0),1))</f>
        <v/>
      </c>
      <c r="BQ294" s="124" t="str">
        <f>IF($B294="","",IFERROR(IF(ABS(AT294)+ABS(AV294)+ABS(AW294)+ABS(AX294)+ABS(AY294)+ABS(AZ294)+ABS(BA294)+ABS(BB294)&gt;0,1,0),1))</f>
        <v/>
      </c>
      <c r="BR294" s="124" t="str">
        <f>IF($B294="","",COUNTIF(STG_ZPMW03!$B$6:$B$505,B294))</f>
        <v/>
      </c>
      <c r="BS294" s="124" t="str">
        <f>IF($B294="","",COUNTIF($B$6:$B$505,B294))</f>
        <v/>
      </c>
      <c r="BT294" s="124" t="str">
        <f>IF($B294="","",IF(BR294=0,0,IF(INDEX(STG_ZPMW03!$I$6:$I$505,MATCH(B294,STG_ZPMW03!$B$6:$B$505,0))=J294&amp;"",0,1)))</f>
        <v/>
      </c>
      <c r="BU294" s="124" t="str">
        <f>IF($B294="","",IFERROR(IF(ABS(INDEX(Mapping!$D$5:$D$104,MATCH(B294,Mapping!$A$5:$A$104,0))-Q294)&gt;P_Tol,1,0),0))</f>
        <v/>
      </c>
      <c r="BV294" s="124" t="str">
        <f>IF($B294="","",IFERROR(IF(AND(INDEX(Mapping!$G$5:$G$104,MATCH(B294,Mapping!$A$5:$A$104,0))="Nee",ABS(Q294)+ABS(Z294)+ABS(AR294)&gt;0),1,0),0))</f>
        <v/>
      </c>
      <c r="BW294" s="124" t="str">
        <f>IF($B294="","",IF(COUNTIF(Mapping!$A$5:$A$104,B294)&gt;0,1,0))</f>
        <v/>
      </c>
      <c r="BX294" s="124" t="str">
        <f>IF($B294="","",IF(BR294=0,COUNTIF($BR$6:BR294,0),""))</f>
        <v/>
      </c>
    </row>
    <row r="295">
      <c r="A295" s="15" t="n">
        <v>291</v>
      </c>
      <c r="B295" t="str">
        <f>IF(B$3=0,"",IF(INDEX(SRC_Woningetalage!$A$1:$ZZ$501,$A295,B$3)&amp;""="","",INDEX(SRC_Woningetalage!$A$1:$ZZ$501,$A295,B$3)&amp;""))</f>
        <v/>
      </c>
      <c r="C295" t="str">
        <f>IF($B295="","",IF(C$3=0,"n.b.",INDEX(SRC_Woningetalage!$A$1:$ZZ$501,$A295,C$3)))</f>
        <v/>
      </c>
      <c r="D295" t="str">
        <f>IF($B295="","",IF(D$3=0,"n.b.",INDEX(SRC_Woningetalage!$A$1:$ZZ$501,$A295,D$3)))</f>
        <v/>
      </c>
      <c r="E295" t="str">
        <f>IF($B295="","",IF(E$3=0,"n.b.",INDEX(SRC_Woningetalage!$A$1:$ZZ$501,$A295,E$3)))</f>
        <v/>
      </c>
      <c r="F295" t="str">
        <f>IF($B295="","",IF(F$3=0,"n.b.",INDEX(SRC_Woningetalage!$A$1:$ZZ$501,$A295,F$3)))</f>
        <v/>
      </c>
      <c r="G295" t="str">
        <f>IF($B295="","",IF(G$3=0,"n.b.",INDEX(SRC_Woningetalage!$A$1:$ZZ$501,$A295,G$3)))</f>
        <v/>
      </c>
      <c r="H295" t="str">
        <f>IF($B295="","",IF(H$3=0,"n.b.",INDEX(SRC_Woningetalage!$A$1:$ZZ$501,$A295,H$3)))</f>
        <v/>
      </c>
      <c r="I295" t="str">
        <f>IF($B295="","",IF(I$3=0,"n.b.",INDEX(SRC_Woningetalage!$A$1:$ZZ$501,$A295,I$3)))</f>
        <v/>
      </c>
      <c r="J295" t="str">
        <f>IF($B295="","",IF(J$3=0,"n.b.",INDEX(SRC_Woningetalage!$A$1:$ZZ$501,$A295,J$3)))</f>
        <v/>
      </c>
      <c r="K295" t="str">
        <f>IF($B295="","",IF(K$3=0,"n.b.",INDEX(SRC_Woningetalage!$A$1:$ZZ$501,$A295,K$3)))</f>
        <v/>
      </c>
      <c r="L295" t="str">
        <f>IF($B295="","",IF(L$3=0,"n.b.",INDEX(SRC_Woningetalage!$A$1:$ZZ$501,$A295,L$3)))</f>
        <v/>
      </c>
      <c r="M295" t="str">
        <f>IF($B295="","",IF(M$3=0,"n.b.",INDEX(SRC_Woningetalage!$A$1:$ZZ$501,$A295,M$3)))</f>
        <v/>
      </c>
      <c r="N295" t="str">
        <f>IF($B295="","",IF(N$3=0,"n.b.",INDEX(SRC_Woningetalage!$A$1:$ZZ$501,$A295,N$3)))</f>
        <v/>
      </c>
      <c r="O295" t="str">
        <f>IF($B295="","",IF(O$3=0,"n.b.",INDEX(SRC_Woningetalage!$A$1:$ZZ$501,$A295,O$3)))</f>
        <v/>
      </c>
      <c r="P295" t="str">
        <f>IF($B295="","",IF(P$3=0,"n.b.",INDEX(SRC_Woningetalage!$A$1:$ZZ$501,$A295,P$3)))</f>
        <v/>
      </c>
      <c r="Q295" s="124" t="str">
        <f>IF($B295="","",IF(Q$3=0,"n.b.",INDEX(SRC_Woningetalage!$A$1:$ZZ$501,$A295,Q$3)))</f>
        <v/>
      </c>
      <c r="R295" s="124" t="str">
        <f>IF($B295="","",IF(R$3=0,"n.b.",INDEX(SRC_Woningetalage!$A$1:$ZZ$501,$A295,R$3)))</f>
        <v/>
      </c>
      <c r="S295" s="124" t="str">
        <f>IF($B295="","",IF(S$3=0,"n.b.",INDEX(SRC_Woningetalage!$A$1:$ZZ$501,$A295,S$3)))</f>
        <v/>
      </c>
      <c r="T295" s="124" t="str">
        <f>IF($B295="","",IF(T$3=0,"n.b.",INDEX(SRC_Woningetalage!$A$1:$ZZ$501,$A295,T$3)))</f>
        <v/>
      </c>
      <c r="U295" s="124" t="str">
        <f>IF($B295="","",IF(U$3=0,"n.b.",INDEX(SRC_Woningetalage!$A$1:$ZZ$501,$A295,U$3)))</f>
        <v/>
      </c>
      <c r="V295" s="124" t="str">
        <f>IF($B295="","",IF(V$3=0,"n.b.",INDEX(SRC_Woningetalage!$A$1:$ZZ$501,$A295,V$3)))</f>
        <v/>
      </c>
      <c r="W295" s="124" t="str">
        <f>IF($B295="","",IF(W$3=0,"n.b.",INDEX(SRC_Woningetalage!$A$1:$ZZ$501,$A295,W$3)))</f>
        <v/>
      </c>
      <c r="X295" s="124" t="str">
        <f>IF($B295="","",IF(X$3=0,"n.b.",INDEX(SRC_Woningetalage!$A$1:$ZZ$501,$A295,X$3)))</f>
        <v/>
      </c>
      <c r="Y295" s="124" t="str">
        <f>IF($B295="","",IF(Y$3=0,"n.b.",INDEX(SRC_Woningetalage!$A$1:$ZZ$501,$A295,Y$3)))</f>
        <v/>
      </c>
      <c r="Z295" s="124" t="str">
        <f>IF($B295="","",IF(Z$3=0,"n.b.",INDEX(SRC_Woningetalage!$A$1:$ZZ$501,$A295,Z$3)))</f>
        <v/>
      </c>
      <c r="AA295" s="124" t="str">
        <f>IF($B295="","",IF(AA$3=0,"n.b.",INDEX(SRC_Woningetalage!$A$1:$ZZ$501,$A295,AA$3)))</f>
        <v/>
      </c>
      <c r="AB295" s="124" t="str">
        <f>IF($B295="","",IF(AB$3=0,"n.b.",INDEX(SRC_Woningetalage!$A$1:$ZZ$501,$A295,AB$3)))</f>
        <v/>
      </c>
      <c r="AC295" s="124" t="str">
        <f>IF($B295="","",IF(AC$3=0,"n.b.",INDEX(SRC_Woningetalage!$A$1:$ZZ$501,$A295,AC$3)))</f>
        <v/>
      </c>
      <c r="AD295" s="124" t="str">
        <f>IF($B295="","",IF(AD$3=0,"n.b.",INDEX(SRC_Woningetalage!$A$1:$ZZ$501,$A295,AD$3)))</f>
        <v/>
      </c>
      <c r="AE295" s="124" t="str">
        <f>IF($B295="","",IF(AE$3=0,"n.b.",INDEX(SRC_Woningetalage!$A$1:$ZZ$501,$A295,AE$3)))</f>
        <v/>
      </c>
      <c r="AF295" s="124" t="str">
        <f>IF($B295="","",IF(AF$3=0,"n.b.",INDEX(SRC_Woningetalage!$A$1:$ZZ$501,$A295,AF$3)))</f>
        <v/>
      </c>
      <c r="AG295" s="124" t="str">
        <f>IF($B295="","",IF(AG$3=0,"n.b.",INDEX(SRC_Woningetalage!$A$1:$ZZ$501,$A295,AG$3)))</f>
        <v/>
      </c>
      <c r="AH295" s="124" t="str">
        <f>IF($B295="","",IF(AH$3=0,"n.b.",INDEX(SRC_Woningetalage!$A$1:$ZZ$501,$A295,AH$3)))</f>
        <v/>
      </c>
      <c r="AI295" s="124" t="str">
        <f>IF($B295="","",IF(AI$3=0,"n.b.",INDEX(SRC_Woningetalage!$A$1:$ZZ$501,$A295,AI$3)))</f>
        <v/>
      </c>
      <c r="AJ295" s="124" t="str">
        <f>IF($B295="","",IF(AJ$3=0,"n.b.",INDEX(SRC_Woningetalage!$A$1:$ZZ$501,$A295,AJ$3)))</f>
        <v/>
      </c>
      <c r="AK295" s="124" t="str">
        <f>IF($B295="","",IF(AK$3=0,"n.b.",INDEX(SRC_Woningetalage!$A$1:$ZZ$501,$A295,AK$3)))</f>
        <v/>
      </c>
      <c r="AL295" s="124" t="str">
        <f>IF($B295="","",IF(AL$3=0,"n.b.",INDEX(SRC_Woningetalage!$A$1:$ZZ$501,$A295,AL$3)))</f>
        <v/>
      </c>
      <c r="AM295" s="124" t="str">
        <f>IF($B295="","",IF(AM$3=0,"n.b.",INDEX(SRC_Woningetalage!$A$1:$ZZ$501,$A295,AM$3)))</f>
        <v/>
      </c>
      <c r="AN295" s="124" t="str">
        <f>IF($B295="","",IF(AN$3=0,"n.b.",INDEX(SRC_Woningetalage!$A$1:$ZZ$501,$A295,AN$3)))</f>
        <v/>
      </c>
      <c r="AO295" s="124" t="str">
        <f>IF($B295="","",IF(AO$3=0,"n.b.",INDEX(SRC_Woningetalage!$A$1:$ZZ$501,$A295,AO$3)))</f>
        <v/>
      </c>
      <c r="AP295" s="124" t="str">
        <f>IF($B295="","",IF(AP$3=0,"n.b.",INDEX(SRC_Woningetalage!$A$1:$ZZ$501,$A295,AP$3)))</f>
        <v/>
      </c>
      <c r="AQ295" s="124" t="str">
        <f>IF($B295="","",IF(AQ$3=0,"n.b.",INDEX(SRC_Woningetalage!$A$1:$ZZ$501,$A295,AQ$3)))</f>
        <v/>
      </c>
      <c r="AR295" s="124" t="str">
        <f>IF($B295="","",IF(AR$3=0,"n.b.",INDEX(SRC_Woningetalage!$A$1:$ZZ$501,$A295,AR$3)))</f>
        <v/>
      </c>
      <c r="AS295" s="124" t="str">
        <f>IF($B295="","",IF(AS$3=0,"n.b.",INDEX(SRC_Woningetalage!$A$1:$ZZ$501,$A295,AS$3)))</f>
        <v/>
      </c>
      <c r="AT295" s="124" t="str">
        <f>IF($B295="","",IF(AT$3=0,"n.b.",INDEX(SRC_Woningetalage!$A$1:$ZZ$501,$A295,AT$3)))</f>
        <v/>
      </c>
      <c r="AU295" s="124" t="str">
        <f>IF($B295="","",IF(AU$3=0,"n.b.",INDEX(SRC_Woningetalage!$A$1:$ZZ$501,$A295,AU$3)))</f>
        <v/>
      </c>
      <c r="AV295" s="124" t="str">
        <f>IF($B295="","",IF(AV$3=0,"n.b.",INDEX(SRC_Woningetalage!$A$1:$ZZ$501,$A295,AV$3)))</f>
        <v/>
      </c>
      <c r="AW295" s="124" t="str">
        <f>IF($B295="","",IF(AW$3=0,"n.b.",INDEX(SRC_Woningetalage!$A$1:$ZZ$501,$A295,AW$3)))</f>
        <v/>
      </c>
      <c r="AX295" s="124" t="str">
        <f>IF($B295="","",IF(AX$3=0,"n.b.",INDEX(SRC_Woningetalage!$A$1:$ZZ$501,$A295,AX$3)))</f>
        <v/>
      </c>
      <c r="AY295" s="124" t="str">
        <f>IF($B295="","",IF(AY$3=0,"n.b.",INDEX(SRC_Woningetalage!$A$1:$ZZ$501,$A295,AY$3)))</f>
        <v/>
      </c>
      <c r="AZ295" s="124" t="str">
        <f>IF($B295="","",IF(AZ$3=0,"n.b.",INDEX(SRC_Woningetalage!$A$1:$ZZ$501,$A295,AZ$3)))</f>
        <v/>
      </c>
      <c r="BA295" s="124" t="str">
        <f>IF($B295="","",IF(BA$3=0,"n.b.",INDEX(SRC_Woningetalage!$A$1:$ZZ$501,$A295,BA$3)))</f>
        <v/>
      </c>
      <c r="BB295" s="124" t="str">
        <f>IF($B295="","",IF(BB$3=0,"n.b.",INDEX(SRC_Woningetalage!$A$1:$ZZ$501,$A295,BB$3)))</f>
        <v/>
      </c>
      <c r="BC295" s="124" t="str">
        <f>IF($B295="","",IFERROR(_xlfn.NUMBERVALUE(E295&amp;"",",","."),"n.b."))</f>
        <v/>
      </c>
      <c r="BD295" s="124" t="str">
        <f>IF($B295="","",IFERROR(_xlfn.NUMBERVALUE(M295&amp;"",",","."),"n.b."))</f>
        <v/>
      </c>
      <c r="BE295" s="124" t="str">
        <f>IF($B295="","",IFERROR(AB295+AC295+AD295,"n.b."))</f>
        <v/>
      </c>
      <c r="BF295" s="124" t="str">
        <f>IF($B295="","",IFERROR(AE295+AF295+AG295,"n.b."))</f>
        <v/>
      </c>
      <c r="BG295" s="124" t="str">
        <f>IF($B295="","",IFERROR(AH295+AI295+AJ295,"n.b."))</f>
        <v/>
      </c>
      <c r="BH295" s="124" t="str">
        <f>IF($B295="","",IFERROR(AK295+AL295+AM295,"n.b."))</f>
        <v/>
      </c>
      <c r="BI295" s="124" t="str">
        <f>IF($B295="","",IFERROR(SUMIF($AB$5:$AM$5,"&lt;="&amp;P_PeilMaand,AB295:AM295),"n.b."))</f>
        <v/>
      </c>
      <c r="BJ295" s="124" t="str">
        <f>IF($B295="","",IFERROR(SUM(AB295:AM295)-BI295,"n.b."))</f>
        <v/>
      </c>
      <c r="BK295" s="124" t="str">
        <f>IF($B295="","",IFERROR(IF(ABS(Q295-(T295+SUM(AB295:AM295)+AS295+AU295))&gt;P_Tol,1,0),1))</f>
        <v/>
      </c>
      <c r="BL295" s="124" t="str">
        <f>IF($B295="","",IFERROR(IF(ABS(AA295-(Q295-Z295))&gt;P_Tol,1,0),1))</f>
        <v/>
      </c>
      <c r="BM295" s="124" t="str">
        <f>IF($B295="","",IFERROR(IF(ABS(Z295-(T295+W295))&gt;P_Tol,1,0),1))</f>
        <v/>
      </c>
      <c r="BN295" s="124" t="str">
        <f>IF($B295="","",IFERROR(IF(ABS(W295-BI295)&gt;P_Tol,1,0),1))</f>
        <v/>
      </c>
      <c r="BO295" s="124" t="str">
        <f>IF($B295="","",IFERROR(IF(OR(ABS(R295+S295-T295)&gt;P_Tol,ABS(U295+V295-W295)&gt;P_Tol,ABS(X295+Y295-Z295)&gt;P_Tol),1,0),1))</f>
        <v/>
      </c>
      <c r="BP295" s="124" t="str">
        <f>IF($B295="","",IFERROR(IF(OR(ABS(AR295-SUM(AB295:AM295))&gt;P_Tol,ABS(AS295-(AN295+AO295+AP295+AQ295))&gt;P_Tol),1,0),1))</f>
        <v/>
      </c>
      <c r="BQ295" s="124" t="str">
        <f>IF($B295="","",IFERROR(IF(ABS(AT295)+ABS(AV295)+ABS(AW295)+ABS(AX295)+ABS(AY295)+ABS(AZ295)+ABS(BA295)+ABS(BB295)&gt;0,1,0),1))</f>
        <v/>
      </c>
      <c r="BR295" s="124" t="str">
        <f>IF($B295="","",COUNTIF(STG_ZPMW03!$B$6:$B$505,B295))</f>
        <v/>
      </c>
      <c r="BS295" s="124" t="str">
        <f>IF($B295="","",COUNTIF($B$6:$B$505,B295))</f>
        <v/>
      </c>
      <c r="BT295" s="124" t="str">
        <f>IF($B295="","",IF(BR295=0,0,IF(INDEX(STG_ZPMW03!$I$6:$I$505,MATCH(B295,STG_ZPMW03!$B$6:$B$505,0))=J295&amp;"",0,1)))</f>
        <v/>
      </c>
      <c r="BU295" s="124" t="str">
        <f>IF($B295="","",IFERROR(IF(ABS(INDEX(Mapping!$D$5:$D$104,MATCH(B295,Mapping!$A$5:$A$104,0))-Q295)&gt;P_Tol,1,0),0))</f>
        <v/>
      </c>
      <c r="BV295" s="124" t="str">
        <f>IF($B295="","",IFERROR(IF(AND(INDEX(Mapping!$G$5:$G$104,MATCH(B295,Mapping!$A$5:$A$104,0))="Nee",ABS(Q295)+ABS(Z295)+ABS(AR295)&gt;0),1,0),0))</f>
        <v/>
      </c>
      <c r="BW295" s="124" t="str">
        <f>IF($B295="","",IF(COUNTIF(Mapping!$A$5:$A$104,B295)&gt;0,1,0))</f>
        <v/>
      </c>
      <c r="BX295" s="124" t="str">
        <f>IF($B295="","",IF(BR295=0,COUNTIF($BR$6:BR295,0),""))</f>
        <v/>
      </c>
    </row>
    <row r="296">
      <c r="A296" s="15" t="n">
        <v>292</v>
      </c>
      <c r="B296" t="str">
        <f>IF(B$3=0,"",IF(INDEX(SRC_Woningetalage!$A$1:$ZZ$501,$A296,B$3)&amp;""="","",INDEX(SRC_Woningetalage!$A$1:$ZZ$501,$A296,B$3)&amp;""))</f>
        <v/>
      </c>
      <c r="C296" t="str">
        <f>IF($B296="","",IF(C$3=0,"n.b.",INDEX(SRC_Woningetalage!$A$1:$ZZ$501,$A296,C$3)))</f>
        <v/>
      </c>
      <c r="D296" t="str">
        <f>IF($B296="","",IF(D$3=0,"n.b.",INDEX(SRC_Woningetalage!$A$1:$ZZ$501,$A296,D$3)))</f>
        <v/>
      </c>
      <c r="E296" t="str">
        <f>IF($B296="","",IF(E$3=0,"n.b.",INDEX(SRC_Woningetalage!$A$1:$ZZ$501,$A296,E$3)))</f>
        <v/>
      </c>
      <c r="F296" t="str">
        <f>IF($B296="","",IF(F$3=0,"n.b.",INDEX(SRC_Woningetalage!$A$1:$ZZ$501,$A296,F$3)))</f>
        <v/>
      </c>
      <c r="G296" t="str">
        <f>IF($B296="","",IF(G$3=0,"n.b.",INDEX(SRC_Woningetalage!$A$1:$ZZ$501,$A296,G$3)))</f>
        <v/>
      </c>
      <c r="H296" t="str">
        <f>IF($B296="","",IF(H$3=0,"n.b.",INDEX(SRC_Woningetalage!$A$1:$ZZ$501,$A296,H$3)))</f>
        <v/>
      </c>
      <c r="I296" t="str">
        <f>IF($B296="","",IF(I$3=0,"n.b.",INDEX(SRC_Woningetalage!$A$1:$ZZ$501,$A296,I$3)))</f>
        <v/>
      </c>
      <c r="J296" t="str">
        <f>IF($B296="","",IF(J$3=0,"n.b.",INDEX(SRC_Woningetalage!$A$1:$ZZ$501,$A296,J$3)))</f>
        <v/>
      </c>
      <c r="K296" t="str">
        <f>IF($B296="","",IF(K$3=0,"n.b.",INDEX(SRC_Woningetalage!$A$1:$ZZ$501,$A296,K$3)))</f>
        <v/>
      </c>
      <c r="L296" t="str">
        <f>IF($B296="","",IF(L$3=0,"n.b.",INDEX(SRC_Woningetalage!$A$1:$ZZ$501,$A296,L$3)))</f>
        <v/>
      </c>
      <c r="M296" t="str">
        <f>IF($B296="","",IF(M$3=0,"n.b.",INDEX(SRC_Woningetalage!$A$1:$ZZ$501,$A296,M$3)))</f>
        <v/>
      </c>
      <c r="N296" t="str">
        <f>IF($B296="","",IF(N$3=0,"n.b.",INDEX(SRC_Woningetalage!$A$1:$ZZ$501,$A296,N$3)))</f>
        <v/>
      </c>
      <c r="O296" t="str">
        <f>IF($B296="","",IF(O$3=0,"n.b.",INDEX(SRC_Woningetalage!$A$1:$ZZ$501,$A296,O$3)))</f>
        <v/>
      </c>
      <c r="P296" t="str">
        <f>IF($B296="","",IF(P$3=0,"n.b.",INDEX(SRC_Woningetalage!$A$1:$ZZ$501,$A296,P$3)))</f>
        <v/>
      </c>
      <c r="Q296" s="124" t="str">
        <f>IF($B296="","",IF(Q$3=0,"n.b.",INDEX(SRC_Woningetalage!$A$1:$ZZ$501,$A296,Q$3)))</f>
        <v/>
      </c>
      <c r="R296" s="124" t="str">
        <f>IF($B296="","",IF(R$3=0,"n.b.",INDEX(SRC_Woningetalage!$A$1:$ZZ$501,$A296,R$3)))</f>
        <v/>
      </c>
      <c r="S296" s="124" t="str">
        <f>IF($B296="","",IF(S$3=0,"n.b.",INDEX(SRC_Woningetalage!$A$1:$ZZ$501,$A296,S$3)))</f>
        <v/>
      </c>
      <c r="T296" s="124" t="str">
        <f>IF($B296="","",IF(T$3=0,"n.b.",INDEX(SRC_Woningetalage!$A$1:$ZZ$501,$A296,T$3)))</f>
        <v/>
      </c>
      <c r="U296" s="124" t="str">
        <f>IF($B296="","",IF(U$3=0,"n.b.",INDEX(SRC_Woningetalage!$A$1:$ZZ$501,$A296,U$3)))</f>
        <v/>
      </c>
      <c r="V296" s="124" t="str">
        <f>IF($B296="","",IF(V$3=0,"n.b.",INDEX(SRC_Woningetalage!$A$1:$ZZ$501,$A296,V$3)))</f>
        <v/>
      </c>
      <c r="W296" s="124" t="str">
        <f>IF($B296="","",IF(W$3=0,"n.b.",INDEX(SRC_Woningetalage!$A$1:$ZZ$501,$A296,W$3)))</f>
        <v/>
      </c>
      <c r="X296" s="124" t="str">
        <f>IF($B296="","",IF(X$3=0,"n.b.",INDEX(SRC_Woningetalage!$A$1:$ZZ$501,$A296,X$3)))</f>
        <v/>
      </c>
      <c r="Y296" s="124" t="str">
        <f>IF($B296="","",IF(Y$3=0,"n.b.",INDEX(SRC_Woningetalage!$A$1:$ZZ$501,$A296,Y$3)))</f>
        <v/>
      </c>
      <c r="Z296" s="124" t="str">
        <f>IF($B296="","",IF(Z$3=0,"n.b.",INDEX(SRC_Woningetalage!$A$1:$ZZ$501,$A296,Z$3)))</f>
        <v/>
      </c>
      <c r="AA296" s="124" t="str">
        <f>IF($B296="","",IF(AA$3=0,"n.b.",INDEX(SRC_Woningetalage!$A$1:$ZZ$501,$A296,AA$3)))</f>
        <v/>
      </c>
      <c r="AB296" s="124" t="str">
        <f>IF($B296="","",IF(AB$3=0,"n.b.",INDEX(SRC_Woningetalage!$A$1:$ZZ$501,$A296,AB$3)))</f>
        <v/>
      </c>
      <c r="AC296" s="124" t="str">
        <f>IF($B296="","",IF(AC$3=0,"n.b.",INDEX(SRC_Woningetalage!$A$1:$ZZ$501,$A296,AC$3)))</f>
        <v/>
      </c>
      <c r="AD296" s="124" t="str">
        <f>IF($B296="","",IF(AD$3=0,"n.b.",INDEX(SRC_Woningetalage!$A$1:$ZZ$501,$A296,AD$3)))</f>
        <v/>
      </c>
      <c r="AE296" s="124" t="str">
        <f>IF($B296="","",IF(AE$3=0,"n.b.",INDEX(SRC_Woningetalage!$A$1:$ZZ$501,$A296,AE$3)))</f>
        <v/>
      </c>
      <c r="AF296" s="124" t="str">
        <f>IF($B296="","",IF(AF$3=0,"n.b.",INDEX(SRC_Woningetalage!$A$1:$ZZ$501,$A296,AF$3)))</f>
        <v/>
      </c>
      <c r="AG296" s="124" t="str">
        <f>IF($B296="","",IF(AG$3=0,"n.b.",INDEX(SRC_Woningetalage!$A$1:$ZZ$501,$A296,AG$3)))</f>
        <v/>
      </c>
      <c r="AH296" s="124" t="str">
        <f>IF($B296="","",IF(AH$3=0,"n.b.",INDEX(SRC_Woningetalage!$A$1:$ZZ$501,$A296,AH$3)))</f>
        <v/>
      </c>
      <c r="AI296" s="124" t="str">
        <f>IF($B296="","",IF(AI$3=0,"n.b.",INDEX(SRC_Woningetalage!$A$1:$ZZ$501,$A296,AI$3)))</f>
        <v/>
      </c>
      <c r="AJ296" s="124" t="str">
        <f>IF($B296="","",IF(AJ$3=0,"n.b.",INDEX(SRC_Woningetalage!$A$1:$ZZ$501,$A296,AJ$3)))</f>
        <v/>
      </c>
      <c r="AK296" s="124" t="str">
        <f>IF($B296="","",IF(AK$3=0,"n.b.",INDEX(SRC_Woningetalage!$A$1:$ZZ$501,$A296,AK$3)))</f>
        <v/>
      </c>
      <c r="AL296" s="124" t="str">
        <f>IF($B296="","",IF(AL$3=0,"n.b.",INDEX(SRC_Woningetalage!$A$1:$ZZ$501,$A296,AL$3)))</f>
        <v/>
      </c>
      <c r="AM296" s="124" t="str">
        <f>IF($B296="","",IF(AM$3=0,"n.b.",INDEX(SRC_Woningetalage!$A$1:$ZZ$501,$A296,AM$3)))</f>
        <v/>
      </c>
      <c r="AN296" s="124" t="str">
        <f>IF($B296="","",IF(AN$3=0,"n.b.",INDEX(SRC_Woningetalage!$A$1:$ZZ$501,$A296,AN$3)))</f>
        <v/>
      </c>
      <c r="AO296" s="124" t="str">
        <f>IF($B296="","",IF(AO$3=0,"n.b.",INDEX(SRC_Woningetalage!$A$1:$ZZ$501,$A296,AO$3)))</f>
        <v/>
      </c>
      <c r="AP296" s="124" t="str">
        <f>IF($B296="","",IF(AP$3=0,"n.b.",INDEX(SRC_Woningetalage!$A$1:$ZZ$501,$A296,AP$3)))</f>
        <v/>
      </c>
      <c r="AQ296" s="124" t="str">
        <f>IF($B296="","",IF(AQ$3=0,"n.b.",INDEX(SRC_Woningetalage!$A$1:$ZZ$501,$A296,AQ$3)))</f>
        <v/>
      </c>
      <c r="AR296" s="124" t="str">
        <f>IF($B296="","",IF(AR$3=0,"n.b.",INDEX(SRC_Woningetalage!$A$1:$ZZ$501,$A296,AR$3)))</f>
        <v/>
      </c>
      <c r="AS296" s="124" t="str">
        <f>IF($B296="","",IF(AS$3=0,"n.b.",INDEX(SRC_Woningetalage!$A$1:$ZZ$501,$A296,AS$3)))</f>
        <v/>
      </c>
      <c r="AT296" s="124" t="str">
        <f>IF($B296="","",IF(AT$3=0,"n.b.",INDEX(SRC_Woningetalage!$A$1:$ZZ$501,$A296,AT$3)))</f>
        <v/>
      </c>
      <c r="AU296" s="124" t="str">
        <f>IF($B296="","",IF(AU$3=0,"n.b.",INDEX(SRC_Woningetalage!$A$1:$ZZ$501,$A296,AU$3)))</f>
        <v/>
      </c>
      <c r="AV296" s="124" t="str">
        <f>IF($B296="","",IF(AV$3=0,"n.b.",INDEX(SRC_Woningetalage!$A$1:$ZZ$501,$A296,AV$3)))</f>
        <v/>
      </c>
      <c r="AW296" s="124" t="str">
        <f>IF($B296="","",IF(AW$3=0,"n.b.",INDEX(SRC_Woningetalage!$A$1:$ZZ$501,$A296,AW$3)))</f>
        <v/>
      </c>
      <c r="AX296" s="124" t="str">
        <f>IF($B296="","",IF(AX$3=0,"n.b.",INDEX(SRC_Woningetalage!$A$1:$ZZ$501,$A296,AX$3)))</f>
        <v/>
      </c>
      <c r="AY296" s="124" t="str">
        <f>IF($B296="","",IF(AY$3=0,"n.b.",INDEX(SRC_Woningetalage!$A$1:$ZZ$501,$A296,AY$3)))</f>
        <v/>
      </c>
      <c r="AZ296" s="124" t="str">
        <f>IF($B296="","",IF(AZ$3=0,"n.b.",INDEX(SRC_Woningetalage!$A$1:$ZZ$501,$A296,AZ$3)))</f>
        <v/>
      </c>
      <c r="BA296" s="124" t="str">
        <f>IF($B296="","",IF(BA$3=0,"n.b.",INDEX(SRC_Woningetalage!$A$1:$ZZ$501,$A296,BA$3)))</f>
        <v/>
      </c>
      <c r="BB296" s="124" t="str">
        <f>IF($B296="","",IF(BB$3=0,"n.b.",INDEX(SRC_Woningetalage!$A$1:$ZZ$501,$A296,BB$3)))</f>
        <v/>
      </c>
      <c r="BC296" s="124" t="str">
        <f>IF($B296="","",IFERROR(_xlfn.NUMBERVALUE(E296&amp;"",",","."),"n.b."))</f>
        <v/>
      </c>
      <c r="BD296" s="124" t="str">
        <f>IF($B296="","",IFERROR(_xlfn.NUMBERVALUE(M296&amp;"",",","."),"n.b."))</f>
        <v/>
      </c>
      <c r="BE296" s="124" t="str">
        <f>IF($B296="","",IFERROR(AB296+AC296+AD296,"n.b."))</f>
        <v/>
      </c>
      <c r="BF296" s="124" t="str">
        <f>IF($B296="","",IFERROR(AE296+AF296+AG296,"n.b."))</f>
        <v/>
      </c>
      <c r="BG296" s="124" t="str">
        <f>IF($B296="","",IFERROR(AH296+AI296+AJ296,"n.b."))</f>
        <v/>
      </c>
      <c r="BH296" s="124" t="str">
        <f>IF($B296="","",IFERROR(AK296+AL296+AM296,"n.b."))</f>
        <v/>
      </c>
      <c r="BI296" s="124" t="str">
        <f>IF($B296="","",IFERROR(SUMIF($AB$5:$AM$5,"&lt;="&amp;P_PeilMaand,AB296:AM296),"n.b."))</f>
        <v/>
      </c>
      <c r="BJ296" s="124" t="str">
        <f>IF($B296="","",IFERROR(SUM(AB296:AM296)-BI296,"n.b."))</f>
        <v/>
      </c>
      <c r="BK296" s="124" t="str">
        <f>IF($B296="","",IFERROR(IF(ABS(Q296-(T296+SUM(AB296:AM296)+AS296+AU296))&gt;P_Tol,1,0),1))</f>
        <v/>
      </c>
      <c r="BL296" s="124" t="str">
        <f>IF($B296="","",IFERROR(IF(ABS(AA296-(Q296-Z296))&gt;P_Tol,1,0),1))</f>
        <v/>
      </c>
      <c r="BM296" s="124" t="str">
        <f>IF($B296="","",IFERROR(IF(ABS(Z296-(T296+W296))&gt;P_Tol,1,0),1))</f>
        <v/>
      </c>
      <c r="BN296" s="124" t="str">
        <f>IF($B296="","",IFERROR(IF(ABS(W296-BI296)&gt;P_Tol,1,0),1))</f>
        <v/>
      </c>
      <c r="BO296" s="124" t="str">
        <f>IF($B296="","",IFERROR(IF(OR(ABS(R296+S296-T296)&gt;P_Tol,ABS(U296+V296-W296)&gt;P_Tol,ABS(X296+Y296-Z296)&gt;P_Tol),1,0),1))</f>
        <v/>
      </c>
      <c r="BP296" s="124" t="str">
        <f>IF($B296="","",IFERROR(IF(OR(ABS(AR296-SUM(AB296:AM296))&gt;P_Tol,ABS(AS296-(AN296+AO296+AP296+AQ296))&gt;P_Tol),1,0),1))</f>
        <v/>
      </c>
      <c r="BQ296" s="124" t="str">
        <f>IF($B296="","",IFERROR(IF(ABS(AT296)+ABS(AV296)+ABS(AW296)+ABS(AX296)+ABS(AY296)+ABS(AZ296)+ABS(BA296)+ABS(BB296)&gt;0,1,0),1))</f>
        <v/>
      </c>
      <c r="BR296" s="124" t="str">
        <f>IF($B296="","",COUNTIF(STG_ZPMW03!$B$6:$B$505,B296))</f>
        <v/>
      </c>
      <c r="BS296" s="124" t="str">
        <f>IF($B296="","",COUNTIF($B$6:$B$505,B296))</f>
        <v/>
      </c>
      <c r="BT296" s="124" t="str">
        <f>IF($B296="","",IF(BR296=0,0,IF(INDEX(STG_ZPMW03!$I$6:$I$505,MATCH(B296,STG_ZPMW03!$B$6:$B$505,0))=J296&amp;"",0,1)))</f>
        <v/>
      </c>
      <c r="BU296" s="124" t="str">
        <f>IF($B296="","",IFERROR(IF(ABS(INDEX(Mapping!$D$5:$D$104,MATCH(B296,Mapping!$A$5:$A$104,0))-Q296)&gt;P_Tol,1,0),0))</f>
        <v/>
      </c>
      <c r="BV296" s="124" t="str">
        <f>IF($B296="","",IFERROR(IF(AND(INDEX(Mapping!$G$5:$G$104,MATCH(B296,Mapping!$A$5:$A$104,0))="Nee",ABS(Q296)+ABS(Z296)+ABS(AR296)&gt;0),1,0),0))</f>
        <v/>
      </c>
      <c r="BW296" s="124" t="str">
        <f>IF($B296="","",IF(COUNTIF(Mapping!$A$5:$A$104,B296)&gt;0,1,0))</f>
        <v/>
      </c>
      <c r="BX296" s="124" t="str">
        <f>IF($B296="","",IF(BR296=0,COUNTIF($BR$6:BR296,0),""))</f>
        <v/>
      </c>
    </row>
    <row r="297">
      <c r="A297" s="15" t="n">
        <v>293</v>
      </c>
      <c r="B297" t="str">
        <f>IF(B$3=0,"",IF(INDEX(SRC_Woningetalage!$A$1:$ZZ$501,$A297,B$3)&amp;""="","",INDEX(SRC_Woningetalage!$A$1:$ZZ$501,$A297,B$3)&amp;""))</f>
        <v/>
      </c>
      <c r="C297" t="str">
        <f>IF($B297="","",IF(C$3=0,"n.b.",INDEX(SRC_Woningetalage!$A$1:$ZZ$501,$A297,C$3)))</f>
        <v/>
      </c>
      <c r="D297" t="str">
        <f>IF($B297="","",IF(D$3=0,"n.b.",INDEX(SRC_Woningetalage!$A$1:$ZZ$501,$A297,D$3)))</f>
        <v/>
      </c>
      <c r="E297" t="str">
        <f>IF($B297="","",IF(E$3=0,"n.b.",INDEX(SRC_Woningetalage!$A$1:$ZZ$501,$A297,E$3)))</f>
        <v/>
      </c>
      <c r="F297" t="str">
        <f>IF($B297="","",IF(F$3=0,"n.b.",INDEX(SRC_Woningetalage!$A$1:$ZZ$501,$A297,F$3)))</f>
        <v/>
      </c>
      <c r="G297" t="str">
        <f>IF($B297="","",IF(G$3=0,"n.b.",INDEX(SRC_Woningetalage!$A$1:$ZZ$501,$A297,G$3)))</f>
        <v/>
      </c>
      <c r="H297" t="str">
        <f>IF($B297="","",IF(H$3=0,"n.b.",INDEX(SRC_Woningetalage!$A$1:$ZZ$501,$A297,H$3)))</f>
        <v/>
      </c>
      <c r="I297" t="str">
        <f>IF($B297="","",IF(I$3=0,"n.b.",INDEX(SRC_Woningetalage!$A$1:$ZZ$501,$A297,I$3)))</f>
        <v/>
      </c>
      <c r="J297" t="str">
        <f>IF($B297="","",IF(J$3=0,"n.b.",INDEX(SRC_Woningetalage!$A$1:$ZZ$501,$A297,J$3)))</f>
        <v/>
      </c>
      <c r="K297" t="str">
        <f>IF($B297="","",IF(K$3=0,"n.b.",INDEX(SRC_Woningetalage!$A$1:$ZZ$501,$A297,K$3)))</f>
        <v/>
      </c>
      <c r="L297" t="str">
        <f>IF($B297="","",IF(L$3=0,"n.b.",INDEX(SRC_Woningetalage!$A$1:$ZZ$501,$A297,L$3)))</f>
        <v/>
      </c>
      <c r="M297" t="str">
        <f>IF($B297="","",IF(M$3=0,"n.b.",INDEX(SRC_Woningetalage!$A$1:$ZZ$501,$A297,M$3)))</f>
        <v/>
      </c>
      <c r="N297" t="str">
        <f>IF($B297="","",IF(N$3=0,"n.b.",INDEX(SRC_Woningetalage!$A$1:$ZZ$501,$A297,N$3)))</f>
        <v/>
      </c>
      <c r="O297" t="str">
        <f>IF($B297="","",IF(O$3=0,"n.b.",INDEX(SRC_Woningetalage!$A$1:$ZZ$501,$A297,O$3)))</f>
        <v/>
      </c>
      <c r="P297" t="str">
        <f>IF($B297="","",IF(P$3=0,"n.b.",INDEX(SRC_Woningetalage!$A$1:$ZZ$501,$A297,P$3)))</f>
        <v/>
      </c>
      <c r="Q297" s="124" t="str">
        <f>IF($B297="","",IF(Q$3=0,"n.b.",INDEX(SRC_Woningetalage!$A$1:$ZZ$501,$A297,Q$3)))</f>
        <v/>
      </c>
      <c r="R297" s="124" t="str">
        <f>IF($B297="","",IF(R$3=0,"n.b.",INDEX(SRC_Woningetalage!$A$1:$ZZ$501,$A297,R$3)))</f>
        <v/>
      </c>
      <c r="S297" s="124" t="str">
        <f>IF($B297="","",IF(S$3=0,"n.b.",INDEX(SRC_Woningetalage!$A$1:$ZZ$501,$A297,S$3)))</f>
        <v/>
      </c>
      <c r="T297" s="124" t="str">
        <f>IF($B297="","",IF(T$3=0,"n.b.",INDEX(SRC_Woningetalage!$A$1:$ZZ$501,$A297,T$3)))</f>
        <v/>
      </c>
      <c r="U297" s="124" t="str">
        <f>IF($B297="","",IF(U$3=0,"n.b.",INDEX(SRC_Woningetalage!$A$1:$ZZ$501,$A297,U$3)))</f>
        <v/>
      </c>
      <c r="V297" s="124" t="str">
        <f>IF($B297="","",IF(V$3=0,"n.b.",INDEX(SRC_Woningetalage!$A$1:$ZZ$501,$A297,V$3)))</f>
        <v/>
      </c>
      <c r="W297" s="124" t="str">
        <f>IF($B297="","",IF(W$3=0,"n.b.",INDEX(SRC_Woningetalage!$A$1:$ZZ$501,$A297,W$3)))</f>
        <v/>
      </c>
      <c r="X297" s="124" t="str">
        <f>IF($B297="","",IF(X$3=0,"n.b.",INDEX(SRC_Woningetalage!$A$1:$ZZ$501,$A297,X$3)))</f>
        <v/>
      </c>
      <c r="Y297" s="124" t="str">
        <f>IF($B297="","",IF(Y$3=0,"n.b.",INDEX(SRC_Woningetalage!$A$1:$ZZ$501,$A297,Y$3)))</f>
        <v/>
      </c>
      <c r="Z297" s="124" t="str">
        <f>IF($B297="","",IF(Z$3=0,"n.b.",INDEX(SRC_Woningetalage!$A$1:$ZZ$501,$A297,Z$3)))</f>
        <v/>
      </c>
      <c r="AA297" s="124" t="str">
        <f>IF($B297="","",IF(AA$3=0,"n.b.",INDEX(SRC_Woningetalage!$A$1:$ZZ$501,$A297,AA$3)))</f>
        <v/>
      </c>
      <c r="AB297" s="124" t="str">
        <f>IF($B297="","",IF(AB$3=0,"n.b.",INDEX(SRC_Woningetalage!$A$1:$ZZ$501,$A297,AB$3)))</f>
        <v/>
      </c>
      <c r="AC297" s="124" t="str">
        <f>IF($B297="","",IF(AC$3=0,"n.b.",INDEX(SRC_Woningetalage!$A$1:$ZZ$501,$A297,AC$3)))</f>
        <v/>
      </c>
      <c r="AD297" s="124" t="str">
        <f>IF($B297="","",IF(AD$3=0,"n.b.",INDEX(SRC_Woningetalage!$A$1:$ZZ$501,$A297,AD$3)))</f>
        <v/>
      </c>
      <c r="AE297" s="124" t="str">
        <f>IF($B297="","",IF(AE$3=0,"n.b.",INDEX(SRC_Woningetalage!$A$1:$ZZ$501,$A297,AE$3)))</f>
        <v/>
      </c>
      <c r="AF297" s="124" t="str">
        <f>IF($B297="","",IF(AF$3=0,"n.b.",INDEX(SRC_Woningetalage!$A$1:$ZZ$501,$A297,AF$3)))</f>
        <v/>
      </c>
      <c r="AG297" s="124" t="str">
        <f>IF($B297="","",IF(AG$3=0,"n.b.",INDEX(SRC_Woningetalage!$A$1:$ZZ$501,$A297,AG$3)))</f>
        <v/>
      </c>
      <c r="AH297" s="124" t="str">
        <f>IF($B297="","",IF(AH$3=0,"n.b.",INDEX(SRC_Woningetalage!$A$1:$ZZ$501,$A297,AH$3)))</f>
        <v/>
      </c>
      <c r="AI297" s="124" t="str">
        <f>IF($B297="","",IF(AI$3=0,"n.b.",INDEX(SRC_Woningetalage!$A$1:$ZZ$501,$A297,AI$3)))</f>
        <v/>
      </c>
      <c r="AJ297" s="124" t="str">
        <f>IF($B297="","",IF(AJ$3=0,"n.b.",INDEX(SRC_Woningetalage!$A$1:$ZZ$501,$A297,AJ$3)))</f>
        <v/>
      </c>
      <c r="AK297" s="124" t="str">
        <f>IF($B297="","",IF(AK$3=0,"n.b.",INDEX(SRC_Woningetalage!$A$1:$ZZ$501,$A297,AK$3)))</f>
        <v/>
      </c>
      <c r="AL297" s="124" t="str">
        <f>IF($B297="","",IF(AL$3=0,"n.b.",INDEX(SRC_Woningetalage!$A$1:$ZZ$501,$A297,AL$3)))</f>
        <v/>
      </c>
      <c r="AM297" s="124" t="str">
        <f>IF($B297="","",IF(AM$3=0,"n.b.",INDEX(SRC_Woningetalage!$A$1:$ZZ$501,$A297,AM$3)))</f>
        <v/>
      </c>
      <c r="AN297" s="124" t="str">
        <f>IF($B297="","",IF(AN$3=0,"n.b.",INDEX(SRC_Woningetalage!$A$1:$ZZ$501,$A297,AN$3)))</f>
        <v/>
      </c>
      <c r="AO297" s="124" t="str">
        <f>IF($B297="","",IF(AO$3=0,"n.b.",INDEX(SRC_Woningetalage!$A$1:$ZZ$501,$A297,AO$3)))</f>
        <v/>
      </c>
      <c r="AP297" s="124" t="str">
        <f>IF($B297="","",IF(AP$3=0,"n.b.",INDEX(SRC_Woningetalage!$A$1:$ZZ$501,$A297,AP$3)))</f>
        <v/>
      </c>
      <c r="AQ297" s="124" t="str">
        <f>IF($B297="","",IF(AQ$3=0,"n.b.",INDEX(SRC_Woningetalage!$A$1:$ZZ$501,$A297,AQ$3)))</f>
        <v/>
      </c>
      <c r="AR297" s="124" t="str">
        <f>IF($B297="","",IF(AR$3=0,"n.b.",INDEX(SRC_Woningetalage!$A$1:$ZZ$501,$A297,AR$3)))</f>
        <v/>
      </c>
      <c r="AS297" s="124" t="str">
        <f>IF($B297="","",IF(AS$3=0,"n.b.",INDEX(SRC_Woningetalage!$A$1:$ZZ$501,$A297,AS$3)))</f>
        <v/>
      </c>
      <c r="AT297" s="124" t="str">
        <f>IF($B297="","",IF(AT$3=0,"n.b.",INDEX(SRC_Woningetalage!$A$1:$ZZ$501,$A297,AT$3)))</f>
        <v/>
      </c>
      <c r="AU297" s="124" t="str">
        <f>IF($B297="","",IF(AU$3=0,"n.b.",INDEX(SRC_Woningetalage!$A$1:$ZZ$501,$A297,AU$3)))</f>
        <v/>
      </c>
      <c r="AV297" s="124" t="str">
        <f>IF($B297="","",IF(AV$3=0,"n.b.",INDEX(SRC_Woningetalage!$A$1:$ZZ$501,$A297,AV$3)))</f>
        <v/>
      </c>
      <c r="AW297" s="124" t="str">
        <f>IF($B297="","",IF(AW$3=0,"n.b.",INDEX(SRC_Woningetalage!$A$1:$ZZ$501,$A297,AW$3)))</f>
        <v/>
      </c>
      <c r="AX297" s="124" t="str">
        <f>IF($B297="","",IF(AX$3=0,"n.b.",INDEX(SRC_Woningetalage!$A$1:$ZZ$501,$A297,AX$3)))</f>
        <v/>
      </c>
      <c r="AY297" s="124" t="str">
        <f>IF($B297="","",IF(AY$3=0,"n.b.",INDEX(SRC_Woningetalage!$A$1:$ZZ$501,$A297,AY$3)))</f>
        <v/>
      </c>
      <c r="AZ297" s="124" t="str">
        <f>IF($B297="","",IF(AZ$3=0,"n.b.",INDEX(SRC_Woningetalage!$A$1:$ZZ$501,$A297,AZ$3)))</f>
        <v/>
      </c>
      <c r="BA297" s="124" t="str">
        <f>IF($B297="","",IF(BA$3=0,"n.b.",INDEX(SRC_Woningetalage!$A$1:$ZZ$501,$A297,BA$3)))</f>
        <v/>
      </c>
      <c r="BB297" s="124" t="str">
        <f>IF($B297="","",IF(BB$3=0,"n.b.",INDEX(SRC_Woningetalage!$A$1:$ZZ$501,$A297,BB$3)))</f>
        <v/>
      </c>
      <c r="BC297" s="124" t="str">
        <f>IF($B297="","",IFERROR(_xlfn.NUMBERVALUE(E297&amp;"",",","."),"n.b."))</f>
        <v/>
      </c>
      <c r="BD297" s="124" t="str">
        <f>IF($B297="","",IFERROR(_xlfn.NUMBERVALUE(M297&amp;"",",","."),"n.b."))</f>
        <v/>
      </c>
      <c r="BE297" s="124" t="str">
        <f>IF($B297="","",IFERROR(AB297+AC297+AD297,"n.b."))</f>
        <v/>
      </c>
      <c r="BF297" s="124" t="str">
        <f>IF($B297="","",IFERROR(AE297+AF297+AG297,"n.b."))</f>
        <v/>
      </c>
      <c r="BG297" s="124" t="str">
        <f>IF($B297="","",IFERROR(AH297+AI297+AJ297,"n.b."))</f>
        <v/>
      </c>
      <c r="BH297" s="124" t="str">
        <f>IF($B297="","",IFERROR(AK297+AL297+AM297,"n.b."))</f>
        <v/>
      </c>
      <c r="BI297" s="124" t="str">
        <f>IF($B297="","",IFERROR(SUMIF($AB$5:$AM$5,"&lt;="&amp;P_PeilMaand,AB297:AM297),"n.b."))</f>
        <v/>
      </c>
      <c r="BJ297" s="124" t="str">
        <f>IF($B297="","",IFERROR(SUM(AB297:AM297)-BI297,"n.b."))</f>
        <v/>
      </c>
      <c r="BK297" s="124" t="str">
        <f>IF($B297="","",IFERROR(IF(ABS(Q297-(T297+SUM(AB297:AM297)+AS297+AU297))&gt;P_Tol,1,0),1))</f>
        <v/>
      </c>
      <c r="BL297" s="124" t="str">
        <f>IF($B297="","",IFERROR(IF(ABS(AA297-(Q297-Z297))&gt;P_Tol,1,0),1))</f>
        <v/>
      </c>
      <c r="BM297" s="124" t="str">
        <f>IF($B297="","",IFERROR(IF(ABS(Z297-(T297+W297))&gt;P_Tol,1,0),1))</f>
        <v/>
      </c>
      <c r="BN297" s="124" t="str">
        <f>IF($B297="","",IFERROR(IF(ABS(W297-BI297)&gt;P_Tol,1,0),1))</f>
        <v/>
      </c>
      <c r="BO297" s="124" t="str">
        <f>IF($B297="","",IFERROR(IF(OR(ABS(R297+S297-T297)&gt;P_Tol,ABS(U297+V297-W297)&gt;P_Tol,ABS(X297+Y297-Z297)&gt;P_Tol),1,0),1))</f>
        <v/>
      </c>
      <c r="BP297" s="124" t="str">
        <f>IF($B297="","",IFERROR(IF(OR(ABS(AR297-SUM(AB297:AM297))&gt;P_Tol,ABS(AS297-(AN297+AO297+AP297+AQ297))&gt;P_Tol),1,0),1))</f>
        <v/>
      </c>
      <c r="BQ297" s="124" t="str">
        <f>IF($B297="","",IFERROR(IF(ABS(AT297)+ABS(AV297)+ABS(AW297)+ABS(AX297)+ABS(AY297)+ABS(AZ297)+ABS(BA297)+ABS(BB297)&gt;0,1,0),1))</f>
        <v/>
      </c>
      <c r="BR297" s="124" t="str">
        <f>IF($B297="","",COUNTIF(STG_ZPMW03!$B$6:$B$505,B297))</f>
        <v/>
      </c>
      <c r="BS297" s="124" t="str">
        <f>IF($B297="","",COUNTIF($B$6:$B$505,B297))</f>
        <v/>
      </c>
      <c r="BT297" s="124" t="str">
        <f>IF($B297="","",IF(BR297=0,0,IF(INDEX(STG_ZPMW03!$I$6:$I$505,MATCH(B297,STG_ZPMW03!$B$6:$B$505,0))=J297&amp;"",0,1)))</f>
        <v/>
      </c>
      <c r="BU297" s="124" t="str">
        <f>IF($B297="","",IFERROR(IF(ABS(INDEX(Mapping!$D$5:$D$104,MATCH(B297,Mapping!$A$5:$A$104,0))-Q297)&gt;P_Tol,1,0),0))</f>
        <v/>
      </c>
      <c r="BV297" s="124" t="str">
        <f>IF($B297="","",IFERROR(IF(AND(INDEX(Mapping!$G$5:$G$104,MATCH(B297,Mapping!$A$5:$A$104,0))="Nee",ABS(Q297)+ABS(Z297)+ABS(AR297)&gt;0),1,0),0))</f>
        <v/>
      </c>
      <c r="BW297" s="124" t="str">
        <f>IF($B297="","",IF(COUNTIF(Mapping!$A$5:$A$104,B297)&gt;0,1,0))</f>
        <v/>
      </c>
      <c r="BX297" s="124" t="str">
        <f>IF($B297="","",IF(BR297=0,COUNTIF($BR$6:BR297,0),""))</f>
        <v/>
      </c>
    </row>
    <row r="298">
      <c r="A298" s="15" t="n">
        <v>294</v>
      </c>
      <c r="B298" t="str">
        <f>IF(B$3=0,"",IF(INDEX(SRC_Woningetalage!$A$1:$ZZ$501,$A298,B$3)&amp;""="","",INDEX(SRC_Woningetalage!$A$1:$ZZ$501,$A298,B$3)&amp;""))</f>
        <v/>
      </c>
      <c r="C298" t="str">
        <f>IF($B298="","",IF(C$3=0,"n.b.",INDEX(SRC_Woningetalage!$A$1:$ZZ$501,$A298,C$3)))</f>
        <v/>
      </c>
      <c r="D298" t="str">
        <f>IF($B298="","",IF(D$3=0,"n.b.",INDEX(SRC_Woningetalage!$A$1:$ZZ$501,$A298,D$3)))</f>
        <v/>
      </c>
      <c r="E298" t="str">
        <f>IF($B298="","",IF(E$3=0,"n.b.",INDEX(SRC_Woningetalage!$A$1:$ZZ$501,$A298,E$3)))</f>
        <v/>
      </c>
      <c r="F298" t="str">
        <f>IF($B298="","",IF(F$3=0,"n.b.",INDEX(SRC_Woningetalage!$A$1:$ZZ$501,$A298,F$3)))</f>
        <v/>
      </c>
      <c r="G298" t="str">
        <f>IF($B298="","",IF(G$3=0,"n.b.",INDEX(SRC_Woningetalage!$A$1:$ZZ$501,$A298,G$3)))</f>
        <v/>
      </c>
      <c r="H298" t="str">
        <f>IF($B298="","",IF(H$3=0,"n.b.",INDEX(SRC_Woningetalage!$A$1:$ZZ$501,$A298,H$3)))</f>
        <v/>
      </c>
      <c r="I298" t="str">
        <f>IF($B298="","",IF(I$3=0,"n.b.",INDEX(SRC_Woningetalage!$A$1:$ZZ$501,$A298,I$3)))</f>
        <v/>
      </c>
      <c r="J298" t="str">
        <f>IF($B298="","",IF(J$3=0,"n.b.",INDEX(SRC_Woningetalage!$A$1:$ZZ$501,$A298,J$3)))</f>
        <v/>
      </c>
      <c r="K298" t="str">
        <f>IF($B298="","",IF(K$3=0,"n.b.",INDEX(SRC_Woningetalage!$A$1:$ZZ$501,$A298,K$3)))</f>
        <v/>
      </c>
      <c r="L298" t="str">
        <f>IF($B298="","",IF(L$3=0,"n.b.",INDEX(SRC_Woningetalage!$A$1:$ZZ$501,$A298,L$3)))</f>
        <v/>
      </c>
      <c r="M298" t="str">
        <f>IF($B298="","",IF(M$3=0,"n.b.",INDEX(SRC_Woningetalage!$A$1:$ZZ$501,$A298,M$3)))</f>
        <v/>
      </c>
      <c r="N298" t="str">
        <f>IF($B298="","",IF(N$3=0,"n.b.",INDEX(SRC_Woningetalage!$A$1:$ZZ$501,$A298,N$3)))</f>
        <v/>
      </c>
      <c r="O298" t="str">
        <f>IF($B298="","",IF(O$3=0,"n.b.",INDEX(SRC_Woningetalage!$A$1:$ZZ$501,$A298,O$3)))</f>
        <v/>
      </c>
      <c r="P298" t="str">
        <f>IF($B298="","",IF(P$3=0,"n.b.",INDEX(SRC_Woningetalage!$A$1:$ZZ$501,$A298,P$3)))</f>
        <v/>
      </c>
      <c r="Q298" s="124" t="str">
        <f>IF($B298="","",IF(Q$3=0,"n.b.",INDEX(SRC_Woningetalage!$A$1:$ZZ$501,$A298,Q$3)))</f>
        <v/>
      </c>
      <c r="R298" s="124" t="str">
        <f>IF($B298="","",IF(R$3=0,"n.b.",INDEX(SRC_Woningetalage!$A$1:$ZZ$501,$A298,R$3)))</f>
        <v/>
      </c>
      <c r="S298" s="124" t="str">
        <f>IF($B298="","",IF(S$3=0,"n.b.",INDEX(SRC_Woningetalage!$A$1:$ZZ$501,$A298,S$3)))</f>
        <v/>
      </c>
      <c r="T298" s="124" t="str">
        <f>IF($B298="","",IF(T$3=0,"n.b.",INDEX(SRC_Woningetalage!$A$1:$ZZ$501,$A298,T$3)))</f>
        <v/>
      </c>
      <c r="U298" s="124" t="str">
        <f>IF($B298="","",IF(U$3=0,"n.b.",INDEX(SRC_Woningetalage!$A$1:$ZZ$501,$A298,U$3)))</f>
        <v/>
      </c>
      <c r="V298" s="124" t="str">
        <f>IF($B298="","",IF(V$3=0,"n.b.",INDEX(SRC_Woningetalage!$A$1:$ZZ$501,$A298,V$3)))</f>
        <v/>
      </c>
      <c r="W298" s="124" t="str">
        <f>IF($B298="","",IF(W$3=0,"n.b.",INDEX(SRC_Woningetalage!$A$1:$ZZ$501,$A298,W$3)))</f>
        <v/>
      </c>
      <c r="X298" s="124" t="str">
        <f>IF($B298="","",IF(X$3=0,"n.b.",INDEX(SRC_Woningetalage!$A$1:$ZZ$501,$A298,X$3)))</f>
        <v/>
      </c>
      <c r="Y298" s="124" t="str">
        <f>IF($B298="","",IF(Y$3=0,"n.b.",INDEX(SRC_Woningetalage!$A$1:$ZZ$501,$A298,Y$3)))</f>
        <v/>
      </c>
      <c r="Z298" s="124" t="str">
        <f>IF($B298="","",IF(Z$3=0,"n.b.",INDEX(SRC_Woningetalage!$A$1:$ZZ$501,$A298,Z$3)))</f>
        <v/>
      </c>
      <c r="AA298" s="124" t="str">
        <f>IF($B298="","",IF(AA$3=0,"n.b.",INDEX(SRC_Woningetalage!$A$1:$ZZ$501,$A298,AA$3)))</f>
        <v/>
      </c>
      <c r="AB298" s="124" t="str">
        <f>IF($B298="","",IF(AB$3=0,"n.b.",INDEX(SRC_Woningetalage!$A$1:$ZZ$501,$A298,AB$3)))</f>
        <v/>
      </c>
      <c r="AC298" s="124" t="str">
        <f>IF($B298="","",IF(AC$3=0,"n.b.",INDEX(SRC_Woningetalage!$A$1:$ZZ$501,$A298,AC$3)))</f>
        <v/>
      </c>
      <c r="AD298" s="124" t="str">
        <f>IF($B298="","",IF(AD$3=0,"n.b.",INDEX(SRC_Woningetalage!$A$1:$ZZ$501,$A298,AD$3)))</f>
        <v/>
      </c>
      <c r="AE298" s="124" t="str">
        <f>IF($B298="","",IF(AE$3=0,"n.b.",INDEX(SRC_Woningetalage!$A$1:$ZZ$501,$A298,AE$3)))</f>
        <v/>
      </c>
      <c r="AF298" s="124" t="str">
        <f>IF($B298="","",IF(AF$3=0,"n.b.",INDEX(SRC_Woningetalage!$A$1:$ZZ$501,$A298,AF$3)))</f>
        <v/>
      </c>
      <c r="AG298" s="124" t="str">
        <f>IF($B298="","",IF(AG$3=0,"n.b.",INDEX(SRC_Woningetalage!$A$1:$ZZ$501,$A298,AG$3)))</f>
        <v/>
      </c>
      <c r="AH298" s="124" t="str">
        <f>IF($B298="","",IF(AH$3=0,"n.b.",INDEX(SRC_Woningetalage!$A$1:$ZZ$501,$A298,AH$3)))</f>
        <v/>
      </c>
      <c r="AI298" s="124" t="str">
        <f>IF($B298="","",IF(AI$3=0,"n.b.",INDEX(SRC_Woningetalage!$A$1:$ZZ$501,$A298,AI$3)))</f>
        <v/>
      </c>
      <c r="AJ298" s="124" t="str">
        <f>IF($B298="","",IF(AJ$3=0,"n.b.",INDEX(SRC_Woningetalage!$A$1:$ZZ$501,$A298,AJ$3)))</f>
        <v/>
      </c>
      <c r="AK298" s="124" t="str">
        <f>IF($B298="","",IF(AK$3=0,"n.b.",INDEX(SRC_Woningetalage!$A$1:$ZZ$501,$A298,AK$3)))</f>
        <v/>
      </c>
      <c r="AL298" s="124" t="str">
        <f>IF($B298="","",IF(AL$3=0,"n.b.",INDEX(SRC_Woningetalage!$A$1:$ZZ$501,$A298,AL$3)))</f>
        <v/>
      </c>
      <c r="AM298" s="124" t="str">
        <f>IF($B298="","",IF(AM$3=0,"n.b.",INDEX(SRC_Woningetalage!$A$1:$ZZ$501,$A298,AM$3)))</f>
        <v/>
      </c>
      <c r="AN298" s="124" t="str">
        <f>IF($B298="","",IF(AN$3=0,"n.b.",INDEX(SRC_Woningetalage!$A$1:$ZZ$501,$A298,AN$3)))</f>
        <v/>
      </c>
      <c r="AO298" s="124" t="str">
        <f>IF($B298="","",IF(AO$3=0,"n.b.",INDEX(SRC_Woningetalage!$A$1:$ZZ$501,$A298,AO$3)))</f>
        <v/>
      </c>
      <c r="AP298" s="124" t="str">
        <f>IF($B298="","",IF(AP$3=0,"n.b.",INDEX(SRC_Woningetalage!$A$1:$ZZ$501,$A298,AP$3)))</f>
        <v/>
      </c>
      <c r="AQ298" s="124" t="str">
        <f>IF($B298="","",IF(AQ$3=0,"n.b.",INDEX(SRC_Woningetalage!$A$1:$ZZ$501,$A298,AQ$3)))</f>
        <v/>
      </c>
      <c r="AR298" s="124" t="str">
        <f>IF($B298="","",IF(AR$3=0,"n.b.",INDEX(SRC_Woningetalage!$A$1:$ZZ$501,$A298,AR$3)))</f>
        <v/>
      </c>
      <c r="AS298" s="124" t="str">
        <f>IF($B298="","",IF(AS$3=0,"n.b.",INDEX(SRC_Woningetalage!$A$1:$ZZ$501,$A298,AS$3)))</f>
        <v/>
      </c>
      <c r="AT298" s="124" t="str">
        <f>IF($B298="","",IF(AT$3=0,"n.b.",INDEX(SRC_Woningetalage!$A$1:$ZZ$501,$A298,AT$3)))</f>
        <v/>
      </c>
      <c r="AU298" s="124" t="str">
        <f>IF($B298="","",IF(AU$3=0,"n.b.",INDEX(SRC_Woningetalage!$A$1:$ZZ$501,$A298,AU$3)))</f>
        <v/>
      </c>
      <c r="AV298" s="124" t="str">
        <f>IF($B298="","",IF(AV$3=0,"n.b.",INDEX(SRC_Woningetalage!$A$1:$ZZ$501,$A298,AV$3)))</f>
        <v/>
      </c>
      <c r="AW298" s="124" t="str">
        <f>IF($B298="","",IF(AW$3=0,"n.b.",INDEX(SRC_Woningetalage!$A$1:$ZZ$501,$A298,AW$3)))</f>
        <v/>
      </c>
      <c r="AX298" s="124" t="str">
        <f>IF($B298="","",IF(AX$3=0,"n.b.",INDEX(SRC_Woningetalage!$A$1:$ZZ$501,$A298,AX$3)))</f>
        <v/>
      </c>
      <c r="AY298" s="124" t="str">
        <f>IF($B298="","",IF(AY$3=0,"n.b.",INDEX(SRC_Woningetalage!$A$1:$ZZ$501,$A298,AY$3)))</f>
        <v/>
      </c>
      <c r="AZ298" s="124" t="str">
        <f>IF($B298="","",IF(AZ$3=0,"n.b.",INDEX(SRC_Woningetalage!$A$1:$ZZ$501,$A298,AZ$3)))</f>
        <v/>
      </c>
      <c r="BA298" s="124" t="str">
        <f>IF($B298="","",IF(BA$3=0,"n.b.",INDEX(SRC_Woningetalage!$A$1:$ZZ$501,$A298,BA$3)))</f>
        <v/>
      </c>
      <c r="BB298" s="124" t="str">
        <f>IF($B298="","",IF(BB$3=0,"n.b.",INDEX(SRC_Woningetalage!$A$1:$ZZ$501,$A298,BB$3)))</f>
        <v/>
      </c>
      <c r="BC298" s="124" t="str">
        <f>IF($B298="","",IFERROR(_xlfn.NUMBERVALUE(E298&amp;"",",","."),"n.b."))</f>
        <v/>
      </c>
      <c r="BD298" s="124" t="str">
        <f>IF($B298="","",IFERROR(_xlfn.NUMBERVALUE(M298&amp;"",",","."),"n.b."))</f>
        <v/>
      </c>
      <c r="BE298" s="124" t="str">
        <f>IF($B298="","",IFERROR(AB298+AC298+AD298,"n.b."))</f>
        <v/>
      </c>
      <c r="BF298" s="124" t="str">
        <f>IF($B298="","",IFERROR(AE298+AF298+AG298,"n.b."))</f>
        <v/>
      </c>
      <c r="BG298" s="124" t="str">
        <f>IF($B298="","",IFERROR(AH298+AI298+AJ298,"n.b."))</f>
        <v/>
      </c>
      <c r="BH298" s="124" t="str">
        <f>IF($B298="","",IFERROR(AK298+AL298+AM298,"n.b."))</f>
        <v/>
      </c>
      <c r="BI298" s="124" t="str">
        <f>IF($B298="","",IFERROR(SUMIF($AB$5:$AM$5,"&lt;="&amp;P_PeilMaand,AB298:AM298),"n.b."))</f>
        <v/>
      </c>
      <c r="BJ298" s="124" t="str">
        <f>IF($B298="","",IFERROR(SUM(AB298:AM298)-BI298,"n.b."))</f>
        <v/>
      </c>
      <c r="BK298" s="124" t="str">
        <f>IF($B298="","",IFERROR(IF(ABS(Q298-(T298+SUM(AB298:AM298)+AS298+AU298))&gt;P_Tol,1,0),1))</f>
        <v/>
      </c>
      <c r="BL298" s="124" t="str">
        <f>IF($B298="","",IFERROR(IF(ABS(AA298-(Q298-Z298))&gt;P_Tol,1,0),1))</f>
        <v/>
      </c>
      <c r="BM298" s="124" t="str">
        <f>IF($B298="","",IFERROR(IF(ABS(Z298-(T298+W298))&gt;P_Tol,1,0),1))</f>
        <v/>
      </c>
      <c r="BN298" s="124" t="str">
        <f>IF($B298="","",IFERROR(IF(ABS(W298-BI298)&gt;P_Tol,1,0),1))</f>
        <v/>
      </c>
      <c r="BO298" s="124" t="str">
        <f>IF($B298="","",IFERROR(IF(OR(ABS(R298+S298-T298)&gt;P_Tol,ABS(U298+V298-W298)&gt;P_Tol,ABS(X298+Y298-Z298)&gt;P_Tol),1,0),1))</f>
        <v/>
      </c>
      <c r="BP298" s="124" t="str">
        <f>IF($B298="","",IFERROR(IF(OR(ABS(AR298-SUM(AB298:AM298))&gt;P_Tol,ABS(AS298-(AN298+AO298+AP298+AQ298))&gt;P_Tol),1,0),1))</f>
        <v/>
      </c>
      <c r="BQ298" s="124" t="str">
        <f>IF($B298="","",IFERROR(IF(ABS(AT298)+ABS(AV298)+ABS(AW298)+ABS(AX298)+ABS(AY298)+ABS(AZ298)+ABS(BA298)+ABS(BB298)&gt;0,1,0),1))</f>
        <v/>
      </c>
      <c r="BR298" s="124" t="str">
        <f>IF($B298="","",COUNTIF(STG_ZPMW03!$B$6:$B$505,B298))</f>
        <v/>
      </c>
      <c r="BS298" s="124" t="str">
        <f>IF($B298="","",COUNTIF($B$6:$B$505,B298))</f>
        <v/>
      </c>
      <c r="BT298" s="124" t="str">
        <f>IF($B298="","",IF(BR298=0,0,IF(INDEX(STG_ZPMW03!$I$6:$I$505,MATCH(B298,STG_ZPMW03!$B$6:$B$505,0))=J298&amp;"",0,1)))</f>
        <v/>
      </c>
      <c r="BU298" s="124" t="str">
        <f>IF($B298="","",IFERROR(IF(ABS(INDEX(Mapping!$D$5:$D$104,MATCH(B298,Mapping!$A$5:$A$104,0))-Q298)&gt;P_Tol,1,0),0))</f>
        <v/>
      </c>
      <c r="BV298" s="124" t="str">
        <f>IF($B298="","",IFERROR(IF(AND(INDEX(Mapping!$G$5:$G$104,MATCH(B298,Mapping!$A$5:$A$104,0))="Nee",ABS(Q298)+ABS(Z298)+ABS(AR298)&gt;0),1,0),0))</f>
        <v/>
      </c>
      <c r="BW298" s="124" t="str">
        <f>IF($B298="","",IF(COUNTIF(Mapping!$A$5:$A$104,B298)&gt;0,1,0))</f>
        <v/>
      </c>
      <c r="BX298" s="124" t="str">
        <f>IF($B298="","",IF(BR298=0,COUNTIF($BR$6:BR298,0),""))</f>
        <v/>
      </c>
    </row>
    <row r="299">
      <c r="A299" s="15" t="n">
        <v>295</v>
      </c>
      <c r="B299" t="str">
        <f>IF(B$3=0,"",IF(INDEX(SRC_Woningetalage!$A$1:$ZZ$501,$A299,B$3)&amp;""="","",INDEX(SRC_Woningetalage!$A$1:$ZZ$501,$A299,B$3)&amp;""))</f>
        <v/>
      </c>
      <c r="C299" t="str">
        <f>IF($B299="","",IF(C$3=0,"n.b.",INDEX(SRC_Woningetalage!$A$1:$ZZ$501,$A299,C$3)))</f>
        <v/>
      </c>
      <c r="D299" t="str">
        <f>IF($B299="","",IF(D$3=0,"n.b.",INDEX(SRC_Woningetalage!$A$1:$ZZ$501,$A299,D$3)))</f>
        <v/>
      </c>
      <c r="E299" t="str">
        <f>IF($B299="","",IF(E$3=0,"n.b.",INDEX(SRC_Woningetalage!$A$1:$ZZ$501,$A299,E$3)))</f>
        <v/>
      </c>
      <c r="F299" t="str">
        <f>IF($B299="","",IF(F$3=0,"n.b.",INDEX(SRC_Woningetalage!$A$1:$ZZ$501,$A299,F$3)))</f>
        <v/>
      </c>
      <c r="G299" t="str">
        <f>IF($B299="","",IF(G$3=0,"n.b.",INDEX(SRC_Woningetalage!$A$1:$ZZ$501,$A299,G$3)))</f>
        <v/>
      </c>
      <c r="H299" t="str">
        <f>IF($B299="","",IF(H$3=0,"n.b.",INDEX(SRC_Woningetalage!$A$1:$ZZ$501,$A299,H$3)))</f>
        <v/>
      </c>
      <c r="I299" t="str">
        <f>IF($B299="","",IF(I$3=0,"n.b.",INDEX(SRC_Woningetalage!$A$1:$ZZ$501,$A299,I$3)))</f>
        <v/>
      </c>
      <c r="J299" t="str">
        <f>IF($B299="","",IF(J$3=0,"n.b.",INDEX(SRC_Woningetalage!$A$1:$ZZ$501,$A299,J$3)))</f>
        <v/>
      </c>
      <c r="K299" t="str">
        <f>IF($B299="","",IF(K$3=0,"n.b.",INDEX(SRC_Woningetalage!$A$1:$ZZ$501,$A299,K$3)))</f>
        <v/>
      </c>
      <c r="L299" t="str">
        <f>IF($B299="","",IF(L$3=0,"n.b.",INDEX(SRC_Woningetalage!$A$1:$ZZ$501,$A299,L$3)))</f>
        <v/>
      </c>
      <c r="M299" t="str">
        <f>IF($B299="","",IF(M$3=0,"n.b.",INDEX(SRC_Woningetalage!$A$1:$ZZ$501,$A299,M$3)))</f>
        <v/>
      </c>
      <c r="N299" t="str">
        <f>IF($B299="","",IF(N$3=0,"n.b.",INDEX(SRC_Woningetalage!$A$1:$ZZ$501,$A299,N$3)))</f>
        <v/>
      </c>
      <c r="O299" t="str">
        <f>IF($B299="","",IF(O$3=0,"n.b.",INDEX(SRC_Woningetalage!$A$1:$ZZ$501,$A299,O$3)))</f>
        <v/>
      </c>
      <c r="P299" t="str">
        <f>IF($B299="","",IF(P$3=0,"n.b.",INDEX(SRC_Woningetalage!$A$1:$ZZ$501,$A299,P$3)))</f>
        <v/>
      </c>
      <c r="Q299" s="124" t="str">
        <f>IF($B299="","",IF(Q$3=0,"n.b.",INDEX(SRC_Woningetalage!$A$1:$ZZ$501,$A299,Q$3)))</f>
        <v/>
      </c>
      <c r="R299" s="124" t="str">
        <f>IF($B299="","",IF(R$3=0,"n.b.",INDEX(SRC_Woningetalage!$A$1:$ZZ$501,$A299,R$3)))</f>
        <v/>
      </c>
      <c r="S299" s="124" t="str">
        <f>IF($B299="","",IF(S$3=0,"n.b.",INDEX(SRC_Woningetalage!$A$1:$ZZ$501,$A299,S$3)))</f>
        <v/>
      </c>
      <c r="T299" s="124" t="str">
        <f>IF($B299="","",IF(T$3=0,"n.b.",INDEX(SRC_Woningetalage!$A$1:$ZZ$501,$A299,T$3)))</f>
        <v/>
      </c>
      <c r="U299" s="124" t="str">
        <f>IF($B299="","",IF(U$3=0,"n.b.",INDEX(SRC_Woningetalage!$A$1:$ZZ$501,$A299,U$3)))</f>
        <v/>
      </c>
      <c r="V299" s="124" t="str">
        <f>IF($B299="","",IF(V$3=0,"n.b.",INDEX(SRC_Woningetalage!$A$1:$ZZ$501,$A299,V$3)))</f>
        <v/>
      </c>
      <c r="W299" s="124" t="str">
        <f>IF($B299="","",IF(W$3=0,"n.b.",INDEX(SRC_Woningetalage!$A$1:$ZZ$501,$A299,W$3)))</f>
        <v/>
      </c>
      <c r="X299" s="124" t="str">
        <f>IF($B299="","",IF(X$3=0,"n.b.",INDEX(SRC_Woningetalage!$A$1:$ZZ$501,$A299,X$3)))</f>
        <v/>
      </c>
      <c r="Y299" s="124" t="str">
        <f>IF($B299="","",IF(Y$3=0,"n.b.",INDEX(SRC_Woningetalage!$A$1:$ZZ$501,$A299,Y$3)))</f>
        <v/>
      </c>
      <c r="Z299" s="124" t="str">
        <f>IF($B299="","",IF(Z$3=0,"n.b.",INDEX(SRC_Woningetalage!$A$1:$ZZ$501,$A299,Z$3)))</f>
        <v/>
      </c>
      <c r="AA299" s="124" t="str">
        <f>IF($B299="","",IF(AA$3=0,"n.b.",INDEX(SRC_Woningetalage!$A$1:$ZZ$501,$A299,AA$3)))</f>
        <v/>
      </c>
      <c r="AB299" s="124" t="str">
        <f>IF($B299="","",IF(AB$3=0,"n.b.",INDEX(SRC_Woningetalage!$A$1:$ZZ$501,$A299,AB$3)))</f>
        <v/>
      </c>
      <c r="AC299" s="124" t="str">
        <f>IF($B299="","",IF(AC$3=0,"n.b.",INDEX(SRC_Woningetalage!$A$1:$ZZ$501,$A299,AC$3)))</f>
        <v/>
      </c>
      <c r="AD299" s="124" t="str">
        <f>IF($B299="","",IF(AD$3=0,"n.b.",INDEX(SRC_Woningetalage!$A$1:$ZZ$501,$A299,AD$3)))</f>
        <v/>
      </c>
      <c r="AE299" s="124" t="str">
        <f>IF($B299="","",IF(AE$3=0,"n.b.",INDEX(SRC_Woningetalage!$A$1:$ZZ$501,$A299,AE$3)))</f>
        <v/>
      </c>
      <c r="AF299" s="124" t="str">
        <f>IF($B299="","",IF(AF$3=0,"n.b.",INDEX(SRC_Woningetalage!$A$1:$ZZ$501,$A299,AF$3)))</f>
        <v/>
      </c>
      <c r="AG299" s="124" t="str">
        <f>IF($B299="","",IF(AG$3=0,"n.b.",INDEX(SRC_Woningetalage!$A$1:$ZZ$501,$A299,AG$3)))</f>
        <v/>
      </c>
      <c r="AH299" s="124" t="str">
        <f>IF($B299="","",IF(AH$3=0,"n.b.",INDEX(SRC_Woningetalage!$A$1:$ZZ$501,$A299,AH$3)))</f>
        <v/>
      </c>
      <c r="AI299" s="124" t="str">
        <f>IF($B299="","",IF(AI$3=0,"n.b.",INDEX(SRC_Woningetalage!$A$1:$ZZ$501,$A299,AI$3)))</f>
        <v/>
      </c>
      <c r="AJ299" s="124" t="str">
        <f>IF($B299="","",IF(AJ$3=0,"n.b.",INDEX(SRC_Woningetalage!$A$1:$ZZ$501,$A299,AJ$3)))</f>
        <v/>
      </c>
      <c r="AK299" s="124" t="str">
        <f>IF($B299="","",IF(AK$3=0,"n.b.",INDEX(SRC_Woningetalage!$A$1:$ZZ$501,$A299,AK$3)))</f>
        <v/>
      </c>
      <c r="AL299" s="124" t="str">
        <f>IF($B299="","",IF(AL$3=0,"n.b.",INDEX(SRC_Woningetalage!$A$1:$ZZ$501,$A299,AL$3)))</f>
        <v/>
      </c>
      <c r="AM299" s="124" t="str">
        <f>IF($B299="","",IF(AM$3=0,"n.b.",INDEX(SRC_Woningetalage!$A$1:$ZZ$501,$A299,AM$3)))</f>
        <v/>
      </c>
      <c r="AN299" s="124" t="str">
        <f>IF($B299="","",IF(AN$3=0,"n.b.",INDEX(SRC_Woningetalage!$A$1:$ZZ$501,$A299,AN$3)))</f>
        <v/>
      </c>
      <c r="AO299" s="124" t="str">
        <f>IF($B299="","",IF(AO$3=0,"n.b.",INDEX(SRC_Woningetalage!$A$1:$ZZ$501,$A299,AO$3)))</f>
        <v/>
      </c>
      <c r="AP299" s="124" t="str">
        <f>IF($B299="","",IF(AP$3=0,"n.b.",INDEX(SRC_Woningetalage!$A$1:$ZZ$501,$A299,AP$3)))</f>
        <v/>
      </c>
      <c r="AQ299" s="124" t="str">
        <f>IF($B299="","",IF(AQ$3=0,"n.b.",INDEX(SRC_Woningetalage!$A$1:$ZZ$501,$A299,AQ$3)))</f>
        <v/>
      </c>
      <c r="AR299" s="124" t="str">
        <f>IF($B299="","",IF(AR$3=0,"n.b.",INDEX(SRC_Woningetalage!$A$1:$ZZ$501,$A299,AR$3)))</f>
        <v/>
      </c>
      <c r="AS299" s="124" t="str">
        <f>IF($B299="","",IF(AS$3=0,"n.b.",INDEX(SRC_Woningetalage!$A$1:$ZZ$501,$A299,AS$3)))</f>
        <v/>
      </c>
      <c r="AT299" s="124" t="str">
        <f>IF($B299="","",IF(AT$3=0,"n.b.",INDEX(SRC_Woningetalage!$A$1:$ZZ$501,$A299,AT$3)))</f>
        <v/>
      </c>
      <c r="AU299" s="124" t="str">
        <f>IF($B299="","",IF(AU$3=0,"n.b.",INDEX(SRC_Woningetalage!$A$1:$ZZ$501,$A299,AU$3)))</f>
        <v/>
      </c>
      <c r="AV299" s="124" t="str">
        <f>IF($B299="","",IF(AV$3=0,"n.b.",INDEX(SRC_Woningetalage!$A$1:$ZZ$501,$A299,AV$3)))</f>
        <v/>
      </c>
      <c r="AW299" s="124" t="str">
        <f>IF($B299="","",IF(AW$3=0,"n.b.",INDEX(SRC_Woningetalage!$A$1:$ZZ$501,$A299,AW$3)))</f>
        <v/>
      </c>
      <c r="AX299" s="124" t="str">
        <f>IF($B299="","",IF(AX$3=0,"n.b.",INDEX(SRC_Woningetalage!$A$1:$ZZ$501,$A299,AX$3)))</f>
        <v/>
      </c>
      <c r="AY299" s="124" t="str">
        <f>IF($B299="","",IF(AY$3=0,"n.b.",INDEX(SRC_Woningetalage!$A$1:$ZZ$501,$A299,AY$3)))</f>
        <v/>
      </c>
      <c r="AZ299" s="124" t="str">
        <f>IF($B299="","",IF(AZ$3=0,"n.b.",INDEX(SRC_Woningetalage!$A$1:$ZZ$501,$A299,AZ$3)))</f>
        <v/>
      </c>
      <c r="BA299" s="124" t="str">
        <f>IF($B299="","",IF(BA$3=0,"n.b.",INDEX(SRC_Woningetalage!$A$1:$ZZ$501,$A299,BA$3)))</f>
        <v/>
      </c>
      <c r="BB299" s="124" t="str">
        <f>IF($B299="","",IF(BB$3=0,"n.b.",INDEX(SRC_Woningetalage!$A$1:$ZZ$501,$A299,BB$3)))</f>
        <v/>
      </c>
      <c r="BC299" s="124" t="str">
        <f>IF($B299="","",IFERROR(_xlfn.NUMBERVALUE(E299&amp;"",",","."),"n.b."))</f>
        <v/>
      </c>
      <c r="BD299" s="124" t="str">
        <f>IF($B299="","",IFERROR(_xlfn.NUMBERVALUE(M299&amp;"",",","."),"n.b."))</f>
        <v/>
      </c>
      <c r="BE299" s="124" t="str">
        <f>IF($B299="","",IFERROR(AB299+AC299+AD299,"n.b."))</f>
        <v/>
      </c>
      <c r="BF299" s="124" t="str">
        <f>IF($B299="","",IFERROR(AE299+AF299+AG299,"n.b."))</f>
        <v/>
      </c>
      <c r="BG299" s="124" t="str">
        <f>IF($B299="","",IFERROR(AH299+AI299+AJ299,"n.b."))</f>
        <v/>
      </c>
      <c r="BH299" s="124" t="str">
        <f>IF($B299="","",IFERROR(AK299+AL299+AM299,"n.b."))</f>
        <v/>
      </c>
      <c r="BI299" s="124" t="str">
        <f>IF($B299="","",IFERROR(SUMIF($AB$5:$AM$5,"&lt;="&amp;P_PeilMaand,AB299:AM299),"n.b."))</f>
        <v/>
      </c>
      <c r="BJ299" s="124" t="str">
        <f>IF($B299="","",IFERROR(SUM(AB299:AM299)-BI299,"n.b."))</f>
        <v/>
      </c>
      <c r="BK299" s="124" t="str">
        <f>IF($B299="","",IFERROR(IF(ABS(Q299-(T299+SUM(AB299:AM299)+AS299+AU299))&gt;P_Tol,1,0),1))</f>
        <v/>
      </c>
      <c r="BL299" s="124" t="str">
        <f>IF($B299="","",IFERROR(IF(ABS(AA299-(Q299-Z299))&gt;P_Tol,1,0),1))</f>
        <v/>
      </c>
      <c r="BM299" s="124" t="str">
        <f>IF($B299="","",IFERROR(IF(ABS(Z299-(T299+W299))&gt;P_Tol,1,0),1))</f>
        <v/>
      </c>
      <c r="BN299" s="124" t="str">
        <f>IF($B299="","",IFERROR(IF(ABS(W299-BI299)&gt;P_Tol,1,0),1))</f>
        <v/>
      </c>
      <c r="BO299" s="124" t="str">
        <f>IF($B299="","",IFERROR(IF(OR(ABS(R299+S299-T299)&gt;P_Tol,ABS(U299+V299-W299)&gt;P_Tol,ABS(X299+Y299-Z299)&gt;P_Tol),1,0),1))</f>
        <v/>
      </c>
      <c r="BP299" s="124" t="str">
        <f>IF($B299="","",IFERROR(IF(OR(ABS(AR299-SUM(AB299:AM299))&gt;P_Tol,ABS(AS299-(AN299+AO299+AP299+AQ299))&gt;P_Tol),1,0),1))</f>
        <v/>
      </c>
      <c r="BQ299" s="124" t="str">
        <f>IF($B299="","",IFERROR(IF(ABS(AT299)+ABS(AV299)+ABS(AW299)+ABS(AX299)+ABS(AY299)+ABS(AZ299)+ABS(BA299)+ABS(BB299)&gt;0,1,0),1))</f>
        <v/>
      </c>
      <c r="BR299" s="124" t="str">
        <f>IF($B299="","",COUNTIF(STG_ZPMW03!$B$6:$B$505,B299))</f>
        <v/>
      </c>
      <c r="BS299" s="124" t="str">
        <f>IF($B299="","",COUNTIF($B$6:$B$505,B299))</f>
        <v/>
      </c>
      <c r="BT299" s="124" t="str">
        <f>IF($B299="","",IF(BR299=0,0,IF(INDEX(STG_ZPMW03!$I$6:$I$505,MATCH(B299,STG_ZPMW03!$B$6:$B$505,0))=J299&amp;"",0,1)))</f>
        <v/>
      </c>
      <c r="BU299" s="124" t="str">
        <f>IF($B299="","",IFERROR(IF(ABS(INDEX(Mapping!$D$5:$D$104,MATCH(B299,Mapping!$A$5:$A$104,0))-Q299)&gt;P_Tol,1,0),0))</f>
        <v/>
      </c>
      <c r="BV299" s="124" t="str">
        <f>IF($B299="","",IFERROR(IF(AND(INDEX(Mapping!$G$5:$G$104,MATCH(B299,Mapping!$A$5:$A$104,0))="Nee",ABS(Q299)+ABS(Z299)+ABS(AR299)&gt;0),1,0),0))</f>
        <v/>
      </c>
      <c r="BW299" s="124" t="str">
        <f>IF($B299="","",IF(COUNTIF(Mapping!$A$5:$A$104,B299)&gt;0,1,0))</f>
        <v/>
      </c>
      <c r="BX299" s="124" t="str">
        <f>IF($B299="","",IF(BR299=0,COUNTIF($BR$6:BR299,0),""))</f>
        <v/>
      </c>
    </row>
    <row r="300">
      <c r="A300" s="15" t="n">
        <v>296</v>
      </c>
      <c r="B300" t="str">
        <f>IF(B$3=0,"",IF(INDEX(SRC_Woningetalage!$A$1:$ZZ$501,$A300,B$3)&amp;""="","",INDEX(SRC_Woningetalage!$A$1:$ZZ$501,$A300,B$3)&amp;""))</f>
        <v/>
      </c>
      <c r="C300" t="str">
        <f>IF($B300="","",IF(C$3=0,"n.b.",INDEX(SRC_Woningetalage!$A$1:$ZZ$501,$A300,C$3)))</f>
        <v/>
      </c>
      <c r="D300" t="str">
        <f>IF($B300="","",IF(D$3=0,"n.b.",INDEX(SRC_Woningetalage!$A$1:$ZZ$501,$A300,D$3)))</f>
        <v/>
      </c>
      <c r="E300" t="str">
        <f>IF($B300="","",IF(E$3=0,"n.b.",INDEX(SRC_Woningetalage!$A$1:$ZZ$501,$A300,E$3)))</f>
        <v/>
      </c>
      <c r="F300" t="str">
        <f>IF($B300="","",IF(F$3=0,"n.b.",INDEX(SRC_Woningetalage!$A$1:$ZZ$501,$A300,F$3)))</f>
        <v/>
      </c>
      <c r="G300" t="str">
        <f>IF($B300="","",IF(G$3=0,"n.b.",INDEX(SRC_Woningetalage!$A$1:$ZZ$501,$A300,G$3)))</f>
        <v/>
      </c>
      <c r="H300" t="str">
        <f>IF($B300="","",IF(H$3=0,"n.b.",INDEX(SRC_Woningetalage!$A$1:$ZZ$501,$A300,H$3)))</f>
        <v/>
      </c>
      <c r="I300" t="str">
        <f>IF($B300="","",IF(I$3=0,"n.b.",INDEX(SRC_Woningetalage!$A$1:$ZZ$501,$A300,I$3)))</f>
        <v/>
      </c>
      <c r="J300" t="str">
        <f>IF($B300="","",IF(J$3=0,"n.b.",INDEX(SRC_Woningetalage!$A$1:$ZZ$501,$A300,J$3)))</f>
        <v/>
      </c>
      <c r="K300" t="str">
        <f>IF($B300="","",IF(K$3=0,"n.b.",INDEX(SRC_Woningetalage!$A$1:$ZZ$501,$A300,K$3)))</f>
        <v/>
      </c>
      <c r="L300" t="str">
        <f>IF($B300="","",IF(L$3=0,"n.b.",INDEX(SRC_Woningetalage!$A$1:$ZZ$501,$A300,L$3)))</f>
        <v/>
      </c>
      <c r="M300" t="str">
        <f>IF($B300="","",IF(M$3=0,"n.b.",INDEX(SRC_Woningetalage!$A$1:$ZZ$501,$A300,M$3)))</f>
        <v/>
      </c>
      <c r="N300" t="str">
        <f>IF($B300="","",IF(N$3=0,"n.b.",INDEX(SRC_Woningetalage!$A$1:$ZZ$501,$A300,N$3)))</f>
        <v/>
      </c>
      <c r="O300" t="str">
        <f>IF($B300="","",IF(O$3=0,"n.b.",INDEX(SRC_Woningetalage!$A$1:$ZZ$501,$A300,O$3)))</f>
        <v/>
      </c>
      <c r="P300" t="str">
        <f>IF($B300="","",IF(P$3=0,"n.b.",INDEX(SRC_Woningetalage!$A$1:$ZZ$501,$A300,P$3)))</f>
        <v/>
      </c>
      <c r="Q300" s="124" t="str">
        <f>IF($B300="","",IF(Q$3=0,"n.b.",INDEX(SRC_Woningetalage!$A$1:$ZZ$501,$A300,Q$3)))</f>
        <v/>
      </c>
      <c r="R300" s="124" t="str">
        <f>IF($B300="","",IF(R$3=0,"n.b.",INDEX(SRC_Woningetalage!$A$1:$ZZ$501,$A300,R$3)))</f>
        <v/>
      </c>
      <c r="S300" s="124" t="str">
        <f>IF($B300="","",IF(S$3=0,"n.b.",INDEX(SRC_Woningetalage!$A$1:$ZZ$501,$A300,S$3)))</f>
        <v/>
      </c>
      <c r="T300" s="124" t="str">
        <f>IF($B300="","",IF(T$3=0,"n.b.",INDEX(SRC_Woningetalage!$A$1:$ZZ$501,$A300,T$3)))</f>
        <v/>
      </c>
      <c r="U300" s="124" t="str">
        <f>IF($B300="","",IF(U$3=0,"n.b.",INDEX(SRC_Woningetalage!$A$1:$ZZ$501,$A300,U$3)))</f>
        <v/>
      </c>
      <c r="V300" s="124" t="str">
        <f>IF($B300="","",IF(V$3=0,"n.b.",INDEX(SRC_Woningetalage!$A$1:$ZZ$501,$A300,V$3)))</f>
        <v/>
      </c>
      <c r="W300" s="124" t="str">
        <f>IF($B300="","",IF(W$3=0,"n.b.",INDEX(SRC_Woningetalage!$A$1:$ZZ$501,$A300,W$3)))</f>
        <v/>
      </c>
      <c r="X300" s="124" t="str">
        <f>IF($B300="","",IF(X$3=0,"n.b.",INDEX(SRC_Woningetalage!$A$1:$ZZ$501,$A300,X$3)))</f>
        <v/>
      </c>
      <c r="Y300" s="124" t="str">
        <f>IF($B300="","",IF(Y$3=0,"n.b.",INDEX(SRC_Woningetalage!$A$1:$ZZ$501,$A300,Y$3)))</f>
        <v/>
      </c>
      <c r="Z300" s="124" t="str">
        <f>IF($B300="","",IF(Z$3=0,"n.b.",INDEX(SRC_Woningetalage!$A$1:$ZZ$501,$A300,Z$3)))</f>
        <v/>
      </c>
      <c r="AA300" s="124" t="str">
        <f>IF($B300="","",IF(AA$3=0,"n.b.",INDEX(SRC_Woningetalage!$A$1:$ZZ$501,$A300,AA$3)))</f>
        <v/>
      </c>
      <c r="AB300" s="124" t="str">
        <f>IF($B300="","",IF(AB$3=0,"n.b.",INDEX(SRC_Woningetalage!$A$1:$ZZ$501,$A300,AB$3)))</f>
        <v/>
      </c>
      <c r="AC300" s="124" t="str">
        <f>IF($B300="","",IF(AC$3=0,"n.b.",INDEX(SRC_Woningetalage!$A$1:$ZZ$501,$A300,AC$3)))</f>
        <v/>
      </c>
      <c r="AD300" s="124" t="str">
        <f>IF($B300="","",IF(AD$3=0,"n.b.",INDEX(SRC_Woningetalage!$A$1:$ZZ$501,$A300,AD$3)))</f>
        <v/>
      </c>
      <c r="AE300" s="124" t="str">
        <f>IF($B300="","",IF(AE$3=0,"n.b.",INDEX(SRC_Woningetalage!$A$1:$ZZ$501,$A300,AE$3)))</f>
        <v/>
      </c>
      <c r="AF300" s="124" t="str">
        <f>IF($B300="","",IF(AF$3=0,"n.b.",INDEX(SRC_Woningetalage!$A$1:$ZZ$501,$A300,AF$3)))</f>
        <v/>
      </c>
      <c r="AG300" s="124" t="str">
        <f>IF($B300="","",IF(AG$3=0,"n.b.",INDEX(SRC_Woningetalage!$A$1:$ZZ$501,$A300,AG$3)))</f>
        <v/>
      </c>
      <c r="AH300" s="124" t="str">
        <f>IF($B300="","",IF(AH$3=0,"n.b.",INDEX(SRC_Woningetalage!$A$1:$ZZ$501,$A300,AH$3)))</f>
        <v/>
      </c>
      <c r="AI300" s="124" t="str">
        <f>IF($B300="","",IF(AI$3=0,"n.b.",INDEX(SRC_Woningetalage!$A$1:$ZZ$501,$A300,AI$3)))</f>
        <v/>
      </c>
      <c r="AJ300" s="124" t="str">
        <f>IF($B300="","",IF(AJ$3=0,"n.b.",INDEX(SRC_Woningetalage!$A$1:$ZZ$501,$A300,AJ$3)))</f>
        <v/>
      </c>
      <c r="AK300" s="124" t="str">
        <f>IF($B300="","",IF(AK$3=0,"n.b.",INDEX(SRC_Woningetalage!$A$1:$ZZ$501,$A300,AK$3)))</f>
        <v/>
      </c>
      <c r="AL300" s="124" t="str">
        <f>IF($B300="","",IF(AL$3=0,"n.b.",INDEX(SRC_Woningetalage!$A$1:$ZZ$501,$A300,AL$3)))</f>
        <v/>
      </c>
      <c r="AM300" s="124" t="str">
        <f>IF($B300="","",IF(AM$3=0,"n.b.",INDEX(SRC_Woningetalage!$A$1:$ZZ$501,$A300,AM$3)))</f>
        <v/>
      </c>
      <c r="AN300" s="124" t="str">
        <f>IF($B300="","",IF(AN$3=0,"n.b.",INDEX(SRC_Woningetalage!$A$1:$ZZ$501,$A300,AN$3)))</f>
        <v/>
      </c>
      <c r="AO300" s="124" t="str">
        <f>IF($B300="","",IF(AO$3=0,"n.b.",INDEX(SRC_Woningetalage!$A$1:$ZZ$501,$A300,AO$3)))</f>
        <v/>
      </c>
      <c r="AP300" s="124" t="str">
        <f>IF($B300="","",IF(AP$3=0,"n.b.",INDEX(SRC_Woningetalage!$A$1:$ZZ$501,$A300,AP$3)))</f>
        <v/>
      </c>
      <c r="AQ300" s="124" t="str">
        <f>IF($B300="","",IF(AQ$3=0,"n.b.",INDEX(SRC_Woningetalage!$A$1:$ZZ$501,$A300,AQ$3)))</f>
        <v/>
      </c>
      <c r="AR300" s="124" t="str">
        <f>IF($B300="","",IF(AR$3=0,"n.b.",INDEX(SRC_Woningetalage!$A$1:$ZZ$501,$A300,AR$3)))</f>
        <v/>
      </c>
      <c r="AS300" s="124" t="str">
        <f>IF($B300="","",IF(AS$3=0,"n.b.",INDEX(SRC_Woningetalage!$A$1:$ZZ$501,$A300,AS$3)))</f>
        <v/>
      </c>
      <c r="AT300" s="124" t="str">
        <f>IF($B300="","",IF(AT$3=0,"n.b.",INDEX(SRC_Woningetalage!$A$1:$ZZ$501,$A300,AT$3)))</f>
        <v/>
      </c>
      <c r="AU300" s="124" t="str">
        <f>IF($B300="","",IF(AU$3=0,"n.b.",INDEX(SRC_Woningetalage!$A$1:$ZZ$501,$A300,AU$3)))</f>
        <v/>
      </c>
      <c r="AV300" s="124" t="str">
        <f>IF($B300="","",IF(AV$3=0,"n.b.",INDEX(SRC_Woningetalage!$A$1:$ZZ$501,$A300,AV$3)))</f>
        <v/>
      </c>
      <c r="AW300" s="124" t="str">
        <f>IF($B300="","",IF(AW$3=0,"n.b.",INDEX(SRC_Woningetalage!$A$1:$ZZ$501,$A300,AW$3)))</f>
        <v/>
      </c>
      <c r="AX300" s="124" t="str">
        <f>IF($B300="","",IF(AX$3=0,"n.b.",INDEX(SRC_Woningetalage!$A$1:$ZZ$501,$A300,AX$3)))</f>
        <v/>
      </c>
      <c r="AY300" s="124" t="str">
        <f>IF($B300="","",IF(AY$3=0,"n.b.",INDEX(SRC_Woningetalage!$A$1:$ZZ$501,$A300,AY$3)))</f>
        <v/>
      </c>
      <c r="AZ300" s="124" t="str">
        <f>IF($B300="","",IF(AZ$3=0,"n.b.",INDEX(SRC_Woningetalage!$A$1:$ZZ$501,$A300,AZ$3)))</f>
        <v/>
      </c>
      <c r="BA300" s="124" t="str">
        <f>IF($B300="","",IF(BA$3=0,"n.b.",INDEX(SRC_Woningetalage!$A$1:$ZZ$501,$A300,BA$3)))</f>
        <v/>
      </c>
      <c r="BB300" s="124" t="str">
        <f>IF($B300="","",IF(BB$3=0,"n.b.",INDEX(SRC_Woningetalage!$A$1:$ZZ$501,$A300,BB$3)))</f>
        <v/>
      </c>
      <c r="BC300" s="124" t="str">
        <f>IF($B300="","",IFERROR(_xlfn.NUMBERVALUE(E300&amp;"",",","."),"n.b."))</f>
        <v/>
      </c>
      <c r="BD300" s="124" t="str">
        <f>IF($B300="","",IFERROR(_xlfn.NUMBERVALUE(M300&amp;"",",","."),"n.b."))</f>
        <v/>
      </c>
      <c r="BE300" s="124" t="str">
        <f>IF($B300="","",IFERROR(AB300+AC300+AD300,"n.b."))</f>
        <v/>
      </c>
      <c r="BF300" s="124" t="str">
        <f>IF($B300="","",IFERROR(AE300+AF300+AG300,"n.b."))</f>
        <v/>
      </c>
      <c r="BG300" s="124" t="str">
        <f>IF($B300="","",IFERROR(AH300+AI300+AJ300,"n.b."))</f>
        <v/>
      </c>
      <c r="BH300" s="124" t="str">
        <f>IF($B300="","",IFERROR(AK300+AL300+AM300,"n.b."))</f>
        <v/>
      </c>
      <c r="BI300" s="124" t="str">
        <f>IF($B300="","",IFERROR(SUMIF($AB$5:$AM$5,"&lt;="&amp;P_PeilMaand,AB300:AM300),"n.b."))</f>
        <v/>
      </c>
      <c r="BJ300" s="124" t="str">
        <f>IF($B300="","",IFERROR(SUM(AB300:AM300)-BI300,"n.b."))</f>
        <v/>
      </c>
      <c r="BK300" s="124" t="str">
        <f>IF($B300="","",IFERROR(IF(ABS(Q300-(T300+SUM(AB300:AM300)+AS300+AU300))&gt;P_Tol,1,0),1))</f>
        <v/>
      </c>
      <c r="BL300" s="124" t="str">
        <f>IF($B300="","",IFERROR(IF(ABS(AA300-(Q300-Z300))&gt;P_Tol,1,0),1))</f>
        <v/>
      </c>
      <c r="BM300" s="124" t="str">
        <f>IF($B300="","",IFERROR(IF(ABS(Z300-(T300+W300))&gt;P_Tol,1,0),1))</f>
        <v/>
      </c>
      <c r="BN300" s="124" t="str">
        <f>IF($B300="","",IFERROR(IF(ABS(W300-BI300)&gt;P_Tol,1,0),1))</f>
        <v/>
      </c>
      <c r="BO300" s="124" t="str">
        <f>IF($B300="","",IFERROR(IF(OR(ABS(R300+S300-T300)&gt;P_Tol,ABS(U300+V300-W300)&gt;P_Tol,ABS(X300+Y300-Z300)&gt;P_Tol),1,0),1))</f>
        <v/>
      </c>
      <c r="BP300" s="124" t="str">
        <f>IF($B300="","",IFERROR(IF(OR(ABS(AR300-SUM(AB300:AM300))&gt;P_Tol,ABS(AS300-(AN300+AO300+AP300+AQ300))&gt;P_Tol),1,0),1))</f>
        <v/>
      </c>
      <c r="BQ300" s="124" t="str">
        <f>IF($B300="","",IFERROR(IF(ABS(AT300)+ABS(AV300)+ABS(AW300)+ABS(AX300)+ABS(AY300)+ABS(AZ300)+ABS(BA300)+ABS(BB300)&gt;0,1,0),1))</f>
        <v/>
      </c>
      <c r="BR300" s="124" t="str">
        <f>IF($B300="","",COUNTIF(STG_ZPMW03!$B$6:$B$505,B300))</f>
        <v/>
      </c>
      <c r="BS300" s="124" t="str">
        <f>IF($B300="","",COUNTIF($B$6:$B$505,B300))</f>
        <v/>
      </c>
      <c r="BT300" s="124" t="str">
        <f>IF($B300="","",IF(BR300=0,0,IF(INDEX(STG_ZPMW03!$I$6:$I$505,MATCH(B300,STG_ZPMW03!$B$6:$B$505,0))=J300&amp;"",0,1)))</f>
        <v/>
      </c>
      <c r="BU300" s="124" t="str">
        <f>IF($B300="","",IFERROR(IF(ABS(INDEX(Mapping!$D$5:$D$104,MATCH(B300,Mapping!$A$5:$A$104,0))-Q300)&gt;P_Tol,1,0),0))</f>
        <v/>
      </c>
      <c r="BV300" s="124" t="str">
        <f>IF($B300="","",IFERROR(IF(AND(INDEX(Mapping!$G$5:$G$104,MATCH(B300,Mapping!$A$5:$A$104,0))="Nee",ABS(Q300)+ABS(Z300)+ABS(AR300)&gt;0),1,0),0))</f>
        <v/>
      </c>
      <c r="BW300" s="124" t="str">
        <f>IF($B300="","",IF(COUNTIF(Mapping!$A$5:$A$104,B300)&gt;0,1,0))</f>
        <v/>
      </c>
      <c r="BX300" s="124" t="str">
        <f>IF($B300="","",IF(BR300=0,COUNTIF($BR$6:BR300,0),""))</f>
        <v/>
      </c>
    </row>
    <row r="301">
      <c r="A301" s="15" t="n">
        <v>297</v>
      </c>
      <c r="B301" t="str">
        <f>IF(B$3=0,"",IF(INDEX(SRC_Woningetalage!$A$1:$ZZ$501,$A301,B$3)&amp;""="","",INDEX(SRC_Woningetalage!$A$1:$ZZ$501,$A301,B$3)&amp;""))</f>
        <v/>
      </c>
      <c r="C301" t="str">
        <f>IF($B301="","",IF(C$3=0,"n.b.",INDEX(SRC_Woningetalage!$A$1:$ZZ$501,$A301,C$3)))</f>
        <v/>
      </c>
      <c r="D301" t="str">
        <f>IF($B301="","",IF(D$3=0,"n.b.",INDEX(SRC_Woningetalage!$A$1:$ZZ$501,$A301,D$3)))</f>
        <v/>
      </c>
      <c r="E301" t="str">
        <f>IF($B301="","",IF(E$3=0,"n.b.",INDEX(SRC_Woningetalage!$A$1:$ZZ$501,$A301,E$3)))</f>
        <v/>
      </c>
      <c r="F301" t="str">
        <f>IF($B301="","",IF(F$3=0,"n.b.",INDEX(SRC_Woningetalage!$A$1:$ZZ$501,$A301,F$3)))</f>
        <v/>
      </c>
      <c r="G301" t="str">
        <f>IF($B301="","",IF(G$3=0,"n.b.",INDEX(SRC_Woningetalage!$A$1:$ZZ$501,$A301,G$3)))</f>
        <v/>
      </c>
      <c r="H301" t="str">
        <f>IF($B301="","",IF(H$3=0,"n.b.",INDEX(SRC_Woningetalage!$A$1:$ZZ$501,$A301,H$3)))</f>
        <v/>
      </c>
      <c r="I301" t="str">
        <f>IF($B301="","",IF(I$3=0,"n.b.",INDEX(SRC_Woningetalage!$A$1:$ZZ$501,$A301,I$3)))</f>
        <v/>
      </c>
      <c r="J301" t="str">
        <f>IF($B301="","",IF(J$3=0,"n.b.",INDEX(SRC_Woningetalage!$A$1:$ZZ$501,$A301,J$3)))</f>
        <v/>
      </c>
      <c r="K301" t="str">
        <f>IF($B301="","",IF(K$3=0,"n.b.",INDEX(SRC_Woningetalage!$A$1:$ZZ$501,$A301,K$3)))</f>
        <v/>
      </c>
      <c r="L301" t="str">
        <f>IF($B301="","",IF(L$3=0,"n.b.",INDEX(SRC_Woningetalage!$A$1:$ZZ$501,$A301,L$3)))</f>
        <v/>
      </c>
      <c r="M301" t="str">
        <f>IF($B301="","",IF(M$3=0,"n.b.",INDEX(SRC_Woningetalage!$A$1:$ZZ$501,$A301,M$3)))</f>
        <v/>
      </c>
      <c r="N301" t="str">
        <f>IF($B301="","",IF(N$3=0,"n.b.",INDEX(SRC_Woningetalage!$A$1:$ZZ$501,$A301,N$3)))</f>
        <v/>
      </c>
      <c r="O301" t="str">
        <f>IF($B301="","",IF(O$3=0,"n.b.",INDEX(SRC_Woningetalage!$A$1:$ZZ$501,$A301,O$3)))</f>
        <v/>
      </c>
      <c r="P301" t="str">
        <f>IF($B301="","",IF(P$3=0,"n.b.",INDEX(SRC_Woningetalage!$A$1:$ZZ$501,$A301,P$3)))</f>
        <v/>
      </c>
      <c r="Q301" s="124" t="str">
        <f>IF($B301="","",IF(Q$3=0,"n.b.",INDEX(SRC_Woningetalage!$A$1:$ZZ$501,$A301,Q$3)))</f>
        <v/>
      </c>
      <c r="R301" s="124" t="str">
        <f>IF($B301="","",IF(R$3=0,"n.b.",INDEX(SRC_Woningetalage!$A$1:$ZZ$501,$A301,R$3)))</f>
        <v/>
      </c>
      <c r="S301" s="124" t="str">
        <f>IF($B301="","",IF(S$3=0,"n.b.",INDEX(SRC_Woningetalage!$A$1:$ZZ$501,$A301,S$3)))</f>
        <v/>
      </c>
      <c r="T301" s="124" t="str">
        <f>IF($B301="","",IF(T$3=0,"n.b.",INDEX(SRC_Woningetalage!$A$1:$ZZ$501,$A301,T$3)))</f>
        <v/>
      </c>
      <c r="U301" s="124" t="str">
        <f>IF($B301="","",IF(U$3=0,"n.b.",INDEX(SRC_Woningetalage!$A$1:$ZZ$501,$A301,U$3)))</f>
        <v/>
      </c>
      <c r="V301" s="124" t="str">
        <f>IF($B301="","",IF(V$3=0,"n.b.",INDEX(SRC_Woningetalage!$A$1:$ZZ$501,$A301,V$3)))</f>
        <v/>
      </c>
      <c r="W301" s="124" t="str">
        <f>IF($B301="","",IF(W$3=0,"n.b.",INDEX(SRC_Woningetalage!$A$1:$ZZ$501,$A301,W$3)))</f>
        <v/>
      </c>
      <c r="X301" s="124" t="str">
        <f>IF($B301="","",IF(X$3=0,"n.b.",INDEX(SRC_Woningetalage!$A$1:$ZZ$501,$A301,X$3)))</f>
        <v/>
      </c>
      <c r="Y301" s="124" t="str">
        <f>IF($B301="","",IF(Y$3=0,"n.b.",INDEX(SRC_Woningetalage!$A$1:$ZZ$501,$A301,Y$3)))</f>
        <v/>
      </c>
      <c r="Z301" s="124" t="str">
        <f>IF($B301="","",IF(Z$3=0,"n.b.",INDEX(SRC_Woningetalage!$A$1:$ZZ$501,$A301,Z$3)))</f>
        <v/>
      </c>
      <c r="AA301" s="124" t="str">
        <f>IF($B301="","",IF(AA$3=0,"n.b.",INDEX(SRC_Woningetalage!$A$1:$ZZ$501,$A301,AA$3)))</f>
        <v/>
      </c>
      <c r="AB301" s="124" t="str">
        <f>IF($B301="","",IF(AB$3=0,"n.b.",INDEX(SRC_Woningetalage!$A$1:$ZZ$501,$A301,AB$3)))</f>
        <v/>
      </c>
      <c r="AC301" s="124" t="str">
        <f>IF($B301="","",IF(AC$3=0,"n.b.",INDEX(SRC_Woningetalage!$A$1:$ZZ$501,$A301,AC$3)))</f>
        <v/>
      </c>
      <c r="AD301" s="124" t="str">
        <f>IF($B301="","",IF(AD$3=0,"n.b.",INDEX(SRC_Woningetalage!$A$1:$ZZ$501,$A301,AD$3)))</f>
        <v/>
      </c>
      <c r="AE301" s="124" t="str">
        <f>IF($B301="","",IF(AE$3=0,"n.b.",INDEX(SRC_Woningetalage!$A$1:$ZZ$501,$A301,AE$3)))</f>
        <v/>
      </c>
      <c r="AF301" s="124" t="str">
        <f>IF($B301="","",IF(AF$3=0,"n.b.",INDEX(SRC_Woningetalage!$A$1:$ZZ$501,$A301,AF$3)))</f>
        <v/>
      </c>
      <c r="AG301" s="124" t="str">
        <f>IF($B301="","",IF(AG$3=0,"n.b.",INDEX(SRC_Woningetalage!$A$1:$ZZ$501,$A301,AG$3)))</f>
        <v/>
      </c>
      <c r="AH301" s="124" t="str">
        <f>IF($B301="","",IF(AH$3=0,"n.b.",INDEX(SRC_Woningetalage!$A$1:$ZZ$501,$A301,AH$3)))</f>
        <v/>
      </c>
      <c r="AI301" s="124" t="str">
        <f>IF($B301="","",IF(AI$3=0,"n.b.",INDEX(SRC_Woningetalage!$A$1:$ZZ$501,$A301,AI$3)))</f>
        <v/>
      </c>
      <c r="AJ301" s="124" t="str">
        <f>IF($B301="","",IF(AJ$3=0,"n.b.",INDEX(SRC_Woningetalage!$A$1:$ZZ$501,$A301,AJ$3)))</f>
        <v/>
      </c>
      <c r="AK301" s="124" t="str">
        <f>IF($B301="","",IF(AK$3=0,"n.b.",INDEX(SRC_Woningetalage!$A$1:$ZZ$501,$A301,AK$3)))</f>
        <v/>
      </c>
      <c r="AL301" s="124" t="str">
        <f>IF($B301="","",IF(AL$3=0,"n.b.",INDEX(SRC_Woningetalage!$A$1:$ZZ$501,$A301,AL$3)))</f>
        <v/>
      </c>
      <c r="AM301" s="124" t="str">
        <f>IF($B301="","",IF(AM$3=0,"n.b.",INDEX(SRC_Woningetalage!$A$1:$ZZ$501,$A301,AM$3)))</f>
        <v/>
      </c>
      <c r="AN301" s="124" t="str">
        <f>IF($B301="","",IF(AN$3=0,"n.b.",INDEX(SRC_Woningetalage!$A$1:$ZZ$501,$A301,AN$3)))</f>
        <v/>
      </c>
      <c r="AO301" s="124" t="str">
        <f>IF($B301="","",IF(AO$3=0,"n.b.",INDEX(SRC_Woningetalage!$A$1:$ZZ$501,$A301,AO$3)))</f>
        <v/>
      </c>
      <c r="AP301" s="124" t="str">
        <f>IF($B301="","",IF(AP$3=0,"n.b.",INDEX(SRC_Woningetalage!$A$1:$ZZ$501,$A301,AP$3)))</f>
        <v/>
      </c>
      <c r="AQ301" s="124" t="str">
        <f>IF($B301="","",IF(AQ$3=0,"n.b.",INDEX(SRC_Woningetalage!$A$1:$ZZ$501,$A301,AQ$3)))</f>
        <v/>
      </c>
      <c r="AR301" s="124" t="str">
        <f>IF($B301="","",IF(AR$3=0,"n.b.",INDEX(SRC_Woningetalage!$A$1:$ZZ$501,$A301,AR$3)))</f>
        <v/>
      </c>
      <c r="AS301" s="124" t="str">
        <f>IF($B301="","",IF(AS$3=0,"n.b.",INDEX(SRC_Woningetalage!$A$1:$ZZ$501,$A301,AS$3)))</f>
        <v/>
      </c>
      <c r="AT301" s="124" t="str">
        <f>IF($B301="","",IF(AT$3=0,"n.b.",INDEX(SRC_Woningetalage!$A$1:$ZZ$501,$A301,AT$3)))</f>
        <v/>
      </c>
      <c r="AU301" s="124" t="str">
        <f>IF($B301="","",IF(AU$3=0,"n.b.",INDEX(SRC_Woningetalage!$A$1:$ZZ$501,$A301,AU$3)))</f>
        <v/>
      </c>
      <c r="AV301" s="124" t="str">
        <f>IF($B301="","",IF(AV$3=0,"n.b.",INDEX(SRC_Woningetalage!$A$1:$ZZ$501,$A301,AV$3)))</f>
        <v/>
      </c>
      <c r="AW301" s="124" t="str">
        <f>IF($B301="","",IF(AW$3=0,"n.b.",INDEX(SRC_Woningetalage!$A$1:$ZZ$501,$A301,AW$3)))</f>
        <v/>
      </c>
      <c r="AX301" s="124" t="str">
        <f>IF($B301="","",IF(AX$3=0,"n.b.",INDEX(SRC_Woningetalage!$A$1:$ZZ$501,$A301,AX$3)))</f>
        <v/>
      </c>
      <c r="AY301" s="124" t="str">
        <f>IF($B301="","",IF(AY$3=0,"n.b.",INDEX(SRC_Woningetalage!$A$1:$ZZ$501,$A301,AY$3)))</f>
        <v/>
      </c>
      <c r="AZ301" s="124" t="str">
        <f>IF($B301="","",IF(AZ$3=0,"n.b.",INDEX(SRC_Woningetalage!$A$1:$ZZ$501,$A301,AZ$3)))</f>
        <v/>
      </c>
      <c r="BA301" s="124" t="str">
        <f>IF($B301="","",IF(BA$3=0,"n.b.",INDEX(SRC_Woningetalage!$A$1:$ZZ$501,$A301,BA$3)))</f>
        <v/>
      </c>
      <c r="BB301" s="124" t="str">
        <f>IF($B301="","",IF(BB$3=0,"n.b.",INDEX(SRC_Woningetalage!$A$1:$ZZ$501,$A301,BB$3)))</f>
        <v/>
      </c>
      <c r="BC301" s="124" t="str">
        <f>IF($B301="","",IFERROR(_xlfn.NUMBERVALUE(E301&amp;"",",","."),"n.b."))</f>
        <v/>
      </c>
      <c r="BD301" s="124" t="str">
        <f>IF($B301="","",IFERROR(_xlfn.NUMBERVALUE(M301&amp;"",",","."),"n.b."))</f>
        <v/>
      </c>
      <c r="BE301" s="124" t="str">
        <f>IF($B301="","",IFERROR(AB301+AC301+AD301,"n.b."))</f>
        <v/>
      </c>
      <c r="BF301" s="124" t="str">
        <f>IF($B301="","",IFERROR(AE301+AF301+AG301,"n.b."))</f>
        <v/>
      </c>
      <c r="BG301" s="124" t="str">
        <f>IF($B301="","",IFERROR(AH301+AI301+AJ301,"n.b."))</f>
        <v/>
      </c>
      <c r="BH301" s="124" t="str">
        <f>IF($B301="","",IFERROR(AK301+AL301+AM301,"n.b."))</f>
        <v/>
      </c>
      <c r="BI301" s="124" t="str">
        <f>IF($B301="","",IFERROR(SUMIF($AB$5:$AM$5,"&lt;="&amp;P_PeilMaand,AB301:AM301),"n.b."))</f>
        <v/>
      </c>
      <c r="BJ301" s="124" t="str">
        <f>IF($B301="","",IFERROR(SUM(AB301:AM301)-BI301,"n.b."))</f>
        <v/>
      </c>
      <c r="BK301" s="124" t="str">
        <f>IF($B301="","",IFERROR(IF(ABS(Q301-(T301+SUM(AB301:AM301)+AS301+AU301))&gt;P_Tol,1,0),1))</f>
        <v/>
      </c>
      <c r="BL301" s="124" t="str">
        <f>IF($B301="","",IFERROR(IF(ABS(AA301-(Q301-Z301))&gt;P_Tol,1,0),1))</f>
        <v/>
      </c>
      <c r="BM301" s="124" t="str">
        <f>IF($B301="","",IFERROR(IF(ABS(Z301-(T301+W301))&gt;P_Tol,1,0),1))</f>
        <v/>
      </c>
      <c r="BN301" s="124" t="str">
        <f>IF($B301="","",IFERROR(IF(ABS(W301-BI301)&gt;P_Tol,1,0),1))</f>
        <v/>
      </c>
      <c r="BO301" s="124" t="str">
        <f>IF($B301="","",IFERROR(IF(OR(ABS(R301+S301-T301)&gt;P_Tol,ABS(U301+V301-W301)&gt;P_Tol,ABS(X301+Y301-Z301)&gt;P_Tol),1,0),1))</f>
        <v/>
      </c>
      <c r="BP301" s="124" t="str">
        <f>IF($B301="","",IFERROR(IF(OR(ABS(AR301-SUM(AB301:AM301))&gt;P_Tol,ABS(AS301-(AN301+AO301+AP301+AQ301))&gt;P_Tol),1,0),1))</f>
        <v/>
      </c>
      <c r="BQ301" s="124" t="str">
        <f>IF($B301="","",IFERROR(IF(ABS(AT301)+ABS(AV301)+ABS(AW301)+ABS(AX301)+ABS(AY301)+ABS(AZ301)+ABS(BA301)+ABS(BB301)&gt;0,1,0),1))</f>
        <v/>
      </c>
      <c r="BR301" s="124" t="str">
        <f>IF($B301="","",COUNTIF(STG_ZPMW03!$B$6:$B$505,B301))</f>
        <v/>
      </c>
      <c r="BS301" s="124" t="str">
        <f>IF($B301="","",COUNTIF($B$6:$B$505,B301))</f>
        <v/>
      </c>
      <c r="BT301" s="124" t="str">
        <f>IF($B301="","",IF(BR301=0,0,IF(INDEX(STG_ZPMW03!$I$6:$I$505,MATCH(B301,STG_ZPMW03!$B$6:$B$505,0))=J301&amp;"",0,1)))</f>
        <v/>
      </c>
      <c r="BU301" s="124" t="str">
        <f>IF($B301="","",IFERROR(IF(ABS(INDEX(Mapping!$D$5:$D$104,MATCH(B301,Mapping!$A$5:$A$104,0))-Q301)&gt;P_Tol,1,0),0))</f>
        <v/>
      </c>
      <c r="BV301" s="124" t="str">
        <f>IF($B301="","",IFERROR(IF(AND(INDEX(Mapping!$G$5:$G$104,MATCH(B301,Mapping!$A$5:$A$104,0))="Nee",ABS(Q301)+ABS(Z301)+ABS(AR301)&gt;0),1,0),0))</f>
        <v/>
      </c>
      <c r="BW301" s="124" t="str">
        <f>IF($B301="","",IF(COUNTIF(Mapping!$A$5:$A$104,B301)&gt;0,1,0))</f>
        <v/>
      </c>
      <c r="BX301" s="124" t="str">
        <f>IF($B301="","",IF(BR301=0,COUNTIF($BR$6:BR301,0),""))</f>
        <v/>
      </c>
    </row>
    <row r="302">
      <c r="A302" s="15" t="n">
        <v>298</v>
      </c>
      <c r="B302" t="str">
        <f>IF(B$3=0,"",IF(INDEX(SRC_Woningetalage!$A$1:$ZZ$501,$A302,B$3)&amp;""="","",INDEX(SRC_Woningetalage!$A$1:$ZZ$501,$A302,B$3)&amp;""))</f>
        <v/>
      </c>
      <c r="C302" t="str">
        <f>IF($B302="","",IF(C$3=0,"n.b.",INDEX(SRC_Woningetalage!$A$1:$ZZ$501,$A302,C$3)))</f>
        <v/>
      </c>
      <c r="D302" t="str">
        <f>IF($B302="","",IF(D$3=0,"n.b.",INDEX(SRC_Woningetalage!$A$1:$ZZ$501,$A302,D$3)))</f>
        <v/>
      </c>
      <c r="E302" t="str">
        <f>IF($B302="","",IF(E$3=0,"n.b.",INDEX(SRC_Woningetalage!$A$1:$ZZ$501,$A302,E$3)))</f>
        <v/>
      </c>
      <c r="F302" t="str">
        <f>IF($B302="","",IF(F$3=0,"n.b.",INDEX(SRC_Woningetalage!$A$1:$ZZ$501,$A302,F$3)))</f>
        <v/>
      </c>
      <c r="G302" t="str">
        <f>IF($B302="","",IF(G$3=0,"n.b.",INDEX(SRC_Woningetalage!$A$1:$ZZ$501,$A302,G$3)))</f>
        <v/>
      </c>
      <c r="H302" t="str">
        <f>IF($B302="","",IF(H$3=0,"n.b.",INDEX(SRC_Woningetalage!$A$1:$ZZ$501,$A302,H$3)))</f>
        <v/>
      </c>
      <c r="I302" t="str">
        <f>IF($B302="","",IF(I$3=0,"n.b.",INDEX(SRC_Woningetalage!$A$1:$ZZ$501,$A302,I$3)))</f>
        <v/>
      </c>
      <c r="J302" t="str">
        <f>IF($B302="","",IF(J$3=0,"n.b.",INDEX(SRC_Woningetalage!$A$1:$ZZ$501,$A302,J$3)))</f>
        <v/>
      </c>
      <c r="K302" t="str">
        <f>IF($B302="","",IF(K$3=0,"n.b.",INDEX(SRC_Woningetalage!$A$1:$ZZ$501,$A302,K$3)))</f>
        <v/>
      </c>
      <c r="L302" t="str">
        <f>IF($B302="","",IF(L$3=0,"n.b.",INDEX(SRC_Woningetalage!$A$1:$ZZ$501,$A302,L$3)))</f>
        <v/>
      </c>
      <c r="M302" t="str">
        <f>IF($B302="","",IF(M$3=0,"n.b.",INDEX(SRC_Woningetalage!$A$1:$ZZ$501,$A302,M$3)))</f>
        <v/>
      </c>
      <c r="N302" t="str">
        <f>IF($B302="","",IF(N$3=0,"n.b.",INDEX(SRC_Woningetalage!$A$1:$ZZ$501,$A302,N$3)))</f>
        <v/>
      </c>
      <c r="O302" t="str">
        <f>IF($B302="","",IF(O$3=0,"n.b.",INDEX(SRC_Woningetalage!$A$1:$ZZ$501,$A302,O$3)))</f>
        <v/>
      </c>
      <c r="P302" t="str">
        <f>IF($B302="","",IF(P$3=0,"n.b.",INDEX(SRC_Woningetalage!$A$1:$ZZ$501,$A302,P$3)))</f>
        <v/>
      </c>
      <c r="Q302" s="124" t="str">
        <f>IF($B302="","",IF(Q$3=0,"n.b.",INDEX(SRC_Woningetalage!$A$1:$ZZ$501,$A302,Q$3)))</f>
        <v/>
      </c>
      <c r="R302" s="124" t="str">
        <f>IF($B302="","",IF(R$3=0,"n.b.",INDEX(SRC_Woningetalage!$A$1:$ZZ$501,$A302,R$3)))</f>
        <v/>
      </c>
      <c r="S302" s="124" t="str">
        <f>IF($B302="","",IF(S$3=0,"n.b.",INDEX(SRC_Woningetalage!$A$1:$ZZ$501,$A302,S$3)))</f>
        <v/>
      </c>
      <c r="T302" s="124" t="str">
        <f>IF($B302="","",IF(T$3=0,"n.b.",INDEX(SRC_Woningetalage!$A$1:$ZZ$501,$A302,T$3)))</f>
        <v/>
      </c>
      <c r="U302" s="124" t="str">
        <f>IF($B302="","",IF(U$3=0,"n.b.",INDEX(SRC_Woningetalage!$A$1:$ZZ$501,$A302,U$3)))</f>
        <v/>
      </c>
      <c r="V302" s="124" t="str">
        <f>IF($B302="","",IF(V$3=0,"n.b.",INDEX(SRC_Woningetalage!$A$1:$ZZ$501,$A302,V$3)))</f>
        <v/>
      </c>
      <c r="W302" s="124" t="str">
        <f>IF($B302="","",IF(W$3=0,"n.b.",INDEX(SRC_Woningetalage!$A$1:$ZZ$501,$A302,W$3)))</f>
        <v/>
      </c>
      <c r="X302" s="124" t="str">
        <f>IF($B302="","",IF(X$3=0,"n.b.",INDEX(SRC_Woningetalage!$A$1:$ZZ$501,$A302,X$3)))</f>
        <v/>
      </c>
      <c r="Y302" s="124" t="str">
        <f>IF($B302="","",IF(Y$3=0,"n.b.",INDEX(SRC_Woningetalage!$A$1:$ZZ$501,$A302,Y$3)))</f>
        <v/>
      </c>
      <c r="Z302" s="124" t="str">
        <f>IF($B302="","",IF(Z$3=0,"n.b.",INDEX(SRC_Woningetalage!$A$1:$ZZ$501,$A302,Z$3)))</f>
        <v/>
      </c>
      <c r="AA302" s="124" t="str">
        <f>IF($B302="","",IF(AA$3=0,"n.b.",INDEX(SRC_Woningetalage!$A$1:$ZZ$501,$A302,AA$3)))</f>
        <v/>
      </c>
      <c r="AB302" s="124" t="str">
        <f>IF($B302="","",IF(AB$3=0,"n.b.",INDEX(SRC_Woningetalage!$A$1:$ZZ$501,$A302,AB$3)))</f>
        <v/>
      </c>
      <c r="AC302" s="124" t="str">
        <f>IF($B302="","",IF(AC$3=0,"n.b.",INDEX(SRC_Woningetalage!$A$1:$ZZ$501,$A302,AC$3)))</f>
        <v/>
      </c>
      <c r="AD302" s="124" t="str">
        <f>IF($B302="","",IF(AD$3=0,"n.b.",INDEX(SRC_Woningetalage!$A$1:$ZZ$501,$A302,AD$3)))</f>
        <v/>
      </c>
      <c r="AE302" s="124" t="str">
        <f>IF($B302="","",IF(AE$3=0,"n.b.",INDEX(SRC_Woningetalage!$A$1:$ZZ$501,$A302,AE$3)))</f>
        <v/>
      </c>
      <c r="AF302" s="124" t="str">
        <f>IF($B302="","",IF(AF$3=0,"n.b.",INDEX(SRC_Woningetalage!$A$1:$ZZ$501,$A302,AF$3)))</f>
        <v/>
      </c>
      <c r="AG302" s="124" t="str">
        <f>IF($B302="","",IF(AG$3=0,"n.b.",INDEX(SRC_Woningetalage!$A$1:$ZZ$501,$A302,AG$3)))</f>
        <v/>
      </c>
      <c r="AH302" s="124" t="str">
        <f>IF($B302="","",IF(AH$3=0,"n.b.",INDEX(SRC_Woningetalage!$A$1:$ZZ$501,$A302,AH$3)))</f>
        <v/>
      </c>
      <c r="AI302" s="124" t="str">
        <f>IF($B302="","",IF(AI$3=0,"n.b.",INDEX(SRC_Woningetalage!$A$1:$ZZ$501,$A302,AI$3)))</f>
        <v/>
      </c>
      <c r="AJ302" s="124" t="str">
        <f>IF($B302="","",IF(AJ$3=0,"n.b.",INDEX(SRC_Woningetalage!$A$1:$ZZ$501,$A302,AJ$3)))</f>
        <v/>
      </c>
      <c r="AK302" s="124" t="str">
        <f>IF($B302="","",IF(AK$3=0,"n.b.",INDEX(SRC_Woningetalage!$A$1:$ZZ$501,$A302,AK$3)))</f>
        <v/>
      </c>
      <c r="AL302" s="124" t="str">
        <f>IF($B302="","",IF(AL$3=0,"n.b.",INDEX(SRC_Woningetalage!$A$1:$ZZ$501,$A302,AL$3)))</f>
        <v/>
      </c>
      <c r="AM302" s="124" t="str">
        <f>IF($B302="","",IF(AM$3=0,"n.b.",INDEX(SRC_Woningetalage!$A$1:$ZZ$501,$A302,AM$3)))</f>
        <v/>
      </c>
      <c r="AN302" s="124" t="str">
        <f>IF($B302="","",IF(AN$3=0,"n.b.",INDEX(SRC_Woningetalage!$A$1:$ZZ$501,$A302,AN$3)))</f>
        <v/>
      </c>
      <c r="AO302" s="124" t="str">
        <f>IF($B302="","",IF(AO$3=0,"n.b.",INDEX(SRC_Woningetalage!$A$1:$ZZ$501,$A302,AO$3)))</f>
        <v/>
      </c>
      <c r="AP302" s="124" t="str">
        <f>IF($B302="","",IF(AP$3=0,"n.b.",INDEX(SRC_Woningetalage!$A$1:$ZZ$501,$A302,AP$3)))</f>
        <v/>
      </c>
      <c r="AQ302" s="124" t="str">
        <f>IF($B302="","",IF(AQ$3=0,"n.b.",INDEX(SRC_Woningetalage!$A$1:$ZZ$501,$A302,AQ$3)))</f>
        <v/>
      </c>
      <c r="AR302" s="124" t="str">
        <f>IF($B302="","",IF(AR$3=0,"n.b.",INDEX(SRC_Woningetalage!$A$1:$ZZ$501,$A302,AR$3)))</f>
        <v/>
      </c>
      <c r="AS302" s="124" t="str">
        <f>IF($B302="","",IF(AS$3=0,"n.b.",INDEX(SRC_Woningetalage!$A$1:$ZZ$501,$A302,AS$3)))</f>
        <v/>
      </c>
      <c r="AT302" s="124" t="str">
        <f>IF($B302="","",IF(AT$3=0,"n.b.",INDEX(SRC_Woningetalage!$A$1:$ZZ$501,$A302,AT$3)))</f>
        <v/>
      </c>
      <c r="AU302" s="124" t="str">
        <f>IF($B302="","",IF(AU$3=0,"n.b.",INDEX(SRC_Woningetalage!$A$1:$ZZ$501,$A302,AU$3)))</f>
        <v/>
      </c>
      <c r="AV302" s="124" t="str">
        <f>IF($B302="","",IF(AV$3=0,"n.b.",INDEX(SRC_Woningetalage!$A$1:$ZZ$501,$A302,AV$3)))</f>
        <v/>
      </c>
      <c r="AW302" s="124" t="str">
        <f>IF($B302="","",IF(AW$3=0,"n.b.",INDEX(SRC_Woningetalage!$A$1:$ZZ$501,$A302,AW$3)))</f>
        <v/>
      </c>
      <c r="AX302" s="124" t="str">
        <f>IF($B302="","",IF(AX$3=0,"n.b.",INDEX(SRC_Woningetalage!$A$1:$ZZ$501,$A302,AX$3)))</f>
        <v/>
      </c>
      <c r="AY302" s="124" t="str">
        <f>IF($B302="","",IF(AY$3=0,"n.b.",INDEX(SRC_Woningetalage!$A$1:$ZZ$501,$A302,AY$3)))</f>
        <v/>
      </c>
      <c r="AZ302" s="124" t="str">
        <f>IF($B302="","",IF(AZ$3=0,"n.b.",INDEX(SRC_Woningetalage!$A$1:$ZZ$501,$A302,AZ$3)))</f>
        <v/>
      </c>
      <c r="BA302" s="124" t="str">
        <f>IF($B302="","",IF(BA$3=0,"n.b.",INDEX(SRC_Woningetalage!$A$1:$ZZ$501,$A302,BA$3)))</f>
        <v/>
      </c>
      <c r="BB302" s="124" t="str">
        <f>IF($B302="","",IF(BB$3=0,"n.b.",INDEX(SRC_Woningetalage!$A$1:$ZZ$501,$A302,BB$3)))</f>
        <v/>
      </c>
      <c r="BC302" s="124" t="str">
        <f>IF($B302="","",IFERROR(_xlfn.NUMBERVALUE(E302&amp;"",",","."),"n.b."))</f>
        <v/>
      </c>
      <c r="BD302" s="124" t="str">
        <f>IF($B302="","",IFERROR(_xlfn.NUMBERVALUE(M302&amp;"",",","."),"n.b."))</f>
        <v/>
      </c>
      <c r="BE302" s="124" t="str">
        <f>IF($B302="","",IFERROR(AB302+AC302+AD302,"n.b."))</f>
        <v/>
      </c>
      <c r="BF302" s="124" t="str">
        <f>IF($B302="","",IFERROR(AE302+AF302+AG302,"n.b."))</f>
        <v/>
      </c>
      <c r="BG302" s="124" t="str">
        <f>IF($B302="","",IFERROR(AH302+AI302+AJ302,"n.b."))</f>
        <v/>
      </c>
      <c r="BH302" s="124" t="str">
        <f>IF($B302="","",IFERROR(AK302+AL302+AM302,"n.b."))</f>
        <v/>
      </c>
      <c r="BI302" s="124" t="str">
        <f>IF($B302="","",IFERROR(SUMIF($AB$5:$AM$5,"&lt;="&amp;P_PeilMaand,AB302:AM302),"n.b."))</f>
        <v/>
      </c>
      <c r="BJ302" s="124" t="str">
        <f>IF($B302="","",IFERROR(SUM(AB302:AM302)-BI302,"n.b."))</f>
        <v/>
      </c>
      <c r="BK302" s="124" t="str">
        <f>IF($B302="","",IFERROR(IF(ABS(Q302-(T302+SUM(AB302:AM302)+AS302+AU302))&gt;P_Tol,1,0),1))</f>
        <v/>
      </c>
      <c r="BL302" s="124" t="str">
        <f>IF($B302="","",IFERROR(IF(ABS(AA302-(Q302-Z302))&gt;P_Tol,1,0),1))</f>
        <v/>
      </c>
      <c r="BM302" s="124" t="str">
        <f>IF($B302="","",IFERROR(IF(ABS(Z302-(T302+W302))&gt;P_Tol,1,0),1))</f>
        <v/>
      </c>
      <c r="BN302" s="124" t="str">
        <f>IF($B302="","",IFERROR(IF(ABS(W302-BI302)&gt;P_Tol,1,0),1))</f>
        <v/>
      </c>
      <c r="BO302" s="124" t="str">
        <f>IF($B302="","",IFERROR(IF(OR(ABS(R302+S302-T302)&gt;P_Tol,ABS(U302+V302-W302)&gt;P_Tol,ABS(X302+Y302-Z302)&gt;P_Tol),1,0),1))</f>
        <v/>
      </c>
      <c r="BP302" s="124" t="str">
        <f>IF($B302="","",IFERROR(IF(OR(ABS(AR302-SUM(AB302:AM302))&gt;P_Tol,ABS(AS302-(AN302+AO302+AP302+AQ302))&gt;P_Tol),1,0),1))</f>
        <v/>
      </c>
      <c r="BQ302" s="124" t="str">
        <f>IF($B302="","",IFERROR(IF(ABS(AT302)+ABS(AV302)+ABS(AW302)+ABS(AX302)+ABS(AY302)+ABS(AZ302)+ABS(BA302)+ABS(BB302)&gt;0,1,0),1))</f>
        <v/>
      </c>
      <c r="BR302" s="124" t="str">
        <f>IF($B302="","",COUNTIF(STG_ZPMW03!$B$6:$B$505,B302))</f>
        <v/>
      </c>
      <c r="BS302" s="124" t="str">
        <f>IF($B302="","",COUNTIF($B$6:$B$505,B302))</f>
        <v/>
      </c>
      <c r="BT302" s="124" t="str">
        <f>IF($B302="","",IF(BR302=0,0,IF(INDEX(STG_ZPMW03!$I$6:$I$505,MATCH(B302,STG_ZPMW03!$B$6:$B$505,0))=J302&amp;"",0,1)))</f>
        <v/>
      </c>
      <c r="BU302" s="124" t="str">
        <f>IF($B302="","",IFERROR(IF(ABS(INDEX(Mapping!$D$5:$D$104,MATCH(B302,Mapping!$A$5:$A$104,0))-Q302)&gt;P_Tol,1,0),0))</f>
        <v/>
      </c>
      <c r="BV302" s="124" t="str">
        <f>IF($B302="","",IFERROR(IF(AND(INDEX(Mapping!$G$5:$G$104,MATCH(B302,Mapping!$A$5:$A$104,0))="Nee",ABS(Q302)+ABS(Z302)+ABS(AR302)&gt;0),1,0),0))</f>
        <v/>
      </c>
      <c r="BW302" s="124" t="str">
        <f>IF($B302="","",IF(COUNTIF(Mapping!$A$5:$A$104,B302)&gt;0,1,0))</f>
        <v/>
      </c>
      <c r="BX302" s="124" t="str">
        <f>IF($B302="","",IF(BR302=0,COUNTIF($BR$6:BR302,0),""))</f>
        <v/>
      </c>
    </row>
    <row r="303">
      <c r="A303" s="15" t="n">
        <v>299</v>
      </c>
      <c r="B303" t="str">
        <f>IF(B$3=0,"",IF(INDEX(SRC_Woningetalage!$A$1:$ZZ$501,$A303,B$3)&amp;""="","",INDEX(SRC_Woningetalage!$A$1:$ZZ$501,$A303,B$3)&amp;""))</f>
        <v/>
      </c>
      <c r="C303" t="str">
        <f>IF($B303="","",IF(C$3=0,"n.b.",INDEX(SRC_Woningetalage!$A$1:$ZZ$501,$A303,C$3)))</f>
        <v/>
      </c>
      <c r="D303" t="str">
        <f>IF($B303="","",IF(D$3=0,"n.b.",INDEX(SRC_Woningetalage!$A$1:$ZZ$501,$A303,D$3)))</f>
        <v/>
      </c>
      <c r="E303" t="str">
        <f>IF($B303="","",IF(E$3=0,"n.b.",INDEX(SRC_Woningetalage!$A$1:$ZZ$501,$A303,E$3)))</f>
        <v/>
      </c>
      <c r="F303" t="str">
        <f>IF($B303="","",IF(F$3=0,"n.b.",INDEX(SRC_Woningetalage!$A$1:$ZZ$501,$A303,F$3)))</f>
        <v/>
      </c>
      <c r="G303" t="str">
        <f>IF($B303="","",IF(G$3=0,"n.b.",INDEX(SRC_Woningetalage!$A$1:$ZZ$501,$A303,G$3)))</f>
        <v/>
      </c>
      <c r="H303" t="str">
        <f>IF($B303="","",IF(H$3=0,"n.b.",INDEX(SRC_Woningetalage!$A$1:$ZZ$501,$A303,H$3)))</f>
        <v/>
      </c>
      <c r="I303" t="str">
        <f>IF($B303="","",IF(I$3=0,"n.b.",INDEX(SRC_Woningetalage!$A$1:$ZZ$501,$A303,I$3)))</f>
        <v/>
      </c>
      <c r="J303" t="str">
        <f>IF($B303="","",IF(J$3=0,"n.b.",INDEX(SRC_Woningetalage!$A$1:$ZZ$501,$A303,J$3)))</f>
        <v/>
      </c>
      <c r="K303" t="str">
        <f>IF($B303="","",IF(K$3=0,"n.b.",INDEX(SRC_Woningetalage!$A$1:$ZZ$501,$A303,K$3)))</f>
        <v/>
      </c>
      <c r="L303" t="str">
        <f>IF($B303="","",IF(L$3=0,"n.b.",INDEX(SRC_Woningetalage!$A$1:$ZZ$501,$A303,L$3)))</f>
        <v/>
      </c>
      <c r="M303" t="str">
        <f>IF($B303="","",IF(M$3=0,"n.b.",INDEX(SRC_Woningetalage!$A$1:$ZZ$501,$A303,M$3)))</f>
        <v/>
      </c>
      <c r="N303" t="str">
        <f>IF($B303="","",IF(N$3=0,"n.b.",INDEX(SRC_Woningetalage!$A$1:$ZZ$501,$A303,N$3)))</f>
        <v/>
      </c>
      <c r="O303" t="str">
        <f>IF($B303="","",IF(O$3=0,"n.b.",INDEX(SRC_Woningetalage!$A$1:$ZZ$501,$A303,O$3)))</f>
        <v/>
      </c>
      <c r="P303" t="str">
        <f>IF($B303="","",IF(P$3=0,"n.b.",INDEX(SRC_Woningetalage!$A$1:$ZZ$501,$A303,P$3)))</f>
        <v/>
      </c>
      <c r="Q303" s="124" t="str">
        <f>IF($B303="","",IF(Q$3=0,"n.b.",INDEX(SRC_Woningetalage!$A$1:$ZZ$501,$A303,Q$3)))</f>
        <v/>
      </c>
      <c r="R303" s="124" t="str">
        <f>IF($B303="","",IF(R$3=0,"n.b.",INDEX(SRC_Woningetalage!$A$1:$ZZ$501,$A303,R$3)))</f>
        <v/>
      </c>
      <c r="S303" s="124" t="str">
        <f>IF($B303="","",IF(S$3=0,"n.b.",INDEX(SRC_Woningetalage!$A$1:$ZZ$501,$A303,S$3)))</f>
        <v/>
      </c>
      <c r="T303" s="124" t="str">
        <f>IF($B303="","",IF(T$3=0,"n.b.",INDEX(SRC_Woningetalage!$A$1:$ZZ$501,$A303,T$3)))</f>
        <v/>
      </c>
      <c r="U303" s="124" t="str">
        <f>IF($B303="","",IF(U$3=0,"n.b.",INDEX(SRC_Woningetalage!$A$1:$ZZ$501,$A303,U$3)))</f>
        <v/>
      </c>
      <c r="V303" s="124" t="str">
        <f>IF($B303="","",IF(V$3=0,"n.b.",INDEX(SRC_Woningetalage!$A$1:$ZZ$501,$A303,V$3)))</f>
        <v/>
      </c>
      <c r="W303" s="124" t="str">
        <f>IF($B303="","",IF(W$3=0,"n.b.",INDEX(SRC_Woningetalage!$A$1:$ZZ$501,$A303,W$3)))</f>
        <v/>
      </c>
      <c r="X303" s="124" t="str">
        <f>IF($B303="","",IF(X$3=0,"n.b.",INDEX(SRC_Woningetalage!$A$1:$ZZ$501,$A303,X$3)))</f>
        <v/>
      </c>
      <c r="Y303" s="124" t="str">
        <f>IF($B303="","",IF(Y$3=0,"n.b.",INDEX(SRC_Woningetalage!$A$1:$ZZ$501,$A303,Y$3)))</f>
        <v/>
      </c>
      <c r="Z303" s="124" t="str">
        <f>IF($B303="","",IF(Z$3=0,"n.b.",INDEX(SRC_Woningetalage!$A$1:$ZZ$501,$A303,Z$3)))</f>
        <v/>
      </c>
      <c r="AA303" s="124" t="str">
        <f>IF($B303="","",IF(AA$3=0,"n.b.",INDEX(SRC_Woningetalage!$A$1:$ZZ$501,$A303,AA$3)))</f>
        <v/>
      </c>
      <c r="AB303" s="124" t="str">
        <f>IF($B303="","",IF(AB$3=0,"n.b.",INDEX(SRC_Woningetalage!$A$1:$ZZ$501,$A303,AB$3)))</f>
        <v/>
      </c>
      <c r="AC303" s="124" t="str">
        <f>IF($B303="","",IF(AC$3=0,"n.b.",INDEX(SRC_Woningetalage!$A$1:$ZZ$501,$A303,AC$3)))</f>
        <v/>
      </c>
      <c r="AD303" s="124" t="str">
        <f>IF($B303="","",IF(AD$3=0,"n.b.",INDEX(SRC_Woningetalage!$A$1:$ZZ$501,$A303,AD$3)))</f>
        <v/>
      </c>
      <c r="AE303" s="124" t="str">
        <f>IF($B303="","",IF(AE$3=0,"n.b.",INDEX(SRC_Woningetalage!$A$1:$ZZ$501,$A303,AE$3)))</f>
        <v/>
      </c>
      <c r="AF303" s="124" t="str">
        <f>IF($B303="","",IF(AF$3=0,"n.b.",INDEX(SRC_Woningetalage!$A$1:$ZZ$501,$A303,AF$3)))</f>
        <v/>
      </c>
      <c r="AG303" s="124" t="str">
        <f>IF($B303="","",IF(AG$3=0,"n.b.",INDEX(SRC_Woningetalage!$A$1:$ZZ$501,$A303,AG$3)))</f>
        <v/>
      </c>
      <c r="AH303" s="124" t="str">
        <f>IF($B303="","",IF(AH$3=0,"n.b.",INDEX(SRC_Woningetalage!$A$1:$ZZ$501,$A303,AH$3)))</f>
        <v/>
      </c>
      <c r="AI303" s="124" t="str">
        <f>IF($B303="","",IF(AI$3=0,"n.b.",INDEX(SRC_Woningetalage!$A$1:$ZZ$501,$A303,AI$3)))</f>
        <v/>
      </c>
      <c r="AJ303" s="124" t="str">
        <f>IF($B303="","",IF(AJ$3=0,"n.b.",INDEX(SRC_Woningetalage!$A$1:$ZZ$501,$A303,AJ$3)))</f>
        <v/>
      </c>
      <c r="AK303" s="124" t="str">
        <f>IF($B303="","",IF(AK$3=0,"n.b.",INDEX(SRC_Woningetalage!$A$1:$ZZ$501,$A303,AK$3)))</f>
        <v/>
      </c>
      <c r="AL303" s="124" t="str">
        <f>IF($B303="","",IF(AL$3=0,"n.b.",INDEX(SRC_Woningetalage!$A$1:$ZZ$501,$A303,AL$3)))</f>
        <v/>
      </c>
      <c r="AM303" s="124" t="str">
        <f>IF($B303="","",IF(AM$3=0,"n.b.",INDEX(SRC_Woningetalage!$A$1:$ZZ$501,$A303,AM$3)))</f>
        <v/>
      </c>
      <c r="AN303" s="124" t="str">
        <f>IF($B303="","",IF(AN$3=0,"n.b.",INDEX(SRC_Woningetalage!$A$1:$ZZ$501,$A303,AN$3)))</f>
        <v/>
      </c>
      <c r="AO303" s="124" t="str">
        <f>IF($B303="","",IF(AO$3=0,"n.b.",INDEX(SRC_Woningetalage!$A$1:$ZZ$501,$A303,AO$3)))</f>
        <v/>
      </c>
      <c r="AP303" s="124" t="str">
        <f>IF($B303="","",IF(AP$3=0,"n.b.",INDEX(SRC_Woningetalage!$A$1:$ZZ$501,$A303,AP$3)))</f>
        <v/>
      </c>
      <c r="AQ303" s="124" t="str">
        <f>IF($B303="","",IF(AQ$3=0,"n.b.",INDEX(SRC_Woningetalage!$A$1:$ZZ$501,$A303,AQ$3)))</f>
        <v/>
      </c>
      <c r="AR303" s="124" t="str">
        <f>IF($B303="","",IF(AR$3=0,"n.b.",INDEX(SRC_Woningetalage!$A$1:$ZZ$501,$A303,AR$3)))</f>
        <v/>
      </c>
      <c r="AS303" s="124" t="str">
        <f>IF($B303="","",IF(AS$3=0,"n.b.",INDEX(SRC_Woningetalage!$A$1:$ZZ$501,$A303,AS$3)))</f>
        <v/>
      </c>
      <c r="AT303" s="124" t="str">
        <f>IF($B303="","",IF(AT$3=0,"n.b.",INDEX(SRC_Woningetalage!$A$1:$ZZ$501,$A303,AT$3)))</f>
        <v/>
      </c>
      <c r="AU303" s="124" t="str">
        <f>IF($B303="","",IF(AU$3=0,"n.b.",INDEX(SRC_Woningetalage!$A$1:$ZZ$501,$A303,AU$3)))</f>
        <v/>
      </c>
      <c r="AV303" s="124" t="str">
        <f>IF($B303="","",IF(AV$3=0,"n.b.",INDEX(SRC_Woningetalage!$A$1:$ZZ$501,$A303,AV$3)))</f>
        <v/>
      </c>
      <c r="AW303" s="124" t="str">
        <f>IF($B303="","",IF(AW$3=0,"n.b.",INDEX(SRC_Woningetalage!$A$1:$ZZ$501,$A303,AW$3)))</f>
        <v/>
      </c>
      <c r="AX303" s="124" t="str">
        <f>IF($B303="","",IF(AX$3=0,"n.b.",INDEX(SRC_Woningetalage!$A$1:$ZZ$501,$A303,AX$3)))</f>
        <v/>
      </c>
      <c r="AY303" s="124" t="str">
        <f>IF($B303="","",IF(AY$3=0,"n.b.",INDEX(SRC_Woningetalage!$A$1:$ZZ$501,$A303,AY$3)))</f>
        <v/>
      </c>
      <c r="AZ303" s="124" t="str">
        <f>IF($B303="","",IF(AZ$3=0,"n.b.",INDEX(SRC_Woningetalage!$A$1:$ZZ$501,$A303,AZ$3)))</f>
        <v/>
      </c>
      <c r="BA303" s="124" t="str">
        <f>IF($B303="","",IF(BA$3=0,"n.b.",INDEX(SRC_Woningetalage!$A$1:$ZZ$501,$A303,BA$3)))</f>
        <v/>
      </c>
      <c r="BB303" s="124" t="str">
        <f>IF($B303="","",IF(BB$3=0,"n.b.",INDEX(SRC_Woningetalage!$A$1:$ZZ$501,$A303,BB$3)))</f>
        <v/>
      </c>
      <c r="BC303" s="124" t="str">
        <f>IF($B303="","",IFERROR(_xlfn.NUMBERVALUE(E303&amp;"",",","."),"n.b."))</f>
        <v/>
      </c>
      <c r="BD303" s="124" t="str">
        <f>IF($B303="","",IFERROR(_xlfn.NUMBERVALUE(M303&amp;"",",","."),"n.b."))</f>
        <v/>
      </c>
      <c r="BE303" s="124" t="str">
        <f>IF($B303="","",IFERROR(AB303+AC303+AD303,"n.b."))</f>
        <v/>
      </c>
      <c r="BF303" s="124" t="str">
        <f>IF($B303="","",IFERROR(AE303+AF303+AG303,"n.b."))</f>
        <v/>
      </c>
      <c r="BG303" s="124" t="str">
        <f>IF($B303="","",IFERROR(AH303+AI303+AJ303,"n.b."))</f>
        <v/>
      </c>
      <c r="BH303" s="124" t="str">
        <f>IF($B303="","",IFERROR(AK303+AL303+AM303,"n.b."))</f>
        <v/>
      </c>
      <c r="BI303" s="124" t="str">
        <f>IF($B303="","",IFERROR(SUMIF($AB$5:$AM$5,"&lt;="&amp;P_PeilMaand,AB303:AM303),"n.b."))</f>
        <v/>
      </c>
      <c r="BJ303" s="124" t="str">
        <f>IF($B303="","",IFERROR(SUM(AB303:AM303)-BI303,"n.b."))</f>
        <v/>
      </c>
      <c r="BK303" s="124" t="str">
        <f>IF($B303="","",IFERROR(IF(ABS(Q303-(T303+SUM(AB303:AM303)+AS303+AU303))&gt;P_Tol,1,0),1))</f>
        <v/>
      </c>
      <c r="BL303" s="124" t="str">
        <f>IF($B303="","",IFERROR(IF(ABS(AA303-(Q303-Z303))&gt;P_Tol,1,0),1))</f>
        <v/>
      </c>
      <c r="BM303" s="124" t="str">
        <f>IF($B303="","",IFERROR(IF(ABS(Z303-(T303+W303))&gt;P_Tol,1,0),1))</f>
        <v/>
      </c>
      <c r="BN303" s="124" t="str">
        <f>IF($B303="","",IFERROR(IF(ABS(W303-BI303)&gt;P_Tol,1,0),1))</f>
        <v/>
      </c>
      <c r="BO303" s="124" t="str">
        <f>IF($B303="","",IFERROR(IF(OR(ABS(R303+S303-T303)&gt;P_Tol,ABS(U303+V303-W303)&gt;P_Tol,ABS(X303+Y303-Z303)&gt;P_Tol),1,0),1))</f>
        <v/>
      </c>
      <c r="BP303" s="124" t="str">
        <f>IF($B303="","",IFERROR(IF(OR(ABS(AR303-SUM(AB303:AM303))&gt;P_Tol,ABS(AS303-(AN303+AO303+AP303+AQ303))&gt;P_Tol),1,0),1))</f>
        <v/>
      </c>
      <c r="BQ303" s="124" t="str">
        <f>IF($B303="","",IFERROR(IF(ABS(AT303)+ABS(AV303)+ABS(AW303)+ABS(AX303)+ABS(AY303)+ABS(AZ303)+ABS(BA303)+ABS(BB303)&gt;0,1,0),1))</f>
        <v/>
      </c>
      <c r="BR303" s="124" t="str">
        <f>IF($B303="","",COUNTIF(STG_ZPMW03!$B$6:$B$505,B303))</f>
        <v/>
      </c>
      <c r="BS303" s="124" t="str">
        <f>IF($B303="","",COUNTIF($B$6:$B$505,B303))</f>
        <v/>
      </c>
      <c r="BT303" s="124" t="str">
        <f>IF($B303="","",IF(BR303=0,0,IF(INDEX(STG_ZPMW03!$I$6:$I$505,MATCH(B303,STG_ZPMW03!$B$6:$B$505,0))=J303&amp;"",0,1)))</f>
        <v/>
      </c>
      <c r="BU303" s="124" t="str">
        <f>IF($B303="","",IFERROR(IF(ABS(INDEX(Mapping!$D$5:$D$104,MATCH(B303,Mapping!$A$5:$A$104,0))-Q303)&gt;P_Tol,1,0),0))</f>
        <v/>
      </c>
      <c r="BV303" s="124" t="str">
        <f>IF($B303="","",IFERROR(IF(AND(INDEX(Mapping!$G$5:$G$104,MATCH(B303,Mapping!$A$5:$A$104,0))="Nee",ABS(Q303)+ABS(Z303)+ABS(AR303)&gt;0),1,0),0))</f>
        <v/>
      </c>
      <c r="BW303" s="124" t="str">
        <f>IF($B303="","",IF(COUNTIF(Mapping!$A$5:$A$104,B303)&gt;0,1,0))</f>
        <v/>
      </c>
      <c r="BX303" s="124" t="str">
        <f>IF($B303="","",IF(BR303=0,COUNTIF($BR$6:BR303,0),""))</f>
        <v/>
      </c>
    </row>
    <row r="304">
      <c r="A304" s="15" t="n">
        <v>300</v>
      </c>
      <c r="B304" t="str">
        <f>IF(B$3=0,"",IF(INDEX(SRC_Woningetalage!$A$1:$ZZ$501,$A304,B$3)&amp;""="","",INDEX(SRC_Woningetalage!$A$1:$ZZ$501,$A304,B$3)&amp;""))</f>
        <v/>
      </c>
      <c r="C304" t="str">
        <f>IF($B304="","",IF(C$3=0,"n.b.",INDEX(SRC_Woningetalage!$A$1:$ZZ$501,$A304,C$3)))</f>
        <v/>
      </c>
      <c r="D304" t="str">
        <f>IF($B304="","",IF(D$3=0,"n.b.",INDEX(SRC_Woningetalage!$A$1:$ZZ$501,$A304,D$3)))</f>
        <v/>
      </c>
      <c r="E304" t="str">
        <f>IF($B304="","",IF(E$3=0,"n.b.",INDEX(SRC_Woningetalage!$A$1:$ZZ$501,$A304,E$3)))</f>
        <v/>
      </c>
      <c r="F304" t="str">
        <f>IF($B304="","",IF(F$3=0,"n.b.",INDEX(SRC_Woningetalage!$A$1:$ZZ$501,$A304,F$3)))</f>
        <v/>
      </c>
      <c r="G304" t="str">
        <f>IF($B304="","",IF(G$3=0,"n.b.",INDEX(SRC_Woningetalage!$A$1:$ZZ$501,$A304,G$3)))</f>
        <v/>
      </c>
      <c r="H304" t="str">
        <f>IF($B304="","",IF(H$3=0,"n.b.",INDEX(SRC_Woningetalage!$A$1:$ZZ$501,$A304,H$3)))</f>
        <v/>
      </c>
      <c r="I304" t="str">
        <f>IF($B304="","",IF(I$3=0,"n.b.",INDEX(SRC_Woningetalage!$A$1:$ZZ$501,$A304,I$3)))</f>
        <v/>
      </c>
      <c r="J304" t="str">
        <f>IF($B304="","",IF(J$3=0,"n.b.",INDEX(SRC_Woningetalage!$A$1:$ZZ$501,$A304,J$3)))</f>
        <v/>
      </c>
      <c r="K304" t="str">
        <f>IF($B304="","",IF(K$3=0,"n.b.",INDEX(SRC_Woningetalage!$A$1:$ZZ$501,$A304,K$3)))</f>
        <v/>
      </c>
      <c r="L304" t="str">
        <f>IF($B304="","",IF(L$3=0,"n.b.",INDEX(SRC_Woningetalage!$A$1:$ZZ$501,$A304,L$3)))</f>
        <v/>
      </c>
      <c r="M304" t="str">
        <f>IF($B304="","",IF(M$3=0,"n.b.",INDEX(SRC_Woningetalage!$A$1:$ZZ$501,$A304,M$3)))</f>
        <v/>
      </c>
      <c r="N304" t="str">
        <f>IF($B304="","",IF(N$3=0,"n.b.",INDEX(SRC_Woningetalage!$A$1:$ZZ$501,$A304,N$3)))</f>
        <v/>
      </c>
      <c r="O304" t="str">
        <f>IF($B304="","",IF(O$3=0,"n.b.",INDEX(SRC_Woningetalage!$A$1:$ZZ$501,$A304,O$3)))</f>
        <v/>
      </c>
      <c r="P304" t="str">
        <f>IF($B304="","",IF(P$3=0,"n.b.",INDEX(SRC_Woningetalage!$A$1:$ZZ$501,$A304,P$3)))</f>
        <v/>
      </c>
      <c r="Q304" s="124" t="str">
        <f>IF($B304="","",IF(Q$3=0,"n.b.",INDEX(SRC_Woningetalage!$A$1:$ZZ$501,$A304,Q$3)))</f>
        <v/>
      </c>
      <c r="R304" s="124" t="str">
        <f>IF($B304="","",IF(R$3=0,"n.b.",INDEX(SRC_Woningetalage!$A$1:$ZZ$501,$A304,R$3)))</f>
        <v/>
      </c>
      <c r="S304" s="124" t="str">
        <f>IF($B304="","",IF(S$3=0,"n.b.",INDEX(SRC_Woningetalage!$A$1:$ZZ$501,$A304,S$3)))</f>
        <v/>
      </c>
      <c r="T304" s="124" t="str">
        <f>IF($B304="","",IF(T$3=0,"n.b.",INDEX(SRC_Woningetalage!$A$1:$ZZ$501,$A304,T$3)))</f>
        <v/>
      </c>
      <c r="U304" s="124" t="str">
        <f>IF($B304="","",IF(U$3=0,"n.b.",INDEX(SRC_Woningetalage!$A$1:$ZZ$501,$A304,U$3)))</f>
        <v/>
      </c>
      <c r="V304" s="124" t="str">
        <f>IF($B304="","",IF(V$3=0,"n.b.",INDEX(SRC_Woningetalage!$A$1:$ZZ$501,$A304,V$3)))</f>
        <v/>
      </c>
      <c r="W304" s="124" t="str">
        <f>IF($B304="","",IF(W$3=0,"n.b.",INDEX(SRC_Woningetalage!$A$1:$ZZ$501,$A304,W$3)))</f>
        <v/>
      </c>
      <c r="X304" s="124" t="str">
        <f>IF($B304="","",IF(X$3=0,"n.b.",INDEX(SRC_Woningetalage!$A$1:$ZZ$501,$A304,X$3)))</f>
        <v/>
      </c>
      <c r="Y304" s="124" t="str">
        <f>IF($B304="","",IF(Y$3=0,"n.b.",INDEX(SRC_Woningetalage!$A$1:$ZZ$501,$A304,Y$3)))</f>
        <v/>
      </c>
      <c r="Z304" s="124" t="str">
        <f>IF($B304="","",IF(Z$3=0,"n.b.",INDEX(SRC_Woningetalage!$A$1:$ZZ$501,$A304,Z$3)))</f>
        <v/>
      </c>
      <c r="AA304" s="124" t="str">
        <f>IF($B304="","",IF(AA$3=0,"n.b.",INDEX(SRC_Woningetalage!$A$1:$ZZ$501,$A304,AA$3)))</f>
        <v/>
      </c>
      <c r="AB304" s="124" t="str">
        <f>IF($B304="","",IF(AB$3=0,"n.b.",INDEX(SRC_Woningetalage!$A$1:$ZZ$501,$A304,AB$3)))</f>
        <v/>
      </c>
      <c r="AC304" s="124" t="str">
        <f>IF($B304="","",IF(AC$3=0,"n.b.",INDEX(SRC_Woningetalage!$A$1:$ZZ$501,$A304,AC$3)))</f>
        <v/>
      </c>
      <c r="AD304" s="124" t="str">
        <f>IF($B304="","",IF(AD$3=0,"n.b.",INDEX(SRC_Woningetalage!$A$1:$ZZ$501,$A304,AD$3)))</f>
        <v/>
      </c>
      <c r="AE304" s="124" t="str">
        <f>IF($B304="","",IF(AE$3=0,"n.b.",INDEX(SRC_Woningetalage!$A$1:$ZZ$501,$A304,AE$3)))</f>
        <v/>
      </c>
      <c r="AF304" s="124" t="str">
        <f>IF($B304="","",IF(AF$3=0,"n.b.",INDEX(SRC_Woningetalage!$A$1:$ZZ$501,$A304,AF$3)))</f>
        <v/>
      </c>
      <c r="AG304" s="124" t="str">
        <f>IF($B304="","",IF(AG$3=0,"n.b.",INDEX(SRC_Woningetalage!$A$1:$ZZ$501,$A304,AG$3)))</f>
        <v/>
      </c>
      <c r="AH304" s="124" t="str">
        <f>IF($B304="","",IF(AH$3=0,"n.b.",INDEX(SRC_Woningetalage!$A$1:$ZZ$501,$A304,AH$3)))</f>
        <v/>
      </c>
      <c r="AI304" s="124" t="str">
        <f>IF($B304="","",IF(AI$3=0,"n.b.",INDEX(SRC_Woningetalage!$A$1:$ZZ$501,$A304,AI$3)))</f>
        <v/>
      </c>
      <c r="AJ304" s="124" t="str">
        <f>IF($B304="","",IF(AJ$3=0,"n.b.",INDEX(SRC_Woningetalage!$A$1:$ZZ$501,$A304,AJ$3)))</f>
        <v/>
      </c>
      <c r="AK304" s="124" t="str">
        <f>IF($B304="","",IF(AK$3=0,"n.b.",INDEX(SRC_Woningetalage!$A$1:$ZZ$501,$A304,AK$3)))</f>
        <v/>
      </c>
      <c r="AL304" s="124" t="str">
        <f>IF($B304="","",IF(AL$3=0,"n.b.",INDEX(SRC_Woningetalage!$A$1:$ZZ$501,$A304,AL$3)))</f>
        <v/>
      </c>
      <c r="AM304" s="124" t="str">
        <f>IF($B304="","",IF(AM$3=0,"n.b.",INDEX(SRC_Woningetalage!$A$1:$ZZ$501,$A304,AM$3)))</f>
        <v/>
      </c>
      <c r="AN304" s="124" t="str">
        <f>IF($B304="","",IF(AN$3=0,"n.b.",INDEX(SRC_Woningetalage!$A$1:$ZZ$501,$A304,AN$3)))</f>
        <v/>
      </c>
      <c r="AO304" s="124" t="str">
        <f>IF($B304="","",IF(AO$3=0,"n.b.",INDEX(SRC_Woningetalage!$A$1:$ZZ$501,$A304,AO$3)))</f>
        <v/>
      </c>
      <c r="AP304" s="124" t="str">
        <f>IF($B304="","",IF(AP$3=0,"n.b.",INDEX(SRC_Woningetalage!$A$1:$ZZ$501,$A304,AP$3)))</f>
        <v/>
      </c>
      <c r="AQ304" s="124" t="str">
        <f>IF($B304="","",IF(AQ$3=0,"n.b.",INDEX(SRC_Woningetalage!$A$1:$ZZ$501,$A304,AQ$3)))</f>
        <v/>
      </c>
      <c r="AR304" s="124" t="str">
        <f>IF($B304="","",IF(AR$3=0,"n.b.",INDEX(SRC_Woningetalage!$A$1:$ZZ$501,$A304,AR$3)))</f>
        <v/>
      </c>
      <c r="AS304" s="124" t="str">
        <f>IF($B304="","",IF(AS$3=0,"n.b.",INDEX(SRC_Woningetalage!$A$1:$ZZ$501,$A304,AS$3)))</f>
        <v/>
      </c>
      <c r="AT304" s="124" t="str">
        <f>IF($B304="","",IF(AT$3=0,"n.b.",INDEX(SRC_Woningetalage!$A$1:$ZZ$501,$A304,AT$3)))</f>
        <v/>
      </c>
      <c r="AU304" s="124" t="str">
        <f>IF($B304="","",IF(AU$3=0,"n.b.",INDEX(SRC_Woningetalage!$A$1:$ZZ$501,$A304,AU$3)))</f>
        <v/>
      </c>
      <c r="AV304" s="124" t="str">
        <f>IF($B304="","",IF(AV$3=0,"n.b.",INDEX(SRC_Woningetalage!$A$1:$ZZ$501,$A304,AV$3)))</f>
        <v/>
      </c>
      <c r="AW304" s="124" t="str">
        <f>IF($B304="","",IF(AW$3=0,"n.b.",INDEX(SRC_Woningetalage!$A$1:$ZZ$501,$A304,AW$3)))</f>
        <v/>
      </c>
      <c r="AX304" s="124" t="str">
        <f>IF($B304="","",IF(AX$3=0,"n.b.",INDEX(SRC_Woningetalage!$A$1:$ZZ$501,$A304,AX$3)))</f>
        <v/>
      </c>
      <c r="AY304" s="124" t="str">
        <f>IF($B304="","",IF(AY$3=0,"n.b.",INDEX(SRC_Woningetalage!$A$1:$ZZ$501,$A304,AY$3)))</f>
        <v/>
      </c>
      <c r="AZ304" s="124" t="str">
        <f>IF($B304="","",IF(AZ$3=0,"n.b.",INDEX(SRC_Woningetalage!$A$1:$ZZ$501,$A304,AZ$3)))</f>
        <v/>
      </c>
      <c r="BA304" s="124" t="str">
        <f>IF($B304="","",IF(BA$3=0,"n.b.",INDEX(SRC_Woningetalage!$A$1:$ZZ$501,$A304,BA$3)))</f>
        <v/>
      </c>
      <c r="BB304" s="124" t="str">
        <f>IF($B304="","",IF(BB$3=0,"n.b.",INDEX(SRC_Woningetalage!$A$1:$ZZ$501,$A304,BB$3)))</f>
        <v/>
      </c>
      <c r="BC304" s="124" t="str">
        <f>IF($B304="","",IFERROR(_xlfn.NUMBERVALUE(E304&amp;"",",","."),"n.b."))</f>
        <v/>
      </c>
      <c r="BD304" s="124" t="str">
        <f>IF($B304="","",IFERROR(_xlfn.NUMBERVALUE(M304&amp;"",",","."),"n.b."))</f>
        <v/>
      </c>
      <c r="BE304" s="124" t="str">
        <f>IF($B304="","",IFERROR(AB304+AC304+AD304,"n.b."))</f>
        <v/>
      </c>
      <c r="BF304" s="124" t="str">
        <f>IF($B304="","",IFERROR(AE304+AF304+AG304,"n.b."))</f>
        <v/>
      </c>
      <c r="BG304" s="124" t="str">
        <f>IF($B304="","",IFERROR(AH304+AI304+AJ304,"n.b."))</f>
        <v/>
      </c>
      <c r="BH304" s="124" t="str">
        <f>IF($B304="","",IFERROR(AK304+AL304+AM304,"n.b."))</f>
        <v/>
      </c>
      <c r="BI304" s="124" t="str">
        <f>IF($B304="","",IFERROR(SUMIF($AB$5:$AM$5,"&lt;="&amp;P_PeilMaand,AB304:AM304),"n.b."))</f>
        <v/>
      </c>
      <c r="BJ304" s="124" t="str">
        <f>IF($B304="","",IFERROR(SUM(AB304:AM304)-BI304,"n.b."))</f>
        <v/>
      </c>
      <c r="BK304" s="124" t="str">
        <f>IF($B304="","",IFERROR(IF(ABS(Q304-(T304+SUM(AB304:AM304)+AS304+AU304))&gt;P_Tol,1,0),1))</f>
        <v/>
      </c>
      <c r="BL304" s="124" t="str">
        <f>IF($B304="","",IFERROR(IF(ABS(AA304-(Q304-Z304))&gt;P_Tol,1,0),1))</f>
        <v/>
      </c>
      <c r="BM304" s="124" t="str">
        <f>IF($B304="","",IFERROR(IF(ABS(Z304-(T304+W304))&gt;P_Tol,1,0),1))</f>
        <v/>
      </c>
      <c r="BN304" s="124" t="str">
        <f>IF($B304="","",IFERROR(IF(ABS(W304-BI304)&gt;P_Tol,1,0),1))</f>
        <v/>
      </c>
      <c r="BO304" s="124" t="str">
        <f>IF($B304="","",IFERROR(IF(OR(ABS(R304+S304-T304)&gt;P_Tol,ABS(U304+V304-W304)&gt;P_Tol,ABS(X304+Y304-Z304)&gt;P_Tol),1,0),1))</f>
        <v/>
      </c>
      <c r="BP304" s="124" t="str">
        <f>IF($B304="","",IFERROR(IF(OR(ABS(AR304-SUM(AB304:AM304))&gt;P_Tol,ABS(AS304-(AN304+AO304+AP304+AQ304))&gt;P_Tol),1,0),1))</f>
        <v/>
      </c>
      <c r="BQ304" s="124" t="str">
        <f>IF($B304="","",IFERROR(IF(ABS(AT304)+ABS(AV304)+ABS(AW304)+ABS(AX304)+ABS(AY304)+ABS(AZ304)+ABS(BA304)+ABS(BB304)&gt;0,1,0),1))</f>
        <v/>
      </c>
      <c r="BR304" s="124" t="str">
        <f>IF($B304="","",COUNTIF(STG_ZPMW03!$B$6:$B$505,B304))</f>
        <v/>
      </c>
      <c r="BS304" s="124" t="str">
        <f>IF($B304="","",COUNTIF($B$6:$B$505,B304))</f>
        <v/>
      </c>
      <c r="BT304" s="124" t="str">
        <f>IF($B304="","",IF(BR304=0,0,IF(INDEX(STG_ZPMW03!$I$6:$I$505,MATCH(B304,STG_ZPMW03!$B$6:$B$505,0))=J304&amp;"",0,1)))</f>
        <v/>
      </c>
      <c r="BU304" s="124" t="str">
        <f>IF($B304="","",IFERROR(IF(ABS(INDEX(Mapping!$D$5:$D$104,MATCH(B304,Mapping!$A$5:$A$104,0))-Q304)&gt;P_Tol,1,0),0))</f>
        <v/>
      </c>
      <c r="BV304" s="124" t="str">
        <f>IF($B304="","",IFERROR(IF(AND(INDEX(Mapping!$G$5:$G$104,MATCH(B304,Mapping!$A$5:$A$104,0))="Nee",ABS(Q304)+ABS(Z304)+ABS(AR304)&gt;0),1,0),0))</f>
        <v/>
      </c>
      <c r="BW304" s="124" t="str">
        <f>IF($B304="","",IF(COUNTIF(Mapping!$A$5:$A$104,B304)&gt;0,1,0))</f>
        <v/>
      </c>
      <c r="BX304" s="124" t="str">
        <f>IF($B304="","",IF(BR304=0,COUNTIF($BR$6:BR304,0),""))</f>
        <v/>
      </c>
    </row>
    <row r="305">
      <c r="A305" s="15" t="n">
        <v>301</v>
      </c>
      <c r="B305" t="str">
        <f>IF(B$3=0,"",IF(INDEX(SRC_Woningetalage!$A$1:$ZZ$501,$A305,B$3)&amp;""="","",INDEX(SRC_Woningetalage!$A$1:$ZZ$501,$A305,B$3)&amp;""))</f>
        <v/>
      </c>
      <c r="C305" t="str">
        <f>IF($B305="","",IF(C$3=0,"n.b.",INDEX(SRC_Woningetalage!$A$1:$ZZ$501,$A305,C$3)))</f>
        <v/>
      </c>
      <c r="D305" t="str">
        <f>IF($B305="","",IF(D$3=0,"n.b.",INDEX(SRC_Woningetalage!$A$1:$ZZ$501,$A305,D$3)))</f>
        <v/>
      </c>
      <c r="E305" t="str">
        <f>IF($B305="","",IF(E$3=0,"n.b.",INDEX(SRC_Woningetalage!$A$1:$ZZ$501,$A305,E$3)))</f>
        <v/>
      </c>
      <c r="F305" t="str">
        <f>IF($B305="","",IF(F$3=0,"n.b.",INDEX(SRC_Woningetalage!$A$1:$ZZ$501,$A305,F$3)))</f>
        <v/>
      </c>
      <c r="G305" t="str">
        <f>IF($B305="","",IF(G$3=0,"n.b.",INDEX(SRC_Woningetalage!$A$1:$ZZ$501,$A305,G$3)))</f>
        <v/>
      </c>
      <c r="H305" t="str">
        <f>IF($B305="","",IF(H$3=0,"n.b.",INDEX(SRC_Woningetalage!$A$1:$ZZ$501,$A305,H$3)))</f>
        <v/>
      </c>
      <c r="I305" t="str">
        <f>IF($B305="","",IF(I$3=0,"n.b.",INDEX(SRC_Woningetalage!$A$1:$ZZ$501,$A305,I$3)))</f>
        <v/>
      </c>
      <c r="J305" t="str">
        <f>IF($B305="","",IF(J$3=0,"n.b.",INDEX(SRC_Woningetalage!$A$1:$ZZ$501,$A305,J$3)))</f>
        <v/>
      </c>
      <c r="K305" t="str">
        <f>IF($B305="","",IF(K$3=0,"n.b.",INDEX(SRC_Woningetalage!$A$1:$ZZ$501,$A305,K$3)))</f>
        <v/>
      </c>
      <c r="L305" t="str">
        <f>IF($B305="","",IF(L$3=0,"n.b.",INDEX(SRC_Woningetalage!$A$1:$ZZ$501,$A305,L$3)))</f>
        <v/>
      </c>
      <c r="M305" t="str">
        <f>IF($B305="","",IF(M$3=0,"n.b.",INDEX(SRC_Woningetalage!$A$1:$ZZ$501,$A305,M$3)))</f>
        <v/>
      </c>
      <c r="N305" t="str">
        <f>IF($B305="","",IF(N$3=0,"n.b.",INDEX(SRC_Woningetalage!$A$1:$ZZ$501,$A305,N$3)))</f>
        <v/>
      </c>
      <c r="O305" t="str">
        <f>IF($B305="","",IF(O$3=0,"n.b.",INDEX(SRC_Woningetalage!$A$1:$ZZ$501,$A305,O$3)))</f>
        <v/>
      </c>
      <c r="P305" t="str">
        <f>IF($B305="","",IF(P$3=0,"n.b.",INDEX(SRC_Woningetalage!$A$1:$ZZ$501,$A305,P$3)))</f>
        <v/>
      </c>
      <c r="Q305" s="124" t="str">
        <f>IF($B305="","",IF(Q$3=0,"n.b.",INDEX(SRC_Woningetalage!$A$1:$ZZ$501,$A305,Q$3)))</f>
        <v/>
      </c>
      <c r="R305" s="124" t="str">
        <f>IF($B305="","",IF(R$3=0,"n.b.",INDEX(SRC_Woningetalage!$A$1:$ZZ$501,$A305,R$3)))</f>
        <v/>
      </c>
      <c r="S305" s="124" t="str">
        <f>IF($B305="","",IF(S$3=0,"n.b.",INDEX(SRC_Woningetalage!$A$1:$ZZ$501,$A305,S$3)))</f>
        <v/>
      </c>
      <c r="T305" s="124" t="str">
        <f>IF($B305="","",IF(T$3=0,"n.b.",INDEX(SRC_Woningetalage!$A$1:$ZZ$501,$A305,T$3)))</f>
        <v/>
      </c>
      <c r="U305" s="124" t="str">
        <f>IF($B305="","",IF(U$3=0,"n.b.",INDEX(SRC_Woningetalage!$A$1:$ZZ$501,$A305,U$3)))</f>
        <v/>
      </c>
      <c r="V305" s="124" t="str">
        <f>IF($B305="","",IF(V$3=0,"n.b.",INDEX(SRC_Woningetalage!$A$1:$ZZ$501,$A305,V$3)))</f>
        <v/>
      </c>
      <c r="W305" s="124" t="str">
        <f>IF($B305="","",IF(W$3=0,"n.b.",INDEX(SRC_Woningetalage!$A$1:$ZZ$501,$A305,W$3)))</f>
        <v/>
      </c>
      <c r="X305" s="124" t="str">
        <f>IF($B305="","",IF(X$3=0,"n.b.",INDEX(SRC_Woningetalage!$A$1:$ZZ$501,$A305,X$3)))</f>
        <v/>
      </c>
      <c r="Y305" s="124" t="str">
        <f>IF($B305="","",IF(Y$3=0,"n.b.",INDEX(SRC_Woningetalage!$A$1:$ZZ$501,$A305,Y$3)))</f>
        <v/>
      </c>
      <c r="Z305" s="124" t="str">
        <f>IF($B305="","",IF(Z$3=0,"n.b.",INDEX(SRC_Woningetalage!$A$1:$ZZ$501,$A305,Z$3)))</f>
        <v/>
      </c>
      <c r="AA305" s="124" t="str">
        <f>IF($B305="","",IF(AA$3=0,"n.b.",INDEX(SRC_Woningetalage!$A$1:$ZZ$501,$A305,AA$3)))</f>
        <v/>
      </c>
      <c r="AB305" s="124" t="str">
        <f>IF($B305="","",IF(AB$3=0,"n.b.",INDEX(SRC_Woningetalage!$A$1:$ZZ$501,$A305,AB$3)))</f>
        <v/>
      </c>
      <c r="AC305" s="124" t="str">
        <f>IF($B305="","",IF(AC$3=0,"n.b.",INDEX(SRC_Woningetalage!$A$1:$ZZ$501,$A305,AC$3)))</f>
        <v/>
      </c>
      <c r="AD305" s="124" t="str">
        <f>IF($B305="","",IF(AD$3=0,"n.b.",INDEX(SRC_Woningetalage!$A$1:$ZZ$501,$A305,AD$3)))</f>
        <v/>
      </c>
      <c r="AE305" s="124" t="str">
        <f>IF($B305="","",IF(AE$3=0,"n.b.",INDEX(SRC_Woningetalage!$A$1:$ZZ$501,$A305,AE$3)))</f>
        <v/>
      </c>
      <c r="AF305" s="124" t="str">
        <f>IF($B305="","",IF(AF$3=0,"n.b.",INDEX(SRC_Woningetalage!$A$1:$ZZ$501,$A305,AF$3)))</f>
        <v/>
      </c>
      <c r="AG305" s="124" t="str">
        <f>IF($B305="","",IF(AG$3=0,"n.b.",INDEX(SRC_Woningetalage!$A$1:$ZZ$501,$A305,AG$3)))</f>
        <v/>
      </c>
      <c r="AH305" s="124" t="str">
        <f>IF($B305="","",IF(AH$3=0,"n.b.",INDEX(SRC_Woningetalage!$A$1:$ZZ$501,$A305,AH$3)))</f>
        <v/>
      </c>
      <c r="AI305" s="124" t="str">
        <f>IF($B305="","",IF(AI$3=0,"n.b.",INDEX(SRC_Woningetalage!$A$1:$ZZ$501,$A305,AI$3)))</f>
        <v/>
      </c>
      <c r="AJ305" s="124" t="str">
        <f>IF($B305="","",IF(AJ$3=0,"n.b.",INDEX(SRC_Woningetalage!$A$1:$ZZ$501,$A305,AJ$3)))</f>
        <v/>
      </c>
      <c r="AK305" s="124" t="str">
        <f>IF($B305="","",IF(AK$3=0,"n.b.",INDEX(SRC_Woningetalage!$A$1:$ZZ$501,$A305,AK$3)))</f>
        <v/>
      </c>
      <c r="AL305" s="124" t="str">
        <f>IF($B305="","",IF(AL$3=0,"n.b.",INDEX(SRC_Woningetalage!$A$1:$ZZ$501,$A305,AL$3)))</f>
        <v/>
      </c>
      <c r="AM305" s="124" t="str">
        <f>IF($B305="","",IF(AM$3=0,"n.b.",INDEX(SRC_Woningetalage!$A$1:$ZZ$501,$A305,AM$3)))</f>
        <v/>
      </c>
      <c r="AN305" s="124" t="str">
        <f>IF($B305="","",IF(AN$3=0,"n.b.",INDEX(SRC_Woningetalage!$A$1:$ZZ$501,$A305,AN$3)))</f>
        <v/>
      </c>
      <c r="AO305" s="124" t="str">
        <f>IF($B305="","",IF(AO$3=0,"n.b.",INDEX(SRC_Woningetalage!$A$1:$ZZ$501,$A305,AO$3)))</f>
        <v/>
      </c>
      <c r="AP305" s="124" t="str">
        <f>IF($B305="","",IF(AP$3=0,"n.b.",INDEX(SRC_Woningetalage!$A$1:$ZZ$501,$A305,AP$3)))</f>
        <v/>
      </c>
      <c r="AQ305" s="124" t="str">
        <f>IF($B305="","",IF(AQ$3=0,"n.b.",INDEX(SRC_Woningetalage!$A$1:$ZZ$501,$A305,AQ$3)))</f>
        <v/>
      </c>
      <c r="AR305" s="124" t="str">
        <f>IF($B305="","",IF(AR$3=0,"n.b.",INDEX(SRC_Woningetalage!$A$1:$ZZ$501,$A305,AR$3)))</f>
        <v/>
      </c>
      <c r="AS305" s="124" t="str">
        <f>IF($B305="","",IF(AS$3=0,"n.b.",INDEX(SRC_Woningetalage!$A$1:$ZZ$501,$A305,AS$3)))</f>
        <v/>
      </c>
      <c r="AT305" s="124" t="str">
        <f>IF($B305="","",IF(AT$3=0,"n.b.",INDEX(SRC_Woningetalage!$A$1:$ZZ$501,$A305,AT$3)))</f>
        <v/>
      </c>
      <c r="AU305" s="124" t="str">
        <f>IF($B305="","",IF(AU$3=0,"n.b.",INDEX(SRC_Woningetalage!$A$1:$ZZ$501,$A305,AU$3)))</f>
        <v/>
      </c>
      <c r="AV305" s="124" t="str">
        <f>IF($B305="","",IF(AV$3=0,"n.b.",INDEX(SRC_Woningetalage!$A$1:$ZZ$501,$A305,AV$3)))</f>
        <v/>
      </c>
      <c r="AW305" s="124" t="str">
        <f>IF($B305="","",IF(AW$3=0,"n.b.",INDEX(SRC_Woningetalage!$A$1:$ZZ$501,$A305,AW$3)))</f>
        <v/>
      </c>
      <c r="AX305" s="124" t="str">
        <f>IF($B305="","",IF(AX$3=0,"n.b.",INDEX(SRC_Woningetalage!$A$1:$ZZ$501,$A305,AX$3)))</f>
        <v/>
      </c>
      <c r="AY305" s="124" t="str">
        <f>IF($B305="","",IF(AY$3=0,"n.b.",INDEX(SRC_Woningetalage!$A$1:$ZZ$501,$A305,AY$3)))</f>
        <v/>
      </c>
      <c r="AZ305" s="124" t="str">
        <f>IF($B305="","",IF(AZ$3=0,"n.b.",INDEX(SRC_Woningetalage!$A$1:$ZZ$501,$A305,AZ$3)))</f>
        <v/>
      </c>
      <c r="BA305" s="124" t="str">
        <f>IF($B305="","",IF(BA$3=0,"n.b.",INDEX(SRC_Woningetalage!$A$1:$ZZ$501,$A305,BA$3)))</f>
        <v/>
      </c>
      <c r="BB305" s="124" t="str">
        <f>IF($B305="","",IF(BB$3=0,"n.b.",INDEX(SRC_Woningetalage!$A$1:$ZZ$501,$A305,BB$3)))</f>
        <v/>
      </c>
      <c r="BC305" s="124" t="str">
        <f>IF($B305="","",IFERROR(_xlfn.NUMBERVALUE(E305&amp;"",",","."),"n.b."))</f>
        <v/>
      </c>
      <c r="BD305" s="124" t="str">
        <f>IF($B305="","",IFERROR(_xlfn.NUMBERVALUE(M305&amp;"",",","."),"n.b."))</f>
        <v/>
      </c>
      <c r="BE305" s="124" t="str">
        <f>IF($B305="","",IFERROR(AB305+AC305+AD305,"n.b."))</f>
        <v/>
      </c>
      <c r="BF305" s="124" t="str">
        <f>IF($B305="","",IFERROR(AE305+AF305+AG305,"n.b."))</f>
        <v/>
      </c>
      <c r="BG305" s="124" t="str">
        <f>IF($B305="","",IFERROR(AH305+AI305+AJ305,"n.b."))</f>
        <v/>
      </c>
      <c r="BH305" s="124" t="str">
        <f>IF($B305="","",IFERROR(AK305+AL305+AM305,"n.b."))</f>
        <v/>
      </c>
      <c r="BI305" s="124" t="str">
        <f>IF($B305="","",IFERROR(SUMIF($AB$5:$AM$5,"&lt;="&amp;P_PeilMaand,AB305:AM305),"n.b."))</f>
        <v/>
      </c>
      <c r="BJ305" s="124" t="str">
        <f>IF($B305="","",IFERROR(SUM(AB305:AM305)-BI305,"n.b."))</f>
        <v/>
      </c>
      <c r="BK305" s="124" t="str">
        <f>IF($B305="","",IFERROR(IF(ABS(Q305-(T305+SUM(AB305:AM305)+AS305+AU305))&gt;P_Tol,1,0),1))</f>
        <v/>
      </c>
      <c r="BL305" s="124" t="str">
        <f>IF($B305="","",IFERROR(IF(ABS(AA305-(Q305-Z305))&gt;P_Tol,1,0),1))</f>
        <v/>
      </c>
      <c r="BM305" s="124" t="str">
        <f>IF($B305="","",IFERROR(IF(ABS(Z305-(T305+W305))&gt;P_Tol,1,0),1))</f>
        <v/>
      </c>
      <c r="BN305" s="124" t="str">
        <f>IF($B305="","",IFERROR(IF(ABS(W305-BI305)&gt;P_Tol,1,0),1))</f>
        <v/>
      </c>
      <c r="BO305" s="124" t="str">
        <f>IF($B305="","",IFERROR(IF(OR(ABS(R305+S305-T305)&gt;P_Tol,ABS(U305+V305-W305)&gt;P_Tol,ABS(X305+Y305-Z305)&gt;P_Tol),1,0),1))</f>
        <v/>
      </c>
      <c r="BP305" s="124" t="str">
        <f>IF($B305="","",IFERROR(IF(OR(ABS(AR305-SUM(AB305:AM305))&gt;P_Tol,ABS(AS305-(AN305+AO305+AP305+AQ305))&gt;P_Tol),1,0),1))</f>
        <v/>
      </c>
      <c r="BQ305" s="124" t="str">
        <f>IF($B305="","",IFERROR(IF(ABS(AT305)+ABS(AV305)+ABS(AW305)+ABS(AX305)+ABS(AY305)+ABS(AZ305)+ABS(BA305)+ABS(BB305)&gt;0,1,0),1))</f>
        <v/>
      </c>
      <c r="BR305" s="124" t="str">
        <f>IF($B305="","",COUNTIF(STG_ZPMW03!$B$6:$B$505,B305))</f>
        <v/>
      </c>
      <c r="BS305" s="124" t="str">
        <f>IF($B305="","",COUNTIF($B$6:$B$505,B305))</f>
        <v/>
      </c>
      <c r="BT305" s="124" t="str">
        <f>IF($B305="","",IF(BR305=0,0,IF(INDEX(STG_ZPMW03!$I$6:$I$505,MATCH(B305,STG_ZPMW03!$B$6:$B$505,0))=J305&amp;"",0,1)))</f>
        <v/>
      </c>
      <c r="BU305" s="124" t="str">
        <f>IF($B305="","",IFERROR(IF(ABS(INDEX(Mapping!$D$5:$D$104,MATCH(B305,Mapping!$A$5:$A$104,0))-Q305)&gt;P_Tol,1,0),0))</f>
        <v/>
      </c>
      <c r="BV305" s="124" t="str">
        <f>IF($B305="","",IFERROR(IF(AND(INDEX(Mapping!$G$5:$G$104,MATCH(B305,Mapping!$A$5:$A$104,0))="Nee",ABS(Q305)+ABS(Z305)+ABS(AR305)&gt;0),1,0),0))</f>
        <v/>
      </c>
      <c r="BW305" s="124" t="str">
        <f>IF($B305="","",IF(COUNTIF(Mapping!$A$5:$A$104,B305)&gt;0,1,0))</f>
        <v/>
      </c>
      <c r="BX305" s="124" t="str">
        <f>IF($B305="","",IF(BR305=0,COUNTIF($BR$6:BR305,0),""))</f>
        <v/>
      </c>
    </row>
    <row r="306">
      <c r="A306" s="15" t="n">
        <v>302</v>
      </c>
      <c r="B306" t="str">
        <f>IF(B$3=0,"",IF(INDEX(SRC_Woningetalage!$A$1:$ZZ$501,$A306,B$3)&amp;""="","",INDEX(SRC_Woningetalage!$A$1:$ZZ$501,$A306,B$3)&amp;""))</f>
        <v/>
      </c>
      <c r="C306" t="str">
        <f>IF($B306="","",IF(C$3=0,"n.b.",INDEX(SRC_Woningetalage!$A$1:$ZZ$501,$A306,C$3)))</f>
        <v/>
      </c>
      <c r="D306" t="str">
        <f>IF($B306="","",IF(D$3=0,"n.b.",INDEX(SRC_Woningetalage!$A$1:$ZZ$501,$A306,D$3)))</f>
        <v/>
      </c>
      <c r="E306" t="str">
        <f>IF($B306="","",IF(E$3=0,"n.b.",INDEX(SRC_Woningetalage!$A$1:$ZZ$501,$A306,E$3)))</f>
        <v/>
      </c>
      <c r="F306" t="str">
        <f>IF($B306="","",IF(F$3=0,"n.b.",INDEX(SRC_Woningetalage!$A$1:$ZZ$501,$A306,F$3)))</f>
        <v/>
      </c>
      <c r="G306" t="str">
        <f>IF($B306="","",IF(G$3=0,"n.b.",INDEX(SRC_Woningetalage!$A$1:$ZZ$501,$A306,G$3)))</f>
        <v/>
      </c>
      <c r="H306" t="str">
        <f>IF($B306="","",IF(H$3=0,"n.b.",INDEX(SRC_Woningetalage!$A$1:$ZZ$501,$A306,H$3)))</f>
        <v/>
      </c>
      <c r="I306" t="str">
        <f>IF($B306="","",IF(I$3=0,"n.b.",INDEX(SRC_Woningetalage!$A$1:$ZZ$501,$A306,I$3)))</f>
        <v/>
      </c>
      <c r="J306" t="str">
        <f>IF($B306="","",IF(J$3=0,"n.b.",INDEX(SRC_Woningetalage!$A$1:$ZZ$501,$A306,J$3)))</f>
        <v/>
      </c>
      <c r="K306" t="str">
        <f>IF($B306="","",IF(K$3=0,"n.b.",INDEX(SRC_Woningetalage!$A$1:$ZZ$501,$A306,K$3)))</f>
        <v/>
      </c>
      <c r="L306" t="str">
        <f>IF($B306="","",IF(L$3=0,"n.b.",INDEX(SRC_Woningetalage!$A$1:$ZZ$501,$A306,L$3)))</f>
        <v/>
      </c>
      <c r="M306" t="str">
        <f>IF($B306="","",IF(M$3=0,"n.b.",INDEX(SRC_Woningetalage!$A$1:$ZZ$501,$A306,M$3)))</f>
        <v/>
      </c>
      <c r="N306" t="str">
        <f>IF($B306="","",IF(N$3=0,"n.b.",INDEX(SRC_Woningetalage!$A$1:$ZZ$501,$A306,N$3)))</f>
        <v/>
      </c>
      <c r="O306" t="str">
        <f>IF($B306="","",IF(O$3=0,"n.b.",INDEX(SRC_Woningetalage!$A$1:$ZZ$501,$A306,O$3)))</f>
        <v/>
      </c>
      <c r="P306" t="str">
        <f>IF($B306="","",IF(P$3=0,"n.b.",INDEX(SRC_Woningetalage!$A$1:$ZZ$501,$A306,P$3)))</f>
        <v/>
      </c>
      <c r="Q306" s="124" t="str">
        <f>IF($B306="","",IF(Q$3=0,"n.b.",INDEX(SRC_Woningetalage!$A$1:$ZZ$501,$A306,Q$3)))</f>
        <v/>
      </c>
      <c r="R306" s="124" t="str">
        <f>IF($B306="","",IF(R$3=0,"n.b.",INDEX(SRC_Woningetalage!$A$1:$ZZ$501,$A306,R$3)))</f>
        <v/>
      </c>
      <c r="S306" s="124" t="str">
        <f>IF($B306="","",IF(S$3=0,"n.b.",INDEX(SRC_Woningetalage!$A$1:$ZZ$501,$A306,S$3)))</f>
        <v/>
      </c>
      <c r="T306" s="124" t="str">
        <f>IF($B306="","",IF(T$3=0,"n.b.",INDEX(SRC_Woningetalage!$A$1:$ZZ$501,$A306,T$3)))</f>
        <v/>
      </c>
      <c r="U306" s="124" t="str">
        <f>IF($B306="","",IF(U$3=0,"n.b.",INDEX(SRC_Woningetalage!$A$1:$ZZ$501,$A306,U$3)))</f>
        <v/>
      </c>
      <c r="V306" s="124" t="str">
        <f>IF($B306="","",IF(V$3=0,"n.b.",INDEX(SRC_Woningetalage!$A$1:$ZZ$501,$A306,V$3)))</f>
        <v/>
      </c>
      <c r="W306" s="124" t="str">
        <f>IF($B306="","",IF(W$3=0,"n.b.",INDEX(SRC_Woningetalage!$A$1:$ZZ$501,$A306,W$3)))</f>
        <v/>
      </c>
      <c r="X306" s="124" t="str">
        <f>IF($B306="","",IF(X$3=0,"n.b.",INDEX(SRC_Woningetalage!$A$1:$ZZ$501,$A306,X$3)))</f>
        <v/>
      </c>
      <c r="Y306" s="124" t="str">
        <f>IF($B306="","",IF(Y$3=0,"n.b.",INDEX(SRC_Woningetalage!$A$1:$ZZ$501,$A306,Y$3)))</f>
        <v/>
      </c>
      <c r="Z306" s="124" t="str">
        <f>IF($B306="","",IF(Z$3=0,"n.b.",INDEX(SRC_Woningetalage!$A$1:$ZZ$501,$A306,Z$3)))</f>
        <v/>
      </c>
      <c r="AA306" s="124" t="str">
        <f>IF($B306="","",IF(AA$3=0,"n.b.",INDEX(SRC_Woningetalage!$A$1:$ZZ$501,$A306,AA$3)))</f>
        <v/>
      </c>
      <c r="AB306" s="124" t="str">
        <f>IF($B306="","",IF(AB$3=0,"n.b.",INDEX(SRC_Woningetalage!$A$1:$ZZ$501,$A306,AB$3)))</f>
        <v/>
      </c>
      <c r="AC306" s="124" t="str">
        <f>IF($B306="","",IF(AC$3=0,"n.b.",INDEX(SRC_Woningetalage!$A$1:$ZZ$501,$A306,AC$3)))</f>
        <v/>
      </c>
      <c r="AD306" s="124" t="str">
        <f>IF($B306="","",IF(AD$3=0,"n.b.",INDEX(SRC_Woningetalage!$A$1:$ZZ$501,$A306,AD$3)))</f>
        <v/>
      </c>
      <c r="AE306" s="124" t="str">
        <f>IF($B306="","",IF(AE$3=0,"n.b.",INDEX(SRC_Woningetalage!$A$1:$ZZ$501,$A306,AE$3)))</f>
        <v/>
      </c>
      <c r="AF306" s="124" t="str">
        <f>IF($B306="","",IF(AF$3=0,"n.b.",INDEX(SRC_Woningetalage!$A$1:$ZZ$501,$A306,AF$3)))</f>
        <v/>
      </c>
      <c r="AG306" s="124" t="str">
        <f>IF($B306="","",IF(AG$3=0,"n.b.",INDEX(SRC_Woningetalage!$A$1:$ZZ$501,$A306,AG$3)))</f>
        <v/>
      </c>
      <c r="AH306" s="124" t="str">
        <f>IF($B306="","",IF(AH$3=0,"n.b.",INDEX(SRC_Woningetalage!$A$1:$ZZ$501,$A306,AH$3)))</f>
        <v/>
      </c>
      <c r="AI306" s="124" t="str">
        <f>IF($B306="","",IF(AI$3=0,"n.b.",INDEX(SRC_Woningetalage!$A$1:$ZZ$501,$A306,AI$3)))</f>
        <v/>
      </c>
      <c r="AJ306" s="124" t="str">
        <f>IF($B306="","",IF(AJ$3=0,"n.b.",INDEX(SRC_Woningetalage!$A$1:$ZZ$501,$A306,AJ$3)))</f>
        <v/>
      </c>
      <c r="AK306" s="124" t="str">
        <f>IF($B306="","",IF(AK$3=0,"n.b.",INDEX(SRC_Woningetalage!$A$1:$ZZ$501,$A306,AK$3)))</f>
        <v/>
      </c>
      <c r="AL306" s="124" t="str">
        <f>IF($B306="","",IF(AL$3=0,"n.b.",INDEX(SRC_Woningetalage!$A$1:$ZZ$501,$A306,AL$3)))</f>
        <v/>
      </c>
      <c r="AM306" s="124" t="str">
        <f>IF($B306="","",IF(AM$3=0,"n.b.",INDEX(SRC_Woningetalage!$A$1:$ZZ$501,$A306,AM$3)))</f>
        <v/>
      </c>
      <c r="AN306" s="124" t="str">
        <f>IF($B306="","",IF(AN$3=0,"n.b.",INDEX(SRC_Woningetalage!$A$1:$ZZ$501,$A306,AN$3)))</f>
        <v/>
      </c>
      <c r="AO306" s="124" t="str">
        <f>IF($B306="","",IF(AO$3=0,"n.b.",INDEX(SRC_Woningetalage!$A$1:$ZZ$501,$A306,AO$3)))</f>
        <v/>
      </c>
      <c r="AP306" s="124" t="str">
        <f>IF($B306="","",IF(AP$3=0,"n.b.",INDEX(SRC_Woningetalage!$A$1:$ZZ$501,$A306,AP$3)))</f>
        <v/>
      </c>
      <c r="AQ306" s="124" t="str">
        <f>IF($B306="","",IF(AQ$3=0,"n.b.",INDEX(SRC_Woningetalage!$A$1:$ZZ$501,$A306,AQ$3)))</f>
        <v/>
      </c>
      <c r="AR306" s="124" t="str">
        <f>IF($B306="","",IF(AR$3=0,"n.b.",INDEX(SRC_Woningetalage!$A$1:$ZZ$501,$A306,AR$3)))</f>
        <v/>
      </c>
      <c r="AS306" s="124" t="str">
        <f>IF($B306="","",IF(AS$3=0,"n.b.",INDEX(SRC_Woningetalage!$A$1:$ZZ$501,$A306,AS$3)))</f>
        <v/>
      </c>
      <c r="AT306" s="124" t="str">
        <f>IF($B306="","",IF(AT$3=0,"n.b.",INDEX(SRC_Woningetalage!$A$1:$ZZ$501,$A306,AT$3)))</f>
        <v/>
      </c>
      <c r="AU306" s="124" t="str">
        <f>IF($B306="","",IF(AU$3=0,"n.b.",INDEX(SRC_Woningetalage!$A$1:$ZZ$501,$A306,AU$3)))</f>
        <v/>
      </c>
      <c r="AV306" s="124" t="str">
        <f>IF($B306="","",IF(AV$3=0,"n.b.",INDEX(SRC_Woningetalage!$A$1:$ZZ$501,$A306,AV$3)))</f>
        <v/>
      </c>
      <c r="AW306" s="124" t="str">
        <f>IF($B306="","",IF(AW$3=0,"n.b.",INDEX(SRC_Woningetalage!$A$1:$ZZ$501,$A306,AW$3)))</f>
        <v/>
      </c>
      <c r="AX306" s="124" t="str">
        <f>IF($B306="","",IF(AX$3=0,"n.b.",INDEX(SRC_Woningetalage!$A$1:$ZZ$501,$A306,AX$3)))</f>
        <v/>
      </c>
      <c r="AY306" s="124" t="str">
        <f>IF($B306="","",IF(AY$3=0,"n.b.",INDEX(SRC_Woningetalage!$A$1:$ZZ$501,$A306,AY$3)))</f>
        <v/>
      </c>
      <c r="AZ306" s="124" t="str">
        <f>IF($B306="","",IF(AZ$3=0,"n.b.",INDEX(SRC_Woningetalage!$A$1:$ZZ$501,$A306,AZ$3)))</f>
        <v/>
      </c>
      <c r="BA306" s="124" t="str">
        <f>IF($B306="","",IF(BA$3=0,"n.b.",INDEX(SRC_Woningetalage!$A$1:$ZZ$501,$A306,BA$3)))</f>
        <v/>
      </c>
      <c r="BB306" s="124" t="str">
        <f>IF($B306="","",IF(BB$3=0,"n.b.",INDEX(SRC_Woningetalage!$A$1:$ZZ$501,$A306,BB$3)))</f>
        <v/>
      </c>
      <c r="BC306" s="124" t="str">
        <f>IF($B306="","",IFERROR(_xlfn.NUMBERVALUE(E306&amp;"",",","."),"n.b."))</f>
        <v/>
      </c>
      <c r="BD306" s="124" t="str">
        <f>IF($B306="","",IFERROR(_xlfn.NUMBERVALUE(M306&amp;"",",","."),"n.b."))</f>
        <v/>
      </c>
      <c r="BE306" s="124" t="str">
        <f>IF($B306="","",IFERROR(AB306+AC306+AD306,"n.b."))</f>
        <v/>
      </c>
      <c r="BF306" s="124" t="str">
        <f>IF($B306="","",IFERROR(AE306+AF306+AG306,"n.b."))</f>
        <v/>
      </c>
      <c r="BG306" s="124" t="str">
        <f>IF($B306="","",IFERROR(AH306+AI306+AJ306,"n.b."))</f>
        <v/>
      </c>
      <c r="BH306" s="124" t="str">
        <f>IF($B306="","",IFERROR(AK306+AL306+AM306,"n.b."))</f>
        <v/>
      </c>
      <c r="BI306" s="124" t="str">
        <f>IF($B306="","",IFERROR(SUMIF($AB$5:$AM$5,"&lt;="&amp;P_PeilMaand,AB306:AM306),"n.b."))</f>
        <v/>
      </c>
      <c r="BJ306" s="124" t="str">
        <f>IF($B306="","",IFERROR(SUM(AB306:AM306)-BI306,"n.b."))</f>
        <v/>
      </c>
      <c r="BK306" s="124" t="str">
        <f>IF($B306="","",IFERROR(IF(ABS(Q306-(T306+SUM(AB306:AM306)+AS306+AU306))&gt;P_Tol,1,0),1))</f>
        <v/>
      </c>
      <c r="BL306" s="124" t="str">
        <f>IF($B306="","",IFERROR(IF(ABS(AA306-(Q306-Z306))&gt;P_Tol,1,0),1))</f>
        <v/>
      </c>
      <c r="BM306" s="124" t="str">
        <f>IF($B306="","",IFERROR(IF(ABS(Z306-(T306+W306))&gt;P_Tol,1,0),1))</f>
        <v/>
      </c>
      <c r="BN306" s="124" t="str">
        <f>IF($B306="","",IFERROR(IF(ABS(W306-BI306)&gt;P_Tol,1,0),1))</f>
        <v/>
      </c>
      <c r="BO306" s="124" t="str">
        <f>IF($B306="","",IFERROR(IF(OR(ABS(R306+S306-T306)&gt;P_Tol,ABS(U306+V306-W306)&gt;P_Tol,ABS(X306+Y306-Z306)&gt;P_Tol),1,0),1))</f>
        <v/>
      </c>
      <c r="BP306" s="124" t="str">
        <f>IF($B306="","",IFERROR(IF(OR(ABS(AR306-SUM(AB306:AM306))&gt;P_Tol,ABS(AS306-(AN306+AO306+AP306+AQ306))&gt;P_Tol),1,0),1))</f>
        <v/>
      </c>
      <c r="BQ306" s="124" t="str">
        <f>IF($B306="","",IFERROR(IF(ABS(AT306)+ABS(AV306)+ABS(AW306)+ABS(AX306)+ABS(AY306)+ABS(AZ306)+ABS(BA306)+ABS(BB306)&gt;0,1,0),1))</f>
        <v/>
      </c>
      <c r="BR306" s="124" t="str">
        <f>IF($B306="","",COUNTIF(STG_ZPMW03!$B$6:$B$505,B306))</f>
        <v/>
      </c>
      <c r="BS306" s="124" t="str">
        <f>IF($B306="","",COUNTIF($B$6:$B$505,B306))</f>
        <v/>
      </c>
      <c r="BT306" s="124" t="str">
        <f>IF($B306="","",IF(BR306=0,0,IF(INDEX(STG_ZPMW03!$I$6:$I$505,MATCH(B306,STG_ZPMW03!$B$6:$B$505,0))=J306&amp;"",0,1)))</f>
        <v/>
      </c>
      <c r="BU306" s="124" t="str">
        <f>IF($B306="","",IFERROR(IF(ABS(INDEX(Mapping!$D$5:$D$104,MATCH(B306,Mapping!$A$5:$A$104,0))-Q306)&gt;P_Tol,1,0),0))</f>
        <v/>
      </c>
      <c r="BV306" s="124" t="str">
        <f>IF($B306="","",IFERROR(IF(AND(INDEX(Mapping!$G$5:$G$104,MATCH(B306,Mapping!$A$5:$A$104,0))="Nee",ABS(Q306)+ABS(Z306)+ABS(AR306)&gt;0),1,0),0))</f>
        <v/>
      </c>
      <c r="BW306" s="124" t="str">
        <f>IF($B306="","",IF(COUNTIF(Mapping!$A$5:$A$104,B306)&gt;0,1,0))</f>
        <v/>
      </c>
      <c r="BX306" s="124" t="str">
        <f>IF($B306="","",IF(BR306=0,COUNTIF($BR$6:BR306,0),""))</f>
        <v/>
      </c>
    </row>
    <row r="307">
      <c r="A307" s="15" t="n">
        <v>303</v>
      </c>
      <c r="B307" t="str">
        <f>IF(B$3=0,"",IF(INDEX(SRC_Woningetalage!$A$1:$ZZ$501,$A307,B$3)&amp;""="","",INDEX(SRC_Woningetalage!$A$1:$ZZ$501,$A307,B$3)&amp;""))</f>
        <v/>
      </c>
      <c r="C307" t="str">
        <f>IF($B307="","",IF(C$3=0,"n.b.",INDEX(SRC_Woningetalage!$A$1:$ZZ$501,$A307,C$3)))</f>
        <v/>
      </c>
      <c r="D307" t="str">
        <f>IF($B307="","",IF(D$3=0,"n.b.",INDEX(SRC_Woningetalage!$A$1:$ZZ$501,$A307,D$3)))</f>
        <v/>
      </c>
      <c r="E307" t="str">
        <f>IF($B307="","",IF(E$3=0,"n.b.",INDEX(SRC_Woningetalage!$A$1:$ZZ$501,$A307,E$3)))</f>
        <v/>
      </c>
      <c r="F307" t="str">
        <f>IF($B307="","",IF(F$3=0,"n.b.",INDEX(SRC_Woningetalage!$A$1:$ZZ$501,$A307,F$3)))</f>
        <v/>
      </c>
      <c r="G307" t="str">
        <f>IF($B307="","",IF(G$3=0,"n.b.",INDEX(SRC_Woningetalage!$A$1:$ZZ$501,$A307,G$3)))</f>
        <v/>
      </c>
      <c r="H307" t="str">
        <f>IF($B307="","",IF(H$3=0,"n.b.",INDEX(SRC_Woningetalage!$A$1:$ZZ$501,$A307,H$3)))</f>
        <v/>
      </c>
      <c r="I307" t="str">
        <f>IF($B307="","",IF(I$3=0,"n.b.",INDEX(SRC_Woningetalage!$A$1:$ZZ$501,$A307,I$3)))</f>
        <v/>
      </c>
      <c r="J307" t="str">
        <f>IF($B307="","",IF(J$3=0,"n.b.",INDEX(SRC_Woningetalage!$A$1:$ZZ$501,$A307,J$3)))</f>
        <v/>
      </c>
      <c r="K307" t="str">
        <f>IF($B307="","",IF(K$3=0,"n.b.",INDEX(SRC_Woningetalage!$A$1:$ZZ$501,$A307,K$3)))</f>
        <v/>
      </c>
      <c r="L307" t="str">
        <f>IF($B307="","",IF(L$3=0,"n.b.",INDEX(SRC_Woningetalage!$A$1:$ZZ$501,$A307,L$3)))</f>
        <v/>
      </c>
      <c r="M307" t="str">
        <f>IF($B307="","",IF(M$3=0,"n.b.",INDEX(SRC_Woningetalage!$A$1:$ZZ$501,$A307,M$3)))</f>
        <v/>
      </c>
      <c r="N307" t="str">
        <f>IF($B307="","",IF(N$3=0,"n.b.",INDEX(SRC_Woningetalage!$A$1:$ZZ$501,$A307,N$3)))</f>
        <v/>
      </c>
      <c r="O307" t="str">
        <f>IF($B307="","",IF(O$3=0,"n.b.",INDEX(SRC_Woningetalage!$A$1:$ZZ$501,$A307,O$3)))</f>
        <v/>
      </c>
      <c r="P307" t="str">
        <f>IF($B307="","",IF(P$3=0,"n.b.",INDEX(SRC_Woningetalage!$A$1:$ZZ$501,$A307,P$3)))</f>
        <v/>
      </c>
      <c r="Q307" s="124" t="str">
        <f>IF($B307="","",IF(Q$3=0,"n.b.",INDEX(SRC_Woningetalage!$A$1:$ZZ$501,$A307,Q$3)))</f>
        <v/>
      </c>
      <c r="R307" s="124" t="str">
        <f>IF($B307="","",IF(R$3=0,"n.b.",INDEX(SRC_Woningetalage!$A$1:$ZZ$501,$A307,R$3)))</f>
        <v/>
      </c>
      <c r="S307" s="124" t="str">
        <f>IF($B307="","",IF(S$3=0,"n.b.",INDEX(SRC_Woningetalage!$A$1:$ZZ$501,$A307,S$3)))</f>
        <v/>
      </c>
      <c r="T307" s="124" t="str">
        <f>IF($B307="","",IF(T$3=0,"n.b.",INDEX(SRC_Woningetalage!$A$1:$ZZ$501,$A307,T$3)))</f>
        <v/>
      </c>
      <c r="U307" s="124" t="str">
        <f>IF($B307="","",IF(U$3=0,"n.b.",INDEX(SRC_Woningetalage!$A$1:$ZZ$501,$A307,U$3)))</f>
        <v/>
      </c>
      <c r="V307" s="124" t="str">
        <f>IF($B307="","",IF(V$3=0,"n.b.",INDEX(SRC_Woningetalage!$A$1:$ZZ$501,$A307,V$3)))</f>
        <v/>
      </c>
      <c r="W307" s="124" t="str">
        <f>IF($B307="","",IF(W$3=0,"n.b.",INDEX(SRC_Woningetalage!$A$1:$ZZ$501,$A307,W$3)))</f>
        <v/>
      </c>
      <c r="X307" s="124" t="str">
        <f>IF($B307="","",IF(X$3=0,"n.b.",INDEX(SRC_Woningetalage!$A$1:$ZZ$501,$A307,X$3)))</f>
        <v/>
      </c>
      <c r="Y307" s="124" t="str">
        <f>IF($B307="","",IF(Y$3=0,"n.b.",INDEX(SRC_Woningetalage!$A$1:$ZZ$501,$A307,Y$3)))</f>
        <v/>
      </c>
      <c r="Z307" s="124" t="str">
        <f>IF($B307="","",IF(Z$3=0,"n.b.",INDEX(SRC_Woningetalage!$A$1:$ZZ$501,$A307,Z$3)))</f>
        <v/>
      </c>
      <c r="AA307" s="124" t="str">
        <f>IF($B307="","",IF(AA$3=0,"n.b.",INDEX(SRC_Woningetalage!$A$1:$ZZ$501,$A307,AA$3)))</f>
        <v/>
      </c>
      <c r="AB307" s="124" t="str">
        <f>IF($B307="","",IF(AB$3=0,"n.b.",INDEX(SRC_Woningetalage!$A$1:$ZZ$501,$A307,AB$3)))</f>
        <v/>
      </c>
      <c r="AC307" s="124" t="str">
        <f>IF($B307="","",IF(AC$3=0,"n.b.",INDEX(SRC_Woningetalage!$A$1:$ZZ$501,$A307,AC$3)))</f>
        <v/>
      </c>
      <c r="AD307" s="124" t="str">
        <f>IF($B307="","",IF(AD$3=0,"n.b.",INDEX(SRC_Woningetalage!$A$1:$ZZ$501,$A307,AD$3)))</f>
        <v/>
      </c>
      <c r="AE307" s="124" t="str">
        <f>IF($B307="","",IF(AE$3=0,"n.b.",INDEX(SRC_Woningetalage!$A$1:$ZZ$501,$A307,AE$3)))</f>
        <v/>
      </c>
      <c r="AF307" s="124" t="str">
        <f>IF($B307="","",IF(AF$3=0,"n.b.",INDEX(SRC_Woningetalage!$A$1:$ZZ$501,$A307,AF$3)))</f>
        <v/>
      </c>
      <c r="AG307" s="124" t="str">
        <f>IF($B307="","",IF(AG$3=0,"n.b.",INDEX(SRC_Woningetalage!$A$1:$ZZ$501,$A307,AG$3)))</f>
        <v/>
      </c>
      <c r="AH307" s="124" t="str">
        <f>IF($B307="","",IF(AH$3=0,"n.b.",INDEX(SRC_Woningetalage!$A$1:$ZZ$501,$A307,AH$3)))</f>
        <v/>
      </c>
      <c r="AI307" s="124" t="str">
        <f>IF($B307="","",IF(AI$3=0,"n.b.",INDEX(SRC_Woningetalage!$A$1:$ZZ$501,$A307,AI$3)))</f>
        <v/>
      </c>
      <c r="AJ307" s="124" t="str">
        <f>IF($B307="","",IF(AJ$3=0,"n.b.",INDEX(SRC_Woningetalage!$A$1:$ZZ$501,$A307,AJ$3)))</f>
        <v/>
      </c>
      <c r="AK307" s="124" t="str">
        <f>IF($B307="","",IF(AK$3=0,"n.b.",INDEX(SRC_Woningetalage!$A$1:$ZZ$501,$A307,AK$3)))</f>
        <v/>
      </c>
      <c r="AL307" s="124" t="str">
        <f>IF($B307="","",IF(AL$3=0,"n.b.",INDEX(SRC_Woningetalage!$A$1:$ZZ$501,$A307,AL$3)))</f>
        <v/>
      </c>
      <c r="AM307" s="124" t="str">
        <f>IF($B307="","",IF(AM$3=0,"n.b.",INDEX(SRC_Woningetalage!$A$1:$ZZ$501,$A307,AM$3)))</f>
        <v/>
      </c>
      <c r="AN307" s="124" t="str">
        <f>IF($B307="","",IF(AN$3=0,"n.b.",INDEX(SRC_Woningetalage!$A$1:$ZZ$501,$A307,AN$3)))</f>
        <v/>
      </c>
      <c r="AO307" s="124" t="str">
        <f>IF($B307="","",IF(AO$3=0,"n.b.",INDEX(SRC_Woningetalage!$A$1:$ZZ$501,$A307,AO$3)))</f>
        <v/>
      </c>
      <c r="AP307" s="124" t="str">
        <f>IF($B307="","",IF(AP$3=0,"n.b.",INDEX(SRC_Woningetalage!$A$1:$ZZ$501,$A307,AP$3)))</f>
        <v/>
      </c>
      <c r="AQ307" s="124" t="str">
        <f>IF($B307="","",IF(AQ$3=0,"n.b.",INDEX(SRC_Woningetalage!$A$1:$ZZ$501,$A307,AQ$3)))</f>
        <v/>
      </c>
      <c r="AR307" s="124" t="str">
        <f>IF($B307="","",IF(AR$3=0,"n.b.",INDEX(SRC_Woningetalage!$A$1:$ZZ$501,$A307,AR$3)))</f>
        <v/>
      </c>
      <c r="AS307" s="124" t="str">
        <f>IF($B307="","",IF(AS$3=0,"n.b.",INDEX(SRC_Woningetalage!$A$1:$ZZ$501,$A307,AS$3)))</f>
        <v/>
      </c>
      <c r="AT307" s="124" t="str">
        <f>IF($B307="","",IF(AT$3=0,"n.b.",INDEX(SRC_Woningetalage!$A$1:$ZZ$501,$A307,AT$3)))</f>
        <v/>
      </c>
      <c r="AU307" s="124" t="str">
        <f>IF($B307="","",IF(AU$3=0,"n.b.",INDEX(SRC_Woningetalage!$A$1:$ZZ$501,$A307,AU$3)))</f>
        <v/>
      </c>
      <c r="AV307" s="124" t="str">
        <f>IF($B307="","",IF(AV$3=0,"n.b.",INDEX(SRC_Woningetalage!$A$1:$ZZ$501,$A307,AV$3)))</f>
        <v/>
      </c>
      <c r="AW307" s="124" t="str">
        <f>IF($B307="","",IF(AW$3=0,"n.b.",INDEX(SRC_Woningetalage!$A$1:$ZZ$501,$A307,AW$3)))</f>
        <v/>
      </c>
      <c r="AX307" s="124" t="str">
        <f>IF($B307="","",IF(AX$3=0,"n.b.",INDEX(SRC_Woningetalage!$A$1:$ZZ$501,$A307,AX$3)))</f>
        <v/>
      </c>
      <c r="AY307" s="124" t="str">
        <f>IF($B307="","",IF(AY$3=0,"n.b.",INDEX(SRC_Woningetalage!$A$1:$ZZ$501,$A307,AY$3)))</f>
        <v/>
      </c>
      <c r="AZ307" s="124" t="str">
        <f>IF($B307="","",IF(AZ$3=0,"n.b.",INDEX(SRC_Woningetalage!$A$1:$ZZ$501,$A307,AZ$3)))</f>
        <v/>
      </c>
      <c r="BA307" s="124" t="str">
        <f>IF($B307="","",IF(BA$3=0,"n.b.",INDEX(SRC_Woningetalage!$A$1:$ZZ$501,$A307,BA$3)))</f>
        <v/>
      </c>
      <c r="BB307" s="124" t="str">
        <f>IF($B307="","",IF(BB$3=0,"n.b.",INDEX(SRC_Woningetalage!$A$1:$ZZ$501,$A307,BB$3)))</f>
        <v/>
      </c>
      <c r="BC307" s="124" t="str">
        <f>IF($B307="","",IFERROR(_xlfn.NUMBERVALUE(E307&amp;"",",","."),"n.b."))</f>
        <v/>
      </c>
      <c r="BD307" s="124" t="str">
        <f>IF($B307="","",IFERROR(_xlfn.NUMBERVALUE(M307&amp;"",",","."),"n.b."))</f>
        <v/>
      </c>
      <c r="BE307" s="124" t="str">
        <f>IF($B307="","",IFERROR(AB307+AC307+AD307,"n.b."))</f>
        <v/>
      </c>
      <c r="BF307" s="124" t="str">
        <f>IF($B307="","",IFERROR(AE307+AF307+AG307,"n.b."))</f>
        <v/>
      </c>
      <c r="BG307" s="124" t="str">
        <f>IF($B307="","",IFERROR(AH307+AI307+AJ307,"n.b."))</f>
        <v/>
      </c>
      <c r="BH307" s="124" t="str">
        <f>IF($B307="","",IFERROR(AK307+AL307+AM307,"n.b."))</f>
        <v/>
      </c>
      <c r="BI307" s="124" t="str">
        <f>IF($B307="","",IFERROR(SUMIF($AB$5:$AM$5,"&lt;="&amp;P_PeilMaand,AB307:AM307),"n.b."))</f>
        <v/>
      </c>
      <c r="BJ307" s="124" t="str">
        <f>IF($B307="","",IFERROR(SUM(AB307:AM307)-BI307,"n.b."))</f>
        <v/>
      </c>
      <c r="BK307" s="124" t="str">
        <f>IF($B307="","",IFERROR(IF(ABS(Q307-(T307+SUM(AB307:AM307)+AS307+AU307))&gt;P_Tol,1,0),1))</f>
        <v/>
      </c>
      <c r="BL307" s="124" t="str">
        <f>IF($B307="","",IFERROR(IF(ABS(AA307-(Q307-Z307))&gt;P_Tol,1,0),1))</f>
        <v/>
      </c>
      <c r="BM307" s="124" t="str">
        <f>IF($B307="","",IFERROR(IF(ABS(Z307-(T307+W307))&gt;P_Tol,1,0),1))</f>
        <v/>
      </c>
      <c r="BN307" s="124" t="str">
        <f>IF($B307="","",IFERROR(IF(ABS(W307-BI307)&gt;P_Tol,1,0),1))</f>
        <v/>
      </c>
      <c r="BO307" s="124" t="str">
        <f>IF($B307="","",IFERROR(IF(OR(ABS(R307+S307-T307)&gt;P_Tol,ABS(U307+V307-W307)&gt;P_Tol,ABS(X307+Y307-Z307)&gt;P_Tol),1,0),1))</f>
        <v/>
      </c>
      <c r="BP307" s="124" t="str">
        <f>IF($B307="","",IFERROR(IF(OR(ABS(AR307-SUM(AB307:AM307))&gt;P_Tol,ABS(AS307-(AN307+AO307+AP307+AQ307))&gt;P_Tol),1,0),1))</f>
        <v/>
      </c>
      <c r="BQ307" s="124" t="str">
        <f>IF($B307="","",IFERROR(IF(ABS(AT307)+ABS(AV307)+ABS(AW307)+ABS(AX307)+ABS(AY307)+ABS(AZ307)+ABS(BA307)+ABS(BB307)&gt;0,1,0),1))</f>
        <v/>
      </c>
      <c r="BR307" s="124" t="str">
        <f>IF($B307="","",COUNTIF(STG_ZPMW03!$B$6:$B$505,B307))</f>
        <v/>
      </c>
      <c r="BS307" s="124" t="str">
        <f>IF($B307="","",COUNTIF($B$6:$B$505,B307))</f>
        <v/>
      </c>
      <c r="BT307" s="124" t="str">
        <f>IF($B307="","",IF(BR307=0,0,IF(INDEX(STG_ZPMW03!$I$6:$I$505,MATCH(B307,STG_ZPMW03!$B$6:$B$505,0))=J307&amp;"",0,1)))</f>
        <v/>
      </c>
      <c r="BU307" s="124" t="str">
        <f>IF($B307="","",IFERROR(IF(ABS(INDEX(Mapping!$D$5:$D$104,MATCH(B307,Mapping!$A$5:$A$104,0))-Q307)&gt;P_Tol,1,0),0))</f>
        <v/>
      </c>
      <c r="BV307" s="124" t="str">
        <f>IF($B307="","",IFERROR(IF(AND(INDEX(Mapping!$G$5:$G$104,MATCH(B307,Mapping!$A$5:$A$104,0))="Nee",ABS(Q307)+ABS(Z307)+ABS(AR307)&gt;0),1,0),0))</f>
        <v/>
      </c>
      <c r="BW307" s="124" t="str">
        <f>IF($B307="","",IF(COUNTIF(Mapping!$A$5:$A$104,B307)&gt;0,1,0))</f>
        <v/>
      </c>
      <c r="BX307" s="124" t="str">
        <f>IF($B307="","",IF(BR307=0,COUNTIF($BR$6:BR307,0),""))</f>
        <v/>
      </c>
    </row>
    <row r="308">
      <c r="A308" s="15" t="n">
        <v>304</v>
      </c>
      <c r="B308" t="str">
        <f>IF(B$3=0,"",IF(INDEX(SRC_Woningetalage!$A$1:$ZZ$501,$A308,B$3)&amp;""="","",INDEX(SRC_Woningetalage!$A$1:$ZZ$501,$A308,B$3)&amp;""))</f>
        <v/>
      </c>
      <c r="C308" t="str">
        <f>IF($B308="","",IF(C$3=0,"n.b.",INDEX(SRC_Woningetalage!$A$1:$ZZ$501,$A308,C$3)))</f>
        <v/>
      </c>
      <c r="D308" t="str">
        <f>IF($B308="","",IF(D$3=0,"n.b.",INDEX(SRC_Woningetalage!$A$1:$ZZ$501,$A308,D$3)))</f>
        <v/>
      </c>
      <c r="E308" t="str">
        <f>IF($B308="","",IF(E$3=0,"n.b.",INDEX(SRC_Woningetalage!$A$1:$ZZ$501,$A308,E$3)))</f>
        <v/>
      </c>
      <c r="F308" t="str">
        <f>IF($B308="","",IF(F$3=0,"n.b.",INDEX(SRC_Woningetalage!$A$1:$ZZ$501,$A308,F$3)))</f>
        <v/>
      </c>
      <c r="G308" t="str">
        <f>IF($B308="","",IF(G$3=0,"n.b.",INDEX(SRC_Woningetalage!$A$1:$ZZ$501,$A308,G$3)))</f>
        <v/>
      </c>
      <c r="H308" t="str">
        <f>IF($B308="","",IF(H$3=0,"n.b.",INDEX(SRC_Woningetalage!$A$1:$ZZ$501,$A308,H$3)))</f>
        <v/>
      </c>
      <c r="I308" t="str">
        <f>IF($B308="","",IF(I$3=0,"n.b.",INDEX(SRC_Woningetalage!$A$1:$ZZ$501,$A308,I$3)))</f>
        <v/>
      </c>
      <c r="J308" t="str">
        <f>IF($B308="","",IF(J$3=0,"n.b.",INDEX(SRC_Woningetalage!$A$1:$ZZ$501,$A308,J$3)))</f>
        <v/>
      </c>
      <c r="K308" t="str">
        <f>IF($B308="","",IF(K$3=0,"n.b.",INDEX(SRC_Woningetalage!$A$1:$ZZ$501,$A308,K$3)))</f>
        <v/>
      </c>
      <c r="L308" t="str">
        <f>IF($B308="","",IF(L$3=0,"n.b.",INDEX(SRC_Woningetalage!$A$1:$ZZ$501,$A308,L$3)))</f>
        <v/>
      </c>
      <c r="M308" t="str">
        <f>IF($B308="","",IF(M$3=0,"n.b.",INDEX(SRC_Woningetalage!$A$1:$ZZ$501,$A308,M$3)))</f>
        <v/>
      </c>
      <c r="N308" t="str">
        <f>IF($B308="","",IF(N$3=0,"n.b.",INDEX(SRC_Woningetalage!$A$1:$ZZ$501,$A308,N$3)))</f>
        <v/>
      </c>
      <c r="O308" t="str">
        <f>IF($B308="","",IF(O$3=0,"n.b.",INDEX(SRC_Woningetalage!$A$1:$ZZ$501,$A308,O$3)))</f>
        <v/>
      </c>
      <c r="P308" t="str">
        <f>IF($B308="","",IF(P$3=0,"n.b.",INDEX(SRC_Woningetalage!$A$1:$ZZ$501,$A308,P$3)))</f>
        <v/>
      </c>
      <c r="Q308" s="124" t="str">
        <f>IF($B308="","",IF(Q$3=0,"n.b.",INDEX(SRC_Woningetalage!$A$1:$ZZ$501,$A308,Q$3)))</f>
        <v/>
      </c>
      <c r="R308" s="124" t="str">
        <f>IF($B308="","",IF(R$3=0,"n.b.",INDEX(SRC_Woningetalage!$A$1:$ZZ$501,$A308,R$3)))</f>
        <v/>
      </c>
      <c r="S308" s="124" t="str">
        <f>IF($B308="","",IF(S$3=0,"n.b.",INDEX(SRC_Woningetalage!$A$1:$ZZ$501,$A308,S$3)))</f>
        <v/>
      </c>
      <c r="T308" s="124" t="str">
        <f>IF($B308="","",IF(T$3=0,"n.b.",INDEX(SRC_Woningetalage!$A$1:$ZZ$501,$A308,T$3)))</f>
        <v/>
      </c>
      <c r="U308" s="124" t="str">
        <f>IF($B308="","",IF(U$3=0,"n.b.",INDEX(SRC_Woningetalage!$A$1:$ZZ$501,$A308,U$3)))</f>
        <v/>
      </c>
      <c r="V308" s="124" t="str">
        <f>IF($B308="","",IF(V$3=0,"n.b.",INDEX(SRC_Woningetalage!$A$1:$ZZ$501,$A308,V$3)))</f>
        <v/>
      </c>
      <c r="W308" s="124" t="str">
        <f>IF($B308="","",IF(W$3=0,"n.b.",INDEX(SRC_Woningetalage!$A$1:$ZZ$501,$A308,W$3)))</f>
        <v/>
      </c>
      <c r="X308" s="124" t="str">
        <f>IF($B308="","",IF(X$3=0,"n.b.",INDEX(SRC_Woningetalage!$A$1:$ZZ$501,$A308,X$3)))</f>
        <v/>
      </c>
      <c r="Y308" s="124" t="str">
        <f>IF($B308="","",IF(Y$3=0,"n.b.",INDEX(SRC_Woningetalage!$A$1:$ZZ$501,$A308,Y$3)))</f>
        <v/>
      </c>
      <c r="Z308" s="124" t="str">
        <f>IF($B308="","",IF(Z$3=0,"n.b.",INDEX(SRC_Woningetalage!$A$1:$ZZ$501,$A308,Z$3)))</f>
        <v/>
      </c>
      <c r="AA308" s="124" t="str">
        <f>IF($B308="","",IF(AA$3=0,"n.b.",INDEX(SRC_Woningetalage!$A$1:$ZZ$501,$A308,AA$3)))</f>
        <v/>
      </c>
      <c r="AB308" s="124" t="str">
        <f>IF($B308="","",IF(AB$3=0,"n.b.",INDEX(SRC_Woningetalage!$A$1:$ZZ$501,$A308,AB$3)))</f>
        <v/>
      </c>
      <c r="AC308" s="124" t="str">
        <f>IF($B308="","",IF(AC$3=0,"n.b.",INDEX(SRC_Woningetalage!$A$1:$ZZ$501,$A308,AC$3)))</f>
        <v/>
      </c>
      <c r="AD308" s="124" t="str">
        <f>IF($B308="","",IF(AD$3=0,"n.b.",INDEX(SRC_Woningetalage!$A$1:$ZZ$501,$A308,AD$3)))</f>
        <v/>
      </c>
      <c r="AE308" s="124" t="str">
        <f>IF($B308="","",IF(AE$3=0,"n.b.",INDEX(SRC_Woningetalage!$A$1:$ZZ$501,$A308,AE$3)))</f>
        <v/>
      </c>
      <c r="AF308" s="124" t="str">
        <f>IF($B308="","",IF(AF$3=0,"n.b.",INDEX(SRC_Woningetalage!$A$1:$ZZ$501,$A308,AF$3)))</f>
        <v/>
      </c>
      <c r="AG308" s="124" t="str">
        <f>IF($B308="","",IF(AG$3=0,"n.b.",INDEX(SRC_Woningetalage!$A$1:$ZZ$501,$A308,AG$3)))</f>
        <v/>
      </c>
      <c r="AH308" s="124" t="str">
        <f>IF($B308="","",IF(AH$3=0,"n.b.",INDEX(SRC_Woningetalage!$A$1:$ZZ$501,$A308,AH$3)))</f>
        <v/>
      </c>
      <c r="AI308" s="124" t="str">
        <f>IF($B308="","",IF(AI$3=0,"n.b.",INDEX(SRC_Woningetalage!$A$1:$ZZ$501,$A308,AI$3)))</f>
        <v/>
      </c>
      <c r="AJ308" s="124" t="str">
        <f>IF($B308="","",IF(AJ$3=0,"n.b.",INDEX(SRC_Woningetalage!$A$1:$ZZ$501,$A308,AJ$3)))</f>
        <v/>
      </c>
      <c r="AK308" s="124" t="str">
        <f>IF($B308="","",IF(AK$3=0,"n.b.",INDEX(SRC_Woningetalage!$A$1:$ZZ$501,$A308,AK$3)))</f>
        <v/>
      </c>
      <c r="AL308" s="124" t="str">
        <f>IF($B308="","",IF(AL$3=0,"n.b.",INDEX(SRC_Woningetalage!$A$1:$ZZ$501,$A308,AL$3)))</f>
        <v/>
      </c>
      <c r="AM308" s="124" t="str">
        <f>IF($B308="","",IF(AM$3=0,"n.b.",INDEX(SRC_Woningetalage!$A$1:$ZZ$501,$A308,AM$3)))</f>
        <v/>
      </c>
      <c r="AN308" s="124" t="str">
        <f>IF($B308="","",IF(AN$3=0,"n.b.",INDEX(SRC_Woningetalage!$A$1:$ZZ$501,$A308,AN$3)))</f>
        <v/>
      </c>
      <c r="AO308" s="124" t="str">
        <f>IF($B308="","",IF(AO$3=0,"n.b.",INDEX(SRC_Woningetalage!$A$1:$ZZ$501,$A308,AO$3)))</f>
        <v/>
      </c>
      <c r="AP308" s="124" t="str">
        <f>IF($B308="","",IF(AP$3=0,"n.b.",INDEX(SRC_Woningetalage!$A$1:$ZZ$501,$A308,AP$3)))</f>
        <v/>
      </c>
      <c r="AQ308" s="124" t="str">
        <f>IF($B308="","",IF(AQ$3=0,"n.b.",INDEX(SRC_Woningetalage!$A$1:$ZZ$501,$A308,AQ$3)))</f>
        <v/>
      </c>
      <c r="AR308" s="124" t="str">
        <f>IF($B308="","",IF(AR$3=0,"n.b.",INDEX(SRC_Woningetalage!$A$1:$ZZ$501,$A308,AR$3)))</f>
        <v/>
      </c>
      <c r="AS308" s="124" t="str">
        <f>IF($B308="","",IF(AS$3=0,"n.b.",INDEX(SRC_Woningetalage!$A$1:$ZZ$501,$A308,AS$3)))</f>
        <v/>
      </c>
      <c r="AT308" s="124" t="str">
        <f>IF($B308="","",IF(AT$3=0,"n.b.",INDEX(SRC_Woningetalage!$A$1:$ZZ$501,$A308,AT$3)))</f>
        <v/>
      </c>
      <c r="AU308" s="124" t="str">
        <f>IF($B308="","",IF(AU$3=0,"n.b.",INDEX(SRC_Woningetalage!$A$1:$ZZ$501,$A308,AU$3)))</f>
        <v/>
      </c>
      <c r="AV308" s="124" t="str">
        <f>IF($B308="","",IF(AV$3=0,"n.b.",INDEX(SRC_Woningetalage!$A$1:$ZZ$501,$A308,AV$3)))</f>
        <v/>
      </c>
      <c r="AW308" s="124" t="str">
        <f>IF($B308="","",IF(AW$3=0,"n.b.",INDEX(SRC_Woningetalage!$A$1:$ZZ$501,$A308,AW$3)))</f>
        <v/>
      </c>
      <c r="AX308" s="124" t="str">
        <f>IF($B308="","",IF(AX$3=0,"n.b.",INDEX(SRC_Woningetalage!$A$1:$ZZ$501,$A308,AX$3)))</f>
        <v/>
      </c>
      <c r="AY308" s="124" t="str">
        <f>IF($B308="","",IF(AY$3=0,"n.b.",INDEX(SRC_Woningetalage!$A$1:$ZZ$501,$A308,AY$3)))</f>
        <v/>
      </c>
      <c r="AZ308" s="124" t="str">
        <f>IF($B308="","",IF(AZ$3=0,"n.b.",INDEX(SRC_Woningetalage!$A$1:$ZZ$501,$A308,AZ$3)))</f>
        <v/>
      </c>
      <c r="BA308" s="124" t="str">
        <f>IF($B308="","",IF(BA$3=0,"n.b.",INDEX(SRC_Woningetalage!$A$1:$ZZ$501,$A308,BA$3)))</f>
        <v/>
      </c>
      <c r="BB308" s="124" t="str">
        <f>IF($B308="","",IF(BB$3=0,"n.b.",INDEX(SRC_Woningetalage!$A$1:$ZZ$501,$A308,BB$3)))</f>
        <v/>
      </c>
      <c r="BC308" s="124" t="str">
        <f>IF($B308="","",IFERROR(_xlfn.NUMBERVALUE(E308&amp;"",",","."),"n.b."))</f>
        <v/>
      </c>
      <c r="BD308" s="124" t="str">
        <f>IF($B308="","",IFERROR(_xlfn.NUMBERVALUE(M308&amp;"",",","."),"n.b."))</f>
        <v/>
      </c>
      <c r="BE308" s="124" t="str">
        <f>IF($B308="","",IFERROR(AB308+AC308+AD308,"n.b."))</f>
        <v/>
      </c>
      <c r="BF308" s="124" t="str">
        <f>IF($B308="","",IFERROR(AE308+AF308+AG308,"n.b."))</f>
        <v/>
      </c>
      <c r="BG308" s="124" t="str">
        <f>IF($B308="","",IFERROR(AH308+AI308+AJ308,"n.b."))</f>
        <v/>
      </c>
      <c r="BH308" s="124" t="str">
        <f>IF($B308="","",IFERROR(AK308+AL308+AM308,"n.b."))</f>
        <v/>
      </c>
      <c r="BI308" s="124" t="str">
        <f>IF($B308="","",IFERROR(SUMIF($AB$5:$AM$5,"&lt;="&amp;P_PeilMaand,AB308:AM308),"n.b."))</f>
        <v/>
      </c>
      <c r="BJ308" s="124" t="str">
        <f>IF($B308="","",IFERROR(SUM(AB308:AM308)-BI308,"n.b."))</f>
        <v/>
      </c>
      <c r="BK308" s="124" t="str">
        <f>IF($B308="","",IFERROR(IF(ABS(Q308-(T308+SUM(AB308:AM308)+AS308+AU308))&gt;P_Tol,1,0),1))</f>
        <v/>
      </c>
      <c r="BL308" s="124" t="str">
        <f>IF($B308="","",IFERROR(IF(ABS(AA308-(Q308-Z308))&gt;P_Tol,1,0),1))</f>
        <v/>
      </c>
      <c r="BM308" s="124" t="str">
        <f>IF($B308="","",IFERROR(IF(ABS(Z308-(T308+W308))&gt;P_Tol,1,0),1))</f>
        <v/>
      </c>
      <c r="BN308" s="124" t="str">
        <f>IF($B308="","",IFERROR(IF(ABS(W308-BI308)&gt;P_Tol,1,0),1))</f>
        <v/>
      </c>
      <c r="BO308" s="124" t="str">
        <f>IF($B308="","",IFERROR(IF(OR(ABS(R308+S308-T308)&gt;P_Tol,ABS(U308+V308-W308)&gt;P_Tol,ABS(X308+Y308-Z308)&gt;P_Tol),1,0),1))</f>
        <v/>
      </c>
      <c r="BP308" s="124" t="str">
        <f>IF($B308="","",IFERROR(IF(OR(ABS(AR308-SUM(AB308:AM308))&gt;P_Tol,ABS(AS308-(AN308+AO308+AP308+AQ308))&gt;P_Tol),1,0),1))</f>
        <v/>
      </c>
      <c r="BQ308" s="124" t="str">
        <f>IF($B308="","",IFERROR(IF(ABS(AT308)+ABS(AV308)+ABS(AW308)+ABS(AX308)+ABS(AY308)+ABS(AZ308)+ABS(BA308)+ABS(BB308)&gt;0,1,0),1))</f>
        <v/>
      </c>
      <c r="BR308" s="124" t="str">
        <f>IF($B308="","",COUNTIF(STG_ZPMW03!$B$6:$B$505,B308))</f>
        <v/>
      </c>
      <c r="BS308" s="124" t="str">
        <f>IF($B308="","",COUNTIF($B$6:$B$505,B308))</f>
        <v/>
      </c>
      <c r="BT308" s="124" t="str">
        <f>IF($B308="","",IF(BR308=0,0,IF(INDEX(STG_ZPMW03!$I$6:$I$505,MATCH(B308,STG_ZPMW03!$B$6:$B$505,0))=J308&amp;"",0,1)))</f>
        <v/>
      </c>
      <c r="BU308" s="124" t="str">
        <f>IF($B308="","",IFERROR(IF(ABS(INDEX(Mapping!$D$5:$D$104,MATCH(B308,Mapping!$A$5:$A$104,0))-Q308)&gt;P_Tol,1,0),0))</f>
        <v/>
      </c>
      <c r="BV308" s="124" t="str">
        <f>IF($B308="","",IFERROR(IF(AND(INDEX(Mapping!$G$5:$G$104,MATCH(B308,Mapping!$A$5:$A$104,0))="Nee",ABS(Q308)+ABS(Z308)+ABS(AR308)&gt;0),1,0),0))</f>
        <v/>
      </c>
      <c r="BW308" s="124" t="str">
        <f>IF($B308="","",IF(COUNTIF(Mapping!$A$5:$A$104,B308)&gt;0,1,0))</f>
        <v/>
      </c>
      <c r="BX308" s="124" t="str">
        <f>IF($B308="","",IF(BR308=0,COUNTIF($BR$6:BR308,0),""))</f>
        <v/>
      </c>
    </row>
    <row r="309">
      <c r="A309" s="15" t="n">
        <v>305</v>
      </c>
      <c r="B309" t="str">
        <f>IF(B$3=0,"",IF(INDEX(SRC_Woningetalage!$A$1:$ZZ$501,$A309,B$3)&amp;""="","",INDEX(SRC_Woningetalage!$A$1:$ZZ$501,$A309,B$3)&amp;""))</f>
        <v/>
      </c>
      <c r="C309" t="str">
        <f>IF($B309="","",IF(C$3=0,"n.b.",INDEX(SRC_Woningetalage!$A$1:$ZZ$501,$A309,C$3)))</f>
        <v/>
      </c>
      <c r="D309" t="str">
        <f>IF($B309="","",IF(D$3=0,"n.b.",INDEX(SRC_Woningetalage!$A$1:$ZZ$501,$A309,D$3)))</f>
        <v/>
      </c>
      <c r="E309" t="str">
        <f>IF($B309="","",IF(E$3=0,"n.b.",INDEX(SRC_Woningetalage!$A$1:$ZZ$501,$A309,E$3)))</f>
        <v/>
      </c>
      <c r="F309" t="str">
        <f>IF($B309="","",IF(F$3=0,"n.b.",INDEX(SRC_Woningetalage!$A$1:$ZZ$501,$A309,F$3)))</f>
        <v/>
      </c>
      <c r="G309" t="str">
        <f>IF($B309="","",IF(G$3=0,"n.b.",INDEX(SRC_Woningetalage!$A$1:$ZZ$501,$A309,G$3)))</f>
        <v/>
      </c>
      <c r="H309" t="str">
        <f>IF($B309="","",IF(H$3=0,"n.b.",INDEX(SRC_Woningetalage!$A$1:$ZZ$501,$A309,H$3)))</f>
        <v/>
      </c>
      <c r="I309" t="str">
        <f>IF($B309="","",IF(I$3=0,"n.b.",INDEX(SRC_Woningetalage!$A$1:$ZZ$501,$A309,I$3)))</f>
        <v/>
      </c>
      <c r="J309" t="str">
        <f>IF($B309="","",IF(J$3=0,"n.b.",INDEX(SRC_Woningetalage!$A$1:$ZZ$501,$A309,J$3)))</f>
        <v/>
      </c>
      <c r="K309" t="str">
        <f>IF($B309="","",IF(K$3=0,"n.b.",INDEX(SRC_Woningetalage!$A$1:$ZZ$501,$A309,K$3)))</f>
        <v/>
      </c>
      <c r="L309" t="str">
        <f>IF($B309="","",IF(L$3=0,"n.b.",INDEX(SRC_Woningetalage!$A$1:$ZZ$501,$A309,L$3)))</f>
        <v/>
      </c>
      <c r="M309" t="str">
        <f>IF($B309="","",IF(M$3=0,"n.b.",INDEX(SRC_Woningetalage!$A$1:$ZZ$501,$A309,M$3)))</f>
        <v/>
      </c>
      <c r="N309" t="str">
        <f>IF($B309="","",IF(N$3=0,"n.b.",INDEX(SRC_Woningetalage!$A$1:$ZZ$501,$A309,N$3)))</f>
        <v/>
      </c>
      <c r="O309" t="str">
        <f>IF($B309="","",IF(O$3=0,"n.b.",INDEX(SRC_Woningetalage!$A$1:$ZZ$501,$A309,O$3)))</f>
        <v/>
      </c>
      <c r="P309" t="str">
        <f>IF($B309="","",IF(P$3=0,"n.b.",INDEX(SRC_Woningetalage!$A$1:$ZZ$501,$A309,P$3)))</f>
        <v/>
      </c>
      <c r="Q309" s="124" t="str">
        <f>IF($B309="","",IF(Q$3=0,"n.b.",INDEX(SRC_Woningetalage!$A$1:$ZZ$501,$A309,Q$3)))</f>
        <v/>
      </c>
      <c r="R309" s="124" t="str">
        <f>IF($B309="","",IF(R$3=0,"n.b.",INDEX(SRC_Woningetalage!$A$1:$ZZ$501,$A309,R$3)))</f>
        <v/>
      </c>
      <c r="S309" s="124" t="str">
        <f>IF($B309="","",IF(S$3=0,"n.b.",INDEX(SRC_Woningetalage!$A$1:$ZZ$501,$A309,S$3)))</f>
        <v/>
      </c>
      <c r="T309" s="124" t="str">
        <f>IF($B309="","",IF(T$3=0,"n.b.",INDEX(SRC_Woningetalage!$A$1:$ZZ$501,$A309,T$3)))</f>
        <v/>
      </c>
      <c r="U309" s="124" t="str">
        <f>IF($B309="","",IF(U$3=0,"n.b.",INDEX(SRC_Woningetalage!$A$1:$ZZ$501,$A309,U$3)))</f>
        <v/>
      </c>
      <c r="V309" s="124" t="str">
        <f>IF($B309="","",IF(V$3=0,"n.b.",INDEX(SRC_Woningetalage!$A$1:$ZZ$501,$A309,V$3)))</f>
        <v/>
      </c>
      <c r="W309" s="124" t="str">
        <f>IF($B309="","",IF(W$3=0,"n.b.",INDEX(SRC_Woningetalage!$A$1:$ZZ$501,$A309,W$3)))</f>
        <v/>
      </c>
      <c r="X309" s="124" t="str">
        <f>IF($B309="","",IF(X$3=0,"n.b.",INDEX(SRC_Woningetalage!$A$1:$ZZ$501,$A309,X$3)))</f>
        <v/>
      </c>
      <c r="Y309" s="124" t="str">
        <f>IF($B309="","",IF(Y$3=0,"n.b.",INDEX(SRC_Woningetalage!$A$1:$ZZ$501,$A309,Y$3)))</f>
        <v/>
      </c>
      <c r="Z309" s="124" t="str">
        <f>IF($B309="","",IF(Z$3=0,"n.b.",INDEX(SRC_Woningetalage!$A$1:$ZZ$501,$A309,Z$3)))</f>
        <v/>
      </c>
      <c r="AA309" s="124" t="str">
        <f>IF($B309="","",IF(AA$3=0,"n.b.",INDEX(SRC_Woningetalage!$A$1:$ZZ$501,$A309,AA$3)))</f>
        <v/>
      </c>
      <c r="AB309" s="124" t="str">
        <f>IF($B309="","",IF(AB$3=0,"n.b.",INDEX(SRC_Woningetalage!$A$1:$ZZ$501,$A309,AB$3)))</f>
        <v/>
      </c>
      <c r="AC309" s="124" t="str">
        <f>IF($B309="","",IF(AC$3=0,"n.b.",INDEX(SRC_Woningetalage!$A$1:$ZZ$501,$A309,AC$3)))</f>
        <v/>
      </c>
      <c r="AD309" s="124" t="str">
        <f>IF($B309="","",IF(AD$3=0,"n.b.",INDEX(SRC_Woningetalage!$A$1:$ZZ$501,$A309,AD$3)))</f>
        <v/>
      </c>
      <c r="AE309" s="124" t="str">
        <f>IF($B309="","",IF(AE$3=0,"n.b.",INDEX(SRC_Woningetalage!$A$1:$ZZ$501,$A309,AE$3)))</f>
        <v/>
      </c>
      <c r="AF309" s="124" t="str">
        <f>IF($B309="","",IF(AF$3=0,"n.b.",INDEX(SRC_Woningetalage!$A$1:$ZZ$501,$A309,AF$3)))</f>
        <v/>
      </c>
      <c r="AG309" s="124" t="str">
        <f>IF($B309="","",IF(AG$3=0,"n.b.",INDEX(SRC_Woningetalage!$A$1:$ZZ$501,$A309,AG$3)))</f>
        <v/>
      </c>
      <c r="AH309" s="124" t="str">
        <f>IF($B309="","",IF(AH$3=0,"n.b.",INDEX(SRC_Woningetalage!$A$1:$ZZ$501,$A309,AH$3)))</f>
        <v/>
      </c>
      <c r="AI309" s="124" t="str">
        <f>IF($B309="","",IF(AI$3=0,"n.b.",INDEX(SRC_Woningetalage!$A$1:$ZZ$501,$A309,AI$3)))</f>
        <v/>
      </c>
      <c r="AJ309" s="124" t="str">
        <f>IF($B309="","",IF(AJ$3=0,"n.b.",INDEX(SRC_Woningetalage!$A$1:$ZZ$501,$A309,AJ$3)))</f>
        <v/>
      </c>
      <c r="AK309" s="124" t="str">
        <f>IF($B309="","",IF(AK$3=0,"n.b.",INDEX(SRC_Woningetalage!$A$1:$ZZ$501,$A309,AK$3)))</f>
        <v/>
      </c>
      <c r="AL309" s="124" t="str">
        <f>IF($B309="","",IF(AL$3=0,"n.b.",INDEX(SRC_Woningetalage!$A$1:$ZZ$501,$A309,AL$3)))</f>
        <v/>
      </c>
      <c r="AM309" s="124" t="str">
        <f>IF($B309="","",IF(AM$3=0,"n.b.",INDEX(SRC_Woningetalage!$A$1:$ZZ$501,$A309,AM$3)))</f>
        <v/>
      </c>
      <c r="AN309" s="124" t="str">
        <f>IF($B309="","",IF(AN$3=0,"n.b.",INDEX(SRC_Woningetalage!$A$1:$ZZ$501,$A309,AN$3)))</f>
        <v/>
      </c>
      <c r="AO309" s="124" t="str">
        <f>IF($B309="","",IF(AO$3=0,"n.b.",INDEX(SRC_Woningetalage!$A$1:$ZZ$501,$A309,AO$3)))</f>
        <v/>
      </c>
      <c r="AP309" s="124" t="str">
        <f>IF($B309="","",IF(AP$3=0,"n.b.",INDEX(SRC_Woningetalage!$A$1:$ZZ$501,$A309,AP$3)))</f>
        <v/>
      </c>
      <c r="AQ309" s="124" t="str">
        <f>IF($B309="","",IF(AQ$3=0,"n.b.",INDEX(SRC_Woningetalage!$A$1:$ZZ$501,$A309,AQ$3)))</f>
        <v/>
      </c>
      <c r="AR309" s="124" t="str">
        <f>IF($B309="","",IF(AR$3=0,"n.b.",INDEX(SRC_Woningetalage!$A$1:$ZZ$501,$A309,AR$3)))</f>
        <v/>
      </c>
      <c r="AS309" s="124" t="str">
        <f>IF($B309="","",IF(AS$3=0,"n.b.",INDEX(SRC_Woningetalage!$A$1:$ZZ$501,$A309,AS$3)))</f>
        <v/>
      </c>
      <c r="AT309" s="124" t="str">
        <f>IF($B309="","",IF(AT$3=0,"n.b.",INDEX(SRC_Woningetalage!$A$1:$ZZ$501,$A309,AT$3)))</f>
        <v/>
      </c>
      <c r="AU309" s="124" t="str">
        <f>IF($B309="","",IF(AU$3=0,"n.b.",INDEX(SRC_Woningetalage!$A$1:$ZZ$501,$A309,AU$3)))</f>
        <v/>
      </c>
      <c r="AV309" s="124" t="str">
        <f>IF($B309="","",IF(AV$3=0,"n.b.",INDEX(SRC_Woningetalage!$A$1:$ZZ$501,$A309,AV$3)))</f>
        <v/>
      </c>
      <c r="AW309" s="124" t="str">
        <f>IF($B309="","",IF(AW$3=0,"n.b.",INDEX(SRC_Woningetalage!$A$1:$ZZ$501,$A309,AW$3)))</f>
        <v/>
      </c>
      <c r="AX309" s="124" t="str">
        <f>IF($B309="","",IF(AX$3=0,"n.b.",INDEX(SRC_Woningetalage!$A$1:$ZZ$501,$A309,AX$3)))</f>
        <v/>
      </c>
      <c r="AY309" s="124" t="str">
        <f>IF($B309="","",IF(AY$3=0,"n.b.",INDEX(SRC_Woningetalage!$A$1:$ZZ$501,$A309,AY$3)))</f>
        <v/>
      </c>
      <c r="AZ309" s="124" t="str">
        <f>IF($B309="","",IF(AZ$3=0,"n.b.",INDEX(SRC_Woningetalage!$A$1:$ZZ$501,$A309,AZ$3)))</f>
        <v/>
      </c>
      <c r="BA309" s="124" t="str">
        <f>IF($B309="","",IF(BA$3=0,"n.b.",INDEX(SRC_Woningetalage!$A$1:$ZZ$501,$A309,BA$3)))</f>
        <v/>
      </c>
      <c r="BB309" s="124" t="str">
        <f>IF($B309="","",IF(BB$3=0,"n.b.",INDEX(SRC_Woningetalage!$A$1:$ZZ$501,$A309,BB$3)))</f>
        <v/>
      </c>
      <c r="BC309" s="124" t="str">
        <f>IF($B309="","",IFERROR(_xlfn.NUMBERVALUE(E309&amp;"",",","."),"n.b."))</f>
        <v/>
      </c>
      <c r="BD309" s="124" t="str">
        <f>IF($B309="","",IFERROR(_xlfn.NUMBERVALUE(M309&amp;"",",","."),"n.b."))</f>
        <v/>
      </c>
      <c r="BE309" s="124" t="str">
        <f>IF($B309="","",IFERROR(AB309+AC309+AD309,"n.b."))</f>
        <v/>
      </c>
      <c r="BF309" s="124" t="str">
        <f>IF($B309="","",IFERROR(AE309+AF309+AG309,"n.b."))</f>
        <v/>
      </c>
      <c r="BG309" s="124" t="str">
        <f>IF($B309="","",IFERROR(AH309+AI309+AJ309,"n.b."))</f>
        <v/>
      </c>
      <c r="BH309" s="124" t="str">
        <f>IF($B309="","",IFERROR(AK309+AL309+AM309,"n.b."))</f>
        <v/>
      </c>
      <c r="BI309" s="124" t="str">
        <f>IF($B309="","",IFERROR(SUMIF($AB$5:$AM$5,"&lt;="&amp;P_PeilMaand,AB309:AM309),"n.b."))</f>
        <v/>
      </c>
      <c r="BJ309" s="124" t="str">
        <f>IF($B309="","",IFERROR(SUM(AB309:AM309)-BI309,"n.b."))</f>
        <v/>
      </c>
      <c r="BK309" s="124" t="str">
        <f>IF($B309="","",IFERROR(IF(ABS(Q309-(T309+SUM(AB309:AM309)+AS309+AU309))&gt;P_Tol,1,0),1))</f>
        <v/>
      </c>
      <c r="BL309" s="124" t="str">
        <f>IF($B309="","",IFERROR(IF(ABS(AA309-(Q309-Z309))&gt;P_Tol,1,0),1))</f>
        <v/>
      </c>
      <c r="BM309" s="124" t="str">
        <f>IF($B309="","",IFERROR(IF(ABS(Z309-(T309+W309))&gt;P_Tol,1,0),1))</f>
        <v/>
      </c>
      <c r="BN309" s="124" t="str">
        <f>IF($B309="","",IFERROR(IF(ABS(W309-BI309)&gt;P_Tol,1,0),1))</f>
        <v/>
      </c>
      <c r="BO309" s="124" t="str">
        <f>IF($B309="","",IFERROR(IF(OR(ABS(R309+S309-T309)&gt;P_Tol,ABS(U309+V309-W309)&gt;P_Tol,ABS(X309+Y309-Z309)&gt;P_Tol),1,0),1))</f>
        <v/>
      </c>
      <c r="BP309" s="124" t="str">
        <f>IF($B309="","",IFERROR(IF(OR(ABS(AR309-SUM(AB309:AM309))&gt;P_Tol,ABS(AS309-(AN309+AO309+AP309+AQ309))&gt;P_Tol),1,0),1))</f>
        <v/>
      </c>
      <c r="BQ309" s="124" t="str">
        <f>IF($B309="","",IFERROR(IF(ABS(AT309)+ABS(AV309)+ABS(AW309)+ABS(AX309)+ABS(AY309)+ABS(AZ309)+ABS(BA309)+ABS(BB309)&gt;0,1,0),1))</f>
        <v/>
      </c>
      <c r="BR309" s="124" t="str">
        <f>IF($B309="","",COUNTIF(STG_ZPMW03!$B$6:$B$505,B309))</f>
        <v/>
      </c>
      <c r="BS309" s="124" t="str">
        <f>IF($B309="","",COUNTIF($B$6:$B$505,B309))</f>
        <v/>
      </c>
      <c r="BT309" s="124" t="str">
        <f>IF($B309="","",IF(BR309=0,0,IF(INDEX(STG_ZPMW03!$I$6:$I$505,MATCH(B309,STG_ZPMW03!$B$6:$B$505,0))=J309&amp;"",0,1)))</f>
        <v/>
      </c>
      <c r="BU309" s="124" t="str">
        <f>IF($B309="","",IFERROR(IF(ABS(INDEX(Mapping!$D$5:$D$104,MATCH(B309,Mapping!$A$5:$A$104,0))-Q309)&gt;P_Tol,1,0),0))</f>
        <v/>
      </c>
      <c r="BV309" s="124" t="str">
        <f>IF($B309="","",IFERROR(IF(AND(INDEX(Mapping!$G$5:$G$104,MATCH(B309,Mapping!$A$5:$A$104,0))="Nee",ABS(Q309)+ABS(Z309)+ABS(AR309)&gt;0),1,0),0))</f>
        <v/>
      </c>
      <c r="BW309" s="124" t="str">
        <f>IF($B309="","",IF(COUNTIF(Mapping!$A$5:$A$104,B309)&gt;0,1,0))</f>
        <v/>
      </c>
      <c r="BX309" s="124" t="str">
        <f>IF($B309="","",IF(BR309=0,COUNTIF($BR$6:BR309,0),""))</f>
        <v/>
      </c>
    </row>
    <row r="310">
      <c r="A310" s="15" t="n">
        <v>306</v>
      </c>
      <c r="B310" t="str">
        <f>IF(B$3=0,"",IF(INDEX(SRC_Woningetalage!$A$1:$ZZ$501,$A310,B$3)&amp;""="","",INDEX(SRC_Woningetalage!$A$1:$ZZ$501,$A310,B$3)&amp;""))</f>
        <v/>
      </c>
      <c r="C310" t="str">
        <f>IF($B310="","",IF(C$3=0,"n.b.",INDEX(SRC_Woningetalage!$A$1:$ZZ$501,$A310,C$3)))</f>
        <v/>
      </c>
      <c r="D310" t="str">
        <f>IF($B310="","",IF(D$3=0,"n.b.",INDEX(SRC_Woningetalage!$A$1:$ZZ$501,$A310,D$3)))</f>
        <v/>
      </c>
      <c r="E310" t="str">
        <f>IF($B310="","",IF(E$3=0,"n.b.",INDEX(SRC_Woningetalage!$A$1:$ZZ$501,$A310,E$3)))</f>
        <v/>
      </c>
      <c r="F310" t="str">
        <f>IF($B310="","",IF(F$3=0,"n.b.",INDEX(SRC_Woningetalage!$A$1:$ZZ$501,$A310,F$3)))</f>
        <v/>
      </c>
      <c r="G310" t="str">
        <f>IF($B310="","",IF(G$3=0,"n.b.",INDEX(SRC_Woningetalage!$A$1:$ZZ$501,$A310,G$3)))</f>
        <v/>
      </c>
      <c r="H310" t="str">
        <f>IF($B310="","",IF(H$3=0,"n.b.",INDEX(SRC_Woningetalage!$A$1:$ZZ$501,$A310,H$3)))</f>
        <v/>
      </c>
      <c r="I310" t="str">
        <f>IF($B310="","",IF(I$3=0,"n.b.",INDEX(SRC_Woningetalage!$A$1:$ZZ$501,$A310,I$3)))</f>
        <v/>
      </c>
      <c r="J310" t="str">
        <f>IF($B310="","",IF(J$3=0,"n.b.",INDEX(SRC_Woningetalage!$A$1:$ZZ$501,$A310,J$3)))</f>
        <v/>
      </c>
      <c r="K310" t="str">
        <f>IF($B310="","",IF(K$3=0,"n.b.",INDEX(SRC_Woningetalage!$A$1:$ZZ$501,$A310,K$3)))</f>
        <v/>
      </c>
      <c r="L310" t="str">
        <f>IF($B310="","",IF(L$3=0,"n.b.",INDEX(SRC_Woningetalage!$A$1:$ZZ$501,$A310,L$3)))</f>
        <v/>
      </c>
      <c r="M310" t="str">
        <f>IF($B310="","",IF(M$3=0,"n.b.",INDEX(SRC_Woningetalage!$A$1:$ZZ$501,$A310,M$3)))</f>
        <v/>
      </c>
      <c r="N310" t="str">
        <f>IF($B310="","",IF(N$3=0,"n.b.",INDEX(SRC_Woningetalage!$A$1:$ZZ$501,$A310,N$3)))</f>
        <v/>
      </c>
      <c r="O310" t="str">
        <f>IF($B310="","",IF(O$3=0,"n.b.",INDEX(SRC_Woningetalage!$A$1:$ZZ$501,$A310,O$3)))</f>
        <v/>
      </c>
      <c r="P310" t="str">
        <f>IF($B310="","",IF(P$3=0,"n.b.",INDEX(SRC_Woningetalage!$A$1:$ZZ$501,$A310,P$3)))</f>
        <v/>
      </c>
      <c r="Q310" s="124" t="str">
        <f>IF($B310="","",IF(Q$3=0,"n.b.",INDEX(SRC_Woningetalage!$A$1:$ZZ$501,$A310,Q$3)))</f>
        <v/>
      </c>
      <c r="R310" s="124" t="str">
        <f>IF($B310="","",IF(R$3=0,"n.b.",INDEX(SRC_Woningetalage!$A$1:$ZZ$501,$A310,R$3)))</f>
        <v/>
      </c>
      <c r="S310" s="124" t="str">
        <f>IF($B310="","",IF(S$3=0,"n.b.",INDEX(SRC_Woningetalage!$A$1:$ZZ$501,$A310,S$3)))</f>
        <v/>
      </c>
      <c r="T310" s="124" t="str">
        <f>IF($B310="","",IF(T$3=0,"n.b.",INDEX(SRC_Woningetalage!$A$1:$ZZ$501,$A310,T$3)))</f>
        <v/>
      </c>
      <c r="U310" s="124" t="str">
        <f>IF($B310="","",IF(U$3=0,"n.b.",INDEX(SRC_Woningetalage!$A$1:$ZZ$501,$A310,U$3)))</f>
        <v/>
      </c>
      <c r="V310" s="124" t="str">
        <f>IF($B310="","",IF(V$3=0,"n.b.",INDEX(SRC_Woningetalage!$A$1:$ZZ$501,$A310,V$3)))</f>
        <v/>
      </c>
      <c r="W310" s="124" t="str">
        <f>IF($B310="","",IF(W$3=0,"n.b.",INDEX(SRC_Woningetalage!$A$1:$ZZ$501,$A310,W$3)))</f>
        <v/>
      </c>
      <c r="X310" s="124" t="str">
        <f>IF($B310="","",IF(X$3=0,"n.b.",INDEX(SRC_Woningetalage!$A$1:$ZZ$501,$A310,X$3)))</f>
        <v/>
      </c>
      <c r="Y310" s="124" t="str">
        <f>IF($B310="","",IF(Y$3=0,"n.b.",INDEX(SRC_Woningetalage!$A$1:$ZZ$501,$A310,Y$3)))</f>
        <v/>
      </c>
      <c r="Z310" s="124" t="str">
        <f>IF($B310="","",IF(Z$3=0,"n.b.",INDEX(SRC_Woningetalage!$A$1:$ZZ$501,$A310,Z$3)))</f>
        <v/>
      </c>
      <c r="AA310" s="124" t="str">
        <f>IF($B310="","",IF(AA$3=0,"n.b.",INDEX(SRC_Woningetalage!$A$1:$ZZ$501,$A310,AA$3)))</f>
        <v/>
      </c>
      <c r="AB310" s="124" t="str">
        <f>IF($B310="","",IF(AB$3=0,"n.b.",INDEX(SRC_Woningetalage!$A$1:$ZZ$501,$A310,AB$3)))</f>
        <v/>
      </c>
      <c r="AC310" s="124" t="str">
        <f>IF($B310="","",IF(AC$3=0,"n.b.",INDEX(SRC_Woningetalage!$A$1:$ZZ$501,$A310,AC$3)))</f>
        <v/>
      </c>
      <c r="AD310" s="124" t="str">
        <f>IF($B310="","",IF(AD$3=0,"n.b.",INDEX(SRC_Woningetalage!$A$1:$ZZ$501,$A310,AD$3)))</f>
        <v/>
      </c>
      <c r="AE310" s="124" t="str">
        <f>IF($B310="","",IF(AE$3=0,"n.b.",INDEX(SRC_Woningetalage!$A$1:$ZZ$501,$A310,AE$3)))</f>
        <v/>
      </c>
      <c r="AF310" s="124" t="str">
        <f>IF($B310="","",IF(AF$3=0,"n.b.",INDEX(SRC_Woningetalage!$A$1:$ZZ$501,$A310,AF$3)))</f>
        <v/>
      </c>
      <c r="AG310" s="124" t="str">
        <f>IF($B310="","",IF(AG$3=0,"n.b.",INDEX(SRC_Woningetalage!$A$1:$ZZ$501,$A310,AG$3)))</f>
        <v/>
      </c>
      <c r="AH310" s="124" t="str">
        <f>IF($B310="","",IF(AH$3=0,"n.b.",INDEX(SRC_Woningetalage!$A$1:$ZZ$501,$A310,AH$3)))</f>
        <v/>
      </c>
      <c r="AI310" s="124" t="str">
        <f>IF($B310="","",IF(AI$3=0,"n.b.",INDEX(SRC_Woningetalage!$A$1:$ZZ$501,$A310,AI$3)))</f>
        <v/>
      </c>
      <c r="AJ310" s="124" t="str">
        <f>IF($B310="","",IF(AJ$3=0,"n.b.",INDEX(SRC_Woningetalage!$A$1:$ZZ$501,$A310,AJ$3)))</f>
        <v/>
      </c>
      <c r="AK310" s="124" t="str">
        <f>IF($B310="","",IF(AK$3=0,"n.b.",INDEX(SRC_Woningetalage!$A$1:$ZZ$501,$A310,AK$3)))</f>
        <v/>
      </c>
      <c r="AL310" s="124" t="str">
        <f>IF($B310="","",IF(AL$3=0,"n.b.",INDEX(SRC_Woningetalage!$A$1:$ZZ$501,$A310,AL$3)))</f>
        <v/>
      </c>
      <c r="AM310" s="124" t="str">
        <f>IF($B310="","",IF(AM$3=0,"n.b.",INDEX(SRC_Woningetalage!$A$1:$ZZ$501,$A310,AM$3)))</f>
        <v/>
      </c>
      <c r="AN310" s="124" t="str">
        <f>IF($B310="","",IF(AN$3=0,"n.b.",INDEX(SRC_Woningetalage!$A$1:$ZZ$501,$A310,AN$3)))</f>
        <v/>
      </c>
      <c r="AO310" s="124" t="str">
        <f>IF($B310="","",IF(AO$3=0,"n.b.",INDEX(SRC_Woningetalage!$A$1:$ZZ$501,$A310,AO$3)))</f>
        <v/>
      </c>
      <c r="AP310" s="124" t="str">
        <f>IF($B310="","",IF(AP$3=0,"n.b.",INDEX(SRC_Woningetalage!$A$1:$ZZ$501,$A310,AP$3)))</f>
        <v/>
      </c>
      <c r="AQ310" s="124" t="str">
        <f>IF($B310="","",IF(AQ$3=0,"n.b.",INDEX(SRC_Woningetalage!$A$1:$ZZ$501,$A310,AQ$3)))</f>
        <v/>
      </c>
      <c r="AR310" s="124" t="str">
        <f>IF($B310="","",IF(AR$3=0,"n.b.",INDEX(SRC_Woningetalage!$A$1:$ZZ$501,$A310,AR$3)))</f>
        <v/>
      </c>
      <c r="AS310" s="124" t="str">
        <f>IF($B310="","",IF(AS$3=0,"n.b.",INDEX(SRC_Woningetalage!$A$1:$ZZ$501,$A310,AS$3)))</f>
        <v/>
      </c>
      <c r="AT310" s="124" t="str">
        <f>IF($B310="","",IF(AT$3=0,"n.b.",INDEX(SRC_Woningetalage!$A$1:$ZZ$501,$A310,AT$3)))</f>
        <v/>
      </c>
      <c r="AU310" s="124" t="str">
        <f>IF($B310="","",IF(AU$3=0,"n.b.",INDEX(SRC_Woningetalage!$A$1:$ZZ$501,$A310,AU$3)))</f>
        <v/>
      </c>
      <c r="AV310" s="124" t="str">
        <f>IF($B310="","",IF(AV$3=0,"n.b.",INDEX(SRC_Woningetalage!$A$1:$ZZ$501,$A310,AV$3)))</f>
        <v/>
      </c>
      <c r="AW310" s="124" t="str">
        <f>IF($B310="","",IF(AW$3=0,"n.b.",INDEX(SRC_Woningetalage!$A$1:$ZZ$501,$A310,AW$3)))</f>
        <v/>
      </c>
      <c r="AX310" s="124" t="str">
        <f>IF($B310="","",IF(AX$3=0,"n.b.",INDEX(SRC_Woningetalage!$A$1:$ZZ$501,$A310,AX$3)))</f>
        <v/>
      </c>
      <c r="AY310" s="124" t="str">
        <f>IF($B310="","",IF(AY$3=0,"n.b.",INDEX(SRC_Woningetalage!$A$1:$ZZ$501,$A310,AY$3)))</f>
        <v/>
      </c>
      <c r="AZ310" s="124" t="str">
        <f>IF($B310="","",IF(AZ$3=0,"n.b.",INDEX(SRC_Woningetalage!$A$1:$ZZ$501,$A310,AZ$3)))</f>
        <v/>
      </c>
      <c r="BA310" s="124" t="str">
        <f>IF($B310="","",IF(BA$3=0,"n.b.",INDEX(SRC_Woningetalage!$A$1:$ZZ$501,$A310,BA$3)))</f>
        <v/>
      </c>
      <c r="BB310" s="124" t="str">
        <f>IF($B310="","",IF(BB$3=0,"n.b.",INDEX(SRC_Woningetalage!$A$1:$ZZ$501,$A310,BB$3)))</f>
        <v/>
      </c>
      <c r="BC310" s="124" t="str">
        <f>IF($B310="","",IFERROR(_xlfn.NUMBERVALUE(E310&amp;"",",","."),"n.b."))</f>
        <v/>
      </c>
      <c r="BD310" s="124" t="str">
        <f>IF($B310="","",IFERROR(_xlfn.NUMBERVALUE(M310&amp;"",",","."),"n.b."))</f>
        <v/>
      </c>
      <c r="BE310" s="124" t="str">
        <f>IF($B310="","",IFERROR(AB310+AC310+AD310,"n.b."))</f>
        <v/>
      </c>
      <c r="BF310" s="124" t="str">
        <f>IF($B310="","",IFERROR(AE310+AF310+AG310,"n.b."))</f>
        <v/>
      </c>
      <c r="BG310" s="124" t="str">
        <f>IF($B310="","",IFERROR(AH310+AI310+AJ310,"n.b."))</f>
        <v/>
      </c>
      <c r="BH310" s="124" t="str">
        <f>IF($B310="","",IFERROR(AK310+AL310+AM310,"n.b."))</f>
        <v/>
      </c>
      <c r="BI310" s="124" t="str">
        <f>IF($B310="","",IFERROR(SUMIF($AB$5:$AM$5,"&lt;="&amp;P_PeilMaand,AB310:AM310),"n.b."))</f>
        <v/>
      </c>
      <c r="BJ310" s="124" t="str">
        <f>IF($B310="","",IFERROR(SUM(AB310:AM310)-BI310,"n.b."))</f>
        <v/>
      </c>
      <c r="BK310" s="124" t="str">
        <f>IF($B310="","",IFERROR(IF(ABS(Q310-(T310+SUM(AB310:AM310)+AS310+AU310))&gt;P_Tol,1,0),1))</f>
        <v/>
      </c>
      <c r="BL310" s="124" t="str">
        <f>IF($B310="","",IFERROR(IF(ABS(AA310-(Q310-Z310))&gt;P_Tol,1,0),1))</f>
        <v/>
      </c>
      <c r="BM310" s="124" t="str">
        <f>IF($B310="","",IFERROR(IF(ABS(Z310-(T310+W310))&gt;P_Tol,1,0),1))</f>
        <v/>
      </c>
      <c r="BN310" s="124" t="str">
        <f>IF($B310="","",IFERROR(IF(ABS(W310-BI310)&gt;P_Tol,1,0),1))</f>
        <v/>
      </c>
      <c r="BO310" s="124" t="str">
        <f>IF($B310="","",IFERROR(IF(OR(ABS(R310+S310-T310)&gt;P_Tol,ABS(U310+V310-W310)&gt;P_Tol,ABS(X310+Y310-Z310)&gt;P_Tol),1,0),1))</f>
        <v/>
      </c>
      <c r="BP310" s="124" t="str">
        <f>IF($B310="","",IFERROR(IF(OR(ABS(AR310-SUM(AB310:AM310))&gt;P_Tol,ABS(AS310-(AN310+AO310+AP310+AQ310))&gt;P_Tol),1,0),1))</f>
        <v/>
      </c>
      <c r="BQ310" s="124" t="str">
        <f>IF($B310="","",IFERROR(IF(ABS(AT310)+ABS(AV310)+ABS(AW310)+ABS(AX310)+ABS(AY310)+ABS(AZ310)+ABS(BA310)+ABS(BB310)&gt;0,1,0),1))</f>
        <v/>
      </c>
      <c r="BR310" s="124" t="str">
        <f>IF($B310="","",COUNTIF(STG_ZPMW03!$B$6:$B$505,B310))</f>
        <v/>
      </c>
      <c r="BS310" s="124" t="str">
        <f>IF($B310="","",COUNTIF($B$6:$B$505,B310))</f>
        <v/>
      </c>
      <c r="BT310" s="124" t="str">
        <f>IF($B310="","",IF(BR310=0,0,IF(INDEX(STG_ZPMW03!$I$6:$I$505,MATCH(B310,STG_ZPMW03!$B$6:$B$505,0))=J310&amp;"",0,1)))</f>
        <v/>
      </c>
      <c r="BU310" s="124" t="str">
        <f>IF($B310="","",IFERROR(IF(ABS(INDEX(Mapping!$D$5:$D$104,MATCH(B310,Mapping!$A$5:$A$104,0))-Q310)&gt;P_Tol,1,0),0))</f>
        <v/>
      </c>
      <c r="BV310" s="124" t="str">
        <f>IF($B310="","",IFERROR(IF(AND(INDEX(Mapping!$G$5:$G$104,MATCH(B310,Mapping!$A$5:$A$104,0))="Nee",ABS(Q310)+ABS(Z310)+ABS(AR310)&gt;0),1,0),0))</f>
        <v/>
      </c>
      <c r="BW310" s="124" t="str">
        <f>IF($B310="","",IF(COUNTIF(Mapping!$A$5:$A$104,B310)&gt;0,1,0))</f>
        <v/>
      </c>
      <c r="BX310" s="124" t="str">
        <f>IF($B310="","",IF(BR310=0,COUNTIF($BR$6:BR310,0),""))</f>
        <v/>
      </c>
    </row>
    <row r="311">
      <c r="A311" s="15" t="n">
        <v>307</v>
      </c>
      <c r="B311" t="str">
        <f>IF(B$3=0,"",IF(INDEX(SRC_Woningetalage!$A$1:$ZZ$501,$A311,B$3)&amp;""="","",INDEX(SRC_Woningetalage!$A$1:$ZZ$501,$A311,B$3)&amp;""))</f>
        <v/>
      </c>
      <c r="C311" t="str">
        <f>IF($B311="","",IF(C$3=0,"n.b.",INDEX(SRC_Woningetalage!$A$1:$ZZ$501,$A311,C$3)))</f>
        <v/>
      </c>
      <c r="D311" t="str">
        <f>IF($B311="","",IF(D$3=0,"n.b.",INDEX(SRC_Woningetalage!$A$1:$ZZ$501,$A311,D$3)))</f>
        <v/>
      </c>
      <c r="E311" t="str">
        <f>IF($B311="","",IF(E$3=0,"n.b.",INDEX(SRC_Woningetalage!$A$1:$ZZ$501,$A311,E$3)))</f>
        <v/>
      </c>
      <c r="F311" t="str">
        <f>IF($B311="","",IF(F$3=0,"n.b.",INDEX(SRC_Woningetalage!$A$1:$ZZ$501,$A311,F$3)))</f>
        <v/>
      </c>
      <c r="G311" t="str">
        <f>IF($B311="","",IF(G$3=0,"n.b.",INDEX(SRC_Woningetalage!$A$1:$ZZ$501,$A311,G$3)))</f>
        <v/>
      </c>
      <c r="H311" t="str">
        <f>IF($B311="","",IF(H$3=0,"n.b.",INDEX(SRC_Woningetalage!$A$1:$ZZ$501,$A311,H$3)))</f>
        <v/>
      </c>
      <c r="I311" t="str">
        <f>IF($B311="","",IF(I$3=0,"n.b.",INDEX(SRC_Woningetalage!$A$1:$ZZ$501,$A311,I$3)))</f>
        <v/>
      </c>
      <c r="J311" t="str">
        <f>IF($B311="","",IF(J$3=0,"n.b.",INDEX(SRC_Woningetalage!$A$1:$ZZ$501,$A311,J$3)))</f>
        <v/>
      </c>
      <c r="K311" t="str">
        <f>IF($B311="","",IF(K$3=0,"n.b.",INDEX(SRC_Woningetalage!$A$1:$ZZ$501,$A311,K$3)))</f>
        <v/>
      </c>
      <c r="L311" t="str">
        <f>IF($B311="","",IF(L$3=0,"n.b.",INDEX(SRC_Woningetalage!$A$1:$ZZ$501,$A311,L$3)))</f>
        <v/>
      </c>
      <c r="M311" t="str">
        <f>IF($B311="","",IF(M$3=0,"n.b.",INDEX(SRC_Woningetalage!$A$1:$ZZ$501,$A311,M$3)))</f>
        <v/>
      </c>
      <c r="N311" t="str">
        <f>IF($B311="","",IF(N$3=0,"n.b.",INDEX(SRC_Woningetalage!$A$1:$ZZ$501,$A311,N$3)))</f>
        <v/>
      </c>
      <c r="O311" t="str">
        <f>IF($B311="","",IF(O$3=0,"n.b.",INDEX(SRC_Woningetalage!$A$1:$ZZ$501,$A311,O$3)))</f>
        <v/>
      </c>
      <c r="P311" t="str">
        <f>IF($B311="","",IF(P$3=0,"n.b.",INDEX(SRC_Woningetalage!$A$1:$ZZ$501,$A311,P$3)))</f>
        <v/>
      </c>
      <c r="Q311" s="124" t="str">
        <f>IF($B311="","",IF(Q$3=0,"n.b.",INDEX(SRC_Woningetalage!$A$1:$ZZ$501,$A311,Q$3)))</f>
        <v/>
      </c>
      <c r="R311" s="124" t="str">
        <f>IF($B311="","",IF(R$3=0,"n.b.",INDEX(SRC_Woningetalage!$A$1:$ZZ$501,$A311,R$3)))</f>
        <v/>
      </c>
      <c r="S311" s="124" t="str">
        <f>IF($B311="","",IF(S$3=0,"n.b.",INDEX(SRC_Woningetalage!$A$1:$ZZ$501,$A311,S$3)))</f>
        <v/>
      </c>
      <c r="T311" s="124" t="str">
        <f>IF($B311="","",IF(T$3=0,"n.b.",INDEX(SRC_Woningetalage!$A$1:$ZZ$501,$A311,T$3)))</f>
        <v/>
      </c>
      <c r="U311" s="124" t="str">
        <f>IF($B311="","",IF(U$3=0,"n.b.",INDEX(SRC_Woningetalage!$A$1:$ZZ$501,$A311,U$3)))</f>
        <v/>
      </c>
      <c r="V311" s="124" t="str">
        <f>IF($B311="","",IF(V$3=0,"n.b.",INDEX(SRC_Woningetalage!$A$1:$ZZ$501,$A311,V$3)))</f>
        <v/>
      </c>
      <c r="W311" s="124" t="str">
        <f>IF($B311="","",IF(W$3=0,"n.b.",INDEX(SRC_Woningetalage!$A$1:$ZZ$501,$A311,W$3)))</f>
        <v/>
      </c>
      <c r="X311" s="124" t="str">
        <f>IF($B311="","",IF(X$3=0,"n.b.",INDEX(SRC_Woningetalage!$A$1:$ZZ$501,$A311,X$3)))</f>
        <v/>
      </c>
      <c r="Y311" s="124" t="str">
        <f>IF($B311="","",IF(Y$3=0,"n.b.",INDEX(SRC_Woningetalage!$A$1:$ZZ$501,$A311,Y$3)))</f>
        <v/>
      </c>
      <c r="Z311" s="124" t="str">
        <f>IF($B311="","",IF(Z$3=0,"n.b.",INDEX(SRC_Woningetalage!$A$1:$ZZ$501,$A311,Z$3)))</f>
        <v/>
      </c>
      <c r="AA311" s="124" t="str">
        <f>IF($B311="","",IF(AA$3=0,"n.b.",INDEX(SRC_Woningetalage!$A$1:$ZZ$501,$A311,AA$3)))</f>
        <v/>
      </c>
      <c r="AB311" s="124" t="str">
        <f>IF($B311="","",IF(AB$3=0,"n.b.",INDEX(SRC_Woningetalage!$A$1:$ZZ$501,$A311,AB$3)))</f>
        <v/>
      </c>
      <c r="AC311" s="124" t="str">
        <f>IF($B311="","",IF(AC$3=0,"n.b.",INDEX(SRC_Woningetalage!$A$1:$ZZ$501,$A311,AC$3)))</f>
        <v/>
      </c>
      <c r="AD311" s="124" t="str">
        <f>IF($B311="","",IF(AD$3=0,"n.b.",INDEX(SRC_Woningetalage!$A$1:$ZZ$501,$A311,AD$3)))</f>
        <v/>
      </c>
      <c r="AE311" s="124" t="str">
        <f>IF($B311="","",IF(AE$3=0,"n.b.",INDEX(SRC_Woningetalage!$A$1:$ZZ$501,$A311,AE$3)))</f>
        <v/>
      </c>
      <c r="AF311" s="124" t="str">
        <f>IF($B311="","",IF(AF$3=0,"n.b.",INDEX(SRC_Woningetalage!$A$1:$ZZ$501,$A311,AF$3)))</f>
        <v/>
      </c>
      <c r="AG311" s="124" t="str">
        <f>IF($B311="","",IF(AG$3=0,"n.b.",INDEX(SRC_Woningetalage!$A$1:$ZZ$501,$A311,AG$3)))</f>
        <v/>
      </c>
      <c r="AH311" s="124" t="str">
        <f>IF($B311="","",IF(AH$3=0,"n.b.",INDEX(SRC_Woningetalage!$A$1:$ZZ$501,$A311,AH$3)))</f>
        <v/>
      </c>
      <c r="AI311" s="124" t="str">
        <f>IF($B311="","",IF(AI$3=0,"n.b.",INDEX(SRC_Woningetalage!$A$1:$ZZ$501,$A311,AI$3)))</f>
        <v/>
      </c>
      <c r="AJ311" s="124" t="str">
        <f>IF($B311="","",IF(AJ$3=0,"n.b.",INDEX(SRC_Woningetalage!$A$1:$ZZ$501,$A311,AJ$3)))</f>
        <v/>
      </c>
      <c r="AK311" s="124" t="str">
        <f>IF($B311="","",IF(AK$3=0,"n.b.",INDEX(SRC_Woningetalage!$A$1:$ZZ$501,$A311,AK$3)))</f>
        <v/>
      </c>
      <c r="AL311" s="124" t="str">
        <f>IF($B311="","",IF(AL$3=0,"n.b.",INDEX(SRC_Woningetalage!$A$1:$ZZ$501,$A311,AL$3)))</f>
        <v/>
      </c>
      <c r="AM311" s="124" t="str">
        <f>IF($B311="","",IF(AM$3=0,"n.b.",INDEX(SRC_Woningetalage!$A$1:$ZZ$501,$A311,AM$3)))</f>
        <v/>
      </c>
      <c r="AN311" s="124" t="str">
        <f>IF($B311="","",IF(AN$3=0,"n.b.",INDEX(SRC_Woningetalage!$A$1:$ZZ$501,$A311,AN$3)))</f>
        <v/>
      </c>
      <c r="AO311" s="124" t="str">
        <f>IF($B311="","",IF(AO$3=0,"n.b.",INDEX(SRC_Woningetalage!$A$1:$ZZ$501,$A311,AO$3)))</f>
        <v/>
      </c>
      <c r="AP311" s="124" t="str">
        <f>IF($B311="","",IF(AP$3=0,"n.b.",INDEX(SRC_Woningetalage!$A$1:$ZZ$501,$A311,AP$3)))</f>
        <v/>
      </c>
      <c r="AQ311" s="124" t="str">
        <f>IF($B311="","",IF(AQ$3=0,"n.b.",INDEX(SRC_Woningetalage!$A$1:$ZZ$501,$A311,AQ$3)))</f>
        <v/>
      </c>
      <c r="AR311" s="124" t="str">
        <f>IF($B311="","",IF(AR$3=0,"n.b.",INDEX(SRC_Woningetalage!$A$1:$ZZ$501,$A311,AR$3)))</f>
        <v/>
      </c>
      <c r="AS311" s="124" t="str">
        <f>IF($B311="","",IF(AS$3=0,"n.b.",INDEX(SRC_Woningetalage!$A$1:$ZZ$501,$A311,AS$3)))</f>
        <v/>
      </c>
      <c r="AT311" s="124" t="str">
        <f>IF($B311="","",IF(AT$3=0,"n.b.",INDEX(SRC_Woningetalage!$A$1:$ZZ$501,$A311,AT$3)))</f>
        <v/>
      </c>
      <c r="AU311" s="124" t="str">
        <f>IF($B311="","",IF(AU$3=0,"n.b.",INDEX(SRC_Woningetalage!$A$1:$ZZ$501,$A311,AU$3)))</f>
        <v/>
      </c>
      <c r="AV311" s="124" t="str">
        <f>IF($B311="","",IF(AV$3=0,"n.b.",INDEX(SRC_Woningetalage!$A$1:$ZZ$501,$A311,AV$3)))</f>
        <v/>
      </c>
      <c r="AW311" s="124" t="str">
        <f>IF($B311="","",IF(AW$3=0,"n.b.",INDEX(SRC_Woningetalage!$A$1:$ZZ$501,$A311,AW$3)))</f>
        <v/>
      </c>
      <c r="AX311" s="124" t="str">
        <f>IF($B311="","",IF(AX$3=0,"n.b.",INDEX(SRC_Woningetalage!$A$1:$ZZ$501,$A311,AX$3)))</f>
        <v/>
      </c>
      <c r="AY311" s="124" t="str">
        <f>IF($B311="","",IF(AY$3=0,"n.b.",INDEX(SRC_Woningetalage!$A$1:$ZZ$501,$A311,AY$3)))</f>
        <v/>
      </c>
      <c r="AZ311" s="124" t="str">
        <f>IF($B311="","",IF(AZ$3=0,"n.b.",INDEX(SRC_Woningetalage!$A$1:$ZZ$501,$A311,AZ$3)))</f>
        <v/>
      </c>
      <c r="BA311" s="124" t="str">
        <f>IF($B311="","",IF(BA$3=0,"n.b.",INDEX(SRC_Woningetalage!$A$1:$ZZ$501,$A311,BA$3)))</f>
        <v/>
      </c>
      <c r="BB311" s="124" t="str">
        <f>IF($B311="","",IF(BB$3=0,"n.b.",INDEX(SRC_Woningetalage!$A$1:$ZZ$501,$A311,BB$3)))</f>
        <v/>
      </c>
      <c r="BC311" s="124" t="str">
        <f>IF($B311="","",IFERROR(_xlfn.NUMBERVALUE(E311&amp;"",",","."),"n.b."))</f>
        <v/>
      </c>
      <c r="BD311" s="124" t="str">
        <f>IF($B311="","",IFERROR(_xlfn.NUMBERVALUE(M311&amp;"",",","."),"n.b."))</f>
        <v/>
      </c>
      <c r="BE311" s="124" t="str">
        <f>IF($B311="","",IFERROR(AB311+AC311+AD311,"n.b."))</f>
        <v/>
      </c>
      <c r="BF311" s="124" t="str">
        <f>IF($B311="","",IFERROR(AE311+AF311+AG311,"n.b."))</f>
        <v/>
      </c>
      <c r="BG311" s="124" t="str">
        <f>IF($B311="","",IFERROR(AH311+AI311+AJ311,"n.b."))</f>
        <v/>
      </c>
      <c r="BH311" s="124" t="str">
        <f>IF($B311="","",IFERROR(AK311+AL311+AM311,"n.b."))</f>
        <v/>
      </c>
      <c r="BI311" s="124" t="str">
        <f>IF($B311="","",IFERROR(SUMIF($AB$5:$AM$5,"&lt;="&amp;P_PeilMaand,AB311:AM311),"n.b."))</f>
        <v/>
      </c>
      <c r="BJ311" s="124" t="str">
        <f>IF($B311="","",IFERROR(SUM(AB311:AM311)-BI311,"n.b."))</f>
        <v/>
      </c>
      <c r="BK311" s="124" t="str">
        <f>IF($B311="","",IFERROR(IF(ABS(Q311-(T311+SUM(AB311:AM311)+AS311+AU311))&gt;P_Tol,1,0),1))</f>
        <v/>
      </c>
      <c r="BL311" s="124" t="str">
        <f>IF($B311="","",IFERROR(IF(ABS(AA311-(Q311-Z311))&gt;P_Tol,1,0),1))</f>
        <v/>
      </c>
      <c r="BM311" s="124" t="str">
        <f>IF($B311="","",IFERROR(IF(ABS(Z311-(T311+W311))&gt;P_Tol,1,0),1))</f>
        <v/>
      </c>
      <c r="BN311" s="124" t="str">
        <f>IF($B311="","",IFERROR(IF(ABS(W311-BI311)&gt;P_Tol,1,0),1))</f>
        <v/>
      </c>
      <c r="BO311" s="124" t="str">
        <f>IF($B311="","",IFERROR(IF(OR(ABS(R311+S311-T311)&gt;P_Tol,ABS(U311+V311-W311)&gt;P_Tol,ABS(X311+Y311-Z311)&gt;P_Tol),1,0),1))</f>
        <v/>
      </c>
      <c r="BP311" s="124" t="str">
        <f>IF($B311="","",IFERROR(IF(OR(ABS(AR311-SUM(AB311:AM311))&gt;P_Tol,ABS(AS311-(AN311+AO311+AP311+AQ311))&gt;P_Tol),1,0),1))</f>
        <v/>
      </c>
      <c r="BQ311" s="124" t="str">
        <f>IF($B311="","",IFERROR(IF(ABS(AT311)+ABS(AV311)+ABS(AW311)+ABS(AX311)+ABS(AY311)+ABS(AZ311)+ABS(BA311)+ABS(BB311)&gt;0,1,0),1))</f>
        <v/>
      </c>
      <c r="BR311" s="124" t="str">
        <f>IF($B311="","",COUNTIF(STG_ZPMW03!$B$6:$B$505,B311))</f>
        <v/>
      </c>
      <c r="BS311" s="124" t="str">
        <f>IF($B311="","",COUNTIF($B$6:$B$505,B311))</f>
        <v/>
      </c>
      <c r="BT311" s="124" t="str">
        <f>IF($B311="","",IF(BR311=0,0,IF(INDEX(STG_ZPMW03!$I$6:$I$505,MATCH(B311,STG_ZPMW03!$B$6:$B$505,0))=J311&amp;"",0,1)))</f>
        <v/>
      </c>
      <c r="BU311" s="124" t="str">
        <f>IF($B311="","",IFERROR(IF(ABS(INDEX(Mapping!$D$5:$D$104,MATCH(B311,Mapping!$A$5:$A$104,0))-Q311)&gt;P_Tol,1,0),0))</f>
        <v/>
      </c>
      <c r="BV311" s="124" t="str">
        <f>IF($B311="","",IFERROR(IF(AND(INDEX(Mapping!$G$5:$G$104,MATCH(B311,Mapping!$A$5:$A$104,0))="Nee",ABS(Q311)+ABS(Z311)+ABS(AR311)&gt;0),1,0),0))</f>
        <v/>
      </c>
      <c r="BW311" s="124" t="str">
        <f>IF($B311="","",IF(COUNTIF(Mapping!$A$5:$A$104,B311)&gt;0,1,0))</f>
        <v/>
      </c>
      <c r="BX311" s="124" t="str">
        <f>IF($B311="","",IF(BR311=0,COUNTIF($BR$6:BR311,0),""))</f>
        <v/>
      </c>
    </row>
    <row r="312">
      <c r="A312" s="15" t="n">
        <v>308</v>
      </c>
      <c r="B312" t="str">
        <f>IF(B$3=0,"",IF(INDEX(SRC_Woningetalage!$A$1:$ZZ$501,$A312,B$3)&amp;""="","",INDEX(SRC_Woningetalage!$A$1:$ZZ$501,$A312,B$3)&amp;""))</f>
        <v/>
      </c>
      <c r="C312" t="str">
        <f>IF($B312="","",IF(C$3=0,"n.b.",INDEX(SRC_Woningetalage!$A$1:$ZZ$501,$A312,C$3)))</f>
        <v/>
      </c>
      <c r="D312" t="str">
        <f>IF($B312="","",IF(D$3=0,"n.b.",INDEX(SRC_Woningetalage!$A$1:$ZZ$501,$A312,D$3)))</f>
        <v/>
      </c>
      <c r="E312" t="str">
        <f>IF($B312="","",IF(E$3=0,"n.b.",INDEX(SRC_Woningetalage!$A$1:$ZZ$501,$A312,E$3)))</f>
        <v/>
      </c>
      <c r="F312" t="str">
        <f>IF($B312="","",IF(F$3=0,"n.b.",INDEX(SRC_Woningetalage!$A$1:$ZZ$501,$A312,F$3)))</f>
        <v/>
      </c>
      <c r="G312" t="str">
        <f>IF($B312="","",IF(G$3=0,"n.b.",INDEX(SRC_Woningetalage!$A$1:$ZZ$501,$A312,G$3)))</f>
        <v/>
      </c>
      <c r="H312" t="str">
        <f>IF($B312="","",IF(H$3=0,"n.b.",INDEX(SRC_Woningetalage!$A$1:$ZZ$501,$A312,H$3)))</f>
        <v/>
      </c>
      <c r="I312" t="str">
        <f>IF($B312="","",IF(I$3=0,"n.b.",INDEX(SRC_Woningetalage!$A$1:$ZZ$501,$A312,I$3)))</f>
        <v/>
      </c>
      <c r="J312" t="str">
        <f>IF($B312="","",IF(J$3=0,"n.b.",INDEX(SRC_Woningetalage!$A$1:$ZZ$501,$A312,J$3)))</f>
        <v/>
      </c>
      <c r="K312" t="str">
        <f>IF($B312="","",IF(K$3=0,"n.b.",INDEX(SRC_Woningetalage!$A$1:$ZZ$501,$A312,K$3)))</f>
        <v/>
      </c>
      <c r="L312" t="str">
        <f>IF($B312="","",IF(L$3=0,"n.b.",INDEX(SRC_Woningetalage!$A$1:$ZZ$501,$A312,L$3)))</f>
        <v/>
      </c>
      <c r="M312" t="str">
        <f>IF($B312="","",IF(M$3=0,"n.b.",INDEX(SRC_Woningetalage!$A$1:$ZZ$501,$A312,M$3)))</f>
        <v/>
      </c>
      <c r="N312" t="str">
        <f>IF($B312="","",IF(N$3=0,"n.b.",INDEX(SRC_Woningetalage!$A$1:$ZZ$501,$A312,N$3)))</f>
        <v/>
      </c>
      <c r="O312" t="str">
        <f>IF($B312="","",IF(O$3=0,"n.b.",INDEX(SRC_Woningetalage!$A$1:$ZZ$501,$A312,O$3)))</f>
        <v/>
      </c>
      <c r="P312" t="str">
        <f>IF($B312="","",IF(P$3=0,"n.b.",INDEX(SRC_Woningetalage!$A$1:$ZZ$501,$A312,P$3)))</f>
        <v/>
      </c>
      <c r="Q312" s="124" t="str">
        <f>IF($B312="","",IF(Q$3=0,"n.b.",INDEX(SRC_Woningetalage!$A$1:$ZZ$501,$A312,Q$3)))</f>
        <v/>
      </c>
      <c r="R312" s="124" t="str">
        <f>IF($B312="","",IF(R$3=0,"n.b.",INDEX(SRC_Woningetalage!$A$1:$ZZ$501,$A312,R$3)))</f>
        <v/>
      </c>
      <c r="S312" s="124" t="str">
        <f>IF($B312="","",IF(S$3=0,"n.b.",INDEX(SRC_Woningetalage!$A$1:$ZZ$501,$A312,S$3)))</f>
        <v/>
      </c>
      <c r="T312" s="124" t="str">
        <f>IF($B312="","",IF(T$3=0,"n.b.",INDEX(SRC_Woningetalage!$A$1:$ZZ$501,$A312,T$3)))</f>
        <v/>
      </c>
      <c r="U312" s="124" t="str">
        <f>IF($B312="","",IF(U$3=0,"n.b.",INDEX(SRC_Woningetalage!$A$1:$ZZ$501,$A312,U$3)))</f>
        <v/>
      </c>
      <c r="V312" s="124" t="str">
        <f>IF($B312="","",IF(V$3=0,"n.b.",INDEX(SRC_Woningetalage!$A$1:$ZZ$501,$A312,V$3)))</f>
        <v/>
      </c>
      <c r="W312" s="124" t="str">
        <f>IF($B312="","",IF(W$3=0,"n.b.",INDEX(SRC_Woningetalage!$A$1:$ZZ$501,$A312,W$3)))</f>
        <v/>
      </c>
      <c r="X312" s="124" t="str">
        <f>IF($B312="","",IF(X$3=0,"n.b.",INDEX(SRC_Woningetalage!$A$1:$ZZ$501,$A312,X$3)))</f>
        <v/>
      </c>
      <c r="Y312" s="124" t="str">
        <f>IF($B312="","",IF(Y$3=0,"n.b.",INDEX(SRC_Woningetalage!$A$1:$ZZ$501,$A312,Y$3)))</f>
        <v/>
      </c>
      <c r="Z312" s="124" t="str">
        <f>IF($B312="","",IF(Z$3=0,"n.b.",INDEX(SRC_Woningetalage!$A$1:$ZZ$501,$A312,Z$3)))</f>
        <v/>
      </c>
      <c r="AA312" s="124" t="str">
        <f>IF($B312="","",IF(AA$3=0,"n.b.",INDEX(SRC_Woningetalage!$A$1:$ZZ$501,$A312,AA$3)))</f>
        <v/>
      </c>
      <c r="AB312" s="124" t="str">
        <f>IF($B312="","",IF(AB$3=0,"n.b.",INDEX(SRC_Woningetalage!$A$1:$ZZ$501,$A312,AB$3)))</f>
        <v/>
      </c>
      <c r="AC312" s="124" t="str">
        <f>IF($B312="","",IF(AC$3=0,"n.b.",INDEX(SRC_Woningetalage!$A$1:$ZZ$501,$A312,AC$3)))</f>
        <v/>
      </c>
      <c r="AD312" s="124" t="str">
        <f>IF($B312="","",IF(AD$3=0,"n.b.",INDEX(SRC_Woningetalage!$A$1:$ZZ$501,$A312,AD$3)))</f>
        <v/>
      </c>
      <c r="AE312" s="124" t="str">
        <f>IF($B312="","",IF(AE$3=0,"n.b.",INDEX(SRC_Woningetalage!$A$1:$ZZ$501,$A312,AE$3)))</f>
        <v/>
      </c>
      <c r="AF312" s="124" t="str">
        <f>IF($B312="","",IF(AF$3=0,"n.b.",INDEX(SRC_Woningetalage!$A$1:$ZZ$501,$A312,AF$3)))</f>
        <v/>
      </c>
      <c r="AG312" s="124" t="str">
        <f>IF($B312="","",IF(AG$3=0,"n.b.",INDEX(SRC_Woningetalage!$A$1:$ZZ$501,$A312,AG$3)))</f>
        <v/>
      </c>
      <c r="AH312" s="124" t="str">
        <f>IF($B312="","",IF(AH$3=0,"n.b.",INDEX(SRC_Woningetalage!$A$1:$ZZ$501,$A312,AH$3)))</f>
        <v/>
      </c>
      <c r="AI312" s="124" t="str">
        <f>IF($B312="","",IF(AI$3=0,"n.b.",INDEX(SRC_Woningetalage!$A$1:$ZZ$501,$A312,AI$3)))</f>
        <v/>
      </c>
      <c r="AJ312" s="124" t="str">
        <f>IF($B312="","",IF(AJ$3=0,"n.b.",INDEX(SRC_Woningetalage!$A$1:$ZZ$501,$A312,AJ$3)))</f>
        <v/>
      </c>
      <c r="AK312" s="124" t="str">
        <f>IF($B312="","",IF(AK$3=0,"n.b.",INDEX(SRC_Woningetalage!$A$1:$ZZ$501,$A312,AK$3)))</f>
        <v/>
      </c>
      <c r="AL312" s="124" t="str">
        <f>IF($B312="","",IF(AL$3=0,"n.b.",INDEX(SRC_Woningetalage!$A$1:$ZZ$501,$A312,AL$3)))</f>
        <v/>
      </c>
      <c r="AM312" s="124" t="str">
        <f>IF($B312="","",IF(AM$3=0,"n.b.",INDEX(SRC_Woningetalage!$A$1:$ZZ$501,$A312,AM$3)))</f>
        <v/>
      </c>
      <c r="AN312" s="124" t="str">
        <f>IF($B312="","",IF(AN$3=0,"n.b.",INDEX(SRC_Woningetalage!$A$1:$ZZ$501,$A312,AN$3)))</f>
        <v/>
      </c>
      <c r="AO312" s="124" t="str">
        <f>IF($B312="","",IF(AO$3=0,"n.b.",INDEX(SRC_Woningetalage!$A$1:$ZZ$501,$A312,AO$3)))</f>
        <v/>
      </c>
      <c r="AP312" s="124" t="str">
        <f>IF($B312="","",IF(AP$3=0,"n.b.",INDEX(SRC_Woningetalage!$A$1:$ZZ$501,$A312,AP$3)))</f>
        <v/>
      </c>
      <c r="AQ312" s="124" t="str">
        <f>IF($B312="","",IF(AQ$3=0,"n.b.",INDEX(SRC_Woningetalage!$A$1:$ZZ$501,$A312,AQ$3)))</f>
        <v/>
      </c>
      <c r="AR312" s="124" t="str">
        <f>IF($B312="","",IF(AR$3=0,"n.b.",INDEX(SRC_Woningetalage!$A$1:$ZZ$501,$A312,AR$3)))</f>
        <v/>
      </c>
      <c r="AS312" s="124" t="str">
        <f>IF($B312="","",IF(AS$3=0,"n.b.",INDEX(SRC_Woningetalage!$A$1:$ZZ$501,$A312,AS$3)))</f>
        <v/>
      </c>
      <c r="AT312" s="124" t="str">
        <f>IF($B312="","",IF(AT$3=0,"n.b.",INDEX(SRC_Woningetalage!$A$1:$ZZ$501,$A312,AT$3)))</f>
        <v/>
      </c>
      <c r="AU312" s="124" t="str">
        <f>IF($B312="","",IF(AU$3=0,"n.b.",INDEX(SRC_Woningetalage!$A$1:$ZZ$501,$A312,AU$3)))</f>
        <v/>
      </c>
      <c r="AV312" s="124" t="str">
        <f>IF($B312="","",IF(AV$3=0,"n.b.",INDEX(SRC_Woningetalage!$A$1:$ZZ$501,$A312,AV$3)))</f>
        <v/>
      </c>
      <c r="AW312" s="124" t="str">
        <f>IF($B312="","",IF(AW$3=0,"n.b.",INDEX(SRC_Woningetalage!$A$1:$ZZ$501,$A312,AW$3)))</f>
        <v/>
      </c>
      <c r="AX312" s="124" t="str">
        <f>IF($B312="","",IF(AX$3=0,"n.b.",INDEX(SRC_Woningetalage!$A$1:$ZZ$501,$A312,AX$3)))</f>
        <v/>
      </c>
      <c r="AY312" s="124" t="str">
        <f>IF($B312="","",IF(AY$3=0,"n.b.",INDEX(SRC_Woningetalage!$A$1:$ZZ$501,$A312,AY$3)))</f>
        <v/>
      </c>
      <c r="AZ312" s="124" t="str">
        <f>IF($B312="","",IF(AZ$3=0,"n.b.",INDEX(SRC_Woningetalage!$A$1:$ZZ$501,$A312,AZ$3)))</f>
        <v/>
      </c>
      <c r="BA312" s="124" t="str">
        <f>IF($B312="","",IF(BA$3=0,"n.b.",INDEX(SRC_Woningetalage!$A$1:$ZZ$501,$A312,BA$3)))</f>
        <v/>
      </c>
      <c r="BB312" s="124" t="str">
        <f>IF($B312="","",IF(BB$3=0,"n.b.",INDEX(SRC_Woningetalage!$A$1:$ZZ$501,$A312,BB$3)))</f>
        <v/>
      </c>
      <c r="BC312" s="124" t="str">
        <f>IF($B312="","",IFERROR(_xlfn.NUMBERVALUE(E312&amp;"",",","."),"n.b."))</f>
        <v/>
      </c>
      <c r="BD312" s="124" t="str">
        <f>IF($B312="","",IFERROR(_xlfn.NUMBERVALUE(M312&amp;"",",","."),"n.b."))</f>
        <v/>
      </c>
      <c r="BE312" s="124" t="str">
        <f>IF($B312="","",IFERROR(AB312+AC312+AD312,"n.b."))</f>
        <v/>
      </c>
      <c r="BF312" s="124" t="str">
        <f>IF($B312="","",IFERROR(AE312+AF312+AG312,"n.b."))</f>
        <v/>
      </c>
      <c r="BG312" s="124" t="str">
        <f>IF($B312="","",IFERROR(AH312+AI312+AJ312,"n.b."))</f>
        <v/>
      </c>
      <c r="BH312" s="124" t="str">
        <f>IF($B312="","",IFERROR(AK312+AL312+AM312,"n.b."))</f>
        <v/>
      </c>
      <c r="BI312" s="124" t="str">
        <f>IF($B312="","",IFERROR(SUMIF($AB$5:$AM$5,"&lt;="&amp;P_PeilMaand,AB312:AM312),"n.b."))</f>
        <v/>
      </c>
      <c r="BJ312" s="124" t="str">
        <f>IF($B312="","",IFERROR(SUM(AB312:AM312)-BI312,"n.b."))</f>
        <v/>
      </c>
      <c r="BK312" s="124" t="str">
        <f>IF($B312="","",IFERROR(IF(ABS(Q312-(T312+SUM(AB312:AM312)+AS312+AU312))&gt;P_Tol,1,0),1))</f>
        <v/>
      </c>
      <c r="BL312" s="124" t="str">
        <f>IF($B312="","",IFERROR(IF(ABS(AA312-(Q312-Z312))&gt;P_Tol,1,0),1))</f>
        <v/>
      </c>
      <c r="BM312" s="124" t="str">
        <f>IF($B312="","",IFERROR(IF(ABS(Z312-(T312+W312))&gt;P_Tol,1,0),1))</f>
        <v/>
      </c>
      <c r="BN312" s="124" t="str">
        <f>IF($B312="","",IFERROR(IF(ABS(W312-BI312)&gt;P_Tol,1,0),1))</f>
        <v/>
      </c>
      <c r="BO312" s="124" t="str">
        <f>IF($B312="","",IFERROR(IF(OR(ABS(R312+S312-T312)&gt;P_Tol,ABS(U312+V312-W312)&gt;P_Tol,ABS(X312+Y312-Z312)&gt;P_Tol),1,0),1))</f>
        <v/>
      </c>
      <c r="BP312" s="124" t="str">
        <f>IF($B312="","",IFERROR(IF(OR(ABS(AR312-SUM(AB312:AM312))&gt;P_Tol,ABS(AS312-(AN312+AO312+AP312+AQ312))&gt;P_Tol),1,0),1))</f>
        <v/>
      </c>
      <c r="BQ312" s="124" t="str">
        <f>IF($B312="","",IFERROR(IF(ABS(AT312)+ABS(AV312)+ABS(AW312)+ABS(AX312)+ABS(AY312)+ABS(AZ312)+ABS(BA312)+ABS(BB312)&gt;0,1,0),1))</f>
        <v/>
      </c>
      <c r="BR312" s="124" t="str">
        <f>IF($B312="","",COUNTIF(STG_ZPMW03!$B$6:$B$505,B312))</f>
        <v/>
      </c>
      <c r="BS312" s="124" t="str">
        <f>IF($B312="","",COUNTIF($B$6:$B$505,B312))</f>
        <v/>
      </c>
      <c r="BT312" s="124" t="str">
        <f>IF($B312="","",IF(BR312=0,0,IF(INDEX(STG_ZPMW03!$I$6:$I$505,MATCH(B312,STG_ZPMW03!$B$6:$B$505,0))=J312&amp;"",0,1)))</f>
        <v/>
      </c>
      <c r="BU312" s="124" t="str">
        <f>IF($B312="","",IFERROR(IF(ABS(INDEX(Mapping!$D$5:$D$104,MATCH(B312,Mapping!$A$5:$A$104,0))-Q312)&gt;P_Tol,1,0),0))</f>
        <v/>
      </c>
      <c r="BV312" s="124" t="str">
        <f>IF($B312="","",IFERROR(IF(AND(INDEX(Mapping!$G$5:$G$104,MATCH(B312,Mapping!$A$5:$A$104,0))="Nee",ABS(Q312)+ABS(Z312)+ABS(AR312)&gt;0),1,0),0))</f>
        <v/>
      </c>
      <c r="BW312" s="124" t="str">
        <f>IF($B312="","",IF(COUNTIF(Mapping!$A$5:$A$104,B312)&gt;0,1,0))</f>
        <v/>
      </c>
      <c r="BX312" s="124" t="str">
        <f>IF($B312="","",IF(BR312=0,COUNTIF($BR$6:BR312,0),""))</f>
        <v/>
      </c>
    </row>
    <row r="313">
      <c r="A313" s="15" t="n">
        <v>309</v>
      </c>
      <c r="B313" t="str">
        <f>IF(B$3=0,"",IF(INDEX(SRC_Woningetalage!$A$1:$ZZ$501,$A313,B$3)&amp;""="","",INDEX(SRC_Woningetalage!$A$1:$ZZ$501,$A313,B$3)&amp;""))</f>
        <v/>
      </c>
      <c r="C313" t="str">
        <f>IF($B313="","",IF(C$3=0,"n.b.",INDEX(SRC_Woningetalage!$A$1:$ZZ$501,$A313,C$3)))</f>
        <v/>
      </c>
      <c r="D313" t="str">
        <f>IF($B313="","",IF(D$3=0,"n.b.",INDEX(SRC_Woningetalage!$A$1:$ZZ$501,$A313,D$3)))</f>
        <v/>
      </c>
      <c r="E313" t="str">
        <f>IF($B313="","",IF(E$3=0,"n.b.",INDEX(SRC_Woningetalage!$A$1:$ZZ$501,$A313,E$3)))</f>
        <v/>
      </c>
      <c r="F313" t="str">
        <f>IF($B313="","",IF(F$3=0,"n.b.",INDEX(SRC_Woningetalage!$A$1:$ZZ$501,$A313,F$3)))</f>
        <v/>
      </c>
      <c r="G313" t="str">
        <f>IF($B313="","",IF(G$3=0,"n.b.",INDEX(SRC_Woningetalage!$A$1:$ZZ$501,$A313,G$3)))</f>
        <v/>
      </c>
      <c r="H313" t="str">
        <f>IF($B313="","",IF(H$3=0,"n.b.",INDEX(SRC_Woningetalage!$A$1:$ZZ$501,$A313,H$3)))</f>
        <v/>
      </c>
      <c r="I313" t="str">
        <f>IF($B313="","",IF(I$3=0,"n.b.",INDEX(SRC_Woningetalage!$A$1:$ZZ$501,$A313,I$3)))</f>
        <v/>
      </c>
      <c r="J313" t="str">
        <f>IF($B313="","",IF(J$3=0,"n.b.",INDEX(SRC_Woningetalage!$A$1:$ZZ$501,$A313,J$3)))</f>
        <v/>
      </c>
      <c r="K313" t="str">
        <f>IF($B313="","",IF(K$3=0,"n.b.",INDEX(SRC_Woningetalage!$A$1:$ZZ$501,$A313,K$3)))</f>
        <v/>
      </c>
      <c r="L313" t="str">
        <f>IF($B313="","",IF(L$3=0,"n.b.",INDEX(SRC_Woningetalage!$A$1:$ZZ$501,$A313,L$3)))</f>
        <v/>
      </c>
      <c r="M313" t="str">
        <f>IF($B313="","",IF(M$3=0,"n.b.",INDEX(SRC_Woningetalage!$A$1:$ZZ$501,$A313,M$3)))</f>
        <v/>
      </c>
      <c r="N313" t="str">
        <f>IF($B313="","",IF(N$3=0,"n.b.",INDEX(SRC_Woningetalage!$A$1:$ZZ$501,$A313,N$3)))</f>
        <v/>
      </c>
      <c r="O313" t="str">
        <f>IF($B313="","",IF(O$3=0,"n.b.",INDEX(SRC_Woningetalage!$A$1:$ZZ$501,$A313,O$3)))</f>
        <v/>
      </c>
      <c r="P313" t="str">
        <f>IF($B313="","",IF(P$3=0,"n.b.",INDEX(SRC_Woningetalage!$A$1:$ZZ$501,$A313,P$3)))</f>
        <v/>
      </c>
      <c r="Q313" s="124" t="str">
        <f>IF($B313="","",IF(Q$3=0,"n.b.",INDEX(SRC_Woningetalage!$A$1:$ZZ$501,$A313,Q$3)))</f>
        <v/>
      </c>
      <c r="R313" s="124" t="str">
        <f>IF($B313="","",IF(R$3=0,"n.b.",INDEX(SRC_Woningetalage!$A$1:$ZZ$501,$A313,R$3)))</f>
        <v/>
      </c>
      <c r="S313" s="124" t="str">
        <f>IF($B313="","",IF(S$3=0,"n.b.",INDEX(SRC_Woningetalage!$A$1:$ZZ$501,$A313,S$3)))</f>
        <v/>
      </c>
      <c r="T313" s="124" t="str">
        <f>IF($B313="","",IF(T$3=0,"n.b.",INDEX(SRC_Woningetalage!$A$1:$ZZ$501,$A313,T$3)))</f>
        <v/>
      </c>
      <c r="U313" s="124" t="str">
        <f>IF($B313="","",IF(U$3=0,"n.b.",INDEX(SRC_Woningetalage!$A$1:$ZZ$501,$A313,U$3)))</f>
        <v/>
      </c>
      <c r="V313" s="124" t="str">
        <f>IF($B313="","",IF(V$3=0,"n.b.",INDEX(SRC_Woningetalage!$A$1:$ZZ$501,$A313,V$3)))</f>
        <v/>
      </c>
      <c r="W313" s="124" t="str">
        <f>IF($B313="","",IF(W$3=0,"n.b.",INDEX(SRC_Woningetalage!$A$1:$ZZ$501,$A313,W$3)))</f>
        <v/>
      </c>
      <c r="X313" s="124" t="str">
        <f>IF($B313="","",IF(X$3=0,"n.b.",INDEX(SRC_Woningetalage!$A$1:$ZZ$501,$A313,X$3)))</f>
        <v/>
      </c>
      <c r="Y313" s="124" t="str">
        <f>IF($B313="","",IF(Y$3=0,"n.b.",INDEX(SRC_Woningetalage!$A$1:$ZZ$501,$A313,Y$3)))</f>
        <v/>
      </c>
      <c r="Z313" s="124" t="str">
        <f>IF($B313="","",IF(Z$3=0,"n.b.",INDEX(SRC_Woningetalage!$A$1:$ZZ$501,$A313,Z$3)))</f>
        <v/>
      </c>
      <c r="AA313" s="124" t="str">
        <f>IF($B313="","",IF(AA$3=0,"n.b.",INDEX(SRC_Woningetalage!$A$1:$ZZ$501,$A313,AA$3)))</f>
        <v/>
      </c>
      <c r="AB313" s="124" t="str">
        <f>IF($B313="","",IF(AB$3=0,"n.b.",INDEX(SRC_Woningetalage!$A$1:$ZZ$501,$A313,AB$3)))</f>
        <v/>
      </c>
      <c r="AC313" s="124" t="str">
        <f>IF($B313="","",IF(AC$3=0,"n.b.",INDEX(SRC_Woningetalage!$A$1:$ZZ$501,$A313,AC$3)))</f>
        <v/>
      </c>
      <c r="AD313" s="124" t="str">
        <f>IF($B313="","",IF(AD$3=0,"n.b.",INDEX(SRC_Woningetalage!$A$1:$ZZ$501,$A313,AD$3)))</f>
        <v/>
      </c>
      <c r="AE313" s="124" t="str">
        <f>IF($B313="","",IF(AE$3=0,"n.b.",INDEX(SRC_Woningetalage!$A$1:$ZZ$501,$A313,AE$3)))</f>
        <v/>
      </c>
      <c r="AF313" s="124" t="str">
        <f>IF($B313="","",IF(AF$3=0,"n.b.",INDEX(SRC_Woningetalage!$A$1:$ZZ$501,$A313,AF$3)))</f>
        <v/>
      </c>
      <c r="AG313" s="124" t="str">
        <f>IF($B313="","",IF(AG$3=0,"n.b.",INDEX(SRC_Woningetalage!$A$1:$ZZ$501,$A313,AG$3)))</f>
        <v/>
      </c>
      <c r="AH313" s="124" t="str">
        <f>IF($B313="","",IF(AH$3=0,"n.b.",INDEX(SRC_Woningetalage!$A$1:$ZZ$501,$A313,AH$3)))</f>
        <v/>
      </c>
      <c r="AI313" s="124" t="str">
        <f>IF($B313="","",IF(AI$3=0,"n.b.",INDEX(SRC_Woningetalage!$A$1:$ZZ$501,$A313,AI$3)))</f>
        <v/>
      </c>
      <c r="AJ313" s="124" t="str">
        <f>IF($B313="","",IF(AJ$3=0,"n.b.",INDEX(SRC_Woningetalage!$A$1:$ZZ$501,$A313,AJ$3)))</f>
        <v/>
      </c>
      <c r="AK313" s="124" t="str">
        <f>IF($B313="","",IF(AK$3=0,"n.b.",INDEX(SRC_Woningetalage!$A$1:$ZZ$501,$A313,AK$3)))</f>
        <v/>
      </c>
      <c r="AL313" s="124" t="str">
        <f>IF($B313="","",IF(AL$3=0,"n.b.",INDEX(SRC_Woningetalage!$A$1:$ZZ$501,$A313,AL$3)))</f>
        <v/>
      </c>
      <c r="AM313" s="124" t="str">
        <f>IF($B313="","",IF(AM$3=0,"n.b.",INDEX(SRC_Woningetalage!$A$1:$ZZ$501,$A313,AM$3)))</f>
        <v/>
      </c>
      <c r="AN313" s="124" t="str">
        <f>IF($B313="","",IF(AN$3=0,"n.b.",INDEX(SRC_Woningetalage!$A$1:$ZZ$501,$A313,AN$3)))</f>
        <v/>
      </c>
      <c r="AO313" s="124" t="str">
        <f>IF($B313="","",IF(AO$3=0,"n.b.",INDEX(SRC_Woningetalage!$A$1:$ZZ$501,$A313,AO$3)))</f>
        <v/>
      </c>
      <c r="AP313" s="124" t="str">
        <f>IF($B313="","",IF(AP$3=0,"n.b.",INDEX(SRC_Woningetalage!$A$1:$ZZ$501,$A313,AP$3)))</f>
        <v/>
      </c>
      <c r="AQ313" s="124" t="str">
        <f>IF($B313="","",IF(AQ$3=0,"n.b.",INDEX(SRC_Woningetalage!$A$1:$ZZ$501,$A313,AQ$3)))</f>
        <v/>
      </c>
      <c r="AR313" s="124" t="str">
        <f>IF($B313="","",IF(AR$3=0,"n.b.",INDEX(SRC_Woningetalage!$A$1:$ZZ$501,$A313,AR$3)))</f>
        <v/>
      </c>
      <c r="AS313" s="124" t="str">
        <f>IF($B313="","",IF(AS$3=0,"n.b.",INDEX(SRC_Woningetalage!$A$1:$ZZ$501,$A313,AS$3)))</f>
        <v/>
      </c>
      <c r="AT313" s="124" t="str">
        <f>IF($B313="","",IF(AT$3=0,"n.b.",INDEX(SRC_Woningetalage!$A$1:$ZZ$501,$A313,AT$3)))</f>
        <v/>
      </c>
      <c r="AU313" s="124" t="str">
        <f>IF($B313="","",IF(AU$3=0,"n.b.",INDEX(SRC_Woningetalage!$A$1:$ZZ$501,$A313,AU$3)))</f>
        <v/>
      </c>
      <c r="AV313" s="124" t="str">
        <f>IF($B313="","",IF(AV$3=0,"n.b.",INDEX(SRC_Woningetalage!$A$1:$ZZ$501,$A313,AV$3)))</f>
        <v/>
      </c>
      <c r="AW313" s="124" t="str">
        <f>IF($B313="","",IF(AW$3=0,"n.b.",INDEX(SRC_Woningetalage!$A$1:$ZZ$501,$A313,AW$3)))</f>
        <v/>
      </c>
      <c r="AX313" s="124" t="str">
        <f>IF($B313="","",IF(AX$3=0,"n.b.",INDEX(SRC_Woningetalage!$A$1:$ZZ$501,$A313,AX$3)))</f>
        <v/>
      </c>
      <c r="AY313" s="124" t="str">
        <f>IF($B313="","",IF(AY$3=0,"n.b.",INDEX(SRC_Woningetalage!$A$1:$ZZ$501,$A313,AY$3)))</f>
        <v/>
      </c>
      <c r="AZ313" s="124" t="str">
        <f>IF($B313="","",IF(AZ$3=0,"n.b.",INDEX(SRC_Woningetalage!$A$1:$ZZ$501,$A313,AZ$3)))</f>
        <v/>
      </c>
      <c r="BA313" s="124" t="str">
        <f>IF($B313="","",IF(BA$3=0,"n.b.",INDEX(SRC_Woningetalage!$A$1:$ZZ$501,$A313,BA$3)))</f>
        <v/>
      </c>
      <c r="BB313" s="124" t="str">
        <f>IF($B313="","",IF(BB$3=0,"n.b.",INDEX(SRC_Woningetalage!$A$1:$ZZ$501,$A313,BB$3)))</f>
        <v/>
      </c>
      <c r="BC313" s="124" t="str">
        <f>IF($B313="","",IFERROR(_xlfn.NUMBERVALUE(E313&amp;"",",","."),"n.b."))</f>
        <v/>
      </c>
      <c r="BD313" s="124" t="str">
        <f>IF($B313="","",IFERROR(_xlfn.NUMBERVALUE(M313&amp;"",",","."),"n.b."))</f>
        <v/>
      </c>
      <c r="BE313" s="124" t="str">
        <f>IF($B313="","",IFERROR(AB313+AC313+AD313,"n.b."))</f>
        <v/>
      </c>
      <c r="BF313" s="124" t="str">
        <f>IF($B313="","",IFERROR(AE313+AF313+AG313,"n.b."))</f>
        <v/>
      </c>
      <c r="BG313" s="124" t="str">
        <f>IF($B313="","",IFERROR(AH313+AI313+AJ313,"n.b."))</f>
        <v/>
      </c>
      <c r="BH313" s="124" t="str">
        <f>IF($B313="","",IFERROR(AK313+AL313+AM313,"n.b."))</f>
        <v/>
      </c>
      <c r="BI313" s="124" t="str">
        <f>IF($B313="","",IFERROR(SUMIF($AB$5:$AM$5,"&lt;="&amp;P_PeilMaand,AB313:AM313),"n.b."))</f>
        <v/>
      </c>
      <c r="BJ313" s="124" t="str">
        <f>IF($B313="","",IFERROR(SUM(AB313:AM313)-BI313,"n.b."))</f>
        <v/>
      </c>
      <c r="BK313" s="124" t="str">
        <f>IF($B313="","",IFERROR(IF(ABS(Q313-(T313+SUM(AB313:AM313)+AS313+AU313))&gt;P_Tol,1,0),1))</f>
        <v/>
      </c>
      <c r="BL313" s="124" t="str">
        <f>IF($B313="","",IFERROR(IF(ABS(AA313-(Q313-Z313))&gt;P_Tol,1,0),1))</f>
        <v/>
      </c>
      <c r="BM313" s="124" t="str">
        <f>IF($B313="","",IFERROR(IF(ABS(Z313-(T313+W313))&gt;P_Tol,1,0),1))</f>
        <v/>
      </c>
      <c r="BN313" s="124" t="str">
        <f>IF($B313="","",IFERROR(IF(ABS(W313-BI313)&gt;P_Tol,1,0),1))</f>
        <v/>
      </c>
      <c r="BO313" s="124" t="str">
        <f>IF($B313="","",IFERROR(IF(OR(ABS(R313+S313-T313)&gt;P_Tol,ABS(U313+V313-W313)&gt;P_Tol,ABS(X313+Y313-Z313)&gt;P_Tol),1,0),1))</f>
        <v/>
      </c>
      <c r="BP313" s="124" t="str">
        <f>IF($B313="","",IFERROR(IF(OR(ABS(AR313-SUM(AB313:AM313))&gt;P_Tol,ABS(AS313-(AN313+AO313+AP313+AQ313))&gt;P_Tol),1,0),1))</f>
        <v/>
      </c>
      <c r="BQ313" s="124" t="str">
        <f>IF($B313="","",IFERROR(IF(ABS(AT313)+ABS(AV313)+ABS(AW313)+ABS(AX313)+ABS(AY313)+ABS(AZ313)+ABS(BA313)+ABS(BB313)&gt;0,1,0),1))</f>
        <v/>
      </c>
      <c r="BR313" s="124" t="str">
        <f>IF($B313="","",COUNTIF(STG_ZPMW03!$B$6:$B$505,B313))</f>
        <v/>
      </c>
      <c r="BS313" s="124" t="str">
        <f>IF($B313="","",COUNTIF($B$6:$B$505,B313))</f>
        <v/>
      </c>
      <c r="BT313" s="124" t="str">
        <f>IF($B313="","",IF(BR313=0,0,IF(INDEX(STG_ZPMW03!$I$6:$I$505,MATCH(B313,STG_ZPMW03!$B$6:$B$505,0))=J313&amp;"",0,1)))</f>
        <v/>
      </c>
      <c r="BU313" s="124" t="str">
        <f>IF($B313="","",IFERROR(IF(ABS(INDEX(Mapping!$D$5:$D$104,MATCH(B313,Mapping!$A$5:$A$104,0))-Q313)&gt;P_Tol,1,0),0))</f>
        <v/>
      </c>
      <c r="BV313" s="124" t="str">
        <f>IF($B313="","",IFERROR(IF(AND(INDEX(Mapping!$G$5:$G$104,MATCH(B313,Mapping!$A$5:$A$104,0))="Nee",ABS(Q313)+ABS(Z313)+ABS(AR313)&gt;0),1,0),0))</f>
        <v/>
      </c>
      <c r="BW313" s="124" t="str">
        <f>IF($B313="","",IF(COUNTIF(Mapping!$A$5:$A$104,B313)&gt;0,1,0))</f>
        <v/>
      </c>
      <c r="BX313" s="124" t="str">
        <f>IF($B313="","",IF(BR313=0,COUNTIF($BR$6:BR313,0),""))</f>
        <v/>
      </c>
    </row>
    <row r="314">
      <c r="A314" s="15" t="n">
        <v>310</v>
      </c>
      <c r="B314" t="str">
        <f>IF(B$3=0,"",IF(INDEX(SRC_Woningetalage!$A$1:$ZZ$501,$A314,B$3)&amp;""="","",INDEX(SRC_Woningetalage!$A$1:$ZZ$501,$A314,B$3)&amp;""))</f>
        <v/>
      </c>
      <c r="C314" t="str">
        <f>IF($B314="","",IF(C$3=0,"n.b.",INDEX(SRC_Woningetalage!$A$1:$ZZ$501,$A314,C$3)))</f>
        <v/>
      </c>
      <c r="D314" t="str">
        <f>IF($B314="","",IF(D$3=0,"n.b.",INDEX(SRC_Woningetalage!$A$1:$ZZ$501,$A314,D$3)))</f>
        <v/>
      </c>
      <c r="E314" t="str">
        <f>IF($B314="","",IF(E$3=0,"n.b.",INDEX(SRC_Woningetalage!$A$1:$ZZ$501,$A314,E$3)))</f>
        <v/>
      </c>
      <c r="F314" t="str">
        <f>IF($B314="","",IF(F$3=0,"n.b.",INDEX(SRC_Woningetalage!$A$1:$ZZ$501,$A314,F$3)))</f>
        <v/>
      </c>
      <c r="G314" t="str">
        <f>IF($B314="","",IF(G$3=0,"n.b.",INDEX(SRC_Woningetalage!$A$1:$ZZ$501,$A314,G$3)))</f>
        <v/>
      </c>
      <c r="H314" t="str">
        <f>IF($B314="","",IF(H$3=0,"n.b.",INDEX(SRC_Woningetalage!$A$1:$ZZ$501,$A314,H$3)))</f>
        <v/>
      </c>
      <c r="I314" t="str">
        <f>IF($B314="","",IF(I$3=0,"n.b.",INDEX(SRC_Woningetalage!$A$1:$ZZ$501,$A314,I$3)))</f>
        <v/>
      </c>
      <c r="J314" t="str">
        <f>IF($B314="","",IF(J$3=0,"n.b.",INDEX(SRC_Woningetalage!$A$1:$ZZ$501,$A314,J$3)))</f>
        <v/>
      </c>
      <c r="K314" t="str">
        <f>IF($B314="","",IF(K$3=0,"n.b.",INDEX(SRC_Woningetalage!$A$1:$ZZ$501,$A314,K$3)))</f>
        <v/>
      </c>
      <c r="L314" t="str">
        <f>IF($B314="","",IF(L$3=0,"n.b.",INDEX(SRC_Woningetalage!$A$1:$ZZ$501,$A314,L$3)))</f>
        <v/>
      </c>
      <c r="M314" t="str">
        <f>IF($B314="","",IF(M$3=0,"n.b.",INDEX(SRC_Woningetalage!$A$1:$ZZ$501,$A314,M$3)))</f>
        <v/>
      </c>
      <c r="N314" t="str">
        <f>IF($B314="","",IF(N$3=0,"n.b.",INDEX(SRC_Woningetalage!$A$1:$ZZ$501,$A314,N$3)))</f>
        <v/>
      </c>
      <c r="O314" t="str">
        <f>IF($B314="","",IF(O$3=0,"n.b.",INDEX(SRC_Woningetalage!$A$1:$ZZ$501,$A314,O$3)))</f>
        <v/>
      </c>
      <c r="P314" t="str">
        <f>IF($B314="","",IF(P$3=0,"n.b.",INDEX(SRC_Woningetalage!$A$1:$ZZ$501,$A314,P$3)))</f>
        <v/>
      </c>
      <c r="Q314" s="124" t="str">
        <f>IF($B314="","",IF(Q$3=0,"n.b.",INDEX(SRC_Woningetalage!$A$1:$ZZ$501,$A314,Q$3)))</f>
        <v/>
      </c>
      <c r="R314" s="124" t="str">
        <f>IF($B314="","",IF(R$3=0,"n.b.",INDEX(SRC_Woningetalage!$A$1:$ZZ$501,$A314,R$3)))</f>
        <v/>
      </c>
      <c r="S314" s="124" t="str">
        <f>IF($B314="","",IF(S$3=0,"n.b.",INDEX(SRC_Woningetalage!$A$1:$ZZ$501,$A314,S$3)))</f>
        <v/>
      </c>
      <c r="T314" s="124" t="str">
        <f>IF($B314="","",IF(T$3=0,"n.b.",INDEX(SRC_Woningetalage!$A$1:$ZZ$501,$A314,T$3)))</f>
        <v/>
      </c>
      <c r="U314" s="124" t="str">
        <f>IF($B314="","",IF(U$3=0,"n.b.",INDEX(SRC_Woningetalage!$A$1:$ZZ$501,$A314,U$3)))</f>
        <v/>
      </c>
      <c r="V314" s="124" t="str">
        <f>IF($B314="","",IF(V$3=0,"n.b.",INDEX(SRC_Woningetalage!$A$1:$ZZ$501,$A314,V$3)))</f>
        <v/>
      </c>
      <c r="W314" s="124" t="str">
        <f>IF($B314="","",IF(W$3=0,"n.b.",INDEX(SRC_Woningetalage!$A$1:$ZZ$501,$A314,W$3)))</f>
        <v/>
      </c>
      <c r="X314" s="124" t="str">
        <f>IF($B314="","",IF(X$3=0,"n.b.",INDEX(SRC_Woningetalage!$A$1:$ZZ$501,$A314,X$3)))</f>
        <v/>
      </c>
      <c r="Y314" s="124" t="str">
        <f>IF($B314="","",IF(Y$3=0,"n.b.",INDEX(SRC_Woningetalage!$A$1:$ZZ$501,$A314,Y$3)))</f>
        <v/>
      </c>
      <c r="Z314" s="124" t="str">
        <f>IF($B314="","",IF(Z$3=0,"n.b.",INDEX(SRC_Woningetalage!$A$1:$ZZ$501,$A314,Z$3)))</f>
        <v/>
      </c>
      <c r="AA314" s="124" t="str">
        <f>IF($B314="","",IF(AA$3=0,"n.b.",INDEX(SRC_Woningetalage!$A$1:$ZZ$501,$A314,AA$3)))</f>
        <v/>
      </c>
      <c r="AB314" s="124" t="str">
        <f>IF($B314="","",IF(AB$3=0,"n.b.",INDEX(SRC_Woningetalage!$A$1:$ZZ$501,$A314,AB$3)))</f>
        <v/>
      </c>
      <c r="AC314" s="124" t="str">
        <f>IF($B314="","",IF(AC$3=0,"n.b.",INDEX(SRC_Woningetalage!$A$1:$ZZ$501,$A314,AC$3)))</f>
        <v/>
      </c>
      <c r="AD314" s="124" t="str">
        <f>IF($B314="","",IF(AD$3=0,"n.b.",INDEX(SRC_Woningetalage!$A$1:$ZZ$501,$A314,AD$3)))</f>
        <v/>
      </c>
      <c r="AE314" s="124" t="str">
        <f>IF($B314="","",IF(AE$3=0,"n.b.",INDEX(SRC_Woningetalage!$A$1:$ZZ$501,$A314,AE$3)))</f>
        <v/>
      </c>
      <c r="AF314" s="124" t="str">
        <f>IF($B314="","",IF(AF$3=0,"n.b.",INDEX(SRC_Woningetalage!$A$1:$ZZ$501,$A314,AF$3)))</f>
        <v/>
      </c>
      <c r="AG314" s="124" t="str">
        <f>IF($B314="","",IF(AG$3=0,"n.b.",INDEX(SRC_Woningetalage!$A$1:$ZZ$501,$A314,AG$3)))</f>
        <v/>
      </c>
      <c r="AH314" s="124" t="str">
        <f>IF($B314="","",IF(AH$3=0,"n.b.",INDEX(SRC_Woningetalage!$A$1:$ZZ$501,$A314,AH$3)))</f>
        <v/>
      </c>
      <c r="AI314" s="124" t="str">
        <f>IF($B314="","",IF(AI$3=0,"n.b.",INDEX(SRC_Woningetalage!$A$1:$ZZ$501,$A314,AI$3)))</f>
        <v/>
      </c>
      <c r="AJ314" s="124" t="str">
        <f>IF($B314="","",IF(AJ$3=0,"n.b.",INDEX(SRC_Woningetalage!$A$1:$ZZ$501,$A314,AJ$3)))</f>
        <v/>
      </c>
      <c r="AK314" s="124" t="str">
        <f>IF($B314="","",IF(AK$3=0,"n.b.",INDEX(SRC_Woningetalage!$A$1:$ZZ$501,$A314,AK$3)))</f>
        <v/>
      </c>
      <c r="AL314" s="124" t="str">
        <f>IF($B314="","",IF(AL$3=0,"n.b.",INDEX(SRC_Woningetalage!$A$1:$ZZ$501,$A314,AL$3)))</f>
        <v/>
      </c>
      <c r="AM314" s="124" t="str">
        <f>IF($B314="","",IF(AM$3=0,"n.b.",INDEX(SRC_Woningetalage!$A$1:$ZZ$501,$A314,AM$3)))</f>
        <v/>
      </c>
      <c r="AN314" s="124" t="str">
        <f>IF($B314="","",IF(AN$3=0,"n.b.",INDEX(SRC_Woningetalage!$A$1:$ZZ$501,$A314,AN$3)))</f>
        <v/>
      </c>
      <c r="AO314" s="124" t="str">
        <f>IF($B314="","",IF(AO$3=0,"n.b.",INDEX(SRC_Woningetalage!$A$1:$ZZ$501,$A314,AO$3)))</f>
        <v/>
      </c>
      <c r="AP314" s="124" t="str">
        <f>IF($B314="","",IF(AP$3=0,"n.b.",INDEX(SRC_Woningetalage!$A$1:$ZZ$501,$A314,AP$3)))</f>
        <v/>
      </c>
      <c r="AQ314" s="124" t="str">
        <f>IF($B314="","",IF(AQ$3=0,"n.b.",INDEX(SRC_Woningetalage!$A$1:$ZZ$501,$A314,AQ$3)))</f>
        <v/>
      </c>
      <c r="AR314" s="124" t="str">
        <f>IF($B314="","",IF(AR$3=0,"n.b.",INDEX(SRC_Woningetalage!$A$1:$ZZ$501,$A314,AR$3)))</f>
        <v/>
      </c>
      <c r="AS314" s="124" t="str">
        <f>IF($B314="","",IF(AS$3=0,"n.b.",INDEX(SRC_Woningetalage!$A$1:$ZZ$501,$A314,AS$3)))</f>
        <v/>
      </c>
      <c r="AT314" s="124" t="str">
        <f>IF($B314="","",IF(AT$3=0,"n.b.",INDEX(SRC_Woningetalage!$A$1:$ZZ$501,$A314,AT$3)))</f>
        <v/>
      </c>
      <c r="AU314" s="124" t="str">
        <f>IF($B314="","",IF(AU$3=0,"n.b.",INDEX(SRC_Woningetalage!$A$1:$ZZ$501,$A314,AU$3)))</f>
        <v/>
      </c>
      <c r="AV314" s="124" t="str">
        <f>IF($B314="","",IF(AV$3=0,"n.b.",INDEX(SRC_Woningetalage!$A$1:$ZZ$501,$A314,AV$3)))</f>
        <v/>
      </c>
      <c r="AW314" s="124" t="str">
        <f>IF($B314="","",IF(AW$3=0,"n.b.",INDEX(SRC_Woningetalage!$A$1:$ZZ$501,$A314,AW$3)))</f>
        <v/>
      </c>
      <c r="AX314" s="124" t="str">
        <f>IF($B314="","",IF(AX$3=0,"n.b.",INDEX(SRC_Woningetalage!$A$1:$ZZ$501,$A314,AX$3)))</f>
        <v/>
      </c>
      <c r="AY314" s="124" t="str">
        <f>IF($B314="","",IF(AY$3=0,"n.b.",INDEX(SRC_Woningetalage!$A$1:$ZZ$501,$A314,AY$3)))</f>
        <v/>
      </c>
      <c r="AZ314" s="124" t="str">
        <f>IF($B314="","",IF(AZ$3=0,"n.b.",INDEX(SRC_Woningetalage!$A$1:$ZZ$501,$A314,AZ$3)))</f>
        <v/>
      </c>
      <c r="BA314" s="124" t="str">
        <f>IF($B314="","",IF(BA$3=0,"n.b.",INDEX(SRC_Woningetalage!$A$1:$ZZ$501,$A314,BA$3)))</f>
        <v/>
      </c>
      <c r="BB314" s="124" t="str">
        <f>IF($B314="","",IF(BB$3=0,"n.b.",INDEX(SRC_Woningetalage!$A$1:$ZZ$501,$A314,BB$3)))</f>
        <v/>
      </c>
      <c r="BC314" s="124" t="str">
        <f>IF($B314="","",IFERROR(_xlfn.NUMBERVALUE(E314&amp;"",",","."),"n.b."))</f>
        <v/>
      </c>
      <c r="BD314" s="124" t="str">
        <f>IF($B314="","",IFERROR(_xlfn.NUMBERVALUE(M314&amp;"",",","."),"n.b."))</f>
        <v/>
      </c>
      <c r="BE314" s="124" t="str">
        <f>IF($B314="","",IFERROR(AB314+AC314+AD314,"n.b."))</f>
        <v/>
      </c>
      <c r="BF314" s="124" t="str">
        <f>IF($B314="","",IFERROR(AE314+AF314+AG314,"n.b."))</f>
        <v/>
      </c>
      <c r="BG314" s="124" t="str">
        <f>IF($B314="","",IFERROR(AH314+AI314+AJ314,"n.b."))</f>
        <v/>
      </c>
      <c r="BH314" s="124" t="str">
        <f>IF($B314="","",IFERROR(AK314+AL314+AM314,"n.b."))</f>
        <v/>
      </c>
      <c r="BI314" s="124" t="str">
        <f>IF($B314="","",IFERROR(SUMIF($AB$5:$AM$5,"&lt;="&amp;P_PeilMaand,AB314:AM314),"n.b."))</f>
        <v/>
      </c>
      <c r="BJ314" s="124" t="str">
        <f>IF($B314="","",IFERROR(SUM(AB314:AM314)-BI314,"n.b."))</f>
        <v/>
      </c>
      <c r="BK314" s="124" t="str">
        <f>IF($B314="","",IFERROR(IF(ABS(Q314-(T314+SUM(AB314:AM314)+AS314+AU314))&gt;P_Tol,1,0),1))</f>
        <v/>
      </c>
      <c r="BL314" s="124" t="str">
        <f>IF($B314="","",IFERROR(IF(ABS(AA314-(Q314-Z314))&gt;P_Tol,1,0),1))</f>
        <v/>
      </c>
      <c r="BM314" s="124" t="str">
        <f>IF($B314="","",IFERROR(IF(ABS(Z314-(T314+W314))&gt;P_Tol,1,0),1))</f>
        <v/>
      </c>
      <c r="BN314" s="124" t="str">
        <f>IF($B314="","",IFERROR(IF(ABS(W314-BI314)&gt;P_Tol,1,0),1))</f>
        <v/>
      </c>
      <c r="BO314" s="124" t="str">
        <f>IF($B314="","",IFERROR(IF(OR(ABS(R314+S314-T314)&gt;P_Tol,ABS(U314+V314-W314)&gt;P_Tol,ABS(X314+Y314-Z314)&gt;P_Tol),1,0),1))</f>
        <v/>
      </c>
      <c r="BP314" s="124" t="str">
        <f>IF($B314="","",IFERROR(IF(OR(ABS(AR314-SUM(AB314:AM314))&gt;P_Tol,ABS(AS314-(AN314+AO314+AP314+AQ314))&gt;P_Tol),1,0),1))</f>
        <v/>
      </c>
      <c r="BQ314" s="124" t="str">
        <f>IF($B314="","",IFERROR(IF(ABS(AT314)+ABS(AV314)+ABS(AW314)+ABS(AX314)+ABS(AY314)+ABS(AZ314)+ABS(BA314)+ABS(BB314)&gt;0,1,0),1))</f>
        <v/>
      </c>
      <c r="BR314" s="124" t="str">
        <f>IF($B314="","",COUNTIF(STG_ZPMW03!$B$6:$B$505,B314))</f>
        <v/>
      </c>
      <c r="BS314" s="124" t="str">
        <f>IF($B314="","",COUNTIF($B$6:$B$505,B314))</f>
        <v/>
      </c>
      <c r="BT314" s="124" t="str">
        <f>IF($B314="","",IF(BR314=0,0,IF(INDEX(STG_ZPMW03!$I$6:$I$505,MATCH(B314,STG_ZPMW03!$B$6:$B$505,0))=J314&amp;"",0,1)))</f>
        <v/>
      </c>
      <c r="BU314" s="124" t="str">
        <f>IF($B314="","",IFERROR(IF(ABS(INDEX(Mapping!$D$5:$D$104,MATCH(B314,Mapping!$A$5:$A$104,0))-Q314)&gt;P_Tol,1,0),0))</f>
        <v/>
      </c>
      <c r="BV314" s="124" t="str">
        <f>IF($B314="","",IFERROR(IF(AND(INDEX(Mapping!$G$5:$G$104,MATCH(B314,Mapping!$A$5:$A$104,0))="Nee",ABS(Q314)+ABS(Z314)+ABS(AR314)&gt;0),1,0),0))</f>
        <v/>
      </c>
      <c r="BW314" s="124" t="str">
        <f>IF($B314="","",IF(COUNTIF(Mapping!$A$5:$A$104,B314)&gt;0,1,0))</f>
        <v/>
      </c>
      <c r="BX314" s="124" t="str">
        <f>IF($B314="","",IF(BR314=0,COUNTIF($BR$6:BR314,0),""))</f>
        <v/>
      </c>
    </row>
    <row r="315">
      <c r="A315" s="15" t="n">
        <v>311</v>
      </c>
      <c r="B315" t="str">
        <f>IF(B$3=0,"",IF(INDEX(SRC_Woningetalage!$A$1:$ZZ$501,$A315,B$3)&amp;""="","",INDEX(SRC_Woningetalage!$A$1:$ZZ$501,$A315,B$3)&amp;""))</f>
        <v/>
      </c>
      <c r="C315" t="str">
        <f>IF($B315="","",IF(C$3=0,"n.b.",INDEX(SRC_Woningetalage!$A$1:$ZZ$501,$A315,C$3)))</f>
        <v/>
      </c>
      <c r="D315" t="str">
        <f>IF($B315="","",IF(D$3=0,"n.b.",INDEX(SRC_Woningetalage!$A$1:$ZZ$501,$A315,D$3)))</f>
        <v/>
      </c>
      <c r="E315" t="str">
        <f>IF($B315="","",IF(E$3=0,"n.b.",INDEX(SRC_Woningetalage!$A$1:$ZZ$501,$A315,E$3)))</f>
        <v/>
      </c>
      <c r="F315" t="str">
        <f>IF($B315="","",IF(F$3=0,"n.b.",INDEX(SRC_Woningetalage!$A$1:$ZZ$501,$A315,F$3)))</f>
        <v/>
      </c>
      <c r="G315" t="str">
        <f>IF($B315="","",IF(G$3=0,"n.b.",INDEX(SRC_Woningetalage!$A$1:$ZZ$501,$A315,G$3)))</f>
        <v/>
      </c>
      <c r="H315" t="str">
        <f>IF($B315="","",IF(H$3=0,"n.b.",INDEX(SRC_Woningetalage!$A$1:$ZZ$501,$A315,H$3)))</f>
        <v/>
      </c>
      <c r="I315" t="str">
        <f>IF($B315="","",IF(I$3=0,"n.b.",INDEX(SRC_Woningetalage!$A$1:$ZZ$501,$A315,I$3)))</f>
        <v/>
      </c>
      <c r="J315" t="str">
        <f>IF($B315="","",IF(J$3=0,"n.b.",INDEX(SRC_Woningetalage!$A$1:$ZZ$501,$A315,J$3)))</f>
        <v/>
      </c>
      <c r="K315" t="str">
        <f>IF($B315="","",IF(K$3=0,"n.b.",INDEX(SRC_Woningetalage!$A$1:$ZZ$501,$A315,K$3)))</f>
        <v/>
      </c>
      <c r="L315" t="str">
        <f>IF($B315="","",IF(L$3=0,"n.b.",INDEX(SRC_Woningetalage!$A$1:$ZZ$501,$A315,L$3)))</f>
        <v/>
      </c>
      <c r="M315" t="str">
        <f>IF($B315="","",IF(M$3=0,"n.b.",INDEX(SRC_Woningetalage!$A$1:$ZZ$501,$A315,M$3)))</f>
        <v/>
      </c>
      <c r="N315" t="str">
        <f>IF($B315="","",IF(N$3=0,"n.b.",INDEX(SRC_Woningetalage!$A$1:$ZZ$501,$A315,N$3)))</f>
        <v/>
      </c>
      <c r="O315" t="str">
        <f>IF($B315="","",IF(O$3=0,"n.b.",INDEX(SRC_Woningetalage!$A$1:$ZZ$501,$A315,O$3)))</f>
        <v/>
      </c>
      <c r="P315" t="str">
        <f>IF($B315="","",IF(P$3=0,"n.b.",INDEX(SRC_Woningetalage!$A$1:$ZZ$501,$A315,P$3)))</f>
        <v/>
      </c>
      <c r="Q315" s="124" t="str">
        <f>IF($B315="","",IF(Q$3=0,"n.b.",INDEX(SRC_Woningetalage!$A$1:$ZZ$501,$A315,Q$3)))</f>
        <v/>
      </c>
      <c r="R315" s="124" t="str">
        <f>IF($B315="","",IF(R$3=0,"n.b.",INDEX(SRC_Woningetalage!$A$1:$ZZ$501,$A315,R$3)))</f>
        <v/>
      </c>
      <c r="S315" s="124" t="str">
        <f>IF($B315="","",IF(S$3=0,"n.b.",INDEX(SRC_Woningetalage!$A$1:$ZZ$501,$A315,S$3)))</f>
        <v/>
      </c>
      <c r="T315" s="124" t="str">
        <f>IF($B315="","",IF(T$3=0,"n.b.",INDEX(SRC_Woningetalage!$A$1:$ZZ$501,$A315,T$3)))</f>
        <v/>
      </c>
      <c r="U315" s="124" t="str">
        <f>IF($B315="","",IF(U$3=0,"n.b.",INDEX(SRC_Woningetalage!$A$1:$ZZ$501,$A315,U$3)))</f>
        <v/>
      </c>
      <c r="V315" s="124" t="str">
        <f>IF($B315="","",IF(V$3=0,"n.b.",INDEX(SRC_Woningetalage!$A$1:$ZZ$501,$A315,V$3)))</f>
        <v/>
      </c>
      <c r="W315" s="124" t="str">
        <f>IF($B315="","",IF(W$3=0,"n.b.",INDEX(SRC_Woningetalage!$A$1:$ZZ$501,$A315,W$3)))</f>
        <v/>
      </c>
      <c r="X315" s="124" t="str">
        <f>IF($B315="","",IF(X$3=0,"n.b.",INDEX(SRC_Woningetalage!$A$1:$ZZ$501,$A315,X$3)))</f>
        <v/>
      </c>
      <c r="Y315" s="124" t="str">
        <f>IF($B315="","",IF(Y$3=0,"n.b.",INDEX(SRC_Woningetalage!$A$1:$ZZ$501,$A315,Y$3)))</f>
        <v/>
      </c>
      <c r="Z315" s="124" t="str">
        <f>IF($B315="","",IF(Z$3=0,"n.b.",INDEX(SRC_Woningetalage!$A$1:$ZZ$501,$A315,Z$3)))</f>
        <v/>
      </c>
      <c r="AA315" s="124" t="str">
        <f>IF($B315="","",IF(AA$3=0,"n.b.",INDEX(SRC_Woningetalage!$A$1:$ZZ$501,$A315,AA$3)))</f>
        <v/>
      </c>
      <c r="AB315" s="124" t="str">
        <f>IF($B315="","",IF(AB$3=0,"n.b.",INDEX(SRC_Woningetalage!$A$1:$ZZ$501,$A315,AB$3)))</f>
        <v/>
      </c>
      <c r="AC315" s="124" t="str">
        <f>IF($B315="","",IF(AC$3=0,"n.b.",INDEX(SRC_Woningetalage!$A$1:$ZZ$501,$A315,AC$3)))</f>
        <v/>
      </c>
      <c r="AD315" s="124" t="str">
        <f>IF($B315="","",IF(AD$3=0,"n.b.",INDEX(SRC_Woningetalage!$A$1:$ZZ$501,$A315,AD$3)))</f>
        <v/>
      </c>
      <c r="AE315" s="124" t="str">
        <f>IF($B315="","",IF(AE$3=0,"n.b.",INDEX(SRC_Woningetalage!$A$1:$ZZ$501,$A315,AE$3)))</f>
        <v/>
      </c>
      <c r="AF315" s="124" t="str">
        <f>IF($B315="","",IF(AF$3=0,"n.b.",INDEX(SRC_Woningetalage!$A$1:$ZZ$501,$A315,AF$3)))</f>
        <v/>
      </c>
      <c r="AG315" s="124" t="str">
        <f>IF($B315="","",IF(AG$3=0,"n.b.",INDEX(SRC_Woningetalage!$A$1:$ZZ$501,$A315,AG$3)))</f>
        <v/>
      </c>
      <c r="AH315" s="124" t="str">
        <f>IF($B315="","",IF(AH$3=0,"n.b.",INDEX(SRC_Woningetalage!$A$1:$ZZ$501,$A315,AH$3)))</f>
        <v/>
      </c>
      <c r="AI315" s="124" t="str">
        <f>IF($B315="","",IF(AI$3=0,"n.b.",INDEX(SRC_Woningetalage!$A$1:$ZZ$501,$A315,AI$3)))</f>
        <v/>
      </c>
      <c r="AJ315" s="124" t="str">
        <f>IF($B315="","",IF(AJ$3=0,"n.b.",INDEX(SRC_Woningetalage!$A$1:$ZZ$501,$A315,AJ$3)))</f>
        <v/>
      </c>
      <c r="AK315" s="124" t="str">
        <f>IF($B315="","",IF(AK$3=0,"n.b.",INDEX(SRC_Woningetalage!$A$1:$ZZ$501,$A315,AK$3)))</f>
        <v/>
      </c>
      <c r="AL315" s="124" t="str">
        <f>IF($B315="","",IF(AL$3=0,"n.b.",INDEX(SRC_Woningetalage!$A$1:$ZZ$501,$A315,AL$3)))</f>
        <v/>
      </c>
      <c r="AM315" s="124" t="str">
        <f>IF($B315="","",IF(AM$3=0,"n.b.",INDEX(SRC_Woningetalage!$A$1:$ZZ$501,$A315,AM$3)))</f>
        <v/>
      </c>
      <c r="AN315" s="124" t="str">
        <f>IF($B315="","",IF(AN$3=0,"n.b.",INDEX(SRC_Woningetalage!$A$1:$ZZ$501,$A315,AN$3)))</f>
        <v/>
      </c>
      <c r="AO315" s="124" t="str">
        <f>IF($B315="","",IF(AO$3=0,"n.b.",INDEX(SRC_Woningetalage!$A$1:$ZZ$501,$A315,AO$3)))</f>
        <v/>
      </c>
      <c r="AP315" s="124" t="str">
        <f>IF($B315="","",IF(AP$3=0,"n.b.",INDEX(SRC_Woningetalage!$A$1:$ZZ$501,$A315,AP$3)))</f>
        <v/>
      </c>
      <c r="AQ315" s="124" t="str">
        <f>IF($B315="","",IF(AQ$3=0,"n.b.",INDEX(SRC_Woningetalage!$A$1:$ZZ$501,$A315,AQ$3)))</f>
        <v/>
      </c>
      <c r="AR315" s="124" t="str">
        <f>IF($B315="","",IF(AR$3=0,"n.b.",INDEX(SRC_Woningetalage!$A$1:$ZZ$501,$A315,AR$3)))</f>
        <v/>
      </c>
      <c r="AS315" s="124" t="str">
        <f>IF($B315="","",IF(AS$3=0,"n.b.",INDEX(SRC_Woningetalage!$A$1:$ZZ$501,$A315,AS$3)))</f>
        <v/>
      </c>
      <c r="AT315" s="124" t="str">
        <f>IF($B315="","",IF(AT$3=0,"n.b.",INDEX(SRC_Woningetalage!$A$1:$ZZ$501,$A315,AT$3)))</f>
        <v/>
      </c>
      <c r="AU315" s="124" t="str">
        <f>IF($B315="","",IF(AU$3=0,"n.b.",INDEX(SRC_Woningetalage!$A$1:$ZZ$501,$A315,AU$3)))</f>
        <v/>
      </c>
      <c r="AV315" s="124" t="str">
        <f>IF($B315="","",IF(AV$3=0,"n.b.",INDEX(SRC_Woningetalage!$A$1:$ZZ$501,$A315,AV$3)))</f>
        <v/>
      </c>
      <c r="AW315" s="124" t="str">
        <f>IF($B315="","",IF(AW$3=0,"n.b.",INDEX(SRC_Woningetalage!$A$1:$ZZ$501,$A315,AW$3)))</f>
        <v/>
      </c>
      <c r="AX315" s="124" t="str">
        <f>IF($B315="","",IF(AX$3=0,"n.b.",INDEX(SRC_Woningetalage!$A$1:$ZZ$501,$A315,AX$3)))</f>
        <v/>
      </c>
      <c r="AY315" s="124" t="str">
        <f>IF($B315="","",IF(AY$3=0,"n.b.",INDEX(SRC_Woningetalage!$A$1:$ZZ$501,$A315,AY$3)))</f>
        <v/>
      </c>
      <c r="AZ315" s="124" t="str">
        <f>IF($B315="","",IF(AZ$3=0,"n.b.",INDEX(SRC_Woningetalage!$A$1:$ZZ$501,$A315,AZ$3)))</f>
        <v/>
      </c>
      <c r="BA315" s="124" t="str">
        <f>IF($B315="","",IF(BA$3=0,"n.b.",INDEX(SRC_Woningetalage!$A$1:$ZZ$501,$A315,BA$3)))</f>
        <v/>
      </c>
      <c r="BB315" s="124" t="str">
        <f>IF($B315="","",IF(BB$3=0,"n.b.",INDEX(SRC_Woningetalage!$A$1:$ZZ$501,$A315,BB$3)))</f>
        <v/>
      </c>
      <c r="BC315" s="124" t="str">
        <f>IF($B315="","",IFERROR(_xlfn.NUMBERVALUE(E315&amp;"",",","."),"n.b."))</f>
        <v/>
      </c>
      <c r="BD315" s="124" t="str">
        <f>IF($B315="","",IFERROR(_xlfn.NUMBERVALUE(M315&amp;"",",","."),"n.b."))</f>
        <v/>
      </c>
      <c r="BE315" s="124" t="str">
        <f>IF($B315="","",IFERROR(AB315+AC315+AD315,"n.b."))</f>
        <v/>
      </c>
      <c r="BF315" s="124" t="str">
        <f>IF($B315="","",IFERROR(AE315+AF315+AG315,"n.b."))</f>
        <v/>
      </c>
      <c r="BG315" s="124" t="str">
        <f>IF($B315="","",IFERROR(AH315+AI315+AJ315,"n.b."))</f>
        <v/>
      </c>
      <c r="BH315" s="124" t="str">
        <f>IF($B315="","",IFERROR(AK315+AL315+AM315,"n.b."))</f>
        <v/>
      </c>
      <c r="BI315" s="124" t="str">
        <f>IF($B315="","",IFERROR(SUMIF($AB$5:$AM$5,"&lt;="&amp;P_PeilMaand,AB315:AM315),"n.b."))</f>
        <v/>
      </c>
      <c r="BJ315" s="124" t="str">
        <f>IF($B315="","",IFERROR(SUM(AB315:AM315)-BI315,"n.b."))</f>
        <v/>
      </c>
      <c r="BK315" s="124" t="str">
        <f>IF($B315="","",IFERROR(IF(ABS(Q315-(T315+SUM(AB315:AM315)+AS315+AU315))&gt;P_Tol,1,0),1))</f>
        <v/>
      </c>
      <c r="BL315" s="124" t="str">
        <f>IF($B315="","",IFERROR(IF(ABS(AA315-(Q315-Z315))&gt;P_Tol,1,0),1))</f>
        <v/>
      </c>
      <c r="BM315" s="124" t="str">
        <f>IF($B315="","",IFERROR(IF(ABS(Z315-(T315+W315))&gt;P_Tol,1,0),1))</f>
        <v/>
      </c>
      <c r="BN315" s="124" t="str">
        <f>IF($B315="","",IFERROR(IF(ABS(W315-BI315)&gt;P_Tol,1,0),1))</f>
        <v/>
      </c>
      <c r="BO315" s="124" t="str">
        <f>IF($B315="","",IFERROR(IF(OR(ABS(R315+S315-T315)&gt;P_Tol,ABS(U315+V315-W315)&gt;P_Tol,ABS(X315+Y315-Z315)&gt;P_Tol),1,0),1))</f>
        <v/>
      </c>
      <c r="BP315" s="124" t="str">
        <f>IF($B315="","",IFERROR(IF(OR(ABS(AR315-SUM(AB315:AM315))&gt;P_Tol,ABS(AS315-(AN315+AO315+AP315+AQ315))&gt;P_Tol),1,0),1))</f>
        <v/>
      </c>
      <c r="BQ315" s="124" t="str">
        <f>IF($B315="","",IFERROR(IF(ABS(AT315)+ABS(AV315)+ABS(AW315)+ABS(AX315)+ABS(AY315)+ABS(AZ315)+ABS(BA315)+ABS(BB315)&gt;0,1,0),1))</f>
        <v/>
      </c>
      <c r="BR315" s="124" t="str">
        <f>IF($B315="","",COUNTIF(STG_ZPMW03!$B$6:$B$505,B315))</f>
        <v/>
      </c>
      <c r="BS315" s="124" t="str">
        <f>IF($B315="","",COUNTIF($B$6:$B$505,B315))</f>
        <v/>
      </c>
      <c r="BT315" s="124" t="str">
        <f>IF($B315="","",IF(BR315=0,0,IF(INDEX(STG_ZPMW03!$I$6:$I$505,MATCH(B315,STG_ZPMW03!$B$6:$B$505,0))=J315&amp;"",0,1)))</f>
        <v/>
      </c>
      <c r="BU315" s="124" t="str">
        <f>IF($B315="","",IFERROR(IF(ABS(INDEX(Mapping!$D$5:$D$104,MATCH(B315,Mapping!$A$5:$A$104,0))-Q315)&gt;P_Tol,1,0),0))</f>
        <v/>
      </c>
      <c r="BV315" s="124" t="str">
        <f>IF($B315="","",IFERROR(IF(AND(INDEX(Mapping!$G$5:$G$104,MATCH(B315,Mapping!$A$5:$A$104,0))="Nee",ABS(Q315)+ABS(Z315)+ABS(AR315)&gt;0),1,0),0))</f>
        <v/>
      </c>
      <c r="BW315" s="124" t="str">
        <f>IF($B315="","",IF(COUNTIF(Mapping!$A$5:$A$104,B315)&gt;0,1,0))</f>
        <v/>
      </c>
      <c r="BX315" s="124" t="str">
        <f>IF($B315="","",IF(BR315=0,COUNTIF($BR$6:BR315,0),""))</f>
        <v/>
      </c>
    </row>
    <row r="316">
      <c r="A316" s="15" t="n">
        <v>312</v>
      </c>
      <c r="B316" t="str">
        <f>IF(B$3=0,"",IF(INDEX(SRC_Woningetalage!$A$1:$ZZ$501,$A316,B$3)&amp;""="","",INDEX(SRC_Woningetalage!$A$1:$ZZ$501,$A316,B$3)&amp;""))</f>
        <v/>
      </c>
      <c r="C316" t="str">
        <f>IF($B316="","",IF(C$3=0,"n.b.",INDEX(SRC_Woningetalage!$A$1:$ZZ$501,$A316,C$3)))</f>
        <v/>
      </c>
      <c r="D316" t="str">
        <f>IF($B316="","",IF(D$3=0,"n.b.",INDEX(SRC_Woningetalage!$A$1:$ZZ$501,$A316,D$3)))</f>
        <v/>
      </c>
      <c r="E316" t="str">
        <f>IF($B316="","",IF(E$3=0,"n.b.",INDEX(SRC_Woningetalage!$A$1:$ZZ$501,$A316,E$3)))</f>
        <v/>
      </c>
      <c r="F316" t="str">
        <f>IF($B316="","",IF(F$3=0,"n.b.",INDEX(SRC_Woningetalage!$A$1:$ZZ$501,$A316,F$3)))</f>
        <v/>
      </c>
      <c r="G316" t="str">
        <f>IF($B316="","",IF(G$3=0,"n.b.",INDEX(SRC_Woningetalage!$A$1:$ZZ$501,$A316,G$3)))</f>
        <v/>
      </c>
      <c r="H316" t="str">
        <f>IF($B316="","",IF(H$3=0,"n.b.",INDEX(SRC_Woningetalage!$A$1:$ZZ$501,$A316,H$3)))</f>
        <v/>
      </c>
      <c r="I316" t="str">
        <f>IF($B316="","",IF(I$3=0,"n.b.",INDEX(SRC_Woningetalage!$A$1:$ZZ$501,$A316,I$3)))</f>
        <v/>
      </c>
      <c r="J316" t="str">
        <f>IF($B316="","",IF(J$3=0,"n.b.",INDEX(SRC_Woningetalage!$A$1:$ZZ$501,$A316,J$3)))</f>
        <v/>
      </c>
      <c r="K316" t="str">
        <f>IF($B316="","",IF(K$3=0,"n.b.",INDEX(SRC_Woningetalage!$A$1:$ZZ$501,$A316,K$3)))</f>
        <v/>
      </c>
      <c r="L316" t="str">
        <f>IF($B316="","",IF(L$3=0,"n.b.",INDEX(SRC_Woningetalage!$A$1:$ZZ$501,$A316,L$3)))</f>
        <v/>
      </c>
      <c r="M316" t="str">
        <f>IF($B316="","",IF(M$3=0,"n.b.",INDEX(SRC_Woningetalage!$A$1:$ZZ$501,$A316,M$3)))</f>
        <v/>
      </c>
      <c r="N316" t="str">
        <f>IF($B316="","",IF(N$3=0,"n.b.",INDEX(SRC_Woningetalage!$A$1:$ZZ$501,$A316,N$3)))</f>
        <v/>
      </c>
      <c r="O316" t="str">
        <f>IF($B316="","",IF(O$3=0,"n.b.",INDEX(SRC_Woningetalage!$A$1:$ZZ$501,$A316,O$3)))</f>
        <v/>
      </c>
      <c r="P316" t="str">
        <f>IF($B316="","",IF(P$3=0,"n.b.",INDEX(SRC_Woningetalage!$A$1:$ZZ$501,$A316,P$3)))</f>
        <v/>
      </c>
      <c r="Q316" s="124" t="str">
        <f>IF($B316="","",IF(Q$3=0,"n.b.",INDEX(SRC_Woningetalage!$A$1:$ZZ$501,$A316,Q$3)))</f>
        <v/>
      </c>
      <c r="R316" s="124" t="str">
        <f>IF($B316="","",IF(R$3=0,"n.b.",INDEX(SRC_Woningetalage!$A$1:$ZZ$501,$A316,R$3)))</f>
        <v/>
      </c>
      <c r="S316" s="124" t="str">
        <f>IF($B316="","",IF(S$3=0,"n.b.",INDEX(SRC_Woningetalage!$A$1:$ZZ$501,$A316,S$3)))</f>
        <v/>
      </c>
      <c r="T316" s="124" t="str">
        <f>IF($B316="","",IF(T$3=0,"n.b.",INDEX(SRC_Woningetalage!$A$1:$ZZ$501,$A316,T$3)))</f>
        <v/>
      </c>
      <c r="U316" s="124" t="str">
        <f>IF($B316="","",IF(U$3=0,"n.b.",INDEX(SRC_Woningetalage!$A$1:$ZZ$501,$A316,U$3)))</f>
        <v/>
      </c>
      <c r="V316" s="124" t="str">
        <f>IF($B316="","",IF(V$3=0,"n.b.",INDEX(SRC_Woningetalage!$A$1:$ZZ$501,$A316,V$3)))</f>
        <v/>
      </c>
      <c r="W316" s="124" t="str">
        <f>IF($B316="","",IF(W$3=0,"n.b.",INDEX(SRC_Woningetalage!$A$1:$ZZ$501,$A316,W$3)))</f>
        <v/>
      </c>
      <c r="X316" s="124" t="str">
        <f>IF($B316="","",IF(X$3=0,"n.b.",INDEX(SRC_Woningetalage!$A$1:$ZZ$501,$A316,X$3)))</f>
        <v/>
      </c>
      <c r="Y316" s="124" t="str">
        <f>IF($B316="","",IF(Y$3=0,"n.b.",INDEX(SRC_Woningetalage!$A$1:$ZZ$501,$A316,Y$3)))</f>
        <v/>
      </c>
      <c r="Z316" s="124" t="str">
        <f>IF($B316="","",IF(Z$3=0,"n.b.",INDEX(SRC_Woningetalage!$A$1:$ZZ$501,$A316,Z$3)))</f>
        <v/>
      </c>
      <c r="AA316" s="124" t="str">
        <f>IF($B316="","",IF(AA$3=0,"n.b.",INDEX(SRC_Woningetalage!$A$1:$ZZ$501,$A316,AA$3)))</f>
        <v/>
      </c>
      <c r="AB316" s="124" t="str">
        <f>IF($B316="","",IF(AB$3=0,"n.b.",INDEX(SRC_Woningetalage!$A$1:$ZZ$501,$A316,AB$3)))</f>
        <v/>
      </c>
      <c r="AC316" s="124" t="str">
        <f>IF($B316="","",IF(AC$3=0,"n.b.",INDEX(SRC_Woningetalage!$A$1:$ZZ$501,$A316,AC$3)))</f>
        <v/>
      </c>
      <c r="AD316" s="124" t="str">
        <f>IF($B316="","",IF(AD$3=0,"n.b.",INDEX(SRC_Woningetalage!$A$1:$ZZ$501,$A316,AD$3)))</f>
        <v/>
      </c>
      <c r="AE316" s="124" t="str">
        <f>IF($B316="","",IF(AE$3=0,"n.b.",INDEX(SRC_Woningetalage!$A$1:$ZZ$501,$A316,AE$3)))</f>
        <v/>
      </c>
      <c r="AF316" s="124" t="str">
        <f>IF($B316="","",IF(AF$3=0,"n.b.",INDEX(SRC_Woningetalage!$A$1:$ZZ$501,$A316,AF$3)))</f>
        <v/>
      </c>
      <c r="AG316" s="124" t="str">
        <f>IF($B316="","",IF(AG$3=0,"n.b.",INDEX(SRC_Woningetalage!$A$1:$ZZ$501,$A316,AG$3)))</f>
        <v/>
      </c>
      <c r="AH316" s="124" t="str">
        <f>IF($B316="","",IF(AH$3=0,"n.b.",INDEX(SRC_Woningetalage!$A$1:$ZZ$501,$A316,AH$3)))</f>
        <v/>
      </c>
      <c r="AI316" s="124" t="str">
        <f>IF($B316="","",IF(AI$3=0,"n.b.",INDEX(SRC_Woningetalage!$A$1:$ZZ$501,$A316,AI$3)))</f>
        <v/>
      </c>
      <c r="AJ316" s="124" t="str">
        <f>IF($B316="","",IF(AJ$3=0,"n.b.",INDEX(SRC_Woningetalage!$A$1:$ZZ$501,$A316,AJ$3)))</f>
        <v/>
      </c>
      <c r="AK316" s="124" t="str">
        <f>IF($B316="","",IF(AK$3=0,"n.b.",INDEX(SRC_Woningetalage!$A$1:$ZZ$501,$A316,AK$3)))</f>
        <v/>
      </c>
      <c r="AL316" s="124" t="str">
        <f>IF($B316="","",IF(AL$3=0,"n.b.",INDEX(SRC_Woningetalage!$A$1:$ZZ$501,$A316,AL$3)))</f>
        <v/>
      </c>
      <c r="AM316" s="124" t="str">
        <f>IF($B316="","",IF(AM$3=0,"n.b.",INDEX(SRC_Woningetalage!$A$1:$ZZ$501,$A316,AM$3)))</f>
        <v/>
      </c>
      <c r="AN316" s="124" t="str">
        <f>IF($B316="","",IF(AN$3=0,"n.b.",INDEX(SRC_Woningetalage!$A$1:$ZZ$501,$A316,AN$3)))</f>
        <v/>
      </c>
      <c r="AO316" s="124" t="str">
        <f>IF($B316="","",IF(AO$3=0,"n.b.",INDEX(SRC_Woningetalage!$A$1:$ZZ$501,$A316,AO$3)))</f>
        <v/>
      </c>
      <c r="AP316" s="124" t="str">
        <f>IF($B316="","",IF(AP$3=0,"n.b.",INDEX(SRC_Woningetalage!$A$1:$ZZ$501,$A316,AP$3)))</f>
        <v/>
      </c>
      <c r="AQ316" s="124" t="str">
        <f>IF($B316="","",IF(AQ$3=0,"n.b.",INDEX(SRC_Woningetalage!$A$1:$ZZ$501,$A316,AQ$3)))</f>
        <v/>
      </c>
      <c r="AR316" s="124" t="str">
        <f>IF($B316="","",IF(AR$3=0,"n.b.",INDEX(SRC_Woningetalage!$A$1:$ZZ$501,$A316,AR$3)))</f>
        <v/>
      </c>
      <c r="AS316" s="124" t="str">
        <f>IF($B316="","",IF(AS$3=0,"n.b.",INDEX(SRC_Woningetalage!$A$1:$ZZ$501,$A316,AS$3)))</f>
        <v/>
      </c>
      <c r="AT316" s="124" t="str">
        <f>IF($B316="","",IF(AT$3=0,"n.b.",INDEX(SRC_Woningetalage!$A$1:$ZZ$501,$A316,AT$3)))</f>
        <v/>
      </c>
      <c r="AU316" s="124" t="str">
        <f>IF($B316="","",IF(AU$3=0,"n.b.",INDEX(SRC_Woningetalage!$A$1:$ZZ$501,$A316,AU$3)))</f>
        <v/>
      </c>
      <c r="AV316" s="124" t="str">
        <f>IF($B316="","",IF(AV$3=0,"n.b.",INDEX(SRC_Woningetalage!$A$1:$ZZ$501,$A316,AV$3)))</f>
        <v/>
      </c>
      <c r="AW316" s="124" t="str">
        <f>IF($B316="","",IF(AW$3=0,"n.b.",INDEX(SRC_Woningetalage!$A$1:$ZZ$501,$A316,AW$3)))</f>
        <v/>
      </c>
      <c r="AX316" s="124" t="str">
        <f>IF($B316="","",IF(AX$3=0,"n.b.",INDEX(SRC_Woningetalage!$A$1:$ZZ$501,$A316,AX$3)))</f>
        <v/>
      </c>
      <c r="AY316" s="124" t="str">
        <f>IF($B316="","",IF(AY$3=0,"n.b.",INDEX(SRC_Woningetalage!$A$1:$ZZ$501,$A316,AY$3)))</f>
        <v/>
      </c>
      <c r="AZ316" s="124" t="str">
        <f>IF($B316="","",IF(AZ$3=0,"n.b.",INDEX(SRC_Woningetalage!$A$1:$ZZ$501,$A316,AZ$3)))</f>
        <v/>
      </c>
      <c r="BA316" s="124" t="str">
        <f>IF($B316="","",IF(BA$3=0,"n.b.",INDEX(SRC_Woningetalage!$A$1:$ZZ$501,$A316,BA$3)))</f>
        <v/>
      </c>
      <c r="BB316" s="124" t="str">
        <f>IF($B316="","",IF(BB$3=0,"n.b.",INDEX(SRC_Woningetalage!$A$1:$ZZ$501,$A316,BB$3)))</f>
        <v/>
      </c>
      <c r="BC316" s="124" t="str">
        <f>IF($B316="","",IFERROR(_xlfn.NUMBERVALUE(E316&amp;"",",","."),"n.b."))</f>
        <v/>
      </c>
      <c r="BD316" s="124" t="str">
        <f>IF($B316="","",IFERROR(_xlfn.NUMBERVALUE(M316&amp;"",",","."),"n.b."))</f>
        <v/>
      </c>
      <c r="BE316" s="124" t="str">
        <f>IF($B316="","",IFERROR(AB316+AC316+AD316,"n.b."))</f>
        <v/>
      </c>
      <c r="BF316" s="124" t="str">
        <f>IF($B316="","",IFERROR(AE316+AF316+AG316,"n.b."))</f>
        <v/>
      </c>
      <c r="BG316" s="124" t="str">
        <f>IF($B316="","",IFERROR(AH316+AI316+AJ316,"n.b."))</f>
        <v/>
      </c>
      <c r="BH316" s="124" t="str">
        <f>IF($B316="","",IFERROR(AK316+AL316+AM316,"n.b."))</f>
        <v/>
      </c>
      <c r="BI316" s="124" t="str">
        <f>IF($B316="","",IFERROR(SUMIF($AB$5:$AM$5,"&lt;="&amp;P_PeilMaand,AB316:AM316),"n.b."))</f>
        <v/>
      </c>
      <c r="BJ316" s="124" t="str">
        <f>IF($B316="","",IFERROR(SUM(AB316:AM316)-BI316,"n.b."))</f>
        <v/>
      </c>
      <c r="BK316" s="124" t="str">
        <f>IF($B316="","",IFERROR(IF(ABS(Q316-(T316+SUM(AB316:AM316)+AS316+AU316))&gt;P_Tol,1,0),1))</f>
        <v/>
      </c>
      <c r="BL316" s="124" t="str">
        <f>IF($B316="","",IFERROR(IF(ABS(AA316-(Q316-Z316))&gt;P_Tol,1,0),1))</f>
        <v/>
      </c>
      <c r="BM316" s="124" t="str">
        <f>IF($B316="","",IFERROR(IF(ABS(Z316-(T316+W316))&gt;P_Tol,1,0),1))</f>
        <v/>
      </c>
      <c r="BN316" s="124" t="str">
        <f>IF($B316="","",IFERROR(IF(ABS(W316-BI316)&gt;P_Tol,1,0),1))</f>
        <v/>
      </c>
      <c r="BO316" s="124" t="str">
        <f>IF($B316="","",IFERROR(IF(OR(ABS(R316+S316-T316)&gt;P_Tol,ABS(U316+V316-W316)&gt;P_Tol,ABS(X316+Y316-Z316)&gt;P_Tol),1,0),1))</f>
        <v/>
      </c>
      <c r="BP316" s="124" t="str">
        <f>IF($B316="","",IFERROR(IF(OR(ABS(AR316-SUM(AB316:AM316))&gt;P_Tol,ABS(AS316-(AN316+AO316+AP316+AQ316))&gt;P_Tol),1,0),1))</f>
        <v/>
      </c>
      <c r="BQ316" s="124" t="str">
        <f>IF($B316="","",IFERROR(IF(ABS(AT316)+ABS(AV316)+ABS(AW316)+ABS(AX316)+ABS(AY316)+ABS(AZ316)+ABS(BA316)+ABS(BB316)&gt;0,1,0),1))</f>
        <v/>
      </c>
      <c r="BR316" s="124" t="str">
        <f>IF($B316="","",COUNTIF(STG_ZPMW03!$B$6:$B$505,B316))</f>
        <v/>
      </c>
      <c r="BS316" s="124" t="str">
        <f>IF($B316="","",COUNTIF($B$6:$B$505,B316))</f>
        <v/>
      </c>
      <c r="BT316" s="124" t="str">
        <f>IF($B316="","",IF(BR316=0,0,IF(INDEX(STG_ZPMW03!$I$6:$I$505,MATCH(B316,STG_ZPMW03!$B$6:$B$505,0))=J316&amp;"",0,1)))</f>
        <v/>
      </c>
      <c r="BU316" s="124" t="str">
        <f>IF($B316="","",IFERROR(IF(ABS(INDEX(Mapping!$D$5:$D$104,MATCH(B316,Mapping!$A$5:$A$104,0))-Q316)&gt;P_Tol,1,0),0))</f>
        <v/>
      </c>
      <c r="BV316" s="124" t="str">
        <f>IF($B316="","",IFERROR(IF(AND(INDEX(Mapping!$G$5:$G$104,MATCH(B316,Mapping!$A$5:$A$104,0))="Nee",ABS(Q316)+ABS(Z316)+ABS(AR316)&gt;0),1,0),0))</f>
        <v/>
      </c>
      <c r="BW316" s="124" t="str">
        <f>IF($B316="","",IF(COUNTIF(Mapping!$A$5:$A$104,B316)&gt;0,1,0))</f>
        <v/>
      </c>
      <c r="BX316" s="124" t="str">
        <f>IF($B316="","",IF(BR316=0,COUNTIF($BR$6:BR316,0),""))</f>
        <v/>
      </c>
    </row>
    <row r="317">
      <c r="A317" s="15" t="n">
        <v>313</v>
      </c>
      <c r="B317" t="str">
        <f>IF(B$3=0,"",IF(INDEX(SRC_Woningetalage!$A$1:$ZZ$501,$A317,B$3)&amp;""="","",INDEX(SRC_Woningetalage!$A$1:$ZZ$501,$A317,B$3)&amp;""))</f>
        <v/>
      </c>
      <c r="C317" t="str">
        <f>IF($B317="","",IF(C$3=0,"n.b.",INDEX(SRC_Woningetalage!$A$1:$ZZ$501,$A317,C$3)))</f>
        <v/>
      </c>
      <c r="D317" t="str">
        <f>IF($B317="","",IF(D$3=0,"n.b.",INDEX(SRC_Woningetalage!$A$1:$ZZ$501,$A317,D$3)))</f>
        <v/>
      </c>
      <c r="E317" t="str">
        <f>IF($B317="","",IF(E$3=0,"n.b.",INDEX(SRC_Woningetalage!$A$1:$ZZ$501,$A317,E$3)))</f>
        <v/>
      </c>
      <c r="F317" t="str">
        <f>IF($B317="","",IF(F$3=0,"n.b.",INDEX(SRC_Woningetalage!$A$1:$ZZ$501,$A317,F$3)))</f>
        <v/>
      </c>
      <c r="G317" t="str">
        <f>IF($B317="","",IF(G$3=0,"n.b.",INDEX(SRC_Woningetalage!$A$1:$ZZ$501,$A317,G$3)))</f>
        <v/>
      </c>
      <c r="H317" t="str">
        <f>IF($B317="","",IF(H$3=0,"n.b.",INDEX(SRC_Woningetalage!$A$1:$ZZ$501,$A317,H$3)))</f>
        <v/>
      </c>
      <c r="I317" t="str">
        <f>IF($B317="","",IF(I$3=0,"n.b.",INDEX(SRC_Woningetalage!$A$1:$ZZ$501,$A317,I$3)))</f>
        <v/>
      </c>
      <c r="J317" t="str">
        <f>IF($B317="","",IF(J$3=0,"n.b.",INDEX(SRC_Woningetalage!$A$1:$ZZ$501,$A317,J$3)))</f>
        <v/>
      </c>
      <c r="K317" t="str">
        <f>IF($B317="","",IF(K$3=0,"n.b.",INDEX(SRC_Woningetalage!$A$1:$ZZ$501,$A317,K$3)))</f>
        <v/>
      </c>
      <c r="L317" t="str">
        <f>IF($B317="","",IF(L$3=0,"n.b.",INDEX(SRC_Woningetalage!$A$1:$ZZ$501,$A317,L$3)))</f>
        <v/>
      </c>
      <c r="M317" t="str">
        <f>IF($B317="","",IF(M$3=0,"n.b.",INDEX(SRC_Woningetalage!$A$1:$ZZ$501,$A317,M$3)))</f>
        <v/>
      </c>
      <c r="N317" t="str">
        <f>IF($B317="","",IF(N$3=0,"n.b.",INDEX(SRC_Woningetalage!$A$1:$ZZ$501,$A317,N$3)))</f>
        <v/>
      </c>
      <c r="O317" t="str">
        <f>IF($B317="","",IF(O$3=0,"n.b.",INDEX(SRC_Woningetalage!$A$1:$ZZ$501,$A317,O$3)))</f>
        <v/>
      </c>
      <c r="P317" t="str">
        <f>IF($B317="","",IF(P$3=0,"n.b.",INDEX(SRC_Woningetalage!$A$1:$ZZ$501,$A317,P$3)))</f>
        <v/>
      </c>
      <c r="Q317" s="124" t="str">
        <f>IF($B317="","",IF(Q$3=0,"n.b.",INDEX(SRC_Woningetalage!$A$1:$ZZ$501,$A317,Q$3)))</f>
        <v/>
      </c>
      <c r="R317" s="124" t="str">
        <f>IF($B317="","",IF(R$3=0,"n.b.",INDEX(SRC_Woningetalage!$A$1:$ZZ$501,$A317,R$3)))</f>
        <v/>
      </c>
      <c r="S317" s="124" t="str">
        <f>IF($B317="","",IF(S$3=0,"n.b.",INDEX(SRC_Woningetalage!$A$1:$ZZ$501,$A317,S$3)))</f>
        <v/>
      </c>
      <c r="T317" s="124" t="str">
        <f>IF($B317="","",IF(T$3=0,"n.b.",INDEX(SRC_Woningetalage!$A$1:$ZZ$501,$A317,T$3)))</f>
        <v/>
      </c>
      <c r="U317" s="124" t="str">
        <f>IF($B317="","",IF(U$3=0,"n.b.",INDEX(SRC_Woningetalage!$A$1:$ZZ$501,$A317,U$3)))</f>
        <v/>
      </c>
      <c r="V317" s="124" t="str">
        <f>IF($B317="","",IF(V$3=0,"n.b.",INDEX(SRC_Woningetalage!$A$1:$ZZ$501,$A317,V$3)))</f>
        <v/>
      </c>
      <c r="W317" s="124" t="str">
        <f>IF($B317="","",IF(W$3=0,"n.b.",INDEX(SRC_Woningetalage!$A$1:$ZZ$501,$A317,W$3)))</f>
        <v/>
      </c>
      <c r="X317" s="124" t="str">
        <f>IF($B317="","",IF(X$3=0,"n.b.",INDEX(SRC_Woningetalage!$A$1:$ZZ$501,$A317,X$3)))</f>
        <v/>
      </c>
      <c r="Y317" s="124" t="str">
        <f>IF($B317="","",IF(Y$3=0,"n.b.",INDEX(SRC_Woningetalage!$A$1:$ZZ$501,$A317,Y$3)))</f>
        <v/>
      </c>
      <c r="Z317" s="124" t="str">
        <f>IF($B317="","",IF(Z$3=0,"n.b.",INDEX(SRC_Woningetalage!$A$1:$ZZ$501,$A317,Z$3)))</f>
        <v/>
      </c>
      <c r="AA317" s="124" t="str">
        <f>IF($B317="","",IF(AA$3=0,"n.b.",INDEX(SRC_Woningetalage!$A$1:$ZZ$501,$A317,AA$3)))</f>
        <v/>
      </c>
      <c r="AB317" s="124" t="str">
        <f>IF($B317="","",IF(AB$3=0,"n.b.",INDEX(SRC_Woningetalage!$A$1:$ZZ$501,$A317,AB$3)))</f>
        <v/>
      </c>
      <c r="AC317" s="124" t="str">
        <f>IF($B317="","",IF(AC$3=0,"n.b.",INDEX(SRC_Woningetalage!$A$1:$ZZ$501,$A317,AC$3)))</f>
        <v/>
      </c>
      <c r="AD317" s="124" t="str">
        <f>IF($B317="","",IF(AD$3=0,"n.b.",INDEX(SRC_Woningetalage!$A$1:$ZZ$501,$A317,AD$3)))</f>
        <v/>
      </c>
      <c r="AE317" s="124" t="str">
        <f>IF($B317="","",IF(AE$3=0,"n.b.",INDEX(SRC_Woningetalage!$A$1:$ZZ$501,$A317,AE$3)))</f>
        <v/>
      </c>
      <c r="AF317" s="124" t="str">
        <f>IF($B317="","",IF(AF$3=0,"n.b.",INDEX(SRC_Woningetalage!$A$1:$ZZ$501,$A317,AF$3)))</f>
        <v/>
      </c>
      <c r="AG317" s="124" t="str">
        <f>IF($B317="","",IF(AG$3=0,"n.b.",INDEX(SRC_Woningetalage!$A$1:$ZZ$501,$A317,AG$3)))</f>
        <v/>
      </c>
      <c r="AH317" s="124" t="str">
        <f>IF($B317="","",IF(AH$3=0,"n.b.",INDEX(SRC_Woningetalage!$A$1:$ZZ$501,$A317,AH$3)))</f>
        <v/>
      </c>
      <c r="AI317" s="124" t="str">
        <f>IF($B317="","",IF(AI$3=0,"n.b.",INDEX(SRC_Woningetalage!$A$1:$ZZ$501,$A317,AI$3)))</f>
        <v/>
      </c>
      <c r="AJ317" s="124" t="str">
        <f>IF($B317="","",IF(AJ$3=0,"n.b.",INDEX(SRC_Woningetalage!$A$1:$ZZ$501,$A317,AJ$3)))</f>
        <v/>
      </c>
      <c r="AK317" s="124" t="str">
        <f>IF($B317="","",IF(AK$3=0,"n.b.",INDEX(SRC_Woningetalage!$A$1:$ZZ$501,$A317,AK$3)))</f>
        <v/>
      </c>
      <c r="AL317" s="124" t="str">
        <f>IF($B317="","",IF(AL$3=0,"n.b.",INDEX(SRC_Woningetalage!$A$1:$ZZ$501,$A317,AL$3)))</f>
        <v/>
      </c>
      <c r="AM317" s="124" t="str">
        <f>IF($B317="","",IF(AM$3=0,"n.b.",INDEX(SRC_Woningetalage!$A$1:$ZZ$501,$A317,AM$3)))</f>
        <v/>
      </c>
      <c r="AN317" s="124" t="str">
        <f>IF($B317="","",IF(AN$3=0,"n.b.",INDEX(SRC_Woningetalage!$A$1:$ZZ$501,$A317,AN$3)))</f>
        <v/>
      </c>
      <c r="AO317" s="124" t="str">
        <f>IF($B317="","",IF(AO$3=0,"n.b.",INDEX(SRC_Woningetalage!$A$1:$ZZ$501,$A317,AO$3)))</f>
        <v/>
      </c>
      <c r="AP317" s="124" t="str">
        <f>IF($B317="","",IF(AP$3=0,"n.b.",INDEX(SRC_Woningetalage!$A$1:$ZZ$501,$A317,AP$3)))</f>
        <v/>
      </c>
      <c r="AQ317" s="124" t="str">
        <f>IF($B317="","",IF(AQ$3=0,"n.b.",INDEX(SRC_Woningetalage!$A$1:$ZZ$501,$A317,AQ$3)))</f>
        <v/>
      </c>
      <c r="AR317" s="124" t="str">
        <f>IF($B317="","",IF(AR$3=0,"n.b.",INDEX(SRC_Woningetalage!$A$1:$ZZ$501,$A317,AR$3)))</f>
        <v/>
      </c>
      <c r="AS317" s="124" t="str">
        <f>IF($B317="","",IF(AS$3=0,"n.b.",INDEX(SRC_Woningetalage!$A$1:$ZZ$501,$A317,AS$3)))</f>
        <v/>
      </c>
      <c r="AT317" s="124" t="str">
        <f>IF($B317="","",IF(AT$3=0,"n.b.",INDEX(SRC_Woningetalage!$A$1:$ZZ$501,$A317,AT$3)))</f>
        <v/>
      </c>
      <c r="AU317" s="124" t="str">
        <f>IF($B317="","",IF(AU$3=0,"n.b.",INDEX(SRC_Woningetalage!$A$1:$ZZ$501,$A317,AU$3)))</f>
        <v/>
      </c>
      <c r="AV317" s="124" t="str">
        <f>IF($B317="","",IF(AV$3=0,"n.b.",INDEX(SRC_Woningetalage!$A$1:$ZZ$501,$A317,AV$3)))</f>
        <v/>
      </c>
      <c r="AW317" s="124" t="str">
        <f>IF($B317="","",IF(AW$3=0,"n.b.",INDEX(SRC_Woningetalage!$A$1:$ZZ$501,$A317,AW$3)))</f>
        <v/>
      </c>
      <c r="AX317" s="124" t="str">
        <f>IF($B317="","",IF(AX$3=0,"n.b.",INDEX(SRC_Woningetalage!$A$1:$ZZ$501,$A317,AX$3)))</f>
        <v/>
      </c>
      <c r="AY317" s="124" t="str">
        <f>IF($B317="","",IF(AY$3=0,"n.b.",INDEX(SRC_Woningetalage!$A$1:$ZZ$501,$A317,AY$3)))</f>
        <v/>
      </c>
      <c r="AZ317" s="124" t="str">
        <f>IF($B317="","",IF(AZ$3=0,"n.b.",INDEX(SRC_Woningetalage!$A$1:$ZZ$501,$A317,AZ$3)))</f>
        <v/>
      </c>
      <c r="BA317" s="124" t="str">
        <f>IF($B317="","",IF(BA$3=0,"n.b.",INDEX(SRC_Woningetalage!$A$1:$ZZ$501,$A317,BA$3)))</f>
        <v/>
      </c>
      <c r="BB317" s="124" t="str">
        <f>IF($B317="","",IF(BB$3=0,"n.b.",INDEX(SRC_Woningetalage!$A$1:$ZZ$501,$A317,BB$3)))</f>
        <v/>
      </c>
      <c r="BC317" s="124" t="str">
        <f>IF($B317="","",IFERROR(_xlfn.NUMBERVALUE(E317&amp;"",",","."),"n.b."))</f>
        <v/>
      </c>
      <c r="BD317" s="124" t="str">
        <f>IF($B317="","",IFERROR(_xlfn.NUMBERVALUE(M317&amp;"",",","."),"n.b."))</f>
        <v/>
      </c>
      <c r="BE317" s="124" t="str">
        <f>IF($B317="","",IFERROR(AB317+AC317+AD317,"n.b."))</f>
        <v/>
      </c>
      <c r="BF317" s="124" t="str">
        <f>IF($B317="","",IFERROR(AE317+AF317+AG317,"n.b."))</f>
        <v/>
      </c>
      <c r="BG317" s="124" t="str">
        <f>IF($B317="","",IFERROR(AH317+AI317+AJ317,"n.b."))</f>
        <v/>
      </c>
      <c r="BH317" s="124" t="str">
        <f>IF($B317="","",IFERROR(AK317+AL317+AM317,"n.b."))</f>
        <v/>
      </c>
      <c r="BI317" s="124" t="str">
        <f>IF($B317="","",IFERROR(SUMIF($AB$5:$AM$5,"&lt;="&amp;P_PeilMaand,AB317:AM317),"n.b."))</f>
        <v/>
      </c>
      <c r="BJ317" s="124" t="str">
        <f>IF($B317="","",IFERROR(SUM(AB317:AM317)-BI317,"n.b."))</f>
        <v/>
      </c>
      <c r="BK317" s="124" t="str">
        <f>IF($B317="","",IFERROR(IF(ABS(Q317-(T317+SUM(AB317:AM317)+AS317+AU317))&gt;P_Tol,1,0),1))</f>
        <v/>
      </c>
      <c r="BL317" s="124" t="str">
        <f>IF($B317="","",IFERROR(IF(ABS(AA317-(Q317-Z317))&gt;P_Tol,1,0),1))</f>
        <v/>
      </c>
      <c r="BM317" s="124" t="str">
        <f>IF($B317="","",IFERROR(IF(ABS(Z317-(T317+W317))&gt;P_Tol,1,0),1))</f>
        <v/>
      </c>
      <c r="BN317" s="124" t="str">
        <f>IF($B317="","",IFERROR(IF(ABS(W317-BI317)&gt;P_Tol,1,0),1))</f>
        <v/>
      </c>
      <c r="BO317" s="124" t="str">
        <f>IF($B317="","",IFERROR(IF(OR(ABS(R317+S317-T317)&gt;P_Tol,ABS(U317+V317-W317)&gt;P_Tol,ABS(X317+Y317-Z317)&gt;P_Tol),1,0),1))</f>
        <v/>
      </c>
      <c r="BP317" s="124" t="str">
        <f>IF($B317="","",IFERROR(IF(OR(ABS(AR317-SUM(AB317:AM317))&gt;P_Tol,ABS(AS317-(AN317+AO317+AP317+AQ317))&gt;P_Tol),1,0),1))</f>
        <v/>
      </c>
      <c r="BQ317" s="124" t="str">
        <f>IF($B317="","",IFERROR(IF(ABS(AT317)+ABS(AV317)+ABS(AW317)+ABS(AX317)+ABS(AY317)+ABS(AZ317)+ABS(BA317)+ABS(BB317)&gt;0,1,0),1))</f>
        <v/>
      </c>
      <c r="BR317" s="124" t="str">
        <f>IF($B317="","",COUNTIF(STG_ZPMW03!$B$6:$B$505,B317))</f>
        <v/>
      </c>
      <c r="BS317" s="124" t="str">
        <f>IF($B317="","",COUNTIF($B$6:$B$505,B317))</f>
        <v/>
      </c>
      <c r="BT317" s="124" t="str">
        <f>IF($B317="","",IF(BR317=0,0,IF(INDEX(STG_ZPMW03!$I$6:$I$505,MATCH(B317,STG_ZPMW03!$B$6:$B$505,0))=J317&amp;"",0,1)))</f>
        <v/>
      </c>
      <c r="BU317" s="124" t="str">
        <f>IF($B317="","",IFERROR(IF(ABS(INDEX(Mapping!$D$5:$D$104,MATCH(B317,Mapping!$A$5:$A$104,0))-Q317)&gt;P_Tol,1,0),0))</f>
        <v/>
      </c>
      <c r="BV317" s="124" t="str">
        <f>IF($B317="","",IFERROR(IF(AND(INDEX(Mapping!$G$5:$G$104,MATCH(B317,Mapping!$A$5:$A$104,0))="Nee",ABS(Q317)+ABS(Z317)+ABS(AR317)&gt;0),1,0),0))</f>
        <v/>
      </c>
      <c r="BW317" s="124" t="str">
        <f>IF($B317="","",IF(COUNTIF(Mapping!$A$5:$A$104,B317)&gt;0,1,0))</f>
        <v/>
      </c>
      <c r="BX317" s="124" t="str">
        <f>IF($B317="","",IF(BR317=0,COUNTIF($BR$6:BR317,0),""))</f>
        <v/>
      </c>
    </row>
    <row r="318">
      <c r="A318" s="15" t="n">
        <v>314</v>
      </c>
      <c r="B318" t="str">
        <f>IF(B$3=0,"",IF(INDEX(SRC_Woningetalage!$A$1:$ZZ$501,$A318,B$3)&amp;""="","",INDEX(SRC_Woningetalage!$A$1:$ZZ$501,$A318,B$3)&amp;""))</f>
        <v/>
      </c>
      <c r="C318" t="str">
        <f>IF($B318="","",IF(C$3=0,"n.b.",INDEX(SRC_Woningetalage!$A$1:$ZZ$501,$A318,C$3)))</f>
        <v/>
      </c>
      <c r="D318" t="str">
        <f>IF($B318="","",IF(D$3=0,"n.b.",INDEX(SRC_Woningetalage!$A$1:$ZZ$501,$A318,D$3)))</f>
        <v/>
      </c>
      <c r="E318" t="str">
        <f>IF($B318="","",IF(E$3=0,"n.b.",INDEX(SRC_Woningetalage!$A$1:$ZZ$501,$A318,E$3)))</f>
        <v/>
      </c>
      <c r="F318" t="str">
        <f>IF($B318="","",IF(F$3=0,"n.b.",INDEX(SRC_Woningetalage!$A$1:$ZZ$501,$A318,F$3)))</f>
        <v/>
      </c>
      <c r="G318" t="str">
        <f>IF($B318="","",IF(G$3=0,"n.b.",INDEX(SRC_Woningetalage!$A$1:$ZZ$501,$A318,G$3)))</f>
        <v/>
      </c>
      <c r="H318" t="str">
        <f>IF($B318="","",IF(H$3=0,"n.b.",INDEX(SRC_Woningetalage!$A$1:$ZZ$501,$A318,H$3)))</f>
        <v/>
      </c>
      <c r="I318" t="str">
        <f>IF($B318="","",IF(I$3=0,"n.b.",INDEX(SRC_Woningetalage!$A$1:$ZZ$501,$A318,I$3)))</f>
        <v/>
      </c>
      <c r="J318" t="str">
        <f>IF($B318="","",IF(J$3=0,"n.b.",INDEX(SRC_Woningetalage!$A$1:$ZZ$501,$A318,J$3)))</f>
        <v/>
      </c>
      <c r="K318" t="str">
        <f>IF($B318="","",IF(K$3=0,"n.b.",INDEX(SRC_Woningetalage!$A$1:$ZZ$501,$A318,K$3)))</f>
        <v/>
      </c>
      <c r="L318" t="str">
        <f>IF($B318="","",IF(L$3=0,"n.b.",INDEX(SRC_Woningetalage!$A$1:$ZZ$501,$A318,L$3)))</f>
        <v/>
      </c>
      <c r="M318" t="str">
        <f>IF($B318="","",IF(M$3=0,"n.b.",INDEX(SRC_Woningetalage!$A$1:$ZZ$501,$A318,M$3)))</f>
        <v/>
      </c>
      <c r="N318" t="str">
        <f>IF($B318="","",IF(N$3=0,"n.b.",INDEX(SRC_Woningetalage!$A$1:$ZZ$501,$A318,N$3)))</f>
        <v/>
      </c>
      <c r="O318" t="str">
        <f>IF($B318="","",IF(O$3=0,"n.b.",INDEX(SRC_Woningetalage!$A$1:$ZZ$501,$A318,O$3)))</f>
        <v/>
      </c>
      <c r="P318" t="str">
        <f>IF($B318="","",IF(P$3=0,"n.b.",INDEX(SRC_Woningetalage!$A$1:$ZZ$501,$A318,P$3)))</f>
        <v/>
      </c>
      <c r="Q318" s="124" t="str">
        <f>IF($B318="","",IF(Q$3=0,"n.b.",INDEX(SRC_Woningetalage!$A$1:$ZZ$501,$A318,Q$3)))</f>
        <v/>
      </c>
      <c r="R318" s="124" t="str">
        <f>IF($B318="","",IF(R$3=0,"n.b.",INDEX(SRC_Woningetalage!$A$1:$ZZ$501,$A318,R$3)))</f>
        <v/>
      </c>
      <c r="S318" s="124" t="str">
        <f>IF($B318="","",IF(S$3=0,"n.b.",INDEX(SRC_Woningetalage!$A$1:$ZZ$501,$A318,S$3)))</f>
        <v/>
      </c>
      <c r="T318" s="124" t="str">
        <f>IF($B318="","",IF(T$3=0,"n.b.",INDEX(SRC_Woningetalage!$A$1:$ZZ$501,$A318,T$3)))</f>
        <v/>
      </c>
      <c r="U318" s="124" t="str">
        <f>IF($B318="","",IF(U$3=0,"n.b.",INDEX(SRC_Woningetalage!$A$1:$ZZ$501,$A318,U$3)))</f>
        <v/>
      </c>
      <c r="V318" s="124" t="str">
        <f>IF($B318="","",IF(V$3=0,"n.b.",INDEX(SRC_Woningetalage!$A$1:$ZZ$501,$A318,V$3)))</f>
        <v/>
      </c>
      <c r="W318" s="124" t="str">
        <f>IF($B318="","",IF(W$3=0,"n.b.",INDEX(SRC_Woningetalage!$A$1:$ZZ$501,$A318,W$3)))</f>
        <v/>
      </c>
      <c r="X318" s="124" t="str">
        <f>IF($B318="","",IF(X$3=0,"n.b.",INDEX(SRC_Woningetalage!$A$1:$ZZ$501,$A318,X$3)))</f>
        <v/>
      </c>
      <c r="Y318" s="124" t="str">
        <f>IF($B318="","",IF(Y$3=0,"n.b.",INDEX(SRC_Woningetalage!$A$1:$ZZ$501,$A318,Y$3)))</f>
        <v/>
      </c>
      <c r="Z318" s="124" t="str">
        <f>IF($B318="","",IF(Z$3=0,"n.b.",INDEX(SRC_Woningetalage!$A$1:$ZZ$501,$A318,Z$3)))</f>
        <v/>
      </c>
      <c r="AA318" s="124" t="str">
        <f>IF($B318="","",IF(AA$3=0,"n.b.",INDEX(SRC_Woningetalage!$A$1:$ZZ$501,$A318,AA$3)))</f>
        <v/>
      </c>
      <c r="AB318" s="124" t="str">
        <f>IF($B318="","",IF(AB$3=0,"n.b.",INDEX(SRC_Woningetalage!$A$1:$ZZ$501,$A318,AB$3)))</f>
        <v/>
      </c>
      <c r="AC318" s="124" t="str">
        <f>IF($B318="","",IF(AC$3=0,"n.b.",INDEX(SRC_Woningetalage!$A$1:$ZZ$501,$A318,AC$3)))</f>
        <v/>
      </c>
      <c r="AD318" s="124" t="str">
        <f>IF($B318="","",IF(AD$3=0,"n.b.",INDEX(SRC_Woningetalage!$A$1:$ZZ$501,$A318,AD$3)))</f>
        <v/>
      </c>
      <c r="AE318" s="124" t="str">
        <f>IF($B318="","",IF(AE$3=0,"n.b.",INDEX(SRC_Woningetalage!$A$1:$ZZ$501,$A318,AE$3)))</f>
        <v/>
      </c>
      <c r="AF318" s="124" t="str">
        <f>IF($B318="","",IF(AF$3=0,"n.b.",INDEX(SRC_Woningetalage!$A$1:$ZZ$501,$A318,AF$3)))</f>
        <v/>
      </c>
      <c r="AG318" s="124" t="str">
        <f>IF($B318="","",IF(AG$3=0,"n.b.",INDEX(SRC_Woningetalage!$A$1:$ZZ$501,$A318,AG$3)))</f>
        <v/>
      </c>
      <c r="AH318" s="124" t="str">
        <f>IF($B318="","",IF(AH$3=0,"n.b.",INDEX(SRC_Woningetalage!$A$1:$ZZ$501,$A318,AH$3)))</f>
        <v/>
      </c>
      <c r="AI318" s="124" t="str">
        <f>IF($B318="","",IF(AI$3=0,"n.b.",INDEX(SRC_Woningetalage!$A$1:$ZZ$501,$A318,AI$3)))</f>
        <v/>
      </c>
      <c r="AJ318" s="124" t="str">
        <f>IF($B318="","",IF(AJ$3=0,"n.b.",INDEX(SRC_Woningetalage!$A$1:$ZZ$501,$A318,AJ$3)))</f>
        <v/>
      </c>
      <c r="AK318" s="124" t="str">
        <f>IF($B318="","",IF(AK$3=0,"n.b.",INDEX(SRC_Woningetalage!$A$1:$ZZ$501,$A318,AK$3)))</f>
        <v/>
      </c>
      <c r="AL318" s="124" t="str">
        <f>IF($B318="","",IF(AL$3=0,"n.b.",INDEX(SRC_Woningetalage!$A$1:$ZZ$501,$A318,AL$3)))</f>
        <v/>
      </c>
      <c r="AM318" s="124" t="str">
        <f>IF($B318="","",IF(AM$3=0,"n.b.",INDEX(SRC_Woningetalage!$A$1:$ZZ$501,$A318,AM$3)))</f>
        <v/>
      </c>
      <c r="AN318" s="124" t="str">
        <f>IF($B318="","",IF(AN$3=0,"n.b.",INDEX(SRC_Woningetalage!$A$1:$ZZ$501,$A318,AN$3)))</f>
        <v/>
      </c>
      <c r="AO318" s="124" t="str">
        <f>IF($B318="","",IF(AO$3=0,"n.b.",INDEX(SRC_Woningetalage!$A$1:$ZZ$501,$A318,AO$3)))</f>
        <v/>
      </c>
      <c r="AP318" s="124" t="str">
        <f>IF($B318="","",IF(AP$3=0,"n.b.",INDEX(SRC_Woningetalage!$A$1:$ZZ$501,$A318,AP$3)))</f>
        <v/>
      </c>
      <c r="AQ318" s="124" t="str">
        <f>IF($B318="","",IF(AQ$3=0,"n.b.",INDEX(SRC_Woningetalage!$A$1:$ZZ$501,$A318,AQ$3)))</f>
        <v/>
      </c>
      <c r="AR318" s="124" t="str">
        <f>IF($B318="","",IF(AR$3=0,"n.b.",INDEX(SRC_Woningetalage!$A$1:$ZZ$501,$A318,AR$3)))</f>
        <v/>
      </c>
      <c r="AS318" s="124" t="str">
        <f>IF($B318="","",IF(AS$3=0,"n.b.",INDEX(SRC_Woningetalage!$A$1:$ZZ$501,$A318,AS$3)))</f>
        <v/>
      </c>
      <c r="AT318" s="124" t="str">
        <f>IF($B318="","",IF(AT$3=0,"n.b.",INDEX(SRC_Woningetalage!$A$1:$ZZ$501,$A318,AT$3)))</f>
        <v/>
      </c>
      <c r="AU318" s="124" t="str">
        <f>IF($B318="","",IF(AU$3=0,"n.b.",INDEX(SRC_Woningetalage!$A$1:$ZZ$501,$A318,AU$3)))</f>
        <v/>
      </c>
      <c r="AV318" s="124" t="str">
        <f>IF($B318="","",IF(AV$3=0,"n.b.",INDEX(SRC_Woningetalage!$A$1:$ZZ$501,$A318,AV$3)))</f>
        <v/>
      </c>
      <c r="AW318" s="124" t="str">
        <f>IF($B318="","",IF(AW$3=0,"n.b.",INDEX(SRC_Woningetalage!$A$1:$ZZ$501,$A318,AW$3)))</f>
        <v/>
      </c>
      <c r="AX318" s="124" t="str">
        <f>IF($B318="","",IF(AX$3=0,"n.b.",INDEX(SRC_Woningetalage!$A$1:$ZZ$501,$A318,AX$3)))</f>
        <v/>
      </c>
      <c r="AY318" s="124" t="str">
        <f>IF($B318="","",IF(AY$3=0,"n.b.",INDEX(SRC_Woningetalage!$A$1:$ZZ$501,$A318,AY$3)))</f>
        <v/>
      </c>
      <c r="AZ318" s="124" t="str">
        <f>IF($B318="","",IF(AZ$3=0,"n.b.",INDEX(SRC_Woningetalage!$A$1:$ZZ$501,$A318,AZ$3)))</f>
        <v/>
      </c>
      <c r="BA318" s="124" t="str">
        <f>IF($B318="","",IF(BA$3=0,"n.b.",INDEX(SRC_Woningetalage!$A$1:$ZZ$501,$A318,BA$3)))</f>
        <v/>
      </c>
      <c r="BB318" s="124" t="str">
        <f>IF($B318="","",IF(BB$3=0,"n.b.",INDEX(SRC_Woningetalage!$A$1:$ZZ$501,$A318,BB$3)))</f>
        <v/>
      </c>
      <c r="BC318" s="124" t="str">
        <f>IF($B318="","",IFERROR(_xlfn.NUMBERVALUE(E318&amp;"",",","."),"n.b."))</f>
        <v/>
      </c>
      <c r="BD318" s="124" t="str">
        <f>IF($B318="","",IFERROR(_xlfn.NUMBERVALUE(M318&amp;"",",","."),"n.b."))</f>
        <v/>
      </c>
      <c r="BE318" s="124" t="str">
        <f>IF($B318="","",IFERROR(AB318+AC318+AD318,"n.b."))</f>
        <v/>
      </c>
      <c r="BF318" s="124" t="str">
        <f>IF($B318="","",IFERROR(AE318+AF318+AG318,"n.b."))</f>
        <v/>
      </c>
      <c r="BG318" s="124" t="str">
        <f>IF($B318="","",IFERROR(AH318+AI318+AJ318,"n.b."))</f>
        <v/>
      </c>
      <c r="BH318" s="124" t="str">
        <f>IF($B318="","",IFERROR(AK318+AL318+AM318,"n.b."))</f>
        <v/>
      </c>
      <c r="BI318" s="124" t="str">
        <f>IF($B318="","",IFERROR(SUMIF($AB$5:$AM$5,"&lt;="&amp;P_PeilMaand,AB318:AM318),"n.b."))</f>
        <v/>
      </c>
      <c r="BJ318" s="124" t="str">
        <f>IF($B318="","",IFERROR(SUM(AB318:AM318)-BI318,"n.b."))</f>
        <v/>
      </c>
      <c r="BK318" s="124" t="str">
        <f>IF($B318="","",IFERROR(IF(ABS(Q318-(T318+SUM(AB318:AM318)+AS318+AU318))&gt;P_Tol,1,0),1))</f>
        <v/>
      </c>
      <c r="BL318" s="124" t="str">
        <f>IF($B318="","",IFERROR(IF(ABS(AA318-(Q318-Z318))&gt;P_Tol,1,0),1))</f>
        <v/>
      </c>
      <c r="BM318" s="124" t="str">
        <f>IF($B318="","",IFERROR(IF(ABS(Z318-(T318+W318))&gt;P_Tol,1,0),1))</f>
        <v/>
      </c>
      <c r="BN318" s="124" t="str">
        <f>IF($B318="","",IFERROR(IF(ABS(W318-BI318)&gt;P_Tol,1,0),1))</f>
        <v/>
      </c>
      <c r="BO318" s="124" t="str">
        <f>IF($B318="","",IFERROR(IF(OR(ABS(R318+S318-T318)&gt;P_Tol,ABS(U318+V318-W318)&gt;P_Tol,ABS(X318+Y318-Z318)&gt;P_Tol),1,0),1))</f>
        <v/>
      </c>
      <c r="BP318" s="124" t="str">
        <f>IF($B318="","",IFERROR(IF(OR(ABS(AR318-SUM(AB318:AM318))&gt;P_Tol,ABS(AS318-(AN318+AO318+AP318+AQ318))&gt;P_Tol),1,0),1))</f>
        <v/>
      </c>
      <c r="BQ318" s="124" t="str">
        <f>IF($B318="","",IFERROR(IF(ABS(AT318)+ABS(AV318)+ABS(AW318)+ABS(AX318)+ABS(AY318)+ABS(AZ318)+ABS(BA318)+ABS(BB318)&gt;0,1,0),1))</f>
        <v/>
      </c>
      <c r="BR318" s="124" t="str">
        <f>IF($B318="","",COUNTIF(STG_ZPMW03!$B$6:$B$505,B318))</f>
        <v/>
      </c>
      <c r="BS318" s="124" t="str">
        <f>IF($B318="","",COUNTIF($B$6:$B$505,B318))</f>
        <v/>
      </c>
      <c r="BT318" s="124" t="str">
        <f>IF($B318="","",IF(BR318=0,0,IF(INDEX(STG_ZPMW03!$I$6:$I$505,MATCH(B318,STG_ZPMW03!$B$6:$B$505,0))=J318&amp;"",0,1)))</f>
        <v/>
      </c>
      <c r="BU318" s="124" t="str">
        <f>IF($B318="","",IFERROR(IF(ABS(INDEX(Mapping!$D$5:$D$104,MATCH(B318,Mapping!$A$5:$A$104,0))-Q318)&gt;P_Tol,1,0),0))</f>
        <v/>
      </c>
      <c r="BV318" s="124" t="str">
        <f>IF($B318="","",IFERROR(IF(AND(INDEX(Mapping!$G$5:$G$104,MATCH(B318,Mapping!$A$5:$A$104,0))="Nee",ABS(Q318)+ABS(Z318)+ABS(AR318)&gt;0),1,0),0))</f>
        <v/>
      </c>
      <c r="BW318" s="124" t="str">
        <f>IF($B318="","",IF(COUNTIF(Mapping!$A$5:$A$104,B318)&gt;0,1,0))</f>
        <v/>
      </c>
      <c r="BX318" s="124" t="str">
        <f>IF($B318="","",IF(BR318=0,COUNTIF($BR$6:BR318,0),""))</f>
        <v/>
      </c>
    </row>
    <row r="319">
      <c r="A319" s="15" t="n">
        <v>315</v>
      </c>
      <c r="B319" t="str">
        <f>IF(B$3=0,"",IF(INDEX(SRC_Woningetalage!$A$1:$ZZ$501,$A319,B$3)&amp;""="","",INDEX(SRC_Woningetalage!$A$1:$ZZ$501,$A319,B$3)&amp;""))</f>
        <v/>
      </c>
      <c r="C319" t="str">
        <f>IF($B319="","",IF(C$3=0,"n.b.",INDEX(SRC_Woningetalage!$A$1:$ZZ$501,$A319,C$3)))</f>
        <v/>
      </c>
      <c r="D319" t="str">
        <f>IF($B319="","",IF(D$3=0,"n.b.",INDEX(SRC_Woningetalage!$A$1:$ZZ$501,$A319,D$3)))</f>
        <v/>
      </c>
      <c r="E319" t="str">
        <f>IF($B319="","",IF(E$3=0,"n.b.",INDEX(SRC_Woningetalage!$A$1:$ZZ$501,$A319,E$3)))</f>
        <v/>
      </c>
      <c r="F319" t="str">
        <f>IF($B319="","",IF(F$3=0,"n.b.",INDEX(SRC_Woningetalage!$A$1:$ZZ$501,$A319,F$3)))</f>
        <v/>
      </c>
      <c r="G319" t="str">
        <f>IF($B319="","",IF(G$3=0,"n.b.",INDEX(SRC_Woningetalage!$A$1:$ZZ$501,$A319,G$3)))</f>
        <v/>
      </c>
      <c r="H319" t="str">
        <f>IF($B319="","",IF(H$3=0,"n.b.",INDEX(SRC_Woningetalage!$A$1:$ZZ$501,$A319,H$3)))</f>
        <v/>
      </c>
      <c r="I319" t="str">
        <f>IF($B319="","",IF(I$3=0,"n.b.",INDEX(SRC_Woningetalage!$A$1:$ZZ$501,$A319,I$3)))</f>
        <v/>
      </c>
      <c r="J319" t="str">
        <f>IF($B319="","",IF(J$3=0,"n.b.",INDEX(SRC_Woningetalage!$A$1:$ZZ$501,$A319,J$3)))</f>
        <v/>
      </c>
      <c r="K319" t="str">
        <f>IF($B319="","",IF(K$3=0,"n.b.",INDEX(SRC_Woningetalage!$A$1:$ZZ$501,$A319,K$3)))</f>
        <v/>
      </c>
      <c r="L319" t="str">
        <f>IF($B319="","",IF(L$3=0,"n.b.",INDEX(SRC_Woningetalage!$A$1:$ZZ$501,$A319,L$3)))</f>
        <v/>
      </c>
      <c r="M319" t="str">
        <f>IF($B319="","",IF(M$3=0,"n.b.",INDEX(SRC_Woningetalage!$A$1:$ZZ$501,$A319,M$3)))</f>
        <v/>
      </c>
      <c r="N319" t="str">
        <f>IF($B319="","",IF(N$3=0,"n.b.",INDEX(SRC_Woningetalage!$A$1:$ZZ$501,$A319,N$3)))</f>
        <v/>
      </c>
      <c r="O319" t="str">
        <f>IF($B319="","",IF(O$3=0,"n.b.",INDEX(SRC_Woningetalage!$A$1:$ZZ$501,$A319,O$3)))</f>
        <v/>
      </c>
      <c r="P319" t="str">
        <f>IF($B319="","",IF(P$3=0,"n.b.",INDEX(SRC_Woningetalage!$A$1:$ZZ$501,$A319,P$3)))</f>
        <v/>
      </c>
      <c r="Q319" s="124" t="str">
        <f>IF($B319="","",IF(Q$3=0,"n.b.",INDEX(SRC_Woningetalage!$A$1:$ZZ$501,$A319,Q$3)))</f>
        <v/>
      </c>
      <c r="R319" s="124" t="str">
        <f>IF($B319="","",IF(R$3=0,"n.b.",INDEX(SRC_Woningetalage!$A$1:$ZZ$501,$A319,R$3)))</f>
        <v/>
      </c>
      <c r="S319" s="124" t="str">
        <f>IF($B319="","",IF(S$3=0,"n.b.",INDEX(SRC_Woningetalage!$A$1:$ZZ$501,$A319,S$3)))</f>
        <v/>
      </c>
      <c r="T319" s="124" t="str">
        <f>IF($B319="","",IF(T$3=0,"n.b.",INDEX(SRC_Woningetalage!$A$1:$ZZ$501,$A319,T$3)))</f>
        <v/>
      </c>
      <c r="U319" s="124" t="str">
        <f>IF($B319="","",IF(U$3=0,"n.b.",INDEX(SRC_Woningetalage!$A$1:$ZZ$501,$A319,U$3)))</f>
        <v/>
      </c>
      <c r="V319" s="124" t="str">
        <f>IF($B319="","",IF(V$3=0,"n.b.",INDEX(SRC_Woningetalage!$A$1:$ZZ$501,$A319,V$3)))</f>
        <v/>
      </c>
      <c r="W319" s="124" t="str">
        <f>IF($B319="","",IF(W$3=0,"n.b.",INDEX(SRC_Woningetalage!$A$1:$ZZ$501,$A319,W$3)))</f>
        <v/>
      </c>
      <c r="X319" s="124" t="str">
        <f>IF($B319="","",IF(X$3=0,"n.b.",INDEX(SRC_Woningetalage!$A$1:$ZZ$501,$A319,X$3)))</f>
        <v/>
      </c>
      <c r="Y319" s="124" t="str">
        <f>IF($B319="","",IF(Y$3=0,"n.b.",INDEX(SRC_Woningetalage!$A$1:$ZZ$501,$A319,Y$3)))</f>
        <v/>
      </c>
      <c r="Z319" s="124" t="str">
        <f>IF($B319="","",IF(Z$3=0,"n.b.",INDEX(SRC_Woningetalage!$A$1:$ZZ$501,$A319,Z$3)))</f>
        <v/>
      </c>
      <c r="AA319" s="124" t="str">
        <f>IF($B319="","",IF(AA$3=0,"n.b.",INDEX(SRC_Woningetalage!$A$1:$ZZ$501,$A319,AA$3)))</f>
        <v/>
      </c>
      <c r="AB319" s="124" t="str">
        <f>IF($B319="","",IF(AB$3=0,"n.b.",INDEX(SRC_Woningetalage!$A$1:$ZZ$501,$A319,AB$3)))</f>
        <v/>
      </c>
      <c r="AC319" s="124" t="str">
        <f>IF($B319="","",IF(AC$3=0,"n.b.",INDEX(SRC_Woningetalage!$A$1:$ZZ$501,$A319,AC$3)))</f>
        <v/>
      </c>
      <c r="AD319" s="124" t="str">
        <f>IF($B319="","",IF(AD$3=0,"n.b.",INDEX(SRC_Woningetalage!$A$1:$ZZ$501,$A319,AD$3)))</f>
        <v/>
      </c>
      <c r="AE319" s="124" t="str">
        <f>IF($B319="","",IF(AE$3=0,"n.b.",INDEX(SRC_Woningetalage!$A$1:$ZZ$501,$A319,AE$3)))</f>
        <v/>
      </c>
      <c r="AF319" s="124" t="str">
        <f>IF($B319="","",IF(AF$3=0,"n.b.",INDEX(SRC_Woningetalage!$A$1:$ZZ$501,$A319,AF$3)))</f>
        <v/>
      </c>
      <c r="AG319" s="124" t="str">
        <f>IF($B319="","",IF(AG$3=0,"n.b.",INDEX(SRC_Woningetalage!$A$1:$ZZ$501,$A319,AG$3)))</f>
        <v/>
      </c>
      <c r="AH319" s="124" t="str">
        <f>IF($B319="","",IF(AH$3=0,"n.b.",INDEX(SRC_Woningetalage!$A$1:$ZZ$501,$A319,AH$3)))</f>
        <v/>
      </c>
      <c r="AI319" s="124" t="str">
        <f>IF($B319="","",IF(AI$3=0,"n.b.",INDEX(SRC_Woningetalage!$A$1:$ZZ$501,$A319,AI$3)))</f>
        <v/>
      </c>
      <c r="AJ319" s="124" t="str">
        <f>IF($B319="","",IF(AJ$3=0,"n.b.",INDEX(SRC_Woningetalage!$A$1:$ZZ$501,$A319,AJ$3)))</f>
        <v/>
      </c>
      <c r="AK319" s="124" t="str">
        <f>IF($B319="","",IF(AK$3=0,"n.b.",INDEX(SRC_Woningetalage!$A$1:$ZZ$501,$A319,AK$3)))</f>
        <v/>
      </c>
      <c r="AL319" s="124" t="str">
        <f>IF($B319="","",IF(AL$3=0,"n.b.",INDEX(SRC_Woningetalage!$A$1:$ZZ$501,$A319,AL$3)))</f>
        <v/>
      </c>
      <c r="AM319" s="124" t="str">
        <f>IF($B319="","",IF(AM$3=0,"n.b.",INDEX(SRC_Woningetalage!$A$1:$ZZ$501,$A319,AM$3)))</f>
        <v/>
      </c>
      <c r="AN319" s="124" t="str">
        <f>IF($B319="","",IF(AN$3=0,"n.b.",INDEX(SRC_Woningetalage!$A$1:$ZZ$501,$A319,AN$3)))</f>
        <v/>
      </c>
      <c r="AO319" s="124" t="str">
        <f>IF($B319="","",IF(AO$3=0,"n.b.",INDEX(SRC_Woningetalage!$A$1:$ZZ$501,$A319,AO$3)))</f>
        <v/>
      </c>
      <c r="AP319" s="124" t="str">
        <f>IF($B319="","",IF(AP$3=0,"n.b.",INDEX(SRC_Woningetalage!$A$1:$ZZ$501,$A319,AP$3)))</f>
        <v/>
      </c>
      <c r="AQ319" s="124" t="str">
        <f>IF($B319="","",IF(AQ$3=0,"n.b.",INDEX(SRC_Woningetalage!$A$1:$ZZ$501,$A319,AQ$3)))</f>
        <v/>
      </c>
      <c r="AR319" s="124" t="str">
        <f>IF($B319="","",IF(AR$3=0,"n.b.",INDEX(SRC_Woningetalage!$A$1:$ZZ$501,$A319,AR$3)))</f>
        <v/>
      </c>
      <c r="AS319" s="124" t="str">
        <f>IF($B319="","",IF(AS$3=0,"n.b.",INDEX(SRC_Woningetalage!$A$1:$ZZ$501,$A319,AS$3)))</f>
        <v/>
      </c>
      <c r="AT319" s="124" t="str">
        <f>IF($B319="","",IF(AT$3=0,"n.b.",INDEX(SRC_Woningetalage!$A$1:$ZZ$501,$A319,AT$3)))</f>
        <v/>
      </c>
      <c r="AU319" s="124" t="str">
        <f>IF($B319="","",IF(AU$3=0,"n.b.",INDEX(SRC_Woningetalage!$A$1:$ZZ$501,$A319,AU$3)))</f>
        <v/>
      </c>
      <c r="AV319" s="124" t="str">
        <f>IF($B319="","",IF(AV$3=0,"n.b.",INDEX(SRC_Woningetalage!$A$1:$ZZ$501,$A319,AV$3)))</f>
        <v/>
      </c>
      <c r="AW319" s="124" t="str">
        <f>IF($B319="","",IF(AW$3=0,"n.b.",INDEX(SRC_Woningetalage!$A$1:$ZZ$501,$A319,AW$3)))</f>
        <v/>
      </c>
      <c r="AX319" s="124" t="str">
        <f>IF($B319="","",IF(AX$3=0,"n.b.",INDEX(SRC_Woningetalage!$A$1:$ZZ$501,$A319,AX$3)))</f>
        <v/>
      </c>
      <c r="AY319" s="124" t="str">
        <f>IF($B319="","",IF(AY$3=0,"n.b.",INDEX(SRC_Woningetalage!$A$1:$ZZ$501,$A319,AY$3)))</f>
        <v/>
      </c>
      <c r="AZ319" s="124" t="str">
        <f>IF($B319="","",IF(AZ$3=0,"n.b.",INDEX(SRC_Woningetalage!$A$1:$ZZ$501,$A319,AZ$3)))</f>
        <v/>
      </c>
      <c r="BA319" s="124" t="str">
        <f>IF($B319="","",IF(BA$3=0,"n.b.",INDEX(SRC_Woningetalage!$A$1:$ZZ$501,$A319,BA$3)))</f>
        <v/>
      </c>
      <c r="BB319" s="124" t="str">
        <f>IF($B319="","",IF(BB$3=0,"n.b.",INDEX(SRC_Woningetalage!$A$1:$ZZ$501,$A319,BB$3)))</f>
        <v/>
      </c>
      <c r="BC319" s="124" t="str">
        <f>IF($B319="","",IFERROR(_xlfn.NUMBERVALUE(E319&amp;"",",","."),"n.b."))</f>
        <v/>
      </c>
      <c r="BD319" s="124" t="str">
        <f>IF($B319="","",IFERROR(_xlfn.NUMBERVALUE(M319&amp;"",",","."),"n.b."))</f>
        <v/>
      </c>
      <c r="BE319" s="124" t="str">
        <f>IF($B319="","",IFERROR(AB319+AC319+AD319,"n.b."))</f>
        <v/>
      </c>
      <c r="BF319" s="124" t="str">
        <f>IF($B319="","",IFERROR(AE319+AF319+AG319,"n.b."))</f>
        <v/>
      </c>
      <c r="BG319" s="124" t="str">
        <f>IF($B319="","",IFERROR(AH319+AI319+AJ319,"n.b."))</f>
        <v/>
      </c>
      <c r="BH319" s="124" t="str">
        <f>IF($B319="","",IFERROR(AK319+AL319+AM319,"n.b."))</f>
        <v/>
      </c>
      <c r="BI319" s="124" t="str">
        <f>IF($B319="","",IFERROR(SUMIF($AB$5:$AM$5,"&lt;="&amp;P_PeilMaand,AB319:AM319),"n.b."))</f>
        <v/>
      </c>
      <c r="BJ319" s="124" t="str">
        <f>IF($B319="","",IFERROR(SUM(AB319:AM319)-BI319,"n.b."))</f>
        <v/>
      </c>
      <c r="BK319" s="124" t="str">
        <f>IF($B319="","",IFERROR(IF(ABS(Q319-(T319+SUM(AB319:AM319)+AS319+AU319))&gt;P_Tol,1,0),1))</f>
        <v/>
      </c>
      <c r="BL319" s="124" t="str">
        <f>IF($B319="","",IFERROR(IF(ABS(AA319-(Q319-Z319))&gt;P_Tol,1,0),1))</f>
        <v/>
      </c>
      <c r="BM319" s="124" t="str">
        <f>IF($B319="","",IFERROR(IF(ABS(Z319-(T319+W319))&gt;P_Tol,1,0),1))</f>
        <v/>
      </c>
      <c r="BN319" s="124" t="str">
        <f>IF($B319="","",IFERROR(IF(ABS(W319-BI319)&gt;P_Tol,1,0),1))</f>
        <v/>
      </c>
      <c r="BO319" s="124" t="str">
        <f>IF($B319="","",IFERROR(IF(OR(ABS(R319+S319-T319)&gt;P_Tol,ABS(U319+V319-W319)&gt;P_Tol,ABS(X319+Y319-Z319)&gt;P_Tol),1,0),1))</f>
        <v/>
      </c>
      <c r="BP319" s="124" t="str">
        <f>IF($B319="","",IFERROR(IF(OR(ABS(AR319-SUM(AB319:AM319))&gt;P_Tol,ABS(AS319-(AN319+AO319+AP319+AQ319))&gt;P_Tol),1,0),1))</f>
        <v/>
      </c>
      <c r="BQ319" s="124" t="str">
        <f>IF($B319="","",IFERROR(IF(ABS(AT319)+ABS(AV319)+ABS(AW319)+ABS(AX319)+ABS(AY319)+ABS(AZ319)+ABS(BA319)+ABS(BB319)&gt;0,1,0),1))</f>
        <v/>
      </c>
      <c r="BR319" s="124" t="str">
        <f>IF($B319="","",COUNTIF(STG_ZPMW03!$B$6:$B$505,B319))</f>
        <v/>
      </c>
      <c r="BS319" s="124" t="str">
        <f>IF($B319="","",COUNTIF($B$6:$B$505,B319))</f>
        <v/>
      </c>
      <c r="BT319" s="124" t="str">
        <f>IF($B319="","",IF(BR319=0,0,IF(INDEX(STG_ZPMW03!$I$6:$I$505,MATCH(B319,STG_ZPMW03!$B$6:$B$505,0))=J319&amp;"",0,1)))</f>
        <v/>
      </c>
      <c r="BU319" s="124" t="str">
        <f>IF($B319="","",IFERROR(IF(ABS(INDEX(Mapping!$D$5:$D$104,MATCH(B319,Mapping!$A$5:$A$104,0))-Q319)&gt;P_Tol,1,0),0))</f>
        <v/>
      </c>
      <c r="BV319" s="124" t="str">
        <f>IF($B319="","",IFERROR(IF(AND(INDEX(Mapping!$G$5:$G$104,MATCH(B319,Mapping!$A$5:$A$104,0))="Nee",ABS(Q319)+ABS(Z319)+ABS(AR319)&gt;0),1,0),0))</f>
        <v/>
      </c>
      <c r="BW319" s="124" t="str">
        <f>IF($B319="","",IF(COUNTIF(Mapping!$A$5:$A$104,B319)&gt;0,1,0))</f>
        <v/>
      </c>
      <c r="BX319" s="124" t="str">
        <f>IF($B319="","",IF(BR319=0,COUNTIF($BR$6:BR319,0),""))</f>
        <v/>
      </c>
    </row>
    <row r="320">
      <c r="A320" s="15" t="n">
        <v>316</v>
      </c>
      <c r="B320" t="str">
        <f>IF(B$3=0,"",IF(INDEX(SRC_Woningetalage!$A$1:$ZZ$501,$A320,B$3)&amp;""="","",INDEX(SRC_Woningetalage!$A$1:$ZZ$501,$A320,B$3)&amp;""))</f>
        <v/>
      </c>
      <c r="C320" t="str">
        <f>IF($B320="","",IF(C$3=0,"n.b.",INDEX(SRC_Woningetalage!$A$1:$ZZ$501,$A320,C$3)))</f>
        <v/>
      </c>
      <c r="D320" t="str">
        <f>IF($B320="","",IF(D$3=0,"n.b.",INDEX(SRC_Woningetalage!$A$1:$ZZ$501,$A320,D$3)))</f>
        <v/>
      </c>
      <c r="E320" t="str">
        <f>IF($B320="","",IF(E$3=0,"n.b.",INDEX(SRC_Woningetalage!$A$1:$ZZ$501,$A320,E$3)))</f>
        <v/>
      </c>
      <c r="F320" t="str">
        <f>IF($B320="","",IF(F$3=0,"n.b.",INDEX(SRC_Woningetalage!$A$1:$ZZ$501,$A320,F$3)))</f>
        <v/>
      </c>
      <c r="G320" t="str">
        <f>IF($B320="","",IF(G$3=0,"n.b.",INDEX(SRC_Woningetalage!$A$1:$ZZ$501,$A320,G$3)))</f>
        <v/>
      </c>
      <c r="H320" t="str">
        <f>IF($B320="","",IF(H$3=0,"n.b.",INDEX(SRC_Woningetalage!$A$1:$ZZ$501,$A320,H$3)))</f>
        <v/>
      </c>
      <c r="I320" t="str">
        <f>IF($B320="","",IF(I$3=0,"n.b.",INDEX(SRC_Woningetalage!$A$1:$ZZ$501,$A320,I$3)))</f>
        <v/>
      </c>
      <c r="J320" t="str">
        <f>IF($B320="","",IF(J$3=0,"n.b.",INDEX(SRC_Woningetalage!$A$1:$ZZ$501,$A320,J$3)))</f>
        <v/>
      </c>
      <c r="K320" t="str">
        <f>IF($B320="","",IF(K$3=0,"n.b.",INDEX(SRC_Woningetalage!$A$1:$ZZ$501,$A320,K$3)))</f>
        <v/>
      </c>
      <c r="L320" t="str">
        <f>IF($B320="","",IF(L$3=0,"n.b.",INDEX(SRC_Woningetalage!$A$1:$ZZ$501,$A320,L$3)))</f>
        <v/>
      </c>
      <c r="M320" t="str">
        <f>IF($B320="","",IF(M$3=0,"n.b.",INDEX(SRC_Woningetalage!$A$1:$ZZ$501,$A320,M$3)))</f>
        <v/>
      </c>
      <c r="N320" t="str">
        <f>IF($B320="","",IF(N$3=0,"n.b.",INDEX(SRC_Woningetalage!$A$1:$ZZ$501,$A320,N$3)))</f>
        <v/>
      </c>
      <c r="O320" t="str">
        <f>IF($B320="","",IF(O$3=0,"n.b.",INDEX(SRC_Woningetalage!$A$1:$ZZ$501,$A320,O$3)))</f>
        <v/>
      </c>
      <c r="P320" t="str">
        <f>IF($B320="","",IF(P$3=0,"n.b.",INDEX(SRC_Woningetalage!$A$1:$ZZ$501,$A320,P$3)))</f>
        <v/>
      </c>
      <c r="Q320" s="124" t="str">
        <f>IF($B320="","",IF(Q$3=0,"n.b.",INDEX(SRC_Woningetalage!$A$1:$ZZ$501,$A320,Q$3)))</f>
        <v/>
      </c>
      <c r="R320" s="124" t="str">
        <f>IF($B320="","",IF(R$3=0,"n.b.",INDEX(SRC_Woningetalage!$A$1:$ZZ$501,$A320,R$3)))</f>
        <v/>
      </c>
      <c r="S320" s="124" t="str">
        <f>IF($B320="","",IF(S$3=0,"n.b.",INDEX(SRC_Woningetalage!$A$1:$ZZ$501,$A320,S$3)))</f>
        <v/>
      </c>
      <c r="T320" s="124" t="str">
        <f>IF($B320="","",IF(T$3=0,"n.b.",INDEX(SRC_Woningetalage!$A$1:$ZZ$501,$A320,T$3)))</f>
        <v/>
      </c>
      <c r="U320" s="124" t="str">
        <f>IF($B320="","",IF(U$3=0,"n.b.",INDEX(SRC_Woningetalage!$A$1:$ZZ$501,$A320,U$3)))</f>
        <v/>
      </c>
      <c r="V320" s="124" t="str">
        <f>IF($B320="","",IF(V$3=0,"n.b.",INDEX(SRC_Woningetalage!$A$1:$ZZ$501,$A320,V$3)))</f>
        <v/>
      </c>
      <c r="W320" s="124" t="str">
        <f>IF($B320="","",IF(W$3=0,"n.b.",INDEX(SRC_Woningetalage!$A$1:$ZZ$501,$A320,W$3)))</f>
        <v/>
      </c>
      <c r="X320" s="124" t="str">
        <f>IF($B320="","",IF(X$3=0,"n.b.",INDEX(SRC_Woningetalage!$A$1:$ZZ$501,$A320,X$3)))</f>
        <v/>
      </c>
      <c r="Y320" s="124" t="str">
        <f>IF($B320="","",IF(Y$3=0,"n.b.",INDEX(SRC_Woningetalage!$A$1:$ZZ$501,$A320,Y$3)))</f>
        <v/>
      </c>
      <c r="Z320" s="124" t="str">
        <f>IF($B320="","",IF(Z$3=0,"n.b.",INDEX(SRC_Woningetalage!$A$1:$ZZ$501,$A320,Z$3)))</f>
        <v/>
      </c>
      <c r="AA320" s="124" t="str">
        <f>IF($B320="","",IF(AA$3=0,"n.b.",INDEX(SRC_Woningetalage!$A$1:$ZZ$501,$A320,AA$3)))</f>
        <v/>
      </c>
      <c r="AB320" s="124" t="str">
        <f>IF($B320="","",IF(AB$3=0,"n.b.",INDEX(SRC_Woningetalage!$A$1:$ZZ$501,$A320,AB$3)))</f>
        <v/>
      </c>
      <c r="AC320" s="124" t="str">
        <f>IF($B320="","",IF(AC$3=0,"n.b.",INDEX(SRC_Woningetalage!$A$1:$ZZ$501,$A320,AC$3)))</f>
        <v/>
      </c>
      <c r="AD320" s="124" t="str">
        <f>IF($B320="","",IF(AD$3=0,"n.b.",INDEX(SRC_Woningetalage!$A$1:$ZZ$501,$A320,AD$3)))</f>
        <v/>
      </c>
      <c r="AE320" s="124" t="str">
        <f>IF($B320="","",IF(AE$3=0,"n.b.",INDEX(SRC_Woningetalage!$A$1:$ZZ$501,$A320,AE$3)))</f>
        <v/>
      </c>
      <c r="AF320" s="124" t="str">
        <f>IF($B320="","",IF(AF$3=0,"n.b.",INDEX(SRC_Woningetalage!$A$1:$ZZ$501,$A320,AF$3)))</f>
        <v/>
      </c>
      <c r="AG320" s="124" t="str">
        <f>IF($B320="","",IF(AG$3=0,"n.b.",INDEX(SRC_Woningetalage!$A$1:$ZZ$501,$A320,AG$3)))</f>
        <v/>
      </c>
      <c r="AH320" s="124" t="str">
        <f>IF($B320="","",IF(AH$3=0,"n.b.",INDEX(SRC_Woningetalage!$A$1:$ZZ$501,$A320,AH$3)))</f>
        <v/>
      </c>
      <c r="AI320" s="124" t="str">
        <f>IF($B320="","",IF(AI$3=0,"n.b.",INDEX(SRC_Woningetalage!$A$1:$ZZ$501,$A320,AI$3)))</f>
        <v/>
      </c>
      <c r="AJ320" s="124" t="str">
        <f>IF($B320="","",IF(AJ$3=0,"n.b.",INDEX(SRC_Woningetalage!$A$1:$ZZ$501,$A320,AJ$3)))</f>
        <v/>
      </c>
      <c r="AK320" s="124" t="str">
        <f>IF($B320="","",IF(AK$3=0,"n.b.",INDEX(SRC_Woningetalage!$A$1:$ZZ$501,$A320,AK$3)))</f>
        <v/>
      </c>
      <c r="AL320" s="124" t="str">
        <f>IF($B320="","",IF(AL$3=0,"n.b.",INDEX(SRC_Woningetalage!$A$1:$ZZ$501,$A320,AL$3)))</f>
        <v/>
      </c>
      <c r="AM320" s="124" t="str">
        <f>IF($B320="","",IF(AM$3=0,"n.b.",INDEX(SRC_Woningetalage!$A$1:$ZZ$501,$A320,AM$3)))</f>
        <v/>
      </c>
      <c r="AN320" s="124" t="str">
        <f>IF($B320="","",IF(AN$3=0,"n.b.",INDEX(SRC_Woningetalage!$A$1:$ZZ$501,$A320,AN$3)))</f>
        <v/>
      </c>
      <c r="AO320" s="124" t="str">
        <f>IF($B320="","",IF(AO$3=0,"n.b.",INDEX(SRC_Woningetalage!$A$1:$ZZ$501,$A320,AO$3)))</f>
        <v/>
      </c>
      <c r="AP320" s="124" t="str">
        <f>IF($B320="","",IF(AP$3=0,"n.b.",INDEX(SRC_Woningetalage!$A$1:$ZZ$501,$A320,AP$3)))</f>
        <v/>
      </c>
      <c r="AQ320" s="124" t="str">
        <f>IF($B320="","",IF(AQ$3=0,"n.b.",INDEX(SRC_Woningetalage!$A$1:$ZZ$501,$A320,AQ$3)))</f>
        <v/>
      </c>
      <c r="AR320" s="124" t="str">
        <f>IF($B320="","",IF(AR$3=0,"n.b.",INDEX(SRC_Woningetalage!$A$1:$ZZ$501,$A320,AR$3)))</f>
        <v/>
      </c>
      <c r="AS320" s="124" t="str">
        <f>IF($B320="","",IF(AS$3=0,"n.b.",INDEX(SRC_Woningetalage!$A$1:$ZZ$501,$A320,AS$3)))</f>
        <v/>
      </c>
      <c r="AT320" s="124" t="str">
        <f>IF($B320="","",IF(AT$3=0,"n.b.",INDEX(SRC_Woningetalage!$A$1:$ZZ$501,$A320,AT$3)))</f>
        <v/>
      </c>
      <c r="AU320" s="124" t="str">
        <f>IF($B320="","",IF(AU$3=0,"n.b.",INDEX(SRC_Woningetalage!$A$1:$ZZ$501,$A320,AU$3)))</f>
        <v/>
      </c>
      <c r="AV320" s="124" t="str">
        <f>IF($B320="","",IF(AV$3=0,"n.b.",INDEX(SRC_Woningetalage!$A$1:$ZZ$501,$A320,AV$3)))</f>
        <v/>
      </c>
      <c r="AW320" s="124" t="str">
        <f>IF($B320="","",IF(AW$3=0,"n.b.",INDEX(SRC_Woningetalage!$A$1:$ZZ$501,$A320,AW$3)))</f>
        <v/>
      </c>
      <c r="AX320" s="124" t="str">
        <f>IF($B320="","",IF(AX$3=0,"n.b.",INDEX(SRC_Woningetalage!$A$1:$ZZ$501,$A320,AX$3)))</f>
        <v/>
      </c>
      <c r="AY320" s="124" t="str">
        <f>IF($B320="","",IF(AY$3=0,"n.b.",INDEX(SRC_Woningetalage!$A$1:$ZZ$501,$A320,AY$3)))</f>
        <v/>
      </c>
      <c r="AZ320" s="124" t="str">
        <f>IF($B320="","",IF(AZ$3=0,"n.b.",INDEX(SRC_Woningetalage!$A$1:$ZZ$501,$A320,AZ$3)))</f>
        <v/>
      </c>
      <c r="BA320" s="124" t="str">
        <f>IF($B320="","",IF(BA$3=0,"n.b.",INDEX(SRC_Woningetalage!$A$1:$ZZ$501,$A320,BA$3)))</f>
        <v/>
      </c>
      <c r="BB320" s="124" t="str">
        <f>IF($B320="","",IF(BB$3=0,"n.b.",INDEX(SRC_Woningetalage!$A$1:$ZZ$501,$A320,BB$3)))</f>
        <v/>
      </c>
      <c r="BC320" s="124" t="str">
        <f>IF($B320="","",IFERROR(_xlfn.NUMBERVALUE(E320&amp;"",",","."),"n.b."))</f>
        <v/>
      </c>
      <c r="BD320" s="124" t="str">
        <f>IF($B320="","",IFERROR(_xlfn.NUMBERVALUE(M320&amp;"",",","."),"n.b."))</f>
        <v/>
      </c>
      <c r="BE320" s="124" t="str">
        <f>IF($B320="","",IFERROR(AB320+AC320+AD320,"n.b."))</f>
        <v/>
      </c>
      <c r="BF320" s="124" t="str">
        <f>IF($B320="","",IFERROR(AE320+AF320+AG320,"n.b."))</f>
        <v/>
      </c>
      <c r="BG320" s="124" t="str">
        <f>IF($B320="","",IFERROR(AH320+AI320+AJ320,"n.b."))</f>
        <v/>
      </c>
      <c r="BH320" s="124" t="str">
        <f>IF($B320="","",IFERROR(AK320+AL320+AM320,"n.b."))</f>
        <v/>
      </c>
      <c r="BI320" s="124" t="str">
        <f>IF($B320="","",IFERROR(SUMIF($AB$5:$AM$5,"&lt;="&amp;P_PeilMaand,AB320:AM320),"n.b."))</f>
        <v/>
      </c>
      <c r="BJ320" s="124" t="str">
        <f>IF($B320="","",IFERROR(SUM(AB320:AM320)-BI320,"n.b."))</f>
        <v/>
      </c>
      <c r="BK320" s="124" t="str">
        <f>IF($B320="","",IFERROR(IF(ABS(Q320-(T320+SUM(AB320:AM320)+AS320+AU320))&gt;P_Tol,1,0),1))</f>
        <v/>
      </c>
      <c r="BL320" s="124" t="str">
        <f>IF($B320="","",IFERROR(IF(ABS(AA320-(Q320-Z320))&gt;P_Tol,1,0),1))</f>
        <v/>
      </c>
      <c r="BM320" s="124" t="str">
        <f>IF($B320="","",IFERROR(IF(ABS(Z320-(T320+W320))&gt;P_Tol,1,0),1))</f>
        <v/>
      </c>
      <c r="BN320" s="124" t="str">
        <f>IF($B320="","",IFERROR(IF(ABS(W320-BI320)&gt;P_Tol,1,0),1))</f>
        <v/>
      </c>
      <c r="BO320" s="124" t="str">
        <f>IF($B320="","",IFERROR(IF(OR(ABS(R320+S320-T320)&gt;P_Tol,ABS(U320+V320-W320)&gt;P_Tol,ABS(X320+Y320-Z320)&gt;P_Tol),1,0),1))</f>
        <v/>
      </c>
      <c r="BP320" s="124" t="str">
        <f>IF($B320="","",IFERROR(IF(OR(ABS(AR320-SUM(AB320:AM320))&gt;P_Tol,ABS(AS320-(AN320+AO320+AP320+AQ320))&gt;P_Tol),1,0),1))</f>
        <v/>
      </c>
      <c r="BQ320" s="124" t="str">
        <f>IF($B320="","",IFERROR(IF(ABS(AT320)+ABS(AV320)+ABS(AW320)+ABS(AX320)+ABS(AY320)+ABS(AZ320)+ABS(BA320)+ABS(BB320)&gt;0,1,0),1))</f>
        <v/>
      </c>
      <c r="BR320" s="124" t="str">
        <f>IF($B320="","",COUNTIF(STG_ZPMW03!$B$6:$B$505,B320))</f>
        <v/>
      </c>
      <c r="BS320" s="124" t="str">
        <f>IF($B320="","",COUNTIF($B$6:$B$505,B320))</f>
        <v/>
      </c>
      <c r="BT320" s="124" t="str">
        <f>IF($B320="","",IF(BR320=0,0,IF(INDEX(STG_ZPMW03!$I$6:$I$505,MATCH(B320,STG_ZPMW03!$B$6:$B$505,0))=J320&amp;"",0,1)))</f>
        <v/>
      </c>
      <c r="BU320" s="124" t="str">
        <f>IF($B320="","",IFERROR(IF(ABS(INDEX(Mapping!$D$5:$D$104,MATCH(B320,Mapping!$A$5:$A$104,0))-Q320)&gt;P_Tol,1,0),0))</f>
        <v/>
      </c>
      <c r="BV320" s="124" t="str">
        <f>IF($B320="","",IFERROR(IF(AND(INDEX(Mapping!$G$5:$G$104,MATCH(B320,Mapping!$A$5:$A$104,0))="Nee",ABS(Q320)+ABS(Z320)+ABS(AR320)&gt;0),1,0),0))</f>
        <v/>
      </c>
      <c r="BW320" s="124" t="str">
        <f>IF($B320="","",IF(COUNTIF(Mapping!$A$5:$A$104,B320)&gt;0,1,0))</f>
        <v/>
      </c>
      <c r="BX320" s="124" t="str">
        <f>IF($B320="","",IF(BR320=0,COUNTIF($BR$6:BR320,0),""))</f>
        <v/>
      </c>
    </row>
    <row r="321">
      <c r="A321" s="15" t="n">
        <v>317</v>
      </c>
      <c r="B321" t="str">
        <f>IF(B$3=0,"",IF(INDEX(SRC_Woningetalage!$A$1:$ZZ$501,$A321,B$3)&amp;""="","",INDEX(SRC_Woningetalage!$A$1:$ZZ$501,$A321,B$3)&amp;""))</f>
        <v/>
      </c>
      <c r="C321" t="str">
        <f>IF($B321="","",IF(C$3=0,"n.b.",INDEX(SRC_Woningetalage!$A$1:$ZZ$501,$A321,C$3)))</f>
        <v/>
      </c>
      <c r="D321" t="str">
        <f>IF($B321="","",IF(D$3=0,"n.b.",INDEX(SRC_Woningetalage!$A$1:$ZZ$501,$A321,D$3)))</f>
        <v/>
      </c>
      <c r="E321" t="str">
        <f>IF($B321="","",IF(E$3=0,"n.b.",INDEX(SRC_Woningetalage!$A$1:$ZZ$501,$A321,E$3)))</f>
        <v/>
      </c>
      <c r="F321" t="str">
        <f>IF($B321="","",IF(F$3=0,"n.b.",INDEX(SRC_Woningetalage!$A$1:$ZZ$501,$A321,F$3)))</f>
        <v/>
      </c>
      <c r="G321" t="str">
        <f>IF($B321="","",IF(G$3=0,"n.b.",INDEX(SRC_Woningetalage!$A$1:$ZZ$501,$A321,G$3)))</f>
        <v/>
      </c>
      <c r="H321" t="str">
        <f>IF($B321="","",IF(H$3=0,"n.b.",INDEX(SRC_Woningetalage!$A$1:$ZZ$501,$A321,H$3)))</f>
        <v/>
      </c>
      <c r="I321" t="str">
        <f>IF($B321="","",IF(I$3=0,"n.b.",INDEX(SRC_Woningetalage!$A$1:$ZZ$501,$A321,I$3)))</f>
        <v/>
      </c>
      <c r="J321" t="str">
        <f>IF($B321="","",IF(J$3=0,"n.b.",INDEX(SRC_Woningetalage!$A$1:$ZZ$501,$A321,J$3)))</f>
        <v/>
      </c>
      <c r="K321" t="str">
        <f>IF($B321="","",IF(K$3=0,"n.b.",INDEX(SRC_Woningetalage!$A$1:$ZZ$501,$A321,K$3)))</f>
        <v/>
      </c>
      <c r="L321" t="str">
        <f>IF($B321="","",IF(L$3=0,"n.b.",INDEX(SRC_Woningetalage!$A$1:$ZZ$501,$A321,L$3)))</f>
        <v/>
      </c>
      <c r="M321" t="str">
        <f>IF($B321="","",IF(M$3=0,"n.b.",INDEX(SRC_Woningetalage!$A$1:$ZZ$501,$A321,M$3)))</f>
        <v/>
      </c>
      <c r="N321" t="str">
        <f>IF($B321="","",IF(N$3=0,"n.b.",INDEX(SRC_Woningetalage!$A$1:$ZZ$501,$A321,N$3)))</f>
        <v/>
      </c>
      <c r="O321" t="str">
        <f>IF($B321="","",IF(O$3=0,"n.b.",INDEX(SRC_Woningetalage!$A$1:$ZZ$501,$A321,O$3)))</f>
        <v/>
      </c>
      <c r="P321" t="str">
        <f>IF($B321="","",IF(P$3=0,"n.b.",INDEX(SRC_Woningetalage!$A$1:$ZZ$501,$A321,P$3)))</f>
        <v/>
      </c>
      <c r="Q321" s="124" t="str">
        <f>IF($B321="","",IF(Q$3=0,"n.b.",INDEX(SRC_Woningetalage!$A$1:$ZZ$501,$A321,Q$3)))</f>
        <v/>
      </c>
      <c r="R321" s="124" t="str">
        <f>IF($B321="","",IF(R$3=0,"n.b.",INDEX(SRC_Woningetalage!$A$1:$ZZ$501,$A321,R$3)))</f>
        <v/>
      </c>
      <c r="S321" s="124" t="str">
        <f>IF($B321="","",IF(S$3=0,"n.b.",INDEX(SRC_Woningetalage!$A$1:$ZZ$501,$A321,S$3)))</f>
        <v/>
      </c>
      <c r="T321" s="124" t="str">
        <f>IF($B321="","",IF(T$3=0,"n.b.",INDEX(SRC_Woningetalage!$A$1:$ZZ$501,$A321,T$3)))</f>
        <v/>
      </c>
      <c r="U321" s="124" t="str">
        <f>IF($B321="","",IF(U$3=0,"n.b.",INDEX(SRC_Woningetalage!$A$1:$ZZ$501,$A321,U$3)))</f>
        <v/>
      </c>
      <c r="V321" s="124" t="str">
        <f>IF($B321="","",IF(V$3=0,"n.b.",INDEX(SRC_Woningetalage!$A$1:$ZZ$501,$A321,V$3)))</f>
        <v/>
      </c>
      <c r="W321" s="124" t="str">
        <f>IF($B321="","",IF(W$3=0,"n.b.",INDEX(SRC_Woningetalage!$A$1:$ZZ$501,$A321,W$3)))</f>
        <v/>
      </c>
      <c r="X321" s="124" t="str">
        <f>IF($B321="","",IF(X$3=0,"n.b.",INDEX(SRC_Woningetalage!$A$1:$ZZ$501,$A321,X$3)))</f>
        <v/>
      </c>
      <c r="Y321" s="124" t="str">
        <f>IF($B321="","",IF(Y$3=0,"n.b.",INDEX(SRC_Woningetalage!$A$1:$ZZ$501,$A321,Y$3)))</f>
        <v/>
      </c>
      <c r="Z321" s="124" t="str">
        <f>IF($B321="","",IF(Z$3=0,"n.b.",INDEX(SRC_Woningetalage!$A$1:$ZZ$501,$A321,Z$3)))</f>
        <v/>
      </c>
      <c r="AA321" s="124" t="str">
        <f>IF($B321="","",IF(AA$3=0,"n.b.",INDEX(SRC_Woningetalage!$A$1:$ZZ$501,$A321,AA$3)))</f>
        <v/>
      </c>
      <c r="AB321" s="124" t="str">
        <f>IF($B321="","",IF(AB$3=0,"n.b.",INDEX(SRC_Woningetalage!$A$1:$ZZ$501,$A321,AB$3)))</f>
        <v/>
      </c>
      <c r="AC321" s="124" t="str">
        <f>IF($B321="","",IF(AC$3=0,"n.b.",INDEX(SRC_Woningetalage!$A$1:$ZZ$501,$A321,AC$3)))</f>
        <v/>
      </c>
      <c r="AD321" s="124" t="str">
        <f>IF($B321="","",IF(AD$3=0,"n.b.",INDEX(SRC_Woningetalage!$A$1:$ZZ$501,$A321,AD$3)))</f>
        <v/>
      </c>
      <c r="AE321" s="124" t="str">
        <f>IF($B321="","",IF(AE$3=0,"n.b.",INDEX(SRC_Woningetalage!$A$1:$ZZ$501,$A321,AE$3)))</f>
        <v/>
      </c>
      <c r="AF321" s="124" t="str">
        <f>IF($B321="","",IF(AF$3=0,"n.b.",INDEX(SRC_Woningetalage!$A$1:$ZZ$501,$A321,AF$3)))</f>
        <v/>
      </c>
      <c r="AG321" s="124" t="str">
        <f>IF($B321="","",IF(AG$3=0,"n.b.",INDEX(SRC_Woningetalage!$A$1:$ZZ$501,$A321,AG$3)))</f>
        <v/>
      </c>
      <c r="AH321" s="124" t="str">
        <f>IF($B321="","",IF(AH$3=0,"n.b.",INDEX(SRC_Woningetalage!$A$1:$ZZ$501,$A321,AH$3)))</f>
        <v/>
      </c>
      <c r="AI321" s="124" t="str">
        <f>IF($B321="","",IF(AI$3=0,"n.b.",INDEX(SRC_Woningetalage!$A$1:$ZZ$501,$A321,AI$3)))</f>
        <v/>
      </c>
      <c r="AJ321" s="124" t="str">
        <f>IF($B321="","",IF(AJ$3=0,"n.b.",INDEX(SRC_Woningetalage!$A$1:$ZZ$501,$A321,AJ$3)))</f>
        <v/>
      </c>
      <c r="AK321" s="124" t="str">
        <f>IF($B321="","",IF(AK$3=0,"n.b.",INDEX(SRC_Woningetalage!$A$1:$ZZ$501,$A321,AK$3)))</f>
        <v/>
      </c>
      <c r="AL321" s="124" t="str">
        <f>IF($B321="","",IF(AL$3=0,"n.b.",INDEX(SRC_Woningetalage!$A$1:$ZZ$501,$A321,AL$3)))</f>
        <v/>
      </c>
      <c r="AM321" s="124" t="str">
        <f>IF($B321="","",IF(AM$3=0,"n.b.",INDEX(SRC_Woningetalage!$A$1:$ZZ$501,$A321,AM$3)))</f>
        <v/>
      </c>
      <c r="AN321" s="124" t="str">
        <f>IF($B321="","",IF(AN$3=0,"n.b.",INDEX(SRC_Woningetalage!$A$1:$ZZ$501,$A321,AN$3)))</f>
        <v/>
      </c>
      <c r="AO321" s="124" t="str">
        <f>IF($B321="","",IF(AO$3=0,"n.b.",INDEX(SRC_Woningetalage!$A$1:$ZZ$501,$A321,AO$3)))</f>
        <v/>
      </c>
      <c r="AP321" s="124" t="str">
        <f>IF($B321="","",IF(AP$3=0,"n.b.",INDEX(SRC_Woningetalage!$A$1:$ZZ$501,$A321,AP$3)))</f>
        <v/>
      </c>
      <c r="AQ321" s="124" t="str">
        <f>IF($B321="","",IF(AQ$3=0,"n.b.",INDEX(SRC_Woningetalage!$A$1:$ZZ$501,$A321,AQ$3)))</f>
        <v/>
      </c>
      <c r="AR321" s="124" t="str">
        <f>IF($B321="","",IF(AR$3=0,"n.b.",INDEX(SRC_Woningetalage!$A$1:$ZZ$501,$A321,AR$3)))</f>
        <v/>
      </c>
      <c r="AS321" s="124" t="str">
        <f>IF($B321="","",IF(AS$3=0,"n.b.",INDEX(SRC_Woningetalage!$A$1:$ZZ$501,$A321,AS$3)))</f>
        <v/>
      </c>
      <c r="AT321" s="124" t="str">
        <f>IF($B321="","",IF(AT$3=0,"n.b.",INDEX(SRC_Woningetalage!$A$1:$ZZ$501,$A321,AT$3)))</f>
        <v/>
      </c>
      <c r="AU321" s="124" t="str">
        <f>IF($B321="","",IF(AU$3=0,"n.b.",INDEX(SRC_Woningetalage!$A$1:$ZZ$501,$A321,AU$3)))</f>
        <v/>
      </c>
      <c r="AV321" s="124" t="str">
        <f>IF($B321="","",IF(AV$3=0,"n.b.",INDEX(SRC_Woningetalage!$A$1:$ZZ$501,$A321,AV$3)))</f>
        <v/>
      </c>
      <c r="AW321" s="124" t="str">
        <f>IF($B321="","",IF(AW$3=0,"n.b.",INDEX(SRC_Woningetalage!$A$1:$ZZ$501,$A321,AW$3)))</f>
        <v/>
      </c>
      <c r="AX321" s="124" t="str">
        <f>IF($B321="","",IF(AX$3=0,"n.b.",INDEX(SRC_Woningetalage!$A$1:$ZZ$501,$A321,AX$3)))</f>
        <v/>
      </c>
      <c r="AY321" s="124" t="str">
        <f>IF($B321="","",IF(AY$3=0,"n.b.",INDEX(SRC_Woningetalage!$A$1:$ZZ$501,$A321,AY$3)))</f>
        <v/>
      </c>
      <c r="AZ321" s="124" t="str">
        <f>IF($B321="","",IF(AZ$3=0,"n.b.",INDEX(SRC_Woningetalage!$A$1:$ZZ$501,$A321,AZ$3)))</f>
        <v/>
      </c>
      <c r="BA321" s="124" t="str">
        <f>IF($B321="","",IF(BA$3=0,"n.b.",INDEX(SRC_Woningetalage!$A$1:$ZZ$501,$A321,BA$3)))</f>
        <v/>
      </c>
      <c r="BB321" s="124" t="str">
        <f>IF($B321="","",IF(BB$3=0,"n.b.",INDEX(SRC_Woningetalage!$A$1:$ZZ$501,$A321,BB$3)))</f>
        <v/>
      </c>
      <c r="BC321" s="124" t="str">
        <f>IF($B321="","",IFERROR(_xlfn.NUMBERVALUE(E321&amp;"",",","."),"n.b."))</f>
        <v/>
      </c>
      <c r="BD321" s="124" t="str">
        <f>IF($B321="","",IFERROR(_xlfn.NUMBERVALUE(M321&amp;"",",","."),"n.b."))</f>
        <v/>
      </c>
      <c r="BE321" s="124" t="str">
        <f>IF($B321="","",IFERROR(AB321+AC321+AD321,"n.b."))</f>
        <v/>
      </c>
      <c r="BF321" s="124" t="str">
        <f>IF($B321="","",IFERROR(AE321+AF321+AG321,"n.b."))</f>
        <v/>
      </c>
      <c r="BG321" s="124" t="str">
        <f>IF($B321="","",IFERROR(AH321+AI321+AJ321,"n.b."))</f>
        <v/>
      </c>
      <c r="BH321" s="124" t="str">
        <f>IF($B321="","",IFERROR(AK321+AL321+AM321,"n.b."))</f>
        <v/>
      </c>
      <c r="BI321" s="124" t="str">
        <f>IF($B321="","",IFERROR(SUMIF($AB$5:$AM$5,"&lt;="&amp;P_PeilMaand,AB321:AM321),"n.b."))</f>
        <v/>
      </c>
      <c r="BJ321" s="124" t="str">
        <f>IF($B321="","",IFERROR(SUM(AB321:AM321)-BI321,"n.b."))</f>
        <v/>
      </c>
      <c r="BK321" s="124" t="str">
        <f>IF($B321="","",IFERROR(IF(ABS(Q321-(T321+SUM(AB321:AM321)+AS321+AU321))&gt;P_Tol,1,0),1))</f>
        <v/>
      </c>
      <c r="BL321" s="124" t="str">
        <f>IF($B321="","",IFERROR(IF(ABS(AA321-(Q321-Z321))&gt;P_Tol,1,0),1))</f>
        <v/>
      </c>
      <c r="BM321" s="124" t="str">
        <f>IF($B321="","",IFERROR(IF(ABS(Z321-(T321+W321))&gt;P_Tol,1,0),1))</f>
        <v/>
      </c>
      <c r="BN321" s="124" t="str">
        <f>IF($B321="","",IFERROR(IF(ABS(W321-BI321)&gt;P_Tol,1,0),1))</f>
        <v/>
      </c>
      <c r="BO321" s="124" t="str">
        <f>IF($B321="","",IFERROR(IF(OR(ABS(R321+S321-T321)&gt;P_Tol,ABS(U321+V321-W321)&gt;P_Tol,ABS(X321+Y321-Z321)&gt;P_Tol),1,0),1))</f>
        <v/>
      </c>
      <c r="BP321" s="124" t="str">
        <f>IF($B321="","",IFERROR(IF(OR(ABS(AR321-SUM(AB321:AM321))&gt;P_Tol,ABS(AS321-(AN321+AO321+AP321+AQ321))&gt;P_Tol),1,0),1))</f>
        <v/>
      </c>
      <c r="BQ321" s="124" t="str">
        <f>IF($B321="","",IFERROR(IF(ABS(AT321)+ABS(AV321)+ABS(AW321)+ABS(AX321)+ABS(AY321)+ABS(AZ321)+ABS(BA321)+ABS(BB321)&gt;0,1,0),1))</f>
        <v/>
      </c>
      <c r="BR321" s="124" t="str">
        <f>IF($B321="","",COUNTIF(STG_ZPMW03!$B$6:$B$505,B321))</f>
        <v/>
      </c>
      <c r="BS321" s="124" t="str">
        <f>IF($B321="","",COUNTIF($B$6:$B$505,B321))</f>
        <v/>
      </c>
      <c r="BT321" s="124" t="str">
        <f>IF($B321="","",IF(BR321=0,0,IF(INDEX(STG_ZPMW03!$I$6:$I$505,MATCH(B321,STG_ZPMW03!$B$6:$B$505,0))=J321&amp;"",0,1)))</f>
        <v/>
      </c>
      <c r="BU321" s="124" t="str">
        <f>IF($B321="","",IFERROR(IF(ABS(INDEX(Mapping!$D$5:$D$104,MATCH(B321,Mapping!$A$5:$A$104,0))-Q321)&gt;P_Tol,1,0),0))</f>
        <v/>
      </c>
      <c r="BV321" s="124" t="str">
        <f>IF($B321="","",IFERROR(IF(AND(INDEX(Mapping!$G$5:$G$104,MATCH(B321,Mapping!$A$5:$A$104,0))="Nee",ABS(Q321)+ABS(Z321)+ABS(AR321)&gt;0),1,0),0))</f>
        <v/>
      </c>
      <c r="BW321" s="124" t="str">
        <f>IF($B321="","",IF(COUNTIF(Mapping!$A$5:$A$104,B321)&gt;0,1,0))</f>
        <v/>
      </c>
      <c r="BX321" s="124" t="str">
        <f>IF($B321="","",IF(BR321=0,COUNTIF($BR$6:BR321,0),""))</f>
        <v/>
      </c>
    </row>
    <row r="322">
      <c r="A322" s="15" t="n">
        <v>318</v>
      </c>
      <c r="B322" t="str">
        <f>IF(B$3=0,"",IF(INDEX(SRC_Woningetalage!$A$1:$ZZ$501,$A322,B$3)&amp;""="","",INDEX(SRC_Woningetalage!$A$1:$ZZ$501,$A322,B$3)&amp;""))</f>
        <v/>
      </c>
      <c r="C322" t="str">
        <f>IF($B322="","",IF(C$3=0,"n.b.",INDEX(SRC_Woningetalage!$A$1:$ZZ$501,$A322,C$3)))</f>
        <v/>
      </c>
      <c r="D322" t="str">
        <f>IF($B322="","",IF(D$3=0,"n.b.",INDEX(SRC_Woningetalage!$A$1:$ZZ$501,$A322,D$3)))</f>
        <v/>
      </c>
      <c r="E322" t="str">
        <f>IF($B322="","",IF(E$3=0,"n.b.",INDEX(SRC_Woningetalage!$A$1:$ZZ$501,$A322,E$3)))</f>
        <v/>
      </c>
      <c r="F322" t="str">
        <f>IF($B322="","",IF(F$3=0,"n.b.",INDEX(SRC_Woningetalage!$A$1:$ZZ$501,$A322,F$3)))</f>
        <v/>
      </c>
      <c r="G322" t="str">
        <f>IF($B322="","",IF(G$3=0,"n.b.",INDEX(SRC_Woningetalage!$A$1:$ZZ$501,$A322,G$3)))</f>
        <v/>
      </c>
      <c r="H322" t="str">
        <f>IF($B322="","",IF(H$3=0,"n.b.",INDEX(SRC_Woningetalage!$A$1:$ZZ$501,$A322,H$3)))</f>
        <v/>
      </c>
      <c r="I322" t="str">
        <f>IF($B322="","",IF(I$3=0,"n.b.",INDEX(SRC_Woningetalage!$A$1:$ZZ$501,$A322,I$3)))</f>
        <v/>
      </c>
      <c r="J322" t="str">
        <f>IF($B322="","",IF(J$3=0,"n.b.",INDEX(SRC_Woningetalage!$A$1:$ZZ$501,$A322,J$3)))</f>
        <v/>
      </c>
      <c r="K322" t="str">
        <f>IF($B322="","",IF(K$3=0,"n.b.",INDEX(SRC_Woningetalage!$A$1:$ZZ$501,$A322,K$3)))</f>
        <v/>
      </c>
      <c r="L322" t="str">
        <f>IF($B322="","",IF(L$3=0,"n.b.",INDEX(SRC_Woningetalage!$A$1:$ZZ$501,$A322,L$3)))</f>
        <v/>
      </c>
      <c r="M322" t="str">
        <f>IF($B322="","",IF(M$3=0,"n.b.",INDEX(SRC_Woningetalage!$A$1:$ZZ$501,$A322,M$3)))</f>
        <v/>
      </c>
      <c r="N322" t="str">
        <f>IF($B322="","",IF(N$3=0,"n.b.",INDEX(SRC_Woningetalage!$A$1:$ZZ$501,$A322,N$3)))</f>
        <v/>
      </c>
      <c r="O322" t="str">
        <f>IF($B322="","",IF(O$3=0,"n.b.",INDEX(SRC_Woningetalage!$A$1:$ZZ$501,$A322,O$3)))</f>
        <v/>
      </c>
      <c r="P322" t="str">
        <f>IF($B322="","",IF(P$3=0,"n.b.",INDEX(SRC_Woningetalage!$A$1:$ZZ$501,$A322,P$3)))</f>
        <v/>
      </c>
      <c r="Q322" s="124" t="str">
        <f>IF($B322="","",IF(Q$3=0,"n.b.",INDEX(SRC_Woningetalage!$A$1:$ZZ$501,$A322,Q$3)))</f>
        <v/>
      </c>
      <c r="R322" s="124" t="str">
        <f>IF($B322="","",IF(R$3=0,"n.b.",INDEX(SRC_Woningetalage!$A$1:$ZZ$501,$A322,R$3)))</f>
        <v/>
      </c>
      <c r="S322" s="124" t="str">
        <f>IF($B322="","",IF(S$3=0,"n.b.",INDEX(SRC_Woningetalage!$A$1:$ZZ$501,$A322,S$3)))</f>
        <v/>
      </c>
      <c r="T322" s="124" t="str">
        <f>IF($B322="","",IF(T$3=0,"n.b.",INDEX(SRC_Woningetalage!$A$1:$ZZ$501,$A322,T$3)))</f>
        <v/>
      </c>
      <c r="U322" s="124" t="str">
        <f>IF($B322="","",IF(U$3=0,"n.b.",INDEX(SRC_Woningetalage!$A$1:$ZZ$501,$A322,U$3)))</f>
        <v/>
      </c>
      <c r="V322" s="124" t="str">
        <f>IF($B322="","",IF(V$3=0,"n.b.",INDEX(SRC_Woningetalage!$A$1:$ZZ$501,$A322,V$3)))</f>
        <v/>
      </c>
      <c r="W322" s="124" t="str">
        <f>IF($B322="","",IF(W$3=0,"n.b.",INDEX(SRC_Woningetalage!$A$1:$ZZ$501,$A322,W$3)))</f>
        <v/>
      </c>
      <c r="X322" s="124" t="str">
        <f>IF($B322="","",IF(X$3=0,"n.b.",INDEX(SRC_Woningetalage!$A$1:$ZZ$501,$A322,X$3)))</f>
        <v/>
      </c>
      <c r="Y322" s="124" t="str">
        <f>IF($B322="","",IF(Y$3=0,"n.b.",INDEX(SRC_Woningetalage!$A$1:$ZZ$501,$A322,Y$3)))</f>
        <v/>
      </c>
      <c r="Z322" s="124" t="str">
        <f>IF($B322="","",IF(Z$3=0,"n.b.",INDEX(SRC_Woningetalage!$A$1:$ZZ$501,$A322,Z$3)))</f>
        <v/>
      </c>
      <c r="AA322" s="124" t="str">
        <f>IF($B322="","",IF(AA$3=0,"n.b.",INDEX(SRC_Woningetalage!$A$1:$ZZ$501,$A322,AA$3)))</f>
        <v/>
      </c>
      <c r="AB322" s="124" t="str">
        <f>IF($B322="","",IF(AB$3=0,"n.b.",INDEX(SRC_Woningetalage!$A$1:$ZZ$501,$A322,AB$3)))</f>
        <v/>
      </c>
      <c r="AC322" s="124" t="str">
        <f>IF($B322="","",IF(AC$3=0,"n.b.",INDEX(SRC_Woningetalage!$A$1:$ZZ$501,$A322,AC$3)))</f>
        <v/>
      </c>
      <c r="AD322" s="124" t="str">
        <f>IF($B322="","",IF(AD$3=0,"n.b.",INDEX(SRC_Woningetalage!$A$1:$ZZ$501,$A322,AD$3)))</f>
        <v/>
      </c>
      <c r="AE322" s="124" t="str">
        <f>IF($B322="","",IF(AE$3=0,"n.b.",INDEX(SRC_Woningetalage!$A$1:$ZZ$501,$A322,AE$3)))</f>
        <v/>
      </c>
      <c r="AF322" s="124" t="str">
        <f>IF($B322="","",IF(AF$3=0,"n.b.",INDEX(SRC_Woningetalage!$A$1:$ZZ$501,$A322,AF$3)))</f>
        <v/>
      </c>
      <c r="AG322" s="124" t="str">
        <f>IF($B322="","",IF(AG$3=0,"n.b.",INDEX(SRC_Woningetalage!$A$1:$ZZ$501,$A322,AG$3)))</f>
        <v/>
      </c>
      <c r="AH322" s="124" t="str">
        <f>IF($B322="","",IF(AH$3=0,"n.b.",INDEX(SRC_Woningetalage!$A$1:$ZZ$501,$A322,AH$3)))</f>
        <v/>
      </c>
      <c r="AI322" s="124" t="str">
        <f>IF($B322="","",IF(AI$3=0,"n.b.",INDEX(SRC_Woningetalage!$A$1:$ZZ$501,$A322,AI$3)))</f>
        <v/>
      </c>
      <c r="AJ322" s="124" t="str">
        <f>IF($B322="","",IF(AJ$3=0,"n.b.",INDEX(SRC_Woningetalage!$A$1:$ZZ$501,$A322,AJ$3)))</f>
        <v/>
      </c>
      <c r="AK322" s="124" t="str">
        <f>IF($B322="","",IF(AK$3=0,"n.b.",INDEX(SRC_Woningetalage!$A$1:$ZZ$501,$A322,AK$3)))</f>
        <v/>
      </c>
      <c r="AL322" s="124" t="str">
        <f>IF($B322="","",IF(AL$3=0,"n.b.",INDEX(SRC_Woningetalage!$A$1:$ZZ$501,$A322,AL$3)))</f>
        <v/>
      </c>
      <c r="AM322" s="124" t="str">
        <f>IF($B322="","",IF(AM$3=0,"n.b.",INDEX(SRC_Woningetalage!$A$1:$ZZ$501,$A322,AM$3)))</f>
        <v/>
      </c>
      <c r="AN322" s="124" t="str">
        <f>IF($B322="","",IF(AN$3=0,"n.b.",INDEX(SRC_Woningetalage!$A$1:$ZZ$501,$A322,AN$3)))</f>
        <v/>
      </c>
      <c r="AO322" s="124" t="str">
        <f>IF($B322="","",IF(AO$3=0,"n.b.",INDEX(SRC_Woningetalage!$A$1:$ZZ$501,$A322,AO$3)))</f>
        <v/>
      </c>
      <c r="AP322" s="124" t="str">
        <f>IF($B322="","",IF(AP$3=0,"n.b.",INDEX(SRC_Woningetalage!$A$1:$ZZ$501,$A322,AP$3)))</f>
        <v/>
      </c>
      <c r="AQ322" s="124" t="str">
        <f>IF($B322="","",IF(AQ$3=0,"n.b.",INDEX(SRC_Woningetalage!$A$1:$ZZ$501,$A322,AQ$3)))</f>
        <v/>
      </c>
      <c r="AR322" s="124" t="str">
        <f>IF($B322="","",IF(AR$3=0,"n.b.",INDEX(SRC_Woningetalage!$A$1:$ZZ$501,$A322,AR$3)))</f>
        <v/>
      </c>
      <c r="AS322" s="124" t="str">
        <f>IF($B322="","",IF(AS$3=0,"n.b.",INDEX(SRC_Woningetalage!$A$1:$ZZ$501,$A322,AS$3)))</f>
        <v/>
      </c>
      <c r="AT322" s="124" t="str">
        <f>IF($B322="","",IF(AT$3=0,"n.b.",INDEX(SRC_Woningetalage!$A$1:$ZZ$501,$A322,AT$3)))</f>
        <v/>
      </c>
      <c r="AU322" s="124" t="str">
        <f>IF($B322="","",IF(AU$3=0,"n.b.",INDEX(SRC_Woningetalage!$A$1:$ZZ$501,$A322,AU$3)))</f>
        <v/>
      </c>
      <c r="AV322" s="124" t="str">
        <f>IF($B322="","",IF(AV$3=0,"n.b.",INDEX(SRC_Woningetalage!$A$1:$ZZ$501,$A322,AV$3)))</f>
        <v/>
      </c>
      <c r="AW322" s="124" t="str">
        <f>IF($B322="","",IF(AW$3=0,"n.b.",INDEX(SRC_Woningetalage!$A$1:$ZZ$501,$A322,AW$3)))</f>
        <v/>
      </c>
      <c r="AX322" s="124" t="str">
        <f>IF($B322="","",IF(AX$3=0,"n.b.",INDEX(SRC_Woningetalage!$A$1:$ZZ$501,$A322,AX$3)))</f>
        <v/>
      </c>
      <c r="AY322" s="124" t="str">
        <f>IF($B322="","",IF(AY$3=0,"n.b.",INDEX(SRC_Woningetalage!$A$1:$ZZ$501,$A322,AY$3)))</f>
        <v/>
      </c>
      <c r="AZ322" s="124" t="str">
        <f>IF($B322="","",IF(AZ$3=0,"n.b.",INDEX(SRC_Woningetalage!$A$1:$ZZ$501,$A322,AZ$3)))</f>
        <v/>
      </c>
      <c r="BA322" s="124" t="str">
        <f>IF($B322="","",IF(BA$3=0,"n.b.",INDEX(SRC_Woningetalage!$A$1:$ZZ$501,$A322,BA$3)))</f>
        <v/>
      </c>
      <c r="BB322" s="124" t="str">
        <f>IF($B322="","",IF(BB$3=0,"n.b.",INDEX(SRC_Woningetalage!$A$1:$ZZ$501,$A322,BB$3)))</f>
        <v/>
      </c>
      <c r="BC322" s="124" t="str">
        <f>IF($B322="","",IFERROR(_xlfn.NUMBERVALUE(E322&amp;"",",","."),"n.b."))</f>
        <v/>
      </c>
      <c r="BD322" s="124" t="str">
        <f>IF($B322="","",IFERROR(_xlfn.NUMBERVALUE(M322&amp;"",",","."),"n.b."))</f>
        <v/>
      </c>
      <c r="BE322" s="124" t="str">
        <f>IF($B322="","",IFERROR(AB322+AC322+AD322,"n.b."))</f>
        <v/>
      </c>
      <c r="BF322" s="124" t="str">
        <f>IF($B322="","",IFERROR(AE322+AF322+AG322,"n.b."))</f>
        <v/>
      </c>
      <c r="BG322" s="124" t="str">
        <f>IF($B322="","",IFERROR(AH322+AI322+AJ322,"n.b."))</f>
        <v/>
      </c>
      <c r="BH322" s="124" t="str">
        <f>IF($B322="","",IFERROR(AK322+AL322+AM322,"n.b."))</f>
        <v/>
      </c>
      <c r="BI322" s="124" t="str">
        <f>IF($B322="","",IFERROR(SUMIF($AB$5:$AM$5,"&lt;="&amp;P_PeilMaand,AB322:AM322),"n.b."))</f>
        <v/>
      </c>
      <c r="BJ322" s="124" t="str">
        <f>IF($B322="","",IFERROR(SUM(AB322:AM322)-BI322,"n.b."))</f>
        <v/>
      </c>
      <c r="BK322" s="124" t="str">
        <f>IF($B322="","",IFERROR(IF(ABS(Q322-(T322+SUM(AB322:AM322)+AS322+AU322))&gt;P_Tol,1,0),1))</f>
        <v/>
      </c>
      <c r="BL322" s="124" t="str">
        <f>IF($B322="","",IFERROR(IF(ABS(AA322-(Q322-Z322))&gt;P_Tol,1,0),1))</f>
        <v/>
      </c>
      <c r="BM322" s="124" t="str">
        <f>IF($B322="","",IFERROR(IF(ABS(Z322-(T322+W322))&gt;P_Tol,1,0),1))</f>
        <v/>
      </c>
      <c r="BN322" s="124" t="str">
        <f>IF($B322="","",IFERROR(IF(ABS(W322-BI322)&gt;P_Tol,1,0),1))</f>
        <v/>
      </c>
      <c r="BO322" s="124" t="str">
        <f>IF($B322="","",IFERROR(IF(OR(ABS(R322+S322-T322)&gt;P_Tol,ABS(U322+V322-W322)&gt;P_Tol,ABS(X322+Y322-Z322)&gt;P_Tol),1,0),1))</f>
        <v/>
      </c>
      <c r="BP322" s="124" t="str">
        <f>IF($B322="","",IFERROR(IF(OR(ABS(AR322-SUM(AB322:AM322))&gt;P_Tol,ABS(AS322-(AN322+AO322+AP322+AQ322))&gt;P_Tol),1,0),1))</f>
        <v/>
      </c>
      <c r="BQ322" s="124" t="str">
        <f>IF($B322="","",IFERROR(IF(ABS(AT322)+ABS(AV322)+ABS(AW322)+ABS(AX322)+ABS(AY322)+ABS(AZ322)+ABS(BA322)+ABS(BB322)&gt;0,1,0),1))</f>
        <v/>
      </c>
      <c r="BR322" s="124" t="str">
        <f>IF($B322="","",COUNTIF(STG_ZPMW03!$B$6:$B$505,B322))</f>
        <v/>
      </c>
      <c r="BS322" s="124" t="str">
        <f>IF($B322="","",COUNTIF($B$6:$B$505,B322))</f>
        <v/>
      </c>
      <c r="BT322" s="124" t="str">
        <f>IF($B322="","",IF(BR322=0,0,IF(INDEX(STG_ZPMW03!$I$6:$I$505,MATCH(B322,STG_ZPMW03!$B$6:$B$505,0))=J322&amp;"",0,1)))</f>
        <v/>
      </c>
      <c r="BU322" s="124" t="str">
        <f>IF($B322="","",IFERROR(IF(ABS(INDEX(Mapping!$D$5:$D$104,MATCH(B322,Mapping!$A$5:$A$104,0))-Q322)&gt;P_Tol,1,0),0))</f>
        <v/>
      </c>
      <c r="BV322" s="124" t="str">
        <f>IF($B322="","",IFERROR(IF(AND(INDEX(Mapping!$G$5:$G$104,MATCH(B322,Mapping!$A$5:$A$104,0))="Nee",ABS(Q322)+ABS(Z322)+ABS(AR322)&gt;0),1,0),0))</f>
        <v/>
      </c>
      <c r="BW322" s="124" t="str">
        <f>IF($B322="","",IF(COUNTIF(Mapping!$A$5:$A$104,B322)&gt;0,1,0))</f>
        <v/>
      </c>
      <c r="BX322" s="124" t="str">
        <f>IF($B322="","",IF(BR322=0,COUNTIF($BR$6:BR322,0),""))</f>
        <v/>
      </c>
    </row>
    <row r="323">
      <c r="A323" s="15" t="n">
        <v>319</v>
      </c>
      <c r="B323" t="str">
        <f>IF(B$3=0,"",IF(INDEX(SRC_Woningetalage!$A$1:$ZZ$501,$A323,B$3)&amp;""="","",INDEX(SRC_Woningetalage!$A$1:$ZZ$501,$A323,B$3)&amp;""))</f>
        <v/>
      </c>
      <c r="C323" t="str">
        <f>IF($B323="","",IF(C$3=0,"n.b.",INDEX(SRC_Woningetalage!$A$1:$ZZ$501,$A323,C$3)))</f>
        <v/>
      </c>
      <c r="D323" t="str">
        <f>IF($B323="","",IF(D$3=0,"n.b.",INDEX(SRC_Woningetalage!$A$1:$ZZ$501,$A323,D$3)))</f>
        <v/>
      </c>
      <c r="E323" t="str">
        <f>IF($B323="","",IF(E$3=0,"n.b.",INDEX(SRC_Woningetalage!$A$1:$ZZ$501,$A323,E$3)))</f>
        <v/>
      </c>
      <c r="F323" t="str">
        <f>IF($B323="","",IF(F$3=0,"n.b.",INDEX(SRC_Woningetalage!$A$1:$ZZ$501,$A323,F$3)))</f>
        <v/>
      </c>
      <c r="G323" t="str">
        <f>IF($B323="","",IF(G$3=0,"n.b.",INDEX(SRC_Woningetalage!$A$1:$ZZ$501,$A323,G$3)))</f>
        <v/>
      </c>
      <c r="H323" t="str">
        <f>IF($B323="","",IF(H$3=0,"n.b.",INDEX(SRC_Woningetalage!$A$1:$ZZ$501,$A323,H$3)))</f>
        <v/>
      </c>
      <c r="I323" t="str">
        <f>IF($B323="","",IF(I$3=0,"n.b.",INDEX(SRC_Woningetalage!$A$1:$ZZ$501,$A323,I$3)))</f>
        <v/>
      </c>
      <c r="J323" t="str">
        <f>IF($B323="","",IF(J$3=0,"n.b.",INDEX(SRC_Woningetalage!$A$1:$ZZ$501,$A323,J$3)))</f>
        <v/>
      </c>
      <c r="K323" t="str">
        <f>IF($B323="","",IF(K$3=0,"n.b.",INDEX(SRC_Woningetalage!$A$1:$ZZ$501,$A323,K$3)))</f>
        <v/>
      </c>
      <c r="L323" t="str">
        <f>IF($B323="","",IF(L$3=0,"n.b.",INDEX(SRC_Woningetalage!$A$1:$ZZ$501,$A323,L$3)))</f>
        <v/>
      </c>
      <c r="M323" t="str">
        <f>IF($B323="","",IF(M$3=0,"n.b.",INDEX(SRC_Woningetalage!$A$1:$ZZ$501,$A323,M$3)))</f>
        <v/>
      </c>
      <c r="N323" t="str">
        <f>IF($B323="","",IF(N$3=0,"n.b.",INDEX(SRC_Woningetalage!$A$1:$ZZ$501,$A323,N$3)))</f>
        <v/>
      </c>
      <c r="O323" t="str">
        <f>IF($B323="","",IF(O$3=0,"n.b.",INDEX(SRC_Woningetalage!$A$1:$ZZ$501,$A323,O$3)))</f>
        <v/>
      </c>
      <c r="P323" t="str">
        <f>IF($B323="","",IF(P$3=0,"n.b.",INDEX(SRC_Woningetalage!$A$1:$ZZ$501,$A323,P$3)))</f>
        <v/>
      </c>
      <c r="Q323" s="124" t="str">
        <f>IF($B323="","",IF(Q$3=0,"n.b.",INDEX(SRC_Woningetalage!$A$1:$ZZ$501,$A323,Q$3)))</f>
        <v/>
      </c>
      <c r="R323" s="124" t="str">
        <f>IF($B323="","",IF(R$3=0,"n.b.",INDEX(SRC_Woningetalage!$A$1:$ZZ$501,$A323,R$3)))</f>
        <v/>
      </c>
      <c r="S323" s="124" t="str">
        <f>IF($B323="","",IF(S$3=0,"n.b.",INDEX(SRC_Woningetalage!$A$1:$ZZ$501,$A323,S$3)))</f>
        <v/>
      </c>
      <c r="T323" s="124" t="str">
        <f>IF($B323="","",IF(T$3=0,"n.b.",INDEX(SRC_Woningetalage!$A$1:$ZZ$501,$A323,T$3)))</f>
        <v/>
      </c>
      <c r="U323" s="124" t="str">
        <f>IF($B323="","",IF(U$3=0,"n.b.",INDEX(SRC_Woningetalage!$A$1:$ZZ$501,$A323,U$3)))</f>
        <v/>
      </c>
      <c r="V323" s="124" t="str">
        <f>IF($B323="","",IF(V$3=0,"n.b.",INDEX(SRC_Woningetalage!$A$1:$ZZ$501,$A323,V$3)))</f>
        <v/>
      </c>
      <c r="W323" s="124" t="str">
        <f>IF($B323="","",IF(W$3=0,"n.b.",INDEX(SRC_Woningetalage!$A$1:$ZZ$501,$A323,W$3)))</f>
        <v/>
      </c>
      <c r="X323" s="124" t="str">
        <f>IF($B323="","",IF(X$3=0,"n.b.",INDEX(SRC_Woningetalage!$A$1:$ZZ$501,$A323,X$3)))</f>
        <v/>
      </c>
      <c r="Y323" s="124" t="str">
        <f>IF($B323="","",IF(Y$3=0,"n.b.",INDEX(SRC_Woningetalage!$A$1:$ZZ$501,$A323,Y$3)))</f>
        <v/>
      </c>
      <c r="Z323" s="124" t="str">
        <f>IF($B323="","",IF(Z$3=0,"n.b.",INDEX(SRC_Woningetalage!$A$1:$ZZ$501,$A323,Z$3)))</f>
        <v/>
      </c>
      <c r="AA323" s="124" t="str">
        <f>IF($B323="","",IF(AA$3=0,"n.b.",INDEX(SRC_Woningetalage!$A$1:$ZZ$501,$A323,AA$3)))</f>
        <v/>
      </c>
      <c r="AB323" s="124" t="str">
        <f>IF($B323="","",IF(AB$3=0,"n.b.",INDEX(SRC_Woningetalage!$A$1:$ZZ$501,$A323,AB$3)))</f>
        <v/>
      </c>
      <c r="AC323" s="124" t="str">
        <f>IF($B323="","",IF(AC$3=0,"n.b.",INDEX(SRC_Woningetalage!$A$1:$ZZ$501,$A323,AC$3)))</f>
        <v/>
      </c>
      <c r="AD323" s="124" t="str">
        <f>IF($B323="","",IF(AD$3=0,"n.b.",INDEX(SRC_Woningetalage!$A$1:$ZZ$501,$A323,AD$3)))</f>
        <v/>
      </c>
      <c r="AE323" s="124" t="str">
        <f>IF($B323="","",IF(AE$3=0,"n.b.",INDEX(SRC_Woningetalage!$A$1:$ZZ$501,$A323,AE$3)))</f>
        <v/>
      </c>
      <c r="AF323" s="124" t="str">
        <f>IF($B323="","",IF(AF$3=0,"n.b.",INDEX(SRC_Woningetalage!$A$1:$ZZ$501,$A323,AF$3)))</f>
        <v/>
      </c>
      <c r="AG323" s="124" t="str">
        <f>IF($B323="","",IF(AG$3=0,"n.b.",INDEX(SRC_Woningetalage!$A$1:$ZZ$501,$A323,AG$3)))</f>
        <v/>
      </c>
      <c r="AH323" s="124" t="str">
        <f>IF($B323="","",IF(AH$3=0,"n.b.",INDEX(SRC_Woningetalage!$A$1:$ZZ$501,$A323,AH$3)))</f>
        <v/>
      </c>
      <c r="AI323" s="124" t="str">
        <f>IF($B323="","",IF(AI$3=0,"n.b.",INDEX(SRC_Woningetalage!$A$1:$ZZ$501,$A323,AI$3)))</f>
        <v/>
      </c>
      <c r="AJ323" s="124" t="str">
        <f>IF($B323="","",IF(AJ$3=0,"n.b.",INDEX(SRC_Woningetalage!$A$1:$ZZ$501,$A323,AJ$3)))</f>
        <v/>
      </c>
      <c r="AK323" s="124" t="str">
        <f>IF($B323="","",IF(AK$3=0,"n.b.",INDEX(SRC_Woningetalage!$A$1:$ZZ$501,$A323,AK$3)))</f>
        <v/>
      </c>
      <c r="AL323" s="124" t="str">
        <f>IF($B323="","",IF(AL$3=0,"n.b.",INDEX(SRC_Woningetalage!$A$1:$ZZ$501,$A323,AL$3)))</f>
        <v/>
      </c>
      <c r="AM323" s="124" t="str">
        <f>IF($B323="","",IF(AM$3=0,"n.b.",INDEX(SRC_Woningetalage!$A$1:$ZZ$501,$A323,AM$3)))</f>
        <v/>
      </c>
      <c r="AN323" s="124" t="str">
        <f>IF($B323="","",IF(AN$3=0,"n.b.",INDEX(SRC_Woningetalage!$A$1:$ZZ$501,$A323,AN$3)))</f>
        <v/>
      </c>
      <c r="AO323" s="124" t="str">
        <f>IF($B323="","",IF(AO$3=0,"n.b.",INDEX(SRC_Woningetalage!$A$1:$ZZ$501,$A323,AO$3)))</f>
        <v/>
      </c>
      <c r="AP323" s="124" t="str">
        <f>IF($B323="","",IF(AP$3=0,"n.b.",INDEX(SRC_Woningetalage!$A$1:$ZZ$501,$A323,AP$3)))</f>
        <v/>
      </c>
      <c r="AQ323" s="124" t="str">
        <f>IF($B323="","",IF(AQ$3=0,"n.b.",INDEX(SRC_Woningetalage!$A$1:$ZZ$501,$A323,AQ$3)))</f>
        <v/>
      </c>
      <c r="AR323" s="124" t="str">
        <f>IF($B323="","",IF(AR$3=0,"n.b.",INDEX(SRC_Woningetalage!$A$1:$ZZ$501,$A323,AR$3)))</f>
        <v/>
      </c>
      <c r="AS323" s="124" t="str">
        <f>IF($B323="","",IF(AS$3=0,"n.b.",INDEX(SRC_Woningetalage!$A$1:$ZZ$501,$A323,AS$3)))</f>
        <v/>
      </c>
      <c r="AT323" s="124" t="str">
        <f>IF($B323="","",IF(AT$3=0,"n.b.",INDEX(SRC_Woningetalage!$A$1:$ZZ$501,$A323,AT$3)))</f>
        <v/>
      </c>
      <c r="AU323" s="124" t="str">
        <f>IF($B323="","",IF(AU$3=0,"n.b.",INDEX(SRC_Woningetalage!$A$1:$ZZ$501,$A323,AU$3)))</f>
        <v/>
      </c>
      <c r="AV323" s="124" t="str">
        <f>IF($B323="","",IF(AV$3=0,"n.b.",INDEX(SRC_Woningetalage!$A$1:$ZZ$501,$A323,AV$3)))</f>
        <v/>
      </c>
      <c r="AW323" s="124" t="str">
        <f>IF($B323="","",IF(AW$3=0,"n.b.",INDEX(SRC_Woningetalage!$A$1:$ZZ$501,$A323,AW$3)))</f>
        <v/>
      </c>
      <c r="AX323" s="124" t="str">
        <f>IF($B323="","",IF(AX$3=0,"n.b.",INDEX(SRC_Woningetalage!$A$1:$ZZ$501,$A323,AX$3)))</f>
        <v/>
      </c>
      <c r="AY323" s="124" t="str">
        <f>IF($B323="","",IF(AY$3=0,"n.b.",INDEX(SRC_Woningetalage!$A$1:$ZZ$501,$A323,AY$3)))</f>
        <v/>
      </c>
      <c r="AZ323" s="124" t="str">
        <f>IF($B323="","",IF(AZ$3=0,"n.b.",INDEX(SRC_Woningetalage!$A$1:$ZZ$501,$A323,AZ$3)))</f>
        <v/>
      </c>
      <c r="BA323" s="124" t="str">
        <f>IF($B323="","",IF(BA$3=0,"n.b.",INDEX(SRC_Woningetalage!$A$1:$ZZ$501,$A323,BA$3)))</f>
        <v/>
      </c>
      <c r="BB323" s="124" t="str">
        <f>IF($B323="","",IF(BB$3=0,"n.b.",INDEX(SRC_Woningetalage!$A$1:$ZZ$501,$A323,BB$3)))</f>
        <v/>
      </c>
      <c r="BC323" s="124" t="str">
        <f>IF($B323="","",IFERROR(_xlfn.NUMBERVALUE(E323&amp;"",",","."),"n.b."))</f>
        <v/>
      </c>
      <c r="BD323" s="124" t="str">
        <f>IF($B323="","",IFERROR(_xlfn.NUMBERVALUE(M323&amp;"",",","."),"n.b."))</f>
        <v/>
      </c>
      <c r="BE323" s="124" t="str">
        <f>IF($B323="","",IFERROR(AB323+AC323+AD323,"n.b."))</f>
        <v/>
      </c>
      <c r="BF323" s="124" t="str">
        <f>IF($B323="","",IFERROR(AE323+AF323+AG323,"n.b."))</f>
        <v/>
      </c>
      <c r="BG323" s="124" t="str">
        <f>IF($B323="","",IFERROR(AH323+AI323+AJ323,"n.b."))</f>
        <v/>
      </c>
      <c r="BH323" s="124" t="str">
        <f>IF($B323="","",IFERROR(AK323+AL323+AM323,"n.b."))</f>
        <v/>
      </c>
      <c r="BI323" s="124" t="str">
        <f>IF($B323="","",IFERROR(SUMIF($AB$5:$AM$5,"&lt;="&amp;P_PeilMaand,AB323:AM323),"n.b."))</f>
        <v/>
      </c>
      <c r="BJ323" s="124" t="str">
        <f>IF($B323="","",IFERROR(SUM(AB323:AM323)-BI323,"n.b."))</f>
        <v/>
      </c>
      <c r="BK323" s="124" t="str">
        <f>IF($B323="","",IFERROR(IF(ABS(Q323-(T323+SUM(AB323:AM323)+AS323+AU323))&gt;P_Tol,1,0),1))</f>
        <v/>
      </c>
      <c r="BL323" s="124" t="str">
        <f>IF($B323="","",IFERROR(IF(ABS(AA323-(Q323-Z323))&gt;P_Tol,1,0),1))</f>
        <v/>
      </c>
      <c r="BM323" s="124" t="str">
        <f>IF($B323="","",IFERROR(IF(ABS(Z323-(T323+W323))&gt;P_Tol,1,0),1))</f>
        <v/>
      </c>
      <c r="BN323" s="124" t="str">
        <f>IF($B323="","",IFERROR(IF(ABS(W323-BI323)&gt;P_Tol,1,0),1))</f>
        <v/>
      </c>
      <c r="BO323" s="124" t="str">
        <f>IF($B323="","",IFERROR(IF(OR(ABS(R323+S323-T323)&gt;P_Tol,ABS(U323+V323-W323)&gt;P_Tol,ABS(X323+Y323-Z323)&gt;P_Tol),1,0),1))</f>
        <v/>
      </c>
      <c r="BP323" s="124" t="str">
        <f>IF($B323="","",IFERROR(IF(OR(ABS(AR323-SUM(AB323:AM323))&gt;P_Tol,ABS(AS323-(AN323+AO323+AP323+AQ323))&gt;P_Tol),1,0),1))</f>
        <v/>
      </c>
      <c r="BQ323" s="124" t="str">
        <f>IF($B323="","",IFERROR(IF(ABS(AT323)+ABS(AV323)+ABS(AW323)+ABS(AX323)+ABS(AY323)+ABS(AZ323)+ABS(BA323)+ABS(BB323)&gt;0,1,0),1))</f>
        <v/>
      </c>
      <c r="BR323" s="124" t="str">
        <f>IF($B323="","",COUNTIF(STG_ZPMW03!$B$6:$B$505,B323))</f>
        <v/>
      </c>
      <c r="BS323" s="124" t="str">
        <f>IF($B323="","",COUNTIF($B$6:$B$505,B323))</f>
        <v/>
      </c>
      <c r="BT323" s="124" t="str">
        <f>IF($B323="","",IF(BR323=0,0,IF(INDEX(STG_ZPMW03!$I$6:$I$505,MATCH(B323,STG_ZPMW03!$B$6:$B$505,0))=J323&amp;"",0,1)))</f>
        <v/>
      </c>
      <c r="BU323" s="124" t="str">
        <f>IF($B323="","",IFERROR(IF(ABS(INDEX(Mapping!$D$5:$D$104,MATCH(B323,Mapping!$A$5:$A$104,0))-Q323)&gt;P_Tol,1,0),0))</f>
        <v/>
      </c>
      <c r="BV323" s="124" t="str">
        <f>IF($B323="","",IFERROR(IF(AND(INDEX(Mapping!$G$5:$G$104,MATCH(B323,Mapping!$A$5:$A$104,0))="Nee",ABS(Q323)+ABS(Z323)+ABS(AR323)&gt;0),1,0),0))</f>
        <v/>
      </c>
      <c r="BW323" s="124" t="str">
        <f>IF($B323="","",IF(COUNTIF(Mapping!$A$5:$A$104,B323)&gt;0,1,0))</f>
        <v/>
      </c>
      <c r="BX323" s="124" t="str">
        <f>IF($B323="","",IF(BR323=0,COUNTIF($BR$6:BR323,0),""))</f>
        <v/>
      </c>
    </row>
    <row r="324">
      <c r="A324" s="15" t="n">
        <v>320</v>
      </c>
      <c r="B324" t="str">
        <f>IF(B$3=0,"",IF(INDEX(SRC_Woningetalage!$A$1:$ZZ$501,$A324,B$3)&amp;""="","",INDEX(SRC_Woningetalage!$A$1:$ZZ$501,$A324,B$3)&amp;""))</f>
        <v/>
      </c>
      <c r="C324" t="str">
        <f>IF($B324="","",IF(C$3=0,"n.b.",INDEX(SRC_Woningetalage!$A$1:$ZZ$501,$A324,C$3)))</f>
        <v/>
      </c>
      <c r="D324" t="str">
        <f>IF($B324="","",IF(D$3=0,"n.b.",INDEX(SRC_Woningetalage!$A$1:$ZZ$501,$A324,D$3)))</f>
        <v/>
      </c>
      <c r="E324" t="str">
        <f>IF($B324="","",IF(E$3=0,"n.b.",INDEX(SRC_Woningetalage!$A$1:$ZZ$501,$A324,E$3)))</f>
        <v/>
      </c>
      <c r="F324" t="str">
        <f>IF($B324="","",IF(F$3=0,"n.b.",INDEX(SRC_Woningetalage!$A$1:$ZZ$501,$A324,F$3)))</f>
        <v/>
      </c>
      <c r="G324" t="str">
        <f>IF($B324="","",IF(G$3=0,"n.b.",INDEX(SRC_Woningetalage!$A$1:$ZZ$501,$A324,G$3)))</f>
        <v/>
      </c>
      <c r="H324" t="str">
        <f>IF($B324="","",IF(H$3=0,"n.b.",INDEX(SRC_Woningetalage!$A$1:$ZZ$501,$A324,H$3)))</f>
        <v/>
      </c>
      <c r="I324" t="str">
        <f>IF($B324="","",IF(I$3=0,"n.b.",INDEX(SRC_Woningetalage!$A$1:$ZZ$501,$A324,I$3)))</f>
        <v/>
      </c>
      <c r="J324" t="str">
        <f>IF($B324="","",IF(J$3=0,"n.b.",INDEX(SRC_Woningetalage!$A$1:$ZZ$501,$A324,J$3)))</f>
        <v/>
      </c>
      <c r="K324" t="str">
        <f>IF($B324="","",IF(K$3=0,"n.b.",INDEX(SRC_Woningetalage!$A$1:$ZZ$501,$A324,K$3)))</f>
        <v/>
      </c>
      <c r="L324" t="str">
        <f>IF($B324="","",IF(L$3=0,"n.b.",INDEX(SRC_Woningetalage!$A$1:$ZZ$501,$A324,L$3)))</f>
        <v/>
      </c>
      <c r="M324" t="str">
        <f>IF($B324="","",IF(M$3=0,"n.b.",INDEX(SRC_Woningetalage!$A$1:$ZZ$501,$A324,M$3)))</f>
        <v/>
      </c>
      <c r="N324" t="str">
        <f>IF($B324="","",IF(N$3=0,"n.b.",INDEX(SRC_Woningetalage!$A$1:$ZZ$501,$A324,N$3)))</f>
        <v/>
      </c>
      <c r="O324" t="str">
        <f>IF($B324="","",IF(O$3=0,"n.b.",INDEX(SRC_Woningetalage!$A$1:$ZZ$501,$A324,O$3)))</f>
        <v/>
      </c>
      <c r="P324" t="str">
        <f>IF($B324="","",IF(P$3=0,"n.b.",INDEX(SRC_Woningetalage!$A$1:$ZZ$501,$A324,P$3)))</f>
        <v/>
      </c>
      <c r="Q324" s="124" t="str">
        <f>IF($B324="","",IF(Q$3=0,"n.b.",INDEX(SRC_Woningetalage!$A$1:$ZZ$501,$A324,Q$3)))</f>
        <v/>
      </c>
      <c r="R324" s="124" t="str">
        <f>IF($B324="","",IF(R$3=0,"n.b.",INDEX(SRC_Woningetalage!$A$1:$ZZ$501,$A324,R$3)))</f>
        <v/>
      </c>
      <c r="S324" s="124" t="str">
        <f>IF($B324="","",IF(S$3=0,"n.b.",INDEX(SRC_Woningetalage!$A$1:$ZZ$501,$A324,S$3)))</f>
        <v/>
      </c>
      <c r="T324" s="124" t="str">
        <f>IF($B324="","",IF(T$3=0,"n.b.",INDEX(SRC_Woningetalage!$A$1:$ZZ$501,$A324,T$3)))</f>
        <v/>
      </c>
      <c r="U324" s="124" t="str">
        <f>IF($B324="","",IF(U$3=0,"n.b.",INDEX(SRC_Woningetalage!$A$1:$ZZ$501,$A324,U$3)))</f>
        <v/>
      </c>
      <c r="V324" s="124" t="str">
        <f>IF($B324="","",IF(V$3=0,"n.b.",INDEX(SRC_Woningetalage!$A$1:$ZZ$501,$A324,V$3)))</f>
        <v/>
      </c>
      <c r="W324" s="124" t="str">
        <f>IF($B324="","",IF(W$3=0,"n.b.",INDEX(SRC_Woningetalage!$A$1:$ZZ$501,$A324,W$3)))</f>
        <v/>
      </c>
      <c r="X324" s="124" t="str">
        <f>IF($B324="","",IF(X$3=0,"n.b.",INDEX(SRC_Woningetalage!$A$1:$ZZ$501,$A324,X$3)))</f>
        <v/>
      </c>
      <c r="Y324" s="124" t="str">
        <f>IF($B324="","",IF(Y$3=0,"n.b.",INDEX(SRC_Woningetalage!$A$1:$ZZ$501,$A324,Y$3)))</f>
        <v/>
      </c>
      <c r="Z324" s="124" t="str">
        <f>IF($B324="","",IF(Z$3=0,"n.b.",INDEX(SRC_Woningetalage!$A$1:$ZZ$501,$A324,Z$3)))</f>
        <v/>
      </c>
      <c r="AA324" s="124" t="str">
        <f>IF($B324="","",IF(AA$3=0,"n.b.",INDEX(SRC_Woningetalage!$A$1:$ZZ$501,$A324,AA$3)))</f>
        <v/>
      </c>
      <c r="AB324" s="124" t="str">
        <f>IF($B324="","",IF(AB$3=0,"n.b.",INDEX(SRC_Woningetalage!$A$1:$ZZ$501,$A324,AB$3)))</f>
        <v/>
      </c>
      <c r="AC324" s="124" t="str">
        <f>IF($B324="","",IF(AC$3=0,"n.b.",INDEX(SRC_Woningetalage!$A$1:$ZZ$501,$A324,AC$3)))</f>
        <v/>
      </c>
      <c r="AD324" s="124" t="str">
        <f>IF($B324="","",IF(AD$3=0,"n.b.",INDEX(SRC_Woningetalage!$A$1:$ZZ$501,$A324,AD$3)))</f>
        <v/>
      </c>
      <c r="AE324" s="124" t="str">
        <f>IF($B324="","",IF(AE$3=0,"n.b.",INDEX(SRC_Woningetalage!$A$1:$ZZ$501,$A324,AE$3)))</f>
        <v/>
      </c>
      <c r="AF324" s="124" t="str">
        <f>IF($B324="","",IF(AF$3=0,"n.b.",INDEX(SRC_Woningetalage!$A$1:$ZZ$501,$A324,AF$3)))</f>
        <v/>
      </c>
      <c r="AG324" s="124" t="str">
        <f>IF($B324="","",IF(AG$3=0,"n.b.",INDEX(SRC_Woningetalage!$A$1:$ZZ$501,$A324,AG$3)))</f>
        <v/>
      </c>
      <c r="AH324" s="124" t="str">
        <f>IF($B324="","",IF(AH$3=0,"n.b.",INDEX(SRC_Woningetalage!$A$1:$ZZ$501,$A324,AH$3)))</f>
        <v/>
      </c>
      <c r="AI324" s="124" t="str">
        <f>IF($B324="","",IF(AI$3=0,"n.b.",INDEX(SRC_Woningetalage!$A$1:$ZZ$501,$A324,AI$3)))</f>
        <v/>
      </c>
      <c r="AJ324" s="124" t="str">
        <f>IF($B324="","",IF(AJ$3=0,"n.b.",INDEX(SRC_Woningetalage!$A$1:$ZZ$501,$A324,AJ$3)))</f>
        <v/>
      </c>
      <c r="AK324" s="124" t="str">
        <f>IF($B324="","",IF(AK$3=0,"n.b.",INDEX(SRC_Woningetalage!$A$1:$ZZ$501,$A324,AK$3)))</f>
        <v/>
      </c>
      <c r="AL324" s="124" t="str">
        <f>IF($B324="","",IF(AL$3=0,"n.b.",INDEX(SRC_Woningetalage!$A$1:$ZZ$501,$A324,AL$3)))</f>
        <v/>
      </c>
      <c r="AM324" s="124" t="str">
        <f>IF($B324="","",IF(AM$3=0,"n.b.",INDEX(SRC_Woningetalage!$A$1:$ZZ$501,$A324,AM$3)))</f>
        <v/>
      </c>
      <c r="AN324" s="124" t="str">
        <f>IF($B324="","",IF(AN$3=0,"n.b.",INDEX(SRC_Woningetalage!$A$1:$ZZ$501,$A324,AN$3)))</f>
        <v/>
      </c>
      <c r="AO324" s="124" t="str">
        <f>IF($B324="","",IF(AO$3=0,"n.b.",INDEX(SRC_Woningetalage!$A$1:$ZZ$501,$A324,AO$3)))</f>
        <v/>
      </c>
      <c r="AP324" s="124" t="str">
        <f>IF($B324="","",IF(AP$3=0,"n.b.",INDEX(SRC_Woningetalage!$A$1:$ZZ$501,$A324,AP$3)))</f>
        <v/>
      </c>
      <c r="AQ324" s="124" t="str">
        <f>IF($B324="","",IF(AQ$3=0,"n.b.",INDEX(SRC_Woningetalage!$A$1:$ZZ$501,$A324,AQ$3)))</f>
        <v/>
      </c>
      <c r="AR324" s="124" t="str">
        <f>IF($B324="","",IF(AR$3=0,"n.b.",INDEX(SRC_Woningetalage!$A$1:$ZZ$501,$A324,AR$3)))</f>
        <v/>
      </c>
      <c r="AS324" s="124" t="str">
        <f>IF($B324="","",IF(AS$3=0,"n.b.",INDEX(SRC_Woningetalage!$A$1:$ZZ$501,$A324,AS$3)))</f>
        <v/>
      </c>
      <c r="AT324" s="124" t="str">
        <f>IF($B324="","",IF(AT$3=0,"n.b.",INDEX(SRC_Woningetalage!$A$1:$ZZ$501,$A324,AT$3)))</f>
        <v/>
      </c>
      <c r="AU324" s="124" t="str">
        <f>IF($B324="","",IF(AU$3=0,"n.b.",INDEX(SRC_Woningetalage!$A$1:$ZZ$501,$A324,AU$3)))</f>
        <v/>
      </c>
      <c r="AV324" s="124" t="str">
        <f>IF($B324="","",IF(AV$3=0,"n.b.",INDEX(SRC_Woningetalage!$A$1:$ZZ$501,$A324,AV$3)))</f>
        <v/>
      </c>
      <c r="AW324" s="124" t="str">
        <f>IF($B324="","",IF(AW$3=0,"n.b.",INDEX(SRC_Woningetalage!$A$1:$ZZ$501,$A324,AW$3)))</f>
        <v/>
      </c>
      <c r="AX324" s="124" t="str">
        <f>IF($B324="","",IF(AX$3=0,"n.b.",INDEX(SRC_Woningetalage!$A$1:$ZZ$501,$A324,AX$3)))</f>
        <v/>
      </c>
      <c r="AY324" s="124" t="str">
        <f>IF($B324="","",IF(AY$3=0,"n.b.",INDEX(SRC_Woningetalage!$A$1:$ZZ$501,$A324,AY$3)))</f>
        <v/>
      </c>
      <c r="AZ324" s="124" t="str">
        <f>IF($B324="","",IF(AZ$3=0,"n.b.",INDEX(SRC_Woningetalage!$A$1:$ZZ$501,$A324,AZ$3)))</f>
        <v/>
      </c>
      <c r="BA324" s="124" t="str">
        <f>IF($B324="","",IF(BA$3=0,"n.b.",INDEX(SRC_Woningetalage!$A$1:$ZZ$501,$A324,BA$3)))</f>
        <v/>
      </c>
      <c r="BB324" s="124" t="str">
        <f>IF($B324="","",IF(BB$3=0,"n.b.",INDEX(SRC_Woningetalage!$A$1:$ZZ$501,$A324,BB$3)))</f>
        <v/>
      </c>
      <c r="BC324" s="124" t="str">
        <f>IF($B324="","",IFERROR(_xlfn.NUMBERVALUE(E324&amp;"",",","."),"n.b."))</f>
        <v/>
      </c>
      <c r="BD324" s="124" t="str">
        <f>IF($B324="","",IFERROR(_xlfn.NUMBERVALUE(M324&amp;"",",","."),"n.b."))</f>
        <v/>
      </c>
      <c r="BE324" s="124" t="str">
        <f>IF($B324="","",IFERROR(AB324+AC324+AD324,"n.b."))</f>
        <v/>
      </c>
      <c r="BF324" s="124" t="str">
        <f>IF($B324="","",IFERROR(AE324+AF324+AG324,"n.b."))</f>
        <v/>
      </c>
      <c r="BG324" s="124" t="str">
        <f>IF($B324="","",IFERROR(AH324+AI324+AJ324,"n.b."))</f>
        <v/>
      </c>
      <c r="BH324" s="124" t="str">
        <f>IF($B324="","",IFERROR(AK324+AL324+AM324,"n.b."))</f>
        <v/>
      </c>
      <c r="BI324" s="124" t="str">
        <f>IF($B324="","",IFERROR(SUMIF($AB$5:$AM$5,"&lt;="&amp;P_PeilMaand,AB324:AM324),"n.b."))</f>
        <v/>
      </c>
      <c r="BJ324" s="124" t="str">
        <f>IF($B324="","",IFERROR(SUM(AB324:AM324)-BI324,"n.b."))</f>
        <v/>
      </c>
      <c r="BK324" s="124" t="str">
        <f>IF($B324="","",IFERROR(IF(ABS(Q324-(T324+SUM(AB324:AM324)+AS324+AU324))&gt;P_Tol,1,0),1))</f>
        <v/>
      </c>
      <c r="BL324" s="124" t="str">
        <f>IF($B324="","",IFERROR(IF(ABS(AA324-(Q324-Z324))&gt;P_Tol,1,0),1))</f>
        <v/>
      </c>
      <c r="BM324" s="124" t="str">
        <f>IF($B324="","",IFERROR(IF(ABS(Z324-(T324+W324))&gt;P_Tol,1,0),1))</f>
        <v/>
      </c>
      <c r="BN324" s="124" t="str">
        <f>IF($B324="","",IFERROR(IF(ABS(W324-BI324)&gt;P_Tol,1,0),1))</f>
        <v/>
      </c>
      <c r="BO324" s="124" t="str">
        <f>IF($B324="","",IFERROR(IF(OR(ABS(R324+S324-T324)&gt;P_Tol,ABS(U324+V324-W324)&gt;P_Tol,ABS(X324+Y324-Z324)&gt;P_Tol),1,0),1))</f>
        <v/>
      </c>
      <c r="BP324" s="124" t="str">
        <f>IF($B324="","",IFERROR(IF(OR(ABS(AR324-SUM(AB324:AM324))&gt;P_Tol,ABS(AS324-(AN324+AO324+AP324+AQ324))&gt;P_Tol),1,0),1))</f>
        <v/>
      </c>
      <c r="BQ324" s="124" t="str">
        <f>IF($B324="","",IFERROR(IF(ABS(AT324)+ABS(AV324)+ABS(AW324)+ABS(AX324)+ABS(AY324)+ABS(AZ324)+ABS(BA324)+ABS(BB324)&gt;0,1,0),1))</f>
        <v/>
      </c>
      <c r="BR324" s="124" t="str">
        <f>IF($B324="","",COUNTIF(STG_ZPMW03!$B$6:$B$505,B324))</f>
        <v/>
      </c>
      <c r="BS324" s="124" t="str">
        <f>IF($B324="","",COUNTIF($B$6:$B$505,B324))</f>
        <v/>
      </c>
      <c r="BT324" s="124" t="str">
        <f>IF($B324="","",IF(BR324=0,0,IF(INDEX(STG_ZPMW03!$I$6:$I$505,MATCH(B324,STG_ZPMW03!$B$6:$B$505,0))=J324&amp;"",0,1)))</f>
        <v/>
      </c>
      <c r="BU324" s="124" t="str">
        <f>IF($B324="","",IFERROR(IF(ABS(INDEX(Mapping!$D$5:$D$104,MATCH(B324,Mapping!$A$5:$A$104,0))-Q324)&gt;P_Tol,1,0),0))</f>
        <v/>
      </c>
      <c r="BV324" s="124" t="str">
        <f>IF($B324="","",IFERROR(IF(AND(INDEX(Mapping!$G$5:$G$104,MATCH(B324,Mapping!$A$5:$A$104,0))="Nee",ABS(Q324)+ABS(Z324)+ABS(AR324)&gt;0),1,0),0))</f>
        <v/>
      </c>
      <c r="BW324" s="124" t="str">
        <f>IF($B324="","",IF(COUNTIF(Mapping!$A$5:$A$104,B324)&gt;0,1,0))</f>
        <v/>
      </c>
      <c r="BX324" s="124" t="str">
        <f>IF($B324="","",IF(BR324=0,COUNTIF($BR$6:BR324,0),""))</f>
        <v/>
      </c>
    </row>
    <row r="325">
      <c r="A325" s="15" t="n">
        <v>321</v>
      </c>
      <c r="B325" t="str">
        <f>IF(B$3=0,"",IF(INDEX(SRC_Woningetalage!$A$1:$ZZ$501,$A325,B$3)&amp;""="","",INDEX(SRC_Woningetalage!$A$1:$ZZ$501,$A325,B$3)&amp;""))</f>
        <v/>
      </c>
      <c r="C325" t="str">
        <f>IF($B325="","",IF(C$3=0,"n.b.",INDEX(SRC_Woningetalage!$A$1:$ZZ$501,$A325,C$3)))</f>
        <v/>
      </c>
      <c r="D325" t="str">
        <f>IF($B325="","",IF(D$3=0,"n.b.",INDEX(SRC_Woningetalage!$A$1:$ZZ$501,$A325,D$3)))</f>
        <v/>
      </c>
      <c r="E325" t="str">
        <f>IF($B325="","",IF(E$3=0,"n.b.",INDEX(SRC_Woningetalage!$A$1:$ZZ$501,$A325,E$3)))</f>
        <v/>
      </c>
      <c r="F325" t="str">
        <f>IF($B325="","",IF(F$3=0,"n.b.",INDEX(SRC_Woningetalage!$A$1:$ZZ$501,$A325,F$3)))</f>
        <v/>
      </c>
      <c r="G325" t="str">
        <f>IF($B325="","",IF(G$3=0,"n.b.",INDEX(SRC_Woningetalage!$A$1:$ZZ$501,$A325,G$3)))</f>
        <v/>
      </c>
      <c r="H325" t="str">
        <f>IF($B325="","",IF(H$3=0,"n.b.",INDEX(SRC_Woningetalage!$A$1:$ZZ$501,$A325,H$3)))</f>
        <v/>
      </c>
      <c r="I325" t="str">
        <f>IF($B325="","",IF(I$3=0,"n.b.",INDEX(SRC_Woningetalage!$A$1:$ZZ$501,$A325,I$3)))</f>
        <v/>
      </c>
      <c r="J325" t="str">
        <f>IF($B325="","",IF(J$3=0,"n.b.",INDEX(SRC_Woningetalage!$A$1:$ZZ$501,$A325,J$3)))</f>
        <v/>
      </c>
      <c r="K325" t="str">
        <f>IF($B325="","",IF(K$3=0,"n.b.",INDEX(SRC_Woningetalage!$A$1:$ZZ$501,$A325,K$3)))</f>
        <v/>
      </c>
      <c r="L325" t="str">
        <f>IF($B325="","",IF(L$3=0,"n.b.",INDEX(SRC_Woningetalage!$A$1:$ZZ$501,$A325,L$3)))</f>
        <v/>
      </c>
      <c r="M325" t="str">
        <f>IF($B325="","",IF(M$3=0,"n.b.",INDEX(SRC_Woningetalage!$A$1:$ZZ$501,$A325,M$3)))</f>
        <v/>
      </c>
      <c r="N325" t="str">
        <f>IF($B325="","",IF(N$3=0,"n.b.",INDEX(SRC_Woningetalage!$A$1:$ZZ$501,$A325,N$3)))</f>
        <v/>
      </c>
      <c r="O325" t="str">
        <f>IF($B325="","",IF(O$3=0,"n.b.",INDEX(SRC_Woningetalage!$A$1:$ZZ$501,$A325,O$3)))</f>
        <v/>
      </c>
      <c r="P325" t="str">
        <f>IF($B325="","",IF(P$3=0,"n.b.",INDEX(SRC_Woningetalage!$A$1:$ZZ$501,$A325,P$3)))</f>
        <v/>
      </c>
      <c r="Q325" s="124" t="str">
        <f>IF($B325="","",IF(Q$3=0,"n.b.",INDEX(SRC_Woningetalage!$A$1:$ZZ$501,$A325,Q$3)))</f>
        <v/>
      </c>
      <c r="R325" s="124" t="str">
        <f>IF($B325="","",IF(R$3=0,"n.b.",INDEX(SRC_Woningetalage!$A$1:$ZZ$501,$A325,R$3)))</f>
        <v/>
      </c>
      <c r="S325" s="124" t="str">
        <f>IF($B325="","",IF(S$3=0,"n.b.",INDEX(SRC_Woningetalage!$A$1:$ZZ$501,$A325,S$3)))</f>
        <v/>
      </c>
      <c r="T325" s="124" t="str">
        <f>IF($B325="","",IF(T$3=0,"n.b.",INDEX(SRC_Woningetalage!$A$1:$ZZ$501,$A325,T$3)))</f>
        <v/>
      </c>
      <c r="U325" s="124" t="str">
        <f>IF($B325="","",IF(U$3=0,"n.b.",INDEX(SRC_Woningetalage!$A$1:$ZZ$501,$A325,U$3)))</f>
        <v/>
      </c>
      <c r="V325" s="124" t="str">
        <f>IF($B325="","",IF(V$3=0,"n.b.",INDEX(SRC_Woningetalage!$A$1:$ZZ$501,$A325,V$3)))</f>
        <v/>
      </c>
      <c r="W325" s="124" t="str">
        <f>IF($B325="","",IF(W$3=0,"n.b.",INDEX(SRC_Woningetalage!$A$1:$ZZ$501,$A325,W$3)))</f>
        <v/>
      </c>
      <c r="X325" s="124" t="str">
        <f>IF($B325="","",IF(X$3=0,"n.b.",INDEX(SRC_Woningetalage!$A$1:$ZZ$501,$A325,X$3)))</f>
        <v/>
      </c>
      <c r="Y325" s="124" t="str">
        <f>IF($B325="","",IF(Y$3=0,"n.b.",INDEX(SRC_Woningetalage!$A$1:$ZZ$501,$A325,Y$3)))</f>
        <v/>
      </c>
      <c r="Z325" s="124" t="str">
        <f>IF($B325="","",IF(Z$3=0,"n.b.",INDEX(SRC_Woningetalage!$A$1:$ZZ$501,$A325,Z$3)))</f>
        <v/>
      </c>
      <c r="AA325" s="124" t="str">
        <f>IF($B325="","",IF(AA$3=0,"n.b.",INDEX(SRC_Woningetalage!$A$1:$ZZ$501,$A325,AA$3)))</f>
        <v/>
      </c>
      <c r="AB325" s="124" t="str">
        <f>IF($B325="","",IF(AB$3=0,"n.b.",INDEX(SRC_Woningetalage!$A$1:$ZZ$501,$A325,AB$3)))</f>
        <v/>
      </c>
      <c r="AC325" s="124" t="str">
        <f>IF($B325="","",IF(AC$3=0,"n.b.",INDEX(SRC_Woningetalage!$A$1:$ZZ$501,$A325,AC$3)))</f>
        <v/>
      </c>
      <c r="AD325" s="124" t="str">
        <f>IF($B325="","",IF(AD$3=0,"n.b.",INDEX(SRC_Woningetalage!$A$1:$ZZ$501,$A325,AD$3)))</f>
        <v/>
      </c>
      <c r="AE325" s="124" t="str">
        <f>IF($B325="","",IF(AE$3=0,"n.b.",INDEX(SRC_Woningetalage!$A$1:$ZZ$501,$A325,AE$3)))</f>
        <v/>
      </c>
      <c r="AF325" s="124" t="str">
        <f>IF($B325="","",IF(AF$3=0,"n.b.",INDEX(SRC_Woningetalage!$A$1:$ZZ$501,$A325,AF$3)))</f>
        <v/>
      </c>
      <c r="AG325" s="124" t="str">
        <f>IF($B325="","",IF(AG$3=0,"n.b.",INDEX(SRC_Woningetalage!$A$1:$ZZ$501,$A325,AG$3)))</f>
        <v/>
      </c>
      <c r="AH325" s="124" t="str">
        <f>IF($B325="","",IF(AH$3=0,"n.b.",INDEX(SRC_Woningetalage!$A$1:$ZZ$501,$A325,AH$3)))</f>
        <v/>
      </c>
      <c r="AI325" s="124" t="str">
        <f>IF($B325="","",IF(AI$3=0,"n.b.",INDEX(SRC_Woningetalage!$A$1:$ZZ$501,$A325,AI$3)))</f>
        <v/>
      </c>
      <c r="AJ325" s="124" t="str">
        <f>IF($B325="","",IF(AJ$3=0,"n.b.",INDEX(SRC_Woningetalage!$A$1:$ZZ$501,$A325,AJ$3)))</f>
        <v/>
      </c>
      <c r="AK325" s="124" t="str">
        <f>IF($B325="","",IF(AK$3=0,"n.b.",INDEX(SRC_Woningetalage!$A$1:$ZZ$501,$A325,AK$3)))</f>
        <v/>
      </c>
      <c r="AL325" s="124" t="str">
        <f>IF($B325="","",IF(AL$3=0,"n.b.",INDEX(SRC_Woningetalage!$A$1:$ZZ$501,$A325,AL$3)))</f>
        <v/>
      </c>
      <c r="AM325" s="124" t="str">
        <f>IF($B325="","",IF(AM$3=0,"n.b.",INDEX(SRC_Woningetalage!$A$1:$ZZ$501,$A325,AM$3)))</f>
        <v/>
      </c>
      <c r="AN325" s="124" t="str">
        <f>IF($B325="","",IF(AN$3=0,"n.b.",INDEX(SRC_Woningetalage!$A$1:$ZZ$501,$A325,AN$3)))</f>
        <v/>
      </c>
      <c r="AO325" s="124" t="str">
        <f>IF($B325="","",IF(AO$3=0,"n.b.",INDEX(SRC_Woningetalage!$A$1:$ZZ$501,$A325,AO$3)))</f>
        <v/>
      </c>
      <c r="AP325" s="124" t="str">
        <f>IF($B325="","",IF(AP$3=0,"n.b.",INDEX(SRC_Woningetalage!$A$1:$ZZ$501,$A325,AP$3)))</f>
        <v/>
      </c>
      <c r="AQ325" s="124" t="str">
        <f>IF($B325="","",IF(AQ$3=0,"n.b.",INDEX(SRC_Woningetalage!$A$1:$ZZ$501,$A325,AQ$3)))</f>
        <v/>
      </c>
      <c r="AR325" s="124" t="str">
        <f>IF($B325="","",IF(AR$3=0,"n.b.",INDEX(SRC_Woningetalage!$A$1:$ZZ$501,$A325,AR$3)))</f>
        <v/>
      </c>
      <c r="AS325" s="124" t="str">
        <f>IF($B325="","",IF(AS$3=0,"n.b.",INDEX(SRC_Woningetalage!$A$1:$ZZ$501,$A325,AS$3)))</f>
        <v/>
      </c>
      <c r="AT325" s="124" t="str">
        <f>IF($B325="","",IF(AT$3=0,"n.b.",INDEX(SRC_Woningetalage!$A$1:$ZZ$501,$A325,AT$3)))</f>
        <v/>
      </c>
      <c r="AU325" s="124" t="str">
        <f>IF($B325="","",IF(AU$3=0,"n.b.",INDEX(SRC_Woningetalage!$A$1:$ZZ$501,$A325,AU$3)))</f>
        <v/>
      </c>
      <c r="AV325" s="124" t="str">
        <f>IF($B325="","",IF(AV$3=0,"n.b.",INDEX(SRC_Woningetalage!$A$1:$ZZ$501,$A325,AV$3)))</f>
        <v/>
      </c>
      <c r="AW325" s="124" t="str">
        <f>IF($B325="","",IF(AW$3=0,"n.b.",INDEX(SRC_Woningetalage!$A$1:$ZZ$501,$A325,AW$3)))</f>
        <v/>
      </c>
      <c r="AX325" s="124" t="str">
        <f>IF($B325="","",IF(AX$3=0,"n.b.",INDEX(SRC_Woningetalage!$A$1:$ZZ$501,$A325,AX$3)))</f>
        <v/>
      </c>
      <c r="AY325" s="124" t="str">
        <f>IF($B325="","",IF(AY$3=0,"n.b.",INDEX(SRC_Woningetalage!$A$1:$ZZ$501,$A325,AY$3)))</f>
        <v/>
      </c>
      <c r="AZ325" s="124" t="str">
        <f>IF($B325="","",IF(AZ$3=0,"n.b.",INDEX(SRC_Woningetalage!$A$1:$ZZ$501,$A325,AZ$3)))</f>
        <v/>
      </c>
      <c r="BA325" s="124" t="str">
        <f>IF($B325="","",IF(BA$3=0,"n.b.",INDEX(SRC_Woningetalage!$A$1:$ZZ$501,$A325,BA$3)))</f>
        <v/>
      </c>
      <c r="BB325" s="124" t="str">
        <f>IF($B325="","",IF(BB$3=0,"n.b.",INDEX(SRC_Woningetalage!$A$1:$ZZ$501,$A325,BB$3)))</f>
        <v/>
      </c>
      <c r="BC325" s="124" t="str">
        <f>IF($B325="","",IFERROR(_xlfn.NUMBERVALUE(E325&amp;"",",","."),"n.b."))</f>
        <v/>
      </c>
      <c r="BD325" s="124" t="str">
        <f>IF($B325="","",IFERROR(_xlfn.NUMBERVALUE(M325&amp;"",",","."),"n.b."))</f>
        <v/>
      </c>
      <c r="BE325" s="124" t="str">
        <f>IF($B325="","",IFERROR(AB325+AC325+AD325,"n.b."))</f>
        <v/>
      </c>
      <c r="BF325" s="124" t="str">
        <f>IF($B325="","",IFERROR(AE325+AF325+AG325,"n.b."))</f>
        <v/>
      </c>
      <c r="BG325" s="124" t="str">
        <f>IF($B325="","",IFERROR(AH325+AI325+AJ325,"n.b."))</f>
        <v/>
      </c>
      <c r="BH325" s="124" t="str">
        <f>IF($B325="","",IFERROR(AK325+AL325+AM325,"n.b."))</f>
        <v/>
      </c>
      <c r="BI325" s="124" t="str">
        <f>IF($B325="","",IFERROR(SUMIF($AB$5:$AM$5,"&lt;="&amp;P_PeilMaand,AB325:AM325),"n.b."))</f>
        <v/>
      </c>
      <c r="BJ325" s="124" t="str">
        <f>IF($B325="","",IFERROR(SUM(AB325:AM325)-BI325,"n.b."))</f>
        <v/>
      </c>
      <c r="BK325" s="124" t="str">
        <f>IF($B325="","",IFERROR(IF(ABS(Q325-(T325+SUM(AB325:AM325)+AS325+AU325))&gt;P_Tol,1,0),1))</f>
        <v/>
      </c>
      <c r="BL325" s="124" t="str">
        <f>IF($B325="","",IFERROR(IF(ABS(AA325-(Q325-Z325))&gt;P_Tol,1,0),1))</f>
        <v/>
      </c>
      <c r="BM325" s="124" t="str">
        <f>IF($B325="","",IFERROR(IF(ABS(Z325-(T325+W325))&gt;P_Tol,1,0),1))</f>
        <v/>
      </c>
      <c r="BN325" s="124" t="str">
        <f>IF($B325="","",IFERROR(IF(ABS(W325-BI325)&gt;P_Tol,1,0),1))</f>
        <v/>
      </c>
      <c r="BO325" s="124" t="str">
        <f>IF($B325="","",IFERROR(IF(OR(ABS(R325+S325-T325)&gt;P_Tol,ABS(U325+V325-W325)&gt;P_Tol,ABS(X325+Y325-Z325)&gt;P_Tol),1,0),1))</f>
        <v/>
      </c>
      <c r="BP325" s="124" t="str">
        <f>IF($B325="","",IFERROR(IF(OR(ABS(AR325-SUM(AB325:AM325))&gt;P_Tol,ABS(AS325-(AN325+AO325+AP325+AQ325))&gt;P_Tol),1,0),1))</f>
        <v/>
      </c>
      <c r="BQ325" s="124" t="str">
        <f>IF($B325="","",IFERROR(IF(ABS(AT325)+ABS(AV325)+ABS(AW325)+ABS(AX325)+ABS(AY325)+ABS(AZ325)+ABS(BA325)+ABS(BB325)&gt;0,1,0),1))</f>
        <v/>
      </c>
      <c r="BR325" s="124" t="str">
        <f>IF($B325="","",COUNTIF(STG_ZPMW03!$B$6:$B$505,B325))</f>
        <v/>
      </c>
      <c r="BS325" s="124" t="str">
        <f>IF($B325="","",COUNTIF($B$6:$B$505,B325))</f>
        <v/>
      </c>
      <c r="BT325" s="124" t="str">
        <f>IF($B325="","",IF(BR325=0,0,IF(INDEX(STG_ZPMW03!$I$6:$I$505,MATCH(B325,STG_ZPMW03!$B$6:$B$505,0))=J325&amp;"",0,1)))</f>
        <v/>
      </c>
      <c r="BU325" s="124" t="str">
        <f>IF($B325="","",IFERROR(IF(ABS(INDEX(Mapping!$D$5:$D$104,MATCH(B325,Mapping!$A$5:$A$104,0))-Q325)&gt;P_Tol,1,0),0))</f>
        <v/>
      </c>
      <c r="BV325" s="124" t="str">
        <f>IF($B325="","",IFERROR(IF(AND(INDEX(Mapping!$G$5:$G$104,MATCH(B325,Mapping!$A$5:$A$104,0))="Nee",ABS(Q325)+ABS(Z325)+ABS(AR325)&gt;0),1,0),0))</f>
        <v/>
      </c>
      <c r="BW325" s="124" t="str">
        <f>IF($B325="","",IF(COUNTIF(Mapping!$A$5:$A$104,B325)&gt;0,1,0))</f>
        <v/>
      </c>
      <c r="BX325" s="124" t="str">
        <f>IF($B325="","",IF(BR325=0,COUNTIF($BR$6:BR325,0),""))</f>
        <v/>
      </c>
    </row>
    <row r="326">
      <c r="A326" s="15" t="n">
        <v>322</v>
      </c>
      <c r="B326" t="str">
        <f>IF(B$3=0,"",IF(INDEX(SRC_Woningetalage!$A$1:$ZZ$501,$A326,B$3)&amp;""="","",INDEX(SRC_Woningetalage!$A$1:$ZZ$501,$A326,B$3)&amp;""))</f>
        <v/>
      </c>
      <c r="C326" t="str">
        <f>IF($B326="","",IF(C$3=0,"n.b.",INDEX(SRC_Woningetalage!$A$1:$ZZ$501,$A326,C$3)))</f>
        <v/>
      </c>
      <c r="D326" t="str">
        <f>IF($B326="","",IF(D$3=0,"n.b.",INDEX(SRC_Woningetalage!$A$1:$ZZ$501,$A326,D$3)))</f>
        <v/>
      </c>
      <c r="E326" t="str">
        <f>IF($B326="","",IF(E$3=0,"n.b.",INDEX(SRC_Woningetalage!$A$1:$ZZ$501,$A326,E$3)))</f>
        <v/>
      </c>
      <c r="F326" t="str">
        <f>IF($B326="","",IF(F$3=0,"n.b.",INDEX(SRC_Woningetalage!$A$1:$ZZ$501,$A326,F$3)))</f>
        <v/>
      </c>
      <c r="G326" t="str">
        <f>IF($B326="","",IF(G$3=0,"n.b.",INDEX(SRC_Woningetalage!$A$1:$ZZ$501,$A326,G$3)))</f>
        <v/>
      </c>
      <c r="H326" t="str">
        <f>IF($B326="","",IF(H$3=0,"n.b.",INDEX(SRC_Woningetalage!$A$1:$ZZ$501,$A326,H$3)))</f>
        <v/>
      </c>
      <c r="I326" t="str">
        <f>IF($B326="","",IF(I$3=0,"n.b.",INDEX(SRC_Woningetalage!$A$1:$ZZ$501,$A326,I$3)))</f>
        <v/>
      </c>
      <c r="J326" t="str">
        <f>IF($B326="","",IF(J$3=0,"n.b.",INDEX(SRC_Woningetalage!$A$1:$ZZ$501,$A326,J$3)))</f>
        <v/>
      </c>
      <c r="K326" t="str">
        <f>IF($B326="","",IF(K$3=0,"n.b.",INDEX(SRC_Woningetalage!$A$1:$ZZ$501,$A326,K$3)))</f>
        <v/>
      </c>
      <c r="L326" t="str">
        <f>IF($B326="","",IF(L$3=0,"n.b.",INDEX(SRC_Woningetalage!$A$1:$ZZ$501,$A326,L$3)))</f>
        <v/>
      </c>
      <c r="M326" t="str">
        <f>IF($B326="","",IF(M$3=0,"n.b.",INDEX(SRC_Woningetalage!$A$1:$ZZ$501,$A326,M$3)))</f>
        <v/>
      </c>
      <c r="N326" t="str">
        <f>IF($B326="","",IF(N$3=0,"n.b.",INDEX(SRC_Woningetalage!$A$1:$ZZ$501,$A326,N$3)))</f>
        <v/>
      </c>
      <c r="O326" t="str">
        <f>IF($B326="","",IF(O$3=0,"n.b.",INDEX(SRC_Woningetalage!$A$1:$ZZ$501,$A326,O$3)))</f>
        <v/>
      </c>
      <c r="P326" t="str">
        <f>IF($B326="","",IF(P$3=0,"n.b.",INDEX(SRC_Woningetalage!$A$1:$ZZ$501,$A326,P$3)))</f>
        <v/>
      </c>
      <c r="Q326" s="124" t="str">
        <f>IF($B326="","",IF(Q$3=0,"n.b.",INDEX(SRC_Woningetalage!$A$1:$ZZ$501,$A326,Q$3)))</f>
        <v/>
      </c>
      <c r="R326" s="124" t="str">
        <f>IF($B326="","",IF(R$3=0,"n.b.",INDEX(SRC_Woningetalage!$A$1:$ZZ$501,$A326,R$3)))</f>
        <v/>
      </c>
      <c r="S326" s="124" t="str">
        <f>IF($B326="","",IF(S$3=0,"n.b.",INDEX(SRC_Woningetalage!$A$1:$ZZ$501,$A326,S$3)))</f>
        <v/>
      </c>
      <c r="T326" s="124" t="str">
        <f>IF($B326="","",IF(T$3=0,"n.b.",INDEX(SRC_Woningetalage!$A$1:$ZZ$501,$A326,T$3)))</f>
        <v/>
      </c>
      <c r="U326" s="124" t="str">
        <f>IF($B326="","",IF(U$3=0,"n.b.",INDEX(SRC_Woningetalage!$A$1:$ZZ$501,$A326,U$3)))</f>
        <v/>
      </c>
      <c r="V326" s="124" t="str">
        <f>IF($B326="","",IF(V$3=0,"n.b.",INDEX(SRC_Woningetalage!$A$1:$ZZ$501,$A326,V$3)))</f>
        <v/>
      </c>
      <c r="W326" s="124" t="str">
        <f>IF($B326="","",IF(W$3=0,"n.b.",INDEX(SRC_Woningetalage!$A$1:$ZZ$501,$A326,W$3)))</f>
        <v/>
      </c>
      <c r="X326" s="124" t="str">
        <f>IF($B326="","",IF(X$3=0,"n.b.",INDEX(SRC_Woningetalage!$A$1:$ZZ$501,$A326,X$3)))</f>
        <v/>
      </c>
      <c r="Y326" s="124" t="str">
        <f>IF($B326="","",IF(Y$3=0,"n.b.",INDEX(SRC_Woningetalage!$A$1:$ZZ$501,$A326,Y$3)))</f>
        <v/>
      </c>
      <c r="Z326" s="124" t="str">
        <f>IF($B326="","",IF(Z$3=0,"n.b.",INDEX(SRC_Woningetalage!$A$1:$ZZ$501,$A326,Z$3)))</f>
        <v/>
      </c>
      <c r="AA326" s="124" t="str">
        <f>IF($B326="","",IF(AA$3=0,"n.b.",INDEX(SRC_Woningetalage!$A$1:$ZZ$501,$A326,AA$3)))</f>
        <v/>
      </c>
      <c r="AB326" s="124" t="str">
        <f>IF($B326="","",IF(AB$3=0,"n.b.",INDEX(SRC_Woningetalage!$A$1:$ZZ$501,$A326,AB$3)))</f>
        <v/>
      </c>
      <c r="AC326" s="124" t="str">
        <f>IF($B326="","",IF(AC$3=0,"n.b.",INDEX(SRC_Woningetalage!$A$1:$ZZ$501,$A326,AC$3)))</f>
        <v/>
      </c>
      <c r="AD326" s="124" t="str">
        <f>IF($B326="","",IF(AD$3=0,"n.b.",INDEX(SRC_Woningetalage!$A$1:$ZZ$501,$A326,AD$3)))</f>
        <v/>
      </c>
      <c r="AE326" s="124" t="str">
        <f>IF($B326="","",IF(AE$3=0,"n.b.",INDEX(SRC_Woningetalage!$A$1:$ZZ$501,$A326,AE$3)))</f>
        <v/>
      </c>
      <c r="AF326" s="124" t="str">
        <f>IF($B326="","",IF(AF$3=0,"n.b.",INDEX(SRC_Woningetalage!$A$1:$ZZ$501,$A326,AF$3)))</f>
        <v/>
      </c>
      <c r="AG326" s="124" t="str">
        <f>IF($B326="","",IF(AG$3=0,"n.b.",INDEX(SRC_Woningetalage!$A$1:$ZZ$501,$A326,AG$3)))</f>
        <v/>
      </c>
      <c r="AH326" s="124" t="str">
        <f>IF($B326="","",IF(AH$3=0,"n.b.",INDEX(SRC_Woningetalage!$A$1:$ZZ$501,$A326,AH$3)))</f>
        <v/>
      </c>
      <c r="AI326" s="124" t="str">
        <f>IF($B326="","",IF(AI$3=0,"n.b.",INDEX(SRC_Woningetalage!$A$1:$ZZ$501,$A326,AI$3)))</f>
        <v/>
      </c>
      <c r="AJ326" s="124" t="str">
        <f>IF($B326="","",IF(AJ$3=0,"n.b.",INDEX(SRC_Woningetalage!$A$1:$ZZ$501,$A326,AJ$3)))</f>
        <v/>
      </c>
      <c r="AK326" s="124" t="str">
        <f>IF($B326="","",IF(AK$3=0,"n.b.",INDEX(SRC_Woningetalage!$A$1:$ZZ$501,$A326,AK$3)))</f>
        <v/>
      </c>
      <c r="AL326" s="124" t="str">
        <f>IF($B326="","",IF(AL$3=0,"n.b.",INDEX(SRC_Woningetalage!$A$1:$ZZ$501,$A326,AL$3)))</f>
        <v/>
      </c>
      <c r="AM326" s="124" t="str">
        <f>IF($B326="","",IF(AM$3=0,"n.b.",INDEX(SRC_Woningetalage!$A$1:$ZZ$501,$A326,AM$3)))</f>
        <v/>
      </c>
      <c r="AN326" s="124" t="str">
        <f>IF($B326="","",IF(AN$3=0,"n.b.",INDEX(SRC_Woningetalage!$A$1:$ZZ$501,$A326,AN$3)))</f>
        <v/>
      </c>
      <c r="AO326" s="124" t="str">
        <f>IF($B326="","",IF(AO$3=0,"n.b.",INDEX(SRC_Woningetalage!$A$1:$ZZ$501,$A326,AO$3)))</f>
        <v/>
      </c>
      <c r="AP326" s="124" t="str">
        <f>IF($B326="","",IF(AP$3=0,"n.b.",INDEX(SRC_Woningetalage!$A$1:$ZZ$501,$A326,AP$3)))</f>
        <v/>
      </c>
      <c r="AQ326" s="124" t="str">
        <f>IF($B326="","",IF(AQ$3=0,"n.b.",INDEX(SRC_Woningetalage!$A$1:$ZZ$501,$A326,AQ$3)))</f>
        <v/>
      </c>
      <c r="AR326" s="124" t="str">
        <f>IF($B326="","",IF(AR$3=0,"n.b.",INDEX(SRC_Woningetalage!$A$1:$ZZ$501,$A326,AR$3)))</f>
        <v/>
      </c>
      <c r="AS326" s="124" t="str">
        <f>IF($B326="","",IF(AS$3=0,"n.b.",INDEX(SRC_Woningetalage!$A$1:$ZZ$501,$A326,AS$3)))</f>
        <v/>
      </c>
      <c r="AT326" s="124" t="str">
        <f>IF($B326="","",IF(AT$3=0,"n.b.",INDEX(SRC_Woningetalage!$A$1:$ZZ$501,$A326,AT$3)))</f>
        <v/>
      </c>
      <c r="AU326" s="124" t="str">
        <f>IF($B326="","",IF(AU$3=0,"n.b.",INDEX(SRC_Woningetalage!$A$1:$ZZ$501,$A326,AU$3)))</f>
        <v/>
      </c>
      <c r="AV326" s="124" t="str">
        <f>IF($B326="","",IF(AV$3=0,"n.b.",INDEX(SRC_Woningetalage!$A$1:$ZZ$501,$A326,AV$3)))</f>
        <v/>
      </c>
      <c r="AW326" s="124" t="str">
        <f>IF($B326="","",IF(AW$3=0,"n.b.",INDEX(SRC_Woningetalage!$A$1:$ZZ$501,$A326,AW$3)))</f>
        <v/>
      </c>
      <c r="AX326" s="124" t="str">
        <f>IF($B326="","",IF(AX$3=0,"n.b.",INDEX(SRC_Woningetalage!$A$1:$ZZ$501,$A326,AX$3)))</f>
        <v/>
      </c>
      <c r="AY326" s="124" t="str">
        <f>IF($B326="","",IF(AY$3=0,"n.b.",INDEX(SRC_Woningetalage!$A$1:$ZZ$501,$A326,AY$3)))</f>
        <v/>
      </c>
      <c r="AZ326" s="124" t="str">
        <f>IF($B326="","",IF(AZ$3=0,"n.b.",INDEX(SRC_Woningetalage!$A$1:$ZZ$501,$A326,AZ$3)))</f>
        <v/>
      </c>
      <c r="BA326" s="124" t="str">
        <f>IF($B326="","",IF(BA$3=0,"n.b.",INDEX(SRC_Woningetalage!$A$1:$ZZ$501,$A326,BA$3)))</f>
        <v/>
      </c>
      <c r="BB326" s="124" t="str">
        <f>IF($B326="","",IF(BB$3=0,"n.b.",INDEX(SRC_Woningetalage!$A$1:$ZZ$501,$A326,BB$3)))</f>
        <v/>
      </c>
      <c r="BC326" s="124" t="str">
        <f>IF($B326="","",IFERROR(_xlfn.NUMBERVALUE(E326&amp;"",",","."),"n.b."))</f>
        <v/>
      </c>
      <c r="BD326" s="124" t="str">
        <f>IF($B326="","",IFERROR(_xlfn.NUMBERVALUE(M326&amp;"",",","."),"n.b."))</f>
        <v/>
      </c>
      <c r="BE326" s="124" t="str">
        <f>IF($B326="","",IFERROR(AB326+AC326+AD326,"n.b."))</f>
        <v/>
      </c>
      <c r="BF326" s="124" t="str">
        <f>IF($B326="","",IFERROR(AE326+AF326+AG326,"n.b."))</f>
        <v/>
      </c>
      <c r="BG326" s="124" t="str">
        <f>IF($B326="","",IFERROR(AH326+AI326+AJ326,"n.b."))</f>
        <v/>
      </c>
      <c r="BH326" s="124" t="str">
        <f>IF($B326="","",IFERROR(AK326+AL326+AM326,"n.b."))</f>
        <v/>
      </c>
      <c r="BI326" s="124" t="str">
        <f>IF($B326="","",IFERROR(SUMIF($AB$5:$AM$5,"&lt;="&amp;P_PeilMaand,AB326:AM326),"n.b."))</f>
        <v/>
      </c>
      <c r="BJ326" s="124" t="str">
        <f>IF($B326="","",IFERROR(SUM(AB326:AM326)-BI326,"n.b."))</f>
        <v/>
      </c>
      <c r="BK326" s="124" t="str">
        <f>IF($B326="","",IFERROR(IF(ABS(Q326-(T326+SUM(AB326:AM326)+AS326+AU326))&gt;P_Tol,1,0),1))</f>
        <v/>
      </c>
      <c r="BL326" s="124" t="str">
        <f>IF($B326="","",IFERROR(IF(ABS(AA326-(Q326-Z326))&gt;P_Tol,1,0),1))</f>
        <v/>
      </c>
      <c r="BM326" s="124" t="str">
        <f>IF($B326="","",IFERROR(IF(ABS(Z326-(T326+W326))&gt;P_Tol,1,0),1))</f>
        <v/>
      </c>
      <c r="BN326" s="124" t="str">
        <f>IF($B326="","",IFERROR(IF(ABS(W326-BI326)&gt;P_Tol,1,0),1))</f>
        <v/>
      </c>
      <c r="BO326" s="124" t="str">
        <f>IF($B326="","",IFERROR(IF(OR(ABS(R326+S326-T326)&gt;P_Tol,ABS(U326+V326-W326)&gt;P_Tol,ABS(X326+Y326-Z326)&gt;P_Tol),1,0),1))</f>
        <v/>
      </c>
      <c r="BP326" s="124" t="str">
        <f>IF($B326="","",IFERROR(IF(OR(ABS(AR326-SUM(AB326:AM326))&gt;P_Tol,ABS(AS326-(AN326+AO326+AP326+AQ326))&gt;P_Tol),1,0),1))</f>
        <v/>
      </c>
      <c r="BQ326" s="124" t="str">
        <f>IF($B326="","",IFERROR(IF(ABS(AT326)+ABS(AV326)+ABS(AW326)+ABS(AX326)+ABS(AY326)+ABS(AZ326)+ABS(BA326)+ABS(BB326)&gt;0,1,0),1))</f>
        <v/>
      </c>
      <c r="BR326" s="124" t="str">
        <f>IF($B326="","",COUNTIF(STG_ZPMW03!$B$6:$B$505,B326))</f>
        <v/>
      </c>
      <c r="BS326" s="124" t="str">
        <f>IF($B326="","",COUNTIF($B$6:$B$505,B326))</f>
        <v/>
      </c>
      <c r="BT326" s="124" t="str">
        <f>IF($B326="","",IF(BR326=0,0,IF(INDEX(STG_ZPMW03!$I$6:$I$505,MATCH(B326,STG_ZPMW03!$B$6:$B$505,0))=J326&amp;"",0,1)))</f>
        <v/>
      </c>
      <c r="BU326" s="124" t="str">
        <f>IF($B326="","",IFERROR(IF(ABS(INDEX(Mapping!$D$5:$D$104,MATCH(B326,Mapping!$A$5:$A$104,0))-Q326)&gt;P_Tol,1,0),0))</f>
        <v/>
      </c>
      <c r="BV326" s="124" t="str">
        <f>IF($B326="","",IFERROR(IF(AND(INDEX(Mapping!$G$5:$G$104,MATCH(B326,Mapping!$A$5:$A$104,0))="Nee",ABS(Q326)+ABS(Z326)+ABS(AR326)&gt;0),1,0),0))</f>
        <v/>
      </c>
      <c r="BW326" s="124" t="str">
        <f>IF($B326="","",IF(COUNTIF(Mapping!$A$5:$A$104,B326)&gt;0,1,0))</f>
        <v/>
      </c>
      <c r="BX326" s="124" t="str">
        <f>IF($B326="","",IF(BR326=0,COUNTIF($BR$6:BR326,0),""))</f>
        <v/>
      </c>
    </row>
    <row r="327">
      <c r="A327" s="15" t="n">
        <v>323</v>
      </c>
      <c r="B327" t="str">
        <f>IF(B$3=0,"",IF(INDEX(SRC_Woningetalage!$A$1:$ZZ$501,$A327,B$3)&amp;""="","",INDEX(SRC_Woningetalage!$A$1:$ZZ$501,$A327,B$3)&amp;""))</f>
        <v/>
      </c>
      <c r="C327" t="str">
        <f>IF($B327="","",IF(C$3=0,"n.b.",INDEX(SRC_Woningetalage!$A$1:$ZZ$501,$A327,C$3)))</f>
        <v/>
      </c>
      <c r="D327" t="str">
        <f>IF($B327="","",IF(D$3=0,"n.b.",INDEX(SRC_Woningetalage!$A$1:$ZZ$501,$A327,D$3)))</f>
        <v/>
      </c>
      <c r="E327" t="str">
        <f>IF($B327="","",IF(E$3=0,"n.b.",INDEX(SRC_Woningetalage!$A$1:$ZZ$501,$A327,E$3)))</f>
        <v/>
      </c>
      <c r="F327" t="str">
        <f>IF($B327="","",IF(F$3=0,"n.b.",INDEX(SRC_Woningetalage!$A$1:$ZZ$501,$A327,F$3)))</f>
        <v/>
      </c>
      <c r="G327" t="str">
        <f>IF($B327="","",IF(G$3=0,"n.b.",INDEX(SRC_Woningetalage!$A$1:$ZZ$501,$A327,G$3)))</f>
        <v/>
      </c>
      <c r="H327" t="str">
        <f>IF($B327="","",IF(H$3=0,"n.b.",INDEX(SRC_Woningetalage!$A$1:$ZZ$501,$A327,H$3)))</f>
        <v/>
      </c>
      <c r="I327" t="str">
        <f>IF($B327="","",IF(I$3=0,"n.b.",INDEX(SRC_Woningetalage!$A$1:$ZZ$501,$A327,I$3)))</f>
        <v/>
      </c>
      <c r="J327" t="str">
        <f>IF($B327="","",IF(J$3=0,"n.b.",INDEX(SRC_Woningetalage!$A$1:$ZZ$501,$A327,J$3)))</f>
        <v/>
      </c>
      <c r="K327" t="str">
        <f>IF($B327="","",IF(K$3=0,"n.b.",INDEX(SRC_Woningetalage!$A$1:$ZZ$501,$A327,K$3)))</f>
        <v/>
      </c>
      <c r="L327" t="str">
        <f>IF($B327="","",IF(L$3=0,"n.b.",INDEX(SRC_Woningetalage!$A$1:$ZZ$501,$A327,L$3)))</f>
        <v/>
      </c>
      <c r="M327" t="str">
        <f>IF($B327="","",IF(M$3=0,"n.b.",INDEX(SRC_Woningetalage!$A$1:$ZZ$501,$A327,M$3)))</f>
        <v/>
      </c>
      <c r="N327" t="str">
        <f>IF($B327="","",IF(N$3=0,"n.b.",INDEX(SRC_Woningetalage!$A$1:$ZZ$501,$A327,N$3)))</f>
        <v/>
      </c>
      <c r="O327" t="str">
        <f>IF($B327="","",IF(O$3=0,"n.b.",INDEX(SRC_Woningetalage!$A$1:$ZZ$501,$A327,O$3)))</f>
        <v/>
      </c>
      <c r="P327" t="str">
        <f>IF($B327="","",IF(P$3=0,"n.b.",INDEX(SRC_Woningetalage!$A$1:$ZZ$501,$A327,P$3)))</f>
        <v/>
      </c>
      <c r="Q327" s="124" t="str">
        <f>IF($B327="","",IF(Q$3=0,"n.b.",INDEX(SRC_Woningetalage!$A$1:$ZZ$501,$A327,Q$3)))</f>
        <v/>
      </c>
      <c r="R327" s="124" t="str">
        <f>IF($B327="","",IF(R$3=0,"n.b.",INDEX(SRC_Woningetalage!$A$1:$ZZ$501,$A327,R$3)))</f>
        <v/>
      </c>
      <c r="S327" s="124" t="str">
        <f>IF($B327="","",IF(S$3=0,"n.b.",INDEX(SRC_Woningetalage!$A$1:$ZZ$501,$A327,S$3)))</f>
        <v/>
      </c>
      <c r="T327" s="124" t="str">
        <f>IF($B327="","",IF(T$3=0,"n.b.",INDEX(SRC_Woningetalage!$A$1:$ZZ$501,$A327,T$3)))</f>
        <v/>
      </c>
      <c r="U327" s="124" t="str">
        <f>IF($B327="","",IF(U$3=0,"n.b.",INDEX(SRC_Woningetalage!$A$1:$ZZ$501,$A327,U$3)))</f>
        <v/>
      </c>
      <c r="V327" s="124" t="str">
        <f>IF($B327="","",IF(V$3=0,"n.b.",INDEX(SRC_Woningetalage!$A$1:$ZZ$501,$A327,V$3)))</f>
        <v/>
      </c>
      <c r="W327" s="124" t="str">
        <f>IF($B327="","",IF(W$3=0,"n.b.",INDEX(SRC_Woningetalage!$A$1:$ZZ$501,$A327,W$3)))</f>
        <v/>
      </c>
      <c r="X327" s="124" t="str">
        <f>IF($B327="","",IF(X$3=0,"n.b.",INDEX(SRC_Woningetalage!$A$1:$ZZ$501,$A327,X$3)))</f>
        <v/>
      </c>
      <c r="Y327" s="124" t="str">
        <f>IF($B327="","",IF(Y$3=0,"n.b.",INDEX(SRC_Woningetalage!$A$1:$ZZ$501,$A327,Y$3)))</f>
        <v/>
      </c>
      <c r="Z327" s="124" t="str">
        <f>IF($B327="","",IF(Z$3=0,"n.b.",INDEX(SRC_Woningetalage!$A$1:$ZZ$501,$A327,Z$3)))</f>
        <v/>
      </c>
      <c r="AA327" s="124" t="str">
        <f>IF($B327="","",IF(AA$3=0,"n.b.",INDEX(SRC_Woningetalage!$A$1:$ZZ$501,$A327,AA$3)))</f>
        <v/>
      </c>
      <c r="AB327" s="124" t="str">
        <f>IF($B327="","",IF(AB$3=0,"n.b.",INDEX(SRC_Woningetalage!$A$1:$ZZ$501,$A327,AB$3)))</f>
        <v/>
      </c>
      <c r="AC327" s="124" t="str">
        <f>IF($B327="","",IF(AC$3=0,"n.b.",INDEX(SRC_Woningetalage!$A$1:$ZZ$501,$A327,AC$3)))</f>
        <v/>
      </c>
      <c r="AD327" s="124" t="str">
        <f>IF($B327="","",IF(AD$3=0,"n.b.",INDEX(SRC_Woningetalage!$A$1:$ZZ$501,$A327,AD$3)))</f>
        <v/>
      </c>
      <c r="AE327" s="124" t="str">
        <f>IF($B327="","",IF(AE$3=0,"n.b.",INDEX(SRC_Woningetalage!$A$1:$ZZ$501,$A327,AE$3)))</f>
        <v/>
      </c>
      <c r="AF327" s="124" t="str">
        <f>IF($B327="","",IF(AF$3=0,"n.b.",INDEX(SRC_Woningetalage!$A$1:$ZZ$501,$A327,AF$3)))</f>
        <v/>
      </c>
      <c r="AG327" s="124" t="str">
        <f>IF($B327="","",IF(AG$3=0,"n.b.",INDEX(SRC_Woningetalage!$A$1:$ZZ$501,$A327,AG$3)))</f>
        <v/>
      </c>
      <c r="AH327" s="124" t="str">
        <f>IF($B327="","",IF(AH$3=0,"n.b.",INDEX(SRC_Woningetalage!$A$1:$ZZ$501,$A327,AH$3)))</f>
        <v/>
      </c>
      <c r="AI327" s="124" t="str">
        <f>IF($B327="","",IF(AI$3=0,"n.b.",INDEX(SRC_Woningetalage!$A$1:$ZZ$501,$A327,AI$3)))</f>
        <v/>
      </c>
      <c r="AJ327" s="124" t="str">
        <f>IF($B327="","",IF(AJ$3=0,"n.b.",INDEX(SRC_Woningetalage!$A$1:$ZZ$501,$A327,AJ$3)))</f>
        <v/>
      </c>
      <c r="AK327" s="124" t="str">
        <f>IF($B327="","",IF(AK$3=0,"n.b.",INDEX(SRC_Woningetalage!$A$1:$ZZ$501,$A327,AK$3)))</f>
        <v/>
      </c>
      <c r="AL327" s="124" t="str">
        <f>IF($B327="","",IF(AL$3=0,"n.b.",INDEX(SRC_Woningetalage!$A$1:$ZZ$501,$A327,AL$3)))</f>
        <v/>
      </c>
      <c r="AM327" s="124" t="str">
        <f>IF($B327="","",IF(AM$3=0,"n.b.",INDEX(SRC_Woningetalage!$A$1:$ZZ$501,$A327,AM$3)))</f>
        <v/>
      </c>
      <c r="AN327" s="124" t="str">
        <f>IF($B327="","",IF(AN$3=0,"n.b.",INDEX(SRC_Woningetalage!$A$1:$ZZ$501,$A327,AN$3)))</f>
        <v/>
      </c>
      <c r="AO327" s="124" t="str">
        <f>IF($B327="","",IF(AO$3=0,"n.b.",INDEX(SRC_Woningetalage!$A$1:$ZZ$501,$A327,AO$3)))</f>
        <v/>
      </c>
      <c r="AP327" s="124" t="str">
        <f>IF($B327="","",IF(AP$3=0,"n.b.",INDEX(SRC_Woningetalage!$A$1:$ZZ$501,$A327,AP$3)))</f>
        <v/>
      </c>
      <c r="AQ327" s="124" t="str">
        <f>IF($B327="","",IF(AQ$3=0,"n.b.",INDEX(SRC_Woningetalage!$A$1:$ZZ$501,$A327,AQ$3)))</f>
        <v/>
      </c>
      <c r="AR327" s="124" t="str">
        <f>IF($B327="","",IF(AR$3=0,"n.b.",INDEX(SRC_Woningetalage!$A$1:$ZZ$501,$A327,AR$3)))</f>
        <v/>
      </c>
      <c r="AS327" s="124" t="str">
        <f>IF($B327="","",IF(AS$3=0,"n.b.",INDEX(SRC_Woningetalage!$A$1:$ZZ$501,$A327,AS$3)))</f>
        <v/>
      </c>
      <c r="AT327" s="124" t="str">
        <f>IF($B327="","",IF(AT$3=0,"n.b.",INDEX(SRC_Woningetalage!$A$1:$ZZ$501,$A327,AT$3)))</f>
        <v/>
      </c>
      <c r="AU327" s="124" t="str">
        <f>IF($B327="","",IF(AU$3=0,"n.b.",INDEX(SRC_Woningetalage!$A$1:$ZZ$501,$A327,AU$3)))</f>
        <v/>
      </c>
      <c r="AV327" s="124" t="str">
        <f>IF($B327="","",IF(AV$3=0,"n.b.",INDEX(SRC_Woningetalage!$A$1:$ZZ$501,$A327,AV$3)))</f>
        <v/>
      </c>
      <c r="AW327" s="124" t="str">
        <f>IF($B327="","",IF(AW$3=0,"n.b.",INDEX(SRC_Woningetalage!$A$1:$ZZ$501,$A327,AW$3)))</f>
        <v/>
      </c>
      <c r="AX327" s="124" t="str">
        <f>IF($B327="","",IF(AX$3=0,"n.b.",INDEX(SRC_Woningetalage!$A$1:$ZZ$501,$A327,AX$3)))</f>
        <v/>
      </c>
      <c r="AY327" s="124" t="str">
        <f>IF($B327="","",IF(AY$3=0,"n.b.",INDEX(SRC_Woningetalage!$A$1:$ZZ$501,$A327,AY$3)))</f>
        <v/>
      </c>
      <c r="AZ327" s="124" t="str">
        <f>IF($B327="","",IF(AZ$3=0,"n.b.",INDEX(SRC_Woningetalage!$A$1:$ZZ$501,$A327,AZ$3)))</f>
        <v/>
      </c>
      <c r="BA327" s="124" t="str">
        <f>IF($B327="","",IF(BA$3=0,"n.b.",INDEX(SRC_Woningetalage!$A$1:$ZZ$501,$A327,BA$3)))</f>
        <v/>
      </c>
      <c r="BB327" s="124" t="str">
        <f>IF($B327="","",IF(BB$3=0,"n.b.",INDEX(SRC_Woningetalage!$A$1:$ZZ$501,$A327,BB$3)))</f>
        <v/>
      </c>
      <c r="BC327" s="124" t="str">
        <f>IF($B327="","",IFERROR(_xlfn.NUMBERVALUE(E327&amp;"",",","."),"n.b."))</f>
        <v/>
      </c>
      <c r="BD327" s="124" t="str">
        <f>IF($B327="","",IFERROR(_xlfn.NUMBERVALUE(M327&amp;"",",","."),"n.b."))</f>
        <v/>
      </c>
      <c r="BE327" s="124" t="str">
        <f>IF($B327="","",IFERROR(AB327+AC327+AD327,"n.b."))</f>
        <v/>
      </c>
      <c r="BF327" s="124" t="str">
        <f>IF($B327="","",IFERROR(AE327+AF327+AG327,"n.b."))</f>
        <v/>
      </c>
      <c r="BG327" s="124" t="str">
        <f>IF($B327="","",IFERROR(AH327+AI327+AJ327,"n.b."))</f>
        <v/>
      </c>
      <c r="BH327" s="124" t="str">
        <f>IF($B327="","",IFERROR(AK327+AL327+AM327,"n.b."))</f>
        <v/>
      </c>
      <c r="BI327" s="124" t="str">
        <f>IF($B327="","",IFERROR(SUMIF($AB$5:$AM$5,"&lt;="&amp;P_PeilMaand,AB327:AM327),"n.b."))</f>
        <v/>
      </c>
      <c r="BJ327" s="124" t="str">
        <f>IF($B327="","",IFERROR(SUM(AB327:AM327)-BI327,"n.b."))</f>
        <v/>
      </c>
      <c r="BK327" s="124" t="str">
        <f>IF($B327="","",IFERROR(IF(ABS(Q327-(T327+SUM(AB327:AM327)+AS327+AU327))&gt;P_Tol,1,0),1))</f>
        <v/>
      </c>
      <c r="BL327" s="124" t="str">
        <f>IF($B327="","",IFERROR(IF(ABS(AA327-(Q327-Z327))&gt;P_Tol,1,0),1))</f>
        <v/>
      </c>
      <c r="BM327" s="124" t="str">
        <f>IF($B327="","",IFERROR(IF(ABS(Z327-(T327+W327))&gt;P_Tol,1,0),1))</f>
        <v/>
      </c>
      <c r="BN327" s="124" t="str">
        <f>IF($B327="","",IFERROR(IF(ABS(W327-BI327)&gt;P_Tol,1,0),1))</f>
        <v/>
      </c>
      <c r="BO327" s="124" t="str">
        <f>IF($B327="","",IFERROR(IF(OR(ABS(R327+S327-T327)&gt;P_Tol,ABS(U327+V327-W327)&gt;P_Tol,ABS(X327+Y327-Z327)&gt;P_Tol),1,0),1))</f>
        <v/>
      </c>
      <c r="BP327" s="124" t="str">
        <f>IF($B327="","",IFERROR(IF(OR(ABS(AR327-SUM(AB327:AM327))&gt;P_Tol,ABS(AS327-(AN327+AO327+AP327+AQ327))&gt;P_Tol),1,0),1))</f>
        <v/>
      </c>
      <c r="BQ327" s="124" t="str">
        <f>IF($B327="","",IFERROR(IF(ABS(AT327)+ABS(AV327)+ABS(AW327)+ABS(AX327)+ABS(AY327)+ABS(AZ327)+ABS(BA327)+ABS(BB327)&gt;0,1,0),1))</f>
        <v/>
      </c>
      <c r="BR327" s="124" t="str">
        <f>IF($B327="","",COUNTIF(STG_ZPMW03!$B$6:$B$505,B327))</f>
        <v/>
      </c>
      <c r="BS327" s="124" t="str">
        <f>IF($B327="","",COUNTIF($B$6:$B$505,B327))</f>
        <v/>
      </c>
      <c r="BT327" s="124" t="str">
        <f>IF($B327="","",IF(BR327=0,0,IF(INDEX(STG_ZPMW03!$I$6:$I$505,MATCH(B327,STG_ZPMW03!$B$6:$B$505,0))=J327&amp;"",0,1)))</f>
        <v/>
      </c>
      <c r="BU327" s="124" t="str">
        <f>IF($B327="","",IFERROR(IF(ABS(INDEX(Mapping!$D$5:$D$104,MATCH(B327,Mapping!$A$5:$A$104,0))-Q327)&gt;P_Tol,1,0),0))</f>
        <v/>
      </c>
      <c r="BV327" s="124" t="str">
        <f>IF($B327="","",IFERROR(IF(AND(INDEX(Mapping!$G$5:$G$104,MATCH(B327,Mapping!$A$5:$A$104,0))="Nee",ABS(Q327)+ABS(Z327)+ABS(AR327)&gt;0),1,0),0))</f>
        <v/>
      </c>
      <c r="BW327" s="124" t="str">
        <f>IF($B327="","",IF(COUNTIF(Mapping!$A$5:$A$104,B327)&gt;0,1,0))</f>
        <v/>
      </c>
      <c r="BX327" s="124" t="str">
        <f>IF($B327="","",IF(BR327=0,COUNTIF($BR$6:BR327,0),""))</f>
        <v/>
      </c>
    </row>
    <row r="328">
      <c r="A328" s="15" t="n">
        <v>324</v>
      </c>
      <c r="B328" t="str">
        <f>IF(B$3=0,"",IF(INDEX(SRC_Woningetalage!$A$1:$ZZ$501,$A328,B$3)&amp;""="","",INDEX(SRC_Woningetalage!$A$1:$ZZ$501,$A328,B$3)&amp;""))</f>
        <v/>
      </c>
      <c r="C328" t="str">
        <f>IF($B328="","",IF(C$3=0,"n.b.",INDEX(SRC_Woningetalage!$A$1:$ZZ$501,$A328,C$3)))</f>
        <v/>
      </c>
      <c r="D328" t="str">
        <f>IF($B328="","",IF(D$3=0,"n.b.",INDEX(SRC_Woningetalage!$A$1:$ZZ$501,$A328,D$3)))</f>
        <v/>
      </c>
      <c r="E328" t="str">
        <f>IF($B328="","",IF(E$3=0,"n.b.",INDEX(SRC_Woningetalage!$A$1:$ZZ$501,$A328,E$3)))</f>
        <v/>
      </c>
      <c r="F328" t="str">
        <f>IF($B328="","",IF(F$3=0,"n.b.",INDEX(SRC_Woningetalage!$A$1:$ZZ$501,$A328,F$3)))</f>
        <v/>
      </c>
      <c r="G328" t="str">
        <f>IF($B328="","",IF(G$3=0,"n.b.",INDEX(SRC_Woningetalage!$A$1:$ZZ$501,$A328,G$3)))</f>
        <v/>
      </c>
      <c r="H328" t="str">
        <f>IF($B328="","",IF(H$3=0,"n.b.",INDEX(SRC_Woningetalage!$A$1:$ZZ$501,$A328,H$3)))</f>
        <v/>
      </c>
      <c r="I328" t="str">
        <f>IF($B328="","",IF(I$3=0,"n.b.",INDEX(SRC_Woningetalage!$A$1:$ZZ$501,$A328,I$3)))</f>
        <v/>
      </c>
      <c r="J328" t="str">
        <f>IF($B328="","",IF(J$3=0,"n.b.",INDEX(SRC_Woningetalage!$A$1:$ZZ$501,$A328,J$3)))</f>
        <v/>
      </c>
      <c r="K328" t="str">
        <f>IF($B328="","",IF(K$3=0,"n.b.",INDEX(SRC_Woningetalage!$A$1:$ZZ$501,$A328,K$3)))</f>
        <v/>
      </c>
      <c r="L328" t="str">
        <f>IF($B328="","",IF(L$3=0,"n.b.",INDEX(SRC_Woningetalage!$A$1:$ZZ$501,$A328,L$3)))</f>
        <v/>
      </c>
      <c r="M328" t="str">
        <f>IF($B328="","",IF(M$3=0,"n.b.",INDEX(SRC_Woningetalage!$A$1:$ZZ$501,$A328,M$3)))</f>
        <v/>
      </c>
      <c r="N328" t="str">
        <f>IF($B328="","",IF(N$3=0,"n.b.",INDEX(SRC_Woningetalage!$A$1:$ZZ$501,$A328,N$3)))</f>
        <v/>
      </c>
      <c r="O328" t="str">
        <f>IF($B328="","",IF(O$3=0,"n.b.",INDEX(SRC_Woningetalage!$A$1:$ZZ$501,$A328,O$3)))</f>
        <v/>
      </c>
      <c r="P328" t="str">
        <f>IF($B328="","",IF(P$3=0,"n.b.",INDEX(SRC_Woningetalage!$A$1:$ZZ$501,$A328,P$3)))</f>
        <v/>
      </c>
      <c r="Q328" s="124" t="str">
        <f>IF($B328="","",IF(Q$3=0,"n.b.",INDEX(SRC_Woningetalage!$A$1:$ZZ$501,$A328,Q$3)))</f>
        <v/>
      </c>
      <c r="R328" s="124" t="str">
        <f>IF($B328="","",IF(R$3=0,"n.b.",INDEX(SRC_Woningetalage!$A$1:$ZZ$501,$A328,R$3)))</f>
        <v/>
      </c>
      <c r="S328" s="124" t="str">
        <f>IF($B328="","",IF(S$3=0,"n.b.",INDEX(SRC_Woningetalage!$A$1:$ZZ$501,$A328,S$3)))</f>
        <v/>
      </c>
      <c r="T328" s="124" t="str">
        <f>IF($B328="","",IF(T$3=0,"n.b.",INDEX(SRC_Woningetalage!$A$1:$ZZ$501,$A328,T$3)))</f>
        <v/>
      </c>
      <c r="U328" s="124" t="str">
        <f>IF($B328="","",IF(U$3=0,"n.b.",INDEX(SRC_Woningetalage!$A$1:$ZZ$501,$A328,U$3)))</f>
        <v/>
      </c>
      <c r="V328" s="124" t="str">
        <f>IF($B328="","",IF(V$3=0,"n.b.",INDEX(SRC_Woningetalage!$A$1:$ZZ$501,$A328,V$3)))</f>
        <v/>
      </c>
      <c r="W328" s="124" t="str">
        <f>IF($B328="","",IF(W$3=0,"n.b.",INDEX(SRC_Woningetalage!$A$1:$ZZ$501,$A328,W$3)))</f>
        <v/>
      </c>
      <c r="X328" s="124" t="str">
        <f>IF($B328="","",IF(X$3=0,"n.b.",INDEX(SRC_Woningetalage!$A$1:$ZZ$501,$A328,X$3)))</f>
        <v/>
      </c>
      <c r="Y328" s="124" t="str">
        <f>IF($B328="","",IF(Y$3=0,"n.b.",INDEX(SRC_Woningetalage!$A$1:$ZZ$501,$A328,Y$3)))</f>
        <v/>
      </c>
      <c r="Z328" s="124" t="str">
        <f>IF($B328="","",IF(Z$3=0,"n.b.",INDEX(SRC_Woningetalage!$A$1:$ZZ$501,$A328,Z$3)))</f>
        <v/>
      </c>
      <c r="AA328" s="124" t="str">
        <f>IF($B328="","",IF(AA$3=0,"n.b.",INDEX(SRC_Woningetalage!$A$1:$ZZ$501,$A328,AA$3)))</f>
        <v/>
      </c>
      <c r="AB328" s="124" t="str">
        <f>IF($B328="","",IF(AB$3=0,"n.b.",INDEX(SRC_Woningetalage!$A$1:$ZZ$501,$A328,AB$3)))</f>
        <v/>
      </c>
      <c r="AC328" s="124" t="str">
        <f>IF($B328="","",IF(AC$3=0,"n.b.",INDEX(SRC_Woningetalage!$A$1:$ZZ$501,$A328,AC$3)))</f>
        <v/>
      </c>
      <c r="AD328" s="124" t="str">
        <f>IF($B328="","",IF(AD$3=0,"n.b.",INDEX(SRC_Woningetalage!$A$1:$ZZ$501,$A328,AD$3)))</f>
        <v/>
      </c>
      <c r="AE328" s="124" t="str">
        <f>IF($B328="","",IF(AE$3=0,"n.b.",INDEX(SRC_Woningetalage!$A$1:$ZZ$501,$A328,AE$3)))</f>
        <v/>
      </c>
      <c r="AF328" s="124" t="str">
        <f>IF($B328="","",IF(AF$3=0,"n.b.",INDEX(SRC_Woningetalage!$A$1:$ZZ$501,$A328,AF$3)))</f>
        <v/>
      </c>
      <c r="AG328" s="124" t="str">
        <f>IF($B328="","",IF(AG$3=0,"n.b.",INDEX(SRC_Woningetalage!$A$1:$ZZ$501,$A328,AG$3)))</f>
        <v/>
      </c>
      <c r="AH328" s="124" t="str">
        <f>IF($B328="","",IF(AH$3=0,"n.b.",INDEX(SRC_Woningetalage!$A$1:$ZZ$501,$A328,AH$3)))</f>
        <v/>
      </c>
      <c r="AI328" s="124" t="str">
        <f>IF($B328="","",IF(AI$3=0,"n.b.",INDEX(SRC_Woningetalage!$A$1:$ZZ$501,$A328,AI$3)))</f>
        <v/>
      </c>
      <c r="AJ328" s="124" t="str">
        <f>IF($B328="","",IF(AJ$3=0,"n.b.",INDEX(SRC_Woningetalage!$A$1:$ZZ$501,$A328,AJ$3)))</f>
        <v/>
      </c>
      <c r="AK328" s="124" t="str">
        <f>IF($B328="","",IF(AK$3=0,"n.b.",INDEX(SRC_Woningetalage!$A$1:$ZZ$501,$A328,AK$3)))</f>
        <v/>
      </c>
      <c r="AL328" s="124" t="str">
        <f>IF($B328="","",IF(AL$3=0,"n.b.",INDEX(SRC_Woningetalage!$A$1:$ZZ$501,$A328,AL$3)))</f>
        <v/>
      </c>
      <c r="AM328" s="124" t="str">
        <f>IF($B328="","",IF(AM$3=0,"n.b.",INDEX(SRC_Woningetalage!$A$1:$ZZ$501,$A328,AM$3)))</f>
        <v/>
      </c>
      <c r="AN328" s="124" t="str">
        <f>IF($B328="","",IF(AN$3=0,"n.b.",INDEX(SRC_Woningetalage!$A$1:$ZZ$501,$A328,AN$3)))</f>
        <v/>
      </c>
      <c r="AO328" s="124" t="str">
        <f>IF($B328="","",IF(AO$3=0,"n.b.",INDEX(SRC_Woningetalage!$A$1:$ZZ$501,$A328,AO$3)))</f>
        <v/>
      </c>
      <c r="AP328" s="124" t="str">
        <f>IF($B328="","",IF(AP$3=0,"n.b.",INDEX(SRC_Woningetalage!$A$1:$ZZ$501,$A328,AP$3)))</f>
        <v/>
      </c>
      <c r="AQ328" s="124" t="str">
        <f>IF($B328="","",IF(AQ$3=0,"n.b.",INDEX(SRC_Woningetalage!$A$1:$ZZ$501,$A328,AQ$3)))</f>
        <v/>
      </c>
      <c r="AR328" s="124" t="str">
        <f>IF($B328="","",IF(AR$3=0,"n.b.",INDEX(SRC_Woningetalage!$A$1:$ZZ$501,$A328,AR$3)))</f>
        <v/>
      </c>
      <c r="AS328" s="124" t="str">
        <f>IF($B328="","",IF(AS$3=0,"n.b.",INDEX(SRC_Woningetalage!$A$1:$ZZ$501,$A328,AS$3)))</f>
        <v/>
      </c>
      <c r="AT328" s="124" t="str">
        <f>IF($B328="","",IF(AT$3=0,"n.b.",INDEX(SRC_Woningetalage!$A$1:$ZZ$501,$A328,AT$3)))</f>
        <v/>
      </c>
      <c r="AU328" s="124" t="str">
        <f>IF($B328="","",IF(AU$3=0,"n.b.",INDEX(SRC_Woningetalage!$A$1:$ZZ$501,$A328,AU$3)))</f>
        <v/>
      </c>
      <c r="AV328" s="124" t="str">
        <f>IF($B328="","",IF(AV$3=0,"n.b.",INDEX(SRC_Woningetalage!$A$1:$ZZ$501,$A328,AV$3)))</f>
        <v/>
      </c>
      <c r="AW328" s="124" t="str">
        <f>IF($B328="","",IF(AW$3=0,"n.b.",INDEX(SRC_Woningetalage!$A$1:$ZZ$501,$A328,AW$3)))</f>
        <v/>
      </c>
      <c r="AX328" s="124" t="str">
        <f>IF($B328="","",IF(AX$3=0,"n.b.",INDEX(SRC_Woningetalage!$A$1:$ZZ$501,$A328,AX$3)))</f>
        <v/>
      </c>
      <c r="AY328" s="124" t="str">
        <f>IF($B328="","",IF(AY$3=0,"n.b.",INDEX(SRC_Woningetalage!$A$1:$ZZ$501,$A328,AY$3)))</f>
        <v/>
      </c>
      <c r="AZ328" s="124" t="str">
        <f>IF($B328="","",IF(AZ$3=0,"n.b.",INDEX(SRC_Woningetalage!$A$1:$ZZ$501,$A328,AZ$3)))</f>
        <v/>
      </c>
      <c r="BA328" s="124" t="str">
        <f>IF($B328="","",IF(BA$3=0,"n.b.",INDEX(SRC_Woningetalage!$A$1:$ZZ$501,$A328,BA$3)))</f>
        <v/>
      </c>
      <c r="BB328" s="124" t="str">
        <f>IF($B328="","",IF(BB$3=0,"n.b.",INDEX(SRC_Woningetalage!$A$1:$ZZ$501,$A328,BB$3)))</f>
        <v/>
      </c>
      <c r="BC328" s="124" t="str">
        <f>IF($B328="","",IFERROR(_xlfn.NUMBERVALUE(E328&amp;"",",","."),"n.b."))</f>
        <v/>
      </c>
      <c r="BD328" s="124" t="str">
        <f>IF($B328="","",IFERROR(_xlfn.NUMBERVALUE(M328&amp;"",",","."),"n.b."))</f>
        <v/>
      </c>
      <c r="BE328" s="124" t="str">
        <f>IF($B328="","",IFERROR(AB328+AC328+AD328,"n.b."))</f>
        <v/>
      </c>
      <c r="BF328" s="124" t="str">
        <f>IF($B328="","",IFERROR(AE328+AF328+AG328,"n.b."))</f>
        <v/>
      </c>
      <c r="BG328" s="124" t="str">
        <f>IF($B328="","",IFERROR(AH328+AI328+AJ328,"n.b."))</f>
        <v/>
      </c>
      <c r="BH328" s="124" t="str">
        <f>IF($B328="","",IFERROR(AK328+AL328+AM328,"n.b."))</f>
        <v/>
      </c>
      <c r="BI328" s="124" t="str">
        <f>IF($B328="","",IFERROR(SUMIF($AB$5:$AM$5,"&lt;="&amp;P_PeilMaand,AB328:AM328),"n.b."))</f>
        <v/>
      </c>
      <c r="BJ328" s="124" t="str">
        <f>IF($B328="","",IFERROR(SUM(AB328:AM328)-BI328,"n.b."))</f>
        <v/>
      </c>
      <c r="BK328" s="124" t="str">
        <f>IF($B328="","",IFERROR(IF(ABS(Q328-(T328+SUM(AB328:AM328)+AS328+AU328))&gt;P_Tol,1,0),1))</f>
        <v/>
      </c>
      <c r="BL328" s="124" t="str">
        <f>IF($B328="","",IFERROR(IF(ABS(AA328-(Q328-Z328))&gt;P_Tol,1,0),1))</f>
        <v/>
      </c>
      <c r="BM328" s="124" t="str">
        <f>IF($B328="","",IFERROR(IF(ABS(Z328-(T328+W328))&gt;P_Tol,1,0),1))</f>
        <v/>
      </c>
      <c r="BN328" s="124" t="str">
        <f>IF($B328="","",IFERROR(IF(ABS(W328-BI328)&gt;P_Tol,1,0),1))</f>
        <v/>
      </c>
      <c r="BO328" s="124" t="str">
        <f>IF($B328="","",IFERROR(IF(OR(ABS(R328+S328-T328)&gt;P_Tol,ABS(U328+V328-W328)&gt;P_Tol,ABS(X328+Y328-Z328)&gt;P_Tol),1,0),1))</f>
        <v/>
      </c>
      <c r="BP328" s="124" t="str">
        <f>IF($B328="","",IFERROR(IF(OR(ABS(AR328-SUM(AB328:AM328))&gt;P_Tol,ABS(AS328-(AN328+AO328+AP328+AQ328))&gt;P_Tol),1,0),1))</f>
        <v/>
      </c>
      <c r="BQ328" s="124" t="str">
        <f>IF($B328="","",IFERROR(IF(ABS(AT328)+ABS(AV328)+ABS(AW328)+ABS(AX328)+ABS(AY328)+ABS(AZ328)+ABS(BA328)+ABS(BB328)&gt;0,1,0),1))</f>
        <v/>
      </c>
      <c r="BR328" s="124" t="str">
        <f>IF($B328="","",COUNTIF(STG_ZPMW03!$B$6:$B$505,B328))</f>
        <v/>
      </c>
      <c r="BS328" s="124" t="str">
        <f>IF($B328="","",COUNTIF($B$6:$B$505,B328))</f>
        <v/>
      </c>
      <c r="BT328" s="124" t="str">
        <f>IF($B328="","",IF(BR328=0,0,IF(INDEX(STG_ZPMW03!$I$6:$I$505,MATCH(B328,STG_ZPMW03!$B$6:$B$505,0))=J328&amp;"",0,1)))</f>
        <v/>
      </c>
      <c r="BU328" s="124" t="str">
        <f>IF($B328="","",IFERROR(IF(ABS(INDEX(Mapping!$D$5:$D$104,MATCH(B328,Mapping!$A$5:$A$104,0))-Q328)&gt;P_Tol,1,0),0))</f>
        <v/>
      </c>
      <c r="BV328" s="124" t="str">
        <f>IF($B328="","",IFERROR(IF(AND(INDEX(Mapping!$G$5:$G$104,MATCH(B328,Mapping!$A$5:$A$104,0))="Nee",ABS(Q328)+ABS(Z328)+ABS(AR328)&gt;0),1,0),0))</f>
        <v/>
      </c>
      <c r="BW328" s="124" t="str">
        <f>IF($B328="","",IF(COUNTIF(Mapping!$A$5:$A$104,B328)&gt;0,1,0))</f>
        <v/>
      </c>
      <c r="BX328" s="124" t="str">
        <f>IF($B328="","",IF(BR328=0,COUNTIF($BR$6:BR328,0),""))</f>
        <v/>
      </c>
    </row>
    <row r="329">
      <c r="A329" s="15" t="n">
        <v>325</v>
      </c>
      <c r="B329" t="str">
        <f>IF(B$3=0,"",IF(INDEX(SRC_Woningetalage!$A$1:$ZZ$501,$A329,B$3)&amp;""="","",INDEX(SRC_Woningetalage!$A$1:$ZZ$501,$A329,B$3)&amp;""))</f>
        <v/>
      </c>
      <c r="C329" t="str">
        <f>IF($B329="","",IF(C$3=0,"n.b.",INDEX(SRC_Woningetalage!$A$1:$ZZ$501,$A329,C$3)))</f>
        <v/>
      </c>
      <c r="D329" t="str">
        <f>IF($B329="","",IF(D$3=0,"n.b.",INDEX(SRC_Woningetalage!$A$1:$ZZ$501,$A329,D$3)))</f>
        <v/>
      </c>
      <c r="E329" t="str">
        <f>IF($B329="","",IF(E$3=0,"n.b.",INDEX(SRC_Woningetalage!$A$1:$ZZ$501,$A329,E$3)))</f>
        <v/>
      </c>
      <c r="F329" t="str">
        <f>IF($B329="","",IF(F$3=0,"n.b.",INDEX(SRC_Woningetalage!$A$1:$ZZ$501,$A329,F$3)))</f>
        <v/>
      </c>
      <c r="G329" t="str">
        <f>IF($B329="","",IF(G$3=0,"n.b.",INDEX(SRC_Woningetalage!$A$1:$ZZ$501,$A329,G$3)))</f>
        <v/>
      </c>
      <c r="H329" t="str">
        <f>IF($B329="","",IF(H$3=0,"n.b.",INDEX(SRC_Woningetalage!$A$1:$ZZ$501,$A329,H$3)))</f>
        <v/>
      </c>
      <c r="I329" t="str">
        <f>IF($B329="","",IF(I$3=0,"n.b.",INDEX(SRC_Woningetalage!$A$1:$ZZ$501,$A329,I$3)))</f>
        <v/>
      </c>
      <c r="J329" t="str">
        <f>IF($B329="","",IF(J$3=0,"n.b.",INDEX(SRC_Woningetalage!$A$1:$ZZ$501,$A329,J$3)))</f>
        <v/>
      </c>
      <c r="K329" t="str">
        <f>IF($B329="","",IF(K$3=0,"n.b.",INDEX(SRC_Woningetalage!$A$1:$ZZ$501,$A329,K$3)))</f>
        <v/>
      </c>
      <c r="L329" t="str">
        <f>IF($B329="","",IF(L$3=0,"n.b.",INDEX(SRC_Woningetalage!$A$1:$ZZ$501,$A329,L$3)))</f>
        <v/>
      </c>
      <c r="M329" t="str">
        <f>IF($B329="","",IF(M$3=0,"n.b.",INDEX(SRC_Woningetalage!$A$1:$ZZ$501,$A329,M$3)))</f>
        <v/>
      </c>
      <c r="N329" t="str">
        <f>IF($B329="","",IF(N$3=0,"n.b.",INDEX(SRC_Woningetalage!$A$1:$ZZ$501,$A329,N$3)))</f>
        <v/>
      </c>
      <c r="O329" t="str">
        <f>IF($B329="","",IF(O$3=0,"n.b.",INDEX(SRC_Woningetalage!$A$1:$ZZ$501,$A329,O$3)))</f>
        <v/>
      </c>
      <c r="P329" t="str">
        <f>IF($B329="","",IF(P$3=0,"n.b.",INDEX(SRC_Woningetalage!$A$1:$ZZ$501,$A329,P$3)))</f>
        <v/>
      </c>
      <c r="Q329" s="124" t="str">
        <f>IF($B329="","",IF(Q$3=0,"n.b.",INDEX(SRC_Woningetalage!$A$1:$ZZ$501,$A329,Q$3)))</f>
        <v/>
      </c>
      <c r="R329" s="124" t="str">
        <f>IF($B329="","",IF(R$3=0,"n.b.",INDEX(SRC_Woningetalage!$A$1:$ZZ$501,$A329,R$3)))</f>
        <v/>
      </c>
      <c r="S329" s="124" t="str">
        <f>IF($B329="","",IF(S$3=0,"n.b.",INDEX(SRC_Woningetalage!$A$1:$ZZ$501,$A329,S$3)))</f>
        <v/>
      </c>
      <c r="T329" s="124" t="str">
        <f>IF($B329="","",IF(T$3=0,"n.b.",INDEX(SRC_Woningetalage!$A$1:$ZZ$501,$A329,T$3)))</f>
        <v/>
      </c>
      <c r="U329" s="124" t="str">
        <f>IF($B329="","",IF(U$3=0,"n.b.",INDEX(SRC_Woningetalage!$A$1:$ZZ$501,$A329,U$3)))</f>
        <v/>
      </c>
      <c r="V329" s="124" t="str">
        <f>IF($B329="","",IF(V$3=0,"n.b.",INDEX(SRC_Woningetalage!$A$1:$ZZ$501,$A329,V$3)))</f>
        <v/>
      </c>
      <c r="W329" s="124" t="str">
        <f>IF($B329="","",IF(W$3=0,"n.b.",INDEX(SRC_Woningetalage!$A$1:$ZZ$501,$A329,W$3)))</f>
        <v/>
      </c>
      <c r="X329" s="124" t="str">
        <f>IF($B329="","",IF(X$3=0,"n.b.",INDEX(SRC_Woningetalage!$A$1:$ZZ$501,$A329,X$3)))</f>
        <v/>
      </c>
      <c r="Y329" s="124" t="str">
        <f>IF($B329="","",IF(Y$3=0,"n.b.",INDEX(SRC_Woningetalage!$A$1:$ZZ$501,$A329,Y$3)))</f>
        <v/>
      </c>
      <c r="Z329" s="124" t="str">
        <f>IF($B329="","",IF(Z$3=0,"n.b.",INDEX(SRC_Woningetalage!$A$1:$ZZ$501,$A329,Z$3)))</f>
        <v/>
      </c>
      <c r="AA329" s="124" t="str">
        <f>IF($B329="","",IF(AA$3=0,"n.b.",INDEX(SRC_Woningetalage!$A$1:$ZZ$501,$A329,AA$3)))</f>
        <v/>
      </c>
      <c r="AB329" s="124" t="str">
        <f>IF($B329="","",IF(AB$3=0,"n.b.",INDEX(SRC_Woningetalage!$A$1:$ZZ$501,$A329,AB$3)))</f>
        <v/>
      </c>
      <c r="AC329" s="124" t="str">
        <f>IF($B329="","",IF(AC$3=0,"n.b.",INDEX(SRC_Woningetalage!$A$1:$ZZ$501,$A329,AC$3)))</f>
        <v/>
      </c>
      <c r="AD329" s="124" t="str">
        <f>IF($B329="","",IF(AD$3=0,"n.b.",INDEX(SRC_Woningetalage!$A$1:$ZZ$501,$A329,AD$3)))</f>
        <v/>
      </c>
      <c r="AE329" s="124" t="str">
        <f>IF($B329="","",IF(AE$3=0,"n.b.",INDEX(SRC_Woningetalage!$A$1:$ZZ$501,$A329,AE$3)))</f>
        <v/>
      </c>
      <c r="AF329" s="124" t="str">
        <f>IF($B329="","",IF(AF$3=0,"n.b.",INDEX(SRC_Woningetalage!$A$1:$ZZ$501,$A329,AF$3)))</f>
        <v/>
      </c>
      <c r="AG329" s="124" t="str">
        <f>IF($B329="","",IF(AG$3=0,"n.b.",INDEX(SRC_Woningetalage!$A$1:$ZZ$501,$A329,AG$3)))</f>
        <v/>
      </c>
      <c r="AH329" s="124" t="str">
        <f>IF($B329="","",IF(AH$3=0,"n.b.",INDEX(SRC_Woningetalage!$A$1:$ZZ$501,$A329,AH$3)))</f>
        <v/>
      </c>
      <c r="AI329" s="124" t="str">
        <f>IF($B329="","",IF(AI$3=0,"n.b.",INDEX(SRC_Woningetalage!$A$1:$ZZ$501,$A329,AI$3)))</f>
        <v/>
      </c>
      <c r="AJ329" s="124" t="str">
        <f>IF($B329="","",IF(AJ$3=0,"n.b.",INDEX(SRC_Woningetalage!$A$1:$ZZ$501,$A329,AJ$3)))</f>
        <v/>
      </c>
      <c r="AK329" s="124" t="str">
        <f>IF($B329="","",IF(AK$3=0,"n.b.",INDEX(SRC_Woningetalage!$A$1:$ZZ$501,$A329,AK$3)))</f>
        <v/>
      </c>
      <c r="AL329" s="124" t="str">
        <f>IF($B329="","",IF(AL$3=0,"n.b.",INDEX(SRC_Woningetalage!$A$1:$ZZ$501,$A329,AL$3)))</f>
        <v/>
      </c>
      <c r="AM329" s="124" t="str">
        <f>IF($B329="","",IF(AM$3=0,"n.b.",INDEX(SRC_Woningetalage!$A$1:$ZZ$501,$A329,AM$3)))</f>
        <v/>
      </c>
      <c r="AN329" s="124" t="str">
        <f>IF($B329="","",IF(AN$3=0,"n.b.",INDEX(SRC_Woningetalage!$A$1:$ZZ$501,$A329,AN$3)))</f>
        <v/>
      </c>
      <c r="AO329" s="124" t="str">
        <f>IF($B329="","",IF(AO$3=0,"n.b.",INDEX(SRC_Woningetalage!$A$1:$ZZ$501,$A329,AO$3)))</f>
        <v/>
      </c>
      <c r="AP329" s="124" t="str">
        <f>IF($B329="","",IF(AP$3=0,"n.b.",INDEX(SRC_Woningetalage!$A$1:$ZZ$501,$A329,AP$3)))</f>
        <v/>
      </c>
      <c r="AQ329" s="124" t="str">
        <f>IF($B329="","",IF(AQ$3=0,"n.b.",INDEX(SRC_Woningetalage!$A$1:$ZZ$501,$A329,AQ$3)))</f>
        <v/>
      </c>
      <c r="AR329" s="124" t="str">
        <f>IF($B329="","",IF(AR$3=0,"n.b.",INDEX(SRC_Woningetalage!$A$1:$ZZ$501,$A329,AR$3)))</f>
        <v/>
      </c>
      <c r="AS329" s="124" t="str">
        <f>IF($B329="","",IF(AS$3=0,"n.b.",INDEX(SRC_Woningetalage!$A$1:$ZZ$501,$A329,AS$3)))</f>
        <v/>
      </c>
      <c r="AT329" s="124" t="str">
        <f>IF($B329="","",IF(AT$3=0,"n.b.",INDEX(SRC_Woningetalage!$A$1:$ZZ$501,$A329,AT$3)))</f>
        <v/>
      </c>
      <c r="AU329" s="124" t="str">
        <f>IF($B329="","",IF(AU$3=0,"n.b.",INDEX(SRC_Woningetalage!$A$1:$ZZ$501,$A329,AU$3)))</f>
        <v/>
      </c>
      <c r="AV329" s="124" t="str">
        <f>IF($B329="","",IF(AV$3=0,"n.b.",INDEX(SRC_Woningetalage!$A$1:$ZZ$501,$A329,AV$3)))</f>
        <v/>
      </c>
      <c r="AW329" s="124" t="str">
        <f>IF($B329="","",IF(AW$3=0,"n.b.",INDEX(SRC_Woningetalage!$A$1:$ZZ$501,$A329,AW$3)))</f>
        <v/>
      </c>
      <c r="AX329" s="124" t="str">
        <f>IF($B329="","",IF(AX$3=0,"n.b.",INDEX(SRC_Woningetalage!$A$1:$ZZ$501,$A329,AX$3)))</f>
        <v/>
      </c>
      <c r="AY329" s="124" t="str">
        <f>IF($B329="","",IF(AY$3=0,"n.b.",INDEX(SRC_Woningetalage!$A$1:$ZZ$501,$A329,AY$3)))</f>
        <v/>
      </c>
      <c r="AZ329" s="124" t="str">
        <f>IF($B329="","",IF(AZ$3=0,"n.b.",INDEX(SRC_Woningetalage!$A$1:$ZZ$501,$A329,AZ$3)))</f>
        <v/>
      </c>
      <c r="BA329" s="124" t="str">
        <f>IF($B329="","",IF(BA$3=0,"n.b.",INDEX(SRC_Woningetalage!$A$1:$ZZ$501,$A329,BA$3)))</f>
        <v/>
      </c>
      <c r="BB329" s="124" t="str">
        <f>IF($B329="","",IF(BB$3=0,"n.b.",INDEX(SRC_Woningetalage!$A$1:$ZZ$501,$A329,BB$3)))</f>
        <v/>
      </c>
      <c r="BC329" s="124" t="str">
        <f>IF($B329="","",IFERROR(_xlfn.NUMBERVALUE(E329&amp;"",",","."),"n.b."))</f>
        <v/>
      </c>
      <c r="BD329" s="124" t="str">
        <f>IF($B329="","",IFERROR(_xlfn.NUMBERVALUE(M329&amp;"",",","."),"n.b."))</f>
        <v/>
      </c>
      <c r="BE329" s="124" t="str">
        <f>IF($B329="","",IFERROR(AB329+AC329+AD329,"n.b."))</f>
        <v/>
      </c>
      <c r="BF329" s="124" t="str">
        <f>IF($B329="","",IFERROR(AE329+AF329+AG329,"n.b."))</f>
        <v/>
      </c>
      <c r="BG329" s="124" t="str">
        <f>IF($B329="","",IFERROR(AH329+AI329+AJ329,"n.b."))</f>
        <v/>
      </c>
      <c r="BH329" s="124" t="str">
        <f>IF($B329="","",IFERROR(AK329+AL329+AM329,"n.b."))</f>
        <v/>
      </c>
      <c r="BI329" s="124" t="str">
        <f>IF($B329="","",IFERROR(SUMIF($AB$5:$AM$5,"&lt;="&amp;P_PeilMaand,AB329:AM329),"n.b."))</f>
        <v/>
      </c>
      <c r="BJ329" s="124" t="str">
        <f>IF($B329="","",IFERROR(SUM(AB329:AM329)-BI329,"n.b."))</f>
        <v/>
      </c>
      <c r="BK329" s="124" t="str">
        <f>IF($B329="","",IFERROR(IF(ABS(Q329-(T329+SUM(AB329:AM329)+AS329+AU329))&gt;P_Tol,1,0),1))</f>
        <v/>
      </c>
      <c r="BL329" s="124" t="str">
        <f>IF($B329="","",IFERROR(IF(ABS(AA329-(Q329-Z329))&gt;P_Tol,1,0),1))</f>
        <v/>
      </c>
      <c r="BM329" s="124" t="str">
        <f>IF($B329="","",IFERROR(IF(ABS(Z329-(T329+W329))&gt;P_Tol,1,0),1))</f>
        <v/>
      </c>
      <c r="BN329" s="124" t="str">
        <f>IF($B329="","",IFERROR(IF(ABS(W329-BI329)&gt;P_Tol,1,0),1))</f>
        <v/>
      </c>
      <c r="BO329" s="124" t="str">
        <f>IF($B329="","",IFERROR(IF(OR(ABS(R329+S329-T329)&gt;P_Tol,ABS(U329+V329-W329)&gt;P_Tol,ABS(X329+Y329-Z329)&gt;P_Tol),1,0),1))</f>
        <v/>
      </c>
      <c r="BP329" s="124" t="str">
        <f>IF($B329="","",IFERROR(IF(OR(ABS(AR329-SUM(AB329:AM329))&gt;P_Tol,ABS(AS329-(AN329+AO329+AP329+AQ329))&gt;P_Tol),1,0),1))</f>
        <v/>
      </c>
      <c r="BQ329" s="124" t="str">
        <f>IF($B329="","",IFERROR(IF(ABS(AT329)+ABS(AV329)+ABS(AW329)+ABS(AX329)+ABS(AY329)+ABS(AZ329)+ABS(BA329)+ABS(BB329)&gt;0,1,0),1))</f>
        <v/>
      </c>
      <c r="BR329" s="124" t="str">
        <f>IF($B329="","",COUNTIF(STG_ZPMW03!$B$6:$B$505,B329))</f>
        <v/>
      </c>
      <c r="BS329" s="124" t="str">
        <f>IF($B329="","",COUNTIF($B$6:$B$505,B329))</f>
        <v/>
      </c>
      <c r="BT329" s="124" t="str">
        <f>IF($B329="","",IF(BR329=0,0,IF(INDEX(STG_ZPMW03!$I$6:$I$505,MATCH(B329,STG_ZPMW03!$B$6:$B$505,0))=J329&amp;"",0,1)))</f>
        <v/>
      </c>
      <c r="BU329" s="124" t="str">
        <f>IF($B329="","",IFERROR(IF(ABS(INDEX(Mapping!$D$5:$D$104,MATCH(B329,Mapping!$A$5:$A$104,0))-Q329)&gt;P_Tol,1,0),0))</f>
        <v/>
      </c>
      <c r="BV329" s="124" t="str">
        <f>IF($B329="","",IFERROR(IF(AND(INDEX(Mapping!$G$5:$G$104,MATCH(B329,Mapping!$A$5:$A$104,0))="Nee",ABS(Q329)+ABS(Z329)+ABS(AR329)&gt;0),1,0),0))</f>
        <v/>
      </c>
      <c r="BW329" s="124" t="str">
        <f>IF($B329="","",IF(COUNTIF(Mapping!$A$5:$A$104,B329)&gt;0,1,0))</f>
        <v/>
      </c>
      <c r="BX329" s="124" t="str">
        <f>IF($B329="","",IF(BR329=0,COUNTIF($BR$6:BR329,0),""))</f>
        <v/>
      </c>
    </row>
    <row r="330">
      <c r="A330" s="15" t="n">
        <v>326</v>
      </c>
      <c r="B330" t="str">
        <f>IF(B$3=0,"",IF(INDEX(SRC_Woningetalage!$A$1:$ZZ$501,$A330,B$3)&amp;""="","",INDEX(SRC_Woningetalage!$A$1:$ZZ$501,$A330,B$3)&amp;""))</f>
        <v/>
      </c>
      <c r="C330" t="str">
        <f>IF($B330="","",IF(C$3=0,"n.b.",INDEX(SRC_Woningetalage!$A$1:$ZZ$501,$A330,C$3)))</f>
        <v/>
      </c>
      <c r="D330" t="str">
        <f>IF($B330="","",IF(D$3=0,"n.b.",INDEX(SRC_Woningetalage!$A$1:$ZZ$501,$A330,D$3)))</f>
        <v/>
      </c>
      <c r="E330" t="str">
        <f>IF($B330="","",IF(E$3=0,"n.b.",INDEX(SRC_Woningetalage!$A$1:$ZZ$501,$A330,E$3)))</f>
        <v/>
      </c>
      <c r="F330" t="str">
        <f>IF($B330="","",IF(F$3=0,"n.b.",INDEX(SRC_Woningetalage!$A$1:$ZZ$501,$A330,F$3)))</f>
        <v/>
      </c>
      <c r="G330" t="str">
        <f>IF($B330="","",IF(G$3=0,"n.b.",INDEX(SRC_Woningetalage!$A$1:$ZZ$501,$A330,G$3)))</f>
        <v/>
      </c>
      <c r="H330" t="str">
        <f>IF($B330="","",IF(H$3=0,"n.b.",INDEX(SRC_Woningetalage!$A$1:$ZZ$501,$A330,H$3)))</f>
        <v/>
      </c>
      <c r="I330" t="str">
        <f>IF($B330="","",IF(I$3=0,"n.b.",INDEX(SRC_Woningetalage!$A$1:$ZZ$501,$A330,I$3)))</f>
        <v/>
      </c>
      <c r="J330" t="str">
        <f>IF($B330="","",IF(J$3=0,"n.b.",INDEX(SRC_Woningetalage!$A$1:$ZZ$501,$A330,J$3)))</f>
        <v/>
      </c>
      <c r="K330" t="str">
        <f>IF($B330="","",IF(K$3=0,"n.b.",INDEX(SRC_Woningetalage!$A$1:$ZZ$501,$A330,K$3)))</f>
        <v/>
      </c>
      <c r="L330" t="str">
        <f>IF($B330="","",IF(L$3=0,"n.b.",INDEX(SRC_Woningetalage!$A$1:$ZZ$501,$A330,L$3)))</f>
        <v/>
      </c>
      <c r="M330" t="str">
        <f>IF($B330="","",IF(M$3=0,"n.b.",INDEX(SRC_Woningetalage!$A$1:$ZZ$501,$A330,M$3)))</f>
        <v/>
      </c>
      <c r="N330" t="str">
        <f>IF($B330="","",IF(N$3=0,"n.b.",INDEX(SRC_Woningetalage!$A$1:$ZZ$501,$A330,N$3)))</f>
        <v/>
      </c>
      <c r="O330" t="str">
        <f>IF($B330="","",IF(O$3=0,"n.b.",INDEX(SRC_Woningetalage!$A$1:$ZZ$501,$A330,O$3)))</f>
        <v/>
      </c>
      <c r="P330" t="str">
        <f>IF($B330="","",IF(P$3=0,"n.b.",INDEX(SRC_Woningetalage!$A$1:$ZZ$501,$A330,P$3)))</f>
        <v/>
      </c>
      <c r="Q330" s="124" t="str">
        <f>IF($B330="","",IF(Q$3=0,"n.b.",INDEX(SRC_Woningetalage!$A$1:$ZZ$501,$A330,Q$3)))</f>
        <v/>
      </c>
      <c r="R330" s="124" t="str">
        <f>IF($B330="","",IF(R$3=0,"n.b.",INDEX(SRC_Woningetalage!$A$1:$ZZ$501,$A330,R$3)))</f>
        <v/>
      </c>
      <c r="S330" s="124" t="str">
        <f>IF($B330="","",IF(S$3=0,"n.b.",INDEX(SRC_Woningetalage!$A$1:$ZZ$501,$A330,S$3)))</f>
        <v/>
      </c>
      <c r="T330" s="124" t="str">
        <f>IF($B330="","",IF(T$3=0,"n.b.",INDEX(SRC_Woningetalage!$A$1:$ZZ$501,$A330,T$3)))</f>
        <v/>
      </c>
      <c r="U330" s="124" t="str">
        <f>IF($B330="","",IF(U$3=0,"n.b.",INDEX(SRC_Woningetalage!$A$1:$ZZ$501,$A330,U$3)))</f>
        <v/>
      </c>
      <c r="V330" s="124" t="str">
        <f>IF($B330="","",IF(V$3=0,"n.b.",INDEX(SRC_Woningetalage!$A$1:$ZZ$501,$A330,V$3)))</f>
        <v/>
      </c>
      <c r="W330" s="124" t="str">
        <f>IF($B330="","",IF(W$3=0,"n.b.",INDEX(SRC_Woningetalage!$A$1:$ZZ$501,$A330,W$3)))</f>
        <v/>
      </c>
      <c r="X330" s="124" t="str">
        <f>IF($B330="","",IF(X$3=0,"n.b.",INDEX(SRC_Woningetalage!$A$1:$ZZ$501,$A330,X$3)))</f>
        <v/>
      </c>
      <c r="Y330" s="124" t="str">
        <f>IF($B330="","",IF(Y$3=0,"n.b.",INDEX(SRC_Woningetalage!$A$1:$ZZ$501,$A330,Y$3)))</f>
        <v/>
      </c>
      <c r="Z330" s="124" t="str">
        <f>IF($B330="","",IF(Z$3=0,"n.b.",INDEX(SRC_Woningetalage!$A$1:$ZZ$501,$A330,Z$3)))</f>
        <v/>
      </c>
      <c r="AA330" s="124" t="str">
        <f>IF($B330="","",IF(AA$3=0,"n.b.",INDEX(SRC_Woningetalage!$A$1:$ZZ$501,$A330,AA$3)))</f>
        <v/>
      </c>
      <c r="AB330" s="124" t="str">
        <f>IF($B330="","",IF(AB$3=0,"n.b.",INDEX(SRC_Woningetalage!$A$1:$ZZ$501,$A330,AB$3)))</f>
        <v/>
      </c>
      <c r="AC330" s="124" t="str">
        <f>IF($B330="","",IF(AC$3=0,"n.b.",INDEX(SRC_Woningetalage!$A$1:$ZZ$501,$A330,AC$3)))</f>
        <v/>
      </c>
      <c r="AD330" s="124" t="str">
        <f>IF($B330="","",IF(AD$3=0,"n.b.",INDEX(SRC_Woningetalage!$A$1:$ZZ$501,$A330,AD$3)))</f>
        <v/>
      </c>
      <c r="AE330" s="124" t="str">
        <f>IF($B330="","",IF(AE$3=0,"n.b.",INDEX(SRC_Woningetalage!$A$1:$ZZ$501,$A330,AE$3)))</f>
        <v/>
      </c>
      <c r="AF330" s="124" t="str">
        <f>IF($B330="","",IF(AF$3=0,"n.b.",INDEX(SRC_Woningetalage!$A$1:$ZZ$501,$A330,AF$3)))</f>
        <v/>
      </c>
      <c r="AG330" s="124" t="str">
        <f>IF($B330="","",IF(AG$3=0,"n.b.",INDEX(SRC_Woningetalage!$A$1:$ZZ$501,$A330,AG$3)))</f>
        <v/>
      </c>
      <c r="AH330" s="124" t="str">
        <f>IF($B330="","",IF(AH$3=0,"n.b.",INDEX(SRC_Woningetalage!$A$1:$ZZ$501,$A330,AH$3)))</f>
        <v/>
      </c>
      <c r="AI330" s="124" t="str">
        <f>IF($B330="","",IF(AI$3=0,"n.b.",INDEX(SRC_Woningetalage!$A$1:$ZZ$501,$A330,AI$3)))</f>
        <v/>
      </c>
      <c r="AJ330" s="124" t="str">
        <f>IF($B330="","",IF(AJ$3=0,"n.b.",INDEX(SRC_Woningetalage!$A$1:$ZZ$501,$A330,AJ$3)))</f>
        <v/>
      </c>
      <c r="AK330" s="124" t="str">
        <f>IF($B330="","",IF(AK$3=0,"n.b.",INDEX(SRC_Woningetalage!$A$1:$ZZ$501,$A330,AK$3)))</f>
        <v/>
      </c>
      <c r="AL330" s="124" t="str">
        <f>IF($B330="","",IF(AL$3=0,"n.b.",INDEX(SRC_Woningetalage!$A$1:$ZZ$501,$A330,AL$3)))</f>
        <v/>
      </c>
      <c r="AM330" s="124" t="str">
        <f>IF($B330="","",IF(AM$3=0,"n.b.",INDEX(SRC_Woningetalage!$A$1:$ZZ$501,$A330,AM$3)))</f>
        <v/>
      </c>
      <c r="AN330" s="124" t="str">
        <f>IF($B330="","",IF(AN$3=0,"n.b.",INDEX(SRC_Woningetalage!$A$1:$ZZ$501,$A330,AN$3)))</f>
        <v/>
      </c>
      <c r="AO330" s="124" t="str">
        <f>IF($B330="","",IF(AO$3=0,"n.b.",INDEX(SRC_Woningetalage!$A$1:$ZZ$501,$A330,AO$3)))</f>
        <v/>
      </c>
      <c r="AP330" s="124" t="str">
        <f>IF($B330="","",IF(AP$3=0,"n.b.",INDEX(SRC_Woningetalage!$A$1:$ZZ$501,$A330,AP$3)))</f>
        <v/>
      </c>
      <c r="AQ330" s="124" t="str">
        <f>IF($B330="","",IF(AQ$3=0,"n.b.",INDEX(SRC_Woningetalage!$A$1:$ZZ$501,$A330,AQ$3)))</f>
        <v/>
      </c>
      <c r="AR330" s="124" t="str">
        <f>IF($B330="","",IF(AR$3=0,"n.b.",INDEX(SRC_Woningetalage!$A$1:$ZZ$501,$A330,AR$3)))</f>
        <v/>
      </c>
      <c r="AS330" s="124" t="str">
        <f>IF($B330="","",IF(AS$3=0,"n.b.",INDEX(SRC_Woningetalage!$A$1:$ZZ$501,$A330,AS$3)))</f>
        <v/>
      </c>
      <c r="AT330" s="124" t="str">
        <f>IF($B330="","",IF(AT$3=0,"n.b.",INDEX(SRC_Woningetalage!$A$1:$ZZ$501,$A330,AT$3)))</f>
        <v/>
      </c>
      <c r="AU330" s="124" t="str">
        <f>IF($B330="","",IF(AU$3=0,"n.b.",INDEX(SRC_Woningetalage!$A$1:$ZZ$501,$A330,AU$3)))</f>
        <v/>
      </c>
      <c r="AV330" s="124" t="str">
        <f>IF($B330="","",IF(AV$3=0,"n.b.",INDEX(SRC_Woningetalage!$A$1:$ZZ$501,$A330,AV$3)))</f>
        <v/>
      </c>
      <c r="AW330" s="124" t="str">
        <f>IF($B330="","",IF(AW$3=0,"n.b.",INDEX(SRC_Woningetalage!$A$1:$ZZ$501,$A330,AW$3)))</f>
        <v/>
      </c>
      <c r="AX330" s="124" t="str">
        <f>IF($B330="","",IF(AX$3=0,"n.b.",INDEX(SRC_Woningetalage!$A$1:$ZZ$501,$A330,AX$3)))</f>
        <v/>
      </c>
      <c r="AY330" s="124" t="str">
        <f>IF($B330="","",IF(AY$3=0,"n.b.",INDEX(SRC_Woningetalage!$A$1:$ZZ$501,$A330,AY$3)))</f>
        <v/>
      </c>
      <c r="AZ330" s="124" t="str">
        <f>IF($B330="","",IF(AZ$3=0,"n.b.",INDEX(SRC_Woningetalage!$A$1:$ZZ$501,$A330,AZ$3)))</f>
        <v/>
      </c>
      <c r="BA330" s="124" t="str">
        <f>IF($B330="","",IF(BA$3=0,"n.b.",INDEX(SRC_Woningetalage!$A$1:$ZZ$501,$A330,BA$3)))</f>
        <v/>
      </c>
      <c r="BB330" s="124" t="str">
        <f>IF($B330="","",IF(BB$3=0,"n.b.",INDEX(SRC_Woningetalage!$A$1:$ZZ$501,$A330,BB$3)))</f>
        <v/>
      </c>
      <c r="BC330" s="124" t="str">
        <f>IF($B330="","",IFERROR(_xlfn.NUMBERVALUE(E330&amp;"",",","."),"n.b."))</f>
        <v/>
      </c>
      <c r="BD330" s="124" t="str">
        <f>IF($B330="","",IFERROR(_xlfn.NUMBERVALUE(M330&amp;"",",","."),"n.b."))</f>
        <v/>
      </c>
      <c r="BE330" s="124" t="str">
        <f>IF($B330="","",IFERROR(AB330+AC330+AD330,"n.b."))</f>
        <v/>
      </c>
      <c r="BF330" s="124" t="str">
        <f>IF($B330="","",IFERROR(AE330+AF330+AG330,"n.b."))</f>
        <v/>
      </c>
      <c r="BG330" s="124" t="str">
        <f>IF($B330="","",IFERROR(AH330+AI330+AJ330,"n.b."))</f>
        <v/>
      </c>
      <c r="BH330" s="124" t="str">
        <f>IF($B330="","",IFERROR(AK330+AL330+AM330,"n.b."))</f>
        <v/>
      </c>
      <c r="BI330" s="124" t="str">
        <f>IF($B330="","",IFERROR(SUMIF($AB$5:$AM$5,"&lt;="&amp;P_PeilMaand,AB330:AM330),"n.b."))</f>
        <v/>
      </c>
      <c r="BJ330" s="124" t="str">
        <f>IF($B330="","",IFERROR(SUM(AB330:AM330)-BI330,"n.b."))</f>
        <v/>
      </c>
      <c r="BK330" s="124" t="str">
        <f>IF($B330="","",IFERROR(IF(ABS(Q330-(T330+SUM(AB330:AM330)+AS330+AU330))&gt;P_Tol,1,0),1))</f>
        <v/>
      </c>
      <c r="BL330" s="124" t="str">
        <f>IF($B330="","",IFERROR(IF(ABS(AA330-(Q330-Z330))&gt;P_Tol,1,0),1))</f>
        <v/>
      </c>
      <c r="BM330" s="124" t="str">
        <f>IF($B330="","",IFERROR(IF(ABS(Z330-(T330+W330))&gt;P_Tol,1,0),1))</f>
        <v/>
      </c>
      <c r="BN330" s="124" t="str">
        <f>IF($B330="","",IFERROR(IF(ABS(W330-BI330)&gt;P_Tol,1,0),1))</f>
        <v/>
      </c>
      <c r="BO330" s="124" t="str">
        <f>IF($B330="","",IFERROR(IF(OR(ABS(R330+S330-T330)&gt;P_Tol,ABS(U330+V330-W330)&gt;P_Tol,ABS(X330+Y330-Z330)&gt;P_Tol),1,0),1))</f>
        <v/>
      </c>
      <c r="BP330" s="124" t="str">
        <f>IF($B330="","",IFERROR(IF(OR(ABS(AR330-SUM(AB330:AM330))&gt;P_Tol,ABS(AS330-(AN330+AO330+AP330+AQ330))&gt;P_Tol),1,0),1))</f>
        <v/>
      </c>
      <c r="BQ330" s="124" t="str">
        <f>IF($B330="","",IFERROR(IF(ABS(AT330)+ABS(AV330)+ABS(AW330)+ABS(AX330)+ABS(AY330)+ABS(AZ330)+ABS(BA330)+ABS(BB330)&gt;0,1,0),1))</f>
        <v/>
      </c>
      <c r="BR330" s="124" t="str">
        <f>IF($B330="","",COUNTIF(STG_ZPMW03!$B$6:$B$505,B330))</f>
        <v/>
      </c>
      <c r="BS330" s="124" t="str">
        <f>IF($B330="","",COUNTIF($B$6:$B$505,B330))</f>
        <v/>
      </c>
      <c r="BT330" s="124" t="str">
        <f>IF($B330="","",IF(BR330=0,0,IF(INDEX(STG_ZPMW03!$I$6:$I$505,MATCH(B330,STG_ZPMW03!$B$6:$B$505,0))=J330&amp;"",0,1)))</f>
        <v/>
      </c>
      <c r="BU330" s="124" t="str">
        <f>IF($B330="","",IFERROR(IF(ABS(INDEX(Mapping!$D$5:$D$104,MATCH(B330,Mapping!$A$5:$A$104,0))-Q330)&gt;P_Tol,1,0),0))</f>
        <v/>
      </c>
      <c r="BV330" s="124" t="str">
        <f>IF($B330="","",IFERROR(IF(AND(INDEX(Mapping!$G$5:$G$104,MATCH(B330,Mapping!$A$5:$A$104,0))="Nee",ABS(Q330)+ABS(Z330)+ABS(AR330)&gt;0),1,0),0))</f>
        <v/>
      </c>
      <c r="BW330" s="124" t="str">
        <f>IF($B330="","",IF(COUNTIF(Mapping!$A$5:$A$104,B330)&gt;0,1,0))</f>
        <v/>
      </c>
      <c r="BX330" s="124" t="str">
        <f>IF($B330="","",IF(BR330=0,COUNTIF($BR$6:BR330,0),""))</f>
        <v/>
      </c>
    </row>
    <row r="331">
      <c r="A331" s="15" t="n">
        <v>327</v>
      </c>
      <c r="B331" t="str">
        <f>IF(B$3=0,"",IF(INDEX(SRC_Woningetalage!$A$1:$ZZ$501,$A331,B$3)&amp;""="","",INDEX(SRC_Woningetalage!$A$1:$ZZ$501,$A331,B$3)&amp;""))</f>
        <v/>
      </c>
      <c r="C331" t="str">
        <f>IF($B331="","",IF(C$3=0,"n.b.",INDEX(SRC_Woningetalage!$A$1:$ZZ$501,$A331,C$3)))</f>
        <v/>
      </c>
      <c r="D331" t="str">
        <f>IF($B331="","",IF(D$3=0,"n.b.",INDEX(SRC_Woningetalage!$A$1:$ZZ$501,$A331,D$3)))</f>
        <v/>
      </c>
      <c r="E331" t="str">
        <f>IF($B331="","",IF(E$3=0,"n.b.",INDEX(SRC_Woningetalage!$A$1:$ZZ$501,$A331,E$3)))</f>
        <v/>
      </c>
      <c r="F331" t="str">
        <f>IF($B331="","",IF(F$3=0,"n.b.",INDEX(SRC_Woningetalage!$A$1:$ZZ$501,$A331,F$3)))</f>
        <v/>
      </c>
      <c r="G331" t="str">
        <f>IF($B331="","",IF(G$3=0,"n.b.",INDEX(SRC_Woningetalage!$A$1:$ZZ$501,$A331,G$3)))</f>
        <v/>
      </c>
      <c r="H331" t="str">
        <f>IF($B331="","",IF(H$3=0,"n.b.",INDEX(SRC_Woningetalage!$A$1:$ZZ$501,$A331,H$3)))</f>
        <v/>
      </c>
      <c r="I331" t="str">
        <f>IF($B331="","",IF(I$3=0,"n.b.",INDEX(SRC_Woningetalage!$A$1:$ZZ$501,$A331,I$3)))</f>
        <v/>
      </c>
      <c r="J331" t="str">
        <f>IF($B331="","",IF(J$3=0,"n.b.",INDEX(SRC_Woningetalage!$A$1:$ZZ$501,$A331,J$3)))</f>
        <v/>
      </c>
      <c r="K331" t="str">
        <f>IF($B331="","",IF(K$3=0,"n.b.",INDEX(SRC_Woningetalage!$A$1:$ZZ$501,$A331,K$3)))</f>
        <v/>
      </c>
      <c r="L331" t="str">
        <f>IF($B331="","",IF(L$3=0,"n.b.",INDEX(SRC_Woningetalage!$A$1:$ZZ$501,$A331,L$3)))</f>
        <v/>
      </c>
      <c r="M331" t="str">
        <f>IF($B331="","",IF(M$3=0,"n.b.",INDEX(SRC_Woningetalage!$A$1:$ZZ$501,$A331,M$3)))</f>
        <v/>
      </c>
      <c r="N331" t="str">
        <f>IF($B331="","",IF(N$3=0,"n.b.",INDEX(SRC_Woningetalage!$A$1:$ZZ$501,$A331,N$3)))</f>
        <v/>
      </c>
      <c r="O331" t="str">
        <f>IF($B331="","",IF(O$3=0,"n.b.",INDEX(SRC_Woningetalage!$A$1:$ZZ$501,$A331,O$3)))</f>
        <v/>
      </c>
      <c r="P331" t="str">
        <f>IF($B331="","",IF(P$3=0,"n.b.",INDEX(SRC_Woningetalage!$A$1:$ZZ$501,$A331,P$3)))</f>
        <v/>
      </c>
      <c r="Q331" s="124" t="str">
        <f>IF($B331="","",IF(Q$3=0,"n.b.",INDEX(SRC_Woningetalage!$A$1:$ZZ$501,$A331,Q$3)))</f>
        <v/>
      </c>
      <c r="R331" s="124" t="str">
        <f>IF($B331="","",IF(R$3=0,"n.b.",INDEX(SRC_Woningetalage!$A$1:$ZZ$501,$A331,R$3)))</f>
        <v/>
      </c>
      <c r="S331" s="124" t="str">
        <f>IF($B331="","",IF(S$3=0,"n.b.",INDEX(SRC_Woningetalage!$A$1:$ZZ$501,$A331,S$3)))</f>
        <v/>
      </c>
      <c r="T331" s="124" t="str">
        <f>IF($B331="","",IF(T$3=0,"n.b.",INDEX(SRC_Woningetalage!$A$1:$ZZ$501,$A331,T$3)))</f>
        <v/>
      </c>
      <c r="U331" s="124" t="str">
        <f>IF($B331="","",IF(U$3=0,"n.b.",INDEX(SRC_Woningetalage!$A$1:$ZZ$501,$A331,U$3)))</f>
        <v/>
      </c>
      <c r="V331" s="124" t="str">
        <f>IF($B331="","",IF(V$3=0,"n.b.",INDEX(SRC_Woningetalage!$A$1:$ZZ$501,$A331,V$3)))</f>
        <v/>
      </c>
      <c r="W331" s="124" t="str">
        <f>IF($B331="","",IF(W$3=0,"n.b.",INDEX(SRC_Woningetalage!$A$1:$ZZ$501,$A331,W$3)))</f>
        <v/>
      </c>
      <c r="X331" s="124" t="str">
        <f>IF($B331="","",IF(X$3=0,"n.b.",INDEX(SRC_Woningetalage!$A$1:$ZZ$501,$A331,X$3)))</f>
        <v/>
      </c>
      <c r="Y331" s="124" t="str">
        <f>IF($B331="","",IF(Y$3=0,"n.b.",INDEX(SRC_Woningetalage!$A$1:$ZZ$501,$A331,Y$3)))</f>
        <v/>
      </c>
      <c r="Z331" s="124" t="str">
        <f>IF($B331="","",IF(Z$3=0,"n.b.",INDEX(SRC_Woningetalage!$A$1:$ZZ$501,$A331,Z$3)))</f>
        <v/>
      </c>
      <c r="AA331" s="124" t="str">
        <f>IF($B331="","",IF(AA$3=0,"n.b.",INDEX(SRC_Woningetalage!$A$1:$ZZ$501,$A331,AA$3)))</f>
        <v/>
      </c>
      <c r="AB331" s="124" t="str">
        <f>IF($B331="","",IF(AB$3=0,"n.b.",INDEX(SRC_Woningetalage!$A$1:$ZZ$501,$A331,AB$3)))</f>
        <v/>
      </c>
      <c r="AC331" s="124" t="str">
        <f>IF($B331="","",IF(AC$3=0,"n.b.",INDEX(SRC_Woningetalage!$A$1:$ZZ$501,$A331,AC$3)))</f>
        <v/>
      </c>
      <c r="AD331" s="124" t="str">
        <f>IF($B331="","",IF(AD$3=0,"n.b.",INDEX(SRC_Woningetalage!$A$1:$ZZ$501,$A331,AD$3)))</f>
        <v/>
      </c>
      <c r="AE331" s="124" t="str">
        <f>IF($B331="","",IF(AE$3=0,"n.b.",INDEX(SRC_Woningetalage!$A$1:$ZZ$501,$A331,AE$3)))</f>
        <v/>
      </c>
      <c r="AF331" s="124" t="str">
        <f>IF($B331="","",IF(AF$3=0,"n.b.",INDEX(SRC_Woningetalage!$A$1:$ZZ$501,$A331,AF$3)))</f>
        <v/>
      </c>
      <c r="AG331" s="124" t="str">
        <f>IF($B331="","",IF(AG$3=0,"n.b.",INDEX(SRC_Woningetalage!$A$1:$ZZ$501,$A331,AG$3)))</f>
        <v/>
      </c>
      <c r="AH331" s="124" t="str">
        <f>IF($B331="","",IF(AH$3=0,"n.b.",INDEX(SRC_Woningetalage!$A$1:$ZZ$501,$A331,AH$3)))</f>
        <v/>
      </c>
      <c r="AI331" s="124" t="str">
        <f>IF($B331="","",IF(AI$3=0,"n.b.",INDEX(SRC_Woningetalage!$A$1:$ZZ$501,$A331,AI$3)))</f>
        <v/>
      </c>
      <c r="AJ331" s="124" t="str">
        <f>IF($B331="","",IF(AJ$3=0,"n.b.",INDEX(SRC_Woningetalage!$A$1:$ZZ$501,$A331,AJ$3)))</f>
        <v/>
      </c>
      <c r="AK331" s="124" t="str">
        <f>IF($B331="","",IF(AK$3=0,"n.b.",INDEX(SRC_Woningetalage!$A$1:$ZZ$501,$A331,AK$3)))</f>
        <v/>
      </c>
      <c r="AL331" s="124" t="str">
        <f>IF($B331="","",IF(AL$3=0,"n.b.",INDEX(SRC_Woningetalage!$A$1:$ZZ$501,$A331,AL$3)))</f>
        <v/>
      </c>
      <c r="AM331" s="124" t="str">
        <f>IF($B331="","",IF(AM$3=0,"n.b.",INDEX(SRC_Woningetalage!$A$1:$ZZ$501,$A331,AM$3)))</f>
        <v/>
      </c>
      <c r="AN331" s="124" t="str">
        <f>IF($B331="","",IF(AN$3=0,"n.b.",INDEX(SRC_Woningetalage!$A$1:$ZZ$501,$A331,AN$3)))</f>
        <v/>
      </c>
      <c r="AO331" s="124" t="str">
        <f>IF($B331="","",IF(AO$3=0,"n.b.",INDEX(SRC_Woningetalage!$A$1:$ZZ$501,$A331,AO$3)))</f>
        <v/>
      </c>
      <c r="AP331" s="124" t="str">
        <f>IF($B331="","",IF(AP$3=0,"n.b.",INDEX(SRC_Woningetalage!$A$1:$ZZ$501,$A331,AP$3)))</f>
        <v/>
      </c>
      <c r="AQ331" s="124" t="str">
        <f>IF($B331="","",IF(AQ$3=0,"n.b.",INDEX(SRC_Woningetalage!$A$1:$ZZ$501,$A331,AQ$3)))</f>
        <v/>
      </c>
      <c r="AR331" s="124" t="str">
        <f>IF($B331="","",IF(AR$3=0,"n.b.",INDEX(SRC_Woningetalage!$A$1:$ZZ$501,$A331,AR$3)))</f>
        <v/>
      </c>
      <c r="AS331" s="124" t="str">
        <f>IF($B331="","",IF(AS$3=0,"n.b.",INDEX(SRC_Woningetalage!$A$1:$ZZ$501,$A331,AS$3)))</f>
        <v/>
      </c>
      <c r="AT331" s="124" t="str">
        <f>IF($B331="","",IF(AT$3=0,"n.b.",INDEX(SRC_Woningetalage!$A$1:$ZZ$501,$A331,AT$3)))</f>
        <v/>
      </c>
      <c r="AU331" s="124" t="str">
        <f>IF($B331="","",IF(AU$3=0,"n.b.",INDEX(SRC_Woningetalage!$A$1:$ZZ$501,$A331,AU$3)))</f>
        <v/>
      </c>
      <c r="AV331" s="124" t="str">
        <f>IF($B331="","",IF(AV$3=0,"n.b.",INDEX(SRC_Woningetalage!$A$1:$ZZ$501,$A331,AV$3)))</f>
        <v/>
      </c>
      <c r="AW331" s="124" t="str">
        <f>IF($B331="","",IF(AW$3=0,"n.b.",INDEX(SRC_Woningetalage!$A$1:$ZZ$501,$A331,AW$3)))</f>
        <v/>
      </c>
      <c r="AX331" s="124" t="str">
        <f>IF($B331="","",IF(AX$3=0,"n.b.",INDEX(SRC_Woningetalage!$A$1:$ZZ$501,$A331,AX$3)))</f>
        <v/>
      </c>
      <c r="AY331" s="124" t="str">
        <f>IF($B331="","",IF(AY$3=0,"n.b.",INDEX(SRC_Woningetalage!$A$1:$ZZ$501,$A331,AY$3)))</f>
        <v/>
      </c>
      <c r="AZ331" s="124" t="str">
        <f>IF($B331="","",IF(AZ$3=0,"n.b.",INDEX(SRC_Woningetalage!$A$1:$ZZ$501,$A331,AZ$3)))</f>
        <v/>
      </c>
      <c r="BA331" s="124" t="str">
        <f>IF($B331="","",IF(BA$3=0,"n.b.",INDEX(SRC_Woningetalage!$A$1:$ZZ$501,$A331,BA$3)))</f>
        <v/>
      </c>
      <c r="BB331" s="124" t="str">
        <f>IF($B331="","",IF(BB$3=0,"n.b.",INDEX(SRC_Woningetalage!$A$1:$ZZ$501,$A331,BB$3)))</f>
        <v/>
      </c>
      <c r="BC331" s="124" t="str">
        <f>IF($B331="","",IFERROR(_xlfn.NUMBERVALUE(E331&amp;"",",","."),"n.b."))</f>
        <v/>
      </c>
      <c r="BD331" s="124" t="str">
        <f>IF($B331="","",IFERROR(_xlfn.NUMBERVALUE(M331&amp;"",",","."),"n.b."))</f>
        <v/>
      </c>
      <c r="BE331" s="124" t="str">
        <f>IF($B331="","",IFERROR(AB331+AC331+AD331,"n.b."))</f>
        <v/>
      </c>
      <c r="BF331" s="124" t="str">
        <f>IF($B331="","",IFERROR(AE331+AF331+AG331,"n.b."))</f>
        <v/>
      </c>
      <c r="BG331" s="124" t="str">
        <f>IF($B331="","",IFERROR(AH331+AI331+AJ331,"n.b."))</f>
        <v/>
      </c>
      <c r="BH331" s="124" t="str">
        <f>IF($B331="","",IFERROR(AK331+AL331+AM331,"n.b."))</f>
        <v/>
      </c>
      <c r="BI331" s="124" t="str">
        <f>IF($B331="","",IFERROR(SUMIF($AB$5:$AM$5,"&lt;="&amp;P_PeilMaand,AB331:AM331),"n.b."))</f>
        <v/>
      </c>
      <c r="BJ331" s="124" t="str">
        <f>IF($B331="","",IFERROR(SUM(AB331:AM331)-BI331,"n.b."))</f>
        <v/>
      </c>
      <c r="BK331" s="124" t="str">
        <f>IF($B331="","",IFERROR(IF(ABS(Q331-(T331+SUM(AB331:AM331)+AS331+AU331))&gt;P_Tol,1,0),1))</f>
        <v/>
      </c>
      <c r="BL331" s="124" t="str">
        <f>IF($B331="","",IFERROR(IF(ABS(AA331-(Q331-Z331))&gt;P_Tol,1,0),1))</f>
        <v/>
      </c>
      <c r="BM331" s="124" t="str">
        <f>IF($B331="","",IFERROR(IF(ABS(Z331-(T331+W331))&gt;P_Tol,1,0),1))</f>
        <v/>
      </c>
      <c r="BN331" s="124" t="str">
        <f>IF($B331="","",IFERROR(IF(ABS(W331-BI331)&gt;P_Tol,1,0),1))</f>
        <v/>
      </c>
      <c r="BO331" s="124" t="str">
        <f>IF($B331="","",IFERROR(IF(OR(ABS(R331+S331-T331)&gt;P_Tol,ABS(U331+V331-W331)&gt;P_Tol,ABS(X331+Y331-Z331)&gt;P_Tol),1,0),1))</f>
        <v/>
      </c>
      <c r="BP331" s="124" t="str">
        <f>IF($B331="","",IFERROR(IF(OR(ABS(AR331-SUM(AB331:AM331))&gt;P_Tol,ABS(AS331-(AN331+AO331+AP331+AQ331))&gt;P_Tol),1,0),1))</f>
        <v/>
      </c>
      <c r="BQ331" s="124" t="str">
        <f>IF($B331="","",IFERROR(IF(ABS(AT331)+ABS(AV331)+ABS(AW331)+ABS(AX331)+ABS(AY331)+ABS(AZ331)+ABS(BA331)+ABS(BB331)&gt;0,1,0),1))</f>
        <v/>
      </c>
      <c r="BR331" s="124" t="str">
        <f>IF($B331="","",COUNTIF(STG_ZPMW03!$B$6:$B$505,B331))</f>
        <v/>
      </c>
      <c r="BS331" s="124" t="str">
        <f>IF($B331="","",COUNTIF($B$6:$B$505,B331))</f>
        <v/>
      </c>
      <c r="BT331" s="124" t="str">
        <f>IF($B331="","",IF(BR331=0,0,IF(INDEX(STG_ZPMW03!$I$6:$I$505,MATCH(B331,STG_ZPMW03!$B$6:$B$505,0))=J331&amp;"",0,1)))</f>
        <v/>
      </c>
      <c r="BU331" s="124" t="str">
        <f>IF($B331="","",IFERROR(IF(ABS(INDEX(Mapping!$D$5:$D$104,MATCH(B331,Mapping!$A$5:$A$104,0))-Q331)&gt;P_Tol,1,0),0))</f>
        <v/>
      </c>
      <c r="BV331" s="124" t="str">
        <f>IF($B331="","",IFERROR(IF(AND(INDEX(Mapping!$G$5:$G$104,MATCH(B331,Mapping!$A$5:$A$104,0))="Nee",ABS(Q331)+ABS(Z331)+ABS(AR331)&gt;0),1,0),0))</f>
        <v/>
      </c>
      <c r="BW331" s="124" t="str">
        <f>IF($B331="","",IF(COUNTIF(Mapping!$A$5:$A$104,B331)&gt;0,1,0))</f>
        <v/>
      </c>
      <c r="BX331" s="124" t="str">
        <f>IF($B331="","",IF(BR331=0,COUNTIF($BR$6:BR331,0),""))</f>
        <v/>
      </c>
    </row>
    <row r="332">
      <c r="A332" s="15" t="n">
        <v>328</v>
      </c>
      <c r="B332" t="str">
        <f>IF(B$3=0,"",IF(INDEX(SRC_Woningetalage!$A$1:$ZZ$501,$A332,B$3)&amp;""="","",INDEX(SRC_Woningetalage!$A$1:$ZZ$501,$A332,B$3)&amp;""))</f>
        <v/>
      </c>
      <c r="C332" t="str">
        <f>IF($B332="","",IF(C$3=0,"n.b.",INDEX(SRC_Woningetalage!$A$1:$ZZ$501,$A332,C$3)))</f>
        <v/>
      </c>
      <c r="D332" t="str">
        <f>IF($B332="","",IF(D$3=0,"n.b.",INDEX(SRC_Woningetalage!$A$1:$ZZ$501,$A332,D$3)))</f>
        <v/>
      </c>
      <c r="E332" t="str">
        <f>IF($B332="","",IF(E$3=0,"n.b.",INDEX(SRC_Woningetalage!$A$1:$ZZ$501,$A332,E$3)))</f>
        <v/>
      </c>
      <c r="F332" t="str">
        <f>IF($B332="","",IF(F$3=0,"n.b.",INDEX(SRC_Woningetalage!$A$1:$ZZ$501,$A332,F$3)))</f>
        <v/>
      </c>
      <c r="G332" t="str">
        <f>IF($B332="","",IF(G$3=0,"n.b.",INDEX(SRC_Woningetalage!$A$1:$ZZ$501,$A332,G$3)))</f>
        <v/>
      </c>
      <c r="H332" t="str">
        <f>IF($B332="","",IF(H$3=0,"n.b.",INDEX(SRC_Woningetalage!$A$1:$ZZ$501,$A332,H$3)))</f>
        <v/>
      </c>
      <c r="I332" t="str">
        <f>IF($B332="","",IF(I$3=0,"n.b.",INDEX(SRC_Woningetalage!$A$1:$ZZ$501,$A332,I$3)))</f>
        <v/>
      </c>
      <c r="J332" t="str">
        <f>IF($B332="","",IF(J$3=0,"n.b.",INDEX(SRC_Woningetalage!$A$1:$ZZ$501,$A332,J$3)))</f>
        <v/>
      </c>
      <c r="K332" t="str">
        <f>IF($B332="","",IF(K$3=0,"n.b.",INDEX(SRC_Woningetalage!$A$1:$ZZ$501,$A332,K$3)))</f>
        <v/>
      </c>
      <c r="L332" t="str">
        <f>IF($B332="","",IF(L$3=0,"n.b.",INDEX(SRC_Woningetalage!$A$1:$ZZ$501,$A332,L$3)))</f>
        <v/>
      </c>
      <c r="M332" t="str">
        <f>IF($B332="","",IF(M$3=0,"n.b.",INDEX(SRC_Woningetalage!$A$1:$ZZ$501,$A332,M$3)))</f>
        <v/>
      </c>
      <c r="N332" t="str">
        <f>IF($B332="","",IF(N$3=0,"n.b.",INDEX(SRC_Woningetalage!$A$1:$ZZ$501,$A332,N$3)))</f>
        <v/>
      </c>
      <c r="O332" t="str">
        <f>IF($B332="","",IF(O$3=0,"n.b.",INDEX(SRC_Woningetalage!$A$1:$ZZ$501,$A332,O$3)))</f>
        <v/>
      </c>
      <c r="P332" t="str">
        <f>IF($B332="","",IF(P$3=0,"n.b.",INDEX(SRC_Woningetalage!$A$1:$ZZ$501,$A332,P$3)))</f>
        <v/>
      </c>
      <c r="Q332" s="124" t="str">
        <f>IF($B332="","",IF(Q$3=0,"n.b.",INDEX(SRC_Woningetalage!$A$1:$ZZ$501,$A332,Q$3)))</f>
        <v/>
      </c>
      <c r="R332" s="124" t="str">
        <f>IF($B332="","",IF(R$3=0,"n.b.",INDEX(SRC_Woningetalage!$A$1:$ZZ$501,$A332,R$3)))</f>
        <v/>
      </c>
      <c r="S332" s="124" t="str">
        <f>IF($B332="","",IF(S$3=0,"n.b.",INDEX(SRC_Woningetalage!$A$1:$ZZ$501,$A332,S$3)))</f>
        <v/>
      </c>
      <c r="T332" s="124" t="str">
        <f>IF($B332="","",IF(T$3=0,"n.b.",INDEX(SRC_Woningetalage!$A$1:$ZZ$501,$A332,T$3)))</f>
        <v/>
      </c>
      <c r="U332" s="124" t="str">
        <f>IF($B332="","",IF(U$3=0,"n.b.",INDEX(SRC_Woningetalage!$A$1:$ZZ$501,$A332,U$3)))</f>
        <v/>
      </c>
      <c r="V332" s="124" t="str">
        <f>IF($B332="","",IF(V$3=0,"n.b.",INDEX(SRC_Woningetalage!$A$1:$ZZ$501,$A332,V$3)))</f>
        <v/>
      </c>
      <c r="W332" s="124" t="str">
        <f>IF($B332="","",IF(W$3=0,"n.b.",INDEX(SRC_Woningetalage!$A$1:$ZZ$501,$A332,W$3)))</f>
        <v/>
      </c>
      <c r="X332" s="124" t="str">
        <f>IF($B332="","",IF(X$3=0,"n.b.",INDEX(SRC_Woningetalage!$A$1:$ZZ$501,$A332,X$3)))</f>
        <v/>
      </c>
      <c r="Y332" s="124" t="str">
        <f>IF($B332="","",IF(Y$3=0,"n.b.",INDEX(SRC_Woningetalage!$A$1:$ZZ$501,$A332,Y$3)))</f>
        <v/>
      </c>
      <c r="Z332" s="124" t="str">
        <f>IF($B332="","",IF(Z$3=0,"n.b.",INDEX(SRC_Woningetalage!$A$1:$ZZ$501,$A332,Z$3)))</f>
        <v/>
      </c>
      <c r="AA332" s="124" t="str">
        <f>IF($B332="","",IF(AA$3=0,"n.b.",INDEX(SRC_Woningetalage!$A$1:$ZZ$501,$A332,AA$3)))</f>
        <v/>
      </c>
      <c r="AB332" s="124" t="str">
        <f>IF($B332="","",IF(AB$3=0,"n.b.",INDEX(SRC_Woningetalage!$A$1:$ZZ$501,$A332,AB$3)))</f>
        <v/>
      </c>
      <c r="AC332" s="124" t="str">
        <f>IF($B332="","",IF(AC$3=0,"n.b.",INDEX(SRC_Woningetalage!$A$1:$ZZ$501,$A332,AC$3)))</f>
        <v/>
      </c>
      <c r="AD332" s="124" t="str">
        <f>IF($B332="","",IF(AD$3=0,"n.b.",INDEX(SRC_Woningetalage!$A$1:$ZZ$501,$A332,AD$3)))</f>
        <v/>
      </c>
      <c r="AE332" s="124" t="str">
        <f>IF($B332="","",IF(AE$3=0,"n.b.",INDEX(SRC_Woningetalage!$A$1:$ZZ$501,$A332,AE$3)))</f>
        <v/>
      </c>
      <c r="AF332" s="124" t="str">
        <f>IF($B332="","",IF(AF$3=0,"n.b.",INDEX(SRC_Woningetalage!$A$1:$ZZ$501,$A332,AF$3)))</f>
        <v/>
      </c>
      <c r="AG332" s="124" t="str">
        <f>IF($B332="","",IF(AG$3=0,"n.b.",INDEX(SRC_Woningetalage!$A$1:$ZZ$501,$A332,AG$3)))</f>
        <v/>
      </c>
      <c r="AH332" s="124" t="str">
        <f>IF($B332="","",IF(AH$3=0,"n.b.",INDEX(SRC_Woningetalage!$A$1:$ZZ$501,$A332,AH$3)))</f>
        <v/>
      </c>
      <c r="AI332" s="124" t="str">
        <f>IF($B332="","",IF(AI$3=0,"n.b.",INDEX(SRC_Woningetalage!$A$1:$ZZ$501,$A332,AI$3)))</f>
        <v/>
      </c>
      <c r="AJ332" s="124" t="str">
        <f>IF($B332="","",IF(AJ$3=0,"n.b.",INDEX(SRC_Woningetalage!$A$1:$ZZ$501,$A332,AJ$3)))</f>
        <v/>
      </c>
      <c r="AK332" s="124" t="str">
        <f>IF($B332="","",IF(AK$3=0,"n.b.",INDEX(SRC_Woningetalage!$A$1:$ZZ$501,$A332,AK$3)))</f>
        <v/>
      </c>
      <c r="AL332" s="124" t="str">
        <f>IF($B332="","",IF(AL$3=0,"n.b.",INDEX(SRC_Woningetalage!$A$1:$ZZ$501,$A332,AL$3)))</f>
        <v/>
      </c>
      <c r="AM332" s="124" t="str">
        <f>IF($B332="","",IF(AM$3=0,"n.b.",INDEX(SRC_Woningetalage!$A$1:$ZZ$501,$A332,AM$3)))</f>
        <v/>
      </c>
      <c r="AN332" s="124" t="str">
        <f>IF($B332="","",IF(AN$3=0,"n.b.",INDEX(SRC_Woningetalage!$A$1:$ZZ$501,$A332,AN$3)))</f>
        <v/>
      </c>
      <c r="AO332" s="124" t="str">
        <f>IF($B332="","",IF(AO$3=0,"n.b.",INDEX(SRC_Woningetalage!$A$1:$ZZ$501,$A332,AO$3)))</f>
        <v/>
      </c>
      <c r="AP332" s="124" t="str">
        <f>IF($B332="","",IF(AP$3=0,"n.b.",INDEX(SRC_Woningetalage!$A$1:$ZZ$501,$A332,AP$3)))</f>
        <v/>
      </c>
      <c r="AQ332" s="124" t="str">
        <f>IF($B332="","",IF(AQ$3=0,"n.b.",INDEX(SRC_Woningetalage!$A$1:$ZZ$501,$A332,AQ$3)))</f>
        <v/>
      </c>
      <c r="AR332" s="124" t="str">
        <f>IF($B332="","",IF(AR$3=0,"n.b.",INDEX(SRC_Woningetalage!$A$1:$ZZ$501,$A332,AR$3)))</f>
        <v/>
      </c>
      <c r="AS332" s="124" t="str">
        <f>IF($B332="","",IF(AS$3=0,"n.b.",INDEX(SRC_Woningetalage!$A$1:$ZZ$501,$A332,AS$3)))</f>
        <v/>
      </c>
      <c r="AT332" s="124" t="str">
        <f>IF($B332="","",IF(AT$3=0,"n.b.",INDEX(SRC_Woningetalage!$A$1:$ZZ$501,$A332,AT$3)))</f>
        <v/>
      </c>
      <c r="AU332" s="124" t="str">
        <f>IF($B332="","",IF(AU$3=0,"n.b.",INDEX(SRC_Woningetalage!$A$1:$ZZ$501,$A332,AU$3)))</f>
        <v/>
      </c>
      <c r="AV332" s="124" t="str">
        <f>IF($B332="","",IF(AV$3=0,"n.b.",INDEX(SRC_Woningetalage!$A$1:$ZZ$501,$A332,AV$3)))</f>
        <v/>
      </c>
      <c r="AW332" s="124" t="str">
        <f>IF($B332="","",IF(AW$3=0,"n.b.",INDEX(SRC_Woningetalage!$A$1:$ZZ$501,$A332,AW$3)))</f>
        <v/>
      </c>
      <c r="AX332" s="124" t="str">
        <f>IF($B332="","",IF(AX$3=0,"n.b.",INDEX(SRC_Woningetalage!$A$1:$ZZ$501,$A332,AX$3)))</f>
        <v/>
      </c>
      <c r="AY332" s="124" t="str">
        <f>IF($B332="","",IF(AY$3=0,"n.b.",INDEX(SRC_Woningetalage!$A$1:$ZZ$501,$A332,AY$3)))</f>
        <v/>
      </c>
      <c r="AZ332" s="124" t="str">
        <f>IF($B332="","",IF(AZ$3=0,"n.b.",INDEX(SRC_Woningetalage!$A$1:$ZZ$501,$A332,AZ$3)))</f>
        <v/>
      </c>
      <c r="BA332" s="124" t="str">
        <f>IF($B332="","",IF(BA$3=0,"n.b.",INDEX(SRC_Woningetalage!$A$1:$ZZ$501,$A332,BA$3)))</f>
        <v/>
      </c>
      <c r="BB332" s="124" t="str">
        <f>IF($B332="","",IF(BB$3=0,"n.b.",INDEX(SRC_Woningetalage!$A$1:$ZZ$501,$A332,BB$3)))</f>
        <v/>
      </c>
      <c r="BC332" s="124" t="str">
        <f>IF($B332="","",IFERROR(_xlfn.NUMBERVALUE(E332&amp;"",",","."),"n.b."))</f>
        <v/>
      </c>
      <c r="BD332" s="124" t="str">
        <f>IF($B332="","",IFERROR(_xlfn.NUMBERVALUE(M332&amp;"",",","."),"n.b."))</f>
        <v/>
      </c>
      <c r="BE332" s="124" t="str">
        <f>IF($B332="","",IFERROR(AB332+AC332+AD332,"n.b."))</f>
        <v/>
      </c>
      <c r="BF332" s="124" t="str">
        <f>IF($B332="","",IFERROR(AE332+AF332+AG332,"n.b."))</f>
        <v/>
      </c>
      <c r="BG332" s="124" t="str">
        <f>IF($B332="","",IFERROR(AH332+AI332+AJ332,"n.b."))</f>
        <v/>
      </c>
      <c r="BH332" s="124" t="str">
        <f>IF($B332="","",IFERROR(AK332+AL332+AM332,"n.b."))</f>
        <v/>
      </c>
      <c r="BI332" s="124" t="str">
        <f>IF($B332="","",IFERROR(SUMIF($AB$5:$AM$5,"&lt;="&amp;P_PeilMaand,AB332:AM332),"n.b."))</f>
        <v/>
      </c>
      <c r="BJ332" s="124" t="str">
        <f>IF($B332="","",IFERROR(SUM(AB332:AM332)-BI332,"n.b."))</f>
        <v/>
      </c>
      <c r="BK332" s="124" t="str">
        <f>IF($B332="","",IFERROR(IF(ABS(Q332-(T332+SUM(AB332:AM332)+AS332+AU332))&gt;P_Tol,1,0),1))</f>
        <v/>
      </c>
      <c r="BL332" s="124" t="str">
        <f>IF($B332="","",IFERROR(IF(ABS(AA332-(Q332-Z332))&gt;P_Tol,1,0),1))</f>
        <v/>
      </c>
      <c r="BM332" s="124" t="str">
        <f>IF($B332="","",IFERROR(IF(ABS(Z332-(T332+W332))&gt;P_Tol,1,0),1))</f>
        <v/>
      </c>
      <c r="BN332" s="124" t="str">
        <f>IF($B332="","",IFERROR(IF(ABS(W332-BI332)&gt;P_Tol,1,0),1))</f>
        <v/>
      </c>
      <c r="BO332" s="124" t="str">
        <f>IF($B332="","",IFERROR(IF(OR(ABS(R332+S332-T332)&gt;P_Tol,ABS(U332+V332-W332)&gt;P_Tol,ABS(X332+Y332-Z332)&gt;P_Tol),1,0),1))</f>
        <v/>
      </c>
      <c r="BP332" s="124" t="str">
        <f>IF($B332="","",IFERROR(IF(OR(ABS(AR332-SUM(AB332:AM332))&gt;P_Tol,ABS(AS332-(AN332+AO332+AP332+AQ332))&gt;P_Tol),1,0),1))</f>
        <v/>
      </c>
      <c r="BQ332" s="124" t="str">
        <f>IF($B332="","",IFERROR(IF(ABS(AT332)+ABS(AV332)+ABS(AW332)+ABS(AX332)+ABS(AY332)+ABS(AZ332)+ABS(BA332)+ABS(BB332)&gt;0,1,0),1))</f>
        <v/>
      </c>
      <c r="BR332" s="124" t="str">
        <f>IF($B332="","",COUNTIF(STG_ZPMW03!$B$6:$B$505,B332))</f>
        <v/>
      </c>
      <c r="BS332" s="124" t="str">
        <f>IF($B332="","",COUNTIF($B$6:$B$505,B332))</f>
        <v/>
      </c>
      <c r="BT332" s="124" t="str">
        <f>IF($B332="","",IF(BR332=0,0,IF(INDEX(STG_ZPMW03!$I$6:$I$505,MATCH(B332,STG_ZPMW03!$B$6:$B$505,0))=J332&amp;"",0,1)))</f>
        <v/>
      </c>
      <c r="BU332" s="124" t="str">
        <f>IF($B332="","",IFERROR(IF(ABS(INDEX(Mapping!$D$5:$D$104,MATCH(B332,Mapping!$A$5:$A$104,0))-Q332)&gt;P_Tol,1,0),0))</f>
        <v/>
      </c>
      <c r="BV332" s="124" t="str">
        <f>IF($B332="","",IFERROR(IF(AND(INDEX(Mapping!$G$5:$G$104,MATCH(B332,Mapping!$A$5:$A$104,0))="Nee",ABS(Q332)+ABS(Z332)+ABS(AR332)&gt;0),1,0),0))</f>
        <v/>
      </c>
      <c r="BW332" s="124" t="str">
        <f>IF($B332="","",IF(COUNTIF(Mapping!$A$5:$A$104,B332)&gt;0,1,0))</f>
        <v/>
      </c>
      <c r="BX332" s="124" t="str">
        <f>IF($B332="","",IF(BR332=0,COUNTIF($BR$6:BR332,0),""))</f>
        <v/>
      </c>
    </row>
    <row r="333">
      <c r="A333" s="15" t="n">
        <v>329</v>
      </c>
      <c r="B333" t="str">
        <f>IF(B$3=0,"",IF(INDEX(SRC_Woningetalage!$A$1:$ZZ$501,$A333,B$3)&amp;""="","",INDEX(SRC_Woningetalage!$A$1:$ZZ$501,$A333,B$3)&amp;""))</f>
        <v/>
      </c>
      <c r="C333" t="str">
        <f>IF($B333="","",IF(C$3=0,"n.b.",INDEX(SRC_Woningetalage!$A$1:$ZZ$501,$A333,C$3)))</f>
        <v/>
      </c>
      <c r="D333" t="str">
        <f>IF($B333="","",IF(D$3=0,"n.b.",INDEX(SRC_Woningetalage!$A$1:$ZZ$501,$A333,D$3)))</f>
        <v/>
      </c>
      <c r="E333" t="str">
        <f>IF($B333="","",IF(E$3=0,"n.b.",INDEX(SRC_Woningetalage!$A$1:$ZZ$501,$A333,E$3)))</f>
        <v/>
      </c>
      <c r="F333" t="str">
        <f>IF($B333="","",IF(F$3=0,"n.b.",INDEX(SRC_Woningetalage!$A$1:$ZZ$501,$A333,F$3)))</f>
        <v/>
      </c>
      <c r="G333" t="str">
        <f>IF($B333="","",IF(G$3=0,"n.b.",INDEX(SRC_Woningetalage!$A$1:$ZZ$501,$A333,G$3)))</f>
        <v/>
      </c>
      <c r="H333" t="str">
        <f>IF($B333="","",IF(H$3=0,"n.b.",INDEX(SRC_Woningetalage!$A$1:$ZZ$501,$A333,H$3)))</f>
        <v/>
      </c>
      <c r="I333" t="str">
        <f>IF($B333="","",IF(I$3=0,"n.b.",INDEX(SRC_Woningetalage!$A$1:$ZZ$501,$A333,I$3)))</f>
        <v/>
      </c>
      <c r="J333" t="str">
        <f>IF($B333="","",IF(J$3=0,"n.b.",INDEX(SRC_Woningetalage!$A$1:$ZZ$501,$A333,J$3)))</f>
        <v/>
      </c>
      <c r="K333" t="str">
        <f>IF($B333="","",IF(K$3=0,"n.b.",INDEX(SRC_Woningetalage!$A$1:$ZZ$501,$A333,K$3)))</f>
        <v/>
      </c>
      <c r="L333" t="str">
        <f>IF($B333="","",IF(L$3=0,"n.b.",INDEX(SRC_Woningetalage!$A$1:$ZZ$501,$A333,L$3)))</f>
        <v/>
      </c>
      <c r="M333" t="str">
        <f>IF($B333="","",IF(M$3=0,"n.b.",INDEX(SRC_Woningetalage!$A$1:$ZZ$501,$A333,M$3)))</f>
        <v/>
      </c>
      <c r="N333" t="str">
        <f>IF($B333="","",IF(N$3=0,"n.b.",INDEX(SRC_Woningetalage!$A$1:$ZZ$501,$A333,N$3)))</f>
        <v/>
      </c>
      <c r="O333" t="str">
        <f>IF($B333="","",IF(O$3=0,"n.b.",INDEX(SRC_Woningetalage!$A$1:$ZZ$501,$A333,O$3)))</f>
        <v/>
      </c>
      <c r="P333" t="str">
        <f>IF($B333="","",IF(P$3=0,"n.b.",INDEX(SRC_Woningetalage!$A$1:$ZZ$501,$A333,P$3)))</f>
        <v/>
      </c>
      <c r="Q333" s="124" t="str">
        <f>IF($B333="","",IF(Q$3=0,"n.b.",INDEX(SRC_Woningetalage!$A$1:$ZZ$501,$A333,Q$3)))</f>
        <v/>
      </c>
      <c r="R333" s="124" t="str">
        <f>IF($B333="","",IF(R$3=0,"n.b.",INDEX(SRC_Woningetalage!$A$1:$ZZ$501,$A333,R$3)))</f>
        <v/>
      </c>
      <c r="S333" s="124" t="str">
        <f>IF($B333="","",IF(S$3=0,"n.b.",INDEX(SRC_Woningetalage!$A$1:$ZZ$501,$A333,S$3)))</f>
        <v/>
      </c>
      <c r="T333" s="124" t="str">
        <f>IF($B333="","",IF(T$3=0,"n.b.",INDEX(SRC_Woningetalage!$A$1:$ZZ$501,$A333,T$3)))</f>
        <v/>
      </c>
      <c r="U333" s="124" t="str">
        <f>IF($B333="","",IF(U$3=0,"n.b.",INDEX(SRC_Woningetalage!$A$1:$ZZ$501,$A333,U$3)))</f>
        <v/>
      </c>
      <c r="V333" s="124" t="str">
        <f>IF($B333="","",IF(V$3=0,"n.b.",INDEX(SRC_Woningetalage!$A$1:$ZZ$501,$A333,V$3)))</f>
        <v/>
      </c>
      <c r="W333" s="124" t="str">
        <f>IF($B333="","",IF(W$3=0,"n.b.",INDEX(SRC_Woningetalage!$A$1:$ZZ$501,$A333,W$3)))</f>
        <v/>
      </c>
      <c r="X333" s="124" t="str">
        <f>IF($B333="","",IF(X$3=0,"n.b.",INDEX(SRC_Woningetalage!$A$1:$ZZ$501,$A333,X$3)))</f>
        <v/>
      </c>
      <c r="Y333" s="124" t="str">
        <f>IF($B333="","",IF(Y$3=0,"n.b.",INDEX(SRC_Woningetalage!$A$1:$ZZ$501,$A333,Y$3)))</f>
        <v/>
      </c>
      <c r="Z333" s="124" t="str">
        <f>IF($B333="","",IF(Z$3=0,"n.b.",INDEX(SRC_Woningetalage!$A$1:$ZZ$501,$A333,Z$3)))</f>
        <v/>
      </c>
      <c r="AA333" s="124" t="str">
        <f>IF($B333="","",IF(AA$3=0,"n.b.",INDEX(SRC_Woningetalage!$A$1:$ZZ$501,$A333,AA$3)))</f>
        <v/>
      </c>
      <c r="AB333" s="124" t="str">
        <f>IF($B333="","",IF(AB$3=0,"n.b.",INDEX(SRC_Woningetalage!$A$1:$ZZ$501,$A333,AB$3)))</f>
        <v/>
      </c>
      <c r="AC333" s="124" t="str">
        <f>IF($B333="","",IF(AC$3=0,"n.b.",INDEX(SRC_Woningetalage!$A$1:$ZZ$501,$A333,AC$3)))</f>
        <v/>
      </c>
      <c r="AD333" s="124" t="str">
        <f>IF($B333="","",IF(AD$3=0,"n.b.",INDEX(SRC_Woningetalage!$A$1:$ZZ$501,$A333,AD$3)))</f>
        <v/>
      </c>
      <c r="AE333" s="124" t="str">
        <f>IF($B333="","",IF(AE$3=0,"n.b.",INDEX(SRC_Woningetalage!$A$1:$ZZ$501,$A333,AE$3)))</f>
        <v/>
      </c>
      <c r="AF333" s="124" t="str">
        <f>IF($B333="","",IF(AF$3=0,"n.b.",INDEX(SRC_Woningetalage!$A$1:$ZZ$501,$A333,AF$3)))</f>
        <v/>
      </c>
      <c r="AG333" s="124" t="str">
        <f>IF($B333="","",IF(AG$3=0,"n.b.",INDEX(SRC_Woningetalage!$A$1:$ZZ$501,$A333,AG$3)))</f>
        <v/>
      </c>
      <c r="AH333" s="124" t="str">
        <f>IF($B333="","",IF(AH$3=0,"n.b.",INDEX(SRC_Woningetalage!$A$1:$ZZ$501,$A333,AH$3)))</f>
        <v/>
      </c>
      <c r="AI333" s="124" t="str">
        <f>IF($B333="","",IF(AI$3=0,"n.b.",INDEX(SRC_Woningetalage!$A$1:$ZZ$501,$A333,AI$3)))</f>
        <v/>
      </c>
      <c r="AJ333" s="124" t="str">
        <f>IF($B333="","",IF(AJ$3=0,"n.b.",INDEX(SRC_Woningetalage!$A$1:$ZZ$501,$A333,AJ$3)))</f>
        <v/>
      </c>
      <c r="AK333" s="124" t="str">
        <f>IF($B333="","",IF(AK$3=0,"n.b.",INDEX(SRC_Woningetalage!$A$1:$ZZ$501,$A333,AK$3)))</f>
        <v/>
      </c>
      <c r="AL333" s="124" t="str">
        <f>IF($B333="","",IF(AL$3=0,"n.b.",INDEX(SRC_Woningetalage!$A$1:$ZZ$501,$A333,AL$3)))</f>
        <v/>
      </c>
      <c r="AM333" s="124" t="str">
        <f>IF($B333="","",IF(AM$3=0,"n.b.",INDEX(SRC_Woningetalage!$A$1:$ZZ$501,$A333,AM$3)))</f>
        <v/>
      </c>
      <c r="AN333" s="124" t="str">
        <f>IF($B333="","",IF(AN$3=0,"n.b.",INDEX(SRC_Woningetalage!$A$1:$ZZ$501,$A333,AN$3)))</f>
        <v/>
      </c>
      <c r="AO333" s="124" t="str">
        <f>IF($B333="","",IF(AO$3=0,"n.b.",INDEX(SRC_Woningetalage!$A$1:$ZZ$501,$A333,AO$3)))</f>
        <v/>
      </c>
      <c r="AP333" s="124" t="str">
        <f>IF($B333="","",IF(AP$3=0,"n.b.",INDEX(SRC_Woningetalage!$A$1:$ZZ$501,$A333,AP$3)))</f>
        <v/>
      </c>
      <c r="AQ333" s="124" t="str">
        <f>IF($B333="","",IF(AQ$3=0,"n.b.",INDEX(SRC_Woningetalage!$A$1:$ZZ$501,$A333,AQ$3)))</f>
        <v/>
      </c>
      <c r="AR333" s="124" t="str">
        <f>IF($B333="","",IF(AR$3=0,"n.b.",INDEX(SRC_Woningetalage!$A$1:$ZZ$501,$A333,AR$3)))</f>
        <v/>
      </c>
      <c r="AS333" s="124" t="str">
        <f>IF($B333="","",IF(AS$3=0,"n.b.",INDEX(SRC_Woningetalage!$A$1:$ZZ$501,$A333,AS$3)))</f>
        <v/>
      </c>
      <c r="AT333" s="124" t="str">
        <f>IF($B333="","",IF(AT$3=0,"n.b.",INDEX(SRC_Woningetalage!$A$1:$ZZ$501,$A333,AT$3)))</f>
        <v/>
      </c>
      <c r="AU333" s="124" t="str">
        <f>IF($B333="","",IF(AU$3=0,"n.b.",INDEX(SRC_Woningetalage!$A$1:$ZZ$501,$A333,AU$3)))</f>
        <v/>
      </c>
      <c r="AV333" s="124" t="str">
        <f>IF($B333="","",IF(AV$3=0,"n.b.",INDEX(SRC_Woningetalage!$A$1:$ZZ$501,$A333,AV$3)))</f>
        <v/>
      </c>
      <c r="AW333" s="124" t="str">
        <f>IF($B333="","",IF(AW$3=0,"n.b.",INDEX(SRC_Woningetalage!$A$1:$ZZ$501,$A333,AW$3)))</f>
        <v/>
      </c>
      <c r="AX333" s="124" t="str">
        <f>IF($B333="","",IF(AX$3=0,"n.b.",INDEX(SRC_Woningetalage!$A$1:$ZZ$501,$A333,AX$3)))</f>
        <v/>
      </c>
      <c r="AY333" s="124" t="str">
        <f>IF($B333="","",IF(AY$3=0,"n.b.",INDEX(SRC_Woningetalage!$A$1:$ZZ$501,$A333,AY$3)))</f>
        <v/>
      </c>
      <c r="AZ333" s="124" t="str">
        <f>IF($B333="","",IF(AZ$3=0,"n.b.",INDEX(SRC_Woningetalage!$A$1:$ZZ$501,$A333,AZ$3)))</f>
        <v/>
      </c>
      <c r="BA333" s="124" t="str">
        <f>IF($B333="","",IF(BA$3=0,"n.b.",INDEX(SRC_Woningetalage!$A$1:$ZZ$501,$A333,BA$3)))</f>
        <v/>
      </c>
      <c r="BB333" s="124" t="str">
        <f>IF($B333="","",IF(BB$3=0,"n.b.",INDEX(SRC_Woningetalage!$A$1:$ZZ$501,$A333,BB$3)))</f>
        <v/>
      </c>
      <c r="BC333" s="124" t="str">
        <f>IF($B333="","",IFERROR(_xlfn.NUMBERVALUE(E333&amp;"",",","."),"n.b."))</f>
        <v/>
      </c>
      <c r="BD333" s="124" t="str">
        <f>IF($B333="","",IFERROR(_xlfn.NUMBERVALUE(M333&amp;"",",","."),"n.b."))</f>
        <v/>
      </c>
      <c r="BE333" s="124" t="str">
        <f>IF($B333="","",IFERROR(AB333+AC333+AD333,"n.b."))</f>
        <v/>
      </c>
      <c r="BF333" s="124" t="str">
        <f>IF($B333="","",IFERROR(AE333+AF333+AG333,"n.b."))</f>
        <v/>
      </c>
      <c r="BG333" s="124" t="str">
        <f>IF($B333="","",IFERROR(AH333+AI333+AJ333,"n.b."))</f>
        <v/>
      </c>
      <c r="BH333" s="124" t="str">
        <f>IF($B333="","",IFERROR(AK333+AL333+AM333,"n.b."))</f>
        <v/>
      </c>
      <c r="BI333" s="124" t="str">
        <f>IF($B333="","",IFERROR(SUMIF($AB$5:$AM$5,"&lt;="&amp;P_PeilMaand,AB333:AM333),"n.b."))</f>
        <v/>
      </c>
      <c r="BJ333" s="124" t="str">
        <f>IF($B333="","",IFERROR(SUM(AB333:AM333)-BI333,"n.b."))</f>
        <v/>
      </c>
      <c r="BK333" s="124" t="str">
        <f>IF($B333="","",IFERROR(IF(ABS(Q333-(T333+SUM(AB333:AM333)+AS333+AU333))&gt;P_Tol,1,0),1))</f>
        <v/>
      </c>
      <c r="BL333" s="124" t="str">
        <f>IF($B333="","",IFERROR(IF(ABS(AA333-(Q333-Z333))&gt;P_Tol,1,0),1))</f>
        <v/>
      </c>
      <c r="BM333" s="124" t="str">
        <f>IF($B333="","",IFERROR(IF(ABS(Z333-(T333+W333))&gt;P_Tol,1,0),1))</f>
        <v/>
      </c>
      <c r="BN333" s="124" t="str">
        <f>IF($B333="","",IFERROR(IF(ABS(W333-BI333)&gt;P_Tol,1,0),1))</f>
        <v/>
      </c>
      <c r="BO333" s="124" t="str">
        <f>IF($B333="","",IFERROR(IF(OR(ABS(R333+S333-T333)&gt;P_Tol,ABS(U333+V333-W333)&gt;P_Tol,ABS(X333+Y333-Z333)&gt;P_Tol),1,0),1))</f>
        <v/>
      </c>
      <c r="BP333" s="124" t="str">
        <f>IF($B333="","",IFERROR(IF(OR(ABS(AR333-SUM(AB333:AM333))&gt;P_Tol,ABS(AS333-(AN333+AO333+AP333+AQ333))&gt;P_Tol),1,0),1))</f>
        <v/>
      </c>
      <c r="BQ333" s="124" t="str">
        <f>IF($B333="","",IFERROR(IF(ABS(AT333)+ABS(AV333)+ABS(AW333)+ABS(AX333)+ABS(AY333)+ABS(AZ333)+ABS(BA333)+ABS(BB333)&gt;0,1,0),1))</f>
        <v/>
      </c>
      <c r="BR333" s="124" t="str">
        <f>IF($B333="","",COUNTIF(STG_ZPMW03!$B$6:$B$505,B333))</f>
        <v/>
      </c>
      <c r="BS333" s="124" t="str">
        <f>IF($B333="","",COUNTIF($B$6:$B$505,B333))</f>
        <v/>
      </c>
      <c r="BT333" s="124" t="str">
        <f>IF($B333="","",IF(BR333=0,0,IF(INDEX(STG_ZPMW03!$I$6:$I$505,MATCH(B333,STG_ZPMW03!$B$6:$B$505,0))=J333&amp;"",0,1)))</f>
        <v/>
      </c>
      <c r="BU333" s="124" t="str">
        <f>IF($B333="","",IFERROR(IF(ABS(INDEX(Mapping!$D$5:$D$104,MATCH(B333,Mapping!$A$5:$A$104,0))-Q333)&gt;P_Tol,1,0),0))</f>
        <v/>
      </c>
      <c r="BV333" s="124" t="str">
        <f>IF($B333="","",IFERROR(IF(AND(INDEX(Mapping!$G$5:$G$104,MATCH(B333,Mapping!$A$5:$A$104,0))="Nee",ABS(Q333)+ABS(Z333)+ABS(AR333)&gt;0),1,0),0))</f>
        <v/>
      </c>
      <c r="BW333" s="124" t="str">
        <f>IF($B333="","",IF(COUNTIF(Mapping!$A$5:$A$104,B333)&gt;0,1,0))</f>
        <v/>
      </c>
      <c r="BX333" s="124" t="str">
        <f>IF($B333="","",IF(BR333=0,COUNTIF($BR$6:BR333,0),""))</f>
        <v/>
      </c>
    </row>
    <row r="334">
      <c r="A334" s="15" t="n">
        <v>330</v>
      </c>
      <c r="B334" t="str">
        <f>IF(B$3=0,"",IF(INDEX(SRC_Woningetalage!$A$1:$ZZ$501,$A334,B$3)&amp;""="","",INDEX(SRC_Woningetalage!$A$1:$ZZ$501,$A334,B$3)&amp;""))</f>
        <v/>
      </c>
      <c r="C334" t="str">
        <f>IF($B334="","",IF(C$3=0,"n.b.",INDEX(SRC_Woningetalage!$A$1:$ZZ$501,$A334,C$3)))</f>
        <v/>
      </c>
      <c r="D334" t="str">
        <f>IF($B334="","",IF(D$3=0,"n.b.",INDEX(SRC_Woningetalage!$A$1:$ZZ$501,$A334,D$3)))</f>
        <v/>
      </c>
      <c r="E334" t="str">
        <f>IF($B334="","",IF(E$3=0,"n.b.",INDEX(SRC_Woningetalage!$A$1:$ZZ$501,$A334,E$3)))</f>
        <v/>
      </c>
      <c r="F334" t="str">
        <f>IF($B334="","",IF(F$3=0,"n.b.",INDEX(SRC_Woningetalage!$A$1:$ZZ$501,$A334,F$3)))</f>
        <v/>
      </c>
      <c r="G334" t="str">
        <f>IF($B334="","",IF(G$3=0,"n.b.",INDEX(SRC_Woningetalage!$A$1:$ZZ$501,$A334,G$3)))</f>
        <v/>
      </c>
      <c r="H334" t="str">
        <f>IF($B334="","",IF(H$3=0,"n.b.",INDEX(SRC_Woningetalage!$A$1:$ZZ$501,$A334,H$3)))</f>
        <v/>
      </c>
      <c r="I334" t="str">
        <f>IF($B334="","",IF(I$3=0,"n.b.",INDEX(SRC_Woningetalage!$A$1:$ZZ$501,$A334,I$3)))</f>
        <v/>
      </c>
      <c r="J334" t="str">
        <f>IF($B334="","",IF(J$3=0,"n.b.",INDEX(SRC_Woningetalage!$A$1:$ZZ$501,$A334,J$3)))</f>
        <v/>
      </c>
      <c r="K334" t="str">
        <f>IF($B334="","",IF(K$3=0,"n.b.",INDEX(SRC_Woningetalage!$A$1:$ZZ$501,$A334,K$3)))</f>
        <v/>
      </c>
      <c r="L334" t="str">
        <f>IF($B334="","",IF(L$3=0,"n.b.",INDEX(SRC_Woningetalage!$A$1:$ZZ$501,$A334,L$3)))</f>
        <v/>
      </c>
      <c r="M334" t="str">
        <f>IF($B334="","",IF(M$3=0,"n.b.",INDEX(SRC_Woningetalage!$A$1:$ZZ$501,$A334,M$3)))</f>
        <v/>
      </c>
      <c r="N334" t="str">
        <f>IF($B334="","",IF(N$3=0,"n.b.",INDEX(SRC_Woningetalage!$A$1:$ZZ$501,$A334,N$3)))</f>
        <v/>
      </c>
      <c r="O334" t="str">
        <f>IF($B334="","",IF(O$3=0,"n.b.",INDEX(SRC_Woningetalage!$A$1:$ZZ$501,$A334,O$3)))</f>
        <v/>
      </c>
      <c r="P334" t="str">
        <f>IF($B334="","",IF(P$3=0,"n.b.",INDEX(SRC_Woningetalage!$A$1:$ZZ$501,$A334,P$3)))</f>
        <v/>
      </c>
      <c r="Q334" s="124" t="str">
        <f>IF($B334="","",IF(Q$3=0,"n.b.",INDEX(SRC_Woningetalage!$A$1:$ZZ$501,$A334,Q$3)))</f>
        <v/>
      </c>
      <c r="R334" s="124" t="str">
        <f>IF($B334="","",IF(R$3=0,"n.b.",INDEX(SRC_Woningetalage!$A$1:$ZZ$501,$A334,R$3)))</f>
        <v/>
      </c>
      <c r="S334" s="124" t="str">
        <f>IF($B334="","",IF(S$3=0,"n.b.",INDEX(SRC_Woningetalage!$A$1:$ZZ$501,$A334,S$3)))</f>
        <v/>
      </c>
      <c r="T334" s="124" t="str">
        <f>IF($B334="","",IF(T$3=0,"n.b.",INDEX(SRC_Woningetalage!$A$1:$ZZ$501,$A334,T$3)))</f>
        <v/>
      </c>
      <c r="U334" s="124" t="str">
        <f>IF($B334="","",IF(U$3=0,"n.b.",INDEX(SRC_Woningetalage!$A$1:$ZZ$501,$A334,U$3)))</f>
        <v/>
      </c>
      <c r="V334" s="124" t="str">
        <f>IF($B334="","",IF(V$3=0,"n.b.",INDEX(SRC_Woningetalage!$A$1:$ZZ$501,$A334,V$3)))</f>
        <v/>
      </c>
      <c r="W334" s="124" t="str">
        <f>IF($B334="","",IF(W$3=0,"n.b.",INDEX(SRC_Woningetalage!$A$1:$ZZ$501,$A334,W$3)))</f>
        <v/>
      </c>
      <c r="X334" s="124" t="str">
        <f>IF($B334="","",IF(X$3=0,"n.b.",INDEX(SRC_Woningetalage!$A$1:$ZZ$501,$A334,X$3)))</f>
        <v/>
      </c>
      <c r="Y334" s="124" t="str">
        <f>IF($B334="","",IF(Y$3=0,"n.b.",INDEX(SRC_Woningetalage!$A$1:$ZZ$501,$A334,Y$3)))</f>
        <v/>
      </c>
      <c r="Z334" s="124" t="str">
        <f>IF($B334="","",IF(Z$3=0,"n.b.",INDEX(SRC_Woningetalage!$A$1:$ZZ$501,$A334,Z$3)))</f>
        <v/>
      </c>
      <c r="AA334" s="124" t="str">
        <f>IF($B334="","",IF(AA$3=0,"n.b.",INDEX(SRC_Woningetalage!$A$1:$ZZ$501,$A334,AA$3)))</f>
        <v/>
      </c>
      <c r="AB334" s="124" t="str">
        <f>IF($B334="","",IF(AB$3=0,"n.b.",INDEX(SRC_Woningetalage!$A$1:$ZZ$501,$A334,AB$3)))</f>
        <v/>
      </c>
      <c r="AC334" s="124" t="str">
        <f>IF($B334="","",IF(AC$3=0,"n.b.",INDEX(SRC_Woningetalage!$A$1:$ZZ$501,$A334,AC$3)))</f>
        <v/>
      </c>
      <c r="AD334" s="124" t="str">
        <f>IF($B334="","",IF(AD$3=0,"n.b.",INDEX(SRC_Woningetalage!$A$1:$ZZ$501,$A334,AD$3)))</f>
        <v/>
      </c>
      <c r="AE334" s="124" t="str">
        <f>IF($B334="","",IF(AE$3=0,"n.b.",INDEX(SRC_Woningetalage!$A$1:$ZZ$501,$A334,AE$3)))</f>
        <v/>
      </c>
      <c r="AF334" s="124" t="str">
        <f>IF($B334="","",IF(AF$3=0,"n.b.",INDEX(SRC_Woningetalage!$A$1:$ZZ$501,$A334,AF$3)))</f>
        <v/>
      </c>
      <c r="AG334" s="124" t="str">
        <f>IF($B334="","",IF(AG$3=0,"n.b.",INDEX(SRC_Woningetalage!$A$1:$ZZ$501,$A334,AG$3)))</f>
        <v/>
      </c>
      <c r="AH334" s="124" t="str">
        <f>IF($B334="","",IF(AH$3=0,"n.b.",INDEX(SRC_Woningetalage!$A$1:$ZZ$501,$A334,AH$3)))</f>
        <v/>
      </c>
      <c r="AI334" s="124" t="str">
        <f>IF($B334="","",IF(AI$3=0,"n.b.",INDEX(SRC_Woningetalage!$A$1:$ZZ$501,$A334,AI$3)))</f>
        <v/>
      </c>
      <c r="AJ334" s="124" t="str">
        <f>IF($B334="","",IF(AJ$3=0,"n.b.",INDEX(SRC_Woningetalage!$A$1:$ZZ$501,$A334,AJ$3)))</f>
        <v/>
      </c>
      <c r="AK334" s="124" t="str">
        <f>IF($B334="","",IF(AK$3=0,"n.b.",INDEX(SRC_Woningetalage!$A$1:$ZZ$501,$A334,AK$3)))</f>
        <v/>
      </c>
      <c r="AL334" s="124" t="str">
        <f>IF($B334="","",IF(AL$3=0,"n.b.",INDEX(SRC_Woningetalage!$A$1:$ZZ$501,$A334,AL$3)))</f>
        <v/>
      </c>
      <c r="AM334" s="124" t="str">
        <f>IF($B334="","",IF(AM$3=0,"n.b.",INDEX(SRC_Woningetalage!$A$1:$ZZ$501,$A334,AM$3)))</f>
        <v/>
      </c>
      <c r="AN334" s="124" t="str">
        <f>IF($B334="","",IF(AN$3=0,"n.b.",INDEX(SRC_Woningetalage!$A$1:$ZZ$501,$A334,AN$3)))</f>
        <v/>
      </c>
      <c r="AO334" s="124" t="str">
        <f>IF($B334="","",IF(AO$3=0,"n.b.",INDEX(SRC_Woningetalage!$A$1:$ZZ$501,$A334,AO$3)))</f>
        <v/>
      </c>
      <c r="AP334" s="124" t="str">
        <f>IF($B334="","",IF(AP$3=0,"n.b.",INDEX(SRC_Woningetalage!$A$1:$ZZ$501,$A334,AP$3)))</f>
        <v/>
      </c>
      <c r="AQ334" s="124" t="str">
        <f>IF($B334="","",IF(AQ$3=0,"n.b.",INDEX(SRC_Woningetalage!$A$1:$ZZ$501,$A334,AQ$3)))</f>
        <v/>
      </c>
      <c r="AR334" s="124" t="str">
        <f>IF($B334="","",IF(AR$3=0,"n.b.",INDEX(SRC_Woningetalage!$A$1:$ZZ$501,$A334,AR$3)))</f>
        <v/>
      </c>
      <c r="AS334" s="124" t="str">
        <f>IF($B334="","",IF(AS$3=0,"n.b.",INDEX(SRC_Woningetalage!$A$1:$ZZ$501,$A334,AS$3)))</f>
        <v/>
      </c>
      <c r="AT334" s="124" t="str">
        <f>IF($B334="","",IF(AT$3=0,"n.b.",INDEX(SRC_Woningetalage!$A$1:$ZZ$501,$A334,AT$3)))</f>
        <v/>
      </c>
      <c r="AU334" s="124" t="str">
        <f>IF($B334="","",IF(AU$3=0,"n.b.",INDEX(SRC_Woningetalage!$A$1:$ZZ$501,$A334,AU$3)))</f>
        <v/>
      </c>
      <c r="AV334" s="124" t="str">
        <f>IF($B334="","",IF(AV$3=0,"n.b.",INDEX(SRC_Woningetalage!$A$1:$ZZ$501,$A334,AV$3)))</f>
        <v/>
      </c>
      <c r="AW334" s="124" t="str">
        <f>IF($B334="","",IF(AW$3=0,"n.b.",INDEX(SRC_Woningetalage!$A$1:$ZZ$501,$A334,AW$3)))</f>
        <v/>
      </c>
      <c r="AX334" s="124" t="str">
        <f>IF($B334="","",IF(AX$3=0,"n.b.",INDEX(SRC_Woningetalage!$A$1:$ZZ$501,$A334,AX$3)))</f>
        <v/>
      </c>
      <c r="AY334" s="124" t="str">
        <f>IF($B334="","",IF(AY$3=0,"n.b.",INDEX(SRC_Woningetalage!$A$1:$ZZ$501,$A334,AY$3)))</f>
        <v/>
      </c>
      <c r="AZ334" s="124" t="str">
        <f>IF($B334="","",IF(AZ$3=0,"n.b.",INDEX(SRC_Woningetalage!$A$1:$ZZ$501,$A334,AZ$3)))</f>
        <v/>
      </c>
      <c r="BA334" s="124" t="str">
        <f>IF($B334="","",IF(BA$3=0,"n.b.",INDEX(SRC_Woningetalage!$A$1:$ZZ$501,$A334,BA$3)))</f>
        <v/>
      </c>
      <c r="BB334" s="124" t="str">
        <f>IF($B334="","",IF(BB$3=0,"n.b.",INDEX(SRC_Woningetalage!$A$1:$ZZ$501,$A334,BB$3)))</f>
        <v/>
      </c>
      <c r="BC334" s="124" t="str">
        <f>IF($B334="","",IFERROR(_xlfn.NUMBERVALUE(E334&amp;"",",","."),"n.b."))</f>
        <v/>
      </c>
      <c r="BD334" s="124" t="str">
        <f>IF($B334="","",IFERROR(_xlfn.NUMBERVALUE(M334&amp;"",",","."),"n.b."))</f>
        <v/>
      </c>
      <c r="BE334" s="124" t="str">
        <f>IF($B334="","",IFERROR(AB334+AC334+AD334,"n.b."))</f>
        <v/>
      </c>
      <c r="BF334" s="124" t="str">
        <f>IF($B334="","",IFERROR(AE334+AF334+AG334,"n.b."))</f>
        <v/>
      </c>
      <c r="BG334" s="124" t="str">
        <f>IF($B334="","",IFERROR(AH334+AI334+AJ334,"n.b."))</f>
        <v/>
      </c>
      <c r="BH334" s="124" t="str">
        <f>IF($B334="","",IFERROR(AK334+AL334+AM334,"n.b."))</f>
        <v/>
      </c>
      <c r="BI334" s="124" t="str">
        <f>IF($B334="","",IFERROR(SUMIF($AB$5:$AM$5,"&lt;="&amp;P_PeilMaand,AB334:AM334),"n.b."))</f>
        <v/>
      </c>
      <c r="BJ334" s="124" t="str">
        <f>IF($B334="","",IFERROR(SUM(AB334:AM334)-BI334,"n.b."))</f>
        <v/>
      </c>
      <c r="BK334" s="124" t="str">
        <f>IF($B334="","",IFERROR(IF(ABS(Q334-(T334+SUM(AB334:AM334)+AS334+AU334))&gt;P_Tol,1,0),1))</f>
        <v/>
      </c>
      <c r="BL334" s="124" t="str">
        <f>IF($B334="","",IFERROR(IF(ABS(AA334-(Q334-Z334))&gt;P_Tol,1,0),1))</f>
        <v/>
      </c>
      <c r="BM334" s="124" t="str">
        <f>IF($B334="","",IFERROR(IF(ABS(Z334-(T334+W334))&gt;P_Tol,1,0),1))</f>
        <v/>
      </c>
      <c r="BN334" s="124" t="str">
        <f>IF($B334="","",IFERROR(IF(ABS(W334-BI334)&gt;P_Tol,1,0),1))</f>
        <v/>
      </c>
      <c r="BO334" s="124" t="str">
        <f>IF($B334="","",IFERROR(IF(OR(ABS(R334+S334-T334)&gt;P_Tol,ABS(U334+V334-W334)&gt;P_Tol,ABS(X334+Y334-Z334)&gt;P_Tol),1,0),1))</f>
        <v/>
      </c>
      <c r="BP334" s="124" t="str">
        <f>IF($B334="","",IFERROR(IF(OR(ABS(AR334-SUM(AB334:AM334))&gt;P_Tol,ABS(AS334-(AN334+AO334+AP334+AQ334))&gt;P_Tol),1,0),1))</f>
        <v/>
      </c>
      <c r="BQ334" s="124" t="str">
        <f>IF($B334="","",IFERROR(IF(ABS(AT334)+ABS(AV334)+ABS(AW334)+ABS(AX334)+ABS(AY334)+ABS(AZ334)+ABS(BA334)+ABS(BB334)&gt;0,1,0),1))</f>
        <v/>
      </c>
      <c r="BR334" s="124" t="str">
        <f>IF($B334="","",COUNTIF(STG_ZPMW03!$B$6:$B$505,B334))</f>
        <v/>
      </c>
      <c r="BS334" s="124" t="str">
        <f>IF($B334="","",COUNTIF($B$6:$B$505,B334))</f>
        <v/>
      </c>
      <c r="BT334" s="124" t="str">
        <f>IF($B334="","",IF(BR334=0,0,IF(INDEX(STG_ZPMW03!$I$6:$I$505,MATCH(B334,STG_ZPMW03!$B$6:$B$505,0))=J334&amp;"",0,1)))</f>
        <v/>
      </c>
      <c r="BU334" s="124" t="str">
        <f>IF($B334="","",IFERROR(IF(ABS(INDEX(Mapping!$D$5:$D$104,MATCH(B334,Mapping!$A$5:$A$104,0))-Q334)&gt;P_Tol,1,0),0))</f>
        <v/>
      </c>
      <c r="BV334" s="124" t="str">
        <f>IF($B334="","",IFERROR(IF(AND(INDEX(Mapping!$G$5:$G$104,MATCH(B334,Mapping!$A$5:$A$104,0))="Nee",ABS(Q334)+ABS(Z334)+ABS(AR334)&gt;0),1,0),0))</f>
        <v/>
      </c>
      <c r="BW334" s="124" t="str">
        <f>IF($B334="","",IF(COUNTIF(Mapping!$A$5:$A$104,B334)&gt;0,1,0))</f>
        <v/>
      </c>
      <c r="BX334" s="124" t="str">
        <f>IF($B334="","",IF(BR334=0,COUNTIF($BR$6:BR334,0),""))</f>
        <v/>
      </c>
    </row>
    <row r="335">
      <c r="A335" s="15" t="n">
        <v>331</v>
      </c>
      <c r="B335" t="str">
        <f>IF(B$3=0,"",IF(INDEX(SRC_Woningetalage!$A$1:$ZZ$501,$A335,B$3)&amp;""="","",INDEX(SRC_Woningetalage!$A$1:$ZZ$501,$A335,B$3)&amp;""))</f>
        <v/>
      </c>
      <c r="C335" t="str">
        <f>IF($B335="","",IF(C$3=0,"n.b.",INDEX(SRC_Woningetalage!$A$1:$ZZ$501,$A335,C$3)))</f>
        <v/>
      </c>
      <c r="D335" t="str">
        <f>IF($B335="","",IF(D$3=0,"n.b.",INDEX(SRC_Woningetalage!$A$1:$ZZ$501,$A335,D$3)))</f>
        <v/>
      </c>
      <c r="E335" t="str">
        <f>IF($B335="","",IF(E$3=0,"n.b.",INDEX(SRC_Woningetalage!$A$1:$ZZ$501,$A335,E$3)))</f>
        <v/>
      </c>
      <c r="F335" t="str">
        <f>IF($B335="","",IF(F$3=0,"n.b.",INDEX(SRC_Woningetalage!$A$1:$ZZ$501,$A335,F$3)))</f>
        <v/>
      </c>
      <c r="G335" t="str">
        <f>IF($B335="","",IF(G$3=0,"n.b.",INDEX(SRC_Woningetalage!$A$1:$ZZ$501,$A335,G$3)))</f>
        <v/>
      </c>
      <c r="H335" t="str">
        <f>IF($B335="","",IF(H$3=0,"n.b.",INDEX(SRC_Woningetalage!$A$1:$ZZ$501,$A335,H$3)))</f>
        <v/>
      </c>
      <c r="I335" t="str">
        <f>IF($B335="","",IF(I$3=0,"n.b.",INDEX(SRC_Woningetalage!$A$1:$ZZ$501,$A335,I$3)))</f>
        <v/>
      </c>
      <c r="J335" t="str">
        <f>IF($B335="","",IF(J$3=0,"n.b.",INDEX(SRC_Woningetalage!$A$1:$ZZ$501,$A335,J$3)))</f>
        <v/>
      </c>
      <c r="K335" t="str">
        <f>IF($B335="","",IF(K$3=0,"n.b.",INDEX(SRC_Woningetalage!$A$1:$ZZ$501,$A335,K$3)))</f>
        <v/>
      </c>
      <c r="L335" t="str">
        <f>IF($B335="","",IF(L$3=0,"n.b.",INDEX(SRC_Woningetalage!$A$1:$ZZ$501,$A335,L$3)))</f>
        <v/>
      </c>
      <c r="M335" t="str">
        <f>IF($B335="","",IF(M$3=0,"n.b.",INDEX(SRC_Woningetalage!$A$1:$ZZ$501,$A335,M$3)))</f>
        <v/>
      </c>
      <c r="N335" t="str">
        <f>IF($B335="","",IF(N$3=0,"n.b.",INDEX(SRC_Woningetalage!$A$1:$ZZ$501,$A335,N$3)))</f>
        <v/>
      </c>
      <c r="O335" t="str">
        <f>IF($B335="","",IF(O$3=0,"n.b.",INDEX(SRC_Woningetalage!$A$1:$ZZ$501,$A335,O$3)))</f>
        <v/>
      </c>
      <c r="P335" t="str">
        <f>IF($B335="","",IF(P$3=0,"n.b.",INDEX(SRC_Woningetalage!$A$1:$ZZ$501,$A335,P$3)))</f>
        <v/>
      </c>
      <c r="Q335" s="124" t="str">
        <f>IF($B335="","",IF(Q$3=0,"n.b.",INDEX(SRC_Woningetalage!$A$1:$ZZ$501,$A335,Q$3)))</f>
        <v/>
      </c>
      <c r="R335" s="124" t="str">
        <f>IF($B335="","",IF(R$3=0,"n.b.",INDEX(SRC_Woningetalage!$A$1:$ZZ$501,$A335,R$3)))</f>
        <v/>
      </c>
      <c r="S335" s="124" t="str">
        <f>IF($B335="","",IF(S$3=0,"n.b.",INDEX(SRC_Woningetalage!$A$1:$ZZ$501,$A335,S$3)))</f>
        <v/>
      </c>
      <c r="T335" s="124" t="str">
        <f>IF($B335="","",IF(T$3=0,"n.b.",INDEX(SRC_Woningetalage!$A$1:$ZZ$501,$A335,T$3)))</f>
        <v/>
      </c>
      <c r="U335" s="124" t="str">
        <f>IF($B335="","",IF(U$3=0,"n.b.",INDEX(SRC_Woningetalage!$A$1:$ZZ$501,$A335,U$3)))</f>
        <v/>
      </c>
      <c r="V335" s="124" t="str">
        <f>IF($B335="","",IF(V$3=0,"n.b.",INDEX(SRC_Woningetalage!$A$1:$ZZ$501,$A335,V$3)))</f>
        <v/>
      </c>
      <c r="W335" s="124" t="str">
        <f>IF($B335="","",IF(W$3=0,"n.b.",INDEX(SRC_Woningetalage!$A$1:$ZZ$501,$A335,W$3)))</f>
        <v/>
      </c>
      <c r="X335" s="124" t="str">
        <f>IF($B335="","",IF(X$3=0,"n.b.",INDEX(SRC_Woningetalage!$A$1:$ZZ$501,$A335,X$3)))</f>
        <v/>
      </c>
      <c r="Y335" s="124" t="str">
        <f>IF($B335="","",IF(Y$3=0,"n.b.",INDEX(SRC_Woningetalage!$A$1:$ZZ$501,$A335,Y$3)))</f>
        <v/>
      </c>
      <c r="Z335" s="124" t="str">
        <f>IF($B335="","",IF(Z$3=0,"n.b.",INDEX(SRC_Woningetalage!$A$1:$ZZ$501,$A335,Z$3)))</f>
        <v/>
      </c>
      <c r="AA335" s="124" t="str">
        <f>IF($B335="","",IF(AA$3=0,"n.b.",INDEX(SRC_Woningetalage!$A$1:$ZZ$501,$A335,AA$3)))</f>
        <v/>
      </c>
      <c r="AB335" s="124" t="str">
        <f>IF($B335="","",IF(AB$3=0,"n.b.",INDEX(SRC_Woningetalage!$A$1:$ZZ$501,$A335,AB$3)))</f>
        <v/>
      </c>
      <c r="AC335" s="124" t="str">
        <f>IF($B335="","",IF(AC$3=0,"n.b.",INDEX(SRC_Woningetalage!$A$1:$ZZ$501,$A335,AC$3)))</f>
        <v/>
      </c>
      <c r="AD335" s="124" t="str">
        <f>IF($B335="","",IF(AD$3=0,"n.b.",INDEX(SRC_Woningetalage!$A$1:$ZZ$501,$A335,AD$3)))</f>
        <v/>
      </c>
      <c r="AE335" s="124" t="str">
        <f>IF($B335="","",IF(AE$3=0,"n.b.",INDEX(SRC_Woningetalage!$A$1:$ZZ$501,$A335,AE$3)))</f>
        <v/>
      </c>
      <c r="AF335" s="124" t="str">
        <f>IF($B335="","",IF(AF$3=0,"n.b.",INDEX(SRC_Woningetalage!$A$1:$ZZ$501,$A335,AF$3)))</f>
        <v/>
      </c>
      <c r="AG335" s="124" t="str">
        <f>IF($B335="","",IF(AG$3=0,"n.b.",INDEX(SRC_Woningetalage!$A$1:$ZZ$501,$A335,AG$3)))</f>
        <v/>
      </c>
      <c r="AH335" s="124" t="str">
        <f>IF($B335="","",IF(AH$3=0,"n.b.",INDEX(SRC_Woningetalage!$A$1:$ZZ$501,$A335,AH$3)))</f>
        <v/>
      </c>
      <c r="AI335" s="124" t="str">
        <f>IF($B335="","",IF(AI$3=0,"n.b.",INDEX(SRC_Woningetalage!$A$1:$ZZ$501,$A335,AI$3)))</f>
        <v/>
      </c>
      <c r="AJ335" s="124" t="str">
        <f>IF($B335="","",IF(AJ$3=0,"n.b.",INDEX(SRC_Woningetalage!$A$1:$ZZ$501,$A335,AJ$3)))</f>
        <v/>
      </c>
      <c r="AK335" s="124" t="str">
        <f>IF($B335="","",IF(AK$3=0,"n.b.",INDEX(SRC_Woningetalage!$A$1:$ZZ$501,$A335,AK$3)))</f>
        <v/>
      </c>
      <c r="AL335" s="124" t="str">
        <f>IF($B335="","",IF(AL$3=0,"n.b.",INDEX(SRC_Woningetalage!$A$1:$ZZ$501,$A335,AL$3)))</f>
        <v/>
      </c>
      <c r="AM335" s="124" t="str">
        <f>IF($B335="","",IF(AM$3=0,"n.b.",INDEX(SRC_Woningetalage!$A$1:$ZZ$501,$A335,AM$3)))</f>
        <v/>
      </c>
      <c r="AN335" s="124" t="str">
        <f>IF($B335="","",IF(AN$3=0,"n.b.",INDEX(SRC_Woningetalage!$A$1:$ZZ$501,$A335,AN$3)))</f>
        <v/>
      </c>
      <c r="AO335" s="124" t="str">
        <f>IF($B335="","",IF(AO$3=0,"n.b.",INDEX(SRC_Woningetalage!$A$1:$ZZ$501,$A335,AO$3)))</f>
        <v/>
      </c>
      <c r="AP335" s="124" t="str">
        <f>IF($B335="","",IF(AP$3=0,"n.b.",INDEX(SRC_Woningetalage!$A$1:$ZZ$501,$A335,AP$3)))</f>
        <v/>
      </c>
      <c r="AQ335" s="124" t="str">
        <f>IF($B335="","",IF(AQ$3=0,"n.b.",INDEX(SRC_Woningetalage!$A$1:$ZZ$501,$A335,AQ$3)))</f>
        <v/>
      </c>
      <c r="AR335" s="124" t="str">
        <f>IF($B335="","",IF(AR$3=0,"n.b.",INDEX(SRC_Woningetalage!$A$1:$ZZ$501,$A335,AR$3)))</f>
        <v/>
      </c>
      <c r="AS335" s="124" t="str">
        <f>IF($B335="","",IF(AS$3=0,"n.b.",INDEX(SRC_Woningetalage!$A$1:$ZZ$501,$A335,AS$3)))</f>
        <v/>
      </c>
      <c r="AT335" s="124" t="str">
        <f>IF($B335="","",IF(AT$3=0,"n.b.",INDEX(SRC_Woningetalage!$A$1:$ZZ$501,$A335,AT$3)))</f>
        <v/>
      </c>
      <c r="AU335" s="124" t="str">
        <f>IF($B335="","",IF(AU$3=0,"n.b.",INDEX(SRC_Woningetalage!$A$1:$ZZ$501,$A335,AU$3)))</f>
        <v/>
      </c>
      <c r="AV335" s="124" t="str">
        <f>IF($B335="","",IF(AV$3=0,"n.b.",INDEX(SRC_Woningetalage!$A$1:$ZZ$501,$A335,AV$3)))</f>
        <v/>
      </c>
      <c r="AW335" s="124" t="str">
        <f>IF($B335="","",IF(AW$3=0,"n.b.",INDEX(SRC_Woningetalage!$A$1:$ZZ$501,$A335,AW$3)))</f>
        <v/>
      </c>
      <c r="AX335" s="124" t="str">
        <f>IF($B335="","",IF(AX$3=0,"n.b.",INDEX(SRC_Woningetalage!$A$1:$ZZ$501,$A335,AX$3)))</f>
        <v/>
      </c>
      <c r="AY335" s="124" t="str">
        <f>IF($B335="","",IF(AY$3=0,"n.b.",INDEX(SRC_Woningetalage!$A$1:$ZZ$501,$A335,AY$3)))</f>
        <v/>
      </c>
      <c r="AZ335" s="124" t="str">
        <f>IF($B335="","",IF(AZ$3=0,"n.b.",INDEX(SRC_Woningetalage!$A$1:$ZZ$501,$A335,AZ$3)))</f>
        <v/>
      </c>
      <c r="BA335" s="124" t="str">
        <f>IF($B335="","",IF(BA$3=0,"n.b.",INDEX(SRC_Woningetalage!$A$1:$ZZ$501,$A335,BA$3)))</f>
        <v/>
      </c>
      <c r="BB335" s="124" t="str">
        <f>IF($B335="","",IF(BB$3=0,"n.b.",INDEX(SRC_Woningetalage!$A$1:$ZZ$501,$A335,BB$3)))</f>
        <v/>
      </c>
      <c r="BC335" s="124" t="str">
        <f>IF($B335="","",IFERROR(_xlfn.NUMBERVALUE(E335&amp;"",",","."),"n.b."))</f>
        <v/>
      </c>
      <c r="BD335" s="124" t="str">
        <f>IF($B335="","",IFERROR(_xlfn.NUMBERVALUE(M335&amp;"",",","."),"n.b."))</f>
        <v/>
      </c>
      <c r="BE335" s="124" t="str">
        <f>IF($B335="","",IFERROR(AB335+AC335+AD335,"n.b."))</f>
        <v/>
      </c>
      <c r="BF335" s="124" t="str">
        <f>IF($B335="","",IFERROR(AE335+AF335+AG335,"n.b."))</f>
        <v/>
      </c>
      <c r="BG335" s="124" t="str">
        <f>IF($B335="","",IFERROR(AH335+AI335+AJ335,"n.b."))</f>
        <v/>
      </c>
      <c r="BH335" s="124" t="str">
        <f>IF($B335="","",IFERROR(AK335+AL335+AM335,"n.b."))</f>
        <v/>
      </c>
      <c r="BI335" s="124" t="str">
        <f>IF($B335="","",IFERROR(SUMIF($AB$5:$AM$5,"&lt;="&amp;P_PeilMaand,AB335:AM335),"n.b."))</f>
        <v/>
      </c>
      <c r="BJ335" s="124" t="str">
        <f>IF($B335="","",IFERROR(SUM(AB335:AM335)-BI335,"n.b."))</f>
        <v/>
      </c>
      <c r="BK335" s="124" t="str">
        <f>IF($B335="","",IFERROR(IF(ABS(Q335-(T335+SUM(AB335:AM335)+AS335+AU335))&gt;P_Tol,1,0),1))</f>
        <v/>
      </c>
      <c r="BL335" s="124" t="str">
        <f>IF($B335="","",IFERROR(IF(ABS(AA335-(Q335-Z335))&gt;P_Tol,1,0),1))</f>
        <v/>
      </c>
      <c r="BM335" s="124" t="str">
        <f>IF($B335="","",IFERROR(IF(ABS(Z335-(T335+W335))&gt;P_Tol,1,0),1))</f>
        <v/>
      </c>
      <c r="BN335" s="124" t="str">
        <f>IF($B335="","",IFERROR(IF(ABS(W335-BI335)&gt;P_Tol,1,0),1))</f>
        <v/>
      </c>
      <c r="BO335" s="124" t="str">
        <f>IF($B335="","",IFERROR(IF(OR(ABS(R335+S335-T335)&gt;P_Tol,ABS(U335+V335-W335)&gt;P_Tol,ABS(X335+Y335-Z335)&gt;P_Tol),1,0),1))</f>
        <v/>
      </c>
      <c r="BP335" s="124" t="str">
        <f>IF($B335="","",IFERROR(IF(OR(ABS(AR335-SUM(AB335:AM335))&gt;P_Tol,ABS(AS335-(AN335+AO335+AP335+AQ335))&gt;P_Tol),1,0),1))</f>
        <v/>
      </c>
      <c r="BQ335" s="124" t="str">
        <f>IF($B335="","",IFERROR(IF(ABS(AT335)+ABS(AV335)+ABS(AW335)+ABS(AX335)+ABS(AY335)+ABS(AZ335)+ABS(BA335)+ABS(BB335)&gt;0,1,0),1))</f>
        <v/>
      </c>
      <c r="BR335" s="124" t="str">
        <f>IF($B335="","",COUNTIF(STG_ZPMW03!$B$6:$B$505,B335))</f>
        <v/>
      </c>
      <c r="BS335" s="124" t="str">
        <f>IF($B335="","",COUNTIF($B$6:$B$505,B335))</f>
        <v/>
      </c>
      <c r="BT335" s="124" t="str">
        <f>IF($B335="","",IF(BR335=0,0,IF(INDEX(STG_ZPMW03!$I$6:$I$505,MATCH(B335,STG_ZPMW03!$B$6:$B$505,0))=J335&amp;"",0,1)))</f>
        <v/>
      </c>
      <c r="BU335" s="124" t="str">
        <f>IF($B335="","",IFERROR(IF(ABS(INDEX(Mapping!$D$5:$D$104,MATCH(B335,Mapping!$A$5:$A$104,0))-Q335)&gt;P_Tol,1,0),0))</f>
        <v/>
      </c>
      <c r="BV335" s="124" t="str">
        <f>IF($B335="","",IFERROR(IF(AND(INDEX(Mapping!$G$5:$G$104,MATCH(B335,Mapping!$A$5:$A$104,0))="Nee",ABS(Q335)+ABS(Z335)+ABS(AR335)&gt;0),1,0),0))</f>
        <v/>
      </c>
      <c r="BW335" s="124" t="str">
        <f>IF($B335="","",IF(COUNTIF(Mapping!$A$5:$A$104,B335)&gt;0,1,0))</f>
        <v/>
      </c>
      <c r="BX335" s="124" t="str">
        <f>IF($B335="","",IF(BR335=0,COUNTIF($BR$6:BR335,0),""))</f>
        <v/>
      </c>
    </row>
    <row r="336">
      <c r="A336" s="15" t="n">
        <v>332</v>
      </c>
      <c r="B336" t="str">
        <f>IF(B$3=0,"",IF(INDEX(SRC_Woningetalage!$A$1:$ZZ$501,$A336,B$3)&amp;""="","",INDEX(SRC_Woningetalage!$A$1:$ZZ$501,$A336,B$3)&amp;""))</f>
        <v/>
      </c>
      <c r="C336" t="str">
        <f>IF($B336="","",IF(C$3=0,"n.b.",INDEX(SRC_Woningetalage!$A$1:$ZZ$501,$A336,C$3)))</f>
        <v/>
      </c>
      <c r="D336" t="str">
        <f>IF($B336="","",IF(D$3=0,"n.b.",INDEX(SRC_Woningetalage!$A$1:$ZZ$501,$A336,D$3)))</f>
        <v/>
      </c>
      <c r="E336" t="str">
        <f>IF($B336="","",IF(E$3=0,"n.b.",INDEX(SRC_Woningetalage!$A$1:$ZZ$501,$A336,E$3)))</f>
        <v/>
      </c>
      <c r="F336" t="str">
        <f>IF($B336="","",IF(F$3=0,"n.b.",INDEX(SRC_Woningetalage!$A$1:$ZZ$501,$A336,F$3)))</f>
        <v/>
      </c>
      <c r="G336" t="str">
        <f>IF($B336="","",IF(G$3=0,"n.b.",INDEX(SRC_Woningetalage!$A$1:$ZZ$501,$A336,G$3)))</f>
        <v/>
      </c>
      <c r="H336" t="str">
        <f>IF($B336="","",IF(H$3=0,"n.b.",INDEX(SRC_Woningetalage!$A$1:$ZZ$501,$A336,H$3)))</f>
        <v/>
      </c>
      <c r="I336" t="str">
        <f>IF($B336="","",IF(I$3=0,"n.b.",INDEX(SRC_Woningetalage!$A$1:$ZZ$501,$A336,I$3)))</f>
        <v/>
      </c>
      <c r="J336" t="str">
        <f>IF($B336="","",IF(J$3=0,"n.b.",INDEX(SRC_Woningetalage!$A$1:$ZZ$501,$A336,J$3)))</f>
        <v/>
      </c>
      <c r="K336" t="str">
        <f>IF($B336="","",IF(K$3=0,"n.b.",INDEX(SRC_Woningetalage!$A$1:$ZZ$501,$A336,K$3)))</f>
        <v/>
      </c>
      <c r="L336" t="str">
        <f>IF($B336="","",IF(L$3=0,"n.b.",INDEX(SRC_Woningetalage!$A$1:$ZZ$501,$A336,L$3)))</f>
        <v/>
      </c>
      <c r="M336" t="str">
        <f>IF($B336="","",IF(M$3=0,"n.b.",INDEX(SRC_Woningetalage!$A$1:$ZZ$501,$A336,M$3)))</f>
        <v/>
      </c>
      <c r="N336" t="str">
        <f>IF($B336="","",IF(N$3=0,"n.b.",INDEX(SRC_Woningetalage!$A$1:$ZZ$501,$A336,N$3)))</f>
        <v/>
      </c>
      <c r="O336" t="str">
        <f>IF($B336="","",IF(O$3=0,"n.b.",INDEX(SRC_Woningetalage!$A$1:$ZZ$501,$A336,O$3)))</f>
        <v/>
      </c>
      <c r="P336" t="str">
        <f>IF($B336="","",IF(P$3=0,"n.b.",INDEX(SRC_Woningetalage!$A$1:$ZZ$501,$A336,P$3)))</f>
        <v/>
      </c>
      <c r="Q336" s="124" t="str">
        <f>IF($B336="","",IF(Q$3=0,"n.b.",INDEX(SRC_Woningetalage!$A$1:$ZZ$501,$A336,Q$3)))</f>
        <v/>
      </c>
      <c r="R336" s="124" t="str">
        <f>IF($B336="","",IF(R$3=0,"n.b.",INDEX(SRC_Woningetalage!$A$1:$ZZ$501,$A336,R$3)))</f>
        <v/>
      </c>
      <c r="S336" s="124" t="str">
        <f>IF($B336="","",IF(S$3=0,"n.b.",INDEX(SRC_Woningetalage!$A$1:$ZZ$501,$A336,S$3)))</f>
        <v/>
      </c>
      <c r="T336" s="124" t="str">
        <f>IF($B336="","",IF(T$3=0,"n.b.",INDEX(SRC_Woningetalage!$A$1:$ZZ$501,$A336,T$3)))</f>
        <v/>
      </c>
      <c r="U336" s="124" t="str">
        <f>IF($B336="","",IF(U$3=0,"n.b.",INDEX(SRC_Woningetalage!$A$1:$ZZ$501,$A336,U$3)))</f>
        <v/>
      </c>
      <c r="V336" s="124" t="str">
        <f>IF($B336="","",IF(V$3=0,"n.b.",INDEX(SRC_Woningetalage!$A$1:$ZZ$501,$A336,V$3)))</f>
        <v/>
      </c>
      <c r="W336" s="124" t="str">
        <f>IF($B336="","",IF(W$3=0,"n.b.",INDEX(SRC_Woningetalage!$A$1:$ZZ$501,$A336,W$3)))</f>
        <v/>
      </c>
      <c r="X336" s="124" t="str">
        <f>IF($B336="","",IF(X$3=0,"n.b.",INDEX(SRC_Woningetalage!$A$1:$ZZ$501,$A336,X$3)))</f>
        <v/>
      </c>
      <c r="Y336" s="124" t="str">
        <f>IF($B336="","",IF(Y$3=0,"n.b.",INDEX(SRC_Woningetalage!$A$1:$ZZ$501,$A336,Y$3)))</f>
        <v/>
      </c>
      <c r="Z336" s="124" t="str">
        <f>IF($B336="","",IF(Z$3=0,"n.b.",INDEX(SRC_Woningetalage!$A$1:$ZZ$501,$A336,Z$3)))</f>
        <v/>
      </c>
      <c r="AA336" s="124" t="str">
        <f>IF($B336="","",IF(AA$3=0,"n.b.",INDEX(SRC_Woningetalage!$A$1:$ZZ$501,$A336,AA$3)))</f>
        <v/>
      </c>
      <c r="AB336" s="124" t="str">
        <f>IF($B336="","",IF(AB$3=0,"n.b.",INDEX(SRC_Woningetalage!$A$1:$ZZ$501,$A336,AB$3)))</f>
        <v/>
      </c>
      <c r="AC336" s="124" t="str">
        <f>IF($B336="","",IF(AC$3=0,"n.b.",INDEX(SRC_Woningetalage!$A$1:$ZZ$501,$A336,AC$3)))</f>
        <v/>
      </c>
      <c r="AD336" s="124" t="str">
        <f>IF($B336="","",IF(AD$3=0,"n.b.",INDEX(SRC_Woningetalage!$A$1:$ZZ$501,$A336,AD$3)))</f>
        <v/>
      </c>
      <c r="AE336" s="124" t="str">
        <f>IF($B336="","",IF(AE$3=0,"n.b.",INDEX(SRC_Woningetalage!$A$1:$ZZ$501,$A336,AE$3)))</f>
        <v/>
      </c>
      <c r="AF336" s="124" t="str">
        <f>IF($B336="","",IF(AF$3=0,"n.b.",INDEX(SRC_Woningetalage!$A$1:$ZZ$501,$A336,AF$3)))</f>
        <v/>
      </c>
      <c r="AG336" s="124" t="str">
        <f>IF($B336="","",IF(AG$3=0,"n.b.",INDEX(SRC_Woningetalage!$A$1:$ZZ$501,$A336,AG$3)))</f>
        <v/>
      </c>
      <c r="AH336" s="124" t="str">
        <f>IF($B336="","",IF(AH$3=0,"n.b.",INDEX(SRC_Woningetalage!$A$1:$ZZ$501,$A336,AH$3)))</f>
        <v/>
      </c>
      <c r="AI336" s="124" t="str">
        <f>IF($B336="","",IF(AI$3=0,"n.b.",INDEX(SRC_Woningetalage!$A$1:$ZZ$501,$A336,AI$3)))</f>
        <v/>
      </c>
      <c r="AJ336" s="124" t="str">
        <f>IF($B336="","",IF(AJ$3=0,"n.b.",INDEX(SRC_Woningetalage!$A$1:$ZZ$501,$A336,AJ$3)))</f>
        <v/>
      </c>
      <c r="AK336" s="124" t="str">
        <f>IF($B336="","",IF(AK$3=0,"n.b.",INDEX(SRC_Woningetalage!$A$1:$ZZ$501,$A336,AK$3)))</f>
        <v/>
      </c>
      <c r="AL336" s="124" t="str">
        <f>IF($B336="","",IF(AL$3=0,"n.b.",INDEX(SRC_Woningetalage!$A$1:$ZZ$501,$A336,AL$3)))</f>
        <v/>
      </c>
      <c r="AM336" s="124" t="str">
        <f>IF($B336="","",IF(AM$3=0,"n.b.",INDEX(SRC_Woningetalage!$A$1:$ZZ$501,$A336,AM$3)))</f>
        <v/>
      </c>
      <c r="AN336" s="124" t="str">
        <f>IF($B336="","",IF(AN$3=0,"n.b.",INDEX(SRC_Woningetalage!$A$1:$ZZ$501,$A336,AN$3)))</f>
        <v/>
      </c>
      <c r="AO336" s="124" t="str">
        <f>IF($B336="","",IF(AO$3=0,"n.b.",INDEX(SRC_Woningetalage!$A$1:$ZZ$501,$A336,AO$3)))</f>
        <v/>
      </c>
      <c r="AP336" s="124" t="str">
        <f>IF($B336="","",IF(AP$3=0,"n.b.",INDEX(SRC_Woningetalage!$A$1:$ZZ$501,$A336,AP$3)))</f>
        <v/>
      </c>
      <c r="AQ336" s="124" t="str">
        <f>IF($B336="","",IF(AQ$3=0,"n.b.",INDEX(SRC_Woningetalage!$A$1:$ZZ$501,$A336,AQ$3)))</f>
        <v/>
      </c>
      <c r="AR336" s="124" t="str">
        <f>IF($B336="","",IF(AR$3=0,"n.b.",INDEX(SRC_Woningetalage!$A$1:$ZZ$501,$A336,AR$3)))</f>
        <v/>
      </c>
      <c r="AS336" s="124" t="str">
        <f>IF($B336="","",IF(AS$3=0,"n.b.",INDEX(SRC_Woningetalage!$A$1:$ZZ$501,$A336,AS$3)))</f>
        <v/>
      </c>
      <c r="AT336" s="124" t="str">
        <f>IF($B336="","",IF(AT$3=0,"n.b.",INDEX(SRC_Woningetalage!$A$1:$ZZ$501,$A336,AT$3)))</f>
        <v/>
      </c>
      <c r="AU336" s="124" t="str">
        <f>IF($B336="","",IF(AU$3=0,"n.b.",INDEX(SRC_Woningetalage!$A$1:$ZZ$501,$A336,AU$3)))</f>
        <v/>
      </c>
      <c r="AV336" s="124" t="str">
        <f>IF($B336="","",IF(AV$3=0,"n.b.",INDEX(SRC_Woningetalage!$A$1:$ZZ$501,$A336,AV$3)))</f>
        <v/>
      </c>
      <c r="AW336" s="124" t="str">
        <f>IF($B336="","",IF(AW$3=0,"n.b.",INDEX(SRC_Woningetalage!$A$1:$ZZ$501,$A336,AW$3)))</f>
        <v/>
      </c>
      <c r="AX336" s="124" t="str">
        <f>IF($B336="","",IF(AX$3=0,"n.b.",INDEX(SRC_Woningetalage!$A$1:$ZZ$501,$A336,AX$3)))</f>
        <v/>
      </c>
      <c r="AY336" s="124" t="str">
        <f>IF($B336="","",IF(AY$3=0,"n.b.",INDEX(SRC_Woningetalage!$A$1:$ZZ$501,$A336,AY$3)))</f>
        <v/>
      </c>
      <c r="AZ336" s="124" t="str">
        <f>IF($B336="","",IF(AZ$3=0,"n.b.",INDEX(SRC_Woningetalage!$A$1:$ZZ$501,$A336,AZ$3)))</f>
        <v/>
      </c>
      <c r="BA336" s="124" t="str">
        <f>IF($B336="","",IF(BA$3=0,"n.b.",INDEX(SRC_Woningetalage!$A$1:$ZZ$501,$A336,BA$3)))</f>
        <v/>
      </c>
      <c r="BB336" s="124" t="str">
        <f>IF($B336="","",IF(BB$3=0,"n.b.",INDEX(SRC_Woningetalage!$A$1:$ZZ$501,$A336,BB$3)))</f>
        <v/>
      </c>
      <c r="BC336" s="124" t="str">
        <f>IF($B336="","",IFERROR(_xlfn.NUMBERVALUE(E336&amp;"",",","."),"n.b."))</f>
        <v/>
      </c>
      <c r="BD336" s="124" t="str">
        <f>IF($B336="","",IFERROR(_xlfn.NUMBERVALUE(M336&amp;"",",","."),"n.b."))</f>
        <v/>
      </c>
      <c r="BE336" s="124" t="str">
        <f>IF($B336="","",IFERROR(AB336+AC336+AD336,"n.b."))</f>
        <v/>
      </c>
      <c r="BF336" s="124" t="str">
        <f>IF($B336="","",IFERROR(AE336+AF336+AG336,"n.b."))</f>
        <v/>
      </c>
      <c r="BG336" s="124" t="str">
        <f>IF($B336="","",IFERROR(AH336+AI336+AJ336,"n.b."))</f>
        <v/>
      </c>
      <c r="BH336" s="124" t="str">
        <f>IF($B336="","",IFERROR(AK336+AL336+AM336,"n.b."))</f>
        <v/>
      </c>
      <c r="BI336" s="124" t="str">
        <f>IF($B336="","",IFERROR(SUMIF($AB$5:$AM$5,"&lt;="&amp;P_PeilMaand,AB336:AM336),"n.b."))</f>
        <v/>
      </c>
      <c r="BJ336" s="124" t="str">
        <f>IF($B336="","",IFERROR(SUM(AB336:AM336)-BI336,"n.b."))</f>
        <v/>
      </c>
      <c r="BK336" s="124" t="str">
        <f>IF($B336="","",IFERROR(IF(ABS(Q336-(T336+SUM(AB336:AM336)+AS336+AU336))&gt;P_Tol,1,0),1))</f>
        <v/>
      </c>
      <c r="BL336" s="124" t="str">
        <f>IF($B336="","",IFERROR(IF(ABS(AA336-(Q336-Z336))&gt;P_Tol,1,0),1))</f>
        <v/>
      </c>
      <c r="BM336" s="124" t="str">
        <f>IF($B336="","",IFERROR(IF(ABS(Z336-(T336+W336))&gt;P_Tol,1,0),1))</f>
        <v/>
      </c>
      <c r="BN336" s="124" t="str">
        <f>IF($B336="","",IFERROR(IF(ABS(W336-BI336)&gt;P_Tol,1,0),1))</f>
        <v/>
      </c>
      <c r="BO336" s="124" t="str">
        <f>IF($B336="","",IFERROR(IF(OR(ABS(R336+S336-T336)&gt;P_Tol,ABS(U336+V336-W336)&gt;P_Tol,ABS(X336+Y336-Z336)&gt;P_Tol),1,0),1))</f>
        <v/>
      </c>
      <c r="BP336" s="124" t="str">
        <f>IF($B336="","",IFERROR(IF(OR(ABS(AR336-SUM(AB336:AM336))&gt;P_Tol,ABS(AS336-(AN336+AO336+AP336+AQ336))&gt;P_Tol),1,0),1))</f>
        <v/>
      </c>
      <c r="BQ336" s="124" t="str">
        <f>IF($B336="","",IFERROR(IF(ABS(AT336)+ABS(AV336)+ABS(AW336)+ABS(AX336)+ABS(AY336)+ABS(AZ336)+ABS(BA336)+ABS(BB336)&gt;0,1,0),1))</f>
        <v/>
      </c>
      <c r="BR336" s="124" t="str">
        <f>IF($B336="","",COUNTIF(STG_ZPMW03!$B$6:$B$505,B336))</f>
        <v/>
      </c>
      <c r="BS336" s="124" t="str">
        <f>IF($B336="","",COUNTIF($B$6:$B$505,B336))</f>
        <v/>
      </c>
      <c r="BT336" s="124" t="str">
        <f>IF($B336="","",IF(BR336=0,0,IF(INDEX(STG_ZPMW03!$I$6:$I$505,MATCH(B336,STG_ZPMW03!$B$6:$B$505,0))=J336&amp;"",0,1)))</f>
        <v/>
      </c>
      <c r="BU336" s="124" t="str">
        <f>IF($B336="","",IFERROR(IF(ABS(INDEX(Mapping!$D$5:$D$104,MATCH(B336,Mapping!$A$5:$A$104,0))-Q336)&gt;P_Tol,1,0),0))</f>
        <v/>
      </c>
      <c r="BV336" s="124" t="str">
        <f>IF($B336="","",IFERROR(IF(AND(INDEX(Mapping!$G$5:$G$104,MATCH(B336,Mapping!$A$5:$A$104,0))="Nee",ABS(Q336)+ABS(Z336)+ABS(AR336)&gt;0),1,0),0))</f>
        <v/>
      </c>
      <c r="BW336" s="124" t="str">
        <f>IF($B336="","",IF(COUNTIF(Mapping!$A$5:$A$104,B336)&gt;0,1,0))</f>
        <v/>
      </c>
      <c r="BX336" s="124" t="str">
        <f>IF($B336="","",IF(BR336=0,COUNTIF($BR$6:BR336,0),""))</f>
        <v/>
      </c>
    </row>
    <row r="337">
      <c r="A337" s="15" t="n">
        <v>333</v>
      </c>
      <c r="B337" t="str">
        <f>IF(B$3=0,"",IF(INDEX(SRC_Woningetalage!$A$1:$ZZ$501,$A337,B$3)&amp;""="","",INDEX(SRC_Woningetalage!$A$1:$ZZ$501,$A337,B$3)&amp;""))</f>
        <v/>
      </c>
      <c r="C337" t="str">
        <f>IF($B337="","",IF(C$3=0,"n.b.",INDEX(SRC_Woningetalage!$A$1:$ZZ$501,$A337,C$3)))</f>
        <v/>
      </c>
      <c r="D337" t="str">
        <f>IF($B337="","",IF(D$3=0,"n.b.",INDEX(SRC_Woningetalage!$A$1:$ZZ$501,$A337,D$3)))</f>
        <v/>
      </c>
      <c r="E337" t="str">
        <f>IF($B337="","",IF(E$3=0,"n.b.",INDEX(SRC_Woningetalage!$A$1:$ZZ$501,$A337,E$3)))</f>
        <v/>
      </c>
      <c r="F337" t="str">
        <f>IF($B337="","",IF(F$3=0,"n.b.",INDEX(SRC_Woningetalage!$A$1:$ZZ$501,$A337,F$3)))</f>
        <v/>
      </c>
      <c r="G337" t="str">
        <f>IF($B337="","",IF(G$3=0,"n.b.",INDEX(SRC_Woningetalage!$A$1:$ZZ$501,$A337,G$3)))</f>
        <v/>
      </c>
      <c r="H337" t="str">
        <f>IF($B337="","",IF(H$3=0,"n.b.",INDEX(SRC_Woningetalage!$A$1:$ZZ$501,$A337,H$3)))</f>
        <v/>
      </c>
      <c r="I337" t="str">
        <f>IF($B337="","",IF(I$3=0,"n.b.",INDEX(SRC_Woningetalage!$A$1:$ZZ$501,$A337,I$3)))</f>
        <v/>
      </c>
      <c r="J337" t="str">
        <f>IF($B337="","",IF(J$3=0,"n.b.",INDEX(SRC_Woningetalage!$A$1:$ZZ$501,$A337,J$3)))</f>
        <v/>
      </c>
      <c r="K337" t="str">
        <f>IF($B337="","",IF(K$3=0,"n.b.",INDEX(SRC_Woningetalage!$A$1:$ZZ$501,$A337,K$3)))</f>
        <v/>
      </c>
      <c r="L337" t="str">
        <f>IF($B337="","",IF(L$3=0,"n.b.",INDEX(SRC_Woningetalage!$A$1:$ZZ$501,$A337,L$3)))</f>
        <v/>
      </c>
      <c r="M337" t="str">
        <f>IF($B337="","",IF(M$3=0,"n.b.",INDEX(SRC_Woningetalage!$A$1:$ZZ$501,$A337,M$3)))</f>
        <v/>
      </c>
      <c r="N337" t="str">
        <f>IF($B337="","",IF(N$3=0,"n.b.",INDEX(SRC_Woningetalage!$A$1:$ZZ$501,$A337,N$3)))</f>
        <v/>
      </c>
      <c r="O337" t="str">
        <f>IF($B337="","",IF(O$3=0,"n.b.",INDEX(SRC_Woningetalage!$A$1:$ZZ$501,$A337,O$3)))</f>
        <v/>
      </c>
      <c r="P337" t="str">
        <f>IF($B337="","",IF(P$3=0,"n.b.",INDEX(SRC_Woningetalage!$A$1:$ZZ$501,$A337,P$3)))</f>
        <v/>
      </c>
      <c r="Q337" s="124" t="str">
        <f>IF($B337="","",IF(Q$3=0,"n.b.",INDEX(SRC_Woningetalage!$A$1:$ZZ$501,$A337,Q$3)))</f>
        <v/>
      </c>
      <c r="R337" s="124" t="str">
        <f>IF($B337="","",IF(R$3=0,"n.b.",INDEX(SRC_Woningetalage!$A$1:$ZZ$501,$A337,R$3)))</f>
        <v/>
      </c>
      <c r="S337" s="124" t="str">
        <f>IF($B337="","",IF(S$3=0,"n.b.",INDEX(SRC_Woningetalage!$A$1:$ZZ$501,$A337,S$3)))</f>
        <v/>
      </c>
      <c r="T337" s="124" t="str">
        <f>IF($B337="","",IF(T$3=0,"n.b.",INDEX(SRC_Woningetalage!$A$1:$ZZ$501,$A337,T$3)))</f>
        <v/>
      </c>
      <c r="U337" s="124" t="str">
        <f>IF($B337="","",IF(U$3=0,"n.b.",INDEX(SRC_Woningetalage!$A$1:$ZZ$501,$A337,U$3)))</f>
        <v/>
      </c>
      <c r="V337" s="124" t="str">
        <f>IF($B337="","",IF(V$3=0,"n.b.",INDEX(SRC_Woningetalage!$A$1:$ZZ$501,$A337,V$3)))</f>
        <v/>
      </c>
      <c r="W337" s="124" t="str">
        <f>IF($B337="","",IF(W$3=0,"n.b.",INDEX(SRC_Woningetalage!$A$1:$ZZ$501,$A337,W$3)))</f>
        <v/>
      </c>
      <c r="X337" s="124" t="str">
        <f>IF($B337="","",IF(X$3=0,"n.b.",INDEX(SRC_Woningetalage!$A$1:$ZZ$501,$A337,X$3)))</f>
        <v/>
      </c>
      <c r="Y337" s="124" t="str">
        <f>IF($B337="","",IF(Y$3=0,"n.b.",INDEX(SRC_Woningetalage!$A$1:$ZZ$501,$A337,Y$3)))</f>
        <v/>
      </c>
      <c r="Z337" s="124" t="str">
        <f>IF($B337="","",IF(Z$3=0,"n.b.",INDEX(SRC_Woningetalage!$A$1:$ZZ$501,$A337,Z$3)))</f>
        <v/>
      </c>
      <c r="AA337" s="124" t="str">
        <f>IF($B337="","",IF(AA$3=0,"n.b.",INDEX(SRC_Woningetalage!$A$1:$ZZ$501,$A337,AA$3)))</f>
        <v/>
      </c>
      <c r="AB337" s="124" t="str">
        <f>IF($B337="","",IF(AB$3=0,"n.b.",INDEX(SRC_Woningetalage!$A$1:$ZZ$501,$A337,AB$3)))</f>
        <v/>
      </c>
      <c r="AC337" s="124" t="str">
        <f>IF($B337="","",IF(AC$3=0,"n.b.",INDEX(SRC_Woningetalage!$A$1:$ZZ$501,$A337,AC$3)))</f>
        <v/>
      </c>
      <c r="AD337" s="124" t="str">
        <f>IF($B337="","",IF(AD$3=0,"n.b.",INDEX(SRC_Woningetalage!$A$1:$ZZ$501,$A337,AD$3)))</f>
        <v/>
      </c>
      <c r="AE337" s="124" t="str">
        <f>IF($B337="","",IF(AE$3=0,"n.b.",INDEX(SRC_Woningetalage!$A$1:$ZZ$501,$A337,AE$3)))</f>
        <v/>
      </c>
      <c r="AF337" s="124" t="str">
        <f>IF($B337="","",IF(AF$3=0,"n.b.",INDEX(SRC_Woningetalage!$A$1:$ZZ$501,$A337,AF$3)))</f>
        <v/>
      </c>
      <c r="AG337" s="124" t="str">
        <f>IF($B337="","",IF(AG$3=0,"n.b.",INDEX(SRC_Woningetalage!$A$1:$ZZ$501,$A337,AG$3)))</f>
        <v/>
      </c>
      <c r="AH337" s="124" t="str">
        <f>IF($B337="","",IF(AH$3=0,"n.b.",INDEX(SRC_Woningetalage!$A$1:$ZZ$501,$A337,AH$3)))</f>
        <v/>
      </c>
      <c r="AI337" s="124" t="str">
        <f>IF($B337="","",IF(AI$3=0,"n.b.",INDEX(SRC_Woningetalage!$A$1:$ZZ$501,$A337,AI$3)))</f>
        <v/>
      </c>
      <c r="AJ337" s="124" t="str">
        <f>IF($B337="","",IF(AJ$3=0,"n.b.",INDEX(SRC_Woningetalage!$A$1:$ZZ$501,$A337,AJ$3)))</f>
        <v/>
      </c>
      <c r="AK337" s="124" t="str">
        <f>IF($B337="","",IF(AK$3=0,"n.b.",INDEX(SRC_Woningetalage!$A$1:$ZZ$501,$A337,AK$3)))</f>
        <v/>
      </c>
      <c r="AL337" s="124" t="str">
        <f>IF($B337="","",IF(AL$3=0,"n.b.",INDEX(SRC_Woningetalage!$A$1:$ZZ$501,$A337,AL$3)))</f>
        <v/>
      </c>
      <c r="AM337" s="124" t="str">
        <f>IF($B337="","",IF(AM$3=0,"n.b.",INDEX(SRC_Woningetalage!$A$1:$ZZ$501,$A337,AM$3)))</f>
        <v/>
      </c>
      <c r="AN337" s="124" t="str">
        <f>IF($B337="","",IF(AN$3=0,"n.b.",INDEX(SRC_Woningetalage!$A$1:$ZZ$501,$A337,AN$3)))</f>
        <v/>
      </c>
      <c r="AO337" s="124" t="str">
        <f>IF($B337="","",IF(AO$3=0,"n.b.",INDEX(SRC_Woningetalage!$A$1:$ZZ$501,$A337,AO$3)))</f>
        <v/>
      </c>
      <c r="AP337" s="124" t="str">
        <f>IF($B337="","",IF(AP$3=0,"n.b.",INDEX(SRC_Woningetalage!$A$1:$ZZ$501,$A337,AP$3)))</f>
        <v/>
      </c>
      <c r="AQ337" s="124" t="str">
        <f>IF($B337="","",IF(AQ$3=0,"n.b.",INDEX(SRC_Woningetalage!$A$1:$ZZ$501,$A337,AQ$3)))</f>
        <v/>
      </c>
      <c r="AR337" s="124" t="str">
        <f>IF($B337="","",IF(AR$3=0,"n.b.",INDEX(SRC_Woningetalage!$A$1:$ZZ$501,$A337,AR$3)))</f>
        <v/>
      </c>
      <c r="AS337" s="124" t="str">
        <f>IF($B337="","",IF(AS$3=0,"n.b.",INDEX(SRC_Woningetalage!$A$1:$ZZ$501,$A337,AS$3)))</f>
        <v/>
      </c>
      <c r="AT337" s="124" t="str">
        <f>IF($B337="","",IF(AT$3=0,"n.b.",INDEX(SRC_Woningetalage!$A$1:$ZZ$501,$A337,AT$3)))</f>
        <v/>
      </c>
      <c r="AU337" s="124" t="str">
        <f>IF($B337="","",IF(AU$3=0,"n.b.",INDEX(SRC_Woningetalage!$A$1:$ZZ$501,$A337,AU$3)))</f>
        <v/>
      </c>
      <c r="AV337" s="124" t="str">
        <f>IF($B337="","",IF(AV$3=0,"n.b.",INDEX(SRC_Woningetalage!$A$1:$ZZ$501,$A337,AV$3)))</f>
        <v/>
      </c>
      <c r="AW337" s="124" t="str">
        <f>IF($B337="","",IF(AW$3=0,"n.b.",INDEX(SRC_Woningetalage!$A$1:$ZZ$501,$A337,AW$3)))</f>
        <v/>
      </c>
      <c r="AX337" s="124" t="str">
        <f>IF($B337="","",IF(AX$3=0,"n.b.",INDEX(SRC_Woningetalage!$A$1:$ZZ$501,$A337,AX$3)))</f>
        <v/>
      </c>
      <c r="AY337" s="124" t="str">
        <f>IF($B337="","",IF(AY$3=0,"n.b.",INDEX(SRC_Woningetalage!$A$1:$ZZ$501,$A337,AY$3)))</f>
        <v/>
      </c>
      <c r="AZ337" s="124" t="str">
        <f>IF($B337="","",IF(AZ$3=0,"n.b.",INDEX(SRC_Woningetalage!$A$1:$ZZ$501,$A337,AZ$3)))</f>
        <v/>
      </c>
      <c r="BA337" s="124" t="str">
        <f>IF($B337="","",IF(BA$3=0,"n.b.",INDEX(SRC_Woningetalage!$A$1:$ZZ$501,$A337,BA$3)))</f>
        <v/>
      </c>
      <c r="BB337" s="124" t="str">
        <f>IF($B337="","",IF(BB$3=0,"n.b.",INDEX(SRC_Woningetalage!$A$1:$ZZ$501,$A337,BB$3)))</f>
        <v/>
      </c>
      <c r="BC337" s="124" t="str">
        <f>IF($B337="","",IFERROR(_xlfn.NUMBERVALUE(E337&amp;"",",","."),"n.b."))</f>
        <v/>
      </c>
      <c r="BD337" s="124" t="str">
        <f>IF($B337="","",IFERROR(_xlfn.NUMBERVALUE(M337&amp;"",",","."),"n.b."))</f>
        <v/>
      </c>
      <c r="BE337" s="124" t="str">
        <f>IF($B337="","",IFERROR(AB337+AC337+AD337,"n.b."))</f>
        <v/>
      </c>
      <c r="BF337" s="124" t="str">
        <f>IF($B337="","",IFERROR(AE337+AF337+AG337,"n.b."))</f>
        <v/>
      </c>
      <c r="BG337" s="124" t="str">
        <f>IF($B337="","",IFERROR(AH337+AI337+AJ337,"n.b."))</f>
        <v/>
      </c>
      <c r="BH337" s="124" t="str">
        <f>IF($B337="","",IFERROR(AK337+AL337+AM337,"n.b."))</f>
        <v/>
      </c>
      <c r="BI337" s="124" t="str">
        <f>IF($B337="","",IFERROR(SUMIF($AB$5:$AM$5,"&lt;="&amp;P_PeilMaand,AB337:AM337),"n.b."))</f>
        <v/>
      </c>
      <c r="BJ337" s="124" t="str">
        <f>IF($B337="","",IFERROR(SUM(AB337:AM337)-BI337,"n.b."))</f>
        <v/>
      </c>
      <c r="BK337" s="124" t="str">
        <f>IF($B337="","",IFERROR(IF(ABS(Q337-(T337+SUM(AB337:AM337)+AS337+AU337))&gt;P_Tol,1,0),1))</f>
        <v/>
      </c>
      <c r="BL337" s="124" t="str">
        <f>IF($B337="","",IFERROR(IF(ABS(AA337-(Q337-Z337))&gt;P_Tol,1,0),1))</f>
        <v/>
      </c>
      <c r="BM337" s="124" t="str">
        <f>IF($B337="","",IFERROR(IF(ABS(Z337-(T337+W337))&gt;P_Tol,1,0),1))</f>
        <v/>
      </c>
      <c r="BN337" s="124" t="str">
        <f>IF($B337="","",IFERROR(IF(ABS(W337-BI337)&gt;P_Tol,1,0),1))</f>
        <v/>
      </c>
      <c r="BO337" s="124" t="str">
        <f>IF($B337="","",IFERROR(IF(OR(ABS(R337+S337-T337)&gt;P_Tol,ABS(U337+V337-W337)&gt;P_Tol,ABS(X337+Y337-Z337)&gt;P_Tol),1,0),1))</f>
        <v/>
      </c>
      <c r="BP337" s="124" t="str">
        <f>IF($B337="","",IFERROR(IF(OR(ABS(AR337-SUM(AB337:AM337))&gt;P_Tol,ABS(AS337-(AN337+AO337+AP337+AQ337))&gt;P_Tol),1,0),1))</f>
        <v/>
      </c>
      <c r="BQ337" s="124" t="str">
        <f>IF($B337="","",IFERROR(IF(ABS(AT337)+ABS(AV337)+ABS(AW337)+ABS(AX337)+ABS(AY337)+ABS(AZ337)+ABS(BA337)+ABS(BB337)&gt;0,1,0),1))</f>
        <v/>
      </c>
      <c r="BR337" s="124" t="str">
        <f>IF($B337="","",COUNTIF(STG_ZPMW03!$B$6:$B$505,B337))</f>
        <v/>
      </c>
      <c r="BS337" s="124" t="str">
        <f>IF($B337="","",COUNTIF($B$6:$B$505,B337))</f>
        <v/>
      </c>
      <c r="BT337" s="124" t="str">
        <f>IF($B337="","",IF(BR337=0,0,IF(INDEX(STG_ZPMW03!$I$6:$I$505,MATCH(B337,STG_ZPMW03!$B$6:$B$505,0))=J337&amp;"",0,1)))</f>
        <v/>
      </c>
      <c r="BU337" s="124" t="str">
        <f>IF($B337="","",IFERROR(IF(ABS(INDEX(Mapping!$D$5:$D$104,MATCH(B337,Mapping!$A$5:$A$104,0))-Q337)&gt;P_Tol,1,0),0))</f>
        <v/>
      </c>
      <c r="BV337" s="124" t="str">
        <f>IF($B337="","",IFERROR(IF(AND(INDEX(Mapping!$G$5:$G$104,MATCH(B337,Mapping!$A$5:$A$104,0))="Nee",ABS(Q337)+ABS(Z337)+ABS(AR337)&gt;0),1,0),0))</f>
        <v/>
      </c>
      <c r="BW337" s="124" t="str">
        <f>IF($B337="","",IF(COUNTIF(Mapping!$A$5:$A$104,B337)&gt;0,1,0))</f>
        <v/>
      </c>
      <c r="BX337" s="124" t="str">
        <f>IF($B337="","",IF(BR337=0,COUNTIF($BR$6:BR337,0),""))</f>
        <v/>
      </c>
    </row>
    <row r="338">
      <c r="A338" s="15" t="n">
        <v>334</v>
      </c>
      <c r="B338" t="str">
        <f>IF(B$3=0,"",IF(INDEX(SRC_Woningetalage!$A$1:$ZZ$501,$A338,B$3)&amp;""="","",INDEX(SRC_Woningetalage!$A$1:$ZZ$501,$A338,B$3)&amp;""))</f>
        <v/>
      </c>
      <c r="C338" t="str">
        <f>IF($B338="","",IF(C$3=0,"n.b.",INDEX(SRC_Woningetalage!$A$1:$ZZ$501,$A338,C$3)))</f>
        <v/>
      </c>
      <c r="D338" t="str">
        <f>IF($B338="","",IF(D$3=0,"n.b.",INDEX(SRC_Woningetalage!$A$1:$ZZ$501,$A338,D$3)))</f>
        <v/>
      </c>
      <c r="E338" t="str">
        <f>IF($B338="","",IF(E$3=0,"n.b.",INDEX(SRC_Woningetalage!$A$1:$ZZ$501,$A338,E$3)))</f>
        <v/>
      </c>
      <c r="F338" t="str">
        <f>IF($B338="","",IF(F$3=0,"n.b.",INDEX(SRC_Woningetalage!$A$1:$ZZ$501,$A338,F$3)))</f>
        <v/>
      </c>
      <c r="G338" t="str">
        <f>IF($B338="","",IF(G$3=0,"n.b.",INDEX(SRC_Woningetalage!$A$1:$ZZ$501,$A338,G$3)))</f>
        <v/>
      </c>
      <c r="H338" t="str">
        <f>IF($B338="","",IF(H$3=0,"n.b.",INDEX(SRC_Woningetalage!$A$1:$ZZ$501,$A338,H$3)))</f>
        <v/>
      </c>
      <c r="I338" t="str">
        <f>IF($B338="","",IF(I$3=0,"n.b.",INDEX(SRC_Woningetalage!$A$1:$ZZ$501,$A338,I$3)))</f>
        <v/>
      </c>
      <c r="J338" t="str">
        <f>IF($B338="","",IF(J$3=0,"n.b.",INDEX(SRC_Woningetalage!$A$1:$ZZ$501,$A338,J$3)))</f>
        <v/>
      </c>
      <c r="K338" t="str">
        <f>IF($B338="","",IF(K$3=0,"n.b.",INDEX(SRC_Woningetalage!$A$1:$ZZ$501,$A338,K$3)))</f>
        <v/>
      </c>
      <c r="L338" t="str">
        <f>IF($B338="","",IF(L$3=0,"n.b.",INDEX(SRC_Woningetalage!$A$1:$ZZ$501,$A338,L$3)))</f>
        <v/>
      </c>
      <c r="M338" t="str">
        <f>IF($B338="","",IF(M$3=0,"n.b.",INDEX(SRC_Woningetalage!$A$1:$ZZ$501,$A338,M$3)))</f>
        <v/>
      </c>
      <c r="N338" t="str">
        <f>IF($B338="","",IF(N$3=0,"n.b.",INDEX(SRC_Woningetalage!$A$1:$ZZ$501,$A338,N$3)))</f>
        <v/>
      </c>
      <c r="O338" t="str">
        <f>IF($B338="","",IF(O$3=0,"n.b.",INDEX(SRC_Woningetalage!$A$1:$ZZ$501,$A338,O$3)))</f>
        <v/>
      </c>
      <c r="P338" t="str">
        <f>IF($B338="","",IF(P$3=0,"n.b.",INDEX(SRC_Woningetalage!$A$1:$ZZ$501,$A338,P$3)))</f>
        <v/>
      </c>
      <c r="Q338" s="124" t="str">
        <f>IF($B338="","",IF(Q$3=0,"n.b.",INDEX(SRC_Woningetalage!$A$1:$ZZ$501,$A338,Q$3)))</f>
        <v/>
      </c>
      <c r="R338" s="124" t="str">
        <f>IF($B338="","",IF(R$3=0,"n.b.",INDEX(SRC_Woningetalage!$A$1:$ZZ$501,$A338,R$3)))</f>
        <v/>
      </c>
      <c r="S338" s="124" t="str">
        <f>IF($B338="","",IF(S$3=0,"n.b.",INDEX(SRC_Woningetalage!$A$1:$ZZ$501,$A338,S$3)))</f>
        <v/>
      </c>
      <c r="T338" s="124" t="str">
        <f>IF($B338="","",IF(T$3=0,"n.b.",INDEX(SRC_Woningetalage!$A$1:$ZZ$501,$A338,T$3)))</f>
        <v/>
      </c>
      <c r="U338" s="124" t="str">
        <f>IF($B338="","",IF(U$3=0,"n.b.",INDEX(SRC_Woningetalage!$A$1:$ZZ$501,$A338,U$3)))</f>
        <v/>
      </c>
      <c r="V338" s="124" t="str">
        <f>IF($B338="","",IF(V$3=0,"n.b.",INDEX(SRC_Woningetalage!$A$1:$ZZ$501,$A338,V$3)))</f>
        <v/>
      </c>
      <c r="W338" s="124" t="str">
        <f>IF($B338="","",IF(W$3=0,"n.b.",INDEX(SRC_Woningetalage!$A$1:$ZZ$501,$A338,W$3)))</f>
        <v/>
      </c>
      <c r="X338" s="124" t="str">
        <f>IF($B338="","",IF(X$3=0,"n.b.",INDEX(SRC_Woningetalage!$A$1:$ZZ$501,$A338,X$3)))</f>
        <v/>
      </c>
      <c r="Y338" s="124" t="str">
        <f>IF($B338="","",IF(Y$3=0,"n.b.",INDEX(SRC_Woningetalage!$A$1:$ZZ$501,$A338,Y$3)))</f>
        <v/>
      </c>
      <c r="Z338" s="124" t="str">
        <f>IF($B338="","",IF(Z$3=0,"n.b.",INDEX(SRC_Woningetalage!$A$1:$ZZ$501,$A338,Z$3)))</f>
        <v/>
      </c>
      <c r="AA338" s="124" t="str">
        <f>IF($B338="","",IF(AA$3=0,"n.b.",INDEX(SRC_Woningetalage!$A$1:$ZZ$501,$A338,AA$3)))</f>
        <v/>
      </c>
      <c r="AB338" s="124" t="str">
        <f>IF($B338="","",IF(AB$3=0,"n.b.",INDEX(SRC_Woningetalage!$A$1:$ZZ$501,$A338,AB$3)))</f>
        <v/>
      </c>
      <c r="AC338" s="124" t="str">
        <f>IF($B338="","",IF(AC$3=0,"n.b.",INDEX(SRC_Woningetalage!$A$1:$ZZ$501,$A338,AC$3)))</f>
        <v/>
      </c>
      <c r="AD338" s="124" t="str">
        <f>IF($B338="","",IF(AD$3=0,"n.b.",INDEX(SRC_Woningetalage!$A$1:$ZZ$501,$A338,AD$3)))</f>
        <v/>
      </c>
      <c r="AE338" s="124" t="str">
        <f>IF($B338="","",IF(AE$3=0,"n.b.",INDEX(SRC_Woningetalage!$A$1:$ZZ$501,$A338,AE$3)))</f>
        <v/>
      </c>
      <c r="AF338" s="124" t="str">
        <f>IF($B338="","",IF(AF$3=0,"n.b.",INDEX(SRC_Woningetalage!$A$1:$ZZ$501,$A338,AF$3)))</f>
        <v/>
      </c>
      <c r="AG338" s="124" t="str">
        <f>IF($B338="","",IF(AG$3=0,"n.b.",INDEX(SRC_Woningetalage!$A$1:$ZZ$501,$A338,AG$3)))</f>
        <v/>
      </c>
      <c r="AH338" s="124" t="str">
        <f>IF($B338="","",IF(AH$3=0,"n.b.",INDEX(SRC_Woningetalage!$A$1:$ZZ$501,$A338,AH$3)))</f>
        <v/>
      </c>
      <c r="AI338" s="124" t="str">
        <f>IF($B338="","",IF(AI$3=0,"n.b.",INDEX(SRC_Woningetalage!$A$1:$ZZ$501,$A338,AI$3)))</f>
        <v/>
      </c>
      <c r="AJ338" s="124" t="str">
        <f>IF($B338="","",IF(AJ$3=0,"n.b.",INDEX(SRC_Woningetalage!$A$1:$ZZ$501,$A338,AJ$3)))</f>
        <v/>
      </c>
      <c r="AK338" s="124" t="str">
        <f>IF($B338="","",IF(AK$3=0,"n.b.",INDEX(SRC_Woningetalage!$A$1:$ZZ$501,$A338,AK$3)))</f>
        <v/>
      </c>
      <c r="AL338" s="124" t="str">
        <f>IF($B338="","",IF(AL$3=0,"n.b.",INDEX(SRC_Woningetalage!$A$1:$ZZ$501,$A338,AL$3)))</f>
        <v/>
      </c>
      <c r="AM338" s="124" t="str">
        <f>IF($B338="","",IF(AM$3=0,"n.b.",INDEX(SRC_Woningetalage!$A$1:$ZZ$501,$A338,AM$3)))</f>
        <v/>
      </c>
      <c r="AN338" s="124" t="str">
        <f>IF($B338="","",IF(AN$3=0,"n.b.",INDEX(SRC_Woningetalage!$A$1:$ZZ$501,$A338,AN$3)))</f>
        <v/>
      </c>
      <c r="AO338" s="124" t="str">
        <f>IF($B338="","",IF(AO$3=0,"n.b.",INDEX(SRC_Woningetalage!$A$1:$ZZ$501,$A338,AO$3)))</f>
        <v/>
      </c>
      <c r="AP338" s="124" t="str">
        <f>IF($B338="","",IF(AP$3=0,"n.b.",INDEX(SRC_Woningetalage!$A$1:$ZZ$501,$A338,AP$3)))</f>
        <v/>
      </c>
      <c r="AQ338" s="124" t="str">
        <f>IF($B338="","",IF(AQ$3=0,"n.b.",INDEX(SRC_Woningetalage!$A$1:$ZZ$501,$A338,AQ$3)))</f>
        <v/>
      </c>
      <c r="AR338" s="124" t="str">
        <f>IF($B338="","",IF(AR$3=0,"n.b.",INDEX(SRC_Woningetalage!$A$1:$ZZ$501,$A338,AR$3)))</f>
        <v/>
      </c>
      <c r="AS338" s="124" t="str">
        <f>IF($B338="","",IF(AS$3=0,"n.b.",INDEX(SRC_Woningetalage!$A$1:$ZZ$501,$A338,AS$3)))</f>
        <v/>
      </c>
      <c r="AT338" s="124" t="str">
        <f>IF($B338="","",IF(AT$3=0,"n.b.",INDEX(SRC_Woningetalage!$A$1:$ZZ$501,$A338,AT$3)))</f>
        <v/>
      </c>
      <c r="AU338" s="124" t="str">
        <f>IF($B338="","",IF(AU$3=0,"n.b.",INDEX(SRC_Woningetalage!$A$1:$ZZ$501,$A338,AU$3)))</f>
        <v/>
      </c>
      <c r="AV338" s="124" t="str">
        <f>IF($B338="","",IF(AV$3=0,"n.b.",INDEX(SRC_Woningetalage!$A$1:$ZZ$501,$A338,AV$3)))</f>
        <v/>
      </c>
      <c r="AW338" s="124" t="str">
        <f>IF($B338="","",IF(AW$3=0,"n.b.",INDEX(SRC_Woningetalage!$A$1:$ZZ$501,$A338,AW$3)))</f>
        <v/>
      </c>
      <c r="AX338" s="124" t="str">
        <f>IF($B338="","",IF(AX$3=0,"n.b.",INDEX(SRC_Woningetalage!$A$1:$ZZ$501,$A338,AX$3)))</f>
        <v/>
      </c>
      <c r="AY338" s="124" t="str">
        <f>IF($B338="","",IF(AY$3=0,"n.b.",INDEX(SRC_Woningetalage!$A$1:$ZZ$501,$A338,AY$3)))</f>
        <v/>
      </c>
      <c r="AZ338" s="124" t="str">
        <f>IF($B338="","",IF(AZ$3=0,"n.b.",INDEX(SRC_Woningetalage!$A$1:$ZZ$501,$A338,AZ$3)))</f>
        <v/>
      </c>
      <c r="BA338" s="124" t="str">
        <f>IF($B338="","",IF(BA$3=0,"n.b.",INDEX(SRC_Woningetalage!$A$1:$ZZ$501,$A338,BA$3)))</f>
        <v/>
      </c>
      <c r="BB338" s="124" t="str">
        <f>IF($B338="","",IF(BB$3=0,"n.b.",INDEX(SRC_Woningetalage!$A$1:$ZZ$501,$A338,BB$3)))</f>
        <v/>
      </c>
      <c r="BC338" s="124" t="str">
        <f>IF($B338="","",IFERROR(_xlfn.NUMBERVALUE(E338&amp;"",",","."),"n.b."))</f>
        <v/>
      </c>
      <c r="BD338" s="124" t="str">
        <f>IF($B338="","",IFERROR(_xlfn.NUMBERVALUE(M338&amp;"",",","."),"n.b."))</f>
        <v/>
      </c>
      <c r="BE338" s="124" t="str">
        <f>IF($B338="","",IFERROR(AB338+AC338+AD338,"n.b."))</f>
        <v/>
      </c>
      <c r="BF338" s="124" t="str">
        <f>IF($B338="","",IFERROR(AE338+AF338+AG338,"n.b."))</f>
        <v/>
      </c>
      <c r="BG338" s="124" t="str">
        <f>IF($B338="","",IFERROR(AH338+AI338+AJ338,"n.b."))</f>
        <v/>
      </c>
      <c r="BH338" s="124" t="str">
        <f>IF($B338="","",IFERROR(AK338+AL338+AM338,"n.b."))</f>
        <v/>
      </c>
      <c r="BI338" s="124" t="str">
        <f>IF($B338="","",IFERROR(SUMIF($AB$5:$AM$5,"&lt;="&amp;P_PeilMaand,AB338:AM338),"n.b."))</f>
        <v/>
      </c>
      <c r="BJ338" s="124" t="str">
        <f>IF($B338="","",IFERROR(SUM(AB338:AM338)-BI338,"n.b."))</f>
        <v/>
      </c>
      <c r="BK338" s="124" t="str">
        <f>IF($B338="","",IFERROR(IF(ABS(Q338-(T338+SUM(AB338:AM338)+AS338+AU338))&gt;P_Tol,1,0),1))</f>
        <v/>
      </c>
      <c r="BL338" s="124" t="str">
        <f>IF($B338="","",IFERROR(IF(ABS(AA338-(Q338-Z338))&gt;P_Tol,1,0),1))</f>
        <v/>
      </c>
      <c r="BM338" s="124" t="str">
        <f>IF($B338="","",IFERROR(IF(ABS(Z338-(T338+W338))&gt;P_Tol,1,0),1))</f>
        <v/>
      </c>
      <c r="BN338" s="124" t="str">
        <f>IF($B338="","",IFERROR(IF(ABS(W338-BI338)&gt;P_Tol,1,0),1))</f>
        <v/>
      </c>
      <c r="BO338" s="124" t="str">
        <f>IF($B338="","",IFERROR(IF(OR(ABS(R338+S338-T338)&gt;P_Tol,ABS(U338+V338-W338)&gt;P_Tol,ABS(X338+Y338-Z338)&gt;P_Tol),1,0),1))</f>
        <v/>
      </c>
      <c r="BP338" s="124" t="str">
        <f>IF($B338="","",IFERROR(IF(OR(ABS(AR338-SUM(AB338:AM338))&gt;P_Tol,ABS(AS338-(AN338+AO338+AP338+AQ338))&gt;P_Tol),1,0),1))</f>
        <v/>
      </c>
      <c r="BQ338" s="124" t="str">
        <f>IF($B338="","",IFERROR(IF(ABS(AT338)+ABS(AV338)+ABS(AW338)+ABS(AX338)+ABS(AY338)+ABS(AZ338)+ABS(BA338)+ABS(BB338)&gt;0,1,0),1))</f>
        <v/>
      </c>
      <c r="BR338" s="124" t="str">
        <f>IF($B338="","",COUNTIF(STG_ZPMW03!$B$6:$B$505,B338))</f>
        <v/>
      </c>
      <c r="BS338" s="124" t="str">
        <f>IF($B338="","",COUNTIF($B$6:$B$505,B338))</f>
        <v/>
      </c>
      <c r="BT338" s="124" t="str">
        <f>IF($B338="","",IF(BR338=0,0,IF(INDEX(STG_ZPMW03!$I$6:$I$505,MATCH(B338,STG_ZPMW03!$B$6:$B$505,0))=J338&amp;"",0,1)))</f>
        <v/>
      </c>
      <c r="BU338" s="124" t="str">
        <f>IF($B338="","",IFERROR(IF(ABS(INDEX(Mapping!$D$5:$D$104,MATCH(B338,Mapping!$A$5:$A$104,0))-Q338)&gt;P_Tol,1,0),0))</f>
        <v/>
      </c>
      <c r="BV338" s="124" t="str">
        <f>IF($B338="","",IFERROR(IF(AND(INDEX(Mapping!$G$5:$G$104,MATCH(B338,Mapping!$A$5:$A$104,0))="Nee",ABS(Q338)+ABS(Z338)+ABS(AR338)&gt;0),1,0),0))</f>
        <v/>
      </c>
      <c r="BW338" s="124" t="str">
        <f>IF($B338="","",IF(COUNTIF(Mapping!$A$5:$A$104,B338)&gt;0,1,0))</f>
        <v/>
      </c>
      <c r="BX338" s="124" t="str">
        <f>IF($B338="","",IF(BR338=0,COUNTIF($BR$6:BR338,0),""))</f>
        <v/>
      </c>
    </row>
    <row r="339">
      <c r="A339" s="15" t="n">
        <v>335</v>
      </c>
      <c r="B339" t="str">
        <f>IF(B$3=0,"",IF(INDEX(SRC_Woningetalage!$A$1:$ZZ$501,$A339,B$3)&amp;""="","",INDEX(SRC_Woningetalage!$A$1:$ZZ$501,$A339,B$3)&amp;""))</f>
        <v/>
      </c>
      <c r="C339" t="str">
        <f>IF($B339="","",IF(C$3=0,"n.b.",INDEX(SRC_Woningetalage!$A$1:$ZZ$501,$A339,C$3)))</f>
        <v/>
      </c>
      <c r="D339" t="str">
        <f>IF($B339="","",IF(D$3=0,"n.b.",INDEX(SRC_Woningetalage!$A$1:$ZZ$501,$A339,D$3)))</f>
        <v/>
      </c>
      <c r="E339" t="str">
        <f>IF($B339="","",IF(E$3=0,"n.b.",INDEX(SRC_Woningetalage!$A$1:$ZZ$501,$A339,E$3)))</f>
        <v/>
      </c>
      <c r="F339" t="str">
        <f>IF($B339="","",IF(F$3=0,"n.b.",INDEX(SRC_Woningetalage!$A$1:$ZZ$501,$A339,F$3)))</f>
        <v/>
      </c>
      <c r="G339" t="str">
        <f>IF($B339="","",IF(G$3=0,"n.b.",INDEX(SRC_Woningetalage!$A$1:$ZZ$501,$A339,G$3)))</f>
        <v/>
      </c>
      <c r="H339" t="str">
        <f>IF($B339="","",IF(H$3=0,"n.b.",INDEX(SRC_Woningetalage!$A$1:$ZZ$501,$A339,H$3)))</f>
        <v/>
      </c>
      <c r="I339" t="str">
        <f>IF($B339="","",IF(I$3=0,"n.b.",INDEX(SRC_Woningetalage!$A$1:$ZZ$501,$A339,I$3)))</f>
        <v/>
      </c>
      <c r="J339" t="str">
        <f>IF($B339="","",IF(J$3=0,"n.b.",INDEX(SRC_Woningetalage!$A$1:$ZZ$501,$A339,J$3)))</f>
        <v/>
      </c>
      <c r="K339" t="str">
        <f>IF($B339="","",IF(K$3=0,"n.b.",INDEX(SRC_Woningetalage!$A$1:$ZZ$501,$A339,K$3)))</f>
        <v/>
      </c>
      <c r="L339" t="str">
        <f>IF($B339="","",IF(L$3=0,"n.b.",INDEX(SRC_Woningetalage!$A$1:$ZZ$501,$A339,L$3)))</f>
        <v/>
      </c>
      <c r="M339" t="str">
        <f>IF($B339="","",IF(M$3=0,"n.b.",INDEX(SRC_Woningetalage!$A$1:$ZZ$501,$A339,M$3)))</f>
        <v/>
      </c>
      <c r="N339" t="str">
        <f>IF($B339="","",IF(N$3=0,"n.b.",INDEX(SRC_Woningetalage!$A$1:$ZZ$501,$A339,N$3)))</f>
        <v/>
      </c>
      <c r="O339" t="str">
        <f>IF($B339="","",IF(O$3=0,"n.b.",INDEX(SRC_Woningetalage!$A$1:$ZZ$501,$A339,O$3)))</f>
        <v/>
      </c>
      <c r="P339" t="str">
        <f>IF($B339="","",IF(P$3=0,"n.b.",INDEX(SRC_Woningetalage!$A$1:$ZZ$501,$A339,P$3)))</f>
        <v/>
      </c>
      <c r="Q339" s="124" t="str">
        <f>IF($B339="","",IF(Q$3=0,"n.b.",INDEX(SRC_Woningetalage!$A$1:$ZZ$501,$A339,Q$3)))</f>
        <v/>
      </c>
      <c r="R339" s="124" t="str">
        <f>IF($B339="","",IF(R$3=0,"n.b.",INDEX(SRC_Woningetalage!$A$1:$ZZ$501,$A339,R$3)))</f>
        <v/>
      </c>
      <c r="S339" s="124" t="str">
        <f>IF($B339="","",IF(S$3=0,"n.b.",INDEX(SRC_Woningetalage!$A$1:$ZZ$501,$A339,S$3)))</f>
        <v/>
      </c>
      <c r="T339" s="124" t="str">
        <f>IF($B339="","",IF(T$3=0,"n.b.",INDEX(SRC_Woningetalage!$A$1:$ZZ$501,$A339,T$3)))</f>
        <v/>
      </c>
      <c r="U339" s="124" t="str">
        <f>IF($B339="","",IF(U$3=0,"n.b.",INDEX(SRC_Woningetalage!$A$1:$ZZ$501,$A339,U$3)))</f>
        <v/>
      </c>
      <c r="V339" s="124" t="str">
        <f>IF($B339="","",IF(V$3=0,"n.b.",INDEX(SRC_Woningetalage!$A$1:$ZZ$501,$A339,V$3)))</f>
        <v/>
      </c>
      <c r="W339" s="124" t="str">
        <f>IF($B339="","",IF(W$3=0,"n.b.",INDEX(SRC_Woningetalage!$A$1:$ZZ$501,$A339,W$3)))</f>
        <v/>
      </c>
      <c r="X339" s="124" t="str">
        <f>IF($B339="","",IF(X$3=0,"n.b.",INDEX(SRC_Woningetalage!$A$1:$ZZ$501,$A339,X$3)))</f>
        <v/>
      </c>
      <c r="Y339" s="124" t="str">
        <f>IF($B339="","",IF(Y$3=0,"n.b.",INDEX(SRC_Woningetalage!$A$1:$ZZ$501,$A339,Y$3)))</f>
        <v/>
      </c>
      <c r="Z339" s="124" t="str">
        <f>IF($B339="","",IF(Z$3=0,"n.b.",INDEX(SRC_Woningetalage!$A$1:$ZZ$501,$A339,Z$3)))</f>
        <v/>
      </c>
      <c r="AA339" s="124" t="str">
        <f>IF($B339="","",IF(AA$3=0,"n.b.",INDEX(SRC_Woningetalage!$A$1:$ZZ$501,$A339,AA$3)))</f>
        <v/>
      </c>
      <c r="AB339" s="124" t="str">
        <f>IF($B339="","",IF(AB$3=0,"n.b.",INDEX(SRC_Woningetalage!$A$1:$ZZ$501,$A339,AB$3)))</f>
        <v/>
      </c>
      <c r="AC339" s="124" t="str">
        <f>IF($B339="","",IF(AC$3=0,"n.b.",INDEX(SRC_Woningetalage!$A$1:$ZZ$501,$A339,AC$3)))</f>
        <v/>
      </c>
      <c r="AD339" s="124" t="str">
        <f>IF($B339="","",IF(AD$3=0,"n.b.",INDEX(SRC_Woningetalage!$A$1:$ZZ$501,$A339,AD$3)))</f>
        <v/>
      </c>
      <c r="AE339" s="124" t="str">
        <f>IF($B339="","",IF(AE$3=0,"n.b.",INDEX(SRC_Woningetalage!$A$1:$ZZ$501,$A339,AE$3)))</f>
        <v/>
      </c>
      <c r="AF339" s="124" t="str">
        <f>IF($B339="","",IF(AF$3=0,"n.b.",INDEX(SRC_Woningetalage!$A$1:$ZZ$501,$A339,AF$3)))</f>
        <v/>
      </c>
      <c r="AG339" s="124" t="str">
        <f>IF($B339="","",IF(AG$3=0,"n.b.",INDEX(SRC_Woningetalage!$A$1:$ZZ$501,$A339,AG$3)))</f>
        <v/>
      </c>
      <c r="AH339" s="124" t="str">
        <f>IF($B339="","",IF(AH$3=0,"n.b.",INDEX(SRC_Woningetalage!$A$1:$ZZ$501,$A339,AH$3)))</f>
        <v/>
      </c>
      <c r="AI339" s="124" t="str">
        <f>IF($B339="","",IF(AI$3=0,"n.b.",INDEX(SRC_Woningetalage!$A$1:$ZZ$501,$A339,AI$3)))</f>
        <v/>
      </c>
      <c r="AJ339" s="124" t="str">
        <f>IF($B339="","",IF(AJ$3=0,"n.b.",INDEX(SRC_Woningetalage!$A$1:$ZZ$501,$A339,AJ$3)))</f>
        <v/>
      </c>
      <c r="AK339" s="124" t="str">
        <f>IF($B339="","",IF(AK$3=0,"n.b.",INDEX(SRC_Woningetalage!$A$1:$ZZ$501,$A339,AK$3)))</f>
        <v/>
      </c>
      <c r="AL339" s="124" t="str">
        <f>IF($B339="","",IF(AL$3=0,"n.b.",INDEX(SRC_Woningetalage!$A$1:$ZZ$501,$A339,AL$3)))</f>
        <v/>
      </c>
      <c r="AM339" s="124" t="str">
        <f>IF($B339="","",IF(AM$3=0,"n.b.",INDEX(SRC_Woningetalage!$A$1:$ZZ$501,$A339,AM$3)))</f>
        <v/>
      </c>
      <c r="AN339" s="124" t="str">
        <f>IF($B339="","",IF(AN$3=0,"n.b.",INDEX(SRC_Woningetalage!$A$1:$ZZ$501,$A339,AN$3)))</f>
        <v/>
      </c>
      <c r="AO339" s="124" t="str">
        <f>IF($B339="","",IF(AO$3=0,"n.b.",INDEX(SRC_Woningetalage!$A$1:$ZZ$501,$A339,AO$3)))</f>
        <v/>
      </c>
      <c r="AP339" s="124" t="str">
        <f>IF($B339="","",IF(AP$3=0,"n.b.",INDEX(SRC_Woningetalage!$A$1:$ZZ$501,$A339,AP$3)))</f>
        <v/>
      </c>
      <c r="AQ339" s="124" t="str">
        <f>IF($B339="","",IF(AQ$3=0,"n.b.",INDEX(SRC_Woningetalage!$A$1:$ZZ$501,$A339,AQ$3)))</f>
        <v/>
      </c>
      <c r="AR339" s="124" t="str">
        <f>IF($B339="","",IF(AR$3=0,"n.b.",INDEX(SRC_Woningetalage!$A$1:$ZZ$501,$A339,AR$3)))</f>
        <v/>
      </c>
      <c r="AS339" s="124" t="str">
        <f>IF($B339="","",IF(AS$3=0,"n.b.",INDEX(SRC_Woningetalage!$A$1:$ZZ$501,$A339,AS$3)))</f>
        <v/>
      </c>
      <c r="AT339" s="124" t="str">
        <f>IF($B339="","",IF(AT$3=0,"n.b.",INDEX(SRC_Woningetalage!$A$1:$ZZ$501,$A339,AT$3)))</f>
        <v/>
      </c>
      <c r="AU339" s="124" t="str">
        <f>IF($B339="","",IF(AU$3=0,"n.b.",INDEX(SRC_Woningetalage!$A$1:$ZZ$501,$A339,AU$3)))</f>
        <v/>
      </c>
      <c r="AV339" s="124" t="str">
        <f>IF($B339="","",IF(AV$3=0,"n.b.",INDEX(SRC_Woningetalage!$A$1:$ZZ$501,$A339,AV$3)))</f>
        <v/>
      </c>
      <c r="AW339" s="124" t="str">
        <f>IF($B339="","",IF(AW$3=0,"n.b.",INDEX(SRC_Woningetalage!$A$1:$ZZ$501,$A339,AW$3)))</f>
        <v/>
      </c>
      <c r="AX339" s="124" t="str">
        <f>IF($B339="","",IF(AX$3=0,"n.b.",INDEX(SRC_Woningetalage!$A$1:$ZZ$501,$A339,AX$3)))</f>
        <v/>
      </c>
      <c r="AY339" s="124" t="str">
        <f>IF($B339="","",IF(AY$3=0,"n.b.",INDEX(SRC_Woningetalage!$A$1:$ZZ$501,$A339,AY$3)))</f>
        <v/>
      </c>
      <c r="AZ339" s="124" t="str">
        <f>IF($B339="","",IF(AZ$3=0,"n.b.",INDEX(SRC_Woningetalage!$A$1:$ZZ$501,$A339,AZ$3)))</f>
        <v/>
      </c>
      <c r="BA339" s="124" t="str">
        <f>IF($B339="","",IF(BA$3=0,"n.b.",INDEX(SRC_Woningetalage!$A$1:$ZZ$501,$A339,BA$3)))</f>
        <v/>
      </c>
      <c r="BB339" s="124" t="str">
        <f>IF($B339="","",IF(BB$3=0,"n.b.",INDEX(SRC_Woningetalage!$A$1:$ZZ$501,$A339,BB$3)))</f>
        <v/>
      </c>
      <c r="BC339" s="124" t="str">
        <f>IF($B339="","",IFERROR(_xlfn.NUMBERVALUE(E339&amp;"",",","."),"n.b."))</f>
        <v/>
      </c>
      <c r="BD339" s="124" t="str">
        <f>IF($B339="","",IFERROR(_xlfn.NUMBERVALUE(M339&amp;"",",","."),"n.b."))</f>
        <v/>
      </c>
      <c r="BE339" s="124" t="str">
        <f>IF($B339="","",IFERROR(AB339+AC339+AD339,"n.b."))</f>
        <v/>
      </c>
      <c r="BF339" s="124" t="str">
        <f>IF($B339="","",IFERROR(AE339+AF339+AG339,"n.b."))</f>
        <v/>
      </c>
      <c r="BG339" s="124" t="str">
        <f>IF($B339="","",IFERROR(AH339+AI339+AJ339,"n.b."))</f>
        <v/>
      </c>
      <c r="BH339" s="124" t="str">
        <f>IF($B339="","",IFERROR(AK339+AL339+AM339,"n.b."))</f>
        <v/>
      </c>
      <c r="BI339" s="124" t="str">
        <f>IF($B339="","",IFERROR(SUMIF($AB$5:$AM$5,"&lt;="&amp;P_PeilMaand,AB339:AM339),"n.b."))</f>
        <v/>
      </c>
      <c r="BJ339" s="124" t="str">
        <f>IF($B339="","",IFERROR(SUM(AB339:AM339)-BI339,"n.b."))</f>
        <v/>
      </c>
      <c r="BK339" s="124" t="str">
        <f>IF($B339="","",IFERROR(IF(ABS(Q339-(T339+SUM(AB339:AM339)+AS339+AU339))&gt;P_Tol,1,0),1))</f>
        <v/>
      </c>
      <c r="BL339" s="124" t="str">
        <f>IF($B339="","",IFERROR(IF(ABS(AA339-(Q339-Z339))&gt;P_Tol,1,0),1))</f>
        <v/>
      </c>
      <c r="BM339" s="124" t="str">
        <f>IF($B339="","",IFERROR(IF(ABS(Z339-(T339+W339))&gt;P_Tol,1,0),1))</f>
        <v/>
      </c>
      <c r="BN339" s="124" t="str">
        <f>IF($B339="","",IFERROR(IF(ABS(W339-BI339)&gt;P_Tol,1,0),1))</f>
        <v/>
      </c>
      <c r="BO339" s="124" t="str">
        <f>IF($B339="","",IFERROR(IF(OR(ABS(R339+S339-T339)&gt;P_Tol,ABS(U339+V339-W339)&gt;P_Tol,ABS(X339+Y339-Z339)&gt;P_Tol),1,0),1))</f>
        <v/>
      </c>
      <c r="BP339" s="124" t="str">
        <f>IF($B339="","",IFERROR(IF(OR(ABS(AR339-SUM(AB339:AM339))&gt;P_Tol,ABS(AS339-(AN339+AO339+AP339+AQ339))&gt;P_Tol),1,0),1))</f>
        <v/>
      </c>
      <c r="BQ339" s="124" t="str">
        <f>IF($B339="","",IFERROR(IF(ABS(AT339)+ABS(AV339)+ABS(AW339)+ABS(AX339)+ABS(AY339)+ABS(AZ339)+ABS(BA339)+ABS(BB339)&gt;0,1,0),1))</f>
        <v/>
      </c>
      <c r="BR339" s="124" t="str">
        <f>IF($B339="","",COUNTIF(STG_ZPMW03!$B$6:$B$505,B339))</f>
        <v/>
      </c>
      <c r="BS339" s="124" t="str">
        <f>IF($B339="","",COUNTIF($B$6:$B$505,B339))</f>
        <v/>
      </c>
      <c r="BT339" s="124" t="str">
        <f>IF($B339="","",IF(BR339=0,0,IF(INDEX(STG_ZPMW03!$I$6:$I$505,MATCH(B339,STG_ZPMW03!$B$6:$B$505,0))=J339&amp;"",0,1)))</f>
        <v/>
      </c>
      <c r="BU339" s="124" t="str">
        <f>IF($B339="","",IFERROR(IF(ABS(INDEX(Mapping!$D$5:$D$104,MATCH(B339,Mapping!$A$5:$A$104,0))-Q339)&gt;P_Tol,1,0),0))</f>
        <v/>
      </c>
      <c r="BV339" s="124" t="str">
        <f>IF($B339="","",IFERROR(IF(AND(INDEX(Mapping!$G$5:$G$104,MATCH(B339,Mapping!$A$5:$A$104,0))="Nee",ABS(Q339)+ABS(Z339)+ABS(AR339)&gt;0),1,0),0))</f>
        <v/>
      </c>
      <c r="BW339" s="124" t="str">
        <f>IF($B339="","",IF(COUNTIF(Mapping!$A$5:$A$104,B339)&gt;0,1,0))</f>
        <v/>
      </c>
      <c r="BX339" s="124" t="str">
        <f>IF($B339="","",IF(BR339=0,COUNTIF($BR$6:BR339,0),""))</f>
        <v/>
      </c>
    </row>
    <row r="340">
      <c r="A340" s="15" t="n">
        <v>336</v>
      </c>
      <c r="B340" t="str">
        <f>IF(B$3=0,"",IF(INDEX(SRC_Woningetalage!$A$1:$ZZ$501,$A340,B$3)&amp;""="","",INDEX(SRC_Woningetalage!$A$1:$ZZ$501,$A340,B$3)&amp;""))</f>
        <v/>
      </c>
      <c r="C340" t="str">
        <f>IF($B340="","",IF(C$3=0,"n.b.",INDEX(SRC_Woningetalage!$A$1:$ZZ$501,$A340,C$3)))</f>
        <v/>
      </c>
      <c r="D340" t="str">
        <f>IF($B340="","",IF(D$3=0,"n.b.",INDEX(SRC_Woningetalage!$A$1:$ZZ$501,$A340,D$3)))</f>
        <v/>
      </c>
      <c r="E340" t="str">
        <f>IF($B340="","",IF(E$3=0,"n.b.",INDEX(SRC_Woningetalage!$A$1:$ZZ$501,$A340,E$3)))</f>
        <v/>
      </c>
      <c r="F340" t="str">
        <f>IF($B340="","",IF(F$3=0,"n.b.",INDEX(SRC_Woningetalage!$A$1:$ZZ$501,$A340,F$3)))</f>
        <v/>
      </c>
      <c r="G340" t="str">
        <f>IF($B340="","",IF(G$3=0,"n.b.",INDEX(SRC_Woningetalage!$A$1:$ZZ$501,$A340,G$3)))</f>
        <v/>
      </c>
      <c r="H340" t="str">
        <f>IF($B340="","",IF(H$3=0,"n.b.",INDEX(SRC_Woningetalage!$A$1:$ZZ$501,$A340,H$3)))</f>
        <v/>
      </c>
      <c r="I340" t="str">
        <f>IF($B340="","",IF(I$3=0,"n.b.",INDEX(SRC_Woningetalage!$A$1:$ZZ$501,$A340,I$3)))</f>
        <v/>
      </c>
      <c r="J340" t="str">
        <f>IF($B340="","",IF(J$3=0,"n.b.",INDEX(SRC_Woningetalage!$A$1:$ZZ$501,$A340,J$3)))</f>
        <v/>
      </c>
      <c r="K340" t="str">
        <f>IF($B340="","",IF(K$3=0,"n.b.",INDEX(SRC_Woningetalage!$A$1:$ZZ$501,$A340,K$3)))</f>
        <v/>
      </c>
      <c r="L340" t="str">
        <f>IF($B340="","",IF(L$3=0,"n.b.",INDEX(SRC_Woningetalage!$A$1:$ZZ$501,$A340,L$3)))</f>
        <v/>
      </c>
      <c r="M340" t="str">
        <f>IF($B340="","",IF(M$3=0,"n.b.",INDEX(SRC_Woningetalage!$A$1:$ZZ$501,$A340,M$3)))</f>
        <v/>
      </c>
      <c r="N340" t="str">
        <f>IF($B340="","",IF(N$3=0,"n.b.",INDEX(SRC_Woningetalage!$A$1:$ZZ$501,$A340,N$3)))</f>
        <v/>
      </c>
      <c r="O340" t="str">
        <f>IF($B340="","",IF(O$3=0,"n.b.",INDEX(SRC_Woningetalage!$A$1:$ZZ$501,$A340,O$3)))</f>
        <v/>
      </c>
      <c r="P340" t="str">
        <f>IF($B340="","",IF(P$3=0,"n.b.",INDEX(SRC_Woningetalage!$A$1:$ZZ$501,$A340,P$3)))</f>
        <v/>
      </c>
      <c r="Q340" s="124" t="str">
        <f>IF($B340="","",IF(Q$3=0,"n.b.",INDEX(SRC_Woningetalage!$A$1:$ZZ$501,$A340,Q$3)))</f>
        <v/>
      </c>
      <c r="R340" s="124" t="str">
        <f>IF($B340="","",IF(R$3=0,"n.b.",INDEX(SRC_Woningetalage!$A$1:$ZZ$501,$A340,R$3)))</f>
        <v/>
      </c>
      <c r="S340" s="124" t="str">
        <f>IF($B340="","",IF(S$3=0,"n.b.",INDEX(SRC_Woningetalage!$A$1:$ZZ$501,$A340,S$3)))</f>
        <v/>
      </c>
      <c r="T340" s="124" t="str">
        <f>IF($B340="","",IF(T$3=0,"n.b.",INDEX(SRC_Woningetalage!$A$1:$ZZ$501,$A340,T$3)))</f>
        <v/>
      </c>
      <c r="U340" s="124" t="str">
        <f>IF($B340="","",IF(U$3=0,"n.b.",INDEX(SRC_Woningetalage!$A$1:$ZZ$501,$A340,U$3)))</f>
        <v/>
      </c>
      <c r="V340" s="124" t="str">
        <f>IF($B340="","",IF(V$3=0,"n.b.",INDEX(SRC_Woningetalage!$A$1:$ZZ$501,$A340,V$3)))</f>
        <v/>
      </c>
      <c r="W340" s="124" t="str">
        <f>IF($B340="","",IF(W$3=0,"n.b.",INDEX(SRC_Woningetalage!$A$1:$ZZ$501,$A340,W$3)))</f>
        <v/>
      </c>
      <c r="X340" s="124" t="str">
        <f>IF($B340="","",IF(X$3=0,"n.b.",INDEX(SRC_Woningetalage!$A$1:$ZZ$501,$A340,X$3)))</f>
        <v/>
      </c>
      <c r="Y340" s="124" t="str">
        <f>IF($B340="","",IF(Y$3=0,"n.b.",INDEX(SRC_Woningetalage!$A$1:$ZZ$501,$A340,Y$3)))</f>
        <v/>
      </c>
      <c r="Z340" s="124" t="str">
        <f>IF($B340="","",IF(Z$3=0,"n.b.",INDEX(SRC_Woningetalage!$A$1:$ZZ$501,$A340,Z$3)))</f>
        <v/>
      </c>
      <c r="AA340" s="124" t="str">
        <f>IF($B340="","",IF(AA$3=0,"n.b.",INDEX(SRC_Woningetalage!$A$1:$ZZ$501,$A340,AA$3)))</f>
        <v/>
      </c>
      <c r="AB340" s="124" t="str">
        <f>IF($B340="","",IF(AB$3=0,"n.b.",INDEX(SRC_Woningetalage!$A$1:$ZZ$501,$A340,AB$3)))</f>
        <v/>
      </c>
      <c r="AC340" s="124" t="str">
        <f>IF($B340="","",IF(AC$3=0,"n.b.",INDEX(SRC_Woningetalage!$A$1:$ZZ$501,$A340,AC$3)))</f>
        <v/>
      </c>
      <c r="AD340" s="124" t="str">
        <f>IF($B340="","",IF(AD$3=0,"n.b.",INDEX(SRC_Woningetalage!$A$1:$ZZ$501,$A340,AD$3)))</f>
        <v/>
      </c>
      <c r="AE340" s="124" t="str">
        <f>IF($B340="","",IF(AE$3=0,"n.b.",INDEX(SRC_Woningetalage!$A$1:$ZZ$501,$A340,AE$3)))</f>
        <v/>
      </c>
      <c r="AF340" s="124" t="str">
        <f>IF($B340="","",IF(AF$3=0,"n.b.",INDEX(SRC_Woningetalage!$A$1:$ZZ$501,$A340,AF$3)))</f>
        <v/>
      </c>
      <c r="AG340" s="124" t="str">
        <f>IF($B340="","",IF(AG$3=0,"n.b.",INDEX(SRC_Woningetalage!$A$1:$ZZ$501,$A340,AG$3)))</f>
        <v/>
      </c>
      <c r="AH340" s="124" t="str">
        <f>IF($B340="","",IF(AH$3=0,"n.b.",INDEX(SRC_Woningetalage!$A$1:$ZZ$501,$A340,AH$3)))</f>
        <v/>
      </c>
      <c r="AI340" s="124" t="str">
        <f>IF($B340="","",IF(AI$3=0,"n.b.",INDEX(SRC_Woningetalage!$A$1:$ZZ$501,$A340,AI$3)))</f>
        <v/>
      </c>
      <c r="AJ340" s="124" t="str">
        <f>IF($B340="","",IF(AJ$3=0,"n.b.",INDEX(SRC_Woningetalage!$A$1:$ZZ$501,$A340,AJ$3)))</f>
        <v/>
      </c>
      <c r="AK340" s="124" t="str">
        <f>IF($B340="","",IF(AK$3=0,"n.b.",INDEX(SRC_Woningetalage!$A$1:$ZZ$501,$A340,AK$3)))</f>
        <v/>
      </c>
      <c r="AL340" s="124" t="str">
        <f>IF($B340="","",IF(AL$3=0,"n.b.",INDEX(SRC_Woningetalage!$A$1:$ZZ$501,$A340,AL$3)))</f>
        <v/>
      </c>
      <c r="AM340" s="124" t="str">
        <f>IF($B340="","",IF(AM$3=0,"n.b.",INDEX(SRC_Woningetalage!$A$1:$ZZ$501,$A340,AM$3)))</f>
        <v/>
      </c>
      <c r="AN340" s="124" t="str">
        <f>IF($B340="","",IF(AN$3=0,"n.b.",INDEX(SRC_Woningetalage!$A$1:$ZZ$501,$A340,AN$3)))</f>
        <v/>
      </c>
      <c r="AO340" s="124" t="str">
        <f>IF($B340="","",IF(AO$3=0,"n.b.",INDEX(SRC_Woningetalage!$A$1:$ZZ$501,$A340,AO$3)))</f>
        <v/>
      </c>
      <c r="AP340" s="124" t="str">
        <f>IF($B340="","",IF(AP$3=0,"n.b.",INDEX(SRC_Woningetalage!$A$1:$ZZ$501,$A340,AP$3)))</f>
        <v/>
      </c>
      <c r="AQ340" s="124" t="str">
        <f>IF($B340="","",IF(AQ$3=0,"n.b.",INDEX(SRC_Woningetalage!$A$1:$ZZ$501,$A340,AQ$3)))</f>
        <v/>
      </c>
      <c r="AR340" s="124" t="str">
        <f>IF($B340="","",IF(AR$3=0,"n.b.",INDEX(SRC_Woningetalage!$A$1:$ZZ$501,$A340,AR$3)))</f>
        <v/>
      </c>
      <c r="AS340" s="124" t="str">
        <f>IF($B340="","",IF(AS$3=0,"n.b.",INDEX(SRC_Woningetalage!$A$1:$ZZ$501,$A340,AS$3)))</f>
        <v/>
      </c>
      <c r="AT340" s="124" t="str">
        <f>IF($B340="","",IF(AT$3=0,"n.b.",INDEX(SRC_Woningetalage!$A$1:$ZZ$501,$A340,AT$3)))</f>
        <v/>
      </c>
      <c r="AU340" s="124" t="str">
        <f>IF($B340="","",IF(AU$3=0,"n.b.",INDEX(SRC_Woningetalage!$A$1:$ZZ$501,$A340,AU$3)))</f>
        <v/>
      </c>
      <c r="AV340" s="124" t="str">
        <f>IF($B340="","",IF(AV$3=0,"n.b.",INDEX(SRC_Woningetalage!$A$1:$ZZ$501,$A340,AV$3)))</f>
        <v/>
      </c>
      <c r="AW340" s="124" t="str">
        <f>IF($B340="","",IF(AW$3=0,"n.b.",INDEX(SRC_Woningetalage!$A$1:$ZZ$501,$A340,AW$3)))</f>
        <v/>
      </c>
      <c r="AX340" s="124" t="str">
        <f>IF($B340="","",IF(AX$3=0,"n.b.",INDEX(SRC_Woningetalage!$A$1:$ZZ$501,$A340,AX$3)))</f>
        <v/>
      </c>
      <c r="AY340" s="124" t="str">
        <f>IF($B340="","",IF(AY$3=0,"n.b.",INDEX(SRC_Woningetalage!$A$1:$ZZ$501,$A340,AY$3)))</f>
        <v/>
      </c>
      <c r="AZ340" s="124" t="str">
        <f>IF($B340="","",IF(AZ$3=0,"n.b.",INDEX(SRC_Woningetalage!$A$1:$ZZ$501,$A340,AZ$3)))</f>
        <v/>
      </c>
      <c r="BA340" s="124" t="str">
        <f>IF($B340="","",IF(BA$3=0,"n.b.",INDEX(SRC_Woningetalage!$A$1:$ZZ$501,$A340,BA$3)))</f>
        <v/>
      </c>
      <c r="BB340" s="124" t="str">
        <f>IF($B340="","",IF(BB$3=0,"n.b.",INDEX(SRC_Woningetalage!$A$1:$ZZ$501,$A340,BB$3)))</f>
        <v/>
      </c>
      <c r="BC340" s="124" t="str">
        <f>IF($B340="","",IFERROR(_xlfn.NUMBERVALUE(E340&amp;"",",","."),"n.b."))</f>
        <v/>
      </c>
      <c r="BD340" s="124" t="str">
        <f>IF($B340="","",IFERROR(_xlfn.NUMBERVALUE(M340&amp;"",",","."),"n.b."))</f>
        <v/>
      </c>
      <c r="BE340" s="124" t="str">
        <f>IF($B340="","",IFERROR(AB340+AC340+AD340,"n.b."))</f>
        <v/>
      </c>
      <c r="BF340" s="124" t="str">
        <f>IF($B340="","",IFERROR(AE340+AF340+AG340,"n.b."))</f>
        <v/>
      </c>
      <c r="BG340" s="124" t="str">
        <f>IF($B340="","",IFERROR(AH340+AI340+AJ340,"n.b."))</f>
        <v/>
      </c>
      <c r="BH340" s="124" t="str">
        <f>IF($B340="","",IFERROR(AK340+AL340+AM340,"n.b."))</f>
        <v/>
      </c>
      <c r="BI340" s="124" t="str">
        <f>IF($B340="","",IFERROR(SUMIF($AB$5:$AM$5,"&lt;="&amp;P_PeilMaand,AB340:AM340),"n.b."))</f>
        <v/>
      </c>
      <c r="BJ340" s="124" t="str">
        <f>IF($B340="","",IFERROR(SUM(AB340:AM340)-BI340,"n.b."))</f>
        <v/>
      </c>
      <c r="BK340" s="124" t="str">
        <f>IF($B340="","",IFERROR(IF(ABS(Q340-(T340+SUM(AB340:AM340)+AS340+AU340))&gt;P_Tol,1,0),1))</f>
        <v/>
      </c>
      <c r="BL340" s="124" t="str">
        <f>IF($B340="","",IFERROR(IF(ABS(AA340-(Q340-Z340))&gt;P_Tol,1,0),1))</f>
        <v/>
      </c>
      <c r="BM340" s="124" t="str">
        <f>IF($B340="","",IFERROR(IF(ABS(Z340-(T340+W340))&gt;P_Tol,1,0),1))</f>
        <v/>
      </c>
      <c r="BN340" s="124" t="str">
        <f>IF($B340="","",IFERROR(IF(ABS(W340-BI340)&gt;P_Tol,1,0),1))</f>
        <v/>
      </c>
      <c r="BO340" s="124" t="str">
        <f>IF($B340="","",IFERROR(IF(OR(ABS(R340+S340-T340)&gt;P_Tol,ABS(U340+V340-W340)&gt;P_Tol,ABS(X340+Y340-Z340)&gt;P_Tol),1,0),1))</f>
        <v/>
      </c>
      <c r="BP340" s="124" t="str">
        <f>IF($B340="","",IFERROR(IF(OR(ABS(AR340-SUM(AB340:AM340))&gt;P_Tol,ABS(AS340-(AN340+AO340+AP340+AQ340))&gt;P_Tol),1,0),1))</f>
        <v/>
      </c>
      <c r="BQ340" s="124" t="str">
        <f>IF($B340="","",IFERROR(IF(ABS(AT340)+ABS(AV340)+ABS(AW340)+ABS(AX340)+ABS(AY340)+ABS(AZ340)+ABS(BA340)+ABS(BB340)&gt;0,1,0),1))</f>
        <v/>
      </c>
      <c r="BR340" s="124" t="str">
        <f>IF($B340="","",COUNTIF(STG_ZPMW03!$B$6:$B$505,B340))</f>
        <v/>
      </c>
      <c r="BS340" s="124" t="str">
        <f>IF($B340="","",COUNTIF($B$6:$B$505,B340))</f>
        <v/>
      </c>
      <c r="BT340" s="124" t="str">
        <f>IF($B340="","",IF(BR340=0,0,IF(INDEX(STG_ZPMW03!$I$6:$I$505,MATCH(B340,STG_ZPMW03!$B$6:$B$505,0))=J340&amp;"",0,1)))</f>
        <v/>
      </c>
      <c r="BU340" s="124" t="str">
        <f>IF($B340="","",IFERROR(IF(ABS(INDEX(Mapping!$D$5:$D$104,MATCH(B340,Mapping!$A$5:$A$104,0))-Q340)&gt;P_Tol,1,0),0))</f>
        <v/>
      </c>
      <c r="BV340" s="124" t="str">
        <f>IF($B340="","",IFERROR(IF(AND(INDEX(Mapping!$G$5:$G$104,MATCH(B340,Mapping!$A$5:$A$104,0))="Nee",ABS(Q340)+ABS(Z340)+ABS(AR340)&gt;0),1,0),0))</f>
        <v/>
      </c>
      <c r="BW340" s="124" t="str">
        <f>IF($B340="","",IF(COUNTIF(Mapping!$A$5:$A$104,B340)&gt;0,1,0))</f>
        <v/>
      </c>
      <c r="BX340" s="124" t="str">
        <f>IF($B340="","",IF(BR340=0,COUNTIF($BR$6:BR340,0),""))</f>
        <v/>
      </c>
    </row>
    <row r="341">
      <c r="A341" s="15" t="n">
        <v>337</v>
      </c>
      <c r="B341" t="str">
        <f>IF(B$3=0,"",IF(INDEX(SRC_Woningetalage!$A$1:$ZZ$501,$A341,B$3)&amp;""="","",INDEX(SRC_Woningetalage!$A$1:$ZZ$501,$A341,B$3)&amp;""))</f>
        <v/>
      </c>
      <c r="C341" t="str">
        <f>IF($B341="","",IF(C$3=0,"n.b.",INDEX(SRC_Woningetalage!$A$1:$ZZ$501,$A341,C$3)))</f>
        <v/>
      </c>
      <c r="D341" t="str">
        <f>IF($B341="","",IF(D$3=0,"n.b.",INDEX(SRC_Woningetalage!$A$1:$ZZ$501,$A341,D$3)))</f>
        <v/>
      </c>
      <c r="E341" t="str">
        <f>IF($B341="","",IF(E$3=0,"n.b.",INDEX(SRC_Woningetalage!$A$1:$ZZ$501,$A341,E$3)))</f>
        <v/>
      </c>
      <c r="F341" t="str">
        <f>IF($B341="","",IF(F$3=0,"n.b.",INDEX(SRC_Woningetalage!$A$1:$ZZ$501,$A341,F$3)))</f>
        <v/>
      </c>
      <c r="G341" t="str">
        <f>IF($B341="","",IF(G$3=0,"n.b.",INDEX(SRC_Woningetalage!$A$1:$ZZ$501,$A341,G$3)))</f>
        <v/>
      </c>
      <c r="H341" t="str">
        <f>IF($B341="","",IF(H$3=0,"n.b.",INDEX(SRC_Woningetalage!$A$1:$ZZ$501,$A341,H$3)))</f>
        <v/>
      </c>
      <c r="I341" t="str">
        <f>IF($B341="","",IF(I$3=0,"n.b.",INDEX(SRC_Woningetalage!$A$1:$ZZ$501,$A341,I$3)))</f>
        <v/>
      </c>
      <c r="J341" t="str">
        <f>IF($B341="","",IF(J$3=0,"n.b.",INDEX(SRC_Woningetalage!$A$1:$ZZ$501,$A341,J$3)))</f>
        <v/>
      </c>
      <c r="K341" t="str">
        <f>IF($B341="","",IF(K$3=0,"n.b.",INDEX(SRC_Woningetalage!$A$1:$ZZ$501,$A341,K$3)))</f>
        <v/>
      </c>
      <c r="L341" t="str">
        <f>IF($B341="","",IF(L$3=0,"n.b.",INDEX(SRC_Woningetalage!$A$1:$ZZ$501,$A341,L$3)))</f>
        <v/>
      </c>
      <c r="M341" t="str">
        <f>IF($B341="","",IF(M$3=0,"n.b.",INDEX(SRC_Woningetalage!$A$1:$ZZ$501,$A341,M$3)))</f>
        <v/>
      </c>
      <c r="N341" t="str">
        <f>IF($B341="","",IF(N$3=0,"n.b.",INDEX(SRC_Woningetalage!$A$1:$ZZ$501,$A341,N$3)))</f>
        <v/>
      </c>
      <c r="O341" t="str">
        <f>IF($B341="","",IF(O$3=0,"n.b.",INDEX(SRC_Woningetalage!$A$1:$ZZ$501,$A341,O$3)))</f>
        <v/>
      </c>
      <c r="P341" t="str">
        <f>IF($B341="","",IF(P$3=0,"n.b.",INDEX(SRC_Woningetalage!$A$1:$ZZ$501,$A341,P$3)))</f>
        <v/>
      </c>
      <c r="Q341" s="124" t="str">
        <f>IF($B341="","",IF(Q$3=0,"n.b.",INDEX(SRC_Woningetalage!$A$1:$ZZ$501,$A341,Q$3)))</f>
        <v/>
      </c>
      <c r="R341" s="124" t="str">
        <f>IF($B341="","",IF(R$3=0,"n.b.",INDEX(SRC_Woningetalage!$A$1:$ZZ$501,$A341,R$3)))</f>
        <v/>
      </c>
      <c r="S341" s="124" t="str">
        <f>IF($B341="","",IF(S$3=0,"n.b.",INDEX(SRC_Woningetalage!$A$1:$ZZ$501,$A341,S$3)))</f>
        <v/>
      </c>
      <c r="T341" s="124" t="str">
        <f>IF($B341="","",IF(T$3=0,"n.b.",INDEX(SRC_Woningetalage!$A$1:$ZZ$501,$A341,T$3)))</f>
        <v/>
      </c>
      <c r="U341" s="124" t="str">
        <f>IF($B341="","",IF(U$3=0,"n.b.",INDEX(SRC_Woningetalage!$A$1:$ZZ$501,$A341,U$3)))</f>
        <v/>
      </c>
      <c r="V341" s="124" t="str">
        <f>IF($B341="","",IF(V$3=0,"n.b.",INDEX(SRC_Woningetalage!$A$1:$ZZ$501,$A341,V$3)))</f>
        <v/>
      </c>
      <c r="W341" s="124" t="str">
        <f>IF($B341="","",IF(W$3=0,"n.b.",INDEX(SRC_Woningetalage!$A$1:$ZZ$501,$A341,W$3)))</f>
        <v/>
      </c>
      <c r="X341" s="124" t="str">
        <f>IF($B341="","",IF(X$3=0,"n.b.",INDEX(SRC_Woningetalage!$A$1:$ZZ$501,$A341,X$3)))</f>
        <v/>
      </c>
      <c r="Y341" s="124" t="str">
        <f>IF($B341="","",IF(Y$3=0,"n.b.",INDEX(SRC_Woningetalage!$A$1:$ZZ$501,$A341,Y$3)))</f>
        <v/>
      </c>
      <c r="Z341" s="124" t="str">
        <f>IF($B341="","",IF(Z$3=0,"n.b.",INDEX(SRC_Woningetalage!$A$1:$ZZ$501,$A341,Z$3)))</f>
        <v/>
      </c>
      <c r="AA341" s="124" t="str">
        <f>IF($B341="","",IF(AA$3=0,"n.b.",INDEX(SRC_Woningetalage!$A$1:$ZZ$501,$A341,AA$3)))</f>
        <v/>
      </c>
      <c r="AB341" s="124" t="str">
        <f>IF($B341="","",IF(AB$3=0,"n.b.",INDEX(SRC_Woningetalage!$A$1:$ZZ$501,$A341,AB$3)))</f>
        <v/>
      </c>
      <c r="AC341" s="124" t="str">
        <f>IF($B341="","",IF(AC$3=0,"n.b.",INDEX(SRC_Woningetalage!$A$1:$ZZ$501,$A341,AC$3)))</f>
        <v/>
      </c>
      <c r="AD341" s="124" t="str">
        <f>IF($B341="","",IF(AD$3=0,"n.b.",INDEX(SRC_Woningetalage!$A$1:$ZZ$501,$A341,AD$3)))</f>
        <v/>
      </c>
      <c r="AE341" s="124" t="str">
        <f>IF($B341="","",IF(AE$3=0,"n.b.",INDEX(SRC_Woningetalage!$A$1:$ZZ$501,$A341,AE$3)))</f>
        <v/>
      </c>
      <c r="AF341" s="124" t="str">
        <f>IF($B341="","",IF(AF$3=0,"n.b.",INDEX(SRC_Woningetalage!$A$1:$ZZ$501,$A341,AF$3)))</f>
        <v/>
      </c>
      <c r="AG341" s="124" t="str">
        <f>IF($B341="","",IF(AG$3=0,"n.b.",INDEX(SRC_Woningetalage!$A$1:$ZZ$501,$A341,AG$3)))</f>
        <v/>
      </c>
      <c r="AH341" s="124" t="str">
        <f>IF($B341="","",IF(AH$3=0,"n.b.",INDEX(SRC_Woningetalage!$A$1:$ZZ$501,$A341,AH$3)))</f>
        <v/>
      </c>
      <c r="AI341" s="124" t="str">
        <f>IF($B341="","",IF(AI$3=0,"n.b.",INDEX(SRC_Woningetalage!$A$1:$ZZ$501,$A341,AI$3)))</f>
        <v/>
      </c>
      <c r="AJ341" s="124" t="str">
        <f>IF($B341="","",IF(AJ$3=0,"n.b.",INDEX(SRC_Woningetalage!$A$1:$ZZ$501,$A341,AJ$3)))</f>
        <v/>
      </c>
      <c r="AK341" s="124" t="str">
        <f>IF($B341="","",IF(AK$3=0,"n.b.",INDEX(SRC_Woningetalage!$A$1:$ZZ$501,$A341,AK$3)))</f>
        <v/>
      </c>
      <c r="AL341" s="124" t="str">
        <f>IF($B341="","",IF(AL$3=0,"n.b.",INDEX(SRC_Woningetalage!$A$1:$ZZ$501,$A341,AL$3)))</f>
        <v/>
      </c>
      <c r="AM341" s="124" t="str">
        <f>IF($B341="","",IF(AM$3=0,"n.b.",INDEX(SRC_Woningetalage!$A$1:$ZZ$501,$A341,AM$3)))</f>
        <v/>
      </c>
      <c r="AN341" s="124" t="str">
        <f>IF($B341="","",IF(AN$3=0,"n.b.",INDEX(SRC_Woningetalage!$A$1:$ZZ$501,$A341,AN$3)))</f>
        <v/>
      </c>
      <c r="AO341" s="124" t="str">
        <f>IF($B341="","",IF(AO$3=0,"n.b.",INDEX(SRC_Woningetalage!$A$1:$ZZ$501,$A341,AO$3)))</f>
        <v/>
      </c>
      <c r="AP341" s="124" t="str">
        <f>IF($B341="","",IF(AP$3=0,"n.b.",INDEX(SRC_Woningetalage!$A$1:$ZZ$501,$A341,AP$3)))</f>
        <v/>
      </c>
      <c r="AQ341" s="124" t="str">
        <f>IF($B341="","",IF(AQ$3=0,"n.b.",INDEX(SRC_Woningetalage!$A$1:$ZZ$501,$A341,AQ$3)))</f>
        <v/>
      </c>
      <c r="AR341" s="124" t="str">
        <f>IF($B341="","",IF(AR$3=0,"n.b.",INDEX(SRC_Woningetalage!$A$1:$ZZ$501,$A341,AR$3)))</f>
        <v/>
      </c>
      <c r="AS341" s="124" t="str">
        <f>IF($B341="","",IF(AS$3=0,"n.b.",INDEX(SRC_Woningetalage!$A$1:$ZZ$501,$A341,AS$3)))</f>
        <v/>
      </c>
      <c r="AT341" s="124" t="str">
        <f>IF($B341="","",IF(AT$3=0,"n.b.",INDEX(SRC_Woningetalage!$A$1:$ZZ$501,$A341,AT$3)))</f>
        <v/>
      </c>
      <c r="AU341" s="124" t="str">
        <f>IF($B341="","",IF(AU$3=0,"n.b.",INDEX(SRC_Woningetalage!$A$1:$ZZ$501,$A341,AU$3)))</f>
        <v/>
      </c>
      <c r="AV341" s="124" t="str">
        <f>IF($B341="","",IF(AV$3=0,"n.b.",INDEX(SRC_Woningetalage!$A$1:$ZZ$501,$A341,AV$3)))</f>
        <v/>
      </c>
      <c r="AW341" s="124" t="str">
        <f>IF($B341="","",IF(AW$3=0,"n.b.",INDEX(SRC_Woningetalage!$A$1:$ZZ$501,$A341,AW$3)))</f>
        <v/>
      </c>
      <c r="AX341" s="124" t="str">
        <f>IF($B341="","",IF(AX$3=0,"n.b.",INDEX(SRC_Woningetalage!$A$1:$ZZ$501,$A341,AX$3)))</f>
        <v/>
      </c>
      <c r="AY341" s="124" t="str">
        <f>IF($B341="","",IF(AY$3=0,"n.b.",INDEX(SRC_Woningetalage!$A$1:$ZZ$501,$A341,AY$3)))</f>
        <v/>
      </c>
      <c r="AZ341" s="124" t="str">
        <f>IF($B341="","",IF(AZ$3=0,"n.b.",INDEX(SRC_Woningetalage!$A$1:$ZZ$501,$A341,AZ$3)))</f>
        <v/>
      </c>
      <c r="BA341" s="124" t="str">
        <f>IF($B341="","",IF(BA$3=0,"n.b.",INDEX(SRC_Woningetalage!$A$1:$ZZ$501,$A341,BA$3)))</f>
        <v/>
      </c>
      <c r="BB341" s="124" t="str">
        <f>IF($B341="","",IF(BB$3=0,"n.b.",INDEX(SRC_Woningetalage!$A$1:$ZZ$501,$A341,BB$3)))</f>
        <v/>
      </c>
      <c r="BC341" s="124" t="str">
        <f>IF($B341="","",IFERROR(_xlfn.NUMBERVALUE(E341&amp;"",",","."),"n.b."))</f>
        <v/>
      </c>
      <c r="BD341" s="124" t="str">
        <f>IF($B341="","",IFERROR(_xlfn.NUMBERVALUE(M341&amp;"",",","."),"n.b."))</f>
        <v/>
      </c>
      <c r="BE341" s="124" t="str">
        <f>IF($B341="","",IFERROR(AB341+AC341+AD341,"n.b."))</f>
        <v/>
      </c>
      <c r="BF341" s="124" t="str">
        <f>IF($B341="","",IFERROR(AE341+AF341+AG341,"n.b."))</f>
        <v/>
      </c>
      <c r="BG341" s="124" t="str">
        <f>IF($B341="","",IFERROR(AH341+AI341+AJ341,"n.b."))</f>
        <v/>
      </c>
      <c r="BH341" s="124" t="str">
        <f>IF($B341="","",IFERROR(AK341+AL341+AM341,"n.b."))</f>
        <v/>
      </c>
      <c r="BI341" s="124" t="str">
        <f>IF($B341="","",IFERROR(SUMIF($AB$5:$AM$5,"&lt;="&amp;P_PeilMaand,AB341:AM341),"n.b."))</f>
        <v/>
      </c>
      <c r="BJ341" s="124" t="str">
        <f>IF($B341="","",IFERROR(SUM(AB341:AM341)-BI341,"n.b."))</f>
        <v/>
      </c>
      <c r="BK341" s="124" t="str">
        <f>IF($B341="","",IFERROR(IF(ABS(Q341-(T341+SUM(AB341:AM341)+AS341+AU341))&gt;P_Tol,1,0),1))</f>
        <v/>
      </c>
      <c r="BL341" s="124" t="str">
        <f>IF($B341="","",IFERROR(IF(ABS(AA341-(Q341-Z341))&gt;P_Tol,1,0),1))</f>
        <v/>
      </c>
      <c r="BM341" s="124" t="str">
        <f>IF($B341="","",IFERROR(IF(ABS(Z341-(T341+W341))&gt;P_Tol,1,0),1))</f>
        <v/>
      </c>
      <c r="BN341" s="124" t="str">
        <f>IF($B341="","",IFERROR(IF(ABS(W341-BI341)&gt;P_Tol,1,0),1))</f>
        <v/>
      </c>
      <c r="BO341" s="124" t="str">
        <f>IF($B341="","",IFERROR(IF(OR(ABS(R341+S341-T341)&gt;P_Tol,ABS(U341+V341-W341)&gt;P_Tol,ABS(X341+Y341-Z341)&gt;P_Tol),1,0),1))</f>
        <v/>
      </c>
      <c r="BP341" s="124" t="str">
        <f>IF($B341="","",IFERROR(IF(OR(ABS(AR341-SUM(AB341:AM341))&gt;P_Tol,ABS(AS341-(AN341+AO341+AP341+AQ341))&gt;P_Tol),1,0),1))</f>
        <v/>
      </c>
      <c r="BQ341" s="124" t="str">
        <f>IF($B341="","",IFERROR(IF(ABS(AT341)+ABS(AV341)+ABS(AW341)+ABS(AX341)+ABS(AY341)+ABS(AZ341)+ABS(BA341)+ABS(BB341)&gt;0,1,0),1))</f>
        <v/>
      </c>
      <c r="BR341" s="124" t="str">
        <f>IF($B341="","",COUNTIF(STG_ZPMW03!$B$6:$B$505,B341))</f>
        <v/>
      </c>
      <c r="BS341" s="124" t="str">
        <f>IF($B341="","",COUNTIF($B$6:$B$505,B341))</f>
        <v/>
      </c>
      <c r="BT341" s="124" t="str">
        <f>IF($B341="","",IF(BR341=0,0,IF(INDEX(STG_ZPMW03!$I$6:$I$505,MATCH(B341,STG_ZPMW03!$B$6:$B$505,0))=J341&amp;"",0,1)))</f>
        <v/>
      </c>
      <c r="BU341" s="124" t="str">
        <f>IF($B341="","",IFERROR(IF(ABS(INDEX(Mapping!$D$5:$D$104,MATCH(B341,Mapping!$A$5:$A$104,0))-Q341)&gt;P_Tol,1,0),0))</f>
        <v/>
      </c>
      <c r="BV341" s="124" t="str">
        <f>IF($B341="","",IFERROR(IF(AND(INDEX(Mapping!$G$5:$G$104,MATCH(B341,Mapping!$A$5:$A$104,0))="Nee",ABS(Q341)+ABS(Z341)+ABS(AR341)&gt;0),1,0),0))</f>
        <v/>
      </c>
      <c r="BW341" s="124" t="str">
        <f>IF($B341="","",IF(COUNTIF(Mapping!$A$5:$A$104,B341)&gt;0,1,0))</f>
        <v/>
      </c>
      <c r="BX341" s="124" t="str">
        <f>IF($B341="","",IF(BR341=0,COUNTIF($BR$6:BR341,0),""))</f>
        <v/>
      </c>
    </row>
    <row r="342">
      <c r="A342" s="15" t="n">
        <v>338</v>
      </c>
      <c r="B342" t="str">
        <f>IF(B$3=0,"",IF(INDEX(SRC_Woningetalage!$A$1:$ZZ$501,$A342,B$3)&amp;""="","",INDEX(SRC_Woningetalage!$A$1:$ZZ$501,$A342,B$3)&amp;""))</f>
        <v/>
      </c>
      <c r="C342" t="str">
        <f>IF($B342="","",IF(C$3=0,"n.b.",INDEX(SRC_Woningetalage!$A$1:$ZZ$501,$A342,C$3)))</f>
        <v/>
      </c>
      <c r="D342" t="str">
        <f>IF($B342="","",IF(D$3=0,"n.b.",INDEX(SRC_Woningetalage!$A$1:$ZZ$501,$A342,D$3)))</f>
        <v/>
      </c>
      <c r="E342" t="str">
        <f>IF($B342="","",IF(E$3=0,"n.b.",INDEX(SRC_Woningetalage!$A$1:$ZZ$501,$A342,E$3)))</f>
        <v/>
      </c>
      <c r="F342" t="str">
        <f>IF($B342="","",IF(F$3=0,"n.b.",INDEX(SRC_Woningetalage!$A$1:$ZZ$501,$A342,F$3)))</f>
        <v/>
      </c>
      <c r="G342" t="str">
        <f>IF($B342="","",IF(G$3=0,"n.b.",INDEX(SRC_Woningetalage!$A$1:$ZZ$501,$A342,G$3)))</f>
        <v/>
      </c>
      <c r="H342" t="str">
        <f>IF($B342="","",IF(H$3=0,"n.b.",INDEX(SRC_Woningetalage!$A$1:$ZZ$501,$A342,H$3)))</f>
        <v/>
      </c>
      <c r="I342" t="str">
        <f>IF($B342="","",IF(I$3=0,"n.b.",INDEX(SRC_Woningetalage!$A$1:$ZZ$501,$A342,I$3)))</f>
        <v/>
      </c>
      <c r="J342" t="str">
        <f>IF($B342="","",IF(J$3=0,"n.b.",INDEX(SRC_Woningetalage!$A$1:$ZZ$501,$A342,J$3)))</f>
        <v/>
      </c>
      <c r="K342" t="str">
        <f>IF($B342="","",IF(K$3=0,"n.b.",INDEX(SRC_Woningetalage!$A$1:$ZZ$501,$A342,K$3)))</f>
        <v/>
      </c>
      <c r="L342" t="str">
        <f>IF($B342="","",IF(L$3=0,"n.b.",INDEX(SRC_Woningetalage!$A$1:$ZZ$501,$A342,L$3)))</f>
        <v/>
      </c>
      <c r="M342" t="str">
        <f>IF($B342="","",IF(M$3=0,"n.b.",INDEX(SRC_Woningetalage!$A$1:$ZZ$501,$A342,M$3)))</f>
        <v/>
      </c>
      <c r="N342" t="str">
        <f>IF($B342="","",IF(N$3=0,"n.b.",INDEX(SRC_Woningetalage!$A$1:$ZZ$501,$A342,N$3)))</f>
        <v/>
      </c>
      <c r="O342" t="str">
        <f>IF($B342="","",IF(O$3=0,"n.b.",INDEX(SRC_Woningetalage!$A$1:$ZZ$501,$A342,O$3)))</f>
        <v/>
      </c>
      <c r="P342" t="str">
        <f>IF($B342="","",IF(P$3=0,"n.b.",INDEX(SRC_Woningetalage!$A$1:$ZZ$501,$A342,P$3)))</f>
        <v/>
      </c>
      <c r="Q342" s="124" t="str">
        <f>IF($B342="","",IF(Q$3=0,"n.b.",INDEX(SRC_Woningetalage!$A$1:$ZZ$501,$A342,Q$3)))</f>
        <v/>
      </c>
      <c r="R342" s="124" t="str">
        <f>IF($B342="","",IF(R$3=0,"n.b.",INDEX(SRC_Woningetalage!$A$1:$ZZ$501,$A342,R$3)))</f>
        <v/>
      </c>
      <c r="S342" s="124" t="str">
        <f>IF($B342="","",IF(S$3=0,"n.b.",INDEX(SRC_Woningetalage!$A$1:$ZZ$501,$A342,S$3)))</f>
        <v/>
      </c>
      <c r="T342" s="124" t="str">
        <f>IF($B342="","",IF(T$3=0,"n.b.",INDEX(SRC_Woningetalage!$A$1:$ZZ$501,$A342,T$3)))</f>
        <v/>
      </c>
      <c r="U342" s="124" t="str">
        <f>IF($B342="","",IF(U$3=0,"n.b.",INDEX(SRC_Woningetalage!$A$1:$ZZ$501,$A342,U$3)))</f>
        <v/>
      </c>
      <c r="V342" s="124" t="str">
        <f>IF($B342="","",IF(V$3=0,"n.b.",INDEX(SRC_Woningetalage!$A$1:$ZZ$501,$A342,V$3)))</f>
        <v/>
      </c>
      <c r="W342" s="124" t="str">
        <f>IF($B342="","",IF(W$3=0,"n.b.",INDEX(SRC_Woningetalage!$A$1:$ZZ$501,$A342,W$3)))</f>
        <v/>
      </c>
      <c r="X342" s="124" t="str">
        <f>IF($B342="","",IF(X$3=0,"n.b.",INDEX(SRC_Woningetalage!$A$1:$ZZ$501,$A342,X$3)))</f>
        <v/>
      </c>
      <c r="Y342" s="124" t="str">
        <f>IF($B342="","",IF(Y$3=0,"n.b.",INDEX(SRC_Woningetalage!$A$1:$ZZ$501,$A342,Y$3)))</f>
        <v/>
      </c>
      <c r="Z342" s="124" t="str">
        <f>IF($B342="","",IF(Z$3=0,"n.b.",INDEX(SRC_Woningetalage!$A$1:$ZZ$501,$A342,Z$3)))</f>
        <v/>
      </c>
      <c r="AA342" s="124" t="str">
        <f>IF($B342="","",IF(AA$3=0,"n.b.",INDEX(SRC_Woningetalage!$A$1:$ZZ$501,$A342,AA$3)))</f>
        <v/>
      </c>
      <c r="AB342" s="124" t="str">
        <f>IF($B342="","",IF(AB$3=0,"n.b.",INDEX(SRC_Woningetalage!$A$1:$ZZ$501,$A342,AB$3)))</f>
        <v/>
      </c>
      <c r="AC342" s="124" t="str">
        <f>IF($B342="","",IF(AC$3=0,"n.b.",INDEX(SRC_Woningetalage!$A$1:$ZZ$501,$A342,AC$3)))</f>
        <v/>
      </c>
      <c r="AD342" s="124" t="str">
        <f>IF($B342="","",IF(AD$3=0,"n.b.",INDEX(SRC_Woningetalage!$A$1:$ZZ$501,$A342,AD$3)))</f>
        <v/>
      </c>
      <c r="AE342" s="124" t="str">
        <f>IF($B342="","",IF(AE$3=0,"n.b.",INDEX(SRC_Woningetalage!$A$1:$ZZ$501,$A342,AE$3)))</f>
        <v/>
      </c>
      <c r="AF342" s="124" t="str">
        <f>IF($B342="","",IF(AF$3=0,"n.b.",INDEX(SRC_Woningetalage!$A$1:$ZZ$501,$A342,AF$3)))</f>
        <v/>
      </c>
      <c r="AG342" s="124" t="str">
        <f>IF($B342="","",IF(AG$3=0,"n.b.",INDEX(SRC_Woningetalage!$A$1:$ZZ$501,$A342,AG$3)))</f>
        <v/>
      </c>
      <c r="AH342" s="124" t="str">
        <f>IF($B342="","",IF(AH$3=0,"n.b.",INDEX(SRC_Woningetalage!$A$1:$ZZ$501,$A342,AH$3)))</f>
        <v/>
      </c>
      <c r="AI342" s="124" t="str">
        <f>IF($B342="","",IF(AI$3=0,"n.b.",INDEX(SRC_Woningetalage!$A$1:$ZZ$501,$A342,AI$3)))</f>
        <v/>
      </c>
      <c r="AJ342" s="124" t="str">
        <f>IF($B342="","",IF(AJ$3=0,"n.b.",INDEX(SRC_Woningetalage!$A$1:$ZZ$501,$A342,AJ$3)))</f>
        <v/>
      </c>
      <c r="AK342" s="124" t="str">
        <f>IF($B342="","",IF(AK$3=0,"n.b.",INDEX(SRC_Woningetalage!$A$1:$ZZ$501,$A342,AK$3)))</f>
        <v/>
      </c>
      <c r="AL342" s="124" t="str">
        <f>IF($B342="","",IF(AL$3=0,"n.b.",INDEX(SRC_Woningetalage!$A$1:$ZZ$501,$A342,AL$3)))</f>
        <v/>
      </c>
      <c r="AM342" s="124" t="str">
        <f>IF($B342="","",IF(AM$3=0,"n.b.",INDEX(SRC_Woningetalage!$A$1:$ZZ$501,$A342,AM$3)))</f>
        <v/>
      </c>
      <c r="AN342" s="124" t="str">
        <f>IF($B342="","",IF(AN$3=0,"n.b.",INDEX(SRC_Woningetalage!$A$1:$ZZ$501,$A342,AN$3)))</f>
        <v/>
      </c>
      <c r="AO342" s="124" t="str">
        <f>IF($B342="","",IF(AO$3=0,"n.b.",INDEX(SRC_Woningetalage!$A$1:$ZZ$501,$A342,AO$3)))</f>
        <v/>
      </c>
      <c r="AP342" s="124" t="str">
        <f>IF($B342="","",IF(AP$3=0,"n.b.",INDEX(SRC_Woningetalage!$A$1:$ZZ$501,$A342,AP$3)))</f>
        <v/>
      </c>
      <c r="AQ342" s="124" t="str">
        <f>IF($B342="","",IF(AQ$3=0,"n.b.",INDEX(SRC_Woningetalage!$A$1:$ZZ$501,$A342,AQ$3)))</f>
        <v/>
      </c>
      <c r="AR342" s="124" t="str">
        <f>IF($B342="","",IF(AR$3=0,"n.b.",INDEX(SRC_Woningetalage!$A$1:$ZZ$501,$A342,AR$3)))</f>
        <v/>
      </c>
      <c r="AS342" s="124" t="str">
        <f>IF($B342="","",IF(AS$3=0,"n.b.",INDEX(SRC_Woningetalage!$A$1:$ZZ$501,$A342,AS$3)))</f>
        <v/>
      </c>
      <c r="AT342" s="124" t="str">
        <f>IF($B342="","",IF(AT$3=0,"n.b.",INDEX(SRC_Woningetalage!$A$1:$ZZ$501,$A342,AT$3)))</f>
        <v/>
      </c>
      <c r="AU342" s="124" t="str">
        <f>IF($B342="","",IF(AU$3=0,"n.b.",INDEX(SRC_Woningetalage!$A$1:$ZZ$501,$A342,AU$3)))</f>
        <v/>
      </c>
      <c r="AV342" s="124" t="str">
        <f>IF($B342="","",IF(AV$3=0,"n.b.",INDEX(SRC_Woningetalage!$A$1:$ZZ$501,$A342,AV$3)))</f>
        <v/>
      </c>
      <c r="AW342" s="124" t="str">
        <f>IF($B342="","",IF(AW$3=0,"n.b.",INDEX(SRC_Woningetalage!$A$1:$ZZ$501,$A342,AW$3)))</f>
        <v/>
      </c>
      <c r="AX342" s="124" t="str">
        <f>IF($B342="","",IF(AX$3=0,"n.b.",INDEX(SRC_Woningetalage!$A$1:$ZZ$501,$A342,AX$3)))</f>
        <v/>
      </c>
      <c r="AY342" s="124" t="str">
        <f>IF($B342="","",IF(AY$3=0,"n.b.",INDEX(SRC_Woningetalage!$A$1:$ZZ$501,$A342,AY$3)))</f>
        <v/>
      </c>
      <c r="AZ342" s="124" t="str">
        <f>IF($B342="","",IF(AZ$3=0,"n.b.",INDEX(SRC_Woningetalage!$A$1:$ZZ$501,$A342,AZ$3)))</f>
        <v/>
      </c>
      <c r="BA342" s="124" t="str">
        <f>IF($B342="","",IF(BA$3=0,"n.b.",INDEX(SRC_Woningetalage!$A$1:$ZZ$501,$A342,BA$3)))</f>
        <v/>
      </c>
      <c r="BB342" s="124" t="str">
        <f>IF($B342="","",IF(BB$3=0,"n.b.",INDEX(SRC_Woningetalage!$A$1:$ZZ$501,$A342,BB$3)))</f>
        <v/>
      </c>
      <c r="BC342" s="124" t="str">
        <f>IF($B342="","",IFERROR(_xlfn.NUMBERVALUE(E342&amp;"",",","."),"n.b."))</f>
        <v/>
      </c>
      <c r="BD342" s="124" t="str">
        <f>IF($B342="","",IFERROR(_xlfn.NUMBERVALUE(M342&amp;"",",","."),"n.b."))</f>
        <v/>
      </c>
      <c r="BE342" s="124" t="str">
        <f>IF($B342="","",IFERROR(AB342+AC342+AD342,"n.b."))</f>
        <v/>
      </c>
      <c r="BF342" s="124" t="str">
        <f>IF($B342="","",IFERROR(AE342+AF342+AG342,"n.b."))</f>
        <v/>
      </c>
      <c r="BG342" s="124" t="str">
        <f>IF($B342="","",IFERROR(AH342+AI342+AJ342,"n.b."))</f>
        <v/>
      </c>
      <c r="BH342" s="124" t="str">
        <f>IF($B342="","",IFERROR(AK342+AL342+AM342,"n.b."))</f>
        <v/>
      </c>
      <c r="BI342" s="124" t="str">
        <f>IF($B342="","",IFERROR(SUMIF($AB$5:$AM$5,"&lt;="&amp;P_PeilMaand,AB342:AM342),"n.b."))</f>
        <v/>
      </c>
      <c r="BJ342" s="124" t="str">
        <f>IF($B342="","",IFERROR(SUM(AB342:AM342)-BI342,"n.b."))</f>
        <v/>
      </c>
      <c r="BK342" s="124" t="str">
        <f>IF($B342="","",IFERROR(IF(ABS(Q342-(T342+SUM(AB342:AM342)+AS342+AU342))&gt;P_Tol,1,0),1))</f>
        <v/>
      </c>
      <c r="BL342" s="124" t="str">
        <f>IF($B342="","",IFERROR(IF(ABS(AA342-(Q342-Z342))&gt;P_Tol,1,0),1))</f>
        <v/>
      </c>
      <c r="BM342" s="124" t="str">
        <f>IF($B342="","",IFERROR(IF(ABS(Z342-(T342+W342))&gt;P_Tol,1,0),1))</f>
        <v/>
      </c>
      <c r="BN342" s="124" t="str">
        <f>IF($B342="","",IFERROR(IF(ABS(W342-BI342)&gt;P_Tol,1,0),1))</f>
        <v/>
      </c>
      <c r="BO342" s="124" t="str">
        <f>IF($B342="","",IFERROR(IF(OR(ABS(R342+S342-T342)&gt;P_Tol,ABS(U342+V342-W342)&gt;P_Tol,ABS(X342+Y342-Z342)&gt;P_Tol),1,0),1))</f>
        <v/>
      </c>
      <c r="BP342" s="124" t="str">
        <f>IF($B342="","",IFERROR(IF(OR(ABS(AR342-SUM(AB342:AM342))&gt;P_Tol,ABS(AS342-(AN342+AO342+AP342+AQ342))&gt;P_Tol),1,0),1))</f>
        <v/>
      </c>
      <c r="BQ342" s="124" t="str">
        <f>IF($B342="","",IFERROR(IF(ABS(AT342)+ABS(AV342)+ABS(AW342)+ABS(AX342)+ABS(AY342)+ABS(AZ342)+ABS(BA342)+ABS(BB342)&gt;0,1,0),1))</f>
        <v/>
      </c>
      <c r="BR342" s="124" t="str">
        <f>IF($B342="","",COUNTIF(STG_ZPMW03!$B$6:$B$505,B342))</f>
        <v/>
      </c>
      <c r="BS342" s="124" t="str">
        <f>IF($B342="","",COUNTIF($B$6:$B$505,B342))</f>
        <v/>
      </c>
      <c r="BT342" s="124" t="str">
        <f>IF($B342="","",IF(BR342=0,0,IF(INDEX(STG_ZPMW03!$I$6:$I$505,MATCH(B342,STG_ZPMW03!$B$6:$B$505,0))=J342&amp;"",0,1)))</f>
        <v/>
      </c>
      <c r="BU342" s="124" t="str">
        <f>IF($B342="","",IFERROR(IF(ABS(INDEX(Mapping!$D$5:$D$104,MATCH(B342,Mapping!$A$5:$A$104,0))-Q342)&gt;P_Tol,1,0),0))</f>
        <v/>
      </c>
      <c r="BV342" s="124" t="str">
        <f>IF($B342="","",IFERROR(IF(AND(INDEX(Mapping!$G$5:$G$104,MATCH(B342,Mapping!$A$5:$A$104,0))="Nee",ABS(Q342)+ABS(Z342)+ABS(AR342)&gt;0),1,0),0))</f>
        <v/>
      </c>
      <c r="BW342" s="124" t="str">
        <f>IF($B342="","",IF(COUNTIF(Mapping!$A$5:$A$104,B342)&gt;0,1,0))</f>
        <v/>
      </c>
      <c r="BX342" s="124" t="str">
        <f>IF($B342="","",IF(BR342=0,COUNTIF($BR$6:BR342,0),""))</f>
        <v/>
      </c>
    </row>
    <row r="343">
      <c r="A343" s="15" t="n">
        <v>339</v>
      </c>
      <c r="B343" t="str">
        <f>IF(B$3=0,"",IF(INDEX(SRC_Woningetalage!$A$1:$ZZ$501,$A343,B$3)&amp;""="","",INDEX(SRC_Woningetalage!$A$1:$ZZ$501,$A343,B$3)&amp;""))</f>
        <v/>
      </c>
      <c r="C343" t="str">
        <f>IF($B343="","",IF(C$3=0,"n.b.",INDEX(SRC_Woningetalage!$A$1:$ZZ$501,$A343,C$3)))</f>
        <v/>
      </c>
      <c r="D343" t="str">
        <f>IF($B343="","",IF(D$3=0,"n.b.",INDEX(SRC_Woningetalage!$A$1:$ZZ$501,$A343,D$3)))</f>
        <v/>
      </c>
      <c r="E343" t="str">
        <f>IF($B343="","",IF(E$3=0,"n.b.",INDEX(SRC_Woningetalage!$A$1:$ZZ$501,$A343,E$3)))</f>
        <v/>
      </c>
      <c r="F343" t="str">
        <f>IF($B343="","",IF(F$3=0,"n.b.",INDEX(SRC_Woningetalage!$A$1:$ZZ$501,$A343,F$3)))</f>
        <v/>
      </c>
      <c r="G343" t="str">
        <f>IF($B343="","",IF(G$3=0,"n.b.",INDEX(SRC_Woningetalage!$A$1:$ZZ$501,$A343,G$3)))</f>
        <v/>
      </c>
      <c r="H343" t="str">
        <f>IF($B343="","",IF(H$3=0,"n.b.",INDEX(SRC_Woningetalage!$A$1:$ZZ$501,$A343,H$3)))</f>
        <v/>
      </c>
      <c r="I343" t="str">
        <f>IF($B343="","",IF(I$3=0,"n.b.",INDEX(SRC_Woningetalage!$A$1:$ZZ$501,$A343,I$3)))</f>
        <v/>
      </c>
      <c r="J343" t="str">
        <f>IF($B343="","",IF(J$3=0,"n.b.",INDEX(SRC_Woningetalage!$A$1:$ZZ$501,$A343,J$3)))</f>
        <v/>
      </c>
      <c r="K343" t="str">
        <f>IF($B343="","",IF(K$3=0,"n.b.",INDEX(SRC_Woningetalage!$A$1:$ZZ$501,$A343,K$3)))</f>
        <v/>
      </c>
      <c r="L343" t="str">
        <f>IF($B343="","",IF(L$3=0,"n.b.",INDEX(SRC_Woningetalage!$A$1:$ZZ$501,$A343,L$3)))</f>
        <v/>
      </c>
      <c r="M343" t="str">
        <f>IF($B343="","",IF(M$3=0,"n.b.",INDEX(SRC_Woningetalage!$A$1:$ZZ$501,$A343,M$3)))</f>
        <v/>
      </c>
      <c r="N343" t="str">
        <f>IF($B343="","",IF(N$3=0,"n.b.",INDEX(SRC_Woningetalage!$A$1:$ZZ$501,$A343,N$3)))</f>
        <v/>
      </c>
      <c r="O343" t="str">
        <f>IF($B343="","",IF(O$3=0,"n.b.",INDEX(SRC_Woningetalage!$A$1:$ZZ$501,$A343,O$3)))</f>
        <v/>
      </c>
      <c r="P343" t="str">
        <f>IF($B343="","",IF(P$3=0,"n.b.",INDEX(SRC_Woningetalage!$A$1:$ZZ$501,$A343,P$3)))</f>
        <v/>
      </c>
      <c r="Q343" s="124" t="str">
        <f>IF($B343="","",IF(Q$3=0,"n.b.",INDEX(SRC_Woningetalage!$A$1:$ZZ$501,$A343,Q$3)))</f>
        <v/>
      </c>
      <c r="R343" s="124" t="str">
        <f>IF($B343="","",IF(R$3=0,"n.b.",INDEX(SRC_Woningetalage!$A$1:$ZZ$501,$A343,R$3)))</f>
        <v/>
      </c>
      <c r="S343" s="124" t="str">
        <f>IF($B343="","",IF(S$3=0,"n.b.",INDEX(SRC_Woningetalage!$A$1:$ZZ$501,$A343,S$3)))</f>
        <v/>
      </c>
      <c r="T343" s="124" t="str">
        <f>IF($B343="","",IF(T$3=0,"n.b.",INDEX(SRC_Woningetalage!$A$1:$ZZ$501,$A343,T$3)))</f>
        <v/>
      </c>
      <c r="U343" s="124" t="str">
        <f>IF($B343="","",IF(U$3=0,"n.b.",INDEX(SRC_Woningetalage!$A$1:$ZZ$501,$A343,U$3)))</f>
        <v/>
      </c>
      <c r="V343" s="124" t="str">
        <f>IF($B343="","",IF(V$3=0,"n.b.",INDEX(SRC_Woningetalage!$A$1:$ZZ$501,$A343,V$3)))</f>
        <v/>
      </c>
      <c r="W343" s="124" t="str">
        <f>IF($B343="","",IF(W$3=0,"n.b.",INDEX(SRC_Woningetalage!$A$1:$ZZ$501,$A343,W$3)))</f>
        <v/>
      </c>
      <c r="X343" s="124" t="str">
        <f>IF($B343="","",IF(X$3=0,"n.b.",INDEX(SRC_Woningetalage!$A$1:$ZZ$501,$A343,X$3)))</f>
        <v/>
      </c>
      <c r="Y343" s="124" t="str">
        <f>IF($B343="","",IF(Y$3=0,"n.b.",INDEX(SRC_Woningetalage!$A$1:$ZZ$501,$A343,Y$3)))</f>
        <v/>
      </c>
      <c r="Z343" s="124" t="str">
        <f>IF($B343="","",IF(Z$3=0,"n.b.",INDEX(SRC_Woningetalage!$A$1:$ZZ$501,$A343,Z$3)))</f>
        <v/>
      </c>
      <c r="AA343" s="124" t="str">
        <f>IF($B343="","",IF(AA$3=0,"n.b.",INDEX(SRC_Woningetalage!$A$1:$ZZ$501,$A343,AA$3)))</f>
        <v/>
      </c>
      <c r="AB343" s="124" t="str">
        <f>IF($B343="","",IF(AB$3=0,"n.b.",INDEX(SRC_Woningetalage!$A$1:$ZZ$501,$A343,AB$3)))</f>
        <v/>
      </c>
      <c r="AC343" s="124" t="str">
        <f>IF($B343="","",IF(AC$3=0,"n.b.",INDEX(SRC_Woningetalage!$A$1:$ZZ$501,$A343,AC$3)))</f>
        <v/>
      </c>
      <c r="AD343" s="124" t="str">
        <f>IF($B343="","",IF(AD$3=0,"n.b.",INDEX(SRC_Woningetalage!$A$1:$ZZ$501,$A343,AD$3)))</f>
        <v/>
      </c>
      <c r="AE343" s="124" t="str">
        <f>IF($B343="","",IF(AE$3=0,"n.b.",INDEX(SRC_Woningetalage!$A$1:$ZZ$501,$A343,AE$3)))</f>
        <v/>
      </c>
      <c r="AF343" s="124" t="str">
        <f>IF($B343="","",IF(AF$3=0,"n.b.",INDEX(SRC_Woningetalage!$A$1:$ZZ$501,$A343,AF$3)))</f>
        <v/>
      </c>
      <c r="AG343" s="124" t="str">
        <f>IF($B343="","",IF(AG$3=0,"n.b.",INDEX(SRC_Woningetalage!$A$1:$ZZ$501,$A343,AG$3)))</f>
        <v/>
      </c>
      <c r="AH343" s="124" t="str">
        <f>IF($B343="","",IF(AH$3=0,"n.b.",INDEX(SRC_Woningetalage!$A$1:$ZZ$501,$A343,AH$3)))</f>
        <v/>
      </c>
      <c r="AI343" s="124" t="str">
        <f>IF($B343="","",IF(AI$3=0,"n.b.",INDEX(SRC_Woningetalage!$A$1:$ZZ$501,$A343,AI$3)))</f>
        <v/>
      </c>
      <c r="AJ343" s="124" t="str">
        <f>IF($B343="","",IF(AJ$3=0,"n.b.",INDEX(SRC_Woningetalage!$A$1:$ZZ$501,$A343,AJ$3)))</f>
        <v/>
      </c>
      <c r="AK343" s="124" t="str">
        <f>IF($B343="","",IF(AK$3=0,"n.b.",INDEX(SRC_Woningetalage!$A$1:$ZZ$501,$A343,AK$3)))</f>
        <v/>
      </c>
      <c r="AL343" s="124" t="str">
        <f>IF($B343="","",IF(AL$3=0,"n.b.",INDEX(SRC_Woningetalage!$A$1:$ZZ$501,$A343,AL$3)))</f>
        <v/>
      </c>
      <c r="AM343" s="124" t="str">
        <f>IF($B343="","",IF(AM$3=0,"n.b.",INDEX(SRC_Woningetalage!$A$1:$ZZ$501,$A343,AM$3)))</f>
        <v/>
      </c>
      <c r="AN343" s="124" t="str">
        <f>IF($B343="","",IF(AN$3=0,"n.b.",INDEX(SRC_Woningetalage!$A$1:$ZZ$501,$A343,AN$3)))</f>
        <v/>
      </c>
      <c r="AO343" s="124" t="str">
        <f>IF($B343="","",IF(AO$3=0,"n.b.",INDEX(SRC_Woningetalage!$A$1:$ZZ$501,$A343,AO$3)))</f>
        <v/>
      </c>
      <c r="AP343" s="124" t="str">
        <f>IF($B343="","",IF(AP$3=0,"n.b.",INDEX(SRC_Woningetalage!$A$1:$ZZ$501,$A343,AP$3)))</f>
        <v/>
      </c>
      <c r="AQ343" s="124" t="str">
        <f>IF($B343="","",IF(AQ$3=0,"n.b.",INDEX(SRC_Woningetalage!$A$1:$ZZ$501,$A343,AQ$3)))</f>
        <v/>
      </c>
      <c r="AR343" s="124" t="str">
        <f>IF($B343="","",IF(AR$3=0,"n.b.",INDEX(SRC_Woningetalage!$A$1:$ZZ$501,$A343,AR$3)))</f>
        <v/>
      </c>
      <c r="AS343" s="124" t="str">
        <f>IF($B343="","",IF(AS$3=0,"n.b.",INDEX(SRC_Woningetalage!$A$1:$ZZ$501,$A343,AS$3)))</f>
        <v/>
      </c>
      <c r="AT343" s="124" t="str">
        <f>IF($B343="","",IF(AT$3=0,"n.b.",INDEX(SRC_Woningetalage!$A$1:$ZZ$501,$A343,AT$3)))</f>
        <v/>
      </c>
      <c r="AU343" s="124" t="str">
        <f>IF($B343="","",IF(AU$3=0,"n.b.",INDEX(SRC_Woningetalage!$A$1:$ZZ$501,$A343,AU$3)))</f>
        <v/>
      </c>
      <c r="AV343" s="124" t="str">
        <f>IF($B343="","",IF(AV$3=0,"n.b.",INDEX(SRC_Woningetalage!$A$1:$ZZ$501,$A343,AV$3)))</f>
        <v/>
      </c>
      <c r="AW343" s="124" t="str">
        <f>IF($B343="","",IF(AW$3=0,"n.b.",INDEX(SRC_Woningetalage!$A$1:$ZZ$501,$A343,AW$3)))</f>
        <v/>
      </c>
      <c r="AX343" s="124" t="str">
        <f>IF($B343="","",IF(AX$3=0,"n.b.",INDEX(SRC_Woningetalage!$A$1:$ZZ$501,$A343,AX$3)))</f>
        <v/>
      </c>
      <c r="AY343" s="124" t="str">
        <f>IF($B343="","",IF(AY$3=0,"n.b.",INDEX(SRC_Woningetalage!$A$1:$ZZ$501,$A343,AY$3)))</f>
        <v/>
      </c>
      <c r="AZ343" s="124" t="str">
        <f>IF($B343="","",IF(AZ$3=0,"n.b.",INDEX(SRC_Woningetalage!$A$1:$ZZ$501,$A343,AZ$3)))</f>
        <v/>
      </c>
      <c r="BA343" s="124" t="str">
        <f>IF($B343="","",IF(BA$3=0,"n.b.",INDEX(SRC_Woningetalage!$A$1:$ZZ$501,$A343,BA$3)))</f>
        <v/>
      </c>
      <c r="BB343" s="124" t="str">
        <f>IF($B343="","",IF(BB$3=0,"n.b.",INDEX(SRC_Woningetalage!$A$1:$ZZ$501,$A343,BB$3)))</f>
        <v/>
      </c>
      <c r="BC343" s="124" t="str">
        <f>IF($B343="","",IFERROR(_xlfn.NUMBERVALUE(E343&amp;"",",","."),"n.b."))</f>
        <v/>
      </c>
      <c r="BD343" s="124" t="str">
        <f>IF($B343="","",IFERROR(_xlfn.NUMBERVALUE(M343&amp;"",",","."),"n.b."))</f>
        <v/>
      </c>
      <c r="BE343" s="124" t="str">
        <f>IF($B343="","",IFERROR(AB343+AC343+AD343,"n.b."))</f>
        <v/>
      </c>
      <c r="BF343" s="124" t="str">
        <f>IF($B343="","",IFERROR(AE343+AF343+AG343,"n.b."))</f>
        <v/>
      </c>
      <c r="BG343" s="124" t="str">
        <f>IF($B343="","",IFERROR(AH343+AI343+AJ343,"n.b."))</f>
        <v/>
      </c>
      <c r="BH343" s="124" t="str">
        <f>IF($B343="","",IFERROR(AK343+AL343+AM343,"n.b."))</f>
        <v/>
      </c>
      <c r="BI343" s="124" t="str">
        <f>IF($B343="","",IFERROR(SUMIF($AB$5:$AM$5,"&lt;="&amp;P_PeilMaand,AB343:AM343),"n.b."))</f>
        <v/>
      </c>
      <c r="BJ343" s="124" t="str">
        <f>IF($B343="","",IFERROR(SUM(AB343:AM343)-BI343,"n.b."))</f>
        <v/>
      </c>
      <c r="BK343" s="124" t="str">
        <f>IF($B343="","",IFERROR(IF(ABS(Q343-(T343+SUM(AB343:AM343)+AS343+AU343))&gt;P_Tol,1,0),1))</f>
        <v/>
      </c>
      <c r="BL343" s="124" t="str">
        <f>IF($B343="","",IFERROR(IF(ABS(AA343-(Q343-Z343))&gt;P_Tol,1,0),1))</f>
        <v/>
      </c>
      <c r="BM343" s="124" t="str">
        <f>IF($B343="","",IFERROR(IF(ABS(Z343-(T343+W343))&gt;P_Tol,1,0),1))</f>
        <v/>
      </c>
      <c r="BN343" s="124" t="str">
        <f>IF($B343="","",IFERROR(IF(ABS(W343-BI343)&gt;P_Tol,1,0),1))</f>
        <v/>
      </c>
      <c r="BO343" s="124" t="str">
        <f>IF($B343="","",IFERROR(IF(OR(ABS(R343+S343-T343)&gt;P_Tol,ABS(U343+V343-W343)&gt;P_Tol,ABS(X343+Y343-Z343)&gt;P_Tol),1,0),1))</f>
        <v/>
      </c>
      <c r="BP343" s="124" t="str">
        <f>IF($B343="","",IFERROR(IF(OR(ABS(AR343-SUM(AB343:AM343))&gt;P_Tol,ABS(AS343-(AN343+AO343+AP343+AQ343))&gt;P_Tol),1,0),1))</f>
        <v/>
      </c>
      <c r="BQ343" s="124" t="str">
        <f>IF($B343="","",IFERROR(IF(ABS(AT343)+ABS(AV343)+ABS(AW343)+ABS(AX343)+ABS(AY343)+ABS(AZ343)+ABS(BA343)+ABS(BB343)&gt;0,1,0),1))</f>
        <v/>
      </c>
      <c r="BR343" s="124" t="str">
        <f>IF($B343="","",COUNTIF(STG_ZPMW03!$B$6:$B$505,B343))</f>
        <v/>
      </c>
      <c r="BS343" s="124" t="str">
        <f>IF($B343="","",COUNTIF($B$6:$B$505,B343))</f>
        <v/>
      </c>
      <c r="BT343" s="124" t="str">
        <f>IF($B343="","",IF(BR343=0,0,IF(INDEX(STG_ZPMW03!$I$6:$I$505,MATCH(B343,STG_ZPMW03!$B$6:$B$505,0))=J343&amp;"",0,1)))</f>
        <v/>
      </c>
      <c r="BU343" s="124" t="str">
        <f>IF($B343="","",IFERROR(IF(ABS(INDEX(Mapping!$D$5:$D$104,MATCH(B343,Mapping!$A$5:$A$104,0))-Q343)&gt;P_Tol,1,0),0))</f>
        <v/>
      </c>
      <c r="BV343" s="124" t="str">
        <f>IF($B343="","",IFERROR(IF(AND(INDEX(Mapping!$G$5:$G$104,MATCH(B343,Mapping!$A$5:$A$104,0))="Nee",ABS(Q343)+ABS(Z343)+ABS(AR343)&gt;0),1,0),0))</f>
        <v/>
      </c>
      <c r="BW343" s="124" t="str">
        <f>IF($B343="","",IF(COUNTIF(Mapping!$A$5:$A$104,B343)&gt;0,1,0))</f>
        <v/>
      </c>
      <c r="BX343" s="124" t="str">
        <f>IF($B343="","",IF(BR343=0,COUNTIF($BR$6:BR343,0),""))</f>
        <v/>
      </c>
    </row>
    <row r="344">
      <c r="A344" s="15" t="n">
        <v>340</v>
      </c>
      <c r="B344" t="str">
        <f>IF(B$3=0,"",IF(INDEX(SRC_Woningetalage!$A$1:$ZZ$501,$A344,B$3)&amp;""="","",INDEX(SRC_Woningetalage!$A$1:$ZZ$501,$A344,B$3)&amp;""))</f>
        <v/>
      </c>
      <c r="C344" t="str">
        <f>IF($B344="","",IF(C$3=0,"n.b.",INDEX(SRC_Woningetalage!$A$1:$ZZ$501,$A344,C$3)))</f>
        <v/>
      </c>
      <c r="D344" t="str">
        <f>IF($B344="","",IF(D$3=0,"n.b.",INDEX(SRC_Woningetalage!$A$1:$ZZ$501,$A344,D$3)))</f>
        <v/>
      </c>
      <c r="E344" t="str">
        <f>IF($B344="","",IF(E$3=0,"n.b.",INDEX(SRC_Woningetalage!$A$1:$ZZ$501,$A344,E$3)))</f>
        <v/>
      </c>
      <c r="F344" t="str">
        <f>IF($B344="","",IF(F$3=0,"n.b.",INDEX(SRC_Woningetalage!$A$1:$ZZ$501,$A344,F$3)))</f>
        <v/>
      </c>
      <c r="G344" t="str">
        <f>IF($B344="","",IF(G$3=0,"n.b.",INDEX(SRC_Woningetalage!$A$1:$ZZ$501,$A344,G$3)))</f>
        <v/>
      </c>
      <c r="H344" t="str">
        <f>IF($B344="","",IF(H$3=0,"n.b.",INDEX(SRC_Woningetalage!$A$1:$ZZ$501,$A344,H$3)))</f>
        <v/>
      </c>
      <c r="I344" t="str">
        <f>IF($B344="","",IF(I$3=0,"n.b.",INDEX(SRC_Woningetalage!$A$1:$ZZ$501,$A344,I$3)))</f>
        <v/>
      </c>
      <c r="J344" t="str">
        <f>IF($B344="","",IF(J$3=0,"n.b.",INDEX(SRC_Woningetalage!$A$1:$ZZ$501,$A344,J$3)))</f>
        <v/>
      </c>
      <c r="K344" t="str">
        <f>IF($B344="","",IF(K$3=0,"n.b.",INDEX(SRC_Woningetalage!$A$1:$ZZ$501,$A344,K$3)))</f>
        <v/>
      </c>
      <c r="L344" t="str">
        <f>IF($B344="","",IF(L$3=0,"n.b.",INDEX(SRC_Woningetalage!$A$1:$ZZ$501,$A344,L$3)))</f>
        <v/>
      </c>
      <c r="M344" t="str">
        <f>IF($B344="","",IF(M$3=0,"n.b.",INDEX(SRC_Woningetalage!$A$1:$ZZ$501,$A344,M$3)))</f>
        <v/>
      </c>
      <c r="N344" t="str">
        <f>IF($B344="","",IF(N$3=0,"n.b.",INDEX(SRC_Woningetalage!$A$1:$ZZ$501,$A344,N$3)))</f>
        <v/>
      </c>
      <c r="O344" t="str">
        <f>IF($B344="","",IF(O$3=0,"n.b.",INDEX(SRC_Woningetalage!$A$1:$ZZ$501,$A344,O$3)))</f>
        <v/>
      </c>
      <c r="P344" t="str">
        <f>IF($B344="","",IF(P$3=0,"n.b.",INDEX(SRC_Woningetalage!$A$1:$ZZ$501,$A344,P$3)))</f>
        <v/>
      </c>
      <c r="Q344" s="124" t="str">
        <f>IF($B344="","",IF(Q$3=0,"n.b.",INDEX(SRC_Woningetalage!$A$1:$ZZ$501,$A344,Q$3)))</f>
        <v/>
      </c>
      <c r="R344" s="124" t="str">
        <f>IF($B344="","",IF(R$3=0,"n.b.",INDEX(SRC_Woningetalage!$A$1:$ZZ$501,$A344,R$3)))</f>
        <v/>
      </c>
      <c r="S344" s="124" t="str">
        <f>IF($B344="","",IF(S$3=0,"n.b.",INDEX(SRC_Woningetalage!$A$1:$ZZ$501,$A344,S$3)))</f>
        <v/>
      </c>
      <c r="T344" s="124" t="str">
        <f>IF($B344="","",IF(T$3=0,"n.b.",INDEX(SRC_Woningetalage!$A$1:$ZZ$501,$A344,T$3)))</f>
        <v/>
      </c>
      <c r="U344" s="124" t="str">
        <f>IF($B344="","",IF(U$3=0,"n.b.",INDEX(SRC_Woningetalage!$A$1:$ZZ$501,$A344,U$3)))</f>
        <v/>
      </c>
      <c r="V344" s="124" t="str">
        <f>IF($B344="","",IF(V$3=0,"n.b.",INDEX(SRC_Woningetalage!$A$1:$ZZ$501,$A344,V$3)))</f>
        <v/>
      </c>
      <c r="W344" s="124" t="str">
        <f>IF($B344="","",IF(W$3=0,"n.b.",INDEX(SRC_Woningetalage!$A$1:$ZZ$501,$A344,W$3)))</f>
        <v/>
      </c>
      <c r="X344" s="124" t="str">
        <f>IF($B344="","",IF(X$3=0,"n.b.",INDEX(SRC_Woningetalage!$A$1:$ZZ$501,$A344,X$3)))</f>
        <v/>
      </c>
      <c r="Y344" s="124" t="str">
        <f>IF($B344="","",IF(Y$3=0,"n.b.",INDEX(SRC_Woningetalage!$A$1:$ZZ$501,$A344,Y$3)))</f>
        <v/>
      </c>
      <c r="Z344" s="124" t="str">
        <f>IF($B344="","",IF(Z$3=0,"n.b.",INDEX(SRC_Woningetalage!$A$1:$ZZ$501,$A344,Z$3)))</f>
        <v/>
      </c>
      <c r="AA344" s="124" t="str">
        <f>IF($B344="","",IF(AA$3=0,"n.b.",INDEX(SRC_Woningetalage!$A$1:$ZZ$501,$A344,AA$3)))</f>
        <v/>
      </c>
      <c r="AB344" s="124" t="str">
        <f>IF($B344="","",IF(AB$3=0,"n.b.",INDEX(SRC_Woningetalage!$A$1:$ZZ$501,$A344,AB$3)))</f>
        <v/>
      </c>
      <c r="AC344" s="124" t="str">
        <f>IF($B344="","",IF(AC$3=0,"n.b.",INDEX(SRC_Woningetalage!$A$1:$ZZ$501,$A344,AC$3)))</f>
        <v/>
      </c>
      <c r="AD344" s="124" t="str">
        <f>IF($B344="","",IF(AD$3=0,"n.b.",INDEX(SRC_Woningetalage!$A$1:$ZZ$501,$A344,AD$3)))</f>
        <v/>
      </c>
      <c r="AE344" s="124" t="str">
        <f>IF($B344="","",IF(AE$3=0,"n.b.",INDEX(SRC_Woningetalage!$A$1:$ZZ$501,$A344,AE$3)))</f>
        <v/>
      </c>
      <c r="AF344" s="124" t="str">
        <f>IF($B344="","",IF(AF$3=0,"n.b.",INDEX(SRC_Woningetalage!$A$1:$ZZ$501,$A344,AF$3)))</f>
        <v/>
      </c>
      <c r="AG344" s="124" t="str">
        <f>IF($B344="","",IF(AG$3=0,"n.b.",INDEX(SRC_Woningetalage!$A$1:$ZZ$501,$A344,AG$3)))</f>
        <v/>
      </c>
      <c r="AH344" s="124" t="str">
        <f>IF($B344="","",IF(AH$3=0,"n.b.",INDEX(SRC_Woningetalage!$A$1:$ZZ$501,$A344,AH$3)))</f>
        <v/>
      </c>
      <c r="AI344" s="124" t="str">
        <f>IF($B344="","",IF(AI$3=0,"n.b.",INDEX(SRC_Woningetalage!$A$1:$ZZ$501,$A344,AI$3)))</f>
        <v/>
      </c>
      <c r="AJ344" s="124" t="str">
        <f>IF($B344="","",IF(AJ$3=0,"n.b.",INDEX(SRC_Woningetalage!$A$1:$ZZ$501,$A344,AJ$3)))</f>
        <v/>
      </c>
      <c r="AK344" s="124" t="str">
        <f>IF($B344="","",IF(AK$3=0,"n.b.",INDEX(SRC_Woningetalage!$A$1:$ZZ$501,$A344,AK$3)))</f>
        <v/>
      </c>
      <c r="AL344" s="124" t="str">
        <f>IF($B344="","",IF(AL$3=0,"n.b.",INDEX(SRC_Woningetalage!$A$1:$ZZ$501,$A344,AL$3)))</f>
        <v/>
      </c>
      <c r="AM344" s="124" t="str">
        <f>IF($B344="","",IF(AM$3=0,"n.b.",INDEX(SRC_Woningetalage!$A$1:$ZZ$501,$A344,AM$3)))</f>
        <v/>
      </c>
      <c r="AN344" s="124" t="str">
        <f>IF($B344="","",IF(AN$3=0,"n.b.",INDEX(SRC_Woningetalage!$A$1:$ZZ$501,$A344,AN$3)))</f>
        <v/>
      </c>
      <c r="AO344" s="124" t="str">
        <f>IF($B344="","",IF(AO$3=0,"n.b.",INDEX(SRC_Woningetalage!$A$1:$ZZ$501,$A344,AO$3)))</f>
        <v/>
      </c>
      <c r="AP344" s="124" t="str">
        <f>IF($B344="","",IF(AP$3=0,"n.b.",INDEX(SRC_Woningetalage!$A$1:$ZZ$501,$A344,AP$3)))</f>
        <v/>
      </c>
      <c r="AQ344" s="124" t="str">
        <f>IF($B344="","",IF(AQ$3=0,"n.b.",INDEX(SRC_Woningetalage!$A$1:$ZZ$501,$A344,AQ$3)))</f>
        <v/>
      </c>
      <c r="AR344" s="124" t="str">
        <f>IF($B344="","",IF(AR$3=0,"n.b.",INDEX(SRC_Woningetalage!$A$1:$ZZ$501,$A344,AR$3)))</f>
        <v/>
      </c>
      <c r="AS344" s="124" t="str">
        <f>IF($B344="","",IF(AS$3=0,"n.b.",INDEX(SRC_Woningetalage!$A$1:$ZZ$501,$A344,AS$3)))</f>
        <v/>
      </c>
      <c r="AT344" s="124" t="str">
        <f>IF($B344="","",IF(AT$3=0,"n.b.",INDEX(SRC_Woningetalage!$A$1:$ZZ$501,$A344,AT$3)))</f>
        <v/>
      </c>
      <c r="AU344" s="124" t="str">
        <f>IF($B344="","",IF(AU$3=0,"n.b.",INDEX(SRC_Woningetalage!$A$1:$ZZ$501,$A344,AU$3)))</f>
        <v/>
      </c>
      <c r="AV344" s="124" t="str">
        <f>IF($B344="","",IF(AV$3=0,"n.b.",INDEX(SRC_Woningetalage!$A$1:$ZZ$501,$A344,AV$3)))</f>
        <v/>
      </c>
      <c r="AW344" s="124" t="str">
        <f>IF($B344="","",IF(AW$3=0,"n.b.",INDEX(SRC_Woningetalage!$A$1:$ZZ$501,$A344,AW$3)))</f>
        <v/>
      </c>
      <c r="AX344" s="124" t="str">
        <f>IF($B344="","",IF(AX$3=0,"n.b.",INDEX(SRC_Woningetalage!$A$1:$ZZ$501,$A344,AX$3)))</f>
        <v/>
      </c>
      <c r="AY344" s="124" t="str">
        <f>IF($B344="","",IF(AY$3=0,"n.b.",INDEX(SRC_Woningetalage!$A$1:$ZZ$501,$A344,AY$3)))</f>
        <v/>
      </c>
      <c r="AZ344" s="124" t="str">
        <f>IF($B344="","",IF(AZ$3=0,"n.b.",INDEX(SRC_Woningetalage!$A$1:$ZZ$501,$A344,AZ$3)))</f>
        <v/>
      </c>
      <c r="BA344" s="124" t="str">
        <f>IF($B344="","",IF(BA$3=0,"n.b.",INDEX(SRC_Woningetalage!$A$1:$ZZ$501,$A344,BA$3)))</f>
        <v/>
      </c>
      <c r="BB344" s="124" t="str">
        <f>IF($B344="","",IF(BB$3=0,"n.b.",INDEX(SRC_Woningetalage!$A$1:$ZZ$501,$A344,BB$3)))</f>
        <v/>
      </c>
      <c r="BC344" s="124" t="str">
        <f>IF($B344="","",IFERROR(_xlfn.NUMBERVALUE(E344&amp;"",",","."),"n.b."))</f>
        <v/>
      </c>
      <c r="BD344" s="124" t="str">
        <f>IF($B344="","",IFERROR(_xlfn.NUMBERVALUE(M344&amp;"",",","."),"n.b."))</f>
        <v/>
      </c>
      <c r="BE344" s="124" t="str">
        <f>IF($B344="","",IFERROR(AB344+AC344+AD344,"n.b."))</f>
        <v/>
      </c>
      <c r="BF344" s="124" t="str">
        <f>IF($B344="","",IFERROR(AE344+AF344+AG344,"n.b."))</f>
        <v/>
      </c>
      <c r="BG344" s="124" t="str">
        <f>IF($B344="","",IFERROR(AH344+AI344+AJ344,"n.b."))</f>
        <v/>
      </c>
      <c r="BH344" s="124" t="str">
        <f>IF($B344="","",IFERROR(AK344+AL344+AM344,"n.b."))</f>
        <v/>
      </c>
      <c r="BI344" s="124" t="str">
        <f>IF($B344="","",IFERROR(SUMIF($AB$5:$AM$5,"&lt;="&amp;P_PeilMaand,AB344:AM344),"n.b."))</f>
        <v/>
      </c>
      <c r="BJ344" s="124" t="str">
        <f>IF($B344="","",IFERROR(SUM(AB344:AM344)-BI344,"n.b."))</f>
        <v/>
      </c>
      <c r="BK344" s="124" t="str">
        <f>IF($B344="","",IFERROR(IF(ABS(Q344-(T344+SUM(AB344:AM344)+AS344+AU344))&gt;P_Tol,1,0),1))</f>
        <v/>
      </c>
      <c r="BL344" s="124" t="str">
        <f>IF($B344="","",IFERROR(IF(ABS(AA344-(Q344-Z344))&gt;P_Tol,1,0),1))</f>
        <v/>
      </c>
      <c r="BM344" s="124" t="str">
        <f>IF($B344="","",IFERROR(IF(ABS(Z344-(T344+W344))&gt;P_Tol,1,0),1))</f>
        <v/>
      </c>
      <c r="BN344" s="124" t="str">
        <f>IF($B344="","",IFERROR(IF(ABS(W344-BI344)&gt;P_Tol,1,0),1))</f>
        <v/>
      </c>
      <c r="BO344" s="124" t="str">
        <f>IF($B344="","",IFERROR(IF(OR(ABS(R344+S344-T344)&gt;P_Tol,ABS(U344+V344-W344)&gt;P_Tol,ABS(X344+Y344-Z344)&gt;P_Tol),1,0),1))</f>
        <v/>
      </c>
      <c r="BP344" s="124" t="str">
        <f>IF($B344="","",IFERROR(IF(OR(ABS(AR344-SUM(AB344:AM344))&gt;P_Tol,ABS(AS344-(AN344+AO344+AP344+AQ344))&gt;P_Tol),1,0),1))</f>
        <v/>
      </c>
      <c r="BQ344" s="124" t="str">
        <f>IF($B344="","",IFERROR(IF(ABS(AT344)+ABS(AV344)+ABS(AW344)+ABS(AX344)+ABS(AY344)+ABS(AZ344)+ABS(BA344)+ABS(BB344)&gt;0,1,0),1))</f>
        <v/>
      </c>
      <c r="BR344" s="124" t="str">
        <f>IF($B344="","",COUNTIF(STG_ZPMW03!$B$6:$B$505,B344))</f>
        <v/>
      </c>
      <c r="BS344" s="124" t="str">
        <f>IF($B344="","",COUNTIF($B$6:$B$505,B344))</f>
        <v/>
      </c>
      <c r="BT344" s="124" t="str">
        <f>IF($B344="","",IF(BR344=0,0,IF(INDEX(STG_ZPMW03!$I$6:$I$505,MATCH(B344,STG_ZPMW03!$B$6:$B$505,0))=J344&amp;"",0,1)))</f>
        <v/>
      </c>
      <c r="BU344" s="124" t="str">
        <f>IF($B344="","",IFERROR(IF(ABS(INDEX(Mapping!$D$5:$D$104,MATCH(B344,Mapping!$A$5:$A$104,0))-Q344)&gt;P_Tol,1,0),0))</f>
        <v/>
      </c>
      <c r="BV344" s="124" t="str">
        <f>IF($B344="","",IFERROR(IF(AND(INDEX(Mapping!$G$5:$G$104,MATCH(B344,Mapping!$A$5:$A$104,0))="Nee",ABS(Q344)+ABS(Z344)+ABS(AR344)&gt;0),1,0),0))</f>
        <v/>
      </c>
      <c r="BW344" s="124" t="str">
        <f>IF($B344="","",IF(COUNTIF(Mapping!$A$5:$A$104,B344)&gt;0,1,0))</f>
        <v/>
      </c>
      <c r="BX344" s="124" t="str">
        <f>IF($B344="","",IF(BR344=0,COUNTIF($BR$6:BR344,0),""))</f>
        <v/>
      </c>
    </row>
    <row r="345">
      <c r="A345" s="15" t="n">
        <v>341</v>
      </c>
      <c r="B345" t="str">
        <f>IF(B$3=0,"",IF(INDEX(SRC_Woningetalage!$A$1:$ZZ$501,$A345,B$3)&amp;""="","",INDEX(SRC_Woningetalage!$A$1:$ZZ$501,$A345,B$3)&amp;""))</f>
        <v/>
      </c>
      <c r="C345" t="str">
        <f>IF($B345="","",IF(C$3=0,"n.b.",INDEX(SRC_Woningetalage!$A$1:$ZZ$501,$A345,C$3)))</f>
        <v/>
      </c>
      <c r="D345" t="str">
        <f>IF($B345="","",IF(D$3=0,"n.b.",INDEX(SRC_Woningetalage!$A$1:$ZZ$501,$A345,D$3)))</f>
        <v/>
      </c>
      <c r="E345" t="str">
        <f>IF($B345="","",IF(E$3=0,"n.b.",INDEX(SRC_Woningetalage!$A$1:$ZZ$501,$A345,E$3)))</f>
        <v/>
      </c>
      <c r="F345" t="str">
        <f>IF($B345="","",IF(F$3=0,"n.b.",INDEX(SRC_Woningetalage!$A$1:$ZZ$501,$A345,F$3)))</f>
        <v/>
      </c>
      <c r="G345" t="str">
        <f>IF($B345="","",IF(G$3=0,"n.b.",INDEX(SRC_Woningetalage!$A$1:$ZZ$501,$A345,G$3)))</f>
        <v/>
      </c>
      <c r="H345" t="str">
        <f>IF($B345="","",IF(H$3=0,"n.b.",INDEX(SRC_Woningetalage!$A$1:$ZZ$501,$A345,H$3)))</f>
        <v/>
      </c>
      <c r="I345" t="str">
        <f>IF($B345="","",IF(I$3=0,"n.b.",INDEX(SRC_Woningetalage!$A$1:$ZZ$501,$A345,I$3)))</f>
        <v/>
      </c>
      <c r="J345" t="str">
        <f>IF($B345="","",IF(J$3=0,"n.b.",INDEX(SRC_Woningetalage!$A$1:$ZZ$501,$A345,J$3)))</f>
        <v/>
      </c>
      <c r="K345" t="str">
        <f>IF($B345="","",IF(K$3=0,"n.b.",INDEX(SRC_Woningetalage!$A$1:$ZZ$501,$A345,K$3)))</f>
        <v/>
      </c>
      <c r="L345" t="str">
        <f>IF($B345="","",IF(L$3=0,"n.b.",INDEX(SRC_Woningetalage!$A$1:$ZZ$501,$A345,L$3)))</f>
        <v/>
      </c>
      <c r="M345" t="str">
        <f>IF($B345="","",IF(M$3=0,"n.b.",INDEX(SRC_Woningetalage!$A$1:$ZZ$501,$A345,M$3)))</f>
        <v/>
      </c>
      <c r="N345" t="str">
        <f>IF($B345="","",IF(N$3=0,"n.b.",INDEX(SRC_Woningetalage!$A$1:$ZZ$501,$A345,N$3)))</f>
        <v/>
      </c>
      <c r="O345" t="str">
        <f>IF($B345="","",IF(O$3=0,"n.b.",INDEX(SRC_Woningetalage!$A$1:$ZZ$501,$A345,O$3)))</f>
        <v/>
      </c>
      <c r="P345" t="str">
        <f>IF($B345="","",IF(P$3=0,"n.b.",INDEX(SRC_Woningetalage!$A$1:$ZZ$501,$A345,P$3)))</f>
        <v/>
      </c>
      <c r="Q345" s="124" t="str">
        <f>IF($B345="","",IF(Q$3=0,"n.b.",INDEX(SRC_Woningetalage!$A$1:$ZZ$501,$A345,Q$3)))</f>
        <v/>
      </c>
      <c r="R345" s="124" t="str">
        <f>IF($B345="","",IF(R$3=0,"n.b.",INDEX(SRC_Woningetalage!$A$1:$ZZ$501,$A345,R$3)))</f>
        <v/>
      </c>
      <c r="S345" s="124" t="str">
        <f>IF($B345="","",IF(S$3=0,"n.b.",INDEX(SRC_Woningetalage!$A$1:$ZZ$501,$A345,S$3)))</f>
        <v/>
      </c>
      <c r="T345" s="124" t="str">
        <f>IF($B345="","",IF(T$3=0,"n.b.",INDEX(SRC_Woningetalage!$A$1:$ZZ$501,$A345,T$3)))</f>
        <v/>
      </c>
      <c r="U345" s="124" t="str">
        <f>IF($B345="","",IF(U$3=0,"n.b.",INDEX(SRC_Woningetalage!$A$1:$ZZ$501,$A345,U$3)))</f>
        <v/>
      </c>
      <c r="V345" s="124" t="str">
        <f>IF($B345="","",IF(V$3=0,"n.b.",INDEX(SRC_Woningetalage!$A$1:$ZZ$501,$A345,V$3)))</f>
        <v/>
      </c>
      <c r="W345" s="124" t="str">
        <f>IF($B345="","",IF(W$3=0,"n.b.",INDEX(SRC_Woningetalage!$A$1:$ZZ$501,$A345,W$3)))</f>
        <v/>
      </c>
      <c r="X345" s="124" t="str">
        <f>IF($B345="","",IF(X$3=0,"n.b.",INDEX(SRC_Woningetalage!$A$1:$ZZ$501,$A345,X$3)))</f>
        <v/>
      </c>
      <c r="Y345" s="124" t="str">
        <f>IF($B345="","",IF(Y$3=0,"n.b.",INDEX(SRC_Woningetalage!$A$1:$ZZ$501,$A345,Y$3)))</f>
        <v/>
      </c>
      <c r="Z345" s="124" t="str">
        <f>IF($B345="","",IF(Z$3=0,"n.b.",INDEX(SRC_Woningetalage!$A$1:$ZZ$501,$A345,Z$3)))</f>
        <v/>
      </c>
      <c r="AA345" s="124" t="str">
        <f>IF($B345="","",IF(AA$3=0,"n.b.",INDEX(SRC_Woningetalage!$A$1:$ZZ$501,$A345,AA$3)))</f>
        <v/>
      </c>
      <c r="AB345" s="124" t="str">
        <f>IF($B345="","",IF(AB$3=0,"n.b.",INDEX(SRC_Woningetalage!$A$1:$ZZ$501,$A345,AB$3)))</f>
        <v/>
      </c>
      <c r="AC345" s="124" t="str">
        <f>IF($B345="","",IF(AC$3=0,"n.b.",INDEX(SRC_Woningetalage!$A$1:$ZZ$501,$A345,AC$3)))</f>
        <v/>
      </c>
      <c r="AD345" s="124" t="str">
        <f>IF($B345="","",IF(AD$3=0,"n.b.",INDEX(SRC_Woningetalage!$A$1:$ZZ$501,$A345,AD$3)))</f>
        <v/>
      </c>
      <c r="AE345" s="124" t="str">
        <f>IF($B345="","",IF(AE$3=0,"n.b.",INDEX(SRC_Woningetalage!$A$1:$ZZ$501,$A345,AE$3)))</f>
        <v/>
      </c>
      <c r="AF345" s="124" t="str">
        <f>IF($B345="","",IF(AF$3=0,"n.b.",INDEX(SRC_Woningetalage!$A$1:$ZZ$501,$A345,AF$3)))</f>
        <v/>
      </c>
      <c r="AG345" s="124" t="str">
        <f>IF($B345="","",IF(AG$3=0,"n.b.",INDEX(SRC_Woningetalage!$A$1:$ZZ$501,$A345,AG$3)))</f>
        <v/>
      </c>
      <c r="AH345" s="124" t="str">
        <f>IF($B345="","",IF(AH$3=0,"n.b.",INDEX(SRC_Woningetalage!$A$1:$ZZ$501,$A345,AH$3)))</f>
        <v/>
      </c>
      <c r="AI345" s="124" t="str">
        <f>IF($B345="","",IF(AI$3=0,"n.b.",INDEX(SRC_Woningetalage!$A$1:$ZZ$501,$A345,AI$3)))</f>
        <v/>
      </c>
      <c r="AJ345" s="124" t="str">
        <f>IF($B345="","",IF(AJ$3=0,"n.b.",INDEX(SRC_Woningetalage!$A$1:$ZZ$501,$A345,AJ$3)))</f>
        <v/>
      </c>
      <c r="AK345" s="124" t="str">
        <f>IF($B345="","",IF(AK$3=0,"n.b.",INDEX(SRC_Woningetalage!$A$1:$ZZ$501,$A345,AK$3)))</f>
        <v/>
      </c>
      <c r="AL345" s="124" t="str">
        <f>IF($B345="","",IF(AL$3=0,"n.b.",INDEX(SRC_Woningetalage!$A$1:$ZZ$501,$A345,AL$3)))</f>
        <v/>
      </c>
      <c r="AM345" s="124" t="str">
        <f>IF($B345="","",IF(AM$3=0,"n.b.",INDEX(SRC_Woningetalage!$A$1:$ZZ$501,$A345,AM$3)))</f>
        <v/>
      </c>
      <c r="AN345" s="124" t="str">
        <f>IF($B345="","",IF(AN$3=0,"n.b.",INDEX(SRC_Woningetalage!$A$1:$ZZ$501,$A345,AN$3)))</f>
        <v/>
      </c>
      <c r="AO345" s="124" t="str">
        <f>IF($B345="","",IF(AO$3=0,"n.b.",INDEX(SRC_Woningetalage!$A$1:$ZZ$501,$A345,AO$3)))</f>
        <v/>
      </c>
      <c r="AP345" s="124" t="str">
        <f>IF($B345="","",IF(AP$3=0,"n.b.",INDEX(SRC_Woningetalage!$A$1:$ZZ$501,$A345,AP$3)))</f>
        <v/>
      </c>
      <c r="AQ345" s="124" t="str">
        <f>IF($B345="","",IF(AQ$3=0,"n.b.",INDEX(SRC_Woningetalage!$A$1:$ZZ$501,$A345,AQ$3)))</f>
        <v/>
      </c>
      <c r="AR345" s="124" t="str">
        <f>IF($B345="","",IF(AR$3=0,"n.b.",INDEX(SRC_Woningetalage!$A$1:$ZZ$501,$A345,AR$3)))</f>
        <v/>
      </c>
      <c r="AS345" s="124" t="str">
        <f>IF($B345="","",IF(AS$3=0,"n.b.",INDEX(SRC_Woningetalage!$A$1:$ZZ$501,$A345,AS$3)))</f>
        <v/>
      </c>
      <c r="AT345" s="124" t="str">
        <f>IF($B345="","",IF(AT$3=0,"n.b.",INDEX(SRC_Woningetalage!$A$1:$ZZ$501,$A345,AT$3)))</f>
        <v/>
      </c>
      <c r="AU345" s="124" t="str">
        <f>IF($B345="","",IF(AU$3=0,"n.b.",INDEX(SRC_Woningetalage!$A$1:$ZZ$501,$A345,AU$3)))</f>
        <v/>
      </c>
      <c r="AV345" s="124" t="str">
        <f>IF($B345="","",IF(AV$3=0,"n.b.",INDEX(SRC_Woningetalage!$A$1:$ZZ$501,$A345,AV$3)))</f>
        <v/>
      </c>
      <c r="AW345" s="124" t="str">
        <f>IF($B345="","",IF(AW$3=0,"n.b.",INDEX(SRC_Woningetalage!$A$1:$ZZ$501,$A345,AW$3)))</f>
        <v/>
      </c>
      <c r="AX345" s="124" t="str">
        <f>IF($B345="","",IF(AX$3=0,"n.b.",INDEX(SRC_Woningetalage!$A$1:$ZZ$501,$A345,AX$3)))</f>
        <v/>
      </c>
      <c r="AY345" s="124" t="str">
        <f>IF($B345="","",IF(AY$3=0,"n.b.",INDEX(SRC_Woningetalage!$A$1:$ZZ$501,$A345,AY$3)))</f>
        <v/>
      </c>
      <c r="AZ345" s="124" t="str">
        <f>IF($B345="","",IF(AZ$3=0,"n.b.",INDEX(SRC_Woningetalage!$A$1:$ZZ$501,$A345,AZ$3)))</f>
        <v/>
      </c>
      <c r="BA345" s="124" t="str">
        <f>IF($B345="","",IF(BA$3=0,"n.b.",INDEX(SRC_Woningetalage!$A$1:$ZZ$501,$A345,BA$3)))</f>
        <v/>
      </c>
      <c r="BB345" s="124" t="str">
        <f>IF($B345="","",IF(BB$3=0,"n.b.",INDEX(SRC_Woningetalage!$A$1:$ZZ$501,$A345,BB$3)))</f>
        <v/>
      </c>
      <c r="BC345" s="124" t="str">
        <f>IF($B345="","",IFERROR(_xlfn.NUMBERVALUE(E345&amp;"",",","."),"n.b."))</f>
        <v/>
      </c>
      <c r="BD345" s="124" t="str">
        <f>IF($B345="","",IFERROR(_xlfn.NUMBERVALUE(M345&amp;"",",","."),"n.b."))</f>
        <v/>
      </c>
      <c r="BE345" s="124" t="str">
        <f>IF($B345="","",IFERROR(AB345+AC345+AD345,"n.b."))</f>
        <v/>
      </c>
      <c r="BF345" s="124" t="str">
        <f>IF($B345="","",IFERROR(AE345+AF345+AG345,"n.b."))</f>
        <v/>
      </c>
      <c r="BG345" s="124" t="str">
        <f>IF($B345="","",IFERROR(AH345+AI345+AJ345,"n.b."))</f>
        <v/>
      </c>
      <c r="BH345" s="124" t="str">
        <f>IF($B345="","",IFERROR(AK345+AL345+AM345,"n.b."))</f>
        <v/>
      </c>
      <c r="BI345" s="124" t="str">
        <f>IF($B345="","",IFERROR(SUMIF($AB$5:$AM$5,"&lt;="&amp;P_PeilMaand,AB345:AM345),"n.b."))</f>
        <v/>
      </c>
      <c r="BJ345" s="124" t="str">
        <f>IF($B345="","",IFERROR(SUM(AB345:AM345)-BI345,"n.b."))</f>
        <v/>
      </c>
      <c r="BK345" s="124" t="str">
        <f>IF($B345="","",IFERROR(IF(ABS(Q345-(T345+SUM(AB345:AM345)+AS345+AU345))&gt;P_Tol,1,0),1))</f>
        <v/>
      </c>
      <c r="BL345" s="124" t="str">
        <f>IF($B345="","",IFERROR(IF(ABS(AA345-(Q345-Z345))&gt;P_Tol,1,0),1))</f>
        <v/>
      </c>
      <c r="BM345" s="124" t="str">
        <f>IF($B345="","",IFERROR(IF(ABS(Z345-(T345+W345))&gt;P_Tol,1,0),1))</f>
        <v/>
      </c>
      <c r="BN345" s="124" t="str">
        <f>IF($B345="","",IFERROR(IF(ABS(W345-BI345)&gt;P_Tol,1,0),1))</f>
        <v/>
      </c>
      <c r="BO345" s="124" t="str">
        <f>IF($B345="","",IFERROR(IF(OR(ABS(R345+S345-T345)&gt;P_Tol,ABS(U345+V345-W345)&gt;P_Tol,ABS(X345+Y345-Z345)&gt;P_Tol),1,0),1))</f>
        <v/>
      </c>
      <c r="BP345" s="124" t="str">
        <f>IF($B345="","",IFERROR(IF(OR(ABS(AR345-SUM(AB345:AM345))&gt;P_Tol,ABS(AS345-(AN345+AO345+AP345+AQ345))&gt;P_Tol),1,0),1))</f>
        <v/>
      </c>
      <c r="BQ345" s="124" t="str">
        <f>IF($B345="","",IFERROR(IF(ABS(AT345)+ABS(AV345)+ABS(AW345)+ABS(AX345)+ABS(AY345)+ABS(AZ345)+ABS(BA345)+ABS(BB345)&gt;0,1,0),1))</f>
        <v/>
      </c>
      <c r="BR345" s="124" t="str">
        <f>IF($B345="","",COUNTIF(STG_ZPMW03!$B$6:$B$505,B345))</f>
        <v/>
      </c>
      <c r="BS345" s="124" t="str">
        <f>IF($B345="","",COUNTIF($B$6:$B$505,B345))</f>
        <v/>
      </c>
      <c r="BT345" s="124" t="str">
        <f>IF($B345="","",IF(BR345=0,0,IF(INDEX(STG_ZPMW03!$I$6:$I$505,MATCH(B345,STG_ZPMW03!$B$6:$B$505,0))=J345&amp;"",0,1)))</f>
        <v/>
      </c>
      <c r="BU345" s="124" t="str">
        <f>IF($B345="","",IFERROR(IF(ABS(INDEX(Mapping!$D$5:$D$104,MATCH(B345,Mapping!$A$5:$A$104,0))-Q345)&gt;P_Tol,1,0),0))</f>
        <v/>
      </c>
      <c r="BV345" s="124" t="str">
        <f>IF($B345="","",IFERROR(IF(AND(INDEX(Mapping!$G$5:$G$104,MATCH(B345,Mapping!$A$5:$A$104,0))="Nee",ABS(Q345)+ABS(Z345)+ABS(AR345)&gt;0),1,0),0))</f>
        <v/>
      </c>
      <c r="BW345" s="124" t="str">
        <f>IF($B345="","",IF(COUNTIF(Mapping!$A$5:$A$104,B345)&gt;0,1,0))</f>
        <v/>
      </c>
      <c r="BX345" s="124" t="str">
        <f>IF($B345="","",IF(BR345=0,COUNTIF($BR$6:BR345,0),""))</f>
        <v/>
      </c>
    </row>
    <row r="346">
      <c r="A346" s="15" t="n">
        <v>342</v>
      </c>
      <c r="B346" t="str">
        <f>IF(B$3=0,"",IF(INDEX(SRC_Woningetalage!$A$1:$ZZ$501,$A346,B$3)&amp;""="","",INDEX(SRC_Woningetalage!$A$1:$ZZ$501,$A346,B$3)&amp;""))</f>
        <v/>
      </c>
      <c r="C346" t="str">
        <f>IF($B346="","",IF(C$3=0,"n.b.",INDEX(SRC_Woningetalage!$A$1:$ZZ$501,$A346,C$3)))</f>
        <v/>
      </c>
      <c r="D346" t="str">
        <f>IF($B346="","",IF(D$3=0,"n.b.",INDEX(SRC_Woningetalage!$A$1:$ZZ$501,$A346,D$3)))</f>
        <v/>
      </c>
      <c r="E346" t="str">
        <f>IF($B346="","",IF(E$3=0,"n.b.",INDEX(SRC_Woningetalage!$A$1:$ZZ$501,$A346,E$3)))</f>
        <v/>
      </c>
      <c r="F346" t="str">
        <f>IF($B346="","",IF(F$3=0,"n.b.",INDEX(SRC_Woningetalage!$A$1:$ZZ$501,$A346,F$3)))</f>
        <v/>
      </c>
      <c r="G346" t="str">
        <f>IF($B346="","",IF(G$3=0,"n.b.",INDEX(SRC_Woningetalage!$A$1:$ZZ$501,$A346,G$3)))</f>
        <v/>
      </c>
      <c r="H346" t="str">
        <f>IF($B346="","",IF(H$3=0,"n.b.",INDEX(SRC_Woningetalage!$A$1:$ZZ$501,$A346,H$3)))</f>
        <v/>
      </c>
      <c r="I346" t="str">
        <f>IF($B346="","",IF(I$3=0,"n.b.",INDEX(SRC_Woningetalage!$A$1:$ZZ$501,$A346,I$3)))</f>
        <v/>
      </c>
      <c r="J346" t="str">
        <f>IF($B346="","",IF(J$3=0,"n.b.",INDEX(SRC_Woningetalage!$A$1:$ZZ$501,$A346,J$3)))</f>
        <v/>
      </c>
      <c r="K346" t="str">
        <f>IF($B346="","",IF(K$3=0,"n.b.",INDEX(SRC_Woningetalage!$A$1:$ZZ$501,$A346,K$3)))</f>
        <v/>
      </c>
      <c r="L346" t="str">
        <f>IF($B346="","",IF(L$3=0,"n.b.",INDEX(SRC_Woningetalage!$A$1:$ZZ$501,$A346,L$3)))</f>
        <v/>
      </c>
      <c r="M346" t="str">
        <f>IF($B346="","",IF(M$3=0,"n.b.",INDEX(SRC_Woningetalage!$A$1:$ZZ$501,$A346,M$3)))</f>
        <v/>
      </c>
      <c r="N346" t="str">
        <f>IF($B346="","",IF(N$3=0,"n.b.",INDEX(SRC_Woningetalage!$A$1:$ZZ$501,$A346,N$3)))</f>
        <v/>
      </c>
      <c r="O346" t="str">
        <f>IF($B346="","",IF(O$3=0,"n.b.",INDEX(SRC_Woningetalage!$A$1:$ZZ$501,$A346,O$3)))</f>
        <v/>
      </c>
      <c r="P346" t="str">
        <f>IF($B346="","",IF(P$3=0,"n.b.",INDEX(SRC_Woningetalage!$A$1:$ZZ$501,$A346,P$3)))</f>
        <v/>
      </c>
      <c r="Q346" s="124" t="str">
        <f>IF($B346="","",IF(Q$3=0,"n.b.",INDEX(SRC_Woningetalage!$A$1:$ZZ$501,$A346,Q$3)))</f>
        <v/>
      </c>
      <c r="R346" s="124" t="str">
        <f>IF($B346="","",IF(R$3=0,"n.b.",INDEX(SRC_Woningetalage!$A$1:$ZZ$501,$A346,R$3)))</f>
        <v/>
      </c>
      <c r="S346" s="124" t="str">
        <f>IF($B346="","",IF(S$3=0,"n.b.",INDEX(SRC_Woningetalage!$A$1:$ZZ$501,$A346,S$3)))</f>
        <v/>
      </c>
      <c r="T346" s="124" t="str">
        <f>IF($B346="","",IF(T$3=0,"n.b.",INDEX(SRC_Woningetalage!$A$1:$ZZ$501,$A346,T$3)))</f>
        <v/>
      </c>
      <c r="U346" s="124" t="str">
        <f>IF($B346="","",IF(U$3=0,"n.b.",INDEX(SRC_Woningetalage!$A$1:$ZZ$501,$A346,U$3)))</f>
        <v/>
      </c>
      <c r="V346" s="124" t="str">
        <f>IF($B346="","",IF(V$3=0,"n.b.",INDEX(SRC_Woningetalage!$A$1:$ZZ$501,$A346,V$3)))</f>
        <v/>
      </c>
      <c r="W346" s="124" t="str">
        <f>IF($B346="","",IF(W$3=0,"n.b.",INDEX(SRC_Woningetalage!$A$1:$ZZ$501,$A346,W$3)))</f>
        <v/>
      </c>
      <c r="X346" s="124" t="str">
        <f>IF($B346="","",IF(X$3=0,"n.b.",INDEX(SRC_Woningetalage!$A$1:$ZZ$501,$A346,X$3)))</f>
        <v/>
      </c>
      <c r="Y346" s="124" t="str">
        <f>IF($B346="","",IF(Y$3=0,"n.b.",INDEX(SRC_Woningetalage!$A$1:$ZZ$501,$A346,Y$3)))</f>
        <v/>
      </c>
      <c r="Z346" s="124" t="str">
        <f>IF($B346="","",IF(Z$3=0,"n.b.",INDEX(SRC_Woningetalage!$A$1:$ZZ$501,$A346,Z$3)))</f>
        <v/>
      </c>
      <c r="AA346" s="124" t="str">
        <f>IF($B346="","",IF(AA$3=0,"n.b.",INDEX(SRC_Woningetalage!$A$1:$ZZ$501,$A346,AA$3)))</f>
        <v/>
      </c>
      <c r="AB346" s="124" t="str">
        <f>IF($B346="","",IF(AB$3=0,"n.b.",INDEX(SRC_Woningetalage!$A$1:$ZZ$501,$A346,AB$3)))</f>
        <v/>
      </c>
      <c r="AC346" s="124" t="str">
        <f>IF($B346="","",IF(AC$3=0,"n.b.",INDEX(SRC_Woningetalage!$A$1:$ZZ$501,$A346,AC$3)))</f>
        <v/>
      </c>
      <c r="AD346" s="124" t="str">
        <f>IF($B346="","",IF(AD$3=0,"n.b.",INDEX(SRC_Woningetalage!$A$1:$ZZ$501,$A346,AD$3)))</f>
        <v/>
      </c>
      <c r="AE346" s="124" t="str">
        <f>IF($B346="","",IF(AE$3=0,"n.b.",INDEX(SRC_Woningetalage!$A$1:$ZZ$501,$A346,AE$3)))</f>
        <v/>
      </c>
      <c r="AF346" s="124" t="str">
        <f>IF($B346="","",IF(AF$3=0,"n.b.",INDEX(SRC_Woningetalage!$A$1:$ZZ$501,$A346,AF$3)))</f>
        <v/>
      </c>
      <c r="AG346" s="124" t="str">
        <f>IF($B346="","",IF(AG$3=0,"n.b.",INDEX(SRC_Woningetalage!$A$1:$ZZ$501,$A346,AG$3)))</f>
        <v/>
      </c>
      <c r="AH346" s="124" t="str">
        <f>IF($B346="","",IF(AH$3=0,"n.b.",INDEX(SRC_Woningetalage!$A$1:$ZZ$501,$A346,AH$3)))</f>
        <v/>
      </c>
      <c r="AI346" s="124" t="str">
        <f>IF($B346="","",IF(AI$3=0,"n.b.",INDEX(SRC_Woningetalage!$A$1:$ZZ$501,$A346,AI$3)))</f>
        <v/>
      </c>
      <c r="AJ346" s="124" t="str">
        <f>IF($B346="","",IF(AJ$3=0,"n.b.",INDEX(SRC_Woningetalage!$A$1:$ZZ$501,$A346,AJ$3)))</f>
        <v/>
      </c>
      <c r="AK346" s="124" t="str">
        <f>IF($B346="","",IF(AK$3=0,"n.b.",INDEX(SRC_Woningetalage!$A$1:$ZZ$501,$A346,AK$3)))</f>
        <v/>
      </c>
      <c r="AL346" s="124" t="str">
        <f>IF($B346="","",IF(AL$3=0,"n.b.",INDEX(SRC_Woningetalage!$A$1:$ZZ$501,$A346,AL$3)))</f>
        <v/>
      </c>
      <c r="AM346" s="124" t="str">
        <f>IF($B346="","",IF(AM$3=0,"n.b.",INDEX(SRC_Woningetalage!$A$1:$ZZ$501,$A346,AM$3)))</f>
        <v/>
      </c>
      <c r="AN346" s="124" t="str">
        <f>IF($B346="","",IF(AN$3=0,"n.b.",INDEX(SRC_Woningetalage!$A$1:$ZZ$501,$A346,AN$3)))</f>
        <v/>
      </c>
      <c r="AO346" s="124" t="str">
        <f>IF($B346="","",IF(AO$3=0,"n.b.",INDEX(SRC_Woningetalage!$A$1:$ZZ$501,$A346,AO$3)))</f>
        <v/>
      </c>
      <c r="AP346" s="124" t="str">
        <f>IF($B346="","",IF(AP$3=0,"n.b.",INDEX(SRC_Woningetalage!$A$1:$ZZ$501,$A346,AP$3)))</f>
        <v/>
      </c>
      <c r="AQ346" s="124" t="str">
        <f>IF($B346="","",IF(AQ$3=0,"n.b.",INDEX(SRC_Woningetalage!$A$1:$ZZ$501,$A346,AQ$3)))</f>
        <v/>
      </c>
      <c r="AR346" s="124" t="str">
        <f>IF($B346="","",IF(AR$3=0,"n.b.",INDEX(SRC_Woningetalage!$A$1:$ZZ$501,$A346,AR$3)))</f>
        <v/>
      </c>
      <c r="AS346" s="124" t="str">
        <f>IF($B346="","",IF(AS$3=0,"n.b.",INDEX(SRC_Woningetalage!$A$1:$ZZ$501,$A346,AS$3)))</f>
        <v/>
      </c>
      <c r="AT346" s="124" t="str">
        <f>IF($B346="","",IF(AT$3=0,"n.b.",INDEX(SRC_Woningetalage!$A$1:$ZZ$501,$A346,AT$3)))</f>
        <v/>
      </c>
      <c r="AU346" s="124" t="str">
        <f>IF($B346="","",IF(AU$3=0,"n.b.",INDEX(SRC_Woningetalage!$A$1:$ZZ$501,$A346,AU$3)))</f>
        <v/>
      </c>
      <c r="AV346" s="124" t="str">
        <f>IF($B346="","",IF(AV$3=0,"n.b.",INDEX(SRC_Woningetalage!$A$1:$ZZ$501,$A346,AV$3)))</f>
        <v/>
      </c>
      <c r="AW346" s="124" t="str">
        <f>IF($B346="","",IF(AW$3=0,"n.b.",INDEX(SRC_Woningetalage!$A$1:$ZZ$501,$A346,AW$3)))</f>
        <v/>
      </c>
      <c r="AX346" s="124" t="str">
        <f>IF($B346="","",IF(AX$3=0,"n.b.",INDEX(SRC_Woningetalage!$A$1:$ZZ$501,$A346,AX$3)))</f>
        <v/>
      </c>
      <c r="AY346" s="124" t="str">
        <f>IF($B346="","",IF(AY$3=0,"n.b.",INDEX(SRC_Woningetalage!$A$1:$ZZ$501,$A346,AY$3)))</f>
        <v/>
      </c>
      <c r="AZ346" s="124" t="str">
        <f>IF($B346="","",IF(AZ$3=0,"n.b.",INDEX(SRC_Woningetalage!$A$1:$ZZ$501,$A346,AZ$3)))</f>
        <v/>
      </c>
      <c r="BA346" s="124" t="str">
        <f>IF($B346="","",IF(BA$3=0,"n.b.",INDEX(SRC_Woningetalage!$A$1:$ZZ$501,$A346,BA$3)))</f>
        <v/>
      </c>
      <c r="BB346" s="124" t="str">
        <f>IF($B346="","",IF(BB$3=0,"n.b.",INDEX(SRC_Woningetalage!$A$1:$ZZ$501,$A346,BB$3)))</f>
        <v/>
      </c>
      <c r="BC346" s="124" t="str">
        <f>IF($B346="","",IFERROR(_xlfn.NUMBERVALUE(E346&amp;"",",","."),"n.b."))</f>
        <v/>
      </c>
      <c r="BD346" s="124" t="str">
        <f>IF($B346="","",IFERROR(_xlfn.NUMBERVALUE(M346&amp;"",",","."),"n.b."))</f>
        <v/>
      </c>
      <c r="BE346" s="124" t="str">
        <f>IF($B346="","",IFERROR(AB346+AC346+AD346,"n.b."))</f>
        <v/>
      </c>
      <c r="BF346" s="124" t="str">
        <f>IF($B346="","",IFERROR(AE346+AF346+AG346,"n.b."))</f>
        <v/>
      </c>
      <c r="BG346" s="124" t="str">
        <f>IF($B346="","",IFERROR(AH346+AI346+AJ346,"n.b."))</f>
        <v/>
      </c>
      <c r="BH346" s="124" t="str">
        <f>IF($B346="","",IFERROR(AK346+AL346+AM346,"n.b."))</f>
        <v/>
      </c>
      <c r="BI346" s="124" t="str">
        <f>IF($B346="","",IFERROR(SUMIF($AB$5:$AM$5,"&lt;="&amp;P_PeilMaand,AB346:AM346),"n.b."))</f>
        <v/>
      </c>
      <c r="BJ346" s="124" t="str">
        <f>IF($B346="","",IFERROR(SUM(AB346:AM346)-BI346,"n.b."))</f>
        <v/>
      </c>
      <c r="BK346" s="124" t="str">
        <f>IF($B346="","",IFERROR(IF(ABS(Q346-(T346+SUM(AB346:AM346)+AS346+AU346))&gt;P_Tol,1,0),1))</f>
        <v/>
      </c>
      <c r="BL346" s="124" t="str">
        <f>IF($B346="","",IFERROR(IF(ABS(AA346-(Q346-Z346))&gt;P_Tol,1,0),1))</f>
        <v/>
      </c>
      <c r="BM346" s="124" t="str">
        <f>IF($B346="","",IFERROR(IF(ABS(Z346-(T346+W346))&gt;P_Tol,1,0),1))</f>
        <v/>
      </c>
      <c r="BN346" s="124" t="str">
        <f>IF($B346="","",IFERROR(IF(ABS(W346-BI346)&gt;P_Tol,1,0),1))</f>
        <v/>
      </c>
      <c r="BO346" s="124" t="str">
        <f>IF($B346="","",IFERROR(IF(OR(ABS(R346+S346-T346)&gt;P_Tol,ABS(U346+V346-W346)&gt;P_Tol,ABS(X346+Y346-Z346)&gt;P_Tol),1,0),1))</f>
        <v/>
      </c>
      <c r="BP346" s="124" t="str">
        <f>IF($B346="","",IFERROR(IF(OR(ABS(AR346-SUM(AB346:AM346))&gt;P_Tol,ABS(AS346-(AN346+AO346+AP346+AQ346))&gt;P_Tol),1,0),1))</f>
        <v/>
      </c>
      <c r="BQ346" s="124" t="str">
        <f>IF($B346="","",IFERROR(IF(ABS(AT346)+ABS(AV346)+ABS(AW346)+ABS(AX346)+ABS(AY346)+ABS(AZ346)+ABS(BA346)+ABS(BB346)&gt;0,1,0),1))</f>
        <v/>
      </c>
      <c r="BR346" s="124" t="str">
        <f>IF($B346="","",COUNTIF(STG_ZPMW03!$B$6:$B$505,B346))</f>
        <v/>
      </c>
      <c r="BS346" s="124" t="str">
        <f>IF($B346="","",COUNTIF($B$6:$B$505,B346))</f>
        <v/>
      </c>
      <c r="BT346" s="124" t="str">
        <f>IF($B346="","",IF(BR346=0,0,IF(INDEX(STG_ZPMW03!$I$6:$I$505,MATCH(B346,STG_ZPMW03!$B$6:$B$505,0))=J346&amp;"",0,1)))</f>
        <v/>
      </c>
      <c r="BU346" s="124" t="str">
        <f>IF($B346="","",IFERROR(IF(ABS(INDEX(Mapping!$D$5:$D$104,MATCH(B346,Mapping!$A$5:$A$104,0))-Q346)&gt;P_Tol,1,0),0))</f>
        <v/>
      </c>
      <c r="BV346" s="124" t="str">
        <f>IF($B346="","",IFERROR(IF(AND(INDEX(Mapping!$G$5:$G$104,MATCH(B346,Mapping!$A$5:$A$104,0))="Nee",ABS(Q346)+ABS(Z346)+ABS(AR346)&gt;0),1,0),0))</f>
        <v/>
      </c>
      <c r="BW346" s="124" t="str">
        <f>IF($B346="","",IF(COUNTIF(Mapping!$A$5:$A$104,B346)&gt;0,1,0))</f>
        <v/>
      </c>
      <c r="BX346" s="124" t="str">
        <f>IF($B346="","",IF(BR346=0,COUNTIF($BR$6:BR346,0),""))</f>
        <v/>
      </c>
    </row>
    <row r="347">
      <c r="A347" s="15" t="n">
        <v>343</v>
      </c>
      <c r="B347" t="str">
        <f>IF(B$3=0,"",IF(INDEX(SRC_Woningetalage!$A$1:$ZZ$501,$A347,B$3)&amp;""="","",INDEX(SRC_Woningetalage!$A$1:$ZZ$501,$A347,B$3)&amp;""))</f>
        <v/>
      </c>
      <c r="C347" t="str">
        <f>IF($B347="","",IF(C$3=0,"n.b.",INDEX(SRC_Woningetalage!$A$1:$ZZ$501,$A347,C$3)))</f>
        <v/>
      </c>
      <c r="D347" t="str">
        <f>IF($B347="","",IF(D$3=0,"n.b.",INDEX(SRC_Woningetalage!$A$1:$ZZ$501,$A347,D$3)))</f>
        <v/>
      </c>
      <c r="E347" t="str">
        <f>IF($B347="","",IF(E$3=0,"n.b.",INDEX(SRC_Woningetalage!$A$1:$ZZ$501,$A347,E$3)))</f>
        <v/>
      </c>
      <c r="F347" t="str">
        <f>IF($B347="","",IF(F$3=0,"n.b.",INDEX(SRC_Woningetalage!$A$1:$ZZ$501,$A347,F$3)))</f>
        <v/>
      </c>
      <c r="G347" t="str">
        <f>IF($B347="","",IF(G$3=0,"n.b.",INDEX(SRC_Woningetalage!$A$1:$ZZ$501,$A347,G$3)))</f>
        <v/>
      </c>
      <c r="H347" t="str">
        <f>IF($B347="","",IF(H$3=0,"n.b.",INDEX(SRC_Woningetalage!$A$1:$ZZ$501,$A347,H$3)))</f>
        <v/>
      </c>
      <c r="I347" t="str">
        <f>IF($B347="","",IF(I$3=0,"n.b.",INDEX(SRC_Woningetalage!$A$1:$ZZ$501,$A347,I$3)))</f>
        <v/>
      </c>
      <c r="J347" t="str">
        <f>IF($B347="","",IF(J$3=0,"n.b.",INDEX(SRC_Woningetalage!$A$1:$ZZ$501,$A347,J$3)))</f>
        <v/>
      </c>
      <c r="K347" t="str">
        <f>IF($B347="","",IF(K$3=0,"n.b.",INDEX(SRC_Woningetalage!$A$1:$ZZ$501,$A347,K$3)))</f>
        <v/>
      </c>
      <c r="L347" t="str">
        <f>IF($B347="","",IF(L$3=0,"n.b.",INDEX(SRC_Woningetalage!$A$1:$ZZ$501,$A347,L$3)))</f>
        <v/>
      </c>
      <c r="M347" t="str">
        <f>IF($B347="","",IF(M$3=0,"n.b.",INDEX(SRC_Woningetalage!$A$1:$ZZ$501,$A347,M$3)))</f>
        <v/>
      </c>
      <c r="N347" t="str">
        <f>IF($B347="","",IF(N$3=0,"n.b.",INDEX(SRC_Woningetalage!$A$1:$ZZ$501,$A347,N$3)))</f>
        <v/>
      </c>
      <c r="O347" t="str">
        <f>IF($B347="","",IF(O$3=0,"n.b.",INDEX(SRC_Woningetalage!$A$1:$ZZ$501,$A347,O$3)))</f>
        <v/>
      </c>
      <c r="P347" t="str">
        <f>IF($B347="","",IF(P$3=0,"n.b.",INDEX(SRC_Woningetalage!$A$1:$ZZ$501,$A347,P$3)))</f>
        <v/>
      </c>
      <c r="Q347" s="124" t="str">
        <f>IF($B347="","",IF(Q$3=0,"n.b.",INDEX(SRC_Woningetalage!$A$1:$ZZ$501,$A347,Q$3)))</f>
        <v/>
      </c>
      <c r="R347" s="124" t="str">
        <f>IF($B347="","",IF(R$3=0,"n.b.",INDEX(SRC_Woningetalage!$A$1:$ZZ$501,$A347,R$3)))</f>
        <v/>
      </c>
      <c r="S347" s="124" t="str">
        <f>IF($B347="","",IF(S$3=0,"n.b.",INDEX(SRC_Woningetalage!$A$1:$ZZ$501,$A347,S$3)))</f>
        <v/>
      </c>
      <c r="T347" s="124" t="str">
        <f>IF($B347="","",IF(T$3=0,"n.b.",INDEX(SRC_Woningetalage!$A$1:$ZZ$501,$A347,T$3)))</f>
        <v/>
      </c>
      <c r="U347" s="124" t="str">
        <f>IF($B347="","",IF(U$3=0,"n.b.",INDEX(SRC_Woningetalage!$A$1:$ZZ$501,$A347,U$3)))</f>
        <v/>
      </c>
      <c r="V347" s="124" t="str">
        <f>IF($B347="","",IF(V$3=0,"n.b.",INDEX(SRC_Woningetalage!$A$1:$ZZ$501,$A347,V$3)))</f>
        <v/>
      </c>
      <c r="W347" s="124" t="str">
        <f>IF($B347="","",IF(W$3=0,"n.b.",INDEX(SRC_Woningetalage!$A$1:$ZZ$501,$A347,W$3)))</f>
        <v/>
      </c>
      <c r="X347" s="124" t="str">
        <f>IF($B347="","",IF(X$3=0,"n.b.",INDEX(SRC_Woningetalage!$A$1:$ZZ$501,$A347,X$3)))</f>
        <v/>
      </c>
      <c r="Y347" s="124" t="str">
        <f>IF($B347="","",IF(Y$3=0,"n.b.",INDEX(SRC_Woningetalage!$A$1:$ZZ$501,$A347,Y$3)))</f>
        <v/>
      </c>
      <c r="Z347" s="124" t="str">
        <f>IF($B347="","",IF(Z$3=0,"n.b.",INDEX(SRC_Woningetalage!$A$1:$ZZ$501,$A347,Z$3)))</f>
        <v/>
      </c>
      <c r="AA347" s="124" t="str">
        <f>IF($B347="","",IF(AA$3=0,"n.b.",INDEX(SRC_Woningetalage!$A$1:$ZZ$501,$A347,AA$3)))</f>
        <v/>
      </c>
      <c r="AB347" s="124" t="str">
        <f>IF($B347="","",IF(AB$3=0,"n.b.",INDEX(SRC_Woningetalage!$A$1:$ZZ$501,$A347,AB$3)))</f>
        <v/>
      </c>
      <c r="AC347" s="124" t="str">
        <f>IF($B347="","",IF(AC$3=0,"n.b.",INDEX(SRC_Woningetalage!$A$1:$ZZ$501,$A347,AC$3)))</f>
        <v/>
      </c>
      <c r="AD347" s="124" t="str">
        <f>IF($B347="","",IF(AD$3=0,"n.b.",INDEX(SRC_Woningetalage!$A$1:$ZZ$501,$A347,AD$3)))</f>
        <v/>
      </c>
      <c r="AE347" s="124" t="str">
        <f>IF($B347="","",IF(AE$3=0,"n.b.",INDEX(SRC_Woningetalage!$A$1:$ZZ$501,$A347,AE$3)))</f>
        <v/>
      </c>
      <c r="AF347" s="124" t="str">
        <f>IF($B347="","",IF(AF$3=0,"n.b.",INDEX(SRC_Woningetalage!$A$1:$ZZ$501,$A347,AF$3)))</f>
        <v/>
      </c>
      <c r="AG347" s="124" t="str">
        <f>IF($B347="","",IF(AG$3=0,"n.b.",INDEX(SRC_Woningetalage!$A$1:$ZZ$501,$A347,AG$3)))</f>
        <v/>
      </c>
      <c r="AH347" s="124" t="str">
        <f>IF($B347="","",IF(AH$3=0,"n.b.",INDEX(SRC_Woningetalage!$A$1:$ZZ$501,$A347,AH$3)))</f>
        <v/>
      </c>
      <c r="AI347" s="124" t="str">
        <f>IF($B347="","",IF(AI$3=0,"n.b.",INDEX(SRC_Woningetalage!$A$1:$ZZ$501,$A347,AI$3)))</f>
        <v/>
      </c>
      <c r="AJ347" s="124" t="str">
        <f>IF($B347="","",IF(AJ$3=0,"n.b.",INDEX(SRC_Woningetalage!$A$1:$ZZ$501,$A347,AJ$3)))</f>
        <v/>
      </c>
      <c r="AK347" s="124" t="str">
        <f>IF($B347="","",IF(AK$3=0,"n.b.",INDEX(SRC_Woningetalage!$A$1:$ZZ$501,$A347,AK$3)))</f>
        <v/>
      </c>
      <c r="AL347" s="124" t="str">
        <f>IF($B347="","",IF(AL$3=0,"n.b.",INDEX(SRC_Woningetalage!$A$1:$ZZ$501,$A347,AL$3)))</f>
        <v/>
      </c>
      <c r="AM347" s="124" t="str">
        <f>IF($B347="","",IF(AM$3=0,"n.b.",INDEX(SRC_Woningetalage!$A$1:$ZZ$501,$A347,AM$3)))</f>
        <v/>
      </c>
      <c r="AN347" s="124" t="str">
        <f>IF($B347="","",IF(AN$3=0,"n.b.",INDEX(SRC_Woningetalage!$A$1:$ZZ$501,$A347,AN$3)))</f>
        <v/>
      </c>
      <c r="AO347" s="124" t="str">
        <f>IF($B347="","",IF(AO$3=0,"n.b.",INDEX(SRC_Woningetalage!$A$1:$ZZ$501,$A347,AO$3)))</f>
        <v/>
      </c>
      <c r="AP347" s="124" t="str">
        <f>IF($B347="","",IF(AP$3=0,"n.b.",INDEX(SRC_Woningetalage!$A$1:$ZZ$501,$A347,AP$3)))</f>
        <v/>
      </c>
      <c r="AQ347" s="124" t="str">
        <f>IF($B347="","",IF(AQ$3=0,"n.b.",INDEX(SRC_Woningetalage!$A$1:$ZZ$501,$A347,AQ$3)))</f>
        <v/>
      </c>
      <c r="AR347" s="124" t="str">
        <f>IF($B347="","",IF(AR$3=0,"n.b.",INDEX(SRC_Woningetalage!$A$1:$ZZ$501,$A347,AR$3)))</f>
        <v/>
      </c>
      <c r="AS347" s="124" t="str">
        <f>IF($B347="","",IF(AS$3=0,"n.b.",INDEX(SRC_Woningetalage!$A$1:$ZZ$501,$A347,AS$3)))</f>
        <v/>
      </c>
      <c r="AT347" s="124" t="str">
        <f>IF($B347="","",IF(AT$3=0,"n.b.",INDEX(SRC_Woningetalage!$A$1:$ZZ$501,$A347,AT$3)))</f>
        <v/>
      </c>
      <c r="AU347" s="124" t="str">
        <f>IF($B347="","",IF(AU$3=0,"n.b.",INDEX(SRC_Woningetalage!$A$1:$ZZ$501,$A347,AU$3)))</f>
        <v/>
      </c>
      <c r="AV347" s="124" t="str">
        <f>IF($B347="","",IF(AV$3=0,"n.b.",INDEX(SRC_Woningetalage!$A$1:$ZZ$501,$A347,AV$3)))</f>
        <v/>
      </c>
      <c r="AW347" s="124" t="str">
        <f>IF($B347="","",IF(AW$3=0,"n.b.",INDEX(SRC_Woningetalage!$A$1:$ZZ$501,$A347,AW$3)))</f>
        <v/>
      </c>
      <c r="AX347" s="124" t="str">
        <f>IF($B347="","",IF(AX$3=0,"n.b.",INDEX(SRC_Woningetalage!$A$1:$ZZ$501,$A347,AX$3)))</f>
        <v/>
      </c>
      <c r="AY347" s="124" t="str">
        <f>IF($B347="","",IF(AY$3=0,"n.b.",INDEX(SRC_Woningetalage!$A$1:$ZZ$501,$A347,AY$3)))</f>
        <v/>
      </c>
      <c r="AZ347" s="124" t="str">
        <f>IF($B347="","",IF(AZ$3=0,"n.b.",INDEX(SRC_Woningetalage!$A$1:$ZZ$501,$A347,AZ$3)))</f>
        <v/>
      </c>
      <c r="BA347" s="124" t="str">
        <f>IF($B347="","",IF(BA$3=0,"n.b.",INDEX(SRC_Woningetalage!$A$1:$ZZ$501,$A347,BA$3)))</f>
        <v/>
      </c>
      <c r="BB347" s="124" t="str">
        <f>IF($B347="","",IF(BB$3=0,"n.b.",INDEX(SRC_Woningetalage!$A$1:$ZZ$501,$A347,BB$3)))</f>
        <v/>
      </c>
      <c r="BC347" s="124" t="str">
        <f>IF($B347="","",IFERROR(_xlfn.NUMBERVALUE(E347&amp;"",",","."),"n.b."))</f>
        <v/>
      </c>
      <c r="BD347" s="124" t="str">
        <f>IF($B347="","",IFERROR(_xlfn.NUMBERVALUE(M347&amp;"",",","."),"n.b."))</f>
        <v/>
      </c>
      <c r="BE347" s="124" t="str">
        <f>IF($B347="","",IFERROR(AB347+AC347+AD347,"n.b."))</f>
        <v/>
      </c>
      <c r="BF347" s="124" t="str">
        <f>IF($B347="","",IFERROR(AE347+AF347+AG347,"n.b."))</f>
        <v/>
      </c>
      <c r="BG347" s="124" t="str">
        <f>IF($B347="","",IFERROR(AH347+AI347+AJ347,"n.b."))</f>
        <v/>
      </c>
      <c r="BH347" s="124" t="str">
        <f>IF($B347="","",IFERROR(AK347+AL347+AM347,"n.b."))</f>
        <v/>
      </c>
      <c r="BI347" s="124" t="str">
        <f>IF($B347="","",IFERROR(SUMIF($AB$5:$AM$5,"&lt;="&amp;P_PeilMaand,AB347:AM347),"n.b."))</f>
        <v/>
      </c>
      <c r="BJ347" s="124" t="str">
        <f>IF($B347="","",IFERROR(SUM(AB347:AM347)-BI347,"n.b."))</f>
        <v/>
      </c>
      <c r="BK347" s="124" t="str">
        <f>IF($B347="","",IFERROR(IF(ABS(Q347-(T347+SUM(AB347:AM347)+AS347+AU347))&gt;P_Tol,1,0),1))</f>
        <v/>
      </c>
      <c r="BL347" s="124" t="str">
        <f>IF($B347="","",IFERROR(IF(ABS(AA347-(Q347-Z347))&gt;P_Tol,1,0),1))</f>
        <v/>
      </c>
      <c r="BM347" s="124" t="str">
        <f>IF($B347="","",IFERROR(IF(ABS(Z347-(T347+W347))&gt;P_Tol,1,0),1))</f>
        <v/>
      </c>
      <c r="BN347" s="124" t="str">
        <f>IF($B347="","",IFERROR(IF(ABS(W347-BI347)&gt;P_Tol,1,0),1))</f>
        <v/>
      </c>
      <c r="BO347" s="124" t="str">
        <f>IF($B347="","",IFERROR(IF(OR(ABS(R347+S347-T347)&gt;P_Tol,ABS(U347+V347-W347)&gt;P_Tol,ABS(X347+Y347-Z347)&gt;P_Tol),1,0),1))</f>
        <v/>
      </c>
      <c r="BP347" s="124" t="str">
        <f>IF($B347="","",IFERROR(IF(OR(ABS(AR347-SUM(AB347:AM347))&gt;P_Tol,ABS(AS347-(AN347+AO347+AP347+AQ347))&gt;P_Tol),1,0),1))</f>
        <v/>
      </c>
      <c r="BQ347" s="124" t="str">
        <f>IF($B347="","",IFERROR(IF(ABS(AT347)+ABS(AV347)+ABS(AW347)+ABS(AX347)+ABS(AY347)+ABS(AZ347)+ABS(BA347)+ABS(BB347)&gt;0,1,0),1))</f>
        <v/>
      </c>
      <c r="BR347" s="124" t="str">
        <f>IF($B347="","",COUNTIF(STG_ZPMW03!$B$6:$B$505,B347))</f>
        <v/>
      </c>
      <c r="BS347" s="124" t="str">
        <f>IF($B347="","",COUNTIF($B$6:$B$505,B347))</f>
        <v/>
      </c>
      <c r="BT347" s="124" t="str">
        <f>IF($B347="","",IF(BR347=0,0,IF(INDEX(STG_ZPMW03!$I$6:$I$505,MATCH(B347,STG_ZPMW03!$B$6:$B$505,0))=J347&amp;"",0,1)))</f>
        <v/>
      </c>
      <c r="BU347" s="124" t="str">
        <f>IF($B347="","",IFERROR(IF(ABS(INDEX(Mapping!$D$5:$D$104,MATCH(B347,Mapping!$A$5:$A$104,0))-Q347)&gt;P_Tol,1,0),0))</f>
        <v/>
      </c>
      <c r="BV347" s="124" t="str">
        <f>IF($B347="","",IFERROR(IF(AND(INDEX(Mapping!$G$5:$G$104,MATCH(B347,Mapping!$A$5:$A$104,0))="Nee",ABS(Q347)+ABS(Z347)+ABS(AR347)&gt;0),1,0),0))</f>
        <v/>
      </c>
      <c r="BW347" s="124" t="str">
        <f>IF($B347="","",IF(COUNTIF(Mapping!$A$5:$A$104,B347)&gt;0,1,0))</f>
        <v/>
      </c>
      <c r="BX347" s="124" t="str">
        <f>IF($B347="","",IF(BR347=0,COUNTIF($BR$6:BR347,0),""))</f>
        <v/>
      </c>
    </row>
    <row r="348">
      <c r="A348" s="15" t="n">
        <v>344</v>
      </c>
      <c r="B348" t="str">
        <f>IF(B$3=0,"",IF(INDEX(SRC_Woningetalage!$A$1:$ZZ$501,$A348,B$3)&amp;""="","",INDEX(SRC_Woningetalage!$A$1:$ZZ$501,$A348,B$3)&amp;""))</f>
        <v/>
      </c>
      <c r="C348" t="str">
        <f>IF($B348="","",IF(C$3=0,"n.b.",INDEX(SRC_Woningetalage!$A$1:$ZZ$501,$A348,C$3)))</f>
        <v/>
      </c>
      <c r="D348" t="str">
        <f>IF($B348="","",IF(D$3=0,"n.b.",INDEX(SRC_Woningetalage!$A$1:$ZZ$501,$A348,D$3)))</f>
        <v/>
      </c>
      <c r="E348" t="str">
        <f>IF($B348="","",IF(E$3=0,"n.b.",INDEX(SRC_Woningetalage!$A$1:$ZZ$501,$A348,E$3)))</f>
        <v/>
      </c>
      <c r="F348" t="str">
        <f>IF($B348="","",IF(F$3=0,"n.b.",INDEX(SRC_Woningetalage!$A$1:$ZZ$501,$A348,F$3)))</f>
        <v/>
      </c>
      <c r="G348" t="str">
        <f>IF($B348="","",IF(G$3=0,"n.b.",INDEX(SRC_Woningetalage!$A$1:$ZZ$501,$A348,G$3)))</f>
        <v/>
      </c>
      <c r="H348" t="str">
        <f>IF($B348="","",IF(H$3=0,"n.b.",INDEX(SRC_Woningetalage!$A$1:$ZZ$501,$A348,H$3)))</f>
        <v/>
      </c>
      <c r="I348" t="str">
        <f>IF($B348="","",IF(I$3=0,"n.b.",INDEX(SRC_Woningetalage!$A$1:$ZZ$501,$A348,I$3)))</f>
        <v/>
      </c>
      <c r="J348" t="str">
        <f>IF($B348="","",IF(J$3=0,"n.b.",INDEX(SRC_Woningetalage!$A$1:$ZZ$501,$A348,J$3)))</f>
        <v/>
      </c>
      <c r="K348" t="str">
        <f>IF($B348="","",IF(K$3=0,"n.b.",INDEX(SRC_Woningetalage!$A$1:$ZZ$501,$A348,K$3)))</f>
        <v/>
      </c>
      <c r="L348" t="str">
        <f>IF($B348="","",IF(L$3=0,"n.b.",INDEX(SRC_Woningetalage!$A$1:$ZZ$501,$A348,L$3)))</f>
        <v/>
      </c>
      <c r="M348" t="str">
        <f>IF($B348="","",IF(M$3=0,"n.b.",INDEX(SRC_Woningetalage!$A$1:$ZZ$501,$A348,M$3)))</f>
        <v/>
      </c>
      <c r="N348" t="str">
        <f>IF($B348="","",IF(N$3=0,"n.b.",INDEX(SRC_Woningetalage!$A$1:$ZZ$501,$A348,N$3)))</f>
        <v/>
      </c>
      <c r="O348" t="str">
        <f>IF($B348="","",IF(O$3=0,"n.b.",INDEX(SRC_Woningetalage!$A$1:$ZZ$501,$A348,O$3)))</f>
        <v/>
      </c>
      <c r="P348" t="str">
        <f>IF($B348="","",IF(P$3=0,"n.b.",INDEX(SRC_Woningetalage!$A$1:$ZZ$501,$A348,P$3)))</f>
        <v/>
      </c>
      <c r="Q348" s="124" t="str">
        <f>IF($B348="","",IF(Q$3=0,"n.b.",INDEX(SRC_Woningetalage!$A$1:$ZZ$501,$A348,Q$3)))</f>
        <v/>
      </c>
      <c r="R348" s="124" t="str">
        <f>IF($B348="","",IF(R$3=0,"n.b.",INDEX(SRC_Woningetalage!$A$1:$ZZ$501,$A348,R$3)))</f>
        <v/>
      </c>
      <c r="S348" s="124" t="str">
        <f>IF($B348="","",IF(S$3=0,"n.b.",INDEX(SRC_Woningetalage!$A$1:$ZZ$501,$A348,S$3)))</f>
        <v/>
      </c>
      <c r="T348" s="124" t="str">
        <f>IF($B348="","",IF(T$3=0,"n.b.",INDEX(SRC_Woningetalage!$A$1:$ZZ$501,$A348,T$3)))</f>
        <v/>
      </c>
      <c r="U348" s="124" t="str">
        <f>IF($B348="","",IF(U$3=0,"n.b.",INDEX(SRC_Woningetalage!$A$1:$ZZ$501,$A348,U$3)))</f>
        <v/>
      </c>
      <c r="V348" s="124" t="str">
        <f>IF($B348="","",IF(V$3=0,"n.b.",INDEX(SRC_Woningetalage!$A$1:$ZZ$501,$A348,V$3)))</f>
        <v/>
      </c>
      <c r="W348" s="124" t="str">
        <f>IF($B348="","",IF(W$3=0,"n.b.",INDEX(SRC_Woningetalage!$A$1:$ZZ$501,$A348,W$3)))</f>
        <v/>
      </c>
      <c r="X348" s="124" t="str">
        <f>IF($B348="","",IF(X$3=0,"n.b.",INDEX(SRC_Woningetalage!$A$1:$ZZ$501,$A348,X$3)))</f>
        <v/>
      </c>
      <c r="Y348" s="124" t="str">
        <f>IF($B348="","",IF(Y$3=0,"n.b.",INDEX(SRC_Woningetalage!$A$1:$ZZ$501,$A348,Y$3)))</f>
        <v/>
      </c>
      <c r="Z348" s="124" t="str">
        <f>IF($B348="","",IF(Z$3=0,"n.b.",INDEX(SRC_Woningetalage!$A$1:$ZZ$501,$A348,Z$3)))</f>
        <v/>
      </c>
      <c r="AA348" s="124" t="str">
        <f>IF($B348="","",IF(AA$3=0,"n.b.",INDEX(SRC_Woningetalage!$A$1:$ZZ$501,$A348,AA$3)))</f>
        <v/>
      </c>
      <c r="AB348" s="124" t="str">
        <f>IF($B348="","",IF(AB$3=0,"n.b.",INDEX(SRC_Woningetalage!$A$1:$ZZ$501,$A348,AB$3)))</f>
        <v/>
      </c>
      <c r="AC348" s="124" t="str">
        <f>IF($B348="","",IF(AC$3=0,"n.b.",INDEX(SRC_Woningetalage!$A$1:$ZZ$501,$A348,AC$3)))</f>
        <v/>
      </c>
      <c r="AD348" s="124" t="str">
        <f>IF($B348="","",IF(AD$3=0,"n.b.",INDEX(SRC_Woningetalage!$A$1:$ZZ$501,$A348,AD$3)))</f>
        <v/>
      </c>
      <c r="AE348" s="124" t="str">
        <f>IF($B348="","",IF(AE$3=0,"n.b.",INDEX(SRC_Woningetalage!$A$1:$ZZ$501,$A348,AE$3)))</f>
        <v/>
      </c>
      <c r="AF348" s="124" t="str">
        <f>IF($B348="","",IF(AF$3=0,"n.b.",INDEX(SRC_Woningetalage!$A$1:$ZZ$501,$A348,AF$3)))</f>
        <v/>
      </c>
      <c r="AG348" s="124" t="str">
        <f>IF($B348="","",IF(AG$3=0,"n.b.",INDEX(SRC_Woningetalage!$A$1:$ZZ$501,$A348,AG$3)))</f>
        <v/>
      </c>
      <c r="AH348" s="124" t="str">
        <f>IF($B348="","",IF(AH$3=0,"n.b.",INDEX(SRC_Woningetalage!$A$1:$ZZ$501,$A348,AH$3)))</f>
        <v/>
      </c>
      <c r="AI348" s="124" t="str">
        <f>IF($B348="","",IF(AI$3=0,"n.b.",INDEX(SRC_Woningetalage!$A$1:$ZZ$501,$A348,AI$3)))</f>
        <v/>
      </c>
      <c r="AJ348" s="124" t="str">
        <f>IF($B348="","",IF(AJ$3=0,"n.b.",INDEX(SRC_Woningetalage!$A$1:$ZZ$501,$A348,AJ$3)))</f>
        <v/>
      </c>
      <c r="AK348" s="124" t="str">
        <f>IF($B348="","",IF(AK$3=0,"n.b.",INDEX(SRC_Woningetalage!$A$1:$ZZ$501,$A348,AK$3)))</f>
        <v/>
      </c>
      <c r="AL348" s="124" t="str">
        <f>IF($B348="","",IF(AL$3=0,"n.b.",INDEX(SRC_Woningetalage!$A$1:$ZZ$501,$A348,AL$3)))</f>
        <v/>
      </c>
      <c r="AM348" s="124" t="str">
        <f>IF($B348="","",IF(AM$3=0,"n.b.",INDEX(SRC_Woningetalage!$A$1:$ZZ$501,$A348,AM$3)))</f>
        <v/>
      </c>
      <c r="AN348" s="124" t="str">
        <f>IF($B348="","",IF(AN$3=0,"n.b.",INDEX(SRC_Woningetalage!$A$1:$ZZ$501,$A348,AN$3)))</f>
        <v/>
      </c>
      <c r="AO348" s="124" t="str">
        <f>IF($B348="","",IF(AO$3=0,"n.b.",INDEX(SRC_Woningetalage!$A$1:$ZZ$501,$A348,AO$3)))</f>
        <v/>
      </c>
      <c r="AP348" s="124" t="str">
        <f>IF($B348="","",IF(AP$3=0,"n.b.",INDEX(SRC_Woningetalage!$A$1:$ZZ$501,$A348,AP$3)))</f>
        <v/>
      </c>
      <c r="AQ348" s="124" t="str">
        <f>IF($B348="","",IF(AQ$3=0,"n.b.",INDEX(SRC_Woningetalage!$A$1:$ZZ$501,$A348,AQ$3)))</f>
        <v/>
      </c>
      <c r="AR348" s="124" t="str">
        <f>IF($B348="","",IF(AR$3=0,"n.b.",INDEX(SRC_Woningetalage!$A$1:$ZZ$501,$A348,AR$3)))</f>
        <v/>
      </c>
      <c r="AS348" s="124" t="str">
        <f>IF($B348="","",IF(AS$3=0,"n.b.",INDEX(SRC_Woningetalage!$A$1:$ZZ$501,$A348,AS$3)))</f>
        <v/>
      </c>
      <c r="AT348" s="124" t="str">
        <f>IF($B348="","",IF(AT$3=0,"n.b.",INDEX(SRC_Woningetalage!$A$1:$ZZ$501,$A348,AT$3)))</f>
        <v/>
      </c>
      <c r="AU348" s="124" t="str">
        <f>IF($B348="","",IF(AU$3=0,"n.b.",INDEX(SRC_Woningetalage!$A$1:$ZZ$501,$A348,AU$3)))</f>
        <v/>
      </c>
      <c r="AV348" s="124" t="str">
        <f>IF($B348="","",IF(AV$3=0,"n.b.",INDEX(SRC_Woningetalage!$A$1:$ZZ$501,$A348,AV$3)))</f>
        <v/>
      </c>
      <c r="AW348" s="124" t="str">
        <f>IF($B348="","",IF(AW$3=0,"n.b.",INDEX(SRC_Woningetalage!$A$1:$ZZ$501,$A348,AW$3)))</f>
        <v/>
      </c>
      <c r="AX348" s="124" t="str">
        <f>IF($B348="","",IF(AX$3=0,"n.b.",INDEX(SRC_Woningetalage!$A$1:$ZZ$501,$A348,AX$3)))</f>
        <v/>
      </c>
      <c r="AY348" s="124" t="str">
        <f>IF($B348="","",IF(AY$3=0,"n.b.",INDEX(SRC_Woningetalage!$A$1:$ZZ$501,$A348,AY$3)))</f>
        <v/>
      </c>
      <c r="AZ348" s="124" t="str">
        <f>IF($B348="","",IF(AZ$3=0,"n.b.",INDEX(SRC_Woningetalage!$A$1:$ZZ$501,$A348,AZ$3)))</f>
        <v/>
      </c>
      <c r="BA348" s="124" t="str">
        <f>IF($B348="","",IF(BA$3=0,"n.b.",INDEX(SRC_Woningetalage!$A$1:$ZZ$501,$A348,BA$3)))</f>
        <v/>
      </c>
      <c r="BB348" s="124" t="str">
        <f>IF($B348="","",IF(BB$3=0,"n.b.",INDEX(SRC_Woningetalage!$A$1:$ZZ$501,$A348,BB$3)))</f>
        <v/>
      </c>
      <c r="BC348" s="124" t="str">
        <f>IF($B348="","",IFERROR(_xlfn.NUMBERVALUE(E348&amp;"",",","."),"n.b."))</f>
        <v/>
      </c>
      <c r="BD348" s="124" t="str">
        <f>IF($B348="","",IFERROR(_xlfn.NUMBERVALUE(M348&amp;"",",","."),"n.b."))</f>
        <v/>
      </c>
      <c r="BE348" s="124" t="str">
        <f>IF($B348="","",IFERROR(AB348+AC348+AD348,"n.b."))</f>
        <v/>
      </c>
      <c r="BF348" s="124" t="str">
        <f>IF($B348="","",IFERROR(AE348+AF348+AG348,"n.b."))</f>
        <v/>
      </c>
      <c r="BG348" s="124" t="str">
        <f>IF($B348="","",IFERROR(AH348+AI348+AJ348,"n.b."))</f>
        <v/>
      </c>
      <c r="BH348" s="124" t="str">
        <f>IF($B348="","",IFERROR(AK348+AL348+AM348,"n.b."))</f>
        <v/>
      </c>
      <c r="BI348" s="124" t="str">
        <f>IF($B348="","",IFERROR(SUMIF($AB$5:$AM$5,"&lt;="&amp;P_PeilMaand,AB348:AM348),"n.b."))</f>
        <v/>
      </c>
      <c r="BJ348" s="124" t="str">
        <f>IF($B348="","",IFERROR(SUM(AB348:AM348)-BI348,"n.b."))</f>
        <v/>
      </c>
      <c r="BK348" s="124" t="str">
        <f>IF($B348="","",IFERROR(IF(ABS(Q348-(T348+SUM(AB348:AM348)+AS348+AU348))&gt;P_Tol,1,0),1))</f>
        <v/>
      </c>
      <c r="BL348" s="124" t="str">
        <f>IF($B348="","",IFERROR(IF(ABS(AA348-(Q348-Z348))&gt;P_Tol,1,0),1))</f>
        <v/>
      </c>
      <c r="BM348" s="124" t="str">
        <f>IF($B348="","",IFERROR(IF(ABS(Z348-(T348+W348))&gt;P_Tol,1,0),1))</f>
        <v/>
      </c>
      <c r="BN348" s="124" t="str">
        <f>IF($B348="","",IFERROR(IF(ABS(W348-BI348)&gt;P_Tol,1,0),1))</f>
        <v/>
      </c>
      <c r="BO348" s="124" t="str">
        <f>IF($B348="","",IFERROR(IF(OR(ABS(R348+S348-T348)&gt;P_Tol,ABS(U348+V348-W348)&gt;P_Tol,ABS(X348+Y348-Z348)&gt;P_Tol),1,0),1))</f>
        <v/>
      </c>
      <c r="BP348" s="124" t="str">
        <f>IF($B348="","",IFERROR(IF(OR(ABS(AR348-SUM(AB348:AM348))&gt;P_Tol,ABS(AS348-(AN348+AO348+AP348+AQ348))&gt;P_Tol),1,0),1))</f>
        <v/>
      </c>
      <c r="BQ348" s="124" t="str">
        <f>IF($B348="","",IFERROR(IF(ABS(AT348)+ABS(AV348)+ABS(AW348)+ABS(AX348)+ABS(AY348)+ABS(AZ348)+ABS(BA348)+ABS(BB348)&gt;0,1,0),1))</f>
        <v/>
      </c>
      <c r="BR348" s="124" t="str">
        <f>IF($B348="","",COUNTIF(STG_ZPMW03!$B$6:$B$505,B348))</f>
        <v/>
      </c>
      <c r="BS348" s="124" t="str">
        <f>IF($B348="","",COUNTIF($B$6:$B$505,B348))</f>
        <v/>
      </c>
      <c r="BT348" s="124" t="str">
        <f>IF($B348="","",IF(BR348=0,0,IF(INDEX(STG_ZPMW03!$I$6:$I$505,MATCH(B348,STG_ZPMW03!$B$6:$B$505,0))=J348&amp;"",0,1)))</f>
        <v/>
      </c>
      <c r="BU348" s="124" t="str">
        <f>IF($B348="","",IFERROR(IF(ABS(INDEX(Mapping!$D$5:$D$104,MATCH(B348,Mapping!$A$5:$A$104,0))-Q348)&gt;P_Tol,1,0),0))</f>
        <v/>
      </c>
      <c r="BV348" s="124" t="str">
        <f>IF($B348="","",IFERROR(IF(AND(INDEX(Mapping!$G$5:$G$104,MATCH(B348,Mapping!$A$5:$A$104,0))="Nee",ABS(Q348)+ABS(Z348)+ABS(AR348)&gt;0),1,0),0))</f>
        <v/>
      </c>
      <c r="BW348" s="124" t="str">
        <f>IF($B348="","",IF(COUNTIF(Mapping!$A$5:$A$104,B348)&gt;0,1,0))</f>
        <v/>
      </c>
      <c r="BX348" s="124" t="str">
        <f>IF($B348="","",IF(BR348=0,COUNTIF($BR$6:BR348,0),""))</f>
        <v/>
      </c>
    </row>
    <row r="349">
      <c r="A349" s="15" t="n">
        <v>345</v>
      </c>
      <c r="B349" t="str">
        <f>IF(B$3=0,"",IF(INDEX(SRC_Woningetalage!$A$1:$ZZ$501,$A349,B$3)&amp;""="","",INDEX(SRC_Woningetalage!$A$1:$ZZ$501,$A349,B$3)&amp;""))</f>
        <v/>
      </c>
      <c r="C349" t="str">
        <f>IF($B349="","",IF(C$3=0,"n.b.",INDEX(SRC_Woningetalage!$A$1:$ZZ$501,$A349,C$3)))</f>
        <v/>
      </c>
      <c r="D349" t="str">
        <f>IF($B349="","",IF(D$3=0,"n.b.",INDEX(SRC_Woningetalage!$A$1:$ZZ$501,$A349,D$3)))</f>
        <v/>
      </c>
      <c r="E349" t="str">
        <f>IF($B349="","",IF(E$3=0,"n.b.",INDEX(SRC_Woningetalage!$A$1:$ZZ$501,$A349,E$3)))</f>
        <v/>
      </c>
      <c r="F349" t="str">
        <f>IF($B349="","",IF(F$3=0,"n.b.",INDEX(SRC_Woningetalage!$A$1:$ZZ$501,$A349,F$3)))</f>
        <v/>
      </c>
      <c r="G349" t="str">
        <f>IF($B349="","",IF(G$3=0,"n.b.",INDEX(SRC_Woningetalage!$A$1:$ZZ$501,$A349,G$3)))</f>
        <v/>
      </c>
      <c r="H349" t="str">
        <f>IF($B349="","",IF(H$3=0,"n.b.",INDEX(SRC_Woningetalage!$A$1:$ZZ$501,$A349,H$3)))</f>
        <v/>
      </c>
      <c r="I349" t="str">
        <f>IF($B349="","",IF(I$3=0,"n.b.",INDEX(SRC_Woningetalage!$A$1:$ZZ$501,$A349,I$3)))</f>
        <v/>
      </c>
      <c r="J349" t="str">
        <f>IF($B349="","",IF(J$3=0,"n.b.",INDEX(SRC_Woningetalage!$A$1:$ZZ$501,$A349,J$3)))</f>
        <v/>
      </c>
      <c r="K349" t="str">
        <f>IF($B349="","",IF(K$3=0,"n.b.",INDEX(SRC_Woningetalage!$A$1:$ZZ$501,$A349,K$3)))</f>
        <v/>
      </c>
      <c r="L349" t="str">
        <f>IF($B349="","",IF(L$3=0,"n.b.",INDEX(SRC_Woningetalage!$A$1:$ZZ$501,$A349,L$3)))</f>
        <v/>
      </c>
      <c r="M349" t="str">
        <f>IF($B349="","",IF(M$3=0,"n.b.",INDEX(SRC_Woningetalage!$A$1:$ZZ$501,$A349,M$3)))</f>
        <v/>
      </c>
      <c r="N349" t="str">
        <f>IF($B349="","",IF(N$3=0,"n.b.",INDEX(SRC_Woningetalage!$A$1:$ZZ$501,$A349,N$3)))</f>
        <v/>
      </c>
      <c r="O349" t="str">
        <f>IF($B349="","",IF(O$3=0,"n.b.",INDEX(SRC_Woningetalage!$A$1:$ZZ$501,$A349,O$3)))</f>
        <v/>
      </c>
      <c r="P349" t="str">
        <f>IF($B349="","",IF(P$3=0,"n.b.",INDEX(SRC_Woningetalage!$A$1:$ZZ$501,$A349,P$3)))</f>
        <v/>
      </c>
      <c r="Q349" s="124" t="str">
        <f>IF($B349="","",IF(Q$3=0,"n.b.",INDEX(SRC_Woningetalage!$A$1:$ZZ$501,$A349,Q$3)))</f>
        <v/>
      </c>
      <c r="R349" s="124" t="str">
        <f>IF($B349="","",IF(R$3=0,"n.b.",INDEX(SRC_Woningetalage!$A$1:$ZZ$501,$A349,R$3)))</f>
        <v/>
      </c>
      <c r="S349" s="124" t="str">
        <f>IF($B349="","",IF(S$3=0,"n.b.",INDEX(SRC_Woningetalage!$A$1:$ZZ$501,$A349,S$3)))</f>
        <v/>
      </c>
      <c r="T349" s="124" t="str">
        <f>IF($B349="","",IF(T$3=0,"n.b.",INDEX(SRC_Woningetalage!$A$1:$ZZ$501,$A349,T$3)))</f>
        <v/>
      </c>
      <c r="U349" s="124" t="str">
        <f>IF($B349="","",IF(U$3=0,"n.b.",INDEX(SRC_Woningetalage!$A$1:$ZZ$501,$A349,U$3)))</f>
        <v/>
      </c>
      <c r="V349" s="124" t="str">
        <f>IF($B349="","",IF(V$3=0,"n.b.",INDEX(SRC_Woningetalage!$A$1:$ZZ$501,$A349,V$3)))</f>
        <v/>
      </c>
      <c r="W349" s="124" t="str">
        <f>IF($B349="","",IF(W$3=0,"n.b.",INDEX(SRC_Woningetalage!$A$1:$ZZ$501,$A349,W$3)))</f>
        <v/>
      </c>
      <c r="X349" s="124" t="str">
        <f>IF($B349="","",IF(X$3=0,"n.b.",INDEX(SRC_Woningetalage!$A$1:$ZZ$501,$A349,X$3)))</f>
        <v/>
      </c>
      <c r="Y349" s="124" t="str">
        <f>IF($B349="","",IF(Y$3=0,"n.b.",INDEX(SRC_Woningetalage!$A$1:$ZZ$501,$A349,Y$3)))</f>
        <v/>
      </c>
      <c r="Z349" s="124" t="str">
        <f>IF($B349="","",IF(Z$3=0,"n.b.",INDEX(SRC_Woningetalage!$A$1:$ZZ$501,$A349,Z$3)))</f>
        <v/>
      </c>
      <c r="AA349" s="124" t="str">
        <f>IF($B349="","",IF(AA$3=0,"n.b.",INDEX(SRC_Woningetalage!$A$1:$ZZ$501,$A349,AA$3)))</f>
        <v/>
      </c>
      <c r="AB349" s="124" t="str">
        <f>IF($B349="","",IF(AB$3=0,"n.b.",INDEX(SRC_Woningetalage!$A$1:$ZZ$501,$A349,AB$3)))</f>
        <v/>
      </c>
      <c r="AC349" s="124" t="str">
        <f>IF($B349="","",IF(AC$3=0,"n.b.",INDEX(SRC_Woningetalage!$A$1:$ZZ$501,$A349,AC$3)))</f>
        <v/>
      </c>
      <c r="AD349" s="124" t="str">
        <f>IF($B349="","",IF(AD$3=0,"n.b.",INDEX(SRC_Woningetalage!$A$1:$ZZ$501,$A349,AD$3)))</f>
        <v/>
      </c>
      <c r="AE349" s="124" t="str">
        <f>IF($B349="","",IF(AE$3=0,"n.b.",INDEX(SRC_Woningetalage!$A$1:$ZZ$501,$A349,AE$3)))</f>
        <v/>
      </c>
      <c r="AF349" s="124" t="str">
        <f>IF($B349="","",IF(AF$3=0,"n.b.",INDEX(SRC_Woningetalage!$A$1:$ZZ$501,$A349,AF$3)))</f>
        <v/>
      </c>
      <c r="AG349" s="124" t="str">
        <f>IF($B349="","",IF(AG$3=0,"n.b.",INDEX(SRC_Woningetalage!$A$1:$ZZ$501,$A349,AG$3)))</f>
        <v/>
      </c>
      <c r="AH349" s="124" t="str">
        <f>IF($B349="","",IF(AH$3=0,"n.b.",INDEX(SRC_Woningetalage!$A$1:$ZZ$501,$A349,AH$3)))</f>
        <v/>
      </c>
      <c r="AI349" s="124" t="str">
        <f>IF($B349="","",IF(AI$3=0,"n.b.",INDEX(SRC_Woningetalage!$A$1:$ZZ$501,$A349,AI$3)))</f>
        <v/>
      </c>
      <c r="AJ349" s="124" t="str">
        <f>IF($B349="","",IF(AJ$3=0,"n.b.",INDEX(SRC_Woningetalage!$A$1:$ZZ$501,$A349,AJ$3)))</f>
        <v/>
      </c>
      <c r="AK349" s="124" t="str">
        <f>IF($B349="","",IF(AK$3=0,"n.b.",INDEX(SRC_Woningetalage!$A$1:$ZZ$501,$A349,AK$3)))</f>
        <v/>
      </c>
      <c r="AL349" s="124" t="str">
        <f>IF($B349="","",IF(AL$3=0,"n.b.",INDEX(SRC_Woningetalage!$A$1:$ZZ$501,$A349,AL$3)))</f>
        <v/>
      </c>
      <c r="AM349" s="124" t="str">
        <f>IF($B349="","",IF(AM$3=0,"n.b.",INDEX(SRC_Woningetalage!$A$1:$ZZ$501,$A349,AM$3)))</f>
        <v/>
      </c>
      <c r="AN349" s="124" t="str">
        <f>IF($B349="","",IF(AN$3=0,"n.b.",INDEX(SRC_Woningetalage!$A$1:$ZZ$501,$A349,AN$3)))</f>
        <v/>
      </c>
      <c r="AO349" s="124" t="str">
        <f>IF($B349="","",IF(AO$3=0,"n.b.",INDEX(SRC_Woningetalage!$A$1:$ZZ$501,$A349,AO$3)))</f>
        <v/>
      </c>
      <c r="AP349" s="124" t="str">
        <f>IF($B349="","",IF(AP$3=0,"n.b.",INDEX(SRC_Woningetalage!$A$1:$ZZ$501,$A349,AP$3)))</f>
        <v/>
      </c>
      <c r="AQ349" s="124" t="str">
        <f>IF($B349="","",IF(AQ$3=0,"n.b.",INDEX(SRC_Woningetalage!$A$1:$ZZ$501,$A349,AQ$3)))</f>
        <v/>
      </c>
      <c r="AR349" s="124" t="str">
        <f>IF($B349="","",IF(AR$3=0,"n.b.",INDEX(SRC_Woningetalage!$A$1:$ZZ$501,$A349,AR$3)))</f>
        <v/>
      </c>
      <c r="AS349" s="124" t="str">
        <f>IF($B349="","",IF(AS$3=0,"n.b.",INDEX(SRC_Woningetalage!$A$1:$ZZ$501,$A349,AS$3)))</f>
        <v/>
      </c>
      <c r="AT349" s="124" t="str">
        <f>IF($B349="","",IF(AT$3=0,"n.b.",INDEX(SRC_Woningetalage!$A$1:$ZZ$501,$A349,AT$3)))</f>
        <v/>
      </c>
      <c r="AU349" s="124" t="str">
        <f>IF($B349="","",IF(AU$3=0,"n.b.",INDEX(SRC_Woningetalage!$A$1:$ZZ$501,$A349,AU$3)))</f>
        <v/>
      </c>
      <c r="AV349" s="124" t="str">
        <f>IF($B349="","",IF(AV$3=0,"n.b.",INDEX(SRC_Woningetalage!$A$1:$ZZ$501,$A349,AV$3)))</f>
        <v/>
      </c>
      <c r="AW349" s="124" t="str">
        <f>IF($B349="","",IF(AW$3=0,"n.b.",INDEX(SRC_Woningetalage!$A$1:$ZZ$501,$A349,AW$3)))</f>
        <v/>
      </c>
      <c r="AX349" s="124" t="str">
        <f>IF($B349="","",IF(AX$3=0,"n.b.",INDEX(SRC_Woningetalage!$A$1:$ZZ$501,$A349,AX$3)))</f>
        <v/>
      </c>
      <c r="AY349" s="124" t="str">
        <f>IF($B349="","",IF(AY$3=0,"n.b.",INDEX(SRC_Woningetalage!$A$1:$ZZ$501,$A349,AY$3)))</f>
        <v/>
      </c>
      <c r="AZ349" s="124" t="str">
        <f>IF($B349="","",IF(AZ$3=0,"n.b.",INDEX(SRC_Woningetalage!$A$1:$ZZ$501,$A349,AZ$3)))</f>
        <v/>
      </c>
      <c r="BA349" s="124" t="str">
        <f>IF($B349="","",IF(BA$3=0,"n.b.",INDEX(SRC_Woningetalage!$A$1:$ZZ$501,$A349,BA$3)))</f>
        <v/>
      </c>
      <c r="BB349" s="124" t="str">
        <f>IF($B349="","",IF(BB$3=0,"n.b.",INDEX(SRC_Woningetalage!$A$1:$ZZ$501,$A349,BB$3)))</f>
        <v/>
      </c>
      <c r="BC349" s="124" t="str">
        <f>IF($B349="","",IFERROR(_xlfn.NUMBERVALUE(E349&amp;"",",","."),"n.b."))</f>
        <v/>
      </c>
      <c r="BD349" s="124" t="str">
        <f>IF($B349="","",IFERROR(_xlfn.NUMBERVALUE(M349&amp;"",",","."),"n.b."))</f>
        <v/>
      </c>
      <c r="BE349" s="124" t="str">
        <f>IF($B349="","",IFERROR(AB349+AC349+AD349,"n.b."))</f>
        <v/>
      </c>
      <c r="BF349" s="124" t="str">
        <f>IF($B349="","",IFERROR(AE349+AF349+AG349,"n.b."))</f>
        <v/>
      </c>
      <c r="BG349" s="124" t="str">
        <f>IF($B349="","",IFERROR(AH349+AI349+AJ349,"n.b."))</f>
        <v/>
      </c>
      <c r="BH349" s="124" t="str">
        <f>IF($B349="","",IFERROR(AK349+AL349+AM349,"n.b."))</f>
        <v/>
      </c>
      <c r="BI349" s="124" t="str">
        <f>IF($B349="","",IFERROR(SUMIF($AB$5:$AM$5,"&lt;="&amp;P_PeilMaand,AB349:AM349),"n.b."))</f>
        <v/>
      </c>
      <c r="BJ349" s="124" t="str">
        <f>IF($B349="","",IFERROR(SUM(AB349:AM349)-BI349,"n.b."))</f>
        <v/>
      </c>
      <c r="BK349" s="124" t="str">
        <f>IF($B349="","",IFERROR(IF(ABS(Q349-(T349+SUM(AB349:AM349)+AS349+AU349))&gt;P_Tol,1,0),1))</f>
        <v/>
      </c>
      <c r="BL349" s="124" t="str">
        <f>IF($B349="","",IFERROR(IF(ABS(AA349-(Q349-Z349))&gt;P_Tol,1,0),1))</f>
        <v/>
      </c>
      <c r="BM349" s="124" t="str">
        <f>IF($B349="","",IFERROR(IF(ABS(Z349-(T349+W349))&gt;P_Tol,1,0),1))</f>
        <v/>
      </c>
      <c r="BN349" s="124" t="str">
        <f>IF($B349="","",IFERROR(IF(ABS(W349-BI349)&gt;P_Tol,1,0),1))</f>
        <v/>
      </c>
      <c r="BO349" s="124" t="str">
        <f>IF($B349="","",IFERROR(IF(OR(ABS(R349+S349-T349)&gt;P_Tol,ABS(U349+V349-W349)&gt;P_Tol,ABS(X349+Y349-Z349)&gt;P_Tol),1,0),1))</f>
        <v/>
      </c>
      <c r="BP349" s="124" t="str">
        <f>IF($B349="","",IFERROR(IF(OR(ABS(AR349-SUM(AB349:AM349))&gt;P_Tol,ABS(AS349-(AN349+AO349+AP349+AQ349))&gt;P_Tol),1,0),1))</f>
        <v/>
      </c>
      <c r="BQ349" s="124" t="str">
        <f>IF($B349="","",IFERROR(IF(ABS(AT349)+ABS(AV349)+ABS(AW349)+ABS(AX349)+ABS(AY349)+ABS(AZ349)+ABS(BA349)+ABS(BB349)&gt;0,1,0),1))</f>
        <v/>
      </c>
      <c r="BR349" s="124" t="str">
        <f>IF($B349="","",COUNTIF(STG_ZPMW03!$B$6:$B$505,B349))</f>
        <v/>
      </c>
      <c r="BS349" s="124" t="str">
        <f>IF($B349="","",COUNTIF($B$6:$B$505,B349))</f>
        <v/>
      </c>
      <c r="BT349" s="124" t="str">
        <f>IF($B349="","",IF(BR349=0,0,IF(INDEX(STG_ZPMW03!$I$6:$I$505,MATCH(B349,STG_ZPMW03!$B$6:$B$505,0))=J349&amp;"",0,1)))</f>
        <v/>
      </c>
      <c r="BU349" s="124" t="str">
        <f>IF($B349="","",IFERROR(IF(ABS(INDEX(Mapping!$D$5:$D$104,MATCH(B349,Mapping!$A$5:$A$104,0))-Q349)&gt;P_Tol,1,0),0))</f>
        <v/>
      </c>
      <c r="BV349" s="124" t="str">
        <f>IF($B349="","",IFERROR(IF(AND(INDEX(Mapping!$G$5:$G$104,MATCH(B349,Mapping!$A$5:$A$104,0))="Nee",ABS(Q349)+ABS(Z349)+ABS(AR349)&gt;0),1,0),0))</f>
        <v/>
      </c>
      <c r="BW349" s="124" t="str">
        <f>IF($B349="","",IF(COUNTIF(Mapping!$A$5:$A$104,B349)&gt;0,1,0))</f>
        <v/>
      </c>
      <c r="BX349" s="124" t="str">
        <f>IF($B349="","",IF(BR349=0,COUNTIF($BR$6:BR349,0),""))</f>
        <v/>
      </c>
    </row>
    <row r="350">
      <c r="A350" s="15" t="n">
        <v>346</v>
      </c>
      <c r="B350" t="str">
        <f>IF(B$3=0,"",IF(INDEX(SRC_Woningetalage!$A$1:$ZZ$501,$A350,B$3)&amp;""="","",INDEX(SRC_Woningetalage!$A$1:$ZZ$501,$A350,B$3)&amp;""))</f>
        <v/>
      </c>
      <c r="C350" t="str">
        <f>IF($B350="","",IF(C$3=0,"n.b.",INDEX(SRC_Woningetalage!$A$1:$ZZ$501,$A350,C$3)))</f>
        <v/>
      </c>
      <c r="D350" t="str">
        <f>IF($B350="","",IF(D$3=0,"n.b.",INDEX(SRC_Woningetalage!$A$1:$ZZ$501,$A350,D$3)))</f>
        <v/>
      </c>
      <c r="E350" t="str">
        <f>IF($B350="","",IF(E$3=0,"n.b.",INDEX(SRC_Woningetalage!$A$1:$ZZ$501,$A350,E$3)))</f>
        <v/>
      </c>
      <c r="F350" t="str">
        <f>IF($B350="","",IF(F$3=0,"n.b.",INDEX(SRC_Woningetalage!$A$1:$ZZ$501,$A350,F$3)))</f>
        <v/>
      </c>
      <c r="G350" t="str">
        <f>IF($B350="","",IF(G$3=0,"n.b.",INDEX(SRC_Woningetalage!$A$1:$ZZ$501,$A350,G$3)))</f>
        <v/>
      </c>
      <c r="H350" t="str">
        <f>IF($B350="","",IF(H$3=0,"n.b.",INDEX(SRC_Woningetalage!$A$1:$ZZ$501,$A350,H$3)))</f>
        <v/>
      </c>
      <c r="I350" t="str">
        <f>IF($B350="","",IF(I$3=0,"n.b.",INDEX(SRC_Woningetalage!$A$1:$ZZ$501,$A350,I$3)))</f>
        <v/>
      </c>
      <c r="J350" t="str">
        <f>IF($B350="","",IF(J$3=0,"n.b.",INDEX(SRC_Woningetalage!$A$1:$ZZ$501,$A350,J$3)))</f>
        <v/>
      </c>
      <c r="K350" t="str">
        <f>IF($B350="","",IF(K$3=0,"n.b.",INDEX(SRC_Woningetalage!$A$1:$ZZ$501,$A350,K$3)))</f>
        <v/>
      </c>
      <c r="L350" t="str">
        <f>IF($B350="","",IF(L$3=0,"n.b.",INDEX(SRC_Woningetalage!$A$1:$ZZ$501,$A350,L$3)))</f>
        <v/>
      </c>
      <c r="M350" t="str">
        <f>IF($B350="","",IF(M$3=0,"n.b.",INDEX(SRC_Woningetalage!$A$1:$ZZ$501,$A350,M$3)))</f>
        <v/>
      </c>
      <c r="N350" t="str">
        <f>IF($B350="","",IF(N$3=0,"n.b.",INDEX(SRC_Woningetalage!$A$1:$ZZ$501,$A350,N$3)))</f>
        <v/>
      </c>
      <c r="O350" t="str">
        <f>IF($B350="","",IF(O$3=0,"n.b.",INDEX(SRC_Woningetalage!$A$1:$ZZ$501,$A350,O$3)))</f>
        <v/>
      </c>
      <c r="P350" t="str">
        <f>IF($B350="","",IF(P$3=0,"n.b.",INDEX(SRC_Woningetalage!$A$1:$ZZ$501,$A350,P$3)))</f>
        <v/>
      </c>
      <c r="Q350" s="124" t="str">
        <f>IF($B350="","",IF(Q$3=0,"n.b.",INDEX(SRC_Woningetalage!$A$1:$ZZ$501,$A350,Q$3)))</f>
        <v/>
      </c>
      <c r="R350" s="124" t="str">
        <f>IF($B350="","",IF(R$3=0,"n.b.",INDEX(SRC_Woningetalage!$A$1:$ZZ$501,$A350,R$3)))</f>
        <v/>
      </c>
      <c r="S350" s="124" t="str">
        <f>IF($B350="","",IF(S$3=0,"n.b.",INDEX(SRC_Woningetalage!$A$1:$ZZ$501,$A350,S$3)))</f>
        <v/>
      </c>
      <c r="T350" s="124" t="str">
        <f>IF($B350="","",IF(T$3=0,"n.b.",INDEX(SRC_Woningetalage!$A$1:$ZZ$501,$A350,T$3)))</f>
        <v/>
      </c>
      <c r="U350" s="124" t="str">
        <f>IF($B350="","",IF(U$3=0,"n.b.",INDEX(SRC_Woningetalage!$A$1:$ZZ$501,$A350,U$3)))</f>
        <v/>
      </c>
      <c r="V350" s="124" t="str">
        <f>IF($B350="","",IF(V$3=0,"n.b.",INDEX(SRC_Woningetalage!$A$1:$ZZ$501,$A350,V$3)))</f>
        <v/>
      </c>
      <c r="W350" s="124" t="str">
        <f>IF($B350="","",IF(W$3=0,"n.b.",INDEX(SRC_Woningetalage!$A$1:$ZZ$501,$A350,W$3)))</f>
        <v/>
      </c>
      <c r="X350" s="124" t="str">
        <f>IF($B350="","",IF(X$3=0,"n.b.",INDEX(SRC_Woningetalage!$A$1:$ZZ$501,$A350,X$3)))</f>
        <v/>
      </c>
      <c r="Y350" s="124" t="str">
        <f>IF($B350="","",IF(Y$3=0,"n.b.",INDEX(SRC_Woningetalage!$A$1:$ZZ$501,$A350,Y$3)))</f>
        <v/>
      </c>
      <c r="Z350" s="124" t="str">
        <f>IF($B350="","",IF(Z$3=0,"n.b.",INDEX(SRC_Woningetalage!$A$1:$ZZ$501,$A350,Z$3)))</f>
        <v/>
      </c>
      <c r="AA350" s="124" t="str">
        <f>IF($B350="","",IF(AA$3=0,"n.b.",INDEX(SRC_Woningetalage!$A$1:$ZZ$501,$A350,AA$3)))</f>
        <v/>
      </c>
      <c r="AB350" s="124" t="str">
        <f>IF($B350="","",IF(AB$3=0,"n.b.",INDEX(SRC_Woningetalage!$A$1:$ZZ$501,$A350,AB$3)))</f>
        <v/>
      </c>
      <c r="AC350" s="124" t="str">
        <f>IF($B350="","",IF(AC$3=0,"n.b.",INDEX(SRC_Woningetalage!$A$1:$ZZ$501,$A350,AC$3)))</f>
        <v/>
      </c>
      <c r="AD350" s="124" t="str">
        <f>IF($B350="","",IF(AD$3=0,"n.b.",INDEX(SRC_Woningetalage!$A$1:$ZZ$501,$A350,AD$3)))</f>
        <v/>
      </c>
      <c r="AE350" s="124" t="str">
        <f>IF($B350="","",IF(AE$3=0,"n.b.",INDEX(SRC_Woningetalage!$A$1:$ZZ$501,$A350,AE$3)))</f>
        <v/>
      </c>
      <c r="AF350" s="124" t="str">
        <f>IF($B350="","",IF(AF$3=0,"n.b.",INDEX(SRC_Woningetalage!$A$1:$ZZ$501,$A350,AF$3)))</f>
        <v/>
      </c>
      <c r="AG350" s="124" t="str">
        <f>IF($B350="","",IF(AG$3=0,"n.b.",INDEX(SRC_Woningetalage!$A$1:$ZZ$501,$A350,AG$3)))</f>
        <v/>
      </c>
      <c r="AH350" s="124" t="str">
        <f>IF($B350="","",IF(AH$3=0,"n.b.",INDEX(SRC_Woningetalage!$A$1:$ZZ$501,$A350,AH$3)))</f>
        <v/>
      </c>
      <c r="AI350" s="124" t="str">
        <f>IF($B350="","",IF(AI$3=0,"n.b.",INDEX(SRC_Woningetalage!$A$1:$ZZ$501,$A350,AI$3)))</f>
        <v/>
      </c>
      <c r="AJ350" s="124" t="str">
        <f>IF($B350="","",IF(AJ$3=0,"n.b.",INDEX(SRC_Woningetalage!$A$1:$ZZ$501,$A350,AJ$3)))</f>
        <v/>
      </c>
      <c r="AK350" s="124" t="str">
        <f>IF($B350="","",IF(AK$3=0,"n.b.",INDEX(SRC_Woningetalage!$A$1:$ZZ$501,$A350,AK$3)))</f>
        <v/>
      </c>
      <c r="AL350" s="124" t="str">
        <f>IF($B350="","",IF(AL$3=0,"n.b.",INDEX(SRC_Woningetalage!$A$1:$ZZ$501,$A350,AL$3)))</f>
        <v/>
      </c>
      <c r="AM350" s="124" t="str">
        <f>IF($B350="","",IF(AM$3=0,"n.b.",INDEX(SRC_Woningetalage!$A$1:$ZZ$501,$A350,AM$3)))</f>
        <v/>
      </c>
      <c r="AN350" s="124" t="str">
        <f>IF($B350="","",IF(AN$3=0,"n.b.",INDEX(SRC_Woningetalage!$A$1:$ZZ$501,$A350,AN$3)))</f>
        <v/>
      </c>
      <c r="AO350" s="124" t="str">
        <f>IF($B350="","",IF(AO$3=0,"n.b.",INDEX(SRC_Woningetalage!$A$1:$ZZ$501,$A350,AO$3)))</f>
        <v/>
      </c>
      <c r="AP350" s="124" t="str">
        <f>IF($B350="","",IF(AP$3=0,"n.b.",INDEX(SRC_Woningetalage!$A$1:$ZZ$501,$A350,AP$3)))</f>
        <v/>
      </c>
      <c r="AQ350" s="124" t="str">
        <f>IF($B350="","",IF(AQ$3=0,"n.b.",INDEX(SRC_Woningetalage!$A$1:$ZZ$501,$A350,AQ$3)))</f>
        <v/>
      </c>
      <c r="AR350" s="124" t="str">
        <f>IF($B350="","",IF(AR$3=0,"n.b.",INDEX(SRC_Woningetalage!$A$1:$ZZ$501,$A350,AR$3)))</f>
        <v/>
      </c>
      <c r="AS350" s="124" t="str">
        <f>IF($B350="","",IF(AS$3=0,"n.b.",INDEX(SRC_Woningetalage!$A$1:$ZZ$501,$A350,AS$3)))</f>
        <v/>
      </c>
      <c r="AT350" s="124" t="str">
        <f>IF($B350="","",IF(AT$3=0,"n.b.",INDEX(SRC_Woningetalage!$A$1:$ZZ$501,$A350,AT$3)))</f>
        <v/>
      </c>
      <c r="AU350" s="124" t="str">
        <f>IF($B350="","",IF(AU$3=0,"n.b.",INDEX(SRC_Woningetalage!$A$1:$ZZ$501,$A350,AU$3)))</f>
        <v/>
      </c>
      <c r="AV350" s="124" t="str">
        <f>IF($B350="","",IF(AV$3=0,"n.b.",INDEX(SRC_Woningetalage!$A$1:$ZZ$501,$A350,AV$3)))</f>
        <v/>
      </c>
      <c r="AW350" s="124" t="str">
        <f>IF($B350="","",IF(AW$3=0,"n.b.",INDEX(SRC_Woningetalage!$A$1:$ZZ$501,$A350,AW$3)))</f>
        <v/>
      </c>
      <c r="AX350" s="124" t="str">
        <f>IF($B350="","",IF(AX$3=0,"n.b.",INDEX(SRC_Woningetalage!$A$1:$ZZ$501,$A350,AX$3)))</f>
        <v/>
      </c>
      <c r="AY350" s="124" t="str">
        <f>IF($B350="","",IF(AY$3=0,"n.b.",INDEX(SRC_Woningetalage!$A$1:$ZZ$501,$A350,AY$3)))</f>
        <v/>
      </c>
      <c r="AZ350" s="124" t="str">
        <f>IF($B350="","",IF(AZ$3=0,"n.b.",INDEX(SRC_Woningetalage!$A$1:$ZZ$501,$A350,AZ$3)))</f>
        <v/>
      </c>
      <c r="BA350" s="124" t="str">
        <f>IF($B350="","",IF(BA$3=0,"n.b.",INDEX(SRC_Woningetalage!$A$1:$ZZ$501,$A350,BA$3)))</f>
        <v/>
      </c>
      <c r="BB350" s="124" t="str">
        <f>IF($B350="","",IF(BB$3=0,"n.b.",INDEX(SRC_Woningetalage!$A$1:$ZZ$501,$A350,BB$3)))</f>
        <v/>
      </c>
      <c r="BC350" s="124" t="str">
        <f>IF($B350="","",IFERROR(_xlfn.NUMBERVALUE(E350&amp;"",",","."),"n.b."))</f>
        <v/>
      </c>
      <c r="BD350" s="124" t="str">
        <f>IF($B350="","",IFERROR(_xlfn.NUMBERVALUE(M350&amp;"",",","."),"n.b."))</f>
        <v/>
      </c>
      <c r="BE350" s="124" t="str">
        <f>IF($B350="","",IFERROR(AB350+AC350+AD350,"n.b."))</f>
        <v/>
      </c>
      <c r="BF350" s="124" t="str">
        <f>IF($B350="","",IFERROR(AE350+AF350+AG350,"n.b."))</f>
        <v/>
      </c>
      <c r="BG350" s="124" t="str">
        <f>IF($B350="","",IFERROR(AH350+AI350+AJ350,"n.b."))</f>
        <v/>
      </c>
      <c r="BH350" s="124" t="str">
        <f>IF($B350="","",IFERROR(AK350+AL350+AM350,"n.b."))</f>
        <v/>
      </c>
      <c r="BI350" s="124" t="str">
        <f>IF($B350="","",IFERROR(SUMIF($AB$5:$AM$5,"&lt;="&amp;P_PeilMaand,AB350:AM350),"n.b."))</f>
        <v/>
      </c>
      <c r="BJ350" s="124" t="str">
        <f>IF($B350="","",IFERROR(SUM(AB350:AM350)-BI350,"n.b."))</f>
        <v/>
      </c>
      <c r="BK350" s="124" t="str">
        <f>IF($B350="","",IFERROR(IF(ABS(Q350-(T350+SUM(AB350:AM350)+AS350+AU350))&gt;P_Tol,1,0),1))</f>
        <v/>
      </c>
      <c r="BL350" s="124" t="str">
        <f>IF($B350="","",IFERROR(IF(ABS(AA350-(Q350-Z350))&gt;P_Tol,1,0),1))</f>
        <v/>
      </c>
      <c r="BM350" s="124" t="str">
        <f>IF($B350="","",IFERROR(IF(ABS(Z350-(T350+W350))&gt;P_Tol,1,0),1))</f>
        <v/>
      </c>
      <c r="BN350" s="124" t="str">
        <f>IF($B350="","",IFERROR(IF(ABS(W350-BI350)&gt;P_Tol,1,0),1))</f>
        <v/>
      </c>
      <c r="BO350" s="124" t="str">
        <f>IF($B350="","",IFERROR(IF(OR(ABS(R350+S350-T350)&gt;P_Tol,ABS(U350+V350-W350)&gt;P_Tol,ABS(X350+Y350-Z350)&gt;P_Tol),1,0),1))</f>
        <v/>
      </c>
      <c r="BP350" s="124" t="str">
        <f>IF($B350="","",IFERROR(IF(OR(ABS(AR350-SUM(AB350:AM350))&gt;P_Tol,ABS(AS350-(AN350+AO350+AP350+AQ350))&gt;P_Tol),1,0),1))</f>
        <v/>
      </c>
      <c r="BQ350" s="124" t="str">
        <f>IF($B350="","",IFERROR(IF(ABS(AT350)+ABS(AV350)+ABS(AW350)+ABS(AX350)+ABS(AY350)+ABS(AZ350)+ABS(BA350)+ABS(BB350)&gt;0,1,0),1))</f>
        <v/>
      </c>
      <c r="BR350" s="124" t="str">
        <f>IF($B350="","",COUNTIF(STG_ZPMW03!$B$6:$B$505,B350))</f>
        <v/>
      </c>
      <c r="BS350" s="124" t="str">
        <f>IF($B350="","",COUNTIF($B$6:$B$505,B350))</f>
        <v/>
      </c>
      <c r="BT350" s="124" t="str">
        <f>IF($B350="","",IF(BR350=0,0,IF(INDEX(STG_ZPMW03!$I$6:$I$505,MATCH(B350,STG_ZPMW03!$B$6:$B$505,0))=J350&amp;"",0,1)))</f>
        <v/>
      </c>
      <c r="BU350" s="124" t="str">
        <f>IF($B350="","",IFERROR(IF(ABS(INDEX(Mapping!$D$5:$D$104,MATCH(B350,Mapping!$A$5:$A$104,0))-Q350)&gt;P_Tol,1,0),0))</f>
        <v/>
      </c>
      <c r="BV350" s="124" t="str">
        <f>IF($B350="","",IFERROR(IF(AND(INDEX(Mapping!$G$5:$G$104,MATCH(B350,Mapping!$A$5:$A$104,0))="Nee",ABS(Q350)+ABS(Z350)+ABS(AR350)&gt;0),1,0),0))</f>
        <v/>
      </c>
      <c r="BW350" s="124" t="str">
        <f>IF($B350="","",IF(COUNTIF(Mapping!$A$5:$A$104,B350)&gt;0,1,0))</f>
        <v/>
      </c>
      <c r="BX350" s="124" t="str">
        <f>IF($B350="","",IF(BR350=0,COUNTIF($BR$6:BR350,0),""))</f>
        <v/>
      </c>
    </row>
    <row r="351">
      <c r="A351" s="15" t="n">
        <v>347</v>
      </c>
      <c r="B351" t="str">
        <f>IF(B$3=0,"",IF(INDEX(SRC_Woningetalage!$A$1:$ZZ$501,$A351,B$3)&amp;""="","",INDEX(SRC_Woningetalage!$A$1:$ZZ$501,$A351,B$3)&amp;""))</f>
        <v/>
      </c>
      <c r="C351" t="str">
        <f>IF($B351="","",IF(C$3=0,"n.b.",INDEX(SRC_Woningetalage!$A$1:$ZZ$501,$A351,C$3)))</f>
        <v/>
      </c>
      <c r="D351" t="str">
        <f>IF($B351="","",IF(D$3=0,"n.b.",INDEX(SRC_Woningetalage!$A$1:$ZZ$501,$A351,D$3)))</f>
        <v/>
      </c>
      <c r="E351" t="str">
        <f>IF($B351="","",IF(E$3=0,"n.b.",INDEX(SRC_Woningetalage!$A$1:$ZZ$501,$A351,E$3)))</f>
        <v/>
      </c>
      <c r="F351" t="str">
        <f>IF($B351="","",IF(F$3=0,"n.b.",INDEX(SRC_Woningetalage!$A$1:$ZZ$501,$A351,F$3)))</f>
        <v/>
      </c>
      <c r="G351" t="str">
        <f>IF($B351="","",IF(G$3=0,"n.b.",INDEX(SRC_Woningetalage!$A$1:$ZZ$501,$A351,G$3)))</f>
        <v/>
      </c>
      <c r="H351" t="str">
        <f>IF($B351="","",IF(H$3=0,"n.b.",INDEX(SRC_Woningetalage!$A$1:$ZZ$501,$A351,H$3)))</f>
        <v/>
      </c>
      <c r="I351" t="str">
        <f>IF($B351="","",IF(I$3=0,"n.b.",INDEX(SRC_Woningetalage!$A$1:$ZZ$501,$A351,I$3)))</f>
        <v/>
      </c>
      <c r="J351" t="str">
        <f>IF($B351="","",IF(J$3=0,"n.b.",INDEX(SRC_Woningetalage!$A$1:$ZZ$501,$A351,J$3)))</f>
        <v/>
      </c>
      <c r="K351" t="str">
        <f>IF($B351="","",IF(K$3=0,"n.b.",INDEX(SRC_Woningetalage!$A$1:$ZZ$501,$A351,K$3)))</f>
        <v/>
      </c>
      <c r="L351" t="str">
        <f>IF($B351="","",IF(L$3=0,"n.b.",INDEX(SRC_Woningetalage!$A$1:$ZZ$501,$A351,L$3)))</f>
        <v/>
      </c>
      <c r="M351" t="str">
        <f>IF($B351="","",IF(M$3=0,"n.b.",INDEX(SRC_Woningetalage!$A$1:$ZZ$501,$A351,M$3)))</f>
        <v/>
      </c>
      <c r="N351" t="str">
        <f>IF($B351="","",IF(N$3=0,"n.b.",INDEX(SRC_Woningetalage!$A$1:$ZZ$501,$A351,N$3)))</f>
        <v/>
      </c>
      <c r="O351" t="str">
        <f>IF($B351="","",IF(O$3=0,"n.b.",INDEX(SRC_Woningetalage!$A$1:$ZZ$501,$A351,O$3)))</f>
        <v/>
      </c>
      <c r="P351" t="str">
        <f>IF($B351="","",IF(P$3=0,"n.b.",INDEX(SRC_Woningetalage!$A$1:$ZZ$501,$A351,P$3)))</f>
        <v/>
      </c>
      <c r="Q351" s="124" t="str">
        <f>IF($B351="","",IF(Q$3=0,"n.b.",INDEX(SRC_Woningetalage!$A$1:$ZZ$501,$A351,Q$3)))</f>
        <v/>
      </c>
      <c r="R351" s="124" t="str">
        <f>IF($B351="","",IF(R$3=0,"n.b.",INDEX(SRC_Woningetalage!$A$1:$ZZ$501,$A351,R$3)))</f>
        <v/>
      </c>
      <c r="S351" s="124" t="str">
        <f>IF($B351="","",IF(S$3=0,"n.b.",INDEX(SRC_Woningetalage!$A$1:$ZZ$501,$A351,S$3)))</f>
        <v/>
      </c>
      <c r="T351" s="124" t="str">
        <f>IF($B351="","",IF(T$3=0,"n.b.",INDEX(SRC_Woningetalage!$A$1:$ZZ$501,$A351,T$3)))</f>
        <v/>
      </c>
      <c r="U351" s="124" t="str">
        <f>IF($B351="","",IF(U$3=0,"n.b.",INDEX(SRC_Woningetalage!$A$1:$ZZ$501,$A351,U$3)))</f>
        <v/>
      </c>
      <c r="V351" s="124" t="str">
        <f>IF($B351="","",IF(V$3=0,"n.b.",INDEX(SRC_Woningetalage!$A$1:$ZZ$501,$A351,V$3)))</f>
        <v/>
      </c>
      <c r="W351" s="124" t="str">
        <f>IF($B351="","",IF(W$3=0,"n.b.",INDEX(SRC_Woningetalage!$A$1:$ZZ$501,$A351,W$3)))</f>
        <v/>
      </c>
      <c r="X351" s="124" t="str">
        <f>IF($B351="","",IF(X$3=0,"n.b.",INDEX(SRC_Woningetalage!$A$1:$ZZ$501,$A351,X$3)))</f>
        <v/>
      </c>
      <c r="Y351" s="124" t="str">
        <f>IF($B351="","",IF(Y$3=0,"n.b.",INDEX(SRC_Woningetalage!$A$1:$ZZ$501,$A351,Y$3)))</f>
        <v/>
      </c>
      <c r="Z351" s="124" t="str">
        <f>IF($B351="","",IF(Z$3=0,"n.b.",INDEX(SRC_Woningetalage!$A$1:$ZZ$501,$A351,Z$3)))</f>
        <v/>
      </c>
      <c r="AA351" s="124" t="str">
        <f>IF($B351="","",IF(AA$3=0,"n.b.",INDEX(SRC_Woningetalage!$A$1:$ZZ$501,$A351,AA$3)))</f>
        <v/>
      </c>
      <c r="AB351" s="124" t="str">
        <f>IF($B351="","",IF(AB$3=0,"n.b.",INDEX(SRC_Woningetalage!$A$1:$ZZ$501,$A351,AB$3)))</f>
        <v/>
      </c>
      <c r="AC351" s="124" t="str">
        <f>IF($B351="","",IF(AC$3=0,"n.b.",INDEX(SRC_Woningetalage!$A$1:$ZZ$501,$A351,AC$3)))</f>
        <v/>
      </c>
      <c r="AD351" s="124" t="str">
        <f>IF($B351="","",IF(AD$3=0,"n.b.",INDEX(SRC_Woningetalage!$A$1:$ZZ$501,$A351,AD$3)))</f>
        <v/>
      </c>
      <c r="AE351" s="124" t="str">
        <f>IF($B351="","",IF(AE$3=0,"n.b.",INDEX(SRC_Woningetalage!$A$1:$ZZ$501,$A351,AE$3)))</f>
        <v/>
      </c>
      <c r="AF351" s="124" t="str">
        <f>IF($B351="","",IF(AF$3=0,"n.b.",INDEX(SRC_Woningetalage!$A$1:$ZZ$501,$A351,AF$3)))</f>
        <v/>
      </c>
      <c r="AG351" s="124" t="str">
        <f>IF($B351="","",IF(AG$3=0,"n.b.",INDEX(SRC_Woningetalage!$A$1:$ZZ$501,$A351,AG$3)))</f>
        <v/>
      </c>
      <c r="AH351" s="124" t="str">
        <f>IF($B351="","",IF(AH$3=0,"n.b.",INDEX(SRC_Woningetalage!$A$1:$ZZ$501,$A351,AH$3)))</f>
        <v/>
      </c>
      <c r="AI351" s="124" t="str">
        <f>IF($B351="","",IF(AI$3=0,"n.b.",INDEX(SRC_Woningetalage!$A$1:$ZZ$501,$A351,AI$3)))</f>
        <v/>
      </c>
      <c r="AJ351" s="124" t="str">
        <f>IF($B351="","",IF(AJ$3=0,"n.b.",INDEX(SRC_Woningetalage!$A$1:$ZZ$501,$A351,AJ$3)))</f>
        <v/>
      </c>
      <c r="AK351" s="124" t="str">
        <f>IF($B351="","",IF(AK$3=0,"n.b.",INDEX(SRC_Woningetalage!$A$1:$ZZ$501,$A351,AK$3)))</f>
        <v/>
      </c>
      <c r="AL351" s="124" t="str">
        <f>IF($B351="","",IF(AL$3=0,"n.b.",INDEX(SRC_Woningetalage!$A$1:$ZZ$501,$A351,AL$3)))</f>
        <v/>
      </c>
      <c r="AM351" s="124" t="str">
        <f>IF($B351="","",IF(AM$3=0,"n.b.",INDEX(SRC_Woningetalage!$A$1:$ZZ$501,$A351,AM$3)))</f>
        <v/>
      </c>
      <c r="AN351" s="124" t="str">
        <f>IF($B351="","",IF(AN$3=0,"n.b.",INDEX(SRC_Woningetalage!$A$1:$ZZ$501,$A351,AN$3)))</f>
        <v/>
      </c>
      <c r="AO351" s="124" t="str">
        <f>IF($B351="","",IF(AO$3=0,"n.b.",INDEX(SRC_Woningetalage!$A$1:$ZZ$501,$A351,AO$3)))</f>
        <v/>
      </c>
      <c r="AP351" s="124" t="str">
        <f>IF($B351="","",IF(AP$3=0,"n.b.",INDEX(SRC_Woningetalage!$A$1:$ZZ$501,$A351,AP$3)))</f>
        <v/>
      </c>
      <c r="AQ351" s="124" t="str">
        <f>IF($B351="","",IF(AQ$3=0,"n.b.",INDEX(SRC_Woningetalage!$A$1:$ZZ$501,$A351,AQ$3)))</f>
        <v/>
      </c>
      <c r="AR351" s="124" t="str">
        <f>IF($B351="","",IF(AR$3=0,"n.b.",INDEX(SRC_Woningetalage!$A$1:$ZZ$501,$A351,AR$3)))</f>
        <v/>
      </c>
      <c r="AS351" s="124" t="str">
        <f>IF($B351="","",IF(AS$3=0,"n.b.",INDEX(SRC_Woningetalage!$A$1:$ZZ$501,$A351,AS$3)))</f>
        <v/>
      </c>
      <c r="AT351" s="124" t="str">
        <f>IF($B351="","",IF(AT$3=0,"n.b.",INDEX(SRC_Woningetalage!$A$1:$ZZ$501,$A351,AT$3)))</f>
        <v/>
      </c>
      <c r="AU351" s="124" t="str">
        <f>IF($B351="","",IF(AU$3=0,"n.b.",INDEX(SRC_Woningetalage!$A$1:$ZZ$501,$A351,AU$3)))</f>
        <v/>
      </c>
      <c r="AV351" s="124" t="str">
        <f>IF($B351="","",IF(AV$3=0,"n.b.",INDEX(SRC_Woningetalage!$A$1:$ZZ$501,$A351,AV$3)))</f>
        <v/>
      </c>
      <c r="AW351" s="124" t="str">
        <f>IF($B351="","",IF(AW$3=0,"n.b.",INDEX(SRC_Woningetalage!$A$1:$ZZ$501,$A351,AW$3)))</f>
        <v/>
      </c>
      <c r="AX351" s="124" t="str">
        <f>IF($B351="","",IF(AX$3=0,"n.b.",INDEX(SRC_Woningetalage!$A$1:$ZZ$501,$A351,AX$3)))</f>
        <v/>
      </c>
      <c r="AY351" s="124" t="str">
        <f>IF($B351="","",IF(AY$3=0,"n.b.",INDEX(SRC_Woningetalage!$A$1:$ZZ$501,$A351,AY$3)))</f>
        <v/>
      </c>
      <c r="AZ351" s="124" t="str">
        <f>IF($B351="","",IF(AZ$3=0,"n.b.",INDEX(SRC_Woningetalage!$A$1:$ZZ$501,$A351,AZ$3)))</f>
        <v/>
      </c>
      <c r="BA351" s="124" t="str">
        <f>IF($B351="","",IF(BA$3=0,"n.b.",INDEX(SRC_Woningetalage!$A$1:$ZZ$501,$A351,BA$3)))</f>
        <v/>
      </c>
      <c r="BB351" s="124" t="str">
        <f>IF($B351="","",IF(BB$3=0,"n.b.",INDEX(SRC_Woningetalage!$A$1:$ZZ$501,$A351,BB$3)))</f>
        <v/>
      </c>
      <c r="BC351" s="124" t="str">
        <f>IF($B351="","",IFERROR(_xlfn.NUMBERVALUE(E351&amp;"",",","."),"n.b."))</f>
        <v/>
      </c>
      <c r="BD351" s="124" t="str">
        <f>IF($B351="","",IFERROR(_xlfn.NUMBERVALUE(M351&amp;"",",","."),"n.b."))</f>
        <v/>
      </c>
      <c r="BE351" s="124" t="str">
        <f>IF($B351="","",IFERROR(AB351+AC351+AD351,"n.b."))</f>
        <v/>
      </c>
      <c r="BF351" s="124" t="str">
        <f>IF($B351="","",IFERROR(AE351+AF351+AG351,"n.b."))</f>
        <v/>
      </c>
      <c r="BG351" s="124" t="str">
        <f>IF($B351="","",IFERROR(AH351+AI351+AJ351,"n.b."))</f>
        <v/>
      </c>
      <c r="BH351" s="124" t="str">
        <f>IF($B351="","",IFERROR(AK351+AL351+AM351,"n.b."))</f>
        <v/>
      </c>
      <c r="BI351" s="124" t="str">
        <f>IF($B351="","",IFERROR(SUMIF($AB$5:$AM$5,"&lt;="&amp;P_PeilMaand,AB351:AM351),"n.b."))</f>
        <v/>
      </c>
      <c r="BJ351" s="124" t="str">
        <f>IF($B351="","",IFERROR(SUM(AB351:AM351)-BI351,"n.b."))</f>
        <v/>
      </c>
      <c r="BK351" s="124" t="str">
        <f>IF($B351="","",IFERROR(IF(ABS(Q351-(T351+SUM(AB351:AM351)+AS351+AU351))&gt;P_Tol,1,0),1))</f>
        <v/>
      </c>
      <c r="BL351" s="124" t="str">
        <f>IF($B351="","",IFERROR(IF(ABS(AA351-(Q351-Z351))&gt;P_Tol,1,0),1))</f>
        <v/>
      </c>
      <c r="BM351" s="124" t="str">
        <f>IF($B351="","",IFERROR(IF(ABS(Z351-(T351+W351))&gt;P_Tol,1,0),1))</f>
        <v/>
      </c>
      <c r="BN351" s="124" t="str">
        <f>IF($B351="","",IFERROR(IF(ABS(W351-BI351)&gt;P_Tol,1,0),1))</f>
        <v/>
      </c>
      <c r="BO351" s="124" t="str">
        <f>IF($B351="","",IFERROR(IF(OR(ABS(R351+S351-T351)&gt;P_Tol,ABS(U351+V351-W351)&gt;P_Tol,ABS(X351+Y351-Z351)&gt;P_Tol),1,0),1))</f>
        <v/>
      </c>
      <c r="BP351" s="124" t="str">
        <f>IF($B351="","",IFERROR(IF(OR(ABS(AR351-SUM(AB351:AM351))&gt;P_Tol,ABS(AS351-(AN351+AO351+AP351+AQ351))&gt;P_Tol),1,0),1))</f>
        <v/>
      </c>
      <c r="BQ351" s="124" t="str">
        <f>IF($B351="","",IFERROR(IF(ABS(AT351)+ABS(AV351)+ABS(AW351)+ABS(AX351)+ABS(AY351)+ABS(AZ351)+ABS(BA351)+ABS(BB351)&gt;0,1,0),1))</f>
        <v/>
      </c>
      <c r="BR351" s="124" t="str">
        <f>IF($B351="","",COUNTIF(STG_ZPMW03!$B$6:$B$505,B351))</f>
        <v/>
      </c>
      <c r="BS351" s="124" t="str">
        <f>IF($B351="","",COUNTIF($B$6:$B$505,B351))</f>
        <v/>
      </c>
      <c r="BT351" s="124" t="str">
        <f>IF($B351="","",IF(BR351=0,0,IF(INDEX(STG_ZPMW03!$I$6:$I$505,MATCH(B351,STG_ZPMW03!$B$6:$B$505,0))=J351&amp;"",0,1)))</f>
        <v/>
      </c>
      <c r="BU351" s="124" t="str">
        <f>IF($B351="","",IFERROR(IF(ABS(INDEX(Mapping!$D$5:$D$104,MATCH(B351,Mapping!$A$5:$A$104,0))-Q351)&gt;P_Tol,1,0),0))</f>
        <v/>
      </c>
      <c r="BV351" s="124" t="str">
        <f>IF($B351="","",IFERROR(IF(AND(INDEX(Mapping!$G$5:$G$104,MATCH(B351,Mapping!$A$5:$A$104,0))="Nee",ABS(Q351)+ABS(Z351)+ABS(AR351)&gt;0),1,0),0))</f>
        <v/>
      </c>
      <c r="BW351" s="124" t="str">
        <f>IF($B351="","",IF(COUNTIF(Mapping!$A$5:$A$104,B351)&gt;0,1,0))</f>
        <v/>
      </c>
      <c r="BX351" s="124" t="str">
        <f>IF($B351="","",IF(BR351=0,COUNTIF($BR$6:BR351,0),""))</f>
        <v/>
      </c>
    </row>
    <row r="352">
      <c r="A352" s="15" t="n">
        <v>348</v>
      </c>
      <c r="B352" t="str">
        <f>IF(B$3=0,"",IF(INDEX(SRC_Woningetalage!$A$1:$ZZ$501,$A352,B$3)&amp;""="","",INDEX(SRC_Woningetalage!$A$1:$ZZ$501,$A352,B$3)&amp;""))</f>
        <v/>
      </c>
      <c r="C352" t="str">
        <f>IF($B352="","",IF(C$3=0,"n.b.",INDEX(SRC_Woningetalage!$A$1:$ZZ$501,$A352,C$3)))</f>
        <v/>
      </c>
      <c r="D352" t="str">
        <f>IF($B352="","",IF(D$3=0,"n.b.",INDEX(SRC_Woningetalage!$A$1:$ZZ$501,$A352,D$3)))</f>
        <v/>
      </c>
      <c r="E352" t="str">
        <f>IF($B352="","",IF(E$3=0,"n.b.",INDEX(SRC_Woningetalage!$A$1:$ZZ$501,$A352,E$3)))</f>
        <v/>
      </c>
      <c r="F352" t="str">
        <f>IF($B352="","",IF(F$3=0,"n.b.",INDEX(SRC_Woningetalage!$A$1:$ZZ$501,$A352,F$3)))</f>
        <v/>
      </c>
      <c r="G352" t="str">
        <f>IF($B352="","",IF(G$3=0,"n.b.",INDEX(SRC_Woningetalage!$A$1:$ZZ$501,$A352,G$3)))</f>
        <v/>
      </c>
      <c r="H352" t="str">
        <f>IF($B352="","",IF(H$3=0,"n.b.",INDEX(SRC_Woningetalage!$A$1:$ZZ$501,$A352,H$3)))</f>
        <v/>
      </c>
      <c r="I352" t="str">
        <f>IF($B352="","",IF(I$3=0,"n.b.",INDEX(SRC_Woningetalage!$A$1:$ZZ$501,$A352,I$3)))</f>
        <v/>
      </c>
      <c r="J352" t="str">
        <f>IF($B352="","",IF(J$3=0,"n.b.",INDEX(SRC_Woningetalage!$A$1:$ZZ$501,$A352,J$3)))</f>
        <v/>
      </c>
      <c r="K352" t="str">
        <f>IF($B352="","",IF(K$3=0,"n.b.",INDEX(SRC_Woningetalage!$A$1:$ZZ$501,$A352,K$3)))</f>
        <v/>
      </c>
      <c r="L352" t="str">
        <f>IF($B352="","",IF(L$3=0,"n.b.",INDEX(SRC_Woningetalage!$A$1:$ZZ$501,$A352,L$3)))</f>
        <v/>
      </c>
      <c r="M352" t="str">
        <f>IF($B352="","",IF(M$3=0,"n.b.",INDEX(SRC_Woningetalage!$A$1:$ZZ$501,$A352,M$3)))</f>
        <v/>
      </c>
      <c r="N352" t="str">
        <f>IF($B352="","",IF(N$3=0,"n.b.",INDEX(SRC_Woningetalage!$A$1:$ZZ$501,$A352,N$3)))</f>
        <v/>
      </c>
      <c r="O352" t="str">
        <f>IF($B352="","",IF(O$3=0,"n.b.",INDEX(SRC_Woningetalage!$A$1:$ZZ$501,$A352,O$3)))</f>
        <v/>
      </c>
      <c r="P352" t="str">
        <f>IF($B352="","",IF(P$3=0,"n.b.",INDEX(SRC_Woningetalage!$A$1:$ZZ$501,$A352,P$3)))</f>
        <v/>
      </c>
      <c r="Q352" s="124" t="str">
        <f>IF($B352="","",IF(Q$3=0,"n.b.",INDEX(SRC_Woningetalage!$A$1:$ZZ$501,$A352,Q$3)))</f>
        <v/>
      </c>
      <c r="R352" s="124" t="str">
        <f>IF($B352="","",IF(R$3=0,"n.b.",INDEX(SRC_Woningetalage!$A$1:$ZZ$501,$A352,R$3)))</f>
        <v/>
      </c>
      <c r="S352" s="124" t="str">
        <f>IF($B352="","",IF(S$3=0,"n.b.",INDEX(SRC_Woningetalage!$A$1:$ZZ$501,$A352,S$3)))</f>
        <v/>
      </c>
      <c r="T352" s="124" t="str">
        <f>IF($B352="","",IF(T$3=0,"n.b.",INDEX(SRC_Woningetalage!$A$1:$ZZ$501,$A352,T$3)))</f>
        <v/>
      </c>
      <c r="U352" s="124" t="str">
        <f>IF($B352="","",IF(U$3=0,"n.b.",INDEX(SRC_Woningetalage!$A$1:$ZZ$501,$A352,U$3)))</f>
        <v/>
      </c>
      <c r="V352" s="124" t="str">
        <f>IF($B352="","",IF(V$3=0,"n.b.",INDEX(SRC_Woningetalage!$A$1:$ZZ$501,$A352,V$3)))</f>
        <v/>
      </c>
      <c r="W352" s="124" t="str">
        <f>IF($B352="","",IF(W$3=0,"n.b.",INDEX(SRC_Woningetalage!$A$1:$ZZ$501,$A352,W$3)))</f>
        <v/>
      </c>
      <c r="X352" s="124" t="str">
        <f>IF($B352="","",IF(X$3=0,"n.b.",INDEX(SRC_Woningetalage!$A$1:$ZZ$501,$A352,X$3)))</f>
        <v/>
      </c>
      <c r="Y352" s="124" t="str">
        <f>IF($B352="","",IF(Y$3=0,"n.b.",INDEX(SRC_Woningetalage!$A$1:$ZZ$501,$A352,Y$3)))</f>
        <v/>
      </c>
      <c r="Z352" s="124" t="str">
        <f>IF($B352="","",IF(Z$3=0,"n.b.",INDEX(SRC_Woningetalage!$A$1:$ZZ$501,$A352,Z$3)))</f>
        <v/>
      </c>
      <c r="AA352" s="124" t="str">
        <f>IF($B352="","",IF(AA$3=0,"n.b.",INDEX(SRC_Woningetalage!$A$1:$ZZ$501,$A352,AA$3)))</f>
        <v/>
      </c>
      <c r="AB352" s="124" t="str">
        <f>IF($B352="","",IF(AB$3=0,"n.b.",INDEX(SRC_Woningetalage!$A$1:$ZZ$501,$A352,AB$3)))</f>
        <v/>
      </c>
      <c r="AC352" s="124" t="str">
        <f>IF($B352="","",IF(AC$3=0,"n.b.",INDEX(SRC_Woningetalage!$A$1:$ZZ$501,$A352,AC$3)))</f>
        <v/>
      </c>
      <c r="AD352" s="124" t="str">
        <f>IF($B352="","",IF(AD$3=0,"n.b.",INDEX(SRC_Woningetalage!$A$1:$ZZ$501,$A352,AD$3)))</f>
        <v/>
      </c>
      <c r="AE352" s="124" t="str">
        <f>IF($B352="","",IF(AE$3=0,"n.b.",INDEX(SRC_Woningetalage!$A$1:$ZZ$501,$A352,AE$3)))</f>
        <v/>
      </c>
      <c r="AF352" s="124" t="str">
        <f>IF($B352="","",IF(AF$3=0,"n.b.",INDEX(SRC_Woningetalage!$A$1:$ZZ$501,$A352,AF$3)))</f>
        <v/>
      </c>
      <c r="AG352" s="124" t="str">
        <f>IF($B352="","",IF(AG$3=0,"n.b.",INDEX(SRC_Woningetalage!$A$1:$ZZ$501,$A352,AG$3)))</f>
        <v/>
      </c>
      <c r="AH352" s="124" t="str">
        <f>IF($B352="","",IF(AH$3=0,"n.b.",INDEX(SRC_Woningetalage!$A$1:$ZZ$501,$A352,AH$3)))</f>
        <v/>
      </c>
      <c r="AI352" s="124" t="str">
        <f>IF($B352="","",IF(AI$3=0,"n.b.",INDEX(SRC_Woningetalage!$A$1:$ZZ$501,$A352,AI$3)))</f>
        <v/>
      </c>
      <c r="AJ352" s="124" t="str">
        <f>IF($B352="","",IF(AJ$3=0,"n.b.",INDEX(SRC_Woningetalage!$A$1:$ZZ$501,$A352,AJ$3)))</f>
        <v/>
      </c>
      <c r="AK352" s="124" t="str">
        <f>IF($B352="","",IF(AK$3=0,"n.b.",INDEX(SRC_Woningetalage!$A$1:$ZZ$501,$A352,AK$3)))</f>
        <v/>
      </c>
      <c r="AL352" s="124" t="str">
        <f>IF($B352="","",IF(AL$3=0,"n.b.",INDEX(SRC_Woningetalage!$A$1:$ZZ$501,$A352,AL$3)))</f>
        <v/>
      </c>
      <c r="AM352" s="124" t="str">
        <f>IF($B352="","",IF(AM$3=0,"n.b.",INDEX(SRC_Woningetalage!$A$1:$ZZ$501,$A352,AM$3)))</f>
        <v/>
      </c>
      <c r="AN352" s="124" t="str">
        <f>IF($B352="","",IF(AN$3=0,"n.b.",INDEX(SRC_Woningetalage!$A$1:$ZZ$501,$A352,AN$3)))</f>
        <v/>
      </c>
      <c r="AO352" s="124" t="str">
        <f>IF($B352="","",IF(AO$3=0,"n.b.",INDEX(SRC_Woningetalage!$A$1:$ZZ$501,$A352,AO$3)))</f>
        <v/>
      </c>
      <c r="AP352" s="124" t="str">
        <f>IF($B352="","",IF(AP$3=0,"n.b.",INDEX(SRC_Woningetalage!$A$1:$ZZ$501,$A352,AP$3)))</f>
        <v/>
      </c>
      <c r="AQ352" s="124" t="str">
        <f>IF($B352="","",IF(AQ$3=0,"n.b.",INDEX(SRC_Woningetalage!$A$1:$ZZ$501,$A352,AQ$3)))</f>
        <v/>
      </c>
      <c r="AR352" s="124" t="str">
        <f>IF($B352="","",IF(AR$3=0,"n.b.",INDEX(SRC_Woningetalage!$A$1:$ZZ$501,$A352,AR$3)))</f>
        <v/>
      </c>
      <c r="AS352" s="124" t="str">
        <f>IF($B352="","",IF(AS$3=0,"n.b.",INDEX(SRC_Woningetalage!$A$1:$ZZ$501,$A352,AS$3)))</f>
        <v/>
      </c>
      <c r="AT352" s="124" t="str">
        <f>IF($B352="","",IF(AT$3=0,"n.b.",INDEX(SRC_Woningetalage!$A$1:$ZZ$501,$A352,AT$3)))</f>
        <v/>
      </c>
      <c r="AU352" s="124" t="str">
        <f>IF($B352="","",IF(AU$3=0,"n.b.",INDEX(SRC_Woningetalage!$A$1:$ZZ$501,$A352,AU$3)))</f>
        <v/>
      </c>
      <c r="AV352" s="124" t="str">
        <f>IF($B352="","",IF(AV$3=0,"n.b.",INDEX(SRC_Woningetalage!$A$1:$ZZ$501,$A352,AV$3)))</f>
        <v/>
      </c>
      <c r="AW352" s="124" t="str">
        <f>IF($B352="","",IF(AW$3=0,"n.b.",INDEX(SRC_Woningetalage!$A$1:$ZZ$501,$A352,AW$3)))</f>
        <v/>
      </c>
      <c r="AX352" s="124" t="str">
        <f>IF($B352="","",IF(AX$3=0,"n.b.",INDEX(SRC_Woningetalage!$A$1:$ZZ$501,$A352,AX$3)))</f>
        <v/>
      </c>
      <c r="AY352" s="124" t="str">
        <f>IF($B352="","",IF(AY$3=0,"n.b.",INDEX(SRC_Woningetalage!$A$1:$ZZ$501,$A352,AY$3)))</f>
        <v/>
      </c>
      <c r="AZ352" s="124" t="str">
        <f>IF($B352="","",IF(AZ$3=0,"n.b.",INDEX(SRC_Woningetalage!$A$1:$ZZ$501,$A352,AZ$3)))</f>
        <v/>
      </c>
      <c r="BA352" s="124" t="str">
        <f>IF($B352="","",IF(BA$3=0,"n.b.",INDEX(SRC_Woningetalage!$A$1:$ZZ$501,$A352,BA$3)))</f>
        <v/>
      </c>
      <c r="BB352" s="124" t="str">
        <f>IF($B352="","",IF(BB$3=0,"n.b.",INDEX(SRC_Woningetalage!$A$1:$ZZ$501,$A352,BB$3)))</f>
        <v/>
      </c>
      <c r="BC352" s="124" t="str">
        <f>IF($B352="","",IFERROR(_xlfn.NUMBERVALUE(E352&amp;"",",","."),"n.b."))</f>
        <v/>
      </c>
      <c r="BD352" s="124" t="str">
        <f>IF($B352="","",IFERROR(_xlfn.NUMBERVALUE(M352&amp;"",",","."),"n.b."))</f>
        <v/>
      </c>
      <c r="BE352" s="124" t="str">
        <f>IF($B352="","",IFERROR(AB352+AC352+AD352,"n.b."))</f>
        <v/>
      </c>
      <c r="BF352" s="124" t="str">
        <f>IF($B352="","",IFERROR(AE352+AF352+AG352,"n.b."))</f>
        <v/>
      </c>
      <c r="BG352" s="124" t="str">
        <f>IF($B352="","",IFERROR(AH352+AI352+AJ352,"n.b."))</f>
        <v/>
      </c>
      <c r="BH352" s="124" t="str">
        <f>IF($B352="","",IFERROR(AK352+AL352+AM352,"n.b."))</f>
        <v/>
      </c>
      <c r="BI352" s="124" t="str">
        <f>IF($B352="","",IFERROR(SUMIF($AB$5:$AM$5,"&lt;="&amp;P_PeilMaand,AB352:AM352),"n.b."))</f>
        <v/>
      </c>
      <c r="BJ352" s="124" t="str">
        <f>IF($B352="","",IFERROR(SUM(AB352:AM352)-BI352,"n.b."))</f>
        <v/>
      </c>
      <c r="BK352" s="124" t="str">
        <f>IF($B352="","",IFERROR(IF(ABS(Q352-(T352+SUM(AB352:AM352)+AS352+AU352))&gt;P_Tol,1,0),1))</f>
        <v/>
      </c>
      <c r="BL352" s="124" t="str">
        <f>IF($B352="","",IFERROR(IF(ABS(AA352-(Q352-Z352))&gt;P_Tol,1,0),1))</f>
        <v/>
      </c>
      <c r="BM352" s="124" t="str">
        <f>IF($B352="","",IFERROR(IF(ABS(Z352-(T352+W352))&gt;P_Tol,1,0),1))</f>
        <v/>
      </c>
      <c r="BN352" s="124" t="str">
        <f>IF($B352="","",IFERROR(IF(ABS(W352-BI352)&gt;P_Tol,1,0),1))</f>
        <v/>
      </c>
      <c r="BO352" s="124" t="str">
        <f>IF($B352="","",IFERROR(IF(OR(ABS(R352+S352-T352)&gt;P_Tol,ABS(U352+V352-W352)&gt;P_Tol,ABS(X352+Y352-Z352)&gt;P_Tol),1,0),1))</f>
        <v/>
      </c>
      <c r="BP352" s="124" t="str">
        <f>IF($B352="","",IFERROR(IF(OR(ABS(AR352-SUM(AB352:AM352))&gt;P_Tol,ABS(AS352-(AN352+AO352+AP352+AQ352))&gt;P_Tol),1,0),1))</f>
        <v/>
      </c>
      <c r="BQ352" s="124" t="str">
        <f>IF($B352="","",IFERROR(IF(ABS(AT352)+ABS(AV352)+ABS(AW352)+ABS(AX352)+ABS(AY352)+ABS(AZ352)+ABS(BA352)+ABS(BB352)&gt;0,1,0),1))</f>
        <v/>
      </c>
      <c r="BR352" s="124" t="str">
        <f>IF($B352="","",COUNTIF(STG_ZPMW03!$B$6:$B$505,B352))</f>
        <v/>
      </c>
      <c r="BS352" s="124" t="str">
        <f>IF($B352="","",COUNTIF($B$6:$B$505,B352))</f>
        <v/>
      </c>
      <c r="BT352" s="124" t="str">
        <f>IF($B352="","",IF(BR352=0,0,IF(INDEX(STG_ZPMW03!$I$6:$I$505,MATCH(B352,STG_ZPMW03!$B$6:$B$505,0))=J352&amp;"",0,1)))</f>
        <v/>
      </c>
      <c r="BU352" s="124" t="str">
        <f>IF($B352="","",IFERROR(IF(ABS(INDEX(Mapping!$D$5:$D$104,MATCH(B352,Mapping!$A$5:$A$104,0))-Q352)&gt;P_Tol,1,0),0))</f>
        <v/>
      </c>
      <c r="BV352" s="124" t="str">
        <f>IF($B352="","",IFERROR(IF(AND(INDEX(Mapping!$G$5:$G$104,MATCH(B352,Mapping!$A$5:$A$104,0))="Nee",ABS(Q352)+ABS(Z352)+ABS(AR352)&gt;0),1,0),0))</f>
        <v/>
      </c>
      <c r="BW352" s="124" t="str">
        <f>IF($B352="","",IF(COUNTIF(Mapping!$A$5:$A$104,B352)&gt;0,1,0))</f>
        <v/>
      </c>
      <c r="BX352" s="124" t="str">
        <f>IF($B352="","",IF(BR352=0,COUNTIF($BR$6:BR352,0),""))</f>
        <v/>
      </c>
    </row>
    <row r="353">
      <c r="A353" s="15" t="n">
        <v>349</v>
      </c>
      <c r="B353" t="str">
        <f>IF(B$3=0,"",IF(INDEX(SRC_Woningetalage!$A$1:$ZZ$501,$A353,B$3)&amp;""="","",INDEX(SRC_Woningetalage!$A$1:$ZZ$501,$A353,B$3)&amp;""))</f>
        <v/>
      </c>
      <c r="C353" t="str">
        <f>IF($B353="","",IF(C$3=0,"n.b.",INDEX(SRC_Woningetalage!$A$1:$ZZ$501,$A353,C$3)))</f>
        <v/>
      </c>
      <c r="D353" t="str">
        <f>IF($B353="","",IF(D$3=0,"n.b.",INDEX(SRC_Woningetalage!$A$1:$ZZ$501,$A353,D$3)))</f>
        <v/>
      </c>
      <c r="E353" t="str">
        <f>IF($B353="","",IF(E$3=0,"n.b.",INDEX(SRC_Woningetalage!$A$1:$ZZ$501,$A353,E$3)))</f>
        <v/>
      </c>
      <c r="F353" t="str">
        <f>IF($B353="","",IF(F$3=0,"n.b.",INDEX(SRC_Woningetalage!$A$1:$ZZ$501,$A353,F$3)))</f>
        <v/>
      </c>
      <c r="G353" t="str">
        <f>IF($B353="","",IF(G$3=0,"n.b.",INDEX(SRC_Woningetalage!$A$1:$ZZ$501,$A353,G$3)))</f>
        <v/>
      </c>
      <c r="H353" t="str">
        <f>IF($B353="","",IF(H$3=0,"n.b.",INDEX(SRC_Woningetalage!$A$1:$ZZ$501,$A353,H$3)))</f>
        <v/>
      </c>
      <c r="I353" t="str">
        <f>IF($B353="","",IF(I$3=0,"n.b.",INDEX(SRC_Woningetalage!$A$1:$ZZ$501,$A353,I$3)))</f>
        <v/>
      </c>
      <c r="J353" t="str">
        <f>IF($B353="","",IF(J$3=0,"n.b.",INDEX(SRC_Woningetalage!$A$1:$ZZ$501,$A353,J$3)))</f>
        <v/>
      </c>
      <c r="K353" t="str">
        <f>IF($B353="","",IF(K$3=0,"n.b.",INDEX(SRC_Woningetalage!$A$1:$ZZ$501,$A353,K$3)))</f>
        <v/>
      </c>
      <c r="L353" t="str">
        <f>IF($B353="","",IF(L$3=0,"n.b.",INDEX(SRC_Woningetalage!$A$1:$ZZ$501,$A353,L$3)))</f>
        <v/>
      </c>
      <c r="M353" t="str">
        <f>IF($B353="","",IF(M$3=0,"n.b.",INDEX(SRC_Woningetalage!$A$1:$ZZ$501,$A353,M$3)))</f>
        <v/>
      </c>
      <c r="N353" t="str">
        <f>IF($B353="","",IF(N$3=0,"n.b.",INDEX(SRC_Woningetalage!$A$1:$ZZ$501,$A353,N$3)))</f>
        <v/>
      </c>
      <c r="O353" t="str">
        <f>IF($B353="","",IF(O$3=0,"n.b.",INDEX(SRC_Woningetalage!$A$1:$ZZ$501,$A353,O$3)))</f>
        <v/>
      </c>
      <c r="P353" t="str">
        <f>IF($B353="","",IF(P$3=0,"n.b.",INDEX(SRC_Woningetalage!$A$1:$ZZ$501,$A353,P$3)))</f>
        <v/>
      </c>
      <c r="Q353" s="124" t="str">
        <f>IF($B353="","",IF(Q$3=0,"n.b.",INDEX(SRC_Woningetalage!$A$1:$ZZ$501,$A353,Q$3)))</f>
        <v/>
      </c>
      <c r="R353" s="124" t="str">
        <f>IF($B353="","",IF(R$3=0,"n.b.",INDEX(SRC_Woningetalage!$A$1:$ZZ$501,$A353,R$3)))</f>
        <v/>
      </c>
      <c r="S353" s="124" t="str">
        <f>IF($B353="","",IF(S$3=0,"n.b.",INDEX(SRC_Woningetalage!$A$1:$ZZ$501,$A353,S$3)))</f>
        <v/>
      </c>
      <c r="T353" s="124" t="str">
        <f>IF($B353="","",IF(T$3=0,"n.b.",INDEX(SRC_Woningetalage!$A$1:$ZZ$501,$A353,T$3)))</f>
        <v/>
      </c>
      <c r="U353" s="124" t="str">
        <f>IF($B353="","",IF(U$3=0,"n.b.",INDEX(SRC_Woningetalage!$A$1:$ZZ$501,$A353,U$3)))</f>
        <v/>
      </c>
      <c r="V353" s="124" t="str">
        <f>IF($B353="","",IF(V$3=0,"n.b.",INDEX(SRC_Woningetalage!$A$1:$ZZ$501,$A353,V$3)))</f>
        <v/>
      </c>
      <c r="W353" s="124" t="str">
        <f>IF($B353="","",IF(W$3=0,"n.b.",INDEX(SRC_Woningetalage!$A$1:$ZZ$501,$A353,W$3)))</f>
        <v/>
      </c>
      <c r="X353" s="124" t="str">
        <f>IF($B353="","",IF(X$3=0,"n.b.",INDEX(SRC_Woningetalage!$A$1:$ZZ$501,$A353,X$3)))</f>
        <v/>
      </c>
      <c r="Y353" s="124" t="str">
        <f>IF($B353="","",IF(Y$3=0,"n.b.",INDEX(SRC_Woningetalage!$A$1:$ZZ$501,$A353,Y$3)))</f>
        <v/>
      </c>
      <c r="Z353" s="124" t="str">
        <f>IF($B353="","",IF(Z$3=0,"n.b.",INDEX(SRC_Woningetalage!$A$1:$ZZ$501,$A353,Z$3)))</f>
        <v/>
      </c>
      <c r="AA353" s="124" t="str">
        <f>IF($B353="","",IF(AA$3=0,"n.b.",INDEX(SRC_Woningetalage!$A$1:$ZZ$501,$A353,AA$3)))</f>
        <v/>
      </c>
      <c r="AB353" s="124" t="str">
        <f>IF($B353="","",IF(AB$3=0,"n.b.",INDEX(SRC_Woningetalage!$A$1:$ZZ$501,$A353,AB$3)))</f>
        <v/>
      </c>
      <c r="AC353" s="124" t="str">
        <f>IF($B353="","",IF(AC$3=0,"n.b.",INDEX(SRC_Woningetalage!$A$1:$ZZ$501,$A353,AC$3)))</f>
        <v/>
      </c>
      <c r="AD353" s="124" t="str">
        <f>IF($B353="","",IF(AD$3=0,"n.b.",INDEX(SRC_Woningetalage!$A$1:$ZZ$501,$A353,AD$3)))</f>
        <v/>
      </c>
      <c r="AE353" s="124" t="str">
        <f>IF($B353="","",IF(AE$3=0,"n.b.",INDEX(SRC_Woningetalage!$A$1:$ZZ$501,$A353,AE$3)))</f>
        <v/>
      </c>
      <c r="AF353" s="124" t="str">
        <f>IF($B353="","",IF(AF$3=0,"n.b.",INDEX(SRC_Woningetalage!$A$1:$ZZ$501,$A353,AF$3)))</f>
        <v/>
      </c>
      <c r="AG353" s="124" t="str">
        <f>IF($B353="","",IF(AG$3=0,"n.b.",INDEX(SRC_Woningetalage!$A$1:$ZZ$501,$A353,AG$3)))</f>
        <v/>
      </c>
      <c r="AH353" s="124" t="str">
        <f>IF($B353="","",IF(AH$3=0,"n.b.",INDEX(SRC_Woningetalage!$A$1:$ZZ$501,$A353,AH$3)))</f>
        <v/>
      </c>
      <c r="AI353" s="124" t="str">
        <f>IF($B353="","",IF(AI$3=0,"n.b.",INDEX(SRC_Woningetalage!$A$1:$ZZ$501,$A353,AI$3)))</f>
        <v/>
      </c>
      <c r="AJ353" s="124" t="str">
        <f>IF($B353="","",IF(AJ$3=0,"n.b.",INDEX(SRC_Woningetalage!$A$1:$ZZ$501,$A353,AJ$3)))</f>
        <v/>
      </c>
      <c r="AK353" s="124" t="str">
        <f>IF($B353="","",IF(AK$3=0,"n.b.",INDEX(SRC_Woningetalage!$A$1:$ZZ$501,$A353,AK$3)))</f>
        <v/>
      </c>
      <c r="AL353" s="124" t="str">
        <f>IF($B353="","",IF(AL$3=0,"n.b.",INDEX(SRC_Woningetalage!$A$1:$ZZ$501,$A353,AL$3)))</f>
        <v/>
      </c>
      <c r="AM353" s="124" t="str">
        <f>IF($B353="","",IF(AM$3=0,"n.b.",INDEX(SRC_Woningetalage!$A$1:$ZZ$501,$A353,AM$3)))</f>
        <v/>
      </c>
      <c r="AN353" s="124" t="str">
        <f>IF($B353="","",IF(AN$3=0,"n.b.",INDEX(SRC_Woningetalage!$A$1:$ZZ$501,$A353,AN$3)))</f>
        <v/>
      </c>
      <c r="AO353" s="124" t="str">
        <f>IF($B353="","",IF(AO$3=0,"n.b.",INDEX(SRC_Woningetalage!$A$1:$ZZ$501,$A353,AO$3)))</f>
        <v/>
      </c>
      <c r="AP353" s="124" t="str">
        <f>IF($B353="","",IF(AP$3=0,"n.b.",INDEX(SRC_Woningetalage!$A$1:$ZZ$501,$A353,AP$3)))</f>
        <v/>
      </c>
      <c r="AQ353" s="124" t="str">
        <f>IF($B353="","",IF(AQ$3=0,"n.b.",INDEX(SRC_Woningetalage!$A$1:$ZZ$501,$A353,AQ$3)))</f>
        <v/>
      </c>
      <c r="AR353" s="124" t="str">
        <f>IF($B353="","",IF(AR$3=0,"n.b.",INDEX(SRC_Woningetalage!$A$1:$ZZ$501,$A353,AR$3)))</f>
        <v/>
      </c>
      <c r="AS353" s="124" t="str">
        <f>IF($B353="","",IF(AS$3=0,"n.b.",INDEX(SRC_Woningetalage!$A$1:$ZZ$501,$A353,AS$3)))</f>
        <v/>
      </c>
      <c r="AT353" s="124" t="str">
        <f>IF($B353="","",IF(AT$3=0,"n.b.",INDEX(SRC_Woningetalage!$A$1:$ZZ$501,$A353,AT$3)))</f>
        <v/>
      </c>
      <c r="AU353" s="124" t="str">
        <f>IF($B353="","",IF(AU$3=0,"n.b.",INDEX(SRC_Woningetalage!$A$1:$ZZ$501,$A353,AU$3)))</f>
        <v/>
      </c>
      <c r="AV353" s="124" t="str">
        <f>IF($B353="","",IF(AV$3=0,"n.b.",INDEX(SRC_Woningetalage!$A$1:$ZZ$501,$A353,AV$3)))</f>
        <v/>
      </c>
      <c r="AW353" s="124" t="str">
        <f>IF($B353="","",IF(AW$3=0,"n.b.",INDEX(SRC_Woningetalage!$A$1:$ZZ$501,$A353,AW$3)))</f>
        <v/>
      </c>
      <c r="AX353" s="124" t="str">
        <f>IF($B353="","",IF(AX$3=0,"n.b.",INDEX(SRC_Woningetalage!$A$1:$ZZ$501,$A353,AX$3)))</f>
        <v/>
      </c>
      <c r="AY353" s="124" t="str">
        <f>IF($B353="","",IF(AY$3=0,"n.b.",INDEX(SRC_Woningetalage!$A$1:$ZZ$501,$A353,AY$3)))</f>
        <v/>
      </c>
      <c r="AZ353" s="124" t="str">
        <f>IF($B353="","",IF(AZ$3=0,"n.b.",INDEX(SRC_Woningetalage!$A$1:$ZZ$501,$A353,AZ$3)))</f>
        <v/>
      </c>
      <c r="BA353" s="124" t="str">
        <f>IF($B353="","",IF(BA$3=0,"n.b.",INDEX(SRC_Woningetalage!$A$1:$ZZ$501,$A353,BA$3)))</f>
        <v/>
      </c>
      <c r="BB353" s="124" t="str">
        <f>IF($B353="","",IF(BB$3=0,"n.b.",INDEX(SRC_Woningetalage!$A$1:$ZZ$501,$A353,BB$3)))</f>
        <v/>
      </c>
      <c r="BC353" s="124" t="str">
        <f>IF($B353="","",IFERROR(_xlfn.NUMBERVALUE(E353&amp;"",",","."),"n.b."))</f>
        <v/>
      </c>
      <c r="BD353" s="124" t="str">
        <f>IF($B353="","",IFERROR(_xlfn.NUMBERVALUE(M353&amp;"",",","."),"n.b."))</f>
        <v/>
      </c>
      <c r="BE353" s="124" t="str">
        <f>IF($B353="","",IFERROR(AB353+AC353+AD353,"n.b."))</f>
        <v/>
      </c>
      <c r="BF353" s="124" t="str">
        <f>IF($B353="","",IFERROR(AE353+AF353+AG353,"n.b."))</f>
        <v/>
      </c>
      <c r="BG353" s="124" t="str">
        <f>IF($B353="","",IFERROR(AH353+AI353+AJ353,"n.b."))</f>
        <v/>
      </c>
      <c r="BH353" s="124" t="str">
        <f>IF($B353="","",IFERROR(AK353+AL353+AM353,"n.b."))</f>
        <v/>
      </c>
      <c r="BI353" s="124" t="str">
        <f>IF($B353="","",IFERROR(SUMIF($AB$5:$AM$5,"&lt;="&amp;P_PeilMaand,AB353:AM353),"n.b."))</f>
        <v/>
      </c>
      <c r="BJ353" s="124" t="str">
        <f>IF($B353="","",IFERROR(SUM(AB353:AM353)-BI353,"n.b."))</f>
        <v/>
      </c>
      <c r="BK353" s="124" t="str">
        <f>IF($B353="","",IFERROR(IF(ABS(Q353-(T353+SUM(AB353:AM353)+AS353+AU353))&gt;P_Tol,1,0),1))</f>
        <v/>
      </c>
      <c r="BL353" s="124" t="str">
        <f>IF($B353="","",IFERROR(IF(ABS(AA353-(Q353-Z353))&gt;P_Tol,1,0),1))</f>
        <v/>
      </c>
      <c r="BM353" s="124" t="str">
        <f>IF($B353="","",IFERROR(IF(ABS(Z353-(T353+W353))&gt;P_Tol,1,0),1))</f>
        <v/>
      </c>
      <c r="BN353" s="124" t="str">
        <f>IF($B353="","",IFERROR(IF(ABS(W353-BI353)&gt;P_Tol,1,0),1))</f>
        <v/>
      </c>
      <c r="BO353" s="124" t="str">
        <f>IF($B353="","",IFERROR(IF(OR(ABS(R353+S353-T353)&gt;P_Tol,ABS(U353+V353-W353)&gt;P_Tol,ABS(X353+Y353-Z353)&gt;P_Tol),1,0),1))</f>
        <v/>
      </c>
      <c r="BP353" s="124" t="str">
        <f>IF($B353="","",IFERROR(IF(OR(ABS(AR353-SUM(AB353:AM353))&gt;P_Tol,ABS(AS353-(AN353+AO353+AP353+AQ353))&gt;P_Tol),1,0),1))</f>
        <v/>
      </c>
      <c r="BQ353" s="124" t="str">
        <f>IF($B353="","",IFERROR(IF(ABS(AT353)+ABS(AV353)+ABS(AW353)+ABS(AX353)+ABS(AY353)+ABS(AZ353)+ABS(BA353)+ABS(BB353)&gt;0,1,0),1))</f>
        <v/>
      </c>
      <c r="BR353" s="124" t="str">
        <f>IF($B353="","",COUNTIF(STG_ZPMW03!$B$6:$B$505,B353))</f>
        <v/>
      </c>
      <c r="BS353" s="124" t="str">
        <f>IF($B353="","",COUNTIF($B$6:$B$505,B353))</f>
        <v/>
      </c>
      <c r="BT353" s="124" t="str">
        <f>IF($B353="","",IF(BR353=0,0,IF(INDEX(STG_ZPMW03!$I$6:$I$505,MATCH(B353,STG_ZPMW03!$B$6:$B$505,0))=J353&amp;"",0,1)))</f>
        <v/>
      </c>
      <c r="BU353" s="124" t="str">
        <f>IF($B353="","",IFERROR(IF(ABS(INDEX(Mapping!$D$5:$D$104,MATCH(B353,Mapping!$A$5:$A$104,0))-Q353)&gt;P_Tol,1,0),0))</f>
        <v/>
      </c>
      <c r="BV353" s="124" t="str">
        <f>IF($B353="","",IFERROR(IF(AND(INDEX(Mapping!$G$5:$G$104,MATCH(B353,Mapping!$A$5:$A$104,0))="Nee",ABS(Q353)+ABS(Z353)+ABS(AR353)&gt;0),1,0),0))</f>
        <v/>
      </c>
      <c r="BW353" s="124" t="str">
        <f>IF($B353="","",IF(COUNTIF(Mapping!$A$5:$A$104,B353)&gt;0,1,0))</f>
        <v/>
      </c>
      <c r="BX353" s="124" t="str">
        <f>IF($B353="","",IF(BR353=0,COUNTIF($BR$6:BR353,0),""))</f>
        <v/>
      </c>
    </row>
    <row r="354">
      <c r="A354" s="15" t="n">
        <v>350</v>
      </c>
      <c r="B354" t="str">
        <f>IF(B$3=0,"",IF(INDEX(SRC_Woningetalage!$A$1:$ZZ$501,$A354,B$3)&amp;""="","",INDEX(SRC_Woningetalage!$A$1:$ZZ$501,$A354,B$3)&amp;""))</f>
        <v/>
      </c>
      <c r="C354" t="str">
        <f>IF($B354="","",IF(C$3=0,"n.b.",INDEX(SRC_Woningetalage!$A$1:$ZZ$501,$A354,C$3)))</f>
        <v/>
      </c>
      <c r="D354" t="str">
        <f>IF($B354="","",IF(D$3=0,"n.b.",INDEX(SRC_Woningetalage!$A$1:$ZZ$501,$A354,D$3)))</f>
        <v/>
      </c>
      <c r="E354" t="str">
        <f>IF($B354="","",IF(E$3=0,"n.b.",INDEX(SRC_Woningetalage!$A$1:$ZZ$501,$A354,E$3)))</f>
        <v/>
      </c>
      <c r="F354" t="str">
        <f>IF($B354="","",IF(F$3=0,"n.b.",INDEX(SRC_Woningetalage!$A$1:$ZZ$501,$A354,F$3)))</f>
        <v/>
      </c>
      <c r="G354" t="str">
        <f>IF($B354="","",IF(G$3=0,"n.b.",INDEX(SRC_Woningetalage!$A$1:$ZZ$501,$A354,G$3)))</f>
        <v/>
      </c>
      <c r="H354" t="str">
        <f>IF($B354="","",IF(H$3=0,"n.b.",INDEX(SRC_Woningetalage!$A$1:$ZZ$501,$A354,H$3)))</f>
        <v/>
      </c>
      <c r="I354" t="str">
        <f>IF($B354="","",IF(I$3=0,"n.b.",INDEX(SRC_Woningetalage!$A$1:$ZZ$501,$A354,I$3)))</f>
        <v/>
      </c>
      <c r="J354" t="str">
        <f>IF($B354="","",IF(J$3=0,"n.b.",INDEX(SRC_Woningetalage!$A$1:$ZZ$501,$A354,J$3)))</f>
        <v/>
      </c>
      <c r="K354" t="str">
        <f>IF($B354="","",IF(K$3=0,"n.b.",INDEX(SRC_Woningetalage!$A$1:$ZZ$501,$A354,K$3)))</f>
        <v/>
      </c>
      <c r="L354" t="str">
        <f>IF($B354="","",IF(L$3=0,"n.b.",INDEX(SRC_Woningetalage!$A$1:$ZZ$501,$A354,L$3)))</f>
        <v/>
      </c>
      <c r="M354" t="str">
        <f>IF($B354="","",IF(M$3=0,"n.b.",INDEX(SRC_Woningetalage!$A$1:$ZZ$501,$A354,M$3)))</f>
        <v/>
      </c>
      <c r="N354" t="str">
        <f>IF($B354="","",IF(N$3=0,"n.b.",INDEX(SRC_Woningetalage!$A$1:$ZZ$501,$A354,N$3)))</f>
        <v/>
      </c>
      <c r="O354" t="str">
        <f>IF($B354="","",IF(O$3=0,"n.b.",INDEX(SRC_Woningetalage!$A$1:$ZZ$501,$A354,O$3)))</f>
        <v/>
      </c>
      <c r="P354" t="str">
        <f>IF($B354="","",IF(P$3=0,"n.b.",INDEX(SRC_Woningetalage!$A$1:$ZZ$501,$A354,P$3)))</f>
        <v/>
      </c>
      <c r="Q354" s="124" t="str">
        <f>IF($B354="","",IF(Q$3=0,"n.b.",INDEX(SRC_Woningetalage!$A$1:$ZZ$501,$A354,Q$3)))</f>
        <v/>
      </c>
      <c r="R354" s="124" t="str">
        <f>IF($B354="","",IF(R$3=0,"n.b.",INDEX(SRC_Woningetalage!$A$1:$ZZ$501,$A354,R$3)))</f>
        <v/>
      </c>
      <c r="S354" s="124" t="str">
        <f>IF($B354="","",IF(S$3=0,"n.b.",INDEX(SRC_Woningetalage!$A$1:$ZZ$501,$A354,S$3)))</f>
        <v/>
      </c>
      <c r="T354" s="124" t="str">
        <f>IF($B354="","",IF(T$3=0,"n.b.",INDEX(SRC_Woningetalage!$A$1:$ZZ$501,$A354,T$3)))</f>
        <v/>
      </c>
      <c r="U354" s="124" t="str">
        <f>IF($B354="","",IF(U$3=0,"n.b.",INDEX(SRC_Woningetalage!$A$1:$ZZ$501,$A354,U$3)))</f>
        <v/>
      </c>
      <c r="V354" s="124" t="str">
        <f>IF($B354="","",IF(V$3=0,"n.b.",INDEX(SRC_Woningetalage!$A$1:$ZZ$501,$A354,V$3)))</f>
        <v/>
      </c>
      <c r="W354" s="124" t="str">
        <f>IF($B354="","",IF(W$3=0,"n.b.",INDEX(SRC_Woningetalage!$A$1:$ZZ$501,$A354,W$3)))</f>
        <v/>
      </c>
      <c r="X354" s="124" t="str">
        <f>IF($B354="","",IF(X$3=0,"n.b.",INDEX(SRC_Woningetalage!$A$1:$ZZ$501,$A354,X$3)))</f>
        <v/>
      </c>
      <c r="Y354" s="124" t="str">
        <f>IF($B354="","",IF(Y$3=0,"n.b.",INDEX(SRC_Woningetalage!$A$1:$ZZ$501,$A354,Y$3)))</f>
        <v/>
      </c>
      <c r="Z354" s="124" t="str">
        <f>IF($B354="","",IF(Z$3=0,"n.b.",INDEX(SRC_Woningetalage!$A$1:$ZZ$501,$A354,Z$3)))</f>
        <v/>
      </c>
      <c r="AA354" s="124" t="str">
        <f>IF($B354="","",IF(AA$3=0,"n.b.",INDEX(SRC_Woningetalage!$A$1:$ZZ$501,$A354,AA$3)))</f>
        <v/>
      </c>
      <c r="AB354" s="124" t="str">
        <f>IF($B354="","",IF(AB$3=0,"n.b.",INDEX(SRC_Woningetalage!$A$1:$ZZ$501,$A354,AB$3)))</f>
        <v/>
      </c>
      <c r="AC354" s="124" t="str">
        <f>IF($B354="","",IF(AC$3=0,"n.b.",INDEX(SRC_Woningetalage!$A$1:$ZZ$501,$A354,AC$3)))</f>
        <v/>
      </c>
      <c r="AD354" s="124" t="str">
        <f>IF($B354="","",IF(AD$3=0,"n.b.",INDEX(SRC_Woningetalage!$A$1:$ZZ$501,$A354,AD$3)))</f>
        <v/>
      </c>
      <c r="AE354" s="124" t="str">
        <f>IF($B354="","",IF(AE$3=0,"n.b.",INDEX(SRC_Woningetalage!$A$1:$ZZ$501,$A354,AE$3)))</f>
        <v/>
      </c>
      <c r="AF354" s="124" t="str">
        <f>IF($B354="","",IF(AF$3=0,"n.b.",INDEX(SRC_Woningetalage!$A$1:$ZZ$501,$A354,AF$3)))</f>
        <v/>
      </c>
      <c r="AG354" s="124" t="str">
        <f>IF($B354="","",IF(AG$3=0,"n.b.",INDEX(SRC_Woningetalage!$A$1:$ZZ$501,$A354,AG$3)))</f>
        <v/>
      </c>
      <c r="AH354" s="124" t="str">
        <f>IF($B354="","",IF(AH$3=0,"n.b.",INDEX(SRC_Woningetalage!$A$1:$ZZ$501,$A354,AH$3)))</f>
        <v/>
      </c>
      <c r="AI354" s="124" t="str">
        <f>IF($B354="","",IF(AI$3=0,"n.b.",INDEX(SRC_Woningetalage!$A$1:$ZZ$501,$A354,AI$3)))</f>
        <v/>
      </c>
      <c r="AJ354" s="124" t="str">
        <f>IF($B354="","",IF(AJ$3=0,"n.b.",INDEX(SRC_Woningetalage!$A$1:$ZZ$501,$A354,AJ$3)))</f>
        <v/>
      </c>
      <c r="AK354" s="124" t="str">
        <f>IF($B354="","",IF(AK$3=0,"n.b.",INDEX(SRC_Woningetalage!$A$1:$ZZ$501,$A354,AK$3)))</f>
        <v/>
      </c>
      <c r="AL354" s="124" t="str">
        <f>IF($B354="","",IF(AL$3=0,"n.b.",INDEX(SRC_Woningetalage!$A$1:$ZZ$501,$A354,AL$3)))</f>
        <v/>
      </c>
      <c r="AM354" s="124" t="str">
        <f>IF($B354="","",IF(AM$3=0,"n.b.",INDEX(SRC_Woningetalage!$A$1:$ZZ$501,$A354,AM$3)))</f>
        <v/>
      </c>
      <c r="AN354" s="124" t="str">
        <f>IF($B354="","",IF(AN$3=0,"n.b.",INDEX(SRC_Woningetalage!$A$1:$ZZ$501,$A354,AN$3)))</f>
        <v/>
      </c>
      <c r="AO354" s="124" t="str">
        <f>IF($B354="","",IF(AO$3=0,"n.b.",INDEX(SRC_Woningetalage!$A$1:$ZZ$501,$A354,AO$3)))</f>
        <v/>
      </c>
      <c r="AP354" s="124" t="str">
        <f>IF($B354="","",IF(AP$3=0,"n.b.",INDEX(SRC_Woningetalage!$A$1:$ZZ$501,$A354,AP$3)))</f>
        <v/>
      </c>
      <c r="AQ354" s="124" t="str">
        <f>IF($B354="","",IF(AQ$3=0,"n.b.",INDEX(SRC_Woningetalage!$A$1:$ZZ$501,$A354,AQ$3)))</f>
        <v/>
      </c>
      <c r="AR354" s="124" t="str">
        <f>IF($B354="","",IF(AR$3=0,"n.b.",INDEX(SRC_Woningetalage!$A$1:$ZZ$501,$A354,AR$3)))</f>
        <v/>
      </c>
      <c r="AS354" s="124" t="str">
        <f>IF($B354="","",IF(AS$3=0,"n.b.",INDEX(SRC_Woningetalage!$A$1:$ZZ$501,$A354,AS$3)))</f>
        <v/>
      </c>
      <c r="AT354" s="124" t="str">
        <f>IF($B354="","",IF(AT$3=0,"n.b.",INDEX(SRC_Woningetalage!$A$1:$ZZ$501,$A354,AT$3)))</f>
        <v/>
      </c>
      <c r="AU354" s="124" t="str">
        <f>IF($B354="","",IF(AU$3=0,"n.b.",INDEX(SRC_Woningetalage!$A$1:$ZZ$501,$A354,AU$3)))</f>
        <v/>
      </c>
      <c r="AV354" s="124" t="str">
        <f>IF($B354="","",IF(AV$3=0,"n.b.",INDEX(SRC_Woningetalage!$A$1:$ZZ$501,$A354,AV$3)))</f>
        <v/>
      </c>
      <c r="AW354" s="124" t="str">
        <f>IF($B354="","",IF(AW$3=0,"n.b.",INDEX(SRC_Woningetalage!$A$1:$ZZ$501,$A354,AW$3)))</f>
        <v/>
      </c>
      <c r="AX354" s="124" t="str">
        <f>IF($B354="","",IF(AX$3=0,"n.b.",INDEX(SRC_Woningetalage!$A$1:$ZZ$501,$A354,AX$3)))</f>
        <v/>
      </c>
      <c r="AY354" s="124" t="str">
        <f>IF($B354="","",IF(AY$3=0,"n.b.",INDEX(SRC_Woningetalage!$A$1:$ZZ$501,$A354,AY$3)))</f>
        <v/>
      </c>
      <c r="AZ354" s="124" t="str">
        <f>IF($B354="","",IF(AZ$3=0,"n.b.",INDEX(SRC_Woningetalage!$A$1:$ZZ$501,$A354,AZ$3)))</f>
        <v/>
      </c>
      <c r="BA354" s="124" t="str">
        <f>IF($B354="","",IF(BA$3=0,"n.b.",INDEX(SRC_Woningetalage!$A$1:$ZZ$501,$A354,BA$3)))</f>
        <v/>
      </c>
      <c r="BB354" s="124" t="str">
        <f>IF($B354="","",IF(BB$3=0,"n.b.",INDEX(SRC_Woningetalage!$A$1:$ZZ$501,$A354,BB$3)))</f>
        <v/>
      </c>
      <c r="BC354" s="124" t="str">
        <f>IF($B354="","",IFERROR(_xlfn.NUMBERVALUE(E354&amp;"",",","."),"n.b."))</f>
        <v/>
      </c>
      <c r="BD354" s="124" t="str">
        <f>IF($B354="","",IFERROR(_xlfn.NUMBERVALUE(M354&amp;"",",","."),"n.b."))</f>
        <v/>
      </c>
      <c r="BE354" s="124" t="str">
        <f>IF($B354="","",IFERROR(AB354+AC354+AD354,"n.b."))</f>
        <v/>
      </c>
      <c r="BF354" s="124" t="str">
        <f>IF($B354="","",IFERROR(AE354+AF354+AG354,"n.b."))</f>
        <v/>
      </c>
      <c r="BG354" s="124" t="str">
        <f>IF($B354="","",IFERROR(AH354+AI354+AJ354,"n.b."))</f>
        <v/>
      </c>
      <c r="BH354" s="124" t="str">
        <f>IF($B354="","",IFERROR(AK354+AL354+AM354,"n.b."))</f>
        <v/>
      </c>
      <c r="BI354" s="124" t="str">
        <f>IF($B354="","",IFERROR(SUMIF($AB$5:$AM$5,"&lt;="&amp;P_PeilMaand,AB354:AM354),"n.b."))</f>
        <v/>
      </c>
      <c r="BJ354" s="124" t="str">
        <f>IF($B354="","",IFERROR(SUM(AB354:AM354)-BI354,"n.b."))</f>
        <v/>
      </c>
      <c r="BK354" s="124" t="str">
        <f>IF($B354="","",IFERROR(IF(ABS(Q354-(T354+SUM(AB354:AM354)+AS354+AU354))&gt;P_Tol,1,0),1))</f>
        <v/>
      </c>
      <c r="BL354" s="124" t="str">
        <f>IF($B354="","",IFERROR(IF(ABS(AA354-(Q354-Z354))&gt;P_Tol,1,0),1))</f>
        <v/>
      </c>
      <c r="BM354" s="124" t="str">
        <f>IF($B354="","",IFERROR(IF(ABS(Z354-(T354+W354))&gt;P_Tol,1,0),1))</f>
        <v/>
      </c>
      <c r="BN354" s="124" t="str">
        <f>IF($B354="","",IFERROR(IF(ABS(W354-BI354)&gt;P_Tol,1,0),1))</f>
        <v/>
      </c>
      <c r="BO354" s="124" t="str">
        <f>IF($B354="","",IFERROR(IF(OR(ABS(R354+S354-T354)&gt;P_Tol,ABS(U354+V354-W354)&gt;P_Tol,ABS(X354+Y354-Z354)&gt;P_Tol),1,0),1))</f>
        <v/>
      </c>
      <c r="BP354" s="124" t="str">
        <f>IF($B354="","",IFERROR(IF(OR(ABS(AR354-SUM(AB354:AM354))&gt;P_Tol,ABS(AS354-(AN354+AO354+AP354+AQ354))&gt;P_Tol),1,0),1))</f>
        <v/>
      </c>
      <c r="BQ354" s="124" t="str">
        <f>IF($B354="","",IFERROR(IF(ABS(AT354)+ABS(AV354)+ABS(AW354)+ABS(AX354)+ABS(AY354)+ABS(AZ354)+ABS(BA354)+ABS(BB354)&gt;0,1,0),1))</f>
        <v/>
      </c>
      <c r="BR354" s="124" t="str">
        <f>IF($B354="","",COUNTIF(STG_ZPMW03!$B$6:$B$505,B354))</f>
        <v/>
      </c>
      <c r="BS354" s="124" t="str">
        <f>IF($B354="","",COUNTIF($B$6:$B$505,B354))</f>
        <v/>
      </c>
      <c r="BT354" s="124" t="str">
        <f>IF($B354="","",IF(BR354=0,0,IF(INDEX(STG_ZPMW03!$I$6:$I$505,MATCH(B354,STG_ZPMW03!$B$6:$B$505,0))=J354&amp;"",0,1)))</f>
        <v/>
      </c>
      <c r="BU354" s="124" t="str">
        <f>IF($B354="","",IFERROR(IF(ABS(INDEX(Mapping!$D$5:$D$104,MATCH(B354,Mapping!$A$5:$A$104,0))-Q354)&gt;P_Tol,1,0),0))</f>
        <v/>
      </c>
      <c r="BV354" s="124" t="str">
        <f>IF($B354="","",IFERROR(IF(AND(INDEX(Mapping!$G$5:$G$104,MATCH(B354,Mapping!$A$5:$A$104,0))="Nee",ABS(Q354)+ABS(Z354)+ABS(AR354)&gt;0),1,0),0))</f>
        <v/>
      </c>
      <c r="BW354" s="124" t="str">
        <f>IF($B354="","",IF(COUNTIF(Mapping!$A$5:$A$104,B354)&gt;0,1,0))</f>
        <v/>
      </c>
      <c r="BX354" s="124" t="str">
        <f>IF($B354="","",IF(BR354=0,COUNTIF($BR$6:BR354,0),""))</f>
        <v/>
      </c>
    </row>
    <row r="355">
      <c r="A355" s="15" t="n">
        <v>351</v>
      </c>
      <c r="B355" t="str">
        <f>IF(B$3=0,"",IF(INDEX(SRC_Woningetalage!$A$1:$ZZ$501,$A355,B$3)&amp;""="","",INDEX(SRC_Woningetalage!$A$1:$ZZ$501,$A355,B$3)&amp;""))</f>
        <v/>
      </c>
      <c r="C355" t="str">
        <f>IF($B355="","",IF(C$3=0,"n.b.",INDEX(SRC_Woningetalage!$A$1:$ZZ$501,$A355,C$3)))</f>
        <v/>
      </c>
      <c r="D355" t="str">
        <f>IF($B355="","",IF(D$3=0,"n.b.",INDEX(SRC_Woningetalage!$A$1:$ZZ$501,$A355,D$3)))</f>
        <v/>
      </c>
      <c r="E355" t="str">
        <f>IF($B355="","",IF(E$3=0,"n.b.",INDEX(SRC_Woningetalage!$A$1:$ZZ$501,$A355,E$3)))</f>
        <v/>
      </c>
      <c r="F355" t="str">
        <f>IF($B355="","",IF(F$3=0,"n.b.",INDEX(SRC_Woningetalage!$A$1:$ZZ$501,$A355,F$3)))</f>
        <v/>
      </c>
      <c r="G355" t="str">
        <f>IF($B355="","",IF(G$3=0,"n.b.",INDEX(SRC_Woningetalage!$A$1:$ZZ$501,$A355,G$3)))</f>
        <v/>
      </c>
      <c r="H355" t="str">
        <f>IF($B355="","",IF(H$3=0,"n.b.",INDEX(SRC_Woningetalage!$A$1:$ZZ$501,$A355,H$3)))</f>
        <v/>
      </c>
      <c r="I355" t="str">
        <f>IF($B355="","",IF(I$3=0,"n.b.",INDEX(SRC_Woningetalage!$A$1:$ZZ$501,$A355,I$3)))</f>
        <v/>
      </c>
      <c r="J355" t="str">
        <f>IF($B355="","",IF(J$3=0,"n.b.",INDEX(SRC_Woningetalage!$A$1:$ZZ$501,$A355,J$3)))</f>
        <v/>
      </c>
      <c r="K355" t="str">
        <f>IF($B355="","",IF(K$3=0,"n.b.",INDEX(SRC_Woningetalage!$A$1:$ZZ$501,$A355,K$3)))</f>
        <v/>
      </c>
      <c r="L355" t="str">
        <f>IF($B355="","",IF(L$3=0,"n.b.",INDEX(SRC_Woningetalage!$A$1:$ZZ$501,$A355,L$3)))</f>
        <v/>
      </c>
      <c r="M355" t="str">
        <f>IF($B355="","",IF(M$3=0,"n.b.",INDEX(SRC_Woningetalage!$A$1:$ZZ$501,$A355,M$3)))</f>
        <v/>
      </c>
      <c r="N355" t="str">
        <f>IF($B355="","",IF(N$3=0,"n.b.",INDEX(SRC_Woningetalage!$A$1:$ZZ$501,$A355,N$3)))</f>
        <v/>
      </c>
      <c r="O355" t="str">
        <f>IF($B355="","",IF(O$3=0,"n.b.",INDEX(SRC_Woningetalage!$A$1:$ZZ$501,$A355,O$3)))</f>
        <v/>
      </c>
      <c r="P355" t="str">
        <f>IF($B355="","",IF(P$3=0,"n.b.",INDEX(SRC_Woningetalage!$A$1:$ZZ$501,$A355,P$3)))</f>
        <v/>
      </c>
      <c r="Q355" s="124" t="str">
        <f>IF($B355="","",IF(Q$3=0,"n.b.",INDEX(SRC_Woningetalage!$A$1:$ZZ$501,$A355,Q$3)))</f>
        <v/>
      </c>
      <c r="R355" s="124" t="str">
        <f>IF($B355="","",IF(R$3=0,"n.b.",INDEX(SRC_Woningetalage!$A$1:$ZZ$501,$A355,R$3)))</f>
        <v/>
      </c>
      <c r="S355" s="124" t="str">
        <f>IF($B355="","",IF(S$3=0,"n.b.",INDEX(SRC_Woningetalage!$A$1:$ZZ$501,$A355,S$3)))</f>
        <v/>
      </c>
      <c r="T355" s="124" t="str">
        <f>IF($B355="","",IF(T$3=0,"n.b.",INDEX(SRC_Woningetalage!$A$1:$ZZ$501,$A355,T$3)))</f>
        <v/>
      </c>
      <c r="U355" s="124" t="str">
        <f>IF($B355="","",IF(U$3=0,"n.b.",INDEX(SRC_Woningetalage!$A$1:$ZZ$501,$A355,U$3)))</f>
        <v/>
      </c>
      <c r="V355" s="124" t="str">
        <f>IF($B355="","",IF(V$3=0,"n.b.",INDEX(SRC_Woningetalage!$A$1:$ZZ$501,$A355,V$3)))</f>
        <v/>
      </c>
      <c r="W355" s="124" t="str">
        <f>IF($B355="","",IF(W$3=0,"n.b.",INDEX(SRC_Woningetalage!$A$1:$ZZ$501,$A355,W$3)))</f>
        <v/>
      </c>
      <c r="X355" s="124" t="str">
        <f>IF($B355="","",IF(X$3=0,"n.b.",INDEX(SRC_Woningetalage!$A$1:$ZZ$501,$A355,X$3)))</f>
        <v/>
      </c>
      <c r="Y355" s="124" t="str">
        <f>IF($B355="","",IF(Y$3=0,"n.b.",INDEX(SRC_Woningetalage!$A$1:$ZZ$501,$A355,Y$3)))</f>
        <v/>
      </c>
      <c r="Z355" s="124" t="str">
        <f>IF($B355="","",IF(Z$3=0,"n.b.",INDEX(SRC_Woningetalage!$A$1:$ZZ$501,$A355,Z$3)))</f>
        <v/>
      </c>
      <c r="AA355" s="124" t="str">
        <f>IF($B355="","",IF(AA$3=0,"n.b.",INDEX(SRC_Woningetalage!$A$1:$ZZ$501,$A355,AA$3)))</f>
        <v/>
      </c>
      <c r="AB355" s="124" t="str">
        <f>IF($B355="","",IF(AB$3=0,"n.b.",INDEX(SRC_Woningetalage!$A$1:$ZZ$501,$A355,AB$3)))</f>
        <v/>
      </c>
      <c r="AC355" s="124" t="str">
        <f>IF($B355="","",IF(AC$3=0,"n.b.",INDEX(SRC_Woningetalage!$A$1:$ZZ$501,$A355,AC$3)))</f>
        <v/>
      </c>
      <c r="AD355" s="124" t="str">
        <f>IF($B355="","",IF(AD$3=0,"n.b.",INDEX(SRC_Woningetalage!$A$1:$ZZ$501,$A355,AD$3)))</f>
        <v/>
      </c>
      <c r="AE355" s="124" t="str">
        <f>IF($B355="","",IF(AE$3=0,"n.b.",INDEX(SRC_Woningetalage!$A$1:$ZZ$501,$A355,AE$3)))</f>
        <v/>
      </c>
      <c r="AF355" s="124" t="str">
        <f>IF($B355="","",IF(AF$3=0,"n.b.",INDEX(SRC_Woningetalage!$A$1:$ZZ$501,$A355,AF$3)))</f>
        <v/>
      </c>
      <c r="AG355" s="124" t="str">
        <f>IF($B355="","",IF(AG$3=0,"n.b.",INDEX(SRC_Woningetalage!$A$1:$ZZ$501,$A355,AG$3)))</f>
        <v/>
      </c>
      <c r="AH355" s="124" t="str">
        <f>IF($B355="","",IF(AH$3=0,"n.b.",INDEX(SRC_Woningetalage!$A$1:$ZZ$501,$A355,AH$3)))</f>
        <v/>
      </c>
      <c r="AI355" s="124" t="str">
        <f>IF($B355="","",IF(AI$3=0,"n.b.",INDEX(SRC_Woningetalage!$A$1:$ZZ$501,$A355,AI$3)))</f>
        <v/>
      </c>
      <c r="AJ355" s="124" t="str">
        <f>IF($B355="","",IF(AJ$3=0,"n.b.",INDEX(SRC_Woningetalage!$A$1:$ZZ$501,$A355,AJ$3)))</f>
        <v/>
      </c>
      <c r="AK355" s="124" t="str">
        <f>IF($B355="","",IF(AK$3=0,"n.b.",INDEX(SRC_Woningetalage!$A$1:$ZZ$501,$A355,AK$3)))</f>
        <v/>
      </c>
      <c r="AL355" s="124" t="str">
        <f>IF($B355="","",IF(AL$3=0,"n.b.",INDEX(SRC_Woningetalage!$A$1:$ZZ$501,$A355,AL$3)))</f>
        <v/>
      </c>
      <c r="AM355" s="124" t="str">
        <f>IF($B355="","",IF(AM$3=0,"n.b.",INDEX(SRC_Woningetalage!$A$1:$ZZ$501,$A355,AM$3)))</f>
        <v/>
      </c>
      <c r="AN355" s="124" t="str">
        <f>IF($B355="","",IF(AN$3=0,"n.b.",INDEX(SRC_Woningetalage!$A$1:$ZZ$501,$A355,AN$3)))</f>
        <v/>
      </c>
      <c r="AO355" s="124" t="str">
        <f>IF($B355="","",IF(AO$3=0,"n.b.",INDEX(SRC_Woningetalage!$A$1:$ZZ$501,$A355,AO$3)))</f>
        <v/>
      </c>
      <c r="AP355" s="124" t="str">
        <f>IF($B355="","",IF(AP$3=0,"n.b.",INDEX(SRC_Woningetalage!$A$1:$ZZ$501,$A355,AP$3)))</f>
        <v/>
      </c>
      <c r="AQ355" s="124" t="str">
        <f>IF($B355="","",IF(AQ$3=0,"n.b.",INDEX(SRC_Woningetalage!$A$1:$ZZ$501,$A355,AQ$3)))</f>
        <v/>
      </c>
      <c r="AR355" s="124" t="str">
        <f>IF($B355="","",IF(AR$3=0,"n.b.",INDEX(SRC_Woningetalage!$A$1:$ZZ$501,$A355,AR$3)))</f>
        <v/>
      </c>
      <c r="AS355" s="124" t="str">
        <f>IF($B355="","",IF(AS$3=0,"n.b.",INDEX(SRC_Woningetalage!$A$1:$ZZ$501,$A355,AS$3)))</f>
        <v/>
      </c>
      <c r="AT355" s="124" t="str">
        <f>IF($B355="","",IF(AT$3=0,"n.b.",INDEX(SRC_Woningetalage!$A$1:$ZZ$501,$A355,AT$3)))</f>
        <v/>
      </c>
      <c r="AU355" s="124" t="str">
        <f>IF($B355="","",IF(AU$3=0,"n.b.",INDEX(SRC_Woningetalage!$A$1:$ZZ$501,$A355,AU$3)))</f>
        <v/>
      </c>
      <c r="AV355" s="124" t="str">
        <f>IF($B355="","",IF(AV$3=0,"n.b.",INDEX(SRC_Woningetalage!$A$1:$ZZ$501,$A355,AV$3)))</f>
        <v/>
      </c>
      <c r="AW355" s="124" t="str">
        <f>IF($B355="","",IF(AW$3=0,"n.b.",INDEX(SRC_Woningetalage!$A$1:$ZZ$501,$A355,AW$3)))</f>
        <v/>
      </c>
      <c r="AX355" s="124" t="str">
        <f>IF($B355="","",IF(AX$3=0,"n.b.",INDEX(SRC_Woningetalage!$A$1:$ZZ$501,$A355,AX$3)))</f>
        <v/>
      </c>
      <c r="AY355" s="124" t="str">
        <f>IF($B355="","",IF(AY$3=0,"n.b.",INDEX(SRC_Woningetalage!$A$1:$ZZ$501,$A355,AY$3)))</f>
        <v/>
      </c>
      <c r="AZ355" s="124" t="str">
        <f>IF($B355="","",IF(AZ$3=0,"n.b.",INDEX(SRC_Woningetalage!$A$1:$ZZ$501,$A355,AZ$3)))</f>
        <v/>
      </c>
      <c r="BA355" s="124" t="str">
        <f>IF($B355="","",IF(BA$3=0,"n.b.",INDEX(SRC_Woningetalage!$A$1:$ZZ$501,$A355,BA$3)))</f>
        <v/>
      </c>
      <c r="BB355" s="124" t="str">
        <f>IF($B355="","",IF(BB$3=0,"n.b.",INDEX(SRC_Woningetalage!$A$1:$ZZ$501,$A355,BB$3)))</f>
        <v/>
      </c>
      <c r="BC355" s="124" t="str">
        <f>IF($B355="","",IFERROR(_xlfn.NUMBERVALUE(E355&amp;"",",","."),"n.b."))</f>
        <v/>
      </c>
      <c r="BD355" s="124" t="str">
        <f>IF($B355="","",IFERROR(_xlfn.NUMBERVALUE(M355&amp;"",",","."),"n.b."))</f>
        <v/>
      </c>
      <c r="BE355" s="124" t="str">
        <f>IF($B355="","",IFERROR(AB355+AC355+AD355,"n.b."))</f>
        <v/>
      </c>
      <c r="BF355" s="124" t="str">
        <f>IF($B355="","",IFERROR(AE355+AF355+AG355,"n.b."))</f>
        <v/>
      </c>
      <c r="BG355" s="124" t="str">
        <f>IF($B355="","",IFERROR(AH355+AI355+AJ355,"n.b."))</f>
        <v/>
      </c>
      <c r="BH355" s="124" t="str">
        <f>IF($B355="","",IFERROR(AK355+AL355+AM355,"n.b."))</f>
        <v/>
      </c>
      <c r="BI355" s="124" t="str">
        <f>IF($B355="","",IFERROR(SUMIF($AB$5:$AM$5,"&lt;="&amp;P_PeilMaand,AB355:AM355),"n.b."))</f>
        <v/>
      </c>
      <c r="BJ355" s="124" t="str">
        <f>IF($B355="","",IFERROR(SUM(AB355:AM355)-BI355,"n.b."))</f>
        <v/>
      </c>
      <c r="BK355" s="124" t="str">
        <f>IF($B355="","",IFERROR(IF(ABS(Q355-(T355+SUM(AB355:AM355)+AS355+AU355))&gt;P_Tol,1,0),1))</f>
        <v/>
      </c>
      <c r="BL355" s="124" t="str">
        <f>IF($B355="","",IFERROR(IF(ABS(AA355-(Q355-Z355))&gt;P_Tol,1,0),1))</f>
        <v/>
      </c>
      <c r="BM355" s="124" t="str">
        <f>IF($B355="","",IFERROR(IF(ABS(Z355-(T355+W355))&gt;P_Tol,1,0),1))</f>
        <v/>
      </c>
      <c r="BN355" s="124" t="str">
        <f>IF($B355="","",IFERROR(IF(ABS(W355-BI355)&gt;P_Tol,1,0),1))</f>
        <v/>
      </c>
      <c r="BO355" s="124" t="str">
        <f>IF($B355="","",IFERROR(IF(OR(ABS(R355+S355-T355)&gt;P_Tol,ABS(U355+V355-W355)&gt;P_Tol,ABS(X355+Y355-Z355)&gt;P_Tol),1,0),1))</f>
        <v/>
      </c>
      <c r="BP355" s="124" t="str">
        <f>IF($B355="","",IFERROR(IF(OR(ABS(AR355-SUM(AB355:AM355))&gt;P_Tol,ABS(AS355-(AN355+AO355+AP355+AQ355))&gt;P_Tol),1,0),1))</f>
        <v/>
      </c>
      <c r="BQ355" s="124" t="str">
        <f>IF($B355="","",IFERROR(IF(ABS(AT355)+ABS(AV355)+ABS(AW355)+ABS(AX355)+ABS(AY355)+ABS(AZ355)+ABS(BA355)+ABS(BB355)&gt;0,1,0),1))</f>
        <v/>
      </c>
      <c r="BR355" s="124" t="str">
        <f>IF($B355="","",COUNTIF(STG_ZPMW03!$B$6:$B$505,B355))</f>
        <v/>
      </c>
      <c r="BS355" s="124" t="str">
        <f>IF($B355="","",COUNTIF($B$6:$B$505,B355))</f>
        <v/>
      </c>
      <c r="BT355" s="124" t="str">
        <f>IF($B355="","",IF(BR355=0,0,IF(INDEX(STG_ZPMW03!$I$6:$I$505,MATCH(B355,STG_ZPMW03!$B$6:$B$505,0))=J355&amp;"",0,1)))</f>
        <v/>
      </c>
      <c r="BU355" s="124" t="str">
        <f>IF($B355="","",IFERROR(IF(ABS(INDEX(Mapping!$D$5:$D$104,MATCH(B355,Mapping!$A$5:$A$104,0))-Q355)&gt;P_Tol,1,0),0))</f>
        <v/>
      </c>
      <c r="BV355" s="124" t="str">
        <f>IF($B355="","",IFERROR(IF(AND(INDEX(Mapping!$G$5:$G$104,MATCH(B355,Mapping!$A$5:$A$104,0))="Nee",ABS(Q355)+ABS(Z355)+ABS(AR355)&gt;0),1,0),0))</f>
        <v/>
      </c>
      <c r="BW355" s="124" t="str">
        <f>IF($B355="","",IF(COUNTIF(Mapping!$A$5:$A$104,B355)&gt;0,1,0))</f>
        <v/>
      </c>
      <c r="BX355" s="124" t="str">
        <f>IF($B355="","",IF(BR355=0,COUNTIF($BR$6:BR355,0),""))</f>
        <v/>
      </c>
    </row>
    <row r="356">
      <c r="A356" s="15" t="n">
        <v>352</v>
      </c>
      <c r="B356" t="str">
        <f>IF(B$3=0,"",IF(INDEX(SRC_Woningetalage!$A$1:$ZZ$501,$A356,B$3)&amp;""="","",INDEX(SRC_Woningetalage!$A$1:$ZZ$501,$A356,B$3)&amp;""))</f>
        <v/>
      </c>
      <c r="C356" t="str">
        <f>IF($B356="","",IF(C$3=0,"n.b.",INDEX(SRC_Woningetalage!$A$1:$ZZ$501,$A356,C$3)))</f>
        <v/>
      </c>
      <c r="D356" t="str">
        <f>IF($B356="","",IF(D$3=0,"n.b.",INDEX(SRC_Woningetalage!$A$1:$ZZ$501,$A356,D$3)))</f>
        <v/>
      </c>
      <c r="E356" t="str">
        <f>IF($B356="","",IF(E$3=0,"n.b.",INDEX(SRC_Woningetalage!$A$1:$ZZ$501,$A356,E$3)))</f>
        <v/>
      </c>
      <c r="F356" t="str">
        <f>IF($B356="","",IF(F$3=0,"n.b.",INDEX(SRC_Woningetalage!$A$1:$ZZ$501,$A356,F$3)))</f>
        <v/>
      </c>
      <c r="G356" t="str">
        <f>IF($B356="","",IF(G$3=0,"n.b.",INDEX(SRC_Woningetalage!$A$1:$ZZ$501,$A356,G$3)))</f>
        <v/>
      </c>
      <c r="H356" t="str">
        <f>IF($B356="","",IF(H$3=0,"n.b.",INDEX(SRC_Woningetalage!$A$1:$ZZ$501,$A356,H$3)))</f>
        <v/>
      </c>
      <c r="I356" t="str">
        <f>IF($B356="","",IF(I$3=0,"n.b.",INDEX(SRC_Woningetalage!$A$1:$ZZ$501,$A356,I$3)))</f>
        <v/>
      </c>
      <c r="J356" t="str">
        <f>IF($B356="","",IF(J$3=0,"n.b.",INDEX(SRC_Woningetalage!$A$1:$ZZ$501,$A356,J$3)))</f>
        <v/>
      </c>
      <c r="K356" t="str">
        <f>IF($B356="","",IF(K$3=0,"n.b.",INDEX(SRC_Woningetalage!$A$1:$ZZ$501,$A356,K$3)))</f>
        <v/>
      </c>
      <c r="L356" t="str">
        <f>IF($B356="","",IF(L$3=0,"n.b.",INDEX(SRC_Woningetalage!$A$1:$ZZ$501,$A356,L$3)))</f>
        <v/>
      </c>
      <c r="M356" t="str">
        <f>IF($B356="","",IF(M$3=0,"n.b.",INDEX(SRC_Woningetalage!$A$1:$ZZ$501,$A356,M$3)))</f>
        <v/>
      </c>
      <c r="N356" t="str">
        <f>IF($B356="","",IF(N$3=0,"n.b.",INDEX(SRC_Woningetalage!$A$1:$ZZ$501,$A356,N$3)))</f>
        <v/>
      </c>
      <c r="O356" t="str">
        <f>IF($B356="","",IF(O$3=0,"n.b.",INDEX(SRC_Woningetalage!$A$1:$ZZ$501,$A356,O$3)))</f>
        <v/>
      </c>
      <c r="P356" t="str">
        <f>IF($B356="","",IF(P$3=0,"n.b.",INDEX(SRC_Woningetalage!$A$1:$ZZ$501,$A356,P$3)))</f>
        <v/>
      </c>
      <c r="Q356" s="124" t="str">
        <f>IF($B356="","",IF(Q$3=0,"n.b.",INDEX(SRC_Woningetalage!$A$1:$ZZ$501,$A356,Q$3)))</f>
        <v/>
      </c>
      <c r="R356" s="124" t="str">
        <f>IF($B356="","",IF(R$3=0,"n.b.",INDEX(SRC_Woningetalage!$A$1:$ZZ$501,$A356,R$3)))</f>
        <v/>
      </c>
      <c r="S356" s="124" t="str">
        <f>IF($B356="","",IF(S$3=0,"n.b.",INDEX(SRC_Woningetalage!$A$1:$ZZ$501,$A356,S$3)))</f>
        <v/>
      </c>
      <c r="T356" s="124" t="str">
        <f>IF($B356="","",IF(T$3=0,"n.b.",INDEX(SRC_Woningetalage!$A$1:$ZZ$501,$A356,T$3)))</f>
        <v/>
      </c>
      <c r="U356" s="124" t="str">
        <f>IF($B356="","",IF(U$3=0,"n.b.",INDEX(SRC_Woningetalage!$A$1:$ZZ$501,$A356,U$3)))</f>
        <v/>
      </c>
      <c r="V356" s="124" t="str">
        <f>IF($B356="","",IF(V$3=0,"n.b.",INDEX(SRC_Woningetalage!$A$1:$ZZ$501,$A356,V$3)))</f>
        <v/>
      </c>
      <c r="W356" s="124" t="str">
        <f>IF($B356="","",IF(W$3=0,"n.b.",INDEX(SRC_Woningetalage!$A$1:$ZZ$501,$A356,W$3)))</f>
        <v/>
      </c>
      <c r="X356" s="124" t="str">
        <f>IF($B356="","",IF(X$3=0,"n.b.",INDEX(SRC_Woningetalage!$A$1:$ZZ$501,$A356,X$3)))</f>
        <v/>
      </c>
      <c r="Y356" s="124" t="str">
        <f>IF($B356="","",IF(Y$3=0,"n.b.",INDEX(SRC_Woningetalage!$A$1:$ZZ$501,$A356,Y$3)))</f>
        <v/>
      </c>
      <c r="Z356" s="124" t="str">
        <f>IF($B356="","",IF(Z$3=0,"n.b.",INDEX(SRC_Woningetalage!$A$1:$ZZ$501,$A356,Z$3)))</f>
        <v/>
      </c>
      <c r="AA356" s="124" t="str">
        <f>IF($B356="","",IF(AA$3=0,"n.b.",INDEX(SRC_Woningetalage!$A$1:$ZZ$501,$A356,AA$3)))</f>
        <v/>
      </c>
      <c r="AB356" s="124" t="str">
        <f>IF($B356="","",IF(AB$3=0,"n.b.",INDEX(SRC_Woningetalage!$A$1:$ZZ$501,$A356,AB$3)))</f>
        <v/>
      </c>
      <c r="AC356" s="124" t="str">
        <f>IF($B356="","",IF(AC$3=0,"n.b.",INDEX(SRC_Woningetalage!$A$1:$ZZ$501,$A356,AC$3)))</f>
        <v/>
      </c>
      <c r="AD356" s="124" t="str">
        <f>IF($B356="","",IF(AD$3=0,"n.b.",INDEX(SRC_Woningetalage!$A$1:$ZZ$501,$A356,AD$3)))</f>
        <v/>
      </c>
      <c r="AE356" s="124" t="str">
        <f>IF($B356="","",IF(AE$3=0,"n.b.",INDEX(SRC_Woningetalage!$A$1:$ZZ$501,$A356,AE$3)))</f>
        <v/>
      </c>
      <c r="AF356" s="124" t="str">
        <f>IF($B356="","",IF(AF$3=0,"n.b.",INDEX(SRC_Woningetalage!$A$1:$ZZ$501,$A356,AF$3)))</f>
        <v/>
      </c>
      <c r="AG356" s="124" t="str">
        <f>IF($B356="","",IF(AG$3=0,"n.b.",INDEX(SRC_Woningetalage!$A$1:$ZZ$501,$A356,AG$3)))</f>
        <v/>
      </c>
      <c r="AH356" s="124" t="str">
        <f>IF($B356="","",IF(AH$3=0,"n.b.",INDEX(SRC_Woningetalage!$A$1:$ZZ$501,$A356,AH$3)))</f>
        <v/>
      </c>
      <c r="AI356" s="124" t="str">
        <f>IF($B356="","",IF(AI$3=0,"n.b.",INDEX(SRC_Woningetalage!$A$1:$ZZ$501,$A356,AI$3)))</f>
        <v/>
      </c>
      <c r="AJ356" s="124" t="str">
        <f>IF($B356="","",IF(AJ$3=0,"n.b.",INDEX(SRC_Woningetalage!$A$1:$ZZ$501,$A356,AJ$3)))</f>
        <v/>
      </c>
      <c r="AK356" s="124" t="str">
        <f>IF($B356="","",IF(AK$3=0,"n.b.",INDEX(SRC_Woningetalage!$A$1:$ZZ$501,$A356,AK$3)))</f>
        <v/>
      </c>
      <c r="AL356" s="124" t="str">
        <f>IF($B356="","",IF(AL$3=0,"n.b.",INDEX(SRC_Woningetalage!$A$1:$ZZ$501,$A356,AL$3)))</f>
        <v/>
      </c>
      <c r="AM356" s="124" t="str">
        <f>IF($B356="","",IF(AM$3=0,"n.b.",INDEX(SRC_Woningetalage!$A$1:$ZZ$501,$A356,AM$3)))</f>
        <v/>
      </c>
      <c r="AN356" s="124" t="str">
        <f>IF($B356="","",IF(AN$3=0,"n.b.",INDEX(SRC_Woningetalage!$A$1:$ZZ$501,$A356,AN$3)))</f>
        <v/>
      </c>
      <c r="AO356" s="124" t="str">
        <f>IF($B356="","",IF(AO$3=0,"n.b.",INDEX(SRC_Woningetalage!$A$1:$ZZ$501,$A356,AO$3)))</f>
        <v/>
      </c>
      <c r="AP356" s="124" t="str">
        <f>IF($B356="","",IF(AP$3=0,"n.b.",INDEX(SRC_Woningetalage!$A$1:$ZZ$501,$A356,AP$3)))</f>
        <v/>
      </c>
      <c r="AQ356" s="124" t="str">
        <f>IF($B356="","",IF(AQ$3=0,"n.b.",INDEX(SRC_Woningetalage!$A$1:$ZZ$501,$A356,AQ$3)))</f>
        <v/>
      </c>
      <c r="AR356" s="124" t="str">
        <f>IF($B356="","",IF(AR$3=0,"n.b.",INDEX(SRC_Woningetalage!$A$1:$ZZ$501,$A356,AR$3)))</f>
        <v/>
      </c>
      <c r="AS356" s="124" t="str">
        <f>IF($B356="","",IF(AS$3=0,"n.b.",INDEX(SRC_Woningetalage!$A$1:$ZZ$501,$A356,AS$3)))</f>
        <v/>
      </c>
      <c r="AT356" s="124" t="str">
        <f>IF($B356="","",IF(AT$3=0,"n.b.",INDEX(SRC_Woningetalage!$A$1:$ZZ$501,$A356,AT$3)))</f>
        <v/>
      </c>
      <c r="AU356" s="124" t="str">
        <f>IF($B356="","",IF(AU$3=0,"n.b.",INDEX(SRC_Woningetalage!$A$1:$ZZ$501,$A356,AU$3)))</f>
        <v/>
      </c>
      <c r="AV356" s="124" t="str">
        <f>IF($B356="","",IF(AV$3=0,"n.b.",INDEX(SRC_Woningetalage!$A$1:$ZZ$501,$A356,AV$3)))</f>
        <v/>
      </c>
      <c r="AW356" s="124" t="str">
        <f>IF($B356="","",IF(AW$3=0,"n.b.",INDEX(SRC_Woningetalage!$A$1:$ZZ$501,$A356,AW$3)))</f>
        <v/>
      </c>
      <c r="AX356" s="124" t="str">
        <f>IF($B356="","",IF(AX$3=0,"n.b.",INDEX(SRC_Woningetalage!$A$1:$ZZ$501,$A356,AX$3)))</f>
        <v/>
      </c>
      <c r="AY356" s="124" t="str">
        <f>IF($B356="","",IF(AY$3=0,"n.b.",INDEX(SRC_Woningetalage!$A$1:$ZZ$501,$A356,AY$3)))</f>
        <v/>
      </c>
      <c r="AZ356" s="124" t="str">
        <f>IF($B356="","",IF(AZ$3=0,"n.b.",INDEX(SRC_Woningetalage!$A$1:$ZZ$501,$A356,AZ$3)))</f>
        <v/>
      </c>
      <c r="BA356" s="124" t="str">
        <f>IF($B356="","",IF(BA$3=0,"n.b.",INDEX(SRC_Woningetalage!$A$1:$ZZ$501,$A356,BA$3)))</f>
        <v/>
      </c>
      <c r="BB356" s="124" t="str">
        <f>IF($B356="","",IF(BB$3=0,"n.b.",INDEX(SRC_Woningetalage!$A$1:$ZZ$501,$A356,BB$3)))</f>
        <v/>
      </c>
      <c r="BC356" s="124" t="str">
        <f>IF($B356="","",IFERROR(_xlfn.NUMBERVALUE(E356&amp;"",",","."),"n.b."))</f>
        <v/>
      </c>
      <c r="BD356" s="124" t="str">
        <f>IF($B356="","",IFERROR(_xlfn.NUMBERVALUE(M356&amp;"",",","."),"n.b."))</f>
        <v/>
      </c>
      <c r="BE356" s="124" t="str">
        <f>IF($B356="","",IFERROR(AB356+AC356+AD356,"n.b."))</f>
        <v/>
      </c>
      <c r="BF356" s="124" t="str">
        <f>IF($B356="","",IFERROR(AE356+AF356+AG356,"n.b."))</f>
        <v/>
      </c>
      <c r="BG356" s="124" t="str">
        <f>IF($B356="","",IFERROR(AH356+AI356+AJ356,"n.b."))</f>
        <v/>
      </c>
      <c r="BH356" s="124" t="str">
        <f>IF($B356="","",IFERROR(AK356+AL356+AM356,"n.b."))</f>
        <v/>
      </c>
      <c r="BI356" s="124" t="str">
        <f>IF($B356="","",IFERROR(SUMIF($AB$5:$AM$5,"&lt;="&amp;P_PeilMaand,AB356:AM356),"n.b."))</f>
        <v/>
      </c>
      <c r="BJ356" s="124" t="str">
        <f>IF($B356="","",IFERROR(SUM(AB356:AM356)-BI356,"n.b."))</f>
        <v/>
      </c>
      <c r="BK356" s="124" t="str">
        <f>IF($B356="","",IFERROR(IF(ABS(Q356-(T356+SUM(AB356:AM356)+AS356+AU356))&gt;P_Tol,1,0),1))</f>
        <v/>
      </c>
      <c r="BL356" s="124" t="str">
        <f>IF($B356="","",IFERROR(IF(ABS(AA356-(Q356-Z356))&gt;P_Tol,1,0),1))</f>
        <v/>
      </c>
      <c r="BM356" s="124" t="str">
        <f>IF($B356="","",IFERROR(IF(ABS(Z356-(T356+W356))&gt;P_Tol,1,0),1))</f>
        <v/>
      </c>
      <c r="BN356" s="124" t="str">
        <f>IF($B356="","",IFERROR(IF(ABS(W356-BI356)&gt;P_Tol,1,0),1))</f>
        <v/>
      </c>
      <c r="BO356" s="124" t="str">
        <f>IF($B356="","",IFERROR(IF(OR(ABS(R356+S356-T356)&gt;P_Tol,ABS(U356+V356-W356)&gt;P_Tol,ABS(X356+Y356-Z356)&gt;P_Tol),1,0),1))</f>
        <v/>
      </c>
      <c r="BP356" s="124" t="str">
        <f>IF($B356="","",IFERROR(IF(OR(ABS(AR356-SUM(AB356:AM356))&gt;P_Tol,ABS(AS356-(AN356+AO356+AP356+AQ356))&gt;P_Tol),1,0),1))</f>
        <v/>
      </c>
      <c r="BQ356" s="124" t="str">
        <f>IF($B356="","",IFERROR(IF(ABS(AT356)+ABS(AV356)+ABS(AW356)+ABS(AX356)+ABS(AY356)+ABS(AZ356)+ABS(BA356)+ABS(BB356)&gt;0,1,0),1))</f>
        <v/>
      </c>
      <c r="BR356" s="124" t="str">
        <f>IF($B356="","",COUNTIF(STG_ZPMW03!$B$6:$B$505,B356))</f>
        <v/>
      </c>
      <c r="BS356" s="124" t="str">
        <f>IF($B356="","",COUNTIF($B$6:$B$505,B356))</f>
        <v/>
      </c>
      <c r="BT356" s="124" t="str">
        <f>IF($B356="","",IF(BR356=0,0,IF(INDEX(STG_ZPMW03!$I$6:$I$505,MATCH(B356,STG_ZPMW03!$B$6:$B$505,0))=J356&amp;"",0,1)))</f>
        <v/>
      </c>
      <c r="BU356" s="124" t="str">
        <f>IF($B356="","",IFERROR(IF(ABS(INDEX(Mapping!$D$5:$D$104,MATCH(B356,Mapping!$A$5:$A$104,0))-Q356)&gt;P_Tol,1,0),0))</f>
        <v/>
      </c>
      <c r="BV356" s="124" t="str">
        <f>IF($B356="","",IFERROR(IF(AND(INDEX(Mapping!$G$5:$G$104,MATCH(B356,Mapping!$A$5:$A$104,0))="Nee",ABS(Q356)+ABS(Z356)+ABS(AR356)&gt;0),1,0),0))</f>
        <v/>
      </c>
      <c r="BW356" s="124" t="str">
        <f>IF($B356="","",IF(COUNTIF(Mapping!$A$5:$A$104,B356)&gt;0,1,0))</f>
        <v/>
      </c>
      <c r="BX356" s="124" t="str">
        <f>IF($B356="","",IF(BR356=0,COUNTIF($BR$6:BR356,0),""))</f>
        <v/>
      </c>
    </row>
    <row r="357">
      <c r="A357" s="15" t="n">
        <v>353</v>
      </c>
      <c r="B357" t="str">
        <f>IF(B$3=0,"",IF(INDEX(SRC_Woningetalage!$A$1:$ZZ$501,$A357,B$3)&amp;""="","",INDEX(SRC_Woningetalage!$A$1:$ZZ$501,$A357,B$3)&amp;""))</f>
        <v/>
      </c>
      <c r="C357" t="str">
        <f>IF($B357="","",IF(C$3=0,"n.b.",INDEX(SRC_Woningetalage!$A$1:$ZZ$501,$A357,C$3)))</f>
        <v/>
      </c>
      <c r="D357" t="str">
        <f>IF($B357="","",IF(D$3=0,"n.b.",INDEX(SRC_Woningetalage!$A$1:$ZZ$501,$A357,D$3)))</f>
        <v/>
      </c>
      <c r="E357" t="str">
        <f>IF($B357="","",IF(E$3=0,"n.b.",INDEX(SRC_Woningetalage!$A$1:$ZZ$501,$A357,E$3)))</f>
        <v/>
      </c>
      <c r="F357" t="str">
        <f>IF($B357="","",IF(F$3=0,"n.b.",INDEX(SRC_Woningetalage!$A$1:$ZZ$501,$A357,F$3)))</f>
        <v/>
      </c>
      <c r="G357" t="str">
        <f>IF($B357="","",IF(G$3=0,"n.b.",INDEX(SRC_Woningetalage!$A$1:$ZZ$501,$A357,G$3)))</f>
        <v/>
      </c>
      <c r="H357" t="str">
        <f>IF($B357="","",IF(H$3=0,"n.b.",INDEX(SRC_Woningetalage!$A$1:$ZZ$501,$A357,H$3)))</f>
        <v/>
      </c>
      <c r="I357" t="str">
        <f>IF($B357="","",IF(I$3=0,"n.b.",INDEX(SRC_Woningetalage!$A$1:$ZZ$501,$A357,I$3)))</f>
        <v/>
      </c>
      <c r="J357" t="str">
        <f>IF($B357="","",IF(J$3=0,"n.b.",INDEX(SRC_Woningetalage!$A$1:$ZZ$501,$A357,J$3)))</f>
        <v/>
      </c>
      <c r="K357" t="str">
        <f>IF($B357="","",IF(K$3=0,"n.b.",INDEX(SRC_Woningetalage!$A$1:$ZZ$501,$A357,K$3)))</f>
        <v/>
      </c>
      <c r="L357" t="str">
        <f>IF($B357="","",IF(L$3=0,"n.b.",INDEX(SRC_Woningetalage!$A$1:$ZZ$501,$A357,L$3)))</f>
        <v/>
      </c>
      <c r="M357" t="str">
        <f>IF($B357="","",IF(M$3=0,"n.b.",INDEX(SRC_Woningetalage!$A$1:$ZZ$501,$A357,M$3)))</f>
        <v/>
      </c>
      <c r="N357" t="str">
        <f>IF($B357="","",IF(N$3=0,"n.b.",INDEX(SRC_Woningetalage!$A$1:$ZZ$501,$A357,N$3)))</f>
        <v/>
      </c>
      <c r="O357" t="str">
        <f>IF($B357="","",IF(O$3=0,"n.b.",INDEX(SRC_Woningetalage!$A$1:$ZZ$501,$A357,O$3)))</f>
        <v/>
      </c>
      <c r="P357" t="str">
        <f>IF($B357="","",IF(P$3=0,"n.b.",INDEX(SRC_Woningetalage!$A$1:$ZZ$501,$A357,P$3)))</f>
        <v/>
      </c>
      <c r="Q357" s="124" t="str">
        <f>IF($B357="","",IF(Q$3=0,"n.b.",INDEX(SRC_Woningetalage!$A$1:$ZZ$501,$A357,Q$3)))</f>
        <v/>
      </c>
      <c r="R357" s="124" t="str">
        <f>IF($B357="","",IF(R$3=0,"n.b.",INDEX(SRC_Woningetalage!$A$1:$ZZ$501,$A357,R$3)))</f>
        <v/>
      </c>
      <c r="S357" s="124" t="str">
        <f>IF($B357="","",IF(S$3=0,"n.b.",INDEX(SRC_Woningetalage!$A$1:$ZZ$501,$A357,S$3)))</f>
        <v/>
      </c>
      <c r="T357" s="124" t="str">
        <f>IF($B357="","",IF(T$3=0,"n.b.",INDEX(SRC_Woningetalage!$A$1:$ZZ$501,$A357,T$3)))</f>
        <v/>
      </c>
      <c r="U357" s="124" t="str">
        <f>IF($B357="","",IF(U$3=0,"n.b.",INDEX(SRC_Woningetalage!$A$1:$ZZ$501,$A357,U$3)))</f>
        <v/>
      </c>
      <c r="V357" s="124" t="str">
        <f>IF($B357="","",IF(V$3=0,"n.b.",INDEX(SRC_Woningetalage!$A$1:$ZZ$501,$A357,V$3)))</f>
        <v/>
      </c>
      <c r="W357" s="124" t="str">
        <f>IF($B357="","",IF(W$3=0,"n.b.",INDEX(SRC_Woningetalage!$A$1:$ZZ$501,$A357,W$3)))</f>
        <v/>
      </c>
      <c r="X357" s="124" t="str">
        <f>IF($B357="","",IF(X$3=0,"n.b.",INDEX(SRC_Woningetalage!$A$1:$ZZ$501,$A357,X$3)))</f>
        <v/>
      </c>
      <c r="Y357" s="124" t="str">
        <f>IF($B357="","",IF(Y$3=0,"n.b.",INDEX(SRC_Woningetalage!$A$1:$ZZ$501,$A357,Y$3)))</f>
        <v/>
      </c>
      <c r="Z357" s="124" t="str">
        <f>IF($B357="","",IF(Z$3=0,"n.b.",INDEX(SRC_Woningetalage!$A$1:$ZZ$501,$A357,Z$3)))</f>
        <v/>
      </c>
      <c r="AA357" s="124" t="str">
        <f>IF($B357="","",IF(AA$3=0,"n.b.",INDEX(SRC_Woningetalage!$A$1:$ZZ$501,$A357,AA$3)))</f>
        <v/>
      </c>
      <c r="AB357" s="124" t="str">
        <f>IF($B357="","",IF(AB$3=0,"n.b.",INDEX(SRC_Woningetalage!$A$1:$ZZ$501,$A357,AB$3)))</f>
        <v/>
      </c>
      <c r="AC357" s="124" t="str">
        <f>IF($B357="","",IF(AC$3=0,"n.b.",INDEX(SRC_Woningetalage!$A$1:$ZZ$501,$A357,AC$3)))</f>
        <v/>
      </c>
      <c r="AD357" s="124" t="str">
        <f>IF($B357="","",IF(AD$3=0,"n.b.",INDEX(SRC_Woningetalage!$A$1:$ZZ$501,$A357,AD$3)))</f>
        <v/>
      </c>
      <c r="AE357" s="124" t="str">
        <f>IF($B357="","",IF(AE$3=0,"n.b.",INDEX(SRC_Woningetalage!$A$1:$ZZ$501,$A357,AE$3)))</f>
        <v/>
      </c>
      <c r="AF357" s="124" t="str">
        <f>IF($B357="","",IF(AF$3=0,"n.b.",INDEX(SRC_Woningetalage!$A$1:$ZZ$501,$A357,AF$3)))</f>
        <v/>
      </c>
      <c r="AG357" s="124" t="str">
        <f>IF($B357="","",IF(AG$3=0,"n.b.",INDEX(SRC_Woningetalage!$A$1:$ZZ$501,$A357,AG$3)))</f>
        <v/>
      </c>
      <c r="AH357" s="124" t="str">
        <f>IF($B357="","",IF(AH$3=0,"n.b.",INDEX(SRC_Woningetalage!$A$1:$ZZ$501,$A357,AH$3)))</f>
        <v/>
      </c>
      <c r="AI357" s="124" t="str">
        <f>IF($B357="","",IF(AI$3=0,"n.b.",INDEX(SRC_Woningetalage!$A$1:$ZZ$501,$A357,AI$3)))</f>
        <v/>
      </c>
      <c r="AJ357" s="124" t="str">
        <f>IF($B357="","",IF(AJ$3=0,"n.b.",INDEX(SRC_Woningetalage!$A$1:$ZZ$501,$A357,AJ$3)))</f>
        <v/>
      </c>
      <c r="AK357" s="124" t="str">
        <f>IF($B357="","",IF(AK$3=0,"n.b.",INDEX(SRC_Woningetalage!$A$1:$ZZ$501,$A357,AK$3)))</f>
        <v/>
      </c>
      <c r="AL357" s="124" t="str">
        <f>IF($B357="","",IF(AL$3=0,"n.b.",INDEX(SRC_Woningetalage!$A$1:$ZZ$501,$A357,AL$3)))</f>
        <v/>
      </c>
      <c r="AM357" s="124" t="str">
        <f>IF($B357="","",IF(AM$3=0,"n.b.",INDEX(SRC_Woningetalage!$A$1:$ZZ$501,$A357,AM$3)))</f>
        <v/>
      </c>
      <c r="AN357" s="124" t="str">
        <f>IF($B357="","",IF(AN$3=0,"n.b.",INDEX(SRC_Woningetalage!$A$1:$ZZ$501,$A357,AN$3)))</f>
        <v/>
      </c>
      <c r="AO357" s="124" t="str">
        <f>IF($B357="","",IF(AO$3=0,"n.b.",INDEX(SRC_Woningetalage!$A$1:$ZZ$501,$A357,AO$3)))</f>
        <v/>
      </c>
      <c r="AP357" s="124" t="str">
        <f>IF($B357="","",IF(AP$3=0,"n.b.",INDEX(SRC_Woningetalage!$A$1:$ZZ$501,$A357,AP$3)))</f>
        <v/>
      </c>
      <c r="AQ357" s="124" t="str">
        <f>IF($B357="","",IF(AQ$3=0,"n.b.",INDEX(SRC_Woningetalage!$A$1:$ZZ$501,$A357,AQ$3)))</f>
        <v/>
      </c>
      <c r="AR357" s="124" t="str">
        <f>IF($B357="","",IF(AR$3=0,"n.b.",INDEX(SRC_Woningetalage!$A$1:$ZZ$501,$A357,AR$3)))</f>
        <v/>
      </c>
      <c r="AS357" s="124" t="str">
        <f>IF($B357="","",IF(AS$3=0,"n.b.",INDEX(SRC_Woningetalage!$A$1:$ZZ$501,$A357,AS$3)))</f>
        <v/>
      </c>
      <c r="AT357" s="124" t="str">
        <f>IF($B357="","",IF(AT$3=0,"n.b.",INDEX(SRC_Woningetalage!$A$1:$ZZ$501,$A357,AT$3)))</f>
        <v/>
      </c>
      <c r="AU357" s="124" t="str">
        <f>IF($B357="","",IF(AU$3=0,"n.b.",INDEX(SRC_Woningetalage!$A$1:$ZZ$501,$A357,AU$3)))</f>
        <v/>
      </c>
      <c r="AV357" s="124" t="str">
        <f>IF($B357="","",IF(AV$3=0,"n.b.",INDEX(SRC_Woningetalage!$A$1:$ZZ$501,$A357,AV$3)))</f>
        <v/>
      </c>
      <c r="AW357" s="124" t="str">
        <f>IF($B357="","",IF(AW$3=0,"n.b.",INDEX(SRC_Woningetalage!$A$1:$ZZ$501,$A357,AW$3)))</f>
        <v/>
      </c>
      <c r="AX357" s="124" t="str">
        <f>IF($B357="","",IF(AX$3=0,"n.b.",INDEX(SRC_Woningetalage!$A$1:$ZZ$501,$A357,AX$3)))</f>
        <v/>
      </c>
      <c r="AY357" s="124" t="str">
        <f>IF($B357="","",IF(AY$3=0,"n.b.",INDEX(SRC_Woningetalage!$A$1:$ZZ$501,$A357,AY$3)))</f>
        <v/>
      </c>
      <c r="AZ357" s="124" t="str">
        <f>IF($B357="","",IF(AZ$3=0,"n.b.",INDEX(SRC_Woningetalage!$A$1:$ZZ$501,$A357,AZ$3)))</f>
        <v/>
      </c>
      <c r="BA357" s="124" t="str">
        <f>IF($B357="","",IF(BA$3=0,"n.b.",INDEX(SRC_Woningetalage!$A$1:$ZZ$501,$A357,BA$3)))</f>
        <v/>
      </c>
      <c r="BB357" s="124" t="str">
        <f>IF($B357="","",IF(BB$3=0,"n.b.",INDEX(SRC_Woningetalage!$A$1:$ZZ$501,$A357,BB$3)))</f>
        <v/>
      </c>
      <c r="BC357" s="124" t="str">
        <f>IF($B357="","",IFERROR(_xlfn.NUMBERVALUE(E357&amp;"",",","."),"n.b."))</f>
        <v/>
      </c>
      <c r="BD357" s="124" t="str">
        <f>IF($B357="","",IFERROR(_xlfn.NUMBERVALUE(M357&amp;"",",","."),"n.b."))</f>
        <v/>
      </c>
      <c r="BE357" s="124" t="str">
        <f>IF($B357="","",IFERROR(AB357+AC357+AD357,"n.b."))</f>
        <v/>
      </c>
      <c r="BF357" s="124" t="str">
        <f>IF($B357="","",IFERROR(AE357+AF357+AG357,"n.b."))</f>
        <v/>
      </c>
      <c r="BG357" s="124" t="str">
        <f>IF($B357="","",IFERROR(AH357+AI357+AJ357,"n.b."))</f>
        <v/>
      </c>
      <c r="BH357" s="124" t="str">
        <f>IF($B357="","",IFERROR(AK357+AL357+AM357,"n.b."))</f>
        <v/>
      </c>
      <c r="BI357" s="124" t="str">
        <f>IF($B357="","",IFERROR(SUMIF($AB$5:$AM$5,"&lt;="&amp;P_PeilMaand,AB357:AM357),"n.b."))</f>
        <v/>
      </c>
      <c r="BJ357" s="124" t="str">
        <f>IF($B357="","",IFERROR(SUM(AB357:AM357)-BI357,"n.b."))</f>
        <v/>
      </c>
      <c r="BK357" s="124" t="str">
        <f>IF($B357="","",IFERROR(IF(ABS(Q357-(T357+SUM(AB357:AM357)+AS357+AU357))&gt;P_Tol,1,0),1))</f>
        <v/>
      </c>
      <c r="BL357" s="124" t="str">
        <f>IF($B357="","",IFERROR(IF(ABS(AA357-(Q357-Z357))&gt;P_Tol,1,0),1))</f>
        <v/>
      </c>
      <c r="BM357" s="124" t="str">
        <f>IF($B357="","",IFERROR(IF(ABS(Z357-(T357+W357))&gt;P_Tol,1,0),1))</f>
        <v/>
      </c>
      <c r="BN357" s="124" t="str">
        <f>IF($B357="","",IFERROR(IF(ABS(W357-BI357)&gt;P_Tol,1,0),1))</f>
        <v/>
      </c>
      <c r="BO357" s="124" t="str">
        <f>IF($B357="","",IFERROR(IF(OR(ABS(R357+S357-T357)&gt;P_Tol,ABS(U357+V357-W357)&gt;P_Tol,ABS(X357+Y357-Z357)&gt;P_Tol),1,0),1))</f>
        <v/>
      </c>
      <c r="BP357" s="124" t="str">
        <f>IF($B357="","",IFERROR(IF(OR(ABS(AR357-SUM(AB357:AM357))&gt;P_Tol,ABS(AS357-(AN357+AO357+AP357+AQ357))&gt;P_Tol),1,0),1))</f>
        <v/>
      </c>
      <c r="BQ357" s="124" t="str">
        <f>IF($B357="","",IFERROR(IF(ABS(AT357)+ABS(AV357)+ABS(AW357)+ABS(AX357)+ABS(AY357)+ABS(AZ357)+ABS(BA357)+ABS(BB357)&gt;0,1,0),1))</f>
        <v/>
      </c>
      <c r="BR357" s="124" t="str">
        <f>IF($B357="","",COUNTIF(STG_ZPMW03!$B$6:$B$505,B357))</f>
        <v/>
      </c>
      <c r="BS357" s="124" t="str">
        <f>IF($B357="","",COUNTIF($B$6:$B$505,B357))</f>
        <v/>
      </c>
      <c r="BT357" s="124" t="str">
        <f>IF($B357="","",IF(BR357=0,0,IF(INDEX(STG_ZPMW03!$I$6:$I$505,MATCH(B357,STG_ZPMW03!$B$6:$B$505,0))=J357&amp;"",0,1)))</f>
        <v/>
      </c>
      <c r="BU357" s="124" t="str">
        <f>IF($B357="","",IFERROR(IF(ABS(INDEX(Mapping!$D$5:$D$104,MATCH(B357,Mapping!$A$5:$A$104,0))-Q357)&gt;P_Tol,1,0),0))</f>
        <v/>
      </c>
      <c r="BV357" s="124" t="str">
        <f>IF($B357="","",IFERROR(IF(AND(INDEX(Mapping!$G$5:$G$104,MATCH(B357,Mapping!$A$5:$A$104,0))="Nee",ABS(Q357)+ABS(Z357)+ABS(AR357)&gt;0),1,0),0))</f>
        <v/>
      </c>
      <c r="BW357" s="124" t="str">
        <f>IF($B357="","",IF(COUNTIF(Mapping!$A$5:$A$104,B357)&gt;0,1,0))</f>
        <v/>
      </c>
      <c r="BX357" s="124" t="str">
        <f>IF($B357="","",IF(BR357=0,COUNTIF($BR$6:BR357,0),""))</f>
        <v/>
      </c>
    </row>
    <row r="358">
      <c r="A358" s="15" t="n">
        <v>354</v>
      </c>
      <c r="B358" t="str">
        <f>IF(B$3=0,"",IF(INDEX(SRC_Woningetalage!$A$1:$ZZ$501,$A358,B$3)&amp;""="","",INDEX(SRC_Woningetalage!$A$1:$ZZ$501,$A358,B$3)&amp;""))</f>
        <v/>
      </c>
      <c r="C358" t="str">
        <f>IF($B358="","",IF(C$3=0,"n.b.",INDEX(SRC_Woningetalage!$A$1:$ZZ$501,$A358,C$3)))</f>
        <v/>
      </c>
      <c r="D358" t="str">
        <f>IF($B358="","",IF(D$3=0,"n.b.",INDEX(SRC_Woningetalage!$A$1:$ZZ$501,$A358,D$3)))</f>
        <v/>
      </c>
      <c r="E358" t="str">
        <f>IF($B358="","",IF(E$3=0,"n.b.",INDEX(SRC_Woningetalage!$A$1:$ZZ$501,$A358,E$3)))</f>
        <v/>
      </c>
      <c r="F358" t="str">
        <f>IF($B358="","",IF(F$3=0,"n.b.",INDEX(SRC_Woningetalage!$A$1:$ZZ$501,$A358,F$3)))</f>
        <v/>
      </c>
      <c r="G358" t="str">
        <f>IF($B358="","",IF(G$3=0,"n.b.",INDEX(SRC_Woningetalage!$A$1:$ZZ$501,$A358,G$3)))</f>
        <v/>
      </c>
      <c r="H358" t="str">
        <f>IF($B358="","",IF(H$3=0,"n.b.",INDEX(SRC_Woningetalage!$A$1:$ZZ$501,$A358,H$3)))</f>
        <v/>
      </c>
      <c r="I358" t="str">
        <f>IF($B358="","",IF(I$3=0,"n.b.",INDEX(SRC_Woningetalage!$A$1:$ZZ$501,$A358,I$3)))</f>
        <v/>
      </c>
      <c r="J358" t="str">
        <f>IF($B358="","",IF(J$3=0,"n.b.",INDEX(SRC_Woningetalage!$A$1:$ZZ$501,$A358,J$3)))</f>
        <v/>
      </c>
      <c r="K358" t="str">
        <f>IF($B358="","",IF(K$3=0,"n.b.",INDEX(SRC_Woningetalage!$A$1:$ZZ$501,$A358,K$3)))</f>
        <v/>
      </c>
      <c r="L358" t="str">
        <f>IF($B358="","",IF(L$3=0,"n.b.",INDEX(SRC_Woningetalage!$A$1:$ZZ$501,$A358,L$3)))</f>
        <v/>
      </c>
      <c r="M358" t="str">
        <f>IF($B358="","",IF(M$3=0,"n.b.",INDEX(SRC_Woningetalage!$A$1:$ZZ$501,$A358,M$3)))</f>
        <v/>
      </c>
      <c r="N358" t="str">
        <f>IF($B358="","",IF(N$3=0,"n.b.",INDEX(SRC_Woningetalage!$A$1:$ZZ$501,$A358,N$3)))</f>
        <v/>
      </c>
      <c r="O358" t="str">
        <f>IF($B358="","",IF(O$3=0,"n.b.",INDEX(SRC_Woningetalage!$A$1:$ZZ$501,$A358,O$3)))</f>
        <v/>
      </c>
      <c r="P358" t="str">
        <f>IF($B358="","",IF(P$3=0,"n.b.",INDEX(SRC_Woningetalage!$A$1:$ZZ$501,$A358,P$3)))</f>
        <v/>
      </c>
      <c r="Q358" s="124" t="str">
        <f>IF($B358="","",IF(Q$3=0,"n.b.",INDEX(SRC_Woningetalage!$A$1:$ZZ$501,$A358,Q$3)))</f>
        <v/>
      </c>
      <c r="R358" s="124" t="str">
        <f>IF($B358="","",IF(R$3=0,"n.b.",INDEX(SRC_Woningetalage!$A$1:$ZZ$501,$A358,R$3)))</f>
        <v/>
      </c>
      <c r="S358" s="124" t="str">
        <f>IF($B358="","",IF(S$3=0,"n.b.",INDEX(SRC_Woningetalage!$A$1:$ZZ$501,$A358,S$3)))</f>
        <v/>
      </c>
      <c r="T358" s="124" t="str">
        <f>IF($B358="","",IF(T$3=0,"n.b.",INDEX(SRC_Woningetalage!$A$1:$ZZ$501,$A358,T$3)))</f>
        <v/>
      </c>
      <c r="U358" s="124" t="str">
        <f>IF($B358="","",IF(U$3=0,"n.b.",INDEX(SRC_Woningetalage!$A$1:$ZZ$501,$A358,U$3)))</f>
        <v/>
      </c>
      <c r="V358" s="124" t="str">
        <f>IF($B358="","",IF(V$3=0,"n.b.",INDEX(SRC_Woningetalage!$A$1:$ZZ$501,$A358,V$3)))</f>
        <v/>
      </c>
      <c r="W358" s="124" t="str">
        <f>IF($B358="","",IF(W$3=0,"n.b.",INDEX(SRC_Woningetalage!$A$1:$ZZ$501,$A358,W$3)))</f>
        <v/>
      </c>
      <c r="X358" s="124" t="str">
        <f>IF($B358="","",IF(X$3=0,"n.b.",INDEX(SRC_Woningetalage!$A$1:$ZZ$501,$A358,X$3)))</f>
        <v/>
      </c>
      <c r="Y358" s="124" t="str">
        <f>IF($B358="","",IF(Y$3=0,"n.b.",INDEX(SRC_Woningetalage!$A$1:$ZZ$501,$A358,Y$3)))</f>
        <v/>
      </c>
      <c r="Z358" s="124" t="str">
        <f>IF($B358="","",IF(Z$3=0,"n.b.",INDEX(SRC_Woningetalage!$A$1:$ZZ$501,$A358,Z$3)))</f>
        <v/>
      </c>
      <c r="AA358" s="124" t="str">
        <f>IF($B358="","",IF(AA$3=0,"n.b.",INDEX(SRC_Woningetalage!$A$1:$ZZ$501,$A358,AA$3)))</f>
        <v/>
      </c>
      <c r="AB358" s="124" t="str">
        <f>IF($B358="","",IF(AB$3=0,"n.b.",INDEX(SRC_Woningetalage!$A$1:$ZZ$501,$A358,AB$3)))</f>
        <v/>
      </c>
      <c r="AC358" s="124" t="str">
        <f>IF($B358="","",IF(AC$3=0,"n.b.",INDEX(SRC_Woningetalage!$A$1:$ZZ$501,$A358,AC$3)))</f>
        <v/>
      </c>
      <c r="AD358" s="124" t="str">
        <f>IF($B358="","",IF(AD$3=0,"n.b.",INDEX(SRC_Woningetalage!$A$1:$ZZ$501,$A358,AD$3)))</f>
        <v/>
      </c>
      <c r="AE358" s="124" t="str">
        <f>IF($B358="","",IF(AE$3=0,"n.b.",INDEX(SRC_Woningetalage!$A$1:$ZZ$501,$A358,AE$3)))</f>
        <v/>
      </c>
      <c r="AF358" s="124" t="str">
        <f>IF($B358="","",IF(AF$3=0,"n.b.",INDEX(SRC_Woningetalage!$A$1:$ZZ$501,$A358,AF$3)))</f>
        <v/>
      </c>
      <c r="AG358" s="124" t="str">
        <f>IF($B358="","",IF(AG$3=0,"n.b.",INDEX(SRC_Woningetalage!$A$1:$ZZ$501,$A358,AG$3)))</f>
        <v/>
      </c>
      <c r="AH358" s="124" t="str">
        <f>IF($B358="","",IF(AH$3=0,"n.b.",INDEX(SRC_Woningetalage!$A$1:$ZZ$501,$A358,AH$3)))</f>
        <v/>
      </c>
      <c r="AI358" s="124" t="str">
        <f>IF($B358="","",IF(AI$3=0,"n.b.",INDEX(SRC_Woningetalage!$A$1:$ZZ$501,$A358,AI$3)))</f>
        <v/>
      </c>
      <c r="AJ358" s="124" t="str">
        <f>IF($B358="","",IF(AJ$3=0,"n.b.",INDEX(SRC_Woningetalage!$A$1:$ZZ$501,$A358,AJ$3)))</f>
        <v/>
      </c>
      <c r="AK358" s="124" t="str">
        <f>IF($B358="","",IF(AK$3=0,"n.b.",INDEX(SRC_Woningetalage!$A$1:$ZZ$501,$A358,AK$3)))</f>
        <v/>
      </c>
      <c r="AL358" s="124" t="str">
        <f>IF($B358="","",IF(AL$3=0,"n.b.",INDEX(SRC_Woningetalage!$A$1:$ZZ$501,$A358,AL$3)))</f>
        <v/>
      </c>
      <c r="AM358" s="124" t="str">
        <f>IF($B358="","",IF(AM$3=0,"n.b.",INDEX(SRC_Woningetalage!$A$1:$ZZ$501,$A358,AM$3)))</f>
        <v/>
      </c>
      <c r="AN358" s="124" t="str">
        <f>IF($B358="","",IF(AN$3=0,"n.b.",INDEX(SRC_Woningetalage!$A$1:$ZZ$501,$A358,AN$3)))</f>
        <v/>
      </c>
      <c r="AO358" s="124" t="str">
        <f>IF($B358="","",IF(AO$3=0,"n.b.",INDEX(SRC_Woningetalage!$A$1:$ZZ$501,$A358,AO$3)))</f>
        <v/>
      </c>
      <c r="AP358" s="124" t="str">
        <f>IF($B358="","",IF(AP$3=0,"n.b.",INDEX(SRC_Woningetalage!$A$1:$ZZ$501,$A358,AP$3)))</f>
        <v/>
      </c>
      <c r="AQ358" s="124" t="str">
        <f>IF($B358="","",IF(AQ$3=0,"n.b.",INDEX(SRC_Woningetalage!$A$1:$ZZ$501,$A358,AQ$3)))</f>
        <v/>
      </c>
      <c r="AR358" s="124" t="str">
        <f>IF($B358="","",IF(AR$3=0,"n.b.",INDEX(SRC_Woningetalage!$A$1:$ZZ$501,$A358,AR$3)))</f>
        <v/>
      </c>
      <c r="AS358" s="124" t="str">
        <f>IF($B358="","",IF(AS$3=0,"n.b.",INDEX(SRC_Woningetalage!$A$1:$ZZ$501,$A358,AS$3)))</f>
        <v/>
      </c>
      <c r="AT358" s="124" t="str">
        <f>IF($B358="","",IF(AT$3=0,"n.b.",INDEX(SRC_Woningetalage!$A$1:$ZZ$501,$A358,AT$3)))</f>
        <v/>
      </c>
      <c r="AU358" s="124" t="str">
        <f>IF($B358="","",IF(AU$3=0,"n.b.",INDEX(SRC_Woningetalage!$A$1:$ZZ$501,$A358,AU$3)))</f>
        <v/>
      </c>
      <c r="AV358" s="124" t="str">
        <f>IF($B358="","",IF(AV$3=0,"n.b.",INDEX(SRC_Woningetalage!$A$1:$ZZ$501,$A358,AV$3)))</f>
        <v/>
      </c>
      <c r="AW358" s="124" t="str">
        <f>IF($B358="","",IF(AW$3=0,"n.b.",INDEX(SRC_Woningetalage!$A$1:$ZZ$501,$A358,AW$3)))</f>
        <v/>
      </c>
      <c r="AX358" s="124" t="str">
        <f>IF($B358="","",IF(AX$3=0,"n.b.",INDEX(SRC_Woningetalage!$A$1:$ZZ$501,$A358,AX$3)))</f>
        <v/>
      </c>
      <c r="AY358" s="124" t="str">
        <f>IF($B358="","",IF(AY$3=0,"n.b.",INDEX(SRC_Woningetalage!$A$1:$ZZ$501,$A358,AY$3)))</f>
        <v/>
      </c>
      <c r="AZ358" s="124" t="str">
        <f>IF($B358="","",IF(AZ$3=0,"n.b.",INDEX(SRC_Woningetalage!$A$1:$ZZ$501,$A358,AZ$3)))</f>
        <v/>
      </c>
      <c r="BA358" s="124" t="str">
        <f>IF($B358="","",IF(BA$3=0,"n.b.",INDEX(SRC_Woningetalage!$A$1:$ZZ$501,$A358,BA$3)))</f>
        <v/>
      </c>
      <c r="BB358" s="124" t="str">
        <f>IF($B358="","",IF(BB$3=0,"n.b.",INDEX(SRC_Woningetalage!$A$1:$ZZ$501,$A358,BB$3)))</f>
        <v/>
      </c>
      <c r="BC358" s="124" t="str">
        <f>IF($B358="","",IFERROR(_xlfn.NUMBERVALUE(E358&amp;"",",","."),"n.b."))</f>
        <v/>
      </c>
      <c r="BD358" s="124" t="str">
        <f>IF($B358="","",IFERROR(_xlfn.NUMBERVALUE(M358&amp;"",",","."),"n.b."))</f>
        <v/>
      </c>
      <c r="BE358" s="124" t="str">
        <f>IF($B358="","",IFERROR(AB358+AC358+AD358,"n.b."))</f>
        <v/>
      </c>
      <c r="BF358" s="124" t="str">
        <f>IF($B358="","",IFERROR(AE358+AF358+AG358,"n.b."))</f>
        <v/>
      </c>
      <c r="BG358" s="124" t="str">
        <f>IF($B358="","",IFERROR(AH358+AI358+AJ358,"n.b."))</f>
        <v/>
      </c>
      <c r="BH358" s="124" t="str">
        <f>IF($B358="","",IFERROR(AK358+AL358+AM358,"n.b."))</f>
        <v/>
      </c>
      <c r="BI358" s="124" t="str">
        <f>IF($B358="","",IFERROR(SUMIF($AB$5:$AM$5,"&lt;="&amp;P_PeilMaand,AB358:AM358),"n.b."))</f>
        <v/>
      </c>
      <c r="BJ358" s="124" t="str">
        <f>IF($B358="","",IFERROR(SUM(AB358:AM358)-BI358,"n.b."))</f>
        <v/>
      </c>
      <c r="BK358" s="124" t="str">
        <f>IF($B358="","",IFERROR(IF(ABS(Q358-(T358+SUM(AB358:AM358)+AS358+AU358))&gt;P_Tol,1,0),1))</f>
        <v/>
      </c>
      <c r="BL358" s="124" t="str">
        <f>IF($B358="","",IFERROR(IF(ABS(AA358-(Q358-Z358))&gt;P_Tol,1,0),1))</f>
        <v/>
      </c>
      <c r="BM358" s="124" t="str">
        <f>IF($B358="","",IFERROR(IF(ABS(Z358-(T358+W358))&gt;P_Tol,1,0),1))</f>
        <v/>
      </c>
      <c r="BN358" s="124" t="str">
        <f>IF($B358="","",IFERROR(IF(ABS(W358-BI358)&gt;P_Tol,1,0),1))</f>
        <v/>
      </c>
      <c r="BO358" s="124" t="str">
        <f>IF($B358="","",IFERROR(IF(OR(ABS(R358+S358-T358)&gt;P_Tol,ABS(U358+V358-W358)&gt;P_Tol,ABS(X358+Y358-Z358)&gt;P_Tol),1,0),1))</f>
        <v/>
      </c>
      <c r="BP358" s="124" t="str">
        <f>IF($B358="","",IFERROR(IF(OR(ABS(AR358-SUM(AB358:AM358))&gt;P_Tol,ABS(AS358-(AN358+AO358+AP358+AQ358))&gt;P_Tol),1,0),1))</f>
        <v/>
      </c>
      <c r="BQ358" s="124" t="str">
        <f>IF($B358="","",IFERROR(IF(ABS(AT358)+ABS(AV358)+ABS(AW358)+ABS(AX358)+ABS(AY358)+ABS(AZ358)+ABS(BA358)+ABS(BB358)&gt;0,1,0),1))</f>
        <v/>
      </c>
      <c r="BR358" s="124" t="str">
        <f>IF($B358="","",COUNTIF(STG_ZPMW03!$B$6:$B$505,B358))</f>
        <v/>
      </c>
      <c r="BS358" s="124" t="str">
        <f>IF($B358="","",COUNTIF($B$6:$B$505,B358))</f>
        <v/>
      </c>
      <c r="BT358" s="124" t="str">
        <f>IF($B358="","",IF(BR358=0,0,IF(INDEX(STG_ZPMW03!$I$6:$I$505,MATCH(B358,STG_ZPMW03!$B$6:$B$505,0))=J358&amp;"",0,1)))</f>
        <v/>
      </c>
      <c r="BU358" s="124" t="str">
        <f>IF($B358="","",IFERROR(IF(ABS(INDEX(Mapping!$D$5:$D$104,MATCH(B358,Mapping!$A$5:$A$104,0))-Q358)&gt;P_Tol,1,0),0))</f>
        <v/>
      </c>
      <c r="BV358" s="124" t="str">
        <f>IF($B358="","",IFERROR(IF(AND(INDEX(Mapping!$G$5:$G$104,MATCH(B358,Mapping!$A$5:$A$104,0))="Nee",ABS(Q358)+ABS(Z358)+ABS(AR358)&gt;0),1,0),0))</f>
        <v/>
      </c>
      <c r="BW358" s="124" t="str">
        <f>IF($B358="","",IF(COUNTIF(Mapping!$A$5:$A$104,B358)&gt;0,1,0))</f>
        <v/>
      </c>
      <c r="BX358" s="124" t="str">
        <f>IF($B358="","",IF(BR358=0,COUNTIF($BR$6:BR358,0),""))</f>
        <v/>
      </c>
    </row>
    <row r="359">
      <c r="A359" s="15" t="n">
        <v>355</v>
      </c>
      <c r="B359" t="str">
        <f>IF(B$3=0,"",IF(INDEX(SRC_Woningetalage!$A$1:$ZZ$501,$A359,B$3)&amp;""="","",INDEX(SRC_Woningetalage!$A$1:$ZZ$501,$A359,B$3)&amp;""))</f>
        <v/>
      </c>
      <c r="C359" t="str">
        <f>IF($B359="","",IF(C$3=0,"n.b.",INDEX(SRC_Woningetalage!$A$1:$ZZ$501,$A359,C$3)))</f>
        <v/>
      </c>
      <c r="D359" t="str">
        <f>IF($B359="","",IF(D$3=0,"n.b.",INDEX(SRC_Woningetalage!$A$1:$ZZ$501,$A359,D$3)))</f>
        <v/>
      </c>
      <c r="E359" t="str">
        <f>IF($B359="","",IF(E$3=0,"n.b.",INDEX(SRC_Woningetalage!$A$1:$ZZ$501,$A359,E$3)))</f>
        <v/>
      </c>
      <c r="F359" t="str">
        <f>IF($B359="","",IF(F$3=0,"n.b.",INDEX(SRC_Woningetalage!$A$1:$ZZ$501,$A359,F$3)))</f>
        <v/>
      </c>
      <c r="G359" t="str">
        <f>IF($B359="","",IF(G$3=0,"n.b.",INDEX(SRC_Woningetalage!$A$1:$ZZ$501,$A359,G$3)))</f>
        <v/>
      </c>
      <c r="H359" t="str">
        <f>IF($B359="","",IF(H$3=0,"n.b.",INDEX(SRC_Woningetalage!$A$1:$ZZ$501,$A359,H$3)))</f>
        <v/>
      </c>
      <c r="I359" t="str">
        <f>IF($B359="","",IF(I$3=0,"n.b.",INDEX(SRC_Woningetalage!$A$1:$ZZ$501,$A359,I$3)))</f>
        <v/>
      </c>
      <c r="J359" t="str">
        <f>IF($B359="","",IF(J$3=0,"n.b.",INDEX(SRC_Woningetalage!$A$1:$ZZ$501,$A359,J$3)))</f>
        <v/>
      </c>
      <c r="K359" t="str">
        <f>IF($B359="","",IF(K$3=0,"n.b.",INDEX(SRC_Woningetalage!$A$1:$ZZ$501,$A359,K$3)))</f>
        <v/>
      </c>
      <c r="L359" t="str">
        <f>IF($B359="","",IF(L$3=0,"n.b.",INDEX(SRC_Woningetalage!$A$1:$ZZ$501,$A359,L$3)))</f>
        <v/>
      </c>
      <c r="M359" t="str">
        <f>IF($B359="","",IF(M$3=0,"n.b.",INDEX(SRC_Woningetalage!$A$1:$ZZ$501,$A359,M$3)))</f>
        <v/>
      </c>
      <c r="N359" t="str">
        <f>IF($B359="","",IF(N$3=0,"n.b.",INDEX(SRC_Woningetalage!$A$1:$ZZ$501,$A359,N$3)))</f>
        <v/>
      </c>
      <c r="O359" t="str">
        <f>IF($B359="","",IF(O$3=0,"n.b.",INDEX(SRC_Woningetalage!$A$1:$ZZ$501,$A359,O$3)))</f>
        <v/>
      </c>
      <c r="P359" t="str">
        <f>IF($B359="","",IF(P$3=0,"n.b.",INDEX(SRC_Woningetalage!$A$1:$ZZ$501,$A359,P$3)))</f>
        <v/>
      </c>
      <c r="Q359" s="124" t="str">
        <f>IF($B359="","",IF(Q$3=0,"n.b.",INDEX(SRC_Woningetalage!$A$1:$ZZ$501,$A359,Q$3)))</f>
        <v/>
      </c>
      <c r="R359" s="124" t="str">
        <f>IF($B359="","",IF(R$3=0,"n.b.",INDEX(SRC_Woningetalage!$A$1:$ZZ$501,$A359,R$3)))</f>
        <v/>
      </c>
      <c r="S359" s="124" t="str">
        <f>IF($B359="","",IF(S$3=0,"n.b.",INDEX(SRC_Woningetalage!$A$1:$ZZ$501,$A359,S$3)))</f>
        <v/>
      </c>
      <c r="T359" s="124" t="str">
        <f>IF($B359="","",IF(T$3=0,"n.b.",INDEX(SRC_Woningetalage!$A$1:$ZZ$501,$A359,T$3)))</f>
        <v/>
      </c>
      <c r="U359" s="124" t="str">
        <f>IF($B359="","",IF(U$3=0,"n.b.",INDEX(SRC_Woningetalage!$A$1:$ZZ$501,$A359,U$3)))</f>
        <v/>
      </c>
      <c r="V359" s="124" t="str">
        <f>IF($B359="","",IF(V$3=0,"n.b.",INDEX(SRC_Woningetalage!$A$1:$ZZ$501,$A359,V$3)))</f>
        <v/>
      </c>
      <c r="W359" s="124" t="str">
        <f>IF($B359="","",IF(W$3=0,"n.b.",INDEX(SRC_Woningetalage!$A$1:$ZZ$501,$A359,W$3)))</f>
        <v/>
      </c>
      <c r="X359" s="124" t="str">
        <f>IF($B359="","",IF(X$3=0,"n.b.",INDEX(SRC_Woningetalage!$A$1:$ZZ$501,$A359,X$3)))</f>
        <v/>
      </c>
      <c r="Y359" s="124" t="str">
        <f>IF($B359="","",IF(Y$3=0,"n.b.",INDEX(SRC_Woningetalage!$A$1:$ZZ$501,$A359,Y$3)))</f>
        <v/>
      </c>
      <c r="Z359" s="124" t="str">
        <f>IF($B359="","",IF(Z$3=0,"n.b.",INDEX(SRC_Woningetalage!$A$1:$ZZ$501,$A359,Z$3)))</f>
        <v/>
      </c>
      <c r="AA359" s="124" t="str">
        <f>IF($B359="","",IF(AA$3=0,"n.b.",INDEX(SRC_Woningetalage!$A$1:$ZZ$501,$A359,AA$3)))</f>
        <v/>
      </c>
      <c r="AB359" s="124" t="str">
        <f>IF($B359="","",IF(AB$3=0,"n.b.",INDEX(SRC_Woningetalage!$A$1:$ZZ$501,$A359,AB$3)))</f>
        <v/>
      </c>
      <c r="AC359" s="124" t="str">
        <f>IF($B359="","",IF(AC$3=0,"n.b.",INDEX(SRC_Woningetalage!$A$1:$ZZ$501,$A359,AC$3)))</f>
        <v/>
      </c>
      <c r="AD359" s="124" t="str">
        <f>IF($B359="","",IF(AD$3=0,"n.b.",INDEX(SRC_Woningetalage!$A$1:$ZZ$501,$A359,AD$3)))</f>
        <v/>
      </c>
      <c r="AE359" s="124" t="str">
        <f>IF($B359="","",IF(AE$3=0,"n.b.",INDEX(SRC_Woningetalage!$A$1:$ZZ$501,$A359,AE$3)))</f>
        <v/>
      </c>
      <c r="AF359" s="124" t="str">
        <f>IF($B359="","",IF(AF$3=0,"n.b.",INDEX(SRC_Woningetalage!$A$1:$ZZ$501,$A359,AF$3)))</f>
        <v/>
      </c>
      <c r="AG359" s="124" t="str">
        <f>IF($B359="","",IF(AG$3=0,"n.b.",INDEX(SRC_Woningetalage!$A$1:$ZZ$501,$A359,AG$3)))</f>
        <v/>
      </c>
      <c r="AH359" s="124" t="str">
        <f>IF($B359="","",IF(AH$3=0,"n.b.",INDEX(SRC_Woningetalage!$A$1:$ZZ$501,$A359,AH$3)))</f>
        <v/>
      </c>
      <c r="AI359" s="124" t="str">
        <f>IF($B359="","",IF(AI$3=0,"n.b.",INDEX(SRC_Woningetalage!$A$1:$ZZ$501,$A359,AI$3)))</f>
        <v/>
      </c>
      <c r="AJ359" s="124" t="str">
        <f>IF($B359="","",IF(AJ$3=0,"n.b.",INDEX(SRC_Woningetalage!$A$1:$ZZ$501,$A359,AJ$3)))</f>
        <v/>
      </c>
      <c r="AK359" s="124" t="str">
        <f>IF($B359="","",IF(AK$3=0,"n.b.",INDEX(SRC_Woningetalage!$A$1:$ZZ$501,$A359,AK$3)))</f>
        <v/>
      </c>
      <c r="AL359" s="124" t="str">
        <f>IF($B359="","",IF(AL$3=0,"n.b.",INDEX(SRC_Woningetalage!$A$1:$ZZ$501,$A359,AL$3)))</f>
        <v/>
      </c>
      <c r="AM359" s="124" t="str">
        <f>IF($B359="","",IF(AM$3=0,"n.b.",INDEX(SRC_Woningetalage!$A$1:$ZZ$501,$A359,AM$3)))</f>
        <v/>
      </c>
      <c r="AN359" s="124" t="str">
        <f>IF($B359="","",IF(AN$3=0,"n.b.",INDEX(SRC_Woningetalage!$A$1:$ZZ$501,$A359,AN$3)))</f>
        <v/>
      </c>
      <c r="AO359" s="124" t="str">
        <f>IF($B359="","",IF(AO$3=0,"n.b.",INDEX(SRC_Woningetalage!$A$1:$ZZ$501,$A359,AO$3)))</f>
        <v/>
      </c>
      <c r="AP359" s="124" t="str">
        <f>IF($B359="","",IF(AP$3=0,"n.b.",INDEX(SRC_Woningetalage!$A$1:$ZZ$501,$A359,AP$3)))</f>
        <v/>
      </c>
      <c r="AQ359" s="124" t="str">
        <f>IF($B359="","",IF(AQ$3=0,"n.b.",INDEX(SRC_Woningetalage!$A$1:$ZZ$501,$A359,AQ$3)))</f>
        <v/>
      </c>
      <c r="AR359" s="124" t="str">
        <f>IF($B359="","",IF(AR$3=0,"n.b.",INDEX(SRC_Woningetalage!$A$1:$ZZ$501,$A359,AR$3)))</f>
        <v/>
      </c>
      <c r="AS359" s="124" t="str">
        <f>IF($B359="","",IF(AS$3=0,"n.b.",INDEX(SRC_Woningetalage!$A$1:$ZZ$501,$A359,AS$3)))</f>
        <v/>
      </c>
      <c r="AT359" s="124" t="str">
        <f>IF($B359="","",IF(AT$3=0,"n.b.",INDEX(SRC_Woningetalage!$A$1:$ZZ$501,$A359,AT$3)))</f>
        <v/>
      </c>
      <c r="AU359" s="124" t="str">
        <f>IF($B359="","",IF(AU$3=0,"n.b.",INDEX(SRC_Woningetalage!$A$1:$ZZ$501,$A359,AU$3)))</f>
        <v/>
      </c>
      <c r="AV359" s="124" t="str">
        <f>IF($B359="","",IF(AV$3=0,"n.b.",INDEX(SRC_Woningetalage!$A$1:$ZZ$501,$A359,AV$3)))</f>
        <v/>
      </c>
      <c r="AW359" s="124" t="str">
        <f>IF($B359="","",IF(AW$3=0,"n.b.",INDEX(SRC_Woningetalage!$A$1:$ZZ$501,$A359,AW$3)))</f>
        <v/>
      </c>
      <c r="AX359" s="124" t="str">
        <f>IF($B359="","",IF(AX$3=0,"n.b.",INDEX(SRC_Woningetalage!$A$1:$ZZ$501,$A359,AX$3)))</f>
        <v/>
      </c>
      <c r="AY359" s="124" t="str">
        <f>IF($B359="","",IF(AY$3=0,"n.b.",INDEX(SRC_Woningetalage!$A$1:$ZZ$501,$A359,AY$3)))</f>
        <v/>
      </c>
      <c r="AZ359" s="124" t="str">
        <f>IF($B359="","",IF(AZ$3=0,"n.b.",INDEX(SRC_Woningetalage!$A$1:$ZZ$501,$A359,AZ$3)))</f>
        <v/>
      </c>
      <c r="BA359" s="124" t="str">
        <f>IF($B359="","",IF(BA$3=0,"n.b.",INDEX(SRC_Woningetalage!$A$1:$ZZ$501,$A359,BA$3)))</f>
        <v/>
      </c>
      <c r="BB359" s="124" t="str">
        <f>IF($B359="","",IF(BB$3=0,"n.b.",INDEX(SRC_Woningetalage!$A$1:$ZZ$501,$A359,BB$3)))</f>
        <v/>
      </c>
      <c r="BC359" s="124" t="str">
        <f>IF($B359="","",IFERROR(_xlfn.NUMBERVALUE(E359&amp;"",",","."),"n.b."))</f>
        <v/>
      </c>
      <c r="BD359" s="124" t="str">
        <f>IF($B359="","",IFERROR(_xlfn.NUMBERVALUE(M359&amp;"",",","."),"n.b."))</f>
        <v/>
      </c>
      <c r="BE359" s="124" t="str">
        <f>IF($B359="","",IFERROR(AB359+AC359+AD359,"n.b."))</f>
        <v/>
      </c>
      <c r="BF359" s="124" t="str">
        <f>IF($B359="","",IFERROR(AE359+AF359+AG359,"n.b."))</f>
        <v/>
      </c>
      <c r="BG359" s="124" t="str">
        <f>IF($B359="","",IFERROR(AH359+AI359+AJ359,"n.b."))</f>
        <v/>
      </c>
      <c r="BH359" s="124" t="str">
        <f>IF($B359="","",IFERROR(AK359+AL359+AM359,"n.b."))</f>
        <v/>
      </c>
      <c r="BI359" s="124" t="str">
        <f>IF($B359="","",IFERROR(SUMIF($AB$5:$AM$5,"&lt;="&amp;P_PeilMaand,AB359:AM359),"n.b."))</f>
        <v/>
      </c>
      <c r="BJ359" s="124" t="str">
        <f>IF($B359="","",IFERROR(SUM(AB359:AM359)-BI359,"n.b."))</f>
        <v/>
      </c>
      <c r="BK359" s="124" t="str">
        <f>IF($B359="","",IFERROR(IF(ABS(Q359-(T359+SUM(AB359:AM359)+AS359+AU359))&gt;P_Tol,1,0),1))</f>
        <v/>
      </c>
      <c r="BL359" s="124" t="str">
        <f>IF($B359="","",IFERROR(IF(ABS(AA359-(Q359-Z359))&gt;P_Tol,1,0),1))</f>
        <v/>
      </c>
      <c r="BM359" s="124" t="str">
        <f>IF($B359="","",IFERROR(IF(ABS(Z359-(T359+W359))&gt;P_Tol,1,0),1))</f>
        <v/>
      </c>
      <c r="BN359" s="124" t="str">
        <f>IF($B359="","",IFERROR(IF(ABS(W359-BI359)&gt;P_Tol,1,0),1))</f>
        <v/>
      </c>
      <c r="BO359" s="124" t="str">
        <f>IF($B359="","",IFERROR(IF(OR(ABS(R359+S359-T359)&gt;P_Tol,ABS(U359+V359-W359)&gt;P_Tol,ABS(X359+Y359-Z359)&gt;P_Tol),1,0),1))</f>
        <v/>
      </c>
      <c r="BP359" s="124" t="str">
        <f>IF($B359="","",IFERROR(IF(OR(ABS(AR359-SUM(AB359:AM359))&gt;P_Tol,ABS(AS359-(AN359+AO359+AP359+AQ359))&gt;P_Tol),1,0),1))</f>
        <v/>
      </c>
      <c r="BQ359" s="124" t="str">
        <f>IF($B359="","",IFERROR(IF(ABS(AT359)+ABS(AV359)+ABS(AW359)+ABS(AX359)+ABS(AY359)+ABS(AZ359)+ABS(BA359)+ABS(BB359)&gt;0,1,0),1))</f>
        <v/>
      </c>
      <c r="BR359" s="124" t="str">
        <f>IF($B359="","",COUNTIF(STG_ZPMW03!$B$6:$B$505,B359))</f>
        <v/>
      </c>
      <c r="BS359" s="124" t="str">
        <f>IF($B359="","",COUNTIF($B$6:$B$505,B359))</f>
        <v/>
      </c>
      <c r="BT359" s="124" t="str">
        <f>IF($B359="","",IF(BR359=0,0,IF(INDEX(STG_ZPMW03!$I$6:$I$505,MATCH(B359,STG_ZPMW03!$B$6:$B$505,0))=J359&amp;"",0,1)))</f>
        <v/>
      </c>
      <c r="BU359" s="124" t="str">
        <f>IF($B359="","",IFERROR(IF(ABS(INDEX(Mapping!$D$5:$D$104,MATCH(B359,Mapping!$A$5:$A$104,0))-Q359)&gt;P_Tol,1,0),0))</f>
        <v/>
      </c>
      <c r="BV359" s="124" t="str">
        <f>IF($B359="","",IFERROR(IF(AND(INDEX(Mapping!$G$5:$G$104,MATCH(B359,Mapping!$A$5:$A$104,0))="Nee",ABS(Q359)+ABS(Z359)+ABS(AR359)&gt;0),1,0),0))</f>
        <v/>
      </c>
      <c r="BW359" s="124" t="str">
        <f>IF($B359="","",IF(COUNTIF(Mapping!$A$5:$A$104,B359)&gt;0,1,0))</f>
        <v/>
      </c>
      <c r="BX359" s="124" t="str">
        <f>IF($B359="","",IF(BR359=0,COUNTIF($BR$6:BR359,0),""))</f>
        <v/>
      </c>
    </row>
    <row r="360">
      <c r="A360" s="15" t="n">
        <v>356</v>
      </c>
      <c r="B360" t="str">
        <f>IF(B$3=0,"",IF(INDEX(SRC_Woningetalage!$A$1:$ZZ$501,$A360,B$3)&amp;""="","",INDEX(SRC_Woningetalage!$A$1:$ZZ$501,$A360,B$3)&amp;""))</f>
        <v/>
      </c>
      <c r="C360" t="str">
        <f>IF($B360="","",IF(C$3=0,"n.b.",INDEX(SRC_Woningetalage!$A$1:$ZZ$501,$A360,C$3)))</f>
        <v/>
      </c>
      <c r="D360" t="str">
        <f>IF($B360="","",IF(D$3=0,"n.b.",INDEX(SRC_Woningetalage!$A$1:$ZZ$501,$A360,D$3)))</f>
        <v/>
      </c>
      <c r="E360" t="str">
        <f>IF($B360="","",IF(E$3=0,"n.b.",INDEX(SRC_Woningetalage!$A$1:$ZZ$501,$A360,E$3)))</f>
        <v/>
      </c>
      <c r="F360" t="str">
        <f>IF($B360="","",IF(F$3=0,"n.b.",INDEX(SRC_Woningetalage!$A$1:$ZZ$501,$A360,F$3)))</f>
        <v/>
      </c>
      <c r="G360" t="str">
        <f>IF($B360="","",IF(G$3=0,"n.b.",INDEX(SRC_Woningetalage!$A$1:$ZZ$501,$A360,G$3)))</f>
        <v/>
      </c>
      <c r="H360" t="str">
        <f>IF($B360="","",IF(H$3=0,"n.b.",INDEX(SRC_Woningetalage!$A$1:$ZZ$501,$A360,H$3)))</f>
        <v/>
      </c>
      <c r="I360" t="str">
        <f>IF($B360="","",IF(I$3=0,"n.b.",INDEX(SRC_Woningetalage!$A$1:$ZZ$501,$A360,I$3)))</f>
        <v/>
      </c>
      <c r="J360" t="str">
        <f>IF($B360="","",IF(J$3=0,"n.b.",INDEX(SRC_Woningetalage!$A$1:$ZZ$501,$A360,J$3)))</f>
        <v/>
      </c>
      <c r="K360" t="str">
        <f>IF($B360="","",IF(K$3=0,"n.b.",INDEX(SRC_Woningetalage!$A$1:$ZZ$501,$A360,K$3)))</f>
        <v/>
      </c>
      <c r="L360" t="str">
        <f>IF($B360="","",IF(L$3=0,"n.b.",INDEX(SRC_Woningetalage!$A$1:$ZZ$501,$A360,L$3)))</f>
        <v/>
      </c>
      <c r="M360" t="str">
        <f>IF($B360="","",IF(M$3=0,"n.b.",INDEX(SRC_Woningetalage!$A$1:$ZZ$501,$A360,M$3)))</f>
        <v/>
      </c>
      <c r="N360" t="str">
        <f>IF($B360="","",IF(N$3=0,"n.b.",INDEX(SRC_Woningetalage!$A$1:$ZZ$501,$A360,N$3)))</f>
        <v/>
      </c>
      <c r="O360" t="str">
        <f>IF($B360="","",IF(O$3=0,"n.b.",INDEX(SRC_Woningetalage!$A$1:$ZZ$501,$A360,O$3)))</f>
        <v/>
      </c>
      <c r="P360" t="str">
        <f>IF($B360="","",IF(P$3=0,"n.b.",INDEX(SRC_Woningetalage!$A$1:$ZZ$501,$A360,P$3)))</f>
        <v/>
      </c>
      <c r="Q360" s="124" t="str">
        <f>IF($B360="","",IF(Q$3=0,"n.b.",INDEX(SRC_Woningetalage!$A$1:$ZZ$501,$A360,Q$3)))</f>
        <v/>
      </c>
      <c r="R360" s="124" t="str">
        <f>IF($B360="","",IF(R$3=0,"n.b.",INDEX(SRC_Woningetalage!$A$1:$ZZ$501,$A360,R$3)))</f>
        <v/>
      </c>
      <c r="S360" s="124" t="str">
        <f>IF($B360="","",IF(S$3=0,"n.b.",INDEX(SRC_Woningetalage!$A$1:$ZZ$501,$A360,S$3)))</f>
        <v/>
      </c>
      <c r="T360" s="124" t="str">
        <f>IF($B360="","",IF(T$3=0,"n.b.",INDEX(SRC_Woningetalage!$A$1:$ZZ$501,$A360,T$3)))</f>
        <v/>
      </c>
      <c r="U360" s="124" t="str">
        <f>IF($B360="","",IF(U$3=0,"n.b.",INDEX(SRC_Woningetalage!$A$1:$ZZ$501,$A360,U$3)))</f>
        <v/>
      </c>
      <c r="V360" s="124" t="str">
        <f>IF($B360="","",IF(V$3=0,"n.b.",INDEX(SRC_Woningetalage!$A$1:$ZZ$501,$A360,V$3)))</f>
        <v/>
      </c>
      <c r="W360" s="124" t="str">
        <f>IF($B360="","",IF(W$3=0,"n.b.",INDEX(SRC_Woningetalage!$A$1:$ZZ$501,$A360,W$3)))</f>
        <v/>
      </c>
      <c r="X360" s="124" t="str">
        <f>IF($B360="","",IF(X$3=0,"n.b.",INDEX(SRC_Woningetalage!$A$1:$ZZ$501,$A360,X$3)))</f>
        <v/>
      </c>
      <c r="Y360" s="124" t="str">
        <f>IF($B360="","",IF(Y$3=0,"n.b.",INDEX(SRC_Woningetalage!$A$1:$ZZ$501,$A360,Y$3)))</f>
        <v/>
      </c>
      <c r="Z360" s="124" t="str">
        <f>IF($B360="","",IF(Z$3=0,"n.b.",INDEX(SRC_Woningetalage!$A$1:$ZZ$501,$A360,Z$3)))</f>
        <v/>
      </c>
      <c r="AA360" s="124" t="str">
        <f>IF($B360="","",IF(AA$3=0,"n.b.",INDEX(SRC_Woningetalage!$A$1:$ZZ$501,$A360,AA$3)))</f>
        <v/>
      </c>
      <c r="AB360" s="124" t="str">
        <f>IF($B360="","",IF(AB$3=0,"n.b.",INDEX(SRC_Woningetalage!$A$1:$ZZ$501,$A360,AB$3)))</f>
        <v/>
      </c>
      <c r="AC360" s="124" t="str">
        <f>IF($B360="","",IF(AC$3=0,"n.b.",INDEX(SRC_Woningetalage!$A$1:$ZZ$501,$A360,AC$3)))</f>
        <v/>
      </c>
      <c r="AD360" s="124" t="str">
        <f>IF($B360="","",IF(AD$3=0,"n.b.",INDEX(SRC_Woningetalage!$A$1:$ZZ$501,$A360,AD$3)))</f>
        <v/>
      </c>
      <c r="AE360" s="124" t="str">
        <f>IF($B360="","",IF(AE$3=0,"n.b.",INDEX(SRC_Woningetalage!$A$1:$ZZ$501,$A360,AE$3)))</f>
        <v/>
      </c>
      <c r="AF360" s="124" t="str">
        <f>IF($B360="","",IF(AF$3=0,"n.b.",INDEX(SRC_Woningetalage!$A$1:$ZZ$501,$A360,AF$3)))</f>
        <v/>
      </c>
      <c r="AG360" s="124" t="str">
        <f>IF($B360="","",IF(AG$3=0,"n.b.",INDEX(SRC_Woningetalage!$A$1:$ZZ$501,$A360,AG$3)))</f>
        <v/>
      </c>
      <c r="AH360" s="124" t="str">
        <f>IF($B360="","",IF(AH$3=0,"n.b.",INDEX(SRC_Woningetalage!$A$1:$ZZ$501,$A360,AH$3)))</f>
        <v/>
      </c>
      <c r="AI360" s="124" t="str">
        <f>IF($B360="","",IF(AI$3=0,"n.b.",INDEX(SRC_Woningetalage!$A$1:$ZZ$501,$A360,AI$3)))</f>
        <v/>
      </c>
      <c r="AJ360" s="124" t="str">
        <f>IF($B360="","",IF(AJ$3=0,"n.b.",INDEX(SRC_Woningetalage!$A$1:$ZZ$501,$A360,AJ$3)))</f>
        <v/>
      </c>
      <c r="AK360" s="124" t="str">
        <f>IF($B360="","",IF(AK$3=0,"n.b.",INDEX(SRC_Woningetalage!$A$1:$ZZ$501,$A360,AK$3)))</f>
        <v/>
      </c>
      <c r="AL360" s="124" t="str">
        <f>IF($B360="","",IF(AL$3=0,"n.b.",INDEX(SRC_Woningetalage!$A$1:$ZZ$501,$A360,AL$3)))</f>
        <v/>
      </c>
      <c r="AM360" s="124" t="str">
        <f>IF($B360="","",IF(AM$3=0,"n.b.",INDEX(SRC_Woningetalage!$A$1:$ZZ$501,$A360,AM$3)))</f>
        <v/>
      </c>
      <c r="AN360" s="124" t="str">
        <f>IF($B360="","",IF(AN$3=0,"n.b.",INDEX(SRC_Woningetalage!$A$1:$ZZ$501,$A360,AN$3)))</f>
        <v/>
      </c>
      <c r="AO360" s="124" t="str">
        <f>IF($B360="","",IF(AO$3=0,"n.b.",INDEX(SRC_Woningetalage!$A$1:$ZZ$501,$A360,AO$3)))</f>
        <v/>
      </c>
      <c r="AP360" s="124" t="str">
        <f>IF($B360="","",IF(AP$3=0,"n.b.",INDEX(SRC_Woningetalage!$A$1:$ZZ$501,$A360,AP$3)))</f>
        <v/>
      </c>
      <c r="AQ360" s="124" t="str">
        <f>IF($B360="","",IF(AQ$3=0,"n.b.",INDEX(SRC_Woningetalage!$A$1:$ZZ$501,$A360,AQ$3)))</f>
        <v/>
      </c>
      <c r="AR360" s="124" t="str">
        <f>IF($B360="","",IF(AR$3=0,"n.b.",INDEX(SRC_Woningetalage!$A$1:$ZZ$501,$A360,AR$3)))</f>
        <v/>
      </c>
      <c r="AS360" s="124" t="str">
        <f>IF($B360="","",IF(AS$3=0,"n.b.",INDEX(SRC_Woningetalage!$A$1:$ZZ$501,$A360,AS$3)))</f>
        <v/>
      </c>
      <c r="AT360" s="124" t="str">
        <f>IF($B360="","",IF(AT$3=0,"n.b.",INDEX(SRC_Woningetalage!$A$1:$ZZ$501,$A360,AT$3)))</f>
        <v/>
      </c>
      <c r="AU360" s="124" t="str">
        <f>IF($B360="","",IF(AU$3=0,"n.b.",INDEX(SRC_Woningetalage!$A$1:$ZZ$501,$A360,AU$3)))</f>
        <v/>
      </c>
      <c r="AV360" s="124" t="str">
        <f>IF($B360="","",IF(AV$3=0,"n.b.",INDEX(SRC_Woningetalage!$A$1:$ZZ$501,$A360,AV$3)))</f>
        <v/>
      </c>
      <c r="AW360" s="124" t="str">
        <f>IF($B360="","",IF(AW$3=0,"n.b.",INDEX(SRC_Woningetalage!$A$1:$ZZ$501,$A360,AW$3)))</f>
        <v/>
      </c>
      <c r="AX360" s="124" t="str">
        <f>IF($B360="","",IF(AX$3=0,"n.b.",INDEX(SRC_Woningetalage!$A$1:$ZZ$501,$A360,AX$3)))</f>
        <v/>
      </c>
      <c r="AY360" s="124" t="str">
        <f>IF($B360="","",IF(AY$3=0,"n.b.",INDEX(SRC_Woningetalage!$A$1:$ZZ$501,$A360,AY$3)))</f>
        <v/>
      </c>
      <c r="AZ360" s="124" t="str">
        <f>IF($B360="","",IF(AZ$3=0,"n.b.",INDEX(SRC_Woningetalage!$A$1:$ZZ$501,$A360,AZ$3)))</f>
        <v/>
      </c>
      <c r="BA360" s="124" t="str">
        <f>IF($B360="","",IF(BA$3=0,"n.b.",INDEX(SRC_Woningetalage!$A$1:$ZZ$501,$A360,BA$3)))</f>
        <v/>
      </c>
      <c r="BB360" s="124" t="str">
        <f>IF($B360="","",IF(BB$3=0,"n.b.",INDEX(SRC_Woningetalage!$A$1:$ZZ$501,$A360,BB$3)))</f>
        <v/>
      </c>
      <c r="BC360" s="124" t="str">
        <f>IF($B360="","",IFERROR(_xlfn.NUMBERVALUE(E360&amp;"",",","."),"n.b."))</f>
        <v/>
      </c>
      <c r="BD360" s="124" t="str">
        <f>IF($B360="","",IFERROR(_xlfn.NUMBERVALUE(M360&amp;"",",","."),"n.b."))</f>
        <v/>
      </c>
      <c r="BE360" s="124" t="str">
        <f>IF($B360="","",IFERROR(AB360+AC360+AD360,"n.b."))</f>
        <v/>
      </c>
      <c r="BF360" s="124" t="str">
        <f>IF($B360="","",IFERROR(AE360+AF360+AG360,"n.b."))</f>
        <v/>
      </c>
      <c r="BG360" s="124" t="str">
        <f>IF($B360="","",IFERROR(AH360+AI360+AJ360,"n.b."))</f>
        <v/>
      </c>
      <c r="BH360" s="124" t="str">
        <f>IF($B360="","",IFERROR(AK360+AL360+AM360,"n.b."))</f>
        <v/>
      </c>
      <c r="BI360" s="124" t="str">
        <f>IF($B360="","",IFERROR(SUMIF($AB$5:$AM$5,"&lt;="&amp;P_PeilMaand,AB360:AM360),"n.b."))</f>
        <v/>
      </c>
      <c r="BJ360" s="124" t="str">
        <f>IF($B360="","",IFERROR(SUM(AB360:AM360)-BI360,"n.b."))</f>
        <v/>
      </c>
      <c r="BK360" s="124" t="str">
        <f>IF($B360="","",IFERROR(IF(ABS(Q360-(T360+SUM(AB360:AM360)+AS360+AU360))&gt;P_Tol,1,0),1))</f>
        <v/>
      </c>
      <c r="BL360" s="124" t="str">
        <f>IF($B360="","",IFERROR(IF(ABS(AA360-(Q360-Z360))&gt;P_Tol,1,0),1))</f>
        <v/>
      </c>
      <c r="BM360" s="124" t="str">
        <f>IF($B360="","",IFERROR(IF(ABS(Z360-(T360+W360))&gt;P_Tol,1,0),1))</f>
        <v/>
      </c>
      <c r="BN360" s="124" t="str">
        <f>IF($B360="","",IFERROR(IF(ABS(W360-BI360)&gt;P_Tol,1,0),1))</f>
        <v/>
      </c>
      <c r="BO360" s="124" t="str">
        <f>IF($B360="","",IFERROR(IF(OR(ABS(R360+S360-T360)&gt;P_Tol,ABS(U360+V360-W360)&gt;P_Tol,ABS(X360+Y360-Z360)&gt;P_Tol),1,0),1))</f>
        <v/>
      </c>
      <c r="BP360" s="124" t="str">
        <f>IF($B360="","",IFERROR(IF(OR(ABS(AR360-SUM(AB360:AM360))&gt;P_Tol,ABS(AS360-(AN360+AO360+AP360+AQ360))&gt;P_Tol),1,0),1))</f>
        <v/>
      </c>
      <c r="BQ360" s="124" t="str">
        <f>IF($B360="","",IFERROR(IF(ABS(AT360)+ABS(AV360)+ABS(AW360)+ABS(AX360)+ABS(AY360)+ABS(AZ360)+ABS(BA360)+ABS(BB360)&gt;0,1,0),1))</f>
        <v/>
      </c>
      <c r="BR360" s="124" t="str">
        <f>IF($B360="","",COUNTIF(STG_ZPMW03!$B$6:$B$505,B360))</f>
        <v/>
      </c>
      <c r="BS360" s="124" t="str">
        <f>IF($B360="","",COUNTIF($B$6:$B$505,B360))</f>
        <v/>
      </c>
      <c r="BT360" s="124" t="str">
        <f>IF($B360="","",IF(BR360=0,0,IF(INDEX(STG_ZPMW03!$I$6:$I$505,MATCH(B360,STG_ZPMW03!$B$6:$B$505,0))=J360&amp;"",0,1)))</f>
        <v/>
      </c>
      <c r="BU360" s="124" t="str">
        <f>IF($B360="","",IFERROR(IF(ABS(INDEX(Mapping!$D$5:$D$104,MATCH(B360,Mapping!$A$5:$A$104,0))-Q360)&gt;P_Tol,1,0),0))</f>
        <v/>
      </c>
      <c r="BV360" s="124" t="str">
        <f>IF($B360="","",IFERROR(IF(AND(INDEX(Mapping!$G$5:$G$104,MATCH(B360,Mapping!$A$5:$A$104,0))="Nee",ABS(Q360)+ABS(Z360)+ABS(AR360)&gt;0),1,0),0))</f>
        <v/>
      </c>
      <c r="BW360" s="124" t="str">
        <f>IF($B360="","",IF(COUNTIF(Mapping!$A$5:$A$104,B360)&gt;0,1,0))</f>
        <v/>
      </c>
      <c r="BX360" s="124" t="str">
        <f>IF($B360="","",IF(BR360=0,COUNTIF($BR$6:BR360,0),""))</f>
        <v/>
      </c>
    </row>
    <row r="361">
      <c r="A361" s="15" t="n">
        <v>357</v>
      </c>
      <c r="B361" t="str">
        <f>IF(B$3=0,"",IF(INDEX(SRC_Woningetalage!$A$1:$ZZ$501,$A361,B$3)&amp;""="","",INDEX(SRC_Woningetalage!$A$1:$ZZ$501,$A361,B$3)&amp;""))</f>
        <v/>
      </c>
      <c r="C361" t="str">
        <f>IF($B361="","",IF(C$3=0,"n.b.",INDEX(SRC_Woningetalage!$A$1:$ZZ$501,$A361,C$3)))</f>
        <v/>
      </c>
      <c r="D361" t="str">
        <f>IF($B361="","",IF(D$3=0,"n.b.",INDEX(SRC_Woningetalage!$A$1:$ZZ$501,$A361,D$3)))</f>
        <v/>
      </c>
      <c r="E361" t="str">
        <f>IF($B361="","",IF(E$3=0,"n.b.",INDEX(SRC_Woningetalage!$A$1:$ZZ$501,$A361,E$3)))</f>
        <v/>
      </c>
      <c r="F361" t="str">
        <f>IF($B361="","",IF(F$3=0,"n.b.",INDEX(SRC_Woningetalage!$A$1:$ZZ$501,$A361,F$3)))</f>
        <v/>
      </c>
      <c r="G361" t="str">
        <f>IF($B361="","",IF(G$3=0,"n.b.",INDEX(SRC_Woningetalage!$A$1:$ZZ$501,$A361,G$3)))</f>
        <v/>
      </c>
      <c r="H361" t="str">
        <f>IF($B361="","",IF(H$3=0,"n.b.",INDEX(SRC_Woningetalage!$A$1:$ZZ$501,$A361,H$3)))</f>
        <v/>
      </c>
      <c r="I361" t="str">
        <f>IF($B361="","",IF(I$3=0,"n.b.",INDEX(SRC_Woningetalage!$A$1:$ZZ$501,$A361,I$3)))</f>
        <v/>
      </c>
      <c r="J361" t="str">
        <f>IF($B361="","",IF(J$3=0,"n.b.",INDEX(SRC_Woningetalage!$A$1:$ZZ$501,$A361,J$3)))</f>
        <v/>
      </c>
      <c r="K361" t="str">
        <f>IF($B361="","",IF(K$3=0,"n.b.",INDEX(SRC_Woningetalage!$A$1:$ZZ$501,$A361,K$3)))</f>
        <v/>
      </c>
      <c r="L361" t="str">
        <f>IF($B361="","",IF(L$3=0,"n.b.",INDEX(SRC_Woningetalage!$A$1:$ZZ$501,$A361,L$3)))</f>
        <v/>
      </c>
      <c r="M361" t="str">
        <f>IF($B361="","",IF(M$3=0,"n.b.",INDEX(SRC_Woningetalage!$A$1:$ZZ$501,$A361,M$3)))</f>
        <v/>
      </c>
      <c r="N361" t="str">
        <f>IF($B361="","",IF(N$3=0,"n.b.",INDEX(SRC_Woningetalage!$A$1:$ZZ$501,$A361,N$3)))</f>
        <v/>
      </c>
      <c r="O361" t="str">
        <f>IF($B361="","",IF(O$3=0,"n.b.",INDEX(SRC_Woningetalage!$A$1:$ZZ$501,$A361,O$3)))</f>
        <v/>
      </c>
      <c r="P361" t="str">
        <f>IF($B361="","",IF(P$3=0,"n.b.",INDEX(SRC_Woningetalage!$A$1:$ZZ$501,$A361,P$3)))</f>
        <v/>
      </c>
      <c r="Q361" s="124" t="str">
        <f>IF($B361="","",IF(Q$3=0,"n.b.",INDEX(SRC_Woningetalage!$A$1:$ZZ$501,$A361,Q$3)))</f>
        <v/>
      </c>
      <c r="R361" s="124" t="str">
        <f>IF($B361="","",IF(R$3=0,"n.b.",INDEX(SRC_Woningetalage!$A$1:$ZZ$501,$A361,R$3)))</f>
        <v/>
      </c>
      <c r="S361" s="124" t="str">
        <f>IF($B361="","",IF(S$3=0,"n.b.",INDEX(SRC_Woningetalage!$A$1:$ZZ$501,$A361,S$3)))</f>
        <v/>
      </c>
      <c r="T361" s="124" t="str">
        <f>IF($B361="","",IF(T$3=0,"n.b.",INDEX(SRC_Woningetalage!$A$1:$ZZ$501,$A361,T$3)))</f>
        <v/>
      </c>
      <c r="U361" s="124" t="str">
        <f>IF($B361="","",IF(U$3=0,"n.b.",INDEX(SRC_Woningetalage!$A$1:$ZZ$501,$A361,U$3)))</f>
        <v/>
      </c>
      <c r="V361" s="124" t="str">
        <f>IF($B361="","",IF(V$3=0,"n.b.",INDEX(SRC_Woningetalage!$A$1:$ZZ$501,$A361,V$3)))</f>
        <v/>
      </c>
      <c r="W361" s="124" t="str">
        <f>IF($B361="","",IF(W$3=0,"n.b.",INDEX(SRC_Woningetalage!$A$1:$ZZ$501,$A361,W$3)))</f>
        <v/>
      </c>
      <c r="X361" s="124" t="str">
        <f>IF($B361="","",IF(X$3=0,"n.b.",INDEX(SRC_Woningetalage!$A$1:$ZZ$501,$A361,X$3)))</f>
        <v/>
      </c>
      <c r="Y361" s="124" t="str">
        <f>IF($B361="","",IF(Y$3=0,"n.b.",INDEX(SRC_Woningetalage!$A$1:$ZZ$501,$A361,Y$3)))</f>
        <v/>
      </c>
      <c r="Z361" s="124" t="str">
        <f>IF($B361="","",IF(Z$3=0,"n.b.",INDEX(SRC_Woningetalage!$A$1:$ZZ$501,$A361,Z$3)))</f>
        <v/>
      </c>
      <c r="AA361" s="124" t="str">
        <f>IF($B361="","",IF(AA$3=0,"n.b.",INDEX(SRC_Woningetalage!$A$1:$ZZ$501,$A361,AA$3)))</f>
        <v/>
      </c>
      <c r="AB361" s="124" t="str">
        <f>IF($B361="","",IF(AB$3=0,"n.b.",INDEX(SRC_Woningetalage!$A$1:$ZZ$501,$A361,AB$3)))</f>
        <v/>
      </c>
      <c r="AC361" s="124" t="str">
        <f>IF($B361="","",IF(AC$3=0,"n.b.",INDEX(SRC_Woningetalage!$A$1:$ZZ$501,$A361,AC$3)))</f>
        <v/>
      </c>
      <c r="AD361" s="124" t="str">
        <f>IF($B361="","",IF(AD$3=0,"n.b.",INDEX(SRC_Woningetalage!$A$1:$ZZ$501,$A361,AD$3)))</f>
        <v/>
      </c>
      <c r="AE361" s="124" t="str">
        <f>IF($B361="","",IF(AE$3=0,"n.b.",INDEX(SRC_Woningetalage!$A$1:$ZZ$501,$A361,AE$3)))</f>
        <v/>
      </c>
      <c r="AF361" s="124" t="str">
        <f>IF($B361="","",IF(AF$3=0,"n.b.",INDEX(SRC_Woningetalage!$A$1:$ZZ$501,$A361,AF$3)))</f>
        <v/>
      </c>
      <c r="AG361" s="124" t="str">
        <f>IF($B361="","",IF(AG$3=0,"n.b.",INDEX(SRC_Woningetalage!$A$1:$ZZ$501,$A361,AG$3)))</f>
        <v/>
      </c>
      <c r="AH361" s="124" t="str">
        <f>IF($B361="","",IF(AH$3=0,"n.b.",INDEX(SRC_Woningetalage!$A$1:$ZZ$501,$A361,AH$3)))</f>
        <v/>
      </c>
      <c r="AI361" s="124" t="str">
        <f>IF($B361="","",IF(AI$3=0,"n.b.",INDEX(SRC_Woningetalage!$A$1:$ZZ$501,$A361,AI$3)))</f>
        <v/>
      </c>
      <c r="AJ361" s="124" t="str">
        <f>IF($B361="","",IF(AJ$3=0,"n.b.",INDEX(SRC_Woningetalage!$A$1:$ZZ$501,$A361,AJ$3)))</f>
        <v/>
      </c>
      <c r="AK361" s="124" t="str">
        <f>IF($B361="","",IF(AK$3=0,"n.b.",INDEX(SRC_Woningetalage!$A$1:$ZZ$501,$A361,AK$3)))</f>
        <v/>
      </c>
      <c r="AL361" s="124" t="str">
        <f>IF($B361="","",IF(AL$3=0,"n.b.",INDEX(SRC_Woningetalage!$A$1:$ZZ$501,$A361,AL$3)))</f>
        <v/>
      </c>
      <c r="AM361" s="124" t="str">
        <f>IF($B361="","",IF(AM$3=0,"n.b.",INDEX(SRC_Woningetalage!$A$1:$ZZ$501,$A361,AM$3)))</f>
        <v/>
      </c>
      <c r="AN361" s="124" t="str">
        <f>IF($B361="","",IF(AN$3=0,"n.b.",INDEX(SRC_Woningetalage!$A$1:$ZZ$501,$A361,AN$3)))</f>
        <v/>
      </c>
      <c r="AO361" s="124" t="str">
        <f>IF($B361="","",IF(AO$3=0,"n.b.",INDEX(SRC_Woningetalage!$A$1:$ZZ$501,$A361,AO$3)))</f>
        <v/>
      </c>
      <c r="AP361" s="124" t="str">
        <f>IF($B361="","",IF(AP$3=0,"n.b.",INDEX(SRC_Woningetalage!$A$1:$ZZ$501,$A361,AP$3)))</f>
        <v/>
      </c>
      <c r="AQ361" s="124" t="str">
        <f>IF($B361="","",IF(AQ$3=0,"n.b.",INDEX(SRC_Woningetalage!$A$1:$ZZ$501,$A361,AQ$3)))</f>
        <v/>
      </c>
      <c r="AR361" s="124" t="str">
        <f>IF($B361="","",IF(AR$3=0,"n.b.",INDEX(SRC_Woningetalage!$A$1:$ZZ$501,$A361,AR$3)))</f>
        <v/>
      </c>
      <c r="AS361" s="124" t="str">
        <f>IF($B361="","",IF(AS$3=0,"n.b.",INDEX(SRC_Woningetalage!$A$1:$ZZ$501,$A361,AS$3)))</f>
        <v/>
      </c>
      <c r="AT361" s="124" t="str">
        <f>IF($B361="","",IF(AT$3=0,"n.b.",INDEX(SRC_Woningetalage!$A$1:$ZZ$501,$A361,AT$3)))</f>
        <v/>
      </c>
      <c r="AU361" s="124" t="str">
        <f>IF($B361="","",IF(AU$3=0,"n.b.",INDEX(SRC_Woningetalage!$A$1:$ZZ$501,$A361,AU$3)))</f>
        <v/>
      </c>
      <c r="AV361" s="124" t="str">
        <f>IF($B361="","",IF(AV$3=0,"n.b.",INDEX(SRC_Woningetalage!$A$1:$ZZ$501,$A361,AV$3)))</f>
        <v/>
      </c>
      <c r="AW361" s="124" t="str">
        <f>IF($B361="","",IF(AW$3=0,"n.b.",INDEX(SRC_Woningetalage!$A$1:$ZZ$501,$A361,AW$3)))</f>
        <v/>
      </c>
      <c r="AX361" s="124" t="str">
        <f>IF($B361="","",IF(AX$3=0,"n.b.",INDEX(SRC_Woningetalage!$A$1:$ZZ$501,$A361,AX$3)))</f>
        <v/>
      </c>
      <c r="AY361" s="124" t="str">
        <f>IF($B361="","",IF(AY$3=0,"n.b.",INDEX(SRC_Woningetalage!$A$1:$ZZ$501,$A361,AY$3)))</f>
        <v/>
      </c>
      <c r="AZ361" s="124" t="str">
        <f>IF($B361="","",IF(AZ$3=0,"n.b.",INDEX(SRC_Woningetalage!$A$1:$ZZ$501,$A361,AZ$3)))</f>
        <v/>
      </c>
      <c r="BA361" s="124" t="str">
        <f>IF($B361="","",IF(BA$3=0,"n.b.",INDEX(SRC_Woningetalage!$A$1:$ZZ$501,$A361,BA$3)))</f>
        <v/>
      </c>
      <c r="BB361" s="124" t="str">
        <f>IF($B361="","",IF(BB$3=0,"n.b.",INDEX(SRC_Woningetalage!$A$1:$ZZ$501,$A361,BB$3)))</f>
        <v/>
      </c>
      <c r="BC361" s="124" t="str">
        <f>IF($B361="","",IFERROR(_xlfn.NUMBERVALUE(E361&amp;"",",","."),"n.b."))</f>
        <v/>
      </c>
      <c r="BD361" s="124" t="str">
        <f>IF($B361="","",IFERROR(_xlfn.NUMBERVALUE(M361&amp;"",",","."),"n.b."))</f>
        <v/>
      </c>
      <c r="BE361" s="124" t="str">
        <f>IF($B361="","",IFERROR(AB361+AC361+AD361,"n.b."))</f>
        <v/>
      </c>
      <c r="BF361" s="124" t="str">
        <f>IF($B361="","",IFERROR(AE361+AF361+AG361,"n.b."))</f>
        <v/>
      </c>
      <c r="BG361" s="124" t="str">
        <f>IF($B361="","",IFERROR(AH361+AI361+AJ361,"n.b."))</f>
        <v/>
      </c>
      <c r="BH361" s="124" t="str">
        <f>IF($B361="","",IFERROR(AK361+AL361+AM361,"n.b."))</f>
        <v/>
      </c>
      <c r="BI361" s="124" t="str">
        <f>IF($B361="","",IFERROR(SUMIF($AB$5:$AM$5,"&lt;="&amp;P_PeilMaand,AB361:AM361),"n.b."))</f>
        <v/>
      </c>
      <c r="BJ361" s="124" t="str">
        <f>IF($B361="","",IFERROR(SUM(AB361:AM361)-BI361,"n.b."))</f>
        <v/>
      </c>
      <c r="BK361" s="124" t="str">
        <f>IF($B361="","",IFERROR(IF(ABS(Q361-(T361+SUM(AB361:AM361)+AS361+AU361))&gt;P_Tol,1,0),1))</f>
        <v/>
      </c>
      <c r="BL361" s="124" t="str">
        <f>IF($B361="","",IFERROR(IF(ABS(AA361-(Q361-Z361))&gt;P_Tol,1,0),1))</f>
        <v/>
      </c>
      <c r="BM361" s="124" t="str">
        <f>IF($B361="","",IFERROR(IF(ABS(Z361-(T361+W361))&gt;P_Tol,1,0),1))</f>
        <v/>
      </c>
      <c r="BN361" s="124" t="str">
        <f>IF($B361="","",IFERROR(IF(ABS(W361-BI361)&gt;P_Tol,1,0),1))</f>
        <v/>
      </c>
      <c r="BO361" s="124" t="str">
        <f>IF($B361="","",IFERROR(IF(OR(ABS(R361+S361-T361)&gt;P_Tol,ABS(U361+V361-W361)&gt;P_Tol,ABS(X361+Y361-Z361)&gt;P_Tol),1,0),1))</f>
        <v/>
      </c>
      <c r="BP361" s="124" t="str">
        <f>IF($B361="","",IFERROR(IF(OR(ABS(AR361-SUM(AB361:AM361))&gt;P_Tol,ABS(AS361-(AN361+AO361+AP361+AQ361))&gt;P_Tol),1,0),1))</f>
        <v/>
      </c>
      <c r="BQ361" s="124" t="str">
        <f>IF($B361="","",IFERROR(IF(ABS(AT361)+ABS(AV361)+ABS(AW361)+ABS(AX361)+ABS(AY361)+ABS(AZ361)+ABS(BA361)+ABS(BB361)&gt;0,1,0),1))</f>
        <v/>
      </c>
      <c r="BR361" s="124" t="str">
        <f>IF($B361="","",COUNTIF(STG_ZPMW03!$B$6:$B$505,B361))</f>
        <v/>
      </c>
      <c r="BS361" s="124" t="str">
        <f>IF($B361="","",COUNTIF($B$6:$B$505,B361))</f>
        <v/>
      </c>
      <c r="BT361" s="124" t="str">
        <f>IF($B361="","",IF(BR361=0,0,IF(INDEX(STG_ZPMW03!$I$6:$I$505,MATCH(B361,STG_ZPMW03!$B$6:$B$505,0))=J361&amp;"",0,1)))</f>
        <v/>
      </c>
      <c r="BU361" s="124" t="str">
        <f>IF($B361="","",IFERROR(IF(ABS(INDEX(Mapping!$D$5:$D$104,MATCH(B361,Mapping!$A$5:$A$104,0))-Q361)&gt;P_Tol,1,0),0))</f>
        <v/>
      </c>
      <c r="BV361" s="124" t="str">
        <f>IF($B361="","",IFERROR(IF(AND(INDEX(Mapping!$G$5:$G$104,MATCH(B361,Mapping!$A$5:$A$104,0))="Nee",ABS(Q361)+ABS(Z361)+ABS(AR361)&gt;0),1,0),0))</f>
        <v/>
      </c>
      <c r="BW361" s="124" t="str">
        <f>IF($B361="","",IF(COUNTIF(Mapping!$A$5:$A$104,B361)&gt;0,1,0))</f>
        <v/>
      </c>
      <c r="BX361" s="124" t="str">
        <f>IF($B361="","",IF(BR361=0,COUNTIF($BR$6:BR361,0),""))</f>
        <v/>
      </c>
    </row>
    <row r="362">
      <c r="A362" s="15" t="n">
        <v>358</v>
      </c>
      <c r="B362" t="str">
        <f>IF(B$3=0,"",IF(INDEX(SRC_Woningetalage!$A$1:$ZZ$501,$A362,B$3)&amp;""="","",INDEX(SRC_Woningetalage!$A$1:$ZZ$501,$A362,B$3)&amp;""))</f>
        <v/>
      </c>
      <c r="C362" t="str">
        <f>IF($B362="","",IF(C$3=0,"n.b.",INDEX(SRC_Woningetalage!$A$1:$ZZ$501,$A362,C$3)))</f>
        <v/>
      </c>
      <c r="D362" t="str">
        <f>IF($B362="","",IF(D$3=0,"n.b.",INDEX(SRC_Woningetalage!$A$1:$ZZ$501,$A362,D$3)))</f>
        <v/>
      </c>
      <c r="E362" t="str">
        <f>IF($B362="","",IF(E$3=0,"n.b.",INDEX(SRC_Woningetalage!$A$1:$ZZ$501,$A362,E$3)))</f>
        <v/>
      </c>
      <c r="F362" t="str">
        <f>IF($B362="","",IF(F$3=0,"n.b.",INDEX(SRC_Woningetalage!$A$1:$ZZ$501,$A362,F$3)))</f>
        <v/>
      </c>
      <c r="G362" t="str">
        <f>IF($B362="","",IF(G$3=0,"n.b.",INDEX(SRC_Woningetalage!$A$1:$ZZ$501,$A362,G$3)))</f>
        <v/>
      </c>
      <c r="H362" t="str">
        <f>IF($B362="","",IF(H$3=0,"n.b.",INDEX(SRC_Woningetalage!$A$1:$ZZ$501,$A362,H$3)))</f>
        <v/>
      </c>
      <c r="I362" t="str">
        <f>IF($B362="","",IF(I$3=0,"n.b.",INDEX(SRC_Woningetalage!$A$1:$ZZ$501,$A362,I$3)))</f>
        <v/>
      </c>
      <c r="J362" t="str">
        <f>IF($B362="","",IF(J$3=0,"n.b.",INDEX(SRC_Woningetalage!$A$1:$ZZ$501,$A362,J$3)))</f>
        <v/>
      </c>
      <c r="K362" t="str">
        <f>IF($B362="","",IF(K$3=0,"n.b.",INDEX(SRC_Woningetalage!$A$1:$ZZ$501,$A362,K$3)))</f>
        <v/>
      </c>
      <c r="L362" t="str">
        <f>IF($B362="","",IF(L$3=0,"n.b.",INDEX(SRC_Woningetalage!$A$1:$ZZ$501,$A362,L$3)))</f>
        <v/>
      </c>
      <c r="M362" t="str">
        <f>IF($B362="","",IF(M$3=0,"n.b.",INDEX(SRC_Woningetalage!$A$1:$ZZ$501,$A362,M$3)))</f>
        <v/>
      </c>
      <c r="N362" t="str">
        <f>IF($B362="","",IF(N$3=0,"n.b.",INDEX(SRC_Woningetalage!$A$1:$ZZ$501,$A362,N$3)))</f>
        <v/>
      </c>
      <c r="O362" t="str">
        <f>IF($B362="","",IF(O$3=0,"n.b.",INDEX(SRC_Woningetalage!$A$1:$ZZ$501,$A362,O$3)))</f>
        <v/>
      </c>
      <c r="P362" t="str">
        <f>IF($B362="","",IF(P$3=0,"n.b.",INDEX(SRC_Woningetalage!$A$1:$ZZ$501,$A362,P$3)))</f>
        <v/>
      </c>
      <c r="Q362" s="124" t="str">
        <f>IF($B362="","",IF(Q$3=0,"n.b.",INDEX(SRC_Woningetalage!$A$1:$ZZ$501,$A362,Q$3)))</f>
        <v/>
      </c>
      <c r="R362" s="124" t="str">
        <f>IF($B362="","",IF(R$3=0,"n.b.",INDEX(SRC_Woningetalage!$A$1:$ZZ$501,$A362,R$3)))</f>
        <v/>
      </c>
      <c r="S362" s="124" t="str">
        <f>IF($B362="","",IF(S$3=0,"n.b.",INDEX(SRC_Woningetalage!$A$1:$ZZ$501,$A362,S$3)))</f>
        <v/>
      </c>
      <c r="T362" s="124" t="str">
        <f>IF($B362="","",IF(T$3=0,"n.b.",INDEX(SRC_Woningetalage!$A$1:$ZZ$501,$A362,T$3)))</f>
        <v/>
      </c>
      <c r="U362" s="124" t="str">
        <f>IF($B362="","",IF(U$3=0,"n.b.",INDEX(SRC_Woningetalage!$A$1:$ZZ$501,$A362,U$3)))</f>
        <v/>
      </c>
      <c r="V362" s="124" t="str">
        <f>IF($B362="","",IF(V$3=0,"n.b.",INDEX(SRC_Woningetalage!$A$1:$ZZ$501,$A362,V$3)))</f>
        <v/>
      </c>
      <c r="W362" s="124" t="str">
        <f>IF($B362="","",IF(W$3=0,"n.b.",INDEX(SRC_Woningetalage!$A$1:$ZZ$501,$A362,W$3)))</f>
        <v/>
      </c>
      <c r="X362" s="124" t="str">
        <f>IF($B362="","",IF(X$3=0,"n.b.",INDEX(SRC_Woningetalage!$A$1:$ZZ$501,$A362,X$3)))</f>
        <v/>
      </c>
      <c r="Y362" s="124" t="str">
        <f>IF($B362="","",IF(Y$3=0,"n.b.",INDEX(SRC_Woningetalage!$A$1:$ZZ$501,$A362,Y$3)))</f>
        <v/>
      </c>
      <c r="Z362" s="124" t="str">
        <f>IF($B362="","",IF(Z$3=0,"n.b.",INDEX(SRC_Woningetalage!$A$1:$ZZ$501,$A362,Z$3)))</f>
        <v/>
      </c>
      <c r="AA362" s="124" t="str">
        <f>IF($B362="","",IF(AA$3=0,"n.b.",INDEX(SRC_Woningetalage!$A$1:$ZZ$501,$A362,AA$3)))</f>
        <v/>
      </c>
      <c r="AB362" s="124" t="str">
        <f>IF($B362="","",IF(AB$3=0,"n.b.",INDEX(SRC_Woningetalage!$A$1:$ZZ$501,$A362,AB$3)))</f>
        <v/>
      </c>
      <c r="AC362" s="124" t="str">
        <f>IF($B362="","",IF(AC$3=0,"n.b.",INDEX(SRC_Woningetalage!$A$1:$ZZ$501,$A362,AC$3)))</f>
        <v/>
      </c>
      <c r="AD362" s="124" t="str">
        <f>IF($B362="","",IF(AD$3=0,"n.b.",INDEX(SRC_Woningetalage!$A$1:$ZZ$501,$A362,AD$3)))</f>
        <v/>
      </c>
      <c r="AE362" s="124" t="str">
        <f>IF($B362="","",IF(AE$3=0,"n.b.",INDEX(SRC_Woningetalage!$A$1:$ZZ$501,$A362,AE$3)))</f>
        <v/>
      </c>
      <c r="AF362" s="124" t="str">
        <f>IF($B362="","",IF(AF$3=0,"n.b.",INDEX(SRC_Woningetalage!$A$1:$ZZ$501,$A362,AF$3)))</f>
        <v/>
      </c>
      <c r="AG362" s="124" t="str">
        <f>IF($B362="","",IF(AG$3=0,"n.b.",INDEX(SRC_Woningetalage!$A$1:$ZZ$501,$A362,AG$3)))</f>
        <v/>
      </c>
      <c r="AH362" s="124" t="str">
        <f>IF($B362="","",IF(AH$3=0,"n.b.",INDEX(SRC_Woningetalage!$A$1:$ZZ$501,$A362,AH$3)))</f>
        <v/>
      </c>
      <c r="AI362" s="124" t="str">
        <f>IF($B362="","",IF(AI$3=0,"n.b.",INDEX(SRC_Woningetalage!$A$1:$ZZ$501,$A362,AI$3)))</f>
        <v/>
      </c>
      <c r="AJ362" s="124" t="str">
        <f>IF($B362="","",IF(AJ$3=0,"n.b.",INDEX(SRC_Woningetalage!$A$1:$ZZ$501,$A362,AJ$3)))</f>
        <v/>
      </c>
      <c r="AK362" s="124" t="str">
        <f>IF($B362="","",IF(AK$3=0,"n.b.",INDEX(SRC_Woningetalage!$A$1:$ZZ$501,$A362,AK$3)))</f>
        <v/>
      </c>
      <c r="AL362" s="124" t="str">
        <f>IF($B362="","",IF(AL$3=0,"n.b.",INDEX(SRC_Woningetalage!$A$1:$ZZ$501,$A362,AL$3)))</f>
        <v/>
      </c>
      <c r="AM362" s="124" t="str">
        <f>IF($B362="","",IF(AM$3=0,"n.b.",INDEX(SRC_Woningetalage!$A$1:$ZZ$501,$A362,AM$3)))</f>
        <v/>
      </c>
      <c r="AN362" s="124" t="str">
        <f>IF($B362="","",IF(AN$3=0,"n.b.",INDEX(SRC_Woningetalage!$A$1:$ZZ$501,$A362,AN$3)))</f>
        <v/>
      </c>
      <c r="AO362" s="124" t="str">
        <f>IF($B362="","",IF(AO$3=0,"n.b.",INDEX(SRC_Woningetalage!$A$1:$ZZ$501,$A362,AO$3)))</f>
        <v/>
      </c>
      <c r="AP362" s="124" t="str">
        <f>IF($B362="","",IF(AP$3=0,"n.b.",INDEX(SRC_Woningetalage!$A$1:$ZZ$501,$A362,AP$3)))</f>
        <v/>
      </c>
      <c r="AQ362" s="124" t="str">
        <f>IF($B362="","",IF(AQ$3=0,"n.b.",INDEX(SRC_Woningetalage!$A$1:$ZZ$501,$A362,AQ$3)))</f>
        <v/>
      </c>
      <c r="AR362" s="124" t="str">
        <f>IF($B362="","",IF(AR$3=0,"n.b.",INDEX(SRC_Woningetalage!$A$1:$ZZ$501,$A362,AR$3)))</f>
        <v/>
      </c>
      <c r="AS362" s="124" t="str">
        <f>IF($B362="","",IF(AS$3=0,"n.b.",INDEX(SRC_Woningetalage!$A$1:$ZZ$501,$A362,AS$3)))</f>
        <v/>
      </c>
      <c r="AT362" s="124" t="str">
        <f>IF($B362="","",IF(AT$3=0,"n.b.",INDEX(SRC_Woningetalage!$A$1:$ZZ$501,$A362,AT$3)))</f>
        <v/>
      </c>
      <c r="AU362" s="124" t="str">
        <f>IF($B362="","",IF(AU$3=0,"n.b.",INDEX(SRC_Woningetalage!$A$1:$ZZ$501,$A362,AU$3)))</f>
        <v/>
      </c>
      <c r="AV362" s="124" t="str">
        <f>IF($B362="","",IF(AV$3=0,"n.b.",INDEX(SRC_Woningetalage!$A$1:$ZZ$501,$A362,AV$3)))</f>
        <v/>
      </c>
      <c r="AW362" s="124" t="str">
        <f>IF($B362="","",IF(AW$3=0,"n.b.",INDEX(SRC_Woningetalage!$A$1:$ZZ$501,$A362,AW$3)))</f>
        <v/>
      </c>
      <c r="AX362" s="124" t="str">
        <f>IF($B362="","",IF(AX$3=0,"n.b.",INDEX(SRC_Woningetalage!$A$1:$ZZ$501,$A362,AX$3)))</f>
        <v/>
      </c>
      <c r="AY362" s="124" t="str">
        <f>IF($B362="","",IF(AY$3=0,"n.b.",INDEX(SRC_Woningetalage!$A$1:$ZZ$501,$A362,AY$3)))</f>
        <v/>
      </c>
      <c r="AZ362" s="124" t="str">
        <f>IF($B362="","",IF(AZ$3=0,"n.b.",INDEX(SRC_Woningetalage!$A$1:$ZZ$501,$A362,AZ$3)))</f>
        <v/>
      </c>
      <c r="BA362" s="124" t="str">
        <f>IF($B362="","",IF(BA$3=0,"n.b.",INDEX(SRC_Woningetalage!$A$1:$ZZ$501,$A362,BA$3)))</f>
        <v/>
      </c>
      <c r="BB362" s="124" t="str">
        <f>IF($B362="","",IF(BB$3=0,"n.b.",INDEX(SRC_Woningetalage!$A$1:$ZZ$501,$A362,BB$3)))</f>
        <v/>
      </c>
      <c r="BC362" s="124" t="str">
        <f>IF($B362="","",IFERROR(_xlfn.NUMBERVALUE(E362&amp;"",",","."),"n.b."))</f>
        <v/>
      </c>
      <c r="BD362" s="124" t="str">
        <f>IF($B362="","",IFERROR(_xlfn.NUMBERVALUE(M362&amp;"",",","."),"n.b."))</f>
        <v/>
      </c>
      <c r="BE362" s="124" t="str">
        <f>IF($B362="","",IFERROR(AB362+AC362+AD362,"n.b."))</f>
        <v/>
      </c>
      <c r="BF362" s="124" t="str">
        <f>IF($B362="","",IFERROR(AE362+AF362+AG362,"n.b."))</f>
        <v/>
      </c>
      <c r="BG362" s="124" t="str">
        <f>IF($B362="","",IFERROR(AH362+AI362+AJ362,"n.b."))</f>
        <v/>
      </c>
      <c r="BH362" s="124" t="str">
        <f>IF($B362="","",IFERROR(AK362+AL362+AM362,"n.b."))</f>
        <v/>
      </c>
      <c r="BI362" s="124" t="str">
        <f>IF($B362="","",IFERROR(SUMIF($AB$5:$AM$5,"&lt;="&amp;P_PeilMaand,AB362:AM362),"n.b."))</f>
        <v/>
      </c>
      <c r="BJ362" s="124" t="str">
        <f>IF($B362="","",IFERROR(SUM(AB362:AM362)-BI362,"n.b."))</f>
        <v/>
      </c>
      <c r="BK362" s="124" t="str">
        <f>IF($B362="","",IFERROR(IF(ABS(Q362-(T362+SUM(AB362:AM362)+AS362+AU362))&gt;P_Tol,1,0),1))</f>
        <v/>
      </c>
      <c r="BL362" s="124" t="str">
        <f>IF($B362="","",IFERROR(IF(ABS(AA362-(Q362-Z362))&gt;P_Tol,1,0),1))</f>
        <v/>
      </c>
      <c r="BM362" s="124" t="str">
        <f>IF($B362="","",IFERROR(IF(ABS(Z362-(T362+W362))&gt;P_Tol,1,0),1))</f>
        <v/>
      </c>
      <c r="BN362" s="124" t="str">
        <f>IF($B362="","",IFERROR(IF(ABS(W362-BI362)&gt;P_Tol,1,0),1))</f>
        <v/>
      </c>
      <c r="BO362" s="124" t="str">
        <f>IF($B362="","",IFERROR(IF(OR(ABS(R362+S362-T362)&gt;P_Tol,ABS(U362+V362-W362)&gt;P_Tol,ABS(X362+Y362-Z362)&gt;P_Tol),1,0),1))</f>
        <v/>
      </c>
      <c r="BP362" s="124" t="str">
        <f>IF($B362="","",IFERROR(IF(OR(ABS(AR362-SUM(AB362:AM362))&gt;P_Tol,ABS(AS362-(AN362+AO362+AP362+AQ362))&gt;P_Tol),1,0),1))</f>
        <v/>
      </c>
      <c r="BQ362" s="124" t="str">
        <f>IF($B362="","",IFERROR(IF(ABS(AT362)+ABS(AV362)+ABS(AW362)+ABS(AX362)+ABS(AY362)+ABS(AZ362)+ABS(BA362)+ABS(BB362)&gt;0,1,0),1))</f>
        <v/>
      </c>
      <c r="BR362" s="124" t="str">
        <f>IF($B362="","",COUNTIF(STG_ZPMW03!$B$6:$B$505,B362))</f>
        <v/>
      </c>
      <c r="BS362" s="124" t="str">
        <f>IF($B362="","",COUNTIF($B$6:$B$505,B362))</f>
        <v/>
      </c>
      <c r="BT362" s="124" t="str">
        <f>IF($B362="","",IF(BR362=0,0,IF(INDEX(STG_ZPMW03!$I$6:$I$505,MATCH(B362,STG_ZPMW03!$B$6:$B$505,0))=J362&amp;"",0,1)))</f>
        <v/>
      </c>
      <c r="BU362" s="124" t="str">
        <f>IF($B362="","",IFERROR(IF(ABS(INDEX(Mapping!$D$5:$D$104,MATCH(B362,Mapping!$A$5:$A$104,0))-Q362)&gt;P_Tol,1,0),0))</f>
        <v/>
      </c>
      <c r="BV362" s="124" t="str">
        <f>IF($B362="","",IFERROR(IF(AND(INDEX(Mapping!$G$5:$G$104,MATCH(B362,Mapping!$A$5:$A$104,0))="Nee",ABS(Q362)+ABS(Z362)+ABS(AR362)&gt;0),1,0),0))</f>
        <v/>
      </c>
      <c r="BW362" s="124" t="str">
        <f>IF($B362="","",IF(COUNTIF(Mapping!$A$5:$A$104,B362)&gt;0,1,0))</f>
        <v/>
      </c>
      <c r="BX362" s="124" t="str">
        <f>IF($B362="","",IF(BR362=0,COUNTIF($BR$6:BR362,0),""))</f>
        <v/>
      </c>
    </row>
    <row r="363">
      <c r="A363" s="15" t="n">
        <v>359</v>
      </c>
      <c r="B363" t="str">
        <f>IF(B$3=0,"",IF(INDEX(SRC_Woningetalage!$A$1:$ZZ$501,$A363,B$3)&amp;""="","",INDEX(SRC_Woningetalage!$A$1:$ZZ$501,$A363,B$3)&amp;""))</f>
        <v/>
      </c>
      <c r="C363" t="str">
        <f>IF($B363="","",IF(C$3=0,"n.b.",INDEX(SRC_Woningetalage!$A$1:$ZZ$501,$A363,C$3)))</f>
        <v/>
      </c>
      <c r="D363" t="str">
        <f>IF($B363="","",IF(D$3=0,"n.b.",INDEX(SRC_Woningetalage!$A$1:$ZZ$501,$A363,D$3)))</f>
        <v/>
      </c>
      <c r="E363" t="str">
        <f>IF($B363="","",IF(E$3=0,"n.b.",INDEX(SRC_Woningetalage!$A$1:$ZZ$501,$A363,E$3)))</f>
        <v/>
      </c>
      <c r="F363" t="str">
        <f>IF($B363="","",IF(F$3=0,"n.b.",INDEX(SRC_Woningetalage!$A$1:$ZZ$501,$A363,F$3)))</f>
        <v/>
      </c>
      <c r="G363" t="str">
        <f>IF($B363="","",IF(G$3=0,"n.b.",INDEX(SRC_Woningetalage!$A$1:$ZZ$501,$A363,G$3)))</f>
        <v/>
      </c>
      <c r="H363" t="str">
        <f>IF($B363="","",IF(H$3=0,"n.b.",INDEX(SRC_Woningetalage!$A$1:$ZZ$501,$A363,H$3)))</f>
        <v/>
      </c>
      <c r="I363" t="str">
        <f>IF($B363="","",IF(I$3=0,"n.b.",INDEX(SRC_Woningetalage!$A$1:$ZZ$501,$A363,I$3)))</f>
        <v/>
      </c>
      <c r="J363" t="str">
        <f>IF($B363="","",IF(J$3=0,"n.b.",INDEX(SRC_Woningetalage!$A$1:$ZZ$501,$A363,J$3)))</f>
        <v/>
      </c>
      <c r="K363" t="str">
        <f>IF($B363="","",IF(K$3=0,"n.b.",INDEX(SRC_Woningetalage!$A$1:$ZZ$501,$A363,K$3)))</f>
        <v/>
      </c>
      <c r="L363" t="str">
        <f>IF($B363="","",IF(L$3=0,"n.b.",INDEX(SRC_Woningetalage!$A$1:$ZZ$501,$A363,L$3)))</f>
        <v/>
      </c>
      <c r="M363" t="str">
        <f>IF($B363="","",IF(M$3=0,"n.b.",INDEX(SRC_Woningetalage!$A$1:$ZZ$501,$A363,M$3)))</f>
        <v/>
      </c>
      <c r="N363" t="str">
        <f>IF($B363="","",IF(N$3=0,"n.b.",INDEX(SRC_Woningetalage!$A$1:$ZZ$501,$A363,N$3)))</f>
        <v/>
      </c>
      <c r="O363" t="str">
        <f>IF($B363="","",IF(O$3=0,"n.b.",INDEX(SRC_Woningetalage!$A$1:$ZZ$501,$A363,O$3)))</f>
        <v/>
      </c>
      <c r="P363" t="str">
        <f>IF($B363="","",IF(P$3=0,"n.b.",INDEX(SRC_Woningetalage!$A$1:$ZZ$501,$A363,P$3)))</f>
        <v/>
      </c>
      <c r="Q363" s="124" t="str">
        <f>IF($B363="","",IF(Q$3=0,"n.b.",INDEX(SRC_Woningetalage!$A$1:$ZZ$501,$A363,Q$3)))</f>
        <v/>
      </c>
      <c r="R363" s="124" t="str">
        <f>IF($B363="","",IF(R$3=0,"n.b.",INDEX(SRC_Woningetalage!$A$1:$ZZ$501,$A363,R$3)))</f>
        <v/>
      </c>
      <c r="S363" s="124" t="str">
        <f>IF($B363="","",IF(S$3=0,"n.b.",INDEX(SRC_Woningetalage!$A$1:$ZZ$501,$A363,S$3)))</f>
        <v/>
      </c>
      <c r="T363" s="124" t="str">
        <f>IF($B363="","",IF(T$3=0,"n.b.",INDEX(SRC_Woningetalage!$A$1:$ZZ$501,$A363,T$3)))</f>
        <v/>
      </c>
      <c r="U363" s="124" t="str">
        <f>IF($B363="","",IF(U$3=0,"n.b.",INDEX(SRC_Woningetalage!$A$1:$ZZ$501,$A363,U$3)))</f>
        <v/>
      </c>
      <c r="V363" s="124" t="str">
        <f>IF($B363="","",IF(V$3=0,"n.b.",INDEX(SRC_Woningetalage!$A$1:$ZZ$501,$A363,V$3)))</f>
        <v/>
      </c>
      <c r="W363" s="124" t="str">
        <f>IF($B363="","",IF(W$3=0,"n.b.",INDEX(SRC_Woningetalage!$A$1:$ZZ$501,$A363,W$3)))</f>
        <v/>
      </c>
      <c r="X363" s="124" t="str">
        <f>IF($B363="","",IF(X$3=0,"n.b.",INDEX(SRC_Woningetalage!$A$1:$ZZ$501,$A363,X$3)))</f>
        <v/>
      </c>
      <c r="Y363" s="124" t="str">
        <f>IF($B363="","",IF(Y$3=0,"n.b.",INDEX(SRC_Woningetalage!$A$1:$ZZ$501,$A363,Y$3)))</f>
        <v/>
      </c>
      <c r="Z363" s="124" t="str">
        <f>IF($B363="","",IF(Z$3=0,"n.b.",INDEX(SRC_Woningetalage!$A$1:$ZZ$501,$A363,Z$3)))</f>
        <v/>
      </c>
      <c r="AA363" s="124" t="str">
        <f>IF($B363="","",IF(AA$3=0,"n.b.",INDEX(SRC_Woningetalage!$A$1:$ZZ$501,$A363,AA$3)))</f>
        <v/>
      </c>
      <c r="AB363" s="124" t="str">
        <f>IF($B363="","",IF(AB$3=0,"n.b.",INDEX(SRC_Woningetalage!$A$1:$ZZ$501,$A363,AB$3)))</f>
        <v/>
      </c>
      <c r="AC363" s="124" t="str">
        <f>IF($B363="","",IF(AC$3=0,"n.b.",INDEX(SRC_Woningetalage!$A$1:$ZZ$501,$A363,AC$3)))</f>
        <v/>
      </c>
      <c r="AD363" s="124" t="str">
        <f>IF($B363="","",IF(AD$3=0,"n.b.",INDEX(SRC_Woningetalage!$A$1:$ZZ$501,$A363,AD$3)))</f>
        <v/>
      </c>
      <c r="AE363" s="124" t="str">
        <f>IF($B363="","",IF(AE$3=0,"n.b.",INDEX(SRC_Woningetalage!$A$1:$ZZ$501,$A363,AE$3)))</f>
        <v/>
      </c>
      <c r="AF363" s="124" t="str">
        <f>IF($B363="","",IF(AF$3=0,"n.b.",INDEX(SRC_Woningetalage!$A$1:$ZZ$501,$A363,AF$3)))</f>
        <v/>
      </c>
      <c r="AG363" s="124" t="str">
        <f>IF($B363="","",IF(AG$3=0,"n.b.",INDEX(SRC_Woningetalage!$A$1:$ZZ$501,$A363,AG$3)))</f>
        <v/>
      </c>
      <c r="AH363" s="124" t="str">
        <f>IF($B363="","",IF(AH$3=0,"n.b.",INDEX(SRC_Woningetalage!$A$1:$ZZ$501,$A363,AH$3)))</f>
        <v/>
      </c>
      <c r="AI363" s="124" t="str">
        <f>IF($B363="","",IF(AI$3=0,"n.b.",INDEX(SRC_Woningetalage!$A$1:$ZZ$501,$A363,AI$3)))</f>
        <v/>
      </c>
      <c r="AJ363" s="124" t="str">
        <f>IF($B363="","",IF(AJ$3=0,"n.b.",INDEX(SRC_Woningetalage!$A$1:$ZZ$501,$A363,AJ$3)))</f>
        <v/>
      </c>
      <c r="AK363" s="124" t="str">
        <f>IF($B363="","",IF(AK$3=0,"n.b.",INDEX(SRC_Woningetalage!$A$1:$ZZ$501,$A363,AK$3)))</f>
        <v/>
      </c>
      <c r="AL363" s="124" t="str">
        <f>IF($B363="","",IF(AL$3=0,"n.b.",INDEX(SRC_Woningetalage!$A$1:$ZZ$501,$A363,AL$3)))</f>
        <v/>
      </c>
      <c r="AM363" s="124" t="str">
        <f>IF($B363="","",IF(AM$3=0,"n.b.",INDEX(SRC_Woningetalage!$A$1:$ZZ$501,$A363,AM$3)))</f>
        <v/>
      </c>
      <c r="AN363" s="124" t="str">
        <f>IF($B363="","",IF(AN$3=0,"n.b.",INDEX(SRC_Woningetalage!$A$1:$ZZ$501,$A363,AN$3)))</f>
        <v/>
      </c>
      <c r="AO363" s="124" t="str">
        <f>IF($B363="","",IF(AO$3=0,"n.b.",INDEX(SRC_Woningetalage!$A$1:$ZZ$501,$A363,AO$3)))</f>
        <v/>
      </c>
      <c r="AP363" s="124" t="str">
        <f>IF($B363="","",IF(AP$3=0,"n.b.",INDEX(SRC_Woningetalage!$A$1:$ZZ$501,$A363,AP$3)))</f>
        <v/>
      </c>
      <c r="AQ363" s="124" t="str">
        <f>IF($B363="","",IF(AQ$3=0,"n.b.",INDEX(SRC_Woningetalage!$A$1:$ZZ$501,$A363,AQ$3)))</f>
        <v/>
      </c>
      <c r="AR363" s="124" t="str">
        <f>IF($B363="","",IF(AR$3=0,"n.b.",INDEX(SRC_Woningetalage!$A$1:$ZZ$501,$A363,AR$3)))</f>
        <v/>
      </c>
      <c r="AS363" s="124" t="str">
        <f>IF($B363="","",IF(AS$3=0,"n.b.",INDEX(SRC_Woningetalage!$A$1:$ZZ$501,$A363,AS$3)))</f>
        <v/>
      </c>
      <c r="AT363" s="124" t="str">
        <f>IF($B363="","",IF(AT$3=0,"n.b.",INDEX(SRC_Woningetalage!$A$1:$ZZ$501,$A363,AT$3)))</f>
        <v/>
      </c>
      <c r="AU363" s="124" t="str">
        <f>IF($B363="","",IF(AU$3=0,"n.b.",INDEX(SRC_Woningetalage!$A$1:$ZZ$501,$A363,AU$3)))</f>
        <v/>
      </c>
      <c r="AV363" s="124" t="str">
        <f>IF($B363="","",IF(AV$3=0,"n.b.",INDEX(SRC_Woningetalage!$A$1:$ZZ$501,$A363,AV$3)))</f>
        <v/>
      </c>
      <c r="AW363" s="124" t="str">
        <f>IF($B363="","",IF(AW$3=0,"n.b.",INDEX(SRC_Woningetalage!$A$1:$ZZ$501,$A363,AW$3)))</f>
        <v/>
      </c>
      <c r="AX363" s="124" t="str">
        <f>IF($B363="","",IF(AX$3=0,"n.b.",INDEX(SRC_Woningetalage!$A$1:$ZZ$501,$A363,AX$3)))</f>
        <v/>
      </c>
      <c r="AY363" s="124" t="str">
        <f>IF($B363="","",IF(AY$3=0,"n.b.",INDEX(SRC_Woningetalage!$A$1:$ZZ$501,$A363,AY$3)))</f>
        <v/>
      </c>
      <c r="AZ363" s="124" t="str">
        <f>IF($B363="","",IF(AZ$3=0,"n.b.",INDEX(SRC_Woningetalage!$A$1:$ZZ$501,$A363,AZ$3)))</f>
        <v/>
      </c>
      <c r="BA363" s="124" t="str">
        <f>IF($B363="","",IF(BA$3=0,"n.b.",INDEX(SRC_Woningetalage!$A$1:$ZZ$501,$A363,BA$3)))</f>
        <v/>
      </c>
      <c r="BB363" s="124" t="str">
        <f>IF($B363="","",IF(BB$3=0,"n.b.",INDEX(SRC_Woningetalage!$A$1:$ZZ$501,$A363,BB$3)))</f>
        <v/>
      </c>
      <c r="BC363" s="124" t="str">
        <f>IF($B363="","",IFERROR(_xlfn.NUMBERVALUE(E363&amp;"",",","."),"n.b."))</f>
        <v/>
      </c>
      <c r="BD363" s="124" t="str">
        <f>IF($B363="","",IFERROR(_xlfn.NUMBERVALUE(M363&amp;"",",","."),"n.b."))</f>
        <v/>
      </c>
      <c r="BE363" s="124" t="str">
        <f>IF($B363="","",IFERROR(AB363+AC363+AD363,"n.b."))</f>
        <v/>
      </c>
      <c r="BF363" s="124" t="str">
        <f>IF($B363="","",IFERROR(AE363+AF363+AG363,"n.b."))</f>
        <v/>
      </c>
      <c r="BG363" s="124" t="str">
        <f>IF($B363="","",IFERROR(AH363+AI363+AJ363,"n.b."))</f>
        <v/>
      </c>
      <c r="BH363" s="124" t="str">
        <f>IF($B363="","",IFERROR(AK363+AL363+AM363,"n.b."))</f>
        <v/>
      </c>
      <c r="BI363" s="124" t="str">
        <f>IF($B363="","",IFERROR(SUMIF($AB$5:$AM$5,"&lt;="&amp;P_PeilMaand,AB363:AM363),"n.b."))</f>
        <v/>
      </c>
      <c r="BJ363" s="124" t="str">
        <f>IF($B363="","",IFERROR(SUM(AB363:AM363)-BI363,"n.b."))</f>
        <v/>
      </c>
      <c r="BK363" s="124" t="str">
        <f>IF($B363="","",IFERROR(IF(ABS(Q363-(T363+SUM(AB363:AM363)+AS363+AU363))&gt;P_Tol,1,0),1))</f>
        <v/>
      </c>
      <c r="BL363" s="124" t="str">
        <f>IF($B363="","",IFERROR(IF(ABS(AA363-(Q363-Z363))&gt;P_Tol,1,0),1))</f>
        <v/>
      </c>
      <c r="BM363" s="124" t="str">
        <f>IF($B363="","",IFERROR(IF(ABS(Z363-(T363+W363))&gt;P_Tol,1,0),1))</f>
        <v/>
      </c>
      <c r="BN363" s="124" t="str">
        <f>IF($B363="","",IFERROR(IF(ABS(W363-BI363)&gt;P_Tol,1,0),1))</f>
        <v/>
      </c>
      <c r="BO363" s="124" t="str">
        <f>IF($B363="","",IFERROR(IF(OR(ABS(R363+S363-T363)&gt;P_Tol,ABS(U363+V363-W363)&gt;P_Tol,ABS(X363+Y363-Z363)&gt;P_Tol),1,0),1))</f>
        <v/>
      </c>
      <c r="BP363" s="124" t="str">
        <f>IF($B363="","",IFERROR(IF(OR(ABS(AR363-SUM(AB363:AM363))&gt;P_Tol,ABS(AS363-(AN363+AO363+AP363+AQ363))&gt;P_Tol),1,0),1))</f>
        <v/>
      </c>
      <c r="BQ363" s="124" t="str">
        <f>IF($B363="","",IFERROR(IF(ABS(AT363)+ABS(AV363)+ABS(AW363)+ABS(AX363)+ABS(AY363)+ABS(AZ363)+ABS(BA363)+ABS(BB363)&gt;0,1,0),1))</f>
        <v/>
      </c>
      <c r="BR363" s="124" t="str">
        <f>IF($B363="","",COUNTIF(STG_ZPMW03!$B$6:$B$505,B363))</f>
        <v/>
      </c>
      <c r="BS363" s="124" t="str">
        <f>IF($B363="","",COUNTIF($B$6:$B$505,B363))</f>
        <v/>
      </c>
      <c r="BT363" s="124" t="str">
        <f>IF($B363="","",IF(BR363=0,0,IF(INDEX(STG_ZPMW03!$I$6:$I$505,MATCH(B363,STG_ZPMW03!$B$6:$B$505,0))=J363&amp;"",0,1)))</f>
        <v/>
      </c>
      <c r="BU363" s="124" t="str">
        <f>IF($B363="","",IFERROR(IF(ABS(INDEX(Mapping!$D$5:$D$104,MATCH(B363,Mapping!$A$5:$A$104,0))-Q363)&gt;P_Tol,1,0),0))</f>
        <v/>
      </c>
      <c r="BV363" s="124" t="str">
        <f>IF($B363="","",IFERROR(IF(AND(INDEX(Mapping!$G$5:$G$104,MATCH(B363,Mapping!$A$5:$A$104,0))="Nee",ABS(Q363)+ABS(Z363)+ABS(AR363)&gt;0),1,0),0))</f>
        <v/>
      </c>
      <c r="BW363" s="124" t="str">
        <f>IF($B363="","",IF(COUNTIF(Mapping!$A$5:$A$104,B363)&gt;0,1,0))</f>
        <v/>
      </c>
      <c r="BX363" s="124" t="str">
        <f>IF($B363="","",IF(BR363=0,COUNTIF($BR$6:BR363,0),""))</f>
        <v/>
      </c>
    </row>
    <row r="364">
      <c r="A364" s="15" t="n">
        <v>360</v>
      </c>
      <c r="B364" t="str">
        <f>IF(B$3=0,"",IF(INDEX(SRC_Woningetalage!$A$1:$ZZ$501,$A364,B$3)&amp;""="","",INDEX(SRC_Woningetalage!$A$1:$ZZ$501,$A364,B$3)&amp;""))</f>
        <v/>
      </c>
      <c r="C364" t="str">
        <f>IF($B364="","",IF(C$3=0,"n.b.",INDEX(SRC_Woningetalage!$A$1:$ZZ$501,$A364,C$3)))</f>
        <v/>
      </c>
      <c r="D364" t="str">
        <f>IF($B364="","",IF(D$3=0,"n.b.",INDEX(SRC_Woningetalage!$A$1:$ZZ$501,$A364,D$3)))</f>
        <v/>
      </c>
      <c r="E364" t="str">
        <f>IF($B364="","",IF(E$3=0,"n.b.",INDEX(SRC_Woningetalage!$A$1:$ZZ$501,$A364,E$3)))</f>
        <v/>
      </c>
      <c r="F364" t="str">
        <f>IF($B364="","",IF(F$3=0,"n.b.",INDEX(SRC_Woningetalage!$A$1:$ZZ$501,$A364,F$3)))</f>
        <v/>
      </c>
      <c r="G364" t="str">
        <f>IF($B364="","",IF(G$3=0,"n.b.",INDEX(SRC_Woningetalage!$A$1:$ZZ$501,$A364,G$3)))</f>
        <v/>
      </c>
      <c r="H364" t="str">
        <f>IF($B364="","",IF(H$3=0,"n.b.",INDEX(SRC_Woningetalage!$A$1:$ZZ$501,$A364,H$3)))</f>
        <v/>
      </c>
      <c r="I364" t="str">
        <f>IF($B364="","",IF(I$3=0,"n.b.",INDEX(SRC_Woningetalage!$A$1:$ZZ$501,$A364,I$3)))</f>
        <v/>
      </c>
      <c r="J364" t="str">
        <f>IF($B364="","",IF(J$3=0,"n.b.",INDEX(SRC_Woningetalage!$A$1:$ZZ$501,$A364,J$3)))</f>
        <v/>
      </c>
      <c r="K364" t="str">
        <f>IF($B364="","",IF(K$3=0,"n.b.",INDEX(SRC_Woningetalage!$A$1:$ZZ$501,$A364,K$3)))</f>
        <v/>
      </c>
      <c r="L364" t="str">
        <f>IF($B364="","",IF(L$3=0,"n.b.",INDEX(SRC_Woningetalage!$A$1:$ZZ$501,$A364,L$3)))</f>
        <v/>
      </c>
      <c r="M364" t="str">
        <f>IF($B364="","",IF(M$3=0,"n.b.",INDEX(SRC_Woningetalage!$A$1:$ZZ$501,$A364,M$3)))</f>
        <v/>
      </c>
      <c r="N364" t="str">
        <f>IF($B364="","",IF(N$3=0,"n.b.",INDEX(SRC_Woningetalage!$A$1:$ZZ$501,$A364,N$3)))</f>
        <v/>
      </c>
      <c r="O364" t="str">
        <f>IF($B364="","",IF(O$3=0,"n.b.",INDEX(SRC_Woningetalage!$A$1:$ZZ$501,$A364,O$3)))</f>
        <v/>
      </c>
      <c r="P364" t="str">
        <f>IF($B364="","",IF(P$3=0,"n.b.",INDEX(SRC_Woningetalage!$A$1:$ZZ$501,$A364,P$3)))</f>
        <v/>
      </c>
      <c r="Q364" s="124" t="str">
        <f>IF($B364="","",IF(Q$3=0,"n.b.",INDEX(SRC_Woningetalage!$A$1:$ZZ$501,$A364,Q$3)))</f>
        <v/>
      </c>
      <c r="R364" s="124" t="str">
        <f>IF($B364="","",IF(R$3=0,"n.b.",INDEX(SRC_Woningetalage!$A$1:$ZZ$501,$A364,R$3)))</f>
        <v/>
      </c>
      <c r="S364" s="124" t="str">
        <f>IF($B364="","",IF(S$3=0,"n.b.",INDEX(SRC_Woningetalage!$A$1:$ZZ$501,$A364,S$3)))</f>
        <v/>
      </c>
      <c r="T364" s="124" t="str">
        <f>IF($B364="","",IF(T$3=0,"n.b.",INDEX(SRC_Woningetalage!$A$1:$ZZ$501,$A364,T$3)))</f>
        <v/>
      </c>
      <c r="U364" s="124" t="str">
        <f>IF($B364="","",IF(U$3=0,"n.b.",INDEX(SRC_Woningetalage!$A$1:$ZZ$501,$A364,U$3)))</f>
        <v/>
      </c>
      <c r="V364" s="124" t="str">
        <f>IF($B364="","",IF(V$3=0,"n.b.",INDEX(SRC_Woningetalage!$A$1:$ZZ$501,$A364,V$3)))</f>
        <v/>
      </c>
      <c r="W364" s="124" t="str">
        <f>IF($B364="","",IF(W$3=0,"n.b.",INDEX(SRC_Woningetalage!$A$1:$ZZ$501,$A364,W$3)))</f>
        <v/>
      </c>
      <c r="X364" s="124" t="str">
        <f>IF($B364="","",IF(X$3=0,"n.b.",INDEX(SRC_Woningetalage!$A$1:$ZZ$501,$A364,X$3)))</f>
        <v/>
      </c>
      <c r="Y364" s="124" t="str">
        <f>IF($B364="","",IF(Y$3=0,"n.b.",INDEX(SRC_Woningetalage!$A$1:$ZZ$501,$A364,Y$3)))</f>
        <v/>
      </c>
      <c r="Z364" s="124" t="str">
        <f>IF($B364="","",IF(Z$3=0,"n.b.",INDEX(SRC_Woningetalage!$A$1:$ZZ$501,$A364,Z$3)))</f>
        <v/>
      </c>
      <c r="AA364" s="124" t="str">
        <f>IF($B364="","",IF(AA$3=0,"n.b.",INDEX(SRC_Woningetalage!$A$1:$ZZ$501,$A364,AA$3)))</f>
        <v/>
      </c>
      <c r="AB364" s="124" t="str">
        <f>IF($B364="","",IF(AB$3=0,"n.b.",INDEX(SRC_Woningetalage!$A$1:$ZZ$501,$A364,AB$3)))</f>
        <v/>
      </c>
      <c r="AC364" s="124" t="str">
        <f>IF($B364="","",IF(AC$3=0,"n.b.",INDEX(SRC_Woningetalage!$A$1:$ZZ$501,$A364,AC$3)))</f>
        <v/>
      </c>
      <c r="AD364" s="124" t="str">
        <f>IF($B364="","",IF(AD$3=0,"n.b.",INDEX(SRC_Woningetalage!$A$1:$ZZ$501,$A364,AD$3)))</f>
        <v/>
      </c>
      <c r="AE364" s="124" t="str">
        <f>IF($B364="","",IF(AE$3=0,"n.b.",INDEX(SRC_Woningetalage!$A$1:$ZZ$501,$A364,AE$3)))</f>
        <v/>
      </c>
      <c r="AF364" s="124" t="str">
        <f>IF($B364="","",IF(AF$3=0,"n.b.",INDEX(SRC_Woningetalage!$A$1:$ZZ$501,$A364,AF$3)))</f>
        <v/>
      </c>
      <c r="AG364" s="124" t="str">
        <f>IF($B364="","",IF(AG$3=0,"n.b.",INDEX(SRC_Woningetalage!$A$1:$ZZ$501,$A364,AG$3)))</f>
        <v/>
      </c>
      <c r="AH364" s="124" t="str">
        <f>IF($B364="","",IF(AH$3=0,"n.b.",INDEX(SRC_Woningetalage!$A$1:$ZZ$501,$A364,AH$3)))</f>
        <v/>
      </c>
      <c r="AI364" s="124" t="str">
        <f>IF($B364="","",IF(AI$3=0,"n.b.",INDEX(SRC_Woningetalage!$A$1:$ZZ$501,$A364,AI$3)))</f>
        <v/>
      </c>
      <c r="AJ364" s="124" t="str">
        <f>IF($B364="","",IF(AJ$3=0,"n.b.",INDEX(SRC_Woningetalage!$A$1:$ZZ$501,$A364,AJ$3)))</f>
        <v/>
      </c>
      <c r="AK364" s="124" t="str">
        <f>IF($B364="","",IF(AK$3=0,"n.b.",INDEX(SRC_Woningetalage!$A$1:$ZZ$501,$A364,AK$3)))</f>
        <v/>
      </c>
      <c r="AL364" s="124" t="str">
        <f>IF($B364="","",IF(AL$3=0,"n.b.",INDEX(SRC_Woningetalage!$A$1:$ZZ$501,$A364,AL$3)))</f>
        <v/>
      </c>
      <c r="AM364" s="124" t="str">
        <f>IF($B364="","",IF(AM$3=0,"n.b.",INDEX(SRC_Woningetalage!$A$1:$ZZ$501,$A364,AM$3)))</f>
        <v/>
      </c>
      <c r="AN364" s="124" t="str">
        <f>IF($B364="","",IF(AN$3=0,"n.b.",INDEX(SRC_Woningetalage!$A$1:$ZZ$501,$A364,AN$3)))</f>
        <v/>
      </c>
      <c r="AO364" s="124" t="str">
        <f>IF($B364="","",IF(AO$3=0,"n.b.",INDEX(SRC_Woningetalage!$A$1:$ZZ$501,$A364,AO$3)))</f>
        <v/>
      </c>
      <c r="AP364" s="124" t="str">
        <f>IF($B364="","",IF(AP$3=0,"n.b.",INDEX(SRC_Woningetalage!$A$1:$ZZ$501,$A364,AP$3)))</f>
        <v/>
      </c>
      <c r="AQ364" s="124" t="str">
        <f>IF($B364="","",IF(AQ$3=0,"n.b.",INDEX(SRC_Woningetalage!$A$1:$ZZ$501,$A364,AQ$3)))</f>
        <v/>
      </c>
      <c r="AR364" s="124" t="str">
        <f>IF($B364="","",IF(AR$3=0,"n.b.",INDEX(SRC_Woningetalage!$A$1:$ZZ$501,$A364,AR$3)))</f>
        <v/>
      </c>
      <c r="AS364" s="124" t="str">
        <f>IF($B364="","",IF(AS$3=0,"n.b.",INDEX(SRC_Woningetalage!$A$1:$ZZ$501,$A364,AS$3)))</f>
        <v/>
      </c>
      <c r="AT364" s="124" t="str">
        <f>IF($B364="","",IF(AT$3=0,"n.b.",INDEX(SRC_Woningetalage!$A$1:$ZZ$501,$A364,AT$3)))</f>
        <v/>
      </c>
      <c r="AU364" s="124" t="str">
        <f>IF($B364="","",IF(AU$3=0,"n.b.",INDEX(SRC_Woningetalage!$A$1:$ZZ$501,$A364,AU$3)))</f>
        <v/>
      </c>
      <c r="AV364" s="124" t="str">
        <f>IF($B364="","",IF(AV$3=0,"n.b.",INDEX(SRC_Woningetalage!$A$1:$ZZ$501,$A364,AV$3)))</f>
        <v/>
      </c>
      <c r="AW364" s="124" t="str">
        <f>IF($B364="","",IF(AW$3=0,"n.b.",INDEX(SRC_Woningetalage!$A$1:$ZZ$501,$A364,AW$3)))</f>
        <v/>
      </c>
      <c r="AX364" s="124" t="str">
        <f>IF($B364="","",IF(AX$3=0,"n.b.",INDEX(SRC_Woningetalage!$A$1:$ZZ$501,$A364,AX$3)))</f>
        <v/>
      </c>
      <c r="AY364" s="124" t="str">
        <f>IF($B364="","",IF(AY$3=0,"n.b.",INDEX(SRC_Woningetalage!$A$1:$ZZ$501,$A364,AY$3)))</f>
        <v/>
      </c>
      <c r="AZ364" s="124" t="str">
        <f>IF($B364="","",IF(AZ$3=0,"n.b.",INDEX(SRC_Woningetalage!$A$1:$ZZ$501,$A364,AZ$3)))</f>
        <v/>
      </c>
      <c r="BA364" s="124" t="str">
        <f>IF($B364="","",IF(BA$3=0,"n.b.",INDEX(SRC_Woningetalage!$A$1:$ZZ$501,$A364,BA$3)))</f>
        <v/>
      </c>
      <c r="BB364" s="124" t="str">
        <f>IF($B364="","",IF(BB$3=0,"n.b.",INDEX(SRC_Woningetalage!$A$1:$ZZ$501,$A364,BB$3)))</f>
        <v/>
      </c>
      <c r="BC364" s="124" t="str">
        <f>IF($B364="","",IFERROR(_xlfn.NUMBERVALUE(E364&amp;"",",","."),"n.b."))</f>
        <v/>
      </c>
      <c r="BD364" s="124" t="str">
        <f>IF($B364="","",IFERROR(_xlfn.NUMBERVALUE(M364&amp;"",",","."),"n.b."))</f>
        <v/>
      </c>
      <c r="BE364" s="124" t="str">
        <f>IF($B364="","",IFERROR(AB364+AC364+AD364,"n.b."))</f>
        <v/>
      </c>
      <c r="BF364" s="124" t="str">
        <f>IF($B364="","",IFERROR(AE364+AF364+AG364,"n.b."))</f>
        <v/>
      </c>
      <c r="BG364" s="124" t="str">
        <f>IF($B364="","",IFERROR(AH364+AI364+AJ364,"n.b."))</f>
        <v/>
      </c>
      <c r="BH364" s="124" t="str">
        <f>IF($B364="","",IFERROR(AK364+AL364+AM364,"n.b."))</f>
        <v/>
      </c>
      <c r="BI364" s="124" t="str">
        <f>IF($B364="","",IFERROR(SUMIF($AB$5:$AM$5,"&lt;="&amp;P_PeilMaand,AB364:AM364),"n.b."))</f>
        <v/>
      </c>
      <c r="BJ364" s="124" t="str">
        <f>IF($B364="","",IFERROR(SUM(AB364:AM364)-BI364,"n.b."))</f>
        <v/>
      </c>
      <c r="BK364" s="124" t="str">
        <f>IF($B364="","",IFERROR(IF(ABS(Q364-(T364+SUM(AB364:AM364)+AS364+AU364))&gt;P_Tol,1,0),1))</f>
        <v/>
      </c>
      <c r="BL364" s="124" t="str">
        <f>IF($B364="","",IFERROR(IF(ABS(AA364-(Q364-Z364))&gt;P_Tol,1,0),1))</f>
        <v/>
      </c>
      <c r="BM364" s="124" t="str">
        <f>IF($B364="","",IFERROR(IF(ABS(Z364-(T364+W364))&gt;P_Tol,1,0),1))</f>
        <v/>
      </c>
      <c r="BN364" s="124" t="str">
        <f>IF($B364="","",IFERROR(IF(ABS(W364-BI364)&gt;P_Tol,1,0),1))</f>
        <v/>
      </c>
      <c r="BO364" s="124" t="str">
        <f>IF($B364="","",IFERROR(IF(OR(ABS(R364+S364-T364)&gt;P_Tol,ABS(U364+V364-W364)&gt;P_Tol,ABS(X364+Y364-Z364)&gt;P_Tol),1,0),1))</f>
        <v/>
      </c>
      <c r="BP364" s="124" t="str">
        <f>IF($B364="","",IFERROR(IF(OR(ABS(AR364-SUM(AB364:AM364))&gt;P_Tol,ABS(AS364-(AN364+AO364+AP364+AQ364))&gt;P_Tol),1,0),1))</f>
        <v/>
      </c>
      <c r="BQ364" s="124" t="str">
        <f>IF($B364="","",IFERROR(IF(ABS(AT364)+ABS(AV364)+ABS(AW364)+ABS(AX364)+ABS(AY364)+ABS(AZ364)+ABS(BA364)+ABS(BB364)&gt;0,1,0),1))</f>
        <v/>
      </c>
      <c r="BR364" s="124" t="str">
        <f>IF($B364="","",COUNTIF(STG_ZPMW03!$B$6:$B$505,B364))</f>
        <v/>
      </c>
      <c r="BS364" s="124" t="str">
        <f>IF($B364="","",COUNTIF($B$6:$B$505,B364))</f>
        <v/>
      </c>
      <c r="BT364" s="124" t="str">
        <f>IF($B364="","",IF(BR364=0,0,IF(INDEX(STG_ZPMW03!$I$6:$I$505,MATCH(B364,STG_ZPMW03!$B$6:$B$505,0))=J364&amp;"",0,1)))</f>
        <v/>
      </c>
      <c r="BU364" s="124" t="str">
        <f>IF($B364="","",IFERROR(IF(ABS(INDEX(Mapping!$D$5:$D$104,MATCH(B364,Mapping!$A$5:$A$104,0))-Q364)&gt;P_Tol,1,0),0))</f>
        <v/>
      </c>
      <c r="BV364" s="124" t="str">
        <f>IF($B364="","",IFERROR(IF(AND(INDEX(Mapping!$G$5:$G$104,MATCH(B364,Mapping!$A$5:$A$104,0))="Nee",ABS(Q364)+ABS(Z364)+ABS(AR364)&gt;0),1,0),0))</f>
        <v/>
      </c>
      <c r="BW364" s="124" t="str">
        <f>IF($B364="","",IF(COUNTIF(Mapping!$A$5:$A$104,B364)&gt;0,1,0))</f>
        <v/>
      </c>
      <c r="BX364" s="124" t="str">
        <f>IF($B364="","",IF(BR364=0,COUNTIF($BR$6:BR364,0),""))</f>
        <v/>
      </c>
    </row>
    <row r="365">
      <c r="A365" s="15" t="n">
        <v>361</v>
      </c>
      <c r="B365" t="str">
        <f>IF(B$3=0,"",IF(INDEX(SRC_Woningetalage!$A$1:$ZZ$501,$A365,B$3)&amp;""="","",INDEX(SRC_Woningetalage!$A$1:$ZZ$501,$A365,B$3)&amp;""))</f>
        <v/>
      </c>
      <c r="C365" t="str">
        <f>IF($B365="","",IF(C$3=0,"n.b.",INDEX(SRC_Woningetalage!$A$1:$ZZ$501,$A365,C$3)))</f>
        <v/>
      </c>
      <c r="D365" t="str">
        <f>IF($B365="","",IF(D$3=0,"n.b.",INDEX(SRC_Woningetalage!$A$1:$ZZ$501,$A365,D$3)))</f>
        <v/>
      </c>
      <c r="E365" t="str">
        <f>IF($B365="","",IF(E$3=0,"n.b.",INDEX(SRC_Woningetalage!$A$1:$ZZ$501,$A365,E$3)))</f>
        <v/>
      </c>
      <c r="F365" t="str">
        <f>IF($B365="","",IF(F$3=0,"n.b.",INDEX(SRC_Woningetalage!$A$1:$ZZ$501,$A365,F$3)))</f>
        <v/>
      </c>
      <c r="G365" t="str">
        <f>IF($B365="","",IF(G$3=0,"n.b.",INDEX(SRC_Woningetalage!$A$1:$ZZ$501,$A365,G$3)))</f>
        <v/>
      </c>
      <c r="H365" t="str">
        <f>IF($B365="","",IF(H$3=0,"n.b.",INDEX(SRC_Woningetalage!$A$1:$ZZ$501,$A365,H$3)))</f>
        <v/>
      </c>
      <c r="I365" t="str">
        <f>IF($B365="","",IF(I$3=0,"n.b.",INDEX(SRC_Woningetalage!$A$1:$ZZ$501,$A365,I$3)))</f>
        <v/>
      </c>
      <c r="J365" t="str">
        <f>IF($B365="","",IF(J$3=0,"n.b.",INDEX(SRC_Woningetalage!$A$1:$ZZ$501,$A365,J$3)))</f>
        <v/>
      </c>
      <c r="K365" t="str">
        <f>IF($B365="","",IF(K$3=0,"n.b.",INDEX(SRC_Woningetalage!$A$1:$ZZ$501,$A365,K$3)))</f>
        <v/>
      </c>
      <c r="L365" t="str">
        <f>IF($B365="","",IF(L$3=0,"n.b.",INDEX(SRC_Woningetalage!$A$1:$ZZ$501,$A365,L$3)))</f>
        <v/>
      </c>
      <c r="M365" t="str">
        <f>IF($B365="","",IF(M$3=0,"n.b.",INDEX(SRC_Woningetalage!$A$1:$ZZ$501,$A365,M$3)))</f>
        <v/>
      </c>
      <c r="N365" t="str">
        <f>IF($B365="","",IF(N$3=0,"n.b.",INDEX(SRC_Woningetalage!$A$1:$ZZ$501,$A365,N$3)))</f>
        <v/>
      </c>
      <c r="O365" t="str">
        <f>IF($B365="","",IF(O$3=0,"n.b.",INDEX(SRC_Woningetalage!$A$1:$ZZ$501,$A365,O$3)))</f>
        <v/>
      </c>
      <c r="P365" t="str">
        <f>IF($B365="","",IF(P$3=0,"n.b.",INDEX(SRC_Woningetalage!$A$1:$ZZ$501,$A365,P$3)))</f>
        <v/>
      </c>
      <c r="Q365" s="124" t="str">
        <f>IF($B365="","",IF(Q$3=0,"n.b.",INDEX(SRC_Woningetalage!$A$1:$ZZ$501,$A365,Q$3)))</f>
        <v/>
      </c>
      <c r="R365" s="124" t="str">
        <f>IF($B365="","",IF(R$3=0,"n.b.",INDEX(SRC_Woningetalage!$A$1:$ZZ$501,$A365,R$3)))</f>
        <v/>
      </c>
      <c r="S365" s="124" t="str">
        <f>IF($B365="","",IF(S$3=0,"n.b.",INDEX(SRC_Woningetalage!$A$1:$ZZ$501,$A365,S$3)))</f>
        <v/>
      </c>
      <c r="T365" s="124" t="str">
        <f>IF($B365="","",IF(T$3=0,"n.b.",INDEX(SRC_Woningetalage!$A$1:$ZZ$501,$A365,T$3)))</f>
        <v/>
      </c>
      <c r="U365" s="124" t="str">
        <f>IF($B365="","",IF(U$3=0,"n.b.",INDEX(SRC_Woningetalage!$A$1:$ZZ$501,$A365,U$3)))</f>
        <v/>
      </c>
      <c r="V365" s="124" t="str">
        <f>IF($B365="","",IF(V$3=0,"n.b.",INDEX(SRC_Woningetalage!$A$1:$ZZ$501,$A365,V$3)))</f>
        <v/>
      </c>
      <c r="W365" s="124" t="str">
        <f>IF($B365="","",IF(W$3=0,"n.b.",INDEX(SRC_Woningetalage!$A$1:$ZZ$501,$A365,W$3)))</f>
        <v/>
      </c>
      <c r="X365" s="124" t="str">
        <f>IF($B365="","",IF(X$3=0,"n.b.",INDEX(SRC_Woningetalage!$A$1:$ZZ$501,$A365,X$3)))</f>
        <v/>
      </c>
      <c r="Y365" s="124" t="str">
        <f>IF($B365="","",IF(Y$3=0,"n.b.",INDEX(SRC_Woningetalage!$A$1:$ZZ$501,$A365,Y$3)))</f>
        <v/>
      </c>
      <c r="Z365" s="124" t="str">
        <f>IF($B365="","",IF(Z$3=0,"n.b.",INDEX(SRC_Woningetalage!$A$1:$ZZ$501,$A365,Z$3)))</f>
        <v/>
      </c>
      <c r="AA365" s="124" t="str">
        <f>IF($B365="","",IF(AA$3=0,"n.b.",INDEX(SRC_Woningetalage!$A$1:$ZZ$501,$A365,AA$3)))</f>
        <v/>
      </c>
      <c r="AB365" s="124" t="str">
        <f>IF($B365="","",IF(AB$3=0,"n.b.",INDEX(SRC_Woningetalage!$A$1:$ZZ$501,$A365,AB$3)))</f>
        <v/>
      </c>
      <c r="AC365" s="124" t="str">
        <f>IF($B365="","",IF(AC$3=0,"n.b.",INDEX(SRC_Woningetalage!$A$1:$ZZ$501,$A365,AC$3)))</f>
        <v/>
      </c>
      <c r="AD365" s="124" t="str">
        <f>IF($B365="","",IF(AD$3=0,"n.b.",INDEX(SRC_Woningetalage!$A$1:$ZZ$501,$A365,AD$3)))</f>
        <v/>
      </c>
      <c r="AE365" s="124" t="str">
        <f>IF($B365="","",IF(AE$3=0,"n.b.",INDEX(SRC_Woningetalage!$A$1:$ZZ$501,$A365,AE$3)))</f>
        <v/>
      </c>
      <c r="AF365" s="124" t="str">
        <f>IF($B365="","",IF(AF$3=0,"n.b.",INDEX(SRC_Woningetalage!$A$1:$ZZ$501,$A365,AF$3)))</f>
        <v/>
      </c>
      <c r="AG365" s="124" t="str">
        <f>IF($B365="","",IF(AG$3=0,"n.b.",INDEX(SRC_Woningetalage!$A$1:$ZZ$501,$A365,AG$3)))</f>
        <v/>
      </c>
      <c r="AH365" s="124" t="str">
        <f>IF($B365="","",IF(AH$3=0,"n.b.",INDEX(SRC_Woningetalage!$A$1:$ZZ$501,$A365,AH$3)))</f>
        <v/>
      </c>
      <c r="AI365" s="124" t="str">
        <f>IF($B365="","",IF(AI$3=0,"n.b.",INDEX(SRC_Woningetalage!$A$1:$ZZ$501,$A365,AI$3)))</f>
        <v/>
      </c>
      <c r="AJ365" s="124" t="str">
        <f>IF($B365="","",IF(AJ$3=0,"n.b.",INDEX(SRC_Woningetalage!$A$1:$ZZ$501,$A365,AJ$3)))</f>
        <v/>
      </c>
      <c r="AK365" s="124" t="str">
        <f>IF($B365="","",IF(AK$3=0,"n.b.",INDEX(SRC_Woningetalage!$A$1:$ZZ$501,$A365,AK$3)))</f>
        <v/>
      </c>
      <c r="AL365" s="124" t="str">
        <f>IF($B365="","",IF(AL$3=0,"n.b.",INDEX(SRC_Woningetalage!$A$1:$ZZ$501,$A365,AL$3)))</f>
        <v/>
      </c>
      <c r="AM365" s="124" t="str">
        <f>IF($B365="","",IF(AM$3=0,"n.b.",INDEX(SRC_Woningetalage!$A$1:$ZZ$501,$A365,AM$3)))</f>
        <v/>
      </c>
      <c r="AN365" s="124" t="str">
        <f>IF($B365="","",IF(AN$3=0,"n.b.",INDEX(SRC_Woningetalage!$A$1:$ZZ$501,$A365,AN$3)))</f>
        <v/>
      </c>
      <c r="AO365" s="124" t="str">
        <f>IF($B365="","",IF(AO$3=0,"n.b.",INDEX(SRC_Woningetalage!$A$1:$ZZ$501,$A365,AO$3)))</f>
        <v/>
      </c>
      <c r="AP365" s="124" t="str">
        <f>IF($B365="","",IF(AP$3=0,"n.b.",INDEX(SRC_Woningetalage!$A$1:$ZZ$501,$A365,AP$3)))</f>
        <v/>
      </c>
      <c r="AQ365" s="124" t="str">
        <f>IF($B365="","",IF(AQ$3=0,"n.b.",INDEX(SRC_Woningetalage!$A$1:$ZZ$501,$A365,AQ$3)))</f>
        <v/>
      </c>
      <c r="AR365" s="124" t="str">
        <f>IF($B365="","",IF(AR$3=0,"n.b.",INDEX(SRC_Woningetalage!$A$1:$ZZ$501,$A365,AR$3)))</f>
        <v/>
      </c>
      <c r="AS365" s="124" t="str">
        <f>IF($B365="","",IF(AS$3=0,"n.b.",INDEX(SRC_Woningetalage!$A$1:$ZZ$501,$A365,AS$3)))</f>
        <v/>
      </c>
      <c r="AT365" s="124" t="str">
        <f>IF($B365="","",IF(AT$3=0,"n.b.",INDEX(SRC_Woningetalage!$A$1:$ZZ$501,$A365,AT$3)))</f>
        <v/>
      </c>
      <c r="AU365" s="124" t="str">
        <f>IF($B365="","",IF(AU$3=0,"n.b.",INDEX(SRC_Woningetalage!$A$1:$ZZ$501,$A365,AU$3)))</f>
        <v/>
      </c>
      <c r="AV365" s="124" t="str">
        <f>IF($B365="","",IF(AV$3=0,"n.b.",INDEX(SRC_Woningetalage!$A$1:$ZZ$501,$A365,AV$3)))</f>
        <v/>
      </c>
      <c r="AW365" s="124" t="str">
        <f>IF($B365="","",IF(AW$3=0,"n.b.",INDEX(SRC_Woningetalage!$A$1:$ZZ$501,$A365,AW$3)))</f>
        <v/>
      </c>
      <c r="AX365" s="124" t="str">
        <f>IF($B365="","",IF(AX$3=0,"n.b.",INDEX(SRC_Woningetalage!$A$1:$ZZ$501,$A365,AX$3)))</f>
        <v/>
      </c>
      <c r="AY365" s="124" t="str">
        <f>IF($B365="","",IF(AY$3=0,"n.b.",INDEX(SRC_Woningetalage!$A$1:$ZZ$501,$A365,AY$3)))</f>
        <v/>
      </c>
      <c r="AZ365" s="124" t="str">
        <f>IF($B365="","",IF(AZ$3=0,"n.b.",INDEX(SRC_Woningetalage!$A$1:$ZZ$501,$A365,AZ$3)))</f>
        <v/>
      </c>
      <c r="BA365" s="124" t="str">
        <f>IF($B365="","",IF(BA$3=0,"n.b.",INDEX(SRC_Woningetalage!$A$1:$ZZ$501,$A365,BA$3)))</f>
        <v/>
      </c>
      <c r="BB365" s="124" t="str">
        <f>IF($B365="","",IF(BB$3=0,"n.b.",INDEX(SRC_Woningetalage!$A$1:$ZZ$501,$A365,BB$3)))</f>
        <v/>
      </c>
      <c r="BC365" s="124" t="str">
        <f>IF($B365="","",IFERROR(_xlfn.NUMBERVALUE(E365&amp;"",",","."),"n.b."))</f>
        <v/>
      </c>
      <c r="BD365" s="124" t="str">
        <f>IF($B365="","",IFERROR(_xlfn.NUMBERVALUE(M365&amp;"",",","."),"n.b."))</f>
        <v/>
      </c>
      <c r="BE365" s="124" t="str">
        <f>IF($B365="","",IFERROR(AB365+AC365+AD365,"n.b."))</f>
        <v/>
      </c>
      <c r="BF365" s="124" t="str">
        <f>IF($B365="","",IFERROR(AE365+AF365+AG365,"n.b."))</f>
        <v/>
      </c>
      <c r="BG365" s="124" t="str">
        <f>IF($B365="","",IFERROR(AH365+AI365+AJ365,"n.b."))</f>
        <v/>
      </c>
      <c r="BH365" s="124" t="str">
        <f>IF($B365="","",IFERROR(AK365+AL365+AM365,"n.b."))</f>
        <v/>
      </c>
      <c r="BI365" s="124" t="str">
        <f>IF($B365="","",IFERROR(SUMIF($AB$5:$AM$5,"&lt;="&amp;P_PeilMaand,AB365:AM365),"n.b."))</f>
        <v/>
      </c>
      <c r="BJ365" s="124" t="str">
        <f>IF($B365="","",IFERROR(SUM(AB365:AM365)-BI365,"n.b."))</f>
        <v/>
      </c>
      <c r="BK365" s="124" t="str">
        <f>IF($B365="","",IFERROR(IF(ABS(Q365-(T365+SUM(AB365:AM365)+AS365+AU365))&gt;P_Tol,1,0),1))</f>
        <v/>
      </c>
      <c r="BL365" s="124" t="str">
        <f>IF($B365="","",IFERROR(IF(ABS(AA365-(Q365-Z365))&gt;P_Tol,1,0),1))</f>
        <v/>
      </c>
      <c r="BM365" s="124" t="str">
        <f>IF($B365="","",IFERROR(IF(ABS(Z365-(T365+W365))&gt;P_Tol,1,0),1))</f>
        <v/>
      </c>
      <c r="BN365" s="124" t="str">
        <f>IF($B365="","",IFERROR(IF(ABS(W365-BI365)&gt;P_Tol,1,0),1))</f>
        <v/>
      </c>
      <c r="BO365" s="124" t="str">
        <f>IF($B365="","",IFERROR(IF(OR(ABS(R365+S365-T365)&gt;P_Tol,ABS(U365+V365-W365)&gt;P_Tol,ABS(X365+Y365-Z365)&gt;P_Tol),1,0),1))</f>
        <v/>
      </c>
      <c r="BP365" s="124" t="str">
        <f>IF($B365="","",IFERROR(IF(OR(ABS(AR365-SUM(AB365:AM365))&gt;P_Tol,ABS(AS365-(AN365+AO365+AP365+AQ365))&gt;P_Tol),1,0),1))</f>
        <v/>
      </c>
      <c r="BQ365" s="124" t="str">
        <f>IF($B365="","",IFERROR(IF(ABS(AT365)+ABS(AV365)+ABS(AW365)+ABS(AX365)+ABS(AY365)+ABS(AZ365)+ABS(BA365)+ABS(BB365)&gt;0,1,0),1))</f>
        <v/>
      </c>
      <c r="BR365" s="124" t="str">
        <f>IF($B365="","",COUNTIF(STG_ZPMW03!$B$6:$B$505,B365))</f>
        <v/>
      </c>
      <c r="BS365" s="124" t="str">
        <f>IF($B365="","",COUNTIF($B$6:$B$505,B365))</f>
        <v/>
      </c>
      <c r="BT365" s="124" t="str">
        <f>IF($B365="","",IF(BR365=0,0,IF(INDEX(STG_ZPMW03!$I$6:$I$505,MATCH(B365,STG_ZPMW03!$B$6:$B$505,0))=J365&amp;"",0,1)))</f>
        <v/>
      </c>
      <c r="BU365" s="124" t="str">
        <f>IF($B365="","",IFERROR(IF(ABS(INDEX(Mapping!$D$5:$D$104,MATCH(B365,Mapping!$A$5:$A$104,0))-Q365)&gt;P_Tol,1,0),0))</f>
        <v/>
      </c>
      <c r="BV365" s="124" t="str">
        <f>IF($B365="","",IFERROR(IF(AND(INDEX(Mapping!$G$5:$G$104,MATCH(B365,Mapping!$A$5:$A$104,0))="Nee",ABS(Q365)+ABS(Z365)+ABS(AR365)&gt;0),1,0),0))</f>
        <v/>
      </c>
      <c r="BW365" s="124" t="str">
        <f>IF($B365="","",IF(COUNTIF(Mapping!$A$5:$A$104,B365)&gt;0,1,0))</f>
        <v/>
      </c>
      <c r="BX365" s="124" t="str">
        <f>IF($B365="","",IF(BR365=0,COUNTIF($BR$6:BR365,0),""))</f>
        <v/>
      </c>
    </row>
    <row r="366">
      <c r="A366" s="15" t="n">
        <v>362</v>
      </c>
      <c r="B366" t="str">
        <f>IF(B$3=0,"",IF(INDEX(SRC_Woningetalage!$A$1:$ZZ$501,$A366,B$3)&amp;""="","",INDEX(SRC_Woningetalage!$A$1:$ZZ$501,$A366,B$3)&amp;""))</f>
        <v/>
      </c>
      <c r="C366" t="str">
        <f>IF($B366="","",IF(C$3=0,"n.b.",INDEX(SRC_Woningetalage!$A$1:$ZZ$501,$A366,C$3)))</f>
        <v/>
      </c>
      <c r="D366" t="str">
        <f>IF($B366="","",IF(D$3=0,"n.b.",INDEX(SRC_Woningetalage!$A$1:$ZZ$501,$A366,D$3)))</f>
        <v/>
      </c>
      <c r="E366" t="str">
        <f>IF($B366="","",IF(E$3=0,"n.b.",INDEX(SRC_Woningetalage!$A$1:$ZZ$501,$A366,E$3)))</f>
        <v/>
      </c>
      <c r="F366" t="str">
        <f>IF($B366="","",IF(F$3=0,"n.b.",INDEX(SRC_Woningetalage!$A$1:$ZZ$501,$A366,F$3)))</f>
        <v/>
      </c>
      <c r="G366" t="str">
        <f>IF($B366="","",IF(G$3=0,"n.b.",INDEX(SRC_Woningetalage!$A$1:$ZZ$501,$A366,G$3)))</f>
        <v/>
      </c>
      <c r="H366" t="str">
        <f>IF($B366="","",IF(H$3=0,"n.b.",INDEX(SRC_Woningetalage!$A$1:$ZZ$501,$A366,H$3)))</f>
        <v/>
      </c>
      <c r="I366" t="str">
        <f>IF($B366="","",IF(I$3=0,"n.b.",INDEX(SRC_Woningetalage!$A$1:$ZZ$501,$A366,I$3)))</f>
        <v/>
      </c>
      <c r="J366" t="str">
        <f>IF($B366="","",IF(J$3=0,"n.b.",INDEX(SRC_Woningetalage!$A$1:$ZZ$501,$A366,J$3)))</f>
        <v/>
      </c>
      <c r="K366" t="str">
        <f>IF($B366="","",IF(K$3=0,"n.b.",INDEX(SRC_Woningetalage!$A$1:$ZZ$501,$A366,K$3)))</f>
        <v/>
      </c>
      <c r="L366" t="str">
        <f>IF($B366="","",IF(L$3=0,"n.b.",INDEX(SRC_Woningetalage!$A$1:$ZZ$501,$A366,L$3)))</f>
        <v/>
      </c>
      <c r="M366" t="str">
        <f>IF($B366="","",IF(M$3=0,"n.b.",INDEX(SRC_Woningetalage!$A$1:$ZZ$501,$A366,M$3)))</f>
        <v/>
      </c>
      <c r="N366" t="str">
        <f>IF($B366="","",IF(N$3=0,"n.b.",INDEX(SRC_Woningetalage!$A$1:$ZZ$501,$A366,N$3)))</f>
        <v/>
      </c>
      <c r="O366" t="str">
        <f>IF($B366="","",IF(O$3=0,"n.b.",INDEX(SRC_Woningetalage!$A$1:$ZZ$501,$A366,O$3)))</f>
        <v/>
      </c>
      <c r="P366" t="str">
        <f>IF($B366="","",IF(P$3=0,"n.b.",INDEX(SRC_Woningetalage!$A$1:$ZZ$501,$A366,P$3)))</f>
        <v/>
      </c>
      <c r="Q366" s="124" t="str">
        <f>IF($B366="","",IF(Q$3=0,"n.b.",INDEX(SRC_Woningetalage!$A$1:$ZZ$501,$A366,Q$3)))</f>
        <v/>
      </c>
      <c r="R366" s="124" t="str">
        <f>IF($B366="","",IF(R$3=0,"n.b.",INDEX(SRC_Woningetalage!$A$1:$ZZ$501,$A366,R$3)))</f>
        <v/>
      </c>
      <c r="S366" s="124" t="str">
        <f>IF($B366="","",IF(S$3=0,"n.b.",INDEX(SRC_Woningetalage!$A$1:$ZZ$501,$A366,S$3)))</f>
        <v/>
      </c>
      <c r="T366" s="124" t="str">
        <f>IF($B366="","",IF(T$3=0,"n.b.",INDEX(SRC_Woningetalage!$A$1:$ZZ$501,$A366,T$3)))</f>
        <v/>
      </c>
      <c r="U366" s="124" t="str">
        <f>IF($B366="","",IF(U$3=0,"n.b.",INDEX(SRC_Woningetalage!$A$1:$ZZ$501,$A366,U$3)))</f>
        <v/>
      </c>
      <c r="V366" s="124" t="str">
        <f>IF($B366="","",IF(V$3=0,"n.b.",INDEX(SRC_Woningetalage!$A$1:$ZZ$501,$A366,V$3)))</f>
        <v/>
      </c>
      <c r="W366" s="124" t="str">
        <f>IF($B366="","",IF(W$3=0,"n.b.",INDEX(SRC_Woningetalage!$A$1:$ZZ$501,$A366,W$3)))</f>
        <v/>
      </c>
      <c r="X366" s="124" t="str">
        <f>IF($B366="","",IF(X$3=0,"n.b.",INDEX(SRC_Woningetalage!$A$1:$ZZ$501,$A366,X$3)))</f>
        <v/>
      </c>
      <c r="Y366" s="124" t="str">
        <f>IF($B366="","",IF(Y$3=0,"n.b.",INDEX(SRC_Woningetalage!$A$1:$ZZ$501,$A366,Y$3)))</f>
        <v/>
      </c>
      <c r="Z366" s="124" t="str">
        <f>IF($B366="","",IF(Z$3=0,"n.b.",INDEX(SRC_Woningetalage!$A$1:$ZZ$501,$A366,Z$3)))</f>
        <v/>
      </c>
      <c r="AA366" s="124" t="str">
        <f>IF($B366="","",IF(AA$3=0,"n.b.",INDEX(SRC_Woningetalage!$A$1:$ZZ$501,$A366,AA$3)))</f>
        <v/>
      </c>
      <c r="AB366" s="124" t="str">
        <f>IF($B366="","",IF(AB$3=0,"n.b.",INDEX(SRC_Woningetalage!$A$1:$ZZ$501,$A366,AB$3)))</f>
        <v/>
      </c>
      <c r="AC366" s="124" t="str">
        <f>IF($B366="","",IF(AC$3=0,"n.b.",INDEX(SRC_Woningetalage!$A$1:$ZZ$501,$A366,AC$3)))</f>
        <v/>
      </c>
      <c r="AD366" s="124" t="str">
        <f>IF($B366="","",IF(AD$3=0,"n.b.",INDEX(SRC_Woningetalage!$A$1:$ZZ$501,$A366,AD$3)))</f>
        <v/>
      </c>
      <c r="AE366" s="124" t="str">
        <f>IF($B366="","",IF(AE$3=0,"n.b.",INDEX(SRC_Woningetalage!$A$1:$ZZ$501,$A366,AE$3)))</f>
        <v/>
      </c>
      <c r="AF366" s="124" t="str">
        <f>IF($B366="","",IF(AF$3=0,"n.b.",INDEX(SRC_Woningetalage!$A$1:$ZZ$501,$A366,AF$3)))</f>
        <v/>
      </c>
      <c r="AG366" s="124" t="str">
        <f>IF($B366="","",IF(AG$3=0,"n.b.",INDEX(SRC_Woningetalage!$A$1:$ZZ$501,$A366,AG$3)))</f>
        <v/>
      </c>
      <c r="AH366" s="124" t="str">
        <f>IF($B366="","",IF(AH$3=0,"n.b.",INDEX(SRC_Woningetalage!$A$1:$ZZ$501,$A366,AH$3)))</f>
        <v/>
      </c>
      <c r="AI366" s="124" t="str">
        <f>IF($B366="","",IF(AI$3=0,"n.b.",INDEX(SRC_Woningetalage!$A$1:$ZZ$501,$A366,AI$3)))</f>
        <v/>
      </c>
      <c r="AJ366" s="124" t="str">
        <f>IF($B366="","",IF(AJ$3=0,"n.b.",INDEX(SRC_Woningetalage!$A$1:$ZZ$501,$A366,AJ$3)))</f>
        <v/>
      </c>
      <c r="AK366" s="124" t="str">
        <f>IF($B366="","",IF(AK$3=0,"n.b.",INDEX(SRC_Woningetalage!$A$1:$ZZ$501,$A366,AK$3)))</f>
        <v/>
      </c>
      <c r="AL366" s="124" t="str">
        <f>IF($B366="","",IF(AL$3=0,"n.b.",INDEX(SRC_Woningetalage!$A$1:$ZZ$501,$A366,AL$3)))</f>
        <v/>
      </c>
      <c r="AM366" s="124" t="str">
        <f>IF($B366="","",IF(AM$3=0,"n.b.",INDEX(SRC_Woningetalage!$A$1:$ZZ$501,$A366,AM$3)))</f>
        <v/>
      </c>
      <c r="AN366" s="124" t="str">
        <f>IF($B366="","",IF(AN$3=0,"n.b.",INDEX(SRC_Woningetalage!$A$1:$ZZ$501,$A366,AN$3)))</f>
        <v/>
      </c>
      <c r="AO366" s="124" t="str">
        <f>IF($B366="","",IF(AO$3=0,"n.b.",INDEX(SRC_Woningetalage!$A$1:$ZZ$501,$A366,AO$3)))</f>
        <v/>
      </c>
      <c r="AP366" s="124" t="str">
        <f>IF($B366="","",IF(AP$3=0,"n.b.",INDEX(SRC_Woningetalage!$A$1:$ZZ$501,$A366,AP$3)))</f>
        <v/>
      </c>
      <c r="AQ366" s="124" t="str">
        <f>IF($B366="","",IF(AQ$3=0,"n.b.",INDEX(SRC_Woningetalage!$A$1:$ZZ$501,$A366,AQ$3)))</f>
        <v/>
      </c>
      <c r="AR366" s="124" t="str">
        <f>IF($B366="","",IF(AR$3=0,"n.b.",INDEX(SRC_Woningetalage!$A$1:$ZZ$501,$A366,AR$3)))</f>
        <v/>
      </c>
      <c r="AS366" s="124" t="str">
        <f>IF($B366="","",IF(AS$3=0,"n.b.",INDEX(SRC_Woningetalage!$A$1:$ZZ$501,$A366,AS$3)))</f>
        <v/>
      </c>
      <c r="AT366" s="124" t="str">
        <f>IF($B366="","",IF(AT$3=0,"n.b.",INDEX(SRC_Woningetalage!$A$1:$ZZ$501,$A366,AT$3)))</f>
        <v/>
      </c>
      <c r="AU366" s="124" t="str">
        <f>IF($B366="","",IF(AU$3=0,"n.b.",INDEX(SRC_Woningetalage!$A$1:$ZZ$501,$A366,AU$3)))</f>
        <v/>
      </c>
      <c r="AV366" s="124" t="str">
        <f>IF($B366="","",IF(AV$3=0,"n.b.",INDEX(SRC_Woningetalage!$A$1:$ZZ$501,$A366,AV$3)))</f>
        <v/>
      </c>
      <c r="AW366" s="124" t="str">
        <f>IF($B366="","",IF(AW$3=0,"n.b.",INDEX(SRC_Woningetalage!$A$1:$ZZ$501,$A366,AW$3)))</f>
        <v/>
      </c>
      <c r="AX366" s="124" t="str">
        <f>IF($B366="","",IF(AX$3=0,"n.b.",INDEX(SRC_Woningetalage!$A$1:$ZZ$501,$A366,AX$3)))</f>
        <v/>
      </c>
      <c r="AY366" s="124" t="str">
        <f>IF($B366="","",IF(AY$3=0,"n.b.",INDEX(SRC_Woningetalage!$A$1:$ZZ$501,$A366,AY$3)))</f>
        <v/>
      </c>
      <c r="AZ366" s="124" t="str">
        <f>IF($B366="","",IF(AZ$3=0,"n.b.",INDEX(SRC_Woningetalage!$A$1:$ZZ$501,$A366,AZ$3)))</f>
        <v/>
      </c>
      <c r="BA366" s="124" t="str">
        <f>IF($B366="","",IF(BA$3=0,"n.b.",INDEX(SRC_Woningetalage!$A$1:$ZZ$501,$A366,BA$3)))</f>
        <v/>
      </c>
      <c r="BB366" s="124" t="str">
        <f>IF($B366="","",IF(BB$3=0,"n.b.",INDEX(SRC_Woningetalage!$A$1:$ZZ$501,$A366,BB$3)))</f>
        <v/>
      </c>
      <c r="BC366" s="124" t="str">
        <f>IF($B366="","",IFERROR(_xlfn.NUMBERVALUE(E366&amp;"",",","."),"n.b."))</f>
        <v/>
      </c>
      <c r="BD366" s="124" t="str">
        <f>IF($B366="","",IFERROR(_xlfn.NUMBERVALUE(M366&amp;"",",","."),"n.b."))</f>
        <v/>
      </c>
      <c r="BE366" s="124" t="str">
        <f>IF($B366="","",IFERROR(AB366+AC366+AD366,"n.b."))</f>
        <v/>
      </c>
      <c r="BF366" s="124" t="str">
        <f>IF($B366="","",IFERROR(AE366+AF366+AG366,"n.b."))</f>
        <v/>
      </c>
      <c r="BG366" s="124" t="str">
        <f>IF($B366="","",IFERROR(AH366+AI366+AJ366,"n.b."))</f>
        <v/>
      </c>
      <c r="BH366" s="124" t="str">
        <f>IF($B366="","",IFERROR(AK366+AL366+AM366,"n.b."))</f>
        <v/>
      </c>
      <c r="BI366" s="124" t="str">
        <f>IF($B366="","",IFERROR(SUMIF($AB$5:$AM$5,"&lt;="&amp;P_PeilMaand,AB366:AM366),"n.b."))</f>
        <v/>
      </c>
      <c r="BJ366" s="124" t="str">
        <f>IF($B366="","",IFERROR(SUM(AB366:AM366)-BI366,"n.b."))</f>
        <v/>
      </c>
      <c r="BK366" s="124" t="str">
        <f>IF($B366="","",IFERROR(IF(ABS(Q366-(T366+SUM(AB366:AM366)+AS366+AU366))&gt;P_Tol,1,0),1))</f>
        <v/>
      </c>
      <c r="BL366" s="124" t="str">
        <f>IF($B366="","",IFERROR(IF(ABS(AA366-(Q366-Z366))&gt;P_Tol,1,0),1))</f>
        <v/>
      </c>
      <c r="BM366" s="124" t="str">
        <f>IF($B366="","",IFERROR(IF(ABS(Z366-(T366+W366))&gt;P_Tol,1,0),1))</f>
        <v/>
      </c>
      <c r="BN366" s="124" t="str">
        <f>IF($B366="","",IFERROR(IF(ABS(W366-BI366)&gt;P_Tol,1,0),1))</f>
        <v/>
      </c>
      <c r="BO366" s="124" t="str">
        <f>IF($B366="","",IFERROR(IF(OR(ABS(R366+S366-T366)&gt;P_Tol,ABS(U366+V366-W366)&gt;P_Tol,ABS(X366+Y366-Z366)&gt;P_Tol),1,0),1))</f>
        <v/>
      </c>
      <c r="BP366" s="124" t="str">
        <f>IF($B366="","",IFERROR(IF(OR(ABS(AR366-SUM(AB366:AM366))&gt;P_Tol,ABS(AS366-(AN366+AO366+AP366+AQ366))&gt;P_Tol),1,0),1))</f>
        <v/>
      </c>
      <c r="BQ366" s="124" t="str">
        <f>IF($B366="","",IFERROR(IF(ABS(AT366)+ABS(AV366)+ABS(AW366)+ABS(AX366)+ABS(AY366)+ABS(AZ366)+ABS(BA366)+ABS(BB366)&gt;0,1,0),1))</f>
        <v/>
      </c>
      <c r="BR366" s="124" t="str">
        <f>IF($B366="","",COUNTIF(STG_ZPMW03!$B$6:$B$505,B366))</f>
        <v/>
      </c>
      <c r="BS366" s="124" t="str">
        <f>IF($B366="","",COUNTIF($B$6:$B$505,B366))</f>
        <v/>
      </c>
      <c r="BT366" s="124" t="str">
        <f>IF($B366="","",IF(BR366=0,0,IF(INDEX(STG_ZPMW03!$I$6:$I$505,MATCH(B366,STG_ZPMW03!$B$6:$B$505,0))=J366&amp;"",0,1)))</f>
        <v/>
      </c>
      <c r="BU366" s="124" t="str">
        <f>IF($B366="","",IFERROR(IF(ABS(INDEX(Mapping!$D$5:$D$104,MATCH(B366,Mapping!$A$5:$A$104,0))-Q366)&gt;P_Tol,1,0),0))</f>
        <v/>
      </c>
      <c r="BV366" s="124" t="str">
        <f>IF($B366="","",IFERROR(IF(AND(INDEX(Mapping!$G$5:$G$104,MATCH(B366,Mapping!$A$5:$A$104,0))="Nee",ABS(Q366)+ABS(Z366)+ABS(AR366)&gt;0),1,0),0))</f>
        <v/>
      </c>
      <c r="BW366" s="124" t="str">
        <f>IF($B366="","",IF(COUNTIF(Mapping!$A$5:$A$104,B366)&gt;0,1,0))</f>
        <v/>
      </c>
      <c r="BX366" s="124" t="str">
        <f>IF($B366="","",IF(BR366=0,COUNTIF($BR$6:BR366,0),""))</f>
        <v/>
      </c>
    </row>
    <row r="367">
      <c r="A367" s="15" t="n">
        <v>363</v>
      </c>
      <c r="B367" t="str">
        <f>IF(B$3=0,"",IF(INDEX(SRC_Woningetalage!$A$1:$ZZ$501,$A367,B$3)&amp;""="","",INDEX(SRC_Woningetalage!$A$1:$ZZ$501,$A367,B$3)&amp;""))</f>
        <v/>
      </c>
      <c r="C367" t="str">
        <f>IF($B367="","",IF(C$3=0,"n.b.",INDEX(SRC_Woningetalage!$A$1:$ZZ$501,$A367,C$3)))</f>
        <v/>
      </c>
      <c r="D367" t="str">
        <f>IF($B367="","",IF(D$3=0,"n.b.",INDEX(SRC_Woningetalage!$A$1:$ZZ$501,$A367,D$3)))</f>
        <v/>
      </c>
      <c r="E367" t="str">
        <f>IF($B367="","",IF(E$3=0,"n.b.",INDEX(SRC_Woningetalage!$A$1:$ZZ$501,$A367,E$3)))</f>
        <v/>
      </c>
      <c r="F367" t="str">
        <f>IF($B367="","",IF(F$3=0,"n.b.",INDEX(SRC_Woningetalage!$A$1:$ZZ$501,$A367,F$3)))</f>
        <v/>
      </c>
      <c r="G367" t="str">
        <f>IF($B367="","",IF(G$3=0,"n.b.",INDEX(SRC_Woningetalage!$A$1:$ZZ$501,$A367,G$3)))</f>
        <v/>
      </c>
      <c r="H367" t="str">
        <f>IF($B367="","",IF(H$3=0,"n.b.",INDEX(SRC_Woningetalage!$A$1:$ZZ$501,$A367,H$3)))</f>
        <v/>
      </c>
      <c r="I367" t="str">
        <f>IF($B367="","",IF(I$3=0,"n.b.",INDEX(SRC_Woningetalage!$A$1:$ZZ$501,$A367,I$3)))</f>
        <v/>
      </c>
      <c r="J367" t="str">
        <f>IF($B367="","",IF(J$3=0,"n.b.",INDEX(SRC_Woningetalage!$A$1:$ZZ$501,$A367,J$3)))</f>
        <v/>
      </c>
      <c r="K367" t="str">
        <f>IF($B367="","",IF(K$3=0,"n.b.",INDEX(SRC_Woningetalage!$A$1:$ZZ$501,$A367,K$3)))</f>
        <v/>
      </c>
      <c r="L367" t="str">
        <f>IF($B367="","",IF(L$3=0,"n.b.",INDEX(SRC_Woningetalage!$A$1:$ZZ$501,$A367,L$3)))</f>
        <v/>
      </c>
      <c r="M367" t="str">
        <f>IF($B367="","",IF(M$3=0,"n.b.",INDEX(SRC_Woningetalage!$A$1:$ZZ$501,$A367,M$3)))</f>
        <v/>
      </c>
      <c r="N367" t="str">
        <f>IF($B367="","",IF(N$3=0,"n.b.",INDEX(SRC_Woningetalage!$A$1:$ZZ$501,$A367,N$3)))</f>
        <v/>
      </c>
      <c r="O367" t="str">
        <f>IF($B367="","",IF(O$3=0,"n.b.",INDEX(SRC_Woningetalage!$A$1:$ZZ$501,$A367,O$3)))</f>
        <v/>
      </c>
      <c r="P367" t="str">
        <f>IF($B367="","",IF(P$3=0,"n.b.",INDEX(SRC_Woningetalage!$A$1:$ZZ$501,$A367,P$3)))</f>
        <v/>
      </c>
      <c r="Q367" s="124" t="str">
        <f>IF($B367="","",IF(Q$3=0,"n.b.",INDEX(SRC_Woningetalage!$A$1:$ZZ$501,$A367,Q$3)))</f>
        <v/>
      </c>
      <c r="R367" s="124" t="str">
        <f>IF($B367="","",IF(R$3=0,"n.b.",INDEX(SRC_Woningetalage!$A$1:$ZZ$501,$A367,R$3)))</f>
        <v/>
      </c>
      <c r="S367" s="124" t="str">
        <f>IF($B367="","",IF(S$3=0,"n.b.",INDEX(SRC_Woningetalage!$A$1:$ZZ$501,$A367,S$3)))</f>
        <v/>
      </c>
      <c r="T367" s="124" t="str">
        <f>IF($B367="","",IF(T$3=0,"n.b.",INDEX(SRC_Woningetalage!$A$1:$ZZ$501,$A367,T$3)))</f>
        <v/>
      </c>
      <c r="U367" s="124" t="str">
        <f>IF($B367="","",IF(U$3=0,"n.b.",INDEX(SRC_Woningetalage!$A$1:$ZZ$501,$A367,U$3)))</f>
        <v/>
      </c>
      <c r="V367" s="124" t="str">
        <f>IF($B367="","",IF(V$3=0,"n.b.",INDEX(SRC_Woningetalage!$A$1:$ZZ$501,$A367,V$3)))</f>
        <v/>
      </c>
      <c r="W367" s="124" t="str">
        <f>IF($B367="","",IF(W$3=0,"n.b.",INDEX(SRC_Woningetalage!$A$1:$ZZ$501,$A367,W$3)))</f>
        <v/>
      </c>
      <c r="X367" s="124" t="str">
        <f>IF($B367="","",IF(X$3=0,"n.b.",INDEX(SRC_Woningetalage!$A$1:$ZZ$501,$A367,X$3)))</f>
        <v/>
      </c>
      <c r="Y367" s="124" t="str">
        <f>IF($B367="","",IF(Y$3=0,"n.b.",INDEX(SRC_Woningetalage!$A$1:$ZZ$501,$A367,Y$3)))</f>
        <v/>
      </c>
      <c r="Z367" s="124" t="str">
        <f>IF($B367="","",IF(Z$3=0,"n.b.",INDEX(SRC_Woningetalage!$A$1:$ZZ$501,$A367,Z$3)))</f>
        <v/>
      </c>
      <c r="AA367" s="124" t="str">
        <f>IF($B367="","",IF(AA$3=0,"n.b.",INDEX(SRC_Woningetalage!$A$1:$ZZ$501,$A367,AA$3)))</f>
        <v/>
      </c>
      <c r="AB367" s="124" t="str">
        <f>IF($B367="","",IF(AB$3=0,"n.b.",INDEX(SRC_Woningetalage!$A$1:$ZZ$501,$A367,AB$3)))</f>
        <v/>
      </c>
      <c r="AC367" s="124" t="str">
        <f>IF($B367="","",IF(AC$3=0,"n.b.",INDEX(SRC_Woningetalage!$A$1:$ZZ$501,$A367,AC$3)))</f>
        <v/>
      </c>
      <c r="AD367" s="124" t="str">
        <f>IF($B367="","",IF(AD$3=0,"n.b.",INDEX(SRC_Woningetalage!$A$1:$ZZ$501,$A367,AD$3)))</f>
        <v/>
      </c>
      <c r="AE367" s="124" t="str">
        <f>IF($B367="","",IF(AE$3=0,"n.b.",INDEX(SRC_Woningetalage!$A$1:$ZZ$501,$A367,AE$3)))</f>
        <v/>
      </c>
      <c r="AF367" s="124" t="str">
        <f>IF($B367="","",IF(AF$3=0,"n.b.",INDEX(SRC_Woningetalage!$A$1:$ZZ$501,$A367,AF$3)))</f>
        <v/>
      </c>
      <c r="AG367" s="124" t="str">
        <f>IF($B367="","",IF(AG$3=0,"n.b.",INDEX(SRC_Woningetalage!$A$1:$ZZ$501,$A367,AG$3)))</f>
        <v/>
      </c>
      <c r="AH367" s="124" t="str">
        <f>IF($B367="","",IF(AH$3=0,"n.b.",INDEX(SRC_Woningetalage!$A$1:$ZZ$501,$A367,AH$3)))</f>
        <v/>
      </c>
      <c r="AI367" s="124" t="str">
        <f>IF($B367="","",IF(AI$3=0,"n.b.",INDEX(SRC_Woningetalage!$A$1:$ZZ$501,$A367,AI$3)))</f>
        <v/>
      </c>
      <c r="AJ367" s="124" t="str">
        <f>IF($B367="","",IF(AJ$3=0,"n.b.",INDEX(SRC_Woningetalage!$A$1:$ZZ$501,$A367,AJ$3)))</f>
        <v/>
      </c>
      <c r="AK367" s="124" t="str">
        <f>IF($B367="","",IF(AK$3=0,"n.b.",INDEX(SRC_Woningetalage!$A$1:$ZZ$501,$A367,AK$3)))</f>
        <v/>
      </c>
      <c r="AL367" s="124" t="str">
        <f>IF($B367="","",IF(AL$3=0,"n.b.",INDEX(SRC_Woningetalage!$A$1:$ZZ$501,$A367,AL$3)))</f>
        <v/>
      </c>
      <c r="AM367" s="124" t="str">
        <f>IF($B367="","",IF(AM$3=0,"n.b.",INDEX(SRC_Woningetalage!$A$1:$ZZ$501,$A367,AM$3)))</f>
        <v/>
      </c>
      <c r="AN367" s="124" t="str">
        <f>IF($B367="","",IF(AN$3=0,"n.b.",INDEX(SRC_Woningetalage!$A$1:$ZZ$501,$A367,AN$3)))</f>
        <v/>
      </c>
      <c r="AO367" s="124" t="str">
        <f>IF($B367="","",IF(AO$3=0,"n.b.",INDEX(SRC_Woningetalage!$A$1:$ZZ$501,$A367,AO$3)))</f>
        <v/>
      </c>
      <c r="AP367" s="124" t="str">
        <f>IF($B367="","",IF(AP$3=0,"n.b.",INDEX(SRC_Woningetalage!$A$1:$ZZ$501,$A367,AP$3)))</f>
        <v/>
      </c>
      <c r="AQ367" s="124" t="str">
        <f>IF($B367="","",IF(AQ$3=0,"n.b.",INDEX(SRC_Woningetalage!$A$1:$ZZ$501,$A367,AQ$3)))</f>
        <v/>
      </c>
      <c r="AR367" s="124" t="str">
        <f>IF($B367="","",IF(AR$3=0,"n.b.",INDEX(SRC_Woningetalage!$A$1:$ZZ$501,$A367,AR$3)))</f>
        <v/>
      </c>
      <c r="AS367" s="124" t="str">
        <f>IF($B367="","",IF(AS$3=0,"n.b.",INDEX(SRC_Woningetalage!$A$1:$ZZ$501,$A367,AS$3)))</f>
        <v/>
      </c>
      <c r="AT367" s="124" t="str">
        <f>IF($B367="","",IF(AT$3=0,"n.b.",INDEX(SRC_Woningetalage!$A$1:$ZZ$501,$A367,AT$3)))</f>
        <v/>
      </c>
      <c r="AU367" s="124" t="str">
        <f>IF($B367="","",IF(AU$3=0,"n.b.",INDEX(SRC_Woningetalage!$A$1:$ZZ$501,$A367,AU$3)))</f>
        <v/>
      </c>
      <c r="AV367" s="124" t="str">
        <f>IF($B367="","",IF(AV$3=0,"n.b.",INDEX(SRC_Woningetalage!$A$1:$ZZ$501,$A367,AV$3)))</f>
        <v/>
      </c>
      <c r="AW367" s="124" t="str">
        <f>IF($B367="","",IF(AW$3=0,"n.b.",INDEX(SRC_Woningetalage!$A$1:$ZZ$501,$A367,AW$3)))</f>
        <v/>
      </c>
      <c r="AX367" s="124" t="str">
        <f>IF($B367="","",IF(AX$3=0,"n.b.",INDEX(SRC_Woningetalage!$A$1:$ZZ$501,$A367,AX$3)))</f>
        <v/>
      </c>
      <c r="AY367" s="124" t="str">
        <f>IF($B367="","",IF(AY$3=0,"n.b.",INDEX(SRC_Woningetalage!$A$1:$ZZ$501,$A367,AY$3)))</f>
        <v/>
      </c>
      <c r="AZ367" s="124" t="str">
        <f>IF($B367="","",IF(AZ$3=0,"n.b.",INDEX(SRC_Woningetalage!$A$1:$ZZ$501,$A367,AZ$3)))</f>
        <v/>
      </c>
      <c r="BA367" s="124" t="str">
        <f>IF($B367="","",IF(BA$3=0,"n.b.",INDEX(SRC_Woningetalage!$A$1:$ZZ$501,$A367,BA$3)))</f>
        <v/>
      </c>
      <c r="BB367" s="124" t="str">
        <f>IF($B367="","",IF(BB$3=0,"n.b.",INDEX(SRC_Woningetalage!$A$1:$ZZ$501,$A367,BB$3)))</f>
        <v/>
      </c>
      <c r="BC367" s="124" t="str">
        <f>IF($B367="","",IFERROR(_xlfn.NUMBERVALUE(E367&amp;"",",","."),"n.b."))</f>
        <v/>
      </c>
      <c r="BD367" s="124" t="str">
        <f>IF($B367="","",IFERROR(_xlfn.NUMBERVALUE(M367&amp;"",",","."),"n.b."))</f>
        <v/>
      </c>
      <c r="BE367" s="124" t="str">
        <f>IF($B367="","",IFERROR(AB367+AC367+AD367,"n.b."))</f>
        <v/>
      </c>
      <c r="BF367" s="124" t="str">
        <f>IF($B367="","",IFERROR(AE367+AF367+AG367,"n.b."))</f>
        <v/>
      </c>
      <c r="BG367" s="124" t="str">
        <f>IF($B367="","",IFERROR(AH367+AI367+AJ367,"n.b."))</f>
        <v/>
      </c>
      <c r="BH367" s="124" t="str">
        <f>IF($B367="","",IFERROR(AK367+AL367+AM367,"n.b."))</f>
        <v/>
      </c>
      <c r="BI367" s="124" t="str">
        <f>IF($B367="","",IFERROR(SUMIF($AB$5:$AM$5,"&lt;="&amp;P_PeilMaand,AB367:AM367),"n.b."))</f>
        <v/>
      </c>
      <c r="BJ367" s="124" t="str">
        <f>IF($B367="","",IFERROR(SUM(AB367:AM367)-BI367,"n.b."))</f>
        <v/>
      </c>
      <c r="BK367" s="124" t="str">
        <f>IF($B367="","",IFERROR(IF(ABS(Q367-(T367+SUM(AB367:AM367)+AS367+AU367))&gt;P_Tol,1,0),1))</f>
        <v/>
      </c>
      <c r="BL367" s="124" t="str">
        <f>IF($B367="","",IFERROR(IF(ABS(AA367-(Q367-Z367))&gt;P_Tol,1,0),1))</f>
        <v/>
      </c>
      <c r="BM367" s="124" t="str">
        <f>IF($B367="","",IFERROR(IF(ABS(Z367-(T367+W367))&gt;P_Tol,1,0),1))</f>
        <v/>
      </c>
      <c r="BN367" s="124" t="str">
        <f>IF($B367="","",IFERROR(IF(ABS(W367-BI367)&gt;P_Tol,1,0),1))</f>
        <v/>
      </c>
      <c r="BO367" s="124" t="str">
        <f>IF($B367="","",IFERROR(IF(OR(ABS(R367+S367-T367)&gt;P_Tol,ABS(U367+V367-W367)&gt;P_Tol,ABS(X367+Y367-Z367)&gt;P_Tol),1,0),1))</f>
        <v/>
      </c>
      <c r="BP367" s="124" t="str">
        <f>IF($B367="","",IFERROR(IF(OR(ABS(AR367-SUM(AB367:AM367))&gt;P_Tol,ABS(AS367-(AN367+AO367+AP367+AQ367))&gt;P_Tol),1,0),1))</f>
        <v/>
      </c>
      <c r="BQ367" s="124" t="str">
        <f>IF($B367="","",IFERROR(IF(ABS(AT367)+ABS(AV367)+ABS(AW367)+ABS(AX367)+ABS(AY367)+ABS(AZ367)+ABS(BA367)+ABS(BB367)&gt;0,1,0),1))</f>
        <v/>
      </c>
      <c r="BR367" s="124" t="str">
        <f>IF($B367="","",COUNTIF(STG_ZPMW03!$B$6:$B$505,B367))</f>
        <v/>
      </c>
      <c r="BS367" s="124" t="str">
        <f>IF($B367="","",COUNTIF($B$6:$B$505,B367))</f>
        <v/>
      </c>
      <c r="BT367" s="124" t="str">
        <f>IF($B367="","",IF(BR367=0,0,IF(INDEX(STG_ZPMW03!$I$6:$I$505,MATCH(B367,STG_ZPMW03!$B$6:$B$505,0))=J367&amp;"",0,1)))</f>
        <v/>
      </c>
      <c r="BU367" s="124" t="str">
        <f>IF($B367="","",IFERROR(IF(ABS(INDEX(Mapping!$D$5:$D$104,MATCH(B367,Mapping!$A$5:$A$104,0))-Q367)&gt;P_Tol,1,0),0))</f>
        <v/>
      </c>
      <c r="BV367" s="124" t="str">
        <f>IF($B367="","",IFERROR(IF(AND(INDEX(Mapping!$G$5:$G$104,MATCH(B367,Mapping!$A$5:$A$104,0))="Nee",ABS(Q367)+ABS(Z367)+ABS(AR367)&gt;0),1,0),0))</f>
        <v/>
      </c>
      <c r="BW367" s="124" t="str">
        <f>IF($B367="","",IF(COUNTIF(Mapping!$A$5:$A$104,B367)&gt;0,1,0))</f>
        <v/>
      </c>
      <c r="BX367" s="124" t="str">
        <f>IF($B367="","",IF(BR367=0,COUNTIF($BR$6:BR367,0),""))</f>
        <v/>
      </c>
    </row>
    <row r="368">
      <c r="A368" s="15" t="n">
        <v>364</v>
      </c>
      <c r="B368" t="str">
        <f>IF(B$3=0,"",IF(INDEX(SRC_Woningetalage!$A$1:$ZZ$501,$A368,B$3)&amp;""="","",INDEX(SRC_Woningetalage!$A$1:$ZZ$501,$A368,B$3)&amp;""))</f>
        <v/>
      </c>
      <c r="C368" t="str">
        <f>IF($B368="","",IF(C$3=0,"n.b.",INDEX(SRC_Woningetalage!$A$1:$ZZ$501,$A368,C$3)))</f>
        <v/>
      </c>
      <c r="D368" t="str">
        <f>IF($B368="","",IF(D$3=0,"n.b.",INDEX(SRC_Woningetalage!$A$1:$ZZ$501,$A368,D$3)))</f>
        <v/>
      </c>
      <c r="E368" t="str">
        <f>IF($B368="","",IF(E$3=0,"n.b.",INDEX(SRC_Woningetalage!$A$1:$ZZ$501,$A368,E$3)))</f>
        <v/>
      </c>
      <c r="F368" t="str">
        <f>IF($B368="","",IF(F$3=0,"n.b.",INDEX(SRC_Woningetalage!$A$1:$ZZ$501,$A368,F$3)))</f>
        <v/>
      </c>
      <c r="G368" t="str">
        <f>IF($B368="","",IF(G$3=0,"n.b.",INDEX(SRC_Woningetalage!$A$1:$ZZ$501,$A368,G$3)))</f>
        <v/>
      </c>
      <c r="H368" t="str">
        <f>IF($B368="","",IF(H$3=0,"n.b.",INDEX(SRC_Woningetalage!$A$1:$ZZ$501,$A368,H$3)))</f>
        <v/>
      </c>
      <c r="I368" t="str">
        <f>IF($B368="","",IF(I$3=0,"n.b.",INDEX(SRC_Woningetalage!$A$1:$ZZ$501,$A368,I$3)))</f>
        <v/>
      </c>
      <c r="J368" t="str">
        <f>IF($B368="","",IF(J$3=0,"n.b.",INDEX(SRC_Woningetalage!$A$1:$ZZ$501,$A368,J$3)))</f>
        <v/>
      </c>
      <c r="K368" t="str">
        <f>IF($B368="","",IF(K$3=0,"n.b.",INDEX(SRC_Woningetalage!$A$1:$ZZ$501,$A368,K$3)))</f>
        <v/>
      </c>
      <c r="L368" t="str">
        <f>IF($B368="","",IF(L$3=0,"n.b.",INDEX(SRC_Woningetalage!$A$1:$ZZ$501,$A368,L$3)))</f>
        <v/>
      </c>
      <c r="M368" t="str">
        <f>IF($B368="","",IF(M$3=0,"n.b.",INDEX(SRC_Woningetalage!$A$1:$ZZ$501,$A368,M$3)))</f>
        <v/>
      </c>
      <c r="N368" t="str">
        <f>IF($B368="","",IF(N$3=0,"n.b.",INDEX(SRC_Woningetalage!$A$1:$ZZ$501,$A368,N$3)))</f>
        <v/>
      </c>
      <c r="O368" t="str">
        <f>IF($B368="","",IF(O$3=0,"n.b.",INDEX(SRC_Woningetalage!$A$1:$ZZ$501,$A368,O$3)))</f>
        <v/>
      </c>
      <c r="P368" t="str">
        <f>IF($B368="","",IF(P$3=0,"n.b.",INDEX(SRC_Woningetalage!$A$1:$ZZ$501,$A368,P$3)))</f>
        <v/>
      </c>
      <c r="Q368" s="124" t="str">
        <f>IF($B368="","",IF(Q$3=0,"n.b.",INDEX(SRC_Woningetalage!$A$1:$ZZ$501,$A368,Q$3)))</f>
        <v/>
      </c>
      <c r="R368" s="124" t="str">
        <f>IF($B368="","",IF(R$3=0,"n.b.",INDEX(SRC_Woningetalage!$A$1:$ZZ$501,$A368,R$3)))</f>
        <v/>
      </c>
      <c r="S368" s="124" t="str">
        <f>IF($B368="","",IF(S$3=0,"n.b.",INDEX(SRC_Woningetalage!$A$1:$ZZ$501,$A368,S$3)))</f>
        <v/>
      </c>
      <c r="T368" s="124" t="str">
        <f>IF($B368="","",IF(T$3=0,"n.b.",INDEX(SRC_Woningetalage!$A$1:$ZZ$501,$A368,T$3)))</f>
        <v/>
      </c>
      <c r="U368" s="124" t="str">
        <f>IF($B368="","",IF(U$3=0,"n.b.",INDEX(SRC_Woningetalage!$A$1:$ZZ$501,$A368,U$3)))</f>
        <v/>
      </c>
      <c r="V368" s="124" t="str">
        <f>IF($B368="","",IF(V$3=0,"n.b.",INDEX(SRC_Woningetalage!$A$1:$ZZ$501,$A368,V$3)))</f>
        <v/>
      </c>
      <c r="W368" s="124" t="str">
        <f>IF($B368="","",IF(W$3=0,"n.b.",INDEX(SRC_Woningetalage!$A$1:$ZZ$501,$A368,W$3)))</f>
        <v/>
      </c>
      <c r="X368" s="124" t="str">
        <f>IF($B368="","",IF(X$3=0,"n.b.",INDEX(SRC_Woningetalage!$A$1:$ZZ$501,$A368,X$3)))</f>
        <v/>
      </c>
      <c r="Y368" s="124" t="str">
        <f>IF($B368="","",IF(Y$3=0,"n.b.",INDEX(SRC_Woningetalage!$A$1:$ZZ$501,$A368,Y$3)))</f>
        <v/>
      </c>
      <c r="Z368" s="124" t="str">
        <f>IF($B368="","",IF(Z$3=0,"n.b.",INDEX(SRC_Woningetalage!$A$1:$ZZ$501,$A368,Z$3)))</f>
        <v/>
      </c>
      <c r="AA368" s="124" t="str">
        <f>IF($B368="","",IF(AA$3=0,"n.b.",INDEX(SRC_Woningetalage!$A$1:$ZZ$501,$A368,AA$3)))</f>
        <v/>
      </c>
      <c r="AB368" s="124" t="str">
        <f>IF($B368="","",IF(AB$3=0,"n.b.",INDEX(SRC_Woningetalage!$A$1:$ZZ$501,$A368,AB$3)))</f>
        <v/>
      </c>
      <c r="AC368" s="124" t="str">
        <f>IF($B368="","",IF(AC$3=0,"n.b.",INDEX(SRC_Woningetalage!$A$1:$ZZ$501,$A368,AC$3)))</f>
        <v/>
      </c>
      <c r="AD368" s="124" t="str">
        <f>IF($B368="","",IF(AD$3=0,"n.b.",INDEX(SRC_Woningetalage!$A$1:$ZZ$501,$A368,AD$3)))</f>
        <v/>
      </c>
      <c r="AE368" s="124" t="str">
        <f>IF($B368="","",IF(AE$3=0,"n.b.",INDEX(SRC_Woningetalage!$A$1:$ZZ$501,$A368,AE$3)))</f>
        <v/>
      </c>
      <c r="AF368" s="124" t="str">
        <f>IF($B368="","",IF(AF$3=0,"n.b.",INDEX(SRC_Woningetalage!$A$1:$ZZ$501,$A368,AF$3)))</f>
        <v/>
      </c>
      <c r="AG368" s="124" t="str">
        <f>IF($B368="","",IF(AG$3=0,"n.b.",INDEX(SRC_Woningetalage!$A$1:$ZZ$501,$A368,AG$3)))</f>
        <v/>
      </c>
      <c r="AH368" s="124" t="str">
        <f>IF($B368="","",IF(AH$3=0,"n.b.",INDEX(SRC_Woningetalage!$A$1:$ZZ$501,$A368,AH$3)))</f>
        <v/>
      </c>
      <c r="AI368" s="124" t="str">
        <f>IF($B368="","",IF(AI$3=0,"n.b.",INDEX(SRC_Woningetalage!$A$1:$ZZ$501,$A368,AI$3)))</f>
        <v/>
      </c>
      <c r="AJ368" s="124" t="str">
        <f>IF($B368="","",IF(AJ$3=0,"n.b.",INDEX(SRC_Woningetalage!$A$1:$ZZ$501,$A368,AJ$3)))</f>
        <v/>
      </c>
      <c r="AK368" s="124" t="str">
        <f>IF($B368="","",IF(AK$3=0,"n.b.",INDEX(SRC_Woningetalage!$A$1:$ZZ$501,$A368,AK$3)))</f>
        <v/>
      </c>
      <c r="AL368" s="124" t="str">
        <f>IF($B368="","",IF(AL$3=0,"n.b.",INDEX(SRC_Woningetalage!$A$1:$ZZ$501,$A368,AL$3)))</f>
        <v/>
      </c>
      <c r="AM368" s="124" t="str">
        <f>IF($B368="","",IF(AM$3=0,"n.b.",INDEX(SRC_Woningetalage!$A$1:$ZZ$501,$A368,AM$3)))</f>
        <v/>
      </c>
      <c r="AN368" s="124" t="str">
        <f>IF($B368="","",IF(AN$3=0,"n.b.",INDEX(SRC_Woningetalage!$A$1:$ZZ$501,$A368,AN$3)))</f>
        <v/>
      </c>
      <c r="AO368" s="124" t="str">
        <f>IF($B368="","",IF(AO$3=0,"n.b.",INDEX(SRC_Woningetalage!$A$1:$ZZ$501,$A368,AO$3)))</f>
        <v/>
      </c>
      <c r="AP368" s="124" t="str">
        <f>IF($B368="","",IF(AP$3=0,"n.b.",INDEX(SRC_Woningetalage!$A$1:$ZZ$501,$A368,AP$3)))</f>
        <v/>
      </c>
      <c r="AQ368" s="124" t="str">
        <f>IF($B368="","",IF(AQ$3=0,"n.b.",INDEX(SRC_Woningetalage!$A$1:$ZZ$501,$A368,AQ$3)))</f>
        <v/>
      </c>
      <c r="AR368" s="124" t="str">
        <f>IF($B368="","",IF(AR$3=0,"n.b.",INDEX(SRC_Woningetalage!$A$1:$ZZ$501,$A368,AR$3)))</f>
        <v/>
      </c>
      <c r="AS368" s="124" t="str">
        <f>IF($B368="","",IF(AS$3=0,"n.b.",INDEX(SRC_Woningetalage!$A$1:$ZZ$501,$A368,AS$3)))</f>
        <v/>
      </c>
      <c r="AT368" s="124" t="str">
        <f>IF($B368="","",IF(AT$3=0,"n.b.",INDEX(SRC_Woningetalage!$A$1:$ZZ$501,$A368,AT$3)))</f>
        <v/>
      </c>
      <c r="AU368" s="124" t="str">
        <f>IF($B368="","",IF(AU$3=0,"n.b.",INDEX(SRC_Woningetalage!$A$1:$ZZ$501,$A368,AU$3)))</f>
        <v/>
      </c>
      <c r="AV368" s="124" t="str">
        <f>IF($B368="","",IF(AV$3=0,"n.b.",INDEX(SRC_Woningetalage!$A$1:$ZZ$501,$A368,AV$3)))</f>
        <v/>
      </c>
      <c r="AW368" s="124" t="str">
        <f>IF($B368="","",IF(AW$3=0,"n.b.",INDEX(SRC_Woningetalage!$A$1:$ZZ$501,$A368,AW$3)))</f>
        <v/>
      </c>
      <c r="AX368" s="124" t="str">
        <f>IF($B368="","",IF(AX$3=0,"n.b.",INDEX(SRC_Woningetalage!$A$1:$ZZ$501,$A368,AX$3)))</f>
        <v/>
      </c>
      <c r="AY368" s="124" t="str">
        <f>IF($B368="","",IF(AY$3=0,"n.b.",INDEX(SRC_Woningetalage!$A$1:$ZZ$501,$A368,AY$3)))</f>
        <v/>
      </c>
      <c r="AZ368" s="124" t="str">
        <f>IF($B368="","",IF(AZ$3=0,"n.b.",INDEX(SRC_Woningetalage!$A$1:$ZZ$501,$A368,AZ$3)))</f>
        <v/>
      </c>
      <c r="BA368" s="124" t="str">
        <f>IF($B368="","",IF(BA$3=0,"n.b.",INDEX(SRC_Woningetalage!$A$1:$ZZ$501,$A368,BA$3)))</f>
        <v/>
      </c>
      <c r="BB368" s="124" t="str">
        <f>IF($B368="","",IF(BB$3=0,"n.b.",INDEX(SRC_Woningetalage!$A$1:$ZZ$501,$A368,BB$3)))</f>
        <v/>
      </c>
      <c r="BC368" s="124" t="str">
        <f>IF($B368="","",IFERROR(_xlfn.NUMBERVALUE(E368&amp;"",",","."),"n.b."))</f>
        <v/>
      </c>
      <c r="BD368" s="124" t="str">
        <f>IF($B368="","",IFERROR(_xlfn.NUMBERVALUE(M368&amp;"",",","."),"n.b."))</f>
        <v/>
      </c>
      <c r="BE368" s="124" t="str">
        <f>IF($B368="","",IFERROR(AB368+AC368+AD368,"n.b."))</f>
        <v/>
      </c>
      <c r="BF368" s="124" t="str">
        <f>IF($B368="","",IFERROR(AE368+AF368+AG368,"n.b."))</f>
        <v/>
      </c>
      <c r="BG368" s="124" t="str">
        <f>IF($B368="","",IFERROR(AH368+AI368+AJ368,"n.b."))</f>
        <v/>
      </c>
      <c r="BH368" s="124" t="str">
        <f>IF($B368="","",IFERROR(AK368+AL368+AM368,"n.b."))</f>
        <v/>
      </c>
      <c r="BI368" s="124" t="str">
        <f>IF($B368="","",IFERROR(SUMIF($AB$5:$AM$5,"&lt;="&amp;P_PeilMaand,AB368:AM368),"n.b."))</f>
        <v/>
      </c>
      <c r="BJ368" s="124" t="str">
        <f>IF($B368="","",IFERROR(SUM(AB368:AM368)-BI368,"n.b."))</f>
        <v/>
      </c>
      <c r="BK368" s="124" t="str">
        <f>IF($B368="","",IFERROR(IF(ABS(Q368-(T368+SUM(AB368:AM368)+AS368+AU368))&gt;P_Tol,1,0),1))</f>
        <v/>
      </c>
      <c r="BL368" s="124" t="str">
        <f>IF($B368="","",IFERROR(IF(ABS(AA368-(Q368-Z368))&gt;P_Tol,1,0),1))</f>
        <v/>
      </c>
      <c r="BM368" s="124" t="str">
        <f>IF($B368="","",IFERROR(IF(ABS(Z368-(T368+W368))&gt;P_Tol,1,0),1))</f>
        <v/>
      </c>
      <c r="BN368" s="124" t="str">
        <f>IF($B368="","",IFERROR(IF(ABS(W368-BI368)&gt;P_Tol,1,0),1))</f>
        <v/>
      </c>
      <c r="BO368" s="124" t="str">
        <f>IF($B368="","",IFERROR(IF(OR(ABS(R368+S368-T368)&gt;P_Tol,ABS(U368+V368-W368)&gt;P_Tol,ABS(X368+Y368-Z368)&gt;P_Tol),1,0),1))</f>
        <v/>
      </c>
      <c r="BP368" s="124" t="str">
        <f>IF($B368="","",IFERROR(IF(OR(ABS(AR368-SUM(AB368:AM368))&gt;P_Tol,ABS(AS368-(AN368+AO368+AP368+AQ368))&gt;P_Tol),1,0),1))</f>
        <v/>
      </c>
      <c r="BQ368" s="124" t="str">
        <f>IF($B368="","",IFERROR(IF(ABS(AT368)+ABS(AV368)+ABS(AW368)+ABS(AX368)+ABS(AY368)+ABS(AZ368)+ABS(BA368)+ABS(BB368)&gt;0,1,0),1))</f>
        <v/>
      </c>
      <c r="BR368" s="124" t="str">
        <f>IF($B368="","",COUNTIF(STG_ZPMW03!$B$6:$B$505,B368))</f>
        <v/>
      </c>
      <c r="BS368" s="124" t="str">
        <f>IF($B368="","",COUNTIF($B$6:$B$505,B368))</f>
        <v/>
      </c>
      <c r="BT368" s="124" t="str">
        <f>IF($B368="","",IF(BR368=0,0,IF(INDEX(STG_ZPMW03!$I$6:$I$505,MATCH(B368,STG_ZPMW03!$B$6:$B$505,0))=J368&amp;"",0,1)))</f>
        <v/>
      </c>
      <c r="BU368" s="124" t="str">
        <f>IF($B368="","",IFERROR(IF(ABS(INDEX(Mapping!$D$5:$D$104,MATCH(B368,Mapping!$A$5:$A$104,0))-Q368)&gt;P_Tol,1,0),0))</f>
        <v/>
      </c>
      <c r="BV368" s="124" t="str">
        <f>IF($B368="","",IFERROR(IF(AND(INDEX(Mapping!$G$5:$G$104,MATCH(B368,Mapping!$A$5:$A$104,0))="Nee",ABS(Q368)+ABS(Z368)+ABS(AR368)&gt;0),1,0),0))</f>
        <v/>
      </c>
      <c r="BW368" s="124" t="str">
        <f>IF($B368="","",IF(COUNTIF(Mapping!$A$5:$A$104,B368)&gt;0,1,0))</f>
        <v/>
      </c>
      <c r="BX368" s="124" t="str">
        <f>IF($B368="","",IF(BR368=0,COUNTIF($BR$6:BR368,0),""))</f>
        <v/>
      </c>
    </row>
    <row r="369">
      <c r="A369" s="15" t="n">
        <v>365</v>
      </c>
      <c r="B369" t="str">
        <f>IF(B$3=0,"",IF(INDEX(SRC_Woningetalage!$A$1:$ZZ$501,$A369,B$3)&amp;""="","",INDEX(SRC_Woningetalage!$A$1:$ZZ$501,$A369,B$3)&amp;""))</f>
        <v/>
      </c>
      <c r="C369" t="str">
        <f>IF($B369="","",IF(C$3=0,"n.b.",INDEX(SRC_Woningetalage!$A$1:$ZZ$501,$A369,C$3)))</f>
        <v/>
      </c>
      <c r="D369" t="str">
        <f>IF($B369="","",IF(D$3=0,"n.b.",INDEX(SRC_Woningetalage!$A$1:$ZZ$501,$A369,D$3)))</f>
        <v/>
      </c>
      <c r="E369" t="str">
        <f>IF($B369="","",IF(E$3=0,"n.b.",INDEX(SRC_Woningetalage!$A$1:$ZZ$501,$A369,E$3)))</f>
        <v/>
      </c>
      <c r="F369" t="str">
        <f>IF($B369="","",IF(F$3=0,"n.b.",INDEX(SRC_Woningetalage!$A$1:$ZZ$501,$A369,F$3)))</f>
        <v/>
      </c>
      <c r="G369" t="str">
        <f>IF($B369="","",IF(G$3=0,"n.b.",INDEX(SRC_Woningetalage!$A$1:$ZZ$501,$A369,G$3)))</f>
        <v/>
      </c>
      <c r="H369" t="str">
        <f>IF($B369="","",IF(H$3=0,"n.b.",INDEX(SRC_Woningetalage!$A$1:$ZZ$501,$A369,H$3)))</f>
        <v/>
      </c>
      <c r="I369" t="str">
        <f>IF($B369="","",IF(I$3=0,"n.b.",INDEX(SRC_Woningetalage!$A$1:$ZZ$501,$A369,I$3)))</f>
        <v/>
      </c>
      <c r="J369" t="str">
        <f>IF($B369="","",IF(J$3=0,"n.b.",INDEX(SRC_Woningetalage!$A$1:$ZZ$501,$A369,J$3)))</f>
        <v/>
      </c>
      <c r="K369" t="str">
        <f>IF($B369="","",IF(K$3=0,"n.b.",INDEX(SRC_Woningetalage!$A$1:$ZZ$501,$A369,K$3)))</f>
        <v/>
      </c>
      <c r="L369" t="str">
        <f>IF($B369="","",IF(L$3=0,"n.b.",INDEX(SRC_Woningetalage!$A$1:$ZZ$501,$A369,L$3)))</f>
        <v/>
      </c>
      <c r="M369" t="str">
        <f>IF($B369="","",IF(M$3=0,"n.b.",INDEX(SRC_Woningetalage!$A$1:$ZZ$501,$A369,M$3)))</f>
        <v/>
      </c>
      <c r="N369" t="str">
        <f>IF($B369="","",IF(N$3=0,"n.b.",INDEX(SRC_Woningetalage!$A$1:$ZZ$501,$A369,N$3)))</f>
        <v/>
      </c>
      <c r="O369" t="str">
        <f>IF($B369="","",IF(O$3=0,"n.b.",INDEX(SRC_Woningetalage!$A$1:$ZZ$501,$A369,O$3)))</f>
        <v/>
      </c>
      <c r="P369" t="str">
        <f>IF($B369="","",IF(P$3=0,"n.b.",INDEX(SRC_Woningetalage!$A$1:$ZZ$501,$A369,P$3)))</f>
        <v/>
      </c>
      <c r="Q369" s="124" t="str">
        <f>IF($B369="","",IF(Q$3=0,"n.b.",INDEX(SRC_Woningetalage!$A$1:$ZZ$501,$A369,Q$3)))</f>
        <v/>
      </c>
      <c r="R369" s="124" t="str">
        <f>IF($B369="","",IF(R$3=0,"n.b.",INDEX(SRC_Woningetalage!$A$1:$ZZ$501,$A369,R$3)))</f>
        <v/>
      </c>
      <c r="S369" s="124" t="str">
        <f>IF($B369="","",IF(S$3=0,"n.b.",INDEX(SRC_Woningetalage!$A$1:$ZZ$501,$A369,S$3)))</f>
        <v/>
      </c>
      <c r="T369" s="124" t="str">
        <f>IF($B369="","",IF(T$3=0,"n.b.",INDEX(SRC_Woningetalage!$A$1:$ZZ$501,$A369,T$3)))</f>
        <v/>
      </c>
      <c r="U369" s="124" t="str">
        <f>IF($B369="","",IF(U$3=0,"n.b.",INDEX(SRC_Woningetalage!$A$1:$ZZ$501,$A369,U$3)))</f>
        <v/>
      </c>
      <c r="V369" s="124" t="str">
        <f>IF($B369="","",IF(V$3=0,"n.b.",INDEX(SRC_Woningetalage!$A$1:$ZZ$501,$A369,V$3)))</f>
        <v/>
      </c>
      <c r="W369" s="124" t="str">
        <f>IF($B369="","",IF(W$3=0,"n.b.",INDEX(SRC_Woningetalage!$A$1:$ZZ$501,$A369,W$3)))</f>
        <v/>
      </c>
      <c r="X369" s="124" t="str">
        <f>IF($B369="","",IF(X$3=0,"n.b.",INDEX(SRC_Woningetalage!$A$1:$ZZ$501,$A369,X$3)))</f>
        <v/>
      </c>
      <c r="Y369" s="124" t="str">
        <f>IF($B369="","",IF(Y$3=0,"n.b.",INDEX(SRC_Woningetalage!$A$1:$ZZ$501,$A369,Y$3)))</f>
        <v/>
      </c>
      <c r="Z369" s="124" t="str">
        <f>IF($B369="","",IF(Z$3=0,"n.b.",INDEX(SRC_Woningetalage!$A$1:$ZZ$501,$A369,Z$3)))</f>
        <v/>
      </c>
      <c r="AA369" s="124" t="str">
        <f>IF($B369="","",IF(AA$3=0,"n.b.",INDEX(SRC_Woningetalage!$A$1:$ZZ$501,$A369,AA$3)))</f>
        <v/>
      </c>
      <c r="AB369" s="124" t="str">
        <f>IF($B369="","",IF(AB$3=0,"n.b.",INDEX(SRC_Woningetalage!$A$1:$ZZ$501,$A369,AB$3)))</f>
        <v/>
      </c>
      <c r="AC369" s="124" t="str">
        <f>IF($B369="","",IF(AC$3=0,"n.b.",INDEX(SRC_Woningetalage!$A$1:$ZZ$501,$A369,AC$3)))</f>
        <v/>
      </c>
      <c r="AD369" s="124" t="str">
        <f>IF($B369="","",IF(AD$3=0,"n.b.",INDEX(SRC_Woningetalage!$A$1:$ZZ$501,$A369,AD$3)))</f>
        <v/>
      </c>
      <c r="AE369" s="124" t="str">
        <f>IF($B369="","",IF(AE$3=0,"n.b.",INDEX(SRC_Woningetalage!$A$1:$ZZ$501,$A369,AE$3)))</f>
        <v/>
      </c>
      <c r="AF369" s="124" t="str">
        <f>IF($B369="","",IF(AF$3=0,"n.b.",INDEX(SRC_Woningetalage!$A$1:$ZZ$501,$A369,AF$3)))</f>
        <v/>
      </c>
      <c r="AG369" s="124" t="str">
        <f>IF($B369="","",IF(AG$3=0,"n.b.",INDEX(SRC_Woningetalage!$A$1:$ZZ$501,$A369,AG$3)))</f>
        <v/>
      </c>
      <c r="AH369" s="124" t="str">
        <f>IF($B369="","",IF(AH$3=0,"n.b.",INDEX(SRC_Woningetalage!$A$1:$ZZ$501,$A369,AH$3)))</f>
        <v/>
      </c>
      <c r="AI369" s="124" t="str">
        <f>IF($B369="","",IF(AI$3=0,"n.b.",INDEX(SRC_Woningetalage!$A$1:$ZZ$501,$A369,AI$3)))</f>
        <v/>
      </c>
      <c r="AJ369" s="124" t="str">
        <f>IF($B369="","",IF(AJ$3=0,"n.b.",INDEX(SRC_Woningetalage!$A$1:$ZZ$501,$A369,AJ$3)))</f>
        <v/>
      </c>
      <c r="AK369" s="124" t="str">
        <f>IF($B369="","",IF(AK$3=0,"n.b.",INDEX(SRC_Woningetalage!$A$1:$ZZ$501,$A369,AK$3)))</f>
        <v/>
      </c>
      <c r="AL369" s="124" t="str">
        <f>IF($B369="","",IF(AL$3=0,"n.b.",INDEX(SRC_Woningetalage!$A$1:$ZZ$501,$A369,AL$3)))</f>
        <v/>
      </c>
      <c r="AM369" s="124" t="str">
        <f>IF($B369="","",IF(AM$3=0,"n.b.",INDEX(SRC_Woningetalage!$A$1:$ZZ$501,$A369,AM$3)))</f>
        <v/>
      </c>
      <c r="AN369" s="124" t="str">
        <f>IF($B369="","",IF(AN$3=0,"n.b.",INDEX(SRC_Woningetalage!$A$1:$ZZ$501,$A369,AN$3)))</f>
        <v/>
      </c>
      <c r="AO369" s="124" t="str">
        <f>IF($B369="","",IF(AO$3=0,"n.b.",INDEX(SRC_Woningetalage!$A$1:$ZZ$501,$A369,AO$3)))</f>
        <v/>
      </c>
      <c r="AP369" s="124" t="str">
        <f>IF($B369="","",IF(AP$3=0,"n.b.",INDEX(SRC_Woningetalage!$A$1:$ZZ$501,$A369,AP$3)))</f>
        <v/>
      </c>
      <c r="AQ369" s="124" t="str">
        <f>IF($B369="","",IF(AQ$3=0,"n.b.",INDEX(SRC_Woningetalage!$A$1:$ZZ$501,$A369,AQ$3)))</f>
        <v/>
      </c>
      <c r="AR369" s="124" t="str">
        <f>IF($B369="","",IF(AR$3=0,"n.b.",INDEX(SRC_Woningetalage!$A$1:$ZZ$501,$A369,AR$3)))</f>
        <v/>
      </c>
      <c r="AS369" s="124" t="str">
        <f>IF($B369="","",IF(AS$3=0,"n.b.",INDEX(SRC_Woningetalage!$A$1:$ZZ$501,$A369,AS$3)))</f>
        <v/>
      </c>
      <c r="AT369" s="124" t="str">
        <f>IF($B369="","",IF(AT$3=0,"n.b.",INDEX(SRC_Woningetalage!$A$1:$ZZ$501,$A369,AT$3)))</f>
        <v/>
      </c>
      <c r="AU369" s="124" t="str">
        <f>IF($B369="","",IF(AU$3=0,"n.b.",INDEX(SRC_Woningetalage!$A$1:$ZZ$501,$A369,AU$3)))</f>
        <v/>
      </c>
      <c r="AV369" s="124" t="str">
        <f>IF($B369="","",IF(AV$3=0,"n.b.",INDEX(SRC_Woningetalage!$A$1:$ZZ$501,$A369,AV$3)))</f>
        <v/>
      </c>
      <c r="AW369" s="124" t="str">
        <f>IF($B369="","",IF(AW$3=0,"n.b.",INDEX(SRC_Woningetalage!$A$1:$ZZ$501,$A369,AW$3)))</f>
        <v/>
      </c>
      <c r="AX369" s="124" t="str">
        <f>IF($B369="","",IF(AX$3=0,"n.b.",INDEX(SRC_Woningetalage!$A$1:$ZZ$501,$A369,AX$3)))</f>
        <v/>
      </c>
      <c r="AY369" s="124" t="str">
        <f>IF($B369="","",IF(AY$3=0,"n.b.",INDEX(SRC_Woningetalage!$A$1:$ZZ$501,$A369,AY$3)))</f>
        <v/>
      </c>
      <c r="AZ369" s="124" t="str">
        <f>IF($B369="","",IF(AZ$3=0,"n.b.",INDEX(SRC_Woningetalage!$A$1:$ZZ$501,$A369,AZ$3)))</f>
        <v/>
      </c>
      <c r="BA369" s="124" t="str">
        <f>IF($B369="","",IF(BA$3=0,"n.b.",INDEX(SRC_Woningetalage!$A$1:$ZZ$501,$A369,BA$3)))</f>
        <v/>
      </c>
      <c r="BB369" s="124" t="str">
        <f>IF($B369="","",IF(BB$3=0,"n.b.",INDEX(SRC_Woningetalage!$A$1:$ZZ$501,$A369,BB$3)))</f>
        <v/>
      </c>
      <c r="BC369" s="124" t="str">
        <f>IF($B369="","",IFERROR(_xlfn.NUMBERVALUE(E369&amp;"",",","."),"n.b."))</f>
        <v/>
      </c>
      <c r="BD369" s="124" t="str">
        <f>IF($B369="","",IFERROR(_xlfn.NUMBERVALUE(M369&amp;"",",","."),"n.b."))</f>
        <v/>
      </c>
      <c r="BE369" s="124" t="str">
        <f>IF($B369="","",IFERROR(AB369+AC369+AD369,"n.b."))</f>
        <v/>
      </c>
      <c r="BF369" s="124" t="str">
        <f>IF($B369="","",IFERROR(AE369+AF369+AG369,"n.b."))</f>
        <v/>
      </c>
      <c r="BG369" s="124" t="str">
        <f>IF($B369="","",IFERROR(AH369+AI369+AJ369,"n.b."))</f>
        <v/>
      </c>
      <c r="BH369" s="124" t="str">
        <f>IF($B369="","",IFERROR(AK369+AL369+AM369,"n.b."))</f>
        <v/>
      </c>
      <c r="BI369" s="124" t="str">
        <f>IF($B369="","",IFERROR(SUMIF($AB$5:$AM$5,"&lt;="&amp;P_PeilMaand,AB369:AM369),"n.b."))</f>
        <v/>
      </c>
      <c r="BJ369" s="124" t="str">
        <f>IF($B369="","",IFERROR(SUM(AB369:AM369)-BI369,"n.b."))</f>
        <v/>
      </c>
      <c r="BK369" s="124" t="str">
        <f>IF($B369="","",IFERROR(IF(ABS(Q369-(T369+SUM(AB369:AM369)+AS369+AU369))&gt;P_Tol,1,0),1))</f>
        <v/>
      </c>
      <c r="BL369" s="124" t="str">
        <f>IF($B369="","",IFERROR(IF(ABS(AA369-(Q369-Z369))&gt;P_Tol,1,0),1))</f>
        <v/>
      </c>
      <c r="BM369" s="124" t="str">
        <f>IF($B369="","",IFERROR(IF(ABS(Z369-(T369+W369))&gt;P_Tol,1,0),1))</f>
        <v/>
      </c>
      <c r="BN369" s="124" t="str">
        <f>IF($B369="","",IFERROR(IF(ABS(W369-BI369)&gt;P_Tol,1,0),1))</f>
        <v/>
      </c>
      <c r="BO369" s="124" t="str">
        <f>IF($B369="","",IFERROR(IF(OR(ABS(R369+S369-T369)&gt;P_Tol,ABS(U369+V369-W369)&gt;P_Tol,ABS(X369+Y369-Z369)&gt;P_Tol),1,0),1))</f>
        <v/>
      </c>
      <c r="BP369" s="124" t="str">
        <f>IF($B369="","",IFERROR(IF(OR(ABS(AR369-SUM(AB369:AM369))&gt;P_Tol,ABS(AS369-(AN369+AO369+AP369+AQ369))&gt;P_Tol),1,0),1))</f>
        <v/>
      </c>
      <c r="BQ369" s="124" t="str">
        <f>IF($B369="","",IFERROR(IF(ABS(AT369)+ABS(AV369)+ABS(AW369)+ABS(AX369)+ABS(AY369)+ABS(AZ369)+ABS(BA369)+ABS(BB369)&gt;0,1,0),1))</f>
        <v/>
      </c>
      <c r="BR369" s="124" t="str">
        <f>IF($B369="","",COUNTIF(STG_ZPMW03!$B$6:$B$505,B369))</f>
        <v/>
      </c>
      <c r="BS369" s="124" t="str">
        <f>IF($B369="","",COUNTIF($B$6:$B$505,B369))</f>
        <v/>
      </c>
      <c r="BT369" s="124" t="str">
        <f>IF($B369="","",IF(BR369=0,0,IF(INDEX(STG_ZPMW03!$I$6:$I$505,MATCH(B369,STG_ZPMW03!$B$6:$B$505,0))=J369&amp;"",0,1)))</f>
        <v/>
      </c>
      <c r="BU369" s="124" t="str">
        <f>IF($B369="","",IFERROR(IF(ABS(INDEX(Mapping!$D$5:$D$104,MATCH(B369,Mapping!$A$5:$A$104,0))-Q369)&gt;P_Tol,1,0),0))</f>
        <v/>
      </c>
      <c r="BV369" s="124" t="str">
        <f>IF($B369="","",IFERROR(IF(AND(INDEX(Mapping!$G$5:$G$104,MATCH(B369,Mapping!$A$5:$A$104,0))="Nee",ABS(Q369)+ABS(Z369)+ABS(AR369)&gt;0),1,0),0))</f>
        <v/>
      </c>
      <c r="BW369" s="124" t="str">
        <f>IF($B369="","",IF(COUNTIF(Mapping!$A$5:$A$104,B369)&gt;0,1,0))</f>
        <v/>
      </c>
      <c r="BX369" s="124" t="str">
        <f>IF($B369="","",IF(BR369=0,COUNTIF($BR$6:BR369,0),""))</f>
        <v/>
      </c>
    </row>
    <row r="370">
      <c r="A370" s="15" t="n">
        <v>366</v>
      </c>
      <c r="B370" t="str">
        <f>IF(B$3=0,"",IF(INDEX(SRC_Woningetalage!$A$1:$ZZ$501,$A370,B$3)&amp;""="","",INDEX(SRC_Woningetalage!$A$1:$ZZ$501,$A370,B$3)&amp;""))</f>
        <v/>
      </c>
      <c r="C370" t="str">
        <f>IF($B370="","",IF(C$3=0,"n.b.",INDEX(SRC_Woningetalage!$A$1:$ZZ$501,$A370,C$3)))</f>
        <v/>
      </c>
      <c r="D370" t="str">
        <f>IF($B370="","",IF(D$3=0,"n.b.",INDEX(SRC_Woningetalage!$A$1:$ZZ$501,$A370,D$3)))</f>
        <v/>
      </c>
      <c r="E370" t="str">
        <f>IF($B370="","",IF(E$3=0,"n.b.",INDEX(SRC_Woningetalage!$A$1:$ZZ$501,$A370,E$3)))</f>
        <v/>
      </c>
      <c r="F370" t="str">
        <f>IF($B370="","",IF(F$3=0,"n.b.",INDEX(SRC_Woningetalage!$A$1:$ZZ$501,$A370,F$3)))</f>
        <v/>
      </c>
      <c r="G370" t="str">
        <f>IF($B370="","",IF(G$3=0,"n.b.",INDEX(SRC_Woningetalage!$A$1:$ZZ$501,$A370,G$3)))</f>
        <v/>
      </c>
      <c r="H370" t="str">
        <f>IF($B370="","",IF(H$3=0,"n.b.",INDEX(SRC_Woningetalage!$A$1:$ZZ$501,$A370,H$3)))</f>
        <v/>
      </c>
      <c r="I370" t="str">
        <f>IF($B370="","",IF(I$3=0,"n.b.",INDEX(SRC_Woningetalage!$A$1:$ZZ$501,$A370,I$3)))</f>
        <v/>
      </c>
      <c r="J370" t="str">
        <f>IF($B370="","",IF(J$3=0,"n.b.",INDEX(SRC_Woningetalage!$A$1:$ZZ$501,$A370,J$3)))</f>
        <v/>
      </c>
      <c r="K370" t="str">
        <f>IF($B370="","",IF(K$3=0,"n.b.",INDEX(SRC_Woningetalage!$A$1:$ZZ$501,$A370,K$3)))</f>
        <v/>
      </c>
      <c r="L370" t="str">
        <f>IF($B370="","",IF(L$3=0,"n.b.",INDEX(SRC_Woningetalage!$A$1:$ZZ$501,$A370,L$3)))</f>
        <v/>
      </c>
      <c r="M370" t="str">
        <f>IF($B370="","",IF(M$3=0,"n.b.",INDEX(SRC_Woningetalage!$A$1:$ZZ$501,$A370,M$3)))</f>
        <v/>
      </c>
      <c r="N370" t="str">
        <f>IF($B370="","",IF(N$3=0,"n.b.",INDEX(SRC_Woningetalage!$A$1:$ZZ$501,$A370,N$3)))</f>
        <v/>
      </c>
      <c r="O370" t="str">
        <f>IF($B370="","",IF(O$3=0,"n.b.",INDEX(SRC_Woningetalage!$A$1:$ZZ$501,$A370,O$3)))</f>
        <v/>
      </c>
      <c r="P370" t="str">
        <f>IF($B370="","",IF(P$3=0,"n.b.",INDEX(SRC_Woningetalage!$A$1:$ZZ$501,$A370,P$3)))</f>
        <v/>
      </c>
      <c r="Q370" s="124" t="str">
        <f>IF($B370="","",IF(Q$3=0,"n.b.",INDEX(SRC_Woningetalage!$A$1:$ZZ$501,$A370,Q$3)))</f>
        <v/>
      </c>
      <c r="R370" s="124" t="str">
        <f>IF($B370="","",IF(R$3=0,"n.b.",INDEX(SRC_Woningetalage!$A$1:$ZZ$501,$A370,R$3)))</f>
        <v/>
      </c>
      <c r="S370" s="124" t="str">
        <f>IF($B370="","",IF(S$3=0,"n.b.",INDEX(SRC_Woningetalage!$A$1:$ZZ$501,$A370,S$3)))</f>
        <v/>
      </c>
      <c r="T370" s="124" t="str">
        <f>IF($B370="","",IF(T$3=0,"n.b.",INDEX(SRC_Woningetalage!$A$1:$ZZ$501,$A370,T$3)))</f>
        <v/>
      </c>
      <c r="U370" s="124" t="str">
        <f>IF($B370="","",IF(U$3=0,"n.b.",INDEX(SRC_Woningetalage!$A$1:$ZZ$501,$A370,U$3)))</f>
        <v/>
      </c>
      <c r="V370" s="124" t="str">
        <f>IF($B370="","",IF(V$3=0,"n.b.",INDEX(SRC_Woningetalage!$A$1:$ZZ$501,$A370,V$3)))</f>
        <v/>
      </c>
      <c r="W370" s="124" t="str">
        <f>IF($B370="","",IF(W$3=0,"n.b.",INDEX(SRC_Woningetalage!$A$1:$ZZ$501,$A370,W$3)))</f>
        <v/>
      </c>
      <c r="X370" s="124" t="str">
        <f>IF($B370="","",IF(X$3=0,"n.b.",INDEX(SRC_Woningetalage!$A$1:$ZZ$501,$A370,X$3)))</f>
        <v/>
      </c>
      <c r="Y370" s="124" t="str">
        <f>IF($B370="","",IF(Y$3=0,"n.b.",INDEX(SRC_Woningetalage!$A$1:$ZZ$501,$A370,Y$3)))</f>
        <v/>
      </c>
      <c r="Z370" s="124" t="str">
        <f>IF($B370="","",IF(Z$3=0,"n.b.",INDEX(SRC_Woningetalage!$A$1:$ZZ$501,$A370,Z$3)))</f>
        <v/>
      </c>
      <c r="AA370" s="124" t="str">
        <f>IF($B370="","",IF(AA$3=0,"n.b.",INDEX(SRC_Woningetalage!$A$1:$ZZ$501,$A370,AA$3)))</f>
        <v/>
      </c>
      <c r="AB370" s="124" t="str">
        <f>IF($B370="","",IF(AB$3=0,"n.b.",INDEX(SRC_Woningetalage!$A$1:$ZZ$501,$A370,AB$3)))</f>
        <v/>
      </c>
      <c r="AC370" s="124" t="str">
        <f>IF($B370="","",IF(AC$3=0,"n.b.",INDEX(SRC_Woningetalage!$A$1:$ZZ$501,$A370,AC$3)))</f>
        <v/>
      </c>
      <c r="AD370" s="124" t="str">
        <f>IF($B370="","",IF(AD$3=0,"n.b.",INDEX(SRC_Woningetalage!$A$1:$ZZ$501,$A370,AD$3)))</f>
        <v/>
      </c>
      <c r="AE370" s="124" t="str">
        <f>IF($B370="","",IF(AE$3=0,"n.b.",INDEX(SRC_Woningetalage!$A$1:$ZZ$501,$A370,AE$3)))</f>
        <v/>
      </c>
      <c r="AF370" s="124" t="str">
        <f>IF($B370="","",IF(AF$3=0,"n.b.",INDEX(SRC_Woningetalage!$A$1:$ZZ$501,$A370,AF$3)))</f>
        <v/>
      </c>
      <c r="AG370" s="124" t="str">
        <f>IF($B370="","",IF(AG$3=0,"n.b.",INDEX(SRC_Woningetalage!$A$1:$ZZ$501,$A370,AG$3)))</f>
        <v/>
      </c>
      <c r="AH370" s="124" t="str">
        <f>IF($B370="","",IF(AH$3=0,"n.b.",INDEX(SRC_Woningetalage!$A$1:$ZZ$501,$A370,AH$3)))</f>
        <v/>
      </c>
      <c r="AI370" s="124" t="str">
        <f>IF($B370="","",IF(AI$3=0,"n.b.",INDEX(SRC_Woningetalage!$A$1:$ZZ$501,$A370,AI$3)))</f>
        <v/>
      </c>
      <c r="AJ370" s="124" t="str">
        <f>IF($B370="","",IF(AJ$3=0,"n.b.",INDEX(SRC_Woningetalage!$A$1:$ZZ$501,$A370,AJ$3)))</f>
        <v/>
      </c>
      <c r="AK370" s="124" t="str">
        <f>IF($B370="","",IF(AK$3=0,"n.b.",INDEX(SRC_Woningetalage!$A$1:$ZZ$501,$A370,AK$3)))</f>
        <v/>
      </c>
      <c r="AL370" s="124" t="str">
        <f>IF($B370="","",IF(AL$3=0,"n.b.",INDEX(SRC_Woningetalage!$A$1:$ZZ$501,$A370,AL$3)))</f>
        <v/>
      </c>
      <c r="AM370" s="124" t="str">
        <f>IF($B370="","",IF(AM$3=0,"n.b.",INDEX(SRC_Woningetalage!$A$1:$ZZ$501,$A370,AM$3)))</f>
        <v/>
      </c>
      <c r="AN370" s="124" t="str">
        <f>IF($B370="","",IF(AN$3=0,"n.b.",INDEX(SRC_Woningetalage!$A$1:$ZZ$501,$A370,AN$3)))</f>
        <v/>
      </c>
      <c r="AO370" s="124" t="str">
        <f>IF($B370="","",IF(AO$3=0,"n.b.",INDEX(SRC_Woningetalage!$A$1:$ZZ$501,$A370,AO$3)))</f>
        <v/>
      </c>
      <c r="AP370" s="124" t="str">
        <f>IF($B370="","",IF(AP$3=0,"n.b.",INDEX(SRC_Woningetalage!$A$1:$ZZ$501,$A370,AP$3)))</f>
        <v/>
      </c>
      <c r="AQ370" s="124" t="str">
        <f>IF($B370="","",IF(AQ$3=0,"n.b.",INDEX(SRC_Woningetalage!$A$1:$ZZ$501,$A370,AQ$3)))</f>
        <v/>
      </c>
      <c r="AR370" s="124" t="str">
        <f>IF($B370="","",IF(AR$3=0,"n.b.",INDEX(SRC_Woningetalage!$A$1:$ZZ$501,$A370,AR$3)))</f>
        <v/>
      </c>
      <c r="AS370" s="124" t="str">
        <f>IF($B370="","",IF(AS$3=0,"n.b.",INDEX(SRC_Woningetalage!$A$1:$ZZ$501,$A370,AS$3)))</f>
        <v/>
      </c>
      <c r="AT370" s="124" t="str">
        <f>IF($B370="","",IF(AT$3=0,"n.b.",INDEX(SRC_Woningetalage!$A$1:$ZZ$501,$A370,AT$3)))</f>
        <v/>
      </c>
      <c r="AU370" s="124" t="str">
        <f>IF($B370="","",IF(AU$3=0,"n.b.",INDEX(SRC_Woningetalage!$A$1:$ZZ$501,$A370,AU$3)))</f>
        <v/>
      </c>
      <c r="AV370" s="124" t="str">
        <f>IF($B370="","",IF(AV$3=0,"n.b.",INDEX(SRC_Woningetalage!$A$1:$ZZ$501,$A370,AV$3)))</f>
        <v/>
      </c>
      <c r="AW370" s="124" t="str">
        <f>IF($B370="","",IF(AW$3=0,"n.b.",INDEX(SRC_Woningetalage!$A$1:$ZZ$501,$A370,AW$3)))</f>
        <v/>
      </c>
      <c r="AX370" s="124" t="str">
        <f>IF($B370="","",IF(AX$3=0,"n.b.",INDEX(SRC_Woningetalage!$A$1:$ZZ$501,$A370,AX$3)))</f>
        <v/>
      </c>
      <c r="AY370" s="124" t="str">
        <f>IF($B370="","",IF(AY$3=0,"n.b.",INDEX(SRC_Woningetalage!$A$1:$ZZ$501,$A370,AY$3)))</f>
        <v/>
      </c>
      <c r="AZ370" s="124" t="str">
        <f>IF($B370="","",IF(AZ$3=0,"n.b.",INDEX(SRC_Woningetalage!$A$1:$ZZ$501,$A370,AZ$3)))</f>
        <v/>
      </c>
      <c r="BA370" s="124" t="str">
        <f>IF($B370="","",IF(BA$3=0,"n.b.",INDEX(SRC_Woningetalage!$A$1:$ZZ$501,$A370,BA$3)))</f>
        <v/>
      </c>
      <c r="BB370" s="124" t="str">
        <f>IF($B370="","",IF(BB$3=0,"n.b.",INDEX(SRC_Woningetalage!$A$1:$ZZ$501,$A370,BB$3)))</f>
        <v/>
      </c>
      <c r="BC370" s="124" t="str">
        <f>IF($B370="","",IFERROR(_xlfn.NUMBERVALUE(E370&amp;"",",","."),"n.b."))</f>
        <v/>
      </c>
      <c r="BD370" s="124" t="str">
        <f>IF($B370="","",IFERROR(_xlfn.NUMBERVALUE(M370&amp;"",",","."),"n.b."))</f>
        <v/>
      </c>
      <c r="BE370" s="124" t="str">
        <f>IF($B370="","",IFERROR(AB370+AC370+AD370,"n.b."))</f>
        <v/>
      </c>
      <c r="BF370" s="124" t="str">
        <f>IF($B370="","",IFERROR(AE370+AF370+AG370,"n.b."))</f>
        <v/>
      </c>
      <c r="BG370" s="124" t="str">
        <f>IF($B370="","",IFERROR(AH370+AI370+AJ370,"n.b."))</f>
        <v/>
      </c>
      <c r="BH370" s="124" t="str">
        <f>IF($B370="","",IFERROR(AK370+AL370+AM370,"n.b."))</f>
        <v/>
      </c>
      <c r="BI370" s="124" t="str">
        <f>IF($B370="","",IFERROR(SUMIF($AB$5:$AM$5,"&lt;="&amp;P_PeilMaand,AB370:AM370),"n.b."))</f>
        <v/>
      </c>
      <c r="BJ370" s="124" t="str">
        <f>IF($B370="","",IFERROR(SUM(AB370:AM370)-BI370,"n.b."))</f>
        <v/>
      </c>
      <c r="BK370" s="124" t="str">
        <f>IF($B370="","",IFERROR(IF(ABS(Q370-(T370+SUM(AB370:AM370)+AS370+AU370))&gt;P_Tol,1,0),1))</f>
        <v/>
      </c>
      <c r="BL370" s="124" t="str">
        <f>IF($B370="","",IFERROR(IF(ABS(AA370-(Q370-Z370))&gt;P_Tol,1,0),1))</f>
        <v/>
      </c>
      <c r="BM370" s="124" t="str">
        <f>IF($B370="","",IFERROR(IF(ABS(Z370-(T370+W370))&gt;P_Tol,1,0),1))</f>
        <v/>
      </c>
      <c r="BN370" s="124" t="str">
        <f>IF($B370="","",IFERROR(IF(ABS(W370-BI370)&gt;P_Tol,1,0),1))</f>
        <v/>
      </c>
      <c r="BO370" s="124" t="str">
        <f>IF($B370="","",IFERROR(IF(OR(ABS(R370+S370-T370)&gt;P_Tol,ABS(U370+V370-W370)&gt;P_Tol,ABS(X370+Y370-Z370)&gt;P_Tol),1,0),1))</f>
        <v/>
      </c>
      <c r="BP370" s="124" t="str">
        <f>IF($B370="","",IFERROR(IF(OR(ABS(AR370-SUM(AB370:AM370))&gt;P_Tol,ABS(AS370-(AN370+AO370+AP370+AQ370))&gt;P_Tol),1,0),1))</f>
        <v/>
      </c>
      <c r="BQ370" s="124" t="str">
        <f>IF($B370="","",IFERROR(IF(ABS(AT370)+ABS(AV370)+ABS(AW370)+ABS(AX370)+ABS(AY370)+ABS(AZ370)+ABS(BA370)+ABS(BB370)&gt;0,1,0),1))</f>
        <v/>
      </c>
      <c r="BR370" s="124" t="str">
        <f>IF($B370="","",COUNTIF(STG_ZPMW03!$B$6:$B$505,B370))</f>
        <v/>
      </c>
      <c r="BS370" s="124" t="str">
        <f>IF($B370="","",COUNTIF($B$6:$B$505,B370))</f>
        <v/>
      </c>
      <c r="BT370" s="124" t="str">
        <f>IF($B370="","",IF(BR370=0,0,IF(INDEX(STG_ZPMW03!$I$6:$I$505,MATCH(B370,STG_ZPMW03!$B$6:$B$505,0))=J370&amp;"",0,1)))</f>
        <v/>
      </c>
      <c r="BU370" s="124" t="str">
        <f>IF($B370="","",IFERROR(IF(ABS(INDEX(Mapping!$D$5:$D$104,MATCH(B370,Mapping!$A$5:$A$104,0))-Q370)&gt;P_Tol,1,0),0))</f>
        <v/>
      </c>
      <c r="BV370" s="124" t="str">
        <f>IF($B370="","",IFERROR(IF(AND(INDEX(Mapping!$G$5:$G$104,MATCH(B370,Mapping!$A$5:$A$104,0))="Nee",ABS(Q370)+ABS(Z370)+ABS(AR370)&gt;0),1,0),0))</f>
        <v/>
      </c>
      <c r="BW370" s="124" t="str">
        <f>IF($B370="","",IF(COUNTIF(Mapping!$A$5:$A$104,B370)&gt;0,1,0))</f>
        <v/>
      </c>
      <c r="BX370" s="124" t="str">
        <f>IF($B370="","",IF(BR370=0,COUNTIF($BR$6:BR370,0),""))</f>
        <v/>
      </c>
    </row>
    <row r="371">
      <c r="A371" s="15" t="n">
        <v>367</v>
      </c>
      <c r="B371" t="str">
        <f>IF(B$3=0,"",IF(INDEX(SRC_Woningetalage!$A$1:$ZZ$501,$A371,B$3)&amp;""="","",INDEX(SRC_Woningetalage!$A$1:$ZZ$501,$A371,B$3)&amp;""))</f>
        <v/>
      </c>
      <c r="C371" t="str">
        <f>IF($B371="","",IF(C$3=0,"n.b.",INDEX(SRC_Woningetalage!$A$1:$ZZ$501,$A371,C$3)))</f>
        <v/>
      </c>
      <c r="D371" t="str">
        <f>IF($B371="","",IF(D$3=0,"n.b.",INDEX(SRC_Woningetalage!$A$1:$ZZ$501,$A371,D$3)))</f>
        <v/>
      </c>
      <c r="E371" t="str">
        <f>IF($B371="","",IF(E$3=0,"n.b.",INDEX(SRC_Woningetalage!$A$1:$ZZ$501,$A371,E$3)))</f>
        <v/>
      </c>
      <c r="F371" t="str">
        <f>IF($B371="","",IF(F$3=0,"n.b.",INDEX(SRC_Woningetalage!$A$1:$ZZ$501,$A371,F$3)))</f>
        <v/>
      </c>
      <c r="G371" t="str">
        <f>IF($B371="","",IF(G$3=0,"n.b.",INDEX(SRC_Woningetalage!$A$1:$ZZ$501,$A371,G$3)))</f>
        <v/>
      </c>
      <c r="H371" t="str">
        <f>IF($B371="","",IF(H$3=0,"n.b.",INDEX(SRC_Woningetalage!$A$1:$ZZ$501,$A371,H$3)))</f>
        <v/>
      </c>
      <c r="I371" t="str">
        <f>IF($B371="","",IF(I$3=0,"n.b.",INDEX(SRC_Woningetalage!$A$1:$ZZ$501,$A371,I$3)))</f>
        <v/>
      </c>
      <c r="J371" t="str">
        <f>IF($B371="","",IF(J$3=0,"n.b.",INDEX(SRC_Woningetalage!$A$1:$ZZ$501,$A371,J$3)))</f>
        <v/>
      </c>
      <c r="K371" t="str">
        <f>IF($B371="","",IF(K$3=0,"n.b.",INDEX(SRC_Woningetalage!$A$1:$ZZ$501,$A371,K$3)))</f>
        <v/>
      </c>
      <c r="L371" t="str">
        <f>IF($B371="","",IF(L$3=0,"n.b.",INDEX(SRC_Woningetalage!$A$1:$ZZ$501,$A371,L$3)))</f>
        <v/>
      </c>
      <c r="M371" t="str">
        <f>IF($B371="","",IF(M$3=0,"n.b.",INDEX(SRC_Woningetalage!$A$1:$ZZ$501,$A371,M$3)))</f>
        <v/>
      </c>
      <c r="N371" t="str">
        <f>IF($B371="","",IF(N$3=0,"n.b.",INDEX(SRC_Woningetalage!$A$1:$ZZ$501,$A371,N$3)))</f>
        <v/>
      </c>
      <c r="O371" t="str">
        <f>IF($B371="","",IF(O$3=0,"n.b.",INDEX(SRC_Woningetalage!$A$1:$ZZ$501,$A371,O$3)))</f>
        <v/>
      </c>
      <c r="P371" t="str">
        <f>IF($B371="","",IF(P$3=0,"n.b.",INDEX(SRC_Woningetalage!$A$1:$ZZ$501,$A371,P$3)))</f>
        <v/>
      </c>
      <c r="Q371" s="124" t="str">
        <f>IF($B371="","",IF(Q$3=0,"n.b.",INDEX(SRC_Woningetalage!$A$1:$ZZ$501,$A371,Q$3)))</f>
        <v/>
      </c>
      <c r="R371" s="124" t="str">
        <f>IF($B371="","",IF(R$3=0,"n.b.",INDEX(SRC_Woningetalage!$A$1:$ZZ$501,$A371,R$3)))</f>
        <v/>
      </c>
      <c r="S371" s="124" t="str">
        <f>IF($B371="","",IF(S$3=0,"n.b.",INDEX(SRC_Woningetalage!$A$1:$ZZ$501,$A371,S$3)))</f>
        <v/>
      </c>
      <c r="T371" s="124" t="str">
        <f>IF($B371="","",IF(T$3=0,"n.b.",INDEX(SRC_Woningetalage!$A$1:$ZZ$501,$A371,T$3)))</f>
        <v/>
      </c>
      <c r="U371" s="124" t="str">
        <f>IF($B371="","",IF(U$3=0,"n.b.",INDEX(SRC_Woningetalage!$A$1:$ZZ$501,$A371,U$3)))</f>
        <v/>
      </c>
      <c r="V371" s="124" t="str">
        <f>IF($B371="","",IF(V$3=0,"n.b.",INDEX(SRC_Woningetalage!$A$1:$ZZ$501,$A371,V$3)))</f>
        <v/>
      </c>
      <c r="W371" s="124" t="str">
        <f>IF($B371="","",IF(W$3=0,"n.b.",INDEX(SRC_Woningetalage!$A$1:$ZZ$501,$A371,W$3)))</f>
        <v/>
      </c>
      <c r="X371" s="124" t="str">
        <f>IF($B371="","",IF(X$3=0,"n.b.",INDEX(SRC_Woningetalage!$A$1:$ZZ$501,$A371,X$3)))</f>
        <v/>
      </c>
      <c r="Y371" s="124" t="str">
        <f>IF($B371="","",IF(Y$3=0,"n.b.",INDEX(SRC_Woningetalage!$A$1:$ZZ$501,$A371,Y$3)))</f>
        <v/>
      </c>
      <c r="Z371" s="124" t="str">
        <f>IF($B371="","",IF(Z$3=0,"n.b.",INDEX(SRC_Woningetalage!$A$1:$ZZ$501,$A371,Z$3)))</f>
        <v/>
      </c>
      <c r="AA371" s="124" t="str">
        <f>IF($B371="","",IF(AA$3=0,"n.b.",INDEX(SRC_Woningetalage!$A$1:$ZZ$501,$A371,AA$3)))</f>
        <v/>
      </c>
      <c r="AB371" s="124" t="str">
        <f>IF($B371="","",IF(AB$3=0,"n.b.",INDEX(SRC_Woningetalage!$A$1:$ZZ$501,$A371,AB$3)))</f>
        <v/>
      </c>
      <c r="AC371" s="124" t="str">
        <f>IF($B371="","",IF(AC$3=0,"n.b.",INDEX(SRC_Woningetalage!$A$1:$ZZ$501,$A371,AC$3)))</f>
        <v/>
      </c>
      <c r="AD371" s="124" t="str">
        <f>IF($B371="","",IF(AD$3=0,"n.b.",INDEX(SRC_Woningetalage!$A$1:$ZZ$501,$A371,AD$3)))</f>
        <v/>
      </c>
      <c r="AE371" s="124" t="str">
        <f>IF($B371="","",IF(AE$3=0,"n.b.",INDEX(SRC_Woningetalage!$A$1:$ZZ$501,$A371,AE$3)))</f>
        <v/>
      </c>
      <c r="AF371" s="124" t="str">
        <f>IF($B371="","",IF(AF$3=0,"n.b.",INDEX(SRC_Woningetalage!$A$1:$ZZ$501,$A371,AF$3)))</f>
        <v/>
      </c>
      <c r="AG371" s="124" t="str">
        <f>IF($B371="","",IF(AG$3=0,"n.b.",INDEX(SRC_Woningetalage!$A$1:$ZZ$501,$A371,AG$3)))</f>
        <v/>
      </c>
      <c r="AH371" s="124" t="str">
        <f>IF($B371="","",IF(AH$3=0,"n.b.",INDEX(SRC_Woningetalage!$A$1:$ZZ$501,$A371,AH$3)))</f>
        <v/>
      </c>
      <c r="AI371" s="124" t="str">
        <f>IF($B371="","",IF(AI$3=0,"n.b.",INDEX(SRC_Woningetalage!$A$1:$ZZ$501,$A371,AI$3)))</f>
        <v/>
      </c>
      <c r="AJ371" s="124" t="str">
        <f>IF($B371="","",IF(AJ$3=0,"n.b.",INDEX(SRC_Woningetalage!$A$1:$ZZ$501,$A371,AJ$3)))</f>
        <v/>
      </c>
      <c r="AK371" s="124" t="str">
        <f>IF($B371="","",IF(AK$3=0,"n.b.",INDEX(SRC_Woningetalage!$A$1:$ZZ$501,$A371,AK$3)))</f>
        <v/>
      </c>
      <c r="AL371" s="124" t="str">
        <f>IF($B371="","",IF(AL$3=0,"n.b.",INDEX(SRC_Woningetalage!$A$1:$ZZ$501,$A371,AL$3)))</f>
        <v/>
      </c>
      <c r="AM371" s="124" t="str">
        <f>IF($B371="","",IF(AM$3=0,"n.b.",INDEX(SRC_Woningetalage!$A$1:$ZZ$501,$A371,AM$3)))</f>
        <v/>
      </c>
      <c r="AN371" s="124" t="str">
        <f>IF($B371="","",IF(AN$3=0,"n.b.",INDEX(SRC_Woningetalage!$A$1:$ZZ$501,$A371,AN$3)))</f>
        <v/>
      </c>
      <c r="AO371" s="124" t="str">
        <f>IF($B371="","",IF(AO$3=0,"n.b.",INDEX(SRC_Woningetalage!$A$1:$ZZ$501,$A371,AO$3)))</f>
        <v/>
      </c>
      <c r="AP371" s="124" t="str">
        <f>IF($B371="","",IF(AP$3=0,"n.b.",INDEX(SRC_Woningetalage!$A$1:$ZZ$501,$A371,AP$3)))</f>
        <v/>
      </c>
      <c r="AQ371" s="124" t="str">
        <f>IF($B371="","",IF(AQ$3=0,"n.b.",INDEX(SRC_Woningetalage!$A$1:$ZZ$501,$A371,AQ$3)))</f>
        <v/>
      </c>
      <c r="AR371" s="124" t="str">
        <f>IF($B371="","",IF(AR$3=0,"n.b.",INDEX(SRC_Woningetalage!$A$1:$ZZ$501,$A371,AR$3)))</f>
        <v/>
      </c>
      <c r="AS371" s="124" t="str">
        <f>IF($B371="","",IF(AS$3=0,"n.b.",INDEX(SRC_Woningetalage!$A$1:$ZZ$501,$A371,AS$3)))</f>
        <v/>
      </c>
      <c r="AT371" s="124" t="str">
        <f>IF($B371="","",IF(AT$3=0,"n.b.",INDEX(SRC_Woningetalage!$A$1:$ZZ$501,$A371,AT$3)))</f>
        <v/>
      </c>
      <c r="AU371" s="124" t="str">
        <f>IF($B371="","",IF(AU$3=0,"n.b.",INDEX(SRC_Woningetalage!$A$1:$ZZ$501,$A371,AU$3)))</f>
        <v/>
      </c>
      <c r="AV371" s="124" t="str">
        <f>IF($B371="","",IF(AV$3=0,"n.b.",INDEX(SRC_Woningetalage!$A$1:$ZZ$501,$A371,AV$3)))</f>
        <v/>
      </c>
      <c r="AW371" s="124" t="str">
        <f>IF($B371="","",IF(AW$3=0,"n.b.",INDEX(SRC_Woningetalage!$A$1:$ZZ$501,$A371,AW$3)))</f>
        <v/>
      </c>
      <c r="AX371" s="124" t="str">
        <f>IF($B371="","",IF(AX$3=0,"n.b.",INDEX(SRC_Woningetalage!$A$1:$ZZ$501,$A371,AX$3)))</f>
        <v/>
      </c>
      <c r="AY371" s="124" t="str">
        <f>IF($B371="","",IF(AY$3=0,"n.b.",INDEX(SRC_Woningetalage!$A$1:$ZZ$501,$A371,AY$3)))</f>
        <v/>
      </c>
      <c r="AZ371" s="124" t="str">
        <f>IF($B371="","",IF(AZ$3=0,"n.b.",INDEX(SRC_Woningetalage!$A$1:$ZZ$501,$A371,AZ$3)))</f>
        <v/>
      </c>
      <c r="BA371" s="124" t="str">
        <f>IF($B371="","",IF(BA$3=0,"n.b.",INDEX(SRC_Woningetalage!$A$1:$ZZ$501,$A371,BA$3)))</f>
        <v/>
      </c>
      <c r="BB371" s="124" t="str">
        <f>IF($B371="","",IF(BB$3=0,"n.b.",INDEX(SRC_Woningetalage!$A$1:$ZZ$501,$A371,BB$3)))</f>
        <v/>
      </c>
      <c r="BC371" s="124" t="str">
        <f>IF($B371="","",IFERROR(_xlfn.NUMBERVALUE(E371&amp;"",",","."),"n.b."))</f>
        <v/>
      </c>
      <c r="BD371" s="124" t="str">
        <f>IF($B371="","",IFERROR(_xlfn.NUMBERVALUE(M371&amp;"",",","."),"n.b."))</f>
        <v/>
      </c>
      <c r="BE371" s="124" t="str">
        <f>IF($B371="","",IFERROR(AB371+AC371+AD371,"n.b."))</f>
        <v/>
      </c>
      <c r="BF371" s="124" t="str">
        <f>IF($B371="","",IFERROR(AE371+AF371+AG371,"n.b."))</f>
        <v/>
      </c>
      <c r="BG371" s="124" t="str">
        <f>IF($B371="","",IFERROR(AH371+AI371+AJ371,"n.b."))</f>
        <v/>
      </c>
      <c r="BH371" s="124" t="str">
        <f>IF($B371="","",IFERROR(AK371+AL371+AM371,"n.b."))</f>
        <v/>
      </c>
      <c r="BI371" s="124" t="str">
        <f>IF($B371="","",IFERROR(SUMIF($AB$5:$AM$5,"&lt;="&amp;P_PeilMaand,AB371:AM371),"n.b."))</f>
        <v/>
      </c>
      <c r="BJ371" s="124" t="str">
        <f>IF($B371="","",IFERROR(SUM(AB371:AM371)-BI371,"n.b."))</f>
        <v/>
      </c>
      <c r="BK371" s="124" t="str">
        <f>IF($B371="","",IFERROR(IF(ABS(Q371-(T371+SUM(AB371:AM371)+AS371+AU371))&gt;P_Tol,1,0),1))</f>
        <v/>
      </c>
      <c r="BL371" s="124" t="str">
        <f>IF($B371="","",IFERROR(IF(ABS(AA371-(Q371-Z371))&gt;P_Tol,1,0),1))</f>
        <v/>
      </c>
      <c r="BM371" s="124" t="str">
        <f>IF($B371="","",IFERROR(IF(ABS(Z371-(T371+W371))&gt;P_Tol,1,0),1))</f>
        <v/>
      </c>
      <c r="BN371" s="124" t="str">
        <f>IF($B371="","",IFERROR(IF(ABS(W371-BI371)&gt;P_Tol,1,0),1))</f>
        <v/>
      </c>
      <c r="BO371" s="124" t="str">
        <f>IF($B371="","",IFERROR(IF(OR(ABS(R371+S371-T371)&gt;P_Tol,ABS(U371+V371-W371)&gt;P_Tol,ABS(X371+Y371-Z371)&gt;P_Tol),1,0),1))</f>
        <v/>
      </c>
      <c r="BP371" s="124" t="str">
        <f>IF($B371="","",IFERROR(IF(OR(ABS(AR371-SUM(AB371:AM371))&gt;P_Tol,ABS(AS371-(AN371+AO371+AP371+AQ371))&gt;P_Tol),1,0),1))</f>
        <v/>
      </c>
      <c r="BQ371" s="124" t="str">
        <f>IF($B371="","",IFERROR(IF(ABS(AT371)+ABS(AV371)+ABS(AW371)+ABS(AX371)+ABS(AY371)+ABS(AZ371)+ABS(BA371)+ABS(BB371)&gt;0,1,0),1))</f>
        <v/>
      </c>
      <c r="BR371" s="124" t="str">
        <f>IF($B371="","",COUNTIF(STG_ZPMW03!$B$6:$B$505,B371))</f>
        <v/>
      </c>
      <c r="BS371" s="124" t="str">
        <f>IF($B371="","",COUNTIF($B$6:$B$505,B371))</f>
        <v/>
      </c>
      <c r="BT371" s="124" t="str">
        <f>IF($B371="","",IF(BR371=0,0,IF(INDEX(STG_ZPMW03!$I$6:$I$505,MATCH(B371,STG_ZPMW03!$B$6:$B$505,0))=J371&amp;"",0,1)))</f>
        <v/>
      </c>
      <c r="BU371" s="124" t="str">
        <f>IF($B371="","",IFERROR(IF(ABS(INDEX(Mapping!$D$5:$D$104,MATCH(B371,Mapping!$A$5:$A$104,0))-Q371)&gt;P_Tol,1,0),0))</f>
        <v/>
      </c>
      <c r="BV371" s="124" t="str">
        <f>IF($B371="","",IFERROR(IF(AND(INDEX(Mapping!$G$5:$G$104,MATCH(B371,Mapping!$A$5:$A$104,0))="Nee",ABS(Q371)+ABS(Z371)+ABS(AR371)&gt;0),1,0),0))</f>
        <v/>
      </c>
      <c r="BW371" s="124" t="str">
        <f>IF($B371="","",IF(COUNTIF(Mapping!$A$5:$A$104,B371)&gt;0,1,0))</f>
        <v/>
      </c>
      <c r="BX371" s="124" t="str">
        <f>IF($B371="","",IF(BR371=0,COUNTIF($BR$6:BR371,0),""))</f>
        <v/>
      </c>
    </row>
    <row r="372">
      <c r="A372" s="15" t="n">
        <v>368</v>
      </c>
      <c r="B372" t="str">
        <f>IF(B$3=0,"",IF(INDEX(SRC_Woningetalage!$A$1:$ZZ$501,$A372,B$3)&amp;""="","",INDEX(SRC_Woningetalage!$A$1:$ZZ$501,$A372,B$3)&amp;""))</f>
        <v/>
      </c>
      <c r="C372" t="str">
        <f>IF($B372="","",IF(C$3=0,"n.b.",INDEX(SRC_Woningetalage!$A$1:$ZZ$501,$A372,C$3)))</f>
        <v/>
      </c>
      <c r="D372" t="str">
        <f>IF($B372="","",IF(D$3=0,"n.b.",INDEX(SRC_Woningetalage!$A$1:$ZZ$501,$A372,D$3)))</f>
        <v/>
      </c>
      <c r="E372" t="str">
        <f>IF($B372="","",IF(E$3=0,"n.b.",INDEX(SRC_Woningetalage!$A$1:$ZZ$501,$A372,E$3)))</f>
        <v/>
      </c>
      <c r="F372" t="str">
        <f>IF($B372="","",IF(F$3=0,"n.b.",INDEX(SRC_Woningetalage!$A$1:$ZZ$501,$A372,F$3)))</f>
        <v/>
      </c>
      <c r="G372" t="str">
        <f>IF($B372="","",IF(G$3=0,"n.b.",INDEX(SRC_Woningetalage!$A$1:$ZZ$501,$A372,G$3)))</f>
        <v/>
      </c>
      <c r="H372" t="str">
        <f>IF($B372="","",IF(H$3=0,"n.b.",INDEX(SRC_Woningetalage!$A$1:$ZZ$501,$A372,H$3)))</f>
        <v/>
      </c>
      <c r="I372" t="str">
        <f>IF($B372="","",IF(I$3=0,"n.b.",INDEX(SRC_Woningetalage!$A$1:$ZZ$501,$A372,I$3)))</f>
        <v/>
      </c>
      <c r="J372" t="str">
        <f>IF($B372="","",IF(J$3=0,"n.b.",INDEX(SRC_Woningetalage!$A$1:$ZZ$501,$A372,J$3)))</f>
        <v/>
      </c>
      <c r="K372" t="str">
        <f>IF($B372="","",IF(K$3=0,"n.b.",INDEX(SRC_Woningetalage!$A$1:$ZZ$501,$A372,K$3)))</f>
        <v/>
      </c>
      <c r="L372" t="str">
        <f>IF($B372="","",IF(L$3=0,"n.b.",INDEX(SRC_Woningetalage!$A$1:$ZZ$501,$A372,L$3)))</f>
        <v/>
      </c>
      <c r="M372" t="str">
        <f>IF($B372="","",IF(M$3=0,"n.b.",INDEX(SRC_Woningetalage!$A$1:$ZZ$501,$A372,M$3)))</f>
        <v/>
      </c>
      <c r="N372" t="str">
        <f>IF($B372="","",IF(N$3=0,"n.b.",INDEX(SRC_Woningetalage!$A$1:$ZZ$501,$A372,N$3)))</f>
        <v/>
      </c>
      <c r="O372" t="str">
        <f>IF($B372="","",IF(O$3=0,"n.b.",INDEX(SRC_Woningetalage!$A$1:$ZZ$501,$A372,O$3)))</f>
        <v/>
      </c>
      <c r="P372" t="str">
        <f>IF($B372="","",IF(P$3=0,"n.b.",INDEX(SRC_Woningetalage!$A$1:$ZZ$501,$A372,P$3)))</f>
        <v/>
      </c>
      <c r="Q372" s="124" t="str">
        <f>IF($B372="","",IF(Q$3=0,"n.b.",INDEX(SRC_Woningetalage!$A$1:$ZZ$501,$A372,Q$3)))</f>
        <v/>
      </c>
      <c r="R372" s="124" t="str">
        <f>IF($B372="","",IF(R$3=0,"n.b.",INDEX(SRC_Woningetalage!$A$1:$ZZ$501,$A372,R$3)))</f>
        <v/>
      </c>
      <c r="S372" s="124" t="str">
        <f>IF($B372="","",IF(S$3=0,"n.b.",INDEX(SRC_Woningetalage!$A$1:$ZZ$501,$A372,S$3)))</f>
        <v/>
      </c>
      <c r="T372" s="124" t="str">
        <f>IF($B372="","",IF(T$3=0,"n.b.",INDEX(SRC_Woningetalage!$A$1:$ZZ$501,$A372,T$3)))</f>
        <v/>
      </c>
      <c r="U372" s="124" t="str">
        <f>IF($B372="","",IF(U$3=0,"n.b.",INDEX(SRC_Woningetalage!$A$1:$ZZ$501,$A372,U$3)))</f>
        <v/>
      </c>
      <c r="V372" s="124" t="str">
        <f>IF($B372="","",IF(V$3=0,"n.b.",INDEX(SRC_Woningetalage!$A$1:$ZZ$501,$A372,V$3)))</f>
        <v/>
      </c>
      <c r="W372" s="124" t="str">
        <f>IF($B372="","",IF(W$3=0,"n.b.",INDEX(SRC_Woningetalage!$A$1:$ZZ$501,$A372,W$3)))</f>
        <v/>
      </c>
      <c r="X372" s="124" t="str">
        <f>IF($B372="","",IF(X$3=0,"n.b.",INDEX(SRC_Woningetalage!$A$1:$ZZ$501,$A372,X$3)))</f>
        <v/>
      </c>
      <c r="Y372" s="124" t="str">
        <f>IF($B372="","",IF(Y$3=0,"n.b.",INDEX(SRC_Woningetalage!$A$1:$ZZ$501,$A372,Y$3)))</f>
        <v/>
      </c>
      <c r="Z372" s="124" t="str">
        <f>IF($B372="","",IF(Z$3=0,"n.b.",INDEX(SRC_Woningetalage!$A$1:$ZZ$501,$A372,Z$3)))</f>
        <v/>
      </c>
      <c r="AA372" s="124" t="str">
        <f>IF($B372="","",IF(AA$3=0,"n.b.",INDEX(SRC_Woningetalage!$A$1:$ZZ$501,$A372,AA$3)))</f>
        <v/>
      </c>
      <c r="AB372" s="124" t="str">
        <f>IF($B372="","",IF(AB$3=0,"n.b.",INDEX(SRC_Woningetalage!$A$1:$ZZ$501,$A372,AB$3)))</f>
        <v/>
      </c>
      <c r="AC372" s="124" t="str">
        <f>IF($B372="","",IF(AC$3=0,"n.b.",INDEX(SRC_Woningetalage!$A$1:$ZZ$501,$A372,AC$3)))</f>
        <v/>
      </c>
      <c r="AD372" s="124" t="str">
        <f>IF($B372="","",IF(AD$3=0,"n.b.",INDEX(SRC_Woningetalage!$A$1:$ZZ$501,$A372,AD$3)))</f>
        <v/>
      </c>
      <c r="AE372" s="124" t="str">
        <f>IF($B372="","",IF(AE$3=0,"n.b.",INDEX(SRC_Woningetalage!$A$1:$ZZ$501,$A372,AE$3)))</f>
        <v/>
      </c>
      <c r="AF372" s="124" t="str">
        <f>IF($B372="","",IF(AF$3=0,"n.b.",INDEX(SRC_Woningetalage!$A$1:$ZZ$501,$A372,AF$3)))</f>
        <v/>
      </c>
      <c r="AG372" s="124" t="str">
        <f>IF($B372="","",IF(AG$3=0,"n.b.",INDEX(SRC_Woningetalage!$A$1:$ZZ$501,$A372,AG$3)))</f>
        <v/>
      </c>
      <c r="AH372" s="124" t="str">
        <f>IF($B372="","",IF(AH$3=0,"n.b.",INDEX(SRC_Woningetalage!$A$1:$ZZ$501,$A372,AH$3)))</f>
        <v/>
      </c>
      <c r="AI372" s="124" t="str">
        <f>IF($B372="","",IF(AI$3=0,"n.b.",INDEX(SRC_Woningetalage!$A$1:$ZZ$501,$A372,AI$3)))</f>
        <v/>
      </c>
      <c r="AJ372" s="124" t="str">
        <f>IF($B372="","",IF(AJ$3=0,"n.b.",INDEX(SRC_Woningetalage!$A$1:$ZZ$501,$A372,AJ$3)))</f>
        <v/>
      </c>
      <c r="AK372" s="124" t="str">
        <f>IF($B372="","",IF(AK$3=0,"n.b.",INDEX(SRC_Woningetalage!$A$1:$ZZ$501,$A372,AK$3)))</f>
        <v/>
      </c>
      <c r="AL372" s="124" t="str">
        <f>IF($B372="","",IF(AL$3=0,"n.b.",INDEX(SRC_Woningetalage!$A$1:$ZZ$501,$A372,AL$3)))</f>
        <v/>
      </c>
      <c r="AM372" s="124" t="str">
        <f>IF($B372="","",IF(AM$3=0,"n.b.",INDEX(SRC_Woningetalage!$A$1:$ZZ$501,$A372,AM$3)))</f>
        <v/>
      </c>
      <c r="AN372" s="124" t="str">
        <f>IF($B372="","",IF(AN$3=0,"n.b.",INDEX(SRC_Woningetalage!$A$1:$ZZ$501,$A372,AN$3)))</f>
        <v/>
      </c>
      <c r="AO372" s="124" t="str">
        <f>IF($B372="","",IF(AO$3=0,"n.b.",INDEX(SRC_Woningetalage!$A$1:$ZZ$501,$A372,AO$3)))</f>
        <v/>
      </c>
      <c r="AP372" s="124" t="str">
        <f>IF($B372="","",IF(AP$3=0,"n.b.",INDEX(SRC_Woningetalage!$A$1:$ZZ$501,$A372,AP$3)))</f>
        <v/>
      </c>
      <c r="AQ372" s="124" t="str">
        <f>IF($B372="","",IF(AQ$3=0,"n.b.",INDEX(SRC_Woningetalage!$A$1:$ZZ$501,$A372,AQ$3)))</f>
        <v/>
      </c>
      <c r="AR372" s="124" t="str">
        <f>IF($B372="","",IF(AR$3=0,"n.b.",INDEX(SRC_Woningetalage!$A$1:$ZZ$501,$A372,AR$3)))</f>
        <v/>
      </c>
      <c r="AS372" s="124" t="str">
        <f>IF($B372="","",IF(AS$3=0,"n.b.",INDEX(SRC_Woningetalage!$A$1:$ZZ$501,$A372,AS$3)))</f>
        <v/>
      </c>
      <c r="AT372" s="124" t="str">
        <f>IF($B372="","",IF(AT$3=0,"n.b.",INDEX(SRC_Woningetalage!$A$1:$ZZ$501,$A372,AT$3)))</f>
        <v/>
      </c>
      <c r="AU372" s="124" t="str">
        <f>IF($B372="","",IF(AU$3=0,"n.b.",INDEX(SRC_Woningetalage!$A$1:$ZZ$501,$A372,AU$3)))</f>
        <v/>
      </c>
      <c r="AV372" s="124" t="str">
        <f>IF($B372="","",IF(AV$3=0,"n.b.",INDEX(SRC_Woningetalage!$A$1:$ZZ$501,$A372,AV$3)))</f>
        <v/>
      </c>
      <c r="AW372" s="124" t="str">
        <f>IF($B372="","",IF(AW$3=0,"n.b.",INDEX(SRC_Woningetalage!$A$1:$ZZ$501,$A372,AW$3)))</f>
        <v/>
      </c>
      <c r="AX372" s="124" t="str">
        <f>IF($B372="","",IF(AX$3=0,"n.b.",INDEX(SRC_Woningetalage!$A$1:$ZZ$501,$A372,AX$3)))</f>
        <v/>
      </c>
      <c r="AY372" s="124" t="str">
        <f>IF($B372="","",IF(AY$3=0,"n.b.",INDEX(SRC_Woningetalage!$A$1:$ZZ$501,$A372,AY$3)))</f>
        <v/>
      </c>
      <c r="AZ372" s="124" t="str">
        <f>IF($B372="","",IF(AZ$3=0,"n.b.",INDEX(SRC_Woningetalage!$A$1:$ZZ$501,$A372,AZ$3)))</f>
        <v/>
      </c>
      <c r="BA372" s="124" t="str">
        <f>IF($B372="","",IF(BA$3=0,"n.b.",INDEX(SRC_Woningetalage!$A$1:$ZZ$501,$A372,BA$3)))</f>
        <v/>
      </c>
      <c r="BB372" s="124" t="str">
        <f>IF($B372="","",IF(BB$3=0,"n.b.",INDEX(SRC_Woningetalage!$A$1:$ZZ$501,$A372,BB$3)))</f>
        <v/>
      </c>
      <c r="BC372" s="124" t="str">
        <f>IF($B372="","",IFERROR(_xlfn.NUMBERVALUE(E372&amp;"",",","."),"n.b."))</f>
        <v/>
      </c>
      <c r="BD372" s="124" t="str">
        <f>IF($B372="","",IFERROR(_xlfn.NUMBERVALUE(M372&amp;"",",","."),"n.b."))</f>
        <v/>
      </c>
      <c r="BE372" s="124" t="str">
        <f>IF($B372="","",IFERROR(AB372+AC372+AD372,"n.b."))</f>
        <v/>
      </c>
      <c r="BF372" s="124" t="str">
        <f>IF($B372="","",IFERROR(AE372+AF372+AG372,"n.b."))</f>
        <v/>
      </c>
      <c r="BG372" s="124" t="str">
        <f>IF($B372="","",IFERROR(AH372+AI372+AJ372,"n.b."))</f>
        <v/>
      </c>
      <c r="BH372" s="124" t="str">
        <f>IF($B372="","",IFERROR(AK372+AL372+AM372,"n.b."))</f>
        <v/>
      </c>
      <c r="BI372" s="124" t="str">
        <f>IF($B372="","",IFERROR(SUMIF($AB$5:$AM$5,"&lt;="&amp;P_PeilMaand,AB372:AM372),"n.b."))</f>
        <v/>
      </c>
      <c r="BJ372" s="124" t="str">
        <f>IF($B372="","",IFERROR(SUM(AB372:AM372)-BI372,"n.b."))</f>
        <v/>
      </c>
      <c r="BK372" s="124" t="str">
        <f>IF($B372="","",IFERROR(IF(ABS(Q372-(T372+SUM(AB372:AM372)+AS372+AU372))&gt;P_Tol,1,0),1))</f>
        <v/>
      </c>
      <c r="BL372" s="124" t="str">
        <f>IF($B372="","",IFERROR(IF(ABS(AA372-(Q372-Z372))&gt;P_Tol,1,0),1))</f>
        <v/>
      </c>
      <c r="BM372" s="124" t="str">
        <f>IF($B372="","",IFERROR(IF(ABS(Z372-(T372+W372))&gt;P_Tol,1,0),1))</f>
        <v/>
      </c>
      <c r="BN372" s="124" t="str">
        <f>IF($B372="","",IFERROR(IF(ABS(W372-BI372)&gt;P_Tol,1,0),1))</f>
        <v/>
      </c>
      <c r="BO372" s="124" t="str">
        <f>IF($B372="","",IFERROR(IF(OR(ABS(R372+S372-T372)&gt;P_Tol,ABS(U372+V372-W372)&gt;P_Tol,ABS(X372+Y372-Z372)&gt;P_Tol),1,0),1))</f>
        <v/>
      </c>
      <c r="BP372" s="124" t="str">
        <f>IF($B372="","",IFERROR(IF(OR(ABS(AR372-SUM(AB372:AM372))&gt;P_Tol,ABS(AS372-(AN372+AO372+AP372+AQ372))&gt;P_Tol),1,0),1))</f>
        <v/>
      </c>
      <c r="BQ372" s="124" t="str">
        <f>IF($B372="","",IFERROR(IF(ABS(AT372)+ABS(AV372)+ABS(AW372)+ABS(AX372)+ABS(AY372)+ABS(AZ372)+ABS(BA372)+ABS(BB372)&gt;0,1,0),1))</f>
        <v/>
      </c>
      <c r="BR372" s="124" t="str">
        <f>IF($B372="","",COUNTIF(STG_ZPMW03!$B$6:$B$505,B372))</f>
        <v/>
      </c>
      <c r="BS372" s="124" t="str">
        <f>IF($B372="","",COUNTIF($B$6:$B$505,B372))</f>
        <v/>
      </c>
      <c r="BT372" s="124" t="str">
        <f>IF($B372="","",IF(BR372=0,0,IF(INDEX(STG_ZPMW03!$I$6:$I$505,MATCH(B372,STG_ZPMW03!$B$6:$B$505,0))=J372&amp;"",0,1)))</f>
        <v/>
      </c>
      <c r="BU372" s="124" t="str">
        <f>IF($B372="","",IFERROR(IF(ABS(INDEX(Mapping!$D$5:$D$104,MATCH(B372,Mapping!$A$5:$A$104,0))-Q372)&gt;P_Tol,1,0),0))</f>
        <v/>
      </c>
      <c r="BV372" s="124" t="str">
        <f>IF($B372="","",IFERROR(IF(AND(INDEX(Mapping!$G$5:$G$104,MATCH(B372,Mapping!$A$5:$A$104,0))="Nee",ABS(Q372)+ABS(Z372)+ABS(AR372)&gt;0),1,0),0))</f>
        <v/>
      </c>
      <c r="BW372" s="124" t="str">
        <f>IF($B372="","",IF(COUNTIF(Mapping!$A$5:$A$104,B372)&gt;0,1,0))</f>
        <v/>
      </c>
      <c r="BX372" s="124" t="str">
        <f>IF($B372="","",IF(BR372=0,COUNTIF($BR$6:BR372,0),""))</f>
        <v/>
      </c>
    </row>
    <row r="373">
      <c r="A373" s="15" t="n">
        <v>369</v>
      </c>
      <c r="B373" t="str">
        <f>IF(B$3=0,"",IF(INDEX(SRC_Woningetalage!$A$1:$ZZ$501,$A373,B$3)&amp;""="","",INDEX(SRC_Woningetalage!$A$1:$ZZ$501,$A373,B$3)&amp;""))</f>
        <v/>
      </c>
      <c r="C373" t="str">
        <f>IF($B373="","",IF(C$3=0,"n.b.",INDEX(SRC_Woningetalage!$A$1:$ZZ$501,$A373,C$3)))</f>
        <v/>
      </c>
      <c r="D373" t="str">
        <f>IF($B373="","",IF(D$3=0,"n.b.",INDEX(SRC_Woningetalage!$A$1:$ZZ$501,$A373,D$3)))</f>
        <v/>
      </c>
      <c r="E373" t="str">
        <f>IF($B373="","",IF(E$3=0,"n.b.",INDEX(SRC_Woningetalage!$A$1:$ZZ$501,$A373,E$3)))</f>
        <v/>
      </c>
      <c r="F373" t="str">
        <f>IF($B373="","",IF(F$3=0,"n.b.",INDEX(SRC_Woningetalage!$A$1:$ZZ$501,$A373,F$3)))</f>
        <v/>
      </c>
      <c r="G373" t="str">
        <f>IF($B373="","",IF(G$3=0,"n.b.",INDEX(SRC_Woningetalage!$A$1:$ZZ$501,$A373,G$3)))</f>
        <v/>
      </c>
      <c r="H373" t="str">
        <f>IF($B373="","",IF(H$3=0,"n.b.",INDEX(SRC_Woningetalage!$A$1:$ZZ$501,$A373,H$3)))</f>
        <v/>
      </c>
      <c r="I373" t="str">
        <f>IF($B373="","",IF(I$3=0,"n.b.",INDEX(SRC_Woningetalage!$A$1:$ZZ$501,$A373,I$3)))</f>
        <v/>
      </c>
      <c r="J373" t="str">
        <f>IF($B373="","",IF(J$3=0,"n.b.",INDEX(SRC_Woningetalage!$A$1:$ZZ$501,$A373,J$3)))</f>
        <v/>
      </c>
      <c r="K373" t="str">
        <f>IF($B373="","",IF(K$3=0,"n.b.",INDEX(SRC_Woningetalage!$A$1:$ZZ$501,$A373,K$3)))</f>
        <v/>
      </c>
      <c r="L373" t="str">
        <f>IF($B373="","",IF(L$3=0,"n.b.",INDEX(SRC_Woningetalage!$A$1:$ZZ$501,$A373,L$3)))</f>
        <v/>
      </c>
      <c r="M373" t="str">
        <f>IF($B373="","",IF(M$3=0,"n.b.",INDEX(SRC_Woningetalage!$A$1:$ZZ$501,$A373,M$3)))</f>
        <v/>
      </c>
      <c r="N373" t="str">
        <f>IF($B373="","",IF(N$3=0,"n.b.",INDEX(SRC_Woningetalage!$A$1:$ZZ$501,$A373,N$3)))</f>
        <v/>
      </c>
      <c r="O373" t="str">
        <f>IF($B373="","",IF(O$3=0,"n.b.",INDEX(SRC_Woningetalage!$A$1:$ZZ$501,$A373,O$3)))</f>
        <v/>
      </c>
      <c r="P373" t="str">
        <f>IF($B373="","",IF(P$3=0,"n.b.",INDEX(SRC_Woningetalage!$A$1:$ZZ$501,$A373,P$3)))</f>
        <v/>
      </c>
      <c r="Q373" s="124" t="str">
        <f>IF($B373="","",IF(Q$3=0,"n.b.",INDEX(SRC_Woningetalage!$A$1:$ZZ$501,$A373,Q$3)))</f>
        <v/>
      </c>
      <c r="R373" s="124" t="str">
        <f>IF($B373="","",IF(R$3=0,"n.b.",INDEX(SRC_Woningetalage!$A$1:$ZZ$501,$A373,R$3)))</f>
        <v/>
      </c>
      <c r="S373" s="124" t="str">
        <f>IF($B373="","",IF(S$3=0,"n.b.",INDEX(SRC_Woningetalage!$A$1:$ZZ$501,$A373,S$3)))</f>
        <v/>
      </c>
      <c r="T373" s="124" t="str">
        <f>IF($B373="","",IF(T$3=0,"n.b.",INDEX(SRC_Woningetalage!$A$1:$ZZ$501,$A373,T$3)))</f>
        <v/>
      </c>
      <c r="U373" s="124" t="str">
        <f>IF($B373="","",IF(U$3=0,"n.b.",INDEX(SRC_Woningetalage!$A$1:$ZZ$501,$A373,U$3)))</f>
        <v/>
      </c>
      <c r="V373" s="124" t="str">
        <f>IF($B373="","",IF(V$3=0,"n.b.",INDEX(SRC_Woningetalage!$A$1:$ZZ$501,$A373,V$3)))</f>
        <v/>
      </c>
      <c r="W373" s="124" t="str">
        <f>IF($B373="","",IF(W$3=0,"n.b.",INDEX(SRC_Woningetalage!$A$1:$ZZ$501,$A373,W$3)))</f>
        <v/>
      </c>
      <c r="X373" s="124" t="str">
        <f>IF($B373="","",IF(X$3=0,"n.b.",INDEX(SRC_Woningetalage!$A$1:$ZZ$501,$A373,X$3)))</f>
        <v/>
      </c>
      <c r="Y373" s="124" t="str">
        <f>IF($B373="","",IF(Y$3=0,"n.b.",INDEX(SRC_Woningetalage!$A$1:$ZZ$501,$A373,Y$3)))</f>
        <v/>
      </c>
      <c r="Z373" s="124" t="str">
        <f>IF($B373="","",IF(Z$3=0,"n.b.",INDEX(SRC_Woningetalage!$A$1:$ZZ$501,$A373,Z$3)))</f>
        <v/>
      </c>
      <c r="AA373" s="124" t="str">
        <f>IF($B373="","",IF(AA$3=0,"n.b.",INDEX(SRC_Woningetalage!$A$1:$ZZ$501,$A373,AA$3)))</f>
        <v/>
      </c>
      <c r="AB373" s="124" t="str">
        <f>IF($B373="","",IF(AB$3=0,"n.b.",INDEX(SRC_Woningetalage!$A$1:$ZZ$501,$A373,AB$3)))</f>
        <v/>
      </c>
      <c r="AC373" s="124" t="str">
        <f>IF($B373="","",IF(AC$3=0,"n.b.",INDEX(SRC_Woningetalage!$A$1:$ZZ$501,$A373,AC$3)))</f>
        <v/>
      </c>
      <c r="AD373" s="124" t="str">
        <f>IF($B373="","",IF(AD$3=0,"n.b.",INDEX(SRC_Woningetalage!$A$1:$ZZ$501,$A373,AD$3)))</f>
        <v/>
      </c>
      <c r="AE373" s="124" t="str">
        <f>IF($B373="","",IF(AE$3=0,"n.b.",INDEX(SRC_Woningetalage!$A$1:$ZZ$501,$A373,AE$3)))</f>
        <v/>
      </c>
      <c r="AF373" s="124" t="str">
        <f>IF($B373="","",IF(AF$3=0,"n.b.",INDEX(SRC_Woningetalage!$A$1:$ZZ$501,$A373,AF$3)))</f>
        <v/>
      </c>
      <c r="AG373" s="124" t="str">
        <f>IF($B373="","",IF(AG$3=0,"n.b.",INDEX(SRC_Woningetalage!$A$1:$ZZ$501,$A373,AG$3)))</f>
        <v/>
      </c>
      <c r="AH373" s="124" t="str">
        <f>IF($B373="","",IF(AH$3=0,"n.b.",INDEX(SRC_Woningetalage!$A$1:$ZZ$501,$A373,AH$3)))</f>
        <v/>
      </c>
      <c r="AI373" s="124" t="str">
        <f>IF($B373="","",IF(AI$3=0,"n.b.",INDEX(SRC_Woningetalage!$A$1:$ZZ$501,$A373,AI$3)))</f>
        <v/>
      </c>
      <c r="AJ373" s="124" t="str">
        <f>IF($B373="","",IF(AJ$3=0,"n.b.",INDEX(SRC_Woningetalage!$A$1:$ZZ$501,$A373,AJ$3)))</f>
        <v/>
      </c>
      <c r="AK373" s="124" t="str">
        <f>IF($B373="","",IF(AK$3=0,"n.b.",INDEX(SRC_Woningetalage!$A$1:$ZZ$501,$A373,AK$3)))</f>
        <v/>
      </c>
      <c r="AL373" s="124" t="str">
        <f>IF($B373="","",IF(AL$3=0,"n.b.",INDEX(SRC_Woningetalage!$A$1:$ZZ$501,$A373,AL$3)))</f>
        <v/>
      </c>
      <c r="AM373" s="124" t="str">
        <f>IF($B373="","",IF(AM$3=0,"n.b.",INDEX(SRC_Woningetalage!$A$1:$ZZ$501,$A373,AM$3)))</f>
        <v/>
      </c>
      <c r="AN373" s="124" t="str">
        <f>IF($B373="","",IF(AN$3=0,"n.b.",INDEX(SRC_Woningetalage!$A$1:$ZZ$501,$A373,AN$3)))</f>
        <v/>
      </c>
      <c r="AO373" s="124" t="str">
        <f>IF($B373="","",IF(AO$3=0,"n.b.",INDEX(SRC_Woningetalage!$A$1:$ZZ$501,$A373,AO$3)))</f>
        <v/>
      </c>
      <c r="AP373" s="124" t="str">
        <f>IF($B373="","",IF(AP$3=0,"n.b.",INDEX(SRC_Woningetalage!$A$1:$ZZ$501,$A373,AP$3)))</f>
        <v/>
      </c>
      <c r="AQ373" s="124" t="str">
        <f>IF($B373="","",IF(AQ$3=0,"n.b.",INDEX(SRC_Woningetalage!$A$1:$ZZ$501,$A373,AQ$3)))</f>
        <v/>
      </c>
      <c r="AR373" s="124" t="str">
        <f>IF($B373="","",IF(AR$3=0,"n.b.",INDEX(SRC_Woningetalage!$A$1:$ZZ$501,$A373,AR$3)))</f>
        <v/>
      </c>
      <c r="AS373" s="124" t="str">
        <f>IF($B373="","",IF(AS$3=0,"n.b.",INDEX(SRC_Woningetalage!$A$1:$ZZ$501,$A373,AS$3)))</f>
        <v/>
      </c>
      <c r="AT373" s="124" t="str">
        <f>IF($B373="","",IF(AT$3=0,"n.b.",INDEX(SRC_Woningetalage!$A$1:$ZZ$501,$A373,AT$3)))</f>
        <v/>
      </c>
      <c r="AU373" s="124" t="str">
        <f>IF($B373="","",IF(AU$3=0,"n.b.",INDEX(SRC_Woningetalage!$A$1:$ZZ$501,$A373,AU$3)))</f>
        <v/>
      </c>
      <c r="AV373" s="124" t="str">
        <f>IF($B373="","",IF(AV$3=0,"n.b.",INDEX(SRC_Woningetalage!$A$1:$ZZ$501,$A373,AV$3)))</f>
        <v/>
      </c>
      <c r="AW373" s="124" t="str">
        <f>IF($B373="","",IF(AW$3=0,"n.b.",INDEX(SRC_Woningetalage!$A$1:$ZZ$501,$A373,AW$3)))</f>
        <v/>
      </c>
      <c r="AX373" s="124" t="str">
        <f>IF($B373="","",IF(AX$3=0,"n.b.",INDEX(SRC_Woningetalage!$A$1:$ZZ$501,$A373,AX$3)))</f>
        <v/>
      </c>
      <c r="AY373" s="124" t="str">
        <f>IF($B373="","",IF(AY$3=0,"n.b.",INDEX(SRC_Woningetalage!$A$1:$ZZ$501,$A373,AY$3)))</f>
        <v/>
      </c>
      <c r="AZ373" s="124" t="str">
        <f>IF($B373="","",IF(AZ$3=0,"n.b.",INDEX(SRC_Woningetalage!$A$1:$ZZ$501,$A373,AZ$3)))</f>
        <v/>
      </c>
      <c r="BA373" s="124" t="str">
        <f>IF($B373="","",IF(BA$3=0,"n.b.",INDEX(SRC_Woningetalage!$A$1:$ZZ$501,$A373,BA$3)))</f>
        <v/>
      </c>
      <c r="BB373" s="124" t="str">
        <f>IF($B373="","",IF(BB$3=0,"n.b.",INDEX(SRC_Woningetalage!$A$1:$ZZ$501,$A373,BB$3)))</f>
        <v/>
      </c>
      <c r="BC373" s="124" t="str">
        <f>IF($B373="","",IFERROR(_xlfn.NUMBERVALUE(E373&amp;"",",","."),"n.b."))</f>
        <v/>
      </c>
      <c r="BD373" s="124" t="str">
        <f>IF($B373="","",IFERROR(_xlfn.NUMBERVALUE(M373&amp;"",",","."),"n.b."))</f>
        <v/>
      </c>
      <c r="BE373" s="124" t="str">
        <f>IF($B373="","",IFERROR(AB373+AC373+AD373,"n.b."))</f>
        <v/>
      </c>
      <c r="BF373" s="124" t="str">
        <f>IF($B373="","",IFERROR(AE373+AF373+AG373,"n.b."))</f>
        <v/>
      </c>
      <c r="BG373" s="124" t="str">
        <f>IF($B373="","",IFERROR(AH373+AI373+AJ373,"n.b."))</f>
        <v/>
      </c>
      <c r="BH373" s="124" t="str">
        <f>IF($B373="","",IFERROR(AK373+AL373+AM373,"n.b."))</f>
        <v/>
      </c>
      <c r="BI373" s="124" t="str">
        <f>IF($B373="","",IFERROR(SUMIF($AB$5:$AM$5,"&lt;="&amp;P_PeilMaand,AB373:AM373),"n.b."))</f>
        <v/>
      </c>
      <c r="BJ373" s="124" t="str">
        <f>IF($B373="","",IFERROR(SUM(AB373:AM373)-BI373,"n.b."))</f>
        <v/>
      </c>
      <c r="BK373" s="124" t="str">
        <f>IF($B373="","",IFERROR(IF(ABS(Q373-(T373+SUM(AB373:AM373)+AS373+AU373))&gt;P_Tol,1,0),1))</f>
        <v/>
      </c>
      <c r="BL373" s="124" t="str">
        <f>IF($B373="","",IFERROR(IF(ABS(AA373-(Q373-Z373))&gt;P_Tol,1,0),1))</f>
        <v/>
      </c>
      <c r="BM373" s="124" t="str">
        <f>IF($B373="","",IFERROR(IF(ABS(Z373-(T373+W373))&gt;P_Tol,1,0),1))</f>
        <v/>
      </c>
      <c r="BN373" s="124" t="str">
        <f>IF($B373="","",IFERROR(IF(ABS(W373-BI373)&gt;P_Tol,1,0),1))</f>
        <v/>
      </c>
      <c r="BO373" s="124" t="str">
        <f>IF($B373="","",IFERROR(IF(OR(ABS(R373+S373-T373)&gt;P_Tol,ABS(U373+V373-W373)&gt;P_Tol,ABS(X373+Y373-Z373)&gt;P_Tol),1,0),1))</f>
        <v/>
      </c>
      <c r="BP373" s="124" t="str">
        <f>IF($B373="","",IFERROR(IF(OR(ABS(AR373-SUM(AB373:AM373))&gt;P_Tol,ABS(AS373-(AN373+AO373+AP373+AQ373))&gt;P_Tol),1,0),1))</f>
        <v/>
      </c>
      <c r="BQ373" s="124" t="str">
        <f>IF($B373="","",IFERROR(IF(ABS(AT373)+ABS(AV373)+ABS(AW373)+ABS(AX373)+ABS(AY373)+ABS(AZ373)+ABS(BA373)+ABS(BB373)&gt;0,1,0),1))</f>
        <v/>
      </c>
      <c r="BR373" s="124" t="str">
        <f>IF($B373="","",COUNTIF(STG_ZPMW03!$B$6:$B$505,B373))</f>
        <v/>
      </c>
      <c r="BS373" s="124" t="str">
        <f>IF($B373="","",COUNTIF($B$6:$B$505,B373))</f>
        <v/>
      </c>
      <c r="BT373" s="124" t="str">
        <f>IF($B373="","",IF(BR373=0,0,IF(INDEX(STG_ZPMW03!$I$6:$I$505,MATCH(B373,STG_ZPMW03!$B$6:$B$505,0))=J373&amp;"",0,1)))</f>
        <v/>
      </c>
      <c r="BU373" s="124" t="str">
        <f>IF($B373="","",IFERROR(IF(ABS(INDEX(Mapping!$D$5:$D$104,MATCH(B373,Mapping!$A$5:$A$104,0))-Q373)&gt;P_Tol,1,0),0))</f>
        <v/>
      </c>
      <c r="BV373" s="124" t="str">
        <f>IF($B373="","",IFERROR(IF(AND(INDEX(Mapping!$G$5:$G$104,MATCH(B373,Mapping!$A$5:$A$104,0))="Nee",ABS(Q373)+ABS(Z373)+ABS(AR373)&gt;0),1,0),0))</f>
        <v/>
      </c>
      <c r="BW373" s="124" t="str">
        <f>IF($B373="","",IF(COUNTIF(Mapping!$A$5:$A$104,B373)&gt;0,1,0))</f>
        <v/>
      </c>
      <c r="BX373" s="124" t="str">
        <f>IF($B373="","",IF(BR373=0,COUNTIF($BR$6:BR373,0),""))</f>
        <v/>
      </c>
    </row>
    <row r="374">
      <c r="A374" s="15" t="n">
        <v>370</v>
      </c>
      <c r="B374" t="str">
        <f>IF(B$3=0,"",IF(INDEX(SRC_Woningetalage!$A$1:$ZZ$501,$A374,B$3)&amp;""="","",INDEX(SRC_Woningetalage!$A$1:$ZZ$501,$A374,B$3)&amp;""))</f>
        <v/>
      </c>
      <c r="C374" t="str">
        <f>IF($B374="","",IF(C$3=0,"n.b.",INDEX(SRC_Woningetalage!$A$1:$ZZ$501,$A374,C$3)))</f>
        <v/>
      </c>
      <c r="D374" t="str">
        <f>IF($B374="","",IF(D$3=0,"n.b.",INDEX(SRC_Woningetalage!$A$1:$ZZ$501,$A374,D$3)))</f>
        <v/>
      </c>
      <c r="E374" t="str">
        <f>IF($B374="","",IF(E$3=0,"n.b.",INDEX(SRC_Woningetalage!$A$1:$ZZ$501,$A374,E$3)))</f>
        <v/>
      </c>
      <c r="F374" t="str">
        <f>IF($B374="","",IF(F$3=0,"n.b.",INDEX(SRC_Woningetalage!$A$1:$ZZ$501,$A374,F$3)))</f>
        <v/>
      </c>
      <c r="G374" t="str">
        <f>IF($B374="","",IF(G$3=0,"n.b.",INDEX(SRC_Woningetalage!$A$1:$ZZ$501,$A374,G$3)))</f>
        <v/>
      </c>
      <c r="H374" t="str">
        <f>IF($B374="","",IF(H$3=0,"n.b.",INDEX(SRC_Woningetalage!$A$1:$ZZ$501,$A374,H$3)))</f>
        <v/>
      </c>
      <c r="I374" t="str">
        <f>IF($B374="","",IF(I$3=0,"n.b.",INDEX(SRC_Woningetalage!$A$1:$ZZ$501,$A374,I$3)))</f>
        <v/>
      </c>
      <c r="J374" t="str">
        <f>IF($B374="","",IF(J$3=0,"n.b.",INDEX(SRC_Woningetalage!$A$1:$ZZ$501,$A374,J$3)))</f>
        <v/>
      </c>
      <c r="K374" t="str">
        <f>IF($B374="","",IF(K$3=0,"n.b.",INDEX(SRC_Woningetalage!$A$1:$ZZ$501,$A374,K$3)))</f>
        <v/>
      </c>
      <c r="L374" t="str">
        <f>IF($B374="","",IF(L$3=0,"n.b.",INDEX(SRC_Woningetalage!$A$1:$ZZ$501,$A374,L$3)))</f>
        <v/>
      </c>
      <c r="M374" t="str">
        <f>IF($B374="","",IF(M$3=0,"n.b.",INDEX(SRC_Woningetalage!$A$1:$ZZ$501,$A374,M$3)))</f>
        <v/>
      </c>
      <c r="N374" t="str">
        <f>IF($B374="","",IF(N$3=0,"n.b.",INDEX(SRC_Woningetalage!$A$1:$ZZ$501,$A374,N$3)))</f>
        <v/>
      </c>
      <c r="O374" t="str">
        <f>IF($B374="","",IF(O$3=0,"n.b.",INDEX(SRC_Woningetalage!$A$1:$ZZ$501,$A374,O$3)))</f>
        <v/>
      </c>
      <c r="P374" t="str">
        <f>IF($B374="","",IF(P$3=0,"n.b.",INDEX(SRC_Woningetalage!$A$1:$ZZ$501,$A374,P$3)))</f>
        <v/>
      </c>
      <c r="Q374" s="124" t="str">
        <f>IF($B374="","",IF(Q$3=0,"n.b.",INDEX(SRC_Woningetalage!$A$1:$ZZ$501,$A374,Q$3)))</f>
        <v/>
      </c>
      <c r="R374" s="124" t="str">
        <f>IF($B374="","",IF(R$3=0,"n.b.",INDEX(SRC_Woningetalage!$A$1:$ZZ$501,$A374,R$3)))</f>
        <v/>
      </c>
      <c r="S374" s="124" t="str">
        <f>IF($B374="","",IF(S$3=0,"n.b.",INDEX(SRC_Woningetalage!$A$1:$ZZ$501,$A374,S$3)))</f>
        <v/>
      </c>
      <c r="T374" s="124" t="str">
        <f>IF($B374="","",IF(T$3=0,"n.b.",INDEX(SRC_Woningetalage!$A$1:$ZZ$501,$A374,T$3)))</f>
        <v/>
      </c>
      <c r="U374" s="124" t="str">
        <f>IF($B374="","",IF(U$3=0,"n.b.",INDEX(SRC_Woningetalage!$A$1:$ZZ$501,$A374,U$3)))</f>
        <v/>
      </c>
      <c r="V374" s="124" t="str">
        <f>IF($B374="","",IF(V$3=0,"n.b.",INDEX(SRC_Woningetalage!$A$1:$ZZ$501,$A374,V$3)))</f>
        <v/>
      </c>
      <c r="W374" s="124" t="str">
        <f>IF($B374="","",IF(W$3=0,"n.b.",INDEX(SRC_Woningetalage!$A$1:$ZZ$501,$A374,W$3)))</f>
        <v/>
      </c>
      <c r="X374" s="124" t="str">
        <f>IF($B374="","",IF(X$3=0,"n.b.",INDEX(SRC_Woningetalage!$A$1:$ZZ$501,$A374,X$3)))</f>
        <v/>
      </c>
      <c r="Y374" s="124" t="str">
        <f>IF($B374="","",IF(Y$3=0,"n.b.",INDEX(SRC_Woningetalage!$A$1:$ZZ$501,$A374,Y$3)))</f>
        <v/>
      </c>
      <c r="Z374" s="124" t="str">
        <f>IF($B374="","",IF(Z$3=0,"n.b.",INDEX(SRC_Woningetalage!$A$1:$ZZ$501,$A374,Z$3)))</f>
        <v/>
      </c>
      <c r="AA374" s="124" t="str">
        <f>IF($B374="","",IF(AA$3=0,"n.b.",INDEX(SRC_Woningetalage!$A$1:$ZZ$501,$A374,AA$3)))</f>
        <v/>
      </c>
      <c r="AB374" s="124" t="str">
        <f>IF($B374="","",IF(AB$3=0,"n.b.",INDEX(SRC_Woningetalage!$A$1:$ZZ$501,$A374,AB$3)))</f>
        <v/>
      </c>
      <c r="AC374" s="124" t="str">
        <f>IF($B374="","",IF(AC$3=0,"n.b.",INDEX(SRC_Woningetalage!$A$1:$ZZ$501,$A374,AC$3)))</f>
        <v/>
      </c>
      <c r="AD374" s="124" t="str">
        <f>IF($B374="","",IF(AD$3=0,"n.b.",INDEX(SRC_Woningetalage!$A$1:$ZZ$501,$A374,AD$3)))</f>
        <v/>
      </c>
      <c r="AE374" s="124" t="str">
        <f>IF($B374="","",IF(AE$3=0,"n.b.",INDEX(SRC_Woningetalage!$A$1:$ZZ$501,$A374,AE$3)))</f>
        <v/>
      </c>
      <c r="AF374" s="124" t="str">
        <f>IF($B374="","",IF(AF$3=0,"n.b.",INDEX(SRC_Woningetalage!$A$1:$ZZ$501,$A374,AF$3)))</f>
        <v/>
      </c>
      <c r="AG374" s="124" t="str">
        <f>IF($B374="","",IF(AG$3=0,"n.b.",INDEX(SRC_Woningetalage!$A$1:$ZZ$501,$A374,AG$3)))</f>
        <v/>
      </c>
      <c r="AH374" s="124" t="str">
        <f>IF($B374="","",IF(AH$3=0,"n.b.",INDEX(SRC_Woningetalage!$A$1:$ZZ$501,$A374,AH$3)))</f>
        <v/>
      </c>
      <c r="AI374" s="124" t="str">
        <f>IF($B374="","",IF(AI$3=0,"n.b.",INDEX(SRC_Woningetalage!$A$1:$ZZ$501,$A374,AI$3)))</f>
        <v/>
      </c>
      <c r="AJ374" s="124" t="str">
        <f>IF($B374="","",IF(AJ$3=0,"n.b.",INDEX(SRC_Woningetalage!$A$1:$ZZ$501,$A374,AJ$3)))</f>
        <v/>
      </c>
      <c r="AK374" s="124" t="str">
        <f>IF($B374="","",IF(AK$3=0,"n.b.",INDEX(SRC_Woningetalage!$A$1:$ZZ$501,$A374,AK$3)))</f>
        <v/>
      </c>
      <c r="AL374" s="124" t="str">
        <f>IF($B374="","",IF(AL$3=0,"n.b.",INDEX(SRC_Woningetalage!$A$1:$ZZ$501,$A374,AL$3)))</f>
        <v/>
      </c>
      <c r="AM374" s="124" t="str">
        <f>IF($B374="","",IF(AM$3=0,"n.b.",INDEX(SRC_Woningetalage!$A$1:$ZZ$501,$A374,AM$3)))</f>
        <v/>
      </c>
      <c r="AN374" s="124" t="str">
        <f>IF($B374="","",IF(AN$3=0,"n.b.",INDEX(SRC_Woningetalage!$A$1:$ZZ$501,$A374,AN$3)))</f>
        <v/>
      </c>
      <c r="AO374" s="124" t="str">
        <f>IF($B374="","",IF(AO$3=0,"n.b.",INDEX(SRC_Woningetalage!$A$1:$ZZ$501,$A374,AO$3)))</f>
        <v/>
      </c>
      <c r="AP374" s="124" t="str">
        <f>IF($B374="","",IF(AP$3=0,"n.b.",INDEX(SRC_Woningetalage!$A$1:$ZZ$501,$A374,AP$3)))</f>
        <v/>
      </c>
      <c r="AQ374" s="124" t="str">
        <f>IF($B374="","",IF(AQ$3=0,"n.b.",INDEX(SRC_Woningetalage!$A$1:$ZZ$501,$A374,AQ$3)))</f>
        <v/>
      </c>
      <c r="AR374" s="124" t="str">
        <f>IF($B374="","",IF(AR$3=0,"n.b.",INDEX(SRC_Woningetalage!$A$1:$ZZ$501,$A374,AR$3)))</f>
        <v/>
      </c>
      <c r="AS374" s="124" t="str">
        <f>IF($B374="","",IF(AS$3=0,"n.b.",INDEX(SRC_Woningetalage!$A$1:$ZZ$501,$A374,AS$3)))</f>
        <v/>
      </c>
      <c r="AT374" s="124" t="str">
        <f>IF($B374="","",IF(AT$3=0,"n.b.",INDEX(SRC_Woningetalage!$A$1:$ZZ$501,$A374,AT$3)))</f>
        <v/>
      </c>
      <c r="AU374" s="124" t="str">
        <f>IF($B374="","",IF(AU$3=0,"n.b.",INDEX(SRC_Woningetalage!$A$1:$ZZ$501,$A374,AU$3)))</f>
        <v/>
      </c>
      <c r="AV374" s="124" t="str">
        <f>IF($B374="","",IF(AV$3=0,"n.b.",INDEX(SRC_Woningetalage!$A$1:$ZZ$501,$A374,AV$3)))</f>
        <v/>
      </c>
      <c r="AW374" s="124" t="str">
        <f>IF($B374="","",IF(AW$3=0,"n.b.",INDEX(SRC_Woningetalage!$A$1:$ZZ$501,$A374,AW$3)))</f>
        <v/>
      </c>
      <c r="AX374" s="124" t="str">
        <f>IF($B374="","",IF(AX$3=0,"n.b.",INDEX(SRC_Woningetalage!$A$1:$ZZ$501,$A374,AX$3)))</f>
        <v/>
      </c>
      <c r="AY374" s="124" t="str">
        <f>IF($B374="","",IF(AY$3=0,"n.b.",INDEX(SRC_Woningetalage!$A$1:$ZZ$501,$A374,AY$3)))</f>
        <v/>
      </c>
      <c r="AZ374" s="124" t="str">
        <f>IF($B374="","",IF(AZ$3=0,"n.b.",INDEX(SRC_Woningetalage!$A$1:$ZZ$501,$A374,AZ$3)))</f>
        <v/>
      </c>
      <c r="BA374" s="124" t="str">
        <f>IF($B374="","",IF(BA$3=0,"n.b.",INDEX(SRC_Woningetalage!$A$1:$ZZ$501,$A374,BA$3)))</f>
        <v/>
      </c>
      <c r="BB374" s="124" t="str">
        <f>IF($B374="","",IF(BB$3=0,"n.b.",INDEX(SRC_Woningetalage!$A$1:$ZZ$501,$A374,BB$3)))</f>
        <v/>
      </c>
      <c r="BC374" s="124" t="str">
        <f>IF($B374="","",IFERROR(_xlfn.NUMBERVALUE(E374&amp;"",",","."),"n.b."))</f>
        <v/>
      </c>
      <c r="BD374" s="124" t="str">
        <f>IF($B374="","",IFERROR(_xlfn.NUMBERVALUE(M374&amp;"",",","."),"n.b."))</f>
        <v/>
      </c>
      <c r="BE374" s="124" t="str">
        <f>IF($B374="","",IFERROR(AB374+AC374+AD374,"n.b."))</f>
        <v/>
      </c>
      <c r="BF374" s="124" t="str">
        <f>IF($B374="","",IFERROR(AE374+AF374+AG374,"n.b."))</f>
        <v/>
      </c>
      <c r="BG374" s="124" t="str">
        <f>IF($B374="","",IFERROR(AH374+AI374+AJ374,"n.b."))</f>
        <v/>
      </c>
      <c r="BH374" s="124" t="str">
        <f>IF($B374="","",IFERROR(AK374+AL374+AM374,"n.b."))</f>
        <v/>
      </c>
      <c r="BI374" s="124" t="str">
        <f>IF($B374="","",IFERROR(SUMIF($AB$5:$AM$5,"&lt;="&amp;P_PeilMaand,AB374:AM374),"n.b."))</f>
        <v/>
      </c>
      <c r="BJ374" s="124" t="str">
        <f>IF($B374="","",IFERROR(SUM(AB374:AM374)-BI374,"n.b."))</f>
        <v/>
      </c>
      <c r="BK374" s="124" t="str">
        <f>IF($B374="","",IFERROR(IF(ABS(Q374-(T374+SUM(AB374:AM374)+AS374+AU374))&gt;P_Tol,1,0),1))</f>
        <v/>
      </c>
      <c r="BL374" s="124" t="str">
        <f>IF($B374="","",IFERROR(IF(ABS(AA374-(Q374-Z374))&gt;P_Tol,1,0),1))</f>
        <v/>
      </c>
      <c r="BM374" s="124" t="str">
        <f>IF($B374="","",IFERROR(IF(ABS(Z374-(T374+W374))&gt;P_Tol,1,0),1))</f>
        <v/>
      </c>
      <c r="BN374" s="124" t="str">
        <f>IF($B374="","",IFERROR(IF(ABS(W374-BI374)&gt;P_Tol,1,0),1))</f>
        <v/>
      </c>
      <c r="BO374" s="124" t="str">
        <f>IF($B374="","",IFERROR(IF(OR(ABS(R374+S374-T374)&gt;P_Tol,ABS(U374+V374-W374)&gt;P_Tol,ABS(X374+Y374-Z374)&gt;P_Tol),1,0),1))</f>
        <v/>
      </c>
      <c r="BP374" s="124" t="str">
        <f>IF($B374="","",IFERROR(IF(OR(ABS(AR374-SUM(AB374:AM374))&gt;P_Tol,ABS(AS374-(AN374+AO374+AP374+AQ374))&gt;P_Tol),1,0),1))</f>
        <v/>
      </c>
      <c r="BQ374" s="124" t="str">
        <f>IF($B374="","",IFERROR(IF(ABS(AT374)+ABS(AV374)+ABS(AW374)+ABS(AX374)+ABS(AY374)+ABS(AZ374)+ABS(BA374)+ABS(BB374)&gt;0,1,0),1))</f>
        <v/>
      </c>
      <c r="BR374" s="124" t="str">
        <f>IF($B374="","",COUNTIF(STG_ZPMW03!$B$6:$B$505,B374))</f>
        <v/>
      </c>
      <c r="BS374" s="124" t="str">
        <f>IF($B374="","",COUNTIF($B$6:$B$505,B374))</f>
        <v/>
      </c>
      <c r="BT374" s="124" t="str">
        <f>IF($B374="","",IF(BR374=0,0,IF(INDEX(STG_ZPMW03!$I$6:$I$505,MATCH(B374,STG_ZPMW03!$B$6:$B$505,0))=J374&amp;"",0,1)))</f>
        <v/>
      </c>
      <c r="BU374" s="124" t="str">
        <f>IF($B374="","",IFERROR(IF(ABS(INDEX(Mapping!$D$5:$D$104,MATCH(B374,Mapping!$A$5:$A$104,0))-Q374)&gt;P_Tol,1,0),0))</f>
        <v/>
      </c>
      <c r="BV374" s="124" t="str">
        <f>IF($B374="","",IFERROR(IF(AND(INDEX(Mapping!$G$5:$G$104,MATCH(B374,Mapping!$A$5:$A$104,0))="Nee",ABS(Q374)+ABS(Z374)+ABS(AR374)&gt;0),1,0),0))</f>
        <v/>
      </c>
      <c r="BW374" s="124" t="str">
        <f>IF($B374="","",IF(COUNTIF(Mapping!$A$5:$A$104,B374)&gt;0,1,0))</f>
        <v/>
      </c>
      <c r="BX374" s="124" t="str">
        <f>IF($B374="","",IF(BR374=0,COUNTIF($BR$6:BR374,0),""))</f>
        <v/>
      </c>
    </row>
    <row r="375">
      <c r="A375" s="15" t="n">
        <v>371</v>
      </c>
      <c r="B375" t="str">
        <f>IF(B$3=0,"",IF(INDEX(SRC_Woningetalage!$A$1:$ZZ$501,$A375,B$3)&amp;""="","",INDEX(SRC_Woningetalage!$A$1:$ZZ$501,$A375,B$3)&amp;""))</f>
        <v/>
      </c>
      <c r="C375" t="str">
        <f>IF($B375="","",IF(C$3=0,"n.b.",INDEX(SRC_Woningetalage!$A$1:$ZZ$501,$A375,C$3)))</f>
        <v/>
      </c>
      <c r="D375" t="str">
        <f>IF($B375="","",IF(D$3=0,"n.b.",INDEX(SRC_Woningetalage!$A$1:$ZZ$501,$A375,D$3)))</f>
        <v/>
      </c>
      <c r="E375" t="str">
        <f>IF($B375="","",IF(E$3=0,"n.b.",INDEX(SRC_Woningetalage!$A$1:$ZZ$501,$A375,E$3)))</f>
        <v/>
      </c>
      <c r="F375" t="str">
        <f>IF($B375="","",IF(F$3=0,"n.b.",INDEX(SRC_Woningetalage!$A$1:$ZZ$501,$A375,F$3)))</f>
        <v/>
      </c>
      <c r="G375" t="str">
        <f>IF($B375="","",IF(G$3=0,"n.b.",INDEX(SRC_Woningetalage!$A$1:$ZZ$501,$A375,G$3)))</f>
        <v/>
      </c>
      <c r="H375" t="str">
        <f>IF($B375="","",IF(H$3=0,"n.b.",INDEX(SRC_Woningetalage!$A$1:$ZZ$501,$A375,H$3)))</f>
        <v/>
      </c>
      <c r="I375" t="str">
        <f>IF($B375="","",IF(I$3=0,"n.b.",INDEX(SRC_Woningetalage!$A$1:$ZZ$501,$A375,I$3)))</f>
        <v/>
      </c>
      <c r="J375" t="str">
        <f>IF($B375="","",IF(J$3=0,"n.b.",INDEX(SRC_Woningetalage!$A$1:$ZZ$501,$A375,J$3)))</f>
        <v/>
      </c>
      <c r="K375" t="str">
        <f>IF($B375="","",IF(K$3=0,"n.b.",INDEX(SRC_Woningetalage!$A$1:$ZZ$501,$A375,K$3)))</f>
        <v/>
      </c>
      <c r="L375" t="str">
        <f>IF($B375="","",IF(L$3=0,"n.b.",INDEX(SRC_Woningetalage!$A$1:$ZZ$501,$A375,L$3)))</f>
        <v/>
      </c>
      <c r="M375" t="str">
        <f>IF($B375="","",IF(M$3=0,"n.b.",INDEX(SRC_Woningetalage!$A$1:$ZZ$501,$A375,M$3)))</f>
        <v/>
      </c>
      <c r="N375" t="str">
        <f>IF($B375="","",IF(N$3=0,"n.b.",INDEX(SRC_Woningetalage!$A$1:$ZZ$501,$A375,N$3)))</f>
        <v/>
      </c>
      <c r="O375" t="str">
        <f>IF($B375="","",IF(O$3=0,"n.b.",INDEX(SRC_Woningetalage!$A$1:$ZZ$501,$A375,O$3)))</f>
        <v/>
      </c>
      <c r="P375" t="str">
        <f>IF($B375="","",IF(P$3=0,"n.b.",INDEX(SRC_Woningetalage!$A$1:$ZZ$501,$A375,P$3)))</f>
        <v/>
      </c>
      <c r="Q375" s="124" t="str">
        <f>IF($B375="","",IF(Q$3=0,"n.b.",INDEX(SRC_Woningetalage!$A$1:$ZZ$501,$A375,Q$3)))</f>
        <v/>
      </c>
      <c r="R375" s="124" t="str">
        <f>IF($B375="","",IF(R$3=0,"n.b.",INDEX(SRC_Woningetalage!$A$1:$ZZ$501,$A375,R$3)))</f>
        <v/>
      </c>
      <c r="S375" s="124" t="str">
        <f>IF($B375="","",IF(S$3=0,"n.b.",INDEX(SRC_Woningetalage!$A$1:$ZZ$501,$A375,S$3)))</f>
        <v/>
      </c>
      <c r="T375" s="124" t="str">
        <f>IF($B375="","",IF(T$3=0,"n.b.",INDEX(SRC_Woningetalage!$A$1:$ZZ$501,$A375,T$3)))</f>
        <v/>
      </c>
      <c r="U375" s="124" t="str">
        <f>IF($B375="","",IF(U$3=0,"n.b.",INDEX(SRC_Woningetalage!$A$1:$ZZ$501,$A375,U$3)))</f>
        <v/>
      </c>
      <c r="V375" s="124" t="str">
        <f>IF($B375="","",IF(V$3=0,"n.b.",INDEX(SRC_Woningetalage!$A$1:$ZZ$501,$A375,V$3)))</f>
        <v/>
      </c>
      <c r="W375" s="124" t="str">
        <f>IF($B375="","",IF(W$3=0,"n.b.",INDEX(SRC_Woningetalage!$A$1:$ZZ$501,$A375,W$3)))</f>
        <v/>
      </c>
      <c r="X375" s="124" t="str">
        <f>IF($B375="","",IF(X$3=0,"n.b.",INDEX(SRC_Woningetalage!$A$1:$ZZ$501,$A375,X$3)))</f>
        <v/>
      </c>
      <c r="Y375" s="124" t="str">
        <f>IF($B375="","",IF(Y$3=0,"n.b.",INDEX(SRC_Woningetalage!$A$1:$ZZ$501,$A375,Y$3)))</f>
        <v/>
      </c>
      <c r="Z375" s="124" t="str">
        <f>IF($B375="","",IF(Z$3=0,"n.b.",INDEX(SRC_Woningetalage!$A$1:$ZZ$501,$A375,Z$3)))</f>
        <v/>
      </c>
      <c r="AA375" s="124" t="str">
        <f>IF($B375="","",IF(AA$3=0,"n.b.",INDEX(SRC_Woningetalage!$A$1:$ZZ$501,$A375,AA$3)))</f>
        <v/>
      </c>
      <c r="AB375" s="124" t="str">
        <f>IF($B375="","",IF(AB$3=0,"n.b.",INDEX(SRC_Woningetalage!$A$1:$ZZ$501,$A375,AB$3)))</f>
        <v/>
      </c>
      <c r="AC375" s="124" t="str">
        <f>IF($B375="","",IF(AC$3=0,"n.b.",INDEX(SRC_Woningetalage!$A$1:$ZZ$501,$A375,AC$3)))</f>
        <v/>
      </c>
      <c r="AD375" s="124" t="str">
        <f>IF($B375="","",IF(AD$3=0,"n.b.",INDEX(SRC_Woningetalage!$A$1:$ZZ$501,$A375,AD$3)))</f>
        <v/>
      </c>
      <c r="AE375" s="124" t="str">
        <f>IF($B375="","",IF(AE$3=0,"n.b.",INDEX(SRC_Woningetalage!$A$1:$ZZ$501,$A375,AE$3)))</f>
        <v/>
      </c>
      <c r="AF375" s="124" t="str">
        <f>IF($B375="","",IF(AF$3=0,"n.b.",INDEX(SRC_Woningetalage!$A$1:$ZZ$501,$A375,AF$3)))</f>
        <v/>
      </c>
      <c r="AG375" s="124" t="str">
        <f>IF($B375="","",IF(AG$3=0,"n.b.",INDEX(SRC_Woningetalage!$A$1:$ZZ$501,$A375,AG$3)))</f>
        <v/>
      </c>
      <c r="AH375" s="124" t="str">
        <f>IF($B375="","",IF(AH$3=0,"n.b.",INDEX(SRC_Woningetalage!$A$1:$ZZ$501,$A375,AH$3)))</f>
        <v/>
      </c>
      <c r="AI375" s="124" t="str">
        <f>IF($B375="","",IF(AI$3=0,"n.b.",INDEX(SRC_Woningetalage!$A$1:$ZZ$501,$A375,AI$3)))</f>
        <v/>
      </c>
      <c r="AJ375" s="124" t="str">
        <f>IF($B375="","",IF(AJ$3=0,"n.b.",INDEX(SRC_Woningetalage!$A$1:$ZZ$501,$A375,AJ$3)))</f>
        <v/>
      </c>
      <c r="AK375" s="124" t="str">
        <f>IF($B375="","",IF(AK$3=0,"n.b.",INDEX(SRC_Woningetalage!$A$1:$ZZ$501,$A375,AK$3)))</f>
        <v/>
      </c>
      <c r="AL375" s="124" t="str">
        <f>IF($B375="","",IF(AL$3=0,"n.b.",INDEX(SRC_Woningetalage!$A$1:$ZZ$501,$A375,AL$3)))</f>
        <v/>
      </c>
      <c r="AM375" s="124" t="str">
        <f>IF($B375="","",IF(AM$3=0,"n.b.",INDEX(SRC_Woningetalage!$A$1:$ZZ$501,$A375,AM$3)))</f>
        <v/>
      </c>
      <c r="AN375" s="124" t="str">
        <f>IF($B375="","",IF(AN$3=0,"n.b.",INDEX(SRC_Woningetalage!$A$1:$ZZ$501,$A375,AN$3)))</f>
        <v/>
      </c>
      <c r="AO375" s="124" t="str">
        <f>IF($B375="","",IF(AO$3=0,"n.b.",INDEX(SRC_Woningetalage!$A$1:$ZZ$501,$A375,AO$3)))</f>
        <v/>
      </c>
      <c r="AP375" s="124" t="str">
        <f>IF($B375="","",IF(AP$3=0,"n.b.",INDEX(SRC_Woningetalage!$A$1:$ZZ$501,$A375,AP$3)))</f>
        <v/>
      </c>
      <c r="AQ375" s="124" t="str">
        <f>IF($B375="","",IF(AQ$3=0,"n.b.",INDEX(SRC_Woningetalage!$A$1:$ZZ$501,$A375,AQ$3)))</f>
        <v/>
      </c>
      <c r="AR375" s="124" t="str">
        <f>IF($B375="","",IF(AR$3=0,"n.b.",INDEX(SRC_Woningetalage!$A$1:$ZZ$501,$A375,AR$3)))</f>
        <v/>
      </c>
      <c r="AS375" s="124" t="str">
        <f>IF($B375="","",IF(AS$3=0,"n.b.",INDEX(SRC_Woningetalage!$A$1:$ZZ$501,$A375,AS$3)))</f>
        <v/>
      </c>
      <c r="AT375" s="124" t="str">
        <f>IF($B375="","",IF(AT$3=0,"n.b.",INDEX(SRC_Woningetalage!$A$1:$ZZ$501,$A375,AT$3)))</f>
        <v/>
      </c>
      <c r="AU375" s="124" t="str">
        <f>IF($B375="","",IF(AU$3=0,"n.b.",INDEX(SRC_Woningetalage!$A$1:$ZZ$501,$A375,AU$3)))</f>
        <v/>
      </c>
      <c r="AV375" s="124" t="str">
        <f>IF($B375="","",IF(AV$3=0,"n.b.",INDEX(SRC_Woningetalage!$A$1:$ZZ$501,$A375,AV$3)))</f>
        <v/>
      </c>
      <c r="AW375" s="124" t="str">
        <f>IF($B375="","",IF(AW$3=0,"n.b.",INDEX(SRC_Woningetalage!$A$1:$ZZ$501,$A375,AW$3)))</f>
        <v/>
      </c>
      <c r="AX375" s="124" t="str">
        <f>IF($B375="","",IF(AX$3=0,"n.b.",INDEX(SRC_Woningetalage!$A$1:$ZZ$501,$A375,AX$3)))</f>
        <v/>
      </c>
      <c r="AY375" s="124" t="str">
        <f>IF($B375="","",IF(AY$3=0,"n.b.",INDEX(SRC_Woningetalage!$A$1:$ZZ$501,$A375,AY$3)))</f>
        <v/>
      </c>
      <c r="AZ375" s="124" t="str">
        <f>IF($B375="","",IF(AZ$3=0,"n.b.",INDEX(SRC_Woningetalage!$A$1:$ZZ$501,$A375,AZ$3)))</f>
        <v/>
      </c>
      <c r="BA375" s="124" t="str">
        <f>IF($B375="","",IF(BA$3=0,"n.b.",INDEX(SRC_Woningetalage!$A$1:$ZZ$501,$A375,BA$3)))</f>
        <v/>
      </c>
      <c r="BB375" s="124" t="str">
        <f>IF($B375="","",IF(BB$3=0,"n.b.",INDEX(SRC_Woningetalage!$A$1:$ZZ$501,$A375,BB$3)))</f>
        <v/>
      </c>
      <c r="BC375" s="124" t="str">
        <f>IF($B375="","",IFERROR(_xlfn.NUMBERVALUE(E375&amp;"",",","."),"n.b."))</f>
        <v/>
      </c>
      <c r="BD375" s="124" t="str">
        <f>IF($B375="","",IFERROR(_xlfn.NUMBERVALUE(M375&amp;"",",","."),"n.b."))</f>
        <v/>
      </c>
      <c r="BE375" s="124" t="str">
        <f>IF($B375="","",IFERROR(AB375+AC375+AD375,"n.b."))</f>
        <v/>
      </c>
      <c r="BF375" s="124" t="str">
        <f>IF($B375="","",IFERROR(AE375+AF375+AG375,"n.b."))</f>
        <v/>
      </c>
      <c r="BG375" s="124" t="str">
        <f>IF($B375="","",IFERROR(AH375+AI375+AJ375,"n.b."))</f>
        <v/>
      </c>
      <c r="BH375" s="124" t="str">
        <f>IF($B375="","",IFERROR(AK375+AL375+AM375,"n.b."))</f>
        <v/>
      </c>
      <c r="BI375" s="124" t="str">
        <f>IF($B375="","",IFERROR(SUMIF($AB$5:$AM$5,"&lt;="&amp;P_PeilMaand,AB375:AM375),"n.b."))</f>
        <v/>
      </c>
      <c r="BJ375" s="124" t="str">
        <f>IF($B375="","",IFERROR(SUM(AB375:AM375)-BI375,"n.b."))</f>
        <v/>
      </c>
      <c r="BK375" s="124" t="str">
        <f>IF($B375="","",IFERROR(IF(ABS(Q375-(T375+SUM(AB375:AM375)+AS375+AU375))&gt;P_Tol,1,0),1))</f>
        <v/>
      </c>
      <c r="BL375" s="124" t="str">
        <f>IF($B375="","",IFERROR(IF(ABS(AA375-(Q375-Z375))&gt;P_Tol,1,0),1))</f>
        <v/>
      </c>
      <c r="BM375" s="124" t="str">
        <f>IF($B375="","",IFERROR(IF(ABS(Z375-(T375+W375))&gt;P_Tol,1,0),1))</f>
        <v/>
      </c>
      <c r="BN375" s="124" t="str">
        <f>IF($B375="","",IFERROR(IF(ABS(W375-BI375)&gt;P_Tol,1,0),1))</f>
        <v/>
      </c>
      <c r="BO375" s="124" t="str">
        <f>IF($B375="","",IFERROR(IF(OR(ABS(R375+S375-T375)&gt;P_Tol,ABS(U375+V375-W375)&gt;P_Tol,ABS(X375+Y375-Z375)&gt;P_Tol),1,0),1))</f>
        <v/>
      </c>
      <c r="BP375" s="124" t="str">
        <f>IF($B375="","",IFERROR(IF(OR(ABS(AR375-SUM(AB375:AM375))&gt;P_Tol,ABS(AS375-(AN375+AO375+AP375+AQ375))&gt;P_Tol),1,0),1))</f>
        <v/>
      </c>
      <c r="BQ375" s="124" t="str">
        <f>IF($B375="","",IFERROR(IF(ABS(AT375)+ABS(AV375)+ABS(AW375)+ABS(AX375)+ABS(AY375)+ABS(AZ375)+ABS(BA375)+ABS(BB375)&gt;0,1,0),1))</f>
        <v/>
      </c>
      <c r="BR375" s="124" t="str">
        <f>IF($B375="","",COUNTIF(STG_ZPMW03!$B$6:$B$505,B375))</f>
        <v/>
      </c>
      <c r="BS375" s="124" t="str">
        <f>IF($B375="","",COUNTIF($B$6:$B$505,B375))</f>
        <v/>
      </c>
      <c r="BT375" s="124" t="str">
        <f>IF($B375="","",IF(BR375=0,0,IF(INDEX(STG_ZPMW03!$I$6:$I$505,MATCH(B375,STG_ZPMW03!$B$6:$B$505,0))=J375&amp;"",0,1)))</f>
        <v/>
      </c>
      <c r="BU375" s="124" t="str">
        <f>IF($B375="","",IFERROR(IF(ABS(INDEX(Mapping!$D$5:$D$104,MATCH(B375,Mapping!$A$5:$A$104,0))-Q375)&gt;P_Tol,1,0),0))</f>
        <v/>
      </c>
      <c r="BV375" s="124" t="str">
        <f>IF($B375="","",IFERROR(IF(AND(INDEX(Mapping!$G$5:$G$104,MATCH(B375,Mapping!$A$5:$A$104,0))="Nee",ABS(Q375)+ABS(Z375)+ABS(AR375)&gt;0),1,0),0))</f>
        <v/>
      </c>
      <c r="BW375" s="124" t="str">
        <f>IF($B375="","",IF(COUNTIF(Mapping!$A$5:$A$104,B375)&gt;0,1,0))</f>
        <v/>
      </c>
      <c r="BX375" s="124" t="str">
        <f>IF($B375="","",IF(BR375=0,COUNTIF($BR$6:BR375,0),""))</f>
        <v/>
      </c>
    </row>
    <row r="376">
      <c r="A376" s="15" t="n">
        <v>372</v>
      </c>
      <c r="B376" t="str">
        <f>IF(B$3=0,"",IF(INDEX(SRC_Woningetalage!$A$1:$ZZ$501,$A376,B$3)&amp;""="","",INDEX(SRC_Woningetalage!$A$1:$ZZ$501,$A376,B$3)&amp;""))</f>
        <v/>
      </c>
      <c r="C376" t="str">
        <f>IF($B376="","",IF(C$3=0,"n.b.",INDEX(SRC_Woningetalage!$A$1:$ZZ$501,$A376,C$3)))</f>
        <v/>
      </c>
      <c r="D376" t="str">
        <f>IF($B376="","",IF(D$3=0,"n.b.",INDEX(SRC_Woningetalage!$A$1:$ZZ$501,$A376,D$3)))</f>
        <v/>
      </c>
      <c r="E376" t="str">
        <f>IF($B376="","",IF(E$3=0,"n.b.",INDEX(SRC_Woningetalage!$A$1:$ZZ$501,$A376,E$3)))</f>
        <v/>
      </c>
      <c r="F376" t="str">
        <f>IF($B376="","",IF(F$3=0,"n.b.",INDEX(SRC_Woningetalage!$A$1:$ZZ$501,$A376,F$3)))</f>
        <v/>
      </c>
      <c r="G376" t="str">
        <f>IF($B376="","",IF(G$3=0,"n.b.",INDEX(SRC_Woningetalage!$A$1:$ZZ$501,$A376,G$3)))</f>
        <v/>
      </c>
      <c r="H376" t="str">
        <f>IF($B376="","",IF(H$3=0,"n.b.",INDEX(SRC_Woningetalage!$A$1:$ZZ$501,$A376,H$3)))</f>
        <v/>
      </c>
      <c r="I376" t="str">
        <f>IF($B376="","",IF(I$3=0,"n.b.",INDEX(SRC_Woningetalage!$A$1:$ZZ$501,$A376,I$3)))</f>
        <v/>
      </c>
      <c r="J376" t="str">
        <f>IF($B376="","",IF(J$3=0,"n.b.",INDEX(SRC_Woningetalage!$A$1:$ZZ$501,$A376,J$3)))</f>
        <v/>
      </c>
      <c r="K376" t="str">
        <f>IF($B376="","",IF(K$3=0,"n.b.",INDEX(SRC_Woningetalage!$A$1:$ZZ$501,$A376,K$3)))</f>
        <v/>
      </c>
      <c r="L376" t="str">
        <f>IF($B376="","",IF(L$3=0,"n.b.",INDEX(SRC_Woningetalage!$A$1:$ZZ$501,$A376,L$3)))</f>
        <v/>
      </c>
      <c r="M376" t="str">
        <f>IF($B376="","",IF(M$3=0,"n.b.",INDEX(SRC_Woningetalage!$A$1:$ZZ$501,$A376,M$3)))</f>
        <v/>
      </c>
      <c r="N376" t="str">
        <f>IF($B376="","",IF(N$3=0,"n.b.",INDEX(SRC_Woningetalage!$A$1:$ZZ$501,$A376,N$3)))</f>
        <v/>
      </c>
      <c r="O376" t="str">
        <f>IF($B376="","",IF(O$3=0,"n.b.",INDEX(SRC_Woningetalage!$A$1:$ZZ$501,$A376,O$3)))</f>
        <v/>
      </c>
      <c r="P376" t="str">
        <f>IF($B376="","",IF(P$3=0,"n.b.",INDEX(SRC_Woningetalage!$A$1:$ZZ$501,$A376,P$3)))</f>
        <v/>
      </c>
      <c r="Q376" s="124" t="str">
        <f>IF($B376="","",IF(Q$3=0,"n.b.",INDEX(SRC_Woningetalage!$A$1:$ZZ$501,$A376,Q$3)))</f>
        <v/>
      </c>
      <c r="R376" s="124" t="str">
        <f>IF($B376="","",IF(R$3=0,"n.b.",INDEX(SRC_Woningetalage!$A$1:$ZZ$501,$A376,R$3)))</f>
        <v/>
      </c>
      <c r="S376" s="124" t="str">
        <f>IF($B376="","",IF(S$3=0,"n.b.",INDEX(SRC_Woningetalage!$A$1:$ZZ$501,$A376,S$3)))</f>
        <v/>
      </c>
      <c r="T376" s="124" t="str">
        <f>IF($B376="","",IF(T$3=0,"n.b.",INDEX(SRC_Woningetalage!$A$1:$ZZ$501,$A376,T$3)))</f>
        <v/>
      </c>
      <c r="U376" s="124" t="str">
        <f>IF($B376="","",IF(U$3=0,"n.b.",INDEX(SRC_Woningetalage!$A$1:$ZZ$501,$A376,U$3)))</f>
        <v/>
      </c>
      <c r="V376" s="124" t="str">
        <f>IF($B376="","",IF(V$3=0,"n.b.",INDEX(SRC_Woningetalage!$A$1:$ZZ$501,$A376,V$3)))</f>
        <v/>
      </c>
      <c r="W376" s="124" t="str">
        <f>IF($B376="","",IF(W$3=0,"n.b.",INDEX(SRC_Woningetalage!$A$1:$ZZ$501,$A376,W$3)))</f>
        <v/>
      </c>
      <c r="X376" s="124" t="str">
        <f>IF($B376="","",IF(X$3=0,"n.b.",INDEX(SRC_Woningetalage!$A$1:$ZZ$501,$A376,X$3)))</f>
        <v/>
      </c>
      <c r="Y376" s="124" t="str">
        <f>IF($B376="","",IF(Y$3=0,"n.b.",INDEX(SRC_Woningetalage!$A$1:$ZZ$501,$A376,Y$3)))</f>
        <v/>
      </c>
      <c r="Z376" s="124" t="str">
        <f>IF($B376="","",IF(Z$3=0,"n.b.",INDEX(SRC_Woningetalage!$A$1:$ZZ$501,$A376,Z$3)))</f>
        <v/>
      </c>
      <c r="AA376" s="124" t="str">
        <f>IF($B376="","",IF(AA$3=0,"n.b.",INDEX(SRC_Woningetalage!$A$1:$ZZ$501,$A376,AA$3)))</f>
        <v/>
      </c>
      <c r="AB376" s="124" t="str">
        <f>IF($B376="","",IF(AB$3=0,"n.b.",INDEX(SRC_Woningetalage!$A$1:$ZZ$501,$A376,AB$3)))</f>
        <v/>
      </c>
      <c r="AC376" s="124" t="str">
        <f>IF($B376="","",IF(AC$3=0,"n.b.",INDEX(SRC_Woningetalage!$A$1:$ZZ$501,$A376,AC$3)))</f>
        <v/>
      </c>
      <c r="AD376" s="124" t="str">
        <f>IF($B376="","",IF(AD$3=0,"n.b.",INDEX(SRC_Woningetalage!$A$1:$ZZ$501,$A376,AD$3)))</f>
        <v/>
      </c>
      <c r="AE376" s="124" t="str">
        <f>IF($B376="","",IF(AE$3=0,"n.b.",INDEX(SRC_Woningetalage!$A$1:$ZZ$501,$A376,AE$3)))</f>
        <v/>
      </c>
      <c r="AF376" s="124" t="str">
        <f>IF($B376="","",IF(AF$3=0,"n.b.",INDEX(SRC_Woningetalage!$A$1:$ZZ$501,$A376,AF$3)))</f>
        <v/>
      </c>
      <c r="AG376" s="124" t="str">
        <f>IF($B376="","",IF(AG$3=0,"n.b.",INDEX(SRC_Woningetalage!$A$1:$ZZ$501,$A376,AG$3)))</f>
        <v/>
      </c>
      <c r="AH376" s="124" t="str">
        <f>IF($B376="","",IF(AH$3=0,"n.b.",INDEX(SRC_Woningetalage!$A$1:$ZZ$501,$A376,AH$3)))</f>
        <v/>
      </c>
      <c r="AI376" s="124" t="str">
        <f>IF($B376="","",IF(AI$3=0,"n.b.",INDEX(SRC_Woningetalage!$A$1:$ZZ$501,$A376,AI$3)))</f>
        <v/>
      </c>
      <c r="AJ376" s="124" t="str">
        <f>IF($B376="","",IF(AJ$3=0,"n.b.",INDEX(SRC_Woningetalage!$A$1:$ZZ$501,$A376,AJ$3)))</f>
        <v/>
      </c>
      <c r="AK376" s="124" t="str">
        <f>IF($B376="","",IF(AK$3=0,"n.b.",INDEX(SRC_Woningetalage!$A$1:$ZZ$501,$A376,AK$3)))</f>
        <v/>
      </c>
      <c r="AL376" s="124" t="str">
        <f>IF($B376="","",IF(AL$3=0,"n.b.",INDEX(SRC_Woningetalage!$A$1:$ZZ$501,$A376,AL$3)))</f>
        <v/>
      </c>
      <c r="AM376" s="124" t="str">
        <f>IF($B376="","",IF(AM$3=0,"n.b.",INDEX(SRC_Woningetalage!$A$1:$ZZ$501,$A376,AM$3)))</f>
        <v/>
      </c>
      <c r="AN376" s="124" t="str">
        <f>IF($B376="","",IF(AN$3=0,"n.b.",INDEX(SRC_Woningetalage!$A$1:$ZZ$501,$A376,AN$3)))</f>
        <v/>
      </c>
      <c r="AO376" s="124" t="str">
        <f>IF($B376="","",IF(AO$3=0,"n.b.",INDEX(SRC_Woningetalage!$A$1:$ZZ$501,$A376,AO$3)))</f>
        <v/>
      </c>
      <c r="AP376" s="124" t="str">
        <f>IF($B376="","",IF(AP$3=0,"n.b.",INDEX(SRC_Woningetalage!$A$1:$ZZ$501,$A376,AP$3)))</f>
        <v/>
      </c>
      <c r="AQ376" s="124" t="str">
        <f>IF($B376="","",IF(AQ$3=0,"n.b.",INDEX(SRC_Woningetalage!$A$1:$ZZ$501,$A376,AQ$3)))</f>
        <v/>
      </c>
      <c r="AR376" s="124" t="str">
        <f>IF($B376="","",IF(AR$3=0,"n.b.",INDEX(SRC_Woningetalage!$A$1:$ZZ$501,$A376,AR$3)))</f>
        <v/>
      </c>
      <c r="AS376" s="124" t="str">
        <f>IF($B376="","",IF(AS$3=0,"n.b.",INDEX(SRC_Woningetalage!$A$1:$ZZ$501,$A376,AS$3)))</f>
        <v/>
      </c>
      <c r="AT376" s="124" t="str">
        <f>IF($B376="","",IF(AT$3=0,"n.b.",INDEX(SRC_Woningetalage!$A$1:$ZZ$501,$A376,AT$3)))</f>
        <v/>
      </c>
      <c r="AU376" s="124" t="str">
        <f>IF($B376="","",IF(AU$3=0,"n.b.",INDEX(SRC_Woningetalage!$A$1:$ZZ$501,$A376,AU$3)))</f>
        <v/>
      </c>
      <c r="AV376" s="124" t="str">
        <f>IF($B376="","",IF(AV$3=0,"n.b.",INDEX(SRC_Woningetalage!$A$1:$ZZ$501,$A376,AV$3)))</f>
        <v/>
      </c>
      <c r="AW376" s="124" t="str">
        <f>IF($B376="","",IF(AW$3=0,"n.b.",INDEX(SRC_Woningetalage!$A$1:$ZZ$501,$A376,AW$3)))</f>
        <v/>
      </c>
      <c r="AX376" s="124" t="str">
        <f>IF($B376="","",IF(AX$3=0,"n.b.",INDEX(SRC_Woningetalage!$A$1:$ZZ$501,$A376,AX$3)))</f>
        <v/>
      </c>
      <c r="AY376" s="124" t="str">
        <f>IF($B376="","",IF(AY$3=0,"n.b.",INDEX(SRC_Woningetalage!$A$1:$ZZ$501,$A376,AY$3)))</f>
        <v/>
      </c>
      <c r="AZ376" s="124" t="str">
        <f>IF($B376="","",IF(AZ$3=0,"n.b.",INDEX(SRC_Woningetalage!$A$1:$ZZ$501,$A376,AZ$3)))</f>
        <v/>
      </c>
      <c r="BA376" s="124" t="str">
        <f>IF($B376="","",IF(BA$3=0,"n.b.",INDEX(SRC_Woningetalage!$A$1:$ZZ$501,$A376,BA$3)))</f>
        <v/>
      </c>
      <c r="BB376" s="124" t="str">
        <f>IF($B376="","",IF(BB$3=0,"n.b.",INDEX(SRC_Woningetalage!$A$1:$ZZ$501,$A376,BB$3)))</f>
        <v/>
      </c>
      <c r="BC376" s="124" t="str">
        <f>IF($B376="","",IFERROR(_xlfn.NUMBERVALUE(E376&amp;"",",","."),"n.b."))</f>
        <v/>
      </c>
      <c r="BD376" s="124" t="str">
        <f>IF($B376="","",IFERROR(_xlfn.NUMBERVALUE(M376&amp;"",",","."),"n.b."))</f>
        <v/>
      </c>
      <c r="BE376" s="124" t="str">
        <f>IF($B376="","",IFERROR(AB376+AC376+AD376,"n.b."))</f>
        <v/>
      </c>
      <c r="BF376" s="124" t="str">
        <f>IF($B376="","",IFERROR(AE376+AF376+AG376,"n.b."))</f>
        <v/>
      </c>
      <c r="BG376" s="124" t="str">
        <f>IF($B376="","",IFERROR(AH376+AI376+AJ376,"n.b."))</f>
        <v/>
      </c>
      <c r="BH376" s="124" t="str">
        <f>IF($B376="","",IFERROR(AK376+AL376+AM376,"n.b."))</f>
        <v/>
      </c>
      <c r="BI376" s="124" t="str">
        <f>IF($B376="","",IFERROR(SUMIF($AB$5:$AM$5,"&lt;="&amp;P_PeilMaand,AB376:AM376),"n.b."))</f>
        <v/>
      </c>
      <c r="BJ376" s="124" t="str">
        <f>IF($B376="","",IFERROR(SUM(AB376:AM376)-BI376,"n.b."))</f>
        <v/>
      </c>
      <c r="BK376" s="124" t="str">
        <f>IF($B376="","",IFERROR(IF(ABS(Q376-(T376+SUM(AB376:AM376)+AS376+AU376))&gt;P_Tol,1,0),1))</f>
        <v/>
      </c>
      <c r="BL376" s="124" t="str">
        <f>IF($B376="","",IFERROR(IF(ABS(AA376-(Q376-Z376))&gt;P_Tol,1,0),1))</f>
        <v/>
      </c>
      <c r="BM376" s="124" t="str">
        <f>IF($B376="","",IFERROR(IF(ABS(Z376-(T376+W376))&gt;P_Tol,1,0),1))</f>
        <v/>
      </c>
      <c r="BN376" s="124" t="str">
        <f>IF($B376="","",IFERROR(IF(ABS(W376-BI376)&gt;P_Tol,1,0),1))</f>
        <v/>
      </c>
      <c r="BO376" s="124" t="str">
        <f>IF($B376="","",IFERROR(IF(OR(ABS(R376+S376-T376)&gt;P_Tol,ABS(U376+V376-W376)&gt;P_Tol,ABS(X376+Y376-Z376)&gt;P_Tol),1,0),1))</f>
        <v/>
      </c>
      <c r="BP376" s="124" t="str">
        <f>IF($B376="","",IFERROR(IF(OR(ABS(AR376-SUM(AB376:AM376))&gt;P_Tol,ABS(AS376-(AN376+AO376+AP376+AQ376))&gt;P_Tol),1,0),1))</f>
        <v/>
      </c>
      <c r="BQ376" s="124" t="str">
        <f>IF($B376="","",IFERROR(IF(ABS(AT376)+ABS(AV376)+ABS(AW376)+ABS(AX376)+ABS(AY376)+ABS(AZ376)+ABS(BA376)+ABS(BB376)&gt;0,1,0),1))</f>
        <v/>
      </c>
      <c r="BR376" s="124" t="str">
        <f>IF($B376="","",COUNTIF(STG_ZPMW03!$B$6:$B$505,B376))</f>
        <v/>
      </c>
      <c r="BS376" s="124" t="str">
        <f>IF($B376="","",COUNTIF($B$6:$B$505,B376))</f>
        <v/>
      </c>
      <c r="BT376" s="124" t="str">
        <f>IF($B376="","",IF(BR376=0,0,IF(INDEX(STG_ZPMW03!$I$6:$I$505,MATCH(B376,STG_ZPMW03!$B$6:$B$505,0))=J376&amp;"",0,1)))</f>
        <v/>
      </c>
      <c r="BU376" s="124" t="str">
        <f>IF($B376="","",IFERROR(IF(ABS(INDEX(Mapping!$D$5:$D$104,MATCH(B376,Mapping!$A$5:$A$104,0))-Q376)&gt;P_Tol,1,0),0))</f>
        <v/>
      </c>
      <c r="BV376" s="124" t="str">
        <f>IF($B376="","",IFERROR(IF(AND(INDEX(Mapping!$G$5:$G$104,MATCH(B376,Mapping!$A$5:$A$104,0))="Nee",ABS(Q376)+ABS(Z376)+ABS(AR376)&gt;0),1,0),0))</f>
        <v/>
      </c>
      <c r="BW376" s="124" t="str">
        <f>IF($B376="","",IF(COUNTIF(Mapping!$A$5:$A$104,B376)&gt;0,1,0))</f>
        <v/>
      </c>
      <c r="BX376" s="124" t="str">
        <f>IF($B376="","",IF(BR376=0,COUNTIF($BR$6:BR376,0),""))</f>
        <v/>
      </c>
    </row>
    <row r="377">
      <c r="A377" s="15" t="n">
        <v>373</v>
      </c>
      <c r="B377" t="str">
        <f>IF(B$3=0,"",IF(INDEX(SRC_Woningetalage!$A$1:$ZZ$501,$A377,B$3)&amp;""="","",INDEX(SRC_Woningetalage!$A$1:$ZZ$501,$A377,B$3)&amp;""))</f>
        <v/>
      </c>
      <c r="C377" t="str">
        <f>IF($B377="","",IF(C$3=0,"n.b.",INDEX(SRC_Woningetalage!$A$1:$ZZ$501,$A377,C$3)))</f>
        <v/>
      </c>
      <c r="D377" t="str">
        <f>IF($B377="","",IF(D$3=0,"n.b.",INDEX(SRC_Woningetalage!$A$1:$ZZ$501,$A377,D$3)))</f>
        <v/>
      </c>
      <c r="E377" t="str">
        <f>IF($B377="","",IF(E$3=0,"n.b.",INDEX(SRC_Woningetalage!$A$1:$ZZ$501,$A377,E$3)))</f>
        <v/>
      </c>
      <c r="F377" t="str">
        <f>IF($B377="","",IF(F$3=0,"n.b.",INDEX(SRC_Woningetalage!$A$1:$ZZ$501,$A377,F$3)))</f>
        <v/>
      </c>
      <c r="G377" t="str">
        <f>IF($B377="","",IF(G$3=0,"n.b.",INDEX(SRC_Woningetalage!$A$1:$ZZ$501,$A377,G$3)))</f>
        <v/>
      </c>
      <c r="H377" t="str">
        <f>IF($B377="","",IF(H$3=0,"n.b.",INDEX(SRC_Woningetalage!$A$1:$ZZ$501,$A377,H$3)))</f>
        <v/>
      </c>
      <c r="I377" t="str">
        <f>IF($B377="","",IF(I$3=0,"n.b.",INDEX(SRC_Woningetalage!$A$1:$ZZ$501,$A377,I$3)))</f>
        <v/>
      </c>
      <c r="J377" t="str">
        <f>IF($B377="","",IF(J$3=0,"n.b.",INDEX(SRC_Woningetalage!$A$1:$ZZ$501,$A377,J$3)))</f>
        <v/>
      </c>
      <c r="K377" t="str">
        <f>IF($B377="","",IF(K$3=0,"n.b.",INDEX(SRC_Woningetalage!$A$1:$ZZ$501,$A377,K$3)))</f>
        <v/>
      </c>
      <c r="L377" t="str">
        <f>IF($B377="","",IF(L$3=0,"n.b.",INDEX(SRC_Woningetalage!$A$1:$ZZ$501,$A377,L$3)))</f>
        <v/>
      </c>
      <c r="M377" t="str">
        <f>IF($B377="","",IF(M$3=0,"n.b.",INDEX(SRC_Woningetalage!$A$1:$ZZ$501,$A377,M$3)))</f>
        <v/>
      </c>
      <c r="N377" t="str">
        <f>IF($B377="","",IF(N$3=0,"n.b.",INDEX(SRC_Woningetalage!$A$1:$ZZ$501,$A377,N$3)))</f>
        <v/>
      </c>
      <c r="O377" t="str">
        <f>IF($B377="","",IF(O$3=0,"n.b.",INDEX(SRC_Woningetalage!$A$1:$ZZ$501,$A377,O$3)))</f>
        <v/>
      </c>
      <c r="P377" t="str">
        <f>IF($B377="","",IF(P$3=0,"n.b.",INDEX(SRC_Woningetalage!$A$1:$ZZ$501,$A377,P$3)))</f>
        <v/>
      </c>
      <c r="Q377" s="124" t="str">
        <f>IF($B377="","",IF(Q$3=0,"n.b.",INDEX(SRC_Woningetalage!$A$1:$ZZ$501,$A377,Q$3)))</f>
        <v/>
      </c>
      <c r="R377" s="124" t="str">
        <f>IF($B377="","",IF(R$3=0,"n.b.",INDEX(SRC_Woningetalage!$A$1:$ZZ$501,$A377,R$3)))</f>
        <v/>
      </c>
      <c r="S377" s="124" t="str">
        <f>IF($B377="","",IF(S$3=0,"n.b.",INDEX(SRC_Woningetalage!$A$1:$ZZ$501,$A377,S$3)))</f>
        <v/>
      </c>
      <c r="T377" s="124" t="str">
        <f>IF($B377="","",IF(T$3=0,"n.b.",INDEX(SRC_Woningetalage!$A$1:$ZZ$501,$A377,T$3)))</f>
        <v/>
      </c>
      <c r="U377" s="124" t="str">
        <f>IF($B377="","",IF(U$3=0,"n.b.",INDEX(SRC_Woningetalage!$A$1:$ZZ$501,$A377,U$3)))</f>
        <v/>
      </c>
      <c r="V377" s="124" t="str">
        <f>IF($B377="","",IF(V$3=0,"n.b.",INDEX(SRC_Woningetalage!$A$1:$ZZ$501,$A377,V$3)))</f>
        <v/>
      </c>
      <c r="W377" s="124" t="str">
        <f>IF($B377="","",IF(W$3=0,"n.b.",INDEX(SRC_Woningetalage!$A$1:$ZZ$501,$A377,W$3)))</f>
        <v/>
      </c>
      <c r="X377" s="124" t="str">
        <f>IF($B377="","",IF(X$3=0,"n.b.",INDEX(SRC_Woningetalage!$A$1:$ZZ$501,$A377,X$3)))</f>
        <v/>
      </c>
      <c r="Y377" s="124" t="str">
        <f>IF($B377="","",IF(Y$3=0,"n.b.",INDEX(SRC_Woningetalage!$A$1:$ZZ$501,$A377,Y$3)))</f>
        <v/>
      </c>
      <c r="Z377" s="124" t="str">
        <f>IF($B377="","",IF(Z$3=0,"n.b.",INDEX(SRC_Woningetalage!$A$1:$ZZ$501,$A377,Z$3)))</f>
        <v/>
      </c>
      <c r="AA377" s="124" t="str">
        <f>IF($B377="","",IF(AA$3=0,"n.b.",INDEX(SRC_Woningetalage!$A$1:$ZZ$501,$A377,AA$3)))</f>
        <v/>
      </c>
      <c r="AB377" s="124" t="str">
        <f>IF($B377="","",IF(AB$3=0,"n.b.",INDEX(SRC_Woningetalage!$A$1:$ZZ$501,$A377,AB$3)))</f>
        <v/>
      </c>
      <c r="AC377" s="124" t="str">
        <f>IF($B377="","",IF(AC$3=0,"n.b.",INDEX(SRC_Woningetalage!$A$1:$ZZ$501,$A377,AC$3)))</f>
        <v/>
      </c>
      <c r="AD377" s="124" t="str">
        <f>IF($B377="","",IF(AD$3=0,"n.b.",INDEX(SRC_Woningetalage!$A$1:$ZZ$501,$A377,AD$3)))</f>
        <v/>
      </c>
      <c r="AE377" s="124" t="str">
        <f>IF($B377="","",IF(AE$3=0,"n.b.",INDEX(SRC_Woningetalage!$A$1:$ZZ$501,$A377,AE$3)))</f>
        <v/>
      </c>
      <c r="AF377" s="124" t="str">
        <f>IF($B377="","",IF(AF$3=0,"n.b.",INDEX(SRC_Woningetalage!$A$1:$ZZ$501,$A377,AF$3)))</f>
        <v/>
      </c>
      <c r="AG377" s="124" t="str">
        <f>IF($B377="","",IF(AG$3=0,"n.b.",INDEX(SRC_Woningetalage!$A$1:$ZZ$501,$A377,AG$3)))</f>
        <v/>
      </c>
      <c r="AH377" s="124" t="str">
        <f>IF($B377="","",IF(AH$3=0,"n.b.",INDEX(SRC_Woningetalage!$A$1:$ZZ$501,$A377,AH$3)))</f>
        <v/>
      </c>
      <c r="AI377" s="124" t="str">
        <f>IF($B377="","",IF(AI$3=0,"n.b.",INDEX(SRC_Woningetalage!$A$1:$ZZ$501,$A377,AI$3)))</f>
        <v/>
      </c>
      <c r="AJ377" s="124" t="str">
        <f>IF($B377="","",IF(AJ$3=0,"n.b.",INDEX(SRC_Woningetalage!$A$1:$ZZ$501,$A377,AJ$3)))</f>
        <v/>
      </c>
      <c r="AK377" s="124" t="str">
        <f>IF($B377="","",IF(AK$3=0,"n.b.",INDEX(SRC_Woningetalage!$A$1:$ZZ$501,$A377,AK$3)))</f>
        <v/>
      </c>
      <c r="AL377" s="124" t="str">
        <f>IF($B377="","",IF(AL$3=0,"n.b.",INDEX(SRC_Woningetalage!$A$1:$ZZ$501,$A377,AL$3)))</f>
        <v/>
      </c>
      <c r="AM377" s="124" t="str">
        <f>IF($B377="","",IF(AM$3=0,"n.b.",INDEX(SRC_Woningetalage!$A$1:$ZZ$501,$A377,AM$3)))</f>
        <v/>
      </c>
      <c r="AN377" s="124" t="str">
        <f>IF($B377="","",IF(AN$3=0,"n.b.",INDEX(SRC_Woningetalage!$A$1:$ZZ$501,$A377,AN$3)))</f>
        <v/>
      </c>
      <c r="AO377" s="124" t="str">
        <f>IF($B377="","",IF(AO$3=0,"n.b.",INDEX(SRC_Woningetalage!$A$1:$ZZ$501,$A377,AO$3)))</f>
        <v/>
      </c>
      <c r="AP377" s="124" t="str">
        <f>IF($B377="","",IF(AP$3=0,"n.b.",INDEX(SRC_Woningetalage!$A$1:$ZZ$501,$A377,AP$3)))</f>
        <v/>
      </c>
      <c r="AQ377" s="124" t="str">
        <f>IF($B377="","",IF(AQ$3=0,"n.b.",INDEX(SRC_Woningetalage!$A$1:$ZZ$501,$A377,AQ$3)))</f>
        <v/>
      </c>
      <c r="AR377" s="124" t="str">
        <f>IF($B377="","",IF(AR$3=0,"n.b.",INDEX(SRC_Woningetalage!$A$1:$ZZ$501,$A377,AR$3)))</f>
        <v/>
      </c>
      <c r="AS377" s="124" t="str">
        <f>IF($B377="","",IF(AS$3=0,"n.b.",INDEX(SRC_Woningetalage!$A$1:$ZZ$501,$A377,AS$3)))</f>
        <v/>
      </c>
      <c r="AT377" s="124" t="str">
        <f>IF($B377="","",IF(AT$3=0,"n.b.",INDEX(SRC_Woningetalage!$A$1:$ZZ$501,$A377,AT$3)))</f>
        <v/>
      </c>
      <c r="AU377" s="124" t="str">
        <f>IF($B377="","",IF(AU$3=0,"n.b.",INDEX(SRC_Woningetalage!$A$1:$ZZ$501,$A377,AU$3)))</f>
        <v/>
      </c>
      <c r="AV377" s="124" t="str">
        <f>IF($B377="","",IF(AV$3=0,"n.b.",INDEX(SRC_Woningetalage!$A$1:$ZZ$501,$A377,AV$3)))</f>
        <v/>
      </c>
      <c r="AW377" s="124" t="str">
        <f>IF($B377="","",IF(AW$3=0,"n.b.",INDEX(SRC_Woningetalage!$A$1:$ZZ$501,$A377,AW$3)))</f>
        <v/>
      </c>
      <c r="AX377" s="124" t="str">
        <f>IF($B377="","",IF(AX$3=0,"n.b.",INDEX(SRC_Woningetalage!$A$1:$ZZ$501,$A377,AX$3)))</f>
        <v/>
      </c>
      <c r="AY377" s="124" t="str">
        <f>IF($B377="","",IF(AY$3=0,"n.b.",INDEX(SRC_Woningetalage!$A$1:$ZZ$501,$A377,AY$3)))</f>
        <v/>
      </c>
      <c r="AZ377" s="124" t="str">
        <f>IF($B377="","",IF(AZ$3=0,"n.b.",INDEX(SRC_Woningetalage!$A$1:$ZZ$501,$A377,AZ$3)))</f>
        <v/>
      </c>
      <c r="BA377" s="124" t="str">
        <f>IF($B377="","",IF(BA$3=0,"n.b.",INDEX(SRC_Woningetalage!$A$1:$ZZ$501,$A377,BA$3)))</f>
        <v/>
      </c>
      <c r="BB377" s="124" t="str">
        <f>IF($B377="","",IF(BB$3=0,"n.b.",INDEX(SRC_Woningetalage!$A$1:$ZZ$501,$A377,BB$3)))</f>
        <v/>
      </c>
      <c r="BC377" s="124" t="str">
        <f>IF($B377="","",IFERROR(_xlfn.NUMBERVALUE(E377&amp;"",",","."),"n.b."))</f>
        <v/>
      </c>
      <c r="BD377" s="124" t="str">
        <f>IF($B377="","",IFERROR(_xlfn.NUMBERVALUE(M377&amp;"",",","."),"n.b."))</f>
        <v/>
      </c>
      <c r="BE377" s="124" t="str">
        <f>IF($B377="","",IFERROR(AB377+AC377+AD377,"n.b."))</f>
        <v/>
      </c>
      <c r="BF377" s="124" t="str">
        <f>IF($B377="","",IFERROR(AE377+AF377+AG377,"n.b."))</f>
        <v/>
      </c>
      <c r="BG377" s="124" t="str">
        <f>IF($B377="","",IFERROR(AH377+AI377+AJ377,"n.b."))</f>
        <v/>
      </c>
      <c r="BH377" s="124" t="str">
        <f>IF($B377="","",IFERROR(AK377+AL377+AM377,"n.b."))</f>
        <v/>
      </c>
      <c r="BI377" s="124" t="str">
        <f>IF($B377="","",IFERROR(SUMIF($AB$5:$AM$5,"&lt;="&amp;P_PeilMaand,AB377:AM377),"n.b."))</f>
        <v/>
      </c>
      <c r="BJ377" s="124" t="str">
        <f>IF($B377="","",IFERROR(SUM(AB377:AM377)-BI377,"n.b."))</f>
        <v/>
      </c>
      <c r="BK377" s="124" t="str">
        <f>IF($B377="","",IFERROR(IF(ABS(Q377-(T377+SUM(AB377:AM377)+AS377+AU377))&gt;P_Tol,1,0),1))</f>
        <v/>
      </c>
      <c r="BL377" s="124" t="str">
        <f>IF($B377="","",IFERROR(IF(ABS(AA377-(Q377-Z377))&gt;P_Tol,1,0),1))</f>
        <v/>
      </c>
      <c r="BM377" s="124" t="str">
        <f>IF($B377="","",IFERROR(IF(ABS(Z377-(T377+W377))&gt;P_Tol,1,0),1))</f>
        <v/>
      </c>
      <c r="BN377" s="124" t="str">
        <f>IF($B377="","",IFERROR(IF(ABS(W377-BI377)&gt;P_Tol,1,0),1))</f>
        <v/>
      </c>
      <c r="BO377" s="124" t="str">
        <f>IF($B377="","",IFERROR(IF(OR(ABS(R377+S377-T377)&gt;P_Tol,ABS(U377+V377-W377)&gt;P_Tol,ABS(X377+Y377-Z377)&gt;P_Tol),1,0),1))</f>
        <v/>
      </c>
      <c r="BP377" s="124" t="str">
        <f>IF($B377="","",IFERROR(IF(OR(ABS(AR377-SUM(AB377:AM377))&gt;P_Tol,ABS(AS377-(AN377+AO377+AP377+AQ377))&gt;P_Tol),1,0),1))</f>
        <v/>
      </c>
      <c r="BQ377" s="124" t="str">
        <f>IF($B377="","",IFERROR(IF(ABS(AT377)+ABS(AV377)+ABS(AW377)+ABS(AX377)+ABS(AY377)+ABS(AZ377)+ABS(BA377)+ABS(BB377)&gt;0,1,0),1))</f>
        <v/>
      </c>
      <c r="BR377" s="124" t="str">
        <f>IF($B377="","",COUNTIF(STG_ZPMW03!$B$6:$B$505,B377))</f>
        <v/>
      </c>
      <c r="BS377" s="124" t="str">
        <f>IF($B377="","",COUNTIF($B$6:$B$505,B377))</f>
        <v/>
      </c>
      <c r="BT377" s="124" t="str">
        <f>IF($B377="","",IF(BR377=0,0,IF(INDEX(STG_ZPMW03!$I$6:$I$505,MATCH(B377,STG_ZPMW03!$B$6:$B$505,0))=J377&amp;"",0,1)))</f>
        <v/>
      </c>
      <c r="BU377" s="124" t="str">
        <f>IF($B377="","",IFERROR(IF(ABS(INDEX(Mapping!$D$5:$D$104,MATCH(B377,Mapping!$A$5:$A$104,0))-Q377)&gt;P_Tol,1,0),0))</f>
        <v/>
      </c>
      <c r="BV377" s="124" t="str">
        <f>IF($B377="","",IFERROR(IF(AND(INDEX(Mapping!$G$5:$G$104,MATCH(B377,Mapping!$A$5:$A$104,0))="Nee",ABS(Q377)+ABS(Z377)+ABS(AR377)&gt;0),1,0),0))</f>
        <v/>
      </c>
      <c r="BW377" s="124" t="str">
        <f>IF($B377="","",IF(COUNTIF(Mapping!$A$5:$A$104,B377)&gt;0,1,0))</f>
        <v/>
      </c>
      <c r="BX377" s="124" t="str">
        <f>IF($B377="","",IF(BR377=0,COUNTIF($BR$6:BR377,0),""))</f>
        <v/>
      </c>
    </row>
    <row r="378">
      <c r="A378" s="15" t="n">
        <v>374</v>
      </c>
      <c r="B378" t="str">
        <f>IF(B$3=0,"",IF(INDEX(SRC_Woningetalage!$A$1:$ZZ$501,$A378,B$3)&amp;""="","",INDEX(SRC_Woningetalage!$A$1:$ZZ$501,$A378,B$3)&amp;""))</f>
        <v/>
      </c>
      <c r="C378" t="str">
        <f>IF($B378="","",IF(C$3=0,"n.b.",INDEX(SRC_Woningetalage!$A$1:$ZZ$501,$A378,C$3)))</f>
        <v/>
      </c>
      <c r="D378" t="str">
        <f>IF($B378="","",IF(D$3=0,"n.b.",INDEX(SRC_Woningetalage!$A$1:$ZZ$501,$A378,D$3)))</f>
        <v/>
      </c>
      <c r="E378" t="str">
        <f>IF($B378="","",IF(E$3=0,"n.b.",INDEX(SRC_Woningetalage!$A$1:$ZZ$501,$A378,E$3)))</f>
        <v/>
      </c>
      <c r="F378" t="str">
        <f>IF($B378="","",IF(F$3=0,"n.b.",INDEX(SRC_Woningetalage!$A$1:$ZZ$501,$A378,F$3)))</f>
        <v/>
      </c>
      <c r="G378" t="str">
        <f>IF($B378="","",IF(G$3=0,"n.b.",INDEX(SRC_Woningetalage!$A$1:$ZZ$501,$A378,G$3)))</f>
        <v/>
      </c>
      <c r="H378" t="str">
        <f>IF($B378="","",IF(H$3=0,"n.b.",INDEX(SRC_Woningetalage!$A$1:$ZZ$501,$A378,H$3)))</f>
        <v/>
      </c>
      <c r="I378" t="str">
        <f>IF($B378="","",IF(I$3=0,"n.b.",INDEX(SRC_Woningetalage!$A$1:$ZZ$501,$A378,I$3)))</f>
        <v/>
      </c>
      <c r="J378" t="str">
        <f>IF($B378="","",IF(J$3=0,"n.b.",INDEX(SRC_Woningetalage!$A$1:$ZZ$501,$A378,J$3)))</f>
        <v/>
      </c>
      <c r="K378" t="str">
        <f>IF($B378="","",IF(K$3=0,"n.b.",INDEX(SRC_Woningetalage!$A$1:$ZZ$501,$A378,K$3)))</f>
        <v/>
      </c>
      <c r="L378" t="str">
        <f>IF($B378="","",IF(L$3=0,"n.b.",INDEX(SRC_Woningetalage!$A$1:$ZZ$501,$A378,L$3)))</f>
        <v/>
      </c>
      <c r="M378" t="str">
        <f>IF($B378="","",IF(M$3=0,"n.b.",INDEX(SRC_Woningetalage!$A$1:$ZZ$501,$A378,M$3)))</f>
        <v/>
      </c>
      <c r="N378" t="str">
        <f>IF($B378="","",IF(N$3=0,"n.b.",INDEX(SRC_Woningetalage!$A$1:$ZZ$501,$A378,N$3)))</f>
        <v/>
      </c>
      <c r="O378" t="str">
        <f>IF($B378="","",IF(O$3=0,"n.b.",INDEX(SRC_Woningetalage!$A$1:$ZZ$501,$A378,O$3)))</f>
        <v/>
      </c>
      <c r="P378" t="str">
        <f>IF($B378="","",IF(P$3=0,"n.b.",INDEX(SRC_Woningetalage!$A$1:$ZZ$501,$A378,P$3)))</f>
        <v/>
      </c>
      <c r="Q378" s="124" t="str">
        <f>IF($B378="","",IF(Q$3=0,"n.b.",INDEX(SRC_Woningetalage!$A$1:$ZZ$501,$A378,Q$3)))</f>
        <v/>
      </c>
      <c r="R378" s="124" t="str">
        <f>IF($B378="","",IF(R$3=0,"n.b.",INDEX(SRC_Woningetalage!$A$1:$ZZ$501,$A378,R$3)))</f>
        <v/>
      </c>
      <c r="S378" s="124" t="str">
        <f>IF($B378="","",IF(S$3=0,"n.b.",INDEX(SRC_Woningetalage!$A$1:$ZZ$501,$A378,S$3)))</f>
        <v/>
      </c>
      <c r="T378" s="124" t="str">
        <f>IF($B378="","",IF(T$3=0,"n.b.",INDEX(SRC_Woningetalage!$A$1:$ZZ$501,$A378,T$3)))</f>
        <v/>
      </c>
      <c r="U378" s="124" t="str">
        <f>IF($B378="","",IF(U$3=0,"n.b.",INDEX(SRC_Woningetalage!$A$1:$ZZ$501,$A378,U$3)))</f>
        <v/>
      </c>
      <c r="V378" s="124" t="str">
        <f>IF($B378="","",IF(V$3=0,"n.b.",INDEX(SRC_Woningetalage!$A$1:$ZZ$501,$A378,V$3)))</f>
        <v/>
      </c>
      <c r="W378" s="124" t="str">
        <f>IF($B378="","",IF(W$3=0,"n.b.",INDEX(SRC_Woningetalage!$A$1:$ZZ$501,$A378,W$3)))</f>
        <v/>
      </c>
      <c r="X378" s="124" t="str">
        <f>IF($B378="","",IF(X$3=0,"n.b.",INDEX(SRC_Woningetalage!$A$1:$ZZ$501,$A378,X$3)))</f>
        <v/>
      </c>
      <c r="Y378" s="124" t="str">
        <f>IF($B378="","",IF(Y$3=0,"n.b.",INDEX(SRC_Woningetalage!$A$1:$ZZ$501,$A378,Y$3)))</f>
        <v/>
      </c>
      <c r="Z378" s="124" t="str">
        <f>IF($B378="","",IF(Z$3=0,"n.b.",INDEX(SRC_Woningetalage!$A$1:$ZZ$501,$A378,Z$3)))</f>
        <v/>
      </c>
      <c r="AA378" s="124" t="str">
        <f>IF($B378="","",IF(AA$3=0,"n.b.",INDEX(SRC_Woningetalage!$A$1:$ZZ$501,$A378,AA$3)))</f>
        <v/>
      </c>
      <c r="AB378" s="124" t="str">
        <f>IF($B378="","",IF(AB$3=0,"n.b.",INDEX(SRC_Woningetalage!$A$1:$ZZ$501,$A378,AB$3)))</f>
        <v/>
      </c>
      <c r="AC378" s="124" t="str">
        <f>IF($B378="","",IF(AC$3=0,"n.b.",INDEX(SRC_Woningetalage!$A$1:$ZZ$501,$A378,AC$3)))</f>
        <v/>
      </c>
      <c r="AD378" s="124" t="str">
        <f>IF($B378="","",IF(AD$3=0,"n.b.",INDEX(SRC_Woningetalage!$A$1:$ZZ$501,$A378,AD$3)))</f>
        <v/>
      </c>
      <c r="AE378" s="124" t="str">
        <f>IF($B378="","",IF(AE$3=0,"n.b.",INDEX(SRC_Woningetalage!$A$1:$ZZ$501,$A378,AE$3)))</f>
        <v/>
      </c>
      <c r="AF378" s="124" t="str">
        <f>IF($B378="","",IF(AF$3=0,"n.b.",INDEX(SRC_Woningetalage!$A$1:$ZZ$501,$A378,AF$3)))</f>
        <v/>
      </c>
      <c r="AG378" s="124" t="str">
        <f>IF($B378="","",IF(AG$3=0,"n.b.",INDEX(SRC_Woningetalage!$A$1:$ZZ$501,$A378,AG$3)))</f>
        <v/>
      </c>
      <c r="AH378" s="124" t="str">
        <f>IF($B378="","",IF(AH$3=0,"n.b.",INDEX(SRC_Woningetalage!$A$1:$ZZ$501,$A378,AH$3)))</f>
        <v/>
      </c>
      <c r="AI378" s="124" t="str">
        <f>IF($B378="","",IF(AI$3=0,"n.b.",INDEX(SRC_Woningetalage!$A$1:$ZZ$501,$A378,AI$3)))</f>
        <v/>
      </c>
      <c r="AJ378" s="124" t="str">
        <f>IF($B378="","",IF(AJ$3=0,"n.b.",INDEX(SRC_Woningetalage!$A$1:$ZZ$501,$A378,AJ$3)))</f>
        <v/>
      </c>
      <c r="AK378" s="124" t="str">
        <f>IF($B378="","",IF(AK$3=0,"n.b.",INDEX(SRC_Woningetalage!$A$1:$ZZ$501,$A378,AK$3)))</f>
        <v/>
      </c>
      <c r="AL378" s="124" t="str">
        <f>IF($B378="","",IF(AL$3=0,"n.b.",INDEX(SRC_Woningetalage!$A$1:$ZZ$501,$A378,AL$3)))</f>
        <v/>
      </c>
      <c r="AM378" s="124" t="str">
        <f>IF($B378="","",IF(AM$3=0,"n.b.",INDEX(SRC_Woningetalage!$A$1:$ZZ$501,$A378,AM$3)))</f>
        <v/>
      </c>
      <c r="AN378" s="124" t="str">
        <f>IF($B378="","",IF(AN$3=0,"n.b.",INDEX(SRC_Woningetalage!$A$1:$ZZ$501,$A378,AN$3)))</f>
        <v/>
      </c>
      <c r="AO378" s="124" t="str">
        <f>IF($B378="","",IF(AO$3=0,"n.b.",INDEX(SRC_Woningetalage!$A$1:$ZZ$501,$A378,AO$3)))</f>
        <v/>
      </c>
      <c r="AP378" s="124" t="str">
        <f>IF($B378="","",IF(AP$3=0,"n.b.",INDEX(SRC_Woningetalage!$A$1:$ZZ$501,$A378,AP$3)))</f>
        <v/>
      </c>
      <c r="AQ378" s="124" t="str">
        <f>IF($B378="","",IF(AQ$3=0,"n.b.",INDEX(SRC_Woningetalage!$A$1:$ZZ$501,$A378,AQ$3)))</f>
        <v/>
      </c>
      <c r="AR378" s="124" t="str">
        <f>IF($B378="","",IF(AR$3=0,"n.b.",INDEX(SRC_Woningetalage!$A$1:$ZZ$501,$A378,AR$3)))</f>
        <v/>
      </c>
      <c r="AS378" s="124" t="str">
        <f>IF($B378="","",IF(AS$3=0,"n.b.",INDEX(SRC_Woningetalage!$A$1:$ZZ$501,$A378,AS$3)))</f>
        <v/>
      </c>
      <c r="AT378" s="124" t="str">
        <f>IF($B378="","",IF(AT$3=0,"n.b.",INDEX(SRC_Woningetalage!$A$1:$ZZ$501,$A378,AT$3)))</f>
        <v/>
      </c>
      <c r="AU378" s="124" t="str">
        <f>IF($B378="","",IF(AU$3=0,"n.b.",INDEX(SRC_Woningetalage!$A$1:$ZZ$501,$A378,AU$3)))</f>
        <v/>
      </c>
      <c r="AV378" s="124" t="str">
        <f>IF($B378="","",IF(AV$3=0,"n.b.",INDEX(SRC_Woningetalage!$A$1:$ZZ$501,$A378,AV$3)))</f>
        <v/>
      </c>
      <c r="AW378" s="124" t="str">
        <f>IF($B378="","",IF(AW$3=0,"n.b.",INDEX(SRC_Woningetalage!$A$1:$ZZ$501,$A378,AW$3)))</f>
        <v/>
      </c>
      <c r="AX378" s="124" t="str">
        <f>IF($B378="","",IF(AX$3=0,"n.b.",INDEX(SRC_Woningetalage!$A$1:$ZZ$501,$A378,AX$3)))</f>
        <v/>
      </c>
      <c r="AY378" s="124" t="str">
        <f>IF($B378="","",IF(AY$3=0,"n.b.",INDEX(SRC_Woningetalage!$A$1:$ZZ$501,$A378,AY$3)))</f>
        <v/>
      </c>
      <c r="AZ378" s="124" t="str">
        <f>IF($B378="","",IF(AZ$3=0,"n.b.",INDEX(SRC_Woningetalage!$A$1:$ZZ$501,$A378,AZ$3)))</f>
        <v/>
      </c>
      <c r="BA378" s="124" t="str">
        <f>IF($B378="","",IF(BA$3=0,"n.b.",INDEX(SRC_Woningetalage!$A$1:$ZZ$501,$A378,BA$3)))</f>
        <v/>
      </c>
      <c r="BB378" s="124" t="str">
        <f>IF($B378="","",IF(BB$3=0,"n.b.",INDEX(SRC_Woningetalage!$A$1:$ZZ$501,$A378,BB$3)))</f>
        <v/>
      </c>
      <c r="BC378" s="124" t="str">
        <f>IF($B378="","",IFERROR(_xlfn.NUMBERVALUE(E378&amp;"",",","."),"n.b."))</f>
        <v/>
      </c>
      <c r="BD378" s="124" t="str">
        <f>IF($B378="","",IFERROR(_xlfn.NUMBERVALUE(M378&amp;"",",","."),"n.b."))</f>
        <v/>
      </c>
      <c r="BE378" s="124" t="str">
        <f>IF($B378="","",IFERROR(AB378+AC378+AD378,"n.b."))</f>
        <v/>
      </c>
      <c r="BF378" s="124" t="str">
        <f>IF($B378="","",IFERROR(AE378+AF378+AG378,"n.b."))</f>
        <v/>
      </c>
      <c r="BG378" s="124" t="str">
        <f>IF($B378="","",IFERROR(AH378+AI378+AJ378,"n.b."))</f>
        <v/>
      </c>
      <c r="BH378" s="124" t="str">
        <f>IF($B378="","",IFERROR(AK378+AL378+AM378,"n.b."))</f>
        <v/>
      </c>
      <c r="BI378" s="124" t="str">
        <f>IF($B378="","",IFERROR(SUMIF($AB$5:$AM$5,"&lt;="&amp;P_PeilMaand,AB378:AM378),"n.b."))</f>
        <v/>
      </c>
      <c r="BJ378" s="124" t="str">
        <f>IF($B378="","",IFERROR(SUM(AB378:AM378)-BI378,"n.b."))</f>
        <v/>
      </c>
      <c r="BK378" s="124" t="str">
        <f>IF($B378="","",IFERROR(IF(ABS(Q378-(T378+SUM(AB378:AM378)+AS378+AU378))&gt;P_Tol,1,0),1))</f>
        <v/>
      </c>
      <c r="BL378" s="124" t="str">
        <f>IF($B378="","",IFERROR(IF(ABS(AA378-(Q378-Z378))&gt;P_Tol,1,0),1))</f>
        <v/>
      </c>
      <c r="BM378" s="124" t="str">
        <f>IF($B378="","",IFERROR(IF(ABS(Z378-(T378+W378))&gt;P_Tol,1,0),1))</f>
        <v/>
      </c>
      <c r="BN378" s="124" t="str">
        <f>IF($B378="","",IFERROR(IF(ABS(W378-BI378)&gt;P_Tol,1,0),1))</f>
        <v/>
      </c>
      <c r="BO378" s="124" t="str">
        <f>IF($B378="","",IFERROR(IF(OR(ABS(R378+S378-T378)&gt;P_Tol,ABS(U378+V378-W378)&gt;P_Tol,ABS(X378+Y378-Z378)&gt;P_Tol),1,0),1))</f>
        <v/>
      </c>
      <c r="BP378" s="124" t="str">
        <f>IF($B378="","",IFERROR(IF(OR(ABS(AR378-SUM(AB378:AM378))&gt;P_Tol,ABS(AS378-(AN378+AO378+AP378+AQ378))&gt;P_Tol),1,0),1))</f>
        <v/>
      </c>
      <c r="BQ378" s="124" t="str">
        <f>IF($B378="","",IFERROR(IF(ABS(AT378)+ABS(AV378)+ABS(AW378)+ABS(AX378)+ABS(AY378)+ABS(AZ378)+ABS(BA378)+ABS(BB378)&gt;0,1,0),1))</f>
        <v/>
      </c>
      <c r="BR378" s="124" t="str">
        <f>IF($B378="","",COUNTIF(STG_ZPMW03!$B$6:$B$505,B378))</f>
        <v/>
      </c>
      <c r="BS378" s="124" t="str">
        <f>IF($B378="","",COUNTIF($B$6:$B$505,B378))</f>
        <v/>
      </c>
      <c r="BT378" s="124" t="str">
        <f>IF($B378="","",IF(BR378=0,0,IF(INDEX(STG_ZPMW03!$I$6:$I$505,MATCH(B378,STG_ZPMW03!$B$6:$B$505,0))=J378&amp;"",0,1)))</f>
        <v/>
      </c>
      <c r="BU378" s="124" t="str">
        <f>IF($B378="","",IFERROR(IF(ABS(INDEX(Mapping!$D$5:$D$104,MATCH(B378,Mapping!$A$5:$A$104,0))-Q378)&gt;P_Tol,1,0),0))</f>
        <v/>
      </c>
      <c r="BV378" s="124" t="str">
        <f>IF($B378="","",IFERROR(IF(AND(INDEX(Mapping!$G$5:$G$104,MATCH(B378,Mapping!$A$5:$A$104,0))="Nee",ABS(Q378)+ABS(Z378)+ABS(AR378)&gt;0),1,0),0))</f>
        <v/>
      </c>
      <c r="BW378" s="124" t="str">
        <f>IF($B378="","",IF(COUNTIF(Mapping!$A$5:$A$104,B378)&gt;0,1,0))</f>
        <v/>
      </c>
      <c r="BX378" s="124" t="str">
        <f>IF($B378="","",IF(BR378=0,COUNTIF($BR$6:BR378,0),""))</f>
        <v/>
      </c>
    </row>
    <row r="379">
      <c r="A379" s="15" t="n">
        <v>375</v>
      </c>
      <c r="B379" t="str">
        <f>IF(B$3=0,"",IF(INDEX(SRC_Woningetalage!$A$1:$ZZ$501,$A379,B$3)&amp;""="","",INDEX(SRC_Woningetalage!$A$1:$ZZ$501,$A379,B$3)&amp;""))</f>
        <v/>
      </c>
      <c r="C379" t="str">
        <f>IF($B379="","",IF(C$3=0,"n.b.",INDEX(SRC_Woningetalage!$A$1:$ZZ$501,$A379,C$3)))</f>
        <v/>
      </c>
      <c r="D379" t="str">
        <f>IF($B379="","",IF(D$3=0,"n.b.",INDEX(SRC_Woningetalage!$A$1:$ZZ$501,$A379,D$3)))</f>
        <v/>
      </c>
      <c r="E379" t="str">
        <f>IF($B379="","",IF(E$3=0,"n.b.",INDEX(SRC_Woningetalage!$A$1:$ZZ$501,$A379,E$3)))</f>
        <v/>
      </c>
      <c r="F379" t="str">
        <f>IF($B379="","",IF(F$3=0,"n.b.",INDEX(SRC_Woningetalage!$A$1:$ZZ$501,$A379,F$3)))</f>
        <v/>
      </c>
      <c r="G379" t="str">
        <f>IF($B379="","",IF(G$3=0,"n.b.",INDEX(SRC_Woningetalage!$A$1:$ZZ$501,$A379,G$3)))</f>
        <v/>
      </c>
      <c r="H379" t="str">
        <f>IF($B379="","",IF(H$3=0,"n.b.",INDEX(SRC_Woningetalage!$A$1:$ZZ$501,$A379,H$3)))</f>
        <v/>
      </c>
      <c r="I379" t="str">
        <f>IF($B379="","",IF(I$3=0,"n.b.",INDEX(SRC_Woningetalage!$A$1:$ZZ$501,$A379,I$3)))</f>
        <v/>
      </c>
      <c r="J379" t="str">
        <f>IF($B379="","",IF(J$3=0,"n.b.",INDEX(SRC_Woningetalage!$A$1:$ZZ$501,$A379,J$3)))</f>
        <v/>
      </c>
      <c r="K379" t="str">
        <f>IF($B379="","",IF(K$3=0,"n.b.",INDEX(SRC_Woningetalage!$A$1:$ZZ$501,$A379,K$3)))</f>
        <v/>
      </c>
      <c r="L379" t="str">
        <f>IF($B379="","",IF(L$3=0,"n.b.",INDEX(SRC_Woningetalage!$A$1:$ZZ$501,$A379,L$3)))</f>
        <v/>
      </c>
      <c r="M379" t="str">
        <f>IF($B379="","",IF(M$3=0,"n.b.",INDEX(SRC_Woningetalage!$A$1:$ZZ$501,$A379,M$3)))</f>
        <v/>
      </c>
      <c r="N379" t="str">
        <f>IF($B379="","",IF(N$3=0,"n.b.",INDEX(SRC_Woningetalage!$A$1:$ZZ$501,$A379,N$3)))</f>
        <v/>
      </c>
      <c r="O379" t="str">
        <f>IF($B379="","",IF(O$3=0,"n.b.",INDEX(SRC_Woningetalage!$A$1:$ZZ$501,$A379,O$3)))</f>
        <v/>
      </c>
      <c r="P379" t="str">
        <f>IF($B379="","",IF(P$3=0,"n.b.",INDEX(SRC_Woningetalage!$A$1:$ZZ$501,$A379,P$3)))</f>
        <v/>
      </c>
      <c r="Q379" s="124" t="str">
        <f>IF($B379="","",IF(Q$3=0,"n.b.",INDEX(SRC_Woningetalage!$A$1:$ZZ$501,$A379,Q$3)))</f>
        <v/>
      </c>
      <c r="R379" s="124" t="str">
        <f>IF($B379="","",IF(R$3=0,"n.b.",INDEX(SRC_Woningetalage!$A$1:$ZZ$501,$A379,R$3)))</f>
        <v/>
      </c>
      <c r="S379" s="124" t="str">
        <f>IF($B379="","",IF(S$3=0,"n.b.",INDEX(SRC_Woningetalage!$A$1:$ZZ$501,$A379,S$3)))</f>
        <v/>
      </c>
      <c r="T379" s="124" t="str">
        <f>IF($B379="","",IF(T$3=0,"n.b.",INDEX(SRC_Woningetalage!$A$1:$ZZ$501,$A379,T$3)))</f>
        <v/>
      </c>
      <c r="U379" s="124" t="str">
        <f>IF($B379="","",IF(U$3=0,"n.b.",INDEX(SRC_Woningetalage!$A$1:$ZZ$501,$A379,U$3)))</f>
        <v/>
      </c>
      <c r="V379" s="124" t="str">
        <f>IF($B379="","",IF(V$3=0,"n.b.",INDEX(SRC_Woningetalage!$A$1:$ZZ$501,$A379,V$3)))</f>
        <v/>
      </c>
      <c r="W379" s="124" t="str">
        <f>IF($B379="","",IF(W$3=0,"n.b.",INDEX(SRC_Woningetalage!$A$1:$ZZ$501,$A379,W$3)))</f>
        <v/>
      </c>
      <c r="X379" s="124" t="str">
        <f>IF($B379="","",IF(X$3=0,"n.b.",INDEX(SRC_Woningetalage!$A$1:$ZZ$501,$A379,X$3)))</f>
        <v/>
      </c>
      <c r="Y379" s="124" t="str">
        <f>IF($B379="","",IF(Y$3=0,"n.b.",INDEX(SRC_Woningetalage!$A$1:$ZZ$501,$A379,Y$3)))</f>
        <v/>
      </c>
      <c r="Z379" s="124" t="str">
        <f>IF($B379="","",IF(Z$3=0,"n.b.",INDEX(SRC_Woningetalage!$A$1:$ZZ$501,$A379,Z$3)))</f>
        <v/>
      </c>
      <c r="AA379" s="124" t="str">
        <f>IF($B379="","",IF(AA$3=0,"n.b.",INDEX(SRC_Woningetalage!$A$1:$ZZ$501,$A379,AA$3)))</f>
        <v/>
      </c>
      <c r="AB379" s="124" t="str">
        <f>IF($B379="","",IF(AB$3=0,"n.b.",INDEX(SRC_Woningetalage!$A$1:$ZZ$501,$A379,AB$3)))</f>
        <v/>
      </c>
      <c r="AC379" s="124" t="str">
        <f>IF($B379="","",IF(AC$3=0,"n.b.",INDEX(SRC_Woningetalage!$A$1:$ZZ$501,$A379,AC$3)))</f>
        <v/>
      </c>
      <c r="AD379" s="124" t="str">
        <f>IF($B379="","",IF(AD$3=0,"n.b.",INDEX(SRC_Woningetalage!$A$1:$ZZ$501,$A379,AD$3)))</f>
        <v/>
      </c>
      <c r="AE379" s="124" t="str">
        <f>IF($B379="","",IF(AE$3=0,"n.b.",INDEX(SRC_Woningetalage!$A$1:$ZZ$501,$A379,AE$3)))</f>
        <v/>
      </c>
      <c r="AF379" s="124" t="str">
        <f>IF($B379="","",IF(AF$3=0,"n.b.",INDEX(SRC_Woningetalage!$A$1:$ZZ$501,$A379,AF$3)))</f>
        <v/>
      </c>
      <c r="AG379" s="124" t="str">
        <f>IF($B379="","",IF(AG$3=0,"n.b.",INDEX(SRC_Woningetalage!$A$1:$ZZ$501,$A379,AG$3)))</f>
        <v/>
      </c>
      <c r="AH379" s="124" t="str">
        <f>IF($B379="","",IF(AH$3=0,"n.b.",INDEX(SRC_Woningetalage!$A$1:$ZZ$501,$A379,AH$3)))</f>
        <v/>
      </c>
      <c r="AI379" s="124" t="str">
        <f>IF($B379="","",IF(AI$3=0,"n.b.",INDEX(SRC_Woningetalage!$A$1:$ZZ$501,$A379,AI$3)))</f>
        <v/>
      </c>
      <c r="AJ379" s="124" t="str">
        <f>IF($B379="","",IF(AJ$3=0,"n.b.",INDEX(SRC_Woningetalage!$A$1:$ZZ$501,$A379,AJ$3)))</f>
        <v/>
      </c>
      <c r="AK379" s="124" t="str">
        <f>IF($B379="","",IF(AK$3=0,"n.b.",INDEX(SRC_Woningetalage!$A$1:$ZZ$501,$A379,AK$3)))</f>
        <v/>
      </c>
      <c r="AL379" s="124" t="str">
        <f>IF($B379="","",IF(AL$3=0,"n.b.",INDEX(SRC_Woningetalage!$A$1:$ZZ$501,$A379,AL$3)))</f>
        <v/>
      </c>
      <c r="AM379" s="124" t="str">
        <f>IF($B379="","",IF(AM$3=0,"n.b.",INDEX(SRC_Woningetalage!$A$1:$ZZ$501,$A379,AM$3)))</f>
        <v/>
      </c>
      <c r="AN379" s="124" t="str">
        <f>IF($B379="","",IF(AN$3=0,"n.b.",INDEX(SRC_Woningetalage!$A$1:$ZZ$501,$A379,AN$3)))</f>
        <v/>
      </c>
      <c r="AO379" s="124" t="str">
        <f>IF($B379="","",IF(AO$3=0,"n.b.",INDEX(SRC_Woningetalage!$A$1:$ZZ$501,$A379,AO$3)))</f>
        <v/>
      </c>
      <c r="AP379" s="124" t="str">
        <f>IF($B379="","",IF(AP$3=0,"n.b.",INDEX(SRC_Woningetalage!$A$1:$ZZ$501,$A379,AP$3)))</f>
        <v/>
      </c>
      <c r="AQ379" s="124" t="str">
        <f>IF($B379="","",IF(AQ$3=0,"n.b.",INDEX(SRC_Woningetalage!$A$1:$ZZ$501,$A379,AQ$3)))</f>
        <v/>
      </c>
      <c r="AR379" s="124" t="str">
        <f>IF($B379="","",IF(AR$3=0,"n.b.",INDEX(SRC_Woningetalage!$A$1:$ZZ$501,$A379,AR$3)))</f>
        <v/>
      </c>
      <c r="AS379" s="124" t="str">
        <f>IF($B379="","",IF(AS$3=0,"n.b.",INDEX(SRC_Woningetalage!$A$1:$ZZ$501,$A379,AS$3)))</f>
        <v/>
      </c>
      <c r="AT379" s="124" t="str">
        <f>IF($B379="","",IF(AT$3=0,"n.b.",INDEX(SRC_Woningetalage!$A$1:$ZZ$501,$A379,AT$3)))</f>
        <v/>
      </c>
      <c r="AU379" s="124" t="str">
        <f>IF($B379="","",IF(AU$3=0,"n.b.",INDEX(SRC_Woningetalage!$A$1:$ZZ$501,$A379,AU$3)))</f>
        <v/>
      </c>
      <c r="AV379" s="124" t="str">
        <f>IF($B379="","",IF(AV$3=0,"n.b.",INDEX(SRC_Woningetalage!$A$1:$ZZ$501,$A379,AV$3)))</f>
        <v/>
      </c>
      <c r="AW379" s="124" t="str">
        <f>IF($B379="","",IF(AW$3=0,"n.b.",INDEX(SRC_Woningetalage!$A$1:$ZZ$501,$A379,AW$3)))</f>
        <v/>
      </c>
      <c r="AX379" s="124" t="str">
        <f>IF($B379="","",IF(AX$3=0,"n.b.",INDEX(SRC_Woningetalage!$A$1:$ZZ$501,$A379,AX$3)))</f>
        <v/>
      </c>
      <c r="AY379" s="124" t="str">
        <f>IF($B379="","",IF(AY$3=0,"n.b.",INDEX(SRC_Woningetalage!$A$1:$ZZ$501,$A379,AY$3)))</f>
        <v/>
      </c>
      <c r="AZ379" s="124" t="str">
        <f>IF($B379="","",IF(AZ$3=0,"n.b.",INDEX(SRC_Woningetalage!$A$1:$ZZ$501,$A379,AZ$3)))</f>
        <v/>
      </c>
      <c r="BA379" s="124" t="str">
        <f>IF($B379="","",IF(BA$3=0,"n.b.",INDEX(SRC_Woningetalage!$A$1:$ZZ$501,$A379,BA$3)))</f>
        <v/>
      </c>
      <c r="BB379" s="124" t="str">
        <f>IF($B379="","",IF(BB$3=0,"n.b.",INDEX(SRC_Woningetalage!$A$1:$ZZ$501,$A379,BB$3)))</f>
        <v/>
      </c>
      <c r="BC379" s="124" t="str">
        <f>IF($B379="","",IFERROR(_xlfn.NUMBERVALUE(E379&amp;"",",","."),"n.b."))</f>
        <v/>
      </c>
      <c r="BD379" s="124" t="str">
        <f>IF($B379="","",IFERROR(_xlfn.NUMBERVALUE(M379&amp;"",",","."),"n.b."))</f>
        <v/>
      </c>
      <c r="BE379" s="124" t="str">
        <f>IF($B379="","",IFERROR(AB379+AC379+AD379,"n.b."))</f>
        <v/>
      </c>
      <c r="BF379" s="124" t="str">
        <f>IF($B379="","",IFERROR(AE379+AF379+AG379,"n.b."))</f>
        <v/>
      </c>
      <c r="BG379" s="124" t="str">
        <f>IF($B379="","",IFERROR(AH379+AI379+AJ379,"n.b."))</f>
        <v/>
      </c>
      <c r="BH379" s="124" t="str">
        <f>IF($B379="","",IFERROR(AK379+AL379+AM379,"n.b."))</f>
        <v/>
      </c>
      <c r="BI379" s="124" t="str">
        <f>IF($B379="","",IFERROR(SUMIF($AB$5:$AM$5,"&lt;="&amp;P_PeilMaand,AB379:AM379),"n.b."))</f>
        <v/>
      </c>
      <c r="BJ379" s="124" t="str">
        <f>IF($B379="","",IFERROR(SUM(AB379:AM379)-BI379,"n.b."))</f>
        <v/>
      </c>
      <c r="BK379" s="124" t="str">
        <f>IF($B379="","",IFERROR(IF(ABS(Q379-(T379+SUM(AB379:AM379)+AS379+AU379))&gt;P_Tol,1,0),1))</f>
        <v/>
      </c>
      <c r="BL379" s="124" t="str">
        <f>IF($B379="","",IFERROR(IF(ABS(AA379-(Q379-Z379))&gt;P_Tol,1,0),1))</f>
        <v/>
      </c>
      <c r="BM379" s="124" t="str">
        <f>IF($B379="","",IFERROR(IF(ABS(Z379-(T379+W379))&gt;P_Tol,1,0),1))</f>
        <v/>
      </c>
      <c r="BN379" s="124" t="str">
        <f>IF($B379="","",IFERROR(IF(ABS(W379-BI379)&gt;P_Tol,1,0),1))</f>
        <v/>
      </c>
      <c r="BO379" s="124" t="str">
        <f>IF($B379="","",IFERROR(IF(OR(ABS(R379+S379-T379)&gt;P_Tol,ABS(U379+V379-W379)&gt;P_Tol,ABS(X379+Y379-Z379)&gt;P_Tol),1,0),1))</f>
        <v/>
      </c>
      <c r="BP379" s="124" t="str">
        <f>IF($B379="","",IFERROR(IF(OR(ABS(AR379-SUM(AB379:AM379))&gt;P_Tol,ABS(AS379-(AN379+AO379+AP379+AQ379))&gt;P_Tol),1,0),1))</f>
        <v/>
      </c>
      <c r="BQ379" s="124" t="str">
        <f>IF($B379="","",IFERROR(IF(ABS(AT379)+ABS(AV379)+ABS(AW379)+ABS(AX379)+ABS(AY379)+ABS(AZ379)+ABS(BA379)+ABS(BB379)&gt;0,1,0),1))</f>
        <v/>
      </c>
      <c r="BR379" s="124" t="str">
        <f>IF($B379="","",COUNTIF(STG_ZPMW03!$B$6:$B$505,B379))</f>
        <v/>
      </c>
      <c r="BS379" s="124" t="str">
        <f>IF($B379="","",COUNTIF($B$6:$B$505,B379))</f>
        <v/>
      </c>
      <c r="BT379" s="124" t="str">
        <f>IF($B379="","",IF(BR379=0,0,IF(INDEX(STG_ZPMW03!$I$6:$I$505,MATCH(B379,STG_ZPMW03!$B$6:$B$505,0))=J379&amp;"",0,1)))</f>
        <v/>
      </c>
      <c r="BU379" s="124" t="str">
        <f>IF($B379="","",IFERROR(IF(ABS(INDEX(Mapping!$D$5:$D$104,MATCH(B379,Mapping!$A$5:$A$104,0))-Q379)&gt;P_Tol,1,0),0))</f>
        <v/>
      </c>
      <c r="BV379" s="124" t="str">
        <f>IF($B379="","",IFERROR(IF(AND(INDEX(Mapping!$G$5:$G$104,MATCH(B379,Mapping!$A$5:$A$104,0))="Nee",ABS(Q379)+ABS(Z379)+ABS(AR379)&gt;0),1,0),0))</f>
        <v/>
      </c>
      <c r="BW379" s="124" t="str">
        <f>IF($B379="","",IF(COUNTIF(Mapping!$A$5:$A$104,B379)&gt;0,1,0))</f>
        <v/>
      </c>
      <c r="BX379" s="124" t="str">
        <f>IF($B379="","",IF(BR379=0,COUNTIF($BR$6:BR379,0),""))</f>
        <v/>
      </c>
    </row>
    <row r="380">
      <c r="A380" s="15" t="n">
        <v>376</v>
      </c>
      <c r="B380" t="str">
        <f>IF(B$3=0,"",IF(INDEX(SRC_Woningetalage!$A$1:$ZZ$501,$A380,B$3)&amp;""="","",INDEX(SRC_Woningetalage!$A$1:$ZZ$501,$A380,B$3)&amp;""))</f>
        <v/>
      </c>
      <c r="C380" t="str">
        <f>IF($B380="","",IF(C$3=0,"n.b.",INDEX(SRC_Woningetalage!$A$1:$ZZ$501,$A380,C$3)))</f>
        <v/>
      </c>
      <c r="D380" t="str">
        <f>IF($B380="","",IF(D$3=0,"n.b.",INDEX(SRC_Woningetalage!$A$1:$ZZ$501,$A380,D$3)))</f>
        <v/>
      </c>
      <c r="E380" t="str">
        <f>IF($B380="","",IF(E$3=0,"n.b.",INDEX(SRC_Woningetalage!$A$1:$ZZ$501,$A380,E$3)))</f>
        <v/>
      </c>
      <c r="F380" t="str">
        <f>IF($B380="","",IF(F$3=0,"n.b.",INDEX(SRC_Woningetalage!$A$1:$ZZ$501,$A380,F$3)))</f>
        <v/>
      </c>
      <c r="G380" t="str">
        <f>IF($B380="","",IF(G$3=0,"n.b.",INDEX(SRC_Woningetalage!$A$1:$ZZ$501,$A380,G$3)))</f>
        <v/>
      </c>
      <c r="H380" t="str">
        <f>IF($B380="","",IF(H$3=0,"n.b.",INDEX(SRC_Woningetalage!$A$1:$ZZ$501,$A380,H$3)))</f>
        <v/>
      </c>
      <c r="I380" t="str">
        <f>IF($B380="","",IF(I$3=0,"n.b.",INDEX(SRC_Woningetalage!$A$1:$ZZ$501,$A380,I$3)))</f>
        <v/>
      </c>
      <c r="J380" t="str">
        <f>IF($B380="","",IF(J$3=0,"n.b.",INDEX(SRC_Woningetalage!$A$1:$ZZ$501,$A380,J$3)))</f>
        <v/>
      </c>
      <c r="K380" t="str">
        <f>IF($B380="","",IF(K$3=0,"n.b.",INDEX(SRC_Woningetalage!$A$1:$ZZ$501,$A380,K$3)))</f>
        <v/>
      </c>
      <c r="L380" t="str">
        <f>IF($B380="","",IF(L$3=0,"n.b.",INDEX(SRC_Woningetalage!$A$1:$ZZ$501,$A380,L$3)))</f>
        <v/>
      </c>
      <c r="M380" t="str">
        <f>IF($B380="","",IF(M$3=0,"n.b.",INDEX(SRC_Woningetalage!$A$1:$ZZ$501,$A380,M$3)))</f>
        <v/>
      </c>
      <c r="N380" t="str">
        <f>IF($B380="","",IF(N$3=0,"n.b.",INDEX(SRC_Woningetalage!$A$1:$ZZ$501,$A380,N$3)))</f>
        <v/>
      </c>
      <c r="O380" t="str">
        <f>IF($B380="","",IF(O$3=0,"n.b.",INDEX(SRC_Woningetalage!$A$1:$ZZ$501,$A380,O$3)))</f>
        <v/>
      </c>
      <c r="P380" t="str">
        <f>IF($B380="","",IF(P$3=0,"n.b.",INDEX(SRC_Woningetalage!$A$1:$ZZ$501,$A380,P$3)))</f>
        <v/>
      </c>
      <c r="Q380" s="124" t="str">
        <f>IF($B380="","",IF(Q$3=0,"n.b.",INDEX(SRC_Woningetalage!$A$1:$ZZ$501,$A380,Q$3)))</f>
        <v/>
      </c>
      <c r="R380" s="124" t="str">
        <f>IF($B380="","",IF(R$3=0,"n.b.",INDEX(SRC_Woningetalage!$A$1:$ZZ$501,$A380,R$3)))</f>
        <v/>
      </c>
      <c r="S380" s="124" t="str">
        <f>IF($B380="","",IF(S$3=0,"n.b.",INDEX(SRC_Woningetalage!$A$1:$ZZ$501,$A380,S$3)))</f>
        <v/>
      </c>
      <c r="T380" s="124" t="str">
        <f>IF($B380="","",IF(T$3=0,"n.b.",INDEX(SRC_Woningetalage!$A$1:$ZZ$501,$A380,T$3)))</f>
        <v/>
      </c>
      <c r="U380" s="124" t="str">
        <f>IF($B380="","",IF(U$3=0,"n.b.",INDEX(SRC_Woningetalage!$A$1:$ZZ$501,$A380,U$3)))</f>
        <v/>
      </c>
      <c r="V380" s="124" t="str">
        <f>IF($B380="","",IF(V$3=0,"n.b.",INDEX(SRC_Woningetalage!$A$1:$ZZ$501,$A380,V$3)))</f>
        <v/>
      </c>
      <c r="W380" s="124" t="str">
        <f>IF($B380="","",IF(W$3=0,"n.b.",INDEX(SRC_Woningetalage!$A$1:$ZZ$501,$A380,W$3)))</f>
        <v/>
      </c>
      <c r="X380" s="124" t="str">
        <f>IF($B380="","",IF(X$3=0,"n.b.",INDEX(SRC_Woningetalage!$A$1:$ZZ$501,$A380,X$3)))</f>
        <v/>
      </c>
      <c r="Y380" s="124" t="str">
        <f>IF($B380="","",IF(Y$3=0,"n.b.",INDEX(SRC_Woningetalage!$A$1:$ZZ$501,$A380,Y$3)))</f>
        <v/>
      </c>
      <c r="Z380" s="124" t="str">
        <f>IF($B380="","",IF(Z$3=0,"n.b.",INDEX(SRC_Woningetalage!$A$1:$ZZ$501,$A380,Z$3)))</f>
        <v/>
      </c>
      <c r="AA380" s="124" t="str">
        <f>IF($B380="","",IF(AA$3=0,"n.b.",INDEX(SRC_Woningetalage!$A$1:$ZZ$501,$A380,AA$3)))</f>
        <v/>
      </c>
      <c r="AB380" s="124" t="str">
        <f>IF($B380="","",IF(AB$3=0,"n.b.",INDEX(SRC_Woningetalage!$A$1:$ZZ$501,$A380,AB$3)))</f>
        <v/>
      </c>
      <c r="AC380" s="124" t="str">
        <f>IF($B380="","",IF(AC$3=0,"n.b.",INDEX(SRC_Woningetalage!$A$1:$ZZ$501,$A380,AC$3)))</f>
        <v/>
      </c>
      <c r="AD380" s="124" t="str">
        <f>IF($B380="","",IF(AD$3=0,"n.b.",INDEX(SRC_Woningetalage!$A$1:$ZZ$501,$A380,AD$3)))</f>
        <v/>
      </c>
      <c r="AE380" s="124" t="str">
        <f>IF($B380="","",IF(AE$3=0,"n.b.",INDEX(SRC_Woningetalage!$A$1:$ZZ$501,$A380,AE$3)))</f>
        <v/>
      </c>
      <c r="AF380" s="124" t="str">
        <f>IF($B380="","",IF(AF$3=0,"n.b.",INDEX(SRC_Woningetalage!$A$1:$ZZ$501,$A380,AF$3)))</f>
        <v/>
      </c>
      <c r="AG380" s="124" t="str">
        <f>IF($B380="","",IF(AG$3=0,"n.b.",INDEX(SRC_Woningetalage!$A$1:$ZZ$501,$A380,AG$3)))</f>
        <v/>
      </c>
      <c r="AH380" s="124" t="str">
        <f>IF($B380="","",IF(AH$3=0,"n.b.",INDEX(SRC_Woningetalage!$A$1:$ZZ$501,$A380,AH$3)))</f>
        <v/>
      </c>
      <c r="AI380" s="124" t="str">
        <f>IF($B380="","",IF(AI$3=0,"n.b.",INDEX(SRC_Woningetalage!$A$1:$ZZ$501,$A380,AI$3)))</f>
        <v/>
      </c>
      <c r="AJ380" s="124" t="str">
        <f>IF($B380="","",IF(AJ$3=0,"n.b.",INDEX(SRC_Woningetalage!$A$1:$ZZ$501,$A380,AJ$3)))</f>
        <v/>
      </c>
      <c r="AK380" s="124" t="str">
        <f>IF($B380="","",IF(AK$3=0,"n.b.",INDEX(SRC_Woningetalage!$A$1:$ZZ$501,$A380,AK$3)))</f>
        <v/>
      </c>
      <c r="AL380" s="124" t="str">
        <f>IF($B380="","",IF(AL$3=0,"n.b.",INDEX(SRC_Woningetalage!$A$1:$ZZ$501,$A380,AL$3)))</f>
        <v/>
      </c>
      <c r="AM380" s="124" t="str">
        <f>IF($B380="","",IF(AM$3=0,"n.b.",INDEX(SRC_Woningetalage!$A$1:$ZZ$501,$A380,AM$3)))</f>
        <v/>
      </c>
      <c r="AN380" s="124" t="str">
        <f>IF($B380="","",IF(AN$3=0,"n.b.",INDEX(SRC_Woningetalage!$A$1:$ZZ$501,$A380,AN$3)))</f>
        <v/>
      </c>
      <c r="AO380" s="124" t="str">
        <f>IF($B380="","",IF(AO$3=0,"n.b.",INDEX(SRC_Woningetalage!$A$1:$ZZ$501,$A380,AO$3)))</f>
        <v/>
      </c>
      <c r="AP380" s="124" t="str">
        <f>IF($B380="","",IF(AP$3=0,"n.b.",INDEX(SRC_Woningetalage!$A$1:$ZZ$501,$A380,AP$3)))</f>
        <v/>
      </c>
      <c r="AQ380" s="124" t="str">
        <f>IF($B380="","",IF(AQ$3=0,"n.b.",INDEX(SRC_Woningetalage!$A$1:$ZZ$501,$A380,AQ$3)))</f>
        <v/>
      </c>
      <c r="AR380" s="124" t="str">
        <f>IF($B380="","",IF(AR$3=0,"n.b.",INDEX(SRC_Woningetalage!$A$1:$ZZ$501,$A380,AR$3)))</f>
        <v/>
      </c>
      <c r="AS380" s="124" t="str">
        <f>IF($B380="","",IF(AS$3=0,"n.b.",INDEX(SRC_Woningetalage!$A$1:$ZZ$501,$A380,AS$3)))</f>
        <v/>
      </c>
      <c r="AT380" s="124" t="str">
        <f>IF($B380="","",IF(AT$3=0,"n.b.",INDEX(SRC_Woningetalage!$A$1:$ZZ$501,$A380,AT$3)))</f>
        <v/>
      </c>
      <c r="AU380" s="124" t="str">
        <f>IF($B380="","",IF(AU$3=0,"n.b.",INDEX(SRC_Woningetalage!$A$1:$ZZ$501,$A380,AU$3)))</f>
        <v/>
      </c>
      <c r="AV380" s="124" t="str">
        <f>IF($B380="","",IF(AV$3=0,"n.b.",INDEX(SRC_Woningetalage!$A$1:$ZZ$501,$A380,AV$3)))</f>
        <v/>
      </c>
      <c r="AW380" s="124" t="str">
        <f>IF($B380="","",IF(AW$3=0,"n.b.",INDEX(SRC_Woningetalage!$A$1:$ZZ$501,$A380,AW$3)))</f>
        <v/>
      </c>
      <c r="AX380" s="124" t="str">
        <f>IF($B380="","",IF(AX$3=0,"n.b.",INDEX(SRC_Woningetalage!$A$1:$ZZ$501,$A380,AX$3)))</f>
        <v/>
      </c>
      <c r="AY380" s="124" t="str">
        <f>IF($B380="","",IF(AY$3=0,"n.b.",INDEX(SRC_Woningetalage!$A$1:$ZZ$501,$A380,AY$3)))</f>
        <v/>
      </c>
      <c r="AZ380" s="124" t="str">
        <f>IF($B380="","",IF(AZ$3=0,"n.b.",INDEX(SRC_Woningetalage!$A$1:$ZZ$501,$A380,AZ$3)))</f>
        <v/>
      </c>
      <c r="BA380" s="124" t="str">
        <f>IF($B380="","",IF(BA$3=0,"n.b.",INDEX(SRC_Woningetalage!$A$1:$ZZ$501,$A380,BA$3)))</f>
        <v/>
      </c>
      <c r="BB380" s="124" t="str">
        <f>IF($B380="","",IF(BB$3=0,"n.b.",INDEX(SRC_Woningetalage!$A$1:$ZZ$501,$A380,BB$3)))</f>
        <v/>
      </c>
      <c r="BC380" s="124" t="str">
        <f>IF($B380="","",IFERROR(_xlfn.NUMBERVALUE(E380&amp;"",",","."),"n.b."))</f>
        <v/>
      </c>
      <c r="BD380" s="124" t="str">
        <f>IF($B380="","",IFERROR(_xlfn.NUMBERVALUE(M380&amp;"",",","."),"n.b."))</f>
        <v/>
      </c>
      <c r="BE380" s="124" t="str">
        <f>IF($B380="","",IFERROR(AB380+AC380+AD380,"n.b."))</f>
        <v/>
      </c>
      <c r="BF380" s="124" t="str">
        <f>IF($B380="","",IFERROR(AE380+AF380+AG380,"n.b."))</f>
        <v/>
      </c>
      <c r="BG380" s="124" t="str">
        <f>IF($B380="","",IFERROR(AH380+AI380+AJ380,"n.b."))</f>
        <v/>
      </c>
      <c r="BH380" s="124" t="str">
        <f>IF($B380="","",IFERROR(AK380+AL380+AM380,"n.b."))</f>
        <v/>
      </c>
      <c r="BI380" s="124" t="str">
        <f>IF($B380="","",IFERROR(SUMIF($AB$5:$AM$5,"&lt;="&amp;P_PeilMaand,AB380:AM380),"n.b."))</f>
        <v/>
      </c>
      <c r="BJ380" s="124" t="str">
        <f>IF($B380="","",IFERROR(SUM(AB380:AM380)-BI380,"n.b."))</f>
        <v/>
      </c>
      <c r="BK380" s="124" t="str">
        <f>IF($B380="","",IFERROR(IF(ABS(Q380-(T380+SUM(AB380:AM380)+AS380+AU380))&gt;P_Tol,1,0),1))</f>
        <v/>
      </c>
      <c r="BL380" s="124" t="str">
        <f>IF($B380="","",IFERROR(IF(ABS(AA380-(Q380-Z380))&gt;P_Tol,1,0),1))</f>
        <v/>
      </c>
      <c r="BM380" s="124" t="str">
        <f>IF($B380="","",IFERROR(IF(ABS(Z380-(T380+W380))&gt;P_Tol,1,0),1))</f>
        <v/>
      </c>
      <c r="BN380" s="124" t="str">
        <f>IF($B380="","",IFERROR(IF(ABS(W380-BI380)&gt;P_Tol,1,0),1))</f>
        <v/>
      </c>
      <c r="BO380" s="124" t="str">
        <f>IF($B380="","",IFERROR(IF(OR(ABS(R380+S380-T380)&gt;P_Tol,ABS(U380+V380-W380)&gt;P_Tol,ABS(X380+Y380-Z380)&gt;P_Tol),1,0),1))</f>
        <v/>
      </c>
      <c r="BP380" s="124" t="str">
        <f>IF($B380="","",IFERROR(IF(OR(ABS(AR380-SUM(AB380:AM380))&gt;P_Tol,ABS(AS380-(AN380+AO380+AP380+AQ380))&gt;P_Tol),1,0),1))</f>
        <v/>
      </c>
      <c r="BQ380" s="124" t="str">
        <f>IF($B380="","",IFERROR(IF(ABS(AT380)+ABS(AV380)+ABS(AW380)+ABS(AX380)+ABS(AY380)+ABS(AZ380)+ABS(BA380)+ABS(BB380)&gt;0,1,0),1))</f>
        <v/>
      </c>
      <c r="BR380" s="124" t="str">
        <f>IF($B380="","",COUNTIF(STG_ZPMW03!$B$6:$B$505,B380))</f>
        <v/>
      </c>
      <c r="BS380" s="124" t="str">
        <f>IF($B380="","",COUNTIF($B$6:$B$505,B380))</f>
        <v/>
      </c>
      <c r="BT380" s="124" t="str">
        <f>IF($B380="","",IF(BR380=0,0,IF(INDEX(STG_ZPMW03!$I$6:$I$505,MATCH(B380,STG_ZPMW03!$B$6:$B$505,0))=J380&amp;"",0,1)))</f>
        <v/>
      </c>
      <c r="BU380" s="124" t="str">
        <f>IF($B380="","",IFERROR(IF(ABS(INDEX(Mapping!$D$5:$D$104,MATCH(B380,Mapping!$A$5:$A$104,0))-Q380)&gt;P_Tol,1,0),0))</f>
        <v/>
      </c>
      <c r="BV380" s="124" t="str">
        <f>IF($B380="","",IFERROR(IF(AND(INDEX(Mapping!$G$5:$G$104,MATCH(B380,Mapping!$A$5:$A$104,0))="Nee",ABS(Q380)+ABS(Z380)+ABS(AR380)&gt;0),1,0),0))</f>
        <v/>
      </c>
      <c r="BW380" s="124" t="str">
        <f>IF($B380="","",IF(COUNTIF(Mapping!$A$5:$A$104,B380)&gt;0,1,0))</f>
        <v/>
      </c>
      <c r="BX380" s="124" t="str">
        <f>IF($B380="","",IF(BR380=0,COUNTIF($BR$6:BR380,0),""))</f>
        <v/>
      </c>
    </row>
    <row r="381">
      <c r="A381" s="15" t="n">
        <v>377</v>
      </c>
      <c r="B381" t="str">
        <f>IF(B$3=0,"",IF(INDEX(SRC_Woningetalage!$A$1:$ZZ$501,$A381,B$3)&amp;""="","",INDEX(SRC_Woningetalage!$A$1:$ZZ$501,$A381,B$3)&amp;""))</f>
        <v/>
      </c>
      <c r="C381" t="str">
        <f>IF($B381="","",IF(C$3=0,"n.b.",INDEX(SRC_Woningetalage!$A$1:$ZZ$501,$A381,C$3)))</f>
        <v/>
      </c>
      <c r="D381" t="str">
        <f>IF($B381="","",IF(D$3=0,"n.b.",INDEX(SRC_Woningetalage!$A$1:$ZZ$501,$A381,D$3)))</f>
        <v/>
      </c>
      <c r="E381" t="str">
        <f>IF($B381="","",IF(E$3=0,"n.b.",INDEX(SRC_Woningetalage!$A$1:$ZZ$501,$A381,E$3)))</f>
        <v/>
      </c>
      <c r="F381" t="str">
        <f>IF($B381="","",IF(F$3=0,"n.b.",INDEX(SRC_Woningetalage!$A$1:$ZZ$501,$A381,F$3)))</f>
        <v/>
      </c>
      <c r="G381" t="str">
        <f>IF($B381="","",IF(G$3=0,"n.b.",INDEX(SRC_Woningetalage!$A$1:$ZZ$501,$A381,G$3)))</f>
        <v/>
      </c>
      <c r="H381" t="str">
        <f>IF($B381="","",IF(H$3=0,"n.b.",INDEX(SRC_Woningetalage!$A$1:$ZZ$501,$A381,H$3)))</f>
        <v/>
      </c>
      <c r="I381" t="str">
        <f>IF($B381="","",IF(I$3=0,"n.b.",INDEX(SRC_Woningetalage!$A$1:$ZZ$501,$A381,I$3)))</f>
        <v/>
      </c>
      <c r="J381" t="str">
        <f>IF($B381="","",IF(J$3=0,"n.b.",INDEX(SRC_Woningetalage!$A$1:$ZZ$501,$A381,J$3)))</f>
        <v/>
      </c>
      <c r="K381" t="str">
        <f>IF($B381="","",IF(K$3=0,"n.b.",INDEX(SRC_Woningetalage!$A$1:$ZZ$501,$A381,K$3)))</f>
        <v/>
      </c>
      <c r="L381" t="str">
        <f>IF($B381="","",IF(L$3=0,"n.b.",INDEX(SRC_Woningetalage!$A$1:$ZZ$501,$A381,L$3)))</f>
        <v/>
      </c>
      <c r="M381" t="str">
        <f>IF($B381="","",IF(M$3=0,"n.b.",INDEX(SRC_Woningetalage!$A$1:$ZZ$501,$A381,M$3)))</f>
        <v/>
      </c>
      <c r="N381" t="str">
        <f>IF($B381="","",IF(N$3=0,"n.b.",INDEX(SRC_Woningetalage!$A$1:$ZZ$501,$A381,N$3)))</f>
        <v/>
      </c>
      <c r="O381" t="str">
        <f>IF($B381="","",IF(O$3=0,"n.b.",INDEX(SRC_Woningetalage!$A$1:$ZZ$501,$A381,O$3)))</f>
        <v/>
      </c>
      <c r="P381" t="str">
        <f>IF($B381="","",IF(P$3=0,"n.b.",INDEX(SRC_Woningetalage!$A$1:$ZZ$501,$A381,P$3)))</f>
        <v/>
      </c>
      <c r="Q381" s="124" t="str">
        <f>IF($B381="","",IF(Q$3=0,"n.b.",INDEX(SRC_Woningetalage!$A$1:$ZZ$501,$A381,Q$3)))</f>
        <v/>
      </c>
      <c r="R381" s="124" t="str">
        <f>IF($B381="","",IF(R$3=0,"n.b.",INDEX(SRC_Woningetalage!$A$1:$ZZ$501,$A381,R$3)))</f>
        <v/>
      </c>
      <c r="S381" s="124" t="str">
        <f>IF($B381="","",IF(S$3=0,"n.b.",INDEX(SRC_Woningetalage!$A$1:$ZZ$501,$A381,S$3)))</f>
        <v/>
      </c>
      <c r="T381" s="124" t="str">
        <f>IF($B381="","",IF(T$3=0,"n.b.",INDEX(SRC_Woningetalage!$A$1:$ZZ$501,$A381,T$3)))</f>
        <v/>
      </c>
      <c r="U381" s="124" t="str">
        <f>IF($B381="","",IF(U$3=0,"n.b.",INDEX(SRC_Woningetalage!$A$1:$ZZ$501,$A381,U$3)))</f>
        <v/>
      </c>
      <c r="V381" s="124" t="str">
        <f>IF($B381="","",IF(V$3=0,"n.b.",INDEX(SRC_Woningetalage!$A$1:$ZZ$501,$A381,V$3)))</f>
        <v/>
      </c>
      <c r="W381" s="124" t="str">
        <f>IF($B381="","",IF(W$3=0,"n.b.",INDEX(SRC_Woningetalage!$A$1:$ZZ$501,$A381,W$3)))</f>
        <v/>
      </c>
      <c r="X381" s="124" t="str">
        <f>IF($B381="","",IF(X$3=0,"n.b.",INDEX(SRC_Woningetalage!$A$1:$ZZ$501,$A381,X$3)))</f>
        <v/>
      </c>
      <c r="Y381" s="124" t="str">
        <f>IF($B381="","",IF(Y$3=0,"n.b.",INDEX(SRC_Woningetalage!$A$1:$ZZ$501,$A381,Y$3)))</f>
        <v/>
      </c>
      <c r="Z381" s="124" t="str">
        <f>IF($B381="","",IF(Z$3=0,"n.b.",INDEX(SRC_Woningetalage!$A$1:$ZZ$501,$A381,Z$3)))</f>
        <v/>
      </c>
      <c r="AA381" s="124" t="str">
        <f>IF($B381="","",IF(AA$3=0,"n.b.",INDEX(SRC_Woningetalage!$A$1:$ZZ$501,$A381,AA$3)))</f>
        <v/>
      </c>
      <c r="AB381" s="124" t="str">
        <f>IF($B381="","",IF(AB$3=0,"n.b.",INDEX(SRC_Woningetalage!$A$1:$ZZ$501,$A381,AB$3)))</f>
        <v/>
      </c>
      <c r="AC381" s="124" t="str">
        <f>IF($B381="","",IF(AC$3=0,"n.b.",INDEX(SRC_Woningetalage!$A$1:$ZZ$501,$A381,AC$3)))</f>
        <v/>
      </c>
      <c r="AD381" s="124" t="str">
        <f>IF($B381="","",IF(AD$3=0,"n.b.",INDEX(SRC_Woningetalage!$A$1:$ZZ$501,$A381,AD$3)))</f>
        <v/>
      </c>
      <c r="AE381" s="124" t="str">
        <f>IF($B381="","",IF(AE$3=0,"n.b.",INDEX(SRC_Woningetalage!$A$1:$ZZ$501,$A381,AE$3)))</f>
        <v/>
      </c>
      <c r="AF381" s="124" t="str">
        <f>IF($B381="","",IF(AF$3=0,"n.b.",INDEX(SRC_Woningetalage!$A$1:$ZZ$501,$A381,AF$3)))</f>
        <v/>
      </c>
      <c r="AG381" s="124" t="str">
        <f>IF($B381="","",IF(AG$3=0,"n.b.",INDEX(SRC_Woningetalage!$A$1:$ZZ$501,$A381,AG$3)))</f>
        <v/>
      </c>
      <c r="AH381" s="124" t="str">
        <f>IF($B381="","",IF(AH$3=0,"n.b.",INDEX(SRC_Woningetalage!$A$1:$ZZ$501,$A381,AH$3)))</f>
        <v/>
      </c>
      <c r="AI381" s="124" t="str">
        <f>IF($B381="","",IF(AI$3=0,"n.b.",INDEX(SRC_Woningetalage!$A$1:$ZZ$501,$A381,AI$3)))</f>
        <v/>
      </c>
      <c r="AJ381" s="124" t="str">
        <f>IF($B381="","",IF(AJ$3=0,"n.b.",INDEX(SRC_Woningetalage!$A$1:$ZZ$501,$A381,AJ$3)))</f>
        <v/>
      </c>
      <c r="AK381" s="124" t="str">
        <f>IF($B381="","",IF(AK$3=0,"n.b.",INDEX(SRC_Woningetalage!$A$1:$ZZ$501,$A381,AK$3)))</f>
        <v/>
      </c>
      <c r="AL381" s="124" t="str">
        <f>IF($B381="","",IF(AL$3=0,"n.b.",INDEX(SRC_Woningetalage!$A$1:$ZZ$501,$A381,AL$3)))</f>
        <v/>
      </c>
      <c r="AM381" s="124" t="str">
        <f>IF($B381="","",IF(AM$3=0,"n.b.",INDEX(SRC_Woningetalage!$A$1:$ZZ$501,$A381,AM$3)))</f>
        <v/>
      </c>
      <c r="AN381" s="124" t="str">
        <f>IF($B381="","",IF(AN$3=0,"n.b.",INDEX(SRC_Woningetalage!$A$1:$ZZ$501,$A381,AN$3)))</f>
        <v/>
      </c>
      <c r="AO381" s="124" t="str">
        <f>IF($B381="","",IF(AO$3=0,"n.b.",INDEX(SRC_Woningetalage!$A$1:$ZZ$501,$A381,AO$3)))</f>
        <v/>
      </c>
      <c r="AP381" s="124" t="str">
        <f>IF($B381="","",IF(AP$3=0,"n.b.",INDEX(SRC_Woningetalage!$A$1:$ZZ$501,$A381,AP$3)))</f>
        <v/>
      </c>
      <c r="AQ381" s="124" t="str">
        <f>IF($B381="","",IF(AQ$3=0,"n.b.",INDEX(SRC_Woningetalage!$A$1:$ZZ$501,$A381,AQ$3)))</f>
        <v/>
      </c>
      <c r="AR381" s="124" t="str">
        <f>IF($B381="","",IF(AR$3=0,"n.b.",INDEX(SRC_Woningetalage!$A$1:$ZZ$501,$A381,AR$3)))</f>
        <v/>
      </c>
      <c r="AS381" s="124" t="str">
        <f>IF($B381="","",IF(AS$3=0,"n.b.",INDEX(SRC_Woningetalage!$A$1:$ZZ$501,$A381,AS$3)))</f>
        <v/>
      </c>
      <c r="AT381" s="124" t="str">
        <f>IF($B381="","",IF(AT$3=0,"n.b.",INDEX(SRC_Woningetalage!$A$1:$ZZ$501,$A381,AT$3)))</f>
        <v/>
      </c>
      <c r="AU381" s="124" t="str">
        <f>IF($B381="","",IF(AU$3=0,"n.b.",INDEX(SRC_Woningetalage!$A$1:$ZZ$501,$A381,AU$3)))</f>
        <v/>
      </c>
      <c r="AV381" s="124" t="str">
        <f>IF($B381="","",IF(AV$3=0,"n.b.",INDEX(SRC_Woningetalage!$A$1:$ZZ$501,$A381,AV$3)))</f>
        <v/>
      </c>
      <c r="AW381" s="124" t="str">
        <f>IF($B381="","",IF(AW$3=0,"n.b.",INDEX(SRC_Woningetalage!$A$1:$ZZ$501,$A381,AW$3)))</f>
        <v/>
      </c>
      <c r="AX381" s="124" t="str">
        <f>IF($B381="","",IF(AX$3=0,"n.b.",INDEX(SRC_Woningetalage!$A$1:$ZZ$501,$A381,AX$3)))</f>
        <v/>
      </c>
      <c r="AY381" s="124" t="str">
        <f>IF($B381="","",IF(AY$3=0,"n.b.",INDEX(SRC_Woningetalage!$A$1:$ZZ$501,$A381,AY$3)))</f>
        <v/>
      </c>
      <c r="AZ381" s="124" t="str">
        <f>IF($B381="","",IF(AZ$3=0,"n.b.",INDEX(SRC_Woningetalage!$A$1:$ZZ$501,$A381,AZ$3)))</f>
        <v/>
      </c>
      <c r="BA381" s="124" t="str">
        <f>IF($B381="","",IF(BA$3=0,"n.b.",INDEX(SRC_Woningetalage!$A$1:$ZZ$501,$A381,BA$3)))</f>
        <v/>
      </c>
      <c r="BB381" s="124" t="str">
        <f>IF($B381="","",IF(BB$3=0,"n.b.",INDEX(SRC_Woningetalage!$A$1:$ZZ$501,$A381,BB$3)))</f>
        <v/>
      </c>
      <c r="BC381" s="124" t="str">
        <f>IF($B381="","",IFERROR(_xlfn.NUMBERVALUE(E381&amp;"",",","."),"n.b."))</f>
        <v/>
      </c>
      <c r="BD381" s="124" t="str">
        <f>IF($B381="","",IFERROR(_xlfn.NUMBERVALUE(M381&amp;"",",","."),"n.b."))</f>
        <v/>
      </c>
      <c r="BE381" s="124" t="str">
        <f>IF($B381="","",IFERROR(AB381+AC381+AD381,"n.b."))</f>
        <v/>
      </c>
      <c r="BF381" s="124" t="str">
        <f>IF($B381="","",IFERROR(AE381+AF381+AG381,"n.b."))</f>
        <v/>
      </c>
      <c r="BG381" s="124" t="str">
        <f>IF($B381="","",IFERROR(AH381+AI381+AJ381,"n.b."))</f>
        <v/>
      </c>
      <c r="BH381" s="124" t="str">
        <f>IF($B381="","",IFERROR(AK381+AL381+AM381,"n.b."))</f>
        <v/>
      </c>
      <c r="BI381" s="124" t="str">
        <f>IF($B381="","",IFERROR(SUMIF($AB$5:$AM$5,"&lt;="&amp;P_PeilMaand,AB381:AM381),"n.b."))</f>
        <v/>
      </c>
      <c r="BJ381" s="124" t="str">
        <f>IF($B381="","",IFERROR(SUM(AB381:AM381)-BI381,"n.b."))</f>
        <v/>
      </c>
      <c r="BK381" s="124" t="str">
        <f>IF($B381="","",IFERROR(IF(ABS(Q381-(T381+SUM(AB381:AM381)+AS381+AU381))&gt;P_Tol,1,0),1))</f>
        <v/>
      </c>
      <c r="BL381" s="124" t="str">
        <f>IF($B381="","",IFERROR(IF(ABS(AA381-(Q381-Z381))&gt;P_Tol,1,0),1))</f>
        <v/>
      </c>
      <c r="BM381" s="124" t="str">
        <f>IF($B381="","",IFERROR(IF(ABS(Z381-(T381+W381))&gt;P_Tol,1,0),1))</f>
        <v/>
      </c>
      <c r="BN381" s="124" t="str">
        <f>IF($B381="","",IFERROR(IF(ABS(W381-BI381)&gt;P_Tol,1,0),1))</f>
        <v/>
      </c>
      <c r="BO381" s="124" t="str">
        <f>IF($B381="","",IFERROR(IF(OR(ABS(R381+S381-T381)&gt;P_Tol,ABS(U381+V381-W381)&gt;P_Tol,ABS(X381+Y381-Z381)&gt;P_Tol),1,0),1))</f>
        <v/>
      </c>
      <c r="BP381" s="124" t="str">
        <f>IF($B381="","",IFERROR(IF(OR(ABS(AR381-SUM(AB381:AM381))&gt;P_Tol,ABS(AS381-(AN381+AO381+AP381+AQ381))&gt;P_Tol),1,0),1))</f>
        <v/>
      </c>
      <c r="BQ381" s="124" t="str">
        <f>IF($B381="","",IFERROR(IF(ABS(AT381)+ABS(AV381)+ABS(AW381)+ABS(AX381)+ABS(AY381)+ABS(AZ381)+ABS(BA381)+ABS(BB381)&gt;0,1,0),1))</f>
        <v/>
      </c>
      <c r="BR381" s="124" t="str">
        <f>IF($B381="","",COUNTIF(STG_ZPMW03!$B$6:$B$505,B381))</f>
        <v/>
      </c>
      <c r="BS381" s="124" t="str">
        <f>IF($B381="","",COUNTIF($B$6:$B$505,B381))</f>
        <v/>
      </c>
      <c r="BT381" s="124" t="str">
        <f>IF($B381="","",IF(BR381=0,0,IF(INDEX(STG_ZPMW03!$I$6:$I$505,MATCH(B381,STG_ZPMW03!$B$6:$B$505,0))=J381&amp;"",0,1)))</f>
        <v/>
      </c>
      <c r="BU381" s="124" t="str">
        <f>IF($B381="","",IFERROR(IF(ABS(INDEX(Mapping!$D$5:$D$104,MATCH(B381,Mapping!$A$5:$A$104,0))-Q381)&gt;P_Tol,1,0),0))</f>
        <v/>
      </c>
      <c r="BV381" s="124" t="str">
        <f>IF($B381="","",IFERROR(IF(AND(INDEX(Mapping!$G$5:$G$104,MATCH(B381,Mapping!$A$5:$A$104,0))="Nee",ABS(Q381)+ABS(Z381)+ABS(AR381)&gt;0),1,0),0))</f>
        <v/>
      </c>
      <c r="BW381" s="124" t="str">
        <f>IF($B381="","",IF(COUNTIF(Mapping!$A$5:$A$104,B381)&gt;0,1,0))</f>
        <v/>
      </c>
      <c r="BX381" s="124" t="str">
        <f>IF($B381="","",IF(BR381=0,COUNTIF($BR$6:BR381,0),""))</f>
        <v/>
      </c>
    </row>
    <row r="382">
      <c r="A382" s="15" t="n">
        <v>378</v>
      </c>
      <c r="B382" t="str">
        <f>IF(B$3=0,"",IF(INDEX(SRC_Woningetalage!$A$1:$ZZ$501,$A382,B$3)&amp;""="","",INDEX(SRC_Woningetalage!$A$1:$ZZ$501,$A382,B$3)&amp;""))</f>
        <v/>
      </c>
      <c r="C382" t="str">
        <f>IF($B382="","",IF(C$3=0,"n.b.",INDEX(SRC_Woningetalage!$A$1:$ZZ$501,$A382,C$3)))</f>
        <v/>
      </c>
      <c r="D382" t="str">
        <f>IF($B382="","",IF(D$3=0,"n.b.",INDEX(SRC_Woningetalage!$A$1:$ZZ$501,$A382,D$3)))</f>
        <v/>
      </c>
      <c r="E382" t="str">
        <f>IF($B382="","",IF(E$3=0,"n.b.",INDEX(SRC_Woningetalage!$A$1:$ZZ$501,$A382,E$3)))</f>
        <v/>
      </c>
      <c r="F382" t="str">
        <f>IF($B382="","",IF(F$3=0,"n.b.",INDEX(SRC_Woningetalage!$A$1:$ZZ$501,$A382,F$3)))</f>
        <v/>
      </c>
      <c r="G382" t="str">
        <f>IF($B382="","",IF(G$3=0,"n.b.",INDEX(SRC_Woningetalage!$A$1:$ZZ$501,$A382,G$3)))</f>
        <v/>
      </c>
      <c r="H382" t="str">
        <f>IF($B382="","",IF(H$3=0,"n.b.",INDEX(SRC_Woningetalage!$A$1:$ZZ$501,$A382,H$3)))</f>
        <v/>
      </c>
      <c r="I382" t="str">
        <f>IF($B382="","",IF(I$3=0,"n.b.",INDEX(SRC_Woningetalage!$A$1:$ZZ$501,$A382,I$3)))</f>
        <v/>
      </c>
      <c r="J382" t="str">
        <f>IF($B382="","",IF(J$3=0,"n.b.",INDEX(SRC_Woningetalage!$A$1:$ZZ$501,$A382,J$3)))</f>
        <v/>
      </c>
      <c r="K382" t="str">
        <f>IF($B382="","",IF(K$3=0,"n.b.",INDEX(SRC_Woningetalage!$A$1:$ZZ$501,$A382,K$3)))</f>
        <v/>
      </c>
      <c r="L382" t="str">
        <f>IF($B382="","",IF(L$3=0,"n.b.",INDEX(SRC_Woningetalage!$A$1:$ZZ$501,$A382,L$3)))</f>
        <v/>
      </c>
      <c r="M382" t="str">
        <f>IF($B382="","",IF(M$3=0,"n.b.",INDEX(SRC_Woningetalage!$A$1:$ZZ$501,$A382,M$3)))</f>
        <v/>
      </c>
      <c r="N382" t="str">
        <f>IF($B382="","",IF(N$3=0,"n.b.",INDEX(SRC_Woningetalage!$A$1:$ZZ$501,$A382,N$3)))</f>
        <v/>
      </c>
      <c r="O382" t="str">
        <f>IF($B382="","",IF(O$3=0,"n.b.",INDEX(SRC_Woningetalage!$A$1:$ZZ$501,$A382,O$3)))</f>
        <v/>
      </c>
      <c r="P382" t="str">
        <f>IF($B382="","",IF(P$3=0,"n.b.",INDEX(SRC_Woningetalage!$A$1:$ZZ$501,$A382,P$3)))</f>
        <v/>
      </c>
      <c r="Q382" s="124" t="str">
        <f>IF($B382="","",IF(Q$3=0,"n.b.",INDEX(SRC_Woningetalage!$A$1:$ZZ$501,$A382,Q$3)))</f>
        <v/>
      </c>
      <c r="R382" s="124" t="str">
        <f>IF($B382="","",IF(R$3=0,"n.b.",INDEX(SRC_Woningetalage!$A$1:$ZZ$501,$A382,R$3)))</f>
        <v/>
      </c>
      <c r="S382" s="124" t="str">
        <f>IF($B382="","",IF(S$3=0,"n.b.",INDEX(SRC_Woningetalage!$A$1:$ZZ$501,$A382,S$3)))</f>
        <v/>
      </c>
      <c r="T382" s="124" t="str">
        <f>IF($B382="","",IF(T$3=0,"n.b.",INDEX(SRC_Woningetalage!$A$1:$ZZ$501,$A382,T$3)))</f>
        <v/>
      </c>
      <c r="U382" s="124" t="str">
        <f>IF($B382="","",IF(U$3=0,"n.b.",INDEX(SRC_Woningetalage!$A$1:$ZZ$501,$A382,U$3)))</f>
        <v/>
      </c>
      <c r="V382" s="124" t="str">
        <f>IF($B382="","",IF(V$3=0,"n.b.",INDEX(SRC_Woningetalage!$A$1:$ZZ$501,$A382,V$3)))</f>
        <v/>
      </c>
      <c r="W382" s="124" t="str">
        <f>IF($B382="","",IF(W$3=0,"n.b.",INDEX(SRC_Woningetalage!$A$1:$ZZ$501,$A382,W$3)))</f>
        <v/>
      </c>
      <c r="X382" s="124" t="str">
        <f>IF($B382="","",IF(X$3=0,"n.b.",INDEX(SRC_Woningetalage!$A$1:$ZZ$501,$A382,X$3)))</f>
        <v/>
      </c>
      <c r="Y382" s="124" t="str">
        <f>IF($B382="","",IF(Y$3=0,"n.b.",INDEX(SRC_Woningetalage!$A$1:$ZZ$501,$A382,Y$3)))</f>
        <v/>
      </c>
      <c r="Z382" s="124" t="str">
        <f>IF($B382="","",IF(Z$3=0,"n.b.",INDEX(SRC_Woningetalage!$A$1:$ZZ$501,$A382,Z$3)))</f>
        <v/>
      </c>
      <c r="AA382" s="124" t="str">
        <f>IF($B382="","",IF(AA$3=0,"n.b.",INDEX(SRC_Woningetalage!$A$1:$ZZ$501,$A382,AA$3)))</f>
        <v/>
      </c>
      <c r="AB382" s="124" t="str">
        <f>IF($B382="","",IF(AB$3=0,"n.b.",INDEX(SRC_Woningetalage!$A$1:$ZZ$501,$A382,AB$3)))</f>
        <v/>
      </c>
      <c r="AC382" s="124" t="str">
        <f>IF($B382="","",IF(AC$3=0,"n.b.",INDEX(SRC_Woningetalage!$A$1:$ZZ$501,$A382,AC$3)))</f>
        <v/>
      </c>
      <c r="AD382" s="124" t="str">
        <f>IF($B382="","",IF(AD$3=0,"n.b.",INDEX(SRC_Woningetalage!$A$1:$ZZ$501,$A382,AD$3)))</f>
        <v/>
      </c>
      <c r="AE382" s="124" t="str">
        <f>IF($B382="","",IF(AE$3=0,"n.b.",INDEX(SRC_Woningetalage!$A$1:$ZZ$501,$A382,AE$3)))</f>
        <v/>
      </c>
      <c r="AF382" s="124" t="str">
        <f>IF($B382="","",IF(AF$3=0,"n.b.",INDEX(SRC_Woningetalage!$A$1:$ZZ$501,$A382,AF$3)))</f>
        <v/>
      </c>
      <c r="AG382" s="124" t="str">
        <f>IF($B382="","",IF(AG$3=0,"n.b.",INDEX(SRC_Woningetalage!$A$1:$ZZ$501,$A382,AG$3)))</f>
        <v/>
      </c>
      <c r="AH382" s="124" t="str">
        <f>IF($B382="","",IF(AH$3=0,"n.b.",INDEX(SRC_Woningetalage!$A$1:$ZZ$501,$A382,AH$3)))</f>
        <v/>
      </c>
      <c r="AI382" s="124" t="str">
        <f>IF($B382="","",IF(AI$3=0,"n.b.",INDEX(SRC_Woningetalage!$A$1:$ZZ$501,$A382,AI$3)))</f>
        <v/>
      </c>
      <c r="AJ382" s="124" t="str">
        <f>IF($B382="","",IF(AJ$3=0,"n.b.",INDEX(SRC_Woningetalage!$A$1:$ZZ$501,$A382,AJ$3)))</f>
        <v/>
      </c>
      <c r="AK382" s="124" t="str">
        <f>IF($B382="","",IF(AK$3=0,"n.b.",INDEX(SRC_Woningetalage!$A$1:$ZZ$501,$A382,AK$3)))</f>
        <v/>
      </c>
      <c r="AL382" s="124" t="str">
        <f>IF($B382="","",IF(AL$3=0,"n.b.",INDEX(SRC_Woningetalage!$A$1:$ZZ$501,$A382,AL$3)))</f>
        <v/>
      </c>
      <c r="AM382" s="124" t="str">
        <f>IF($B382="","",IF(AM$3=0,"n.b.",INDEX(SRC_Woningetalage!$A$1:$ZZ$501,$A382,AM$3)))</f>
        <v/>
      </c>
      <c r="AN382" s="124" t="str">
        <f>IF($B382="","",IF(AN$3=0,"n.b.",INDEX(SRC_Woningetalage!$A$1:$ZZ$501,$A382,AN$3)))</f>
        <v/>
      </c>
      <c r="AO382" s="124" t="str">
        <f>IF($B382="","",IF(AO$3=0,"n.b.",INDEX(SRC_Woningetalage!$A$1:$ZZ$501,$A382,AO$3)))</f>
        <v/>
      </c>
      <c r="AP382" s="124" t="str">
        <f>IF($B382="","",IF(AP$3=0,"n.b.",INDEX(SRC_Woningetalage!$A$1:$ZZ$501,$A382,AP$3)))</f>
        <v/>
      </c>
      <c r="AQ382" s="124" t="str">
        <f>IF($B382="","",IF(AQ$3=0,"n.b.",INDEX(SRC_Woningetalage!$A$1:$ZZ$501,$A382,AQ$3)))</f>
        <v/>
      </c>
      <c r="AR382" s="124" t="str">
        <f>IF($B382="","",IF(AR$3=0,"n.b.",INDEX(SRC_Woningetalage!$A$1:$ZZ$501,$A382,AR$3)))</f>
        <v/>
      </c>
      <c r="AS382" s="124" t="str">
        <f>IF($B382="","",IF(AS$3=0,"n.b.",INDEX(SRC_Woningetalage!$A$1:$ZZ$501,$A382,AS$3)))</f>
        <v/>
      </c>
      <c r="AT382" s="124" t="str">
        <f>IF($B382="","",IF(AT$3=0,"n.b.",INDEX(SRC_Woningetalage!$A$1:$ZZ$501,$A382,AT$3)))</f>
        <v/>
      </c>
      <c r="AU382" s="124" t="str">
        <f>IF($B382="","",IF(AU$3=0,"n.b.",INDEX(SRC_Woningetalage!$A$1:$ZZ$501,$A382,AU$3)))</f>
        <v/>
      </c>
      <c r="AV382" s="124" t="str">
        <f>IF($B382="","",IF(AV$3=0,"n.b.",INDEX(SRC_Woningetalage!$A$1:$ZZ$501,$A382,AV$3)))</f>
        <v/>
      </c>
      <c r="AW382" s="124" t="str">
        <f>IF($B382="","",IF(AW$3=0,"n.b.",INDEX(SRC_Woningetalage!$A$1:$ZZ$501,$A382,AW$3)))</f>
        <v/>
      </c>
      <c r="AX382" s="124" t="str">
        <f>IF($B382="","",IF(AX$3=0,"n.b.",INDEX(SRC_Woningetalage!$A$1:$ZZ$501,$A382,AX$3)))</f>
        <v/>
      </c>
      <c r="AY382" s="124" t="str">
        <f>IF($B382="","",IF(AY$3=0,"n.b.",INDEX(SRC_Woningetalage!$A$1:$ZZ$501,$A382,AY$3)))</f>
        <v/>
      </c>
      <c r="AZ382" s="124" t="str">
        <f>IF($B382="","",IF(AZ$3=0,"n.b.",INDEX(SRC_Woningetalage!$A$1:$ZZ$501,$A382,AZ$3)))</f>
        <v/>
      </c>
      <c r="BA382" s="124" t="str">
        <f>IF($B382="","",IF(BA$3=0,"n.b.",INDEX(SRC_Woningetalage!$A$1:$ZZ$501,$A382,BA$3)))</f>
        <v/>
      </c>
      <c r="BB382" s="124" t="str">
        <f>IF($B382="","",IF(BB$3=0,"n.b.",INDEX(SRC_Woningetalage!$A$1:$ZZ$501,$A382,BB$3)))</f>
        <v/>
      </c>
      <c r="BC382" s="124" t="str">
        <f>IF($B382="","",IFERROR(_xlfn.NUMBERVALUE(E382&amp;"",",","."),"n.b."))</f>
        <v/>
      </c>
      <c r="BD382" s="124" t="str">
        <f>IF($B382="","",IFERROR(_xlfn.NUMBERVALUE(M382&amp;"",",","."),"n.b."))</f>
        <v/>
      </c>
      <c r="BE382" s="124" t="str">
        <f>IF($B382="","",IFERROR(AB382+AC382+AD382,"n.b."))</f>
        <v/>
      </c>
      <c r="BF382" s="124" t="str">
        <f>IF($B382="","",IFERROR(AE382+AF382+AG382,"n.b."))</f>
        <v/>
      </c>
      <c r="BG382" s="124" t="str">
        <f>IF($B382="","",IFERROR(AH382+AI382+AJ382,"n.b."))</f>
        <v/>
      </c>
      <c r="BH382" s="124" t="str">
        <f>IF($B382="","",IFERROR(AK382+AL382+AM382,"n.b."))</f>
        <v/>
      </c>
      <c r="BI382" s="124" t="str">
        <f>IF($B382="","",IFERROR(SUMIF($AB$5:$AM$5,"&lt;="&amp;P_PeilMaand,AB382:AM382),"n.b."))</f>
        <v/>
      </c>
      <c r="BJ382" s="124" t="str">
        <f>IF($B382="","",IFERROR(SUM(AB382:AM382)-BI382,"n.b."))</f>
        <v/>
      </c>
      <c r="BK382" s="124" t="str">
        <f>IF($B382="","",IFERROR(IF(ABS(Q382-(T382+SUM(AB382:AM382)+AS382+AU382))&gt;P_Tol,1,0),1))</f>
        <v/>
      </c>
      <c r="BL382" s="124" t="str">
        <f>IF($B382="","",IFERROR(IF(ABS(AA382-(Q382-Z382))&gt;P_Tol,1,0),1))</f>
        <v/>
      </c>
      <c r="BM382" s="124" t="str">
        <f>IF($B382="","",IFERROR(IF(ABS(Z382-(T382+W382))&gt;P_Tol,1,0),1))</f>
        <v/>
      </c>
      <c r="BN382" s="124" t="str">
        <f>IF($B382="","",IFERROR(IF(ABS(W382-BI382)&gt;P_Tol,1,0),1))</f>
        <v/>
      </c>
      <c r="BO382" s="124" t="str">
        <f>IF($B382="","",IFERROR(IF(OR(ABS(R382+S382-T382)&gt;P_Tol,ABS(U382+V382-W382)&gt;P_Tol,ABS(X382+Y382-Z382)&gt;P_Tol),1,0),1))</f>
        <v/>
      </c>
      <c r="BP382" s="124" t="str">
        <f>IF($B382="","",IFERROR(IF(OR(ABS(AR382-SUM(AB382:AM382))&gt;P_Tol,ABS(AS382-(AN382+AO382+AP382+AQ382))&gt;P_Tol),1,0),1))</f>
        <v/>
      </c>
      <c r="BQ382" s="124" t="str">
        <f>IF($B382="","",IFERROR(IF(ABS(AT382)+ABS(AV382)+ABS(AW382)+ABS(AX382)+ABS(AY382)+ABS(AZ382)+ABS(BA382)+ABS(BB382)&gt;0,1,0),1))</f>
        <v/>
      </c>
      <c r="BR382" s="124" t="str">
        <f>IF($B382="","",COUNTIF(STG_ZPMW03!$B$6:$B$505,B382))</f>
        <v/>
      </c>
      <c r="BS382" s="124" t="str">
        <f>IF($B382="","",COUNTIF($B$6:$B$505,B382))</f>
        <v/>
      </c>
      <c r="BT382" s="124" t="str">
        <f>IF($B382="","",IF(BR382=0,0,IF(INDEX(STG_ZPMW03!$I$6:$I$505,MATCH(B382,STG_ZPMW03!$B$6:$B$505,0))=J382&amp;"",0,1)))</f>
        <v/>
      </c>
      <c r="BU382" s="124" t="str">
        <f>IF($B382="","",IFERROR(IF(ABS(INDEX(Mapping!$D$5:$D$104,MATCH(B382,Mapping!$A$5:$A$104,0))-Q382)&gt;P_Tol,1,0),0))</f>
        <v/>
      </c>
      <c r="BV382" s="124" t="str">
        <f>IF($B382="","",IFERROR(IF(AND(INDEX(Mapping!$G$5:$G$104,MATCH(B382,Mapping!$A$5:$A$104,0))="Nee",ABS(Q382)+ABS(Z382)+ABS(AR382)&gt;0),1,0),0))</f>
        <v/>
      </c>
      <c r="BW382" s="124" t="str">
        <f>IF($B382="","",IF(COUNTIF(Mapping!$A$5:$A$104,B382)&gt;0,1,0))</f>
        <v/>
      </c>
      <c r="BX382" s="124" t="str">
        <f>IF($B382="","",IF(BR382=0,COUNTIF($BR$6:BR382,0),""))</f>
        <v/>
      </c>
    </row>
    <row r="383">
      <c r="A383" s="15" t="n">
        <v>379</v>
      </c>
      <c r="B383" t="str">
        <f>IF(B$3=0,"",IF(INDEX(SRC_Woningetalage!$A$1:$ZZ$501,$A383,B$3)&amp;""="","",INDEX(SRC_Woningetalage!$A$1:$ZZ$501,$A383,B$3)&amp;""))</f>
        <v/>
      </c>
      <c r="C383" t="str">
        <f>IF($B383="","",IF(C$3=0,"n.b.",INDEX(SRC_Woningetalage!$A$1:$ZZ$501,$A383,C$3)))</f>
        <v/>
      </c>
      <c r="D383" t="str">
        <f>IF($B383="","",IF(D$3=0,"n.b.",INDEX(SRC_Woningetalage!$A$1:$ZZ$501,$A383,D$3)))</f>
        <v/>
      </c>
      <c r="E383" t="str">
        <f>IF($B383="","",IF(E$3=0,"n.b.",INDEX(SRC_Woningetalage!$A$1:$ZZ$501,$A383,E$3)))</f>
        <v/>
      </c>
      <c r="F383" t="str">
        <f>IF($B383="","",IF(F$3=0,"n.b.",INDEX(SRC_Woningetalage!$A$1:$ZZ$501,$A383,F$3)))</f>
        <v/>
      </c>
      <c r="G383" t="str">
        <f>IF($B383="","",IF(G$3=0,"n.b.",INDEX(SRC_Woningetalage!$A$1:$ZZ$501,$A383,G$3)))</f>
        <v/>
      </c>
      <c r="H383" t="str">
        <f>IF($B383="","",IF(H$3=0,"n.b.",INDEX(SRC_Woningetalage!$A$1:$ZZ$501,$A383,H$3)))</f>
        <v/>
      </c>
      <c r="I383" t="str">
        <f>IF($B383="","",IF(I$3=0,"n.b.",INDEX(SRC_Woningetalage!$A$1:$ZZ$501,$A383,I$3)))</f>
        <v/>
      </c>
      <c r="J383" t="str">
        <f>IF($B383="","",IF(J$3=0,"n.b.",INDEX(SRC_Woningetalage!$A$1:$ZZ$501,$A383,J$3)))</f>
        <v/>
      </c>
      <c r="K383" t="str">
        <f>IF($B383="","",IF(K$3=0,"n.b.",INDEX(SRC_Woningetalage!$A$1:$ZZ$501,$A383,K$3)))</f>
        <v/>
      </c>
      <c r="L383" t="str">
        <f>IF($B383="","",IF(L$3=0,"n.b.",INDEX(SRC_Woningetalage!$A$1:$ZZ$501,$A383,L$3)))</f>
        <v/>
      </c>
      <c r="M383" t="str">
        <f>IF($B383="","",IF(M$3=0,"n.b.",INDEX(SRC_Woningetalage!$A$1:$ZZ$501,$A383,M$3)))</f>
        <v/>
      </c>
      <c r="N383" t="str">
        <f>IF($B383="","",IF(N$3=0,"n.b.",INDEX(SRC_Woningetalage!$A$1:$ZZ$501,$A383,N$3)))</f>
        <v/>
      </c>
      <c r="O383" t="str">
        <f>IF($B383="","",IF(O$3=0,"n.b.",INDEX(SRC_Woningetalage!$A$1:$ZZ$501,$A383,O$3)))</f>
        <v/>
      </c>
      <c r="P383" t="str">
        <f>IF($B383="","",IF(P$3=0,"n.b.",INDEX(SRC_Woningetalage!$A$1:$ZZ$501,$A383,P$3)))</f>
        <v/>
      </c>
      <c r="Q383" s="124" t="str">
        <f>IF($B383="","",IF(Q$3=0,"n.b.",INDEX(SRC_Woningetalage!$A$1:$ZZ$501,$A383,Q$3)))</f>
        <v/>
      </c>
      <c r="R383" s="124" t="str">
        <f>IF($B383="","",IF(R$3=0,"n.b.",INDEX(SRC_Woningetalage!$A$1:$ZZ$501,$A383,R$3)))</f>
        <v/>
      </c>
      <c r="S383" s="124" t="str">
        <f>IF($B383="","",IF(S$3=0,"n.b.",INDEX(SRC_Woningetalage!$A$1:$ZZ$501,$A383,S$3)))</f>
        <v/>
      </c>
      <c r="T383" s="124" t="str">
        <f>IF($B383="","",IF(T$3=0,"n.b.",INDEX(SRC_Woningetalage!$A$1:$ZZ$501,$A383,T$3)))</f>
        <v/>
      </c>
      <c r="U383" s="124" t="str">
        <f>IF($B383="","",IF(U$3=0,"n.b.",INDEX(SRC_Woningetalage!$A$1:$ZZ$501,$A383,U$3)))</f>
        <v/>
      </c>
      <c r="V383" s="124" t="str">
        <f>IF($B383="","",IF(V$3=0,"n.b.",INDEX(SRC_Woningetalage!$A$1:$ZZ$501,$A383,V$3)))</f>
        <v/>
      </c>
      <c r="W383" s="124" t="str">
        <f>IF($B383="","",IF(W$3=0,"n.b.",INDEX(SRC_Woningetalage!$A$1:$ZZ$501,$A383,W$3)))</f>
        <v/>
      </c>
      <c r="X383" s="124" t="str">
        <f>IF($B383="","",IF(X$3=0,"n.b.",INDEX(SRC_Woningetalage!$A$1:$ZZ$501,$A383,X$3)))</f>
        <v/>
      </c>
      <c r="Y383" s="124" t="str">
        <f>IF($B383="","",IF(Y$3=0,"n.b.",INDEX(SRC_Woningetalage!$A$1:$ZZ$501,$A383,Y$3)))</f>
        <v/>
      </c>
      <c r="Z383" s="124" t="str">
        <f>IF($B383="","",IF(Z$3=0,"n.b.",INDEX(SRC_Woningetalage!$A$1:$ZZ$501,$A383,Z$3)))</f>
        <v/>
      </c>
      <c r="AA383" s="124" t="str">
        <f>IF($B383="","",IF(AA$3=0,"n.b.",INDEX(SRC_Woningetalage!$A$1:$ZZ$501,$A383,AA$3)))</f>
        <v/>
      </c>
      <c r="AB383" s="124" t="str">
        <f>IF($B383="","",IF(AB$3=0,"n.b.",INDEX(SRC_Woningetalage!$A$1:$ZZ$501,$A383,AB$3)))</f>
        <v/>
      </c>
      <c r="AC383" s="124" t="str">
        <f>IF($B383="","",IF(AC$3=0,"n.b.",INDEX(SRC_Woningetalage!$A$1:$ZZ$501,$A383,AC$3)))</f>
        <v/>
      </c>
      <c r="AD383" s="124" t="str">
        <f>IF($B383="","",IF(AD$3=0,"n.b.",INDEX(SRC_Woningetalage!$A$1:$ZZ$501,$A383,AD$3)))</f>
        <v/>
      </c>
      <c r="AE383" s="124" t="str">
        <f>IF($B383="","",IF(AE$3=0,"n.b.",INDEX(SRC_Woningetalage!$A$1:$ZZ$501,$A383,AE$3)))</f>
        <v/>
      </c>
      <c r="AF383" s="124" t="str">
        <f>IF($B383="","",IF(AF$3=0,"n.b.",INDEX(SRC_Woningetalage!$A$1:$ZZ$501,$A383,AF$3)))</f>
        <v/>
      </c>
      <c r="AG383" s="124" t="str">
        <f>IF($B383="","",IF(AG$3=0,"n.b.",INDEX(SRC_Woningetalage!$A$1:$ZZ$501,$A383,AG$3)))</f>
        <v/>
      </c>
      <c r="AH383" s="124" t="str">
        <f>IF($B383="","",IF(AH$3=0,"n.b.",INDEX(SRC_Woningetalage!$A$1:$ZZ$501,$A383,AH$3)))</f>
        <v/>
      </c>
      <c r="AI383" s="124" t="str">
        <f>IF($B383="","",IF(AI$3=0,"n.b.",INDEX(SRC_Woningetalage!$A$1:$ZZ$501,$A383,AI$3)))</f>
        <v/>
      </c>
      <c r="AJ383" s="124" t="str">
        <f>IF($B383="","",IF(AJ$3=0,"n.b.",INDEX(SRC_Woningetalage!$A$1:$ZZ$501,$A383,AJ$3)))</f>
        <v/>
      </c>
      <c r="AK383" s="124" t="str">
        <f>IF($B383="","",IF(AK$3=0,"n.b.",INDEX(SRC_Woningetalage!$A$1:$ZZ$501,$A383,AK$3)))</f>
        <v/>
      </c>
      <c r="AL383" s="124" t="str">
        <f>IF($B383="","",IF(AL$3=0,"n.b.",INDEX(SRC_Woningetalage!$A$1:$ZZ$501,$A383,AL$3)))</f>
        <v/>
      </c>
      <c r="AM383" s="124" t="str">
        <f>IF($B383="","",IF(AM$3=0,"n.b.",INDEX(SRC_Woningetalage!$A$1:$ZZ$501,$A383,AM$3)))</f>
        <v/>
      </c>
      <c r="AN383" s="124" t="str">
        <f>IF($B383="","",IF(AN$3=0,"n.b.",INDEX(SRC_Woningetalage!$A$1:$ZZ$501,$A383,AN$3)))</f>
        <v/>
      </c>
      <c r="AO383" s="124" t="str">
        <f>IF($B383="","",IF(AO$3=0,"n.b.",INDEX(SRC_Woningetalage!$A$1:$ZZ$501,$A383,AO$3)))</f>
        <v/>
      </c>
      <c r="AP383" s="124" t="str">
        <f>IF($B383="","",IF(AP$3=0,"n.b.",INDEX(SRC_Woningetalage!$A$1:$ZZ$501,$A383,AP$3)))</f>
        <v/>
      </c>
      <c r="AQ383" s="124" t="str">
        <f>IF($B383="","",IF(AQ$3=0,"n.b.",INDEX(SRC_Woningetalage!$A$1:$ZZ$501,$A383,AQ$3)))</f>
        <v/>
      </c>
      <c r="AR383" s="124" t="str">
        <f>IF($B383="","",IF(AR$3=0,"n.b.",INDEX(SRC_Woningetalage!$A$1:$ZZ$501,$A383,AR$3)))</f>
        <v/>
      </c>
      <c r="AS383" s="124" t="str">
        <f>IF($B383="","",IF(AS$3=0,"n.b.",INDEX(SRC_Woningetalage!$A$1:$ZZ$501,$A383,AS$3)))</f>
        <v/>
      </c>
      <c r="AT383" s="124" t="str">
        <f>IF($B383="","",IF(AT$3=0,"n.b.",INDEX(SRC_Woningetalage!$A$1:$ZZ$501,$A383,AT$3)))</f>
        <v/>
      </c>
      <c r="AU383" s="124" t="str">
        <f>IF($B383="","",IF(AU$3=0,"n.b.",INDEX(SRC_Woningetalage!$A$1:$ZZ$501,$A383,AU$3)))</f>
        <v/>
      </c>
      <c r="AV383" s="124" t="str">
        <f>IF($B383="","",IF(AV$3=0,"n.b.",INDEX(SRC_Woningetalage!$A$1:$ZZ$501,$A383,AV$3)))</f>
        <v/>
      </c>
      <c r="AW383" s="124" t="str">
        <f>IF($B383="","",IF(AW$3=0,"n.b.",INDEX(SRC_Woningetalage!$A$1:$ZZ$501,$A383,AW$3)))</f>
        <v/>
      </c>
      <c r="AX383" s="124" t="str">
        <f>IF($B383="","",IF(AX$3=0,"n.b.",INDEX(SRC_Woningetalage!$A$1:$ZZ$501,$A383,AX$3)))</f>
        <v/>
      </c>
      <c r="AY383" s="124" t="str">
        <f>IF($B383="","",IF(AY$3=0,"n.b.",INDEX(SRC_Woningetalage!$A$1:$ZZ$501,$A383,AY$3)))</f>
        <v/>
      </c>
      <c r="AZ383" s="124" t="str">
        <f>IF($B383="","",IF(AZ$3=0,"n.b.",INDEX(SRC_Woningetalage!$A$1:$ZZ$501,$A383,AZ$3)))</f>
        <v/>
      </c>
      <c r="BA383" s="124" t="str">
        <f>IF($B383="","",IF(BA$3=0,"n.b.",INDEX(SRC_Woningetalage!$A$1:$ZZ$501,$A383,BA$3)))</f>
        <v/>
      </c>
      <c r="BB383" s="124" t="str">
        <f>IF($B383="","",IF(BB$3=0,"n.b.",INDEX(SRC_Woningetalage!$A$1:$ZZ$501,$A383,BB$3)))</f>
        <v/>
      </c>
      <c r="BC383" s="124" t="str">
        <f>IF($B383="","",IFERROR(_xlfn.NUMBERVALUE(E383&amp;"",",","."),"n.b."))</f>
        <v/>
      </c>
      <c r="BD383" s="124" t="str">
        <f>IF($B383="","",IFERROR(_xlfn.NUMBERVALUE(M383&amp;"",",","."),"n.b."))</f>
        <v/>
      </c>
      <c r="BE383" s="124" t="str">
        <f>IF($B383="","",IFERROR(AB383+AC383+AD383,"n.b."))</f>
        <v/>
      </c>
      <c r="BF383" s="124" t="str">
        <f>IF($B383="","",IFERROR(AE383+AF383+AG383,"n.b."))</f>
        <v/>
      </c>
      <c r="BG383" s="124" t="str">
        <f>IF($B383="","",IFERROR(AH383+AI383+AJ383,"n.b."))</f>
        <v/>
      </c>
      <c r="BH383" s="124" t="str">
        <f>IF($B383="","",IFERROR(AK383+AL383+AM383,"n.b."))</f>
        <v/>
      </c>
      <c r="BI383" s="124" t="str">
        <f>IF($B383="","",IFERROR(SUMIF($AB$5:$AM$5,"&lt;="&amp;P_PeilMaand,AB383:AM383),"n.b."))</f>
        <v/>
      </c>
      <c r="BJ383" s="124" t="str">
        <f>IF($B383="","",IFERROR(SUM(AB383:AM383)-BI383,"n.b."))</f>
        <v/>
      </c>
      <c r="BK383" s="124" t="str">
        <f>IF($B383="","",IFERROR(IF(ABS(Q383-(T383+SUM(AB383:AM383)+AS383+AU383))&gt;P_Tol,1,0),1))</f>
        <v/>
      </c>
      <c r="BL383" s="124" t="str">
        <f>IF($B383="","",IFERROR(IF(ABS(AA383-(Q383-Z383))&gt;P_Tol,1,0),1))</f>
        <v/>
      </c>
      <c r="BM383" s="124" t="str">
        <f>IF($B383="","",IFERROR(IF(ABS(Z383-(T383+W383))&gt;P_Tol,1,0),1))</f>
        <v/>
      </c>
      <c r="BN383" s="124" t="str">
        <f>IF($B383="","",IFERROR(IF(ABS(W383-BI383)&gt;P_Tol,1,0),1))</f>
        <v/>
      </c>
      <c r="BO383" s="124" t="str">
        <f>IF($B383="","",IFERROR(IF(OR(ABS(R383+S383-T383)&gt;P_Tol,ABS(U383+V383-W383)&gt;P_Tol,ABS(X383+Y383-Z383)&gt;P_Tol),1,0),1))</f>
        <v/>
      </c>
      <c r="BP383" s="124" t="str">
        <f>IF($B383="","",IFERROR(IF(OR(ABS(AR383-SUM(AB383:AM383))&gt;P_Tol,ABS(AS383-(AN383+AO383+AP383+AQ383))&gt;P_Tol),1,0),1))</f>
        <v/>
      </c>
      <c r="BQ383" s="124" t="str">
        <f>IF($B383="","",IFERROR(IF(ABS(AT383)+ABS(AV383)+ABS(AW383)+ABS(AX383)+ABS(AY383)+ABS(AZ383)+ABS(BA383)+ABS(BB383)&gt;0,1,0),1))</f>
        <v/>
      </c>
      <c r="BR383" s="124" t="str">
        <f>IF($B383="","",COUNTIF(STG_ZPMW03!$B$6:$B$505,B383))</f>
        <v/>
      </c>
      <c r="BS383" s="124" t="str">
        <f>IF($B383="","",COUNTIF($B$6:$B$505,B383))</f>
        <v/>
      </c>
      <c r="BT383" s="124" t="str">
        <f>IF($B383="","",IF(BR383=0,0,IF(INDEX(STG_ZPMW03!$I$6:$I$505,MATCH(B383,STG_ZPMW03!$B$6:$B$505,0))=J383&amp;"",0,1)))</f>
        <v/>
      </c>
      <c r="BU383" s="124" t="str">
        <f>IF($B383="","",IFERROR(IF(ABS(INDEX(Mapping!$D$5:$D$104,MATCH(B383,Mapping!$A$5:$A$104,0))-Q383)&gt;P_Tol,1,0),0))</f>
        <v/>
      </c>
      <c r="BV383" s="124" t="str">
        <f>IF($B383="","",IFERROR(IF(AND(INDEX(Mapping!$G$5:$G$104,MATCH(B383,Mapping!$A$5:$A$104,0))="Nee",ABS(Q383)+ABS(Z383)+ABS(AR383)&gt;0),1,0),0))</f>
        <v/>
      </c>
      <c r="BW383" s="124" t="str">
        <f>IF($B383="","",IF(COUNTIF(Mapping!$A$5:$A$104,B383)&gt;0,1,0))</f>
        <v/>
      </c>
      <c r="BX383" s="124" t="str">
        <f>IF($B383="","",IF(BR383=0,COUNTIF($BR$6:BR383,0),""))</f>
        <v/>
      </c>
    </row>
    <row r="384">
      <c r="A384" s="15" t="n">
        <v>380</v>
      </c>
      <c r="B384" t="str">
        <f>IF(B$3=0,"",IF(INDEX(SRC_Woningetalage!$A$1:$ZZ$501,$A384,B$3)&amp;""="","",INDEX(SRC_Woningetalage!$A$1:$ZZ$501,$A384,B$3)&amp;""))</f>
        <v/>
      </c>
      <c r="C384" t="str">
        <f>IF($B384="","",IF(C$3=0,"n.b.",INDEX(SRC_Woningetalage!$A$1:$ZZ$501,$A384,C$3)))</f>
        <v/>
      </c>
      <c r="D384" t="str">
        <f>IF($B384="","",IF(D$3=0,"n.b.",INDEX(SRC_Woningetalage!$A$1:$ZZ$501,$A384,D$3)))</f>
        <v/>
      </c>
      <c r="E384" t="str">
        <f>IF($B384="","",IF(E$3=0,"n.b.",INDEX(SRC_Woningetalage!$A$1:$ZZ$501,$A384,E$3)))</f>
        <v/>
      </c>
      <c r="F384" t="str">
        <f>IF($B384="","",IF(F$3=0,"n.b.",INDEX(SRC_Woningetalage!$A$1:$ZZ$501,$A384,F$3)))</f>
        <v/>
      </c>
      <c r="G384" t="str">
        <f>IF($B384="","",IF(G$3=0,"n.b.",INDEX(SRC_Woningetalage!$A$1:$ZZ$501,$A384,G$3)))</f>
        <v/>
      </c>
      <c r="H384" t="str">
        <f>IF($B384="","",IF(H$3=0,"n.b.",INDEX(SRC_Woningetalage!$A$1:$ZZ$501,$A384,H$3)))</f>
        <v/>
      </c>
      <c r="I384" t="str">
        <f>IF($B384="","",IF(I$3=0,"n.b.",INDEX(SRC_Woningetalage!$A$1:$ZZ$501,$A384,I$3)))</f>
        <v/>
      </c>
      <c r="J384" t="str">
        <f>IF($B384="","",IF(J$3=0,"n.b.",INDEX(SRC_Woningetalage!$A$1:$ZZ$501,$A384,J$3)))</f>
        <v/>
      </c>
      <c r="K384" t="str">
        <f>IF($B384="","",IF(K$3=0,"n.b.",INDEX(SRC_Woningetalage!$A$1:$ZZ$501,$A384,K$3)))</f>
        <v/>
      </c>
      <c r="L384" t="str">
        <f>IF($B384="","",IF(L$3=0,"n.b.",INDEX(SRC_Woningetalage!$A$1:$ZZ$501,$A384,L$3)))</f>
        <v/>
      </c>
      <c r="M384" t="str">
        <f>IF($B384="","",IF(M$3=0,"n.b.",INDEX(SRC_Woningetalage!$A$1:$ZZ$501,$A384,M$3)))</f>
        <v/>
      </c>
      <c r="N384" t="str">
        <f>IF($B384="","",IF(N$3=0,"n.b.",INDEX(SRC_Woningetalage!$A$1:$ZZ$501,$A384,N$3)))</f>
        <v/>
      </c>
      <c r="O384" t="str">
        <f>IF($B384="","",IF(O$3=0,"n.b.",INDEX(SRC_Woningetalage!$A$1:$ZZ$501,$A384,O$3)))</f>
        <v/>
      </c>
      <c r="P384" t="str">
        <f>IF($B384="","",IF(P$3=0,"n.b.",INDEX(SRC_Woningetalage!$A$1:$ZZ$501,$A384,P$3)))</f>
        <v/>
      </c>
      <c r="Q384" s="124" t="str">
        <f>IF($B384="","",IF(Q$3=0,"n.b.",INDEX(SRC_Woningetalage!$A$1:$ZZ$501,$A384,Q$3)))</f>
        <v/>
      </c>
      <c r="R384" s="124" t="str">
        <f>IF($B384="","",IF(R$3=0,"n.b.",INDEX(SRC_Woningetalage!$A$1:$ZZ$501,$A384,R$3)))</f>
        <v/>
      </c>
      <c r="S384" s="124" t="str">
        <f>IF($B384="","",IF(S$3=0,"n.b.",INDEX(SRC_Woningetalage!$A$1:$ZZ$501,$A384,S$3)))</f>
        <v/>
      </c>
      <c r="T384" s="124" t="str">
        <f>IF($B384="","",IF(T$3=0,"n.b.",INDEX(SRC_Woningetalage!$A$1:$ZZ$501,$A384,T$3)))</f>
        <v/>
      </c>
      <c r="U384" s="124" t="str">
        <f>IF($B384="","",IF(U$3=0,"n.b.",INDEX(SRC_Woningetalage!$A$1:$ZZ$501,$A384,U$3)))</f>
        <v/>
      </c>
      <c r="V384" s="124" t="str">
        <f>IF($B384="","",IF(V$3=0,"n.b.",INDEX(SRC_Woningetalage!$A$1:$ZZ$501,$A384,V$3)))</f>
        <v/>
      </c>
      <c r="W384" s="124" t="str">
        <f>IF($B384="","",IF(W$3=0,"n.b.",INDEX(SRC_Woningetalage!$A$1:$ZZ$501,$A384,W$3)))</f>
        <v/>
      </c>
      <c r="X384" s="124" t="str">
        <f>IF($B384="","",IF(X$3=0,"n.b.",INDEX(SRC_Woningetalage!$A$1:$ZZ$501,$A384,X$3)))</f>
        <v/>
      </c>
      <c r="Y384" s="124" t="str">
        <f>IF($B384="","",IF(Y$3=0,"n.b.",INDEX(SRC_Woningetalage!$A$1:$ZZ$501,$A384,Y$3)))</f>
        <v/>
      </c>
      <c r="Z384" s="124" t="str">
        <f>IF($B384="","",IF(Z$3=0,"n.b.",INDEX(SRC_Woningetalage!$A$1:$ZZ$501,$A384,Z$3)))</f>
        <v/>
      </c>
      <c r="AA384" s="124" t="str">
        <f>IF($B384="","",IF(AA$3=0,"n.b.",INDEX(SRC_Woningetalage!$A$1:$ZZ$501,$A384,AA$3)))</f>
        <v/>
      </c>
      <c r="AB384" s="124" t="str">
        <f>IF($B384="","",IF(AB$3=0,"n.b.",INDEX(SRC_Woningetalage!$A$1:$ZZ$501,$A384,AB$3)))</f>
        <v/>
      </c>
      <c r="AC384" s="124" t="str">
        <f>IF($B384="","",IF(AC$3=0,"n.b.",INDEX(SRC_Woningetalage!$A$1:$ZZ$501,$A384,AC$3)))</f>
        <v/>
      </c>
      <c r="AD384" s="124" t="str">
        <f>IF($B384="","",IF(AD$3=0,"n.b.",INDEX(SRC_Woningetalage!$A$1:$ZZ$501,$A384,AD$3)))</f>
        <v/>
      </c>
      <c r="AE384" s="124" t="str">
        <f>IF($B384="","",IF(AE$3=0,"n.b.",INDEX(SRC_Woningetalage!$A$1:$ZZ$501,$A384,AE$3)))</f>
        <v/>
      </c>
      <c r="AF384" s="124" t="str">
        <f>IF($B384="","",IF(AF$3=0,"n.b.",INDEX(SRC_Woningetalage!$A$1:$ZZ$501,$A384,AF$3)))</f>
        <v/>
      </c>
      <c r="AG384" s="124" t="str">
        <f>IF($B384="","",IF(AG$3=0,"n.b.",INDEX(SRC_Woningetalage!$A$1:$ZZ$501,$A384,AG$3)))</f>
        <v/>
      </c>
      <c r="AH384" s="124" t="str">
        <f>IF($B384="","",IF(AH$3=0,"n.b.",INDEX(SRC_Woningetalage!$A$1:$ZZ$501,$A384,AH$3)))</f>
        <v/>
      </c>
      <c r="AI384" s="124" t="str">
        <f>IF($B384="","",IF(AI$3=0,"n.b.",INDEX(SRC_Woningetalage!$A$1:$ZZ$501,$A384,AI$3)))</f>
        <v/>
      </c>
      <c r="AJ384" s="124" t="str">
        <f>IF($B384="","",IF(AJ$3=0,"n.b.",INDEX(SRC_Woningetalage!$A$1:$ZZ$501,$A384,AJ$3)))</f>
        <v/>
      </c>
      <c r="AK384" s="124" t="str">
        <f>IF($B384="","",IF(AK$3=0,"n.b.",INDEX(SRC_Woningetalage!$A$1:$ZZ$501,$A384,AK$3)))</f>
        <v/>
      </c>
      <c r="AL384" s="124" t="str">
        <f>IF($B384="","",IF(AL$3=0,"n.b.",INDEX(SRC_Woningetalage!$A$1:$ZZ$501,$A384,AL$3)))</f>
        <v/>
      </c>
      <c r="AM384" s="124" t="str">
        <f>IF($B384="","",IF(AM$3=0,"n.b.",INDEX(SRC_Woningetalage!$A$1:$ZZ$501,$A384,AM$3)))</f>
        <v/>
      </c>
      <c r="AN384" s="124" t="str">
        <f>IF($B384="","",IF(AN$3=0,"n.b.",INDEX(SRC_Woningetalage!$A$1:$ZZ$501,$A384,AN$3)))</f>
        <v/>
      </c>
      <c r="AO384" s="124" t="str">
        <f>IF($B384="","",IF(AO$3=0,"n.b.",INDEX(SRC_Woningetalage!$A$1:$ZZ$501,$A384,AO$3)))</f>
        <v/>
      </c>
      <c r="AP384" s="124" t="str">
        <f>IF($B384="","",IF(AP$3=0,"n.b.",INDEX(SRC_Woningetalage!$A$1:$ZZ$501,$A384,AP$3)))</f>
        <v/>
      </c>
      <c r="AQ384" s="124" t="str">
        <f>IF($B384="","",IF(AQ$3=0,"n.b.",INDEX(SRC_Woningetalage!$A$1:$ZZ$501,$A384,AQ$3)))</f>
        <v/>
      </c>
      <c r="AR384" s="124" t="str">
        <f>IF($B384="","",IF(AR$3=0,"n.b.",INDEX(SRC_Woningetalage!$A$1:$ZZ$501,$A384,AR$3)))</f>
        <v/>
      </c>
      <c r="AS384" s="124" t="str">
        <f>IF($B384="","",IF(AS$3=0,"n.b.",INDEX(SRC_Woningetalage!$A$1:$ZZ$501,$A384,AS$3)))</f>
        <v/>
      </c>
      <c r="AT384" s="124" t="str">
        <f>IF($B384="","",IF(AT$3=0,"n.b.",INDEX(SRC_Woningetalage!$A$1:$ZZ$501,$A384,AT$3)))</f>
        <v/>
      </c>
      <c r="AU384" s="124" t="str">
        <f>IF($B384="","",IF(AU$3=0,"n.b.",INDEX(SRC_Woningetalage!$A$1:$ZZ$501,$A384,AU$3)))</f>
        <v/>
      </c>
      <c r="AV384" s="124" t="str">
        <f>IF($B384="","",IF(AV$3=0,"n.b.",INDEX(SRC_Woningetalage!$A$1:$ZZ$501,$A384,AV$3)))</f>
        <v/>
      </c>
      <c r="AW384" s="124" t="str">
        <f>IF($B384="","",IF(AW$3=0,"n.b.",INDEX(SRC_Woningetalage!$A$1:$ZZ$501,$A384,AW$3)))</f>
        <v/>
      </c>
      <c r="AX384" s="124" t="str">
        <f>IF($B384="","",IF(AX$3=0,"n.b.",INDEX(SRC_Woningetalage!$A$1:$ZZ$501,$A384,AX$3)))</f>
        <v/>
      </c>
      <c r="AY384" s="124" t="str">
        <f>IF($B384="","",IF(AY$3=0,"n.b.",INDEX(SRC_Woningetalage!$A$1:$ZZ$501,$A384,AY$3)))</f>
        <v/>
      </c>
      <c r="AZ384" s="124" t="str">
        <f>IF($B384="","",IF(AZ$3=0,"n.b.",INDEX(SRC_Woningetalage!$A$1:$ZZ$501,$A384,AZ$3)))</f>
        <v/>
      </c>
      <c r="BA384" s="124" t="str">
        <f>IF($B384="","",IF(BA$3=0,"n.b.",INDEX(SRC_Woningetalage!$A$1:$ZZ$501,$A384,BA$3)))</f>
        <v/>
      </c>
      <c r="BB384" s="124" t="str">
        <f>IF($B384="","",IF(BB$3=0,"n.b.",INDEX(SRC_Woningetalage!$A$1:$ZZ$501,$A384,BB$3)))</f>
        <v/>
      </c>
      <c r="BC384" s="124" t="str">
        <f>IF($B384="","",IFERROR(_xlfn.NUMBERVALUE(E384&amp;"",",","."),"n.b."))</f>
        <v/>
      </c>
      <c r="BD384" s="124" t="str">
        <f>IF($B384="","",IFERROR(_xlfn.NUMBERVALUE(M384&amp;"",",","."),"n.b."))</f>
        <v/>
      </c>
      <c r="BE384" s="124" t="str">
        <f>IF($B384="","",IFERROR(AB384+AC384+AD384,"n.b."))</f>
        <v/>
      </c>
      <c r="BF384" s="124" t="str">
        <f>IF($B384="","",IFERROR(AE384+AF384+AG384,"n.b."))</f>
        <v/>
      </c>
      <c r="BG384" s="124" t="str">
        <f>IF($B384="","",IFERROR(AH384+AI384+AJ384,"n.b."))</f>
        <v/>
      </c>
      <c r="BH384" s="124" t="str">
        <f>IF($B384="","",IFERROR(AK384+AL384+AM384,"n.b."))</f>
        <v/>
      </c>
      <c r="BI384" s="124" t="str">
        <f>IF($B384="","",IFERROR(SUMIF($AB$5:$AM$5,"&lt;="&amp;P_PeilMaand,AB384:AM384),"n.b."))</f>
        <v/>
      </c>
      <c r="BJ384" s="124" t="str">
        <f>IF($B384="","",IFERROR(SUM(AB384:AM384)-BI384,"n.b."))</f>
        <v/>
      </c>
      <c r="BK384" s="124" t="str">
        <f>IF($B384="","",IFERROR(IF(ABS(Q384-(T384+SUM(AB384:AM384)+AS384+AU384))&gt;P_Tol,1,0),1))</f>
        <v/>
      </c>
      <c r="BL384" s="124" t="str">
        <f>IF($B384="","",IFERROR(IF(ABS(AA384-(Q384-Z384))&gt;P_Tol,1,0),1))</f>
        <v/>
      </c>
      <c r="BM384" s="124" t="str">
        <f>IF($B384="","",IFERROR(IF(ABS(Z384-(T384+W384))&gt;P_Tol,1,0),1))</f>
        <v/>
      </c>
      <c r="BN384" s="124" t="str">
        <f>IF($B384="","",IFERROR(IF(ABS(W384-BI384)&gt;P_Tol,1,0),1))</f>
        <v/>
      </c>
      <c r="BO384" s="124" t="str">
        <f>IF($B384="","",IFERROR(IF(OR(ABS(R384+S384-T384)&gt;P_Tol,ABS(U384+V384-W384)&gt;P_Tol,ABS(X384+Y384-Z384)&gt;P_Tol),1,0),1))</f>
        <v/>
      </c>
      <c r="BP384" s="124" t="str">
        <f>IF($B384="","",IFERROR(IF(OR(ABS(AR384-SUM(AB384:AM384))&gt;P_Tol,ABS(AS384-(AN384+AO384+AP384+AQ384))&gt;P_Tol),1,0),1))</f>
        <v/>
      </c>
      <c r="BQ384" s="124" t="str">
        <f>IF($B384="","",IFERROR(IF(ABS(AT384)+ABS(AV384)+ABS(AW384)+ABS(AX384)+ABS(AY384)+ABS(AZ384)+ABS(BA384)+ABS(BB384)&gt;0,1,0),1))</f>
        <v/>
      </c>
      <c r="BR384" s="124" t="str">
        <f>IF($B384="","",COUNTIF(STG_ZPMW03!$B$6:$B$505,B384))</f>
        <v/>
      </c>
      <c r="BS384" s="124" t="str">
        <f>IF($B384="","",COUNTIF($B$6:$B$505,B384))</f>
        <v/>
      </c>
      <c r="BT384" s="124" t="str">
        <f>IF($B384="","",IF(BR384=0,0,IF(INDEX(STG_ZPMW03!$I$6:$I$505,MATCH(B384,STG_ZPMW03!$B$6:$B$505,0))=J384&amp;"",0,1)))</f>
        <v/>
      </c>
      <c r="BU384" s="124" t="str">
        <f>IF($B384="","",IFERROR(IF(ABS(INDEX(Mapping!$D$5:$D$104,MATCH(B384,Mapping!$A$5:$A$104,0))-Q384)&gt;P_Tol,1,0),0))</f>
        <v/>
      </c>
      <c r="BV384" s="124" t="str">
        <f>IF($B384="","",IFERROR(IF(AND(INDEX(Mapping!$G$5:$G$104,MATCH(B384,Mapping!$A$5:$A$104,0))="Nee",ABS(Q384)+ABS(Z384)+ABS(AR384)&gt;0),1,0),0))</f>
        <v/>
      </c>
      <c r="BW384" s="124" t="str">
        <f>IF($B384="","",IF(COUNTIF(Mapping!$A$5:$A$104,B384)&gt;0,1,0))</f>
        <v/>
      </c>
      <c r="BX384" s="124" t="str">
        <f>IF($B384="","",IF(BR384=0,COUNTIF($BR$6:BR384,0),""))</f>
        <v/>
      </c>
    </row>
    <row r="385">
      <c r="A385" s="15" t="n">
        <v>381</v>
      </c>
      <c r="B385" t="str">
        <f>IF(B$3=0,"",IF(INDEX(SRC_Woningetalage!$A$1:$ZZ$501,$A385,B$3)&amp;""="","",INDEX(SRC_Woningetalage!$A$1:$ZZ$501,$A385,B$3)&amp;""))</f>
        <v/>
      </c>
      <c r="C385" t="str">
        <f>IF($B385="","",IF(C$3=0,"n.b.",INDEX(SRC_Woningetalage!$A$1:$ZZ$501,$A385,C$3)))</f>
        <v/>
      </c>
      <c r="D385" t="str">
        <f>IF($B385="","",IF(D$3=0,"n.b.",INDEX(SRC_Woningetalage!$A$1:$ZZ$501,$A385,D$3)))</f>
        <v/>
      </c>
      <c r="E385" t="str">
        <f>IF($B385="","",IF(E$3=0,"n.b.",INDEX(SRC_Woningetalage!$A$1:$ZZ$501,$A385,E$3)))</f>
        <v/>
      </c>
      <c r="F385" t="str">
        <f>IF($B385="","",IF(F$3=0,"n.b.",INDEX(SRC_Woningetalage!$A$1:$ZZ$501,$A385,F$3)))</f>
        <v/>
      </c>
      <c r="G385" t="str">
        <f>IF($B385="","",IF(G$3=0,"n.b.",INDEX(SRC_Woningetalage!$A$1:$ZZ$501,$A385,G$3)))</f>
        <v/>
      </c>
      <c r="H385" t="str">
        <f>IF($B385="","",IF(H$3=0,"n.b.",INDEX(SRC_Woningetalage!$A$1:$ZZ$501,$A385,H$3)))</f>
        <v/>
      </c>
      <c r="I385" t="str">
        <f>IF($B385="","",IF(I$3=0,"n.b.",INDEX(SRC_Woningetalage!$A$1:$ZZ$501,$A385,I$3)))</f>
        <v/>
      </c>
      <c r="J385" t="str">
        <f>IF($B385="","",IF(J$3=0,"n.b.",INDEX(SRC_Woningetalage!$A$1:$ZZ$501,$A385,J$3)))</f>
        <v/>
      </c>
      <c r="K385" t="str">
        <f>IF($B385="","",IF(K$3=0,"n.b.",INDEX(SRC_Woningetalage!$A$1:$ZZ$501,$A385,K$3)))</f>
        <v/>
      </c>
      <c r="L385" t="str">
        <f>IF($B385="","",IF(L$3=0,"n.b.",INDEX(SRC_Woningetalage!$A$1:$ZZ$501,$A385,L$3)))</f>
        <v/>
      </c>
      <c r="M385" t="str">
        <f>IF($B385="","",IF(M$3=0,"n.b.",INDEX(SRC_Woningetalage!$A$1:$ZZ$501,$A385,M$3)))</f>
        <v/>
      </c>
      <c r="N385" t="str">
        <f>IF($B385="","",IF(N$3=0,"n.b.",INDEX(SRC_Woningetalage!$A$1:$ZZ$501,$A385,N$3)))</f>
        <v/>
      </c>
      <c r="O385" t="str">
        <f>IF($B385="","",IF(O$3=0,"n.b.",INDEX(SRC_Woningetalage!$A$1:$ZZ$501,$A385,O$3)))</f>
        <v/>
      </c>
      <c r="P385" t="str">
        <f>IF($B385="","",IF(P$3=0,"n.b.",INDEX(SRC_Woningetalage!$A$1:$ZZ$501,$A385,P$3)))</f>
        <v/>
      </c>
      <c r="Q385" s="124" t="str">
        <f>IF($B385="","",IF(Q$3=0,"n.b.",INDEX(SRC_Woningetalage!$A$1:$ZZ$501,$A385,Q$3)))</f>
        <v/>
      </c>
      <c r="R385" s="124" t="str">
        <f>IF($B385="","",IF(R$3=0,"n.b.",INDEX(SRC_Woningetalage!$A$1:$ZZ$501,$A385,R$3)))</f>
        <v/>
      </c>
      <c r="S385" s="124" t="str">
        <f>IF($B385="","",IF(S$3=0,"n.b.",INDEX(SRC_Woningetalage!$A$1:$ZZ$501,$A385,S$3)))</f>
        <v/>
      </c>
      <c r="T385" s="124" t="str">
        <f>IF($B385="","",IF(T$3=0,"n.b.",INDEX(SRC_Woningetalage!$A$1:$ZZ$501,$A385,T$3)))</f>
        <v/>
      </c>
      <c r="U385" s="124" t="str">
        <f>IF($B385="","",IF(U$3=0,"n.b.",INDEX(SRC_Woningetalage!$A$1:$ZZ$501,$A385,U$3)))</f>
        <v/>
      </c>
      <c r="V385" s="124" t="str">
        <f>IF($B385="","",IF(V$3=0,"n.b.",INDEX(SRC_Woningetalage!$A$1:$ZZ$501,$A385,V$3)))</f>
        <v/>
      </c>
      <c r="W385" s="124" t="str">
        <f>IF($B385="","",IF(W$3=0,"n.b.",INDEX(SRC_Woningetalage!$A$1:$ZZ$501,$A385,W$3)))</f>
        <v/>
      </c>
      <c r="X385" s="124" t="str">
        <f>IF($B385="","",IF(X$3=0,"n.b.",INDEX(SRC_Woningetalage!$A$1:$ZZ$501,$A385,X$3)))</f>
        <v/>
      </c>
      <c r="Y385" s="124" t="str">
        <f>IF($B385="","",IF(Y$3=0,"n.b.",INDEX(SRC_Woningetalage!$A$1:$ZZ$501,$A385,Y$3)))</f>
        <v/>
      </c>
      <c r="Z385" s="124" t="str">
        <f>IF($B385="","",IF(Z$3=0,"n.b.",INDEX(SRC_Woningetalage!$A$1:$ZZ$501,$A385,Z$3)))</f>
        <v/>
      </c>
      <c r="AA385" s="124" t="str">
        <f>IF($B385="","",IF(AA$3=0,"n.b.",INDEX(SRC_Woningetalage!$A$1:$ZZ$501,$A385,AA$3)))</f>
        <v/>
      </c>
      <c r="AB385" s="124" t="str">
        <f>IF($B385="","",IF(AB$3=0,"n.b.",INDEX(SRC_Woningetalage!$A$1:$ZZ$501,$A385,AB$3)))</f>
        <v/>
      </c>
      <c r="AC385" s="124" t="str">
        <f>IF($B385="","",IF(AC$3=0,"n.b.",INDEX(SRC_Woningetalage!$A$1:$ZZ$501,$A385,AC$3)))</f>
        <v/>
      </c>
      <c r="AD385" s="124" t="str">
        <f>IF($B385="","",IF(AD$3=0,"n.b.",INDEX(SRC_Woningetalage!$A$1:$ZZ$501,$A385,AD$3)))</f>
        <v/>
      </c>
      <c r="AE385" s="124" t="str">
        <f>IF($B385="","",IF(AE$3=0,"n.b.",INDEX(SRC_Woningetalage!$A$1:$ZZ$501,$A385,AE$3)))</f>
        <v/>
      </c>
      <c r="AF385" s="124" t="str">
        <f>IF($B385="","",IF(AF$3=0,"n.b.",INDEX(SRC_Woningetalage!$A$1:$ZZ$501,$A385,AF$3)))</f>
        <v/>
      </c>
      <c r="AG385" s="124" t="str">
        <f>IF($B385="","",IF(AG$3=0,"n.b.",INDEX(SRC_Woningetalage!$A$1:$ZZ$501,$A385,AG$3)))</f>
        <v/>
      </c>
      <c r="AH385" s="124" t="str">
        <f>IF($B385="","",IF(AH$3=0,"n.b.",INDEX(SRC_Woningetalage!$A$1:$ZZ$501,$A385,AH$3)))</f>
        <v/>
      </c>
      <c r="AI385" s="124" t="str">
        <f>IF($B385="","",IF(AI$3=0,"n.b.",INDEX(SRC_Woningetalage!$A$1:$ZZ$501,$A385,AI$3)))</f>
        <v/>
      </c>
      <c r="AJ385" s="124" t="str">
        <f>IF($B385="","",IF(AJ$3=0,"n.b.",INDEX(SRC_Woningetalage!$A$1:$ZZ$501,$A385,AJ$3)))</f>
        <v/>
      </c>
      <c r="AK385" s="124" t="str">
        <f>IF($B385="","",IF(AK$3=0,"n.b.",INDEX(SRC_Woningetalage!$A$1:$ZZ$501,$A385,AK$3)))</f>
        <v/>
      </c>
      <c r="AL385" s="124" t="str">
        <f>IF($B385="","",IF(AL$3=0,"n.b.",INDEX(SRC_Woningetalage!$A$1:$ZZ$501,$A385,AL$3)))</f>
        <v/>
      </c>
      <c r="AM385" s="124" t="str">
        <f>IF($B385="","",IF(AM$3=0,"n.b.",INDEX(SRC_Woningetalage!$A$1:$ZZ$501,$A385,AM$3)))</f>
        <v/>
      </c>
      <c r="AN385" s="124" t="str">
        <f>IF($B385="","",IF(AN$3=0,"n.b.",INDEX(SRC_Woningetalage!$A$1:$ZZ$501,$A385,AN$3)))</f>
        <v/>
      </c>
      <c r="AO385" s="124" t="str">
        <f>IF($B385="","",IF(AO$3=0,"n.b.",INDEX(SRC_Woningetalage!$A$1:$ZZ$501,$A385,AO$3)))</f>
        <v/>
      </c>
      <c r="AP385" s="124" t="str">
        <f>IF($B385="","",IF(AP$3=0,"n.b.",INDEX(SRC_Woningetalage!$A$1:$ZZ$501,$A385,AP$3)))</f>
        <v/>
      </c>
      <c r="AQ385" s="124" t="str">
        <f>IF($B385="","",IF(AQ$3=0,"n.b.",INDEX(SRC_Woningetalage!$A$1:$ZZ$501,$A385,AQ$3)))</f>
        <v/>
      </c>
      <c r="AR385" s="124" t="str">
        <f>IF($B385="","",IF(AR$3=0,"n.b.",INDEX(SRC_Woningetalage!$A$1:$ZZ$501,$A385,AR$3)))</f>
        <v/>
      </c>
      <c r="AS385" s="124" t="str">
        <f>IF($B385="","",IF(AS$3=0,"n.b.",INDEX(SRC_Woningetalage!$A$1:$ZZ$501,$A385,AS$3)))</f>
        <v/>
      </c>
      <c r="AT385" s="124" t="str">
        <f>IF($B385="","",IF(AT$3=0,"n.b.",INDEX(SRC_Woningetalage!$A$1:$ZZ$501,$A385,AT$3)))</f>
        <v/>
      </c>
      <c r="AU385" s="124" t="str">
        <f>IF($B385="","",IF(AU$3=0,"n.b.",INDEX(SRC_Woningetalage!$A$1:$ZZ$501,$A385,AU$3)))</f>
        <v/>
      </c>
      <c r="AV385" s="124" t="str">
        <f>IF($B385="","",IF(AV$3=0,"n.b.",INDEX(SRC_Woningetalage!$A$1:$ZZ$501,$A385,AV$3)))</f>
        <v/>
      </c>
      <c r="AW385" s="124" t="str">
        <f>IF($B385="","",IF(AW$3=0,"n.b.",INDEX(SRC_Woningetalage!$A$1:$ZZ$501,$A385,AW$3)))</f>
        <v/>
      </c>
      <c r="AX385" s="124" t="str">
        <f>IF($B385="","",IF(AX$3=0,"n.b.",INDEX(SRC_Woningetalage!$A$1:$ZZ$501,$A385,AX$3)))</f>
        <v/>
      </c>
      <c r="AY385" s="124" t="str">
        <f>IF($B385="","",IF(AY$3=0,"n.b.",INDEX(SRC_Woningetalage!$A$1:$ZZ$501,$A385,AY$3)))</f>
        <v/>
      </c>
      <c r="AZ385" s="124" t="str">
        <f>IF($B385="","",IF(AZ$3=0,"n.b.",INDEX(SRC_Woningetalage!$A$1:$ZZ$501,$A385,AZ$3)))</f>
        <v/>
      </c>
      <c r="BA385" s="124" t="str">
        <f>IF($B385="","",IF(BA$3=0,"n.b.",INDEX(SRC_Woningetalage!$A$1:$ZZ$501,$A385,BA$3)))</f>
        <v/>
      </c>
      <c r="BB385" s="124" t="str">
        <f>IF($B385="","",IF(BB$3=0,"n.b.",INDEX(SRC_Woningetalage!$A$1:$ZZ$501,$A385,BB$3)))</f>
        <v/>
      </c>
      <c r="BC385" s="124" t="str">
        <f>IF($B385="","",IFERROR(_xlfn.NUMBERVALUE(E385&amp;"",",","."),"n.b."))</f>
        <v/>
      </c>
      <c r="BD385" s="124" t="str">
        <f>IF($B385="","",IFERROR(_xlfn.NUMBERVALUE(M385&amp;"",",","."),"n.b."))</f>
        <v/>
      </c>
      <c r="BE385" s="124" t="str">
        <f>IF($B385="","",IFERROR(AB385+AC385+AD385,"n.b."))</f>
        <v/>
      </c>
      <c r="BF385" s="124" t="str">
        <f>IF($B385="","",IFERROR(AE385+AF385+AG385,"n.b."))</f>
        <v/>
      </c>
      <c r="BG385" s="124" t="str">
        <f>IF($B385="","",IFERROR(AH385+AI385+AJ385,"n.b."))</f>
        <v/>
      </c>
      <c r="BH385" s="124" t="str">
        <f>IF($B385="","",IFERROR(AK385+AL385+AM385,"n.b."))</f>
        <v/>
      </c>
      <c r="BI385" s="124" t="str">
        <f>IF($B385="","",IFERROR(SUMIF($AB$5:$AM$5,"&lt;="&amp;P_PeilMaand,AB385:AM385),"n.b."))</f>
        <v/>
      </c>
      <c r="BJ385" s="124" t="str">
        <f>IF($B385="","",IFERROR(SUM(AB385:AM385)-BI385,"n.b."))</f>
        <v/>
      </c>
      <c r="BK385" s="124" t="str">
        <f>IF($B385="","",IFERROR(IF(ABS(Q385-(T385+SUM(AB385:AM385)+AS385+AU385))&gt;P_Tol,1,0),1))</f>
        <v/>
      </c>
      <c r="BL385" s="124" t="str">
        <f>IF($B385="","",IFERROR(IF(ABS(AA385-(Q385-Z385))&gt;P_Tol,1,0),1))</f>
        <v/>
      </c>
      <c r="BM385" s="124" t="str">
        <f>IF($B385="","",IFERROR(IF(ABS(Z385-(T385+W385))&gt;P_Tol,1,0),1))</f>
        <v/>
      </c>
      <c r="BN385" s="124" t="str">
        <f>IF($B385="","",IFERROR(IF(ABS(W385-BI385)&gt;P_Tol,1,0),1))</f>
        <v/>
      </c>
      <c r="BO385" s="124" t="str">
        <f>IF($B385="","",IFERROR(IF(OR(ABS(R385+S385-T385)&gt;P_Tol,ABS(U385+V385-W385)&gt;P_Tol,ABS(X385+Y385-Z385)&gt;P_Tol),1,0),1))</f>
        <v/>
      </c>
      <c r="BP385" s="124" t="str">
        <f>IF($B385="","",IFERROR(IF(OR(ABS(AR385-SUM(AB385:AM385))&gt;P_Tol,ABS(AS385-(AN385+AO385+AP385+AQ385))&gt;P_Tol),1,0),1))</f>
        <v/>
      </c>
      <c r="BQ385" s="124" t="str">
        <f>IF($B385="","",IFERROR(IF(ABS(AT385)+ABS(AV385)+ABS(AW385)+ABS(AX385)+ABS(AY385)+ABS(AZ385)+ABS(BA385)+ABS(BB385)&gt;0,1,0),1))</f>
        <v/>
      </c>
      <c r="BR385" s="124" t="str">
        <f>IF($B385="","",COUNTIF(STG_ZPMW03!$B$6:$B$505,B385))</f>
        <v/>
      </c>
      <c r="BS385" s="124" t="str">
        <f>IF($B385="","",COUNTIF($B$6:$B$505,B385))</f>
        <v/>
      </c>
      <c r="BT385" s="124" t="str">
        <f>IF($B385="","",IF(BR385=0,0,IF(INDEX(STG_ZPMW03!$I$6:$I$505,MATCH(B385,STG_ZPMW03!$B$6:$B$505,0))=J385&amp;"",0,1)))</f>
        <v/>
      </c>
      <c r="BU385" s="124" t="str">
        <f>IF($B385="","",IFERROR(IF(ABS(INDEX(Mapping!$D$5:$D$104,MATCH(B385,Mapping!$A$5:$A$104,0))-Q385)&gt;P_Tol,1,0),0))</f>
        <v/>
      </c>
      <c r="BV385" s="124" t="str">
        <f>IF($B385="","",IFERROR(IF(AND(INDEX(Mapping!$G$5:$G$104,MATCH(B385,Mapping!$A$5:$A$104,0))="Nee",ABS(Q385)+ABS(Z385)+ABS(AR385)&gt;0),1,0),0))</f>
        <v/>
      </c>
      <c r="BW385" s="124" t="str">
        <f>IF($B385="","",IF(COUNTIF(Mapping!$A$5:$A$104,B385)&gt;0,1,0))</f>
        <v/>
      </c>
      <c r="BX385" s="124" t="str">
        <f>IF($B385="","",IF(BR385=0,COUNTIF($BR$6:BR385,0),""))</f>
        <v/>
      </c>
    </row>
    <row r="386">
      <c r="A386" s="15" t="n">
        <v>382</v>
      </c>
      <c r="B386" t="str">
        <f>IF(B$3=0,"",IF(INDEX(SRC_Woningetalage!$A$1:$ZZ$501,$A386,B$3)&amp;""="","",INDEX(SRC_Woningetalage!$A$1:$ZZ$501,$A386,B$3)&amp;""))</f>
        <v/>
      </c>
      <c r="C386" t="str">
        <f>IF($B386="","",IF(C$3=0,"n.b.",INDEX(SRC_Woningetalage!$A$1:$ZZ$501,$A386,C$3)))</f>
        <v/>
      </c>
      <c r="D386" t="str">
        <f>IF($B386="","",IF(D$3=0,"n.b.",INDEX(SRC_Woningetalage!$A$1:$ZZ$501,$A386,D$3)))</f>
        <v/>
      </c>
      <c r="E386" t="str">
        <f>IF($B386="","",IF(E$3=0,"n.b.",INDEX(SRC_Woningetalage!$A$1:$ZZ$501,$A386,E$3)))</f>
        <v/>
      </c>
      <c r="F386" t="str">
        <f>IF($B386="","",IF(F$3=0,"n.b.",INDEX(SRC_Woningetalage!$A$1:$ZZ$501,$A386,F$3)))</f>
        <v/>
      </c>
      <c r="G386" t="str">
        <f>IF($B386="","",IF(G$3=0,"n.b.",INDEX(SRC_Woningetalage!$A$1:$ZZ$501,$A386,G$3)))</f>
        <v/>
      </c>
      <c r="H386" t="str">
        <f>IF($B386="","",IF(H$3=0,"n.b.",INDEX(SRC_Woningetalage!$A$1:$ZZ$501,$A386,H$3)))</f>
        <v/>
      </c>
      <c r="I386" t="str">
        <f>IF($B386="","",IF(I$3=0,"n.b.",INDEX(SRC_Woningetalage!$A$1:$ZZ$501,$A386,I$3)))</f>
        <v/>
      </c>
      <c r="J386" t="str">
        <f>IF($B386="","",IF(J$3=0,"n.b.",INDEX(SRC_Woningetalage!$A$1:$ZZ$501,$A386,J$3)))</f>
        <v/>
      </c>
      <c r="K386" t="str">
        <f>IF($B386="","",IF(K$3=0,"n.b.",INDEX(SRC_Woningetalage!$A$1:$ZZ$501,$A386,K$3)))</f>
        <v/>
      </c>
      <c r="L386" t="str">
        <f>IF($B386="","",IF(L$3=0,"n.b.",INDEX(SRC_Woningetalage!$A$1:$ZZ$501,$A386,L$3)))</f>
        <v/>
      </c>
      <c r="M386" t="str">
        <f>IF($B386="","",IF(M$3=0,"n.b.",INDEX(SRC_Woningetalage!$A$1:$ZZ$501,$A386,M$3)))</f>
        <v/>
      </c>
      <c r="N386" t="str">
        <f>IF($B386="","",IF(N$3=0,"n.b.",INDEX(SRC_Woningetalage!$A$1:$ZZ$501,$A386,N$3)))</f>
        <v/>
      </c>
      <c r="O386" t="str">
        <f>IF($B386="","",IF(O$3=0,"n.b.",INDEX(SRC_Woningetalage!$A$1:$ZZ$501,$A386,O$3)))</f>
        <v/>
      </c>
      <c r="P386" t="str">
        <f>IF($B386="","",IF(P$3=0,"n.b.",INDEX(SRC_Woningetalage!$A$1:$ZZ$501,$A386,P$3)))</f>
        <v/>
      </c>
      <c r="Q386" s="124" t="str">
        <f>IF($B386="","",IF(Q$3=0,"n.b.",INDEX(SRC_Woningetalage!$A$1:$ZZ$501,$A386,Q$3)))</f>
        <v/>
      </c>
      <c r="R386" s="124" t="str">
        <f>IF($B386="","",IF(R$3=0,"n.b.",INDEX(SRC_Woningetalage!$A$1:$ZZ$501,$A386,R$3)))</f>
        <v/>
      </c>
      <c r="S386" s="124" t="str">
        <f>IF($B386="","",IF(S$3=0,"n.b.",INDEX(SRC_Woningetalage!$A$1:$ZZ$501,$A386,S$3)))</f>
        <v/>
      </c>
      <c r="T386" s="124" t="str">
        <f>IF($B386="","",IF(T$3=0,"n.b.",INDEX(SRC_Woningetalage!$A$1:$ZZ$501,$A386,T$3)))</f>
        <v/>
      </c>
      <c r="U386" s="124" t="str">
        <f>IF($B386="","",IF(U$3=0,"n.b.",INDEX(SRC_Woningetalage!$A$1:$ZZ$501,$A386,U$3)))</f>
        <v/>
      </c>
      <c r="V386" s="124" t="str">
        <f>IF($B386="","",IF(V$3=0,"n.b.",INDEX(SRC_Woningetalage!$A$1:$ZZ$501,$A386,V$3)))</f>
        <v/>
      </c>
      <c r="W386" s="124" t="str">
        <f>IF($B386="","",IF(W$3=0,"n.b.",INDEX(SRC_Woningetalage!$A$1:$ZZ$501,$A386,W$3)))</f>
        <v/>
      </c>
      <c r="X386" s="124" t="str">
        <f>IF($B386="","",IF(X$3=0,"n.b.",INDEX(SRC_Woningetalage!$A$1:$ZZ$501,$A386,X$3)))</f>
        <v/>
      </c>
      <c r="Y386" s="124" t="str">
        <f>IF($B386="","",IF(Y$3=0,"n.b.",INDEX(SRC_Woningetalage!$A$1:$ZZ$501,$A386,Y$3)))</f>
        <v/>
      </c>
      <c r="Z386" s="124" t="str">
        <f>IF($B386="","",IF(Z$3=0,"n.b.",INDEX(SRC_Woningetalage!$A$1:$ZZ$501,$A386,Z$3)))</f>
        <v/>
      </c>
      <c r="AA386" s="124" t="str">
        <f>IF($B386="","",IF(AA$3=0,"n.b.",INDEX(SRC_Woningetalage!$A$1:$ZZ$501,$A386,AA$3)))</f>
        <v/>
      </c>
      <c r="AB386" s="124" t="str">
        <f>IF($B386="","",IF(AB$3=0,"n.b.",INDEX(SRC_Woningetalage!$A$1:$ZZ$501,$A386,AB$3)))</f>
        <v/>
      </c>
      <c r="AC386" s="124" t="str">
        <f>IF($B386="","",IF(AC$3=0,"n.b.",INDEX(SRC_Woningetalage!$A$1:$ZZ$501,$A386,AC$3)))</f>
        <v/>
      </c>
      <c r="AD386" s="124" t="str">
        <f>IF($B386="","",IF(AD$3=0,"n.b.",INDEX(SRC_Woningetalage!$A$1:$ZZ$501,$A386,AD$3)))</f>
        <v/>
      </c>
      <c r="AE386" s="124" t="str">
        <f>IF($B386="","",IF(AE$3=0,"n.b.",INDEX(SRC_Woningetalage!$A$1:$ZZ$501,$A386,AE$3)))</f>
        <v/>
      </c>
      <c r="AF386" s="124" t="str">
        <f>IF($B386="","",IF(AF$3=0,"n.b.",INDEX(SRC_Woningetalage!$A$1:$ZZ$501,$A386,AF$3)))</f>
        <v/>
      </c>
      <c r="AG386" s="124" t="str">
        <f>IF($B386="","",IF(AG$3=0,"n.b.",INDEX(SRC_Woningetalage!$A$1:$ZZ$501,$A386,AG$3)))</f>
        <v/>
      </c>
      <c r="AH386" s="124" t="str">
        <f>IF($B386="","",IF(AH$3=0,"n.b.",INDEX(SRC_Woningetalage!$A$1:$ZZ$501,$A386,AH$3)))</f>
        <v/>
      </c>
      <c r="AI386" s="124" t="str">
        <f>IF($B386="","",IF(AI$3=0,"n.b.",INDEX(SRC_Woningetalage!$A$1:$ZZ$501,$A386,AI$3)))</f>
        <v/>
      </c>
      <c r="AJ386" s="124" t="str">
        <f>IF($B386="","",IF(AJ$3=0,"n.b.",INDEX(SRC_Woningetalage!$A$1:$ZZ$501,$A386,AJ$3)))</f>
        <v/>
      </c>
      <c r="AK386" s="124" t="str">
        <f>IF($B386="","",IF(AK$3=0,"n.b.",INDEX(SRC_Woningetalage!$A$1:$ZZ$501,$A386,AK$3)))</f>
        <v/>
      </c>
      <c r="AL386" s="124" t="str">
        <f>IF($B386="","",IF(AL$3=0,"n.b.",INDEX(SRC_Woningetalage!$A$1:$ZZ$501,$A386,AL$3)))</f>
        <v/>
      </c>
      <c r="AM386" s="124" t="str">
        <f>IF($B386="","",IF(AM$3=0,"n.b.",INDEX(SRC_Woningetalage!$A$1:$ZZ$501,$A386,AM$3)))</f>
        <v/>
      </c>
      <c r="AN386" s="124" t="str">
        <f>IF($B386="","",IF(AN$3=0,"n.b.",INDEX(SRC_Woningetalage!$A$1:$ZZ$501,$A386,AN$3)))</f>
        <v/>
      </c>
      <c r="AO386" s="124" t="str">
        <f>IF($B386="","",IF(AO$3=0,"n.b.",INDEX(SRC_Woningetalage!$A$1:$ZZ$501,$A386,AO$3)))</f>
        <v/>
      </c>
      <c r="AP386" s="124" t="str">
        <f>IF($B386="","",IF(AP$3=0,"n.b.",INDEX(SRC_Woningetalage!$A$1:$ZZ$501,$A386,AP$3)))</f>
        <v/>
      </c>
      <c r="AQ386" s="124" t="str">
        <f>IF($B386="","",IF(AQ$3=0,"n.b.",INDEX(SRC_Woningetalage!$A$1:$ZZ$501,$A386,AQ$3)))</f>
        <v/>
      </c>
      <c r="AR386" s="124" t="str">
        <f>IF($B386="","",IF(AR$3=0,"n.b.",INDEX(SRC_Woningetalage!$A$1:$ZZ$501,$A386,AR$3)))</f>
        <v/>
      </c>
      <c r="AS386" s="124" t="str">
        <f>IF($B386="","",IF(AS$3=0,"n.b.",INDEX(SRC_Woningetalage!$A$1:$ZZ$501,$A386,AS$3)))</f>
        <v/>
      </c>
      <c r="AT386" s="124" t="str">
        <f>IF($B386="","",IF(AT$3=0,"n.b.",INDEX(SRC_Woningetalage!$A$1:$ZZ$501,$A386,AT$3)))</f>
        <v/>
      </c>
      <c r="AU386" s="124" t="str">
        <f>IF($B386="","",IF(AU$3=0,"n.b.",INDEX(SRC_Woningetalage!$A$1:$ZZ$501,$A386,AU$3)))</f>
        <v/>
      </c>
      <c r="AV386" s="124" t="str">
        <f>IF($B386="","",IF(AV$3=0,"n.b.",INDEX(SRC_Woningetalage!$A$1:$ZZ$501,$A386,AV$3)))</f>
        <v/>
      </c>
      <c r="AW386" s="124" t="str">
        <f>IF($B386="","",IF(AW$3=0,"n.b.",INDEX(SRC_Woningetalage!$A$1:$ZZ$501,$A386,AW$3)))</f>
        <v/>
      </c>
      <c r="AX386" s="124" t="str">
        <f>IF($B386="","",IF(AX$3=0,"n.b.",INDEX(SRC_Woningetalage!$A$1:$ZZ$501,$A386,AX$3)))</f>
        <v/>
      </c>
      <c r="AY386" s="124" t="str">
        <f>IF($B386="","",IF(AY$3=0,"n.b.",INDEX(SRC_Woningetalage!$A$1:$ZZ$501,$A386,AY$3)))</f>
        <v/>
      </c>
      <c r="AZ386" s="124" t="str">
        <f>IF($B386="","",IF(AZ$3=0,"n.b.",INDEX(SRC_Woningetalage!$A$1:$ZZ$501,$A386,AZ$3)))</f>
        <v/>
      </c>
      <c r="BA386" s="124" t="str">
        <f>IF($B386="","",IF(BA$3=0,"n.b.",INDEX(SRC_Woningetalage!$A$1:$ZZ$501,$A386,BA$3)))</f>
        <v/>
      </c>
      <c r="BB386" s="124" t="str">
        <f>IF($B386="","",IF(BB$3=0,"n.b.",INDEX(SRC_Woningetalage!$A$1:$ZZ$501,$A386,BB$3)))</f>
        <v/>
      </c>
      <c r="BC386" s="124" t="str">
        <f>IF($B386="","",IFERROR(_xlfn.NUMBERVALUE(E386&amp;"",",","."),"n.b."))</f>
        <v/>
      </c>
      <c r="BD386" s="124" t="str">
        <f>IF($B386="","",IFERROR(_xlfn.NUMBERVALUE(M386&amp;"",",","."),"n.b."))</f>
        <v/>
      </c>
      <c r="BE386" s="124" t="str">
        <f>IF($B386="","",IFERROR(AB386+AC386+AD386,"n.b."))</f>
        <v/>
      </c>
      <c r="BF386" s="124" t="str">
        <f>IF($B386="","",IFERROR(AE386+AF386+AG386,"n.b."))</f>
        <v/>
      </c>
      <c r="BG386" s="124" t="str">
        <f>IF($B386="","",IFERROR(AH386+AI386+AJ386,"n.b."))</f>
        <v/>
      </c>
      <c r="BH386" s="124" t="str">
        <f>IF($B386="","",IFERROR(AK386+AL386+AM386,"n.b."))</f>
        <v/>
      </c>
      <c r="BI386" s="124" t="str">
        <f>IF($B386="","",IFERROR(SUMIF($AB$5:$AM$5,"&lt;="&amp;P_PeilMaand,AB386:AM386),"n.b."))</f>
        <v/>
      </c>
      <c r="BJ386" s="124" t="str">
        <f>IF($B386="","",IFERROR(SUM(AB386:AM386)-BI386,"n.b."))</f>
        <v/>
      </c>
      <c r="BK386" s="124" t="str">
        <f>IF($B386="","",IFERROR(IF(ABS(Q386-(T386+SUM(AB386:AM386)+AS386+AU386))&gt;P_Tol,1,0),1))</f>
        <v/>
      </c>
      <c r="BL386" s="124" t="str">
        <f>IF($B386="","",IFERROR(IF(ABS(AA386-(Q386-Z386))&gt;P_Tol,1,0),1))</f>
        <v/>
      </c>
      <c r="BM386" s="124" t="str">
        <f>IF($B386="","",IFERROR(IF(ABS(Z386-(T386+W386))&gt;P_Tol,1,0),1))</f>
        <v/>
      </c>
      <c r="BN386" s="124" t="str">
        <f>IF($B386="","",IFERROR(IF(ABS(W386-BI386)&gt;P_Tol,1,0),1))</f>
        <v/>
      </c>
      <c r="BO386" s="124" t="str">
        <f>IF($B386="","",IFERROR(IF(OR(ABS(R386+S386-T386)&gt;P_Tol,ABS(U386+V386-W386)&gt;P_Tol,ABS(X386+Y386-Z386)&gt;P_Tol),1,0),1))</f>
        <v/>
      </c>
      <c r="BP386" s="124" t="str">
        <f>IF($B386="","",IFERROR(IF(OR(ABS(AR386-SUM(AB386:AM386))&gt;P_Tol,ABS(AS386-(AN386+AO386+AP386+AQ386))&gt;P_Tol),1,0),1))</f>
        <v/>
      </c>
      <c r="BQ386" s="124" t="str">
        <f>IF($B386="","",IFERROR(IF(ABS(AT386)+ABS(AV386)+ABS(AW386)+ABS(AX386)+ABS(AY386)+ABS(AZ386)+ABS(BA386)+ABS(BB386)&gt;0,1,0),1))</f>
        <v/>
      </c>
      <c r="BR386" s="124" t="str">
        <f>IF($B386="","",COUNTIF(STG_ZPMW03!$B$6:$B$505,B386))</f>
        <v/>
      </c>
      <c r="BS386" s="124" t="str">
        <f>IF($B386="","",COUNTIF($B$6:$B$505,B386))</f>
        <v/>
      </c>
      <c r="BT386" s="124" t="str">
        <f>IF($B386="","",IF(BR386=0,0,IF(INDEX(STG_ZPMW03!$I$6:$I$505,MATCH(B386,STG_ZPMW03!$B$6:$B$505,0))=J386&amp;"",0,1)))</f>
        <v/>
      </c>
      <c r="BU386" s="124" t="str">
        <f>IF($B386="","",IFERROR(IF(ABS(INDEX(Mapping!$D$5:$D$104,MATCH(B386,Mapping!$A$5:$A$104,0))-Q386)&gt;P_Tol,1,0),0))</f>
        <v/>
      </c>
      <c r="BV386" s="124" t="str">
        <f>IF($B386="","",IFERROR(IF(AND(INDEX(Mapping!$G$5:$G$104,MATCH(B386,Mapping!$A$5:$A$104,0))="Nee",ABS(Q386)+ABS(Z386)+ABS(AR386)&gt;0),1,0),0))</f>
        <v/>
      </c>
      <c r="BW386" s="124" t="str">
        <f>IF($B386="","",IF(COUNTIF(Mapping!$A$5:$A$104,B386)&gt;0,1,0))</f>
        <v/>
      </c>
      <c r="BX386" s="124" t="str">
        <f>IF($B386="","",IF(BR386=0,COUNTIF($BR$6:BR386,0),""))</f>
        <v/>
      </c>
    </row>
    <row r="387">
      <c r="A387" s="15" t="n">
        <v>383</v>
      </c>
      <c r="B387" t="str">
        <f>IF(B$3=0,"",IF(INDEX(SRC_Woningetalage!$A$1:$ZZ$501,$A387,B$3)&amp;""="","",INDEX(SRC_Woningetalage!$A$1:$ZZ$501,$A387,B$3)&amp;""))</f>
        <v/>
      </c>
      <c r="C387" t="str">
        <f>IF($B387="","",IF(C$3=0,"n.b.",INDEX(SRC_Woningetalage!$A$1:$ZZ$501,$A387,C$3)))</f>
        <v/>
      </c>
      <c r="D387" t="str">
        <f>IF($B387="","",IF(D$3=0,"n.b.",INDEX(SRC_Woningetalage!$A$1:$ZZ$501,$A387,D$3)))</f>
        <v/>
      </c>
      <c r="E387" t="str">
        <f>IF($B387="","",IF(E$3=0,"n.b.",INDEX(SRC_Woningetalage!$A$1:$ZZ$501,$A387,E$3)))</f>
        <v/>
      </c>
      <c r="F387" t="str">
        <f>IF($B387="","",IF(F$3=0,"n.b.",INDEX(SRC_Woningetalage!$A$1:$ZZ$501,$A387,F$3)))</f>
        <v/>
      </c>
      <c r="G387" t="str">
        <f>IF($B387="","",IF(G$3=0,"n.b.",INDEX(SRC_Woningetalage!$A$1:$ZZ$501,$A387,G$3)))</f>
        <v/>
      </c>
      <c r="H387" t="str">
        <f>IF($B387="","",IF(H$3=0,"n.b.",INDEX(SRC_Woningetalage!$A$1:$ZZ$501,$A387,H$3)))</f>
        <v/>
      </c>
      <c r="I387" t="str">
        <f>IF($B387="","",IF(I$3=0,"n.b.",INDEX(SRC_Woningetalage!$A$1:$ZZ$501,$A387,I$3)))</f>
        <v/>
      </c>
      <c r="J387" t="str">
        <f>IF($B387="","",IF(J$3=0,"n.b.",INDEX(SRC_Woningetalage!$A$1:$ZZ$501,$A387,J$3)))</f>
        <v/>
      </c>
      <c r="K387" t="str">
        <f>IF($B387="","",IF(K$3=0,"n.b.",INDEX(SRC_Woningetalage!$A$1:$ZZ$501,$A387,K$3)))</f>
        <v/>
      </c>
      <c r="L387" t="str">
        <f>IF($B387="","",IF(L$3=0,"n.b.",INDEX(SRC_Woningetalage!$A$1:$ZZ$501,$A387,L$3)))</f>
        <v/>
      </c>
      <c r="M387" t="str">
        <f>IF($B387="","",IF(M$3=0,"n.b.",INDEX(SRC_Woningetalage!$A$1:$ZZ$501,$A387,M$3)))</f>
        <v/>
      </c>
      <c r="N387" t="str">
        <f>IF($B387="","",IF(N$3=0,"n.b.",INDEX(SRC_Woningetalage!$A$1:$ZZ$501,$A387,N$3)))</f>
        <v/>
      </c>
      <c r="O387" t="str">
        <f>IF($B387="","",IF(O$3=0,"n.b.",INDEX(SRC_Woningetalage!$A$1:$ZZ$501,$A387,O$3)))</f>
        <v/>
      </c>
      <c r="P387" t="str">
        <f>IF($B387="","",IF(P$3=0,"n.b.",INDEX(SRC_Woningetalage!$A$1:$ZZ$501,$A387,P$3)))</f>
        <v/>
      </c>
      <c r="Q387" s="124" t="str">
        <f>IF($B387="","",IF(Q$3=0,"n.b.",INDEX(SRC_Woningetalage!$A$1:$ZZ$501,$A387,Q$3)))</f>
        <v/>
      </c>
      <c r="R387" s="124" t="str">
        <f>IF($B387="","",IF(R$3=0,"n.b.",INDEX(SRC_Woningetalage!$A$1:$ZZ$501,$A387,R$3)))</f>
        <v/>
      </c>
      <c r="S387" s="124" t="str">
        <f>IF($B387="","",IF(S$3=0,"n.b.",INDEX(SRC_Woningetalage!$A$1:$ZZ$501,$A387,S$3)))</f>
        <v/>
      </c>
      <c r="T387" s="124" t="str">
        <f>IF($B387="","",IF(T$3=0,"n.b.",INDEX(SRC_Woningetalage!$A$1:$ZZ$501,$A387,T$3)))</f>
        <v/>
      </c>
      <c r="U387" s="124" t="str">
        <f>IF($B387="","",IF(U$3=0,"n.b.",INDEX(SRC_Woningetalage!$A$1:$ZZ$501,$A387,U$3)))</f>
        <v/>
      </c>
      <c r="V387" s="124" t="str">
        <f>IF($B387="","",IF(V$3=0,"n.b.",INDEX(SRC_Woningetalage!$A$1:$ZZ$501,$A387,V$3)))</f>
        <v/>
      </c>
      <c r="W387" s="124" t="str">
        <f>IF($B387="","",IF(W$3=0,"n.b.",INDEX(SRC_Woningetalage!$A$1:$ZZ$501,$A387,W$3)))</f>
        <v/>
      </c>
      <c r="X387" s="124" t="str">
        <f>IF($B387="","",IF(X$3=0,"n.b.",INDEX(SRC_Woningetalage!$A$1:$ZZ$501,$A387,X$3)))</f>
        <v/>
      </c>
      <c r="Y387" s="124" t="str">
        <f>IF($B387="","",IF(Y$3=0,"n.b.",INDEX(SRC_Woningetalage!$A$1:$ZZ$501,$A387,Y$3)))</f>
        <v/>
      </c>
      <c r="Z387" s="124" t="str">
        <f>IF($B387="","",IF(Z$3=0,"n.b.",INDEX(SRC_Woningetalage!$A$1:$ZZ$501,$A387,Z$3)))</f>
        <v/>
      </c>
      <c r="AA387" s="124" t="str">
        <f>IF($B387="","",IF(AA$3=0,"n.b.",INDEX(SRC_Woningetalage!$A$1:$ZZ$501,$A387,AA$3)))</f>
        <v/>
      </c>
      <c r="AB387" s="124" t="str">
        <f>IF($B387="","",IF(AB$3=0,"n.b.",INDEX(SRC_Woningetalage!$A$1:$ZZ$501,$A387,AB$3)))</f>
        <v/>
      </c>
      <c r="AC387" s="124" t="str">
        <f>IF($B387="","",IF(AC$3=0,"n.b.",INDEX(SRC_Woningetalage!$A$1:$ZZ$501,$A387,AC$3)))</f>
        <v/>
      </c>
      <c r="AD387" s="124" t="str">
        <f>IF($B387="","",IF(AD$3=0,"n.b.",INDEX(SRC_Woningetalage!$A$1:$ZZ$501,$A387,AD$3)))</f>
        <v/>
      </c>
      <c r="AE387" s="124" t="str">
        <f>IF($B387="","",IF(AE$3=0,"n.b.",INDEX(SRC_Woningetalage!$A$1:$ZZ$501,$A387,AE$3)))</f>
        <v/>
      </c>
      <c r="AF387" s="124" t="str">
        <f>IF($B387="","",IF(AF$3=0,"n.b.",INDEX(SRC_Woningetalage!$A$1:$ZZ$501,$A387,AF$3)))</f>
        <v/>
      </c>
      <c r="AG387" s="124" t="str">
        <f>IF($B387="","",IF(AG$3=0,"n.b.",INDEX(SRC_Woningetalage!$A$1:$ZZ$501,$A387,AG$3)))</f>
        <v/>
      </c>
      <c r="AH387" s="124" t="str">
        <f>IF($B387="","",IF(AH$3=0,"n.b.",INDEX(SRC_Woningetalage!$A$1:$ZZ$501,$A387,AH$3)))</f>
        <v/>
      </c>
      <c r="AI387" s="124" t="str">
        <f>IF($B387="","",IF(AI$3=0,"n.b.",INDEX(SRC_Woningetalage!$A$1:$ZZ$501,$A387,AI$3)))</f>
        <v/>
      </c>
      <c r="AJ387" s="124" t="str">
        <f>IF($B387="","",IF(AJ$3=0,"n.b.",INDEX(SRC_Woningetalage!$A$1:$ZZ$501,$A387,AJ$3)))</f>
        <v/>
      </c>
      <c r="AK387" s="124" t="str">
        <f>IF($B387="","",IF(AK$3=0,"n.b.",INDEX(SRC_Woningetalage!$A$1:$ZZ$501,$A387,AK$3)))</f>
        <v/>
      </c>
      <c r="AL387" s="124" t="str">
        <f>IF($B387="","",IF(AL$3=0,"n.b.",INDEX(SRC_Woningetalage!$A$1:$ZZ$501,$A387,AL$3)))</f>
        <v/>
      </c>
      <c r="AM387" s="124" t="str">
        <f>IF($B387="","",IF(AM$3=0,"n.b.",INDEX(SRC_Woningetalage!$A$1:$ZZ$501,$A387,AM$3)))</f>
        <v/>
      </c>
      <c r="AN387" s="124" t="str">
        <f>IF($B387="","",IF(AN$3=0,"n.b.",INDEX(SRC_Woningetalage!$A$1:$ZZ$501,$A387,AN$3)))</f>
        <v/>
      </c>
      <c r="AO387" s="124" t="str">
        <f>IF($B387="","",IF(AO$3=0,"n.b.",INDEX(SRC_Woningetalage!$A$1:$ZZ$501,$A387,AO$3)))</f>
        <v/>
      </c>
      <c r="AP387" s="124" t="str">
        <f>IF($B387="","",IF(AP$3=0,"n.b.",INDEX(SRC_Woningetalage!$A$1:$ZZ$501,$A387,AP$3)))</f>
        <v/>
      </c>
      <c r="AQ387" s="124" t="str">
        <f>IF($B387="","",IF(AQ$3=0,"n.b.",INDEX(SRC_Woningetalage!$A$1:$ZZ$501,$A387,AQ$3)))</f>
        <v/>
      </c>
      <c r="AR387" s="124" t="str">
        <f>IF($B387="","",IF(AR$3=0,"n.b.",INDEX(SRC_Woningetalage!$A$1:$ZZ$501,$A387,AR$3)))</f>
        <v/>
      </c>
      <c r="AS387" s="124" t="str">
        <f>IF($B387="","",IF(AS$3=0,"n.b.",INDEX(SRC_Woningetalage!$A$1:$ZZ$501,$A387,AS$3)))</f>
        <v/>
      </c>
      <c r="AT387" s="124" t="str">
        <f>IF($B387="","",IF(AT$3=0,"n.b.",INDEX(SRC_Woningetalage!$A$1:$ZZ$501,$A387,AT$3)))</f>
        <v/>
      </c>
      <c r="AU387" s="124" t="str">
        <f>IF($B387="","",IF(AU$3=0,"n.b.",INDEX(SRC_Woningetalage!$A$1:$ZZ$501,$A387,AU$3)))</f>
        <v/>
      </c>
      <c r="AV387" s="124" t="str">
        <f>IF($B387="","",IF(AV$3=0,"n.b.",INDEX(SRC_Woningetalage!$A$1:$ZZ$501,$A387,AV$3)))</f>
        <v/>
      </c>
      <c r="AW387" s="124" t="str">
        <f>IF($B387="","",IF(AW$3=0,"n.b.",INDEX(SRC_Woningetalage!$A$1:$ZZ$501,$A387,AW$3)))</f>
        <v/>
      </c>
      <c r="AX387" s="124" t="str">
        <f>IF($B387="","",IF(AX$3=0,"n.b.",INDEX(SRC_Woningetalage!$A$1:$ZZ$501,$A387,AX$3)))</f>
        <v/>
      </c>
      <c r="AY387" s="124" t="str">
        <f>IF($B387="","",IF(AY$3=0,"n.b.",INDEX(SRC_Woningetalage!$A$1:$ZZ$501,$A387,AY$3)))</f>
        <v/>
      </c>
      <c r="AZ387" s="124" t="str">
        <f>IF($B387="","",IF(AZ$3=0,"n.b.",INDEX(SRC_Woningetalage!$A$1:$ZZ$501,$A387,AZ$3)))</f>
        <v/>
      </c>
      <c r="BA387" s="124" t="str">
        <f>IF($B387="","",IF(BA$3=0,"n.b.",INDEX(SRC_Woningetalage!$A$1:$ZZ$501,$A387,BA$3)))</f>
        <v/>
      </c>
      <c r="BB387" s="124" t="str">
        <f>IF($B387="","",IF(BB$3=0,"n.b.",INDEX(SRC_Woningetalage!$A$1:$ZZ$501,$A387,BB$3)))</f>
        <v/>
      </c>
      <c r="BC387" s="124" t="str">
        <f>IF($B387="","",IFERROR(_xlfn.NUMBERVALUE(E387&amp;"",",","."),"n.b."))</f>
        <v/>
      </c>
      <c r="BD387" s="124" t="str">
        <f>IF($B387="","",IFERROR(_xlfn.NUMBERVALUE(M387&amp;"",",","."),"n.b."))</f>
        <v/>
      </c>
      <c r="BE387" s="124" t="str">
        <f>IF($B387="","",IFERROR(AB387+AC387+AD387,"n.b."))</f>
        <v/>
      </c>
      <c r="BF387" s="124" t="str">
        <f>IF($B387="","",IFERROR(AE387+AF387+AG387,"n.b."))</f>
        <v/>
      </c>
      <c r="BG387" s="124" t="str">
        <f>IF($B387="","",IFERROR(AH387+AI387+AJ387,"n.b."))</f>
        <v/>
      </c>
      <c r="BH387" s="124" t="str">
        <f>IF($B387="","",IFERROR(AK387+AL387+AM387,"n.b."))</f>
        <v/>
      </c>
      <c r="BI387" s="124" t="str">
        <f>IF($B387="","",IFERROR(SUMIF($AB$5:$AM$5,"&lt;="&amp;P_PeilMaand,AB387:AM387),"n.b."))</f>
        <v/>
      </c>
      <c r="BJ387" s="124" t="str">
        <f>IF($B387="","",IFERROR(SUM(AB387:AM387)-BI387,"n.b."))</f>
        <v/>
      </c>
      <c r="BK387" s="124" t="str">
        <f>IF($B387="","",IFERROR(IF(ABS(Q387-(T387+SUM(AB387:AM387)+AS387+AU387))&gt;P_Tol,1,0),1))</f>
        <v/>
      </c>
      <c r="BL387" s="124" t="str">
        <f>IF($B387="","",IFERROR(IF(ABS(AA387-(Q387-Z387))&gt;P_Tol,1,0),1))</f>
        <v/>
      </c>
      <c r="BM387" s="124" t="str">
        <f>IF($B387="","",IFERROR(IF(ABS(Z387-(T387+W387))&gt;P_Tol,1,0),1))</f>
        <v/>
      </c>
      <c r="BN387" s="124" t="str">
        <f>IF($B387="","",IFERROR(IF(ABS(W387-BI387)&gt;P_Tol,1,0),1))</f>
        <v/>
      </c>
      <c r="BO387" s="124" t="str">
        <f>IF($B387="","",IFERROR(IF(OR(ABS(R387+S387-T387)&gt;P_Tol,ABS(U387+V387-W387)&gt;P_Tol,ABS(X387+Y387-Z387)&gt;P_Tol),1,0),1))</f>
        <v/>
      </c>
      <c r="BP387" s="124" t="str">
        <f>IF($B387="","",IFERROR(IF(OR(ABS(AR387-SUM(AB387:AM387))&gt;P_Tol,ABS(AS387-(AN387+AO387+AP387+AQ387))&gt;P_Tol),1,0),1))</f>
        <v/>
      </c>
      <c r="BQ387" s="124" t="str">
        <f>IF($B387="","",IFERROR(IF(ABS(AT387)+ABS(AV387)+ABS(AW387)+ABS(AX387)+ABS(AY387)+ABS(AZ387)+ABS(BA387)+ABS(BB387)&gt;0,1,0),1))</f>
        <v/>
      </c>
      <c r="BR387" s="124" t="str">
        <f>IF($B387="","",COUNTIF(STG_ZPMW03!$B$6:$B$505,B387))</f>
        <v/>
      </c>
      <c r="BS387" s="124" t="str">
        <f>IF($B387="","",COUNTIF($B$6:$B$505,B387))</f>
        <v/>
      </c>
      <c r="BT387" s="124" t="str">
        <f>IF($B387="","",IF(BR387=0,0,IF(INDEX(STG_ZPMW03!$I$6:$I$505,MATCH(B387,STG_ZPMW03!$B$6:$B$505,0))=J387&amp;"",0,1)))</f>
        <v/>
      </c>
      <c r="BU387" s="124" t="str">
        <f>IF($B387="","",IFERROR(IF(ABS(INDEX(Mapping!$D$5:$D$104,MATCH(B387,Mapping!$A$5:$A$104,0))-Q387)&gt;P_Tol,1,0),0))</f>
        <v/>
      </c>
      <c r="BV387" s="124" t="str">
        <f>IF($B387="","",IFERROR(IF(AND(INDEX(Mapping!$G$5:$G$104,MATCH(B387,Mapping!$A$5:$A$104,0))="Nee",ABS(Q387)+ABS(Z387)+ABS(AR387)&gt;0),1,0),0))</f>
        <v/>
      </c>
      <c r="BW387" s="124" t="str">
        <f>IF($B387="","",IF(COUNTIF(Mapping!$A$5:$A$104,B387)&gt;0,1,0))</f>
        <v/>
      </c>
      <c r="BX387" s="124" t="str">
        <f>IF($B387="","",IF(BR387=0,COUNTIF($BR$6:BR387,0),""))</f>
        <v/>
      </c>
    </row>
    <row r="388">
      <c r="A388" s="15" t="n">
        <v>384</v>
      </c>
      <c r="B388" t="str">
        <f>IF(B$3=0,"",IF(INDEX(SRC_Woningetalage!$A$1:$ZZ$501,$A388,B$3)&amp;""="","",INDEX(SRC_Woningetalage!$A$1:$ZZ$501,$A388,B$3)&amp;""))</f>
        <v/>
      </c>
      <c r="C388" t="str">
        <f>IF($B388="","",IF(C$3=0,"n.b.",INDEX(SRC_Woningetalage!$A$1:$ZZ$501,$A388,C$3)))</f>
        <v/>
      </c>
      <c r="D388" t="str">
        <f>IF($B388="","",IF(D$3=0,"n.b.",INDEX(SRC_Woningetalage!$A$1:$ZZ$501,$A388,D$3)))</f>
        <v/>
      </c>
      <c r="E388" t="str">
        <f>IF($B388="","",IF(E$3=0,"n.b.",INDEX(SRC_Woningetalage!$A$1:$ZZ$501,$A388,E$3)))</f>
        <v/>
      </c>
      <c r="F388" t="str">
        <f>IF($B388="","",IF(F$3=0,"n.b.",INDEX(SRC_Woningetalage!$A$1:$ZZ$501,$A388,F$3)))</f>
        <v/>
      </c>
      <c r="G388" t="str">
        <f>IF($B388="","",IF(G$3=0,"n.b.",INDEX(SRC_Woningetalage!$A$1:$ZZ$501,$A388,G$3)))</f>
        <v/>
      </c>
      <c r="H388" t="str">
        <f>IF($B388="","",IF(H$3=0,"n.b.",INDEX(SRC_Woningetalage!$A$1:$ZZ$501,$A388,H$3)))</f>
        <v/>
      </c>
      <c r="I388" t="str">
        <f>IF($B388="","",IF(I$3=0,"n.b.",INDEX(SRC_Woningetalage!$A$1:$ZZ$501,$A388,I$3)))</f>
        <v/>
      </c>
      <c r="J388" t="str">
        <f>IF($B388="","",IF(J$3=0,"n.b.",INDEX(SRC_Woningetalage!$A$1:$ZZ$501,$A388,J$3)))</f>
        <v/>
      </c>
      <c r="K388" t="str">
        <f>IF($B388="","",IF(K$3=0,"n.b.",INDEX(SRC_Woningetalage!$A$1:$ZZ$501,$A388,K$3)))</f>
        <v/>
      </c>
      <c r="L388" t="str">
        <f>IF($B388="","",IF(L$3=0,"n.b.",INDEX(SRC_Woningetalage!$A$1:$ZZ$501,$A388,L$3)))</f>
        <v/>
      </c>
      <c r="M388" t="str">
        <f>IF($B388="","",IF(M$3=0,"n.b.",INDEX(SRC_Woningetalage!$A$1:$ZZ$501,$A388,M$3)))</f>
        <v/>
      </c>
      <c r="N388" t="str">
        <f>IF($B388="","",IF(N$3=0,"n.b.",INDEX(SRC_Woningetalage!$A$1:$ZZ$501,$A388,N$3)))</f>
        <v/>
      </c>
      <c r="O388" t="str">
        <f>IF($B388="","",IF(O$3=0,"n.b.",INDEX(SRC_Woningetalage!$A$1:$ZZ$501,$A388,O$3)))</f>
        <v/>
      </c>
      <c r="P388" t="str">
        <f>IF($B388="","",IF(P$3=0,"n.b.",INDEX(SRC_Woningetalage!$A$1:$ZZ$501,$A388,P$3)))</f>
        <v/>
      </c>
      <c r="Q388" s="124" t="str">
        <f>IF($B388="","",IF(Q$3=0,"n.b.",INDEX(SRC_Woningetalage!$A$1:$ZZ$501,$A388,Q$3)))</f>
        <v/>
      </c>
      <c r="R388" s="124" t="str">
        <f>IF($B388="","",IF(R$3=0,"n.b.",INDEX(SRC_Woningetalage!$A$1:$ZZ$501,$A388,R$3)))</f>
        <v/>
      </c>
      <c r="S388" s="124" t="str">
        <f>IF($B388="","",IF(S$3=0,"n.b.",INDEX(SRC_Woningetalage!$A$1:$ZZ$501,$A388,S$3)))</f>
        <v/>
      </c>
      <c r="T388" s="124" t="str">
        <f>IF($B388="","",IF(T$3=0,"n.b.",INDEX(SRC_Woningetalage!$A$1:$ZZ$501,$A388,T$3)))</f>
        <v/>
      </c>
      <c r="U388" s="124" t="str">
        <f>IF($B388="","",IF(U$3=0,"n.b.",INDEX(SRC_Woningetalage!$A$1:$ZZ$501,$A388,U$3)))</f>
        <v/>
      </c>
      <c r="V388" s="124" t="str">
        <f>IF($B388="","",IF(V$3=0,"n.b.",INDEX(SRC_Woningetalage!$A$1:$ZZ$501,$A388,V$3)))</f>
        <v/>
      </c>
      <c r="W388" s="124" t="str">
        <f>IF($B388="","",IF(W$3=0,"n.b.",INDEX(SRC_Woningetalage!$A$1:$ZZ$501,$A388,W$3)))</f>
        <v/>
      </c>
      <c r="X388" s="124" t="str">
        <f>IF($B388="","",IF(X$3=0,"n.b.",INDEX(SRC_Woningetalage!$A$1:$ZZ$501,$A388,X$3)))</f>
        <v/>
      </c>
      <c r="Y388" s="124" t="str">
        <f>IF($B388="","",IF(Y$3=0,"n.b.",INDEX(SRC_Woningetalage!$A$1:$ZZ$501,$A388,Y$3)))</f>
        <v/>
      </c>
      <c r="Z388" s="124" t="str">
        <f>IF($B388="","",IF(Z$3=0,"n.b.",INDEX(SRC_Woningetalage!$A$1:$ZZ$501,$A388,Z$3)))</f>
        <v/>
      </c>
      <c r="AA388" s="124" t="str">
        <f>IF($B388="","",IF(AA$3=0,"n.b.",INDEX(SRC_Woningetalage!$A$1:$ZZ$501,$A388,AA$3)))</f>
        <v/>
      </c>
      <c r="AB388" s="124" t="str">
        <f>IF($B388="","",IF(AB$3=0,"n.b.",INDEX(SRC_Woningetalage!$A$1:$ZZ$501,$A388,AB$3)))</f>
        <v/>
      </c>
      <c r="AC388" s="124" t="str">
        <f>IF($B388="","",IF(AC$3=0,"n.b.",INDEX(SRC_Woningetalage!$A$1:$ZZ$501,$A388,AC$3)))</f>
        <v/>
      </c>
      <c r="AD388" s="124" t="str">
        <f>IF($B388="","",IF(AD$3=0,"n.b.",INDEX(SRC_Woningetalage!$A$1:$ZZ$501,$A388,AD$3)))</f>
        <v/>
      </c>
      <c r="AE388" s="124" t="str">
        <f>IF($B388="","",IF(AE$3=0,"n.b.",INDEX(SRC_Woningetalage!$A$1:$ZZ$501,$A388,AE$3)))</f>
        <v/>
      </c>
      <c r="AF388" s="124" t="str">
        <f>IF($B388="","",IF(AF$3=0,"n.b.",INDEX(SRC_Woningetalage!$A$1:$ZZ$501,$A388,AF$3)))</f>
        <v/>
      </c>
      <c r="AG388" s="124" t="str">
        <f>IF($B388="","",IF(AG$3=0,"n.b.",INDEX(SRC_Woningetalage!$A$1:$ZZ$501,$A388,AG$3)))</f>
        <v/>
      </c>
      <c r="AH388" s="124" t="str">
        <f>IF($B388="","",IF(AH$3=0,"n.b.",INDEX(SRC_Woningetalage!$A$1:$ZZ$501,$A388,AH$3)))</f>
        <v/>
      </c>
      <c r="AI388" s="124" t="str">
        <f>IF($B388="","",IF(AI$3=0,"n.b.",INDEX(SRC_Woningetalage!$A$1:$ZZ$501,$A388,AI$3)))</f>
        <v/>
      </c>
      <c r="AJ388" s="124" t="str">
        <f>IF($B388="","",IF(AJ$3=0,"n.b.",INDEX(SRC_Woningetalage!$A$1:$ZZ$501,$A388,AJ$3)))</f>
        <v/>
      </c>
      <c r="AK388" s="124" t="str">
        <f>IF($B388="","",IF(AK$3=0,"n.b.",INDEX(SRC_Woningetalage!$A$1:$ZZ$501,$A388,AK$3)))</f>
        <v/>
      </c>
      <c r="AL388" s="124" t="str">
        <f>IF($B388="","",IF(AL$3=0,"n.b.",INDEX(SRC_Woningetalage!$A$1:$ZZ$501,$A388,AL$3)))</f>
        <v/>
      </c>
      <c r="AM388" s="124" t="str">
        <f>IF($B388="","",IF(AM$3=0,"n.b.",INDEX(SRC_Woningetalage!$A$1:$ZZ$501,$A388,AM$3)))</f>
        <v/>
      </c>
      <c r="AN388" s="124" t="str">
        <f>IF($B388="","",IF(AN$3=0,"n.b.",INDEX(SRC_Woningetalage!$A$1:$ZZ$501,$A388,AN$3)))</f>
        <v/>
      </c>
      <c r="AO388" s="124" t="str">
        <f>IF($B388="","",IF(AO$3=0,"n.b.",INDEX(SRC_Woningetalage!$A$1:$ZZ$501,$A388,AO$3)))</f>
        <v/>
      </c>
      <c r="AP388" s="124" t="str">
        <f>IF($B388="","",IF(AP$3=0,"n.b.",INDEX(SRC_Woningetalage!$A$1:$ZZ$501,$A388,AP$3)))</f>
        <v/>
      </c>
      <c r="AQ388" s="124" t="str">
        <f>IF($B388="","",IF(AQ$3=0,"n.b.",INDEX(SRC_Woningetalage!$A$1:$ZZ$501,$A388,AQ$3)))</f>
        <v/>
      </c>
      <c r="AR388" s="124" t="str">
        <f>IF($B388="","",IF(AR$3=0,"n.b.",INDEX(SRC_Woningetalage!$A$1:$ZZ$501,$A388,AR$3)))</f>
        <v/>
      </c>
      <c r="AS388" s="124" t="str">
        <f>IF($B388="","",IF(AS$3=0,"n.b.",INDEX(SRC_Woningetalage!$A$1:$ZZ$501,$A388,AS$3)))</f>
        <v/>
      </c>
      <c r="AT388" s="124" t="str">
        <f>IF($B388="","",IF(AT$3=0,"n.b.",INDEX(SRC_Woningetalage!$A$1:$ZZ$501,$A388,AT$3)))</f>
        <v/>
      </c>
      <c r="AU388" s="124" t="str">
        <f>IF($B388="","",IF(AU$3=0,"n.b.",INDEX(SRC_Woningetalage!$A$1:$ZZ$501,$A388,AU$3)))</f>
        <v/>
      </c>
      <c r="AV388" s="124" t="str">
        <f>IF($B388="","",IF(AV$3=0,"n.b.",INDEX(SRC_Woningetalage!$A$1:$ZZ$501,$A388,AV$3)))</f>
        <v/>
      </c>
      <c r="AW388" s="124" t="str">
        <f>IF($B388="","",IF(AW$3=0,"n.b.",INDEX(SRC_Woningetalage!$A$1:$ZZ$501,$A388,AW$3)))</f>
        <v/>
      </c>
      <c r="AX388" s="124" t="str">
        <f>IF($B388="","",IF(AX$3=0,"n.b.",INDEX(SRC_Woningetalage!$A$1:$ZZ$501,$A388,AX$3)))</f>
        <v/>
      </c>
      <c r="AY388" s="124" t="str">
        <f>IF($B388="","",IF(AY$3=0,"n.b.",INDEX(SRC_Woningetalage!$A$1:$ZZ$501,$A388,AY$3)))</f>
        <v/>
      </c>
      <c r="AZ388" s="124" t="str">
        <f>IF($B388="","",IF(AZ$3=0,"n.b.",INDEX(SRC_Woningetalage!$A$1:$ZZ$501,$A388,AZ$3)))</f>
        <v/>
      </c>
      <c r="BA388" s="124" t="str">
        <f>IF($B388="","",IF(BA$3=0,"n.b.",INDEX(SRC_Woningetalage!$A$1:$ZZ$501,$A388,BA$3)))</f>
        <v/>
      </c>
      <c r="BB388" s="124" t="str">
        <f>IF($B388="","",IF(BB$3=0,"n.b.",INDEX(SRC_Woningetalage!$A$1:$ZZ$501,$A388,BB$3)))</f>
        <v/>
      </c>
      <c r="BC388" s="124" t="str">
        <f>IF($B388="","",IFERROR(_xlfn.NUMBERVALUE(E388&amp;"",",","."),"n.b."))</f>
        <v/>
      </c>
      <c r="BD388" s="124" t="str">
        <f>IF($B388="","",IFERROR(_xlfn.NUMBERVALUE(M388&amp;"",",","."),"n.b."))</f>
        <v/>
      </c>
      <c r="BE388" s="124" t="str">
        <f>IF($B388="","",IFERROR(AB388+AC388+AD388,"n.b."))</f>
        <v/>
      </c>
      <c r="BF388" s="124" t="str">
        <f>IF($B388="","",IFERROR(AE388+AF388+AG388,"n.b."))</f>
        <v/>
      </c>
      <c r="BG388" s="124" t="str">
        <f>IF($B388="","",IFERROR(AH388+AI388+AJ388,"n.b."))</f>
        <v/>
      </c>
      <c r="BH388" s="124" t="str">
        <f>IF($B388="","",IFERROR(AK388+AL388+AM388,"n.b."))</f>
        <v/>
      </c>
      <c r="BI388" s="124" t="str">
        <f>IF($B388="","",IFERROR(SUMIF($AB$5:$AM$5,"&lt;="&amp;P_PeilMaand,AB388:AM388),"n.b."))</f>
        <v/>
      </c>
      <c r="BJ388" s="124" t="str">
        <f>IF($B388="","",IFERROR(SUM(AB388:AM388)-BI388,"n.b."))</f>
        <v/>
      </c>
      <c r="BK388" s="124" t="str">
        <f>IF($B388="","",IFERROR(IF(ABS(Q388-(T388+SUM(AB388:AM388)+AS388+AU388))&gt;P_Tol,1,0),1))</f>
        <v/>
      </c>
      <c r="BL388" s="124" t="str">
        <f>IF($B388="","",IFERROR(IF(ABS(AA388-(Q388-Z388))&gt;P_Tol,1,0),1))</f>
        <v/>
      </c>
      <c r="BM388" s="124" t="str">
        <f>IF($B388="","",IFERROR(IF(ABS(Z388-(T388+W388))&gt;P_Tol,1,0),1))</f>
        <v/>
      </c>
      <c r="BN388" s="124" t="str">
        <f>IF($B388="","",IFERROR(IF(ABS(W388-BI388)&gt;P_Tol,1,0),1))</f>
        <v/>
      </c>
      <c r="BO388" s="124" t="str">
        <f>IF($B388="","",IFERROR(IF(OR(ABS(R388+S388-T388)&gt;P_Tol,ABS(U388+V388-W388)&gt;P_Tol,ABS(X388+Y388-Z388)&gt;P_Tol),1,0),1))</f>
        <v/>
      </c>
      <c r="BP388" s="124" t="str">
        <f>IF($B388="","",IFERROR(IF(OR(ABS(AR388-SUM(AB388:AM388))&gt;P_Tol,ABS(AS388-(AN388+AO388+AP388+AQ388))&gt;P_Tol),1,0),1))</f>
        <v/>
      </c>
      <c r="BQ388" s="124" t="str">
        <f>IF($B388="","",IFERROR(IF(ABS(AT388)+ABS(AV388)+ABS(AW388)+ABS(AX388)+ABS(AY388)+ABS(AZ388)+ABS(BA388)+ABS(BB388)&gt;0,1,0),1))</f>
        <v/>
      </c>
      <c r="BR388" s="124" t="str">
        <f>IF($B388="","",COUNTIF(STG_ZPMW03!$B$6:$B$505,B388))</f>
        <v/>
      </c>
      <c r="BS388" s="124" t="str">
        <f>IF($B388="","",COUNTIF($B$6:$B$505,B388))</f>
        <v/>
      </c>
      <c r="BT388" s="124" t="str">
        <f>IF($B388="","",IF(BR388=0,0,IF(INDEX(STG_ZPMW03!$I$6:$I$505,MATCH(B388,STG_ZPMW03!$B$6:$B$505,0))=J388&amp;"",0,1)))</f>
        <v/>
      </c>
      <c r="BU388" s="124" t="str">
        <f>IF($B388="","",IFERROR(IF(ABS(INDEX(Mapping!$D$5:$D$104,MATCH(B388,Mapping!$A$5:$A$104,0))-Q388)&gt;P_Tol,1,0),0))</f>
        <v/>
      </c>
      <c r="BV388" s="124" t="str">
        <f>IF($B388="","",IFERROR(IF(AND(INDEX(Mapping!$G$5:$G$104,MATCH(B388,Mapping!$A$5:$A$104,0))="Nee",ABS(Q388)+ABS(Z388)+ABS(AR388)&gt;0),1,0),0))</f>
        <v/>
      </c>
      <c r="BW388" s="124" t="str">
        <f>IF($B388="","",IF(COUNTIF(Mapping!$A$5:$A$104,B388)&gt;0,1,0))</f>
        <v/>
      </c>
      <c r="BX388" s="124" t="str">
        <f>IF($B388="","",IF(BR388=0,COUNTIF($BR$6:BR388,0),""))</f>
        <v/>
      </c>
    </row>
    <row r="389">
      <c r="A389" s="15" t="n">
        <v>385</v>
      </c>
      <c r="B389" t="str">
        <f>IF(B$3=0,"",IF(INDEX(SRC_Woningetalage!$A$1:$ZZ$501,$A389,B$3)&amp;""="","",INDEX(SRC_Woningetalage!$A$1:$ZZ$501,$A389,B$3)&amp;""))</f>
        <v/>
      </c>
      <c r="C389" t="str">
        <f>IF($B389="","",IF(C$3=0,"n.b.",INDEX(SRC_Woningetalage!$A$1:$ZZ$501,$A389,C$3)))</f>
        <v/>
      </c>
      <c r="D389" t="str">
        <f>IF($B389="","",IF(D$3=0,"n.b.",INDEX(SRC_Woningetalage!$A$1:$ZZ$501,$A389,D$3)))</f>
        <v/>
      </c>
      <c r="E389" t="str">
        <f>IF($B389="","",IF(E$3=0,"n.b.",INDEX(SRC_Woningetalage!$A$1:$ZZ$501,$A389,E$3)))</f>
        <v/>
      </c>
      <c r="F389" t="str">
        <f>IF($B389="","",IF(F$3=0,"n.b.",INDEX(SRC_Woningetalage!$A$1:$ZZ$501,$A389,F$3)))</f>
        <v/>
      </c>
      <c r="G389" t="str">
        <f>IF($B389="","",IF(G$3=0,"n.b.",INDEX(SRC_Woningetalage!$A$1:$ZZ$501,$A389,G$3)))</f>
        <v/>
      </c>
      <c r="H389" t="str">
        <f>IF($B389="","",IF(H$3=0,"n.b.",INDEX(SRC_Woningetalage!$A$1:$ZZ$501,$A389,H$3)))</f>
        <v/>
      </c>
      <c r="I389" t="str">
        <f>IF($B389="","",IF(I$3=0,"n.b.",INDEX(SRC_Woningetalage!$A$1:$ZZ$501,$A389,I$3)))</f>
        <v/>
      </c>
      <c r="J389" t="str">
        <f>IF($B389="","",IF(J$3=0,"n.b.",INDEX(SRC_Woningetalage!$A$1:$ZZ$501,$A389,J$3)))</f>
        <v/>
      </c>
      <c r="K389" t="str">
        <f>IF($B389="","",IF(K$3=0,"n.b.",INDEX(SRC_Woningetalage!$A$1:$ZZ$501,$A389,K$3)))</f>
        <v/>
      </c>
      <c r="L389" t="str">
        <f>IF($B389="","",IF(L$3=0,"n.b.",INDEX(SRC_Woningetalage!$A$1:$ZZ$501,$A389,L$3)))</f>
        <v/>
      </c>
      <c r="M389" t="str">
        <f>IF($B389="","",IF(M$3=0,"n.b.",INDEX(SRC_Woningetalage!$A$1:$ZZ$501,$A389,M$3)))</f>
        <v/>
      </c>
      <c r="N389" t="str">
        <f>IF($B389="","",IF(N$3=0,"n.b.",INDEX(SRC_Woningetalage!$A$1:$ZZ$501,$A389,N$3)))</f>
        <v/>
      </c>
      <c r="O389" t="str">
        <f>IF($B389="","",IF(O$3=0,"n.b.",INDEX(SRC_Woningetalage!$A$1:$ZZ$501,$A389,O$3)))</f>
        <v/>
      </c>
      <c r="P389" t="str">
        <f>IF($B389="","",IF(P$3=0,"n.b.",INDEX(SRC_Woningetalage!$A$1:$ZZ$501,$A389,P$3)))</f>
        <v/>
      </c>
      <c r="Q389" s="124" t="str">
        <f>IF($B389="","",IF(Q$3=0,"n.b.",INDEX(SRC_Woningetalage!$A$1:$ZZ$501,$A389,Q$3)))</f>
        <v/>
      </c>
      <c r="R389" s="124" t="str">
        <f>IF($B389="","",IF(R$3=0,"n.b.",INDEX(SRC_Woningetalage!$A$1:$ZZ$501,$A389,R$3)))</f>
        <v/>
      </c>
      <c r="S389" s="124" t="str">
        <f>IF($B389="","",IF(S$3=0,"n.b.",INDEX(SRC_Woningetalage!$A$1:$ZZ$501,$A389,S$3)))</f>
        <v/>
      </c>
      <c r="T389" s="124" t="str">
        <f>IF($B389="","",IF(T$3=0,"n.b.",INDEX(SRC_Woningetalage!$A$1:$ZZ$501,$A389,T$3)))</f>
        <v/>
      </c>
      <c r="U389" s="124" t="str">
        <f>IF($B389="","",IF(U$3=0,"n.b.",INDEX(SRC_Woningetalage!$A$1:$ZZ$501,$A389,U$3)))</f>
        <v/>
      </c>
      <c r="V389" s="124" t="str">
        <f>IF($B389="","",IF(V$3=0,"n.b.",INDEX(SRC_Woningetalage!$A$1:$ZZ$501,$A389,V$3)))</f>
        <v/>
      </c>
      <c r="W389" s="124" t="str">
        <f>IF($B389="","",IF(W$3=0,"n.b.",INDEX(SRC_Woningetalage!$A$1:$ZZ$501,$A389,W$3)))</f>
        <v/>
      </c>
      <c r="X389" s="124" t="str">
        <f>IF($B389="","",IF(X$3=0,"n.b.",INDEX(SRC_Woningetalage!$A$1:$ZZ$501,$A389,X$3)))</f>
        <v/>
      </c>
      <c r="Y389" s="124" t="str">
        <f>IF($B389="","",IF(Y$3=0,"n.b.",INDEX(SRC_Woningetalage!$A$1:$ZZ$501,$A389,Y$3)))</f>
        <v/>
      </c>
      <c r="Z389" s="124" t="str">
        <f>IF($B389="","",IF(Z$3=0,"n.b.",INDEX(SRC_Woningetalage!$A$1:$ZZ$501,$A389,Z$3)))</f>
        <v/>
      </c>
      <c r="AA389" s="124" t="str">
        <f>IF($B389="","",IF(AA$3=0,"n.b.",INDEX(SRC_Woningetalage!$A$1:$ZZ$501,$A389,AA$3)))</f>
        <v/>
      </c>
      <c r="AB389" s="124" t="str">
        <f>IF($B389="","",IF(AB$3=0,"n.b.",INDEX(SRC_Woningetalage!$A$1:$ZZ$501,$A389,AB$3)))</f>
        <v/>
      </c>
      <c r="AC389" s="124" t="str">
        <f>IF($B389="","",IF(AC$3=0,"n.b.",INDEX(SRC_Woningetalage!$A$1:$ZZ$501,$A389,AC$3)))</f>
        <v/>
      </c>
      <c r="AD389" s="124" t="str">
        <f>IF($B389="","",IF(AD$3=0,"n.b.",INDEX(SRC_Woningetalage!$A$1:$ZZ$501,$A389,AD$3)))</f>
        <v/>
      </c>
      <c r="AE389" s="124" t="str">
        <f>IF($B389="","",IF(AE$3=0,"n.b.",INDEX(SRC_Woningetalage!$A$1:$ZZ$501,$A389,AE$3)))</f>
        <v/>
      </c>
      <c r="AF389" s="124" t="str">
        <f>IF($B389="","",IF(AF$3=0,"n.b.",INDEX(SRC_Woningetalage!$A$1:$ZZ$501,$A389,AF$3)))</f>
        <v/>
      </c>
      <c r="AG389" s="124" t="str">
        <f>IF($B389="","",IF(AG$3=0,"n.b.",INDEX(SRC_Woningetalage!$A$1:$ZZ$501,$A389,AG$3)))</f>
        <v/>
      </c>
      <c r="AH389" s="124" t="str">
        <f>IF($B389="","",IF(AH$3=0,"n.b.",INDEX(SRC_Woningetalage!$A$1:$ZZ$501,$A389,AH$3)))</f>
        <v/>
      </c>
      <c r="AI389" s="124" t="str">
        <f>IF($B389="","",IF(AI$3=0,"n.b.",INDEX(SRC_Woningetalage!$A$1:$ZZ$501,$A389,AI$3)))</f>
        <v/>
      </c>
      <c r="AJ389" s="124" t="str">
        <f>IF($B389="","",IF(AJ$3=0,"n.b.",INDEX(SRC_Woningetalage!$A$1:$ZZ$501,$A389,AJ$3)))</f>
        <v/>
      </c>
      <c r="AK389" s="124" t="str">
        <f>IF($B389="","",IF(AK$3=0,"n.b.",INDEX(SRC_Woningetalage!$A$1:$ZZ$501,$A389,AK$3)))</f>
        <v/>
      </c>
      <c r="AL389" s="124" t="str">
        <f>IF($B389="","",IF(AL$3=0,"n.b.",INDEX(SRC_Woningetalage!$A$1:$ZZ$501,$A389,AL$3)))</f>
        <v/>
      </c>
      <c r="AM389" s="124" t="str">
        <f>IF($B389="","",IF(AM$3=0,"n.b.",INDEX(SRC_Woningetalage!$A$1:$ZZ$501,$A389,AM$3)))</f>
        <v/>
      </c>
      <c r="AN389" s="124" t="str">
        <f>IF($B389="","",IF(AN$3=0,"n.b.",INDEX(SRC_Woningetalage!$A$1:$ZZ$501,$A389,AN$3)))</f>
        <v/>
      </c>
      <c r="AO389" s="124" t="str">
        <f>IF($B389="","",IF(AO$3=0,"n.b.",INDEX(SRC_Woningetalage!$A$1:$ZZ$501,$A389,AO$3)))</f>
        <v/>
      </c>
      <c r="AP389" s="124" t="str">
        <f>IF($B389="","",IF(AP$3=0,"n.b.",INDEX(SRC_Woningetalage!$A$1:$ZZ$501,$A389,AP$3)))</f>
        <v/>
      </c>
      <c r="AQ389" s="124" t="str">
        <f>IF($B389="","",IF(AQ$3=0,"n.b.",INDEX(SRC_Woningetalage!$A$1:$ZZ$501,$A389,AQ$3)))</f>
        <v/>
      </c>
      <c r="AR389" s="124" t="str">
        <f>IF($B389="","",IF(AR$3=0,"n.b.",INDEX(SRC_Woningetalage!$A$1:$ZZ$501,$A389,AR$3)))</f>
        <v/>
      </c>
      <c r="AS389" s="124" t="str">
        <f>IF($B389="","",IF(AS$3=0,"n.b.",INDEX(SRC_Woningetalage!$A$1:$ZZ$501,$A389,AS$3)))</f>
        <v/>
      </c>
      <c r="AT389" s="124" t="str">
        <f>IF($B389="","",IF(AT$3=0,"n.b.",INDEX(SRC_Woningetalage!$A$1:$ZZ$501,$A389,AT$3)))</f>
        <v/>
      </c>
      <c r="AU389" s="124" t="str">
        <f>IF($B389="","",IF(AU$3=0,"n.b.",INDEX(SRC_Woningetalage!$A$1:$ZZ$501,$A389,AU$3)))</f>
        <v/>
      </c>
      <c r="AV389" s="124" t="str">
        <f>IF($B389="","",IF(AV$3=0,"n.b.",INDEX(SRC_Woningetalage!$A$1:$ZZ$501,$A389,AV$3)))</f>
        <v/>
      </c>
      <c r="AW389" s="124" t="str">
        <f>IF($B389="","",IF(AW$3=0,"n.b.",INDEX(SRC_Woningetalage!$A$1:$ZZ$501,$A389,AW$3)))</f>
        <v/>
      </c>
      <c r="AX389" s="124" t="str">
        <f>IF($B389="","",IF(AX$3=0,"n.b.",INDEX(SRC_Woningetalage!$A$1:$ZZ$501,$A389,AX$3)))</f>
        <v/>
      </c>
      <c r="AY389" s="124" t="str">
        <f>IF($B389="","",IF(AY$3=0,"n.b.",INDEX(SRC_Woningetalage!$A$1:$ZZ$501,$A389,AY$3)))</f>
        <v/>
      </c>
      <c r="AZ389" s="124" t="str">
        <f>IF($B389="","",IF(AZ$3=0,"n.b.",INDEX(SRC_Woningetalage!$A$1:$ZZ$501,$A389,AZ$3)))</f>
        <v/>
      </c>
      <c r="BA389" s="124" t="str">
        <f>IF($B389="","",IF(BA$3=0,"n.b.",INDEX(SRC_Woningetalage!$A$1:$ZZ$501,$A389,BA$3)))</f>
        <v/>
      </c>
      <c r="BB389" s="124" t="str">
        <f>IF($B389="","",IF(BB$3=0,"n.b.",INDEX(SRC_Woningetalage!$A$1:$ZZ$501,$A389,BB$3)))</f>
        <v/>
      </c>
      <c r="BC389" s="124" t="str">
        <f>IF($B389="","",IFERROR(_xlfn.NUMBERVALUE(E389&amp;"",",","."),"n.b."))</f>
        <v/>
      </c>
      <c r="BD389" s="124" t="str">
        <f>IF($B389="","",IFERROR(_xlfn.NUMBERVALUE(M389&amp;"",",","."),"n.b."))</f>
        <v/>
      </c>
      <c r="BE389" s="124" t="str">
        <f>IF($B389="","",IFERROR(AB389+AC389+AD389,"n.b."))</f>
        <v/>
      </c>
      <c r="BF389" s="124" t="str">
        <f>IF($B389="","",IFERROR(AE389+AF389+AG389,"n.b."))</f>
        <v/>
      </c>
      <c r="BG389" s="124" t="str">
        <f>IF($B389="","",IFERROR(AH389+AI389+AJ389,"n.b."))</f>
        <v/>
      </c>
      <c r="BH389" s="124" t="str">
        <f>IF($B389="","",IFERROR(AK389+AL389+AM389,"n.b."))</f>
        <v/>
      </c>
      <c r="BI389" s="124" t="str">
        <f>IF($B389="","",IFERROR(SUMIF($AB$5:$AM$5,"&lt;="&amp;P_PeilMaand,AB389:AM389),"n.b."))</f>
        <v/>
      </c>
      <c r="BJ389" s="124" t="str">
        <f>IF($B389="","",IFERROR(SUM(AB389:AM389)-BI389,"n.b."))</f>
        <v/>
      </c>
      <c r="BK389" s="124" t="str">
        <f>IF($B389="","",IFERROR(IF(ABS(Q389-(T389+SUM(AB389:AM389)+AS389+AU389))&gt;P_Tol,1,0),1))</f>
        <v/>
      </c>
      <c r="BL389" s="124" t="str">
        <f>IF($B389="","",IFERROR(IF(ABS(AA389-(Q389-Z389))&gt;P_Tol,1,0),1))</f>
        <v/>
      </c>
      <c r="BM389" s="124" t="str">
        <f>IF($B389="","",IFERROR(IF(ABS(Z389-(T389+W389))&gt;P_Tol,1,0),1))</f>
        <v/>
      </c>
      <c r="BN389" s="124" t="str">
        <f>IF($B389="","",IFERROR(IF(ABS(W389-BI389)&gt;P_Tol,1,0),1))</f>
        <v/>
      </c>
      <c r="BO389" s="124" t="str">
        <f>IF($B389="","",IFERROR(IF(OR(ABS(R389+S389-T389)&gt;P_Tol,ABS(U389+V389-W389)&gt;P_Tol,ABS(X389+Y389-Z389)&gt;P_Tol),1,0),1))</f>
        <v/>
      </c>
      <c r="BP389" s="124" t="str">
        <f>IF($B389="","",IFERROR(IF(OR(ABS(AR389-SUM(AB389:AM389))&gt;P_Tol,ABS(AS389-(AN389+AO389+AP389+AQ389))&gt;P_Tol),1,0),1))</f>
        <v/>
      </c>
      <c r="BQ389" s="124" t="str">
        <f>IF($B389="","",IFERROR(IF(ABS(AT389)+ABS(AV389)+ABS(AW389)+ABS(AX389)+ABS(AY389)+ABS(AZ389)+ABS(BA389)+ABS(BB389)&gt;0,1,0),1))</f>
        <v/>
      </c>
      <c r="BR389" s="124" t="str">
        <f>IF($B389="","",COUNTIF(STG_ZPMW03!$B$6:$B$505,B389))</f>
        <v/>
      </c>
      <c r="BS389" s="124" t="str">
        <f>IF($B389="","",COUNTIF($B$6:$B$505,B389))</f>
        <v/>
      </c>
      <c r="BT389" s="124" t="str">
        <f>IF($B389="","",IF(BR389=0,0,IF(INDEX(STG_ZPMW03!$I$6:$I$505,MATCH(B389,STG_ZPMW03!$B$6:$B$505,0))=J389&amp;"",0,1)))</f>
        <v/>
      </c>
      <c r="BU389" s="124" t="str">
        <f>IF($B389="","",IFERROR(IF(ABS(INDEX(Mapping!$D$5:$D$104,MATCH(B389,Mapping!$A$5:$A$104,0))-Q389)&gt;P_Tol,1,0),0))</f>
        <v/>
      </c>
      <c r="BV389" s="124" t="str">
        <f>IF($B389="","",IFERROR(IF(AND(INDEX(Mapping!$G$5:$G$104,MATCH(B389,Mapping!$A$5:$A$104,0))="Nee",ABS(Q389)+ABS(Z389)+ABS(AR389)&gt;0),1,0),0))</f>
        <v/>
      </c>
      <c r="BW389" s="124" t="str">
        <f>IF($B389="","",IF(COUNTIF(Mapping!$A$5:$A$104,B389)&gt;0,1,0))</f>
        <v/>
      </c>
      <c r="BX389" s="124" t="str">
        <f>IF($B389="","",IF(BR389=0,COUNTIF($BR$6:BR389,0),""))</f>
        <v/>
      </c>
    </row>
    <row r="390">
      <c r="A390" s="15" t="n">
        <v>386</v>
      </c>
      <c r="B390" t="str">
        <f>IF(B$3=0,"",IF(INDEX(SRC_Woningetalage!$A$1:$ZZ$501,$A390,B$3)&amp;""="","",INDEX(SRC_Woningetalage!$A$1:$ZZ$501,$A390,B$3)&amp;""))</f>
        <v/>
      </c>
      <c r="C390" t="str">
        <f>IF($B390="","",IF(C$3=0,"n.b.",INDEX(SRC_Woningetalage!$A$1:$ZZ$501,$A390,C$3)))</f>
        <v/>
      </c>
      <c r="D390" t="str">
        <f>IF($B390="","",IF(D$3=0,"n.b.",INDEX(SRC_Woningetalage!$A$1:$ZZ$501,$A390,D$3)))</f>
        <v/>
      </c>
      <c r="E390" t="str">
        <f>IF($B390="","",IF(E$3=0,"n.b.",INDEX(SRC_Woningetalage!$A$1:$ZZ$501,$A390,E$3)))</f>
        <v/>
      </c>
      <c r="F390" t="str">
        <f>IF($B390="","",IF(F$3=0,"n.b.",INDEX(SRC_Woningetalage!$A$1:$ZZ$501,$A390,F$3)))</f>
        <v/>
      </c>
      <c r="G390" t="str">
        <f>IF($B390="","",IF(G$3=0,"n.b.",INDEX(SRC_Woningetalage!$A$1:$ZZ$501,$A390,G$3)))</f>
        <v/>
      </c>
      <c r="H390" t="str">
        <f>IF($B390="","",IF(H$3=0,"n.b.",INDEX(SRC_Woningetalage!$A$1:$ZZ$501,$A390,H$3)))</f>
        <v/>
      </c>
      <c r="I390" t="str">
        <f>IF($B390="","",IF(I$3=0,"n.b.",INDEX(SRC_Woningetalage!$A$1:$ZZ$501,$A390,I$3)))</f>
        <v/>
      </c>
      <c r="J390" t="str">
        <f>IF($B390="","",IF(J$3=0,"n.b.",INDEX(SRC_Woningetalage!$A$1:$ZZ$501,$A390,J$3)))</f>
        <v/>
      </c>
      <c r="K390" t="str">
        <f>IF($B390="","",IF(K$3=0,"n.b.",INDEX(SRC_Woningetalage!$A$1:$ZZ$501,$A390,K$3)))</f>
        <v/>
      </c>
      <c r="L390" t="str">
        <f>IF($B390="","",IF(L$3=0,"n.b.",INDEX(SRC_Woningetalage!$A$1:$ZZ$501,$A390,L$3)))</f>
        <v/>
      </c>
      <c r="M390" t="str">
        <f>IF($B390="","",IF(M$3=0,"n.b.",INDEX(SRC_Woningetalage!$A$1:$ZZ$501,$A390,M$3)))</f>
        <v/>
      </c>
      <c r="N390" t="str">
        <f>IF($B390="","",IF(N$3=0,"n.b.",INDEX(SRC_Woningetalage!$A$1:$ZZ$501,$A390,N$3)))</f>
        <v/>
      </c>
      <c r="O390" t="str">
        <f>IF($B390="","",IF(O$3=0,"n.b.",INDEX(SRC_Woningetalage!$A$1:$ZZ$501,$A390,O$3)))</f>
        <v/>
      </c>
      <c r="P390" t="str">
        <f>IF($B390="","",IF(P$3=0,"n.b.",INDEX(SRC_Woningetalage!$A$1:$ZZ$501,$A390,P$3)))</f>
        <v/>
      </c>
      <c r="Q390" s="124" t="str">
        <f>IF($B390="","",IF(Q$3=0,"n.b.",INDEX(SRC_Woningetalage!$A$1:$ZZ$501,$A390,Q$3)))</f>
        <v/>
      </c>
      <c r="R390" s="124" t="str">
        <f>IF($B390="","",IF(R$3=0,"n.b.",INDEX(SRC_Woningetalage!$A$1:$ZZ$501,$A390,R$3)))</f>
        <v/>
      </c>
      <c r="S390" s="124" t="str">
        <f>IF($B390="","",IF(S$3=0,"n.b.",INDEX(SRC_Woningetalage!$A$1:$ZZ$501,$A390,S$3)))</f>
        <v/>
      </c>
      <c r="T390" s="124" t="str">
        <f>IF($B390="","",IF(T$3=0,"n.b.",INDEX(SRC_Woningetalage!$A$1:$ZZ$501,$A390,T$3)))</f>
        <v/>
      </c>
      <c r="U390" s="124" t="str">
        <f>IF($B390="","",IF(U$3=0,"n.b.",INDEX(SRC_Woningetalage!$A$1:$ZZ$501,$A390,U$3)))</f>
        <v/>
      </c>
      <c r="V390" s="124" t="str">
        <f>IF($B390="","",IF(V$3=0,"n.b.",INDEX(SRC_Woningetalage!$A$1:$ZZ$501,$A390,V$3)))</f>
        <v/>
      </c>
      <c r="W390" s="124" t="str">
        <f>IF($B390="","",IF(W$3=0,"n.b.",INDEX(SRC_Woningetalage!$A$1:$ZZ$501,$A390,W$3)))</f>
        <v/>
      </c>
      <c r="X390" s="124" t="str">
        <f>IF($B390="","",IF(X$3=0,"n.b.",INDEX(SRC_Woningetalage!$A$1:$ZZ$501,$A390,X$3)))</f>
        <v/>
      </c>
      <c r="Y390" s="124" t="str">
        <f>IF($B390="","",IF(Y$3=0,"n.b.",INDEX(SRC_Woningetalage!$A$1:$ZZ$501,$A390,Y$3)))</f>
        <v/>
      </c>
      <c r="Z390" s="124" t="str">
        <f>IF($B390="","",IF(Z$3=0,"n.b.",INDEX(SRC_Woningetalage!$A$1:$ZZ$501,$A390,Z$3)))</f>
        <v/>
      </c>
      <c r="AA390" s="124" t="str">
        <f>IF($B390="","",IF(AA$3=0,"n.b.",INDEX(SRC_Woningetalage!$A$1:$ZZ$501,$A390,AA$3)))</f>
        <v/>
      </c>
      <c r="AB390" s="124" t="str">
        <f>IF($B390="","",IF(AB$3=0,"n.b.",INDEX(SRC_Woningetalage!$A$1:$ZZ$501,$A390,AB$3)))</f>
        <v/>
      </c>
      <c r="AC390" s="124" t="str">
        <f>IF($B390="","",IF(AC$3=0,"n.b.",INDEX(SRC_Woningetalage!$A$1:$ZZ$501,$A390,AC$3)))</f>
        <v/>
      </c>
      <c r="AD390" s="124" t="str">
        <f>IF($B390="","",IF(AD$3=0,"n.b.",INDEX(SRC_Woningetalage!$A$1:$ZZ$501,$A390,AD$3)))</f>
        <v/>
      </c>
      <c r="AE390" s="124" t="str">
        <f>IF($B390="","",IF(AE$3=0,"n.b.",INDEX(SRC_Woningetalage!$A$1:$ZZ$501,$A390,AE$3)))</f>
        <v/>
      </c>
      <c r="AF390" s="124" t="str">
        <f>IF($B390="","",IF(AF$3=0,"n.b.",INDEX(SRC_Woningetalage!$A$1:$ZZ$501,$A390,AF$3)))</f>
        <v/>
      </c>
      <c r="AG390" s="124" t="str">
        <f>IF($B390="","",IF(AG$3=0,"n.b.",INDEX(SRC_Woningetalage!$A$1:$ZZ$501,$A390,AG$3)))</f>
        <v/>
      </c>
      <c r="AH390" s="124" t="str">
        <f>IF($B390="","",IF(AH$3=0,"n.b.",INDEX(SRC_Woningetalage!$A$1:$ZZ$501,$A390,AH$3)))</f>
        <v/>
      </c>
      <c r="AI390" s="124" t="str">
        <f>IF($B390="","",IF(AI$3=0,"n.b.",INDEX(SRC_Woningetalage!$A$1:$ZZ$501,$A390,AI$3)))</f>
        <v/>
      </c>
      <c r="AJ390" s="124" t="str">
        <f>IF($B390="","",IF(AJ$3=0,"n.b.",INDEX(SRC_Woningetalage!$A$1:$ZZ$501,$A390,AJ$3)))</f>
        <v/>
      </c>
      <c r="AK390" s="124" t="str">
        <f>IF($B390="","",IF(AK$3=0,"n.b.",INDEX(SRC_Woningetalage!$A$1:$ZZ$501,$A390,AK$3)))</f>
        <v/>
      </c>
      <c r="AL390" s="124" t="str">
        <f>IF($B390="","",IF(AL$3=0,"n.b.",INDEX(SRC_Woningetalage!$A$1:$ZZ$501,$A390,AL$3)))</f>
        <v/>
      </c>
      <c r="AM390" s="124" t="str">
        <f>IF($B390="","",IF(AM$3=0,"n.b.",INDEX(SRC_Woningetalage!$A$1:$ZZ$501,$A390,AM$3)))</f>
        <v/>
      </c>
      <c r="AN390" s="124" t="str">
        <f>IF($B390="","",IF(AN$3=0,"n.b.",INDEX(SRC_Woningetalage!$A$1:$ZZ$501,$A390,AN$3)))</f>
        <v/>
      </c>
      <c r="AO390" s="124" t="str">
        <f>IF($B390="","",IF(AO$3=0,"n.b.",INDEX(SRC_Woningetalage!$A$1:$ZZ$501,$A390,AO$3)))</f>
        <v/>
      </c>
      <c r="AP390" s="124" t="str">
        <f>IF($B390="","",IF(AP$3=0,"n.b.",INDEX(SRC_Woningetalage!$A$1:$ZZ$501,$A390,AP$3)))</f>
        <v/>
      </c>
      <c r="AQ390" s="124" t="str">
        <f>IF($B390="","",IF(AQ$3=0,"n.b.",INDEX(SRC_Woningetalage!$A$1:$ZZ$501,$A390,AQ$3)))</f>
        <v/>
      </c>
      <c r="AR390" s="124" t="str">
        <f>IF($B390="","",IF(AR$3=0,"n.b.",INDEX(SRC_Woningetalage!$A$1:$ZZ$501,$A390,AR$3)))</f>
        <v/>
      </c>
      <c r="AS390" s="124" t="str">
        <f>IF($B390="","",IF(AS$3=0,"n.b.",INDEX(SRC_Woningetalage!$A$1:$ZZ$501,$A390,AS$3)))</f>
        <v/>
      </c>
      <c r="AT390" s="124" t="str">
        <f>IF($B390="","",IF(AT$3=0,"n.b.",INDEX(SRC_Woningetalage!$A$1:$ZZ$501,$A390,AT$3)))</f>
        <v/>
      </c>
      <c r="AU390" s="124" t="str">
        <f>IF($B390="","",IF(AU$3=0,"n.b.",INDEX(SRC_Woningetalage!$A$1:$ZZ$501,$A390,AU$3)))</f>
        <v/>
      </c>
      <c r="AV390" s="124" t="str">
        <f>IF($B390="","",IF(AV$3=0,"n.b.",INDEX(SRC_Woningetalage!$A$1:$ZZ$501,$A390,AV$3)))</f>
        <v/>
      </c>
      <c r="AW390" s="124" t="str">
        <f>IF($B390="","",IF(AW$3=0,"n.b.",INDEX(SRC_Woningetalage!$A$1:$ZZ$501,$A390,AW$3)))</f>
        <v/>
      </c>
      <c r="AX390" s="124" t="str">
        <f>IF($B390="","",IF(AX$3=0,"n.b.",INDEX(SRC_Woningetalage!$A$1:$ZZ$501,$A390,AX$3)))</f>
        <v/>
      </c>
      <c r="AY390" s="124" t="str">
        <f>IF($B390="","",IF(AY$3=0,"n.b.",INDEX(SRC_Woningetalage!$A$1:$ZZ$501,$A390,AY$3)))</f>
        <v/>
      </c>
      <c r="AZ390" s="124" t="str">
        <f>IF($B390="","",IF(AZ$3=0,"n.b.",INDEX(SRC_Woningetalage!$A$1:$ZZ$501,$A390,AZ$3)))</f>
        <v/>
      </c>
      <c r="BA390" s="124" t="str">
        <f>IF($B390="","",IF(BA$3=0,"n.b.",INDEX(SRC_Woningetalage!$A$1:$ZZ$501,$A390,BA$3)))</f>
        <v/>
      </c>
      <c r="BB390" s="124" t="str">
        <f>IF($B390="","",IF(BB$3=0,"n.b.",INDEX(SRC_Woningetalage!$A$1:$ZZ$501,$A390,BB$3)))</f>
        <v/>
      </c>
      <c r="BC390" s="124" t="str">
        <f>IF($B390="","",IFERROR(_xlfn.NUMBERVALUE(E390&amp;"",",","."),"n.b."))</f>
        <v/>
      </c>
      <c r="BD390" s="124" t="str">
        <f>IF($B390="","",IFERROR(_xlfn.NUMBERVALUE(M390&amp;"",",","."),"n.b."))</f>
        <v/>
      </c>
      <c r="BE390" s="124" t="str">
        <f>IF($B390="","",IFERROR(AB390+AC390+AD390,"n.b."))</f>
        <v/>
      </c>
      <c r="BF390" s="124" t="str">
        <f>IF($B390="","",IFERROR(AE390+AF390+AG390,"n.b."))</f>
        <v/>
      </c>
      <c r="BG390" s="124" t="str">
        <f>IF($B390="","",IFERROR(AH390+AI390+AJ390,"n.b."))</f>
        <v/>
      </c>
      <c r="BH390" s="124" t="str">
        <f>IF($B390="","",IFERROR(AK390+AL390+AM390,"n.b."))</f>
        <v/>
      </c>
      <c r="BI390" s="124" t="str">
        <f>IF($B390="","",IFERROR(SUMIF($AB$5:$AM$5,"&lt;="&amp;P_PeilMaand,AB390:AM390),"n.b."))</f>
        <v/>
      </c>
      <c r="BJ390" s="124" t="str">
        <f>IF($B390="","",IFERROR(SUM(AB390:AM390)-BI390,"n.b."))</f>
        <v/>
      </c>
      <c r="BK390" s="124" t="str">
        <f>IF($B390="","",IFERROR(IF(ABS(Q390-(T390+SUM(AB390:AM390)+AS390+AU390))&gt;P_Tol,1,0),1))</f>
        <v/>
      </c>
      <c r="BL390" s="124" t="str">
        <f>IF($B390="","",IFERROR(IF(ABS(AA390-(Q390-Z390))&gt;P_Tol,1,0),1))</f>
        <v/>
      </c>
      <c r="BM390" s="124" t="str">
        <f>IF($B390="","",IFERROR(IF(ABS(Z390-(T390+W390))&gt;P_Tol,1,0),1))</f>
        <v/>
      </c>
      <c r="BN390" s="124" t="str">
        <f>IF($B390="","",IFERROR(IF(ABS(W390-BI390)&gt;P_Tol,1,0),1))</f>
        <v/>
      </c>
      <c r="BO390" s="124" t="str">
        <f>IF($B390="","",IFERROR(IF(OR(ABS(R390+S390-T390)&gt;P_Tol,ABS(U390+V390-W390)&gt;P_Tol,ABS(X390+Y390-Z390)&gt;P_Tol),1,0),1))</f>
        <v/>
      </c>
      <c r="BP390" s="124" t="str">
        <f>IF($B390="","",IFERROR(IF(OR(ABS(AR390-SUM(AB390:AM390))&gt;P_Tol,ABS(AS390-(AN390+AO390+AP390+AQ390))&gt;P_Tol),1,0),1))</f>
        <v/>
      </c>
      <c r="BQ390" s="124" t="str">
        <f>IF($B390="","",IFERROR(IF(ABS(AT390)+ABS(AV390)+ABS(AW390)+ABS(AX390)+ABS(AY390)+ABS(AZ390)+ABS(BA390)+ABS(BB390)&gt;0,1,0),1))</f>
        <v/>
      </c>
      <c r="BR390" s="124" t="str">
        <f>IF($B390="","",COUNTIF(STG_ZPMW03!$B$6:$B$505,B390))</f>
        <v/>
      </c>
      <c r="BS390" s="124" t="str">
        <f>IF($B390="","",COUNTIF($B$6:$B$505,B390))</f>
        <v/>
      </c>
      <c r="BT390" s="124" t="str">
        <f>IF($B390="","",IF(BR390=0,0,IF(INDEX(STG_ZPMW03!$I$6:$I$505,MATCH(B390,STG_ZPMW03!$B$6:$B$505,0))=J390&amp;"",0,1)))</f>
        <v/>
      </c>
      <c r="BU390" s="124" t="str">
        <f>IF($B390="","",IFERROR(IF(ABS(INDEX(Mapping!$D$5:$D$104,MATCH(B390,Mapping!$A$5:$A$104,0))-Q390)&gt;P_Tol,1,0),0))</f>
        <v/>
      </c>
      <c r="BV390" s="124" t="str">
        <f>IF($B390="","",IFERROR(IF(AND(INDEX(Mapping!$G$5:$G$104,MATCH(B390,Mapping!$A$5:$A$104,0))="Nee",ABS(Q390)+ABS(Z390)+ABS(AR390)&gt;0),1,0),0))</f>
        <v/>
      </c>
      <c r="BW390" s="124" t="str">
        <f>IF($B390="","",IF(COUNTIF(Mapping!$A$5:$A$104,B390)&gt;0,1,0))</f>
        <v/>
      </c>
      <c r="BX390" s="124" t="str">
        <f>IF($B390="","",IF(BR390=0,COUNTIF($BR$6:BR390,0),""))</f>
        <v/>
      </c>
    </row>
    <row r="391">
      <c r="A391" s="15" t="n">
        <v>387</v>
      </c>
      <c r="B391" t="str">
        <f>IF(B$3=0,"",IF(INDEX(SRC_Woningetalage!$A$1:$ZZ$501,$A391,B$3)&amp;""="","",INDEX(SRC_Woningetalage!$A$1:$ZZ$501,$A391,B$3)&amp;""))</f>
        <v/>
      </c>
      <c r="C391" t="str">
        <f>IF($B391="","",IF(C$3=0,"n.b.",INDEX(SRC_Woningetalage!$A$1:$ZZ$501,$A391,C$3)))</f>
        <v/>
      </c>
      <c r="D391" t="str">
        <f>IF($B391="","",IF(D$3=0,"n.b.",INDEX(SRC_Woningetalage!$A$1:$ZZ$501,$A391,D$3)))</f>
        <v/>
      </c>
      <c r="E391" t="str">
        <f>IF($B391="","",IF(E$3=0,"n.b.",INDEX(SRC_Woningetalage!$A$1:$ZZ$501,$A391,E$3)))</f>
        <v/>
      </c>
      <c r="F391" t="str">
        <f>IF($B391="","",IF(F$3=0,"n.b.",INDEX(SRC_Woningetalage!$A$1:$ZZ$501,$A391,F$3)))</f>
        <v/>
      </c>
      <c r="G391" t="str">
        <f>IF($B391="","",IF(G$3=0,"n.b.",INDEX(SRC_Woningetalage!$A$1:$ZZ$501,$A391,G$3)))</f>
        <v/>
      </c>
      <c r="H391" t="str">
        <f>IF($B391="","",IF(H$3=0,"n.b.",INDEX(SRC_Woningetalage!$A$1:$ZZ$501,$A391,H$3)))</f>
        <v/>
      </c>
      <c r="I391" t="str">
        <f>IF($B391="","",IF(I$3=0,"n.b.",INDEX(SRC_Woningetalage!$A$1:$ZZ$501,$A391,I$3)))</f>
        <v/>
      </c>
      <c r="J391" t="str">
        <f>IF($B391="","",IF(J$3=0,"n.b.",INDEX(SRC_Woningetalage!$A$1:$ZZ$501,$A391,J$3)))</f>
        <v/>
      </c>
      <c r="K391" t="str">
        <f>IF($B391="","",IF(K$3=0,"n.b.",INDEX(SRC_Woningetalage!$A$1:$ZZ$501,$A391,K$3)))</f>
        <v/>
      </c>
      <c r="L391" t="str">
        <f>IF($B391="","",IF(L$3=0,"n.b.",INDEX(SRC_Woningetalage!$A$1:$ZZ$501,$A391,L$3)))</f>
        <v/>
      </c>
      <c r="M391" t="str">
        <f>IF($B391="","",IF(M$3=0,"n.b.",INDEX(SRC_Woningetalage!$A$1:$ZZ$501,$A391,M$3)))</f>
        <v/>
      </c>
      <c r="N391" t="str">
        <f>IF($B391="","",IF(N$3=0,"n.b.",INDEX(SRC_Woningetalage!$A$1:$ZZ$501,$A391,N$3)))</f>
        <v/>
      </c>
      <c r="O391" t="str">
        <f>IF($B391="","",IF(O$3=0,"n.b.",INDEX(SRC_Woningetalage!$A$1:$ZZ$501,$A391,O$3)))</f>
        <v/>
      </c>
      <c r="P391" t="str">
        <f>IF($B391="","",IF(P$3=0,"n.b.",INDEX(SRC_Woningetalage!$A$1:$ZZ$501,$A391,P$3)))</f>
        <v/>
      </c>
      <c r="Q391" s="124" t="str">
        <f>IF($B391="","",IF(Q$3=0,"n.b.",INDEX(SRC_Woningetalage!$A$1:$ZZ$501,$A391,Q$3)))</f>
        <v/>
      </c>
      <c r="R391" s="124" t="str">
        <f>IF($B391="","",IF(R$3=0,"n.b.",INDEX(SRC_Woningetalage!$A$1:$ZZ$501,$A391,R$3)))</f>
        <v/>
      </c>
      <c r="S391" s="124" t="str">
        <f>IF($B391="","",IF(S$3=0,"n.b.",INDEX(SRC_Woningetalage!$A$1:$ZZ$501,$A391,S$3)))</f>
        <v/>
      </c>
      <c r="T391" s="124" t="str">
        <f>IF($B391="","",IF(T$3=0,"n.b.",INDEX(SRC_Woningetalage!$A$1:$ZZ$501,$A391,T$3)))</f>
        <v/>
      </c>
      <c r="U391" s="124" t="str">
        <f>IF($B391="","",IF(U$3=0,"n.b.",INDEX(SRC_Woningetalage!$A$1:$ZZ$501,$A391,U$3)))</f>
        <v/>
      </c>
      <c r="V391" s="124" t="str">
        <f>IF($B391="","",IF(V$3=0,"n.b.",INDEX(SRC_Woningetalage!$A$1:$ZZ$501,$A391,V$3)))</f>
        <v/>
      </c>
      <c r="W391" s="124" t="str">
        <f>IF($B391="","",IF(W$3=0,"n.b.",INDEX(SRC_Woningetalage!$A$1:$ZZ$501,$A391,W$3)))</f>
        <v/>
      </c>
      <c r="X391" s="124" t="str">
        <f>IF($B391="","",IF(X$3=0,"n.b.",INDEX(SRC_Woningetalage!$A$1:$ZZ$501,$A391,X$3)))</f>
        <v/>
      </c>
      <c r="Y391" s="124" t="str">
        <f>IF($B391="","",IF(Y$3=0,"n.b.",INDEX(SRC_Woningetalage!$A$1:$ZZ$501,$A391,Y$3)))</f>
        <v/>
      </c>
      <c r="Z391" s="124" t="str">
        <f>IF($B391="","",IF(Z$3=0,"n.b.",INDEX(SRC_Woningetalage!$A$1:$ZZ$501,$A391,Z$3)))</f>
        <v/>
      </c>
      <c r="AA391" s="124" t="str">
        <f>IF($B391="","",IF(AA$3=0,"n.b.",INDEX(SRC_Woningetalage!$A$1:$ZZ$501,$A391,AA$3)))</f>
        <v/>
      </c>
      <c r="AB391" s="124" t="str">
        <f>IF($B391="","",IF(AB$3=0,"n.b.",INDEX(SRC_Woningetalage!$A$1:$ZZ$501,$A391,AB$3)))</f>
        <v/>
      </c>
      <c r="AC391" s="124" t="str">
        <f>IF($B391="","",IF(AC$3=0,"n.b.",INDEX(SRC_Woningetalage!$A$1:$ZZ$501,$A391,AC$3)))</f>
        <v/>
      </c>
      <c r="AD391" s="124" t="str">
        <f>IF($B391="","",IF(AD$3=0,"n.b.",INDEX(SRC_Woningetalage!$A$1:$ZZ$501,$A391,AD$3)))</f>
        <v/>
      </c>
      <c r="AE391" s="124" t="str">
        <f>IF($B391="","",IF(AE$3=0,"n.b.",INDEX(SRC_Woningetalage!$A$1:$ZZ$501,$A391,AE$3)))</f>
        <v/>
      </c>
      <c r="AF391" s="124" t="str">
        <f>IF($B391="","",IF(AF$3=0,"n.b.",INDEX(SRC_Woningetalage!$A$1:$ZZ$501,$A391,AF$3)))</f>
        <v/>
      </c>
      <c r="AG391" s="124" t="str">
        <f>IF($B391="","",IF(AG$3=0,"n.b.",INDEX(SRC_Woningetalage!$A$1:$ZZ$501,$A391,AG$3)))</f>
        <v/>
      </c>
      <c r="AH391" s="124" t="str">
        <f>IF($B391="","",IF(AH$3=0,"n.b.",INDEX(SRC_Woningetalage!$A$1:$ZZ$501,$A391,AH$3)))</f>
        <v/>
      </c>
      <c r="AI391" s="124" t="str">
        <f>IF($B391="","",IF(AI$3=0,"n.b.",INDEX(SRC_Woningetalage!$A$1:$ZZ$501,$A391,AI$3)))</f>
        <v/>
      </c>
      <c r="AJ391" s="124" t="str">
        <f>IF($B391="","",IF(AJ$3=0,"n.b.",INDEX(SRC_Woningetalage!$A$1:$ZZ$501,$A391,AJ$3)))</f>
        <v/>
      </c>
      <c r="AK391" s="124" t="str">
        <f>IF($B391="","",IF(AK$3=0,"n.b.",INDEX(SRC_Woningetalage!$A$1:$ZZ$501,$A391,AK$3)))</f>
        <v/>
      </c>
      <c r="AL391" s="124" t="str">
        <f>IF($B391="","",IF(AL$3=0,"n.b.",INDEX(SRC_Woningetalage!$A$1:$ZZ$501,$A391,AL$3)))</f>
        <v/>
      </c>
      <c r="AM391" s="124" t="str">
        <f>IF($B391="","",IF(AM$3=0,"n.b.",INDEX(SRC_Woningetalage!$A$1:$ZZ$501,$A391,AM$3)))</f>
        <v/>
      </c>
      <c r="AN391" s="124" t="str">
        <f>IF($B391="","",IF(AN$3=0,"n.b.",INDEX(SRC_Woningetalage!$A$1:$ZZ$501,$A391,AN$3)))</f>
        <v/>
      </c>
      <c r="AO391" s="124" t="str">
        <f>IF($B391="","",IF(AO$3=0,"n.b.",INDEX(SRC_Woningetalage!$A$1:$ZZ$501,$A391,AO$3)))</f>
        <v/>
      </c>
      <c r="AP391" s="124" t="str">
        <f>IF($B391="","",IF(AP$3=0,"n.b.",INDEX(SRC_Woningetalage!$A$1:$ZZ$501,$A391,AP$3)))</f>
        <v/>
      </c>
      <c r="AQ391" s="124" t="str">
        <f>IF($B391="","",IF(AQ$3=0,"n.b.",INDEX(SRC_Woningetalage!$A$1:$ZZ$501,$A391,AQ$3)))</f>
        <v/>
      </c>
      <c r="AR391" s="124" t="str">
        <f>IF($B391="","",IF(AR$3=0,"n.b.",INDEX(SRC_Woningetalage!$A$1:$ZZ$501,$A391,AR$3)))</f>
        <v/>
      </c>
      <c r="AS391" s="124" t="str">
        <f>IF($B391="","",IF(AS$3=0,"n.b.",INDEX(SRC_Woningetalage!$A$1:$ZZ$501,$A391,AS$3)))</f>
        <v/>
      </c>
      <c r="AT391" s="124" t="str">
        <f>IF($B391="","",IF(AT$3=0,"n.b.",INDEX(SRC_Woningetalage!$A$1:$ZZ$501,$A391,AT$3)))</f>
        <v/>
      </c>
      <c r="AU391" s="124" t="str">
        <f>IF($B391="","",IF(AU$3=0,"n.b.",INDEX(SRC_Woningetalage!$A$1:$ZZ$501,$A391,AU$3)))</f>
        <v/>
      </c>
      <c r="AV391" s="124" t="str">
        <f>IF($B391="","",IF(AV$3=0,"n.b.",INDEX(SRC_Woningetalage!$A$1:$ZZ$501,$A391,AV$3)))</f>
        <v/>
      </c>
      <c r="AW391" s="124" t="str">
        <f>IF($B391="","",IF(AW$3=0,"n.b.",INDEX(SRC_Woningetalage!$A$1:$ZZ$501,$A391,AW$3)))</f>
        <v/>
      </c>
      <c r="AX391" s="124" t="str">
        <f>IF($B391="","",IF(AX$3=0,"n.b.",INDEX(SRC_Woningetalage!$A$1:$ZZ$501,$A391,AX$3)))</f>
        <v/>
      </c>
      <c r="AY391" s="124" t="str">
        <f>IF($B391="","",IF(AY$3=0,"n.b.",INDEX(SRC_Woningetalage!$A$1:$ZZ$501,$A391,AY$3)))</f>
        <v/>
      </c>
      <c r="AZ391" s="124" t="str">
        <f>IF($B391="","",IF(AZ$3=0,"n.b.",INDEX(SRC_Woningetalage!$A$1:$ZZ$501,$A391,AZ$3)))</f>
        <v/>
      </c>
      <c r="BA391" s="124" t="str">
        <f>IF($B391="","",IF(BA$3=0,"n.b.",INDEX(SRC_Woningetalage!$A$1:$ZZ$501,$A391,BA$3)))</f>
        <v/>
      </c>
      <c r="BB391" s="124" t="str">
        <f>IF($B391="","",IF(BB$3=0,"n.b.",INDEX(SRC_Woningetalage!$A$1:$ZZ$501,$A391,BB$3)))</f>
        <v/>
      </c>
      <c r="BC391" s="124" t="str">
        <f>IF($B391="","",IFERROR(_xlfn.NUMBERVALUE(E391&amp;"",",","."),"n.b."))</f>
        <v/>
      </c>
      <c r="BD391" s="124" t="str">
        <f>IF($B391="","",IFERROR(_xlfn.NUMBERVALUE(M391&amp;"",",","."),"n.b."))</f>
        <v/>
      </c>
      <c r="BE391" s="124" t="str">
        <f>IF($B391="","",IFERROR(AB391+AC391+AD391,"n.b."))</f>
        <v/>
      </c>
      <c r="BF391" s="124" t="str">
        <f>IF($B391="","",IFERROR(AE391+AF391+AG391,"n.b."))</f>
        <v/>
      </c>
      <c r="BG391" s="124" t="str">
        <f>IF($B391="","",IFERROR(AH391+AI391+AJ391,"n.b."))</f>
        <v/>
      </c>
      <c r="BH391" s="124" t="str">
        <f>IF($B391="","",IFERROR(AK391+AL391+AM391,"n.b."))</f>
        <v/>
      </c>
      <c r="BI391" s="124" t="str">
        <f>IF($B391="","",IFERROR(SUMIF($AB$5:$AM$5,"&lt;="&amp;P_PeilMaand,AB391:AM391),"n.b."))</f>
        <v/>
      </c>
      <c r="BJ391" s="124" t="str">
        <f>IF($B391="","",IFERROR(SUM(AB391:AM391)-BI391,"n.b."))</f>
        <v/>
      </c>
      <c r="BK391" s="124" t="str">
        <f>IF($B391="","",IFERROR(IF(ABS(Q391-(T391+SUM(AB391:AM391)+AS391+AU391))&gt;P_Tol,1,0),1))</f>
        <v/>
      </c>
      <c r="BL391" s="124" t="str">
        <f>IF($B391="","",IFERROR(IF(ABS(AA391-(Q391-Z391))&gt;P_Tol,1,0),1))</f>
        <v/>
      </c>
      <c r="BM391" s="124" t="str">
        <f>IF($B391="","",IFERROR(IF(ABS(Z391-(T391+W391))&gt;P_Tol,1,0),1))</f>
        <v/>
      </c>
      <c r="BN391" s="124" t="str">
        <f>IF($B391="","",IFERROR(IF(ABS(W391-BI391)&gt;P_Tol,1,0),1))</f>
        <v/>
      </c>
      <c r="BO391" s="124" t="str">
        <f>IF($B391="","",IFERROR(IF(OR(ABS(R391+S391-T391)&gt;P_Tol,ABS(U391+V391-W391)&gt;P_Tol,ABS(X391+Y391-Z391)&gt;P_Tol),1,0),1))</f>
        <v/>
      </c>
      <c r="BP391" s="124" t="str">
        <f>IF($B391="","",IFERROR(IF(OR(ABS(AR391-SUM(AB391:AM391))&gt;P_Tol,ABS(AS391-(AN391+AO391+AP391+AQ391))&gt;P_Tol),1,0),1))</f>
        <v/>
      </c>
      <c r="BQ391" s="124" t="str">
        <f>IF($B391="","",IFERROR(IF(ABS(AT391)+ABS(AV391)+ABS(AW391)+ABS(AX391)+ABS(AY391)+ABS(AZ391)+ABS(BA391)+ABS(BB391)&gt;0,1,0),1))</f>
        <v/>
      </c>
      <c r="BR391" s="124" t="str">
        <f>IF($B391="","",COUNTIF(STG_ZPMW03!$B$6:$B$505,B391))</f>
        <v/>
      </c>
      <c r="BS391" s="124" t="str">
        <f>IF($B391="","",COUNTIF($B$6:$B$505,B391))</f>
        <v/>
      </c>
      <c r="BT391" s="124" t="str">
        <f>IF($B391="","",IF(BR391=0,0,IF(INDEX(STG_ZPMW03!$I$6:$I$505,MATCH(B391,STG_ZPMW03!$B$6:$B$505,0))=J391&amp;"",0,1)))</f>
        <v/>
      </c>
      <c r="BU391" s="124" t="str">
        <f>IF($B391="","",IFERROR(IF(ABS(INDEX(Mapping!$D$5:$D$104,MATCH(B391,Mapping!$A$5:$A$104,0))-Q391)&gt;P_Tol,1,0),0))</f>
        <v/>
      </c>
      <c r="BV391" s="124" t="str">
        <f>IF($B391="","",IFERROR(IF(AND(INDEX(Mapping!$G$5:$G$104,MATCH(B391,Mapping!$A$5:$A$104,0))="Nee",ABS(Q391)+ABS(Z391)+ABS(AR391)&gt;0),1,0),0))</f>
        <v/>
      </c>
      <c r="BW391" s="124" t="str">
        <f>IF($B391="","",IF(COUNTIF(Mapping!$A$5:$A$104,B391)&gt;0,1,0))</f>
        <v/>
      </c>
      <c r="BX391" s="124" t="str">
        <f>IF($B391="","",IF(BR391=0,COUNTIF($BR$6:BR391,0),""))</f>
        <v/>
      </c>
    </row>
    <row r="392">
      <c r="A392" s="15" t="n">
        <v>388</v>
      </c>
      <c r="B392" t="str">
        <f>IF(B$3=0,"",IF(INDEX(SRC_Woningetalage!$A$1:$ZZ$501,$A392,B$3)&amp;""="","",INDEX(SRC_Woningetalage!$A$1:$ZZ$501,$A392,B$3)&amp;""))</f>
        <v/>
      </c>
      <c r="C392" t="str">
        <f>IF($B392="","",IF(C$3=0,"n.b.",INDEX(SRC_Woningetalage!$A$1:$ZZ$501,$A392,C$3)))</f>
        <v/>
      </c>
      <c r="D392" t="str">
        <f>IF($B392="","",IF(D$3=0,"n.b.",INDEX(SRC_Woningetalage!$A$1:$ZZ$501,$A392,D$3)))</f>
        <v/>
      </c>
      <c r="E392" t="str">
        <f>IF($B392="","",IF(E$3=0,"n.b.",INDEX(SRC_Woningetalage!$A$1:$ZZ$501,$A392,E$3)))</f>
        <v/>
      </c>
      <c r="F392" t="str">
        <f>IF($B392="","",IF(F$3=0,"n.b.",INDEX(SRC_Woningetalage!$A$1:$ZZ$501,$A392,F$3)))</f>
        <v/>
      </c>
      <c r="G392" t="str">
        <f>IF($B392="","",IF(G$3=0,"n.b.",INDEX(SRC_Woningetalage!$A$1:$ZZ$501,$A392,G$3)))</f>
        <v/>
      </c>
      <c r="H392" t="str">
        <f>IF($B392="","",IF(H$3=0,"n.b.",INDEX(SRC_Woningetalage!$A$1:$ZZ$501,$A392,H$3)))</f>
        <v/>
      </c>
      <c r="I392" t="str">
        <f>IF($B392="","",IF(I$3=0,"n.b.",INDEX(SRC_Woningetalage!$A$1:$ZZ$501,$A392,I$3)))</f>
        <v/>
      </c>
      <c r="J392" t="str">
        <f>IF($B392="","",IF(J$3=0,"n.b.",INDEX(SRC_Woningetalage!$A$1:$ZZ$501,$A392,J$3)))</f>
        <v/>
      </c>
      <c r="K392" t="str">
        <f>IF($B392="","",IF(K$3=0,"n.b.",INDEX(SRC_Woningetalage!$A$1:$ZZ$501,$A392,K$3)))</f>
        <v/>
      </c>
      <c r="L392" t="str">
        <f>IF($B392="","",IF(L$3=0,"n.b.",INDEX(SRC_Woningetalage!$A$1:$ZZ$501,$A392,L$3)))</f>
        <v/>
      </c>
      <c r="M392" t="str">
        <f>IF($B392="","",IF(M$3=0,"n.b.",INDEX(SRC_Woningetalage!$A$1:$ZZ$501,$A392,M$3)))</f>
        <v/>
      </c>
      <c r="N392" t="str">
        <f>IF($B392="","",IF(N$3=0,"n.b.",INDEX(SRC_Woningetalage!$A$1:$ZZ$501,$A392,N$3)))</f>
        <v/>
      </c>
      <c r="O392" t="str">
        <f>IF($B392="","",IF(O$3=0,"n.b.",INDEX(SRC_Woningetalage!$A$1:$ZZ$501,$A392,O$3)))</f>
        <v/>
      </c>
      <c r="P392" t="str">
        <f>IF($B392="","",IF(P$3=0,"n.b.",INDEX(SRC_Woningetalage!$A$1:$ZZ$501,$A392,P$3)))</f>
        <v/>
      </c>
      <c r="Q392" s="124" t="str">
        <f>IF($B392="","",IF(Q$3=0,"n.b.",INDEX(SRC_Woningetalage!$A$1:$ZZ$501,$A392,Q$3)))</f>
        <v/>
      </c>
      <c r="R392" s="124" t="str">
        <f>IF($B392="","",IF(R$3=0,"n.b.",INDEX(SRC_Woningetalage!$A$1:$ZZ$501,$A392,R$3)))</f>
        <v/>
      </c>
      <c r="S392" s="124" t="str">
        <f>IF($B392="","",IF(S$3=0,"n.b.",INDEX(SRC_Woningetalage!$A$1:$ZZ$501,$A392,S$3)))</f>
        <v/>
      </c>
      <c r="T392" s="124" t="str">
        <f>IF($B392="","",IF(T$3=0,"n.b.",INDEX(SRC_Woningetalage!$A$1:$ZZ$501,$A392,T$3)))</f>
        <v/>
      </c>
      <c r="U392" s="124" t="str">
        <f>IF($B392="","",IF(U$3=0,"n.b.",INDEX(SRC_Woningetalage!$A$1:$ZZ$501,$A392,U$3)))</f>
        <v/>
      </c>
      <c r="V392" s="124" t="str">
        <f>IF($B392="","",IF(V$3=0,"n.b.",INDEX(SRC_Woningetalage!$A$1:$ZZ$501,$A392,V$3)))</f>
        <v/>
      </c>
      <c r="W392" s="124" t="str">
        <f>IF($B392="","",IF(W$3=0,"n.b.",INDEX(SRC_Woningetalage!$A$1:$ZZ$501,$A392,W$3)))</f>
        <v/>
      </c>
      <c r="X392" s="124" t="str">
        <f>IF($B392="","",IF(X$3=0,"n.b.",INDEX(SRC_Woningetalage!$A$1:$ZZ$501,$A392,X$3)))</f>
        <v/>
      </c>
      <c r="Y392" s="124" t="str">
        <f>IF($B392="","",IF(Y$3=0,"n.b.",INDEX(SRC_Woningetalage!$A$1:$ZZ$501,$A392,Y$3)))</f>
        <v/>
      </c>
      <c r="Z392" s="124" t="str">
        <f>IF($B392="","",IF(Z$3=0,"n.b.",INDEX(SRC_Woningetalage!$A$1:$ZZ$501,$A392,Z$3)))</f>
        <v/>
      </c>
      <c r="AA392" s="124" t="str">
        <f>IF($B392="","",IF(AA$3=0,"n.b.",INDEX(SRC_Woningetalage!$A$1:$ZZ$501,$A392,AA$3)))</f>
        <v/>
      </c>
      <c r="AB392" s="124" t="str">
        <f>IF($B392="","",IF(AB$3=0,"n.b.",INDEX(SRC_Woningetalage!$A$1:$ZZ$501,$A392,AB$3)))</f>
        <v/>
      </c>
      <c r="AC392" s="124" t="str">
        <f>IF($B392="","",IF(AC$3=0,"n.b.",INDEX(SRC_Woningetalage!$A$1:$ZZ$501,$A392,AC$3)))</f>
        <v/>
      </c>
      <c r="AD392" s="124" t="str">
        <f>IF($B392="","",IF(AD$3=0,"n.b.",INDEX(SRC_Woningetalage!$A$1:$ZZ$501,$A392,AD$3)))</f>
        <v/>
      </c>
      <c r="AE392" s="124" t="str">
        <f>IF($B392="","",IF(AE$3=0,"n.b.",INDEX(SRC_Woningetalage!$A$1:$ZZ$501,$A392,AE$3)))</f>
        <v/>
      </c>
      <c r="AF392" s="124" t="str">
        <f>IF($B392="","",IF(AF$3=0,"n.b.",INDEX(SRC_Woningetalage!$A$1:$ZZ$501,$A392,AF$3)))</f>
        <v/>
      </c>
      <c r="AG392" s="124" t="str">
        <f>IF($B392="","",IF(AG$3=0,"n.b.",INDEX(SRC_Woningetalage!$A$1:$ZZ$501,$A392,AG$3)))</f>
        <v/>
      </c>
      <c r="AH392" s="124" t="str">
        <f>IF($B392="","",IF(AH$3=0,"n.b.",INDEX(SRC_Woningetalage!$A$1:$ZZ$501,$A392,AH$3)))</f>
        <v/>
      </c>
      <c r="AI392" s="124" t="str">
        <f>IF($B392="","",IF(AI$3=0,"n.b.",INDEX(SRC_Woningetalage!$A$1:$ZZ$501,$A392,AI$3)))</f>
        <v/>
      </c>
      <c r="AJ392" s="124" t="str">
        <f>IF($B392="","",IF(AJ$3=0,"n.b.",INDEX(SRC_Woningetalage!$A$1:$ZZ$501,$A392,AJ$3)))</f>
        <v/>
      </c>
      <c r="AK392" s="124" t="str">
        <f>IF($B392="","",IF(AK$3=0,"n.b.",INDEX(SRC_Woningetalage!$A$1:$ZZ$501,$A392,AK$3)))</f>
        <v/>
      </c>
      <c r="AL392" s="124" t="str">
        <f>IF($B392="","",IF(AL$3=0,"n.b.",INDEX(SRC_Woningetalage!$A$1:$ZZ$501,$A392,AL$3)))</f>
        <v/>
      </c>
      <c r="AM392" s="124" t="str">
        <f>IF($B392="","",IF(AM$3=0,"n.b.",INDEX(SRC_Woningetalage!$A$1:$ZZ$501,$A392,AM$3)))</f>
        <v/>
      </c>
      <c r="AN392" s="124" t="str">
        <f>IF($B392="","",IF(AN$3=0,"n.b.",INDEX(SRC_Woningetalage!$A$1:$ZZ$501,$A392,AN$3)))</f>
        <v/>
      </c>
      <c r="AO392" s="124" t="str">
        <f>IF($B392="","",IF(AO$3=0,"n.b.",INDEX(SRC_Woningetalage!$A$1:$ZZ$501,$A392,AO$3)))</f>
        <v/>
      </c>
      <c r="AP392" s="124" t="str">
        <f>IF($B392="","",IF(AP$3=0,"n.b.",INDEX(SRC_Woningetalage!$A$1:$ZZ$501,$A392,AP$3)))</f>
        <v/>
      </c>
      <c r="AQ392" s="124" t="str">
        <f>IF($B392="","",IF(AQ$3=0,"n.b.",INDEX(SRC_Woningetalage!$A$1:$ZZ$501,$A392,AQ$3)))</f>
        <v/>
      </c>
      <c r="AR392" s="124" t="str">
        <f>IF($B392="","",IF(AR$3=0,"n.b.",INDEX(SRC_Woningetalage!$A$1:$ZZ$501,$A392,AR$3)))</f>
        <v/>
      </c>
      <c r="AS392" s="124" t="str">
        <f>IF($B392="","",IF(AS$3=0,"n.b.",INDEX(SRC_Woningetalage!$A$1:$ZZ$501,$A392,AS$3)))</f>
        <v/>
      </c>
      <c r="AT392" s="124" t="str">
        <f>IF($B392="","",IF(AT$3=0,"n.b.",INDEX(SRC_Woningetalage!$A$1:$ZZ$501,$A392,AT$3)))</f>
        <v/>
      </c>
      <c r="AU392" s="124" t="str">
        <f>IF($B392="","",IF(AU$3=0,"n.b.",INDEX(SRC_Woningetalage!$A$1:$ZZ$501,$A392,AU$3)))</f>
        <v/>
      </c>
      <c r="AV392" s="124" t="str">
        <f>IF($B392="","",IF(AV$3=0,"n.b.",INDEX(SRC_Woningetalage!$A$1:$ZZ$501,$A392,AV$3)))</f>
        <v/>
      </c>
      <c r="AW392" s="124" t="str">
        <f>IF($B392="","",IF(AW$3=0,"n.b.",INDEX(SRC_Woningetalage!$A$1:$ZZ$501,$A392,AW$3)))</f>
        <v/>
      </c>
      <c r="AX392" s="124" t="str">
        <f>IF($B392="","",IF(AX$3=0,"n.b.",INDEX(SRC_Woningetalage!$A$1:$ZZ$501,$A392,AX$3)))</f>
        <v/>
      </c>
      <c r="AY392" s="124" t="str">
        <f>IF($B392="","",IF(AY$3=0,"n.b.",INDEX(SRC_Woningetalage!$A$1:$ZZ$501,$A392,AY$3)))</f>
        <v/>
      </c>
      <c r="AZ392" s="124" t="str">
        <f>IF($B392="","",IF(AZ$3=0,"n.b.",INDEX(SRC_Woningetalage!$A$1:$ZZ$501,$A392,AZ$3)))</f>
        <v/>
      </c>
      <c r="BA392" s="124" t="str">
        <f>IF($B392="","",IF(BA$3=0,"n.b.",INDEX(SRC_Woningetalage!$A$1:$ZZ$501,$A392,BA$3)))</f>
        <v/>
      </c>
      <c r="BB392" s="124" t="str">
        <f>IF($B392="","",IF(BB$3=0,"n.b.",INDEX(SRC_Woningetalage!$A$1:$ZZ$501,$A392,BB$3)))</f>
        <v/>
      </c>
      <c r="BC392" s="124" t="str">
        <f>IF($B392="","",IFERROR(_xlfn.NUMBERVALUE(E392&amp;"",",","."),"n.b."))</f>
        <v/>
      </c>
      <c r="BD392" s="124" t="str">
        <f>IF($B392="","",IFERROR(_xlfn.NUMBERVALUE(M392&amp;"",",","."),"n.b."))</f>
        <v/>
      </c>
      <c r="BE392" s="124" t="str">
        <f>IF($B392="","",IFERROR(AB392+AC392+AD392,"n.b."))</f>
        <v/>
      </c>
      <c r="BF392" s="124" t="str">
        <f>IF($B392="","",IFERROR(AE392+AF392+AG392,"n.b."))</f>
        <v/>
      </c>
      <c r="BG392" s="124" t="str">
        <f>IF($B392="","",IFERROR(AH392+AI392+AJ392,"n.b."))</f>
        <v/>
      </c>
      <c r="BH392" s="124" t="str">
        <f>IF($B392="","",IFERROR(AK392+AL392+AM392,"n.b."))</f>
        <v/>
      </c>
      <c r="BI392" s="124" t="str">
        <f>IF($B392="","",IFERROR(SUMIF($AB$5:$AM$5,"&lt;="&amp;P_PeilMaand,AB392:AM392),"n.b."))</f>
        <v/>
      </c>
      <c r="BJ392" s="124" t="str">
        <f>IF($B392="","",IFERROR(SUM(AB392:AM392)-BI392,"n.b."))</f>
        <v/>
      </c>
      <c r="BK392" s="124" t="str">
        <f>IF($B392="","",IFERROR(IF(ABS(Q392-(T392+SUM(AB392:AM392)+AS392+AU392))&gt;P_Tol,1,0),1))</f>
        <v/>
      </c>
      <c r="BL392" s="124" t="str">
        <f>IF($B392="","",IFERROR(IF(ABS(AA392-(Q392-Z392))&gt;P_Tol,1,0),1))</f>
        <v/>
      </c>
      <c r="BM392" s="124" t="str">
        <f>IF($B392="","",IFERROR(IF(ABS(Z392-(T392+W392))&gt;P_Tol,1,0),1))</f>
        <v/>
      </c>
      <c r="BN392" s="124" t="str">
        <f>IF($B392="","",IFERROR(IF(ABS(W392-BI392)&gt;P_Tol,1,0),1))</f>
        <v/>
      </c>
      <c r="BO392" s="124" t="str">
        <f>IF($B392="","",IFERROR(IF(OR(ABS(R392+S392-T392)&gt;P_Tol,ABS(U392+V392-W392)&gt;P_Tol,ABS(X392+Y392-Z392)&gt;P_Tol),1,0),1))</f>
        <v/>
      </c>
      <c r="BP392" s="124" t="str">
        <f>IF($B392="","",IFERROR(IF(OR(ABS(AR392-SUM(AB392:AM392))&gt;P_Tol,ABS(AS392-(AN392+AO392+AP392+AQ392))&gt;P_Tol),1,0),1))</f>
        <v/>
      </c>
      <c r="BQ392" s="124" t="str">
        <f>IF($B392="","",IFERROR(IF(ABS(AT392)+ABS(AV392)+ABS(AW392)+ABS(AX392)+ABS(AY392)+ABS(AZ392)+ABS(BA392)+ABS(BB392)&gt;0,1,0),1))</f>
        <v/>
      </c>
      <c r="BR392" s="124" t="str">
        <f>IF($B392="","",COUNTIF(STG_ZPMW03!$B$6:$B$505,B392))</f>
        <v/>
      </c>
      <c r="BS392" s="124" t="str">
        <f>IF($B392="","",COUNTIF($B$6:$B$505,B392))</f>
        <v/>
      </c>
      <c r="BT392" s="124" t="str">
        <f>IF($B392="","",IF(BR392=0,0,IF(INDEX(STG_ZPMW03!$I$6:$I$505,MATCH(B392,STG_ZPMW03!$B$6:$B$505,0))=J392&amp;"",0,1)))</f>
        <v/>
      </c>
      <c r="BU392" s="124" t="str">
        <f>IF($B392="","",IFERROR(IF(ABS(INDEX(Mapping!$D$5:$D$104,MATCH(B392,Mapping!$A$5:$A$104,0))-Q392)&gt;P_Tol,1,0),0))</f>
        <v/>
      </c>
      <c r="BV392" s="124" t="str">
        <f>IF($B392="","",IFERROR(IF(AND(INDEX(Mapping!$G$5:$G$104,MATCH(B392,Mapping!$A$5:$A$104,0))="Nee",ABS(Q392)+ABS(Z392)+ABS(AR392)&gt;0),1,0),0))</f>
        <v/>
      </c>
      <c r="BW392" s="124" t="str">
        <f>IF($B392="","",IF(COUNTIF(Mapping!$A$5:$A$104,B392)&gt;0,1,0))</f>
        <v/>
      </c>
      <c r="BX392" s="124" t="str">
        <f>IF($B392="","",IF(BR392=0,COUNTIF($BR$6:BR392,0),""))</f>
        <v/>
      </c>
    </row>
    <row r="393">
      <c r="A393" s="15" t="n">
        <v>389</v>
      </c>
      <c r="B393" t="str">
        <f>IF(B$3=0,"",IF(INDEX(SRC_Woningetalage!$A$1:$ZZ$501,$A393,B$3)&amp;""="","",INDEX(SRC_Woningetalage!$A$1:$ZZ$501,$A393,B$3)&amp;""))</f>
        <v/>
      </c>
      <c r="C393" t="str">
        <f>IF($B393="","",IF(C$3=0,"n.b.",INDEX(SRC_Woningetalage!$A$1:$ZZ$501,$A393,C$3)))</f>
        <v/>
      </c>
      <c r="D393" t="str">
        <f>IF($B393="","",IF(D$3=0,"n.b.",INDEX(SRC_Woningetalage!$A$1:$ZZ$501,$A393,D$3)))</f>
        <v/>
      </c>
      <c r="E393" t="str">
        <f>IF($B393="","",IF(E$3=0,"n.b.",INDEX(SRC_Woningetalage!$A$1:$ZZ$501,$A393,E$3)))</f>
        <v/>
      </c>
      <c r="F393" t="str">
        <f>IF($B393="","",IF(F$3=0,"n.b.",INDEX(SRC_Woningetalage!$A$1:$ZZ$501,$A393,F$3)))</f>
        <v/>
      </c>
      <c r="G393" t="str">
        <f>IF($B393="","",IF(G$3=0,"n.b.",INDEX(SRC_Woningetalage!$A$1:$ZZ$501,$A393,G$3)))</f>
        <v/>
      </c>
      <c r="H393" t="str">
        <f>IF($B393="","",IF(H$3=0,"n.b.",INDEX(SRC_Woningetalage!$A$1:$ZZ$501,$A393,H$3)))</f>
        <v/>
      </c>
      <c r="I393" t="str">
        <f>IF($B393="","",IF(I$3=0,"n.b.",INDEX(SRC_Woningetalage!$A$1:$ZZ$501,$A393,I$3)))</f>
        <v/>
      </c>
      <c r="J393" t="str">
        <f>IF($B393="","",IF(J$3=0,"n.b.",INDEX(SRC_Woningetalage!$A$1:$ZZ$501,$A393,J$3)))</f>
        <v/>
      </c>
      <c r="K393" t="str">
        <f>IF($B393="","",IF(K$3=0,"n.b.",INDEX(SRC_Woningetalage!$A$1:$ZZ$501,$A393,K$3)))</f>
        <v/>
      </c>
      <c r="L393" t="str">
        <f>IF($B393="","",IF(L$3=0,"n.b.",INDEX(SRC_Woningetalage!$A$1:$ZZ$501,$A393,L$3)))</f>
        <v/>
      </c>
      <c r="M393" t="str">
        <f>IF($B393="","",IF(M$3=0,"n.b.",INDEX(SRC_Woningetalage!$A$1:$ZZ$501,$A393,M$3)))</f>
        <v/>
      </c>
      <c r="N393" t="str">
        <f>IF($B393="","",IF(N$3=0,"n.b.",INDEX(SRC_Woningetalage!$A$1:$ZZ$501,$A393,N$3)))</f>
        <v/>
      </c>
      <c r="O393" t="str">
        <f>IF($B393="","",IF(O$3=0,"n.b.",INDEX(SRC_Woningetalage!$A$1:$ZZ$501,$A393,O$3)))</f>
        <v/>
      </c>
      <c r="P393" t="str">
        <f>IF($B393="","",IF(P$3=0,"n.b.",INDEX(SRC_Woningetalage!$A$1:$ZZ$501,$A393,P$3)))</f>
        <v/>
      </c>
      <c r="Q393" s="124" t="str">
        <f>IF($B393="","",IF(Q$3=0,"n.b.",INDEX(SRC_Woningetalage!$A$1:$ZZ$501,$A393,Q$3)))</f>
        <v/>
      </c>
      <c r="R393" s="124" t="str">
        <f>IF($B393="","",IF(R$3=0,"n.b.",INDEX(SRC_Woningetalage!$A$1:$ZZ$501,$A393,R$3)))</f>
        <v/>
      </c>
      <c r="S393" s="124" t="str">
        <f>IF($B393="","",IF(S$3=0,"n.b.",INDEX(SRC_Woningetalage!$A$1:$ZZ$501,$A393,S$3)))</f>
        <v/>
      </c>
      <c r="T393" s="124" t="str">
        <f>IF($B393="","",IF(T$3=0,"n.b.",INDEX(SRC_Woningetalage!$A$1:$ZZ$501,$A393,T$3)))</f>
        <v/>
      </c>
      <c r="U393" s="124" t="str">
        <f>IF($B393="","",IF(U$3=0,"n.b.",INDEX(SRC_Woningetalage!$A$1:$ZZ$501,$A393,U$3)))</f>
        <v/>
      </c>
      <c r="V393" s="124" t="str">
        <f>IF($B393="","",IF(V$3=0,"n.b.",INDEX(SRC_Woningetalage!$A$1:$ZZ$501,$A393,V$3)))</f>
        <v/>
      </c>
      <c r="W393" s="124" t="str">
        <f>IF($B393="","",IF(W$3=0,"n.b.",INDEX(SRC_Woningetalage!$A$1:$ZZ$501,$A393,W$3)))</f>
        <v/>
      </c>
      <c r="X393" s="124" t="str">
        <f>IF($B393="","",IF(X$3=0,"n.b.",INDEX(SRC_Woningetalage!$A$1:$ZZ$501,$A393,X$3)))</f>
        <v/>
      </c>
      <c r="Y393" s="124" t="str">
        <f>IF($B393="","",IF(Y$3=0,"n.b.",INDEX(SRC_Woningetalage!$A$1:$ZZ$501,$A393,Y$3)))</f>
        <v/>
      </c>
      <c r="Z393" s="124" t="str">
        <f>IF($B393="","",IF(Z$3=0,"n.b.",INDEX(SRC_Woningetalage!$A$1:$ZZ$501,$A393,Z$3)))</f>
        <v/>
      </c>
      <c r="AA393" s="124" t="str">
        <f>IF($B393="","",IF(AA$3=0,"n.b.",INDEX(SRC_Woningetalage!$A$1:$ZZ$501,$A393,AA$3)))</f>
        <v/>
      </c>
      <c r="AB393" s="124" t="str">
        <f>IF($B393="","",IF(AB$3=0,"n.b.",INDEX(SRC_Woningetalage!$A$1:$ZZ$501,$A393,AB$3)))</f>
        <v/>
      </c>
      <c r="AC393" s="124" t="str">
        <f>IF($B393="","",IF(AC$3=0,"n.b.",INDEX(SRC_Woningetalage!$A$1:$ZZ$501,$A393,AC$3)))</f>
        <v/>
      </c>
      <c r="AD393" s="124" t="str">
        <f>IF($B393="","",IF(AD$3=0,"n.b.",INDEX(SRC_Woningetalage!$A$1:$ZZ$501,$A393,AD$3)))</f>
        <v/>
      </c>
      <c r="AE393" s="124" t="str">
        <f>IF($B393="","",IF(AE$3=0,"n.b.",INDEX(SRC_Woningetalage!$A$1:$ZZ$501,$A393,AE$3)))</f>
        <v/>
      </c>
      <c r="AF393" s="124" t="str">
        <f>IF($B393="","",IF(AF$3=0,"n.b.",INDEX(SRC_Woningetalage!$A$1:$ZZ$501,$A393,AF$3)))</f>
        <v/>
      </c>
      <c r="AG393" s="124" t="str">
        <f>IF($B393="","",IF(AG$3=0,"n.b.",INDEX(SRC_Woningetalage!$A$1:$ZZ$501,$A393,AG$3)))</f>
        <v/>
      </c>
      <c r="AH393" s="124" t="str">
        <f>IF($B393="","",IF(AH$3=0,"n.b.",INDEX(SRC_Woningetalage!$A$1:$ZZ$501,$A393,AH$3)))</f>
        <v/>
      </c>
      <c r="AI393" s="124" t="str">
        <f>IF($B393="","",IF(AI$3=0,"n.b.",INDEX(SRC_Woningetalage!$A$1:$ZZ$501,$A393,AI$3)))</f>
        <v/>
      </c>
      <c r="AJ393" s="124" t="str">
        <f>IF($B393="","",IF(AJ$3=0,"n.b.",INDEX(SRC_Woningetalage!$A$1:$ZZ$501,$A393,AJ$3)))</f>
        <v/>
      </c>
      <c r="AK393" s="124" t="str">
        <f>IF($B393="","",IF(AK$3=0,"n.b.",INDEX(SRC_Woningetalage!$A$1:$ZZ$501,$A393,AK$3)))</f>
        <v/>
      </c>
      <c r="AL393" s="124" t="str">
        <f>IF($B393="","",IF(AL$3=0,"n.b.",INDEX(SRC_Woningetalage!$A$1:$ZZ$501,$A393,AL$3)))</f>
        <v/>
      </c>
      <c r="AM393" s="124" t="str">
        <f>IF($B393="","",IF(AM$3=0,"n.b.",INDEX(SRC_Woningetalage!$A$1:$ZZ$501,$A393,AM$3)))</f>
        <v/>
      </c>
      <c r="AN393" s="124" t="str">
        <f>IF($B393="","",IF(AN$3=0,"n.b.",INDEX(SRC_Woningetalage!$A$1:$ZZ$501,$A393,AN$3)))</f>
        <v/>
      </c>
      <c r="AO393" s="124" t="str">
        <f>IF($B393="","",IF(AO$3=0,"n.b.",INDEX(SRC_Woningetalage!$A$1:$ZZ$501,$A393,AO$3)))</f>
        <v/>
      </c>
      <c r="AP393" s="124" t="str">
        <f>IF($B393="","",IF(AP$3=0,"n.b.",INDEX(SRC_Woningetalage!$A$1:$ZZ$501,$A393,AP$3)))</f>
        <v/>
      </c>
      <c r="AQ393" s="124" t="str">
        <f>IF($B393="","",IF(AQ$3=0,"n.b.",INDEX(SRC_Woningetalage!$A$1:$ZZ$501,$A393,AQ$3)))</f>
        <v/>
      </c>
      <c r="AR393" s="124" t="str">
        <f>IF($B393="","",IF(AR$3=0,"n.b.",INDEX(SRC_Woningetalage!$A$1:$ZZ$501,$A393,AR$3)))</f>
        <v/>
      </c>
      <c r="AS393" s="124" t="str">
        <f>IF($B393="","",IF(AS$3=0,"n.b.",INDEX(SRC_Woningetalage!$A$1:$ZZ$501,$A393,AS$3)))</f>
        <v/>
      </c>
      <c r="AT393" s="124" t="str">
        <f>IF($B393="","",IF(AT$3=0,"n.b.",INDEX(SRC_Woningetalage!$A$1:$ZZ$501,$A393,AT$3)))</f>
        <v/>
      </c>
      <c r="AU393" s="124" t="str">
        <f>IF($B393="","",IF(AU$3=0,"n.b.",INDEX(SRC_Woningetalage!$A$1:$ZZ$501,$A393,AU$3)))</f>
        <v/>
      </c>
      <c r="AV393" s="124" t="str">
        <f>IF($B393="","",IF(AV$3=0,"n.b.",INDEX(SRC_Woningetalage!$A$1:$ZZ$501,$A393,AV$3)))</f>
        <v/>
      </c>
      <c r="AW393" s="124" t="str">
        <f>IF($B393="","",IF(AW$3=0,"n.b.",INDEX(SRC_Woningetalage!$A$1:$ZZ$501,$A393,AW$3)))</f>
        <v/>
      </c>
      <c r="AX393" s="124" t="str">
        <f>IF($B393="","",IF(AX$3=0,"n.b.",INDEX(SRC_Woningetalage!$A$1:$ZZ$501,$A393,AX$3)))</f>
        <v/>
      </c>
      <c r="AY393" s="124" t="str">
        <f>IF($B393="","",IF(AY$3=0,"n.b.",INDEX(SRC_Woningetalage!$A$1:$ZZ$501,$A393,AY$3)))</f>
        <v/>
      </c>
      <c r="AZ393" s="124" t="str">
        <f>IF($B393="","",IF(AZ$3=0,"n.b.",INDEX(SRC_Woningetalage!$A$1:$ZZ$501,$A393,AZ$3)))</f>
        <v/>
      </c>
      <c r="BA393" s="124" t="str">
        <f>IF($B393="","",IF(BA$3=0,"n.b.",INDEX(SRC_Woningetalage!$A$1:$ZZ$501,$A393,BA$3)))</f>
        <v/>
      </c>
      <c r="BB393" s="124" t="str">
        <f>IF($B393="","",IF(BB$3=0,"n.b.",INDEX(SRC_Woningetalage!$A$1:$ZZ$501,$A393,BB$3)))</f>
        <v/>
      </c>
      <c r="BC393" s="124" t="str">
        <f>IF($B393="","",IFERROR(_xlfn.NUMBERVALUE(E393&amp;"",",","."),"n.b."))</f>
        <v/>
      </c>
      <c r="BD393" s="124" t="str">
        <f>IF($B393="","",IFERROR(_xlfn.NUMBERVALUE(M393&amp;"",",","."),"n.b."))</f>
        <v/>
      </c>
      <c r="BE393" s="124" t="str">
        <f>IF($B393="","",IFERROR(AB393+AC393+AD393,"n.b."))</f>
        <v/>
      </c>
      <c r="BF393" s="124" t="str">
        <f>IF($B393="","",IFERROR(AE393+AF393+AG393,"n.b."))</f>
        <v/>
      </c>
      <c r="BG393" s="124" t="str">
        <f>IF($B393="","",IFERROR(AH393+AI393+AJ393,"n.b."))</f>
        <v/>
      </c>
      <c r="BH393" s="124" t="str">
        <f>IF($B393="","",IFERROR(AK393+AL393+AM393,"n.b."))</f>
        <v/>
      </c>
      <c r="BI393" s="124" t="str">
        <f>IF($B393="","",IFERROR(SUMIF($AB$5:$AM$5,"&lt;="&amp;P_PeilMaand,AB393:AM393),"n.b."))</f>
        <v/>
      </c>
      <c r="BJ393" s="124" t="str">
        <f>IF($B393="","",IFERROR(SUM(AB393:AM393)-BI393,"n.b."))</f>
        <v/>
      </c>
      <c r="BK393" s="124" t="str">
        <f>IF($B393="","",IFERROR(IF(ABS(Q393-(T393+SUM(AB393:AM393)+AS393+AU393))&gt;P_Tol,1,0),1))</f>
        <v/>
      </c>
      <c r="BL393" s="124" t="str">
        <f>IF($B393="","",IFERROR(IF(ABS(AA393-(Q393-Z393))&gt;P_Tol,1,0),1))</f>
        <v/>
      </c>
      <c r="BM393" s="124" t="str">
        <f>IF($B393="","",IFERROR(IF(ABS(Z393-(T393+W393))&gt;P_Tol,1,0),1))</f>
        <v/>
      </c>
      <c r="BN393" s="124" t="str">
        <f>IF($B393="","",IFERROR(IF(ABS(W393-BI393)&gt;P_Tol,1,0),1))</f>
        <v/>
      </c>
      <c r="BO393" s="124" t="str">
        <f>IF($B393="","",IFERROR(IF(OR(ABS(R393+S393-T393)&gt;P_Tol,ABS(U393+V393-W393)&gt;P_Tol,ABS(X393+Y393-Z393)&gt;P_Tol),1,0),1))</f>
        <v/>
      </c>
      <c r="BP393" s="124" t="str">
        <f>IF($B393="","",IFERROR(IF(OR(ABS(AR393-SUM(AB393:AM393))&gt;P_Tol,ABS(AS393-(AN393+AO393+AP393+AQ393))&gt;P_Tol),1,0),1))</f>
        <v/>
      </c>
      <c r="BQ393" s="124" t="str">
        <f>IF($B393="","",IFERROR(IF(ABS(AT393)+ABS(AV393)+ABS(AW393)+ABS(AX393)+ABS(AY393)+ABS(AZ393)+ABS(BA393)+ABS(BB393)&gt;0,1,0),1))</f>
        <v/>
      </c>
      <c r="BR393" s="124" t="str">
        <f>IF($B393="","",COUNTIF(STG_ZPMW03!$B$6:$B$505,B393))</f>
        <v/>
      </c>
      <c r="BS393" s="124" t="str">
        <f>IF($B393="","",COUNTIF($B$6:$B$505,B393))</f>
        <v/>
      </c>
      <c r="BT393" s="124" t="str">
        <f>IF($B393="","",IF(BR393=0,0,IF(INDEX(STG_ZPMW03!$I$6:$I$505,MATCH(B393,STG_ZPMW03!$B$6:$B$505,0))=J393&amp;"",0,1)))</f>
        <v/>
      </c>
      <c r="BU393" s="124" t="str">
        <f>IF($B393="","",IFERROR(IF(ABS(INDEX(Mapping!$D$5:$D$104,MATCH(B393,Mapping!$A$5:$A$104,0))-Q393)&gt;P_Tol,1,0),0))</f>
        <v/>
      </c>
      <c r="BV393" s="124" t="str">
        <f>IF($B393="","",IFERROR(IF(AND(INDEX(Mapping!$G$5:$G$104,MATCH(B393,Mapping!$A$5:$A$104,0))="Nee",ABS(Q393)+ABS(Z393)+ABS(AR393)&gt;0),1,0),0))</f>
        <v/>
      </c>
      <c r="BW393" s="124" t="str">
        <f>IF($B393="","",IF(COUNTIF(Mapping!$A$5:$A$104,B393)&gt;0,1,0))</f>
        <v/>
      </c>
      <c r="BX393" s="124" t="str">
        <f>IF($B393="","",IF(BR393=0,COUNTIF($BR$6:BR393,0),""))</f>
        <v/>
      </c>
    </row>
    <row r="394">
      <c r="A394" s="15" t="n">
        <v>390</v>
      </c>
      <c r="B394" t="str">
        <f>IF(B$3=0,"",IF(INDEX(SRC_Woningetalage!$A$1:$ZZ$501,$A394,B$3)&amp;""="","",INDEX(SRC_Woningetalage!$A$1:$ZZ$501,$A394,B$3)&amp;""))</f>
        <v/>
      </c>
      <c r="C394" t="str">
        <f>IF($B394="","",IF(C$3=0,"n.b.",INDEX(SRC_Woningetalage!$A$1:$ZZ$501,$A394,C$3)))</f>
        <v/>
      </c>
      <c r="D394" t="str">
        <f>IF($B394="","",IF(D$3=0,"n.b.",INDEX(SRC_Woningetalage!$A$1:$ZZ$501,$A394,D$3)))</f>
        <v/>
      </c>
      <c r="E394" t="str">
        <f>IF($B394="","",IF(E$3=0,"n.b.",INDEX(SRC_Woningetalage!$A$1:$ZZ$501,$A394,E$3)))</f>
        <v/>
      </c>
      <c r="F394" t="str">
        <f>IF($B394="","",IF(F$3=0,"n.b.",INDEX(SRC_Woningetalage!$A$1:$ZZ$501,$A394,F$3)))</f>
        <v/>
      </c>
      <c r="G394" t="str">
        <f>IF($B394="","",IF(G$3=0,"n.b.",INDEX(SRC_Woningetalage!$A$1:$ZZ$501,$A394,G$3)))</f>
        <v/>
      </c>
      <c r="H394" t="str">
        <f>IF($B394="","",IF(H$3=0,"n.b.",INDEX(SRC_Woningetalage!$A$1:$ZZ$501,$A394,H$3)))</f>
        <v/>
      </c>
      <c r="I394" t="str">
        <f>IF($B394="","",IF(I$3=0,"n.b.",INDEX(SRC_Woningetalage!$A$1:$ZZ$501,$A394,I$3)))</f>
        <v/>
      </c>
      <c r="J394" t="str">
        <f>IF($B394="","",IF(J$3=0,"n.b.",INDEX(SRC_Woningetalage!$A$1:$ZZ$501,$A394,J$3)))</f>
        <v/>
      </c>
      <c r="K394" t="str">
        <f>IF($B394="","",IF(K$3=0,"n.b.",INDEX(SRC_Woningetalage!$A$1:$ZZ$501,$A394,K$3)))</f>
        <v/>
      </c>
      <c r="L394" t="str">
        <f>IF($B394="","",IF(L$3=0,"n.b.",INDEX(SRC_Woningetalage!$A$1:$ZZ$501,$A394,L$3)))</f>
        <v/>
      </c>
      <c r="M394" t="str">
        <f>IF($B394="","",IF(M$3=0,"n.b.",INDEX(SRC_Woningetalage!$A$1:$ZZ$501,$A394,M$3)))</f>
        <v/>
      </c>
      <c r="N394" t="str">
        <f>IF($B394="","",IF(N$3=0,"n.b.",INDEX(SRC_Woningetalage!$A$1:$ZZ$501,$A394,N$3)))</f>
        <v/>
      </c>
      <c r="O394" t="str">
        <f>IF($B394="","",IF(O$3=0,"n.b.",INDEX(SRC_Woningetalage!$A$1:$ZZ$501,$A394,O$3)))</f>
        <v/>
      </c>
      <c r="P394" t="str">
        <f>IF($B394="","",IF(P$3=0,"n.b.",INDEX(SRC_Woningetalage!$A$1:$ZZ$501,$A394,P$3)))</f>
        <v/>
      </c>
      <c r="Q394" s="124" t="str">
        <f>IF($B394="","",IF(Q$3=0,"n.b.",INDEX(SRC_Woningetalage!$A$1:$ZZ$501,$A394,Q$3)))</f>
        <v/>
      </c>
      <c r="R394" s="124" t="str">
        <f>IF($B394="","",IF(R$3=0,"n.b.",INDEX(SRC_Woningetalage!$A$1:$ZZ$501,$A394,R$3)))</f>
        <v/>
      </c>
      <c r="S394" s="124" t="str">
        <f>IF($B394="","",IF(S$3=0,"n.b.",INDEX(SRC_Woningetalage!$A$1:$ZZ$501,$A394,S$3)))</f>
        <v/>
      </c>
      <c r="T394" s="124" t="str">
        <f>IF($B394="","",IF(T$3=0,"n.b.",INDEX(SRC_Woningetalage!$A$1:$ZZ$501,$A394,T$3)))</f>
        <v/>
      </c>
      <c r="U394" s="124" t="str">
        <f>IF($B394="","",IF(U$3=0,"n.b.",INDEX(SRC_Woningetalage!$A$1:$ZZ$501,$A394,U$3)))</f>
        <v/>
      </c>
      <c r="V394" s="124" t="str">
        <f>IF($B394="","",IF(V$3=0,"n.b.",INDEX(SRC_Woningetalage!$A$1:$ZZ$501,$A394,V$3)))</f>
        <v/>
      </c>
      <c r="W394" s="124" t="str">
        <f>IF($B394="","",IF(W$3=0,"n.b.",INDEX(SRC_Woningetalage!$A$1:$ZZ$501,$A394,W$3)))</f>
        <v/>
      </c>
      <c r="X394" s="124" t="str">
        <f>IF($B394="","",IF(X$3=0,"n.b.",INDEX(SRC_Woningetalage!$A$1:$ZZ$501,$A394,X$3)))</f>
        <v/>
      </c>
      <c r="Y394" s="124" t="str">
        <f>IF($B394="","",IF(Y$3=0,"n.b.",INDEX(SRC_Woningetalage!$A$1:$ZZ$501,$A394,Y$3)))</f>
        <v/>
      </c>
      <c r="Z394" s="124" t="str">
        <f>IF($B394="","",IF(Z$3=0,"n.b.",INDEX(SRC_Woningetalage!$A$1:$ZZ$501,$A394,Z$3)))</f>
        <v/>
      </c>
      <c r="AA394" s="124" t="str">
        <f>IF($B394="","",IF(AA$3=0,"n.b.",INDEX(SRC_Woningetalage!$A$1:$ZZ$501,$A394,AA$3)))</f>
        <v/>
      </c>
      <c r="AB394" s="124" t="str">
        <f>IF($B394="","",IF(AB$3=0,"n.b.",INDEX(SRC_Woningetalage!$A$1:$ZZ$501,$A394,AB$3)))</f>
        <v/>
      </c>
      <c r="AC394" s="124" t="str">
        <f>IF($B394="","",IF(AC$3=0,"n.b.",INDEX(SRC_Woningetalage!$A$1:$ZZ$501,$A394,AC$3)))</f>
        <v/>
      </c>
      <c r="AD394" s="124" t="str">
        <f>IF($B394="","",IF(AD$3=0,"n.b.",INDEX(SRC_Woningetalage!$A$1:$ZZ$501,$A394,AD$3)))</f>
        <v/>
      </c>
      <c r="AE394" s="124" t="str">
        <f>IF($B394="","",IF(AE$3=0,"n.b.",INDEX(SRC_Woningetalage!$A$1:$ZZ$501,$A394,AE$3)))</f>
        <v/>
      </c>
      <c r="AF394" s="124" t="str">
        <f>IF($B394="","",IF(AF$3=0,"n.b.",INDEX(SRC_Woningetalage!$A$1:$ZZ$501,$A394,AF$3)))</f>
        <v/>
      </c>
      <c r="AG394" s="124" t="str">
        <f>IF($B394="","",IF(AG$3=0,"n.b.",INDEX(SRC_Woningetalage!$A$1:$ZZ$501,$A394,AG$3)))</f>
        <v/>
      </c>
      <c r="AH394" s="124" t="str">
        <f>IF($B394="","",IF(AH$3=0,"n.b.",INDEX(SRC_Woningetalage!$A$1:$ZZ$501,$A394,AH$3)))</f>
        <v/>
      </c>
      <c r="AI394" s="124" t="str">
        <f>IF($B394="","",IF(AI$3=0,"n.b.",INDEX(SRC_Woningetalage!$A$1:$ZZ$501,$A394,AI$3)))</f>
        <v/>
      </c>
      <c r="AJ394" s="124" t="str">
        <f>IF($B394="","",IF(AJ$3=0,"n.b.",INDEX(SRC_Woningetalage!$A$1:$ZZ$501,$A394,AJ$3)))</f>
        <v/>
      </c>
      <c r="AK394" s="124" t="str">
        <f>IF($B394="","",IF(AK$3=0,"n.b.",INDEX(SRC_Woningetalage!$A$1:$ZZ$501,$A394,AK$3)))</f>
        <v/>
      </c>
      <c r="AL394" s="124" t="str">
        <f>IF($B394="","",IF(AL$3=0,"n.b.",INDEX(SRC_Woningetalage!$A$1:$ZZ$501,$A394,AL$3)))</f>
        <v/>
      </c>
      <c r="AM394" s="124" t="str">
        <f>IF($B394="","",IF(AM$3=0,"n.b.",INDEX(SRC_Woningetalage!$A$1:$ZZ$501,$A394,AM$3)))</f>
        <v/>
      </c>
      <c r="AN394" s="124" t="str">
        <f>IF($B394="","",IF(AN$3=0,"n.b.",INDEX(SRC_Woningetalage!$A$1:$ZZ$501,$A394,AN$3)))</f>
        <v/>
      </c>
      <c r="AO394" s="124" t="str">
        <f>IF($B394="","",IF(AO$3=0,"n.b.",INDEX(SRC_Woningetalage!$A$1:$ZZ$501,$A394,AO$3)))</f>
        <v/>
      </c>
      <c r="AP394" s="124" t="str">
        <f>IF($B394="","",IF(AP$3=0,"n.b.",INDEX(SRC_Woningetalage!$A$1:$ZZ$501,$A394,AP$3)))</f>
        <v/>
      </c>
      <c r="AQ394" s="124" t="str">
        <f>IF($B394="","",IF(AQ$3=0,"n.b.",INDEX(SRC_Woningetalage!$A$1:$ZZ$501,$A394,AQ$3)))</f>
        <v/>
      </c>
      <c r="AR394" s="124" t="str">
        <f>IF($B394="","",IF(AR$3=0,"n.b.",INDEX(SRC_Woningetalage!$A$1:$ZZ$501,$A394,AR$3)))</f>
        <v/>
      </c>
      <c r="AS394" s="124" t="str">
        <f>IF($B394="","",IF(AS$3=0,"n.b.",INDEX(SRC_Woningetalage!$A$1:$ZZ$501,$A394,AS$3)))</f>
        <v/>
      </c>
      <c r="AT394" s="124" t="str">
        <f>IF($B394="","",IF(AT$3=0,"n.b.",INDEX(SRC_Woningetalage!$A$1:$ZZ$501,$A394,AT$3)))</f>
        <v/>
      </c>
      <c r="AU394" s="124" t="str">
        <f>IF($B394="","",IF(AU$3=0,"n.b.",INDEX(SRC_Woningetalage!$A$1:$ZZ$501,$A394,AU$3)))</f>
        <v/>
      </c>
      <c r="AV394" s="124" t="str">
        <f>IF($B394="","",IF(AV$3=0,"n.b.",INDEX(SRC_Woningetalage!$A$1:$ZZ$501,$A394,AV$3)))</f>
        <v/>
      </c>
      <c r="AW394" s="124" t="str">
        <f>IF($B394="","",IF(AW$3=0,"n.b.",INDEX(SRC_Woningetalage!$A$1:$ZZ$501,$A394,AW$3)))</f>
        <v/>
      </c>
      <c r="AX394" s="124" t="str">
        <f>IF($B394="","",IF(AX$3=0,"n.b.",INDEX(SRC_Woningetalage!$A$1:$ZZ$501,$A394,AX$3)))</f>
        <v/>
      </c>
      <c r="AY394" s="124" t="str">
        <f>IF($B394="","",IF(AY$3=0,"n.b.",INDEX(SRC_Woningetalage!$A$1:$ZZ$501,$A394,AY$3)))</f>
        <v/>
      </c>
      <c r="AZ394" s="124" t="str">
        <f>IF($B394="","",IF(AZ$3=0,"n.b.",INDEX(SRC_Woningetalage!$A$1:$ZZ$501,$A394,AZ$3)))</f>
        <v/>
      </c>
      <c r="BA394" s="124" t="str">
        <f>IF($B394="","",IF(BA$3=0,"n.b.",INDEX(SRC_Woningetalage!$A$1:$ZZ$501,$A394,BA$3)))</f>
        <v/>
      </c>
      <c r="BB394" s="124" t="str">
        <f>IF($B394="","",IF(BB$3=0,"n.b.",INDEX(SRC_Woningetalage!$A$1:$ZZ$501,$A394,BB$3)))</f>
        <v/>
      </c>
      <c r="BC394" s="124" t="str">
        <f>IF($B394="","",IFERROR(_xlfn.NUMBERVALUE(E394&amp;"",",","."),"n.b."))</f>
        <v/>
      </c>
      <c r="BD394" s="124" t="str">
        <f>IF($B394="","",IFERROR(_xlfn.NUMBERVALUE(M394&amp;"",",","."),"n.b."))</f>
        <v/>
      </c>
      <c r="BE394" s="124" t="str">
        <f>IF($B394="","",IFERROR(AB394+AC394+AD394,"n.b."))</f>
        <v/>
      </c>
      <c r="BF394" s="124" t="str">
        <f>IF($B394="","",IFERROR(AE394+AF394+AG394,"n.b."))</f>
        <v/>
      </c>
      <c r="BG394" s="124" t="str">
        <f>IF($B394="","",IFERROR(AH394+AI394+AJ394,"n.b."))</f>
        <v/>
      </c>
      <c r="BH394" s="124" t="str">
        <f>IF($B394="","",IFERROR(AK394+AL394+AM394,"n.b."))</f>
        <v/>
      </c>
      <c r="BI394" s="124" t="str">
        <f>IF($B394="","",IFERROR(SUMIF($AB$5:$AM$5,"&lt;="&amp;P_PeilMaand,AB394:AM394),"n.b."))</f>
        <v/>
      </c>
      <c r="BJ394" s="124" t="str">
        <f>IF($B394="","",IFERROR(SUM(AB394:AM394)-BI394,"n.b."))</f>
        <v/>
      </c>
      <c r="BK394" s="124" t="str">
        <f>IF($B394="","",IFERROR(IF(ABS(Q394-(T394+SUM(AB394:AM394)+AS394+AU394))&gt;P_Tol,1,0),1))</f>
        <v/>
      </c>
      <c r="BL394" s="124" t="str">
        <f>IF($B394="","",IFERROR(IF(ABS(AA394-(Q394-Z394))&gt;P_Tol,1,0),1))</f>
        <v/>
      </c>
      <c r="BM394" s="124" t="str">
        <f>IF($B394="","",IFERROR(IF(ABS(Z394-(T394+W394))&gt;P_Tol,1,0),1))</f>
        <v/>
      </c>
      <c r="BN394" s="124" t="str">
        <f>IF($B394="","",IFERROR(IF(ABS(W394-BI394)&gt;P_Tol,1,0),1))</f>
        <v/>
      </c>
      <c r="BO394" s="124" t="str">
        <f>IF($B394="","",IFERROR(IF(OR(ABS(R394+S394-T394)&gt;P_Tol,ABS(U394+V394-W394)&gt;P_Tol,ABS(X394+Y394-Z394)&gt;P_Tol),1,0),1))</f>
        <v/>
      </c>
      <c r="BP394" s="124" t="str">
        <f>IF($B394="","",IFERROR(IF(OR(ABS(AR394-SUM(AB394:AM394))&gt;P_Tol,ABS(AS394-(AN394+AO394+AP394+AQ394))&gt;P_Tol),1,0),1))</f>
        <v/>
      </c>
      <c r="BQ394" s="124" t="str">
        <f>IF($B394="","",IFERROR(IF(ABS(AT394)+ABS(AV394)+ABS(AW394)+ABS(AX394)+ABS(AY394)+ABS(AZ394)+ABS(BA394)+ABS(BB394)&gt;0,1,0),1))</f>
        <v/>
      </c>
      <c r="BR394" s="124" t="str">
        <f>IF($B394="","",COUNTIF(STG_ZPMW03!$B$6:$B$505,B394))</f>
        <v/>
      </c>
      <c r="BS394" s="124" t="str">
        <f>IF($B394="","",COUNTIF($B$6:$B$505,B394))</f>
        <v/>
      </c>
      <c r="BT394" s="124" t="str">
        <f>IF($B394="","",IF(BR394=0,0,IF(INDEX(STG_ZPMW03!$I$6:$I$505,MATCH(B394,STG_ZPMW03!$B$6:$B$505,0))=J394&amp;"",0,1)))</f>
        <v/>
      </c>
      <c r="BU394" s="124" t="str">
        <f>IF($B394="","",IFERROR(IF(ABS(INDEX(Mapping!$D$5:$D$104,MATCH(B394,Mapping!$A$5:$A$104,0))-Q394)&gt;P_Tol,1,0),0))</f>
        <v/>
      </c>
      <c r="BV394" s="124" t="str">
        <f>IF($B394="","",IFERROR(IF(AND(INDEX(Mapping!$G$5:$G$104,MATCH(B394,Mapping!$A$5:$A$104,0))="Nee",ABS(Q394)+ABS(Z394)+ABS(AR394)&gt;0),1,0),0))</f>
        <v/>
      </c>
      <c r="BW394" s="124" t="str">
        <f>IF($B394="","",IF(COUNTIF(Mapping!$A$5:$A$104,B394)&gt;0,1,0))</f>
        <v/>
      </c>
      <c r="BX394" s="124" t="str">
        <f>IF($B394="","",IF(BR394=0,COUNTIF($BR$6:BR394,0),""))</f>
        <v/>
      </c>
    </row>
    <row r="395">
      <c r="A395" s="15" t="n">
        <v>391</v>
      </c>
      <c r="B395" t="str">
        <f>IF(B$3=0,"",IF(INDEX(SRC_Woningetalage!$A$1:$ZZ$501,$A395,B$3)&amp;""="","",INDEX(SRC_Woningetalage!$A$1:$ZZ$501,$A395,B$3)&amp;""))</f>
        <v/>
      </c>
      <c r="C395" t="str">
        <f>IF($B395="","",IF(C$3=0,"n.b.",INDEX(SRC_Woningetalage!$A$1:$ZZ$501,$A395,C$3)))</f>
        <v/>
      </c>
      <c r="D395" t="str">
        <f>IF($B395="","",IF(D$3=0,"n.b.",INDEX(SRC_Woningetalage!$A$1:$ZZ$501,$A395,D$3)))</f>
        <v/>
      </c>
      <c r="E395" t="str">
        <f>IF($B395="","",IF(E$3=0,"n.b.",INDEX(SRC_Woningetalage!$A$1:$ZZ$501,$A395,E$3)))</f>
        <v/>
      </c>
      <c r="F395" t="str">
        <f>IF($B395="","",IF(F$3=0,"n.b.",INDEX(SRC_Woningetalage!$A$1:$ZZ$501,$A395,F$3)))</f>
        <v/>
      </c>
      <c r="G395" t="str">
        <f>IF($B395="","",IF(G$3=0,"n.b.",INDEX(SRC_Woningetalage!$A$1:$ZZ$501,$A395,G$3)))</f>
        <v/>
      </c>
      <c r="H395" t="str">
        <f>IF($B395="","",IF(H$3=0,"n.b.",INDEX(SRC_Woningetalage!$A$1:$ZZ$501,$A395,H$3)))</f>
        <v/>
      </c>
      <c r="I395" t="str">
        <f>IF($B395="","",IF(I$3=0,"n.b.",INDEX(SRC_Woningetalage!$A$1:$ZZ$501,$A395,I$3)))</f>
        <v/>
      </c>
      <c r="J395" t="str">
        <f>IF($B395="","",IF(J$3=0,"n.b.",INDEX(SRC_Woningetalage!$A$1:$ZZ$501,$A395,J$3)))</f>
        <v/>
      </c>
      <c r="K395" t="str">
        <f>IF($B395="","",IF(K$3=0,"n.b.",INDEX(SRC_Woningetalage!$A$1:$ZZ$501,$A395,K$3)))</f>
        <v/>
      </c>
      <c r="L395" t="str">
        <f>IF($B395="","",IF(L$3=0,"n.b.",INDEX(SRC_Woningetalage!$A$1:$ZZ$501,$A395,L$3)))</f>
        <v/>
      </c>
      <c r="M395" t="str">
        <f>IF($B395="","",IF(M$3=0,"n.b.",INDEX(SRC_Woningetalage!$A$1:$ZZ$501,$A395,M$3)))</f>
        <v/>
      </c>
      <c r="N395" t="str">
        <f>IF($B395="","",IF(N$3=0,"n.b.",INDEX(SRC_Woningetalage!$A$1:$ZZ$501,$A395,N$3)))</f>
        <v/>
      </c>
      <c r="O395" t="str">
        <f>IF($B395="","",IF(O$3=0,"n.b.",INDEX(SRC_Woningetalage!$A$1:$ZZ$501,$A395,O$3)))</f>
        <v/>
      </c>
      <c r="P395" t="str">
        <f>IF($B395="","",IF(P$3=0,"n.b.",INDEX(SRC_Woningetalage!$A$1:$ZZ$501,$A395,P$3)))</f>
        <v/>
      </c>
      <c r="Q395" s="124" t="str">
        <f>IF($B395="","",IF(Q$3=0,"n.b.",INDEX(SRC_Woningetalage!$A$1:$ZZ$501,$A395,Q$3)))</f>
        <v/>
      </c>
      <c r="R395" s="124" t="str">
        <f>IF($B395="","",IF(R$3=0,"n.b.",INDEX(SRC_Woningetalage!$A$1:$ZZ$501,$A395,R$3)))</f>
        <v/>
      </c>
      <c r="S395" s="124" t="str">
        <f>IF($B395="","",IF(S$3=0,"n.b.",INDEX(SRC_Woningetalage!$A$1:$ZZ$501,$A395,S$3)))</f>
        <v/>
      </c>
      <c r="T395" s="124" t="str">
        <f>IF($B395="","",IF(T$3=0,"n.b.",INDEX(SRC_Woningetalage!$A$1:$ZZ$501,$A395,T$3)))</f>
        <v/>
      </c>
      <c r="U395" s="124" t="str">
        <f>IF($B395="","",IF(U$3=0,"n.b.",INDEX(SRC_Woningetalage!$A$1:$ZZ$501,$A395,U$3)))</f>
        <v/>
      </c>
      <c r="V395" s="124" t="str">
        <f>IF($B395="","",IF(V$3=0,"n.b.",INDEX(SRC_Woningetalage!$A$1:$ZZ$501,$A395,V$3)))</f>
        <v/>
      </c>
      <c r="W395" s="124" t="str">
        <f>IF($B395="","",IF(W$3=0,"n.b.",INDEX(SRC_Woningetalage!$A$1:$ZZ$501,$A395,W$3)))</f>
        <v/>
      </c>
      <c r="X395" s="124" t="str">
        <f>IF($B395="","",IF(X$3=0,"n.b.",INDEX(SRC_Woningetalage!$A$1:$ZZ$501,$A395,X$3)))</f>
        <v/>
      </c>
      <c r="Y395" s="124" t="str">
        <f>IF($B395="","",IF(Y$3=0,"n.b.",INDEX(SRC_Woningetalage!$A$1:$ZZ$501,$A395,Y$3)))</f>
        <v/>
      </c>
      <c r="Z395" s="124" t="str">
        <f>IF($B395="","",IF(Z$3=0,"n.b.",INDEX(SRC_Woningetalage!$A$1:$ZZ$501,$A395,Z$3)))</f>
        <v/>
      </c>
      <c r="AA395" s="124" t="str">
        <f>IF($B395="","",IF(AA$3=0,"n.b.",INDEX(SRC_Woningetalage!$A$1:$ZZ$501,$A395,AA$3)))</f>
        <v/>
      </c>
      <c r="AB395" s="124" t="str">
        <f>IF($B395="","",IF(AB$3=0,"n.b.",INDEX(SRC_Woningetalage!$A$1:$ZZ$501,$A395,AB$3)))</f>
        <v/>
      </c>
      <c r="AC395" s="124" t="str">
        <f>IF($B395="","",IF(AC$3=0,"n.b.",INDEX(SRC_Woningetalage!$A$1:$ZZ$501,$A395,AC$3)))</f>
        <v/>
      </c>
      <c r="AD395" s="124" t="str">
        <f>IF($B395="","",IF(AD$3=0,"n.b.",INDEX(SRC_Woningetalage!$A$1:$ZZ$501,$A395,AD$3)))</f>
        <v/>
      </c>
      <c r="AE395" s="124" t="str">
        <f>IF($B395="","",IF(AE$3=0,"n.b.",INDEX(SRC_Woningetalage!$A$1:$ZZ$501,$A395,AE$3)))</f>
        <v/>
      </c>
      <c r="AF395" s="124" t="str">
        <f>IF($B395="","",IF(AF$3=0,"n.b.",INDEX(SRC_Woningetalage!$A$1:$ZZ$501,$A395,AF$3)))</f>
        <v/>
      </c>
      <c r="AG395" s="124" t="str">
        <f>IF($B395="","",IF(AG$3=0,"n.b.",INDEX(SRC_Woningetalage!$A$1:$ZZ$501,$A395,AG$3)))</f>
        <v/>
      </c>
      <c r="AH395" s="124" t="str">
        <f>IF($B395="","",IF(AH$3=0,"n.b.",INDEX(SRC_Woningetalage!$A$1:$ZZ$501,$A395,AH$3)))</f>
        <v/>
      </c>
      <c r="AI395" s="124" t="str">
        <f>IF($B395="","",IF(AI$3=0,"n.b.",INDEX(SRC_Woningetalage!$A$1:$ZZ$501,$A395,AI$3)))</f>
        <v/>
      </c>
      <c r="AJ395" s="124" t="str">
        <f>IF($B395="","",IF(AJ$3=0,"n.b.",INDEX(SRC_Woningetalage!$A$1:$ZZ$501,$A395,AJ$3)))</f>
        <v/>
      </c>
      <c r="AK395" s="124" t="str">
        <f>IF($B395="","",IF(AK$3=0,"n.b.",INDEX(SRC_Woningetalage!$A$1:$ZZ$501,$A395,AK$3)))</f>
        <v/>
      </c>
      <c r="AL395" s="124" t="str">
        <f>IF($B395="","",IF(AL$3=0,"n.b.",INDEX(SRC_Woningetalage!$A$1:$ZZ$501,$A395,AL$3)))</f>
        <v/>
      </c>
      <c r="AM395" s="124" t="str">
        <f>IF($B395="","",IF(AM$3=0,"n.b.",INDEX(SRC_Woningetalage!$A$1:$ZZ$501,$A395,AM$3)))</f>
        <v/>
      </c>
      <c r="AN395" s="124" t="str">
        <f>IF($B395="","",IF(AN$3=0,"n.b.",INDEX(SRC_Woningetalage!$A$1:$ZZ$501,$A395,AN$3)))</f>
        <v/>
      </c>
      <c r="AO395" s="124" t="str">
        <f>IF($B395="","",IF(AO$3=0,"n.b.",INDEX(SRC_Woningetalage!$A$1:$ZZ$501,$A395,AO$3)))</f>
        <v/>
      </c>
      <c r="AP395" s="124" t="str">
        <f>IF($B395="","",IF(AP$3=0,"n.b.",INDEX(SRC_Woningetalage!$A$1:$ZZ$501,$A395,AP$3)))</f>
        <v/>
      </c>
      <c r="AQ395" s="124" t="str">
        <f>IF($B395="","",IF(AQ$3=0,"n.b.",INDEX(SRC_Woningetalage!$A$1:$ZZ$501,$A395,AQ$3)))</f>
        <v/>
      </c>
      <c r="AR395" s="124" t="str">
        <f>IF($B395="","",IF(AR$3=0,"n.b.",INDEX(SRC_Woningetalage!$A$1:$ZZ$501,$A395,AR$3)))</f>
        <v/>
      </c>
      <c r="AS395" s="124" t="str">
        <f>IF($B395="","",IF(AS$3=0,"n.b.",INDEX(SRC_Woningetalage!$A$1:$ZZ$501,$A395,AS$3)))</f>
        <v/>
      </c>
      <c r="AT395" s="124" t="str">
        <f>IF($B395="","",IF(AT$3=0,"n.b.",INDEX(SRC_Woningetalage!$A$1:$ZZ$501,$A395,AT$3)))</f>
        <v/>
      </c>
      <c r="AU395" s="124" t="str">
        <f>IF($B395="","",IF(AU$3=0,"n.b.",INDEX(SRC_Woningetalage!$A$1:$ZZ$501,$A395,AU$3)))</f>
        <v/>
      </c>
      <c r="AV395" s="124" t="str">
        <f>IF($B395="","",IF(AV$3=0,"n.b.",INDEX(SRC_Woningetalage!$A$1:$ZZ$501,$A395,AV$3)))</f>
        <v/>
      </c>
      <c r="AW395" s="124" t="str">
        <f>IF($B395="","",IF(AW$3=0,"n.b.",INDEX(SRC_Woningetalage!$A$1:$ZZ$501,$A395,AW$3)))</f>
        <v/>
      </c>
      <c r="AX395" s="124" t="str">
        <f>IF($B395="","",IF(AX$3=0,"n.b.",INDEX(SRC_Woningetalage!$A$1:$ZZ$501,$A395,AX$3)))</f>
        <v/>
      </c>
      <c r="AY395" s="124" t="str">
        <f>IF($B395="","",IF(AY$3=0,"n.b.",INDEX(SRC_Woningetalage!$A$1:$ZZ$501,$A395,AY$3)))</f>
        <v/>
      </c>
      <c r="AZ395" s="124" t="str">
        <f>IF($B395="","",IF(AZ$3=0,"n.b.",INDEX(SRC_Woningetalage!$A$1:$ZZ$501,$A395,AZ$3)))</f>
        <v/>
      </c>
      <c r="BA395" s="124" t="str">
        <f>IF($B395="","",IF(BA$3=0,"n.b.",INDEX(SRC_Woningetalage!$A$1:$ZZ$501,$A395,BA$3)))</f>
        <v/>
      </c>
      <c r="BB395" s="124" t="str">
        <f>IF($B395="","",IF(BB$3=0,"n.b.",INDEX(SRC_Woningetalage!$A$1:$ZZ$501,$A395,BB$3)))</f>
        <v/>
      </c>
      <c r="BC395" s="124" t="str">
        <f>IF($B395="","",IFERROR(_xlfn.NUMBERVALUE(E395&amp;"",",","."),"n.b."))</f>
        <v/>
      </c>
      <c r="BD395" s="124" t="str">
        <f>IF($B395="","",IFERROR(_xlfn.NUMBERVALUE(M395&amp;"",",","."),"n.b."))</f>
        <v/>
      </c>
      <c r="BE395" s="124" t="str">
        <f>IF($B395="","",IFERROR(AB395+AC395+AD395,"n.b."))</f>
        <v/>
      </c>
      <c r="BF395" s="124" t="str">
        <f>IF($B395="","",IFERROR(AE395+AF395+AG395,"n.b."))</f>
        <v/>
      </c>
      <c r="BG395" s="124" t="str">
        <f>IF($B395="","",IFERROR(AH395+AI395+AJ395,"n.b."))</f>
        <v/>
      </c>
      <c r="BH395" s="124" t="str">
        <f>IF($B395="","",IFERROR(AK395+AL395+AM395,"n.b."))</f>
        <v/>
      </c>
      <c r="BI395" s="124" t="str">
        <f>IF($B395="","",IFERROR(SUMIF($AB$5:$AM$5,"&lt;="&amp;P_PeilMaand,AB395:AM395),"n.b."))</f>
        <v/>
      </c>
      <c r="BJ395" s="124" t="str">
        <f>IF($B395="","",IFERROR(SUM(AB395:AM395)-BI395,"n.b."))</f>
        <v/>
      </c>
      <c r="BK395" s="124" t="str">
        <f>IF($B395="","",IFERROR(IF(ABS(Q395-(T395+SUM(AB395:AM395)+AS395+AU395))&gt;P_Tol,1,0),1))</f>
        <v/>
      </c>
      <c r="BL395" s="124" t="str">
        <f>IF($B395="","",IFERROR(IF(ABS(AA395-(Q395-Z395))&gt;P_Tol,1,0),1))</f>
        <v/>
      </c>
      <c r="BM395" s="124" t="str">
        <f>IF($B395="","",IFERROR(IF(ABS(Z395-(T395+W395))&gt;P_Tol,1,0),1))</f>
        <v/>
      </c>
      <c r="BN395" s="124" t="str">
        <f>IF($B395="","",IFERROR(IF(ABS(W395-BI395)&gt;P_Tol,1,0),1))</f>
        <v/>
      </c>
      <c r="BO395" s="124" t="str">
        <f>IF($B395="","",IFERROR(IF(OR(ABS(R395+S395-T395)&gt;P_Tol,ABS(U395+V395-W395)&gt;P_Tol,ABS(X395+Y395-Z395)&gt;P_Tol),1,0),1))</f>
        <v/>
      </c>
      <c r="BP395" s="124" t="str">
        <f>IF($B395="","",IFERROR(IF(OR(ABS(AR395-SUM(AB395:AM395))&gt;P_Tol,ABS(AS395-(AN395+AO395+AP395+AQ395))&gt;P_Tol),1,0),1))</f>
        <v/>
      </c>
      <c r="BQ395" s="124" t="str">
        <f>IF($B395="","",IFERROR(IF(ABS(AT395)+ABS(AV395)+ABS(AW395)+ABS(AX395)+ABS(AY395)+ABS(AZ395)+ABS(BA395)+ABS(BB395)&gt;0,1,0),1))</f>
        <v/>
      </c>
      <c r="BR395" s="124" t="str">
        <f>IF($B395="","",COUNTIF(STG_ZPMW03!$B$6:$B$505,B395))</f>
        <v/>
      </c>
      <c r="BS395" s="124" t="str">
        <f>IF($B395="","",COUNTIF($B$6:$B$505,B395))</f>
        <v/>
      </c>
      <c r="BT395" s="124" t="str">
        <f>IF($B395="","",IF(BR395=0,0,IF(INDEX(STG_ZPMW03!$I$6:$I$505,MATCH(B395,STG_ZPMW03!$B$6:$B$505,0))=J395&amp;"",0,1)))</f>
        <v/>
      </c>
      <c r="BU395" s="124" t="str">
        <f>IF($B395="","",IFERROR(IF(ABS(INDEX(Mapping!$D$5:$D$104,MATCH(B395,Mapping!$A$5:$A$104,0))-Q395)&gt;P_Tol,1,0),0))</f>
        <v/>
      </c>
      <c r="BV395" s="124" t="str">
        <f>IF($B395="","",IFERROR(IF(AND(INDEX(Mapping!$G$5:$G$104,MATCH(B395,Mapping!$A$5:$A$104,0))="Nee",ABS(Q395)+ABS(Z395)+ABS(AR395)&gt;0),1,0),0))</f>
        <v/>
      </c>
      <c r="BW395" s="124" t="str">
        <f>IF($B395="","",IF(COUNTIF(Mapping!$A$5:$A$104,B395)&gt;0,1,0))</f>
        <v/>
      </c>
      <c r="BX395" s="124" t="str">
        <f>IF($B395="","",IF(BR395=0,COUNTIF($BR$6:BR395,0),""))</f>
        <v/>
      </c>
    </row>
    <row r="396">
      <c r="A396" s="15" t="n">
        <v>392</v>
      </c>
      <c r="B396" t="str">
        <f>IF(B$3=0,"",IF(INDEX(SRC_Woningetalage!$A$1:$ZZ$501,$A396,B$3)&amp;""="","",INDEX(SRC_Woningetalage!$A$1:$ZZ$501,$A396,B$3)&amp;""))</f>
        <v/>
      </c>
      <c r="C396" t="str">
        <f>IF($B396="","",IF(C$3=0,"n.b.",INDEX(SRC_Woningetalage!$A$1:$ZZ$501,$A396,C$3)))</f>
        <v/>
      </c>
      <c r="D396" t="str">
        <f>IF($B396="","",IF(D$3=0,"n.b.",INDEX(SRC_Woningetalage!$A$1:$ZZ$501,$A396,D$3)))</f>
        <v/>
      </c>
      <c r="E396" t="str">
        <f>IF($B396="","",IF(E$3=0,"n.b.",INDEX(SRC_Woningetalage!$A$1:$ZZ$501,$A396,E$3)))</f>
        <v/>
      </c>
      <c r="F396" t="str">
        <f>IF($B396="","",IF(F$3=0,"n.b.",INDEX(SRC_Woningetalage!$A$1:$ZZ$501,$A396,F$3)))</f>
        <v/>
      </c>
      <c r="G396" t="str">
        <f>IF($B396="","",IF(G$3=0,"n.b.",INDEX(SRC_Woningetalage!$A$1:$ZZ$501,$A396,G$3)))</f>
        <v/>
      </c>
      <c r="H396" t="str">
        <f>IF($B396="","",IF(H$3=0,"n.b.",INDEX(SRC_Woningetalage!$A$1:$ZZ$501,$A396,H$3)))</f>
        <v/>
      </c>
      <c r="I396" t="str">
        <f>IF($B396="","",IF(I$3=0,"n.b.",INDEX(SRC_Woningetalage!$A$1:$ZZ$501,$A396,I$3)))</f>
        <v/>
      </c>
      <c r="J396" t="str">
        <f>IF($B396="","",IF(J$3=0,"n.b.",INDEX(SRC_Woningetalage!$A$1:$ZZ$501,$A396,J$3)))</f>
        <v/>
      </c>
      <c r="K396" t="str">
        <f>IF($B396="","",IF(K$3=0,"n.b.",INDEX(SRC_Woningetalage!$A$1:$ZZ$501,$A396,K$3)))</f>
        <v/>
      </c>
      <c r="L396" t="str">
        <f>IF($B396="","",IF(L$3=0,"n.b.",INDEX(SRC_Woningetalage!$A$1:$ZZ$501,$A396,L$3)))</f>
        <v/>
      </c>
      <c r="M396" t="str">
        <f>IF($B396="","",IF(M$3=0,"n.b.",INDEX(SRC_Woningetalage!$A$1:$ZZ$501,$A396,M$3)))</f>
        <v/>
      </c>
      <c r="N396" t="str">
        <f>IF($B396="","",IF(N$3=0,"n.b.",INDEX(SRC_Woningetalage!$A$1:$ZZ$501,$A396,N$3)))</f>
        <v/>
      </c>
      <c r="O396" t="str">
        <f>IF($B396="","",IF(O$3=0,"n.b.",INDEX(SRC_Woningetalage!$A$1:$ZZ$501,$A396,O$3)))</f>
        <v/>
      </c>
      <c r="P396" t="str">
        <f>IF($B396="","",IF(P$3=0,"n.b.",INDEX(SRC_Woningetalage!$A$1:$ZZ$501,$A396,P$3)))</f>
        <v/>
      </c>
      <c r="Q396" s="124" t="str">
        <f>IF($B396="","",IF(Q$3=0,"n.b.",INDEX(SRC_Woningetalage!$A$1:$ZZ$501,$A396,Q$3)))</f>
        <v/>
      </c>
      <c r="R396" s="124" t="str">
        <f>IF($B396="","",IF(R$3=0,"n.b.",INDEX(SRC_Woningetalage!$A$1:$ZZ$501,$A396,R$3)))</f>
        <v/>
      </c>
      <c r="S396" s="124" t="str">
        <f>IF($B396="","",IF(S$3=0,"n.b.",INDEX(SRC_Woningetalage!$A$1:$ZZ$501,$A396,S$3)))</f>
        <v/>
      </c>
      <c r="T396" s="124" t="str">
        <f>IF($B396="","",IF(T$3=0,"n.b.",INDEX(SRC_Woningetalage!$A$1:$ZZ$501,$A396,T$3)))</f>
        <v/>
      </c>
      <c r="U396" s="124" t="str">
        <f>IF($B396="","",IF(U$3=0,"n.b.",INDEX(SRC_Woningetalage!$A$1:$ZZ$501,$A396,U$3)))</f>
        <v/>
      </c>
      <c r="V396" s="124" t="str">
        <f>IF($B396="","",IF(V$3=0,"n.b.",INDEX(SRC_Woningetalage!$A$1:$ZZ$501,$A396,V$3)))</f>
        <v/>
      </c>
      <c r="W396" s="124" t="str">
        <f>IF($B396="","",IF(W$3=0,"n.b.",INDEX(SRC_Woningetalage!$A$1:$ZZ$501,$A396,W$3)))</f>
        <v/>
      </c>
      <c r="X396" s="124" t="str">
        <f>IF($B396="","",IF(X$3=0,"n.b.",INDEX(SRC_Woningetalage!$A$1:$ZZ$501,$A396,X$3)))</f>
        <v/>
      </c>
      <c r="Y396" s="124" t="str">
        <f>IF($B396="","",IF(Y$3=0,"n.b.",INDEX(SRC_Woningetalage!$A$1:$ZZ$501,$A396,Y$3)))</f>
        <v/>
      </c>
      <c r="Z396" s="124" t="str">
        <f>IF($B396="","",IF(Z$3=0,"n.b.",INDEX(SRC_Woningetalage!$A$1:$ZZ$501,$A396,Z$3)))</f>
        <v/>
      </c>
      <c r="AA396" s="124" t="str">
        <f>IF($B396="","",IF(AA$3=0,"n.b.",INDEX(SRC_Woningetalage!$A$1:$ZZ$501,$A396,AA$3)))</f>
        <v/>
      </c>
      <c r="AB396" s="124" t="str">
        <f>IF($B396="","",IF(AB$3=0,"n.b.",INDEX(SRC_Woningetalage!$A$1:$ZZ$501,$A396,AB$3)))</f>
        <v/>
      </c>
      <c r="AC396" s="124" t="str">
        <f>IF($B396="","",IF(AC$3=0,"n.b.",INDEX(SRC_Woningetalage!$A$1:$ZZ$501,$A396,AC$3)))</f>
        <v/>
      </c>
      <c r="AD396" s="124" t="str">
        <f>IF($B396="","",IF(AD$3=0,"n.b.",INDEX(SRC_Woningetalage!$A$1:$ZZ$501,$A396,AD$3)))</f>
        <v/>
      </c>
      <c r="AE396" s="124" t="str">
        <f>IF($B396="","",IF(AE$3=0,"n.b.",INDEX(SRC_Woningetalage!$A$1:$ZZ$501,$A396,AE$3)))</f>
        <v/>
      </c>
      <c r="AF396" s="124" t="str">
        <f>IF($B396="","",IF(AF$3=0,"n.b.",INDEX(SRC_Woningetalage!$A$1:$ZZ$501,$A396,AF$3)))</f>
        <v/>
      </c>
      <c r="AG396" s="124" t="str">
        <f>IF($B396="","",IF(AG$3=0,"n.b.",INDEX(SRC_Woningetalage!$A$1:$ZZ$501,$A396,AG$3)))</f>
        <v/>
      </c>
      <c r="AH396" s="124" t="str">
        <f>IF($B396="","",IF(AH$3=0,"n.b.",INDEX(SRC_Woningetalage!$A$1:$ZZ$501,$A396,AH$3)))</f>
        <v/>
      </c>
      <c r="AI396" s="124" t="str">
        <f>IF($B396="","",IF(AI$3=0,"n.b.",INDEX(SRC_Woningetalage!$A$1:$ZZ$501,$A396,AI$3)))</f>
        <v/>
      </c>
      <c r="AJ396" s="124" t="str">
        <f>IF($B396="","",IF(AJ$3=0,"n.b.",INDEX(SRC_Woningetalage!$A$1:$ZZ$501,$A396,AJ$3)))</f>
        <v/>
      </c>
      <c r="AK396" s="124" t="str">
        <f>IF($B396="","",IF(AK$3=0,"n.b.",INDEX(SRC_Woningetalage!$A$1:$ZZ$501,$A396,AK$3)))</f>
        <v/>
      </c>
      <c r="AL396" s="124" t="str">
        <f>IF($B396="","",IF(AL$3=0,"n.b.",INDEX(SRC_Woningetalage!$A$1:$ZZ$501,$A396,AL$3)))</f>
        <v/>
      </c>
      <c r="AM396" s="124" t="str">
        <f>IF($B396="","",IF(AM$3=0,"n.b.",INDEX(SRC_Woningetalage!$A$1:$ZZ$501,$A396,AM$3)))</f>
        <v/>
      </c>
      <c r="AN396" s="124" t="str">
        <f>IF($B396="","",IF(AN$3=0,"n.b.",INDEX(SRC_Woningetalage!$A$1:$ZZ$501,$A396,AN$3)))</f>
        <v/>
      </c>
      <c r="AO396" s="124" t="str">
        <f>IF($B396="","",IF(AO$3=0,"n.b.",INDEX(SRC_Woningetalage!$A$1:$ZZ$501,$A396,AO$3)))</f>
        <v/>
      </c>
      <c r="AP396" s="124" t="str">
        <f>IF($B396="","",IF(AP$3=0,"n.b.",INDEX(SRC_Woningetalage!$A$1:$ZZ$501,$A396,AP$3)))</f>
        <v/>
      </c>
      <c r="AQ396" s="124" t="str">
        <f>IF($B396="","",IF(AQ$3=0,"n.b.",INDEX(SRC_Woningetalage!$A$1:$ZZ$501,$A396,AQ$3)))</f>
        <v/>
      </c>
      <c r="AR396" s="124" t="str">
        <f>IF($B396="","",IF(AR$3=0,"n.b.",INDEX(SRC_Woningetalage!$A$1:$ZZ$501,$A396,AR$3)))</f>
        <v/>
      </c>
      <c r="AS396" s="124" t="str">
        <f>IF($B396="","",IF(AS$3=0,"n.b.",INDEX(SRC_Woningetalage!$A$1:$ZZ$501,$A396,AS$3)))</f>
        <v/>
      </c>
      <c r="AT396" s="124" t="str">
        <f>IF($B396="","",IF(AT$3=0,"n.b.",INDEX(SRC_Woningetalage!$A$1:$ZZ$501,$A396,AT$3)))</f>
        <v/>
      </c>
      <c r="AU396" s="124" t="str">
        <f>IF($B396="","",IF(AU$3=0,"n.b.",INDEX(SRC_Woningetalage!$A$1:$ZZ$501,$A396,AU$3)))</f>
        <v/>
      </c>
      <c r="AV396" s="124" t="str">
        <f>IF($B396="","",IF(AV$3=0,"n.b.",INDEX(SRC_Woningetalage!$A$1:$ZZ$501,$A396,AV$3)))</f>
        <v/>
      </c>
      <c r="AW396" s="124" t="str">
        <f>IF($B396="","",IF(AW$3=0,"n.b.",INDEX(SRC_Woningetalage!$A$1:$ZZ$501,$A396,AW$3)))</f>
        <v/>
      </c>
      <c r="AX396" s="124" t="str">
        <f>IF($B396="","",IF(AX$3=0,"n.b.",INDEX(SRC_Woningetalage!$A$1:$ZZ$501,$A396,AX$3)))</f>
        <v/>
      </c>
      <c r="AY396" s="124" t="str">
        <f>IF($B396="","",IF(AY$3=0,"n.b.",INDEX(SRC_Woningetalage!$A$1:$ZZ$501,$A396,AY$3)))</f>
        <v/>
      </c>
      <c r="AZ396" s="124" t="str">
        <f>IF($B396="","",IF(AZ$3=0,"n.b.",INDEX(SRC_Woningetalage!$A$1:$ZZ$501,$A396,AZ$3)))</f>
        <v/>
      </c>
      <c r="BA396" s="124" t="str">
        <f>IF($B396="","",IF(BA$3=0,"n.b.",INDEX(SRC_Woningetalage!$A$1:$ZZ$501,$A396,BA$3)))</f>
        <v/>
      </c>
      <c r="BB396" s="124" t="str">
        <f>IF($B396="","",IF(BB$3=0,"n.b.",INDEX(SRC_Woningetalage!$A$1:$ZZ$501,$A396,BB$3)))</f>
        <v/>
      </c>
      <c r="BC396" s="124" t="str">
        <f>IF($B396="","",IFERROR(_xlfn.NUMBERVALUE(E396&amp;"",",","."),"n.b."))</f>
        <v/>
      </c>
      <c r="BD396" s="124" t="str">
        <f>IF($B396="","",IFERROR(_xlfn.NUMBERVALUE(M396&amp;"",",","."),"n.b."))</f>
        <v/>
      </c>
      <c r="BE396" s="124" t="str">
        <f>IF($B396="","",IFERROR(AB396+AC396+AD396,"n.b."))</f>
        <v/>
      </c>
      <c r="BF396" s="124" t="str">
        <f>IF($B396="","",IFERROR(AE396+AF396+AG396,"n.b."))</f>
        <v/>
      </c>
      <c r="BG396" s="124" t="str">
        <f>IF($B396="","",IFERROR(AH396+AI396+AJ396,"n.b."))</f>
        <v/>
      </c>
      <c r="BH396" s="124" t="str">
        <f>IF($B396="","",IFERROR(AK396+AL396+AM396,"n.b."))</f>
        <v/>
      </c>
      <c r="BI396" s="124" t="str">
        <f>IF($B396="","",IFERROR(SUMIF($AB$5:$AM$5,"&lt;="&amp;P_PeilMaand,AB396:AM396),"n.b."))</f>
        <v/>
      </c>
      <c r="BJ396" s="124" t="str">
        <f>IF($B396="","",IFERROR(SUM(AB396:AM396)-BI396,"n.b."))</f>
        <v/>
      </c>
      <c r="BK396" s="124" t="str">
        <f>IF($B396="","",IFERROR(IF(ABS(Q396-(T396+SUM(AB396:AM396)+AS396+AU396))&gt;P_Tol,1,0),1))</f>
        <v/>
      </c>
      <c r="BL396" s="124" t="str">
        <f>IF($B396="","",IFERROR(IF(ABS(AA396-(Q396-Z396))&gt;P_Tol,1,0),1))</f>
        <v/>
      </c>
      <c r="BM396" s="124" t="str">
        <f>IF($B396="","",IFERROR(IF(ABS(Z396-(T396+W396))&gt;P_Tol,1,0),1))</f>
        <v/>
      </c>
      <c r="BN396" s="124" t="str">
        <f>IF($B396="","",IFERROR(IF(ABS(W396-BI396)&gt;P_Tol,1,0),1))</f>
        <v/>
      </c>
      <c r="BO396" s="124" t="str">
        <f>IF($B396="","",IFERROR(IF(OR(ABS(R396+S396-T396)&gt;P_Tol,ABS(U396+V396-W396)&gt;P_Tol,ABS(X396+Y396-Z396)&gt;P_Tol),1,0),1))</f>
        <v/>
      </c>
      <c r="BP396" s="124" t="str">
        <f>IF($B396="","",IFERROR(IF(OR(ABS(AR396-SUM(AB396:AM396))&gt;P_Tol,ABS(AS396-(AN396+AO396+AP396+AQ396))&gt;P_Tol),1,0),1))</f>
        <v/>
      </c>
      <c r="BQ396" s="124" t="str">
        <f>IF($B396="","",IFERROR(IF(ABS(AT396)+ABS(AV396)+ABS(AW396)+ABS(AX396)+ABS(AY396)+ABS(AZ396)+ABS(BA396)+ABS(BB396)&gt;0,1,0),1))</f>
        <v/>
      </c>
      <c r="BR396" s="124" t="str">
        <f>IF($B396="","",COUNTIF(STG_ZPMW03!$B$6:$B$505,B396))</f>
        <v/>
      </c>
      <c r="BS396" s="124" t="str">
        <f>IF($B396="","",COUNTIF($B$6:$B$505,B396))</f>
        <v/>
      </c>
      <c r="BT396" s="124" t="str">
        <f>IF($B396="","",IF(BR396=0,0,IF(INDEX(STG_ZPMW03!$I$6:$I$505,MATCH(B396,STG_ZPMW03!$B$6:$B$505,0))=J396&amp;"",0,1)))</f>
        <v/>
      </c>
      <c r="BU396" s="124" t="str">
        <f>IF($B396="","",IFERROR(IF(ABS(INDEX(Mapping!$D$5:$D$104,MATCH(B396,Mapping!$A$5:$A$104,0))-Q396)&gt;P_Tol,1,0),0))</f>
        <v/>
      </c>
      <c r="BV396" s="124" t="str">
        <f>IF($B396="","",IFERROR(IF(AND(INDEX(Mapping!$G$5:$G$104,MATCH(B396,Mapping!$A$5:$A$104,0))="Nee",ABS(Q396)+ABS(Z396)+ABS(AR396)&gt;0),1,0),0))</f>
        <v/>
      </c>
      <c r="BW396" s="124" t="str">
        <f>IF($B396="","",IF(COUNTIF(Mapping!$A$5:$A$104,B396)&gt;0,1,0))</f>
        <v/>
      </c>
      <c r="BX396" s="124" t="str">
        <f>IF($B396="","",IF(BR396=0,COUNTIF($BR$6:BR396,0),""))</f>
        <v/>
      </c>
    </row>
    <row r="397">
      <c r="A397" s="15" t="n">
        <v>393</v>
      </c>
      <c r="B397" t="str">
        <f>IF(B$3=0,"",IF(INDEX(SRC_Woningetalage!$A$1:$ZZ$501,$A397,B$3)&amp;""="","",INDEX(SRC_Woningetalage!$A$1:$ZZ$501,$A397,B$3)&amp;""))</f>
        <v/>
      </c>
      <c r="C397" t="str">
        <f>IF($B397="","",IF(C$3=0,"n.b.",INDEX(SRC_Woningetalage!$A$1:$ZZ$501,$A397,C$3)))</f>
        <v/>
      </c>
      <c r="D397" t="str">
        <f>IF($B397="","",IF(D$3=0,"n.b.",INDEX(SRC_Woningetalage!$A$1:$ZZ$501,$A397,D$3)))</f>
        <v/>
      </c>
      <c r="E397" t="str">
        <f>IF($B397="","",IF(E$3=0,"n.b.",INDEX(SRC_Woningetalage!$A$1:$ZZ$501,$A397,E$3)))</f>
        <v/>
      </c>
      <c r="F397" t="str">
        <f>IF($B397="","",IF(F$3=0,"n.b.",INDEX(SRC_Woningetalage!$A$1:$ZZ$501,$A397,F$3)))</f>
        <v/>
      </c>
      <c r="G397" t="str">
        <f>IF($B397="","",IF(G$3=0,"n.b.",INDEX(SRC_Woningetalage!$A$1:$ZZ$501,$A397,G$3)))</f>
        <v/>
      </c>
      <c r="H397" t="str">
        <f>IF($B397="","",IF(H$3=0,"n.b.",INDEX(SRC_Woningetalage!$A$1:$ZZ$501,$A397,H$3)))</f>
        <v/>
      </c>
      <c r="I397" t="str">
        <f>IF($B397="","",IF(I$3=0,"n.b.",INDEX(SRC_Woningetalage!$A$1:$ZZ$501,$A397,I$3)))</f>
        <v/>
      </c>
      <c r="J397" t="str">
        <f>IF($B397="","",IF(J$3=0,"n.b.",INDEX(SRC_Woningetalage!$A$1:$ZZ$501,$A397,J$3)))</f>
        <v/>
      </c>
      <c r="K397" t="str">
        <f>IF($B397="","",IF(K$3=0,"n.b.",INDEX(SRC_Woningetalage!$A$1:$ZZ$501,$A397,K$3)))</f>
        <v/>
      </c>
      <c r="L397" t="str">
        <f>IF($B397="","",IF(L$3=0,"n.b.",INDEX(SRC_Woningetalage!$A$1:$ZZ$501,$A397,L$3)))</f>
        <v/>
      </c>
      <c r="M397" t="str">
        <f>IF($B397="","",IF(M$3=0,"n.b.",INDEX(SRC_Woningetalage!$A$1:$ZZ$501,$A397,M$3)))</f>
        <v/>
      </c>
      <c r="N397" t="str">
        <f>IF($B397="","",IF(N$3=0,"n.b.",INDEX(SRC_Woningetalage!$A$1:$ZZ$501,$A397,N$3)))</f>
        <v/>
      </c>
      <c r="O397" t="str">
        <f>IF($B397="","",IF(O$3=0,"n.b.",INDEX(SRC_Woningetalage!$A$1:$ZZ$501,$A397,O$3)))</f>
        <v/>
      </c>
      <c r="P397" t="str">
        <f>IF($B397="","",IF(P$3=0,"n.b.",INDEX(SRC_Woningetalage!$A$1:$ZZ$501,$A397,P$3)))</f>
        <v/>
      </c>
      <c r="Q397" s="124" t="str">
        <f>IF($B397="","",IF(Q$3=0,"n.b.",INDEX(SRC_Woningetalage!$A$1:$ZZ$501,$A397,Q$3)))</f>
        <v/>
      </c>
      <c r="R397" s="124" t="str">
        <f>IF($B397="","",IF(R$3=0,"n.b.",INDEX(SRC_Woningetalage!$A$1:$ZZ$501,$A397,R$3)))</f>
        <v/>
      </c>
      <c r="S397" s="124" t="str">
        <f>IF($B397="","",IF(S$3=0,"n.b.",INDEX(SRC_Woningetalage!$A$1:$ZZ$501,$A397,S$3)))</f>
        <v/>
      </c>
      <c r="T397" s="124" t="str">
        <f>IF($B397="","",IF(T$3=0,"n.b.",INDEX(SRC_Woningetalage!$A$1:$ZZ$501,$A397,T$3)))</f>
        <v/>
      </c>
      <c r="U397" s="124" t="str">
        <f>IF($B397="","",IF(U$3=0,"n.b.",INDEX(SRC_Woningetalage!$A$1:$ZZ$501,$A397,U$3)))</f>
        <v/>
      </c>
      <c r="V397" s="124" t="str">
        <f>IF($B397="","",IF(V$3=0,"n.b.",INDEX(SRC_Woningetalage!$A$1:$ZZ$501,$A397,V$3)))</f>
        <v/>
      </c>
      <c r="W397" s="124" t="str">
        <f>IF($B397="","",IF(W$3=0,"n.b.",INDEX(SRC_Woningetalage!$A$1:$ZZ$501,$A397,W$3)))</f>
        <v/>
      </c>
      <c r="X397" s="124" t="str">
        <f>IF($B397="","",IF(X$3=0,"n.b.",INDEX(SRC_Woningetalage!$A$1:$ZZ$501,$A397,X$3)))</f>
        <v/>
      </c>
      <c r="Y397" s="124" t="str">
        <f>IF($B397="","",IF(Y$3=0,"n.b.",INDEX(SRC_Woningetalage!$A$1:$ZZ$501,$A397,Y$3)))</f>
        <v/>
      </c>
      <c r="Z397" s="124" t="str">
        <f>IF($B397="","",IF(Z$3=0,"n.b.",INDEX(SRC_Woningetalage!$A$1:$ZZ$501,$A397,Z$3)))</f>
        <v/>
      </c>
      <c r="AA397" s="124" t="str">
        <f>IF($B397="","",IF(AA$3=0,"n.b.",INDEX(SRC_Woningetalage!$A$1:$ZZ$501,$A397,AA$3)))</f>
        <v/>
      </c>
      <c r="AB397" s="124" t="str">
        <f>IF($B397="","",IF(AB$3=0,"n.b.",INDEX(SRC_Woningetalage!$A$1:$ZZ$501,$A397,AB$3)))</f>
        <v/>
      </c>
      <c r="AC397" s="124" t="str">
        <f>IF($B397="","",IF(AC$3=0,"n.b.",INDEX(SRC_Woningetalage!$A$1:$ZZ$501,$A397,AC$3)))</f>
        <v/>
      </c>
      <c r="AD397" s="124" t="str">
        <f>IF($B397="","",IF(AD$3=0,"n.b.",INDEX(SRC_Woningetalage!$A$1:$ZZ$501,$A397,AD$3)))</f>
        <v/>
      </c>
      <c r="AE397" s="124" t="str">
        <f>IF($B397="","",IF(AE$3=0,"n.b.",INDEX(SRC_Woningetalage!$A$1:$ZZ$501,$A397,AE$3)))</f>
        <v/>
      </c>
      <c r="AF397" s="124" t="str">
        <f>IF($B397="","",IF(AF$3=0,"n.b.",INDEX(SRC_Woningetalage!$A$1:$ZZ$501,$A397,AF$3)))</f>
        <v/>
      </c>
      <c r="AG397" s="124" t="str">
        <f>IF($B397="","",IF(AG$3=0,"n.b.",INDEX(SRC_Woningetalage!$A$1:$ZZ$501,$A397,AG$3)))</f>
        <v/>
      </c>
      <c r="AH397" s="124" t="str">
        <f>IF($B397="","",IF(AH$3=0,"n.b.",INDEX(SRC_Woningetalage!$A$1:$ZZ$501,$A397,AH$3)))</f>
        <v/>
      </c>
      <c r="AI397" s="124" t="str">
        <f>IF($B397="","",IF(AI$3=0,"n.b.",INDEX(SRC_Woningetalage!$A$1:$ZZ$501,$A397,AI$3)))</f>
        <v/>
      </c>
      <c r="AJ397" s="124" t="str">
        <f>IF($B397="","",IF(AJ$3=0,"n.b.",INDEX(SRC_Woningetalage!$A$1:$ZZ$501,$A397,AJ$3)))</f>
        <v/>
      </c>
      <c r="AK397" s="124" t="str">
        <f>IF($B397="","",IF(AK$3=0,"n.b.",INDEX(SRC_Woningetalage!$A$1:$ZZ$501,$A397,AK$3)))</f>
        <v/>
      </c>
      <c r="AL397" s="124" t="str">
        <f>IF($B397="","",IF(AL$3=0,"n.b.",INDEX(SRC_Woningetalage!$A$1:$ZZ$501,$A397,AL$3)))</f>
        <v/>
      </c>
      <c r="AM397" s="124" t="str">
        <f>IF($B397="","",IF(AM$3=0,"n.b.",INDEX(SRC_Woningetalage!$A$1:$ZZ$501,$A397,AM$3)))</f>
        <v/>
      </c>
      <c r="AN397" s="124" t="str">
        <f>IF($B397="","",IF(AN$3=0,"n.b.",INDEX(SRC_Woningetalage!$A$1:$ZZ$501,$A397,AN$3)))</f>
        <v/>
      </c>
      <c r="AO397" s="124" t="str">
        <f>IF($B397="","",IF(AO$3=0,"n.b.",INDEX(SRC_Woningetalage!$A$1:$ZZ$501,$A397,AO$3)))</f>
        <v/>
      </c>
      <c r="AP397" s="124" t="str">
        <f>IF($B397="","",IF(AP$3=0,"n.b.",INDEX(SRC_Woningetalage!$A$1:$ZZ$501,$A397,AP$3)))</f>
        <v/>
      </c>
      <c r="AQ397" s="124" t="str">
        <f>IF($B397="","",IF(AQ$3=0,"n.b.",INDEX(SRC_Woningetalage!$A$1:$ZZ$501,$A397,AQ$3)))</f>
        <v/>
      </c>
      <c r="AR397" s="124" t="str">
        <f>IF($B397="","",IF(AR$3=0,"n.b.",INDEX(SRC_Woningetalage!$A$1:$ZZ$501,$A397,AR$3)))</f>
        <v/>
      </c>
      <c r="AS397" s="124" t="str">
        <f>IF($B397="","",IF(AS$3=0,"n.b.",INDEX(SRC_Woningetalage!$A$1:$ZZ$501,$A397,AS$3)))</f>
        <v/>
      </c>
      <c r="AT397" s="124" t="str">
        <f>IF($B397="","",IF(AT$3=0,"n.b.",INDEX(SRC_Woningetalage!$A$1:$ZZ$501,$A397,AT$3)))</f>
        <v/>
      </c>
      <c r="AU397" s="124" t="str">
        <f>IF($B397="","",IF(AU$3=0,"n.b.",INDEX(SRC_Woningetalage!$A$1:$ZZ$501,$A397,AU$3)))</f>
        <v/>
      </c>
      <c r="AV397" s="124" t="str">
        <f>IF($B397="","",IF(AV$3=0,"n.b.",INDEX(SRC_Woningetalage!$A$1:$ZZ$501,$A397,AV$3)))</f>
        <v/>
      </c>
      <c r="AW397" s="124" t="str">
        <f>IF($B397="","",IF(AW$3=0,"n.b.",INDEX(SRC_Woningetalage!$A$1:$ZZ$501,$A397,AW$3)))</f>
        <v/>
      </c>
      <c r="AX397" s="124" t="str">
        <f>IF($B397="","",IF(AX$3=0,"n.b.",INDEX(SRC_Woningetalage!$A$1:$ZZ$501,$A397,AX$3)))</f>
        <v/>
      </c>
      <c r="AY397" s="124" t="str">
        <f>IF($B397="","",IF(AY$3=0,"n.b.",INDEX(SRC_Woningetalage!$A$1:$ZZ$501,$A397,AY$3)))</f>
        <v/>
      </c>
      <c r="AZ397" s="124" t="str">
        <f>IF($B397="","",IF(AZ$3=0,"n.b.",INDEX(SRC_Woningetalage!$A$1:$ZZ$501,$A397,AZ$3)))</f>
        <v/>
      </c>
      <c r="BA397" s="124" t="str">
        <f>IF($B397="","",IF(BA$3=0,"n.b.",INDEX(SRC_Woningetalage!$A$1:$ZZ$501,$A397,BA$3)))</f>
        <v/>
      </c>
      <c r="BB397" s="124" t="str">
        <f>IF($B397="","",IF(BB$3=0,"n.b.",INDEX(SRC_Woningetalage!$A$1:$ZZ$501,$A397,BB$3)))</f>
        <v/>
      </c>
      <c r="BC397" s="124" t="str">
        <f>IF($B397="","",IFERROR(_xlfn.NUMBERVALUE(E397&amp;"",",","."),"n.b."))</f>
        <v/>
      </c>
      <c r="BD397" s="124" t="str">
        <f>IF($B397="","",IFERROR(_xlfn.NUMBERVALUE(M397&amp;"",",","."),"n.b."))</f>
        <v/>
      </c>
      <c r="BE397" s="124" t="str">
        <f>IF($B397="","",IFERROR(AB397+AC397+AD397,"n.b."))</f>
        <v/>
      </c>
      <c r="BF397" s="124" t="str">
        <f>IF($B397="","",IFERROR(AE397+AF397+AG397,"n.b."))</f>
        <v/>
      </c>
      <c r="BG397" s="124" t="str">
        <f>IF($B397="","",IFERROR(AH397+AI397+AJ397,"n.b."))</f>
        <v/>
      </c>
      <c r="BH397" s="124" t="str">
        <f>IF($B397="","",IFERROR(AK397+AL397+AM397,"n.b."))</f>
        <v/>
      </c>
      <c r="BI397" s="124" t="str">
        <f>IF($B397="","",IFERROR(SUMIF($AB$5:$AM$5,"&lt;="&amp;P_PeilMaand,AB397:AM397),"n.b."))</f>
        <v/>
      </c>
      <c r="BJ397" s="124" t="str">
        <f>IF($B397="","",IFERROR(SUM(AB397:AM397)-BI397,"n.b."))</f>
        <v/>
      </c>
      <c r="BK397" s="124" t="str">
        <f>IF($B397="","",IFERROR(IF(ABS(Q397-(T397+SUM(AB397:AM397)+AS397+AU397))&gt;P_Tol,1,0),1))</f>
        <v/>
      </c>
      <c r="BL397" s="124" t="str">
        <f>IF($B397="","",IFERROR(IF(ABS(AA397-(Q397-Z397))&gt;P_Tol,1,0),1))</f>
        <v/>
      </c>
      <c r="BM397" s="124" t="str">
        <f>IF($B397="","",IFERROR(IF(ABS(Z397-(T397+W397))&gt;P_Tol,1,0),1))</f>
        <v/>
      </c>
      <c r="BN397" s="124" t="str">
        <f>IF($B397="","",IFERROR(IF(ABS(W397-BI397)&gt;P_Tol,1,0),1))</f>
        <v/>
      </c>
      <c r="BO397" s="124" t="str">
        <f>IF($B397="","",IFERROR(IF(OR(ABS(R397+S397-T397)&gt;P_Tol,ABS(U397+V397-W397)&gt;P_Tol,ABS(X397+Y397-Z397)&gt;P_Tol),1,0),1))</f>
        <v/>
      </c>
      <c r="BP397" s="124" t="str">
        <f>IF($B397="","",IFERROR(IF(OR(ABS(AR397-SUM(AB397:AM397))&gt;P_Tol,ABS(AS397-(AN397+AO397+AP397+AQ397))&gt;P_Tol),1,0),1))</f>
        <v/>
      </c>
      <c r="BQ397" s="124" t="str">
        <f>IF($B397="","",IFERROR(IF(ABS(AT397)+ABS(AV397)+ABS(AW397)+ABS(AX397)+ABS(AY397)+ABS(AZ397)+ABS(BA397)+ABS(BB397)&gt;0,1,0),1))</f>
        <v/>
      </c>
      <c r="BR397" s="124" t="str">
        <f>IF($B397="","",COUNTIF(STG_ZPMW03!$B$6:$B$505,B397))</f>
        <v/>
      </c>
      <c r="BS397" s="124" t="str">
        <f>IF($B397="","",COUNTIF($B$6:$B$505,B397))</f>
        <v/>
      </c>
      <c r="BT397" s="124" t="str">
        <f>IF($B397="","",IF(BR397=0,0,IF(INDEX(STG_ZPMW03!$I$6:$I$505,MATCH(B397,STG_ZPMW03!$B$6:$B$505,0))=J397&amp;"",0,1)))</f>
        <v/>
      </c>
      <c r="BU397" s="124" t="str">
        <f>IF($B397="","",IFERROR(IF(ABS(INDEX(Mapping!$D$5:$D$104,MATCH(B397,Mapping!$A$5:$A$104,0))-Q397)&gt;P_Tol,1,0),0))</f>
        <v/>
      </c>
      <c r="BV397" s="124" t="str">
        <f>IF($B397="","",IFERROR(IF(AND(INDEX(Mapping!$G$5:$G$104,MATCH(B397,Mapping!$A$5:$A$104,0))="Nee",ABS(Q397)+ABS(Z397)+ABS(AR397)&gt;0),1,0),0))</f>
        <v/>
      </c>
      <c r="BW397" s="124" t="str">
        <f>IF($B397="","",IF(COUNTIF(Mapping!$A$5:$A$104,B397)&gt;0,1,0))</f>
        <v/>
      </c>
      <c r="BX397" s="124" t="str">
        <f>IF($B397="","",IF(BR397=0,COUNTIF($BR$6:BR397,0),""))</f>
        <v/>
      </c>
    </row>
    <row r="398">
      <c r="A398" s="15" t="n">
        <v>394</v>
      </c>
      <c r="B398" t="str">
        <f>IF(B$3=0,"",IF(INDEX(SRC_Woningetalage!$A$1:$ZZ$501,$A398,B$3)&amp;""="","",INDEX(SRC_Woningetalage!$A$1:$ZZ$501,$A398,B$3)&amp;""))</f>
        <v/>
      </c>
      <c r="C398" t="str">
        <f>IF($B398="","",IF(C$3=0,"n.b.",INDEX(SRC_Woningetalage!$A$1:$ZZ$501,$A398,C$3)))</f>
        <v/>
      </c>
      <c r="D398" t="str">
        <f>IF($B398="","",IF(D$3=0,"n.b.",INDEX(SRC_Woningetalage!$A$1:$ZZ$501,$A398,D$3)))</f>
        <v/>
      </c>
      <c r="E398" t="str">
        <f>IF($B398="","",IF(E$3=0,"n.b.",INDEX(SRC_Woningetalage!$A$1:$ZZ$501,$A398,E$3)))</f>
        <v/>
      </c>
      <c r="F398" t="str">
        <f>IF($B398="","",IF(F$3=0,"n.b.",INDEX(SRC_Woningetalage!$A$1:$ZZ$501,$A398,F$3)))</f>
        <v/>
      </c>
      <c r="G398" t="str">
        <f>IF($B398="","",IF(G$3=0,"n.b.",INDEX(SRC_Woningetalage!$A$1:$ZZ$501,$A398,G$3)))</f>
        <v/>
      </c>
      <c r="H398" t="str">
        <f>IF($B398="","",IF(H$3=0,"n.b.",INDEX(SRC_Woningetalage!$A$1:$ZZ$501,$A398,H$3)))</f>
        <v/>
      </c>
      <c r="I398" t="str">
        <f>IF($B398="","",IF(I$3=0,"n.b.",INDEX(SRC_Woningetalage!$A$1:$ZZ$501,$A398,I$3)))</f>
        <v/>
      </c>
      <c r="J398" t="str">
        <f>IF($B398="","",IF(J$3=0,"n.b.",INDEX(SRC_Woningetalage!$A$1:$ZZ$501,$A398,J$3)))</f>
        <v/>
      </c>
      <c r="K398" t="str">
        <f>IF($B398="","",IF(K$3=0,"n.b.",INDEX(SRC_Woningetalage!$A$1:$ZZ$501,$A398,K$3)))</f>
        <v/>
      </c>
      <c r="L398" t="str">
        <f>IF($B398="","",IF(L$3=0,"n.b.",INDEX(SRC_Woningetalage!$A$1:$ZZ$501,$A398,L$3)))</f>
        <v/>
      </c>
      <c r="M398" t="str">
        <f>IF($B398="","",IF(M$3=0,"n.b.",INDEX(SRC_Woningetalage!$A$1:$ZZ$501,$A398,M$3)))</f>
        <v/>
      </c>
      <c r="N398" t="str">
        <f>IF($B398="","",IF(N$3=0,"n.b.",INDEX(SRC_Woningetalage!$A$1:$ZZ$501,$A398,N$3)))</f>
        <v/>
      </c>
      <c r="O398" t="str">
        <f>IF($B398="","",IF(O$3=0,"n.b.",INDEX(SRC_Woningetalage!$A$1:$ZZ$501,$A398,O$3)))</f>
        <v/>
      </c>
      <c r="P398" t="str">
        <f>IF($B398="","",IF(P$3=0,"n.b.",INDEX(SRC_Woningetalage!$A$1:$ZZ$501,$A398,P$3)))</f>
        <v/>
      </c>
      <c r="Q398" s="124" t="str">
        <f>IF($B398="","",IF(Q$3=0,"n.b.",INDEX(SRC_Woningetalage!$A$1:$ZZ$501,$A398,Q$3)))</f>
        <v/>
      </c>
      <c r="R398" s="124" t="str">
        <f>IF($B398="","",IF(R$3=0,"n.b.",INDEX(SRC_Woningetalage!$A$1:$ZZ$501,$A398,R$3)))</f>
        <v/>
      </c>
      <c r="S398" s="124" t="str">
        <f>IF($B398="","",IF(S$3=0,"n.b.",INDEX(SRC_Woningetalage!$A$1:$ZZ$501,$A398,S$3)))</f>
        <v/>
      </c>
      <c r="T398" s="124" t="str">
        <f>IF($B398="","",IF(T$3=0,"n.b.",INDEX(SRC_Woningetalage!$A$1:$ZZ$501,$A398,T$3)))</f>
        <v/>
      </c>
      <c r="U398" s="124" t="str">
        <f>IF($B398="","",IF(U$3=0,"n.b.",INDEX(SRC_Woningetalage!$A$1:$ZZ$501,$A398,U$3)))</f>
        <v/>
      </c>
      <c r="V398" s="124" t="str">
        <f>IF($B398="","",IF(V$3=0,"n.b.",INDEX(SRC_Woningetalage!$A$1:$ZZ$501,$A398,V$3)))</f>
        <v/>
      </c>
      <c r="W398" s="124" t="str">
        <f>IF($B398="","",IF(W$3=0,"n.b.",INDEX(SRC_Woningetalage!$A$1:$ZZ$501,$A398,W$3)))</f>
        <v/>
      </c>
      <c r="X398" s="124" t="str">
        <f>IF($B398="","",IF(X$3=0,"n.b.",INDEX(SRC_Woningetalage!$A$1:$ZZ$501,$A398,X$3)))</f>
        <v/>
      </c>
      <c r="Y398" s="124" t="str">
        <f>IF($B398="","",IF(Y$3=0,"n.b.",INDEX(SRC_Woningetalage!$A$1:$ZZ$501,$A398,Y$3)))</f>
        <v/>
      </c>
      <c r="Z398" s="124" t="str">
        <f>IF($B398="","",IF(Z$3=0,"n.b.",INDEX(SRC_Woningetalage!$A$1:$ZZ$501,$A398,Z$3)))</f>
        <v/>
      </c>
      <c r="AA398" s="124" t="str">
        <f>IF($B398="","",IF(AA$3=0,"n.b.",INDEX(SRC_Woningetalage!$A$1:$ZZ$501,$A398,AA$3)))</f>
        <v/>
      </c>
      <c r="AB398" s="124" t="str">
        <f>IF($B398="","",IF(AB$3=0,"n.b.",INDEX(SRC_Woningetalage!$A$1:$ZZ$501,$A398,AB$3)))</f>
        <v/>
      </c>
      <c r="AC398" s="124" t="str">
        <f>IF($B398="","",IF(AC$3=0,"n.b.",INDEX(SRC_Woningetalage!$A$1:$ZZ$501,$A398,AC$3)))</f>
        <v/>
      </c>
      <c r="AD398" s="124" t="str">
        <f>IF($B398="","",IF(AD$3=0,"n.b.",INDEX(SRC_Woningetalage!$A$1:$ZZ$501,$A398,AD$3)))</f>
        <v/>
      </c>
      <c r="AE398" s="124" t="str">
        <f>IF($B398="","",IF(AE$3=0,"n.b.",INDEX(SRC_Woningetalage!$A$1:$ZZ$501,$A398,AE$3)))</f>
        <v/>
      </c>
      <c r="AF398" s="124" t="str">
        <f>IF($B398="","",IF(AF$3=0,"n.b.",INDEX(SRC_Woningetalage!$A$1:$ZZ$501,$A398,AF$3)))</f>
        <v/>
      </c>
      <c r="AG398" s="124" t="str">
        <f>IF($B398="","",IF(AG$3=0,"n.b.",INDEX(SRC_Woningetalage!$A$1:$ZZ$501,$A398,AG$3)))</f>
        <v/>
      </c>
      <c r="AH398" s="124" t="str">
        <f>IF($B398="","",IF(AH$3=0,"n.b.",INDEX(SRC_Woningetalage!$A$1:$ZZ$501,$A398,AH$3)))</f>
        <v/>
      </c>
      <c r="AI398" s="124" t="str">
        <f>IF($B398="","",IF(AI$3=0,"n.b.",INDEX(SRC_Woningetalage!$A$1:$ZZ$501,$A398,AI$3)))</f>
        <v/>
      </c>
      <c r="AJ398" s="124" t="str">
        <f>IF($B398="","",IF(AJ$3=0,"n.b.",INDEX(SRC_Woningetalage!$A$1:$ZZ$501,$A398,AJ$3)))</f>
        <v/>
      </c>
      <c r="AK398" s="124" t="str">
        <f>IF($B398="","",IF(AK$3=0,"n.b.",INDEX(SRC_Woningetalage!$A$1:$ZZ$501,$A398,AK$3)))</f>
        <v/>
      </c>
      <c r="AL398" s="124" t="str">
        <f>IF($B398="","",IF(AL$3=0,"n.b.",INDEX(SRC_Woningetalage!$A$1:$ZZ$501,$A398,AL$3)))</f>
        <v/>
      </c>
      <c r="AM398" s="124" t="str">
        <f>IF($B398="","",IF(AM$3=0,"n.b.",INDEX(SRC_Woningetalage!$A$1:$ZZ$501,$A398,AM$3)))</f>
        <v/>
      </c>
      <c r="AN398" s="124" t="str">
        <f>IF($B398="","",IF(AN$3=0,"n.b.",INDEX(SRC_Woningetalage!$A$1:$ZZ$501,$A398,AN$3)))</f>
        <v/>
      </c>
      <c r="AO398" s="124" t="str">
        <f>IF($B398="","",IF(AO$3=0,"n.b.",INDEX(SRC_Woningetalage!$A$1:$ZZ$501,$A398,AO$3)))</f>
        <v/>
      </c>
      <c r="AP398" s="124" t="str">
        <f>IF($B398="","",IF(AP$3=0,"n.b.",INDEX(SRC_Woningetalage!$A$1:$ZZ$501,$A398,AP$3)))</f>
        <v/>
      </c>
      <c r="AQ398" s="124" t="str">
        <f>IF($B398="","",IF(AQ$3=0,"n.b.",INDEX(SRC_Woningetalage!$A$1:$ZZ$501,$A398,AQ$3)))</f>
        <v/>
      </c>
      <c r="AR398" s="124" t="str">
        <f>IF($B398="","",IF(AR$3=0,"n.b.",INDEX(SRC_Woningetalage!$A$1:$ZZ$501,$A398,AR$3)))</f>
        <v/>
      </c>
      <c r="AS398" s="124" t="str">
        <f>IF($B398="","",IF(AS$3=0,"n.b.",INDEX(SRC_Woningetalage!$A$1:$ZZ$501,$A398,AS$3)))</f>
        <v/>
      </c>
      <c r="AT398" s="124" t="str">
        <f>IF($B398="","",IF(AT$3=0,"n.b.",INDEX(SRC_Woningetalage!$A$1:$ZZ$501,$A398,AT$3)))</f>
        <v/>
      </c>
      <c r="AU398" s="124" t="str">
        <f>IF($B398="","",IF(AU$3=0,"n.b.",INDEX(SRC_Woningetalage!$A$1:$ZZ$501,$A398,AU$3)))</f>
        <v/>
      </c>
      <c r="AV398" s="124" t="str">
        <f>IF($B398="","",IF(AV$3=0,"n.b.",INDEX(SRC_Woningetalage!$A$1:$ZZ$501,$A398,AV$3)))</f>
        <v/>
      </c>
      <c r="AW398" s="124" t="str">
        <f>IF($B398="","",IF(AW$3=0,"n.b.",INDEX(SRC_Woningetalage!$A$1:$ZZ$501,$A398,AW$3)))</f>
        <v/>
      </c>
      <c r="AX398" s="124" t="str">
        <f>IF($B398="","",IF(AX$3=0,"n.b.",INDEX(SRC_Woningetalage!$A$1:$ZZ$501,$A398,AX$3)))</f>
        <v/>
      </c>
      <c r="AY398" s="124" t="str">
        <f>IF($B398="","",IF(AY$3=0,"n.b.",INDEX(SRC_Woningetalage!$A$1:$ZZ$501,$A398,AY$3)))</f>
        <v/>
      </c>
      <c r="AZ398" s="124" t="str">
        <f>IF($B398="","",IF(AZ$3=0,"n.b.",INDEX(SRC_Woningetalage!$A$1:$ZZ$501,$A398,AZ$3)))</f>
        <v/>
      </c>
      <c r="BA398" s="124" t="str">
        <f>IF($B398="","",IF(BA$3=0,"n.b.",INDEX(SRC_Woningetalage!$A$1:$ZZ$501,$A398,BA$3)))</f>
        <v/>
      </c>
      <c r="BB398" s="124" t="str">
        <f>IF($B398="","",IF(BB$3=0,"n.b.",INDEX(SRC_Woningetalage!$A$1:$ZZ$501,$A398,BB$3)))</f>
        <v/>
      </c>
      <c r="BC398" s="124" t="str">
        <f>IF($B398="","",IFERROR(_xlfn.NUMBERVALUE(E398&amp;"",",","."),"n.b."))</f>
        <v/>
      </c>
      <c r="BD398" s="124" t="str">
        <f>IF($B398="","",IFERROR(_xlfn.NUMBERVALUE(M398&amp;"",",","."),"n.b."))</f>
        <v/>
      </c>
      <c r="BE398" s="124" t="str">
        <f>IF($B398="","",IFERROR(AB398+AC398+AD398,"n.b."))</f>
        <v/>
      </c>
      <c r="BF398" s="124" t="str">
        <f>IF($B398="","",IFERROR(AE398+AF398+AG398,"n.b."))</f>
        <v/>
      </c>
      <c r="BG398" s="124" t="str">
        <f>IF($B398="","",IFERROR(AH398+AI398+AJ398,"n.b."))</f>
        <v/>
      </c>
      <c r="BH398" s="124" t="str">
        <f>IF($B398="","",IFERROR(AK398+AL398+AM398,"n.b."))</f>
        <v/>
      </c>
      <c r="BI398" s="124" t="str">
        <f>IF($B398="","",IFERROR(SUMIF($AB$5:$AM$5,"&lt;="&amp;P_PeilMaand,AB398:AM398),"n.b."))</f>
        <v/>
      </c>
      <c r="BJ398" s="124" t="str">
        <f>IF($B398="","",IFERROR(SUM(AB398:AM398)-BI398,"n.b."))</f>
        <v/>
      </c>
      <c r="BK398" s="124" t="str">
        <f>IF($B398="","",IFERROR(IF(ABS(Q398-(T398+SUM(AB398:AM398)+AS398+AU398))&gt;P_Tol,1,0),1))</f>
        <v/>
      </c>
      <c r="BL398" s="124" t="str">
        <f>IF($B398="","",IFERROR(IF(ABS(AA398-(Q398-Z398))&gt;P_Tol,1,0),1))</f>
        <v/>
      </c>
      <c r="BM398" s="124" t="str">
        <f>IF($B398="","",IFERROR(IF(ABS(Z398-(T398+W398))&gt;P_Tol,1,0),1))</f>
        <v/>
      </c>
      <c r="BN398" s="124" t="str">
        <f>IF($B398="","",IFERROR(IF(ABS(W398-BI398)&gt;P_Tol,1,0),1))</f>
        <v/>
      </c>
      <c r="BO398" s="124" t="str">
        <f>IF($B398="","",IFERROR(IF(OR(ABS(R398+S398-T398)&gt;P_Tol,ABS(U398+V398-W398)&gt;P_Tol,ABS(X398+Y398-Z398)&gt;P_Tol),1,0),1))</f>
        <v/>
      </c>
      <c r="BP398" s="124" t="str">
        <f>IF($B398="","",IFERROR(IF(OR(ABS(AR398-SUM(AB398:AM398))&gt;P_Tol,ABS(AS398-(AN398+AO398+AP398+AQ398))&gt;P_Tol),1,0),1))</f>
        <v/>
      </c>
      <c r="BQ398" s="124" t="str">
        <f>IF($B398="","",IFERROR(IF(ABS(AT398)+ABS(AV398)+ABS(AW398)+ABS(AX398)+ABS(AY398)+ABS(AZ398)+ABS(BA398)+ABS(BB398)&gt;0,1,0),1))</f>
        <v/>
      </c>
      <c r="BR398" s="124" t="str">
        <f>IF($B398="","",COUNTIF(STG_ZPMW03!$B$6:$B$505,B398))</f>
        <v/>
      </c>
      <c r="BS398" s="124" t="str">
        <f>IF($B398="","",COUNTIF($B$6:$B$505,B398))</f>
        <v/>
      </c>
      <c r="BT398" s="124" t="str">
        <f>IF($B398="","",IF(BR398=0,0,IF(INDEX(STG_ZPMW03!$I$6:$I$505,MATCH(B398,STG_ZPMW03!$B$6:$B$505,0))=J398&amp;"",0,1)))</f>
        <v/>
      </c>
      <c r="BU398" s="124" t="str">
        <f>IF($B398="","",IFERROR(IF(ABS(INDEX(Mapping!$D$5:$D$104,MATCH(B398,Mapping!$A$5:$A$104,0))-Q398)&gt;P_Tol,1,0),0))</f>
        <v/>
      </c>
      <c r="BV398" s="124" t="str">
        <f>IF($B398="","",IFERROR(IF(AND(INDEX(Mapping!$G$5:$G$104,MATCH(B398,Mapping!$A$5:$A$104,0))="Nee",ABS(Q398)+ABS(Z398)+ABS(AR398)&gt;0),1,0),0))</f>
        <v/>
      </c>
      <c r="BW398" s="124" t="str">
        <f>IF($B398="","",IF(COUNTIF(Mapping!$A$5:$A$104,B398)&gt;0,1,0))</f>
        <v/>
      </c>
      <c r="BX398" s="124" t="str">
        <f>IF($B398="","",IF(BR398=0,COUNTIF($BR$6:BR398,0),""))</f>
        <v/>
      </c>
    </row>
    <row r="399">
      <c r="A399" s="15" t="n">
        <v>395</v>
      </c>
      <c r="B399" t="str">
        <f>IF(B$3=0,"",IF(INDEX(SRC_Woningetalage!$A$1:$ZZ$501,$A399,B$3)&amp;""="","",INDEX(SRC_Woningetalage!$A$1:$ZZ$501,$A399,B$3)&amp;""))</f>
        <v/>
      </c>
      <c r="C399" t="str">
        <f>IF($B399="","",IF(C$3=0,"n.b.",INDEX(SRC_Woningetalage!$A$1:$ZZ$501,$A399,C$3)))</f>
        <v/>
      </c>
      <c r="D399" t="str">
        <f>IF($B399="","",IF(D$3=0,"n.b.",INDEX(SRC_Woningetalage!$A$1:$ZZ$501,$A399,D$3)))</f>
        <v/>
      </c>
      <c r="E399" t="str">
        <f>IF($B399="","",IF(E$3=0,"n.b.",INDEX(SRC_Woningetalage!$A$1:$ZZ$501,$A399,E$3)))</f>
        <v/>
      </c>
      <c r="F399" t="str">
        <f>IF($B399="","",IF(F$3=0,"n.b.",INDEX(SRC_Woningetalage!$A$1:$ZZ$501,$A399,F$3)))</f>
        <v/>
      </c>
      <c r="G399" t="str">
        <f>IF($B399="","",IF(G$3=0,"n.b.",INDEX(SRC_Woningetalage!$A$1:$ZZ$501,$A399,G$3)))</f>
        <v/>
      </c>
      <c r="H399" t="str">
        <f>IF($B399="","",IF(H$3=0,"n.b.",INDEX(SRC_Woningetalage!$A$1:$ZZ$501,$A399,H$3)))</f>
        <v/>
      </c>
      <c r="I399" t="str">
        <f>IF($B399="","",IF(I$3=0,"n.b.",INDEX(SRC_Woningetalage!$A$1:$ZZ$501,$A399,I$3)))</f>
        <v/>
      </c>
      <c r="J399" t="str">
        <f>IF($B399="","",IF(J$3=0,"n.b.",INDEX(SRC_Woningetalage!$A$1:$ZZ$501,$A399,J$3)))</f>
        <v/>
      </c>
      <c r="K399" t="str">
        <f>IF($B399="","",IF(K$3=0,"n.b.",INDEX(SRC_Woningetalage!$A$1:$ZZ$501,$A399,K$3)))</f>
        <v/>
      </c>
      <c r="L399" t="str">
        <f>IF($B399="","",IF(L$3=0,"n.b.",INDEX(SRC_Woningetalage!$A$1:$ZZ$501,$A399,L$3)))</f>
        <v/>
      </c>
      <c r="M399" t="str">
        <f>IF($B399="","",IF(M$3=0,"n.b.",INDEX(SRC_Woningetalage!$A$1:$ZZ$501,$A399,M$3)))</f>
        <v/>
      </c>
      <c r="N399" t="str">
        <f>IF($B399="","",IF(N$3=0,"n.b.",INDEX(SRC_Woningetalage!$A$1:$ZZ$501,$A399,N$3)))</f>
        <v/>
      </c>
      <c r="O399" t="str">
        <f>IF($B399="","",IF(O$3=0,"n.b.",INDEX(SRC_Woningetalage!$A$1:$ZZ$501,$A399,O$3)))</f>
        <v/>
      </c>
      <c r="P399" t="str">
        <f>IF($B399="","",IF(P$3=0,"n.b.",INDEX(SRC_Woningetalage!$A$1:$ZZ$501,$A399,P$3)))</f>
        <v/>
      </c>
      <c r="Q399" s="124" t="str">
        <f>IF($B399="","",IF(Q$3=0,"n.b.",INDEX(SRC_Woningetalage!$A$1:$ZZ$501,$A399,Q$3)))</f>
        <v/>
      </c>
      <c r="R399" s="124" t="str">
        <f>IF($B399="","",IF(R$3=0,"n.b.",INDEX(SRC_Woningetalage!$A$1:$ZZ$501,$A399,R$3)))</f>
        <v/>
      </c>
      <c r="S399" s="124" t="str">
        <f>IF($B399="","",IF(S$3=0,"n.b.",INDEX(SRC_Woningetalage!$A$1:$ZZ$501,$A399,S$3)))</f>
        <v/>
      </c>
      <c r="T399" s="124" t="str">
        <f>IF($B399="","",IF(T$3=0,"n.b.",INDEX(SRC_Woningetalage!$A$1:$ZZ$501,$A399,T$3)))</f>
        <v/>
      </c>
      <c r="U399" s="124" t="str">
        <f>IF($B399="","",IF(U$3=0,"n.b.",INDEX(SRC_Woningetalage!$A$1:$ZZ$501,$A399,U$3)))</f>
        <v/>
      </c>
      <c r="V399" s="124" t="str">
        <f>IF($B399="","",IF(V$3=0,"n.b.",INDEX(SRC_Woningetalage!$A$1:$ZZ$501,$A399,V$3)))</f>
        <v/>
      </c>
      <c r="W399" s="124" t="str">
        <f>IF($B399="","",IF(W$3=0,"n.b.",INDEX(SRC_Woningetalage!$A$1:$ZZ$501,$A399,W$3)))</f>
        <v/>
      </c>
      <c r="X399" s="124" t="str">
        <f>IF($B399="","",IF(X$3=0,"n.b.",INDEX(SRC_Woningetalage!$A$1:$ZZ$501,$A399,X$3)))</f>
        <v/>
      </c>
      <c r="Y399" s="124" t="str">
        <f>IF($B399="","",IF(Y$3=0,"n.b.",INDEX(SRC_Woningetalage!$A$1:$ZZ$501,$A399,Y$3)))</f>
        <v/>
      </c>
      <c r="Z399" s="124" t="str">
        <f>IF($B399="","",IF(Z$3=0,"n.b.",INDEX(SRC_Woningetalage!$A$1:$ZZ$501,$A399,Z$3)))</f>
        <v/>
      </c>
      <c r="AA399" s="124" t="str">
        <f>IF($B399="","",IF(AA$3=0,"n.b.",INDEX(SRC_Woningetalage!$A$1:$ZZ$501,$A399,AA$3)))</f>
        <v/>
      </c>
      <c r="AB399" s="124" t="str">
        <f>IF($B399="","",IF(AB$3=0,"n.b.",INDEX(SRC_Woningetalage!$A$1:$ZZ$501,$A399,AB$3)))</f>
        <v/>
      </c>
      <c r="AC399" s="124" t="str">
        <f>IF($B399="","",IF(AC$3=0,"n.b.",INDEX(SRC_Woningetalage!$A$1:$ZZ$501,$A399,AC$3)))</f>
        <v/>
      </c>
      <c r="AD399" s="124" t="str">
        <f>IF($B399="","",IF(AD$3=0,"n.b.",INDEX(SRC_Woningetalage!$A$1:$ZZ$501,$A399,AD$3)))</f>
        <v/>
      </c>
      <c r="AE399" s="124" t="str">
        <f>IF($B399="","",IF(AE$3=0,"n.b.",INDEX(SRC_Woningetalage!$A$1:$ZZ$501,$A399,AE$3)))</f>
        <v/>
      </c>
      <c r="AF399" s="124" t="str">
        <f>IF($B399="","",IF(AF$3=0,"n.b.",INDEX(SRC_Woningetalage!$A$1:$ZZ$501,$A399,AF$3)))</f>
        <v/>
      </c>
      <c r="AG399" s="124" t="str">
        <f>IF($B399="","",IF(AG$3=0,"n.b.",INDEX(SRC_Woningetalage!$A$1:$ZZ$501,$A399,AG$3)))</f>
        <v/>
      </c>
      <c r="AH399" s="124" t="str">
        <f>IF($B399="","",IF(AH$3=0,"n.b.",INDEX(SRC_Woningetalage!$A$1:$ZZ$501,$A399,AH$3)))</f>
        <v/>
      </c>
      <c r="AI399" s="124" t="str">
        <f>IF($B399="","",IF(AI$3=0,"n.b.",INDEX(SRC_Woningetalage!$A$1:$ZZ$501,$A399,AI$3)))</f>
        <v/>
      </c>
      <c r="AJ399" s="124" t="str">
        <f>IF($B399="","",IF(AJ$3=0,"n.b.",INDEX(SRC_Woningetalage!$A$1:$ZZ$501,$A399,AJ$3)))</f>
        <v/>
      </c>
      <c r="AK399" s="124" t="str">
        <f>IF($B399="","",IF(AK$3=0,"n.b.",INDEX(SRC_Woningetalage!$A$1:$ZZ$501,$A399,AK$3)))</f>
        <v/>
      </c>
      <c r="AL399" s="124" t="str">
        <f>IF($B399="","",IF(AL$3=0,"n.b.",INDEX(SRC_Woningetalage!$A$1:$ZZ$501,$A399,AL$3)))</f>
        <v/>
      </c>
      <c r="AM399" s="124" t="str">
        <f>IF($B399="","",IF(AM$3=0,"n.b.",INDEX(SRC_Woningetalage!$A$1:$ZZ$501,$A399,AM$3)))</f>
        <v/>
      </c>
      <c r="AN399" s="124" t="str">
        <f>IF($B399="","",IF(AN$3=0,"n.b.",INDEX(SRC_Woningetalage!$A$1:$ZZ$501,$A399,AN$3)))</f>
        <v/>
      </c>
      <c r="AO399" s="124" t="str">
        <f>IF($B399="","",IF(AO$3=0,"n.b.",INDEX(SRC_Woningetalage!$A$1:$ZZ$501,$A399,AO$3)))</f>
        <v/>
      </c>
      <c r="AP399" s="124" t="str">
        <f>IF($B399="","",IF(AP$3=0,"n.b.",INDEX(SRC_Woningetalage!$A$1:$ZZ$501,$A399,AP$3)))</f>
        <v/>
      </c>
      <c r="AQ399" s="124" t="str">
        <f>IF($B399="","",IF(AQ$3=0,"n.b.",INDEX(SRC_Woningetalage!$A$1:$ZZ$501,$A399,AQ$3)))</f>
        <v/>
      </c>
      <c r="AR399" s="124" t="str">
        <f>IF($B399="","",IF(AR$3=0,"n.b.",INDEX(SRC_Woningetalage!$A$1:$ZZ$501,$A399,AR$3)))</f>
        <v/>
      </c>
      <c r="AS399" s="124" t="str">
        <f>IF($B399="","",IF(AS$3=0,"n.b.",INDEX(SRC_Woningetalage!$A$1:$ZZ$501,$A399,AS$3)))</f>
        <v/>
      </c>
      <c r="AT399" s="124" t="str">
        <f>IF($B399="","",IF(AT$3=0,"n.b.",INDEX(SRC_Woningetalage!$A$1:$ZZ$501,$A399,AT$3)))</f>
        <v/>
      </c>
      <c r="AU399" s="124" t="str">
        <f>IF($B399="","",IF(AU$3=0,"n.b.",INDEX(SRC_Woningetalage!$A$1:$ZZ$501,$A399,AU$3)))</f>
        <v/>
      </c>
      <c r="AV399" s="124" t="str">
        <f>IF($B399="","",IF(AV$3=0,"n.b.",INDEX(SRC_Woningetalage!$A$1:$ZZ$501,$A399,AV$3)))</f>
        <v/>
      </c>
      <c r="AW399" s="124" t="str">
        <f>IF($B399="","",IF(AW$3=0,"n.b.",INDEX(SRC_Woningetalage!$A$1:$ZZ$501,$A399,AW$3)))</f>
        <v/>
      </c>
      <c r="AX399" s="124" t="str">
        <f>IF($B399="","",IF(AX$3=0,"n.b.",INDEX(SRC_Woningetalage!$A$1:$ZZ$501,$A399,AX$3)))</f>
        <v/>
      </c>
      <c r="AY399" s="124" t="str">
        <f>IF($B399="","",IF(AY$3=0,"n.b.",INDEX(SRC_Woningetalage!$A$1:$ZZ$501,$A399,AY$3)))</f>
        <v/>
      </c>
      <c r="AZ399" s="124" t="str">
        <f>IF($B399="","",IF(AZ$3=0,"n.b.",INDEX(SRC_Woningetalage!$A$1:$ZZ$501,$A399,AZ$3)))</f>
        <v/>
      </c>
      <c r="BA399" s="124" t="str">
        <f>IF($B399="","",IF(BA$3=0,"n.b.",INDEX(SRC_Woningetalage!$A$1:$ZZ$501,$A399,BA$3)))</f>
        <v/>
      </c>
      <c r="BB399" s="124" t="str">
        <f>IF($B399="","",IF(BB$3=0,"n.b.",INDEX(SRC_Woningetalage!$A$1:$ZZ$501,$A399,BB$3)))</f>
        <v/>
      </c>
      <c r="BC399" s="124" t="str">
        <f>IF($B399="","",IFERROR(_xlfn.NUMBERVALUE(E399&amp;"",",","."),"n.b."))</f>
        <v/>
      </c>
      <c r="BD399" s="124" t="str">
        <f>IF($B399="","",IFERROR(_xlfn.NUMBERVALUE(M399&amp;"",",","."),"n.b."))</f>
        <v/>
      </c>
      <c r="BE399" s="124" t="str">
        <f>IF($B399="","",IFERROR(AB399+AC399+AD399,"n.b."))</f>
        <v/>
      </c>
      <c r="BF399" s="124" t="str">
        <f>IF($B399="","",IFERROR(AE399+AF399+AG399,"n.b."))</f>
        <v/>
      </c>
      <c r="BG399" s="124" t="str">
        <f>IF($B399="","",IFERROR(AH399+AI399+AJ399,"n.b."))</f>
        <v/>
      </c>
      <c r="BH399" s="124" t="str">
        <f>IF($B399="","",IFERROR(AK399+AL399+AM399,"n.b."))</f>
        <v/>
      </c>
      <c r="BI399" s="124" t="str">
        <f>IF($B399="","",IFERROR(SUMIF($AB$5:$AM$5,"&lt;="&amp;P_PeilMaand,AB399:AM399),"n.b."))</f>
        <v/>
      </c>
      <c r="BJ399" s="124" t="str">
        <f>IF($B399="","",IFERROR(SUM(AB399:AM399)-BI399,"n.b."))</f>
        <v/>
      </c>
      <c r="BK399" s="124" t="str">
        <f>IF($B399="","",IFERROR(IF(ABS(Q399-(T399+SUM(AB399:AM399)+AS399+AU399))&gt;P_Tol,1,0),1))</f>
        <v/>
      </c>
      <c r="BL399" s="124" t="str">
        <f>IF($B399="","",IFERROR(IF(ABS(AA399-(Q399-Z399))&gt;P_Tol,1,0),1))</f>
        <v/>
      </c>
      <c r="BM399" s="124" t="str">
        <f>IF($B399="","",IFERROR(IF(ABS(Z399-(T399+W399))&gt;P_Tol,1,0),1))</f>
        <v/>
      </c>
      <c r="BN399" s="124" t="str">
        <f>IF($B399="","",IFERROR(IF(ABS(W399-BI399)&gt;P_Tol,1,0),1))</f>
        <v/>
      </c>
      <c r="BO399" s="124" t="str">
        <f>IF($B399="","",IFERROR(IF(OR(ABS(R399+S399-T399)&gt;P_Tol,ABS(U399+V399-W399)&gt;P_Tol,ABS(X399+Y399-Z399)&gt;P_Tol),1,0),1))</f>
        <v/>
      </c>
      <c r="BP399" s="124" t="str">
        <f>IF($B399="","",IFERROR(IF(OR(ABS(AR399-SUM(AB399:AM399))&gt;P_Tol,ABS(AS399-(AN399+AO399+AP399+AQ399))&gt;P_Tol),1,0),1))</f>
        <v/>
      </c>
      <c r="BQ399" s="124" t="str">
        <f>IF($B399="","",IFERROR(IF(ABS(AT399)+ABS(AV399)+ABS(AW399)+ABS(AX399)+ABS(AY399)+ABS(AZ399)+ABS(BA399)+ABS(BB399)&gt;0,1,0),1))</f>
        <v/>
      </c>
      <c r="BR399" s="124" t="str">
        <f>IF($B399="","",COUNTIF(STG_ZPMW03!$B$6:$B$505,B399))</f>
        <v/>
      </c>
      <c r="BS399" s="124" t="str">
        <f>IF($B399="","",COUNTIF($B$6:$B$505,B399))</f>
        <v/>
      </c>
      <c r="BT399" s="124" t="str">
        <f>IF($B399="","",IF(BR399=0,0,IF(INDEX(STG_ZPMW03!$I$6:$I$505,MATCH(B399,STG_ZPMW03!$B$6:$B$505,0))=J399&amp;"",0,1)))</f>
        <v/>
      </c>
      <c r="BU399" s="124" t="str">
        <f>IF($B399="","",IFERROR(IF(ABS(INDEX(Mapping!$D$5:$D$104,MATCH(B399,Mapping!$A$5:$A$104,0))-Q399)&gt;P_Tol,1,0),0))</f>
        <v/>
      </c>
      <c r="BV399" s="124" t="str">
        <f>IF($B399="","",IFERROR(IF(AND(INDEX(Mapping!$G$5:$G$104,MATCH(B399,Mapping!$A$5:$A$104,0))="Nee",ABS(Q399)+ABS(Z399)+ABS(AR399)&gt;0),1,0),0))</f>
        <v/>
      </c>
      <c r="BW399" s="124" t="str">
        <f>IF($B399="","",IF(COUNTIF(Mapping!$A$5:$A$104,B399)&gt;0,1,0))</f>
        <v/>
      </c>
      <c r="BX399" s="124" t="str">
        <f>IF($B399="","",IF(BR399=0,COUNTIF($BR$6:BR399,0),""))</f>
        <v/>
      </c>
    </row>
    <row r="400">
      <c r="A400" s="15" t="n">
        <v>396</v>
      </c>
      <c r="B400" t="str">
        <f>IF(B$3=0,"",IF(INDEX(SRC_Woningetalage!$A$1:$ZZ$501,$A400,B$3)&amp;""="","",INDEX(SRC_Woningetalage!$A$1:$ZZ$501,$A400,B$3)&amp;""))</f>
        <v/>
      </c>
      <c r="C400" t="str">
        <f>IF($B400="","",IF(C$3=0,"n.b.",INDEX(SRC_Woningetalage!$A$1:$ZZ$501,$A400,C$3)))</f>
        <v/>
      </c>
      <c r="D400" t="str">
        <f>IF($B400="","",IF(D$3=0,"n.b.",INDEX(SRC_Woningetalage!$A$1:$ZZ$501,$A400,D$3)))</f>
        <v/>
      </c>
      <c r="E400" t="str">
        <f>IF($B400="","",IF(E$3=0,"n.b.",INDEX(SRC_Woningetalage!$A$1:$ZZ$501,$A400,E$3)))</f>
        <v/>
      </c>
      <c r="F400" t="str">
        <f>IF($B400="","",IF(F$3=0,"n.b.",INDEX(SRC_Woningetalage!$A$1:$ZZ$501,$A400,F$3)))</f>
        <v/>
      </c>
      <c r="G400" t="str">
        <f>IF($B400="","",IF(G$3=0,"n.b.",INDEX(SRC_Woningetalage!$A$1:$ZZ$501,$A400,G$3)))</f>
        <v/>
      </c>
      <c r="H400" t="str">
        <f>IF($B400="","",IF(H$3=0,"n.b.",INDEX(SRC_Woningetalage!$A$1:$ZZ$501,$A400,H$3)))</f>
        <v/>
      </c>
      <c r="I400" t="str">
        <f>IF($B400="","",IF(I$3=0,"n.b.",INDEX(SRC_Woningetalage!$A$1:$ZZ$501,$A400,I$3)))</f>
        <v/>
      </c>
      <c r="J400" t="str">
        <f>IF($B400="","",IF(J$3=0,"n.b.",INDEX(SRC_Woningetalage!$A$1:$ZZ$501,$A400,J$3)))</f>
        <v/>
      </c>
      <c r="K400" t="str">
        <f>IF($B400="","",IF(K$3=0,"n.b.",INDEX(SRC_Woningetalage!$A$1:$ZZ$501,$A400,K$3)))</f>
        <v/>
      </c>
      <c r="L400" t="str">
        <f>IF($B400="","",IF(L$3=0,"n.b.",INDEX(SRC_Woningetalage!$A$1:$ZZ$501,$A400,L$3)))</f>
        <v/>
      </c>
      <c r="M400" t="str">
        <f>IF($B400="","",IF(M$3=0,"n.b.",INDEX(SRC_Woningetalage!$A$1:$ZZ$501,$A400,M$3)))</f>
        <v/>
      </c>
      <c r="N400" t="str">
        <f>IF($B400="","",IF(N$3=0,"n.b.",INDEX(SRC_Woningetalage!$A$1:$ZZ$501,$A400,N$3)))</f>
        <v/>
      </c>
      <c r="O400" t="str">
        <f>IF($B400="","",IF(O$3=0,"n.b.",INDEX(SRC_Woningetalage!$A$1:$ZZ$501,$A400,O$3)))</f>
        <v/>
      </c>
      <c r="P400" t="str">
        <f>IF($B400="","",IF(P$3=0,"n.b.",INDEX(SRC_Woningetalage!$A$1:$ZZ$501,$A400,P$3)))</f>
        <v/>
      </c>
      <c r="Q400" s="124" t="str">
        <f>IF($B400="","",IF(Q$3=0,"n.b.",INDEX(SRC_Woningetalage!$A$1:$ZZ$501,$A400,Q$3)))</f>
        <v/>
      </c>
      <c r="R400" s="124" t="str">
        <f>IF($B400="","",IF(R$3=0,"n.b.",INDEX(SRC_Woningetalage!$A$1:$ZZ$501,$A400,R$3)))</f>
        <v/>
      </c>
      <c r="S400" s="124" t="str">
        <f>IF($B400="","",IF(S$3=0,"n.b.",INDEX(SRC_Woningetalage!$A$1:$ZZ$501,$A400,S$3)))</f>
        <v/>
      </c>
      <c r="T400" s="124" t="str">
        <f>IF($B400="","",IF(T$3=0,"n.b.",INDEX(SRC_Woningetalage!$A$1:$ZZ$501,$A400,T$3)))</f>
        <v/>
      </c>
      <c r="U400" s="124" t="str">
        <f>IF($B400="","",IF(U$3=0,"n.b.",INDEX(SRC_Woningetalage!$A$1:$ZZ$501,$A400,U$3)))</f>
        <v/>
      </c>
      <c r="V400" s="124" t="str">
        <f>IF($B400="","",IF(V$3=0,"n.b.",INDEX(SRC_Woningetalage!$A$1:$ZZ$501,$A400,V$3)))</f>
        <v/>
      </c>
      <c r="W400" s="124" t="str">
        <f>IF($B400="","",IF(W$3=0,"n.b.",INDEX(SRC_Woningetalage!$A$1:$ZZ$501,$A400,W$3)))</f>
        <v/>
      </c>
      <c r="X400" s="124" t="str">
        <f>IF($B400="","",IF(X$3=0,"n.b.",INDEX(SRC_Woningetalage!$A$1:$ZZ$501,$A400,X$3)))</f>
        <v/>
      </c>
      <c r="Y400" s="124" t="str">
        <f>IF($B400="","",IF(Y$3=0,"n.b.",INDEX(SRC_Woningetalage!$A$1:$ZZ$501,$A400,Y$3)))</f>
        <v/>
      </c>
      <c r="Z400" s="124" t="str">
        <f>IF($B400="","",IF(Z$3=0,"n.b.",INDEX(SRC_Woningetalage!$A$1:$ZZ$501,$A400,Z$3)))</f>
        <v/>
      </c>
      <c r="AA400" s="124" t="str">
        <f>IF($B400="","",IF(AA$3=0,"n.b.",INDEX(SRC_Woningetalage!$A$1:$ZZ$501,$A400,AA$3)))</f>
        <v/>
      </c>
      <c r="AB400" s="124" t="str">
        <f>IF($B400="","",IF(AB$3=0,"n.b.",INDEX(SRC_Woningetalage!$A$1:$ZZ$501,$A400,AB$3)))</f>
        <v/>
      </c>
      <c r="AC400" s="124" t="str">
        <f>IF($B400="","",IF(AC$3=0,"n.b.",INDEX(SRC_Woningetalage!$A$1:$ZZ$501,$A400,AC$3)))</f>
        <v/>
      </c>
      <c r="AD400" s="124" t="str">
        <f>IF($B400="","",IF(AD$3=0,"n.b.",INDEX(SRC_Woningetalage!$A$1:$ZZ$501,$A400,AD$3)))</f>
        <v/>
      </c>
      <c r="AE400" s="124" t="str">
        <f>IF($B400="","",IF(AE$3=0,"n.b.",INDEX(SRC_Woningetalage!$A$1:$ZZ$501,$A400,AE$3)))</f>
        <v/>
      </c>
      <c r="AF400" s="124" t="str">
        <f>IF($B400="","",IF(AF$3=0,"n.b.",INDEX(SRC_Woningetalage!$A$1:$ZZ$501,$A400,AF$3)))</f>
        <v/>
      </c>
      <c r="AG400" s="124" t="str">
        <f>IF($B400="","",IF(AG$3=0,"n.b.",INDEX(SRC_Woningetalage!$A$1:$ZZ$501,$A400,AG$3)))</f>
        <v/>
      </c>
      <c r="AH400" s="124" t="str">
        <f>IF($B400="","",IF(AH$3=0,"n.b.",INDEX(SRC_Woningetalage!$A$1:$ZZ$501,$A400,AH$3)))</f>
        <v/>
      </c>
      <c r="AI400" s="124" t="str">
        <f>IF($B400="","",IF(AI$3=0,"n.b.",INDEX(SRC_Woningetalage!$A$1:$ZZ$501,$A400,AI$3)))</f>
        <v/>
      </c>
      <c r="AJ400" s="124" t="str">
        <f>IF($B400="","",IF(AJ$3=0,"n.b.",INDEX(SRC_Woningetalage!$A$1:$ZZ$501,$A400,AJ$3)))</f>
        <v/>
      </c>
      <c r="AK400" s="124" t="str">
        <f>IF($B400="","",IF(AK$3=0,"n.b.",INDEX(SRC_Woningetalage!$A$1:$ZZ$501,$A400,AK$3)))</f>
        <v/>
      </c>
      <c r="AL400" s="124" t="str">
        <f>IF($B400="","",IF(AL$3=0,"n.b.",INDEX(SRC_Woningetalage!$A$1:$ZZ$501,$A400,AL$3)))</f>
        <v/>
      </c>
      <c r="AM400" s="124" t="str">
        <f>IF($B400="","",IF(AM$3=0,"n.b.",INDEX(SRC_Woningetalage!$A$1:$ZZ$501,$A400,AM$3)))</f>
        <v/>
      </c>
      <c r="AN400" s="124" t="str">
        <f>IF($B400="","",IF(AN$3=0,"n.b.",INDEX(SRC_Woningetalage!$A$1:$ZZ$501,$A400,AN$3)))</f>
        <v/>
      </c>
      <c r="AO400" s="124" t="str">
        <f>IF($B400="","",IF(AO$3=0,"n.b.",INDEX(SRC_Woningetalage!$A$1:$ZZ$501,$A400,AO$3)))</f>
        <v/>
      </c>
      <c r="AP400" s="124" t="str">
        <f>IF($B400="","",IF(AP$3=0,"n.b.",INDEX(SRC_Woningetalage!$A$1:$ZZ$501,$A400,AP$3)))</f>
        <v/>
      </c>
      <c r="AQ400" s="124" t="str">
        <f>IF($B400="","",IF(AQ$3=0,"n.b.",INDEX(SRC_Woningetalage!$A$1:$ZZ$501,$A400,AQ$3)))</f>
        <v/>
      </c>
      <c r="AR400" s="124" t="str">
        <f>IF($B400="","",IF(AR$3=0,"n.b.",INDEX(SRC_Woningetalage!$A$1:$ZZ$501,$A400,AR$3)))</f>
        <v/>
      </c>
      <c r="AS400" s="124" t="str">
        <f>IF($B400="","",IF(AS$3=0,"n.b.",INDEX(SRC_Woningetalage!$A$1:$ZZ$501,$A400,AS$3)))</f>
        <v/>
      </c>
      <c r="AT400" s="124" t="str">
        <f>IF($B400="","",IF(AT$3=0,"n.b.",INDEX(SRC_Woningetalage!$A$1:$ZZ$501,$A400,AT$3)))</f>
        <v/>
      </c>
      <c r="AU400" s="124" t="str">
        <f>IF($B400="","",IF(AU$3=0,"n.b.",INDEX(SRC_Woningetalage!$A$1:$ZZ$501,$A400,AU$3)))</f>
        <v/>
      </c>
      <c r="AV400" s="124" t="str">
        <f>IF($B400="","",IF(AV$3=0,"n.b.",INDEX(SRC_Woningetalage!$A$1:$ZZ$501,$A400,AV$3)))</f>
        <v/>
      </c>
      <c r="AW400" s="124" t="str">
        <f>IF($B400="","",IF(AW$3=0,"n.b.",INDEX(SRC_Woningetalage!$A$1:$ZZ$501,$A400,AW$3)))</f>
        <v/>
      </c>
      <c r="AX400" s="124" t="str">
        <f>IF($B400="","",IF(AX$3=0,"n.b.",INDEX(SRC_Woningetalage!$A$1:$ZZ$501,$A400,AX$3)))</f>
        <v/>
      </c>
      <c r="AY400" s="124" t="str">
        <f>IF($B400="","",IF(AY$3=0,"n.b.",INDEX(SRC_Woningetalage!$A$1:$ZZ$501,$A400,AY$3)))</f>
        <v/>
      </c>
      <c r="AZ400" s="124" t="str">
        <f>IF($B400="","",IF(AZ$3=0,"n.b.",INDEX(SRC_Woningetalage!$A$1:$ZZ$501,$A400,AZ$3)))</f>
        <v/>
      </c>
      <c r="BA400" s="124" t="str">
        <f>IF($B400="","",IF(BA$3=0,"n.b.",INDEX(SRC_Woningetalage!$A$1:$ZZ$501,$A400,BA$3)))</f>
        <v/>
      </c>
      <c r="BB400" s="124" t="str">
        <f>IF($B400="","",IF(BB$3=0,"n.b.",INDEX(SRC_Woningetalage!$A$1:$ZZ$501,$A400,BB$3)))</f>
        <v/>
      </c>
      <c r="BC400" s="124" t="str">
        <f>IF($B400="","",IFERROR(_xlfn.NUMBERVALUE(E400&amp;"",",","."),"n.b."))</f>
        <v/>
      </c>
      <c r="BD400" s="124" t="str">
        <f>IF($B400="","",IFERROR(_xlfn.NUMBERVALUE(M400&amp;"",",","."),"n.b."))</f>
        <v/>
      </c>
      <c r="BE400" s="124" t="str">
        <f>IF($B400="","",IFERROR(AB400+AC400+AD400,"n.b."))</f>
        <v/>
      </c>
      <c r="BF400" s="124" t="str">
        <f>IF($B400="","",IFERROR(AE400+AF400+AG400,"n.b."))</f>
        <v/>
      </c>
      <c r="BG400" s="124" t="str">
        <f>IF($B400="","",IFERROR(AH400+AI400+AJ400,"n.b."))</f>
        <v/>
      </c>
      <c r="BH400" s="124" t="str">
        <f>IF($B400="","",IFERROR(AK400+AL400+AM400,"n.b."))</f>
        <v/>
      </c>
      <c r="BI400" s="124" t="str">
        <f>IF($B400="","",IFERROR(SUMIF($AB$5:$AM$5,"&lt;="&amp;P_PeilMaand,AB400:AM400),"n.b."))</f>
        <v/>
      </c>
      <c r="BJ400" s="124" t="str">
        <f>IF($B400="","",IFERROR(SUM(AB400:AM400)-BI400,"n.b."))</f>
        <v/>
      </c>
      <c r="BK400" s="124" t="str">
        <f>IF($B400="","",IFERROR(IF(ABS(Q400-(T400+SUM(AB400:AM400)+AS400+AU400))&gt;P_Tol,1,0),1))</f>
        <v/>
      </c>
      <c r="BL400" s="124" t="str">
        <f>IF($B400="","",IFERROR(IF(ABS(AA400-(Q400-Z400))&gt;P_Tol,1,0),1))</f>
        <v/>
      </c>
      <c r="BM400" s="124" t="str">
        <f>IF($B400="","",IFERROR(IF(ABS(Z400-(T400+W400))&gt;P_Tol,1,0),1))</f>
        <v/>
      </c>
      <c r="BN400" s="124" t="str">
        <f>IF($B400="","",IFERROR(IF(ABS(W400-BI400)&gt;P_Tol,1,0),1))</f>
        <v/>
      </c>
      <c r="BO400" s="124" t="str">
        <f>IF($B400="","",IFERROR(IF(OR(ABS(R400+S400-T400)&gt;P_Tol,ABS(U400+V400-W400)&gt;P_Tol,ABS(X400+Y400-Z400)&gt;P_Tol),1,0),1))</f>
        <v/>
      </c>
      <c r="BP400" s="124" t="str">
        <f>IF($B400="","",IFERROR(IF(OR(ABS(AR400-SUM(AB400:AM400))&gt;P_Tol,ABS(AS400-(AN400+AO400+AP400+AQ400))&gt;P_Tol),1,0),1))</f>
        <v/>
      </c>
      <c r="BQ400" s="124" t="str">
        <f>IF($B400="","",IFERROR(IF(ABS(AT400)+ABS(AV400)+ABS(AW400)+ABS(AX400)+ABS(AY400)+ABS(AZ400)+ABS(BA400)+ABS(BB400)&gt;0,1,0),1))</f>
        <v/>
      </c>
      <c r="BR400" s="124" t="str">
        <f>IF($B400="","",COUNTIF(STG_ZPMW03!$B$6:$B$505,B400))</f>
        <v/>
      </c>
      <c r="BS400" s="124" t="str">
        <f>IF($B400="","",COUNTIF($B$6:$B$505,B400))</f>
        <v/>
      </c>
      <c r="BT400" s="124" t="str">
        <f>IF($B400="","",IF(BR400=0,0,IF(INDEX(STG_ZPMW03!$I$6:$I$505,MATCH(B400,STG_ZPMW03!$B$6:$B$505,0))=J400&amp;"",0,1)))</f>
        <v/>
      </c>
      <c r="BU400" s="124" t="str">
        <f>IF($B400="","",IFERROR(IF(ABS(INDEX(Mapping!$D$5:$D$104,MATCH(B400,Mapping!$A$5:$A$104,0))-Q400)&gt;P_Tol,1,0),0))</f>
        <v/>
      </c>
      <c r="BV400" s="124" t="str">
        <f>IF($B400="","",IFERROR(IF(AND(INDEX(Mapping!$G$5:$G$104,MATCH(B400,Mapping!$A$5:$A$104,0))="Nee",ABS(Q400)+ABS(Z400)+ABS(AR400)&gt;0),1,0),0))</f>
        <v/>
      </c>
      <c r="BW400" s="124" t="str">
        <f>IF($B400="","",IF(COUNTIF(Mapping!$A$5:$A$104,B400)&gt;0,1,0))</f>
        <v/>
      </c>
      <c r="BX400" s="124" t="str">
        <f>IF($B400="","",IF(BR400=0,COUNTIF($BR$6:BR400,0),""))</f>
        <v/>
      </c>
    </row>
    <row r="401">
      <c r="A401" s="15" t="n">
        <v>397</v>
      </c>
      <c r="B401" t="str">
        <f>IF(B$3=0,"",IF(INDEX(SRC_Woningetalage!$A$1:$ZZ$501,$A401,B$3)&amp;""="","",INDEX(SRC_Woningetalage!$A$1:$ZZ$501,$A401,B$3)&amp;""))</f>
        <v/>
      </c>
      <c r="C401" t="str">
        <f>IF($B401="","",IF(C$3=0,"n.b.",INDEX(SRC_Woningetalage!$A$1:$ZZ$501,$A401,C$3)))</f>
        <v/>
      </c>
      <c r="D401" t="str">
        <f>IF($B401="","",IF(D$3=0,"n.b.",INDEX(SRC_Woningetalage!$A$1:$ZZ$501,$A401,D$3)))</f>
        <v/>
      </c>
      <c r="E401" t="str">
        <f>IF($B401="","",IF(E$3=0,"n.b.",INDEX(SRC_Woningetalage!$A$1:$ZZ$501,$A401,E$3)))</f>
        <v/>
      </c>
      <c r="F401" t="str">
        <f>IF($B401="","",IF(F$3=0,"n.b.",INDEX(SRC_Woningetalage!$A$1:$ZZ$501,$A401,F$3)))</f>
        <v/>
      </c>
      <c r="G401" t="str">
        <f>IF($B401="","",IF(G$3=0,"n.b.",INDEX(SRC_Woningetalage!$A$1:$ZZ$501,$A401,G$3)))</f>
        <v/>
      </c>
      <c r="H401" t="str">
        <f>IF($B401="","",IF(H$3=0,"n.b.",INDEX(SRC_Woningetalage!$A$1:$ZZ$501,$A401,H$3)))</f>
        <v/>
      </c>
      <c r="I401" t="str">
        <f>IF($B401="","",IF(I$3=0,"n.b.",INDEX(SRC_Woningetalage!$A$1:$ZZ$501,$A401,I$3)))</f>
        <v/>
      </c>
      <c r="J401" t="str">
        <f>IF($B401="","",IF(J$3=0,"n.b.",INDEX(SRC_Woningetalage!$A$1:$ZZ$501,$A401,J$3)))</f>
        <v/>
      </c>
      <c r="K401" t="str">
        <f>IF($B401="","",IF(K$3=0,"n.b.",INDEX(SRC_Woningetalage!$A$1:$ZZ$501,$A401,K$3)))</f>
        <v/>
      </c>
      <c r="L401" t="str">
        <f>IF($B401="","",IF(L$3=0,"n.b.",INDEX(SRC_Woningetalage!$A$1:$ZZ$501,$A401,L$3)))</f>
        <v/>
      </c>
      <c r="M401" t="str">
        <f>IF($B401="","",IF(M$3=0,"n.b.",INDEX(SRC_Woningetalage!$A$1:$ZZ$501,$A401,M$3)))</f>
        <v/>
      </c>
      <c r="N401" t="str">
        <f>IF($B401="","",IF(N$3=0,"n.b.",INDEX(SRC_Woningetalage!$A$1:$ZZ$501,$A401,N$3)))</f>
        <v/>
      </c>
      <c r="O401" t="str">
        <f>IF($B401="","",IF(O$3=0,"n.b.",INDEX(SRC_Woningetalage!$A$1:$ZZ$501,$A401,O$3)))</f>
        <v/>
      </c>
      <c r="P401" t="str">
        <f>IF($B401="","",IF(P$3=0,"n.b.",INDEX(SRC_Woningetalage!$A$1:$ZZ$501,$A401,P$3)))</f>
        <v/>
      </c>
      <c r="Q401" s="124" t="str">
        <f>IF($B401="","",IF(Q$3=0,"n.b.",INDEX(SRC_Woningetalage!$A$1:$ZZ$501,$A401,Q$3)))</f>
        <v/>
      </c>
      <c r="R401" s="124" t="str">
        <f>IF($B401="","",IF(R$3=0,"n.b.",INDEX(SRC_Woningetalage!$A$1:$ZZ$501,$A401,R$3)))</f>
        <v/>
      </c>
      <c r="S401" s="124" t="str">
        <f>IF($B401="","",IF(S$3=0,"n.b.",INDEX(SRC_Woningetalage!$A$1:$ZZ$501,$A401,S$3)))</f>
        <v/>
      </c>
      <c r="T401" s="124" t="str">
        <f>IF($B401="","",IF(T$3=0,"n.b.",INDEX(SRC_Woningetalage!$A$1:$ZZ$501,$A401,T$3)))</f>
        <v/>
      </c>
      <c r="U401" s="124" t="str">
        <f>IF($B401="","",IF(U$3=0,"n.b.",INDEX(SRC_Woningetalage!$A$1:$ZZ$501,$A401,U$3)))</f>
        <v/>
      </c>
      <c r="V401" s="124" t="str">
        <f>IF($B401="","",IF(V$3=0,"n.b.",INDEX(SRC_Woningetalage!$A$1:$ZZ$501,$A401,V$3)))</f>
        <v/>
      </c>
      <c r="W401" s="124" t="str">
        <f>IF($B401="","",IF(W$3=0,"n.b.",INDEX(SRC_Woningetalage!$A$1:$ZZ$501,$A401,W$3)))</f>
        <v/>
      </c>
      <c r="X401" s="124" t="str">
        <f>IF($B401="","",IF(X$3=0,"n.b.",INDEX(SRC_Woningetalage!$A$1:$ZZ$501,$A401,X$3)))</f>
        <v/>
      </c>
      <c r="Y401" s="124" t="str">
        <f>IF($B401="","",IF(Y$3=0,"n.b.",INDEX(SRC_Woningetalage!$A$1:$ZZ$501,$A401,Y$3)))</f>
        <v/>
      </c>
      <c r="Z401" s="124" t="str">
        <f>IF($B401="","",IF(Z$3=0,"n.b.",INDEX(SRC_Woningetalage!$A$1:$ZZ$501,$A401,Z$3)))</f>
        <v/>
      </c>
      <c r="AA401" s="124" t="str">
        <f>IF($B401="","",IF(AA$3=0,"n.b.",INDEX(SRC_Woningetalage!$A$1:$ZZ$501,$A401,AA$3)))</f>
        <v/>
      </c>
      <c r="AB401" s="124" t="str">
        <f>IF($B401="","",IF(AB$3=0,"n.b.",INDEX(SRC_Woningetalage!$A$1:$ZZ$501,$A401,AB$3)))</f>
        <v/>
      </c>
      <c r="AC401" s="124" t="str">
        <f>IF($B401="","",IF(AC$3=0,"n.b.",INDEX(SRC_Woningetalage!$A$1:$ZZ$501,$A401,AC$3)))</f>
        <v/>
      </c>
      <c r="AD401" s="124" t="str">
        <f>IF($B401="","",IF(AD$3=0,"n.b.",INDEX(SRC_Woningetalage!$A$1:$ZZ$501,$A401,AD$3)))</f>
        <v/>
      </c>
      <c r="AE401" s="124" t="str">
        <f>IF($B401="","",IF(AE$3=0,"n.b.",INDEX(SRC_Woningetalage!$A$1:$ZZ$501,$A401,AE$3)))</f>
        <v/>
      </c>
      <c r="AF401" s="124" t="str">
        <f>IF($B401="","",IF(AF$3=0,"n.b.",INDEX(SRC_Woningetalage!$A$1:$ZZ$501,$A401,AF$3)))</f>
        <v/>
      </c>
      <c r="AG401" s="124" t="str">
        <f>IF($B401="","",IF(AG$3=0,"n.b.",INDEX(SRC_Woningetalage!$A$1:$ZZ$501,$A401,AG$3)))</f>
        <v/>
      </c>
      <c r="AH401" s="124" t="str">
        <f>IF($B401="","",IF(AH$3=0,"n.b.",INDEX(SRC_Woningetalage!$A$1:$ZZ$501,$A401,AH$3)))</f>
        <v/>
      </c>
      <c r="AI401" s="124" t="str">
        <f>IF($B401="","",IF(AI$3=0,"n.b.",INDEX(SRC_Woningetalage!$A$1:$ZZ$501,$A401,AI$3)))</f>
        <v/>
      </c>
      <c r="AJ401" s="124" t="str">
        <f>IF($B401="","",IF(AJ$3=0,"n.b.",INDEX(SRC_Woningetalage!$A$1:$ZZ$501,$A401,AJ$3)))</f>
        <v/>
      </c>
      <c r="AK401" s="124" t="str">
        <f>IF($B401="","",IF(AK$3=0,"n.b.",INDEX(SRC_Woningetalage!$A$1:$ZZ$501,$A401,AK$3)))</f>
        <v/>
      </c>
      <c r="AL401" s="124" t="str">
        <f>IF($B401="","",IF(AL$3=0,"n.b.",INDEX(SRC_Woningetalage!$A$1:$ZZ$501,$A401,AL$3)))</f>
        <v/>
      </c>
      <c r="AM401" s="124" t="str">
        <f>IF($B401="","",IF(AM$3=0,"n.b.",INDEX(SRC_Woningetalage!$A$1:$ZZ$501,$A401,AM$3)))</f>
        <v/>
      </c>
      <c r="AN401" s="124" t="str">
        <f>IF($B401="","",IF(AN$3=0,"n.b.",INDEX(SRC_Woningetalage!$A$1:$ZZ$501,$A401,AN$3)))</f>
        <v/>
      </c>
      <c r="AO401" s="124" t="str">
        <f>IF($B401="","",IF(AO$3=0,"n.b.",INDEX(SRC_Woningetalage!$A$1:$ZZ$501,$A401,AO$3)))</f>
        <v/>
      </c>
      <c r="AP401" s="124" t="str">
        <f>IF($B401="","",IF(AP$3=0,"n.b.",INDEX(SRC_Woningetalage!$A$1:$ZZ$501,$A401,AP$3)))</f>
        <v/>
      </c>
      <c r="AQ401" s="124" t="str">
        <f>IF($B401="","",IF(AQ$3=0,"n.b.",INDEX(SRC_Woningetalage!$A$1:$ZZ$501,$A401,AQ$3)))</f>
        <v/>
      </c>
      <c r="AR401" s="124" t="str">
        <f>IF($B401="","",IF(AR$3=0,"n.b.",INDEX(SRC_Woningetalage!$A$1:$ZZ$501,$A401,AR$3)))</f>
        <v/>
      </c>
      <c r="AS401" s="124" t="str">
        <f>IF($B401="","",IF(AS$3=0,"n.b.",INDEX(SRC_Woningetalage!$A$1:$ZZ$501,$A401,AS$3)))</f>
        <v/>
      </c>
      <c r="AT401" s="124" t="str">
        <f>IF($B401="","",IF(AT$3=0,"n.b.",INDEX(SRC_Woningetalage!$A$1:$ZZ$501,$A401,AT$3)))</f>
        <v/>
      </c>
      <c r="AU401" s="124" t="str">
        <f>IF($B401="","",IF(AU$3=0,"n.b.",INDEX(SRC_Woningetalage!$A$1:$ZZ$501,$A401,AU$3)))</f>
        <v/>
      </c>
      <c r="AV401" s="124" t="str">
        <f>IF($B401="","",IF(AV$3=0,"n.b.",INDEX(SRC_Woningetalage!$A$1:$ZZ$501,$A401,AV$3)))</f>
        <v/>
      </c>
      <c r="AW401" s="124" t="str">
        <f>IF($B401="","",IF(AW$3=0,"n.b.",INDEX(SRC_Woningetalage!$A$1:$ZZ$501,$A401,AW$3)))</f>
        <v/>
      </c>
      <c r="AX401" s="124" t="str">
        <f>IF($B401="","",IF(AX$3=0,"n.b.",INDEX(SRC_Woningetalage!$A$1:$ZZ$501,$A401,AX$3)))</f>
        <v/>
      </c>
      <c r="AY401" s="124" t="str">
        <f>IF($B401="","",IF(AY$3=0,"n.b.",INDEX(SRC_Woningetalage!$A$1:$ZZ$501,$A401,AY$3)))</f>
        <v/>
      </c>
      <c r="AZ401" s="124" t="str">
        <f>IF($B401="","",IF(AZ$3=0,"n.b.",INDEX(SRC_Woningetalage!$A$1:$ZZ$501,$A401,AZ$3)))</f>
        <v/>
      </c>
      <c r="BA401" s="124" t="str">
        <f>IF($B401="","",IF(BA$3=0,"n.b.",INDEX(SRC_Woningetalage!$A$1:$ZZ$501,$A401,BA$3)))</f>
        <v/>
      </c>
      <c r="BB401" s="124" t="str">
        <f>IF($B401="","",IF(BB$3=0,"n.b.",INDEX(SRC_Woningetalage!$A$1:$ZZ$501,$A401,BB$3)))</f>
        <v/>
      </c>
      <c r="BC401" s="124" t="str">
        <f>IF($B401="","",IFERROR(_xlfn.NUMBERVALUE(E401&amp;"",",","."),"n.b."))</f>
        <v/>
      </c>
      <c r="BD401" s="124" t="str">
        <f>IF($B401="","",IFERROR(_xlfn.NUMBERVALUE(M401&amp;"",",","."),"n.b."))</f>
        <v/>
      </c>
      <c r="BE401" s="124" t="str">
        <f>IF($B401="","",IFERROR(AB401+AC401+AD401,"n.b."))</f>
        <v/>
      </c>
      <c r="BF401" s="124" t="str">
        <f>IF($B401="","",IFERROR(AE401+AF401+AG401,"n.b."))</f>
        <v/>
      </c>
      <c r="BG401" s="124" t="str">
        <f>IF($B401="","",IFERROR(AH401+AI401+AJ401,"n.b."))</f>
        <v/>
      </c>
      <c r="BH401" s="124" t="str">
        <f>IF($B401="","",IFERROR(AK401+AL401+AM401,"n.b."))</f>
        <v/>
      </c>
      <c r="BI401" s="124" t="str">
        <f>IF($B401="","",IFERROR(SUMIF($AB$5:$AM$5,"&lt;="&amp;P_PeilMaand,AB401:AM401),"n.b."))</f>
        <v/>
      </c>
      <c r="BJ401" s="124" t="str">
        <f>IF($B401="","",IFERROR(SUM(AB401:AM401)-BI401,"n.b."))</f>
        <v/>
      </c>
      <c r="BK401" s="124" t="str">
        <f>IF($B401="","",IFERROR(IF(ABS(Q401-(T401+SUM(AB401:AM401)+AS401+AU401))&gt;P_Tol,1,0),1))</f>
        <v/>
      </c>
      <c r="BL401" s="124" t="str">
        <f>IF($B401="","",IFERROR(IF(ABS(AA401-(Q401-Z401))&gt;P_Tol,1,0),1))</f>
        <v/>
      </c>
      <c r="BM401" s="124" t="str">
        <f>IF($B401="","",IFERROR(IF(ABS(Z401-(T401+W401))&gt;P_Tol,1,0),1))</f>
        <v/>
      </c>
      <c r="BN401" s="124" t="str">
        <f>IF($B401="","",IFERROR(IF(ABS(W401-BI401)&gt;P_Tol,1,0),1))</f>
        <v/>
      </c>
      <c r="BO401" s="124" t="str">
        <f>IF($B401="","",IFERROR(IF(OR(ABS(R401+S401-T401)&gt;P_Tol,ABS(U401+V401-W401)&gt;P_Tol,ABS(X401+Y401-Z401)&gt;P_Tol),1,0),1))</f>
        <v/>
      </c>
      <c r="BP401" s="124" t="str">
        <f>IF($B401="","",IFERROR(IF(OR(ABS(AR401-SUM(AB401:AM401))&gt;P_Tol,ABS(AS401-(AN401+AO401+AP401+AQ401))&gt;P_Tol),1,0),1))</f>
        <v/>
      </c>
      <c r="BQ401" s="124" t="str">
        <f>IF($B401="","",IFERROR(IF(ABS(AT401)+ABS(AV401)+ABS(AW401)+ABS(AX401)+ABS(AY401)+ABS(AZ401)+ABS(BA401)+ABS(BB401)&gt;0,1,0),1))</f>
        <v/>
      </c>
      <c r="BR401" s="124" t="str">
        <f>IF($B401="","",COUNTIF(STG_ZPMW03!$B$6:$B$505,B401))</f>
        <v/>
      </c>
      <c r="BS401" s="124" t="str">
        <f>IF($B401="","",COUNTIF($B$6:$B$505,B401))</f>
        <v/>
      </c>
      <c r="BT401" s="124" t="str">
        <f>IF($B401="","",IF(BR401=0,0,IF(INDEX(STG_ZPMW03!$I$6:$I$505,MATCH(B401,STG_ZPMW03!$B$6:$B$505,0))=J401&amp;"",0,1)))</f>
        <v/>
      </c>
      <c r="BU401" s="124" t="str">
        <f>IF($B401="","",IFERROR(IF(ABS(INDEX(Mapping!$D$5:$D$104,MATCH(B401,Mapping!$A$5:$A$104,0))-Q401)&gt;P_Tol,1,0),0))</f>
        <v/>
      </c>
      <c r="BV401" s="124" t="str">
        <f>IF($B401="","",IFERROR(IF(AND(INDEX(Mapping!$G$5:$G$104,MATCH(B401,Mapping!$A$5:$A$104,0))="Nee",ABS(Q401)+ABS(Z401)+ABS(AR401)&gt;0),1,0),0))</f>
        <v/>
      </c>
      <c r="BW401" s="124" t="str">
        <f>IF($B401="","",IF(COUNTIF(Mapping!$A$5:$A$104,B401)&gt;0,1,0))</f>
        <v/>
      </c>
      <c r="BX401" s="124" t="str">
        <f>IF($B401="","",IF(BR401=0,COUNTIF($BR$6:BR401,0),""))</f>
        <v/>
      </c>
    </row>
    <row r="402">
      <c r="A402" s="15" t="n">
        <v>398</v>
      </c>
      <c r="B402" t="str">
        <f>IF(B$3=0,"",IF(INDEX(SRC_Woningetalage!$A$1:$ZZ$501,$A402,B$3)&amp;""="","",INDEX(SRC_Woningetalage!$A$1:$ZZ$501,$A402,B$3)&amp;""))</f>
        <v/>
      </c>
      <c r="C402" t="str">
        <f>IF($B402="","",IF(C$3=0,"n.b.",INDEX(SRC_Woningetalage!$A$1:$ZZ$501,$A402,C$3)))</f>
        <v/>
      </c>
      <c r="D402" t="str">
        <f>IF($B402="","",IF(D$3=0,"n.b.",INDEX(SRC_Woningetalage!$A$1:$ZZ$501,$A402,D$3)))</f>
        <v/>
      </c>
      <c r="E402" t="str">
        <f>IF($B402="","",IF(E$3=0,"n.b.",INDEX(SRC_Woningetalage!$A$1:$ZZ$501,$A402,E$3)))</f>
        <v/>
      </c>
      <c r="F402" t="str">
        <f>IF($B402="","",IF(F$3=0,"n.b.",INDEX(SRC_Woningetalage!$A$1:$ZZ$501,$A402,F$3)))</f>
        <v/>
      </c>
      <c r="G402" t="str">
        <f>IF($B402="","",IF(G$3=0,"n.b.",INDEX(SRC_Woningetalage!$A$1:$ZZ$501,$A402,G$3)))</f>
        <v/>
      </c>
      <c r="H402" t="str">
        <f>IF($B402="","",IF(H$3=0,"n.b.",INDEX(SRC_Woningetalage!$A$1:$ZZ$501,$A402,H$3)))</f>
        <v/>
      </c>
      <c r="I402" t="str">
        <f>IF($B402="","",IF(I$3=0,"n.b.",INDEX(SRC_Woningetalage!$A$1:$ZZ$501,$A402,I$3)))</f>
        <v/>
      </c>
      <c r="J402" t="str">
        <f>IF($B402="","",IF(J$3=0,"n.b.",INDEX(SRC_Woningetalage!$A$1:$ZZ$501,$A402,J$3)))</f>
        <v/>
      </c>
      <c r="K402" t="str">
        <f>IF($B402="","",IF(K$3=0,"n.b.",INDEX(SRC_Woningetalage!$A$1:$ZZ$501,$A402,K$3)))</f>
        <v/>
      </c>
      <c r="L402" t="str">
        <f>IF($B402="","",IF(L$3=0,"n.b.",INDEX(SRC_Woningetalage!$A$1:$ZZ$501,$A402,L$3)))</f>
        <v/>
      </c>
      <c r="M402" t="str">
        <f>IF($B402="","",IF(M$3=0,"n.b.",INDEX(SRC_Woningetalage!$A$1:$ZZ$501,$A402,M$3)))</f>
        <v/>
      </c>
      <c r="N402" t="str">
        <f>IF($B402="","",IF(N$3=0,"n.b.",INDEX(SRC_Woningetalage!$A$1:$ZZ$501,$A402,N$3)))</f>
        <v/>
      </c>
      <c r="O402" t="str">
        <f>IF($B402="","",IF(O$3=0,"n.b.",INDEX(SRC_Woningetalage!$A$1:$ZZ$501,$A402,O$3)))</f>
        <v/>
      </c>
      <c r="P402" t="str">
        <f>IF($B402="","",IF(P$3=0,"n.b.",INDEX(SRC_Woningetalage!$A$1:$ZZ$501,$A402,P$3)))</f>
        <v/>
      </c>
      <c r="Q402" s="124" t="str">
        <f>IF($B402="","",IF(Q$3=0,"n.b.",INDEX(SRC_Woningetalage!$A$1:$ZZ$501,$A402,Q$3)))</f>
        <v/>
      </c>
      <c r="R402" s="124" t="str">
        <f>IF($B402="","",IF(R$3=0,"n.b.",INDEX(SRC_Woningetalage!$A$1:$ZZ$501,$A402,R$3)))</f>
        <v/>
      </c>
      <c r="S402" s="124" t="str">
        <f>IF($B402="","",IF(S$3=0,"n.b.",INDEX(SRC_Woningetalage!$A$1:$ZZ$501,$A402,S$3)))</f>
        <v/>
      </c>
      <c r="T402" s="124" t="str">
        <f>IF($B402="","",IF(T$3=0,"n.b.",INDEX(SRC_Woningetalage!$A$1:$ZZ$501,$A402,T$3)))</f>
        <v/>
      </c>
      <c r="U402" s="124" t="str">
        <f>IF($B402="","",IF(U$3=0,"n.b.",INDEX(SRC_Woningetalage!$A$1:$ZZ$501,$A402,U$3)))</f>
        <v/>
      </c>
      <c r="V402" s="124" t="str">
        <f>IF($B402="","",IF(V$3=0,"n.b.",INDEX(SRC_Woningetalage!$A$1:$ZZ$501,$A402,V$3)))</f>
        <v/>
      </c>
      <c r="W402" s="124" t="str">
        <f>IF($B402="","",IF(W$3=0,"n.b.",INDEX(SRC_Woningetalage!$A$1:$ZZ$501,$A402,W$3)))</f>
        <v/>
      </c>
      <c r="X402" s="124" t="str">
        <f>IF($B402="","",IF(X$3=0,"n.b.",INDEX(SRC_Woningetalage!$A$1:$ZZ$501,$A402,X$3)))</f>
        <v/>
      </c>
      <c r="Y402" s="124" t="str">
        <f>IF($B402="","",IF(Y$3=0,"n.b.",INDEX(SRC_Woningetalage!$A$1:$ZZ$501,$A402,Y$3)))</f>
        <v/>
      </c>
      <c r="Z402" s="124" t="str">
        <f>IF($B402="","",IF(Z$3=0,"n.b.",INDEX(SRC_Woningetalage!$A$1:$ZZ$501,$A402,Z$3)))</f>
        <v/>
      </c>
      <c r="AA402" s="124" t="str">
        <f>IF($B402="","",IF(AA$3=0,"n.b.",INDEX(SRC_Woningetalage!$A$1:$ZZ$501,$A402,AA$3)))</f>
        <v/>
      </c>
      <c r="AB402" s="124" t="str">
        <f>IF($B402="","",IF(AB$3=0,"n.b.",INDEX(SRC_Woningetalage!$A$1:$ZZ$501,$A402,AB$3)))</f>
        <v/>
      </c>
      <c r="AC402" s="124" t="str">
        <f>IF($B402="","",IF(AC$3=0,"n.b.",INDEX(SRC_Woningetalage!$A$1:$ZZ$501,$A402,AC$3)))</f>
        <v/>
      </c>
      <c r="AD402" s="124" t="str">
        <f>IF($B402="","",IF(AD$3=0,"n.b.",INDEX(SRC_Woningetalage!$A$1:$ZZ$501,$A402,AD$3)))</f>
        <v/>
      </c>
      <c r="AE402" s="124" t="str">
        <f>IF($B402="","",IF(AE$3=0,"n.b.",INDEX(SRC_Woningetalage!$A$1:$ZZ$501,$A402,AE$3)))</f>
        <v/>
      </c>
      <c r="AF402" s="124" t="str">
        <f>IF($B402="","",IF(AF$3=0,"n.b.",INDEX(SRC_Woningetalage!$A$1:$ZZ$501,$A402,AF$3)))</f>
        <v/>
      </c>
      <c r="AG402" s="124" t="str">
        <f>IF($B402="","",IF(AG$3=0,"n.b.",INDEX(SRC_Woningetalage!$A$1:$ZZ$501,$A402,AG$3)))</f>
        <v/>
      </c>
      <c r="AH402" s="124" t="str">
        <f>IF($B402="","",IF(AH$3=0,"n.b.",INDEX(SRC_Woningetalage!$A$1:$ZZ$501,$A402,AH$3)))</f>
        <v/>
      </c>
      <c r="AI402" s="124" t="str">
        <f>IF($B402="","",IF(AI$3=0,"n.b.",INDEX(SRC_Woningetalage!$A$1:$ZZ$501,$A402,AI$3)))</f>
        <v/>
      </c>
      <c r="AJ402" s="124" t="str">
        <f>IF($B402="","",IF(AJ$3=0,"n.b.",INDEX(SRC_Woningetalage!$A$1:$ZZ$501,$A402,AJ$3)))</f>
        <v/>
      </c>
      <c r="AK402" s="124" t="str">
        <f>IF($B402="","",IF(AK$3=0,"n.b.",INDEX(SRC_Woningetalage!$A$1:$ZZ$501,$A402,AK$3)))</f>
        <v/>
      </c>
      <c r="AL402" s="124" t="str">
        <f>IF($B402="","",IF(AL$3=0,"n.b.",INDEX(SRC_Woningetalage!$A$1:$ZZ$501,$A402,AL$3)))</f>
        <v/>
      </c>
      <c r="AM402" s="124" t="str">
        <f>IF($B402="","",IF(AM$3=0,"n.b.",INDEX(SRC_Woningetalage!$A$1:$ZZ$501,$A402,AM$3)))</f>
        <v/>
      </c>
      <c r="AN402" s="124" t="str">
        <f>IF($B402="","",IF(AN$3=0,"n.b.",INDEX(SRC_Woningetalage!$A$1:$ZZ$501,$A402,AN$3)))</f>
        <v/>
      </c>
      <c r="AO402" s="124" t="str">
        <f>IF($B402="","",IF(AO$3=0,"n.b.",INDEX(SRC_Woningetalage!$A$1:$ZZ$501,$A402,AO$3)))</f>
        <v/>
      </c>
      <c r="AP402" s="124" t="str">
        <f>IF($B402="","",IF(AP$3=0,"n.b.",INDEX(SRC_Woningetalage!$A$1:$ZZ$501,$A402,AP$3)))</f>
        <v/>
      </c>
      <c r="AQ402" s="124" t="str">
        <f>IF($B402="","",IF(AQ$3=0,"n.b.",INDEX(SRC_Woningetalage!$A$1:$ZZ$501,$A402,AQ$3)))</f>
        <v/>
      </c>
      <c r="AR402" s="124" t="str">
        <f>IF($B402="","",IF(AR$3=0,"n.b.",INDEX(SRC_Woningetalage!$A$1:$ZZ$501,$A402,AR$3)))</f>
        <v/>
      </c>
      <c r="AS402" s="124" t="str">
        <f>IF($B402="","",IF(AS$3=0,"n.b.",INDEX(SRC_Woningetalage!$A$1:$ZZ$501,$A402,AS$3)))</f>
        <v/>
      </c>
      <c r="AT402" s="124" t="str">
        <f>IF($B402="","",IF(AT$3=0,"n.b.",INDEX(SRC_Woningetalage!$A$1:$ZZ$501,$A402,AT$3)))</f>
        <v/>
      </c>
      <c r="AU402" s="124" t="str">
        <f>IF($B402="","",IF(AU$3=0,"n.b.",INDEX(SRC_Woningetalage!$A$1:$ZZ$501,$A402,AU$3)))</f>
        <v/>
      </c>
      <c r="AV402" s="124" t="str">
        <f>IF($B402="","",IF(AV$3=0,"n.b.",INDEX(SRC_Woningetalage!$A$1:$ZZ$501,$A402,AV$3)))</f>
        <v/>
      </c>
      <c r="AW402" s="124" t="str">
        <f>IF($B402="","",IF(AW$3=0,"n.b.",INDEX(SRC_Woningetalage!$A$1:$ZZ$501,$A402,AW$3)))</f>
        <v/>
      </c>
      <c r="AX402" s="124" t="str">
        <f>IF($B402="","",IF(AX$3=0,"n.b.",INDEX(SRC_Woningetalage!$A$1:$ZZ$501,$A402,AX$3)))</f>
        <v/>
      </c>
      <c r="AY402" s="124" t="str">
        <f>IF($B402="","",IF(AY$3=0,"n.b.",INDEX(SRC_Woningetalage!$A$1:$ZZ$501,$A402,AY$3)))</f>
        <v/>
      </c>
      <c r="AZ402" s="124" t="str">
        <f>IF($B402="","",IF(AZ$3=0,"n.b.",INDEX(SRC_Woningetalage!$A$1:$ZZ$501,$A402,AZ$3)))</f>
        <v/>
      </c>
      <c r="BA402" s="124" t="str">
        <f>IF($B402="","",IF(BA$3=0,"n.b.",INDEX(SRC_Woningetalage!$A$1:$ZZ$501,$A402,BA$3)))</f>
        <v/>
      </c>
      <c r="BB402" s="124" t="str">
        <f>IF($B402="","",IF(BB$3=0,"n.b.",INDEX(SRC_Woningetalage!$A$1:$ZZ$501,$A402,BB$3)))</f>
        <v/>
      </c>
      <c r="BC402" s="124" t="str">
        <f>IF($B402="","",IFERROR(_xlfn.NUMBERVALUE(E402&amp;"",",","."),"n.b."))</f>
        <v/>
      </c>
      <c r="BD402" s="124" t="str">
        <f>IF($B402="","",IFERROR(_xlfn.NUMBERVALUE(M402&amp;"",",","."),"n.b."))</f>
        <v/>
      </c>
      <c r="BE402" s="124" t="str">
        <f>IF($B402="","",IFERROR(AB402+AC402+AD402,"n.b."))</f>
        <v/>
      </c>
      <c r="BF402" s="124" t="str">
        <f>IF($B402="","",IFERROR(AE402+AF402+AG402,"n.b."))</f>
        <v/>
      </c>
      <c r="BG402" s="124" t="str">
        <f>IF($B402="","",IFERROR(AH402+AI402+AJ402,"n.b."))</f>
        <v/>
      </c>
      <c r="BH402" s="124" t="str">
        <f>IF($B402="","",IFERROR(AK402+AL402+AM402,"n.b."))</f>
        <v/>
      </c>
      <c r="BI402" s="124" t="str">
        <f>IF($B402="","",IFERROR(SUMIF($AB$5:$AM$5,"&lt;="&amp;P_PeilMaand,AB402:AM402),"n.b."))</f>
        <v/>
      </c>
      <c r="BJ402" s="124" t="str">
        <f>IF($B402="","",IFERROR(SUM(AB402:AM402)-BI402,"n.b."))</f>
        <v/>
      </c>
      <c r="BK402" s="124" t="str">
        <f>IF($B402="","",IFERROR(IF(ABS(Q402-(T402+SUM(AB402:AM402)+AS402+AU402))&gt;P_Tol,1,0),1))</f>
        <v/>
      </c>
      <c r="BL402" s="124" t="str">
        <f>IF($B402="","",IFERROR(IF(ABS(AA402-(Q402-Z402))&gt;P_Tol,1,0),1))</f>
        <v/>
      </c>
      <c r="BM402" s="124" t="str">
        <f>IF($B402="","",IFERROR(IF(ABS(Z402-(T402+W402))&gt;P_Tol,1,0),1))</f>
        <v/>
      </c>
      <c r="BN402" s="124" t="str">
        <f>IF($B402="","",IFERROR(IF(ABS(W402-BI402)&gt;P_Tol,1,0),1))</f>
        <v/>
      </c>
      <c r="BO402" s="124" t="str">
        <f>IF($B402="","",IFERROR(IF(OR(ABS(R402+S402-T402)&gt;P_Tol,ABS(U402+V402-W402)&gt;P_Tol,ABS(X402+Y402-Z402)&gt;P_Tol),1,0),1))</f>
        <v/>
      </c>
      <c r="BP402" s="124" t="str">
        <f>IF($B402="","",IFERROR(IF(OR(ABS(AR402-SUM(AB402:AM402))&gt;P_Tol,ABS(AS402-(AN402+AO402+AP402+AQ402))&gt;P_Tol),1,0),1))</f>
        <v/>
      </c>
      <c r="BQ402" s="124" t="str">
        <f>IF($B402="","",IFERROR(IF(ABS(AT402)+ABS(AV402)+ABS(AW402)+ABS(AX402)+ABS(AY402)+ABS(AZ402)+ABS(BA402)+ABS(BB402)&gt;0,1,0),1))</f>
        <v/>
      </c>
      <c r="BR402" s="124" t="str">
        <f>IF($B402="","",COUNTIF(STG_ZPMW03!$B$6:$B$505,B402))</f>
        <v/>
      </c>
      <c r="BS402" s="124" t="str">
        <f>IF($B402="","",COUNTIF($B$6:$B$505,B402))</f>
        <v/>
      </c>
      <c r="BT402" s="124" t="str">
        <f>IF($B402="","",IF(BR402=0,0,IF(INDEX(STG_ZPMW03!$I$6:$I$505,MATCH(B402,STG_ZPMW03!$B$6:$B$505,0))=J402&amp;"",0,1)))</f>
        <v/>
      </c>
      <c r="BU402" s="124" t="str">
        <f>IF($B402="","",IFERROR(IF(ABS(INDEX(Mapping!$D$5:$D$104,MATCH(B402,Mapping!$A$5:$A$104,0))-Q402)&gt;P_Tol,1,0),0))</f>
        <v/>
      </c>
      <c r="BV402" s="124" t="str">
        <f>IF($B402="","",IFERROR(IF(AND(INDEX(Mapping!$G$5:$G$104,MATCH(B402,Mapping!$A$5:$A$104,0))="Nee",ABS(Q402)+ABS(Z402)+ABS(AR402)&gt;0),1,0),0))</f>
        <v/>
      </c>
      <c r="BW402" s="124" t="str">
        <f>IF($B402="","",IF(COUNTIF(Mapping!$A$5:$A$104,B402)&gt;0,1,0))</f>
        <v/>
      </c>
      <c r="BX402" s="124" t="str">
        <f>IF($B402="","",IF(BR402=0,COUNTIF($BR$6:BR402,0),""))</f>
        <v/>
      </c>
    </row>
    <row r="403">
      <c r="A403" s="15" t="n">
        <v>399</v>
      </c>
      <c r="B403" t="str">
        <f>IF(B$3=0,"",IF(INDEX(SRC_Woningetalage!$A$1:$ZZ$501,$A403,B$3)&amp;""="","",INDEX(SRC_Woningetalage!$A$1:$ZZ$501,$A403,B$3)&amp;""))</f>
        <v/>
      </c>
      <c r="C403" t="str">
        <f>IF($B403="","",IF(C$3=0,"n.b.",INDEX(SRC_Woningetalage!$A$1:$ZZ$501,$A403,C$3)))</f>
        <v/>
      </c>
      <c r="D403" t="str">
        <f>IF($B403="","",IF(D$3=0,"n.b.",INDEX(SRC_Woningetalage!$A$1:$ZZ$501,$A403,D$3)))</f>
        <v/>
      </c>
      <c r="E403" t="str">
        <f>IF($B403="","",IF(E$3=0,"n.b.",INDEX(SRC_Woningetalage!$A$1:$ZZ$501,$A403,E$3)))</f>
        <v/>
      </c>
      <c r="F403" t="str">
        <f>IF($B403="","",IF(F$3=0,"n.b.",INDEX(SRC_Woningetalage!$A$1:$ZZ$501,$A403,F$3)))</f>
        <v/>
      </c>
      <c r="G403" t="str">
        <f>IF($B403="","",IF(G$3=0,"n.b.",INDEX(SRC_Woningetalage!$A$1:$ZZ$501,$A403,G$3)))</f>
        <v/>
      </c>
      <c r="H403" t="str">
        <f>IF($B403="","",IF(H$3=0,"n.b.",INDEX(SRC_Woningetalage!$A$1:$ZZ$501,$A403,H$3)))</f>
        <v/>
      </c>
      <c r="I403" t="str">
        <f>IF($B403="","",IF(I$3=0,"n.b.",INDEX(SRC_Woningetalage!$A$1:$ZZ$501,$A403,I$3)))</f>
        <v/>
      </c>
      <c r="J403" t="str">
        <f>IF($B403="","",IF(J$3=0,"n.b.",INDEX(SRC_Woningetalage!$A$1:$ZZ$501,$A403,J$3)))</f>
        <v/>
      </c>
      <c r="K403" t="str">
        <f>IF($B403="","",IF(K$3=0,"n.b.",INDEX(SRC_Woningetalage!$A$1:$ZZ$501,$A403,K$3)))</f>
        <v/>
      </c>
      <c r="L403" t="str">
        <f>IF($B403="","",IF(L$3=0,"n.b.",INDEX(SRC_Woningetalage!$A$1:$ZZ$501,$A403,L$3)))</f>
        <v/>
      </c>
      <c r="M403" t="str">
        <f>IF($B403="","",IF(M$3=0,"n.b.",INDEX(SRC_Woningetalage!$A$1:$ZZ$501,$A403,M$3)))</f>
        <v/>
      </c>
      <c r="N403" t="str">
        <f>IF($B403="","",IF(N$3=0,"n.b.",INDEX(SRC_Woningetalage!$A$1:$ZZ$501,$A403,N$3)))</f>
        <v/>
      </c>
      <c r="O403" t="str">
        <f>IF($B403="","",IF(O$3=0,"n.b.",INDEX(SRC_Woningetalage!$A$1:$ZZ$501,$A403,O$3)))</f>
        <v/>
      </c>
      <c r="P403" t="str">
        <f>IF($B403="","",IF(P$3=0,"n.b.",INDEX(SRC_Woningetalage!$A$1:$ZZ$501,$A403,P$3)))</f>
        <v/>
      </c>
      <c r="Q403" s="124" t="str">
        <f>IF($B403="","",IF(Q$3=0,"n.b.",INDEX(SRC_Woningetalage!$A$1:$ZZ$501,$A403,Q$3)))</f>
        <v/>
      </c>
      <c r="R403" s="124" t="str">
        <f>IF($B403="","",IF(R$3=0,"n.b.",INDEX(SRC_Woningetalage!$A$1:$ZZ$501,$A403,R$3)))</f>
        <v/>
      </c>
      <c r="S403" s="124" t="str">
        <f>IF($B403="","",IF(S$3=0,"n.b.",INDEX(SRC_Woningetalage!$A$1:$ZZ$501,$A403,S$3)))</f>
        <v/>
      </c>
      <c r="T403" s="124" t="str">
        <f>IF($B403="","",IF(T$3=0,"n.b.",INDEX(SRC_Woningetalage!$A$1:$ZZ$501,$A403,T$3)))</f>
        <v/>
      </c>
      <c r="U403" s="124" t="str">
        <f>IF($B403="","",IF(U$3=0,"n.b.",INDEX(SRC_Woningetalage!$A$1:$ZZ$501,$A403,U$3)))</f>
        <v/>
      </c>
      <c r="V403" s="124" t="str">
        <f>IF($B403="","",IF(V$3=0,"n.b.",INDEX(SRC_Woningetalage!$A$1:$ZZ$501,$A403,V$3)))</f>
        <v/>
      </c>
      <c r="W403" s="124" t="str">
        <f>IF($B403="","",IF(W$3=0,"n.b.",INDEX(SRC_Woningetalage!$A$1:$ZZ$501,$A403,W$3)))</f>
        <v/>
      </c>
      <c r="X403" s="124" t="str">
        <f>IF($B403="","",IF(X$3=0,"n.b.",INDEX(SRC_Woningetalage!$A$1:$ZZ$501,$A403,X$3)))</f>
        <v/>
      </c>
      <c r="Y403" s="124" t="str">
        <f>IF($B403="","",IF(Y$3=0,"n.b.",INDEX(SRC_Woningetalage!$A$1:$ZZ$501,$A403,Y$3)))</f>
        <v/>
      </c>
      <c r="Z403" s="124" t="str">
        <f>IF($B403="","",IF(Z$3=0,"n.b.",INDEX(SRC_Woningetalage!$A$1:$ZZ$501,$A403,Z$3)))</f>
        <v/>
      </c>
      <c r="AA403" s="124" t="str">
        <f>IF($B403="","",IF(AA$3=0,"n.b.",INDEX(SRC_Woningetalage!$A$1:$ZZ$501,$A403,AA$3)))</f>
        <v/>
      </c>
      <c r="AB403" s="124" t="str">
        <f>IF($B403="","",IF(AB$3=0,"n.b.",INDEX(SRC_Woningetalage!$A$1:$ZZ$501,$A403,AB$3)))</f>
        <v/>
      </c>
      <c r="AC403" s="124" t="str">
        <f>IF($B403="","",IF(AC$3=0,"n.b.",INDEX(SRC_Woningetalage!$A$1:$ZZ$501,$A403,AC$3)))</f>
        <v/>
      </c>
      <c r="AD403" s="124" t="str">
        <f>IF($B403="","",IF(AD$3=0,"n.b.",INDEX(SRC_Woningetalage!$A$1:$ZZ$501,$A403,AD$3)))</f>
        <v/>
      </c>
      <c r="AE403" s="124" t="str">
        <f>IF($B403="","",IF(AE$3=0,"n.b.",INDEX(SRC_Woningetalage!$A$1:$ZZ$501,$A403,AE$3)))</f>
        <v/>
      </c>
      <c r="AF403" s="124" t="str">
        <f>IF($B403="","",IF(AF$3=0,"n.b.",INDEX(SRC_Woningetalage!$A$1:$ZZ$501,$A403,AF$3)))</f>
        <v/>
      </c>
      <c r="AG403" s="124" t="str">
        <f>IF($B403="","",IF(AG$3=0,"n.b.",INDEX(SRC_Woningetalage!$A$1:$ZZ$501,$A403,AG$3)))</f>
        <v/>
      </c>
      <c r="AH403" s="124" t="str">
        <f>IF($B403="","",IF(AH$3=0,"n.b.",INDEX(SRC_Woningetalage!$A$1:$ZZ$501,$A403,AH$3)))</f>
        <v/>
      </c>
      <c r="AI403" s="124" t="str">
        <f>IF($B403="","",IF(AI$3=0,"n.b.",INDEX(SRC_Woningetalage!$A$1:$ZZ$501,$A403,AI$3)))</f>
        <v/>
      </c>
      <c r="AJ403" s="124" t="str">
        <f>IF($B403="","",IF(AJ$3=0,"n.b.",INDEX(SRC_Woningetalage!$A$1:$ZZ$501,$A403,AJ$3)))</f>
        <v/>
      </c>
      <c r="AK403" s="124" t="str">
        <f>IF($B403="","",IF(AK$3=0,"n.b.",INDEX(SRC_Woningetalage!$A$1:$ZZ$501,$A403,AK$3)))</f>
        <v/>
      </c>
      <c r="AL403" s="124" t="str">
        <f>IF($B403="","",IF(AL$3=0,"n.b.",INDEX(SRC_Woningetalage!$A$1:$ZZ$501,$A403,AL$3)))</f>
        <v/>
      </c>
      <c r="AM403" s="124" t="str">
        <f>IF($B403="","",IF(AM$3=0,"n.b.",INDEX(SRC_Woningetalage!$A$1:$ZZ$501,$A403,AM$3)))</f>
        <v/>
      </c>
      <c r="AN403" s="124" t="str">
        <f>IF($B403="","",IF(AN$3=0,"n.b.",INDEX(SRC_Woningetalage!$A$1:$ZZ$501,$A403,AN$3)))</f>
        <v/>
      </c>
      <c r="AO403" s="124" t="str">
        <f>IF($B403="","",IF(AO$3=0,"n.b.",INDEX(SRC_Woningetalage!$A$1:$ZZ$501,$A403,AO$3)))</f>
        <v/>
      </c>
      <c r="AP403" s="124" t="str">
        <f>IF($B403="","",IF(AP$3=0,"n.b.",INDEX(SRC_Woningetalage!$A$1:$ZZ$501,$A403,AP$3)))</f>
        <v/>
      </c>
      <c r="AQ403" s="124" t="str">
        <f>IF($B403="","",IF(AQ$3=0,"n.b.",INDEX(SRC_Woningetalage!$A$1:$ZZ$501,$A403,AQ$3)))</f>
        <v/>
      </c>
      <c r="AR403" s="124" t="str">
        <f>IF($B403="","",IF(AR$3=0,"n.b.",INDEX(SRC_Woningetalage!$A$1:$ZZ$501,$A403,AR$3)))</f>
        <v/>
      </c>
      <c r="AS403" s="124" t="str">
        <f>IF($B403="","",IF(AS$3=0,"n.b.",INDEX(SRC_Woningetalage!$A$1:$ZZ$501,$A403,AS$3)))</f>
        <v/>
      </c>
      <c r="AT403" s="124" t="str">
        <f>IF($B403="","",IF(AT$3=0,"n.b.",INDEX(SRC_Woningetalage!$A$1:$ZZ$501,$A403,AT$3)))</f>
        <v/>
      </c>
      <c r="AU403" s="124" t="str">
        <f>IF($B403="","",IF(AU$3=0,"n.b.",INDEX(SRC_Woningetalage!$A$1:$ZZ$501,$A403,AU$3)))</f>
        <v/>
      </c>
      <c r="AV403" s="124" t="str">
        <f>IF($B403="","",IF(AV$3=0,"n.b.",INDEX(SRC_Woningetalage!$A$1:$ZZ$501,$A403,AV$3)))</f>
        <v/>
      </c>
      <c r="AW403" s="124" t="str">
        <f>IF($B403="","",IF(AW$3=0,"n.b.",INDEX(SRC_Woningetalage!$A$1:$ZZ$501,$A403,AW$3)))</f>
        <v/>
      </c>
      <c r="AX403" s="124" t="str">
        <f>IF($B403="","",IF(AX$3=0,"n.b.",INDEX(SRC_Woningetalage!$A$1:$ZZ$501,$A403,AX$3)))</f>
        <v/>
      </c>
      <c r="AY403" s="124" t="str">
        <f>IF($B403="","",IF(AY$3=0,"n.b.",INDEX(SRC_Woningetalage!$A$1:$ZZ$501,$A403,AY$3)))</f>
        <v/>
      </c>
      <c r="AZ403" s="124" t="str">
        <f>IF($B403="","",IF(AZ$3=0,"n.b.",INDEX(SRC_Woningetalage!$A$1:$ZZ$501,$A403,AZ$3)))</f>
        <v/>
      </c>
      <c r="BA403" s="124" t="str">
        <f>IF($B403="","",IF(BA$3=0,"n.b.",INDEX(SRC_Woningetalage!$A$1:$ZZ$501,$A403,BA$3)))</f>
        <v/>
      </c>
      <c r="BB403" s="124" t="str">
        <f>IF($B403="","",IF(BB$3=0,"n.b.",INDEX(SRC_Woningetalage!$A$1:$ZZ$501,$A403,BB$3)))</f>
        <v/>
      </c>
      <c r="BC403" s="124" t="str">
        <f>IF($B403="","",IFERROR(_xlfn.NUMBERVALUE(E403&amp;"",",","."),"n.b."))</f>
        <v/>
      </c>
      <c r="BD403" s="124" t="str">
        <f>IF($B403="","",IFERROR(_xlfn.NUMBERVALUE(M403&amp;"",",","."),"n.b."))</f>
        <v/>
      </c>
      <c r="BE403" s="124" t="str">
        <f>IF($B403="","",IFERROR(AB403+AC403+AD403,"n.b."))</f>
        <v/>
      </c>
      <c r="BF403" s="124" t="str">
        <f>IF($B403="","",IFERROR(AE403+AF403+AG403,"n.b."))</f>
        <v/>
      </c>
      <c r="BG403" s="124" t="str">
        <f>IF($B403="","",IFERROR(AH403+AI403+AJ403,"n.b."))</f>
        <v/>
      </c>
      <c r="BH403" s="124" t="str">
        <f>IF($B403="","",IFERROR(AK403+AL403+AM403,"n.b."))</f>
        <v/>
      </c>
      <c r="BI403" s="124" t="str">
        <f>IF($B403="","",IFERROR(SUMIF($AB$5:$AM$5,"&lt;="&amp;P_PeilMaand,AB403:AM403),"n.b."))</f>
        <v/>
      </c>
      <c r="BJ403" s="124" t="str">
        <f>IF($B403="","",IFERROR(SUM(AB403:AM403)-BI403,"n.b."))</f>
        <v/>
      </c>
      <c r="BK403" s="124" t="str">
        <f>IF($B403="","",IFERROR(IF(ABS(Q403-(T403+SUM(AB403:AM403)+AS403+AU403))&gt;P_Tol,1,0),1))</f>
        <v/>
      </c>
      <c r="BL403" s="124" t="str">
        <f>IF($B403="","",IFERROR(IF(ABS(AA403-(Q403-Z403))&gt;P_Tol,1,0),1))</f>
        <v/>
      </c>
      <c r="BM403" s="124" t="str">
        <f>IF($B403="","",IFERROR(IF(ABS(Z403-(T403+W403))&gt;P_Tol,1,0),1))</f>
        <v/>
      </c>
      <c r="BN403" s="124" t="str">
        <f>IF($B403="","",IFERROR(IF(ABS(W403-BI403)&gt;P_Tol,1,0),1))</f>
        <v/>
      </c>
      <c r="BO403" s="124" t="str">
        <f>IF($B403="","",IFERROR(IF(OR(ABS(R403+S403-T403)&gt;P_Tol,ABS(U403+V403-W403)&gt;P_Tol,ABS(X403+Y403-Z403)&gt;P_Tol),1,0),1))</f>
        <v/>
      </c>
      <c r="BP403" s="124" t="str">
        <f>IF($B403="","",IFERROR(IF(OR(ABS(AR403-SUM(AB403:AM403))&gt;P_Tol,ABS(AS403-(AN403+AO403+AP403+AQ403))&gt;P_Tol),1,0),1))</f>
        <v/>
      </c>
      <c r="BQ403" s="124" t="str">
        <f>IF($B403="","",IFERROR(IF(ABS(AT403)+ABS(AV403)+ABS(AW403)+ABS(AX403)+ABS(AY403)+ABS(AZ403)+ABS(BA403)+ABS(BB403)&gt;0,1,0),1))</f>
        <v/>
      </c>
      <c r="BR403" s="124" t="str">
        <f>IF($B403="","",COUNTIF(STG_ZPMW03!$B$6:$B$505,B403))</f>
        <v/>
      </c>
      <c r="BS403" s="124" t="str">
        <f>IF($B403="","",COUNTIF($B$6:$B$505,B403))</f>
        <v/>
      </c>
      <c r="BT403" s="124" t="str">
        <f>IF($B403="","",IF(BR403=0,0,IF(INDEX(STG_ZPMW03!$I$6:$I$505,MATCH(B403,STG_ZPMW03!$B$6:$B$505,0))=J403&amp;"",0,1)))</f>
        <v/>
      </c>
      <c r="BU403" s="124" t="str">
        <f>IF($B403="","",IFERROR(IF(ABS(INDEX(Mapping!$D$5:$D$104,MATCH(B403,Mapping!$A$5:$A$104,0))-Q403)&gt;P_Tol,1,0),0))</f>
        <v/>
      </c>
      <c r="BV403" s="124" t="str">
        <f>IF($B403="","",IFERROR(IF(AND(INDEX(Mapping!$G$5:$G$104,MATCH(B403,Mapping!$A$5:$A$104,0))="Nee",ABS(Q403)+ABS(Z403)+ABS(AR403)&gt;0),1,0),0))</f>
        <v/>
      </c>
      <c r="BW403" s="124" t="str">
        <f>IF($B403="","",IF(COUNTIF(Mapping!$A$5:$A$104,B403)&gt;0,1,0))</f>
        <v/>
      </c>
      <c r="BX403" s="124" t="str">
        <f>IF($B403="","",IF(BR403=0,COUNTIF($BR$6:BR403,0),""))</f>
        <v/>
      </c>
    </row>
    <row r="404">
      <c r="A404" s="15" t="n">
        <v>400</v>
      </c>
      <c r="B404" t="str">
        <f>IF(B$3=0,"",IF(INDEX(SRC_Woningetalage!$A$1:$ZZ$501,$A404,B$3)&amp;""="","",INDEX(SRC_Woningetalage!$A$1:$ZZ$501,$A404,B$3)&amp;""))</f>
        <v/>
      </c>
      <c r="C404" t="str">
        <f>IF($B404="","",IF(C$3=0,"n.b.",INDEX(SRC_Woningetalage!$A$1:$ZZ$501,$A404,C$3)))</f>
        <v/>
      </c>
      <c r="D404" t="str">
        <f>IF($B404="","",IF(D$3=0,"n.b.",INDEX(SRC_Woningetalage!$A$1:$ZZ$501,$A404,D$3)))</f>
        <v/>
      </c>
      <c r="E404" t="str">
        <f>IF($B404="","",IF(E$3=0,"n.b.",INDEX(SRC_Woningetalage!$A$1:$ZZ$501,$A404,E$3)))</f>
        <v/>
      </c>
      <c r="F404" t="str">
        <f>IF($B404="","",IF(F$3=0,"n.b.",INDEX(SRC_Woningetalage!$A$1:$ZZ$501,$A404,F$3)))</f>
        <v/>
      </c>
      <c r="G404" t="str">
        <f>IF($B404="","",IF(G$3=0,"n.b.",INDEX(SRC_Woningetalage!$A$1:$ZZ$501,$A404,G$3)))</f>
        <v/>
      </c>
      <c r="H404" t="str">
        <f>IF($B404="","",IF(H$3=0,"n.b.",INDEX(SRC_Woningetalage!$A$1:$ZZ$501,$A404,H$3)))</f>
        <v/>
      </c>
      <c r="I404" t="str">
        <f>IF($B404="","",IF(I$3=0,"n.b.",INDEX(SRC_Woningetalage!$A$1:$ZZ$501,$A404,I$3)))</f>
        <v/>
      </c>
      <c r="J404" t="str">
        <f>IF($B404="","",IF(J$3=0,"n.b.",INDEX(SRC_Woningetalage!$A$1:$ZZ$501,$A404,J$3)))</f>
        <v/>
      </c>
      <c r="K404" t="str">
        <f>IF($B404="","",IF(K$3=0,"n.b.",INDEX(SRC_Woningetalage!$A$1:$ZZ$501,$A404,K$3)))</f>
        <v/>
      </c>
      <c r="L404" t="str">
        <f>IF($B404="","",IF(L$3=0,"n.b.",INDEX(SRC_Woningetalage!$A$1:$ZZ$501,$A404,L$3)))</f>
        <v/>
      </c>
      <c r="M404" t="str">
        <f>IF($B404="","",IF(M$3=0,"n.b.",INDEX(SRC_Woningetalage!$A$1:$ZZ$501,$A404,M$3)))</f>
        <v/>
      </c>
      <c r="N404" t="str">
        <f>IF($B404="","",IF(N$3=0,"n.b.",INDEX(SRC_Woningetalage!$A$1:$ZZ$501,$A404,N$3)))</f>
        <v/>
      </c>
      <c r="O404" t="str">
        <f>IF($B404="","",IF(O$3=0,"n.b.",INDEX(SRC_Woningetalage!$A$1:$ZZ$501,$A404,O$3)))</f>
        <v/>
      </c>
      <c r="P404" t="str">
        <f>IF($B404="","",IF(P$3=0,"n.b.",INDEX(SRC_Woningetalage!$A$1:$ZZ$501,$A404,P$3)))</f>
        <v/>
      </c>
      <c r="Q404" s="124" t="str">
        <f>IF($B404="","",IF(Q$3=0,"n.b.",INDEX(SRC_Woningetalage!$A$1:$ZZ$501,$A404,Q$3)))</f>
        <v/>
      </c>
      <c r="R404" s="124" t="str">
        <f>IF($B404="","",IF(R$3=0,"n.b.",INDEX(SRC_Woningetalage!$A$1:$ZZ$501,$A404,R$3)))</f>
        <v/>
      </c>
      <c r="S404" s="124" t="str">
        <f>IF($B404="","",IF(S$3=0,"n.b.",INDEX(SRC_Woningetalage!$A$1:$ZZ$501,$A404,S$3)))</f>
        <v/>
      </c>
      <c r="T404" s="124" t="str">
        <f>IF($B404="","",IF(T$3=0,"n.b.",INDEX(SRC_Woningetalage!$A$1:$ZZ$501,$A404,T$3)))</f>
        <v/>
      </c>
      <c r="U404" s="124" t="str">
        <f>IF($B404="","",IF(U$3=0,"n.b.",INDEX(SRC_Woningetalage!$A$1:$ZZ$501,$A404,U$3)))</f>
        <v/>
      </c>
      <c r="V404" s="124" t="str">
        <f>IF($B404="","",IF(V$3=0,"n.b.",INDEX(SRC_Woningetalage!$A$1:$ZZ$501,$A404,V$3)))</f>
        <v/>
      </c>
      <c r="W404" s="124" t="str">
        <f>IF($B404="","",IF(W$3=0,"n.b.",INDEX(SRC_Woningetalage!$A$1:$ZZ$501,$A404,W$3)))</f>
        <v/>
      </c>
      <c r="X404" s="124" t="str">
        <f>IF($B404="","",IF(X$3=0,"n.b.",INDEX(SRC_Woningetalage!$A$1:$ZZ$501,$A404,X$3)))</f>
        <v/>
      </c>
      <c r="Y404" s="124" t="str">
        <f>IF($B404="","",IF(Y$3=0,"n.b.",INDEX(SRC_Woningetalage!$A$1:$ZZ$501,$A404,Y$3)))</f>
        <v/>
      </c>
      <c r="Z404" s="124" t="str">
        <f>IF($B404="","",IF(Z$3=0,"n.b.",INDEX(SRC_Woningetalage!$A$1:$ZZ$501,$A404,Z$3)))</f>
        <v/>
      </c>
      <c r="AA404" s="124" t="str">
        <f>IF($B404="","",IF(AA$3=0,"n.b.",INDEX(SRC_Woningetalage!$A$1:$ZZ$501,$A404,AA$3)))</f>
        <v/>
      </c>
      <c r="AB404" s="124" t="str">
        <f>IF($B404="","",IF(AB$3=0,"n.b.",INDEX(SRC_Woningetalage!$A$1:$ZZ$501,$A404,AB$3)))</f>
        <v/>
      </c>
      <c r="AC404" s="124" t="str">
        <f>IF($B404="","",IF(AC$3=0,"n.b.",INDEX(SRC_Woningetalage!$A$1:$ZZ$501,$A404,AC$3)))</f>
        <v/>
      </c>
      <c r="AD404" s="124" t="str">
        <f>IF($B404="","",IF(AD$3=0,"n.b.",INDEX(SRC_Woningetalage!$A$1:$ZZ$501,$A404,AD$3)))</f>
        <v/>
      </c>
      <c r="AE404" s="124" t="str">
        <f>IF($B404="","",IF(AE$3=0,"n.b.",INDEX(SRC_Woningetalage!$A$1:$ZZ$501,$A404,AE$3)))</f>
        <v/>
      </c>
      <c r="AF404" s="124" t="str">
        <f>IF($B404="","",IF(AF$3=0,"n.b.",INDEX(SRC_Woningetalage!$A$1:$ZZ$501,$A404,AF$3)))</f>
        <v/>
      </c>
      <c r="AG404" s="124" t="str">
        <f>IF($B404="","",IF(AG$3=0,"n.b.",INDEX(SRC_Woningetalage!$A$1:$ZZ$501,$A404,AG$3)))</f>
        <v/>
      </c>
      <c r="AH404" s="124" t="str">
        <f>IF($B404="","",IF(AH$3=0,"n.b.",INDEX(SRC_Woningetalage!$A$1:$ZZ$501,$A404,AH$3)))</f>
        <v/>
      </c>
      <c r="AI404" s="124" t="str">
        <f>IF($B404="","",IF(AI$3=0,"n.b.",INDEX(SRC_Woningetalage!$A$1:$ZZ$501,$A404,AI$3)))</f>
        <v/>
      </c>
      <c r="AJ404" s="124" t="str">
        <f>IF($B404="","",IF(AJ$3=0,"n.b.",INDEX(SRC_Woningetalage!$A$1:$ZZ$501,$A404,AJ$3)))</f>
        <v/>
      </c>
      <c r="AK404" s="124" t="str">
        <f>IF($B404="","",IF(AK$3=0,"n.b.",INDEX(SRC_Woningetalage!$A$1:$ZZ$501,$A404,AK$3)))</f>
        <v/>
      </c>
      <c r="AL404" s="124" t="str">
        <f>IF($B404="","",IF(AL$3=0,"n.b.",INDEX(SRC_Woningetalage!$A$1:$ZZ$501,$A404,AL$3)))</f>
        <v/>
      </c>
      <c r="AM404" s="124" t="str">
        <f>IF($B404="","",IF(AM$3=0,"n.b.",INDEX(SRC_Woningetalage!$A$1:$ZZ$501,$A404,AM$3)))</f>
        <v/>
      </c>
      <c r="AN404" s="124" t="str">
        <f>IF($B404="","",IF(AN$3=0,"n.b.",INDEX(SRC_Woningetalage!$A$1:$ZZ$501,$A404,AN$3)))</f>
        <v/>
      </c>
      <c r="AO404" s="124" t="str">
        <f>IF($B404="","",IF(AO$3=0,"n.b.",INDEX(SRC_Woningetalage!$A$1:$ZZ$501,$A404,AO$3)))</f>
        <v/>
      </c>
      <c r="AP404" s="124" t="str">
        <f>IF($B404="","",IF(AP$3=0,"n.b.",INDEX(SRC_Woningetalage!$A$1:$ZZ$501,$A404,AP$3)))</f>
        <v/>
      </c>
      <c r="AQ404" s="124" t="str">
        <f>IF($B404="","",IF(AQ$3=0,"n.b.",INDEX(SRC_Woningetalage!$A$1:$ZZ$501,$A404,AQ$3)))</f>
        <v/>
      </c>
      <c r="AR404" s="124" t="str">
        <f>IF($B404="","",IF(AR$3=0,"n.b.",INDEX(SRC_Woningetalage!$A$1:$ZZ$501,$A404,AR$3)))</f>
        <v/>
      </c>
      <c r="AS404" s="124" t="str">
        <f>IF($B404="","",IF(AS$3=0,"n.b.",INDEX(SRC_Woningetalage!$A$1:$ZZ$501,$A404,AS$3)))</f>
        <v/>
      </c>
      <c r="AT404" s="124" t="str">
        <f>IF($B404="","",IF(AT$3=0,"n.b.",INDEX(SRC_Woningetalage!$A$1:$ZZ$501,$A404,AT$3)))</f>
        <v/>
      </c>
      <c r="AU404" s="124" t="str">
        <f>IF($B404="","",IF(AU$3=0,"n.b.",INDEX(SRC_Woningetalage!$A$1:$ZZ$501,$A404,AU$3)))</f>
        <v/>
      </c>
      <c r="AV404" s="124" t="str">
        <f>IF($B404="","",IF(AV$3=0,"n.b.",INDEX(SRC_Woningetalage!$A$1:$ZZ$501,$A404,AV$3)))</f>
        <v/>
      </c>
      <c r="AW404" s="124" t="str">
        <f>IF($B404="","",IF(AW$3=0,"n.b.",INDEX(SRC_Woningetalage!$A$1:$ZZ$501,$A404,AW$3)))</f>
        <v/>
      </c>
      <c r="AX404" s="124" t="str">
        <f>IF($B404="","",IF(AX$3=0,"n.b.",INDEX(SRC_Woningetalage!$A$1:$ZZ$501,$A404,AX$3)))</f>
        <v/>
      </c>
      <c r="AY404" s="124" t="str">
        <f>IF($B404="","",IF(AY$3=0,"n.b.",INDEX(SRC_Woningetalage!$A$1:$ZZ$501,$A404,AY$3)))</f>
        <v/>
      </c>
      <c r="AZ404" s="124" t="str">
        <f>IF($B404="","",IF(AZ$3=0,"n.b.",INDEX(SRC_Woningetalage!$A$1:$ZZ$501,$A404,AZ$3)))</f>
        <v/>
      </c>
      <c r="BA404" s="124" t="str">
        <f>IF($B404="","",IF(BA$3=0,"n.b.",INDEX(SRC_Woningetalage!$A$1:$ZZ$501,$A404,BA$3)))</f>
        <v/>
      </c>
      <c r="BB404" s="124" t="str">
        <f>IF($B404="","",IF(BB$3=0,"n.b.",INDEX(SRC_Woningetalage!$A$1:$ZZ$501,$A404,BB$3)))</f>
        <v/>
      </c>
      <c r="BC404" s="124" t="str">
        <f>IF($B404="","",IFERROR(_xlfn.NUMBERVALUE(E404&amp;"",",","."),"n.b."))</f>
        <v/>
      </c>
      <c r="BD404" s="124" t="str">
        <f>IF($B404="","",IFERROR(_xlfn.NUMBERVALUE(M404&amp;"",",","."),"n.b."))</f>
        <v/>
      </c>
      <c r="BE404" s="124" t="str">
        <f>IF($B404="","",IFERROR(AB404+AC404+AD404,"n.b."))</f>
        <v/>
      </c>
      <c r="BF404" s="124" t="str">
        <f>IF($B404="","",IFERROR(AE404+AF404+AG404,"n.b."))</f>
        <v/>
      </c>
      <c r="BG404" s="124" t="str">
        <f>IF($B404="","",IFERROR(AH404+AI404+AJ404,"n.b."))</f>
        <v/>
      </c>
      <c r="BH404" s="124" t="str">
        <f>IF($B404="","",IFERROR(AK404+AL404+AM404,"n.b."))</f>
        <v/>
      </c>
      <c r="BI404" s="124" t="str">
        <f>IF($B404="","",IFERROR(SUMIF($AB$5:$AM$5,"&lt;="&amp;P_PeilMaand,AB404:AM404),"n.b."))</f>
        <v/>
      </c>
      <c r="BJ404" s="124" t="str">
        <f>IF($B404="","",IFERROR(SUM(AB404:AM404)-BI404,"n.b."))</f>
        <v/>
      </c>
      <c r="BK404" s="124" t="str">
        <f>IF($B404="","",IFERROR(IF(ABS(Q404-(T404+SUM(AB404:AM404)+AS404+AU404))&gt;P_Tol,1,0),1))</f>
        <v/>
      </c>
      <c r="BL404" s="124" t="str">
        <f>IF($B404="","",IFERROR(IF(ABS(AA404-(Q404-Z404))&gt;P_Tol,1,0),1))</f>
        <v/>
      </c>
      <c r="BM404" s="124" t="str">
        <f>IF($B404="","",IFERROR(IF(ABS(Z404-(T404+W404))&gt;P_Tol,1,0),1))</f>
        <v/>
      </c>
      <c r="BN404" s="124" t="str">
        <f>IF($B404="","",IFERROR(IF(ABS(W404-BI404)&gt;P_Tol,1,0),1))</f>
        <v/>
      </c>
      <c r="BO404" s="124" t="str">
        <f>IF($B404="","",IFERROR(IF(OR(ABS(R404+S404-T404)&gt;P_Tol,ABS(U404+V404-W404)&gt;P_Tol,ABS(X404+Y404-Z404)&gt;P_Tol),1,0),1))</f>
        <v/>
      </c>
      <c r="BP404" s="124" t="str">
        <f>IF($B404="","",IFERROR(IF(OR(ABS(AR404-SUM(AB404:AM404))&gt;P_Tol,ABS(AS404-(AN404+AO404+AP404+AQ404))&gt;P_Tol),1,0),1))</f>
        <v/>
      </c>
      <c r="BQ404" s="124" t="str">
        <f>IF($B404="","",IFERROR(IF(ABS(AT404)+ABS(AV404)+ABS(AW404)+ABS(AX404)+ABS(AY404)+ABS(AZ404)+ABS(BA404)+ABS(BB404)&gt;0,1,0),1))</f>
        <v/>
      </c>
      <c r="BR404" s="124" t="str">
        <f>IF($B404="","",COUNTIF(STG_ZPMW03!$B$6:$B$505,B404))</f>
        <v/>
      </c>
      <c r="BS404" s="124" t="str">
        <f>IF($B404="","",COUNTIF($B$6:$B$505,B404))</f>
        <v/>
      </c>
      <c r="BT404" s="124" t="str">
        <f>IF($B404="","",IF(BR404=0,0,IF(INDEX(STG_ZPMW03!$I$6:$I$505,MATCH(B404,STG_ZPMW03!$B$6:$B$505,0))=J404&amp;"",0,1)))</f>
        <v/>
      </c>
      <c r="BU404" s="124" t="str">
        <f>IF($B404="","",IFERROR(IF(ABS(INDEX(Mapping!$D$5:$D$104,MATCH(B404,Mapping!$A$5:$A$104,0))-Q404)&gt;P_Tol,1,0),0))</f>
        <v/>
      </c>
      <c r="BV404" s="124" t="str">
        <f>IF($B404="","",IFERROR(IF(AND(INDEX(Mapping!$G$5:$G$104,MATCH(B404,Mapping!$A$5:$A$104,0))="Nee",ABS(Q404)+ABS(Z404)+ABS(AR404)&gt;0),1,0),0))</f>
        <v/>
      </c>
      <c r="BW404" s="124" t="str">
        <f>IF($B404="","",IF(COUNTIF(Mapping!$A$5:$A$104,B404)&gt;0,1,0))</f>
        <v/>
      </c>
      <c r="BX404" s="124" t="str">
        <f>IF($B404="","",IF(BR404=0,COUNTIF($BR$6:BR404,0),""))</f>
        <v/>
      </c>
    </row>
    <row r="405">
      <c r="A405" s="15" t="n">
        <v>401</v>
      </c>
      <c r="B405" t="str">
        <f>IF(B$3=0,"",IF(INDEX(SRC_Woningetalage!$A$1:$ZZ$501,$A405,B$3)&amp;""="","",INDEX(SRC_Woningetalage!$A$1:$ZZ$501,$A405,B$3)&amp;""))</f>
        <v/>
      </c>
      <c r="C405" t="str">
        <f>IF($B405="","",IF(C$3=0,"n.b.",INDEX(SRC_Woningetalage!$A$1:$ZZ$501,$A405,C$3)))</f>
        <v/>
      </c>
      <c r="D405" t="str">
        <f>IF($B405="","",IF(D$3=0,"n.b.",INDEX(SRC_Woningetalage!$A$1:$ZZ$501,$A405,D$3)))</f>
        <v/>
      </c>
      <c r="E405" t="str">
        <f>IF($B405="","",IF(E$3=0,"n.b.",INDEX(SRC_Woningetalage!$A$1:$ZZ$501,$A405,E$3)))</f>
        <v/>
      </c>
      <c r="F405" t="str">
        <f>IF($B405="","",IF(F$3=0,"n.b.",INDEX(SRC_Woningetalage!$A$1:$ZZ$501,$A405,F$3)))</f>
        <v/>
      </c>
      <c r="G405" t="str">
        <f>IF($B405="","",IF(G$3=0,"n.b.",INDEX(SRC_Woningetalage!$A$1:$ZZ$501,$A405,G$3)))</f>
        <v/>
      </c>
      <c r="H405" t="str">
        <f>IF($B405="","",IF(H$3=0,"n.b.",INDEX(SRC_Woningetalage!$A$1:$ZZ$501,$A405,H$3)))</f>
        <v/>
      </c>
      <c r="I405" t="str">
        <f>IF($B405="","",IF(I$3=0,"n.b.",INDEX(SRC_Woningetalage!$A$1:$ZZ$501,$A405,I$3)))</f>
        <v/>
      </c>
      <c r="J405" t="str">
        <f>IF($B405="","",IF(J$3=0,"n.b.",INDEX(SRC_Woningetalage!$A$1:$ZZ$501,$A405,J$3)))</f>
        <v/>
      </c>
      <c r="K405" t="str">
        <f>IF($B405="","",IF(K$3=0,"n.b.",INDEX(SRC_Woningetalage!$A$1:$ZZ$501,$A405,K$3)))</f>
        <v/>
      </c>
      <c r="L405" t="str">
        <f>IF($B405="","",IF(L$3=0,"n.b.",INDEX(SRC_Woningetalage!$A$1:$ZZ$501,$A405,L$3)))</f>
        <v/>
      </c>
      <c r="M405" t="str">
        <f>IF($B405="","",IF(M$3=0,"n.b.",INDEX(SRC_Woningetalage!$A$1:$ZZ$501,$A405,M$3)))</f>
        <v/>
      </c>
      <c r="N405" t="str">
        <f>IF($B405="","",IF(N$3=0,"n.b.",INDEX(SRC_Woningetalage!$A$1:$ZZ$501,$A405,N$3)))</f>
        <v/>
      </c>
      <c r="O405" t="str">
        <f>IF($B405="","",IF(O$3=0,"n.b.",INDEX(SRC_Woningetalage!$A$1:$ZZ$501,$A405,O$3)))</f>
        <v/>
      </c>
      <c r="P405" t="str">
        <f>IF($B405="","",IF(P$3=0,"n.b.",INDEX(SRC_Woningetalage!$A$1:$ZZ$501,$A405,P$3)))</f>
        <v/>
      </c>
      <c r="Q405" s="124" t="str">
        <f>IF($B405="","",IF(Q$3=0,"n.b.",INDEX(SRC_Woningetalage!$A$1:$ZZ$501,$A405,Q$3)))</f>
        <v/>
      </c>
      <c r="R405" s="124" t="str">
        <f>IF($B405="","",IF(R$3=0,"n.b.",INDEX(SRC_Woningetalage!$A$1:$ZZ$501,$A405,R$3)))</f>
        <v/>
      </c>
      <c r="S405" s="124" t="str">
        <f>IF($B405="","",IF(S$3=0,"n.b.",INDEX(SRC_Woningetalage!$A$1:$ZZ$501,$A405,S$3)))</f>
        <v/>
      </c>
      <c r="T405" s="124" t="str">
        <f>IF($B405="","",IF(T$3=0,"n.b.",INDEX(SRC_Woningetalage!$A$1:$ZZ$501,$A405,T$3)))</f>
        <v/>
      </c>
      <c r="U405" s="124" t="str">
        <f>IF($B405="","",IF(U$3=0,"n.b.",INDEX(SRC_Woningetalage!$A$1:$ZZ$501,$A405,U$3)))</f>
        <v/>
      </c>
      <c r="V405" s="124" t="str">
        <f>IF($B405="","",IF(V$3=0,"n.b.",INDEX(SRC_Woningetalage!$A$1:$ZZ$501,$A405,V$3)))</f>
        <v/>
      </c>
      <c r="W405" s="124" t="str">
        <f>IF($B405="","",IF(W$3=0,"n.b.",INDEX(SRC_Woningetalage!$A$1:$ZZ$501,$A405,W$3)))</f>
        <v/>
      </c>
      <c r="X405" s="124" t="str">
        <f>IF($B405="","",IF(X$3=0,"n.b.",INDEX(SRC_Woningetalage!$A$1:$ZZ$501,$A405,X$3)))</f>
        <v/>
      </c>
      <c r="Y405" s="124" t="str">
        <f>IF($B405="","",IF(Y$3=0,"n.b.",INDEX(SRC_Woningetalage!$A$1:$ZZ$501,$A405,Y$3)))</f>
        <v/>
      </c>
      <c r="Z405" s="124" t="str">
        <f>IF($B405="","",IF(Z$3=0,"n.b.",INDEX(SRC_Woningetalage!$A$1:$ZZ$501,$A405,Z$3)))</f>
        <v/>
      </c>
      <c r="AA405" s="124" t="str">
        <f>IF($B405="","",IF(AA$3=0,"n.b.",INDEX(SRC_Woningetalage!$A$1:$ZZ$501,$A405,AA$3)))</f>
        <v/>
      </c>
      <c r="AB405" s="124" t="str">
        <f>IF($B405="","",IF(AB$3=0,"n.b.",INDEX(SRC_Woningetalage!$A$1:$ZZ$501,$A405,AB$3)))</f>
        <v/>
      </c>
      <c r="AC405" s="124" t="str">
        <f>IF($B405="","",IF(AC$3=0,"n.b.",INDEX(SRC_Woningetalage!$A$1:$ZZ$501,$A405,AC$3)))</f>
        <v/>
      </c>
      <c r="AD405" s="124" t="str">
        <f>IF($B405="","",IF(AD$3=0,"n.b.",INDEX(SRC_Woningetalage!$A$1:$ZZ$501,$A405,AD$3)))</f>
        <v/>
      </c>
      <c r="AE405" s="124" t="str">
        <f>IF($B405="","",IF(AE$3=0,"n.b.",INDEX(SRC_Woningetalage!$A$1:$ZZ$501,$A405,AE$3)))</f>
        <v/>
      </c>
      <c r="AF405" s="124" t="str">
        <f>IF($B405="","",IF(AF$3=0,"n.b.",INDEX(SRC_Woningetalage!$A$1:$ZZ$501,$A405,AF$3)))</f>
        <v/>
      </c>
      <c r="AG405" s="124" t="str">
        <f>IF($B405="","",IF(AG$3=0,"n.b.",INDEX(SRC_Woningetalage!$A$1:$ZZ$501,$A405,AG$3)))</f>
        <v/>
      </c>
      <c r="AH405" s="124" t="str">
        <f>IF($B405="","",IF(AH$3=0,"n.b.",INDEX(SRC_Woningetalage!$A$1:$ZZ$501,$A405,AH$3)))</f>
        <v/>
      </c>
      <c r="AI405" s="124" t="str">
        <f>IF($B405="","",IF(AI$3=0,"n.b.",INDEX(SRC_Woningetalage!$A$1:$ZZ$501,$A405,AI$3)))</f>
        <v/>
      </c>
      <c r="AJ405" s="124" t="str">
        <f>IF($B405="","",IF(AJ$3=0,"n.b.",INDEX(SRC_Woningetalage!$A$1:$ZZ$501,$A405,AJ$3)))</f>
        <v/>
      </c>
      <c r="AK405" s="124" t="str">
        <f>IF($B405="","",IF(AK$3=0,"n.b.",INDEX(SRC_Woningetalage!$A$1:$ZZ$501,$A405,AK$3)))</f>
        <v/>
      </c>
      <c r="AL405" s="124" t="str">
        <f>IF($B405="","",IF(AL$3=0,"n.b.",INDEX(SRC_Woningetalage!$A$1:$ZZ$501,$A405,AL$3)))</f>
        <v/>
      </c>
      <c r="AM405" s="124" t="str">
        <f>IF($B405="","",IF(AM$3=0,"n.b.",INDEX(SRC_Woningetalage!$A$1:$ZZ$501,$A405,AM$3)))</f>
        <v/>
      </c>
      <c r="AN405" s="124" t="str">
        <f>IF($B405="","",IF(AN$3=0,"n.b.",INDEX(SRC_Woningetalage!$A$1:$ZZ$501,$A405,AN$3)))</f>
        <v/>
      </c>
      <c r="AO405" s="124" t="str">
        <f>IF($B405="","",IF(AO$3=0,"n.b.",INDEX(SRC_Woningetalage!$A$1:$ZZ$501,$A405,AO$3)))</f>
        <v/>
      </c>
      <c r="AP405" s="124" t="str">
        <f>IF($B405="","",IF(AP$3=0,"n.b.",INDEX(SRC_Woningetalage!$A$1:$ZZ$501,$A405,AP$3)))</f>
        <v/>
      </c>
      <c r="AQ405" s="124" t="str">
        <f>IF($B405="","",IF(AQ$3=0,"n.b.",INDEX(SRC_Woningetalage!$A$1:$ZZ$501,$A405,AQ$3)))</f>
        <v/>
      </c>
      <c r="AR405" s="124" t="str">
        <f>IF($B405="","",IF(AR$3=0,"n.b.",INDEX(SRC_Woningetalage!$A$1:$ZZ$501,$A405,AR$3)))</f>
        <v/>
      </c>
      <c r="AS405" s="124" t="str">
        <f>IF($B405="","",IF(AS$3=0,"n.b.",INDEX(SRC_Woningetalage!$A$1:$ZZ$501,$A405,AS$3)))</f>
        <v/>
      </c>
      <c r="AT405" s="124" t="str">
        <f>IF($B405="","",IF(AT$3=0,"n.b.",INDEX(SRC_Woningetalage!$A$1:$ZZ$501,$A405,AT$3)))</f>
        <v/>
      </c>
      <c r="AU405" s="124" t="str">
        <f>IF($B405="","",IF(AU$3=0,"n.b.",INDEX(SRC_Woningetalage!$A$1:$ZZ$501,$A405,AU$3)))</f>
        <v/>
      </c>
      <c r="AV405" s="124" t="str">
        <f>IF($B405="","",IF(AV$3=0,"n.b.",INDEX(SRC_Woningetalage!$A$1:$ZZ$501,$A405,AV$3)))</f>
        <v/>
      </c>
      <c r="AW405" s="124" t="str">
        <f>IF($B405="","",IF(AW$3=0,"n.b.",INDEX(SRC_Woningetalage!$A$1:$ZZ$501,$A405,AW$3)))</f>
        <v/>
      </c>
      <c r="AX405" s="124" t="str">
        <f>IF($B405="","",IF(AX$3=0,"n.b.",INDEX(SRC_Woningetalage!$A$1:$ZZ$501,$A405,AX$3)))</f>
        <v/>
      </c>
      <c r="AY405" s="124" t="str">
        <f>IF($B405="","",IF(AY$3=0,"n.b.",INDEX(SRC_Woningetalage!$A$1:$ZZ$501,$A405,AY$3)))</f>
        <v/>
      </c>
      <c r="AZ405" s="124" t="str">
        <f>IF($B405="","",IF(AZ$3=0,"n.b.",INDEX(SRC_Woningetalage!$A$1:$ZZ$501,$A405,AZ$3)))</f>
        <v/>
      </c>
      <c r="BA405" s="124" t="str">
        <f>IF($B405="","",IF(BA$3=0,"n.b.",INDEX(SRC_Woningetalage!$A$1:$ZZ$501,$A405,BA$3)))</f>
        <v/>
      </c>
      <c r="BB405" s="124" t="str">
        <f>IF($B405="","",IF(BB$3=0,"n.b.",INDEX(SRC_Woningetalage!$A$1:$ZZ$501,$A405,BB$3)))</f>
        <v/>
      </c>
      <c r="BC405" s="124" t="str">
        <f>IF($B405="","",IFERROR(_xlfn.NUMBERVALUE(E405&amp;"",",","."),"n.b."))</f>
        <v/>
      </c>
      <c r="BD405" s="124" t="str">
        <f>IF($B405="","",IFERROR(_xlfn.NUMBERVALUE(M405&amp;"",",","."),"n.b."))</f>
        <v/>
      </c>
      <c r="BE405" s="124" t="str">
        <f>IF($B405="","",IFERROR(AB405+AC405+AD405,"n.b."))</f>
        <v/>
      </c>
      <c r="BF405" s="124" t="str">
        <f>IF($B405="","",IFERROR(AE405+AF405+AG405,"n.b."))</f>
        <v/>
      </c>
      <c r="BG405" s="124" t="str">
        <f>IF($B405="","",IFERROR(AH405+AI405+AJ405,"n.b."))</f>
        <v/>
      </c>
      <c r="BH405" s="124" t="str">
        <f>IF($B405="","",IFERROR(AK405+AL405+AM405,"n.b."))</f>
        <v/>
      </c>
      <c r="BI405" s="124" t="str">
        <f>IF($B405="","",IFERROR(SUMIF($AB$5:$AM$5,"&lt;="&amp;P_PeilMaand,AB405:AM405),"n.b."))</f>
        <v/>
      </c>
      <c r="BJ405" s="124" t="str">
        <f>IF($B405="","",IFERROR(SUM(AB405:AM405)-BI405,"n.b."))</f>
        <v/>
      </c>
      <c r="BK405" s="124" t="str">
        <f>IF($B405="","",IFERROR(IF(ABS(Q405-(T405+SUM(AB405:AM405)+AS405+AU405))&gt;P_Tol,1,0),1))</f>
        <v/>
      </c>
      <c r="BL405" s="124" t="str">
        <f>IF($B405="","",IFERROR(IF(ABS(AA405-(Q405-Z405))&gt;P_Tol,1,0),1))</f>
        <v/>
      </c>
      <c r="BM405" s="124" t="str">
        <f>IF($B405="","",IFERROR(IF(ABS(Z405-(T405+W405))&gt;P_Tol,1,0),1))</f>
        <v/>
      </c>
      <c r="BN405" s="124" t="str">
        <f>IF($B405="","",IFERROR(IF(ABS(W405-BI405)&gt;P_Tol,1,0),1))</f>
        <v/>
      </c>
      <c r="BO405" s="124" t="str">
        <f>IF($B405="","",IFERROR(IF(OR(ABS(R405+S405-T405)&gt;P_Tol,ABS(U405+V405-W405)&gt;P_Tol,ABS(X405+Y405-Z405)&gt;P_Tol),1,0),1))</f>
        <v/>
      </c>
      <c r="BP405" s="124" t="str">
        <f>IF($B405="","",IFERROR(IF(OR(ABS(AR405-SUM(AB405:AM405))&gt;P_Tol,ABS(AS405-(AN405+AO405+AP405+AQ405))&gt;P_Tol),1,0),1))</f>
        <v/>
      </c>
      <c r="BQ405" s="124" t="str">
        <f>IF($B405="","",IFERROR(IF(ABS(AT405)+ABS(AV405)+ABS(AW405)+ABS(AX405)+ABS(AY405)+ABS(AZ405)+ABS(BA405)+ABS(BB405)&gt;0,1,0),1))</f>
        <v/>
      </c>
      <c r="BR405" s="124" t="str">
        <f>IF($B405="","",COUNTIF(STG_ZPMW03!$B$6:$B$505,B405))</f>
        <v/>
      </c>
      <c r="BS405" s="124" t="str">
        <f>IF($B405="","",COUNTIF($B$6:$B$505,B405))</f>
        <v/>
      </c>
      <c r="BT405" s="124" t="str">
        <f>IF($B405="","",IF(BR405=0,0,IF(INDEX(STG_ZPMW03!$I$6:$I$505,MATCH(B405,STG_ZPMW03!$B$6:$B$505,0))=J405&amp;"",0,1)))</f>
        <v/>
      </c>
      <c r="BU405" s="124" t="str">
        <f>IF($B405="","",IFERROR(IF(ABS(INDEX(Mapping!$D$5:$D$104,MATCH(B405,Mapping!$A$5:$A$104,0))-Q405)&gt;P_Tol,1,0),0))</f>
        <v/>
      </c>
      <c r="BV405" s="124" t="str">
        <f>IF($B405="","",IFERROR(IF(AND(INDEX(Mapping!$G$5:$G$104,MATCH(B405,Mapping!$A$5:$A$104,0))="Nee",ABS(Q405)+ABS(Z405)+ABS(AR405)&gt;0),1,0),0))</f>
        <v/>
      </c>
      <c r="BW405" s="124" t="str">
        <f>IF($B405="","",IF(COUNTIF(Mapping!$A$5:$A$104,B405)&gt;0,1,0))</f>
        <v/>
      </c>
      <c r="BX405" s="124" t="str">
        <f>IF($B405="","",IF(BR405=0,COUNTIF($BR$6:BR405,0),""))</f>
        <v/>
      </c>
    </row>
    <row r="406">
      <c r="A406" s="15" t="n">
        <v>402</v>
      </c>
      <c r="B406" t="str">
        <f>IF(B$3=0,"",IF(INDEX(SRC_Woningetalage!$A$1:$ZZ$501,$A406,B$3)&amp;""="","",INDEX(SRC_Woningetalage!$A$1:$ZZ$501,$A406,B$3)&amp;""))</f>
        <v/>
      </c>
      <c r="C406" t="str">
        <f>IF($B406="","",IF(C$3=0,"n.b.",INDEX(SRC_Woningetalage!$A$1:$ZZ$501,$A406,C$3)))</f>
        <v/>
      </c>
      <c r="D406" t="str">
        <f>IF($B406="","",IF(D$3=0,"n.b.",INDEX(SRC_Woningetalage!$A$1:$ZZ$501,$A406,D$3)))</f>
        <v/>
      </c>
      <c r="E406" t="str">
        <f>IF($B406="","",IF(E$3=0,"n.b.",INDEX(SRC_Woningetalage!$A$1:$ZZ$501,$A406,E$3)))</f>
        <v/>
      </c>
      <c r="F406" t="str">
        <f>IF($B406="","",IF(F$3=0,"n.b.",INDEX(SRC_Woningetalage!$A$1:$ZZ$501,$A406,F$3)))</f>
        <v/>
      </c>
      <c r="G406" t="str">
        <f>IF($B406="","",IF(G$3=0,"n.b.",INDEX(SRC_Woningetalage!$A$1:$ZZ$501,$A406,G$3)))</f>
        <v/>
      </c>
      <c r="H406" t="str">
        <f>IF($B406="","",IF(H$3=0,"n.b.",INDEX(SRC_Woningetalage!$A$1:$ZZ$501,$A406,H$3)))</f>
        <v/>
      </c>
      <c r="I406" t="str">
        <f>IF($B406="","",IF(I$3=0,"n.b.",INDEX(SRC_Woningetalage!$A$1:$ZZ$501,$A406,I$3)))</f>
        <v/>
      </c>
      <c r="J406" t="str">
        <f>IF($B406="","",IF(J$3=0,"n.b.",INDEX(SRC_Woningetalage!$A$1:$ZZ$501,$A406,J$3)))</f>
        <v/>
      </c>
      <c r="K406" t="str">
        <f>IF($B406="","",IF(K$3=0,"n.b.",INDEX(SRC_Woningetalage!$A$1:$ZZ$501,$A406,K$3)))</f>
        <v/>
      </c>
      <c r="L406" t="str">
        <f>IF($B406="","",IF(L$3=0,"n.b.",INDEX(SRC_Woningetalage!$A$1:$ZZ$501,$A406,L$3)))</f>
        <v/>
      </c>
      <c r="M406" t="str">
        <f>IF($B406="","",IF(M$3=0,"n.b.",INDEX(SRC_Woningetalage!$A$1:$ZZ$501,$A406,M$3)))</f>
        <v/>
      </c>
      <c r="N406" t="str">
        <f>IF($B406="","",IF(N$3=0,"n.b.",INDEX(SRC_Woningetalage!$A$1:$ZZ$501,$A406,N$3)))</f>
        <v/>
      </c>
      <c r="O406" t="str">
        <f>IF($B406="","",IF(O$3=0,"n.b.",INDEX(SRC_Woningetalage!$A$1:$ZZ$501,$A406,O$3)))</f>
        <v/>
      </c>
      <c r="P406" t="str">
        <f>IF($B406="","",IF(P$3=0,"n.b.",INDEX(SRC_Woningetalage!$A$1:$ZZ$501,$A406,P$3)))</f>
        <v/>
      </c>
      <c r="Q406" s="124" t="str">
        <f>IF($B406="","",IF(Q$3=0,"n.b.",INDEX(SRC_Woningetalage!$A$1:$ZZ$501,$A406,Q$3)))</f>
        <v/>
      </c>
      <c r="R406" s="124" t="str">
        <f>IF($B406="","",IF(R$3=0,"n.b.",INDEX(SRC_Woningetalage!$A$1:$ZZ$501,$A406,R$3)))</f>
        <v/>
      </c>
      <c r="S406" s="124" t="str">
        <f>IF($B406="","",IF(S$3=0,"n.b.",INDEX(SRC_Woningetalage!$A$1:$ZZ$501,$A406,S$3)))</f>
        <v/>
      </c>
      <c r="T406" s="124" t="str">
        <f>IF($B406="","",IF(T$3=0,"n.b.",INDEX(SRC_Woningetalage!$A$1:$ZZ$501,$A406,T$3)))</f>
        <v/>
      </c>
      <c r="U406" s="124" t="str">
        <f>IF($B406="","",IF(U$3=0,"n.b.",INDEX(SRC_Woningetalage!$A$1:$ZZ$501,$A406,U$3)))</f>
        <v/>
      </c>
      <c r="V406" s="124" t="str">
        <f>IF($B406="","",IF(V$3=0,"n.b.",INDEX(SRC_Woningetalage!$A$1:$ZZ$501,$A406,V$3)))</f>
        <v/>
      </c>
      <c r="W406" s="124" t="str">
        <f>IF($B406="","",IF(W$3=0,"n.b.",INDEX(SRC_Woningetalage!$A$1:$ZZ$501,$A406,W$3)))</f>
        <v/>
      </c>
      <c r="X406" s="124" t="str">
        <f>IF($B406="","",IF(X$3=0,"n.b.",INDEX(SRC_Woningetalage!$A$1:$ZZ$501,$A406,X$3)))</f>
        <v/>
      </c>
      <c r="Y406" s="124" t="str">
        <f>IF($B406="","",IF(Y$3=0,"n.b.",INDEX(SRC_Woningetalage!$A$1:$ZZ$501,$A406,Y$3)))</f>
        <v/>
      </c>
      <c r="Z406" s="124" t="str">
        <f>IF($B406="","",IF(Z$3=0,"n.b.",INDEX(SRC_Woningetalage!$A$1:$ZZ$501,$A406,Z$3)))</f>
        <v/>
      </c>
      <c r="AA406" s="124" t="str">
        <f>IF($B406="","",IF(AA$3=0,"n.b.",INDEX(SRC_Woningetalage!$A$1:$ZZ$501,$A406,AA$3)))</f>
        <v/>
      </c>
      <c r="AB406" s="124" t="str">
        <f>IF($B406="","",IF(AB$3=0,"n.b.",INDEX(SRC_Woningetalage!$A$1:$ZZ$501,$A406,AB$3)))</f>
        <v/>
      </c>
      <c r="AC406" s="124" t="str">
        <f>IF($B406="","",IF(AC$3=0,"n.b.",INDEX(SRC_Woningetalage!$A$1:$ZZ$501,$A406,AC$3)))</f>
        <v/>
      </c>
      <c r="AD406" s="124" t="str">
        <f>IF($B406="","",IF(AD$3=0,"n.b.",INDEX(SRC_Woningetalage!$A$1:$ZZ$501,$A406,AD$3)))</f>
        <v/>
      </c>
      <c r="AE406" s="124" t="str">
        <f>IF($B406="","",IF(AE$3=0,"n.b.",INDEX(SRC_Woningetalage!$A$1:$ZZ$501,$A406,AE$3)))</f>
        <v/>
      </c>
      <c r="AF406" s="124" t="str">
        <f>IF($B406="","",IF(AF$3=0,"n.b.",INDEX(SRC_Woningetalage!$A$1:$ZZ$501,$A406,AF$3)))</f>
        <v/>
      </c>
      <c r="AG406" s="124" t="str">
        <f>IF($B406="","",IF(AG$3=0,"n.b.",INDEX(SRC_Woningetalage!$A$1:$ZZ$501,$A406,AG$3)))</f>
        <v/>
      </c>
      <c r="AH406" s="124" t="str">
        <f>IF($B406="","",IF(AH$3=0,"n.b.",INDEX(SRC_Woningetalage!$A$1:$ZZ$501,$A406,AH$3)))</f>
        <v/>
      </c>
      <c r="AI406" s="124" t="str">
        <f>IF($B406="","",IF(AI$3=0,"n.b.",INDEX(SRC_Woningetalage!$A$1:$ZZ$501,$A406,AI$3)))</f>
        <v/>
      </c>
      <c r="AJ406" s="124" t="str">
        <f>IF($B406="","",IF(AJ$3=0,"n.b.",INDEX(SRC_Woningetalage!$A$1:$ZZ$501,$A406,AJ$3)))</f>
        <v/>
      </c>
      <c r="AK406" s="124" t="str">
        <f>IF($B406="","",IF(AK$3=0,"n.b.",INDEX(SRC_Woningetalage!$A$1:$ZZ$501,$A406,AK$3)))</f>
        <v/>
      </c>
      <c r="AL406" s="124" t="str">
        <f>IF($B406="","",IF(AL$3=0,"n.b.",INDEX(SRC_Woningetalage!$A$1:$ZZ$501,$A406,AL$3)))</f>
        <v/>
      </c>
      <c r="AM406" s="124" t="str">
        <f>IF($B406="","",IF(AM$3=0,"n.b.",INDEX(SRC_Woningetalage!$A$1:$ZZ$501,$A406,AM$3)))</f>
        <v/>
      </c>
      <c r="AN406" s="124" t="str">
        <f>IF($B406="","",IF(AN$3=0,"n.b.",INDEX(SRC_Woningetalage!$A$1:$ZZ$501,$A406,AN$3)))</f>
        <v/>
      </c>
      <c r="AO406" s="124" t="str">
        <f>IF($B406="","",IF(AO$3=0,"n.b.",INDEX(SRC_Woningetalage!$A$1:$ZZ$501,$A406,AO$3)))</f>
        <v/>
      </c>
      <c r="AP406" s="124" t="str">
        <f>IF($B406="","",IF(AP$3=0,"n.b.",INDEX(SRC_Woningetalage!$A$1:$ZZ$501,$A406,AP$3)))</f>
        <v/>
      </c>
      <c r="AQ406" s="124" t="str">
        <f>IF($B406="","",IF(AQ$3=0,"n.b.",INDEX(SRC_Woningetalage!$A$1:$ZZ$501,$A406,AQ$3)))</f>
        <v/>
      </c>
      <c r="AR406" s="124" t="str">
        <f>IF($B406="","",IF(AR$3=0,"n.b.",INDEX(SRC_Woningetalage!$A$1:$ZZ$501,$A406,AR$3)))</f>
        <v/>
      </c>
      <c r="AS406" s="124" t="str">
        <f>IF($B406="","",IF(AS$3=0,"n.b.",INDEX(SRC_Woningetalage!$A$1:$ZZ$501,$A406,AS$3)))</f>
        <v/>
      </c>
      <c r="AT406" s="124" t="str">
        <f>IF($B406="","",IF(AT$3=0,"n.b.",INDEX(SRC_Woningetalage!$A$1:$ZZ$501,$A406,AT$3)))</f>
        <v/>
      </c>
      <c r="AU406" s="124" t="str">
        <f>IF($B406="","",IF(AU$3=0,"n.b.",INDEX(SRC_Woningetalage!$A$1:$ZZ$501,$A406,AU$3)))</f>
        <v/>
      </c>
      <c r="AV406" s="124" t="str">
        <f>IF($B406="","",IF(AV$3=0,"n.b.",INDEX(SRC_Woningetalage!$A$1:$ZZ$501,$A406,AV$3)))</f>
        <v/>
      </c>
      <c r="AW406" s="124" t="str">
        <f>IF($B406="","",IF(AW$3=0,"n.b.",INDEX(SRC_Woningetalage!$A$1:$ZZ$501,$A406,AW$3)))</f>
        <v/>
      </c>
      <c r="AX406" s="124" t="str">
        <f>IF($B406="","",IF(AX$3=0,"n.b.",INDEX(SRC_Woningetalage!$A$1:$ZZ$501,$A406,AX$3)))</f>
        <v/>
      </c>
      <c r="AY406" s="124" t="str">
        <f>IF($B406="","",IF(AY$3=0,"n.b.",INDEX(SRC_Woningetalage!$A$1:$ZZ$501,$A406,AY$3)))</f>
        <v/>
      </c>
      <c r="AZ406" s="124" t="str">
        <f>IF($B406="","",IF(AZ$3=0,"n.b.",INDEX(SRC_Woningetalage!$A$1:$ZZ$501,$A406,AZ$3)))</f>
        <v/>
      </c>
      <c r="BA406" s="124" t="str">
        <f>IF($B406="","",IF(BA$3=0,"n.b.",INDEX(SRC_Woningetalage!$A$1:$ZZ$501,$A406,BA$3)))</f>
        <v/>
      </c>
      <c r="BB406" s="124" t="str">
        <f>IF($B406="","",IF(BB$3=0,"n.b.",INDEX(SRC_Woningetalage!$A$1:$ZZ$501,$A406,BB$3)))</f>
        <v/>
      </c>
      <c r="BC406" s="124" t="str">
        <f>IF($B406="","",IFERROR(_xlfn.NUMBERVALUE(E406&amp;"",",","."),"n.b."))</f>
        <v/>
      </c>
      <c r="BD406" s="124" t="str">
        <f>IF($B406="","",IFERROR(_xlfn.NUMBERVALUE(M406&amp;"",",","."),"n.b."))</f>
        <v/>
      </c>
      <c r="BE406" s="124" t="str">
        <f>IF($B406="","",IFERROR(AB406+AC406+AD406,"n.b."))</f>
        <v/>
      </c>
      <c r="BF406" s="124" t="str">
        <f>IF($B406="","",IFERROR(AE406+AF406+AG406,"n.b."))</f>
        <v/>
      </c>
      <c r="BG406" s="124" t="str">
        <f>IF($B406="","",IFERROR(AH406+AI406+AJ406,"n.b."))</f>
        <v/>
      </c>
      <c r="BH406" s="124" t="str">
        <f>IF($B406="","",IFERROR(AK406+AL406+AM406,"n.b."))</f>
        <v/>
      </c>
      <c r="BI406" s="124" t="str">
        <f>IF($B406="","",IFERROR(SUMIF($AB$5:$AM$5,"&lt;="&amp;P_PeilMaand,AB406:AM406),"n.b."))</f>
        <v/>
      </c>
      <c r="BJ406" s="124" t="str">
        <f>IF($B406="","",IFERROR(SUM(AB406:AM406)-BI406,"n.b."))</f>
        <v/>
      </c>
      <c r="BK406" s="124" t="str">
        <f>IF($B406="","",IFERROR(IF(ABS(Q406-(T406+SUM(AB406:AM406)+AS406+AU406))&gt;P_Tol,1,0),1))</f>
        <v/>
      </c>
      <c r="BL406" s="124" t="str">
        <f>IF($B406="","",IFERROR(IF(ABS(AA406-(Q406-Z406))&gt;P_Tol,1,0),1))</f>
        <v/>
      </c>
      <c r="BM406" s="124" t="str">
        <f>IF($B406="","",IFERROR(IF(ABS(Z406-(T406+W406))&gt;P_Tol,1,0),1))</f>
        <v/>
      </c>
      <c r="BN406" s="124" t="str">
        <f>IF($B406="","",IFERROR(IF(ABS(W406-BI406)&gt;P_Tol,1,0),1))</f>
        <v/>
      </c>
      <c r="BO406" s="124" t="str">
        <f>IF($B406="","",IFERROR(IF(OR(ABS(R406+S406-T406)&gt;P_Tol,ABS(U406+V406-W406)&gt;P_Tol,ABS(X406+Y406-Z406)&gt;P_Tol),1,0),1))</f>
        <v/>
      </c>
      <c r="BP406" s="124" t="str">
        <f>IF($B406="","",IFERROR(IF(OR(ABS(AR406-SUM(AB406:AM406))&gt;P_Tol,ABS(AS406-(AN406+AO406+AP406+AQ406))&gt;P_Tol),1,0),1))</f>
        <v/>
      </c>
      <c r="BQ406" s="124" t="str">
        <f>IF($B406="","",IFERROR(IF(ABS(AT406)+ABS(AV406)+ABS(AW406)+ABS(AX406)+ABS(AY406)+ABS(AZ406)+ABS(BA406)+ABS(BB406)&gt;0,1,0),1))</f>
        <v/>
      </c>
      <c r="BR406" s="124" t="str">
        <f>IF($B406="","",COUNTIF(STG_ZPMW03!$B$6:$B$505,B406))</f>
        <v/>
      </c>
      <c r="BS406" s="124" t="str">
        <f>IF($B406="","",COUNTIF($B$6:$B$505,B406))</f>
        <v/>
      </c>
      <c r="BT406" s="124" t="str">
        <f>IF($B406="","",IF(BR406=0,0,IF(INDEX(STG_ZPMW03!$I$6:$I$505,MATCH(B406,STG_ZPMW03!$B$6:$B$505,0))=J406&amp;"",0,1)))</f>
        <v/>
      </c>
      <c r="BU406" s="124" t="str">
        <f>IF($B406="","",IFERROR(IF(ABS(INDEX(Mapping!$D$5:$D$104,MATCH(B406,Mapping!$A$5:$A$104,0))-Q406)&gt;P_Tol,1,0),0))</f>
        <v/>
      </c>
      <c r="BV406" s="124" t="str">
        <f>IF($B406="","",IFERROR(IF(AND(INDEX(Mapping!$G$5:$G$104,MATCH(B406,Mapping!$A$5:$A$104,0))="Nee",ABS(Q406)+ABS(Z406)+ABS(AR406)&gt;0),1,0),0))</f>
        <v/>
      </c>
      <c r="BW406" s="124" t="str">
        <f>IF($B406="","",IF(COUNTIF(Mapping!$A$5:$A$104,B406)&gt;0,1,0))</f>
        <v/>
      </c>
      <c r="BX406" s="124" t="str">
        <f>IF($B406="","",IF(BR406=0,COUNTIF($BR$6:BR406,0),""))</f>
        <v/>
      </c>
    </row>
    <row r="407">
      <c r="A407" s="15" t="n">
        <v>403</v>
      </c>
      <c r="B407" t="str">
        <f>IF(B$3=0,"",IF(INDEX(SRC_Woningetalage!$A$1:$ZZ$501,$A407,B$3)&amp;""="","",INDEX(SRC_Woningetalage!$A$1:$ZZ$501,$A407,B$3)&amp;""))</f>
        <v/>
      </c>
      <c r="C407" t="str">
        <f>IF($B407="","",IF(C$3=0,"n.b.",INDEX(SRC_Woningetalage!$A$1:$ZZ$501,$A407,C$3)))</f>
        <v/>
      </c>
      <c r="D407" t="str">
        <f>IF($B407="","",IF(D$3=0,"n.b.",INDEX(SRC_Woningetalage!$A$1:$ZZ$501,$A407,D$3)))</f>
        <v/>
      </c>
      <c r="E407" t="str">
        <f>IF($B407="","",IF(E$3=0,"n.b.",INDEX(SRC_Woningetalage!$A$1:$ZZ$501,$A407,E$3)))</f>
        <v/>
      </c>
      <c r="F407" t="str">
        <f>IF($B407="","",IF(F$3=0,"n.b.",INDEX(SRC_Woningetalage!$A$1:$ZZ$501,$A407,F$3)))</f>
        <v/>
      </c>
      <c r="G407" t="str">
        <f>IF($B407="","",IF(G$3=0,"n.b.",INDEX(SRC_Woningetalage!$A$1:$ZZ$501,$A407,G$3)))</f>
        <v/>
      </c>
      <c r="H407" t="str">
        <f>IF($B407="","",IF(H$3=0,"n.b.",INDEX(SRC_Woningetalage!$A$1:$ZZ$501,$A407,H$3)))</f>
        <v/>
      </c>
      <c r="I407" t="str">
        <f>IF($B407="","",IF(I$3=0,"n.b.",INDEX(SRC_Woningetalage!$A$1:$ZZ$501,$A407,I$3)))</f>
        <v/>
      </c>
      <c r="J407" t="str">
        <f>IF($B407="","",IF(J$3=0,"n.b.",INDEX(SRC_Woningetalage!$A$1:$ZZ$501,$A407,J$3)))</f>
        <v/>
      </c>
      <c r="K407" t="str">
        <f>IF($B407="","",IF(K$3=0,"n.b.",INDEX(SRC_Woningetalage!$A$1:$ZZ$501,$A407,K$3)))</f>
        <v/>
      </c>
      <c r="L407" t="str">
        <f>IF($B407="","",IF(L$3=0,"n.b.",INDEX(SRC_Woningetalage!$A$1:$ZZ$501,$A407,L$3)))</f>
        <v/>
      </c>
      <c r="M407" t="str">
        <f>IF($B407="","",IF(M$3=0,"n.b.",INDEX(SRC_Woningetalage!$A$1:$ZZ$501,$A407,M$3)))</f>
        <v/>
      </c>
      <c r="N407" t="str">
        <f>IF($B407="","",IF(N$3=0,"n.b.",INDEX(SRC_Woningetalage!$A$1:$ZZ$501,$A407,N$3)))</f>
        <v/>
      </c>
      <c r="O407" t="str">
        <f>IF($B407="","",IF(O$3=0,"n.b.",INDEX(SRC_Woningetalage!$A$1:$ZZ$501,$A407,O$3)))</f>
        <v/>
      </c>
      <c r="P407" t="str">
        <f>IF($B407="","",IF(P$3=0,"n.b.",INDEX(SRC_Woningetalage!$A$1:$ZZ$501,$A407,P$3)))</f>
        <v/>
      </c>
      <c r="Q407" s="124" t="str">
        <f>IF($B407="","",IF(Q$3=0,"n.b.",INDEX(SRC_Woningetalage!$A$1:$ZZ$501,$A407,Q$3)))</f>
        <v/>
      </c>
      <c r="R407" s="124" t="str">
        <f>IF($B407="","",IF(R$3=0,"n.b.",INDEX(SRC_Woningetalage!$A$1:$ZZ$501,$A407,R$3)))</f>
        <v/>
      </c>
      <c r="S407" s="124" t="str">
        <f>IF($B407="","",IF(S$3=0,"n.b.",INDEX(SRC_Woningetalage!$A$1:$ZZ$501,$A407,S$3)))</f>
        <v/>
      </c>
      <c r="T407" s="124" t="str">
        <f>IF($B407="","",IF(T$3=0,"n.b.",INDEX(SRC_Woningetalage!$A$1:$ZZ$501,$A407,T$3)))</f>
        <v/>
      </c>
      <c r="U407" s="124" t="str">
        <f>IF($B407="","",IF(U$3=0,"n.b.",INDEX(SRC_Woningetalage!$A$1:$ZZ$501,$A407,U$3)))</f>
        <v/>
      </c>
      <c r="V407" s="124" t="str">
        <f>IF($B407="","",IF(V$3=0,"n.b.",INDEX(SRC_Woningetalage!$A$1:$ZZ$501,$A407,V$3)))</f>
        <v/>
      </c>
      <c r="W407" s="124" t="str">
        <f>IF($B407="","",IF(W$3=0,"n.b.",INDEX(SRC_Woningetalage!$A$1:$ZZ$501,$A407,W$3)))</f>
        <v/>
      </c>
      <c r="X407" s="124" t="str">
        <f>IF($B407="","",IF(X$3=0,"n.b.",INDEX(SRC_Woningetalage!$A$1:$ZZ$501,$A407,X$3)))</f>
        <v/>
      </c>
      <c r="Y407" s="124" t="str">
        <f>IF($B407="","",IF(Y$3=0,"n.b.",INDEX(SRC_Woningetalage!$A$1:$ZZ$501,$A407,Y$3)))</f>
        <v/>
      </c>
      <c r="Z407" s="124" t="str">
        <f>IF($B407="","",IF(Z$3=0,"n.b.",INDEX(SRC_Woningetalage!$A$1:$ZZ$501,$A407,Z$3)))</f>
        <v/>
      </c>
      <c r="AA407" s="124" t="str">
        <f>IF($B407="","",IF(AA$3=0,"n.b.",INDEX(SRC_Woningetalage!$A$1:$ZZ$501,$A407,AA$3)))</f>
        <v/>
      </c>
      <c r="AB407" s="124" t="str">
        <f>IF($B407="","",IF(AB$3=0,"n.b.",INDEX(SRC_Woningetalage!$A$1:$ZZ$501,$A407,AB$3)))</f>
        <v/>
      </c>
      <c r="AC407" s="124" t="str">
        <f>IF($B407="","",IF(AC$3=0,"n.b.",INDEX(SRC_Woningetalage!$A$1:$ZZ$501,$A407,AC$3)))</f>
        <v/>
      </c>
      <c r="AD407" s="124" t="str">
        <f>IF($B407="","",IF(AD$3=0,"n.b.",INDEX(SRC_Woningetalage!$A$1:$ZZ$501,$A407,AD$3)))</f>
        <v/>
      </c>
      <c r="AE407" s="124" t="str">
        <f>IF($B407="","",IF(AE$3=0,"n.b.",INDEX(SRC_Woningetalage!$A$1:$ZZ$501,$A407,AE$3)))</f>
        <v/>
      </c>
      <c r="AF407" s="124" t="str">
        <f>IF($B407="","",IF(AF$3=0,"n.b.",INDEX(SRC_Woningetalage!$A$1:$ZZ$501,$A407,AF$3)))</f>
        <v/>
      </c>
      <c r="AG407" s="124" t="str">
        <f>IF($B407="","",IF(AG$3=0,"n.b.",INDEX(SRC_Woningetalage!$A$1:$ZZ$501,$A407,AG$3)))</f>
        <v/>
      </c>
      <c r="AH407" s="124" t="str">
        <f>IF($B407="","",IF(AH$3=0,"n.b.",INDEX(SRC_Woningetalage!$A$1:$ZZ$501,$A407,AH$3)))</f>
        <v/>
      </c>
      <c r="AI407" s="124" t="str">
        <f>IF($B407="","",IF(AI$3=0,"n.b.",INDEX(SRC_Woningetalage!$A$1:$ZZ$501,$A407,AI$3)))</f>
        <v/>
      </c>
      <c r="AJ407" s="124" t="str">
        <f>IF($B407="","",IF(AJ$3=0,"n.b.",INDEX(SRC_Woningetalage!$A$1:$ZZ$501,$A407,AJ$3)))</f>
        <v/>
      </c>
      <c r="AK407" s="124" t="str">
        <f>IF($B407="","",IF(AK$3=0,"n.b.",INDEX(SRC_Woningetalage!$A$1:$ZZ$501,$A407,AK$3)))</f>
        <v/>
      </c>
      <c r="AL407" s="124" t="str">
        <f>IF($B407="","",IF(AL$3=0,"n.b.",INDEX(SRC_Woningetalage!$A$1:$ZZ$501,$A407,AL$3)))</f>
        <v/>
      </c>
      <c r="AM407" s="124" t="str">
        <f>IF($B407="","",IF(AM$3=0,"n.b.",INDEX(SRC_Woningetalage!$A$1:$ZZ$501,$A407,AM$3)))</f>
        <v/>
      </c>
      <c r="AN407" s="124" t="str">
        <f>IF($B407="","",IF(AN$3=0,"n.b.",INDEX(SRC_Woningetalage!$A$1:$ZZ$501,$A407,AN$3)))</f>
        <v/>
      </c>
      <c r="AO407" s="124" t="str">
        <f>IF($B407="","",IF(AO$3=0,"n.b.",INDEX(SRC_Woningetalage!$A$1:$ZZ$501,$A407,AO$3)))</f>
        <v/>
      </c>
      <c r="AP407" s="124" t="str">
        <f>IF($B407="","",IF(AP$3=0,"n.b.",INDEX(SRC_Woningetalage!$A$1:$ZZ$501,$A407,AP$3)))</f>
        <v/>
      </c>
      <c r="AQ407" s="124" t="str">
        <f>IF($B407="","",IF(AQ$3=0,"n.b.",INDEX(SRC_Woningetalage!$A$1:$ZZ$501,$A407,AQ$3)))</f>
        <v/>
      </c>
      <c r="AR407" s="124" t="str">
        <f>IF($B407="","",IF(AR$3=0,"n.b.",INDEX(SRC_Woningetalage!$A$1:$ZZ$501,$A407,AR$3)))</f>
        <v/>
      </c>
      <c r="AS407" s="124" t="str">
        <f>IF($B407="","",IF(AS$3=0,"n.b.",INDEX(SRC_Woningetalage!$A$1:$ZZ$501,$A407,AS$3)))</f>
        <v/>
      </c>
      <c r="AT407" s="124" t="str">
        <f>IF($B407="","",IF(AT$3=0,"n.b.",INDEX(SRC_Woningetalage!$A$1:$ZZ$501,$A407,AT$3)))</f>
        <v/>
      </c>
      <c r="AU407" s="124" t="str">
        <f>IF($B407="","",IF(AU$3=0,"n.b.",INDEX(SRC_Woningetalage!$A$1:$ZZ$501,$A407,AU$3)))</f>
        <v/>
      </c>
      <c r="AV407" s="124" t="str">
        <f>IF($B407="","",IF(AV$3=0,"n.b.",INDEX(SRC_Woningetalage!$A$1:$ZZ$501,$A407,AV$3)))</f>
        <v/>
      </c>
      <c r="AW407" s="124" t="str">
        <f>IF($B407="","",IF(AW$3=0,"n.b.",INDEX(SRC_Woningetalage!$A$1:$ZZ$501,$A407,AW$3)))</f>
        <v/>
      </c>
      <c r="AX407" s="124" t="str">
        <f>IF($B407="","",IF(AX$3=0,"n.b.",INDEX(SRC_Woningetalage!$A$1:$ZZ$501,$A407,AX$3)))</f>
        <v/>
      </c>
      <c r="AY407" s="124" t="str">
        <f>IF($B407="","",IF(AY$3=0,"n.b.",INDEX(SRC_Woningetalage!$A$1:$ZZ$501,$A407,AY$3)))</f>
        <v/>
      </c>
      <c r="AZ407" s="124" t="str">
        <f>IF($B407="","",IF(AZ$3=0,"n.b.",INDEX(SRC_Woningetalage!$A$1:$ZZ$501,$A407,AZ$3)))</f>
        <v/>
      </c>
      <c r="BA407" s="124" t="str">
        <f>IF($B407="","",IF(BA$3=0,"n.b.",INDEX(SRC_Woningetalage!$A$1:$ZZ$501,$A407,BA$3)))</f>
        <v/>
      </c>
      <c r="BB407" s="124" t="str">
        <f>IF($B407="","",IF(BB$3=0,"n.b.",INDEX(SRC_Woningetalage!$A$1:$ZZ$501,$A407,BB$3)))</f>
        <v/>
      </c>
      <c r="BC407" s="124" t="str">
        <f>IF($B407="","",IFERROR(_xlfn.NUMBERVALUE(E407&amp;"",",","."),"n.b."))</f>
        <v/>
      </c>
      <c r="BD407" s="124" t="str">
        <f>IF($B407="","",IFERROR(_xlfn.NUMBERVALUE(M407&amp;"",",","."),"n.b."))</f>
        <v/>
      </c>
      <c r="BE407" s="124" t="str">
        <f>IF($B407="","",IFERROR(AB407+AC407+AD407,"n.b."))</f>
        <v/>
      </c>
      <c r="BF407" s="124" t="str">
        <f>IF($B407="","",IFERROR(AE407+AF407+AG407,"n.b."))</f>
        <v/>
      </c>
      <c r="BG407" s="124" t="str">
        <f>IF($B407="","",IFERROR(AH407+AI407+AJ407,"n.b."))</f>
        <v/>
      </c>
      <c r="BH407" s="124" t="str">
        <f>IF($B407="","",IFERROR(AK407+AL407+AM407,"n.b."))</f>
        <v/>
      </c>
      <c r="BI407" s="124" t="str">
        <f>IF($B407="","",IFERROR(SUMIF($AB$5:$AM$5,"&lt;="&amp;P_PeilMaand,AB407:AM407),"n.b."))</f>
        <v/>
      </c>
      <c r="BJ407" s="124" t="str">
        <f>IF($B407="","",IFERROR(SUM(AB407:AM407)-BI407,"n.b."))</f>
        <v/>
      </c>
      <c r="BK407" s="124" t="str">
        <f>IF($B407="","",IFERROR(IF(ABS(Q407-(T407+SUM(AB407:AM407)+AS407+AU407))&gt;P_Tol,1,0),1))</f>
        <v/>
      </c>
      <c r="BL407" s="124" t="str">
        <f>IF($B407="","",IFERROR(IF(ABS(AA407-(Q407-Z407))&gt;P_Tol,1,0),1))</f>
        <v/>
      </c>
      <c r="BM407" s="124" t="str">
        <f>IF($B407="","",IFERROR(IF(ABS(Z407-(T407+W407))&gt;P_Tol,1,0),1))</f>
        <v/>
      </c>
      <c r="BN407" s="124" t="str">
        <f>IF($B407="","",IFERROR(IF(ABS(W407-BI407)&gt;P_Tol,1,0),1))</f>
        <v/>
      </c>
      <c r="BO407" s="124" t="str">
        <f>IF($B407="","",IFERROR(IF(OR(ABS(R407+S407-T407)&gt;P_Tol,ABS(U407+V407-W407)&gt;P_Tol,ABS(X407+Y407-Z407)&gt;P_Tol),1,0),1))</f>
        <v/>
      </c>
      <c r="BP407" s="124" t="str">
        <f>IF($B407="","",IFERROR(IF(OR(ABS(AR407-SUM(AB407:AM407))&gt;P_Tol,ABS(AS407-(AN407+AO407+AP407+AQ407))&gt;P_Tol),1,0),1))</f>
        <v/>
      </c>
      <c r="BQ407" s="124" t="str">
        <f>IF($B407="","",IFERROR(IF(ABS(AT407)+ABS(AV407)+ABS(AW407)+ABS(AX407)+ABS(AY407)+ABS(AZ407)+ABS(BA407)+ABS(BB407)&gt;0,1,0),1))</f>
        <v/>
      </c>
      <c r="BR407" s="124" t="str">
        <f>IF($B407="","",COUNTIF(STG_ZPMW03!$B$6:$B$505,B407))</f>
        <v/>
      </c>
      <c r="BS407" s="124" t="str">
        <f>IF($B407="","",COUNTIF($B$6:$B$505,B407))</f>
        <v/>
      </c>
      <c r="BT407" s="124" t="str">
        <f>IF($B407="","",IF(BR407=0,0,IF(INDEX(STG_ZPMW03!$I$6:$I$505,MATCH(B407,STG_ZPMW03!$B$6:$B$505,0))=J407&amp;"",0,1)))</f>
        <v/>
      </c>
      <c r="BU407" s="124" t="str">
        <f>IF($B407="","",IFERROR(IF(ABS(INDEX(Mapping!$D$5:$D$104,MATCH(B407,Mapping!$A$5:$A$104,0))-Q407)&gt;P_Tol,1,0),0))</f>
        <v/>
      </c>
      <c r="BV407" s="124" t="str">
        <f>IF($B407="","",IFERROR(IF(AND(INDEX(Mapping!$G$5:$G$104,MATCH(B407,Mapping!$A$5:$A$104,0))="Nee",ABS(Q407)+ABS(Z407)+ABS(AR407)&gt;0),1,0),0))</f>
        <v/>
      </c>
      <c r="BW407" s="124" t="str">
        <f>IF($B407="","",IF(COUNTIF(Mapping!$A$5:$A$104,B407)&gt;0,1,0))</f>
        <v/>
      </c>
      <c r="BX407" s="124" t="str">
        <f>IF($B407="","",IF(BR407=0,COUNTIF($BR$6:BR407,0),""))</f>
        <v/>
      </c>
    </row>
    <row r="408">
      <c r="A408" s="15" t="n">
        <v>404</v>
      </c>
      <c r="B408" t="str">
        <f>IF(B$3=0,"",IF(INDEX(SRC_Woningetalage!$A$1:$ZZ$501,$A408,B$3)&amp;""="","",INDEX(SRC_Woningetalage!$A$1:$ZZ$501,$A408,B$3)&amp;""))</f>
        <v/>
      </c>
      <c r="C408" t="str">
        <f>IF($B408="","",IF(C$3=0,"n.b.",INDEX(SRC_Woningetalage!$A$1:$ZZ$501,$A408,C$3)))</f>
        <v/>
      </c>
      <c r="D408" t="str">
        <f>IF($B408="","",IF(D$3=0,"n.b.",INDEX(SRC_Woningetalage!$A$1:$ZZ$501,$A408,D$3)))</f>
        <v/>
      </c>
      <c r="E408" t="str">
        <f>IF($B408="","",IF(E$3=0,"n.b.",INDEX(SRC_Woningetalage!$A$1:$ZZ$501,$A408,E$3)))</f>
        <v/>
      </c>
      <c r="F408" t="str">
        <f>IF($B408="","",IF(F$3=0,"n.b.",INDEX(SRC_Woningetalage!$A$1:$ZZ$501,$A408,F$3)))</f>
        <v/>
      </c>
      <c r="G408" t="str">
        <f>IF($B408="","",IF(G$3=0,"n.b.",INDEX(SRC_Woningetalage!$A$1:$ZZ$501,$A408,G$3)))</f>
        <v/>
      </c>
      <c r="H408" t="str">
        <f>IF($B408="","",IF(H$3=0,"n.b.",INDEX(SRC_Woningetalage!$A$1:$ZZ$501,$A408,H$3)))</f>
        <v/>
      </c>
      <c r="I408" t="str">
        <f>IF($B408="","",IF(I$3=0,"n.b.",INDEX(SRC_Woningetalage!$A$1:$ZZ$501,$A408,I$3)))</f>
        <v/>
      </c>
      <c r="J408" t="str">
        <f>IF($B408="","",IF(J$3=0,"n.b.",INDEX(SRC_Woningetalage!$A$1:$ZZ$501,$A408,J$3)))</f>
        <v/>
      </c>
      <c r="K408" t="str">
        <f>IF($B408="","",IF(K$3=0,"n.b.",INDEX(SRC_Woningetalage!$A$1:$ZZ$501,$A408,K$3)))</f>
        <v/>
      </c>
      <c r="L408" t="str">
        <f>IF($B408="","",IF(L$3=0,"n.b.",INDEX(SRC_Woningetalage!$A$1:$ZZ$501,$A408,L$3)))</f>
        <v/>
      </c>
      <c r="M408" t="str">
        <f>IF($B408="","",IF(M$3=0,"n.b.",INDEX(SRC_Woningetalage!$A$1:$ZZ$501,$A408,M$3)))</f>
        <v/>
      </c>
      <c r="N408" t="str">
        <f>IF($B408="","",IF(N$3=0,"n.b.",INDEX(SRC_Woningetalage!$A$1:$ZZ$501,$A408,N$3)))</f>
        <v/>
      </c>
      <c r="O408" t="str">
        <f>IF($B408="","",IF(O$3=0,"n.b.",INDEX(SRC_Woningetalage!$A$1:$ZZ$501,$A408,O$3)))</f>
        <v/>
      </c>
      <c r="P408" t="str">
        <f>IF($B408="","",IF(P$3=0,"n.b.",INDEX(SRC_Woningetalage!$A$1:$ZZ$501,$A408,P$3)))</f>
        <v/>
      </c>
      <c r="Q408" s="124" t="str">
        <f>IF($B408="","",IF(Q$3=0,"n.b.",INDEX(SRC_Woningetalage!$A$1:$ZZ$501,$A408,Q$3)))</f>
        <v/>
      </c>
      <c r="R408" s="124" t="str">
        <f>IF($B408="","",IF(R$3=0,"n.b.",INDEX(SRC_Woningetalage!$A$1:$ZZ$501,$A408,R$3)))</f>
        <v/>
      </c>
      <c r="S408" s="124" t="str">
        <f>IF($B408="","",IF(S$3=0,"n.b.",INDEX(SRC_Woningetalage!$A$1:$ZZ$501,$A408,S$3)))</f>
        <v/>
      </c>
      <c r="T408" s="124" t="str">
        <f>IF($B408="","",IF(T$3=0,"n.b.",INDEX(SRC_Woningetalage!$A$1:$ZZ$501,$A408,T$3)))</f>
        <v/>
      </c>
      <c r="U408" s="124" t="str">
        <f>IF($B408="","",IF(U$3=0,"n.b.",INDEX(SRC_Woningetalage!$A$1:$ZZ$501,$A408,U$3)))</f>
        <v/>
      </c>
      <c r="V408" s="124" t="str">
        <f>IF($B408="","",IF(V$3=0,"n.b.",INDEX(SRC_Woningetalage!$A$1:$ZZ$501,$A408,V$3)))</f>
        <v/>
      </c>
      <c r="W408" s="124" t="str">
        <f>IF($B408="","",IF(W$3=0,"n.b.",INDEX(SRC_Woningetalage!$A$1:$ZZ$501,$A408,W$3)))</f>
        <v/>
      </c>
      <c r="X408" s="124" t="str">
        <f>IF($B408="","",IF(X$3=0,"n.b.",INDEX(SRC_Woningetalage!$A$1:$ZZ$501,$A408,X$3)))</f>
        <v/>
      </c>
      <c r="Y408" s="124" t="str">
        <f>IF($B408="","",IF(Y$3=0,"n.b.",INDEX(SRC_Woningetalage!$A$1:$ZZ$501,$A408,Y$3)))</f>
        <v/>
      </c>
      <c r="Z408" s="124" t="str">
        <f>IF($B408="","",IF(Z$3=0,"n.b.",INDEX(SRC_Woningetalage!$A$1:$ZZ$501,$A408,Z$3)))</f>
        <v/>
      </c>
      <c r="AA408" s="124" t="str">
        <f>IF($B408="","",IF(AA$3=0,"n.b.",INDEX(SRC_Woningetalage!$A$1:$ZZ$501,$A408,AA$3)))</f>
        <v/>
      </c>
      <c r="AB408" s="124" t="str">
        <f>IF($B408="","",IF(AB$3=0,"n.b.",INDEX(SRC_Woningetalage!$A$1:$ZZ$501,$A408,AB$3)))</f>
        <v/>
      </c>
      <c r="AC408" s="124" t="str">
        <f>IF($B408="","",IF(AC$3=0,"n.b.",INDEX(SRC_Woningetalage!$A$1:$ZZ$501,$A408,AC$3)))</f>
        <v/>
      </c>
      <c r="AD408" s="124" t="str">
        <f>IF($B408="","",IF(AD$3=0,"n.b.",INDEX(SRC_Woningetalage!$A$1:$ZZ$501,$A408,AD$3)))</f>
        <v/>
      </c>
      <c r="AE408" s="124" t="str">
        <f>IF($B408="","",IF(AE$3=0,"n.b.",INDEX(SRC_Woningetalage!$A$1:$ZZ$501,$A408,AE$3)))</f>
        <v/>
      </c>
      <c r="AF408" s="124" t="str">
        <f>IF($B408="","",IF(AF$3=0,"n.b.",INDEX(SRC_Woningetalage!$A$1:$ZZ$501,$A408,AF$3)))</f>
        <v/>
      </c>
      <c r="AG408" s="124" t="str">
        <f>IF($B408="","",IF(AG$3=0,"n.b.",INDEX(SRC_Woningetalage!$A$1:$ZZ$501,$A408,AG$3)))</f>
        <v/>
      </c>
      <c r="AH408" s="124" t="str">
        <f>IF($B408="","",IF(AH$3=0,"n.b.",INDEX(SRC_Woningetalage!$A$1:$ZZ$501,$A408,AH$3)))</f>
        <v/>
      </c>
      <c r="AI408" s="124" t="str">
        <f>IF($B408="","",IF(AI$3=0,"n.b.",INDEX(SRC_Woningetalage!$A$1:$ZZ$501,$A408,AI$3)))</f>
        <v/>
      </c>
      <c r="AJ408" s="124" t="str">
        <f>IF($B408="","",IF(AJ$3=0,"n.b.",INDEX(SRC_Woningetalage!$A$1:$ZZ$501,$A408,AJ$3)))</f>
        <v/>
      </c>
      <c r="AK408" s="124" t="str">
        <f>IF($B408="","",IF(AK$3=0,"n.b.",INDEX(SRC_Woningetalage!$A$1:$ZZ$501,$A408,AK$3)))</f>
        <v/>
      </c>
      <c r="AL408" s="124" t="str">
        <f>IF($B408="","",IF(AL$3=0,"n.b.",INDEX(SRC_Woningetalage!$A$1:$ZZ$501,$A408,AL$3)))</f>
        <v/>
      </c>
      <c r="AM408" s="124" t="str">
        <f>IF($B408="","",IF(AM$3=0,"n.b.",INDEX(SRC_Woningetalage!$A$1:$ZZ$501,$A408,AM$3)))</f>
        <v/>
      </c>
      <c r="AN408" s="124" t="str">
        <f>IF($B408="","",IF(AN$3=0,"n.b.",INDEX(SRC_Woningetalage!$A$1:$ZZ$501,$A408,AN$3)))</f>
        <v/>
      </c>
      <c r="AO408" s="124" t="str">
        <f>IF($B408="","",IF(AO$3=0,"n.b.",INDEX(SRC_Woningetalage!$A$1:$ZZ$501,$A408,AO$3)))</f>
        <v/>
      </c>
      <c r="AP408" s="124" t="str">
        <f>IF($B408="","",IF(AP$3=0,"n.b.",INDEX(SRC_Woningetalage!$A$1:$ZZ$501,$A408,AP$3)))</f>
        <v/>
      </c>
      <c r="AQ408" s="124" t="str">
        <f>IF($B408="","",IF(AQ$3=0,"n.b.",INDEX(SRC_Woningetalage!$A$1:$ZZ$501,$A408,AQ$3)))</f>
        <v/>
      </c>
      <c r="AR408" s="124" t="str">
        <f>IF($B408="","",IF(AR$3=0,"n.b.",INDEX(SRC_Woningetalage!$A$1:$ZZ$501,$A408,AR$3)))</f>
        <v/>
      </c>
      <c r="AS408" s="124" t="str">
        <f>IF($B408="","",IF(AS$3=0,"n.b.",INDEX(SRC_Woningetalage!$A$1:$ZZ$501,$A408,AS$3)))</f>
        <v/>
      </c>
      <c r="AT408" s="124" t="str">
        <f>IF($B408="","",IF(AT$3=0,"n.b.",INDEX(SRC_Woningetalage!$A$1:$ZZ$501,$A408,AT$3)))</f>
        <v/>
      </c>
      <c r="AU408" s="124" t="str">
        <f>IF($B408="","",IF(AU$3=0,"n.b.",INDEX(SRC_Woningetalage!$A$1:$ZZ$501,$A408,AU$3)))</f>
        <v/>
      </c>
      <c r="AV408" s="124" t="str">
        <f>IF($B408="","",IF(AV$3=0,"n.b.",INDEX(SRC_Woningetalage!$A$1:$ZZ$501,$A408,AV$3)))</f>
        <v/>
      </c>
      <c r="AW408" s="124" t="str">
        <f>IF($B408="","",IF(AW$3=0,"n.b.",INDEX(SRC_Woningetalage!$A$1:$ZZ$501,$A408,AW$3)))</f>
        <v/>
      </c>
      <c r="AX408" s="124" t="str">
        <f>IF($B408="","",IF(AX$3=0,"n.b.",INDEX(SRC_Woningetalage!$A$1:$ZZ$501,$A408,AX$3)))</f>
        <v/>
      </c>
      <c r="AY408" s="124" t="str">
        <f>IF($B408="","",IF(AY$3=0,"n.b.",INDEX(SRC_Woningetalage!$A$1:$ZZ$501,$A408,AY$3)))</f>
        <v/>
      </c>
      <c r="AZ408" s="124" t="str">
        <f>IF($B408="","",IF(AZ$3=0,"n.b.",INDEX(SRC_Woningetalage!$A$1:$ZZ$501,$A408,AZ$3)))</f>
        <v/>
      </c>
      <c r="BA408" s="124" t="str">
        <f>IF($B408="","",IF(BA$3=0,"n.b.",INDEX(SRC_Woningetalage!$A$1:$ZZ$501,$A408,BA$3)))</f>
        <v/>
      </c>
      <c r="BB408" s="124" t="str">
        <f>IF($B408="","",IF(BB$3=0,"n.b.",INDEX(SRC_Woningetalage!$A$1:$ZZ$501,$A408,BB$3)))</f>
        <v/>
      </c>
      <c r="BC408" s="124" t="str">
        <f>IF($B408="","",IFERROR(_xlfn.NUMBERVALUE(E408&amp;"",",","."),"n.b."))</f>
        <v/>
      </c>
      <c r="BD408" s="124" t="str">
        <f>IF($B408="","",IFERROR(_xlfn.NUMBERVALUE(M408&amp;"",",","."),"n.b."))</f>
        <v/>
      </c>
      <c r="BE408" s="124" t="str">
        <f>IF($B408="","",IFERROR(AB408+AC408+AD408,"n.b."))</f>
        <v/>
      </c>
      <c r="BF408" s="124" t="str">
        <f>IF($B408="","",IFERROR(AE408+AF408+AG408,"n.b."))</f>
        <v/>
      </c>
      <c r="BG408" s="124" t="str">
        <f>IF($B408="","",IFERROR(AH408+AI408+AJ408,"n.b."))</f>
        <v/>
      </c>
      <c r="BH408" s="124" t="str">
        <f>IF($B408="","",IFERROR(AK408+AL408+AM408,"n.b."))</f>
        <v/>
      </c>
      <c r="BI408" s="124" t="str">
        <f>IF($B408="","",IFERROR(SUMIF($AB$5:$AM$5,"&lt;="&amp;P_PeilMaand,AB408:AM408),"n.b."))</f>
        <v/>
      </c>
      <c r="BJ408" s="124" t="str">
        <f>IF($B408="","",IFERROR(SUM(AB408:AM408)-BI408,"n.b."))</f>
        <v/>
      </c>
      <c r="BK408" s="124" t="str">
        <f>IF($B408="","",IFERROR(IF(ABS(Q408-(T408+SUM(AB408:AM408)+AS408+AU408))&gt;P_Tol,1,0),1))</f>
        <v/>
      </c>
      <c r="BL408" s="124" t="str">
        <f>IF($B408="","",IFERROR(IF(ABS(AA408-(Q408-Z408))&gt;P_Tol,1,0),1))</f>
        <v/>
      </c>
      <c r="BM408" s="124" t="str">
        <f>IF($B408="","",IFERROR(IF(ABS(Z408-(T408+W408))&gt;P_Tol,1,0),1))</f>
        <v/>
      </c>
      <c r="BN408" s="124" t="str">
        <f>IF($B408="","",IFERROR(IF(ABS(W408-BI408)&gt;P_Tol,1,0),1))</f>
        <v/>
      </c>
      <c r="BO408" s="124" t="str">
        <f>IF($B408="","",IFERROR(IF(OR(ABS(R408+S408-T408)&gt;P_Tol,ABS(U408+V408-W408)&gt;P_Tol,ABS(X408+Y408-Z408)&gt;P_Tol),1,0),1))</f>
        <v/>
      </c>
      <c r="BP408" s="124" t="str">
        <f>IF($B408="","",IFERROR(IF(OR(ABS(AR408-SUM(AB408:AM408))&gt;P_Tol,ABS(AS408-(AN408+AO408+AP408+AQ408))&gt;P_Tol),1,0),1))</f>
        <v/>
      </c>
      <c r="BQ408" s="124" t="str">
        <f>IF($B408="","",IFERROR(IF(ABS(AT408)+ABS(AV408)+ABS(AW408)+ABS(AX408)+ABS(AY408)+ABS(AZ408)+ABS(BA408)+ABS(BB408)&gt;0,1,0),1))</f>
        <v/>
      </c>
      <c r="BR408" s="124" t="str">
        <f>IF($B408="","",COUNTIF(STG_ZPMW03!$B$6:$B$505,B408))</f>
        <v/>
      </c>
      <c r="BS408" s="124" t="str">
        <f>IF($B408="","",COUNTIF($B$6:$B$505,B408))</f>
        <v/>
      </c>
      <c r="BT408" s="124" t="str">
        <f>IF($B408="","",IF(BR408=0,0,IF(INDEX(STG_ZPMW03!$I$6:$I$505,MATCH(B408,STG_ZPMW03!$B$6:$B$505,0))=J408&amp;"",0,1)))</f>
        <v/>
      </c>
      <c r="BU408" s="124" t="str">
        <f>IF($B408="","",IFERROR(IF(ABS(INDEX(Mapping!$D$5:$D$104,MATCH(B408,Mapping!$A$5:$A$104,0))-Q408)&gt;P_Tol,1,0),0))</f>
        <v/>
      </c>
      <c r="BV408" s="124" t="str">
        <f>IF($B408="","",IFERROR(IF(AND(INDEX(Mapping!$G$5:$G$104,MATCH(B408,Mapping!$A$5:$A$104,0))="Nee",ABS(Q408)+ABS(Z408)+ABS(AR408)&gt;0),1,0),0))</f>
        <v/>
      </c>
      <c r="BW408" s="124" t="str">
        <f>IF($B408="","",IF(COUNTIF(Mapping!$A$5:$A$104,B408)&gt;0,1,0))</f>
        <v/>
      </c>
      <c r="BX408" s="124" t="str">
        <f>IF($B408="","",IF(BR408=0,COUNTIF($BR$6:BR408,0),""))</f>
        <v/>
      </c>
    </row>
    <row r="409">
      <c r="A409" s="15" t="n">
        <v>405</v>
      </c>
      <c r="B409" t="str">
        <f>IF(B$3=0,"",IF(INDEX(SRC_Woningetalage!$A$1:$ZZ$501,$A409,B$3)&amp;""="","",INDEX(SRC_Woningetalage!$A$1:$ZZ$501,$A409,B$3)&amp;""))</f>
        <v/>
      </c>
      <c r="C409" t="str">
        <f>IF($B409="","",IF(C$3=0,"n.b.",INDEX(SRC_Woningetalage!$A$1:$ZZ$501,$A409,C$3)))</f>
        <v/>
      </c>
      <c r="D409" t="str">
        <f>IF($B409="","",IF(D$3=0,"n.b.",INDEX(SRC_Woningetalage!$A$1:$ZZ$501,$A409,D$3)))</f>
        <v/>
      </c>
      <c r="E409" t="str">
        <f>IF($B409="","",IF(E$3=0,"n.b.",INDEX(SRC_Woningetalage!$A$1:$ZZ$501,$A409,E$3)))</f>
        <v/>
      </c>
      <c r="F409" t="str">
        <f>IF($B409="","",IF(F$3=0,"n.b.",INDEX(SRC_Woningetalage!$A$1:$ZZ$501,$A409,F$3)))</f>
        <v/>
      </c>
      <c r="G409" t="str">
        <f>IF($B409="","",IF(G$3=0,"n.b.",INDEX(SRC_Woningetalage!$A$1:$ZZ$501,$A409,G$3)))</f>
        <v/>
      </c>
      <c r="H409" t="str">
        <f>IF($B409="","",IF(H$3=0,"n.b.",INDEX(SRC_Woningetalage!$A$1:$ZZ$501,$A409,H$3)))</f>
        <v/>
      </c>
      <c r="I409" t="str">
        <f>IF($B409="","",IF(I$3=0,"n.b.",INDEX(SRC_Woningetalage!$A$1:$ZZ$501,$A409,I$3)))</f>
        <v/>
      </c>
      <c r="J409" t="str">
        <f>IF($B409="","",IF(J$3=0,"n.b.",INDEX(SRC_Woningetalage!$A$1:$ZZ$501,$A409,J$3)))</f>
        <v/>
      </c>
      <c r="K409" t="str">
        <f>IF($B409="","",IF(K$3=0,"n.b.",INDEX(SRC_Woningetalage!$A$1:$ZZ$501,$A409,K$3)))</f>
        <v/>
      </c>
      <c r="L409" t="str">
        <f>IF($B409="","",IF(L$3=0,"n.b.",INDEX(SRC_Woningetalage!$A$1:$ZZ$501,$A409,L$3)))</f>
        <v/>
      </c>
      <c r="M409" t="str">
        <f>IF($B409="","",IF(M$3=0,"n.b.",INDEX(SRC_Woningetalage!$A$1:$ZZ$501,$A409,M$3)))</f>
        <v/>
      </c>
      <c r="N409" t="str">
        <f>IF($B409="","",IF(N$3=0,"n.b.",INDEX(SRC_Woningetalage!$A$1:$ZZ$501,$A409,N$3)))</f>
        <v/>
      </c>
      <c r="O409" t="str">
        <f>IF($B409="","",IF(O$3=0,"n.b.",INDEX(SRC_Woningetalage!$A$1:$ZZ$501,$A409,O$3)))</f>
        <v/>
      </c>
      <c r="P409" t="str">
        <f>IF($B409="","",IF(P$3=0,"n.b.",INDEX(SRC_Woningetalage!$A$1:$ZZ$501,$A409,P$3)))</f>
        <v/>
      </c>
      <c r="Q409" s="124" t="str">
        <f>IF($B409="","",IF(Q$3=0,"n.b.",INDEX(SRC_Woningetalage!$A$1:$ZZ$501,$A409,Q$3)))</f>
        <v/>
      </c>
      <c r="R409" s="124" t="str">
        <f>IF($B409="","",IF(R$3=0,"n.b.",INDEX(SRC_Woningetalage!$A$1:$ZZ$501,$A409,R$3)))</f>
        <v/>
      </c>
      <c r="S409" s="124" t="str">
        <f>IF($B409="","",IF(S$3=0,"n.b.",INDEX(SRC_Woningetalage!$A$1:$ZZ$501,$A409,S$3)))</f>
        <v/>
      </c>
      <c r="T409" s="124" t="str">
        <f>IF($B409="","",IF(T$3=0,"n.b.",INDEX(SRC_Woningetalage!$A$1:$ZZ$501,$A409,T$3)))</f>
        <v/>
      </c>
      <c r="U409" s="124" t="str">
        <f>IF($B409="","",IF(U$3=0,"n.b.",INDEX(SRC_Woningetalage!$A$1:$ZZ$501,$A409,U$3)))</f>
        <v/>
      </c>
      <c r="V409" s="124" t="str">
        <f>IF($B409="","",IF(V$3=0,"n.b.",INDEX(SRC_Woningetalage!$A$1:$ZZ$501,$A409,V$3)))</f>
        <v/>
      </c>
      <c r="W409" s="124" t="str">
        <f>IF($B409="","",IF(W$3=0,"n.b.",INDEX(SRC_Woningetalage!$A$1:$ZZ$501,$A409,W$3)))</f>
        <v/>
      </c>
      <c r="X409" s="124" t="str">
        <f>IF($B409="","",IF(X$3=0,"n.b.",INDEX(SRC_Woningetalage!$A$1:$ZZ$501,$A409,X$3)))</f>
        <v/>
      </c>
      <c r="Y409" s="124" t="str">
        <f>IF($B409="","",IF(Y$3=0,"n.b.",INDEX(SRC_Woningetalage!$A$1:$ZZ$501,$A409,Y$3)))</f>
        <v/>
      </c>
      <c r="Z409" s="124" t="str">
        <f>IF($B409="","",IF(Z$3=0,"n.b.",INDEX(SRC_Woningetalage!$A$1:$ZZ$501,$A409,Z$3)))</f>
        <v/>
      </c>
      <c r="AA409" s="124" t="str">
        <f>IF($B409="","",IF(AA$3=0,"n.b.",INDEX(SRC_Woningetalage!$A$1:$ZZ$501,$A409,AA$3)))</f>
        <v/>
      </c>
      <c r="AB409" s="124" t="str">
        <f>IF($B409="","",IF(AB$3=0,"n.b.",INDEX(SRC_Woningetalage!$A$1:$ZZ$501,$A409,AB$3)))</f>
        <v/>
      </c>
      <c r="AC409" s="124" t="str">
        <f>IF($B409="","",IF(AC$3=0,"n.b.",INDEX(SRC_Woningetalage!$A$1:$ZZ$501,$A409,AC$3)))</f>
        <v/>
      </c>
      <c r="AD409" s="124" t="str">
        <f>IF($B409="","",IF(AD$3=0,"n.b.",INDEX(SRC_Woningetalage!$A$1:$ZZ$501,$A409,AD$3)))</f>
        <v/>
      </c>
      <c r="AE409" s="124" t="str">
        <f>IF($B409="","",IF(AE$3=0,"n.b.",INDEX(SRC_Woningetalage!$A$1:$ZZ$501,$A409,AE$3)))</f>
        <v/>
      </c>
      <c r="AF409" s="124" t="str">
        <f>IF($B409="","",IF(AF$3=0,"n.b.",INDEX(SRC_Woningetalage!$A$1:$ZZ$501,$A409,AF$3)))</f>
        <v/>
      </c>
      <c r="AG409" s="124" t="str">
        <f>IF($B409="","",IF(AG$3=0,"n.b.",INDEX(SRC_Woningetalage!$A$1:$ZZ$501,$A409,AG$3)))</f>
        <v/>
      </c>
      <c r="AH409" s="124" t="str">
        <f>IF($B409="","",IF(AH$3=0,"n.b.",INDEX(SRC_Woningetalage!$A$1:$ZZ$501,$A409,AH$3)))</f>
        <v/>
      </c>
      <c r="AI409" s="124" t="str">
        <f>IF($B409="","",IF(AI$3=0,"n.b.",INDEX(SRC_Woningetalage!$A$1:$ZZ$501,$A409,AI$3)))</f>
        <v/>
      </c>
      <c r="AJ409" s="124" t="str">
        <f>IF($B409="","",IF(AJ$3=0,"n.b.",INDEX(SRC_Woningetalage!$A$1:$ZZ$501,$A409,AJ$3)))</f>
        <v/>
      </c>
      <c r="AK409" s="124" t="str">
        <f>IF($B409="","",IF(AK$3=0,"n.b.",INDEX(SRC_Woningetalage!$A$1:$ZZ$501,$A409,AK$3)))</f>
        <v/>
      </c>
      <c r="AL409" s="124" t="str">
        <f>IF($B409="","",IF(AL$3=0,"n.b.",INDEX(SRC_Woningetalage!$A$1:$ZZ$501,$A409,AL$3)))</f>
        <v/>
      </c>
      <c r="AM409" s="124" t="str">
        <f>IF($B409="","",IF(AM$3=0,"n.b.",INDEX(SRC_Woningetalage!$A$1:$ZZ$501,$A409,AM$3)))</f>
        <v/>
      </c>
      <c r="AN409" s="124" t="str">
        <f>IF($B409="","",IF(AN$3=0,"n.b.",INDEX(SRC_Woningetalage!$A$1:$ZZ$501,$A409,AN$3)))</f>
        <v/>
      </c>
      <c r="AO409" s="124" t="str">
        <f>IF($B409="","",IF(AO$3=0,"n.b.",INDEX(SRC_Woningetalage!$A$1:$ZZ$501,$A409,AO$3)))</f>
        <v/>
      </c>
      <c r="AP409" s="124" t="str">
        <f>IF($B409="","",IF(AP$3=0,"n.b.",INDEX(SRC_Woningetalage!$A$1:$ZZ$501,$A409,AP$3)))</f>
        <v/>
      </c>
      <c r="AQ409" s="124" t="str">
        <f>IF($B409="","",IF(AQ$3=0,"n.b.",INDEX(SRC_Woningetalage!$A$1:$ZZ$501,$A409,AQ$3)))</f>
        <v/>
      </c>
      <c r="AR409" s="124" t="str">
        <f>IF($B409="","",IF(AR$3=0,"n.b.",INDEX(SRC_Woningetalage!$A$1:$ZZ$501,$A409,AR$3)))</f>
        <v/>
      </c>
      <c r="AS409" s="124" t="str">
        <f>IF($B409="","",IF(AS$3=0,"n.b.",INDEX(SRC_Woningetalage!$A$1:$ZZ$501,$A409,AS$3)))</f>
        <v/>
      </c>
      <c r="AT409" s="124" t="str">
        <f>IF($B409="","",IF(AT$3=0,"n.b.",INDEX(SRC_Woningetalage!$A$1:$ZZ$501,$A409,AT$3)))</f>
        <v/>
      </c>
      <c r="AU409" s="124" t="str">
        <f>IF($B409="","",IF(AU$3=0,"n.b.",INDEX(SRC_Woningetalage!$A$1:$ZZ$501,$A409,AU$3)))</f>
        <v/>
      </c>
      <c r="AV409" s="124" t="str">
        <f>IF($B409="","",IF(AV$3=0,"n.b.",INDEX(SRC_Woningetalage!$A$1:$ZZ$501,$A409,AV$3)))</f>
        <v/>
      </c>
      <c r="AW409" s="124" t="str">
        <f>IF($B409="","",IF(AW$3=0,"n.b.",INDEX(SRC_Woningetalage!$A$1:$ZZ$501,$A409,AW$3)))</f>
        <v/>
      </c>
      <c r="AX409" s="124" t="str">
        <f>IF($B409="","",IF(AX$3=0,"n.b.",INDEX(SRC_Woningetalage!$A$1:$ZZ$501,$A409,AX$3)))</f>
        <v/>
      </c>
      <c r="AY409" s="124" t="str">
        <f>IF($B409="","",IF(AY$3=0,"n.b.",INDEX(SRC_Woningetalage!$A$1:$ZZ$501,$A409,AY$3)))</f>
        <v/>
      </c>
      <c r="AZ409" s="124" t="str">
        <f>IF($B409="","",IF(AZ$3=0,"n.b.",INDEX(SRC_Woningetalage!$A$1:$ZZ$501,$A409,AZ$3)))</f>
        <v/>
      </c>
      <c r="BA409" s="124" t="str">
        <f>IF($B409="","",IF(BA$3=0,"n.b.",INDEX(SRC_Woningetalage!$A$1:$ZZ$501,$A409,BA$3)))</f>
        <v/>
      </c>
      <c r="BB409" s="124" t="str">
        <f>IF($B409="","",IF(BB$3=0,"n.b.",INDEX(SRC_Woningetalage!$A$1:$ZZ$501,$A409,BB$3)))</f>
        <v/>
      </c>
      <c r="BC409" s="124" t="str">
        <f>IF($B409="","",IFERROR(_xlfn.NUMBERVALUE(E409&amp;"",",","."),"n.b."))</f>
        <v/>
      </c>
      <c r="BD409" s="124" t="str">
        <f>IF($B409="","",IFERROR(_xlfn.NUMBERVALUE(M409&amp;"",",","."),"n.b."))</f>
        <v/>
      </c>
      <c r="BE409" s="124" t="str">
        <f>IF($B409="","",IFERROR(AB409+AC409+AD409,"n.b."))</f>
        <v/>
      </c>
      <c r="BF409" s="124" t="str">
        <f>IF($B409="","",IFERROR(AE409+AF409+AG409,"n.b."))</f>
        <v/>
      </c>
      <c r="BG409" s="124" t="str">
        <f>IF($B409="","",IFERROR(AH409+AI409+AJ409,"n.b."))</f>
        <v/>
      </c>
      <c r="BH409" s="124" t="str">
        <f>IF($B409="","",IFERROR(AK409+AL409+AM409,"n.b."))</f>
        <v/>
      </c>
      <c r="BI409" s="124" t="str">
        <f>IF($B409="","",IFERROR(SUMIF($AB$5:$AM$5,"&lt;="&amp;P_PeilMaand,AB409:AM409),"n.b."))</f>
        <v/>
      </c>
      <c r="BJ409" s="124" t="str">
        <f>IF($B409="","",IFERROR(SUM(AB409:AM409)-BI409,"n.b."))</f>
        <v/>
      </c>
      <c r="BK409" s="124" t="str">
        <f>IF($B409="","",IFERROR(IF(ABS(Q409-(T409+SUM(AB409:AM409)+AS409+AU409))&gt;P_Tol,1,0),1))</f>
        <v/>
      </c>
      <c r="BL409" s="124" t="str">
        <f>IF($B409="","",IFERROR(IF(ABS(AA409-(Q409-Z409))&gt;P_Tol,1,0),1))</f>
        <v/>
      </c>
      <c r="BM409" s="124" t="str">
        <f>IF($B409="","",IFERROR(IF(ABS(Z409-(T409+W409))&gt;P_Tol,1,0),1))</f>
        <v/>
      </c>
      <c r="BN409" s="124" t="str">
        <f>IF($B409="","",IFERROR(IF(ABS(W409-BI409)&gt;P_Tol,1,0),1))</f>
        <v/>
      </c>
      <c r="BO409" s="124" t="str">
        <f>IF($B409="","",IFERROR(IF(OR(ABS(R409+S409-T409)&gt;P_Tol,ABS(U409+V409-W409)&gt;P_Tol,ABS(X409+Y409-Z409)&gt;P_Tol),1,0),1))</f>
        <v/>
      </c>
      <c r="BP409" s="124" t="str">
        <f>IF($B409="","",IFERROR(IF(OR(ABS(AR409-SUM(AB409:AM409))&gt;P_Tol,ABS(AS409-(AN409+AO409+AP409+AQ409))&gt;P_Tol),1,0),1))</f>
        <v/>
      </c>
      <c r="BQ409" s="124" t="str">
        <f>IF($B409="","",IFERROR(IF(ABS(AT409)+ABS(AV409)+ABS(AW409)+ABS(AX409)+ABS(AY409)+ABS(AZ409)+ABS(BA409)+ABS(BB409)&gt;0,1,0),1))</f>
        <v/>
      </c>
      <c r="BR409" s="124" t="str">
        <f>IF($B409="","",COUNTIF(STG_ZPMW03!$B$6:$B$505,B409))</f>
        <v/>
      </c>
      <c r="BS409" s="124" t="str">
        <f>IF($B409="","",COUNTIF($B$6:$B$505,B409))</f>
        <v/>
      </c>
      <c r="BT409" s="124" t="str">
        <f>IF($B409="","",IF(BR409=0,0,IF(INDEX(STG_ZPMW03!$I$6:$I$505,MATCH(B409,STG_ZPMW03!$B$6:$B$505,0))=J409&amp;"",0,1)))</f>
        <v/>
      </c>
      <c r="BU409" s="124" t="str">
        <f>IF($B409="","",IFERROR(IF(ABS(INDEX(Mapping!$D$5:$D$104,MATCH(B409,Mapping!$A$5:$A$104,0))-Q409)&gt;P_Tol,1,0),0))</f>
        <v/>
      </c>
      <c r="BV409" s="124" t="str">
        <f>IF($B409="","",IFERROR(IF(AND(INDEX(Mapping!$G$5:$G$104,MATCH(B409,Mapping!$A$5:$A$104,0))="Nee",ABS(Q409)+ABS(Z409)+ABS(AR409)&gt;0),1,0),0))</f>
        <v/>
      </c>
      <c r="BW409" s="124" t="str">
        <f>IF($B409="","",IF(COUNTIF(Mapping!$A$5:$A$104,B409)&gt;0,1,0))</f>
        <v/>
      </c>
      <c r="BX409" s="124" t="str">
        <f>IF($B409="","",IF(BR409=0,COUNTIF($BR$6:BR409,0),""))</f>
        <v/>
      </c>
    </row>
    <row r="410">
      <c r="A410" s="15" t="n">
        <v>406</v>
      </c>
      <c r="B410" t="str">
        <f>IF(B$3=0,"",IF(INDEX(SRC_Woningetalage!$A$1:$ZZ$501,$A410,B$3)&amp;""="","",INDEX(SRC_Woningetalage!$A$1:$ZZ$501,$A410,B$3)&amp;""))</f>
        <v/>
      </c>
      <c r="C410" t="str">
        <f>IF($B410="","",IF(C$3=0,"n.b.",INDEX(SRC_Woningetalage!$A$1:$ZZ$501,$A410,C$3)))</f>
        <v/>
      </c>
      <c r="D410" t="str">
        <f>IF($B410="","",IF(D$3=0,"n.b.",INDEX(SRC_Woningetalage!$A$1:$ZZ$501,$A410,D$3)))</f>
        <v/>
      </c>
      <c r="E410" t="str">
        <f>IF($B410="","",IF(E$3=0,"n.b.",INDEX(SRC_Woningetalage!$A$1:$ZZ$501,$A410,E$3)))</f>
        <v/>
      </c>
      <c r="F410" t="str">
        <f>IF($B410="","",IF(F$3=0,"n.b.",INDEX(SRC_Woningetalage!$A$1:$ZZ$501,$A410,F$3)))</f>
        <v/>
      </c>
      <c r="G410" t="str">
        <f>IF($B410="","",IF(G$3=0,"n.b.",INDEX(SRC_Woningetalage!$A$1:$ZZ$501,$A410,G$3)))</f>
        <v/>
      </c>
      <c r="H410" t="str">
        <f>IF($B410="","",IF(H$3=0,"n.b.",INDEX(SRC_Woningetalage!$A$1:$ZZ$501,$A410,H$3)))</f>
        <v/>
      </c>
      <c r="I410" t="str">
        <f>IF($B410="","",IF(I$3=0,"n.b.",INDEX(SRC_Woningetalage!$A$1:$ZZ$501,$A410,I$3)))</f>
        <v/>
      </c>
      <c r="J410" t="str">
        <f>IF($B410="","",IF(J$3=0,"n.b.",INDEX(SRC_Woningetalage!$A$1:$ZZ$501,$A410,J$3)))</f>
        <v/>
      </c>
      <c r="K410" t="str">
        <f>IF($B410="","",IF(K$3=0,"n.b.",INDEX(SRC_Woningetalage!$A$1:$ZZ$501,$A410,K$3)))</f>
        <v/>
      </c>
      <c r="L410" t="str">
        <f>IF($B410="","",IF(L$3=0,"n.b.",INDEX(SRC_Woningetalage!$A$1:$ZZ$501,$A410,L$3)))</f>
        <v/>
      </c>
      <c r="M410" t="str">
        <f>IF($B410="","",IF(M$3=0,"n.b.",INDEX(SRC_Woningetalage!$A$1:$ZZ$501,$A410,M$3)))</f>
        <v/>
      </c>
      <c r="N410" t="str">
        <f>IF($B410="","",IF(N$3=0,"n.b.",INDEX(SRC_Woningetalage!$A$1:$ZZ$501,$A410,N$3)))</f>
        <v/>
      </c>
      <c r="O410" t="str">
        <f>IF($B410="","",IF(O$3=0,"n.b.",INDEX(SRC_Woningetalage!$A$1:$ZZ$501,$A410,O$3)))</f>
        <v/>
      </c>
      <c r="P410" t="str">
        <f>IF($B410="","",IF(P$3=0,"n.b.",INDEX(SRC_Woningetalage!$A$1:$ZZ$501,$A410,P$3)))</f>
        <v/>
      </c>
      <c r="Q410" s="124" t="str">
        <f>IF($B410="","",IF(Q$3=0,"n.b.",INDEX(SRC_Woningetalage!$A$1:$ZZ$501,$A410,Q$3)))</f>
        <v/>
      </c>
      <c r="R410" s="124" t="str">
        <f>IF($B410="","",IF(R$3=0,"n.b.",INDEX(SRC_Woningetalage!$A$1:$ZZ$501,$A410,R$3)))</f>
        <v/>
      </c>
      <c r="S410" s="124" t="str">
        <f>IF($B410="","",IF(S$3=0,"n.b.",INDEX(SRC_Woningetalage!$A$1:$ZZ$501,$A410,S$3)))</f>
        <v/>
      </c>
      <c r="T410" s="124" t="str">
        <f>IF($B410="","",IF(T$3=0,"n.b.",INDEX(SRC_Woningetalage!$A$1:$ZZ$501,$A410,T$3)))</f>
        <v/>
      </c>
      <c r="U410" s="124" t="str">
        <f>IF($B410="","",IF(U$3=0,"n.b.",INDEX(SRC_Woningetalage!$A$1:$ZZ$501,$A410,U$3)))</f>
        <v/>
      </c>
      <c r="V410" s="124" t="str">
        <f>IF($B410="","",IF(V$3=0,"n.b.",INDEX(SRC_Woningetalage!$A$1:$ZZ$501,$A410,V$3)))</f>
        <v/>
      </c>
      <c r="W410" s="124" t="str">
        <f>IF($B410="","",IF(W$3=0,"n.b.",INDEX(SRC_Woningetalage!$A$1:$ZZ$501,$A410,W$3)))</f>
        <v/>
      </c>
      <c r="X410" s="124" t="str">
        <f>IF($B410="","",IF(X$3=0,"n.b.",INDEX(SRC_Woningetalage!$A$1:$ZZ$501,$A410,X$3)))</f>
        <v/>
      </c>
      <c r="Y410" s="124" t="str">
        <f>IF($B410="","",IF(Y$3=0,"n.b.",INDEX(SRC_Woningetalage!$A$1:$ZZ$501,$A410,Y$3)))</f>
        <v/>
      </c>
      <c r="Z410" s="124" t="str">
        <f>IF($B410="","",IF(Z$3=0,"n.b.",INDEX(SRC_Woningetalage!$A$1:$ZZ$501,$A410,Z$3)))</f>
        <v/>
      </c>
      <c r="AA410" s="124" t="str">
        <f>IF($B410="","",IF(AA$3=0,"n.b.",INDEX(SRC_Woningetalage!$A$1:$ZZ$501,$A410,AA$3)))</f>
        <v/>
      </c>
      <c r="AB410" s="124" t="str">
        <f>IF($B410="","",IF(AB$3=0,"n.b.",INDEX(SRC_Woningetalage!$A$1:$ZZ$501,$A410,AB$3)))</f>
        <v/>
      </c>
      <c r="AC410" s="124" t="str">
        <f>IF($B410="","",IF(AC$3=0,"n.b.",INDEX(SRC_Woningetalage!$A$1:$ZZ$501,$A410,AC$3)))</f>
        <v/>
      </c>
      <c r="AD410" s="124" t="str">
        <f>IF($B410="","",IF(AD$3=0,"n.b.",INDEX(SRC_Woningetalage!$A$1:$ZZ$501,$A410,AD$3)))</f>
        <v/>
      </c>
      <c r="AE410" s="124" t="str">
        <f>IF($B410="","",IF(AE$3=0,"n.b.",INDEX(SRC_Woningetalage!$A$1:$ZZ$501,$A410,AE$3)))</f>
        <v/>
      </c>
      <c r="AF410" s="124" t="str">
        <f>IF($B410="","",IF(AF$3=0,"n.b.",INDEX(SRC_Woningetalage!$A$1:$ZZ$501,$A410,AF$3)))</f>
        <v/>
      </c>
      <c r="AG410" s="124" t="str">
        <f>IF($B410="","",IF(AG$3=0,"n.b.",INDEX(SRC_Woningetalage!$A$1:$ZZ$501,$A410,AG$3)))</f>
        <v/>
      </c>
      <c r="AH410" s="124" t="str">
        <f>IF($B410="","",IF(AH$3=0,"n.b.",INDEX(SRC_Woningetalage!$A$1:$ZZ$501,$A410,AH$3)))</f>
        <v/>
      </c>
      <c r="AI410" s="124" t="str">
        <f>IF($B410="","",IF(AI$3=0,"n.b.",INDEX(SRC_Woningetalage!$A$1:$ZZ$501,$A410,AI$3)))</f>
        <v/>
      </c>
      <c r="AJ410" s="124" t="str">
        <f>IF($B410="","",IF(AJ$3=0,"n.b.",INDEX(SRC_Woningetalage!$A$1:$ZZ$501,$A410,AJ$3)))</f>
        <v/>
      </c>
      <c r="AK410" s="124" t="str">
        <f>IF($B410="","",IF(AK$3=0,"n.b.",INDEX(SRC_Woningetalage!$A$1:$ZZ$501,$A410,AK$3)))</f>
        <v/>
      </c>
      <c r="AL410" s="124" t="str">
        <f>IF($B410="","",IF(AL$3=0,"n.b.",INDEX(SRC_Woningetalage!$A$1:$ZZ$501,$A410,AL$3)))</f>
        <v/>
      </c>
      <c r="AM410" s="124" t="str">
        <f>IF($B410="","",IF(AM$3=0,"n.b.",INDEX(SRC_Woningetalage!$A$1:$ZZ$501,$A410,AM$3)))</f>
        <v/>
      </c>
      <c r="AN410" s="124" t="str">
        <f>IF($B410="","",IF(AN$3=0,"n.b.",INDEX(SRC_Woningetalage!$A$1:$ZZ$501,$A410,AN$3)))</f>
        <v/>
      </c>
      <c r="AO410" s="124" t="str">
        <f>IF($B410="","",IF(AO$3=0,"n.b.",INDEX(SRC_Woningetalage!$A$1:$ZZ$501,$A410,AO$3)))</f>
        <v/>
      </c>
      <c r="AP410" s="124" t="str">
        <f>IF($B410="","",IF(AP$3=0,"n.b.",INDEX(SRC_Woningetalage!$A$1:$ZZ$501,$A410,AP$3)))</f>
        <v/>
      </c>
      <c r="AQ410" s="124" t="str">
        <f>IF($B410="","",IF(AQ$3=0,"n.b.",INDEX(SRC_Woningetalage!$A$1:$ZZ$501,$A410,AQ$3)))</f>
        <v/>
      </c>
      <c r="AR410" s="124" t="str">
        <f>IF($B410="","",IF(AR$3=0,"n.b.",INDEX(SRC_Woningetalage!$A$1:$ZZ$501,$A410,AR$3)))</f>
        <v/>
      </c>
      <c r="AS410" s="124" t="str">
        <f>IF($B410="","",IF(AS$3=0,"n.b.",INDEX(SRC_Woningetalage!$A$1:$ZZ$501,$A410,AS$3)))</f>
        <v/>
      </c>
      <c r="AT410" s="124" t="str">
        <f>IF($B410="","",IF(AT$3=0,"n.b.",INDEX(SRC_Woningetalage!$A$1:$ZZ$501,$A410,AT$3)))</f>
        <v/>
      </c>
      <c r="AU410" s="124" t="str">
        <f>IF($B410="","",IF(AU$3=0,"n.b.",INDEX(SRC_Woningetalage!$A$1:$ZZ$501,$A410,AU$3)))</f>
        <v/>
      </c>
      <c r="AV410" s="124" t="str">
        <f>IF($B410="","",IF(AV$3=0,"n.b.",INDEX(SRC_Woningetalage!$A$1:$ZZ$501,$A410,AV$3)))</f>
        <v/>
      </c>
      <c r="AW410" s="124" t="str">
        <f>IF($B410="","",IF(AW$3=0,"n.b.",INDEX(SRC_Woningetalage!$A$1:$ZZ$501,$A410,AW$3)))</f>
        <v/>
      </c>
      <c r="AX410" s="124" t="str">
        <f>IF($B410="","",IF(AX$3=0,"n.b.",INDEX(SRC_Woningetalage!$A$1:$ZZ$501,$A410,AX$3)))</f>
        <v/>
      </c>
      <c r="AY410" s="124" t="str">
        <f>IF($B410="","",IF(AY$3=0,"n.b.",INDEX(SRC_Woningetalage!$A$1:$ZZ$501,$A410,AY$3)))</f>
        <v/>
      </c>
      <c r="AZ410" s="124" t="str">
        <f>IF($B410="","",IF(AZ$3=0,"n.b.",INDEX(SRC_Woningetalage!$A$1:$ZZ$501,$A410,AZ$3)))</f>
        <v/>
      </c>
      <c r="BA410" s="124" t="str">
        <f>IF($B410="","",IF(BA$3=0,"n.b.",INDEX(SRC_Woningetalage!$A$1:$ZZ$501,$A410,BA$3)))</f>
        <v/>
      </c>
      <c r="BB410" s="124" t="str">
        <f>IF($B410="","",IF(BB$3=0,"n.b.",INDEX(SRC_Woningetalage!$A$1:$ZZ$501,$A410,BB$3)))</f>
        <v/>
      </c>
      <c r="BC410" s="124" t="str">
        <f>IF($B410="","",IFERROR(_xlfn.NUMBERVALUE(E410&amp;"",",","."),"n.b."))</f>
        <v/>
      </c>
      <c r="BD410" s="124" t="str">
        <f>IF($B410="","",IFERROR(_xlfn.NUMBERVALUE(M410&amp;"",",","."),"n.b."))</f>
        <v/>
      </c>
      <c r="BE410" s="124" t="str">
        <f>IF($B410="","",IFERROR(AB410+AC410+AD410,"n.b."))</f>
        <v/>
      </c>
      <c r="BF410" s="124" t="str">
        <f>IF($B410="","",IFERROR(AE410+AF410+AG410,"n.b."))</f>
        <v/>
      </c>
      <c r="BG410" s="124" t="str">
        <f>IF($B410="","",IFERROR(AH410+AI410+AJ410,"n.b."))</f>
        <v/>
      </c>
      <c r="BH410" s="124" t="str">
        <f>IF($B410="","",IFERROR(AK410+AL410+AM410,"n.b."))</f>
        <v/>
      </c>
      <c r="BI410" s="124" t="str">
        <f>IF($B410="","",IFERROR(SUMIF($AB$5:$AM$5,"&lt;="&amp;P_PeilMaand,AB410:AM410),"n.b."))</f>
        <v/>
      </c>
      <c r="BJ410" s="124" t="str">
        <f>IF($B410="","",IFERROR(SUM(AB410:AM410)-BI410,"n.b."))</f>
        <v/>
      </c>
      <c r="BK410" s="124" t="str">
        <f>IF($B410="","",IFERROR(IF(ABS(Q410-(T410+SUM(AB410:AM410)+AS410+AU410))&gt;P_Tol,1,0),1))</f>
        <v/>
      </c>
      <c r="BL410" s="124" t="str">
        <f>IF($B410="","",IFERROR(IF(ABS(AA410-(Q410-Z410))&gt;P_Tol,1,0),1))</f>
        <v/>
      </c>
      <c r="BM410" s="124" t="str">
        <f>IF($B410="","",IFERROR(IF(ABS(Z410-(T410+W410))&gt;P_Tol,1,0),1))</f>
        <v/>
      </c>
      <c r="BN410" s="124" t="str">
        <f>IF($B410="","",IFERROR(IF(ABS(W410-BI410)&gt;P_Tol,1,0),1))</f>
        <v/>
      </c>
      <c r="BO410" s="124" t="str">
        <f>IF($B410="","",IFERROR(IF(OR(ABS(R410+S410-T410)&gt;P_Tol,ABS(U410+V410-W410)&gt;P_Tol,ABS(X410+Y410-Z410)&gt;P_Tol),1,0),1))</f>
        <v/>
      </c>
      <c r="BP410" s="124" t="str">
        <f>IF($B410="","",IFERROR(IF(OR(ABS(AR410-SUM(AB410:AM410))&gt;P_Tol,ABS(AS410-(AN410+AO410+AP410+AQ410))&gt;P_Tol),1,0),1))</f>
        <v/>
      </c>
      <c r="BQ410" s="124" t="str">
        <f>IF($B410="","",IFERROR(IF(ABS(AT410)+ABS(AV410)+ABS(AW410)+ABS(AX410)+ABS(AY410)+ABS(AZ410)+ABS(BA410)+ABS(BB410)&gt;0,1,0),1))</f>
        <v/>
      </c>
      <c r="BR410" s="124" t="str">
        <f>IF($B410="","",COUNTIF(STG_ZPMW03!$B$6:$B$505,B410))</f>
        <v/>
      </c>
      <c r="BS410" s="124" t="str">
        <f>IF($B410="","",COUNTIF($B$6:$B$505,B410))</f>
        <v/>
      </c>
      <c r="BT410" s="124" t="str">
        <f>IF($B410="","",IF(BR410=0,0,IF(INDEX(STG_ZPMW03!$I$6:$I$505,MATCH(B410,STG_ZPMW03!$B$6:$B$505,0))=J410&amp;"",0,1)))</f>
        <v/>
      </c>
      <c r="BU410" s="124" t="str">
        <f>IF($B410="","",IFERROR(IF(ABS(INDEX(Mapping!$D$5:$D$104,MATCH(B410,Mapping!$A$5:$A$104,0))-Q410)&gt;P_Tol,1,0),0))</f>
        <v/>
      </c>
      <c r="BV410" s="124" t="str">
        <f>IF($B410="","",IFERROR(IF(AND(INDEX(Mapping!$G$5:$G$104,MATCH(B410,Mapping!$A$5:$A$104,0))="Nee",ABS(Q410)+ABS(Z410)+ABS(AR410)&gt;0),1,0),0))</f>
        <v/>
      </c>
      <c r="BW410" s="124" t="str">
        <f>IF($B410="","",IF(COUNTIF(Mapping!$A$5:$A$104,B410)&gt;0,1,0))</f>
        <v/>
      </c>
      <c r="BX410" s="124" t="str">
        <f>IF($B410="","",IF(BR410=0,COUNTIF($BR$6:BR410,0),""))</f>
        <v/>
      </c>
    </row>
    <row r="411">
      <c r="A411" s="15" t="n">
        <v>407</v>
      </c>
      <c r="B411" t="str">
        <f>IF(B$3=0,"",IF(INDEX(SRC_Woningetalage!$A$1:$ZZ$501,$A411,B$3)&amp;""="","",INDEX(SRC_Woningetalage!$A$1:$ZZ$501,$A411,B$3)&amp;""))</f>
        <v/>
      </c>
      <c r="C411" t="str">
        <f>IF($B411="","",IF(C$3=0,"n.b.",INDEX(SRC_Woningetalage!$A$1:$ZZ$501,$A411,C$3)))</f>
        <v/>
      </c>
      <c r="D411" t="str">
        <f>IF($B411="","",IF(D$3=0,"n.b.",INDEX(SRC_Woningetalage!$A$1:$ZZ$501,$A411,D$3)))</f>
        <v/>
      </c>
      <c r="E411" t="str">
        <f>IF($B411="","",IF(E$3=0,"n.b.",INDEX(SRC_Woningetalage!$A$1:$ZZ$501,$A411,E$3)))</f>
        <v/>
      </c>
      <c r="F411" t="str">
        <f>IF($B411="","",IF(F$3=0,"n.b.",INDEX(SRC_Woningetalage!$A$1:$ZZ$501,$A411,F$3)))</f>
        <v/>
      </c>
      <c r="G411" t="str">
        <f>IF($B411="","",IF(G$3=0,"n.b.",INDEX(SRC_Woningetalage!$A$1:$ZZ$501,$A411,G$3)))</f>
        <v/>
      </c>
      <c r="H411" t="str">
        <f>IF($B411="","",IF(H$3=0,"n.b.",INDEX(SRC_Woningetalage!$A$1:$ZZ$501,$A411,H$3)))</f>
        <v/>
      </c>
      <c r="I411" t="str">
        <f>IF($B411="","",IF(I$3=0,"n.b.",INDEX(SRC_Woningetalage!$A$1:$ZZ$501,$A411,I$3)))</f>
        <v/>
      </c>
      <c r="J411" t="str">
        <f>IF($B411="","",IF(J$3=0,"n.b.",INDEX(SRC_Woningetalage!$A$1:$ZZ$501,$A411,J$3)))</f>
        <v/>
      </c>
      <c r="K411" t="str">
        <f>IF($B411="","",IF(K$3=0,"n.b.",INDEX(SRC_Woningetalage!$A$1:$ZZ$501,$A411,K$3)))</f>
        <v/>
      </c>
      <c r="L411" t="str">
        <f>IF($B411="","",IF(L$3=0,"n.b.",INDEX(SRC_Woningetalage!$A$1:$ZZ$501,$A411,L$3)))</f>
        <v/>
      </c>
      <c r="M411" t="str">
        <f>IF($B411="","",IF(M$3=0,"n.b.",INDEX(SRC_Woningetalage!$A$1:$ZZ$501,$A411,M$3)))</f>
        <v/>
      </c>
      <c r="N411" t="str">
        <f>IF($B411="","",IF(N$3=0,"n.b.",INDEX(SRC_Woningetalage!$A$1:$ZZ$501,$A411,N$3)))</f>
        <v/>
      </c>
      <c r="O411" t="str">
        <f>IF($B411="","",IF(O$3=0,"n.b.",INDEX(SRC_Woningetalage!$A$1:$ZZ$501,$A411,O$3)))</f>
        <v/>
      </c>
      <c r="P411" t="str">
        <f>IF($B411="","",IF(P$3=0,"n.b.",INDEX(SRC_Woningetalage!$A$1:$ZZ$501,$A411,P$3)))</f>
        <v/>
      </c>
      <c r="Q411" s="124" t="str">
        <f>IF($B411="","",IF(Q$3=0,"n.b.",INDEX(SRC_Woningetalage!$A$1:$ZZ$501,$A411,Q$3)))</f>
        <v/>
      </c>
      <c r="R411" s="124" t="str">
        <f>IF($B411="","",IF(R$3=0,"n.b.",INDEX(SRC_Woningetalage!$A$1:$ZZ$501,$A411,R$3)))</f>
        <v/>
      </c>
      <c r="S411" s="124" t="str">
        <f>IF($B411="","",IF(S$3=0,"n.b.",INDEX(SRC_Woningetalage!$A$1:$ZZ$501,$A411,S$3)))</f>
        <v/>
      </c>
      <c r="T411" s="124" t="str">
        <f>IF($B411="","",IF(T$3=0,"n.b.",INDEX(SRC_Woningetalage!$A$1:$ZZ$501,$A411,T$3)))</f>
        <v/>
      </c>
      <c r="U411" s="124" t="str">
        <f>IF($B411="","",IF(U$3=0,"n.b.",INDEX(SRC_Woningetalage!$A$1:$ZZ$501,$A411,U$3)))</f>
        <v/>
      </c>
      <c r="V411" s="124" t="str">
        <f>IF($B411="","",IF(V$3=0,"n.b.",INDEX(SRC_Woningetalage!$A$1:$ZZ$501,$A411,V$3)))</f>
        <v/>
      </c>
      <c r="W411" s="124" t="str">
        <f>IF($B411="","",IF(W$3=0,"n.b.",INDEX(SRC_Woningetalage!$A$1:$ZZ$501,$A411,W$3)))</f>
        <v/>
      </c>
      <c r="X411" s="124" t="str">
        <f>IF($B411="","",IF(X$3=0,"n.b.",INDEX(SRC_Woningetalage!$A$1:$ZZ$501,$A411,X$3)))</f>
        <v/>
      </c>
      <c r="Y411" s="124" t="str">
        <f>IF($B411="","",IF(Y$3=0,"n.b.",INDEX(SRC_Woningetalage!$A$1:$ZZ$501,$A411,Y$3)))</f>
        <v/>
      </c>
      <c r="Z411" s="124" t="str">
        <f>IF($B411="","",IF(Z$3=0,"n.b.",INDEX(SRC_Woningetalage!$A$1:$ZZ$501,$A411,Z$3)))</f>
        <v/>
      </c>
      <c r="AA411" s="124" t="str">
        <f>IF($B411="","",IF(AA$3=0,"n.b.",INDEX(SRC_Woningetalage!$A$1:$ZZ$501,$A411,AA$3)))</f>
        <v/>
      </c>
      <c r="AB411" s="124" t="str">
        <f>IF($B411="","",IF(AB$3=0,"n.b.",INDEX(SRC_Woningetalage!$A$1:$ZZ$501,$A411,AB$3)))</f>
        <v/>
      </c>
      <c r="AC411" s="124" t="str">
        <f>IF($B411="","",IF(AC$3=0,"n.b.",INDEX(SRC_Woningetalage!$A$1:$ZZ$501,$A411,AC$3)))</f>
        <v/>
      </c>
      <c r="AD411" s="124" t="str">
        <f>IF($B411="","",IF(AD$3=0,"n.b.",INDEX(SRC_Woningetalage!$A$1:$ZZ$501,$A411,AD$3)))</f>
        <v/>
      </c>
      <c r="AE411" s="124" t="str">
        <f>IF($B411="","",IF(AE$3=0,"n.b.",INDEX(SRC_Woningetalage!$A$1:$ZZ$501,$A411,AE$3)))</f>
        <v/>
      </c>
      <c r="AF411" s="124" t="str">
        <f>IF($B411="","",IF(AF$3=0,"n.b.",INDEX(SRC_Woningetalage!$A$1:$ZZ$501,$A411,AF$3)))</f>
        <v/>
      </c>
      <c r="AG411" s="124" t="str">
        <f>IF($B411="","",IF(AG$3=0,"n.b.",INDEX(SRC_Woningetalage!$A$1:$ZZ$501,$A411,AG$3)))</f>
        <v/>
      </c>
      <c r="AH411" s="124" t="str">
        <f>IF($B411="","",IF(AH$3=0,"n.b.",INDEX(SRC_Woningetalage!$A$1:$ZZ$501,$A411,AH$3)))</f>
        <v/>
      </c>
      <c r="AI411" s="124" t="str">
        <f>IF($B411="","",IF(AI$3=0,"n.b.",INDEX(SRC_Woningetalage!$A$1:$ZZ$501,$A411,AI$3)))</f>
        <v/>
      </c>
      <c r="AJ411" s="124" t="str">
        <f>IF($B411="","",IF(AJ$3=0,"n.b.",INDEX(SRC_Woningetalage!$A$1:$ZZ$501,$A411,AJ$3)))</f>
        <v/>
      </c>
      <c r="AK411" s="124" t="str">
        <f>IF($B411="","",IF(AK$3=0,"n.b.",INDEX(SRC_Woningetalage!$A$1:$ZZ$501,$A411,AK$3)))</f>
        <v/>
      </c>
      <c r="AL411" s="124" t="str">
        <f>IF($B411="","",IF(AL$3=0,"n.b.",INDEX(SRC_Woningetalage!$A$1:$ZZ$501,$A411,AL$3)))</f>
        <v/>
      </c>
      <c r="AM411" s="124" t="str">
        <f>IF($B411="","",IF(AM$3=0,"n.b.",INDEX(SRC_Woningetalage!$A$1:$ZZ$501,$A411,AM$3)))</f>
        <v/>
      </c>
      <c r="AN411" s="124" t="str">
        <f>IF($B411="","",IF(AN$3=0,"n.b.",INDEX(SRC_Woningetalage!$A$1:$ZZ$501,$A411,AN$3)))</f>
        <v/>
      </c>
      <c r="AO411" s="124" t="str">
        <f>IF($B411="","",IF(AO$3=0,"n.b.",INDEX(SRC_Woningetalage!$A$1:$ZZ$501,$A411,AO$3)))</f>
        <v/>
      </c>
      <c r="AP411" s="124" t="str">
        <f>IF($B411="","",IF(AP$3=0,"n.b.",INDEX(SRC_Woningetalage!$A$1:$ZZ$501,$A411,AP$3)))</f>
        <v/>
      </c>
      <c r="AQ411" s="124" t="str">
        <f>IF($B411="","",IF(AQ$3=0,"n.b.",INDEX(SRC_Woningetalage!$A$1:$ZZ$501,$A411,AQ$3)))</f>
        <v/>
      </c>
      <c r="AR411" s="124" t="str">
        <f>IF($B411="","",IF(AR$3=0,"n.b.",INDEX(SRC_Woningetalage!$A$1:$ZZ$501,$A411,AR$3)))</f>
        <v/>
      </c>
      <c r="AS411" s="124" t="str">
        <f>IF($B411="","",IF(AS$3=0,"n.b.",INDEX(SRC_Woningetalage!$A$1:$ZZ$501,$A411,AS$3)))</f>
        <v/>
      </c>
      <c r="AT411" s="124" t="str">
        <f>IF($B411="","",IF(AT$3=0,"n.b.",INDEX(SRC_Woningetalage!$A$1:$ZZ$501,$A411,AT$3)))</f>
        <v/>
      </c>
      <c r="AU411" s="124" t="str">
        <f>IF($B411="","",IF(AU$3=0,"n.b.",INDEX(SRC_Woningetalage!$A$1:$ZZ$501,$A411,AU$3)))</f>
        <v/>
      </c>
      <c r="AV411" s="124" t="str">
        <f>IF($B411="","",IF(AV$3=0,"n.b.",INDEX(SRC_Woningetalage!$A$1:$ZZ$501,$A411,AV$3)))</f>
        <v/>
      </c>
      <c r="AW411" s="124" t="str">
        <f>IF($B411="","",IF(AW$3=0,"n.b.",INDEX(SRC_Woningetalage!$A$1:$ZZ$501,$A411,AW$3)))</f>
        <v/>
      </c>
      <c r="AX411" s="124" t="str">
        <f>IF($B411="","",IF(AX$3=0,"n.b.",INDEX(SRC_Woningetalage!$A$1:$ZZ$501,$A411,AX$3)))</f>
        <v/>
      </c>
      <c r="AY411" s="124" t="str">
        <f>IF($B411="","",IF(AY$3=0,"n.b.",INDEX(SRC_Woningetalage!$A$1:$ZZ$501,$A411,AY$3)))</f>
        <v/>
      </c>
      <c r="AZ411" s="124" t="str">
        <f>IF($B411="","",IF(AZ$3=0,"n.b.",INDEX(SRC_Woningetalage!$A$1:$ZZ$501,$A411,AZ$3)))</f>
        <v/>
      </c>
      <c r="BA411" s="124" t="str">
        <f>IF($B411="","",IF(BA$3=0,"n.b.",INDEX(SRC_Woningetalage!$A$1:$ZZ$501,$A411,BA$3)))</f>
        <v/>
      </c>
      <c r="BB411" s="124" t="str">
        <f>IF($B411="","",IF(BB$3=0,"n.b.",INDEX(SRC_Woningetalage!$A$1:$ZZ$501,$A411,BB$3)))</f>
        <v/>
      </c>
      <c r="BC411" s="124" t="str">
        <f>IF($B411="","",IFERROR(_xlfn.NUMBERVALUE(E411&amp;"",",","."),"n.b."))</f>
        <v/>
      </c>
      <c r="BD411" s="124" t="str">
        <f>IF($B411="","",IFERROR(_xlfn.NUMBERVALUE(M411&amp;"",",","."),"n.b."))</f>
        <v/>
      </c>
      <c r="BE411" s="124" t="str">
        <f>IF($B411="","",IFERROR(AB411+AC411+AD411,"n.b."))</f>
        <v/>
      </c>
      <c r="BF411" s="124" t="str">
        <f>IF($B411="","",IFERROR(AE411+AF411+AG411,"n.b."))</f>
        <v/>
      </c>
      <c r="BG411" s="124" t="str">
        <f>IF($B411="","",IFERROR(AH411+AI411+AJ411,"n.b."))</f>
        <v/>
      </c>
      <c r="BH411" s="124" t="str">
        <f>IF($B411="","",IFERROR(AK411+AL411+AM411,"n.b."))</f>
        <v/>
      </c>
      <c r="BI411" s="124" t="str">
        <f>IF($B411="","",IFERROR(SUMIF($AB$5:$AM$5,"&lt;="&amp;P_PeilMaand,AB411:AM411),"n.b."))</f>
        <v/>
      </c>
      <c r="BJ411" s="124" t="str">
        <f>IF($B411="","",IFERROR(SUM(AB411:AM411)-BI411,"n.b."))</f>
        <v/>
      </c>
      <c r="BK411" s="124" t="str">
        <f>IF($B411="","",IFERROR(IF(ABS(Q411-(T411+SUM(AB411:AM411)+AS411+AU411))&gt;P_Tol,1,0),1))</f>
        <v/>
      </c>
      <c r="BL411" s="124" t="str">
        <f>IF($B411="","",IFERROR(IF(ABS(AA411-(Q411-Z411))&gt;P_Tol,1,0),1))</f>
        <v/>
      </c>
      <c r="BM411" s="124" t="str">
        <f>IF($B411="","",IFERROR(IF(ABS(Z411-(T411+W411))&gt;P_Tol,1,0),1))</f>
        <v/>
      </c>
      <c r="BN411" s="124" t="str">
        <f>IF($B411="","",IFERROR(IF(ABS(W411-BI411)&gt;P_Tol,1,0),1))</f>
        <v/>
      </c>
      <c r="BO411" s="124" t="str">
        <f>IF($B411="","",IFERROR(IF(OR(ABS(R411+S411-T411)&gt;P_Tol,ABS(U411+V411-W411)&gt;P_Tol,ABS(X411+Y411-Z411)&gt;P_Tol),1,0),1))</f>
        <v/>
      </c>
      <c r="BP411" s="124" t="str">
        <f>IF($B411="","",IFERROR(IF(OR(ABS(AR411-SUM(AB411:AM411))&gt;P_Tol,ABS(AS411-(AN411+AO411+AP411+AQ411))&gt;P_Tol),1,0),1))</f>
        <v/>
      </c>
      <c r="BQ411" s="124" t="str">
        <f>IF($B411="","",IFERROR(IF(ABS(AT411)+ABS(AV411)+ABS(AW411)+ABS(AX411)+ABS(AY411)+ABS(AZ411)+ABS(BA411)+ABS(BB411)&gt;0,1,0),1))</f>
        <v/>
      </c>
      <c r="BR411" s="124" t="str">
        <f>IF($B411="","",COUNTIF(STG_ZPMW03!$B$6:$B$505,B411))</f>
        <v/>
      </c>
      <c r="BS411" s="124" t="str">
        <f>IF($B411="","",COUNTIF($B$6:$B$505,B411))</f>
        <v/>
      </c>
      <c r="BT411" s="124" t="str">
        <f>IF($B411="","",IF(BR411=0,0,IF(INDEX(STG_ZPMW03!$I$6:$I$505,MATCH(B411,STG_ZPMW03!$B$6:$B$505,0))=J411&amp;"",0,1)))</f>
        <v/>
      </c>
      <c r="BU411" s="124" t="str">
        <f>IF($B411="","",IFERROR(IF(ABS(INDEX(Mapping!$D$5:$D$104,MATCH(B411,Mapping!$A$5:$A$104,0))-Q411)&gt;P_Tol,1,0),0))</f>
        <v/>
      </c>
      <c r="BV411" s="124" t="str">
        <f>IF($B411="","",IFERROR(IF(AND(INDEX(Mapping!$G$5:$G$104,MATCH(B411,Mapping!$A$5:$A$104,0))="Nee",ABS(Q411)+ABS(Z411)+ABS(AR411)&gt;0),1,0),0))</f>
        <v/>
      </c>
      <c r="BW411" s="124" t="str">
        <f>IF($B411="","",IF(COUNTIF(Mapping!$A$5:$A$104,B411)&gt;0,1,0))</f>
        <v/>
      </c>
      <c r="BX411" s="124" t="str">
        <f>IF($B411="","",IF(BR411=0,COUNTIF($BR$6:BR411,0),""))</f>
        <v/>
      </c>
    </row>
    <row r="412">
      <c r="A412" s="15" t="n">
        <v>408</v>
      </c>
      <c r="B412" t="str">
        <f>IF(B$3=0,"",IF(INDEX(SRC_Woningetalage!$A$1:$ZZ$501,$A412,B$3)&amp;""="","",INDEX(SRC_Woningetalage!$A$1:$ZZ$501,$A412,B$3)&amp;""))</f>
        <v/>
      </c>
      <c r="C412" t="str">
        <f>IF($B412="","",IF(C$3=0,"n.b.",INDEX(SRC_Woningetalage!$A$1:$ZZ$501,$A412,C$3)))</f>
        <v/>
      </c>
      <c r="D412" t="str">
        <f>IF($B412="","",IF(D$3=0,"n.b.",INDEX(SRC_Woningetalage!$A$1:$ZZ$501,$A412,D$3)))</f>
        <v/>
      </c>
      <c r="E412" t="str">
        <f>IF($B412="","",IF(E$3=0,"n.b.",INDEX(SRC_Woningetalage!$A$1:$ZZ$501,$A412,E$3)))</f>
        <v/>
      </c>
      <c r="F412" t="str">
        <f>IF($B412="","",IF(F$3=0,"n.b.",INDEX(SRC_Woningetalage!$A$1:$ZZ$501,$A412,F$3)))</f>
        <v/>
      </c>
      <c r="G412" t="str">
        <f>IF($B412="","",IF(G$3=0,"n.b.",INDEX(SRC_Woningetalage!$A$1:$ZZ$501,$A412,G$3)))</f>
        <v/>
      </c>
      <c r="H412" t="str">
        <f>IF($B412="","",IF(H$3=0,"n.b.",INDEX(SRC_Woningetalage!$A$1:$ZZ$501,$A412,H$3)))</f>
        <v/>
      </c>
      <c r="I412" t="str">
        <f>IF($B412="","",IF(I$3=0,"n.b.",INDEX(SRC_Woningetalage!$A$1:$ZZ$501,$A412,I$3)))</f>
        <v/>
      </c>
      <c r="J412" t="str">
        <f>IF($B412="","",IF(J$3=0,"n.b.",INDEX(SRC_Woningetalage!$A$1:$ZZ$501,$A412,J$3)))</f>
        <v/>
      </c>
      <c r="K412" t="str">
        <f>IF($B412="","",IF(K$3=0,"n.b.",INDEX(SRC_Woningetalage!$A$1:$ZZ$501,$A412,K$3)))</f>
        <v/>
      </c>
      <c r="L412" t="str">
        <f>IF($B412="","",IF(L$3=0,"n.b.",INDEX(SRC_Woningetalage!$A$1:$ZZ$501,$A412,L$3)))</f>
        <v/>
      </c>
      <c r="M412" t="str">
        <f>IF($B412="","",IF(M$3=0,"n.b.",INDEX(SRC_Woningetalage!$A$1:$ZZ$501,$A412,M$3)))</f>
        <v/>
      </c>
      <c r="N412" t="str">
        <f>IF($B412="","",IF(N$3=0,"n.b.",INDEX(SRC_Woningetalage!$A$1:$ZZ$501,$A412,N$3)))</f>
        <v/>
      </c>
      <c r="O412" t="str">
        <f>IF($B412="","",IF(O$3=0,"n.b.",INDEX(SRC_Woningetalage!$A$1:$ZZ$501,$A412,O$3)))</f>
        <v/>
      </c>
      <c r="P412" t="str">
        <f>IF($B412="","",IF(P$3=0,"n.b.",INDEX(SRC_Woningetalage!$A$1:$ZZ$501,$A412,P$3)))</f>
        <v/>
      </c>
      <c r="Q412" s="124" t="str">
        <f>IF($B412="","",IF(Q$3=0,"n.b.",INDEX(SRC_Woningetalage!$A$1:$ZZ$501,$A412,Q$3)))</f>
        <v/>
      </c>
      <c r="R412" s="124" t="str">
        <f>IF($B412="","",IF(R$3=0,"n.b.",INDEX(SRC_Woningetalage!$A$1:$ZZ$501,$A412,R$3)))</f>
        <v/>
      </c>
      <c r="S412" s="124" t="str">
        <f>IF($B412="","",IF(S$3=0,"n.b.",INDEX(SRC_Woningetalage!$A$1:$ZZ$501,$A412,S$3)))</f>
        <v/>
      </c>
      <c r="T412" s="124" t="str">
        <f>IF($B412="","",IF(T$3=0,"n.b.",INDEX(SRC_Woningetalage!$A$1:$ZZ$501,$A412,T$3)))</f>
        <v/>
      </c>
      <c r="U412" s="124" t="str">
        <f>IF($B412="","",IF(U$3=0,"n.b.",INDEX(SRC_Woningetalage!$A$1:$ZZ$501,$A412,U$3)))</f>
        <v/>
      </c>
      <c r="V412" s="124" t="str">
        <f>IF($B412="","",IF(V$3=0,"n.b.",INDEX(SRC_Woningetalage!$A$1:$ZZ$501,$A412,V$3)))</f>
        <v/>
      </c>
      <c r="W412" s="124" t="str">
        <f>IF($B412="","",IF(W$3=0,"n.b.",INDEX(SRC_Woningetalage!$A$1:$ZZ$501,$A412,W$3)))</f>
        <v/>
      </c>
      <c r="X412" s="124" t="str">
        <f>IF($B412="","",IF(X$3=0,"n.b.",INDEX(SRC_Woningetalage!$A$1:$ZZ$501,$A412,X$3)))</f>
        <v/>
      </c>
      <c r="Y412" s="124" t="str">
        <f>IF($B412="","",IF(Y$3=0,"n.b.",INDEX(SRC_Woningetalage!$A$1:$ZZ$501,$A412,Y$3)))</f>
        <v/>
      </c>
      <c r="Z412" s="124" t="str">
        <f>IF($B412="","",IF(Z$3=0,"n.b.",INDEX(SRC_Woningetalage!$A$1:$ZZ$501,$A412,Z$3)))</f>
        <v/>
      </c>
      <c r="AA412" s="124" t="str">
        <f>IF($B412="","",IF(AA$3=0,"n.b.",INDEX(SRC_Woningetalage!$A$1:$ZZ$501,$A412,AA$3)))</f>
        <v/>
      </c>
      <c r="AB412" s="124" t="str">
        <f>IF($B412="","",IF(AB$3=0,"n.b.",INDEX(SRC_Woningetalage!$A$1:$ZZ$501,$A412,AB$3)))</f>
        <v/>
      </c>
      <c r="AC412" s="124" t="str">
        <f>IF($B412="","",IF(AC$3=0,"n.b.",INDEX(SRC_Woningetalage!$A$1:$ZZ$501,$A412,AC$3)))</f>
        <v/>
      </c>
      <c r="AD412" s="124" t="str">
        <f>IF($B412="","",IF(AD$3=0,"n.b.",INDEX(SRC_Woningetalage!$A$1:$ZZ$501,$A412,AD$3)))</f>
        <v/>
      </c>
      <c r="AE412" s="124" t="str">
        <f>IF($B412="","",IF(AE$3=0,"n.b.",INDEX(SRC_Woningetalage!$A$1:$ZZ$501,$A412,AE$3)))</f>
        <v/>
      </c>
      <c r="AF412" s="124" t="str">
        <f>IF($B412="","",IF(AF$3=0,"n.b.",INDEX(SRC_Woningetalage!$A$1:$ZZ$501,$A412,AF$3)))</f>
        <v/>
      </c>
      <c r="AG412" s="124" t="str">
        <f>IF($B412="","",IF(AG$3=0,"n.b.",INDEX(SRC_Woningetalage!$A$1:$ZZ$501,$A412,AG$3)))</f>
        <v/>
      </c>
      <c r="AH412" s="124" t="str">
        <f>IF($B412="","",IF(AH$3=0,"n.b.",INDEX(SRC_Woningetalage!$A$1:$ZZ$501,$A412,AH$3)))</f>
        <v/>
      </c>
      <c r="AI412" s="124" t="str">
        <f>IF($B412="","",IF(AI$3=0,"n.b.",INDEX(SRC_Woningetalage!$A$1:$ZZ$501,$A412,AI$3)))</f>
        <v/>
      </c>
      <c r="AJ412" s="124" t="str">
        <f>IF($B412="","",IF(AJ$3=0,"n.b.",INDEX(SRC_Woningetalage!$A$1:$ZZ$501,$A412,AJ$3)))</f>
        <v/>
      </c>
      <c r="AK412" s="124" t="str">
        <f>IF($B412="","",IF(AK$3=0,"n.b.",INDEX(SRC_Woningetalage!$A$1:$ZZ$501,$A412,AK$3)))</f>
        <v/>
      </c>
      <c r="AL412" s="124" t="str">
        <f>IF($B412="","",IF(AL$3=0,"n.b.",INDEX(SRC_Woningetalage!$A$1:$ZZ$501,$A412,AL$3)))</f>
        <v/>
      </c>
      <c r="AM412" s="124" t="str">
        <f>IF($B412="","",IF(AM$3=0,"n.b.",INDEX(SRC_Woningetalage!$A$1:$ZZ$501,$A412,AM$3)))</f>
        <v/>
      </c>
      <c r="AN412" s="124" t="str">
        <f>IF($B412="","",IF(AN$3=0,"n.b.",INDEX(SRC_Woningetalage!$A$1:$ZZ$501,$A412,AN$3)))</f>
        <v/>
      </c>
      <c r="AO412" s="124" t="str">
        <f>IF($B412="","",IF(AO$3=0,"n.b.",INDEX(SRC_Woningetalage!$A$1:$ZZ$501,$A412,AO$3)))</f>
        <v/>
      </c>
      <c r="AP412" s="124" t="str">
        <f>IF($B412="","",IF(AP$3=0,"n.b.",INDEX(SRC_Woningetalage!$A$1:$ZZ$501,$A412,AP$3)))</f>
        <v/>
      </c>
      <c r="AQ412" s="124" t="str">
        <f>IF($B412="","",IF(AQ$3=0,"n.b.",INDEX(SRC_Woningetalage!$A$1:$ZZ$501,$A412,AQ$3)))</f>
        <v/>
      </c>
      <c r="AR412" s="124" t="str">
        <f>IF($B412="","",IF(AR$3=0,"n.b.",INDEX(SRC_Woningetalage!$A$1:$ZZ$501,$A412,AR$3)))</f>
        <v/>
      </c>
      <c r="AS412" s="124" t="str">
        <f>IF($B412="","",IF(AS$3=0,"n.b.",INDEX(SRC_Woningetalage!$A$1:$ZZ$501,$A412,AS$3)))</f>
        <v/>
      </c>
      <c r="AT412" s="124" t="str">
        <f>IF($B412="","",IF(AT$3=0,"n.b.",INDEX(SRC_Woningetalage!$A$1:$ZZ$501,$A412,AT$3)))</f>
        <v/>
      </c>
      <c r="AU412" s="124" t="str">
        <f>IF($B412="","",IF(AU$3=0,"n.b.",INDEX(SRC_Woningetalage!$A$1:$ZZ$501,$A412,AU$3)))</f>
        <v/>
      </c>
      <c r="AV412" s="124" t="str">
        <f>IF($B412="","",IF(AV$3=0,"n.b.",INDEX(SRC_Woningetalage!$A$1:$ZZ$501,$A412,AV$3)))</f>
        <v/>
      </c>
      <c r="AW412" s="124" t="str">
        <f>IF($B412="","",IF(AW$3=0,"n.b.",INDEX(SRC_Woningetalage!$A$1:$ZZ$501,$A412,AW$3)))</f>
        <v/>
      </c>
      <c r="AX412" s="124" t="str">
        <f>IF($B412="","",IF(AX$3=0,"n.b.",INDEX(SRC_Woningetalage!$A$1:$ZZ$501,$A412,AX$3)))</f>
        <v/>
      </c>
      <c r="AY412" s="124" t="str">
        <f>IF($B412="","",IF(AY$3=0,"n.b.",INDEX(SRC_Woningetalage!$A$1:$ZZ$501,$A412,AY$3)))</f>
        <v/>
      </c>
      <c r="AZ412" s="124" t="str">
        <f>IF($B412="","",IF(AZ$3=0,"n.b.",INDEX(SRC_Woningetalage!$A$1:$ZZ$501,$A412,AZ$3)))</f>
        <v/>
      </c>
      <c r="BA412" s="124" t="str">
        <f>IF($B412="","",IF(BA$3=0,"n.b.",INDEX(SRC_Woningetalage!$A$1:$ZZ$501,$A412,BA$3)))</f>
        <v/>
      </c>
      <c r="BB412" s="124" t="str">
        <f>IF($B412="","",IF(BB$3=0,"n.b.",INDEX(SRC_Woningetalage!$A$1:$ZZ$501,$A412,BB$3)))</f>
        <v/>
      </c>
      <c r="BC412" s="124" t="str">
        <f>IF($B412="","",IFERROR(_xlfn.NUMBERVALUE(E412&amp;"",",","."),"n.b."))</f>
        <v/>
      </c>
      <c r="BD412" s="124" t="str">
        <f>IF($B412="","",IFERROR(_xlfn.NUMBERVALUE(M412&amp;"",",","."),"n.b."))</f>
        <v/>
      </c>
      <c r="BE412" s="124" t="str">
        <f>IF($B412="","",IFERROR(AB412+AC412+AD412,"n.b."))</f>
        <v/>
      </c>
      <c r="BF412" s="124" t="str">
        <f>IF($B412="","",IFERROR(AE412+AF412+AG412,"n.b."))</f>
        <v/>
      </c>
      <c r="BG412" s="124" t="str">
        <f>IF($B412="","",IFERROR(AH412+AI412+AJ412,"n.b."))</f>
        <v/>
      </c>
      <c r="BH412" s="124" t="str">
        <f>IF($B412="","",IFERROR(AK412+AL412+AM412,"n.b."))</f>
        <v/>
      </c>
      <c r="BI412" s="124" t="str">
        <f>IF($B412="","",IFERROR(SUMIF($AB$5:$AM$5,"&lt;="&amp;P_PeilMaand,AB412:AM412),"n.b."))</f>
        <v/>
      </c>
      <c r="BJ412" s="124" t="str">
        <f>IF($B412="","",IFERROR(SUM(AB412:AM412)-BI412,"n.b."))</f>
        <v/>
      </c>
      <c r="BK412" s="124" t="str">
        <f>IF($B412="","",IFERROR(IF(ABS(Q412-(T412+SUM(AB412:AM412)+AS412+AU412))&gt;P_Tol,1,0),1))</f>
        <v/>
      </c>
      <c r="BL412" s="124" t="str">
        <f>IF($B412="","",IFERROR(IF(ABS(AA412-(Q412-Z412))&gt;P_Tol,1,0),1))</f>
        <v/>
      </c>
      <c r="BM412" s="124" t="str">
        <f>IF($B412="","",IFERROR(IF(ABS(Z412-(T412+W412))&gt;P_Tol,1,0),1))</f>
        <v/>
      </c>
      <c r="BN412" s="124" t="str">
        <f>IF($B412="","",IFERROR(IF(ABS(W412-BI412)&gt;P_Tol,1,0),1))</f>
        <v/>
      </c>
      <c r="BO412" s="124" t="str">
        <f>IF($B412="","",IFERROR(IF(OR(ABS(R412+S412-T412)&gt;P_Tol,ABS(U412+V412-W412)&gt;P_Tol,ABS(X412+Y412-Z412)&gt;P_Tol),1,0),1))</f>
        <v/>
      </c>
      <c r="BP412" s="124" t="str">
        <f>IF($B412="","",IFERROR(IF(OR(ABS(AR412-SUM(AB412:AM412))&gt;P_Tol,ABS(AS412-(AN412+AO412+AP412+AQ412))&gt;P_Tol),1,0),1))</f>
        <v/>
      </c>
      <c r="BQ412" s="124" t="str">
        <f>IF($B412="","",IFERROR(IF(ABS(AT412)+ABS(AV412)+ABS(AW412)+ABS(AX412)+ABS(AY412)+ABS(AZ412)+ABS(BA412)+ABS(BB412)&gt;0,1,0),1))</f>
        <v/>
      </c>
      <c r="BR412" s="124" t="str">
        <f>IF($B412="","",COUNTIF(STG_ZPMW03!$B$6:$B$505,B412))</f>
        <v/>
      </c>
      <c r="BS412" s="124" t="str">
        <f>IF($B412="","",COUNTIF($B$6:$B$505,B412))</f>
        <v/>
      </c>
      <c r="BT412" s="124" t="str">
        <f>IF($B412="","",IF(BR412=0,0,IF(INDEX(STG_ZPMW03!$I$6:$I$505,MATCH(B412,STG_ZPMW03!$B$6:$B$505,0))=J412&amp;"",0,1)))</f>
        <v/>
      </c>
      <c r="BU412" s="124" t="str">
        <f>IF($B412="","",IFERROR(IF(ABS(INDEX(Mapping!$D$5:$D$104,MATCH(B412,Mapping!$A$5:$A$104,0))-Q412)&gt;P_Tol,1,0),0))</f>
        <v/>
      </c>
      <c r="BV412" s="124" t="str">
        <f>IF($B412="","",IFERROR(IF(AND(INDEX(Mapping!$G$5:$G$104,MATCH(B412,Mapping!$A$5:$A$104,0))="Nee",ABS(Q412)+ABS(Z412)+ABS(AR412)&gt;0),1,0),0))</f>
        <v/>
      </c>
      <c r="BW412" s="124" t="str">
        <f>IF($B412="","",IF(COUNTIF(Mapping!$A$5:$A$104,B412)&gt;0,1,0))</f>
        <v/>
      </c>
      <c r="BX412" s="124" t="str">
        <f>IF($B412="","",IF(BR412=0,COUNTIF($BR$6:BR412,0),""))</f>
        <v/>
      </c>
    </row>
    <row r="413">
      <c r="A413" s="15" t="n">
        <v>409</v>
      </c>
      <c r="B413" t="str">
        <f>IF(B$3=0,"",IF(INDEX(SRC_Woningetalage!$A$1:$ZZ$501,$A413,B$3)&amp;""="","",INDEX(SRC_Woningetalage!$A$1:$ZZ$501,$A413,B$3)&amp;""))</f>
        <v/>
      </c>
      <c r="C413" t="str">
        <f>IF($B413="","",IF(C$3=0,"n.b.",INDEX(SRC_Woningetalage!$A$1:$ZZ$501,$A413,C$3)))</f>
        <v/>
      </c>
      <c r="D413" t="str">
        <f>IF($B413="","",IF(D$3=0,"n.b.",INDEX(SRC_Woningetalage!$A$1:$ZZ$501,$A413,D$3)))</f>
        <v/>
      </c>
      <c r="E413" t="str">
        <f>IF($B413="","",IF(E$3=0,"n.b.",INDEX(SRC_Woningetalage!$A$1:$ZZ$501,$A413,E$3)))</f>
        <v/>
      </c>
      <c r="F413" t="str">
        <f>IF($B413="","",IF(F$3=0,"n.b.",INDEX(SRC_Woningetalage!$A$1:$ZZ$501,$A413,F$3)))</f>
        <v/>
      </c>
      <c r="G413" t="str">
        <f>IF($B413="","",IF(G$3=0,"n.b.",INDEX(SRC_Woningetalage!$A$1:$ZZ$501,$A413,G$3)))</f>
        <v/>
      </c>
      <c r="H413" t="str">
        <f>IF($B413="","",IF(H$3=0,"n.b.",INDEX(SRC_Woningetalage!$A$1:$ZZ$501,$A413,H$3)))</f>
        <v/>
      </c>
      <c r="I413" t="str">
        <f>IF($B413="","",IF(I$3=0,"n.b.",INDEX(SRC_Woningetalage!$A$1:$ZZ$501,$A413,I$3)))</f>
        <v/>
      </c>
      <c r="J413" t="str">
        <f>IF($B413="","",IF(J$3=0,"n.b.",INDEX(SRC_Woningetalage!$A$1:$ZZ$501,$A413,J$3)))</f>
        <v/>
      </c>
      <c r="K413" t="str">
        <f>IF($B413="","",IF(K$3=0,"n.b.",INDEX(SRC_Woningetalage!$A$1:$ZZ$501,$A413,K$3)))</f>
        <v/>
      </c>
      <c r="L413" t="str">
        <f>IF($B413="","",IF(L$3=0,"n.b.",INDEX(SRC_Woningetalage!$A$1:$ZZ$501,$A413,L$3)))</f>
        <v/>
      </c>
      <c r="M413" t="str">
        <f>IF($B413="","",IF(M$3=0,"n.b.",INDEX(SRC_Woningetalage!$A$1:$ZZ$501,$A413,M$3)))</f>
        <v/>
      </c>
      <c r="N413" t="str">
        <f>IF($B413="","",IF(N$3=0,"n.b.",INDEX(SRC_Woningetalage!$A$1:$ZZ$501,$A413,N$3)))</f>
        <v/>
      </c>
      <c r="O413" t="str">
        <f>IF($B413="","",IF(O$3=0,"n.b.",INDEX(SRC_Woningetalage!$A$1:$ZZ$501,$A413,O$3)))</f>
        <v/>
      </c>
      <c r="P413" t="str">
        <f>IF($B413="","",IF(P$3=0,"n.b.",INDEX(SRC_Woningetalage!$A$1:$ZZ$501,$A413,P$3)))</f>
        <v/>
      </c>
      <c r="Q413" s="124" t="str">
        <f>IF($B413="","",IF(Q$3=0,"n.b.",INDEX(SRC_Woningetalage!$A$1:$ZZ$501,$A413,Q$3)))</f>
        <v/>
      </c>
      <c r="R413" s="124" t="str">
        <f>IF($B413="","",IF(R$3=0,"n.b.",INDEX(SRC_Woningetalage!$A$1:$ZZ$501,$A413,R$3)))</f>
        <v/>
      </c>
      <c r="S413" s="124" t="str">
        <f>IF($B413="","",IF(S$3=0,"n.b.",INDEX(SRC_Woningetalage!$A$1:$ZZ$501,$A413,S$3)))</f>
        <v/>
      </c>
      <c r="T413" s="124" t="str">
        <f>IF($B413="","",IF(T$3=0,"n.b.",INDEX(SRC_Woningetalage!$A$1:$ZZ$501,$A413,T$3)))</f>
        <v/>
      </c>
      <c r="U413" s="124" t="str">
        <f>IF($B413="","",IF(U$3=0,"n.b.",INDEX(SRC_Woningetalage!$A$1:$ZZ$501,$A413,U$3)))</f>
        <v/>
      </c>
      <c r="V413" s="124" t="str">
        <f>IF($B413="","",IF(V$3=0,"n.b.",INDEX(SRC_Woningetalage!$A$1:$ZZ$501,$A413,V$3)))</f>
        <v/>
      </c>
      <c r="W413" s="124" t="str">
        <f>IF($B413="","",IF(W$3=0,"n.b.",INDEX(SRC_Woningetalage!$A$1:$ZZ$501,$A413,W$3)))</f>
        <v/>
      </c>
      <c r="X413" s="124" t="str">
        <f>IF($B413="","",IF(X$3=0,"n.b.",INDEX(SRC_Woningetalage!$A$1:$ZZ$501,$A413,X$3)))</f>
        <v/>
      </c>
      <c r="Y413" s="124" t="str">
        <f>IF($B413="","",IF(Y$3=0,"n.b.",INDEX(SRC_Woningetalage!$A$1:$ZZ$501,$A413,Y$3)))</f>
        <v/>
      </c>
      <c r="Z413" s="124" t="str">
        <f>IF($B413="","",IF(Z$3=0,"n.b.",INDEX(SRC_Woningetalage!$A$1:$ZZ$501,$A413,Z$3)))</f>
        <v/>
      </c>
      <c r="AA413" s="124" t="str">
        <f>IF($B413="","",IF(AA$3=0,"n.b.",INDEX(SRC_Woningetalage!$A$1:$ZZ$501,$A413,AA$3)))</f>
        <v/>
      </c>
      <c r="AB413" s="124" t="str">
        <f>IF($B413="","",IF(AB$3=0,"n.b.",INDEX(SRC_Woningetalage!$A$1:$ZZ$501,$A413,AB$3)))</f>
        <v/>
      </c>
      <c r="AC413" s="124" t="str">
        <f>IF($B413="","",IF(AC$3=0,"n.b.",INDEX(SRC_Woningetalage!$A$1:$ZZ$501,$A413,AC$3)))</f>
        <v/>
      </c>
      <c r="AD413" s="124" t="str">
        <f>IF($B413="","",IF(AD$3=0,"n.b.",INDEX(SRC_Woningetalage!$A$1:$ZZ$501,$A413,AD$3)))</f>
        <v/>
      </c>
      <c r="AE413" s="124" t="str">
        <f>IF($B413="","",IF(AE$3=0,"n.b.",INDEX(SRC_Woningetalage!$A$1:$ZZ$501,$A413,AE$3)))</f>
        <v/>
      </c>
      <c r="AF413" s="124" t="str">
        <f>IF($B413="","",IF(AF$3=0,"n.b.",INDEX(SRC_Woningetalage!$A$1:$ZZ$501,$A413,AF$3)))</f>
        <v/>
      </c>
      <c r="AG413" s="124" t="str">
        <f>IF($B413="","",IF(AG$3=0,"n.b.",INDEX(SRC_Woningetalage!$A$1:$ZZ$501,$A413,AG$3)))</f>
        <v/>
      </c>
      <c r="AH413" s="124" t="str">
        <f>IF($B413="","",IF(AH$3=0,"n.b.",INDEX(SRC_Woningetalage!$A$1:$ZZ$501,$A413,AH$3)))</f>
        <v/>
      </c>
      <c r="AI413" s="124" t="str">
        <f>IF($B413="","",IF(AI$3=0,"n.b.",INDEX(SRC_Woningetalage!$A$1:$ZZ$501,$A413,AI$3)))</f>
        <v/>
      </c>
      <c r="AJ413" s="124" t="str">
        <f>IF($B413="","",IF(AJ$3=0,"n.b.",INDEX(SRC_Woningetalage!$A$1:$ZZ$501,$A413,AJ$3)))</f>
        <v/>
      </c>
      <c r="AK413" s="124" t="str">
        <f>IF($B413="","",IF(AK$3=0,"n.b.",INDEX(SRC_Woningetalage!$A$1:$ZZ$501,$A413,AK$3)))</f>
        <v/>
      </c>
      <c r="AL413" s="124" t="str">
        <f>IF($B413="","",IF(AL$3=0,"n.b.",INDEX(SRC_Woningetalage!$A$1:$ZZ$501,$A413,AL$3)))</f>
        <v/>
      </c>
      <c r="AM413" s="124" t="str">
        <f>IF($B413="","",IF(AM$3=0,"n.b.",INDEX(SRC_Woningetalage!$A$1:$ZZ$501,$A413,AM$3)))</f>
        <v/>
      </c>
      <c r="AN413" s="124" t="str">
        <f>IF($B413="","",IF(AN$3=0,"n.b.",INDEX(SRC_Woningetalage!$A$1:$ZZ$501,$A413,AN$3)))</f>
        <v/>
      </c>
      <c r="AO413" s="124" t="str">
        <f>IF($B413="","",IF(AO$3=0,"n.b.",INDEX(SRC_Woningetalage!$A$1:$ZZ$501,$A413,AO$3)))</f>
        <v/>
      </c>
      <c r="AP413" s="124" t="str">
        <f>IF($B413="","",IF(AP$3=0,"n.b.",INDEX(SRC_Woningetalage!$A$1:$ZZ$501,$A413,AP$3)))</f>
        <v/>
      </c>
      <c r="AQ413" s="124" t="str">
        <f>IF($B413="","",IF(AQ$3=0,"n.b.",INDEX(SRC_Woningetalage!$A$1:$ZZ$501,$A413,AQ$3)))</f>
        <v/>
      </c>
      <c r="AR413" s="124" t="str">
        <f>IF($B413="","",IF(AR$3=0,"n.b.",INDEX(SRC_Woningetalage!$A$1:$ZZ$501,$A413,AR$3)))</f>
        <v/>
      </c>
      <c r="AS413" s="124" t="str">
        <f>IF($B413="","",IF(AS$3=0,"n.b.",INDEX(SRC_Woningetalage!$A$1:$ZZ$501,$A413,AS$3)))</f>
        <v/>
      </c>
      <c r="AT413" s="124" t="str">
        <f>IF($B413="","",IF(AT$3=0,"n.b.",INDEX(SRC_Woningetalage!$A$1:$ZZ$501,$A413,AT$3)))</f>
        <v/>
      </c>
      <c r="AU413" s="124" t="str">
        <f>IF($B413="","",IF(AU$3=0,"n.b.",INDEX(SRC_Woningetalage!$A$1:$ZZ$501,$A413,AU$3)))</f>
        <v/>
      </c>
      <c r="AV413" s="124" t="str">
        <f>IF($B413="","",IF(AV$3=0,"n.b.",INDEX(SRC_Woningetalage!$A$1:$ZZ$501,$A413,AV$3)))</f>
        <v/>
      </c>
      <c r="AW413" s="124" t="str">
        <f>IF($B413="","",IF(AW$3=0,"n.b.",INDEX(SRC_Woningetalage!$A$1:$ZZ$501,$A413,AW$3)))</f>
        <v/>
      </c>
      <c r="AX413" s="124" t="str">
        <f>IF($B413="","",IF(AX$3=0,"n.b.",INDEX(SRC_Woningetalage!$A$1:$ZZ$501,$A413,AX$3)))</f>
        <v/>
      </c>
      <c r="AY413" s="124" t="str">
        <f>IF($B413="","",IF(AY$3=0,"n.b.",INDEX(SRC_Woningetalage!$A$1:$ZZ$501,$A413,AY$3)))</f>
        <v/>
      </c>
      <c r="AZ413" s="124" t="str">
        <f>IF($B413="","",IF(AZ$3=0,"n.b.",INDEX(SRC_Woningetalage!$A$1:$ZZ$501,$A413,AZ$3)))</f>
        <v/>
      </c>
      <c r="BA413" s="124" t="str">
        <f>IF($B413="","",IF(BA$3=0,"n.b.",INDEX(SRC_Woningetalage!$A$1:$ZZ$501,$A413,BA$3)))</f>
        <v/>
      </c>
      <c r="BB413" s="124" t="str">
        <f>IF($B413="","",IF(BB$3=0,"n.b.",INDEX(SRC_Woningetalage!$A$1:$ZZ$501,$A413,BB$3)))</f>
        <v/>
      </c>
      <c r="BC413" s="124" t="str">
        <f>IF($B413="","",IFERROR(_xlfn.NUMBERVALUE(E413&amp;"",",","."),"n.b."))</f>
        <v/>
      </c>
      <c r="BD413" s="124" t="str">
        <f>IF($B413="","",IFERROR(_xlfn.NUMBERVALUE(M413&amp;"",",","."),"n.b."))</f>
        <v/>
      </c>
      <c r="BE413" s="124" t="str">
        <f>IF($B413="","",IFERROR(AB413+AC413+AD413,"n.b."))</f>
        <v/>
      </c>
      <c r="BF413" s="124" t="str">
        <f>IF($B413="","",IFERROR(AE413+AF413+AG413,"n.b."))</f>
        <v/>
      </c>
      <c r="BG413" s="124" t="str">
        <f>IF($B413="","",IFERROR(AH413+AI413+AJ413,"n.b."))</f>
        <v/>
      </c>
      <c r="BH413" s="124" t="str">
        <f>IF($B413="","",IFERROR(AK413+AL413+AM413,"n.b."))</f>
        <v/>
      </c>
      <c r="BI413" s="124" t="str">
        <f>IF($B413="","",IFERROR(SUMIF($AB$5:$AM$5,"&lt;="&amp;P_PeilMaand,AB413:AM413),"n.b."))</f>
        <v/>
      </c>
      <c r="BJ413" s="124" t="str">
        <f>IF($B413="","",IFERROR(SUM(AB413:AM413)-BI413,"n.b."))</f>
        <v/>
      </c>
      <c r="BK413" s="124" t="str">
        <f>IF($B413="","",IFERROR(IF(ABS(Q413-(T413+SUM(AB413:AM413)+AS413+AU413))&gt;P_Tol,1,0),1))</f>
        <v/>
      </c>
      <c r="BL413" s="124" t="str">
        <f>IF($B413="","",IFERROR(IF(ABS(AA413-(Q413-Z413))&gt;P_Tol,1,0),1))</f>
        <v/>
      </c>
      <c r="BM413" s="124" t="str">
        <f>IF($B413="","",IFERROR(IF(ABS(Z413-(T413+W413))&gt;P_Tol,1,0),1))</f>
        <v/>
      </c>
      <c r="BN413" s="124" t="str">
        <f>IF($B413="","",IFERROR(IF(ABS(W413-BI413)&gt;P_Tol,1,0),1))</f>
        <v/>
      </c>
      <c r="BO413" s="124" t="str">
        <f>IF($B413="","",IFERROR(IF(OR(ABS(R413+S413-T413)&gt;P_Tol,ABS(U413+V413-W413)&gt;P_Tol,ABS(X413+Y413-Z413)&gt;P_Tol),1,0),1))</f>
        <v/>
      </c>
      <c r="BP413" s="124" t="str">
        <f>IF($B413="","",IFERROR(IF(OR(ABS(AR413-SUM(AB413:AM413))&gt;P_Tol,ABS(AS413-(AN413+AO413+AP413+AQ413))&gt;P_Tol),1,0),1))</f>
        <v/>
      </c>
      <c r="BQ413" s="124" t="str">
        <f>IF($B413="","",IFERROR(IF(ABS(AT413)+ABS(AV413)+ABS(AW413)+ABS(AX413)+ABS(AY413)+ABS(AZ413)+ABS(BA413)+ABS(BB413)&gt;0,1,0),1))</f>
        <v/>
      </c>
      <c r="BR413" s="124" t="str">
        <f>IF($B413="","",COUNTIF(STG_ZPMW03!$B$6:$B$505,B413))</f>
        <v/>
      </c>
      <c r="BS413" s="124" t="str">
        <f>IF($B413="","",COUNTIF($B$6:$B$505,B413))</f>
        <v/>
      </c>
      <c r="BT413" s="124" t="str">
        <f>IF($B413="","",IF(BR413=0,0,IF(INDEX(STG_ZPMW03!$I$6:$I$505,MATCH(B413,STG_ZPMW03!$B$6:$B$505,0))=J413&amp;"",0,1)))</f>
        <v/>
      </c>
      <c r="BU413" s="124" t="str">
        <f>IF($B413="","",IFERROR(IF(ABS(INDEX(Mapping!$D$5:$D$104,MATCH(B413,Mapping!$A$5:$A$104,0))-Q413)&gt;P_Tol,1,0),0))</f>
        <v/>
      </c>
      <c r="BV413" s="124" t="str">
        <f>IF($B413="","",IFERROR(IF(AND(INDEX(Mapping!$G$5:$G$104,MATCH(B413,Mapping!$A$5:$A$104,0))="Nee",ABS(Q413)+ABS(Z413)+ABS(AR413)&gt;0),1,0),0))</f>
        <v/>
      </c>
      <c r="BW413" s="124" t="str">
        <f>IF($B413="","",IF(COUNTIF(Mapping!$A$5:$A$104,B413)&gt;0,1,0))</f>
        <v/>
      </c>
      <c r="BX413" s="124" t="str">
        <f>IF($B413="","",IF(BR413=0,COUNTIF($BR$6:BR413,0),""))</f>
        <v/>
      </c>
    </row>
    <row r="414">
      <c r="A414" s="15" t="n">
        <v>410</v>
      </c>
      <c r="B414" t="str">
        <f>IF(B$3=0,"",IF(INDEX(SRC_Woningetalage!$A$1:$ZZ$501,$A414,B$3)&amp;""="","",INDEX(SRC_Woningetalage!$A$1:$ZZ$501,$A414,B$3)&amp;""))</f>
        <v/>
      </c>
      <c r="C414" t="str">
        <f>IF($B414="","",IF(C$3=0,"n.b.",INDEX(SRC_Woningetalage!$A$1:$ZZ$501,$A414,C$3)))</f>
        <v/>
      </c>
      <c r="D414" t="str">
        <f>IF($B414="","",IF(D$3=0,"n.b.",INDEX(SRC_Woningetalage!$A$1:$ZZ$501,$A414,D$3)))</f>
        <v/>
      </c>
      <c r="E414" t="str">
        <f>IF($B414="","",IF(E$3=0,"n.b.",INDEX(SRC_Woningetalage!$A$1:$ZZ$501,$A414,E$3)))</f>
        <v/>
      </c>
      <c r="F414" t="str">
        <f>IF($B414="","",IF(F$3=0,"n.b.",INDEX(SRC_Woningetalage!$A$1:$ZZ$501,$A414,F$3)))</f>
        <v/>
      </c>
      <c r="G414" t="str">
        <f>IF($B414="","",IF(G$3=0,"n.b.",INDEX(SRC_Woningetalage!$A$1:$ZZ$501,$A414,G$3)))</f>
        <v/>
      </c>
      <c r="H414" t="str">
        <f>IF($B414="","",IF(H$3=0,"n.b.",INDEX(SRC_Woningetalage!$A$1:$ZZ$501,$A414,H$3)))</f>
        <v/>
      </c>
      <c r="I414" t="str">
        <f>IF($B414="","",IF(I$3=0,"n.b.",INDEX(SRC_Woningetalage!$A$1:$ZZ$501,$A414,I$3)))</f>
        <v/>
      </c>
      <c r="J414" t="str">
        <f>IF($B414="","",IF(J$3=0,"n.b.",INDEX(SRC_Woningetalage!$A$1:$ZZ$501,$A414,J$3)))</f>
        <v/>
      </c>
      <c r="K414" t="str">
        <f>IF($B414="","",IF(K$3=0,"n.b.",INDEX(SRC_Woningetalage!$A$1:$ZZ$501,$A414,K$3)))</f>
        <v/>
      </c>
      <c r="L414" t="str">
        <f>IF($B414="","",IF(L$3=0,"n.b.",INDEX(SRC_Woningetalage!$A$1:$ZZ$501,$A414,L$3)))</f>
        <v/>
      </c>
      <c r="M414" t="str">
        <f>IF($B414="","",IF(M$3=0,"n.b.",INDEX(SRC_Woningetalage!$A$1:$ZZ$501,$A414,M$3)))</f>
        <v/>
      </c>
      <c r="N414" t="str">
        <f>IF($B414="","",IF(N$3=0,"n.b.",INDEX(SRC_Woningetalage!$A$1:$ZZ$501,$A414,N$3)))</f>
        <v/>
      </c>
      <c r="O414" t="str">
        <f>IF($B414="","",IF(O$3=0,"n.b.",INDEX(SRC_Woningetalage!$A$1:$ZZ$501,$A414,O$3)))</f>
        <v/>
      </c>
      <c r="P414" t="str">
        <f>IF($B414="","",IF(P$3=0,"n.b.",INDEX(SRC_Woningetalage!$A$1:$ZZ$501,$A414,P$3)))</f>
        <v/>
      </c>
      <c r="Q414" s="124" t="str">
        <f>IF($B414="","",IF(Q$3=0,"n.b.",INDEX(SRC_Woningetalage!$A$1:$ZZ$501,$A414,Q$3)))</f>
        <v/>
      </c>
      <c r="R414" s="124" t="str">
        <f>IF($B414="","",IF(R$3=0,"n.b.",INDEX(SRC_Woningetalage!$A$1:$ZZ$501,$A414,R$3)))</f>
        <v/>
      </c>
      <c r="S414" s="124" t="str">
        <f>IF($B414="","",IF(S$3=0,"n.b.",INDEX(SRC_Woningetalage!$A$1:$ZZ$501,$A414,S$3)))</f>
        <v/>
      </c>
      <c r="T414" s="124" t="str">
        <f>IF($B414="","",IF(T$3=0,"n.b.",INDEX(SRC_Woningetalage!$A$1:$ZZ$501,$A414,T$3)))</f>
        <v/>
      </c>
      <c r="U414" s="124" t="str">
        <f>IF($B414="","",IF(U$3=0,"n.b.",INDEX(SRC_Woningetalage!$A$1:$ZZ$501,$A414,U$3)))</f>
        <v/>
      </c>
      <c r="V414" s="124" t="str">
        <f>IF($B414="","",IF(V$3=0,"n.b.",INDEX(SRC_Woningetalage!$A$1:$ZZ$501,$A414,V$3)))</f>
        <v/>
      </c>
      <c r="W414" s="124" t="str">
        <f>IF($B414="","",IF(W$3=0,"n.b.",INDEX(SRC_Woningetalage!$A$1:$ZZ$501,$A414,W$3)))</f>
        <v/>
      </c>
      <c r="X414" s="124" t="str">
        <f>IF($B414="","",IF(X$3=0,"n.b.",INDEX(SRC_Woningetalage!$A$1:$ZZ$501,$A414,X$3)))</f>
        <v/>
      </c>
      <c r="Y414" s="124" t="str">
        <f>IF($B414="","",IF(Y$3=0,"n.b.",INDEX(SRC_Woningetalage!$A$1:$ZZ$501,$A414,Y$3)))</f>
        <v/>
      </c>
      <c r="Z414" s="124" t="str">
        <f>IF($B414="","",IF(Z$3=0,"n.b.",INDEX(SRC_Woningetalage!$A$1:$ZZ$501,$A414,Z$3)))</f>
        <v/>
      </c>
      <c r="AA414" s="124" t="str">
        <f>IF($B414="","",IF(AA$3=0,"n.b.",INDEX(SRC_Woningetalage!$A$1:$ZZ$501,$A414,AA$3)))</f>
        <v/>
      </c>
      <c r="AB414" s="124" t="str">
        <f>IF($B414="","",IF(AB$3=0,"n.b.",INDEX(SRC_Woningetalage!$A$1:$ZZ$501,$A414,AB$3)))</f>
        <v/>
      </c>
      <c r="AC414" s="124" t="str">
        <f>IF($B414="","",IF(AC$3=0,"n.b.",INDEX(SRC_Woningetalage!$A$1:$ZZ$501,$A414,AC$3)))</f>
        <v/>
      </c>
      <c r="AD414" s="124" t="str">
        <f>IF($B414="","",IF(AD$3=0,"n.b.",INDEX(SRC_Woningetalage!$A$1:$ZZ$501,$A414,AD$3)))</f>
        <v/>
      </c>
      <c r="AE414" s="124" t="str">
        <f>IF($B414="","",IF(AE$3=0,"n.b.",INDEX(SRC_Woningetalage!$A$1:$ZZ$501,$A414,AE$3)))</f>
        <v/>
      </c>
      <c r="AF414" s="124" t="str">
        <f>IF($B414="","",IF(AF$3=0,"n.b.",INDEX(SRC_Woningetalage!$A$1:$ZZ$501,$A414,AF$3)))</f>
        <v/>
      </c>
      <c r="AG414" s="124" t="str">
        <f>IF($B414="","",IF(AG$3=0,"n.b.",INDEX(SRC_Woningetalage!$A$1:$ZZ$501,$A414,AG$3)))</f>
        <v/>
      </c>
      <c r="AH414" s="124" t="str">
        <f>IF($B414="","",IF(AH$3=0,"n.b.",INDEX(SRC_Woningetalage!$A$1:$ZZ$501,$A414,AH$3)))</f>
        <v/>
      </c>
      <c r="AI414" s="124" t="str">
        <f>IF($B414="","",IF(AI$3=0,"n.b.",INDEX(SRC_Woningetalage!$A$1:$ZZ$501,$A414,AI$3)))</f>
        <v/>
      </c>
      <c r="AJ414" s="124" t="str">
        <f>IF($B414="","",IF(AJ$3=0,"n.b.",INDEX(SRC_Woningetalage!$A$1:$ZZ$501,$A414,AJ$3)))</f>
        <v/>
      </c>
      <c r="AK414" s="124" t="str">
        <f>IF($B414="","",IF(AK$3=0,"n.b.",INDEX(SRC_Woningetalage!$A$1:$ZZ$501,$A414,AK$3)))</f>
        <v/>
      </c>
      <c r="AL414" s="124" t="str">
        <f>IF($B414="","",IF(AL$3=0,"n.b.",INDEX(SRC_Woningetalage!$A$1:$ZZ$501,$A414,AL$3)))</f>
        <v/>
      </c>
      <c r="AM414" s="124" t="str">
        <f>IF($B414="","",IF(AM$3=0,"n.b.",INDEX(SRC_Woningetalage!$A$1:$ZZ$501,$A414,AM$3)))</f>
        <v/>
      </c>
      <c r="AN414" s="124" t="str">
        <f>IF($B414="","",IF(AN$3=0,"n.b.",INDEX(SRC_Woningetalage!$A$1:$ZZ$501,$A414,AN$3)))</f>
        <v/>
      </c>
      <c r="AO414" s="124" t="str">
        <f>IF($B414="","",IF(AO$3=0,"n.b.",INDEX(SRC_Woningetalage!$A$1:$ZZ$501,$A414,AO$3)))</f>
        <v/>
      </c>
      <c r="AP414" s="124" t="str">
        <f>IF($B414="","",IF(AP$3=0,"n.b.",INDEX(SRC_Woningetalage!$A$1:$ZZ$501,$A414,AP$3)))</f>
        <v/>
      </c>
      <c r="AQ414" s="124" t="str">
        <f>IF($B414="","",IF(AQ$3=0,"n.b.",INDEX(SRC_Woningetalage!$A$1:$ZZ$501,$A414,AQ$3)))</f>
        <v/>
      </c>
      <c r="AR414" s="124" t="str">
        <f>IF($B414="","",IF(AR$3=0,"n.b.",INDEX(SRC_Woningetalage!$A$1:$ZZ$501,$A414,AR$3)))</f>
        <v/>
      </c>
      <c r="AS414" s="124" t="str">
        <f>IF($B414="","",IF(AS$3=0,"n.b.",INDEX(SRC_Woningetalage!$A$1:$ZZ$501,$A414,AS$3)))</f>
        <v/>
      </c>
      <c r="AT414" s="124" t="str">
        <f>IF($B414="","",IF(AT$3=0,"n.b.",INDEX(SRC_Woningetalage!$A$1:$ZZ$501,$A414,AT$3)))</f>
        <v/>
      </c>
      <c r="AU414" s="124" t="str">
        <f>IF($B414="","",IF(AU$3=0,"n.b.",INDEX(SRC_Woningetalage!$A$1:$ZZ$501,$A414,AU$3)))</f>
        <v/>
      </c>
      <c r="AV414" s="124" t="str">
        <f>IF($B414="","",IF(AV$3=0,"n.b.",INDEX(SRC_Woningetalage!$A$1:$ZZ$501,$A414,AV$3)))</f>
        <v/>
      </c>
      <c r="AW414" s="124" t="str">
        <f>IF($B414="","",IF(AW$3=0,"n.b.",INDEX(SRC_Woningetalage!$A$1:$ZZ$501,$A414,AW$3)))</f>
        <v/>
      </c>
      <c r="AX414" s="124" t="str">
        <f>IF($B414="","",IF(AX$3=0,"n.b.",INDEX(SRC_Woningetalage!$A$1:$ZZ$501,$A414,AX$3)))</f>
        <v/>
      </c>
      <c r="AY414" s="124" t="str">
        <f>IF($B414="","",IF(AY$3=0,"n.b.",INDEX(SRC_Woningetalage!$A$1:$ZZ$501,$A414,AY$3)))</f>
        <v/>
      </c>
      <c r="AZ414" s="124" t="str">
        <f>IF($B414="","",IF(AZ$3=0,"n.b.",INDEX(SRC_Woningetalage!$A$1:$ZZ$501,$A414,AZ$3)))</f>
        <v/>
      </c>
      <c r="BA414" s="124" t="str">
        <f>IF($B414="","",IF(BA$3=0,"n.b.",INDEX(SRC_Woningetalage!$A$1:$ZZ$501,$A414,BA$3)))</f>
        <v/>
      </c>
      <c r="BB414" s="124" t="str">
        <f>IF($B414="","",IF(BB$3=0,"n.b.",INDEX(SRC_Woningetalage!$A$1:$ZZ$501,$A414,BB$3)))</f>
        <v/>
      </c>
      <c r="BC414" s="124" t="str">
        <f>IF($B414="","",IFERROR(_xlfn.NUMBERVALUE(E414&amp;"",",","."),"n.b."))</f>
        <v/>
      </c>
      <c r="BD414" s="124" t="str">
        <f>IF($B414="","",IFERROR(_xlfn.NUMBERVALUE(M414&amp;"",",","."),"n.b."))</f>
        <v/>
      </c>
      <c r="BE414" s="124" t="str">
        <f>IF($B414="","",IFERROR(AB414+AC414+AD414,"n.b."))</f>
        <v/>
      </c>
      <c r="BF414" s="124" t="str">
        <f>IF($B414="","",IFERROR(AE414+AF414+AG414,"n.b."))</f>
        <v/>
      </c>
      <c r="BG414" s="124" t="str">
        <f>IF($B414="","",IFERROR(AH414+AI414+AJ414,"n.b."))</f>
        <v/>
      </c>
      <c r="BH414" s="124" t="str">
        <f>IF($B414="","",IFERROR(AK414+AL414+AM414,"n.b."))</f>
        <v/>
      </c>
      <c r="BI414" s="124" t="str">
        <f>IF($B414="","",IFERROR(SUMIF($AB$5:$AM$5,"&lt;="&amp;P_PeilMaand,AB414:AM414),"n.b."))</f>
        <v/>
      </c>
      <c r="BJ414" s="124" t="str">
        <f>IF($B414="","",IFERROR(SUM(AB414:AM414)-BI414,"n.b."))</f>
        <v/>
      </c>
      <c r="BK414" s="124" t="str">
        <f>IF($B414="","",IFERROR(IF(ABS(Q414-(T414+SUM(AB414:AM414)+AS414+AU414))&gt;P_Tol,1,0),1))</f>
        <v/>
      </c>
      <c r="BL414" s="124" t="str">
        <f>IF($B414="","",IFERROR(IF(ABS(AA414-(Q414-Z414))&gt;P_Tol,1,0),1))</f>
        <v/>
      </c>
      <c r="BM414" s="124" t="str">
        <f>IF($B414="","",IFERROR(IF(ABS(Z414-(T414+W414))&gt;P_Tol,1,0),1))</f>
        <v/>
      </c>
      <c r="BN414" s="124" t="str">
        <f>IF($B414="","",IFERROR(IF(ABS(W414-BI414)&gt;P_Tol,1,0),1))</f>
        <v/>
      </c>
      <c r="BO414" s="124" t="str">
        <f>IF($B414="","",IFERROR(IF(OR(ABS(R414+S414-T414)&gt;P_Tol,ABS(U414+V414-W414)&gt;P_Tol,ABS(X414+Y414-Z414)&gt;P_Tol),1,0),1))</f>
        <v/>
      </c>
      <c r="BP414" s="124" t="str">
        <f>IF($B414="","",IFERROR(IF(OR(ABS(AR414-SUM(AB414:AM414))&gt;P_Tol,ABS(AS414-(AN414+AO414+AP414+AQ414))&gt;P_Tol),1,0),1))</f>
        <v/>
      </c>
      <c r="BQ414" s="124" t="str">
        <f>IF($B414="","",IFERROR(IF(ABS(AT414)+ABS(AV414)+ABS(AW414)+ABS(AX414)+ABS(AY414)+ABS(AZ414)+ABS(BA414)+ABS(BB414)&gt;0,1,0),1))</f>
        <v/>
      </c>
      <c r="BR414" s="124" t="str">
        <f>IF($B414="","",COUNTIF(STG_ZPMW03!$B$6:$B$505,B414))</f>
        <v/>
      </c>
      <c r="BS414" s="124" t="str">
        <f>IF($B414="","",COUNTIF($B$6:$B$505,B414))</f>
        <v/>
      </c>
      <c r="BT414" s="124" t="str">
        <f>IF($B414="","",IF(BR414=0,0,IF(INDEX(STG_ZPMW03!$I$6:$I$505,MATCH(B414,STG_ZPMW03!$B$6:$B$505,0))=J414&amp;"",0,1)))</f>
        <v/>
      </c>
      <c r="BU414" s="124" t="str">
        <f>IF($B414="","",IFERROR(IF(ABS(INDEX(Mapping!$D$5:$D$104,MATCH(B414,Mapping!$A$5:$A$104,0))-Q414)&gt;P_Tol,1,0),0))</f>
        <v/>
      </c>
      <c r="BV414" s="124" t="str">
        <f>IF($B414="","",IFERROR(IF(AND(INDEX(Mapping!$G$5:$G$104,MATCH(B414,Mapping!$A$5:$A$104,0))="Nee",ABS(Q414)+ABS(Z414)+ABS(AR414)&gt;0),1,0),0))</f>
        <v/>
      </c>
      <c r="BW414" s="124" t="str">
        <f>IF($B414="","",IF(COUNTIF(Mapping!$A$5:$A$104,B414)&gt;0,1,0))</f>
        <v/>
      </c>
      <c r="BX414" s="124" t="str">
        <f>IF($B414="","",IF(BR414=0,COUNTIF($BR$6:BR414,0),""))</f>
        <v/>
      </c>
    </row>
    <row r="415">
      <c r="A415" s="15" t="n">
        <v>411</v>
      </c>
      <c r="B415" t="str">
        <f>IF(B$3=0,"",IF(INDEX(SRC_Woningetalage!$A$1:$ZZ$501,$A415,B$3)&amp;""="","",INDEX(SRC_Woningetalage!$A$1:$ZZ$501,$A415,B$3)&amp;""))</f>
        <v/>
      </c>
      <c r="C415" t="str">
        <f>IF($B415="","",IF(C$3=0,"n.b.",INDEX(SRC_Woningetalage!$A$1:$ZZ$501,$A415,C$3)))</f>
        <v/>
      </c>
      <c r="D415" t="str">
        <f>IF($B415="","",IF(D$3=0,"n.b.",INDEX(SRC_Woningetalage!$A$1:$ZZ$501,$A415,D$3)))</f>
        <v/>
      </c>
      <c r="E415" t="str">
        <f>IF($B415="","",IF(E$3=0,"n.b.",INDEX(SRC_Woningetalage!$A$1:$ZZ$501,$A415,E$3)))</f>
        <v/>
      </c>
      <c r="F415" t="str">
        <f>IF($B415="","",IF(F$3=0,"n.b.",INDEX(SRC_Woningetalage!$A$1:$ZZ$501,$A415,F$3)))</f>
        <v/>
      </c>
      <c r="G415" t="str">
        <f>IF($B415="","",IF(G$3=0,"n.b.",INDEX(SRC_Woningetalage!$A$1:$ZZ$501,$A415,G$3)))</f>
        <v/>
      </c>
      <c r="H415" t="str">
        <f>IF($B415="","",IF(H$3=0,"n.b.",INDEX(SRC_Woningetalage!$A$1:$ZZ$501,$A415,H$3)))</f>
        <v/>
      </c>
      <c r="I415" t="str">
        <f>IF($B415="","",IF(I$3=0,"n.b.",INDEX(SRC_Woningetalage!$A$1:$ZZ$501,$A415,I$3)))</f>
        <v/>
      </c>
      <c r="J415" t="str">
        <f>IF($B415="","",IF(J$3=0,"n.b.",INDEX(SRC_Woningetalage!$A$1:$ZZ$501,$A415,J$3)))</f>
        <v/>
      </c>
      <c r="K415" t="str">
        <f>IF($B415="","",IF(K$3=0,"n.b.",INDEX(SRC_Woningetalage!$A$1:$ZZ$501,$A415,K$3)))</f>
        <v/>
      </c>
      <c r="L415" t="str">
        <f>IF($B415="","",IF(L$3=0,"n.b.",INDEX(SRC_Woningetalage!$A$1:$ZZ$501,$A415,L$3)))</f>
        <v/>
      </c>
      <c r="M415" t="str">
        <f>IF($B415="","",IF(M$3=0,"n.b.",INDEX(SRC_Woningetalage!$A$1:$ZZ$501,$A415,M$3)))</f>
        <v/>
      </c>
      <c r="N415" t="str">
        <f>IF($B415="","",IF(N$3=0,"n.b.",INDEX(SRC_Woningetalage!$A$1:$ZZ$501,$A415,N$3)))</f>
        <v/>
      </c>
      <c r="O415" t="str">
        <f>IF($B415="","",IF(O$3=0,"n.b.",INDEX(SRC_Woningetalage!$A$1:$ZZ$501,$A415,O$3)))</f>
        <v/>
      </c>
      <c r="P415" t="str">
        <f>IF($B415="","",IF(P$3=0,"n.b.",INDEX(SRC_Woningetalage!$A$1:$ZZ$501,$A415,P$3)))</f>
        <v/>
      </c>
      <c r="Q415" s="124" t="str">
        <f>IF($B415="","",IF(Q$3=0,"n.b.",INDEX(SRC_Woningetalage!$A$1:$ZZ$501,$A415,Q$3)))</f>
        <v/>
      </c>
      <c r="R415" s="124" t="str">
        <f>IF($B415="","",IF(R$3=0,"n.b.",INDEX(SRC_Woningetalage!$A$1:$ZZ$501,$A415,R$3)))</f>
        <v/>
      </c>
      <c r="S415" s="124" t="str">
        <f>IF($B415="","",IF(S$3=0,"n.b.",INDEX(SRC_Woningetalage!$A$1:$ZZ$501,$A415,S$3)))</f>
        <v/>
      </c>
      <c r="T415" s="124" t="str">
        <f>IF($B415="","",IF(T$3=0,"n.b.",INDEX(SRC_Woningetalage!$A$1:$ZZ$501,$A415,T$3)))</f>
        <v/>
      </c>
      <c r="U415" s="124" t="str">
        <f>IF($B415="","",IF(U$3=0,"n.b.",INDEX(SRC_Woningetalage!$A$1:$ZZ$501,$A415,U$3)))</f>
        <v/>
      </c>
      <c r="V415" s="124" t="str">
        <f>IF($B415="","",IF(V$3=0,"n.b.",INDEX(SRC_Woningetalage!$A$1:$ZZ$501,$A415,V$3)))</f>
        <v/>
      </c>
      <c r="W415" s="124" t="str">
        <f>IF($B415="","",IF(W$3=0,"n.b.",INDEX(SRC_Woningetalage!$A$1:$ZZ$501,$A415,W$3)))</f>
        <v/>
      </c>
      <c r="X415" s="124" t="str">
        <f>IF($B415="","",IF(X$3=0,"n.b.",INDEX(SRC_Woningetalage!$A$1:$ZZ$501,$A415,X$3)))</f>
        <v/>
      </c>
      <c r="Y415" s="124" t="str">
        <f>IF($B415="","",IF(Y$3=0,"n.b.",INDEX(SRC_Woningetalage!$A$1:$ZZ$501,$A415,Y$3)))</f>
        <v/>
      </c>
      <c r="Z415" s="124" t="str">
        <f>IF($B415="","",IF(Z$3=0,"n.b.",INDEX(SRC_Woningetalage!$A$1:$ZZ$501,$A415,Z$3)))</f>
        <v/>
      </c>
      <c r="AA415" s="124" t="str">
        <f>IF($B415="","",IF(AA$3=0,"n.b.",INDEX(SRC_Woningetalage!$A$1:$ZZ$501,$A415,AA$3)))</f>
        <v/>
      </c>
      <c r="AB415" s="124" t="str">
        <f>IF($B415="","",IF(AB$3=0,"n.b.",INDEX(SRC_Woningetalage!$A$1:$ZZ$501,$A415,AB$3)))</f>
        <v/>
      </c>
      <c r="AC415" s="124" t="str">
        <f>IF($B415="","",IF(AC$3=0,"n.b.",INDEX(SRC_Woningetalage!$A$1:$ZZ$501,$A415,AC$3)))</f>
        <v/>
      </c>
      <c r="AD415" s="124" t="str">
        <f>IF($B415="","",IF(AD$3=0,"n.b.",INDEX(SRC_Woningetalage!$A$1:$ZZ$501,$A415,AD$3)))</f>
        <v/>
      </c>
      <c r="AE415" s="124" t="str">
        <f>IF($B415="","",IF(AE$3=0,"n.b.",INDEX(SRC_Woningetalage!$A$1:$ZZ$501,$A415,AE$3)))</f>
        <v/>
      </c>
      <c r="AF415" s="124" t="str">
        <f>IF($B415="","",IF(AF$3=0,"n.b.",INDEX(SRC_Woningetalage!$A$1:$ZZ$501,$A415,AF$3)))</f>
        <v/>
      </c>
      <c r="AG415" s="124" t="str">
        <f>IF($B415="","",IF(AG$3=0,"n.b.",INDEX(SRC_Woningetalage!$A$1:$ZZ$501,$A415,AG$3)))</f>
        <v/>
      </c>
      <c r="AH415" s="124" t="str">
        <f>IF($B415="","",IF(AH$3=0,"n.b.",INDEX(SRC_Woningetalage!$A$1:$ZZ$501,$A415,AH$3)))</f>
        <v/>
      </c>
      <c r="AI415" s="124" t="str">
        <f>IF($B415="","",IF(AI$3=0,"n.b.",INDEX(SRC_Woningetalage!$A$1:$ZZ$501,$A415,AI$3)))</f>
        <v/>
      </c>
      <c r="AJ415" s="124" t="str">
        <f>IF($B415="","",IF(AJ$3=0,"n.b.",INDEX(SRC_Woningetalage!$A$1:$ZZ$501,$A415,AJ$3)))</f>
        <v/>
      </c>
      <c r="AK415" s="124" t="str">
        <f>IF($B415="","",IF(AK$3=0,"n.b.",INDEX(SRC_Woningetalage!$A$1:$ZZ$501,$A415,AK$3)))</f>
        <v/>
      </c>
      <c r="AL415" s="124" t="str">
        <f>IF($B415="","",IF(AL$3=0,"n.b.",INDEX(SRC_Woningetalage!$A$1:$ZZ$501,$A415,AL$3)))</f>
        <v/>
      </c>
      <c r="AM415" s="124" t="str">
        <f>IF($B415="","",IF(AM$3=0,"n.b.",INDEX(SRC_Woningetalage!$A$1:$ZZ$501,$A415,AM$3)))</f>
        <v/>
      </c>
      <c r="AN415" s="124" t="str">
        <f>IF($B415="","",IF(AN$3=0,"n.b.",INDEX(SRC_Woningetalage!$A$1:$ZZ$501,$A415,AN$3)))</f>
        <v/>
      </c>
      <c r="AO415" s="124" t="str">
        <f>IF($B415="","",IF(AO$3=0,"n.b.",INDEX(SRC_Woningetalage!$A$1:$ZZ$501,$A415,AO$3)))</f>
        <v/>
      </c>
      <c r="AP415" s="124" t="str">
        <f>IF($B415="","",IF(AP$3=0,"n.b.",INDEX(SRC_Woningetalage!$A$1:$ZZ$501,$A415,AP$3)))</f>
        <v/>
      </c>
      <c r="AQ415" s="124" t="str">
        <f>IF($B415="","",IF(AQ$3=0,"n.b.",INDEX(SRC_Woningetalage!$A$1:$ZZ$501,$A415,AQ$3)))</f>
        <v/>
      </c>
      <c r="AR415" s="124" t="str">
        <f>IF($B415="","",IF(AR$3=0,"n.b.",INDEX(SRC_Woningetalage!$A$1:$ZZ$501,$A415,AR$3)))</f>
        <v/>
      </c>
      <c r="AS415" s="124" t="str">
        <f>IF($B415="","",IF(AS$3=0,"n.b.",INDEX(SRC_Woningetalage!$A$1:$ZZ$501,$A415,AS$3)))</f>
        <v/>
      </c>
      <c r="AT415" s="124" t="str">
        <f>IF($B415="","",IF(AT$3=0,"n.b.",INDEX(SRC_Woningetalage!$A$1:$ZZ$501,$A415,AT$3)))</f>
        <v/>
      </c>
      <c r="AU415" s="124" t="str">
        <f>IF($B415="","",IF(AU$3=0,"n.b.",INDEX(SRC_Woningetalage!$A$1:$ZZ$501,$A415,AU$3)))</f>
        <v/>
      </c>
      <c r="AV415" s="124" t="str">
        <f>IF($B415="","",IF(AV$3=0,"n.b.",INDEX(SRC_Woningetalage!$A$1:$ZZ$501,$A415,AV$3)))</f>
        <v/>
      </c>
      <c r="AW415" s="124" t="str">
        <f>IF($B415="","",IF(AW$3=0,"n.b.",INDEX(SRC_Woningetalage!$A$1:$ZZ$501,$A415,AW$3)))</f>
        <v/>
      </c>
      <c r="AX415" s="124" t="str">
        <f>IF($B415="","",IF(AX$3=0,"n.b.",INDEX(SRC_Woningetalage!$A$1:$ZZ$501,$A415,AX$3)))</f>
        <v/>
      </c>
      <c r="AY415" s="124" t="str">
        <f>IF($B415="","",IF(AY$3=0,"n.b.",INDEX(SRC_Woningetalage!$A$1:$ZZ$501,$A415,AY$3)))</f>
        <v/>
      </c>
      <c r="AZ415" s="124" t="str">
        <f>IF($B415="","",IF(AZ$3=0,"n.b.",INDEX(SRC_Woningetalage!$A$1:$ZZ$501,$A415,AZ$3)))</f>
        <v/>
      </c>
      <c r="BA415" s="124" t="str">
        <f>IF($B415="","",IF(BA$3=0,"n.b.",INDEX(SRC_Woningetalage!$A$1:$ZZ$501,$A415,BA$3)))</f>
        <v/>
      </c>
      <c r="BB415" s="124" t="str">
        <f>IF($B415="","",IF(BB$3=0,"n.b.",INDEX(SRC_Woningetalage!$A$1:$ZZ$501,$A415,BB$3)))</f>
        <v/>
      </c>
      <c r="BC415" s="124" t="str">
        <f>IF($B415="","",IFERROR(_xlfn.NUMBERVALUE(E415&amp;"",",","."),"n.b."))</f>
        <v/>
      </c>
      <c r="BD415" s="124" t="str">
        <f>IF($B415="","",IFERROR(_xlfn.NUMBERVALUE(M415&amp;"",",","."),"n.b."))</f>
        <v/>
      </c>
      <c r="BE415" s="124" t="str">
        <f>IF($B415="","",IFERROR(AB415+AC415+AD415,"n.b."))</f>
        <v/>
      </c>
      <c r="BF415" s="124" t="str">
        <f>IF($B415="","",IFERROR(AE415+AF415+AG415,"n.b."))</f>
        <v/>
      </c>
      <c r="BG415" s="124" t="str">
        <f>IF($B415="","",IFERROR(AH415+AI415+AJ415,"n.b."))</f>
        <v/>
      </c>
      <c r="BH415" s="124" t="str">
        <f>IF($B415="","",IFERROR(AK415+AL415+AM415,"n.b."))</f>
        <v/>
      </c>
      <c r="BI415" s="124" t="str">
        <f>IF($B415="","",IFERROR(SUMIF($AB$5:$AM$5,"&lt;="&amp;P_PeilMaand,AB415:AM415),"n.b."))</f>
        <v/>
      </c>
      <c r="BJ415" s="124" t="str">
        <f>IF($B415="","",IFERROR(SUM(AB415:AM415)-BI415,"n.b."))</f>
        <v/>
      </c>
      <c r="BK415" s="124" t="str">
        <f>IF($B415="","",IFERROR(IF(ABS(Q415-(T415+SUM(AB415:AM415)+AS415+AU415))&gt;P_Tol,1,0),1))</f>
        <v/>
      </c>
      <c r="BL415" s="124" t="str">
        <f>IF($B415="","",IFERROR(IF(ABS(AA415-(Q415-Z415))&gt;P_Tol,1,0),1))</f>
        <v/>
      </c>
      <c r="BM415" s="124" t="str">
        <f>IF($B415="","",IFERROR(IF(ABS(Z415-(T415+W415))&gt;P_Tol,1,0),1))</f>
        <v/>
      </c>
      <c r="BN415" s="124" t="str">
        <f>IF($B415="","",IFERROR(IF(ABS(W415-BI415)&gt;P_Tol,1,0),1))</f>
        <v/>
      </c>
      <c r="BO415" s="124" t="str">
        <f>IF($B415="","",IFERROR(IF(OR(ABS(R415+S415-T415)&gt;P_Tol,ABS(U415+V415-W415)&gt;P_Tol,ABS(X415+Y415-Z415)&gt;P_Tol),1,0),1))</f>
        <v/>
      </c>
      <c r="BP415" s="124" t="str">
        <f>IF($B415="","",IFERROR(IF(OR(ABS(AR415-SUM(AB415:AM415))&gt;P_Tol,ABS(AS415-(AN415+AO415+AP415+AQ415))&gt;P_Tol),1,0),1))</f>
        <v/>
      </c>
      <c r="BQ415" s="124" t="str">
        <f>IF($B415="","",IFERROR(IF(ABS(AT415)+ABS(AV415)+ABS(AW415)+ABS(AX415)+ABS(AY415)+ABS(AZ415)+ABS(BA415)+ABS(BB415)&gt;0,1,0),1))</f>
        <v/>
      </c>
      <c r="BR415" s="124" t="str">
        <f>IF($B415="","",COUNTIF(STG_ZPMW03!$B$6:$B$505,B415))</f>
        <v/>
      </c>
      <c r="BS415" s="124" t="str">
        <f>IF($B415="","",COUNTIF($B$6:$B$505,B415))</f>
        <v/>
      </c>
      <c r="BT415" s="124" t="str">
        <f>IF($B415="","",IF(BR415=0,0,IF(INDEX(STG_ZPMW03!$I$6:$I$505,MATCH(B415,STG_ZPMW03!$B$6:$B$505,0))=J415&amp;"",0,1)))</f>
        <v/>
      </c>
      <c r="BU415" s="124" t="str">
        <f>IF($B415="","",IFERROR(IF(ABS(INDEX(Mapping!$D$5:$D$104,MATCH(B415,Mapping!$A$5:$A$104,0))-Q415)&gt;P_Tol,1,0),0))</f>
        <v/>
      </c>
      <c r="BV415" s="124" t="str">
        <f>IF($B415="","",IFERROR(IF(AND(INDEX(Mapping!$G$5:$G$104,MATCH(B415,Mapping!$A$5:$A$104,0))="Nee",ABS(Q415)+ABS(Z415)+ABS(AR415)&gt;0),1,0),0))</f>
        <v/>
      </c>
      <c r="BW415" s="124" t="str">
        <f>IF($B415="","",IF(COUNTIF(Mapping!$A$5:$A$104,B415)&gt;0,1,0))</f>
        <v/>
      </c>
      <c r="BX415" s="124" t="str">
        <f>IF($B415="","",IF(BR415=0,COUNTIF($BR$6:BR415,0),""))</f>
        <v/>
      </c>
    </row>
    <row r="416">
      <c r="A416" s="15" t="n">
        <v>412</v>
      </c>
      <c r="B416" t="str">
        <f>IF(B$3=0,"",IF(INDEX(SRC_Woningetalage!$A$1:$ZZ$501,$A416,B$3)&amp;""="","",INDEX(SRC_Woningetalage!$A$1:$ZZ$501,$A416,B$3)&amp;""))</f>
        <v/>
      </c>
      <c r="C416" t="str">
        <f>IF($B416="","",IF(C$3=0,"n.b.",INDEX(SRC_Woningetalage!$A$1:$ZZ$501,$A416,C$3)))</f>
        <v/>
      </c>
      <c r="D416" t="str">
        <f>IF($B416="","",IF(D$3=0,"n.b.",INDEX(SRC_Woningetalage!$A$1:$ZZ$501,$A416,D$3)))</f>
        <v/>
      </c>
      <c r="E416" t="str">
        <f>IF($B416="","",IF(E$3=0,"n.b.",INDEX(SRC_Woningetalage!$A$1:$ZZ$501,$A416,E$3)))</f>
        <v/>
      </c>
      <c r="F416" t="str">
        <f>IF($B416="","",IF(F$3=0,"n.b.",INDEX(SRC_Woningetalage!$A$1:$ZZ$501,$A416,F$3)))</f>
        <v/>
      </c>
      <c r="G416" t="str">
        <f>IF($B416="","",IF(G$3=0,"n.b.",INDEX(SRC_Woningetalage!$A$1:$ZZ$501,$A416,G$3)))</f>
        <v/>
      </c>
      <c r="H416" t="str">
        <f>IF($B416="","",IF(H$3=0,"n.b.",INDEX(SRC_Woningetalage!$A$1:$ZZ$501,$A416,H$3)))</f>
        <v/>
      </c>
      <c r="I416" t="str">
        <f>IF($B416="","",IF(I$3=0,"n.b.",INDEX(SRC_Woningetalage!$A$1:$ZZ$501,$A416,I$3)))</f>
        <v/>
      </c>
      <c r="J416" t="str">
        <f>IF($B416="","",IF(J$3=0,"n.b.",INDEX(SRC_Woningetalage!$A$1:$ZZ$501,$A416,J$3)))</f>
        <v/>
      </c>
      <c r="K416" t="str">
        <f>IF($B416="","",IF(K$3=0,"n.b.",INDEX(SRC_Woningetalage!$A$1:$ZZ$501,$A416,K$3)))</f>
        <v/>
      </c>
      <c r="L416" t="str">
        <f>IF($B416="","",IF(L$3=0,"n.b.",INDEX(SRC_Woningetalage!$A$1:$ZZ$501,$A416,L$3)))</f>
        <v/>
      </c>
      <c r="M416" t="str">
        <f>IF($B416="","",IF(M$3=0,"n.b.",INDEX(SRC_Woningetalage!$A$1:$ZZ$501,$A416,M$3)))</f>
        <v/>
      </c>
      <c r="N416" t="str">
        <f>IF($B416="","",IF(N$3=0,"n.b.",INDEX(SRC_Woningetalage!$A$1:$ZZ$501,$A416,N$3)))</f>
        <v/>
      </c>
      <c r="O416" t="str">
        <f>IF($B416="","",IF(O$3=0,"n.b.",INDEX(SRC_Woningetalage!$A$1:$ZZ$501,$A416,O$3)))</f>
        <v/>
      </c>
      <c r="P416" t="str">
        <f>IF($B416="","",IF(P$3=0,"n.b.",INDEX(SRC_Woningetalage!$A$1:$ZZ$501,$A416,P$3)))</f>
        <v/>
      </c>
      <c r="Q416" s="124" t="str">
        <f>IF($B416="","",IF(Q$3=0,"n.b.",INDEX(SRC_Woningetalage!$A$1:$ZZ$501,$A416,Q$3)))</f>
        <v/>
      </c>
      <c r="R416" s="124" t="str">
        <f>IF($B416="","",IF(R$3=0,"n.b.",INDEX(SRC_Woningetalage!$A$1:$ZZ$501,$A416,R$3)))</f>
        <v/>
      </c>
      <c r="S416" s="124" t="str">
        <f>IF($B416="","",IF(S$3=0,"n.b.",INDEX(SRC_Woningetalage!$A$1:$ZZ$501,$A416,S$3)))</f>
        <v/>
      </c>
      <c r="T416" s="124" t="str">
        <f>IF($B416="","",IF(T$3=0,"n.b.",INDEX(SRC_Woningetalage!$A$1:$ZZ$501,$A416,T$3)))</f>
        <v/>
      </c>
      <c r="U416" s="124" t="str">
        <f>IF($B416="","",IF(U$3=0,"n.b.",INDEX(SRC_Woningetalage!$A$1:$ZZ$501,$A416,U$3)))</f>
        <v/>
      </c>
      <c r="V416" s="124" t="str">
        <f>IF($B416="","",IF(V$3=0,"n.b.",INDEX(SRC_Woningetalage!$A$1:$ZZ$501,$A416,V$3)))</f>
        <v/>
      </c>
      <c r="W416" s="124" t="str">
        <f>IF($B416="","",IF(W$3=0,"n.b.",INDEX(SRC_Woningetalage!$A$1:$ZZ$501,$A416,W$3)))</f>
        <v/>
      </c>
      <c r="X416" s="124" t="str">
        <f>IF($B416="","",IF(X$3=0,"n.b.",INDEX(SRC_Woningetalage!$A$1:$ZZ$501,$A416,X$3)))</f>
        <v/>
      </c>
      <c r="Y416" s="124" t="str">
        <f>IF($B416="","",IF(Y$3=0,"n.b.",INDEX(SRC_Woningetalage!$A$1:$ZZ$501,$A416,Y$3)))</f>
        <v/>
      </c>
      <c r="Z416" s="124" t="str">
        <f>IF($B416="","",IF(Z$3=0,"n.b.",INDEX(SRC_Woningetalage!$A$1:$ZZ$501,$A416,Z$3)))</f>
        <v/>
      </c>
      <c r="AA416" s="124" t="str">
        <f>IF($B416="","",IF(AA$3=0,"n.b.",INDEX(SRC_Woningetalage!$A$1:$ZZ$501,$A416,AA$3)))</f>
        <v/>
      </c>
      <c r="AB416" s="124" t="str">
        <f>IF($B416="","",IF(AB$3=0,"n.b.",INDEX(SRC_Woningetalage!$A$1:$ZZ$501,$A416,AB$3)))</f>
        <v/>
      </c>
      <c r="AC416" s="124" t="str">
        <f>IF($B416="","",IF(AC$3=0,"n.b.",INDEX(SRC_Woningetalage!$A$1:$ZZ$501,$A416,AC$3)))</f>
        <v/>
      </c>
      <c r="AD416" s="124" t="str">
        <f>IF($B416="","",IF(AD$3=0,"n.b.",INDEX(SRC_Woningetalage!$A$1:$ZZ$501,$A416,AD$3)))</f>
        <v/>
      </c>
      <c r="AE416" s="124" t="str">
        <f>IF($B416="","",IF(AE$3=0,"n.b.",INDEX(SRC_Woningetalage!$A$1:$ZZ$501,$A416,AE$3)))</f>
        <v/>
      </c>
      <c r="AF416" s="124" t="str">
        <f>IF($B416="","",IF(AF$3=0,"n.b.",INDEX(SRC_Woningetalage!$A$1:$ZZ$501,$A416,AF$3)))</f>
        <v/>
      </c>
      <c r="AG416" s="124" t="str">
        <f>IF($B416="","",IF(AG$3=0,"n.b.",INDEX(SRC_Woningetalage!$A$1:$ZZ$501,$A416,AG$3)))</f>
        <v/>
      </c>
      <c r="AH416" s="124" t="str">
        <f>IF($B416="","",IF(AH$3=0,"n.b.",INDEX(SRC_Woningetalage!$A$1:$ZZ$501,$A416,AH$3)))</f>
        <v/>
      </c>
      <c r="AI416" s="124" t="str">
        <f>IF($B416="","",IF(AI$3=0,"n.b.",INDEX(SRC_Woningetalage!$A$1:$ZZ$501,$A416,AI$3)))</f>
        <v/>
      </c>
      <c r="AJ416" s="124" t="str">
        <f>IF($B416="","",IF(AJ$3=0,"n.b.",INDEX(SRC_Woningetalage!$A$1:$ZZ$501,$A416,AJ$3)))</f>
        <v/>
      </c>
      <c r="AK416" s="124" t="str">
        <f>IF($B416="","",IF(AK$3=0,"n.b.",INDEX(SRC_Woningetalage!$A$1:$ZZ$501,$A416,AK$3)))</f>
        <v/>
      </c>
      <c r="AL416" s="124" t="str">
        <f>IF($B416="","",IF(AL$3=0,"n.b.",INDEX(SRC_Woningetalage!$A$1:$ZZ$501,$A416,AL$3)))</f>
        <v/>
      </c>
      <c r="AM416" s="124" t="str">
        <f>IF($B416="","",IF(AM$3=0,"n.b.",INDEX(SRC_Woningetalage!$A$1:$ZZ$501,$A416,AM$3)))</f>
        <v/>
      </c>
      <c r="AN416" s="124" t="str">
        <f>IF($B416="","",IF(AN$3=0,"n.b.",INDEX(SRC_Woningetalage!$A$1:$ZZ$501,$A416,AN$3)))</f>
        <v/>
      </c>
      <c r="AO416" s="124" t="str">
        <f>IF($B416="","",IF(AO$3=0,"n.b.",INDEX(SRC_Woningetalage!$A$1:$ZZ$501,$A416,AO$3)))</f>
        <v/>
      </c>
      <c r="AP416" s="124" t="str">
        <f>IF($B416="","",IF(AP$3=0,"n.b.",INDEX(SRC_Woningetalage!$A$1:$ZZ$501,$A416,AP$3)))</f>
        <v/>
      </c>
      <c r="AQ416" s="124" t="str">
        <f>IF($B416="","",IF(AQ$3=0,"n.b.",INDEX(SRC_Woningetalage!$A$1:$ZZ$501,$A416,AQ$3)))</f>
        <v/>
      </c>
      <c r="AR416" s="124" t="str">
        <f>IF($B416="","",IF(AR$3=0,"n.b.",INDEX(SRC_Woningetalage!$A$1:$ZZ$501,$A416,AR$3)))</f>
        <v/>
      </c>
      <c r="AS416" s="124" t="str">
        <f>IF($B416="","",IF(AS$3=0,"n.b.",INDEX(SRC_Woningetalage!$A$1:$ZZ$501,$A416,AS$3)))</f>
        <v/>
      </c>
      <c r="AT416" s="124" t="str">
        <f>IF($B416="","",IF(AT$3=0,"n.b.",INDEX(SRC_Woningetalage!$A$1:$ZZ$501,$A416,AT$3)))</f>
        <v/>
      </c>
      <c r="AU416" s="124" t="str">
        <f>IF($B416="","",IF(AU$3=0,"n.b.",INDEX(SRC_Woningetalage!$A$1:$ZZ$501,$A416,AU$3)))</f>
        <v/>
      </c>
      <c r="AV416" s="124" t="str">
        <f>IF($B416="","",IF(AV$3=0,"n.b.",INDEX(SRC_Woningetalage!$A$1:$ZZ$501,$A416,AV$3)))</f>
        <v/>
      </c>
      <c r="AW416" s="124" t="str">
        <f>IF($B416="","",IF(AW$3=0,"n.b.",INDEX(SRC_Woningetalage!$A$1:$ZZ$501,$A416,AW$3)))</f>
        <v/>
      </c>
      <c r="AX416" s="124" t="str">
        <f>IF($B416="","",IF(AX$3=0,"n.b.",INDEX(SRC_Woningetalage!$A$1:$ZZ$501,$A416,AX$3)))</f>
        <v/>
      </c>
      <c r="AY416" s="124" t="str">
        <f>IF($B416="","",IF(AY$3=0,"n.b.",INDEX(SRC_Woningetalage!$A$1:$ZZ$501,$A416,AY$3)))</f>
        <v/>
      </c>
      <c r="AZ416" s="124" t="str">
        <f>IF($B416="","",IF(AZ$3=0,"n.b.",INDEX(SRC_Woningetalage!$A$1:$ZZ$501,$A416,AZ$3)))</f>
        <v/>
      </c>
      <c r="BA416" s="124" t="str">
        <f>IF($B416="","",IF(BA$3=0,"n.b.",INDEX(SRC_Woningetalage!$A$1:$ZZ$501,$A416,BA$3)))</f>
        <v/>
      </c>
      <c r="BB416" s="124" t="str">
        <f>IF($B416="","",IF(BB$3=0,"n.b.",INDEX(SRC_Woningetalage!$A$1:$ZZ$501,$A416,BB$3)))</f>
        <v/>
      </c>
      <c r="BC416" s="124" t="str">
        <f>IF($B416="","",IFERROR(_xlfn.NUMBERVALUE(E416&amp;"",",","."),"n.b."))</f>
        <v/>
      </c>
      <c r="BD416" s="124" t="str">
        <f>IF($B416="","",IFERROR(_xlfn.NUMBERVALUE(M416&amp;"",",","."),"n.b."))</f>
        <v/>
      </c>
      <c r="BE416" s="124" t="str">
        <f>IF($B416="","",IFERROR(AB416+AC416+AD416,"n.b."))</f>
        <v/>
      </c>
      <c r="BF416" s="124" t="str">
        <f>IF($B416="","",IFERROR(AE416+AF416+AG416,"n.b."))</f>
        <v/>
      </c>
      <c r="BG416" s="124" t="str">
        <f>IF($B416="","",IFERROR(AH416+AI416+AJ416,"n.b."))</f>
        <v/>
      </c>
      <c r="BH416" s="124" t="str">
        <f>IF($B416="","",IFERROR(AK416+AL416+AM416,"n.b."))</f>
        <v/>
      </c>
      <c r="BI416" s="124" t="str">
        <f>IF($B416="","",IFERROR(SUMIF($AB$5:$AM$5,"&lt;="&amp;P_PeilMaand,AB416:AM416),"n.b."))</f>
        <v/>
      </c>
      <c r="BJ416" s="124" t="str">
        <f>IF($B416="","",IFERROR(SUM(AB416:AM416)-BI416,"n.b."))</f>
        <v/>
      </c>
      <c r="BK416" s="124" t="str">
        <f>IF($B416="","",IFERROR(IF(ABS(Q416-(T416+SUM(AB416:AM416)+AS416+AU416))&gt;P_Tol,1,0),1))</f>
        <v/>
      </c>
      <c r="BL416" s="124" t="str">
        <f>IF($B416="","",IFERROR(IF(ABS(AA416-(Q416-Z416))&gt;P_Tol,1,0),1))</f>
        <v/>
      </c>
      <c r="BM416" s="124" t="str">
        <f>IF($B416="","",IFERROR(IF(ABS(Z416-(T416+W416))&gt;P_Tol,1,0),1))</f>
        <v/>
      </c>
      <c r="BN416" s="124" t="str">
        <f>IF($B416="","",IFERROR(IF(ABS(W416-BI416)&gt;P_Tol,1,0),1))</f>
        <v/>
      </c>
      <c r="BO416" s="124" t="str">
        <f>IF($B416="","",IFERROR(IF(OR(ABS(R416+S416-T416)&gt;P_Tol,ABS(U416+V416-W416)&gt;P_Tol,ABS(X416+Y416-Z416)&gt;P_Tol),1,0),1))</f>
        <v/>
      </c>
      <c r="BP416" s="124" t="str">
        <f>IF($B416="","",IFERROR(IF(OR(ABS(AR416-SUM(AB416:AM416))&gt;P_Tol,ABS(AS416-(AN416+AO416+AP416+AQ416))&gt;P_Tol),1,0),1))</f>
        <v/>
      </c>
      <c r="BQ416" s="124" t="str">
        <f>IF($B416="","",IFERROR(IF(ABS(AT416)+ABS(AV416)+ABS(AW416)+ABS(AX416)+ABS(AY416)+ABS(AZ416)+ABS(BA416)+ABS(BB416)&gt;0,1,0),1))</f>
        <v/>
      </c>
      <c r="BR416" s="124" t="str">
        <f>IF($B416="","",COUNTIF(STG_ZPMW03!$B$6:$B$505,B416))</f>
        <v/>
      </c>
      <c r="BS416" s="124" t="str">
        <f>IF($B416="","",COUNTIF($B$6:$B$505,B416))</f>
        <v/>
      </c>
      <c r="BT416" s="124" t="str">
        <f>IF($B416="","",IF(BR416=0,0,IF(INDEX(STG_ZPMW03!$I$6:$I$505,MATCH(B416,STG_ZPMW03!$B$6:$B$505,0))=J416&amp;"",0,1)))</f>
        <v/>
      </c>
      <c r="BU416" s="124" t="str">
        <f>IF($B416="","",IFERROR(IF(ABS(INDEX(Mapping!$D$5:$D$104,MATCH(B416,Mapping!$A$5:$A$104,0))-Q416)&gt;P_Tol,1,0),0))</f>
        <v/>
      </c>
      <c r="BV416" s="124" t="str">
        <f>IF($B416="","",IFERROR(IF(AND(INDEX(Mapping!$G$5:$G$104,MATCH(B416,Mapping!$A$5:$A$104,0))="Nee",ABS(Q416)+ABS(Z416)+ABS(AR416)&gt;0),1,0),0))</f>
        <v/>
      </c>
      <c r="BW416" s="124" t="str">
        <f>IF($B416="","",IF(COUNTIF(Mapping!$A$5:$A$104,B416)&gt;0,1,0))</f>
        <v/>
      </c>
      <c r="BX416" s="124" t="str">
        <f>IF($B416="","",IF(BR416=0,COUNTIF($BR$6:BR416,0),""))</f>
        <v/>
      </c>
    </row>
    <row r="417">
      <c r="A417" s="15" t="n">
        <v>413</v>
      </c>
      <c r="B417" t="str">
        <f>IF(B$3=0,"",IF(INDEX(SRC_Woningetalage!$A$1:$ZZ$501,$A417,B$3)&amp;""="","",INDEX(SRC_Woningetalage!$A$1:$ZZ$501,$A417,B$3)&amp;""))</f>
        <v/>
      </c>
      <c r="C417" t="str">
        <f>IF($B417="","",IF(C$3=0,"n.b.",INDEX(SRC_Woningetalage!$A$1:$ZZ$501,$A417,C$3)))</f>
        <v/>
      </c>
      <c r="D417" t="str">
        <f>IF($B417="","",IF(D$3=0,"n.b.",INDEX(SRC_Woningetalage!$A$1:$ZZ$501,$A417,D$3)))</f>
        <v/>
      </c>
      <c r="E417" t="str">
        <f>IF($B417="","",IF(E$3=0,"n.b.",INDEX(SRC_Woningetalage!$A$1:$ZZ$501,$A417,E$3)))</f>
        <v/>
      </c>
      <c r="F417" t="str">
        <f>IF($B417="","",IF(F$3=0,"n.b.",INDEX(SRC_Woningetalage!$A$1:$ZZ$501,$A417,F$3)))</f>
        <v/>
      </c>
      <c r="G417" t="str">
        <f>IF($B417="","",IF(G$3=0,"n.b.",INDEX(SRC_Woningetalage!$A$1:$ZZ$501,$A417,G$3)))</f>
        <v/>
      </c>
      <c r="H417" t="str">
        <f>IF($B417="","",IF(H$3=0,"n.b.",INDEX(SRC_Woningetalage!$A$1:$ZZ$501,$A417,H$3)))</f>
        <v/>
      </c>
      <c r="I417" t="str">
        <f>IF($B417="","",IF(I$3=0,"n.b.",INDEX(SRC_Woningetalage!$A$1:$ZZ$501,$A417,I$3)))</f>
        <v/>
      </c>
      <c r="J417" t="str">
        <f>IF($B417="","",IF(J$3=0,"n.b.",INDEX(SRC_Woningetalage!$A$1:$ZZ$501,$A417,J$3)))</f>
        <v/>
      </c>
      <c r="K417" t="str">
        <f>IF($B417="","",IF(K$3=0,"n.b.",INDEX(SRC_Woningetalage!$A$1:$ZZ$501,$A417,K$3)))</f>
        <v/>
      </c>
      <c r="L417" t="str">
        <f>IF($B417="","",IF(L$3=0,"n.b.",INDEX(SRC_Woningetalage!$A$1:$ZZ$501,$A417,L$3)))</f>
        <v/>
      </c>
      <c r="M417" t="str">
        <f>IF($B417="","",IF(M$3=0,"n.b.",INDEX(SRC_Woningetalage!$A$1:$ZZ$501,$A417,M$3)))</f>
        <v/>
      </c>
      <c r="N417" t="str">
        <f>IF($B417="","",IF(N$3=0,"n.b.",INDEX(SRC_Woningetalage!$A$1:$ZZ$501,$A417,N$3)))</f>
        <v/>
      </c>
      <c r="O417" t="str">
        <f>IF($B417="","",IF(O$3=0,"n.b.",INDEX(SRC_Woningetalage!$A$1:$ZZ$501,$A417,O$3)))</f>
        <v/>
      </c>
      <c r="P417" t="str">
        <f>IF($B417="","",IF(P$3=0,"n.b.",INDEX(SRC_Woningetalage!$A$1:$ZZ$501,$A417,P$3)))</f>
        <v/>
      </c>
      <c r="Q417" s="124" t="str">
        <f>IF($B417="","",IF(Q$3=0,"n.b.",INDEX(SRC_Woningetalage!$A$1:$ZZ$501,$A417,Q$3)))</f>
        <v/>
      </c>
      <c r="R417" s="124" t="str">
        <f>IF($B417="","",IF(R$3=0,"n.b.",INDEX(SRC_Woningetalage!$A$1:$ZZ$501,$A417,R$3)))</f>
        <v/>
      </c>
      <c r="S417" s="124" t="str">
        <f>IF($B417="","",IF(S$3=0,"n.b.",INDEX(SRC_Woningetalage!$A$1:$ZZ$501,$A417,S$3)))</f>
        <v/>
      </c>
      <c r="T417" s="124" t="str">
        <f>IF($B417="","",IF(T$3=0,"n.b.",INDEX(SRC_Woningetalage!$A$1:$ZZ$501,$A417,T$3)))</f>
        <v/>
      </c>
      <c r="U417" s="124" t="str">
        <f>IF($B417="","",IF(U$3=0,"n.b.",INDEX(SRC_Woningetalage!$A$1:$ZZ$501,$A417,U$3)))</f>
        <v/>
      </c>
      <c r="V417" s="124" t="str">
        <f>IF($B417="","",IF(V$3=0,"n.b.",INDEX(SRC_Woningetalage!$A$1:$ZZ$501,$A417,V$3)))</f>
        <v/>
      </c>
      <c r="W417" s="124" t="str">
        <f>IF($B417="","",IF(W$3=0,"n.b.",INDEX(SRC_Woningetalage!$A$1:$ZZ$501,$A417,W$3)))</f>
        <v/>
      </c>
      <c r="X417" s="124" t="str">
        <f>IF($B417="","",IF(X$3=0,"n.b.",INDEX(SRC_Woningetalage!$A$1:$ZZ$501,$A417,X$3)))</f>
        <v/>
      </c>
      <c r="Y417" s="124" t="str">
        <f>IF($B417="","",IF(Y$3=0,"n.b.",INDEX(SRC_Woningetalage!$A$1:$ZZ$501,$A417,Y$3)))</f>
        <v/>
      </c>
      <c r="Z417" s="124" t="str">
        <f>IF($B417="","",IF(Z$3=0,"n.b.",INDEX(SRC_Woningetalage!$A$1:$ZZ$501,$A417,Z$3)))</f>
        <v/>
      </c>
      <c r="AA417" s="124" t="str">
        <f>IF($B417="","",IF(AA$3=0,"n.b.",INDEX(SRC_Woningetalage!$A$1:$ZZ$501,$A417,AA$3)))</f>
        <v/>
      </c>
      <c r="AB417" s="124" t="str">
        <f>IF($B417="","",IF(AB$3=0,"n.b.",INDEX(SRC_Woningetalage!$A$1:$ZZ$501,$A417,AB$3)))</f>
        <v/>
      </c>
      <c r="AC417" s="124" t="str">
        <f>IF($B417="","",IF(AC$3=0,"n.b.",INDEX(SRC_Woningetalage!$A$1:$ZZ$501,$A417,AC$3)))</f>
        <v/>
      </c>
      <c r="AD417" s="124" t="str">
        <f>IF($B417="","",IF(AD$3=0,"n.b.",INDEX(SRC_Woningetalage!$A$1:$ZZ$501,$A417,AD$3)))</f>
        <v/>
      </c>
      <c r="AE417" s="124" t="str">
        <f>IF($B417="","",IF(AE$3=0,"n.b.",INDEX(SRC_Woningetalage!$A$1:$ZZ$501,$A417,AE$3)))</f>
        <v/>
      </c>
      <c r="AF417" s="124" t="str">
        <f>IF($B417="","",IF(AF$3=0,"n.b.",INDEX(SRC_Woningetalage!$A$1:$ZZ$501,$A417,AF$3)))</f>
        <v/>
      </c>
      <c r="AG417" s="124" t="str">
        <f>IF($B417="","",IF(AG$3=0,"n.b.",INDEX(SRC_Woningetalage!$A$1:$ZZ$501,$A417,AG$3)))</f>
        <v/>
      </c>
      <c r="AH417" s="124" t="str">
        <f>IF($B417="","",IF(AH$3=0,"n.b.",INDEX(SRC_Woningetalage!$A$1:$ZZ$501,$A417,AH$3)))</f>
        <v/>
      </c>
      <c r="AI417" s="124" t="str">
        <f>IF($B417="","",IF(AI$3=0,"n.b.",INDEX(SRC_Woningetalage!$A$1:$ZZ$501,$A417,AI$3)))</f>
        <v/>
      </c>
      <c r="AJ417" s="124" t="str">
        <f>IF($B417="","",IF(AJ$3=0,"n.b.",INDEX(SRC_Woningetalage!$A$1:$ZZ$501,$A417,AJ$3)))</f>
        <v/>
      </c>
      <c r="AK417" s="124" t="str">
        <f>IF($B417="","",IF(AK$3=0,"n.b.",INDEX(SRC_Woningetalage!$A$1:$ZZ$501,$A417,AK$3)))</f>
        <v/>
      </c>
      <c r="AL417" s="124" t="str">
        <f>IF($B417="","",IF(AL$3=0,"n.b.",INDEX(SRC_Woningetalage!$A$1:$ZZ$501,$A417,AL$3)))</f>
        <v/>
      </c>
      <c r="AM417" s="124" t="str">
        <f>IF($B417="","",IF(AM$3=0,"n.b.",INDEX(SRC_Woningetalage!$A$1:$ZZ$501,$A417,AM$3)))</f>
        <v/>
      </c>
      <c r="AN417" s="124" t="str">
        <f>IF($B417="","",IF(AN$3=0,"n.b.",INDEX(SRC_Woningetalage!$A$1:$ZZ$501,$A417,AN$3)))</f>
        <v/>
      </c>
      <c r="AO417" s="124" t="str">
        <f>IF($B417="","",IF(AO$3=0,"n.b.",INDEX(SRC_Woningetalage!$A$1:$ZZ$501,$A417,AO$3)))</f>
        <v/>
      </c>
      <c r="AP417" s="124" t="str">
        <f>IF($B417="","",IF(AP$3=0,"n.b.",INDEX(SRC_Woningetalage!$A$1:$ZZ$501,$A417,AP$3)))</f>
        <v/>
      </c>
      <c r="AQ417" s="124" t="str">
        <f>IF($B417="","",IF(AQ$3=0,"n.b.",INDEX(SRC_Woningetalage!$A$1:$ZZ$501,$A417,AQ$3)))</f>
        <v/>
      </c>
      <c r="AR417" s="124" t="str">
        <f>IF($B417="","",IF(AR$3=0,"n.b.",INDEX(SRC_Woningetalage!$A$1:$ZZ$501,$A417,AR$3)))</f>
        <v/>
      </c>
      <c r="AS417" s="124" t="str">
        <f>IF($B417="","",IF(AS$3=0,"n.b.",INDEX(SRC_Woningetalage!$A$1:$ZZ$501,$A417,AS$3)))</f>
        <v/>
      </c>
      <c r="AT417" s="124" t="str">
        <f>IF($B417="","",IF(AT$3=0,"n.b.",INDEX(SRC_Woningetalage!$A$1:$ZZ$501,$A417,AT$3)))</f>
        <v/>
      </c>
      <c r="AU417" s="124" t="str">
        <f>IF($B417="","",IF(AU$3=0,"n.b.",INDEX(SRC_Woningetalage!$A$1:$ZZ$501,$A417,AU$3)))</f>
        <v/>
      </c>
      <c r="AV417" s="124" t="str">
        <f>IF($B417="","",IF(AV$3=0,"n.b.",INDEX(SRC_Woningetalage!$A$1:$ZZ$501,$A417,AV$3)))</f>
        <v/>
      </c>
      <c r="AW417" s="124" t="str">
        <f>IF($B417="","",IF(AW$3=0,"n.b.",INDEX(SRC_Woningetalage!$A$1:$ZZ$501,$A417,AW$3)))</f>
        <v/>
      </c>
      <c r="AX417" s="124" t="str">
        <f>IF($B417="","",IF(AX$3=0,"n.b.",INDEX(SRC_Woningetalage!$A$1:$ZZ$501,$A417,AX$3)))</f>
        <v/>
      </c>
      <c r="AY417" s="124" t="str">
        <f>IF($B417="","",IF(AY$3=0,"n.b.",INDEX(SRC_Woningetalage!$A$1:$ZZ$501,$A417,AY$3)))</f>
        <v/>
      </c>
      <c r="AZ417" s="124" t="str">
        <f>IF($B417="","",IF(AZ$3=0,"n.b.",INDEX(SRC_Woningetalage!$A$1:$ZZ$501,$A417,AZ$3)))</f>
        <v/>
      </c>
      <c r="BA417" s="124" t="str">
        <f>IF($B417="","",IF(BA$3=0,"n.b.",INDEX(SRC_Woningetalage!$A$1:$ZZ$501,$A417,BA$3)))</f>
        <v/>
      </c>
      <c r="BB417" s="124" t="str">
        <f>IF($B417="","",IF(BB$3=0,"n.b.",INDEX(SRC_Woningetalage!$A$1:$ZZ$501,$A417,BB$3)))</f>
        <v/>
      </c>
      <c r="BC417" s="124" t="str">
        <f>IF($B417="","",IFERROR(_xlfn.NUMBERVALUE(E417&amp;"",",","."),"n.b."))</f>
        <v/>
      </c>
      <c r="BD417" s="124" t="str">
        <f>IF($B417="","",IFERROR(_xlfn.NUMBERVALUE(M417&amp;"",",","."),"n.b."))</f>
        <v/>
      </c>
      <c r="BE417" s="124" t="str">
        <f>IF($B417="","",IFERROR(AB417+AC417+AD417,"n.b."))</f>
        <v/>
      </c>
      <c r="BF417" s="124" t="str">
        <f>IF($B417="","",IFERROR(AE417+AF417+AG417,"n.b."))</f>
        <v/>
      </c>
      <c r="BG417" s="124" t="str">
        <f>IF($B417="","",IFERROR(AH417+AI417+AJ417,"n.b."))</f>
        <v/>
      </c>
      <c r="BH417" s="124" t="str">
        <f>IF($B417="","",IFERROR(AK417+AL417+AM417,"n.b."))</f>
        <v/>
      </c>
      <c r="BI417" s="124" t="str">
        <f>IF($B417="","",IFERROR(SUMIF($AB$5:$AM$5,"&lt;="&amp;P_PeilMaand,AB417:AM417),"n.b."))</f>
        <v/>
      </c>
      <c r="BJ417" s="124" t="str">
        <f>IF($B417="","",IFERROR(SUM(AB417:AM417)-BI417,"n.b."))</f>
        <v/>
      </c>
      <c r="BK417" s="124" t="str">
        <f>IF($B417="","",IFERROR(IF(ABS(Q417-(T417+SUM(AB417:AM417)+AS417+AU417))&gt;P_Tol,1,0),1))</f>
        <v/>
      </c>
      <c r="BL417" s="124" t="str">
        <f>IF($B417="","",IFERROR(IF(ABS(AA417-(Q417-Z417))&gt;P_Tol,1,0),1))</f>
        <v/>
      </c>
      <c r="BM417" s="124" t="str">
        <f>IF($B417="","",IFERROR(IF(ABS(Z417-(T417+W417))&gt;P_Tol,1,0),1))</f>
        <v/>
      </c>
      <c r="BN417" s="124" t="str">
        <f>IF($B417="","",IFERROR(IF(ABS(W417-BI417)&gt;P_Tol,1,0),1))</f>
        <v/>
      </c>
      <c r="BO417" s="124" t="str">
        <f>IF($B417="","",IFERROR(IF(OR(ABS(R417+S417-T417)&gt;P_Tol,ABS(U417+V417-W417)&gt;P_Tol,ABS(X417+Y417-Z417)&gt;P_Tol),1,0),1))</f>
        <v/>
      </c>
      <c r="BP417" s="124" t="str">
        <f>IF($B417="","",IFERROR(IF(OR(ABS(AR417-SUM(AB417:AM417))&gt;P_Tol,ABS(AS417-(AN417+AO417+AP417+AQ417))&gt;P_Tol),1,0),1))</f>
        <v/>
      </c>
      <c r="BQ417" s="124" t="str">
        <f>IF($B417="","",IFERROR(IF(ABS(AT417)+ABS(AV417)+ABS(AW417)+ABS(AX417)+ABS(AY417)+ABS(AZ417)+ABS(BA417)+ABS(BB417)&gt;0,1,0),1))</f>
        <v/>
      </c>
      <c r="BR417" s="124" t="str">
        <f>IF($B417="","",COUNTIF(STG_ZPMW03!$B$6:$B$505,B417))</f>
        <v/>
      </c>
      <c r="BS417" s="124" t="str">
        <f>IF($B417="","",COUNTIF($B$6:$B$505,B417))</f>
        <v/>
      </c>
      <c r="BT417" s="124" t="str">
        <f>IF($B417="","",IF(BR417=0,0,IF(INDEX(STG_ZPMW03!$I$6:$I$505,MATCH(B417,STG_ZPMW03!$B$6:$B$505,0))=J417&amp;"",0,1)))</f>
        <v/>
      </c>
      <c r="BU417" s="124" t="str">
        <f>IF($B417="","",IFERROR(IF(ABS(INDEX(Mapping!$D$5:$D$104,MATCH(B417,Mapping!$A$5:$A$104,0))-Q417)&gt;P_Tol,1,0),0))</f>
        <v/>
      </c>
      <c r="BV417" s="124" t="str">
        <f>IF($B417="","",IFERROR(IF(AND(INDEX(Mapping!$G$5:$G$104,MATCH(B417,Mapping!$A$5:$A$104,0))="Nee",ABS(Q417)+ABS(Z417)+ABS(AR417)&gt;0),1,0),0))</f>
        <v/>
      </c>
      <c r="BW417" s="124" t="str">
        <f>IF($B417="","",IF(COUNTIF(Mapping!$A$5:$A$104,B417)&gt;0,1,0))</f>
        <v/>
      </c>
      <c r="BX417" s="124" t="str">
        <f>IF($B417="","",IF(BR417=0,COUNTIF($BR$6:BR417,0),""))</f>
        <v/>
      </c>
    </row>
    <row r="418">
      <c r="A418" s="15" t="n">
        <v>414</v>
      </c>
      <c r="B418" t="str">
        <f>IF(B$3=0,"",IF(INDEX(SRC_Woningetalage!$A$1:$ZZ$501,$A418,B$3)&amp;""="","",INDEX(SRC_Woningetalage!$A$1:$ZZ$501,$A418,B$3)&amp;""))</f>
        <v/>
      </c>
      <c r="C418" t="str">
        <f>IF($B418="","",IF(C$3=0,"n.b.",INDEX(SRC_Woningetalage!$A$1:$ZZ$501,$A418,C$3)))</f>
        <v/>
      </c>
      <c r="D418" t="str">
        <f>IF($B418="","",IF(D$3=0,"n.b.",INDEX(SRC_Woningetalage!$A$1:$ZZ$501,$A418,D$3)))</f>
        <v/>
      </c>
      <c r="E418" t="str">
        <f>IF($B418="","",IF(E$3=0,"n.b.",INDEX(SRC_Woningetalage!$A$1:$ZZ$501,$A418,E$3)))</f>
        <v/>
      </c>
      <c r="F418" t="str">
        <f>IF($B418="","",IF(F$3=0,"n.b.",INDEX(SRC_Woningetalage!$A$1:$ZZ$501,$A418,F$3)))</f>
        <v/>
      </c>
      <c r="G418" t="str">
        <f>IF($B418="","",IF(G$3=0,"n.b.",INDEX(SRC_Woningetalage!$A$1:$ZZ$501,$A418,G$3)))</f>
        <v/>
      </c>
      <c r="H418" t="str">
        <f>IF($B418="","",IF(H$3=0,"n.b.",INDEX(SRC_Woningetalage!$A$1:$ZZ$501,$A418,H$3)))</f>
        <v/>
      </c>
      <c r="I418" t="str">
        <f>IF($B418="","",IF(I$3=0,"n.b.",INDEX(SRC_Woningetalage!$A$1:$ZZ$501,$A418,I$3)))</f>
        <v/>
      </c>
      <c r="J418" t="str">
        <f>IF($B418="","",IF(J$3=0,"n.b.",INDEX(SRC_Woningetalage!$A$1:$ZZ$501,$A418,J$3)))</f>
        <v/>
      </c>
      <c r="K418" t="str">
        <f>IF($B418="","",IF(K$3=0,"n.b.",INDEX(SRC_Woningetalage!$A$1:$ZZ$501,$A418,K$3)))</f>
        <v/>
      </c>
      <c r="L418" t="str">
        <f>IF($B418="","",IF(L$3=0,"n.b.",INDEX(SRC_Woningetalage!$A$1:$ZZ$501,$A418,L$3)))</f>
        <v/>
      </c>
      <c r="M418" t="str">
        <f>IF($B418="","",IF(M$3=0,"n.b.",INDEX(SRC_Woningetalage!$A$1:$ZZ$501,$A418,M$3)))</f>
        <v/>
      </c>
      <c r="N418" t="str">
        <f>IF($B418="","",IF(N$3=0,"n.b.",INDEX(SRC_Woningetalage!$A$1:$ZZ$501,$A418,N$3)))</f>
        <v/>
      </c>
      <c r="O418" t="str">
        <f>IF($B418="","",IF(O$3=0,"n.b.",INDEX(SRC_Woningetalage!$A$1:$ZZ$501,$A418,O$3)))</f>
        <v/>
      </c>
      <c r="P418" t="str">
        <f>IF($B418="","",IF(P$3=0,"n.b.",INDEX(SRC_Woningetalage!$A$1:$ZZ$501,$A418,P$3)))</f>
        <v/>
      </c>
      <c r="Q418" s="124" t="str">
        <f>IF($B418="","",IF(Q$3=0,"n.b.",INDEX(SRC_Woningetalage!$A$1:$ZZ$501,$A418,Q$3)))</f>
        <v/>
      </c>
      <c r="R418" s="124" t="str">
        <f>IF($B418="","",IF(R$3=0,"n.b.",INDEX(SRC_Woningetalage!$A$1:$ZZ$501,$A418,R$3)))</f>
        <v/>
      </c>
      <c r="S418" s="124" t="str">
        <f>IF($B418="","",IF(S$3=0,"n.b.",INDEX(SRC_Woningetalage!$A$1:$ZZ$501,$A418,S$3)))</f>
        <v/>
      </c>
      <c r="T418" s="124" t="str">
        <f>IF($B418="","",IF(T$3=0,"n.b.",INDEX(SRC_Woningetalage!$A$1:$ZZ$501,$A418,T$3)))</f>
        <v/>
      </c>
      <c r="U418" s="124" t="str">
        <f>IF($B418="","",IF(U$3=0,"n.b.",INDEX(SRC_Woningetalage!$A$1:$ZZ$501,$A418,U$3)))</f>
        <v/>
      </c>
      <c r="V418" s="124" t="str">
        <f>IF($B418="","",IF(V$3=0,"n.b.",INDEX(SRC_Woningetalage!$A$1:$ZZ$501,$A418,V$3)))</f>
        <v/>
      </c>
      <c r="W418" s="124" t="str">
        <f>IF($B418="","",IF(W$3=0,"n.b.",INDEX(SRC_Woningetalage!$A$1:$ZZ$501,$A418,W$3)))</f>
        <v/>
      </c>
      <c r="X418" s="124" t="str">
        <f>IF($B418="","",IF(X$3=0,"n.b.",INDEX(SRC_Woningetalage!$A$1:$ZZ$501,$A418,X$3)))</f>
        <v/>
      </c>
      <c r="Y418" s="124" t="str">
        <f>IF($B418="","",IF(Y$3=0,"n.b.",INDEX(SRC_Woningetalage!$A$1:$ZZ$501,$A418,Y$3)))</f>
        <v/>
      </c>
      <c r="Z418" s="124" t="str">
        <f>IF($B418="","",IF(Z$3=0,"n.b.",INDEX(SRC_Woningetalage!$A$1:$ZZ$501,$A418,Z$3)))</f>
        <v/>
      </c>
      <c r="AA418" s="124" t="str">
        <f>IF($B418="","",IF(AA$3=0,"n.b.",INDEX(SRC_Woningetalage!$A$1:$ZZ$501,$A418,AA$3)))</f>
        <v/>
      </c>
      <c r="AB418" s="124" t="str">
        <f>IF($B418="","",IF(AB$3=0,"n.b.",INDEX(SRC_Woningetalage!$A$1:$ZZ$501,$A418,AB$3)))</f>
        <v/>
      </c>
      <c r="AC418" s="124" t="str">
        <f>IF($B418="","",IF(AC$3=0,"n.b.",INDEX(SRC_Woningetalage!$A$1:$ZZ$501,$A418,AC$3)))</f>
        <v/>
      </c>
      <c r="AD418" s="124" t="str">
        <f>IF($B418="","",IF(AD$3=0,"n.b.",INDEX(SRC_Woningetalage!$A$1:$ZZ$501,$A418,AD$3)))</f>
        <v/>
      </c>
      <c r="AE418" s="124" t="str">
        <f>IF($B418="","",IF(AE$3=0,"n.b.",INDEX(SRC_Woningetalage!$A$1:$ZZ$501,$A418,AE$3)))</f>
        <v/>
      </c>
      <c r="AF418" s="124" t="str">
        <f>IF($B418="","",IF(AF$3=0,"n.b.",INDEX(SRC_Woningetalage!$A$1:$ZZ$501,$A418,AF$3)))</f>
        <v/>
      </c>
      <c r="AG418" s="124" t="str">
        <f>IF($B418="","",IF(AG$3=0,"n.b.",INDEX(SRC_Woningetalage!$A$1:$ZZ$501,$A418,AG$3)))</f>
        <v/>
      </c>
      <c r="AH418" s="124" t="str">
        <f>IF($B418="","",IF(AH$3=0,"n.b.",INDEX(SRC_Woningetalage!$A$1:$ZZ$501,$A418,AH$3)))</f>
        <v/>
      </c>
      <c r="AI418" s="124" t="str">
        <f>IF($B418="","",IF(AI$3=0,"n.b.",INDEX(SRC_Woningetalage!$A$1:$ZZ$501,$A418,AI$3)))</f>
        <v/>
      </c>
      <c r="AJ418" s="124" t="str">
        <f>IF($B418="","",IF(AJ$3=0,"n.b.",INDEX(SRC_Woningetalage!$A$1:$ZZ$501,$A418,AJ$3)))</f>
        <v/>
      </c>
      <c r="AK418" s="124" t="str">
        <f>IF($B418="","",IF(AK$3=0,"n.b.",INDEX(SRC_Woningetalage!$A$1:$ZZ$501,$A418,AK$3)))</f>
        <v/>
      </c>
      <c r="AL418" s="124" t="str">
        <f>IF($B418="","",IF(AL$3=0,"n.b.",INDEX(SRC_Woningetalage!$A$1:$ZZ$501,$A418,AL$3)))</f>
        <v/>
      </c>
      <c r="AM418" s="124" t="str">
        <f>IF($B418="","",IF(AM$3=0,"n.b.",INDEX(SRC_Woningetalage!$A$1:$ZZ$501,$A418,AM$3)))</f>
        <v/>
      </c>
      <c r="AN418" s="124" t="str">
        <f>IF($B418="","",IF(AN$3=0,"n.b.",INDEX(SRC_Woningetalage!$A$1:$ZZ$501,$A418,AN$3)))</f>
        <v/>
      </c>
      <c r="AO418" s="124" t="str">
        <f>IF($B418="","",IF(AO$3=0,"n.b.",INDEX(SRC_Woningetalage!$A$1:$ZZ$501,$A418,AO$3)))</f>
        <v/>
      </c>
      <c r="AP418" s="124" t="str">
        <f>IF($B418="","",IF(AP$3=0,"n.b.",INDEX(SRC_Woningetalage!$A$1:$ZZ$501,$A418,AP$3)))</f>
        <v/>
      </c>
      <c r="AQ418" s="124" t="str">
        <f>IF($B418="","",IF(AQ$3=0,"n.b.",INDEX(SRC_Woningetalage!$A$1:$ZZ$501,$A418,AQ$3)))</f>
        <v/>
      </c>
      <c r="AR418" s="124" t="str">
        <f>IF($B418="","",IF(AR$3=0,"n.b.",INDEX(SRC_Woningetalage!$A$1:$ZZ$501,$A418,AR$3)))</f>
        <v/>
      </c>
      <c r="AS418" s="124" t="str">
        <f>IF($B418="","",IF(AS$3=0,"n.b.",INDEX(SRC_Woningetalage!$A$1:$ZZ$501,$A418,AS$3)))</f>
        <v/>
      </c>
      <c r="AT418" s="124" t="str">
        <f>IF($B418="","",IF(AT$3=0,"n.b.",INDEX(SRC_Woningetalage!$A$1:$ZZ$501,$A418,AT$3)))</f>
        <v/>
      </c>
      <c r="AU418" s="124" t="str">
        <f>IF($B418="","",IF(AU$3=0,"n.b.",INDEX(SRC_Woningetalage!$A$1:$ZZ$501,$A418,AU$3)))</f>
        <v/>
      </c>
      <c r="AV418" s="124" t="str">
        <f>IF($B418="","",IF(AV$3=0,"n.b.",INDEX(SRC_Woningetalage!$A$1:$ZZ$501,$A418,AV$3)))</f>
        <v/>
      </c>
      <c r="AW418" s="124" t="str">
        <f>IF($B418="","",IF(AW$3=0,"n.b.",INDEX(SRC_Woningetalage!$A$1:$ZZ$501,$A418,AW$3)))</f>
        <v/>
      </c>
      <c r="AX418" s="124" t="str">
        <f>IF($B418="","",IF(AX$3=0,"n.b.",INDEX(SRC_Woningetalage!$A$1:$ZZ$501,$A418,AX$3)))</f>
        <v/>
      </c>
      <c r="AY418" s="124" t="str">
        <f>IF($B418="","",IF(AY$3=0,"n.b.",INDEX(SRC_Woningetalage!$A$1:$ZZ$501,$A418,AY$3)))</f>
        <v/>
      </c>
      <c r="AZ418" s="124" t="str">
        <f>IF($B418="","",IF(AZ$3=0,"n.b.",INDEX(SRC_Woningetalage!$A$1:$ZZ$501,$A418,AZ$3)))</f>
        <v/>
      </c>
      <c r="BA418" s="124" t="str">
        <f>IF($B418="","",IF(BA$3=0,"n.b.",INDEX(SRC_Woningetalage!$A$1:$ZZ$501,$A418,BA$3)))</f>
        <v/>
      </c>
      <c r="BB418" s="124" t="str">
        <f>IF($B418="","",IF(BB$3=0,"n.b.",INDEX(SRC_Woningetalage!$A$1:$ZZ$501,$A418,BB$3)))</f>
        <v/>
      </c>
      <c r="BC418" s="124" t="str">
        <f>IF($B418="","",IFERROR(_xlfn.NUMBERVALUE(E418&amp;"",",","."),"n.b."))</f>
        <v/>
      </c>
      <c r="BD418" s="124" t="str">
        <f>IF($B418="","",IFERROR(_xlfn.NUMBERVALUE(M418&amp;"",",","."),"n.b."))</f>
        <v/>
      </c>
      <c r="BE418" s="124" t="str">
        <f>IF($B418="","",IFERROR(AB418+AC418+AD418,"n.b."))</f>
        <v/>
      </c>
      <c r="BF418" s="124" t="str">
        <f>IF($B418="","",IFERROR(AE418+AF418+AG418,"n.b."))</f>
        <v/>
      </c>
      <c r="BG418" s="124" t="str">
        <f>IF($B418="","",IFERROR(AH418+AI418+AJ418,"n.b."))</f>
        <v/>
      </c>
      <c r="BH418" s="124" t="str">
        <f>IF($B418="","",IFERROR(AK418+AL418+AM418,"n.b."))</f>
        <v/>
      </c>
      <c r="BI418" s="124" t="str">
        <f>IF($B418="","",IFERROR(SUMIF($AB$5:$AM$5,"&lt;="&amp;P_PeilMaand,AB418:AM418),"n.b."))</f>
        <v/>
      </c>
      <c r="BJ418" s="124" t="str">
        <f>IF($B418="","",IFERROR(SUM(AB418:AM418)-BI418,"n.b."))</f>
        <v/>
      </c>
      <c r="BK418" s="124" t="str">
        <f>IF($B418="","",IFERROR(IF(ABS(Q418-(T418+SUM(AB418:AM418)+AS418+AU418))&gt;P_Tol,1,0),1))</f>
        <v/>
      </c>
      <c r="BL418" s="124" t="str">
        <f>IF($B418="","",IFERROR(IF(ABS(AA418-(Q418-Z418))&gt;P_Tol,1,0),1))</f>
        <v/>
      </c>
      <c r="BM418" s="124" t="str">
        <f>IF($B418="","",IFERROR(IF(ABS(Z418-(T418+W418))&gt;P_Tol,1,0),1))</f>
        <v/>
      </c>
      <c r="BN418" s="124" t="str">
        <f>IF($B418="","",IFERROR(IF(ABS(W418-BI418)&gt;P_Tol,1,0),1))</f>
        <v/>
      </c>
      <c r="BO418" s="124" t="str">
        <f>IF($B418="","",IFERROR(IF(OR(ABS(R418+S418-T418)&gt;P_Tol,ABS(U418+V418-W418)&gt;P_Tol,ABS(X418+Y418-Z418)&gt;P_Tol),1,0),1))</f>
        <v/>
      </c>
      <c r="BP418" s="124" t="str">
        <f>IF($B418="","",IFERROR(IF(OR(ABS(AR418-SUM(AB418:AM418))&gt;P_Tol,ABS(AS418-(AN418+AO418+AP418+AQ418))&gt;P_Tol),1,0),1))</f>
        <v/>
      </c>
      <c r="BQ418" s="124" t="str">
        <f>IF($B418="","",IFERROR(IF(ABS(AT418)+ABS(AV418)+ABS(AW418)+ABS(AX418)+ABS(AY418)+ABS(AZ418)+ABS(BA418)+ABS(BB418)&gt;0,1,0),1))</f>
        <v/>
      </c>
      <c r="BR418" s="124" t="str">
        <f>IF($B418="","",COUNTIF(STG_ZPMW03!$B$6:$B$505,B418))</f>
        <v/>
      </c>
      <c r="BS418" s="124" t="str">
        <f>IF($B418="","",COUNTIF($B$6:$B$505,B418))</f>
        <v/>
      </c>
      <c r="BT418" s="124" t="str">
        <f>IF($B418="","",IF(BR418=0,0,IF(INDEX(STG_ZPMW03!$I$6:$I$505,MATCH(B418,STG_ZPMW03!$B$6:$B$505,0))=J418&amp;"",0,1)))</f>
        <v/>
      </c>
      <c r="BU418" s="124" t="str">
        <f>IF($B418="","",IFERROR(IF(ABS(INDEX(Mapping!$D$5:$D$104,MATCH(B418,Mapping!$A$5:$A$104,0))-Q418)&gt;P_Tol,1,0),0))</f>
        <v/>
      </c>
      <c r="BV418" s="124" t="str">
        <f>IF($B418="","",IFERROR(IF(AND(INDEX(Mapping!$G$5:$G$104,MATCH(B418,Mapping!$A$5:$A$104,0))="Nee",ABS(Q418)+ABS(Z418)+ABS(AR418)&gt;0),1,0),0))</f>
        <v/>
      </c>
      <c r="BW418" s="124" t="str">
        <f>IF($B418="","",IF(COUNTIF(Mapping!$A$5:$A$104,B418)&gt;0,1,0))</f>
        <v/>
      </c>
      <c r="BX418" s="124" t="str">
        <f>IF($B418="","",IF(BR418=0,COUNTIF($BR$6:BR418,0),""))</f>
        <v/>
      </c>
    </row>
    <row r="419">
      <c r="A419" s="15" t="n">
        <v>415</v>
      </c>
      <c r="B419" t="str">
        <f>IF(B$3=0,"",IF(INDEX(SRC_Woningetalage!$A$1:$ZZ$501,$A419,B$3)&amp;""="","",INDEX(SRC_Woningetalage!$A$1:$ZZ$501,$A419,B$3)&amp;""))</f>
        <v/>
      </c>
      <c r="C419" t="str">
        <f>IF($B419="","",IF(C$3=0,"n.b.",INDEX(SRC_Woningetalage!$A$1:$ZZ$501,$A419,C$3)))</f>
        <v/>
      </c>
      <c r="D419" t="str">
        <f>IF($B419="","",IF(D$3=0,"n.b.",INDEX(SRC_Woningetalage!$A$1:$ZZ$501,$A419,D$3)))</f>
        <v/>
      </c>
      <c r="E419" t="str">
        <f>IF($B419="","",IF(E$3=0,"n.b.",INDEX(SRC_Woningetalage!$A$1:$ZZ$501,$A419,E$3)))</f>
        <v/>
      </c>
      <c r="F419" t="str">
        <f>IF($B419="","",IF(F$3=0,"n.b.",INDEX(SRC_Woningetalage!$A$1:$ZZ$501,$A419,F$3)))</f>
        <v/>
      </c>
      <c r="G419" t="str">
        <f>IF($B419="","",IF(G$3=0,"n.b.",INDEX(SRC_Woningetalage!$A$1:$ZZ$501,$A419,G$3)))</f>
        <v/>
      </c>
      <c r="H419" t="str">
        <f>IF($B419="","",IF(H$3=0,"n.b.",INDEX(SRC_Woningetalage!$A$1:$ZZ$501,$A419,H$3)))</f>
        <v/>
      </c>
      <c r="I419" t="str">
        <f>IF($B419="","",IF(I$3=0,"n.b.",INDEX(SRC_Woningetalage!$A$1:$ZZ$501,$A419,I$3)))</f>
        <v/>
      </c>
      <c r="J419" t="str">
        <f>IF($B419="","",IF(J$3=0,"n.b.",INDEX(SRC_Woningetalage!$A$1:$ZZ$501,$A419,J$3)))</f>
        <v/>
      </c>
      <c r="K419" t="str">
        <f>IF($B419="","",IF(K$3=0,"n.b.",INDEX(SRC_Woningetalage!$A$1:$ZZ$501,$A419,K$3)))</f>
        <v/>
      </c>
      <c r="L419" t="str">
        <f>IF($B419="","",IF(L$3=0,"n.b.",INDEX(SRC_Woningetalage!$A$1:$ZZ$501,$A419,L$3)))</f>
        <v/>
      </c>
      <c r="M419" t="str">
        <f>IF($B419="","",IF(M$3=0,"n.b.",INDEX(SRC_Woningetalage!$A$1:$ZZ$501,$A419,M$3)))</f>
        <v/>
      </c>
      <c r="N419" t="str">
        <f>IF($B419="","",IF(N$3=0,"n.b.",INDEX(SRC_Woningetalage!$A$1:$ZZ$501,$A419,N$3)))</f>
        <v/>
      </c>
      <c r="O419" t="str">
        <f>IF($B419="","",IF(O$3=0,"n.b.",INDEX(SRC_Woningetalage!$A$1:$ZZ$501,$A419,O$3)))</f>
        <v/>
      </c>
      <c r="P419" t="str">
        <f>IF($B419="","",IF(P$3=0,"n.b.",INDEX(SRC_Woningetalage!$A$1:$ZZ$501,$A419,P$3)))</f>
        <v/>
      </c>
      <c r="Q419" s="124" t="str">
        <f>IF($B419="","",IF(Q$3=0,"n.b.",INDEX(SRC_Woningetalage!$A$1:$ZZ$501,$A419,Q$3)))</f>
        <v/>
      </c>
      <c r="R419" s="124" t="str">
        <f>IF($B419="","",IF(R$3=0,"n.b.",INDEX(SRC_Woningetalage!$A$1:$ZZ$501,$A419,R$3)))</f>
        <v/>
      </c>
      <c r="S419" s="124" t="str">
        <f>IF($B419="","",IF(S$3=0,"n.b.",INDEX(SRC_Woningetalage!$A$1:$ZZ$501,$A419,S$3)))</f>
        <v/>
      </c>
      <c r="T419" s="124" t="str">
        <f>IF($B419="","",IF(T$3=0,"n.b.",INDEX(SRC_Woningetalage!$A$1:$ZZ$501,$A419,T$3)))</f>
        <v/>
      </c>
      <c r="U419" s="124" t="str">
        <f>IF($B419="","",IF(U$3=0,"n.b.",INDEX(SRC_Woningetalage!$A$1:$ZZ$501,$A419,U$3)))</f>
        <v/>
      </c>
      <c r="V419" s="124" t="str">
        <f>IF($B419="","",IF(V$3=0,"n.b.",INDEX(SRC_Woningetalage!$A$1:$ZZ$501,$A419,V$3)))</f>
        <v/>
      </c>
      <c r="W419" s="124" t="str">
        <f>IF($B419="","",IF(W$3=0,"n.b.",INDEX(SRC_Woningetalage!$A$1:$ZZ$501,$A419,W$3)))</f>
        <v/>
      </c>
      <c r="X419" s="124" t="str">
        <f>IF($B419="","",IF(X$3=0,"n.b.",INDEX(SRC_Woningetalage!$A$1:$ZZ$501,$A419,X$3)))</f>
        <v/>
      </c>
      <c r="Y419" s="124" t="str">
        <f>IF($B419="","",IF(Y$3=0,"n.b.",INDEX(SRC_Woningetalage!$A$1:$ZZ$501,$A419,Y$3)))</f>
        <v/>
      </c>
      <c r="Z419" s="124" t="str">
        <f>IF($B419="","",IF(Z$3=0,"n.b.",INDEX(SRC_Woningetalage!$A$1:$ZZ$501,$A419,Z$3)))</f>
        <v/>
      </c>
      <c r="AA419" s="124" t="str">
        <f>IF($B419="","",IF(AA$3=0,"n.b.",INDEX(SRC_Woningetalage!$A$1:$ZZ$501,$A419,AA$3)))</f>
        <v/>
      </c>
      <c r="AB419" s="124" t="str">
        <f>IF($B419="","",IF(AB$3=0,"n.b.",INDEX(SRC_Woningetalage!$A$1:$ZZ$501,$A419,AB$3)))</f>
        <v/>
      </c>
      <c r="AC419" s="124" t="str">
        <f>IF($B419="","",IF(AC$3=0,"n.b.",INDEX(SRC_Woningetalage!$A$1:$ZZ$501,$A419,AC$3)))</f>
        <v/>
      </c>
      <c r="AD419" s="124" t="str">
        <f>IF($B419="","",IF(AD$3=0,"n.b.",INDEX(SRC_Woningetalage!$A$1:$ZZ$501,$A419,AD$3)))</f>
        <v/>
      </c>
      <c r="AE419" s="124" t="str">
        <f>IF($B419="","",IF(AE$3=0,"n.b.",INDEX(SRC_Woningetalage!$A$1:$ZZ$501,$A419,AE$3)))</f>
        <v/>
      </c>
      <c r="AF419" s="124" t="str">
        <f>IF($B419="","",IF(AF$3=0,"n.b.",INDEX(SRC_Woningetalage!$A$1:$ZZ$501,$A419,AF$3)))</f>
        <v/>
      </c>
      <c r="AG419" s="124" t="str">
        <f>IF($B419="","",IF(AG$3=0,"n.b.",INDEX(SRC_Woningetalage!$A$1:$ZZ$501,$A419,AG$3)))</f>
        <v/>
      </c>
      <c r="AH419" s="124" t="str">
        <f>IF($B419="","",IF(AH$3=0,"n.b.",INDEX(SRC_Woningetalage!$A$1:$ZZ$501,$A419,AH$3)))</f>
        <v/>
      </c>
      <c r="AI419" s="124" t="str">
        <f>IF($B419="","",IF(AI$3=0,"n.b.",INDEX(SRC_Woningetalage!$A$1:$ZZ$501,$A419,AI$3)))</f>
        <v/>
      </c>
      <c r="AJ419" s="124" t="str">
        <f>IF($B419="","",IF(AJ$3=0,"n.b.",INDEX(SRC_Woningetalage!$A$1:$ZZ$501,$A419,AJ$3)))</f>
        <v/>
      </c>
      <c r="AK419" s="124" t="str">
        <f>IF($B419="","",IF(AK$3=0,"n.b.",INDEX(SRC_Woningetalage!$A$1:$ZZ$501,$A419,AK$3)))</f>
        <v/>
      </c>
      <c r="AL419" s="124" t="str">
        <f>IF($B419="","",IF(AL$3=0,"n.b.",INDEX(SRC_Woningetalage!$A$1:$ZZ$501,$A419,AL$3)))</f>
        <v/>
      </c>
      <c r="AM419" s="124" t="str">
        <f>IF($B419="","",IF(AM$3=0,"n.b.",INDEX(SRC_Woningetalage!$A$1:$ZZ$501,$A419,AM$3)))</f>
        <v/>
      </c>
      <c r="AN419" s="124" t="str">
        <f>IF($B419="","",IF(AN$3=0,"n.b.",INDEX(SRC_Woningetalage!$A$1:$ZZ$501,$A419,AN$3)))</f>
        <v/>
      </c>
      <c r="AO419" s="124" t="str">
        <f>IF($B419="","",IF(AO$3=0,"n.b.",INDEX(SRC_Woningetalage!$A$1:$ZZ$501,$A419,AO$3)))</f>
        <v/>
      </c>
      <c r="AP419" s="124" t="str">
        <f>IF($B419="","",IF(AP$3=0,"n.b.",INDEX(SRC_Woningetalage!$A$1:$ZZ$501,$A419,AP$3)))</f>
        <v/>
      </c>
      <c r="AQ419" s="124" t="str">
        <f>IF($B419="","",IF(AQ$3=0,"n.b.",INDEX(SRC_Woningetalage!$A$1:$ZZ$501,$A419,AQ$3)))</f>
        <v/>
      </c>
      <c r="AR419" s="124" t="str">
        <f>IF($B419="","",IF(AR$3=0,"n.b.",INDEX(SRC_Woningetalage!$A$1:$ZZ$501,$A419,AR$3)))</f>
        <v/>
      </c>
      <c r="AS419" s="124" t="str">
        <f>IF($B419="","",IF(AS$3=0,"n.b.",INDEX(SRC_Woningetalage!$A$1:$ZZ$501,$A419,AS$3)))</f>
        <v/>
      </c>
      <c r="AT419" s="124" t="str">
        <f>IF($B419="","",IF(AT$3=0,"n.b.",INDEX(SRC_Woningetalage!$A$1:$ZZ$501,$A419,AT$3)))</f>
        <v/>
      </c>
      <c r="AU419" s="124" t="str">
        <f>IF($B419="","",IF(AU$3=0,"n.b.",INDEX(SRC_Woningetalage!$A$1:$ZZ$501,$A419,AU$3)))</f>
        <v/>
      </c>
      <c r="AV419" s="124" t="str">
        <f>IF($B419="","",IF(AV$3=0,"n.b.",INDEX(SRC_Woningetalage!$A$1:$ZZ$501,$A419,AV$3)))</f>
        <v/>
      </c>
      <c r="AW419" s="124" t="str">
        <f>IF($B419="","",IF(AW$3=0,"n.b.",INDEX(SRC_Woningetalage!$A$1:$ZZ$501,$A419,AW$3)))</f>
        <v/>
      </c>
      <c r="AX419" s="124" t="str">
        <f>IF($B419="","",IF(AX$3=0,"n.b.",INDEX(SRC_Woningetalage!$A$1:$ZZ$501,$A419,AX$3)))</f>
        <v/>
      </c>
      <c r="AY419" s="124" t="str">
        <f>IF($B419="","",IF(AY$3=0,"n.b.",INDEX(SRC_Woningetalage!$A$1:$ZZ$501,$A419,AY$3)))</f>
        <v/>
      </c>
      <c r="AZ419" s="124" t="str">
        <f>IF($B419="","",IF(AZ$3=0,"n.b.",INDEX(SRC_Woningetalage!$A$1:$ZZ$501,$A419,AZ$3)))</f>
        <v/>
      </c>
      <c r="BA419" s="124" t="str">
        <f>IF($B419="","",IF(BA$3=0,"n.b.",INDEX(SRC_Woningetalage!$A$1:$ZZ$501,$A419,BA$3)))</f>
        <v/>
      </c>
      <c r="BB419" s="124" t="str">
        <f>IF($B419="","",IF(BB$3=0,"n.b.",INDEX(SRC_Woningetalage!$A$1:$ZZ$501,$A419,BB$3)))</f>
        <v/>
      </c>
      <c r="BC419" s="124" t="str">
        <f>IF($B419="","",IFERROR(_xlfn.NUMBERVALUE(E419&amp;"",",","."),"n.b."))</f>
        <v/>
      </c>
      <c r="BD419" s="124" t="str">
        <f>IF($B419="","",IFERROR(_xlfn.NUMBERVALUE(M419&amp;"",",","."),"n.b."))</f>
        <v/>
      </c>
      <c r="BE419" s="124" t="str">
        <f>IF($B419="","",IFERROR(AB419+AC419+AD419,"n.b."))</f>
        <v/>
      </c>
      <c r="BF419" s="124" t="str">
        <f>IF($B419="","",IFERROR(AE419+AF419+AG419,"n.b."))</f>
        <v/>
      </c>
      <c r="BG419" s="124" t="str">
        <f>IF($B419="","",IFERROR(AH419+AI419+AJ419,"n.b."))</f>
        <v/>
      </c>
      <c r="BH419" s="124" t="str">
        <f>IF($B419="","",IFERROR(AK419+AL419+AM419,"n.b."))</f>
        <v/>
      </c>
      <c r="BI419" s="124" t="str">
        <f>IF($B419="","",IFERROR(SUMIF($AB$5:$AM$5,"&lt;="&amp;P_PeilMaand,AB419:AM419),"n.b."))</f>
        <v/>
      </c>
      <c r="BJ419" s="124" t="str">
        <f>IF($B419="","",IFERROR(SUM(AB419:AM419)-BI419,"n.b."))</f>
        <v/>
      </c>
      <c r="BK419" s="124" t="str">
        <f>IF($B419="","",IFERROR(IF(ABS(Q419-(T419+SUM(AB419:AM419)+AS419+AU419))&gt;P_Tol,1,0),1))</f>
        <v/>
      </c>
      <c r="BL419" s="124" t="str">
        <f>IF($B419="","",IFERROR(IF(ABS(AA419-(Q419-Z419))&gt;P_Tol,1,0),1))</f>
        <v/>
      </c>
      <c r="BM419" s="124" t="str">
        <f>IF($B419="","",IFERROR(IF(ABS(Z419-(T419+W419))&gt;P_Tol,1,0),1))</f>
        <v/>
      </c>
      <c r="BN419" s="124" t="str">
        <f>IF($B419="","",IFERROR(IF(ABS(W419-BI419)&gt;P_Tol,1,0),1))</f>
        <v/>
      </c>
      <c r="BO419" s="124" t="str">
        <f>IF($B419="","",IFERROR(IF(OR(ABS(R419+S419-T419)&gt;P_Tol,ABS(U419+V419-W419)&gt;P_Tol,ABS(X419+Y419-Z419)&gt;P_Tol),1,0),1))</f>
        <v/>
      </c>
      <c r="BP419" s="124" t="str">
        <f>IF($B419="","",IFERROR(IF(OR(ABS(AR419-SUM(AB419:AM419))&gt;P_Tol,ABS(AS419-(AN419+AO419+AP419+AQ419))&gt;P_Tol),1,0),1))</f>
        <v/>
      </c>
      <c r="BQ419" s="124" t="str">
        <f>IF($B419="","",IFERROR(IF(ABS(AT419)+ABS(AV419)+ABS(AW419)+ABS(AX419)+ABS(AY419)+ABS(AZ419)+ABS(BA419)+ABS(BB419)&gt;0,1,0),1))</f>
        <v/>
      </c>
      <c r="BR419" s="124" t="str">
        <f>IF($B419="","",COUNTIF(STG_ZPMW03!$B$6:$B$505,B419))</f>
        <v/>
      </c>
      <c r="BS419" s="124" t="str">
        <f>IF($B419="","",COUNTIF($B$6:$B$505,B419))</f>
        <v/>
      </c>
      <c r="BT419" s="124" t="str">
        <f>IF($B419="","",IF(BR419=0,0,IF(INDEX(STG_ZPMW03!$I$6:$I$505,MATCH(B419,STG_ZPMW03!$B$6:$B$505,0))=J419&amp;"",0,1)))</f>
        <v/>
      </c>
      <c r="BU419" s="124" t="str">
        <f>IF($B419="","",IFERROR(IF(ABS(INDEX(Mapping!$D$5:$D$104,MATCH(B419,Mapping!$A$5:$A$104,0))-Q419)&gt;P_Tol,1,0),0))</f>
        <v/>
      </c>
      <c r="BV419" s="124" t="str">
        <f>IF($B419="","",IFERROR(IF(AND(INDEX(Mapping!$G$5:$G$104,MATCH(B419,Mapping!$A$5:$A$104,0))="Nee",ABS(Q419)+ABS(Z419)+ABS(AR419)&gt;0),1,0),0))</f>
        <v/>
      </c>
      <c r="BW419" s="124" t="str">
        <f>IF($B419="","",IF(COUNTIF(Mapping!$A$5:$A$104,B419)&gt;0,1,0))</f>
        <v/>
      </c>
      <c r="BX419" s="124" t="str">
        <f>IF($B419="","",IF(BR419=0,COUNTIF($BR$6:BR419,0),""))</f>
        <v/>
      </c>
    </row>
    <row r="420">
      <c r="A420" s="15" t="n">
        <v>416</v>
      </c>
      <c r="B420" t="str">
        <f>IF(B$3=0,"",IF(INDEX(SRC_Woningetalage!$A$1:$ZZ$501,$A420,B$3)&amp;""="","",INDEX(SRC_Woningetalage!$A$1:$ZZ$501,$A420,B$3)&amp;""))</f>
        <v/>
      </c>
      <c r="C420" t="str">
        <f>IF($B420="","",IF(C$3=0,"n.b.",INDEX(SRC_Woningetalage!$A$1:$ZZ$501,$A420,C$3)))</f>
        <v/>
      </c>
      <c r="D420" t="str">
        <f>IF($B420="","",IF(D$3=0,"n.b.",INDEX(SRC_Woningetalage!$A$1:$ZZ$501,$A420,D$3)))</f>
        <v/>
      </c>
      <c r="E420" t="str">
        <f>IF($B420="","",IF(E$3=0,"n.b.",INDEX(SRC_Woningetalage!$A$1:$ZZ$501,$A420,E$3)))</f>
        <v/>
      </c>
      <c r="F420" t="str">
        <f>IF($B420="","",IF(F$3=0,"n.b.",INDEX(SRC_Woningetalage!$A$1:$ZZ$501,$A420,F$3)))</f>
        <v/>
      </c>
      <c r="G420" t="str">
        <f>IF($B420="","",IF(G$3=0,"n.b.",INDEX(SRC_Woningetalage!$A$1:$ZZ$501,$A420,G$3)))</f>
        <v/>
      </c>
      <c r="H420" t="str">
        <f>IF($B420="","",IF(H$3=0,"n.b.",INDEX(SRC_Woningetalage!$A$1:$ZZ$501,$A420,H$3)))</f>
        <v/>
      </c>
      <c r="I420" t="str">
        <f>IF($B420="","",IF(I$3=0,"n.b.",INDEX(SRC_Woningetalage!$A$1:$ZZ$501,$A420,I$3)))</f>
        <v/>
      </c>
      <c r="J420" t="str">
        <f>IF($B420="","",IF(J$3=0,"n.b.",INDEX(SRC_Woningetalage!$A$1:$ZZ$501,$A420,J$3)))</f>
        <v/>
      </c>
      <c r="K420" t="str">
        <f>IF($B420="","",IF(K$3=0,"n.b.",INDEX(SRC_Woningetalage!$A$1:$ZZ$501,$A420,K$3)))</f>
        <v/>
      </c>
      <c r="L420" t="str">
        <f>IF($B420="","",IF(L$3=0,"n.b.",INDEX(SRC_Woningetalage!$A$1:$ZZ$501,$A420,L$3)))</f>
        <v/>
      </c>
      <c r="M420" t="str">
        <f>IF($B420="","",IF(M$3=0,"n.b.",INDEX(SRC_Woningetalage!$A$1:$ZZ$501,$A420,M$3)))</f>
        <v/>
      </c>
      <c r="N420" t="str">
        <f>IF($B420="","",IF(N$3=0,"n.b.",INDEX(SRC_Woningetalage!$A$1:$ZZ$501,$A420,N$3)))</f>
        <v/>
      </c>
      <c r="O420" t="str">
        <f>IF($B420="","",IF(O$3=0,"n.b.",INDEX(SRC_Woningetalage!$A$1:$ZZ$501,$A420,O$3)))</f>
        <v/>
      </c>
      <c r="P420" t="str">
        <f>IF($B420="","",IF(P$3=0,"n.b.",INDEX(SRC_Woningetalage!$A$1:$ZZ$501,$A420,P$3)))</f>
        <v/>
      </c>
      <c r="Q420" s="124" t="str">
        <f>IF($B420="","",IF(Q$3=0,"n.b.",INDEX(SRC_Woningetalage!$A$1:$ZZ$501,$A420,Q$3)))</f>
        <v/>
      </c>
      <c r="R420" s="124" t="str">
        <f>IF($B420="","",IF(R$3=0,"n.b.",INDEX(SRC_Woningetalage!$A$1:$ZZ$501,$A420,R$3)))</f>
        <v/>
      </c>
      <c r="S420" s="124" t="str">
        <f>IF($B420="","",IF(S$3=0,"n.b.",INDEX(SRC_Woningetalage!$A$1:$ZZ$501,$A420,S$3)))</f>
        <v/>
      </c>
      <c r="T420" s="124" t="str">
        <f>IF($B420="","",IF(T$3=0,"n.b.",INDEX(SRC_Woningetalage!$A$1:$ZZ$501,$A420,T$3)))</f>
        <v/>
      </c>
      <c r="U420" s="124" t="str">
        <f>IF($B420="","",IF(U$3=0,"n.b.",INDEX(SRC_Woningetalage!$A$1:$ZZ$501,$A420,U$3)))</f>
        <v/>
      </c>
      <c r="V420" s="124" t="str">
        <f>IF($B420="","",IF(V$3=0,"n.b.",INDEX(SRC_Woningetalage!$A$1:$ZZ$501,$A420,V$3)))</f>
        <v/>
      </c>
      <c r="W420" s="124" t="str">
        <f>IF($B420="","",IF(W$3=0,"n.b.",INDEX(SRC_Woningetalage!$A$1:$ZZ$501,$A420,W$3)))</f>
        <v/>
      </c>
      <c r="X420" s="124" t="str">
        <f>IF($B420="","",IF(X$3=0,"n.b.",INDEX(SRC_Woningetalage!$A$1:$ZZ$501,$A420,X$3)))</f>
        <v/>
      </c>
      <c r="Y420" s="124" t="str">
        <f>IF($B420="","",IF(Y$3=0,"n.b.",INDEX(SRC_Woningetalage!$A$1:$ZZ$501,$A420,Y$3)))</f>
        <v/>
      </c>
      <c r="Z420" s="124" t="str">
        <f>IF($B420="","",IF(Z$3=0,"n.b.",INDEX(SRC_Woningetalage!$A$1:$ZZ$501,$A420,Z$3)))</f>
        <v/>
      </c>
      <c r="AA420" s="124" t="str">
        <f>IF($B420="","",IF(AA$3=0,"n.b.",INDEX(SRC_Woningetalage!$A$1:$ZZ$501,$A420,AA$3)))</f>
        <v/>
      </c>
      <c r="AB420" s="124" t="str">
        <f>IF($B420="","",IF(AB$3=0,"n.b.",INDEX(SRC_Woningetalage!$A$1:$ZZ$501,$A420,AB$3)))</f>
        <v/>
      </c>
      <c r="AC420" s="124" t="str">
        <f>IF($B420="","",IF(AC$3=0,"n.b.",INDEX(SRC_Woningetalage!$A$1:$ZZ$501,$A420,AC$3)))</f>
        <v/>
      </c>
      <c r="AD420" s="124" t="str">
        <f>IF($B420="","",IF(AD$3=0,"n.b.",INDEX(SRC_Woningetalage!$A$1:$ZZ$501,$A420,AD$3)))</f>
        <v/>
      </c>
      <c r="AE420" s="124" t="str">
        <f>IF($B420="","",IF(AE$3=0,"n.b.",INDEX(SRC_Woningetalage!$A$1:$ZZ$501,$A420,AE$3)))</f>
        <v/>
      </c>
      <c r="AF420" s="124" t="str">
        <f>IF($B420="","",IF(AF$3=0,"n.b.",INDEX(SRC_Woningetalage!$A$1:$ZZ$501,$A420,AF$3)))</f>
        <v/>
      </c>
      <c r="AG420" s="124" t="str">
        <f>IF($B420="","",IF(AG$3=0,"n.b.",INDEX(SRC_Woningetalage!$A$1:$ZZ$501,$A420,AG$3)))</f>
        <v/>
      </c>
      <c r="AH420" s="124" t="str">
        <f>IF($B420="","",IF(AH$3=0,"n.b.",INDEX(SRC_Woningetalage!$A$1:$ZZ$501,$A420,AH$3)))</f>
        <v/>
      </c>
      <c r="AI420" s="124" t="str">
        <f>IF($B420="","",IF(AI$3=0,"n.b.",INDEX(SRC_Woningetalage!$A$1:$ZZ$501,$A420,AI$3)))</f>
        <v/>
      </c>
      <c r="AJ420" s="124" t="str">
        <f>IF($B420="","",IF(AJ$3=0,"n.b.",INDEX(SRC_Woningetalage!$A$1:$ZZ$501,$A420,AJ$3)))</f>
        <v/>
      </c>
      <c r="AK420" s="124" t="str">
        <f>IF($B420="","",IF(AK$3=0,"n.b.",INDEX(SRC_Woningetalage!$A$1:$ZZ$501,$A420,AK$3)))</f>
        <v/>
      </c>
      <c r="AL420" s="124" t="str">
        <f>IF($B420="","",IF(AL$3=0,"n.b.",INDEX(SRC_Woningetalage!$A$1:$ZZ$501,$A420,AL$3)))</f>
        <v/>
      </c>
      <c r="AM420" s="124" t="str">
        <f>IF($B420="","",IF(AM$3=0,"n.b.",INDEX(SRC_Woningetalage!$A$1:$ZZ$501,$A420,AM$3)))</f>
        <v/>
      </c>
      <c r="AN420" s="124" t="str">
        <f>IF($B420="","",IF(AN$3=0,"n.b.",INDEX(SRC_Woningetalage!$A$1:$ZZ$501,$A420,AN$3)))</f>
        <v/>
      </c>
      <c r="AO420" s="124" t="str">
        <f>IF($B420="","",IF(AO$3=0,"n.b.",INDEX(SRC_Woningetalage!$A$1:$ZZ$501,$A420,AO$3)))</f>
        <v/>
      </c>
      <c r="AP420" s="124" t="str">
        <f>IF($B420="","",IF(AP$3=0,"n.b.",INDEX(SRC_Woningetalage!$A$1:$ZZ$501,$A420,AP$3)))</f>
        <v/>
      </c>
      <c r="AQ420" s="124" t="str">
        <f>IF($B420="","",IF(AQ$3=0,"n.b.",INDEX(SRC_Woningetalage!$A$1:$ZZ$501,$A420,AQ$3)))</f>
        <v/>
      </c>
      <c r="AR420" s="124" t="str">
        <f>IF($B420="","",IF(AR$3=0,"n.b.",INDEX(SRC_Woningetalage!$A$1:$ZZ$501,$A420,AR$3)))</f>
        <v/>
      </c>
      <c r="AS420" s="124" t="str">
        <f>IF($B420="","",IF(AS$3=0,"n.b.",INDEX(SRC_Woningetalage!$A$1:$ZZ$501,$A420,AS$3)))</f>
        <v/>
      </c>
      <c r="AT420" s="124" t="str">
        <f>IF($B420="","",IF(AT$3=0,"n.b.",INDEX(SRC_Woningetalage!$A$1:$ZZ$501,$A420,AT$3)))</f>
        <v/>
      </c>
      <c r="AU420" s="124" t="str">
        <f>IF($B420="","",IF(AU$3=0,"n.b.",INDEX(SRC_Woningetalage!$A$1:$ZZ$501,$A420,AU$3)))</f>
        <v/>
      </c>
      <c r="AV420" s="124" t="str">
        <f>IF($B420="","",IF(AV$3=0,"n.b.",INDEX(SRC_Woningetalage!$A$1:$ZZ$501,$A420,AV$3)))</f>
        <v/>
      </c>
      <c r="AW420" s="124" t="str">
        <f>IF($B420="","",IF(AW$3=0,"n.b.",INDEX(SRC_Woningetalage!$A$1:$ZZ$501,$A420,AW$3)))</f>
        <v/>
      </c>
      <c r="AX420" s="124" t="str">
        <f>IF($B420="","",IF(AX$3=0,"n.b.",INDEX(SRC_Woningetalage!$A$1:$ZZ$501,$A420,AX$3)))</f>
        <v/>
      </c>
      <c r="AY420" s="124" t="str">
        <f>IF($B420="","",IF(AY$3=0,"n.b.",INDEX(SRC_Woningetalage!$A$1:$ZZ$501,$A420,AY$3)))</f>
        <v/>
      </c>
      <c r="AZ420" s="124" t="str">
        <f>IF($B420="","",IF(AZ$3=0,"n.b.",INDEX(SRC_Woningetalage!$A$1:$ZZ$501,$A420,AZ$3)))</f>
        <v/>
      </c>
      <c r="BA420" s="124" t="str">
        <f>IF($B420="","",IF(BA$3=0,"n.b.",INDEX(SRC_Woningetalage!$A$1:$ZZ$501,$A420,BA$3)))</f>
        <v/>
      </c>
      <c r="BB420" s="124" t="str">
        <f>IF($B420="","",IF(BB$3=0,"n.b.",INDEX(SRC_Woningetalage!$A$1:$ZZ$501,$A420,BB$3)))</f>
        <v/>
      </c>
      <c r="BC420" s="124" t="str">
        <f>IF($B420="","",IFERROR(_xlfn.NUMBERVALUE(E420&amp;"",",","."),"n.b."))</f>
        <v/>
      </c>
      <c r="BD420" s="124" t="str">
        <f>IF($B420="","",IFERROR(_xlfn.NUMBERVALUE(M420&amp;"",",","."),"n.b."))</f>
        <v/>
      </c>
      <c r="BE420" s="124" t="str">
        <f>IF($B420="","",IFERROR(AB420+AC420+AD420,"n.b."))</f>
        <v/>
      </c>
      <c r="BF420" s="124" t="str">
        <f>IF($B420="","",IFERROR(AE420+AF420+AG420,"n.b."))</f>
        <v/>
      </c>
      <c r="BG420" s="124" t="str">
        <f>IF($B420="","",IFERROR(AH420+AI420+AJ420,"n.b."))</f>
        <v/>
      </c>
      <c r="BH420" s="124" t="str">
        <f>IF($B420="","",IFERROR(AK420+AL420+AM420,"n.b."))</f>
        <v/>
      </c>
      <c r="BI420" s="124" t="str">
        <f>IF($B420="","",IFERROR(SUMIF($AB$5:$AM$5,"&lt;="&amp;P_PeilMaand,AB420:AM420),"n.b."))</f>
        <v/>
      </c>
      <c r="BJ420" s="124" t="str">
        <f>IF($B420="","",IFERROR(SUM(AB420:AM420)-BI420,"n.b."))</f>
        <v/>
      </c>
      <c r="BK420" s="124" t="str">
        <f>IF($B420="","",IFERROR(IF(ABS(Q420-(T420+SUM(AB420:AM420)+AS420+AU420))&gt;P_Tol,1,0),1))</f>
        <v/>
      </c>
      <c r="BL420" s="124" t="str">
        <f>IF($B420="","",IFERROR(IF(ABS(AA420-(Q420-Z420))&gt;P_Tol,1,0),1))</f>
        <v/>
      </c>
      <c r="BM420" s="124" t="str">
        <f>IF($B420="","",IFERROR(IF(ABS(Z420-(T420+W420))&gt;P_Tol,1,0),1))</f>
        <v/>
      </c>
      <c r="BN420" s="124" t="str">
        <f>IF($B420="","",IFERROR(IF(ABS(W420-BI420)&gt;P_Tol,1,0),1))</f>
        <v/>
      </c>
      <c r="BO420" s="124" t="str">
        <f>IF($B420="","",IFERROR(IF(OR(ABS(R420+S420-T420)&gt;P_Tol,ABS(U420+V420-W420)&gt;P_Tol,ABS(X420+Y420-Z420)&gt;P_Tol),1,0),1))</f>
        <v/>
      </c>
      <c r="BP420" s="124" t="str">
        <f>IF($B420="","",IFERROR(IF(OR(ABS(AR420-SUM(AB420:AM420))&gt;P_Tol,ABS(AS420-(AN420+AO420+AP420+AQ420))&gt;P_Tol),1,0),1))</f>
        <v/>
      </c>
      <c r="BQ420" s="124" t="str">
        <f>IF($B420="","",IFERROR(IF(ABS(AT420)+ABS(AV420)+ABS(AW420)+ABS(AX420)+ABS(AY420)+ABS(AZ420)+ABS(BA420)+ABS(BB420)&gt;0,1,0),1))</f>
        <v/>
      </c>
      <c r="BR420" s="124" t="str">
        <f>IF($B420="","",COUNTIF(STG_ZPMW03!$B$6:$B$505,B420))</f>
        <v/>
      </c>
      <c r="BS420" s="124" t="str">
        <f>IF($B420="","",COUNTIF($B$6:$B$505,B420))</f>
        <v/>
      </c>
      <c r="BT420" s="124" t="str">
        <f>IF($B420="","",IF(BR420=0,0,IF(INDEX(STG_ZPMW03!$I$6:$I$505,MATCH(B420,STG_ZPMW03!$B$6:$B$505,0))=J420&amp;"",0,1)))</f>
        <v/>
      </c>
      <c r="BU420" s="124" t="str">
        <f>IF($B420="","",IFERROR(IF(ABS(INDEX(Mapping!$D$5:$D$104,MATCH(B420,Mapping!$A$5:$A$104,0))-Q420)&gt;P_Tol,1,0),0))</f>
        <v/>
      </c>
      <c r="BV420" s="124" t="str">
        <f>IF($B420="","",IFERROR(IF(AND(INDEX(Mapping!$G$5:$G$104,MATCH(B420,Mapping!$A$5:$A$104,0))="Nee",ABS(Q420)+ABS(Z420)+ABS(AR420)&gt;0),1,0),0))</f>
        <v/>
      </c>
      <c r="BW420" s="124" t="str">
        <f>IF($B420="","",IF(COUNTIF(Mapping!$A$5:$A$104,B420)&gt;0,1,0))</f>
        <v/>
      </c>
      <c r="BX420" s="124" t="str">
        <f>IF($B420="","",IF(BR420=0,COUNTIF($BR$6:BR420,0),""))</f>
        <v/>
      </c>
    </row>
    <row r="421">
      <c r="A421" s="15" t="n">
        <v>417</v>
      </c>
      <c r="B421" t="str">
        <f>IF(B$3=0,"",IF(INDEX(SRC_Woningetalage!$A$1:$ZZ$501,$A421,B$3)&amp;""="","",INDEX(SRC_Woningetalage!$A$1:$ZZ$501,$A421,B$3)&amp;""))</f>
        <v/>
      </c>
      <c r="C421" t="str">
        <f>IF($B421="","",IF(C$3=0,"n.b.",INDEX(SRC_Woningetalage!$A$1:$ZZ$501,$A421,C$3)))</f>
        <v/>
      </c>
      <c r="D421" t="str">
        <f>IF($B421="","",IF(D$3=0,"n.b.",INDEX(SRC_Woningetalage!$A$1:$ZZ$501,$A421,D$3)))</f>
        <v/>
      </c>
      <c r="E421" t="str">
        <f>IF($B421="","",IF(E$3=0,"n.b.",INDEX(SRC_Woningetalage!$A$1:$ZZ$501,$A421,E$3)))</f>
        <v/>
      </c>
      <c r="F421" t="str">
        <f>IF($B421="","",IF(F$3=0,"n.b.",INDEX(SRC_Woningetalage!$A$1:$ZZ$501,$A421,F$3)))</f>
        <v/>
      </c>
      <c r="G421" t="str">
        <f>IF($B421="","",IF(G$3=0,"n.b.",INDEX(SRC_Woningetalage!$A$1:$ZZ$501,$A421,G$3)))</f>
        <v/>
      </c>
      <c r="H421" t="str">
        <f>IF($B421="","",IF(H$3=0,"n.b.",INDEX(SRC_Woningetalage!$A$1:$ZZ$501,$A421,H$3)))</f>
        <v/>
      </c>
      <c r="I421" t="str">
        <f>IF($B421="","",IF(I$3=0,"n.b.",INDEX(SRC_Woningetalage!$A$1:$ZZ$501,$A421,I$3)))</f>
        <v/>
      </c>
      <c r="J421" t="str">
        <f>IF($B421="","",IF(J$3=0,"n.b.",INDEX(SRC_Woningetalage!$A$1:$ZZ$501,$A421,J$3)))</f>
        <v/>
      </c>
      <c r="K421" t="str">
        <f>IF($B421="","",IF(K$3=0,"n.b.",INDEX(SRC_Woningetalage!$A$1:$ZZ$501,$A421,K$3)))</f>
        <v/>
      </c>
      <c r="L421" t="str">
        <f>IF($B421="","",IF(L$3=0,"n.b.",INDEX(SRC_Woningetalage!$A$1:$ZZ$501,$A421,L$3)))</f>
        <v/>
      </c>
      <c r="M421" t="str">
        <f>IF($B421="","",IF(M$3=0,"n.b.",INDEX(SRC_Woningetalage!$A$1:$ZZ$501,$A421,M$3)))</f>
        <v/>
      </c>
      <c r="N421" t="str">
        <f>IF($B421="","",IF(N$3=0,"n.b.",INDEX(SRC_Woningetalage!$A$1:$ZZ$501,$A421,N$3)))</f>
        <v/>
      </c>
      <c r="O421" t="str">
        <f>IF($B421="","",IF(O$3=0,"n.b.",INDEX(SRC_Woningetalage!$A$1:$ZZ$501,$A421,O$3)))</f>
        <v/>
      </c>
      <c r="P421" t="str">
        <f>IF($B421="","",IF(P$3=0,"n.b.",INDEX(SRC_Woningetalage!$A$1:$ZZ$501,$A421,P$3)))</f>
        <v/>
      </c>
      <c r="Q421" s="124" t="str">
        <f>IF($B421="","",IF(Q$3=0,"n.b.",INDEX(SRC_Woningetalage!$A$1:$ZZ$501,$A421,Q$3)))</f>
        <v/>
      </c>
      <c r="R421" s="124" t="str">
        <f>IF($B421="","",IF(R$3=0,"n.b.",INDEX(SRC_Woningetalage!$A$1:$ZZ$501,$A421,R$3)))</f>
        <v/>
      </c>
      <c r="S421" s="124" t="str">
        <f>IF($B421="","",IF(S$3=0,"n.b.",INDEX(SRC_Woningetalage!$A$1:$ZZ$501,$A421,S$3)))</f>
        <v/>
      </c>
      <c r="T421" s="124" t="str">
        <f>IF($B421="","",IF(T$3=0,"n.b.",INDEX(SRC_Woningetalage!$A$1:$ZZ$501,$A421,T$3)))</f>
        <v/>
      </c>
      <c r="U421" s="124" t="str">
        <f>IF($B421="","",IF(U$3=0,"n.b.",INDEX(SRC_Woningetalage!$A$1:$ZZ$501,$A421,U$3)))</f>
        <v/>
      </c>
      <c r="V421" s="124" t="str">
        <f>IF($B421="","",IF(V$3=0,"n.b.",INDEX(SRC_Woningetalage!$A$1:$ZZ$501,$A421,V$3)))</f>
        <v/>
      </c>
      <c r="W421" s="124" t="str">
        <f>IF($B421="","",IF(W$3=0,"n.b.",INDEX(SRC_Woningetalage!$A$1:$ZZ$501,$A421,W$3)))</f>
        <v/>
      </c>
      <c r="X421" s="124" t="str">
        <f>IF($B421="","",IF(X$3=0,"n.b.",INDEX(SRC_Woningetalage!$A$1:$ZZ$501,$A421,X$3)))</f>
        <v/>
      </c>
      <c r="Y421" s="124" t="str">
        <f>IF($B421="","",IF(Y$3=0,"n.b.",INDEX(SRC_Woningetalage!$A$1:$ZZ$501,$A421,Y$3)))</f>
        <v/>
      </c>
      <c r="Z421" s="124" t="str">
        <f>IF($B421="","",IF(Z$3=0,"n.b.",INDEX(SRC_Woningetalage!$A$1:$ZZ$501,$A421,Z$3)))</f>
        <v/>
      </c>
      <c r="AA421" s="124" t="str">
        <f>IF($B421="","",IF(AA$3=0,"n.b.",INDEX(SRC_Woningetalage!$A$1:$ZZ$501,$A421,AA$3)))</f>
        <v/>
      </c>
      <c r="AB421" s="124" t="str">
        <f>IF($B421="","",IF(AB$3=0,"n.b.",INDEX(SRC_Woningetalage!$A$1:$ZZ$501,$A421,AB$3)))</f>
        <v/>
      </c>
      <c r="AC421" s="124" t="str">
        <f>IF($B421="","",IF(AC$3=0,"n.b.",INDEX(SRC_Woningetalage!$A$1:$ZZ$501,$A421,AC$3)))</f>
        <v/>
      </c>
      <c r="AD421" s="124" t="str">
        <f>IF($B421="","",IF(AD$3=0,"n.b.",INDEX(SRC_Woningetalage!$A$1:$ZZ$501,$A421,AD$3)))</f>
        <v/>
      </c>
      <c r="AE421" s="124" t="str">
        <f>IF($B421="","",IF(AE$3=0,"n.b.",INDEX(SRC_Woningetalage!$A$1:$ZZ$501,$A421,AE$3)))</f>
        <v/>
      </c>
      <c r="AF421" s="124" t="str">
        <f>IF($B421="","",IF(AF$3=0,"n.b.",INDEX(SRC_Woningetalage!$A$1:$ZZ$501,$A421,AF$3)))</f>
        <v/>
      </c>
      <c r="AG421" s="124" t="str">
        <f>IF($B421="","",IF(AG$3=0,"n.b.",INDEX(SRC_Woningetalage!$A$1:$ZZ$501,$A421,AG$3)))</f>
        <v/>
      </c>
      <c r="AH421" s="124" t="str">
        <f>IF($B421="","",IF(AH$3=0,"n.b.",INDEX(SRC_Woningetalage!$A$1:$ZZ$501,$A421,AH$3)))</f>
        <v/>
      </c>
      <c r="AI421" s="124" t="str">
        <f>IF($B421="","",IF(AI$3=0,"n.b.",INDEX(SRC_Woningetalage!$A$1:$ZZ$501,$A421,AI$3)))</f>
        <v/>
      </c>
      <c r="AJ421" s="124" t="str">
        <f>IF($B421="","",IF(AJ$3=0,"n.b.",INDEX(SRC_Woningetalage!$A$1:$ZZ$501,$A421,AJ$3)))</f>
        <v/>
      </c>
      <c r="AK421" s="124" t="str">
        <f>IF($B421="","",IF(AK$3=0,"n.b.",INDEX(SRC_Woningetalage!$A$1:$ZZ$501,$A421,AK$3)))</f>
        <v/>
      </c>
      <c r="AL421" s="124" t="str">
        <f>IF($B421="","",IF(AL$3=0,"n.b.",INDEX(SRC_Woningetalage!$A$1:$ZZ$501,$A421,AL$3)))</f>
        <v/>
      </c>
      <c r="AM421" s="124" t="str">
        <f>IF($B421="","",IF(AM$3=0,"n.b.",INDEX(SRC_Woningetalage!$A$1:$ZZ$501,$A421,AM$3)))</f>
        <v/>
      </c>
      <c r="AN421" s="124" t="str">
        <f>IF($B421="","",IF(AN$3=0,"n.b.",INDEX(SRC_Woningetalage!$A$1:$ZZ$501,$A421,AN$3)))</f>
        <v/>
      </c>
      <c r="AO421" s="124" t="str">
        <f>IF($B421="","",IF(AO$3=0,"n.b.",INDEX(SRC_Woningetalage!$A$1:$ZZ$501,$A421,AO$3)))</f>
        <v/>
      </c>
      <c r="AP421" s="124" t="str">
        <f>IF($B421="","",IF(AP$3=0,"n.b.",INDEX(SRC_Woningetalage!$A$1:$ZZ$501,$A421,AP$3)))</f>
        <v/>
      </c>
      <c r="AQ421" s="124" t="str">
        <f>IF($B421="","",IF(AQ$3=0,"n.b.",INDEX(SRC_Woningetalage!$A$1:$ZZ$501,$A421,AQ$3)))</f>
        <v/>
      </c>
      <c r="AR421" s="124" t="str">
        <f>IF($B421="","",IF(AR$3=0,"n.b.",INDEX(SRC_Woningetalage!$A$1:$ZZ$501,$A421,AR$3)))</f>
        <v/>
      </c>
      <c r="AS421" s="124" t="str">
        <f>IF($B421="","",IF(AS$3=0,"n.b.",INDEX(SRC_Woningetalage!$A$1:$ZZ$501,$A421,AS$3)))</f>
        <v/>
      </c>
      <c r="AT421" s="124" t="str">
        <f>IF($B421="","",IF(AT$3=0,"n.b.",INDEX(SRC_Woningetalage!$A$1:$ZZ$501,$A421,AT$3)))</f>
        <v/>
      </c>
      <c r="AU421" s="124" t="str">
        <f>IF($B421="","",IF(AU$3=0,"n.b.",INDEX(SRC_Woningetalage!$A$1:$ZZ$501,$A421,AU$3)))</f>
        <v/>
      </c>
      <c r="AV421" s="124" t="str">
        <f>IF($B421="","",IF(AV$3=0,"n.b.",INDEX(SRC_Woningetalage!$A$1:$ZZ$501,$A421,AV$3)))</f>
        <v/>
      </c>
      <c r="AW421" s="124" t="str">
        <f>IF($B421="","",IF(AW$3=0,"n.b.",INDEX(SRC_Woningetalage!$A$1:$ZZ$501,$A421,AW$3)))</f>
        <v/>
      </c>
      <c r="AX421" s="124" t="str">
        <f>IF($B421="","",IF(AX$3=0,"n.b.",INDEX(SRC_Woningetalage!$A$1:$ZZ$501,$A421,AX$3)))</f>
        <v/>
      </c>
      <c r="AY421" s="124" t="str">
        <f>IF($B421="","",IF(AY$3=0,"n.b.",INDEX(SRC_Woningetalage!$A$1:$ZZ$501,$A421,AY$3)))</f>
        <v/>
      </c>
      <c r="AZ421" s="124" t="str">
        <f>IF($B421="","",IF(AZ$3=0,"n.b.",INDEX(SRC_Woningetalage!$A$1:$ZZ$501,$A421,AZ$3)))</f>
        <v/>
      </c>
      <c r="BA421" s="124" t="str">
        <f>IF($B421="","",IF(BA$3=0,"n.b.",INDEX(SRC_Woningetalage!$A$1:$ZZ$501,$A421,BA$3)))</f>
        <v/>
      </c>
      <c r="BB421" s="124" t="str">
        <f>IF($B421="","",IF(BB$3=0,"n.b.",INDEX(SRC_Woningetalage!$A$1:$ZZ$501,$A421,BB$3)))</f>
        <v/>
      </c>
      <c r="BC421" s="124" t="str">
        <f>IF($B421="","",IFERROR(_xlfn.NUMBERVALUE(E421&amp;"",",","."),"n.b."))</f>
        <v/>
      </c>
      <c r="BD421" s="124" t="str">
        <f>IF($B421="","",IFERROR(_xlfn.NUMBERVALUE(M421&amp;"",",","."),"n.b."))</f>
        <v/>
      </c>
      <c r="BE421" s="124" t="str">
        <f>IF($B421="","",IFERROR(AB421+AC421+AD421,"n.b."))</f>
        <v/>
      </c>
      <c r="BF421" s="124" t="str">
        <f>IF($B421="","",IFERROR(AE421+AF421+AG421,"n.b."))</f>
        <v/>
      </c>
      <c r="BG421" s="124" t="str">
        <f>IF($B421="","",IFERROR(AH421+AI421+AJ421,"n.b."))</f>
        <v/>
      </c>
      <c r="BH421" s="124" t="str">
        <f>IF($B421="","",IFERROR(AK421+AL421+AM421,"n.b."))</f>
        <v/>
      </c>
      <c r="BI421" s="124" t="str">
        <f>IF($B421="","",IFERROR(SUMIF($AB$5:$AM$5,"&lt;="&amp;P_PeilMaand,AB421:AM421),"n.b."))</f>
        <v/>
      </c>
      <c r="BJ421" s="124" t="str">
        <f>IF($B421="","",IFERROR(SUM(AB421:AM421)-BI421,"n.b."))</f>
        <v/>
      </c>
      <c r="BK421" s="124" t="str">
        <f>IF($B421="","",IFERROR(IF(ABS(Q421-(T421+SUM(AB421:AM421)+AS421+AU421))&gt;P_Tol,1,0),1))</f>
        <v/>
      </c>
      <c r="BL421" s="124" t="str">
        <f>IF($B421="","",IFERROR(IF(ABS(AA421-(Q421-Z421))&gt;P_Tol,1,0),1))</f>
        <v/>
      </c>
      <c r="BM421" s="124" t="str">
        <f>IF($B421="","",IFERROR(IF(ABS(Z421-(T421+W421))&gt;P_Tol,1,0),1))</f>
        <v/>
      </c>
      <c r="BN421" s="124" t="str">
        <f>IF($B421="","",IFERROR(IF(ABS(W421-BI421)&gt;P_Tol,1,0),1))</f>
        <v/>
      </c>
      <c r="BO421" s="124" t="str">
        <f>IF($B421="","",IFERROR(IF(OR(ABS(R421+S421-T421)&gt;P_Tol,ABS(U421+V421-W421)&gt;P_Tol,ABS(X421+Y421-Z421)&gt;P_Tol),1,0),1))</f>
        <v/>
      </c>
      <c r="BP421" s="124" t="str">
        <f>IF($B421="","",IFERROR(IF(OR(ABS(AR421-SUM(AB421:AM421))&gt;P_Tol,ABS(AS421-(AN421+AO421+AP421+AQ421))&gt;P_Tol),1,0),1))</f>
        <v/>
      </c>
      <c r="BQ421" s="124" t="str">
        <f>IF($B421="","",IFERROR(IF(ABS(AT421)+ABS(AV421)+ABS(AW421)+ABS(AX421)+ABS(AY421)+ABS(AZ421)+ABS(BA421)+ABS(BB421)&gt;0,1,0),1))</f>
        <v/>
      </c>
      <c r="BR421" s="124" t="str">
        <f>IF($B421="","",COUNTIF(STG_ZPMW03!$B$6:$B$505,B421))</f>
        <v/>
      </c>
      <c r="BS421" s="124" t="str">
        <f>IF($B421="","",COUNTIF($B$6:$B$505,B421))</f>
        <v/>
      </c>
      <c r="BT421" s="124" t="str">
        <f>IF($B421="","",IF(BR421=0,0,IF(INDEX(STG_ZPMW03!$I$6:$I$505,MATCH(B421,STG_ZPMW03!$B$6:$B$505,0))=J421&amp;"",0,1)))</f>
        <v/>
      </c>
      <c r="BU421" s="124" t="str">
        <f>IF($B421="","",IFERROR(IF(ABS(INDEX(Mapping!$D$5:$D$104,MATCH(B421,Mapping!$A$5:$A$104,0))-Q421)&gt;P_Tol,1,0),0))</f>
        <v/>
      </c>
      <c r="BV421" s="124" t="str">
        <f>IF($B421="","",IFERROR(IF(AND(INDEX(Mapping!$G$5:$G$104,MATCH(B421,Mapping!$A$5:$A$104,0))="Nee",ABS(Q421)+ABS(Z421)+ABS(AR421)&gt;0),1,0),0))</f>
        <v/>
      </c>
      <c r="BW421" s="124" t="str">
        <f>IF($B421="","",IF(COUNTIF(Mapping!$A$5:$A$104,B421)&gt;0,1,0))</f>
        <v/>
      </c>
      <c r="BX421" s="124" t="str">
        <f>IF($B421="","",IF(BR421=0,COUNTIF($BR$6:BR421,0),""))</f>
        <v/>
      </c>
    </row>
    <row r="422">
      <c r="A422" s="15" t="n">
        <v>418</v>
      </c>
      <c r="B422" t="str">
        <f>IF(B$3=0,"",IF(INDEX(SRC_Woningetalage!$A$1:$ZZ$501,$A422,B$3)&amp;""="","",INDEX(SRC_Woningetalage!$A$1:$ZZ$501,$A422,B$3)&amp;""))</f>
        <v/>
      </c>
      <c r="C422" t="str">
        <f>IF($B422="","",IF(C$3=0,"n.b.",INDEX(SRC_Woningetalage!$A$1:$ZZ$501,$A422,C$3)))</f>
        <v/>
      </c>
      <c r="D422" t="str">
        <f>IF($B422="","",IF(D$3=0,"n.b.",INDEX(SRC_Woningetalage!$A$1:$ZZ$501,$A422,D$3)))</f>
        <v/>
      </c>
      <c r="E422" t="str">
        <f>IF($B422="","",IF(E$3=0,"n.b.",INDEX(SRC_Woningetalage!$A$1:$ZZ$501,$A422,E$3)))</f>
        <v/>
      </c>
      <c r="F422" t="str">
        <f>IF($B422="","",IF(F$3=0,"n.b.",INDEX(SRC_Woningetalage!$A$1:$ZZ$501,$A422,F$3)))</f>
        <v/>
      </c>
      <c r="G422" t="str">
        <f>IF($B422="","",IF(G$3=0,"n.b.",INDEX(SRC_Woningetalage!$A$1:$ZZ$501,$A422,G$3)))</f>
        <v/>
      </c>
      <c r="H422" t="str">
        <f>IF($B422="","",IF(H$3=0,"n.b.",INDEX(SRC_Woningetalage!$A$1:$ZZ$501,$A422,H$3)))</f>
        <v/>
      </c>
      <c r="I422" t="str">
        <f>IF($B422="","",IF(I$3=0,"n.b.",INDEX(SRC_Woningetalage!$A$1:$ZZ$501,$A422,I$3)))</f>
        <v/>
      </c>
      <c r="J422" t="str">
        <f>IF($B422="","",IF(J$3=0,"n.b.",INDEX(SRC_Woningetalage!$A$1:$ZZ$501,$A422,J$3)))</f>
        <v/>
      </c>
      <c r="K422" t="str">
        <f>IF($B422="","",IF(K$3=0,"n.b.",INDEX(SRC_Woningetalage!$A$1:$ZZ$501,$A422,K$3)))</f>
        <v/>
      </c>
      <c r="L422" t="str">
        <f>IF($B422="","",IF(L$3=0,"n.b.",INDEX(SRC_Woningetalage!$A$1:$ZZ$501,$A422,L$3)))</f>
        <v/>
      </c>
      <c r="M422" t="str">
        <f>IF($B422="","",IF(M$3=0,"n.b.",INDEX(SRC_Woningetalage!$A$1:$ZZ$501,$A422,M$3)))</f>
        <v/>
      </c>
      <c r="N422" t="str">
        <f>IF($B422="","",IF(N$3=0,"n.b.",INDEX(SRC_Woningetalage!$A$1:$ZZ$501,$A422,N$3)))</f>
        <v/>
      </c>
      <c r="O422" t="str">
        <f>IF($B422="","",IF(O$3=0,"n.b.",INDEX(SRC_Woningetalage!$A$1:$ZZ$501,$A422,O$3)))</f>
        <v/>
      </c>
      <c r="P422" t="str">
        <f>IF($B422="","",IF(P$3=0,"n.b.",INDEX(SRC_Woningetalage!$A$1:$ZZ$501,$A422,P$3)))</f>
        <v/>
      </c>
      <c r="Q422" s="124" t="str">
        <f>IF($B422="","",IF(Q$3=0,"n.b.",INDEX(SRC_Woningetalage!$A$1:$ZZ$501,$A422,Q$3)))</f>
        <v/>
      </c>
      <c r="R422" s="124" t="str">
        <f>IF($B422="","",IF(R$3=0,"n.b.",INDEX(SRC_Woningetalage!$A$1:$ZZ$501,$A422,R$3)))</f>
        <v/>
      </c>
      <c r="S422" s="124" t="str">
        <f>IF($B422="","",IF(S$3=0,"n.b.",INDEX(SRC_Woningetalage!$A$1:$ZZ$501,$A422,S$3)))</f>
        <v/>
      </c>
      <c r="T422" s="124" t="str">
        <f>IF($B422="","",IF(T$3=0,"n.b.",INDEX(SRC_Woningetalage!$A$1:$ZZ$501,$A422,T$3)))</f>
        <v/>
      </c>
      <c r="U422" s="124" t="str">
        <f>IF($B422="","",IF(U$3=0,"n.b.",INDEX(SRC_Woningetalage!$A$1:$ZZ$501,$A422,U$3)))</f>
        <v/>
      </c>
      <c r="V422" s="124" t="str">
        <f>IF($B422="","",IF(V$3=0,"n.b.",INDEX(SRC_Woningetalage!$A$1:$ZZ$501,$A422,V$3)))</f>
        <v/>
      </c>
      <c r="W422" s="124" t="str">
        <f>IF($B422="","",IF(W$3=0,"n.b.",INDEX(SRC_Woningetalage!$A$1:$ZZ$501,$A422,W$3)))</f>
        <v/>
      </c>
      <c r="X422" s="124" t="str">
        <f>IF($B422="","",IF(X$3=0,"n.b.",INDEX(SRC_Woningetalage!$A$1:$ZZ$501,$A422,X$3)))</f>
        <v/>
      </c>
      <c r="Y422" s="124" t="str">
        <f>IF($B422="","",IF(Y$3=0,"n.b.",INDEX(SRC_Woningetalage!$A$1:$ZZ$501,$A422,Y$3)))</f>
        <v/>
      </c>
      <c r="Z422" s="124" t="str">
        <f>IF($B422="","",IF(Z$3=0,"n.b.",INDEX(SRC_Woningetalage!$A$1:$ZZ$501,$A422,Z$3)))</f>
        <v/>
      </c>
      <c r="AA422" s="124" t="str">
        <f>IF($B422="","",IF(AA$3=0,"n.b.",INDEX(SRC_Woningetalage!$A$1:$ZZ$501,$A422,AA$3)))</f>
        <v/>
      </c>
      <c r="AB422" s="124" t="str">
        <f>IF($B422="","",IF(AB$3=0,"n.b.",INDEX(SRC_Woningetalage!$A$1:$ZZ$501,$A422,AB$3)))</f>
        <v/>
      </c>
      <c r="AC422" s="124" t="str">
        <f>IF($B422="","",IF(AC$3=0,"n.b.",INDEX(SRC_Woningetalage!$A$1:$ZZ$501,$A422,AC$3)))</f>
        <v/>
      </c>
      <c r="AD422" s="124" t="str">
        <f>IF($B422="","",IF(AD$3=0,"n.b.",INDEX(SRC_Woningetalage!$A$1:$ZZ$501,$A422,AD$3)))</f>
        <v/>
      </c>
      <c r="AE422" s="124" t="str">
        <f>IF($B422="","",IF(AE$3=0,"n.b.",INDEX(SRC_Woningetalage!$A$1:$ZZ$501,$A422,AE$3)))</f>
        <v/>
      </c>
      <c r="AF422" s="124" t="str">
        <f>IF($B422="","",IF(AF$3=0,"n.b.",INDEX(SRC_Woningetalage!$A$1:$ZZ$501,$A422,AF$3)))</f>
        <v/>
      </c>
      <c r="AG422" s="124" t="str">
        <f>IF($B422="","",IF(AG$3=0,"n.b.",INDEX(SRC_Woningetalage!$A$1:$ZZ$501,$A422,AG$3)))</f>
        <v/>
      </c>
      <c r="AH422" s="124" t="str">
        <f>IF($B422="","",IF(AH$3=0,"n.b.",INDEX(SRC_Woningetalage!$A$1:$ZZ$501,$A422,AH$3)))</f>
        <v/>
      </c>
      <c r="AI422" s="124" t="str">
        <f>IF($B422="","",IF(AI$3=0,"n.b.",INDEX(SRC_Woningetalage!$A$1:$ZZ$501,$A422,AI$3)))</f>
        <v/>
      </c>
      <c r="AJ422" s="124" t="str">
        <f>IF($B422="","",IF(AJ$3=0,"n.b.",INDEX(SRC_Woningetalage!$A$1:$ZZ$501,$A422,AJ$3)))</f>
        <v/>
      </c>
      <c r="AK422" s="124" t="str">
        <f>IF($B422="","",IF(AK$3=0,"n.b.",INDEX(SRC_Woningetalage!$A$1:$ZZ$501,$A422,AK$3)))</f>
        <v/>
      </c>
      <c r="AL422" s="124" t="str">
        <f>IF($B422="","",IF(AL$3=0,"n.b.",INDEX(SRC_Woningetalage!$A$1:$ZZ$501,$A422,AL$3)))</f>
        <v/>
      </c>
      <c r="AM422" s="124" t="str">
        <f>IF($B422="","",IF(AM$3=0,"n.b.",INDEX(SRC_Woningetalage!$A$1:$ZZ$501,$A422,AM$3)))</f>
        <v/>
      </c>
      <c r="AN422" s="124" t="str">
        <f>IF($B422="","",IF(AN$3=0,"n.b.",INDEX(SRC_Woningetalage!$A$1:$ZZ$501,$A422,AN$3)))</f>
        <v/>
      </c>
      <c r="AO422" s="124" t="str">
        <f>IF($B422="","",IF(AO$3=0,"n.b.",INDEX(SRC_Woningetalage!$A$1:$ZZ$501,$A422,AO$3)))</f>
        <v/>
      </c>
      <c r="AP422" s="124" t="str">
        <f>IF($B422="","",IF(AP$3=0,"n.b.",INDEX(SRC_Woningetalage!$A$1:$ZZ$501,$A422,AP$3)))</f>
        <v/>
      </c>
      <c r="AQ422" s="124" t="str">
        <f>IF($B422="","",IF(AQ$3=0,"n.b.",INDEX(SRC_Woningetalage!$A$1:$ZZ$501,$A422,AQ$3)))</f>
        <v/>
      </c>
      <c r="AR422" s="124" t="str">
        <f>IF($B422="","",IF(AR$3=0,"n.b.",INDEX(SRC_Woningetalage!$A$1:$ZZ$501,$A422,AR$3)))</f>
        <v/>
      </c>
      <c r="AS422" s="124" t="str">
        <f>IF($B422="","",IF(AS$3=0,"n.b.",INDEX(SRC_Woningetalage!$A$1:$ZZ$501,$A422,AS$3)))</f>
        <v/>
      </c>
      <c r="AT422" s="124" t="str">
        <f>IF($B422="","",IF(AT$3=0,"n.b.",INDEX(SRC_Woningetalage!$A$1:$ZZ$501,$A422,AT$3)))</f>
        <v/>
      </c>
      <c r="AU422" s="124" t="str">
        <f>IF($B422="","",IF(AU$3=0,"n.b.",INDEX(SRC_Woningetalage!$A$1:$ZZ$501,$A422,AU$3)))</f>
        <v/>
      </c>
      <c r="AV422" s="124" t="str">
        <f>IF($B422="","",IF(AV$3=0,"n.b.",INDEX(SRC_Woningetalage!$A$1:$ZZ$501,$A422,AV$3)))</f>
        <v/>
      </c>
      <c r="AW422" s="124" t="str">
        <f>IF($B422="","",IF(AW$3=0,"n.b.",INDEX(SRC_Woningetalage!$A$1:$ZZ$501,$A422,AW$3)))</f>
        <v/>
      </c>
      <c r="AX422" s="124" t="str">
        <f>IF($B422="","",IF(AX$3=0,"n.b.",INDEX(SRC_Woningetalage!$A$1:$ZZ$501,$A422,AX$3)))</f>
        <v/>
      </c>
      <c r="AY422" s="124" t="str">
        <f>IF($B422="","",IF(AY$3=0,"n.b.",INDEX(SRC_Woningetalage!$A$1:$ZZ$501,$A422,AY$3)))</f>
        <v/>
      </c>
      <c r="AZ422" s="124" t="str">
        <f>IF($B422="","",IF(AZ$3=0,"n.b.",INDEX(SRC_Woningetalage!$A$1:$ZZ$501,$A422,AZ$3)))</f>
        <v/>
      </c>
      <c r="BA422" s="124" t="str">
        <f>IF($B422="","",IF(BA$3=0,"n.b.",INDEX(SRC_Woningetalage!$A$1:$ZZ$501,$A422,BA$3)))</f>
        <v/>
      </c>
      <c r="BB422" s="124" t="str">
        <f>IF($B422="","",IF(BB$3=0,"n.b.",INDEX(SRC_Woningetalage!$A$1:$ZZ$501,$A422,BB$3)))</f>
        <v/>
      </c>
      <c r="BC422" s="124" t="str">
        <f>IF($B422="","",IFERROR(_xlfn.NUMBERVALUE(E422&amp;"",",","."),"n.b."))</f>
        <v/>
      </c>
      <c r="BD422" s="124" t="str">
        <f>IF($B422="","",IFERROR(_xlfn.NUMBERVALUE(M422&amp;"",",","."),"n.b."))</f>
        <v/>
      </c>
      <c r="BE422" s="124" t="str">
        <f>IF($B422="","",IFERROR(AB422+AC422+AD422,"n.b."))</f>
        <v/>
      </c>
      <c r="BF422" s="124" t="str">
        <f>IF($B422="","",IFERROR(AE422+AF422+AG422,"n.b."))</f>
        <v/>
      </c>
      <c r="BG422" s="124" t="str">
        <f>IF($B422="","",IFERROR(AH422+AI422+AJ422,"n.b."))</f>
        <v/>
      </c>
      <c r="BH422" s="124" t="str">
        <f>IF($B422="","",IFERROR(AK422+AL422+AM422,"n.b."))</f>
        <v/>
      </c>
      <c r="BI422" s="124" t="str">
        <f>IF($B422="","",IFERROR(SUMIF($AB$5:$AM$5,"&lt;="&amp;P_PeilMaand,AB422:AM422),"n.b."))</f>
        <v/>
      </c>
      <c r="BJ422" s="124" t="str">
        <f>IF($B422="","",IFERROR(SUM(AB422:AM422)-BI422,"n.b."))</f>
        <v/>
      </c>
      <c r="BK422" s="124" t="str">
        <f>IF($B422="","",IFERROR(IF(ABS(Q422-(T422+SUM(AB422:AM422)+AS422+AU422))&gt;P_Tol,1,0),1))</f>
        <v/>
      </c>
      <c r="BL422" s="124" t="str">
        <f>IF($B422="","",IFERROR(IF(ABS(AA422-(Q422-Z422))&gt;P_Tol,1,0),1))</f>
        <v/>
      </c>
      <c r="BM422" s="124" t="str">
        <f>IF($B422="","",IFERROR(IF(ABS(Z422-(T422+W422))&gt;P_Tol,1,0),1))</f>
        <v/>
      </c>
      <c r="BN422" s="124" t="str">
        <f>IF($B422="","",IFERROR(IF(ABS(W422-BI422)&gt;P_Tol,1,0),1))</f>
        <v/>
      </c>
      <c r="BO422" s="124" t="str">
        <f>IF($B422="","",IFERROR(IF(OR(ABS(R422+S422-T422)&gt;P_Tol,ABS(U422+V422-W422)&gt;P_Tol,ABS(X422+Y422-Z422)&gt;P_Tol),1,0),1))</f>
        <v/>
      </c>
      <c r="BP422" s="124" t="str">
        <f>IF($B422="","",IFERROR(IF(OR(ABS(AR422-SUM(AB422:AM422))&gt;P_Tol,ABS(AS422-(AN422+AO422+AP422+AQ422))&gt;P_Tol),1,0),1))</f>
        <v/>
      </c>
      <c r="BQ422" s="124" t="str">
        <f>IF($B422="","",IFERROR(IF(ABS(AT422)+ABS(AV422)+ABS(AW422)+ABS(AX422)+ABS(AY422)+ABS(AZ422)+ABS(BA422)+ABS(BB422)&gt;0,1,0),1))</f>
        <v/>
      </c>
      <c r="BR422" s="124" t="str">
        <f>IF($B422="","",COUNTIF(STG_ZPMW03!$B$6:$B$505,B422))</f>
        <v/>
      </c>
      <c r="BS422" s="124" t="str">
        <f>IF($B422="","",COUNTIF($B$6:$B$505,B422))</f>
        <v/>
      </c>
      <c r="BT422" s="124" t="str">
        <f>IF($B422="","",IF(BR422=0,0,IF(INDEX(STG_ZPMW03!$I$6:$I$505,MATCH(B422,STG_ZPMW03!$B$6:$B$505,0))=J422&amp;"",0,1)))</f>
        <v/>
      </c>
      <c r="BU422" s="124" t="str">
        <f>IF($B422="","",IFERROR(IF(ABS(INDEX(Mapping!$D$5:$D$104,MATCH(B422,Mapping!$A$5:$A$104,0))-Q422)&gt;P_Tol,1,0),0))</f>
        <v/>
      </c>
      <c r="BV422" s="124" t="str">
        <f>IF($B422="","",IFERROR(IF(AND(INDEX(Mapping!$G$5:$G$104,MATCH(B422,Mapping!$A$5:$A$104,0))="Nee",ABS(Q422)+ABS(Z422)+ABS(AR422)&gt;0),1,0),0))</f>
        <v/>
      </c>
      <c r="BW422" s="124" t="str">
        <f>IF($B422="","",IF(COUNTIF(Mapping!$A$5:$A$104,B422)&gt;0,1,0))</f>
        <v/>
      </c>
      <c r="BX422" s="124" t="str">
        <f>IF($B422="","",IF(BR422=0,COUNTIF($BR$6:BR422,0),""))</f>
        <v/>
      </c>
    </row>
    <row r="423">
      <c r="A423" s="15" t="n">
        <v>419</v>
      </c>
      <c r="B423" t="str">
        <f>IF(B$3=0,"",IF(INDEX(SRC_Woningetalage!$A$1:$ZZ$501,$A423,B$3)&amp;""="","",INDEX(SRC_Woningetalage!$A$1:$ZZ$501,$A423,B$3)&amp;""))</f>
        <v/>
      </c>
      <c r="C423" t="str">
        <f>IF($B423="","",IF(C$3=0,"n.b.",INDEX(SRC_Woningetalage!$A$1:$ZZ$501,$A423,C$3)))</f>
        <v/>
      </c>
      <c r="D423" t="str">
        <f>IF($B423="","",IF(D$3=0,"n.b.",INDEX(SRC_Woningetalage!$A$1:$ZZ$501,$A423,D$3)))</f>
        <v/>
      </c>
      <c r="E423" t="str">
        <f>IF($B423="","",IF(E$3=0,"n.b.",INDEX(SRC_Woningetalage!$A$1:$ZZ$501,$A423,E$3)))</f>
        <v/>
      </c>
      <c r="F423" t="str">
        <f>IF($B423="","",IF(F$3=0,"n.b.",INDEX(SRC_Woningetalage!$A$1:$ZZ$501,$A423,F$3)))</f>
        <v/>
      </c>
      <c r="G423" t="str">
        <f>IF($B423="","",IF(G$3=0,"n.b.",INDEX(SRC_Woningetalage!$A$1:$ZZ$501,$A423,G$3)))</f>
        <v/>
      </c>
      <c r="H423" t="str">
        <f>IF($B423="","",IF(H$3=0,"n.b.",INDEX(SRC_Woningetalage!$A$1:$ZZ$501,$A423,H$3)))</f>
        <v/>
      </c>
      <c r="I423" t="str">
        <f>IF($B423="","",IF(I$3=0,"n.b.",INDEX(SRC_Woningetalage!$A$1:$ZZ$501,$A423,I$3)))</f>
        <v/>
      </c>
      <c r="J423" t="str">
        <f>IF($B423="","",IF(J$3=0,"n.b.",INDEX(SRC_Woningetalage!$A$1:$ZZ$501,$A423,J$3)))</f>
        <v/>
      </c>
      <c r="K423" t="str">
        <f>IF($B423="","",IF(K$3=0,"n.b.",INDEX(SRC_Woningetalage!$A$1:$ZZ$501,$A423,K$3)))</f>
        <v/>
      </c>
      <c r="L423" t="str">
        <f>IF($B423="","",IF(L$3=0,"n.b.",INDEX(SRC_Woningetalage!$A$1:$ZZ$501,$A423,L$3)))</f>
        <v/>
      </c>
      <c r="M423" t="str">
        <f>IF($B423="","",IF(M$3=0,"n.b.",INDEX(SRC_Woningetalage!$A$1:$ZZ$501,$A423,M$3)))</f>
        <v/>
      </c>
      <c r="N423" t="str">
        <f>IF($B423="","",IF(N$3=0,"n.b.",INDEX(SRC_Woningetalage!$A$1:$ZZ$501,$A423,N$3)))</f>
        <v/>
      </c>
      <c r="O423" t="str">
        <f>IF($B423="","",IF(O$3=0,"n.b.",INDEX(SRC_Woningetalage!$A$1:$ZZ$501,$A423,O$3)))</f>
        <v/>
      </c>
      <c r="P423" t="str">
        <f>IF($B423="","",IF(P$3=0,"n.b.",INDEX(SRC_Woningetalage!$A$1:$ZZ$501,$A423,P$3)))</f>
        <v/>
      </c>
      <c r="Q423" s="124" t="str">
        <f>IF($B423="","",IF(Q$3=0,"n.b.",INDEX(SRC_Woningetalage!$A$1:$ZZ$501,$A423,Q$3)))</f>
        <v/>
      </c>
      <c r="R423" s="124" t="str">
        <f>IF($B423="","",IF(R$3=0,"n.b.",INDEX(SRC_Woningetalage!$A$1:$ZZ$501,$A423,R$3)))</f>
        <v/>
      </c>
      <c r="S423" s="124" t="str">
        <f>IF($B423="","",IF(S$3=0,"n.b.",INDEX(SRC_Woningetalage!$A$1:$ZZ$501,$A423,S$3)))</f>
        <v/>
      </c>
      <c r="T423" s="124" t="str">
        <f>IF($B423="","",IF(T$3=0,"n.b.",INDEX(SRC_Woningetalage!$A$1:$ZZ$501,$A423,T$3)))</f>
        <v/>
      </c>
      <c r="U423" s="124" t="str">
        <f>IF($B423="","",IF(U$3=0,"n.b.",INDEX(SRC_Woningetalage!$A$1:$ZZ$501,$A423,U$3)))</f>
        <v/>
      </c>
      <c r="V423" s="124" t="str">
        <f>IF($B423="","",IF(V$3=0,"n.b.",INDEX(SRC_Woningetalage!$A$1:$ZZ$501,$A423,V$3)))</f>
        <v/>
      </c>
      <c r="W423" s="124" t="str">
        <f>IF($B423="","",IF(W$3=0,"n.b.",INDEX(SRC_Woningetalage!$A$1:$ZZ$501,$A423,W$3)))</f>
        <v/>
      </c>
      <c r="X423" s="124" t="str">
        <f>IF($B423="","",IF(X$3=0,"n.b.",INDEX(SRC_Woningetalage!$A$1:$ZZ$501,$A423,X$3)))</f>
        <v/>
      </c>
      <c r="Y423" s="124" t="str">
        <f>IF($B423="","",IF(Y$3=0,"n.b.",INDEX(SRC_Woningetalage!$A$1:$ZZ$501,$A423,Y$3)))</f>
        <v/>
      </c>
      <c r="Z423" s="124" t="str">
        <f>IF($B423="","",IF(Z$3=0,"n.b.",INDEX(SRC_Woningetalage!$A$1:$ZZ$501,$A423,Z$3)))</f>
        <v/>
      </c>
      <c r="AA423" s="124" t="str">
        <f>IF($B423="","",IF(AA$3=0,"n.b.",INDEX(SRC_Woningetalage!$A$1:$ZZ$501,$A423,AA$3)))</f>
        <v/>
      </c>
      <c r="AB423" s="124" t="str">
        <f>IF($B423="","",IF(AB$3=0,"n.b.",INDEX(SRC_Woningetalage!$A$1:$ZZ$501,$A423,AB$3)))</f>
        <v/>
      </c>
      <c r="AC423" s="124" t="str">
        <f>IF($B423="","",IF(AC$3=0,"n.b.",INDEX(SRC_Woningetalage!$A$1:$ZZ$501,$A423,AC$3)))</f>
        <v/>
      </c>
      <c r="AD423" s="124" t="str">
        <f>IF($B423="","",IF(AD$3=0,"n.b.",INDEX(SRC_Woningetalage!$A$1:$ZZ$501,$A423,AD$3)))</f>
        <v/>
      </c>
      <c r="AE423" s="124" t="str">
        <f>IF($B423="","",IF(AE$3=0,"n.b.",INDEX(SRC_Woningetalage!$A$1:$ZZ$501,$A423,AE$3)))</f>
        <v/>
      </c>
      <c r="AF423" s="124" t="str">
        <f>IF($B423="","",IF(AF$3=0,"n.b.",INDEX(SRC_Woningetalage!$A$1:$ZZ$501,$A423,AF$3)))</f>
        <v/>
      </c>
      <c r="AG423" s="124" t="str">
        <f>IF($B423="","",IF(AG$3=0,"n.b.",INDEX(SRC_Woningetalage!$A$1:$ZZ$501,$A423,AG$3)))</f>
        <v/>
      </c>
      <c r="AH423" s="124" t="str">
        <f>IF($B423="","",IF(AH$3=0,"n.b.",INDEX(SRC_Woningetalage!$A$1:$ZZ$501,$A423,AH$3)))</f>
        <v/>
      </c>
      <c r="AI423" s="124" t="str">
        <f>IF($B423="","",IF(AI$3=0,"n.b.",INDEX(SRC_Woningetalage!$A$1:$ZZ$501,$A423,AI$3)))</f>
        <v/>
      </c>
      <c r="AJ423" s="124" t="str">
        <f>IF($B423="","",IF(AJ$3=0,"n.b.",INDEX(SRC_Woningetalage!$A$1:$ZZ$501,$A423,AJ$3)))</f>
        <v/>
      </c>
      <c r="AK423" s="124" t="str">
        <f>IF($B423="","",IF(AK$3=0,"n.b.",INDEX(SRC_Woningetalage!$A$1:$ZZ$501,$A423,AK$3)))</f>
        <v/>
      </c>
      <c r="AL423" s="124" t="str">
        <f>IF($B423="","",IF(AL$3=0,"n.b.",INDEX(SRC_Woningetalage!$A$1:$ZZ$501,$A423,AL$3)))</f>
        <v/>
      </c>
      <c r="AM423" s="124" t="str">
        <f>IF($B423="","",IF(AM$3=0,"n.b.",INDEX(SRC_Woningetalage!$A$1:$ZZ$501,$A423,AM$3)))</f>
        <v/>
      </c>
      <c r="AN423" s="124" t="str">
        <f>IF($B423="","",IF(AN$3=0,"n.b.",INDEX(SRC_Woningetalage!$A$1:$ZZ$501,$A423,AN$3)))</f>
        <v/>
      </c>
      <c r="AO423" s="124" t="str">
        <f>IF($B423="","",IF(AO$3=0,"n.b.",INDEX(SRC_Woningetalage!$A$1:$ZZ$501,$A423,AO$3)))</f>
        <v/>
      </c>
      <c r="AP423" s="124" t="str">
        <f>IF($B423="","",IF(AP$3=0,"n.b.",INDEX(SRC_Woningetalage!$A$1:$ZZ$501,$A423,AP$3)))</f>
        <v/>
      </c>
      <c r="AQ423" s="124" t="str">
        <f>IF($B423="","",IF(AQ$3=0,"n.b.",INDEX(SRC_Woningetalage!$A$1:$ZZ$501,$A423,AQ$3)))</f>
        <v/>
      </c>
      <c r="AR423" s="124" t="str">
        <f>IF($B423="","",IF(AR$3=0,"n.b.",INDEX(SRC_Woningetalage!$A$1:$ZZ$501,$A423,AR$3)))</f>
        <v/>
      </c>
      <c r="AS423" s="124" t="str">
        <f>IF($B423="","",IF(AS$3=0,"n.b.",INDEX(SRC_Woningetalage!$A$1:$ZZ$501,$A423,AS$3)))</f>
        <v/>
      </c>
      <c r="AT423" s="124" t="str">
        <f>IF($B423="","",IF(AT$3=0,"n.b.",INDEX(SRC_Woningetalage!$A$1:$ZZ$501,$A423,AT$3)))</f>
        <v/>
      </c>
      <c r="AU423" s="124" t="str">
        <f>IF($B423="","",IF(AU$3=0,"n.b.",INDEX(SRC_Woningetalage!$A$1:$ZZ$501,$A423,AU$3)))</f>
        <v/>
      </c>
      <c r="AV423" s="124" t="str">
        <f>IF($B423="","",IF(AV$3=0,"n.b.",INDEX(SRC_Woningetalage!$A$1:$ZZ$501,$A423,AV$3)))</f>
        <v/>
      </c>
      <c r="AW423" s="124" t="str">
        <f>IF($B423="","",IF(AW$3=0,"n.b.",INDEX(SRC_Woningetalage!$A$1:$ZZ$501,$A423,AW$3)))</f>
        <v/>
      </c>
      <c r="AX423" s="124" t="str">
        <f>IF($B423="","",IF(AX$3=0,"n.b.",INDEX(SRC_Woningetalage!$A$1:$ZZ$501,$A423,AX$3)))</f>
        <v/>
      </c>
      <c r="AY423" s="124" t="str">
        <f>IF($B423="","",IF(AY$3=0,"n.b.",INDEX(SRC_Woningetalage!$A$1:$ZZ$501,$A423,AY$3)))</f>
        <v/>
      </c>
      <c r="AZ423" s="124" t="str">
        <f>IF($B423="","",IF(AZ$3=0,"n.b.",INDEX(SRC_Woningetalage!$A$1:$ZZ$501,$A423,AZ$3)))</f>
        <v/>
      </c>
      <c r="BA423" s="124" t="str">
        <f>IF($B423="","",IF(BA$3=0,"n.b.",INDEX(SRC_Woningetalage!$A$1:$ZZ$501,$A423,BA$3)))</f>
        <v/>
      </c>
      <c r="BB423" s="124" t="str">
        <f>IF($B423="","",IF(BB$3=0,"n.b.",INDEX(SRC_Woningetalage!$A$1:$ZZ$501,$A423,BB$3)))</f>
        <v/>
      </c>
      <c r="BC423" s="124" t="str">
        <f>IF($B423="","",IFERROR(_xlfn.NUMBERVALUE(E423&amp;"",",","."),"n.b."))</f>
        <v/>
      </c>
      <c r="BD423" s="124" t="str">
        <f>IF($B423="","",IFERROR(_xlfn.NUMBERVALUE(M423&amp;"",",","."),"n.b."))</f>
        <v/>
      </c>
      <c r="BE423" s="124" t="str">
        <f>IF($B423="","",IFERROR(AB423+AC423+AD423,"n.b."))</f>
        <v/>
      </c>
      <c r="BF423" s="124" t="str">
        <f>IF($B423="","",IFERROR(AE423+AF423+AG423,"n.b."))</f>
        <v/>
      </c>
      <c r="BG423" s="124" t="str">
        <f>IF($B423="","",IFERROR(AH423+AI423+AJ423,"n.b."))</f>
        <v/>
      </c>
      <c r="BH423" s="124" t="str">
        <f>IF($B423="","",IFERROR(AK423+AL423+AM423,"n.b."))</f>
        <v/>
      </c>
      <c r="BI423" s="124" t="str">
        <f>IF($B423="","",IFERROR(SUMIF($AB$5:$AM$5,"&lt;="&amp;P_PeilMaand,AB423:AM423),"n.b."))</f>
        <v/>
      </c>
      <c r="BJ423" s="124" t="str">
        <f>IF($B423="","",IFERROR(SUM(AB423:AM423)-BI423,"n.b."))</f>
        <v/>
      </c>
      <c r="BK423" s="124" t="str">
        <f>IF($B423="","",IFERROR(IF(ABS(Q423-(T423+SUM(AB423:AM423)+AS423+AU423))&gt;P_Tol,1,0),1))</f>
        <v/>
      </c>
      <c r="BL423" s="124" t="str">
        <f>IF($B423="","",IFERROR(IF(ABS(AA423-(Q423-Z423))&gt;P_Tol,1,0),1))</f>
        <v/>
      </c>
      <c r="BM423" s="124" t="str">
        <f>IF($B423="","",IFERROR(IF(ABS(Z423-(T423+W423))&gt;P_Tol,1,0),1))</f>
        <v/>
      </c>
      <c r="BN423" s="124" t="str">
        <f>IF($B423="","",IFERROR(IF(ABS(W423-BI423)&gt;P_Tol,1,0),1))</f>
        <v/>
      </c>
      <c r="BO423" s="124" t="str">
        <f>IF($B423="","",IFERROR(IF(OR(ABS(R423+S423-T423)&gt;P_Tol,ABS(U423+V423-W423)&gt;P_Tol,ABS(X423+Y423-Z423)&gt;P_Tol),1,0),1))</f>
        <v/>
      </c>
      <c r="BP423" s="124" t="str">
        <f>IF($B423="","",IFERROR(IF(OR(ABS(AR423-SUM(AB423:AM423))&gt;P_Tol,ABS(AS423-(AN423+AO423+AP423+AQ423))&gt;P_Tol),1,0),1))</f>
        <v/>
      </c>
      <c r="BQ423" s="124" t="str">
        <f>IF($B423="","",IFERROR(IF(ABS(AT423)+ABS(AV423)+ABS(AW423)+ABS(AX423)+ABS(AY423)+ABS(AZ423)+ABS(BA423)+ABS(BB423)&gt;0,1,0),1))</f>
        <v/>
      </c>
      <c r="BR423" s="124" t="str">
        <f>IF($B423="","",COUNTIF(STG_ZPMW03!$B$6:$B$505,B423))</f>
        <v/>
      </c>
      <c r="BS423" s="124" t="str">
        <f>IF($B423="","",COUNTIF($B$6:$B$505,B423))</f>
        <v/>
      </c>
      <c r="BT423" s="124" t="str">
        <f>IF($B423="","",IF(BR423=0,0,IF(INDEX(STG_ZPMW03!$I$6:$I$505,MATCH(B423,STG_ZPMW03!$B$6:$B$505,0))=J423&amp;"",0,1)))</f>
        <v/>
      </c>
      <c r="BU423" s="124" t="str">
        <f>IF($B423="","",IFERROR(IF(ABS(INDEX(Mapping!$D$5:$D$104,MATCH(B423,Mapping!$A$5:$A$104,0))-Q423)&gt;P_Tol,1,0),0))</f>
        <v/>
      </c>
      <c r="BV423" s="124" t="str">
        <f>IF($B423="","",IFERROR(IF(AND(INDEX(Mapping!$G$5:$G$104,MATCH(B423,Mapping!$A$5:$A$104,0))="Nee",ABS(Q423)+ABS(Z423)+ABS(AR423)&gt;0),1,0),0))</f>
        <v/>
      </c>
      <c r="BW423" s="124" t="str">
        <f>IF($B423="","",IF(COUNTIF(Mapping!$A$5:$A$104,B423)&gt;0,1,0))</f>
        <v/>
      </c>
      <c r="BX423" s="124" t="str">
        <f>IF($B423="","",IF(BR423=0,COUNTIF($BR$6:BR423,0),""))</f>
        <v/>
      </c>
    </row>
    <row r="424">
      <c r="A424" s="15" t="n">
        <v>420</v>
      </c>
      <c r="B424" t="str">
        <f>IF(B$3=0,"",IF(INDEX(SRC_Woningetalage!$A$1:$ZZ$501,$A424,B$3)&amp;""="","",INDEX(SRC_Woningetalage!$A$1:$ZZ$501,$A424,B$3)&amp;""))</f>
        <v/>
      </c>
      <c r="C424" t="str">
        <f>IF($B424="","",IF(C$3=0,"n.b.",INDEX(SRC_Woningetalage!$A$1:$ZZ$501,$A424,C$3)))</f>
        <v/>
      </c>
      <c r="D424" t="str">
        <f>IF($B424="","",IF(D$3=0,"n.b.",INDEX(SRC_Woningetalage!$A$1:$ZZ$501,$A424,D$3)))</f>
        <v/>
      </c>
      <c r="E424" t="str">
        <f>IF($B424="","",IF(E$3=0,"n.b.",INDEX(SRC_Woningetalage!$A$1:$ZZ$501,$A424,E$3)))</f>
        <v/>
      </c>
      <c r="F424" t="str">
        <f>IF($B424="","",IF(F$3=0,"n.b.",INDEX(SRC_Woningetalage!$A$1:$ZZ$501,$A424,F$3)))</f>
        <v/>
      </c>
      <c r="G424" t="str">
        <f>IF($B424="","",IF(G$3=0,"n.b.",INDEX(SRC_Woningetalage!$A$1:$ZZ$501,$A424,G$3)))</f>
        <v/>
      </c>
      <c r="H424" t="str">
        <f>IF($B424="","",IF(H$3=0,"n.b.",INDEX(SRC_Woningetalage!$A$1:$ZZ$501,$A424,H$3)))</f>
        <v/>
      </c>
      <c r="I424" t="str">
        <f>IF($B424="","",IF(I$3=0,"n.b.",INDEX(SRC_Woningetalage!$A$1:$ZZ$501,$A424,I$3)))</f>
        <v/>
      </c>
      <c r="J424" t="str">
        <f>IF($B424="","",IF(J$3=0,"n.b.",INDEX(SRC_Woningetalage!$A$1:$ZZ$501,$A424,J$3)))</f>
        <v/>
      </c>
      <c r="K424" t="str">
        <f>IF($B424="","",IF(K$3=0,"n.b.",INDEX(SRC_Woningetalage!$A$1:$ZZ$501,$A424,K$3)))</f>
        <v/>
      </c>
      <c r="L424" t="str">
        <f>IF($B424="","",IF(L$3=0,"n.b.",INDEX(SRC_Woningetalage!$A$1:$ZZ$501,$A424,L$3)))</f>
        <v/>
      </c>
      <c r="M424" t="str">
        <f>IF($B424="","",IF(M$3=0,"n.b.",INDEX(SRC_Woningetalage!$A$1:$ZZ$501,$A424,M$3)))</f>
        <v/>
      </c>
      <c r="N424" t="str">
        <f>IF($B424="","",IF(N$3=0,"n.b.",INDEX(SRC_Woningetalage!$A$1:$ZZ$501,$A424,N$3)))</f>
        <v/>
      </c>
      <c r="O424" t="str">
        <f>IF($B424="","",IF(O$3=0,"n.b.",INDEX(SRC_Woningetalage!$A$1:$ZZ$501,$A424,O$3)))</f>
        <v/>
      </c>
      <c r="P424" t="str">
        <f>IF($B424="","",IF(P$3=0,"n.b.",INDEX(SRC_Woningetalage!$A$1:$ZZ$501,$A424,P$3)))</f>
        <v/>
      </c>
      <c r="Q424" s="124" t="str">
        <f>IF($B424="","",IF(Q$3=0,"n.b.",INDEX(SRC_Woningetalage!$A$1:$ZZ$501,$A424,Q$3)))</f>
        <v/>
      </c>
      <c r="R424" s="124" t="str">
        <f>IF($B424="","",IF(R$3=0,"n.b.",INDEX(SRC_Woningetalage!$A$1:$ZZ$501,$A424,R$3)))</f>
        <v/>
      </c>
      <c r="S424" s="124" t="str">
        <f>IF($B424="","",IF(S$3=0,"n.b.",INDEX(SRC_Woningetalage!$A$1:$ZZ$501,$A424,S$3)))</f>
        <v/>
      </c>
      <c r="T424" s="124" t="str">
        <f>IF($B424="","",IF(T$3=0,"n.b.",INDEX(SRC_Woningetalage!$A$1:$ZZ$501,$A424,T$3)))</f>
        <v/>
      </c>
      <c r="U424" s="124" t="str">
        <f>IF($B424="","",IF(U$3=0,"n.b.",INDEX(SRC_Woningetalage!$A$1:$ZZ$501,$A424,U$3)))</f>
        <v/>
      </c>
      <c r="V424" s="124" t="str">
        <f>IF($B424="","",IF(V$3=0,"n.b.",INDEX(SRC_Woningetalage!$A$1:$ZZ$501,$A424,V$3)))</f>
        <v/>
      </c>
      <c r="W424" s="124" t="str">
        <f>IF($B424="","",IF(W$3=0,"n.b.",INDEX(SRC_Woningetalage!$A$1:$ZZ$501,$A424,W$3)))</f>
        <v/>
      </c>
      <c r="X424" s="124" t="str">
        <f>IF($B424="","",IF(X$3=0,"n.b.",INDEX(SRC_Woningetalage!$A$1:$ZZ$501,$A424,X$3)))</f>
        <v/>
      </c>
      <c r="Y424" s="124" t="str">
        <f>IF($B424="","",IF(Y$3=0,"n.b.",INDEX(SRC_Woningetalage!$A$1:$ZZ$501,$A424,Y$3)))</f>
        <v/>
      </c>
      <c r="Z424" s="124" t="str">
        <f>IF($B424="","",IF(Z$3=0,"n.b.",INDEX(SRC_Woningetalage!$A$1:$ZZ$501,$A424,Z$3)))</f>
        <v/>
      </c>
      <c r="AA424" s="124" t="str">
        <f>IF($B424="","",IF(AA$3=0,"n.b.",INDEX(SRC_Woningetalage!$A$1:$ZZ$501,$A424,AA$3)))</f>
        <v/>
      </c>
      <c r="AB424" s="124" t="str">
        <f>IF($B424="","",IF(AB$3=0,"n.b.",INDEX(SRC_Woningetalage!$A$1:$ZZ$501,$A424,AB$3)))</f>
        <v/>
      </c>
      <c r="AC424" s="124" t="str">
        <f>IF($B424="","",IF(AC$3=0,"n.b.",INDEX(SRC_Woningetalage!$A$1:$ZZ$501,$A424,AC$3)))</f>
        <v/>
      </c>
      <c r="AD424" s="124" t="str">
        <f>IF($B424="","",IF(AD$3=0,"n.b.",INDEX(SRC_Woningetalage!$A$1:$ZZ$501,$A424,AD$3)))</f>
        <v/>
      </c>
      <c r="AE424" s="124" t="str">
        <f>IF($B424="","",IF(AE$3=0,"n.b.",INDEX(SRC_Woningetalage!$A$1:$ZZ$501,$A424,AE$3)))</f>
        <v/>
      </c>
      <c r="AF424" s="124" t="str">
        <f>IF($B424="","",IF(AF$3=0,"n.b.",INDEX(SRC_Woningetalage!$A$1:$ZZ$501,$A424,AF$3)))</f>
        <v/>
      </c>
      <c r="AG424" s="124" t="str">
        <f>IF($B424="","",IF(AG$3=0,"n.b.",INDEX(SRC_Woningetalage!$A$1:$ZZ$501,$A424,AG$3)))</f>
        <v/>
      </c>
      <c r="AH424" s="124" t="str">
        <f>IF($B424="","",IF(AH$3=0,"n.b.",INDEX(SRC_Woningetalage!$A$1:$ZZ$501,$A424,AH$3)))</f>
        <v/>
      </c>
      <c r="AI424" s="124" t="str">
        <f>IF($B424="","",IF(AI$3=0,"n.b.",INDEX(SRC_Woningetalage!$A$1:$ZZ$501,$A424,AI$3)))</f>
        <v/>
      </c>
      <c r="AJ424" s="124" t="str">
        <f>IF($B424="","",IF(AJ$3=0,"n.b.",INDEX(SRC_Woningetalage!$A$1:$ZZ$501,$A424,AJ$3)))</f>
        <v/>
      </c>
      <c r="AK424" s="124" t="str">
        <f>IF($B424="","",IF(AK$3=0,"n.b.",INDEX(SRC_Woningetalage!$A$1:$ZZ$501,$A424,AK$3)))</f>
        <v/>
      </c>
      <c r="AL424" s="124" t="str">
        <f>IF($B424="","",IF(AL$3=0,"n.b.",INDEX(SRC_Woningetalage!$A$1:$ZZ$501,$A424,AL$3)))</f>
        <v/>
      </c>
      <c r="AM424" s="124" t="str">
        <f>IF($B424="","",IF(AM$3=0,"n.b.",INDEX(SRC_Woningetalage!$A$1:$ZZ$501,$A424,AM$3)))</f>
        <v/>
      </c>
      <c r="AN424" s="124" t="str">
        <f>IF($B424="","",IF(AN$3=0,"n.b.",INDEX(SRC_Woningetalage!$A$1:$ZZ$501,$A424,AN$3)))</f>
        <v/>
      </c>
      <c r="AO424" s="124" t="str">
        <f>IF($B424="","",IF(AO$3=0,"n.b.",INDEX(SRC_Woningetalage!$A$1:$ZZ$501,$A424,AO$3)))</f>
        <v/>
      </c>
      <c r="AP424" s="124" t="str">
        <f>IF($B424="","",IF(AP$3=0,"n.b.",INDEX(SRC_Woningetalage!$A$1:$ZZ$501,$A424,AP$3)))</f>
        <v/>
      </c>
      <c r="AQ424" s="124" t="str">
        <f>IF($B424="","",IF(AQ$3=0,"n.b.",INDEX(SRC_Woningetalage!$A$1:$ZZ$501,$A424,AQ$3)))</f>
        <v/>
      </c>
      <c r="AR424" s="124" t="str">
        <f>IF($B424="","",IF(AR$3=0,"n.b.",INDEX(SRC_Woningetalage!$A$1:$ZZ$501,$A424,AR$3)))</f>
        <v/>
      </c>
      <c r="AS424" s="124" t="str">
        <f>IF($B424="","",IF(AS$3=0,"n.b.",INDEX(SRC_Woningetalage!$A$1:$ZZ$501,$A424,AS$3)))</f>
        <v/>
      </c>
      <c r="AT424" s="124" t="str">
        <f>IF($B424="","",IF(AT$3=0,"n.b.",INDEX(SRC_Woningetalage!$A$1:$ZZ$501,$A424,AT$3)))</f>
        <v/>
      </c>
      <c r="AU424" s="124" t="str">
        <f>IF($B424="","",IF(AU$3=0,"n.b.",INDEX(SRC_Woningetalage!$A$1:$ZZ$501,$A424,AU$3)))</f>
        <v/>
      </c>
      <c r="AV424" s="124" t="str">
        <f>IF($B424="","",IF(AV$3=0,"n.b.",INDEX(SRC_Woningetalage!$A$1:$ZZ$501,$A424,AV$3)))</f>
        <v/>
      </c>
      <c r="AW424" s="124" t="str">
        <f>IF($B424="","",IF(AW$3=0,"n.b.",INDEX(SRC_Woningetalage!$A$1:$ZZ$501,$A424,AW$3)))</f>
        <v/>
      </c>
      <c r="AX424" s="124" t="str">
        <f>IF($B424="","",IF(AX$3=0,"n.b.",INDEX(SRC_Woningetalage!$A$1:$ZZ$501,$A424,AX$3)))</f>
        <v/>
      </c>
      <c r="AY424" s="124" t="str">
        <f>IF($B424="","",IF(AY$3=0,"n.b.",INDEX(SRC_Woningetalage!$A$1:$ZZ$501,$A424,AY$3)))</f>
        <v/>
      </c>
      <c r="AZ424" s="124" t="str">
        <f>IF($B424="","",IF(AZ$3=0,"n.b.",INDEX(SRC_Woningetalage!$A$1:$ZZ$501,$A424,AZ$3)))</f>
        <v/>
      </c>
      <c r="BA424" s="124" t="str">
        <f>IF($B424="","",IF(BA$3=0,"n.b.",INDEX(SRC_Woningetalage!$A$1:$ZZ$501,$A424,BA$3)))</f>
        <v/>
      </c>
      <c r="BB424" s="124" t="str">
        <f>IF($B424="","",IF(BB$3=0,"n.b.",INDEX(SRC_Woningetalage!$A$1:$ZZ$501,$A424,BB$3)))</f>
        <v/>
      </c>
      <c r="BC424" s="124" t="str">
        <f>IF($B424="","",IFERROR(_xlfn.NUMBERVALUE(E424&amp;"",",","."),"n.b."))</f>
        <v/>
      </c>
      <c r="BD424" s="124" t="str">
        <f>IF($B424="","",IFERROR(_xlfn.NUMBERVALUE(M424&amp;"",",","."),"n.b."))</f>
        <v/>
      </c>
      <c r="BE424" s="124" t="str">
        <f>IF($B424="","",IFERROR(AB424+AC424+AD424,"n.b."))</f>
        <v/>
      </c>
      <c r="BF424" s="124" t="str">
        <f>IF($B424="","",IFERROR(AE424+AF424+AG424,"n.b."))</f>
        <v/>
      </c>
      <c r="BG424" s="124" t="str">
        <f>IF($B424="","",IFERROR(AH424+AI424+AJ424,"n.b."))</f>
        <v/>
      </c>
      <c r="BH424" s="124" t="str">
        <f>IF($B424="","",IFERROR(AK424+AL424+AM424,"n.b."))</f>
        <v/>
      </c>
      <c r="BI424" s="124" t="str">
        <f>IF($B424="","",IFERROR(SUMIF($AB$5:$AM$5,"&lt;="&amp;P_PeilMaand,AB424:AM424),"n.b."))</f>
        <v/>
      </c>
      <c r="BJ424" s="124" t="str">
        <f>IF($B424="","",IFERROR(SUM(AB424:AM424)-BI424,"n.b."))</f>
        <v/>
      </c>
      <c r="BK424" s="124" t="str">
        <f>IF($B424="","",IFERROR(IF(ABS(Q424-(T424+SUM(AB424:AM424)+AS424+AU424))&gt;P_Tol,1,0),1))</f>
        <v/>
      </c>
      <c r="BL424" s="124" t="str">
        <f>IF($B424="","",IFERROR(IF(ABS(AA424-(Q424-Z424))&gt;P_Tol,1,0),1))</f>
        <v/>
      </c>
      <c r="BM424" s="124" t="str">
        <f>IF($B424="","",IFERROR(IF(ABS(Z424-(T424+W424))&gt;P_Tol,1,0),1))</f>
        <v/>
      </c>
      <c r="BN424" s="124" t="str">
        <f>IF($B424="","",IFERROR(IF(ABS(W424-BI424)&gt;P_Tol,1,0),1))</f>
        <v/>
      </c>
      <c r="BO424" s="124" t="str">
        <f>IF($B424="","",IFERROR(IF(OR(ABS(R424+S424-T424)&gt;P_Tol,ABS(U424+V424-W424)&gt;P_Tol,ABS(X424+Y424-Z424)&gt;P_Tol),1,0),1))</f>
        <v/>
      </c>
      <c r="BP424" s="124" t="str">
        <f>IF($B424="","",IFERROR(IF(OR(ABS(AR424-SUM(AB424:AM424))&gt;P_Tol,ABS(AS424-(AN424+AO424+AP424+AQ424))&gt;P_Tol),1,0),1))</f>
        <v/>
      </c>
      <c r="BQ424" s="124" t="str">
        <f>IF($B424="","",IFERROR(IF(ABS(AT424)+ABS(AV424)+ABS(AW424)+ABS(AX424)+ABS(AY424)+ABS(AZ424)+ABS(BA424)+ABS(BB424)&gt;0,1,0),1))</f>
        <v/>
      </c>
      <c r="BR424" s="124" t="str">
        <f>IF($B424="","",COUNTIF(STG_ZPMW03!$B$6:$B$505,B424))</f>
        <v/>
      </c>
      <c r="BS424" s="124" t="str">
        <f>IF($B424="","",COUNTIF($B$6:$B$505,B424))</f>
        <v/>
      </c>
      <c r="BT424" s="124" t="str">
        <f>IF($B424="","",IF(BR424=0,0,IF(INDEX(STG_ZPMW03!$I$6:$I$505,MATCH(B424,STG_ZPMW03!$B$6:$B$505,0))=J424&amp;"",0,1)))</f>
        <v/>
      </c>
      <c r="BU424" s="124" t="str">
        <f>IF($B424="","",IFERROR(IF(ABS(INDEX(Mapping!$D$5:$D$104,MATCH(B424,Mapping!$A$5:$A$104,0))-Q424)&gt;P_Tol,1,0),0))</f>
        <v/>
      </c>
      <c r="BV424" s="124" t="str">
        <f>IF($B424="","",IFERROR(IF(AND(INDEX(Mapping!$G$5:$G$104,MATCH(B424,Mapping!$A$5:$A$104,0))="Nee",ABS(Q424)+ABS(Z424)+ABS(AR424)&gt;0),1,0),0))</f>
        <v/>
      </c>
      <c r="BW424" s="124" t="str">
        <f>IF($B424="","",IF(COUNTIF(Mapping!$A$5:$A$104,B424)&gt;0,1,0))</f>
        <v/>
      </c>
      <c r="BX424" s="124" t="str">
        <f>IF($B424="","",IF(BR424=0,COUNTIF($BR$6:BR424,0),""))</f>
        <v/>
      </c>
    </row>
    <row r="425">
      <c r="A425" s="15" t="n">
        <v>421</v>
      </c>
      <c r="B425" t="str">
        <f>IF(B$3=0,"",IF(INDEX(SRC_Woningetalage!$A$1:$ZZ$501,$A425,B$3)&amp;""="","",INDEX(SRC_Woningetalage!$A$1:$ZZ$501,$A425,B$3)&amp;""))</f>
        <v/>
      </c>
      <c r="C425" t="str">
        <f>IF($B425="","",IF(C$3=0,"n.b.",INDEX(SRC_Woningetalage!$A$1:$ZZ$501,$A425,C$3)))</f>
        <v/>
      </c>
      <c r="D425" t="str">
        <f>IF($B425="","",IF(D$3=0,"n.b.",INDEX(SRC_Woningetalage!$A$1:$ZZ$501,$A425,D$3)))</f>
        <v/>
      </c>
      <c r="E425" t="str">
        <f>IF($B425="","",IF(E$3=0,"n.b.",INDEX(SRC_Woningetalage!$A$1:$ZZ$501,$A425,E$3)))</f>
        <v/>
      </c>
      <c r="F425" t="str">
        <f>IF($B425="","",IF(F$3=0,"n.b.",INDEX(SRC_Woningetalage!$A$1:$ZZ$501,$A425,F$3)))</f>
        <v/>
      </c>
      <c r="G425" t="str">
        <f>IF($B425="","",IF(G$3=0,"n.b.",INDEX(SRC_Woningetalage!$A$1:$ZZ$501,$A425,G$3)))</f>
        <v/>
      </c>
      <c r="H425" t="str">
        <f>IF($B425="","",IF(H$3=0,"n.b.",INDEX(SRC_Woningetalage!$A$1:$ZZ$501,$A425,H$3)))</f>
        <v/>
      </c>
      <c r="I425" t="str">
        <f>IF($B425="","",IF(I$3=0,"n.b.",INDEX(SRC_Woningetalage!$A$1:$ZZ$501,$A425,I$3)))</f>
        <v/>
      </c>
      <c r="J425" t="str">
        <f>IF($B425="","",IF(J$3=0,"n.b.",INDEX(SRC_Woningetalage!$A$1:$ZZ$501,$A425,J$3)))</f>
        <v/>
      </c>
      <c r="K425" t="str">
        <f>IF($B425="","",IF(K$3=0,"n.b.",INDEX(SRC_Woningetalage!$A$1:$ZZ$501,$A425,K$3)))</f>
        <v/>
      </c>
      <c r="L425" t="str">
        <f>IF($B425="","",IF(L$3=0,"n.b.",INDEX(SRC_Woningetalage!$A$1:$ZZ$501,$A425,L$3)))</f>
        <v/>
      </c>
      <c r="M425" t="str">
        <f>IF($B425="","",IF(M$3=0,"n.b.",INDEX(SRC_Woningetalage!$A$1:$ZZ$501,$A425,M$3)))</f>
        <v/>
      </c>
      <c r="N425" t="str">
        <f>IF($B425="","",IF(N$3=0,"n.b.",INDEX(SRC_Woningetalage!$A$1:$ZZ$501,$A425,N$3)))</f>
        <v/>
      </c>
      <c r="O425" t="str">
        <f>IF($B425="","",IF(O$3=0,"n.b.",INDEX(SRC_Woningetalage!$A$1:$ZZ$501,$A425,O$3)))</f>
        <v/>
      </c>
      <c r="P425" t="str">
        <f>IF($B425="","",IF(P$3=0,"n.b.",INDEX(SRC_Woningetalage!$A$1:$ZZ$501,$A425,P$3)))</f>
        <v/>
      </c>
      <c r="Q425" s="124" t="str">
        <f>IF($B425="","",IF(Q$3=0,"n.b.",INDEX(SRC_Woningetalage!$A$1:$ZZ$501,$A425,Q$3)))</f>
        <v/>
      </c>
      <c r="R425" s="124" t="str">
        <f>IF($B425="","",IF(R$3=0,"n.b.",INDEX(SRC_Woningetalage!$A$1:$ZZ$501,$A425,R$3)))</f>
        <v/>
      </c>
      <c r="S425" s="124" t="str">
        <f>IF($B425="","",IF(S$3=0,"n.b.",INDEX(SRC_Woningetalage!$A$1:$ZZ$501,$A425,S$3)))</f>
        <v/>
      </c>
      <c r="T425" s="124" t="str">
        <f>IF($B425="","",IF(T$3=0,"n.b.",INDEX(SRC_Woningetalage!$A$1:$ZZ$501,$A425,T$3)))</f>
        <v/>
      </c>
      <c r="U425" s="124" t="str">
        <f>IF($B425="","",IF(U$3=0,"n.b.",INDEX(SRC_Woningetalage!$A$1:$ZZ$501,$A425,U$3)))</f>
        <v/>
      </c>
      <c r="V425" s="124" t="str">
        <f>IF($B425="","",IF(V$3=0,"n.b.",INDEX(SRC_Woningetalage!$A$1:$ZZ$501,$A425,V$3)))</f>
        <v/>
      </c>
      <c r="W425" s="124" t="str">
        <f>IF($B425="","",IF(W$3=0,"n.b.",INDEX(SRC_Woningetalage!$A$1:$ZZ$501,$A425,W$3)))</f>
        <v/>
      </c>
      <c r="X425" s="124" t="str">
        <f>IF($B425="","",IF(X$3=0,"n.b.",INDEX(SRC_Woningetalage!$A$1:$ZZ$501,$A425,X$3)))</f>
        <v/>
      </c>
      <c r="Y425" s="124" t="str">
        <f>IF($B425="","",IF(Y$3=0,"n.b.",INDEX(SRC_Woningetalage!$A$1:$ZZ$501,$A425,Y$3)))</f>
        <v/>
      </c>
      <c r="Z425" s="124" t="str">
        <f>IF($B425="","",IF(Z$3=0,"n.b.",INDEX(SRC_Woningetalage!$A$1:$ZZ$501,$A425,Z$3)))</f>
        <v/>
      </c>
      <c r="AA425" s="124" t="str">
        <f>IF($B425="","",IF(AA$3=0,"n.b.",INDEX(SRC_Woningetalage!$A$1:$ZZ$501,$A425,AA$3)))</f>
        <v/>
      </c>
      <c r="AB425" s="124" t="str">
        <f>IF($B425="","",IF(AB$3=0,"n.b.",INDEX(SRC_Woningetalage!$A$1:$ZZ$501,$A425,AB$3)))</f>
        <v/>
      </c>
      <c r="AC425" s="124" t="str">
        <f>IF($B425="","",IF(AC$3=0,"n.b.",INDEX(SRC_Woningetalage!$A$1:$ZZ$501,$A425,AC$3)))</f>
        <v/>
      </c>
      <c r="AD425" s="124" t="str">
        <f>IF($B425="","",IF(AD$3=0,"n.b.",INDEX(SRC_Woningetalage!$A$1:$ZZ$501,$A425,AD$3)))</f>
        <v/>
      </c>
      <c r="AE425" s="124" t="str">
        <f>IF($B425="","",IF(AE$3=0,"n.b.",INDEX(SRC_Woningetalage!$A$1:$ZZ$501,$A425,AE$3)))</f>
        <v/>
      </c>
      <c r="AF425" s="124" t="str">
        <f>IF($B425="","",IF(AF$3=0,"n.b.",INDEX(SRC_Woningetalage!$A$1:$ZZ$501,$A425,AF$3)))</f>
        <v/>
      </c>
      <c r="AG425" s="124" t="str">
        <f>IF($B425="","",IF(AG$3=0,"n.b.",INDEX(SRC_Woningetalage!$A$1:$ZZ$501,$A425,AG$3)))</f>
        <v/>
      </c>
      <c r="AH425" s="124" t="str">
        <f>IF($B425="","",IF(AH$3=0,"n.b.",INDEX(SRC_Woningetalage!$A$1:$ZZ$501,$A425,AH$3)))</f>
        <v/>
      </c>
      <c r="AI425" s="124" t="str">
        <f>IF($B425="","",IF(AI$3=0,"n.b.",INDEX(SRC_Woningetalage!$A$1:$ZZ$501,$A425,AI$3)))</f>
        <v/>
      </c>
      <c r="AJ425" s="124" t="str">
        <f>IF($B425="","",IF(AJ$3=0,"n.b.",INDEX(SRC_Woningetalage!$A$1:$ZZ$501,$A425,AJ$3)))</f>
        <v/>
      </c>
      <c r="AK425" s="124" t="str">
        <f>IF($B425="","",IF(AK$3=0,"n.b.",INDEX(SRC_Woningetalage!$A$1:$ZZ$501,$A425,AK$3)))</f>
        <v/>
      </c>
      <c r="AL425" s="124" t="str">
        <f>IF($B425="","",IF(AL$3=0,"n.b.",INDEX(SRC_Woningetalage!$A$1:$ZZ$501,$A425,AL$3)))</f>
        <v/>
      </c>
      <c r="AM425" s="124" t="str">
        <f>IF($B425="","",IF(AM$3=0,"n.b.",INDEX(SRC_Woningetalage!$A$1:$ZZ$501,$A425,AM$3)))</f>
        <v/>
      </c>
      <c r="AN425" s="124" t="str">
        <f>IF($B425="","",IF(AN$3=0,"n.b.",INDEX(SRC_Woningetalage!$A$1:$ZZ$501,$A425,AN$3)))</f>
        <v/>
      </c>
      <c r="AO425" s="124" t="str">
        <f>IF($B425="","",IF(AO$3=0,"n.b.",INDEX(SRC_Woningetalage!$A$1:$ZZ$501,$A425,AO$3)))</f>
        <v/>
      </c>
      <c r="AP425" s="124" t="str">
        <f>IF($B425="","",IF(AP$3=0,"n.b.",INDEX(SRC_Woningetalage!$A$1:$ZZ$501,$A425,AP$3)))</f>
        <v/>
      </c>
      <c r="AQ425" s="124" t="str">
        <f>IF($B425="","",IF(AQ$3=0,"n.b.",INDEX(SRC_Woningetalage!$A$1:$ZZ$501,$A425,AQ$3)))</f>
        <v/>
      </c>
      <c r="AR425" s="124" t="str">
        <f>IF($B425="","",IF(AR$3=0,"n.b.",INDEX(SRC_Woningetalage!$A$1:$ZZ$501,$A425,AR$3)))</f>
        <v/>
      </c>
      <c r="AS425" s="124" t="str">
        <f>IF($B425="","",IF(AS$3=0,"n.b.",INDEX(SRC_Woningetalage!$A$1:$ZZ$501,$A425,AS$3)))</f>
        <v/>
      </c>
      <c r="AT425" s="124" t="str">
        <f>IF($B425="","",IF(AT$3=0,"n.b.",INDEX(SRC_Woningetalage!$A$1:$ZZ$501,$A425,AT$3)))</f>
        <v/>
      </c>
      <c r="AU425" s="124" t="str">
        <f>IF($B425="","",IF(AU$3=0,"n.b.",INDEX(SRC_Woningetalage!$A$1:$ZZ$501,$A425,AU$3)))</f>
        <v/>
      </c>
      <c r="AV425" s="124" t="str">
        <f>IF($B425="","",IF(AV$3=0,"n.b.",INDEX(SRC_Woningetalage!$A$1:$ZZ$501,$A425,AV$3)))</f>
        <v/>
      </c>
      <c r="AW425" s="124" t="str">
        <f>IF($B425="","",IF(AW$3=0,"n.b.",INDEX(SRC_Woningetalage!$A$1:$ZZ$501,$A425,AW$3)))</f>
        <v/>
      </c>
      <c r="AX425" s="124" t="str">
        <f>IF($B425="","",IF(AX$3=0,"n.b.",INDEX(SRC_Woningetalage!$A$1:$ZZ$501,$A425,AX$3)))</f>
        <v/>
      </c>
      <c r="AY425" s="124" t="str">
        <f>IF($B425="","",IF(AY$3=0,"n.b.",INDEX(SRC_Woningetalage!$A$1:$ZZ$501,$A425,AY$3)))</f>
        <v/>
      </c>
      <c r="AZ425" s="124" t="str">
        <f>IF($B425="","",IF(AZ$3=0,"n.b.",INDEX(SRC_Woningetalage!$A$1:$ZZ$501,$A425,AZ$3)))</f>
        <v/>
      </c>
      <c r="BA425" s="124" t="str">
        <f>IF($B425="","",IF(BA$3=0,"n.b.",INDEX(SRC_Woningetalage!$A$1:$ZZ$501,$A425,BA$3)))</f>
        <v/>
      </c>
      <c r="BB425" s="124" t="str">
        <f>IF($B425="","",IF(BB$3=0,"n.b.",INDEX(SRC_Woningetalage!$A$1:$ZZ$501,$A425,BB$3)))</f>
        <v/>
      </c>
      <c r="BC425" s="124" t="str">
        <f>IF($B425="","",IFERROR(_xlfn.NUMBERVALUE(E425&amp;"",",","."),"n.b."))</f>
        <v/>
      </c>
      <c r="BD425" s="124" t="str">
        <f>IF($B425="","",IFERROR(_xlfn.NUMBERVALUE(M425&amp;"",",","."),"n.b."))</f>
        <v/>
      </c>
      <c r="BE425" s="124" t="str">
        <f>IF($B425="","",IFERROR(AB425+AC425+AD425,"n.b."))</f>
        <v/>
      </c>
      <c r="BF425" s="124" t="str">
        <f>IF($B425="","",IFERROR(AE425+AF425+AG425,"n.b."))</f>
        <v/>
      </c>
      <c r="BG425" s="124" t="str">
        <f>IF($B425="","",IFERROR(AH425+AI425+AJ425,"n.b."))</f>
        <v/>
      </c>
      <c r="BH425" s="124" t="str">
        <f>IF($B425="","",IFERROR(AK425+AL425+AM425,"n.b."))</f>
        <v/>
      </c>
      <c r="BI425" s="124" t="str">
        <f>IF($B425="","",IFERROR(SUMIF($AB$5:$AM$5,"&lt;="&amp;P_PeilMaand,AB425:AM425),"n.b."))</f>
        <v/>
      </c>
      <c r="BJ425" s="124" t="str">
        <f>IF($B425="","",IFERROR(SUM(AB425:AM425)-BI425,"n.b."))</f>
        <v/>
      </c>
      <c r="BK425" s="124" t="str">
        <f>IF($B425="","",IFERROR(IF(ABS(Q425-(T425+SUM(AB425:AM425)+AS425+AU425))&gt;P_Tol,1,0),1))</f>
        <v/>
      </c>
      <c r="BL425" s="124" t="str">
        <f>IF($B425="","",IFERROR(IF(ABS(AA425-(Q425-Z425))&gt;P_Tol,1,0),1))</f>
        <v/>
      </c>
      <c r="BM425" s="124" t="str">
        <f>IF($B425="","",IFERROR(IF(ABS(Z425-(T425+W425))&gt;P_Tol,1,0),1))</f>
        <v/>
      </c>
      <c r="BN425" s="124" t="str">
        <f>IF($B425="","",IFERROR(IF(ABS(W425-BI425)&gt;P_Tol,1,0),1))</f>
        <v/>
      </c>
      <c r="BO425" s="124" t="str">
        <f>IF($B425="","",IFERROR(IF(OR(ABS(R425+S425-T425)&gt;P_Tol,ABS(U425+V425-W425)&gt;P_Tol,ABS(X425+Y425-Z425)&gt;P_Tol),1,0),1))</f>
        <v/>
      </c>
      <c r="BP425" s="124" t="str">
        <f>IF($B425="","",IFERROR(IF(OR(ABS(AR425-SUM(AB425:AM425))&gt;P_Tol,ABS(AS425-(AN425+AO425+AP425+AQ425))&gt;P_Tol),1,0),1))</f>
        <v/>
      </c>
      <c r="BQ425" s="124" t="str">
        <f>IF($B425="","",IFERROR(IF(ABS(AT425)+ABS(AV425)+ABS(AW425)+ABS(AX425)+ABS(AY425)+ABS(AZ425)+ABS(BA425)+ABS(BB425)&gt;0,1,0),1))</f>
        <v/>
      </c>
      <c r="BR425" s="124" t="str">
        <f>IF($B425="","",COUNTIF(STG_ZPMW03!$B$6:$B$505,B425))</f>
        <v/>
      </c>
      <c r="BS425" s="124" t="str">
        <f>IF($B425="","",COUNTIF($B$6:$B$505,B425))</f>
        <v/>
      </c>
      <c r="BT425" s="124" t="str">
        <f>IF($B425="","",IF(BR425=0,0,IF(INDEX(STG_ZPMW03!$I$6:$I$505,MATCH(B425,STG_ZPMW03!$B$6:$B$505,0))=J425&amp;"",0,1)))</f>
        <v/>
      </c>
      <c r="BU425" s="124" t="str">
        <f>IF($B425="","",IFERROR(IF(ABS(INDEX(Mapping!$D$5:$D$104,MATCH(B425,Mapping!$A$5:$A$104,0))-Q425)&gt;P_Tol,1,0),0))</f>
        <v/>
      </c>
      <c r="BV425" s="124" t="str">
        <f>IF($B425="","",IFERROR(IF(AND(INDEX(Mapping!$G$5:$G$104,MATCH(B425,Mapping!$A$5:$A$104,0))="Nee",ABS(Q425)+ABS(Z425)+ABS(AR425)&gt;0),1,0),0))</f>
        <v/>
      </c>
      <c r="BW425" s="124" t="str">
        <f>IF($B425="","",IF(COUNTIF(Mapping!$A$5:$A$104,B425)&gt;0,1,0))</f>
        <v/>
      </c>
      <c r="BX425" s="124" t="str">
        <f>IF($B425="","",IF(BR425=0,COUNTIF($BR$6:BR425,0),""))</f>
        <v/>
      </c>
    </row>
    <row r="426">
      <c r="A426" s="15" t="n">
        <v>422</v>
      </c>
      <c r="B426" t="str">
        <f>IF(B$3=0,"",IF(INDEX(SRC_Woningetalage!$A$1:$ZZ$501,$A426,B$3)&amp;""="","",INDEX(SRC_Woningetalage!$A$1:$ZZ$501,$A426,B$3)&amp;""))</f>
        <v/>
      </c>
      <c r="C426" t="str">
        <f>IF($B426="","",IF(C$3=0,"n.b.",INDEX(SRC_Woningetalage!$A$1:$ZZ$501,$A426,C$3)))</f>
        <v/>
      </c>
      <c r="D426" t="str">
        <f>IF($B426="","",IF(D$3=0,"n.b.",INDEX(SRC_Woningetalage!$A$1:$ZZ$501,$A426,D$3)))</f>
        <v/>
      </c>
      <c r="E426" t="str">
        <f>IF($B426="","",IF(E$3=0,"n.b.",INDEX(SRC_Woningetalage!$A$1:$ZZ$501,$A426,E$3)))</f>
        <v/>
      </c>
      <c r="F426" t="str">
        <f>IF($B426="","",IF(F$3=0,"n.b.",INDEX(SRC_Woningetalage!$A$1:$ZZ$501,$A426,F$3)))</f>
        <v/>
      </c>
      <c r="G426" t="str">
        <f>IF($B426="","",IF(G$3=0,"n.b.",INDEX(SRC_Woningetalage!$A$1:$ZZ$501,$A426,G$3)))</f>
        <v/>
      </c>
      <c r="H426" t="str">
        <f>IF($B426="","",IF(H$3=0,"n.b.",INDEX(SRC_Woningetalage!$A$1:$ZZ$501,$A426,H$3)))</f>
        <v/>
      </c>
      <c r="I426" t="str">
        <f>IF($B426="","",IF(I$3=0,"n.b.",INDEX(SRC_Woningetalage!$A$1:$ZZ$501,$A426,I$3)))</f>
        <v/>
      </c>
      <c r="J426" t="str">
        <f>IF($B426="","",IF(J$3=0,"n.b.",INDEX(SRC_Woningetalage!$A$1:$ZZ$501,$A426,J$3)))</f>
        <v/>
      </c>
      <c r="K426" t="str">
        <f>IF($B426="","",IF(K$3=0,"n.b.",INDEX(SRC_Woningetalage!$A$1:$ZZ$501,$A426,K$3)))</f>
        <v/>
      </c>
      <c r="L426" t="str">
        <f>IF($B426="","",IF(L$3=0,"n.b.",INDEX(SRC_Woningetalage!$A$1:$ZZ$501,$A426,L$3)))</f>
        <v/>
      </c>
      <c r="M426" t="str">
        <f>IF($B426="","",IF(M$3=0,"n.b.",INDEX(SRC_Woningetalage!$A$1:$ZZ$501,$A426,M$3)))</f>
        <v/>
      </c>
      <c r="N426" t="str">
        <f>IF($B426="","",IF(N$3=0,"n.b.",INDEX(SRC_Woningetalage!$A$1:$ZZ$501,$A426,N$3)))</f>
        <v/>
      </c>
      <c r="O426" t="str">
        <f>IF($B426="","",IF(O$3=0,"n.b.",INDEX(SRC_Woningetalage!$A$1:$ZZ$501,$A426,O$3)))</f>
        <v/>
      </c>
      <c r="P426" t="str">
        <f>IF($B426="","",IF(P$3=0,"n.b.",INDEX(SRC_Woningetalage!$A$1:$ZZ$501,$A426,P$3)))</f>
        <v/>
      </c>
      <c r="Q426" s="124" t="str">
        <f>IF($B426="","",IF(Q$3=0,"n.b.",INDEX(SRC_Woningetalage!$A$1:$ZZ$501,$A426,Q$3)))</f>
        <v/>
      </c>
      <c r="R426" s="124" t="str">
        <f>IF($B426="","",IF(R$3=0,"n.b.",INDEX(SRC_Woningetalage!$A$1:$ZZ$501,$A426,R$3)))</f>
        <v/>
      </c>
      <c r="S426" s="124" t="str">
        <f>IF($B426="","",IF(S$3=0,"n.b.",INDEX(SRC_Woningetalage!$A$1:$ZZ$501,$A426,S$3)))</f>
        <v/>
      </c>
      <c r="T426" s="124" t="str">
        <f>IF($B426="","",IF(T$3=0,"n.b.",INDEX(SRC_Woningetalage!$A$1:$ZZ$501,$A426,T$3)))</f>
        <v/>
      </c>
      <c r="U426" s="124" t="str">
        <f>IF($B426="","",IF(U$3=0,"n.b.",INDEX(SRC_Woningetalage!$A$1:$ZZ$501,$A426,U$3)))</f>
        <v/>
      </c>
      <c r="V426" s="124" t="str">
        <f>IF($B426="","",IF(V$3=0,"n.b.",INDEX(SRC_Woningetalage!$A$1:$ZZ$501,$A426,V$3)))</f>
        <v/>
      </c>
      <c r="W426" s="124" t="str">
        <f>IF($B426="","",IF(W$3=0,"n.b.",INDEX(SRC_Woningetalage!$A$1:$ZZ$501,$A426,W$3)))</f>
        <v/>
      </c>
      <c r="X426" s="124" t="str">
        <f>IF($B426="","",IF(X$3=0,"n.b.",INDEX(SRC_Woningetalage!$A$1:$ZZ$501,$A426,X$3)))</f>
        <v/>
      </c>
      <c r="Y426" s="124" t="str">
        <f>IF($B426="","",IF(Y$3=0,"n.b.",INDEX(SRC_Woningetalage!$A$1:$ZZ$501,$A426,Y$3)))</f>
        <v/>
      </c>
      <c r="Z426" s="124" t="str">
        <f>IF($B426="","",IF(Z$3=0,"n.b.",INDEX(SRC_Woningetalage!$A$1:$ZZ$501,$A426,Z$3)))</f>
        <v/>
      </c>
      <c r="AA426" s="124" t="str">
        <f>IF($B426="","",IF(AA$3=0,"n.b.",INDEX(SRC_Woningetalage!$A$1:$ZZ$501,$A426,AA$3)))</f>
        <v/>
      </c>
      <c r="AB426" s="124" t="str">
        <f>IF($B426="","",IF(AB$3=0,"n.b.",INDEX(SRC_Woningetalage!$A$1:$ZZ$501,$A426,AB$3)))</f>
        <v/>
      </c>
      <c r="AC426" s="124" t="str">
        <f>IF($B426="","",IF(AC$3=0,"n.b.",INDEX(SRC_Woningetalage!$A$1:$ZZ$501,$A426,AC$3)))</f>
        <v/>
      </c>
      <c r="AD426" s="124" t="str">
        <f>IF($B426="","",IF(AD$3=0,"n.b.",INDEX(SRC_Woningetalage!$A$1:$ZZ$501,$A426,AD$3)))</f>
        <v/>
      </c>
      <c r="AE426" s="124" t="str">
        <f>IF($B426="","",IF(AE$3=0,"n.b.",INDEX(SRC_Woningetalage!$A$1:$ZZ$501,$A426,AE$3)))</f>
        <v/>
      </c>
      <c r="AF426" s="124" t="str">
        <f>IF($B426="","",IF(AF$3=0,"n.b.",INDEX(SRC_Woningetalage!$A$1:$ZZ$501,$A426,AF$3)))</f>
        <v/>
      </c>
      <c r="AG426" s="124" t="str">
        <f>IF($B426="","",IF(AG$3=0,"n.b.",INDEX(SRC_Woningetalage!$A$1:$ZZ$501,$A426,AG$3)))</f>
        <v/>
      </c>
      <c r="AH426" s="124" t="str">
        <f>IF($B426="","",IF(AH$3=0,"n.b.",INDEX(SRC_Woningetalage!$A$1:$ZZ$501,$A426,AH$3)))</f>
        <v/>
      </c>
      <c r="AI426" s="124" t="str">
        <f>IF($B426="","",IF(AI$3=0,"n.b.",INDEX(SRC_Woningetalage!$A$1:$ZZ$501,$A426,AI$3)))</f>
        <v/>
      </c>
      <c r="AJ426" s="124" t="str">
        <f>IF($B426="","",IF(AJ$3=0,"n.b.",INDEX(SRC_Woningetalage!$A$1:$ZZ$501,$A426,AJ$3)))</f>
        <v/>
      </c>
      <c r="AK426" s="124" t="str">
        <f>IF($B426="","",IF(AK$3=0,"n.b.",INDEX(SRC_Woningetalage!$A$1:$ZZ$501,$A426,AK$3)))</f>
        <v/>
      </c>
      <c r="AL426" s="124" t="str">
        <f>IF($B426="","",IF(AL$3=0,"n.b.",INDEX(SRC_Woningetalage!$A$1:$ZZ$501,$A426,AL$3)))</f>
        <v/>
      </c>
      <c r="AM426" s="124" t="str">
        <f>IF($B426="","",IF(AM$3=0,"n.b.",INDEX(SRC_Woningetalage!$A$1:$ZZ$501,$A426,AM$3)))</f>
        <v/>
      </c>
      <c r="AN426" s="124" t="str">
        <f>IF($B426="","",IF(AN$3=0,"n.b.",INDEX(SRC_Woningetalage!$A$1:$ZZ$501,$A426,AN$3)))</f>
        <v/>
      </c>
      <c r="AO426" s="124" t="str">
        <f>IF($B426="","",IF(AO$3=0,"n.b.",INDEX(SRC_Woningetalage!$A$1:$ZZ$501,$A426,AO$3)))</f>
        <v/>
      </c>
      <c r="AP426" s="124" t="str">
        <f>IF($B426="","",IF(AP$3=0,"n.b.",INDEX(SRC_Woningetalage!$A$1:$ZZ$501,$A426,AP$3)))</f>
        <v/>
      </c>
      <c r="AQ426" s="124" t="str">
        <f>IF($B426="","",IF(AQ$3=0,"n.b.",INDEX(SRC_Woningetalage!$A$1:$ZZ$501,$A426,AQ$3)))</f>
        <v/>
      </c>
      <c r="AR426" s="124" t="str">
        <f>IF($B426="","",IF(AR$3=0,"n.b.",INDEX(SRC_Woningetalage!$A$1:$ZZ$501,$A426,AR$3)))</f>
        <v/>
      </c>
      <c r="AS426" s="124" t="str">
        <f>IF($B426="","",IF(AS$3=0,"n.b.",INDEX(SRC_Woningetalage!$A$1:$ZZ$501,$A426,AS$3)))</f>
        <v/>
      </c>
      <c r="AT426" s="124" t="str">
        <f>IF($B426="","",IF(AT$3=0,"n.b.",INDEX(SRC_Woningetalage!$A$1:$ZZ$501,$A426,AT$3)))</f>
        <v/>
      </c>
      <c r="AU426" s="124" t="str">
        <f>IF($B426="","",IF(AU$3=0,"n.b.",INDEX(SRC_Woningetalage!$A$1:$ZZ$501,$A426,AU$3)))</f>
        <v/>
      </c>
      <c r="AV426" s="124" t="str">
        <f>IF($B426="","",IF(AV$3=0,"n.b.",INDEX(SRC_Woningetalage!$A$1:$ZZ$501,$A426,AV$3)))</f>
        <v/>
      </c>
      <c r="AW426" s="124" t="str">
        <f>IF($B426="","",IF(AW$3=0,"n.b.",INDEX(SRC_Woningetalage!$A$1:$ZZ$501,$A426,AW$3)))</f>
        <v/>
      </c>
      <c r="AX426" s="124" t="str">
        <f>IF($B426="","",IF(AX$3=0,"n.b.",INDEX(SRC_Woningetalage!$A$1:$ZZ$501,$A426,AX$3)))</f>
        <v/>
      </c>
      <c r="AY426" s="124" t="str">
        <f>IF($B426="","",IF(AY$3=0,"n.b.",INDEX(SRC_Woningetalage!$A$1:$ZZ$501,$A426,AY$3)))</f>
        <v/>
      </c>
      <c r="AZ426" s="124" t="str">
        <f>IF($B426="","",IF(AZ$3=0,"n.b.",INDEX(SRC_Woningetalage!$A$1:$ZZ$501,$A426,AZ$3)))</f>
        <v/>
      </c>
      <c r="BA426" s="124" t="str">
        <f>IF($B426="","",IF(BA$3=0,"n.b.",INDEX(SRC_Woningetalage!$A$1:$ZZ$501,$A426,BA$3)))</f>
        <v/>
      </c>
      <c r="BB426" s="124" t="str">
        <f>IF($B426="","",IF(BB$3=0,"n.b.",INDEX(SRC_Woningetalage!$A$1:$ZZ$501,$A426,BB$3)))</f>
        <v/>
      </c>
      <c r="BC426" s="124" t="str">
        <f>IF($B426="","",IFERROR(_xlfn.NUMBERVALUE(E426&amp;"",",","."),"n.b."))</f>
        <v/>
      </c>
      <c r="BD426" s="124" t="str">
        <f>IF($B426="","",IFERROR(_xlfn.NUMBERVALUE(M426&amp;"",",","."),"n.b."))</f>
        <v/>
      </c>
      <c r="BE426" s="124" t="str">
        <f>IF($B426="","",IFERROR(AB426+AC426+AD426,"n.b."))</f>
        <v/>
      </c>
      <c r="BF426" s="124" t="str">
        <f>IF($B426="","",IFERROR(AE426+AF426+AG426,"n.b."))</f>
        <v/>
      </c>
      <c r="BG426" s="124" t="str">
        <f>IF($B426="","",IFERROR(AH426+AI426+AJ426,"n.b."))</f>
        <v/>
      </c>
      <c r="BH426" s="124" t="str">
        <f>IF($B426="","",IFERROR(AK426+AL426+AM426,"n.b."))</f>
        <v/>
      </c>
      <c r="BI426" s="124" t="str">
        <f>IF($B426="","",IFERROR(SUMIF($AB$5:$AM$5,"&lt;="&amp;P_PeilMaand,AB426:AM426),"n.b."))</f>
        <v/>
      </c>
      <c r="BJ426" s="124" t="str">
        <f>IF($B426="","",IFERROR(SUM(AB426:AM426)-BI426,"n.b."))</f>
        <v/>
      </c>
      <c r="BK426" s="124" t="str">
        <f>IF($B426="","",IFERROR(IF(ABS(Q426-(T426+SUM(AB426:AM426)+AS426+AU426))&gt;P_Tol,1,0),1))</f>
        <v/>
      </c>
      <c r="BL426" s="124" t="str">
        <f>IF($B426="","",IFERROR(IF(ABS(AA426-(Q426-Z426))&gt;P_Tol,1,0),1))</f>
        <v/>
      </c>
      <c r="BM426" s="124" t="str">
        <f>IF($B426="","",IFERROR(IF(ABS(Z426-(T426+W426))&gt;P_Tol,1,0),1))</f>
        <v/>
      </c>
      <c r="BN426" s="124" t="str">
        <f>IF($B426="","",IFERROR(IF(ABS(W426-BI426)&gt;P_Tol,1,0),1))</f>
        <v/>
      </c>
      <c r="BO426" s="124" t="str">
        <f>IF($B426="","",IFERROR(IF(OR(ABS(R426+S426-T426)&gt;P_Tol,ABS(U426+V426-W426)&gt;P_Tol,ABS(X426+Y426-Z426)&gt;P_Tol),1,0),1))</f>
        <v/>
      </c>
      <c r="BP426" s="124" t="str">
        <f>IF($B426="","",IFERROR(IF(OR(ABS(AR426-SUM(AB426:AM426))&gt;P_Tol,ABS(AS426-(AN426+AO426+AP426+AQ426))&gt;P_Tol),1,0),1))</f>
        <v/>
      </c>
      <c r="BQ426" s="124" t="str">
        <f>IF($B426="","",IFERROR(IF(ABS(AT426)+ABS(AV426)+ABS(AW426)+ABS(AX426)+ABS(AY426)+ABS(AZ426)+ABS(BA426)+ABS(BB426)&gt;0,1,0),1))</f>
        <v/>
      </c>
      <c r="BR426" s="124" t="str">
        <f>IF($B426="","",COUNTIF(STG_ZPMW03!$B$6:$B$505,B426))</f>
        <v/>
      </c>
      <c r="BS426" s="124" t="str">
        <f>IF($B426="","",COUNTIF($B$6:$B$505,B426))</f>
        <v/>
      </c>
      <c r="BT426" s="124" t="str">
        <f>IF($B426="","",IF(BR426=0,0,IF(INDEX(STG_ZPMW03!$I$6:$I$505,MATCH(B426,STG_ZPMW03!$B$6:$B$505,0))=J426&amp;"",0,1)))</f>
        <v/>
      </c>
      <c r="BU426" s="124" t="str">
        <f>IF($B426="","",IFERROR(IF(ABS(INDEX(Mapping!$D$5:$D$104,MATCH(B426,Mapping!$A$5:$A$104,0))-Q426)&gt;P_Tol,1,0),0))</f>
        <v/>
      </c>
      <c r="BV426" s="124" t="str">
        <f>IF($B426="","",IFERROR(IF(AND(INDEX(Mapping!$G$5:$G$104,MATCH(B426,Mapping!$A$5:$A$104,0))="Nee",ABS(Q426)+ABS(Z426)+ABS(AR426)&gt;0),1,0),0))</f>
        <v/>
      </c>
      <c r="BW426" s="124" t="str">
        <f>IF($B426="","",IF(COUNTIF(Mapping!$A$5:$A$104,B426)&gt;0,1,0))</f>
        <v/>
      </c>
      <c r="BX426" s="124" t="str">
        <f>IF($B426="","",IF(BR426=0,COUNTIF($BR$6:BR426,0),""))</f>
        <v/>
      </c>
    </row>
    <row r="427">
      <c r="A427" s="15" t="n">
        <v>423</v>
      </c>
      <c r="B427" t="str">
        <f>IF(B$3=0,"",IF(INDEX(SRC_Woningetalage!$A$1:$ZZ$501,$A427,B$3)&amp;""="","",INDEX(SRC_Woningetalage!$A$1:$ZZ$501,$A427,B$3)&amp;""))</f>
        <v/>
      </c>
      <c r="C427" t="str">
        <f>IF($B427="","",IF(C$3=0,"n.b.",INDEX(SRC_Woningetalage!$A$1:$ZZ$501,$A427,C$3)))</f>
        <v/>
      </c>
      <c r="D427" t="str">
        <f>IF($B427="","",IF(D$3=0,"n.b.",INDEX(SRC_Woningetalage!$A$1:$ZZ$501,$A427,D$3)))</f>
        <v/>
      </c>
      <c r="E427" t="str">
        <f>IF($B427="","",IF(E$3=0,"n.b.",INDEX(SRC_Woningetalage!$A$1:$ZZ$501,$A427,E$3)))</f>
        <v/>
      </c>
      <c r="F427" t="str">
        <f>IF($B427="","",IF(F$3=0,"n.b.",INDEX(SRC_Woningetalage!$A$1:$ZZ$501,$A427,F$3)))</f>
        <v/>
      </c>
      <c r="G427" t="str">
        <f>IF($B427="","",IF(G$3=0,"n.b.",INDEX(SRC_Woningetalage!$A$1:$ZZ$501,$A427,G$3)))</f>
        <v/>
      </c>
      <c r="H427" t="str">
        <f>IF($B427="","",IF(H$3=0,"n.b.",INDEX(SRC_Woningetalage!$A$1:$ZZ$501,$A427,H$3)))</f>
        <v/>
      </c>
      <c r="I427" t="str">
        <f>IF($B427="","",IF(I$3=0,"n.b.",INDEX(SRC_Woningetalage!$A$1:$ZZ$501,$A427,I$3)))</f>
        <v/>
      </c>
      <c r="J427" t="str">
        <f>IF($B427="","",IF(J$3=0,"n.b.",INDEX(SRC_Woningetalage!$A$1:$ZZ$501,$A427,J$3)))</f>
        <v/>
      </c>
      <c r="K427" t="str">
        <f>IF($B427="","",IF(K$3=0,"n.b.",INDEX(SRC_Woningetalage!$A$1:$ZZ$501,$A427,K$3)))</f>
        <v/>
      </c>
      <c r="L427" t="str">
        <f>IF($B427="","",IF(L$3=0,"n.b.",INDEX(SRC_Woningetalage!$A$1:$ZZ$501,$A427,L$3)))</f>
        <v/>
      </c>
      <c r="M427" t="str">
        <f>IF($B427="","",IF(M$3=0,"n.b.",INDEX(SRC_Woningetalage!$A$1:$ZZ$501,$A427,M$3)))</f>
        <v/>
      </c>
      <c r="N427" t="str">
        <f>IF($B427="","",IF(N$3=0,"n.b.",INDEX(SRC_Woningetalage!$A$1:$ZZ$501,$A427,N$3)))</f>
        <v/>
      </c>
      <c r="O427" t="str">
        <f>IF($B427="","",IF(O$3=0,"n.b.",INDEX(SRC_Woningetalage!$A$1:$ZZ$501,$A427,O$3)))</f>
        <v/>
      </c>
      <c r="P427" t="str">
        <f>IF($B427="","",IF(P$3=0,"n.b.",INDEX(SRC_Woningetalage!$A$1:$ZZ$501,$A427,P$3)))</f>
        <v/>
      </c>
      <c r="Q427" s="124" t="str">
        <f>IF($B427="","",IF(Q$3=0,"n.b.",INDEX(SRC_Woningetalage!$A$1:$ZZ$501,$A427,Q$3)))</f>
        <v/>
      </c>
      <c r="R427" s="124" t="str">
        <f>IF($B427="","",IF(R$3=0,"n.b.",INDEX(SRC_Woningetalage!$A$1:$ZZ$501,$A427,R$3)))</f>
        <v/>
      </c>
      <c r="S427" s="124" t="str">
        <f>IF($B427="","",IF(S$3=0,"n.b.",INDEX(SRC_Woningetalage!$A$1:$ZZ$501,$A427,S$3)))</f>
        <v/>
      </c>
      <c r="T427" s="124" t="str">
        <f>IF($B427="","",IF(T$3=0,"n.b.",INDEX(SRC_Woningetalage!$A$1:$ZZ$501,$A427,T$3)))</f>
        <v/>
      </c>
      <c r="U427" s="124" t="str">
        <f>IF($B427="","",IF(U$3=0,"n.b.",INDEX(SRC_Woningetalage!$A$1:$ZZ$501,$A427,U$3)))</f>
        <v/>
      </c>
      <c r="V427" s="124" t="str">
        <f>IF($B427="","",IF(V$3=0,"n.b.",INDEX(SRC_Woningetalage!$A$1:$ZZ$501,$A427,V$3)))</f>
        <v/>
      </c>
      <c r="W427" s="124" t="str">
        <f>IF($B427="","",IF(W$3=0,"n.b.",INDEX(SRC_Woningetalage!$A$1:$ZZ$501,$A427,W$3)))</f>
        <v/>
      </c>
      <c r="X427" s="124" t="str">
        <f>IF($B427="","",IF(X$3=0,"n.b.",INDEX(SRC_Woningetalage!$A$1:$ZZ$501,$A427,X$3)))</f>
        <v/>
      </c>
      <c r="Y427" s="124" t="str">
        <f>IF($B427="","",IF(Y$3=0,"n.b.",INDEX(SRC_Woningetalage!$A$1:$ZZ$501,$A427,Y$3)))</f>
        <v/>
      </c>
      <c r="Z427" s="124" t="str">
        <f>IF($B427="","",IF(Z$3=0,"n.b.",INDEX(SRC_Woningetalage!$A$1:$ZZ$501,$A427,Z$3)))</f>
        <v/>
      </c>
      <c r="AA427" s="124" t="str">
        <f>IF($B427="","",IF(AA$3=0,"n.b.",INDEX(SRC_Woningetalage!$A$1:$ZZ$501,$A427,AA$3)))</f>
        <v/>
      </c>
      <c r="AB427" s="124" t="str">
        <f>IF($B427="","",IF(AB$3=0,"n.b.",INDEX(SRC_Woningetalage!$A$1:$ZZ$501,$A427,AB$3)))</f>
        <v/>
      </c>
      <c r="AC427" s="124" t="str">
        <f>IF($B427="","",IF(AC$3=0,"n.b.",INDEX(SRC_Woningetalage!$A$1:$ZZ$501,$A427,AC$3)))</f>
        <v/>
      </c>
      <c r="AD427" s="124" t="str">
        <f>IF($B427="","",IF(AD$3=0,"n.b.",INDEX(SRC_Woningetalage!$A$1:$ZZ$501,$A427,AD$3)))</f>
        <v/>
      </c>
      <c r="AE427" s="124" t="str">
        <f>IF($B427="","",IF(AE$3=0,"n.b.",INDEX(SRC_Woningetalage!$A$1:$ZZ$501,$A427,AE$3)))</f>
        <v/>
      </c>
      <c r="AF427" s="124" t="str">
        <f>IF($B427="","",IF(AF$3=0,"n.b.",INDEX(SRC_Woningetalage!$A$1:$ZZ$501,$A427,AF$3)))</f>
        <v/>
      </c>
      <c r="AG427" s="124" t="str">
        <f>IF($B427="","",IF(AG$3=0,"n.b.",INDEX(SRC_Woningetalage!$A$1:$ZZ$501,$A427,AG$3)))</f>
        <v/>
      </c>
      <c r="AH427" s="124" t="str">
        <f>IF($B427="","",IF(AH$3=0,"n.b.",INDEX(SRC_Woningetalage!$A$1:$ZZ$501,$A427,AH$3)))</f>
        <v/>
      </c>
      <c r="AI427" s="124" t="str">
        <f>IF($B427="","",IF(AI$3=0,"n.b.",INDEX(SRC_Woningetalage!$A$1:$ZZ$501,$A427,AI$3)))</f>
        <v/>
      </c>
      <c r="AJ427" s="124" t="str">
        <f>IF($B427="","",IF(AJ$3=0,"n.b.",INDEX(SRC_Woningetalage!$A$1:$ZZ$501,$A427,AJ$3)))</f>
        <v/>
      </c>
      <c r="AK427" s="124" t="str">
        <f>IF($B427="","",IF(AK$3=0,"n.b.",INDEX(SRC_Woningetalage!$A$1:$ZZ$501,$A427,AK$3)))</f>
        <v/>
      </c>
      <c r="AL427" s="124" t="str">
        <f>IF($B427="","",IF(AL$3=0,"n.b.",INDEX(SRC_Woningetalage!$A$1:$ZZ$501,$A427,AL$3)))</f>
        <v/>
      </c>
      <c r="AM427" s="124" t="str">
        <f>IF($B427="","",IF(AM$3=0,"n.b.",INDEX(SRC_Woningetalage!$A$1:$ZZ$501,$A427,AM$3)))</f>
        <v/>
      </c>
      <c r="AN427" s="124" t="str">
        <f>IF($B427="","",IF(AN$3=0,"n.b.",INDEX(SRC_Woningetalage!$A$1:$ZZ$501,$A427,AN$3)))</f>
        <v/>
      </c>
      <c r="AO427" s="124" t="str">
        <f>IF($B427="","",IF(AO$3=0,"n.b.",INDEX(SRC_Woningetalage!$A$1:$ZZ$501,$A427,AO$3)))</f>
        <v/>
      </c>
      <c r="AP427" s="124" t="str">
        <f>IF($B427="","",IF(AP$3=0,"n.b.",INDEX(SRC_Woningetalage!$A$1:$ZZ$501,$A427,AP$3)))</f>
        <v/>
      </c>
      <c r="AQ427" s="124" t="str">
        <f>IF($B427="","",IF(AQ$3=0,"n.b.",INDEX(SRC_Woningetalage!$A$1:$ZZ$501,$A427,AQ$3)))</f>
        <v/>
      </c>
      <c r="AR427" s="124" t="str">
        <f>IF($B427="","",IF(AR$3=0,"n.b.",INDEX(SRC_Woningetalage!$A$1:$ZZ$501,$A427,AR$3)))</f>
        <v/>
      </c>
      <c r="AS427" s="124" t="str">
        <f>IF($B427="","",IF(AS$3=0,"n.b.",INDEX(SRC_Woningetalage!$A$1:$ZZ$501,$A427,AS$3)))</f>
        <v/>
      </c>
      <c r="AT427" s="124" t="str">
        <f>IF($B427="","",IF(AT$3=0,"n.b.",INDEX(SRC_Woningetalage!$A$1:$ZZ$501,$A427,AT$3)))</f>
        <v/>
      </c>
      <c r="AU427" s="124" t="str">
        <f>IF($B427="","",IF(AU$3=0,"n.b.",INDEX(SRC_Woningetalage!$A$1:$ZZ$501,$A427,AU$3)))</f>
        <v/>
      </c>
      <c r="AV427" s="124" t="str">
        <f>IF($B427="","",IF(AV$3=0,"n.b.",INDEX(SRC_Woningetalage!$A$1:$ZZ$501,$A427,AV$3)))</f>
        <v/>
      </c>
      <c r="AW427" s="124" t="str">
        <f>IF($B427="","",IF(AW$3=0,"n.b.",INDEX(SRC_Woningetalage!$A$1:$ZZ$501,$A427,AW$3)))</f>
        <v/>
      </c>
      <c r="AX427" s="124" t="str">
        <f>IF($B427="","",IF(AX$3=0,"n.b.",INDEX(SRC_Woningetalage!$A$1:$ZZ$501,$A427,AX$3)))</f>
        <v/>
      </c>
      <c r="AY427" s="124" t="str">
        <f>IF($B427="","",IF(AY$3=0,"n.b.",INDEX(SRC_Woningetalage!$A$1:$ZZ$501,$A427,AY$3)))</f>
        <v/>
      </c>
      <c r="AZ427" s="124" t="str">
        <f>IF($B427="","",IF(AZ$3=0,"n.b.",INDEX(SRC_Woningetalage!$A$1:$ZZ$501,$A427,AZ$3)))</f>
        <v/>
      </c>
      <c r="BA427" s="124" t="str">
        <f>IF($B427="","",IF(BA$3=0,"n.b.",INDEX(SRC_Woningetalage!$A$1:$ZZ$501,$A427,BA$3)))</f>
        <v/>
      </c>
      <c r="BB427" s="124" t="str">
        <f>IF($B427="","",IF(BB$3=0,"n.b.",INDEX(SRC_Woningetalage!$A$1:$ZZ$501,$A427,BB$3)))</f>
        <v/>
      </c>
      <c r="BC427" s="124" t="str">
        <f>IF($B427="","",IFERROR(_xlfn.NUMBERVALUE(E427&amp;"",",","."),"n.b."))</f>
        <v/>
      </c>
      <c r="BD427" s="124" t="str">
        <f>IF($B427="","",IFERROR(_xlfn.NUMBERVALUE(M427&amp;"",",","."),"n.b."))</f>
        <v/>
      </c>
      <c r="BE427" s="124" t="str">
        <f>IF($B427="","",IFERROR(AB427+AC427+AD427,"n.b."))</f>
        <v/>
      </c>
      <c r="BF427" s="124" t="str">
        <f>IF($B427="","",IFERROR(AE427+AF427+AG427,"n.b."))</f>
        <v/>
      </c>
      <c r="BG427" s="124" t="str">
        <f>IF($B427="","",IFERROR(AH427+AI427+AJ427,"n.b."))</f>
        <v/>
      </c>
      <c r="BH427" s="124" t="str">
        <f>IF($B427="","",IFERROR(AK427+AL427+AM427,"n.b."))</f>
        <v/>
      </c>
      <c r="BI427" s="124" t="str">
        <f>IF($B427="","",IFERROR(SUMIF($AB$5:$AM$5,"&lt;="&amp;P_PeilMaand,AB427:AM427),"n.b."))</f>
        <v/>
      </c>
      <c r="BJ427" s="124" t="str">
        <f>IF($B427="","",IFERROR(SUM(AB427:AM427)-BI427,"n.b."))</f>
        <v/>
      </c>
      <c r="BK427" s="124" t="str">
        <f>IF($B427="","",IFERROR(IF(ABS(Q427-(T427+SUM(AB427:AM427)+AS427+AU427))&gt;P_Tol,1,0),1))</f>
        <v/>
      </c>
      <c r="BL427" s="124" t="str">
        <f>IF($B427="","",IFERROR(IF(ABS(AA427-(Q427-Z427))&gt;P_Tol,1,0),1))</f>
        <v/>
      </c>
      <c r="BM427" s="124" t="str">
        <f>IF($B427="","",IFERROR(IF(ABS(Z427-(T427+W427))&gt;P_Tol,1,0),1))</f>
        <v/>
      </c>
      <c r="BN427" s="124" t="str">
        <f>IF($B427="","",IFERROR(IF(ABS(W427-BI427)&gt;P_Tol,1,0),1))</f>
        <v/>
      </c>
      <c r="BO427" s="124" t="str">
        <f>IF($B427="","",IFERROR(IF(OR(ABS(R427+S427-T427)&gt;P_Tol,ABS(U427+V427-W427)&gt;P_Tol,ABS(X427+Y427-Z427)&gt;P_Tol),1,0),1))</f>
        <v/>
      </c>
      <c r="BP427" s="124" t="str">
        <f>IF($B427="","",IFERROR(IF(OR(ABS(AR427-SUM(AB427:AM427))&gt;P_Tol,ABS(AS427-(AN427+AO427+AP427+AQ427))&gt;P_Tol),1,0),1))</f>
        <v/>
      </c>
      <c r="BQ427" s="124" t="str">
        <f>IF($B427="","",IFERROR(IF(ABS(AT427)+ABS(AV427)+ABS(AW427)+ABS(AX427)+ABS(AY427)+ABS(AZ427)+ABS(BA427)+ABS(BB427)&gt;0,1,0),1))</f>
        <v/>
      </c>
      <c r="BR427" s="124" t="str">
        <f>IF($B427="","",COUNTIF(STG_ZPMW03!$B$6:$B$505,B427))</f>
        <v/>
      </c>
      <c r="BS427" s="124" t="str">
        <f>IF($B427="","",COUNTIF($B$6:$B$505,B427))</f>
        <v/>
      </c>
      <c r="BT427" s="124" t="str">
        <f>IF($B427="","",IF(BR427=0,0,IF(INDEX(STG_ZPMW03!$I$6:$I$505,MATCH(B427,STG_ZPMW03!$B$6:$B$505,0))=J427&amp;"",0,1)))</f>
        <v/>
      </c>
      <c r="BU427" s="124" t="str">
        <f>IF($B427="","",IFERROR(IF(ABS(INDEX(Mapping!$D$5:$D$104,MATCH(B427,Mapping!$A$5:$A$104,0))-Q427)&gt;P_Tol,1,0),0))</f>
        <v/>
      </c>
      <c r="BV427" s="124" t="str">
        <f>IF($B427="","",IFERROR(IF(AND(INDEX(Mapping!$G$5:$G$104,MATCH(B427,Mapping!$A$5:$A$104,0))="Nee",ABS(Q427)+ABS(Z427)+ABS(AR427)&gt;0),1,0),0))</f>
        <v/>
      </c>
      <c r="BW427" s="124" t="str">
        <f>IF($B427="","",IF(COUNTIF(Mapping!$A$5:$A$104,B427)&gt;0,1,0))</f>
        <v/>
      </c>
      <c r="BX427" s="124" t="str">
        <f>IF($B427="","",IF(BR427=0,COUNTIF($BR$6:BR427,0),""))</f>
        <v/>
      </c>
    </row>
    <row r="428">
      <c r="A428" s="15" t="n">
        <v>424</v>
      </c>
      <c r="B428" t="str">
        <f>IF(B$3=0,"",IF(INDEX(SRC_Woningetalage!$A$1:$ZZ$501,$A428,B$3)&amp;""="","",INDEX(SRC_Woningetalage!$A$1:$ZZ$501,$A428,B$3)&amp;""))</f>
        <v/>
      </c>
      <c r="C428" t="str">
        <f>IF($B428="","",IF(C$3=0,"n.b.",INDEX(SRC_Woningetalage!$A$1:$ZZ$501,$A428,C$3)))</f>
        <v/>
      </c>
      <c r="D428" t="str">
        <f>IF($B428="","",IF(D$3=0,"n.b.",INDEX(SRC_Woningetalage!$A$1:$ZZ$501,$A428,D$3)))</f>
        <v/>
      </c>
      <c r="E428" t="str">
        <f>IF($B428="","",IF(E$3=0,"n.b.",INDEX(SRC_Woningetalage!$A$1:$ZZ$501,$A428,E$3)))</f>
        <v/>
      </c>
      <c r="F428" t="str">
        <f>IF($B428="","",IF(F$3=0,"n.b.",INDEX(SRC_Woningetalage!$A$1:$ZZ$501,$A428,F$3)))</f>
        <v/>
      </c>
      <c r="G428" t="str">
        <f>IF($B428="","",IF(G$3=0,"n.b.",INDEX(SRC_Woningetalage!$A$1:$ZZ$501,$A428,G$3)))</f>
        <v/>
      </c>
      <c r="H428" t="str">
        <f>IF($B428="","",IF(H$3=0,"n.b.",INDEX(SRC_Woningetalage!$A$1:$ZZ$501,$A428,H$3)))</f>
        <v/>
      </c>
      <c r="I428" t="str">
        <f>IF($B428="","",IF(I$3=0,"n.b.",INDEX(SRC_Woningetalage!$A$1:$ZZ$501,$A428,I$3)))</f>
        <v/>
      </c>
      <c r="J428" t="str">
        <f>IF($B428="","",IF(J$3=0,"n.b.",INDEX(SRC_Woningetalage!$A$1:$ZZ$501,$A428,J$3)))</f>
        <v/>
      </c>
      <c r="K428" t="str">
        <f>IF($B428="","",IF(K$3=0,"n.b.",INDEX(SRC_Woningetalage!$A$1:$ZZ$501,$A428,K$3)))</f>
        <v/>
      </c>
      <c r="L428" t="str">
        <f>IF($B428="","",IF(L$3=0,"n.b.",INDEX(SRC_Woningetalage!$A$1:$ZZ$501,$A428,L$3)))</f>
        <v/>
      </c>
      <c r="M428" t="str">
        <f>IF($B428="","",IF(M$3=0,"n.b.",INDEX(SRC_Woningetalage!$A$1:$ZZ$501,$A428,M$3)))</f>
        <v/>
      </c>
      <c r="N428" t="str">
        <f>IF($B428="","",IF(N$3=0,"n.b.",INDEX(SRC_Woningetalage!$A$1:$ZZ$501,$A428,N$3)))</f>
        <v/>
      </c>
      <c r="O428" t="str">
        <f>IF($B428="","",IF(O$3=0,"n.b.",INDEX(SRC_Woningetalage!$A$1:$ZZ$501,$A428,O$3)))</f>
        <v/>
      </c>
      <c r="P428" t="str">
        <f>IF($B428="","",IF(P$3=0,"n.b.",INDEX(SRC_Woningetalage!$A$1:$ZZ$501,$A428,P$3)))</f>
        <v/>
      </c>
      <c r="Q428" s="124" t="str">
        <f>IF($B428="","",IF(Q$3=0,"n.b.",INDEX(SRC_Woningetalage!$A$1:$ZZ$501,$A428,Q$3)))</f>
        <v/>
      </c>
      <c r="R428" s="124" t="str">
        <f>IF($B428="","",IF(R$3=0,"n.b.",INDEX(SRC_Woningetalage!$A$1:$ZZ$501,$A428,R$3)))</f>
        <v/>
      </c>
      <c r="S428" s="124" t="str">
        <f>IF($B428="","",IF(S$3=0,"n.b.",INDEX(SRC_Woningetalage!$A$1:$ZZ$501,$A428,S$3)))</f>
        <v/>
      </c>
      <c r="T428" s="124" t="str">
        <f>IF($B428="","",IF(T$3=0,"n.b.",INDEX(SRC_Woningetalage!$A$1:$ZZ$501,$A428,T$3)))</f>
        <v/>
      </c>
      <c r="U428" s="124" t="str">
        <f>IF($B428="","",IF(U$3=0,"n.b.",INDEX(SRC_Woningetalage!$A$1:$ZZ$501,$A428,U$3)))</f>
        <v/>
      </c>
      <c r="V428" s="124" t="str">
        <f>IF($B428="","",IF(V$3=0,"n.b.",INDEX(SRC_Woningetalage!$A$1:$ZZ$501,$A428,V$3)))</f>
        <v/>
      </c>
      <c r="W428" s="124" t="str">
        <f>IF($B428="","",IF(W$3=0,"n.b.",INDEX(SRC_Woningetalage!$A$1:$ZZ$501,$A428,W$3)))</f>
        <v/>
      </c>
      <c r="X428" s="124" t="str">
        <f>IF($B428="","",IF(X$3=0,"n.b.",INDEX(SRC_Woningetalage!$A$1:$ZZ$501,$A428,X$3)))</f>
        <v/>
      </c>
      <c r="Y428" s="124" t="str">
        <f>IF($B428="","",IF(Y$3=0,"n.b.",INDEX(SRC_Woningetalage!$A$1:$ZZ$501,$A428,Y$3)))</f>
        <v/>
      </c>
      <c r="Z428" s="124" t="str">
        <f>IF($B428="","",IF(Z$3=0,"n.b.",INDEX(SRC_Woningetalage!$A$1:$ZZ$501,$A428,Z$3)))</f>
        <v/>
      </c>
      <c r="AA428" s="124" t="str">
        <f>IF($B428="","",IF(AA$3=0,"n.b.",INDEX(SRC_Woningetalage!$A$1:$ZZ$501,$A428,AA$3)))</f>
        <v/>
      </c>
      <c r="AB428" s="124" t="str">
        <f>IF($B428="","",IF(AB$3=0,"n.b.",INDEX(SRC_Woningetalage!$A$1:$ZZ$501,$A428,AB$3)))</f>
        <v/>
      </c>
      <c r="AC428" s="124" t="str">
        <f>IF($B428="","",IF(AC$3=0,"n.b.",INDEX(SRC_Woningetalage!$A$1:$ZZ$501,$A428,AC$3)))</f>
        <v/>
      </c>
      <c r="AD428" s="124" t="str">
        <f>IF($B428="","",IF(AD$3=0,"n.b.",INDEX(SRC_Woningetalage!$A$1:$ZZ$501,$A428,AD$3)))</f>
        <v/>
      </c>
      <c r="AE428" s="124" t="str">
        <f>IF($B428="","",IF(AE$3=0,"n.b.",INDEX(SRC_Woningetalage!$A$1:$ZZ$501,$A428,AE$3)))</f>
        <v/>
      </c>
      <c r="AF428" s="124" t="str">
        <f>IF($B428="","",IF(AF$3=0,"n.b.",INDEX(SRC_Woningetalage!$A$1:$ZZ$501,$A428,AF$3)))</f>
        <v/>
      </c>
      <c r="AG428" s="124" t="str">
        <f>IF($B428="","",IF(AG$3=0,"n.b.",INDEX(SRC_Woningetalage!$A$1:$ZZ$501,$A428,AG$3)))</f>
        <v/>
      </c>
      <c r="AH428" s="124" t="str">
        <f>IF($B428="","",IF(AH$3=0,"n.b.",INDEX(SRC_Woningetalage!$A$1:$ZZ$501,$A428,AH$3)))</f>
        <v/>
      </c>
      <c r="AI428" s="124" t="str">
        <f>IF($B428="","",IF(AI$3=0,"n.b.",INDEX(SRC_Woningetalage!$A$1:$ZZ$501,$A428,AI$3)))</f>
        <v/>
      </c>
      <c r="AJ428" s="124" t="str">
        <f>IF($B428="","",IF(AJ$3=0,"n.b.",INDEX(SRC_Woningetalage!$A$1:$ZZ$501,$A428,AJ$3)))</f>
        <v/>
      </c>
      <c r="AK428" s="124" t="str">
        <f>IF($B428="","",IF(AK$3=0,"n.b.",INDEX(SRC_Woningetalage!$A$1:$ZZ$501,$A428,AK$3)))</f>
        <v/>
      </c>
      <c r="AL428" s="124" t="str">
        <f>IF($B428="","",IF(AL$3=0,"n.b.",INDEX(SRC_Woningetalage!$A$1:$ZZ$501,$A428,AL$3)))</f>
        <v/>
      </c>
      <c r="AM428" s="124" t="str">
        <f>IF($B428="","",IF(AM$3=0,"n.b.",INDEX(SRC_Woningetalage!$A$1:$ZZ$501,$A428,AM$3)))</f>
        <v/>
      </c>
      <c r="AN428" s="124" t="str">
        <f>IF($B428="","",IF(AN$3=0,"n.b.",INDEX(SRC_Woningetalage!$A$1:$ZZ$501,$A428,AN$3)))</f>
        <v/>
      </c>
      <c r="AO428" s="124" t="str">
        <f>IF($B428="","",IF(AO$3=0,"n.b.",INDEX(SRC_Woningetalage!$A$1:$ZZ$501,$A428,AO$3)))</f>
        <v/>
      </c>
      <c r="AP428" s="124" t="str">
        <f>IF($B428="","",IF(AP$3=0,"n.b.",INDEX(SRC_Woningetalage!$A$1:$ZZ$501,$A428,AP$3)))</f>
        <v/>
      </c>
      <c r="AQ428" s="124" t="str">
        <f>IF($B428="","",IF(AQ$3=0,"n.b.",INDEX(SRC_Woningetalage!$A$1:$ZZ$501,$A428,AQ$3)))</f>
        <v/>
      </c>
      <c r="AR428" s="124" t="str">
        <f>IF($B428="","",IF(AR$3=0,"n.b.",INDEX(SRC_Woningetalage!$A$1:$ZZ$501,$A428,AR$3)))</f>
        <v/>
      </c>
      <c r="AS428" s="124" t="str">
        <f>IF($B428="","",IF(AS$3=0,"n.b.",INDEX(SRC_Woningetalage!$A$1:$ZZ$501,$A428,AS$3)))</f>
        <v/>
      </c>
      <c r="AT428" s="124" t="str">
        <f>IF($B428="","",IF(AT$3=0,"n.b.",INDEX(SRC_Woningetalage!$A$1:$ZZ$501,$A428,AT$3)))</f>
        <v/>
      </c>
      <c r="AU428" s="124" t="str">
        <f>IF($B428="","",IF(AU$3=0,"n.b.",INDEX(SRC_Woningetalage!$A$1:$ZZ$501,$A428,AU$3)))</f>
        <v/>
      </c>
      <c r="AV428" s="124" t="str">
        <f>IF($B428="","",IF(AV$3=0,"n.b.",INDEX(SRC_Woningetalage!$A$1:$ZZ$501,$A428,AV$3)))</f>
        <v/>
      </c>
      <c r="AW428" s="124" t="str">
        <f>IF($B428="","",IF(AW$3=0,"n.b.",INDEX(SRC_Woningetalage!$A$1:$ZZ$501,$A428,AW$3)))</f>
        <v/>
      </c>
      <c r="AX428" s="124" t="str">
        <f>IF($B428="","",IF(AX$3=0,"n.b.",INDEX(SRC_Woningetalage!$A$1:$ZZ$501,$A428,AX$3)))</f>
        <v/>
      </c>
      <c r="AY428" s="124" t="str">
        <f>IF($B428="","",IF(AY$3=0,"n.b.",INDEX(SRC_Woningetalage!$A$1:$ZZ$501,$A428,AY$3)))</f>
        <v/>
      </c>
      <c r="AZ428" s="124" t="str">
        <f>IF($B428="","",IF(AZ$3=0,"n.b.",INDEX(SRC_Woningetalage!$A$1:$ZZ$501,$A428,AZ$3)))</f>
        <v/>
      </c>
      <c r="BA428" s="124" t="str">
        <f>IF($B428="","",IF(BA$3=0,"n.b.",INDEX(SRC_Woningetalage!$A$1:$ZZ$501,$A428,BA$3)))</f>
        <v/>
      </c>
      <c r="BB428" s="124" t="str">
        <f>IF($B428="","",IF(BB$3=0,"n.b.",INDEX(SRC_Woningetalage!$A$1:$ZZ$501,$A428,BB$3)))</f>
        <v/>
      </c>
      <c r="BC428" s="124" t="str">
        <f>IF($B428="","",IFERROR(_xlfn.NUMBERVALUE(E428&amp;"",",","."),"n.b."))</f>
        <v/>
      </c>
      <c r="BD428" s="124" t="str">
        <f>IF($B428="","",IFERROR(_xlfn.NUMBERVALUE(M428&amp;"",",","."),"n.b."))</f>
        <v/>
      </c>
      <c r="BE428" s="124" t="str">
        <f>IF($B428="","",IFERROR(AB428+AC428+AD428,"n.b."))</f>
        <v/>
      </c>
      <c r="BF428" s="124" t="str">
        <f>IF($B428="","",IFERROR(AE428+AF428+AG428,"n.b."))</f>
        <v/>
      </c>
      <c r="BG428" s="124" t="str">
        <f>IF($B428="","",IFERROR(AH428+AI428+AJ428,"n.b."))</f>
        <v/>
      </c>
      <c r="BH428" s="124" t="str">
        <f>IF($B428="","",IFERROR(AK428+AL428+AM428,"n.b."))</f>
        <v/>
      </c>
      <c r="BI428" s="124" t="str">
        <f>IF($B428="","",IFERROR(SUMIF($AB$5:$AM$5,"&lt;="&amp;P_PeilMaand,AB428:AM428),"n.b."))</f>
        <v/>
      </c>
      <c r="BJ428" s="124" t="str">
        <f>IF($B428="","",IFERROR(SUM(AB428:AM428)-BI428,"n.b."))</f>
        <v/>
      </c>
      <c r="BK428" s="124" t="str">
        <f>IF($B428="","",IFERROR(IF(ABS(Q428-(T428+SUM(AB428:AM428)+AS428+AU428))&gt;P_Tol,1,0),1))</f>
        <v/>
      </c>
      <c r="BL428" s="124" t="str">
        <f>IF($B428="","",IFERROR(IF(ABS(AA428-(Q428-Z428))&gt;P_Tol,1,0),1))</f>
        <v/>
      </c>
      <c r="BM428" s="124" t="str">
        <f>IF($B428="","",IFERROR(IF(ABS(Z428-(T428+W428))&gt;P_Tol,1,0),1))</f>
        <v/>
      </c>
      <c r="BN428" s="124" t="str">
        <f>IF($B428="","",IFERROR(IF(ABS(W428-BI428)&gt;P_Tol,1,0),1))</f>
        <v/>
      </c>
      <c r="BO428" s="124" t="str">
        <f>IF($B428="","",IFERROR(IF(OR(ABS(R428+S428-T428)&gt;P_Tol,ABS(U428+V428-W428)&gt;P_Tol,ABS(X428+Y428-Z428)&gt;P_Tol),1,0),1))</f>
        <v/>
      </c>
      <c r="BP428" s="124" t="str">
        <f>IF($B428="","",IFERROR(IF(OR(ABS(AR428-SUM(AB428:AM428))&gt;P_Tol,ABS(AS428-(AN428+AO428+AP428+AQ428))&gt;P_Tol),1,0),1))</f>
        <v/>
      </c>
      <c r="BQ428" s="124" t="str">
        <f>IF($B428="","",IFERROR(IF(ABS(AT428)+ABS(AV428)+ABS(AW428)+ABS(AX428)+ABS(AY428)+ABS(AZ428)+ABS(BA428)+ABS(BB428)&gt;0,1,0),1))</f>
        <v/>
      </c>
      <c r="BR428" s="124" t="str">
        <f>IF($B428="","",COUNTIF(STG_ZPMW03!$B$6:$B$505,B428))</f>
        <v/>
      </c>
      <c r="BS428" s="124" t="str">
        <f>IF($B428="","",COUNTIF($B$6:$B$505,B428))</f>
        <v/>
      </c>
      <c r="BT428" s="124" t="str">
        <f>IF($B428="","",IF(BR428=0,0,IF(INDEX(STG_ZPMW03!$I$6:$I$505,MATCH(B428,STG_ZPMW03!$B$6:$B$505,0))=J428&amp;"",0,1)))</f>
        <v/>
      </c>
      <c r="BU428" s="124" t="str">
        <f>IF($B428="","",IFERROR(IF(ABS(INDEX(Mapping!$D$5:$D$104,MATCH(B428,Mapping!$A$5:$A$104,0))-Q428)&gt;P_Tol,1,0),0))</f>
        <v/>
      </c>
      <c r="BV428" s="124" t="str">
        <f>IF($B428="","",IFERROR(IF(AND(INDEX(Mapping!$G$5:$G$104,MATCH(B428,Mapping!$A$5:$A$104,0))="Nee",ABS(Q428)+ABS(Z428)+ABS(AR428)&gt;0),1,0),0))</f>
        <v/>
      </c>
      <c r="BW428" s="124" t="str">
        <f>IF($B428="","",IF(COUNTIF(Mapping!$A$5:$A$104,B428)&gt;0,1,0))</f>
        <v/>
      </c>
      <c r="BX428" s="124" t="str">
        <f>IF($B428="","",IF(BR428=0,COUNTIF($BR$6:BR428,0),""))</f>
        <v/>
      </c>
    </row>
    <row r="429">
      <c r="A429" s="15" t="n">
        <v>425</v>
      </c>
      <c r="B429" t="str">
        <f>IF(B$3=0,"",IF(INDEX(SRC_Woningetalage!$A$1:$ZZ$501,$A429,B$3)&amp;""="","",INDEX(SRC_Woningetalage!$A$1:$ZZ$501,$A429,B$3)&amp;""))</f>
        <v/>
      </c>
      <c r="C429" t="str">
        <f>IF($B429="","",IF(C$3=0,"n.b.",INDEX(SRC_Woningetalage!$A$1:$ZZ$501,$A429,C$3)))</f>
        <v/>
      </c>
      <c r="D429" t="str">
        <f>IF($B429="","",IF(D$3=0,"n.b.",INDEX(SRC_Woningetalage!$A$1:$ZZ$501,$A429,D$3)))</f>
        <v/>
      </c>
      <c r="E429" t="str">
        <f>IF($B429="","",IF(E$3=0,"n.b.",INDEX(SRC_Woningetalage!$A$1:$ZZ$501,$A429,E$3)))</f>
        <v/>
      </c>
      <c r="F429" t="str">
        <f>IF($B429="","",IF(F$3=0,"n.b.",INDEX(SRC_Woningetalage!$A$1:$ZZ$501,$A429,F$3)))</f>
        <v/>
      </c>
      <c r="G429" t="str">
        <f>IF($B429="","",IF(G$3=0,"n.b.",INDEX(SRC_Woningetalage!$A$1:$ZZ$501,$A429,G$3)))</f>
        <v/>
      </c>
      <c r="H429" t="str">
        <f>IF($B429="","",IF(H$3=0,"n.b.",INDEX(SRC_Woningetalage!$A$1:$ZZ$501,$A429,H$3)))</f>
        <v/>
      </c>
      <c r="I429" t="str">
        <f>IF($B429="","",IF(I$3=0,"n.b.",INDEX(SRC_Woningetalage!$A$1:$ZZ$501,$A429,I$3)))</f>
        <v/>
      </c>
      <c r="J429" t="str">
        <f>IF($B429="","",IF(J$3=0,"n.b.",INDEX(SRC_Woningetalage!$A$1:$ZZ$501,$A429,J$3)))</f>
        <v/>
      </c>
      <c r="K429" t="str">
        <f>IF($B429="","",IF(K$3=0,"n.b.",INDEX(SRC_Woningetalage!$A$1:$ZZ$501,$A429,K$3)))</f>
        <v/>
      </c>
      <c r="L429" t="str">
        <f>IF($B429="","",IF(L$3=0,"n.b.",INDEX(SRC_Woningetalage!$A$1:$ZZ$501,$A429,L$3)))</f>
        <v/>
      </c>
      <c r="M429" t="str">
        <f>IF($B429="","",IF(M$3=0,"n.b.",INDEX(SRC_Woningetalage!$A$1:$ZZ$501,$A429,M$3)))</f>
        <v/>
      </c>
      <c r="N429" t="str">
        <f>IF($B429="","",IF(N$3=0,"n.b.",INDEX(SRC_Woningetalage!$A$1:$ZZ$501,$A429,N$3)))</f>
        <v/>
      </c>
      <c r="O429" t="str">
        <f>IF($B429="","",IF(O$3=0,"n.b.",INDEX(SRC_Woningetalage!$A$1:$ZZ$501,$A429,O$3)))</f>
        <v/>
      </c>
      <c r="P429" t="str">
        <f>IF($B429="","",IF(P$3=0,"n.b.",INDEX(SRC_Woningetalage!$A$1:$ZZ$501,$A429,P$3)))</f>
        <v/>
      </c>
      <c r="Q429" s="124" t="str">
        <f>IF($B429="","",IF(Q$3=0,"n.b.",INDEX(SRC_Woningetalage!$A$1:$ZZ$501,$A429,Q$3)))</f>
        <v/>
      </c>
      <c r="R429" s="124" t="str">
        <f>IF($B429="","",IF(R$3=0,"n.b.",INDEX(SRC_Woningetalage!$A$1:$ZZ$501,$A429,R$3)))</f>
        <v/>
      </c>
      <c r="S429" s="124" t="str">
        <f>IF($B429="","",IF(S$3=0,"n.b.",INDEX(SRC_Woningetalage!$A$1:$ZZ$501,$A429,S$3)))</f>
        <v/>
      </c>
      <c r="T429" s="124" t="str">
        <f>IF($B429="","",IF(T$3=0,"n.b.",INDEX(SRC_Woningetalage!$A$1:$ZZ$501,$A429,T$3)))</f>
        <v/>
      </c>
      <c r="U429" s="124" t="str">
        <f>IF($B429="","",IF(U$3=0,"n.b.",INDEX(SRC_Woningetalage!$A$1:$ZZ$501,$A429,U$3)))</f>
        <v/>
      </c>
      <c r="V429" s="124" t="str">
        <f>IF($B429="","",IF(V$3=0,"n.b.",INDEX(SRC_Woningetalage!$A$1:$ZZ$501,$A429,V$3)))</f>
        <v/>
      </c>
      <c r="W429" s="124" t="str">
        <f>IF($B429="","",IF(W$3=0,"n.b.",INDEX(SRC_Woningetalage!$A$1:$ZZ$501,$A429,W$3)))</f>
        <v/>
      </c>
      <c r="X429" s="124" t="str">
        <f>IF($B429="","",IF(X$3=0,"n.b.",INDEX(SRC_Woningetalage!$A$1:$ZZ$501,$A429,X$3)))</f>
        <v/>
      </c>
      <c r="Y429" s="124" t="str">
        <f>IF($B429="","",IF(Y$3=0,"n.b.",INDEX(SRC_Woningetalage!$A$1:$ZZ$501,$A429,Y$3)))</f>
        <v/>
      </c>
      <c r="Z429" s="124" t="str">
        <f>IF($B429="","",IF(Z$3=0,"n.b.",INDEX(SRC_Woningetalage!$A$1:$ZZ$501,$A429,Z$3)))</f>
        <v/>
      </c>
      <c r="AA429" s="124" t="str">
        <f>IF($B429="","",IF(AA$3=0,"n.b.",INDEX(SRC_Woningetalage!$A$1:$ZZ$501,$A429,AA$3)))</f>
        <v/>
      </c>
      <c r="AB429" s="124" t="str">
        <f>IF($B429="","",IF(AB$3=0,"n.b.",INDEX(SRC_Woningetalage!$A$1:$ZZ$501,$A429,AB$3)))</f>
        <v/>
      </c>
      <c r="AC429" s="124" t="str">
        <f>IF($B429="","",IF(AC$3=0,"n.b.",INDEX(SRC_Woningetalage!$A$1:$ZZ$501,$A429,AC$3)))</f>
        <v/>
      </c>
      <c r="AD429" s="124" t="str">
        <f>IF($B429="","",IF(AD$3=0,"n.b.",INDEX(SRC_Woningetalage!$A$1:$ZZ$501,$A429,AD$3)))</f>
        <v/>
      </c>
      <c r="AE429" s="124" t="str">
        <f>IF($B429="","",IF(AE$3=0,"n.b.",INDEX(SRC_Woningetalage!$A$1:$ZZ$501,$A429,AE$3)))</f>
        <v/>
      </c>
      <c r="AF429" s="124" t="str">
        <f>IF($B429="","",IF(AF$3=0,"n.b.",INDEX(SRC_Woningetalage!$A$1:$ZZ$501,$A429,AF$3)))</f>
        <v/>
      </c>
      <c r="AG429" s="124" t="str">
        <f>IF($B429="","",IF(AG$3=0,"n.b.",INDEX(SRC_Woningetalage!$A$1:$ZZ$501,$A429,AG$3)))</f>
        <v/>
      </c>
      <c r="AH429" s="124" t="str">
        <f>IF($B429="","",IF(AH$3=0,"n.b.",INDEX(SRC_Woningetalage!$A$1:$ZZ$501,$A429,AH$3)))</f>
        <v/>
      </c>
      <c r="AI429" s="124" t="str">
        <f>IF($B429="","",IF(AI$3=0,"n.b.",INDEX(SRC_Woningetalage!$A$1:$ZZ$501,$A429,AI$3)))</f>
        <v/>
      </c>
      <c r="AJ429" s="124" t="str">
        <f>IF($B429="","",IF(AJ$3=0,"n.b.",INDEX(SRC_Woningetalage!$A$1:$ZZ$501,$A429,AJ$3)))</f>
        <v/>
      </c>
      <c r="AK429" s="124" t="str">
        <f>IF($B429="","",IF(AK$3=0,"n.b.",INDEX(SRC_Woningetalage!$A$1:$ZZ$501,$A429,AK$3)))</f>
        <v/>
      </c>
      <c r="AL429" s="124" t="str">
        <f>IF($B429="","",IF(AL$3=0,"n.b.",INDEX(SRC_Woningetalage!$A$1:$ZZ$501,$A429,AL$3)))</f>
        <v/>
      </c>
      <c r="AM429" s="124" t="str">
        <f>IF($B429="","",IF(AM$3=0,"n.b.",INDEX(SRC_Woningetalage!$A$1:$ZZ$501,$A429,AM$3)))</f>
        <v/>
      </c>
      <c r="AN429" s="124" t="str">
        <f>IF($B429="","",IF(AN$3=0,"n.b.",INDEX(SRC_Woningetalage!$A$1:$ZZ$501,$A429,AN$3)))</f>
        <v/>
      </c>
      <c r="AO429" s="124" t="str">
        <f>IF($B429="","",IF(AO$3=0,"n.b.",INDEX(SRC_Woningetalage!$A$1:$ZZ$501,$A429,AO$3)))</f>
        <v/>
      </c>
      <c r="AP429" s="124" t="str">
        <f>IF($B429="","",IF(AP$3=0,"n.b.",INDEX(SRC_Woningetalage!$A$1:$ZZ$501,$A429,AP$3)))</f>
        <v/>
      </c>
      <c r="AQ429" s="124" t="str">
        <f>IF($B429="","",IF(AQ$3=0,"n.b.",INDEX(SRC_Woningetalage!$A$1:$ZZ$501,$A429,AQ$3)))</f>
        <v/>
      </c>
      <c r="AR429" s="124" t="str">
        <f>IF($B429="","",IF(AR$3=0,"n.b.",INDEX(SRC_Woningetalage!$A$1:$ZZ$501,$A429,AR$3)))</f>
        <v/>
      </c>
      <c r="AS429" s="124" t="str">
        <f>IF($B429="","",IF(AS$3=0,"n.b.",INDEX(SRC_Woningetalage!$A$1:$ZZ$501,$A429,AS$3)))</f>
        <v/>
      </c>
      <c r="AT429" s="124" t="str">
        <f>IF($B429="","",IF(AT$3=0,"n.b.",INDEX(SRC_Woningetalage!$A$1:$ZZ$501,$A429,AT$3)))</f>
        <v/>
      </c>
      <c r="AU429" s="124" t="str">
        <f>IF($B429="","",IF(AU$3=0,"n.b.",INDEX(SRC_Woningetalage!$A$1:$ZZ$501,$A429,AU$3)))</f>
        <v/>
      </c>
      <c r="AV429" s="124" t="str">
        <f>IF($B429="","",IF(AV$3=0,"n.b.",INDEX(SRC_Woningetalage!$A$1:$ZZ$501,$A429,AV$3)))</f>
        <v/>
      </c>
      <c r="AW429" s="124" t="str">
        <f>IF($B429="","",IF(AW$3=0,"n.b.",INDEX(SRC_Woningetalage!$A$1:$ZZ$501,$A429,AW$3)))</f>
        <v/>
      </c>
      <c r="AX429" s="124" t="str">
        <f>IF($B429="","",IF(AX$3=0,"n.b.",INDEX(SRC_Woningetalage!$A$1:$ZZ$501,$A429,AX$3)))</f>
        <v/>
      </c>
      <c r="AY429" s="124" t="str">
        <f>IF($B429="","",IF(AY$3=0,"n.b.",INDEX(SRC_Woningetalage!$A$1:$ZZ$501,$A429,AY$3)))</f>
        <v/>
      </c>
      <c r="AZ429" s="124" t="str">
        <f>IF($B429="","",IF(AZ$3=0,"n.b.",INDEX(SRC_Woningetalage!$A$1:$ZZ$501,$A429,AZ$3)))</f>
        <v/>
      </c>
      <c r="BA429" s="124" t="str">
        <f>IF($B429="","",IF(BA$3=0,"n.b.",INDEX(SRC_Woningetalage!$A$1:$ZZ$501,$A429,BA$3)))</f>
        <v/>
      </c>
      <c r="BB429" s="124" t="str">
        <f>IF($B429="","",IF(BB$3=0,"n.b.",INDEX(SRC_Woningetalage!$A$1:$ZZ$501,$A429,BB$3)))</f>
        <v/>
      </c>
      <c r="BC429" s="124" t="str">
        <f>IF($B429="","",IFERROR(_xlfn.NUMBERVALUE(E429&amp;"",",","."),"n.b."))</f>
        <v/>
      </c>
      <c r="BD429" s="124" t="str">
        <f>IF($B429="","",IFERROR(_xlfn.NUMBERVALUE(M429&amp;"",",","."),"n.b."))</f>
        <v/>
      </c>
      <c r="BE429" s="124" t="str">
        <f>IF($B429="","",IFERROR(AB429+AC429+AD429,"n.b."))</f>
        <v/>
      </c>
      <c r="BF429" s="124" t="str">
        <f>IF($B429="","",IFERROR(AE429+AF429+AG429,"n.b."))</f>
        <v/>
      </c>
      <c r="BG429" s="124" t="str">
        <f>IF($B429="","",IFERROR(AH429+AI429+AJ429,"n.b."))</f>
        <v/>
      </c>
      <c r="BH429" s="124" t="str">
        <f>IF($B429="","",IFERROR(AK429+AL429+AM429,"n.b."))</f>
        <v/>
      </c>
      <c r="BI429" s="124" t="str">
        <f>IF($B429="","",IFERROR(SUMIF($AB$5:$AM$5,"&lt;="&amp;P_PeilMaand,AB429:AM429),"n.b."))</f>
        <v/>
      </c>
      <c r="BJ429" s="124" t="str">
        <f>IF($B429="","",IFERROR(SUM(AB429:AM429)-BI429,"n.b."))</f>
        <v/>
      </c>
      <c r="BK429" s="124" t="str">
        <f>IF($B429="","",IFERROR(IF(ABS(Q429-(T429+SUM(AB429:AM429)+AS429+AU429))&gt;P_Tol,1,0),1))</f>
        <v/>
      </c>
      <c r="BL429" s="124" t="str">
        <f>IF($B429="","",IFERROR(IF(ABS(AA429-(Q429-Z429))&gt;P_Tol,1,0),1))</f>
        <v/>
      </c>
      <c r="BM429" s="124" t="str">
        <f>IF($B429="","",IFERROR(IF(ABS(Z429-(T429+W429))&gt;P_Tol,1,0),1))</f>
        <v/>
      </c>
      <c r="BN429" s="124" t="str">
        <f>IF($B429="","",IFERROR(IF(ABS(W429-BI429)&gt;P_Tol,1,0),1))</f>
        <v/>
      </c>
      <c r="BO429" s="124" t="str">
        <f>IF($B429="","",IFERROR(IF(OR(ABS(R429+S429-T429)&gt;P_Tol,ABS(U429+V429-W429)&gt;P_Tol,ABS(X429+Y429-Z429)&gt;P_Tol),1,0),1))</f>
        <v/>
      </c>
      <c r="BP429" s="124" t="str">
        <f>IF($B429="","",IFERROR(IF(OR(ABS(AR429-SUM(AB429:AM429))&gt;P_Tol,ABS(AS429-(AN429+AO429+AP429+AQ429))&gt;P_Tol),1,0),1))</f>
        <v/>
      </c>
      <c r="BQ429" s="124" t="str">
        <f>IF($B429="","",IFERROR(IF(ABS(AT429)+ABS(AV429)+ABS(AW429)+ABS(AX429)+ABS(AY429)+ABS(AZ429)+ABS(BA429)+ABS(BB429)&gt;0,1,0),1))</f>
        <v/>
      </c>
      <c r="BR429" s="124" t="str">
        <f>IF($B429="","",COUNTIF(STG_ZPMW03!$B$6:$B$505,B429))</f>
        <v/>
      </c>
      <c r="BS429" s="124" t="str">
        <f>IF($B429="","",COUNTIF($B$6:$B$505,B429))</f>
        <v/>
      </c>
      <c r="BT429" s="124" t="str">
        <f>IF($B429="","",IF(BR429=0,0,IF(INDEX(STG_ZPMW03!$I$6:$I$505,MATCH(B429,STG_ZPMW03!$B$6:$B$505,0))=J429&amp;"",0,1)))</f>
        <v/>
      </c>
      <c r="BU429" s="124" t="str">
        <f>IF($B429="","",IFERROR(IF(ABS(INDEX(Mapping!$D$5:$D$104,MATCH(B429,Mapping!$A$5:$A$104,0))-Q429)&gt;P_Tol,1,0),0))</f>
        <v/>
      </c>
      <c r="BV429" s="124" t="str">
        <f>IF($B429="","",IFERROR(IF(AND(INDEX(Mapping!$G$5:$G$104,MATCH(B429,Mapping!$A$5:$A$104,0))="Nee",ABS(Q429)+ABS(Z429)+ABS(AR429)&gt;0),1,0),0))</f>
        <v/>
      </c>
      <c r="BW429" s="124" t="str">
        <f>IF($B429="","",IF(COUNTIF(Mapping!$A$5:$A$104,B429)&gt;0,1,0))</f>
        <v/>
      </c>
      <c r="BX429" s="124" t="str">
        <f>IF($B429="","",IF(BR429=0,COUNTIF($BR$6:BR429,0),""))</f>
        <v/>
      </c>
    </row>
    <row r="430">
      <c r="A430" s="15" t="n">
        <v>426</v>
      </c>
      <c r="B430" t="str">
        <f>IF(B$3=0,"",IF(INDEX(SRC_Woningetalage!$A$1:$ZZ$501,$A430,B$3)&amp;""="","",INDEX(SRC_Woningetalage!$A$1:$ZZ$501,$A430,B$3)&amp;""))</f>
        <v/>
      </c>
      <c r="C430" t="str">
        <f>IF($B430="","",IF(C$3=0,"n.b.",INDEX(SRC_Woningetalage!$A$1:$ZZ$501,$A430,C$3)))</f>
        <v/>
      </c>
      <c r="D430" t="str">
        <f>IF($B430="","",IF(D$3=0,"n.b.",INDEX(SRC_Woningetalage!$A$1:$ZZ$501,$A430,D$3)))</f>
        <v/>
      </c>
      <c r="E430" t="str">
        <f>IF($B430="","",IF(E$3=0,"n.b.",INDEX(SRC_Woningetalage!$A$1:$ZZ$501,$A430,E$3)))</f>
        <v/>
      </c>
      <c r="F430" t="str">
        <f>IF($B430="","",IF(F$3=0,"n.b.",INDEX(SRC_Woningetalage!$A$1:$ZZ$501,$A430,F$3)))</f>
        <v/>
      </c>
      <c r="G430" t="str">
        <f>IF($B430="","",IF(G$3=0,"n.b.",INDEX(SRC_Woningetalage!$A$1:$ZZ$501,$A430,G$3)))</f>
        <v/>
      </c>
      <c r="H430" t="str">
        <f>IF($B430="","",IF(H$3=0,"n.b.",INDEX(SRC_Woningetalage!$A$1:$ZZ$501,$A430,H$3)))</f>
        <v/>
      </c>
      <c r="I430" t="str">
        <f>IF($B430="","",IF(I$3=0,"n.b.",INDEX(SRC_Woningetalage!$A$1:$ZZ$501,$A430,I$3)))</f>
        <v/>
      </c>
      <c r="J430" t="str">
        <f>IF($B430="","",IF(J$3=0,"n.b.",INDEX(SRC_Woningetalage!$A$1:$ZZ$501,$A430,J$3)))</f>
        <v/>
      </c>
      <c r="K430" t="str">
        <f>IF($B430="","",IF(K$3=0,"n.b.",INDEX(SRC_Woningetalage!$A$1:$ZZ$501,$A430,K$3)))</f>
        <v/>
      </c>
      <c r="L430" t="str">
        <f>IF($B430="","",IF(L$3=0,"n.b.",INDEX(SRC_Woningetalage!$A$1:$ZZ$501,$A430,L$3)))</f>
        <v/>
      </c>
      <c r="M430" t="str">
        <f>IF($B430="","",IF(M$3=0,"n.b.",INDEX(SRC_Woningetalage!$A$1:$ZZ$501,$A430,M$3)))</f>
        <v/>
      </c>
      <c r="N430" t="str">
        <f>IF($B430="","",IF(N$3=0,"n.b.",INDEX(SRC_Woningetalage!$A$1:$ZZ$501,$A430,N$3)))</f>
        <v/>
      </c>
      <c r="O430" t="str">
        <f>IF($B430="","",IF(O$3=0,"n.b.",INDEX(SRC_Woningetalage!$A$1:$ZZ$501,$A430,O$3)))</f>
        <v/>
      </c>
      <c r="P430" t="str">
        <f>IF($B430="","",IF(P$3=0,"n.b.",INDEX(SRC_Woningetalage!$A$1:$ZZ$501,$A430,P$3)))</f>
        <v/>
      </c>
      <c r="Q430" s="124" t="str">
        <f>IF($B430="","",IF(Q$3=0,"n.b.",INDEX(SRC_Woningetalage!$A$1:$ZZ$501,$A430,Q$3)))</f>
        <v/>
      </c>
      <c r="R430" s="124" t="str">
        <f>IF($B430="","",IF(R$3=0,"n.b.",INDEX(SRC_Woningetalage!$A$1:$ZZ$501,$A430,R$3)))</f>
        <v/>
      </c>
      <c r="S430" s="124" t="str">
        <f>IF($B430="","",IF(S$3=0,"n.b.",INDEX(SRC_Woningetalage!$A$1:$ZZ$501,$A430,S$3)))</f>
        <v/>
      </c>
      <c r="T430" s="124" t="str">
        <f>IF($B430="","",IF(T$3=0,"n.b.",INDEX(SRC_Woningetalage!$A$1:$ZZ$501,$A430,T$3)))</f>
        <v/>
      </c>
      <c r="U430" s="124" t="str">
        <f>IF($B430="","",IF(U$3=0,"n.b.",INDEX(SRC_Woningetalage!$A$1:$ZZ$501,$A430,U$3)))</f>
        <v/>
      </c>
      <c r="V430" s="124" t="str">
        <f>IF($B430="","",IF(V$3=0,"n.b.",INDEX(SRC_Woningetalage!$A$1:$ZZ$501,$A430,V$3)))</f>
        <v/>
      </c>
      <c r="W430" s="124" t="str">
        <f>IF($B430="","",IF(W$3=0,"n.b.",INDEX(SRC_Woningetalage!$A$1:$ZZ$501,$A430,W$3)))</f>
        <v/>
      </c>
      <c r="X430" s="124" t="str">
        <f>IF($B430="","",IF(X$3=0,"n.b.",INDEX(SRC_Woningetalage!$A$1:$ZZ$501,$A430,X$3)))</f>
        <v/>
      </c>
      <c r="Y430" s="124" t="str">
        <f>IF($B430="","",IF(Y$3=0,"n.b.",INDEX(SRC_Woningetalage!$A$1:$ZZ$501,$A430,Y$3)))</f>
        <v/>
      </c>
      <c r="Z430" s="124" t="str">
        <f>IF($B430="","",IF(Z$3=0,"n.b.",INDEX(SRC_Woningetalage!$A$1:$ZZ$501,$A430,Z$3)))</f>
        <v/>
      </c>
      <c r="AA430" s="124" t="str">
        <f>IF($B430="","",IF(AA$3=0,"n.b.",INDEX(SRC_Woningetalage!$A$1:$ZZ$501,$A430,AA$3)))</f>
        <v/>
      </c>
      <c r="AB430" s="124" t="str">
        <f>IF($B430="","",IF(AB$3=0,"n.b.",INDEX(SRC_Woningetalage!$A$1:$ZZ$501,$A430,AB$3)))</f>
        <v/>
      </c>
      <c r="AC430" s="124" t="str">
        <f>IF($B430="","",IF(AC$3=0,"n.b.",INDEX(SRC_Woningetalage!$A$1:$ZZ$501,$A430,AC$3)))</f>
        <v/>
      </c>
      <c r="AD430" s="124" t="str">
        <f>IF($B430="","",IF(AD$3=0,"n.b.",INDEX(SRC_Woningetalage!$A$1:$ZZ$501,$A430,AD$3)))</f>
        <v/>
      </c>
      <c r="AE430" s="124" t="str">
        <f>IF($B430="","",IF(AE$3=0,"n.b.",INDEX(SRC_Woningetalage!$A$1:$ZZ$501,$A430,AE$3)))</f>
        <v/>
      </c>
      <c r="AF430" s="124" t="str">
        <f>IF($B430="","",IF(AF$3=0,"n.b.",INDEX(SRC_Woningetalage!$A$1:$ZZ$501,$A430,AF$3)))</f>
        <v/>
      </c>
      <c r="AG430" s="124" t="str">
        <f>IF($B430="","",IF(AG$3=0,"n.b.",INDEX(SRC_Woningetalage!$A$1:$ZZ$501,$A430,AG$3)))</f>
        <v/>
      </c>
      <c r="AH430" s="124" t="str">
        <f>IF($B430="","",IF(AH$3=0,"n.b.",INDEX(SRC_Woningetalage!$A$1:$ZZ$501,$A430,AH$3)))</f>
        <v/>
      </c>
      <c r="AI430" s="124" t="str">
        <f>IF($B430="","",IF(AI$3=0,"n.b.",INDEX(SRC_Woningetalage!$A$1:$ZZ$501,$A430,AI$3)))</f>
        <v/>
      </c>
      <c r="AJ430" s="124" t="str">
        <f>IF($B430="","",IF(AJ$3=0,"n.b.",INDEX(SRC_Woningetalage!$A$1:$ZZ$501,$A430,AJ$3)))</f>
        <v/>
      </c>
      <c r="AK430" s="124" t="str">
        <f>IF($B430="","",IF(AK$3=0,"n.b.",INDEX(SRC_Woningetalage!$A$1:$ZZ$501,$A430,AK$3)))</f>
        <v/>
      </c>
      <c r="AL430" s="124" t="str">
        <f>IF($B430="","",IF(AL$3=0,"n.b.",INDEX(SRC_Woningetalage!$A$1:$ZZ$501,$A430,AL$3)))</f>
        <v/>
      </c>
      <c r="AM430" s="124" t="str">
        <f>IF($B430="","",IF(AM$3=0,"n.b.",INDEX(SRC_Woningetalage!$A$1:$ZZ$501,$A430,AM$3)))</f>
        <v/>
      </c>
      <c r="AN430" s="124" t="str">
        <f>IF($B430="","",IF(AN$3=0,"n.b.",INDEX(SRC_Woningetalage!$A$1:$ZZ$501,$A430,AN$3)))</f>
        <v/>
      </c>
      <c r="AO430" s="124" t="str">
        <f>IF($B430="","",IF(AO$3=0,"n.b.",INDEX(SRC_Woningetalage!$A$1:$ZZ$501,$A430,AO$3)))</f>
        <v/>
      </c>
      <c r="AP430" s="124" t="str">
        <f>IF($B430="","",IF(AP$3=0,"n.b.",INDEX(SRC_Woningetalage!$A$1:$ZZ$501,$A430,AP$3)))</f>
        <v/>
      </c>
      <c r="AQ430" s="124" t="str">
        <f>IF($B430="","",IF(AQ$3=0,"n.b.",INDEX(SRC_Woningetalage!$A$1:$ZZ$501,$A430,AQ$3)))</f>
        <v/>
      </c>
      <c r="AR430" s="124" t="str">
        <f>IF($B430="","",IF(AR$3=0,"n.b.",INDEX(SRC_Woningetalage!$A$1:$ZZ$501,$A430,AR$3)))</f>
        <v/>
      </c>
      <c r="AS430" s="124" t="str">
        <f>IF($B430="","",IF(AS$3=0,"n.b.",INDEX(SRC_Woningetalage!$A$1:$ZZ$501,$A430,AS$3)))</f>
        <v/>
      </c>
      <c r="AT430" s="124" t="str">
        <f>IF($B430="","",IF(AT$3=0,"n.b.",INDEX(SRC_Woningetalage!$A$1:$ZZ$501,$A430,AT$3)))</f>
        <v/>
      </c>
      <c r="AU430" s="124" t="str">
        <f>IF($B430="","",IF(AU$3=0,"n.b.",INDEX(SRC_Woningetalage!$A$1:$ZZ$501,$A430,AU$3)))</f>
        <v/>
      </c>
      <c r="AV430" s="124" t="str">
        <f>IF($B430="","",IF(AV$3=0,"n.b.",INDEX(SRC_Woningetalage!$A$1:$ZZ$501,$A430,AV$3)))</f>
        <v/>
      </c>
      <c r="AW430" s="124" t="str">
        <f>IF($B430="","",IF(AW$3=0,"n.b.",INDEX(SRC_Woningetalage!$A$1:$ZZ$501,$A430,AW$3)))</f>
        <v/>
      </c>
      <c r="AX430" s="124" t="str">
        <f>IF($B430="","",IF(AX$3=0,"n.b.",INDEX(SRC_Woningetalage!$A$1:$ZZ$501,$A430,AX$3)))</f>
        <v/>
      </c>
      <c r="AY430" s="124" t="str">
        <f>IF($B430="","",IF(AY$3=0,"n.b.",INDEX(SRC_Woningetalage!$A$1:$ZZ$501,$A430,AY$3)))</f>
        <v/>
      </c>
      <c r="AZ430" s="124" t="str">
        <f>IF($B430="","",IF(AZ$3=0,"n.b.",INDEX(SRC_Woningetalage!$A$1:$ZZ$501,$A430,AZ$3)))</f>
        <v/>
      </c>
      <c r="BA430" s="124" t="str">
        <f>IF($B430="","",IF(BA$3=0,"n.b.",INDEX(SRC_Woningetalage!$A$1:$ZZ$501,$A430,BA$3)))</f>
        <v/>
      </c>
      <c r="BB430" s="124" t="str">
        <f>IF($B430="","",IF(BB$3=0,"n.b.",INDEX(SRC_Woningetalage!$A$1:$ZZ$501,$A430,BB$3)))</f>
        <v/>
      </c>
      <c r="BC430" s="124" t="str">
        <f>IF($B430="","",IFERROR(_xlfn.NUMBERVALUE(E430&amp;"",",","."),"n.b."))</f>
        <v/>
      </c>
      <c r="BD430" s="124" t="str">
        <f>IF($B430="","",IFERROR(_xlfn.NUMBERVALUE(M430&amp;"",",","."),"n.b."))</f>
        <v/>
      </c>
      <c r="BE430" s="124" t="str">
        <f>IF($B430="","",IFERROR(AB430+AC430+AD430,"n.b."))</f>
        <v/>
      </c>
      <c r="BF430" s="124" t="str">
        <f>IF($B430="","",IFERROR(AE430+AF430+AG430,"n.b."))</f>
        <v/>
      </c>
      <c r="BG430" s="124" t="str">
        <f>IF($B430="","",IFERROR(AH430+AI430+AJ430,"n.b."))</f>
        <v/>
      </c>
      <c r="BH430" s="124" t="str">
        <f>IF($B430="","",IFERROR(AK430+AL430+AM430,"n.b."))</f>
        <v/>
      </c>
      <c r="BI430" s="124" t="str">
        <f>IF($B430="","",IFERROR(SUMIF($AB$5:$AM$5,"&lt;="&amp;P_PeilMaand,AB430:AM430),"n.b."))</f>
        <v/>
      </c>
      <c r="BJ430" s="124" t="str">
        <f>IF($B430="","",IFERROR(SUM(AB430:AM430)-BI430,"n.b."))</f>
        <v/>
      </c>
      <c r="BK430" s="124" t="str">
        <f>IF($B430="","",IFERROR(IF(ABS(Q430-(T430+SUM(AB430:AM430)+AS430+AU430))&gt;P_Tol,1,0),1))</f>
        <v/>
      </c>
      <c r="BL430" s="124" t="str">
        <f>IF($B430="","",IFERROR(IF(ABS(AA430-(Q430-Z430))&gt;P_Tol,1,0),1))</f>
        <v/>
      </c>
      <c r="BM430" s="124" t="str">
        <f>IF($B430="","",IFERROR(IF(ABS(Z430-(T430+W430))&gt;P_Tol,1,0),1))</f>
        <v/>
      </c>
      <c r="BN430" s="124" t="str">
        <f>IF($B430="","",IFERROR(IF(ABS(W430-BI430)&gt;P_Tol,1,0),1))</f>
        <v/>
      </c>
      <c r="BO430" s="124" t="str">
        <f>IF($B430="","",IFERROR(IF(OR(ABS(R430+S430-T430)&gt;P_Tol,ABS(U430+V430-W430)&gt;P_Tol,ABS(X430+Y430-Z430)&gt;P_Tol),1,0),1))</f>
        <v/>
      </c>
      <c r="BP430" s="124" t="str">
        <f>IF($B430="","",IFERROR(IF(OR(ABS(AR430-SUM(AB430:AM430))&gt;P_Tol,ABS(AS430-(AN430+AO430+AP430+AQ430))&gt;P_Tol),1,0),1))</f>
        <v/>
      </c>
      <c r="BQ430" s="124" t="str">
        <f>IF($B430="","",IFERROR(IF(ABS(AT430)+ABS(AV430)+ABS(AW430)+ABS(AX430)+ABS(AY430)+ABS(AZ430)+ABS(BA430)+ABS(BB430)&gt;0,1,0),1))</f>
        <v/>
      </c>
      <c r="BR430" s="124" t="str">
        <f>IF($B430="","",COUNTIF(STG_ZPMW03!$B$6:$B$505,B430))</f>
        <v/>
      </c>
      <c r="BS430" s="124" t="str">
        <f>IF($B430="","",COUNTIF($B$6:$B$505,B430))</f>
        <v/>
      </c>
      <c r="BT430" s="124" t="str">
        <f>IF($B430="","",IF(BR430=0,0,IF(INDEX(STG_ZPMW03!$I$6:$I$505,MATCH(B430,STG_ZPMW03!$B$6:$B$505,0))=J430&amp;"",0,1)))</f>
        <v/>
      </c>
      <c r="BU430" s="124" t="str">
        <f>IF($B430="","",IFERROR(IF(ABS(INDEX(Mapping!$D$5:$D$104,MATCH(B430,Mapping!$A$5:$A$104,0))-Q430)&gt;P_Tol,1,0),0))</f>
        <v/>
      </c>
      <c r="BV430" s="124" t="str">
        <f>IF($B430="","",IFERROR(IF(AND(INDEX(Mapping!$G$5:$G$104,MATCH(B430,Mapping!$A$5:$A$104,0))="Nee",ABS(Q430)+ABS(Z430)+ABS(AR430)&gt;0),1,0),0))</f>
        <v/>
      </c>
      <c r="BW430" s="124" t="str">
        <f>IF($B430="","",IF(COUNTIF(Mapping!$A$5:$A$104,B430)&gt;0,1,0))</f>
        <v/>
      </c>
      <c r="BX430" s="124" t="str">
        <f>IF($B430="","",IF(BR430=0,COUNTIF($BR$6:BR430,0),""))</f>
        <v/>
      </c>
    </row>
    <row r="431">
      <c r="A431" s="15" t="n">
        <v>427</v>
      </c>
      <c r="B431" t="str">
        <f>IF(B$3=0,"",IF(INDEX(SRC_Woningetalage!$A$1:$ZZ$501,$A431,B$3)&amp;""="","",INDEX(SRC_Woningetalage!$A$1:$ZZ$501,$A431,B$3)&amp;""))</f>
        <v/>
      </c>
      <c r="C431" t="str">
        <f>IF($B431="","",IF(C$3=0,"n.b.",INDEX(SRC_Woningetalage!$A$1:$ZZ$501,$A431,C$3)))</f>
        <v/>
      </c>
      <c r="D431" t="str">
        <f>IF($B431="","",IF(D$3=0,"n.b.",INDEX(SRC_Woningetalage!$A$1:$ZZ$501,$A431,D$3)))</f>
        <v/>
      </c>
      <c r="E431" t="str">
        <f>IF($B431="","",IF(E$3=0,"n.b.",INDEX(SRC_Woningetalage!$A$1:$ZZ$501,$A431,E$3)))</f>
        <v/>
      </c>
      <c r="F431" t="str">
        <f>IF($B431="","",IF(F$3=0,"n.b.",INDEX(SRC_Woningetalage!$A$1:$ZZ$501,$A431,F$3)))</f>
        <v/>
      </c>
      <c r="G431" t="str">
        <f>IF($B431="","",IF(G$3=0,"n.b.",INDEX(SRC_Woningetalage!$A$1:$ZZ$501,$A431,G$3)))</f>
        <v/>
      </c>
      <c r="H431" t="str">
        <f>IF($B431="","",IF(H$3=0,"n.b.",INDEX(SRC_Woningetalage!$A$1:$ZZ$501,$A431,H$3)))</f>
        <v/>
      </c>
      <c r="I431" t="str">
        <f>IF($B431="","",IF(I$3=0,"n.b.",INDEX(SRC_Woningetalage!$A$1:$ZZ$501,$A431,I$3)))</f>
        <v/>
      </c>
      <c r="J431" t="str">
        <f>IF($B431="","",IF(J$3=0,"n.b.",INDEX(SRC_Woningetalage!$A$1:$ZZ$501,$A431,J$3)))</f>
        <v/>
      </c>
      <c r="K431" t="str">
        <f>IF($B431="","",IF(K$3=0,"n.b.",INDEX(SRC_Woningetalage!$A$1:$ZZ$501,$A431,K$3)))</f>
        <v/>
      </c>
      <c r="L431" t="str">
        <f>IF($B431="","",IF(L$3=0,"n.b.",INDEX(SRC_Woningetalage!$A$1:$ZZ$501,$A431,L$3)))</f>
        <v/>
      </c>
      <c r="M431" t="str">
        <f>IF($B431="","",IF(M$3=0,"n.b.",INDEX(SRC_Woningetalage!$A$1:$ZZ$501,$A431,M$3)))</f>
        <v/>
      </c>
      <c r="N431" t="str">
        <f>IF($B431="","",IF(N$3=0,"n.b.",INDEX(SRC_Woningetalage!$A$1:$ZZ$501,$A431,N$3)))</f>
        <v/>
      </c>
      <c r="O431" t="str">
        <f>IF($B431="","",IF(O$3=0,"n.b.",INDEX(SRC_Woningetalage!$A$1:$ZZ$501,$A431,O$3)))</f>
        <v/>
      </c>
      <c r="P431" t="str">
        <f>IF($B431="","",IF(P$3=0,"n.b.",INDEX(SRC_Woningetalage!$A$1:$ZZ$501,$A431,P$3)))</f>
        <v/>
      </c>
      <c r="Q431" s="124" t="str">
        <f>IF($B431="","",IF(Q$3=0,"n.b.",INDEX(SRC_Woningetalage!$A$1:$ZZ$501,$A431,Q$3)))</f>
        <v/>
      </c>
      <c r="R431" s="124" t="str">
        <f>IF($B431="","",IF(R$3=0,"n.b.",INDEX(SRC_Woningetalage!$A$1:$ZZ$501,$A431,R$3)))</f>
        <v/>
      </c>
      <c r="S431" s="124" t="str">
        <f>IF($B431="","",IF(S$3=0,"n.b.",INDEX(SRC_Woningetalage!$A$1:$ZZ$501,$A431,S$3)))</f>
        <v/>
      </c>
      <c r="T431" s="124" t="str">
        <f>IF($B431="","",IF(T$3=0,"n.b.",INDEX(SRC_Woningetalage!$A$1:$ZZ$501,$A431,T$3)))</f>
        <v/>
      </c>
      <c r="U431" s="124" t="str">
        <f>IF($B431="","",IF(U$3=0,"n.b.",INDEX(SRC_Woningetalage!$A$1:$ZZ$501,$A431,U$3)))</f>
        <v/>
      </c>
      <c r="V431" s="124" t="str">
        <f>IF($B431="","",IF(V$3=0,"n.b.",INDEX(SRC_Woningetalage!$A$1:$ZZ$501,$A431,V$3)))</f>
        <v/>
      </c>
      <c r="W431" s="124" t="str">
        <f>IF($B431="","",IF(W$3=0,"n.b.",INDEX(SRC_Woningetalage!$A$1:$ZZ$501,$A431,W$3)))</f>
        <v/>
      </c>
      <c r="X431" s="124" t="str">
        <f>IF($B431="","",IF(X$3=0,"n.b.",INDEX(SRC_Woningetalage!$A$1:$ZZ$501,$A431,X$3)))</f>
        <v/>
      </c>
      <c r="Y431" s="124" t="str">
        <f>IF($B431="","",IF(Y$3=0,"n.b.",INDEX(SRC_Woningetalage!$A$1:$ZZ$501,$A431,Y$3)))</f>
        <v/>
      </c>
      <c r="Z431" s="124" t="str">
        <f>IF($B431="","",IF(Z$3=0,"n.b.",INDEX(SRC_Woningetalage!$A$1:$ZZ$501,$A431,Z$3)))</f>
        <v/>
      </c>
      <c r="AA431" s="124" t="str">
        <f>IF($B431="","",IF(AA$3=0,"n.b.",INDEX(SRC_Woningetalage!$A$1:$ZZ$501,$A431,AA$3)))</f>
        <v/>
      </c>
      <c r="AB431" s="124" t="str">
        <f>IF($B431="","",IF(AB$3=0,"n.b.",INDEX(SRC_Woningetalage!$A$1:$ZZ$501,$A431,AB$3)))</f>
        <v/>
      </c>
      <c r="AC431" s="124" t="str">
        <f>IF($B431="","",IF(AC$3=0,"n.b.",INDEX(SRC_Woningetalage!$A$1:$ZZ$501,$A431,AC$3)))</f>
        <v/>
      </c>
      <c r="AD431" s="124" t="str">
        <f>IF($B431="","",IF(AD$3=0,"n.b.",INDEX(SRC_Woningetalage!$A$1:$ZZ$501,$A431,AD$3)))</f>
        <v/>
      </c>
      <c r="AE431" s="124" t="str">
        <f>IF($B431="","",IF(AE$3=0,"n.b.",INDEX(SRC_Woningetalage!$A$1:$ZZ$501,$A431,AE$3)))</f>
        <v/>
      </c>
      <c r="AF431" s="124" t="str">
        <f>IF($B431="","",IF(AF$3=0,"n.b.",INDEX(SRC_Woningetalage!$A$1:$ZZ$501,$A431,AF$3)))</f>
        <v/>
      </c>
      <c r="AG431" s="124" t="str">
        <f>IF($B431="","",IF(AG$3=0,"n.b.",INDEX(SRC_Woningetalage!$A$1:$ZZ$501,$A431,AG$3)))</f>
        <v/>
      </c>
      <c r="AH431" s="124" t="str">
        <f>IF($B431="","",IF(AH$3=0,"n.b.",INDEX(SRC_Woningetalage!$A$1:$ZZ$501,$A431,AH$3)))</f>
        <v/>
      </c>
      <c r="AI431" s="124" t="str">
        <f>IF($B431="","",IF(AI$3=0,"n.b.",INDEX(SRC_Woningetalage!$A$1:$ZZ$501,$A431,AI$3)))</f>
        <v/>
      </c>
      <c r="AJ431" s="124" t="str">
        <f>IF($B431="","",IF(AJ$3=0,"n.b.",INDEX(SRC_Woningetalage!$A$1:$ZZ$501,$A431,AJ$3)))</f>
        <v/>
      </c>
      <c r="AK431" s="124" t="str">
        <f>IF($B431="","",IF(AK$3=0,"n.b.",INDEX(SRC_Woningetalage!$A$1:$ZZ$501,$A431,AK$3)))</f>
        <v/>
      </c>
      <c r="AL431" s="124" t="str">
        <f>IF($B431="","",IF(AL$3=0,"n.b.",INDEX(SRC_Woningetalage!$A$1:$ZZ$501,$A431,AL$3)))</f>
        <v/>
      </c>
      <c r="AM431" s="124" t="str">
        <f>IF($B431="","",IF(AM$3=0,"n.b.",INDEX(SRC_Woningetalage!$A$1:$ZZ$501,$A431,AM$3)))</f>
        <v/>
      </c>
      <c r="AN431" s="124" t="str">
        <f>IF($B431="","",IF(AN$3=0,"n.b.",INDEX(SRC_Woningetalage!$A$1:$ZZ$501,$A431,AN$3)))</f>
        <v/>
      </c>
      <c r="AO431" s="124" t="str">
        <f>IF($B431="","",IF(AO$3=0,"n.b.",INDEX(SRC_Woningetalage!$A$1:$ZZ$501,$A431,AO$3)))</f>
        <v/>
      </c>
      <c r="AP431" s="124" t="str">
        <f>IF($B431="","",IF(AP$3=0,"n.b.",INDEX(SRC_Woningetalage!$A$1:$ZZ$501,$A431,AP$3)))</f>
        <v/>
      </c>
      <c r="AQ431" s="124" t="str">
        <f>IF($B431="","",IF(AQ$3=0,"n.b.",INDEX(SRC_Woningetalage!$A$1:$ZZ$501,$A431,AQ$3)))</f>
        <v/>
      </c>
      <c r="AR431" s="124" t="str">
        <f>IF($B431="","",IF(AR$3=0,"n.b.",INDEX(SRC_Woningetalage!$A$1:$ZZ$501,$A431,AR$3)))</f>
        <v/>
      </c>
      <c r="AS431" s="124" t="str">
        <f>IF($B431="","",IF(AS$3=0,"n.b.",INDEX(SRC_Woningetalage!$A$1:$ZZ$501,$A431,AS$3)))</f>
        <v/>
      </c>
      <c r="AT431" s="124" t="str">
        <f>IF($B431="","",IF(AT$3=0,"n.b.",INDEX(SRC_Woningetalage!$A$1:$ZZ$501,$A431,AT$3)))</f>
        <v/>
      </c>
      <c r="AU431" s="124" t="str">
        <f>IF($B431="","",IF(AU$3=0,"n.b.",INDEX(SRC_Woningetalage!$A$1:$ZZ$501,$A431,AU$3)))</f>
        <v/>
      </c>
      <c r="AV431" s="124" t="str">
        <f>IF($B431="","",IF(AV$3=0,"n.b.",INDEX(SRC_Woningetalage!$A$1:$ZZ$501,$A431,AV$3)))</f>
        <v/>
      </c>
      <c r="AW431" s="124" t="str">
        <f>IF($B431="","",IF(AW$3=0,"n.b.",INDEX(SRC_Woningetalage!$A$1:$ZZ$501,$A431,AW$3)))</f>
        <v/>
      </c>
      <c r="AX431" s="124" t="str">
        <f>IF($B431="","",IF(AX$3=0,"n.b.",INDEX(SRC_Woningetalage!$A$1:$ZZ$501,$A431,AX$3)))</f>
        <v/>
      </c>
      <c r="AY431" s="124" t="str">
        <f>IF($B431="","",IF(AY$3=0,"n.b.",INDEX(SRC_Woningetalage!$A$1:$ZZ$501,$A431,AY$3)))</f>
        <v/>
      </c>
      <c r="AZ431" s="124" t="str">
        <f>IF($B431="","",IF(AZ$3=0,"n.b.",INDEX(SRC_Woningetalage!$A$1:$ZZ$501,$A431,AZ$3)))</f>
        <v/>
      </c>
      <c r="BA431" s="124" t="str">
        <f>IF($B431="","",IF(BA$3=0,"n.b.",INDEX(SRC_Woningetalage!$A$1:$ZZ$501,$A431,BA$3)))</f>
        <v/>
      </c>
      <c r="BB431" s="124" t="str">
        <f>IF($B431="","",IF(BB$3=0,"n.b.",INDEX(SRC_Woningetalage!$A$1:$ZZ$501,$A431,BB$3)))</f>
        <v/>
      </c>
      <c r="BC431" s="124" t="str">
        <f>IF($B431="","",IFERROR(_xlfn.NUMBERVALUE(E431&amp;"",",","."),"n.b."))</f>
        <v/>
      </c>
      <c r="BD431" s="124" t="str">
        <f>IF($B431="","",IFERROR(_xlfn.NUMBERVALUE(M431&amp;"",",","."),"n.b."))</f>
        <v/>
      </c>
      <c r="BE431" s="124" t="str">
        <f>IF($B431="","",IFERROR(AB431+AC431+AD431,"n.b."))</f>
        <v/>
      </c>
      <c r="BF431" s="124" t="str">
        <f>IF($B431="","",IFERROR(AE431+AF431+AG431,"n.b."))</f>
        <v/>
      </c>
      <c r="BG431" s="124" t="str">
        <f>IF($B431="","",IFERROR(AH431+AI431+AJ431,"n.b."))</f>
        <v/>
      </c>
      <c r="BH431" s="124" t="str">
        <f>IF($B431="","",IFERROR(AK431+AL431+AM431,"n.b."))</f>
        <v/>
      </c>
      <c r="BI431" s="124" t="str">
        <f>IF($B431="","",IFERROR(SUMIF($AB$5:$AM$5,"&lt;="&amp;P_PeilMaand,AB431:AM431),"n.b."))</f>
        <v/>
      </c>
      <c r="BJ431" s="124" t="str">
        <f>IF($B431="","",IFERROR(SUM(AB431:AM431)-BI431,"n.b."))</f>
        <v/>
      </c>
      <c r="BK431" s="124" t="str">
        <f>IF($B431="","",IFERROR(IF(ABS(Q431-(T431+SUM(AB431:AM431)+AS431+AU431))&gt;P_Tol,1,0),1))</f>
        <v/>
      </c>
      <c r="BL431" s="124" t="str">
        <f>IF($B431="","",IFERROR(IF(ABS(AA431-(Q431-Z431))&gt;P_Tol,1,0),1))</f>
        <v/>
      </c>
      <c r="BM431" s="124" t="str">
        <f>IF($B431="","",IFERROR(IF(ABS(Z431-(T431+W431))&gt;P_Tol,1,0),1))</f>
        <v/>
      </c>
      <c r="BN431" s="124" t="str">
        <f>IF($B431="","",IFERROR(IF(ABS(W431-BI431)&gt;P_Tol,1,0),1))</f>
        <v/>
      </c>
      <c r="BO431" s="124" t="str">
        <f>IF($B431="","",IFERROR(IF(OR(ABS(R431+S431-T431)&gt;P_Tol,ABS(U431+V431-W431)&gt;P_Tol,ABS(X431+Y431-Z431)&gt;P_Tol),1,0),1))</f>
        <v/>
      </c>
      <c r="BP431" s="124" t="str">
        <f>IF($B431="","",IFERROR(IF(OR(ABS(AR431-SUM(AB431:AM431))&gt;P_Tol,ABS(AS431-(AN431+AO431+AP431+AQ431))&gt;P_Tol),1,0),1))</f>
        <v/>
      </c>
      <c r="BQ431" s="124" t="str">
        <f>IF($B431="","",IFERROR(IF(ABS(AT431)+ABS(AV431)+ABS(AW431)+ABS(AX431)+ABS(AY431)+ABS(AZ431)+ABS(BA431)+ABS(BB431)&gt;0,1,0),1))</f>
        <v/>
      </c>
      <c r="BR431" s="124" t="str">
        <f>IF($B431="","",COUNTIF(STG_ZPMW03!$B$6:$B$505,B431))</f>
        <v/>
      </c>
      <c r="BS431" s="124" t="str">
        <f>IF($B431="","",COUNTIF($B$6:$B$505,B431))</f>
        <v/>
      </c>
      <c r="BT431" s="124" t="str">
        <f>IF($B431="","",IF(BR431=0,0,IF(INDEX(STG_ZPMW03!$I$6:$I$505,MATCH(B431,STG_ZPMW03!$B$6:$B$505,0))=J431&amp;"",0,1)))</f>
        <v/>
      </c>
      <c r="BU431" s="124" t="str">
        <f>IF($B431="","",IFERROR(IF(ABS(INDEX(Mapping!$D$5:$D$104,MATCH(B431,Mapping!$A$5:$A$104,0))-Q431)&gt;P_Tol,1,0),0))</f>
        <v/>
      </c>
      <c r="BV431" s="124" t="str">
        <f>IF($B431="","",IFERROR(IF(AND(INDEX(Mapping!$G$5:$G$104,MATCH(B431,Mapping!$A$5:$A$104,0))="Nee",ABS(Q431)+ABS(Z431)+ABS(AR431)&gt;0),1,0),0))</f>
        <v/>
      </c>
      <c r="BW431" s="124" t="str">
        <f>IF($B431="","",IF(COUNTIF(Mapping!$A$5:$A$104,B431)&gt;0,1,0))</f>
        <v/>
      </c>
      <c r="BX431" s="124" t="str">
        <f>IF($B431="","",IF(BR431=0,COUNTIF($BR$6:BR431,0),""))</f>
        <v/>
      </c>
    </row>
    <row r="432">
      <c r="A432" s="15" t="n">
        <v>428</v>
      </c>
      <c r="B432" t="str">
        <f>IF(B$3=0,"",IF(INDEX(SRC_Woningetalage!$A$1:$ZZ$501,$A432,B$3)&amp;""="","",INDEX(SRC_Woningetalage!$A$1:$ZZ$501,$A432,B$3)&amp;""))</f>
        <v/>
      </c>
      <c r="C432" t="str">
        <f>IF($B432="","",IF(C$3=0,"n.b.",INDEX(SRC_Woningetalage!$A$1:$ZZ$501,$A432,C$3)))</f>
        <v/>
      </c>
      <c r="D432" t="str">
        <f>IF($B432="","",IF(D$3=0,"n.b.",INDEX(SRC_Woningetalage!$A$1:$ZZ$501,$A432,D$3)))</f>
        <v/>
      </c>
      <c r="E432" t="str">
        <f>IF($B432="","",IF(E$3=0,"n.b.",INDEX(SRC_Woningetalage!$A$1:$ZZ$501,$A432,E$3)))</f>
        <v/>
      </c>
      <c r="F432" t="str">
        <f>IF($B432="","",IF(F$3=0,"n.b.",INDEX(SRC_Woningetalage!$A$1:$ZZ$501,$A432,F$3)))</f>
        <v/>
      </c>
      <c r="G432" t="str">
        <f>IF($B432="","",IF(G$3=0,"n.b.",INDEX(SRC_Woningetalage!$A$1:$ZZ$501,$A432,G$3)))</f>
        <v/>
      </c>
      <c r="H432" t="str">
        <f>IF($B432="","",IF(H$3=0,"n.b.",INDEX(SRC_Woningetalage!$A$1:$ZZ$501,$A432,H$3)))</f>
        <v/>
      </c>
      <c r="I432" t="str">
        <f>IF($B432="","",IF(I$3=0,"n.b.",INDEX(SRC_Woningetalage!$A$1:$ZZ$501,$A432,I$3)))</f>
        <v/>
      </c>
      <c r="J432" t="str">
        <f>IF($B432="","",IF(J$3=0,"n.b.",INDEX(SRC_Woningetalage!$A$1:$ZZ$501,$A432,J$3)))</f>
        <v/>
      </c>
      <c r="K432" t="str">
        <f>IF($B432="","",IF(K$3=0,"n.b.",INDEX(SRC_Woningetalage!$A$1:$ZZ$501,$A432,K$3)))</f>
        <v/>
      </c>
      <c r="L432" t="str">
        <f>IF($B432="","",IF(L$3=0,"n.b.",INDEX(SRC_Woningetalage!$A$1:$ZZ$501,$A432,L$3)))</f>
        <v/>
      </c>
      <c r="M432" t="str">
        <f>IF($B432="","",IF(M$3=0,"n.b.",INDEX(SRC_Woningetalage!$A$1:$ZZ$501,$A432,M$3)))</f>
        <v/>
      </c>
      <c r="N432" t="str">
        <f>IF($B432="","",IF(N$3=0,"n.b.",INDEX(SRC_Woningetalage!$A$1:$ZZ$501,$A432,N$3)))</f>
        <v/>
      </c>
      <c r="O432" t="str">
        <f>IF($B432="","",IF(O$3=0,"n.b.",INDEX(SRC_Woningetalage!$A$1:$ZZ$501,$A432,O$3)))</f>
        <v/>
      </c>
      <c r="P432" t="str">
        <f>IF($B432="","",IF(P$3=0,"n.b.",INDEX(SRC_Woningetalage!$A$1:$ZZ$501,$A432,P$3)))</f>
        <v/>
      </c>
      <c r="Q432" s="124" t="str">
        <f>IF($B432="","",IF(Q$3=0,"n.b.",INDEX(SRC_Woningetalage!$A$1:$ZZ$501,$A432,Q$3)))</f>
        <v/>
      </c>
      <c r="R432" s="124" t="str">
        <f>IF($B432="","",IF(R$3=0,"n.b.",INDEX(SRC_Woningetalage!$A$1:$ZZ$501,$A432,R$3)))</f>
        <v/>
      </c>
      <c r="S432" s="124" t="str">
        <f>IF($B432="","",IF(S$3=0,"n.b.",INDEX(SRC_Woningetalage!$A$1:$ZZ$501,$A432,S$3)))</f>
        <v/>
      </c>
      <c r="T432" s="124" t="str">
        <f>IF($B432="","",IF(T$3=0,"n.b.",INDEX(SRC_Woningetalage!$A$1:$ZZ$501,$A432,T$3)))</f>
        <v/>
      </c>
      <c r="U432" s="124" t="str">
        <f>IF($B432="","",IF(U$3=0,"n.b.",INDEX(SRC_Woningetalage!$A$1:$ZZ$501,$A432,U$3)))</f>
        <v/>
      </c>
      <c r="V432" s="124" t="str">
        <f>IF($B432="","",IF(V$3=0,"n.b.",INDEX(SRC_Woningetalage!$A$1:$ZZ$501,$A432,V$3)))</f>
        <v/>
      </c>
      <c r="W432" s="124" t="str">
        <f>IF($B432="","",IF(W$3=0,"n.b.",INDEX(SRC_Woningetalage!$A$1:$ZZ$501,$A432,W$3)))</f>
        <v/>
      </c>
      <c r="X432" s="124" t="str">
        <f>IF($B432="","",IF(X$3=0,"n.b.",INDEX(SRC_Woningetalage!$A$1:$ZZ$501,$A432,X$3)))</f>
        <v/>
      </c>
      <c r="Y432" s="124" t="str">
        <f>IF($B432="","",IF(Y$3=0,"n.b.",INDEX(SRC_Woningetalage!$A$1:$ZZ$501,$A432,Y$3)))</f>
        <v/>
      </c>
      <c r="Z432" s="124" t="str">
        <f>IF($B432="","",IF(Z$3=0,"n.b.",INDEX(SRC_Woningetalage!$A$1:$ZZ$501,$A432,Z$3)))</f>
        <v/>
      </c>
      <c r="AA432" s="124" t="str">
        <f>IF($B432="","",IF(AA$3=0,"n.b.",INDEX(SRC_Woningetalage!$A$1:$ZZ$501,$A432,AA$3)))</f>
        <v/>
      </c>
      <c r="AB432" s="124" t="str">
        <f>IF($B432="","",IF(AB$3=0,"n.b.",INDEX(SRC_Woningetalage!$A$1:$ZZ$501,$A432,AB$3)))</f>
        <v/>
      </c>
      <c r="AC432" s="124" t="str">
        <f>IF($B432="","",IF(AC$3=0,"n.b.",INDEX(SRC_Woningetalage!$A$1:$ZZ$501,$A432,AC$3)))</f>
        <v/>
      </c>
      <c r="AD432" s="124" t="str">
        <f>IF($B432="","",IF(AD$3=0,"n.b.",INDEX(SRC_Woningetalage!$A$1:$ZZ$501,$A432,AD$3)))</f>
        <v/>
      </c>
      <c r="AE432" s="124" t="str">
        <f>IF($B432="","",IF(AE$3=0,"n.b.",INDEX(SRC_Woningetalage!$A$1:$ZZ$501,$A432,AE$3)))</f>
        <v/>
      </c>
      <c r="AF432" s="124" t="str">
        <f>IF($B432="","",IF(AF$3=0,"n.b.",INDEX(SRC_Woningetalage!$A$1:$ZZ$501,$A432,AF$3)))</f>
        <v/>
      </c>
      <c r="AG432" s="124" t="str">
        <f>IF($B432="","",IF(AG$3=0,"n.b.",INDEX(SRC_Woningetalage!$A$1:$ZZ$501,$A432,AG$3)))</f>
        <v/>
      </c>
      <c r="AH432" s="124" t="str">
        <f>IF($B432="","",IF(AH$3=0,"n.b.",INDEX(SRC_Woningetalage!$A$1:$ZZ$501,$A432,AH$3)))</f>
        <v/>
      </c>
      <c r="AI432" s="124" t="str">
        <f>IF($B432="","",IF(AI$3=0,"n.b.",INDEX(SRC_Woningetalage!$A$1:$ZZ$501,$A432,AI$3)))</f>
        <v/>
      </c>
      <c r="AJ432" s="124" t="str">
        <f>IF($B432="","",IF(AJ$3=0,"n.b.",INDEX(SRC_Woningetalage!$A$1:$ZZ$501,$A432,AJ$3)))</f>
        <v/>
      </c>
      <c r="AK432" s="124" t="str">
        <f>IF($B432="","",IF(AK$3=0,"n.b.",INDEX(SRC_Woningetalage!$A$1:$ZZ$501,$A432,AK$3)))</f>
        <v/>
      </c>
      <c r="AL432" s="124" t="str">
        <f>IF($B432="","",IF(AL$3=0,"n.b.",INDEX(SRC_Woningetalage!$A$1:$ZZ$501,$A432,AL$3)))</f>
        <v/>
      </c>
      <c r="AM432" s="124" t="str">
        <f>IF($B432="","",IF(AM$3=0,"n.b.",INDEX(SRC_Woningetalage!$A$1:$ZZ$501,$A432,AM$3)))</f>
        <v/>
      </c>
      <c r="AN432" s="124" t="str">
        <f>IF($B432="","",IF(AN$3=0,"n.b.",INDEX(SRC_Woningetalage!$A$1:$ZZ$501,$A432,AN$3)))</f>
        <v/>
      </c>
      <c r="AO432" s="124" t="str">
        <f>IF($B432="","",IF(AO$3=0,"n.b.",INDEX(SRC_Woningetalage!$A$1:$ZZ$501,$A432,AO$3)))</f>
        <v/>
      </c>
      <c r="AP432" s="124" t="str">
        <f>IF($B432="","",IF(AP$3=0,"n.b.",INDEX(SRC_Woningetalage!$A$1:$ZZ$501,$A432,AP$3)))</f>
        <v/>
      </c>
      <c r="AQ432" s="124" t="str">
        <f>IF($B432="","",IF(AQ$3=0,"n.b.",INDEX(SRC_Woningetalage!$A$1:$ZZ$501,$A432,AQ$3)))</f>
        <v/>
      </c>
      <c r="AR432" s="124" t="str">
        <f>IF($B432="","",IF(AR$3=0,"n.b.",INDEX(SRC_Woningetalage!$A$1:$ZZ$501,$A432,AR$3)))</f>
        <v/>
      </c>
      <c r="AS432" s="124" t="str">
        <f>IF($B432="","",IF(AS$3=0,"n.b.",INDEX(SRC_Woningetalage!$A$1:$ZZ$501,$A432,AS$3)))</f>
        <v/>
      </c>
      <c r="AT432" s="124" t="str">
        <f>IF($B432="","",IF(AT$3=0,"n.b.",INDEX(SRC_Woningetalage!$A$1:$ZZ$501,$A432,AT$3)))</f>
        <v/>
      </c>
      <c r="AU432" s="124" t="str">
        <f>IF($B432="","",IF(AU$3=0,"n.b.",INDEX(SRC_Woningetalage!$A$1:$ZZ$501,$A432,AU$3)))</f>
        <v/>
      </c>
      <c r="AV432" s="124" t="str">
        <f>IF($B432="","",IF(AV$3=0,"n.b.",INDEX(SRC_Woningetalage!$A$1:$ZZ$501,$A432,AV$3)))</f>
        <v/>
      </c>
      <c r="AW432" s="124" t="str">
        <f>IF($B432="","",IF(AW$3=0,"n.b.",INDEX(SRC_Woningetalage!$A$1:$ZZ$501,$A432,AW$3)))</f>
        <v/>
      </c>
      <c r="AX432" s="124" t="str">
        <f>IF($B432="","",IF(AX$3=0,"n.b.",INDEX(SRC_Woningetalage!$A$1:$ZZ$501,$A432,AX$3)))</f>
        <v/>
      </c>
      <c r="AY432" s="124" t="str">
        <f>IF($B432="","",IF(AY$3=0,"n.b.",INDEX(SRC_Woningetalage!$A$1:$ZZ$501,$A432,AY$3)))</f>
        <v/>
      </c>
      <c r="AZ432" s="124" t="str">
        <f>IF($B432="","",IF(AZ$3=0,"n.b.",INDEX(SRC_Woningetalage!$A$1:$ZZ$501,$A432,AZ$3)))</f>
        <v/>
      </c>
      <c r="BA432" s="124" t="str">
        <f>IF($B432="","",IF(BA$3=0,"n.b.",INDEX(SRC_Woningetalage!$A$1:$ZZ$501,$A432,BA$3)))</f>
        <v/>
      </c>
      <c r="BB432" s="124" t="str">
        <f>IF($B432="","",IF(BB$3=0,"n.b.",INDEX(SRC_Woningetalage!$A$1:$ZZ$501,$A432,BB$3)))</f>
        <v/>
      </c>
      <c r="BC432" s="124" t="str">
        <f>IF($B432="","",IFERROR(_xlfn.NUMBERVALUE(E432&amp;"",",","."),"n.b."))</f>
        <v/>
      </c>
      <c r="BD432" s="124" t="str">
        <f>IF($B432="","",IFERROR(_xlfn.NUMBERVALUE(M432&amp;"",",","."),"n.b."))</f>
        <v/>
      </c>
      <c r="BE432" s="124" t="str">
        <f>IF($B432="","",IFERROR(AB432+AC432+AD432,"n.b."))</f>
        <v/>
      </c>
      <c r="BF432" s="124" t="str">
        <f>IF($B432="","",IFERROR(AE432+AF432+AG432,"n.b."))</f>
        <v/>
      </c>
      <c r="BG432" s="124" t="str">
        <f>IF($B432="","",IFERROR(AH432+AI432+AJ432,"n.b."))</f>
        <v/>
      </c>
      <c r="BH432" s="124" t="str">
        <f>IF($B432="","",IFERROR(AK432+AL432+AM432,"n.b."))</f>
        <v/>
      </c>
      <c r="BI432" s="124" t="str">
        <f>IF($B432="","",IFERROR(SUMIF($AB$5:$AM$5,"&lt;="&amp;P_PeilMaand,AB432:AM432),"n.b."))</f>
        <v/>
      </c>
      <c r="BJ432" s="124" t="str">
        <f>IF($B432="","",IFERROR(SUM(AB432:AM432)-BI432,"n.b."))</f>
        <v/>
      </c>
      <c r="BK432" s="124" t="str">
        <f>IF($B432="","",IFERROR(IF(ABS(Q432-(T432+SUM(AB432:AM432)+AS432+AU432))&gt;P_Tol,1,0),1))</f>
        <v/>
      </c>
      <c r="BL432" s="124" t="str">
        <f>IF($B432="","",IFERROR(IF(ABS(AA432-(Q432-Z432))&gt;P_Tol,1,0),1))</f>
        <v/>
      </c>
      <c r="BM432" s="124" t="str">
        <f>IF($B432="","",IFERROR(IF(ABS(Z432-(T432+W432))&gt;P_Tol,1,0),1))</f>
        <v/>
      </c>
      <c r="BN432" s="124" t="str">
        <f>IF($B432="","",IFERROR(IF(ABS(W432-BI432)&gt;P_Tol,1,0),1))</f>
        <v/>
      </c>
      <c r="BO432" s="124" t="str">
        <f>IF($B432="","",IFERROR(IF(OR(ABS(R432+S432-T432)&gt;P_Tol,ABS(U432+V432-W432)&gt;P_Tol,ABS(X432+Y432-Z432)&gt;P_Tol),1,0),1))</f>
        <v/>
      </c>
      <c r="BP432" s="124" t="str">
        <f>IF($B432="","",IFERROR(IF(OR(ABS(AR432-SUM(AB432:AM432))&gt;P_Tol,ABS(AS432-(AN432+AO432+AP432+AQ432))&gt;P_Tol),1,0),1))</f>
        <v/>
      </c>
      <c r="BQ432" s="124" t="str">
        <f>IF($B432="","",IFERROR(IF(ABS(AT432)+ABS(AV432)+ABS(AW432)+ABS(AX432)+ABS(AY432)+ABS(AZ432)+ABS(BA432)+ABS(BB432)&gt;0,1,0),1))</f>
        <v/>
      </c>
      <c r="BR432" s="124" t="str">
        <f>IF($B432="","",COUNTIF(STG_ZPMW03!$B$6:$B$505,B432))</f>
        <v/>
      </c>
      <c r="BS432" s="124" t="str">
        <f>IF($B432="","",COUNTIF($B$6:$B$505,B432))</f>
        <v/>
      </c>
      <c r="BT432" s="124" t="str">
        <f>IF($B432="","",IF(BR432=0,0,IF(INDEX(STG_ZPMW03!$I$6:$I$505,MATCH(B432,STG_ZPMW03!$B$6:$B$505,0))=J432&amp;"",0,1)))</f>
        <v/>
      </c>
      <c r="BU432" s="124" t="str">
        <f>IF($B432="","",IFERROR(IF(ABS(INDEX(Mapping!$D$5:$D$104,MATCH(B432,Mapping!$A$5:$A$104,0))-Q432)&gt;P_Tol,1,0),0))</f>
        <v/>
      </c>
      <c r="BV432" s="124" t="str">
        <f>IF($B432="","",IFERROR(IF(AND(INDEX(Mapping!$G$5:$G$104,MATCH(B432,Mapping!$A$5:$A$104,0))="Nee",ABS(Q432)+ABS(Z432)+ABS(AR432)&gt;0),1,0),0))</f>
        <v/>
      </c>
      <c r="BW432" s="124" t="str">
        <f>IF($B432="","",IF(COUNTIF(Mapping!$A$5:$A$104,B432)&gt;0,1,0))</f>
        <v/>
      </c>
      <c r="BX432" s="124" t="str">
        <f>IF($B432="","",IF(BR432=0,COUNTIF($BR$6:BR432,0),""))</f>
        <v/>
      </c>
    </row>
    <row r="433">
      <c r="A433" s="15" t="n">
        <v>429</v>
      </c>
      <c r="B433" t="str">
        <f>IF(B$3=0,"",IF(INDEX(SRC_Woningetalage!$A$1:$ZZ$501,$A433,B$3)&amp;""="","",INDEX(SRC_Woningetalage!$A$1:$ZZ$501,$A433,B$3)&amp;""))</f>
        <v/>
      </c>
      <c r="C433" t="str">
        <f>IF($B433="","",IF(C$3=0,"n.b.",INDEX(SRC_Woningetalage!$A$1:$ZZ$501,$A433,C$3)))</f>
        <v/>
      </c>
      <c r="D433" t="str">
        <f>IF($B433="","",IF(D$3=0,"n.b.",INDEX(SRC_Woningetalage!$A$1:$ZZ$501,$A433,D$3)))</f>
        <v/>
      </c>
      <c r="E433" t="str">
        <f>IF($B433="","",IF(E$3=0,"n.b.",INDEX(SRC_Woningetalage!$A$1:$ZZ$501,$A433,E$3)))</f>
        <v/>
      </c>
      <c r="F433" t="str">
        <f>IF($B433="","",IF(F$3=0,"n.b.",INDEX(SRC_Woningetalage!$A$1:$ZZ$501,$A433,F$3)))</f>
        <v/>
      </c>
      <c r="G433" t="str">
        <f>IF($B433="","",IF(G$3=0,"n.b.",INDEX(SRC_Woningetalage!$A$1:$ZZ$501,$A433,G$3)))</f>
        <v/>
      </c>
      <c r="H433" t="str">
        <f>IF($B433="","",IF(H$3=0,"n.b.",INDEX(SRC_Woningetalage!$A$1:$ZZ$501,$A433,H$3)))</f>
        <v/>
      </c>
      <c r="I433" t="str">
        <f>IF($B433="","",IF(I$3=0,"n.b.",INDEX(SRC_Woningetalage!$A$1:$ZZ$501,$A433,I$3)))</f>
        <v/>
      </c>
      <c r="J433" t="str">
        <f>IF($B433="","",IF(J$3=0,"n.b.",INDEX(SRC_Woningetalage!$A$1:$ZZ$501,$A433,J$3)))</f>
        <v/>
      </c>
      <c r="K433" t="str">
        <f>IF($B433="","",IF(K$3=0,"n.b.",INDEX(SRC_Woningetalage!$A$1:$ZZ$501,$A433,K$3)))</f>
        <v/>
      </c>
      <c r="L433" t="str">
        <f>IF($B433="","",IF(L$3=0,"n.b.",INDEX(SRC_Woningetalage!$A$1:$ZZ$501,$A433,L$3)))</f>
        <v/>
      </c>
      <c r="M433" t="str">
        <f>IF($B433="","",IF(M$3=0,"n.b.",INDEX(SRC_Woningetalage!$A$1:$ZZ$501,$A433,M$3)))</f>
        <v/>
      </c>
      <c r="N433" t="str">
        <f>IF($B433="","",IF(N$3=0,"n.b.",INDEX(SRC_Woningetalage!$A$1:$ZZ$501,$A433,N$3)))</f>
        <v/>
      </c>
      <c r="O433" t="str">
        <f>IF($B433="","",IF(O$3=0,"n.b.",INDEX(SRC_Woningetalage!$A$1:$ZZ$501,$A433,O$3)))</f>
        <v/>
      </c>
      <c r="P433" t="str">
        <f>IF($B433="","",IF(P$3=0,"n.b.",INDEX(SRC_Woningetalage!$A$1:$ZZ$501,$A433,P$3)))</f>
        <v/>
      </c>
      <c r="Q433" s="124" t="str">
        <f>IF($B433="","",IF(Q$3=0,"n.b.",INDEX(SRC_Woningetalage!$A$1:$ZZ$501,$A433,Q$3)))</f>
        <v/>
      </c>
      <c r="R433" s="124" t="str">
        <f>IF($B433="","",IF(R$3=0,"n.b.",INDEX(SRC_Woningetalage!$A$1:$ZZ$501,$A433,R$3)))</f>
        <v/>
      </c>
      <c r="S433" s="124" t="str">
        <f>IF($B433="","",IF(S$3=0,"n.b.",INDEX(SRC_Woningetalage!$A$1:$ZZ$501,$A433,S$3)))</f>
        <v/>
      </c>
      <c r="T433" s="124" t="str">
        <f>IF($B433="","",IF(T$3=0,"n.b.",INDEX(SRC_Woningetalage!$A$1:$ZZ$501,$A433,T$3)))</f>
        <v/>
      </c>
      <c r="U433" s="124" t="str">
        <f>IF($B433="","",IF(U$3=0,"n.b.",INDEX(SRC_Woningetalage!$A$1:$ZZ$501,$A433,U$3)))</f>
        <v/>
      </c>
      <c r="V433" s="124" t="str">
        <f>IF($B433="","",IF(V$3=0,"n.b.",INDEX(SRC_Woningetalage!$A$1:$ZZ$501,$A433,V$3)))</f>
        <v/>
      </c>
      <c r="W433" s="124" t="str">
        <f>IF($B433="","",IF(W$3=0,"n.b.",INDEX(SRC_Woningetalage!$A$1:$ZZ$501,$A433,W$3)))</f>
        <v/>
      </c>
      <c r="X433" s="124" t="str">
        <f>IF($B433="","",IF(X$3=0,"n.b.",INDEX(SRC_Woningetalage!$A$1:$ZZ$501,$A433,X$3)))</f>
        <v/>
      </c>
      <c r="Y433" s="124" t="str">
        <f>IF($B433="","",IF(Y$3=0,"n.b.",INDEX(SRC_Woningetalage!$A$1:$ZZ$501,$A433,Y$3)))</f>
        <v/>
      </c>
      <c r="Z433" s="124" t="str">
        <f>IF($B433="","",IF(Z$3=0,"n.b.",INDEX(SRC_Woningetalage!$A$1:$ZZ$501,$A433,Z$3)))</f>
        <v/>
      </c>
      <c r="AA433" s="124" t="str">
        <f>IF($B433="","",IF(AA$3=0,"n.b.",INDEX(SRC_Woningetalage!$A$1:$ZZ$501,$A433,AA$3)))</f>
        <v/>
      </c>
      <c r="AB433" s="124" t="str">
        <f>IF($B433="","",IF(AB$3=0,"n.b.",INDEX(SRC_Woningetalage!$A$1:$ZZ$501,$A433,AB$3)))</f>
        <v/>
      </c>
      <c r="AC433" s="124" t="str">
        <f>IF($B433="","",IF(AC$3=0,"n.b.",INDEX(SRC_Woningetalage!$A$1:$ZZ$501,$A433,AC$3)))</f>
        <v/>
      </c>
      <c r="AD433" s="124" t="str">
        <f>IF($B433="","",IF(AD$3=0,"n.b.",INDEX(SRC_Woningetalage!$A$1:$ZZ$501,$A433,AD$3)))</f>
        <v/>
      </c>
      <c r="AE433" s="124" t="str">
        <f>IF($B433="","",IF(AE$3=0,"n.b.",INDEX(SRC_Woningetalage!$A$1:$ZZ$501,$A433,AE$3)))</f>
        <v/>
      </c>
      <c r="AF433" s="124" t="str">
        <f>IF($B433="","",IF(AF$3=0,"n.b.",INDEX(SRC_Woningetalage!$A$1:$ZZ$501,$A433,AF$3)))</f>
        <v/>
      </c>
      <c r="AG433" s="124" t="str">
        <f>IF($B433="","",IF(AG$3=0,"n.b.",INDEX(SRC_Woningetalage!$A$1:$ZZ$501,$A433,AG$3)))</f>
        <v/>
      </c>
      <c r="AH433" s="124" t="str">
        <f>IF($B433="","",IF(AH$3=0,"n.b.",INDEX(SRC_Woningetalage!$A$1:$ZZ$501,$A433,AH$3)))</f>
        <v/>
      </c>
      <c r="AI433" s="124" t="str">
        <f>IF($B433="","",IF(AI$3=0,"n.b.",INDEX(SRC_Woningetalage!$A$1:$ZZ$501,$A433,AI$3)))</f>
        <v/>
      </c>
      <c r="AJ433" s="124" t="str">
        <f>IF($B433="","",IF(AJ$3=0,"n.b.",INDEX(SRC_Woningetalage!$A$1:$ZZ$501,$A433,AJ$3)))</f>
        <v/>
      </c>
      <c r="AK433" s="124" t="str">
        <f>IF($B433="","",IF(AK$3=0,"n.b.",INDEX(SRC_Woningetalage!$A$1:$ZZ$501,$A433,AK$3)))</f>
        <v/>
      </c>
      <c r="AL433" s="124" t="str">
        <f>IF($B433="","",IF(AL$3=0,"n.b.",INDEX(SRC_Woningetalage!$A$1:$ZZ$501,$A433,AL$3)))</f>
        <v/>
      </c>
      <c r="AM433" s="124" t="str">
        <f>IF($B433="","",IF(AM$3=0,"n.b.",INDEX(SRC_Woningetalage!$A$1:$ZZ$501,$A433,AM$3)))</f>
        <v/>
      </c>
      <c r="AN433" s="124" t="str">
        <f>IF($B433="","",IF(AN$3=0,"n.b.",INDEX(SRC_Woningetalage!$A$1:$ZZ$501,$A433,AN$3)))</f>
        <v/>
      </c>
      <c r="AO433" s="124" t="str">
        <f>IF($B433="","",IF(AO$3=0,"n.b.",INDEX(SRC_Woningetalage!$A$1:$ZZ$501,$A433,AO$3)))</f>
        <v/>
      </c>
      <c r="AP433" s="124" t="str">
        <f>IF($B433="","",IF(AP$3=0,"n.b.",INDEX(SRC_Woningetalage!$A$1:$ZZ$501,$A433,AP$3)))</f>
        <v/>
      </c>
      <c r="AQ433" s="124" t="str">
        <f>IF($B433="","",IF(AQ$3=0,"n.b.",INDEX(SRC_Woningetalage!$A$1:$ZZ$501,$A433,AQ$3)))</f>
        <v/>
      </c>
      <c r="AR433" s="124" t="str">
        <f>IF($B433="","",IF(AR$3=0,"n.b.",INDEX(SRC_Woningetalage!$A$1:$ZZ$501,$A433,AR$3)))</f>
        <v/>
      </c>
      <c r="AS433" s="124" t="str">
        <f>IF($B433="","",IF(AS$3=0,"n.b.",INDEX(SRC_Woningetalage!$A$1:$ZZ$501,$A433,AS$3)))</f>
        <v/>
      </c>
      <c r="AT433" s="124" t="str">
        <f>IF($B433="","",IF(AT$3=0,"n.b.",INDEX(SRC_Woningetalage!$A$1:$ZZ$501,$A433,AT$3)))</f>
        <v/>
      </c>
      <c r="AU433" s="124" t="str">
        <f>IF($B433="","",IF(AU$3=0,"n.b.",INDEX(SRC_Woningetalage!$A$1:$ZZ$501,$A433,AU$3)))</f>
        <v/>
      </c>
      <c r="AV433" s="124" t="str">
        <f>IF($B433="","",IF(AV$3=0,"n.b.",INDEX(SRC_Woningetalage!$A$1:$ZZ$501,$A433,AV$3)))</f>
        <v/>
      </c>
      <c r="AW433" s="124" t="str">
        <f>IF($B433="","",IF(AW$3=0,"n.b.",INDEX(SRC_Woningetalage!$A$1:$ZZ$501,$A433,AW$3)))</f>
        <v/>
      </c>
      <c r="AX433" s="124" t="str">
        <f>IF($B433="","",IF(AX$3=0,"n.b.",INDEX(SRC_Woningetalage!$A$1:$ZZ$501,$A433,AX$3)))</f>
        <v/>
      </c>
      <c r="AY433" s="124" t="str">
        <f>IF($B433="","",IF(AY$3=0,"n.b.",INDEX(SRC_Woningetalage!$A$1:$ZZ$501,$A433,AY$3)))</f>
        <v/>
      </c>
      <c r="AZ433" s="124" t="str">
        <f>IF($B433="","",IF(AZ$3=0,"n.b.",INDEX(SRC_Woningetalage!$A$1:$ZZ$501,$A433,AZ$3)))</f>
        <v/>
      </c>
      <c r="BA433" s="124" t="str">
        <f>IF($B433="","",IF(BA$3=0,"n.b.",INDEX(SRC_Woningetalage!$A$1:$ZZ$501,$A433,BA$3)))</f>
        <v/>
      </c>
      <c r="BB433" s="124" t="str">
        <f>IF($B433="","",IF(BB$3=0,"n.b.",INDEX(SRC_Woningetalage!$A$1:$ZZ$501,$A433,BB$3)))</f>
        <v/>
      </c>
      <c r="BC433" s="124" t="str">
        <f>IF($B433="","",IFERROR(_xlfn.NUMBERVALUE(E433&amp;"",",","."),"n.b."))</f>
        <v/>
      </c>
      <c r="BD433" s="124" t="str">
        <f>IF($B433="","",IFERROR(_xlfn.NUMBERVALUE(M433&amp;"",",","."),"n.b."))</f>
        <v/>
      </c>
      <c r="BE433" s="124" t="str">
        <f>IF($B433="","",IFERROR(AB433+AC433+AD433,"n.b."))</f>
        <v/>
      </c>
      <c r="BF433" s="124" t="str">
        <f>IF($B433="","",IFERROR(AE433+AF433+AG433,"n.b."))</f>
        <v/>
      </c>
      <c r="BG433" s="124" t="str">
        <f>IF($B433="","",IFERROR(AH433+AI433+AJ433,"n.b."))</f>
        <v/>
      </c>
      <c r="BH433" s="124" t="str">
        <f>IF($B433="","",IFERROR(AK433+AL433+AM433,"n.b."))</f>
        <v/>
      </c>
      <c r="BI433" s="124" t="str">
        <f>IF($B433="","",IFERROR(SUMIF($AB$5:$AM$5,"&lt;="&amp;P_PeilMaand,AB433:AM433),"n.b."))</f>
        <v/>
      </c>
      <c r="BJ433" s="124" t="str">
        <f>IF($B433="","",IFERROR(SUM(AB433:AM433)-BI433,"n.b."))</f>
        <v/>
      </c>
      <c r="BK433" s="124" t="str">
        <f>IF($B433="","",IFERROR(IF(ABS(Q433-(T433+SUM(AB433:AM433)+AS433+AU433))&gt;P_Tol,1,0),1))</f>
        <v/>
      </c>
      <c r="BL433" s="124" t="str">
        <f>IF($B433="","",IFERROR(IF(ABS(AA433-(Q433-Z433))&gt;P_Tol,1,0),1))</f>
        <v/>
      </c>
      <c r="BM433" s="124" t="str">
        <f>IF($B433="","",IFERROR(IF(ABS(Z433-(T433+W433))&gt;P_Tol,1,0),1))</f>
        <v/>
      </c>
      <c r="BN433" s="124" t="str">
        <f>IF($B433="","",IFERROR(IF(ABS(W433-BI433)&gt;P_Tol,1,0),1))</f>
        <v/>
      </c>
      <c r="BO433" s="124" t="str">
        <f>IF($B433="","",IFERROR(IF(OR(ABS(R433+S433-T433)&gt;P_Tol,ABS(U433+V433-W433)&gt;P_Tol,ABS(X433+Y433-Z433)&gt;P_Tol),1,0),1))</f>
        <v/>
      </c>
      <c r="BP433" s="124" t="str">
        <f>IF($B433="","",IFERROR(IF(OR(ABS(AR433-SUM(AB433:AM433))&gt;P_Tol,ABS(AS433-(AN433+AO433+AP433+AQ433))&gt;P_Tol),1,0),1))</f>
        <v/>
      </c>
      <c r="BQ433" s="124" t="str">
        <f>IF($B433="","",IFERROR(IF(ABS(AT433)+ABS(AV433)+ABS(AW433)+ABS(AX433)+ABS(AY433)+ABS(AZ433)+ABS(BA433)+ABS(BB433)&gt;0,1,0),1))</f>
        <v/>
      </c>
      <c r="BR433" s="124" t="str">
        <f>IF($B433="","",COUNTIF(STG_ZPMW03!$B$6:$B$505,B433))</f>
        <v/>
      </c>
      <c r="BS433" s="124" t="str">
        <f>IF($B433="","",COUNTIF($B$6:$B$505,B433))</f>
        <v/>
      </c>
      <c r="BT433" s="124" t="str">
        <f>IF($B433="","",IF(BR433=0,0,IF(INDEX(STG_ZPMW03!$I$6:$I$505,MATCH(B433,STG_ZPMW03!$B$6:$B$505,0))=J433&amp;"",0,1)))</f>
        <v/>
      </c>
      <c r="BU433" s="124" t="str">
        <f>IF($B433="","",IFERROR(IF(ABS(INDEX(Mapping!$D$5:$D$104,MATCH(B433,Mapping!$A$5:$A$104,0))-Q433)&gt;P_Tol,1,0),0))</f>
        <v/>
      </c>
      <c r="BV433" s="124" t="str">
        <f>IF($B433="","",IFERROR(IF(AND(INDEX(Mapping!$G$5:$G$104,MATCH(B433,Mapping!$A$5:$A$104,0))="Nee",ABS(Q433)+ABS(Z433)+ABS(AR433)&gt;0),1,0),0))</f>
        <v/>
      </c>
      <c r="BW433" s="124" t="str">
        <f>IF($B433="","",IF(COUNTIF(Mapping!$A$5:$A$104,B433)&gt;0,1,0))</f>
        <v/>
      </c>
      <c r="BX433" s="124" t="str">
        <f>IF($B433="","",IF(BR433=0,COUNTIF($BR$6:BR433,0),""))</f>
        <v/>
      </c>
    </row>
    <row r="434">
      <c r="A434" s="15" t="n">
        <v>430</v>
      </c>
      <c r="B434" t="str">
        <f>IF(B$3=0,"",IF(INDEX(SRC_Woningetalage!$A$1:$ZZ$501,$A434,B$3)&amp;""="","",INDEX(SRC_Woningetalage!$A$1:$ZZ$501,$A434,B$3)&amp;""))</f>
        <v/>
      </c>
      <c r="C434" t="str">
        <f>IF($B434="","",IF(C$3=0,"n.b.",INDEX(SRC_Woningetalage!$A$1:$ZZ$501,$A434,C$3)))</f>
        <v/>
      </c>
      <c r="D434" t="str">
        <f>IF($B434="","",IF(D$3=0,"n.b.",INDEX(SRC_Woningetalage!$A$1:$ZZ$501,$A434,D$3)))</f>
        <v/>
      </c>
      <c r="E434" t="str">
        <f>IF($B434="","",IF(E$3=0,"n.b.",INDEX(SRC_Woningetalage!$A$1:$ZZ$501,$A434,E$3)))</f>
        <v/>
      </c>
      <c r="F434" t="str">
        <f>IF($B434="","",IF(F$3=0,"n.b.",INDEX(SRC_Woningetalage!$A$1:$ZZ$501,$A434,F$3)))</f>
        <v/>
      </c>
      <c r="G434" t="str">
        <f>IF($B434="","",IF(G$3=0,"n.b.",INDEX(SRC_Woningetalage!$A$1:$ZZ$501,$A434,G$3)))</f>
        <v/>
      </c>
      <c r="H434" t="str">
        <f>IF($B434="","",IF(H$3=0,"n.b.",INDEX(SRC_Woningetalage!$A$1:$ZZ$501,$A434,H$3)))</f>
        <v/>
      </c>
      <c r="I434" t="str">
        <f>IF($B434="","",IF(I$3=0,"n.b.",INDEX(SRC_Woningetalage!$A$1:$ZZ$501,$A434,I$3)))</f>
        <v/>
      </c>
      <c r="J434" t="str">
        <f>IF($B434="","",IF(J$3=0,"n.b.",INDEX(SRC_Woningetalage!$A$1:$ZZ$501,$A434,J$3)))</f>
        <v/>
      </c>
      <c r="K434" t="str">
        <f>IF($B434="","",IF(K$3=0,"n.b.",INDEX(SRC_Woningetalage!$A$1:$ZZ$501,$A434,K$3)))</f>
        <v/>
      </c>
      <c r="L434" t="str">
        <f>IF($B434="","",IF(L$3=0,"n.b.",INDEX(SRC_Woningetalage!$A$1:$ZZ$501,$A434,L$3)))</f>
        <v/>
      </c>
      <c r="M434" t="str">
        <f>IF($B434="","",IF(M$3=0,"n.b.",INDEX(SRC_Woningetalage!$A$1:$ZZ$501,$A434,M$3)))</f>
        <v/>
      </c>
      <c r="N434" t="str">
        <f>IF($B434="","",IF(N$3=0,"n.b.",INDEX(SRC_Woningetalage!$A$1:$ZZ$501,$A434,N$3)))</f>
        <v/>
      </c>
      <c r="O434" t="str">
        <f>IF($B434="","",IF(O$3=0,"n.b.",INDEX(SRC_Woningetalage!$A$1:$ZZ$501,$A434,O$3)))</f>
        <v/>
      </c>
      <c r="P434" t="str">
        <f>IF($B434="","",IF(P$3=0,"n.b.",INDEX(SRC_Woningetalage!$A$1:$ZZ$501,$A434,P$3)))</f>
        <v/>
      </c>
      <c r="Q434" s="124" t="str">
        <f>IF($B434="","",IF(Q$3=0,"n.b.",INDEX(SRC_Woningetalage!$A$1:$ZZ$501,$A434,Q$3)))</f>
        <v/>
      </c>
      <c r="R434" s="124" t="str">
        <f>IF($B434="","",IF(R$3=0,"n.b.",INDEX(SRC_Woningetalage!$A$1:$ZZ$501,$A434,R$3)))</f>
        <v/>
      </c>
      <c r="S434" s="124" t="str">
        <f>IF($B434="","",IF(S$3=0,"n.b.",INDEX(SRC_Woningetalage!$A$1:$ZZ$501,$A434,S$3)))</f>
        <v/>
      </c>
      <c r="T434" s="124" t="str">
        <f>IF($B434="","",IF(T$3=0,"n.b.",INDEX(SRC_Woningetalage!$A$1:$ZZ$501,$A434,T$3)))</f>
        <v/>
      </c>
      <c r="U434" s="124" t="str">
        <f>IF($B434="","",IF(U$3=0,"n.b.",INDEX(SRC_Woningetalage!$A$1:$ZZ$501,$A434,U$3)))</f>
        <v/>
      </c>
      <c r="V434" s="124" t="str">
        <f>IF($B434="","",IF(V$3=0,"n.b.",INDEX(SRC_Woningetalage!$A$1:$ZZ$501,$A434,V$3)))</f>
        <v/>
      </c>
      <c r="W434" s="124" t="str">
        <f>IF($B434="","",IF(W$3=0,"n.b.",INDEX(SRC_Woningetalage!$A$1:$ZZ$501,$A434,W$3)))</f>
        <v/>
      </c>
      <c r="X434" s="124" t="str">
        <f>IF($B434="","",IF(X$3=0,"n.b.",INDEX(SRC_Woningetalage!$A$1:$ZZ$501,$A434,X$3)))</f>
        <v/>
      </c>
      <c r="Y434" s="124" t="str">
        <f>IF($B434="","",IF(Y$3=0,"n.b.",INDEX(SRC_Woningetalage!$A$1:$ZZ$501,$A434,Y$3)))</f>
        <v/>
      </c>
      <c r="Z434" s="124" t="str">
        <f>IF($B434="","",IF(Z$3=0,"n.b.",INDEX(SRC_Woningetalage!$A$1:$ZZ$501,$A434,Z$3)))</f>
        <v/>
      </c>
      <c r="AA434" s="124" t="str">
        <f>IF($B434="","",IF(AA$3=0,"n.b.",INDEX(SRC_Woningetalage!$A$1:$ZZ$501,$A434,AA$3)))</f>
        <v/>
      </c>
      <c r="AB434" s="124" t="str">
        <f>IF($B434="","",IF(AB$3=0,"n.b.",INDEX(SRC_Woningetalage!$A$1:$ZZ$501,$A434,AB$3)))</f>
        <v/>
      </c>
      <c r="AC434" s="124" t="str">
        <f>IF($B434="","",IF(AC$3=0,"n.b.",INDEX(SRC_Woningetalage!$A$1:$ZZ$501,$A434,AC$3)))</f>
        <v/>
      </c>
      <c r="AD434" s="124" t="str">
        <f>IF($B434="","",IF(AD$3=0,"n.b.",INDEX(SRC_Woningetalage!$A$1:$ZZ$501,$A434,AD$3)))</f>
        <v/>
      </c>
      <c r="AE434" s="124" t="str">
        <f>IF($B434="","",IF(AE$3=0,"n.b.",INDEX(SRC_Woningetalage!$A$1:$ZZ$501,$A434,AE$3)))</f>
        <v/>
      </c>
      <c r="AF434" s="124" t="str">
        <f>IF($B434="","",IF(AF$3=0,"n.b.",INDEX(SRC_Woningetalage!$A$1:$ZZ$501,$A434,AF$3)))</f>
        <v/>
      </c>
      <c r="AG434" s="124" t="str">
        <f>IF($B434="","",IF(AG$3=0,"n.b.",INDEX(SRC_Woningetalage!$A$1:$ZZ$501,$A434,AG$3)))</f>
        <v/>
      </c>
      <c r="AH434" s="124" t="str">
        <f>IF($B434="","",IF(AH$3=0,"n.b.",INDEX(SRC_Woningetalage!$A$1:$ZZ$501,$A434,AH$3)))</f>
        <v/>
      </c>
      <c r="AI434" s="124" t="str">
        <f>IF($B434="","",IF(AI$3=0,"n.b.",INDEX(SRC_Woningetalage!$A$1:$ZZ$501,$A434,AI$3)))</f>
        <v/>
      </c>
      <c r="AJ434" s="124" t="str">
        <f>IF($B434="","",IF(AJ$3=0,"n.b.",INDEX(SRC_Woningetalage!$A$1:$ZZ$501,$A434,AJ$3)))</f>
        <v/>
      </c>
      <c r="AK434" s="124" t="str">
        <f>IF($B434="","",IF(AK$3=0,"n.b.",INDEX(SRC_Woningetalage!$A$1:$ZZ$501,$A434,AK$3)))</f>
        <v/>
      </c>
      <c r="AL434" s="124" t="str">
        <f>IF($B434="","",IF(AL$3=0,"n.b.",INDEX(SRC_Woningetalage!$A$1:$ZZ$501,$A434,AL$3)))</f>
        <v/>
      </c>
      <c r="AM434" s="124" t="str">
        <f>IF($B434="","",IF(AM$3=0,"n.b.",INDEX(SRC_Woningetalage!$A$1:$ZZ$501,$A434,AM$3)))</f>
        <v/>
      </c>
      <c r="AN434" s="124" t="str">
        <f>IF($B434="","",IF(AN$3=0,"n.b.",INDEX(SRC_Woningetalage!$A$1:$ZZ$501,$A434,AN$3)))</f>
        <v/>
      </c>
      <c r="AO434" s="124" t="str">
        <f>IF($B434="","",IF(AO$3=0,"n.b.",INDEX(SRC_Woningetalage!$A$1:$ZZ$501,$A434,AO$3)))</f>
        <v/>
      </c>
      <c r="AP434" s="124" t="str">
        <f>IF($B434="","",IF(AP$3=0,"n.b.",INDEX(SRC_Woningetalage!$A$1:$ZZ$501,$A434,AP$3)))</f>
        <v/>
      </c>
      <c r="AQ434" s="124" t="str">
        <f>IF($B434="","",IF(AQ$3=0,"n.b.",INDEX(SRC_Woningetalage!$A$1:$ZZ$501,$A434,AQ$3)))</f>
        <v/>
      </c>
      <c r="AR434" s="124" t="str">
        <f>IF($B434="","",IF(AR$3=0,"n.b.",INDEX(SRC_Woningetalage!$A$1:$ZZ$501,$A434,AR$3)))</f>
        <v/>
      </c>
      <c r="AS434" s="124" t="str">
        <f>IF($B434="","",IF(AS$3=0,"n.b.",INDEX(SRC_Woningetalage!$A$1:$ZZ$501,$A434,AS$3)))</f>
        <v/>
      </c>
      <c r="AT434" s="124" t="str">
        <f>IF($B434="","",IF(AT$3=0,"n.b.",INDEX(SRC_Woningetalage!$A$1:$ZZ$501,$A434,AT$3)))</f>
        <v/>
      </c>
      <c r="AU434" s="124" t="str">
        <f>IF($B434="","",IF(AU$3=0,"n.b.",INDEX(SRC_Woningetalage!$A$1:$ZZ$501,$A434,AU$3)))</f>
        <v/>
      </c>
      <c r="AV434" s="124" t="str">
        <f>IF($B434="","",IF(AV$3=0,"n.b.",INDEX(SRC_Woningetalage!$A$1:$ZZ$501,$A434,AV$3)))</f>
        <v/>
      </c>
      <c r="AW434" s="124" t="str">
        <f>IF($B434="","",IF(AW$3=0,"n.b.",INDEX(SRC_Woningetalage!$A$1:$ZZ$501,$A434,AW$3)))</f>
        <v/>
      </c>
      <c r="AX434" s="124" t="str">
        <f>IF($B434="","",IF(AX$3=0,"n.b.",INDEX(SRC_Woningetalage!$A$1:$ZZ$501,$A434,AX$3)))</f>
        <v/>
      </c>
      <c r="AY434" s="124" t="str">
        <f>IF($B434="","",IF(AY$3=0,"n.b.",INDEX(SRC_Woningetalage!$A$1:$ZZ$501,$A434,AY$3)))</f>
        <v/>
      </c>
      <c r="AZ434" s="124" t="str">
        <f>IF($B434="","",IF(AZ$3=0,"n.b.",INDEX(SRC_Woningetalage!$A$1:$ZZ$501,$A434,AZ$3)))</f>
        <v/>
      </c>
      <c r="BA434" s="124" t="str">
        <f>IF($B434="","",IF(BA$3=0,"n.b.",INDEX(SRC_Woningetalage!$A$1:$ZZ$501,$A434,BA$3)))</f>
        <v/>
      </c>
      <c r="BB434" s="124" t="str">
        <f>IF($B434="","",IF(BB$3=0,"n.b.",INDEX(SRC_Woningetalage!$A$1:$ZZ$501,$A434,BB$3)))</f>
        <v/>
      </c>
      <c r="BC434" s="124" t="str">
        <f>IF($B434="","",IFERROR(_xlfn.NUMBERVALUE(E434&amp;"",",","."),"n.b."))</f>
        <v/>
      </c>
      <c r="BD434" s="124" t="str">
        <f>IF($B434="","",IFERROR(_xlfn.NUMBERVALUE(M434&amp;"",",","."),"n.b."))</f>
        <v/>
      </c>
      <c r="BE434" s="124" t="str">
        <f>IF($B434="","",IFERROR(AB434+AC434+AD434,"n.b."))</f>
        <v/>
      </c>
      <c r="BF434" s="124" t="str">
        <f>IF($B434="","",IFERROR(AE434+AF434+AG434,"n.b."))</f>
        <v/>
      </c>
      <c r="BG434" s="124" t="str">
        <f>IF($B434="","",IFERROR(AH434+AI434+AJ434,"n.b."))</f>
        <v/>
      </c>
      <c r="BH434" s="124" t="str">
        <f>IF($B434="","",IFERROR(AK434+AL434+AM434,"n.b."))</f>
        <v/>
      </c>
      <c r="BI434" s="124" t="str">
        <f>IF($B434="","",IFERROR(SUMIF($AB$5:$AM$5,"&lt;="&amp;P_PeilMaand,AB434:AM434),"n.b."))</f>
        <v/>
      </c>
      <c r="BJ434" s="124" t="str">
        <f>IF($B434="","",IFERROR(SUM(AB434:AM434)-BI434,"n.b."))</f>
        <v/>
      </c>
      <c r="BK434" s="124" t="str">
        <f>IF($B434="","",IFERROR(IF(ABS(Q434-(T434+SUM(AB434:AM434)+AS434+AU434))&gt;P_Tol,1,0),1))</f>
        <v/>
      </c>
      <c r="BL434" s="124" t="str">
        <f>IF($B434="","",IFERROR(IF(ABS(AA434-(Q434-Z434))&gt;P_Tol,1,0),1))</f>
        <v/>
      </c>
      <c r="BM434" s="124" t="str">
        <f>IF($B434="","",IFERROR(IF(ABS(Z434-(T434+W434))&gt;P_Tol,1,0),1))</f>
        <v/>
      </c>
      <c r="BN434" s="124" t="str">
        <f>IF($B434="","",IFERROR(IF(ABS(W434-BI434)&gt;P_Tol,1,0),1))</f>
        <v/>
      </c>
      <c r="BO434" s="124" t="str">
        <f>IF($B434="","",IFERROR(IF(OR(ABS(R434+S434-T434)&gt;P_Tol,ABS(U434+V434-W434)&gt;P_Tol,ABS(X434+Y434-Z434)&gt;P_Tol),1,0),1))</f>
        <v/>
      </c>
      <c r="BP434" s="124" t="str">
        <f>IF($B434="","",IFERROR(IF(OR(ABS(AR434-SUM(AB434:AM434))&gt;P_Tol,ABS(AS434-(AN434+AO434+AP434+AQ434))&gt;P_Tol),1,0),1))</f>
        <v/>
      </c>
      <c r="BQ434" s="124" t="str">
        <f>IF($B434="","",IFERROR(IF(ABS(AT434)+ABS(AV434)+ABS(AW434)+ABS(AX434)+ABS(AY434)+ABS(AZ434)+ABS(BA434)+ABS(BB434)&gt;0,1,0),1))</f>
        <v/>
      </c>
      <c r="BR434" s="124" t="str">
        <f>IF($B434="","",COUNTIF(STG_ZPMW03!$B$6:$B$505,B434))</f>
        <v/>
      </c>
      <c r="BS434" s="124" t="str">
        <f>IF($B434="","",COUNTIF($B$6:$B$505,B434))</f>
        <v/>
      </c>
      <c r="BT434" s="124" t="str">
        <f>IF($B434="","",IF(BR434=0,0,IF(INDEX(STG_ZPMW03!$I$6:$I$505,MATCH(B434,STG_ZPMW03!$B$6:$B$505,0))=J434&amp;"",0,1)))</f>
        <v/>
      </c>
      <c r="BU434" s="124" t="str">
        <f>IF($B434="","",IFERROR(IF(ABS(INDEX(Mapping!$D$5:$D$104,MATCH(B434,Mapping!$A$5:$A$104,0))-Q434)&gt;P_Tol,1,0),0))</f>
        <v/>
      </c>
      <c r="BV434" s="124" t="str">
        <f>IF($B434="","",IFERROR(IF(AND(INDEX(Mapping!$G$5:$G$104,MATCH(B434,Mapping!$A$5:$A$104,0))="Nee",ABS(Q434)+ABS(Z434)+ABS(AR434)&gt;0),1,0),0))</f>
        <v/>
      </c>
      <c r="BW434" s="124" t="str">
        <f>IF($B434="","",IF(COUNTIF(Mapping!$A$5:$A$104,B434)&gt;0,1,0))</f>
        <v/>
      </c>
      <c r="BX434" s="124" t="str">
        <f>IF($B434="","",IF(BR434=0,COUNTIF($BR$6:BR434,0),""))</f>
        <v/>
      </c>
    </row>
    <row r="435">
      <c r="A435" s="15" t="n">
        <v>431</v>
      </c>
      <c r="B435" t="str">
        <f>IF(B$3=0,"",IF(INDEX(SRC_Woningetalage!$A$1:$ZZ$501,$A435,B$3)&amp;""="","",INDEX(SRC_Woningetalage!$A$1:$ZZ$501,$A435,B$3)&amp;""))</f>
        <v/>
      </c>
      <c r="C435" t="str">
        <f>IF($B435="","",IF(C$3=0,"n.b.",INDEX(SRC_Woningetalage!$A$1:$ZZ$501,$A435,C$3)))</f>
        <v/>
      </c>
      <c r="D435" t="str">
        <f>IF($B435="","",IF(D$3=0,"n.b.",INDEX(SRC_Woningetalage!$A$1:$ZZ$501,$A435,D$3)))</f>
        <v/>
      </c>
      <c r="E435" t="str">
        <f>IF($B435="","",IF(E$3=0,"n.b.",INDEX(SRC_Woningetalage!$A$1:$ZZ$501,$A435,E$3)))</f>
        <v/>
      </c>
      <c r="F435" t="str">
        <f>IF($B435="","",IF(F$3=0,"n.b.",INDEX(SRC_Woningetalage!$A$1:$ZZ$501,$A435,F$3)))</f>
        <v/>
      </c>
      <c r="G435" t="str">
        <f>IF($B435="","",IF(G$3=0,"n.b.",INDEX(SRC_Woningetalage!$A$1:$ZZ$501,$A435,G$3)))</f>
        <v/>
      </c>
      <c r="H435" t="str">
        <f>IF($B435="","",IF(H$3=0,"n.b.",INDEX(SRC_Woningetalage!$A$1:$ZZ$501,$A435,H$3)))</f>
        <v/>
      </c>
      <c r="I435" t="str">
        <f>IF($B435="","",IF(I$3=0,"n.b.",INDEX(SRC_Woningetalage!$A$1:$ZZ$501,$A435,I$3)))</f>
        <v/>
      </c>
      <c r="J435" t="str">
        <f>IF($B435="","",IF(J$3=0,"n.b.",INDEX(SRC_Woningetalage!$A$1:$ZZ$501,$A435,J$3)))</f>
        <v/>
      </c>
      <c r="K435" t="str">
        <f>IF($B435="","",IF(K$3=0,"n.b.",INDEX(SRC_Woningetalage!$A$1:$ZZ$501,$A435,K$3)))</f>
        <v/>
      </c>
      <c r="L435" t="str">
        <f>IF($B435="","",IF(L$3=0,"n.b.",INDEX(SRC_Woningetalage!$A$1:$ZZ$501,$A435,L$3)))</f>
        <v/>
      </c>
      <c r="M435" t="str">
        <f>IF($B435="","",IF(M$3=0,"n.b.",INDEX(SRC_Woningetalage!$A$1:$ZZ$501,$A435,M$3)))</f>
        <v/>
      </c>
      <c r="N435" t="str">
        <f>IF($B435="","",IF(N$3=0,"n.b.",INDEX(SRC_Woningetalage!$A$1:$ZZ$501,$A435,N$3)))</f>
        <v/>
      </c>
      <c r="O435" t="str">
        <f>IF($B435="","",IF(O$3=0,"n.b.",INDEX(SRC_Woningetalage!$A$1:$ZZ$501,$A435,O$3)))</f>
        <v/>
      </c>
      <c r="P435" t="str">
        <f>IF($B435="","",IF(P$3=0,"n.b.",INDEX(SRC_Woningetalage!$A$1:$ZZ$501,$A435,P$3)))</f>
        <v/>
      </c>
      <c r="Q435" s="124" t="str">
        <f>IF($B435="","",IF(Q$3=0,"n.b.",INDEX(SRC_Woningetalage!$A$1:$ZZ$501,$A435,Q$3)))</f>
        <v/>
      </c>
      <c r="R435" s="124" t="str">
        <f>IF($B435="","",IF(R$3=0,"n.b.",INDEX(SRC_Woningetalage!$A$1:$ZZ$501,$A435,R$3)))</f>
        <v/>
      </c>
      <c r="S435" s="124" t="str">
        <f>IF($B435="","",IF(S$3=0,"n.b.",INDEX(SRC_Woningetalage!$A$1:$ZZ$501,$A435,S$3)))</f>
        <v/>
      </c>
      <c r="T435" s="124" t="str">
        <f>IF($B435="","",IF(T$3=0,"n.b.",INDEX(SRC_Woningetalage!$A$1:$ZZ$501,$A435,T$3)))</f>
        <v/>
      </c>
      <c r="U435" s="124" t="str">
        <f>IF($B435="","",IF(U$3=0,"n.b.",INDEX(SRC_Woningetalage!$A$1:$ZZ$501,$A435,U$3)))</f>
        <v/>
      </c>
      <c r="V435" s="124" t="str">
        <f>IF($B435="","",IF(V$3=0,"n.b.",INDEX(SRC_Woningetalage!$A$1:$ZZ$501,$A435,V$3)))</f>
        <v/>
      </c>
      <c r="W435" s="124" t="str">
        <f>IF($B435="","",IF(W$3=0,"n.b.",INDEX(SRC_Woningetalage!$A$1:$ZZ$501,$A435,W$3)))</f>
        <v/>
      </c>
      <c r="X435" s="124" t="str">
        <f>IF($B435="","",IF(X$3=0,"n.b.",INDEX(SRC_Woningetalage!$A$1:$ZZ$501,$A435,X$3)))</f>
        <v/>
      </c>
      <c r="Y435" s="124" t="str">
        <f>IF($B435="","",IF(Y$3=0,"n.b.",INDEX(SRC_Woningetalage!$A$1:$ZZ$501,$A435,Y$3)))</f>
        <v/>
      </c>
      <c r="Z435" s="124" t="str">
        <f>IF($B435="","",IF(Z$3=0,"n.b.",INDEX(SRC_Woningetalage!$A$1:$ZZ$501,$A435,Z$3)))</f>
        <v/>
      </c>
      <c r="AA435" s="124" t="str">
        <f>IF($B435="","",IF(AA$3=0,"n.b.",INDEX(SRC_Woningetalage!$A$1:$ZZ$501,$A435,AA$3)))</f>
        <v/>
      </c>
      <c r="AB435" s="124" t="str">
        <f>IF($B435="","",IF(AB$3=0,"n.b.",INDEX(SRC_Woningetalage!$A$1:$ZZ$501,$A435,AB$3)))</f>
        <v/>
      </c>
      <c r="AC435" s="124" t="str">
        <f>IF($B435="","",IF(AC$3=0,"n.b.",INDEX(SRC_Woningetalage!$A$1:$ZZ$501,$A435,AC$3)))</f>
        <v/>
      </c>
      <c r="AD435" s="124" t="str">
        <f>IF($B435="","",IF(AD$3=0,"n.b.",INDEX(SRC_Woningetalage!$A$1:$ZZ$501,$A435,AD$3)))</f>
        <v/>
      </c>
      <c r="AE435" s="124" t="str">
        <f>IF($B435="","",IF(AE$3=0,"n.b.",INDEX(SRC_Woningetalage!$A$1:$ZZ$501,$A435,AE$3)))</f>
        <v/>
      </c>
      <c r="AF435" s="124" t="str">
        <f>IF($B435="","",IF(AF$3=0,"n.b.",INDEX(SRC_Woningetalage!$A$1:$ZZ$501,$A435,AF$3)))</f>
        <v/>
      </c>
      <c r="AG435" s="124" t="str">
        <f>IF($B435="","",IF(AG$3=0,"n.b.",INDEX(SRC_Woningetalage!$A$1:$ZZ$501,$A435,AG$3)))</f>
        <v/>
      </c>
      <c r="AH435" s="124" t="str">
        <f>IF($B435="","",IF(AH$3=0,"n.b.",INDEX(SRC_Woningetalage!$A$1:$ZZ$501,$A435,AH$3)))</f>
        <v/>
      </c>
      <c r="AI435" s="124" t="str">
        <f>IF($B435="","",IF(AI$3=0,"n.b.",INDEX(SRC_Woningetalage!$A$1:$ZZ$501,$A435,AI$3)))</f>
        <v/>
      </c>
      <c r="AJ435" s="124" t="str">
        <f>IF($B435="","",IF(AJ$3=0,"n.b.",INDEX(SRC_Woningetalage!$A$1:$ZZ$501,$A435,AJ$3)))</f>
        <v/>
      </c>
      <c r="AK435" s="124" t="str">
        <f>IF($B435="","",IF(AK$3=0,"n.b.",INDEX(SRC_Woningetalage!$A$1:$ZZ$501,$A435,AK$3)))</f>
        <v/>
      </c>
      <c r="AL435" s="124" t="str">
        <f>IF($B435="","",IF(AL$3=0,"n.b.",INDEX(SRC_Woningetalage!$A$1:$ZZ$501,$A435,AL$3)))</f>
        <v/>
      </c>
      <c r="AM435" s="124" t="str">
        <f>IF($B435="","",IF(AM$3=0,"n.b.",INDEX(SRC_Woningetalage!$A$1:$ZZ$501,$A435,AM$3)))</f>
        <v/>
      </c>
      <c r="AN435" s="124" t="str">
        <f>IF($B435="","",IF(AN$3=0,"n.b.",INDEX(SRC_Woningetalage!$A$1:$ZZ$501,$A435,AN$3)))</f>
        <v/>
      </c>
      <c r="AO435" s="124" t="str">
        <f>IF($B435="","",IF(AO$3=0,"n.b.",INDEX(SRC_Woningetalage!$A$1:$ZZ$501,$A435,AO$3)))</f>
        <v/>
      </c>
      <c r="AP435" s="124" t="str">
        <f>IF($B435="","",IF(AP$3=0,"n.b.",INDEX(SRC_Woningetalage!$A$1:$ZZ$501,$A435,AP$3)))</f>
        <v/>
      </c>
      <c r="AQ435" s="124" t="str">
        <f>IF($B435="","",IF(AQ$3=0,"n.b.",INDEX(SRC_Woningetalage!$A$1:$ZZ$501,$A435,AQ$3)))</f>
        <v/>
      </c>
      <c r="AR435" s="124" t="str">
        <f>IF($B435="","",IF(AR$3=0,"n.b.",INDEX(SRC_Woningetalage!$A$1:$ZZ$501,$A435,AR$3)))</f>
        <v/>
      </c>
      <c r="AS435" s="124" t="str">
        <f>IF($B435="","",IF(AS$3=0,"n.b.",INDEX(SRC_Woningetalage!$A$1:$ZZ$501,$A435,AS$3)))</f>
        <v/>
      </c>
      <c r="AT435" s="124" t="str">
        <f>IF($B435="","",IF(AT$3=0,"n.b.",INDEX(SRC_Woningetalage!$A$1:$ZZ$501,$A435,AT$3)))</f>
        <v/>
      </c>
      <c r="AU435" s="124" t="str">
        <f>IF($B435="","",IF(AU$3=0,"n.b.",INDEX(SRC_Woningetalage!$A$1:$ZZ$501,$A435,AU$3)))</f>
        <v/>
      </c>
      <c r="AV435" s="124" t="str">
        <f>IF($B435="","",IF(AV$3=0,"n.b.",INDEX(SRC_Woningetalage!$A$1:$ZZ$501,$A435,AV$3)))</f>
        <v/>
      </c>
      <c r="AW435" s="124" t="str">
        <f>IF($B435="","",IF(AW$3=0,"n.b.",INDEX(SRC_Woningetalage!$A$1:$ZZ$501,$A435,AW$3)))</f>
        <v/>
      </c>
      <c r="AX435" s="124" t="str">
        <f>IF($B435="","",IF(AX$3=0,"n.b.",INDEX(SRC_Woningetalage!$A$1:$ZZ$501,$A435,AX$3)))</f>
        <v/>
      </c>
      <c r="AY435" s="124" t="str">
        <f>IF($B435="","",IF(AY$3=0,"n.b.",INDEX(SRC_Woningetalage!$A$1:$ZZ$501,$A435,AY$3)))</f>
        <v/>
      </c>
      <c r="AZ435" s="124" t="str">
        <f>IF($B435="","",IF(AZ$3=0,"n.b.",INDEX(SRC_Woningetalage!$A$1:$ZZ$501,$A435,AZ$3)))</f>
        <v/>
      </c>
      <c r="BA435" s="124" t="str">
        <f>IF($B435="","",IF(BA$3=0,"n.b.",INDEX(SRC_Woningetalage!$A$1:$ZZ$501,$A435,BA$3)))</f>
        <v/>
      </c>
      <c r="BB435" s="124" t="str">
        <f>IF($B435="","",IF(BB$3=0,"n.b.",INDEX(SRC_Woningetalage!$A$1:$ZZ$501,$A435,BB$3)))</f>
        <v/>
      </c>
      <c r="BC435" s="124" t="str">
        <f>IF($B435="","",IFERROR(_xlfn.NUMBERVALUE(E435&amp;"",",","."),"n.b."))</f>
        <v/>
      </c>
      <c r="BD435" s="124" t="str">
        <f>IF($B435="","",IFERROR(_xlfn.NUMBERVALUE(M435&amp;"",",","."),"n.b."))</f>
        <v/>
      </c>
      <c r="BE435" s="124" t="str">
        <f>IF($B435="","",IFERROR(AB435+AC435+AD435,"n.b."))</f>
        <v/>
      </c>
      <c r="BF435" s="124" t="str">
        <f>IF($B435="","",IFERROR(AE435+AF435+AG435,"n.b."))</f>
        <v/>
      </c>
      <c r="BG435" s="124" t="str">
        <f>IF($B435="","",IFERROR(AH435+AI435+AJ435,"n.b."))</f>
        <v/>
      </c>
      <c r="BH435" s="124" t="str">
        <f>IF($B435="","",IFERROR(AK435+AL435+AM435,"n.b."))</f>
        <v/>
      </c>
      <c r="BI435" s="124" t="str">
        <f>IF($B435="","",IFERROR(SUMIF($AB$5:$AM$5,"&lt;="&amp;P_PeilMaand,AB435:AM435),"n.b."))</f>
        <v/>
      </c>
      <c r="BJ435" s="124" t="str">
        <f>IF($B435="","",IFERROR(SUM(AB435:AM435)-BI435,"n.b."))</f>
        <v/>
      </c>
      <c r="BK435" s="124" t="str">
        <f>IF($B435="","",IFERROR(IF(ABS(Q435-(T435+SUM(AB435:AM435)+AS435+AU435))&gt;P_Tol,1,0),1))</f>
        <v/>
      </c>
      <c r="BL435" s="124" t="str">
        <f>IF($B435="","",IFERROR(IF(ABS(AA435-(Q435-Z435))&gt;P_Tol,1,0),1))</f>
        <v/>
      </c>
      <c r="BM435" s="124" t="str">
        <f>IF($B435="","",IFERROR(IF(ABS(Z435-(T435+W435))&gt;P_Tol,1,0),1))</f>
        <v/>
      </c>
      <c r="BN435" s="124" t="str">
        <f>IF($B435="","",IFERROR(IF(ABS(W435-BI435)&gt;P_Tol,1,0),1))</f>
        <v/>
      </c>
      <c r="BO435" s="124" t="str">
        <f>IF($B435="","",IFERROR(IF(OR(ABS(R435+S435-T435)&gt;P_Tol,ABS(U435+V435-W435)&gt;P_Tol,ABS(X435+Y435-Z435)&gt;P_Tol),1,0),1))</f>
        <v/>
      </c>
      <c r="BP435" s="124" t="str">
        <f>IF($B435="","",IFERROR(IF(OR(ABS(AR435-SUM(AB435:AM435))&gt;P_Tol,ABS(AS435-(AN435+AO435+AP435+AQ435))&gt;P_Tol),1,0),1))</f>
        <v/>
      </c>
      <c r="BQ435" s="124" t="str">
        <f>IF($B435="","",IFERROR(IF(ABS(AT435)+ABS(AV435)+ABS(AW435)+ABS(AX435)+ABS(AY435)+ABS(AZ435)+ABS(BA435)+ABS(BB435)&gt;0,1,0),1))</f>
        <v/>
      </c>
      <c r="BR435" s="124" t="str">
        <f>IF($B435="","",COUNTIF(STG_ZPMW03!$B$6:$B$505,B435))</f>
        <v/>
      </c>
      <c r="BS435" s="124" t="str">
        <f>IF($B435="","",COUNTIF($B$6:$B$505,B435))</f>
        <v/>
      </c>
      <c r="BT435" s="124" t="str">
        <f>IF($B435="","",IF(BR435=0,0,IF(INDEX(STG_ZPMW03!$I$6:$I$505,MATCH(B435,STG_ZPMW03!$B$6:$B$505,0))=J435&amp;"",0,1)))</f>
        <v/>
      </c>
      <c r="BU435" s="124" t="str">
        <f>IF($B435="","",IFERROR(IF(ABS(INDEX(Mapping!$D$5:$D$104,MATCH(B435,Mapping!$A$5:$A$104,0))-Q435)&gt;P_Tol,1,0),0))</f>
        <v/>
      </c>
      <c r="BV435" s="124" t="str">
        <f>IF($B435="","",IFERROR(IF(AND(INDEX(Mapping!$G$5:$G$104,MATCH(B435,Mapping!$A$5:$A$104,0))="Nee",ABS(Q435)+ABS(Z435)+ABS(AR435)&gt;0),1,0),0))</f>
        <v/>
      </c>
      <c r="BW435" s="124" t="str">
        <f>IF($B435="","",IF(COUNTIF(Mapping!$A$5:$A$104,B435)&gt;0,1,0))</f>
        <v/>
      </c>
      <c r="BX435" s="124" t="str">
        <f>IF($B435="","",IF(BR435=0,COUNTIF($BR$6:BR435,0),""))</f>
        <v/>
      </c>
    </row>
    <row r="436">
      <c r="A436" s="15" t="n">
        <v>432</v>
      </c>
      <c r="B436" t="str">
        <f>IF(B$3=0,"",IF(INDEX(SRC_Woningetalage!$A$1:$ZZ$501,$A436,B$3)&amp;""="","",INDEX(SRC_Woningetalage!$A$1:$ZZ$501,$A436,B$3)&amp;""))</f>
        <v/>
      </c>
      <c r="C436" t="str">
        <f>IF($B436="","",IF(C$3=0,"n.b.",INDEX(SRC_Woningetalage!$A$1:$ZZ$501,$A436,C$3)))</f>
        <v/>
      </c>
      <c r="D436" t="str">
        <f>IF($B436="","",IF(D$3=0,"n.b.",INDEX(SRC_Woningetalage!$A$1:$ZZ$501,$A436,D$3)))</f>
        <v/>
      </c>
      <c r="E436" t="str">
        <f>IF($B436="","",IF(E$3=0,"n.b.",INDEX(SRC_Woningetalage!$A$1:$ZZ$501,$A436,E$3)))</f>
        <v/>
      </c>
      <c r="F436" t="str">
        <f>IF($B436="","",IF(F$3=0,"n.b.",INDEX(SRC_Woningetalage!$A$1:$ZZ$501,$A436,F$3)))</f>
        <v/>
      </c>
      <c r="G436" t="str">
        <f>IF($B436="","",IF(G$3=0,"n.b.",INDEX(SRC_Woningetalage!$A$1:$ZZ$501,$A436,G$3)))</f>
        <v/>
      </c>
      <c r="H436" t="str">
        <f>IF($B436="","",IF(H$3=0,"n.b.",INDEX(SRC_Woningetalage!$A$1:$ZZ$501,$A436,H$3)))</f>
        <v/>
      </c>
      <c r="I436" t="str">
        <f>IF($B436="","",IF(I$3=0,"n.b.",INDEX(SRC_Woningetalage!$A$1:$ZZ$501,$A436,I$3)))</f>
        <v/>
      </c>
      <c r="J436" t="str">
        <f>IF($B436="","",IF(J$3=0,"n.b.",INDEX(SRC_Woningetalage!$A$1:$ZZ$501,$A436,J$3)))</f>
        <v/>
      </c>
      <c r="K436" t="str">
        <f>IF($B436="","",IF(K$3=0,"n.b.",INDEX(SRC_Woningetalage!$A$1:$ZZ$501,$A436,K$3)))</f>
        <v/>
      </c>
      <c r="L436" t="str">
        <f>IF($B436="","",IF(L$3=0,"n.b.",INDEX(SRC_Woningetalage!$A$1:$ZZ$501,$A436,L$3)))</f>
        <v/>
      </c>
      <c r="M436" t="str">
        <f>IF($B436="","",IF(M$3=0,"n.b.",INDEX(SRC_Woningetalage!$A$1:$ZZ$501,$A436,M$3)))</f>
        <v/>
      </c>
      <c r="N436" t="str">
        <f>IF($B436="","",IF(N$3=0,"n.b.",INDEX(SRC_Woningetalage!$A$1:$ZZ$501,$A436,N$3)))</f>
        <v/>
      </c>
      <c r="O436" t="str">
        <f>IF($B436="","",IF(O$3=0,"n.b.",INDEX(SRC_Woningetalage!$A$1:$ZZ$501,$A436,O$3)))</f>
        <v/>
      </c>
      <c r="P436" t="str">
        <f>IF($B436="","",IF(P$3=0,"n.b.",INDEX(SRC_Woningetalage!$A$1:$ZZ$501,$A436,P$3)))</f>
        <v/>
      </c>
      <c r="Q436" s="124" t="str">
        <f>IF($B436="","",IF(Q$3=0,"n.b.",INDEX(SRC_Woningetalage!$A$1:$ZZ$501,$A436,Q$3)))</f>
        <v/>
      </c>
      <c r="R436" s="124" t="str">
        <f>IF($B436="","",IF(R$3=0,"n.b.",INDEX(SRC_Woningetalage!$A$1:$ZZ$501,$A436,R$3)))</f>
        <v/>
      </c>
      <c r="S436" s="124" t="str">
        <f>IF($B436="","",IF(S$3=0,"n.b.",INDEX(SRC_Woningetalage!$A$1:$ZZ$501,$A436,S$3)))</f>
        <v/>
      </c>
      <c r="T436" s="124" t="str">
        <f>IF($B436="","",IF(T$3=0,"n.b.",INDEX(SRC_Woningetalage!$A$1:$ZZ$501,$A436,T$3)))</f>
        <v/>
      </c>
      <c r="U436" s="124" t="str">
        <f>IF($B436="","",IF(U$3=0,"n.b.",INDEX(SRC_Woningetalage!$A$1:$ZZ$501,$A436,U$3)))</f>
        <v/>
      </c>
      <c r="V436" s="124" t="str">
        <f>IF($B436="","",IF(V$3=0,"n.b.",INDEX(SRC_Woningetalage!$A$1:$ZZ$501,$A436,V$3)))</f>
        <v/>
      </c>
      <c r="W436" s="124" t="str">
        <f>IF($B436="","",IF(W$3=0,"n.b.",INDEX(SRC_Woningetalage!$A$1:$ZZ$501,$A436,W$3)))</f>
        <v/>
      </c>
      <c r="X436" s="124" t="str">
        <f>IF($B436="","",IF(X$3=0,"n.b.",INDEX(SRC_Woningetalage!$A$1:$ZZ$501,$A436,X$3)))</f>
        <v/>
      </c>
      <c r="Y436" s="124" t="str">
        <f>IF($B436="","",IF(Y$3=0,"n.b.",INDEX(SRC_Woningetalage!$A$1:$ZZ$501,$A436,Y$3)))</f>
        <v/>
      </c>
      <c r="Z436" s="124" t="str">
        <f>IF($B436="","",IF(Z$3=0,"n.b.",INDEX(SRC_Woningetalage!$A$1:$ZZ$501,$A436,Z$3)))</f>
        <v/>
      </c>
      <c r="AA436" s="124" t="str">
        <f>IF($B436="","",IF(AA$3=0,"n.b.",INDEX(SRC_Woningetalage!$A$1:$ZZ$501,$A436,AA$3)))</f>
        <v/>
      </c>
      <c r="AB436" s="124" t="str">
        <f>IF($B436="","",IF(AB$3=0,"n.b.",INDEX(SRC_Woningetalage!$A$1:$ZZ$501,$A436,AB$3)))</f>
        <v/>
      </c>
      <c r="AC436" s="124" t="str">
        <f>IF($B436="","",IF(AC$3=0,"n.b.",INDEX(SRC_Woningetalage!$A$1:$ZZ$501,$A436,AC$3)))</f>
        <v/>
      </c>
      <c r="AD436" s="124" t="str">
        <f>IF($B436="","",IF(AD$3=0,"n.b.",INDEX(SRC_Woningetalage!$A$1:$ZZ$501,$A436,AD$3)))</f>
        <v/>
      </c>
      <c r="AE436" s="124" t="str">
        <f>IF($B436="","",IF(AE$3=0,"n.b.",INDEX(SRC_Woningetalage!$A$1:$ZZ$501,$A436,AE$3)))</f>
        <v/>
      </c>
      <c r="AF436" s="124" t="str">
        <f>IF($B436="","",IF(AF$3=0,"n.b.",INDEX(SRC_Woningetalage!$A$1:$ZZ$501,$A436,AF$3)))</f>
        <v/>
      </c>
      <c r="AG436" s="124" t="str">
        <f>IF($B436="","",IF(AG$3=0,"n.b.",INDEX(SRC_Woningetalage!$A$1:$ZZ$501,$A436,AG$3)))</f>
        <v/>
      </c>
      <c r="AH436" s="124" t="str">
        <f>IF($B436="","",IF(AH$3=0,"n.b.",INDEX(SRC_Woningetalage!$A$1:$ZZ$501,$A436,AH$3)))</f>
        <v/>
      </c>
      <c r="AI436" s="124" t="str">
        <f>IF($B436="","",IF(AI$3=0,"n.b.",INDEX(SRC_Woningetalage!$A$1:$ZZ$501,$A436,AI$3)))</f>
        <v/>
      </c>
      <c r="AJ436" s="124" t="str">
        <f>IF($B436="","",IF(AJ$3=0,"n.b.",INDEX(SRC_Woningetalage!$A$1:$ZZ$501,$A436,AJ$3)))</f>
        <v/>
      </c>
      <c r="AK436" s="124" t="str">
        <f>IF($B436="","",IF(AK$3=0,"n.b.",INDEX(SRC_Woningetalage!$A$1:$ZZ$501,$A436,AK$3)))</f>
        <v/>
      </c>
      <c r="AL436" s="124" t="str">
        <f>IF($B436="","",IF(AL$3=0,"n.b.",INDEX(SRC_Woningetalage!$A$1:$ZZ$501,$A436,AL$3)))</f>
        <v/>
      </c>
      <c r="AM436" s="124" t="str">
        <f>IF($B436="","",IF(AM$3=0,"n.b.",INDEX(SRC_Woningetalage!$A$1:$ZZ$501,$A436,AM$3)))</f>
        <v/>
      </c>
      <c r="AN436" s="124" t="str">
        <f>IF($B436="","",IF(AN$3=0,"n.b.",INDEX(SRC_Woningetalage!$A$1:$ZZ$501,$A436,AN$3)))</f>
        <v/>
      </c>
      <c r="AO436" s="124" t="str">
        <f>IF($B436="","",IF(AO$3=0,"n.b.",INDEX(SRC_Woningetalage!$A$1:$ZZ$501,$A436,AO$3)))</f>
        <v/>
      </c>
      <c r="AP436" s="124" t="str">
        <f>IF($B436="","",IF(AP$3=0,"n.b.",INDEX(SRC_Woningetalage!$A$1:$ZZ$501,$A436,AP$3)))</f>
        <v/>
      </c>
      <c r="AQ436" s="124" t="str">
        <f>IF($B436="","",IF(AQ$3=0,"n.b.",INDEX(SRC_Woningetalage!$A$1:$ZZ$501,$A436,AQ$3)))</f>
        <v/>
      </c>
      <c r="AR436" s="124" t="str">
        <f>IF($B436="","",IF(AR$3=0,"n.b.",INDEX(SRC_Woningetalage!$A$1:$ZZ$501,$A436,AR$3)))</f>
        <v/>
      </c>
      <c r="AS436" s="124" t="str">
        <f>IF($B436="","",IF(AS$3=0,"n.b.",INDEX(SRC_Woningetalage!$A$1:$ZZ$501,$A436,AS$3)))</f>
        <v/>
      </c>
      <c r="AT436" s="124" t="str">
        <f>IF($B436="","",IF(AT$3=0,"n.b.",INDEX(SRC_Woningetalage!$A$1:$ZZ$501,$A436,AT$3)))</f>
        <v/>
      </c>
      <c r="AU436" s="124" t="str">
        <f>IF($B436="","",IF(AU$3=0,"n.b.",INDEX(SRC_Woningetalage!$A$1:$ZZ$501,$A436,AU$3)))</f>
        <v/>
      </c>
      <c r="AV436" s="124" t="str">
        <f>IF($B436="","",IF(AV$3=0,"n.b.",INDEX(SRC_Woningetalage!$A$1:$ZZ$501,$A436,AV$3)))</f>
        <v/>
      </c>
      <c r="AW436" s="124" t="str">
        <f>IF($B436="","",IF(AW$3=0,"n.b.",INDEX(SRC_Woningetalage!$A$1:$ZZ$501,$A436,AW$3)))</f>
        <v/>
      </c>
      <c r="AX436" s="124" t="str">
        <f>IF($B436="","",IF(AX$3=0,"n.b.",INDEX(SRC_Woningetalage!$A$1:$ZZ$501,$A436,AX$3)))</f>
        <v/>
      </c>
      <c r="AY436" s="124" t="str">
        <f>IF($B436="","",IF(AY$3=0,"n.b.",INDEX(SRC_Woningetalage!$A$1:$ZZ$501,$A436,AY$3)))</f>
        <v/>
      </c>
      <c r="AZ436" s="124" t="str">
        <f>IF($B436="","",IF(AZ$3=0,"n.b.",INDEX(SRC_Woningetalage!$A$1:$ZZ$501,$A436,AZ$3)))</f>
        <v/>
      </c>
      <c r="BA436" s="124" t="str">
        <f>IF($B436="","",IF(BA$3=0,"n.b.",INDEX(SRC_Woningetalage!$A$1:$ZZ$501,$A436,BA$3)))</f>
        <v/>
      </c>
      <c r="BB436" s="124" t="str">
        <f>IF($B436="","",IF(BB$3=0,"n.b.",INDEX(SRC_Woningetalage!$A$1:$ZZ$501,$A436,BB$3)))</f>
        <v/>
      </c>
      <c r="BC436" s="124" t="str">
        <f>IF($B436="","",IFERROR(_xlfn.NUMBERVALUE(E436&amp;"",",","."),"n.b."))</f>
        <v/>
      </c>
      <c r="BD436" s="124" t="str">
        <f>IF($B436="","",IFERROR(_xlfn.NUMBERVALUE(M436&amp;"",",","."),"n.b."))</f>
        <v/>
      </c>
      <c r="BE436" s="124" t="str">
        <f>IF($B436="","",IFERROR(AB436+AC436+AD436,"n.b."))</f>
        <v/>
      </c>
      <c r="BF436" s="124" t="str">
        <f>IF($B436="","",IFERROR(AE436+AF436+AG436,"n.b."))</f>
        <v/>
      </c>
      <c r="BG436" s="124" t="str">
        <f>IF($B436="","",IFERROR(AH436+AI436+AJ436,"n.b."))</f>
        <v/>
      </c>
      <c r="BH436" s="124" t="str">
        <f>IF($B436="","",IFERROR(AK436+AL436+AM436,"n.b."))</f>
        <v/>
      </c>
      <c r="BI436" s="124" t="str">
        <f>IF($B436="","",IFERROR(SUMIF($AB$5:$AM$5,"&lt;="&amp;P_PeilMaand,AB436:AM436),"n.b."))</f>
        <v/>
      </c>
      <c r="BJ436" s="124" t="str">
        <f>IF($B436="","",IFERROR(SUM(AB436:AM436)-BI436,"n.b."))</f>
        <v/>
      </c>
      <c r="BK436" s="124" t="str">
        <f>IF($B436="","",IFERROR(IF(ABS(Q436-(T436+SUM(AB436:AM436)+AS436+AU436))&gt;P_Tol,1,0),1))</f>
        <v/>
      </c>
      <c r="BL436" s="124" t="str">
        <f>IF($B436="","",IFERROR(IF(ABS(AA436-(Q436-Z436))&gt;P_Tol,1,0),1))</f>
        <v/>
      </c>
      <c r="BM436" s="124" t="str">
        <f>IF($B436="","",IFERROR(IF(ABS(Z436-(T436+W436))&gt;P_Tol,1,0),1))</f>
        <v/>
      </c>
      <c r="BN436" s="124" t="str">
        <f>IF($B436="","",IFERROR(IF(ABS(W436-BI436)&gt;P_Tol,1,0),1))</f>
        <v/>
      </c>
      <c r="BO436" s="124" t="str">
        <f>IF($B436="","",IFERROR(IF(OR(ABS(R436+S436-T436)&gt;P_Tol,ABS(U436+V436-W436)&gt;P_Tol,ABS(X436+Y436-Z436)&gt;P_Tol),1,0),1))</f>
        <v/>
      </c>
      <c r="BP436" s="124" t="str">
        <f>IF($B436="","",IFERROR(IF(OR(ABS(AR436-SUM(AB436:AM436))&gt;P_Tol,ABS(AS436-(AN436+AO436+AP436+AQ436))&gt;P_Tol),1,0),1))</f>
        <v/>
      </c>
      <c r="BQ436" s="124" t="str">
        <f>IF($B436="","",IFERROR(IF(ABS(AT436)+ABS(AV436)+ABS(AW436)+ABS(AX436)+ABS(AY436)+ABS(AZ436)+ABS(BA436)+ABS(BB436)&gt;0,1,0),1))</f>
        <v/>
      </c>
      <c r="BR436" s="124" t="str">
        <f>IF($B436="","",COUNTIF(STG_ZPMW03!$B$6:$B$505,B436))</f>
        <v/>
      </c>
      <c r="BS436" s="124" t="str">
        <f>IF($B436="","",COUNTIF($B$6:$B$505,B436))</f>
        <v/>
      </c>
      <c r="BT436" s="124" t="str">
        <f>IF($B436="","",IF(BR436=0,0,IF(INDEX(STG_ZPMW03!$I$6:$I$505,MATCH(B436,STG_ZPMW03!$B$6:$B$505,0))=J436&amp;"",0,1)))</f>
        <v/>
      </c>
      <c r="BU436" s="124" t="str">
        <f>IF($B436="","",IFERROR(IF(ABS(INDEX(Mapping!$D$5:$D$104,MATCH(B436,Mapping!$A$5:$A$104,0))-Q436)&gt;P_Tol,1,0),0))</f>
        <v/>
      </c>
      <c r="BV436" s="124" t="str">
        <f>IF($B436="","",IFERROR(IF(AND(INDEX(Mapping!$G$5:$G$104,MATCH(B436,Mapping!$A$5:$A$104,0))="Nee",ABS(Q436)+ABS(Z436)+ABS(AR436)&gt;0),1,0),0))</f>
        <v/>
      </c>
      <c r="BW436" s="124" t="str">
        <f>IF($B436="","",IF(COUNTIF(Mapping!$A$5:$A$104,B436)&gt;0,1,0))</f>
        <v/>
      </c>
      <c r="BX436" s="124" t="str">
        <f>IF($B436="","",IF(BR436=0,COUNTIF($BR$6:BR436,0),""))</f>
        <v/>
      </c>
    </row>
    <row r="437">
      <c r="A437" s="15" t="n">
        <v>433</v>
      </c>
      <c r="B437" t="str">
        <f>IF(B$3=0,"",IF(INDEX(SRC_Woningetalage!$A$1:$ZZ$501,$A437,B$3)&amp;""="","",INDEX(SRC_Woningetalage!$A$1:$ZZ$501,$A437,B$3)&amp;""))</f>
        <v/>
      </c>
      <c r="C437" t="str">
        <f>IF($B437="","",IF(C$3=0,"n.b.",INDEX(SRC_Woningetalage!$A$1:$ZZ$501,$A437,C$3)))</f>
        <v/>
      </c>
      <c r="D437" t="str">
        <f>IF($B437="","",IF(D$3=0,"n.b.",INDEX(SRC_Woningetalage!$A$1:$ZZ$501,$A437,D$3)))</f>
        <v/>
      </c>
      <c r="E437" t="str">
        <f>IF($B437="","",IF(E$3=0,"n.b.",INDEX(SRC_Woningetalage!$A$1:$ZZ$501,$A437,E$3)))</f>
        <v/>
      </c>
      <c r="F437" t="str">
        <f>IF($B437="","",IF(F$3=0,"n.b.",INDEX(SRC_Woningetalage!$A$1:$ZZ$501,$A437,F$3)))</f>
        <v/>
      </c>
      <c r="G437" t="str">
        <f>IF($B437="","",IF(G$3=0,"n.b.",INDEX(SRC_Woningetalage!$A$1:$ZZ$501,$A437,G$3)))</f>
        <v/>
      </c>
      <c r="H437" t="str">
        <f>IF($B437="","",IF(H$3=0,"n.b.",INDEX(SRC_Woningetalage!$A$1:$ZZ$501,$A437,H$3)))</f>
        <v/>
      </c>
      <c r="I437" t="str">
        <f>IF($B437="","",IF(I$3=0,"n.b.",INDEX(SRC_Woningetalage!$A$1:$ZZ$501,$A437,I$3)))</f>
        <v/>
      </c>
      <c r="J437" t="str">
        <f>IF($B437="","",IF(J$3=0,"n.b.",INDEX(SRC_Woningetalage!$A$1:$ZZ$501,$A437,J$3)))</f>
        <v/>
      </c>
      <c r="K437" t="str">
        <f>IF($B437="","",IF(K$3=0,"n.b.",INDEX(SRC_Woningetalage!$A$1:$ZZ$501,$A437,K$3)))</f>
        <v/>
      </c>
      <c r="L437" t="str">
        <f>IF($B437="","",IF(L$3=0,"n.b.",INDEX(SRC_Woningetalage!$A$1:$ZZ$501,$A437,L$3)))</f>
        <v/>
      </c>
      <c r="M437" t="str">
        <f>IF($B437="","",IF(M$3=0,"n.b.",INDEX(SRC_Woningetalage!$A$1:$ZZ$501,$A437,M$3)))</f>
        <v/>
      </c>
      <c r="N437" t="str">
        <f>IF($B437="","",IF(N$3=0,"n.b.",INDEX(SRC_Woningetalage!$A$1:$ZZ$501,$A437,N$3)))</f>
        <v/>
      </c>
      <c r="O437" t="str">
        <f>IF($B437="","",IF(O$3=0,"n.b.",INDEX(SRC_Woningetalage!$A$1:$ZZ$501,$A437,O$3)))</f>
        <v/>
      </c>
      <c r="P437" t="str">
        <f>IF($B437="","",IF(P$3=0,"n.b.",INDEX(SRC_Woningetalage!$A$1:$ZZ$501,$A437,P$3)))</f>
        <v/>
      </c>
      <c r="Q437" s="124" t="str">
        <f>IF($B437="","",IF(Q$3=0,"n.b.",INDEX(SRC_Woningetalage!$A$1:$ZZ$501,$A437,Q$3)))</f>
        <v/>
      </c>
      <c r="R437" s="124" t="str">
        <f>IF($B437="","",IF(R$3=0,"n.b.",INDEX(SRC_Woningetalage!$A$1:$ZZ$501,$A437,R$3)))</f>
        <v/>
      </c>
      <c r="S437" s="124" t="str">
        <f>IF($B437="","",IF(S$3=0,"n.b.",INDEX(SRC_Woningetalage!$A$1:$ZZ$501,$A437,S$3)))</f>
        <v/>
      </c>
      <c r="T437" s="124" t="str">
        <f>IF($B437="","",IF(T$3=0,"n.b.",INDEX(SRC_Woningetalage!$A$1:$ZZ$501,$A437,T$3)))</f>
        <v/>
      </c>
      <c r="U437" s="124" t="str">
        <f>IF($B437="","",IF(U$3=0,"n.b.",INDEX(SRC_Woningetalage!$A$1:$ZZ$501,$A437,U$3)))</f>
        <v/>
      </c>
      <c r="V437" s="124" t="str">
        <f>IF($B437="","",IF(V$3=0,"n.b.",INDEX(SRC_Woningetalage!$A$1:$ZZ$501,$A437,V$3)))</f>
        <v/>
      </c>
      <c r="W437" s="124" t="str">
        <f>IF($B437="","",IF(W$3=0,"n.b.",INDEX(SRC_Woningetalage!$A$1:$ZZ$501,$A437,W$3)))</f>
        <v/>
      </c>
      <c r="X437" s="124" t="str">
        <f>IF($B437="","",IF(X$3=0,"n.b.",INDEX(SRC_Woningetalage!$A$1:$ZZ$501,$A437,X$3)))</f>
        <v/>
      </c>
      <c r="Y437" s="124" t="str">
        <f>IF($B437="","",IF(Y$3=0,"n.b.",INDEX(SRC_Woningetalage!$A$1:$ZZ$501,$A437,Y$3)))</f>
        <v/>
      </c>
      <c r="Z437" s="124" t="str">
        <f>IF($B437="","",IF(Z$3=0,"n.b.",INDEX(SRC_Woningetalage!$A$1:$ZZ$501,$A437,Z$3)))</f>
        <v/>
      </c>
      <c r="AA437" s="124" t="str">
        <f>IF($B437="","",IF(AA$3=0,"n.b.",INDEX(SRC_Woningetalage!$A$1:$ZZ$501,$A437,AA$3)))</f>
        <v/>
      </c>
      <c r="AB437" s="124" t="str">
        <f>IF($B437="","",IF(AB$3=0,"n.b.",INDEX(SRC_Woningetalage!$A$1:$ZZ$501,$A437,AB$3)))</f>
        <v/>
      </c>
      <c r="AC437" s="124" t="str">
        <f>IF($B437="","",IF(AC$3=0,"n.b.",INDEX(SRC_Woningetalage!$A$1:$ZZ$501,$A437,AC$3)))</f>
        <v/>
      </c>
      <c r="AD437" s="124" t="str">
        <f>IF($B437="","",IF(AD$3=0,"n.b.",INDEX(SRC_Woningetalage!$A$1:$ZZ$501,$A437,AD$3)))</f>
        <v/>
      </c>
      <c r="AE437" s="124" t="str">
        <f>IF($B437="","",IF(AE$3=0,"n.b.",INDEX(SRC_Woningetalage!$A$1:$ZZ$501,$A437,AE$3)))</f>
        <v/>
      </c>
      <c r="AF437" s="124" t="str">
        <f>IF($B437="","",IF(AF$3=0,"n.b.",INDEX(SRC_Woningetalage!$A$1:$ZZ$501,$A437,AF$3)))</f>
        <v/>
      </c>
      <c r="AG437" s="124" t="str">
        <f>IF($B437="","",IF(AG$3=0,"n.b.",INDEX(SRC_Woningetalage!$A$1:$ZZ$501,$A437,AG$3)))</f>
        <v/>
      </c>
      <c r="AH437" s="124" t="str">
        <f>IF($B437="","",IF(AH$3=0,"n.b.",INDEX(SRC_Woningetalage!$A$1:$ZZ$501,$A437,AH$3)))</f>
        <v/>
      </c>
      <c r="AI437" s="124" t="str">
        <f>IF($B437="","",IF(AI$3=0,"n.b.",INDEX(SRC_Woningetalage!$A$1:$ZZ$501,$A437,AI$3)))</f>
        <v/>
      </c>
      <c r="AJ437" s="124" t="str">
        <f>IF($B437="","",IF(AJ$3=0,"n.b.",INDEX(SRC_Woningetalage!$A$1:$ZZ$501,$A437,AJ$3)))</f>
        <v/>
      </c>
      <c r="AK437" s="124" t="str">
        <f>IF($B437="","",IF(AK$3=0,"n.b.",INDEX(SRC_Woningetalage!$A$1:$ZZ$501,$A437,AK$3)))</f>
        <v/>
      </c>
      <c r="AL437" s="124" t="str">
        <f>IF($B437="","",IF(AL$3=0,"n.b.",INDEX(SRC_Woningetalage!$A$1:$ZZ$501,$A437,AL$3)))</f>
        <v/>
      </c>
      <c r="AM437" s="124" t="str">
        <f>IF($B437="","",IF(AM$3=0,"n.b.",INDEX(SRC_Woningetalage!$A$1:$ZZ$501,$A437,AM$3)))</f>
        <v/>
      </c>
      <c r="AN437" s="124" t="str">
        <f>IF($B437="","",IF(AN$3=0,"n.b.",INDEX(SRC_Woningetalage!$A$1:$ZZ$501,$A437,AN$3)))</f>
        <v/>
      </c>
      <c r="AO437" s="124" t="str">
        <f>IF($B437="","",IF(AO$3=0,"n.b.",INDEX(SRC_Woningetalage!$A$1:$ZZ$501,$A437,AO$3)))</f>
        <v/>
      </c>
      <c r="AP437" s="124" t="str">
        <f>IF($B437="","",IF(AP$3=0,"n.b.",INDEX(SRC_Woningetalage!$A$1:$ZZ$501,$A437,AP$3)))</f>
        <v/>
      </c>
      <c r="AQ437" s="124" t="str">
        <f>IF($B437="","",IF(AQ$3=0,"n.b.",INDEX(SRC_Woningetalage!$A$1:$ZZ$501,$A437,AQ$3)))</f>
        <v/>
      </c>
      <c r="AR437" s="124" t="str">
        <f>IF($B437="","",IF(AR$3=0,"n.b.",INDEX(SRC_Woningetalage!$A$1:$ZZ$501,$A437,AR$3)))</f>
        <v/>
      </c>
      <c r="AS437" s="124" t="str">
        <f>IF($B437="","",IF(AS$3=0,"n.b.",INDEX(SRC_Woningetalage!$A$1:$ZZ$501,$A437,AS$3)))</f>
        <v/>
      </c>
      <c r="AT437" s="124" t="str">
        <f>IF($B437="","",IF(AT$3=0,"n.b.",INDEX(SRC_Woningetalage!$A$1:$ZZ$501,$A437,AT$3)))</f>
        <v/>
      </c>
      <c r="AU437" s="124" t="str">
        <f>IF($B437="","",IF(AU$3=0,"n.b.",INDEX(SRC_Woningetalage!$A$1:$ZZ$501,$A437,AU$3)))</f>
        <v/>
      </c>
      <c r="AV437" s="124" t="str">
        <f>IF($B437="","",IF(AV$3=0,"n.b.",INDEX(SRC_Woningetalage!$A$1:$ZZ$501,$A437,AV$3)))</f>
        <v/>
      </c>
      <c r="AW437" s="124" t="str">
        <f>IF($B437="","",IF(AW$3=0,"n.b.",INDEX(SRC_Woningetalage!$A$1:$ZZ$501,$A437,AW$3)))</f>
        <v/>
      </c>
      <c r="AX437" s="124" t="str">
        <f>IF($B437="","",IF(AX$3=0,"n.b.",INDEX(SRC_Woningetalage!$A$1:$ZZ$501,$A437,AX$3)))</f>
        <v/>
      </c>
      <c r="AY437" s="124" t="str">
        <f>IF($B437="","",IF(AY$3=0,"n.b.",INDEX(SRC_Woningetalage!$A$1:$ZZ$501,$A437,AY$3)))</f>
        <v/>
      </c>
      <c r="AZ437" s="124" t="str">
        <f>IF($B437="","",IF(AZ$3=0,"n.b.",INDEX(SRC_Woningetalage!$A$1:$ZZ$501,$A437,AZ$3)))</f>
        <v/>
      </c>
      <c r="BA437" s="124" t="str">
        <f>IF($B437="","",IF(BA$3=0,"n.b.",INDEX(SRC_Woningetalage!$A$1:$ZZ$501,$A437,BA$3)))</f>
        <v/>
      </c>
      <c r="BB437" s="124" t="str">
        <f>IF($B437="","",IF(BB$3=0,"n.b.",INDEX(SRC_Woningetalage!$A$1:$ZZ$501,$A437,BB$3)))</f>
        <v/>
      </c>
      <c r="BC437" s="124" t="str">
        <f>IF($B437="","",IFERROR(_xlfn.NUMBERVALUE(E437&amp;"",",","."),"n.b."))</f>
        <v/>
      </c>
      <c r="BD437" s="124" t="str">
        <f>IF($B437="","",IFERROR(_xlfn.NUMBERVALUE(M437&amp;"",",","."),"n.b."))</f>
        <v/>
      </c>
      <c r="BE437" s="124" t="str">
        <f>IF($B437="","",IFERROR(AB437+AC437+AD437,"n.b."))</f>
        <v/>
      </c>
      <c r="BF437" s="124" t="str">
        <f>IF($B437="","",IFERROR(AE437+AF437+AG437,"n.b."))</f>
        <v/>
      </c>
      <c r="BG437" s="124" t="str">
        <f>IF($B437="","",IFERROR(AH437+AI437+AJ437,"n.b."))</f>
        <v/>
      </c>
      <c r="BH437" s="124" t="str">
        <f>IF($B437="","",IFERROR(AK437+AL437+AM437,"n.b."))</f>
        <v/>
      </c>
      <c r="BI437" s="124" t="str">
        <f>IF($B437="","",IFERROR(SUMIF($AB$5:$AM$5,"&lt;="&amp;P_PeilMaand,AB437:AM437),"n.b."))</f>
        <v/>
      </c>
      <c r="BJ437" s="124" t="str">
        <f>IF($B437="","",IFERROR(SUM(AB437:AM437)-BI437,"n.b."))</f>
        <v/>
      </c>
      <c r="BK437" s="124" t="str">
        <f>IF($B437="","",IFERROR(IF(ABS(Q437-(T437+SUM(AB437:AM437)+AS437+AU437))&gt;P_Tol,1,0),1))</f>
        <v/>
      </c>
      <c r="BL437" s="124" t="str">
        <f>IF($B437="","",IFERROR(IF(ABS(AA437-(Q437-Z437))&gt;P_Tol,1,0),1))</f>
        <v/>
      </c>
      <c r="BM437" s="124" t="str">
        <f>IF($B437="","",IFERROR(IF(ABS(Z437-(T437+W437))&gt;P_Tol,1,0),1))</f>
        <v/>
      </c>
      <c r="BN437" s="124" t="str">
        <f>IF($B437="","",IFERROR(IF(ABS(W437-BI437)&gt;P_Tol,1,0),1))</f>
        <v/>
      </c>
      <c r="BO437" s="124" t="str">
        <f>IF($B437="","",IFERROR(IF(OR(ABS(R437+S437-T437)&gt;P_Tol,ABS(U437+V437-W437)&gt;P_Tol,ABS(X437+Y437-Z437)&gt;P_Tol),1,0),1))</f>
        <v/>
      </c>
      <c r="BP437" s="124" t="str">
        <f>IF($B437="","",IFERROR(IF(OR(ABS(AR437-SUM(AB437:AM437))&gt;P_Tol,ABS(AS437-(AN437+AO437+AP437+AQ437))&gt;P_Tol),1,0),1))</f>
        <v/>
      </c>
      <c r="BQ437" s="124" t="str">
        <f>IF($B437="","",IFERROR(IF(ABS(AT437)+ABS(AV437)+ABS(AW437)+ABS(AX437)+ABS(AY437)+ABS(AZ437)+ABS(BA437)+ABS(BB437)&gt;0,1,0),1))</f>
        <v/>
      </c>
      <c r="BR437" s="124" t="str">
        <f>IF($B437="","",COUNTIF(STG_ZPMW03!$B$6:$B$505,B437))</f>
        <v/>
      </c>
      <c r="BS437" s="124" t="str">
        <f>IF($B437="","",COUNTIF($B$6:$B$505,B437))</f>
        <v/>
      </c>
      <c r="BT437" s="124" t="str">
        <f>IF($B437="","",IF(BR437=0,0,IF(INDEX(STG_ZPMW03!$I$6:$I$505,MATCH(B437,STG_ZPMW03!$B$6:$B$505,0))=J437&amp;"",0,1)))</f>
        <v/>
      </c>
      <c r="BU437" s="124" t="str">
        <f>IF($B437="","",IFERROR(IF(ABS(INDEX(Mapping!$D$5:$D$104,MATCH(B437,Mapping!$A$5:$A$104,0))-Q437)&gt;P_Tol,1,0),0))</f>
        <v/>
      </c>
      <c r="BV437" s="124" t="str">
        <f>IF($B437="","",IFERROR(IF(AND(INDEX(Mapping!$G$5:$G$104,MATCH(B437,Mapping!$A$5:$A$104,0))="Nee",ABS(Q437)+ABS(Z437)+ABS(AR437)&gt;0),1,0),0))</f>
        <v/>
      </c>
      <c r="BW437" s="124" t="str">
        <f>IF($B437="","",IF(COUNTIF(Mapping!$A$5:$A$104,B437)&gt;0,1,0))</f>
        <v/>
      </c>
      <c r="BX437" s="124" t="str">
        <f>IF($B437="","",IF(BR437=0,COUNTIF($BR$6:BR437,0),""))</f>
        <v/>
      </c>
    </row>
    <row r="438">
      <c r="A438" s="15" t="n">
        <v>434</v>
      </c>
      <c r="B438" t="str">
        <f>IF(B$3=0,"",IF(INDEX(SRC_Woningetalage!$A$1:$ZZ$501,$A438,B$3)&amp;""="","",INDEX(SRC_Woningetalage!$A$1:$ZZ$501,$A438,B$3)&amp;""))</f>
        <v/>
      </c>
      <c r="C438" t="str">
        <f>IF($B438="","",IF(C$3=0,"n.b.",INDEX(SRC_Woningetalage!$A$1:$ZZ$501,$A438,C$3)))</f>
        <v/>
      </c>
      <c r="D438" t="str">
        <f>IF($B438="","",IF(D$3=0,"n.b.",INDEX(SRC_Woningetalage!$A$1:$ZZ$501,$A438,D$3)))</f>
        <v/>
      </c>
      <c r="E438" t="str">
        <f>IF($B438="","",IF(E$3=0,"n.b.",INDEX(SRC_Woningetalage!$A$1:$ZZ$501,$A438,E$3)))</f>
        <v/>
      </c>
      <c r="F438" t="str">
        <f>IF($B438="","",IF(F$3=0,"n.b.",INDEX(SRC_Woningetalage!$A$1:$ZZ$501,$A438,F$3)))</f>
        <v/>
      </c>
      <c r="G438" t="str">
        <f>IF($B438="","",IF(G$3=0,"n.b.",INDEX(SRC_Woningetalage!$A$1:$ZZ$501,$A438,G$3)))</f>
        <v/>
      </c>
      <c r="H438" t="str">
        <f>IF($B438="","",IF(H$3=0,"n.b.",INDEX(SRC_Woningetalage!$A$1:$ZZ$501,$A438,H$3)))</f>
        <v/>
      </c>
      <c r="I438" t="str">
        <f>IF($B438="","",IF(I$3=0,"n.b.",INDEX(SRC_Woningetalage!$A$1:$ZZ$501,$A438,I$3)))</f>
        <v/>
      </c>
      <c r="J438" t="str">
        <f>IF($B438="","",IF(J$3=0,"n.b.",INDEX(SRC_Woningetalage!$A$1:$ZZ$501,$A438,J$3)))</f>
        <v/>
      </c>
      <c r="K438" t="str">
        <f>IF($B438="","",IF(K$3=0,"n.b.",INDEX(SRC_Woningetalage!$A$1:$ZZ$501,$A438,K$3)))</f>
        <v/>
      </c>
      <c r="L438" t="str">
        <f>IF($B438="","",IF(L$3=0,"n.b.",INDEX(SRC_Woningetalage!$A$1:$ZZ$501,$A438,L$3)))</f>
        <v/>
      </c>
      <c r="M438" t="str">
        <f>IF($B438="","",IF(M$3=0,"n.b.",INDEX(SRC_Woningetalage!$A$1:$ZZ$501,$A438,M$3)))</f>
        <v/>
      </c>
      <c r="N438" t="str">
        <f>IF($B438="","",IF(N$3=0,"n.b.",INDEX(SRC_Woningetalage!$A$1:$ZZ$501,$A438,N$3)))</f>
        <v/>
      </c>
      <c r="O438" t="str">
        <f>IF($B438="","",IF(O$3=0,"n.b.",INDEX(SRC_Woningetalage!$A$1:$ZZ$501,$A438,O$3)))</f>
        <v/>
      </c>
      <c r="P438" t="str">
        <f>IF($B438="","",IF(P$3=0,"n.b.",INDEX(SRC_Woningetalage!$A$1:$ZZ$501,$A438,P$3)))</f>
        <v/>
      </c>
      <c r="Q438" s="124" t="str">
        <f>IF($B438="","",IF(Q$3=0,"n.b.",INDEX(SRC_Woningetalage!$A$1:$ZZ$501,$A438,Q$3)))</f>
        <v/>
      </c>
      <c r="R438" s="124" t="str">
        <f>IF($B438="","",IF(R$3=0,"n.b.",INDEX(SRC_Woningetalage!$A$1:$ZZ$501,$A438,R$3)))</f>
        <v/>
      </c>
      <c r="S438" s="124" t="str">
        <f>IF($B438="","",IF(S$3=0,"n.b.",INDEX(SRC_Woningetalage!$A$1:$ZZ$501,$A438,S$3)))</f>
        <v/>
      </c>
      <c r="T438" s="124" t="str">
        <f>IF($B438="","",IF(T$3=0,"n.b.",INDEX(SRC_Woningetalage!$A$1:$ZZ$501,$A438,T$3)))</f>
        <v/>
      </c>
      <c r="U438" s="124" t="str">
        <f>IF($B438="","",IF(U$3=0,"n.b.",INDEX(SRC_Woningetalage!$A$1:$ZZ$501,$A438,U$3)))</f>
        <v/>
      </c>
      <c r="V438" s="124" t="str">
        <f>IF($B438="","",IF(V$3=0,"n.b.",INDEX(SRC_Woningetalage!$A$1:$ZZ$501,$A438,V$3)))</f>
        <v/>
      </c>
      <c r="W438" s="124" t="str">
        <f>IF($B438="","",IF(W$3=0,"n.b.",INDEX(SRC_Woningetalage!$A$1:$ZZ$501,$A438,W$3)))</f>
        <v/>
      </c>
      <c r="X438" s="124" t="str">
        <f>IF($B438="","",IF(X$3=0,"n.b.",INDEX(SRC_Woningetalage!$A$1:$ZZ$501,$A438,X$3)))</f>
        <v/>
      </c>
      <c r="Y438" s="124" t="str">
        <f>IF($B438="","",IF(Y$3=0,"n.b.",INDEX(SRC_Woningetalage!$A$1:$ZZ$501,$A438,Y$3)))</f>
        <v/>
      </c>
      <c r="Z438" s="124" t="str">
        <f>IF($B438="","",IF(Z$3=0,"n.b.",INDEX(SRC_Woningetalage!$A$1:$ZZ$501,$A438,Z$3)))</f>
        <v/>
      </c>
      <c r="AA438" s="124" t="str">
        <f>IF($B438="","",IF(AA$3=0,"n.b.",INDEX(SRC_Woningetalage!$A$1:$ZZ$501,$A438,AA$3)))</f>
        <v/>
      </c>
      <c r="AB438" s="124" t="str">
        <f>IF($B438="","",IF(AB$3=0,"n.b.",INDEX(SRC_Woningetalage!$A$1:$ZZ$501,$A438,AB$3)))</f>
        <v/>
      </c>
      <c r="AC438" s="124" t="str">
        <f>IF($B438="","",IF(AC$3=0,"n.b.",INDEX(SRC_Woningetalage!$A$1:$ZZ$501,$A438,AC$3)))</f>
        <v/>
      </c>
      <c r="AD438" s="124" t="str">
        <f>IF($B438="","",IF(AD$3=0,"n.b.",INDEX(SRC_Woningetalage!$A$1:$ZZ$501,$A438,AD$3)))</f>
        <v/>
      </c>
      <c r="AE438" s="124" t="str">
        <f>IF($B438="","",IF(AE$3=0,"n.b.",INDEX(SRC_Woningetalage!$A$1:$ZZ$501,$A438,AE$3)))</f>
        <v/>
      </c>
      <c r="AF438" s="124" t="str">
        <f>IF($B438="","",IF(AF$3=0,"n.b.",INDEX(SRC_Woningetalage!$A$1:$ZZ$501,$A438,AF$3)))</f>
        <v/>
      </c>
      <c r="AG438" s="124" t="str">
        <f>IF($B438="","",IF(AG$3=0,"n.b.",INDEX(SRC_Woningetalage!$A$1:$ZZ$501,$A438,AG$3)))</f>
        <v/>
      </c>
      <c r="AH438" s="124" t="str">
        <f>IF($B438="","",IF(AH$3=0,"n.b.",INDEX(SRC_Woningetalage!$A$1:$ZZ$501,$A438,AH$3)))</f>
        <v/>
      </c>
      <c r="AI438" s="124" t="str">
        <f>IF($B438="","",IF(AI$3=0,"n.b.",INDEX(SRC_Woningetalage!$A$1:$ZZ$501,$A438,AI$3)))</f>
        <v/>
      </c>
      <c r="AJ438" s="124" t="str">
        <f>IF($B438="","",IF(AJ$3=0,"n.b.",INDEX(SRC_Woningetalage!$A$1:$ZZ$501,$A438,AJ$3)))</f>
        <v/>
      </c>
      <c r="AK438" s="124" t="str">
        <f>IF($B438="","",IF(AK$3=0,"n.b.",INDEX(SRC_Woningetalage!$A$1:$ZZ$501,$A438,AK$3)))</f>
        <v/>
      </c>
      <c r="AL438" s="124" t="str">
        <f>IF($B438="","",IF(AL$3=0,"n.b.",INDEX(SRC_Woningetalage!$A$1:$ZZ$501,$A438,AL$3)))</f>
        <v/>
      </c>
      <c r="AM438" s="124" t="str">
        <f>IF($B438="","",IF(AM$3=0,"n.b.",INDEX(SRC_Woningetalage!$A$1:$ZZ$501,$A438,AM$3)))</f>
        <v/>
      </c>
      <c r="AN438" s="124" t="str">
        <f>IF($B438="","",IF(AN$3=0,"n.b.",INDEX(SRC_Woningetalage!$A$1:$ZZ$501,$A438,AN$3)))</f>
        <v/>
      </c>
      <c r="AO438" s="124" t="str">
        <f>IF($B438="","",IF(AO$3=0,"n.b.",INDEX(SRC_Woningetalage!$A$1:$ZZ$501,$A438,AO$3)))</f>
        <v/>
      </c>
      <c r="AP438" s="124" t="str">
        <f>IF($B438="","",IF(AP$3=0,"n.b.",INDEX(SRC_Woningetalage!$A$1:$ZZ$501,$A438,AP$3)))</f>
        <v/>
      </c>
      <c r="AQ438" s="124" t="str">
        <f>IF($B438="","",IF(AQ$3=0,"n.b.",INDEX(SRC_Woningetalage!$A$1:$ZZ$501,$A438,AQ$3)))</f>
        <v/>
      </c>
      <c r="AR438" s="124" t="str">
        <f>IF($B438="","",IF(AR$3=0,"n.b.",INDEX(SRC_Woningetalage!$A$1:$ZZ$501,$A438,AR$3)))</f>
        <v/>
      </c>
      <c r="AS438" s="124" t="str">
        <f>IF($B438="","",IF(AS$3=0,"n.b.",INDEX(SRC_Woningetalage!$A$1:$ZZ$501,$A438,AS$3)))</f>
        <v/>
      </c>
      <c r="AT438" s="124" t="str">
        <f>IF($B438="","",IF(AT$3=0,"n.b.",INDEX(SRC_Woningetalage!$A$1:$ZZ$501,$A438,AT$3)))</f>
        <v/>
      </c>
      <c r="AU438" s="124" t="str">
        <f>IF($B438="","",IF(AU$3=0,"n.b.",INDEX(SRC_Woningetalage!$A$1:$ZZ$501,$A438,AU$3)))</f>
        <v/>
      </c>
      <c r="AV438" s="124" t="str">
        <f>IF($B438="","",IF(AV$3=0,"n.b.",INDEX(SRC_Woningetalage!$A$1:$ZZ$501,$A438,AV$3)))</f>
        <v/>
      </c>
      <c r="AW438" s="124" t="str">
        <f>IF($B438="","",IF(AW$3=0,"n.b.",INDEX(SRC_Woningetalage!$A$1:$ZZ$501,$A438,AW$3)))</f>
        <v/>
      </c>
      <c r="AX438" s="124" t="str">
        <f>IF($B438="","",IF(AX$3=0,"n.b.",INDEX(SRC_Woningetalage!$A$1:$ZZ$501,$A438,AX$3)))</f>
        <v/>
      </c>
      <c r="AY438" s="124" t="str">
        <f>IF($B438="","",IF(AY$3=0,"n.b.",INDEX(SRC_Woningetalage!$A$1:$ZZ$501,$A438,AY$3)))</f>
        <v/>
      </c>
      <c r="AZ438" s="124" t="str">
        <f>IF($B438="","",IF(AZ$3=0,"n.b.",INDEX(SRC_Woningetalage!$A$1:$ZZ$501,$A438,AZ$3)))</f>
        <v/>
      </c>
      <c r="BA438" s="124" t="str">
        <f>IF($B438="","",IF(BA$3=0,"n.b.",INDEX(SRC_Woningetalage!$A$1:$ZZ$501,$A438,BA$3)))</f>
        <v/>
      </c>
      <c r="BB438" s="124" t="str">
        <f>IF($B438="","",IF(BB$3=0,"n.b.",INDEX(SRC_Woningetalage!$A$1:$ZZ$501,$A438,BB$3)))</f>
        <v/>
      </c>
      <c r="BC438" s="124" t="str">
        <f>IF($B438="","",IFERROR(_xlfn.NUMBERVALUE(E438&amp;"",",","."),"n.b."))</f>
        <v/>
      </c>
      <c r="BD438" s="124" t="str">
        <f>IF($B438="","",IFERROR(_xlfn.NUMBERVALUE(M438&amp;"",",","."),"n.b."))</f>
        <v/>
      </c>
      <c r="BE438" s="124" t="str">
        <f>IF($B438="","",IFERROR(AB438+AC438+AD438,"n.b."))</f>
        <v/>
      </c>
      <c r="BF438" s="124" t="str">
        <f>IF($B438="","",IFERROR(AE438+AF438+AG438,"n.b."))</f>
        <v/>
      </c>
      <c r="BG438" s="124" t="str">
        <f>IF($B438="","",IFERROR(AH438+AI438+AJ438,"n.b."))</f>
        <v/>
      </c>
      <c r="BH438" s="124" t="str">
        <f>IF($B438="","",IFERROR(AK438+AL438+AM438,"n.b."))</f>
        <v/>
      </c>
      <c r="BI438" s="124" t="str">
        <f>IF($B438="","",IFERROR(SUMIF($AB$5:$AM$5,"&lt;="&amp;P_PeilMaand,AB438:AM438),"n.b."))</f>
        <v/>
      </c>
      <c r="BJ438" s="124" t="str">
        <f>IF($B438="","",IFERROR(SUM(AB438:AM438)-BI438,"n.b."))</f>
        <v/>
      </c>
      <c r="BK438" s="124" t="str">
        <f>IF($B438="","",IFERROR(IF(ABS(Q438-(T438+SUM(AB438:AM438)+AS438+AU438))&gt;P_Tol,1,0),1))</f>
        <v/>
      </c>
      <c r="BL438" s="124" t="str">
        <f>IF($B438="","",IFERROR(IF(ABS(AA438-(Q438-Z438))&gt;P_Tol,1,0),1))</f>
        <v/>
      </c>
      <c r="BM438" s="124" t="str">
        <f>IF($B438="","",IFERROR(IF(ABS(Z438-(T438+W438))&gt;P_Tol,1,0),1))</f>
        <v/>
      </c>
      <c r="BN438" s="124" t="str">
        <f>IF($B438="","",IFERROR(IF(ABS(W438-BI438)&gt;P_Tol,1,0),1))</f>
        <v/>
      </c>
      <c r="BO438" s="124" t="str">
        <f>IF($B438="","",IFERROR(IF(OR(ABS(R438+S438-T438)&gt;P_Tol,ABS(U438+V438-W438)&gt;P_Tol,ABS(X438+Y438-Z438)&gt;P_Tol),1,0),1))</f>
        <v/>
      </c>
      <c r="BP438" s="124" t="str">
        <f>IF($B438="","",IFERROR(IF(OR(ABS(AR438-SUM(AB438:AM438))&gt;P_Tol,ABS(AS438-(AN438+AO438+AP438+AQ438))&gt;P_Tol),1,0),1))</f>
        <v/>
      </c>
      <c r="BQ438" s="124" t="str">
        <f>IF($B438="","",IFERROR(IF(ABS(AT438)+ABS(AV438)+ABS(AW438)+ABS(AX438)+ABS(AY438)+ABS(AZ438)+ABS(BA438)+ABS(BB438)&gt;0,1,0),1))</f>
        <v/>
      </c>
      <c r="BR438" s="124" t="str">
        <f>IF($B438="","",COUNTIF(STG_ZPMW03!$B$6:$B$505,B438))</f>
        <v/>
      </c>
      <c r="BS438" s="124" t="str">
        <f>IF($B438="","",COUNTIF($B$6:$B$505,B438))</f>
        <v/>
      </c>
      <c r="BT438" s="124" t="str">
        <f>IF($B438="","",IF(BR438=0,0,IF(INDEX(STG_ZPMW03!$I$6:$I$505,MATCH(B438,STG_ZPMW03!$B$6:$B$505,0))=J438&amp;"",0,1)))</f>
        <v/>
      </c>
      <c r="BU438" s="124" t="str">
        <f>IF($B438="","",IFERROR(IF(ABS(INDEX(Mapping!$D$5:$D$104,MATCH(B438,Mapping!$A$5:$A$104,0))-Q438)&gt;P_Tol,1,0),0))</f>
        <v/>
      </c>
      <c r="BV438" s="124" t="str">
        <f>IF($B438="","",IFERROR(IF(AND(INDEX(Mapping!$G$5:$G$104,MATCH(B438,Mapping!$A$5:$A$104,0))="Nee",ABS(Q438)+ABS(Z438)+ABS(AR438)&gt;0),1,0),0))</f>
        <v/>
      </c>
      <c r="BW438" s="124" t="str">
        <f>IF($B438="","",IF(COUNTIF(Mapping!$A$5:$A$104,B438)&gt;0,1,0))</f>
        <v/>
      </c>
      <c r="BX438" s="124" t="str">
        <f>IF($B438="","",IF(BR438=0,COUNTIF($BR$6:BR438,0),""))</f>
        <v/>
      </c>
    </row>
    <row r="439">
      <c r="A439" s="15" t="n">
        <v>435</v>
      </c>
      <c r="B439" t="str">
        <f>IF(B$3=0,"",IF(INDEX(SRC_Woningetalage!$A$1:$ZZ$501,$A439,B$3)&amp;""="","",INDEX(SRC_Woningetalage!$A$1:$ZZ$501,$A439,B$3)&amp;""))</f>
        <v/>
      </c>
      <c r="C439" t="str">
        <f>IF($B439="","",IF(C$3=0,"n.b.",INDEX(SRC_Woningetalage!$A$1:$ZZ$501,$A439,C$3)))</f>
        <v/>
      </c>
      <c r="D439" t="str">
        <f>IF($B439="","",IF(D$3=0,"n.b.",INDEX(SRC_Woningetalage!$A$1:$ZZ$501,$A439,D$3)))</f>
        <v/>
      </c>
      <c r="E439" t="str">
        <f>IF($B439="","",IF(E$3=0,"n.b.",INDEX(SRC_Woningetalage!$A$1:$ZZ$501,$A439,E$3)))</f>
        <v/>
      </c>
      <c r="F439" t="str">
        <f>IF($B439="","",IF(F$3=0,"n.b.",INDEX(SRC_Woningetalage!$A$1:$ZZ$501,$A439,F$3)))</f>
        <v/>
      </c>
      <c r="G439" t="str">
        <f>IF($B439="","",IF(G$3=0,"n.b.",INDEX(SRC_Woningetalage!$A$1:$ZZ$501,$A439,G$3)))</f>
        <v/>
      </c>
      <c r="H439" t="str">
        <f>IF($B439="","",IF(H$3=0,"n.b.",INDEX(SRC_Woningetalage!$A$1:$ZZ$501,$A439,H$3)))</f>
        <v/>
      </c>
      <c r="I439" t="str">
        <f>IF($B439="","",IF(I$3=0,"n.b.",INDEX(SRC_Woningetalage!$A$1:$ZZ$501,$A439,I$3)))</f>
        <v/>
      </c>
      <c r="J439" t="str">
        <f>IF($B439="","",IF(J$3=0,"n.b.",INDEX(SRC_Woningetalage!$A$1:$ZZ$501,$A439,J$3)))</f>
        <v/>
      </c>
      <c r="K439" t="str">
        <f>IF($B439="","",IF(K$3=0,"n.b.",INDEX(SRC_Woningetalage!$A$1:$ZZ$501,$A439,K$3)))</f>
        <v/>
      </c>
      <c r="L439" t="str">
        <f>IF($B439="","",IF(L$3=0,"n.b.",INDEX(SRC_Woningetalage!$A$1:$ZZ$501,$A439,L$3)))</f>
        <v/>
      </c>
      <c r="M439" t="str">
        <f>IF($B439="","",IF(M$3=0,"n.b.",INDEX(SRC_Woningetalage!$A$1:$ZZ$501,$A439,M$3)))</f>
        <v/>
      </c>
      <c r="N439" t="str">
        <f>IF($B439="","",IF(N$3=0,"n.b.",INDEX(SRC_Woningetalage!$A$1:$ZZ$501,$A439,N$3)))</f>
        <v/>
      </c>
      <c r="O439" t="str">
        <f>IF($B439="","",IF(O$3=0,"n.b.",INDEX(SRC_Woningetalage!$A$1:$ZZ$501,$A439,O$3)))</f>
        <v/>
      </c>
      <c r="P439" t="str">
        <f>IF($B439="","",IF(P$3=0,"n.b.",INDEX(SRC_Woningetalage!$A$1:$ZZ$501,$A439,P$3)))</f>
        <v/>
      </c>
      <c r="Q439" s="124" t="str">
        <f>IF($B439="","",IF(Q$3=0,"n.b.",INDEX(SRC_Woningetalage!$A$1:$ZZ$501,$A439,Q$3)))</f>
        <v/>
      </c>
      <c r="R439" s="124" t="str">
        <f>IF($B439="","",IF(R$3=0,"n.b.",INDEX(SRC_Woningetalage!$A$1:$ZZ$501,$A439,R$3)))</f>
        <v/>
      </c>
      <c r="S439" s="124" t="str">
        <f>IF($B439="","",IF(S$3=0,"n.b.",INDEX(SRC_Woningetalage!$A$1:$ZZ$501,$A439,S$3)))</f>
        <v/>
      </c>
      <c r="T439" s="124" t="str">
        <f>IF($B439="","",IF(T$3=0,"n.b.",INDEX(SRC_Woningetalage!$A$1:$ZZ$501,$A439,T$3)))</f>
        <v/>
      </c>
      <c r="U439" s="124" t="str">
        <f>IF($B439="","",IF(U$3=0,"n.b.",INDEX(SRC_Woningetalage!$A$1:$ZZ$501,$A439,U$3)))</f>
        <v/>
      </c>
      <c r="V439" s="124" t="str">
        <f>IF($B439="","",IF(V$3=0,"n.b.",INDEX(SRC_Woningetalage!$A$1:$ZZ$501,$A439,V$3)))</f>
        <v/>
      </c>
      <c r="W439" s="124" t="str">
        <f>IF($B439="","",IF(W$3=0,"n.b.",INDEX(SRC_Woningetalage!$A$1:$ZZ$501,$A439,W$3)))</f>
        <v/>
      </c>
      <c r="X439" s="124" t="str">
        <f>IF($B439="","",IF(X$3=0,"n.b.",INDEX(SRC_Woningetalage!$A$1:$ZZ$501,$A439,X$3)))</f>
        <v/>
      </c>
      <c r="Y439" s="124" t="str">
        <f>IF($B439="","",IF(Y$3=0,"n.b.",INDEX(SRC_Woningetalage!$A$1:$ZZ$501,$A439,Y$3)))</f>
        <v/>
      </c>
      <c r="Z439" s="124" t="str">
        <f>IF($B439="","",IF(Z$3=0,"n.b.",INDEX(SRC_Woningetalage!$A$1:$ZZ$501,$A439,Z$3)))</f>
        <v/>
      </c>
      <c r="AA439" s="124" t="str">
        <f>IF($B439="","",IF(AA$3=0,"n.b.",INDEX(SRC_Woningetalage!$A$1:$ZZ$501,$A439,AA$3)))</f>
        <v/>
      </c>
      <c r="AB439" s="124" t="str">
        <f>IF($B439="","",IF(AB$3=0,"n.b.",INDEX(SRC_Woningetalage!$A$1:$ZZ$501,$A439,AB$3)))</f>
        <v/>
      </c>
      <c r="AC439" s="124" t="str">
        <f>IF($B439="","",IF(AC$3=0,"n.b.",INDEX(SRC_Woningetalage!$A$1:$ZZ$501,$A439,AC$3)))</f>
        <v/>
      </c>
      <c r="AD439" s="124" t="str">
        <f>IF($B439="","",IF(AD$3=0,"n.b.",INDEX(SRC_Woningetalage!$A$1:$ZZ$501,$A439,AD$3)))</f>
        <v/>
      </c>
      <c r="AE439" s="124" t="str">
        <f>IF($B439="","",IF(AE$3=0,"n.b.",INDEX(SRC_Woningetalage!$A$1:$ZZ$501,$A439,AE$3)))</f>
        <v/>
      </c>
      <c r="AF439" s="124" t="str">
        <f>IF($B439="","",IF(AF$3=0,"n.b.",INDEX(SRC_Woningetalage!$A$1:$ZZ$501,$A439,AF$3)))</f>
        <v/>
      </c>
      <c r="AG439" s="124" t="str">
        <f>IF($B439="","",IF(AG$3=0,"n.b.",INDEX(SRC_Woningetalage!$A$1:$ZZ$501,$A439,AG$3)))</f>
        <v/>
      </c>
      <c r="AH439" s="124" t="str">
        <f>IF($B439="","",IF(AH$3=0,"n.b.",INDEX(SRC_Woningetalage!$A$1:$ZZ$501,$A439,AH$3)))</f>
        <v/>
      </c>
      <c r="AI439" s="124" t="str">
        <f>IF($B439="","",IF(AI$3=0,"n.b.",INDEX(SRC_Woningetalage!$A$1:$ZZ$501,$A439,AI$3)))</f>
        <v/>
      </c>
      <c r="AJ439" s="124" t="str">
        <f>IF($B439="","",IF(AJ$3=0,"n.b.",INDEX(SRC_Woningetalage!$A$1:$ZZ$501,$A439,AJ$3)))</f>
        <v/>
      </c>
      <c r="AK439" s="124" t="str">
        <f>IF($B439="","",IF(AK$3=0,"n.b.",INDEX(SRC_Woningetalage!$A$1:$ZZ$501,$A439,AK$3)))</f>
        <v/>
      </c>
      <c r="AL439" s="124" t="str">
        <f>IF($B439="","",IF(AL$3=0,"n.b.",INDEX(SRC_Woningetalage!$A$1:$ZZ$501,$A439,AL$3)))</f>
        <v/>
      </c>
      <c r="AM439" s="124" t="str">
        <f>IF($B439="","",IF(AM$3=0,"n.b.",INDEX(SRC_Woningetalage!$A$1:$ZZ$501,$A439,AM$3)))</f>
        <v/>
      </c>
      <c r="AN439" s="124" t="str">
        <f>IF($B439="","",IF(AN$3=0,"n.b.",INDEX(SRC_Woningetalage!$A$1:$ZZ$501,$A439,AN$3)))</f>
        <v/>
      </c>
      <c r="AO439" s="124" t="str">
        <f>IF($B439="","",IF(AO$3=0,"n.b.",INDEX(SRC_Woningetalage!$A$1:$ZZ$501,$A439,AO$3)))</f>
        <v/>
      </c>
      <c r="AP439" s="124" t="str">
        <f>IF($B439="","",IF(AP$3=0,"n.b.",INDEX(SRC_Woningetalage!$A$1:$ZZ$501,$A439,AP$3)))</f>
        <v/>
      </c>
      <c r="AQ439" s="124" t="str">
        <f>IF($B439="","",IF(AQ$3=0,"n.b.",INDEX(SRC_Woningetalage!$A$1:$ZZ$501,$A439,AQ$3)))</f>
        <v/>
      </c>
      <c r="AR439" s="124" t="str">
        <f>IF($B439="","",IF(AR$3=0,"n.b.",INDEX(SRC_Woningetalage!$A$1:$ZZ$501,$A439,AR$3)))</f>
        <v/>
      </c>
      <c r="AS439" s="124" t="str">
        <f>IF($B439="","",IF(AS$3=0,"n.b.",INDEX(SRC_Woningetalage!$A$1:$ZZ$501,$A439,AS$3)))</f>
        <v/>
      </c>
      <c r="AT439" s="124" t="str">
        <f>IF($B439="","",IF(AT$3=0,"n.b.",INDEX(SRC_Woningetalage!$A$1:$ZZ$501,$A439,AT$3)))</f>
        <v/>
      </c>
      <c r="AU439" s="124" t="str">
        <f>IF($B439="","",IF(AU$3=0,"n.b.",INDEX(SRC_Woningetalage!$A$1:$ZZ$501,$A439,AU$3)))</f>
        <v/>
      </c>
      <c r="AV439" s="124" t="str">
        <f>IF($B439="","",IF(AV$3=0,"n.b.",INDEX(SRC_Woningetalage!$A$1:$ZZ$501,$A439,AV$3)))</f>
        <v/>
      </c>
      <c r="AW439" s="124" t="str">
        <f>IF($B439="","",IF(AW$3=0,"n.b.",INDEX(SRC_Woningetalage!$A$1:$ZZ$501,$A439,AW$3)))</f>
        <v/>
      </c>
      <c r="AX439" s="124" t="str">
        <f>IF($B439="","",IF(AX$3=0,"n.b.",INDEX(SRC_Woningetalage!$A$1:$ZZ$501,$A439,AX$3)))</f>
        <v/>
      </c>
      <c r="AY439" s="124" t="str">
        <f>IF($B439="","",IF(AY$3=0,"n.b.",INDEX(SRC_Woningetalage!$A$1:$ZZ$501,$A439,AY$3)))</f>
        <v/>
      </c>
      <c r="AZ439" s="124" t="str">
        <f>IF($B439="","",IF(AZ$3=0,"n.b.",INDEX(SRC_Woningetalage!$A$1:$ZZ$501,$A439,AZ$3)))</f>
        <v/>
      </c>
      <c r="BA439" s="124" t="str">
        <f>IF($B439="","",IF(BA$3=0,"n.b.",INDEX(SRC_Woningetalage!$A$1:$ZZ$501,$A439,BA$3)))</f>
        <v/>
      </c>
      <c r="BB439" s="124" t="str">
        <f>IF($B439="","",IF(BB$3=0,"n.b.",INDEX(SRC_Woningetalage!$A$1:$ZZ$501,$A439,BB$3)))</f>
        <v/>
      </c>
      <c r="BC439" s="124" t="str">
        <f>IF($B439="","",IFERROR(_xlfn.NUMBERVALUE(E439&amp;"",",","."),"n.b."))</f>
        <v/>
      </c>
      <c r="BD439" s="124" t="str">
        <f>IF($B439="","",IFERROR(_xlfn.NUMBERVALUE(M439&amp;"",",","."),"n.b."))</f>
        <v/>
      </c>
      <c r="BE439" s="124" t="str">
        <f>IF($B439="","",IFERROR(AB439+AC439+AD439,"n.b."))</f>
        <v/>
      </c>
      <c r="BF439" s="124" t="str">
        <f>IF($B439="","",IFERROR(AE439+AF439+AG439,"n.b."))</f>
        <v/>
      </c>
      <c r="BG439" s="124" t="str">
        <f>IF($B439="","",IFERROR(AH439+AI439+AJ439,"n.b."))</f>
        <v/>
      </c>
      <c r="BH439" s="124" t="str">
        <f>IF($B439="","",IFERROR(AK439+AL439+AM439,"n.b."))</f>
        <v/>
      </c>
      <c r="BI439" s="124" t="str">
        <f>IF($B439="","",IFERROR(SUMIF($AB$5:$AM$5,"&lt;="&amp;P_PeilMaand,AB439:AM439),"n.b."))</f>
        <v/>
      </c>
      <c r="BJ439" s="124" t="str">
        <f>IF($B439="","",IFERROR(SUM(AB439:AM439)-BI439,"n.b."))</f>
        <v/>
      </c>
      <c r="BK439" s="124" t="str">
        <f>IF($B439="","",IFERROR(IF(ABS(Q439-(T439+SUM(AB439:AM439)+AS439+AU439))&gt;P_Tol,1,0),1))</f>
        <v/>
      </c>
      <c r="BL439" s="124" t="str">
        <f>IF($B439="","",IFERROR(IF(ABS(AA439-(Q439-Z439))&gt;P_Tol,1,0),1))</f>
        <v/>
      </c>
      <c r="BM439" s="124" t="str">
        <f>IF($B439="","",IFERROR(IF(ABS(Z439-(T439+W439))&gt;P_Tol,1,0),1))</f>
        <v/>
      </c>
      <c r="BN439" s="124" t="str">
        <f>IF($B439="","",IFERROR(IF(ABS(W439-BI439)&gt;P_Tol,1,0),1))</f>
        <v/>
      </c>
      <c r="BO439" s="124" t="str">
        <f>IF($B439="","",IFERROR(IF(OR(ABS(R439+S439-T439)&gt;P_Tol,ABS(U439+V439-W439)&gt;P_Tol,ABS(X439+Y439-Z439)&gt;P_Tol),1,0),1))</f>
        <v/>
      </c>
      <c r="BP439" s="124" t="str">
        <f>IF($B439="","",IFERROR(IF(OR(ABS(AR439-SUM(AB439:AM439))&gt;P_Tol,ABS(AS439-(AN439+AO439+AP439+AQ439))&gt;P_Tol),1,0),1))</f>
        <v/>
      </c>
      <c r="BQ439" s="124" t="str">
        <f>IF($B439="","",IFERROR(IF(ABS(AT439)+ABS(AV439)+ABS(AW439)+ABS(AX439)+ABS(AY439)+ABS(AZ439)+ABS(BA439)+ABS(BB439)&gt;0,1,0),1))</f>
        <v/>
      </c>
      <c r="BR439" s="124" t="str">
        <f>IF($B439="","",COUNTIF(STG_ZPMW03!$B$6:$B$505,B439))</f>
        <v/>
      </c>
      <c r="BS439" s="124" t="str">
        <f>IF($B439="","",COUNTIF($B$6:$B$505,B439))</f>
        <v/>
      </c>
      <c r="BT439" s="124" t="str">
        <f>IF($B439="","",IF(BR439=0,0,IF(INDEX(STG_ZPMW03!$I$6:$I$505,MATCH(B439,STG_ZPMW03!$B$6:$B$505,0))=J439&amp;"",0,1)))</f>
        <v/>
      </c>
      <c r="BU439" s="124" t="str">
        <f>IF($B439="","",IFERROR(IF(ABS(INDEX(Mapping!$D$5:$D$104,MATCH(B439,Mapping!$A$5:$A$104,0))-Q439)&gt;P_Tol,1,0),0))</f>
        <v/>
      </c>
      <c r="BV439" s="124" t="str">
        <f>IF($B439="","",IFERROR(IF(AND(INDEX(Mapping!$G$5:$G$104,MATCH(B439,Mapping!$A$5:$A$104,0))="Nee",ABS(Q439)+ABS(Z439)+ABS(AR439)&gt;0),1,0),0))</f>
        <v/>
      </c>
      <c r="BW439" s="124" t="str">
        <f>IF($B439="","",IF(COUNTIF(Mapping!$A$5:$A$104,B439)&gt;0,1,0))</f>
        <v/>
      </c>
      <c r="BX439" s="124" t="str">
        <f>IF($B439="","",IF(BR439=0,COUNTIF($BR$6:BR439,0),""))</f>
        <v/>
      </c>
    </row>
    <row r="440">
      <c r="A440" s="15" t="n">
        <v>436</v>
      </c>
      <c r="B440" t="str">
        <f>IF(B$3=0,"",IF(INDEX(SRC_Woningetalage!$A$1:$ZZ$501,$A440,B$3)&amp;""="","",INDEX(SRC_Woningetalage!$A$1:$ZZ$501,$A440,B$3)&amp;""))</f>
        <v/>
      </c>
      <c r="C440" t="str">
        <f>IF($B440="","",IF(C$3=0,"n.b.",INDEX(SRC_Woningetalage!$A$1:$ZZ$501,$A440,C$3)))</f>
        <v/>
      </c>
      <c r="D440" t="str">
        <f>IF($B440="","",IF(D$3=0,"n.b.",INDEX(SRC_Woningetalage!$A$1:$ZZ$501,$A440,D$3)))</f>
        <v/>
      </c>
      <c r="E440" t="str">
        <f>IF($B440="","",IF(E$3=0,"n.b.",INDEX(SRC_Woningetalage!$A$1:$ZZ$501,$A440,E$3)))</f>
        <v/>
      </c>
      <c r="F440" t="str">
        <f>IF($B440="","",IF(F$3=0,"n.b.",INDEX(SRC_Woningetalage!$A$1:$ZZ$501,$A440,F$3)))</f>
        <v/>
      </c>
      <c r="G440" t="str">
        <f>IF($B440="","",IF(G$3=0,"n.b.",INDEX(SRC_Woningetalage!$A$1:$ZZ$501,$A440,G$3)))</f>
        <v/>
      </c>
      <c r="H440" t="str">
        <f>IF($B440="","",IF(H$3=0,"n.b.",INDEX(SRC_Woningetalage!$A$1:$ZZ$501,$A440,H$3)))</f>
        <v/>
      </c>
      <c r="I440" t="str">
        <f>IF($B440="","",IF(I$3=0,"n.b.",INDEX(SRC_Woningetalage!$A$1:$ZZ$501,$A440,I$3)))</f>
        <v/>
      </c>
      <c r="J440" t="str">
        <f>IF($B440="","",IF(J$3=0,"n.b.",INDEX(SRC_Woningetalage!$A$1:$ZZ$501,$A440,J$3)))</f>
        <v/>
      </c>
      <c r="K440" t="str">
        <f>IF($B440="","",IF(K$3=0,"n.b.",INDEX(SRC_Woningetalage!$A$1:$ZZ$501,$A440,K$3)))</f>
        <v/>
      </c>
      <c r="L440" t="str">
        <f>IF($B440="","",IF(L$3=0,"n.b.",INDEX(SRC_Woningetalage!$A$1:$ZZ$501,$A440,L$3)))</f>
        <v/>
      </c>
      <c r="M440" t="str">
        <f>IF($B440="","",IF(M$3=0,"n.b.",INDEX(SRC_Woningetalage!$A$1:$ZZ$501,$A440,M$3)))</f>
        <v/>
      </c>
      <c r="N440" t="str">
        <f>IF($B440="","",IF(N$3=0,"n.b.",INDEX(SRC_Woningetalage!$A$1:$ZZ$501,$A440,N$3)))</f>
        <v/>
      </c>
      <c r="O440" t="str">
        <f>IF($B440="","",IF(O$3=0,"n.b.",INDEX(SRC_Woningetalage!$A$1:$ZZ$501,$A440,O$3)))</f>
        <v/>
      </c>
      <c r="P440" t="str">
        <f>IF($B440="","",IF(P$3=0,"n.b.",INDEX(SRC_Woningetalage!$A$1:$ZZ$501,$A440,P$3)))</f>
        <v/>
      </c>
      <c r="Q440" s="124" t="str">
        <f>IF($B440="","",IF(Q$3=0,"n.b.",INDEX(SRC_Woningetalage!$A$1:$ZZ$501,$A440,Q$3)))</f>
        <v/>
      </c>
      <c r="R440" s="124" t="str">
        <f>IF($B440="","",IF(R$3=0,"n.b.",INDEX(SRC_Woningetalage!$A$1:$ZZ$501,$A440,R$3)))</f>
        <v/>
      </c>
      <c r="S440" s="124" t="str">
        <f>IF($B440="","",IF(S$3=0,"n.b.",INDEX(SRC_Woningetalage!$A$1:$ZZ$501,$A440,S$3)))</f>
        <v/>
      </c>
      <c r="T440" s="124" t="str">
        <f>IF($B440="","",IF(T$3=0,"n.b.",INDEX(SRC_Woningetalage!$A$1:$ZZ$501,$A440,T$3)))</f>
        <v/>
      </c>
      <c r="U440" s="124" t="str">
        <f>IF($B440="","",IF(U$3=0,"n.b.",INDEX(SRC_Woningetalage!$A$1:$ZZ$501,$A440,U$3)))</f>
        <v/>
      </c>
      <c r="V440" s="124" t="str">
        <f>IF($B440="","",IF(V$3=0,"n.b.",INDEX(SRC_Woningetalage!$A$1:$ZZ$501,$A440,V$3)))</f>
        <v/>
      </c>
      <c r="W440" s="124" t="str">
        <f>IF($B440="","",IF(W$3=0,"n.b.",INDEX(SRC_Woningetalage!$A$1:$ZZ$501,$A440,W$3)))</f>
        <v/>
      </c>
      <c r="X440" s="124" t="str">
        <f>IF($B440="","",IF(X$3=0,"n.b.",INDEX(SRC_Woningetalage!$A$1:$ZZ$501,$A440,X$3)))</f>
        <v/>
      </c>
      <c r="Y440" s="124" t="str">
        <f>IF($B440="","",IF(Y$3=0,"n.b.",INDEX(SRC_Woningetalage!$A$1:$ZZ$501,$A440,Y$3)))</f>
        <v/>
      </c>
      <c r="Z440" s="124" t="str">
        <f>IF($B440="","",IF(Z$3=0,"n.b.",INDEX(SRC_Woningetalage!$A$1:$ZZ$501,$A440,Z$3)))</f>
        <v/>
      </c>
      <c r="AA440" s="124" t="str">
        <f>IF($B440="","",IF(AA$3=0,"n.b.",INDEX(SRC_Woningetalage!$A$1:$ZZ$501,$A440,AA$3)))</f>
        <v/>
      </c>
      <c r="AB440" s="124" t="str">
        <f>IF($B440="","",IF(AB$3=0,"n.b.",INDEX(SRC_Woningetalage!$A$1:$ZZ$501,$A440,AB$3)))</f>
        <v/>
      </c>
      <c r="AC440" s="124" t="str">
        <f>IF($B440="","",IF(AC$3=0,"n.b.",INDEX(SRC_Woningetalage!$A$1:$ZZ$501,$A440,AC$3)))</f>
        <v/>
      </c>
      <c r="AD440" s="124" t="str">
        <f>IF($B440="","",IF(AD$3=0,"n.b.",INDEX(SRC_Woningetalage!$A$1:$ZZ$501,$A440,AD$3)))</f>
        <v/>
      </c>
      <c r="AE440" s="124" t="str">
        <f>IF($B440="","",IF(AE$3=0,"n.b.",INDEX(SRC_Woningetalage!$A$1:$ZZ$501,$A440,AE$3)))</f>
        <v/>
      </c>
      <c r="AF440" s="124" t="str">
        <f>IF($B440="","",IF(AF$3=0,"n.b.",INDEX(SRC_Woningetalage!$A$1:$ZZ$501,$A440,AF$3)))</f>
        <v/>
      </c>
      <c r="AG440" s="124" t="str">
        <f>IF($B440="","",IF(AG$3=0,"n.b.",INDEX(SRC_Woningetalage!$A$1:$ZZ$501,$A440,AG$3)))</f>
        <v/>
      </c>
      <c r="AH440" s="124" t="str">
        <f>IF($B440="","",IF(AH$3=0,"n.b.",INDEX(SRC_Woningetalage!$A$1:$ZZ$501,$A440,AH$3)))</f>
        <v/>
      </c>
      <c r="AI440" s="124" t="str">
        <f>IF($B440="","",IF(AI$3=0,"n.b.",INDEX(SRC_Woningetalage!$A$1:$ZZ$501,$A440,AI$3)))</f>
        <v/>
      </c>
      <c r="AJ440" s="124" t="str">
        <f>IF($B440="","",IF(AJ$3=0,"n.b.",INDEX(SRC_Woningetalage!$A$1:$ZZ$501,$A440,AJ$3)))</f>
        <v/>
      </c>
      <c r="AK440" s="124" t="str">
        <f>IF($B440="","",IF(AK$3=0,"n.b.",INDEX(SRC_Woningetalage!$A$1:$ZZ$501,$A440,AK$3)))</f>
        <v/>
      </c>
      <c r="AL440" s="124" t="str">
        <f>IF($B440="","",IF(AL$3=0,"n.b.",INDEX(SRC_Woningetalage!$A$1:$ZZ$501,$A440,AL$3)))</f>
        <v/>
      </c>
      <c r="AM440" s="124" t="str">
        <f>IF($B440="","",IF(AM$3=0,"n.b.",INDEX(SRC_Woningetalage!$A$1:$ZZ$501,$A440,AM$3)))</f>
        <v/>
      </c>
      <c r="AN440" s="124" t="str">
        <f>IF($B440="","",IF(AN$3=0,"n.b.",INDEX(SRC_Woningetalage!$A$1:$ZZ$501,$A440,AN$3)))</f>
        <v/>
      </c>
      <c r="AO440" s="124" t="str">
        <f>IF($B440="","",IF(AO$3=0,"n.b.",INDEX(SRC_Woningetalage!$A$1:$ZZ$501,$A440,AO$3)))</f>
        <v/>
      </c>
      <c r="AP440" s="124" t="str">
        <f>IF($B440="","",IF(AP$3=0,"n.b.",INDEX(SRC_Woningetalage!$A$1:$ZZ$501,$A440,AP$3)))</f>
        <v/>
      </c>
      <c r="AQ440" s="124" t="str">
        <f>IF($B440="","",IF(AQ$3=0,"n.b.",INDEX(SRC_Woningetalage!$A$1:$ZZ$501,$A440,AQ$3)))</f>
        <v/>
      </c>
      <c r="AR440" s="124" t="str">
        <f>IF($B440="","",IF(AR$3=0,"n.b.",INDEX(SRC_Woningetalage!$A$1:$ZZ$501,$A440,AR$3)))</f>
        <v/>
      </c>
      <c r="AS440" s="124" t="str">
        <f>IF($B440="","",IF(AS$3=0,"n.b.",INDEX(SRC_Woningetalage!$A$1:$ZZ$501,$A440,AS$3)))</f>
        <v/>
      </c>
      <c r="AT440" s="124" t="str">
        <f>IF($B440="","",IF(AT$3=0,"n.b.",INDEX(SRC_Woningetalage!$A$1:$ZZ$501,$A440,AT$3)))</f>
        <v/>
      </c>
      <c r="AU440" s="124" t="str">
        <f>IF($B440="","",IF(AU$3=0,"n.b.",INDEX(SRC_Woningetalage!$A$1:$ZZ$501,$A440,AU$3)))</f>
        <v/>
      </c>
      <c r="AV440" s="124" t="str">
        <f>IF($B440="","",IF(AV$3=0,"n.b.",INDEX(SRC_Woningetalage!$A$1:$ZZ$501,$A440,AV$3)))</f>
        <v/>
      </c>
      <c r="AW440" s="124" t="str">
        <f>IF($B440="","",IF(AW$3=0,"n.b.",INDEX(SRC_Woningetalage!$A$1:$ZZ$501,$A440,AW$3)))</f>
        <v/>
      </c>
      <c r="AX440" s="124" t="str">
        <f>IF($B440="","",IF(AX$3=0,"n.b.",INDEX(SRC_Woningetalage!$A$1:$ZZ$501,$A440,AX$3)))</f>
        <v/>
      </c>
      <c r="AY440" s="124" t="str">
        <f>IF($B440="","",IF(AY$3=0,"n.b.",INDEX(SRC_Woningetalage!$A$1:$ZZ$501,$A440,AY$3)))</f>
        <v/>
      </c>
      <c r="AZ440" s="124" t="str">
        <f>IF($B440="","",IF(AZ$3=0,"n.b.",INDEX(SRC_Woningetalage!$A$1:$ZZ$501,$A440,AZ$3)))</f>
        <v/>
      </c>
      <c r="BA440" s="124" t="str">
        <f>IF($B440="","",IF(BA$3=0,"n.b.",INDEX(SRC_Woningetalage!$A$1:$ZZ$501,$A440,BA$3)))</f>
        <v/>
      </c>
      <c r="BB440" s="124" t="str">
        <f>IF($B440="","",IF(BB$3=0,"n.b.",INDEX(SRC_Woningetalage!$A$1:$ZZ$501,$A440,BB$3)))</f>
        <v/>
      </c>
      <c r="BC440" s="124" t="str">
        <f>IF($B440="","",IFERROR(_xlfn.NUMBERVALUE(E440&amp;"",",","."),"n.b."))</f>
        <v/>
      </c>
      <c r="BD440" s="124" t="str">
        <f>IF($B440="","",IFERROR(_xlfn.NUMBERVALUE(M440&amp;"",",","."),"n.b."))</f>
        <v/>
      </c>
      <c r="BE440" s="124" t="str">
        <f>IF($B440="","",IFERROR(AB440+AC440+AD440,"n.b."))</f>
        <v/>
      </c>
      <c r="BF440" s="124" t="str">
        <f>IF($B440="","",IFERROR(AE440+AF440+AG440,"n.b."))</f>
        <v/>
      </c>
      <c r="BG440" s="124" t="str">
        <f>IF($B440="","",IFERROR(AH440+AI440+AJ440,"n.b."))</f>
        <v/>
      </c>
      <c r="BH440" s="124" t="str">
        <f>IF($B440="","",IFERROR(AK440+AL440+AM440,"n.b."))</f>
        <v/>
      </c>
      <c r="BI440" s="124" t="str">
        <f>IF($B440="","",IFERROR(SUMIF($AB$5:$AM$5,"&lt;="&amp;P_PeilMaand,AB440:AM440),"n.b."))</f>
        <v/>
      </c>
      <c r="BJ440" s="124" t="str">
        <f>IF($B440="","",IFERROR(SUM(AB440:AM440)-BI440,"n.b."))</f>
        <v/>
      </c>
      <c r="BK440" s="124" t="str">
        <f>IF($B440="","",IFERROR(IF(ABS(Q440-(T440+SUM(AB440:AM440)+AS440+AU440))&gt;P_Tol,1,0),1))</f>
        <v/>
      </c>
      <c r="BL440" s="124" t="str">
        <f>IF($B440="","",IFERROR(IF(ABS(AA440-(Q440-Z440))&gt;P_Tol,1,0),1))</f>
        <v/>
      </c>
      <c r="BM440" s="124" t="str">
        <f>IF($B440="","",IFERROR(IF(ABS(Z440-(T440+W440))&gt;P_Tol,1,0),1))</f>
        <v/>
      </c>
      <c r="BN440" s="124" t="str">
        <f>IF($B440="","",IFERROR(IF(ABS(W440-BI440)&gt;P_Tol,1,0),1))</f>
        <v/>
      </c>
      <c r="BO440" s="124" t="str">
        <f>IF($B440="","",IFERROR(IF(OR(ABS(R440+S440-T440)&gt;P_Tol,ABS(U440+V440-W440)&gt;P_Tol,ABS(X440+Y440-Z440)&gt;P_Tol),1,0),1))</f>
        <v/>
      </c>
      <c r="BP440" s="124" t="str">
        <f>IF($B440="","",IFERROR(IF(OR(ABS(AR440-SUM(AB440:AM440))&gt;P_Tol,ABS(AS440-(AN440+AO440+AP440+AQ440))&gt;P_Tol),1,0),1))</f>
        <v/>
      </c>
      <c r="BQ440" s="124" t="str">
        <f>IF($B440="","",IFERROR(IF(ABS(AT440)+ABS(AV440)+ABS(AW440)+ABS(AX440)+ABS(AY440)+ABS(AZ440)+ABS(BA440)+ABS(BB440)&gt;0,1,0),1))</f>
        <v/>
      </c>
      <c r="BR440" s="124" t="str">
        <f>IF($B440="","",COUNTIF(STG_ZPMW03!$B$6:$B$505,B440))</f>
        <v/>
      </c>
      <c r="BS440" s="124" t="str">
        <f>IF($B440="","",COUNTIF($B$6:$B$505,B440))</f>
        <v/>
      </c>
      <c r="BT440" s="124" t="str">
        <f>IF($B440="","",IF(BR440=0,0,IF(INDEX(STG_ZPMW03!$I$6:$I$505,MATCH(B440,STG_ZPMW03!$B$6:$B$505,0))=J440&amp;"",0,1)))</f>
        <v/>
      </c>
      <c r="BU440" s="124" t="str">
        <f>IF($B440="","",IFERROR(IF(ABS(INDEX(Mapping!$D$5:$D$104,MATCH(B440,Mapping!$A$5:$A$104,0))-Q440)&gt;P_Tol,1,0),0))</f>
        <v/>
      </c>
      <c r="BV440" s="124" t="str">
        <f>IF($B440="","",IFERROR(IF(AND(INDEX(Mapping!$G$5:$G$104,MATCH(B440,Mapping!$A$5:$A$104,0))="Nee",ABS(Q440)+ABS(Z440)+ABS(AR440)&gt;0),1,0),0))</f>
        <v/>
      </c>
      <c r="BW440" s="124" t="str">
        <f>IF($B440="","",IF(COUNTIF(Mapping!$A$5:$A$104,B440)&gt;0,1,0))</f>
        <v/>
      </c>
      <c r="BX440" s="124" t="str">
        <f>IF($B440="","",IF(BR440=0,COUNTIF($BR$6:BR440,0),""))</f>
        <v/>
      </c>
    </row>
    <row r="441">
      <c r="A441" s="15" t="n">
        <v>437</v>
      </c>
      <c r="B441" t="str">
        <f>IF(B$3=0,"",IF(INDEX(SRC_Woningetalage!$A$1:$ZZ$501,$A441,B$3)&amp;""="","",INDEX(SRC_Woningetalage!$A$1:$ZZ$501,$A441,B$3)&amp;""))</f>
        <v/>
      </c>
      <c r="C441" t="str">
        <f>IF($B441="","",IF(C$3=0,"n.b.",INDEX(SRC_Woningetalage!$A$1:$ZZ$501,$A441,C$3)))</f>
        <v/>
      </c>
      <c r="D441" t="str">
        <f>IF($B441="","",IF(D$3=0,"n.b.",INDEX(SRC_Woningetalage!$A$1:$ZZ$501,$A441,D$3)))</f>
        <v/>
      </c>
      <c r="E441" t="str">
        <f>IF($B441="","",IF(E$3=0,"n.b.",INDEX(SRC_Woningetalage!$A$1:$ZZ$501,$A441,E$3)))</f>
        <v/>
      </c>
      <c r="F441" t="str">
        <f>IF($B441="","",IF(F$3=0,"n.b.",INDEX(SRC_Woningetalage!$A$1:$ZZ$501,$A441,F$3)))</f>
        <v/>
      </c>
      <c r="G441" t="str">
        <f>IF($B441="","",IF(G$3=0,"n.b.",INDEX(SRC_Woningetalage!$A$1:$ZZ$501,$A441,G$3)))</f>
        <v/>
      </c>
      <c r="H441" t="str">
        <f>IF($B441="","",IF(H$3=0,"n.b.",INDEX(SRC_Woningetalage!$A$1:$ZZ$501,$A441,H$3)))</f>
        <v/>
      </c>
      <c r="I441" t="str">
        <f>IF($B441="","",IF(I$3=0,"n.b.",INDEX(SRC_Woningetalage!$A$1:$ZZ$501,$A441,I$3)))</f>
        <v/>
      </c>
      <c r="J441" t="str">
        <f>IF($B441="","",IF(J$3=0,"n.b.",INDEX(SRC_Woningetalage!$A$1:$ZZ$501,$A441,J$3)))</f>
        <v/>
      </c>
      <c r="K441" t="str">
        <f>IF($B441="","",IF(K$3=0,"n.b.",INDEX(SRC_Woningetalage!$A$1:$ZZ$501,$A441,K$3)))</f>
        <v/>
      </c>
      <c r="L441" t="str">
        <f>IF($B441="","",IF(L$3=0,"n.b.",INDEX(SRC_Woningetalage!$A$1:$ZZ$501,$A441,L$3)))</f>
        <v/>
      </c>
      <c r="M441" t="str">
        <f>IF($B441="","",IF(M$3=0,"n.b.",INDEX(SRC_Woningetalage!$A$1:$ZZ$501,$A441,M$3)))</f>
        <v/>
      </c>
      <c r="N441" t="str">
        <f>IF($B441="","",IF(N$3=0,"n.b.",INDEX(SRC_Woningetalage!$A$1:$ZZ$501,$A441,N$3)))</f>
        <v/>
      </c>
      <c r="O441" t="str">
        <f>IF($B441="","",IF(O$3=0,"n.b.",INDEX(SRC_Woningetalage!$A$1:$ZZ$501,$A441,O$3)))</f>
        <v/>
      </c>
      <c r="P441" t="str">
        <f>IF($B441="","",IF(P$3=0,"n.b.",INDEX(SRC_Woningetalage!$A$1:$ZZ$501,$A441,P$3)))</f>
        <v/>
      </c>
      <c r="Q441" s="124" t="str">
        <f>IF($B441="","",IF(Q$3=0,"n.b.",INDEX(SRC_Woningetalage!$A$1:$ZZ$501,$A441,Q$3)))</f>
        <v/>
      </c>
      <c r="R441" s="124" t="str">
        <f>IF($B441="","",IF(R$3=0,"n.b.",INDEX(SRC_Woningetalage!$A$1:$ZZ$501,$A441,R$3)))</f>
        <v/>
      </c>
      <c r="S441" s="124" t="str">
        <f>IF($B441="","",IF(S$3=0,"n.b.",INDEX(SRC_Woningetalage!$A$1:$ZZ$501,$A441,S$3)))</f>
        <v/>
      </c>
      <c r="T441" s="124" t="str">
        <f>IF($B441="","",IF(T$3=0,"n.b.",INDEX(SRC_Woningetalage!$A$1:$ZZ$501,$A441,T$3)))</f>
        <v/>
      </c>
      <c r="U441" s="124" t="str">
        <f>IF($B441="","",IF(U$3=0,"n.b.",INDEX(SRC_Woningetalage!$A$1:$ZZ$501,$A441,U$3)))</f>
        <v/>
      </c>
      <c r="V441" s="124" t="str">
        <f>IF($B441="","",IF(V$3=0,"n.b.",INDEX(SRC_Woningetalage!$A$1:$ZZ$501,$A441,V$3)))</f>
        <v/>
      </c>
      <c r="W441" s="124" t="str">
        <f>IF($B441="","",IF(W$3=0,"n.b.",INDEX(SRC_Woningetalage!$A$1:$ZZ$501,$A441,W$3)))</f>
        <v/>
      </c>
      <c r="X441" s="124" t="str">
        <f>IF($B441="","",IF(X$3=0,"n.b.",INDEX(SRC_Woningetalage!$A$1:$ZZ$501,$A441,X$3)))</f>
        <v/>
      </c>
      <c r="Y441" s="124" t="str">
        <f>IF($B441="","",IF(Y$3=0,"n.b.",INDEX(SRC_Woningetalage!$A$1:$ZZ$501,$A441,Y$3)))</f>
        <v/>
      </c>
      <c r="Z441" s="124" t="str">
        <f>IF($B441="","",IF(Z$3=0,"n.b.",INDEX(SRC_Woningetalage!$A$1:$ZZ$501,$A441,Z$3)))</f>
        <v/>
      </c>
      <c r="AA441" s="124" t="str">
        <f>IF($B441="","",IF(AA$3=0,"n.b.",INDEX(SRC_Woningetalage!$A$1:$ZZ$501,$A441,AA$3)))</f>
        <v/>
      </c>
      <c r="AB441" s="124" t="str">
        <f>IF($B441="","",IF(AB$3=0,"n.b.",INDEX(SRC_Woningetalage!$A$1:$ZZ$501,$A441,AB$3)))</f>
        <v/>
      </c>
      <c r="AC441" s="124" t="str">
        <f>IF($B441="","",IF(AC$3=0,"n.b.",INDEX(SRC_Woningetalage!$A$1:$ZZ$501,$A441,AC$3)))</f>
        <v/>
      </c>
      <c r="AD441" s="124" t="str">
        <f>IF($B441="","",IF(AD$3=0,"n.b.",INDEX(SRC_Woningetalage!$A$1:$ZZ$501,$A441,AD$3)))</f>
        <v/>
      </c>
      <c r="AE441" s="124" t="str">
        <f>IF($B441="","",IF(AE$3=0,"n.b.",INDEX(SRC_Woningetalage!$A$1:$ZZ$501,$A441,AE$3)))</f>
        <v/>
      </c>
      <c r="AF441" s="124" t="str">
        <f>IF($B441="","",IF(AF$3=0,"n.b.",INDEX(SRC_Woningetalage!$A$1:$ZZ$501,$A441,AF$3)))</f>
        <v/>
      </c>
      <c r="AG441" s="124" t="str">
        <f>IF($B441="","",IF(AG$3=0,"n.b.",INDEX(SRC_Woningetalage!$A$1:$ZZ$501,$A441,AG$3)))</f>
        <v/>
      </c>
      <c r="AH441" s="124" t="str">
        <f>IF($B441="","",IF(AH$3=0,"n.b.",INDEX(SRC_Woningetalage!$A$1:$ZZ$501,$A441,AH$3)))</f>
        <v/>
      </c>
      <c r="AI441" s="124" t="str">
        <f>IF($B441="","",IF(AI$3=0,"n.b.",INDEX(SRC_Woningetalage!$A$1:$ZZ$501,$A441,AI$3)))</f>
        <v/>
      </c>
      <c r="AJ441" s="124" t="str">
        <f>IF($B441="","",IF(AJ$3=0,"n.b.",INDEX(SRC_Woningetalage!$A$1:$ZZ$501,$A441,AJ$3)))</f>
        <v/>
      </c>
      <c r="AK441" s="124" t="str">
        <f>IF($B441="","",IF(AK$3=0,"n.b.",INDEX(SRC_Woningetalage!$A$1:$ZZ$501,$A441,AK$3)))</f>
        <v/>
      </c>
      <c r="AL441" s="124" t="str">
        <f>IF($B441="","",IF(AL$3=0,"n.b.",INDEX(SRC_Woningetalage!$A$1:$ZZ$501,$A441,AL$3)))</f>
        <v/>
      </c>
      <c r="AM441" s="124" t="str">
        <f>IF($B441="","",IF(AM$3=0,"n.b.",INDEX(SRC_Woningetalage!$A$1:$ZZ$501,$A441,AM$3)))</f>
        <v/>
      </c>
      <c r="AN441" s="124" t="str">
        <f>IF($B441="","",IF(AN$3=0,"n.b.",INDEX(SRC_Woningetalage!$A$1:$ZZ$501,$A441,AN$3)))</f>
        <v/>
      </c>
      <c r="AO441" s="124" t="str">
        <f>IF($B441="","",IF(AO$3=0,"n.b.",INDEX(SRC_Woningetalage!$A$1:$ZZ$501,$A441,AO$3)))</f>
        <v/>
      </c>
      <c r="AP441" s="124" t="str">
        <f>IF($B441="","",IF(AP$3=0,"n.b.",INDEX(SRC_Woningetalage!$A$1:$ZZ$501,$A441,AP$3)))</f>
        <v/>
      </c>
      <c r="AQ441" s="124" t="str">
        <f>IF($B441="","",IF(AQ$3=0,"n.b.",INDEX(SRC_Woningetalage!$A$1:$ZZ$501,$A441,AQ$3)))</f>
        <v/>
      </c>
      <c r="AR441" s="124" t="str">
        <f>IF($B441="","",IF(AR$3=0,"n.b.",INDEX(SRC_Woningetalage!$A$1:$ZZ$501,$A441,AR$3)))</f>
        <v/>
      </c>
      <c r="AS441" s="124" t="str">
        <f>IF($B441="","",IF(AS$3=0,"n.b.",INDEX(SRC_Woningetalage!$A$1:$ZZ$501,$A441,AS$3)))</f>
        <v/>
      </c>
      <c r="AT441" s="124" t="str">
        <f>IF($B441="","",IF(AT$3=0,"n.b.",INDEX(SRC_Woningetalage!$A$1:$ZZ$501,$A441,AT$3)))</f>
        <v/>
      </c>
      <c r="AU441" s="124" t="str">
        <f>IF($B441="","",IF(AU$3=0,"n.b.",INDEX(SRC_Woningetalage!$A$1:$ZZ$501,$A441,AU$3)))</f>
        <v/>
      </c>
      <c r="AV441" s="124" t="str">
        <f>IF($B441="","",IF(AV$3=0,"n.b.",INDEX(SRC_Woningetalage!$A$1:$ZZ$501,$A441,AV$3)))</f>
        <v/>
      </c>
      <c r="AW441" s="124" t="str">
        <f>IF($B441="","",IF(AW$3=0,"n.b.",INDEX(SRC_Woningetalage!$A$1:$ZZ$501,$A441,AW$3)))</f>
        <v/>
      </c>
      <c r="AX441" s="124" t="str">
        <f>IF($B441="","",IF(AX$3=0,"n.b.",INDEX(SRC_Woningetalage!$A$1:$ZZ$501,$A441,AX$3)))</f>
        <v/>
      </c>
      <c r="AY441" s="124" t="str">
        <f>IF($B441="","",IF(AY$3=0,"n.b.",INDEX(SRC_Woningetalage!$A$1:$ZZ$501,$A441,AY$3)))</f>
        <v/>
      </c>
      <c r="AZ441" s="124" t="str">
        <f>IF($B441="","",IF(AZ$3=0,"n.b.",INDEX(SRC_Woningetalage!$A$1:$ZZ$501,$A441,AZ$3)))</f>
        <v/>
      </c>
      <c r="BA441" s="124" t="str">
        <f>IF($B441="","",IF(BA$3=0,"n.b.",INDEX(SRC_Woningetalage!$A$1:$ZZ$501,$A441,BA$3)))</f>
        <v/>
      </c>
      <c r="BB441" s="124" t="str">
        <f>IF($B441="","",IF(BB$3=0,"n.b.",INDEX(SRC_Woningetalage!$A$1:$ZZ$501,$A441,BB$3)))</f>
        <v/>
      </c>
      <c r="BC441" s="124" t="str">
        <f>IF($B441="","",IFERROR(_xlfn.NUMBERVALUE(E441&amp;"",",","."),"n.b."))</f>
        <v/>
      </c>
      <c r="BD441" s="124" t="str">
        <f>IF($B441="","",IFERROR(_xlfn.NUMBERVALUE(M441&amp;"",",","."),"n.b."))</f>
        <v/>
      </c>
      <c r="BE441" s="124" t="str">
        <f>IF($B441="","",IFERROR(AB441+AC441+AD441,"n.b."))</f>
        <v/>
      </c>
      <c r="BF441" s="124" t="str">
        <f>IF($B441="","",IFERROR(AE441+AF441+AG441,"n.b."))</f>
        <v/>
      </c>
      <c r="BG441" s="124" t="str">
        <f>IF($B441="","",IFERROR(AH441+AI441+AJ441,"n.b."))</f>
        <v/>
      </c>
      <c r="BH441" s="124" t="str">
        <f>IF($B441="","",IFERROR(AK441+AL441+AM441,"n.b."))</f>
        <v/>
      </c>
      <c r="BI441" s="124" t="str">
        <f>IF($B441="","",IFERROR(SUMIF($AB$5:$AM$5,"&lt;="&amp;P_PeilMaand,AB441:AM441),"n.b."))</f>
        <v/>
      </c>
      <c r="BJ441" s="124" t="str">
        <f>IF($B441="","",IFERROR(SUM(AB441:AM441)-BI441,"n.b."))</f>
        <v/>
      </c>
      <c r="BK441" s="124" t="str">
        <f>IF($B441="","",IFERROR(IF(ABS(Q441-(T441+SUM(AB441:AM441)+AS441+AU441))&gt;P_Tol,1,0),1))</f>
        <v/>
      </c>
      <c r="BL441" s="124" t="str">
        <f>IF($B441="","",IFERROR(IF(ABS(AA441-(Q441-Z441))&gt;P_Tol,1,0),1))</f>
        <v/>
      </c>
      <c r="BM441" s="124" t="str">
        <f>IF($B441="","",IFERROR(IF(ABS(Z441-(T441+W441))&gt;P_Tol,1,0),1))</f>
        <v/>
      </c>
      <c r="BN441" s="124" t="str">
        <f>IF($B441="","",IFERROR(IF(ABS(W441-BI441)&gt;P_Tol,1,0),1))</f>
        <v/>
      </c>
      <c r="BO441" s="124" t="str">
        <f>IF($B441="","",IFERROR(IF(OR(ABS(R441+S441-T441)&gt;P_Tol,ABS(U441+V441-W441)&gt;P_Tol,ABS(X441+Y441-Z441)&gt;P_Tol),1,0),1))</f>
        <v/>
      </c>
      <c r="BP441" s="124" t="str">
        <f>IF($B441="","",IFERROR(IF(OR(ABS(AR441-SUM(AB441:AM441))&gt;P_Tol,ABS(AS441-(AN441+AO441+AP441+AQ441))&gt;P_Tol),1,0),1))</f>
        <v/>
      </c>
      <c r="BQ441" s="124" t="str">
        <f>IF($B441="","",IFERROR(IF(ABS(AT441)+ABS(AV441)+ABS(AW441)+ABS(AX441)+ABS(AY441)+ABS(AZ441)+ABS(BA441)+ABS(BB441)&gt;0,1,0),1))</f>
        <v/>
      </c>
      <c r="BR441" s="124" t="str">
        <f>IF($B441="","",COUNTIF(STG_ZPMW03!$B$6:$B$505,B441))</f>
        <v/>
      </c>
      <c r="BS441" s="124" t="str">
        <f>IF($B441="","",COUNTIF($B$6:$B$505,B441))</f>
        <v/>
      </c>
      <c r="BT441" s="124" t="str">
        <f>IF($B441="","",IF(BR441=0,0,IF(INDEX(STG_ZPMW03!$I$6:$I$505,MATCH(B441,STG_ZPMW03!$B$6:$B$505,0))=J441&amp;"",0,1)))</f>
        <v/>
      </c>
      <c r="BU441" s="124" t="str">
        <f>IF($B441="","",IFERROR(IF(ABS(INDEX(Mapping!$D$5:$D$104,MATCH(B441,Mapping!$A$5:$A$104,0))-Q441)&gt;P_Tol,1,0),0))</f>
        <v/>
      </c>
      <c r="BV441" s="124" t="str">
        <f>IF($B441="","",IFERROR(IF(AND(INDEX(Mapping!$G$5:$G$104,MATCH(B441,Mapping!$A$5:$A$104,0))="Nee",ABS(Q441)+ABS(Z441)+ABS(AR441)&gt;0),1,0),0))</f>
        <v/>
      </c>
      <c r="BW441" s="124" t="str">
        <f>IF($B441="","",IF(COUNTIF(Mapping!$A$5:$A$104,B441)&gt;0,1,0))</f>
        <v/>
      </c>
      <c r="BX441" s="124" t="str">
        <f>IF($B441="","",IF(BR441=0,COUNTIF($BR$6:BR441,0),""))</f>
        <v/>
      </c>
    </row>
    <row r="442">
      <c r="A442" s="15" t="n">
        <v>438</v>
      </c>
      <c r="B442" t="str">
        <f>IF(B$3=0,"",IF(INDEX(SRC_Woningetalage!$A$1:$ZZ$501,$A442,B$3)&amp;""="","",INDEX(SRC_Woningetalage!$A$1:$ZZ$501,$A442,B$3)&amp;""))</f>
        <v/>
      </c>
      <c r="C442" t="str">
        <f>IF($B442="","",IF(C$3=0,"n.b.",INDEX(SRC_Woningetalage!$A$1:$ZZ$501,$A442,C$3)))</f>
        <v/>
      </c>
      <c r="D442" t="str">
        <f>IF($B442="","",IF(D$3=0,"n.b.",INDEX(SRC_Woningetalage!$A$1:$ZZ$501,$A442,D$3)))</f>
        <v/>
      </c>
      <c r="E442" t="str">
        <f>IF($B442="","",IF(E$3=0,"n.b.",INDEX(SRC_Woningetalage!$A$1:$ZZ$501,$A442,E$3)))</f>
        <v/>
      </c>
      <c r="F442" t="str">
        <f>IF($B442="","",IF(F$3=0,"n.b.",INDEX(SRC_Woningetalage!$A$1:$ZZ$501,$A442,F$3)))</f>
        <v/>
      </c>
      <c r="G442" t="str">
        <f>IF($B442="","",IF(G$3=0,"n.b.",INDEX(SRC_Woningetalage!$A$1:$ZZ$501,$A442,G$3)))</f>
        <v/>
      </c>
      <c r="H442" t="str">
        <f>IF($B442="","",IF(H$3=0,"n.b.",INDEX(SRC_Woningetalage!$A$1:$ZZ$501,$A442,H$3)))</f>
        <v/>
      </c>
      <c r="I442" t="str">
        <f>IF($B442="","",IF(I$3=0,"n.b.",INDEX(SRC_Woningetalage!$A$1:$ZZ$501,$A442,I$3)))</f>
        <v/>
      </c>
      <c r="J442" t="str">
        <f>IF($B442="","",IF(J$3=0,"n.b.",INDEX(SRC_Woningetalage!$A$1:$ZZ$501,$A442,J$3)))</f>
        <v/>
      </c>
      <c r="K442" t="str">
        <f>IF($B442="","",IF(K$3=0,"n.b.",INDEX(SRC_Woningetalage!$A$1:$ZZ$501,$A442,K$3)))</f>
        <v/>
      </c>
      <c r="L442" t="str">
        <f>IF($B442="","",IF(L$3=0,"n.b.",INDEX(SRC_Woningetalage!$A$1:$ZZ$501,$A442,L$3)))</f>
        <v/>
      </c>
      <c r="M442" t="str">
        <f>IF($B442="","",IF(M$3=0,"n.b.",INDEX(SRC_Woningetalage!$A$1:$ZZ$501,$A442,M$3)))</f>
        <v/>
      </c>
      <c r="N442" t="str">
        <f>IF($B442="","",IF(N$3=0,"n.b.",INDEX(SRC_Woningetalage!$A$1:$ZZ$501,$A442,N$3)))</f>
        <v/>
      </c>
      <c r="O442" t="str">
        <f>IF($B442="","",IF(O$3=0,"n.b.",INDEX(SRC_Woningetalage!$A$1:$ZZ$501,$A442,O$3)))</f>
        <v/>
      </c>
      <c r="P442" t="str">
        <f>IF($B442="","",IF(P$3=0,"n.b.",INDEX(SRC_Woningetalage!$A$1:$ZZ$501,$A442,P$3)))</f>
        <v/>
      </c>
      <c r="Q442" s="124" t="str">
        <f>IF($B442="","",IF(Q$3=0,"n.b.",INDEX(SRC_Woningetalage!$A$1:$ZZ$501,$A442,Q$3)))</f>
        <v/>
      </c>
      <c r="R442" s="124" t="str">
        <f>IF($B442="","",IF(R$3=0,"n.b.",INDEX(SRC_Woningetalage!$A$1:$ZZ$501,$A442,R$3)))</f>
        <v/>
      </c>
      <c r="S442" s="124" t="str">
        <f>IF($B442="","",IF(S$3=0,"n.b.",INDEX(SRC_Woningetalage!$A$1:$ZZ$501,$A442,S$3)))</f>
        <v/>
      </c>
      <c r="T442" s="124" t="str">
        <f>IF($B442="","",IF(T$3=0,"n.b.",INDEX(SRC_Woningetalage!$A$1:$ZZ$501,$A442,T$3)))</f>
        <v/>
      </c>
      <c r="U442" s="124" t="str">
        <f>IF($B442="","",IF(U$3=0,"n.b.",INDEX(SRC_Woningetalage!$A$1:$ZZ$501,$A442,U$3)))</f>
        <v/>
      </c>
      <c r="V442" s="124" t="str">
        <f>IF($B442="","",IF(V$3=0,"n.b.",INDEX(SRC_Woningetalage!$A$1:$ZZ$501,$A442,V$3)))</f>
        <v/>
      </c>
      <c r="W442" s="124" t="str">
        <f>IF($B442="","",IF(W$3=0,"n.b.",INDEX(SRC_Woningetalage!$A$1:$ZZ$501,$A442,W$3)))</f>
        <v/>
      </c>
      <c r="X442" s="124" t="str">
        <f>IF($B442="","",IF(X$3=0,"n.b.",INDEX(SRC_Woningetalage!$A$1:$ZZ$501,$A442,X$3)))</f>
        <v/>
      </c>
      <c r="Y442" s="124" t="str">
        <f>IF($B442="","",IF(Y$3=0,"n.b.",INDEX(SRC_Woningetalage!$A$1:$ZZ$501,$A442,Y$3)))</f>
        <v/>
      </c>
      <c r="Z442" s="124" t="str">
        <f>IF($B442="","",IF(Z$3=0,"n.b.",INDEX(SRC_Woningetalage!$A$1:$ZZ$501,$A442,Z$3)))</f>
        <v/>
      </c>
      <c r="AA442" s="124" t="str">
        <f>IF($B442="","",IF(AA$3=0,"n.b.",INDEX(SRC_Woningetalage!$A$1:$ZZ$501,$A442,AA$3)))</f>
        <v/>
      </c>
      <c r="AB442" s="124" t="str">
        <f>IF($B442="","",IF(AB$3=0,"n.b.",INDEX(SRC_Woningetalage!$A$1:$ZZ$501,$A442,AB$3)))</f>
        <v/>
      </c>
      <c r="AC442" s="124" t="str">
        <f>IF($B442="","",IF(AC$3=0,"n.b.",INDEX(SRC_Woningetalage!$A$1:$ZZ$501,$A442,AC$3)))</f>
        <v/>
      </c>
      <c r="AD442" s="124" t="str">
        <f>IF($B442="","",IF(AD$3=0,"n.b.",INDEX(SRC_Woningetalage!$A$1:$ZZ$501,$A442,AD$3)))</f>
        <v/>
      </c>
      <c r="AE442" s="124" t="str">
        <f>IF($B442="","",IF(AE$3=0,"n.b.",INDEX(SRC_Woningetalage!$A$1:$ZZ$501,$A442,AE$3)))</f>
        <v/>
      </c>
      <c r="AF442" s="124" t="str">
        <f>IF($B442="","",IF(AF$3=0,"n.b.",INDEX(SRC_Woningetalage!$A$1:$ZZ$501,$A442,AF$3)))</f>
        <v/>
      </c>
      <c r="AG442" s="124" t="str">
        <f>IF($B442="","",IF(AG$3=0,"n.b.",INDEX(SRC_Woningetalage!$A$1:$ZZ$501,$A442,AG$3)))</f>
        <v/>
      </c>
      <c r="AH442" s="124" t="str">
        <f>IF($B442="","",IF(AH$3=0,"n.b.",INDEX(SRC_Woningetalage!$A$1:$ZZ$501,$A442,AH$3)))</f>
        <v/>
      </c>
      <c r="AI442" s="124" t="str">
        <f>IF($B442="","",IF(AI$3=0,"n.b.",INDEX(SRC_Woningetalage!$A$1:$ZZ$501,$A442,AI$3)))</f>
        <v/>
      </c>
      <c r="AJ442" s="124" t="str">
        <f>IF($B442="","",IF(AJ$3=0,"n.b.",INDEX(SRC_Woningetalage!$A$1:$ZZ$501,$A442,AJ$3)))</f>
        <v/>
      </c>
      <c r="AK442" s="124" t="str">
        <f>IF($B442="","",IF(AK$3=0,"n.b.",INDEX(SRC_Woningetalage!$A$1:$ZZ$501,$A442,AK$3)))</f>
        <v/>
      </c>
      <c r="AL442" s="124" t="str">
        <f>IF($B442="","",IF(AL$3=0,"n.b.",INDEX(SRC_Woningetalage!$A$1:$ZZ$501,$A442,AL$3)))</f>
        <v/>
      </c>
      <c r="AM442" s="124" t="str">
        <f>IF($B442="","",IF(AM$3=0,"n.b.",INDEX(SRC_Woningetalage!$A$1:$ZZ$501,$A442,AM$3)))</f>
        <v/>
      </c>
      <c r="AN442" s="124" t="str">
        <f>IF($B442="","",IF(AN$3=0,"n.b.",INDEX(SRC_Woningetalage!$A$1:$ZZ$501,$A442,AN$3)))</f>
        <v/>
      </c>
      <c r="AO442" s="124" t="str">
        <f>IF($B442="","",IF(AO$3=0,"n.b.",INDEX(SRC_Woningetalage!$A$1:$ZZ$501,$A442,AO$3)))</f>
        <v/>
      </c>
      <c r="AP442" s="124" t="str">
        <f>IF($B442="","",IF(AP$3=0,"n.b.",INDEX(SRC_Woningetalage!$A$1:$ZZ$501,$A442,AP$3)))</f>
        <v/>
      </c>
      <c r="AQ442" s="124" t="str">
        <f>IF($B442="","",IF(AQ$3=0,"n.b.",INDEX(SRC_Woningetalage!$A$1:$ZZ$501,$A442,AQ$3)))</f>
        <v/>
      </c>
      <c r="AR442" s="124" t="str">
        <f>IF($B442="","",IF(AR$3=0,"n.b.",INDEX(SRC_Woningetalage!$A$1:$ZZ$501,$A442,AR$3)))</f>
        <v/>
      </c>
      <c r="AS442" s="124" t="str">
        <f>IF($B442="","",IF(AS$3=0,"n.b.",INDEX(SRC_Woningetalage!$A$1:$ZZ$501,$A442,AS$3)))</f>
        <v/>
      </c>
      <c r="AT442" s="124" t="str">
        <f>IF($B442="","",IF(AT$3=0,"n.b.",INDEX(SRC_Woningetalage!$A$1:$ZZ$501,$A442,AT$3)))</f>
        <v/>
      </c>
      <c r="AU442" s="124" t="str">
        <f>IF($B442="","",IF(AU$3=0,"n.b.",INDEX(SRC_Woningetalage!$A$1:$ZZ$501,$A442,AU$3)))</f>
        <v/>
      </c>
      <c r="AV442" s="124" t="str">
        <f>IF($B442="","",IF(AV$3=0,"n.b.",INDEX(SRC_Woningetalage!$A$1:$ZZ$501,$A442,AV$3)))</f>
        <v/>
      </c>
      <c r="AW442" s="124" t="str">
        <f>IF($B442="","",IF(AW$3=0,"n.b.",INDEX(SRC_Woningetalage!$A$1:$ZZ$501,$A442,AW$3)))</f>
        <v/>
      </c>
      <c r="AX442" s="124" t="str">
        <f>IF($B442="","",IF(AX$3=0,"n.b.",INDEX(SRC_Woningetalage!$A$1:$ZZ$501,$A442,AX$3)))</f>
        <v/>
      </c>
      <c r="AY442" s="124" t="str">
        <f>IF($B442="","",IF(AY$3=0,"n.b.",INDEX(SRC_Woningetalage!$A$1:$ZZ$501,$A442,AY$3)))</f>
        <v/>
      </c>
      <c r="AZ442" s="124" t="str">
        <f>IF($B442="","",IF(AZ$3=0,"n.b.",INDEX(SRC_Woningetalage!$A$1:$ZZ$501,$A442,AZ$3)))</f>
        <v/>
      </c>
      <c r="BA442" s="124" t="str">
        <f>IF($B442="","",IF(BA$3=0,"n.b.",INDEX(SRC_Woningetalage!$A$1:$ZZ$501,$A442,BA$3)))</f>
        <v/>
      </c>
      <c r="BB442" s="124" t="str">
        <f>IF($B442="","",IF(BB$3=0,"n.b.",INDEX(SRC_Woningetalage!$A$1:$ZZ$501,$A442,BB$3)))</f>
        <v/>
      </c>
      <c r="BC442" s="124" t="str">
        <f>IF($B442="","",IFERROR(_xlfn.NUMBERVALUE(E442&amp;"",",","."),"n.b."))</f>
        <v/>
      </c>
      <c r="BD442" s="124" t="str">
        <f>IF($B442="","",IFERROR(_xlfn.NUMBERVALUE(M442&amp;"",",","."),"n.b."))</f>
        <v/>
      </c>
      <c r="BE442" s="124" t="str">
        <f>IF($B442="","",IFERROR(AB442+AC442+AD442,"n.b."))</f>
        <v/>
      </c>
      <c r="BF442" s="124" t="str">
        <f>IF($B442="","",IFERROR(AE442+AF442+AG442,"n.b."))</f>
        <v/>
      </c>
      <c r="BG442" s="124" t="str">
        <f>IF($B442="","",IFERROR(AH442+AI442+AJ442,"n.b."))</f>
        <v/>
      </c>
      <c r="BH442" s="124" t="str">
        <f>IF($B442="","",IFERROR(AK442+AL442+AM442,"n.b."))</f>
        <v/>
      </c>
      <c r="BI442" s="124" t="str">
        <f>IF($B442="","",IFERROR(SUMIF($AB$5:$AM$5,"&lt;="&amp;P_PeilMaand,AB442:AM442),"n.b."))</f>
        <v/>
      </c>
      <c r="BJ442" s="124" t="str">
        <f>IF($B442="","",IFERROR(SUM(AB442:AM442)-BI442,"n.b."))</f>
        <v/>
      </c>
      <c r="BK442" s="124" t="str">
        <f>IF($B442="","",IFERROR(IF(ABS(Q442-(T442+SUM(AB442:AM442)+AS442+AU442))&gt;P_Tol,1,0),1))</f>
        <v/>
      </c>
      <c r="BL442" s="124" t="str">
        <f>IF($B442="","",IFERROR(IF(ABS(AA442-(Q442-Z442))&gt;P_Tol,1,0),1))</f>
        <v/>
      </c>
      <c r="BM442" s="124" t="str">
        <f>IF($B442="","",IFERROR(IF(ABS(Z442-(T442+W442))&gt;P_Tol,1,0),1))</f>
        <v/>
      </c>
      <c r="BN442" s="124" t="str">
        <f>IF($B442="","",IFERROR(IF(ABS(W442-BI442)&gt;P_Tol,1,0),1))</f>
        <v/>
      </c>
      <c r="BO442" s="124" t="str">
        <f>IF($B442="","",IFERROR(IF(OR(ABS(R442+S442-T442)&gt;P_Tol,ABS(U442+V442-W442)&gt;P_Tol,ABS(X442+Y442-Z442)&gt;P_Tol),1,0),1))</f>
        <v/>
      </c>
      <c r="BP442" s="124" t="str">
        <f>IF($B442="","",IFERROR(IF(OR(ABS(AR442-SUM(AB442:AM442))&gt;P_Tol,ABS(AS442-(AN442+AO442+AP442+AQ442))&gt;P_Tol),1,0),1))</f>
        <v/>
      </c>
      <c r="BQ442" s="124" t="str">
        <f>IF($B442="","",IFERROR(IF(ABS(AT442)+ABS(AV442)+ABS(AW442)+ABS(AX442)+ABS(AY442)+ABS(AZ442)+ABS(BA442)+ABS(BB442)&gt;0,1,0),1))</f>
        <v/>
      </c>
      <c r="BR442" s="124" t="str">
        <f>IF($B442="","",COUNTIF(STG_ZPMW03!$B$6:$B$505,B442))</f>
        <v/>
      </c>
      <c r="BS442" s="124" t="str">
        <f>IF($B442="","",COUNTIF($B$6:$B$505,B442))</f>
        <v/>
      </c>
      <c r="BT442" s="124" t="str">
        <f>IF($B442="","",IF(BR442=0,0,IF(INDEX(STG_ZPMW03!$I$6:$I$505,MATCH(B442,STG_ZPMW03!$B$6:$B$505,0))=J442&amp;"",0,1)))</f>
        <v/>
      </c>
      <c r="BU442" s="124" t="str">
        <f>IF($B442="","",IFERROR(IF(ABS(INDEX(Mapping!$D$5:$D$104,MATCH(B442,Mapping!$A$5:$A$104,0))-Q442)&gt;P_Tol,1,0),0))</f>
        <v/>
      </c>
      <c r="BV442" s="124" t="str">
        <f>IF($B442="","",IFERROR(IF(AND(INDEX(Mapping!$G$5:$G$104,MATCH(B442,Mapping!$A$5:$A$104,0))="Nee",ABS(Q442)+ABS(Z442)+ABS(AR442)&gt;0),1,0),0))</f>
        <v/>
      </c>
      <c r="BW442" s="124" t="str">
        <f>IF($B442="","",IF(COUNTIF(Mapping!$A$5:$A$104,B442)&gt;0,1,0))</f>
        <v/>
      </c>
      <c r="BX442" s="124" t="str">
        <f>IF($B442="","",IF(BR442=0,COUNTIF($BR$6:BR442,0),""))</f>
        <v/>
      </c>
    </row>
    <row r="443">
      <c r="A443" s="15" t="n">
        <v>439</v>
      </c>
      <c r="B443" t="str">
        <f>IF(B$3=0,"",IF(INDEX(SRC_Woningetalage!$A$1:$ZZ$501,$A443,B$3)&amp;""="","",INDEX(SRC_Woningetalage!$A$1:$ZZ$501,$A443,B$3)&amp;""))</f>
        <v/>
      </c>
      <c r="C443" t="str">
        <f>IF($B443="","",IF(C$3=0,"n.b.",INDEX(SRC_Woningetalage!$A$1:$ZZ$501,$A443,C$3)))</f>
        <v/>
      </c>
      <c r="D443" t="str">
        <f>IF($B443="","",IF(D$3=0,"n.b.",INDEX(SRC_Woningetalage!$A$1:$ZZ$501,$A443,D$3)))</f>
        <v/>
      </c>
      <c r="E443" t="str">
        <f>IF($B443="","",IF(E$3=0,"n.b.",INDEX(SRC_Woningetalage!$A$1:$ZZ$501,$A443,E$3)))</f>
        <v/>
      </c>
      <c r="F443" t="str">
        <f>IF($B443="","",IF(F$3=0,"n.b.",INDEX(SRC_Woningetalage!$A$1:$ZZ$501,$A443,F$3)))</f>
        <v/>
      </c>
      <c r="G443" t="str">
        <f>IF($B443="","",IF(G$3=0,"n.b.",INDEX(SRC_Woningetalage!$A$1:$ZZ$501,$A443,G$3)))</f>
        <v/>
      </c>
      <c r="H443" t="str">
        <f>IF($B443="","",IF(H$3=0,"n.b.",INDEX(SRC_Woningetalage!$A$1:$ZZ$501,$A443,H$3)))</f>
        <v/>
      </c>
      <c r="I443" t="str">
        <f>IF($B443="","",IF(I$3=0,"n.b.",INDEX(SRC_Woningetalage!$A$1:$ZZ$501,$A443,I$3)))</f>
        <v/>
      </c>
      <c r="J443" t="str">
        <f>IF($B443="","",IF(J$3=0,"n.b.",INDEX(SRC_Woningetalage!$A$1:$ZZ$501,$A443,J$3)))</f>
        <v/>
      </c>
      <c r="K443" t="str">
        <f>IF($B443="","",IF(K$3=0,"n.b.",INDEX(SRC_Woningetalage!$A$1:$ZZ$501,$A443,K$3)))</f>
        <v/>
      </c>
      <c r="L443" t="str">
        <f>IF($B443="","",IF(L$3=0,"n.b.",INDEX(SRC_Woningetalage!$A$1:$ZZ$501,$A443,L$3)))</f>
        <v/>
      </c>
      <c r="M443" t="str">
        <f>IF($B443="","",IF(M$3=0,"n.b.",INDEX(SRC_Woningetalage!$A$1:$ZZ$501,$A443,M$3)))</f>
        <v/>
      </c>
      <c r="N443" t="str">
        <f>IF($B443="","",IF(N$3=0,"n.b.",INDEX(SRC_Woningetalage!$A$1:$ZZ$501,$A443,N$3)))</f>
        <v/>
      </c>
      <c r="O443" t="str">
        <f>IF($B443="","",IF(O$3=0,"n.b.",INDEX(SRC_Woningetalage!$A$1:$ZZ$501,$A443,O$3)))</f>
        <v/>
      </c>
      <c r="P443" t="str">
        <f>IF($B443="","",IF(P$3=0,"n.b.",INDEX(SRC_Woningetalage!$A$1:$ZZ$501,$A443,P$3)))</f>
        <v/>
      </c>
      <c r="Q443" s="124" t="str">
        <f>IF($B443="","",IF(Q$3=0,"n.b.",INDEX(SRC_Woningetalage!$A$1:$ZZ$501,$A443,Q$3)))</f>
        <v/>
      </c>
      <c r="R443" s="124" t="str">
        <f>IF($B443="","",IF(R$3=0,"n.b.",INDEX(SRC_Woningetalage!$A$1:$ZZ$501,$A443,R$3)))</f>
        <v/>
      </c>
      <c r="S443" s="124" t="str">
        <f>IF($B443="","",IF(S$3=0,"n.b.",INDEX(SRC_Woningetalage!$A$1:$ZZ$501,$A443,S$3)))</f>
        <v/>
      </c>
      <c r="T443" s="124" t="str">
        <f>IF($B443="","",IF(T$3=0,"n.b.",INDEX(SRC_Woningetalage!$A$1:$ZZ$501,$A443,T$3)))</f>
        <v/>
      </c>
      <c r="U443" s="124" t="str">
        <f>IF($B443="","",IF(U$3=0,"n.b.",INDEX(SRC_Woningetalage!$A$1:$ZZ$501,$A443,U$3)))</f>
        <v/>
      </c>
      <c r="V443" s="124" t="str">
        <f>IF($B443="","",IF(V$3=0,"n.b.",INDEX(SRC_Woningetalage!$A$1:$ZZ$501,$A443,V$3)))</f>
        <v/>
      </c>
      <c r="W443" s="124" t="str">
        <f>IF($B443="","",IF(W$3=0,"n.b.",INDEX(SRC_Woningetalage!$A$1:$ZZ$501,$A443,W$3)))</f>
        <v/>
      </c>
      <c r="X443" s="124" t="str">
        <f>IF($B443="","",IF(X$3=0,"n.b.",INDEX(SRC_Woningetalage!$A$1:$ZZ$501,$A443,X$3)))</f>
        <v/>
      </c>
      <c r="Y443" s="124" t="str">
        <f>IF($B443="","",IF(Y$3=0,"n.b.",INDEX(SRC_Woningetalage!$A$1:$ZZ$501,$A443,Y$3)))</f>
        <v/>
      </c>
      <c r="Z443" s="124" t="str">
        <f>IF($B443="","",IF(Z$3=0,"n.b.",INDEX(SRC_Woningetalage!$A$1:$ZZ$501,$A443,Z$3)))</f>
        <v/>
      </c>
      <c r="AA443" s="124" t="str">
        <f>IF($B443="","",IF(AA$3=0,"n.b.",INDEX(SRC_Woningetalage!$A$1:$ZZ$501,$A443,AA$3)))</f>
        <v/>
      </c>
      <c r="AB443" s="124" t="str">
        <f>IF($B443="","",IF(AB$3=0,"n.b.",INDEX(SRC_Woningetalage!$A$1:$ZZ$501,$A443,AB$3)))</f>
        <v/>
      </c>
      <c r="AC443" s="124" t="str">
        <f>IF($B443="","",IF(AC$3=0,"n.b.",INDEX(SRC_Woningetalage!$A$1:$ZZ$501,$A443,AC$3)))</f>
        <v/>
      </c>
      <c r="AD443" s="124" t="str">
        <f>IF($B443="","",IF(AD$3=0,"n.b.",INDEX(SRC_Woningetalage!$A$1:$ZZ$501,$A443,AD$3)))</f>
        <v/>
      </c>
      <c r="AE443" s="124" t="str">
        <f>IF($B443="","",IF(AE$3=0,"n.b.",INDEX(SRC_Woningetalage!$A$1:$ZZ$501,$A443,AE$3)))</f>
        <v/>
      </c>
      <c r="AF443" s="124" t="str">
        <f>IF($B443="","",IF(AF$3=0,"n.b.",INDEX(SRC_Woningetalage!$A$1:$ZZ$501,$A443,AF$3)))</f>
        <v/>
      </c>
      <c r="AG443" s="124" t="str">
        <f>IF($B443="","",IF(AG$3=0,"n.b.",INDEX(SRC_Woningetalage!$A$1:$ZZ$501,$A443,AG$3)))</f>
        <v/>
      </c>
      <c r="AH443" s="124" t="str">
        <f>IF($B443="","",IF(AH$3=0,"n.b.",INDEX(SRC_Woningetalage!$A$1:$ZZ$501,$A443,AH$3)))</f>
        <v/>
      </c>
      <c r="AI443" s="124" t="str">
        <f>IF($B443="","",IF(AI$3=0,"n.b.",INDEX(SRC_Woningetalage!$A$1:$ZZ$501,$A443,AI$3)))</f>
        <v/>
      </c>
      <c r="AJ443" s="124" t="str">
        <f>IF($B443="","",IF(AJ$3=0,"n.b.",INDEX(SRC_Woningetalage!$A$1:$ZZ$501,$A443,AJ$3)))</f>
        <v/>
      </c>
      <c r="AK443" s="124" t="str">
        <f>IF($B443="","",IF(AK$3=0,"n.b.",INDEX(SRC_Woningetalage!$A$1:$ZZ$501,$A443,AK$3)))</f>
        <v/>
      </c>
      <c r="AL443" s="124" t="str">
        <f>IF($B443="","",IF(AL$3=0,"n.b.",INDEX(SRC_Woningetalage!$A$1:$ZZ$501,$A443,AL$3)))</f>
        <v/>
      </c>
      <c r="AM443" s="124" t="str">
        <f>IF($B443="","",IF(AM$3=0,"n.b.",INDEX(SRC_Woningetalage!$A$1:$ZZ$501,$A443,AM$3)))</f>
        <v/>
      </c>
      <c r="AN443" s="124" t="str">
        <f>IF($B443="","",IF(AN$3=0,"n.b.",INDEX(SRC_Woningetalage!$A$1:$ZZ$501,$A443,AN$3)))</f>
        <v/>
      </c>
      <c r="AO443" s="124" t="str">
        <f>IF($B443="","",IF(AO$3=0,"n.b.",INDEX(SRC_Woningetalage!$A$1:$ZZ$501,$A443,AO$3)))</f>
        <v/>
      </c>
      <c r="AP443" s="124" t="str">
        <f>IF($B443="","",IF(AP$3=0,"n.b.",INDEX(SRC_Woningetalage!$A$1:$ZZ$501,$A443,AP$3)))</f>
        <v/>
      </c>
      <c r="AQ443" s="124" t="str">
        <f>IF($B443="","",IF(AQ$3=0,"n.b.",INDEX(SRC_Woningetalage!$A$1:$ZZ$501,$A443,AQ$3)))</f>
        <v/>
      </c>
      <c r="AR443" s="124" t="str">
        <f>IF($B443="","",IF(AR$3=0,"n.b.",INDEX(SRC_Woningetalage!$A$1:$ZZ$501,$A443,AR$3)))</f>
        <v/>
      </c>
      <c r="AS443" s="124" t="str">
        <f>IF($B443="","",IF(AS$3=0,"n.b.",INDEX(SRC_Woningetalage!$A$1:$ZZ$501,$A443,AS$3)))</f>
        <v/>
      </c>
      <c r="AT443" s="124" t="str">
        <f>IF($B443="","",IF(AT$3=0,"n.b.",INDEX(SRC_Woningetalage!$A$1:$ZZ$501,$A443,AT$3)))</f>
        <v/>
      </c>
      <c r="AU443" s="124" t="str">
        <f>IF($B443="","",IF(AU$3=0,"n.b.",INDEX(SRC_Woningetalage!$A$1:$ZZ$501,$A443,AU$3)))</f>
        <v/>
      </c>
      <c r="AV443" s="124" t="str">
        <f>IF($B443="","",IF(AV$3=0,"n.b.",INDEX(SRC_Woningetalage!$A$1:$ZZ$501,$A443,AV$3)))</f>
        <v/>
      </c>
      <c r="AW443" s="124" t="str">
        <f>IF($B443="","",IF(AW$3=0,"n.b.",INDEX(SRC_Woningetalage!$A$1:$ZZ$501,$A443,AW$3)))</f>
        <v/>
      </c>
      <c r="AX443" s="124" t="str">
        <f>IF($B443="","",IF(AX$3=0,"n.b.",INDEX(SRC_Woningetalage!$A$1:$ZZ$501,$A443,AX$3)))</f>
        <v/>
      </c>
      <c r="AY443" s="124" t="str">
        <f>IF($B443="","",IF(AY$3=0,"n.b.",INDEX(SRC_Woningetalage!$A$1:$ZZ$501,$A443,AY$3)))</f>
        <v/>
      </c>
      <c r="AZ443" s="124" t="str">
        <f>IF($B443="","",IF(AZ$3=0,"n.b.",INDEX(SRC_Woningetalage!$A$1:$ZZ$501,$A443,AZ$3)))</f>
        <v/>
      </c>
      <c r="BA443" s="124" t="str">
        <f>IF($B443="","",IF(BA$3=0,"n.b.",INDEX(SRC_Woningetalage!$A$1:$ZZ$501,$A443,BA$3)))</f>
        <v/>
      </c>
      <c r="BB443" s="124" t="str">
        <f>IF($B443="","",IF(BB$3=0,"n.b.",INDEX(SRC_Woningetalage!$A$1:$ZZ$501,$A443,BB$3)))</f>
        <v/>
      </c>
      <c r="BC443" s="124" t="str">
        <f>IF($B443="","",IFERROR(_xlfn.NUMBERVALUE(E443&amp;"",",","."),"n.b."))</f>
        <v/>
      </c>
      <c r="BD443" s="124" t="str">
        <f>IF($B443="","",IFERROR(_xlfn.NUMBERVALUE(M443&amp;"",",","."),"n.b."))</f>
        <v/>
      </c>
      <c r="BE443" s="124" t="str">
        <f>IF($B443="","",IFERROR(AB443+AC443+AD443,"n.b."))</f>
        <v/>
      </c>
      <c r="BF443" s="124" t="str">
        <f>IF($B443="","",IFERROR(AE443+AF443+AG443,"n.b."))</f>
        <v/>
      </c>
      <c r="BG443" s="124" t="str">
        <f>IF($B443="","",IFERROR(AH443+AI443+AJ443,"n.b."))</f>
        <v/>
      </c>
      <c r="BH443" s="124" t="str">
        <f>IF($B443="","",IFERROR(AK443+AL443+AM443,"n.b."))</f>
        <v/>
      </c>
      <c r="BI443" s="124" t="str">
        <f>IF($B443="","",IFERROR(SUMIF($AB$5:$AM$5,"&lt;="&amp;P_PeilMaand,AB443:AM443),"n.b."))</f>
        <v/>
      </c>
      <c r="BJ443" s="124" t="str">
        <f>IF($B443="","",IFERROR(SUM(AB443:AM443)-BI443,"n.b."))</f>
        <v/>
      </c>
      <c r="BK443" s="124" t="str">
        <f>IF($B443="","",IFERROR(IF(ABS(Q443-(T443+SUM(AB443:AM443)+AS443+AU443))&gt;P_Tol,1,0),1))</f>
        <v/>
      </c>
      <c r="BL443" s="124" t="str">
        <f>IF($B443="","",IFERROR(IF(ABS(AA443-(Q443-Z443))&gt;P_Tol,1,0),1))</f>
        <v/>
      </c>
      <c r="BM443" s="124" t="str">
        <f>IF($B443="","",IFERROR(IF(ABS(Z443-(T443+W443))&gt;P_Tol,1,0),1))</f>
        <v/>
      </c>
      <c r="BN443" s="124" t="str">
        <f>IF($B443="","",IFERROR(IF(ABS(W443-BI443)&gt;P_Tol,1,0),1))</f>
        <v/>
      </c>
      <c r="BO443" s="124" t="str">
        <f>IF($B443="","",IFERROR(IF(OR(ABS(R443+S443-T443)&gt;P_Tol,ABS(U443+V443-W443)&gt;P_Tol,ABS(X443+Y443-Z443)&gt;P_Tol),1,0),1))</f>
        <v/>
      </c>
      <c r="BP443" s="124" t="str">
        <f>IF($B443="","",IFERROR(IF(OR(ABS(AR443-SUM(AB443:AM443))&gt;P_Tol,ABS(AS443-(AN443+AO443+AP443+AQ443))&gt;P_Tol),1,0),1))</f>
        <v/>
      </c>
      <c r="BQ443" s="124" t="str">
        <f>IF($B443="","",IFERROR(IF(ABS(AT443)+ABS(AV443)+ABS(AW443)+ABS(AX443)+ABS(AY443)+ABS(AZ443)+ABS(BA443)+ABS(BB443)&gt;0,1,0),1))</f>
        <v/>
      </c>
      <c r="BR443" s="124" t="str">
        <f>IF($B443="","",COUNTIF(STG_ZPMW03!$B$6:$B$505,B443))</f>
        <v/>
      </c>
      <c r="BS443" s="124" t="str">
        <f>IF($B443="","",COUNTIF($B$6:$B$505,B443))</f>
        <v/>
      </c>
      <c r="BT443" s="124" t="str">
        <f>IF($B443="","",IF(BR443=0,0,IF(INDEX(STG_ZPMW03!$I$6:$I$505,MATCH(B443,STG_ZPMW03!$B$6:$B$505,0))=J443&amp;"",0,1)))</f>
        <v/>
      </c>
      <c r="BU443" s="124" t="str">
        <f>IF($B443="","",IFERROR(IF(ABS(INDEX(Mapping!$D$5:$D$104,MATCH(B443,Mapping!$A$5:$A$104,0))-Q443)&gt;P_Tol,1,0),0))</f>
        <v/>
      </c>
      <c r="BV443" s="124" t="str">
        <f>IF($B443="","",IFERROR(IF(AND(INDEX(Mapping!$G$5:$G$104,MATCH(B443,Mapping!$A$5:$A$104,0))="Nee",ABS(Q443)+ABS(Z443)+ABS(AR443)&gt;0),1,0),0))</f>
        <v/>
      </c>
      <c r="BW443" s="124" t="str">
        <f>IF($B443="","",IF(COUNTIF(Mapping!$A$5:$A$104,B443)&gt;0,1,0))</f>
        <v/>
      </c>
      <c r="BX443" s="124" t="str">
        <f>IF($B443="","",IF(BR443=0,COUNTIF($BR$6:BR443,0),""))</f>
        <v/>
      </c>
    </row>
    <row r="444">
      <c r="A444" s="15" t="n">
        <v>440</v>
      </c>
      <c r="B444" t="str">
        <f>IF(B$3=0,"",IF(INDEX(SRC_Woningetalage!$A$1:$ZZ$501,$A444,B$3)&amp;""="","",INDEX(SRC_Woningetalage!$A$1:$ZZ$501,$A444,B$3)&amp;""))</f>
        <v/>
      </c>
      <c r="C444" t="str">
        <f>IF($B444="","",IF(C$3=0,"n.b.",INDEX(SRC_Woningetalage!$A$1:$ZZ$501,$A444,C$3)))</f>
        <v/>
      </c>
      <c r="D444" t="str">
        <f>IF($B444="","",IF(D$3=0,"n.b.",INDEX(SRC_Woningetalage!$A$1:$ZZ$501,$A444,D$3)))</f>
        <v/>
      </c>
      <c r="E444" t="str">
        <f>IF($B444="","",IF(E$3=0,"n.b.",INDEX(SRC_Woningetalage!$A$1:$ZZ$501,$A444,E$3)))</f>
        <v/>
      </c>
      <c r="F444" t="str">
        <f>IF($B444="","",IF(F$3=0,"n.b.",INDEX(SRC_Woningetalage!$A$1:$ZZ$501,$A444,F$3)))</f>
        <v/>
      </c>
      <c r="G444" t="str">
        <f>IF($B444="","",IF(G$3=0,"n.b.",INDEX(SRC_Woningetalage!$A$1:$ZZ$501,$A444,G$3)))</f>
        <v/>
      </c>
      <c r="H444" t="str">
        <f>IF($B444="","",IF(H$3=0,"n.b.",INDEX(SRC_Woningetalage!$A$1:$ZZ$501,$A444,H$3)))</f>
        <v/>
      </c>
      <c r="I444" t="str">
        <f>IF($B444="","",IF(I$3=0,"n.b.",INDEX(SRC_Woningetalage!$A$1:$ZZ$501,$A444,I$3)))</f>
        <v/>
      </c>
      <c r="J444" t="str">
        <f>IF($B444="","",IF(J$3=0,"n.b.",INDEX(SRC_Woningetalage!$A$1:$ZZ$501,$A444,J$3)))</f>
        <v/>
      </c>
      <c r="K444" t="str">
        <f>IF($B444="","",IF(K$3=0,"n.b.",INDEX(SRC_Woningetalage!$A$1:$ZZ$501,$A444,K$3)))</f>
        <v/>
      </c>
      <c r="L444" t="str">
        <f>IF($B444="","",IF(L$3=0,"n.b.",INDEX(SRC_Woningetalage!$A$1:$ZZ$501,$A444,L$3)))</f>
        <v/>
      </c>
      <c r="M444" t="str">
        <f>IF($B444="","",IF(M$3=0,"n.b.",INDEX(SRC_Woningetalage!$A$1:$ZZ$501,$A444,M$3)))</f>
        <v/>
      </c>
      <c r="N444" t="str">
        <f>IF($B444="","",IF(N$3=0,"n.b.",INDEX(SRC_Woningetalage!$A$1:$ZZ$501,$A444,N$3)))</f>
        <v/>
      </c>
      <c r="O444" t="str">
        <f>IF($B444="","",IF(O$3=0,"n.b.",INDEX(SRC_Woningetalage!$A$1:$ZZ$501,$A444,O$3)))</f>
        <v/>
      </c>
      <c r="P444" t="str">
        <f>IF($B444="","",IF(P$3=0,"n.b.",INDEX(SRC_Woningetalage!$A$1:$ZZ$501,$A444,P$3)))</f>
        <v/>
      </c>
      <c r="Q444" s="124" t="str">
        <f>IF($B444="","",IF(Q$3=0,"n.b.",INDEX(SRC_Woningetalage!$A$1:$ZZ$501,$A444,Q$3)))</f>
        <v/>
      </c>
      <c r="R444" s="124" t="str">
        <f>IF($B444="","",IF(R$3=0,"n.b.",INDEX(SRC_Woningetalage!$A$1:$ZZ$501,$A444,R$3)))</f>
        <v/>
      </c>
      <c r="S444" s="124" t="str">
        <f>IF($B444="","",IF(S$3=0,"n.b.",INDEX(SRC_Woningetalage!$A$1:$ZZ$501,$A444,S$3)))</f>
        <v/>
      </c>
      <c r="T444" s="124" t="str">
        <f>IF($B444="","",IF(T$3=0,"n.b.",INDEX(SRC_Woningetalage!$A$1:$ZZ$501,$A444,T$3)))</f>
        <v/>
      </c>
      <c r="U444" s="124" t="str">
        <f>IF($B444="","",IF(U$3=0,"n.b.",INDEX(SRC_Woningetalage!$A$1:$ZZ$501,$A444,U$3)))</f>
        <v/>
      </c>
      <c r="V444" s="124" t="str">
        <f>IF($B444="","",IF(V$3=0,"n.b.",INDEX(SRC_Woningetalage!$A$1:$ZZ$501,$A444,V$3)))</f>
        <v/>
      </c>
      <c r="W444" s="124" t="str">
        <f>IF($B444="","",IF(W$3=0,"n.b.",INDEX(SRC_Woningetalage!$A$1:$ZZ$501,$A444,W$3)))</f>
        <v/>
      </c>
      <c r="X444" s="124" t="str">
        <f>IF($B444="","",IF(X$3=0,"n.b.",INDEX(SRC_Woningetalage!$A$1:$ZZ$501,$A444,X$3)))</f>
        <v/>
      </c>
      <c r="Y444" s="124" t="str">
        <f>IF($B444="","",IF(Y$3=0,"n.b.",INDEX(SRC_Woningetalage!$A$1:$ZZ$501,$A444,Y$3)))</f>
        <v/>
      </c>
      <c r="Z444" s="124" t="str">
        <f>IF($B444="","",IF(Z$3=0,"n.b.",INDEX(SRC_Woningetalage!$A$1:$ZZ$501,$A444,Z$3)))</f>
        <v/>
      </c>
      <c r="AA444" s="124" t="str">
        <f>IF($B444="","",IF(AA$3=0,"n.b.",INDEX(SRC_Woningetalage!$A$1:$ZZ$501,$A444,AA$3)))</f>
        <v/>
      </c>
      <c r="AB444" s="124" t="str">
        <f>IF($B444="","",IF(AB$3=0,"n.b.",INDEX(SRC_Woningetalage!$A$1:$ZZ$501,$A444,AB$3)))</f>
        <v/>
      </c>
      <c r="AC444" s="124" t="str">
        <f>IF($B444="","",IF(AC$3=0,"n.b.",INDEX(SRC_Woningetalage!$A$1:$ZZ$501,$A444,AC$3)))</f>
        <v/>
      </c>
      <c r="AD444" s="124" t="str">
        <f>IF($B444="","",IF(AD$3=0,"n.b.",INDEX(SRC_Woningetalage!$A$1:$ZZ$501,$A444,AD$3)))</f>
        <v/>
      </c>
      <c r="AE444" s="124" t="str">
        <f>IF($B444="","",IF(AE$3=0,"n.b.",INDEX(SRC_Woningetalage!$A$1:$ZZ$501,$A444,AE$3)))</f>
        <v/>
      </c>
      <c r="AF444" s="124" t="str">
        <f>IF($B444="","",IF(AF$3=0,"n.b.",INDEX(SRC_Woningetalage!$A$1:$ZZ$501,$A444,AF$3)))</f>
        <v/>
      </c>
      <c r="AG444" s="124" t="str">
        <f>IF($B444="","",IF(AG$3=0,"n.b.",INDEX(SRC_Woningetalage!$A$1:$ZZ$501,$A444,AG$3)))</f>
        <v/>
      </c>
      <c r="AH444" s="124" t="str">
        <f>IF($B444="","",IF(AH$3=0,"n.b.",INDEX(SRC_Woningetalage!$A$1:$ZZ$501,$A444,AH$3)))</f>
        <v/>
      </c>
      <c r="AI444" s="124" t="str">
        <f>IF($B444="","",IF(AI$3=0,"n.b.",INDEX(SRC_Woningetalage!$A$1:$ZZ$501,$A444,AI$3)))</f>
        <v/>
      </c>
      <c r="AJ444" s="124" t="str">
        <f>IF($B444="","",IF(AJ$3=0,"n.b.",INDEX(SRC_Woningetalage!$A$1:$ZZ$501,$A444,AJ$3)))</f>
        <v/>
      </c>
      <c r="AK444" s="124" t="str">
        <f>IF($B444="","",IF(AK$3=0,"n.b.",INDEX(SRC_Woningetalage!$A$1:$ZZ$501,$A444,AK$3)))</f>
        <v/>
      </c>
      <c r="AL444" s="124" t="str">
        <f>IF($B444="","",IF(AL$3=0,"n.b.",INDEX(SRC_Woningetalage!$A$1:$ZZ$501,$A444,AL$3)))</f>
        <v/>
      </c>
      <c r="AM444" s="124" t="str">
        <f>IF($B444="","",IF(AM$3=0,"n.b.",INDEX(SRC_Woningetalage!$A$1:$ZZ$501,$A444,AM$3)))</f>
        <v/>
      </c>
      <c r="AN444" s="124" t="str">
        <f>IF($B444="","",IF(AN$3=0,"n.b.",INDEX(SRC_Woningetalage!$A$1:$ZZ$501,$A444,AN$3)))</f>
        <v/>
      </c>
      <c r="AO444" s="124" t="str">
        <f>IF($B444="","",IF(AO$3=0,"n.b.",INDEX(SRC_Woningetalage!$A$1:$ZZ$501,$A444,AO$3)))</f>
        <v/>
      </c>
      <c r="AP444" s="124" t="str">
        <f>IF($B444="","",IF(AP$3=0,"n.b.",INDEX(SRC_Woningetalage!$A$1:$ZZ$501,$A444,AP$3)))</f>
        <v/>
      </c>
      <c r="AQ444" s="124" t="str">
        <f>IF($B444="","",IF(AQ$3=0,"n.b.",INDEX(SRC_Woningetalage!$A$1:$ZZ$501,$A444,AQ$3)))</f>
        <v/>
      </c>
      <c r="AR444" s="124" t="str">
        <f>IF($B444="","",IF(AR$3=0,"n.b.",INDEX(SRC_Woningetalage!$A$1:$ZZ$501,$A444,AR$3)))</f>
        <v/>
      </c>
      <c r="AS444" s="124" t="str">
        <f>IF($B444="","",IF(AS$3=0,"n.b.",INDEX(SRC_Woningetalage!$A$1:$ZZ$501,$A444,AS$3)))</f>
        <v/>
      </c>
      <c r="AT444" s="124" t="str">
        <f>IF($B444="","",IF(AT$3=0,"n.b.",INDEX(SRC_Woningetalage!$A$1:$ZZ$501,$A444,AT$3)))</f>
        <v/>
      </c>
      <c r="AU444" s="124" t="str">
        <f>IF($B444="","",IF(AU$3=0,"n.b.",INDEX(SRC_Woningetalage!$A$1:$ZZ$501,$A444,AU$3)))</f>
        <v/>
      </c>
      <c r="AV444" s="124" t="str">
        <f>IF($B444="","",IF(AV$3=0,"n.b.",INDEX(SRC_Woningetalage!$A$1:$ZZ$501,$A444,AV$3)))</f>
        <v/>
      </c>
      <c r="AW444" s="124" t="str">
        <f>IF($B444="","",IF(AW$3=0,"n.b.",INDEX(SRC_Woningetalage!$A$1:$ZZ$501,$A444,AW$3)))</f>
        <v/>
      </c>
      <c r="AX444" s="124" t="str">
        <f>IF($B444="","",IF(AX$3=0,"n.b.",INDEX(SRC_Woningetalage!$A$1:$ZZ$501,$A444,AX$3)))</f>
        <v/>
      </c>
      <c r="AY444" s="124" t="str">
        <f>IF($B444="","",IF(AY$3=0,"n.b.",INDEX(SRC_Woningetalage!$A$1:$ZZ$501,$A444,AY$3)))</f>
        <v/>
      </c>
      <c r="AZ444" s="124" t="str">
        <f>IF($B444="","",IF(AZ$3=0,"n.b.",INDEX(SRC_Woningetalage!$A$1:$ZZ$501,$A444,AZ$3)))</f>
        <v/>
      </c>
      <c r="BA444" s="124" t="str">
        <f>IF($B444="","",IF(BA$3=0,"n.b.",INDEX(SRC_Woningetalage!$A$1:$ZZ$501,$A444,BA$3)))</f>
        <v/>
      </c>
      <c r="BB444" s="124" t="str">
        <f>IF($B444="","",IF(BB$3=0,"n.b.",INDEX(SRC_Woningetalage!$A$1:$ZZ$501,$A444,BB$3)))</f>
        <v/>
      </c>
      <c r="BC444" s="124" t="str">
        <f>IF($B444="","",IFERROR(_xlfn.NUMBERVALUE(E444&amp;"",",","."),"n.b."))</f>
        <v/>
      </c>
      <c r="BD444" s="124" t="str">
        <f>IF($B444="","",IFERROR(_xlfn.NUMBERVALUE(M444&amp;"",",","."),"n.b."))</f>
        <v/>
      </c>
      <c r="BE444" s="124" t="str">
        <f>IF($B444="","",IFERROR(AB444+AC444+AD444,"n.b."))</f>
        <v/>
      </c>
      <c r="BF444" s="124" t="str">
        <f>IF($B444="","",IFERROR(AE444+AF444+AG444,"n.b."))</f>
        <v/>
      </c>
      <c r="BG444" s="124" t="str">
        <f>IF($B444="","",IFERROR(AH444+AI444+AJ444,"n.b."))</f>
        <v/>
      </c>
      <c r="BH444" s="124" t="str">
        <f>IF($B444="","",IFERROR(AK444+AL444+AM444,"n.b."))</f>
        <v/>
      </c>
      <c r="BI444" s="124" t="str">
        <f>IF($B444="","",IFERROR(SUMIF($AB$5:$AM$5,"&lt;="&amp;P_PeilMaand,AB444:AM444),"n.b."))</f>
        <v/>
      </c>
      <c r="BJ444" s="124" t="str">
        <f>IF($B444="","",IFERROR(SUM(AB444:AM444)-BI444,"n.b."))</f>
        <v/>
      </c>
      <c r="BK444" s="124" t="str">
        <f>IF($B444="","",IFERROR(IF(ABS(Q444-(T444+SUM(AB444:AM444)+AS444+AU444))&gt;P_Tol,1,0),1))</f>
        <v/>
      </c>
      <c r="BL444" s="124" t="str">
        <f>IF($B444="","",IFERROR(IF(ABS(AA444-(Q444-Z444))&gt;P_Tol,1,0),1))</f>
        <v/>
      </c>
      <c r="BM444" s="124" t="str">
        <f>IF($B444="","",IFERROR(IF(ABS(Z444-(T444+W444))&gt;P_Tol,1,0),1))</f>
        <v/>
      </c>
      <c r="BN444" s="124" t="str">
        <f>IF($B444="","",IFERROR(IF(ABS(W444-BI444)&gt;P_Tol,1,0),1))</f>
        <v/>
      </c>
      <c r="BO444" s="124" t="str">
        <f>IF($B444="","",IFERROR(IF(OR(ABS(R444+S444-T444)&gt;P_Tol,ABS(U444+V444-W444)&gt;P_Tol,ABS(X444+Y444-Z444)&gt;P_Tol),1,0),1))</f>
        <v/>
      </c>
      <c r="BP444" s="124" t="str">
        <f>IF($B444="","",IFERROR(IF(OR(ABS(AR444-SUM(AB444:AM444))&gt;P_Tol,ABS(AS444-(AN444+AO444+AP444+AQ444))&gt;P_Tol),1,0),1))</f>
        <v/>
      </c>
      <c r="BQ444" s="124" t="str">
        <f>IF($B444="","",IFERROR(IF(ABS(AT444)+ABS(AV444)+ABS(AW444)+ABS(AX444)+ABS(AY444)+ABS(AZ444)+ABS(BA444)+ABS(BB444)&gt;0,1,0),1))</f>
        <v/>
      </c>
      <c r="BR444" s="124" t="str">
        <f>IF($B444="","",COUNTIF(STG_ZPMW03!$B$6:$B$505,B444))</f>
        <v/>
      </c>
      <c r="BS444" s="124" t="str">
        <f>IF($B444="","",COUNTIF($B$6:$B$505,B444))</f>
        <v/>
      </c>
      <c r="BT444" s="124" t="str">
        <f>IF($B444="","",IF(BR444=0,0,IF(INDEX(STG_ZPMW03!$I$6:$I$505,MATCH(B444,STG_ZPMW03!$B$6:$B$505,0))=J444&amp;"",0,1)))</f>
        <v/>
      </c>
      <c r="BU444" s="124" t="str">
        <f>IF($B444="","",IFERROR(IF(ABS(INDEX(Mapping!$D$5:$D$104,MATCH(B444,Mapping!$A$5:$A$104,0))-Q444)&gt;P_Tol,1,0),0))</f>
        <v/>
      </c>
      <c r="BV444" s="124" t="str">
        <f>IF($B444="","",IFERROR(IF(AND(INDEX(Mapping!$G$5:$G$104,MATCH(B444,Mapping!$A$5:$A$104,0))="Nee",ABS(Q444)+ABS(Z444)+ABS(AR444)&gt;0),1,0),0))</f>
        <v/>
      </c>
      <c r="BW444" s="124" t="str">
        <f>IF($B444="","",IF(COUNTIF(Mapping!$A$5:$A$104,B444)&gt;0,1,0))</f>
        <v/>
      </c>
      <c r="BX444" s="124" t="str">
        <f>IF($B444="","",IF(BR444=0,COUNTIF($BR$6:BR444,0),""))</f>
        <v/>
      </c>
    </row>
    <row r="445">
      <c r="A445" s="15" t="n">
        <v>441</v>
      </c>
      <c r="B445" t="str">
        <f>IF(B$3=0,"",IF(INDEX(SRC_Woningetalage!$A$1:$ZZ$501,$A445,B$3)&amp;""="","",INDEX(SRC_Woningetalage!$A$1:$ZZ$501,$A445,B$3)&amp;""))</f>
        <v/>
      </c>
      <c r="C445" t="str">
        <f>IF($B445="","",IF(C$3=0,"n.b.",INDEX(SRC_Woningetalage!$A$1:$ZZ$501,$A445,C$3)))</f>
        <v/>
      </c>
      <c r="D445" t="str">
        <f>IF($B445="","",IF(D$3=0,"n.b.",INDEX(SRC_Woningetalage!$A$1:$ZZ$501,$A445,D$3)))</f>
        <v/>
      </c>
      <c r="E445" t="str">
        <f>IF($B445="","",IF(E$3=0,"n.b.",INDEX(SRC_Woningetalage!$A$1:$ZZ$501,$A445,E$3)))</f>
        <v/>
      </c>
      <c r="F445" t="str">
        <f>IF($B445="","",IF(F$3=0,"n.b.",INDEX(SRC_Woningetalage!$A$1:$ZZ$501,$A445,F$3)))</f>
        <v/>
      </c>
      <c r="G445" t="str">
        <f>IF($B445="","",IF(G$3=0,"n.b.",INDEX(SRC_Woningetalage!$A$1:$ZZ$501,$A445,G$3)))</f>
        <v/>
      </c>
      <c r="H445" t="str">
        <f>IF($B445="","",IF(H$3=0,"n.b.",INDEX(SRC_Woningetalage!$A$1:$ZZ$501,$A445,H$3)))</f>
        <v/>
      </c>
      <c r="I445" t="str">
        <f>IF($B445="","",IF(I$3=0,"n.b.",INDEX(SRC_Woningetalage!$A$1:$ZZ$501,$A445,I$3)))</f>
        <v/>
      </c>
      <c r="J445" t="str">
        <f>IF($B445="","",IF(J$3=0,"n.b.",INDEX(SRC_Woningetalage!$A$1:$ZZ$501,$A445,J$3)))</f>
        <v/>
      </c>
      <c r="K445" t="str">
        <f>IF($B445="","",IF(K$3=0,"n.b.",INDEX(SRC_Woningetalage!$A$1:$ZZ$501,$A445,K$3)))</f>
        <v/>
      </c>
      <c r="L445" t="str">
        <f>IF($B445="","",IF(L$3=0,"n.b.",INDEX(SRC_Woningetalage!$A$1:$ZZ$501,$A445,L$3)))</f>
        <v/>
      </c>
      <c r="M445" t="str">
        <f>IF($B445="","",IF(M$3=0,"n.b.",INDEX(SRC_Woningetalage!$A$1:$ZZ$501,$A445,M$3)))</f>
        <v/>
      </c>
      <c r="N445" t="str">
        <f>IF($B445="","",IF(N$3=0,"n.b.",INDEX(SRC_Woningetalage!$A$1:$ZZ$501,$A445,N$3)))</f>
        <v/>
      </c>
      <c r="O445" t="str">
        <f>IF($B445="","",IF(O$3=0,"n.b.",INDEX(SRC_Woningetalage!$A$1:$ZZ$501,$A445,O$3)))</f>
        <v/>
      </c>
      <c r="P445" t="str">
        <f>IF($B445="","",IF(P$3=0,"n.b.",INDEX(SRC_Woningetalage!$A$1:$ZZ$501,$A445,P$3)))</f>
        <v/>
      </c>
      <c r="Q445" s="124" t="str">
        <f>IF($B445="","",IF(Q$3=0,"n.b.",INDEX(SRC_Woningetalage!$A$1:$ZZ$501,$A445,Q$3)))</f>
        <v/>
      </c>
      <c r="R445" s="124" t="str">
        <f>IF($B445="","",IF(R$3=0,"n.b.",INDEX(SRC_Woningetalage!$A$1:$ZZ$501,$A445,R$3)))</f>
        <v/>
      </c>
      <c r="S445" s="124" t="str">
        <f>IF($B445="","",IF(S$3=0,"n.b.",INDEX(SRC_Woningetalage!$A$1:$ZZ$501,$A445,S$3)))</f>
        <v/>
      </c>
      <c r="T445" s="124" t="str">
        <f>IF($B445="","",IF(T$3=0,"n.b.",INDEX(SRC_Woningetalage!$A$1:$ZZ$501,$A445,T$3)))</f>
        <v/>
      </c>
      <c r="U445" s="124" t="str">
        <f>IF($B445="","",IF(U$3=0,"n.b.",INDEX(SRC_Woningetalage!$A$1:$ZZ$501,$A445,U$3)))</f>
        <v/>
      </c>
      <c r="V445" s="124" t="str">
        <f>IF($B445="","",IF(V$3=0,"n.b.",INDEX(SRC_Woningetalage!$A$1:$ZZ$501,$A445,V$3)))</f>
        <v/>
      </c>
      <c r="W445" s="124" t="str">
        <f>IF($B445="","",IF(W$3=0,"n.b.",INDEX(SRC_Woningetalage!$A$1:$ZZ$501,$A445,W$3)))</f>
        <v/>
      </c>
      <c r="X445" s="124" t="str">
        <f>IF($B445="","",IF(X$3=0,"n.b.",INDEX(SRC_Woningetalage!$A$1:$ZZ$501,$A445,X$3)))</f>
        <v/>
      </c>
      <c r="Y445" s="124" t="str">
        <f>IF($B445="","",IF(Y$3=0,"n.b.",INDEX(SRC_Woningetalage!$A$1:$ZZ$501,$A445,Y$3)))</f>
        <v/>
      </c>
      <c r="Z445" s="124" t="str">
        <f>IF($B445="","",IF(Z$3=0,"n.b.",INDEX(SRC_Woningetalage!$A$1:$ZZ$501,$A445,Z$3)))</f>
        <v/>
      </c>
      <c r="AA445" s="124" t="str">
        <f>IF($B445="","",IF(AA$3=0,"n.b.",INDEX(SRC_Woningetalage!$A$1:$ZZ$501,$A445,AA$3)))</f>
        <v/>
      </c>
      <c r="AB445" s="124" t="str">
        <f>IF($B445="","",IF(AB$3=0,"n.b.",INDEX(SRC_Woningetalage!$A$1:$ZZ$501,$A445,AB$3)))</f>
        <v/>
      </c>
      <c r="AC445" s="124" t="str">
        <f>IF($B445="","",IF(AC$3=0,"n.b.",INDEX(SRC_Woningetalage!$A$1:$ZZ$501,$A445,AC$3)))</f>
        <v/>
      </c>
      <c r="AD445" s="124" t="str">
        <f>IF($B445="","",IF(AD$3=0,"n.b.",INDEX(SRC_Woningetalage!$A$1:$ZZ$501,$A445,AD$3)))</f>
        <v/>
      </c>
      <c r="AE445" s="124" t="str">
        <f>IF($B445="","",IF(AE$3=0,"n.b.",INDEX(SRC_Woningetalage!$A$1:$ZZ$501,$A445,AE$3)))</f>
        <v/>
      </c>
      <c r="AF445" s="124" t="str">
        <f>IF($B445="","",IF(AF$3=0,"n.b.",INDEX(SRC_Woningetalage!$A$1:$ZZ$501,$A445,AF$3)))</f>
        <v/>
      </c>
      <c r="AG445" s="124" t="str">
        <f>IF($B445="","",IF(AG$3=0,"n.b.",INDEX(SRC_Woningetalage!$A$1:$ZZ$501,$A445,AG$3)))</f>
        <v/>
      </c>
      <c r="AH445" s="124" t="str">
        <f>IF($B445="","",IF(AH$3=0,"n.b.",INDEX(SRC_Woningetalage!$A$1:$ZZ$501,$A445,AH$3)))</f>
        <v/>
      </c>
      <c r="AI445" s="124" t="str">
        <f>IF($B445="","",IF(AI$3=0,"n.b.",INDEX(SRC_Woningetalage!$A$1:$ZZ$501,$A445,AI$3)))</f>
        <v/>
      </c>
      <c r="AJ445" s="124" t="str">
        <f>IF($B445="","",IF(AJ$3=0,"n.b.",INDEX(SRC_Woningetalage!$A$1:$ZZ$501,$A445,AJ$3)))</f>
        <v/>
      </c>
      <c r="AK445" s="124" t="str">
        <f>IF($B445="","",IF(AK$3=0,"n.b.",INDEX(SRC_Woningetalage!$A$1:$ZZ$501,$A445,AK$3)))</f>
        <v/>
      </c>
      <c r="AL445" s="124" t="str">
        <f>IF($B445="","",IF(AL$3=0,"n.b.",INDEX(SRC_Woningetalage!$A$1:$ZZ$501,$A445,AL$3)))</f>
        <v/>
      </c>
      <c r="AM445" s="124" t="str">
        <f>IF($B445="","",IF(AM$3=0,"n.b.",INDEX(SRC_Woningetalage!$A$1:$ZZ$501,$A445,AM$3)))</f>
        <v/>
      </c>
      <c r="AN445" s="124" t="str">
        <f>IF($B445="","",IF(AN$3=0,"n.b.",INDEX(SRC_Woningetalage!$A$1:$ZZ$501,$A445,AN$3)))</f>
        <v/>
      </c>
      <c r="AO445" s="124" t="str">
        <f>IF($B445="","",IF(AO$3=0,"n.b.",INDEX(SRC_Woningetalage!$A$1:$ZZ$501,$A445,AO$3)))</f>
        <v/>
      </c>
      <c r="AP445" s="124" t="str">
        <f>IF($B445="","",IF(AP$3=0,"n.b.",INDEX(SRC_Woningetalage!$A$1:$ZZ$501,$A445,AP$3)))</f>
        <v/>
      </c>
      <c r="AQ445" s="124" t="str">
        <f>IF($B445="","",IF(AQ$3=0,"n.b.",INDEX(SRC_Woningetalage!$A$1:$ZZ$501,$A445,AQ$3)))</f>
        <v/>
      </c>
      <c r="AR445" s="124" t="str">
        <f>IF($B445="","",IF(AR$3=0,"n.b.",INDEX(SRC_Woningetalage!$A$1:$ZZ$501,$A445,AR$3)))</f>
        <v/>
      </c>
      <c r="AS445" s="124" t="str">
        <f>IF($B445="","",IF(AS$3=0,"n.b.",INDEX(SRC_Woningetalage!$A$1:$ZZ$501,$A445,AS$3)))</f>
        <v/>
      </c>
      <c r="AT445" s="124" t="str">
        <f>IF($B445="","",IF(AT$3=0,"n.b.",INDEX(SRC_Woningetalage!$A$1:$ZZ$501,$A445,AT$3)))</f>
        <v/>
      </c>
      <c r="AU445" s="124" t="str">
        <f>IF($B445="","",IF(AU$3=0,"n.b.",INDEX(SRC_Woningetalage!$A$1:$ZZ$501,$A445,AU$3)))</f>
        <v/>
      </c>
      <c r="AV445" s="124" t="str">
        <f>IF($B445="","",IF(AV$3=0,"n.b.",INDEX(SRC_Woningetalage!$A$1:$ZZ$501,$A445,AV$3)))</f>
        <v/>
      </c>
      <c r="AW445" s="124" t="str">
        <f>IF($B445="","",IF(AW$3=0,"n.b.",INDEX(SRC_Woningetalage!$A$1:$ZZ$501,$A445,AW$3)))</f>
        <v/>
      </c>
      <c r="AX445" s="124" t="str">
        <f>IF($B445="","",IF(AX$3=0,"n.b.",INDEX(SRC_Woningetalage!$A$1:$ZZ$501,$A445,AX$3)))</f>
        <v/>
      </c>
      <c r="AY445" s="124" t="str">
        <f>IF($B445="","",IF(AY$3=0,"n.b.",INDEX(SRC_Woningetalage!$A$1:$ZZ$501,$A445,AY$3)))</f>
        <v/>
      </c>
      <c r="AZ445" s="124" t="str">
        <f>IF($B445="","",IF(AZ$3=0,"n.b.",INDEX(SRC_Woningetalage!$A$1:$ZZ$501,$A445,AZ$3)))</f>
        <v/>
      </c>
      <c r="BA445" s="124" t="str">
        <f>IF($B445="","",IF(BA$3=0,"n.b.",INDEX(SRC_Woningetalage!$A$1:$ZZ$501,$A445,BA$3)))</f>
        <v/>
      </c>
      <c r="BB445" s="124" t="str">
        <f>IF($B445="","",IF(BB$3=0,"n.b.",INDEX(SRC_Woningetalage!$A$1:$ZZ$501,$A445,BB$3)))</f>
        <v/>
      </c>
      <c r="BC445" s="124" t="str">
        <f>IF($B445="","",IFERROR(_xlfn.NUMBERVALUE(E445&amp;"",",","."),"n.b."))</f>
        <v/>
      </c>
      <c r="BD445" s="124" t="str">
        <f>IF($B445="","",IFERROR(_xlfn.NUMBERVALUE(M445&amp;"",",","."),"n.b."))</f>
        <v/>
      </c>
      <c r="BE445" s="124" t="str">
        <f>IF($B445="","",IFERROR(AB445+AC445+AD445,"n.b."))</f>
        <v/>
      </c>
      <c r="BF445" s="124" t="str">
        <f>IF($B445="","",IFERROR(AE445+AF445+AG445,"n.b."))</f>
        <v/>
      </c>
      <c r="BG445" s="124" t="str">
        <f>IF($B445="","",IFERROR(AH445+AI445+AJ445,"n.b."))</f>
        <v/>
      </c>
      <c r="BH445" s="124" t="str">
        <f>IF($B445="","",IFERROR(AK445+AL445+AM445,"n.b."))</f>
        <v/>
      </c>
      <c r="BI445" s="124" t="str">
        <f>IF($B445="","",IFERROR(SUMIF($AB$5:$AM$5,"&lt;="&amp;P_PeilMaand,AB445:AM445),"n.b."))</f>
        <v/>
      </c>
      <c r="BJ445" s="124" t="str">
        <f>IF($B445="","",IFERROR(SUM(AB445:AM445)-BI445,"n.b."))</f>
        <v/>
      </c>
      <c r="BK445" s="124" t="str">
        <f>IF($B445="","",IFERROR(IF(ABS(Q445-(T445+SUM(AB445:AM445)+AS445+AU445))&gt;P_Tol,1,0),1))</f>
        <v/>
      </c>
      <c r="BL445" s="124" t="str">
        <f>IF($B445="","",IFERROR(IF(ABS(AA445-(Q445-Z445))&gt;P_Tol,1,0),1))</f>
        <v/>
      </c>
      <c r="BM445" s="124" t="str">
        <f>IF($B445="","",IFERROR(IF(ABS(Z445-(T445+W445))&gt;P_Tol,1,0),1))</f>
        <v/>
      </c>
      <c r="BN445" s="124" t="str">
        <f>IF($B445="","",IFERROR(IF(ABS(W445-BI445)&gt;P_Tol,1,0),1))</f>
        <v/>
      </c>
      <c r="BO445" s="124" t="str">
        <f>IF($B445="","",IFERROR(IF(OR(ABS(R445+S445-T445)&gt;P_Tol,ABS(U445+V445-W445)&gt;P_Tol,ABS(X445+Y445-Z445)&gt;P_Tol),1,0),1))</f>
        <v/>
      </c>
      <c r="BP445" s="124" t="str">
        <f>IF($B445="","",IFERROR(IF(OR(ABS(AR445-SUM(AB445:AM445))&gt;P_Tol,ABS(AS445-(AN445+AO445+AP445+AQ445))&gt;P_Tol),1,0),1))</f>
        <v/>
      </c>
      <c r="BQ445" s="124" t="str">
        <f>IF($B445="","",IFERROR(IF(ABS(AT445)+ABS(AV445)+ABS(AW445)+ABS(AX445)+ABS(AY445)+ABS(AZ445)+ABS(BA445)+ABS(BB445)&gt;0,1,0),1))</f>
        <v/>
      </c>
      <c r="BR445" s="124" t="str">
        <f>IF($B445="","",COUNTIF(STG_ZPMW03!$B$6:$B$505,B445))</f>
        <v/>
      </c>
      <c r="BS445" s="124" t="str">
        <f>IF($B445="","",COUNTIF($B$6:$B$505,B445))</f>
        <v/>
      </c>
      <c r="BT445" s="124" t="str">
        <f>IF($B445="","",IF(BR445=0,0,IF(INDEX(STG_ZPMW03!$I$6:$I$505,MATCH(B445,STG_ZPMW03!$B$6:$B$505,0))=J445&amp;"",0,1)))</f>
        <v/>
      </c>
      <c r="BU445" s="124" t="str">
        <f>IF($B445="","",IFERROR(IF(ABS(INDEX(Mapping!$D$5:$D$104,MATCH(B445,Mapping!$A$5:$A$104,0))-Q445)&gt;P_Tol,1,0),0))</f>
        <v/>
      </c>
      <c r="BV445" s="124" t="str">
        <f>IF($B445="","",IFERROR(IF(AND(INDEX(Mapping!$G$5:$G$104,MATCH(B445,Mapping!$A$5:$A$104,0))="Nee",ABS(Q445)+ABS(Z445)+ABS(AR445)&gt;0),1,0),0))</f>
        <v/>
      </c>
      <c r="BW445" s="124" t="str">
        <f>IF($B445="","",IF(COUNTIF(Mapping!$A$5:$A$104,B445)&gt;0,1,0))</f>
        <v/>
      </c>
      <c r="BX445" s="124" t="str">
        <f>IF($B445="","",IF(BR445=0,COUNTIF($BR$6:BR445,0),""))</f>
        <v/>
      </c>
    </row>
    <row r="446">
      <c r="A446" s="15" t="n">
        <v>442</v>
      </c>
      <c r="B446" t="str">
        <f>IF(B$3=0,"",IF(INDEX(SRC_Woningetalage!$A$1:$ZZ$501,$A446,B$3)&amp;""="","",INDEX(SRC_Woningetalage!$A$1:$ZZ$501,$A446,B$3)&amp;""))</f>
        <v/>
      </c>
      <c r="C446" t="str">
        <f>IF($B446="","",IF(C$3=0,"n.b.",INDEX(SRC_Woningetalage!$A$1:$ZZ$501,$A446,C$3)))</f>
        <v/>
      </c>
      <c r="D446" t="str">
        <f>IF($B446="","",IF(D$3=0,"n.b.",INDEX(SRC_Woningetalage!$A$1:$ZZ$501,$A446,D$3)))</f>
        <v/>
      </c>
      <c r="E446" t="str">
        <f>IF($B446="","",IF(E$3=0,"n.b.",INDEX(SRC_Woningetalage!$A$1:$ZZ$501,$A446,E$3)))</f>
        <v/>
      </c>
      <c r="F446" t="str">
        <f>IF($B446="","",IF(F$3=0,"n.b.",INDEX(SRC_Woningetalage!$A$1:$ZZ$501,$A446,F$3)))</f>
        <v/>
      </c>
      <c r="G446" t="str">
        <f>IF($B446="","",IF(G$3=0,"n.b.",INDEX(SRC_Woningetalage!$A$1:$ZZ$501,$A446,G$3)))</f>
        <v/>
      </c>
      <c r="H446" t="str">
        <f>IF($B446="","",IF(H$3=0,"n.b.",INDEX(SRC_Woningetalage!$A$1:$ZZ$501,$A446,H$3)))</f>
        <v/>
      </c>
      <c r="I446" t="str">
        <f>IF($B446="","",IF(I$3=0,"n.b.",INDEX(SRC_Woningetalage!$A$1:$ZZ$501,$A446,I$3)))</f>
        <v/>
      </c>
      <c r="J446" t="str">
        <f>IF($B446="","",IF(J$3=0,"n.b.",INDEX(SRC_Woningetalage!$A$1:$ZZ$501,$A446,J$3)))</f>
        <v/>
      </c>
      <c r="K446" t="str">
        <f>IF($B446="","",IF(K$3=0,"n.b.",INDEX(SRC_Woningetalage!$A$1:$ZZ$501,$A446,K$3)))</f>
        <v/>
      </c>
      <c r="L446" t="str">
        <f>IF($B446="","",IF(L$3=0,"n.b.",INDEX(SRC_Woningetalage!$A$1:$ZZ$501,$A446,L$3)))</f>
        <v/>
      </c>
      <c r="M446" t="str">
        <f>IF($B446="","",IF(M$3=0,"n.b.",INDEX(SRC_Woningetalage!$A$1:$ZZ$501,$A446,M$3)))</f>
        <v/>
      </c>
      <c r="N446" t="str">
        <f>IF($B446="","",IF(N$3=0,"n.b.",INDEX(SRC_Woningetalage!$A$1:$ZZ$501,$A446,N$3)))</f>
        <v/>
      </c>
      <c r="O446" t="str">
        <f>IF($B446="","",IF(O$3=0,"n.b.",INDEX(SRC_Woningetalage!$A$1:$ZZ$501,$A446,O$3)))</f>
        <v/>
      </c>
      <c r="P446" t="str">
        <f>IF($B446="","",IF(P$3=0,"n.b.",INDEX(SRC_Woningetalage!$A$1:$ZZ$501,$A446,P$3)))</f>
        <v/>
      </c>
      <c r="Q446" s="124" t="str">
        <f>IF($B446="","",IF(Q$3=0,"n.b.",INDEX(SRC_Woningetalage!$A$1:$ZZ$501,$A446,Q$3)))</f>
        <v/>
      </c>
      <c r="R446" s="124" t="str">
        <f>IF($B446="","",IF(R$3=0,"n.b.",INDEX(SRC_Woningetalage!$A$1:$ZZ$501,$A446,R$3)))</f>
        <v/>
      </c>
      <c r="S446" s="124" t="str">
        <f>IF($B446="","",IF(S$3=0,"n.b.",INDEX(SRC_Woningetalage!$A$1:$ZZ$501,$A446,S$3)))</f>
        <v/>
      </c>
      <c r="T446" s="124" t="str">
        <f>IF($B446="","",IF(T$3=0,"n.b.",INDEX(SRC_Woningetalage!$A$1:$ZZ$501,$A446,T$3)))</f>
        <v/>
      </c>
      <c r="U446" s="124" t="str">
        <f>IF($B446="","",IF(U$3=0,"n.b.",INDEX(SRC_Woningetalage!$A$1:$ZZ$501,$A446,U$3)))</f>
        <v/>
      </c>
      <c r="V446" s="124" t="str">
        <f>IF($B446="","",IF(V$3=0,"n.b.",INDEX(SRC_Woningetalage!$A$1:$ZZ$501,$A446,V$3)))</f>
        <v/>
      </c>
      <c r="W446" s="124" t="str">
        <f>IF($B446="","",IF(W$3=0,"n.b.",INDEX(SRC_Woningetalage!$A$1:$ZZ$501,$A446,W$3)))</f>
        <v/>
      </c>
      <c r="X446" s="124" t="str">
        <f>IF($B446="","",IF(X$3=0,"n.b.",INDEX(SRC_Woningetalage!$A$1:$ZZ$501,$A446,X$3)))</f>
        <v/>
      </c>
      <c r="Y446" s="124" t="str">
        <f>IF($B446="","",IF(Y$3=0,"n.b.",INDEX(SRC_Woningetalage!$A$1:$ZZ$501,$A446,Y$3)))</f>
        <v/>
      </c>
      <c r="Z446" s="124" t="str">
        <f>IF($B446="","",IF(Z$3=0,"n.b.",INDEX(SRC_Woningetalage!$A$1:$ZZ$501,$A446,Z$3)))</f>
        <v/>
      </c>
      <c r="AA446" s="124" t="str">
        <f>IF($B446="","",IF(AA$3=0,"n.b.",INDEX(SRC_Woningetalage!$A$1:$ZZ$501,$A446,AA$3)))</f>
        <v/>
      </c>
      <c r="AB446" s="124" t="str">
        <f>IF($B446="","",IF(AB$3=0,"n.b.",INDEX(SRC_Woningetalage!$A$1:$ZZ$501,$A446,AB$3)))</f>
        <v/>
      </c>
      <c r="AC446" s="124" t="str">
        <f>IF($B446="","",IF(AC$3=0,"n.b.",INDEX(SRC_Woningetalage!$A$1:$ZZ$501,$A446,AC$3)))</f>
        <v/>
      </c>
      <c r="AD446" s="124" t="str">
        <f>IF($B446="","",IF(AD$3=0,"n.b.",INDEX(SRC_Woningetalage!$A$1:$ZZ$501,$A446,AD$3)))</f>
        <v/>
      </c>
      <c r="AE446" s="124" t="str">
        <f>IF($B446="","",IF(AE$3=0,"n.b.",INDEX(SRC_Woningetalage!$A$1:$ZZ$501,$A446,AE$3)))</f>
        <v/>
      </c>
      <c r="AF446" s="124" t="str">
        <f>IF($B446="","",IF(AF$3=0,"n.b.",INDEX(SRC_Woningetalage!$A$1:$ZZ$501,$A446,AF$3)))</f>
        <v/>
      </c>
      <c r="AG446" s="124" t="str">
        <f>IF($B446="","",IF(AG$3=0,"n.b.",INDEX(SRC_Woningetalage!$A$1:$ZZ$501,$A446,AG$3)))</f>
        <v/>
      </c>
      <c r="AH446" s="124" t="str">
        <f>IF($B446="","",IF(AH$3=0,"n.b.",INDEX(SRC_Woningetalage!$A$1:$ZZ$501,$A446,AH$3)))</f>
        <v/>
      </c>
      <c r="AI446" s="124" t="str">
        <f>IF($B446="","",IF(AI$3=0,"n.b.",INDEX(SRC_Woningetalage!$A$1:$ZZ$501,$A446,AI$3)))</f>
        <v/>
      </c>
      <c r="AJ446" s="124" t="str">
        <f>IF($B446="","",IF(AJ$3=0,"n.b.",INDEX(SRC_Woningetalage!$A$1:$ZZ$501,$A446,AJ$3)))</f>
        <v/>
      </c>
      <c r="AK446" s="124" t="str">
        <f>IF($B446="","",IF(AK$3=0,"n.b.",INDEX(SRC_Woningetalage!$A$1:$ZZ$501,$A446,AK$3)))</f>
        <v/>
      </c>
      <c r="AL446" s="124" t="str">
        <f>IF($B446="","",IF(AL$3=0,"n.b.",INDEX(SRC_Woningetalage!$A$1:$ZZ$501,$A446,AL$3)))</f>
        <v/>
      </c>
      <c r="AM446" s="124" t="str">
        <f>IF($B446="","",IF(AM$3=0,"n.b.",INDEX(SRC_Woningetalage!$A$1:$ZZ$501,$A446,AM$3)))</f>
        <v/>
      </c>
      <c r="AN446" s="124" t="str">
        <f>IF($B446="","",IF(AN$3=0,"n.b.",INDEX(SRC_Woningetalage!$A$1:$ZZ$501,$A446,AN$3)))</f>
        <v/>
      </c>
      <c r="AO446" s="124" t="str">
        <f>IF($B446="","",IF(AO$3=0,"n.b.",INDEX(SRC_Woningetalage!$A$1:$ZZ$501,$A446,AO$3)))</f>
        <v/>
      </c>
      <c r="AP446" s="124" t="str">
        <f>IF($B446="","",IF(AP$3=0,"n.b.",INDEX(SRC_Woningetalage!$A$1:$ZZ$501,$A446,AP$3)))</f>
        <v/>
      </c>
      <c r="AQ446" s="124" t="str">
        <f>IF($B446="","",IF(AQ$3=0,"n.b.",INDEX(SRC_Woningetalage!$A$1:$ZZ$501,$A446,AQ$3)))</f>
        <v/>
      </c>
      <c r="AR446" s="124" t="str">
        <f>IF($B446="","",IF(AR$3=0,"n.b.",INDEX(SRC_Woningetalage!$A$1:$ZZ$501,$A446,AR$3)))</f>
        <v/>
      </c>
      <c r="AS446" s="124" t="str">
        <f>IF($B446="","",IF(AS$3=0,"n.b.",INDEX(SRC_Woningetalage!$A$1:$ZZ$501,$A446,AS$3)))</f>
        <v/>
      </c>
      <c r="AT446" s="124" t="str">
        <f>IF($B446="","",IF(AT$3=0,"n.b.",INDEX(SRC_Woningetalage!$A$1:$ZZ$501,$A446,AT$3)))</f>
        <v/>
      </c>
      <c r="AU446" s="124" t="str">
        <f>IF($B446="","",IF(AU$3=0,"n.b.",INDEX(SRC_Woningetalage!$A$1:$ZZ$501,$A446,AU$3)))</f>
        <v/>
      </c>
      <c r="AV446" s="124" t="str">
        <f>IF($B446="","",IF(AV$3=0,"n.b.",INDEX(SRC_Woningetalage!$A$1:$ZZ$501,$A446,AV$3)))</f>
        <v/>
      </c>
      <c r="AW446" s="124" t="str">
        <f>IF($B446="","",IF(AW$3=0,"n.b.",INDEX(SRC_Woningetalage!$A$1:$ZZ$501,$A446,AW$3)))</f>
        <v/>
      </c>
      <c r="AX446" s="124" t="str">
        <f>IF($B446="","",IF(AX$3=0,"n.b.",INDEX(SRC_Woningetalage!$A$1:$ZZ$501,$A446,AX$3)))</f>
        <v/>
      </c>
      <c r="AY446" s="124" t="str">
        <f>IF($B446="","",IF(AY$3=0,"n.b.",INDEX(SRC_Woningetalage!$A$1:$ZZ$501,$A446,AY$3)))</f>
        <v/>
      </c>
      <c r="AZ446" s="124" t="str">
        <f>IF($B446="","",IF(AZ$3=0,"n.b.",INDEX(SRC_Woningetalage!$A$1:$ZZ$501,$A446,AZ$3)))</f>
        <v/>
      </c>
      <c r="BA446" s="124" t="str">
        <f>IF($B446="","",IF(BA$3=0,"n.b.",INDEX(SRC_Woningetalage!$A$1:$ZZ$501,$A446,BA$3)))</f>
        <v/>
      </c>
      <c r="BB446" s="124" t="str">
        <f>IF($B446="","",IF(BB$3=0,"n.b.",INDEX(SRC_Woningetalage!$A$1:$ZZ$501,$A446,BB$3)))</f>
        <v/>
      </c>
      <c r="BC446" s="124" t="str">
        <f>IF($B446="","",IFERROR(_xlfn.NUMBERVALUE(E446&amp;"",",","."),"n.b."))</f>
        <v/>
      </c>
      <c r="BD446" s="124" t="str">
        <f>IF($B446="","",IFERROR(_xlfn.NUMBERVALUE(M446&amp;"",",","."),"n.b."))</f>
        <v/>
      </c>
      <c r="BE446" s="124" t="str">
        <f>IF($B446="","",IFERROR(AB446+AC446+AD446,"n.b."))</f>
        <v/>
      </c>
      <c r="BF446" s="124" t="str">
        <f>IF($B446="","",IFERROR(AE446+AF446+AG446,"n.b."))</f>
        <v/>
      </c>
      <c r="BG446" s="124" t="str">
        <f>IF($B446="","",IFERROR(AH446+AI446+AJ446,"n.b."))</f>
        <v/>
      </c>
      <c r="BH446" s="124" t="str">
        <f>IF($B446="","",IFERROR(AK446+AL446+AM446,"n.b."))</f>
        <v/>
      </c>
      <c r="BI446" s="124" t="str">
        <f>IF($B446="","",IFERROR(SUMIF($AB$5:$AM$5,"&lt;="&amp;P_PeilMaand,AB446:AM446),"n.b."))</f>
        <v/>
      </c>
      <c r="BJ446" s="124" t="str">
        <f>IF($B446="","",IFERROR(SUM(AB446:AM446)-BI446,"n.b."))</f>
        <v/>
      </c>
      <c r="BK446" s="124" t="str">
        <f>IF($B446="","",IFERROR(IF(ABS(Q446-(T446+SUM(AB446:AM446)+AS446+AU446))&gt;P_Tol,1,0),1))</f>
        <v/>
      </c>
      <c r="BL446" s="124" t="str">
        <f>IF($B446="","",IFERROR(IF(ABS(AA446-(Q446-Z446))&gt;P_Tol,1,0),1))</f>
        <v/>
      </c>
      <c r="BM446" s="124" t="str">
        <f>IF($B446="","",IFERROR(IF(ABS(Z446-(T446+W446))&gt;P_Tol,1,0),1))</f>
        <v/>
      </c>
      <c r="BN446" s="124" t="str">
        <f>IF($B446="","",IFERROR(IF(ABS(W446-BI446)&gt;P_Tol,1,0),1))</f>
        <v/>
      </c>
      <c r="BO446" s="124" t="str">
        <f>IF($B446="","",IFERROR(IF(OR(ABS(R446+S446-T446)&gt;P_Tol,ABS(U446+V446-W446)&gt;P_Tol,ABS(X446+Y446-Z446)&gt;P_Tol),1,0),1))</f>
        <v/>
      </c>
      <c r="BP446" s="124" t="str">
        <f>IF($B446="","",IFERROR(IF(OR(ABS(AR446-SUM(AB446:AM446))&gt;P_Tol,ABS(AS446-(AN446+AO446+AP446+AQ446))&gt;P_Tol),1,0),1))</f>
        <v/>
      </c>
      <c r="BQ446" s="124" t="str">
        <f>IF($B446="","",IFERROR(IF(ABS(AT446)+ABS(AV446)+ABS(AW446)+ABS(AX446)+ABS(AY446)+ABS(AZ446)+ABS(BA446)+ABS(BB446)&gt;0,1,0),1))</f>
        <v/>
      </c>
      <c r="BR446" s="124" t="str">
        <f>IF($B446="","",COUNTIF(STG_ZPMW03!$B$6:$B$505,B446))</f>
        <v/>
      </c>
      <c r="BS446" s="124" t="str">
        <f>IF($B446="","",COUNTIF($B$6:$B$505,B446))</f>
        <v/>
      </c>
      <c r="BT446" s="124" t="str">
        <f>IF($B446="","",IF(BR446=0,0,IF(INDEX(STG_ZPMW03!$I$6:$I$505,MATCH(B446,STG_ZPMW03!$B$6:$B$505,0))=J446&amp;"",0,1)))</f>
        <v/>
      </c>
      <c r="BU446" s="124" t="str">
        <f>IF($B446="","",IFERROR(IF(ABS(INDEX(Mapping!$D$5:$D$104,MATCH(B446,Mapping!$A$5:$A$104,0))-Q446)&gt;P_Tol,1,0),0))</f>
        <v/>
      </c>
      <c r="BV446" s="124" t="str">
        <f>IF($B446="","",IFERROR(IF(AND(INDEX(Mapping!$G$5:$G$104,MATCH(B446,Mapping!$A$5:$A$104,0))="Nee",ABS(Q446)+ABS(Z446)+ABS(AR446)&gt;0),1,0),0))</f>
        <v/>
      </c>
      <c r="BW446" s="124" t="str">
        <f>IF($B446="","",IF(COUNTIF(Mapping!$A$5:$A$104,B446)&gt;0,1,0))</f>
        <v/>
      </c>
      <c r="BX446" s="124" t="str">
        <f>IF($B446="","",IF(BR446=0,COUNTIF($BR$6:BR446,0),""))</f>
        <v/>
      </c>
    </row>
    <row r="447">
      <c r="A447" s="15" t="n">
        <v>443</v>
      </c>
      <c r="B447" t="str">
        <f>IF(B$3=0,"",IF(INDEX(SRC_Woningetalage!$A$1:$ZZ$501,$A447,B$3)&amp;""="","",INDEX(SRC_Woningetalage!$A$1:$ZZ$501,$A447,B$3)&amp;""))</f>
        <v/>
      </c>
      <c r="C447" t="str">
        <f>IF($B447="","",IF(C$3=0,"n.b.",INDEX(SRC_Woningetalage!$A$1:$ZZ$501,$A447,C$3)))</f>
        <v/>
      </c>
      <c r="D447" t="str">
        <f>IF($B447="","",IF(D$3=0,"n.b.",INDEX(SRC_Woningetalage!$A$1:$ZZ$501,$A447,D$3)))</f>
        <v/>
      </c>
      <c r="E447" t="str">
        <f>IF($B447="","",IF(E$3=0,"n.b.",INDEX(SRC_Woningetalage!$A$1:$ZZ$501,$A447,E$3)))</f>
        <v/>
      </c>
      <c r="F447" t="str">
        <f>IF($B447="","",IF(F$3=0,"n.b.",INDEX(SRC_Woningetalage!$A$1:$ZZ$501,$A447,F$3)))</f>
        <v/>
      </c>
      <c r="G447" t="str">
        <f>IF($B447="","",IF(G$3=0,"n.b.",INDEX(SRC_Woningetalage!$A$1:$ZZ$501,$A447,G$3)))</f>
        <v/>
      </c>
      <c r="H447" t="str">
        <f>IF($B447="","",IF(H$3=0,"n.b.",INDEX(SRC_Woningetalage!$A$1:$ZZ$501,$A447,H$3)))</f>
        <v/>
      </c>
      <c r="I447" t="str">
        <f>IF($B447="","",IF(I$3=0,"n.b.",INDEX(SRC_Woningetalage!$A$1:$ZZ$501,$A447,I$3)))</f>
        <v/>
      </c>
      <c r="J447" t="str">
        <f>IF($B447="","",IF(J$3=0,"n.b.",INDEX(SRC_Woningetalage!$A$1:$ZZ$501,$A447,J$3)))</f>
        <v/>
      </c>
      <c r="K447" t="str">
        <f>IF($B447="","",IF(K$3=0,"n.b.",INDEX(SRC_Woningetalage!$A$1:$ZZ$501,$A447,K$3)))</f>
        <v/>
      </c>
      <c r="L447" t="str">
        <f>IF($B447="","",IF(L$3=0,"n.b.",INDEX(SRC_Woningetalage!$A$1:$ZZ$501,$A447,L$3)))</f>
        <v/>
      </c>
      <c r="M447" t="str">
        <f>IF($B447="","",IF(M$3=0,"n.b.",INDEX(SRC_Woningetalage!$A$1:$ZZ$501,$A447,M$3)))</f>
        <v/>
      </c>
      <c r="N447" t="str">
        <f>IF($B447="","",IF(N$3=0,"n.b.",INDEX(SRC_Woningetalage!$A$1:$ZZ$501,$A447,N$3)))</f>
        <v/>
      </c>
      <c r="O447" t="str">
        <f>IF($B447="","",IF(O$3=0,"n.b.",INDEX(SRC_Woningetalage!$A$1:$ZZ$501,$A447,O$3)))</f>
        <v/>
      </c>
      <c r="P447" t="str">
        <f>IF($B447="","",IF(P$3=0,"n.b.",INDEX(SRC_Woningetalage!$A$1:$ZZ$501,$A447,P$3)))</f>
        <v/>
      </c>
      <c r="Q447" s="124" t="str">
        <f>IF($B447="","",IF(Q$3=0,"n.b.",INDEX(SRC_Woningetalage!$A$1:$ZZ$501,$A447,Q$3)))</f>
        <v/>
      </c>
      <c r="R447" s="124" t="str">
        <f>IF($B447="","",IF(R$3=0,"n.b.",INDEX(SRC_Woningetalage!$A$1:$ZZ$501,$A447,R$3)))</f>
        <v/>
      </c>
      <c r="S447" s="124" t="str">
        <f>IF($B447="","",IF(S$3=0,"n.b.",INDEX(SRC_Woningetalage!$A$1:$ZZ$501,$A447,S$3)))</f>
        <v/>
      </c>
      <c r="T447" s="124" t="str">
        <f>IF($B447="","",IF(T$3=0,"n.b.",INDEX(SRC_Woningetalage!$A$1:$ZZ$501,$A447,T$3)))</f>
        <v/>
      </c>
      <c r="U447" s="124" t="str">
        <f>IF($B447="","",IF(U$3=0,"n.b.",INDEX(SRC_Woningetalage!$A$1:$ZZ$501,$A447,U$3)))</f>
        <v/>
      </c>
      <c r="V447" s="124" t="str">
        <f>IF($B447="","",IF(V$3=0,"n.b.",INDEX(SRC_Woningetalage!$A$1:$ZZ$501,$A447,V$3)))</f>
        <v/>
      </c>
      <c r="W447" s="124" t="str">
        <f>IF($B447="","",IF(W$3=0,"n.b.",INDEX(SRC_Woningetalage!$A$1:$ZZ$501,$A447,W$3)))</f>
        <v/>
      </c>
      <c r="X447" s="124" t="str">
        <f>IF($B447="","",IF(X$3=0,"n.b.",INDEX(SRC_Woningetalage!$A$1:$ZZ$501,$A447,X$3)))</f>
        <v/>
      </c>
      <c r="Y447" s="124" t="str">
        <f>IF($B447="","",IF(Y$3=0,"n.b.",INDEX(SRC_Woningetalage!$A$1:$ZZ$501,$A447,Y$3)))</f>
        <v/>
      </c>
      <c r="Z447" s="124" t="str">
        <f>IF($B447="","",IF(Z$3=0,"n.b.",INDEX(SRC_Woningetalage!$A$1:$ZZ$501,$A447,Z$3)))</f>
        <v/>
      </c>
      <c r="AA447" s="124" t="str">
        <f>IF($B447="","",IF(AA$3=0,"n.b.",INDEX(SRC_Woningetalage!$A$1:$ZZ$501,$A447,AA$3)))</f>
        <v/>
      </c>
      <c r="AB447" s="124" t="str">
        <f>IF($B447="","",IF(AB$3=0,"n.b.",INDEX(SRC_Woningetalage!$A$1:$ZZ$501,$A447,AB$3)))</f>
        <v/>
      </c>
      <c r="AC447" s="124" t="str">
        <f>IF($B447="","",IF(AC$3=0,"n.b.",INDEX(SRC_Woningetalage!$A$1:$ZZ$501,$A447,AC$3)))</f>
        <v/>
      </c>
      <c r="AD447" s="124" t="str">
        <f>IF($B447="","",IF(AD$3=0,"n.b.",INDEX(SRC_Woningetalage!$A$1:$ZZ$501,$A447,AD$3)))</f>
        <v/>
      </c>
      <c r="AE447" s="124" t="str">
        <f>IF($B447="","",IF(AE$3=0,"n.b.",INDEX(SRC_Woningetalage!$A$1:$ZZ$501,$A447,AE$3)))</f>
        <v/>
      </c>
      <c r="AF447" s="124" t="str">
        <f>IF($B447="","",IF(AF$3=0,"n.b.",INDEX(SRC_Woningetalage!$A$1:$ZZ$501,$A447,AF$3)))</f>
        <v/>
      </c>
      <c r="AG447" s="124" t="str">
        <f>IF($B447="","",IF(AG$3=0,"n.b.",INDEX(SRC_Woningetalage!$A$1:$ZZ$501,$A447,AG$3)))</f>
        <v/>
      </c>
      <c r="AH447" s="124" t="str">
        <f>IF($B447="","",IF(AH$3=0,"n.b.",INDEX(SRC_Woningetalage!$A$1:$ZZ$501,$A447,AH$3)))</f>
        <v/>
      </c>
      <c r="AI447" s="124" t="str">
        <f>IF($B447="","",IF(AI$3=0,"n.b.",INDEX(SRC_Woningetalage!$A$1:$ZZ$501,$A447,AI$3)))</f>
        <v/>
      </c>
      <c r="AJ447" s="124" t="str">
        <f>IF($B447="","",IF(AJ$3=0,"n.b.",INDEX(SRC_Woningetalage!$A$1:$ZZ$501,$A447,AJ$3)))</f>
        <v/>
      </c>
      <c r="AK447" s="124" t="str">
        <f>IF($B447="","",IF(AK$3=0,"n.b.",INDEX(SRC_Woningetalage!$A$1:$ZZ$501,$A447,AK$3)))</f>
        <v/>
      </c>
      <c r="AL447" s="124" t="str">
        <f>IF($B447="","",IF(AL$3=0,"n.b.",INDEX(SRC_Woningetalage!$A$1:$ZZ$501,$A447,AL$3)))</f>
        <v/>
      </c>
      <c r="AM447" s="124" t="str">
        <f>IF($B447="","",IF(AM$3=0,"n.b.",INDEX(SRC_Woningetalage!$A$1:$ZZ$501,$A447,AM$3)))</f>
        <v/>
      </c>
      <c r="AN447" s="124" t="str">
        <f>IF($B447="","",IF(AN$3=0,"n.b.",INDEX(SRC_Woningetalage!$A$1:$ZZ$501,$A447,AN$3)))</f>
        <v/>
      </c>
      <c r="AO447" s="124" t="str">
        <f>IF($B447="","",IF(AO$3=0,"n.b.",INDEX(SRC_Woningetalage!$A$1:$ZZ$501,$A447,AO$3)))</f>
        <v/>
      </c>
      <c r="AP447" s="124" t="str">
        <f>IF($B447="","",IF(AP$3=0,"n.b.",INDEX(SRC_Woningetalage!$A$1:$ZZ$501,$A447,AP$3)))</f>
        <v/>
      </c>
      <c r="AQ447" s="124" t="str">
        <f>IF($B447="","",IF(AQ$3=0,"n.b.",INDEX(SRC_Woningetalage!$A$1:$ZZ$501,$A447,AQ$3)))</f>
        <v/>
      </c>
      <c r="AR447" s="124" t="str">
        <f>IF($B447="","",IF(AR$3=0,"n.b.",INDEX(SRC_Woningetalage!$A$1:$ZZ$501,$A447,AR$3)))</f>
        <v/>
      </c>
      <c r="AS447" s="124" t="str">
        <f>IF($B447="","",IF(AS$3=0,"n.b.",INDEX(SRC_Woningetalage!$A$1:$ZZ$501,$A447,AS$3)))</f>
        <v/>
      </c>
      <c r="AT447" s="124" t="str">
        <f>IF($B447="","",IF(AT$3=0,"n.b.",INDEX(SRC_Woningetalage!$A$1:$ZZ$501,$A447,AT$3)))</f>
        <v/>
      </c>
      <c r="AU447" s="124" t="str">
        <f>IF($B447="","",IF(AU$3=0,"n.b.",INDEX(SRC_Woningetalage!$A$1:$ZZ$501,$A447,AU$3)))</f>
        <v/>
      </c>
      <c r="AV447" s="124" t="str">
        <f>IF($B447="","",IF(AV$3=0,"n.b.",INDEX(SRC_Woningetalage!$A$1:$ZZ$501,$A447,AV$3)))</f>
        <v/>
      </c>
      <c r="AW447" s="124" t="str">
        <f>IF($B447="","",IF(AW$3=0,"n.b.",INDEX(SRC_Woningetalage!$A$1:$ZZ$501,$A447,AW$3)))</f>
        <v/>
      </c>
      <c r="AX447" s="124" t="str">
        <f>IF($B447="","",IF(AX$3=0,"n.b.",INDEX(SRC_Woningetalage!$A$1:$ZZ$501,$A447,AX$3)))</f>
        <v/>
      </c>
      <c r="AY447" s="124" t="str">
        <f>IF($B447="","",IF(AY$3=0,"n.b.",INDEX(SRC_Woningetalage!$A$1:$ZZ$501,$A447,AY$3)))</f>
        <v/>
      </c>
      <c r="AZ447" s="124" t="str">
        <f>IF($B447="","",IF(AZ$3=0,"n.b.",INDEX(SRC_Woningetalage!$A$1:$ZZ$501,$A447,AZ$3)))</f>
        <v/>
      </c>
      <c r="BA447" s="124" t="str">
        <f>IF($B447="","",IF(BA$3=0,"n.b.",INDEX(SRC_Woningetalage!$A$1:$ZZ$501,$A447,BA$3)))</f>
        <v/>
      </c>
      <c r="BB447" s="124" t="str">
        <f>IF($B447="","",IF(BB$3=0,"n.b.",INDEX(SRC_Woningetalage!$A$1:$ZZ$501,$A447,BB$3)))</f>
        <v/>
      </c>
      <c r="BC447" s="124" t="str">
        <f>IF($B447="","",IFERROR(_xlfn.NUMBERVALUE(E447&amp;"",",","."),"n.b."))</f>
        <v/>
      </c>
      <c r="BD447" s="124" t="str">
        <f>IF($B447="","",IFERROR(_xlfn.NUMBERVALUE(M447&amp;"",",","."),"n.b."))</f>
        <v/>
      </c>
      <c r="BE447" s="124" t="str">
        <f>IF($B447="","",IFERROR(AB447+AC447+AD447,"n.b."))</f>
        <v/>
      </c>
      <c r="BF447" s="124" t="str">
        <f>IF($B447="","",IFERROR(AE447+AF447+AG447,"n.b."))</f>
        <v/>
      </c>
      <c r="BG447" s="124" t="str">
        <f>IF($B447="","",IFERROR(AH447+AI447+AJ447,"n.b."))</f>
        <v/>
      </c>
      <c r="BH447" s="124" t="str">
        <f>IF($B447="","",IFERROR(AK447+AL447+AM447,"n.b."))</f>
        <v/>
      </c>
      <c r="BI447" s="124" t="str">
        <f>IF($B447="","",IFERROR(SUMIF($AB$5:$AM$5,"&lt;="&amp;P_PeilMaand,AB447:AM447),"n.b."))</f>
        <v/>
      </c>
      <c r="BJ447" s="124" t="str">
        <f>IF($B447="","",IFERROR(SUM(AB447:AM447)-BI447,"n.b."))</f>
        <v/>
      </c>
      <c r="BK447" s="124" t="str">
        <f>IF($B447="","",IFERROR(IF(ABS(Q447-(T447+SUM(AB447:AM447)+AS447+AU447))&gt;P_Tol,1,0),1))</f>
        <v/>
      </c>
      <c r="BL447" s="124" t="str">
        <f>IF($B447="","",IFERROR(IF(ABS(AA447-(Q447-Z447))&gt;P_Tol,1,0),1))</f>
        <v/>
      </c>
      <c r="BM447" s="124" t="str">
        <f>IF($B447="","",IFERROR(IF(ABS(Z447-(T447+W447))&gt;P_Tol,1,0),1))</f>
        <v/>
      </c>
      <c r="BN447" s="124" t="str">
        <f>IF($B447="","",IFERROR(IF(ABS(W447-BI447)&gt;P_Tol,1,0),1))</f>
        <v/>
      </c>
      <c r="BO447" s="124" t="str">
        <f>IF($B447="","",IFERROR(IF(OR(ABS(R447+S447-T447)&gt;P_Tol,ABS(U447+V447-W447)&gt;P_Tol,ABS(X447+Y447-Z447)&gt;P_Tol),1,0),1))</f>
        <v/>
      </c>
      <c r="BP447" s="124" t="str">
        <f>IF($B447="","",IFERROR(IF(OR(ABS(AR447-SUM(AB447:AM447))&gt;P_Tol,ABS(AS447-(AN447+AO447+AP447+AQ447))&gt;P_Tol),1,0),1))</f>
        <v/>
      </c>
      <c r="BQ447" s="124" t="str">
        <f>IF($B447="","",IFERROR(IF(ABS(AT447)+ABS(AV447)+ABS(AW447)+ABS(AX447)+ABS(AY447)+ABS(AZ447)+ABS(BA447)+ABS(BB447)&gt;0,1,0),1))</f>
        <v/>
      </c>
      <c r="BR447" s="124" t="str">
        <f>IF($B447="","",COUNTIF(STG_ZPMW03!$B$6:$B$505,B447))</f>
        <v/>
      </c>
      <c r="BS447" s="124" t="str">
        <f>IF($B447="","",COUNTIF($B$6:$B$505,B447))</f>
        <v/>
      </c>
      <c r="BT447" s="124" t="str">
        <f>IF($B447="","",IF(BR447=0,0,IF(INDEX(STG_ZPMW03!$I$6:$I$505,MATCH(B447,STG_ZPMW03!$B$6:$B$505,0))=J447&amp;"",0,1)))</f>
        <v/>
      </c>
      <c r="BU447" s="124" t="str">
        <f>IF($B447="","",IFERROR(IF(ABS(INDEX(Mapping!$D$5:$D$104,MATCH(B447,Mapping!$A$5:$A$104,0))-Q447)&gt;P_Tol,1,0),0))</f>
        <v/>
      </c>
      <c r="BV447" s="124" t="str">
        <f>IF($B447="","",IFERROR(IF(AND(INDEX(Mapping!$G$5:$G$104,MATCH(B447,Mapping!$A$5:$A$104,0))="Nee",ABS(Q447)+ABS(Z447)+ABS(AR447)&gt;0),1,0),0))</f>
        <v/>
      </c>
      <c r="BW447" s="124" t="str">
        <f>IF($B447="","",IF(COUNTIF(Mapping!$A$5:$A$104,B447)&gt;0,1,0))</f>
        <v/>
      </c>
      <c r="BX447" s="124" t="str">
        <f>IF($B447="","",IF(BR447=0,COUNTIF($BR$6:BR447,0),""))</f>
        <v/>
      </c>
    </row>
    <row r="448">
      <c r="A448" s="15" t="n">
        <v>444</v>
      </c>
      <c r="B448" t="str">
        <f>IF(B$3=0,"",IF(INDEX(SRC_Woningetalage!$A$1:$ZZ$501,$A448,B$3)&amp;""="","",INDEX(SRC_Woningetalage!$A$1:$ZZ$501,$A448,B$3)&amp;""))</f>
        <v/>
      </c>
      <c r="C448" t="str">
        <f>IF($B448="","",IF(C$3=0,"n.b.",INDEX(SRC_Woningetalage!$A$1:$ZZ$501,$A448,C$3)))</f>
        <v/>
      </c>
      <c r="D448" t="str">
        <f>IF($B448="","",IF(D$3=0,"n.b.",INDEX(SRC_Woningetalage!$A$1:$ZZ$501,$A448,D$3)))</f>
        <v/>
      </c>
      <c r="E448" t="str">
        <f>IF($B448="","",IF(E$3=0,"n.b.",INDEX(SRC_Woningetalage!$A$1:$ZZ$501,$A448,E$3)))</f>
        <v/>
      </c>
      <c r="F448" t="str">
        <f>IF($B448="","",IF(F$3=0,"n.b.",INDEX(SRC_Woningetalage!$A$1:$ZZ$501,$A448,F$3)))</f>
        <v/>
      </c>
      <c r="G448" t="str">
        <f>IF($B448="","",IF(G$3=0,"n.b.",INDEX(SRC_Woningetalage!$A$1:$ZZ$501,$A448,G$3)))</f>
        <v/>
      </c>
      <c r="H448" t="str">
        <f>IF($B448="","",IF(H$3=0,"n.b.",INDEX(SRC_Woningetalage!$A$1:$ZZ$501,$A448,H$3)))</f>
        <v/>
      </c>
      <c r="I448" t="str">
        <f>IF($B448="","",IF(I$3=0,"n.b.",INDEX(SRC_Woningetalage!$A$1:$ZZ$501,$A448,I$3)))</f>
        <v/>
      </c>
      <c r="J448" t="str">
        <f>IF($B448="","",IF(J$3=0,"n.b.",INDEX(SRC_Woningetalage!$A$1:$ZZ$501,$A448,J$3)))</f>
        <v/>
      </c>
      <c r="K448" t="str">
        <f>IF($B448="","",IF(K$3=0,"n.b.",INDEX(SRC_Woningetalage!$A$1:$ZZ$501,$A448,K$3)))</f>
        <v/>
      </c>
      <c r="L448" t="str">
        <f>IF($B448="","",IF(L$3=0,"n.b.",INDEX(SRC_Woningetalage!$A$1:$ZZ$501,$A448,L$3)))</f>
        <v/>
      </c>
      <c r="M448" t="str">
        <f>IF($B448="","",IF(M$3=0,"n.b.",INDEX(SRC_Woningetalage!$A$1:$ZZ$501,$A448,M$3)))</f>
        <v/>
      </c>
      <c r="N448" t="str">
        <f>IF($B448="","",IF(N$3=0,"n.b.",INDEX(SRC_Woningetalage!$A$1:$ZZ$501,$A448,N$3)))</f>
        <v/>
      </c>
      <c r="O448" t="str">
        <f>IF($B448="","",IF(O$3=0,"n.b.",INDEX(SRC_Woningetalage!$A$1:$ZZ$501,$A448,O$3)))</f>
        <v/>
      </c>
      <c r="P448" t="str">
        <f>IF($B448="","",IF(P$3=0,"n.b.",INDEX(SRC_Woningetalage!$A$1:$ZZ$501,$A448,P$3)))</f>
        <v/>
      </c>
      <c r="Q448" s="124" t="str">
        <f>IF($B448="","",IF(Q$3=0,"n.b.",INDEX(SRC_Woningetalage!$A$1:$ZZ$501,$A448,Q$3)))</f>
        <v/>
      </c>
      <c r="R448" s="124" t="str">
        <f>IF($B448="","",IF(R$3=0,"n.b.",INDEX(SRC_Woningetalage!$A$1:$ZZ$501,$A448,R$3)))</f>
        <v/>
      </c>
      <c r="S448" s="124" t="str">
        <f>IF($B448="","",IF(S$3=0,"n.b.",INDEX(SRC_Woningetalage!$A$1:$ZZ$501,$A448,S$3)))</f>
        <v/>
      </c>
      <c r="T448" s="124" t="str">
        <f>IF($B448="","",IF(T$3=0,"n.b.",INDEX(SRC_Woningetalage!$A$1:$ZZ$501,$A448,T$3)))</f>
        <v/>
      </c>
      <c r="U448" s="124" t="str">
        <f>IF($B448="","",IF(U$3=0,"n.b.",INDEX(SRC_Woningetalage!$A$1:$ZZ$501,$A448,U$3)))</f>
        <v/>
      </c>
      <c r="V448" s="124" t="str">
        <f>IF($B448="","",IF(V$3=0,"n.b.",INDEX(SRC_Woningetalage!$A$1:$ZZ$501,$A448,V$3)))</f>
        <v/>
      </c>
      <c r="W448" s="124" t="str">
        <f>IF($B448="","",IF(W$3=0,"n.b.",INDEX(SRC_Woningetalage!$A$1:$ZZ$501,$A448,W$3)))</f>
        <v/>
      </c>
      <c r="X448" s="124" t="str">
        <f>IF($B448="","",IF(X$3=0,"n.b.",INDEX(SRC_Woningetalage!$A$1:$ZZ$501,$A448,X$3)))</f>
        <v/>
      </c>
      <c r="Y448" s="124" t="str">
        <f>IF($B448="","",IF(Y$3=0,"n.b.",INDEX(SRC_Woningetalage!$A$1:$ZZ$501,$A448,Y$3)))</f>
        <v/>
      </c>
      <c r="Z448" s="124" t="str">
        <f>IF($B448="","",IF(Z$3=0,"n.b.",INDEX(SRC_Woningetalage!$A$1:$ZZ$501,$A448,Z$3)))</f>
        <v/>
      </c>
      <c r="AA448" s="124" t="str">
        <f>IF($B448="","",IF(AA$3=0,"n.b.",INDEX(SRC_Woningetalage!$A$1:$ZZ$501,$A448,AA$3)))</f>
        <v/>
      </c>
      <c r="AB448" s="124" t="str">
        <f>IF($B448="","",IF(AB$3=0,"n.b.",INDEX(SRC_Woningetalage!$A$1:$ZZ$501,$A448,AB$3)))</f>
        <v/>
      </c>
      <c r="AC448" s="124" t="str">
        <f>IF($B448="","",IF(AC$3=0,"n.b.",INDEX(SRC_Woningetalage!$A$1:$ZZ$501,$A448,AC$3)))</f>
        <v/>
      </c>
      <c r="AD448" s="124" t="str">
        <f>IF($B448="","",IF(AD$3=0,"n.b.",INDEX(SRC_Woningetalage!$A$1:$ZZ$501,$A448,AD$3)))</f>
        <v/>
      </c>
      <c r="AE448" s="124" t="str">
        <f>IF($B448="","",IF(AE$3=0,"n.b.",INDEX(SRC_Woningetalage!$A$1:$ZZ$501,$A448,AE$3)))</f>
        <v/>
      </c>
      <c r="AF448" s="124" t="str">
        <f>IF($B448="","",IF(AF$3=0,"n.b.",INDEX(SRC_Woningetalage!$A$1:$ZZ$501,$A448,AF$3)))</f>
        <v/>
      </c>
      <c r="AG448" s="124" t="str">
        <f>IF($B448="","",IF(AG$3=0,"n.b.",INDEX(SRC_Woningetalage!$A$1:$ZZ$501,$A448,AG$3)))</f>
        <v/>
      </c>
      <c r="AH448" s="124" t="str">
        <f>IF($B448="","",IF(AH$3=0,"n.b.",INDEX(SRC_Woningetalage!$A$1:$ZZ$501,$A448,AH$3)))</f>
        <v/>
      </c>
      <c r="AI448" s="124" t="str">
        <f>IF($B448="","",IF(AI$3=0,"n.b.",INDEX(SRC_Woningetalage!$A$1:$ZZ$501,$A448,AI$3)))</f>
        <v/>
      </c>
      <c r="AJ448" s="124" t="str">
        <f>IF($B448="","",IF(AJ$3=0,"n.b.",INDEX(SRC_Woningetalage!$A$1:$ZZ$501,$A448,AJ$3)))</f>
        <v/>
      </c>
      <c r="AK448" s="124" t="str">
        <f>IF($B448="","",IF(AK$3=0,"n.b.",INDEX(SRC_Woningetalage!$A$1:$ZZ$501,$A448,AK$3)))</f>
        <v/>
      </c>
      <c r="AL448" s="124" t="str">
        <f>IF($B448="","",IF(AL$3=0,"n.b.",INDEX(SRC_Woningetalage!$A$1:$ZZ$501,$A448,AL$3)))</f>
        <v/>
      </c>
      <c r="AM448" s="124" t="str">
        <f>IF($B448="","",IF(AM$3=0,"n.b.",INDEX(SRC_Woningetalage!$A$1:$ZZ$501,$A448,AM$3)))</f>
        <v/>
      </c>
      <c r="AN448" s="124" t="str">
        <f>IF($B448="","",IF(AN$3=0,"n.b.",INDEX(SRC_Woningetalage!$A$1:$ZZ$501,$A448,AN$3)))</f>
        <v/>
      </c>
      <c r="AO448" s="124" t="str">
        <f>IF($B448="","",IF(AO$3=0,"n.b.",INDEX(SRC_Woningetalage!$A$1:$ZZ$501,$A448,AO$3)))</f>
        <v/>
      </c>
      <c r="AP448" s="124" t="str">
        <f>IF($B448="","",IF(AP$3=0,"n.b.",INDEX(SRC_Woningetalage!$A$1:$ZZ$501,$A448,AP$3)))</f>
        <v/>
      </c>
      <c r="AQ448" s="124" t="str">
        <f>IF($B448="","",IF(AQ$3=0,"n.b.",INDEX(SRC_Woningetalage!$A$1:$ZZ$501,$A448,AQ$3)))</f>
        <v/>
      </c>
      <c r="AR448" s="124" t="str">
        <f>IF($B448="","",IF(AR$3=0,"n.b.",INDEX(SRC_Woningetalage!$A$1:$ZZ$501,$A448,AR$3)))</f>
        <v/>
      </c>
      <c r="AS448" s="124" t="str">
        <f>IF($B448="","",IF(AS$3=0,"n.b.",INDEX(SRC_Woningetalage!$A$1:$ZZ$501,$A448,AS$3)))</f>
        <v/>
      </c>
      <c r="AT448" s="124" t="str">
        <f>IF($B448="","",IF(AT$3=0,"n.b.",INDEX(SRC_Woningetalage!$A$1:$ZZ$501,$A448,AT$3)))</f>
        <v/>
      </c>
      <c r="AU448" s="124" t="str">
        <f>IF($B448="","",IF(AU$3=0,"n.b.",INDEX(SRC_Woningetalage!$A$1:$ZZ$501,$A448,AU$3)))</f>
        <v/>
      </c>
      <c r="AV448" s="124" t="str">
        <f>IF($B448="","",IF(AV$3=0,"n.b.",INDEX(SRC_Woningetalage!$A$1:$ZZ$501,$A448,AV$3)))</f>
        <v/>
      </c>
      <c r="AW448" s="124" t="str">
        <f>IF($B448="","",IF(AW$3=0,"n.b.",INDEX(SRC_Woningetalage!$A$1:$ZZ$501,$A448,AW$3)))</f>
        <v/>
      </c>
      <c r="AX448" s="124" t="str">
        <f>IF($B448="","",IF(AX$3=0,"n.b.",INDEX(SRC_Woningetalage!$A$1:$ZZ$501,$A448,AX$3)))</f>
        <v/>
      </c>
      <c r="AY448" s="124" t="str">
        <f>IF($B448="","",IF(AY$3=0,"n.b.",INDEX(SRC_Woningetalage!$A$1:$ZZ$501,$A448,AY$3)))</f>
        <v/>
      </c>
      <c r="AZ448" s="124" t="str">
        <f>IF($B448="","",IF(AZ$3=0,"n.b.",INDEX(SRC_Woningetalage!$A$1:$ZZ$501,$A448,AZ$3)))</f>
        <v/>
      </c>
      <c r="BA448" s="124" t="str">
        <f>IF($B448="","",IF(BA$3=0,"n.b.",INDEX(SRC_Woningetalage!$A$1:$ZZ$501,$A448,BA$3)))</f>
        <v/>
      </c>
      <c r="BB448" s="124" t="str">
        <f>IF($B448="","",IF(BB$3=0,"n.b.",INDEX(SRC_Woningetalage!$A$1:$ZZ$501,$A448,BB$3)))</f>
        <v/>
      </c>
      <c r="BC448" s="124" t="str">
        <f>IF($B448="","",IFERROR(_xlfn.NUMBERVALUE(E448&amp;"",",","."),"n.b."))</f>
        <v/>
      </c>
      <c r="BD448" s="124" t="str">
        <f>IF($B448="","",IFERROR(_xlfn.NUMBERVALUE(M448&amp;"",",","."),"n.b."))</f>
        <v/>
      </c>
      <c r="BE448" s="124" t="str">
        <f>IF($B448="","",IFERROR(AB448+AC448+AD448,"n.b."))</f>
        <v/>
      </c>
      <c r="BF448" s="124" t="str">
        <f>IF($B448="","",IFERROR(AE448+AF448+AG448,"n.b."))</f>
        <v/>
      </c>
      <c r="BG448" s="124" t="str">
        <f>IF($B448="","",IFERROR(AH448+AI448+AJ448,"n.b."))</f>
        <v/>
      </c>
      <c r="BH448" s="124" t="str">
        <f>IF($B448="","",IFERROR(AK448+AL448+AM448,"n.b."))</f>
        <v/>
      </c>
      <c r="BI448" s="124" t="str">
        <f>IF($B448="","",IFERROR(SUMIF($AB$5:$AM$5,"&lt;="&amp;P_PeilMaand,AB448:AM448),"n.b."))</f>
        <v/>
      </c>
      <c r="BJ448" s="124" t="str">
        <f>IF($B448="","",IFERROR(SUM(AB448:AM448)-BI448,"n.b."))</f>
        <v/>
      </c>
      <c r="BK448" s="124" t="str">
        <f>IF($B448="","",IFERROR(IF(ABS(Q448-(T448+SUM(AB448:AM448)+AS448+AU448))&gt;P_Tol,1,0),1))</f>
        <v/>
      </c>
      <c r="BL448" s="124" t="str">
        <f>IF($B448="","",IFERROR(IF(ABS(AA448-(Q448-Z448))&gt;P_Tol,1,0),1))</f>
        <v/>
      </c>
      <c r="BM448" s="124" t="str">
        <f>IF($B448="","",IFERROR(IF(ABS(Z448-(T448+W448))&gt;P_Tol,1,0),1))</f>
        <v/>
      </c>
      <c r="BN448" s="124" t="str">
        <f>IF($B448="","",IFERROR(IF(ABS(W448-BI448)&gt;P_Tol,1,0),1))</f>
        <v/>
      </c>
      <c r="BO448" s="124" t="str">
        <f>IF($B448="","",IFERROR(IF(OR(ABS(R448+S448-T448)&gt;P_Tol,ABS(U448+V448-W448)&gt;P_Tol,ABS(X448+Y448-Z448)&gt;P_Tol),1,0),1))</f>
        <v/>
      </c>
      <c r="BP448" s="124" t="str">
        <f>IF($B448="","",IFERROR(IF(OR(ABS(AR448-SUM(AB448:AM448))&gt;P_Tol,ABS(AS448-(AN448+AO448+AP448+AQ448))&gt;P_Tol),1,0),1))</f>
        <v/>
      </c>
      <c r="BQ448" s="124" t="str">
        <f>IF($B448="","",IFERROR(IF(ABS(AT448)+ABS(AV448)+ABS(AW448)+ABS(AX448)+ABS(AY448)+ABS(AZ448)+ABS(BA448)+ABS(BB448)&gt;0,1,0),1))</f>
        <v/>
      </c>
      <c r="BR448" s="124" t="str">
        <f>IF($B448="","",COUNTIF(STG_ZPMW03!$B$6:$B$505,B448))</f>
        <v/>
      </c>
      <c r="BS448" s="124" t="str">
        <f>IF($B448="","",COUNTIF($B$6:$B$505,B448))</f>
        <v/>
      </c>
      <c r="BT448" s="124" t="str">
        <f>IF($B448="","",IF(BR448=0,0,IF(INDEX(STG_ZPMW03!$I$6:$I$505,MATCH(B448,STG_ZPMW03!$B$6:$B$505,0))=J448&amp;"",0,1)))</f>
        <v/>
      </c>
      <c r="BU448" s="124" t="str">
        <f>IF($B448="","",IFERROR(IF(ABS(INDEX(Mapping!$D$5:$D$104,MATCH(B448,Mapping!$A$5:$A$104,0))-Q448)&gt;P_Tol,1,0),0))</f>
        <v/>
      </c>
      <c r="BV448" s="124" t="str">
        <f>IF($B448="","",IFERROR(IF(AND(INDEX(Mapping!$G$5:$G$104,MATCH(B448,Mapping!$A$5:$A$104,0))="Nee",ABS(Q448)+ABS(Z448)+ABS(AR448)&gt;0),1,0),0))</f>
        <v/>
      </c>
      <c r="BW448" s="124" t="str">
        <f>IF($B448="","",IF(COUNTIF(Mapping!$A$5:$A$104,B448)&gt;0,1,0))</f>
        <v/>
      </c>
      <c r="BX448" s="124" t="str">
        <f>IF($B448="","",IF(BR448=0,COUNTIF($BR$6:BR448,0),""))</f>
        <v/>
      </c>
    </row>
    <row r="449">
      <c r="A449" s="15" t="n">
        <v>445</v>
      </c>
      <c r="B449" t="str">
        <f>IF(B$3=0,"",IF(INDEX(SRC_Woningetalage!$A$1:$ZZ$501,$A449,B$3)&amp;""="","",INDEX(SRC_Woningetalage!$A$1:$ZZ$501,$A449,B$3)&amp;""))</f>
        <v/>
      </c>
      <c r="C449" t="str">
        <f>IF($B449="","",IF(C$3=0,"n.b.",INDEX(SRC_Woningetalage!$A$1:$ZZ$501,$A449,C$3)))</f>
        <v/>
      </c>
      <c r="D449" t="str">
        <f>IF($B449="","",IF(D$3=0,"n.b.",INDEX(SRC_Woningetalage!$A$1:$ZZ$501,$A449,D$3)))</f>
        <v/>
      </c>
      <c r="E449" t="str">
        <f>IF($B449="","",IF(E$3=0,"n.b.",INDEX(SRC_Woningetalage!$A$1:$ZZ$501,$A449,E$3)))</f>
        <v/>
      </c>
      <c r="F449" t="str">
        <f>IF($B449="","",IF(F$3=0,"n.b.",INDEX(SRC_Woningetalage!$A$1:$ZZ$501,$A449,F$3)))</f>
        <v/>
      </c>
      <c r="G449" t="str">
        <f>IF($B449="","",IF(G$3=0,"n.b.",INDEX(SRC_Woningetalage!$A$1:$ZZ$501,$A449,G$3)))</f>
        <v/>
      </c>
      <c r="H449" t="str">
        <f>IF($B449="","",IF(H$3=0,"n.b.",INDEX(SRC_Woningetalage!$A$1:$ZZ$501,$A449,H$3)))</f>
        <v/>
      </c>
      <c r="I449" t="str">
        <f>IF($B449="","",IF(I$3=0,"n.b.",INDEX(SRC_Woningetalage!$A$1:$ZZ$501,$A449,I$3)))</f>
        <v/>
      </c>
      <c r="J449" t="str">
        <f>IF($B449="","",IF(J$3=0,"n.b.",INDEX(SRC_Woningetalage!$A$1:$ZZ$501,$A449,J$3)))</f>
        <v/>
      </c>
      <c r="K449" t="str">
        <f>IF($B449="","",IF(K$3=0,"n.b.",INDEX(SRC_Woningetalage!$A$1:$ZZ$501,$A449,K$3)))</f>
        <v/>
      </c>
      <c r="L449" t="str">
        <f>IF($B449="","",IF(L$3=0,"n.b.",INDEX(SRC_Woningetalage!$A$1:$ZZ$501,$A449,L$3)))</f>
        <v/>
      </c>
      <c r="M449" t="str">
        <f>IF($B449="","",IF(M$3=0,"n.b.",INDEX(SRC_Woningetalage!$A$1:$ZZ$501,$A449,M$3)))</f>
        <v/>
      </c>
      <c r="N449" t="str">
        <f>IF($B449="","",IF(N$3=0,"n.b.",INDEX(SRC_Woningetalage!$A$1:$ZZ$501,$A449,N$3)))</f>
        <v/>
      </c>
      <c r="O449" t="str">
        <f>IF($B449="","",IF(O$3=0,"n.b.",INDEX(SRC_Woningetalage!$A$1:$ZZ$501,$A449,O$3)))</f>
        <v/>
      </c>
      <c r="P449" t="str">
        <f>IF($B449="","",IF(P$3=0,"n.b.",INDEX(SRC_Woningetalage!$A$1:$ZZ$501,$A449,P$3)))</f>
        <v/>
      </c>
      <c r="Q449" s="124" t="str">
        <f>IF($B449="","",IF(Q$3=0,"n.b.",INDEX(SRC_Woningetalage!$A$1:$ZZ$501,$A449,Q$3)))</f>
        <v/>
      </c>
      <c r="R449" s="124" t="str">
        <f>IF($B449="","",IF(R$3=0,"n.b.",INDEX(SRC_Woningetalage!$A$1:$ZZ$501,$A449,R$3)))</f>
        <v/>
      </c>
      <c r="S449" s="124" t="str">
        <f>IF($B449="","",IF(S$3=0,"n.b.",INDEX(SRC_Woningetalage!$A$1:$ZZ$501,$A449,S$3)))</f>
        <v/>
      </c>
      <c r="T449" s="124" t="str">
        <f>IF($B449="","",IF(T$3=0,"n.b.",INDEX(SRC_Woningetalage!$A$1:$ZZ$501,$A449,T$3)))</f>
        <v/>
      </c>
      <c r="U449" s="124" t="str">
        <f>IF($B449="","",IF(U$3=0,"n.b.",INDEX(SRC_Woningetalage!$A$1:$ZZ$501,$A449,U$3)))</f>
        <v/>
      </c>
      <c r="V449" s="124" t="str">
        <f>IF($B449="","",IF(V$3=0,"n.b.",INDEX(SRC_Woningetalage!$A$1:$ZZ$501,$A449,V$3)))</f>
        <v/>
      </c>
      <c r="W449" s="124" t="str">
        <f>IF($B449="","",IF(W$3=0,"n.b.",INDEX(SRC_Woningetalage!$A$1:$ZZ$501,$A449,W$3)))</f>
        <v/>
      </c>
      <c r="X449" s="124" t="str">
        <f>IF($B449="","",IF(X$3=0,"n.b.",INDEX(SRC_Woningetalage!$A$1:$ZZ$501,$A449,X$3)))</f>
        <v/>
      </c>
      <c r="Y449" s="124" t="str">
        <f>IF($B449="","",IF(Y$3=0,"n.b.",INDEX(SRC_Woningetalage!$A$1:$ZZ$501,$A449,Y$3)))</f>
        <v/>
      </c>
      <c r="Z449" s="124" t="str">
        <f>IF($B449="","",IF(Z$3=0,"n.b.",INDEX(SRC_Woningetalage!$A$1:$ZZ$501,$A449,Z$3)))</f>
        <v/>
      </c>
      <c r="AA449" s="124" t="str">
        <f>IF($B449="","",IF(AA$3=0,"n.b.",INDEX(SRC_Woningetalage!$A$1:$ZZ$501,$A449,AA$3)))</f>
        <v/>
      </c>
      <c r="AB449" s="124" t="str">
        <f>IF($B449="","",IF(AB$3=0,"n.b.",INDEX(SRC_Woningetalage!$A$1:$ZZ$501,$A449,AB$3)))</f>
        <v/>
      </c>
      <c r="AC449" s="124" t="str">
        <f>IF($B449="","",IF(AC$3=0,"n.b.",INDEX(SRC_Woningetalage!$A$1:$ZZ$501,$A449,AC$3)))</f>
        <v/>
      </c>
      <c r="AD449" s="124" t="str">
        <f>IF($B449="","",IF(AD$3=0,"n.b.",INDEX(SRC_Woningetalage!$A$1:$ZZ$501,$A449,AD$3)))</f>
        <v/>
      </c>
      <c r="AE449" s="124" t="str">
        <f>IF($B449="","",IF(AE$3=0,"n.b.",INDEX(SRC_Woningetalage!$A$1:$ZZ$501,$A449,AE$3)))</f>
        <v/>
      </c>
      <c r="AF449" s="124" t="str">
        <f>IF($B449="","",IF(AF$3=0,"n.b.",INDEX(SRC_Woningetalage!$A$1:$ZZ$501,$A449,AF$3)))</f>
        <v/>
      </c>
      <c r="AG449" s="124" t="str">
        <f>IF($B449="","",IF(AG$3=0,"n.b.",INDEX(SRC_Woningetalage!$A$1:$ZZ$501,$A449,AG$3)))</f>
        <v/>
      </c>
      <c r="AH449" s="124" t="str">
        <f>IF($B449="","",IF(AH$3=0,"n.b.",INDEX(SRC_Woningetalage!$A$1:$ZZ$501,$A449,AH$3)))</f>
        <v/>
      </c>
      <c r="AI449" s="124" t="str">
        <f>IF($B449="","",IF(AI$3=0,"n.b.",INDEX(SRC_Woningetalage!$A$1:$ZZ$501,$A449,AI$3)))</f>
        <v/>
      </c>
      <c r="AJ449" s="124" t="str">
        <f>IF($B449="","",IF(AJ$3=0,"n.b.",INDEX(SRC_Woningetalage!$A$1:$ZZ$501,$A449,AJ$3)))</f>
        <v/>
      </c>
      <c r="AK449" s="124" t="str">
        <f>IF($B449="","",IF(AK$3=0,"n.b.",INDEX(SRC_Woningetalage!$A$1:$ZZ$501,$A449,AK$3)))</f>
        <v/>
      </c>
      <c r="AL449" s="124" t="str">
        <f>IF($B449="","",IF(AL$3=0,"n.b.",INDEX(SRC_Woningetalage!$A$1:$ZZ$501,$A449,AL$3)))</f>
        <v/>
      </c>
      <c r="AM449" s="124" t="str">
        <f>IF($B449="","",IF(AM$3=0,"n.b.",INDEX(SRC_Woningetalage!$A$1:$ZZ$501,$A449,AM$3)))</f>
        <v/>
      </c>
      <c r="AN449" s="124" t="str">
        <f>IF($B449="","",IF(AN$3=0,"n.b.",INDEX(SRC_Woningetalage!$A$1:$ZZ$501,$A449,AN$3)))</f>
        <v/>
      </c>
      <c r="AO449" s="124" t="str">
        <f>IF($B449="","",IF(AO$3=0,"n.b.",INDEX(SRC_Woningetalage!$A$1:$ZZ$501,$A449,AO$3)))</f>
        <v/>
      </c>
      <c r="AP449" s="124" t="str">
        <f>IF($B449="","",IF(AP$3=0,"n.b.",INDEX(SRC_Woningetalage!$A$1:$ZZ$501,$A449,AP$3)))</f>
        <v/>
      </c>
      <c r="AQ449" s="124" t="str">
        <f>IF($B449="","",IF(AQ$3=0,"n.b.",INDEX(SRC_Woningetalage!$A$1:$ZZ$501,$A449,AQ$3)))</f>
        <v/>
      </c>
      <c r="AR449" s="124" t="str">
        <f>IF($B449="","",IF(AR$3=0,"n.b.",INDEX(SRC_Woningetalage!$A$1:$ZZ$501,$A449,AR$3)))</f>
        <v/>
      </c>
      <c r="AS449" s="124" t="str">
        <f>IF($B449="","",IF(AS$3=0,"n.b.",INDEX(SRC_Woningetalage!$A$1:$ZZ$501,$A449,AS$3)))</f>
        <v/>
      </c>
      <c r="AT449" s="124" t="str">
        <f>IF($B449="","",IF(AT$3=0,"n.b.",INDEX(SRC_Woningetalage!$A$1:$ZZ$501,$A449,AT$3)))</f>
        <v/>
      </c>
      <c r="AU449" s="124" t="str">
        <f>IF($B449="","",IF(AU$3=0,"n.b.",INDEX(SRC_Woningetalage!$A$1:$ZZ$501,$A449,AU$3)))</f>
        <v/>
      </c>
      <c r="AV449" s="124" t="str">
        <f>IF($B449="","",IF(AV$3=0,"n.b.",INDEX(SRC_Woningetalage!$A$1:$ZZ$501,$A449,AV$3)))</f>
        <v/>
      </c>
      <c r="AW449" s="124" t="str">
        <f>IF($B449="","",IF(AW$3=0,"n.b.",INDEX(SRC_Woningetalage!$A$1:$ZZ$501,$A449,AW$3)))</f>
        <v/>
      </c>
      <c r="AX449" s="124" t="str">
        <f>IF($B449="","",IF(AX$3=0,"n.b.",INDEX(SRC_Woningetalage!$A$1:$ZZ$501,$A449,AX$3)))</f>
        <v/>
      </c>
      <c r="AY449" s="124" t="str">
        <f>IF($B449="","",IF(AY$3=0,"n.b.",INDEX(SRC_Woningetalage!$A$1:$ZZ$501,$A449,AY$3)))</f>
        <v/>
      </c>
      <c r="AZ449" s="124" t="str">
        <f>IF($B449="","",IF(AZ$3=0,"n.b.",INDEX(SRC_Woningetalage!$A$1:$ZZ$501,$A449,AZ$3)))</f>
        <v/>
      </c>
      <c r="BA449" s="124" t="str">
        <f>IF($B449="","",IF(BA$3=0,"n.b.",INDEX(SRC_Woningetalage!$A$1:$ZZ$501,$A449,BA$3)))</f>
        <v/>
      </c>
      <c r="BB449" s="124" t="str">
        <f>IF($B449="","",IF(BB$3=0,"n.b.",INDEX(SRC_Woningetalage!$A$1:$ZZ$501,$A449,BB$3)))</f>
        <v/>
      </c>
      <c r="BC449" s="124" t="str">
        <f>IF($B449="","",IFERROR(_xlfn.NUMBERVALUE(E449&amp;"",",","."),"n.b."))</f>
        <v/>
      </c>
      <c r="BD449" s="124" t="str">
        <f>IF($B449="","",IFERROR(_xlfn.NUMBERVALUE(M449&amp;"",",","."),"n.b."))</f>
        <v/>
      </c>
      <c r="BE449" s="124" t="str">
        <f>IF($B449="","",IFERROR(AB449+AC449+AD449,"n.b."))</f>
        <v/>
      </c>
      <c r="BF449" s="124" t="str">
        <f>IF($B449="","",IFERROR(AE449+AF449+AG449,"n.b."))</f>
        <v/>
      </c>
      <c r="BG449" s="124" t="str">
        <f>IF($B449="","",IFERROR(AH449+AI449+AJ449,"n.b."))</f>
        <v/>
      </c>
      <c r="BH449" s="124" t="str">
        <f>IF($B449="","",IFERROR(AK449+AL449+AM449,"n.b."))</f>
        <v/>
      </c>
      <c r="BI449" s="124" t="str">
        <f>IF($B449="","",IFERROR(SUMIF($AB$5:$AM$5,"&lt;="&amp;P_PeilMaand,AB449:AM449),"n.b."))</f>
        <v/>
      </c>
      <c r="BJ449" s="124" t="str">
        <f>IF($B449="","",IFERROR(SUM(AB449:AM449)-BI449,"n.b."))</f>
        <v/>
      </c>
      <c r="BK449" s="124" t="str">
        <f>IF($B449="","",IFERROR(IF(ABS(Q449-(T449+SUM(AB449:AM449)+AS449+AU449))&gt;P_Tol,1,0),1))</f>
        <v/>
      </c>
      <c r="BL449" s="124" t="str">
        <f>IF($B449="","",IFERROR(IF(ABS(AA449-(Q449-Z449))&gt;P_Tol,1,0),1))</f>
        <v/>
      </c>
      <c r="BM449" s="124" t="str">
        <f>IF($B449="","",IFERROR(IF(ABS(Z449-(T449+W449))&gt;P_Tol,1,0),1))</f>
        <v/>
      </c>
      <c r="BN449" s="124" t="str">
        <f>IF($B449="","",IFERROR(IF(ABS(W449-BI449)&gt;P_Tol,1,0),1))</f>
        <v/>
      </c>
      <c r="BO449" s="124" t="str">
        <f>IF($B449="","",IFERROR(IF(OR(ABS(R449+S449-T449)&gt;P_Tol,ABS(U449+V449-W449)&gt;P_Tol,ABS(X449+Y449-Z449)&gt;P_Tol),1,0),1))</f>
        <v/>
      </c>
      <c r="BP449" s="124" t="str">
        <f>IF($B449="","",IFERROR(IF(OR(ABS(AR449-SUM(AB449:AM449))&gt;P_Tol,ABS(AS449-(AN449+AO449+AP449+AQ449))&gt;P_Tol),1,0),1))</f>
        <v/>
      </c>
      <c r="BQ449" s="124" t="str">
        <f>IF($B449="","",IFERROR(IF(ABS(AT449)+ABS(AV449)+ABS(AW449)+ABS(AX449)+ABS(AY449)+ABS(AZ449)+ABS(BA449)+ABS(BB449)&gt;0,1,0),1))</f>
        <v/>
      </c>
      <c r="BR449" s="124" t="str">
        <f>IF($B449="","",COUNTIF(STG_ZPMW03!$B$6:$B$505,B449))</f>
        <v/>
      </c>
      <c r="BS449" s="124" t="str">
        <f>IF($B449="","",COUNTIF($B$6:$B$505,B449))</f>
        <v/>
      </c>
      <c r="BT449" s="124" t="str">
        <f>IF($B449="","",IF(BR449=0,0,IF(INDEX(STG_ZPMW03!$I$6:$I$505,MATCH(B449,STG_ZPMW03!$B$6:$B$505,0))=J449&amp;"",0,1)))</f>
        <v/>
      </c>
      <c r="BU449" s="124" t="str">
        <f>IF($B449="","",IFERROR(IF(ABS(INDEX(Mapping!$D$5:$D$104,MATCH(B449,Mapping!$A$5:$A$104,0))-Q449)&gt;P_Tol,1,0),0))</f>
        <v/>
      </c>
      <c r="BV449" s="124" t="str">
        <f>IF($B449="","",IFERROR(IF(AND(INDEX(Mapping!$G$5:$G$104,MATCH(B449,Mapping!$A$5:$A$104,0))="Nee",ABS(Q449)+ABS(Z449)+ABS(AR449)&gt;0),1,0),0))</f>
        <v/>
      </c>
      <c r="BW449" s="124" t="str">
        <f>IF($B449="","",IF(COUNTIF(Mapping!$A$5:$A$104,B449)&gt;0,1,0))</f>
        <v/>
      </c>
      <c r="BX449" s="124" t="str">
        <f>IF($B449="","",IF(BR449=0,COUNTIF($BR$6:BR449,0),""))</f>
        <v/>
      </c>
    </row>
    <row r="450">
      <c r="A450" s="15" t="n">
        <v>446</v>
      </c>
      <c r="B450" t="str">
        <f>IF(B$3=0,"",IF(INDEX(SRC_Woningetalage!$A$1:$ZZ$501,$A450,B$3)&amp;""="","",INDEX(SRC_Woningetalage!$A$1:$ZZ$501,$A450,B$3)&amp;""))</f>
        <v/>
      </c>
      <c r="C450" t="str">
        <f>IF($B450="","",IF(C$3=0,"n.b.",INDEX(SRC_Woningetalage!$A$1:$ZZ$501,$A450,C$3)))</f>
        <v/>
      </c>
      <c r="D450" t="str">
        <f>IF($B450="","",IF(D$3=0,"n.b.",INDEX(SRC_Woningetalage!$A$1:$ZZ$501,$A450,D$3)))</f>
        <v/>
      </c>
      <c r="E450" t="str">
        <f>IF($B450="","",IF(E$3=0,"n.b.",INDEX(SRC_Woningetalage!$A$1:$ZZ$501,$A450,E$3)))</f>
        <v/>
      </c>
      <c r="F450" t="str">
        <f>IF($B450="","",IF(F$3=0,"n.b.",INDEX(SRC_Woningetalage!$A$1:$ZZ$501,$A450,F$3)))</f>
        <v/>
      </c>
      <c r="G450" t="str">
        <f>IF($B450="","",IF(G$3=0,"n.b.",INDEX(SRC_Woningetalage!$A$1:$ZZ$501,$A450,G$3)))</f>
        <v/>
      </c>
      <c r="H450" t="str">
        <f>IF($B450="","",IF(H$3=0,"n.b.",INDEX(SRC_Woningetalage!$A$1:$ZZ$501,$A450,H$3)))</f>
        <v/>
      </c>
      <c r="I450" t="str">
        <f>IF($B450="","",IF(I$3=0,"n.b.",INDEX(SRC_Woningetalage!$A$1:$ZZ$501,$A450,I$3)))</f>
        <v/>
      </c>
      <c r="J450" t="str">
        <f>IF($B450="","",IF(J$3=0,"n.b.",INDEX(SRC_Woningetalage!$A$1:$ZZ$501,$A450,J$3)))</f>
        <v/>
      </c>
      <c r="K450" t="str">
        <f>IF($B450="","",IF(K$3=0,"n.b.",INDEX(SRC_Woningetalage!$A$1:$ZZ$501,$A450,K$3)))</f>
        <v/>
      </c>
      <c r="L450" t="str">
        <f>IF($B450="","",IF(L$3=0,"n.b.",INDEX(SRC_Woningetalage!$A$1:$ZZ$501,$A450,L$3)))</f>
        <v/>
      </c>
      <c r="M450" t="str">
        <f>IF($B450="","",IF(M$3=0,"n.b.",INDEX(SRC_Woningetalage!$A$1:$ZZ$501,$A450,M$3)))</f>
        <v/>
      </c>
      <c r="N450" t="str">
        <f>IF($B450="","",IF(N$3=0,"n.b.",INDEX(SRC_Woningetalage!$A$1:$ZZ$501,$A450,N$3)))</f>
        <v/>
      </c>
      <c r="O450" t="str">
        <f>IF($B450="","",IF(O$3=0,"n.b.",INDEX(SRC_Woningetalage!$A$1:$ZZ$501,$A450,O$3)))</f>
        <v/>
      </c>
      <c r="P450" t="str">
        <f>IF($B450="","",IF(P$3=0,"n.b.",INDEX(SRC_Woningetalage!$A$1:$ZZ$501,$A450,P$3)))</f>
        <v/>
      </c>
      <c r="Q450" s="124" t="str">
        <f>IF($B450="","",IF(Q$3=0,"n.b.",INDEX(SRC_Woningetalage!$A$1:$ZZ$501,$A450,Q$3)))</f>
        <v/>
      </c>
      <c r="R450" s="124" t="str">
        <f>IF($B450="","",IF(R$3=0,"n.b.",INDEX(SRC_Woningetalage!$A$1:$ZZ$501,$A450,R$3)))</f>
        <v/>
      </c>
      <c r="S450" s="124" t="str">
        <f>IF($B450="","",IF(S$3=0,"n.b.",INDEX(SRC_Woningetalage!$A$1:$ZZ$501,$A450,S$3)))</f>
        <v/>
      </c>
      <c r="T450" s="124" t="str">
        <f>IF($B450="","",IF(T$3=0,"n.b.",INDEX(SRC_Woningetalage!$A$1:$ZZ$501,$A450,T$3)))</f>
        <v/>
      </c>
      <c r="U450" s="124" t="str">
        <f>IF($B450="","",IF(U$3=0,"n.b.",INDEX(SRC_Woningetalage!$A$1:$ZZ$501,$A450,U$3)))</f>
        <v/>
      </c>
      <c r="V450" s="124" t="str">
        <f>IF($B450="","",IF(V$3=0,"n.b.",INDEX(SRC_Woningetalage!$A$1:$ZZ$501,$A450,V$3)))</f>
        <v/>
      </c>
      <c r="W450" s="124" t="str">
        <f>IF($B450="","",IF(W$3=0,"n.b.",INDEX(SRC_Woningetalage!$A$1:$ZZ$501,$A450,W$3)))</f>
        <v/>
      </c>
      <c r="X450" s="124" t="str">
        <f>IF($B450="","",IF(X$3=0,"n.b.",INDEX(SRC_Woningetalage!$A$1:$ZZ$501,$A450,X$3)))</f>
        <v/>
      </c>
      <c r="Y450" s="124" t="str">
        <f>IF($B450="","",IF(Y$3=0,"n.b.",INDEX(SRC_Woningetalage!$A$1:$ZZ$501,$A450,Y$3)))</f>
        <v/>
      </c>
      <c r="Z450" s="124" t="str">
        <f>IF($B450="","",IF(Z$3=0,"n.b.",INDEX(SRC_Woningetalage!$A$1:$ZZ$501,$A450,Z$3)))</f>
        <v/>
      </c>
      <c r="AA450" s="124" t="str">
        <f>IF($B450="","",IF(AA$3=0,"n.b.",INDEX(SRC_Woningetalage!$A$1:$ZZ$501,$A450,AA$3)))</f>
        <v/>
      </c>
      <c r="AB450" s="124" t="str">
        <f>IF($B450="","",IF(AB$3=0,"n.b.",INDEX(SRC_Woningetalage!$A$1:$ZZ$501,$A450,AB$3)))</f>
        <v/>
      </c>
      <c r="AC450" s="124" t="str">
        <f>IF($B450="","",IF(AC$3=0,"n.b.",INDEX(SRC_Woningetalage!$A$1:$ZZ$501,$A450,AC$3)))</f>
        <v/>
      </c>
      <c r="AD450" s="124" t="str">
        <f>IF($B450="","",IF(AD$3=0,"n.b.",INDEX(SRC_Woningetalage!$A$1:$ZZ$501,$A450,AD$3)))</f>
        <v/>
      </c>
      <c r="AE450" s="124" t="str">
        <f>IF($B450="","",IF(AE$3=0,"n.b.",INDEX(SRC_Woningetalage!$A$1:$ZZ$501,$A450,AE$3)))</f>
        <v/>
      </c>
      <c r="AF450" s="124" t="str">
        <f>IF($B450="","",IF(AF$3=0,"n.b.",INDEX(SRC_Woningetalage!$A$1:$ZZ$501,$A450,AF$3)))</f>
        <v/>
      </c>
      <c r="AG450" s="124" t="str">
        <f>IF($B450="","",IF(AG$3=0,"n.b.",INDEX(SRC_Woningetalage!$A$1:$ZZ$501,$A450,AG$3)))</f>
        <v/>
      </c>
      <c r="AH450" s="124" t="str">
        <f>IF($B450="","",IF(AH$3=0,"n.b.",INDEX(SRC_Woningetalage!$A$1:$ZZ$501,$A450,AH$3)))</f>
        <v/>
      </c>
      <c r="AI450" s="124" t="str">
        <f>IF($B450="","",IF(AI$3=0,"n.b.",INDEX(SRC_Woningetalage!$A$1:$ZZ$501,$A450,AI$3)))</f>
        <v/>
      </c>
      <c r="AJ450" s="124" t="str">
        <f>IF($B450="","",IF(AJ$3=0,"n.b.",INDEX(SRC_Woningetalage!$A$1:$ZZ$501,$A450,AJ$3)))</f>
        <v/>
      </c>
      <c r="AK450" s="124" t="str">
        <f>IF($B450="","",IF(AK$3=0,"n.b.",INDEX(SRC_Woningetalage!$A$1:$ZZ$501,$A450,AK$3)))</f>
        <v/>
      </c>
      <c r="AL450" s="124" t="str">
        <f>IF($B450="","",IF(AL$3=0,"n.b.",INDEX(SRC_Woningetalage!$A$1:$ZZ$501,$A450,AL$3)))</f>
        <v/>
      </c>
      <c r="AM450" s="124" t="str">
        <f>IF($B450="","",IF(AM$3=0,"n.b.",INDEX(SRC_Woningetalage!$A$1:$ZZ$501,$A450,AM$3)))</f>
        <v/>
      </c>
      <c r="AN450" s="124" t="str">
        <f>IF($B450="","",IF(AN$3=0,"n.b.",INDEX(SRC_Woningetalage!$A$1:$ZZ$501,$A450,AN$3)))</f>
        <v/>
      </c>
      <c r="AO450" s="124" t="str">
        <f>IF($B450="","",IF(AO$3=0,"n.b.",INDEX(SRC_Woningetalage!$A$1:$ZZ$501,$A450,AO$3)))</f>
        <v/>
      </c>
      <c r="AP450" s="124" t="str">
        <f>IF($B450="","",IF(AP$3=0,"n.b.",INDEX(SRC_Woningetalage!$A$1:$ZZ$501,$A450,AP$3)))</f>
        <v/>
      </c>
      <c r="AQ450" s="124" t="str">
        <f>IF($B450="","",IF(AQ$3=0,"n.b.",INDEX(SRC_Woningetalage!$A$1:$ZZ$501,$A450,AQ$3)))</f>
        <v/>
      </c>
      <c r="AR450" s="124" t="str">
        <f>IF($B450="","",IF(AR$3=0,"n.b.",INDEX(SRC_Woningetalage!$A$1:$ZZ$501,$A450,AR$3)))</f>
        <v/>
      </c>
      <c r="AS450" s="124" t="str">
        <f>IF($B450="","",IF(AS$3=0,"n.b.",INDEX(SRC_Woningetalage!$A$1:$ZZ$501,$A450,AS$3)))</f>
        <v/>
      </c>
      <c r="AT450" s="124" t="str">
        <f>IF($B450="","",IF(AT$3=0,"n.b.",INDEX(SRC_Woningetalage!$A$1:$ZZ$501,$A450,AT$3)))</f>
        <v/>
      </c>
      <c r="AU450" s="124" t="str">
        <f>IF($B450="","",IF(AU$3=0,"n.b.",INDEX(SRC_Woningetalage!$A$1:$ZZ$501,$A450,AU$3)))</f>
        <v/>
      </c>
      <c r="AV450" s="124" t="str">
        <f>IF($B450="","",IF(AV$3=0,"n.b.",INDEX(SRC_Woningetalage!$A$1:$ZZ$501,$A450,AV$3)))</f>
        <v/>
      </c>
      <c r="AW450" s="124" t="str">
        <f>IF($B450="","",IF(AW$3=0,"n.b.",INDEX(SRC_Woningetalage!$A$1:$ZZ$501,$A450,AW$3)))</f>
        <v/>
      </c>
      <c r="AX450" s="124" t="str">
        <f>IF($B450="","",IF(AX$3=0,"n.b.",INDEX(SRC_Woningetalage!$A$1:$ZZ$501,$A450,AX$3)))</f>
        <v/>
      </c>
      <c r="AY450" s="124" t="str">
        <f>IF($B450="","",IF(AY$3=0,"n.b.",INDEX(SRC_Woningetalage!$A$1:$ZZ$501,$A450,AY$3)))</f>
        <v/>
      </c>
      <c r="AZ450" s="124" t="str">
        <f>IF($B450="","",IF(AZ$3=0,"n.b.",INDEX(SRC_Woningetalage!$A$1:$ZZ$501,$A450,AZ$3)))</f>
        <v/>
      </c>
      <c r="BA450" s="124" t="str">
        <f>IF($B450="","",IF(BA$3=0,"n.b.",INDEX(SRC_Woningetalage!$A$1:$ZZ$501,$A450,BA$3)))</f>
        <v/>
      </c>
      <c r="BB450" s="124" t="str">
        <f>IF($B450="","",IF(BB$3=0,"n.b.",INDEX(SRC_Woningetalage!$A$1:$ZZ$501,$A450,BB$3)))</f>
        <v/>
      </c>
      <c r="BC450" s="124" t="str">
        <f>IF($B450="","",IFERROR(_xlfn.NUMBERVALUE(E450&amp;"",",","."),"n.b."))</f>
        <v/>
      </c>
      <c r="BD450" s="124" t="str">
        <f>IF($B450="","",IFERROR(_xlfn.NUMBERVALUE(M450&amp;"",",","."),"n.b."))</f>
        <v/>
      </c>
      <c r="BE450" s="124" t="str">
        <f>IF($B450="","",IFERROR(AB450+AC450+AD450,"n.b."))</f>
        <v/>
      </c>
      <c r="BF450" s="124" t="str">
        <f>IF($B450="","",IFERROR(AE450+AF450+AG450,"n.b."))</f>
        <v/>
      </c>
      <c r="BG450" s="124" t="str">
        <f>IF($B450="","",IFERROR(AH450+AI450+AJ450,"n.b."))</f>
        <v/>
      </c>
      <c r="BH450" s="124" t="str">
        <f>IF($B450="","",IFERROR(AK450+AL450+AM450,"n.b."))</f>
        <v/>
      </c>
      <c r="BI450" s="124" t="str">
        <f>IF($B450="","",IFERROR(SUMIF($AB$5:$AM$5,"&lt;="&amp;P_PeilMaand,AB450:AM450),"n.b."))</f>
        <v/>
      </c>
      <c r="BJ450" s="124" t="str">
        <f>IF($B450="","",IFERROR(SUM(AB450:AM450)-BI450,"n.b."))</f>
        <v/>
      </c>
      <c r="BK450" s="124" t="str">
        <f>IF($B450="","",IFERROR(IF(ABS(Q450-(T450+SUM(AB450:AM450)+AS450+AU450))&gt;P_Tol,1,0),1))</f>
        <v/>
      </c>
      <c r="BL450" s="124" t="str">
        <f>IF($B450="","",IFERROR(IF(ABS(AA450-(Q450-Z450))&gt;P_Tol,1,0),1))</f>
        <v/>
      </c>
      <c r="BM450" s="124" t="str">
        <f>IF($B450="","",IFERROR(IF(ABS(Z450-(T450+W450))&gt;P_Tol,1,0),1))</f>
        <v/>
      </c>
      <c r="BN450" s="124" t="str">
        <f>IF($B450="","",IFERROR(IF(ABS(W450-BI450)&gt;P_Tol,1,0),1))</f>
        <v/>
      </c>
      <c r="BO450" s="124" t="str">
        <f>IF($B450="","",IFERROR(IF(OR(ABS(R450+S450-T450)&gt;P_Tol,ABS(U450+V450-W450)&gt;P_Tol,ABS(X450+Y450-Z450)&gt;P_Tol),1,0),1))</f>
        <v/>
      </c>
      <c r="BP450" s="124" t="str">
        <f>IF($B450="","",IFERROR(IF(OR(ABS(AR450-SUM(AB450:AM450))&gt;P_Tol,ABS(AS450-(AN450+AO450+AP450+AQ450))&gt;P_Tol),1,0),1))</f>
        <v/>
      </c>
      <c r="BQ450" s="124" t="str">
        <f>IF($B450="","",IFERROR(IF(ABS(AT450)+ABS(AV450)+ABS(AW450)+ABS(AX450)+ABS(AY450)+ABS(AZ450)+ABS(BA450)+ABS(BB450)&gt;0,1,0),1))</f>
        <v/>
      </c>
      <c r="BR450" s="124" t="str">
        <f>IF($B450="","",COUNTIF(STG_ZPMW03!$B$6:$B$505,B450))</f>
        <v/>
      </c>
      <c r="BS450" s="124" t="str">
        <f>IF($B450="","",COUNTIF($B$6:$B$505,B450))</f>
        <v/>
      </c>
      <c r="BT450" s="124" t="str">
        <f>IF($B450="","",IF(BR450=0,0,IF(INDEX(STG_ZPMW03!$I$6:$I$505,MATCH(B450,STG_ZPMW03!$B$6:$B$505,0))=J450&amp;"",0,1)))</f>
        <v/>
      </c>
      <c r="BU450" s="124" t="str">
        <f>IF($B450="","",IFERROR(IF(ABS(INDEX(Mapping!$D$5:$D$104,MATCH(B450,Mapping!$A$5:$A$104,0))-Q450)&gt;P_Tol,1,0),0))</f>
        <v/>
      </c>
      <c r="BV450" s="124" t="str">
        <f>IF($B450="","",IFERROR(IF(AND(INDEX(Mapping!$G$5:$G$104,MATCH(B450,Mapping!$A$5:$A$104,0))="Nee",ABS(Q450)+ABS(Z450)+ABS(AR450)&gt;0),1,0),0))</f>
        <v/>
      </c>
      <c r="BW450" s="124" t="str">
        <f>IF($B450="","",IF(COUNTIF(Mapping!$A$5:$A$104,B450)&gt;0,1,0))</f>
        <v/>
      </c>
      <c r="BX450" s="124" t="str">
        <f>IF($B450="","",IF(BR450=0,COUNTIF($BR$6:BR450,0),""))</f>
        <v/>
      </c>
    </row>
    <row r="451">
      <c r="A451" s="15" t="n">
        <v>447</v>
      </c>
      <c r="B451" t="str">
        <f>IF(B$3=0,"",IF(INDEX(SRC_Woningetalage!$A$1:$ZZ$501,$A451,B$3)&amp;""="","",INDEX(SRC_Woningetalage!$A$1:$ZZ$501,$A451,B$3)&amp;""))</f>
        <v/>
      </c>
      <c r="C451" t="str">
        <f>IF($B451="","",IF(C$3=0,"n.b.",INDEX(SRC_Woningetalage!$A$1:$ZZ$501,$A451,C$3)))</f>
        <v/>
      </c>
      <c r="D451" t="str">
        <f>IF($B451="","",IF(D$3=0,"n.b.",INDEX(SRC_Woningetalage!$A$1:$ZZ$501,$A451,D$3)))</f>
        <v/>
      </c>
      <c r="E451" t="str">
        <f>IF($B451="","",IF(E$3=0,"n.b.",INDEX(SRC_Woningetalage!$A$1:$ZZ$501,$A451,E$3)))</f>
        <v/>
      </c>
      <c r="F451" t="str">
        <f>IF($B451="","",IF(F$3=0,"n.b.",INDEX(SRC_Woningetalage!$A$1:$ZZ$501,$A451,F$3)))</f>
        <v/>
      </c>
      <c r="G451" t="str">
        <f>IF($B451="","",IF(G$3=0,"n.b.",INDEX(SRC_Woningetalage!$A$1:$ZZ$501,$A451,G$3)))</f>
        <v/>
      </c>
      <c r="H451" t="str">
        <f>IF($B451="","",IF(H$3=0,"n.b.",INDEX(SRC_Woningetalage!$A$1:$ZZ$501,$A451,H$3)))</f>
        <v/>
      </c>
      <c r="I451" t="str">
        <f>IF($B451="","",IF(I$3=0,"n.b.",INDEX(SRC_Woningetalage!$A$1:$ZZ$501,$A451,I$3)))</f>
        <v/>
      </c>
      <c r="J451" t="str">
        <f>IF($B451="","",IF(J$3=0,"n.b.",INDEX(SRC_Woningetalage!$A$1:$ZZ$501,$A451,J$3)))</f>
        <v/>
      </c>
      <c r="K451" t="str">
        <f>IF($B451="","",IF(K$3=0,"n.b.",INDEX(SRC_Woningetalage!$A$1:$ZZ$501,$A451,K$3)))</f>
        <v/>
      </c>
      <c r="L451" t="str">
        <f>IF($B451="","",IF(L$3=0,"n.b.",INDEX(SRC_Woningetalage!$A$1:$ZZ$501,$A451,L$3)))</f>
        <v/>
      </c>
      <c r="M451" t="str">
        <f>IF($B451="","",IF(M$3=0,"n.b.",INDEX(SRC_Woningetalage!$A$1:$ZZ$501,$A451,M$3)))</f>
        <v/>
      </c>
      <c r="N451" t="str">
        <f>IF($B451="","",IF(N$3=0,"n.b.",INDEX(SRC_Woningetalage!$A$1:$ZZ$501,$A451,N$3)))</f>
        <v/>
      </c>
      <c r="O451" t="str">
        <f>IF($B451="","",IF(O$3=0,"n.b.",INDEX(SRC_Woningetalage!$A$1:$ZZ$501,$A451,O$3)))</f>
        <v/>
      </c>
      <c r="P451" t="str">
        <f>IF($B451="","",IF(P$3=0,"n.b.",INDEX(SRC_Woningetalage!$A$1:$ZZ$501,$A451,P$3)))</f>
        <v/>
      </c>
      <c r="Q451" s="124" t="str">
        <f>IF($B451="","",IF(Q$3=0,"n.b.",INDEX(SRC_Woningetalage!$A$1:$ZZ$501,$A451,Q$3)))</f>
        <v/>
      </c>
      <c r="R451" s="124" t="str">
        <f>IF($B451="","",IF(R$3=0,"n.b.",INDEX(SRC_Woningetalage!$A$1:$ZZ$501,$A451,R$3)))</f>
        <v/>
      </c>
      <c r="S451" s="124" t="str">
        <f>IF($B451="","",IF(S$3=0,"n.b.",INDEX(SRC_Woningetalage!$A$1:$ZZ$501,$A451,S$3)))</f>
        <v/>
      </c>
      <c r="T451" s="124" t="str">
        <f>IF($B451="","",IF(T$3=0,"n.b.",INDEX(SRC_Woningetalage!$A$1:$ZZ$501,$A451,T$3)))</f>
        <v/>
      </c>
      <c r="U451" s="124" t="str">
        <f>IF($B451="","",IF(U$3=0,"n.b.",INDEX(SRC_Woningetalage!$A$1:$ZZ$501,$A451,U$3)))</f>
        <v/>
      </c>
      <c r="V451" s="124" t="str">
        <f>IF($B451="","",IF(V$3=0,"n.b.",INDEX(SRC_Woningetalage!$A$1:$ZZ$501,$A451,V$3)))</f>
        <v/>
      </c>
      <c r="W451" s="124" t="str">
        <f>IF($B451="","",IF(W$3=0,"n.b.",INDEX(SRC_Woningetalage!$A$1:$ZZ$501,$A451,W$3)))</f>
        <v/>
      </c>
      <c r="X451" s="124" t="str">
        <f>IF($B451="","",IF(X$3=0,"n.b.",INDEX(SRC_Woningetalage!$A$1:$ZZ$501,$A451,X$3)))</f>
        <v/>
      </c>
      <c r="Y451" s="124" t="str">
        <f>IF($B451="","",IF(Y$3=0,"n.b.",INDEX(SRC_Woningetalage!$A$1:$ZZ$501,$A451,Y$3)))</f>
        <v/>
      </c>
      <c r="Z451" s="124" t="str">
        <f>IF($B451="","",IF(Z$3=0,"n.b.",INDEX(SRC_Woningetalage!$A$1:$ZZ$501,$A451,Z$3)))</f>
        <v/>
      </c>
      <c r="AA451" s="124" t="str">
        <f>IF($B451="","",IF(AA$3=0,"n.b.",INDEX(SRC_Woningetalage!$A$1:$ZZ$501,$A451,AA$3)))</f>
        <v/>
      </c>
      <c r="AB451" s="124" t="str">
        <f>IF($B451="","",IF(AB$3=0,"n.b.",INDEX(SRC_Woningetalage!$A$1:$ZZ$501,$A451,AB$3)))</f>
        <v/>
      </c>
      <c r="AC451" s="124" t="str">
        <f>IF($B451="","",IF(AC$3=0,"n.b.",INDEX(SRC_Woningetalage!$A$1:$ZZ$501,$A451,AC$3)))</f>
        <v/>
      </c>
      <c r="AD451" s="124" t="str">
        <f>IF($B451="","",IF(AD$3=0,"n.b.",INDEX(SRC_Woningetalage!$A$1:$ZZ$501,$A451,AD$3)))</f>
        <v/>
      </c>
      <c r="AE451" s="124" t="str">
        <f>IF($B451="","",IF(AE$3=0,"n.b.",INDEX(SRC_Woningetalage!$A$1:$ZZ$501,$A451,AE$3)))</f>
        <v/>
      </c>
      <c r="AF451" s="124" t="str">
        <f>IF($B451="","",IF(AF$3=0,"n.b.",INDEX(SRC_Woningetalage!$A$1:$ZZ$501,$A451,AF$3)))</f>
        <v/>
      </c>
      <c r="AG451" s="124" t="str">
        <f>IF($B451="","",IF(AG$3=0,"n.b.",INDEX(SRC_Woningetalage!$A$1:$ZZ$501,$A451,AG$3)))</f>
        <v/>
      </c>
      <c r="AH451" s="124" t="str">
        <f>IF($B451="","",IF(AH$3=0,"n.b.",INDEX(SRC_Woningetalage!$A$1:$ZZ$501,$A451,AH$3)))</f>
        <v/>
      </c>
      <c r="AI451" s="124" t="str">
        <f>IF($B451="","",IF(AI$3=0,"n.b.",INDEX(SRC_Woningetalage!$A$1:$ZZ$501,$A451,AI$3)))</f>
        <v/>
      </c>
      <c r="AJ451" s="124" t="str">
        <f>IF($B451="","",IF(AJ$3=0,"n.b.",INDEX(SRC_Woningetalage!$A$1:$ZZ$501,$A451,AJ$3)))</f>
        <v/>
      </c>
      <c r="AK451" s="124" t="str">
        <f>IF($B451="","",IF(AK$3=0,"n.b.",INDEX(SRC_Woningetalage!$A$1:$ZZ$501,$A451,AK$3)))</f>
        <v/>
      </c>
      <c r="AL451" s="124" t="str">
        <f>IF($B451="","",IF(AL$3=0,"n.b.",INDEX(SRC_Woningetalage!$A$1:$ZZ$501,$A451,AL$3)))</f>
        <v/>
      </c>
      <c r="AM451" s="124" t="str">
        <f>IF($B451="","",IF(AM$3=0,"n.b.",INDEX(SRC_Woningetalage!$A$1:$ZZ$501,$A451,AM$3)))</f>
        <v/>
      </c>
      <c r="AN451" s="124" t="str">
        <f>IF($B451="","",IF(AN$3=0,"n.b.",INDEX(SRC_Woningetalage!$A$1:$ZZ$501,$A451,AN$3)))</f>
        <v/>
      </c>
      <c r="AO451" s="124" t="str">
        <f>IF($B451="","",IF(AO$3=0,"n.b.",INDEX(SRC_Woningetalage!$A$1:$ZZ$501,$A451,AO$3)))</f>
        <v/>
      </c>
      <c r="AP451" s="124" t="str">
        <f>IF($B451="","",IF(AP$3=0,"n.b.",INDEX(SRC_Woningetalage!$A$1:$ZZ$501,$A451,AP$3)))</f>
        <v/>
      </c>
      <c r="AQ451" s="124" t="str">
        <f>IF($B451="","",IF(AQ$3=0,"n.b.",INDEX(SRC_Woningetalage!$A$1:$ZZ$501,$A451,AQ$3)))</f>
        <v/>
      </c>
      <c r="AR451" s="124" t="str">
        <f>IF($B451="","",IF(AR$3=0,"n.b.",INDEX(SRC_Woningetalage!$A$1:$ZZ$501,$A451,AR$3)))</f>
        <v/>
      </c>
      <c r="AS451" s="124" t="str">
        <f>IF($B451="","",IF(AS$3=0,"n.b.",INDEX(SRC_Woningetalage!$A$1:$ZZ$501,$A451,AS$3)))</f>
        <v/>
      </c>
      <c r="AT451" s="124" t="str">
        <f>IF($B451="","",IF(AT$3=0,"n.b.",INDEX(SRC_Woningetalage!$A$1:$ZZ$501,$A451,AT$3)))</f>
        <v/>
      </c>
      <c r="AU451" s="124" t="str">
        <f>IF($B451="","",IF(AU$3=0,"n.b.",INDEX(SRC_Woningetalage!$A$1:$ZZ$501,$A451,AU$3)))</f>
        <v/>
      </c>
      <c r="AV451" s="124" t="str">
        <f>IF($B451="","",IF(AV$3=0,"n.b.",INDEX(SRC_Woningetalage!$A$1:$ZZ$501,$A451,AV$3)))</f>
        <v/>
      </c>
      <c r="AW451" s="124" t="str">
        <f>IF($B451="","",IF(AW$3=0,"n.b.",INDEX(SRC_Woningetalage!$A$1:$ZZ$501,$A451,AW$3)))</f>
        <v/>
      </c>
      <c r="AX451" s="124" t="str">
        <f>IF($B451="","",IF(AX$3=0,"n.b.",INDEX(SRC_Woningetalage!$A$1:$ZZ$501,$A451,AX$3)))</f>
        <v/>
      </c>
      <c r="AY451" s="124" t="str">
        <f>IF($B451="","",IF(AY$3=0,"n.b.",INDEX(SRC_Woningetalage!$A$1:$ZZ$501,$A451,AY$3)))</f>
        <v/>
      </c>
      <c r="AZ451" s="124" t="str">
        <f>IF($B451="","",IF(AZ$3=0,"n.b.",INDEX(SRC_Woningetalage!$A$1:$ZZ$501,$A451,AZ$3)))</f>
        <v/>
      </c>
      <c r="BA451" s="124" t="str">
        <f>IF($B451="","",IF(BA$3=0,"n.b.",INDEX(SRC_Woningetalage!$A$1:$ZZ$501,$A451,BA$3)))</f>
        <v/>
      </c>
      <c r="BB451" s="124" t="str">
        <f>IF($B451="","",IF(BB$3=0,"n.b.",INDEX(SRC_Woningetalage!$A$1:$ZZ$501,$A451,BB$3)))</f>
        <v/>
      </c>
      <c r="BC451" s="124" t="str">
        <f>IF($B451="","",IFERROR(_xlfn.NUMBERVALUE(E451&amp;"",",","."),"n.b."))</f>
        <v/>
      </c>
      <c r="BD451" s="124" t="str">
        <f>IF($B451="","",IFERROR(_xlfn.NUMBERVALUE(M451&amp;"",",","."),"n.b."))</f>
        <v/>
      </c>
      <c r="BE451" s="124" t="str">
        <f>IF($B451="","",IFERROR(AB451+AC451+AD451,"n.b."))</f>
        <v/>
      </c>
      <c r="BF451" s="124" t="str">
        <f>IF($B451="","",IFERROR(AE451+AF451+AG451,"n.b."))</f>
        <v/>
      </c>
      <c r="BG451" s="124" t="str">
        <f>IF($B451="","",IFERROR(AH451+AI451+AJ451,"n.b."))</f>
        <v/>
      </c>
      <c r="BH451" s="124" t="str">
        <f>IF($B451="","",IFERROR(AK451+AL451+AM451,"n.b."))</f>
        <v/>
      </c>
      <c r="BI451" s="124" t="str">
        <f>IF($B451="","",IFERROR(SUMIF($AB$5:$AM$5,"&lt;="&amp;P_PeilMaand,AB451:AM451),"n.b."))</f>
        <v/>
      </c>
      <c r="BJ451" s="124" t="str">
        <f>IF($B451="","",IFERROR(SUM(AB451:AM451)-BI451,"n.b."))</f>
        <v/>
      </c>
      <c r="BK451" s="124" t="str">
        <f>IF($B451="","",IFERROR(IF(ABS(Q451-(T451+SUM(AB451:AM451)+AS451+AU451))&gt;P_Tol,1,0),1))</f>
        <v/>
      </c>
      <c r="BL451" s="124" t="str">
        <f>IF($B451="","",IFERROR(IF(ABS(AA451-(Q451-Z451))&gt;P_Tol,1,0),1))</f>
        <v/>
      </c>
      <c r="BM451" s="124" t="str">
        <f>IF($B451="","",IFERROR(IF(ABS(Z451-(T451+W451))&gt;P_Tol,1,0),1))</f>
        <v/>
      </c>
      <c r="BN451" s="124" t="str">
        <f>IF($B451="","",IFERROR(IF(ABS(W451-BI451)&gt;P_Tol,1,0),1))</f>
        <v/>
      </c>
      <c r="BO451" s="124" t="str">
        <f>IF($B451="","",IFERROR(IF(OR(ABS(R451+S451-T451)&gt;P_Tol,ABS(U451+V451-W451)&gt;P_Tol,ABS(X451+Y451-Z451)&gt;P_Tol),1,0),1))</f>
        <v/>
      </c>
      <c r="BP451" s="124" t="str">
        <f>IF($B451="","",IFERROR(IF(OR(ABS(AR451-SUM(AB451:AM451))&gt;P_Tol,ABS(AS451-(AN451+AO451+AP451+AQ451))&gt;P_Tol),1,0),1))</f>
        <v/>
      </c>
      <c r="BQ451" s="124" t="str">
        <f>IF($B451="","",IFERROR(IF(ABS(AT451)+ABS(AV451)+ABS(AW451)+ABS(AX451)+ABS(AY451)+ABS(AZ451)+ABS(BA451)+ABS(BB451)&gt;0,1,0),1))</f>
        <v/>
      </c>
      <c r="BR451" s="124" t="str">
        <f>IF($B451="","",COUNTIF(STG_ZPMW03!$B$6:$B$505,B451))</f>
        <v/>
      </c>
      <c r="BS451" s="124" t="str">
        <f>IF($B451="","",COUNTIF($B$6:$B$505,B451))</f>
        <v/>
      </c>
      <c r="BT451" s="124" t="str">
        <f>IF($B451="","",IF(BR451=0,0,IF(INDEX(STG_ZPMW03!$I$6:$I$505,MATCH(B451,STG_ZPMW03!$B$6:$B$505,0))=J451&amp;"",0,1)))</f>
        <v/>
      </c>
      <c r="BU451" s="124" t="str">
        <f>IF($B451="","",IFERROR(IF(ABS(INDEX(Mapping!$D$5:$D$104,MATCH(B451,Mapping!$A$5:$A$104,0))-Q451)&gt;P_Tol,1,0),0))</f>
        <v/>
      </c>
      <c r="BV451" s="124" t="str">
        <f>IF($B451="","",IFERROR(IF(AND(INDEX(Mapping!$G$5:$G$104,MATCH(B451,Mapping!$A$5:$A$104,0))="Nee",ABS(Q451)+ABS(Z451)+ABS(AR451)&gt;0),1,0),0))</f>
        <v/>
      </c>
      <c r="BW451" s="124" t="str">
        <f>IF($B451="","",IF(COUNTIF(Mapping!$A$5:$A$104,B451)&gt;0,1,0))</f>
        <v/>
      </c>
      <c r="BX451" s="124" t="str">
        <f>IF($B451="","",IF(BR451=0,COUNTIF($BR$6:BR451,0),""))</f>
        <v/>
      </c>
    </row>
    <row r="452">
      <c r="A452" s="15" t="n">
        <v>448</v>
      </c>
      <c r="B452" t="str">
        <f>IF(B$3=0,"",IF(INDEX(SRC_Woningetalage!$A$1:$ZZ$501,$A452,B$3)&amp;""="","",INDEX(SRC_Woningetalage!$A$1:$ZZ$501,$A452,B$3)&amp;""))</f>
        <v/>
      </c>
      <c r="C452" t="str">
        <f>IF($B452="","",IF(C$3=0,"n.b.",INDEX(SRC_Woningetalage!$A$1:$ZZ$501,$A452,C$3)))</f>
        <v/>
      </c>
      <c r="D452" t="str">
        <f>IF($B452="","",IF(D$3=0,"n.b.",INDEX(SRC_Woningetalage!$A$1:$ZZ$501,$A452,D$3)))</f>
        <v/>
      </c>
      <c r="E452" t="str">
        <f>IF($B452="","",IF(E$3=0,"n.b.",INDEX(SRC_Woningetalage!$A$1:$ZZ$501,$A452,E$3)))</f>
        <v/>
      </c>
      <c r="F452" t="str">
        <f>IF($B452="","",IF(F$3=0,"n.b.",INDEX(SRC_Woningetalage!$A$1:$ZZ$501,$A452,F$3)))</f>
        <v/>
      </c>
      <c r="G452" t="str">
        <f>IF($B452="","",IF(G$3=0,"n.b.",INDEX(SRC_Woningetalage!$A$1:$ZZ$501,$A452,G$3)))</f>
        <v/>
      </c>
      <c r="H452" t="str">
        <f>IF($B452="","",IF(H$3=0,"n.b.",INDEX(SRC_Woningetalage!$A$1:$ZZ$501,$A452,H$3)))</f>
        <v/>
      </c>
      <c r="I452" t="str">
        <f>IF($B452="","",IF(I$3=0,"n.b.",INDEX(SRC_Woningetalage!$A$1:$ZZ$501,$A452,I$3)))</f>
        <v/>
      </c>
      <c r="J452" t="str">
        <f>IF($B452="","",IF(J$3=0,"n.b.",INDEX(SRC_Woningetalage!$A$1:$ZZ$501,$A452,J$3)))</f>
        <v/>
      </c>
      <c r="K452" t="str">
        <f>IF($B452="","",IF(K$3=0,"n.b.",INDEX(SRC_Woningetalage!$A$1:$ZZ$501,$A452,K$3)))</f>
        <v/>
      </c>
      <c r="L452" t="str">
        <f>IF($B452="","",IF(L$3=0,"n.b.",INDEX(SRC_Woningetalage!$A$1:$ZZ$501,$A452,L$3)))</f>
        <v/>
      </c>
      <c r="M452" t="str">
        <f>IF($B452="","",IF(M$3=0,"n.b.",INDEX(SRC_Woningetalage!$A$1:$ZZ$501,$A452,M$3)))</f>
        <v/>
      </c>
      <c r="N452" t="str">
        <f>IF($B452="","",IF(N$3=0,"n.b.",INDEX(SRC_Woningetalage!$A$1:$ZZ$501,$A452,N$3)))</f>
        <v/>
      </c>
      <c r="O452" t="str">
        <f>IF($B452="","",IF(O$3=0,"n.b.",INDEX(SRC_Woningetalage!$A$1:$ZZ$501,$A452,O$3)))</f>
        <v/>
      </c>
      <c r="P452" t="str">
        <f>IF($B452="","",IF(P$3=0,"n.b.",INDEX(SRC_Woningetalage!$A$1:$ZZ$501,$A452,P$3)))</f>
        <v/>
      </c>
      <c r="Q452" s="124" t="str">
        <f>IF($B452="","",IF(Q$3=0,"n.b.",INDEX(SRC_Woningetalage!$A$1:$ZZ$501,$A452,Q$3)))</f>
        <v/>
      </c>
      <c r="R452" s="124" t="str">
        <f>IF($B452="","",IF(R$3=0,"n.b.",INDEX(SRC_Woningetalage!$A$1:$ZZ$501,$A452,R$3)))</f>
        <v/>
      </c>
      <c r="S452" s="124" t="str">
        <f>IF($B452="","",IF(S$3=0,"n.b.",INDEX(SRC_Woningetalage!$A$1:$ZZ$501,$A452,S$3)))</f>
        <v/>
      </c>
      <c r="T452" s="124" t="str">
        <f>IF($B452="","",IF(T$3=0,"n.b.",INDEX(SRC_Woningetalage!$A$1:$ZZ$501,$A452,T$3)))</f>
        <v/>
      </c>
      <c r="U452" s="124" t="str">
        <f>IF($B452="","",IF(U$3=0,"n.b.",INDEX(SRC_Woningetalage!$A$1:$ZZ$501,$A452,U$3)))</f>
        <v/>
      </c>
      <c r="V452" s="124" t="str">
        <f>IF($B452="","",IF(V$3=0,"n.b.",INDEX(SRC_Woningetalage!$A$1:$ZZ$501,$A452,V$3)))</f>
        <v/>
      </c>
      <c r="W452" s="124" t="str">
        <f>IF($B452="","",IF(W$3=0,"n.b.",INDEX(SRC_Woningetalage!$A$1:$ZZ$501,$A452,W$3)))</f>
        <v/>
      </c>
      <c r="X452" s="124" t="str">
        <f>IF($B452="","",IF(X$3=0,"n.b.",INDEX(SRC_Woningetalage!$A$1:$ZZ$501,$A452,X$3)))</f>
        <v/>
      </c>
      <c r="Y452" s="124" t="str">
        <f>IF($B452="","",IF(Y$3=0,"n.b.",INDEX(SRC_Woningetalage!$A$1:$ZZ$501,$A452,Y$3)))</f>
        <v/>
      </c>
      <c r="Z452" s="124" t="str">
        <f>IF($B452="","",IF(Z$3=0,"n.b.",INDEX(SRC_Woningetalage!$A$1:$ZZ$501,$A452,Z$3)))</f>
        <v/>
      </c>
      <c r="AA452" s="124" t="str">
        <f>IF($B452="","",IF(AA$3=0,"n.b.",INDEX(SRC_Woningetalage!$A$1:$ZZ$501,$A452,AA$3)))</f>
        <v/>
      </c>
      <c r="AB452" s="124" t="str">
        <f>IF($B452="","",IF(AB$3=0,"n.b.",INDEX(SRC_Woningetalage!$A$1:$ZZ$501,$A452,AB$3)))</f>
        <v/>
      </c>
      <c r="AC452" s="124" t="str">
        <f>IF($B452="","",IF(AC$3=0,"n.b.",INDEX(SRC_Woningetalage!$A$1:$ZZ$501,$A452,AC$3)))</f>
        <v/>
      </c>
      <c r="AD452" s="124" t="str">
        <f>IF($B452="","",IF(AD$3=0,"n.b.",INDEX(SRC_Woningetalage!$A$1:$ZZ$501,$A452,AD$3)))</f>
        <v/>
      </c>
      <c r="AE452" s="124" t="str">
        <f>IF($B452="","",IF(AE$3=0,"n.b.",INDEX(SRC_Woningetalage!$A$1:$ZZ$501,$A452,AE$3)))</f>
        <v/>
      </c>
      <c r="AF452" s="124" t="str">
        <f>IF($B452="","",IF(AF$3=0,"n.b.",INDEX(SRC_Woningetalage!$A$1:$ZZ$501,$A452,AF$3)))</f>
        <v/>
      </c>
      <c r="AG452" s="124" t="str">
        <f>IF($B452="","",IF(AG$3=0,"n.b.",INDEX(SRC_Woningetalage!$A$1:$ZZ$501,$A452,AG$3)))</f>
        <v/>
      </c>
      <c r="AH452" s="124" t="str">
        <f>IF($B452="","",IF(AH$3=0,"n.b.",INDEX(SRC_Woningetalage!$A$1:$ZZ$501,$A452,AH$3)))</f>
        <v/>
      </c>
      <c r="AI452" s="124" t="str">
        <f>IF($B452="","",IF(AI$3=0,"n.b.",INDEX(SRC_Woningetalage!$A$1:$ZZ$501,$A452,AI$3)))</f>
        <v/>
      </c>
      <c r="AJ452" s="124" t="str">
        <f>IF($B452="","",IF(AJ$3=0,"n.b.",INDEX(SRC_Woningetalage!$A$1:$ZZ$501,$A452,AJ$3)))</f>
        <v/>
      </c>
      <c r="AK452" s="124" t="str">
        <f>IF($B452="","",IF(AK$3=0,"n.b.",INDEX(SRC_Woningetalage!$A$1:$ZZ$501,$A452,AK$3)))</f>
        <v/>
      </c>
      <c r="AL452" s="124" t="str">
        <f>IF($B452="","",IF(AL$3=0,"n.b.",INDEX(SRC_Woningetalage!$A$1:$ZZ$501,$A452,AL$3)))</f>
        <v/>
      </c>
      <c r="AM452" s="124" t="str">
        <f>IF($B452="","",IF(AM$3=0,"n.b.",INDEX(SRC_Woningetalage!$A$1:$ZZ$501,$A452,AM$3)))</f>
        <v/>
      </c>
      <c r="AN452" s="124" t="str">
        <f>IF($B452="","",IF(AN$3=0,"n.b.",INDEX(SRC_Woningetalage!$A$1:$ZZ$501,$A452,AN$3)))</f>
        <v/>
      </c>
      <c r="AO452" s="124" t="str">
        <f>IF($B452="","",IF(AO$3=0,"n.b.",INDEX(SRC_Woningetalage!$A$1:$ZZ$501,$A452,AO$3)))</f>
        <v/>
      </c>
      <c r="AP452" s="124" t="str">
        <f>IF($B452="","",IF(AP$3=0,"n.b.",INDEX(SRC_Woningetalage!$A$1:$ZZ$501,$A452,AP$3)))</f>
        <v/>
      </c>
      <c r="AQ452" s="124" t="str">
        <f>IF($B452="","",IF(AQ$3=0,"n.b.",INDEX(SRC_Woningetalage!$A$1:$ZZ$501,$A452,AQ$3)))</f>
        <v/>
      </c>
      <c r="AR452" s="124" t="str">
        <f>IF($B452="","",IF(AR$3=0,"n.b.",INDEX(SRC_Woningetalage!$A$1:$ZZ$501,$A452,AR$3)))</f>
        <v/>
      </c>
      <c r="AS452" s="124" t="str">
        <f>IF($B452="","",IF(AS$3=0,"n.b.",INDEX(SRC_Woningetalage!$A$1:$ZZ$501,$A452,AS$3)))</f>
        <v/>
      </c>
      <c r="AT452" s="124" t="str">
        <f>IF($B452="","",IF(AT$3=0,"n.b.",INDEX(SRC_Woningetalage!$A$1:$ZZ$501,$A452,AT$3)))</f>
        <v/>
      </c>
      <c r="AU452" s="124" t="str">
        <f>IF($B452="","",IF(AU$3=0,"n.b.",INDEX(SRC_Woningetalage!$A$1:$ZZ$501,$A452,AU$3)))</f>
        <v/>
      </c>
      <c r="AV452" s="124" t="str">
        <f>IF($B452="","",IF(AV$3=0,"n.b.",INDEX(SRC_Woningetalage!$A$1:$ZZ$501,$A452,AV$3)))</f>
        <v/>
      </c>
      <c r="AW452" s="124" t="str">
        <f>IF($B452="","",IF(AW$3=0,"n.b.",INDEX(SRC_Woningetalage!$A$1:$ZZ$501,$A452,AW$3)))</f>
        <v/>
      </c>
      <c r="AX452" s="124" t="str">
        <f>IF($B452="","",IF(AX$3=0,"n.b.",INDEX(SRC_Woningetalage!$A$1:$ZZ$501,$A452,AX$3)))</f>
        <v/>
      </c>
      <c r="AY452" s="124" t="str">
        <f>IF($B452="","",IF(AY$3=0,"n.b.",INDEX(SRC_Woningetalage!$A$1:$ZZ$501,$A452,AY$3)))</f>
        <v/>
      </c>
      <c r="AZ452" s="124" t="str">
        <f>IF($B452="","",IF(AZ$3=0,"n.b.",INDEX(SRC_Woningetalage!$A$1:$ZZ$501,$A452,AZ$3)))</f>
        <v/>
      </c>
      <c r="BA452" s="124" t="str">
        <f>IF($B452="","",IF(BA$3=0,"n.b.",INDEX(SRC_Woningetalage!$A$1:$ZZ$501,$A452,BA$3)))</f>
        <v/>
      </c>
      <c r="BB452" s="124" t="str">
        <f>IF($B452="","",IF(BB$3=0,"n.b.",INDEX(SRC_Woningetalage!$A$1:$ZZ$501,$A452,BB$3)))</f>
        <v/>
      </c>
      <c r="BC452" s="124" t="str">
        <f>IF($B452="","",IFERROR(_xlfn.NUMBERVALUE(E452&amp;"",",","."),"n.b."))</f>
        <v/>
      </c>
      <c r="BD452" s="124" t="str">
        <f>IF($B452="","",IFERROR(_xlfn.NUMBERVALUE(M452&amp;"",",","."),"n.b."))</f>
        <v/>
      </c>
      <c r="BE452" s="124" t="str">
        <f>IF($B452="","",IFERROR(AB452+AC452+AD452,"n.b."))</f>
        <v/>
      </c>
      <c r="BF452" s="124" t="str">
        <f>IF($B452="","",IFERROR(AE452+AF452+AG452,"n.b."))</f>
        <v/>
      </c>
      <c r="BG452" s="124" t="str">
        <f>IF($B452="","",IFERROR(AH452+AI452+AJ452,"n.b."))</f>
        <v/>
      </c>
      <c r="BH452" s="124" t="str">
        <f>IF($B452="","",IFERROR(AK452+AL452+AM452,"n.b."))</f>
        <v/>
      </c>
      <c r="BI452" s="124" t="str">
        <f>IF($B452="","",IFERROR(SUMIF($AB$5:$AM$5,"&lt;="&amp;P_PeilMaand,AB452:AM452),"n.b."))</f>
        <v/>
      </c>
      <c r="BJ452" s="124" t="str">
        <f>IF($B452="","",IFERROR(SUM(AB452:AM452)-BI452,"n.b."))</f>
        <v/>
      </c>
      <c r="BK452" s="124" t="str">
        <f>IF($B452="","",IFERROR(IF(ABS(Q452-(T452+SUM(AB452:AM452)+AS452+AU452))&gt;P_Tol,1,0),1))</f>
        <v/>
      </c>
      <c r="BL452" s="124" t="str">
        <f>IF($B452="","",IFERROR(IF(ABS(AA452-(Q452-Z452))&gt;P_Tol,1,0),1))</f>
        <v/>
      </c>
      <c r="BM452" s="124" t="str">
        <f>IF($B452="","",IFERROR(IF(ABS(Z452-(T452+W452))&gt;P_Tol,1,0),1))</f>
        <v/>
      </c>
      <c r="BN452" s="124" t="str">
        <f>IF($B452="","",IFERROR(IF(ABS(W452-BI452)&gt;P_Tol,1,0),1))</f>
        <v/>
      </c>
      <c r="BO452" s="124" t="str">
        <f>IF($B452="","",IFERROR(IF(OR(ABS(R452+S452-T452)&gt;P_Tol,ABS(U452+V452-W452)&gt;P_Tol,ABS(X452+Y452-Z452)&gt;P_Tol),1,0),1))</f>
        <v/>
      </c>
      <c r="BP452" s="124" t="str">
        <f>IF($B452="","",IFERROR(IF(OR(ABS(AR452-SUM(AB452:AM452))&gt;P_Tol,ABS(AS452-(AN452+AO452+AP452+AQ452))&gt;P_Tol),1,0),1))</f>
        <v/>
      </c>
      <c r="BQ452" s="124" t="str">
        <f>IF($B452="","",IFERROR(IF(ABS(AT452)+ABS(AV452)+ABS(AW452)+ABS(AX452)+ABS(AY452)+ABS(AZ452)+ABS(BA452)+ABS(BB452)&gt;0,1,0),1))</f>
        <v/>
      </c>
      <c r="BR452" s="124" t="str">
        <f>IF($B452="","",COUNTIF(STG_ZPMW03!$B$6:$B$505,B452))</f>
        <v/>
      </c>
      <c r="BS452" s="124" t="str">
        <f>IF($B452="","",COUNTIF($B$6:$B$505,B452))</f>
        <v/>
      </c>
      <c r="BT452" s="124" t="str">
        <f>IF($B452="","",IF(BR452=0,0,IF(INDEX(STG_ZPMW03!$I$6:$I$505,MATCH(B452,STG_ZPMW03!$B$6:$B$505,0))=J452&amp;"",0,1)))</f>
        <v/>
      </c>
      <c r="BU452" s="124" t="str">
        <f>IF($B452="","",IFERROR(IF(ABS(INDEX(Mapping!$D$5:$D$104,MATCH(B452,Mapping!$A$5:$A$104,0))-Q452)&gt;P_Tol,1,0),0))</f>
        <v/>
      </c>
      <c r="BV452" s="124" t="str">
        <f>IF($B452="","",IFERROR(IF(AND(INDEX(Mapping!$G$5:$G$104,MATCH(B452,Mapping!$A$5:$A$104,0))="Nee",ABS(Q452)+ABS(Z452)+ABS(AR452)&gt;0),1,0),0))</f>
        <v/>
      </c>
      <c r="BW452" s="124" t="str">
        <f>IF($B452="","",IF(COUNTIF(Mapping!$A$5:$A$104,B452)&gt;0,1,0))</f>
        <v/>
      </c>
      <c r="BX452" s="124" t="str">
        <f>IF($B452="","",IF(BR452=0,COUNTIF($BR$6:BR452,0),""))</f>
        <v/>
      </c>
    </row>
    <row r="453">
      <c r="A453" s="15" t="n">
        <v>449</v>
      </c>
      <c r="B453" t="str">
        <f>IF(B$3=0,"",IF(INDEX(SRC_Woningetalage!$A$1:$ZZ$501,$A453,B$3)&amp;""="","",INDEX(SRC_Woningetalage!$A$1:$ZZ$501,$A453,B$3)&amp;""))</f>
        <v/>
      </c>
      <c r="C453" t="str">
        <f>IF($B453="","",IF(C$3=0,"n.b.",INDEX(SRC_Woningetalage!$A$1:$ZZ$501,$A453,C$3)))</f>
        <v/>
      </c>
      <c r="D453" t="str">
        <f>IF($B453="","",IF(D$3=0,"n.b.",INDEX(SRC_Woningetalage!$A$1:$ZZ$501,$A453,D$3)))</f>
        <v/>
      </c>
      <c r="E453" t="str">
        <f>IF($B453="","",IF(E$3=0,"n.b.",INDEX(SRC_Woningetalage!$A$1:$ZZ$501,$A453,E$3)))</f>
        <v/>
      </c>
      <c r="F453" t="str">
        <f>IF($B453="","",IF(F$3=0,"n.b.",INDEX(SRC_Woningetalage!$A$1:$ZZ$501,$A453,F$3)))</f>
        <v/>
      </c>
      <c r="G453" t="str">
        <f>IF($B453="","",IF(G$3=0,"n.b.",INDEX(SRC_Woningetalage!$A$1:$ZZ$501,$A453,G$3)))</f>
        <v/>
      </c>
      <c r="H453" t="str">
        <f>IF($B453="","",IF(H$3=0,"n.b.",INDEX(SRC_Woningetalage!$A$1:$ZZ$501,$A453,H$3)))</f>
        <v/>
      </c>
      <c r="I453" t="str">
        <f>IF($B453="","",IF(I$3=0,"n.b.",INDEX(SRC_Woningetalage!$A$1:$ZZ$501,$A453,I$3)))</f>
        <v/>
      </c>
      <c r="J453" t="str">
        <f>IF($B453="","",IF(J$3=0,"n.b.",INDEX(SRC_Woningetalage!$A$1:$ZZ$501,$A453,J$3)))</f>
        <v/>
      </c>
      <c r="K453" t="str">
        <f>IF($B453="","",IF(K$3=0,"n.b.",INDEX(SRC_Woningetalage!$A$1:$ZZ$501,$A453,K$3)))</f>
        <v/>
      </c>
      <c r="L453" t="str">
        <f>IF($B453="","",IF(L$3=0,"n.b.",INDEX(SRC_Woningetalage!$A$1:$ZZ$501,$A453,L$3)))</f>
        <v/>
      </c>
      <c r="M453" t="str">
        <f>IF($B453="","",IF(M$3=0,"n.b.",INDEX(SRC_Woningetalage!$A$1:$ZZ$501,$A453,M$3)))</f>
        <v/>
      </c>
      <c r="N453" t="str">
        <f>IF($B453="","",IF(N$3=0,"n.b.",INDEX(SRC_Woningetalage!$A$1:$ZZ$501,$A453,N$3)))</f>
        <v/>
      </c>
      <c r="O453" t="str">
        <f>IF($B453="","",IF(O$3=0,"n.b.",INDEX(SRC_Woningetalage!$A$1:$ZZ$501,$A453,O$3)))</f>
        <v/>
      </c>
      <c r="P453" t="str">
        <f>IF($B453="","",IF(P$3=0,"n.b.",INDEX(SRC_Woningetalage!$A$1:$ZZ$501,$A453,P$3)))</f>
        <v/>
      </c>
      <c r="Q453" s="124" t="str">
        <f>IF($B453="","",IF(Q$3=0,"n.b.",INDEX(SRC_Woningetalage!$A$1:$ZZ$501,$A453,Q$3)))</f>
        <v/>
      </c>
      <c r="R453" s="124" t="str">
        <f>IF($B453="","",IF(R$3=0,"n.b.",INDEX(SRC_Woningetalage!$A$1:$ZZ$501,$A453,R$3)))</f>
        <v/>
      </c>
      <c r="S453" s="124" t="str">
        <f>IF($B453="","",IF(S$3=0,"n.b.",INDEX(SRC_Woningetalage!$A$1:$ZZ$501,$A453,S$3)))</f>
        <v/>
      </c>
      <c r="T453" s="124" t="str">
        <f>IF($B453="","",IF(T$3=0,"n.b.",INDEX(SRC_Woningetalage!$A$1:$ZZ$501,$A453,T$3)))</f>
        <v/>
      </c>
      <c r="U453" s="124" t="str">
        <f>IF($B453="","",IF(U$3=0,"n.b.",INDEX(SRC_Woningetalage!$A$1:$ZZ$501,$A453,U$3)))</f>
        <v/>
      </c>
      <c r="V453" s="124" t="str">
        <f>IF($B453="","",IF(V$3=0,"n.b.",INDEX(SRC_Woningetalage!$A$1:$ZZ$501,$A453,V$3)))</f>
        <v/>
      </c>
      <c r="W453" s="124" t="str">
        <f>IF($B453="","",IF(W$3=0,"n.b.",INDEX(SRC_Woningetalage!$A$1:$ZZ$501,$A453,W$3)))</f>
        <v/>
      </c>
      <c r="X453" s="124" t="str">
        <f>IF($B453="","",IF(X$3=0,"n.b.",INDEX(SRC_Woningetalage!$A$1:$ZZ$501,$A453,X$3)))</f>
        <v/>
      </c>
      <c r="Y453" s="124" t="str">
        <f>IF($B453="","",IF(Y$3=0,"n.b.",INDEX(SRC_Woningetalage!$A$1:$ZZ$501,$A453,Y$3)))</f>
        <v/>
      </c>
      <c r="Z453" s="124" t="str">
        <f>IF($B453="","",IF(Z$3=0,"n.b.",INDEX(SRC_Woningetalage!$A$1:$ZZ$501,$A453,Z$3)))</f>
        <v/>
      </c>
      <c r="AA453" s="124" t="str">
        <f>IF($B453="","",IF(AA$3=0,"n.b.",INDEX(SRC_Woningetalage!$A$1:$ZZ$501,$A453,AA$3)))</f>
        <v/>
      </c>
      <c r="AB453" s="124" t="str">
        <f>IF($B453="","",IF(AB$3=0,"n.b.",INDEX(SRC_Woningetalage!$A$1:$ZZ$501,$A453,AB$3)))</f>
        <v/>
      </c>
      <c r="AC453" s="124" t="str">
        <f>IF($B453="","",IF(AC$3=0,"n.b.",INDEX(SRC_Woningetalage!$A$1:$ZZ$501,$A453,AC$3)))</f>
        <v/>
      </c>
      <c r="AD453" s="124" t="str">
        <f>IF($B453="","",IF(AD$3=0,"n.b.",INDEX(SRC_Woningetalage!$A$1:$ZZ$501,$A453,AD$3)))</f>
        <v/>
      </c>
      <c r="AE453" s="124" t="str">
        <f>IF($B453="","",IF(AE$3=0,"n.b.",INDEX(SRC_Woningetalage!$A$1:$ZZ$501,$A453,AE$3)))</f>
        <v/>
      </c>
      <c r="AF453" s="124" t="str">
        <f>IF($B453="","",IF(AF$3=0,"n.b.",INDEX(SRC_Woningetalage!$A$1:$ZZ$501,$A453,AF$3)))</f>
        <v/>
      </c>
      <c r="AG453" s="124" t="str">
        <f>IF($B453="","",IF(AG$3=0,"n.b.",INDEX(SRC_Woningetalage!$A$1:$ZZ$501,$A453,AG$3)))</f>
        <v/>
      </c>
      <c r="AH453" s="124" t="str">
        <f>IF($B453="","",IF(AH$3=0,"n.b.",INDEX(SRC_Woningetalage!$A$1:$ZZ$501,$A453,AH$3)))</f>
        <v/>
      </c>
      <c r="AI453" s="124" t="str">
        <f>IF($B453="","",IF(AI$3=0,"n.b.",INDEX(SRC_Woningetalage!$A$1:$ZZ$501,$A453,AI$3)))</f>
        <v/>
      </c>
      <c r="AJ453" s="124" t="str">
        <f>IF($B453="","",IF(AJ$3=0,"n.b.",INDEX(SRC_Woningetalage!$A$1:$ZZ$501,$A453,AJ$3)))</f>
        <v/>
      </c>
      <c r="AK453" s="124" t="str">
        <f>IF($B453="","",IF(AK$3=0,"n.b.",INDEX(SRC_Woningetalage!$A$1:$ZZ$501,$A453,AK$3)))</f>
        <v/>
      </c>
      <c r="AL453" s="124" t="str">
        <f>IF($B453="","",IF(AL$3=0,"n.b.",INDEX(SRC_Woningetalage!$A$1:$ZZ$501,$A453,AL$3)))</f>
        <v/>
      </c>
      <c r="AM453" s="124" t="str">
        <f>IF($B453="","",IF(AM$3=0,"n.b.",INDEX(SRC_Woningetalage!$A$1:$ZZ$501,$A453,AM$3)))</f>
        <v/>
      </c>
      <c r="AN453" s="124" t="str">
        <f>IF($B453="","",IF(AN$3=0,"n.b.",INDEX(SRC_Woningetalage!$A$1:$ZZ$501,$A453,AN$3)))</f>
        <v/>
      </c>
      <c r="AO453" s="124" t="str">
        <f>IF($B453="","",IF(AO$3=0,"n.b.",INDEX(SRC_Woningetalage!$A$1:$ZZ$501,$A453,AO$3)))</f>
        <v/>
      </c>
      <c r="AP453" s="124" t="str">
        <f>IF($B453="","",IF(AP$3=0,"n.b.",INDEX(SRC_Woningetalage!$A$1:$ZZ$501,$A453,AP$3)))</f>
        <v/>
      </c>
      <c r="AQ453" s="124" t="str">
        <f>IF($B453="","",IF(AQ$3=0,"n.b.",INDEX(SRC_Woningetalage!$A$1:$ZZ$501,$A453,AQ$3)))</f>
        <v/>
      </c>
      <c r="AR453" s="124" t="str">
        <f>IF($B453="","",IF(AR$3=0,"n.b.",INDEX(SRC_Woningetalage!$A$1:$ZZ$501,$A453,AR$3)))</f>
        <v/>
      </c>
      <c r="AS453" s="124" t="str">
        <f>IF($B453="","",IF(AS$3=0,"n.b.",INDEX(SRC_Woningetalage!$A$1:$ZZ$501,$A453,AS$3)))</f>
        <v/>
      </c>
      <c r="AT453" s="124" t="str">
        <f>IF($B453="","",IF(AT$3=0,"n.b.",INDEX(SRC_Woningetalage!$A$1:$ZZ$501,$A453,AT$3)))</f>
        <v/>
      </c>
      <c r="AU453" s="124" t="str">
        <f>IF($B453="","",IF(AU$3=0,"n.b.",INDEX(SRC_Woningetalage!$A$1:$ZZ$501,$A453,AU$3)))</f>
        <v/>
      </c>
      <c r="AV453" s="124" t="str">
        <f>IF($B453="","",IF(AV$3=0,"n.b.",INDEX(SRC_Woningetalage!$A$1:$ZZ$501,$A453,AV$3)))</f>
        <v/>
      </c>
      <c r="AW453" s="124" t="str">
        <f>IF($B453="","",IF(AW$3=0,"n.b.",INDEX(SRC_Woningetalage!$A$1:$ZZ$501,$A453,AW$3)))</f>
        <v/>
      </c>
      <c r="AX453" s="124" t="str">
        <f>IF($B453="","",IF(AX$3=0,"n.b.",INDEX(SRC_Woningetalage!$A$1:$ZZ$501,$A453,AX$3)))</f>
        <v/>
      </c>
      <c r="AY453" s="124" t="str">
        <f>IF($B453="","",IF(AY$3=0,"n.b.",INDEX(SRC_Woningetalage!$A$1:$ZZ$501,$A453,AY$3)))</f>
        <v/>
      </c>
      <c r="AZ453" s="124" t="str">
        <f>IF($B453="","",IF(AZ$3=0,"n.b.",INDEX(SRC_Woningetalage!$A$1:$ZZ$501,$A453,AZ$3)))</f>
        <v/>
      </c>
      <c r="BA453" s="124" t="str">
        <f>IF($B453="","",IF(BA$3=0,"n.b.",INDEX(SRC_Woningetalage!$A$1:$ZZ$501,$A453,BA$3)))</f>
        <v/>
      </c>
      <c r="BB453" s="124" t="str">
        <f>IF($B453="","",IF(BB$3=0,"n.b.",INDEX(SRC_Woningetalage!$A$1:$ZZ$501,$A453,BB$3)))</f>
        <v/>
      </c>
      <c r="BC453" s="124" t="str">
        <f>IF($B453="","",IFERROR(_xlfn.NUMBERVALUE(E453&amp;"",",","."),"n.b."))</f>
        <v/>
      </c>
      <c r="BD453" s="124" t="str">
        <f>IF($B453="","",IFERROR(_xlfn.NUMBERVALUE(M453&amp;"",",","."),"n.b."))</f>
        <v/>
      </c>
      <c r="BE453" s="124" t="str">
        <f>IF($B453="","",IFERROR(AB453+AC453+AD453,"n.b."))</f>
        <v/>
      </c>
      <c r="BF453" s="124" t="str">
        <f>IF($B453="","",IFERROR(AE453+AF453+AG453,"n.b."))</f>
        <v/>
      </c>
      <c r="BG453" s="124" t="str">
        <f>IF($B453="","",IFERROR(AH453+AI453+AJ453,"n.b."))</f>
        <v/>
      </c>
      <c r="BH453" s="124" t="str">
        <f>IF($B453="","",IFERROR(AK453+AL453+AM453,"n.b."))</f>
        <v/>
      </c>
      <c r="BI453" s="124" t="str">
        <f>IF($B453="","",IFERROR(SUMIF($AB$5:$AM$5,"&lt;="&amp;P_PeilMaand,AB453:AM453),"n.b."))</f>
        <v/>
      </c>
      <c r="BJ453" s="124" t="str">
        <f>IF($B453="","",IFERROR(SUM(AB453:AM453)-BI453,"n.b."))</f>
        <v/>
      </c>
      <c r="BK453" s="124" t="str">
        <f>IF($B453="","",IFERROR(IF(ABS(Q453-(T453+SUM(AB453:AM453)+AS453+AU453))&gt;P_Tol,1,0),1))</f>
        <v/>
      </c>
      <c r="BL453" s="124" t="str">
        <f>IF($B453="","",IFERROR(IF(ABS(AA453-(Q453-Z453))&gt;P_Tol,1,0),1))</f>
        <v/>
      </c>
      <c r="BM453" s="124" t="str">
        <f>IF($B453="","",IFERROR(IF(ABS(Z453-(T453+W453))&gt;P_Tol,1,0),1))</f>
        <v/>
      </c>
      <c r="BN453" s="124" t="str">
        <f>IF($B453="","",IFERROR(IF(ABS(W453-BI453)&gt;P_Tol,1,0),1))</f>
        <v/>
      </c>
      <c r="BO453" s="124" t="str">
        <f>IF($B453="","",IFERROR(IF(OR(ABS(R453+S453-T453)&gt;P_Tol,ABS(U453+V453-W453)&gt;P_Tol,ABS(X453+Y453-Z453)&gt;P_Tol),1,0),1))</f>
        <v/>
      </c>
      <c r="BP453" s="124" t="str">
        <f>IF($B453="","",IFERROR(IF(OR(ABS(AR453-SUM(AB453:AM453))&gt;P_Tol,ABS(AS453-(AN453+AO453+AP453+AQ453))&gt;P_Tol),1,0),1))</f>
        <v/>
      </c>
      <c r="BQ453" s="124" t="str">
        <f>IF($B453="","",IFERROR(IF(ABS(AT453)+ABS(AV453)+ABS(AW453)+ABS(AX453)+ABS(AY453)+ABS(AZ453)+ABS(BA453)+ABS(BB453)&gt;0,1,0),1))</f>
        <v/>
      </c>
      <c r="BR453" s="124" t="str">
        <f>IF($B453="","",COUNTIF(STG_ZPMW03!$B$6:$B$505,B453))</f>
        <v/>
      </c>
      <c r="BS453" s="124" t="str">
        <f>IF($B453="","",COUNTIF($B$6:$B$505,B453))</f>
        <v/>
      </c>
      <c r="BT453" s="124" t="str">
        <f>IF($B453="","",IF(BR453=0,0,IF(INDEX(STG_ZPMW03!$I$6:$I$505,MATCH(B453,STG_ZPMW03!$B$6:$B$505,0))=J453&amp;"",0,1)))</f>
        <v/>
      </c>
      <c r="BU453" s="124" t="str">
        <f>IF($B453="","",IFERROR(IF(ABS(INDEX(Mapping!$D$5:$D$104,MATCH(B453,Mapping!$A$5:$A$104,0))-Q453)&gt;P_Tol,1,0),0))</f>
        <v/>
      </c>
      <c r="BV453" s="124" t="str">
        <f>IF($B453="","",IFERROR(IF(AND(INDEX(Mapping!$G$5:$G$104,MATCH(B453,Mapping!$A$5:$A$104,0))="Nee",ABS(Q453)+ABS(Z453)+ABS(AR453)&gt;0),1,0),0))</f>
        <v/>
      </c>
      <c r="BW453" s="124" t="str">
        <f>IF($B453="","",IF(COUNTIF(Mapping!$A$5:$A$104,B453)&gt;0,1,0))</f>
        <v/>
      </c>
      <c r="BX453" s="124" t="str">
        <f>IF($B453="","",IF(BR453=0,COUNTIF($BR$6:BR453,0),""))</f>
        <v/>
      </c>
    </row>
    <row r="454">
      <c r="A454" s="15" t="n">
        <v>450</v>
      </c>
      <c r="B454" t="str">
        <f>IF(B$3=0,"",IF(INDEX(SRC_Woningetalage!$A$1:$ZZ$501,$A454,B$3)&amp;""="","",INDEX(SRC_Woningetalage!$A$1:$ZZ$501,$A454,B$3)&amp;""))</f>
        <v/>
      </c>
      <c r="C454" t="str">
        <f>IF($B454="","",IF(C$3=0,"n.b.",INDEX(SRC_Woningetalage!$A$1:$ZZ$501,$A454,C$3)))</f>
        <v/>
      </c>
      <c r="D454" t="str">
        <f>IF($B454="","",IF(D$3=0,"n.b.",INDEX(SRC_Woningetalage!$A$1:$ZZ$501,$A454,D$3)))</f>
        <v/>
      </c>
      <c r="E454" t="str">
        <f>IF($B454="","",IF(E$3=0,"n.b.",INDEX(SRC_Woningetalage!$A$1:$ZZ$501,$A454,E$3)))</f>
        <v/>
      </c>
      <c r="F454" t="str">
        <f>IF($B454="","",IF(F$3=0,"n.b.",INDEX(SRC_Woningetalage!$A$1:$ZZ$501,$A454,F$3)))</f>
        <v/>
      </c>
      <c r="G454" t="str">
        <f>IF($B454="","",IF(G$3=0,"n.b.",INDEX(SRC_Woningetalage!$A$1:$ZZ$501,$A454,G$3)))</f>
        <v/>
      </c>
      <c r="H454" t="str">
        <f>IF($B454="","",IF(H$3=0,"n.b.",INDEX(SRC_Woningetalage!$A$1:$ZZ$501,$A454,H$3)))</f>
        <v/>
      </c>
      <c r="I454" t="str">
        <f>IF($B454="","",IF(I$3=0,"n.b.",INDEX(SRC_Woningetalage!$A$1:$ZZ$501,$A454,I$3)))</f>
        <v/>
      </c>
      <c r="J454" t="str">
        <f>IF($B454="","",IF(J$3=0,"n.b.",INDEX(SRC_Woningetalage!$A$1:$ZZ$501,$A454,J$3)))</f>
        <v/>
      </c>
      <c r="K454" t="str">
        <f>IF($B454="","",IF(K$3=0,"n.b.",INDEX(SRC_Woningetalage!$A$1:$ZZ$501,$A454,K$3)))</f>
        <v/>
      </c>
      <c r="L454" t="str">
        <f>IF($B454="","",IF(L$3=0,"n.b.",INDEX(SRC_Woningetalage!$A$1:$ZZ$501,$A454,L$3)))</f>
        <v/>
      </c>
      <c r="M454" t="str">
        <f>IF($B454="","",IF(M$3=0,"n.b.",INDEX(SRC_Woningetalage!$A$1:$ZZ$501,$A454,M$3)))</f>
        <v/>
      </c>
      <c r="N454" t="str">
        <f>IF($B454="","",IF(N$3=0,"n.b.",INDEX(SRC_Woningetalage!$A$1:$ZZ$501,$A454,N$3)))</f>
        <v/>
      </c>
      <c r="O454" t="str">
        <f>IF($B454="","",IF(O$3=0,"n.b.",INDEX(SRC_Woningetalage!$A$1:$ZZ$501,$A454,O$3)))</f>
        <v/>
      </c>
      <c r="P454" t="str">
        <f>IF($B454="","",IF(P$3=0,"n.b.",INDEX(SRC_Woningetalage!$A$1:$ZZ$501,$A454,P$3)))</f>
        <v/>
      </c>
      <c r="Q454" s="124" t="str">
        <f>IF($B454="","",IF(Q$3=0,"n.b.",INDEX(SRC_Woningetalage!$A$1:$ZZ$501,$A454,Q$3)))</f>
        <v/>
      </c>
      <c r="R454" s="124" t="str">
        <f>IF($B454="","",IF(R$3=0,"n.b.",INDEX(SRC_Woningetalage!$A$1:$ZZ$501,$A454,R$3)))</f>
        <v/>
      </c>
      <c r="S454" s="124" t="str">
        <f>IF($B454="","",IF(S$3=0,"n.b.",INDEX(SRC_Woningetalage!$A$1:$ZZ$501,$A454,S$3)))</f>
        <v/>
      </c>
      <c r="T454" s="124" t="str">
        <f>IF($B454="","",IF(T$3=0,"n.b.",INDEX(SRC_Woningetalage!$A$1:$ZZ$501,$A454,T$3)))</f>
        <v/>
      </c>
      <c r="U454" s="124" t="str">
        <f>IF($B454="","",IF(U$3=0,"n.b.",INDEX(SRC_Woningetalage!$A$1:$ZZ$501,$A454,U$3)))</f>
        <v/>
      </c>
      <c r="V454" s="124" t="str">
        <f>IF($B454="","",IF(V$3=0,"n.b.",INDEX(SRC_Woningetalage!$A$1:$ZZ$501,$A454,V$3)))</f>
        <v/>
      </c>
      <c r="W454" s="124" t="str">
        <f>IF($B454="","",IF(W$3=0,"n.b.",INDEX(SRC_Woningetalage!$A$1:$ZZ$501,$A454,W$3)))</f>
        <v/>
      </c>
      <c r="X454" s="124" t="str">
        <f>IF($B454="","",IF(X$3=0,"n.b.",INDEX(SRC_Woningetalage!$A$1:$ZZ$501,$A454,X$3)))</f>
        <v/>
      </c>
      <c r="Y454" s="124" t="str">
        <f>IF($B454="","",IF(Y$3=0,"n.b.",INDEX(SRC_Woningetalage!$A$1:$ZZ$501,$A454,Y$3)))</f>
        <v/>
      </c>
      <c r="Z454" s="124" t="str">
        <f>IF($B454="","",IF(Z$3=0,"n.b.",INDEX(SRC_Woningetalage!$A$1:$ZZ$501,$A454,Z$3)))</f>
        <v/>
      </c>
      <c r="AA454" s="124" t="str">
        <f>IF($B454="","",IF(AA$3=0,"n.b.",INDEX(SRC_Woningetalage!$A$1:$ZZ$501,$A454,AA$3)))</f>
        <v/>
      </c>
      <c r="AB454" s="124" t="str">
        <f>IF($B454="","",IF(AB$3=0,"n.b.",INDEX(SRC_Woningetalage!$A$1:$ZZ$501,$A454,AB$3)))</f>
        <v/>
      </c>
      <c r="AC454" s="124" t="str">
        <f>IF($B454="","",IF(AC$3=0,"n.b.",INDEX(SRC_Woningetalage!$A$1:$ZZ$501,$A454,AC$3)))</f>
        <v/>
      </c>
      <c r="AD454" s="124" t="str">
        <f>IF($B454="","",IF(AD$3=0,"n.b.",INDEX(SRC_Woningetalage!$A$1:$ZZ$501,$A454,AD$3)))</f>
        <v/>
      </c>
      <c r="AE454" s="124" t="str">
        <f>IF($B454="","",IF(AE$3=0,"n.b.",INDEX(SRC_Woningetalage!$A$1:$ZZ$501,$A454,AE$3)))</f>
        <v/>
      </c>
      <c r="AF454" s="124" t="str">
        <f>IF($B454="","",IF(AF$3=0,"n.b.",INDEX(SRC_Woningetalage!$A$1:$ZZ$501,$A454,AF$3)))</f>
        <v/>
      </c>
      <c r="AG454" s="124" t="str">
        <f>IF($B454="","",IF(AG$3=0,"n.b.",INDEX(SRC_Woningetalage!$A$1:$ZZ$501,$A454,AG$3)))</f>
        <v/>
      </c>
      <c r="AH454" s="124" t="str">
        <f>IF($B454="","",IF(AH$3=0,"n.b.",INDEX(SRC_Woningetalage!$A$1:$ZZ$501,$A454,AH$3)))</f>
        <v/>
      </c>
      <c r="AI454" s="124" t="str">
        <f>IF($B454="","",IF(AI$3=0,"n.b.",INDEX(SRC_Woningetalage!$A$1:$ZZ$501,$A454,AI$3)))</f>
        <v/>
      </c>
      <c r="AJ454" s="124" t="str">
        <f>IF($B454="","",IF(AJ$3=0,"n.b.",INDEX(SRC_Woningetalage!$A$1:$ZZ$501,$A454,AJ$3)))</f>
        <v/>
      </c>
      <c r="AK454" s="124" t="str">
        <f>IF($B454="","",IF(AK$3=0,"n.b.",INDEX(SRC_Woningetalage!$A$1:$ZZ$501,$A454,AK$3)))</f>
        <v/>
      </c>
      <c r="AL454" s="124" t="str">
        <f>IF($B454="","",IF(AL$3=0,"n.b.",INDEX(SRC_Woningetalage!$A$1:$ZZ$501,$A454,AL$3)))</f>
        <v/>
      </c>
      <c r="AM454" s="124" t="str">
        <f>IF($B454="","",IF(AM$3=0,"n.b.",INDEX(SRC_Woningetalage!$A$1:$ZZ$501,$A454,AM$3)))</f>
        <v/>
      </c>
      <c r="AN454" s="124" t="str">
        <f>IF($B454="","",IF(AN$3=0,"n.b.",INDEX(SRC_Woningetalage!$A$1:$ZZ$501,$A454,AN$3)))</f>
        <v/>
      </c>
      <c r="AO454" s="124" t="str">
        <f>IF($B454="","",IF(AO$3=0,"n.b.",INDEX(SRC_Woningetalage!$A$1:$ZZ$501,$A454,AO$3)))</f>
        <v/>
      </c>
      <c r="AP454" s="124" t="str">
        <f>IF($B454="","",IF(AP$3=0,"n.b.",INDEX(SRC_Woningetalage!$A$1:$ZZ$501,$A454,AP$3)))</f>
        <v/>
      </c>
      <c r="AQ454" s="124" t="str">
        <f>IF($B454="","",IF(AQ$3=0,"n.b.",INDEX(SRC_Woningetalage!$A$1:$ZZ$501,$A454,AQ$3)))</f>
        <v/>
      </c>
      <c r="AR454" s="124" t="str">
        <f>IF($B454="","",IF(AR$3=0,"n.b.",INDEX(SRC_Woningetalage!$A$1:$ZZ$501,$A454,AR$3)))</f>
        <v/>
      </c>
      <c r="AS454" s="124" t="str">
        <f>IF($B454="","",IF(AS$3=0,"n.b.",INDEX(SRC_Woningetalage!$A$1:$ZZ$501,$A454,AS$3)))</f>
        <v/>
      </c>
      <c r="AT454" s="124" t="str">
        <f>IF($B454="","",IF(AT$3=0,"n.b.",INDEX(SRC_Woningetalage!$A$1:$ZZ$501,$A454,AT$3)))</f>
        <v/>
      </c>
      <c r="AU454" s="124" t="str">
        <f>IF($B454="","",IF(AU$3=0,"n.b.",INDEX(SRC_Woningetalage!$A$1:$ZZ$501,$A454,AU$3)))</f>
        <v/>
      </c>
      <c r="AV454" s="124" t="str">
        <f>IF($B454="","",IF(AV$3=0,"n.b.",INDEX(SRC_Woningetalage!$A$1:$ZZ$501,$A454,AV$3)))</f>
        <v/>
      </c>
      <c r="AW454" s="124" t="str">
        <f>IF($B454="","",IF(AW$3=0,"n.b.",INDEX(SRC_Woningetalage!$A$1:$ZZ$501,$A454,AW$3)))</f>
        <v/>
      </c>
      <c r="AX454" s="124" t="str">
        <f>IF($B454="","",IF(AX$3=0,"n.b.",INDEX(SRC_Woningetalage!$A$1:$ZZ$501,$A454,AX$3)))</f>
        <v/>
      </c>
      <c r="AY454" s="124" t="str">
        <f>IF($B454="","",IF(AY$3=0,"n.b.",INDEX(SRC_Woningetalage!$A$1:$ZZ$501,$A454,AY$3)))</f>
        <v/>
      </c>
      <c r="AZ454" s="124" t="str">
        <f>IF($B454="","",IF(AZ$3=0,"n.b.",INDEX(SRC_Woningetalage!$A$1:$ZZ$501,$A454,AZ$3)))</f>
        <v/>
      </c>
      <c r="BA454" s="124" t="str">
        <f>IF($B454="","",IF(BA$3=0,"n.b.",INDEX(SRC_Woningetalage!$A$1:$ZZ$501,$A454,BA$3)))</f>
        <v/>
      </c>
      <c r="BB454" s="124" t="str">
        <f>IF($B454="","",IF(BB$3=0,"n.b.",INDEX(SRC_Woningetalage!$A$1:$ZZ$501,$A454,BB$3)))</f>
        <v/>
      </c>
      <c r="BC454" s="124" t="str">
        <f>IF($B454="","",IFERROR(_xlfn.NUMBERVALUE(E454&amp;"",",","."),"n.b."))</f>
        <v/>
      </c>
      <c r="BD454" s="124" t="str">
        <f>IF($B454="","",IFERROR(_xlfn.NUMBERVALUE(M454&amp;"",",","."),"n.b."))</f>
        <v/>
      </c>
      <c r="BE454" s="124" t="str">
        <f>IF($B454="","",IFERROR(AB454+AC454+AD454,"n.b."))</f>
        <v/>
      </c>
      <c r="BF454" s="124" t="str">
        <f>IF($B454="","",IFERROR(AE454+AF454+AG454,"n.b."))</f>
        <v/>
      </c>
      <c r="BG454" s="124" t="str">
        <f>IF($B454="","",IFERROR(AH454+AI454+AJ454,"n.b."))</f>
        <v/>
      </c>
      <c r="BH454" s="124" t="str">
        <f>IF($B454="","",IFERROR(AK454+AL454+AM454,"n.b."))</f>
        <v/>
      </c>
      <c r="BI454" s="124" t="str">
        <f>IF($B454="","",IFERROR(SUMIF($AB$5:$AM$5,"&lt;="&amp;P_PeilMaand,AB454:AM454),"n.b."))</f>
        <v/>
      </c>
      <c r="BJ454" s="124" t="str">
        <f>IF($B454="","",IFERROR(SUM(AB454:AM454)-BI454,"n.b."))</f>
        <v/>
      </c>
      <c r="BK454" s="124" t="str">
        <f>IF($B454="","",IFERROR(IF(ABS(Q454-(T454+SUM(AB454:AM454)+AS454+AU454))&gt;P_Tol,1,0),1))</f>
        <v/>
      </c>
      <c r="BL454" s="124" t="str">
        <f>IF($B454="","",IFERROR(IF(ABS(AA454-(Q454-Z454))&gt;P_Tol,1,0),1))</f>
        <v/>
      </c>
      <c r="BM454" s="124" t="str">
        <f>IF($B454="","",IFERROR(IF(ABS(Z454-(T454+W454))&gt;P_Tol,1,0),1))</f>
        <v/>
      </c>
      <c r="BN454" s="124" t="str">
        <f>IF($B454="","",IFERROR(IF(ABS(W454-BI454)&gt;P_Tol,1,0),1))</f>
        <v/>
      </c>
      <c r="BO454" s="124" t="str">
        <f>IF($B454="","",IFERROR(IF(OR(ABS(R454+S454-T454)&gt;P_Tol,ABS(U454+V454-W454)&gt;P_Tol,ABS(X454+Y454-Z454)&gt;P_Tol),1,0),1))</f>
        <v/>
      </c>
      <c r="BP454" s="124" t="str">
        <f>IF($B454="","",IFERROR(IF(OR(ABS(AR454-SUM(AB454:AM454))&gt;P_Tol,ABS(AS454-(AN454+AO454+AP454+AQ454))&gt;P_Tol),1,0),1))</f>
        <v/>
      </c>
      <c r="BQ454" s="124" t="str">
        <f>IF($B454="","",IFERROR(IF(ABS(AT454)+ABS(AV454)+ABS(AW454)+ABS(AX454)+ABS(AY454)+ABS(AZ454)+ABS(BA454)+ABS(BB454)&gt;0,1,0),1))</f>
        <v/>
      </c>
      <c r="BR454" s="124" t="str">
        <f>IF($B454="","",COUNTIF(STG_ZPMW03!$B$6:$B$505,B454))</f>
        <v/>
      </c>
      <c r="BS454" s="124" t="str">
        <f>IF($B454="","",COUNTIF($B$6:$B$505,B454))</f>
        <v/>
      </c>
      <c r="BT454" s="124" t="str">
        <f>IF($B454="","",IF(BR454=0,0,IF(INDEX(STG_ZPMW03!$I$6:$I$505,MATCH(B454,STG_ZPMW03!$B$6:$B$505,0))=J454&amp;"",0,1)))</f>
        <v/>
      </c>
      <c r="BU454" s="124" t="str">
        <f>IF($B454="","",IFERROR(IF(ABS(INDEX(Mapping!$D$5:$D$104,MATCH(B454,Mapping!$A$5:$A$104,0))-Q454)&gt;P_Tol,1,0),0))</f>
        <v/>
      </c>
      <c r="BV454" s="124" t="str">
        <f>IF($B454="","",IFERROR(IF(AND(INDEX(Mapping!$G$5:$G$104,MATCH(B454,Mapping!$A$5:$A$104,0))="Nee",ABS(Q454)+ABS(Z454)+ABS(AR454)&gt;0),1,0),0))</f>
        <v/>
      </c>
      <c r="BW454" s="124" t="str">
        <f>IF($B454="","",IF(COUNTIF(Mapping!$A$5:$A$104,B454)&gt;0,1,0))</f>
        <v/>
      </c>
      <c r="BX454" s="124" t="str">
        <f>IF($B454="","",IF(BR454=0,COUNTIF($BR$6:BR454,0),""))</f>
        <v/>
      </c>
    </row>
    <row r="455">
      <c r="A455" s="15" t="n">
        <v>451</v>
      </c>
      <c r="B455" t="str">
        <f>IF(B$3=0,"",IF(INDEX(SRC_Woningetalage!$A$1:$ZZ$501,$A455,B$3)&amp;""="","",INDEX(SRC_Woningetalage!$A$1:$ZZ$501,$A455,B$3)&amp;""))</f>
        <v/>
      </c>
      <c r="C455" t="str">
        <f>IF($B455="","",IF(C$3=0,"n.b.",INDEX(SRC_Woningetalage!$A$1:$ZZ$501,$A455,C$3)))</f>
        <v/>
      </c>
      <c r="D455" t="str">
        <f>IF($B455="","",IF(D$3=0,"n.b.",INDEX(SRC_Woningetalage!$A$1:$ZZ$501,$A455,D$3)))</f>
        <v/>
      </c>
      <c r="E455" t="str">
        <f>IF($B455="","",IF(E$3=0,"n.b.",INDEX(SRC_Woningetalage!$A$1:$ZZ$501,$A455,E$3)))</f>
        <v/>
      </c>
      <c r="F455" t="str">
        <f>IF($B455="","",IF(F$3=0,"n.b.",INDEX(SRC_Woningetalage!$A$1:$ZZ$501,$A455,F$3)))</f>
        <v/>
      </c>
      <c r="G455" t="str">
        <f>IF($B455="","",IF(G$3=0,"n.b.",INDEX(SRC_Woningetalage!$A$1:$ZZ$501,$A455,G$3)))</f>
        <v/>
      </c>
      <c r="H455" t="str">
        <f>IF($B455="","",IF(H$3=0,"n.b.",INDEX(SRC_Woningetalage!$A$1:$ZZ$501,$A455,H$3)))</f>
        <v/>
      </c>
      <c r="I455" t="str">
        <f>IF($B455="","",IF(I$3=0,"n.b.",INDEX(SRC_Woningetalage!$A$1:$ZZ$501,$A455,I$3)))</f>
        <v/>
      </c>
      <c r="J455" t="str">
        <f>IF($B455="","",IF(J$3=0,"n.b.",INDEX(SRC_Woningetalage!$A$1:$ZZ$501,$A455,J$3)))</f>
        <v/>
      </c>
      <c r="K455" t="str">
        <f>IF($B455="","",IF(K$3=0,"n.b.",INDEX(SRC_Woningetalage!$A$1:$ZZ$501,$A455,K$3)))</f>
        <v/>
      </c>
      <c r="L455" t="str">
        <f>IF($B455="","",IF(L$3=0,"n.b.",INDEX(SRC_Woningetalage!$A$1:$ZZ$501,$A455,L$3)))</f>
        <v/>
      </c>
      <c r="M455" t="str">
        <f>IF($B455="","",IF(M$3=0,"n.b.",INDEX(SRC_Woningetalage!$A$1:$ZZ$501,$A455,M$3)))</f>
        <v/>
      </c>
      <c r="N455" t="str">
        <f>IF($B455="","",IF(N$3=0,"n.b.",INDEX(SRC_Woningetalage!$A$1:$ZZ$501,$A455,N$3)))</f>
        <v/>
      </c>
      <c r="O455" t="str">
        <f>IF($B455="","",IF(O$3=0,"n.b.",INDEX(SRC_Woningetalage!$A$1:$ZZ$501,$A455,O$3)))</f>
        <v/>
      </c>
      <c r="P455" t="str">
        <f>IF($B455="","",IF(P$3=0,"n.b.",INDEX(SRC_Woningetalage!$A$1:$ZZ$501,$A455,P$3)))</f>
        <v/>
      </c>
      <c r="Q455" s="124" t="str">
        <f>IF($B455="","",IF(Q$3=0,"n.b.",INDEX(SRC_Woningetalage!$A$1:$ZZ$501,$A455,Q$3)))</f>
        <v/>
      </c>
      <c r="R455" s="124" t="str">
        <f>IF($B455="","",IF(R$3=0,"n.b.",INDEX(SRC_Woningetalage!$A$1:$ZZ$501,$A455,R$3)))</f>
        <v/>
      </c>
      <c r="S455" s="124" t="str">
        <f>IF($B455="","",IF(S$3=0,"n.b.",INDEX(SRC_Woningetalage!$A$1:$ZZ$501,$A455,S$3)))</f>
        <v/>
      </c>
      <c r="T455" s="124" t="str">
        <f>IF($B455="","",IF(T$3=0,"n.b.",INDEX(SRC_Woningetalage!$A$1:$ZZ$501,$A455,T$3)))</f>
        <v/>
      </c>
      <c r="U455" s="124" t="str">
        <f>IF($B455="","",IF(U$3=0,"n.b.",INDEX(SRC_Woningetalage!$A$1:$ZZ$501,$A455,U$3)))</f>
        <v/>
      </c>
      <c r="V455" s="124" t="str">
        <f>IF($B455="","",IF(V$3=0,"n.b.",INDEX(SRC_Woningetalage!$A$1:$ZZ$501,$A455,V$3)))</f>
        <v/>
      </c>
      <c r="W455" s="124" t="str">
        <f>IF($B455="","",IF(W$3=0,"n.b.",INDEX(SRC_Woningetalage!$A$1:$ZZ$501,$A455,W$3)))</f>
        <v/>
      </c>
      <c r="X455" s="124" t="str">
        <f>IF($B455="","",IF(X$3=0,"n.b.",INDEX(SRC_Woningetalage!$A$1:$ZZ$501,$A455,X$3)))</f>
        <v/>
      </c>
      <c r="Y455" s="124" t="str">
        <f>IF($B455="","",IF(Y$3=0,"n.b.",INDEX(SRC_Woningetalage!$A$1:$ZZ$501,$A455,Y$3)))</f>
        <v/>
      </c>
      <c r="Z455" s="124" t="str">
        <f>IF($B455="","",IF(Z$3=0,"n.b.",INDEX(SRC_Woningetalage!$A$1:$ZZ$501,$A455,Z$3)))</f>
        <v/>
      </c>
      <c r="AA455" s="124" t="str">
        <f>IF($B455="","",IF(AA$3=0,"n.b.",INDEX(SRC_Woningetalage!$A$1:$ZZ$501,$A455,AA$3)))</f>
        <v/>
      </c>
      <c r="AB455" s="124" t="str">
        <f>IF($B455="","",IF(AB$3=0,"n.b.",INDEX(SRC_Woningetalage!$A$1:$ZZ$501,$A455,AB$3)))</f>
        <v/>
      </c>
      <c r="AC455" s="124" t="str">
        <f>IF($B455="","",IF(AC$3=0,"n.b.",INDEX(SRC_Woningetalage!$A$1:$ZZ$501,$A455,AC$3)))</f>
        <v/>
      </c>
      <c r="AD455" s="124" t="str">
        <f>IF($B455="","",IF(AD$3=0,"n.b.",INDEX(SRC_Woningetalage!$A$1:$ZZ$501,$A455,AD$3)))</f>
        <v/>
      </c>
      <c r="AE455" s="124" t="str">
        <f>IF($B455="","",IF(AE$3=0,"n.b.",INDEX(SRC_Woningetalage!$A$1:$ZZ$501,$A455,AE$3)))</f>
        <v/>
      </c>
      <c r="AF455" s="124" t="str">
        <f>IF($B455="","",IF(AF$3=0,"n.b.",INDEX(SRC_Woningetalage!$A$1:$ZZ$501,$A455,AF$3)))</f>
        <v/>
      </c>
      <c r="AG455" s="124" t="str">
        <f>IF($B455="","",IF(AG$3=0,"n.b.",INDEX(SRC_Woningetalage!$A$1:$ZZ$501,$A455,AG$3)))</f>
        <v/>
      </c>
      <c r="AH455" s="124" t="str">
        <f>IF($B455="","",IF(AH$3=0,"n.b.",INDEX(SRC_Woningetalage!$A$1:$ZZ$501,$A455,AH$3)))</f>
        <v/>
      </c>
      <c r="AI455" s="124" t="str">
        <f>IF($B455="","",IF(AI$3=0,"n.b.",INDEX(SRC_Woningetalage!$A$1:$ZZ$501,$A455,AI$3)))</f>
        <v/>
      </c>
      <c r="AJ455" s="124" t="str">
        <f>IF($B455="","",IF(AJ$3=0,"n.b.",INDEX(SRC_Woningetalage!$A$1:$ZZ$501,$A455,AJ$3)))</f>
        <v/>
      </c>
      <c r="AK455" s="124" t="str">
        <f>IF($B455="","",IF(AK$3=0,"n.b.",INDEX(SRC_Woningetalage!$A$1:$ZZ$501,$A455,AK$3)))</f>
        <v/>
      </c>
      <c r="AL455" s="124" t="str">
        <f>IF($B455="","",IF(AL$3=0,"n.b.",INDEX(SRC_Woningetalage!$A$1:$ZZ$501,$A455,AL$3)))</f>
        <v/>
      </c>
      <c r="AM455" s="124" t="str">
        <f>IF($B455="","",IF(AM$3=0,"n.b.",INDEX(SRC_Woningetalage!$A$1:$ZZ$501,$A455,AM$3)))</f>
        <v/>
      </c>
      <c r="AN455" s="124" t="str">
        <f>IF($B455="","",IF(AN$3=0,"n.b.",INDEX(SRC_Woningetalage!$A$1:$ZZ$501,$A455,AN$3)))</f>
        <v/>
      </c>
      <c r="AO455" s="124" t="str">
        <f>IF($B455="","",IF(AO$3=0,"n.b.",INDEX(SRC_Woningetalage!$A$1:$ZZ$501,$A455,AO$3)))</f>
        <v/>
      </c>
      <c r="AP455" s="124" t="str">
        <f>IF($B455="","",IF(AP$3=0,"n.b.",INDEX(SRC_Woningetalage!$A$1:$ZZ$501,$A455,AP$3)))</f>
        <v/>
      </c>
      <c r="AQ455" s="124" t="str">
        <f>IF($B455="","",IF(AQ$3=0,"n.b.",INDEX(SRC_Woningetalage!$A$1:$ZZ$501,$A455,AQ$3)))</f>
        <v/>
      </c>
      <c r="AR455" s="124" t="str">
        <f>IF($B455="","",IF(AR$3=0,"n.b.",INDEX(SRC_Woningetalage!$A$1:$ZZ$501,$A455,AR$3)))</f>
        <v/>
      </c>
      <c r="AS455" s="124" t="str">
        <f>IF($B455="","",IF(AS$3=0,"n.b.",INDEX(SRC_Woningetalage!$A$1:$ZZ$501,$A455,AS$3)))</f>
        <v/>
      </c>
      <c r="AT455" s="124" t="str">
        <f>IF($B455="","",IF(AT$3=0,"n.b.",INDEX(SRC_Woningetalage!$A$1:$ZZ$501,$A455,AT$3)))</f>
        <v/>
      </c>
      <c r="AU455" s="124" t="str">
        <f>IF($B455="","",IF(AU$3=0,"n.b.",INDEX(SRC_Woningetalage!$A$1:$ZZ$501,$A455,AU$3)))</f>
        <v/>
      </c>
      <c r="AV455" s="124" t="str">
        <f>IF($B455="","",IF(AV$3=0,"n.b.",INDEX(SRC_Woningetalage!$A$1:$ZZ$501,$A455,AV$3)))</f>
        <v/>
      </c>
      <c r="AW455" s="124" t="str">
        <f>IF($B455="","",IF(AW$3=0,"n.b.",INDEX(SRC_Woningetalage!$A$1:$ZZ$501,$A455,AW$3)))</f>
        <v/>
      </c>
      <c r="AX455" s="124" t="str">
        <f>IF($B455="","",IF(AX$3=0,"n.b.",INDEX(SRC_Woningetalage!$A$1:$ZZ$501,$A455,AX$3)))</f>
        <v/>
      </c>
      <c r="AY455" s="124" t="str">
        <f>IF($B455="","",IF(AY$3=0,"n.b.",INDEX(SRC_Woningetalage!$A$1:$ZZ$501,$A455,AY$3)))</f>
        <v/>
      </c>
      <c r="AZ455" s="124" t="str">
        <f>IF($B455="","",IF(AZ$3=0,"n.b.",INDEX(SRC_Woningetalage!$A$1:$ZZ$501,$A455,AZ$3)))</f>
        <v/>
      </c>
      <c r="BA455" s="124" t="str">
        <f>IF($B455="","",IF(BA$3=0,"n.b.",INDEX(SRC_Woningetalage!$A$1:$ZZ$501,$A455,BA$3)))</f>
        <v/>
      </c>
      <c r="BB455" s="124" t="str">
        <f>IF($B455="","",IF(BB$3=0,"n.b.",INDEX(SRC_Woningetalage!$A$1:$ZZ$501,$A455,BB$3)))</f>
        <v/>
      </c>
      <c r="BC455" s="124" t="str">
        <f>IF($B455="","",IFERROR(_xlfn.NUMBERVALUE(E455&amp;"",",","."),"n.b."))</f>
        <v/>
      </c>
      <c r="BD455" s="124" t="str">
        <f>IF($B455="","",IFERROR(_xlfn.NUMBERVALUE(M455&amp;"",",","."),"n.b."))</f>
        <v/>
      </c>
      <c r="BE455" s="124" t="str">
        <f>IF($B455="","",IFERROR(AB455+AC455+AD455,"n.b."))</f>
        <v/>
      </c>
      <c r="BF455" s="124" t="str">
        <f>IF($B455="","",IFERROR(AE455+AF455+AG455,"n.b."))</f>
        <v/>
      </c>
      <c r="BG455" s="124" t="str">
        <f>IF($B455="","",IFERROR(AH455+AI455+AJ455,"n.b."))</f>
        <v/>
      </c>
      <c r="BH455" s="124" t="str">
        <f>IF($B455="","",IFERROR(AK455+AL455+AM455,"n.b."))</f>
        <v/>
      </c>
      <c r="BI455" s="124" t="str">
        <f>IF($B455="","",IFERROR(SUMIF($AB$5:$AM$5,"&lt;="&amp;P_PeilMaand,AB455:AM455),"n.b."))</f>
        <v/>
      </c>
      <c r="BJ455" s="124" t="str">
        <f>IF($B455="","",IFERROR(SUM(AB455:AM455)-BI455,"n.b."))</f>
        <v/>
      </c>
      <c r="BK455" s="124" t="str">
        <f>IF($B455="","",IFERROR(IF(ABS(Q455-(T455+SUM(AB455:AM455)+AS455+AU455))&gt;P_Tol,1,0),1))</f>
        <v/>
      </c>
      <c r="BL455" s="124" t="str">
        <f>IF($B455="","",IFERROR(IF(ABS(AA455-(Q455-Z455))&gt;P_Tol,1,0),1))</f>
        <v/>
      </c>
      <c r="BM455" s="124" t="str">
        <f>IF($B455="","",IFERROR(IF(ABS(Z455-(T455+W455))&gt;P_Tol,1,0),1))</f>
        <v/>
      </c>
      <c r="BN455" s="124" t="str">
        <f>IF($B455="","",IFERROR(IF(ABS(W455-BI455)&gt;P_Tol,1,0),1))</f>
        <v/>
      </c>
      <c r="BO455" s="124" t="str">
        <f>IF($B455="","",IFERROR(IF(OR(ABS(R455+S455-T455)&gt;P_Tol,ABS(U455+V455-W455)&gt;P_Tol,ABS(X455+Y455-Z455)&gt;P_Tol),1,0),1))</f>
        <v/>
      </c>
      <c r="BP455" s="124" t="str">
        <f>IF($B455="","",IFERROR(IF(OR(ABS(AR455-SUM(AB455:AM455))&gt;P_Tol,ABS(AS455-(AN455+AO455+AP455+AQ455))&gt;P_Tol),1,0),1))</f>
        <v/>
      </c>
      <c r="BQ455" s="124" t="str">
        <f>IF($B455="","",IFERROR(IF(ABS(AT455)+ABS(AV455)+ABS(AW455)+ABS(AX455)+ABS(AY455)+ABS(AZ455)+ABS(BA455)+ABS(BB455)&gt;0,1,0),1))</f>
        <v/>
      </c>
      <c r="BR455" s="124" t="str">
        <f>IF($B455="","",COUNTIF(STG_ZPMW03!$B$6:$B$505,B455))</f>
        <v/>
      </c>
      <c r="BS455" s="124" t="str">
        <f>IF($B455="","",COUNTIF($B$6:$B$505,B455))</f>
        <v/>
      </c>
      <c r="BT455" s="124" t="str">
        <f>IF($B455="","",IF(BR455=0,0,IF(INDEX(STG_ZPMW03!$I$6:$I$505,MATCH(B455,STG_ZPMW03!$B$6:$B$505,0))=J455&amp;"",0,1)))</f>
        <v/>
      </c>
      <c r="BU455" s="124" t="str">
        <f>IF($B455="","",IFERROR(IF(ABS(INDEX(Mapping!$D$5:$D$104,MATCH(B455,Mapping!$A$5:$A$104,0))-Q455)&gt;P_Tol,1,0),0))</f>
        <v/>
      </c>
      <c r="BV455" s="124" t="str">
        <f>IF($B455="","",IFERROR(IF(AND(INDEX(Mapping!$G$5:$G$104,MATCH(B455,Mapping!$A$5:$A$104,0))="Nee",ABS(Q455)+ABS(Z455)+ABS(AR455)&gt;0),1,0),0))</f>
        <v/>
      </c>
      <c r="BW455" s="124" t="str">
        <f>IF($B455="","",IF(COUNTIF(Mapping!$A$5:$A$104,B455)&gt;0,1,0))</f>
        <v/>
      </c>
      <c r="BX455" s="124" t="str">
        <f>IF($B455="","",IF(BR455=0,COUNTIF($BR$6:BR455,0),""))</f>
        <v/>
      </c>
    </row>
    <row r="456">
      <c r="A456" s="15" t="n">
        <v>452</v>
      </c>
      <c r="B456" t="str">
        <f>IF(B$3=0,"",IF(INDEX(SRC_Woningetalage!$A$1:$ZZ$501,$A456,B$3)&amp;""="","",INDEX(SRC_Woningetalage!$A$1:$ZZ$501,$A456,B$3)&amp;""))</f>
        <v/>
      </c>
      <c r="C456" t="str">
        <f>IF($B456="","",IF(C$3=0,"n.b.",INDEX(SRC_Woningetalage!$A$1:$ZZ$501,$A456,C$3)))</f>
        <v/>
      </c>
      <c r="D456" t="str">
        <f>IF($B456="","",IF(D$3=0,"n.b.",INDEX(SRC_Woningetalage!$A$1:$ZZ$501,$A456,D$3)))</f>
        <v/>
      </c>
      <c r="E456" t="str">
        <f>IF($B456="","",IF(E$3=0,"n.b.",INDEX(SRC_Woningetalage!$A$1:$ZZ$501,$A456,E$3)))</f>
        <v/>
      </c>
      <c r="F456" t="str">
        <f>IF($B456="","",IF(F$3=0,"n.b.",INDEX(SRC_Woningetalage!$A$1:$ZZ$501,$A456,F$3)))</f>
        <v/>
      </c>
      <c r="G456" t="str">
        <f>IF($B456="","",IF(G$3=0,"n.b.",INDEX(SRC_Woningetalage!$A$1:$ZZ$501,$A456,G$3)))</f>
        <v/>
      </c>
      <c r="H456" t="str">
        <f>IF($B456="","",IF(H$3=0,"n.b.",INDEX(SRC_Woningetalage!$A$1:$ZZ$501,$A456,H$3)))</f>
        <v/>
      </c>
      <c r="I456" t="str">
        <f>IF($B456="","",IF(I$3=0,"n.b.",INDEX(SRC_Woningetalage!$A$1:$ZZ$501,$A456,I$3)))</f>
        <v/>
      </c>
      <c r="J456" t="str">
        <f>IF($B456="","",IF(J$3=0,"n.b.",INDEX(SRC_Woningetalage!$A$1:$ZZ$501,$A456,J$3)))</f>
        <v/>
      </c>
      <c r="K456" t="str">
        <f>IF($B456="","",IF(K$3=0,"n.b.",INDEX(SRC_Woningetalage!$A$1:$ZZ$501,$A456,K$3)))</f>
        <v/>
      </c>
      <c r="L456" t="str">
        <f>IF($B456="","",IF(L$3=0,"n.b.",INDEX(SRC_Woningetalage!$A$1:$ZZ$501,$A456,L$3)))</f>
        <v/>
      </c>
      <c r="M456" t="str">
        <f>IF($B456="","",IF(M$3=0,"n.b.",INDEX(SRC_Woningetalage!$A$1:$ZZ$501,$A456,M$3)))</f>
        <v/>
      </c>
      <c r="N456" t="str">
        <f>IF($B456="","",IF(N$3=0,"n.b.",INDEX(SRC_Woningetalage!$A$1:$ZZ$501,$A456,N$3)))</f>
        <v/>
      </c>
      <c r="O456" t="str">
        <f>IF($B456="","",IF(O$3=0,"n.b.",INDEX(SRC_Woningetalage!$A$1:$ZZ$501,$A456,O$3)))</f>
        <v/>
      </c>
      <c r="P456" t="str">
        <f>IF($B456="","",IF(P$3=0,"n.b.",INDEX(SRC_Woningetalage!$A$1:$ZZ$501,$A456,P$3)))</f>
        <v/>
      </c>
      <c r="Q456" s="124" t="str">
        <f>IF($B456="","",IF(Q$3=0,"n.b.",INDEX(SRC_Woningetalage!$A$1:$ZZ$501,$A456,Q$3)))</f>
        <v/>
      </c>
      <c r="R456" s="124" t="str">
        <f>IF($B456="","",IF(R$3=0,"n.b.",INDEX(SRC_Woningetalage!$A$1:$ZZ$501,$A456,R$3)))</f>
        <v/>
      </c>
      <c r="S456" s="124" t="str">
        <f>IF($B456="","",IF(S$3=0,"n.b.",INDEX(SRC_Woningetalage!$A$1:$ZZ$501,$A456,S$3)))</f>
        <v/>
      </c>
      <c r="T456" s="124" t="str">
        <f>IF($B456="","",IF(T$3=0,"n.b.",INDEX(SRC_Woningetalage!$A$1:$ZZ$501,$A456,T$3)))</f>
        <v/>
      </c>
      <c r="U456" s="124" t="str">
        <f>IF($B456="","",IF(U$3=0,"n.b.",INDEX(SRC_Woningetalage!$A$1:$ZZ$501,$A456,U$3)))</f>
        <v/>
      </c>
      <c r="V456" s="124" t="str">
        <f>IF($B456="","",IF(V$3=0,"n.b.",INDEX(SRC_Woningetalage!$A$1:$ZZ$501,$A456,V$3)))</f>
        <v/>
      </c>
      <c r="W456" s="124" t="str">
        <f>IF($B456="","",IF(W$3=0,"n.b.",INDEX(SRC_Woningetalage!$A$1:$ZZ$501,$A456,W$3)))</f>
        <v/>
      </c>
      <c r="X456" s="124" t="str">
        <f>IF($B456="","",IF(X$3=0,"n.b.",INDEX(SRC_Woningetalage!$A$1:$ZZ$501,$A456,X$3)))</f>
        <v/>
      </c>
      <c r="Y456" s="124" t="str">
        <f>IF($B456="","",IF(Y$3=0,"n.b.",INDEX(SRC_Woningetalage!$A$1:$ZZ$501,$A456,Y$3)))</f>
        <v/>
      </c>
      <c r="Z456" s="124" t="str">
        <f>IF($B456="","",IF(Z$3=0,"n.b.",INDEX(SRC_Woningetalage!$A$1:$ZZ$501,$A456,Z$3)))</f>
        <v/>
      </c>
      <c r="AA456" s="124" t="str">
        <f>IF($B456="","",IF(AA$3=0,"n.b.",INDEX(SRC_Woningetalage!$A$1:$ZZ$501,$A456,AA$3)))</f>
        <v/>
      </c>
      <c r="AB456" s="124" t="str">
        <f>IF($B456="","",IF(AB$3=0,"n.b.",INDEX(SRC_Woningetalage!$A$1:$ZZ$501,$A456,AB$3)))</f>
        <v/>
      </c>
      <c r="AC456" s="124" t="str">
        <f>IF($B456="","",IF(AC$3=0,"n.b.",INDEX(SRC_Woningetalage!$A$1:$ZZ$501,$A456,AC$3)))</f>
        <v/>
      </c>
      <c r="AD456" s="124" t="str">
        <f>IF($B456="","",IF(AD$3=0,"n.b.",INDEX(SRC_Woningetalage!$A$1:$ZZ$501,$A456,AD$3)))</f>
        <v/>
      </c>
      <c r="AE456" s="124" t="str">
        <f>IF($B456="","",IF(AE$3=0,"n.b.",INDEX(SRC_Woningetalage!$A$1:$ZZ$501,$A456,AE$3)))</f>
        <v/>
      </c>
      <c r="AF456" s="124" t="str">
        <f>IF($B456="","",IF(AF$3=0,"n.b.",INDEX(SRC_Woningetalage!$A$1:$ZZ$501,$A456,AF$3)))</f>
        <v/>
      </c>
      <c r="AG456" s="124" t="str">
        <f>IF($B456="","",IF(AG$3=0,"n.b.",INDEX(SRC_Woningetalage!$A$1:$ZZ$501,$A456,AG$3)))</f>
        <v/>
      </c>
      <c r="AH456" s="124" t="str">
        <f>IF($B456="","",IF(AH$3=0,"n.b.",INDEX(SRC_Woningetalage!$A$1:$ZZ$501,$A456,AH$3)))</f>
        <v/>
      </c>
      <c r="AI456" s="124" t="str">
        <f>IF($B456="","",IF(AI$3=0,"n.b.",INDEX(SRC_Woningetalage!$A$1:$ZZ$501,$A456,AI$3)))</f>
        <v/>
      </c>
      <c r="AJ456" s="124" t="str">
        <f>IF($B456="","",IF(AJ$3=0,"n.b.",INDEX(SRC_Woningetalage!$A$1:$ZZ$501,$A456,AJ$3)))</f>
        <v/>
      </c>
      <c r="AK456" s="124" t="str">
        <f>IF($B456="","",IF(AK$3=0,"n.b.",INDEX(SRC_Woningetalage!$A$1:$ZZ$501,$A456,AK$3)))</f>
        <v/>
      </c>
      <c r="AL456" s="124" t="str">
        <f>IF($B456="","",IF(AL$3=0,"n.b.",INDEX(SRC_Woningetalage!$A$1:$ZZ$501,$A456,AL$3)))</f>
        <v/>
      </c>
      <c r="AM456" s="124" t="str">
        <f>IF($B456="","",IF(AM$3=0,"n.b.",INDEX(SRC_Woningetalage!$A$1:$ZZ$501,$A456,AM$3)))</f>
        <v/>
      </c>
      <c r="AN456" s="124" t="str">
        <f>IF($B456="","",IF(AN$3=0,"n.b.",INDEX(SRC_Woningetalage!$A$1:$ZZ$501,$A456,AN$3)))</f>
        <v/>
      </c>
      <c r="AO456" s="124" t="str">
        <f>IF($B456="","",IF(AO$3=0,"n.b.",INDEX(SRC_Woningetalage!$A$1:$ZZ$501,$A456,AO$3)))</f>
        <v/>
      </c>
      <c r="AP456" s="124" t="str">
        <f>IF($B456="","",IF(AP$3=0,"n.b.",INDEX(SRC_Woningetalage!$A$1:$ZZ$501,$A456,AP$3)))</f>
        <v/>
      </c>
      <c r="AQ456" s="124" t="str">
        <f>IF($B456="","",IF(AQ$3=0,"n.b.",INDEX(SRC_Woningetalage!$A$1:$ZZ$501,$A456,AQ$3)))</f>
        <v/>
      </c>
      <c r="AR456" s="124" t="str">
        <f>IF($B456="","",IF(AR$3=0,"n.b.",INDEX(SRC_Woningetalage!$A$1:$ZZ$501,$A456,AR$3)))</f>
        <v/>
      </c>
      <c r="AS456" s="124" t="str">
        <f>IF($B456="","",IF(AS$3=0,"n.b.",INDEX(SRC_Woningetalage!$A$1:$ZZ$501,$A456,AS$3)))</f>
        <v/>
      </c>
      <c r="AT456" s="124" t="str">
        <f>IF($B456="","",IF(AT$3=0,"n.b.",INDEX(SRC_Woningetalage!$A$1:$ZZ$501,$A456,AT$3)))</f>
        <v/>
      </c>
      <c r="AU456" s="124" t="str">
        <f>IF($B456="","",IF(AU$3=0,"n.b.",INDEX(SRC_Woningetalage!$A$1:$ZZ$501,$A456,AU$3)))</f>
        <v/>
      </c>
      <c r="AV456" s="124" t="str">
        <f>IF($B456="","",IF(AV$3=0,"n.b.",INDEX(SRC_Woningetalage!$A$1:$ZZ$501,$A456,AV$3)))</f>
        <v/>
      </c>
      <c r="AW456" s="124" t="str">
        <f>IF($B456="","",IF(AW$3=0,"n.b.",INDEX(SRC_Woningetalage!$A$1:$ZZ$501,$A456,AW$3)))</f>
        <v/>
      </c>
      <c r="AX456" s="124" t="str">
        <f>IF($B456="","",IF(AX$3=0,"n.b.",INDEX(SRC_Woningetalage!$A$1:$ZZ$501,$A456,AX$3)))</f>
        <v/>
      </c>
      <c r="AY456" s="124" t="str">
        <f>IF($B456="","",IF(AY$3=0,"n.b.",INDEX(SRC_Woningetalage!$A$1:$ZZ$501,$A456,AY$3)))</f>
        <v/>
      </c>
      <c r="AZ456" s="124" t="str">
        <f>IF($B456="","",IF(AZ$3=0,"n.b.",INDEX(SRC_Woningetalage!$A$1:$ZZ$501,$A456,AZ$3)))</f>
        <v/>
      </c>
      <c r="BA456" s="124" t="str">
        <f>IF($B456="","",IF(BA$3=0,"n.b.",INDEX(SRC_Woningetalage!$A$1:$ZZ$501,$A456,BA$3)))</f>
        <v/>
      </c>
      <c r="BB456" s="124" t="str">
        <f>IF($B456="","",IF(BB$3=0,"n.b.",INDEX(SRC_Woningetalage!$A$1:$ZZ$501,$A456,BB$3)))</f>
        <v/>
      </c>
      <c r="BC456" s="124" t="str">
        <f>IF($B456="","",IFERROR(_xlfn.NUMBERVALUE(E456&amp;"",",","."),"n.b."))</f>
        <v/>
      </c>
      <c r="BD456" s="124" t="str">
        <f>IF($B456="","",IFERROR(_xlfn.NUMBERVALUE(M456&amp;"",",","."),"n.b."))</f>
        <v/>
      </c>
      <c r="BE456" s="124" t="str">
        <f>IF($B456="","",IFERROR(AB456+AC456+AD456,"n.b."))</f>
        <v/>
      </c>
      <c r="BF456" s="124" t="str">
        <f>IF($B456="","",IFERROR(AE456+AF456+AG456,"n.b."))</f>
        <v/>
      </c>
      <c r="BG456" s="124" t="str">
        <f>IF($B456="","",IFERROR(AH456+AI456+AJ456,"n.b."))</f>
        <v/>
      </c>
      <c r="BH456" s="124" t="str">
        <f>IF($B456="","",IFERROR(AK456+AL456+AM456,"n.b."))</f>
        <v/>
      </c>
      <c r="BI456" s="124" t="str">
        <f>IF($B456="","",IFERROR(SUMIF($AB$5:$AM$5,"&lt;="&amp;P_PeilMaand,AB456:AM456),"n.b."))</f>
        <v/>
      </c>
      <c r="BJ456" s="124" t="str">
        <f>IF($B456="","",IFERROR(SUM(AB456:AM456)-BI456,"n.b."))</f>
        <v/>
      </c>
      <c r="BK456" s="124" t="str">
        <f>IF($B456="","",IFERROR(IF(ABS(Q456-(T456+SUM(AB456:AM456)+AS456+AU456))&gt;P_Tol,1,0),1))</f>
        <v/>
      </c>
      <c r="BL456" s="124" t="str">
        <f>IF($B456="","",IFERROR(IF(ABS(AA456-(Q456-Z456))&gt;P_Tol,1,0),1))</f>
        <v/>
      </c>
      <c r="BM456" s="124" t="str">
        <f>IF($B456="","",IFERROR(IF(ABS(Z456-(T456+W456))&gt;P_Tol,1,0),1))</f>
        <v/>
      </c>
      <c r="BN456" s="124" t="str">
        <f>IF($B456="","",IFERROR(IF(ABS(W456-BI456)&gt;P_Tol,1,0),1))</f>
        <v/>
      </c>
      <c r="BO456" s="124" t="str">
        <f>IF($B456="","",IFERROR(IF(OR(ABS(R456+S456-T456)&gt;P_Tol,ABS(U456+V456-W456)&gt;P_Tol,ABS(X456+Y456-Z456)&gt;P_Tol),1,0),1))</f>
        <v/>
      </c>
      <c r="BP456" s="124" t="str">
        <f>IF($B456="","",IFERROR(IF(OR(ABS(AR456-SUM(AB456:AM456))&gt;P_Tol,ABS(AS456-(AN456+AO456+AP456+AQ456))&gt;P_Tol),1,0),1))</f>
        <v/>
      </c>
      <c r="BQ456" s="124" t="str">
        <f>IF($B456="","",IFERROR(IF(ABS(AT456)+ABS(AV456)+ABS(AW456)+ABS(AX456)+ABS(AY456)+ABS(AZ456)+ABS(BA456)+ABS(BB456)&gt;0,1,0),1))</f>
        <v/>
      </c>
      <c r="BR456" s="124" t="str">
        <f>IF($B456="","",COUNTIF(STG_ZPMW03!$B$6:$B$505,B456))</f>
        <v/>
      </c>
      <c r="BS456" s="124" t="str">
        <f>IF($B456="","",COUNTIF($B$6:$B$505,B456))</f>
        <v/>
      </c>
      <c r="BT456" s="124" t="str">
        <f>IF($B456="","",IF(BR456=0,0,IF(INDEX(STG_ZPMW03!$I$6:$I$505,MATCH(B456,STG_ZPMW03!$B$6:$B$505,0))=J456&amp;"",0,1)))</f>
        <v/>
      </c>
      <c r="BU456" s="124" t="str">
        <f>IF($B456="","",IFERROR(IF(ABS(INDEX(Mapping!$D$5:$D$104,MATCH(B456,Mapping!$A$5:$A$104,0))-Q456)&gt;P_Tol,1,0),0))</f>
        <v/>
      </c>
      <c r="BV456" s="124" t="str">
        <f>IF($B456="","",IFERROR(IF(AND(INDEX(Mapping!$G$5:$G$104,MATCH(B456,Mapping!$A$5:$A$104,0))="Nee",ABS(Q456)+ABS(Z456)+ABS(AR456)&gt;0),1,0),0))</f>
        <v/>
      </c>
      <c r="BW456" s="124" t="str">
        <f>IF($B456="","",IF(COUNTIF(Mapping!$A$5:$A$104,B456)&gt;0,1,0))</f>
        <v/>
      </c>
      <c r="BX456" s="124" t="str">
        <f>IF($B456="","",IF(BR456=0,COUNTIF($BR$6:BR456,0),""))</f>
        <v/>
      </c>
    </row>
    <row r="457">
      <c r="A457" s="15" t="n">
        <v>453</v>
      </c>
      <c r="B457" t="str">
        <f>IF(B$3=0,"",IF(INDEX(SRC_Woningetalage!$A$1:$ZZ$501,$A457,B$3)&amp;""="","",INDEX(SRC_Woningetalage!$A$1:$ZZ$501,$A457,B$3)&amp;""))</f>
        <v/>
      </c>
      <c r="C457" t="str">
        <f>IF($B457="","",IF(C$3=0,"n.b.",INDEX(SRC_Woningetalage!$A$1:$ZZ$501,$A457,C$3)))</f>
        <v/>
      </c>
      <c r="D457" t="str">
        <f>IF($B457="","",IF(D$3=0,"n.b.",INDEX(SRC_Woningetalage!$A$1:$ZZ$501,$A457,D$3)))</f>
        <v/>
      </c>
      <c r="E457" t="str">
        <f>IF($B457="","",IF(E$3=0,"n.b.",INDEX(SRC_Woningetalage!$A$1:$ZZ$501,$A457,E$3)))</f>
        <v/>
      </c>
      <c r="F457" t="str">
        <f>IF($B457="","",IF(F$3=0,"n.b.",INDEX(SRC_Woningetalage!$A$1:$ZZ$501,$A457,F$3)))</f>
        <v/>
      </c>
      <c r="G457" t="str">
        <f>IF($B457="","",IF(G$3=0,"n.b.",INDEX(SRC_Woningetalage!$A$1:$ZZ$501,$A457,G$3)))</f>
        <v/>
      </c>
      <c r="H457" t="str">
        <f>IF($B457="","",IF(H$3=0,"n.b.",INDEX(SRC_Woningetalage!$A$1:$ZZ$501,$A457,H$3)))</f>
        <v/>
      </c>
      <c r="I457" t="str">
        <f>IF($B457="","",IF(I$3=0,"n.b.",INDEX(SRC_Woningetalage!$A$1:$ZZ$501,$A457,I$3)))</f>
        <v/>
      </c>
      <c r="J457" t="str">
        <f>IF($B457="","",IF(J$3=0,"n.b.",INDEX(SRC_Woningetalage!$A$1:$ZZ$501,$A457,J$3)))</f>
        <v/>
      </c>
      <c r="K457" t="str">
        <f>IF($B457="","",IF(K$3=0,"n.b.",INDEX(SRC_Woningetalage!$A$1:$ZZ$501,$A457,K$3)))</f>
        <v/>
      </c>
      <c r="L457" t="str">
        <f>IF($B457="","",IF(L$3=0,"n.b.",INDEX(SRC_Woningetalage!$A$1:$ZZ$501,$A457,L$3)))</f>
        <v/>
      </c>
      <c r="M457" t="str">
        <f>IF($B457="","",IF(M$3=0,"n.b.",INDEX(SRC_Woningetalage!$A$1:$ZZ$501,$A457,M$3)))</f>
        <v/>
      </c>
      <c r="N457" t="str">
        <f>IF($B457="","",IF(N$3=0,"n.b.",INDEX(SRC_Woningetalage!$A$1:$ZZ$501,$A457,N$3)))</f>
        <v/>
      </c>
      <c r="O457" t="str">
        <f>IF($B457="","",IF(O$3=0,"n.b.",INDEX(SRC_Woningetalage!$A$1:$ZZ$501,$A457,O$3)))</f>
        <v/>
      </c>
      <c r="P457" t="str">
        <f>IF($B457="","",IF(P$3=0,"n.b.",INDEX(SRC_Woningetalage!$A$1:$ZZ$501,$A457,P$3)))</f>
        <v/>
      </c>
      <c r="Q457" s="124" t="str">
        <f>IF($B457="","",IF(Q$3=0,"n.b.",INDEX(SRC_Woningetalage!$A$1:$ZZ$501,$A457,Q$3)))</f>
        <v/>
      </c>
      <c r="R457" s="124" t="str">
        <f>IF($B457="","",IF(R$3=0,"n.b.",INDEX(SRC_Woningetalage!$A$1:$ZZ$501,$A457,R$3)))</f>
        <v/>
      </c>
      <c r="S457" s="124" t="str">
        <f>IF($B457="","",IF(S$3=0,"n.b.",INDEX(SRC_Woningetalage!$A$1:$ZZ$501,$A457,S$3)))</f>
        <v/>
      </c>
      <c r="T457" s="124" t="str">
        <f>IF($B457="","",IF(T$3=0,"n.b.",INDEX(SRC_Woningetalage!$A$1:$ZZ$501,$A457,T$3)))</f>
        <v/>
      </c>
      <c r="U457" s="124" t="str">
        <f>IF($B457="","",IF(U$3=0,"n.b.",INDEX(SRC_Woningetalage!$A$1:$ZZ$501,$A457,U$3)))</f>
        <v/>
      </c>
      <c r="V457" s="124" t="str">
        <f>IF($B457="","",IF(V$3=0,"n.b.",INDEX(SRC_Woningetalage!$A$1:$ZZ$501,$A457,V$3)))</f>
        <v/>
      </c>
      <c r="W457" s="124" t="str">
        <f>IF($B457="","",IF(W$3=0,"n.b.",INDEX(SRC_Woningetalage!$A$1:$ZZ$501,$A457,W$3)))</f>
        <v/>
      </c>
      <c r="X457" s="124" t="str">
        <f>IF($B457="","",IF(X$3=0,"n.b.",INDEX(SRC_Woningetalage!$A$1:$ZZ$501,$A457,X$3)))</f>
        <v/>
      </c>
      <c r="Y457" s="124" t="str">
        <f>IF($B457="","",IF(Y$3=0,"n.b.",INDEX(SRC_Woningetalage!$A$1:$ZZ$501,$A457,Y$3)))</f>
        <v/>
      </c>
      <c r="Z457" s="124" t="str">
        <f>IF($B457="","",IF(Z$3=0,"n.b.",INDEX(SRC_Woningetalage!$A$1:$ZZ$501,$A457,Z$3)))</f>
        <v/>
      </c>
      <c r="AA457" s="124" t="str">
        <f>IF($B457="","",IF(AA$3=0,"n.b.",INDEX(SRC_Woningetalage!$A$1:$ZZ$501,$A457,AA$3)))</f>
        <v/>
      </c>
      <c r="AB457" s="124" t="str">
        <f>IF($B457="","",IF(AB$3=0,"n.b.",INDEX(SRC_Woningetalage!$A$1:$ZZ$501,$A457,AB$3)))</f>
        <v/>
      </c>
      <c r="AC457" s="124" t="str">
        <f>IF($B457="","",IF(AC$3=0,"n.b.",INDEX(SRC_Woningetalage!$A$1:$ZZ$501,$A457,AC$3)))</f>
        <v/>
      </c>
      <c r="AD457" s="124" t="str">
        <f>IF($B457="","",IF(AD$3=0,"n.b.",INDEX(SRC_Woningetalage!$A$1:$ZZ$501,$A457,AD$3)))</f>
        <v/>
      </c>
      <c r="AE457" s="124" t="str">
        <f>IF($B457="","",IF(AE$3=0,"n.b.",INDEX(SRC_Woningetalage!$A$1:$ZZ$501,$A457,AE$3)))</f>
        <v/>
      </c>
      <c r="AF457" s="124" t="str">
        <f>IF($B457="","",IF(AF$3=0,"n.b.",INDEX(SRC_Woningetalage!$A$1:$ZZ$501,$A457,AF$3)))</f>
        <v/>
      </c>
      <c r="AG457" s="124" t="str">
        <f>IF($B457="","",IF(AG$3=0,"n.b.",INDEX(SRC_Woningetalage!$A$1:$ZZ$501,$A457,AG$3)))</f>
        <v/>
      </c>
      <c r="AH457" s="124" t="str">
        <f>IF($B457="","",IF(AH$3=0,"n.b.",INDEX(SRC_Woningetalage!$A$1:$ZZ$501,$A457,AH$3)))</f>
        <v/>
      </c>
      <c r="AI457" s="124" t="str">
        <f>IF($B457="","",IF(AI$3=0,"n.b.",INDEX(SRC_Woningetalage!$A$1:$ZZ$501,$A457,AI$3)))</f>
        <v/>
      </c>
      <c r="AJ457" s="124" t="str">
        <f>IF($B457="","",IF(AJ$3=0,"n.b.",INDEX(SRC_Woningetalage!$A$1:$ZZ$501,$A457,AJ$3)))</f>
        <v/>
      </c>
      <c r="AK457" s="124" t="str">
        <f>IF($B457="","",IF(AK$3=0,"n.b.",INDEX(SRC_Woningetalage!$A$1:$ZZ$501,$A457,AK$3)))</f>
        <v/>
      </c>
      <c r="AL457" s="124" t="str">
        <f>IF($B457="","",IF(AL$3=0,"n.b.",INDEX(SRC_Woningetalage!$A$1:$ZZ$501,$A457,AL$3)))</f>
        <v/>
      </c>
      <c r="AM457" s="124" t="str">
        <f>IF($B457="","",IF(AM$3=0,"n.b.",INDEX(SRC_Woningetalage!$A$1:$ZZ$501,$A457,AM$3)))</f>
        <v/>
      </c>
      <c r="AN457" s="124" t="str">
        <f>IF($B457="","",IF(AN$3=0,"n.b.",INDEX(SRC_Woningetalage!$A$1:$ZZ$501,$A457,AN$3)))</f>
        <v/>
      </c>
      <c r="AO457" s="124" t="str">
        <f>IF($B457="","",IF(AO$3=0,"n.b.",INDEX(SRC_Woningetalage!$A$1:$ZZ$501,$A457,AO$3)))</f>
        <v/>
      </c>
      <c r="AP457" s="124" t="str">
        <f>IF($B457="","",IF(AP$3=0,"n.b.",INDEX(SRC_Woningetalage!$A$1:$ZZ$501,$A457,AP$3)))</f>
        <v/>
      </c>
      <c r="AQ457" s="124" t="str">
        <f>IF($B457="","",IF(AQ$3=0,"n.b.",INDEX(SRC_Woningetalage!$A$1:$ZZ$501,$A457,AQ$3)))</f>
        <v/>
      </c>
      <c r="AR457" s="124" t="str">
        <f>IF($B457="","",IF(AR$3=0,"n.b.",INDEX(SRC_Woningetalage!$A$1:$ZZ$501,$A457,AR$3)))</f>
        <v/>
      </c>
      <c r="AS457" s="124" t="str">
        <f>IF($B457="","",IF(AS$3=0,"n.b.",INDEX(SRC_Woningetalage!$A$1:$ZZ$501,$A457,AS$3)))</f>
        <v/>
      </c>
      <c r="AT457" s="124" t="str">
        <f>IF($B457="","",IF(AT$3=0,"n.b.",INDEX(SRC_Woningetalage!$A$1:$ZZ$501,$A457,AT$3)))</f>
        <v/>
      </c>
      <c r="AU457" s="124" t="str">
        <f>IF($B457="","",IF(AU$3=0,"n.b.",INDEX(SRC_Woningetalage!$A$1:$ZZ$501,$A457,AU$3)))</f>
        <v/>
      </c>
      <c r="AV457" s="124" t="str">
        <f>IF($B457="","",IF(AV$3=0,"n.b.",INDEX(SRC_Woningetalage!$A$1:$ZZ$501,$A457,AV$3)))</f>
        <v/>
      </c>
      <c r="AW457" s="124" t="str">
        <f>IF($B457="","",IF(AW$3=0,"n.b.",INDEX(SRC_Woningetalage!$A$1:$ZZ$501,$A457,AW$3)))</f>
        <v/>
      </c>
      <c r="AX457" s="124" t="str">
        <f>IF($B457="","",IF(AX$3=0,"n.b.",INDEX(SRC_Woningetalage!$A$1:$ZZ$501,$A457,AX$3)))</f>
        <v/>
      </c>
      <c r="AY457" s="124" t="str">
        <f>IF($B457="","",IF(AY$3=0,"n.b.",INDEX(SRC_Woningetalage!$A$1:$ZZ$501,$A457,AY$3)))</f>
        <v/>
      </c>
      <c r="AZ457" s="124" t="str">
        <f>IF($B457="","",IF(AZ$3=0,"n.b.",INDEX(SRC_Woningetalage!$A$1:$ZZ$501,$A457,AZ$3)))</f>
        <v/>
      </c>
      <c r="BA457" s="124" t="str">
        <f>IF($B457="","",IF(BA$3=0,"n.b.",INDEX(SRC_Woningetalage!$A$1:$ZZ$501,$A457,BA$3)))</f>
        <v/>
      </c>
      <c r="BB457" s="124" t="str">
        <f>IF($B457="","",IF(BB$3=0,"n.b.",INDEX(SRC_Woningetalage!$A$1:$ZZ$501,$A457,BB$3)))</f>
        <v/>
      </c>
      <c r="BC457" s="124" t="str">
        <f>IF($B457="","",IFERROR(_xlfn.NUMBERVALUE(E457&amp;"",",","."),"n.b."))</f>
        <v/>
      </c>
      <c r="BD457" s="124" t="str">
        <f>IF($B457="","",IFERROR(_xlfn.NUMBERVALUE(M457&amp;"",",","."),"n.b."))</f>
        <v/>
      </c>
      <c r="BE457" s="124" t="str">
        <f>IF($B457="","",IFERROR(AB457+AC457+AD457,"n.b."))</f>
        <v/>
      </c>
      <c r="BF457" s="124" t="str">
        <f>IF($B457="","",IFERROR(AE457+AF457+AG457,"n.b."))</f>
        <v/>
      </c>
      <c r="BG457" s="124" t="str">
        <f>IF($B457="","",IFERROR(AH457+AI457+AJ457,"n.b."))</f>
        <v/>
      </c>
      <c r="BH457" s="124" t="str">
        <f>IF($B457="","",IFERROR(AK457+AL457+AM457,"n.b."))</f>
        <v/>
      </c>
      <c r="BI457" s="124" t="str">
        <f>IF($B457="","",IFERROR(SUMIF($AB$5:$AM$5,"&lt;="&amp;P_PeilMaand,AB457:AM457),"n.b."))</f>
        <v/>
      </c>
      <c r="BJ457" s="124" t="str">
        <f>IF($B457="","",IFERROR(SUM(AB457:AM457)-BI457,"n.b."))</f>
        <v/>
      </c>
      <c r="BK457" s="124" t="str">
        <f>IF($B457="","",IFERROR(IF(ABS(Q457-(T457+SUM(AB457:AM457)+AS457+AU457))&gt;P_Tol,1,0),1))</f>
        <v/>
      </c>
      <c r="BL457" s="124" t="str">
        <f>IF($B457="","",IFERROR(IF(ABS(AA457-(Q457-Z457))&gt;P_Tol,1,0),1))</f>
        <v/>
      </c>
      <c r="BM457" s="124" t="str">
        <f>IF($B457="","",IFERROR(IF(ABS(Z457-(T457+W457))&gt;P_Tol,1,0),1))</f>
        <v/>
      </c>
      <c r="BN457" s="124" t="str">
        <f>IF($B457="","",IFERROR(IF(ABS(W457-BI457)&gt;P_Tol,1,0),1))</f>
        <v/>
      </c>
      <c r="BO457" s="124" t="str">
        <f>IF($B457="","",IFERROR(IF(OR(ABS(R457+S457-T457)&gt;P_Tol,ABS(U457+V457-W457)&gt;P_Tol,ABS(X457+Y457-Z457)&gt;P_Tol),1,0),1))</f>
        <v/>
      </c>
      <c r="BP457" s="124" t="str">
        <f>IF($B457="","",IFERROR(IF(OR(ABS(AR457-SUM(AB457:AM457))&gt;P_Tol,ABS(AS457-(AN457+AO457+AP457+AQ457))&gt;P_Tol),1,0),1))</f>
        <v/>
      </c>
      <c r="BQ457" s="124" t="str">
        <f>IF($B457="","",IFERROR(IF(ABS(AT457)+ABS(AV457)+ABS(AW457)+ABS(AX457)+ABS(AY457)+ABS(AZ457)+ABS(BA457)+ABS(BB457)&gt;0,1,0),1))</f>
        <v/>
      </c>
      <c r="BR457" s="124" t="str">
        <f>IF($B457="","",COUNTIF(STG_ZPMW03!$B$6:$B$505,B457))</f>
        <v/>
      </c>
      <c r="BS457" s="124" t="str">
        <f>IF($B457="","",COUNTIF($B$6:$B$505,B457))</f>
        <v/>
      </c>
      <c r="BT457" s="124" t="str">
        <f>IF($B457="","",IF(BR457=0,0,IF(INDEX(STG_ZPMW03!$I$6:$I$505,MATCH(B457,STG_ZPMW03!$B$6:$B$505,0))=J457&amp;"",0,1)))</f>
        <v/>
      </c>
      <c r="BU457" s="124" t="str">
        <f>IF($B457="","",IFERROR(IF(ABS(INDEX(Mapping!$D$5:$D$104,MATCH(B457,Mapping!$A$5:$A$104,0))-Q457)&gt;P_Tol,1,0),0))</f>
        <v/>
      </c>
      <c r="BV457" s="124" t="str">
        <f>IF($B457="","",IFERROR(IF(AND(INDEX(Mapping!$G$5:$G$104,MATCH(B457,Mapping!$A$5:$A$104,0))="Nee",ABS(Q457)+ABS(Z457)+ABS(AR457)&gt;0),1,0),0))</f>
        <v/>
      </c>
      <c r="BW457" s="124" t="str">
        <f>IF($B457="","",IF(COUNTIF(Mapping!$A$5:$A$104,B457)&gt;0,1,0))</f>
        <v/>
      </c>
      <c r="BX457" s="124" t="str">
        <f>IF($B457="","",IF(BR457=0,COUNTIF($BR$6:BR457,0),""))</f>
        <v/>
      </c>
    </row>
    <row r="458">
      <c r="A458" s="15" t="n">
        <v>454</v>
      </c>
      <c r="B458" t="str">
        <f>IF(B$3=0,"",IF(INDEX(SRC_Woningetalage!$A$1:$ZZ$501,$A458,B$3)&amp;""="","",INDEX(SRC_Woningetalage!$A$1:$ZZ$501,$A458,B$3)&amp;""))</f>
        <v/>
      </c>
      <c r="C458" t="str">
        <f>IF($B458="","",IF(C$3=0,"n.b.",INDEX(SRC_Woningetalage!$A$1:$ZZ$501,$A458,C$3)))</f>
        <v/>
      </c>
      <c r="D458" t="str">
        <f>IF($B458="","",IF(D$3=0,"n.b.",INDEX(SRC_Woningetalage!$A$1:$ZZ$501,$A458,D$3)))</f>
        <v/>
      </c>
      <c r="E458" t="str">
        <f>IF($B458="","",IF(E$3=0,"n.b.",INDEX(SRC_Woningetalage!$A$1:$ZZ$501,$A458,E$3)))</f>
        <v/>
      </c>
      <c r="F458" t="str">
        <f>IF($B458="","",IF(F$3=0,"n.b.",INDEX(SRC_Woningetalage!$A$1:$ZZ$501,$A458,F$3)))</f>
        <v/>
      </c>
      <c r="G458" t="str">
        <f>IF($B458="","",IF(G$3=0,"n.b.",INDEX(SRC_Woningetalage!$A$1:$ZZ$501,$A458,G$3)))</f>
        <v/>
      </c>
      <c r="H458" t="str">
        <f>IF($B458="","",IF(H$3=0,"n.b.",INDEX(SRC_Woningetalage!$A$1:$ZZ$501,$A458,H$3)))</f>
        <v/>
      </c>
      <c r="I458" t="str">
        <f>IF($B458="","",IF(I$3=0,"n.b.",INDEX(SRC_Woningetalage!$A$1:$ZZ$501,$A458,I$3)))</f>
        <v/>
      </c>
      <c r="J458" t="str">
        <f>IF($B458="","",IF(J$3=0,"n.b.",INDEX(SRC_Woningetalage!$A$1:$ZZ$501,$A458,J$3)))</f>
        <v/>
      </c>
      <c r="K458" t="str">
        <f>IF($B458="","",IF(K$3=0,"n.b.",INDEX(SRC_Woningetalage!$A$1:$ZZ$501,$A458,K$3)))</f>
        <v/>
      </c>
      <c r="L458" t="str">
        <f>IF($B458="","",IF(L$3=0,"n.b.",INDEX(SRC_Woningetalage!$A$1:$ZZ$501,$A458,L$3)))</f>
        <v/>
      </c>
      <c r="M458" t="str">
        <f>IF($B458="","",IF(M$3=0,"n.b.",INDEX(SRC_Woningetalage!$A$1:$ZZ$501,$A458,M$3)))</f>
        <v/>
      </c>
      <c r="N458" t="str">
        <f>IF($B458="","",IF(N$3=0,"n.b.",INDEX(SRC_Woningetalage!$A$1:$ZZ$501,$A458,N$3)))</f>
        <v/>
      </c>
      <c r="O458" t="str">
        <f>IF($B458="","",IF(O$3=0,"n.b.",INDEX(SRC_Woningetalage!$A$1:$ZZ$501,$A458,O$3)))</f>
        <v/>
      </c>
      <c r="P458" t="str">
        <f>IF($B458="","",IF(P$3=0,"n.b.",INDEX(SRC_Woningetalage!$A$1:$ZZ$501,$A458,P$3)))</f>
        <v/>
      </c>
      <c r="Q458" s="124" t="str">
        <f>IF($B458="","",IF(Q$3=0,"n.b.",INDEX(SRC_Woningetalage!$A$1:$ZZ$501,$A458,Q$3)))</f>
        <v/>
      </c>
      <c r="R458" s="124" t="str">
        <f>IF($B458="","",IF(R$3=0,"n.b.",INDEX(SRC_Woningetalage!$A$1:$ZZ$501,$A458,R$3)))</f>
        <v/>
      </c>
      <c r="S458" s="124" t="str">
        <f>IF($B458="","",IF(S$3=0,"n.b.",INDEX(SRC_Woningetalage!$A$1:$ZZ$501,$A458,S$3)))</f>
        <v/>
      </c>
      <c r="T458" s="124" t="str">
        <f>IF($B458="","",IF(T$3=0,"n.b.",INDEX(SRC_Woningetalage!$A$1:$ZZ$501,$A458,T$3)))</f>
        <v/>
      </c>
      <c r="U458" s="124" t="str">
        <f>IF($B458="","",IF(U$3=0,"n.b.",INDEX(SRC_Woningetalage!$A$1:$ZZ$501,$A458,U$3)))</f>
        <v/>
      </c>
      <c r="V458" s="124" t="str">
        <f>IF($B458="","",IF(V$3=0,"n.b.",INDEX(SRC_Woningetalage!$A$1:$ZZ$501,$A458,V$3)))</f>
        <v/>
      </c>
      <c r="W458" s="124" t="str">
        <f>IF($B458="","",IF(W$3=0,"n.b.",INDEX(SRC_Woningetalage!$A$1:$ZZ$501,$A458,W$3)))</f>
        <v/>
      </c>
      <c r="X458" s="124" t="str">
        <f>IF($B458="","",IF(X$3=0,"n.b.",INDEX(SRC_Woningetalage!$A$1:$ZZ$501,$A458,X$3)))</f>
        <v/>
      </c>
      <c r="Y458" s="124" t="str">
        <f>IF($B458="","",IF(Y$3=0,"n.b.",INDEX(SRC_Woningetalage!$A$1:$ZZ$501,$A458,Y$3)))</f>
        <v/>
      </c>
      <c r="Z458" s="124" t="str">
        <f>IF($B458="","",IF(Z$3=0,"n.b.",INDEX(SRC_Woningetalage!$A$1:$ZZ$501,$A458,Z$3)))</f>
        <v/>
      </c>
      <c r="AA458" s="124" t="str">
        <f>IF($B458="","",IF(AA$3=0,"n.b.",INDEX(SRC_Woningetalage!$A$1:$ZZ$501,$A458,AA$3)))</f>
        <v/>
      </c>
      <c r="AB458" s="124" t="str">
        <f>IF($B458="","",IF(AB$3=0,"n.b.",INDEX(SRC_Woningetalage!$A$1:$ZZ$501,$A458,AB$3)))</f>
        <v/>
      </c>
      <c r="AC458" s="124" t="str">
        <f>IF($B458="","",IF(AC$3=0,"n.b.",INDEX(SRC_Woningetalage!$A$1:$ZZ$501,$A458,AC$3)))</f>
        <v/>
      </c>
      <c r="AD458" s="124" t="str">
        <f>IF($B458="","",IF(AD$3=0,"n.b.",INDEX(SRC_Woningetalage!$A$1:$ZZ$501,$A458,AD$3)))</f>
        <v/>
      </c>
      <c r="AE458" s="124" t="str">
        <f>IF($B458="","",IF(AE$3=0,"n.b.",INDEX(SRC_Woningetalage!$A$1:$ZZ$501,$A458,AE$3)))</f>
        <v/>
      </c>
      <c r="AF458" s="124" t="str">
        <f>IF($B458="","",IF(AF$3=0,"n.b.",INDEX(SRC_Woningetalage!$A$1:$ZZ$501,$A458,AF$3)))</f>
        <v/>
      </c>
      <c r="AG458" s="124" t="str">
        <f>IF($B458="","",IF(AG$3=0,"n.b.",INDEX(SRC_Woningetalage!$A$1:$ZZ$501,$A458,AG$3)))</f>
        <v/>
      </c>
      <c r="AH458" s="124" t="str">
        <f>IF($B458="","",IF(AH$3=0,"n.b.",INDEX(SRC_Woningetalage!$A$1:$ZZ$501,$A458,AH$3)))</f>
        <v/>
      </c>
      <c r="AI458" s="124" t="str">
        <f>IF($B458="","",IF(AI$3=0,"n.b.",INDEX(SRC_Woningetalage!$A$1:$ZZ$501,$A458,AI$3)))</f>
        <v/>
      </c>
      <c r="AJ458" s="124" t="str">
        <f>IF($B458="","",IF(AJ$3=0,"n.b.",INDEX(SRC_Woningetalage!$A$1:$ZZ$501,$A458,AJ$3)))</f>
        <v/>
      </c>
      <c r="AK458" s="124" t="str">
        <f>IF($B458="","",IF(AK$3=0,"n.b.",INDEX(SRC_Woningetalage!$A$1:$ZZ$501,$A458,AK$3)))</f>
        <v/>
      </c>
      <c r="AL458" s="124" t="str">
        <f>IF($B458="","",IF(AL$3=0,"n.b.",INDEX(SRC_Woningetalage!$A$1:$ZZ$501,$A458,AL$3)))</f>
        <v/>
      </c>
      <c r="AM458" s="124" t="str">
        <f>IF($B458="","",IF(AM$3=0,"n.b.",INDEX(SRC_Woningetalage!$A$1:$ZZ$501,$A458,AM$3)))</f>
        <v/>
      </c>
      <c r="AN458" s="124" t="str">
        <f>IF($B458="","",IF(AN$3=0,"n.b.",INDEX(SRC_Woningetalage!$A$1:$ZZ$501,$A458,AN$3)))</f>
        <v/>
      </c>
      <c r="AO458" s="124" t="str">
        <f>IF($B458="","",IF(AO$3=0,"n.b.",INDEX(SRC_Woningetalage!$A$1:$ZZ$501,$A458,AO$3)))</f>
        <v/>
      </c>
      <c r="AP458" s="124" t="str">
        <f>IF($B458="","",IF(AP$3=0,"n.b.",INDEX(SRC_Woningetalage!$A$1:$ZZ$501,$A458,AP$3)))</f>
        <v/>
      </c>
      <c r="AQ458" s="124" t="str">
        <f>IF($B458="","",IF(AQ$3=0,"n.b.",INDEX(SRC_Woningetalage!$A$1:$ZZ$501,$A458,AQ$3)))</f>
        <v/>
      </c>
      <c r="AR458" s="124" t="str">
        <f>IF($B458="","",IF(AR$3=0,"n.b.",INDEX(SRC_Woningetalage!$A$1:$ZZ$501,$A458,AR$3)))</f>
        <v/>
      </c>
      <c r="AS458" s="124" t="str">
        <f>IF($B458="","",IF(AS$3=0,"n.b.",INDEX(SRC_Woningetalage!$A$1:$ZZ$501,$A458,AS$3)))</f>
        <v/>
      </c>
      <c r="AT458" s="124" t="str">
        <f>IF($B458="","",IF(AT$3=0,"n.b.",INDEX(SRC_Woningetalage!$A$1:$ZZ$501,$A458,AT$3)))</f>
        <v/>
      </c>
      <c r="AU458" s="124" t="str">
        <f>IF($B458="","",IF(AU$3=0,"n.b.",INDEX(SRC_Woningetalage!$A$1:$ZZ$501,$A458,AU$3)))</f>
        <v/>
      </c>
      <c r="AV458" s="124" t="str">
        <f>IF($B458="","",IF(AV$3=0,"n.b.",INDEX(SRC_Woningetalage!$A$1:$ZZ$501,$A458,AV$3)))</f>
        <v/>
      </c>
      <c r="AW458" s="124" t="str">
        <f>IF($B458="","",IF(AW$3=0,"n.b.",INDEX(SRC_Woningetalage!$A$1:$ZZ$501,$A458,AW$3)))</f>
        <v/>
      </c>
      <c r="AX458" s="124" t="str">
        <f>IF($B458="","",IF(AX$3=0,"n.b.",INDEX(SRC_Woningetalage!$A$1:$ZZ$501,$A458,AX$3)))</f>
        <v/>
      </c>
      <c r="AY458" s="124" t="str">
        <f>IF($B458="","",IF(AY$3=0,"n.b.",INDEX(SRC_Woningetalage!$A$1:$ZZ$501,$A458,AY$3)))</f>
        <v/>
      </c>
      <c r="AZ458" s="124" t="str">
        <f>IF($B458="","",IF(AZ$3=0,"n.b.",INDEX(SRC_Woningetalage!$A$1:$ZZ$501,$A458,AZ$3)))</f>
        <v/>
      </c>
      <c r="BA458" s="124" t="str">
        <f>IF($B458="","",IF(BA$3=0,"n.b.",INDEX(SRC_Woningetalage!$A$1:$ZZ$501,$A458,BA$3)))</f>
        <v/>
      </c>
      <c r="BB458" s="124" t="str">
        <f>IF($B458="","",IF(BB$3=0,"n.b.",INDEX(SRC_Woningetalage!$A$1:$ZZ$501,$A458,BB$3)))</f>
        <v/>
      </c>
      <c r="BC458" s="124" t="str">
        <f>IF($B458="","",IFERROR(_xlfn.NUMBERVALUE(E458&amp;"",",","."),"n.b."))</f>
        <v/>
      </c>
      <c r="BD458" s="124" t="str">
        <f>IF($B458="","",IFERROR(_xlfn.NUMBERVALUE(M458&amp;"",",","."),"n.b."))</f>
        <v/>
      </c>
      <c r="BE458" s="124" t="str">
        <f>IF($B458="","",IFERROR(AB458+AC458+AD458,"n.b."))</f>
        <v/>
      </c>
      <c r="BF458" s="124" t="str">
        <f>IF($B458="","",IFERROR(AE458+AF458+AG458,"n.b."))</f>
        <v/>
      </c>
      <c r="BG458" s="124" t="str">
        <f>IF($B458="","",IFERROR(AH458+AI458+AJ458,"n.b."))</f>
        <v/>
      </c>
      <c r="BH458" s="124" t="str">
        <f>IF($B458="","",IFERROR(AK458+AL458+AM458,"n.b."))</f>
        <v/>
      </c>
      <c r="BI458" s="124" t="str">
        <f>IF($B458="","",IFERROR(SUMIF($AB$5:$AM$5,"&lt;="&amp;P_PeilMaand,AB458:AM458),"n.b."))</f>
        <v/>
      </c>
      <c r="BJ458" s="124" t="str">
        <f>IF($B458="","",IFERROR(SUM(AB458:AM458)-BI458,"n.b."))</f>
        <v/>
      </c>
      <c r="BK458" s="124" t="str">
        <f>IF($B458="","",IFERROR(IF(ABS(Q458-(T458+SUM(AB458:AM458)+AS458+AU458))&gt;P_Tol,1,0),1))</f>
        <v/>
      </c>
      <c r="BL458" s="124" t="str">
        <f>IF($B458="","",IFERROR(IF(ABS(AA458-(Q458-Z458))&gt;P_Tol,1,0),1))</f>
        <v/>
      </c>
      <c r="BM458" s="124" t="str">
        <f>IF($B458="","",IFERROR(IF(ABS(Z458-(T458+W458))&gt;P_Tol,1,0),1))</f>
        <v/>
      </c>
      <c r="BN458" s="124" t="str">
        <f>IF($B458="","",IFERROR(IF(ABS(W458-BI458)&gt;P_Tol,1,0),1))</f>
        <v/>
      </c>
      <c r="BO458" s="124" t="str">
        <f>IF($B458="","",IFERROR(IF(OR(ABS(R458+S458-T458)&gt;P_Tol,ABS(U458+V458-W458)&gt;P_Tol,ABS(X458+Y458-Z458)&gt;P_Tol),1,0),1))</f>
        <v/>
      </c>
      <c r="BP458" s="124" t="str">
        <f>IF($B458="","",IFERROR(IF(OR(ABS(AR458-SUM(AB458:AM458))&gt;P_Tol,ABS(AS458-(AN458+AO458+AP458+AQ458))&gt;P_Tol),1,0),1))</f>
        <v/>
      </c>
      <c r="BQ458" s="124" t="str">
        <f>IF($B458="","",IFERROR(IF(ABS(AT458)+ABS(AV458)+ABS(AW458)+ABS(AX458)+ABS(AY458)+ABS(AZ458)+ABS(BA458)+ABS(BB458)&gt;0,1,0),1))</f>
        <v/>
      </c>
      <c r="BR458" s="124" t="str">
        <f>IF($B458="","",COUNTIF(STG_ZPMW03!$B$6:$B$505,B458))</f>
        <v/>
      </c>
      <c r="BS458" s="124" t="str">
        <f>IF($B458="","",COUNTIF($B$6:$B$505,B458))</f>
        <v/>
      </c>
      <c r="BT458" s="124" t="str">
        <f>IF($B458="","",IF(BR458=0,0,IF(INDEX(STG_ZPMW03!$I$6:$I$505,MATCH(B458,STG_ZPMW03!$B$6:$B$505,0))=J458&amp;"",0,1)))</f>
        <v/>
      </c>
      <c r="BU458" s="124" t="str">
        <f>IF($B458="","",IFERROR(IF(ABS(INDEX(Mapping!$D$5:$D$104,MATCH(B458,Mapping!$A$5:$A$104,0))-Q458)&gt;P_Tol,1,0),0))</f>
        <v/>
      </c>
      <c r="BV458" s="124" t="str">
        <f>IF($B458="","",IFERROR(IF(AND(INDEX(Mapping!$G$5:$G$104,MATCH(B458,Mapping!$A$5:$A$104,0))="Nee",ABS(Q458)+ABS(Z458)+ABS(AR458)&gt;0),1,0),0))</f>
        <v/>
      </c>
      <c r="BW458" s="124" t="str">
        <f>IF($B458="","",IF(COUNTIF(Mapping!$A$5:$A$104,B458)&gt;0,1,0))</f>
        <v/>
      </c>
      <c r="BX458" s="124" t="str">
        <f>IF($B458="","",IF(BR458=0,COUNTIF($BR$6:BR458,0),""))</f>
        <v/>
      </c>
    </row>
    <row r="459">
      <c r="A459" s="15" t="n">
        <v>455</v>
      </c>
      <c r="B459" t="str">
        <f>IF(B$3=0,"",IF(INDEX(SRC_Woningetalage!$A$1:$ZZ$501,$A459,B$3)&amp;""="","",INDEX(SRC_Woningetalage!$A$1:$ZZ$501,$A459,B$3)&amp;""))</f>
        <v/>
      </c>
      <c r="C459" t="str">
        <f>IF($B459="","",IF(C$3=0,"n.b.",INDEX(SRC_Woningetalage!$A$1:$ZZ$501,$A459,C$3)))</f>
        <v/>
      </c>
      <c r="D459" t="str">
        <f>IF($B459="","",IF(D$3=0,"n.b.",INDEX(SRC_Woningetalage!$A$1:$ZZ$501,$A459,D$3)))</f>
        <v/>
      </c>
      <c r="E459" t="str">
        <f>IF($B459="","",IF(E$3=0,"n.b.",INDEX(SRC_Woningetalage!$A$1:$ZZ$501,$A459,E$3)))</f>
        <v/>
      </c>
      <c r="F459" t="str">
        <f>IF($B459="","",IF(F$3=0,"n.b.",INDEX(SRC_Woningetalage!$A$1:$ZZ$501,$A459,F$3)))</f>
        <v/>
      </c>
      <c r="G459" t="str">
        <f>IF($B459="","",IF(G$3=0,"n.b.",INDEX(SRC_Woningetalage!$A$1:$ZZ$501,$A459,G$3)))</f>
        <v/>
      </c>
      <c r="H459" t="str">
        <f>IF($B459="","",IF(H$3=0,"n.b.",INDEX(SRC_Woningetalage!$A$1:$ZZ$501,$A459,H$3)))</f>
        <v/>
      </c>
      <c r="I459" t="str">
        <f>IF($B459="","",IF(I$3=0,"n.b.",INDEX(SRC_Woningetalage!$A$1:$ZZ$501,$A459,I$3)))</f>
        <v/>
      </c>
      <c r="J459" t="str">
        <f>IF($B459="","",IF(J$3=0,"n.b.",INDEX(SRC_Woningetalage!$A$1:$ZZ$501,$A459,J$3)))</f>
        <v/>
      </c>
      <c r="K459" t="str">
        <f>IF($B459="","",IF(K$3=0,"n.b.",INDEX(SRC_Woningetalage!$A$1:$ZZ$501,$A459,K$3)))</f>
        <v/>
      </c>
      <c r="L459" t="str">
        <f>IF($B459="","",IF(L$3=0,"n.b.",INDEX(SRC_Woningetalage!$A$1:$ZZ$501,$A459,L$3)))</f>
        <v/>
      </c>
      <c r="M459" t="str">
        <f>IF($B459="","",IF(M$3=0,"n.b.",INDEX(SRC_Woningetalage!$A$1:$ZZ$501,$A459,M$3)))</f>
        <v/>
      </c>
      <c r="N459" t="str">
        <f>IF($B459="","",IF(N$3=0,"n.b.",INDEX(SRC_Woningetalage!$A$1:$ZZ$501,$A459,N$3)))</f>
        <v/>
      </c>
      <c r="O459" t="str">
        <f>IF($B459="","",IF(O$3=0,"n.b.",INDEX(SRC_Woningetalage!$A$1:$ZZ$501,$A459,O$3)))</f>
        <v/>
      </c>
      <c r="P459" t="str">
        <f>IF($B459="","",IF(P$3=0,"n.b.",INDEX(SRC_Woningetalage!$A$1:$ZZ$501,$A459,P$3)))</f>
        <v/>
      </c>
      <c r="Q459" s="124" t="str">
        <f>IF($B459="","",IF(Q$3=0,"n.b.",INDEX(SRC_Woningetalage!$A$1:$ZZ$501,$A459,Q$3)))</f>
        <v/>
      </c>
      <c r="R459" s="124" t="str">
        <f>IF($B459="","",IF(R$3=0,"n.b.",INDEX(SRC_Woningetalage!$A$1:$ZZ$501,$A459,R$3)))</f>
        <v/>
      </c>
      <c r="S459" s="124" t="str">
        <f>IF($B459="","",IF(S$3=0,"n.b.",INDEX(SRC_Woningetalage!$A$1:$ZZ$501,$A459,S$3)))</f>
        <v/>
      </c>
      <c r="T459" s="124" t="str">
        <f>IF($B459="","",IF(T$3=0,"n.b.",INDEX(SRC_Woningetalage!$A$1:$ZZ$501,$A459,T$3)))</f>
        <v/>
      </c>
      <c r="U459" s="124" t="str">
        <f>IF($B459="","",IF(U$3=0,"n.b.",INDEX(SRC_Woningetalage!$A$1:$ZZ$501,$A459,U$3)))</f>
        <v/>
      </c>
      <c r="V459" s="124" t="str">
        <f>IF($B459="","",IF(V$3=0,"n.b.",INDEX(SRC_Woningetalage!$A$1:$ZZ$501,$A459,V$3)))</f>
        <v/>
      </c>
      <c r="W459" s="124" t="str">
        <f>IF($B459="","",IF(W$3=0,"n.b.",INDEX(SRC_Woningetalage!$A$1:$ZZ$501,$A459,W$3)))</f>
        <v/>
      </c>
      <c r="X459" s="124" t="str">
        <f>IF($B459="","",IF(X$3=0,"n.b.",INDEX(SRC_Woningetalage!$A$1:$ZZ$501,$A459,X$3)))</f>
        <v/>
      </c>
      <c r="Y459" s="124" t="str">
        <f>IF($B459="","",IF(Y$3=0,"n.b.",INDEX(SRC_Woningetalage!$A$1:$ZZ$501,$A459,Y$3)))</f>
        <v/>
      </c>
      <c r="Z459" s="124" t="str">
        <f>IF($B459="","",IF(Z$3=0,"n.b.",INDEX(SRC_Woningetalage!$A$1:$ZZ$501,$A459,Z$3)))</f>
        <v/>
      </c>
      <c r="AA459" s="124" t="str">
        <f>IF($B459="","",IF(AA$3=0,"n.b.",INDEX(SRC_Woningetalage!$A$1:$ZZ$501,$A459,AA$3)))</f>
        <v/>
      </c>
      <c r="AB459" s="124" t="str">
        <f>IF($B459="","",IF(AB$3=0,"n.b.",INDEX(SRC_Woningetalage!$A$1:$ZZ$501,$A459,AB$3)))</f>
        <v/>
      </c>
      <c r="AC459" s="124" t="str">
        <f>IF($B459="","",IF(AC$3=0,"n.b.",INDEX(SRC_Woningetalage!$A$1:$ZZ$501,$A459,AC$3)))</f>
        <v/>
      </c>
      <c r="AD459" s="124" t="str">
        <f>IF($B459="","",IF(AD$3=0,"n.b.",INDEX(SRC_Woningetalage!$A$1:$ZZ$501,$A459,AD$3)))</f>
        <v/>
      </c>
      <c r="AE459" s="124" t="str">
        <f>IF($B459="","",IF(AE$3=0,"n.b.",INDEX(SRC_Woningetalage!$A$1:$ZZ$501,$A459,AE$3)))</f>
        <v/>
      </c>
      <c r="AF459" s="124" t="str">
        <f>IF($B459="","",IF(AF$3=0,"n.b.",INDEX(SRC_Woningetalage!$A$1:$ZZ$501,$A459,AF$3)))</f>
        <v/>
      </c>
      <c r="AG459" s="124" t="str">
        <f>IF($B459="","",IF(AG$3=0,"n.b.",INDEX(SRC_Woningetalage!$A$1:$ZZ$501,$A459,AG$3)))</f>
        <v/>
      </c>
      <c r="AH459" s="124" t="str">
        <f>IF($B459="","",IF(AH$3=0,"n.b.",INDEX(SRC_Woningetalage!$A$1:$ZZ$501,$A459,AH$3)))</f>
        <v/>
      </c>
      <c r="AI459" s="124" t="str">
        <f>IF($B459="","",IF(AI$3=0,"n.b.",INDEX(SRC_Woningetalage!$A$1:$ZZ$501,$A459,AI$3)))</f>
        <v/>
      </c>
      <c r="AJ459" s="124" t="str">
        <f>IF($B459="","",IF(AJ$3=0,"n.b.",INDEX(SRC_Woningetalage!$A$1:$ZZ$501,$A459,AJ$3)))</f>
        <v/>
      </c>
      <c r="AK459" s="124" t="str">
        <f>IF($B459="","",IF(AK$3=0,"n.b.",INDEX(SRC_Woningetalage!$A$1:$ZZ$501,$A459,AK$3)))</f>
        <v/>
      </c>
      <c r="AL459" s="124" t="str">
        <f>IF($B459="","",IF(AL$3=0,"n.b.",INDEX(SRC_Woningetalage!$A$1:$ZZ$501,$A459,AL$3)))</f>
        <v/>
      </c>
      <c r="AM459" s="124" t="str">
        <f>IF($B459="","",IF(AM$3=0,"n.b.",INDEX(SRC_Woningetalage!$A$1:$ZZ$501,$A459,AM$3)))</f>
        <v/>
      </c>
      <c r="AN459" s="124" t="str">
        <f>IF($B459="","",IF(AN$3=0,"n.b.",INDEX(SRC_Woningetalage!$A$1:$ZZ$501,$A459,AN$3)))</f>
        <v/>
      </c>
      <c r="AO459" s="124" t="str">
        <f>IF($B459="","",IF(AO$3=0,"n.b.",INDEX(SRC_Woningetalage!$A$1:$ZZ$501,$A459,AO$3)))</f>
        <v/>
      </c>
      <c r="AP459" s="124" t="str">
        <f>IF($B459="","",IF(AP$3=0,"n.b.",INDEX(SRC_Woningetalage!$A$1:$ZZ$501,$A459,AP$3)))</f>
        <v/>
      </c>
      <c r="AQ459" s="124" t="str">
        <f>IF($B459="","",IF(AQ$3=0,"n.b.",INDEX(SRC_Woningetalage!$A$1:$ZZ$501,$A459,AQ$3)))</f>
        <v/>
      </c>
      <c r="AR459" s="124" t="str">
        <f>IF($B459="","",IF(AR$3=0,"n.b.",INDEX(SRC_Woningetalage!$A$1:$ZZ$501,$A459,AR$3)))</f>
        <v/>
      </c>
      <c r="AS459" s="124" t="str">
        <f>IF($B459="","",IF(AS$3=0,"n.b.",INDEX(SRC_Woningetalage!$A$1:$ZZ$501,$A459,AS$3)))</f>
        <v/>
      </c>
      <c r="AT459" s="124" t="str">
        <f>IF($B459="","",IF(AT$3=0,"n.b.",INDEX(SRC_Woningetalage!$A$1:$ZZ$501,$A459,AT$3)))</f>
        <v/>
      </c>
      <c r="AU459" s="124" t="str">
        <f>IF($B459="","",IF(AU$3=0,"n.b.",INDEX(SRC_Woningetalage!$A$1:$ZZ$501,$A459,AU$3)))</f>
        <v/>
      </c>
      <c r="AV459" s="124" t="str">
        <f>IF($B459="","",IF(AV$3=0,"n.b.",INDEX(SRC_Woningetalage!$A$1:$ZZ$501,$A459,AV$3)))</f>
        <v/>
      </c>
      <c r="AW459" s="124" t="str">
        <f>IF($B459="","",IF(AW$3=0,"n.b.",INDEX(SRC_Woningetalage!$A$1:$ZZ$501,$A459,AW$3)))</f>
        <v/>
      </c>
      <c r="AX459" s="124" t="str">
        <f>IF($B459="","",IF(AX$3=0,"n.b.",INDEX(SRC_Woningetalage!$A$1:$ZZ$501,$A459,AX$3)))</f>
        <v/>
      </c>
      <c r="AY459" s="124" t="str">
        <f>IF($B459="","",IF(AY$3=0,"n.b.",INDEX(SRC_Woningetalage!$A$1:$ZZ$501,$A459,AY$3)))</f>
        <v/>
      </c>
      <c r="AZ459" s="124" t="str">
        <f>IF($B459="","",IF(AZ$3=0,"n.b.",INDEX(SRC_Woningetalage!$A$1:$ZZ$501,$A459,AZ$3)))</f>
        <v/>
      </c>
      <c r="BA459" s="124" t="str">
        <f>IF($B459="","",IF(BA$3=0,"n.b.",INDEX(SRC_Woningetalage!$A$1:$ZZ$501,$A459,BA$3)))</f>
        <v/>
      </c>
      <c r="BB459" s="124" t="str">
        <f>IF($B459="","",IF(BB$3=0,"n.b.",INDEX(SRC_Woningetalage!$A$1:$ZZ$501,$A459,BB$3)))</f>
        <v/>
      </c>
      <c r="BC459" s="124" t="str">
        <f>IF($B459="","",IFERROR(_xlfn.NUMBERVALUE(E459&amp;"",",","."),"n.b."))</f>
        <v/>
      </c>
      <c r="BD459" s="124" t="str">
        <f>IF($B459="","",IFERROR(_xlfn.NUMBERVALUE(M459&amp;"",",","."),"n.b."))</f>
        <v/>
      </c>
      <c r="BE459" s="124" t="str">
        <f>IF($B459="","",IFERROR(AB459+AC459+AD459,"n.b."))</f>
        <v/>
      </c>
      <c r="BF459" s="124" t="str">
        <f>IF($B459="","",IFERROR(AE459+AF459+AG459,"n.b."))</f>
        <v/>
      </c>
      <c r="BG459" s="124" t="str">
        <f>IF($B459="","",IFERROR(AH459+AI459+AJ459,"n.b."))</f>
        <v/>
      </c>
      <c r="BH459" s="124" t="str">
        <f>IF($B459="","",IFERROR(AK459+AL459+AM459,"n.b."))</f>
        <v/>
      </c>
      <c r="BI459" s="124" t="str">
        <f>IF($B459="","",IFERROR(SUMIF($AB$5:$AM$5,"&lt;="&amp;P_PeilMaand,AB459:AM459),"n.b."))</f>
        <v/>
      </c>
      <c r="BJ459" s="124" t="str">
        <f>IF($B459="","",IFERROR(SUM(AB459:AM459)-BI459,"n.b."))</f>
        <v/>
      </c>
      <c r="BK459" s="124" t="str">
        <f>IF($B459="","",IFERROR(IF(ABS(Q459-(T459+SUM(AB459:AM459)+AS459+AU459))&gt;P_Tol,1,0),1))</f>
        <v/>
      </c>
      <c r="BL459" s="124" t="str">
        <f>IF($B459="","",IFERROR(IF(ABS(AA459-(Q459-Z459))&gt;P_Tol,1,0),1))</f>
        <v/>
      </c>
      <c r="BM459" s="124" t="str">
        <f>IF($B459="","",IFERROR(IF(ABS(Z459-(T459+W459))&gt;P_Tol,1,0),1))</f>
        <v/>
      </c>
      <c r="BN459" s="124" t="str">
        <f>IF($B459="","",IFERROR(IF(ABS(W459-BI459)&gt;P_Tol,1,0),1))</f>
        <v/>
      </c>
      <c r="BO459" s="124" t="str">
        <f>IF($B459="","",IFERROR(IF(OR(ABS(R459+S459-T459)&gt;P_Tol,ABS(U459+V459-W459)&gt;P_Tol,ABS(X459+Y459-Z459)&gt;P_Tol),1,0),1))</f>
        <v/>
      </c>
      <c r="BP459" s="124" t="str">
        <f>IF($B459="","",IFERROR(IF(OR(ABS(AR459-SUM(AB459:AM459))&gt;P_Tol,ABS(AS459-(AN459+AO459+AP459+AQ459))&gt;P_Tol),1,0),1))</f>
        <v/>
      </c>
      <c r="BQ459" s="124" t="str">
        <f>IF($B459="","",IFERROR(IF(ABS(AT459)+ABS(AV459)+ABS(AW459)+ABS(AX459)+ABS(AY459)+ABS(AZ459)+ABS(BA459)+ABS(BB459)&gt;0,1,0),1))</f>
        <v/>
      </c>
      <c r="BR459" s="124" t="str">
        <f>IF($B459="","",COUNTIF(STG_ZPMW03!$B$6:$B$505,B459))</f>
        <v/>
      </c>
      <c r="BS459" s="124" t="str">
        <f>IF($B459="","",COUNTIF($B$6:$B$505,B459))</f>
        <v/>
      </c>
      <c r="BT459" s="124" t="str">
        <f>IF($B459="","",IF(BR459=0,0,IF(INDEX(STG_ZPMW03!$I$6:$I$505,MATCH(B459,STG_ZPMW03!$B$6:$B$505,0))=J459&amp;"",0,1)))</f>
        <v/>
      </c>
      <c r="BU459" s="124" t="str">
        <f>IF($B459="","",IFERROR(IF(ABS(INDEX(Mapping!$D$5:$D$104,MATCH(B459,Mapping!$A$5:$A$104,0))-Q459)&gt;P_Tol,1,0),0))</f>
        <v/>
      </c>
      <c r="BV459" s="124" t="str">
        <f>IF($B459="","",IFERROR(IF(AND(INDEX(Mapping!$G$5:$G$104,MATCH(B459,Mapping!$A$5:$A$104,0))="Nee",ABS(Q459)+ABS(Z459)+ABS(AR459)&gt;0),1,0),0))</f>
        <v/>
      </c>
      <c r="BW459" s="124" t="str">
        <f>IF($B459="","",IF(COUNTIF(Mapping!$A$5:$A$104,B459)&gt;0,1,0))</f>
        <v/>
      </c>
      <c r="BX459" s="124" t="str">
        <f>IF($B459="","",IF(BR459=0,COUNTIF($BR$6:BR459,0),""))</f>
        <v/>
      </c>
    </row>
    <row r="460">
      <c r="A460" s="15" t="n">
        <v>456</v>
      </c>
      <c r="B460" t="str">
        <f>IF(B$3=0,"",IF(INDEX(SRC_Woningetalage!$A$1:$ZZ$501,$A460,B$3)&amp;""="","",INDEX(SRC_Woningetalage!$A$1:$ZZ$501,$A460,B$3)&amp;""))</f>
        <v/>
      </c>
      <c r="C460" t="str">
        <f>IF($B460="","",IF(C$3=0,"n.b.",INDEX(SRC_Woningetalage!$A$1:$ZZ$501,$A460,C$3)))</f>
        <v/>
      </c>
      <c r="D460" t="str">
        <f>IF($B460="","",IF(D$3=0,"n.b.",INDEX(SRC_Woningetalage!$A$1:$ZZ$501,$A460,D$3)))</f>
        <v/>
      </c>
      <c r="E460" t="str">
        <f>IF($B460="","",IF(E$3=0,"n.b.",INDEX(SRC_Woningetalage!$A$1:$ZZ$501,$A460,E$3)))</f>
        <v/>
      </c>
      <c r="F460" t="str">
        <f>IF($B460="","",IF(F$3=0,"n.b.",INDEX(SRC_Woningetalage!$A$1:$ZZ$501,$A460,F$3)))</f>
        <v/>
      </c>
      <c r="G460" t="str">
        <f>IF($B460="","",IF(G$3=0,"n.b.",INDEX(SRC_Woningetalage!$A$1:$ZZ$501,$A460,G$3)))</f>
        <v/>
      </c>
      <c r="H460" t="str">
        <f>IF($B460="","",IF(H$3=0,"n.b.",INDEX(SRC_Woningetalage!$A$1:$ZZ$501,$A460,H$3)))</f>
        <v/>
      </c>
      <c r="I460" t="str">
        <f>IF($B460="","",IF(I$3=0,"n.b.",INDEX(SRC_Woningetalage!$A$1:$ZZ$501,$A460,I$3)))</f>
        <v/>
      </c>
      <c r="J460" t="str">
        <f>IF($B460="","",IF(J$3=0,"n.b.",INDEX(SRC_Woningetalage!$A$1:$ZZ$501,$A460,J$3)))</f>
        <v/>
      </c>
      <c r="K460" t="str">
        <f>IF($B460="","",IF(K$3=0,"n.b.",INDEX(SRC_Woningetalage!$A$1:$ZZ$501,$A460,K$3)))</f>
        <v/>
      </c>
      <c r="L460" t="str">
        <f>IF($B460="","",IF(L$3=0,"n.b.",INDEX(SRC_Woningetalage!$A$1:$ZZ$501,$A460,L$3)))</f>
        <v/>
      </c>
      <c r="M460" t="str">
        <f>IF($B460="","",IF(M$3=0,"n.b.",INDEX(SRC_Woningetalage!$A$1:$ZZ$501,$A460,M$3)))</f>
        <v/>
      </c>
      <c r="N460" t="str">
        <f>IF($B460="","",IF(N$3=0,"n.b.",INDEX(SRC_Woningetalage!$A$1:$ZZ$501,$A460,N$3)))</f>
        <v/>
      </c>
      <c r="O460" t="str">
        <f>IF($B460="","",IF(O$3=0,"n.b.",INDEX(SRC_Woningetalage!$A$1:$ZZ$501,$A460,O$3)))</f>
        <v/>
      </c>
      <c r="P460" t="str">
        <f>IF($B460="","",IF(P$3=0,"n.b.",INDEX(SRC_Woningetalage!$A$1:$ZZ$501,$A460,P$3)))</f>
        <v/>
      </c>
      <c r="Q460" s="124" t="str">
        <f>IF($B460="","",IF(Q$3=0,"n.b.",INDEX(SRC_Woningetalage!$A$1:$ZZ$501,$A460,Q$3)))</f>
        <v/>
      </c>
      <c r="R460" s="124" t="str">
        <f>IF($B460="","",IF(R$3=0,"n.b.",INDEX(SRC_Woningetalage!$A$1:$ZZ$501,$A460,R$3)))</f>
        <v/>
      </c>
      <c r="S460" s="124" t="str">
        <f>IF($B460="","",IF(S$3=0,"n.b.",INDEX(SRC_Woningetalage!$A$1:$ZZ$501,$A460,S$3)))</f>
        <v/>
      </c>
      <c r="T460" s="124" t="str">
        <f>IF($B460="","",IF(T$3=0,"n.b.",INDEX(SRC_Woningetalage!$A$1:$ZZ$501,$A460,T$3)))</f>
        <v/>
      </c>
      <c r="U460" s="124" t="str">
        <f>IF($B460="","",IF(U$3=0,"n.b.",INDEX(SRC_Woningetalage!$A$1:$ZZ$501,$A460,U$3)))</f>
        <v/>
      </c>
      <c r="V460" s="124" t="str">
        <f>IF($B460="","",IF(V$3=0,"n.b.",INDEX(SRC_Woningetalage!$A$1:$ZZ$501,$A460,V$3)))</f>
        <v/>
      </c>
      <c r="W460" s="124" t="str">
        <f>IF($B460="","",IF(W$3=0,"n.b.",INDEX(SRC_Woningetalage!$A$1:$ZZ$501,$A460,W$3)))</f>
        <v/>
      </c>
      <c r="X460" s="124" t="str">
        <f>IF($B460="","",IF(X$3=0,"n.b.",INDEX(SRC_Woningetalage!$A$1:$ZZ$501,$A460,X$3)))</f>
        <v/>
      </c>
      <c r="Y460" s="124" t="str">
        <f>IF($B460="","",IF(Y$3=0,"n.b.",INDEX(SRC_Woningetalage!$A$1:$ZZ$501,$A460,Y$3)))</f>
        <v/>
      </c>
      <c r="Z460" s="124" t="str">
        <f>IF($B460="","",IF(Z$3=0,"n.b.",INDEX(SRC_Woningetalage!$A$1:$ZZ$501,$A460,Z$3)))</f>
        <v/>
      </c>
      <c r="AA460" s="124" t="str">
        <f>IF($B460="","",IF(AA$3=0,"n.b.",INDEX(SRC_Woningetalage!$A$1:$ZZ$501,$A460,AA$3)))</f>
        <v/>
      </c>
      <c r="AB460" s="124" t="str">
        <f>IF($B460="","",IF(AB$3=0,"n.b.",INDEX(SRC_Woningetalage!$A$1:$ZZ$501,$A460,AB$3)))</f>
        <v/>
      </c>
      <c r="AC460" s="124" t="str">
        <f>IF($B460="","",IF(AC$3=0,"n.b.",INDEX(SRC_Woningetalage!$A$1:$ZZ$501,$A460,AC$3)))</f>
        <v/>
      </c>
      <c r="AD460" s="124" t="str">
        <f>IF($B460="","",IF(AD$3=0,"n.b.",INDEX(SRC_Woningetalage!$A$1:$ZZ$501,$A460,AD$3)))</f>
        <v/>
      </c>
      <c r="AE460" s="124" t="str">
        <f>IF($B460="","",IF(AE$3=0,"n.b.",INDEX(SRC_Woningetalage!$A$1:$ZZ$501,$A460,AE$3)))</f>
        <v/>
      </c>
      <c r="AF460" s="124" t="str">
        <f>IF($B460="","",IF(AF$3=0,"n.b.",INDEX(SRC_Woningetalage!$A$1:$ZZ$501,$A460,AF$3)))</f>
        <v/>
      </c>
      <c r="AG460" s="124" t="str">
        <f>IF($B460="","",IF(AG$3=0,"n.b.",INDEX(SRC_Woningetalage!$A$1:$ZZ$501,$A460,AG$3)))</f>
        <v/>
      </c>
      <c r="AH460" s="124" t="str">
        <f>IF($B460="","",IF(AH$3=0,"n.b.",INDEX(SRC_Woningetalage!$A$1:$ZZ$501,$A460,AH$3)))</f>
        <v/>
      </c>
      <c r="AI460" s="124" t="str">
        <f>IF($B460="","",IF(AI$3=0,"n.b.",INDEX(SRC_Woningetalage!$A$1:$ZZ$501,$A460,AI$3)))</f>
        <v/>
      </c>
      <c r="AJ460" s="124" t="str">
        <f>IF($B460="","",IF(AJ$3=0,"n.b.",INDEX(SRC_Woningetalage!$A$1:$ZZ$501,$A460,AJ$3)))</f>
        <v/>
      </c>
      <c r="AK460" s="124" t="str">
        <f>IF($B460="","",IF(AK$3=0,"n.b.",INDEX(SRC_Woningetalage!$A$1:$ZZ$501,$A460,AK$3)))</f>
        <v/>
      </c>
      <c r="AL460" s="124" t="str">
        <f>IF($B460="","",IF(AL$3=0,"n.b.",INDEX(SRC_Woningetalage!$A$1:$ZZ$501,$A460,AL$3)))</f>
        <v/>
      </c>
      <c r="AM460" s="124" t="str">
        <f>IF($B460="","",IF(AM$3=0,"n.b.",INDEX(SRC_Woningetalage!$A$1:$ZZ$501,$A460,AM$3)))</f>
        <v/>
      </c>
      <c r="AN460" s="124" t="str">
        <f>IF($B460="","",IF(AN$3=0,"n.b.",INDEX(SRC_Woningetalage!$A$1:$ZZ$501,$A460,AN$3)))</f>
        <v/>
      </c>
      <c r="AO460" s="124" t="str">
        <f>IF($B460="","",IF(AO$3=0,"n.b.",INDEX(SRC_Woningetalage!$A$1:$ZZ$501,$A460,AO$3)))</f>
        <v/>
      </c>
      <c r="AP460" s="124" t="str">
        <f>IF($B460="","",IF(AP$3=0,"n.b.",INDEX(SRC_Woningetalage!$A$1:$ZZ$501,$A460,AP$3)))</f>
        <v/>
      </c>
      <c r="AQ460" s="124" t="str">
        <f>IF($B460="","",IF(AQ$3=0,"n.b.",INDEX(SRC_Woningetalage!$A$1:$ZZ$501,$A460,AQ$3)))</f>
        <v/>
      </c>
      <c r="AR460" s="124" t="str">
        <f>IF($B460="","",IF(AR$3=0,"n.b.",INDEX(SRC_Woningetalage!$A$1:$ZZ$501,$A460,AR$3)))</f>
        <v/>
      </c>
      <c r="AS460" s="124" t="str">
        <f>IF($B460="","",IF(AS$3=0,"n.b.",INDEX(SRC_Woningetalage!$A$1:$ZZ$501,$A460,AS$3)))</f>
        <v/>
      </c>
      <c r="AT460" s="124" t="str">
        <f>IF($B460="","",IF(AT$3=0,"n.b.",INDEX(SRC_Woningetalage!$A$1:$ZZ$501,$A460,AT$3)))</f>
        <v/>
      </c>
      <c r="AU460" s="124" t="str">
        <f>IF($B460="","",IF(AU$3=0,"n.b.",INDEX(SRC_Woningetalage!$A$1:$ZZ$501,$A460,AU$3)))</f>
        <v/>
      </c>
      <c r="AV460" s="124" t="str">
        <f>IF($B460="","",IF(AV$3=0,"n.b.",INDEX(SRC_Woningetalage!$A$1:$ZZ$501,$A460,AV$3)))</f>
        <v/>
      </c>
      <c r="AW460" s="124" t="str">
        <f>IF($B460="","",IF(AW$3=0,"n.b.",INDEX(SRC_Woningetalage!$A$1:$ZZ$501,$A460,AW$3)))</f>
        <v/>
      </c>
      <c r="AX460" s="124" t="str">
        <f>IF($B460="","",IF(AX$3=0,"n.b.",INDEX(SRC_Woningetalage!$A$1:$ZZ$501,$A460,AX$3)))</f>
        <v/>
      </c>
      <c r="AY460" s="124" t="str">
        <f>IF($B460="","",IF(AY$3=0,"n.b.",INDEX(SRC_Woningetalage!$A$1:$ZZ$501,$A460,AY$3)))</f>
        <v/>
      </c>
      <c r="AZ460" s="124" t="str">
        <f>IF($B460="","",IF(AZ$3=0,"n.b.",INDEX(SRC_Woningetalage!$A$1:$ZZ$501,$A460,AZ$3)))</f>
        <v/>
      </c>
      <c r="BA460" s="124" t="str">
        <f>IF($B460="","",IF(BA$3=0,"n.b.",INDEX(SRC_Woningetalage!$A$1:$ZZ$501,$A460,BA$3)))</f>
        <v/>
      </c>
      <c r="BB460" s="124" t="str">
        <f>IF($B460="","",IF(BB$3=0,"n.b.",INDEX(SRC_Woningetalage!$A$1:$ZZ$501,$A460,BB$3)))</f>
        <v/>
      </c>
      <c r="BC460" s="124" t="str">
        <f>IF($B460="","",IFERROR(_xlfn.NUMBERVALUE(E460&amp;"",",","."),"n.b."))</f>
        <v/>
      </c>
      <c r="BD460" s="124" t="str">
        <f>IF($B460="","",IFERROR(_xlfn.NUMBERVALUE(M460&amp;"",",","."),"n.b."))</f>
        <v/>
      </c>
      <c r="BE460" s="124" t="str">
        <f>IF($B460="","",IFERROR(AB460+AC460+AD460,"n.b."))</f>
        <v/>
      </c>
      <c r="BF460" s="124" t="str">
        <f>IF($B460="","",IFERROR(AE460+AF460+AG460,"n.b."))</f>
        <v/>
      </c>
      <c r="BG460" s="124" t="str">
        <f>IF($B460="","",IFERROR(AH460+AI460+AJ460,"n.b."))</f>
        <v/>
      </c>
      <c r="BH460" s="124" t="str">
        <f>IF($B460="","",IFERROR(AK460+AL460+AM460,"n.b."))</f>
        <v/>
      </c>
      <c r="BI460" s="124" t="str">
        <f>IF($B460="","",IFERROR(SUMIF($AB$5:$AM$5,"&lt;="&amp;P_PeilMaand,AB460:AM460),"n.b."))</f>
        <v/>
      </c>
      <c r="BJ460" s="124" t="str">
        <f>IF($B460="","",IFERROR(SUM(AB460:AM460)-BI460,"n.b."))</f>
        <v/>
      </c>
      <c r="BK460" s="124" t="str">
        <f>IF($B460="","",IFERROR(IF(ABS(Q460-(T460+SUM(AB460:AM460)+AS460+AU460))&gt;P_Tol,1,0),1))</f>
        <v/>
      </c>
      <c r="BL460" s="124" t="str">
        <f>IF($B460="","",IFERROR(IF(ABS(AA460-(Q460-Z460))&gt;P_Tol,1,0),1))</f>
        <v/>
      </c>
      <c r="BM460" s="124" t="str">
        <f>IF($B460="","",IFERROR(IF(ABS(Z460-(T460+W460))&gt;P_Tol,1,0),1))</f>
        <v/>
      </c>
      <c r="BN460" s="124" t="str">
        <f>IF($B460="","",IFERROR(IF(ABS(W460-BI460)&gt;P_Tol,1,0),1))</f>
        <v/>
      </c>
      <c r="BO460" s="124" t="str">
        <f>IF($B460="","",IFERROR(IF(OR(ABS(R460+S460-T460)&gt;P_Tol,ABS(U460+V460-W460)&gt;P_Tol,ABS(X460+Y460-Z460)&gt;P_Tol),1,0),1))</f>
        <v/>
      </c>
      <c r="BP460" s="124" t="str">
        <f>IF($B460="","",IFERROR(IF(OR(ABS(AR460-SUM(AB460:AM460))&gt;P_Tol,ABS(AS460-(AN460+AO460+AP460+AQ460))&gt;P_Tol),1,0),1))</f>
        <v/>
      </c>
      <c r="BQ460" s="124" t="str">
        <f>IF($B460="","",IFERROR(IF(ABS(AT460)+ABS(AV460)+ABS(AW460)+ABS(AX460)+ABS(AY460)+ABS(AZ460)+ABS(BA460)+ABS(BB460)&gt;0,1,0),1))</f>
        <v/>
      </c>
      <c r="BR460" s="124" t="str">
        <f>IF($B460="","",COUNTIF(STG_ZPMW03!$B$6:$B$505,B460))</f>
        <v/>
      </c>
      <c r="BS460" s="124" t="str">
        <f>IF($B460="","",COUNTIF($B$6:$B$505,B460))</f>
        <v/>
      </c>
      <c r="BT460" s="124" t="str">
        <f>IF($B460="","",IF(BR460=0,0,IF(INDEX(STG_ZPMW03!$I$6:$I$505,MATCH(B460,STG_ZPMW03!$B$6:$B$505,0))=J460&amp;"",0,1)))</f>
        <v/>
      </c>
      <c r="BU460" s="124" t="str">
        <f>IF($B460="","",IFERROR(IF(ABS(INDEX(Mapping!$D$5:$D$104,MATCH(B460,Mapping!$A$5:$A$104,0))-Q460)&gt;P_Tol,1,0),0))</f>
        <v/>
      </c>
      <c r="BV460" s="124" t="str">
        <f>IF($B460="","",IFERROR(IF(AND(INDEX(Mapping!$G$5:$G$104,MATCH(B460,Mapping!$A$5:$A$104,0))="Nee",ABS(Q460)+ABS(Z460)+ABS(AR460)&gt;0),1,0),0))</f>
        <v/>
      </c>
      <c r="BW460" s="124" t="str">
        <f>IF($B460="","",IF(COUNTIF(Mapping!$A$5:$A$104,B460)&gt;0,1,0))</f>
        <v/>
      </c>
      <c r="BX460" s="124" t="str">
        <f>IF($B460="","",IF(BR460=0,COUNTIF($BR$6:BR460,0),""))</f>
        <v/>
      </c>
    </row>
    <row r="461">
      <c r="A461" s="15" t="n">
        <v>457</v>
      </c>
      <c r="B461" t="str">
        <f>IF(B$3=0,"",IF(INDEX(SRC_Woningetalage!$A$1:$ZZ$501,$A461,B$3)&amp;""="","",INDEX(SRC_Woningetalage!$A$1:$ZZ$501,$A461,B$3)&amp;""))</f>
        <v/>
      </c>
      <c r="C461" t="str">
        <f>IF($B461="","",IF(C$3=0,"n.b.",INDEX(SRC_Woningetalage!$A$1:$ZZ$501,$A461,C$3)))</f>
        <v/>
      </c>
      <c r="D461" t="str">
        <f>IF($B461="","",IF(D$3=0,"n.b.",INDEX(SRC_Woningetalage!$A$1:$ZZ$501,$A461,D$3)))</f>
        <v/>
      </c>
      <c r="E461" t="str">
        <f>IF($B461="","",IF(E$3=0,"n.b.",INDEX(SRC_Woningetalage!$A$1:$ZZ$501,$A461,E$3)))</f>
        <v/>
      </c>
      <c r="F461" t="str">
        <f>IF($B461="","",IF(F$3=0,"n.b.",INDEX(SRC_Woningetalage!$A$1:$ZZ$501,$A461,F$3)))</f>
        <v/>
      </c>
      <c r="G461" t="str">
        <f>IF($B461="","",IF(G$3=0,"n.b.",INDEX(SRC_Woningetalage!$A$1:$ZZ$501,$A461,G$3)))</f>
        <v/>
      </c>
      <c r="H461" t="str">
        <f>IF($B461="","",IF(H$3=0,"n.b.",INDEX(SRC_Woningetalage!$A$1:$ZZ$501,$A461,H$3)))</f>
        <v/>
      </c>
      <c r="I461" t="str">
        <f>IF($B461="","",IF(I$3=0,"n.b.",INDEX(SRC_Woningetalage!$A$1:$ZZ$501,$A461,I$3)))</f>
        <v/>
      </c>
      <c r="J461" t="str">
        <f>IF($B461="","",IF(J$3=0,"n.b.",INDEX(SRC_Woningetalage!$A$1:$ZZ$501,$A461,J$3)))</f>
        <v/>
      </c>
      <c r="K461" t="str">
        <f>IF($B461="","",IF(K$3=0,"n.b.",INDEX(SRC_Woningetalage!$A$1:$ZZ$501,$A461,K$3)))</f>
        <v/>
      </c>
      <c r="L461" t="str">
        <f>IF($B461="","",IF(L$3=0,"n.b.",INDEX(SRC_Woningetalage!$A$1:$ZZ$501,$A461,L$3)))</f>
        <v/>
      </c>
      <c r="M461" t="str">
        <f>IF($B461="","",IF(M$3=0,"n.b.",INDEX(SRC_Woningetalage!$A$1:$ZZ$501,$A461,M$3)))</f>
        <v/>
      </c>
      <c r="N461" t="str">
        <f>IF($B461="","",IF(N$3=0,"n.b.",INDEX(SRC_Woningetalage!$A$1:$ZZ$501,$A461,N$3)))</f>
        <v/>
      </c>
      <c r="O461" t="str">
        <f>IF($B461="","",IF(O$3=0,"n.b.",INDEX(SRC_Woningetalage!$A$1:$ZZ$501,$A461,O$3)))</f>
        <v/>
      </c>
      <c r="P461" t="str">
        <f>IF($B461="","",IF(P$3=0,"n.b.",INDEX(SRC_Woningetalage!$A$1:$ZZ$501,$A461,P$3)))</f>
        <v/>
      </c>
      <c r="Q461" s="124" t="str">
        <f>IF($B461="","",IF(Q$3=0,"n.b.",INDEX(SRC_Woningetalage!$A$1:$ZZ$501,$A461,Q$3)))</f>
        <v/>
      </c>
      <c r="R461" s="124" t="str">
        <f>IF($B461="","",IF(R$3=0,"n.b.",INDEX(SRC_Woningetalage!$A$1:$ZZ$501,$A461,R$3)))</f>
        <v/>
      </c>
      <c r="S461" s="124" t="str">
        <f>IF($B461="","",IF(S$3=0,"n.b.",INDEX(SRC_Woningetalage!$A$1:$ZZ$501,$A461,S$3)))</f>
        <v/>
      </c>
      <c r="T461" s="124" t="str">
        <f>IF($B461="","",IF(T$3=0,"n.b.",INDEX(SRC_Woningetalage!$A$1:$ZZ$501,$A461,T$3)))</f>
        <v/>
      </c>
      <c r="U461" s="124" t="str">
        <f>IF($B461="","",IF(U$3=0,"n.b.",INDEX(SRC_Woningetalage!$A$1:$ZZ$501,$A461,U$3)))</f>
        <v/>
      </c>
      <c r="V461" s="124" t="str">
        <f>IF($B461="","",IF(V$3=0,"n.b.",INDEX(SRC_Woningetalage!$A$1:$ZZ$501,$A461,V$3)))</f>
        <v/>
      </c>
      <c r="W461" s="124" t="str">
        <f>IF($B461="","",IF(W$3=0,"n.b.",INDEX(SRC_Woningetalage!$A$1:$ZZ$501,$A461,W$3)))</f>
        <v/>
      </c>
      <c r="X461" s="124" t="str">
        <f>IF($B461="","",IF(X$3=0,"n.b.",INDEX(SRC_Woningetalage!$A$1:$ZZ$501,$A461,X$3)))</f>
        <v/>
      </c>
      <c r="Y461" s="124" t="str">
        <f>IF($B461="","",IF(Y$3=0,"n.b.",INDEX(SRC_Woningetalage!$A$1:$ZZ$501,$A461,Y$3)))</f>
        <v/>
      </c>
      <c r="Z461" s="124" t="str">
        <f>IF($B461="","",IF(Z$3=0,"n.b.",INDEX(SRC_Woningetalage!$A$1:$ZZ$501,$A461,Z$3)))</f>
        <v/>
      </c>
      <c r="AA461" s="124" t="str">
        <f>IF($B461="","",IF(AA$3=0,"n.b.",INDEX(SRC_Woningetalage!$A$1:$ZZ$501,$A461,AA$3)))</f>
        <v/>
      </c>
      <c r="AB461" s="124" t="str">
        <f>IF($B461="","",IF(AB$3=0,"n.b.",INDEX(SRC_Woningetalage!$A$1:$ZZ$501,$A461,AB$3)))</f>
        <v/>
      </c>
      <c r="AC461" s="124" t="str">
        <f>IF($B461="","",IF(AC$3=0,"n.b.",INDEX(SRC_Woningetalage!$A$1:$ZZ$501,$A461,AC$3)))</f>
        <v/>
      </c>
      <c r="AD461" s="124" t="str">
        <f>IF($B461="","",IF(AD$3=0,"n.b.",INDEX(SRC_Woningetalage!$A$1:$ZZ$501,$A461,AD$3)))</f>
        <v/>
      </c>
      <c r="AE461" s="124" t="str">
        <f>IF($B461="","",IF(AE$3=0,"n.b.",INDEX(SRC_Woningetalage!$A$1:$ZZ$501,$A461,AE$3)))</f>
        <v/>
      </c>
      <c r="AF461" s="124" t="str">
        <f>IF($B461="","",IF(AF$3=0,"n.b.",INDEX(SRC_Woningetalage!$A$1:$ZZ$501,$A461,AF$3)))</f>
        <v/>
      </c>
      <c r="AG461" s="124" t="str">
        <f>IF($B461="","",IF(AG$3=0,"n.b.",INDEX(SRC_Woningetalage!$A$1:$ZZ$501,$A461,AG$3)))</f>
        <v/>
      </c>
      <c r="AH461" s="124" t="str">
        <f>IF($B461="","",IF(AH$3=0,"n.b.",INDEX(SRC_Woningetalage!$A$1:$ZZ$501,$A461,AH$3)))</f>
        <v/>
      </c>
      <c r="AI461" s="124" t="str">
        <f>IF($B461="","",IF(AI$3=0,"n.b.",INDEX(SRC_Woningetalage!$A$1:$ZZ$501,$A461,AI$3)))</f>
        <v/>
      </c>
      <c r="AJ461" s="124" t="str">
        <f>IF($B461="","",IF(AJ$3=0,"n.b.",INDEX(SRC_Woningetalage!$A$1:$ZZ$501,$A461,AJ$3)))</f>
        <v/>
      </c>
      <c r="AK461" s="124" t="str">
        <f>IF($B461="","",IF(AK$3=0,"n.b.",INDEX(SRC_Woningetalage!$A$1:$ZZ$501,$A461,AK$3)))</f>
        <v/>
      </c>
      <c r="AL461" s="124" t="str">
        <f>IF($B461="","",IF(AL$3=0,"n.b.",INDEX(SRC_Woningetalage!$A$1:$ZZ$501,$A461,AL$3)))</f>
        <v/>
      </c>
      <c r="AM461" s="124" t="str">
        <f>IF($B461="","",IF(AM$3=0,"n.b.",INDEX(SRC_Woningetalage!$A$1:$ZZ$501,$A461,AM$3)))</f>
        <v/>
      </c>
      <c r="AN461" s="124" t="str">
        <f>IF($B461="","",IF(AN$3=0,"n.b.",INDEX(SRC_Woningetalage!$A$1:$ZZ$501,$A461,AN$3)))</f>
        <v/>
      </c>
      <c r="AO461" s="124" t="str">
        <f>IF($B461="","",IF(AO$3=0,"n.b.",INDEX(SRC_Woningetalage!$A$1:$ZZ$501,$A461,AO$3)))</f>
        <v/>
      </c>
      <c r="AP461" s="124" t="str">
        <f>IF($B461="","",IF(AP$3=0,"n.b.",INDEX(SRC_Woningetalage!$A$1:$ZZ$501,$A461,AP$3)))</f>
        <v/>
      </c>
      <c r="AQ461" s="124" t="str">
        <f>IF($B461="","",IF(AQ$3=0,"n.b.",INDEX(SRC_Woningetalage!$A$1:$ZZ$501,$A461,AQ$3)))</f>
        <v/>
      </c>
      <c r="AR461" s="124" t="str">
        <f>IF($B461="","",IF(AR$3=0,"n.b.",INDEX(SRC_Woningetalage!$A$1:$ZZ$501,$A461,AR$3)))</f>
        <v/>
      </c>
      <c r="AS461" s="124" t="str">
        <f>IF($B461="","",IF(AS$3=0,"n.b.",INDEX(SRC_Woningetalage!$A$1:$ZZ$501,$A461,AS$3)))</f>
        <v/>
      </c>
      <c r="AT461" s="124" t="str">
        <f>IF($B461="","",IF(AT$3=0,"n.b.",INDEX(SRC_Woningetalage!$A$1:$ZZ$501,$A461,AT$3)))</f>
        <v/>
      </c>
      <c r="AU461" s="124" t="str">
        <f>IF($B461="","",IF(AU$3=0,"n.b.",INDEX(SRC_Woningetalage!$A$1:$ZZ$501,$A461,AU$3)))</f>
        <v/>
      </c>
      <c r="AV461" s="124" t="str">
        <f>IF($B461="","",IF(AV$3=0,"n.b.",INDEX(SRC_Woningetalage!$A$1:$ZZ$501,$A461,AV$3)))</f>
        <v/>
      </c>
      <c r="AW461" s="124" t="str">
        <f>IF($B461="","",IF(AW$3=0,"n.b.",INDEX(SRC_Woningetalage!$A$1:$ZZ$501,$A461,AW$3)))</f>
        <v/>
      </c>
      <c r="AX461" s="124" t="str">
        <f>IF($B461="","",IF(AX$3=0,"n.b.",INDEX(SRC_Woningetalage!$A$1:$ZZ$501,$A461,AX$3)))</f>
        <v/>
      </c>
      <c r="AY461" s="124" t="str">
        <f>IF($B461="","",IF(AY$3=0,"n.b.",INDEX(SRC_Woningetalage!$A$1:$ZZ$501,$A461,AY$3)))</f>
        <v/>
      </c>
      <c r="AZ461" s="124" t="str">
        <f>IF($B461="","",IF(AZ$3=0,"n.b.",INDEX(SRC_Woningetalage!$A$1:$ZZ$501,$A461,AZ$3)))</f>
        <v/>
      </c>
      <c r="BA461" s="124" t="str">
        <f>IF($B461="","",IF(BA$3=0,"n.b.",INDEX(SRC_Woningetalage!$A$1:$ZZ$501,$A461,BA$3)))</f>
        <v/>
      </c>
      <c r="BB461" s="124" t="str">
        <f>IF($B461="","",IF(BB$3=0,"n.b.",INDEX(SRC_Woningetalage!$A$1:$ZZ$501,$A461,BB$3)))</f>
        <v/>
      </c>
      <c r="BC461" s="124" t="str">
        <f>IF($B461="","",IFERROR(_xlfn.NUMBERVALUE(E461&amp;"",",","."),"n.b."))</f>
        <v/>
      </c>
      <c r="BD461" s="124" t="str">
        <f>IF($B461="","",IFERROR(_xlfn.NUMBERVALUE(M461&amp;"",",","."),"n.b."))</f>
        <v/>
      </c>
      <c r="BE461" s="124" t="str">
        <f>IF($B461="","",IFERROR(AB461+AC461+AD461,"n.b."))</f>
        <v/>
      </c>
      <c r="BF461" s="124" t="str">
        <f>IF($B461="","",IFERROR(AE461+AF461+AG461,"n.b."))</f>
        <v/>
      </c>
      <c r="BG461" s="124" t="str">
        <f>IF($B461="","",IFERROR(AH461+AI461+AJ461,"n.b."))</f>
        <v/>
      </c>
      <c r="BH461" s="124" t="str">
        <f>IF($B461="","",IFERROR(AK461+AL461+AM461,"n.b."))</f>
        <v/>
      </c>
      <c r="BI461" s="124" t="str">
        <f>IF($B461="","",IFERROR(SUMIF($AB$5:$AM$5,"&lt;="&amp;P_PeilMaand,AB461:AM461),"n.b."))</f>
        <v/>
      </c>
      <c r="BJ461" s="124" t="str">
        <f>IF($B461="","",IFERROR(SUM(AB461:AM461)-BI461,"n.b."))</f>
        <v/>
      </c>
      <c r="BK461" s="124" t="str">
        <f>IF($B461="","",IFERROR(IF(ABS(Q461-(T461+SUM(AB461:AM461)+AS461+AU461))&gt;P_Tol,1,0),1))</f>
        <v/>
      </c>
      <c r="BL461" s="124" t="str">
        <f>IF($B461="","",IFERROR(IF(ABS(AA461-(Q461-Z461))&gt;P_Tol,1,0),1))</f>
        <v/>
      </c>
      <c r="BM461" s="124" t="str">
        <f>IF($B461="","",IFERROR(IF(ABS(Z461-(T461+W461))&gt;P_Tol,1,0),1))</f>
        <v/>
      </c>
      <c r="BN461" s="124" t="str">
        <f>IF($B461="","",IFERROR(IF(ABS(W461-BI461)&gt;P_Tol,1,0),1))</f>
        <v/>
      </c>
      <c r="BO461" s="124" t="str">
        <f>IF($B461="","",IFERROR(IF(OR(ABS(R461+S461-T461)&gt;P_Tol,ABS(U461+V461-W461)&gt;P_Tol,ABS(X461+Y461-Z461)&gt;P_Tol),1,0),1))</f>
        <v/>
      </c>
      <c r="BP461" s="124" t="str">
        <f>IF($B461="","",IFERROR(IF(OR(ABS(AR461-SUM(AB461:AM461))&gt;P_Tol,ABS(AS461-(AN461+AO461+AP461+AQ461))&gt;P_Tol),1,0),1))</f>
        <v/>
      </c>
      <c r="BQ461" s="124" t="str">
        <f>IF($B461="","",IFERROR(IF(ABS(AT461)+ABS(AV461)+ABS(AW461)+ABS(AX461)+ABS(AY461)+ABS(AZ461)+ABS(BA461)+ABS(BB461)&gt;0,1,0),1))</f>
        <v/>
      </c>
      <c r="BR461" s="124" t="str">
        <f>IF($B461="","",COUNTIF(STG_ZPMW03!$B$6:$B$505,B461))</f>
        <v/>
      </c>
      <c r="BS461" s="124" t="str">
        <f>IF($B461="","",COUNTIF($B$6:$B$505,B461))</f>
        <v/>
      </c>
      <c r="BT461" s="124" t="str">
        <f>IF($B461="","",IF(BR461=0,0,IF(INDEX(STG_ZPMW03!$I$6:$I$505,MATCH(B461,STG_ZPMW03!$B$6:$B$505,0))=J461&amp;"",0,1)))</f>
        <v/>
      </c>
      <c r="BU461" s="124" t="str">
        <f>IF($B461="","",IFERROR(IF(ABS(INDEX(Mapping!$D$5:$D$104,MATCH(B461,Mapping!$A$5:$A$104,0))-Q461)&gt;P_Tol,1,0),0))</f>
        <v/>
      </c>
      <c r="BV461" s="124" t="str">
        <f>IF($B461="","",IFERROR(IF(AND(INDEX(Mapping!$G$5:$G$104,MATCH(B461,Mapping!$A$5:$A$104,0))="Nee",ABS(Q461)+ABS(Z461)+ABS(AR461)&gt;0),1,0),0))</f>
        <v/>
      </c>
      <c r="BW461" s="124" t="str">
        <f>IF($B461="","",IF(COUNTIF(Mapping!$A$5:$A$104,B461)&gt;0,1,0))</f>
        <v/>
      </c>
      <c r="BX461" s="124" t="str">
        <f>IF($B461="","",IF(BR461=0,COUNTIF($BR$6:BR461,0),""))</f>
        <v/>
      </c>
    </row>
    <row r="462">
      <c r="A462" s="15" t="n">
        <v>458</v>
      </c>
      <c r="B462" t="str">
        <f>IF(B$3=0,"",IF(INDEX(SRC_Woningetalage!$A$1:$ZZ$501,$A462,B$3)&amp;""="","",INDEX(SRC_Woningetalage!$A$1:$ZZ$501,$A462,B$3)&amp;""))</f>
        <v/>
      </c>
      <c r="C462" t="str">
        <f>IF($B462="","",IF(C$3=0,"n.b.",INDEX(SRC_Woningetalage!$A$1:$ZZ$501,$A462,C$3)))</f>
        <v/>
      </c>
      <c r="D462" t="str">
        <f>IF($B462="","",IF(D$3=0,"n.b.",INDEX(SRC_Woningetalage!$A$1:$ZZ$501,$A462,D$3)))</f>
        <v/>
      </c>
      <c r="E462" t="str">
        <f>IF($B462="","",IF(E$3=0,"n.b.",INDEX(SRC_Woningetalage!$A$1:$ZZ$501,$A462,E$3)))</f>
        <v/>
      </c>
      <c r="F462" t="str">
        <f>IF($B462="","",IF(F$3=0,"n.b.",INDEX(SRC_Woningetalage!$A$1:$ZZ$501,$A462,F$3)))</f>
        <v/>
      </c>
      <c r="G462" t="str">
        <f>IF($B462="","",IF(G$3=0,"n.b.",INDEX(SRC_Woningetalage!$A$1:$ZZ$501,$A462,G$3)))</f>
        <v/>
      </c>
      <c r="H462" t="str">
        <f>IF($B462="","",IF(H$3=0,"n.b.",INDEX(SRC_Woningetalage!$A$1:$ZZ$501,$A462,H$3)))</f>
        <v/>
      </c>
      <c r="I462" t="str">
        <f>IF($B462="","",IF(I$3=0,"n.b.",INDEX(SRC_Woningetalage!$A$1:$ZZ$501,$A462,I$3)))</f>
        <v/>
      </c>
      <c r="J462" t="str">
        <f>IF($B462="","",IF(J$3=0,"n.b.",INDEX(SRC_Woningetalage!$A$1:$ZZ$501,$A462,J$3)))</f>
        <v/>
      </c>
      <c r="K462" t="str">
        <f>IF($B462="","",IF(K$3=0,"n.b.",INDEX(SRC_Woningetalage!$A$1:$ZZ$501,$A462,K$3)))</f>
        <v/>
      </c>
      <c r="L462" t="str">
        <f>IF($B462="","",IF(L$3=0,"n.b.",INDEX(SRC_Woningetalage!$A$1:$ZZ$501,$A462,L$3)))</f>
        <v/>
      </c>
      <c r="M462" t="str">
        <f>IF($B462="","",IF(M$3=0,"n.b.",INDEX(SRC_Woningetalage!$A$1:$ZZ$501,$A462,M$3)))</f>
        <v/>
      </c>
      <c r="N462" t="str">
        <f>IF($B462="","",IF(N$3=0,"n.b.",INDEX(SRC_Woningetalage!$A$1:$ZZ$501,$A462,N$3)))</f>
        <v/>
      </c>
      <c r="O462" t="str">
        <f>IF($B462="","",IF(O$3=0,"n.b.",INDEX(SRC_Woningetalage!$A$1:$ZZ$501,$A462,O$3)))</f>
        <v/>
      </c>
      <c r="P462" t="str">
        <f>IF($B462="","",IF(P$3=0,"n.b.",INDEX(SRC_Woningetalage!$A$1:$ZZ$501,$A462,P$3)))</f>
        <v/>
      </c>
      <c r="Q462" s="124" t="str">
        <f>IF($B462="","",IF(Q$3=0,"n.b.",INDEX(SRC_Woningetalage!$A$1:$ZZ$501,$A462,Q$3)))</f>
        <v/>
      </c>
      <c r="R462" s="124" t="str">
        <f>IF($B462="","",IF(R$3=0,"n.b.",INDEX(SRC_Woningetalage!$A$1:$ZZ$501,$A462,R$3)))</f>
        <v/>
      </c>
      <c r="S462" s="124" t="str">
        <f>IF($B462="","",IF(S$3=0,"n.b.",INDEX(SRC_Woningetalage!$A$1:$ZZ$501,$A462,S$3)))</f>
        <v/>
      </c>
      <c r="T462" s="124" t="str">
        <f>IF($B462="","",IF(T$3=0,"n.b.",INDEX(SRC_Woningetalage!$A$1:$ZZ$501,$A462,T$3)))</f>
        <v/>
      </c>
      <c r="U462" s="124" t="str">
        <f>IF($B462="","",IF(U$3=0,"n.b.",INDEX(SRC_Woningetalage!$A$1:$ZZ$501,$A462,U$3)))</f>
        <v/>
      </c>
      <c r="V462" s="124" t="str">
        <f>IF($B462="","",IF(V$3=0,"n.b.",INDEX(SRC_Woningetalage!$A$1:$ZZ$501,$A462,V$3)))</f>
        <v/>
      </c>
      <c r="W462" s="124" t="str">
        <f>IF($B462="","",IF(W$3=0,"n.b.",INDEX(SRC_Woningetalage!$A$1:$ZZ$501,$A462,W$3)))</f>
        <v/>
      </c>
      <c r="X462" s="124" t="str">
        <f>IF($B462="","",IF(X$3=0,"n.b.",INDEX(SRC_Woningetalage!$A$1:$ZZ$501,$A462,X$3)))</f>
        <v/>
      </c>
      <c r="Y462" s="124" t="str">
        <f>IF($B462="","",IF(Y$3=0,"n.b.",INDEX(SRC_Woningetalage!$A$1:$ZZ$501,$A462,Y$3)))</f>
        <v/>
      </c>
      <c r="Z462" s="124" t="str">
        <f>IF($B462="","",IF(Z$3=0,"n.b.",INDEX(SRC_Woningetalage!$A$1:$ZZ$501,$A462,Z$3)))</f>
        <v/>
      </c>
      <c r="AA462" s="124" t="str">
        <f>IF($B462="","",IF(AA$3=0,"n.b.",INDEX(SRC_Woningetalage!$A$1:$ZZ$501,$A462,AA$3)))</f>
        <v/>
      </c>
      <c r="AB462" s="124" t="str">
        <f>IF($B462="","",IF(AB$3=0,"n.b.",INDEX(SRC_Woningetalage!$A$1:$ZZ$501,$A462,AB$3)))</f>
        <v/>
      </c>
      <c r="AC462" s="124" t="str">
        <f>IF($B462="","",IF(AC$3=0,"n.b.",INDEX(SRC_Woningetalage!$A$1:$ZZ$501,$A462,AC$3)))</f>
        <v/>
      </c>
      <c r="AD462" s="124" t="str">
        <f>IF($B462="","",IF(AD$3=0,"n.b.",INDEX(SRC_Woningetalage!$A$1:$ZZ$501,$A462,AD$3)))</f>
        <v/>
      </c>
      <c r="AE462" s="124" t="str">
        <f>IF($B462="","",IF(AE$3=0,"n.b.",INDEX(SRC_Woningetalage!$A$1:$ZZ$501,$A462,AE$3)))</f>
        <v/>
      </c>
      <c r="AF462" s="124" t="str">
        <f>IF($B462="","",IF(AF$3=0,"n.b.",INDEX(SRC_Woningetalage!$A$1:$ZZ$501,$A462,AF$3)))</f>
        <v/>
      </c>
      <c r="AG462" s="124" t="str">
        <f>IF($B462="","",IF(AG$3=0,"n.b.",INDEX(SRC_Woningetalage!$A$1:$ZZ$501,$A462,AG$3)))</f>
        <v/>
      </c>
      <c r="AH462" s="124" t="str">
        <f>IF($B462="","",IF(AH$3=0,"n.b.",INDEX(SRC_Woningetalage!$A$1:$ZZ$501,$A462,AH$3)))</f>
        <v/>
      </c>
      <c r="AI462" s="124" t="str">
        <f>IF($B462="","",IF(AI$3=0,"n.b.",INDEX(SRC_Woningetalage!$A$1:$ZZ$501,$A462,AI$3)))</f>
        <v/>
      </c>
      <c r="AJ462" s="124" t="str">
        <f>IF($B462="","",IF(AJ$3=0,"n.b.",INDEX(SRC_Woningetalage!$A$1:$ZZ$501,$A462,AJ$3)))</f>
        <v/>
      </c>
      <c r="AK462" s="124" t="str">
        <f>IF($B462="","",IF(AK$3=0,"n.b.",INDEX(SRC_Woningetalage!$A$1:$ZZ$501,$A462,AK$3)))</f>
        <v/>
      </c>
      <c r="AL462" s="124" t="str">
        <f>IF($B462="","",IF(AL$3=0,"n.b.",INDEX(SRC_Woningetalage!$A$1:$ZZ$501,$A462,AL$3)))</f>
        <v/>
      </c>
      <c r="AM462" s="124" t="str">
        <f>IF($B462="","",IF(AM$3=0,"n.b.",INDEX(SRC_Woningetalage!$A$1:$ZZ$501,$A462,AM$3)))</f>
        <v/>
      </c>
      <c r="AN462" s="124" t="str">
        <f>IF($B462="","",IF(AN$3=0,"n.b.",INDEX(SRC_Woningetalage!$A$1:$ZZ$501,$A462,AN$3)))</f>
        <v/>
      </c>
      <c r="AO462" s="124" t="str">
        <f>IF($B462="","",IF(AO$3=0,"n.b.",INDEX(SRC_Woningetalage!$A$1:$ZZ$501,$A462,AO$3)))</f>
        <v/>
      </c>
      <c r="AP462" s="124" t="str">
        <f>IF($B462="","",IF(AP$3=0,"n.b.",INDEX(SRC_Woningetalage!$A$1:$ZZ$501,$A462,AP$3)))</f>
        <v/>
      </c>
      <c r="AQ462" s="124" t="str">
        <f>IF($B462="","",IF(AQ$3=0,"n.b.",INDEX(SRC_Woningetalage!$A$1:$ZZ$501,$A462,AQ$3)))</f>
        <v/>
      </c>
      <c r="AR462" s="124" t="str">
        <f>IF($B462="","",IF(AR$3=0,"n.b.",INDEX(SRC_Woningetalage!$A$1:$ZZ$501,$A462,AR$3)))</f>
        <v/>
      </c>
      <c r="AS462" s="124" t="str">
        <f>IF($B462="","",IF(AS$3=0,"n.b.",INDEX(SRC_Woningetalage!$A$1:$ZZ$501,$A462,AS$3)))</f>
        <v/>
      </c>
      <c r="AT462" s="124" t="str">
        <f>IF($B462="","",IF(AT$3=0,"n.b.",INDEX(SRC_Woningetalage!$A$1:$ZZ$501,$A462,AT$3)))</f>
        <v/>
      </c>
      <c r="AU462" s="124" t="str">
        <f>IF($B462="","",IF(AU$3=0,"n.b.",INDEX(SRC_Woningetalage!$A$1:$ZZ$501,$A462,AU$3)))</f>
        <v/>
      </c>
      <c r="AV462" s="124" t="str">
        <f>IF($B462="","",IF(AV$3=0,"n.b.",INDEX(SRC_Woningetalage!$A$1:$ZZ$501,$A462,AV$3)))</f>
        <v/>
      </c>
      <c r="AW462" s="124" t="str">
        <f>IF($B462="","",IF(AW$3=0,"n.b.",INDEX(SRC_Woningetalage!$A$1:$ZZ$501,$A462,AW$3)))</f>
        <v/>
      </c>
      <c r="AX462" s="124" t="str">
        <f>IF($B462="","",IF(AX$3=0,"n.b.",INDEX(SRC_Woningetalage!$A$1:$ZZ$501,$A462,AX$3)))</f>
        <v/>
      </c>
      <c r="AY462" s="124" t="str">
        <f>IF($B462="","",IF(AY$3=0,"n.b.",INDEX(SRC_Woningetalage!$A$1:$ZZ$501,$A462,AY$3)))</f>
        <v/>
      </c>
      <c r="AZ462" s="124" t="str">
        <f>IF($B462="","",IF(AZ$3=0,"n.b.",INDEX(SRC_Woningetalage!$A$1:$ZZ$501,$A462,AZ$3)))</f>
        <v/>
      </c>
      <c r="BA462" s="124" t="str">
        <f>IF($B462="","",IF(BA$3=0,"n.b.",INDEX(SRC_Woningetalage!$A$1:$ZZ$501,$A462,BA$3)))</f>
        <v/>
      </c>
      <c r="BB462" s="124" t="str">
        <f>IF($B462="","",IF(BB$3=0,"n.b.",INDEX(SRC_Woningetalage!$A$1:$ZZ$501,$A462,BB$3)))</f>
        <v/>
      </c>
      <c r="BC462" s="124" t="str">
        <f>IF($B462="","",IFERROR(_xlfn.NUMBERVALUE(E462&amp;"",",","."),"n.b."))</f>
        <v/>
      </c>
      <c r="BD462" s="124" t="str">
        <f>IF($B462="","",IFERROR(_xlfn.NUMBERVALUE(M462&amp;"",",","."),"n.b."))</f>
        <v/>
      </c>
      <c r="BE462" s="124" t="str">
        <f>IF($B462="","",IFERROR(AB462+AC462+AD462,"n.b."))</f>
        <v/>
      </c>
      <c r="BF462" s="124" t="str">
        <f>IF($B462="","",IFERROR(AE462+AF462+AG462,"n.b."))</f>
        <v/>
      </c>
      <c r="BG462" s="124" t="str">
        <f>IF($B462="","",IFERROR(AH462+AI462+AJ462,"n.b."))</f>
        <v/>
      </c>
      <c r="BH462" s="124" t="str">
        <f>IF($B462="","",IFERROR(AK462+AL462+AM462,"n.b."))</f>
        <v/>
      </c>
      <c r="BI462" s="124" t="str">
        <f>IF($B462="","",IFERROR(SUMIF($AB$5:$AM$5,"&lt;="&amp;P_PeilMaand,AB462:AM462),"n.b."))</f>
        <v/>
      </c>
      <c r="BJ462" s="124" t="str">
        <f>IF($B462="","",IFERROR(SUM(AB462:AM462)-BI462,"n.b."))</f>
        <v/>
      </c>
      <c r="BK462" s="124" t="str">
        <f>IF($B462="","",IFERROR(IF(ABS(Q462-(T462+SUM(AB462:AM462)+AS462+AU462))&gt;P_Tol,1,0),1))</f>
        <v/>
      </c>
      <c r="BL462" s="124" t="str">
        <f>IF($B462="","",IFERROR(IF(ABS(AA462-(Q462-Z462))&gt;P_Tol,1,0),1))</f>
        <v/>
      </c>
      <c r="BM462" s="124" t="str">
        <f>IF($B462="","",IFERROR(IF(ABS(Z462-(T462+W462))&gt;P_Tol,1,0),1))</f>
        <v/>
      </c>
      <c r="BN462" s="124" t="str">
        <f>IF($B462="","",IFERROR(IF(ABS(W462-BI462)&gt;P_Tol,1,0),1))</f>
        <v/>
      </c>
      <c r="BO462" s="124" t="str">
        <f>IF($B462="","",IFERROR(IF(OR(ABS(R462+S462-T462)&gt;P_Tol,ABS(U462+V462-W462)&gt;P_Tol,ABS(X462+Y462-Z462)&gt;P_Tol),1,0),1))</f>
        <v/>
      </c>
      <c r="BP462" s="124" t="str">
        <f>IF($B462="","",IFERROR(IF(OR(ABS(AR462-SUM(AB462:AM462))&gt;P_Tol,ABS(AS462-(AN462+AO462+AP462+AQ462))&gt;P_Tol),1,0),1))</f>
        <v/>
      </c>
      <c r="BQ462" s="124" t="str">
        <f>IF($B462="","",IFERROR(IF(ABS(AT462)+ABS(AV462)+ABS(AW462)+ABS(AX462)+ABS(AY462)+ABS(AZ462)+ABS(BA462)+ABS(BB462)&gt;0,1,0),1))</f>
        <v/>
      </c>
      <c r="BR462" s="124" t="str">
        <f>IF($B462="","",COUNTIF(STG_ZPMW03!$B$6:$B$505,B462))</f>
        <v/>
      </c>
      <c r="BS462" s="124" t="str">
        <f>IF($B462="","",COUNTIF($B$6:$B$505,B462))</f>
        <v/>
      </c>
      <c r="BT462" s="124" t="str">
        <f>IF($B462="","",IF(BR462=0,0,IF(INDEX(STG_ZPMW03!$I$6:$I$505,MATCH(B462,STG_ZPMW03!$B$6:$B$505,0))=J462&amp;"",0,1)))</f>
        <v/>
      </c>
      <c r="BU462" s="124" t="str">
        <f>IF($B462="","",IFERROR(IF(ABS(INDEX(Mapping!$D$5:$D$104,MATCH(B462,Mapping!$A$5:$A$104,0))-Q462)&gt;P_Tol,1,0),0))</f>
        <v/>
      </c>
      <c r="BV462" s="124" t="str">
        <f>IF($B462="","",IFERROR(IF(AND(INDEX(Mapping!$G$5:$G$104,MATCH(B462,Mapping!$A$5:$A$104,0))="Nee",ABS(Q462)+ABS(Z462)+ABS(AR462)&gt;0),1,0),0))</f>
        <v/>
      </c>
      <c r="BW462" s="124" t="str">
        <f>IF($B462="","",IF(COUNTIF(Mapping!$A$5:$A$104,B462)&gt;0,1,0))</f>
        <v/>
      </c>
      <c r="BX462" s="124" t="str">
        <f>IF($B462="","",IF(BR462=0,COUNTIF($BR$6:BR462,0),""))</f>
        <v/>
      </c>
    </row>
    <row r="463">
      <c r="A463" s="15" t="n">
        <v>459</v>
      </c>
      <c r="B463" t="str">
        <f>IF(B$3=0,"",IF(INDEX(SRC_Woningetalage!$A$1:$ZZ$501,$A463,B$3)&amp;""="","",INDEX(SRC_Woningetalage!$A$1:$ZZ$501,$A463,B$3)&amp;""))</f>
        <v/>
      </c>
      <c r="C463" t="str">
        <f>IF($B463="","",IF(C$3=0,"n.b.",INDEX(SRC_Woningetalage!$A$1:$ZZ$501,$A463,C$3)))</f>
        <v/>
      </c>
      <c r="D463" t="str">
        <f>IF($B463="","",IF(D$3=0,"n.b.",INDEX(SRC_Woningetalage!$A$1:$ZZ$501,$A463,D$3)))</f>
        <v/>
      </c>
      <c r="E463" t="str">
        <f>IF($B463="","",IF(E$3=0,"n.b.",INDEX(SRC_Woningetalage!$A$1:$ZZ$501,$A463,E$3)))</f>
        <v/>
      </c>
      <c r="F463" t="str">
        <f>IF($B463="","",IF(F$3=0,"n.b.",INDEX(SRC_Woningetalage!$A$1:$ZZ$501,$A463,F$3)))</f>
        <v/>
      </c>
      <c r="G463" t="str">
        <f>IF($B463="","",IF(G$3=0,"n.b.",INDEX(SRC_Woningetalage!$A$1:$ZZ$501,$A463,G$3)))</f>
        <v/>
      </c>
      <c r="H463" t="str">
        <f>IF($B463="","",IF(H$3=0,"n.b.",INDEX(SRC_Woningetalage!$A$1:$ZZ$501,$A463,H$3)))</f>
        <v/>
      </c>
      <c r="I463" t="str">
        <f>IF($B463="","",IF(I$3=0,"n.b.",INDEX(SRC_Woningetalage!$A$1:$ZZ$501,$A463,I$3)))</f>
        <v/>
      </c>
      <c r="J463" t="str">
        <f>IF($B463="","",IF(J$3=0,"n.b.",INDEX(SRC_Woningetalage!$A$1:$ZZ$501,$A463,J$3)))</f>
        <v/>
      </c>
      <c r="K463" t="str">
        <f>IF($B463="","",IF(K$3=0,"n.b.",INDEX(SRC_Woningetalage!$A$1:$ZZ$501,$A463,K$3)))</f>
        <v/>
      </c>
      <c r="L463" t="str">
        <f>IF($B463="","",IF(L$3=0,"n.b.",INDEX(SRC_Woningetalage!$A$1:$ZZ$501,$A463,L$3)))</f>
        <v/>
      </c>
      <c r="M463" t="str">
        <f>IF($B463="","",IF(M$3=0,"n.b.",INDEX(SRC_Woningetalage!$A$1:$ZZ$501,$A463,M$3)))</f>
        <v/>
      </c>
      <c r="N463" t="str">
        <f>IF($B463="","",IF(N$3=0,"n.b.",INDEX(SRC_Woningetalage!$A$1:$ZZ$501,$A463,N$3)))</f>
        <v/>
      </c>
      <c r="O463" t="str">
        <f>IF($B463="","",IF(O$3=0,"n.b.",INDEX(SRC_Woningetalage!$A$1:$ZZ$501,$A463,O$3)))</f>
        <v/>
      </c>
      <c r="P463" t="str">
        <f>IF($B463="","",IF(P$3=0,"n.b.",INDEX(SRC_Woningetalage!$A$1:$ZZ$501,$A463,P$3)))</f>
        <v/>
      </c>
      <c r="Q463" s="124" t="str">
        <f>IF($B463="","",IF(Q$3=0,"n.b.",INDEX(SRC_Woningetalage!$A$1:$ZZ$501,$A463,Q$3)))</f>
        <v/>
      </c>
      <c r="R463" s="124" t="str">
        <f>IF($B463="","",IF(R$3=0,"n.b.",INDEX(SRC_Woningetalage!$A$1:$ZZ$501,$A463,R$3)))</f>
        <v/>
      </c>
      <c r="S463" s="124" t="str">
        <f>IF($B463="","",IF(S$3=0,"n.b.",INDEX(SRC_Woningetalage!$A$1:$ZZ$501,$A463,S$3)))</f>
        <v/>
      </c>
      <c r="T463" s="124" t="str">
        <f>IF($B463="","",IF(T$3=0,"n.b.",INDEX(SRC_Woningetalage!$A$1:$ZZ$501,$A463,T$3)))</f>
        <v/>
      </c>
      <c r="U463" s="124" t="str">
        <f>IF($B463="","",IF(U$3=0,"n.b.",INDEX(SRC_Woningetalage!$A$1:$ZZ$501,$A463,U$3)))</f>
        <v/>
      </c>
      <c r="V463" s="124" t="str">
        <f>IF($B463="","",IF(V$3=0,"n.b.",INDEX(SRC_Woningetalage!$A$1:$ZZ$501,$A463,V$3)))</f>
        <v/>
      </c>
      <c r="W463" s="124" t="str">
        <f>IF($B463="","",IF(W$3=0,"n.b.",INDEX(SRC_Woningetalage!$A$1:$ZZ$501,$A463,W$3)))</f>
        <v/>
      </c>
      <c r="X463" s="124" t="str">
        <f>IF($B463="","",IF(X$3=0,"n.b.",INDEX(SRC_Woningetalage!$A$1:$ZZ$501,$A463,X$3)))</f>
        <v/>
      </c>
      <c r="Y463" s="124" t="str">
        <f>IF($B463="","",IF(Y$3=0,"n.b.",INDEX(SRC_Woningetalage!$A$1:$ZZ$501,$A463,Y$3)))</f>
        <v/>
      </c>
      <c r="Z463" s="124" t="str">
        <f>IF($B463="","",IF(Z$3=0,"n.b.",INDEX(SRC_Woningetalage!$A$1:$ZZ$501,$A463,Z$3)))</f>
        <v/>
      </c>
      <c r="AA463" s="124" t="str">
        <f>IF($B463="","",IF(AA$3=0,"n.b.",INDEX(SRC_Woningetalage!$A$1:$ZZ$501,$A463,AA$3)))</f>
        <v/>
      </c>
      <c r="AB463" s="124" t="str">
        <f>IF($B463="","",IF(AB$3=0,"n.b.",INDEX(SRC_Woningetalage!$A$1:$ZZ$501,$A463,AB$3)))</f>
        <v/>
      </c>
      <c r="AC463" s="124" t="str">
        <f>IF($B463="","",IF(AC$3=0,"n.b.",INDEX(SRC_Woningetalage!$A$1:$ZZ$501,$A463,AC$3)))</f>
        <v/>
      </c>
      <c r="AD463" s="124" t="str">
        <f>IF($B463="","",IF(AD$3=0,"n.b.",INDEX(SRC_Woningetalage!$A$1:$ZZ$501,$A463,AD$3)))</f>
        <v/>
      </c>
      <c r="AE463" s="124" t="str">
        <f>IF($B463="","",IF(AE$3=0,"n.b.",INDEX(SRC_Woningetalage!$A$1:$ZZ$501,$A463,AE$3)))</f>
        <v/>
      </c>
      <c r="AF463" s="124" t="str">
        <f>IF($B463="","",IF(AF$3=0,"n.b.",INDEX(SRC_Woningetalage!$A$1:$ZZ$501,$A463,AF$3)))</f>
        <v/>
      </c>
      <c r="AG463" s="124" t="str">
        <f>IF($B463="","",IF(AG$3=0,"n.b.",INDEX(SRC_Woningetalage!$A$1:$ZZ$501,$A463,AG$3)))</f>
        <v/>
      </c>
      <c r="AH463" s="124" t="str">
        <f>IF($B463="","",IF(AH$3=0,"n.b.",INDEX(SRC_Woningetalage!$A$1:$ZZ$501,$A463,AH$3)))</f>
        <v/>
      </c>
      <c r="AI463" s="124" t="str">
        <f>IF($B463="","",IF(AI$3=0,"n.b.",INDEX(SRC_Woningetalage!$A$1:$ZZ$501,$A463,AI$3)))</f>
        <v/>
      </c>
      <c r="AJ463" s="124" t="str">
        <f>IF($B463="","",IF(AJ$3=0,"n.b.",INDEX(SRC_Woningetalage!$A$1:$ZZ$501,$A463,AJ$3)))</f>
        <v/>
      </c>
      <c r="AK463" s="124" t="str">
        <f>IF($B463="","",IF(AK$3=0,"n.b.",INDEX(SRC_Woningetalage!$A$1:$ZZ$501,$A463,AK$3)))</f>
        <v/>
      </c>
      <c r="AL463" s="124" t="str">
        <f>IF($B463="","",IF(AL$3=0,"n.b.",INDEX(SRC_Woningetalage!$A$1:$ZZ$501,$A463,AL$3)))</f>
        <v/>
      </c>
      <c r="AM463" s="124" t="str">
        <f>IF($B463="","",IF(AM$3=0,"n.b.",INDEX(SRC_Woningetalage!$A$1:$ZZ$501,$A463,AM$3)))</f>
        <v/>
      </c>
      <c r="AN463" s="124" t="str">
        <f>IF($B463="","",IF(AN$3=0,"n.b.",INDEX(SRC_Woningetalage!$A$1:$ZZ$501,$A463,AN$3)))</f>
        <v/>
      </c>
      <c r="AO463" s="124" t="str">
        <f>IF($B463="","",IF(AO$3=0,"n.b.",INDEX(SRC_Woningetalage!$A$1:$ZZ$501,$A463,AO$3)))</f>
        <v/>
      </c>
      <c r="AP463" s="124" t="str">
        <f>IF($B463="","",IF(AP$3=0,"n.b.",INDEX(SRC_Woningetalage!$A$1:$ZZ$501,$A463,AP$3)))</f>
        <v/>
      </c>
      <c r="AQ463" s="124" t="str">
        <f>IF($B463="","",IF(AQ$3=0,"n.b.",INDEX(SRC_Woningetalage!$A$1:$ZZ$501,$A463,AQ$3)))</f>
        <v/>
      </c>
      <c r="AR463" s="124" t="str">
        <f>IF($B463="","",IF(AR$3=0,"n.b.",INDEX(SRC_Woningetalage!$A$1:$ZZ$501,$A463,AR$3)))</f>
        <v/>
      </c>
      <c r="AS463" s="124" t="str">
        <f>IF($B463="","",IF(AS$3=0,"n.b.",INDEX(SRC_Woningetalage!$A$1:$ZZ$501,$A463,AS$3)))</f>
        <v/>
      </c>
      <c r="AT463" s="124" t="str">
        <f>IF($B463="","",IF(AT$3=0,"n.b.",INDEX(SRC_Woningetalage!$A$1:$ZZ$501,$A463,AT$3)))</f>
        <v/>
      </c>
      <c r="AU463" s="124" t="str">
        <f>IF($B463="","",IF(AU$3=0,"n.b.",INDEX(SRC_Woningetalage!$A$1:$ZZ$501,$A463,AU$3)))</f>
        <v/>
      </c>
      <c r="AV463" s="124" t="str">
        <f>IF($B463="","",IF(AV$3=0,"n.b.",INDEX(SRC_Woningetalage!$A$1:$ZZ$501,$A463,AV$3)))</f>
        <v/>
      </c>
      <c r="AW463" s="124" t="str">
        <f>IF($B463="","",IF(AW$3=0,"n.b.",INDEX(SRC_Woningetalage!$A$1:$ZZ$501,$A463,AW$3)))</f>
        <v/>
      </c>
      <c r="AX463" s="124" t="str">
        <f>IF($B463="","",IF(AX$3=0,"n.b.",INDEX(SRC_Woningetalage!$A$1:$ZZ$501,$A463,AX$3)))</f>
        <v/>
      </c>
      <c r="AY463" s="124" t="str">
        <f>IF($B463="","",IF(AY$3=0,"n.b.",INDEX(SRC_Woningetalage!$A$1:$ZZ$501,$A463,AY$3)))</f>
        <v/>
      </c>
      <c r="AZ463" s="124" t="str">
        <f>IF($B463="","",IF(AZ$3=0,"n.b.",INDEX(SRC_Woningetalage!$A$1:$ZZ$501,$A463,AZ$3)))</f>
        <v/>
      </c>
      <c r="BA463" s="124" t="str">
        <f>IF($B463="","",IF(BA$3=0,"n.b.",INDEX(SRC_Woningetalage!$A$1:$ZZ$501,$A463,BA$3)))</f>
        <v/>
      </c>
      <c r="BB463" s="124" t="str">
        <f>IF($B463="","",IF(BB$3=0,"n.b.",INDEX(SRC_Woningetalage!$A$1:$ZZ$501,$A463,BB$3)))</f>
        <v/>
      </c>
      <c r="BC463" s="124" t="str">
        <f>IF($B463="","",IFERROR(_xlfn.NUMBERVALUE(E463&amp;"",",","."),"n.b."))</f>
        <v/>
      </c>
      <c r="BD463" s="124" t="str">
        <f>IF($B463="","",IFERROR(_xlfn.NUMBERVALUE(M463&amp;"",",","."),"n.b."))</f>
        <v/>
      </c>
      <c r="BE463" s="124" t="str">
        <f>IF($B463="","",IFERROR(AB463+AC463+AD463,"n.b."))</f>
        <v/>
      </c>
      <c r="BF463" s="124" t="str">
        <f>IF($B463="","",IFERROR(AE463+AF463+AG463,"n.b."))</f>
        <v/>
      </c>
      <c r="BG463" s="124" t="str">
        <f>IF($B463="","",IFERROR(AH463+AI463+AJ463,"n.b."))</f>
        <v/>
      </c>
      <c r="BH463" s="124" t="str">
        <f>IF($B463="","",IFERROR(AK463+AL463+AM463,"n.b."))</f>
        <v/>
      </c>
      <c r="BI463" s="124" t="str">
        <f>IF($B463="","",IFERROR(SUMIF($AB$5:$AM$5,"&lt;="&amp;P_PeilMaand,AB463:AM463),"n.b."))</f>
        <v/>
      </c>
      <c r="BJ463" s="124" t="str">
        <f>IF($B463="","",IFERROR(SUM(AB463:AM463)-BI463,"n.b."))</f>
        <v/>
      </c>
      <c r="BK463" s="124" t="str">
        <f>IF($B463="","",IFERROR(IF(ABS(Q463-(T463+SUM(AB463:AM463)+AS463+AU463))&gt;P_Tol,1,0),1))</f>
        <v/>
      </c>
      <c r="BL463" s="124" t="str">
        <f>IF($B463="","",IFERROR(IF(ABS(AA463-(Q463-Z463))&gt;P_Tol,1,0),1))</f>
        <v/>
      </c>
      <c r="BM463" s="124" t="str">
        <f>IF($B463="","",IFERROR(IF(ABS(Z463-(T463+W463))&gt;P_Tol,1,0),1))</f>
        <v/>
      </c>
      <c r="BN463" s="124" t="str">
        <f>IF($B463="","",IFERROR(IF(ABS(W463-BI463)&gt;P_Tol,1,0),1))</f>
        <v/>
      </c>
      <c r="BO463" s="124" t="str">
        <f>IF($B463="","",IFERROR(IF(OR(ABS(R463+S463-T463)&gt;P_Tol,ABS(U463+V463-W463)&gt;P_Tol,ABS(X463+Y463-Z463)&gt;P_Tol),1,0),1))</f>
        <v/>
      </c>
      <c r="BP463" s="124" t="str">
        <f>IF($B463="","",IFERROR(IF(OR(ABS(AR463-SUM(AB463:AM463))&gt;P_Tol,ABS(AS463-(AN463+AO463+AP463+AQ463))&gt;P_Tol),1,0),1))</f>
        <v/>
      </c>
      <c r="BQ463" s="124" t="str">
        <f>IF($B463="","",IFERROR(IF(ABS(AT463)+ABS(AV463)+ABS(AW463)+ABS(AX463)+ABS(AY463)+ABS(AZ463)+ABS(BA463)+ABS(BB463)&gt;0,1,0),1))</f>
        <v/>
      </c>
      <c r="BR463" s="124" t="str">
        <f>IF($B463="","",COUNTIF(STG_ZPMW03!$B$6:$B$505,B463))</f>
        <v/>
      </c>
      <c r="BS463" s="124" t="str">
        <f>IF($B463="","",COUNTIF($B$6:$B$505,B463))</f>
        <v/>
      </c>
      <c r="BT463" s="124" t="str">
        <f>IF($B463="","",IF(BR463=0,0,IF(INDEX(STG_ZPMW03!$I$6:$I$505,MATCH(B463,STG_ZPMW03!$B$6:$B$505,0))=J463&amp;"",0,1)))</f>
        <v/>
      </c>
      <c r="BU463" s="124" t="str">
        <f>IF($B463="","",IFERROR(IF(ABS(INDEX(Mapping!$D$5:$D$104,MATCH(B463,Mapping!$A$5:$A$104,0))-Q463)&gt;P_Tol,1,0),0))</f>
        <v/>
      </c>
      <c r="BV463" s="124" t="str">
        <f>IF($B463="","",IFERROR(IF(AND(INDEX(Mapping!$G$5:$G$104,MATCH(B463,Mapping!$A$5:$A$104,0))="Nee",ABS(Q463)+ABS(Z463)+ABS(AR463)&gt;0),1,0),0))</f>
        <v/>
      </c>
      <c r="BW463" s="124" t="str">
        <f>IF($B463="","",IF(COUNTIF(Mapping!$A$5:$A$104,B463)&gt;0,1,0))</f>
        <v/>
      </c>
      <c r="BX463" s="124" t="str">
        <f>IF($B463="","",IF(BR463=0,COUNTIF($BR$6:BR463,0),""))</f>
        <v/>
      </c>
    </row>
    <row r="464">
      <c r="A464" s="15" t="n">
        <v>460</v>
      </c>
      <c r="B464" t="str">
        <f>IF(B$3=0,"",IF(INDEX(SRC_Woningetalage!$A$1:$ZZ$501,$A464,B$3)&amp;""="","",INDEX(SRC_Woningetalage!$A$1:$ZZ$501,$A464,B$3)&amp;""))</f>
        <v/>
      </c>
      <c r="C464" t="str">
        <f>IF($B464="","",IF(C$3=0,"n.b.",INDEX(SRC_Woningetalage!$A$1:$ZZ$501,$A464,C$3)))</f>
        <v/>
      </c>
      <c r="D464" t="str">
        <f>IF($B464="","",IF(D$3=0,"n.b.",INDEX(SRC_Woningetalage!$A$1:$ZZ$501,$A464,D$3)))</f>
        <v/>
      </c>
      <c r="E464" t="str">
        <f>IF($B464="","",IF(E$3=0,"n.b.",INDEX(SRC_Woningetalage!$A$1:$ZZ$501,$A464,E$3)))</f>
        <v/>
      </c>
      <c r="F464" t="str">
        <f>IF($B464="","",IF(F$3=0,"n.b.",INDEX(SRC_Woningetalage!$A$1:$ZZ$501,$A464,F$3)))</f>
        <v/>
      </c>
      <c r="G464" t="str">
        <f>IF($B464="","",IF(G$3=0,"n.b.",INDEX(SRC_Woningetalage!$A$1:$ZZ$501,$A464,G$3)))</f>
        <v/>
      </c>
      <c r="H464" t="str">
        <f>IF($B464="","",IF(H$3=0,"n.b.",INDEX(SRC_Woningetalage!$A$1:$ZZ$501,$A464,H$3)))</f>
        <v/>
      </c>
      <c r="I464" t="str">
        <f>IF($B464="","",IF(I$3=0,"n.b.",INDEX(SRC_Woningetalage!$A$1:$ZZ$501,$A464,I$3)))</f>
        <v/>
      </c>
      <c r="J464" t="str">
        <f>IF($B464="","",IF(J$3=0,"n.b.",INDEX(SRC_Woningetalage!$A$1:$ZZ$501,$A464,J$3)))</f>
        <v/>
      </c>
      <c r="K464" t="str">
        <f>IF($B464="","",IF(K$3=0,"n.b.",INDEX(SRC_Woningetalage!$A$1:$ZZ$501,$A464,K$3)))</f>
        <v/>
      </c>
      <c r="L464" t="str">
        <f>IF($B464="","",IF(L$3=0,"n.b.",INDEX(SRC_Woningetalage!$A$1:$ZZ$501,$A464,L$3)))</f>
        <v/>
      </c>
      <c r="M464" t="str">
        <f>IF($B464="","",IF(M$3=0,"n.b.",INDEX(SRC_Woningetalage!$A$1:$ZZ$501,$A464,M$3)))</f>
        <v/>
      </c>
      <c r="N464" t="str">
        <f>IF($B464="","",IF(N$3=0,"n.b.",INDEX(SRC_Woningetalage!$A$1:$ZZ$501,$A464,N$3)))</f>
        <v/>
      </c>
      <c r="O464" t="str">
        <f>IF($B464="","",IF(O$3=0,"n.b.",INDEX(SRC_Woningetalage!$A$1:$ZZ$501,$A464,O$3)))</f>
        <v/>
      </c>
      <c r="P464" t="str">
        <f>IF($B464="","",IF(P$3=0,"n.b.",INDEX(SRC_Woningetalage!$A$1:$ZZ$501,$A464,P$3)))</f>
        <v/>
      </c>
      <c r="Q464" s="124" t="str">
        <f>IF($B464="","",IF(Q$3=0,"n.b.",INDEX(SRC_Woningetalage!$A$1:$ZZ$501,$A464,Q$3)))</f>
        <v/>
      </c>
      <c r="R464" s="124" t="str">
        <f>IF($B464="","",IF(R$3=0,"n.b.",INDEX(SRC_Woningetalage!$A$1:$ZZ$501,$A464,R$3)))</f>
        <v/>
      </c>
      <c r="S464" s="124" t="str">
        <f>IF($B464="","",IF(S$3=0,"n.b.",INDEX(SRC_Woningetalage!$A$1:$ZZ$501,$A464,S$3)))</f>
        <v/>
      </c>
      <c r="T464" s="124" t="str">
        <f>IF($B464="","",IF(T$3=0,"n.b.",INDEX(SRC_Woningetalage!$A$1:$ZZ$501,$A464,T$3)))</f>
        <v/>
      </c>
      <c r="U464" s="124" t="str">
        <f>IF($B464="","",IF(U$3=0,"n.b.",INDEX(SRC_Woningetalage!$A$1:$ZZ$501,$A464,U$3)))</f>
        <v/>
      </c>
      <c r="V464" s="124" t="str">
        <f>IF($B464="","",IF(V$3=0,"n.b.",INDEX(SRC_Woningetalage!$A$1:$ZZ$501,$A464,V$3)))</f>
        <v/>
      </c>
      <c r="W464" s="124" t="str">
        <f>IF($B464="","",IF(W$3=0,"n.b.",INDEX(SRC_Woningetalage!$A$1:$ZZ$501,$A464,W$3)))</f>
        <v/>
      </c>
      <c r="X464" s="124" t="str">
        <f>IF($B464="","",IF(X$3=0,"n.b.",INDEX(SRC_Woningetalage!$A$1:$ZZ$501,$A464,X$3)))</f>
        <v/>
      </c>
      <c r="Y464" s="124" t="str">
        <f>IF($B464="","",IF(Y$3=0,"n.b.",INDEX(SRC_Woningetalage!$A$1:$ZZ$501,$A464,Y$3)))</f>
        <v/>
      </c>
      <c r="Z464" s="124" t="str">
        <f>IF($B464="","",IF(Z$3=0,"n.b.",INDEX(SRC_Woningetalage!$A$1:$ZZ$501,$A464,Z$3)))</f>
        <v/>
      </c>
      <c r="AA464" s="124" t="str">
        <f>IF($B464="","",IF(AA$3=0,"n.b.",INDEX(SRC_Woningetalage!$A$1:$ZZ$501,$A464,AA$3)))</f>
        <v/>
      </c>
      <c r="AB464" s="124" t="str">
        <f>IF($B464="","",IF(AB$3=0,"n.b.",INDEX(SRC_Woningetalage!$A$1:$ZZ$501,$A464,AB$3)))</f>
        <v/>
      </c>
      <c r="AC464" s="124" t="str">
        <f>IF($B464="","",IF(AC$3=0,"n.b.",INDEX(SRC_Woningetalage!$A$1:$ZZ$501,$A464,AC$3)))</f>
        <v/>
      </c>
      <c r="AD464" s="124" t="str">
        <f>IF($B464="","",IF(AD$3=0,"n.b.",INDEX(SRC_Woningetalage!$A$1:$ZZ$501,$A464,AD$3)))</f>
        <v/>
      </c>
      <c r="AE464" s="124" t="str">
        <f>IF($B464="","",IF(AE$3=0,"n.b.",INDEX(SRC_Woningetalage!$A$1:$ZZ$501,$A464,AE$3)))</f>
        <v/>
      </c>
      <c r="AF464" s="124" t="str">
        <f>IF($B464="","",IF(AF$3=0,"n.b.",INDEX(SRC_Woningetalage!$A$1:$ZZ$501,$A464,AF$3)))</f>
        <v/>
      </c>
      <c r="AG464" s="124" t="str">
        <f>IF($B464="","",IF(AG$3=0,"n.b.",INDEX(SRC_Woningetalage!$A$1:$ZZ$501,$A464,AG$3)))</f>
        <v/>
      </c>
      <c r="AH464" s="124" t="str">
        <f>IF($B464="","",IF(AH$3=0,"n.b.",INDEX(SRC_Woningetalage!$A$1:$ZZ$501,$A464,AH$3)))</f>
        <v/>
      </c>
      <c r="AI464" s="124" t="str">
        <f>IF($B464="","",IF(AI$3=0,"n.b.",INDEX(SRC_Woningetalage!$A$1:$ZZ$501,$A464,AI$3)))</f>
        <v/>
      </c>
      <c r="AJ464" s="124" t="str">
        <f>IF($B464="","",IF(AJ$3=0,"n.b.",INDEX(SRC_Woningetalage!$A$1:$ZZ$501,$A464,AJ$3)))</f>
        <v/>
      </c>
      <c r="AK464" s="124" t="str">
        <f>IF($B464="","",IF(AK$3=0,"n.b.",INDEX(SRC_Woningetalage!$A$1:$ZZ$501,$A464,AK$3)))</f>
        <v/>
      </c>
      <c r="AL464" s="124" t="str">
        <f>IF($B464="","",IF(AL$3=0,"n.b.",INDEX(SRC_Woningetalage!$A$1:$ZZ$501,$A464,AL$3)))</f>
        <v/>
      </c>
      <c r="AM464" s="124" t="str">
        <f>IF($B464="","",IF(AM$3=0,"n.b.",INDEX(SRC_Woningetalage!$A$1:$ZZ$501,$A464,AM$3)))</f>
        <v/>
      </c>
      <c r="AN464" s="124" t="str">
        <f>IF($B464="","",IF(AN$3=0,"n.b.",INDEX(SRC_Woningetalage!$A$1:$ZZ$501,$A464,AN$3)))</f>
        <v/>
      </c>
      <c r="AO464" s="124" t="str">
        <f>IF($B464="","",IF(AO$3=0,"n.b.",INDEX(SRC_Woningetalage!$A$1:$ZZ$501,$A464,AO$3)))</f>
        <v/>
      </c>
      <c r="AP464" s="124" t="str">
        <f>IF($B464="","",IF(AP$3=0,"n.b.",INDEX(SRC_Woningetalage!$A$1:$ZZ$501,$A464,AP$3)))</f>
        <v/>
      </c>
      <c r="AQ464" s="124" t="str">
        <f>IF($B464="","",IF(AQ$3=0,"n.b.",INDEX(SRC_Woningetalage!$A$1:$ZZ$501,$A464,AQ$3)))</f>
        <v/>
      </c>
      <c r="AR464" s="124" t="str">
        <f>IF($B464="","",IF(AR$3=0,"n.b.",INDEX(SRC_Woningetalage!$A$1:$ZZ$501,$A464,AR$3)))</f>
        <v/>
      </c>
      <c r="AS464" s="124" t="str">
        <f>IF($B464="","",IF(AS$3=0,"n.b.",INDEX(SRC_Woningetalage!$A$1:$ZZ$501,$A464,AS$3)))</f>
        <v/>
      </c>
      <c r="AT464" s="124" t="str">
        <f>IF($B464="","",IF(AT$3=0,"n.b.",INDEX(SRC_Woningetalage!$A$1:$ZZ$501,$A464,AT$3)))</f>
        <v/>
      </c>
      <c r="AU464" s="124" t="str">
        <f>IF($B464="","",IF(AU$3=0,"n.b.",INDEX(SRC_Woningetalage!$A$1:$ZZ$501,$A464,AU$3)))</f>
        <v/>
      </c>
      <c r="AV464" s="124" t="str">
        <f>IF($B464="","",IF(AV$3=0,"n.b.",INDEX(SRC_Woningetalage!$A$1:$ZZ$501,$A464,AV$3)))</f>
        <v/>
      </c>
      <c r="AW464" s="124" t="str">
        <f>IF($B464="","",IF(AW$3=0,"n.b.",INDEX(SRC_Woningetalage!$A$1:$ZZ$501,$A464,AW$3)))</f>
        <v/>
      </c>
      <c r="AX464" s="124" t="str">
        <f>IF($B464="","",IF(AX$3=0,"n.b.",INDEX(SRC_Woningetalage!$A$1:$ZZ$501,$A464,AX$3)))</f>
        <v/>
      </c>
      <c r="AY464" s="124" t="str">
        <f>IF($B464="","",IF(AY$3=0,"n.b.",INDEX(SRC_Woningetalage!$A$1:$ZZ$501,$A464,AY$3)))</f>
        <v/>
      </c>
      <c r="AZ464" s="124" t="str">
        <f>IF($B464="","",IF(AZ$3=0,"n.b.",INDEX(SRC_Woningetalage!$A$1:$ZZ$501,$A464,AZ$3)))</f>
        <v/>
      </c>
      <c r="BA464" s="124" t="str">
        <f>IF($B464="","",IF(BA$3=0,"n.b.",INDEX(SRC_Woningetalage!$A$1:$ZZ$501,$A464,BA$3)))</f>
        <v/>
      </c>
      <c r="BB464" s="124" t="str">
        <f>IF($B464="","",IF(BB$3=0,"n.b.",INDEX(SRC_Woningetalage!$A$1:$ZZ$501,$A464,BB$3)))</f>
        <v/>
      </c>
      <c r="BC464" s="124" t="str">
        <f>IF($B464="","",IFERROR(_xlfn.NUMBERVALUE(E464&amp;"",",","."),"n.b."))</f>
        <v/>
      </c>
      <c r="BD464" s="124" t="str">
        <f>IF($B464="","",IFERROR(_xlfn.NUMBERVALUE(M464&amp;"",",","."),"n.b."))</f>
        <v/>
      </c>
      <c r="BE464" s="124" t="str">
        <f>IF($B464="","",IFERROR(AB464+AC464+AD464,"n.b."))</f>
        <v/>
      </c>
      <c r="BF464" s="124" t="str">
        <f>IF($B464="","",IFERROR(AE464+AF464+AG464,"n.b."))</f>
        <v/>
      </c>
      <c r="BG464" s="124" t="str">
        <f>IF($B464="","",IFERROR(AH464+AI464+AJ464,"n.b."))</f>
        <v/>
      </c>
      <c r="BH464" s="124" t="str">
        <f>IF($B464="","",IFERROR(AK464+AL464+AM464,"n.b."))</f>
        <v/>
      </c>
      <c r="BI464" s="124" t="str">
        <f>IF($B464="","",IFERROR(SUMIF($AB$5:$AM$5,"&lt;="&amp;P_PeilMaand,AB464:AM464),"n.b."))</f>
        <v/>
      </c>
      <c r="BJ464" s="124" t="str">
        <f>IF($B464="","",IFERROR(SUM(AB464:AM464)-BI464,"n.b."))</f>
        <v/>
      </c>
      <c r="BK464" s="124" t="str">
        <f>IF($B464="","",IFERROR(IF(ABS(Q464-(T464+SUM(AB464:AM464)+AS464+AU464))&gt;P_Tol,1,0),1))</f>
        <v/>
      </c>
      <c r="BL464" s="124" t="str">
        <f>IF($B464="","",IFERROR(IF(ABS(AA464-(Q464-Z464))&gt;P_Tol,1,0),1))</f>
        <v/>
      </c>
      <c r="BM464" s="124" t="str">
        <f>IF($B464="","",IFERROR(IF(ABS(Z464-(T464+W464))&gt;P_Tol,1,0),1))</f>
        <v/>
      </c>
      <c r="BN464" s="124" t="str">
        <f>IF($B464="","",IFERROR(IF(ABS(W464-BI464)&gt;P_Tol,1,0),1))</f>
        <v/>
      </c>
      <c r="BO464" s="124" t="str">
        <f>IF($B464="","",IFERROR(IF(OR(ABS(R464+S464-T464)&gt;P_Tol,ABS(U464+V464-W464)&gt;P_Tol,ABS(X464+Y464-Z464)&gt;P_Tol),1,0),1))</f>
        <v/>
      </c>
      <c r="BP464" s="124" t="str">
        <f>IF($B464="","",IFERROR(IF(OR(ABS(AR464-SUM(AB464:AM464))&gt;P_Tol,ABS(AS464-(AN464+AO464+AP464+AQ464))&gt;P_Tol),1,0),1))</f>
        <v/>
      </c>
      <c r="BQ464" s="124" t="str">
        <f>IF($B464="","",IFERROR(IF(ABS(AT464)+ABS(AV464)+ABS(AW464)+ABS(AX464)+ABS(AY464)+ABS(AZ464)+ABS(BA464)+ABS(BB464)&gt;0,1,0),1))</f>
        <v/>
      </c>
      <c r="BR464" s="124" t="str">
        <f>IF($B464="","",COUNTIF(STG_ZPMW03!$B$6:$B$505,B464))</f>
        <v/>
      </c>
      <c r="BS464" s="124" t="str">
        <f>IF($B464="","",COUNTIF($B$6:$B$505,B464))</f>
        <v/>
      </c>
      <c r="BT464" s="124" t="str">
        <f>IF($B464="","",IF(BR464=0,0,IF(INDEX(STG_ZPMW03!$I$6:$I$505,MATCH(B464,STG_ZPMW03!$B$6:$B$505,0))=J464&amp;"",0,1)))</f>
        <v/>
      </c>
      <c r="BU464" s="124" t="str">
        <f>IF($B464="","",IFERROR(IF(ABS(INDEX(Mapping!$D$5:$D$104,MATCH(B464,Mapping!$A$5:$A$104,0))-Q464)&gt;P_Tol,1,0),0))</f>
        <v/>
      </c>
      <c r="BV464" s="124" t="str">
        <f>IF($B464="","",IFERROR(IF(AND(INDEX(Mapping!$G$5:$G$104,MATCH(B464,Mapping!$A$5:$A$104,0))="Nee",ABS(Q464)+ABS(Z464)+ABS(AR464)&gt;0),1,0),0))</f>
        <v/>
      </c>
      <c r="BW464" s="124" t="str">
        <f>IF($B464="","",IF(COUNTIF(Mapping!$A$5:$A$104,B464)&gt;0,1,0))</f>
        <v/>
      </c>
      <c r="BX464" s="124" t="str">
        <f>IF($B464="","",IF(BR464=0,COUNTIF($BR$6:BR464,0),""))</f>
        <v/>
      </c>
    </row>
    <row r="465">
      <c r="A465" s="15" t="n">
        <v>461</v>
      </c>
      <c r="B465" t="str">
        <f>IF(B$3=0,"",IF(INDEX(SRC_Woningetalage!$A$1:$ZZ$501,$A465,B$3)&amp;""="","",INDEX(SRC_Woningetalage!$A$1:$ZZ$501,$A465,B$3)&amp;""))</f>
        <v/>
      </c>
      <c r="C465" t="str">
        <f>IF($B465="","",IF(C$3=0,"n.b.",INDEX(SRC_Woningetalage!$A$1:$ZZ$501,$A465,C$3)))</f>
        <v/>
      </c>
      <c r="D465" t="str">
        <f>IF($B465="","",IF(D$3=0,"n.b.",INDEX(SRC_Woningetalage!$A$1:$ZZ$501,$A465,D$3)))</f>
        <v/>
      </c>
      <c r="E465" t="str">
        <f>IF($B465="","",IF(E$3=0,"n.b.",INDEX(SRC_Woningetalage!$A$1:$ZZ$501,$A465,E$3)))</f>
        <v/>
      </c>
      <c r="F465" t="str">
        <f>IF($B465="","",IF(F$3=0,"n.b.",INDEX(SRC_Woningetalage!$A$1:$ZZ$501,$A465,F$3)))</f>
        <v/>
      </c>
      <c r="G465" t="str">
        <f>IF($B465="","",IF(G$3=0,"n.b.",INDEX(SRC_Woningetalage!$A$1:$ZZ$501,$A465,G$3)))</f>
        <v/>
      </c>
      <c r="H465" t="str">
        <f>IF($B465="","",IF(H$3=0,"n.b.",INDEX(SRC_Woningetalage!$A$1:$ZZ$501,$A465,H$3)))</f>
        <v/>
      </c>
      <c r="I465" t="str">
        <f>IF($B465="","",IF(I$3=0,"n.b.",INDEX(SRC_Woningetalage!$A$1:$ZZ$501,$A465,I$3)))</f>
        <v/>
      </c>
      <c r="J465" t="str">
        <f>IF($B465="","",IF(J$3=0,"n.b.",INDEX(SRC_Woningetalage!$A$1:$ZZ$501,$A465,J$3)))</f>
        <v/>
      </c>
      <c r="K465" t="str">
        <f>IF($B465="","",IF(K$3=0,"n.b.",INDEX(SRC_Woningetalage!$A$1:$ZZ$501,$A465,K$3)))</f>
        <v/>
      </c>
      <c r="L465" t="str">
        <f>IF($B465="","",IF(L$3=0,"n.b.",INDEX(SRC_Woningetalage!$A$1:$ZZ$501,$A465,L$3)))</f>
        <v/>
      </c>
      <c r="M465" t="str">
        <f>IF($B465="","",IF(M$3=0,"n.b.",INDEX(SRC_Woningetalage!$A$1:$ZZ$501,$A465,M$3)))</f>
        <v/>
      </c>
      <c r="N465" t="str">
        <f>IF($B465="","",IF(N$3=0,"n.b.",INDEX(SRC_Woningetalage!$A$1:$ZZ$501,$A465,N$3)))</f>
        <v/>
      </c>
      <c r="O465" t="str">
        <f>IF($B465="","",IF(O$3=0,"n.b.",INDEX(SRC_Woningetalage!$A$1:$ZZ$501,$A465,O$3)))</f>
        <v/>
      </c>
      <c r="P465" t="str">
        <f>IF($B465="","",IF(P$3=0,"n.b.",INDEX(SRC_Woningetalage!$A$1:$ZZ$501,$A465,P$3)))</f>
        <v/>
      </c>
      <c r="Q465" s="124" t="str">
        <f>IF($B465="","",IF(Q$3=0,"n.b.",INDEX(SRC_Woningetalage!$A$1:$ZZ$501,$A465,Q$3)))</f>
        <v/>
      </c>
      <c r="R465" s="124" t="str">
        <f>IF($B465="","",IF(R$3=0,"n.b.",INDEX(SRC_Woningetalage!$A$1:$ZZ$501,$A465,R$3)))</f>
        <v/>
      </c>
      <c r="S465" s="124" t="str">
        <f>IF($B465="","",IF(S$3=0,"n.b.",INDEX(SRC_Woningetalage!$A$1:$ZZ$501,$A465,S$3)))</f>
        <v/>
      </c>
      <c r="T465" s="124" t="str">
        <f>IF($B465="","",IF(T$3=0,"n.b.",INDEX(SRC_Woningetalage!$A$1:$ZZ$501,$A465,T$3)))</f>
        <v/>
      </c>
      <c r="U465" s="124" t="str">
        <f>IF($B465="","",IF(U$3=0,"n.b.",INDEX(SRC_Woningetalage!$A$1:$ZZ$501,$A465,U$3)))</f>
        <v/>
      </c>
      <c r="V465" s="124" t="str">
        <f>IF($B465="","",IF(V$3=0,"n.b.",INDEX(SRC_Woningetalage!$A$1:$ZZ$501,$A465,V$3)))</f>
        <v/>
      </c>
      <c r="W465" s="124" t="str">
        <f>IF($B465="","",IF(W$3=0,"n.b.",INDEX(SRC_Woningetalage!$A$1:$ZZ$501,$A465,W$3)))</f>
        <v/>
      </c>
      <c r="X465" s="124" t="str">
        <f>IF($B465="","",IF(X$3=0,"n.b.",INDEX(SRC_Woningetalage!$A$1:$ZZ$501,$A465,X$3)))</f>
        <v/>
      </c>
      <c r="Y465" s="124" t="str">
        <f>IF($B465="","",IF(Y$3=0,"n.b.",INDEX(SRC_Woningetalage!$A$1:$ZZ$501,$A465,Y$3)))</f>
        <v/>
      </c>
      <c r="Z465" s="124" t="str">
        <f>IF($B465="","",IF(Z$3=0,"n.b.",INDEX(SRC_Woningetalage!$A$1:$ZZ$501,$A465,Z$3)))</f>
        <v/>
      </c>
      <c r="AA465" s="124" t="str">
        <f>IF($B465="","",IF(AA$3=0,"n.b.",INDEX(SRC_Woningetalage!$A$1:$ZZ$501,$A465,AA$3)))</f>
        <v/>
      </c>
      <c r="AB465" s="124" t="str">
        <f>IF($B465="","",IF(AB$3=0,"n.b.",INDEX(SRC_Woningetalage!$A$1:$ZZ$501,$A465,AB$3)))</f>
        <v/>
      </c>
      <c r="AC465" s="124" t="str">
        <f>IF($B465="","",IF(AC$3=0,"n.b.",INDEX(SRC_Woningetalage!$A$1:$ZZ$501,$A465,AC$3)))</f>
        <v/>
      </c>
      <c r="AD465" s="124" t="str">
        <f>IF($B465="","",IF(AD$3=0,"n.b.",INDEX(SRC_Woningetalage!$A$1:$ZZ$501,$A465,AD$3)))</f>
        <v/>
      </c>
      <c r="AE465" s="124" t="str">
        <f>IF($B465="","",IF(AE$3=0,"n.b.",INDEX(SRC_Woningetalage!$A$1:$ZZ$501,$A465,AE$3)))</f>
        <v/>
      </c>
      <c r="AF465" s="124" t="str">
        <f>IF($B465="","",IF(AF$3=0,"n.b.",INDEX(SRC_Woningetalage!$A$1:$ZZ$501,$A465,AF$3)))</f>
        <v/>
      </c>
      <c r="AG465" s="124" t="str">
        <f>IF($B465="","",IF(AG$3=0,"n.b.",INDEX(SRC_Woningetalage!$A$1:$ZZ$501,$A465,AG$3)))</f>
        <v/>
      </c>
      <c r="AH465" s="124" t="str">
        <f>IF($B465="","",IF(AH$3=0,"n.b.",INDEX(SRC_Woningetalage!$A$1:$ZZ$501,$A465,AH$3)))</f>
        <v/>
      </c>
      <c r="AI465" s="124" t="str">
        <f>IF($B465="","",IF(AI$3=0,"n.b.",INDEX(SRC_Woningetalage!$A$1:$ZZ$501,$A465,AI$3)))</f>
        <v/>
      </c>
      <c r="AJ465" s="124" t="str">
        <f>IF($B465="","",IF(AJ$3=0,"n.b.",INDEX(SRC_Woningetalage!$A$1:$ZZ$501,$A465,AJ$3)))</f>
        <v/>
      </c>
      <c r="AK465" s="124" t="str">
        <f>IF($B465="","",IF(AK$3=0,"n.b.",INDEX(SRC_Woningetalage!$A$1:$ZZ$501,$A465,AK$3)))</f>
        <v/>
      </c>
      <c r="AL465" s="124" t="str">
        <f>IF($B465="","",IF(AL$3=0,"n.b.",INDEX(SRC_Woningetalage!$A$1:$ZZ$501,$A465,AL$3)))</f>
        <v/>
      </c>
      <c r="AM465" s="124" t="str">
        <f>IF($B465="","",IF(AM$3=0,"n.b.",INDEX(SRC_Woningetalage!$A$1:$ZZ$501,$A465,AM$3)))</f>
        <v/>
      </c>
      <c r="AN465" s="124" t="str">
        <f>IF($B465="","",IF(AN$3=0,"n.b.",INDEX(SRC_Woningetalage!$A$1:$ZZ$501,$A465,AN$3)))</f>
        <v/>
      </c>
      <c r="AO465" s="124" t="str">
        <f>IF($B465="","",IF(AO$3=0,"n.b.",INDEX(SRC_Woningetalage!$A$1:$ZZ$501,$A465,AO$3)))</f>
        <v/>
      </c>
      <c r="AP465" s="124" t="str">
        <f>IF($B465="","",IF(AP$3=0,"n.b.",INDEX(SRC_Woningetalage!$A$1:$ZZ$501,$A465,AP$3)))</f>
        <v/>
      </c>
      <c r="AQ465" s="124" t="str">
        <f>IF($B465="","",IF(AQ$3=0,"n.b.",INDEX(SRC_Woningetalage!$A$1:$ZZ$501,$A465,AQ$3)))</f>
        <v/>
      </c>
      <c r="AR465" s="124" t="str">
        <f>IF($B465="","",IF(AR$3=0,"n.b.",INDEX(SRC_Woningetalage!$A$1:$ZZ$501,$A465,AR$3)))</f>
        <v/>
      </c>
      <c r="AS465" s="124" t="str">
        <f>IF($B465="","",IF(AS$3=0,"n.b.",INDEX(SRC_Woningetalage!$A$1:$ZZ$501,$A465,AS$3)))</f>
        <v/>
      </c>
      <c r="AT465" s="124" t="str">
        <f>IF($B465="","",IF(AT$3=0,"n.b.",INDEX(SRC_Woningetalage!$A$1:$ZZ$501,$A465,AT$3)))</f>
        <v/>
      </c>
      <c r="AU465" s="124" t="str">
        <f>IF($B465="","",IF(AU$3=0,"n.b.",INDEX(SRC_Woningetalage!$A$1:$ZZ$501,$A465,AU$3)))</f>
        <v/>
      </c>
      <c r="AV465" s="124" t="str">
        <f>IF($B465="","",IF(AV$3=0,"n.b.",INDEX(SRC_Woningetalage!$A$1:$ZZ$501,$A465,AV$3)))</f>
        <v/>
      </c>
      <c r="AW465" s="124" t="str">
        <f>IF($B465="","",IF(AW$3=0,"n.b.",INDEX(SRC_Woningetalage!$A$1:$ZZ$501,$A465,AW$3)))</f>
        <v/>
      </c>
      <c r="AX465" s="124" t="str">
        <f>IF($B465="","",IF(AX$3=0,"n.b.",INDEX(SRC_Woningetalage!$A$1:$ZZ$501,$A465,AX$3)))</f>
        <v/>
      </c>
      <c r="AY465" s="124" t="str">
        <f>IF($B465="","",IF(AY$3=0,"n.b.",INDEX(SRC_Woningetalage!$A$1:$ZZ$501,$A465,AY$3)))</f>
        <v/>
      </c>
      <c r="AZ465" s="124" t="str">
        <f>IF($B465="","",IF(AZ$3=0,"n.b.",INDEX(SRC_Woningetalage!$A$1:$ZZ$501,$A465,AZ$3)))</f>
        <v/>
      </c>
      <c r="BA465" s="124" t="str">
        <f>IF($B465="","",IF(BA$3=0,"n.b.",INDEX(SRC_Woningetalage!$A$1:$ZZ$501,$A465,BA$3)))</f>
        <v/>
      </c>
      <c r="BB465" s="124" t="str">
        <f>IF($B465="","",IF(BB$3=0,"n.b.",INDEX(SRC_Woningetalage!$A$1:$ZZ$501,$A465,BB$3)))</f>
        <v/>
      </c>
      <c r="BC465" s="124" t="str">
        <f>IF($B465="","",IFERROR(_xlfn.NUMBERVALUE(E465&amp;"",",","."),"n.b."))</f>
        <v/>
      </c>
      <c r="BD465" s="124" t="str">
        <f>IF($B465="","",IFERROR(_xlfn.NUMBERVALUE(M465&amp;"",",","."),"n.b."))</f>
        <v/>
      </c>
      <c r="BE465" s="124" t="str">
        <f>IF($B465="","",IFERROR(AB465+AC465+AD465,"n.b."))</f>
        <v/>
      </c>
      <c r="BF465" s="124" t="str">
        <f>IF($B465="","",IFERROR(AE465+AF465+AG465,"n.b."))</f>
        <v/>
      </c>
      <c r="BG465" s="124" t="str">
        <f>IF($B465="","",IFERROR(AH465+AI465+AJ465,"n.b."))</f>
        <v/>
      </c>
      <c r="BH465" s="124" t="str">
        <f>IF($B465="","",IFERROR(AK465+AL465+AM465,"n.b."))</f>
        <v/>
      </c>
      <c r="BI465" s="124" t="str">
        <f>IF($B465="","",IFERROR(SUMIF($AB$5:$AM$5,"&lt;="&amp;P_PeilMaand,AB465:AM465),"n.b."))</f>
        <v/>
      </c>
      <c r="BJ465" s="124" t="str">
        <f>IF($B465="","",IFERROR(SUM(AB465:AM465)-BI465,"n.b."))</f>
        <v/>
      </c>
      <c r="BK465" s="124" t="str">
        <f>IF($B465="","",IFERROR(IF(ABS(Q465-(T465+SUM(AB465:AM465)+AS465+AU465))&gt;P_Tol,1,0),1))</f>
        <v/>
      </c>
      <c r="BL465" s="124" t="str">
        <f>IF($B465="","",IFERROR(IF(ABS(AA465-(Q465-Z465))&gt;P_Tol,1,0),1))</f>
        <v/>
      </c>
      <c r="BM465" s="124" t="str">
        <f>IF($B465="","",IFERROR(IF(ABS(Z465-(T465+W465))&gt;P_Tol,1,0),1))</f>
        <v/>
      </c>
      <c r="BN465" s="124" t="str">
        <f>IF($B465="","",IFERROR(IF(ABS(W465-BI465)&gt;P_Tol,1,0),1))</f>
        <v/>
      </c>
      <c r="BO465" s="124" t="str">
        <f>IF($B465="","",IFERROR(IF(OR(ABS(R465+S465-T465)&gt;P_Tol,ABS(U465+V465-W465)&gt;P_Tol,ABS(X465+Y465-Z465)&gt;P_Tol),1,0),1))</f>
        <v/>
      </c>
      <c r="BP465" s="124" t="str">
        <f>IF($B465="","",IFERROR(IF(OR(ABS(AR465-SUM(AB465:AM465))&gt;P_Tol,ABS(AS465-(AN465+AO465+AP465+AQ465))&gt;P_Tol),1,0),1))</f>
        <v/>
      </c>
      <c r="BQ465" s="124" t="str">
        <f>IF($B465="","",IFERROR(IF(ABS(AT465)+ABS(AV465)+ABS(AW465)+ABS(AX465)+ABS(AY465)+ABS(AZ465)+ABS(BA465)+ABS(BB465)&gt;0,1,0),1))</f>
        <v/>
      </c>
      <c r="BR465" s="124" t="str">
        <f>IF($B465="","",COUNTIF(STG_ZPMW03!$B$6:$B$505,B465))</f>
        <v/>
      </c>
      <c r="BS465" s="124" t="str">
        <f>IF($B465="","",COUNTIF($B$6:$B$505,B465))</f>
        <v/>
      </c>
      <c r="BT465" s="124" t="str">
        <f>IF($B465="","",IF(BR465=0,0,IF(INDEX(STG_ZPMW03!$I$6:$I$505,MATCH(B465,STG_ZPMW03!$B$6:$B$505,0))=J465&amp;"",0,1)))</f>
        <v/>
      </c>
      <c r="BU465" s="124" t="str">
        <f>IF($B465="","",IFERROR(IF(ABS(INDEX(Mapping!$D$5:$D$104,MATCH(B465,Mapping!$A$5:$A$104,0))-Q465)&gt;P_Tol,1,0),0))</f>
        <v/>
      </c>
      <c r="BV465" s="124" t="str">
        <f>IF($B465="","",IFERROR(IF(AND(INDEX(Mapping!$G$5:$G$104,MATCH(B465,Mapping!$A$5:$A$104,0))="Nee",ABS(Q465)+ABS(Z465)+ABS(AR465)&gt;0),1,0),0))</f>
        <v/>
      </c>
      <c r="BW465" s="124" t="str">
        <f>IF($B465="","",IF(COUNTIF(Mapping!$A$5:$A$104,B465)&gt;0,1,0))</f>
        <v/>
      </c>
      <c r="BX465" s="124" t="str">
        <f>IF($B465="","",IF(BR465=0,COUNTIF($BR$6:BR465,0),""))</f>
        <v/>
      </c>
    </row>
    <row r="466">
      <c r="A466" s="15" t="n">
        <v>462</v>
      </c>
      <c r="B466" t="str">
        <f>IF(B$3=0,"",IF(INDEX(SRC_Woningetalage!$A$1:$ZZ$501,$A466,B$3)&amp;""="","",INDEX(SRC_Woningetalage!$A$1:$ZZ$501,$A466,B$3)&amp;""))</f>
        <v/>
      </c>
      <c r="C466" t="str">
        <f>IF($B466="","",IF(C$3=0,"n.b.",INDEX(SRC_Woningetalage!$A$1:$ZZ$501,$A466,C$3)))</f>
        <v/>
      </c>
      <c r="D466" t="str">
        <f>IF($B466="","",IF(D$3=0,"n.b.",INDEX(SRC_Woningetalage!$A$1:$ZZ$501,$A466,D$3)))</f>
        <v/>
      </c>
      <c r="E466" t="str">
        <f>IF($B466="","",IF(E$3=0,"n.b.",INDEX(SRC_Woningetalage!$A$1:$ZZ$501,$A466,E$3)))</f>
        <v/>
      </c>
      <c r="F466" t="str">
        <f>IF($B466="","",IF(F$3=0,"n.b.",INDEX(SRC_Woningetalage!$A$1:$ZZ$501,$A466,F$3)))</f>
        <v/>
      </c>
      <c r="G466" t="str">
        <f>IF($B466="","",IF(G$3=0,"n.b.",INDEX(SRC_Woningetalage!$A$1:$ZZ$501,$A466,G$3)))</f>
        <v/>
      </c>
      <c r="H466" t="str">
        <f>IF($B466="","",IF(H$3=0,"n.b.",INDEX(SRC_Woningetalage!$A$1:$ZZ$501,$A466,H$3)))</f>
        <v/>
      </c>
      <c r="I466" t="str">
        <f>IF($B466="","",IF(I$3=0,"n.b.",INDEX(SRC_Woningetalage!$A$1:$ZZ$501,$A466,I$3)))</f>
        <v/>
      </c>
      <c r="J466" t="str">
        <f>IF($B466="","",IF(J$3=0,"n.b.",INDEX(SRC_Woningetalage!$A$1:$ZZ$501,$A466,J$3)))</f>
        <v/>
      </c>
      <c r="K466" t="str">
        <f>IF($B466="","",IF(K$3=0,"n.b.",INDEX(SRC_Woningetalage!$A$1:$ZZ$501,$A466,K$3)))</f>
        <v/>
      </c>
      <c r="L466" t="str">
        <f>IF($B466="","",IF(L$3=0,"n.b.",INDEX(SRC_Woningetalage!$A$1:$ZZ$501,$A466,L$3)))</f>
        <v/>
      </c>
      <c r="M466" t="str">
        <f>IF($B466="","",IF(M$3=0,"n.b.",INDEX(SRC_Woningetalage!$A$1:$ZZ$501,$A466,M$3)))</f>
        <v/>
      </c>
      <c r="N466" t="str">
        <f>IF($B466="","",IF(N$3=0,"n.b.",INDEX(SRC_Woningetalage!$A$1:$ZZ$501,$A466,N$3)))</f>
        <v/>
      </c>
      <c r="O466" t="str">
        <f>IF($B466="","",IF(O$3=0,"n.b.",INDEX(SRC_Woningetalage!$A$1:$ZZ$501,$A466,O$3)))</f>
        <v/>
      </c>
      <c r="P466" t="str">
        <f>IF($B466="","",IF(P$3=0,"n.b.",INDEX(SRC_Woningetalage!$A$1:$ZZ$501,$A466,P$3)))</f>
        <v/>
      </c>
      <c r="Q466" s="124" t="str">
        <f>IF($B466="","",IF(Q$3=0,"n.b.",INDEX(SRC_Woningetalage!$A$1:$ZZ$501,$A466,Q$3)))</f>
        <v/>
      </c>
      <c r="R466" s="124" t="str">
        <f>IF($B466="","",IF(R$3=0,"n.b.",INDEX(SRC_Woningetalage!$A$1:$ZZ$501,$A466,R$3)))</f>
        <v/>
      </c>
      <c r="S466" s="124" t="str">
        <f>IF($B466="","",IF(S$3=0,"n.b.",INDEX(SRC_Woningetalage!$A$1:$ZZ$501,$A466,S$3)))</f>
        <v/>
      </c>
      <c r="T466" s="124" t="str">
        <f>IF($B466="","",IF(T$3=0,"n.b.",INDEX(SRC_Woningetalage!$A$1:$ZZ$501,$A466,T$3)))</f>
        <v/>
      </c>
      <c r="U466" s="124" t="str">
        <f>IF($B466="","",IF(U$3=0,"n.b.",INDEX(SRC_Woningetalage!$A$1:$ZZ$501,$A466,U$3)))</f>
        <v/>
      </c>
      <c r="V466" s="124" t="str">
        <f>IF($B466="","",IF(V$3=0,"n.b.",INDEX(SRC_Woningetalage!$A$1:$ZZ$501,$A466,V$3)))</f>
        <v/>
      </c>
      <c r="W466" s="124" t="str">
        <f>IF($B466="","",IF(W$3=0,"n.b.",INDEX(SRC_Woningetalage!$A$1:$ZZ$501,$A466,W$3)))</f>
        <v/>
      </c>
      <c r="X466" s="124" t="str">
        <f>IF($B466="","",IF(X$3=0,"n.b.",INDEX(SRC_Woningetalage!$A$1:$ZZ$501,$A466,X$3)))</f>
        <v/>
      </c>
      <c r="Y466" s="124" t="str">
        <f>IF($B466="","",IF(Y$3=0,"n.b.",INDEX(SRC_Woningetalage!$A$1:$ZZ$501,$A466,Y$3)))</f>
        <v/>
      </c>
      <c r="Z466" s="124" t="str">
        <f>IF($B466="","",IF(Z$3=0,"n.b.",INDEX(SRC_Woningetalage!$A$1:$ZZ$501,$A466,Z$3)))</f>
        <v/>
      </c>
      <c r="AA466" s="124" t="str">
        <f>IF($B466="","",IF(AA$3=0,"n.b.",INDEX(SRC_Woningetalage!$A$1:$ZZ$501,$A466,AA$3)))</f>
        <v/>
      </c>
      <c r="AB466" s="124" t="str">
        <f>IF($B466="","",IF(AB$3=0,"n.b.",INDEX(SRC_Woningetalage!$A$1:$ZZ$501,$A466,AB$3)))</f>
        <v/>
      </c>
      <c r="AC466" s="124" t="str">
        <f>IF($B466="","",IF(AC$3=0,"n.b.",INDEX(SRC_Woningetalage!$A$1:$ZZ$501,$A466,AC$3)))</f>
        <v/>
      </c>
      <c r="AD466" s="124" t="str">
        <f>IF($B466="","",IF(AD$3=0,"n.b.",INDEX(SRC_Woningetalage!$A$1:$ZZ$501,$A466,AD$3)))</f>
        <v/>
      </c>
      <c r="AE466" s="124" t="str">
        <f>IF($B466="","",IF(AE$3=0,"n.b.",INDEX(SRC_Woningetalage!$A$1:$ZZ$501,$A466,AE$3)))</f>
        <v/>
      </c>
      <c r="AF466" s="124" t="str">
        <f>IF($B466="","",IF(AF$3=0,"n.b.",INDEX(SRC_Woningetalage!$A$1:$ZZ$501,$A466,AF$3)))</f>
        <v/>
      </c>
      <c r="AG466" s="124" t="str">
        <f>IF($B466="","",IF(AG$3=0,"n.b.",INDEX(SRC_Woningetalage!$A$1:$ZZ$501,$A466,AG$3)))</f>
        <v/>
      </c>
      <c r="AH466" s="124" t="str">
        <f>IF($B466="","",IF(AH$3=0,"n.b.",INDEX(SRC_Woningetalage!$A$1:$ZZ$501,$A466,AH$3)))</f>
        <v/>
      </c>
      <c r="AI466" s="124" t="str">
        <f>IF($B466="","",IF(AI$3=0,"n.b.",INDEX(SRC_Woningetalage!$A$1:$ZZ$501,$A466,AI$3)))</f>
        <v/>
      </c>
      <c r="AJ466" s="124" t="str">
        <f>IF($B466="","",IF(AJ$3=0,"n.b.",INDEX(SRC_Woningetalage!$A$1:$ZZ$501,$A466,AJ$3)))</f>
        <v/>
      </c>
      <c r="AK466" s="124" t="str">
        <f>IF($B466="","",IF(AK$3=0,"n.b.",INDEX(SRC_Woningetalage!$A$1:$ZZ$501,$A466,AK$3)))</f>
        <v/>
      </c>
      <c r="AL466" s="124" t="str">
        <f>IF($B466="","",IF(AL$3=0,"n.b.",INDEX(SRC_Woningetalage!$A$1:$ZZ$501,$A466,AL$3)))</f>
        <v/>
      </c>
      <c r="AM466" s="124" t="str">
        <f>IF($B466="","",IF(AM$3=0,"n.b.",INDEX(SRC_Woningetalage!$A$1:$ZZ$501,$A466,AM$3)))</f>
        <v/>
      </c>
      <c r="AN466" s="124" t="str">
        <f>IF($B466="","",IF(AN$3=0,"n.b.",INDEX(SRC_Woningetalage!$A$1:$ZZ$501,$A466,AN$3)))</f>
        <v/>
      </c>
      <c r="AO466" s="124" t="str">
        <f>IF($B466="","",IF(AO$3=0,"n.b.",INDEX(SRC_Woningetalage!$A$1:$ZZ$501,$A466,AO$3)))</f>
        <v/>
      </c>
      <c r="AP466" s="124" t="str">
        <f>IF($B466="","",IF(AP$3=0,"n.b.",INDEX(SRC_Woningetalage!$A$1:$ZZ$501,$A466,AP$3)))</f>
        <v/>
      </c>
      <c r="AQ466" s="124" t="str">
        <f>IF($B466="","",IF(AQ$3=0,"n.b.",INDEX(SRC_Woningetalage!$A$1:$ZZ$501,$A466,AQ$3)))</f>
        <v/>
      </c>
      <c r="AR466" s="124" t="str">
        <f>IF($B466="","",IF(AR$3=0,"n.b.",INDEX(SRC_Woningetalage!$A$1:$ZZ$501,$A466,AR$3)))</f>
        <v/>
      </c>
      <c r="AS466" s="124" t="str">
        <f>IF($B466="","",IF(AS$3=0,"n.b.",INDEX(SRC_Woningetalage!$A$1:$ZZ$501,$A466,AS$3)))</f>
        <v/>
      </c>
      <c r="AT466" s="124" t="str">
        <f>IF($B466="","",IF(AT$3=0,"n.b.",INDEX(SRC_Woningetalage!$A$1:$ZZ$501,$A466,AT$3)))</f>
        <v/>
      </c>
      <c r="AU466" s="124" t="str">
        <f>IF($B466="","",IF(AU$3=0,"n.b.",INDEX(SRC_Woningetalage!$A$1:$ZZ$501,$A466,AU$3)))</f>
        <v/>
      </c>
      <c r="AV466" s="124" t="str">
        <f>IF($B466="","",IF(AV$3=0,"n.b.",INDEX(SRC_Woningetalage!$A$1:$ZZ$501,$A466,AV$3)))</f>
        <v/>
      </c>
      <c r="AW466" s="124" t="str">
        <f>IF($B466="","",IF(AW$3=0,"n.b.",INDEX(SRC_Woningetalage!$A$1:$ZZ$501,$A466,AW$3)))</f>
        <v/>
      </c>
      <c r="AX466" s="124" t="str">
        <f>IF($B466="","",IF(AX$3=0,"n.b.",INDEX(SRC_Woningetalage!$A$1:$ZZ$501,$A466,AX$3)))</f>
        <v/>
      </c>
      <c r="AY466" s="124" t="str">
        <f>IF($B466="","",IF(AY$3=0,"n.b.",INDEX(SRC_Woningetalage!$A$1:$ZZ$501,$A466,AY$3)))</f>
        <v/>
      </c>
      <c r="AZ466" s="124" t="str">
        <f>IF($B466="","",IF(AZ$3=0,"n.b.",INDEX(SRC_Woningetalage!$A$1:$ZZ$501,$A466,AZ$3)))</f>
        <v/>
      </c>
      <c r="BA466" s="124" t="str">
        <f>IF($B466="","",IF(BA$3=0,"n.b.",INDEX(SRC_Woningetalage!$A$1:$ZZ$501,$A466,BA$3)))</f>
        <v/>
      </c>
      <c r="BB466" s="124" t="str">
        <f>IF($B466="","",IF(BB$3=0,"n.b.",INDEX(SRC_Woningetalage!$A$1:$ZZ$501,$A466,BB$3)))</f>
        <v/>
      </c>
      <c r="BC466" s="124" t="str">
        <f>IF($B466="","",IFERROR(_xlfn.NUMBERVALUE(E466&amp;"",",","."),"n.b."))</f>
        <v/>
      </c>
      <c r="BD466" s="124" t="str">
        <f>IF($B466="","",IFERROR(_xlfn.NUMBERVALUE(M466&amp;"",",","."),"n.b."))</f>
        <v/>
      </c>
      <c r="BE466" s="124" t="str">
        <f>IF($B466="","",IFERROR(AB466+AC466+AD466,"n.b."))</f>
        <v/>
      </c>
      <c r="BF466" s="124" t="str">
        <f>IF($B466="","",IFERROR(AE466+AF466+AG466,"n.b."))</f>
        <v/>
      </c>
      <c r="BG466" s="124" t="str">
        <f>IF($B466="","",IFERROR(AH466+AI466+AJ466,"n.b."))</f>
        <v/>
      </c>
      <c r="BH466" s="124" t="str">
        <f>IF($B466="","",IFERROR(AK466+AL466+AM466,"n.b."))</f>
        <v/>
      </c>
      <c r="BI466" s="124" t="str">
        <f>IF($B466="","",IFERROR(SUMIF($AB$5:$AM$5,"&lt;="&amp;P_PeilMaand,AB466:AM466),"n.b."))</f>
        <v/>
      </c>
      <c r="BJ466" s="124" t="str">
        <f>IF($B466="","",IFERROR(SUM(AB466:AM466)-BI466,"n.b."))</f>
        <v/>
      </c>
      <c r="BK466" s="124" t="str">
        <f>IF($B466="","",IFERROR(IF(ABS(Q466-(T466+SUM(AB466:AM466)+AS466+AU466))&gt;P_Tol,1,0),1))</f>
        <v/>
      </c>
      <c r="BL466" s="124" t="str">
        <f>IF($B466="","",IFERROR(IF(ABS(AA466-(Q466-Z466))&gt;P_Tol,1,0),1))</f>
        <v/>
      </c>
      <c r="BM466" s="124" t="str">
        <f>IF($B466="","",IFERROR(IF(ABS(Z466-(T466+W466))&gt;P_Tol,1,0),1))</f>
        <v/>
      </c>
      <c r="BN466" s="124" t="str">
        <f>IF($B466="","",IFERROR(IF(ABS(W466-BI466)&gt;P_Tol,1,0),1))</f>
        <v/>
      </c>
      <c r="BO466" s="124" t="str">
        <f>IF($B466="","",IFERROR(IF(OR(ABS(R466+S466-T466)&gt;P_Tol,ABS(U466+V466-W466)&gt;P_Tol,ABS(X466+Y466-Z466)&gt;P_Tol),1,0),1))</f>
        <v/>
      </c>
      <c r="BP466" s="124" t="str">
        <f>IF($B466="","",IFERROR(IF(OR(ABS(AR466-SUM(AB466:AM466))&gt;P_Tol,ABS(AS466-(AN466+AO466+AP466+AQ466))&gt;P_Tol),1,0),1))</f>
        <v/>
      </c>
      <c r="BQ466" s="124" t="str">
        <f>IF($B466="","",IFERROR(IF(ABS(AT466)+ABS(AV466)+ABS(AW466)+ABS(AX466)+ABS(AY466)+ABS(AZ466)+ABS(BA466)+ABS(BB466)&gt;0,1,0),1))</f>
        <v/>
      </c>
      <c r="BR466" s="124" t="str">
        <f>IF($B466="","",COUNTIF(STG_ZPMW03!$B$6:$B$505,B466))</f>
        <v/>
      </c>
      <c r="BS466" s="124" t="str">
        <f>IF($B466="","",COUNTIF($B$6:$B$505,B466))</f>
        <v/>
      </c>
      <c r="BT466" s="124" t="str">
        <f>IF($B466="","",IF(BR466=0,0,IF(INDEX(STG_ZPMW03!$I$6:$I$505,MATCH(B466,STG_ZPMW03!$B$6:$B$505,0))=J466&amp;"",0,1)))</f>
        <v/>
      </c>
      <c r="BU466" s="124" t="str">
        <f>IF($B466="","",IFERROR(IF(ABS(INDEX(Mapping!$D$5:$D$104,MATCH(B466,Mapping!$A$5:$A$104,0))-Q466)&gt;P_Tol,1,0),0))</f>
        <v/>
      </c>
      <c r="BV466" s="124" t="str">
        <f>IF($B466="","",IFERROR(IF(AND(INDEX(Mapping!$G$5:$G$104,MATCH(B466,Mapping!$A$5:$A$104,0))="Nee",ABS(Q466)+ABS(Z466)+ABS(AR466)&gt;0),1,0),0))</f>
        <v/>
      </c>
      <c r="BW466" s="124" t="str">
        <f>IF($B466="","",IF(COUNTIF(Mapping!$A$5:$A$104,B466)&gt;0,1,0))</f>
        <v/>
      </c>
      <c r="BX466" s="124" t="str">
        <f>IF($B466="","",IF(BR466=0,COUNTIF($BR$6:BR466,0),""))</f>
        <v/>
      </c>
    </row>
    <row r="467">
      <c r="A467" s="15" t="n">
        <v>463</v>
      </c>
      <c r="B467" t="str">
        <f>IF(B$3=0,"",IF(INDEX(SRC_Woningetalage!$A$1:$ZZ$501,$A467,B$3)&amp;""="","",INDEX(SRC_Woningetalage!$A$1:$ZZ$501,$A467,B$3)&amp;""))</f>
        <v/>
      </c>
      <c r="C467" t="str">
        <f>IF($B467="","",IF(C$3=0,"n.b.",INDEX(SRC_Woningetalage!$A$1:$ZZ$501,$A467,C$3)))</f>
        <v/>
      </c>
      <c r="D467" t="str">
        <f>IF($B467="","",IF(D$3=0,"n.b.",INDEX(SRC_Woningetalage!$A$1:$ZZ$501,$A467,D$3)))</f>
        <v/>
      </c>
      <c r="E467" t="str">
        <f>IF($B467="","",IF(E$3=0,"n.b.",INDEX(SRC_Woningetalage!$A$1:$ZZ$501,$A467,E$3)))</f>
        <v/>
      </c>
      <c r="F467" t="str">
        <f>IF($B467="","",IF(F$3=0,"n.b.",INDEX(SRC_Woningetalage!$A$1:$ZZ$501,$A467,F$3)))</f>
        <v/>
      </c>
      <c r="G467" t="str">
        <f>IF($B467="","",IF(G$3=0,"n.b.",INDEX(SRC_Woningetalage!$A$1:$ZZ$501,$A467,G$3)))</f>
        <v/>
      </c>
      <c r="H467" t="str">
        <f>IF($B467="","",IF(H$3=0,"n.b.",INDEX(SRC_Woningetalage!$A$1:$ZZ$501,$A467,H$3)))</f>
        <v/>
      </c>
      <c r="I467" t="str">
        <f>IF($B467="","",IF(I$3=0,"n.b.",INDEX(SRC_Woningetalage!$A$1:$ZZ$501,$A467,I$3)))</f>
        <v/>
      </c>
      <c r="J467" t="str">
        <f>IF($B467="","",IF(J$3=0,"n.b.",INDEX(SRC_Woningetalage!$A$1:$ZZ$501,$A467,J$3)))</f>
        <v/>
      </c>
      <c r="K467" t="str">
        <f>IF($B467="","",IF(K$3=0,"n.b.",INDEX(SRC_Woningetalage!$A$1:$ZZ$501,$A467,K$3)))</f>
        <v/>
      </c>
      <c r="L467" t="str">
        <f>IF($B467="","",IF(L$3=0,"n.b.",INDEX(SRC_Woningetalage!$A$1:$ZZ$501,$A467,L$3)))</f>
        <v/>
      </c>
      <c r="M467" t="str">
        <f>IF($B467="","",IF(M$3=0,"n.b.",INDEX(SRC_Woningetalage!$A$1:$ZZ$501,$A467,M$3)))</f>
        <v/>
      </c>
      <c r="N467" t="str">
        <f>IF($B467="","",IF(N$3=0,"n.b.",INDEX(SRC_Woningetalage!$A$1:$ZZ$501,$A467,N$3)))</f>
        <v/>
      </c>
      <c r="O467" t="str">
        <f>IF($B467="","",IF(O$3=0,"n.b.",INDEX(SRC_Woningetalage!$A$1:$ZZ$501,$A467,O$3)))</f>
        <v/>
      </c>
      <c r="P467" t="str">
        <f>IF($B467="","",IF(P$3=0,"n.b.",INDEX(SRC_Woningetalage!$A$1:$ZZ$501,$A467,P$3)))</f>
        <v/>
      </c>
      <c r="Q467" s="124" t="str">
        <f>IF($B467="","",IF(Q$3=0,"n.b.",INDEX(SRC_Woningetalage!$A$1:$ZZ$501,$A467,Q$3)))</f>
        <v/>
      </c>
      <c r="R467" s="124" t="str">
        <f>IF($B467="","",IF(R$3=0,"n.b.",INDEX(SRC_Woningetalage!$A$1:$ZZ$501,$A467,R$3)))</f>
        <v/>
      </c>
      <c r="S467" s="124" t="str">
        <f>IF($B467="","",IF(S$3=0,"n.b.",INDEX(SRC_Woningetalage!$A$1:$ZZ$501,$A467,S$3)))</f>
        <v/>
      </c>
      <c r="T467" s="124" t="str">
        <f>IF($B467="","",IF(T$3=0,"n.b.",INDEX(SRC_Woningetalage!$A$1:$ZZ$501,$A467,T$3)))</f>
        <v/>
      </c>
      <c r="U467" s="124" t="str">
        <f>IF($B467="","",IF(U$3=0,"n.b.",INDEX(SRC_Woningetalage!$A$1:$ZZ$501,$A467,U$3)))</f>
        <v/>
      </c>
      <c r="V467" s="124" t="str">
        <f>IF($B467="","",IF(V$3=0,"n.b.",INDEX(SRC_Woningetalage!$A$1:$ZZ$501,$A467,V$3)))</f>
        <v/>
      </c>
      <c r="W467" s="124" t="str">
        <f>IF($B467="","",IF(W$3=0,"n.b.",INDEX(SRC_Woningetalage!$A$1:$ZZ$501,$A467,W$3)))</f>
        <v/>
      </c>
      <c r="X467" s="124" t="str">
        <f>IF($B467="","",IF(X$3=0,"n.b.",INDEX(SRC_Woningetalage!$A$1:$ZZ$501,$A467,X$3)))</f>
        <v/>
      </c>
      <c r="Y467" s="124" t="str">
        <f>IF($B467="","",IF(Y$3=0,"n.b.",INDEX(SRC_Woningetalage!$A$1:$ZZ$501,$A467,Y$3)))</f>
        <v/>
      </c>
      <c r="Z467" s="124" t="str">
        <f>IF($B467="","",IF(Z$3=0,"n.b.",INDEX(SRC_Woningetalage!$A$1:$ZZ$501,$A467,Z$3)))</f>
        <v/>
      </c>
      <c r="AA467" s="124" t="str">
        <f>IF($B467="","",IF(AA$3=0,"n.b.",INDEX(SRC_Woningetalage!$A$1:$ZZ$501,$A467,AA$3)))</f>
        <v/>
      </c>
      <c r="AB467" s="124" t="str">
        <f>IF($B467="","",IF(AB$3=0,"n.b.",INDEX(SRC_Woningetalage!$A$1:$ZZ$501,$A467,AB$3)))</f>
        <v/>
      </c>
      <c r="AC467" s="124" t="str">
        <f>IF($B467="","",IF(AC$3=0,"n.b.",INDEX(SRC_Woningetalage!$A$1:$ZZ$501,$A467,AC$3)))</f>
        <v/>
      </c>
      <c r="AD467" s="124" t="str">
        <f>IF($B467="","",IF(AD$3=0,"n.b.",INDEX(SRC_Woningetalage!$A$1:$ZZ$501,$A467,AD$3)))</f>
        <v/>
      </c>
      <c r="AE467" s="124" t="str">
        <f>IF($B467="","",IF(AE$3=0,"n.b.",INDEX(SRC_Woningetalage!$A$1:$ZZ$501,$A467,AE$3)))</f>
        <v/>
      </c>
      <c r="AF467" s="124" t="str">
        <f>IF($B467="","",IF(AF$3=0,"n.b.",INDEX(SRC_Woningetalage!$A$1:$ZZ$501,$A467,AF$3)))</f>
        <v/>
      </c>
      <c r="AG467" s="124" t="str">
        <f>IF($B467="","",IF(AG$3=0,"n.b.",INDEX(SRC_Woningetalage!$A$1:$ZZ$501,$A467,AG$3)))</f>
        <v/>
      </c>
      <c r="AH467" s="124" t="str">
        <f>IF($B467="","",IF(AH$3=0,"n.b.",INDEX(SRC_Woningetalage!$A$1:$ZZ$501,$A467,AH$3)))</f>
        <v/>
      </c>
      <c r="AI467" s="124" t="str">
        <f>IF($B467="","",IF(AI$3=0,"n.b.",INDEX(SRC_Woningetalage!$A$1:$ZZ$501,$A467,AI$3)))</f>
        <v/>
      </c>
      <c r="AJ467" s="124" t="str">
        <f>IF($B467="","",IF(AJ$3=0,"n.b.",INDEX(SRC_Woningetalage!$A$1:$ZZ$501,$A467,AJ$3)))</f>
        <v/>
      </c>
      <c r="AK467" s="124" t="str">
        <f>IF($B467="","",IF(AK$3=0,"n.b.",INDEX(SRC_Woningetalage!$A$1:$ZZ$501,$A467,AK$3)))</f>
        <v/>
      </c>
      <c r="AL467" s="124" t="str">
        <f>IF($B467="","",IF(AL$3=0,"n.b.",INDEX(SRC_Woningetalage!$A$1:$ZZ$501,$A467,AL$3)))</f>
        <v/>
      </c>
      <c r="AM467" s="124" t="str">
        <f>IF($B467="","",IF(AM$3=0,"n.b.",INDEX(SRC_Woningetalage!$A$1:$ZZ$501,$A467,AM$3)))</f>
        <v/>
      </c>
      <c r="AN467" s="124" t="str">
        <f>IF($B467="","",IF(AN$3=0,"n.b.",INDEX(SRC_Woningetalage!$A$1:$ZZ$501,$A467,AN$3)))</f>
        <v/>
      </c>
      <c r="AO467" s="124" t="str">
        <f>IF($B467="","",IF(AO$3=0,"n.b.",INDEX(SRC_Woningetalage!$A$1:$ZZ$501,$A467,AO$3)))</f>
        <v/>
      </c>
      <c r="AP467" s="124" t="str">
        <f>IF($B467="","",IF(AP$3=0,"n.b.",INDEX(SRC_Woningetalage!$A$1:$ZZ$501,$A467,AP$3)))</f>
        <v/>
      </c>
      <c r="AQ467" s="124" t="str">
        <f>IF($B467="","",IF(AQ$3=0,"n.b.",INDEX(SRC_Woningetalage!$A$1:$ZZ$501,$A467,AQ$3)))</f>
        <v/>
      </c>
      <c r="AR467" s="124" t="str">
        <f>IF($B467="","",IF(AR$3=0,"n.b.",INDEX(SRC_Woningetalage!$A$1:$ZZ$501,$A467,AR$3)))</f>
        <v/>
      </c>
      <c r="AS467" s="124" t="str">
        <f>IF($B467="","",IF(AS$3=0,"n.b.",INDEX(SRC_Woningetalage!$A$1:$ZZ$501,$A467,AS$3)))</f>
        <v/>
      </c>
      <c r="AT467" s="124" t="str">
        <f>IF($B467="","",IF(AT$3=0,"n.b.",INDEX(SRC_Woningetalage!$A$1:$ZZ$501,$A467,AT$3)))</f>
        <v/>
      </c>
      <c r="AU467" s="124" t="str">
        <f>IF($B467="","",IF(AU$3=0,"n.b.",INDEX(SRC_Woningetalage!$A$1:$ZZ$501,$A467,AU$3)))</f>
        <v/>
      </c>
      <c r="AV467" s="124" t="str">
        <f>IF($B467="","",IF(AV$3=0,"n.b.",INDEX(SRC_Woningetalage!$A$1:$ZZ$501,$A467,AV$3)))</f>
        <v/>
      </c>
      <c r="AW467" s="124" t="str">
        <f>IF($B467="","",IF(AW$3=0,"n.b.",INDEX(SRC_Woningetalage!$A$1:$ZZ$501,$A467,AW$3)))</f>
        <v/>
      </c>
      <c r="AX467" s="124" t="str">
        <f>IF($B467="","",IF(AX$3=0,"n.b.",INDEX(SRC_Woningetalage!$A$1:$ZZ$501,$A467,AX$3)))</f>
        <v/>
      </c>
      <c r="AY467" s="124" t="str">
        <f>IF($B467="","",IF(AY$3=0,"n.b.",INDEX(SRC_Woningetalage!$A$1:$ZZ$501,$A467,AY$3)))</f>
        <v/>
      </c>
      <c r="AZ467" s="124" t="str">
        <f>IF($B467="","",IF(AZ$3=0,"n.b.",INDEX(SRC_Woningetalage!$A$1:$ZZ$501,$A467,AZ$3)))</f>
        <v/>
      </c>
      <c r="BA467" s="124" t="str">
        <f>IF($B467="","",IF(BA$3=0,"n.b.",INDEX(SRC_Woningetalage!$A$1:$ZZ$501,$A467,BA$3)))</f>
        <v/>
      </c>
      <c r="BB467" s="124" t="str">
        <f>IF($B467="","",IF(BB$3=0,"n.b.",INDEX(SRC_Woningetalage!$A$1:$ZZ$501,$A467,BB$3)))</f>
        <v/>
      </c>
      <c r="BC467" s="124" t="str">
        <f>IF($B467="","",IFERROR(_xlfn.NUMBERVALUE(E467&amp;"",",","."),"n.b."))</f>
        <v/>
      </c>
      <c r="BD467" s="124" t="str">
        <f>IF($B467="","",IFERROR(_xlfn.NUMBERVALUE(M467&amp;"",",","."),"n.b."))</f>
        <v/>
      </c>
      <c r="BE467" s="124" t="str">
        <f>IF($B467="","",IFERROR(AB467+AC467+AD467,"n.b."))</f>
        <v/>
      </c>
      <c r="BF467" s="124" t="str">
        <f>IF($B467="","",IFERROR(AE467+AF467+AG467,"n.b."))</f>
        <v/>
      </c>
      <c r="BG467" s="124" t="str">
        <f>IF($B467="","",IFERROR(AH467+AI467+AJ467,"n.b."))</f>
        <v/>
      </c>
      <c r="BH467" s="124" t="str">
        <f>IF($B467="","",IFERROR(AK467+AL467+AM467,"n.b."))</f>
        <v/>
      </c>
      <c r="BI467" s="124" t="str">
        <f>IF($B467="","",IFERROR(SUMIF($AB$5:$AM$5,"&lt;="&amp;P_PeilMaand,AB467:AM467),"n.b."))</f>
        <v/>
      </c>
      <c r="BJ467" s="124" t="str">
        <f>IF($B467="","",IFERROR(SUM(AB467:AM467)-BI467,"n.b."))</f>
        <v/>
      </c>
      <c r="BK467" s="124" t="str">
        <f>IF($B467="","",IFERROR(IF(ABS(Q467-(T467+SUM(AB467:AM467)+AS467+AU467))&gt;P_Tol,1,0),1))</f>
        <v/>
      </c>
      <c r="BL467" s="124" t="str">
        <f>IF($B467="","",IFERROR(IF(ABS(AA467-(Q467-Z467))&gt;P_Tol,1,0),1))</f>
        <v/>
      </c>
      <c r="BM467" s="124" t="str">
        <f>IF($B467="","",IFERROR(IF(ABS(Z467-(T467+W467))&gt;P_Tol,1,0),1))</f>
        <v/>
      </c>
      <c r="BN467" s="124" t="str">
        <f>IF($B467="","",IFERROR(IF(ABS(W467-BI467)&gt;P_Tol,1,0),1))</f>
        <v/>
      </c>
      <c r="BO467" s="124" t="str">
        <f>IF($B467="","",IFERROR(IF(OR(ABS(R467+S467-T467)&gt;P_Tol,ABS(U467+V467-W467)&gt;P_Tol,ABS(X467+Y467-Z467)&gt;P_Tol),1,0),1))</f>
        <v/>
      </c>
      <c r="BP467" s="124" t="str">
        <f>IF($B467="","",IFERROR(IF(OR(ABS(AR467-SUM(AB467:AM467))&gt;P_Tol,ABS(AS467-(AN467+AO467+AP467+AQ467))&gt;P_Tol),1,0),1))</f>
        <v/>
      </c>
      <c r="BQ467" s="124" t="str">
        <f>IF($B467="","",IFERROR(IF(ABS(AT467)+ABS(AV467)+ABS(AW467)+ABS(AX467)+ABS(AY467)+ABS(AZ467)+ABS(BA467)+ABS(BB467)&gt;0,1,0),1))</f>
        <v/>
      </c>
      <c r="BR467" s="124" t="str">
        <f>IF($B467="","",COUNTIF(STG_ZPMW03!$B$6:$B$505,B467))</f>
        <v/>
      </c>
      <c r="BS467" s="124" t="str">
        <f>IF($B467="","",COUNTIF($B$6:$B$505,B467))</f>
        <v/>
      </c>
      <c r="BT467" s="124" t="str">
        <f>IF($B467="","",IF(BR467=0,0,IF(INDEX(STG_ZPMW03!$I$6:$I$505,MATCH(B467,STG_ZPMW03!$B$6:$B$505,0))=J467&amp;"",0,1)))</f>
        <v/>
      </c>
      <c r="BU467" s="124" t="str">
        <f>IF($B467="","",IFERROR(IF(ABS(INDEX(Mapping!$D$5:$D$104,MATCH(B467,Mapping!$A$5:$A$104,0))-Q467)&gt;P_Tol,1,0),0))</f>
        <v/>
      </c>
      <c r="BV467" s="124" t="str">
        <f>IF($B467="","",IFERROR(IF(AND(INDEX(Mapping!$G$5:$G$104,MATCH(B467,Mapping!$A$5:$A$104,0))="Nee",ABS(Q467)+ABS(Z467)+ABS(AR467)&gt;0),1,0),0))</f>
        <v/>
      </c>
      <c r="BW467" s="124" t="str">
        <f>IF($B467="","",IF(COUNTIF(Mapping!$A$5:$A$104,B467)&gt;0,1,0))</f>
        <v/>
      </c>
      <c r="BX467" s="124" t="str">
        <f>IF($B467="","",IF(BR467=0,COUNTIF($BR$6:BR467,0),""))</f>
        <v/>
      </c>
    </row>
    <row r="468">
      <c r="A468" s="15" t="n">
        <v>464</v>
      </c>
      <c r="B468" t="str">
        <f>IF(B$3=0,"",IF(INDEX(SRC_Woningetalage!$A$1:$ZZ$501,$A468,B$3)&amp;""="","",INDEX(SRC_Woningetalage!$A$1:$ZZ$501,$A468,B$3)&amp;""))</f>
        <v/>
      </c>
      <c r="C468" t="str">
        <f>IF($B468="","",IF(C$3=0,"n.b.",INDEX(SRC_Woningetalage!$A$1:$ZZ$501,$A468,C$3)))</f>
        <v/>
      </c>
      <c r="D468" t="str">
        <f>IF($B468="","",IF(D$3=0,"n.b.",INDEX(SRC_Woningetalage!$A$1:$ZZ$501,$A468,D$3)))</f>
        <v/>
      </c>
      <c r="E468" t="str">
        <f>IF($B468="","",IF(E$3=0,"n.b.",INDEX(SRC_Woningetalage!$A$1:$ZZ$501,$A468,E$3)))</f>
        <v/>
      </c>
      <c r="F468" t="str">
        <f>IF($B468="","",IF(F$3=0,"n.b.",INDEX(SRC_Woningetalage!$A$1:$ZZ$501,$A468,F$3)))</f>
        <v/>
      </c>
      <c r="G468" t="str">
        <f>IF($B468="","",IF(G$3=0,"n.b.",INDEX(SRC_Woningetalage!$A$1:$ZZ$501,$A468,G$3)))</f>
        <v/>
      </c>
      <c r="H468" t="str">
        <f>IF($B468="","",IF(H$3=0,"n.b.",INDEX(SRC_Woningetalage!$A$1:$ZZ$501,$A468,H$3)))</f>
        <v/>
      </c>
      <c r="I468" t="str">
        <f>IF($B468="","",IF(I$3=0,"n.b.",INDEX(SRC_Woningetalage!$A$1:$ZZ$501,$A468,I$3)))</f>
        <v/>
      </c>
      <c r="J468" t="str">
        <f>IF($B468="","",IF(J$3=0,"n.b.",INDEX(SRC_Woningetalage!$A$1:$ZZ$501,$A468,J$3)))</f>
        <v/>
      </c>
      <c r="K468" t="str">
        <f>IF($B468="","",IF(K$3=0,"n.b.",INDEX(SRC_Woningetalage!$A$1:$ZZ$501,$A468,K$3)))</f>
        <v/>
      </c>
      <c r="L468" t="str">
        <f>IF($B468="","",IF(L$3=0,"n.b.",INDEX(SRC_Woningetalage!$A$1:$ZZ$501,$A468,L$3)))</f>
        <v/>
      </c>
      <c r="M468" t="str">
        <f>IF($B468="","",IF(M$3=0,"n.b.",INDEX(SRC_Woningetalage!$A$1:$ZZ$501,$A468,M$3)))</f>
        <v/>
      </c>
      <c r="N468" t="str">
        <f>IF($B468="","",IF(N$3=0,"n.b.",INDEX(SRC_Woningetalage!$A$1:$ZZ$501,$A468,N$3)))</f>
        <v/>
      </c>
      <c r="O468" t="str">
        <f>IF($B468="","",IF(O$3=0,"n.b.",INDEX(SRC_Woningetalage!$A$1:$ZZ$501,$A468,O$3)))</f>
        <v/>
      </c>
      <c r="P468" t="str">
        <f>IF($B468="","",IF(P$3=0,"n.b.",INDEX(SRC_Woningetalage!$A$1:$ZZ$501,$A468,P$3)))</f>
        <v/>
      </c>
      <c r="Q468" s="124" t="str">
        <f>IF($B468="","",IF(Q$3=0,"n.b.",INDEX(SRC_Woningetalage!$A$1:$ZZ$501,$A468,Q$3)))</f>
        <v/>
      </c>
      <c r="R468" s="124" t="str">
        <f>IF($B468="","",IF(R$3=0,"n.b.",INDEX(SRC_Woningetalage!$A$1:$ZZ$501,$A468,R$3)))</f>
        <v/>
      </c>
      <c r="S468" s="124" t="str">
        <f>IF($B468="","",IF(S$3=0,"n.b.",INDEX(SRC_Woningetalage!$A$1:$ZZ$501,$A468,S$3)))</f>
        <v/>
      </c>
      <c r="T468" s="124" t="str">
        <f>IF($B468="","",IF(T$3=0,"n.b.",INDEX(SRC_Woningetalage!$A$1:$ZZ$501,$A468,T$3)))</f>
        <v/>
      </c>
      <c r="U468" s="124" t="str">
        <f>IF($B468="","",IF(U$3=0,"n.b.",INDEX(SRC_Woningetalage!$A$1:$ZZ$501,$A468,U$3)))</f>
        <v/>
      </c>
      <c r="V468" s="124" t="str">
        <f>IF($B468="","",IF(V$3=0,"n.b.",INDEX(SRC_Woningetalage!$A$1:$ZZ$501,$A468,V$3)))</f>
        <v/>
      </c>
      <c r="W468" s="124" t="str">
        <f>IF($B468="","",IF(W$3=0,"n.b.",INDEX(SRC_Woningetalage!$A$1:$ZZ$501,$A468,W$3)))</f>
        <v/>
      </c>
      <c r="X468" s="124" t="str">
        <f>IF($B468="","",IF(X$3=0,"n.b.",INDEX(SRC_Woningetalage!$A$1:$ZZ$501,$A468,X$3)))</f>
        <v/>
      </c>
      <c r="Y468" s="124" t="str">
        <f>IF($B468="","",IF(Y$3=0,"n.b.",INDEX(SRC_Woningetalage!$A$1:$ZZ$501,$A468,Y$3)))</f>
        <v/>
      </c>
      <c r="Z468" s="124" t="str">
        <f>IF($B468="","",IF(Z$3=0,"n.b.",INDEX(SRC_Woningetalage!$A$1:$ZZ$501,$A468,Z$3)))</f>
        <v/>
      </c>
      <c r="AA468" s="124" t="str">
        <f>IF($B468="","",IF(AA$3=0,"n.b.",INDEX(SRC_Woningetalage!$A$1:$ZZ$501,$A468,AA$3)))</f>
        <v/>
      </c>
      <c r="AB468" s="124" t="str">
        <f>IF($B468="","",IF(AB$3=0,"n.b.",INDEX(SRC_Woningetalage!$A$1:$ZZ$501,$A468,AB$3)))</f>
        <v/>
      </c>
      <c r="AC468" s="124" t="str">
        <f>IF($B468="","",IF(AC$3=0,"n.b.",INDEX(SRC_Woningetalage!$A$1:$ZZ$501,$A468,AC$3)))</f>
        <v/>
      </c>
      <c r="AD468" s="124" t="str">
        <f>IF($B468="","",IF(AD$3=0,"n.b.",INDEX(SRC_Woningetalage!$A$1:$ZZ$501,$A468,AD$3)))</f>
        <v/>
      </c>
      <c r="AE468" s="124" t="str">
        <f>IF($B468="","",IF(AE$3=0,"n.b.",INDEX(SRC_Woningetalage!$A$1:$ZZ$501,$A468,AE$3)))</f>
        <v/>
      </c>
      <c r="AF468" s="124" t="str">
        <f>IF($B468="","",IF(AF$3=0,"n.b.",INDEX(SRC_Woningetalage!$A$1:$ZZ$501,$A468,AF$3)))</f>
        <v/>
      </c>
      <c r="AG468" s="124" t="str">
        <f>IF($B468="","",IF(AG$3=0,"n.b.",INDEX(SRC_Woningetalage!$A$1:$ZZ$501,$A468,AG$3)))</f>
        <v/>
      </c>
      <c r="AH468" s="124" t="str">
        <f>IF($B468="","",IF(AH$3=0,"n.b.",INDEX(SRC_Woningetalage!$A$1:$ZZ$501,$A468,AH$3)))</f>
        <v/>
      </c>
      <c r="AI468" s="124" t="str">
        <f>IF($B468="","",IF(AI$3=0,"n.b.",INDEX(SRC_Woningetalage!$A$1:$ZZ$501,$A468,AI$3)))</f>
        <v/>
      </c>
      <c r="AJ468" s="124" t="str">
        <f>IF($B468="","",IF(AJ$3=0,"n.b.",INDEX(SRC_Woningetalage!$A$1:$ZZ$501,$A468,AJ$3)))</f>
        <v/>
      </c>
      <c r="AK468" s="124" t="str">
        <f>IF($B468="","",IF(AK$3=0,"n.b.",INDEX(SRC_Woningetalage!$A$1:$ZZ$501,$A468,AK$3)))</f>
        <v/>
      </c>
      <c r="AL468" s="124" t="str">
        <f>IF($B468="","",IF(AL$3=0,"n.b.",INDEX(SRC_Woningetalage!$A$1:$ZZ$501,$A468,AL$3)))</f>
        <v/>
      </c>
      <c r="AM468" s="124" t="str">
        <f>IF($B468="","",IF(AM$3=0,"n.b.",INDEX(SRC_Woningetalage!$A$1:$ZZ$501,$A468,AM$3)))</f>
        <v/>
      </c>
      <c r="AN468" s="124" t="str">
        <f>IF($B468="","",IF(AN$3=0,"n.b.",INDEX(SRC_Woningetalage!$A$1:$ZZ$501,$A468,AN$3)))</f>
        <v/>
      </c>
      <c r="AO468" s="124" t="str">
        <f>IF($B468="","",IF(AO$3=0,"n.b.",INDEX(SRC_Woningetalage!$A$1:$ZZ$501,$A468,AO$3)))</f>
        <v/>
      </c>
      <c r="AP468" s="124" t="str">
        <f>IF($B468="","",IF(AP$3=0,"n.b.",INDEX(SRC_Woningetalage!$A$1:$ZZ$501,$A468,AP$3)))</f>
        <v/>
      </c>
      <c r="AQ468" s="124" t="str">
        <f>IF($B468="","",IF(AQ$3=0,"n.b.",INDEX(SRC_Woningetalage!$A$1:$ZZ$501,$A468,AQ$3)))</f>
        <v/>
      </c>
      <c r="AR468" s="124" t="str">
        <f>IF($B468="","",IF(AR$3=0,"n.b.",INDEX(SRC_Woningetalage!$A$1:$ZZ$501,$A468,AR$3)))</f>
        <v/>
      </c>
      <c r="AS468" s="124" t="str">
        <f>IF($B468="","",IF(AS$3=0,"n.b.",INDEX(SRC_Woningetalage!$A$1:$ZZ$501,$A468,AS$3)))</f>
        <v/>
      </c>
      <c r="AT468" s="124" t="str">
        <f>IF($B468="","",IF(AT$3=0,"n.b.",INDEX(SRC_Woningetalage!$A$1:$ZZ$501,$A468,AT$3)))</f>
        <v/>
      </c>
      <c r="AU468" s="124" t="str">
        <f>IF($B468="","",IF(AU$3=0,"n.b.",INDEX(SRC_Woningetalage!$A$1:$ZZ$501,$A468,AU$3)))</f>
        <v/>
      </c>
      <c r="AV468" s="124" t="str">
        <f>IF($B468="","",IF(AV$3=0,"n.b.",INDEX(SRC_Woningetalage!$A$1:$ZZ$501,$A468,AV$3)))</f>
        <v/>
      </c>
      <c r="AW468" s="124" t="str">
        <f>IF($B468="","",IF(AW$3=0,"n.b.",INDEX(SRC_Woningetalage!$A$1:$ZZ$501,$A468,AW$3)))</f>
        <v/>
      </c>
      <c r="AX468" s="124" t="str">
        <f>IF($B468="","",IF(AX$3=0,"n.b.",INDEX(SRC_Woningetalage!$A$1:$ZZ$501,$A468,AX$3)))</f>
        <v/>
      </c>
      <c r="AY468" s="124" t="str">
        <f>IF($B468="","",IF(AY$3=0,"n.b.",INDEX(SRC_Woningetalage!$A$1:$ZZ$501,$A468,AY$3)))</f>
        <v/>
      </c>
      <c r="AZ468" s="124" t="str">
        <f>IF($B468="","",IF(AZ$3=0,"n.b.",INDEX(SRC_Woningetalage!$A$1:$ZZ$501,$A468,AZ$3)))</f>
        <v/>
      </c>
      <c r="BA468" s="124" t="str">
        <f>IF($B468="","",IF(BA$3=0,"n.b.",INDEX(SRC_Woningetalage!$A$1:$ZZ$501,$A468,BA$3)))</f>
        <v/>
      </c>
      <c r="BB468" s="124" t="str">
        <f>IF($B468="","",IF(BB$3=0,"n.b.",INDEX(SRC_Woningetalage!$A$1:$ZZ$501,$A468,BB$3)))</f>
        <v/>
      </c>
      <c r="BC468" s="124" t="str">
        <f>IF($B468="","",IFERROR(_xlfn.NUMBERVALUE(E468&amp;"",",","."),"n.b."))</f>
        <v/>
      </c>
      <c r="BD468" s="124" t="str">
        <f>IF($B468="","",IFERROR(_xlfn.NUMBERVALUE(M468&amp;"",",","."),"n.b."))</f>
        <v/>
      </c>
      <c r="BE468" s="124" t="str">
        <f>IF($B468="","",IFERROR(AB468+AC468+AD468,"n.b."))</f>
        <v/>
      </c>
      <c r="BF468" s="124" t="str">
        <f>IF($B468="","",IFERROR(AE468+AF468+AG468,"n.b."))</f>
        <v/>
      </c>
      <c r="BG468" s="124" t="str">
        <f>IF($B468="","",IFERROR(AH468+AI468+AJ468,"n.b."))</f>
        <v/>
      </c>
      <c r="BH468" s="124" t="str">
        <f>IF($B468="","",IFERROR(AK468+AL468+AM468,"n.b."))</f>
        <v/>
      </c>
      <c r="BI468" s="124" t="str">
        <f>IF($B468="","",IFERROR(SUMIF($AB$5:$AM$5,"&lt;="&amp;P_PeilMaand,AB468:AM468),"n.b."))</f>
        <v/>
      </c>
      <c r="BJ468" s="124" t="str">
        <f>IF($B468="","",IFERROR(SUM(AB468:AM468)-BI468,"n.b."))</f>
        <v/>
      </c>
      <c r="BK468" s="124" t="str">
        <f>IF($B468="","",IFERROR(IF(ABS(Q468-(T468+SUM(AB468:AM468)+AS468+AU468))&gt;P_Tol,1,0),1))</f>
        <v/>
      </c>
      <c r="BL468" s="124" t="str">
        <f>IF($B468="","",IFERROR(IF(ABS(AA468-(Q468-Z468))&gt;P_Tol,1,0),1))</f>
        <v/>
      </c>
      <c r="BM468" s="124" t="str">
        <f>IF($B468="","",IFERROR(IF(ABS(Z468-(T468+W468))&gt;P_Tol,1,0),1))</f>
        <v/>
      </c>
      <c r="BN468" s="124" t="str">
        <f>IF($B468="","",IFERROR(IF(ABS(W468-BI468)&gt;P_Tol,1,0),1))</f>
        <v/>
      </c>
      <c r="BO468" s="124" t="str">
        <f>IF($B468="","",IFERROR(IF(OR(ABS(R468+S468-T468)&gt;P_Tol,ABS(U468+V468-W468)&gt;P_Tol,ABS(X468+Y468-Z468)&gt;P_Tol),1,0),1))</f>
        <v/>
      </c>
      <c r="BP468" s="124" t="str">
        <f>IF($B468="","",IFERROR(IF(OR(ABS(AR468-SUM(AB468:AM468))&gt;P_Tol,ABS(AS468-(AN468+AO468+AP468+AQ468))&gt;P_Tol),1,0),1))</f>
        <v/>
      </c>
      <c r="BQ468" s="124" t="str">
        <f>IF($B468="","",IFERROR(IF(ABS(AT468)+ABS(AV468)+ABS(AW468)+ABS(AX468)+ABS(AY468)+ABS(AZ468)+ABS(BA468)+ABS(BB468)&gt;0,1,0),1))</f>
        <v/>
      </c>
      <c r="BR468" s="124" t="str">
        <f>IF($B468="","",COUNTIF(STG_ZPMW03!$B$6:$B$505,B468))</f>
        <v/>
      </c>
      <c r="BS468" s="124" t="str">
        <f>IF($B468="","",COUNTIF($B$6:$B$505,B468))</f>
        <v/>
      </c>
      <c r="BT468" s="124" t="str">
        <f>IF($B468="","",IF(BR468=0,0,IF(INDEX(STG_ZPMW03!$I$6:$I$505,MATCH(B468,STG_ZPMW03!$B$6:$B$505,0))=J468&amp;"",0,1)))</f>
        <v/>
      </c>
      <c r="BU468" s="124" t="str">
        <f>IF($B468="","",IFERROR(IF(ABS(INDEX(Mapping!$D$5:$D$104,MATCH(B468,Mapping!$A$5:$A$104,0))-Q468)&gt;P_Tol,1,0),0))</f>
        <v/>
      </c>
      <c r="BV468" s="124" t="str">
        <f>IF($B468="","",IFERROR(IF(AND(INDEX(Mapping!$G$5:$G$104,MATCH(B468,Mapping!$A$5:$A$104,0))="Nee",ABS(Q468)+ABS(Z468)+ABS(AR468)&gt;0),1,0),0))</f>
        <v/>
      </c>
      <c r="BW468" s="124" t="str">
        <f>IF($B468="","",IF(COUNTIF(Mapping!$A$5:$A$104,B468)&gt;0,1,0))</f>
        <v/>
      </c>
      <c r="BX468" s="124" t="str">
        <f>IF($B468="","",IF(BR468=0,COUNTIF($BR$6:BR468,0),""))</f>
        <v/>
      </c>
    </row>
    <row r="469">
      <c r="A469" s="15" t="n">
        <v>465</v>
      </c>
      <c r="B469" t="str">
        <f>IF(B$3=0,"",IF(INDEX(SRC_Woningetalage!$A$1:$ZZ$501,$A469,B$3)&amp;""="","",INDEX(SRC_Woningetalage!$A$1:$ZZ$501,$A469,B$3)&amp;""))</f>
        <v/>
      </c>
      <c r="C469" t="str">
        <f>IF($B469="","",IF(C$3=0,"n.b.",INDEX(SRC_Woningetalage!$A$1:$ZZ$501,$A469,C$3)))</f>
        <v/>
      </c>
      <c r="D469" t="str">
        <f>IF($B469="","",IF(D$3=0,"n.b.",INDEX(SRC_Woningetalage!$A$1:$ZZ$501,$A469,D$3)))</f>
        <v/>
      </c>
      <c r="E469" t="str">
        <f>IF($B469="","",IF(E$3=0,"n.b.",INDEX(SRC_Woningetalage!$A$1:$ZZ$501,$A469,E$3)))</f>
        <v/>
      </c>
      <c r="F469" t="str">
        <f>IF($B469="","",IF(F$3=0,"n.b.",INDEX(SRC_Woningetalage!$A$1:$ZZ$501,$A469,F$3)))</f>
        <v/>
      </c>
      <c r="G469" t="str">
        <f>IF($B469="","",IF(G$3=0,"n.b.",INDEX(SRC_Woningetalage!$A$1:$ZZ$501,$A469,G$3)))</f>
        <v/>
      </c>
      <c r="H469" t="str">
        <f>IF($B469="","",IF(H$3=0,"n.b.",INDEX(SRC_Woningetalage!$A$1:$ZZ$501,$A469,H$3)))</f>
        <v/>
      </c>
      <c r="I469" t="str">
        <f>IF($B469="","",IF(I$3=0,"n.b.",INDEX(SRC_Woningetalage!$A$1:$ZZ$501,$A469,I$3)))</f>
        <v/>
      </c>
      <c r="J469" t="str">
        <f>IF($B469="","",IF(J$3=0,"n.b.",INDEX(SRC_Woningetalage!$A$1:$ZZ$501,$A469,J$3)))</f>
        <v/>
      </c>
      <c r="K469" t="str">
        <f>IF($B469="","",IF(K$3=0,"n.b.",INDEX(SRC_Woningetalage!$A$1:$ZZ$501,$A469,K$3)))</f>
        <v/>
      </c>
      <c r="L469" t="str">
        <f>IF($B469="","",IF(L$3=0,"n.b.",INDEX(SRC_Woningetalage!$A$1:$ZZ$501,$A469,L$3)))</f>
        <v/>
      </c>
      <c r="M469" t="str">
        <f>IF($B469="","",IF(M$3=0,"n.b.",INDEX(SRC_Woningetalage!$A$1:$ZZ$501,$A469,M$3)))</f>
        <v/>
      </c>
      <c r="N469" t="str">
        <f>IF($B469="","",IF(N$3=0,"n.b.",INDEX(SRC_Woningetalage!$A$1:$ZZ$501,$A469,N$3)))</f>
        <v/>
      </c>
      <c r="O469" t="str">
        <f>IF($B469="","",IF(O$3=0,"n.b.",INDEX(SRC_Woningetalage!$A$1:$ZZ$501,$A469,O$3)))</f>
        <v/>
      </c>
      <c r="P469" t="str">
        <f>IF($B469="","",IF(P$3=0,"n.b.",INDEX(SRC_Woningetalage!$A$1:$ZZ$501,$A469,P$3)))</f>
        <v/>
      </c>
      <c r="Q469" s="124" t="str">
        <f>IF($B469="","",IF(Q$3=0,"n.b.",INDEX(SRC_Woningetalage!$A$1:$ZZ$501,$A469,Q$3)))</f>
        <v/>
      </c>
      <c r="R469" s="124" t="str">
        <f>IF($B469="","",IF(R$3=0,"n.b.",INDEX(SRC_Woningetalage!$A$1:$ZZ$501,$A469,R$3)))</f>
        <v/>
      </c>
      <c r="S469" s="124" t="str">
        <f>IF($B469="","",IF(S$3=0,"n.b.",INDEX(SRC_Woningetalage!$A$1:$ZZ$501,$A469,S$3)))</f>
        <v/>
      </c>
      <c r="T469" s="124" t="str">
        <f>IF($B469="","",IF(T$3=0,"n.b.",INDEX(SRC_Woningetalage!$A$1:$ZZ$501,$A469,T$3)))</f>
        <v/>
      </c>
      <c r="U469" s="124" t="str">
        <f>IF($B469="","",IF(U$3=0,"n.b.",INDEX(SRC_Woningetalage!$A$1:$ZZ$501,$A469,U$3)))</f>
        <v/>
      </c>
      <c r="V469" s="124" t="str">
        <f>IF($B469="","",IF(V$3=0,"n.b.",INDEX(SRC_Woningetalage!$A$1:$ZZ$501,$A469,V$3)))</f>
        <v/>
      </c>
      <c r="W469" s="124" t="str">
        <f>IF($B469="","",IF(W$3=0,"n.b.",INDEX(SRC_Woningetalage!$A$1:$ZZ$501,$A469,W$3)))</f>
        <v/>
      </c>
      <c r="X469" s="124" t="str">
        <f>IF($B469="","",IF(X$3=0,"n.b.",INDEX(SRC_Woningetalage!$A$1:$ZZ$501,$A469,X$3)))</f>
        <v/>
      </c>
      <c r="Y469" s="124" t="str">
        <f>IF($B469="","",IF(Y$3=0,"n.b.",INDEX(SRC_Woningetalage!$A$1:$ZZ$501,$A469,Y$3)))</f>
        <v/>
      </c>
      <c r="Z469" s="124" t="str">
        <f>IF($B469="","",IF(Z$3=0,"n.b.",INDEX(SRC_Woningetalage!$A$1:$ZZ$501,$A469,Z$3)))</f>
        <v/>
      </c>
      <c r="AA469" s="124" t="str">
        <f>IF($B469="","",IF(AA$3=0,"n.b.",INDEX(SRC_Woningetalage!$A$1:$ZZ$501,$A469,AA$3)))</f>
        <v/>
      </c>
      <c r="AB469" s="124" t="str">
        <f>IF($B469="","",IF(AB$3=0,"n.b.",INDEX(SRC_Woningetalage!$A$1:$ZZ$501,$A469,AB$3)))</f>
        <v/>
      </c>
      <c r="AC469" s="124" t="str">
        <f>IF($B469="","",IF(AC$3=0,"n.b.",INDEX(SRC_Woningetalage!$A$1:$ZZ$501,$A469,AC$3)))</f>
        <v/>
      </c>
      <c r="AD469" s="124" t="str">
        <f>IF($B469="","",IF(AD$3=0,"n.b.",INDEX(SRC_Woningetalage!$A$1:$ZZ$501,$A469,AD$3)))</f>
        <v/>
      </c>
      <c r="AE469" s="124" t="str">
        <f>IF($B469="","",IF(AE$3=0,"n.b.",INDEX(SRC_Woningetalage!$A$1:$ZZ$501,$A469,AE$3)))</f>
        <v/>
      </c>
      <c r="AF469" s="124" t="str">
        <f>IF($B469="","",IF(AF$3=0,"n.b.",INDEX(SRC_Woningetalage!$A$1:$ZZ$501,$A469,AF$3)))</f>
        <v/>
      </c>
      <c r="AG469" s="124" t="str">
        <f>IF($B469="","",IF(AG$3=0,"n.b.",INDEX(SRC_Woningetalage!$A$1:$ZZ$501,$A469,AG$3)))</f>
        <v/>
      </c>
      <c r="AH469" s="124" t="str">
        <f>IF($B469="","",IF(AH$3=0,"n.b.",INDEX(SRC_Woningetalage!$A$1:$ZZ$501,$A469,AH$3)))</f>
        <v/>
      </c>
      <c r="AI469" s="124" t="str">
        <f>IF($B469="","",IF(AI$3=0,"n.b.",INDEX(SRC_Woningetalage!$A$1:$ZZ$501,$A469,AI$3)))</f>
        <v/>
      </c>
      <c r="AJ469" s="124" t="str">
        <f>IF($B469="","",IF(AJ$3=0,"n.b.",INDEX(SRC_Woningetalage!$A$1:$ZZ$501,$A469,AJ$3)))</f>
        <v/>
      </c>
      <c r="AK469" s="124" t="str">
        <f>IF($B469="","",IF(AK$3=0,"n.b.",INDEX(SRC_Woningetalage!$A$1:$ZZ$501,$A469,AK$3)))</f>
        <v/>
      </c>
      <c r="AL469" s="124" t="str">
        <f>IF($B469="","",IF(AL$3=0,"n.b.",INDEX(SRC_Woningetalage!$A$1:$ZZ$501,$A469,AL$3)))</f>
        <v/>
      </c>
      <c r="AM469" s="124" t="str">
        <f>IF($B469="","",IF(AM$3=0,"n.b.",INDEX(SRC_Woningetalage!$A$1:$ZZ$501,$A469,AM$3)))</f>
        <v/>
      </c>
      <c r="AN469" s="124" t="str">
        <f>IF($B469="","",IF(AN$3=0,"n.b.",INDEX(SRC_Woningetalage!$A$1:$ZZ$501,$A469,AN$3)))</f>
        <v/>
      </c>
      <c r="AO469" s="124" t="str">
        <f>IF($B469="","",IF(AO$3=0,"n.b.",INDEX(SRC_Woningetalage!$A$1:$ZZ$501,$A469,AO$3)))</f>
        <v/>
      </c>
      <c r="AP469" s="124" t="str">
        <f>IF($B469="","",IF(AP$3=0,"n.b.",INDEX(SRC_Woningetalage!$A$1:$ZZ$501,$A469,AP$3)))</f>
        <v/>
      </c>
      <c r="AQ469" s="124" t="str">
        <f>IF($B469="","",IF(AQ$3=0,"n.b.",INDEX(SRC_Woningetalage!$A$1:$ZZ$501,$A469,AQ$3)))</f>
        <v/>
      </c>
      <c r="AR469" s="124" t="str">
        <f>IF($B469="","",IF(AR$3=0,"n.b.",INDEX(SRC_Woningetalage!$A$1:$ZZ$501,$A469,AR$3)))</f>
        <v/>
      </c>
      <c r="AS469" s="124" t="str">
        <f>IF($B469="","",IF(AS$3=0,"n.b.",INDEX(SRC_Woningetalage!$A$1:$ZZ$501,$A469,AS$3)))</f>
        <v/>
      </c>
      <c r="AT469" s="124" t="str">
        <f>IF($B469="","",IF(AT$3=0,"n.b.",INDEX(SRC_Woningetalage!$A$1:$ZZ$501,$A469,AT$3)))</f>
        <v/>
      </c>
      <c r="AU469" s="124" t="str">
        <f>IF($B469="","",IF(AU$3=0,"n.b.",INDEX(SRC_Woningetalage!$A$1:$ZZ$501,$A469,AU$3)))</f>
        <v/>
      </c>
      <c r="AV469" s="124" t="str">
        <f>IF($B469="","",IF(AV$3=0,"n.b.",INDEX(SRC_Woningetalage!$A$1:$ZZ$501,$A469,AV$3)))</f>
        <v/>
      </c>
      <c r="AW469" s="124" t="str">
        <f>IF($B469="","",IF(AW$3=0,"n.b.",INDEX(SRC_Woningetalage!$A$1:$ZZ$501,$A469,AW$3)))</f>
        <v/>
      </c>
      <c r="AX469" s="124" t="str">
        <f>IF($B469="","",IF(AX$3=0,"n.b.",INDEX(SRC_Woningetalage!$A$1:$ZZ$501,$A469,AX$3)))</f>
        <v/>
      </c>
      <c r="AY469" s="124" t="str">
        <f>IF($B469="","",IF(AY$3=0,"n.b.",INDEX(SRC_Woningetalage!$A$1:$ZZ$501,$A469,AY$3)))</f>
        <v/>
      </c>
      <c r="AZ469" s="124" t="str">
        <f>IF($B469="","",IF(AZ$3=0,"n.b.",INDEX(SRC_Woningetalage!$A$1:$ZZ$501,$A469,AZ$3)))</f>
        <v/>
      </c>
      <c r="BA469" s="124" t="str">
        <f>IF($B469="","",IF(BA$3=0,"n.b.",INDEX(SRC_Woningetalage!$A$1:$ZZ$501,$A469,BA$3)))</f>
        <v/>
      </c>
      <c r="BB469" s="124" t="str">
        <f>IF($B469="","",IF(BB$3=0,"n.b.",INDEX(SRC_Woningetalage!$A$1:$ZZ$501,$A469,BB$3)))</f>
        <v/>
      </c>
      <c r="BC469" s="124" t="str">
        <f>IF($B469="","",IFERROR(_xlfn.NUMBERVALUE(E469&amp;"",",","."),"n.b."))</f>
        <v/>
      </c>
      <c r="BD469" s="124" t="str">
        <f>IF($B469="","",IFERROR(_xlfn.NUMBERVALUE(M469&amp;"",",","."),"n.b."))</f>
        <v/>
      </c>
      <c r="BE469" s="124" t="str">
        <f>IF($B469="","",IFERROR(AB469+AC469+AD469,"n.b."))</f>
        <v/>
      </c>
      <c r="BF469" s="124" t="str">
        <f>IF($B469="","",IFERROR(AE469+AF469+AG469,"n.b."))</f>
        <v/>
      </c>
      <c r="BG469" s="124" t="str">
        <f>IF($B469="","",IFERROR(AH469+AI469+AJ469,"n.b."))</f>
        <v/>
      </c>
      <c r="BH469" s="124" t="str">
        <f>IF($B469="","",IFERROR(AK469+AL469+AM469,"n.b."))</f>
        <v/>
      </c>
      <c r="BI469" s="124" t="str">
        <f>IF($B469="","",IFERROR(SUMIF($AB$5:$AM$5,"&lt;="&amp;P_PeilMaand,AB469:AM469),"n.b."))</f>
        <v/>
      </c>
      <c r="BJ469" s="124" t="str">
        <f>IF($B469="","",IFERROR(SUM(AB469:AM469)-BI469,"n.b."))</f>
        <v/>
      </c>
      <c r="BK469" s="124" t="str">
        <f>IF($B469="","",IFERROR(IF(ABS(Q469-(T469+SUM(AB469:AM469)+AS469+AU469))&gt;P_Tol,1,0),1))</f>
        <v/>
      </c>
      <c r="BL469" s="124" t="str">
        <f>IF($B469="","",IFERROR(IF(ABS(AA469-(Q469-Z469))&gt;P_Tol,1,0),1))</f>
        <v/>
      </c>
      <c r="BM469" s="124" t="str">
        <f>IF($B469="","",IFERROR(IF(ABS(Z469-(T469+W469))&gt;P_Tol,1,0),1))</f>
        <v/>
      </c>
      <c r="BN469" s="124" t="str">
        <f>IF($B469="","",IFERROR(IF(ABS(W469-BI469)&gt;P_Tol,1,0),1))</f>
        <v/>
      </c>
      <c r="BO469" s="124" t="str">
        <f>IF($B469="","",IFERROR(IF(OR(ABS(R469+S469-T469)&gt;P_Tol,ABS(U469+V469-W469)&gt;P_Tol,ABS(X469+Y469-Z469)&gt;P_Tol),1,0),1))</f>
        <v/>
      </c>
      <c r="BP469" s="124" t="str">
        <f>IF($B469="","",IFERROR(IF(OR(ABS(AR469-SUM(AB469:AM469))&gt;P_Tol,ABS(AS469-(AN469+AO469+AP469+AQ469))&gt;P_Tol),1,0),1))</f>
        <v/>
      </c>
      <c r="BQ469" s="124" t="str">
        <f>IF($B469="","",IFERROR(IF(ABS(AT469)+ABS(AV469)+ABS(AW469)+ABS(AX469)+ABS(AY469)+ABS(AZ469)+ABS(BA469)+ABS(BB469)&gt;0,1,0),1))</f>
        <v/>
      </c>
      <c r="BR469" s="124" t="str">
        <f>IF($B469="","",COUNTIF(STG_ZPMW03!$B$6:$B$505,B469))</f>
        <v/>
      </c>
      <c r="BS469" s="124" t="str">
        <f>IF($B469="","",COUNTIF($B$6:$B$505,B469))</f>
        <v/>
      </c>
      <c r="BT469" s="124" t="str">
        <f>IF($B469="","",IF(BR469=0,0,IF(INDEX(STG_ZPMW03!$I$6:$I$505,MATCH(B469,STG_ZPMW03!$B$6:$B$505,0))=J469&amp;"",0,1)))</f>
        <v/>
      </c>
      <c r="BU469" s="124" t="str">
        <f>IF($B469="","",IFERROR(IF(ABS(INDEX(Mapping!$D$5:$D$104,MATCH(B469,Mapping!$A$5:$A$104,0))-Q469)&gt;P_Tol,1,0),0))</f>
        <v/>
      </c>
      <c r="BV469" s="124" t="str">
        <f>IF($B469="","",IFERROR(IF(AND(INDEX(Mapping!$G$5:$G$104,MATCH(B469,Mapping!$A$5:$A$104,0))="Nee",ABS(Q469)+ABS(Z469)+ABS(AR469)&gt;0),1,0),0))</f>
        <v/>
      </c>
      <c r="BW469" s="124" t="str">
        <f>IF($B469="","",IF(COUNTIF(Mapping!$A$5:$A$104,B469)&gt;0,1,0))</f>
        <v/>
      </c>
      <c r="BX469" s="124" t="str">
        <f>IF($B469="","",IF(BR469=0,COUNTIF($BR$6:BR469,0),""))</f>
        <v/>
      </c>
    </row>
    <row r="470">
      <c r="A470" s="15" t="n">
        <v>466</v>
      </c>
      <c r="B470" t="str">
        <f>IF(B$3=0,"",IF(INDEX(SRC_Woningetalage!$A$1:$ZZ$501,$A470,B$3)&amp;""="","",INDEX(SRC_Woningetalage!$A$1:$ZZ$501,$A470,B$3)&amp;""))</f>
        <v/>
      </c>
      <c r="C470" t="str">
        <f>IF($B470="","",IF(C$3=0,"n.b.",INDEX(SRC_Woningetalage!$A$1:$ZZ$501,$A470,C$3)))</f>
        <v/>
      </c>
      <c r="D470" t="str">
        <f>IF($B470="","",IF(D$3=0,"n.b.",INDEX(SRC_Woningetalage!$A$1:$ZZ$501,$A470,D$3)))</f>
        <v/>
      </c>
      <c r="E470" t="str">
        <f>IF($B470="","",IF(E$3=0,"n.b.",INDEX(SRC_Woningetalage!$A$1:$ZZ$501,$A470,E$3)))</f>
        <v/>
      </c>
      <c r="F470" t="str">
        <f>IF($B470="","",IF(F$3=0,"n.b.",INDEX(SRC_Woningetalage!$A$1:$ZZ$501,$A470,F$3)))</f>
        <v/>
      </c>
      <c r="G470" t="str">
        <f>IF($B470="","",IF(G$3=0,"n.b.",INDEX(SRC_Woningetalage!$A$1:$ZZ$501,$A470,G$3)))</f>
        <v/>
      </c>
      <c r="H470" t="str">
        <f>IF($B470="","",IF(H$3=0,"n.b.",INDEX(SRC_Woningetalage!$A$1:$ZZ$501,$A470,H$3)))</f>
        <v/>
      </c>
      <c r="I470" t="str">
        <f>IF($B470="","",IF(I$3=0,"n.b.",INDEX(SRC_Woningetalage!$A$1:$ZZ$501,$A470,I$3)))</f>
        <v/>
      </c>
      <c r="J470" t="str">
        <f>IF($B470="","",IF(J$3=0,"n.b.",INDEX(SRC_Woningetalage!$A$1:$ZZ$501,$A470,J$3)))</f>
        <v/>
      </c>
      <c r="K470" t="str">
        <f>IF($B470="","",IF(K$3=0,"n.b.",INDEX(SRC_Woningetalage!$A$1:$ZZ$501,$A470,K$3)))</f>
        <v/>
      </c>
      <c r="L470" t="str">
        <f>IF($B470="","",IF(L$3=0,"n.b.",INDEX(SRC_Woningetalage!$A$1:$ZZ$501,$A470,L$3)))</f>
        <v/>
      </c>
      <c r="M470" t="str">
        <f>IF($B470="","",IF(M$3=0,"n.b.",INDEX(SRC_Woningetalage!$A$1:$ZZ$501,$A470,M$3)))</f>
        <v/>
      </c>
      <c r="N470" t="str">
        <f>IF($B470="","",IF(N$3=0,"n.b.",INDEX(SRC_Woningetalage!$A$1:$ZZ$501,$A470,N$3)))</f>
        <v/>
      </c>
      <c r="O470" t="str">
        <f>IF($B470="","",IF(O$3=0,"n.b.",INDEX(SRC_Woningetalage!$A$1:$ZZ$501,$A470,O$3)))</f>
        <v/>
      </c>
      <c r="P470" t="str">
        <f>IF($B470="","",IF(P$3=0,"n.b.",INDEX(SRC_Woningetalage!$A$1:$ZZ$501,$A470,P$3)))</f>
        <v/>
      </c>
      <c r="Q470" s="124" t="str">
        <f>IF($B470="","",IF(Q$3=0,"n.b.",INDEX(SRC_Woningetalage!$A$1:$ZZ$501,$A470,Q$3)))</f>
        <v/>
      </c>
      <c r="R470" s="124" t="str">
        <f>IF($B470="","",IF(R$3=0,"n.b.",INDEX(SRC_Woningetalage!$A$1:$ZZ$501,$A470,R$3)))</f>
        <v/>
      </c>
      <c r="S470" s="124" t="str">
        <f>IF($B470="","",IF(S$3=0,"n.b.",INDEX(SRC_Woningetalage!$A$1:$ZZ$501,$A470,S$3)))</f>
        <v/>
      </c>
      <c r="T470" s="124" t="str">
        <f>IF($B470="","",IF(T$3=0,"n.b.",INDEX(SRC_Woningetalage!$A$1:$ZZ$501,$A470,T$3)))</f>
        <v/>
      </c>
      <c r="U470" s="124" t="str">
        <f>IF($B470="","",IF(U$3=0,"n.b.",INDEX(SRC_Woningetalage!$A$1:$ZZ$501,$A470,U$3)))</f>
        <v/>
      </c>
      <c r="V470" s="124" t="str">
        <f>IF($B470="","",IF(V$3=0,"n.b.",INDEX(SRC_Woningetalage!$A$1:$ZZ$501,$A470,V$3)))</f>
        <v/>
      </c>
      <c r="W470" s="124" t="str">
        <f>IF($B470="","",IF(W$3=0,"n.b.",INDEX(SRC_Woningetalage!$A$1:$ZZ$501,$A470,W$3)))</f>
        <v/>
      </c>
      <c r="X470" s="124" t="str">
        <f>IF($B470="","",IF(X$3=0,"n.b.",INDEX(SRC_Woningetalage!$A$1:$ZZ$501,$A470,X$3)))</f>
        <v/>
      </c>
      <c r="Y470" s="124" t="str">
        <f>IF($B470="","",IF(Y$3=0,"n.b.",INDEX(SRC_Woningetalage!$A$1:$ZZ$501,$A470,Y$3)))</f>
        <v/>
      </c>
      <c r="Z470" s="124" t="str">
        <f>IF($B470="","",IF(Z$3=0,"n.b.",INDEX(SRC_Woningetalage!$A$1:$ZZ$501,$A470,Z$3)))</f>
        <v/>
      </c>
      <c r="AA470" s="124" t="str">
        <f>IF($B470="","",IF(AA$3=0,"n.b.",INDEX(SRC_Woningetalage!$A$1:$ZZ$501,$A470,AA$3)))</f>
        <v/>
      </c>
      <c r="AB470" s="124" t="str">
        <f>IF($B470="","",IF(AB$3=0,"n.b.",INDEX(SRC_Woningetalage!$A$1:$ZZ$501,$A470,AB$3)))</f>
        <v/>
      </c>
      <c r="AC470" s="124" t="str">
        <f>IF($B470="","",IF(AC$3=0,"n.b.",INDEX(SRC_Woningetalage!$A$1:$ZZ$501,$A470,AC$3)))</f>
        <v/>
      </c>
      <c r="AD470" s="124" t="str">
        <f>IF($B470="","",IF(AD$3=0,"n.b.",INDEX(SRC_Woningetalage!$A$1:$ZZ$501,$A470,AD$3)))</f>
        <v/>
      </c>
      <c r="AE470" s="124" t="str">
        <f>IF($B470="","",IF(AE$3=0,"n.b.",INDEX(SRC_Woningetalage!$A$1:$ZZ$501,$A470,AE$3)))</f>
        <v/>
      </c>
      <c r="AF470" s="124" t="str">
        <f>IF($B470="","",IF(AF$3=0,"n.b.",INDEX(SRC_Woningetalage!$A$1:$ZZ$501,$A470,AF$3)))</f>
        <v/>
      </c>
      <c r="AG470" s="124" t="str">
        <f>IF($B470="","",IF(AG$3=0,"n.b.",INDEX(SRC_Woningetalage!$A$1:$ZZ$501,$A470,AG$3)))</f>
        <v/>
      </c>
      <c r="AH470" s="124" t="str">
        <f>IF($B470="","",IF(AH$3=0,"n.b.",INDEX(SRC_Woningetalage!$A$1:$ZZ$501,$A470,AH$3)))</f>
        <v/>
      </c>
      <c r="AI470" s="124" t="str">
        <f>IF($B470="","",IF(AI$3=0,"n.b.",INDEX(SRC_Woningetalage!$A$1:$ZZ$501,$A470,AI$3)))</f>
        <v/>
      </c>
      <c r="AJ470" s="124" t="str">
        <f>IF($B470="","",IF(AJ$3=0,"n.b.",INDEX(SRC_Woningetalage!$A$1:$ZZ$501,$A470,AJ$3)))</f>
        <v/>
      </c>
      <c r="AK470" s="124" t="str">
        <f>IF($B470="","",IF(AK$3=0,"n.b.",INDEX(SRC_Woningetalage!$A$1:$ZZ$501,$A470,AK$3)))</f>
        <v/>
      </c>
      <c r="AL470" s="124" t="str">
        <f>IF($B470="","",IF(AL$3=0,"n.b.",INDEX(SRC_Woningetalage!$A$1:$ZZ$501,$A470,AL$3)))</f>
        <v/>
      </c>
      <c r="AM470" s="124" t="str">
        <f>IF($B470="","",IF(AM$3=0,"n.b.",INDEX(SRC_Woningetalage!$A$1:$ZZ$501,$A470,AM$3)))</f>
        <v/>
      </c>
      <c r="AN470" s="124" t="str">
        <f>IF($B470="","",IF(AN$3=0,"n.b.",INDEX(SRC_Woningetalage!$A$1:$ZZ$501,$A470,AN$3)))</f>
        <v/>
      </c>
      <c r="AO470" s="124" t="str">
        <f>IF($B470="","",IF(AO$3=0,"n.b.",INDEX(SRC_Woningetalage!$A$1:$ZZ$501,$A470,AO$3)))</f>
        <v/>
      </c>
      <c r="AP470" s="124" t="str">
        <f>IF($B470="","",IF(AP$3=0,"n.b.",INDEX(SRC_Woningetalage!$A$1:$ZZ$501,$A470,AP$3)))</f>
        <v/>
      </c>
      <c r="AQ470" s="124" t="str">
        <f>IF($B470="","",IF(AQ$3=0,"n.b.",INDEX(SRC_Woningetalage!$A$1:$ZZ$501,$A470,AQ$3)))</f>
        <v/>
      </c>
      <c r="AR470" s="124" t="str">
        <f>IF($B470="","",IF(AR$3=0,"n.b.",INDEX(SRC_Woningetalage!$A$1:$ZZ$501,$A470,AR$3)))</f>
        <v/>
      </c>
      <c r="AS470" s="124" t="str">
        <f>IF($B470="","",IF(AS$3=0,"n.b.",INDEX(SRC_Woningetalage!$A$1:$ZZ$501,$A470,AS$3)))</f>
        <v/>
      </c>
      <c r="AT470" s="124" t="str">
        <f>IF($B470="","",IF(AT$3=0,"n.b.",INDEX(SRC_Woningetalage!$A$1:$ZZ$501,$A470,AT$3)))</f>
        <v/>
      </c>
      <c r="AU470" s="124" t="str">
        <f>IF($B470="","",IF(AU$3=0,"n.b.",INDEX(SRC_Woningetalage!$A$1:$ZZ$501,$A470,AU$3)))</f>
        <v/>
      </c>
      <c r="AV470" s="124" t="str">
        <f>IF($B470="","",IF(AV$3=0,"n.b.",INDEX(SRC_Woningetalage!$A$1:$ZZ$501,$A470,AV$3)))</f>
        <v/>
      </c>
      <c r="AW470" s="124" t="str">
        <f>IF($B470="","",IF(AW$3=0,"n.b.",INDEX(SRC_Woningetalage!$A$1:$ZZ$501,$A470,AW$3)))</f>
        <v/>
      </c>
      <c r="AX470" s="124" t="str">
        <f>IF($B470="","",IF(AX$3=0,"n.b.",INDEX(SRC_Woningetalage!$A$1:$ZZ$501,$A470,AX$3)))</f>
        <v/>
      </c>
      <c r="AY470" s="124" t="str">
        <f>IF($B470="","",IF(AY$3=0,"n.b.",INDEX(SRC_Woningetalage!$A$1:$ZZ$501,$A470,AY$3)))</f>
        <v/>
      </c>
      <c r="AZ470" s="124" t="str">
        <f>IF($B470="","",IF(AZ$3=0,"n.b.",INDEX(SRC_Woningetalage!$A$1:$ZZ$501,$A470,AZ$3)))</f>
        <v/>
      </c>
      <c r="BA470" s="124" t="str">
        <f>IF($B470="","",IF(BA$3=0,"n.b.",INDEX(SRC_Woningetalage!$A$1:$ZZ$501,$A470,BA$3)))</f>
        <v/>
      </c>
      <c r="BB470" s="124" t="str">
        <f>IF($B470="","",IF(BB$3=0,"n.b.",INDEX(SRC_Woningetalage!$A$1:$ZZ$501,$A470,BB$3)))</f>
        <v/>
      </c>
      <c r="BC470" s="124" t="str">
        <f>IF($B470="","",IFERROR(_xlfn.NUMBERVALUE(E470&amp;"",",","."),"n.b."))</f>
        <v/>
      </c>
      <c r="BD470" s="124" t="str">
        <f>IF($B470="","",IFERROR(_xlfn.NUMBERVALUE(M470&amp;"",",","."),"n.b."))</f>
        <v/>
      </c>
      <c r="BE470" s="124" t="str">
        <f>IF($B470="","",IFERROR(AB470+AC470+AD470,"n.b."))</f>
        <v/>
      </c>
      <c r="BF470" s="124" t="str">
        <f>IF($B470="","",IFERROR(AE470+AF470+AG470,"n.b."))</f>
        <v/>
      </c>
      <c r="BG470" s="124" t="str">
        <f>IF($B470="","",IFERROR(AH470+AI470+AJ470,"n.b."))</f>
        <v/>
      </c>
      <c r="BH470" s="124" t="str">
        <f>IF($B470="","",IFERROR(AK470+AL470+AM470,"n.b."))</f>
        <v/>
      </c>
      <c r="BI470" s="124" t="str">
        <f>IF($B470="","",IFERROR(SUMIF($AB$5:$AM$5,"&lt;="&amp;P_PeilMaand,AB470:AM470),"n.b."))</f>
        <v/>
      </c>
      <c r="BJ470" s="124" t="str">
        <f>IF($B470="","",IFERROR(SUM(AB470:AM470)-BI470,"n.b."))</f>
        <v/>
      </c>
      <c r="BK470" s="124" t="str">
        <f>IF($B470="","",IFERROR(IF(ABS(Q470-(T470+SUM(AB470:AM470)+AS470+AU470))&gt;P_Tol,1,0),1))</f>
        <v/>
      </c>
      <c r="BL470" s="124" t="str">
        <f>IF($B470="","",IFERROR(IF(ABS(AA470-(Q470-Z470))&gt;P_Tol,1,0),1))</f>
        <v/>
      </c>
      <c r="BM470" s="124" t="str">
        <f>IF($B470="","",IFERROR(IF(ABS(Z470-(T470+W470))&gt;P_Tol,1,0),1))</f>
        <v/>
      </c>
      <c r="BN470" s="124" t="str">
        <f>IF($B470="","",IFERROR(IF(ABS(W470-BI470)&gt;P_Tol,1,0),1))</f>
        <v/>
      </c>
      <c r="BO470" s="124" t="str">
        <f>IF($B470="","",IFERROR(IF(OR(ABS(R470+S470-T470)&gt;P_Tol,ABS(U470+V470-W470)&gt;P_Tol,ABS(X470+Y470-Z470)&gt;P_Tol),1,0),1))</f>
        <v/>
      </c>
      <c r="BP470" s="124" t="str">
        <f>IF($B470="","",IFERROR(IF(OR(ABS(AR470-SUM(AB470:AM470))&gt;P_Tol,ABS(AS470-(AN470+AO470+AP470+AQ470))&gt;P_Tol),1,0),1))</f>
        <v/>
      </c>
      <c r="BQ470" s="124" t="str">
        <f>IF($B470="","",IFERROR(IF(ABS(AT470)+ABS(AV470)+ABS(AW470)+ABS(AX470)+ABS(AY470)+ABS(AZ470)+ABS(BA470)+ABS(BB470)&gt;0,1,0),1))</f>
        <v/>
      </c>
      <c r="BR470" s="124" t="str">
        <f>IF($B470="","",COUNTIF(STG_ZPMW03!$B$6:$B$505,B470))</f>
        <v/>
      </c>
      <c r="BS470" s="124" t="str">
        <f>IF($B470="","",COUNTIF($B$6:$B$505,B470))</f>
        <v/>
      </c>
      <c r="BT470" s="124" t="str">
        <f>IF($B470="","",IF(BR470=0,0,IF(INDEX(STG_ZPMW03!$I$6:$I$505,MATCH(B470,STG_ZPMW03!$B$6:$B$505,0))=J470&amp;"",0,1)))</f>
        <v/>
      </c>
      <c r="BU470" s="124" t="str">
        <f>IF($B470="","",IFERROR(IF(ABS(INDEX(Mapping!$D$5:$D$104,MATCH(B470,Mapping!$A$5:$A$104,0))-Q470)&gt;P_Tol,1,0),0))</f>
        <v/>
      </c>
      <c r="BV470" s="124" t="str">
        <f>IF($B470="","",IFERROR(IF(AND(INDEX(Mapping!$G$5:$G$104,MATCH(B470,Mapping!$A$5:$A$104,0))="Nee",ABS(Q470)+ABS(Z470)+ABS(AR470)&gt;0),1,0),0))</f>
        <v/>
      </c>
      <c r="BW470" s="124" t="str">
        <f>IF($B470="","",IF(COUNTIF(Mapping!$A$5:$A$104,B470)&gt;0,1,0))</f>
        <v/>
      </c>
      <c r="BX470" s="124" t="str">
        <f>IF($B470="","",IF(BR470=0,COUNTIF($BR$6:BR470,0),""))</f>
        <v/>
      </c>
    </row>
    <row r="471">
      <c r="A471" s="15" t="n">
        <v>467</v>
      </c>
      <c r="B471" t="str">
        <f>IF(B$3=0,"",IF(INDEX(SRC_Woningetalage!$A$1:$ZZ$501,$A471,B$3)&amp;""="","",INDEX(SRC_Woningetalage!$A$1:$ZZ$501,$A471,B$3)&amp;""))</f>
        <v/>
      </c>
      <c r="C471" t="str">
        <f>IF($B471="","",IF(C$3=0,"n.b.",INDEX(SRC_Woningetalage!$A$1:$ZZ$501,$A471,C$3)))</f>
        <v/>
      </c>
      <c r="D471" t="str">
        <f>IF($B471="","",IF(D$3=0,"n.b.",INDEX(SRC_Woningetalage!$A$1:$ZZ$501,$A471,D$3)))</f>
        <v/>
      </c>
      <c r="E471" t="str">
        <f>IF($B471="","",IF(E$3=0,"n.b.",INDEX(SRC_Woningetalage!$A$1:$ZZ$501,$A471,E$3)))</f>
        <v/>
      </c>
      <c r="F471" t="str">
        <f>IF($B471="","",IF(F$3=0,"n.b.",INDEX(SRC_Woningetalage!$A$1:$ZZ$501,$A471,F$3)))</f>
        <v/>
      </c>
      <c r="G471" t="str">
        <f>IF($B471="","",IF(G$3=0,"n.b.",INDEX(SRC_Woningetalage!$A$1:$ZZ$501,$A471,G$3)))</f>
        <v/>
      </c>
      <c r="H471" t="str">
        <f>IF($B471="","",IF(H$3=0,"n.b.",INDEX(SRC_Woningetalage!$A$1:$ZZ$501,$A471,H$3)))</f>
        <v/>
      </c>
      <c r="I471" t="str">
        <f>IF($B471="","",IF(I$3=0,"n.b.",INDEX(SRC_Woningetalage!$A$1:$ZZ$501,$A471,I$3)))</f>
        <v/>
      </c>
      <c r="J471" t="str">
        <f>IF($B471="","",IF(J$3=0,"n.b.",INDEX(SRC_Woningetalage!$A$1:$ZZ$501,$A471,J$3)))</f>
        <v/>
      </c>
      <c r="K471" t="str">
        <f>IF($B471="","",IF(K$3=0,"n.b.",INDEX(SRC_Woningetalage!$A$1:$ZZ$501,$A471,K$3)))</f>
        <v/>
      </c>
      <c r="L471" t="str">
        <f>IF($B471="","",IF(L$3=0,"n.b.",INDEX(SRC_Woningetalage!$A$1:$ZZ$501,$A471,L$3)))</f>
        <v/>
      </c>
      <c r="M471" t="str">
        <f>IF($B471="","",IF(M$3=0,"n.b.",INDEX(SRC_Woningetalage!$A$1:$ZZ$501,$A471,M$3)))</f>
        <v/>
      </c>
      <c r="N471" t="str">
        <f>IF($B471="","",IF(N$3=0,"n.b.",INDEX(SRC_Woningetalage!$A$1:$ZZ$501,$A471,N$3)))</f>
        <v/>
      </c>
      <c r="O471" t="str">
        <f>IF($B471="","",IF(O$3=0,"n.b.",INDEX(SRC_Woningetalage!$A$1:$ZZ$501,$A471,O$3)))</f>
        <v/>
      </c>
      <c r="P471" t="str">
        <f>IF($B471="","",IF(P$3=0,"n.b.",INDEX(SRC_Woningetalage!$A$1:$ZZ$501,$A471,P$3)))</f>
        <v/>
      </c>
      <c r="Q471" s="124" t="str">
        <f>IF($B471="","",IF(Q$3=0,"n.b.",INDEX(SRC_Woningetalage!$A$1:$ZZ$501,$A471,Q$3)))</f>
        <v/>
      </c>
      <c r="R471" s="124" t="str">
        <f>IF($B471="","",IF(R$3=0,"n.b.",INDEX(SRC_Woningetalage!$A$1:$ZZ$501,$A471,R$3)))</f>
        <v/>
      </c>
      <c r="S471" s="124" t="str">
        <f>IF($B471="","",IF(S$3=0,"n.b.",INDEX(SRC_Woningetalage!$A$1:$ZZ$501,$A471,S$3)))</f>
        <v/>
      </c>
      <c r="T471" s="124" t="str">
        <f>IF($B471="","",IF(T$3=0,"n.b.",INDEX(SRC_Woningetalage!$A$1:$ZZ$501,$A471,T$3)))</f>
        <v/>
      </c>
      <c r="U471" s="124" t="str">
        <f>IF($B471="","",IF(U$3=0,"n.b.",INDEX(SRC_Woningetalage!$A$1:$ZZ$501,$A471,U$3)))</f>
        <v/>
      </c>
      <c r="V471" s="124" t="str">
        <f>IF($B471="","",IF(V$3=0,"n.b.",INDEX(SRC_Woningetalage!$A$1:$ZZ$501,$A471,V$3)))</f>
        <v/>
      </c>
      <c r="W471" s="124" t="str">
        <f>IF($B471="","",IF(W$3=0,"n.b.",INDEX(SRC_Woningetalage!$A$1:$ZZ$501,$A471,W$3)))</f>
        <v/>
      </c>
      <c r="X471" s="124" t="str">
        <f>IF($B471="","",IF(X$3=0,"n.b.",INDEX(SRC_Woningetalage!$A$1:$ZZ$501,$A471,X$3)))</f>
        <v/>
      </c>
      <c r="Y471" s="124" t="str">
        <f>IF($B471="","",IF(Y$3=0,"n.b.",INDEX(SRC_Woningetalage!$A$1:$ZZ$501,$A471,Y$3)))</f>
        <v/>
      </c>
      <c r="Z471" s="124" t="str">
        <f>IF($B471="","",IF(Z$3=0,"n.b.",INDEX(SRC_Woningetalage!$A$1:$ZZ$501,$A471,Z$3)))</f>
        <v/>
      </c>
      <c r="AA471" s="124" t="str">
        <f>IF($B471="","",IF(AA$3=0,"n.b.",INDEX(SRC_Woningetalage!$A$1:$ZZ$501,$A471,AA$3)))</f>
        <v/>
      </c>
      <c r="AB471" s="124" t="str">
        <f>IF($B471="","",IF(AB$3=0,"n.b.",INDEX(SRC_Woningetalage!$A$1:$ZZ$501,$A471,AB$3)))</f>
        <v/>
      </c>
      <c r="AC471" s="124" t="str">
        <f>IF($B471="","",IF(AC$3=0,"n.b.",INDEX(SRC_Woningetalage!$A$1:$ZZ$501,$A471,AC$3)))</f>
        <v/>
      </c>
      <c r="AD471" s="124" t="str">
        <f>IF($B471="","",IF(AD$3=0,"n.b.",INDEX(SRC_Woningetalage!$A$1:$ZZ$501,$A471,AD$3)))</f>
        <v/>
      </c>
      <c r="AE471" s="124" t="str">
        <f>IF($B471="","",IF(AE$3=0,"n.b.",INDEX(SRC_Woningetalage!$A$1:$ZZ$501,$A471,AE$3)))</f>
        <v/>
      </c>
      <c r="AF471" s="124" t="str">
        <f>IF($B471="","",IF(AF$3=0,"n.b.",INDEX(SRC_Woningetalage!$A$1:$ZZ$501,$A471,AF$3)))</f>
        <v/>
      </c>
      <c r="AG471" s="124" t="str">
        <f>IF($B471="","",IF(AG$3=0,"n.b.",INDEX(SRC_Woningetalage!$A$1:$ZZ$501,$A471,AG$3)))</f>
        <v/>
      </c>
      <c r="AH471" s="124" t="str">
        <f>IF($B471="","",IF(AH$3=0,"n.b.",INDEX(SRC_Woningetalage!$A$1:$ZZ$501,$A471,AH$3)))</f>
        <v/>
      </c>
      <c r="AI471" s="124" t="str">
        <f>IF($B471="","",IF(AI$3=0,"n.b.",INDEX(SRC_Woningetalage!$A$1:$ZZ$501,$A471,AI$3)))</f>
        <v/>
      </c>
      <c r="AJ471" s="124" t="str">
        <f>IF($B471="","",IF(AJ$3=0,"n.b.",INDEX(SRC_Woningetalage!$A$1:$ZZ$501,$A471,AJ$3)))</f>
        <v/>
      </c>
      <c r="AK471" s="124" t="str">
        <f>IF($B471="","",IF(AK$3=0,"n.b.",INDEX(SRC_Woningetalage!$A$1:$ZZ$501,$A471,AK$3)))</f>
        <v/>
      </c>
      <c r="AL471" s="124" t="str">
        <f>IF($B471="","",IF(AL$3=0,"n.b.",INDEX(SRC_Woningetalage!$A$1:$ZZ$501,$A471,AL$3)))</f>
        <v/>
      </c>
      <c r="AM471" s="124" t="str">
        <f>IF($B471="","",IF(AM$3=0,"n.b.",INDEX(SRC_Woningetalage!$A$1:$ZZ$501,$A471,AM$3)))</f>
        <v/>
      </c>
      <c r="AN471" s="124" t="str">
        <f>IF($B471="","",IF(AN$3=0,"n.b.",INDEX(SRC_Woningetalage!$A$1:$ZZ$501,$A471,AN$3)))</f>
        <v/>
      </c>
      <c r="AO471" s="124" t="str">
        <f>IF($B471="","",IF(AO$3=0,"n.b.",INDEX(SRC_Woningetalage!$A$1:$ZZ$501,$A471,AO$3)))</f>
        <v/>
      </c>
      <c r="AP471" s="124" t="str">
        <f>IF($B471="","",IF(AP$3=0,"n.b.",INDEX(SRC_Woningetalage!$A$1:$ZZ$501,$A471,AP$3)))</f>
        <v/>
      </c>
      <c r="AQ471" s="124" t="str">
        <f>IF($B471="","",IF(AQ$3=0,"n.b.",INDEX(SRC_Woningetalage!$A$1:$ZZ$501,$A471,AQ$3)))</f>
        <v/>
      </c>
      <c r="AR471" s="124" t="str">
        <f>IF($B471="","",IF(AR$3=0,"n.b.",INDEX(SRC_Woningetalage!$A$1:$ZZ$501,$A471,AR$3)))</f>
        <v/>
      </c>
      <c r="AS471" s="124" t="str">
        <f>IF($B471="","",IF(AS$3=0,"n.b.",INDEX(SRC_Woningetalage!$A$1:$ZZ$501,$A471,AS$3)))</f>
        <v/>
      </c>
      <c r="AT471" s="124" t="str">
        <f>IF($B471="","",IF(AT$3=0,"n.b.",INDEX(SRC_Woningetalage!$A$1:$ZZ$501,$A471,AT$3)))</f>
        <v/>
      </c>
      <c r="AU471" s="124" t="str">
        <f>IF($B471="","",IF(AU$3=0,"n.b.",INDEX(SRC_Woningetalage!$A$1:$ZZ$501,$A471,AU$3)))</f>
        <v/>
      </c>
      <c r="AV471" s="124" t="str">
        <f>IF($B471="","",IF(AV$3=0,"n.b.",INDEX(SRC_Woningetalage!$A$1:$ZZ$501,$A471,AV$3)))</f>
        <v/>
      </c>
      <c r="AW471" s="124" t="str">
        <f>IF($B471="","",IF(AW$3=0,"n.b.",INDEX(SRC_Woningetalage!$A$1:$ZZ$501,$A471,AW$3)))</f>
        <v/>
      </c>
      <c r="AX471" s="124" t="str">
        <f>IF($B471="","",IF(AX$3=0,"n.b.",INDEX(SRC_Woningetalage!$A$1:$ZZ$501,$A471,AX$3)))</f>
        <v/>
      </c>
      <c r="AY471" s="124" t="str">
        <f>IF($B471="","",IF(AY$3=0,"n.b.",INDEX(SRC_Woningetalage!$A$1:$ZZ$501,$A471,AY$3)))</f>
        <v/>
      </c>
      <c r="AZ471" s="124" t="str">
        <f>IF($B471="","",IF(AZ$3=0,"n.b.",INDEX(SRC_Woningetalage!$A$1:$ZZ$501,$A471,AZ$3)))</f>
        <v/>
      </c>
      <c r="BA471" s="124" t="str">
        <f>IF($B471="","",IF(BA$3=0,"n.b.",INDEX(SRC_Woningetalage!$A$1:$ZZ$501,$A471,BA$3)))</f>
        <v/>
      </c>
      <c r="BB471" s="124" t="str">
        <f>IF($B471="","",IF(BB$3=0,"n.b.",INDEX(SRC_Woningetalage!$A$1:$ZZ$501,$A471,BB$3)))</f>
        <v/>
      </c>
      <c r="BC471" s="124" t="str">
        <f>IF($B471="","",IFERROR(_xlfn.NUMBERVALUE(E471&amp;"",",","."),"n.b."))</f>
        <v/>
      </c>
      <c r="BD471" s="124" t="str">
        <f>IF($B471="","",IFERROR(_xlfn.NUMBERVALUE(M471&amp;"",",","."),"n.b."))</f>
        <v/>
      </c>
      <c r="BE471" s="124" t="str">
        <f>IF($B471="","",IFERROR(AB471+AC471+AD471,"n.b."))</f>
        <v/>
      </c>
      <c r="BF471" s="124" t="str">
        <f>IF($B471="","",IFERROR(AE471+AF471+AG471,"n.b."))</f>
        <v/>
      </c>
      <c r="BG471" s="124" t="str">
        <f>IF($B471="","",IFERROR(AH471+AI471+AJ471,"n.b."))</f>
        <v/>
      </c>
      <c r="BH471" s="124" t="str">
        <f>IF($B471="","",IFERROR(AK471+AL471+AM471,"n.b."))</f>
        <v/>
      </c>
      <c r="BI471" s="124" t="str">
        <f>IF($B471="","",IFERROR(SUMIF($AB$5:$AM$5,"&lt;="&amp;P_PeilMaand,AB471:AM471),"n.b."))</f>
        <v/>
      </c>
      <c r="BJ471" s="124" t="str">
        <f>IF($B471="","",IFERROR(SUM(AB471:AM471)-BI471,"n.b."))</f>
        <v/>
      </c>
      <c r="BK471" s="124" t="str">
        <f>IF($B471="","",IFERROR(IF(ABS(Q471-(T471+SUM(AB471:AM471)+AS471+AU471))&gt;P_Tol,1,0),1))</f>
        <v/>
      </c>
      <c r="BL471" s="124" t="str">
        <f>IF($B471="","",IFERROR(IF(ABS(AA471-(Q471-Z471))&gt;P_Tol,1,0),1))</f>
        <v/>
      </c>
      <c r="BM471" s="124" t="str">
        <f>IF($B471="","",IFERROR(IF(ABS(Z471-(T471+W471))&gt;P_Tol,1,0),1))</f>
        <v/>
      </c>
      <c r="BN471" s="124" t="str">
        <f>IF($B471="","",IFERROR(IF(ABS(W471-BI471)&gt;P_Tol,1,0),1))</f>
        <v/>
      </c>
      <c r="BO471" s="124" t="str">
        <f>IF($B471="","",IFERROR(IF(OR(ABS(R471+S471-T471)&gt;P_Tol,ABS(U471+V471-W471)&gt;P_Tol,ABS(X471+Y471-Z471)&gt;P_Tol),1,0),1))</f>
        <v/>
      </c>
      <c r="BP471" s="124" t="str">
        <f>IF($B471="","",IFERROR(IF(OR(ABS(AR471-SUM(AB471:AM471))&gt;P_Tol,ABS(AS471-(AN471+AO471+AP471+AQ471))&gt;P_Tol),1,0),1))</f>
        <v/>
      </c>
      <c r="BQ471" s="124" t="str">
        <f>IF($B471="","",IFERROR(IF(ABS(AT471)+ABS(AV471)+ABS(AW471)+ABS(AX471)+ABS(AY471)+ABS(AZ471)+ABS(BA471)+ABS(BB471)&gt;0,1,0),1))</f>
        <v/>
      </c>
      <c r="BR471" s="124" t="str">
        <f>IF($B471="","",COUNTIF(STG_ZPMW03!$B$6:$B$505,B471))</f>
        <v/>
      </c>
      <c r="BS471" s="124" t="str">
        <f>IF($B471="","",COUNTIF($B$6:$B$505,B471))</f>
        <v/>
      </c>
      <c r="BT471" s="124" t="str">
        <f>IF($B471="","",IF(BR471=0,0,IF(INDEX(STG_ZPMW03!$I$6:$I$505,MATCH(B471,STG_ZPMW03!$B$6:$B$505,0))=J471&amp;"",0,1)))</f>
        <v/>
      </c>
      <c r="BU471" s="124" t="str">
        <f>IF($B471="","",IFERROR(IF(ABS(INDEX(Mapping!$D$5:$D$104,MATCH(B471,Mapping!$A$5:$A$104,0))-Q471)&gt;P_Tol,1,0),0))</f>
        <v/>
      </c>
      <c r="BV471" s="124" t="str">
        <f>IF($B471="","",IFERROR(IF(AND(INDEX(Mapping!$G$5:$G$104,MATCH(B471,Mapping!$A$5:$A$104,0))="Nee",ABS(Q471)+ABS(Z471)+ABS(AR471)&gt;0),1,0),0))</f>
        <v/>
      </c>
      <c r="BW471" s="124" t="str">
        <f>IF($B471="","",IF(COUNTIF(Mapping!$A$5:$A$104,B471)&gt;0,1,0))</f>
        <v/>
      </c>
      <c r="BX471" s="124" t="str">
        <f>IF($B471="","",IF(BR471=0,COUNTIF($BR$6:BR471,0),""))</f>
        <v/>
      </c>
    </row>
    <row r="472">
      <c r="A472" s="15" t="n">
        <v>468</v>
      </c>
      <c r="B472" t="str">
        <f>IF(B$3=0,"",IF(INDEX(SRC_Woningetalage!$A$1:$ZZ$501,$A472,B$3)&amp;""="","",INDEX(SRC_Woningetalage!$A$1:$ZZ$501,$A472,B$3)&amp;""))</f>
        <v/>
      </c>
      <c r="C472" t="str">
        <f>IF($B472="","",IF(C$3=0,"n.b.",INDEX(SRC_Woningetalage!$A$1:$ZZ$501,$A472,C$3)))</f>
        <v/>
      </c>
      <c r="D472" t="str">
        <f>IF($B472="","",IF(D$3=0,"n.b.",INDEX(SRC_Woningetalage!$A$1:$ZZ$501,$A472,D$3)))</f>
        <v/>
      </c>
      <c r="E472" t="str">
        <f>IF($B472="","",IF(E$3=0,"n.b.",INDEX(SRC_Woningetalage!$A$1:$ZZ$501,$A472,E$3)))</f>
        <v/>
      </c>
      <c r="F472" t="str">
        <f>IF($B472="","",IF(F$3=0,"n.b.",INDEX(SRC_Woningetalage!$A$1:$ZZ$501,$A472,F$3)))</f>
        <v/>
      </c>
      <c r="G472" t="str">
        <f>IF($B472="","",IF(G$3=0,"n.b.",INDEX(SRC_Woningetalage!$A$1:$ZZ$501,$A472,G$3)))</f>
        <v/>
      </c>
      <c r="H472" t="str">
        <f>IF($B472="","",IF(H$3=0,"n.b.",INDEX(SRC_Woningetalage!$A$1:$ZZ$501,$A472,H$3)))</f>
        <v/>
      </c>
      <c r="I472" t="str">
        <f>IF($B472="","",IF(I$3=0,"n.b.",INDEX(SRC_Woningetalage!$A$1:$ZZ$501,$A472,I$3)))</f>
        <v/>
      </c>
      <c r="J472" t="str">
        <f>IF($B472="","",IF(J$3=0,"n.b.",INDEX(SRC_Woningetalage!$A$1:$ZZ$501,$A472,J$3)))</f>
        <v/>
      </c>
      <c r="K472" t="str">
        <f>IF($B472="","",IF(K$3=0,"n.b.",INDEX(SRC_Woningetalage!$A$1:$ZZ$501,$A472,K$3)))</f>
        <v/>
      </c>
      <c r="L472" t="str">
        <f>IF($B472="","",IF(L$3=0,"n.b.",INDEX(SRC_Woningetalage!$A$1:$ZZ$501,$A472,L$3)))</f>
        <v/>
      </c>
      <c r="M472" t="str">
        <f>IF($B472="","",IF(M$3=0,"n.b.",INDEX(SRC_Woningetalage!$A$1:$ZZ$501,$A472,M$3)))</f>
        <v/>
      </c>
      <c r="N472" t="str">
        <f>IF($B472="","",IF(N$3=0,"n.b.",INDEX(SRC_Woningetalage!$A$1:$ZZ$501,$A472,N$3)))</f>
        <v/>
      </c>
      <c r="O472" t="str">
        <f>IF($B472="","",IF(O$3=0,"n.b.",INDEX(SRC_Woningetalage!$A$1:$ZZ$501,$A472,O$3)))</f>
        <v/>
      </c>
      <c r="P472" t="str">
        <f>IF($B472="","",IF(P$3=0,"n.b.",INDEX(SRC_Woningetalage!$A$1:$ZZ$501,$A472,P$3)))</f>
        <v/>
      </c>
      <c r="Q472" s="124" t="str">
        <f>IF($B472="","",IF(Q$3=0,"n.b.",INDEX(SRC_Woningetalage!$A$1:$ZZ$501,$A472,Q$3)))</f>
        <v/>
      </c>
      <c r="R472" s="124" t="str">
        <f>IF($B472="","",IF(R$3=0,"n.b.",INDEX(SRC_Woningetalage!$A$1:$ZZ$501,$A472,R$3)))</f>
        <v/>
      </c>
      <c r="S472" s="124" t="str">
        <f>IF($B472="","",IF(S$3=0,"n.b.",INDEX(SRC_Woningetalage!$A$1:$ZZ$501,$A472,S$3)))</f>
        <v/>
      </c>
      <c r="T472" s="124" t="str">
        <f>IF($B472="","",IF(T$3=0,"n.b.",INDEX(SRC_Woningetalage!$A$1:$ZZ$501,$A472,T$3)))</f>
        <v/>
      </c>
      <c r="U472" s="124" t="str">
        <f>IF($B472="","",IF(U$3=0,"n.b.",INDEX(SRC_Woningetalage!$A$1:$ZZ$501,$A472,U$3)))</f>
        <v/>
      </c>
      <c r="V472" s="124" t="str">
        <f>IF($B472="","",IF(V$3=0,"n.b.",INDEX(SRC_Woningetalage!$A$1:$ZZ$501,$A472,V$3)))</f>
        <v/>
      </c>
      <c r="W472" s="124" t="str">
        <f>IF($B472="","",IF(W$3=0,"n.b.",INDEX(SRC_Woningetalage!$A$1:$ZZ$501,$A472,W$3)))</f>
        <v/>
      </c>
      <c r="X472" s="124" t="str">
        <f>IF($B472="","",IF(X$3=0,"n.b.",INDEX(SRC_Woningetalage!$A$1:$ZZ$501,$A472,X$3)))</f>
        <v/>
      </c>
      <c r="Y472" s="124" t="str">
        <f>IF($B472="","",IF(Y$3=0,"n.b.",INDEX(SRC_Woningetalage!$A$1:$ZZ$501,$A472,Y$3)))</f>
        <v/>
      </c>
      <c r="Z472" s="124" t="str">
        <f>IF($B472="","",IF(Z$3=0,"n.b.",INDEX(SRC_Woningetalage!$A$1:$ZZ$501,$A472,Z$3)))</f>
        <v/>
      </c>
      <c r="AA472" s="124" t="str">
        <f>IF($B472="","",IF(AA$3=0,"n.b.",INDEX(SRC_Woningetalage!$A$1:$ZZ$501,$A472,AA$3)))</f>
        <v/>
      </c>
      <c r="AB472" s="124" t="str">
        <f>IF($B472="","",IF(AB$3=0,"n.b.",INDEX(SRC_Woningetalage!$A$1:$ZZ$501,$A472,AB$3)))</f>
        <v/>
      </c>
      <c r="AC472" s="124" t="str">
        <f>IF($B472="","",IF(AC$3=0,"n.b.",INDEX(SRC_Woningetalage!$A$1:$ZZ$501,$A472,AC$3)))</f>
        <v/>
      </c>
      <c r="AD472" s="124" t="str">
        <f>IF($B472="","",IF(AD$3=0,"n.b.",INDEX(SRC_Woningetalage!$A$1:$ZZ$501,$A472,AD$3)))</f>
        <v/>
      </c>
      <c r="AE472" s="124" t="str">
        <f>IF($B472="","",IF(AE$3=0,"n.b.",INDEX(SRC_Woningetalage!$A$1:$ZZ$501,$A472,AE$3)))</f>
        <v/>
      </c>
      <c r="AF472" s="124" t="str">
        <f>IF($B472="","",IF(AF$3=0,"n.b.",INDEX(SRC_Woningetalage!$A$1:$ZZ$501,$A472,AF$3)))</f>
        <v/>
      </c>
      <c r="AG472" s="124" t="str">
        <f>IF($B472="","",IF(AG$3=0,"n.b.",INDEX(SRC_Woningetalage!$A$1:$ZZ$501,$A472,AG$3)))</f>
        <v/>
      </c>
      <c r="AH472" s="124" t="str">
        <f>IF($B472="","",IF(AH$3=0,"n.b.",INDEX(SRC_Woningetalage!$A$1:$ZZ$501,$A472,AH$3)))</f>
        <v/>
      </c>
      <c r="AI472" s="124" t="str">
        <f>IF($B472="","",IF(AI$3=0,"n.b.",INDEX(SRC_Woningetalage!$A$1:$ZZ$501,$A472,AI$3)))</f>
        <v/>
      </c>
      <c r="AJ472" s="124" t="str">
        <f>IF($B472="","",IF(AJ$3=0,"n.b.",INDEX(SRC_Woningetalage!$A$1:$ZZ$501,$A472,AJ$3)))</f>
        <v/>
      </c>
      <c r="AK472" s="124" t="str">
        <f>IF($B472="","",IF(AK$3=0,"n.b.",INDEX(SRC_Woningetalage!$A$1:$ZZ$501,$A472,AK$3)))</f>
        <v/>
      </c>
      <c r="AL472" s="124" t="str">
        <f>IF($B472="","",IF(AL$3=0,"n.b.",INDEX(SRC_Woningetalage!$A$1:$ZZ$501,$A472,AL$3)))</f>
        <v/>
      </c>
      <c r="AM472" s="124" t="str">
        <f>IF($B472="","",IF(AM$3=0,"n.b.",INDEX(SRC_Woningetalage!$A$1:$ZZ$501,$A472,AM$3)))</f>
        <v/>
      </c>
      <c r="AN472" s="124" t="str">
        <f>IF($B472="","",IF(AN$3=0,"n.b.",INDEX(SRC_Woningetalage!$A$1:$ZZ$501,$A472,AN$3)))</f>
        <v/>
      </c>
      <c r="AO472" s="124" t="str">
        <f>IF($B472="","",IF(AO$3=0,"n.b.",INDEX(SRC_Woningetalage!$A$1:$ZZ$501,$A472,AO$3)))</f>
        <v/>
      </c>
      <c r="AP472" s="124" t="str">
        <f>IF($B472="","",IF(AP$3=0,"n.b.",INDEX(SRC_Woningetalage!$A$1:$ZZ$501,$A472,AP$3)))</f>
        <v/>
      </c>
      <c r="AQ472" s="124" t="str">
        <f>IF($B472="","",IF(AQ$3=0,"n.b.",INDEX(SRC_Woningetalage!$A$1:$ZZ$501,$A472,AQ$3)))</f>
        <v/>
      </c>
      <c r="AR472" s="124" t="str">
        <f>IF($B472="","",IF(AR$3=0,"n.b.",INDEX(SRC_Woningetalage!$A$1:$ZZ$501,$A472,AR$3)))</f>
        <v/>
      </c>
      <c r="AS472" s="124" t="str">
        <f>IF($B472="","",IF(AS$3=0,"n.b.",INDEX(SRC_Woningetalage!$A$1:$ZZ$501,$A472,AS$3)))</f>
        <v/>
      </c>
      <c r="AT472" s="124" t="str">
        <f>IF($B472="","",IF(AT$3=0,"n.b.",INDEX(SRC_Woningetalage!$A$1:$ZZ$501,$A472,AT$3)))</f>
        <v/>
      </c>
      <c r="AU472" s="124" t="str">
        <f>IF($B472="","",IF(AU$3=0,"n.b.",INDEX(SRC_Woningetalage!$A$1:$ZZ$501,$A472,AU$3)))</f>
        <v/>
      </c>
      <c r="AV472" s="124" t="str">
        <f>IF($B472="","",IF(AV$3=0,"n.b.",INDEX(SRC_Woningetalage!$A$1:$ZZ$501,$A472,AV$3)))</f>
        <v/>
      </c>
      <c r="AW472" s="124" t="str">
        <f>IF($B472="","",IF(AW$3=0,"n.b.",INDEX(SRC_Woningetalage!$A$1:$ZZ$501,$A472,AW$3)))</f>
        <v/>
      </c>
      <c r="AX472" s="124" t="str">
        <f>IF($B472="","",IF(AX$3=0,"n.b.",INDEX(SRC_Woningetalage!$A$1:$ZZ$501,$A472,AX$3)))</f>
        <v/>
      </c>
      <c r="AY472" s="124" t="str">
        <f>IF($B472="","",IF(AY$3=0,"n.b.",INDEX(SRC_Woningetalage!$A$1:$ZZ$501,$A472,AY$3)))</f>
        <v/>
      </c>
      <c r="AZ472" s="124" t="str">
        <f>IF($B472="","",IF(AZ$3=0,"n.b.",INDEX(SRC_Woningetalage!$A$1:$ZZ$501,$A472,AZ$3)))</f>
        <v/>
      </c>
      <c r="BA472" s="124" t="str">
        <f>IF($B472="","",IF(BA$3=0,"n.b.",INDEX(SRC_Woningetalage!$A$1:$ZZ$501,$A472,BA$3)))</f>
        <v/>
      </c>
      <c r="BB472" s="124" t="str">
        <f>IF($B472="","",IF(BB$3=0,"n.b.",INDEX(SRC_Woningetalage!$A$1:$ZZ$501,$A472,BB$3)))</f>
        <v/>
      </c>
      <c r="BC472" s="124" t="str">
        <f>IF($B472="","",IFERROR(_xlfn.NUMBERVALUE(E472&amp;"",",","."),"n.b."))</f>
        <v/>
      </c>
      <c r="BD472" s="124" t="str">
        <f>IF($B472="","",IFERROR(_xlfn.NUMBERVALUE(M472&amp;"",",","."),"n.b."))</f>
        <v/>
      </c>
      <c r="BE472" s="124" t="str">
        <f>IF($B472="","",IFERROR(AB472+AC472+AD472,"n.b."))</f>
        <v/>
      </c>
      <c r="BF472" s="124" t="str">
        <f>IF($B472="","",IFERROR(AE472+AF472+AG472,"n.b."))</f>
        <v/>
      </c>
      <c r="BG472" s="124" t="str">
        <f>IF($B472="","",IFERROR(AH472+AI472+AJ472,"n.b."))</f>
        <v/>
      </c>
      <c r="BH472" s="124" t="str">
        <f>IF($B472="","",IFERROR(AK472+AL472+AM472,"n.b."))</f>
        <v/>
      </c>
      <c r="BI472" s="124" t="str">
        <f>IF($B472="","",IFERROR(SUMIF($AB$5:$AM$5,"&lt;="&amp;P_PeilMaand,AB472:AM472),"n.b."))</f>
        <v/>
      </c>
      <c r="BJ472" s="124" t="str">
        <f>IF($B472="","",IFERROR(SUM(AB472:AM472)-BI472,"n.b."))</f>
        <v/>
      </c>
      <c r="BK472" s="124" t="str">
        <f>IF($B472="","",IFERROR(IF(ABS(Q472-(T472+SUM(AB472:AM472)+AS472+AU472))&gt;P_Tol,1,0),1))</f>
        <v/>
      </c>
      <c r="BL472" s="124" t="str">
        <f>IF($B472="","",IFERROR(IF(ABS(AA472-(Q472-Z472))&gt;P_Tol,1,0),1))</f>
        <v/>
      </c>
      <c r="BM472" s="124" t="str">
        <f>IF($B472="","",IFERROR(IF(ABS(Z472-(T472+W472))&gt;P_Tol,1,0),1))</f>
        <v/>
      </c>
      <c r="BN472" s="124" t="str">
        <f>IF($B472="","",IFERROR(IF(ABS(W472-BI472)&gt;P_Tol,1,0),1))</f>
        <v/>
      </c>
      <c r="BO472" s="124" t="str">
        <f>IF($B472="","",IFERROR(IF(OR(ABS(R472+S472-T472)&gt;P_Tol,ABS(U472+V472-W472)&gt;P_Tol,ABS(X472+Y472-Z472)&gt;P_Tol),1,0),1))</f>
        <v/>
      </c>
      <c r="BP472" s="124" t="str">
        <f>IF($B472="","",IFERROR(IF(OR(ABS(AR472-SUM(AB472:AM472))&gt;P_Tol,ABS(AS472-(AN472+AO472+AP472+AQ472))&gt;P_Tol),1,0),1))</f>
        <v/>
      </c>
      <c r="BQ472" s="124" t="str">
        <f>IF($B472="","",IFERROR(IF(ABS(AT472)+ABS(AV472)+ABS(AW472)+ABS(AX472)+ABS(AY472)+ABS(AZ472)+ABS(BA472)+ABS(BB472)&gt;0,1,0),1))</f>
        <v/>
      </c>
      <c r="BR472" s="124" t="str">
        <f>IF($B472="","",COUNTIF(STG_ZPMW03!$B$6:$B$505,B472))</f>
        <v/>
      </c>
      <c r="BS472" s="124" t="str">
        <f>IF($B472="","",COUNTIF($B$6:$B$505,B472))</f>
        <v/>
      </c>
      <c r="BT472" s="124" t="str">
        <f>IF($B472="","",IF(BR472=0,0,IF(INDEX(STG_ZPMW03!$I$6:$I$505,MATCH(B472,STG_ZPMW03!$B$6:$B$505,0))=J472&amp;"",0,1)))</f>
        <v/>
      </c>
      <c r="BU472" s="124" t="str">
        <f>IF($B472="","",IFERROR(IF(ABS(INDEX(Mapping!$D$5:$D$104,MATCH(B472,Mapping!$A$5:$A$104,0))-Q472)&gt;P_Tol,1,0),0))</f>
        <v/>
      </c>
      <c r="BV472" s="124" t="str">
        <f>IF($B472="","",IFERROR(IF(AND(INDEX(Mapping!$G$5:$G$104,MATCH(B472,Mapping!$A$5:$A$104,0))="Nee",ABS(Q472)+ABS(Z472)+ABS(AR472)&gt;0),1,0),0))</f>
        <v/>
      </c>
      <c r="BW472" s="124" t="str">
        <f>IF($B472="","",IF(COUNTIF(Mapping!$A$5:$A$104,B472)&gt;0,1,0))</f>
        <v/>
      </c>
      <c r="BX472" s="124" t="str">
        <f>IF($B472="","",IF(BR472=0,COUNTIF($BR$6:BR472,0),""))</f>
        <v/>
      </c>
    </row>
    <row r="473">
      <c r="A473" s="15" t="n">
        <v>469</v>
      </c>
      <c r="B473" t="str">
        <f>IF(B$3=0,"",IF(INDEX(SRC_Woningetalage!$A$1:$ZZ$501,$A473,B$3)&amp;""="","",INDEX(SRC_Woningetalage!$A$1:$ZZ$501,$A473,B$3)&amp;""))</f>
        <v/>
      </c>
      <c r="C473" t="str">
        <f>IF($B473="","",IF(C$3=0,"n.b.",INDEX(SRC_Woningetalage!$A$1:$ZZ$501,$A473,C$3)))</f>
        <v/>
      </c>
      <c r="D473" t="str">
        <f>IF($B473="","",IF(D$3=0,"n.b.",INDEX(SRC_Woningetalage!$A$1:$ZZ$501,$A473,D$3)))</f>
        <v/>
      </c>
      <c r="E473" t="str">
        <f>IF($B473="","",IF(E$3=0,"n.b.",INDEX(SRC_Woningetalage!$A$1:$ZZ$501,$A473,E$3)))</f>
        <v/>
      </c>
      <c r="F473" t="str">
        <f>IF($B473="","",IF(F$3=0,"n.b.",INDEX(SRC_Woningetalage!$A$1:$ZZ$501,$A473,F$3)))</f>
        <v/>
      </c>
      <c r="G473" t="str">
        <f>IF($B473="","",IF(G$3=0,"n.b.",INDEX(SRC_Woningetalage!$A$1:$ZZ$501,$A473,G$3)))</f>
        <v/>
      </c>
      <c r="H473" t="str">
        <f>IF($B473="","",IF(H$3=0,"n.b.",INDEX(SRC_Woningetalage!$A$1:$ZZ$501,$A473,H$3)))</f>
        <v/>
      </c>
      <c r="I473" t="str">
        <f>IF($B473="","",IF(I$3=0,"n.b.",INDEX(SRC_Woningetalage!$A$1:$ZZ$501,$A473,I$3)))</f>
        <v/>
      </c>
      <c r="J473" t="str">
        <f>IF($B473="","",IF(J$3=0,"n.b.",INDEX(SRC_Woningetalage!$A$1:$ZZ$501,$A473,J$3)))</f>
        <v/>
      </c>
      <c r="K473" t="str">
        <f>IF($B473="","",IF(K$3=0,"n.b.",INDEX(SRC_Woningetalage!$A$1:$ZZ$501,$A473,K$3)))</f>
        <v/>
      </c>
      <c r="L473" t="str">
        <f>IF($B473="","",IF(L$3=0,"n.b.",INDEX(SRC_Woningetalage!$A$1:$ZZ$501,$A473,L$3)))</f>
        <v/>
      </c>
      <c r="M473" t="str">
        <f>IF($B473="","",IF(M$3=0,"n.b.",INDEX(SRC_Woningetalage!$A$1:$ZZ$501,$A473,M$3)))</f>
        <v/>
      </c>
      <c r="N473" t="str">
        <f>IF($B473="","",IF(N$3=0,"n.b.",INDEX(SRC_Woningetalage!$A$1:$ZZ$501,$A473,N$3)))</f>
        <v/>
      </c>
      <c r="O473" t="str">
        <f>IF($B473="","",IF(O$3=0,"n.b.",INDEX(SRC_Woningetalage!$A$1:$ZZ$501,$A473,O$3)))</f>
        <v/>
      </c>
      <c r="P473" t="str">
        <f>IF($B473="","",IF(P$3=0,"n.b.",INDEX(SRC_Woningetalage!$A$1:$ZZ$501,$A473,P$3)))</f>
        <v/>
      </c>
      <c r="Q473" s="124" t="str">
        <f>IF($B473="","",IF(Q$3=0,"n.b.",INDEX(SRC_Woningetalage!$A$1:$ZZ$501,$A473,Q$3)))</f>
        <v/>
      </c>
      <c r="R473" s="124" t="str">
        <f>IF($B473="","",IF(R$3=0,"n.b.",INDEX(SRC_Woningetalage!$A$1:$ZZ$501,$A473,R$3)))</f>
        <v/>
      </c>
      <c r="S473" s="124" t="str">
        <f>IF($B473="","",IF(S$3=0,"n.b.",INDEX(SRC_Woningetalage!$A$1:$ZZ$501,$A473,S$3)))</f>
        <v/>
      </c>
      <c r="T473" s="124" t="str">
        <f>IF($B473="","",IF(T$3=0,"n.b.",INDEX(SRC_Woningetalage!$A$1:$ZZ$501,$A473,T$3)))</f>
        <v/>
      </c>
      <c r="U473" s="124" t="str">
        <f>IF($B473="","",IF(U$3=0,"n.b.",INDEX(SRC_Woningetalage!$A$1:$ZZ$501,$A473,U$3)))</f>
        <v/>
      </c>
      <c r="V473" s="124" t="str">
        <f>IF($B473="","",IF(V$3=0,"n.b.",INDEX(SRC_Woningetalage!$A$1:$ZZ$501,$A473,V$3)))</f>
        <v/>
      </c>
      <c r="W473" s="124" t="str">
        <f>IF($B473="","",IF(W$3=0,"n.b.",INDEX(SRC_Woningetalage!$A$1:$ZZ$501,$A473,W$3)))</f>
        <v/>
      </c>
      <c r="X473" s="124" t="str">
        <f>IF($B473="","",IF(X$3=0,"n.b.",INDEX(SRC_Woningetalage!$A$1:$ZZ$501,$A473,X$3)))</f>
        <v/>
      </c>
      <c r="Y473" s="124" t="str">
        <f>IF($B473="","",IF(Y$3=0,"n.b.",INDEX(SRC_Woningetalage!$A$1:$ZZ$501,$A473,Y$3)))</f>
        <v/>
      </c>
      <c r="Z473" s="124" t="str">
        <f>IF($B473="","",IF(Z$3=0,"n.b.",INDEX(SRC_Woningetalage!$A$1:$ZZ$501,$A473,Z$3)))</f>
        <v/>
      </c>
      <c r="AA473" s="124" t="str">
        <f>IF($B473="","",IF(AA$3=0,"n.b.",INDEX(SRC_Woningetalage!$A$1:$ZZ$501,$A473,AA$3)))</f>
        <v/>
      </c>
      <c r="AB473" s="124" t="str">
        <f>IF($B473="","",IF(AB$3=0,"n.b.",INDEX(SRC_Woningetalage!$A$1:$ZZ$501,$A473,AB$3)))</f>
        <v/>
      </c>
      <c r="AC473" s="124" t="str">
        <f>IF($B473="","",IF(AC$3=0,"n.b.",INDEX(SRC_Woningetalage!$A$1:$ZZ$501,$A473,AC$3)))</f>
        <v/>
      </c>
      <c r="AD473" s="124" t="str">
        <f>IF($B473="","",IF(AD$3=0,"n.b.",INDEX(SRC_Woningetalage!$A$1:$ZZ$501,$A473,AD$3)))</f>
        <v/>
      </c>
      <c r="AE473" s="124" t="str">
        <f>IF($B473="","",IF(AE$3=0,"n.b.",INDEX(SRC_Woningetalage!$A$1:$ZZ$501,$A473,AE$3)))</f>
        <v/>
      </c>
      <c r="AF473" s="124" t="str">
        <f>IF($B473="","",IF(AF$3=0,"n.b.",INDEX(SRC_Woningetalage!$A$1:$ZZ$501,$A473,AF$3)))</f>
        <v/>
      </c>
      <c r="AG473" s="124" t="str">
        <f>IF($B473="","",IF(AG$3=0,"n.b.",INDEX(SRC_Woningetalage!$A$1:$ZZ$501,$A473,AG$3)))</f>
        <v/>
      </c>
      <c r="AH473" s="124" t="str">
        <f>IF($B473="","",IF(AH$3=0,"n.b.",INDEX(SRC_Woningetalage!$A$1:$ZZ$501,$A473,AH$3)))</f>
        <v/>
      </c>
      <c r="AI473" s="124" t="str">
        <f>IF($B473="","",IF(AI$3=0,"n.b.",INDEX(SRC_Woningetalage!$A$1:$ZZ$501,$A473,AI$3)))</f>
        <v/>
      </c>
      <c r="AJ473" s="124" t="str">
        <f>IF($B473="","",IF(AJ$3=0,"n.b.",INDEX(SRC_Woningetalage!$A$1:$ZZ$501,$A473,AJ$3)))</f>
        <v/>
      </c>
      <c r="AK473" s="124" t="str">
        <f>IF($B473="","",IF(AK$3=0,"n.b.",INDEX(SRC_Woningetalage!$A$1:$ZZ$501,$A473,AK$3)))</f>
        <v/>
      </c>
      <c r="AL473" s="124" t="str">
        <f>IF($B473="","",IF(AL$3=0,"n.b.",INDEX(SRC_Woningetalage!$A$1:$ZZ$501,$A473,AL$3)))</f>
        <v/>
      </c>
      <c r="AM473" s="124" t="str">
        <f>IF($B473="","",IF(AM$3=0,"n.b.",INDEX(SRC_Woningetalage!$A$1:$ZZ$501,$A473,AM$3)))</f>
        <v/>
      </c>
      <c r="AN473" s="124" t="str">
        <f>IF($B473="","",IF(AN$3=0,"n.b.",INDEX(SRC_Woningetalage!$A$1:$ZZ$501,$A473,AN$3)))</f>
        <v/>
      </c>
      <c r="AO473" s="124" t="str">
        <f>IF($B473="","",IF(AO$3=0,"n.b.",INDEX(SRC_Woningetalage!$A$1:$ZZ$501,$A473,AO$3)))</f>
        <v/>
      </c>
      <c r="AP473" s="124" t="str">
        <f>IF($B473="","",IF(AP$3=0,"n.b.",INDEX(SRC_Woningetalage!$A$1:$ZZ$501,$A473,AP$3)))</f>
        <v/>
      </c>
      <c r="AQ473" s="124" t="str">
        <f>IF($B473="","",IF(AQ$3=0,"n.b.",INDEX(SRC_Woningetalage!$A$1:$ZZ$501,$A473,AQ$3)))</f>
        <v/>
      </c>
      <c r="AR473" s="124" t="str">
        <f>IF($B473="","",IF(AR$3=0,"n.b.",INDEX(SRC_Woningetalage!$A$1:$ZZ$501,$A473,AR$3)))</f>
        <v/>
      </c>
      <c r="AS473" s="124" t="str">
        <f>IF($B473="","",IF(AS$3=0,"n.b.",INDEX(SRC_Woningetalage!$A$1:$ZZ$501,$A473,AS$3)))</f>
        <v/>
      </c>
      <c r="AT473" s="124" t="str">
        <f>IF($B473="","",IF(AT$3=0,"n.b.",INDEX(SRC_Woningetalage!$A$1:$ZZ$501,$A473,AT$3)))</f>
        <v/>
      </c>
      <c r="AU473" s="124" t="str">
        <f>IF($B473="","",IF(AU$3=0,"n.b.",INDEX(SRC_Woningetalage!$A$1:$ZZ$501,$A473,AU$3)))</f>
        <v/>
      </c>
      <c r="AV473" s="124" t="str">
        <f>IF($B473="","",IF(AV$3=0,"n.b.",INDEX(SRC_Woningetalage!$A$1:$ZZ$501,$A473,AV$3)))</f>
        <v/>
      </c>
      <c r="AW473" s="124" t="str">
        <f>IF($B473="","",IF(AW$3=0,"n.b.",INDEX(SRC_Woningetalage!$A$1:$ZZ$501,$A473,AW$3)))</f>
        <v/>
      </c>
      <c r="AX473" s="124" t="str">
        <f>IF($B473="","",IF(AX$3=0,"n.b.",INDEX(SRC_Woningetalage!$A$1:$ZZ$501,$A473,AX$3)))</f>
        <v/>
      </c>
      <c r="AY473" s="124" t="str">
        <f>IF($B473="","",IF(AY$3=0,"n.b.",INDEX(SRC_Woningetalage!$A$1:$ZZ$501,$A473,AY$3)))</f>
        <v/>
      </c>
      <c r="AZ473" s="124" t="str">
        <f>IF($B473="","",IF(AZ$3=0,"n.b.",INDEX(SRC_Woningetalage!$A$1:$ZZ$501,$A473,AZ$3)))</f>
        <v/>
      </c>
      <c r="BA473" s="124" t="str">
        <f>IF($B473="","",IF(BA$3=0,"n.b.",INDEX(SRC_Woningetalage!$A$1:$ZZ$501,$A473,BA$3)))</f>
        <v/>
      </c>
      <c r="BB473" s="124" t="str">
        <f>IF($B473="","",IF(BB$3=0,"n.b.",INDEX(SRC_Woningetalage!$A$1:$ZZ$501,$A473,BB$3)))</f>
        <v/>
      </c>
      <c r="BC473" s="124" t="str">
        <f>IF($B473="","",IFERROR(_xlfn.NUMBERVALUE(E473&amp;"",",","."),"n.b."))</f>
        <v/>
      </c>
      <c r="BD473" s="124" t="str">
        <f>IF($B473="","",IFERROR(_xlfn.NUMBERVALUE(M473&amp;"",",","."),"n.b."))</f>
        <v/>
      </c>
      <c r="BE473" s="124" t="str">
        <f>IF($B473="","",IFERROR(AB473+AC473+AD473,"n.b."))</f>
        <v/>
      </c>
      <c r="BF473" s="124" t="str">
        <f>IF($B473="","",IFERROR(AE473+AF473+AG473,"n.b."))</f>
        <v/>
      </c>
      <c r="BG473" s="124" t="str">
        <f>IF($B473="","",IFERROR(AH473+AI473+AJ473,"n.b."))</f>
        <v/>
      </c>
      <c r="BH473" s="124" t="str">
        <f>IF($B473="","",IFERROR(AK473+AL473+AM473,"n.b."))</f>
        <v/>
      </c>
      <c r="BI473" s="124" t="str">
        <f>IF($B473="","",IFERROR(SUMIF($AB$5:$AM$5,"&lt;="&amp;P_PeilMaand,AB473:AM473),"n.b."))</f>
        <v/>
      </c>
      <c r="BJ473" s="124" t="str">
        <f>IF($B473="","",IFERROR(SUM(AB473:AM473)-BI473,"n.b."))</f>
        <v/>
      </c>
      <c r="BK473" s="124" t="str">
        <f>IF($B473="","",IFERROR(IF(ABS(Q473-(T473+SUM(AB473:AM473)+AS473+AU473))&gt;P_Tol,1,0),1))</f>
        <v/>
      </c>
      <c r="BL473" s="124" t="str">
        <f>IF($B473="","",IFERROR(IF(ABS(AA473-(Q473-Z473))&gt;P_Tol,1,0),1))</f>
        <v/>
      </c>
      <c r="BM473" s="124" t="str">
        <f>IF($B473="","",IFERROR(IF(ABS(Z473-(T473+W473))&gt;P_Tol,1,0),1))</f>
        <v/>
      </c>
      <c r="BN473" s="124" t="str">
        <f>IF($B473="","",IFERROR(IF(ABS(W473-BI473)&gt;P_Tol,1,0),1))</f>
        <v/>
      </c>
      <c r="BO473" s="124" t="str">
        <f>IF($B473="","",IFERROR(IF(OR(ABS(R473+S473-T473)&gt;P_Tol,ABS(U473+V473-W473)&gt;P_Tol,ABS(X473+Y473-Z473)&gt;P_Tol),1,0),1))</f>
        <v/>
      </c>
      <c r="BP473" s="124" t="str">
        <f>IF($B473="","",IFERROR(IF(OR(ABS(AR473-SUM(AB473:AM473))&gt;P_Tol,ABS(AS473-(AN473+AO473+AP473+AQ473))&gt;P_Tol),1,0),1))</f>
        <v/>
      </c>
      <c r="BQ473" s="124" t="str">
        <f>IF($B473="","",IFERROR(IF(ABS(AT473)+ABS(AV473)+ABS(AW473)+ABS(AX473)+ABS(AY473)+ABS(AZ473)+ABS(BA473)+ABS(BB473)&gt;0,1,0),1))</f>
        <v/>
      </c>
      <c r="BR473" s="124" t="str">
        <f>IF($B473="","",COUNTIF(STG_ZPMW03!$B$6:$B$505,B473))</f>
        <v/>
      </c>
      <c r="BS473" s="124" t="str">
        <f>IF($B473="","",COUNTIF($B$6:$B$505,B473))</f>
        <v/>
      </c>
      <c r="BT473" s="124" t="str">
        <f>IF($B473="","",IF(BR473=0,0,IF(INDEX(STG_ZPMW03!$I$6:$I$505,MATCH(B473,STG_ZPMW03!$B$6:$B$505,0))=J473&amp;"",0,1)))</f>
        <v/>
      </c>
      <c r="BU473" s="124" t="str">
        <f>IF($B473="","",IFERROR(IF(ABS(INDEX(Mapping!$D$5:$D$104,MATCH(B473,Mapping!$A$5:$A$104,0))-Q473)&gt;P_Tol,1,0),0))</f>
        <v/>
      </c>
      <c r="BV473" s="124" t="str">
        <f>IF($B473="","",IFERROR(IF(AND(INDEX(Mapping!$G$5:$G$104,MATCH(B473,Mapping!$A$5:$A$104,0))="Nee",ABS(Q473)+ABS(Z473)+ABS(AR473)&gt;0),1,0),0))</f>
        <v/>
      </c>
      <c r="BW473" s="124" t="str">
        <f>IF($B473="","",IF(COUNTIF(Mapping!$A$5:$A$104,B473)&gt;0,1,0))</f>
        <v/>
      </c>
      <c r="BX473" s="124" t="str">
        <f>IF($B473="","",IF(BR473=0,COUNTIF($BR$6:BR473,0),""))</f>
        <v/>
      </c>
    </row>
    <row r="474">
      <c r="A474" s="15" t="n">
        <v>470</v>
      </c>
      <c r="B474" t="str">
        <f>IF(B$3=0,"",IF(INDEX(SRC_Woningetalage!$A$1:$ZZ$501,$A474,B$3)&amp;""="","",INDEX(SRC_Woningetalage!$A$1:$ZZ$501,$A474,B$3)&amp;""))</f>
        <v/>
      </c>
      <c r="C474" t="str">
        <f>IF($B474="","",IF(C$3=0,"n.b.",INDEX(SRC_Woningetalage!$A$1:$ZZ$501,$A474,C$3)))</f>
        <v/>
      </c>
      <c r="D474" t="str">
        <f>IF($B474="","",IF(D$3=0,"n.b.",INDEX(SRC_Woningetalage!$A$1:$ZZ$501,$A474,D$3)))</f>
        <v/>
      </c>
      <c r="E474" t="str">
        <f>IF($B474="","",IF(E$3=0,"n.b.",INDEX(SRC_Woningetalage!$A$1:$ZZ$501,$A474,E$3)))</f>
        <v/>
      </c>
      <c r="F474" t="str">
        <f>IF($B474="","",IF(F$3=0,"n.b.",INDEX(SRC_Woningetalage!$A$1:$ZZ$501,$A474,F$3)))</f>
        <v/>
      </c>
      <c r="G474" t="str">
        <f>IF($B474="","",IF(G$3=0,"n.b.",INDEX(SRC_Woningetalage!$A$1:$ZZ$501,$A474,G$3)))</f>
        <v/>
      </c>
      <c r="H474" t="str">
        <f>IF($B474="","",IF(H$3=0,"n.b.",INDEX(SRC_Woningetalage!$A$1:$ZZ$501,$A474,H$3)))</f>
        <v/>
      </c>
      <c r="I474" t="str">
        <f>IF($B474="","",IF(I$3=0,"n.b.",INDEX(SRC_Woningetalage!$A$1:$ZZ$501,$A474,I$3)))</f>
        <v/>
      </c>
      <c r="J474" t="str">
        <f>IF($B474="","",IF(J$3=0,"n.b.",INDEX(SRC_Woningetalage!$A$1:$ZZ$501,$A474,J$3)))</f>
        <v/>
      </c>
      <c r="K474" t="str">
        <f>IF($B474="","",IF(K$3=0,"n.b.",INDEX(SRC_Woningetalage!$A$1:$ZZ$501,$A474,K$3)))</f>
        <v/>
      </c>
      <c r="L474" t="str">
        <f>IF($B474="","",IF(L$3=0,"n.b.",INDEX(SRC_Woningetalage!$A$1:$ZZ$501,$A474,L$3)))</f>
        <v/>
      </c>
      <c r="M474" t="str">
        <f>IF($B474="","",IF(M$3=0,"n.b.",INDEX(SRC_Woningetalage!$A$1:$ZZ$501,$A474,M$3)))</f>
        <v/>
      </c>
      <c r="N474" t="str">
        <f>IF($B474="","",IF(N$3=0,"n.b.",INDEX(SRC_Woningetalage!$A$1:$ZZ$501,$A474,N$3)))</f>
        <v/>
      </c>
      <c r="O474" t="str">
        <f>IF($B474="","",IF(O$3=0,"n.b.",INDEX(SRC_Woningetalage!$A$1:$ZZ$501,$A474,O$3)))</f>
        <v/>
      </c>
      <c r="P474" t="str">
        <f>IF($B474="","",IF(P$3=0,"n.b.",INDEX(SRC_Woningetalage!$A$1:$ZZ$501,$A474,P$3)))</f>
        <v/>
      </c>
      <c r="Q474" s="124" t="str">
        <f>IF($B474="","",IF(Q$3=0,"n.b.",INDEX(SRC_Woningetalage!$A$1:$ZZ$501,$A474,Q$3)))</f>
        <v/>
      </c>
      <c r="R474" s="124" t="str">
        <f>IF($B474="","",IF(R$3=0,"n.b.",INDEX(SRC_Woningetalage!$A$1:$ZZ$501,$A474,R$3)))</f>
        <v/>
      </c>
      <c r="S474" s="124" t="str">
        <f>IF($B474="","",IF(S$3=0,"n.b.",INDEX(SRC_Woningetalage!$A$1:$ZZ$501,$A474,S$3)))</f>
        <v/>
      </c>
      <c r="T474" s="124" t="str">
        <f>IF($B474="","",IF(T$3=0,"n.b.",INDEX(SRC_Woningetalage!$A$1:$ZZ$501,$A474,T$3)))</f>
        <v/>
      </c>
      <c r="U474" s="124" t="str">
        <f>IF($B474="","",IF(U$3=0,"n.b.",INDEX(SRC_Woningetalage!$A$1:$ZZ$501,$A474,U$3)))</f>
        <v/>
      </c>
      <c r="V474" s="124" t="str">
        <f>IF($B474="","",IF(V$3=0,"n.b.",INDEX(SRC_Woningetalage!$A$1:$ZZ$501,$A474,V$3)))</f>
        <v/>
      </c>
      <c r="W474" s="124" t="str">
        <f>IF($B474="","",IF(W$3=0,"n.b.",INDEX(SRC_Woningetalage!$A$1:$ZZ$501,$A474,W$3)))</f>
        <v/>
      </c>
      <c r="X474" s="124" t="str">
        <f>IF($B474="","",IF(X$3=0,"n.b.",INDEX(SRC_Woningetalage!$A$1:$ZZ$501,$A474,X$3)))</f>
        <v/>
      </c>
      <c r="Y474" s="124" t="str">
        <f>IF($B474="","",IF(Y$3=0,"n.b.",INDEX(SRC_Woningetalage!$A$1:$ZZ$501,$A474,Y$3)))</f>
        <v/>
      </c>
      <c r="Z474" s="124" t="str">
        <f>IF($B474="","",IF(Z$3=0,"n.b.",INDEX(SRC_Woningetalage!$A$1:$ZZ$501,$A474,Z$3)))</f>
        <v/>
      </c>
      <c r="AA474" s="124" t="str">
        <f>IF($B474="","",IF(AA$3=0,"n.b.",INDEX(SRC_Woningetalage!$A$1:$ZZ$501,$A474,AA$3)))</f>
        <v/>
      </c>
      <c r="AB474" s="124" t="str">
        <f>IF($B474="","",IF(AB$3=0,"n.b.",INDEX(SRC_Woningetalage!$A$1:$ZZ$501,$A474,AB$3)))</f>
        <v/>
      </c>
      <c r="AC474" s="124" t="str">
        <f>IF($B474="","",IF(AC$3=0,"n.b.",INDEX(SRC_Woningetalage!$A$1:$ZZ$501,$A474,AC$3)))</f>
        <v/>
      </c>
      <c r="AD474" s="124" t="str">
        <f>IF($B474="","",IF(AD$3=0,"n.b.",INDEX(SRC_Woningetalage!$A$1:$ZZ$501,$A474,AD$3)))</f>
        <v/>
      </c>
      <c r="AE474" s="124" t="str">
        <f>IF($B474="","",IF(AE$3=0,"n.b.",INDEX(SRC_Woningetalage!$A$1:$ZZ$501,$A474,AE$3)))</f>
        <v/>
      </c>
      <c r="AF474" s="124" t="str">
        <f>IF($B474="","",IF(AF$3=0,"n.b.",INDEX(SRC_Woningetalage!$A$1:$ZZ$501,$A474,AF$3)))</f>
        <v/>
      </c>
      <c r="AG474" s="124" t="str">
        <f>IF($B474="","",IF(AG$3=0,"n.b.",INDEX(SRC_Woningetalage!$A$1:$ZZ$501,$A474,AG$3)))</f>
        <v/>
      </c>
      <c r="AH474" s="124" t="str">
        <f>IF($B474="","",IF(AH$3=0,"n.b.",INDEX(SRC_Woningetalage!$A$1:$ZZ$501,$A474,AH$3)))</f>
        <v/>
      </c>
      <c r="AI474" s="124" t="str">
        <f>IF($B474="","",IF(AI$3=0,"n.b.",INDEX(SRC_Woningetalage!$A$1:$ZZ$501,$A474,AI$3)))</f>
        <v/>
      </c>
      <c r="AJ474" s="124" t="str">
        <f>IF($B474="","",IF(AJ$3=0,"n.b.",INDEX(SRC_Woningetalage!$A$1:$ZZ$501,$A474,AJ$3)))</f>
        <v/>
      </c>
      <c r="AK474" s="124" t="str">
        <f>IF($B474="","",IF(AK$3=0,"n.b.",INDEX(SRC_Woningetalage!$A$1:$ZZ$501,$A474,AK$3)))</f>
        <v/>
      </c>
      <c r="AL474" s="124" t="str">
        <f>IF($B474="","",IF(AL$3=0,"n.b.",INDEX(SRC_Woningetalage!$A$1:$ZZ$501,$A474,AL$3)))</f>
        <v/>
      </c>
      <c r="AM474" s="124" t="str">
        <f>IF($B474="","",IF(AM$3=0,"n.b.",INDEX(SRC_Woningetalage!$A$1:$ZZ$501,$A474,AM$3)))</f>
        <v/>
      </c>
      <c r="AN474" s="124" t="str">
        <f>IF($B474="","",IF(AN$3=0,"n.b.",INDEX(SRC_Woningetalage!$A$1:$ZZ$501,$A474,AN$3)))</f>
        <v/>
      </c>
      <c r="AO474" s="124" t="str">
        <f>IF($B474="","",IF(AO$3=0,"n.b.",INDEX(SRC_Woningetalage!$A$1:$ZZ$501,$A474,AO$3)))</f>
        <v/>
      </c>
      <c r="AP474" s="124" t="str">
        <f>IF($B474="","",IF(AP$3=0,"n.b.",INDEX(SRC_Woningetalage!$A$1:$ZZ$501,$A474,AP$3)))</f>
        <v/>
      </c>
      <c r="AQ474" s="124" t="str">
        <f>IF($B474="","",IF(AQ$3=0,"n.b.",INDEX(SRC_Woningetalage!$A$1:$ZZ$501,$A474,AQ$3)))</f>
        <v/>
      </c>
      <c r="AR474" s="124" t="str">
        <f>IF($B474="","",IF(AR$3=0,"n.b.",INDEX(SRC_Woningetalage!$A$1:$ZZ$501,$A474,AR$3)))</f>
        <v/>
      </c>
      <c r="AS474" s="124" t="str">
        <f>IF($B474="","",IF(AS$3=0,"n.b.",INDEX(SRC_Woningetalage!$A$1:$ZZ$501,$A474,AS$3)))</f>
        <v/>
      </c>
      <c r="AT474" s="124" t="str">
        <f>IF($B474="","",IF(AT$3=0,"n.b.",INDEX(SRC_Woningetalage!$A$1:$ZZ$501,$A474,AT$3)))</f>
        <v/>
      </c>
      <c r="AU474" s="124" t="str">
        <f>IF($B474="","",IF(AU$3=0,"n.b.",INDEX(SRC_Woningetalage!$A$1:$ZZ$501,$A474,AU$3)))</f>
        <v/>
      </c>
      <c r="AV474" s="124" t="str">
        <f>IF($B474="","",IF(AV$3=0,"n.b.",INDEX(SRC_Woningetalage!$A$1:$ZZ$501,$A474,AV$3)))</f>
        <v/>
      </c>
      <c r="AW474" s="124" t="str">
        <f>IF($B474="","",IF(AW$3=0,"n.b.",INDEX(SRC_Woningetalage!$A$1:$ZZ$501,$A474,AW$3)))</f>
        <v/>
      </c>
      <c r="AX474" s="124" t="str">
        <f>IF($B474="","",IF(AX$3=0,"n.b.",INDEX(SRC_Woningetalage!$A$1:$ZZ$501,$A474,AX$3)))</f>
        <v/>
      </c>
      <c r="AY474" s="124" t="str">
        <f>IF($B474="","",IF(AY$3=0,"n.b.",INDEX(SRC_Woningetalage!$A$1:$ZZ$501,$A474,AY$3)))</f>
        <v/>
      </c>
      <c r="AZ474" s="124" t="str">
        <f>IF($B474="","",IF(AZ$3=0,"n.b.",INDEX(SRC_Woningetalage!$A$1:$ZZ$501,$A474,AZ$3)))</f>
        <v/>
      </c>
      <c r="BA474" s="124" t="str">
        <f>IF($B474="","",IF(BA$3=0,"n.b.",INDEX(SRC_Woningetalage!$A$1:$ZZ$501,$A474,BA$3)))</f>
        <v/>
      </c>
      <c r="BB474" s="124" t="str">
        <f>IF($B474="","",IF(BB$3=0,"n.b.",INDEX(SRC_Woningetalage!$A$1:$ZZ$501,$A474,BB$3)))</f>
        <v/>
      </c>
      <c r="BC474" s="124" t="str">
        <f>IF($B474="","",IFERROR(_xlfn.NUMBERVALUE(E474&amp;"",",","."),"n.b."))</f>
        <v/>
      </c>
      <c r="BD474" s="124" t="str">
        <f>IF($B474="","",IFERROR(_xlfn.NUMBERVALUE(M474&amp;"",",","."),"n.b."))</f>
        <v/>
      </c>
      <c r="BE474" s="124" t="str">
        <f>IF($B474="","",IFERROR(AB474+AC474+AD474,"n.b."))</f>
        <v/>
      </c>
      <c r="BF474" s="124" t="str">
        <f>IF($B474="","",IFERROR(AE474+AF474+AG474,"n.b."))</f>
        <v/>
      </c>
      <c r="BG474" s="124" t="str">
        <f>IF($B474="","",IFERROR(AH474+AI474+AJ474,"n.b."))</f>
        <v/>
      </c>
      <c r="BH474" s="124" t="str">
        <f>IF($B474="","",IFERROR(AK474+AL474+AM474,"n.b."))</f>
        <v/>
      </c>
      <c r="BI474" s="124" t="str">
        <f>IF($B474="","",IFERROR(SUMIF($AB$5:$AM$5,"&lt;="&amp;P_PeilMaand,AB474:AM474),"n.b."))</f>
        <v/>
      </c>
      <c r="BJ474" s="124" t="str">
        <f>IF($B474="","",IFERROR(SUM(AB474:AM474)-BI474,"n.b."))</f>
        <v/>
      </c>
      <c r="BK474" s="124" t="str">
        <f>IF($B474="","",IFERROR(IF(ABS(Q474-(T474+SUM(AB474:AM474)+AS474+AU474))&gt;P_Tol,1,0),1))</f>
        <v/>
      </c>
      <c r="BL474" s="124" t="str">
        <f>IF($B474="","",IFERROR(IF(ABS(AA474-(Q474-Z474))&gt;P_Tol,1,0),1))</f>
        <v/>
      </c>
      <c r="BM474" s="124" t="str">
        <f>IF($B474="","",IFERROR(IF(ABS(Z474-(T474+W474))&gt;P_Tol,1,0),1))</f>
        <v/>
      </c>
      <c r="BN474" s="124" t="str">
        <f>IF($B474="","",IFERROR(IF(ABS(W474-BI474)&gt;P_Tol,1,0),1))</f>
        <v/>
      </c>
      <c r="BO474" s="124" t="str">
        <f>IF($B474="","",IFERROR(IF(OR(ABS(R474+S474-T474)&gt;P_Tol,ABS(U474+V474-W474)&gt;P_Tol,ABS(X474+Y474-Z474)&gt;P_Tol),1,0),1))</f>
        <v/>
      </c>
      <c r="BP474" s="124" t="str">
        <f>IF($B474="","",IFERROR(IF(OR(ABS(AR474-SUM(AB474:AM474))&gt;P_Tol,ABS(AS474-(AN474+AO474+AP474+AQ474))&gt;P_Tol),1,0),1))</f>
        <v/>
      </c>
      <c r="BQ474" s="124" t="str">
        <f>IF($B474="","",IFERROR(IF(ABS(AT474)+ABS(AV474)+ABS(AW474)+ABS(AX474)+ABS(AY474)+ABS(AZ474)+ABS(BA474)+ABS(BB474)&gt;0,1,0),1))</f>
        <v/>
      </c>
      <c r="BR474" s="124" t="str">
        <f>IF($B474="","",COUNTIF(STG_ZPMW03!$B$6:$B$505,B474))</f>
        <v/>
      </c>
      <c r="BS474" s="124" t="str">
        <f>IF($B474="","",COUNTIF($B$6:$B$505,B474))</f>
        <v/>
      </c>
      <c r="BT474" s="124" t="str">
        <f>IF($B474="","",IF(BR474=0,0,IF(INDEX(STG_ZPMW03!$I$6:$I$505,MATCH(B474,STG_ZPMW03!$B$6:$B$505,0))=J474&amp;"",0,1)))</f>
        <v/>
      </c>
      <c r="BU474" s="124" t="str">
        <f>IF($B474="","",IFERROR(IF(ABS(INDEX(Mapping!$D$5:$D$104,MATCH(B474,Mapping!$A$5:$A$104,0))-Q474)&gt;P_Tol,1,0),0))</f>
        <v/>
      </c>
      <c r="BV474" s="124" t="str">
        <f>IF($B474="","",IFERROR(IF(AND(INDEX(Mapping!$G$5:$G$104,MATCH(B474,Mapping!$A$5:$A$104,0))="Nee",ABS(Q474)+ABS(Z474)+ABS(AR474)&gt;0),1,0),0))</f>
        <v/>
      </c>
      <c r="BW474" s="124" t="str">
        <f>IF($B474="","",IF(COUNTIF(Mapping!$A$5:$A$104,B474)&gt;0,1,0))</f>
        <v/>
      </c>
      <c r="BX474" s="124" t="str">
        <f>IF($B474="","",IF(BR474=0,COUNTIF($BR$6:BR474,0),""))</f>
        <v/>
      </c>
    </row>
    <row r="475">
      <c r="A475" s="15" t="n">
        <v>471</v>
      </c>
      <c r="B475" t="str">
        <f>IF(B$3=0,"",IF(INDEX(SRC_Woningetalage!$A$1:$ZZ$501,$A475,B$3)&amp;""="","",INDEX(SRC_Woningetalage!$A$1:$ZZ$501,$A475,B$3)&amp;""))</f>
        <v/>
      </c>
      <c r="C475" t="str">
        <f>IF($B475="","",IF(C$3=0,"n.b.",INDEX(SRC_Woningetalage!$A$1:$ZZ$501,$A475,C$3)))</f>
        <v/>
      </c>
      <c r="D475" t="str">
        <f>IF($B475="","",IF(D$3=0,"n.b.",INDEX(SRC_Woningetalage!$A$1:$ZZ$501,$A475,D$3)))</f>
        <v/>
      </c>
      <c r="E475" t="str">
        <f>IF($B475="","",IF(E$3=0,"n.b.",INDEX(SRC_Woningetalage!$A$1:$ZZ$501,$A475,E$3)))</f>
        <v/>
      </c>
      <c r="F475" t="str">
        <f>IF($B475="","",IF(F$3=0,"n.b.",INDEX(SRC_Woningetalage!$A$1:$ZZ$501,$A475,F$3)))</f>
        <v/>
      </c>
      <c r="G475" t="str">
        <f>IF($B475="","",IF(G$3=0,"n.b.",INDEX(SRC_Woningetalage!$A$1:$ZZ$501,$A475,G$3)))</f>
        <v/>
      </c>
      <c r="H475" t="str">
        <f>IF($B475="","",IF(H$3=0,"n.b.",INDEX(SRC_Woningetalage!$A$1:$ZZ$501,$A475,H$3)))</f>
        <v/>
      </c>
      <c r="I475" t="str">
        <f>IF($B475="","",IF(I$3=0,"n.b.",INDEX(SRC_Woningetalage!$A$1:$ZZ$501,$A475,I$3)))</f>
        <v/>
      </c>
      <c r="J475" t="str">
        <f>IF($B475="","",IF(J$3=0,"n.b.",INDEX(SRC_Woningetalage!$A$1:$ZZ$501,$A475,J$3)))</f>
        <v/>
      </c>
      <c r="K475" t="str">
        <f>IF($B475="","",IF(K$3=0,"n.b.",INDEX(SRC_Woningetalage!$A$1:$ZZ$501,$A475,K$3)))</f>
        <v/>
      </c>
      <c r="L475" t="str">
        <f>IF($B475="","",IF(L$3=0,"n.b.",INDEX(SRC_Woningetalage!$A$1:$ZZ$501,$A475,L$3)))</f>
        <v/>
      </c>
      <c r="M475" t="str">
        <f>IF($B475="","",IF(M$3=0,"n.b.",INDEX(SRC_Woningetalage!$A$1:$ZZ$501,$A475,M$3)))</f>
        <v/>
      </c>
      <c r="N475" t="str">
        <f>IF($B475="","",IF(N$3=0,"n.b.",INDEX(SRC_Woningetalage!$A$1:$ZZ$501,$A475,N$3)))</f>
        <v/>
      </c>
      <c r="O475" t="str">
        <f>IF($B475="","",IF(O$3=0,"n.b.",INDEX(SRC_Woningetalage!$A$1:$ZZ$501,$A475,O$3)))</f>
        <v/>
      </c>
      <c r="P475" t="str">
        <f>IF($B475="","",IF(P$3=0,"n.b.",INDEX(SRC_Woningetalage!$A$1:$ZZ$501,$A475,P$3)))</f>
        <v/>
      </c>
      <c r="Q475" s="124" t="str">
        <f>IF($B475="","",IF(Q$3=0,"n.b.",INDEX(SRC_Woningetalage!$A$1:$ZZ$501,$A475,Q$3)))</f>
        <v/>
      </c>
      <c r="R475" s="124" t="str">
        <f>IF($B475="","",IF(R$3=0,"n.b.",INDEX(SRC_Woningetalage!$A$1:$ZZ$501,$A475,R$3)))</f>
        <v/>
      </c>
      <c r="S475" s="124" t="str">
        <f>IF($B475="","",IF(S$3=0,"n.b.",INDEX(SRC_Woningetalage!$A$1:$ZZ$501,$A475,S$3)))</f>
        <v/>
      </c>
      <c r="T475" s="124" t="str">
        <f>IF($B475="","",IF(T$3=0,"n.b.",INDEX(SRC_Woningetalage!$A$1:$ZZ$501,$A475,T$3)))</f>
        <v/>
      </c>
      <c r="U475" s="124" t="str">
        <f>IF($B475="","",IF(U$3=0,"n.b.",INDEX(SRC_Woningetalage!$A$1:$ZZ$501,$A475,U$3)))</f>
        <v/>
      </c>
      <c r="V475" s="124" t="str">
        <f>IF($B475="","",IF(V$3=0,"n.b.",INDEX(SRC_Woningetalage!$A$1:$ZZ$501,$A475,V$3)))</f>
        <v/>
      </c>
      <c r="W475" s="124" t="str">
        <f>IF($B475="","",IF(W$3=0,"n.b.",INDEX(SRC_Woningetalage!$A$1:$ZZ$501,$A475,W$3)))</f>
        <v/>
      </c>
      <c r="X475" s="124" t="str">
        <f>IF($B475="","",IF(X$3=0,"n.b.",INDEX(SRC_Woningetalage!$A$1:$ZZ$501,$A475,X$3)))</f>
        <v/>
      </c>
      <c r="Y475" s="124" t="str">
        <f>IF($B475="","",IF(Y$3=0,"n.b.",INDEX(SRC_Woningetalage!$A$1:$ZZ$501,$A475,Y$3)))</f>
        <v/>
      </c>
      <c r="Z475" s="124" t="str">
        <f>IF($B475="","",IF(Z$3=0,"n.b.",INDEX(SRC_Woningetalage!$A$1:$ZZ$501,$A475,Z$3)))</f>
        <v/>
      </c>
      <c r="AA475" s="124" t="str">
        <f>IF($B475="","",IF(AA$3=0,"n.b.",INDEX(SRC_Woningetalage!$A$1:$ZZ$501,$A475,AA$3)))</f>
        <v/>
      </c>
      <c r="AB475" s="124" t="str">
        <f>IF($B475="","",IF(AB$3=0,"n.b.",INDEX(SRC_Woningetalage!$A$1:$ZZ$501,$A475,AB$3)))</f>
        <v/>
      </c>
      <c r="AC475" s="124" t="str">
        <f>IF($B475="","",IF(AC$3=0,"n.b.",INDEX(SRC_Woningetalage!$A$1:$ZZ$501,$A475,AC$3)))</f>
        <v/>
      </c>
      <c r="AD475" s="124" t="str">
        <f>IF($B475="","",IF(AD$3=0,"n.b.",INDEX(SRC_Woningetalage!$A$1:$ZZ$501,$A475,AD$3)))</f>
        <v/>
      </c>
      <c r="AE475" s="124" t="str">
        <f>IF($B475="","",IF(AE$3=0,"n.b.",INDEX(SRC_Woningetalage!$A$1:$ZZ$501,$A475,AE$3)))</f>
        <v/>
      </c>
      <c r="AF475" s="124" t="str">
        <f>IF($B475="","",IF(AF$3=0,"n.b.",INDEX(SRC_Woningetalage!$A$1:$ZZ$501,$A475,AF$3)))</f>
        <v/>
      </c>
      <c r="AG475" s="124" t="str">
        <f>IF($B475="","",IF(AG$3=0,"n.b.",INDEX(SRC_Woningetalage!$A$1:$ZZ$501,$A475,AG$3)))</f>
        <v/>
      </c>
      <c r="AH475" s="124" t="str">
        <f>IF($B475="","",IF(AH$3=0,"n.b.",INDEX(SRC_Woningetalage!$A$1:$ZZ$501,$A475,AH$3)))</f>
        <v/>
      </c>
      <c r="AI475" s="124" t="str">
        <f>IF($B475="","",IF(AI$3=0,"n.b.",INDEX(SRC_Woningetalage!$A$1:$ZZ$501,$A475,AI$3)))</f>
        <v/>
      </c>
      <c r="AJ475" s="124" t="str">
        <f>IF($B475="","",IF(AJ$3=0,"n.b.",INDEX(SRC_Woningetalage!$A$1:$ZZ$501,$A475,AJ$3)))</f>
        <v/>
      </c>
      <c r="AK475" s="124" t="str">
        <f>IF($B475="","",IF(AK$3=0,"n.b.",INDEX(SRC_Woningetalage!$A$1:$ZZ$501,$A475,AK$3)))</f>
        <v/>
      </c>
      <c r="AL475" s="124" t="str">
        <f>IF($B475="","",IF(AL$3=0,"n.b.",INDEX(SRC_Woningetalage!$A$1:$ZZ$501,$A475,AL$3)))</f>
        <v/>
      </c>
      <c r="AM475" s="124" t="str">
        <f>IF($B475="","",IF(AM$3=0,"n.b.",INDEX(SRC_Woningetalage!$A$1:$ZZ$501,$A475,AM$3)))</f>
        <v/>
      </c>
      <c r="AN475" s="124" t="str">
        <f>IF($B475="","",IF(AN$3=0,"n.b.",INDEX(SRC_Woningetalage!$A$1:$ZZ$501,$A475,AN$3)))</f>
        <v/>
      </c>
      <c r="AO475" s="124" t="str">
        <f>IF($B475="","",IF(AO$3=0,"n.b.",INDEX(SRC_Woningetalage!$A$1:$ZZ$501,$A475,AO$3)))</f>
        <v/>
      </c>
      <c r="AP475" s="124" t="str">
        <f>IF($B475="","",IF(AP$3=0,"n.b.",INDEX(SRC_Woningetalage!$A$1:$ZZ$501,$A475,AP$3)))</f>
        <v/>
      </c>
      <c r="AQ475" s="124" t="str">
        <f>IF($B475="","",IF(AQ$3=0,"n.b.",INDEX(SRC_Woningetalage!$A$1:$ZZ$501,$A475,AQ$3)))</f>
        <v/>
      </c>
      <c r="AR475" s="124" t="str">
        <f>IF($B475="","",IF(AR$3=0,"n.b.",INDEX(SRC_Woningetalage!$A$1:$ZZ$501,$A475,AR$3)))</f>
        <v/>
      </c>
      <c r="AS475" s="124" t="str">
        <f>IF($B475="","",IF(AS$3=0,"n.b.",INDEX(SRC_Woningetalage!$A$1:$ZZ$501,$A475,AS$3)))</f>
        <v/>
      </c>
      <c r="AT475" s="124" t="str">
        <f>IF($B475="","",IF(AT$3=0,"n.b.",INDEX(SRC_Woningetalage!$A$1:$ZZ$501,$A475,AT$3)))</f>
        <v/>
      </c>
      <c r="AU475" s="124" t="str">
        <f>IF($B475="","",IF(AU$3=0,"n.b.",INDEX(SRC_Woningetalage!$A$1:$ZZ$501,$A475,AU$3)))</f>
        <v/>
      </c>
      <c r="AV475" s="124" t="str">
        <f>IF($B475="","",IF(AV$3=0,"n.b.",INDEX(SRC_Woningetalage!$A$1:$ZZ$501,$A475,AV$3)))</f>
        <v/>
      </c>
      <c r="AW475" s="124" t="str">
        <f>IF($B475="","",IF(AW$3=0,"n.b.",INDEX(SRC_Woningetalage!$A$1:$ZZ$501,$A475,AW$3)))</f>
        <v/>
      </c>
      <c r="AX475" s="124" t="str">
        <f>IF($B475="","",IF(AX$3=0,"n.b.",INDEX(SRC_Woningetalage!$A$1:$ZZ$501,$A475,AX$3)))</f>
        <v/>
      </c>
      <c r="AY475" s="124" t="str">
        <f>IF($B475="","",IF(AY$3=0,"n.b.",INDEX(SRC_Woningetalage!$A$1:$ZZ$501,$A475,AY$3)))</f>
        <v/>
      </c>
      <c r="AZ475" s="124" t="str">
        <f>IF($B475="","",IF(AZ$3=0,"n.b.",INDEX(SRC_Woningetalage!$A$1:$ZZ$501,$A475,AZ$3)))</f>
        <v/>
      </c>
      <c r="BA475" s="124" t="str">
        <f>IF($B475="","",IF(BA$3=0,"n.b.",INDEX(SRC_Woningetalage!$A$1:$ZZ$501,$A475,BA$3)))</f>
        <v/>
      </c>
      <c r="BB475" s="124" t="str">
        <f>IF($B475="","",IF(BB$3=0,"n.b.",INDEX(SRC_Woningetalage!$A$1:$ZZ$501,$A475,BB$3)))</f>
        <v/>
      </c>
      <c r="BC475" s="124" t="str">
        <f>IF($B475="","",IFERROR(_xlfn.NUMBERVALUE(E475&amp;"",",","."),"n.b."))</f>
        <v/>
      </c>
      <c r="BD475" s="124" t="str">
        <f>IF($B475="","",IFERROR(_xlfn.NUMBERVALUE(M475&amp;"",",","."),"n.b."))</f>
        <v/>
      </c>
      <c r="BE475" s="124" t="str">
        <f>IF($B475="","",IFERROR(AB475+AC475+AD475,"n.b."))</f>
        <v/>
      </c>
      <c r="BF475" s="124" t="str">
        <f>IF($B475="","",IFERROR(AE475+AF475+AG475,"n.b."))</f>
        <v/>
      </c>
      <c r="BG475" s="124" t="str">
        <f>IF($B475="","",IFERROR(AH475+AI475+AJ475,"n.b."))</f>
        <v/>
      </c>
      <c r="BH475" s="124" t="str">
        <f>IF($B475="","",IFERROR(AK475+AL475+AM475,"n.b."))</f>
        <v/>
      </c>
      <c r="BI475" s="124" t="str">
        <f>IF($B475="","",IFERROR(SUMIF($AB$5:$AM$5,"&lt;="&amp;P_PeilMaand,AB475:AM475),"n.b."))</f>
        <v/>
      </c>
      <c r="BJ475" s="124" t="str">
        <f>IF($B475="","",IFERROR(SUM(AB475:AM475)-BI475,"n.b."))</f>
        <v/>
      </c>
      <c r="BK475" s="124" t="str">
        <f>IF($B475="","",IFERROR(IF(ABS(Q475-(T475+SUM(AB475:AM475)+AS475+AU475))&gt;P_Tol,1,0),1))</f>
        <v/>
      </c>
      <c r="BL475" s="124" t="str">
        <f>IF($B475="","",IFERROR(IF(ABS(AA475-(Q475-Z475))&gt;P_Tol,1,0),1))</f>
        <v/>
      </c>
      <c r="BM475" s="124" t="str">
        <f>IF($B475="","",IFERROR(IF(ABS(Z475-(T475+W475))&gt;P_Tol,1,0),1))</f>
        <v/>
      </c>
      <c r="BN475" s="124" t="str">
        <f>IF($B475="","",IFERROR(IF(ABS(W475-BI475)&gt;P_Tol,1,0),1))</f>
        <v/>
      </c>
      <c r="BO475" s="124" t="str">
        <f>IF($B475="","",IFERROR(IF(OR(ABS(R475+S475-T475)&gt;P_Tol,ABS(U475+V475-W475)&gt;P_Tol,ABS(X475+Y475-Z475)&gt;P_Tol),1,0),1))</f>
        <v/>
      </c>
      <c r="BP475" s="124" t="str">
        <f>IF($B475="","",IFERROR(IF(OR(ABS(AR475-SUM(AB475:AM475))&gt;P_Tol,ABS(AS475-(AN475+AO475+AP475+AQ475))&gt;P_Tol),1,0),1))</f>
        <v/>
      </c>
      <c r="BQ475" s="124" t="str">
        <f>IF($B475="","",IFERROR(IF(ABS(AT475)+ABS(AV475)+ABS(AW475)+ABS(AX475)+ABS(AY475)+ABS(AZ475)+ABS(BA475)+ABS(BB475)&gt;0,1,0),1))</f>
        <v/>
      </c>
      <c r="BR475" s="124" t="str">
        <f>IF($B475="","",COUNTIF(STG_ZPMW03!$B$6:$B$505,B475))</f>
        <v/>
      </c>
      <c r="BS475" s="124" t="str">
        <f>IF($B475="","",COUNTIF($B$6:$B$505,B475))</f>
        <v/>
      </c>
      <c r="BT475" s="124" t="str">
        <f>IF($B475="","",IF(BR475=0,0,IF(INDEX(STG_ZPMW03!$I$6:$I$505,MATCH(B475,STG_ZPMW03!$B$6:$B$505,0))=J475&amp;"",0,1)))</f>
        <v/>
      </c>
      <c r="BU475" s="124" t="str">
        <f>IF($B475="","",IFERROR(IF(ABS(INDEX(Mapping!$D$5:$D$104,MATCH(B475,Mapping!$A$5:$A$104,0))-Q475)&gt;P_Tol,1,0),0))</f>
        <v/>
      </c>
      <c r="BV475" s="124" t="str">
        <f>IF($B475="","",IFERROR(IF(AND(INDEX(Mapping!$G$5:$G$104,MATCH(B475,Mapping!$A$5:$A$104,0))="Nee",ABS(Q475)+ABS(Z475)+ABS(AR475)&gt;0),1,0),0))</f>
        <v/>
      </c>
      <c r="BW475" s="124" t="str">
        <f>IF($B475="","",IF(COUNTIF(Mapping!$A$5:$A$104,B475)&gt;0,1,0))</f>
        <v/>
      </c>
      <c r="BX475" s="124" t="str">
        <f>IF($B475="","",IF(BR475=0,COUNTIF($BR$6:BR475,0),""))</f>
        <v/>
      </c>
    </row>
    <row r="476">
      <c r="A476" s="15" t="n">
        <v>472</v>
      </c>
      <c r="B476" t="str">
        <f>IF(B$3=0,"",IF(INDEX(SRC_Woningetalage!$A$1:$ZZ$501,$A476,B$3)&amp;""="","",INDEX(SRC_Woningetalage!$A$1:$ZZ$501,$A476,B$3)&amp;""))</f>
        <v/>
      </c>
      <c r="C476" t="str">
        <f>IF($B476="","",IF(C$3=0,"n.b.",INDEX(SRC_Woningetalage!$A$1:$ZZ$501,$A476,C$3)))</f>
        <v/>
      </c>
      <c r="D476" t="str">
        <f>IF($B476="","",IF(D$3=0,"n.b.",INDEX(SRC_Woningetalage!$A$1:$ZZ$501,$A476,D$3)))</f>
        <v/>
      </c>
      <c r="E476" t="str">
        <f>IF($B476="","",IF(E$3=0,"n.b.",INDEX(SRC_Woningetalage!$A$1:$ZZ$501,$A476,E$3)))</f>
        <v/>
      </c>
      <c r="F476" t="str">
        <f>IF($B476="","",IF(F$3=0,"n.b.",INDEX(SRC_Woningetalage!$A$1:$ZZ$501,$A476,F$3)))</f>
        <v/>
      </c>
      <c r="G476" t="str">
        <f>IF($B476="","",IF(G$3=0,"n.b.",INDEX(SRC_Woningetalage!$A$1:$ZZ$501,$A476,G$3)))</f>
        <v/>
      </c>
      <c r="H476" t="str">
        <f>IF($B476="","",IF(H$3=0,"n.b.",INDEX(SRC_Woningetalage!$A$1:$ZZ$501,$A476,H$3)))</f>
        <v/>
      </c>
      <c r="I476" t="str">
        <f>IF($B476="","",IF(I$3=0,"n.b.",INDEX(SRC_Woningetalage!$A$1:$ZZ$501,$A476,I$3)))</f>
        <v/>
      </c>
      <c r="J476" t="str">
        <f>IF($B476="","",IF(J$3=0,"n.b.",INDEX(SRC_Woningetalage!$A$1:$ZZ$501,$A476,J$3)))</f>
        <v/>
      </c>
      <c r="K476" t="str">
        <f>IF($B476="","",IF(K$3=0,"n.b.",INDEX(SRC_Woningetalage!$A$1:$ZZ$501,$A476,K$3)))</f>
        <v/>
      </c>
      <c r="L476" t="str">
        <f>IF($B476="","",IF(L$3=0,"n.b.",INDEX(SRC_Woningetalage!$A$1:$ZZ$501,$A476,L$3)))</f>
        <v/>
      </c>
      <c r="M476" t="str">
        <f>IF($B476="","",IF(M$3=0,"n.b.",INDEX(SRC_Woningetalage!$A$1:$ZZ$501,$A476,M$3)))</f>
        <v/>
      </c>
      <c r="N476" t="str">
        <f>IF($B476="","",IF(N$3=0,"n.b.",INDEX(SRC_Woningetalage!$A$1:$ZZ$501,$A476,N$3)))</f>
        <v/>
      </c>
      <c r="O476" t="str">
        <f>IF($B476="","",IF(O$3=0,"n.b.",INDEX(SRC_Woningetalage!$A$1:$ZZ$501,$A476,O$3)))</f>
        <v/>
      </c>
      <c r="P476" t="str">
        <f>IF($B476="","",IF(P$3=0,"n.b.",INDEX(SRC_Woningetalage!$A$1:$ZZ$501,$A476,P$3)))</f>
        <v/>
      </c>
      <c r="Q476" s="124" t="str">
        <f>IF($B476="","",IF(Q$3=0,"n.b.",INDEX(SRC_Woningetalage!$A$1:$ZZ$501,$A476,Q$3)))</f>
        <v/>
      </c>
      <c r="R476" s="124" t="str">
        <f>IF($B476="","",IF(R$3=0,"n.b.",INDEX(SRC_Woningetalage!$A$1:$ZZ$501,$A476,R$3)))</f>
        <v/>
      </c>
      <c r="S476" s="124" t="str">
        <f>IF($B476="","",IF(S$3=0,"n.b.",INDEX(SRC_Woningetalage!$A$1:$ZZ$501,$A476,S$3)))</f>
        <v/>
      </c>
      <c r="T476" s="124" t="str">
        <f>IF($B476="","",IF(T$3=0,"n.b.",INDEX(SRC_Woningetalage!$A$1:$ZZ$501,$A476,T$3)))</f>
        <v/>
      </c>
      <c r="U476" s="124" t="str">
        <f>IF($B476="","",IF(U$3=0,"n.b.",INDEX(SRC_Woningetalage!$A$1:$ZZ$501,$A476,U$3)))</f>
        <v/>
      </c>
      <c r="V476" s="124" t="str">
        <f>IF($B476="","",IF(V$3=0,"n.b.",INDEX(SRC_Woningetalage!$A$1:$ZZ$501,$A476,V$3)))</f>
        <v/>
      </c>
      <c r="W476" s="124" t="str">
        <f>IF($B476="","",IF(W$3=0,"n.b.",INDEX(SRC_Woningetalage!$A$1:$ZZ$501,$A476,W$3)))</f>
        <v/>
      </c>
      <c r="X476" s="124" t="str">
        <f>IF($B476="","",IF(X$3=0,"n.b.",INDEX(SRC_Woningetalage!$A$1:$ZZ$501,$A476,X$3)))</f>
        <v/>
      </c>
      <c r="Y476" s="124" t="str">
        <f>IF($B476="","",IF(Y$3=0,"n.b.",INDEX(SRC_Woningetalage!$A$1:$ZZ$501,$A476,Y$3)))</f>
        <v/>
      </c>
      <c r="Z476" s="124" t="str">
        <f>IF($B476="","",IF(Z$3=0,"n.b.",INDEX(SRC_Woningetalage!$A$1:$ZZ$501,$A476,Z$3)))</f>
        <v/>
      </c>
      <c r="AA476" s="124" t="str">
        <f>IF($B476="","",IF(AA$3=0,"n.b.",INDEX(SRC_Woningetalage!$A$1:$ZZ$501,$A476,AA$3)))</f>
        <v/>
      </c>
      <c r="AB476" s="124" t="str">
        <f>IF($B476="","",IF(AB$3=0,"n.b.",INDEX(SRC_Woningetalage!$A$1:$ZZ$501,$A476,AB$3)))</f>
        <v/>
      </c>
      <c r="AC476" s="124" t="str">
        <f>IF($B476="","",IF(AC$3=0,"n.b.",INDEX(SRC_Woningetalage!$A$1:$ZZ$501,$A476,AC$3)))</f>
        <v/>
      </c>
      <c r="AD476" s="124" t="str">
        <f>IF($B476="","",IF(AD$3=0,"n.b.",INDEX(SRC_Woningetalage!$A$1:$ZZ$501,$A476,AD$3)))</f>
        <v/>
      </c>
      <c r="AE476" s="124" t="str">
        <f>IF($B476="","",IF(AE$3=0,"n.b.",INDEX(SRC_Woningetalage!$A$1:$ZZ$501,$A476,AE$3)))</f>
        <v/>
      </c>
      <c r="AF476" s="124" t="str">
        <f>IF($B476="","",IF(AF$3=0,"n.b.",INDEX(SRC_Woningetalage!$A$1:$ZZ$501,$A476,AF$3)))</f>
        <v/>
      </c>
      <c r="AG476" s="124" t="str">
        <f>IF($B476="","",IF(AG$3=0,"n.b.",INDEX(SRC_Woningetalage!$A$1:$ZZ$501,$A476,AG$3)))</f>
        <v/>
      </c>
      <c r="AH476" s="124" t="str">
        <f>IF($B476="","",IF(AH$3=0,"n.b.",INDEX(SRC_Woningetalage!$A$1:$ZZ$501,$A476,AH$3)))</f>
        <v/>
      </c>
      <c r="AI476" s="124" t="str">
        <f>IF($B476="","",IF(AI$3=0,"n.b.",INDEX(SRC_Woningetalage!$A$1:$ZZ$501,$A476,AI$3)))</f>
        <v/>
      </c>
      <c r="AJ476" s="124" t="str">
        <f>IF($B476="","",IF(AJ$3=0,"n.b.",INDEX(SRC_Woningetalage!$A$1:$ZZ$501,$A476,AJ$3)))</f>
        <v/>
      </c>
      <c r="AK476" s="124" t="str">
        <f>IF($B476="","",IF(AK$3=0,"n.b.",INDEX(SRC_Woningetalage!$A$1:$ZZ$501,$A476,AK$3)))</f>
        <v/>
      </c>
      <c r="AL476" s="124" t="str">
        <f>IF($B476="","",IF(AL$3=0,"n.b.",INDEX(SRC_Woningetalage!$A$1:$ZZ$501,$A476,AL$3)))</f>
        <v/>
      </c>
      <c r="AM476" s="124" t="str">
        <f>IF($B476="","",IF(AM$3=0,"n.b.",INDEX(SRC_Woningetalage!$A$1:$ZZ$501,$A476,AM$3)))</f>
        <v/>
      </c>
      <c r="AN476" s="124" t="str">
        <f>IF($B476="","",IF(AN$3=0,"n.b.",INDEX(SRC_Woningetalage!$A$1:$ZZ$501,$A476,AN$3)))</f>
        <v/>
      </c>
      <c r="AO476" s="124" t="str">
        <f>IF($B476="","",IF(AO$3=0,"n.b.",INDEX(SRC_Woningetalage!$A$1:$ZZ$501,$A476,AO$3)))</f>
        <v/>
      </c>
      <c r="AP476" s="124" t="str">
        <f>IF($B476="","",IF(AP$3=0,"n.b.",INDEX(SRC_Woningetalage!$A$1:$ZZ$501,$A476,AP$3)))</f>
        <v/>
      </c>
      <c r="AQ476" s="124" t="str">
        <f>IF($B476="","",IF(AQ$3=0,"n.b.",INDEX(SRC_Woningetalage!$A$1:$ZZ$501,$A476,AQ$3)))</f>
        <v/>
      </c>
      <c r="AR476" s="124" t="str">
        <f>IF($B476="","",IF(AR$3=0,"n.b.",INDEX(SRC_Woningetalage!$A$1:$ZZ$501,$A476,AR$3)))</f>
        <v/>
      </c>
      <c r="AS476" s="124" t="str">
        <f>IF($B476="","",IF(AS$3=0,"n.b.",INDEX(SRC_Woningetalage!$A$1:$ZZ$501,$A476,AS$3)))</f>
        <v/>
      </c>
      <c r="AT476" s="124" t="str">
        <f>IF($B476="","",IF(AT$3=0,"n.b.",INDEX(SRC_Woningetalage!$A$1:$ZZ$501,$A476,AT$3)))</f>
        <v/>
      </c>
      <c r="AU476" s="124" t="str">
        <f>IF($B476="","",IF(AU$3=0,"n.b.",INDEX(SRC_Woningetalage!$A$1:$ZZ$501,$A476,AU$3)))</f>
        <v/>
      </c>
      <c r="AV476" s="124" t="str">
        <f>IF($B476="","",IF(AV$3=0,"n.b.",INDEX(SRC_Woningetalage!$A$1:$ZZ$501,$A476,AV$3)))</f>
        <v/>
      </c>
      <c r="AW476" s="124" t="str">
        <f>IF($B476="","",IF(AW$3=0,"n.b.",INDEX(SRC_Woningetalage!$A$1:$ZZ$501,$A476,AW$3)))</f>
        <v/>
      </c>
      <c r="AX476" s="124" t="str">
        <f>IF($B476="","",IF(AX$3=0,"n.b.",INDEX(SRC_Woningetalage!$A$1:$ZZ$501,$A476,AX$3)))</f>
        <v/>
      </c>
      <c r="AY476" s="124" t="str">
        <f>IF($B476="","",IF(AY$3=0,"n.b.",INDEX(SRC_Woningetalage!$A$1:$ZZ$501,$A476,AY$3)))</f>
        <v/>
      </c>
      <c r="AZ476" s="124" t="str">
        <f>IF($B476="","",IF(AZ$3=0,"n.b.",INDEX(SRC_Woningetalage!$A$1:$ZZ$501,$A476,AZ$3)))</f>
        <v/>
      </c>
      <c r="BA476" s="124" t="str">
        <f>IF($B476="","",IF(BA$3=0,"n.b.",INDEX(SRC_Woningetalage!$A$1:$ZZ$501,$A476,BA$3)))</f>
        <v/>
      </c>
      <c r="BB476" s="124" t="str">
        <f>IF($B476="","",IF(BB$3=0,"n.b.",INDEX(SRC_Woningetalage!$A$1:$ZZ$501,$A476,BB$3)))</f>
        <v/>
      </c>
      <c r="BC476" s="124" t="str">
        <f>IF($B476="","",IFERROR(_xlfn.NUMBERVALUE(E476&amp;"",",","."),"n.b."))</f>
        <v/>
      </c>
      <c r="BD476" s="124" t="str">
        <f>IF($B476="","",IFERROR(_xlfn.NUMBERVALUE(M476&amp;"",",","."),"n.b."))</f>
        <v/>
      </c>
      <c r="BE476" s="124" t="str">
        <f>IF($B476="","",IFERROR(AB476+AC476+AD476,"n.b."))</f>
        <v/>
      </c>
      <c r="BF476" s="124" t="str">
        <f>IF($B476="","",IFERROR(AE476+AF476+AG476,"n.b."))</f>
        <v/>
      </c>
      <c r="BG476" s="124" t="str">
        <f>IF($B476="","",IFERROR(AH476+AI476+AJ476,"n.b."))</f>
        <v/>
      </c>
      <c r="BH476" s="124" t="str">
        <f>IF($B476="","",IFERROR(AK476+AL476+AM476,"n.b."))</f>
        <v/>
      </c>
      <c r="BI476" s="124" t="str">
        <f>IF($B476="","",IFERROR(SUMIF($AB$5:$AM$5,"&lt;="&amp;P_PeilMaand,AB476:AM476),"n.b."))</f>
        <v/>
      </c>
      <c r="BJ476" s="124" t="str">
        <f>IF($B476="","",IFERROR(SUM(AB476:AM476)-BI476,"n.b."))</f>
        <v/>
      </c>
      <c r="BK476" s="124" t="str">
        <f>IF($B476="","",IFERROR(IF(ABS(Q476-(T476+SUM(AB476:AM476)+AS476+AU476))&gt;P_Tol,1,0),1))</f>
        <v/>
      </c>
      <c r="BL476" s="124" t="str">
        <f>IF($B476="","",IFERROR(IF(ABS(AA476-(Q476-Z476))&gt;P_Tol,1,0),1))</f>
        <v/>
      </c>
      <c r="BM476" s="124" t="str">
        <f>IF($B476="","",IFERROR(IF(ABS(Z476-(T476+W476))&gt;P_Tol,1,0),1))</f>
        <v/>
      </c>
      <c r="BN476" s="124" t="str">
        <f>IF($B476="","",IFERROR(IF(ABS(W476-BI476)&gt;P_Tol,1,0),1))</f>
        <v/>
      </c>
      <c r="BO476" s="124" t="str">
        <f>IF($B476="","",IFERROR(IF(OR(ABS(R476+S476-T476)&gt;P_Tol,ABS(U476+V476-W476)&gt;P_Tol,ABS(X476+Y476-Z476)&gt;P_Tol),1,0),1))</f>
        <v/>
      </c>
      <c r="BP476" s="124" t="str">
        <f>IF($B476="","",IFERROR(IF(OR(ABS(AR476-SUM(AB476:AM476))&gt;P_Tol,ABS(AS476-(AN476+AO476+AP476+AQ476))&gt;P_Tol),1,0),1))</f>
        <v/>
      </c>
      <c r="BQ476" s="124" t="str">
        <f>IF($B476="","",IFERROR(IF(ABS(AT476)+ABS(AV476)+ABS(AW476)+ABS(AX476)+ABS(AY476)+ABS(AZ476)+ABS(BA476)+ABS(BB476)&gt;0,1,0),1))</f>
        <v/>
      </c>
      <c r="BR476" s="124" t="str">
        <f>IF($B476="","",COUNTIF(STG_ZPMW03!$B$6:$B$505,B476))</f>
        <v/>
      </c>
      <c r="BS476" s="124" t="str">
        <f>IF($B476="","",COUNTIF($B$6:$B$505,B476))</f>
        <v/>
      </c>
      <c r="BT476" s="124" t="str">
        <f>IF($B476="","",IF(BR476=0,0,IF(INDEX(STG_ZPMW03!$I$6:$I$505,MATCH(B476,STG_ZPMW03!$B$6:$B$505,0))=J476&amp;"",0,1)))</f>
        <v/>
      </c>
      <c r="BU476" s="124" t="str">
        <f>IF($B476="","",IFERROR(IF(ABS(INDEX(Mapping!$D$5:$D$104,MATCH(B476,Mapping!$A$5:$A$104,0))-Q476)&gt;P_Tol,1,0),0))</f>
        <v/>
      </c>
      <c r="BV476" s="124" t="str">
        <f>IF($B476="","",IFERROR(IF(AND(INDEX(Mapping!$G$5:$G$104,MATCH(B476,Mapping!$A$5:$A$104,0))="Nee",ABS(Q476)+ABS(Z476)+ABS(AR476)&gt;0),1,0),0))</f>
        <v/>
      </c>
      <c r="BW476" s="124" t="str">
        <f>IF($B476="","",IF(COUNTIF(Mapping!$A$5:$A$104,B476)&gt;0,1,0))</f>
        <v/>
      </c>
      <c r="BX476" s="124" t="str">
        <f>IF($B476="","",IF(BR476=0,COUNTIF($BR$6:BR476,0),""))</f>
        <v/>
      </c>
    </row>
    <row r="477">
      <c r="A477" s="15" t="n">
        <v>473</v>
      </c>
      <c r="B477" t="str">
        <f>IF(B$3=0,"",IF(INDEX(SRC_Woningetalage!$A$1:$ZZ$501,$A477,B$3)&amp;""="","",INDEX(SRC_Woningetalage!$A$1:$ZZ$501,$A477,B$3)&amp;""))</f>
        <v/>
      </c>
      <c r="C477" t="str">
        <f>IF($B477="","",IF(C$3=0,"n.b.",INDEX(SRC_Woningetalage!$A$1:$ZZ$501,$A477,C$3)))</f>
        <v/>
      </c>
      <c r="D477" t="str">
        <f>IF($B477="","",IF(D$3=0,"n.b.",INDEX(SRC_Woningetalage!$A$1:$ZZ$501,$A477,D$3)))</f>
        <v/>
      </c>
      <c r="E477" t="str">
        <f>IF($B477="","",IF(E$3=0,"n.b.",INDEX(SRC_Woningetalage!$A$1:$ZZ$501,$A477,E$3)))</f>
        <v/>
      </c>
      <c r="F477" t="str">
        <f>IF($B477="","",IF(F$3=0,"n.b.",INDEX(SRC_Woningetalage!$A$1:$ZZ$501,$A477,F$3)))</f>
        <v/>
      </c>
      <c r="G477" t="str">
        <f>IF($B477="","",IF(G$3=0,"n.b.",INDEX(SRC_Woningetalage!$A$1:$ZZ$501,$A477,G$3)))</f>
        <v/>
      </c>
      <c r="H477" t="str">
        <f>IF($B477="","",IF(H$3=0,"n.b.",INDEX(SRC_Woningetalage!$A$1:$ZZ$501,$A477,H$3)))</f>
        <v/>
      </c>
      <c r="I477" t="str">
        <f>IF($B477="","",IF(I$3=0,"n.b.",INDEX(SRC_Woningetalage!$A$1:$ZZ$501,$A477,I$3)))</f>
        <v/>
      </c>
      <c r="J477" t="str">
        <f>IF($B477="","",IF(J$3=0,"n.b.",INDEX(SRC_Woningetalage!$A$1:$ZZ$501,$A477,J$3)))</f>
        <v/>
      </c>
      <c r="K477" t="str">
        <f>IF($B477="","",IF(K$3=0,"n.b.",INDEX(SRC_Woningetalage!$A$1:$ZZ$501,$A477,K$3)))</f>
        <v/>
      </c>
      <c r="L477" t="str">
        <f>IF($B477="","",IF(L$3=0,"n.b.",INDEX(SRC_Woningetalage!$A$1:$ZZ$501,$A477,L$3)))</f>
        <v/>
      </c>
      <c r="M477" t="str">
        <f>IF($B477="","",IF(M$3=0,"n.b.",INDEX(SRC_Woningetalage!$A$1:$ZZ$501,$A477,M$3)))</f>
        <v/>
      </c>
      <c r="N477" t="str">
        <f>IF($B477="","",IF(N$3=0,"n.b.",INDEX(SRC_Woningetalage!$A$1:$ZZ$501,$A477,N$3)))</f>
        <v/>
      </c>
      <c r="O477" t="str">
        <f>IF($B477="","",IF(O$3=0,"n.b.",INDEX(SRC_Woningetalage!$A$1:$ZZ$501,$A477,O$3)))</f>
        <v/>
      </c>
      <c r="P477" t="str">
        <f>IF($B477="","",IF(P$3=0,"n.b.",INDEX(SRC_Woningetalage!$A$1:$ZZ$501,$A477,P$3)))</f>
        <v/>
      </c>
      <c r="Q477" s="124" t="str">
        <f>IF($B477="","",IF(Q$3=0,"n.b.",INDEX(SRC_Woningetalage!$A$1:$ZZ$501,$A477,Q$3)))</f>
        <v/>
      </c>
      <c r="R477" s="124" t="str">
        <f>IF($B477="","",IF(R$3=0,"n.b.",INDEX(SRC_Woningetalage!$A$1:$ZZ$501,$A477,R$3)))</f>
        <v/>
      </c>
      <c r="S477" s="124" t="str">
        <f>IF($B477="","",IF(S$3=0,"n.b.",INDEX(SRC_Woningetalage!$A$1:$ZZ$501,$A477,S$3)))</f>
        <v/>
      </c>
      <c r="T477" s="124" t="str">
        <f>IF($B477="","",IF(T$3=0,"n.b.",INDEX(SRC_Woningetalage!$A$1:$ZZ$501,$A477,T$3)))</f>
        <v/>
      </c>
      <c r="U477" s="124" t="str">
        <f>IF($B477="","",IF(U$3=0,"n.b.",INDEX(SRC_Woningetalage!$A$1:$ZZ$501,$A477,U$3)))</f>
        <v/>
      </c>
      <c r="V477" s="124" t="str">
        <f>IF($B477="","",IF(V$3=0,"n.b.",INDEX(SRC_Woningetalage!$A$1:$ZZ$501,$A477,V$3)))</f>
        <v/>
      </c>
      <c r="W477" s="124" t="str">
        <f>IF($B477="","",IF(W$3=0,"n.b.",INDEX(SRC_Woningetalage!$A$1:$ZZ$501,$A477,W$3)))</f>
        <v/>
      </c>
      <c r="X477" s="124" t="str">
        <f>IF($B477="","",IF(X$3=0,"n.b.",INDEX(SRC_Woningetalage!$A$1:$ZZ$501,$A477,X$3)))</f>
        <v/>
      </c>
      <c r="Y477" s="124" t="str">
        <f>IF($B477="","",IF(Y$3=0,"n.b.",INDEX(SRC_Woningetalage!$A$1:$ZZ$501,$A477,Y$3)))</f>
        <v/>
      </c>
      <c r="Z477" s="124" t="str">
        <f>IF($B477="","",IF(Z$3=0,"n.b.",INDEX(SRC_Woningetalage!$A$1:$ZZ$501,$A477,Z$3)))</f>
        <v/>
      </c>
      <c r="AA477" s="124" t="str">
        <f>IF($B477="","",IF(AA$3=0,"n.b.",INDEX(SRC_Woningetalage!$A$1:$ZZ$501,$A477,AA$3)))</f>
        <v/>
      </c>
      <c r="AB477" s="124" t="str">
        <f>IF($B477="","",IF(AB$3=0,"n.b.",INDEX(SRC_Woningetalage!$A$1:$ZZ$501,$A477,AB$3)))</f>
        <v/>
      </c>
      <c r="AC477" s="124" t="str">
        <f>IF($B477="","",IF(AC$3=0,"n.b.",INDEX(SRC_Woningetalage!$A$1:$ZZ$501,$A477,AC$3)))</f>
        <v/>
      </c>
      <c r="AD477" s="124" t="str">
        <f>IF($B477="","",IF(AD$3=0,"n.b.",INDEX(SRC_Woningetalage!$A$1:$ZZ$501,$A477,AD$3)))</f>
        <v/>
      </c>
      <c r="AE477" s="124" t="str">
        <f>IF($B477="","",IF(AE$3=0,"n.b.",INDEX(SRC_Woningetalage!$A$1:$ZZ$501,$A477,AE$3)))</f>
        <v/>
      </c>
      <c r="AF477" s="124" t="str">
        <f>IF($B477="","",IF(AF$3=0,"n.b.",INDEX(SRC_Woningetalage!$A$1:$ZZ$501,$A477,AF$3)))</f>
        <v/>
      </c>
      <c r="AG477" s="124" t="str">
        <f>IF($B477="","",IF(AG$3=0,"n.b.",INDEX(SRC_Woningetalage!$A$1:$ZZ$501,$A477,AG$3)))</f>
        <v/>
      </c>
      <c r="AH477" s="124" t="str">
        <f>IF($B477="","",IF(AH$3=0,"n.b.",INDEX(SRC_Woningetalage!$A$1:$ZZ$501,$A477,AH$3)))</f>
        <v/>
      </c>
      <c r="AI477" s="124" t="str">
        <f>IF($B477="","",IF(AI$3=0,"n.b.",INDEX(SRC_Woningetalage!$A$1:$ZZ$501,$A477,AI$3)))</f>
        <v/>
      </c>
      <c r="AJ477" s="124" t="str">
        <f>IF($B477="","",IF(AJ$3=0,"n.b.",INDEX(SRC_Woningetalage!$A$1:$ZZ$501,$A477,AJ$3)))</f>
        <v/>
      </c>
      <c r="AK477" s="124" t="str">
        <f>IF($B477="","",IF(AK$3=0,"n.b.",INDEX(SRC_Woningetalage!$A$1:$ZZ$501,$A477,AK$3)))</f>
        <v/>
      </c>
      <c r="AL477" s="124" t="str">
        <f>IF($B477="","",IF(AL$3=0,"n.b.",INDEX(SRC_Woningetalage!$A$1:$ZZ$501,$A477,AL$3)))</f>
        <v/>
      </c>
      <c r="AM477" s="124" t="str">
        <f>IF($B477="","",IF(AM$3=0,"n.b.",INDEX(SRC_Woningetalage!$A$1:$ZZ$501,$A477,AM$3)))</f>
        <v/>
      </c>
      <c r="AN477" s="124" t="str">
        <f>IF($B477="","",IF(AN$3=0,"n.b.",INDEX(SRC_Woningetalage!$A$1:$ZZ$501,$A477,AN$3)))</f>
        <v/>
      </c>
      <c r="AO477" s="124" t="str">
        <f>IF($B477="","",IF(AO$3=0,"n.b.",INDEX(SRC_Woningetalage!$A$1:$ZZ$501,$A477,AO$3)))</f>
        <v/>
      </c>
      <c r="AP477" s="124" t="str">
        <f>IF($B477="","",IF(AP$3=0,"n.b.",INDEX(SRC_Woningetalage!$A$1:$ZZ$501,$A477,AP$3)))</f>
        <v/>
      </c>
      <c r="AQ477" s="124" t="str">
        <f>IF($B477="","",IF(AQ$3=0,"n.b.",INDEX(SRC_Woningetalage!$A$1:$ZZ$501,$A477,AQ$3)))</f>
        <v/>
      </c>
      <c r="AR477" s="124" t="str">
        <f>IF($B477="","",IF(AR$3=0,"n.b.",INDEX(SRC_Woningetalage!$A$1:$ZZ$501,$A477,AR$3)))</f>
        <v/>
      </c>
      <c r="AS477" s="124" t="str">
        <f>IF($B477="","",IF(AS$3=0,"n.b.",INDEX(SRC_Woningetalage!$A$1:$ZZ$501,$A477,AS$3)))</f>
        <v/>
      </c>
      <c r="AT477" s="124" t="str">
        <f>IF($B477="","",IF(AT$3=0,"n.b.",INDEX(SRC_Woningetalage!$A$1:$ZZ$501,$A477,AT$3)))</f>
        <v/>
      </c>
      <c r="AU477" s="124" t="str">
        <f>IF($B477="","",IF(AU$3=0,"n.b.",INDEX(SRC_Woningetalage!$A$1:$ZZ$501,$A477,AU$3)))</f>
        <v/>
      </c>
      <c r="AV477" s="124" t="str">
        <f>IF($B477="","",IF(AV$3=0,"n.b.",INDEX(SRC_Woningetalage!$A$1:$ZZ$501,$A477,AV$3)))</f>
        <v/>
      </c>
      <c r="AW477" s="124" t="str">
        <f>IF($B477="","",IF(AW$3=0,"n.b.",INDEX(SRC_Woningetalage!$A$1:$ZZ$501,$A477,AW$3)))</f>
        <v/>
      </c>
      <c r="AX477" s="124" t="str">
        <f>IF($B477="","",IF(AX$3=0,"n.b.",INDEX(SRC_Woningetalage!$A$1:$ZZ$501,$A477,AX$3)))</f>
        <v/>
      </c>
      <c r="AY477" s="124" t="str">
        <f>IF($B477="","",IF(AY$3=0,"n.b.",INDEX(SRC_Woningetalage!$A$1:$ZZ$501,$A477,AY$3)))</f>
        <v/>
      </c>
      <c r="AZ477" s="124" t="str">
        <f>IF($B477="","",IF(AZ$3=0,"n.b.",INDEX(SRC_Woningetalage!$A$1:$ZZ$501,$A477,AZ$3)))</f>
        <v/>
      </c>
      <c r="BA477" s="124" t="str">
        <f>IF($B477="","",IF(BA$3=0,"n.b.",INDEX(SRC_Woningetalage!$A$1:$ZZ$501,$A477,BA$3)))</f>
        <v/>
      </c>
      <c r="BB477" s="124" t="str">
        <f>IF($B477="","",IF(BB$3=0,"n.b.",INDEX(SRC_Woningetalage!$A$1:$ZZ$501,$A477,BB$3)))</f>
        <v/>
      </c>
      <c r="BC477" s="124" t="str">
        <f>IF($B477="","",IFERROR(_xlfn.NUMBERVALUE(E477&amp;"",",","."),"n.b."))</f>
        <v/>
      </c>
      <c r="BD477" s="124" t="str">
        <f>IF($B477="","",IFERROR(_xlfn.NUMBERVALUE(M477&amp;"",",","."),"n.b."))</f>
        <v/>
      </c>
      <c r="BE477" s="124" t="str">
        <f>IF($B477="","",IFERROR(AB477+AC477+AD477,"n.b."))</f>
        <v/>
      </c>
      <c r="BF477" s="124" t="str">
        <f>IF($B477="","",IFERROR(AE477+AF477+AG477,"n.b."))</f>
        <v/>
      </c>
      <c r="BG477" s="124" t="str">
        <f>IF($B477="","",IFERROR(AH477+AI477+AJ477,"n.b."))</f>
        <v/>
      </c>
      <c r="BH477" s="124" t="str">
        <f>IF($B477="","",IFERROR(AK477+AL477+AM477,"n.b."))</f>
        <v/>
      </c>
      <c r="BI477" s="124" t="str">
        <f>IF($B477="","",IFERROR(SUMIF($AB$5:$AM$5,"&lt;="&amp;P_PeilMaand,AB477:AM477),"n.b."))</f>
        <v/>
      </c>
      <c r="BJ477" s="124" t="str">
        <f>IF($B477="","",IFERROR(SUM(AB477:AM477)-BI477,"n.b."))</f>
        <v/>
      </c>
      <c r="BK477" s="124" t="str">
        <f>IF($B477="","",IFERROR(IF(ABS(Q477-(T477+SUM(AB477:AM477)+AS477+AU477))&gt;P_Tol,1,0),1))</f>
        <v/>
      </c>
      <c r="BL477" s="124" t="str">
        <f>IF($B477="","",IFERROR(IF(ABS(AA477-(Q477-Z477))&gt;P_Tol,1,0),1))</f>
        <v/>
      </c>
      <c r="BM477" s="124" t="str">
        <f>IF($B477="","",IFERROR(IF(ABS(Z477-(T477+W477))&gt;P_Tol,1,0),1))</f>
        <v/>
      </c>
      <c r="BN477" s="124" t="str">
        <f>IF($B477="","",IFERROR(IF(ABS(W477-BI477)&gt;P_Tol,1,0),1))</f>
        <v/>
      </c>
      <c r="BO477" s="124" t="str">
        <f>IF($B477="","",IFERROR(IF(OR(ABS(R477+S477-T477)&gt;P_Tol,ABS(U477+V477-W477)&gt;P_Tol,ABS(X477+Y477-Z477)&gt;P_Tol),1,0),1))</f>
        <v/>
      </c>
      <c r="BP477" s="124" t="str">
        <f>IF($B477="","",IFERROR(IF(OR(ABS(AR477-SUM(AB477:AM477))&gt;P_Tol,ABS(AS477-(AN477+AO477+AP477+AQ477))&gt;P_Tol),1,0),1))</f>
        <v/>
      </c>
      <c r="BQ477" s="124" t="str">
        <f>IF($B477="","",IFERROR(IF(ABS(AT477)+ABS(AV477)+ABS(AW477)+ABS(AX477)+ABS(AY477)+ABS(AZ477)+ABS(BA477)+ABS(BB477)&gt;0,1,0),1))</f>
        <v/>
      </c>
      <c r="BR477" s="124" t="str">
        <f>IF($B477="","",COUNTIF(STG_ZPMW03!$B$6:$B$505,B477))</f>
        <v/>
      </c>
      <c r="BS477" s="124" t="str">
        <f>IF($B477="","",COUNTIF($B$6:$B$505,B477))</f>
        <v/>
      </c>
      <c r="BT477" s="124" t="str">
        <f>IF($B477="","",IF(BR477=0,0,IF(INDEX(STG_ZPMW03!$I$6:$I$505,MATCH(B477,STG_ZPMW03!$B$6:$B$505,0))=J477&amp;"",0,1)))</f>
        <v/>
      </c>
      <c r="BU477" s="124" t="str">
        <f>IF($B477="","",IFERROR(IF(ABS(INDEX(Mapping!$D$5:$D$104,MATCH(B477,Mapping!$A$5:$A$104,0))-Q477)&gt;P_Tol,1,0),0))</f>
        <v/>
      </c>
      <c r="BV477" s="124" t="str">
        <f>IF($B477="","",IFERROR(IF(AND(INDEX(Mapping!$G$5:$G$104,MATCH(B477,Mapping!$A$5:$A$104,0))="Nee",ABS(Q477)+ABS(Z477)+ABS(AR477)&gt;0),1,0),0))</f>
        <v/>
      </c>
      <c r="BW477" s="124" t="str">
        <f>IF($B477="","",IF(COUNTIF(Mapping!$A$5:$A$104,B477)&gt;0,1,0))</f>
        <v/>
      </c>
      <c r="BX477" s="124" t="str">
        <f>IF($B477="","",IF(BR477=0,COUNTIF($BR$6:BR477,0),""))</f>
        <v/>
      </c>
    </row>
    <row r="478">
      <c r="A478" s="15" t="n">
        <v>474</v>
      </c>
      <c r="B478" t="str">
        <f>IF(B$3=0,"",IF(INDEX(SRC_Woningetalage!$A$1:$ZZ$501,$A478,B$3)&amp;""="","",INDEX(SRC_Woningetalage!$A$1:$ZZ$501,$A478,B$3)&amp;""))</f>
        <v/>
      </c>
      <c r="C478" t="str">
        <f>IF($B478="","",IF(C$3=0,"n.b.",INDEX(SRC_Woningetalage!$A$1:$ZZ$501,$A478,C$3)))</f>
        <v/>
      </c>
      <c r="D478" t="str">
        <f>IF($B478="","",IF(D$3=0,"n.b.",INDEX(SRC_Woningetalage!$A$1:$ZZ$501,$A478,D$3)))</f>
        <v/>
      </c>
      <c r="E478" t="str">
        <f>IF($B478="","",IF(E$3=0,"n.b.",INDEX(SRC_Woningetalage!$A$1:$ZZ$501,$A478,E$3)))</f>
        <v/>
      </c>
      <c r="F478" t="str">
        <f>IF($B478="","",IF(F$3=0,"n.b.",INDEX(SRC_Woningetalage!$A$1:$ZZ$501,$A478,F$3)))</f>
        <v/>
      </c>
      <c r="G478" t="str">
        <f>IF($B478="","",IF(G$3=0,"n.b.",INDEX(SRC_Woningetalage!$A$1:$ZZ$501,$A478,G$3)))</f>
        <v/>
      </c>
      <c r="H478" t="str">
        <f>IF($B478="","",IF(H$3=0,"n.b.",INDEX(SRC_Woningetalage!$A$1:$ZZ$501,$A478,H$3)))</f>
        <v/>
      </c>
      <c r="I478" t="str">
        <f>IF($B478="","",IF(I$3=0,"n.b.",INDEX(SRC_Woningetalage!$A$1:$ZZ$501,$A478,I$3)))</f>
        <v/>
      </c>
      <c r="J478" t="str">
        <f>IF($B478="","",IF(J$3=0,"n.b.",INDEX(SRC_Woningetalage!$A$1:$ZZ$501,$A478,J$3)))</f>
        <v/>
      </c>
      <c r="K478" t="str">
        <f>IF($B478="","",IF(K$3=0,"n.b.",INDEX(SRC_Woningetalage!$A$1:$ZZ$501,$A478,K$3)))</f>
        <v/>
      </c>
      <c r="L478" t="str">
        <f>IF($B478="","",IF(L$3=0,"n.b.",INDEX(SRC_Woningetalage!$A$1:$ZZ$501,$A478,L$3)))</f>
        <v/>
      </c>
      <c r="M478" t="str">
        <f>IF($B478="","",IF(M$3=0,"n.b.",INDEX(SRC_Woningetalage!$A$1:$ZZ$501,$A478,M$3)))</f>
        <v/>
      </c>
      <c r="N478" t="str">
        <f>IF($B478="","",IF(N$3=0,"n.b.",INDEX(SRC_Woningetalage!$A$1:$ZZ$501,$A478,N$3)))</f>
        <v/>
      </c>
      <c r="O478" t="str">
        <f>IF($B478="","",IF(O$3=0,"n.b.",INDEX(SRC_Woningetalage!$A$1:$ZZ$501,$A478,O$3)))</f>
        <v/>
      </c>
      <c r="P478" t="str">
        <f>IF($B478="","",IF(P$3=0,"n.b.",INDEX(SRC_Woningetalage!$A$1:$ZZ$501,$A478,P$3)))</f>
        <v/>
      </c>
      <c r="Q478" s="124" t="str">
        <f>IF($B478="","",IF(Q$3=0,"n.b.",INDEX(SRC_Woningetalage!$A$1:$ZZ$501,$A478,Q$3)))</f>
        <v/>
      </c>
      <c r="R478" s="124" t="str">
        <f>IF($B478="","",IF(R$3=0,"n.b.",INDEX(SRC_Woningetalage!$A$1:$ZZ$501,$A478,R$3)))</f>
        <v/>
      </c>
      <c r="S478" s="124" t="str">
        <f>IF($B478="","",IF(S$3=0,"n.b.",INDEX(SRC_Woningetalage!$A$1:$ZZ$501,$A478,S$3)))</f>
        <v/>
      </c>
      <c r="T478" s="124" t="str">
        <f>IF($B478="","",IF(T$3=0,"n.b.",INDEX(SRC_Woningetalage!$A$1:$ZZ$501,$A478,T$3)))</f>
        <v/>
      </c>
      <c r="U478" s="124" t="str">
        <f>IF($B478="","",IF(U$3=0,"n.b.",INDEX(SRC_Woningetalage!$A$1:$ZZ$501,$A478,U$3)))</f>
        <v/>
      </c>
      <c r="V478" s="124" t="str">
        <f>IF($B478="","",IF(V$3=0,"n.b.",INDEX(SRC_Woningetalage!$A$1:$ZZ$501,$A478,V$3)))</f>
        <v/>
      </c>
      <c r="W478" s="124" t="str">
        <f>IF($B478="","",IF(W$3=0,"n.b.",INDEX(SRC_Woningetalage!$A$1:$ZZ$501,$A478,W$3)))</f>
        <v/>
      </c>
      <c r="X478" s="124" t="str">
        <f>IF($B478="","",IF(X$3=0,"n.b.",INDEX(SRC_Woningetalage!$A$1:$ZZ$501,$A478,X$3)))</f>
        <v/>
      </c>
      <c r="Y478" s="124" t="str">
        <f>IF($B478="","",IF(Y$3=0,"n.b.",INDEX(SRC_Woningetalage!$A$1:$ZZ$501,$A478,Y$3)))</f>
        <v/>
      </c>
      <c r="Z478" s="124" t="str">
        <f>IF($B478="","",IF(Z$3=0,"n.b.",INDEX(SRC_Woningetalage!$A$1:$ZZ$501,$A478,Z$3)))</f>
        <v/>
      </c>
      <c r="AA478" s="124" t="str">
        <f>IF($B478="","",IF(AA$3=0,"n.b.",INDEX(SRC_Woningetalage!$A$1:$ZZ$501,$A478,AA$3)))</f>
        <v/>
      </c>
      <c r="AB478" s="124" t="str">
        <f>IF($B478="","",IF(AB$3=0,"n.b.",INDEX(SRC_Woningetalage!$A$1:$ZZ$501,$A478,AB$3)))</f>
        <v/>
      </c>
      <c r="AC478" s="124" t="str">
        <f>IF($B478="","",IF(AC$3=0,"n.b.",INDEX(SRC_Woningetalage!$A$1:$ZZ$501,$A478,AC$3)))</f>
        <v/>
      </c>
      <c r="AD478" s="124" t="str">
        <f>IF($B478="","",IF(AD$3=0,"n.b.",INDEX(SRC_Woningetalage!$A$1:$ZZ$501,$A478,AD$3)))</f>
        <v/>
      </c>
      <c r="AE478" s="124" t="str">
        <f>IF($B478="","",IF(AE$3=0,"n.b.",INDEX(SRC_Woningetalage!$A$1:$ZZ$501,$A478,AE$3)))</f>
        <v/>
      </c>
      <c r="AF478" s="124" t="str">
        <f>IF($B478="","",IF(AF$3=0,"n.b.",INDEX(SRC_Woningetalage!$A$1:$ZZ$501,$A478,AF$3)))</f>
        <v/>
      </c>
      <c r="AG478" s="124" t="str">
        <f>IF($B478="","",IF(AG$3=0,"n.b.",INDEX(SRC_Woningetalage!$A$1:$ZZ$501,$A478,AG$3)))</f>
        <v/>
      </c>
      <c r="AH478" s="124" t="str">
        <f>IF($B478="","",IF(AH$3=0,"n.b.",INDEX(SRC_Woningetalage!$A$1:$ZZ$501,$A478,AH$3)))</f>
        <v/>
      </c>
      <c r="AI478" s="124" t="str">
        <f>IF($B478="","",IF(AI$3=0,"n.b.",INDEX(SRC_Woningetalage!$A$1:$ZZ$501,$A478,AI$3)))</f>
        <v/>
      </c>
      <c r="AJ478" s="124" t="str">
        <f>IF($B478="","",IF(AJ$3=0,"n.b.",INDEX(SRC_Woningetalage!$A$1:$ZZ$501,$A478,AJ$3)))</f>
        <v/>
      </c>
      <c r="AK478" s="124" t="str">
        <f>IF($B478="","",IF(AK$3=0,"n.b.",INDEX(SRC_Woningetalage!$A$1:$ZZ$501,$A478,AK$3)))</f>
        <v/>
      </c>
      <c r="AL478" s="124" t="str">
        <f>IF($B478="","",IF(AL$3=0,"n.b.",INDEX(SRC_Woningetalage!$A$1:$ZZ$501,$A478,AL$3)))</f>
        <v/>
      </c>
      <c r="AM478" s="124" t="str">
        <f>IF($B478="","",IF(AM$3=0,"n.b.",INDEX(SRC_Woningetalage!$A$1:$ZZ$501,$A478,AM$3)))</f>
        <v/>
      </c>
      <c r="AN478" s="124" t="str">
        <f>IF($B478="","",IF(AN$3=0,"n.b.",INDEX(SRC_Woningetalage!$A$1:$ZZ$501,$A478,AN$3)))</f>
        <v/>
      </c>
      <c r="AO478" s="124" t="str">
        <f>IF($B478="","",IF(AO$3=0,"n.b.",INDEX(SRC_Woningetalage!$A$1:$ZZ$501,$A478,AO$3)))</f>
        <v/>
      </c>
      <c r="AP478" s="124" t="str">
        <f>IF($B478="","",IF(AP$3=0,"n.b.",INDEX(SRC_Woningetalage!$A$1:$ZZ$501,$A478,AP$3)))</f>
        <v/>
      </c>
      <c r="AQ478" s="124" t="str">
        <f>IF($B478="","",IF(AQ$3=0,"n.b.",INDEX(SRC_Woningetalage!$A$1:$ZZ$501,$A478,AQ$3)))</f>
        <v/>
      </c>
      <c r="AR478" s="124" t="str">
        <f>IF($B478="","",IF(AR$3=0,"n.b.",INDEX(SRC_Woningetalage!$A$1:$ZZ$501,$A478,AR$3)))</f>
        <v/>
      </c>
      <c r="AS478" s="124" t="str">
        <f>IF($B478="","",IF(AS$3=0,"n.b.",INDEX(SRC_Woningetalage!$A$1:$ZZ$501,$A478,AS$3)))</f>
        <v/>
      </c>
      <c r="AT478" s="124" t="str">
        <f>IF($B478="","",IF(AT$3=0,"n.b.",INDEX(SRC_Woningetalage!$A$1:$ZZ$501,$A478,AT$3)))</f>
        <v/>
      </c>
      <c r="AU478" s="124" t="str">
        <f>IF($B478="","",IF(AU$3=0,"n.b.",INDEX(SRC_Woningetalage!$A$1:$ZZ$501,$A478,AU$3)))</f>
        <v/>
      </c>
      <c r="AV478" s="124" t="str">
        <f>IF($B478="","",IF(AV$3=0,"n.b.",INDEX(SRC_Woningetalage!$A$1:$ZZ$501,$A478,AV$3)))</f>
        <v/>
      </c>
      <c r="AW478" s="124" t="str">
        <f>IF($B478="","",IF(AW$3=0,"n.b.",INDEX(SRC_Woningetalage!$A$1:$ZZ$501,$A478,AW$3)))</f>
        <v/>
      </c>
      <c r="AX478" s="124" t="str">
        <f>IF($B478="","",IF(AX$3=0,"n.b.",INDEX(SRC_Woningetalage!$A$1:$ZZ$501,$A478,AX$3)))</f>
        <v/>
      </c>
      <c r="AY478" s="124" t="str">
        <f>IF($B478="","",IF(AY$3=0,"n.b.",INDEX(SRC_Woningetalage!$A$1:$ZZ$501,$A478,AY$3)))</f>
        <v/>
      </c>
      <c r="AZ478" s="124" t="str">
        <f>IF($B478="","",IF(AZ$3=0,"n.b.",INDEX(SRC_Woningetalage!$A$1:$ZZ$501,$A478,AZ$3)))</f>
        <v/>
      </c>
      <c r="BA478" s="124" t="str">
        <f>IF($B478="","",IF(BA$3=0,"n.b.",INDEX(SRC_Woningetalage!$A$1:$ZZ$501,$A478,BA$3)))</f>
        <v/>
      </c>
      <c r="BB478" s="124" t="str">
        <f>IF($B478="","",IF(BB$3=0,"n.b.",INDEX(SRC_Woningetalage!$A$1:$ZZ$501,$A478,BB$3)))</f>
        <v/>
      </c>
      <c r="BC478" s="124" t="str">
        <f>IF($B478="","",IFERROR(_xlfn.NUMBERVALUE(E478&amp;"",",","."),"n.b."))</f>
        <v/>
      </c>
      <c r="BD478" s="124" t="str">
        <f>IF($B478="","",IFERROR(_xlfn.NUMBERVALUE(M478&amp;"",",","."),"n.b."))</f>
        <v/>
      </c>
      <c r="BE478" s="124" t="str">
        <f>IF($B478="","",IFERROR(AB478+AC478+AD478,"n.b."))</f>
        <v/>
      </c>
      <c r="BF478" s="124" t="str">
        <f>IF($B478="","",IFERROR(AE478+AF478+AG478,"n.b."))</f>
        <v/>
      </c>
      <c r="BG478" s="124" t="str">
        <f>IF($B478="","",IFERROR(AH478+AI478+AJ478,"n.b."))</f>
        <v/>
      </c>
      <c r="BH478" s="124" t="str">
        <f>IF($B478="","",IFERROR(AK478+AL478+AM478,"n.b."))</f>
        <v/>
      </c>
      <c r="BI478" s="124" t="str">
        <f>IF($B478="","",IFERROR(SUMIF($AB$5:$AM$5,"&lt;="&amp;P_PeilMaand,AB478:AM478),"n.b."))</f>
        <v/>
      </c>
      <c r="BJ478" s="124" t="str">
        <f>IF($B478="","",IFERROR(SUM(AB478:AM478)-BI478,"n.b."))</f>
        <v/>
      </c>
      <c r="BK478" s="124" t="str">
        <f>IF($B478="","",IFERROR(IF(ABS(Q478-(T478+SUM(AB478:AM478)+AS478+AU478))&gt;P_Tol,1,0),1))</f>
        <v/>
      </c>
      <c r="BL478" s="124" t="str">
        <f>IF($B478="","",IFERROR(IF(ABS(AA478-(Q478-Z478))&gt;P_Tol,1,0),1))</f>
        <v/>
      </c>
      <c r="BM478" s="124" t="str">
        <f>IF($B478="","",IFERROR(IF(ABS(Z478-(T478+W478))&gt;P_Tol,1,0),1))</f>
        <v/>
      </c>
      <c r="BN478" s="124" t="str">
        <f>IF($B478="","",IFERROR(IF(ABS(W478-BI478)&gt;P_Tol,1,0),1))</f>
        <v/>
      </c>
      <c r="BO478" s="124" t="str">
        <f>IF($B478="","",IFERROR(IF(OR(ABS(R478+S478-T478)&gt;P_Tol,ABS(U478+V478-W478)&gt;P_Tol,ABS(X478+Y478-Z478)&gt;P_Tol),1,0),1))</f>
        <v/>
      </c>
      <c r="BP478" s="124" t="str">
        <f>IF($B478="","",IFERROR(IF(OR(ABS(AR478-SUM(AB478:AM478))&gt;P_Tol,ABS(AS478-(AN478+AO478+AP478+AQ478))&gt;P_Tol),1,0),1))</f>
        <v/>
      </c>
      <c r="BQ478" s="124" t="str">
        <f>IF($B478="","",IFERROR(IF(ABS(AT478)+ABS(AV478)+ABS(AW478)+ABS(AX478)+ABS(AY478)+ABS(AZ478)+ABS(BA478)+ABS(BB478)&gt;0,1,0),1))</f>
        <v/>
      </c>
      <c r="BR478" s="124" t="str">
        <f>IF($B478="","",COUNTIF(STG_ZPMW03!$B$6:$B$505,B478))</f>
        <v/>
      </c>
      <c r="BS478" s="124" t="str">
        <f>IF($B478="","",COUNTIF($B$6:$B$505,B478))</f>
        <v/>
      </c>
      <c r="BT478" s="124" t="str">
        <f>IF($B478="","",IF(BR478=0,0,IF(INDEX(STG_ZPMW03!$I$6:$I$505,MATCH(B478,STG_ZPMW03!$B$6:$B$505,0))=J478&amp;"",0,1)))</f>
        <v/>
      </c>
      <c r="BU478" s="124" t="str">
        <f>IF($B478="","",IFERROR(IF(ABS(INDEX(Mapping!$D$5:$D$104,MATCH(B478,Mapping!$A$5:$A$104,0))-Q478)&gt;P_Tol,1,0),0))</f>
        <v/>
      </c>
      <c r="BV478" s="124" t="str">
        <f>IF($B478="","",IFERROR(IF(AND(INDEX(Mapping!$G$5:$G$104,MATCH(B478,Mapping!$A$5:$A$104,0))="Nee",ABS(Q478)+ABS(Z478)+ABS(AR478)&gt;0),1,0),0))</f>
        <v/>
      </c>
      <c r="BW478" s="124" t="str">
        <f>IF($B478="","",IF(COUNTIF(Mapping!$A$5:$A$104,B478)&gt;0,1,0))</f>
        <v/>
      </c>
      <c r="BX478" s="124" t="str">
        <f>IF($B478="","",IF(BR478=0,COUNTIF($BR$6:BR478,0),""))</f>
        <v/>
      </c>
    </row>
    <row r="479">
      <c r="A479" s="15" t="n">
        <v>475</v>
      </c>
      <c r="B479" t="str">
        <f>IF(B$3=0,"",IF(INDEX(SRC_Woningetalage!$A$1:$ZZ$501,$A479,B$3)&amp;""="","",INDEX(SRC_Woningetalage!$A$1:$ZZ$501,$A479,B$3)&amp;""))</f>
        <v/>
      </c>
      <c r="C479" t="str">
        <f>IF($B479="","",IF(C$3=0,"n.b.",INDEX(SRC_Woningetalage!$A$1:$ZZ$501,$A479,C$3)))</f>
        <v/>
      </c>
      <c r="D479" t="str">
        <f>IF($B479="","",IF(D$3=0,"n.b.",INDEX(SRC_Woningetalage!$A$1:$ZZ$501,$A479,D$3)))</f>
        <v/>
      </c>
      <c r="E479" t="str">
        <f>IF($B479="","",IF(E$3=0,"n.b.",INDEX(SRC_Woningetalage!$A$1:$ZZ$501,$A479,E$3)))</f>
        <v/>
      </c>
      <c r="F479" t="str">
        <f>IF($B479="","",IF(F$3=0,"n.b.",INDEX(SRC_Woningetalage!$A$1:$ZZ$501,$A479,F$3)))</f>
        <v/>
      </c>
      <c r="G479" t="str">
        <f>IF($B479="","",IF(G$3=0,"n.b.",INDEX(SRC_Woningetalage!$A$1:$ZZ$501,$A479,G$3)))</f>
        <v/>
      </c>
      <c r="H479" t="str">
        <f>IF($B479="","",IF(H$3=0,"n.b.",INDEX(SRC_Woningetalage!$A$1:$ZZ$501,$A479,H$3)))</f>
        <v/>
      </c>
      <c r="I479" t="str">
        <f>IF($B479="","",IF(I$3=0,"n.b.",INDEX(SRC_Woningetalage!$A$1:$ZZ$501,$A479,I$3)))</f>
        <v/>
      </c>
      <c r="J479" t="str">
        <f>IF($B479="","",IF(J$3=0,"n.b.",INDEX(SRC_Woningetalage!$A$1:$ZZ$501,$A479,J$3)))</f>
        <v/>
      </c>
      <c r="K479" t="str">
        <f>IF($B479="","",IF(K$3=0,"n.b.",INDEX(SRC_Woningetalage!$A$1:$ZZ$501,$A479,K$3)))</f>
        <v/>
      </c>
      <c r="L479" t="str">
        <f>IF($B479="","",IF(L$3=0,"n.b.",INDEX(SRC_Woningetalage!$A$1:$ZZ$501,$A479,L$3)))</f>
        <v/>
      </c>
      <c r="M479" t="str">
        <f>IF($B479="","",IF(M$3=0,"n.b.",INDEX(SRC_Woningetalage!$A$1:$ZZ$501,$A479,M$3)))</f>
        <v/>
      </c>
      <c r="N479" t="str">
        <f>IF($B479="","",IF(N$3=0,"n.b.",INDEX(SRC_Woningetalage!$A$1:$ZZ$501,$A479,N$3)))</f>
        <v/>
      </c>
      <c r="O479" t="str">
        <f>IF($B479="","",IF(O$3=0,"n.b.",INDEX(SRC_Woningetalage!$A$1:$ZZ$501,$A479,O$3)))</f>
        <v/>
      </c>
      <c r="P479" t="str">
        <f>IF($B479="","",IF(P$3=0,"n.b.",INDEX(SRC_Woningetalage!$A$1:$ZZ$501,$A479,P$3)))</f>
        <v/>
      </c>
      <c r="Q479" s="124" t="str">
        <f>IF($B479="","",IF(Q$3=0,"n.b.",INDEX(SRC_Woningetalage!$A$1:$ZZ$501,$A479,Q$3)))</f>
        <v/>
      </c>
      <c r="R479" s="124" t="str">
        <f>IF($B479="","",IF(R$3=0,"n.b.",INDEX(SRC_Woningetalage!$A$1:$ZZ$501,$A479,R$3)))</f>
        <v/>
      </c>
      <c r="S479" s="124" t="str">
        <f>IF($B479="","",IF(S$3=0,"n.b.",INDEX(SRC_Woningetalage!$A$1:$ZZ$501,$A479,S$3)))</f>
        <v/>
      </c>
      <c r="T479" s="124" t="str">
        <f>IF($B479="","",IF(T$3=0,"n.b.",INDEX(SRC_Woningetalage!$A$1:$ZZ$501,$A479,T$3)))</f>
        <v/>
      </c>
      <c r="U479" s="124" t="str">
        <f>IF($B479="","",IF(U$3=0,"n.b.",INDEX(SRC_Woningetalage!$A$1:$ZZ$501,$A479,U$3)))</f>
        <v/>
      </c>
      <c r="V479" s="124" t="str">
        <f>IF($B479="","",IF(V$3=0,"n.b.",INDEX(SRC_Woningetalage!$A$1:$ZZ$501,$A479,V$3)))</f>
        <v/>
      </c>
      <c r="W479" s="124" t="str">
        <f>IF($B479="","",IF(W$3=0,"n.b.",INDEX(SRC_Woningetalage!$A$1:$ZZ$501,$A479,W$3)))</f>
        <v/>
      </c>
      <c r="X479" s="124" t="str">
        <f>IF($B479="","",IF(X$3=0,"n.b.",INDEX(SRC_Woningetalage!$A$1:$ZZ$501,$A479,X$3)))</f>
        <v/>
      </c>
      <c r="Y479" s="124" t="str">
        <f>IF($B479="","",IF(Y$3=0,"n.b.",INDEX(SRC_Woningetalage!$A$1:$ZZ$501,$A479,Y$3)))</f>
        <v/>
      </c>
      <c r="Z479" s="124" t="str">
        <f>IF($B479="","",IF(Z$3=0,"n.b.",INDEX(SRC_Woningetalage!$A$1:$ZZ$501,$A479,Z$3)))</f>
        <v/>
      </c>
      <c r="AA479" s="124" t="str">
        <f>IF($B479="","",IF(AA$3=0,"n.b.",INDEX(SRC_Woningetalage!$A$1:$ZZ$501,$A479,AA$3)))</f>
        <v/>
      </c>
      <c r="AB479" s="124" t="str">
        <f>IF($B479="","",IF(AB$3=0,"n.b.",INDEX(SRC_Woningetalage!$A$1:$ZZ$501,$A479,AB$3)))</f>
        <v/>
      </c>
      <c r="AC479" s="124" t="str">
        <f>IF($B479="","",IF(AC$3=0,"n.b.",INDEX(SRC_Woningetalage!$A$1:$ZZ$501,$A479,AC$3)))</f>
        <v/>
      </c>
      <c r="AD479" s="124" t="str">
        <f>IF($B479="","",IF(AD$3=0,"n.b.",INDEX(SRC_Woningetalage!$A$1:$ZZ$501,$A479,AD$3)))</f>
        <v/>
      </c>
      <c r="AE479" s="124" t="str">
        <f>IF($B479="","",IF(AE$3=0,"n.b.",INDEX(SRC_Woningetalage!$A$1:$ZZ$501,$A479,AE$3)))</f>
        <v/>
      </c>
      <c r="AF479" s="124" t="str">
        <f>IF($B479="","",IF(AF$3=0,"n.b.",INDEX(SRC_Woningetalage!$A$1:$ZZ$501,$A479,AF$3)))</f>
        <v/>
      </c>
      <c r="AG479" s="124" t="str">
        <f>IF($B479="","",IF(AG$3=0,"n.b.",INDEX(SRC_Woningetalage!$A$1:$ZZ$501,$A479,AG$3)))</f>
        <v/>
      </c>
      <c r="AH479" s="124" t="str">
        <f>IF($B479="","",IF(AH$3=0,"n.b.",INDEX(SRC_Woningetalage!$A$1:$ZZ$501,$A479,AH$3)))</f>
        <v/>
      </c>
      <c r="AI479" s="124" t="str">
        <f>IF($B479="","",IF(AI$3=0,"n.b.",INDEX(SRC_Woningetalage!$A$1:$ZZ$501,$A479,AI$3)))</f>
        <v/>
      </c>
      <c r="AJ479" s="124" t="str">
        <f>IF($B479="","",IF(AJ$3=0,"n.b.",INDEX(SRC_Woningetalage!$A$1:$ZZ$501,$A479,AJ$3)))</f>
        <v/>
      </c>
      <c r="AK479" s="124" t="str">
        <f>IF($B479="","",IF(AK$3=0,"n.b.",INDEX(SRC_Woningetalage!$A$1:$ZZ$501,$A479,AK$3)))</f>
        <v/>
      </c>
      <c r="AL479" s="124" t="str">
        <f>IF($B479="","",IF(AL$3=0,"n.b.",INDEX(SRC_Woningetalage!$A$1:$ZZ$501,$A479,AL$3)))</f>
        <v/>
      </c>
      <c r="AM479" s="124" t="str">
        <f>IF($B479="","",IF(AM$3=0,"n.b.",INDEX(SRC_Woningetalage!$A$1:$ZZ$501,$A479,AM$3)))</f>
        <v/>
      </c>
      <c r="AN479" s="124" t="str">
        <f>IF($B479="","",IF(AN$3=0,"n.b.",INDEX(SRC_Woningetalage!$A$1:$ZZ$501,$A479,AN$3)))</f>
        <v/>
      </c>
      <c r="AO479" s="124" t="str">
        <f>IF($B479="","",IF(AO$3=0,"n.b.",INDEX(SRC_Woningetalage!$A$1:$ZZ$501,$A479,AO$3)))</f>
        <v/>
      </c>
      <c r="AP479" s="124" t="str">
        <f>IF($B479="","",IF(AP$3=0,"n.b.",INDEX(SRC_Woningetalage!$A$1:$ZZ$501,$A479,AP$3)))</f>
        <v/>
      </c>
      <c r="AQ479" s="124" t="str">
        <f>IF($B479="","",IF(AQ$3=0,"n.b.",INDEX(SRC_Woningetalage!$A$1:$ZZ$501,$A479,AQ$3)))</f>
        <v/>
      </c>
      <c r="AR479" s="124" t="str">
        <f>IF($B479="","",IF(AR$3=0,"n.b.",INDEX(SRC_Woningetalage!$A$1:$ZZ$501,$A479,AR$3)))</f>
        <v/>
      </c>
      <c r="AS479" s="124" t="str">
        <f>IF($B479="","",IF(AS$3=0,"n.b.",INDEX(SRC_Woningetalage!$A$1:$ZZ$501,$A479,AS$3)))</f>
        <v/>
      </c>
      <c r="AT479" s="124" t="str">
        <f>IF($B479="","",IF(AT$3=0,"n.b.",INDEX(SRC_Woningetalage!$A$1:$ZZ$501,$A479,AT$3)))</f>
        <v/>
      </c>
      <c r="AU479" s="124" t="str">
        <f>IF($B479="","",IF(AU$3=0,"n.b.",INDEX(SRC_Woningetalage!$A$1:$ZZ$501,$A479,AU$3)))</f>
        <v/>
      </c>
      <c r="AV479" s="124" t="str">
        <f>IF($B479="","",IF(AV$3=0,"n.b.",INDEX(SRC_Woningetalage!$A$1:$ZZ$501,$A479,AV$3)))</f>
        <v/>
      </c>
      <c r="AW479" s="124" t="str">
        <f>IF($B479="","",IF(AW$3=0,"n.b.",INDEX(SRC_Woningetalage!$A$1:$ZZ$501,$A479,AW$3)))</f>
        <v/>
      </c>
      <c r="AX479" s="124" t="str">
        <f>IF($B479="","",IF(AX$3=0,"n.b.",INDEX(SRC_Woningetalage!$A$1:$ZZ$501,$A479,AX$3)))</f>
        <v/>
      </c>
      <c r="AY479" s="124" t="str">
        <f>IF($B479="","",IF(AY$3=0,"n.b.",INDEX(SRC_Woningetalage!$A$1:$ZZ$501,$A479,AY$3)))</f>
        <v/>
      </c>
      <c r="AZ479" s="124" t="str">
        <f>IF($B479="","",IF(AZ$3=0,"n.b.",INDEX(SRC_Woningetalage!$A$1:$ZZ$501,$A479,AZ$3)))</f>
        <v/>
      </c>
      <c r="BA479" s="124" t="str">
        <f>IF($B479="","",IF(BA$3=0,"n.b.",INDEX(SRC_Woningetalage!$A$1:$ZZ$501,$A479,BA$3)))</f>
        <v/>
      </c>
      <c r="BB479" s="124" t="str">
        <f>IF($B479="","",IF(BB$3=0,"n.b.",INDEX(SRC_Woningetalage!$A$1:$ZZ$501,$A479,BB$3)))</f>
        <v/>
      </c>
      <c r="BC479" s="124" t="str">
        <f>IF($B479="","",IFERROR(_xlfn.NUMBERVALUE(E479&amp;"",",","."),"n.b."))</f>
        <v/>
      </c>
      <c r="BD479" s="124" t="str">
        <f>IF($B479="","",IFERROR(_xlfn.NUMBERVALUE(M479&amp;"",",","."),"n.b."))</f>
        <v/>
      </c>
      <c r="BE479" s="124" t="str">
        <f>IF($B479="","",IFERROR(AB479+AC479+AD479,"n.b."))</f>
        <v/>
      </c>
      <c r="BF479" s="124" t="str">
        <f>IF($B479="","",IFERROR(AE479+AF479+AG479,"n.b."))</f>
        <v/>
      </c>
      <c r="BG479" s="124" t="str">
        <f>IF($B479="","",IFERROR(AH479+AI479+AJ479,"n.b."))</f>
        <v/>
      </c>
      <c r="BH479" s="124" t="str">
        <f>IF($B479="","",IFERROR(AK479+AL479+AM479,"n.b."))</f>
        <v/>
      </c>
      <c r="BI479" s="124" t="str">
        <f>IF($B479="","",IFERROR(SUMIF($AB$5:$AM$5,"&lt;="&amp;P_PeilMaand,AB479:AM479),"n.b."))</f>
        <v/>
      </c>
      <c r="BJ479" s="124" t="str">
        <f>IF($B479="","",IFERROR(SUM(AB479:AM479)-BI479,"n.b."))</f>
        <v/>
      </c>
      <c r="BK479" s="124" t="str">
        <f>IF($B479="","",IFERROR(IF(ABS(Q479-(T479+SUM(AB479:AM479)+AS479+AU479))&gt;P_Tol,1,0),1))</f>
        <v/>
      </c>
      <c r="BL479" s="124" t="str">
        <f>IF($B479="","",IFERROR(IF(ABS(AA479-(Q479-Z479))&gt;P_Tol,1,0),1))</f>
        <v/>
      </c>
      <c r="BM479" s="124" t="str">
        <f>IF($B479="","",IFERROR(IF(ABS(Z479-(T479+W479))&gt;P_Tol,1,0),1))</f>
        <v/>
      </c>
      <c r="BN479" s="124" t="str">
        <f>IF($B479="","",IFERROR(IF(ABS(W479-BI479)&gt;P_Tol,1,0),1))</f>
        <v/>
      </c>
      <c r="BO479" s="124" t="str">
        <f>IF($B479="","",IFERROR(IF(OR(ABS(R479+S479-T479)&gt;P_Tol,ABS(U479+V479-W479)&gt;P_Tol,ABS(X479+Y479-Z479)&gt;P_Tol),1,0),1))</f>
        <v/>
      </c>
      <c r="BP479" s="124" t="str">
        <f>IF($B479="","",IFERROR(IF(OR(ABS(AR479-SUM(AB479:AM479))&gt;P_Tol,ABS(AS479-(AN479+AO479+AP479+AQ479))&gt;P_Tol),1,0),1))</f>
        <v/>
      </c>
      <c r="BQ479" s="124" t="str">
        <f>IF($B479="","",IFERROR(IF(ABS(AT479)+ABS(AV479)+ABS(AW479)+ABS(AX479)+ABS(AY479)+ABS(AZ479)+ABS(BA479)+ABS(BB479)&gt;0,1,0),1))</f>
        <v/>
      </c>
      <c r="BR479" s="124" t="str">
        <f>IF($B479="","",COUNTIF(STG_ZPMW03!$B$6:$B$505,B479))</f>
        <v/>
      </c>
      <c r="BS479" s="124" t="str">
        <f>IF($B479="","",COUNTIF($B$6:$B$505,B479))</f>
        <v/>
      </c>
      <c r="BT479" s="124" t="str">
        <f>IF($B479="","",IF(BR479=0,0,IF(INDEX(STG_ZPMW03!$I$6:$I$505,MATCH(B479,STG_ZPMW03!$B$6:$B$505,0))=J479&amp;"",0,1)))</f>
        <v/>
      </c>
      <c r="BU479" s="124" t="str">
        <f>IF($B479="","",IFERROR(IF(ABS(INDEX(Mapping!$D$5:$D$104,MATCH(B479,Mapping!$A$5:$A$104,0))-Q479)&gt;P_Tol,1,0),0))</f>
        <v/>
      </c>
      <c r="BV479" s="124" t="str">
        <f>IF($B479="","",IFERROR(IF(AND(INDEX(Mapping!$G$5:$G$104,MATCH(B479,Mapping!$A$5:$A$104,0))="Nee",ABS(Q479)+ABS(Z479)+ABS(AR479)&gt;0),1,0),0))</f>
        <v/>
      </c>
      <c r="BW479" s="124" t="str">
        <f>IF($B479="","",IF(COUNTIF(Mapping!$A$5:$A$104,B479)&gt;0,1,0))</f>
        <v/>
      </c>
      <c r="BX479" s="124" t="str">
        <f>IF($B479="","",IF(BR479=0,COUNTIF($BR$6:BR479,0),""))</f>
        <v/>
      </c>
    </row>
    <row r="480">
      <c r="A480" s="15" t="n">
        <v>476</v>
      </c>
      <c r="B480" t="str">
        <f>IF(B$3=0,"",IF(INDEX(SRC_Woningetalage!$A$1:$ZZ$501,$A480,B$3)&amp;""="","",INDEX(SRC_Woningetalage!$A$1:$ZZ$501,$A480,B$3)&amp;""))</f>
        <v/>
      </c>
      <c r="C480" t="str">
        <f>IF($B480="","",IF(C$3=0,"n.b.",INDEX(SRC_Woningetalage!$A$1:$ZZ$501,$A480,C$3)))</f>
        <v/>
      </c>
      <c r="D480" t="str">
        <f>IF($B480="","",IF(D$3=0,"n.b.",INDEX(SRC_Woningetalage!$A$1:$ZZ$501,$A480,D$3)))</f>
        <v/>
      </c>
      <c r="E480" t="str">
        <f>IF($B480="","",IF(E$3=0,"n.b.",INDEX(SRC_Woningetalage!$A$1:$ZZ$501,$A480,E$3)))</f>
        <v/>
      </c>
      <c r="F480" t="str">
        <f>IF($B480="","",IF(F$3=0,"n.b.",INDEX(SRC_Woningetalage!$A$1:$ZZ$501,$A480,F$3)))</f>
        <v/>
      </c>
      <c r="G480" t="str">
        <f>IF($B480="","",IF(G$3=0,"n.b.",INDEX(SRC_Woningetalage!$A$1:$ZZ$501,$A480,G$3)))</f>
        <v/>
      </c>
      <c r="H480" t="str">
        <f>IF($B480="","",IF(H$3=0,"n.b.",INDEX(SRC_Woningetalage!$A$1:$ZZ$501,$A480,H$3)))</f>
        <v/>
      </c>
      <c r="I480" t="str">
        <f>IF($B480="","",IF(I$3=0,"n.b.",INDEX(SRC_Woningetalage!$A$1:$ZZ$501,$A480,I$3)))</f>
        <v/>
      </c>
      <c r="J480" t="str">
        <f>IF($B480="","",IF(J$3=0,"n.b.",INDEX(SRC_Woningetalage!$A$1:$ZZ$501,$A480,J$3)))</f>
        <v/>
      </c>
      <c r="K480" t="str">
        <f>IF($B480="","",IF(K$3=0,"n.b.",INDEX(SRC_Woningetalage!$A$1:$ZZ$501,$A480,K$3)))</f>
        <v/>
      </c>
      <c r="L480" t="str">
        <f>IF($B480="","",IF(L$3=0,"n.b.",INDEX(SRC_Woningetalage!$A$1:$ZZ$501,$A480,L$3)))</f>
        <v/>
      </c>
      <c r="M480" t="str">
        <f>IF($B480="","",IF(M$3=0,"n.b.",INDEX(SRC_Woningetalage!$A$1:$ZZ$501,$A480,M$3)))</f>
        <v/>
      </c>
      <c r="N480" t="str">
        <f>IF($B480="","",IF(N$3=0,"n.b.",INDEX(SRC_Woningetalage!$A$1:$ZZ$501,$A480,N$3)))</f>
        <v/>
      </c>
      <c r="O480" t="str">
        <f>IF($B480="","",IF(O$3=0,"n.b.",INDEX(SRC_Woningetalage!$A$1:$ZZ$501,$A480,O$3)))</f>
        <v/>
      </c>
      <c r="P480" t="str">
        <f>IF($B480="","",IF(P$3=0,"n.b.",INDEX(SRC_Woningetalage!$A$1:$ZZ$501,$A480,P$3)))</f>
        <v/>
      </c>
      <c r="Q480" s="124" t="str">
        <f>IF($B480="","",IF(Q$3=0,"n.b.",INDEX(SRC_Woningetalage!$A$1:$ZZ$501,$A480,Q$3)))</f>
        <v/>
      </c>
      <c r="R480" s="124" t="str">
        <f>IF($B480="","",IF(R$3=0,"n.b.",INDEX(SRC_Woningetalage!$A$1:$ZZ$501,$A480,R$3)))</f>
        <v/>
      </c>
      <c r="S480" s="124" t="str">
        <f>IF($B480="","",IF(S$3=0,"n.b.",INDEX(SRC_Woningetalage!$A$1:$ZZ$501,$A480,S$3)))</f>
        <v/>
      </c>
      <c r="T480" s="124" t="str">
        <f>IF($B480="","",IF(T$3=0,"n.b.",INDEX(SRC_Woningetalage!$A$1:$ZZ$501,$A480,T$3)))</f>
        <v/>
      </c>
      <c r="U480" s="124" t="str">
        <f>IF($B480="","",IF(U$3=0,"n.b.",INDEX(SRC_Woningetalage!$A$1:$ZZ$501,$A480,U$3)))</f>
        <v/>
      </c>
      <c r="V480" s="124" t="str">
        <f>IF($B480="","",IF(V$3=0,"n.b.",INDEX(SRC_Woningetalage!$A$1:$ZZ$501,$A480,V$3)))</f>
        <v/>
      </c>
      <c r="W480" s="124" t="str">
        <f>IF($B480="","",IF(W$3=0,"n.b.",INDEX(SRC_Woningetalage!$A$1:$ZZ$501,$A480,W$3)))</f>
        <v/>
      </c>
      <c r="X480" s="124" t="str">
        <f>IF($B480="","",IF(X$3=0,"n.b.",INDEX(SRC_Woningetalage!$A$1:$ZZ$501,$A480,X$3)))</f>
        <v/>
      </c>
      <c r="Y480" s="124" t="str">
        <f>IF($B480="","",IF(Y$3=0,"n.b.",INDEX(SRC_Woningetalage!$A$1:$ZZ$501,$A480,Y$3)))</f>
        <v/>
      </c>
      <c r="Z480" s="124" t="str">
        <f>IF($B480="","",IF(Z$3=0,"n.b.",INDEX(SRC_Woningetalage!$A$1:$ZZ$501,$A480,Z$3)))</f>
        <v/>
      </c>
      <c r="AA480" s="124" t="str">
        <f>IF($B480="","",IF(AA$3=0,"n.b.",INDEX(SRC_Woningetalage!$A$1:$ZZ$501,$A480,AA$3)))</f>
        <v/>
      </c>
      <c r="AB480" s="124" t="str">
        <f>IF($B480="","",IF(AB$3=0,"n.b.",INDEX(SRC_Woningetalage!$A$1:$ZZ$501,$A480,AB$3)))</f>
        <v/>
      </c>
      <c r="AC480" s="124" t="str">
        <f>IF($B480="","",IF(AC$3=0,"n.b.",INDEX(SRC_Woningetalage!$A$1:$ZZ$501,$A480,AC$3)))</f>
        <v/>
      </c>
      <c r="AD480" s="124" t="str">
        <f>IF($B480="","",IF(AD$3=0,"n.b.",INDEX(SRC_Woningetalage!$A$1:$ZZ$501,$A480,AD$3)))</f>
        <v/>
      </c>
      <c r="AE480" s="124" t="str">
        <f>IF($B480="","",IF(AE$3=0,"n.b.",INDEX(SRC_Woningetalage!$A$1:$ZZ$501,$A480,AE$3)))</f>
        <v/>
      </c>
      <c r="AF480" s="124" t="str">
        <f>IF($B480="","",IF(AF$3=0,"n.b.",INDEX(SRC_Woningetalage!$A$1:$ZZ$501,$A480,AF$3)))</f>
        <v/>
      </c>
      <c r="AG480" s="124" t="str">
        <f>IF($B480="","",IF(AG$3=0,"n.b.",INDEX(SRC_Woningetalage!$A$1:$ZZ$501,$A480,AG$3)))</f>
        <v/>
      </c>
      <c r="AH480" s="124" t="str">
        <f>IF($B480="","",IF(AH$3=0,"n.b.",INDEX(SRC_Woningetalage!$A$1:$ZZ$501,$A480,AH$3)))</f>
        <v/>
      </c>
      <c r="AI480" s="124" t="str">
        <f>IF($B480="","",IF(AI$3=0,"n.b.",INDEX(SRC_Woningetalage!$A$1:$ZZ$501,$A480,AI$3)))</f>
        <v/>
      </c>
      <c r="AJ480" s="124" t="str">
        <f>IF($B480="","",IF(AJ$3=0,"n.b.",INDEX(SRC_Woningetalage!$A$1:$ZZ$501,$A480,AJ$3)))</f>
        <v/>
      </c>
      <c r="AK480" s="124" t="str">
        <f>IF($B480="","",IF(AK$3=0,"n.b.",INDEX(SRC_Woningetalage!$A$1:$ZZ$501,$A480,AK$3)))</f>
        <v/>
      </c>
      <c r="AL480" s="124" t="str">
        <f>IF($B480="","",IF(AL$3=0,"n.b.",INDEX(SRC_Woningetalage!$A$1:$ZZ$501,$A480,AL$3)))</f>
        <v/>
      </c>
      <c r="AM480" s="124" t="str">
        <f>IF($B480="","",IF(AM$3=0,"n.b.",INDEX(SRC_Woningetalage!$A$1:$ZZ$501,$A480,AM$3)))</f>
        <v/>
      </c>
      <c r="AN480" s="124" t="str">
        <f>IF($B480="","",IF(AN$3=0,"n.b.",INDEX(SRC_Woningetalage!$A$1:$ZZ$501,$A480,AN$3)))</f>
        <v/>
      </c>
      <c r="AO480" s="124" t="str">
        <f>IF($B480="","",IF(AO$3=0,"n.b.",INDEX(SRC_Woningetalage!$A$1:$ZZ$501,$A480,AO$3)))</f>
        <v/>
      </c>
      <c r="AP480" s="124" t="str">
        <f>IF($B480="","",IF(AP$3=0,"n.b.",INDEX(SRC_Woningetalage!$A$1:$ZZ$501,$A480,AP$3)))</f>
        <v/>
      </c>
      <c r="AQ480" s="124" t="str">
        <f>IF($B480="","",IF(AQ$3=0,"n.b.",INDEX(SRC_Woningetalage!$A$1:$ZZ$501,$A480,AQ$3)))</f>
        <v/>
      </c>
      <c r="AR480" s="124" t="str">
        <f>IF($B480="","",IF(AR$3=0,"n.b.",INDEX(SRC_Woningetalage!$A$1:$ZZ$501,$A480,AR$3)))</f>
        <v/>
      </c>
      <c r="AS480" s="124" t="str">
        <f>IF($B480="","",IF(AS$3=0,"n.b.",INDEX(SRC_Woningetalage!$A$1:$ZZ$501,$A480,AS$3)))</f>
        <v/>
      </c>
      <c r="AT480" s="124" t="str">
        <f>IF($B480="","",IF(AT$3=0,"n.b.",INDEX(SRC_Woningetalage!$A$1:$ZZ$501,$A480,AT$3)))</f>
        <v/>
      </c>
      <c r="AU480" s="124" t="str">
        <f>IF($B480="","",IF(AU$3=0,"n.b.",INDEX(SRC_Woningetalage!$A$1:$ZZ$501,$A480,AU$3)))</f>
        <v/>
      </c>
      <c r="AV480" s="124" t="str">
        <f>IF($B480="","",IF(AV$3=0,"n.b.",INDEX(SRC_Woningetalage!$A$1:$ZZ$501,$A480,AV$3)))</f>
        <v/>
      </c>
      <c r="AW480" s="124" t="str">
        <f>IF($B480="","",IF(AW$3=0,"n.b.",INDEX(SRC_Woningetalage!$A$1:$ZZ$501,$A480,AW$3)))</f>
        <v/>
      </c>
      <c r="AX480" s="124" t="str">
        <f>IF($B480="","",IF(AX$3=0,"n.b.",INDEX(SRC_Woningetalage!$A$1:$ZZ$501,$A480,AX$3)))</f>
        <v/>
      </c>
      <c r="AY480" s="124" t="str">
        <f>IF($B480="","",IF(AY$3=0,"n.b.",INDEX(SRC_Woningetalage!$A$1:$ZZ$501,$A480,AY$3)))</f>
        <v/>
      </c>
      <c r="AZ480" s="124" t="str">
        <f>IF($B480="","",IF(AZ$3=0,"n.b.",INDEX(SRC_Woningetalage!$A$1:$ZZ$501,$A480,AZ$3)))</f>
        <v/>
      </c>
      <c r="BA480" s="124" t="str">
        <f>IF($B480="","",IF(BA$3=0,"n.b.",INDEX(SRC_Woningetalage!$A$1:$ZZ$501,$A480,BA$3)))</f>
        <v/>
      </c>
      <c r="BB480" s="124" t="str">
        <f>IF($B480="","",IF(BB$3=0,"n.b.",INDEX(SRC_Woningetalage!$A$1:$ZZ$501,$A480,BB$3)))</f>
        <v/>
      </c>
      <c r="BC480" s="124" t="str">
        <f>IF($B480="","",IFERROR(_xlfn.NUMBERVALUE(E480&amp;"",",","."),"n.b."))</f>
        <v/>
      </c>
      <c r="BD480" s="124" t="str">
        <f>IF($B480="","",IFERROR(_xlfn.NUMBERVALUE(M480&amp;"",",","."),"n.b."))</f>
        <v/>
      </c>
      <c r="BE480" s="124" t="str">
        <f>IF($B480="","",IFERROR(AB480+AC480+AD480,"n.b."))</f>
        <v/>
      </c>
      <c r="BF480" s="124" t="str">
        <f>IF($B480="","",IFERROR(AE480+AF480+AG480,"n.b."))</f>
        <v/>
      </c>
      <c r="BG480" s="124" t="str">
        <f>IF($B480="","",IFERROR(AH480+AI480+AJ480,"n.b."))</f>
        <v/>
      </c>
      <c r="BH480" s="124" t="str">
        <f>IF($B480="","",IFERROR(AK480+AL480+AM480,"n.b."))</f>
        <v/>
      </c>
      <c r="BI480" s="124" t="str">
        <f>IF($B480="","",IFERROR(SUMIF($AB$5:$AM$5,"&lt;="&amp;P_PeilMaand,AB480:AM480),"n.b."))</f>
        <v/>
      </c>
      <c r="BJ480" s="124" t="str">
        <f>IF($B480="","",IFERROR(SUM(AB480:AM480)-BI480,"n.b."))</f>
        <v/>
      </c>
      <c r="BK480" s="124" t="str">
        <f>IF($B480="","",IFERROR(IF(ABS(Q480-(T480+SUM(AB480:AM480)+AS480+AU480))&gt;P_Tol,1,0),1))</f>
        <v/>
      </c>
      <c r="BL480" s="124" t="str">
        <f>IF($B480="","",IFERROR(IF(ABS(AA480-(Q480-Z480))&gt;P_Tol,1,0),1))</f>
        <v/>
      </c>
      <c r="BM480" s="124" t="str">
        <f>IF($B480="","",IFERROR(IF(ABS(Z480-(T480+W480))&gt;P_Tol,1,0),1))</f>
        <v/>
      </c>
      <c r="BN480" s="124" t="str">
        <f>IF($B480="","",IFERROR(IF(ABS(W480-BI480)&gt;P_Tol,1,0),1))</f>
        <v/>
      </c>
      <c r="BO480" s="124" t="str">
        <f>IF($B480="","",IFERROR(IF(OR(ABS(R480+S480-T480)&gt;P_Tol,ABS(U480+V480-W480)&gt;P_Tol,ABS(X480+Y480-Z480)&gt;P_Tol),1,0),1))</f>
        <v/>
      </c>
      <c r="BP480" s="124" t="str">
        <f>IF($B480="","",IFERROR(IF(OR(ABS(AR480-SUM(AB480:AM480))&gt;P_Tol,ABS(AS480-(AN480+AO480+AP480+AQ480))&gt;P_Tol),1,0),1))</f>
        <v/>
      </c>
      <c r="BQ480" s="124" t="str">
        <f>IF($B480="","",IFERROR(IF(ABS(AT480)+ABS(AV480)+ABS(AW480)+ABS(AX480)+ABS(AY480)+ABS(AZ480)+ABS(BA480)+ABS(BB480)&gt;0,1,0),1))</f>
        <v/>
      </c>
      <c r="BR480" s="124" t="str">
        <f>IF($B480="","",COUNTIF(STG_ZPMW03!$B$6:$B$505,B480))</f>
        <v/>
      </c>
      <c r="BS480" s="124" t="str">
        <f>IF($B480="","",COUNTIF($B$6:$B$505,B480))</f>
        <v/>
      </c>
      <c r="BT480" s="124" t="str">
        <f>IF($B480="","",IF(BR480=0,0,IF(INDEX(STG_ZPMW03!$I$6:$I$505,MATCH(B480,STG_ZPMW03!$B$6:$B$505,0))=J480&amp;"",0,1)))</f>
        <v/>
      </c>
      <c r="BU480" s="124" t="str">
        <f>IF($B480="","",IFERROR(IF(ABS(INDEX(Mapping!$D$5:$D$104,MATCH(B480,Mapping!$A$5:$A$104,0))-Q480)&gt;P_Tol,1,0),0))</f>
        <v/>
      </c>
      <c r="BV480" s="124" t="str">
        <f>IF($B480="","",IFERROR(IF(AND(INDEX(Mapping!$G$5:$G$104,MATCH(B480,Mapping!$A$5:$A$104,0))="Nee",ABS(Q480)+ABS(Z480)+ABS(AR480)&gt;0),1,0),0))</f>
        <v/>
      </c>
      <c r="BW480" s="124" t="str">
        <f>IF($B480="","",IF(COUNTIF(Mapping!$A$5:$A$104,B480)&gt;0,1,0))</f>
        <v/>
      </c>
      <c r="BX480" s="124" t="str">
        <f>IF($B480="","",IF(BR480=0,COUNTIF($BR$6:BR480,0),""))</f>
        <v/>
      </c>
    </row>
    <row r="481">
      <c r="A481" s="15" t="n">
        <v>477</v>
      </c>
      <c r="B481" t="str">
        <f>IF(B$3=0,"",IF(INDEX(SRC_Woningetalage!$A$1:$ZZ$501,$A481,B$3)&amp;""="","",INDEX(SRC_Woningetalage!$A$1:$ZZ$501,$A481,B$3)&amp;""))</f>
        <v/>
      </c>
      <c r="C481" t="str">
        <f>IF($B481="","",IF(C$3=0,"n.b.",INDEX(SRC_Woningetalage!$A$1:$ZZ$501,$A481,C$3)))</f>
        <v/>
      </c>
      <c r="D481" t="str">
        <f>IF($B481="","",IF(D$3=0,"n.b.",INDEX(SRC_Woningetalage!$A$1:$ZZ$501,$A481,D$3)))</f>
        <v/>
      </c>
      <c r="E481" t="str">
        <f>IF($B481="","",IF(E$3=0,"n.b.",INDEX(SRC_Woningetalage!$A$1:$ZZ$501,$A481,E$3)))</f>
        <v/>
      </c>
      <c r="F481" t="str">
        <f>IF($B481="","",IF(F$3=0,"n.b.",INDEX(SRC_Woningetalage!$A$1:$ZZ$501,$A481,F$3)))</f>
        <v/>
      </c>
      <c r="G481" t="str">
        <f>IF($B481="","",IF(G$3=0,"n.b.",INDEX(SRC_Woningetalage!$A$1:$ZZ$501,$A481,G$3)))</f>
        <v/>
      </c>
      <c r="H481" t="str">
        <f>IF($B481="","",IF(H$3=0,"n.b.",INDEX(SRC_Woningetalage!$A$1:$ZZ$501,$A481,H$3)))</f>
        <v/>
      </c>
      <c r="I481" t="str">
        <f>IF($B481="","",IF(I$3=0,"n.b.",INDEX(SRC_Woningetalage!$A$1:$ZZ$501,$A481,I$3)))</f>
        <v/>
      </c>
      <c r="J481" t="str">
        <f>IF($B481="","",IF(J$3=0,"n.b.",INDEX(SRC_Woningetalage!$A$1:$ZZ$501,$A481,J$3)))</f>
        <v/>
      </c>
      <c r="K481" t="str">
        <f>IF($B481="","",IF(K$3=0,"n.b.",INDEX(SRC_Woningetalage!$A$1:$ZZ$501,$A481,K$3)))</f>
        <v/>
      </c>
      <c r="L481" t="str">
        <f>IF($B481="","",IF(L$3=0,"n.b.",INDEX(SRC_Woningetalage!$A$1:$ZZ$501,$A481,L$3)))</f>
        <v/>
      </c>
      <c r="M481" t="str">
        <f>IF($B481="","",IF(M$3=0,"n.b.",INDEX(SRC_Woningetalage!$A$1:$ZZ$501,$A481,M$3)))</f>
        <v/>
      </c>
      <c r="N481" t="str">
        <f>IF($B481="","",IF(N$3=0,"n.b.",INDEX(SRC_Woningetalage!$A$1:$ZZ$501,$A481,N$3)))</f>
        <v/>
      </c>
      <c r="O481" t="str">
        <f>IF($B481="","",IF(O$3=0,"n.b.",INDEX(SRC_Woningetalage!$A$1:$ZZ$501,$A481,O$3)))</f>
        <v/>
      </c>
      <c r="P481" t="str">
        <f>IF($B481="","",IF(P$3=0,"n.b.",INDEX(SRC_Woningetalage!$A$1:$ZZ$501,$A481,P$3)))</f>
        <v/>
      </c>
      <c r="Q481" s="124" t="str">
        <f>IF($B481="","",IF(Q$3=0,"n.b.",INDEX(SRC_Woningetalage!$A$1:$ZZ$501,$A481,Q$3)))</f>
        <v/>
      </c>
      <c r="R481" s="124" t="str">
        <f>IF($B481="","",IF(R$3=0,"n.b.",INDEX(SRC_Woningetalage!$A$1:$ZZ$501,$A481,R$3)))</f>
        <v/>
      </c>
      <c r="S481" s="124" t="str">
        <f>IF($B481="","",IF(S$3=0,"n.b.",INDEX(SRC_Woningetalage!$A$1:$ZZ$501,$A481,S$3)))</f>
        <v/>
      </c>
      <c r="T481" s="124" t="str">
        <f>IF($B481="","",IF(T$3=0,"n.b.",INDEX(SRC_Woningetalage!$A$1:$ZZ$501,$A481,T$3)))</f>
        <v/>
      </c>
      <c r="U481" s="124" t="str">
        <f>IF($B481="","",IF(U$3=0,"n.b.",INDEX(SRC_Woningetalage!$A$1:$ZZ$501,$A481,U$3)))</f>
        <v/>
      </c>
      <c r="V481" s="124" t="str">
        <f>IF($B481="","",IF(V$3=0,"n.b.",INDEX(SRC_Woningetalage!$A$1:$ZZ$501,$A481,V$3)))</f>
        <v/>
      </c>
      <c r="W481" s="124" t="str">
        <f>IF($B481="","",IF(W$3=0,"n.b.",INDEX(SRC_Woningetalage!$A$1:$ZZ$501,$A481,W$3)))</f>
        <v/>
      </c>
      <c r="X481" s="124" t="str">
        <f>IF($B481="","",IF(X$3=0,"n.b.",INDEX(SRC_Woningetalage!$A$1:$ZZ$501,$A481,X$3)))</f>
        <v/>
      </c>
      <c r="Y481" s="124" t="str">
        <f>IF($B481="","",IF(Y$3=0,"n.b.",INDEX(SRC_Woningetalage!$A$1:$ZZ$501,$A481,Y$3)))</f>
        <v/>
      </c>
      <c r="Z481" s="124" t="str">
        <f>IF($B481="","",IF(Z$3=0,"n.b.",INDEX(SRC_Woningetalage!$A$1:$ZZ$501,$A481,Z$3)))</f>
        <v/>
      </c>
      <c r="AA481" s="124" t="str">
        <f>IF($B481="","",IF(AA$3=0,"n.b.",INDEX(SRC_Woningetalage!$A$1:$ZZ$501,$A481,AA$3)))</f>
        <v/>
      </c>
      <c r="AB481" s="124" t="str">
        <f>IF($B481="","",IF(AB$3=0,"n.b.",INDEX(SRC_Woningetalage!$A$1:$ZZ$501,$A481,AB$3)))</f>
        <v/>
      </c>
      <c r="AC481" s="124" t="str">
        <f>IF($B481="","",IF(AC$3=0,"n.b.",INDEX(SRC_Woningetalage!$A$1:$ZZ$501,$A481,AC$3)))</f>
        <v/>
      </c>
      <c r="AD481" s="124" t="str">
        <f>IF($B481="","",IF(AD$3=0,"n.b.",INDEX(SRC_Woningetalage!$A$1:$ZZ$501,$A481,AD$3)))</f>
        <v/>
      </c>
      <c r="AE481" s="124" t="str">
        <f>IF($B481="","",IF(AE$3=0,"n.b.",INDEX(SRC_Woningetalage!$A$1:$ZZ$501,$A481,AE$3)))</f>
        <v/>
      </c>
      <c r="AF481" s="124" t="str">
        <f>IF($B481="","",IF(AF$3=0,"n.b.",INDEX(SRC_Woningetalage!$A$1:$ZZ$501,$A481,AF$3)))</f>
        <v/>
      </c>
      <c r="AG481" s="124" t="str">
        <f>IF($B481="","",IF(AG$3=0,"n.b.",INDEX(SRC_Woningetalage!$A$1:$ZZ$501,$A481,AG$3)))</f>
        <v/>
      </c>
      <c r="AH481" s="124" t="str">
        <f>IF($B481="","",IF(AH$3=0,"n.b.",INDEX(SRC_Woningetalage!$A$1:$ZZ$501,$A481,AH$3)))</f>
        <v/>
      </c>
      <c r="AI481" s="124" t="str">
        <f>IF($B481="","",IF(AI$3=0,"n.b.",INDEX(SRC_Woningetalage!$A$1:$ZZ$501,$A481,AI$3)))</f>
        <v/>
      </c>
      <c r="AJ481" s="124" t="str">
        <f>IF($B481="","",IF(AJ$3=0,"n.b.",INDEX(SRC_Woningetalage!$A$1:$ZZ$501,$A481,AJ$3)))</f>
        <v/>
      </c>
      <c r="AK481" s="124" t="str">
        <f>IF($B481="","",IF(AK$3=0,"n.b.",INDEX(SRC_Woningetalage!$A$1:$ZZ$501,$A481,AK$3)))</f>
        <v/>
      </c>
      <c r="AL481" s="124" t="str">
        <f>IF($B481="","",IF(AL$3=0,"n.b.",INDEX(SRC_Woningetalage!$A$1:$ZZ$501,$A481,AL$3)))</f>
        <v/>
      </c>
      <c r="AM481" s="124" t="str">
        <f>IF($B481="","",IF(AM$3=0,"n.b.",INDEX(SRC_Woningetalage!$A$1:$ZZ$501,$A481,AM$3)))</f>
        <v/>
      </c>
      <c r="AN481" s="124" t="str">
        <f>IF($B481="","",IF(AN$3=0,"n.b.",INDEX(SRC_Woningetalage!$A$1:$ZZ$501,$A481,AN$3)))</f>
        <v/>
      </c>
      <c r="AO481" s="124" t="str">
        <f>IF($B481="","",IF(AO$3=0,"n.b.",INDEX(SRC_Woningetalage!$A$1:$ZZ$501,$A481,AO$3)))</f>
        <v/>
      </c>
      <c r="AP481" s="124" t="str">
        <f>IF($B481="","",IF(AP$3=0,"n.b.",INDEX(SRC_Woningetalage!$A$1:$ZZ$501,$A481,AP$3)))</f>
        <v/>
      </c>
      <c r="AQ481" s="124" t="str">
        <f>IF($B481="","",IF(AQ$3=0,"n.b.",INDEX(SRC_Woningetalage!$A$1:$ZZ$501,$A481,AQ$3)))</f>
        <v/>
      </c>
      <c r="AR481" s="124" t="str">
        <f>IF($B481="","",IF(AR$3=0,"n.b.",INDEX(SRC_Woningetalage!$A$1:$ZZ$501,$A481,AR$3)))</f>
        <v/>
      </c>
      <c r="AS481" s="124" t="str">
        <f>IF($B481="","",IF(AS$3=0,"n.b.",INDEX(SRC_Woningetalage!$A$1:$ZZ$501,$A481,AS$3)))</f>
        <v/>
      </c>
      <c r="AT481" s="124" t="str">
        <f>IF($B481="","",IF(AT$3=0,"n.b.",INDEX(SRC_Woningetalage!$A$1:$ZZ$501,$A481,AT$3)))</f>
        <v/>
      </c>
      <c r="AU481" s="124" t="str">
        <f>IF($B481="","",IF(AU$3=0,"n.b.",INDEX(SRC_Woningetalage!$A$1:$ZZ$501,$A481,AU$3)))</f>
        <v/>
      </c>
      <c r="AV481" s="124" t="str">
        <f>IF($B481="","",IF(AV$3=0,"n.b.",INDEX(SRC_Woningetalage!$A$1:$ZZ$501,$A481,AV$3)))</f>
        <v/>
      </c>
      <c r="AW481" s="124" t="str">
        <f>IF($B481="","",IF(AW$3=0,"n.b.",INDEX(SRC_Woningetalage!$A$1:$ZZ$501,$A481,AW$3)))</f>
        <v/>
      </c>
      <c r="AX481" s="124" t="str">
        <f>IF($B481="","",IF(AX$3=0,"n.b.",INDEX(SRC_Woningetalage!$A$1:$ZZ$501,$A481,AX$3)))</f>
        <v/>
      </c>
      <c r="AY481" s="124" t="str">
        <f>IF($B481="","",IF(AY$3=0,"n.b.",INDEX(SRC_Woningetalage!$A$1:$ZZ$501,$A481,AY$3)))</f>
        <v/>
      </c>
      <c r="AZ481" s="124" t="str">
        <f>IF($B481="","",IF(AZ$3=0,"n.b.",INDEX(SRC_Woningetalage!$A$1:$ZZ$501,$A481,AZ$3)))</f>
        <v/>
      </c>
      <c r="BA481" s="124" t="str">
        <f>IF($B481="","",IF(BA$3=0,"n.b.",INDEX(SRC_Woningetalage!$A$1:$ZZ$501,$A481,BA$3)))</f>
        <v/>
      </c>
      <c r="BB481" s="124" t="str">
        <f>IF($B481="","",IF(BB$3=0,"n.b.",INDEX(SRC_Woningetalage!$A$1:$ZZ$501,$A481,BB$3)))</f>
        <v/>
      </c>
      <c r="BC481" s="124" t="str">
        <f>IF($B481="","",IFERROR(_xlfn.NUMBERVALUE(E481&amp;"",",","."),"n.b."))</f>
        <v/>
      </c>
      <c r="BD481" s="124" t="str">
        <f>IF($B481="","",IFERROR(_xlfn.NUMBERVALUE(M481&amp;"",",","."),"n.b."))</f>
        <v/>
      </c>
      <c r="BE481" s="124" t="str">
        <f>IF($B481="","",IFERROR(AB481+AC481+AD481,"n.b."))</f>
        <v/>
      </c>
      <c r="BF481" s="124" t="str">
        <f>IF($B481="","",IFERROR(AE481+AF481+AG481,"n.b."))</f>
        <v/>
      </c>
      <c r="BG481" s="124" t="str">
        <f>IF($B481="","",IFERROR(AH481+AI481+AJ481,"n.b."))</f>
        <v/>
      </c>
      <c r="BH481" s="124" t="str">
        <f>IF($B481="","",IFERROR(AK481+AL481+AM481,"n.b."))</f>
        <v/>
      </c>
      <c r="BI481" s="124" t="str">
        <f>IF($B481="","",IFERROR(SUMIF($AB$5:$AM$5,"&lt;="&amp;P_PeilMaand,AB481:AM481),"n.b."))</f>
        <v/>
      </c>
      <c r="BJ481" s="124" t="str">
        <f>IF($B481="","",IFERROR(SUM(AB481:AM481)-BI481,"n.b."))</f>
        <v/>
      </c>
      <c r="BK481" s="124" t="str">
        <f>IF($B481="","",IFERROR(IF(ABS(Q481-(T481+SUM(AB481:AM481)+AS481+AU481))&gt;P_Tol,1,0),1))</f>
        <v/>
      </c>
      <c r="BL481" s="124" t="str">
        <f>IF($B481="","",IFERROR(IF(ABS(AA481-(Q481-Z481))&gt;P_Tol,1,0),1))</f>
        <v/>
      </c>
      <c r="BM481" s="124" t="str">
        <f>IF($B481="","",IFERROR(IF(ABS(Z481-(T481+W481))&gt;P_Tol,1,0),1))</f>
        <v/>
      </c>
      <c r="BN481" s="124" t="str">
        <f>IF($B481="","",IFERROR(IF(ABS(W481-BI481)&gt;P_Tol,1,0),1))</f>
        <v/>
      </c>
      <c r="BO481" s="124" t="str">
        <f>IF($B481="","",IFERROR(IF(OR(ABS(R481+S481-T481)&gt;P_Tol,ABS(U481+V481-W481)&gt;P_Tol,ABS(X481+Y481-Z481)&gt;P_Tol),1,0),1))</f>
        <v/>
      </c>
      <c r="BP481" s="124" t="str">
        <f>IF($B481="","",IFERROR(IF(OR(ABS(AR481-SUM(AB481:AM481))&gt;P_Tol,ABS(AS481-(AN481+AO481+AP481+AQ481))&gt;P_Tol),1,0),1))</f>
        <v/>
      </c>
      <c r="BQ481" s="124" t="str">
        <f>IF($B481="","",IFERROR(IF(ABS(AT481)+ABS(AV481)+ABS(AW481)+ABS(AX481)+ABS(AY481)+ABS(AZ481)+ABS(BA481)+ABS(BB481)&gt;0,1,0),1))</f>
        <v/>
      </c>
      <c r="BR481" s="124" t="str">
        <f>IF($B481="","",COUNTIF(STG_ZPMW03!$B$6:$B$505,B481))</f>
        <v/>
      </c>
      <c r="BS481" s="124" t="str">
        <f>IF($B481="","",COUNTIF($B$6:$B$505,B481))</f>
        <v/>
      </c>
      <c r="BT481" s="124" t="str">
        <f>IF($B481="","",IF(BR481=0,0,IF(INDEX(STG_ZPMW03!$I$6:$I$505,MATCH(B481,STG_ZPMW03!$B$6:$B$505,0))=J481&amp;"",0,1)))</f>
        <v/>
      </c>
      <c r="BU481" s="124" t="str">
        <f>IF($B481="","",IFERROR(IF(ABS(INDEX(Mapping!$D$5:$D$104,MATCH(B481,Mapping!$A$5:$A$104,0))-Q481)&gt;P_Tol,1,0),0))</f>
        <v/>
      </c>
      <c r="BV481" s="124" t="str">
        <f>IF($B481="","",IFERROR(IF(AND(INDEX(Mapping!$G$5:$G$104,MATCH(B481,Mapping!$A$5:$A$104,0))="Nee",ABS(Q481)+ABS(Z481)+ABS(AR481)&gt;0),1,0),0))</f>
        <v/>
      </c>
      <c r="BW481" s="124" t="str">
        <f>IF($B481="","",IF(COUNTIF(Mapping!$A$5:$A$104,B481)&gt;0,1,0))</f>
        <v/>
      </c>
      <c r="BX481" s="124" t="str">
        <f>IF($B481="","",IF(BR481=0,COUNTIF($BR$6:BR481,0),""))</f>
        <v/>
      </c>
    </row>
    <row r="482">
      <c r="A482" s="15" t="n">
        <v>478</v>
      </c>
      <c r="B482" t="str">
        <f>IF(B$3=0,"",IF(INDEX(SRC_Woningetalage!$A$1:$ZZ$501,$A482,B$3)&amp;""="","",INDEX(SRC_Woningetalage!$A$1:$ZZ$501,$A482,B$3)&amp;""))</f>
        <v/>
      </c>
      <c r="C482" t="str">
        <f>IF($B482="","",IF(C$3=0,"n.b.",INDEX(SRC_Woningetalage!$A$1:$ZZ$501,$A482,C$3)))</f>
        <v/>
      </c>
      <c r="D482" t="str">
        <f>IF($B482="","",IF(D$3=0,"n.b.",INDEX(SRC_Woningetalage!$A$1:$ZZ$501,$A482,D$3)))</f>
        <v/>
      </c>
      <c r="E482" t="str">
        <f>IF($B482="","",IF(E$3=0,"n.b.",INDEX(SRC_Woningetalage!$A$1:$ZZ$501,$A482,E$3)))</f>
        <v/>
      </c>
      <c r="F482" t="str">
        <f>IF($B482="","",IF(F$3=0,"n.b.",INDEX(SRC_Woningetalage!$A$1:$ZZ$501,$A482,F$3)))</f>
        <v/>
      </c>
      <c r="G482" t="str">
        <f>IF($B482="","",IF(G$3=0,"n.b.",INDEX(SRC_Woningetalage!$A$1:$ZZ$501,$A482,G$3)))</f>
        <v/>
      </c>
      <c r="H482" t="str">
        <f>IF($B482="","",IF(H$3=0,"n.b.",INDEX(SRC_Woningetalage!$A$1:$ZZ$501,$A482,H$3)))</f>
        <v/>
      </c>
      <c r="I482" t="str">
        <f>IF($B482="","",IF(I$3=0,"n.b.",INDEX(SRC_Woningetalage!$A$1:$ZZ$501,$A482,I$3)))</f>
        <v/>
      </c>
      <c r="J482" t="str">
        <f>IF($B482="","",IF(J$3=0,"n.b.",INDEX(SRC_Woningetalage!$A$1:$ZZ$501,$A482,J$3)))</f>
        <v/>
      </c>
      <c r="K482" t="str">
        <f>IF($B482="","",IF(K$3=0,"n.b.",INDEX(SRC_Woningetalage!$A$1:$ZZ$501,$A482,K$3)))</f>
        <v/>
      </c>
      <c r="L482" t="str">
        <f>IF($B482="","",IF(L$3=0,"n.b.",INDEX(SRC_Woningetalage!$A$1:$ZZ$501,$A482,L$3)))</f>
        <v/>
      </c>
      <c r="M482" t="str">
        <f>IF($B482="","",IF(M$3=0,"n.b.",INDEX(SRC_Woningetalage!$A$1:$ZZ$501,$A482,M$3)))</f>
        <v/>
      </c>
      <c r="N482" t="str">
        <f>IF($B482="","",IF(N$3=0,"n.b.",INDEX(SRC_Woningetalage!$A$1:$ZZ$501,$A482,N$3)))</f>
        <v/>
      </c>
      <c r="O482" t="str">
        <f>IF($B482="","",IF(O$3=0,"n.b.",INDEX(SRC_Woningetalage!$A$1:$ZZ$501,$A482,O$3)))</f>
        <v/>
      </c>
      <c r="P482" t="str">
        <f>IF($B482="","",IF(P$3=0,"n.b.",INDEX(SRC_Woningetalage!$A$1:$ZZ$501,$A482,P$3)))</f>
        <v/>
      </c>
      <c r="Q482" s="124" t="str">
        <f>IF($B482="","",IF(Q$3=0,"n.b.",INDEX(SRC_Woningetalage!$A$1:$ZZ$501,$A482,Q$3)))</f>
        <v/>
      </c>
      <c r="R482" s="124" t="str">
        <f>IF($B482="","",IF(R$3=0,"n.b.",INDEX(SRC_Woningetalage!$A$1:$ZZ$501,$A482,R$3)))</f>
        <v/>
      </c>
      <c r="S482" s="124" t="str">
        <f>IF($B482="","",IF(S$3=0,"n.b.",INDEX(SRC_Woningetalage!$A$1:$ZZ$501,$A482,S$3)))</f>
        <v/>
      </c>
      <c r="T482" s="124" t="str">
        <f>IF($B482="","",IF(T$3=0,"n.b.",INDEX(SRC_Woningetalage!$A$1:$ZZ$501,$A482,T$3)))</f>
        <v/>
      </c>
      <c r="U482" s="124" t="str">
        <f>IF($B482="","",IF(U$3=0,"n.b.",INDEX(SRC_Woningetalage!$A$1:$ZZ$501,$A482,U$3)))</f>
        <v/>
      </c>
      <c r="V482" s="124" t="str">
        <f>IF($B482="","",IF(V$3=0,"n.b.",INDEX(SRC_Woningetalage!$A$1:$ZZ$501,$A482,V$3)))</f>
        <v/>
      </c>
      <c r="W482" s="124" t="str">
        <f>IF($B482="","",IF(W$3=0,"n.b.",INDEX(SRC_Woningetalage!$A$1:$ZZ$501,$A482,W$3)))</f>
        <v/>
      </c>
      <c r="X482" s="124" t="str">
        <f>IF($B482="","",IF(X$3=0,"n.b.",INDEX(SRC_Woningetalage!$A$1:$ZZ$501,$A482,X$3)))</f>
        <v/>
      </c>
      <c r="Y482" s="124" t="str">
        <f>IF($B482="","",IF(Y$3=0,"n.b.",INDEX(SRC_Woningetalage!$A$1:$ZZ$501,$A482,Y$3)))</f>
        <v/>
      </c>
      <c r="Z482" s="124" t="str">
        <f>IF($B482="","",IF(Z$3=0,"n.b.",INDEX(SRC_Woningetalage!$A$1:$ZZ$501,$A482,Z$3)))</f>
        <v/>
      </c>
      <c r="AA482" s="124" t="str">
        <f>IF($B482="","",IF(AA$3=0,"n.b.",INDEX(SRC_Woningetalage!$A$1:$ZZ$501,$A482,AA$3)))</f>
        <v/>
      </c>
      <c r="AB482" s="124" t="str">
        <f>IF($B482="","",IF(AB$3=0,"n.b.",INDEX(SRC_Woningetalage!$A$1:$ZZ$501,$A482,AB$3)))</f>
        <v/>
      </c>
      <c r="AC482" s="124" t="str">
        <f>IF($B482="","",IF(AC$3=0,"n.b.",INDEX(SRC_Woningetalage!$A$1:$ZZ$501,$A482,AC$3)))</f>
        <v/>
      </c>
      <c r="AD482" s="124" t="str">
        <f>IF($B482="","",IF(AD$3=0,"n.b.",INDEX(SRC_Woningetalage!$A$1:$ZZ$501,$A482,AD$3)))</f>
        <v/>
      </c>
      <c r="AE482" s="124" t="str">
        <f>IF($B482="","",IF(AE$3=0,"n.b.",INDEX(SRC_Woningetalage!$A$1:$ZZ$501,$A482,AE$3)))</f>
        <v/>
      </c>
      <c r="AF482" s="124" t="str">
        <f>IF($B482="","",IF(AF$3=0,"n.b.",INDEX(SRC_Woningetalage!$A$1:$ZZ$501,$A482,AF$3)))</f>
        <v/>
      </c>
      <c r="AG482" s="124" t="str">
        <f>IF($B482="","",IF(AG$3=0,"n.b.",INDEX(SRC_Woningetalage!$A$1:$ZZ$501,$A482,AG$3)))</f>
        <v/>
      </c>
      <c r="AH482" s="124" t="str">
        <f>IF($B482="","",IF(AH$3=0,"n.b.",INDEX(SRC_Woningetalage!$A$1:$ZZ$501,$A482,AH$3)))</f>
        <v/>
      </c>
      <c r="AI482" s="124" t="str">
        <f>IF($B482="","",IF(AI$3=0,"n.b.",INDEX(SRC_Woningetalage!$A$1:$ZZ$501,$A482,AI$3)))</f>
        <v/>
      </c>
      <c r="AJ482" s="124" t="str">
        <f>IF($B482="","",IF(AJ$3=0,"n.b.",INDEX(SRC_Woningetalage!$A$1:$ZZ$501,$A482,AJ$3)))</f>
        <v/>
      </c>
      <c r="AK482" s="124" t="str">
        <f>IF($B482="","",IF(AK$3=0,"n.b.",INDEX(SRC_Woningetalage!$A$1:$ZZ$501,$A482,AK$3)))</f>
        <v/>
      </c>
      <c r="AL482" s="124" t="str">
        <f>IF($B482="","",IF(AL$3=0,"n.b.",INDEX(SRC_Woningetalage!$A$1:$ZZ$501,$A482,AL$3)))</f>
        <v/>
      </c>
      <c r="AM482" s="124" t="str">
        <f>IF($B482="","",IF(AM$3=0,"n.b.",INDEX(SRC_Woningetalage!$A$1:$ZZ$501,$A482,AM$3)))</f>
        <v/>
      </c>
      <c r="AN482" s="124" t="str">
        <f>IF($B482="","",IF(AN$3=0,"n.b.",INDEX(SRC_Woningetalage!$A$1:$ZZ$501,$A482,AN$3)))</f>
        <v/>
      </c>
      <c r="AO482" s="124" t="str">
        <f>IF($B482="","",IF(AO$3=0,"n.b.",INDEX(SRC_Woningetalage!$A$1:$ZZ$501,$A482,AO$3)))</f>
        <v/>
      </c>
      <c r="AP482" s="124" t="str">
        <f>IF($B482="","",IF(AP$3=0,"n.b.",INDEX(SRC_Woningetalage!$A$1:$ZZ$501,$A482,AP$3)))</f>
        <v/>
      </c>
      <c r="AQ482" s="124" t="str">
        <f>IF($B482="","",IF(AQ$3=0,"n.b.",INDEX(SRC_Woningetalage!$A$1:$ZZ$501,$A482,AQ$3)))</f>
        <v/>
      </c>
      <c r="AR482" s="124" t="str">
        <f>IF($B482="","",IF(AR$3=0,"n.b.",INDEX(SRC_Woningetalage!$A$1:$ZZ$501,$A482,AR$3)))</f>
        <v/>
      </c>
      <c r="AS482" s="124" t="str">
        <f>IF($B482="","",IF(AS$3=0,"n.b.",INDEX(SRC_Woningetalage!$A$1:$ZZ$501,$A482,AS$3)))</f>
        <v/>
      </c>
      <c r="AT482" s="124" t="str">
        <f>IF($B482="","",IF(AT$3=0,"n.b.",INDEX(SRC_Woningetalage!$A$1:$ZZ$501,$A482,AT$3)))</f>
        <v/>
      </c>
      <c r="AU482" s="124" t="str">
        <f>IF($B482="","",IF(AU$3=0,"n.b.",INDEX(SRC_Woningetalage!$A$1:$ZZ$501,$A482,AU$3)))</f>
        <v/>
      </c>
      <c r="AV482" s="124" t="str">
        <f>IF($B482="","",IF(AV$3=0,"n.b.",INDEX(SRC_Woningetalage!$A$1:$ZZ$501,$A482,AV$3)))</f>
        <v/>
      </c>
      <c r="AW482" s="124" t="str">
        <f>IF($B482="","",IF(AW$3=0,"n.b.",INDEX(SRC_Woningetalage!$A$1:$ZZ$501,$A482,AW$3)))</f>
        <v/>
      </c>
      <c r="AX482" s="124" t="str">
        <f>IF($B482="","",IF(AX$3=0,"n.b.",INDEX(SRC_Woningetalage!$A$1:$ZZ$501,$A482,AX$3)))</f>
        <v/>
      </c>
      <c r="AY482" s="124" t="str">
        <f>IF($B482="","",IF(AY$3=0,"n.b.",INDEX(SRC_Woningetalage!$A$1:$ZZ$501,$A482,AY$3)))</f>
        <v/>
      </c>
      <c r="AZ482" s="124" t="str">
        <f>IF($B482="","",IF(AZ$3=0,"n.b.",INDEX(SRC_Woningetalage!$A$1:$ZZ$501,$A482,AZ$3)))</f>
        <v/>
      </c>
      <c r="BA482" s="124" t="str">
        <f>IF($B482="","",IF(BA$3=0,"n.b.",INDEX(SRC_Woningetalage!$A$1:$ZZ$501,$A482,BA$3)))</f>
        <v/>
      </c>
      <c r="BB482" s="124" t="str">
        <f>IF($B482="","",IF(BB$3=0,"n.b.",INDEX(SRC_Woningetalage!$A$1:$ZZ$501,$A482,BB$3)))</f>
        <v/>
      </c>
      <c r="BC482" s="124" t="str">
        <f>IF($B482="","",IFERROR(_xlfn.NUMBERVALUE(E482&amp;"",",","."),"n.b."))</f>
        <v/>
      </c>
      <c r="BD482" s="124" t="str">
        <f>IF($B482="","",IFERROR(_xlfn.NUMBERVALUE(M482&amp;"",",","."),"n.b."))</f>
        <v/>
      </c>
      <c r="BE482" s="124" t="str">
        <f>IF($B482="","",IFERROR(AB482+AC482+AD482,"n.b."))</f>
        <v/>
      </c>
      <c r="BF482" s="124" t="str">
        <f>IF($B482="","",IFERROR(AE482+AF482+AG482,"n.b."))</f>
        <v/>
      </c>
      <c r="BG482" s="124" t="str">
        <f>IF($B482="","",IFERROR(AH482+AI482+AJ482,"n.b."))</f>
        <v/>
      </c>
      <c r="BH482" s="124" t="str">
        <f>IF($B482="","",IFERROR(AK482+AL482+AM482,"n.b."))</f>
        <v/>
      </c>
      <c r="BI482" s="124" t="str">
        <f>IF($B482="","",IFERROR(SUMIF($AB$5:$AM$5,"&lt;="&amp;P_PeilMaand,AB482:AM482),"n.b."))</f>
        <v/>
      </c>
      <c r="BJ482" s="124" t="str">
        <f>IF($B482="","",IFERROR(SUM(AB482:AM482)-BI482,"n.b."))</f>
        <v/>
      </c>
      <c r="BK482" s="124" t="str">
        <f>IF($B482="","",IFERROR(IF(ABS(Q482-(T482+SUM(AB482:AM482)+AS482+AU482))&gt;P_Tol,1,0),1))</f>
        <v/>
      </c>
      <c r="BL482" s="124" t="str">
        <f>IF($B482="","",IFERROR(IF(ABS(AA482-(Q482-Z482))&gt;P_Tol,1,0),1))</f>
        <v/>
      </c>
      <c r="BM482" s="124" t="str">
        <f>IF($B482="","",IFERROR(IF(ABS(Z482-(T482+W482))&gt;P_Tol,1,0),1))</f>
        <v/>
      </c>
      <c r="BN482" s="124" t="str">
        <f>IF($B482="","",IFERROR(IF(ABS(W482-BI482)&gt;P_Tol,1,0),1))</f>
        <v/>
      </c>
      <c r="BO482" s="124" t="str">
        <f>IF($B482="","",IFERROR(IF(OR(ABS(R482+S482-T482)&gt;P_Tol,ABS(U482+V482-W482)&gt;P_Tol,ABS(X482+Y482-Z482)&gt;P_Tol),1,0),1))</f>
        <v/>
      </c>
      <c r="BP482" s="124" t="str">
        <f>IF($B482="","",IFERROR(IF(OR(ABS(AR482-SUM(AB482:AM482))&gt;P_Tol,ABS(AS482-(AN482+AO482+AP482+AQ482))&gt;P_Tol),1,0),1))</f>
        <v/>
      </c>
      <c r="BQ482" s="124" t="str">
        <f>IF($B482="","",IFERROR(IF(ABS(AT482)+ABS(AV482)+ABS(AW482)+ABS(AX482)+ABS(AY482)+ABS(AZ482)+ABS(BA482)+ABS(BB482)&gt;0,1,0),1))</f>
        <v/>
      </c>
      <c r="BR482" s="124" t="str">
        <f>IF($B482="","",COUNTIF(STG_ZPMW03!$B$6:$B$505,B482))</f>
        <v/>
      </c>
      <c r="BS482" s="124" t="str">
        <f>IF($B482="","",COUNTIF($B$6:$B$505,B482))</f>
        <v/>
      </c>
      <c r="BT482" s="124" t="str">
        <f>IF($B482="","",IF(BR482=0,0,IF(INDEX(STG_ZPMW03!$I$6:$I$505,MATCH(B482,STG_ZPMW03!$B$6:$B$505,0))=J482&amp;"",0,1)))</f>
        <v/>
      </c>
      <c r="BU482" s="124" t="str">
        <f>IF($B482="","",IFERROR(IF(ABS(INDEX(Mapping!$D$5:$D$104,MATCH(B482,Mapping!$A$5:$A$104,0))-Q482)&gt;P_Tol,1,0),0))</f>
        <v/>
      </c>
      <c r="BV482" s="124" t="str">
        <f>IF($B482="","",IFERROR(IF(AND(INDEX(Mapping!$G$5:$G$104,MATCH(B482,Mapping!$A$5:$A$104,0))="Nee",ABS(Q482)+ABS(Z482)+ABS(AR482)&gt;0),1,0),0))</f>
        <v/>
      </c>
      <c r="BW482" s="124" t="str">
        <f>IF($B482="","",IF(COUNTIF(Mapping!$A$5:$A$104,B482)&gt;0,1,0))</f>
        <v/>
      </c>
      <c r="BX482" s="124" t="str">
        <f>IF($B482="","",IF(BR482=0,COUNTIF($BR$6:BR482,0),""))</f>
        <v/>
      </c>
    </row>
    <row r="483">
      <c r="A483" s="15" t="n">
        <v>479</v>
      </c>
      <c r="B483" t="str">
        <f>IF(B$3=0,"",IF(INDEX(SRC_Woningetalage!$A$1:$ZZ$501,$A483,B$3)&amp;""="","",INDEX(SRC_Woningetalage!$A$1:$ZZ$501,$A483,B$3)&amp;""))</f>
        <v/>
      </c>
      <c r="C483" t="str">
        <f>IF($B483="","",IF(C$3=0,"n.b.",INDEX(SRC_Woningetalage!$A$1:$ZZ$501,$A483,C$3)))</f>
        <v/>
      </c>
      <c r="D483" t="str">
        <f>IF($B483="","",IF(D$3=0,"n.b.",INDEX(SRC_Woningetalage!$A$1:$ZZ$501,$A483,D$3)))</f>
        <v/>
      </c>
      <c r="E483" t="str">
        <f>IF($B483="","",IF(E$3=0,"n.b.",INDEX(SRC_Woningetalage!$A$1:$ZZ$501,$A483,E$3)))</f>
        <v/>
      </c>
      <c r="F483" t="str">
        <f>IF($B483="","",IF(F$3=0,"n.b.",INDEX(SRC_Woningetalage!$A$1:$ZZ$501,$A483,F$3)))</f>
        <v/>
      </c>
      <c r="G483" t="str">
        <f>IF($B483="","",IF(G$3=0,"n.b.",INDEX(SRC_Woningetalage!$A$1:$ZZ$501,$A483,G$3)))</f>
        <v/>
      </c>
      <c r="H483" t="str">
        <f>IF($B483="","",IF(H$3=0,"n.b.",INDEX(SRC_Woningetalage!$A$1:$ZZ$501,$A483,H$3)))</f>
        <v/>
      </c>
      <c r="I483" t="str">
        <f>IF($B483="","",IF(I$3=0,"n.b.",INDEX(SRC_Woningetalage!$A$1:$ZZ$501,$A483,I$3)))</f>
        <v/>
      </c>
      <c r="J483" t="str">
        <f>IF($B483="","",IF(J$3=0,"n.b.",INDEX(SRC_Woningetalage!$A$1:$ZZ$501,$A483,J$3)))</f>
        <v/>
      </c>
      <c r="K483" t="str">
        <f>IF($B483="","",IF(K$3=0,"n.b.",INDEX(SRC_Woningetalage!$A$1:$ZZ$501,$A483,K$3)))</f>
        <v/>
      </c>
      <c r="L483" t="str">
        <f>IF($B483="","",IF(L$3=0,"n.b.",INDEX(SRC_Woningetalage!$A$1:$ZZ$501,$A483,L$3)))</f>
        <v/>
      </c>
      <c r="M483" t="str">
        <f>IF($B483="","",IF(M$3=0,"n.b.",INDEX(SRC_Woningetalage!$A$1:$ZZ$501,$A483,M$3)))</f>
        <v/>
      </c>
      <c r="N483" t="str">
        <f>IF($B483="","",IF(N$3=0,"n.b.",INDEX(SRC_Woningetalage!$A$1:$ZZ$501,$A483,N$3)))</f>
        <v/>
      </c>
      <c r="O483" t="str">
        <f>IF($B483="","",IF(O$3=0,"n.b.",INDEX(SRC_Woningetalage!$A$1:$ZZ$501,$A483,O$3)))</f>
        <v/>
      </c>
      <c r="P483" t="str">
        <f>IF($B483="","",IF(P$3=0,"n.b.",INDEX(SRC_Woningetalage!$A$1:$ZZ$501,$A483,P$3)))</f>
        <v/>
      </c>
      <c r="Q483" s="124" t="str">
        <f>IF($B483="","",IF(Q$3=0,"n.b.",INDEX(SRC_Woningetalage!$A$1:$ZZ$501,$A483,Q$3)))</f>
        <v/>
      </c>
      <c r="R483" s="124" t="str">
        <f>IF($B483="","",IF(R$3=0,"n.b.",INDEX(SRC_Woningetalage!$A$1:$ZZ$501,$A483,R$3)))</f>
        <v/>
      </c>
      <c r="S483" s="124" t="str">
        <f>IF($B483="","",IF(S$3=0,"n.b.",INDEX(SRC_Woningetalage!$A$1:$ZZ$501,$A483,S$3)))</f>
        <v/>
      </c>
      <c r="T483" s="124" t="str">
        <f>IF($B483="","",IF(T$3=0,"n.b.",INDEX(SRC_Woningetalage!$A$1:$ZZ$501,$A483,T$3)))</f>
        <v/>
      </c>
      <c r="U483" s="124" t="str">
        <f>IF($B483="","",IF(U$3=0,"n.b.",INDEX(SRC_Woningetalage!$A$1:$ZZ$501,$A483,U$3)))</f>
        <v/>
      </c>
      <c r="V483" s="124" t="str">
        <f>IF($B483="","",IF(V$3=0,"n.b.",INDEX(SRC_Woningetalage!$A$1:$ZZ$501,$A483,V$3)))</f>
        <v/>
      </c>
      <c r="W483" s="124" t="str">
        <f>IF($B483="","",IF(W$3=0,"n.b.",INDEX(SRC_Woningetalage!$A$1:$ZZ$501,$A483,W$3)))</f>
        <v/>
      </c>
      <c r="X483" s="124" t="str">
        <f>IF($B483="","",IF(X$3=0,"n.b.",INDEX(SRC_Woningetalage!$A$1:$ZZ$501,$A483,X$3)))</f>
        <v/>
      </c>
      <c r="Y483" s="124" t="str">
        <f>IF($B483="","",IF(Y$3=0,"n.b.",INDEX(SRC_Woningetalage!$A$1:$ZZ$501,$A483,Y$3)))</f>
        <v/>
      </c>
      <c r="Z483" s="124" t="str">
        <f>IF($B483="","",IF(Z$3=0,"n.b.",INDEX(SRC_Woningetalage!$A$1:$ZZ$501,$A483,Z$3)))</f>
        <v/>
      </c>
      <c r="AA483" s="124" t="str">
        <f>IF($B483="","",IF(AA$3=0,"n.b.",INDEX(SRC_Woningetalage!$A$1:$ZZ$501,$A483,AA$3)))</f>
        <v/>
      </c>
      <c r="AB483" s="124" t="str">
        <f>IF($B483="","",IF(AB$3=0,"n.b.",INDEX(SRC_Woningetalage!$A$1:$ZZ$501,$A483,AB$3)))</f>
        <v/>
      </c>
      <c r="AC483" s="124" t="str">
        <f>IF($B483="","",IF(AC$3=0,"n.b.",INDEX(SRC_Woningetalage!$A$1:$ZZ$501,$A483,AC$3)))</f>
        <v/>
      </c>
      <c r="AD483" s="124" t="str">
        <f>IF($B483="","",IF(AD$3=0,"n.b.",INDEX(SRC_Woningetalage!$A$1:$ZZ$501,$A483,AD$3)))</f>
        <v/>
      </c>
      <c r="AE483" s="124" t="str">
        <f>IF($B483="","",IF(AE$3=0,"n.b.",INDEX(SRC_Woningetalage!$A$1:$ZZ$501,$A483,AE$3)))</f>
        <v/>
      </c>
      <c r="AF483" s="124" t="str">
        <f>IF($B483="","",IF(AF$3=0,"n.b.",INDEX(SRC_Woningetalage!$A$1:$ZZ$501,$A483,AF$3)))</f>
        <v/>
      </c>
      <c r="AG483" s="124" t="str">
        <f>IF($B483="","",IF(AG$3=0,"n.b.",INDEX(SRC_Woningetalage!$A$1:$ZZ$501,$A483,AG$3)))</f>
        <v/>
      </c>
      <c r="AH483" s="124" t="str">
        <f>IF($B483="","",IF(AH$3=0,"n.b.",INDEX(SRC_Woningetalage!$A$1:$ZZ$501,$A483,AH$3)))</f>
        <v/>
      </c>
      <c r="AI483" s="124" t="str">
        <f>IF($B483="","",IF(AI$3=0,"n.b.",INDEX(SRC_Woningetalage!$A$1:$ZZ$501,$A483,AI$3)))</f>
        <v/>
      </c>
      <c r="AJ483" s="124" t="str">
        <f>IF($B483="","",IF(AJ$3=0,"n.b.",INDEX(SRC_Woningetalage!$A$1:$ZZ$501,$A483,AJ$3)))</f>
        <v/>
      </c>
      <c r="AK483" s="124" t="str">
        <f>IF($B483="","",IF(AK$3=0,"n.b.",INDEX(SRC_Woningetalage!$A$1:$ZZ$501,$A483,AK$3)))</f>
        <v/>
      </c>
      <c r="AL483" s="124" t="str">
        <f>IF($B483="","",IF(AL$3=0,"n.b.",INDEX(SRC_Woningetalage!$A$1:$ZZ$501,$A483,AL$3)))</f>
        <v/>
      </c>
      <c r="AM483" s="124" t="str">
        <f>IF($B483="","",IF(AM$3=0,"n.b.",INDEX(SRC_Woningetalage!$A$1:$ZZ$501,$A483,AM$3)))</f>
        <v/>
      </c>
      <c r="AN483" s="124" t="str">
        <f>IF($B483="","",IF(AN$3=0,"n.b.",INDEX(SRC_Woningetalage!$A$1:$ZZ$501,$A483,AN$3)))</f>
        <v/>
      </c>
      <c r="AO483" s="124" t="str">
        <f>IF($B483="","",IF(AO$3=0,"n.b.",INDEX(SRC_Woningetalage!$A$1:$ZZ$501,$A483,AO$3)))</f>
        <v/>
      </c>
      <c r="AP483" s="124" t="str">
        <f>IF($B483="","",IF(AP$3=0,"n.b.",INDEX(SRC_Woningetalage!$A$1:$ZZ$501,$A483,AP$3)))</f>
        <v/>
      </c>
      <c r="AQ483" s="124" t="str">
        <f>IF($B483="","",IF(AQ$3=0,"n.b.",INDEX(SRC_Woningetalage!$A$1:$ZZ$501,$A483,AQ$3)))</f>
        <v/>
      </c>
      <c r="AR483" s="124" t="str">
        <f>IF($B483="","",IF(AR$3=0,"n.b.",INDEX(SRC_Woningetalage!$A$1:$ZZ$501,$A483,AR$3)))</f>
        <v/>
      </c>
      <c r="AS483" s="124" t="str">
        <f>IF($B483="","",IF(AS$3=0,"n.b.",INDEX(SRC_Woningetalage!$A$1:$ZZ$501,$A483,AS$3)))</f>
        <v/>
      </c>
      <c r="AT483" s="124" t="str">
        <f>IF($B483="","",IF(AT$3=0,"n.b.",INDEX(SRC_Woningetalage!$A$1:$ZZ$501,$A483,AT$3)))</f>
        <v/>
      </c>
      <c r="AU483" s="124" t="str">
        <f>IF($B483="","",IF(AU$3=0,"n.b.",INDEX(SRC_Woningetalage!$A$1:$ZZ$501,$A483,AU$3)))</f>
        <v/>
      </c>
      <c r="AV483" s="124" t="str">
        <f>IF($B483="","",IF(AV$3=0,"n.b.",INDEX(SRC_Woningetalage!$A$1:$ZZ$501,$A483,AV$3)))</f>
        <v/>
      </c>
      <c r="AW483" s="124" t="str">
        <f>IF($B483="","",IF(AW$3=0,"n.b.",INDEX(SRC_Woningetalage!$A$1:$ZZ$501,$A483,AW$3)))</f>
        <v/>
      </c>
      <c r="AX483" s="124" t="str">
        <f>IF($B483="","",IF(AX$3=0,"n.b.",INDEX(SRC_Woningetalage!$A$1:$ZZ$501,$A483,AX$3)))</f>
        <v/>
      </c>
      <c r="AY483" s="124" t="str">
        <f>IF($B483="","",IF(AY$3=0,"n.b.",INDEX(SRC_Woningetalage!$A$1:$ZZ$501,$A483,AY$3)))</f>
        <v/>
      </c>
      <c r="AZ483" s="124" t="str">
        <f>IF($B483="","",IF(AZ$3=0,"n.b.",INDEX(SRC_Woningetalage!$A$1:$ZZ$501,$A483,AZ$3)))</f>
        <v/>
      </c>
      <c r="BA483" s="124" t="str">
        <f>IF($B483="","",IF(BA$3=0,"n.b.",INDEX(SRC_Woningetalage!$A$1:$ZZ$501,$A483,BA$3)))</f>
        <v/>
      </c>
      <c r="BB483" s="124" t="str">
        <f>IF($B483="","",IF(BB$3=0,"n.b.",INDEX(SRC_Woningetalage!$A$1:$ZZ$501,$A483,BB$3)))</f>
        <v/>
      </c>
      <c r="BC483" s="124" t="str">
        <f>IF($B483="","",IFERROR(_xlfn.NUMBERVALUE(E483&amp;"",",","."),"n.b."))</f>
        <v/>
      </c>
      <c r="BD483" s="124" t="str">
        <f>IF($B483="","",IFERROR(_xlfn.NUMBERVALUE(M483&amp;"",",","."),"n.b."))</f>
        <v/>
      </c>
      <c r="BE483" s="124" t="str">
        <f>IF($B483="","",IFERROR(AB483+AC483+AD483,"n.b."))</f>
        <v/>
      </c>
      <c r="BF483" s="124" t="str">
        <f>IF($B483="","",IFERROR(AE483+AF483+AG483,"n.b."))</f>
        <v/>
      </c>
      <c r="BG483" s="124" t="str">
        <f>IF($B483="","",IFERROR(AH483+AI483+AJ483,"n.b."))</f>
        <v/>
      </c>
      <c r="BH483" s="124" t="str">
        <f>IF($B483="","",IFERROR(AK483+AL483+AM483,"n.b."))</f>
        <v/>
      </c>
      <c r="BI483" s="124" t="str">
        <f>IF($B483="","",IFERROR(SUMIF($AB$5:$AM$5,"&lt;="&amp;P_PeilMaand,AB483:AM483),"n.b."))</f>
        <v/>
      </c>
      <c r="BJ483" s="124" t="str">
        <f>IF($B483="","",IFERROR(SUM(AB483:AM483)-BI483,"n.b."))</f>
        <v/>
      </c>
      <c r="BK483" s="124" t="str">
        <f>IF($B483="","",IFERROR(IF(ABS(Q483-(T483+SUM(AB483:AM483)+AS483+AU483))&gt;P_Tol,1,0),1))</f>
        <v/>
      </c>
      <c r="BL483" s="124" t="str">
        <f>IF($B483="","",IFERROR(IF(ABS(AA483-(Q483-Z483))&gt;P_Tol,1,0),1))</f>
        <v/>
      </c>
      <c r="BM483" s="124" t="str">
        <f>IF($B483="","",IFERROR(IF(ABS(Z483-(T483+W483))&gt;P_Tol,1,0),1))</f>
        <v/>
      </c>
      <c r="BN483" s="124" t="str">
        <f>IF($B483="","",IFERROR(IF(ABS(W483-BI483)&gt;P_Tol,1,0),1))</f>
        <v/>
      </c>
      <c r="BO483" s="124" t="str">
        <f>IF($B483="","",IFERROR(IF(OR(ABS(R483+S483-T483)&gt;P_Tol,ABS(U483+V483-W483)&gt;P_Tol,ABS(X483+Y483-Z483)&gt;P_Tol),1,0),1))</f>
        <v/>
      </c>
      <c r="BP483" s="124" t="str">
        <f>IF($B483="","",IFERROR(IF(OR(ABS(AR483-SUM(AB483:AM483))&gt;P_Tol,ABS(AS483-(AN483+AO483+AP483+AQ483))&gt;P_Tol),1,0),1))</f>
        <v/>
      </c>
      <c r="BQ483" s="124" t="str">
        <f>IF($B483="","",IFERROR(IF(ABS(AT483)+ABS(AV483)+ABS(AW483)+ABS(AX483)+ABS(AY483)+ABS(AZ483)+ABS(BA483)+ABS(BB483)&gt;0,1,0),1))</f>
        <v/>
      </c>
      <c r="BR483" s="124" t="str">
        <f>IF($B483="","",COUNTIF(STG_ZPMW03!$B$6:$B$505,B483))</f>
        <v/>
      </c>
      <c r="BS483" s="124" t="str">
        <f>IF($B483="","",COUNTIF($B$6:$B$505,B483))</f>
        <v/>
      </c>
      <c r="BT483" s="124" t="str">
        <f>IF($B483="","",IF(BR483=0,0,IF(INDEX(STG_ZPMW03!$I$6:$I$505,MATCH(B483,STG_ZPMW03!$B$6:$B$505,0))=J483&amp;"",0,1)))</f>
        <v/>
      </c>
      <c r="BU483" s="124" t="str">
        <f>IF($B483="","",IFERROR(IF(ABS(INDEX(Mapping!$D$5:$D$104,MATCH(B483,Mapping!$A$5:$A$104,0))-Q483)&gt;P_Tol,1,0),0))</f>
        <v/>
      </c>
      <c r="BV483" s="124" t="str">
        <f>IF($B483="","",IFERROR(IF(AND(INDEX(Mapping!$G$5:$G$104,MATCH(B483,Mapping!$A$5:$A$104,0))="Nee",ABS(Q483)+ABS(Z483)+ABS(AR483)&gt;0),1,0),0))</f>
        <v/>
      </c>
      <c r="BW483" s="124" t="str">
        <f>IF($B483="","",IF(COUNTIF(Mapping!$A$5:$A$104,B483)&gt;0,1,0))</f>
        <v/>
      </c>
      <c r="BX483" s="124" t="str">
        <f>IF($B483="","",IF(BR483=0,COUNTIF($BR$6:BR483,0),""))</f>
        <v/>
      </c>
    </row>
    <row r="484">
      <c r="A484" s="15" t="n">
        <v>480</v>
      </c>
      <c r="B484" t="str">
        <f>IF(B$3=0,"",IF(INDEX(SRC_Woningetalage!$A$1:$ZZ$501,$A484,B$3)&amp;""="","",INDEX(SRC_Woningetalage!$A$1:$ZZ$501,$A484,B$3)&amp;""))</f>
        <v/>
      </c>
      <c r="C484" t="str">
        <f>IF($B484="","",IF(C$3=0,"n.b.",INDEX(SRC_Woningetalage!$A$1:$ZZ$501,$A484,C$3)))</f>
        <v/>
      </c>
      <c r="D484" t="str">
        <f>IF($B484="","",IF(D$3=0,"n.b.",INDEX(SRC_Woningetalage!$A$1:$ZZ$501,$A484,D$3)))</f>
        <v/>
      </c>
      <c r="E484" t="str">
        <f>IF($B484="","",IF(E$3=0,"n.b.",INDEX(SRC_Woningetalage!$A$1:$ZZ$501,$A484,E$3)))</f>
        <v/>
      </c>
      <c r="F484" t="str">
        <f>IF($B484="","",IF(F$3=0,"n.b.",INDEX(SRC_Woningetalage!$A$1:$ZZ$501,$A484,F$3)))</f>
        <v/>
      </c>
      <c r="G484" t="str">
        <f>IF($B484="","",IF(G$3=0,"n.b.",INDEX(SRC_Woningetalage!$A$1:$ZZ$501,$A484,G$3)))</f>
        <v/>
      </c>
      <c r="H484" t="str">
        <f>IF($B484="","",IF(H$3=0,"n.b.",INDEX(SRC_Woningetalage!$A$1:$ZZ$501,$A484,H$3)))</f>
        <v/>
      </c>
      <c r="I484" t="str">
        <f>IF($B484="","",IF(I$3=0,"n.b.",INDEX(SRC_Woningetalage!$A$1:$ZZ$501,$A484,I$3)))</f>
        <v/>
      </c>
      <c r="J484" t="str">
        <f>IF($B484="","",IF(J$3=0,"n.b.",INDEX(SRC_Woningetalage!$A$1:$ZZ$501,$A484,J$3)))</f>
        <v/>
      </c>
      <c r="K484" t="str">
        <f>IF($B484="","",IF(K$3=0,"n.b.",INDEX(SRC_Woningetalage!$A$1:$ZZ$501,$A484,K$3)))</f>
        <v/>
      </c>
      <c r="L484" t="str">
        <f>IF($B484="","",IF(L$3=0,"n.b.",INDEX(SRC_Woningetalage!$A$1:$ZZ$501,$A484,L$3)))</f>
        <v/>
      </c>
      <c r="M484" t="str">
        <f>IF($B484="","",IF(M$3=0,"n.b.",INDEX(SRC_Woningetalage!$A$1:$ZZ$501,$A484,M$3)))</f>
        <v/>
      </c>
      <c r="N484" t="str">
        <f>IF($B484="","",IF(N$3=0,"n.b.",INDEX(SRC_Woningetalage!$A$1:$ZZ$501,$A484,N$3)))</f>
        <v/>
      </c>
      <c r="O484" t="str">
        <f>IF($B484="","",IF(O$3=0,"n.b.",INDEX(SRC_Woningetalage!$A$1:$ZZ$501,$A484,O$3)))</f>
        <v/>
      </c>
      <c r="P484" t="str">
        <f>IF($B484="","",IF(P$3=0,"n.b.",INDEX(SRC_Woningetalage!$A$1:$ZZ$501,$A484,P$3)))</f>
        <v/>
      </c>
      <c r="Q484" s="124" t="str">
        <f>IF($B484="","",IF(Q$3=0,"n.b.",INDEX(SRC_Woningetalage!$A$1:$ZZ$501,$A484,Q$3)))</f>
        <v/>
      </c>
      <c r="R484" s="124" t="str">
        <f>IF($B484="","",IF(R$3=0,"n.b.",INDEX(SRC_Woningetalage!$A$1:$ZZ$501,$A484,R$3)))</f>
        <v/>
      </c>
      <c r="S484" s="124" t="str">
        <f>IF($B484="","",IF(S$3=0,"n.b.",INDEX(SRC_Woningetalage!$A$1:$ZZ$501,$A484,S$3)))</f>
        <v/>
      </c>
      <c r="T484" s="124" t="str">
        <f>IF($B484="","",IF(T$3=0,"n.b.",INDEX(SRC_Woningetalage!$A$1:$ZZ$501,$A484,T$3)))</f>
        <v/>
      </c>
      <c r="U484" s="124" t="str">
        <f>IF($B484="","",IF(U$3=0,"n.b.",INDEX(SRC_Woningetalage!$A$1:$ZZ$501,$A484,U$3)))</f>
        <v/>
      </c>
      <c r="V484" s="124" t="str">
        <f>IF($B484="","",IF(V$3=0,"n.b.",INDEX(SRC_Woningetalage!$A$1:$ZZ$501,$A484,V$3)))</f>
        <v/>
      </c>
      <c r="W484" s="124" t="str">
        <f>IF($B484="","",IF(W$3=0,"n.b.",INDEX(SRC_Woningetalage!$A$1:$ZZ$501,$A484,W$3)))</f>
        <v/>
      </c>
      <c r="X484" s="124" t="str">
        <f>IF($B484="","",IF(X$3=0,"n.b.",INDEX(SRC_Woningetalage!$A$1:$ZZ$501,$A484,X$3)))</f>
        <v/>
      </c>
      <c r="Y484" s="124" t="str">
        <f>IF($B484="","",IF(Y$3=0,"n.b.",INDEX(SRC_Woningetalage!$A$1:$ZZ$501,$A484,Y$3)))</f>
        <v/>
      </c>
      <c r="Z484" s="124" t="str">
        <f>IF($B484="","",IF(Z$3=0,"n.b.",INDEX(SRC_Woningetalage!$A$1:$ZZ$501,$A484,Z$3)))</f>
        <v/>
      </c>
      <c r="AA484" s="124" t="str">
        <f>IF($B484="","",IF(AA$3=0,"n.b.",INDEX(SRC_Woningetalage!$A$1:$ZZ$501,$A484,AA$3)))</f>
        <v/>
      </c>
      <c r="AB484" s="124" t="str">
        <f>IF($B484="","",IF(AB$3=0,"n.b.",INDEX(SRC_Woningetalage!$A$1:$ZZ$501,$A484,AB$3)))</f>
        <v/>
      </c>
      <c r="AC484" s="124" t="str">
        <f>IF($B484="","",IF(AC$3=0,"n.b.",INDEX(SRC_Woningetalage!$A$1:$ZZ$501,$A484,AC$3)))</f>
        <v/>
      </c>
      <c r="AD484" s="124" t="str">
        <f>IF($B484="","",IF(AD$3=0,"n.b.",INDEX(SRC_Woningetalage!$A$1:$ZZ$501,$A484,AD$3)))</f>
        <v/>
      </c>
      <c r="AE484" s="124" t="str">
        <f>IF($B484="","",IF(AE$3=0,"n.b.",INDEX(SRC_Woningetalage!$A$1:$ZZ$501,$A484,AE$3)))</f>
        <v/>
      </c>
      <c r="AF484" s="124" t="str">
        <f>IF($B484="","",IF(AF$3=0,"n.b.",INDEX(SRC_Woningetalage!$A$1:$ZZ$501,$A484,AF$3)))</f>
        <v/>
      </c>
      <c r="AG484" s="124" t="str">
        <f>IF($B484="","",IF(AG$3=0,"n.b.",INDEX(SRC_Woningetalage!$A$1:$ZZ$501,$A484,AG$3)))</f>
        <v/>
      </c>
      <c r="AH484" s="124" t="str">
        <f>IF($B484="","",IF(AH$3=0,"n.b.",INDEX(SRC_Woningetalage!$A$1:$ZZ$501,$A484,AH$3)))</f>
        <v/>
      </c>
      <c r="AI484" s="124" t="str">
        <f>IF($B484="","",IF(AI$3=0,"n.b.",INDEX(SRC_Woningetalage!$A$1:$ZZ$501,$A484,AI$3)))</f>
        <v/>
      </c>
      <c r="AJ484" s="124" t="str">
        <f>IF($B484="","",IF(AJ$3=0,"n.b.",INDEX(SRC_Woningetalage!$A$1:$ZZ$501,$A484,AJ$3)))</f>
        <v/>
      </c>
      <c r="AK484" s="124" t="str">
        <f>IF($B484="","",IF(AK$3=0,"n.b.",INDEX(SRC_Woningetalage!$A$1:$ZZ$501,$A484,AK$3)))</f>
        <v/>
      </c>
      <c r="AL484" s="124" t="str">
        <f>IF($B484="","",IF(AL$3=0,"n.b.",INDEX(SRC_Woningetalage!$A$1:$ZZ$501,$A484,AL$3)))</f>
        <v/>
      </c>
      <c r="AM484" s="124" t="str">
        <f>IF($B484="","",IF(AM$3=0,"n.b.",INDEX(SRC_Woningetalage!$A$1:$ZZ$501,$A484,AM$3)))</f>
        <v/>
      </c>
      <c r="AN484" s="124" t="str">
        <f>IF($B484="","",IF(AN$3=0,"n.b.",INDEX(SRC_Woningetalage!$A$1:$ZZ$501,$A484,AN$3)))</f>
        <v/>
      </c>
      <c r="AO484" s="124" t="str">
        <f>IF($B484="","",IF(AO$3=0,"n.b.",INDEX(SRC_Woningetalage!$A$1:$ZZ$501,$A484,AO$3)))</f>
        <v/>
      </c>
      <c r="AP484" s="124" t="str">
        <f>IF($B484="","",IF(AP$3=0,"n.b.",INDEX(SRC_Woningetalage!$A$1:$ZZ$501,$A484,AP$3)))</f>
        <v/>
      </c>
      <c r="AQ484" s="124" t="str">
        <f>IF($B484="","",IF(AQ$3=0,"n.b.",INDEX(SRC_Woningetalage!$A$1:$ZZ$501,$A484,AQ$3)))</f>
        <v/>
      </c>
      <c r="AR484" s="124" t="str">
        <f>IF($B484="","",IF(AR$3=0,"n.b.",INDEX(SRC_Woningetalage!$A$1:$ZZ$501,$A484,AR$3)))</f>
        <v/>
      </c>
      <c r="AS484" s="124" t="str">
        <f>IF($B484="","",IF(AS$3=0,"n.b.",INDEX(SRC_Woningetalage!$A$1:$ZZ$501,$A484,AS$3)))</f>
        <v/>
      </c>
      <c r="AT484" s="124" t="str">
        <f>IF($B484="","",IF(AT$3=0,"n.b.",INDEX(SRC_Woningetalage!$A$1:$ZZ$501,$A484,AT$3)))</f>
        <v/>
      </c>
      <c r="AU484" s="124" t="str">
        <f>IF($B484="","",IF(AU$3=0,"n.b.",INDEX(SRC_Woningetalage!$A$1:$ZZ$501,$A484,AU$3)))</f>
        <v/>
      </c>
      <c r="AV484" s="124" t="str">
        <f>IF($B484="","",IF(AV$3=0,"n.b.",INDEX(SRC_Woningetalage!$A$1:$ZZ$501,$A484,AV$3)))</f>
        <v/>
      </c>
      <c r="AW484" s="124" t="str">
        <f>IF($B484="","",IF(AW$3=0,"n.b.",INDEX(SRC_Woningetalage!$A$1:$ZZ$501,$A484,AW$3)))</f>
        <v/>
      </c>
      <c r="AX484" s="124" t="str">
        <f>IF($B484="","",IF(AX$3=0,"n.b.",INDEX(SRC_Woningetalage!$A$1:$ZZ$501,$A484,AX$3)))</f>
        <v/>
      </c>
      <c r="AY484" s="124" t="str">
        <f>IF($B484="","",IF(AY$3=0,"n.b.",INDEX(SRC_Woningetalage!$A$1:$ZZ$501,$A484,AY$3)))</f>
        <v/>
      </c>
      <c r="AZ484" s="124" t="str">
        <f>IF($B484="","",IF(AZ$3=0,"n.b.",INDEX(SRC_Woningetalage!$A$1:$ZZ$501,$A484,AZ$3)))</f>
        <v/>
      </c>
      <c r="BA484" s="124" t="str">
        <f>IF($B484="","",IF(BA$3=0,"n.b.",INDEX(SRC_Woningetalage!$A$1:$ZZ$501,$A484,BA$3)))</f>
        <v/>
      </c>
      <c r="BB484" s="124" t="str">
        <f>IF($B484="","",IF(BB$3=0,"n.b.",INDEX(SRC_Woningetalage!$A$1:$ZZ$501,$A484,BB$3)))</f>
        <v/>
      </c>
      <c r="BC484" s="124" t="str">
        <f>IF($B484="","",IFERROR(_xlfn.NUMBERVALUE(E484&amp;"",",","."),"n.b."))</f>
        <v/>
      </c>
      <c r="BD484" s="124" t="str">
        <f>IF($B484="","",IFERROR(_xlfn.NUMBERVALUE(M484&amp;"",",","."),"n.b."))</f>
        <v/>
      </c>
      <c r="BE484" s="124" t="str">
        <f>IF($B484="","",IFERROR(AB484+AC484+AD484,"n.b."))</f>
        <v/>
      </c>
      <c r="BF484" s="124" t="str">
        <f>IF($B484="","",IFERROR(AE484+AF484+AG484,"n.b."))</f>
        <v/>
      </c>
      <c r="BG484" s="124" t="str">
        <f>IF($B484="","",IFERROR(AH484+AI484+AJ484,"n.b."))</f>
        <v/>
      </c>
      <c r="BH484" s="124" t="str">
        <f>IF($B484="","",IFERROR(AK484+AL484+AM484,"n.b."))</f>
        <v/>
      </c>
      <c r="BI484" s="124" t="str">
        <f>IF($B484="","",IFERROR(SUMIF($AB$5:$AM$5,"&lt;="&amp;P_PeilMaand,AB484:AM484),"n.b."))</f>
        <v/>
      </c>
      <c r="BJ484" s="124" t="str">
        <f>IF($B484="","",IFERROR(SUM(AB484:AM484)-BI484,"n.b."))</f>
        <v/>
      </c>
      <c r="BK484" s="124" t="str">
        <f>IF($B484="","",IFERROR(IF(ABS(Q484-(T484+SUM(AB484:AM484)+AS484+AU484))&gt;P_Tol,1,0),1))</f>
        <v/>
      </c>
      <c r="BL484" s="124" t="str">
        <f>IF($B484="","",IFERROR(IF(ABS(AA484-(Q484-Z484))&gt;P_Tol,1,0),1))</f>
        <v/>
      </c>
      <c r="BM484" s="124" t="str">
        <f>IF($B484="","",IFERROR(IF(ABS(Z484-(T484+W484))&gt;P_Tol,1,0),1))</f>
        <v/>
      </c>
      <c r="BN484" s="124" t="str">
        <f>IF($B484="","",IFERROR(IF(ABS(W484-BI484)&gt;P_Tol,1,0),1))</f>
        <v/>
      </c>
      <c r="BO484" s="124" t="str">
        <f>IF($B484="","",IFERROR(IF(OR(ABS(R484+S484-T484)&gt;P_Tol,ABS(U484+V484-W484)&gt;P_Tol,ABS(X484+Y484-Z484)&gt;P_Tol),1,0),1))</f>
        <v/>
      </c>
      <c r="BP484" s="124" t="str">
        <f>IF($B484="","",IFERROR(IF(OR(ABS(AR484-SUM(AB484:AM484))&gt;P_Tol,ABS(AS484-(AN484+AO484+AP484+AQ484))&gt;P_Tol),1,0),1))</f>
        <v/>
      </c>
      <c r="BQ484" s="124" t="str">
        <f>IF($B484="","",IFERROR(IF(ABS(AT484)+ABS(AV484)+ABS(AW484)+ABS(AX484)+ABS(AY484)+ABS(AZ484)+ABS(BA484)+ABS(BB484)&gt;0,1,0),1))</f>
        <v/>
      </c>
      <c r="BR484" s="124" t="str">
        <f>IF($B484="","",COUNTIF(STG_ZPMW03!$B$6:$B$505,B484))</f>
        <v/>
      </c>
      <c r="BS484" s="124" t="str">
        <f>IF($B484="","",COUNTIF($B$6:$B$505,B484))</f>
        <v/>
      </c>
      <c r="BT484" s="124" t="str">
        <f>IF($B484="","",IF(BR484=0,0,IF(INDEX(STG_ZPMW03!$I$6:$I$505,MATCH(B484,STG_ZPMW03!$B$6:$B$505,0))=J484&amp;"",0,1)))</f>
        <v/>
      </c>
      <c r="BU484" s="124" t="str">
        <f>IF($B484="","",IFERROR(IF(ABS(INDEX(Mapping!$D$5:$D$104,MATCH(B484,Mapping!$A$5:$A$104,0))-Q484)&gt;P_Tol,1,0),0))</f>
        <v/>
      </c>
      <c r="BV484" s="124" t="str">
        <f>IF($B484="","",IFERROR(IF(AND(INDEX(Mapping!$G$5:$G$104,MATCH(B484,Mapping!$A$5:$A$104,0))="Nee",ABS(Q484)+ABS(Z484)+ABS(AR484)&gt;0),1,0),0))</f>
        <v/>
      </c>
      <c r="BW484" s="124" t="str">
        <f>IF($B484="","",IF(COUNTIF(Mapping!$A$5:$A$104,B484)&gt;0,1,0))</f>
        <v/>
      </c>
      <c r="BX484" s="124" t="str">
        <f>IF($B484="","",IF(BR484=0,COUNTIF($BR$6:BR484,0),""))</f>
        <v/>
      </c>
    </row>
    <row r="485">
      <c r="A485" s="15" t="n">
        <v>481</v>
      </c>
      <c r="B485" t="str">
        <f>IF(B$3=0,"",IF(INDEX(SRC_Woningetalage!$A$1:$ZZ$501,$A485,B$3)&amp;""="","",INDEX(SRC_Woningetalage!$A$1:$ZZ$501,$A485,B$3)&amp;""))</f>
        <v/>
      </c>
      <c r="C485" t="str">
        <f>IF($B485="","",IF(C$3=0,"n.b.",INDEX(SRC_Woningetalage!$A$1:$ZZ$501,$A485,C$3)))</f>
        <v/>
      </c>
      <c r="D485" t="str">
        <f>IF($B485="","",IF(D$3=0,"n.b.",INDEX(SRC_Woningetalage!$A$1:$ZZ$501,$A485,D$3)))</f>
        <v/>
      </c>
      <c r="E485" t="str">
        <f>IF($B485="","",IF(E$3=0,"n.b.",INDEX(SRC_Woningetalage!$A$1:$ZZ$501,$A485,E$3)))</f>
        <v/>
      </c>
      <c r="F485" t="str">
        <f>IF($B485="","",IF(F$3=0,"n.b.",INDEX(SRC_Woningetalage!$A$1:$ZZ$501,$A485,F$3)))</f>
        <v/>
      </c>
      <c r="G485" t="str">
        <f>IF($B485="","",IF(G$3=0,"n.b.",INDEX(SRC_Woningetalage!$A$1:$ZZ$501,$A485,G$3)))</f>
        <v/>
      </c>
      <c r="H485" t="str">
        <f>IF($B485="","",IF(H$3=0,"n.b.",INDEX(SRC_Woningetalage!$A$1:$ZZ$501,$A485,H$3)))</f>
        <v/>
      </c>
      <c r="I485" t="str">
        <f>IF($B485="","",IF(I$3=0,"n.b.",INDEX(SRC_Woningetalage!$A$1:$ZZ$501,$A485,I$3)))</f>
        <v/>
      </c>
      <c r="J485" t="str">
        <f>IF($B485="","",IF(J$3=0,"n.b.",INDEX(SRC_Woningetalage!$A$1:$ZZ$501,$A485,J$3)))</f>
        <v/>
      </c>
      <c r="K485" t="str">
        <f>IF($B485="","",IF(K$3=0,"n.b.",INDEX(SRC_Woningetalage!$A$1:$ZZ$501,$A485,K$3)))</f>
        <v/>
      </c>
      <c r="L485" t="str">
        <f>IF($B485="","",IF(L$3=0,"n.b.",INDEX(SRC_Woningetalage!$A$1:$ZZ$501,$A485,L$3)))</f>
        <v/>
      </c>
      <c r="M485" t="str">
        <f>IF($B485="","",IF(M$3=0,"n.b.",INDEX(SRC_Woningetalage!$A$1:$ZZ$501,$A485,M$3)))</f>
        <v/>
      </c>
      <c r="N485" t="str">
        <f>IF($B485="","",IF(N$3=0,"n.b.",INDEX(SRC_Woningetalage!$A$1:$ZZ$501,$A485,N$3)))</f>
        <v/>
      </c>
      <c r="O485" t="str">
        <f>IF($B485="","",IF(O$3=0,"n.b.",INDEX(SRC_Woningetalage!$A$1:$ZZ$501,$A485,O$3)))</f>
        <v/>
      </c>
      <c r="P485" t="str">
        <f>IF($B485="","",IF(P$3=0,"n.b.",INDEX(SRC_Woningetalage!$A$1:$ZZ$501,$A485,P$3)))</f>
        <v/>
      </c>
      <c r="Q485" s="124" t="str">
        <f>IF($B485="","",IF(Q$3=0,"n.b.",INDEX(SRC_Woningetalage!$A$1:$ZZ$501,$A485,Q$3)))</f>
        <v/>
      </c>
      <c r="R485" s="124" t="str">
        <f>IF($B485="","",IF(R$3=0,"n.b.",INDEX(SRC_Woningetalage!$A$1:$ZZ$501,$A485,R$3)))</f>
        <v/>
      </c>
      <c r="S485" s="124" t="str">
        <f>IF($B485="","",IF(S$3=0,"n.b.",INDEX(SRC_Woningetalage!$A$1:$ZZ$501,$A485,S$3)))</f>
        <v/>
      </c>
      <c r="T485" s="124" t="str">
        <f>IF($B485="","",IF(T$3=0,"n.b.",INDEX(SRC_Woningetalage!$A$1:$ZZ$501,$A485,T$3)))</f>
        <v/>
      </c>
      <c r="U485" s="124" t="str">
        <f>IF($B485="","",IF(U$3=0,"n.b.",INDEX(SRC_Woningetalage!$A$1:$ZZ$501,$A485,U$3)))</f>
        <v/>
      </c>
      <c r="V485" s="124" t="str">
        <f>IF($B485="","",IF(V$3=0,"n.b.",INDEX(SRC_Woningetalage!$A$1:$ZZ$501,$A485,V$3)))</f>
        <v/>
      </c>
      <c r="W485" s="124" t="str">
        <f>IF($B485="","",IF(W$3=0,"n.b.",INDEX(SRC_Woningetalage!$A$1:$ZZ$501,$A485,W$3)))</f>
        <v/>
      </c>
      <c r="X485" s="124" t="str">
        <f>IF($B485="","",IF(X$3=0,"n.b.",INDEX(SRC_Woningetalage!$A$1:$ZZ$501,$A485,X$3)))</f>
        <v/>
      </c>
      <c r="Y485" s="124" t="str">
        <f>IF($B485="","",IF(Y$3=0,"n.b.",INDEX(SRC_Woningetalage!$A$1:$ZZ$501,$A485,Y$3)))</f>
        <v/>
      </c>
      <c r="Z485" s="124" t="str">
        <f>IF($B485="","",IF(Z$3=0,"n.b.",INDEX(SRC_Woningetalage!$A$1:$ZZ$501,$A485,Z$3)))</f>
        <v/>
      </c>
      <c r="AA485" s="124" t="str">
        <f>IF($B485="","",IF(AA$3=0,"n.b.",INDEX(SRC_Woningetalage!$A$1:$ZZ$501,$A485,AA$3)))</f>
        <v/>
      </c>
      <c r="AB485" s="124" t="str">
        <f>IF($B485="","",IF(AB$3=0,"n.b.",INDEX(SRC_Woningetalage!$A$1:$ZZ$501,$A485,AB$3)))</f>
        <v/>
      </c>
      <c r="AC485" s="124" t="str">
        <f>IF($B485="","",IF(AC$3=0,"n.b.",INDEX(SRC_Woningetalage!$A$1:$ZZ$501,$A485,AC$3)))</f>
        <v/>
      </c>
      <c r="AD485" s="124" t="str">
        <f>IF($B485="","",IF(AD$3=0,"n.b.",INDEX(SRC_Woningetalage!$A$1:$ZZ$501,$A485,AD$3)))</f>
        <v/>
      </c>
      <c r="AE485" s="124" t="str">
        <f>IF($B485="","",IF(AE$3=0,"n.b.",INDEX(SRC_Woningetalage!$A$1:$ZZ$501,$A485,AE$3)))</f>
        <v/>
      </c>
      <c r="AF485" s="124" t="str">
        <f>IF($B485="","",IF(AF$3=0,"n.b.",INDEX(SRC_Woningetalage!$A$1:$ZZ$501,$A485,AF$3)))</f>
        <v/>
      </c>
      <c r="AG485" s="124" t="str">
        <f>IF($B485="","",IF(AG$3=0,"n.b.",INDEX(SRC_Woningetalage!$A$1:$ZZ$501,$A485,AG$3)))</f>
        <v/>
      </c>
      <c r="AH485" s="124" t="str">
        <f>IF($B485="","",IF(AH$3=0,"n.b.",INDEX(SRC_Woningetalage!$A$1:$ZZ$501,$A485,AH$3)))</f>
        <v/>
      </c>
      <c r="AI485" s="124" t="str">
        <f>IF($B485="","",IF(AI$3=0,"n.b.",INDEX(SRC_Woningetalage!$A$1:$ZZ$501,$A485,AI$3)))</f>
        <v/>
      </c>
      <c r="AJ485" s="124" t="str">
        <f>IF($B485="","",IF(AJ$3=0,"n.b.",INDEX(SRC_Woningetalage!$A$1:$ZZ$501,$A485,AJ$3)))</f>
        <v/>
      </c>
      <c r="AK485" s="124" t="str">
        <f>IF($B485="","",IF(AK$3=0,"n.b.",INDEX(SRC_Woningetalage!$A$1:$ZZ$501,$A485,AK$3)))</f>
        <v/>
      </c>
      <c r="AL485" s="124" t="str">
        <f>IF($B485="","",IF(AL$3=0,"n.b.",INDEX(SRC_Woningetalage!$A$1:$ZZ$501,$A485,AL$3)))</f>
        <v/>
      </c>
      <c r="AM485" s="124" t="str">
        <f>IF($B485="","",IF(AM$3=0,"n.b.",INDEX(SRC_Woningetalage!$A$1:$ZZ$501,$A485,AM$3)))</f>
        <v/>
      </c>
      <c r="AN485" s="124" t="str">
        <f>IF($B485="","",IF(AN$3=0,"n.b.",INDEX(SRC_Woningetalage!$A$1:$ZZ$501,$A485,AN$3)))</f>
        <v/>
      </c>
      <c r="AO485" s="124" t="str">
        <f>IF($B485="","",IF(AO$3=0,"n.b.",INDEX(SRC_Woningetalage!$A$1:$ZZ$501,$A485,AO$3)))</f>
        <v/>
      </c>
      <c r="AP485" s="124" t="str">
        <f>IF($B485="","",IF(AP$3=0,"n.b.",INDEX(SRC_Woningetalage!$A$1:$ZZ$501,$A485,AP$3)))</f>
        <v/>
      </c>
      <c r="AQ485" s="124" t="str">
        <f>IF($B485="","",IF(AQ$3=0,"n.b.",INDEX(SRC_Woningetalage!$A$1:$ZZ$501,$A485,AQ$3)))</f>
        <v/>
      </c>
      <c r="AR485" s="124" t="str">
        <f>IF($B485="","",IF(AR$3=0,"n.b.",INDEX(SRC_Woningetalage!$A$1:$ZZ$501,$A485,AR$3)))</f>
        <v/>
      </c>
      <c r="AS485" s="124" t="str">
        <f>IF($B485="","",IF(AS$3=0,"n.b.",INDEX(SRC_Woningetalage!$A$1:$ZZ$501,$A485,AS$3)))</f>
        <v/>
      </c>
      <c r="AT485" s="124" t="str">
        <f>IF($B485="","",IF(AT$3=0,"n.b.",INDEX(SRC_Woningetalage!$A$1:$ZZ$501,$A485,AT$3)))</f>
        <v/>
      </c>
      <c r="AU485" s="124" t="str">
        <f>IF($B485="","",IF(AU$3=0,"n.b.",INDEX(SRC_Woningetalage!$A$1:$ZZ$501,$A485,AU$3)))</f>
        <v/>
      </c>
      <c r="AV485" s="124" t="str">
        <f>IF($B485="","",IF(AV$3=0,"n.b.",INDEX(SRC_Woningetalage!$A$1:$ZZ$501,$A485,AV$3)))</f>
        <v/>
      </c>
      <c r="AW485" s="124" t="str">
        <f>IF($B485="","",IF(AW$3=0,"n.b.",INDEX(SRC_Woningetalage!$A$1:$ZZ$501,$A485,AW$3)))</f>
        <v/>
      </c>
      <c r="AX485" s="124" t="str">
        <f>IF($B485="","",IF(AX$3=0,"n.b.",INDEX(SRC_Woningetalage!$A$1:$ZZ$501,$A485,AX$3)))</f>
        <v/>
      </c>
      <c r="AY485" s="124" t="str">
        <f>IF($B485="","",IF(AY$3=0,"n.b.",INDEX(SRC_Woningetalage!$A$1:$ZZ$501,$A485,AY$3)))</f>
        <v/>
      </c>
      <c r="AZ485" s="124" t="str">
        <f>IF($B485="","",IF(AZ$3=0,"n.b.",INDEX(SRC_Woningetalage!$A$1:$ZZ$501,$A485,AZ$3)))</f>
        <v/>
      </c>
      <c r="BA485" s="124" t="str">
        <f>IF($B485="","",IF(BA$3=0,"n.b.",INDEX(SRC_Woningetalage!$A$1:$ZZ$501,$A485,BA$3)))</f>
        <v/>
      </c>
      <c r="BB485" s="124" t="str">
        <f>IF($B485="","",IF(BB$3=0,"n.b.",INDEX(SRC_Woningetalage!$A$1:$ZZ$501,$A485,BB$3)))</f>
        <v/>
      </c>
      <c r="BC485" s="124" t="str">
        <f>IF($B485="","",IFERROR(_xlfn.NUMBERVALUE(E485&amp;"",",","."),"n.b."))</f>
        <v/>
      </c>
      <c r="BD485" s="124" t="str">
        <f>IF($B485="","",IFERROR(_xlfn.NUMBERVALUE(M485&amp;"",",","."),"n.b."))</f>
        <v/>
      </c>
      <c r="BE485" s="124" t="str">
        <f>IF($B485="","",IFERROR(AB485+AC485+AD485,"n.b."))</f>
        <v/>
      </c>
      <c r="BF485" s="124" t="str">
        <f>IF($B485="","",IFERROR(AE485+AF485+AG485,"n.b."))</f>
        <v/>
      </c>
      <c r="BG485" s="124" t="str">
        <f>IF($B485="","",IFERROR(AH485+AI485+AJ485,"n.b."))</f>
        <v/>
      </c>
      <c r="BH485" s="124" t="str">
        <f>IF($B485="","",IFERROR(AK485+AL485+AM485,"n.b."))</f>
        <v/>
      </c>
      <c r="BI485" s="124" t="str">
        <f>IF($B485="","",IFERROR(SUMIF($AB$5:$AM$5,"&lt;="&amp;P_PeilMaand,AB485:AM485),"n.b."))</f>
        <v/>
      </c>
      <c r="BJ485" s="124" t="str">
        <f>IF($B485="","",IFERROR(SUM(AB485:AM485)-BI485,"n.b."))</f>
        <v/>
      </c>
      <c r="BK485" s="124" t="str">
        <f>IF($B485="","",IFERROR(IF(ABS(Q485-(T485+SUM(AB485:AM485)+AS485+AU485))&gt;P_Tol,1,0),1))</f>
        <v/>
      </c>
      <c r="BL485" s="124" t="str">
        <f>IF($B485="","",IFERROR(IF(ABS(AA485-(Q485-Z485))&gt;P_Tol,1,0),1))</f>
        <v/>
      </c>
      <c r="BM485" s="124" t="str">
        <f>IF($B485="","",IFERROR(IF(ABS(Z485-(T485+W485))&gt;P_Tol,1,0),1))</f>
        <v/>
      </c>
      <c r="BN485" s="124" t="str">
        <f>IF($B485="","",IFERROR(IF(ABS(W485-BI485)&gt;P_Tol,1,0),1))</f>
        <v/>
      </c>
      <c r="BO485" s="124" t="str">
        <f>IF($B485="","",IFERROR(IF(OR(ABS(R485+S485-T485)&gt;P_Tol,ABS(U485+V485-W485)&gt;P_Tol,ABS(X485+Y485-Z485)&gt;P_Tol),1,0),1))</f>
        <v/>
      </c>
      <c r="BP485" s="124" t="str">
        <f>IF($B485="","",IFERROR(IF(OR(ABS(AR485-SUM(AB485:AM485))&gt;P_Tol,ABS(AS485-(AN485+AO485+AP485+AQ485))&gt;P_Tol),1,0),1))</f>
        <v/>
      </c>
      <c r="BQ485" s="124" t="str">
        <f>IF($B485="","",IFERROR(IF(ABS(AT485)+ABS(AV485)+ABS(AW485)+ABS(AX485)+ABS(AY485)+ABS(AZ485)+ABS(BA485)+ABS(BB485)&gt;0,1,0),1))</f>
        <v/>
      </c>
      <c r="BR485" s="124" t="str">
        <f>IF($B485="","",COUNTIF(STG_ZPMW03!$B$6:$B$505,B485))</f>
        <v/>
      </c>
      <c r="BS485" s="124" t="str">
        <f>IF($B485="","",COUNTIF($B$6:$B$505,B485))</f>
        <v/>
      </c>
      <c r="BT485" s="124" t="str">
        <f>IF($B485="","",IF(BR485=0,0,IF(INDEX(STG_ZPMW03!$I$6:$I$505,MATCH(B485,STG_ZPMW03!$B$6:$B$505,0))=J485&amp;"",0,1)))</f>
        <v/>
      </c>
      <c r="BU485" s="124" t="str">
        <f>IF($B485="","",IFERROR(IF(ABS(INDEX(Mapping!$D$5:$D$104,MATCH(B485,Mapping!$A$5:$A$104,0))-Q485)&gt;P_Tol,1,0),0))</f>
        <v/>
      </c>
      <c r="BV485" s="124" t="str">
        <f>IF($B485="","",IFERROR(IF(AND(INDEX(Mapping!$G$5:$G$104,MATCH(B485,Mapping!$A$5:$A$104,0))="Nee",ABS(Q485)+ABS(Z485)+ABS(AR485)&gt;0),1,0),0))</f>
        <v/>
      </c>
      <c r="BW485" s="124" t="str">
        <f>IF($B485="","",IF(COUNTIF(Mapping!$A$5:$A$104,B485)&gt;0,1,0))</f>
        <v/>
      </c>
      <c r="BX485" s="124" t="str">
        <f>IF($B485="","",IF(BR485=0,COUNTIF($BR$6:BR485,0),""))</f>
        <v/>
      </c>
    </row>
    <row r="486">
      <c r="A486" s="15" t="n">
        <v>482</v>
      </c>
      <c r="B486" t="str">
        <f>IF(B$3=0,"",IF(INDEX(SRC_Woningetalage!$A$1:$ZZ$501,$A486,B$3)&amp;""="","",INDEX(SRC_Woningetalage!$A$1:$ZZ$501,$A486,B$3)&amp;""))</f>
        <v/>
      </c>
      <c r="C486" t="str">
        <f>IF($B486="","",IF(C$3=0,"n.b.",INDEX(SRC_Woningetalage!$A$1:$ZZ$501,$A486,C$3)))</f>
        <v/>
      </c>
      <c r="D486" t="str">
        <f>IF($B486="","",IF(D$3=0,"n.b.",INDEX(SRC_Woningetalage!$A$1:$ZZ$501,$A486,D$3)))</f>
        <v/>
      </c>
      <c r="E486" t="str">
        <f>IF($B486="","",IF(E$3=0,"n.b.",INDEX(SRC_Woningetalage!$A$1:$ZZ$501,$A486,E$3)))</f>
        <v/>
      </c>
      <c r="F486" t="str">
        <f>IF($B486="","",IF(F$3=0,"n.b.",INDEX(SRC_Woningetalage!$A$1:$ZZ$501,$A486,F$3)))</f>
        <v/>
      </c>
      <c r="G486" t="str">
        <f>IF($B486="","",IF(G$3=0,"n.b.",INDEX(SRC_Woningetalage!$A$1:$ZZ$501,$A486,G$3)))</f>
        <v/>
      </c>
      <c r="H486" t="str">
        <f>IF($B486="","",IF(H$3=0,"n.b.",INDEX(SRC_Woningetalage!$A$1:$ZZ$501,$A486,H$3)))</f>
        <v/>
      </c>
      <c r="I486" t="str">
        <f>IF($B486="","",IF(I$3=0,"n.b.",INDEX(SRC_Woningetalage!$A$1:$ZZ$501,$A486,I$3)))</f>
        <v/>
      </c>
      <c r="J486" t="str">
        <f>IF($B486="","",IF(J$3=0,"n.b.",INDEX(SRC_Woningetalage!$A$1:$ZZ$501,$A486,J$3)))</f>
        <v/>
      </c>
      <c r="K486" t="str">
        <f>IF($B486="","",IF(K$3=0,"n.b.",INDEX(SRC_Woningetalage!$A$1:$ZZ$501,$A486,K$3)))</f>
        <v/>
      </c>
      <c r="L486" t="str">
        <f>IF($B486="","",IF(L$3=0,"n.b.",INDEX(SRC_Woningetalage!$A$1:$ZZ$501,$A486,L$3)))</f>
        <v/>
      </c>
      <c r="M486" t="str">
        <f>IF($B486="","",IF(M$3=0,"n.b.",INDEX(SRC_Woningetalage!$A$1:$ZZ$501,$A486,M$3)))</f>
        <v/>
      </c>
      <c r="N486" t="str">
        <f>IF($B486="","",IF(N$3=0,"n.b.",INDEX(SRC_Woningetalage!$A$1:$ZZ$501,$A486,N$3)))</f>
        <v/>
      </c>
      <c r="O486" t="str">
        <f>IF($B486="","",IF(O$3=0,"n.b.",INDEX(SRC_Woningetalage!$A$1:$ZZ$501,$A486,O$3)))</f>
        <v/>
      </c>
      <c r="P486" t="str">
        <f>IF($B486="","",IF(P$3=0,"n.b.",INDEX(SRC_Woningetalage!$A$1:$ZZ$501,$A486,P$3)))</f>
        <v/>
      </c>
      <c r="Q486" s="124" t="str">
        <f>IF($B486="","",IF(Q$3=0,"n.b.",INDEX(SRC_Woningetalage!$A$1:$ZZ$501,$A486,Q$3)))</f>
        <v/>
      </c>
      <c r="R486" s="124" t="str">
        <f>IF($B486="","",IF(R$3=0,"n.b.",INDEX(SRC_Woningetalage!$A$1:$ZZ$501,$A486,R$3)))</f>
        <v/>
      </c>
      <c r="S486" s="124" t="str">
        <f>IF($B486="","",IF(S$3=0,"n.b.",INDEX(SRC_Woningetalage!$A$1:$ZZ$501,$A486,S$3)))</f>
        <v/>
      </c>
      <c r="T486" s="124" t="str">
        <f>IF($B486="","",IF(T$3=0,"n.b.",INDEX(SRC_Woningetalage!$A$1:$ZZ$501,$A486,T$3)))</f>
        <v/>
      </c>
      <c r="U486" s="124" t="str">
        <f>IF($B486="","",IF(U$3=0,"n.b.",INDEX(SRC_Woningetalage!$A$1:$ZZ$501,$A486,U$3)))</f>
        <v/>
      </c>
      <c r="V486" s="124" t="str">
        <f>IF($B486="","",IF(V$3=0,"n.b.",INDEX(SRC_Woningetalage!$A$1:$ZZ$501,$A486,V$3)))</f>
        <v/>
      </c>
      <c r="W486" s="124" t="str">
        <f>IF($B486="","",IF(W$3=0,"n.b.",INDEX(SRC_Woningetalage!$A$1:$ZZ$501,$A486,W$3)))</f>
        <v/>
      </c>
      <c r="X486" s="124" t="str">
        <f>IF($B486="","",IF(X$3=0,"n.b.",INDEX(SRC_Woningetalage!$A$1:$ZZ$501,$A486,X$3)))</f>
        <v/>
      </c>
      <c r="Y486" s="124" t="str">
        <f>IF($B486="","",IF(Y$3=0,"n.b.",INDEX(SRC_Woningetalage!$A$1:$ZZ$501,$A486,Y$3)))</f>
        <v/>
      </c>
      <c r="Z486" s="124" t="str">
        <f>IF($B486="","",IF(Z$3=0,"n.b.",INDEX(SRC_Woningetalage!$A$1:$ZZ$501,$A486,Z$3)))</f>
        <v/>
      </c>
      <c r="AA486" s="124" t="str">
        <f>IF($B486="","",IF(AA$3=0,"n.b.",INDEX(SRC_Woningetalage!$A$1:$ZZ$501,$A486,AA$3)))</f>
        <v/>
      </c>
      <c r="AB486" s="124" t="str">
        <f>IF($B486="","",IF(AB$3=0,"n.b.",INDEX(SRC_Woningetalage!$A$1:$ZZ$501,$A486,AB$3)))</f>
        <v/>
      </c>
      <c r="AC486" s="124" t="str">
        <f>IF($B486="","",IF(AC$3=0,"n.b.",INDEX(SRC_Woningetalage!$A$1:$ZZ$501,$A486,AC$3)))</f>
        <v/>
      </c>
      <c r="AD486" s="124" t="str">
        <f>IF($B486="","",IF(AD$3=0,"n.b.",INDEX(SRC_Woningetalage!$A$1:$ZZ$501,$A486,AD$3)))</f>
        <v/>
      </c>
      <c r="AE486" s="124" t="str">
        <f>IF($B486="","",IF(AE$3=0,"n.b.",INDEX(SRC_Woningetalage!$A$1:$ZZ$501,$A486,AE$3)))</f>
        <v/>
      </c>
      <c r="AF486" s="124" t="str">
        <f>IF($B486="","",IF(AF$3=0,"n.b.",INDEX(SRC_Woningetalage!$A$1:$ZZ$501,$A486,AF$3)))</f>
        <v/>
      </c>
      <c r="AG486" s="124" t="str">
        <f>IF($B486="","",IF(AG$3=0,"n.b.",INDEX(SRC_Woningetalage!$A$1:$ZZ$501,$A486,AG$3)))</f>
        <v/>
      </c>
      <c r="AH486" s="124" t="str">
        <f>IF($B486="","",IF(AH$3=0,"n.b.",INDEX(SRC_Woningetalage!$A$1:$ZZ$501,$A486,AH$3)))</f>
        <v/>
      </c>
      <c r="AI486" s="124" t="str">
        <f>IF($B486="","",IF(AI$3=0,"n.b.",INDEX(SRC_Woningetalage!$A$1:$ZZ$501,$A486,AI$3)))</f>
        <v/>
      </c>
      <c r="AJ486" s="124" t="str">
        <f>IF($B486="","",IF(AJ$3=0,"n.b.",INDEX(SRC_Woningetalage!$A$1:$ZZ$501,$A486,AJ$3)))</f>
        <v/>
      </c>
      <c r="AK486" s="124" t="str">
        <f>IF($B486="","",IF(AK$3=0,"n.b.",INDEX(SRC_Woningetalage!$A$1:$ZZ$501,$A486,AK$3)))</f>
        <v/>
      </c>
      <c r="AL486" s="124" t="str">
        <f>IF($B486="","",IF(AL$3=0,"n.b.",INDEX(SRC_Woningetalage!$A$1:$ZZ$501,$A486,AL$3)))</f>
        <v/>
      </c>
      <c r="AM486" s="124" t="str">
        <f>IF($B486="","",IF(AM$3=0,"n.b.",INDEX(SRC_Woningetalage!$A$1:$ZZ$501,$A486,AM$3)))</f>
        <v/>
      </c>
      <c r="AN486" s="124" t="str">
        <f>IF($B486="","",IF(AN$3=0,"n.b.",INDEX(SRC_Woningetalage!$A$1:$ZZ$501,$A486,AN$3)))</f>
        <v/>
      </c>
      <c r="AO486" s="124" t="str">
        <f>IF($B486="","",IF(AO$3=0,"n.b.",INDEX(SRC_Woningetalage!$A$1:$ZZ$501,$A486,AO$3)))</f>
        <v/>
      </c>
      <c r="AP486" s="124" t="str">
        <f>IF($B486="","",IF(AP$3=0,"n.b.",INDEX(SRC_Woningetalage!$A$1:$ZZ$501,$A486,AP$3)))</f>
        <v/>
      </c>
      <c r="AQ486" s="124" t="str">
        <f>IF($B486="","",IF(AQ$3=0,"n.b.",INDEX(SRC_Woningetalage!$A$1:$ZZ$501,$A486,AQ$3)))</f>
        <v/>
      </c>
      <c r="AR486" s="124" t="str">
        <f>IF($B486="","",IF(AR$3=0,"n.b.",INDEX(SRC_Woningetalage!$A$1:$ZZ$501,$A486,AR$3)))</f>
        <v/>
      </c>
      <c r="AS486" s="124" t="str">
        <f>IF($B486="","",IF(AS$3=0,"n.b.",INDEX(SRC_Woningetalage!$A$1:$ZZ$501,$A486,AS$3)))</f>
        <v/>
      </c>
      <c r="AT486" s="124" t="str">
        <f>IF($B486="","",IF(AT$3=0,"n.b.",INDEX(SRC_Woningetalage!$A$1:$ZZ$501,$A486,AT$3)))</f>
        <v/>
      </c>
      <c r="AU486" s="124" t="str">
        <f>IF($B486="","",IF(AU$3=0,"n.b.",INDEX(SRC_Woningetalage!$A$1:$ZZ$501,$A486,AU$3)))</f>
        <v/>
      </c>
      <c r="AV486" s="124" t="str">
        <f>IF($B486="","",IF(AV$3=0,"n.b.",INDEX(SRC_Woningetalage!$A$1:$ZZ$501,$A486,AV$3)))</f>
        <v/>
      </c>
      <c r="AW486" s="124" t="str">
        <f>IF($B486="","",IF(AW$3=0,"n.b.",INDEX(SRC_Woningetalage!$A$1:$ZZ$501,$A486,AW$3)))</f>
        <v/>
      </c>
      <c r="AX486" s="124" t="str">
        <f>IF($B486="","",IF(AX$3=0,"n.b.",INDEX(SRC_Woningetalage!$A$1:$ZZ$501,$A486,AX$3)))</f>
        <v/>
      </c>
      <c r="AY486" s="124" t="str">
        <f>IF($B486="","",IF(AY$3=0,"n.b.",INDEX(SRC_Woningetalage!$A$1:$ZZ$501,$A486,AY$3)))</f>
        <v/>
      </c>
      <c r="AZ486" s="124" t="str">
        <f>IF($B486="","",IF(AZ$3=0,"n.b.",INDEX(SRC_Woningetalage!$A$1:$ZZ$501,$A486,AZ$3)))</f>
        <v/>
      </c>
      <c r="BA486" s="124" t="str">
        <f>IF($B486="","",IF(BA$3=0,"n.b.",INDEX(SRC_Woningetalage!$A$1:$ZZ$501,$A486,BA$3)))</f>
        <v/>
      </c>
      <c r="BB486" s="124" t="str">
        <f>IF($B486="","",IF(BB$3=0,"n.b.",INDEX(SRC_Woningetalage!$A$1:$ZZ$501,$A486,BB$3)))</f>
        <v/>
      </c>
      <c r="BC486" s="124" t="str">
        <f>IF($B486="","",IFERROR(_xlfn.NUMBERVALUE(E486&amp;"",",","."),"n.b."))</f>
        <v/>
      </c>
      <c r="BD486" s="124" t="str">
        <f>IF($B486="","",IFERROR(_xlfn.NUMBERVALUE(M486&amp;"",",","."),"n.b."))</f>
        <v/>
      </c>
      <c r="BE486" s="124" t="str">
        <f>IF($B486="","",IFERROR(AB486+AC486+AD486,"n.b."))</f>
        <v/>
      </c>
      <c r="BF486" s="124" t="str">
        <f>IF($B486="","",IFERROR(AE486+AF486+AG486,"n.b."))</f>
        <v/>
      </c>
      <c r="BG486" s="124" t="str">
        <f>IF($B486="","",IFERROR(AH486+AI486+AJ486,"n.b."))</f>
        <v/>
      </c>
      <c r="BH486" s="124" t="str">
        <f>IF($B486="","",IFERROR(AK486+AL486+AM486,"n.b."))</f>
        <v/>
      </c>
      <c r="BI486" s="124" t="str">
        <f>IF($B486="","",IFERROR(SUMIF($AB$5:$AM$5,"&lt;="&amp;P_PeilMaand,AB486:AM486),"n.b."))</f>
        <v/>
      </c>
      <c r="BJ486" s="124" t="str">
        <f>IF($B486="","",IFERROR(SUM(AB486:AM486)-BI486,"n.b."))</f>
        <v/>
      </c>
      <c r="BK486" s="124" t="str">
        <f>IF($B486="","",IFERROR(IF(ABS(Q486-(T486+SUM(AB486:AM486)+AS486+AU486))&gt;P_Tol,1,0),1))</f>
        <v/>
      </c>
      <c r="BL486" s="124" t="str">
        <f>IF($B486="","",IFERROR(IF(ABS(AA486-(Q486-Z486))&gt;P_Tol,1,0),1))</f>
        <v/>
      </c>
      <c r="BM486" s="124" t="str">
        <f>IF($B486="","",IFERROR(IF(ABS(Z486-(T486+W486))&gt;P_Tol,1,0),1))</f>
        <v/>
      </c>
      <c r="BN486" s="124" t="str">
        <f>IF($B486="","",IFERROR(IF(ABS(W486-BI486)&gt;P_Tol,1,0),1))</f>
        <v/>
      </c>
      <c r="BO486" s="124" t="str">
        <f>IF($B486="","",IFERROR(IF(OR(ABS(R486+S486-T486)&gt;P_Tol,ABS(U486+V486-W486)&gt;P_Tol,ABS(X486+Y486-Z486)&gt;P_Tol),1,0),1))</f>
        <v/>
      </c>
      <c r="BP486" s="124" t="str">
        <f>IF($B486="","",IFERROR(IF(OR(ABS(AR486-SUM(AB486:AM486))&gt;P_Tol,ABS(AS486-(AN486+AO486+AP486+AQ486))&gt;P_Tol),1,0),1))</f>
        <v/>
      </c>
      <c r="BQ486" s="124" t="str">
        <f>IF($B486="","",IFERROR(IF(ABS(AT486)+ABS(AV486)+ABS(AW486)+ABS(AX486)+ABS(AY486)+ABS(AZ486)+ABS(BA486)+ABS(BB486)&gt;0,1,0),1))</f>
        <v/>
      </c>
      <c r="BR486" s="124" t="str">
        <f>IF($B486="","",COUNTIF(STG_ZPMW03!$B$6:$B$505,B486))</f>
        <v/>
      </c>
      <c r="BS486" s="124" t="str">
        <f>IF($B486="","",COUNTIF($B$6:$B$505,B486))</f>
        <v/>
      </c>
      <c r="BT486" s="124" t="str">
        <f>IF($B486="","",IF(BR486=0,0,IF(INDEX(STG_ZPMW03!$I$6:$I$505,MATCH(B486,STG_ZPMW03!$B$6:$B$505,0))=J486&amp;"",0,1)))</f>
        <v/>
      </c>
      <c r="BU486" s="124" t="str">
        <f>IF($B486="","",IFERROR(IF(ABS(INDEX(Mapping!$D$5:$D$104,MATCH(B486,Mapping!$A$5:$A$104,0))-Q486)&gt;P_Tol,1,0),0))</f>
        <v/>
      </c>
      <c r="BV486" s="124" t="str">
        <f>IF($B486="","",IFERROR(IF(AND(INDEX(Mapping!$G$5:$G$104,MATCH(B486,Mapping!$A$5:$A$104,0))="Nee",ABS(Q486)+ABS(Z486)+ABS(AR486)&gt;0),1,0),0))</f>
        <v/>
      </c>
      <c r="BW486" s="124" t="str">
        <f>IF($B486="","",IF(COUNTIF(Mapping!$A$5:$A$104,B486)&gt;0,1,0))</f>
        <v/>
      </c>
      <c r="BX486" s="124" t="str">
        <f>IF($B486="","",IF(BR486=0,COUNTIF($BR$6:BR486,0),""))</f>
        <v/>
      </c>
    </row>
    <row r="487">
      <c r="A487" s="15" t="n">
        <v>483</v>
      </c>
      <c r="B487" t="str">
        <f>IF(B$3=0,"",IF(INDEX(SRC_Woningetalage!$A$1:$ZZ$501,$A487,B$3)&amp;""="","",INDEX(SRC_Woningetalage!$A$1:$ZZ$501,$A487,B$3)&amp;""))</f>
        <v/>
      </c>
      <c r="C487" t="str">
        <f>IF($B487="","",IF(C$3=0,"n.b.",INDEX(SRC_Woningetalage!$A$1:$ZZ$501,$A487,C$3)))</f>
        <v/>
      </c>
      <c r="D487" t="str">
        <f>IF($B487="","",IF(D$3=0,"n.b.",INDEX(SRC_Woningetalage!$A$1:$ZZ$501,$A487,D$3)))</f>
        <v/>
      </c>
      <c r="E487" t="str">
        <f>IF($B487="","",IF(E$3=0,"n.b.",INDEX(SRC_Woningetalage!$A$1:$ZZ$501,$A487,E$3)))</f>
        <v/>
      </c>
      <c r="F487" t="str">
        <f>IF($B487="","",IF(F$3=0,"n.b.",INDEX(SRC_Woningetalage!$A$1:$ZZ$501,$A487,F$3)))</f>
        <v/>
      </c>
      <c r="G487" t="str">
        <f>IF($B487="","",IF(G$3=0,"n.b.",INDEX(SRC_Woningetalage!$A$1:$ZZ$501,$A487,G$3)))</f>
        <v/>
      </c>
      <c r="H487" t="str">
        <f>IF($B487="","",IF(H$3=0,"n.b.",INDEX(SRC_Woningetalage!$A$1:$ZZ$501,$A487,H$3)))</f>
        <v/>
      </c>
      <c r="I487" t="str">
        <f>IF($B487="","",IF(I$3=0,"n.b.",INDEX(SRC_Woningetalage!$A$1:$ZZ$501,$A487,I$3)))</f>
        <v/>
      </c>
      <c r="J487" t="str">
        <f>IF($B487="","",IF(J$3=0,"n.b.",INDEX(SRC_Woningetalage!$A$1:$ZZ$501,$A487,J$3)))</f>
        <v/>
      </c>
      <c r="K487" t="str">
        <f>IF($B487="","",IF(K$3=0,"n.b.",INDEX(SRC_Woningetalage!$A$1:$ZZ$501,$A487,K$3)))</f>
        <v/>
      </c>
      <c r="L487" t="str">
        <f>IF($B487="","",IF(L$3=0,"n.b.",INDEX(SRC_Woningetalage!$A$1:$ZZ$501,$A487,L$3)))</f>
        <v/>
      </c>
      <c r="M487" t="str">
        <f>IF($B487="","",IF(M$3=0,"n.b.",INDEX(SRC_Woningetalage!$A$1:$ZZ$501,$A487,M$3)))</f>
        <v/>
      </c>
      <c r="N487" t="str">
        <f>IF($B487="","",IF(N$3=0,"n.b.",INDEX(SRC_Woningetalage!$A$1:$ZZ$501,$A487,N$3)))</f>
        <v/>
      </c>
      <c r="O487" t="str">
        <f>IF($B487="","",IF(O$3=0,"n.b.",INDEX(SRC_Woningetalage!$A$1:$ZZ$501,$A487,O$3)))</f>
        <v/>
      </c>
      <c r="P487" t="str">
        <f>IF($B487="","",IF(P$3=0,"n.b.",INDEX(SRC_Woningetalage!$A$1:$ZZ$501,$A487,P$3)))</f>
        <v/>
      </c>
      <c r="Q487" s="124" t="str">
        <f>IF($B487="","",IF(Q$3=0,"n.b.",INDEX(SRC_Woningetalage!$A$1:$ZZ$501,$A487,Q$3)))</f>
        <v/>
      </c>
      <c r="R487" s="124" t="str">
        <f>IF($B487="","",IF(R$3=0,"n.b.",INDEX(SRC_Woningetalage!$A$1:$ZZ$501,$A487,R$3)))</f>
        <v/>
      </c>
      <c r="S487" s="124" t="str">
        <f>IF($B487="","",IF(S$3=0,"n.b.",INDEX(SRC_Woningetalage!$A$1:$ZZ$501,$A487,S$3)))</f>
        <v/>
      </c>
      <c r="T487" s="124" t="str">
        <f>IF($B487="","",IF(T$3=0,"n.b.",INDEX(SRC_Woningetalage!$A$1:$ZZ$501,$A487,T$3)))</f>
        <v/>
      </c>
      <c r="U487" s="124" t="str">
        <f>IF($B487="","",IF(U$3=0,"n.b.",INDEX(SRC_Woningetalage!$A$1:$ZZ$501,$A487,U$3)))</f>
        <v/>
      </c>
      <c r="V487" s="124" t="str">
        <f>IF($B487="","",IF(V$3=0,"n.b.",INDEX(SRC_Woningetalage!$A$1:$ZZ$501,$A487,V$3)))</f>
        <v/>
      </c>
      <c r="W487" s="124" t="str">
        <f>IF($B487="","",IF(W$3=0,"n.b.",INDEX(SRC_Woningetalage!$A$1:$ZZ$501,$A487,W$3)))</f>
        <v/>
      </c>
      <c r="X487" s="124" t="str">
        <f>IF($B487="","",IF(X$3=0,"n.b.",INDEX(SRC_Woningetalage!$A$1:$ZZ$501,$A487,X$3)))</f>
        <v/>
      </c>
      <c r="Y487" s="124" t="str">
        <f>IF($B487="","",IF(Y$3=0,"n.b.",INDEX(SRC_Woningetalage!$A$1:$ZZ$501,$A487,Y$3)))</f>
        <v/>
      </c>
      <c r="Z487" s="124" t="str">
        <f>IF($B487="","",IF(Z$3=0,"n.b.",INDEX(SRC_Woningetalage!$A$1:$ZZ$501,$A487,Z$3)))</f>
        <v/>
      </c>
      <c r="AA487" s="124" t="str">
        <f>IF($B487="","",IF(AA$3=0,"n.b.",INDEX(SRC_Woningetalage!$A$1:$ZZ$501,$A487,AA$3)))</f>
        <v/>
      </c>
      <c r="AB487" s="124" t="str">
        <f>IF($B487="","",IF(AB$3=0,"n.b.",INDEX(SRC_Woningetalage!$A$1:$ZZ$501,$A487,AB$3)))</f>
        <v/>
      </c>
      <c r="AC487" s="124" t="str">
        <f>IF($B487="","",IF(AC$3=0,"n.b.",INDEX(SRC_Woningetalage!$A$1:$ZZ$501,$A487,AC$3)))</f>
        <v/>
      </c>
      <c r="AD487" s="124" t="str">
        <f>IF($B487="","",IF(AD$3=0,"n.b.",INDEX(SRC_Woningetalage!$A$1:$ZZ$501,$A487,AD$3)))</f>
        <v/>
      </c>
      <c r="AE487" s="124" t="str">
        <f>IF($B487="","",IF(AE$3=0,"n.b.",INDEX(SRC_Woningetalage!$A$1:$ZZ$501,$A487,AE$3)))</f>
        <v/>
      </c>
      <c r="AF487" s="124" t="str">
        <f>IF($B487="","",IF(AF$3=0,"n.b.",INDEX(SRC_Woningetalage!$A$1:$ZZ$501,$A487,AF$3)))</f>
        <v/>
      </c>
      <c r="AG487" s="124" t="str">
        <f>IF($B487="","",IF(AG$3=0,"n.b.",INDEX(SRC_Woningetalage!$A$1:$ZZ$501,$A487,AG$3)))</f>
        <v/>
      </c>
      <c r="AH487" s="124" t="str">
        <f>IF($B487="","",IF(AH$3=0,"n.b.",INDEX(SRC_Woningetalage!$A$1:$ZZ$501,$A487,AH$3)))</f>
        <v/>
      </c>
      <c r="AI487" s="124" t="str">
        <f>IF($B487="","",IF(AI$3=0,"n.b.",INDEX(SRC_Woningetalage!$A$1:$ZZ$501,$A487,AI$3)))</f>
        <v/>
      </c>
      <c r="AJ487" s="124" t="str">
        <f>IF($B487="","",IF(AJ$3=0,"n.b.",INDEX(SRC_Woningetalage!$A$1:$ZZ$501,$A487,AJ$3)))</f>
        <v/>
      </c>
      <c r="AK487" s="124" t="str">
        <f>IF($B487="","",IF(AK$3=0,"n.b.",INDEX(SRC_Woningetalage!$A$1:$ZZ$501,$A487,AK$3)))</f>
        <v/>
      </c>
      <c r="AL487" s="124" t="str">
        <f>IF($B487="","",IF(AL$3=0,"n.b.",INDEX(SRC_Woningetalage!$A$1:$ZZ$501,$A487,AL$3)))</f>
        <v/>
      </c>
      <c r="AM487" s="124" t="str">
        <f>IF($B487="","",IF(AM$3=0,"n.b.",INDEX(SRC_Woningetalage!$A$1:$ZZ$501,$A487,AM$3)))</f>
        <v/>
      </c>
      <c r="AN487" s="124" t="str">
        <f>IF($B487="","",IF(AN$3=0,"n.b.",INDEX(SRC_Woningetalage!$A$1:$ZZ$501,$A487,AN$3)))</f>
        <v/>
      </c>
      <c r="AO487" s="124" t="str">
        <f>IF($B487="","",IF(AO$3=0,"n.b.",INDEX(SRC_Woningetalage!$A$1:$ZZ$501,$A487,AO$3)))</f>
        <v/>
      </c>
      <c r="AP487" s="124" t="str">
        <f>IF($B487="","",IF(AP$3=0,"n.b.",INDEX(SRC_Woningetalage!$A$1:$ZZ$501,$A487,AP$3)))</f>
        <v/>
      </c>
      <c r="AQ487" s="124" t="str">
        <f>IF($B487="","",IF(AQ$3=0,"n.b.",INDEX(SRC_Woningetalage!$A$1:$ZZ$501,$A487,AQ$3)))</f>
        <v/>
      </c>
      <c r="AR487" s="124" t="str">
        <f>IF($B487="","",IF(AR$3=0,"n.b.",INDEX(SRC_Woningetalage!$A$1:$ZZ$501,$A487,AR$3)))</f>
        <v/>
      </c>
      <c r="AS487" s="124" t="str">
        <f>IF($B487="","",IF(AS$3=0,"n.b.",INDEX(SRC_Woningetalage!$A$1:$ZZ$501,$A487,AS$3)))</f>
        <v/>
      </c>
      <c r="AT487" s="124" t="str">
        <f>IF($B487="","",IF(AT$3=0,"n.b.",INDEX(SRC_Woningetalage!$A$1:$ZZ$501,$A487,AT$3)))</f>
        <v/>
      </c>
      <c r="AU487" s="124" t="str">
        <f>IF($B487="","",IF(AU$3=0,"n.b.",INDEX(SRC_Woningetalage!$A$1:$ZZ$501,$A487,AU$3)))</f>
        <v/>
      </c>
      <c r="AV487" s="124" t="str">
        <f>IF($B487="","",IF(AV$3=0,"n.b.",INDEX(SRC_Woningetalage!$A$1:$ZZ$501,$A487,AV$3)))</f>
        <v/>
      </c>
      <c r="AW487" s="124" t="str">
        <f>IF($B487="","",IF(AW$3=0,"n.b.",INDEX(SRC_Woningetalage!$A$1:$ZZ$501,$A487,AW$3)))</f>
        <v/>
      </c>
      <c r="AX487" s="124" t="str">
        <f>IF($B487="","",IF(AX$3=0,"n.b.",INDEX(SRC_Woningetalage!$A$1:$ZZ$501,$A487,AX$3)))</f>
        <v/>
      </c>
      <c r="AY487" s="124" t="str">
        <f>IF($B487="","",IF(AY$3=0,"n.b.",INDEX(SRC_Woningetalage!$A$1:$ZZ$501,$A487,AY$3)))</f>
        <v/>
      </c>
      <c r="AZ487" s="124" t="str">
        <f>IF($B487="","",IF(AZ$3=0,"n.b.",INDEX(SRC_Woningetalage!$A$1:$ZZ$501,$A487,AZ$3)))</f>
        <v/>
      </c>
      <c r="BA487" s="124" t="str">
        <f>IF($B487="","",IF(BA$3=0,"n.b.",INDEX(SRC_Woningetalage!$A$1:$ZZ$501,$A487,BA$3)))</f>
        <v/>
      </c>
      <c r="BB487" s="124" t="str">
        <f>IF($B487="","",IF(BB$3=0,"n.b.",INDEX(SRC_Woningetalage!$A$1:$ZZ$501,$A487,BB$3)))</f>
        <v/>
      </c>
      <c r="BC487" s="124" t="str">
        <f>IF($B487="","",IFERROR(_xlfn.NUMBERVALUE(E487&amp;"",",","."),"n.b."))</f>
        <v/>
      </c>
      <c r="BD487" s="124" t="str">
        <f>IF($B487="","",IFERROR(_xlfn.NUMBERVALUE(M487&amp;"",",","."),"n.b."))</f>
        <v/>
      </c>
      <c r="BE487" s="124" t="str">
        <f>IF($B487="","",IFERROR(AB487+AC487+AD487,"n.b."))</f>
        <v/>
      </c>
      <c r="BF487" s="124" t="str">
        <f>IF($B487="","",IFERROR(AE487+AF487+AG487,"n.b."))</f>
        <v/>
      </c>
      <c r="BG487" s="124" t="str">
        <f>IF($B487="","",IFERROR(AH487+AI487+AJ487,"n.b."))</f>
        <v/>
      </c>
      <c r="BH487" s="124" t="str">
        <f>IF($B487="","",IFERROR(AK487+AL487+AM487,"n.b."))</f>
        <v/>
      </c>
      <c r="BI487" s="124" t="str">
        <f>IF($B487="","",IFERROR(SUMIF($AB$5:$AM$5,"&lt;="&amp;P_PeilMaand,AB487:AM487),"n.b."))</f>
        <v/>
      </c>
      <c r="BJ487" s="124" t="str">
        <f>IF($B487="","",IFERROR(SUM(AB487:AM487)-BI487,"n.b."))</f>
        <v/>
      </c>
      <c r="BK487" s="124" t="str">
        <f>IF($B487="","",IFERROR(IF(ABS(Q487-(T487+SUM(AB487:AM487)+AS487+AU487))&gt;P_Tol,1,0),1))</f>
        <v/>
      </c>
      <c r="BL487" s="124" t="str">
        <f>IF($B487="","",IFERROR(IF(ABS(AA487-(Q487-Z487))&gt;P_Tol,1,0),1))</f>
        <v/>
      </c>
      <c r="BM487" s="124" t="str">
        <f>IF($B487="","",IFERROR(IF(ABS(Z487-(T487+W487))&gt;P_Tol,1,0),1))</f>
        <v/>
      </c>
      <c r="BN487" s="124" t="str">
        <f>IF($B487="","",IFERROR(IF(ABS(W487-BI487)&gt;P_Tol,1,0),1))</f>
        <v/>
      </c>
      <c r="BO487" s="124" t="str">
        <f>IF($B487="","",IFERROR(IF(OR(ABS(R487+S487-T487)&gt;P_Tol,ABS(U487+V487-W487)&gt;P_Tol,ABS(X487+Y487-Z487)&gt;P_Tol),1,0),1))</f>
        <v/>
      </c>
      <c r="BP487" s="124" t="str">
        <f>IF($B487="","",IFERROR(IF(OR(ABS(AR487-SUM(AB487:AM487))&gt;P_Tol,ABS(AS487-(AN487+AO487+AP487+AQ487))&gt;P_Tol),1,0),1))</f>
        <v/>
      </c>
      <c r="BQ487" s="124" t="str">
        <f>IF($B487="","",IFERROR(IF(ABS(AT487)+ABS(AV487)+ABS(AW487)+ABS(AX487)+ABS(AY487)+ABS(AZ487)+ABS(BA487)+ABS(BB487)&gt;0,1,0),1))</f>
        <v/>
      </c>
      <c r="BR487" s="124" t="str">
        <f>IF($B487="","",COUNTIF(STG_ZPMW03!$B$6:$B$505,B487))</f>
        <v/>
      </c>
      <c r="BS487" s="124" t="str">
        <f>IF($B487="","",COUNTIF($B$6:$B$505,B487))</f>
        <v/>
      </c>
      <c r="BT487" s="124" t="str">
        <f>IF($B487="","",IF(BR487=0,0,IF(INDEX(STG_ZPMW03!$I$6:$I$505,MATCH(B487,STG_ZPMW03!$B$6:$B$505,0))=J487&amp;"",0,1)))</f>
        <v/>
      </c>
      <c r="BU487" s="124" t="str">
        <f>IF($B487="","",IFERROR(IF(ABS(INDEX(Mapping!$D$5:$D$104,MATCH(B487,Mapping!$A$5:$A$104,0))-Q487)&gt;P_Tol,1,0),0))</f>
        <v/>
      </c>
      <c r="BV487" s="124" t="str">
        <f>IF($B487="","",IFERROR(IF(AND(INDEX(Mapping!$G$5:$G$104,MATCH(B487,Mapping!$A$5:$A$104,0))="Nee",ABS(Q487)+ABS(Z487)+ABS(AR487)&gt;0),1,0),0))</f>
        <v/>
      </c>
      <c r="BW487" s="124" t="str">
        <f>IF($B487="","",IF(COUNTIF(Mapping!$A$5:$A$104,B487)&gt;0,1,0))</f>
        <v/>
      </c>
      <c r="BX487" s="124" t="str">
        <f>IF($B487="","",IF(BR487=0,COUNTIF($BR$6:BR487,0),""))</f>
        <v/>
      </c>
    </row>
    <row r="488">
      <c r="A488" s="15" t="n">
        <v>484</v>
      </c>
      <c r="B488" t="str">
        <f>IF(B$3=0,"",IF(INDEX(SRC_Woningetalage!$A$1:$ZZ$501,$A488,B$3)&amp;""="","",INDEX(SRC_Woningetalage!$A$1:$ZZ$501,$A488,B$3)&amp;""))</f>
        <v/>
      </c>
      <c r="C488" t="str">
        <f>IF($B488="","",IF(C$3=0,"n.b.",INDEX(SRC_Woningetalage!$A$1:$ZZ$501,$A488,C$3)))</f>
        <v/>
      </c>
      <c r="D488" t="str">
        <f>IF($B488="","",IF(D$3=0,"n.b.",INDEX(SRC_Woningetalage!$A$1:$ZZ$501,$A488,D$3)))</f>
        <v/>
      </c>
      <c r="E488" t="str">
        <f>IF($B488="","",IF(E$3=0,"n.b.",INDEX(SRC_Woningetalage!$A$1:$ZZ$501,$A488,E$3)))</f>
        <v/>
      </c>
      <c r="F488" t="str">
        <f>IF($B488="","",IF(F$3=0,"n.b.",INDEX(SRC_Woningetalage!$A$1:$ZZ$501,$A488,F$3)))</f>
        <v/>
      </c>
      <c r="G488" t="str">
        <f>IF($B488="","",IF(G$3=0,"n.b.",INDEX(SRC_Woningetalage!$A$1:$ZZ$501,$A488,G$3)))</f>
        <v/>
      </c>
      <c r="H488" t="str">
        <f>IF($B488="","",IF(H$3=0,"n.b.",INDEX(SRC_Woningetalage!$A$1:$ZZ$501,$A488,H$3)))</f>
        <v/>
      </c>
      <c r="I488" t="str">
        <f>IF($B488="","",IF(I$3=0,"n.b.",INDEX(SRC_Woningetalage!$A$1:$ZZ$501,$A488,I$3)))</f>
        <v/>
      </c>
      <c r="J488" t="str">
        <f>IF($B488="","",IF(J$3=0,"n.b.",INDEX(SRC_Woningetalage!$A$1:$ZZ$501,$A488,J$3)))</f>
        <v/>
      </c>
      <c r="K488" t="str">
        <f>IF($B488="","",IF(K$3=0,"n.b.",INDEX(SRC_Woningetalage!$A$1:$ZZ$501,$A488,K$3)))</f>
        <v/>
      </c>
      <c r="L488" t="str">
        <f>IF($B488="","",IF(L$3=0,"n.b.",INDEX(SRC_Woningetalage!$A$1:$ZZ$501,$A488,L$3)))</f>
        <v/>
      </c>
      <c r="M488" t="str">
        <f>IF($B488="","",IF(M$3=0,"n.b.",INDEX(SRC_Woningetalage!$A$1:$ZZ$501,$A488,M$3)))</f>
        <v/>
      </c>
      <c r="N488" t="str">
        <f>IF($B488="","",IF(N$3=0,"n.b.",INDEX(SRC_Woningetalage!$A$1:$ZZ$501,$A488,N$3)))</f>
        <v/>
      </c>
      <c r="O488" t="str">
        <f>IF($B488="","",IF(O$3=0,"n.b.",INDEX(SRC_Woningetalage!$A$1:$ZZ$501,$A488,O$3)))</f>
        <v/>
      </c>
      <c r="P488" t="str">
        <f>IF($B488="","",IF(P$3=0,"n.b.",INDEX(SRC_Woningetalage!$A$1:$ZZ$501,$A488,P$3)))</f>
        <v/>
      </c>
      <c r="Q488" s="124" t="str">
        <f>IF($B488="","",IF(Q$3=0,"n.b.",INDEX(SRC_Woningetalage!$A$1:$ZZ$501,$A488,Q$3)))</f>
        <v/>
      </c>
      <c r="R488" s="124" t="str">
        <f>IF($B488="","",IF(R$3=0,"n.b.",INDEX(SRC_Woningetalage!$A$1:$ZZ$501,$A488,R$3)))</f>
        <v/>
      </c>
      <c r="S488" s="124" t="str">
        <f>IF($B488="","",IF(S$3=0,"n.b.",INDEX(SRC_Woningetalage!$A$1:$ZZ$501,$A488,S$3)))</f>
        <v/>
      </c>
      <c r="T488" s="124" t="str">
        <f>IF($B488="","",IF(T$3=0,"n.b.",INDEX(SRC_Woningetalage!$A$1:$ZZ$501,$A488,T$3)))</f>
        <v/>
      </c>
      <c r="U488" s="124" t="str">
        <f>IF($B488="","",IF(U$3=0,"n.b.",INDEX(SRC_Woningetalage!$A$1:$ZZ$501,$A488,U$3)))</f>
        <v/>
      </c>
      <c r="V488" s="124" t="str">
        <f>IF($B488="","",IF(V$3=0,"n.b.",INDEX(SRC_Woningetalage!$A$1:$ZZ$501,$A488,V$3)))</f>
        <v/>
      </c>
      <c r="W488" s="124" t="str">
        <f>IF($B488="","",IF(W$3=0,"n.b.",INDEX(SRC_Woningetalage!$A$1:$ZZ$501,$A488,W$3)))</f>
        <v/>
      </c>
      <c r="X488" s="124" t="str">
        <f>IF($B488="","",IF(X$3=0,"n.b.",INDEX(SRC_Woningetalage!$A$1:$ZZ$501,$A488,X$3)))</f>
        <v/>
      </c>
      <c r="Y488" s="124" t="str">
        <f>IF($B488="","",IF(Y$3=0,"n.b.",INDEX(SRC_Woningetalage!$A$1:$ZZ$501,$A488,Y$3)))</f>
        <v/>
      </c>
      <c r="Z488" s="124" t="str">
        <f>IF($B488="","",IF(Z$3=0,"n.b.",INDEX(SRC_Woningetalage!$A$1:$ZZ$501,$A488,Z$3)))</f>
        <v/>
      </c>
      <c r="AA488" s="124" t="str">
        <f>IF($B488="","",IF(AA$3=0,"n.b.",INDEX(SRC_Woningetalage!$A$1:$ZZ$501,$A488,AA$3)))</f>
        <v/>
      </c>
      <c r="AB488" s="124" t="str">
        <f>IF($B488="","",IF(AB$3=0,"n.b.",INDEX(SRC_Woningetalage!$A$1:$ZZ$501,$A488,AB$3)))</f>
        <v/>
      </c>
      <c r="AC488" s="124" t="str">
        <f>IF($B488="","",IF(AC$3=0,"n.b.",INDEX(SRC_Woningetalage!$A$1:$ZZ$501,$A488,AC$3)))</f>
        <v/>
      </c>
      <c r="AD488" s="124" t="str">
        <f>IF($B488="","",IF(AD$3=0,"n.b.",INDEX(SRC_Woningetalage!$A$1:$ZZ$501,$A488,AD$3)))</f>
        <v/>
      </c>
      <c r="AE488" s="124" t="str">
        <f>IF($B488="","",IF(AE$3=0,"n.b.",INDEX(SRC_Woningetalage!$A$1:$ZZ$501,$A488,AE$3)))</f>
        <v/>
      </c>
      <c r="AF488" s="124" t="str">
        <f>IF($B488="","",IF(AF$3=0,"n.b.",INDEX(SRC_Woningetalage!$A$1:$ZZ$501,$A488,AF$3)))</f>
        <v/>
      </c>
      <c r="AG488" s="124" t="str">
        <f>IF($B488="","",IF(AG$3=0,"n.b.",INDEX(SRC_Woningetalage!$A$1:$ZZ$501,$A488,AG$3)))</f>
        <v/>
      </c>
      <c r="AH488" s="124" t="str">
        <f>IF($B488="","",IF(AH$3=0,"n.b.",INDEX(SRC_Woningetalage!$A$1:$ZZ$501,$A488,AH$3)))</f>
        <v/>
      </c>
      <c r="AI488" s="124" t="str">
        <f>IF($B488="","",IF(AI$3=0,"n.b.",INDEX(SRC_Woningetalage!$A$1:$ZZ$501,$A488,AI$3)))</f>
        <v/>
      </c>
      <c r="AJ488" s="124" t="str">
        <f>IF($B488="","",IF(AJ$3=0,"n.b.",INDEX(SRC_Woningetalage!$A$1:$ZZ$501,$A488,AJ$3)))</f>
        <v/>
      </c>
      <c r="AK488" s="124" t="str">
        <f>IF($B488="","",IF(AK$3=0,"n.b.",INDEX(SRC_Woningetalage!$A$1:$ZZ$501,$A488,AK$3)))</f>
        <v/>
      </c>
      <c r="AL488" s="124" t="str">
        <f>IF($B488="","",IF(AL$3=0,"n.b.",INDEX(SRC_Woningetalage!$A$1:$ZZ$501,$A488,AL$3)))</f>
        <v/>
      </c>
      <c r="AM488" s="124" t="str">
        <f>IF($B488="","",IF(AM$3=0,"n.b.",INDEX(SRC_Woningetalage!$A$1:$ZZ$501,$A488,AM$3)))</f>
        <v/>
      </c>
      <c r="AN488" s="124" t="str">
        <f>IF($B488="","",IF(AN$3=0,"n.b.",INDEX(SRC_Woningetalage!$A$1:$ZZ$501,$A488,AN$3)))</f>
        <v/>
      </c>
      <c r="AO488" s="124" t="str">
        <f>IF($B488="","",IF(AO$3=0,"n.b.",INDEX(SRC_Woningetalage!$A$1:$ZZ$501,$A488,AO$3)))</f>
        <v/>
      </c>
      <c r="AP488" s="124" t="str">
        <f>IF($B488="","",IF(AP$3=0,"n.b.",INDEX(SRC_Woningetalage!$A$1:$ZZ$501,$A488,AP$3)))</f>
        <v/>
      </c>
      <c r="AQ488" s="124" t="str">
        <f>IF($B488="","",IF(AQ$3=0,"n.b.",INDEX(SRC_Woningetalage!$A$1:$ZZ$501,$A488,AQ$3)))</f>
        <v/>
      </c>
      <c r="AR488" s="124" t="str">
        <f>IF($B488="","",IF(AR$3=0,"n.b.",INDEX(SRC_Woningetalage!$A$1:$ZZ$501,$A488,AR$3)))</f>
        <v/>
      </c>
      <c r="AS488" s="124" t="str">
        <f>IF($B488="","",IF(AS$3=0,"n.b.",INDEX(SRC_Woningetalage!$A$1:$ZZ$501,$A488,AS$3)))</f>
        <v/>
      </c>
      <c r="AT488" s="124" t="str">
        <f>IF($B488="","",IF(AT$3=0,"n.b.",INDEX(SRC_Woningetalage!$A$1:$ZZ$501,$A488,AT$3)))</f>
        <v/>
      </c>
      <c r="AU488" s="124" t="str">
        <f>IF($B488="","",IF(AU$3=0,"n.b.",INDEX(SRC_Woningetalage!$A$1:$ZZ$501,$A488,AU$3)))</f>
        <v/>
      </c>
      <c r="AV488" s="124" t="str">
        <f>IF($B488="","",IF(AV$3=0,"n.b.",INDEX(SRC_Woningetalage!$A$1:$ZZ$501,$A488,AV$3)))</f>
        <v/>
      </c>
      <c r="AW488" s="124" t="str">
        <f>IF($B488="","",IF(AW$3=0,"n.b.",INDEX(SRC_Woningetalage!$A$1:$ZZ$501,$A488,AW$3)))</f>
        <v/>
      </c>
      <c r="AX488" s="124" t="str">
        <f>IF($B488="","",IF(AX$3=0,"n.b.",INDEX(SRC_Woningetalage!$A$1:$ZZ$501,$A488,AX$3)))</f>
        <v/>
      </c>
      <c r="AY488" s="124" t="str">
        <f>IF($B488="","",IF(AY$3=0,"n.b.",INDEX(SRC_Woningetalage!$A$1:$ZZ$501,$A488,AY$3)))</f>
        <v/>
      </c>
      <c r="AZ488" s="124" t="str">
        <f>IF($B488="","",IF(AZ$3=0,"n.b.",INDEX(SRC_Woningetalage!$A$1:$ZZ$501,$A488,AZ$3)))</f>
        <v/>
      </c>
      <c r="BA488" s="124" t="str">
        <f>IF($B488="","",IF(BA$3=0,"n.b.",INDEX(SRC_Woningetalage!$A$1:$ZZ$501,$A488,BA$3)))</f>
        <v/>
      </c>
      <c r="BB488" s="124" t="str">
        <f>IF($B488="","",IF(BB$3=0,"n.b.",INDEX(SRC_Woningetalage!$A$1:$ZZ$501,$A488,BB$3)))</f>
        <v/>
      </c>
      <c r="BC488" s="124" t="str">
        <f>IF($B488="","",IFERROR(_xlfn.NUMBERVALUE(E488&amp;"",",","."),"n.b."))</f>
        <v/>
      </c>
      <c r="BD488" s="124" t="str">
        <f>IF($B488="","",IFERROR(_xlfn.NUMBERVALUE(M488&amp;"",",","."),"n.b."))</f>
        <v/>
      </c>
      <c r="BE488" s="124" t="str">
        <f>IF($B488="","",IFERROR(AB488+AC488+AD488,"n.b."))</f>
        <v/>
      </c>
      <c r="BF488" s="124" t="str">
        <f>IF($B488="","",IFERROR(AE488+AF488+AG488,"n.b."))</f>
        <v/>
      </c>
      <c r="BG488" s="124" t="str">
        <f>IF($B488="","",IFERROR(AH488+AI488+AJ488,"n.b."))</f>
        <v/>
      </c>
      <c r="BH488" s="124" t="str">
        <f>IF($B488="","",IFERROR(AK488+AL488+AM488,"n.b."))</f>
        <v/>
      </c>
      <c r="BI488" s="124" t="str">
        <f>IF($B488="","",IFERROR(SUMIF($AB$5:$AM$5,"&lt;="&amp;P_PeilMaand,AB488:AM488),"n.b."))</f>
        <v/>
      </c>
      <c r="BJ488" s="124" t="str">
        <f>IF($B488="","",IFERROR(SUM(AB488:AM488)-BI488,"n.b."))</f>
        <v/>
      </c>
      <c r="BK488" s="124" t="str">
        <f>IF($B488="","",IFERROR(IF(ABS(Q488-(T488+SUM(AB488:AM488)+AS488+AU488))&gt;P_Tol,1,0),1))</f>
        <v/>
      </c>
      <c r="BL488" s="124" t="str">
        <f>IF($B488="","",IFERROR(IF(ABS(AA488-(Q488-Z488))&gt;P_Tol,1,0),1))</f>
        <v/>
      </c>
      <c r="BM488" s="124" t="str">
        <f>IF($B488="","",IFERROR(IF(ABS(Z488-(T488+W488))&gt;P_Tol,1,0),1))</f>
        <v/>
      </c>
      <c r="BN488" s="124" t="str">
        <f>IF($B488="","",IFERROR(IF(ABS(W488-BI488)&gt;P_Tol,1,0),1))</f>
        <v/>
      </c>
      <c r="BO488" s="124" t="str">
        <f>IF($B488="","",IFERROR(IF(OR(ABS(R488+S488-T488)&gt;P_Tol,ABS(U488+V488-W488)&gt;P_Tol,ABS(X488+Y488-Z488)&gt;P_Tol),1,0),1))</f>
        <v/>
      </c>
      <c r="BP488" s="124" t="str">
        <f>IF($B488="","",IFERROR(IF(OR(ABS(AR488-SUM(AB488:AM488))&gt;P_Tol,ABS(AS488-(AN488+AO488+AP488+AQ488))&gt;P_Tol),1,0),1))</f>
        <v/>
      </c>
      <c r="BQ488" s="124" t="str">
        <f>IF($B488="","",IFERROR(IF(ABS(AT488)+ABS(AV488)+ABS(AW488)+ABS(AX488)+ABS(AY488)+ABS(AZ488)+ABS(BA488)+ABS(BB488)&gt;0,1,0),1))</f>
        <v/>
      </c>
      <c r="BR488" s="124" t="str">
        <f>IF($B488="","",COUNTIF(STG_ZPMW03!$B$6:$B$505,B488))</f>
        <v/>
      </c>
      <c r="BS488" s="124" t="str">
        <f>IF($B488="","",COUNTIF($B$6:$B$505,B488))</f>
        <v/>
      </c>
      <c r="BT488" s="124" t="str">
        <f>IF($B488="","",IF(BR488=0,0,IF(INDEX(STG_ZPMW03!$I$6:$I$505,MATCH(B488,STG_ZPMW03!$B$6:$B$505,0))=J488&amp;"",0,1)))</f>
        <v/>
      </c>
      <c r="BU488" s="124" t="str">
        <f>IF($B488="","",IFERROR(IF(ABS(INDEX(Mapping!$D$5:$D$104,MATCH(B488,Mapping!$A$5:$A$104,0))-Q488)&gt;P_Tol,1,0),0))</f>
        <v/>
      </c>
      <c r="BV488" s="124" t="str">
        <f>IF($B488="","",IFERROR(IF(AND(INDEX(Mapping!$G$5:$G$104,MATCH(B488,Mapping!$A$5:$A$104,0))="Nee",ABS(Q488)+ABS(Z488)+ABS(AR488)&gt;0),1,0),0))</f>
        <v/>
      </c>
      <c r="BW488" s="124" t="str">
        <f>IF($B488="","",IF(COUNTIF(Mapping!$A$5:$A$104,B488)&gt;0,1,0))</f>
        <v/>
      </c>
      <c r="BX488" s="124" t="str">
        <f>IF($B488="","",IF(BR488=0,COUNTIF($BR$6:BR488,0),""))</f>
        <v/>
      </c>
    </row>
    <row r="489">
      <c r="A489" s="15" t="n">
        <v>485</v>
      </c>
      <c r="B489" t="str">
        <f>IF(B$3=0,"",IF(INDEX(SRC_Woningetalage!$A$1:$ZZ$501,$A489,B$3)&amp;""="","",INDEX(SRC_Woningetalage!$A$1:$ZZ$501,$A489,B$3)&amp;""))</f>
        <v/>
      </c>
      <c r="C489" t="str">
        <f>IF($B489="","",IF(C$3=0,"n.b.",INDEX(SRC_Woningetalage!$A$1:$ZZ$501,$A489,C$3)))</f>
        <v/>
      </c>
      <c r="D489" t="str">
        <f>IF($B489="","",IF(D$3=0,"n.b.",INDEX(SRC_Woningetalage!$A$1:$ZZ$501,$A489,D$3)))</f>
        <v/>
      </c>
      <c r="E489" t="str">
        <f>IF($B489="","",IF(E$3=0,"n.b.",INDEX(SRC_Woningetalage!$A$1:$ZZ$501,$A489,E$3)))</f>
        <v/>
      </c>
      <c r="F489" t="str">
        <f>IF($B489="","",IF(F$3=0,"n.b.",INDEX(SRC_Woningetalage!$A$1:$ZZ$501,$A489,F$3)))</f>
        <v/>
      </c>
      <c r="G489" t="str">
        <f>IF($B489="","",IF(G$3=0,"n.b.",INDEX(SRC_Woningetalage!$A$1:$ZZ$501,$A489,G$3)))</f>
        <v/>
      </c>
      <c r="H489" t="str">
        <f>IF($B489="","",IF(H$3=0,"n.b.",INDEX(SRC_Woningetalage!$A$1:$ZZ$501,$A489,H$3)))</f>
        <v/>
      </c>
      <c r="I489" t="str">
        <f>IF($B489="","",IF(I$3=0,"n.b.",INDEX(SRC_Woningetalage!$A$1:$ZZ$501,$A489,I$3)))</f>
        <v/>
      </c>
      <c r="J489" t="str">
        <f>IF($B489="","",IF(J$3=0,"n.b.",INDEX(SRC_Woningetalage!$A$1:$ZZ$501,$A489,J$3)))</f>
        <v/>
      </c>
      <c r="K489" t="str">
        <f>IF($B489="","",IF(K$3=0,"n.b.",INDEX(SRC_Woningetalage!$A$1:$ZZ$501,$A489,K$3)))</f>
        <v/>
      </c>
      <c r="L489" t="str">
        <f>IF($B489="","",IF(L$3=0,"n.b.",INDEX(SRC_Woningetalage!$A$1:$ZZ$501,$A489,L$3)))</f>
        <v/>
      </c>
      <c r="M489" t="str">
        <f>IF($B489="","",IF(M$3=0,"n.b.",INDEX(SRC_Woningetalage!$A$1:$ZZ$501,$A489,M$3)))</f>
        <v/>
      </c>
      <c r="N489" t="str">
        <f>IF($B489="","",IF(N$3=0,"n.b.",INDEX(SRC_Woningetalage!$A$1:$ZZ$501,$A489,N$3)))</f>
        <v/>
      </c>
      <c r="O489" t="str">
        <f>IF($B489="","",IF(O$3=0,"n.b.",INDEX(SRC_Woningetalage!$A$1:$ZZ$501,$A489,O$3)))</f>
        <v/>
      </c>
      <c r="P489" t="str">
        <f>IF($B489="","",IF(P$3=0,"n.b.",INDEX(SRC_Woningetalage!$A$1:$ZZ$501,$A489,P$3)))</f>
        <v/>
      </c>
      <c r="Q489" s="124" t="str">
        <f>IF($B489="","",IF(Q$3=0,"n.b.",INDEX(SRC_Woningetalage!$A$1:$ZZ$501,$A489,Q$3)))</f>
        <v/>
      </c>
      <c r="R489" s="124" t="str">
        <f>IF($B489="","",IF(R$3=0,"n.b.",INDEX(SRC_Woningetalage!$A$1:$ZZ$501,$A489,R$3)))</f>
        <v/>
      </c>
      <c r="S489" s="124" t="str">
        <f>IF($B489="","",IF(S$3=0,"n.b.",INDEX(SRC_Woningetalage!$A$1:$ZZ$501,$A489,S$3)))</f>
        <v/>
      </c>
      <c r="T489" s="124" t="str">
        <f>IF($B489="","",IF(T$3=0,"n.b.",INDEX(SRC_Woningetalage!$A$1:$ZZ$501,$A489,T$3)))</f>
        <v/>
      </c>
      <c r="U489" s="124" t="str">
        <f>IF($B489="","",IF(U$3=0,"n.b.",INDEX(SRC_Woningetalage!$A$1:$ZZ$501,$A489,U$3)))</f>
        <v/>
      </c>
      <c r="V489" s="124" t="str">
        <f>IF($B489="","",IF(V$3=0,"n.b.",INDEX(SRC_Woningetalage!$A$1:$ZZ$501,$A489,V$3)))</f>
        <v/>
      </c>
      <c r="W489" s="124" t="str">
        <f>IF($B489="","",IF(W$3=0,"n.b.",INDEX(SRC_Woningetalage!$A$1:$ZZ$501,$A489,W$3)))</f>
        <v/>
      </c>
      <c r="X489" s="124" t="str">
        <f>IF($B489="","",IF(X$3=0,"n.b.",INDEX(SRC_Woningetalage!$A$1:$ZZ$501,$A489,X$3)))</f>
        <v/>
      </c>
      <c r="Y489" s="124" t="str">
        <f>IF($B489="","",IF(Y$3=0,"n.b.",INDEX(SRC_Woningetalage!$A$1:$ZZ$501,$A489,Y$3)))</f>
        <v/>
      </c>
      <c r="Z489" s="124" t="str">
        <f>IF($B489="","",IF(Z$3=0,"n.b.",INDEX(SRC_Woningetalage!$A$1:$ZZ$501,$A489,Z$3)))</f>
        <v/>
      </c>
      <c r="AA489" s="124" t="str">
        <f>IF($B489="","",IF(AA$3=0,"n.b.",INDEX(SRC_Woningetalage!$A$1:$ZZ$501,$A489,AA$3)))</f>
        <v/>
      </c>
      <c r="AB489" s="124" t="str">
        <f>IF($B489="","",IF(AB$3=0,"n.b.",INDEX(SRC_Woningetalage!$A$1:$ZZ$501,$A489,AB$3)))</f>
        <v/>
      </c>
      <c r="AC489" s="124" t="str">
        <f>IF($B489="","",IF(AC$3=0,"n.b.",INDEX(SRC_Woningetalage!$A$1:$ZZ$501,$A489,AC$3)))</f>
        <v/>
      </c>
      <c r="AD489" s="124" t="str">
        <f>IF($B489="","",IF(AD$3=0,"n.b.",INDEX(SRC_Woningetalage!$A$1:$ZZ$501,$A489,AD$3)))</f>
        <v/>
      </c>
      <c r="AE489" s="124" t="str">
        <f>IF($B489="","",IF(AE$3=0,"n.b.",INDEX(SRC_Woningetalage!$A$1:$ZZ$501,$A489,AE$3)))</f>
        <v/>
      </c>
      <c r="AF489" s="124" t="str">
        <f>IF($B489="","",IF(AF$3=0,"n.b.",INDEX(SRC_Woningetalage!$A$1:$ZZ$501,$A489,AF$3)))</f>
        <v/>
      </c>
      <c r="AG489" s="124" t="str">
        <f>IF($B489="","",IF(AG$3=0,"n.b.",INDEX(SRC_Woningetalage!$A$1:$ZZ$501,$A489,AG$3)))</f>
        <v/>
      </c>
      <c r="AH489" s="124" t="str">
        <f>IF($B489="","",IF(AH$3=0,"n.b.",INDEX(SRC_Woningetalage!$A$1:$ZZ$501,$A489,AH$3)))</f>
        <v/>
      </c>
      <c r="AI489" s="124" t="str">
        <f>IF($B489="","",IF(AI$3=0,"n.b.",INDEX(SRC_Woningetalage!$A$1:$ZZ$501,$A489,AI$3)))</f>
        <v/>
      </c>
      <c r="AJ489" s="124" t="str">
        <f>IF($B489="","",IF(AJ$3=0,"n.b.",INDEX(SRC_Woningetalage!$A$1:$ZZ$501,$A489,AJ$3)))</f>
        <v/>
      </c>
      <c r="AK489" s="124" t="str">
        <f>IF($B489="","",IF(AK$3=0,"n.b.",INDEX(SRC_Woningetalage!$A$1:$ZZ$501,$A489,AK$3)))</f>
        <v/>
      </c>
      <c r="AL489" s="124" t="str">
        <f>IF($B489="","",IF(AL$3=0,"n.b.",INDEX(SRC_Woningetalage!$A$1:$ZZ$501,$A489,AL$3)))</f>
        <v/>
      </c>
      <c r="AM489" s="124" t="str">
        <f>IF($B489="","",IF(AM$3=0,"n.b.",INDEX(SRC_Woningetalage!$A$1:$ZZ$501,$A489,AM$3)))</f>
        <v/>
      </c>
      <c r="AN489" s="124" t="str">
        <f>IF($B489="","",IF(AN$3=0,"n.b.",INDEX(SRC_Woningetalage!$A$1:$ZZ$501,$A489,AN$3)))</f>
        <v/>
      </c>
      <c r="AO489" s="124" t="str">
        <f>IF($B489="","",IF(AO$3=0,"n.b.",INDEX(SRC_Woningetalage!$A$1:$ZZ$501,$A489,AO$3)))</f>
        <v/>
      </c>
      <c r="AP489" s="124" t="str">
        <f>IF($B489="","",IF(AP$3=0,"n.b.",INDEX(SRC_Woningetalage!$A$1:$ZZ$501,$A489,AP$3)))</f>
        <v/>
      </c>
      <c r="AQ489" s="124" t="str">
        <f>IF($B489="","",IF(AQ$3=0,"n.b.",INDEX(SRC_Woningetalage!$A$1:$ZZ$501,$A489,AQ$3)))</f>
        <v/>
      </c>
      <c r="AR489" s="124" t="str">
        <f>IF($B489="","",IF(AR$3=0,"n.b.",INDEX(SRC_Woningetalage!$A$1:$ZZ$501,$A489,AR$3)))</f>
        <v/>
      </c>
      <c r="AS489" s="124" t="str">
        <f>IF($B489="","",IF(AS$3=0,"n.b.",INDEX(SRC_Woningetalage!$A$1:$ZZ$501,$A489,AS$3)))</f>
        <v/>
      </c>
      <c r="AT489" s="124" t="str">
        <f>IF($B489="","",IF(AT$3=0,"n.b.",INDEX(SRC_Woningetalage!$A$1:$ZZ$501,$A489,AT$3)))</f>
        <v/>
      </c>
      <c r="AU489" s="124" t="str">
        <f>IF($B489="","",IF(AU$3=0,"n.b.",INDEX(SRC_Woningetalage!$A$1:$ZZ$501,$A489,AU$3)))</f>
        <v/>
      </c>
      <c r="AV489" s="124" t="str">
        <f>IF($B489="","",IF(AV$3=0,"n.b.",INDEX(SRC_Woningetalage!$A$1:$ZZ$501,$A489,AV$3)))</f>
        <v/>
      </c>
      <c r="AW489" s="124" t="str">
        <f>IF($B489="","",IF(AW$3=0,"n.b.",INDEX(SRC_Woningetalage!$A$1:$ZZ$501,$A489,AW$3)))</f>
        <v/>
      </c>
      <c r="AX489" s="124" t="str">
        <f>IF($B489="","",IF(AX$3=0,"n.b.",INDEX(SRC_Woningetalage!$A$1:$ZZ$501,$A489,AX$3)))</f>
        <v/>
      </c>
      <c r="AY489" s="124" t="str">
        <f>IF($B489="","",IF(AY$3=0,"n.b.",INDEX(SRC_Woningetalage!$A$1:$ZZ$501,$A489,AY$3)))</f>
        <v/>
      </c>
      <c r="AZ489" s="124" t="str">
        <f>IF($B489="","",IF(AZ$3=0,"n.b.",INDEX(SRC_Woningetalage!$A$1:$ZZ$501,$A489,AZ$3)))</f>
        <v/>
      </c>
      <c r="BA489" s="124" t="str">
        <f>IF($B489="","",IF(BA$3=0,"n.b.",INDEX(SRC_Woningetalage!$A$1:$ZZ$501,$A489,BA$3)))</f>
        <v/>
      </c>
      <c r="BB489" s="124" t="str">
        <f>IF($B489="","",IF(BB$3=0,"n.b.",INDEX(SRC_Woningetalage!$A$1:$ZZ$501,$A489,BB$3)))</f>
        <v/>
      </c>
      <c r="BC489" s="124" t="str">
        <f>IF($B489="","",IFERROR(_xlfn.NUMBERVALUE(E489&amp;"",",","."),"n.b."))</f>
        <v/>
      </c>
      <c r="BD489" s="124" t="str">
        <f>IF($B489="","",IFERROR(_xlfn.NUMBERVALUE(M489&amp;"",",","."),"n.b."))</f>
        <v/>
      </c>
      <c r="BE489" s="124" t="str">
        <f>IF($B489="","",IFERROR(AB489+AC489+AD489,"n.b."))</f>
        <v/>
      </c>
      <c r="BF489" s="124" t="str">
        <f>IF($B489="","",IFERROR(AE489+AF489+AG489,"n.b."))</f>
        <v/>
      </c>
      <c r="BG489" s="124" t="str">
        <f>IF($B489="","",IFERROR(AH489+AI489+AJ489,"n.b."))</f>
        <v/>
      </c>
      <c r="BH489" s="124" t="str">
        <f>IF($B489="","",IFERROR(AK489+AL489+AM489,"n.b."))</f>
        <v/>
      </c>
      <c r="BI489" s="124" t="str">
        <f>IF($B489="","",IFERROR(SUMIF($AB$5:$AM$5,"&lt;="&amp;P_PeilMaand,AB489:AM489),"n.b."))</f>
        <v/>
      </c>
      <c r="BJ489" s="124" t="str">
        <f>IF($B489="","",IFERROR(SUM(AB489:AM489)-BI489,"n.b."))</f>
        <v/>
      </c>
      <c r="BK489" s="124" t="str">
        <f>IF($B489="","",IFERROR(IF(ABS(Q489-(T489+SUM(AB489:AM489)+AS489+AU489))&gt;P_Tol,1,0),1))</f>
        <v/>
      </c>
      <c r="BL489" s="124" t="str">
        <f>IF($B489="","",IFERROR(IF(ABS(AA489-(Q489-Z489))&gt;P_Tol,1,0),1))</f>
        <v/>
      </c>
      <c r="BM489" s="124" t="str">
        <f>IF($B489="","",IFERROR(IF(ABS(Z489-(T489+W489))&gt;P_Tol,1,0),1))</f>
        <v/>
      </c>
      <c r="BN489" s="124" t="str">
        <f>IF($B489="","",IFERROR(IF(ABS(W489-BI489)&gt;P_Tol,1,0),1))</f>
        <v/>
      </c>
      <c r="BO489" s="124" t="str">
        <f>IF($B489="","",IFERROR(IF(OR(ABS(R489+S489-T489)&gt;P_Tol,ABS(U489+V489-W489)&gt;P_Tol,ABS(X489+Y489-Z489)&gt;P_Tol),1,0),1))</f>
        <v/>
      </c>
      <c r="BP489" s="124" t="str">
        <f>IF($B489="","",IFERROR(IF(OR(ABS(AR489-SUM(AB489:AM489))&gt;P_Tol,ABS(AS489-(AN489+AO489+AP489+AQ489))&gt;P_Tol),1,0),1))</f>
        <v/>
      </c>
      <c r="BQ489" s="124" t="str">
        <f>IF($B489="","",IFERROR(IF(ABS(AT489)+ABS(AV489)+ABS(AW489)+ABS(AX489)+ABS(AY489)+ABS(AZ489)+ABS(BA489)+ABS(BB489)&gt;0,1,0),1))</f>
        <v/>
      </c>
      <c r="BR489" s="124" t="str">
        <f>IF($B489="","",COUNTIF(STG_ZPMW03!$B$6:$B$505,B489))</f>
        <v/>
      </c>
      <c r="BS489" s="124" t="str">
        <f>IF($B489="","",COUNTIF($B$6:$B$505,B489))</f>
        <v/>
      </c>
      <c r="BT489" s="124" t="str">
        <f>IF($B489="","",IF(BR489=0,0,IF(INDEX(STG_ZPMW03!$I$6:$I$505,MATCH(B489,STG_ZPMW03!$B$6:$B$505,0))=J489&amp;"",0,1)))</f>
        <v/>
      </c>
      <c r="BU489" s="124" t="str">
        <f>IF($B489="","",IFERROR(IF(ABS(INDEX(Mapping!$D$5:$D$104,MATCH(B489,Mapping!$A$5:$A$104,0))-Q489)&gt;P_Tol,1,0),0))</f>
        <v/>
      </c>
      <c r="BV489" s="124" t="str">
        <f>IF($B489="","",IFERROR(IF(AND(INDEX(Mapping!$G$5:$G$104,MATCH(B489,Mapping!$A$5:$A$104,0))="Nee",ABS(Q489)+ABS(Z489)+ABS(AR489)&gt;0),1,0),0))</f>
        <v/>
      </c>
      <c r="BW489" s="124" t="str">
        <f>IF($B489="","",IF(COUNTIF(Mapping!$A$5:$A$104,B489)&gt;0,1,0))</f>
        <v/>
      </c>
      <c r="BX489" s="124" t="str">
        <f>IF($B489="","",IF(BR489=0,COUNTIF($BR$6:BR489,0),""))</f>
        <v/>
      </c>
    </row>
    <row r="490">
      <c r="A490" s="15" t="n">
        <v>486</v>
      </c>
      <c r="B490" t="str">
        <f>IF(B$3=0,"",IF(INDEX(SRC_Woningetalage!$A$1:$ZZ$501,$A490,B$3)&amp;""="","",INDEX(SRC_Woningetalage!$A$1:$ZZ$501,$A490,B$3)&amp;""))</f>
        <v/>
      </c>
      <c r="C490" t="str">
        <f>IF($B490="","",IF(C$3=0,"n.b.",INDEX(SRC_Woningetalage!$A$1:$ZZ$501,$A490,C$3)))</f>
        <v/>
      </c>
      <c r="D490" t="str">
        <f>IF($B490="","",IF(D$3=0,"n.b.",INDEX(SRC_Woningetalage!$A$1:$ZZ$501,$A490,D$3)))</f>
        <v/>
      </c>
      <c r="E490" t="str">
        <f>IF($B490="","",IF(E$3=0,"n.b.",INDEX(SRC_Woningetalage!$A$1:$ZZ$501,$A490,E$3)))</f>
        <v/>
      </c>
      <c r="F490" t="str">
        <f>IF($B490="","",IF(F$3=0,"n.b.",INDEX(SRC_Woningetalage!$A$1:$ZZ$501,$A490,F$3)))</f>
        <v/>
      </c>
      <c r="G490" t="str">
        <f>IF($B490="","",IF(G$3=0,"n.b.",INDEX(SRC_Woningetalage!$A$1:$ZZ$501,$A490,G$3)))</f>
        <v/>
      </c>
      <c r="H490" t="str">
        <f>IF($B490="","",IF(H$3=0,"n.b.",INDEX(SRC_Woningetalage!$A$1:$ZZ$501,$A490,H$3)))</f>
        <v/>
      </c>
      <c r="I490" t="str">
        <f>IF($B490="","",IF(I$3=0,"n.b.",INDEX(SRC_Woningetalage!$A$1:$ZZ$501,$A490,I$3)))</f>
        <v/>
      </c>
      <c r="J490" t="str">
        <f>IF($B490="","",IF(J$3=0,"n.b.",INDEX(SRC_Woningetalage!$A$1:$ZZ$501,$A490,J$3)))</f>
        <v/>
      </c>
      <c r="K490" t="str">
        <f>IF($B490="","",IF(K$3=0,"n.b.",INDEX(SRC_Woningetalage!$A$1:$ZZ$501,$A490,K$3)))</f>
        <v/>
      </c>
      <c r="L490" t="str">
        <f>IF($B490="","",IF(L$3=0,"n.b.",INDEX(SRC_Woningetalage!$A$1:$ZZ$501,$A490,L$3)))</f>
        <v/>
      </c>
      <c r="M490" t="str">
        <f>IF($B490="","",IF(M$3=0,"n.b.",INDEX(SRC_Woningetalage!$A$1:$ZZ$501,$A490,M$3)))</f>
        <v/>
      </c>
      <c r="N490" t="str">
        <f>IF($B490="","",IF(N$3=0,"n.b.",INDEX(SRC_Woningetalage!$A$1:$ZZ$501,$A490,N$3)))</f>
        <v/>
      </c>
      <c r="O490" t="str">
        <f>IF($B490="","",IF(O$3=0,"n.b.",INDEX(SRC_Woningetalage!$A$1:$ZZ$501,$A490,O$3)))</f>
        <v/>
      </c>
      <c r="P490" t="str">
        <f>IF($B490="","",IF(P$3=0,"n.b.",INDEX(SRC_Woningetalage!$A$1:$ZZ$501,$A490,P$3)))</f>
        <v/>
      </c>
      <c r="Q490" s="124" t="str">
        <f>IF($B490="","",IF(Q$3=0,"n.b.",INDEX(SRC_Woningetalage!$A$1:$ZZ$501,$A490,Q$3)))</f>
        <v/>
      </c>
      <c r="R490" s="124" t="str">
        <f>IF($B490="","",IF(R$3=0,"n.b.",INDEX(SRC_Woningetalage!$A$1:$ZZ$501,$A490,R$3)))</f>
        <v/>
      </c>
      <c r="S490" s="124" t="str">
        <f>IF($B490="","",IF(S$3=0,"n.b.",INDEX(SRC_Woningetalage!$A$1:$ZZ$501,$A490,S$3)))</f>
        <v/>
      </c>
      <c r="T490" s="124" t="str">
        <f>IF($B490="","",IF(T$3=0,"n.b.",INDEX(SRC_Woningetalage!$A$1:$ZZ$501,$A490,T$3)))</f>
        <v/>
      </c>
      <c r="U490" s="124" t="str">
        <f>IF($B490="","",IF(U$3=0,"n.b.",INDEX(SRC_Woningetalage!$A$1:$ZZ$501,$A490,U$3)))</f>
        <v/>
      </c>
      <c r="V490" s="124" t="str">
        <f>IF($B490="","",IF(V$3=0,"n.b.",INDEX(SRC_Woningetalage!$A$1:$ZZ$501,$A490,V$3)))</f>
        <v/>
      </c>
      <c r="W490" s="124" t="str">
        <f>IF($B490="","",IF(W$3=0,"n.b.",INDEX(SRC_Woningetalage!$A$1:$ZZ$501,$A490,W$3)))</f>
        <v/>
      </c>
      <c r="X490" s="124" t="str">
        <f>IF($B490="","",IF(X$3=0,"n.b.",INDEX(SRC_Woningetalage!$A$1:$ZZ$501,$A490,X$3)))</f>
        <v/>
      </c>
      <c r="Y490" s="124" t="str">
        <f>IF($B490="","",IF(Y$3=0,"n.b.",INDEX(SRC_Woningetalage!$A$1:$ZZ$501,$A490,Y$3)))</f>
        <v/>
      </c>
      <c r="Z490" s="124" t="str">
        <f>IF($B490="","",IF(Z$3=0,"n.b.",INDEX(SRC_Woningetalage!$A$1:$ZZ$501,$A490,Z$3)))</f>
        <v/>
      </c>
      <c r="AA490" s="124" t="str">
        <f>IF($B490="","",IF(AA$3=0,"n.b.",INDEX(SRC_Woningetalage!$A$1:$ZZ$501,$A490,AA$3)))</f>
        <v/>
      </c>
      <c r="AB490" s="124" t="str">
        <f>IF($B490="","",IF(AB$3=0,"n.b.",INDEX(SRC_Woningetalage!$A$1:$ZZ$501,$A490,AB$3)))</f>
        <v/>
      </c>
      <c r="AC490" s="124" t="str">
        <f>IF($B490="","",IF(AC$3=0,"n.b.",INDEX(SRC_Woningetalage!$A$1:$ZZ$501,$A490,AC$3)))</f>
        <v/>
      </c>
      <c r="AD490" s="124" t="str">
        <f>IF($B490="","",IF(AD$3=0,"n.b.",INDEX(SRC_Woningetalage!$A$1:$ZZ$501,$A490,AD$3)))</f>
        <v/>
      </c>
      <c r="AE490" s="124" t="str">
        <f>IF($B490="","",IF(AE$3=0,"n.b.",INDEX(SRC_Woningetalage!$A$1:$ZZ$501,$A490,AE$3)))</f>
        <v/>
      </c>
      <c r="AF490" s="124" t="str">
        <f>IF($B490="","",IF(AF$3=0,"n.b.",INDEX(SRC_Woningetalage!$A$1:$ZZ$501,$A490,AF$3)))</f>
        <v/>
      </c>
      <c r="AG490" s="124" t="str">
        <f>IF($B490="","",IF(AG$3=0,"n.b.",INDEX(SRC_Woningetalage!$A$1:$ZZ$501,$A490,AG$3)))</f>
        <v/>
      </c>
      <c r="AH490" s="124" t="str">
        <f>IF($B490="","",IF(AH$3=0,"n.b.",INDEX(SRC_Woningetalage!$A$1:$ZZ$501,$A490,AH$3)))</f>
        <v/>
      </c>
      <c r="AI490" s="124" t="str">
        <f>IF($B490="","",IF(AI$3=0,"n.b.",INDEX(SRC_Woningetalage!$A$1:$ZZ$501,$A490,AI$3)))</f>
        <v/>
      </c>
      <c r="AJ490" s="124" t="str">
        <f>IF($B490="","",IF(AJ$3=0,"n.b.",INDEX(SRC_Woningetalage!$A$1:$ZZ$501,$A490,AJ$3)))</f>
        <v/>
      </c>
      <c r="AK490" s="124" t="str">
        <f>IF($B490="","",IF(AK$3=0,"n.b.",INDEX(SRC_Woningetalage!$A$1:$ZZ$501,$A490,AK$3)))</f>
        <v/>
      </c>
      <c r="AL490" s="124" t="str">
        <f>IF($B490="","",IF(AL$3=0,"n.b.",INDEX(SRC_Woningetalage!$A$1:$ZZ$501,$A490,AL$3)))</f>
        <v/>
      </c>
      <c r="AM490" s="124" t="str">
        <f>IF($B490="","",IF(AM$3=0,"n.b.",INDEX(SRC_Woningetalage!$A$1:$ZZ$501,$A490,AM$3)))</f>
        <v/>
      </c>
      <c r="AN490" s="124" t="str">
        <f>IF($B490="","",IF(AN$3=0,"n.b.",INDEX(SRC_Woningetalage!$A$1:$ZZ$501,$A490,AN$3)))</f>
        <v/>
      </c>
      <c r="AO490" s="124" t="str">
        <f>IF($B490="","",IF(AO$3=0,"n.b.",INDEX(SRC_Woningetalage!$A$1:$ZZ$501,$A490,AO$3)))</f>
        <v/>
      </c>
      <c r="AP490" s="124" t="str">
        <f>IF($B490="","",IF(AP$3=0,"n.b.",INDEX(SRC_Woningetalage!$A$1:$ZZ$501,$A490,AP$3)))</f>
        <v/>
      </c>
      <c r="AQ490" s="124" t="str">
        <f>IF($B490="","",IF(AQ$3=0,"n.b.",INDEX(SRC_Woningetalage!$A$1:$ZZ$501,$A490,AQ$3)))</f>
        <v/>
      </c>
      <c r="AR490" s="124" t="str">
        <f>IF($B490="","",IF(AR$3=0,"n.b.",INDEX(SRC_Woningetalage!$A$1:$ZZ$501,$A490,AR$3)))</f>
        <v/>
      </c>
      <c r="AS490" s="124" t="str">
        <f>IF($B490="","",IF(AS$3=0,"n.b.",INDEX(SRC_Woningetalage!$A$1:$ZZ$501,$A490,AS$3)))</f>
        <v/>
      </c>
      <c r="AT490" s="124" t="str">
        <f>IF($B490="","",IF(AT$3=0,"n.b.",INDEX(SRC_Woningetalage!$A$1:$ZZ$501,$A490,AT$3)))</f>
        <v/>
      </c>
      <c r="AU490" s="124" t="str">
        <f>IF($B490="","",IF(AU$3=0,"n.b.",INDEX(SRC_Woningetalage!$A$1:$ZZ$501,$A490,AU$3)))</f>
        <v/>
      </c>
      <c r="AV490" s="124" t="str">
        <f>IF($B490="","",IF(AV$3=0,"n.b.",INDEX(SRC_Woningetalage!$A$1:$ZZ$501,$A490,AV$3)))</f>
        <v/>
      </c>
      <c r="AW490" s="124" t="str">
        <f>IF($B490="","",IF(AW$3=0,"n.b.",INDEX(SRC_Woningetalage!$A$1:$ZZ$501,$A490,AW$3)))</f>
        <v/>
      </c>
      <c r="AX490" s="124" t="str">
        <f>IF($B490="","",IF(AX$3=0,"n.b.",INDEX(SRC_Woningetalage!$A$1:$ZZ$501,$A490,AX$3)))</f>
        <v/>
      </c>
      <c r="AY490" s="124" t="str">
        <f>IF($B490="","",IF(AY$3=0,"n.b.",INDEX(SRC_Woningetalage!$A$1:$ZZ$501,$A490,AY$3)))</f>
        <v/>
      </c>
      <c r="AZ490" s="124" t="str">
        <f>IF($B490="","",IF(AZ$3=0,"n.b.",INDEX(SRC_Woningetalage!$A$1:$ZZ$501,$A490,AZ$3)))</f>
        <v/>
      </c>
      <c r="BA490" s="124" t="str">
        <f>IF($B490="","",IF(BA$3=0,"n.b.",INDEX(SRC_Woningetalage!$A$1:$ZZ$501,$A490,BA$3)))</f>
        <v/>
      </c>
      <c r="BB490" s="124" t="str">
        <f>IF($B490="","",IF(BB$3=0,"n.b.",INDEX(SRC_Woningetalage!$A$1:$ZZ$501,$A490,BB$3)))</f>
        <v/>
      </c>
      <c r="BC490" s="124" t="str">
        <f>IF($B490="","",IFERROR(_xlfn.NUMBERVALUE(E490&amp;"",",","."),"n.b."))</f>
        <v/>
      </c>
      <c r="BD490" s="124" t="str">
        <f>IF($B490="","",IFERROR(_xlfn.NUMBERVALUE(M490&amp;"",",","."),"n.b."))</f>
        <v/>
      </c>
      <c r="BE490" s="124" t="str">
        <f>IF($B490="","",IFERROR(AB490+AC490+AD490,"n.b."))</f>
        <v/>
      </c>
      <c r="BF490" s="124" t="str">
        <f>IF($B490="","",IFERROR(AE490+AF490+AG490,"n.b."))</f>
        <v/>
      </c>
      <c r="BG490" s="124" t="str">
        <f>IF($B490="","",IFERROR(AH490+AI490+AJ490,"n.b."))</f>
        <v/>
      </c>
      <c r="BH490" s="124" t="str">
        <f>IF($B490="","",IFERROR(AK490+AL490+AM490,"n.b."))</f>
        <v/>
      </c>
      <c r="BI490" s="124" t="str">
        <f>IF($B490="","",IFERROR(SUMIF($AB$5:$AM$5,"&lt;="&amp;P_PeilMaand,AB490:AM490),"n.b."))</f>
        <v/>
      </c>
      <c r="BJ490" s="124" t="str">
        <f>IF($B490="","",IFERROR(SUM(AB490:AM490)-BI490,"n.b."))</f>
        <v/>
      </c>
      <c r="BK490" s="124" t="str">
        <f>IF($B490="","",IFERROR(IF(ABS(Q490-(T490+SUM(AB490:AM490)+AS490+AU490))&gt;P_Tol,1,0),1))</f>
        <v/>
      </c>
      <c r="BL490" s="124" t="str">
        <f>IF($B490="","",IFERROR(IF(ABS(AA490-(Q490-Z490))&gt;P_Tol,1,0),1))</f>
        <v/>
      </c>
      <c r="BM490" s="124" t="str">
        <f>IF($B490="","",IFERROR(IF(ABS(Z490-(T490+W490))&gt;P_Tol,1,0),1))</f>
        <v/>
      </c>
      <c r="BN490" s="124" t="str">
        <f>IF($B490="","",IFERROR(IF(ABS(W490-BI490)&gt;P_Tol,1,0),1))</f>
        <v/>
      </c>
      <c r="BO490" s="124" t="str">
        <f>IF($B490="","",IFERROR(IF(OR(ABS(R490+S490-T490)&gt;P_Tol,ABS(U490+V490-W490)&gt;P_Tol,ABS(X490+Y490-Z490)&gt;P_Tol),1,0),1))</f>
        <v/>
      </c>
      <c r="BP490" s="124" t="str">
        <f>IF($B490="","",IFERROR(IF(OR(ABS(AR490-SUM(AB490:AM490))&gt;P_Tol,ABS(AS490-(AN490+AO490+AP490+AQ490))&gt;P_Tol),1,0),1))</f>
        <v/>
      </c>
      <c r="BQ490" s="124" t="str">
        <f>IF($B490="","",IFERROR(IF(ABS(AT490)+ABS(AV490)+ABS(AW490)+ABS(AX490)+ABS(AY490)+ABS(AZ490)+ABS(BA490)+ABS(BB490)&gt;0,1,0),1))</f>
        <v/>
      </c>
      <c r="BR490" s="124" t="str">
        <f>IF($B490="","",COUNTIF(STG_ZPMW03!$B$6:$B$505,B490))</f>
        <v/>
      </c>
      <c r="BS490" s="124" t="str">
        <f>IF($B490="","",COUNTIF($B$6:$B$505,B490))</f>
        <v/>
      </c>
      <c r="BT490" s="124" t="str">
        <f>IF($B490="","",IF(BR490=0,0,IF(INDEX(STG_ZPMW03!$I$6:$I$505,MATCH(B490,STG_ZPMW03!$B$6:$B$505,0))=J490&amp;"",0,1)))</f>
        <v/>
      </c>
      <c r="BU490" s="124" t="str">
        <f>IF($B490="","",IFERROR(IF(ABS(INDEX(Mapping!$D$5:$D$104,MATCH(B490,Mapping!$A$5:$A$104,0))-Q490)&gt;P_Tol,1,0),0))</f>
        <v/>
      </c>
      <c r="BV490" s="124" t="str">
        <f>IF($B490="","",IFERROR(IF(AND(INDEX(Mapping!$G$5:$G$104,MATCH(B490,Mapping!$A$5:$A$104,0))="Nee",ABS(Q490)+ABS(Z490)+ABS(AR490)&gt;0),1,0),0))</f>
        <v/>
      </c>
      <c r="BW490" s="124" t="str">
        <f>IF($B490="","",IF(COUNTIF(Mapping!$A$5:$A$104,B490)&gt;0,1,0))</f>
        <v/>
      </c>
      <c r="BX490" s="124" t="str">
        <f>IF($B490="","",IF(BR490=0,COUNTIF($BR$6:BR490,0),""))</f>
        <v/>
      </c>
    </row>
    <row r="491">
      <c r="A491" s="15" t="n">
        <v>487</v>
      </c>
      <c r="B491" t="str">
        <f>IF(B$3=0,"",IF(INDEX(SRC_Woningetalage!$A$1:$ZZ$501,$A491,B$3)&amp;""="","",INDEX(SRC_Woningetalage!$A$1:$ZZ$501,$A491,B$3)&amp;""))</f>
        <v/>
      </c>
      <c r="C491" t="str">
        <f>IF($B491="","",IF(C$3=0,"n.b.",INDEX(SRC_Woningetalage!$A$1:$ZZ$501,$A491,C$3)))</f>
        <v/>
      </c>
      <c r="D491" t="str">
        <f>IF($B491="","",IF(D$3=0,"n.b.",INDEX(SRC_Woningetalage!$A$1:$ZZ$501,$A491,D$3)))</f>
        <v/>
      </c>
      <c r="E491" t="str">
        <f>IF($B491="","",IF(E$3=0,"n.b.",INDEX(SRC_Woningetalage!$A$1:$ZZ$501,$A491,E$3)))</f>
        <v/>
      </c>
      <c r="F491" t="str">
        <f>IF($B491="","",IF(F$3=0,"n.b.",INDEX(SRC_Woningetalage!$A$1:$ZZ$501,$A491,F$3)))</f>
        <v/>
      </c>
      <c r="G491" t="str">
        <f>IF($B491="","",IF(G$3=0,"n.b.",INDEX(SRC_Woningetalage!$A$1:$ZZ$501,$A491,G$3)))</f>
        <v/>
      </c>
      <c r="H491" t="str">
        <f>IF($B491="","",IF(H$3=0,"n.b.",INDEX(SRC_Woningetalage!$A$1:$ZZ$501,$A491,H$3)))</f>
        <v/>
      </c>
      <c r="I491" t="str">
        <f>IF($B491="","",IF(I$3=0,"n.b.",INDEX(SRC_Woningetalage!$A$1:$ZZ$501,$A491,I$3)))</f>
        <v/>
      </c>
      <c r="J491" t="str">
        <f>IF($B491="","",IF(J$3=0,"n.b.",INDEX(SRC_Woningetalage!$A$1:$ZZ$501,$A491,J$3)))</f>
        <v/>
      </c>
      <c r="K491" t="str">
        <f>IF($B491="","",IF(K$3=0,"n.b.",INDEX(SRC_Woningetalage!$A$1:$ZZ$501,$A491,K$3)))</f>
        <v/>
      </c>
      <c r="L491" t="str">
        <f>IF($B491="","",IF(L$3=0,"n.b.",INDEX(SRC_Woningetalage!$A$1:$ZZ$501,$A491,L$3)))</f>
        <v/>
      </c>
      <c r="M491" t="str">
        <f>IF($B491="","",IF(M$3=0,"n.b.",INDEX(SRC_Woningetalage!$A$1:$ZZ$501,$A491,M$3)))</f>
        <v/>
      </c>
      <c r="N491" t="str">
        <f>IF($B491="","",IF(N$3=0,"n.b.",INDEX(SRC_Woningetalage!$A$1:$ZZ$501,$A491,N$3)))</f>
        <v/>
      </c>
      <c r="O491" t="str">
        <f>IF($B491="","",IF(O$3=0,"n.b.",INDEX(SRC_Woningetalage!$A$1:$ZZ$501,$A491,O$3)))</f>
        <v/>
      </c>
      <c r="P491" t="str">
        <f>IF($B491="","",IF(P$3=0,"n.b.",INDEX(SRC_Woningetalage!$A$1:$ZZ$501,$A491,P$3)))</f>
        <v/>
      </c>
      <c r="Q491" s="124" t="str">
        <f>IF($B491="","",IF(Q$3=0,"n.b.",INDEX(SRC_Woningetalage!$A$1:$ZZ$501,$A491,Q$3)))</f>
        <v/>
      </c>
      <c r="R491" s="124" t="str">
        <f>IF($B491="","",IF(R$3=0,"n.b.",INDEX(SRC_Woningetalage!$A$1:$ZZ$501,$A491,R$3)))</f>
        <v/>
      </c>
      <c r="S491" s="124" t="str">
        <f>IF($B491="","",IF(S$3=0,"n.b.",INDEX(SRC_Woningetalage!$A$1:$ZZ$501,$A491,S$3)))</f>
        <v/>
      </c>
      <c r="T491" s="124" t="str">
        <f>IF($B491="","",IF(T$3=0,"n.b.",INDEX(SRC_Woningetalage!$A$1:$ZZ$501,$A491,T$3)))</f>
        <v/>
      </c>
      <c r="U491" s="124" t="str">
        <f>IF($B491="","",IF(U$3=0,"n.b.",INDEX(SRC_Woningetalage!$A$1:$ZZ$501,$A491,U$3)))</f>
        <v/>
      </c>
      <c r="V491" s="124" t="str">
        <f>IF($B491="","",IF(V$3=0,"n.b.",INDEX(SRC_Woningetalage!$A$1:$ZZ$501,$A491,V$3)))</f>
        <v/>
      </c>
      <c r="W491" s="124" t="str">
        <f>IF($B491="","",IF(W$3=0,"n.b.",INDEX(SRC_Woningetalage!$A$1:$ZZ$501,$A491,W$3)))</f>
        <v/>
      </c>
      <c r="X491" s="124" t="str">
        <f>IF($B491="","",IF(X$3=0,"n.b.",INDEX(SRC_Woningetalage!$A$1:$ZZ$501,$A491,X$3)))</f>
        <v/>
      </c>
      <c r="Y491" s="124" t="str">
        <f>IF($B491="","",IF(Y$3=0,"n.b.",INDEX(SRC_Woningetalage!$A$1:$ZZ$501,$A491,Y$3)))</f>
        <v/>
      </c>
      <c r="Z491" s="124" t="str">
        <f>IF($B491="","",IF(Z$3=0,"n.b.",INDEX(SRC_Woningetalage!$A$1:$ZZ$501,$A491,Z$3)))</f>
        <v/>
      </c>
      <c r="AA491" s="124" t="str">
        <f>IF($B491="","",IF(AA$3=0,"n.b.",INDEX(SRC_Woningetalage!$A$1:$ZZ$501,$A491,AA$3)))</f>
        <v/>
      </c>
      <c r="AB491" s="124" t="str">
        <f>IF($B491="","",IF(AB$3=0,"n.b.",INDEX(SRC_Woningetalage!$A$1:$ZZ$501,$A491,AB$3)))</f>
        <v/>
      </c>
      <c r="AC491" s="124" t="str">
        <f>IF($B491="","",IF(AC$3=0,"n.b.",INDEX(SRC_Woningetalage!$A$1:$ZZ$501,$A491,AC$3)))</f>
        <v/>
      </c>
      <c r="AD491" s="124" t="str">
        <f>IF($B491="","",IF(AD$3=0,"n.b.",INDEX(SRC_Woningetalage!$A$1:$ZZ$501,$A491,AD$3)))</f>
        <v/>
      </c>
      <c r="AE491" s="124" t="str">
        <f>IF($B491="","",IF(AE$3=0,"n.b.",INDEX(SRC_Woningetalage!$A$1:$ZZ$501,$A491,AE$3)))</f>
        <v/>
      </c>
      <c r="AF491" s="124" t="str">
        <f>IF($B491="","",IF(AF$3=0,"n.b.",INDEX(SRC_Woningetalage!$A$1:$ZZ$501,$A491,AF$3)))</f>
        <v/>
      </c>
      <c r="AG491" s="124" t="str">
        <f>IF($B491="","",IF(AG$3=0,"n.b.",INDEX(SRC_Woningetalage!$A$1:$ZZ$501,$A491,AG$3)))</f>
        <v/>
      </c>
      <c r="AH491" s="124" t="str">
        <f>IF($B491="","",IF(AH$3=0,"n.b.",INDEX(SRC_Woningetalage!$A$1:$ZZ$501,$A491,AH$3)))</f>
        <v/>
      </c>
      <c r="AI491" s="124" t="str">
        <f>IF($B491="","",IF(AI$3=0,"n.b.",INDEX(SRC_Woningetalage!$A$1:$ZZ$501,$A491,AI$3)))</f>
        <v/>
      </c>
      <c r="AJ491" s="124" t="str">
        <f>IF($B491="","",IF(AJ$3=0,"n.b.",INDEX(SRC_Woningetalage!$A$1:$ZZ$501,$A491,AJ$3)))</f>
        <v/>
      </c>
      <c r="AK491" s="124" t="str">
        <f>IF($B491="","",IF(AK$3=0,"n.b.",INDEX(SRC_Woningetalage!$A$1:$ZZ$501,$A491,AK$3)))</f>
        <v/>
      </c>
      <c r="AL491" s="124" t="str">
        <f>IF($B491="","",IF(AL$3=0,"n.b.",INDEX(SRC_Woningetalage!$A$1:$ZZ$501,$A491,AL$3)))</f>
        <v/>
      </c>
      <c r="AM491" s="124" t="str">
        <f>IF($B491="","",IF(AM$3=0,"n.b.",INDEX(SRC_Woningetalage!$A$1:$ZZ$501,$A491,AM$3)))</f>
        <v/>
      </c>
      <c r="AN491" s="124" t="str">
        <f>IF($B491="","",IF(AN$3=0,"n.b.",INDEX(SRC_Woningetalage!$A$1:$ZZ$501,$A491,AN$3)))</f>
        <v/>
      </c>
      <c r="AO491" s="124" t="str">
        <f>IF($B491="","",IF(AO$3=0,"n.b.",INDEX(SRC_Woningetalage!$A$1:$ZZ$501,$A491,AO$3)))</f>
        <v/>
      </c>
      <c r="AP491" s="124" t="str">
        <f>IF($B491="","",IF(AP$3=0,"n.b.",INDEX(SRC_Woningetalage!$A$1:$ZZ$501,$A491,AP$3)))</f>
        <v/>
      </c>
      <c r="AQ491" s="124" t="str">
        <f>IF($B491="","",IF(AQ$3=0,"n.b.",INDEX(SRC_Woningetalage!$A$1:$ZZ$501,$A491,AQ$3)))</f>
        <v/>
      </c>
      <c r="AR491" s="124" t="str">
        <f>IF($B491="","",IF(AR$3=0,"n.b.",INDEX(SRC_Woningetalage!$A$1:$ZZ$501,$A491,AR$3)))</f>
        <v/>
      </c>
      <c r="AS491" s="124" t="str">
        <f>IF($B491="","",IF(AS$3=0,"n.b.",INDEX(SRC_Woningetalage!$A$1:$ZZ$501,$A491,AS$3)))</f>
        <v/>
      </c>
      <c r="AT491" s="124" t="str">
        <f>IF($B491="","",IF(AT$3=0,"n.b.",INDEX(SRC_Woningetalage!$A$1:$ZZ$501,$A491,AT$3)))</f>
        <v/>
      </c>
      <c r="AU491" s="124" t="str">
        <f>IF($B491="","",IF(AU$3=0,"n.b.",INDEX(SRC_Woningetalage!$A$1:$ZZ$501,$A491,AU$3)))</f>
        <v/>
      </c>
      <c r="AV491" s="124" t="str">
        <f>IF($B491="","",IF(AV$3=0,"n.b.",INDEX(SRC_Woningetalage!$A$1:$ZZ$501,$A491,AV$3)))</f>
        <v/>
      </c>
      <c r="AW491" s="124" t="str">
        <f>IF($B491="","",IF(AW$3=0,"n.b.",INDEX(SRC_Woningetalage!$A$1:$ZZ$501,$A491,AW$3)))</f>
        <v/>
      </c>
      <c r="AX491" s="124" t="str">
        <f>IF($B491="","",IF(AX$3=0,"n.b.",INDEX(SRC_Woningetalage!$A$1:$ZZ$501,$A491,AX$3)))</f>
        <v/>
      </c>
      <c r="AY491" s="124" t="str">
        <f>IF($B491="","",IF(AY$3=0,"n.b.",INDEX(SRC_Woningetalage!$A$1:$ZZ$501,$A491,AY$3)))</f>
        <v/>
      </c>
      <c r="AZ491" s="124" t="str">
        <f>IF($B491="","",IF(AZ$3=0,"n.b.",INDEX(SRC_Woningetalage!$A$1:$ZZ$501,$A491,AZ$3)))</f>
        <v/>
      </c>
      <c r="BA491" s="124" t="str">
        <f>IF($B491="","",IF(BA$3=0,"n.b.",INDEX(SRC_Woningetalage!$A$1:$ZZ$501,$A491,BA$3)))</f>
        <v/>
      </c>
      <c r="BB491" s="124" t="str">
        <f>IF($B491="","",IF(BB$3=0,"n.b.",INDEX(SRC_Woningetalage!$A$1:$ZZ$501,$A491,BB$3)))</f>
        <v/>
      </c>
      <c r="BC491" s="124" t="str">
        <f>IF($B491="","",IFERROR(_xlfn.NUMBERVALUE(E491&amp;"",",","."),"n.b."))</f>
        <v/>
      </c>
      <c r="BD491" s="124" t="str">
        <f>IF($B491="","",IFERROR(_xlfn.NUMBERVALUE(M491&amp;"",",","."),"n.b."))</f>
        <v/>
      </c>
      <c r="BE491" s="124" t="str">
        <f>IF($B491="","",IFERROR(AB491+AC491+AD491,"n.b."))</f>
        <v/>
      </c>
      <c r="BF491" s="124" t="str">
        <f>IF($B491="","",IFERROR(AE491+AF491+AG491,"n.b."))</f>
        <v/>
      </c>
      <c r="BG491" s="124" t="str">
        <f>IF($B491="","",IFERROR(AH491+AI491+AJ491,"n.b."))</f>
        <v/>
      </c>
      <c r="BH491" s="124" t="str">
        <f>IF($B491="","",IFERROR(AK491+AL491+AM491,"n.b."))</f>
        <v/>
      </c>
      <c r="BI491" s="124" t="str">
        <f>IF($B491="","",IFERROR(SUMIF($AB$5:$AM$5,"&lt;="&amp;P_PeilMaand,AB491:AM491),"n.b."))</f>
        <v/>
      </c>
      <c r="BJ491" s="124" t="str">
        <f>IF($B491="","",IFERROR(SUM(AB491:AM491)-BI491,"n.b."))</f>
        <v/>
      </c>
      <c r="BK491" s="124" t="str">
        <f>IF($B491="","",IFERROR(IF(ABS(Q491-(T491+SUM(AB491:AM491)+AS491+AU491))&gt;P_Tol,1,0),1))</f>
        <v/>
      </c>
      <c r="BL491" s="124" t="str">
        <f>IF($B491="","",IFERROR(IF(ABS(AA491-(Q491-Z491))&gt;P_Tol,1,0),1))</f>
        <v/>
      </c>
      <c r="BM491" s="124" t="str">
        <f>IF($B491="","",IFERROR(IF(ABS(Z491-(T491+W491))&gt;P_Tol,1,0),1))</f>
        <v/>
      </c>
      <c r="BN491" s="124" t="str">
        <f>IF($B491="","",IFERROR(IF(ABS(W491-BI491)&gt;P_Tol,1,0),1))</f>
        <v/>
      </c>
      <c r="BO491" s="124" t="str">
        <f>IF($B491="","",IFERROR(IF(OR(ABS(R491+S491-T491)&gt;P_Tol,ABS(U491+V491-W491)&gt;P_Tol,ABS(X491+Y491-Z491)&gt;P_Tol),1,0),1))</f>
        <v/>
      </c>
      <c r="BP491" s="124" t="str">
        <f>IF($B491="","",IFERROR(IF(OR(ABS(AR491-SUM(AB491:AM491))&gt;P_Tol,ABS(AS491-(AN491+AO491+AP491+AQ491))&gt;P_Tol),1,0),1))</f>
        <v/>
      </c>
      <c r="BQ491" s="124" t="str">
        <f>IF($B491="","",IFERROR(IF(ABS(AT491)+ABS(AV491)+ABS(AW491)+ABS(AX491)+ABS(AY491)+ABS(AZ491)+ABS(BA491)+ABS(BB491)&gt;0,1,0),1))</f>
        <v/>
      </c>
      <c r="BR491" s="124" t="str">
        <f>IF($B491="","",COUNTIF(STG_ZPMW03!$B$6:$B$505,B491))</f>
        <v/>
      </c>
      <c r="BS491" s="124" t="str">
        <f>IF($B491="","",COUNTIF($B$6:$B$505,B491))</f>
        <v/>
      </c>
      <c r="BT491" s="124" t="str">
        <f>IF($B491="","",IF(BR491=0,0,IF(INDEX(STG_ZPMW03!$I$6:$I$505,MATCH(B491,STG_ZPMW03!$B$6:$B$505,0))=J491&amp;"",0,1)))</f>
        <v/>
      </c>
      <c r="BU491" s="124" t="str">
        <f>IF($B491="","",IFERROR(IF(ABS(INDEX(Mapping!$D$5:$D$104,MATCH(B491,Mapping!$A$5:$A$104,0))-Q491)&gt;P_Tol,1,0),0))</f>
        <v/>
      </c>
      <c r="BV491" s="124" t="str">
        <f>IF($B491="","",IFERROR(IF(AND(INDEX(Mapping!$G$5:$G$104,MATCH(B491,Mapping!$A$5:$A$104,0))="Nee",ABS(Q491)+ABS(Z491)+ABS(AR491)&gt;0),1,0),0))</f>
        <v/>
      </c>
      <c r="BW491" s="124" t="str">
        <f>IF($B491="","",IF(COUNTIF(Mapping!$A$5:$A$104,B491)&gt;0,1,0))</f>
        <v/>
      </c>
      <c r="BX491" s="124" t="str">
        <f>IF($B491="","",IF(BR491=0,COUNTIF($BR$6:BR491,0),""))</f>
        <v/>
      </c>
    </row>
    <row r="492">
      <c r="A492" s="15" t="n">
        <v>488</v>
      </c>
      <c r="B492" t="str">
        <f>IF(B$3=0,"",IF(INDEX(SRC_Woningetalage!$A$1:$ZZ$501,$A492,B$3)&amp;""="","",INDEX(SRC_Woningetalage!$A$1:$ZZ$501,$A492,B$3)&amp;""))</f>
        <v/>
      </c>
      <c r="C492" t="str">
        <f>IF($B492="","",IF(C$3=0,"n.b.",INDEX(SRC_Woningetalage!$A$1:$ZZ$501,$A492,C$3)))</f>
        <v/>
      </c>
      <c r="D492" t="str">
        <f>IF($B492="","",IF(D$3=0,"n.b.",INDEX(SRC_Woningetalage!$A$1:$ZZ$501,$A492,D$3)))</f>
        <v/>
      </c>
      <c r="E492" t="str">
        <f>IF($B492="","",IF(E$3=0,"n.b.",INDEX(SRC_Woningetalage!$A$1:$ZZ$501,$A492,E$3)))</f>
        <v/>
      </c>
      <c r="F492" t="str">
        <f>IF($B492="","",IF(F$3=0,"n.b.",INDEX(SRC_Woningetalage!$A$1:$ZZ$501,$A492,F$3)))</f>
        <v/>
      </c>
      <c r="G492" t="str">
        <f>IF($B492="","",IF(G$3=0,"n.b.",INDEX(SRC_Woningetalage!$A$1:$ZZ$501,$A492,G$3)))</f>
        <v/>
      </c>
      <c r="H492" t="str">
        <f>IF($B492="","",IF(H$3=0,"n.b.",INDEX(SRC_Woningetalage!$A$1:$ZZ$501,$A492,H$3)))</f>
        <v/>
      </c>
      <c r="I492" t="str">
        <f>IF($B492="","",IF(I$3=0,"n.b.",INDEX(SRC_Woningetalage!$A$1:$ZZ$501,$A492,I$3)))</f>
        <v/>
      </c>
      <c r="J492" t="str">
        <f>IF($B492="","",IF(J$3=0,"n.b.",INDEX(SRC_Woningetalage!$A$1:$ZZ$501,$A492,J$3)))</f>
        <v/>
      </c>
      <c r="K492" t="str">
        <f>IF($B492="","",IF(K$3=0,"n.b.",INDEX(SRC_Woningetalage!$A$1:$ZZ$501,$A492,K$3)))</f>
        <v/>
      </c>
      <c r="L492" t="str">
        <f>IF($B492="","",IF(L$3=0,"n.b.",INDEX(SRC_Woningetalage!$A$1:$ZZ$501,$A492,L$3)))</f>
        <v/>
      </c>
      <c r="M492" t="str">
        <f>IF($B492="","",IF(M$3=0,"n.b.",INDEX(SRC_Woningetalage!$A$1:$ZZ$501,$A492,M$3)))</f>
        <v/>
      </c>
      <c r="N492" t="str">
        <f>IF($B492="","",IF(N$3=0,"n.b.",INDEX(SRC_Woningetalage!$A$1:$ZZ$501,$A492,N$3)))</f>
        <v/>
      </c>
      <c r="O492" t="str">
        <f>IF($B492="","",IF(O$3=0,"n.b.",INDEX(SRC_Woningetalage!$A$1:$ZZ$501,$A492,O$3)))</f>
        <v/>
      </c>
      <c r="P492" t="str">
        <f>IF($B492="","",IF(P$3=0,"n.b.",INDEX(SRC_Woningetalage!$A$1:$ZZ$501,$A492,P$3)))</f>
        <v/>
      </c>
      <c r="Q492" s="124" t="str">
        <f>IF($B492="","",IF(Q$3=0,"n.b.",INDEX(SRC_Woningetalage!$A$1:$ZZ$501,$A492,Q$3)))</f>
        <v/>
      </c>
      <c r="R492" s="124" t="str">
        <f>IF($B492="","",IF(R$3=0,"n.b.",INDEX(SRC_Woningetalage!$A$1:$ZZ$501,$A492,R$3)))</f>
        <v/>
      </c>
      <c r="S492" s="124" t="str">
        <f>IF($B492="","",IF(S$3=0,"n.b.",INDEX(SRC_Woningetalage!$A$1:$ZZ$501,$A492,S$3)))</f>
        <v/>
      </c>
      <c r="T492" s="124" t="str">
        <f>IF($B492="","",IF(T$3=0,"n.b.",INDEX(SRC_Woningetalage!$A$1:$ZZ$501,$A492,T$3)))</f>
        <v/>
      </c>
      <c r="U492" s="124" t="str">
        <f>IF($B492="","",IF(U$3=0,"n.b.",INDEX(SRC_Woningetalage!$A$1:$ZZ$501,$A492,U$3)))</f>
        <v/>
      </c>
      <c r="V492" s="124" t="str">
        <f>IF($B492="","",IF(V$3=0,"n.b.",INDEX(SRC_Woningetalage!$A$1:$ZZ$501,$A492,V$3)))</f>
        <v/>
      </c>
      <c r="W492" s="124" t="str">
        <f>IF($B492="","",IF(W$3=0,"n.b.",INDEX(SRC_Woningetalage!$A$1:$ZZ$501,$A492,W$3)))</f>
        <v/>
      </c>
      <c r="X492" s="124" t="str">
        <f>IF($B492="","",IF(X$3=0,"n.b.",INDEX(SRC_Woningetalage!$A$1:$ZZ$501,$A492,X$3)))</f>
        <v/>
      </c>
      <c r="Y492" s="124" t="str">
        <f>IF($B492="","",IF(Y$3=0,"n.b.",INDEX(SRC_Woningetalage!$A$1:$ZZ$501,$A492,Y$3)))</f>
        <v/>
      </c>
      <c r="Z492" s="124" t="str">
        <f>IF($B492="","",IF(Z$3=0,"n.b.",INDEX(SRC_Woningetalage!$A$1:$ZZ$501,$A492,Z$3)))</f>
        <v/>
      </c>
      <c r="AA492" s="124" t="str">
        <f>IF($B492="","",IF(AA$3=0,"n.b.",INDEX(SRC_Woningetalage!$A$1:$ZZ$501,$A492,AA$3)))</f>
        <v/>
      </c>
      <c r="AB492" s="124" t="str">
        <f>IF($B492="","",IF(AB$3=0,"n.b.",INDEX(SRC_Woningetalage!$A$1:$ZZ$501,$A492,AB$3)))</f>
        <v/>
      </c>
      <c r="AC492" s="124" t="str">
        <f>IF($B492="","",IF(AC$3=0,"n.b.",INDEX(SRC_Woningetalage!$A$1:$ZZ$501,$A492,AC$3)))</f>
        <v/>
      </c>
      <c r="AD492" s="124" t="str">
        <f>IF($B492="","",IF(AD$3=0,"n.b.",INDEX(SRC_Woningetalage!$A$1:$ZZ$501,$A492,AD$3)))</f>
        <v/>
      </c>
      <c r="AE492" s="124" t="str">
        <f>IF($B492="","",IF(AE$3=0,"n.b.",INDEX(SRC_Woningetalage!$A$1:$ZZ$501,$A492,AE$3)))</f>
        <v/>
      </c>
      <c r="AF492" s="124" t="str">
        <f>IF($B492="","",IF(AF$3=0,"n.b.",INDEX(SRC_Woningetalage!$A$1:$ZZ$501,$A492,AF$3)))</f>
        <v/>
      </c>
      <c r="AG492" s="124" t="str">
        <f>IF($B492="","",IF(AG$3=0,"n.b.",INDEX(SRC_Woningetalage!$A$1:$ZZ$501,$A492,AG$3)))</f>
        <v/>
      </c>
      <c r="AH492" s="124" t="str">
        <f>IF($B492="","",IF(AH$3=0,"n.b.",INDEX(SRC_Woningetalage!$A$1:$ZZ$501,$A492,AH$3)))</f>
        <v/>
      </c>
      <c r="AI492" s="124" t="str">
        <f>IF($B492="","",IF(AI$3=0,"n.b.",INDEX(SRC_Woningetalage!$A$1:$ZZ$501,$A492,AI$3)))</f>
        <v/>
      </c>
      <c r="AJ492" s="124" t="str">
        <f>IF($B492="","",IF(AJ$3=0,"n.b.",INDEX(SRC_Woningetalage!$A$1:$ZZ$501,$A492,AJ$3)))</f>
        <v/>
      </c>
      <c r="AK492" s="124" t="str">
        <f>IF($B492="","",IF(AK$3=0,"n.b.",INDEX(SRC_Woningetalage!$A$1:$ZZ$501,$A492,AK$3)))</f>
        <v/>
      </c>
      <c r="AL492" s="124" t="str">
        <f>IF($B492="","",IF(AL$3=0,"n.b.",INDEX(SRC_Woningetalage!$A$1:$ZZ$501,$A492,AL$3)))</f>
        <v/>
      </c>
      <c r="AM492" s="124" t="str">
        <f>IF($B492="","",IF(AM$3=0,"n.b.",INDEX(SRC_Woningetalage!$A$1:$ZZ$501,$A492,AM$3)))</f>
        <v/>
      </c>
      <c r="AN492" s="124" t="str">
        <f>IF($B492="","",IF(AN$3=0,"n.b.",INDEX(SRC_Woningetalage!$A$1:$ZZ$501,$A492,AN$3)))</f>
        <v/>
      </c>
      <c r="AO492" s="124" t="str">
        <f>IF($B492="","",IF(AO$3=0,"n.b.",INDEX(SRC_Woningetalage!$A$1:$ZZ$501,$A492,AO$3)))</f>
        <v/>
      </c>
      <c r="AP492" s="124" t="str">
        <f>IF($B492="","",IF(AP$3=0,"n.b.",INDEX(SRC_Woningetalage!$A$1:$ZZ$501,$A492,AP$3)))</f>
        <v/>
      </c>
      <c r="AQ492" s="124" t="str">
        <f>IF($B492="","",IF(AQ$3=0,"n.b.",INDEX(SRC_Woningetalage!$A$1:$ZZ$501,$A492,AQ$3)))</f>
        <v/>
      </c>
      <c r="AR492" s="124" t="str">
        <f>IF($B492="","",IF(AR$3=0,"n.b.",INDEX(SRC_Woningetalage!$A$1:$ZZ$501,$A492,AR$3)))</f>
        <v/>
      </c>
      <c r="AS492" s="124" t="str">
        <f>IF($B492="","",IF(AS$3=0,"n.b.",INDEX(SRC_Woningetalage!$A$1:$ZZ$501,$A492,AS$3)))</f>
        <v/>
      </c>
      <c r="AT492" s="124" t="str">
        <f>IF($B492="","",IF(AT$3=0,"n.b.",INDEX(SRC_Woningetalage!$A$1:$ZZ$501,$A492,AT$3)))</f>
        <v/>
      </c>
      <c r="AU492" s="124" t="str">
        <f>IF($B492="","",IF(AU$3=0,"n.b.",INDEX(SRC_Woningetalage!$A$1:$ZZ$501,$A492,AU$3)))</f>
        <v/>
      </c>
      <c r="AV492" s="124" t="str">
        <f>IF($B492="","",IF(AV$3=0,"n.b.",INDEX(SRC_Woningetalage!$A$1:$ZZ$501,$A492,AV$3)))</f>
        <v/>
      </c>
      <c r="AW492" s="124" t="str">
        <f>IF($B492="","",IF(AW$3=0,"n.b.",INDEX(SRC_Woningetalage!$A$1:$ZZ$501,$A492,AW$3)))</f>
        <v/>
      </c>
      <c r="AX492" s="124" t="str">
        <f>IF($B492="","",IF(AX$3=0,"n.b.",INDEX(SRC_Woningetalage!$A$1:$ZZ$501,$A492,AX$3)))</f>
        <v/>
      </c>
      <c r="AY492" s="124" t="str">
        <f>IF($B492="","",IF(AY$3=0,"n.b.",INDEX(SRC_Woningetalage!$A$1:$ZZ$501,$A492,AY$3)))</f>
        <v/>
      </c>
      <c r="AZ492" s="124" t="str">
        <f>IF($B492="","",IF(AZ$3=0,"n.b.",INDEX(SRC_Woningetalage!$A$1:$ZZ$501,$A492,AZ$3)))</f>
        <v/>
      </c>
      <c r="BA492" s="124" t="str">
        <f>IF($B492="","",IF(BA$3=0,"n.b.",INDEX(SRC_Woningetalage!$A$1:$ZZ$501,$A492,BA$3)))</f>
        <v/>
      </c>
      <c r="BB492" s="124" t="str">
        <f>IF($B492="","",IF(BB$3=0,"n.b.",INDEX(SRC_Woningetalage!$A$1:$ZZ$501,$A492,BB$3)))</f>
        <v/>
      </c>
      <c r="BC492" s="124" t="str">
        <f>IF($B492="","",IFERROR(_xlfn.NUMBERVALUE(E492&amp;"",",","."),"n.b."))</f>
        <v/>
      </c>
      <c r="BD492" s="124" t="str">
        <f>IF($B492="","",IFERROR(_xlfn.NUMBERVALUE(M492&amp;"",",","."),"n.b."))</f>
        <v/>
      </c>
      <c r="BE492" s="124" t="str">
        <f>IF($B492="","",IFERROR(AB492+AC492+AD492,"n.b."))</f>
        <v/>
      </c>
      <c r="BF492" s="124" t="str">
        <f>IF($B492="","",IFERROR(AE492+AF492+AG492,"n.b."))</f>
        <v/>
      </c>
      <c r="BG492" s="124" t="str">
        <f>IF($B492="","",IFERROR(AH492+AI492+AJ492,"n.b."))</f>
        <v/>
      </c>
      <c r="BH492" s="124" t="str">
        <f>IF($B492="","",IFERROR(AK492+AL492+AM492,"n.b."))</f>
        <v/>
      </c>
      <c r="BI492" s="124" t="str">
        <f>IF($B492="","",IFERROR(SUMIF($AB$5:$AM$5,"&lt;="&amp;P_PeilMaand,AB492:AM492),"n.b."))</f>
        <v/>
      </c>
      <c r="BJ492" s="124" t="str">
        <f>IF($B492="","",IFERROR(SUM(AB492:AM492)-BI492,"n.b."))</f>
        <v/>
      </c>
      <c r="BK492" s="124" t="str">
        <f>IF($B492="","",IFERROR(IF(ABS(Q492-(T492+SUM(AB492:AM492)+AS492+AU492))&gt;P_Tol,1,0),1))</f>
        <v/>
      </c>
      <c r="BL492" s="124" t="str">
        <f>IF($B492="","",IFERROR(IF(ABS(AA492-(Q492-Z492))&gt;P_Tol,1,0),1))</f>
        <v/>
      </c>
      <c r="BM492" s="124" t="str">
        <f>IF($B492="","",IFERROR(IF(ABS(Z492-(T492+W492))&gt;P_Tol,1,0),1))</f>
        <v/>
      </c>
      <c r="BN492" s="124" t="str">
        <f>IF($B492="","",IFERROR(IF(ABS(W492-BI492)&gt;P_Tol,1,0),1))</f>
        <v/>
      </c>
      <c r="BO492" s="124" t="str">
        <f>IF($B492="","",IFERROR(IF(OR(ABS(R492+S492-T492)&gt;P_Tol,ABS(U492+V492-W492)&gt;P_Tol,ABS(X492+Y492-Z492)&gt;P_Tol),1,0),1))</f>
        <v/>
      </c>
      <c r="BP492" s="124" t="str">
        <f>IF($B492="","",IFERROR(IF(OR(ABS(AR492-SUM(AB492:AM492))&gt;P_Tol,ABS(AS492-(AN492+AO492+AP492+AQ492))&gt;P_Tol),1,0),1))</f>
        <v/>
      </c>
      <c r="BQ492" s="124" t="str">
        <f>IF($B492="","",IFERROR(IF(ABS(AT492)+ABS(AV492)+ABS(AW492)+ABS(AX492)+ABS(AY492)+ABS(AZ492)+ABS(BA492)+ABS(BB492)&gt;0,1,0),1))</f>
        <v/>
      </c>
      <c r="BR492" s="124" t="str">
        <f>IF($B492="","",COUNTIF(STG_ZPMW03!$B$6:$B$505,B492))</f>
        <v/>
      </c>
      <c r="BS492" s="124" t="str">
        <f>IF($B492="","",COUNTIF($B$6:$B$505,B492))</f>
        <v/>
      </c>
      <c r="BT492" s="124" t="str">
        <f>IF($B492="","",IF(BR492=0,0,IF(INDEX(STG_ZPMW03!$I$6:$I$505,MATCH(B492,STG_ZPMW03!$B$6:$B$505,0))=J492&amp;"",0,1)))</f>
        <v/>
      </c>
      <c r="BU492" s="124" t="str">
        <f>IF($B492="","",IFERROR(IF(ABS(INDEX(Mapping!$D$5:$D$104,MATCH(B492,Mapping!$A$5:$A$104,0))-Q492)&gt;P_Tol,1,0),0))</f>
        <v/>
      </c>
      <c r="BV492" s="124" t="str">
        <f>IF($B492="","",IFERROR(IF(AND(INDEX(Mapping!$G$5:$G$104,MATCH(B492,Mapping!$A$5:$A$104,0))="Nee",ABS(Q492)+ABS(Z492)+ABS(AR492)&gt;0),1,0),0))</f>
        <v/>
      </c>
      <c r="BW492" s="124" t="str">
        <f>IF($B492="","",IF(COUNTIF(Mapping!$A$5:$A$104,B492)&gt;0,1,0))</f>
        <v/>
      </c>
      <c r="BX492" s="124" t="str">
        <f>IF($B492="","",IF(BR492=0,COUNTIF($BR$6:BR492,0),""))</f>
        <v/>
      </c>
    </row>
    <row r="493">
      <c r="A493" s="15" t="n">
        <v>489</v>
      </c>
      <c r="B493" t="str">
        <f>IF(B$3=0,"",IF(INDEX(SRC_Woningetalage!$A$1:$ZZ$501,$A493,B$3)&amp;""="","",INDEX(SRC_Woningetalage!$A$1:$ZZ$501,$A493,B$3)&amp;""))</f>
        <v/>
      </c>
      <c r="C493" t="str">
        <f>IF($B493="","",IF(C$3=0,"n.b.",INDEX(SRC_Woningetalage!$A$1:$ZZ$501,$A493,C$3)))</f>
        <v/>
      </c>
      <c r="D493" t="str">
        <f>IF($B493="","",IF(D$3=0,"n.b.",INDEX(SRC_Woningetalage!$A$1:$ZZ$501,$A493,D$3)))</f>
        <v/>
      </c>
      <c r="E493" t="str">
        <f>IF($B493="","",IF(E$3=0,"n.b.",INDEX(SRC_Woningetalage!$A$1:$ZZ$501,$A493,E$3)))</f>
        <v/>
      </c>
      <c r="F493" t="str">
        <f>IF($B493="","",IF(F$3=0,"n.b.",INDEX(SRC_Woningetalage!$A$1:$ZZ$501,$A493,F$3)))</f>
        <v/>
      </c>
      <c r="G493" t="str">
        <f>IF($B493="","",IF(G$3=0,"n.b.",INDEX(SRC_Woningetalage!$A$1:$ZZ$501,$A493,G$3)))</f>
        <v/>
      </c>
      <c r="H493" t="str">
        <f>IF($B493="","",IF(H$3=0,"n.b.",INDEX(SRC_Woningetalage!$A$1:$ZZ$501,$A493,H$3)))</f>
        <v/>
      </c>
      <c r="I493" t="str">
        <f>IF($B493="","",IF(I$3=0,"n.b.",INDEX(SRC_Woningetalage!$A$1:$ZZ$501,$A493,I$3)))</f>
        <v/>
      </c>
      <c r="J493" t="str">
        <f>IF($B493="","",IF(J$3=0,"n.b.",INDEX(SRC_Woningetalage!$A$1:$ZZ$501,$A493,J$3)))</f>
        <v/>
      </c>
      <c r="K493" t="str">
        <f>IF($B493="","",IF(K$3=0,"n.b.",INDEX(SRC_Woningetalage!$A$1:$ZZ$501,$A493,K$3)))</f>
        <v/>
      </c>
      <c r="L493" t="str">
        <f>IF($B493="","",IF(L$3=0,"n.b.",INDEX(SRC_Woningetalage!$A$1:$ZZ$501,$A493,L$3)))</f>
        <v/>
      </c>
      <c r="M493" t="str">
        <f>IF($B493="","",IF(M$3=0,"n.b.",INDEX(SRC_Woningetalage!$A$1:$ZZ$501,$A493,M$3)))</f>
        <v/>
      </c>
      <c r="N493" t="str">
        <f>IF($B493="","",IF(N$3=0,"n.b.",INDEX(SRC_Woningetalage!$A$1:$ZZ$501,$A493,N$3)))</f>
        <v/>
      </c>
      <c r="O493" t="str">
        <f>IF($B493="","",IF(O$3=0,"n.b.",INDEX(SRC_Woningetalage!$A$1:$ZZ$501,$A493,O$3)))</f>
        <v/>
      </c>
      <c r="P493" t="str">
        <f>IF($B493="","",IF(P$3=0,"n.b.",INDEX(SRC_Woningetalage!$A$1:$ZZ$501,$A493,P$3)))</f>
        <v/>
      </c>
      <c r="Q493" s="124" t="str">
        <f>IF($B493="","",IF(Q$3=0,"n.b.",INDEX(SRC_Woningetalage!$A$1:$ZZ$501,$A493,Q$3)))</f>
        <v/>
      </c>
      <c r="R493" s="124" t="str">
        <f>IF($B493="","",IF(R$3=0,"n.b.",INDEX(SRC_Woningetalage!$A$1:$ZZ$501,$A493,R$3)))</f>
        <v/>
      </c>
      <c r="S493" s="124" t="str">
        <f>IF($B493="","",IF(S$3=0,"n.b.",INDEX(SRC_Woningetalage!$A$1:$ZZ$501,$A493,S$3)))</f>
        <v/>
      </c>
      <c r="T493" s="124" t="str">
        <f>IF($B493="","",IF(T$3=0,"n.b.",INDEX(SRC_Woningetalage!$A$1:$ZZ$501,$A493,T$3)))</f>
        <v/>
      </c>
      <c r="U493" s="124" t="str">
        <f>IF($B493="","",IF(U$3=0,"n.b.",INDEX(SRC_Woningetalage!$A$1:$ZZ$501,$A493,U$3)))</f>
        <v/>
      </c>
      <c r="V493" s="124" t="str">
        <f>IF($B493="","",IF(V$3=0,"n.b.",INDEX(SRC_Woningetalage!$A$1:$ZZ$501,$A493,V$3)))</f>
        <v/>
      </c>
      <c r="W493" s="124" t="str">
        <f>IF($B493="","",IF(W$3=0,"n.b.",INDEX(SRC_Woningetalage!$A$1:$ZZ$501,$A493,W$3)))</f>
        <v/>
      </c>
      <c r="X493" s="124" t="str">
        <f>IF($B493="","",IF(X$3=0,"n.b.",INDEX(SRC_Woningetalage!$A$1:$ZZ$501,$A493,X$3)))</f>
        <v/>
      </c>
      <c r="Y493" s="124" t="str">
        <f>IF($B493="","",IF(Y$3=0,"n.b.",INDEX(SRC_Woningetalage!$A$1:$ZZ$501,$A493,Y$3)))</f>
        <v/>
      </c>
      <c r="Z493" s="124" t="str">
        <f>IF($B493="","",IF(Z$3=0,"n.b.",INDEX(SRC_Woningetalage!$A$1:$ZZ$501,$A493,Z$3)))</f>
        <v/>
      </c>
      <c r="AA493" s="124" t="str">
        <f>IF($B493="","",IF(AA$3=0,"n.b.",INDEX(SRC_Woningetalage!$A$1:$ZZ$501,$A493,AA$3)))</f>
        <v/>
      </c>
      <c r="AB493" s="124" t="str">
        <f>IF($B493="","",IF(AB$3=0,"n.b.",INDEX(SRC_Woningetalage!$A$1:$ZZ$501,$A493,AB$3)))</f>
        <v/>
      </c>
      <c r="AC493" s="124" t="str">
        <f>IF($B493="","",IF(AC$3=0,"n.b.",INDEX(SRC_Woningetalage!$A$1:$ZZ$501,$A493,AC$3)))</f>
        <v/>
      </c>
      <c r="AD493" s="124" t="str">
        <f>IF($B493="","",IF(AD$3=0,"n.b.",INDEX(SRC_Woningetalage!$A$1:$ZZ$501,$A493,AD$3)))</f>
        <v/>
      </c>
      <c r="AE493" s="124" t="str">
        <f>IF($B493="","",IF(AE$3=0,"n.b.",INDEX(SRC_Woningetalage!$A$1:$ZZ$501,$A493,AE$3)))</f>
        <v/>
      </c>
      <c r="AF493" s="124" t="str">
        <f>IF($B493="","",IF(AF$3=0,"n.b.",INDEX(SRC_Woningetalage!$A$1:$ZZ$501,$A493,AF$3)))</f>
        <v/>
      </c>
      <c r="AG493" s="124" t="str">
        <f>IF($B493="","",IF(AG$3=0,"n.b.",INDEX(SRC_Woningetalage!$A$1:$ZZ$501,$A493,AG$3)))</f>
        <v/>
      </c>
      <c r="AH493" s="124" t="str">
        <f>IF($B493="","",IF(AH$3=0,"n.b.",INDEX(SRC_Woningetalage!$A$1:$ZZ$501,$A493,AH$3)))</f>
        <v/>
      </c>
      <c r="AI493" s="124" t="str">
        <f>IF($B493="","",IF(AI$3=0,"n.b.",INDEX(SRC_Woningetalage!$A$1:$ZZ$501,$A493,AI$3)))</f>
        <v/>
      </c>
      <c r="AJ493" s="124" t="str">
        <f>IF($B493="","",IF(AJ$3=0,"n.b.",INDEX(SRC_Woningetalage!$A$1:$ZZ$501,$A493,AJ$3)))</f>
        <v/>
      </c>
      <c r="AK493" s="124" t="str">
        <f>IF($B493="","",IF(AK$3=0,"n.b.",INDEX(SRC_Woningetalage!$A$1:$ZZ$501,$A493,AK$3)))</f>
        <v/>
      </c>
      <c r="AL493" s="124" t="str">
        <f>IF($B493="","",IF(AL$3=0,"n.b.",INDEX(SRC_Woningetalage!$A$1:$ZZ$501,$A493,AL$3)))</f>
        <v/>
      </c>
      <c r="AM493" s="124" t="str">
        <f>IF($B493="","",IF(AM$3=0,"n.b.",INDEX(SRC_Woningetalage!$A$1:$ZZ$501,$A493,AM$3)))</f>
        <v/>
      </c>
      <c r="AN493" s="124" t="str">
        <f>IF($B493="","",IF(AN$3=0,"n.b.",INDEX(SRC_Woningetalage!$A$1:$ZZ$501,$A493,AN$3)))</f>
        <v/>
      </c>
      <c r="AO493" s="124" t="str">
        <f>IF($B493="","",IF(AO$3=0,"n.b.",INDEX(SRC_Woningetalage!$A$1:$ZZ$501,$A493,AO$3)))</f>
        <v/>
      </c>
      <c r="AP493" s="124" t="str">
        <f>IF($B493="","",IF(AP$3=0,"n.b.",INDEX(SRC_Woningetalage!$A$1:$ZZ$501,$A493,AP$3)))</f>
        <v/>
      </c>
      <c r="AQ493" s="124" t="str">
        <f>IF($B493="","",IF(AQ$3=0,"n.b.",INDEX(SRC_Woningetalage!$A$1:$ZZ$501,$A493,AQ$3)))</f>
        <v/>
      </c>
      <c r="AR493" s="124" t="str">
        <f>IF($B493="","",IF(AR$3=0,"n.b.",INDEX(SRC_Woningetalage!$A$1:$ZZ$501,$A493,AR$3)))</f>
        <v/>
      </c>
      <c r="AS493" s="124" t="str">
        <f>IF($B493="","",IF(AS$3=0,"n.b.",INDEX(SRC_Woningetalage!$A$1:$ZZ$501,$A493,AS$3)))</f>
        <v/>
      </c>
      <c r="AT493" s="124" t="str">
        <f>IF($B493="","",IF(AT$3=0,"n.b.",INDEX(SRC_Woningetalage!$A$1:$ZZ$501,$A493,AT$3)))</f>
        <v/>
      </c>
      <c r="AU493" s="124" t="str">
        <f>IF($B493="","",IF(AU$3=0,"n.b.",INDEX(SRC_Woningetalage!$A$1:$ZZ$501,$A493,AU$3)))</f>
        <v/>
      </c>
      <c r="AV493" s="124" t="str">
        <f>IF($B493="","",IF(AV$3=0,"n.b.",INDEX(SRC_Woningetalage!$A$1:$ZZ$501,$A493,AV$3)))</f>
        <v/>
      </c>
      <c r="AW493" s="124" t="str">
        <f>IF($B493="","",IF(AW$3=0,"n.b.",INDEX(SRC_Woningetalage!$A$1:$ZZ$501,$A493,AW$3)))</f>
        <v/>
      </c>
      <c r="AX493" s="124" t="str">
        <f>IF($B493="","",IF(AX$3=0,"n.b.",INDEX(SRC_Woningetalage!$A$1:$ZZ$501,$A493,AX$3)))</f>
        <v/>
      </c>
      <c r="AY493" s="124" t="str">
        <f>IF($B493="","",IF(AY$3=0,"n.b.",INDEX(SRC_Woningetalage!$A$1:$ZZ$501,$A493,AY$3)))</f>
        <v/>
      </c>
      <c r="AZ493" s="124" t="str">
        <f>IF($B493="","",IF(AZ$3=0,"n.b.",INDEX(SRC_Woningetalage!$A$1:$ZZ$501,$A493,AZ$3)))</f>
        <v/>
      </c>
      <c r="BA493" s="124" t="str">
        <f>IF($B493="","",IF(BA$3=0,"n.b.",INDEX(SRC_Woningetalage!$A$1:$ZZ$501,$A493,BA$3)))</f>
        <v/>
      </c>
      <c r="BB493" s="124" t="str">
        <f>IF($B493="","",IF(BB$3=0,"n.b.",INDEX(SRC_Woningetalage!$A$1:$ZZ$501,$A493,BB$3)))</f>
        <v/>
      </c>
      <c r="BC493" s="124" t="str">
        <f>IF($B493="","",IFERROR(_xlfn.NUMBERVALUE(E493&amp;"",",","."),"n.b."))</f>
        <v/>
      </c>
      <c r="BD493" s="124" t="str">
        <f>IF($B493="","",IFERROR(_xlfn.NUMBERVALUE(M493&amp;"",",","."),"n.b."))</f>
        <v/>
      </c>
      <c r="BE493" s="124" t="str">
        <f>IF($B493="","",IFERROR(AB493+AC493+AD493,"n.b."))</f>
        <v/>
      </c>
      <c r="BF493" s="124" t="str">
        <f>IF($B493="","",IFERROR(AE493+AF493+AG493,"n.b."))</f>
        <v/>
      </c>
      <c r="BG493" s="124" t="str">
        <f>IF($B493="","",IFERROR(AH493+AI493+AJ493,"n.b."))</f>
        <v/>
      </c>
      <c r="BH493" s="124" t="str">
        <f>IF($B493="","",IFERROR(AK493+AL493+AM493,"n.b."))</f>
        <v/>
      </c>
      <c r="BI493" s="124" t="str">
        <f>IF($B493="","",IFERROR(SUMIF($AB$5:$AM$5,"&lt;="&amp;P_PeilMaand,AB493:AM493),"n.b."))</f>
        <v/>
      </c>
      <c r="BJ493" s="124" t="str">
        <f>IF($B493="","",IFERROR(SUM(AB493:AM493)-BI493,"n.b."))</f>
        <v/>
      </c>
      <c r="BK493" s="124" t="str">
        <f>IF($B493="","",IFERROR(IF(ABS(Q493-(T493+SUM(AB493:AM493)+AS493+AU493))&gt;P_Tol,1,0),1))</f>
        <v/>
      </c>
      <c r="BL493" s="124" t="str">
        <f>IF($B493="","",IFERROR(IF(ABS(AA493-(Q493-Z493))&gt;P_Tol,1,0),1))</f>
        <v/>
      </c>
      <c r="BM493" s="124" t="str">
        <f>IF($B493="","",IFERROR(IF(ABS(Z493-(T493+W493))&gt;P_Tol,1,0),1))</f>
        <v/>
      </c>
      <c r="BN493" s="124" t="str">
        <f>IF($B493="","",IFERROR(IF(ABS(W493-BI493)&gt;P_Tol,1,0),1))</f>
        <v/>
      </c>
      <c r="BO493" s="124" t="str">
        <f>IF($B493="","",IFERROR(IF(OR(ABS(R493+S493-T493)&gt;P_Tol,ABS(U493+V493-W493)&gt;P_Tol,ABS(X493+Y493-Z493)&gt;P_Tol),1,0),1))</f>
        <v/>
      </c>
      <c r="BP493" s="124" t="str">
        <f>IF($B493="","",IFERROR(IF(OR(ABS(AR493-SUM(AB493:AM493))&gt;P_Tol,ABS(AS493-(AN493+AO493+AP493+AQ493))&gt;P_Tol),1,0),1))</f>
        <v/>
      </c>
      <c r="BQ493" s="124" t="str">
        <f>IF($B493="","",IFERROR(IF(ABS(AT493)+ABS(AV493)+ABS(AW493)+ABS(AX493)+ABS(AY493)+ABS(AZ493)+ABS(BA493)+ABS(BB493)&gt;0,1,0),1))</f>
        <v/>
      </c>
      <c r="BR493" s="124" t="str">
        <f>IF($B493="","",COUNTIF(STG_ZPMW03!$B$6:$B$505,B493))</f>
        <v/>
      </c>
      <c r="BS493" s="124" t="str">
        <f>IF($B493="","",COUNTIF($B$6:$B$505,B493))</f>
        <v/>
      </c>
      <c r="BT493" s="124" t="str">
        <f>IF($B493="","",IF(BR493=0,0,IF(INDEX(STG_ZPMW03!$I$6:$I$505,MATCH(B493,STG_ZPMW03!$B$6:$B$505,0))=J493&amp;"",0,1)))</f>
        <v/>
      </c>
      <c r="BU493" s="124" t="str">
        <f>IF($B493="","",IFERROR(IF(ABS(INDEX(Mapping!$D$5:$D$104,MATCH(B493,Mapping!$A$5:$A$104,0))-Q493)&gt;P_Tol,1,0),0))</f>
        <v/>
      </c>
      <c r="BV493" s="124" t="str">
        <f>IF($B493="","",IFERROR(IF(AND(INDEX(Mapping!$G$5:$G$104,MATCH(B493,Mapping!$A$5:$A$104,0))="Nee",ABS(Q493)+ABS(Z493)+ABS(AR493)&gt;0),1,0),0))</f>
        <v/>
      </c>
      <c r="BW493" s="124" t="str">
        <f>IF($B493="","",IF(COUNTIF(Mapping!$A$5:$A$104,B493)&gt;0,1,0))</f>
        <v/>
      </c>
      <c r="BX493" s="124" t="str">
        <f>IF($B493="","",IF(BR493=0,COUNTIF($BR$6:BR493,0),""))</f>
        <v/>
      </c>
    </row>
    <row r="494">
      <c r="A494" s="15" t="n">
        <v>490</v>
      </c>
      <c r="B494" t="str">
        <f>IF(B$3=0,"",IF(INDEX(SRC_Woningetalage!$A$1:$ZZ$501,$A494,B$3)&amp;""="","",INDEX(SRC_Woningetalage!$A$1:$ZZ$501,$A494,B$3)&amp;""))</f>
        <v/>
      </c>
      <c r="C494" t="str">
        <f>IF($B494="","",IF(C$3=0,"n.b.",INDEX(SRC_Woningetalage!$A$1:$ZZ$501,$A494,C$3)))</f>
        <v/>
      </c>
      <c r="D494" t="str">
        <f>IF($B494="","",IF(D$3=0,"n.b.",INDEX(SRC_Woningetalage!$A$1:$ZZ$501,$A494,D$3)))</f>
        <v/>
      </c>
      <c r="E494" t="str">
        <f>IF($B494="","",IF(E$3=0,"n.b.",INDEX(SRC_Woningetalage!$A$1:$ZZ$501,$A494,E$3)))</f>
        <v/>
      </c>
      <c r="F494" t="str">
        <f>IF($B494="","",IF(F$3=0,"n.b.",INDEX(SRC_Woningetalage!$A$1:$ZZ$501,$A494,F$3)))</f>
        <v/>
      </c>
      <c r="G494" t="str">
        <f>IF($B494="","",IF(G$3=0,"n.b.",INDEX(SRC_Woningetalage!$A$1:$ZZ$501,$A494,G$3)))</f>
        <v/>
      </c>
      <c r="H494" t="str">
        <f>IF($B494="","",IF(H$3=0,"n.b.",INDEX(SRC_Woningetalage!$A$1:$ZZ$501,$A494,H$3)))</f>
        <v/>
      </c>
      <c r="I494" t="str">
        <f>IF($B494="","",IF(I$3=0,"n.b.",INDEX(SRC_Woningetalage!$A$1:$ZZ$501,$A494,I$3)))</f>
        <v/>
      </c>
      <c r="J494" t="str">
        <f>IF($B494="","",IF(J$3=0,"n.b.",INDEX(SRC_Woningetalage!$A$1:$ZZ$501,$A494,J$3)))</f>
        <v/>
      </c>
      <c r="K494" t="str">
        <f>IF($B494="","",IF(K$3=0,"n.b.",INDEX(SRC_Woningetalage!$A$1:$ZZ$501,$A494,K$3)))</f>
        <v/>
      </c>
      <c r="L494" t="str">
        <f>IF($B494="","",IF(L$3=0,"n.b.",INDEX(SRC_Woningetalage!$A$1:$ZZ$501,$A494,L$3)))</f>
        <v/>
      </c>
      <c r="M494" t="str">
        <f>IF($B494="","",IF(M$3=0,"n.b.",INDEX(SRC_Woningetalage!$A$1:$ZZ$501,$A494,M$3)))</f>
        <v/>
      </c>
      <c r="N494" t="str">
        <f>IF($B494="","",IF(N$3=0,"n.b.",INDEX(SRC_Woningetalage!$A$1:$ZZ$501,$A494,N$3)))</f>
        <v/>
      </c>
      <c r="O494" t="str">
        <f>IF($B494="","",IF(O$3=0,"n.b.",INDEX(SRC_Woningetalage!$A$1:$ZZ$501,$A494,O$3)))</f>
        <v/>
      </c>
      <c r="P494" t="str">
        <f>IF($B494="","",IF(P$3=0,"n.b.",INDEX(SRC_Woningetalage!$A$1:$ZZ$501,$A494,P$3)))</f>
        <v/>
      </c>
      <c r="Q494" s="124" t="str">
        <f>IF($B494="","",IF(Q$3=0,"n.b.",INDEX(SRC_Woningetalage!$A$1:$ZZ$501,$A494,Q$3)))</f>
        <v/>
      </c>
      <c r="R494" s="124" t="str">
        <f>IF($B494="","",IF(R$3=0,"n.b.",INDEX(SRC_Woningetalage!$A$1:$ZZ$501,$A494,R$3)))</f>
        <v/>
      </c>
      <c r="S494" s="124" t="str">
        <f>IF($B494="","",IF(S$3=0,"n.b.",INDEX(SRC_Woningetalage!$A$1:$ZZ$501,$A494,S$3)))</f>
        <v/>
      </c>
      <c r="T494" s="124" t="str">
        <f>IF($B494="","",IF(T$3=0,"n.b.",INDEX(SRC_Woningetalage!$A$1:$ZZ$501,$A494,T$3)))</f>
        <v/>
      </c>
      <c r="U494" s="124" t="str">
        <f>IF($B494="","",IF(U$3=0,"n.b.",INDEX(SRC_Woningetalage!$A$1:$ZZ$501,$A494,U$3)))</f>
        <v/>
      </c>
      <c r="V494" s="124" t="str">
        <f>IF($B494="","",IF(V$3=0,"n.b.",INDEX(SRC_Woningetalage!$A$1:$ZZ$501,$A494,V$3)))</f>
        <v/>
      </c>
      <c r="W494" s="124" t="str">
        <f>IF($B494="","",IF(W$3=0,"n.b.",INDEX(SRC_Woningetalage!$A$1:$ZZ$501,$A494,W$3)))</f>
        <v/>
      </c>
      <c r="X494" s="124" t="str">
        <f>IF($B494="","",IF(X$3=0,"n.b.",INDEX(SRC_Woningetalage!$A$1:$ZZ$501,$A494,X$3)))</f>
        <v/>
      </c>
      <c r="Y494" s="124" t="str">
        <f>IF($B494="","",IF(Y$3=0,"n.b.",INDEX(SRC_Woningetalage!$A$1:$ZZ$501,$A494,Y$3)))</f>
        <v/>
      </c>
      <c r="Z494" s="124" t="str">
        <f>IF($B494="","",IF(Z$3=0,"n.b.",INDEX(SRC_Woningetalage!$A$1:$ZZ$501,$A494,Z$3)))</f>
        <v/>
      </c>
      <c r="AA494" s="124" t="str">
        <f>IF($B494="","",IF(AA$3=0,"n.b.",INDEX(SRC_Woningetalage!$A$1:$ZZ$501,$A494,AA$3)))</f>
        <v/>
      </c>
      <c r="AB494" s="124" t="str">
        <f>IF($B494="","",IF(AB$3=0,"n.b.",INDEX(SRC_Woningetalage!$A$1:$ZZ$501,$A494,AB$3)))</f>
        <v/>
      </c>
      <c r="AC494" s="124" t="str">
        <f>IF($B494="","",IF(AC$3=0,"n.b.",INDEX(SRC_Woningetalage!$A$1:$ZZ$501,$A494,AC$3)))</f>
        <v/>
      </c>
      <c r="AD494" s="124" t="str">
        <f>IF($B494="","",IF(AD$3=0,"n.b.",INDEX(SRC_Woningetalage!$A$1:$ZZ$501,$A494,AD$3)))</f>
        <v/>
      </c>
      <c r="AE494" s="124" t="str">
        <f>IF($B494="","",IF(AE$3=0,"n.b.",INDEX(SRC_Woningetalage!$A$1:$ZZ$501,$A494,AE$3)))</f>
        <v/>
      </c>
      <c r="AF494" s="124" t="str">
        <f>IF($B494="","",IF(AF$3=0,"n.b.",INDEX(SRC_Woningetalage!$A$1:$ZZ$501,$A494,AF$3)))</f>
        <v/>
      </c>
      <c r="AG494" s="124" t="str">
        <f>IF($B494="","",IF(AG$3=0,"n.b.",INDEX(SRC_Woningetalage!$A$1:$ZZ$501,$A494,AG$3)))</f>
        <v/>
      </c>
      <c r="AH494" s="124" t="str">
        <f>IF($B494="","",IF(AH$3=0,"n.b.",INDEX(SRC_Woningetalage!$A$1:$ZZ$501,$A494,AH$3)))</f>
        <v/>
      </c>
      <c r="AI494" s="124" t="str">
        <f>IF($B494="","",IF(AI$3=0,"n.b.",INDEX(SRC_Woningetalage!$A$1:$ZZ$501,$A494,AI$3)))</f>
        <v/>
      </c>
      <c r="AJ494" s="124" t="str">
        <f>IF($B494="","",IF(AJ$3=0,"n.b.",INDEX(SRC_Woningetalage!$A$1:$ZZ$501,$A494,AJ$3)))</f>
        <v/>
      </c>
      <c r="AK494" s="124" t="str">
        <f>IF($B494="","",IF(AK$3=0,"n.b.",INDEX(SRC_Woningetalage!$A$1:$ZZ$501,$A494,AK$3)))</f>
        <v/>
      </c>
      <c r="AL494" s="124" t="str">
        <f>IF($B494="","",IF(AL$3=0,"n.b.",INDEX(SRC_Woningetalage!$A$1:$ZZ$501,$A494,AL$3)))</f>
        <v/>
      </c>
      <c r="AM494" s="124" t="str">
        <f>IF($B494="","",IF(AM$3=0,"n.b.",INDEX(SRC_Woningetalage!$A$1:$ZZ$501,$A494,AM$3)))</f>
        <v/>
      </c>
      <c r="AN494" s="124" t="str">
        <f>IF($B494="","",IF(AN$3=0,"n.b.",INDEX(SRC_Woningetalage!$A$1:$ZZ$501,$A494,AN$3)))</f>
        <v/>
      </c>
      <c r="AO494" s="124" t="str">
        <f>IF($B494="","",IF(AO$3=0,"n.b.",INDEX(SRC_Woningetalage!$A$1:$ZZ$501,$A494,AO$3)))</f>
        <v/>
      </c>
      <c r="AP494" s="124" t="str">
        <f>IF($B494="","",IF(AP$3=0,"n.b.",INDEX(SRC_Woningetalage!$A$1:$ZZ$501,$A494,AP$3)))</f>
        <v/>
      </c>
      <c r="AQ494" s="124" t="str">
        <f>IF($B494="","",IF(AQ$3=0,"n.b.",INDEX(SRC_Woningetalage!$A$1:$ZZ$501,$A494,AQ$3)))</f>
        <v/>
      </c>
      <c r="AR494" s="124" t="str">
        <f>IF($B494="","",IF(AR$3=0,"n.b.",INDEX(SRC_Woningetalage!$A$1:$ZZ$501,$A494,AR$3)))</f>
        <v/>
      </c>
      <c r="AS494" s="124" t="str">
        <f>IF($B494="","",IF(AS$3=0,"n.b.",INDEX(SRC_Woningetalage!$A$1:$ZZ$501,$A494,AS$3)))</f>
        <v/>
      </c>
      <c r="AT494" s="124" t="str">
        <f>IF($B494="","",IF(AT$3=0,"n.b.",INDEX(SRC_Woningetalage!$A$1:$ZZ$501,$A494,AT$3)))</f>
        <v/>
      </c>
      <c r="AU494" s="124" t="str">
        <f>IF($B494="","",IF(AU$3=0,"n.b.",INDEX(SRC_Woningetalage!$A$1:$ZZ$501,$A494,AU$3)))</f>
        <v/>
      </c>
      <c r="AV494" s="124" t="str">
        <f>IF($B494="","",IF(AV$3=0,"n.b.",INDEX(SRC_Woningetalage!$A$1:$ZZ$501,$A494,AV$3)))</f>
        <v/>
      </c>
      <c r="AW494" s="124" t="str">
        <f>IF($B494="","",IF(AW$3=0,"n.b.",INDEX(SRC_Woningetalage!$A$1:$ZZ$501,$A494,AW$3)))</f>
        <v/>
      </c>
      <c r="AX494" s="124" t="str">
        <f>IF($B494="","",IF(AX$3=0,"n.b.",INDEX(SRC_Woningetalage!$A$1:$ZZ$501,$A494,AX$3)))</f>
        <v/>
      </c>
      <c r="AY494" s="124" t="str">
        <f>IF($B494="","",IF(AY$3=0,"n.b.",INDEX(SRC_Woningetalage!$A$1:$ZZ$501,$A494,AY$3)))</f>
        <v/>
      </c>
      <c r="AZ494" s="124" t="str">
        <f>IF($B494="","",IF(AZ$3=0,"n.b.",INDEX(SRC_Woningetalage!$A$1:$ZZ$501,$A494,AZ$3)))</f>
        <v/>
      </c>
      <c r="BA494" s="124" t="str">
        <f>IF($B494="","",IF(BA$3=0,"n.b.",INDEX(SRC_Woningetalage!$A$1:$ZZ$501,$A494,BA$3)))</f>
        <v/>
      </c>
      <c r="BB494" s="124" t="str">
        <f>IF($B494="","",IF(BB$3=0,"n.b.",INDEX(SRC_Woningetalage!$A$1:$ZZ$501,$A494,BB$3)))</f>
        <v/>
      </c>
      <c r="BC494" s="124" t="str">
        <f>IF($B494="","",IFERROR(_xlfn.NUMBERVALUE(E494&amp;"",",","."),"n.b."))</f>
        <v/>
      </c>
      <c r="BD494" s="124" t="str">
        <f>IF($B494="","",IFERROR(_xlfn.NUMBERVALUE(M494&amp;"",",","."),"n.b."))</f>
        <v/>
      </c>
      <c r="BE494" s="124" t="str">
        <f>IF($B494="","",IFERROR(AB494+AC494+AD494,"n.b."))</f>
        <v/>
      </c>
      <c r="BF494" s="124" t="str">
        <f>IF($B494="","",IFERROR(AE494+AF494+AG494,"n.b."))</f>
        <v/>
      </c>
      <c r="BG494" s="124" t="str">
        <f>IF($B494="","",IFERROR(AH494+AI494+AJ494,"n.b."))</f>
        <v/>
      </c>
      <c r="BH494" s="124" t="str">
        <f>IF($B494="","",IFERROR(AK494+AL494+AM494,"n.b."))</f>
        <v/>
      </c>
      <c r="BI494" s="124" t="str">
        <f>IF($B494="","",IFERROR(SUMIF($AB$5:$AM$5,"&lt;="&amp;P_PeilMaand,AB494:AM494),"n.b."))</f>
        <v/>
      </c>
      <c r="BJ494" s="124" t="str">
        <f>IF($B494="","",IFERROR(SUM(AB494:AM494)-BI494,"n.b."))</f>
        <v/>
      </c>
      <c r="BK494" s="124" t="str">
        <f>IF($B494="","",IFERROR(IF(ABS(Q494-(T494+SUM(AB494:AM494)+AS494+AU494))&gt;P_Tol,1,0),1))</f>
        <v/>
      </c>
      <c r="BL494" s="124" t="str">
        <f>IF($B494="","",IFERROR(IF(ABS(AA494-(Q494-Z494))&gt;P_Tol,1,0),1))</f>
        <v/>
      </c>
      <c r="BM494" s="124" t="str">
        <f>IF($B494="","",IFERROR(IF(ABS(Z494-(T494+W494))&gt;P_Tol,1,0),1))</f>
        <v/>
      </c>
      <c r="BN494" s="124" t="str">
        <f>IF($B494="","",IFERROR(IF(ABS(W494-BI494)&gt;P_Tol,1,0),1))</f>
        <v/>
      </c>
      <c r="BO494" s="124" t="str">
        <f>IF($B494="","",IFERROR(IF(OR(ABS(R494+S494-T494)&gt;P_Tol,ABS(U494+V494-W494)&gt;P_Tol,ABS(X494+Y494-Z494)&gt;P_Tol),1,0),1))</f>
        <v/>
      </c>
      <c r="BP494" s="124" t="str">
        <f>IF($B494="","",IFERROR(IF(OR(ABS(AR494-SUM(AB494:AM494))&gt;P_Tol,ABS(AS494-(AN494+AO494+AP494+AQ494))&gt;P_Tol),1,0),1))</f>
        <v/>
      </c>
      <c r="BQ494" s="124" t="str">
        <f>IF($B494="","",IFERROR(IF(ABS(AT494)+ABS(AV494)+ABS(AW494)+ABS(AX494)+ABS(AY494)+ABS(AZ494)+ABS(BA494)+ABS(BB494)&gt;0,1,0),1))</f>
        <v/>
      </c>
      <c r="BR494" s="124" t="str">
        <f>IF($B494="","",COUNTIF(STG_ZPMW03!$B$6:$B$505,B494))</f>
        <v/>
      </c>
      <c r="BS494" s="124" t="str">
        <f>IF($B494="","",COUNTIF($B$6:$B$505,B494))</f>
        <v/>
      </c>
      <c r="BT494" s="124" t="str">
        <f>IF($B494="","",IF(BR494=0,0,IF(INDEX(STG_ZPMW03!$I$6:$I$505,MATCH(B494,STG_ZPMW03!$B$6:$B$505,0))=J494&amp;"",0,1)))</f>
        <v/>
      </c>
      <c r="BU494" s="124" t="str">
        <f>IF($B494="","",IFERROR(IF(ABS(INDEX(Mapping!$D$5:$D$104,MATCH(B494,Mapping!$A$5:$A$104,0))-Q494)&gt;P_Tol,1,0),0))</f>
        <v/>
      </c>
      <c r="BV494" s="124" t="str">
        <f>IF($B494="","",IFERROR(IF(AND(INDEX(Mapping!$G$5:$G$104,MATCH(B494,Mapping!$A$5:$A$104,0))="Nee",ABS(Q494)+ABS(Z494)+ABS(AR494)&gt;0),1,0),0))</f>
        <v/>
      </c>
      <c r="BW494" s="124" t="str">
        <f>IF($B494="","",IF(COUNTIF(Mapping!$A$5:$A$104,B494)&gt;0,1,0))</f>
        <v/>
      </c>
      <c r="BX494" s="124" t="str">
        <f>IF($B494="","",IF(BR494=0,COUNTIF($BR$6:BR494,0),""))</f>
        <v/>
      </c>
    </row>
    <row r="495">
      <c r="A495" s="15" t="n">
        <v>491</v>
      </c>
      <c r="B495" t="str">
        <f>IF(B$3=0,"",IF(INDEX(SRC_Woningetalage!$A$1:$ZZ$501,$A495,B$3)&amp;""="","",INDEX(SRC_Woningetalage!$A$1:$ZZ$501,$A495,B$3)&amp;""))</f>
        <v/>
      </c>
      <c r="C495" t="str">
        <f>IF($B495="","",IF(C$3=0,"n.b.",INDEX(SRC_Woningetalage!$A$1:$ZZ$501,$A495,C$3)))</f>
        <v/>
      </c>
      <c r="D495" t="str">
        <f>IF($B495="","",IF(D$3=0,"n.b.",INDEX(SRC_Woningetalage!$A$1:$ZZ$501,$A495,D$3)))</f>
        <v/>
      </c>
      <c r="E495" t="str">
        <f>IF($B495="","",IF(E$3=0,"n.b.",INDEX(SRC_Woningetalage!$A$1:$ZZ$501,$A495,E$3)))</f>
        <v/>
      </c>
      <c r="F495" t="str">
        <f>IF($B495="","",IF(F$3=0,"n.b.",INDEX(SRC_Woningetalage!$A$1:$ZZ$501,$A495,F$3)))</f>
        <v/>
      </c>
      <c r="G495" t="str">
        <f>IF($B495="","",IF(G$3=0,"n.b.",INDEX(SRC_Woningetalage!$A$1:$ZZ$501,$A495,G$3)))</f>
        <v/>
      </c>
      <c r="H495" t="str">
        <f>IF($B495="","",IF(H$3=0,"n.b.",INDEX(SRC_Woningetalage!$A$1:$ZZ$501,$A495,H$3)))</f>
        <v/>
      </c>
      <c r="I495" t="str">
        <f>IF($B495="","",IF(I$3=0,"n.b.",INDEX(SRC_Woningetalage!$A$1:$ZZ$501,$A495,I$3)))</f>
        <v/>
      </c>
      <c r="J495" t="str">
        <f>IF($B495="","",IF(J$3=0,"n.b.",INDEX(SRC_Woningetalage!$A$1:$ZZ$501,$A495,J$3)))</f>
        <v/>
      </c>
      <c r="K495" t="str">
        <f>IF($B495="","",IF(K$3=0,"n.b.",INDEX(SRC_Woningetalage!$A$1:$ZZ$501,$A495,K$3)))</f>
        <v/>
      </c>
      <c r="L495" t="str">
        <f>IF($B495="","",IF(L$3=0,"n.b.",INDEX(SRC_Woningetalage!$A$1:$ZZ$501,$A495,L$3)))</f>
        <v/>
      </c>
      <c r="M495" t="str">
        <f>IF($B495="","",IF(M$3=0,"n.b.",INDEX(SRC_Woningetalage!$A$1:$ZZ$501,$A495,M$3)))</f>
        <v/>
      </c>
      <c r="N495" t="str">
        <f>IF($B495="","",IF(N$3=0,"n.b.",INDEX(SRC_Woningetalage!$A$1:$ZZ$501,$A495,N$3)))</f>
        <v/>
      </c>
      <c r="O495" t="str">
        <f>IF($B495="","",IF(O$3=0,"n.b.",INDEX(SRC_Woningetalage!$A$1:$ZZ$501,$A495,O$3)))</f>
        <v/>
      </c>
      <c r="P495" t="str">
        <f>IF($B495="","",IF(P$3=0,"n.b.",INDEX(SRC_Woningetalage!$A$1:$ZZ$501,$A495,P$3)))</f>
        <v/>
      </c>
      <c r="Q495" s="124" t="str">
        <f>IF($B495="","",IF(Q$3=0,"n.b.",INDEX(SRC_Woningetalage!$A$1:$ZZ$501,$A495,Q$3)))</f>
        <v/>
      </c>
      <c r="R495" s="124" t="str">
        <f>IF($B495="","",IF(R$3=0,"n.b.",INDEX(SRC_Woningetalage!$A$1:$ZZ$501,$A495,R$3)))</f>
        <v/>
      </c>
      <c r="S495" s="124" t="str">
        <f>IF($B495="","",IF(S$3=0,"n.b.",INDEX(SRC_Woningetalage!$A$1:$ZZ$501,$A495,S$3)))</f>
        <v/>
      </c>
      <c r="T495" s="124" t="str">
        <f>IF($B495="","",IF(T$3=0,"n.b.",INDEX(SRC_Woningetalage!$A$1:$ZZ$501,$A495,T$3)))</f>
        <v/>
      </c>
      <c r="U495" s="124" t="str">
        <f>IF($B495="","",IF(U$3=0,"n.b.",INDEX(SRC_Woningetalage!$A$1:$ZZ$501,$A495,U$3)))</f>
        <v/>
      </c>
      <c r="V495" s="124" t="str">
        <f>IF($B495="","",IF(V$3=0,"n.b.",INDEX(SRC_Woningetalage!$A$1:$ZZ$501,$A495,V$3)))</f>
        <v/>
      </c>
      <c r="W495" s="124" t="str">
        <f>IF($B495="","",IF(W$3=0,"n.b.",INDEX(SRC_Woningetalage!$A$1:$ZZ$501,$A495,W$3)))</f>
        <v/>
      </c>
      <c r="X495" s="124" t="str">
        <f>IF($B495="","",IF(X$3=0,"n.b.",INDEX(SRC_Woningetalage!$A$1:$ZZ$501,$A495,X$3)))</f>
        <v/>
      </c>
      <c r="Y495" s="124" t="str">
        <f>IF($B495="","",IF(Y$3=0,"n.b.",INDEX(SRC_Woningetalage!$A$1:$ZZ$501,$A495,Y$3)))</f>
        <v/>
      </c>
      <c r="Z495" s="124" t="str">
        <f>IF($B495="","",IF(Z$3=0,"n.b.",INDEX(SRC_Woningetalage!$A$1:$ZZ$501,$A495,Z$3)))</f>
        <v/>
      </c>
      <c r="AA495" s="124" t="str">
        <f>IF($B495="","",IF(AA$3=0,"n.b.",INDEX(SRC_Woningetalage!$A$1:$ZZ$501,$A495,AA$3)))</f>
        <v/>
      </c>
      <c r="AB495" s="124" t="str">
        <f>IF($B495="","",IF(AB$3=0,"n.b.",INDEX(SRC_Woningetalage!$A$1:$ZZ$501,$A495,AB$3)))</f>
        <v/>
      </c>
      <c r="AC495" s="124" t="str">
        <f>IF($B495="","",IF(AC$3=0,"n.b.",INDEX(SRC_Woningetalage!$A$1:$ZZ$501,$A495,AC$3)))</f>
        <v/>
      </c>
      <c r="AD495" s="124" t="str">
        <f>IF($B495="","",IF(AD$3=0,"n.b.",INDEX(SRC_Woningetalage!$A$1:$ZZ$501,$A495,AD$3)))</f>
        <v/>
      </c>
      <c r="AE495" s="124" t="str">
        <f>IF($B495="","",IF(AE$3=0,"n.b.",INDEX(SRC_Woningetalage!$A$1:$ZZ$501,$A495,AE$3)))</f>
        <v/>
      </c>
      <c r="AF495" s="124" t="str">
        <f>IF($B495="","",IF(AF$3=0,"n.b.",INDEX(SRC_Woningetalage!$A$1:$ZZ$501,$A495,AF$3)))</f>
        <v/>
      </c>
      <c r="AG495" s="124" t="str">
        <f>IF($B495="","",IF(AG$3=0,"n.b.",INDEX(SRC_Woningetalage!$A$1:$ZZ$501,$A495,AG$3)))</f>
        <v/>
      </c>
      <c r="AH495" s="124" t="str">
        <f>IF($B495="","",IF(AH$3=0,"n.b.",INDEX(SRC_Woningetalage!$A$1:$ZZ$501,$A495,AH$3)))</f>
        <v/>
      </c>
      <c r="AI495" s="124" t="str">
        <f>IF($B495="","",IF(AI$3=0,"n.b.",INDEX(SRC_Woningetalage!$A$1:$ZZ$501,$A495,AI$3)))</f>
        <v/>
      </c>
      <c r="AJ495" s="124" t="str">
        <f>IF($B495="","",IF(AJ$3=0,"n.b.",INDEX(SRC_Woningetalage!$A$1:$ZZ$501,$A495,AJ$3)))</f>
        <v/>
      </c>
      <c r="AK495" s="124" t="str">
        <f>IF($B495="","",IF(AK$3=0,"n.b.",INDEX(SRC_Woningetalage!$A$1:$ZZ$501,$A495,AK$3)))</f>
        <v/>
      </c>
      <c r="AL495" s="124" t="str">
        <f>IF($B495="","",IF(AL$3=0,"n.b.",INDEX(SRC_Woningetalage!$A$1:$ZZ$501,$A495,AL$3)))</f>
        <v/>
      </c>
      <c r="AM495" s="124" t="str">
        <f>IF($B495="","",IF(AM$3=0,"n.b.",INDEX(SRC_Woningetalage!$A$1:$ZZ$501,$A495,AM$3)))</f>
        <v/>
      </c>
      <c r="AN495" s="124" t="str">
        <f>IF($B495="","",IF(AN$3=0,"n.b.",INDEX(SRC_Woningetalage!$A$1:$ZZ$501,$A495,AN$3)))</f>
        <v/>
      </c>
      <c r="AO495" s="124" t="str">
        <f>IF($B495="","",IF(AO$3=0,"n.b.",INDEX(SRC_Woningetalage!$A$1:$ZZ$501,$A495,AO$3)))</f>
        <v/>
      </c>
      <c r="AP495" s="124" t="str">
        <f>IF($B495="","",IF(AP$3=0,"n.b.",INDEX(SRC_Woningetalage!$A$1:$ZZ$501,$A495,AP$3)))</f>
        <v/>
      </c>
      <c r="AQ495" s="124" t="str">
        <f>IF($B495="","",IF(AQ$3=0,"n.b.",INDEX(SRC_Woningetalage!$A$1:$ZZ$501,$A495,AQ$3)))</f>
        <v/>
      </c>
      <c r="AR495" s="124" t="str">
        <f>IF($B495="","",IF(AR$3=0,"n.b.",INDEX(SRC_Woningetalage!$A$1:$ZZ$501,$A495,AR$3)))</f>
        <v/>
      </c>
      <c r="AS495" s="124" t="str">
        <f>IF($B495="","",IF(AS$3=0,"n.b.",INDEX(SRC_Woningetalage!$A$1:$ZZ$501,$A495,AS$3)))</f>
        <v/>
      </c>
      <c r="AT495" s="124" t="str">
        <f>IF($B495="","",IF(AT$3=0,"n.b.",INDEX(SRC_Woningetalage!$A$1:$ZZ$501,$A495,AT$3)))</f>
        <v/>
      </c>
      <c r="AU495" s="124" t="str">
        <f>IF($B495="","",IF(AU$3=0,"n.b.",INDEX(SRC_Woningetalage!$A$1:$ZZ$501,$A495,AU$3)))</f>
        <v/>
      </c>
      <c r="AV495" s="124" t="str">
        <f>IF($B495="","",IF(AV$3=0,"n.b.",INDEX(SRC_Woningetalage!$A$1:$ZZ$501,$A495,AV$3)))</f>
        <v/>
      </c>
      <c r="AW495" s="124" t="str">
        <f>IF($B495="","",IF(AW$3=0,"n.b.",INDEX(SRC_Woningetalage!$A$1:$ZZ$501,$A495,AW$3)))</f>
        <v/>
      </c>
      <c r="AX495" s="124" t="str">
        <f>IF($B495="","",IF(AX$3=0,"n.b.",INDEX(SRC_Woningetalage!$A$1:$ZZ$501,$A495,AX$3)))</f>
        <v/>
      </c>
      <c r="AY495" s="124" t="str">
        <f>IF($B495="","",IF(AY$3=0,"n.b.",INDEX(SRC_Woningetalage!$A$1:$ZZ$501,$A495,AY$3)))</f>
        <v/>
      </c>
      <c r="AZ495" s="124" t="str">
        <f>IF($B495="","",IF(AZ$3=0,"n.b.",INDEX(SRC_Woningetalage!$A$1:$ZZ$501,$A495,AZ$3)))</f>
        <v/>
      </c>
      <c r="BA495" s="124" t="str">
        <f>IF($B495="","",IF(BA$3=0,"n.b.",INDEX(SRC_Woningetalage!$A$1:$ZZ$501,$A495,BA$3)))</f>
        <v/>
      </c>
      <c r="BB495" s="124" t="str">
        <f>IF($B495="","",IF(BB$3=0,"n.b.",INDEX(SRC_Woningetalage!$A$1:$ZZ$501,$A495,BB$3)))</f>
        <v/>
      </c>
      <c r="BC495" s="124" t="str">
        <f>IF($B495="","",IFERROR(_xlfn.NUMBERVALUE(E495&amp;"",",","."),"n.b."))</f>
        <v/>
      </c>
      <c r="BD495" s="124" t="str">
        <f>IF($B495="","",IFERROR(_xlfn.NUMBERVALUE(M495&amp;"",",","."),"n.b."))</f>
        <v/>
      </c>
      <c r="BE495" s="124" t="str">
        <f>IF($B495="","",IFERROR(AB495+AC495+AD495,"n.b."))</f>
        <v/>
      </c>
      <c r="BF495" s="124" t="str">
        <f>IF($B495="","",IFERROR(AE495+AF495+AG495,"n.b."))</f>
        <v/>
      </c>
      <c r="BG495" s="124" t="str">
        <f>IF($B495="","",IFERROR(AH495+AI495+AJ495,"n.b."))</f>
        <v/>
      </c>
      <c r="BH495" s="124" t="str">
        <f>IF($B495="","",IFERROR(AK495+AL495+AM495,"n.b."))</f>
        <v/>
      </c>
      <c r="BI495" s="124" t="str">
        <f>IF($B495="","",IFERROR(SUMIF($AB$5:$AM$5,"&lt;="&amp;P_PeilMaand,AB495:AM495),"n.b."))</f>
        <v/>
      </c>
      <c r="BJ495" s="124" t="str">
        <f>IF($B495="","",IFERROR(SUM(AB495:AM495)-BI495,"n.b."))</f>
        <v/>
      </c>
      <c r="BK495" s="124" t="str">
        <f>IF($B495="","",IFERROR(IF(ABS(Q495-(T495+SUM(AB495:AM495)+AS495+AU495))&gt;P_Tol,1,0),1))</f>
        <v/>
      </c>
      <c r="BL495" s="124" t="str">
        <f>IF($B495="","",IFERROR(IF(ABS(AA495-(Q495-Z495))&gt;P_Tol,1,0),1))</f>
        <v/>
      </c>
      <c r="BM495" s="124" t="str">
        <f>IF($B495="","",IFERROR(IF(ABS(Z495-(T495+W495))&gt;P_Tol,1,0),1))</f>
        <v/>
      </c>
      <c r="BN495" s="124" t="str">
        <f>IF($B495="","",IFERROR(IF(ABS(W495-BI495)&gt;P_Tol,1,0),1))</f>
        <v/>
      </c>
      <c r="BO495" s="124" t="str">
        <f>IF($B495="","",IFERROR(IF(OR(ABS(R495+S495-T495)&gt;P_Tol,ABS(U495+V495-W495)&gt;P_Tol,ABS(X495+Y495-Z495)&gt;P_Tol),1,0),1))</f>
        <v/>
      </c>
      <c r="BP495" s="124" t="str">
        <f>IF($B495="","",IFERROR(IF(OR(ABS(AR495-SUM(AB495:AM495))&gt;P_Tol,ABS(AS495-(AN495+AO495+AP495+AQ495))&gt;P_Tol),1,0),1))</f>
        <v/>
      </c>
      <c r="BQ495" s="124" t="str">
        <f>IF($B495="","",IFERROR(IF(ABS(AT495)+ABS(AV495)+ABS(AW495)+ABS(AX495)+ABS(AY495)+ABS(AZ495)+ABS(BA495)+ABS(BB495)&gt;0,1,0),1))</f>
        <v/>
      </c>
      <c r="BR495" s="124" t="str">
        <f>IF($B495="","",COUNTIF(STG_ZPMW03!$B$6:$B$505,B495))</f>
        <v/>
      </c>
      <c r="BS495" s="124" t="str">
        <f>IF($B495="","",COUNTIF($B$6:$B$505,B495))</f>
        <v/>
      </c>
      <c r="BT495" s="124" t="str">
        <f>IF($B495="","",IF(BR495=0,0,IF(INDEX(STG_ZPMW03!$I$6:$I$505,MATCH(B495,STG_ZPMW03!$B$6:$B$505,0))=J495&amp;"",0,1)))</f>
        <v/>
      </c>
      <c r="BU495" s="124" t="str">
        <f>IF($B495="","",IFERROR(IF(ABS(INDEX(Mapping!$D$5:$D$104,MATCH(B495,Mapping!$A$5:$A$104,0))-Q495)&gt;P_Tol,1,0),0))</f>
        <v/>
      </c>
      <c r="BV495" s="124" t="str">
        <f>IF($B495="","",IFERROR(IF(AND(INDEX(Mapping!$G$5:$G$104,MATCH(B495,Mapping!$A$5:$A$104,0))="Nee",ABS(Q495)+ABS(Z495)+ABS(AR495)&gt;0),1,0),0))</f>
        <v/>
      </c>
      <c r="BW495" s="124" t="str">
        <f>IF($B495="","",IF(COUNTIF(Mapping!$A$5:$A$104,B495)&gt;0,1,0))</f>
        <v/>
      </c>
      <c r="BX495" s="124" t="str">
        <f>IF($B495="","",IF(BR495=0,COUNTIF($BR$6:BR495,0),""))</f>
        <v/>
      </c>
    </row>
    <row r="496">
      <c r="A496" s="15" t="n">
        <v>492</v>
      </c>
      <c r="B496" t="str">
        <f>IF(B$3=0,"",IF(INDEX(SRC_Woningetalage!$A$1:$ZZ$501,$A496,B$3)&amp;""="","",INDEX(SRC_Woningetalage!$A$1:$ZZ$501,$A496,B$3)&amp;""))</f>
        <v/>
      </c>
      <c r="C496" t="str">
        <f>IF($B496="","",IF(C$3=0,"n.b.",INDEX(SRC_Woningetalage!$A$1:$ZZ$501,$A496,C$3)))</f>
        <v/>
      </c>
      <c r="D496" t="str">
        <f>IF($B496="","",IF(D$3=0,"n.b.",INDEX(SRC_Woningetalage!$A$1:$ZZ$501,$A496,D$3)))</f>
        <v/>
      </c>
      <c r="E496" t="str">
        <f>IF($B496="","",IF(E$3=0,"n.b.",INDEX(SRC_Woningetalage!$A$1:$ZZ$501,$A496,E$3)))</f>
        <v/>
      </c>
      <c r="F496" t="str">
        <f>IF($B496="","",IF(F$3=0,"n.b.",INDEX(SRC_Woningetalage!$A$1:$ZZ$501,$A496,F$3)))</f>
        <v/>
      </c>
      <c r="G496" t="str">
        <f>IF($B496="","",IF(G$3=0,"n.b.",INDEX(SRC_Woningetalage!$A$1:$ZZ$501,$A496,G$3)))</f>
        <v/>
      </c>
      <c r="H496" t="str">
        <f>IF($B496="","",IF(H$3=0,"n.b.",INDEX(SRC_Woningetalage!$A$1:$ZZ$501,$A496,H$3)))</f>
        <v/>
      </c>
      <c r="I496" t="str">
        <f>IF($B496="","",IF(I$3=0,"n.b.",INDEX(SRC_Woningetalage!$A$1:$ZZ$501,$A496,I$3)))</f>
        <v/>
      </c>
      <c r="J496" t="str">
        <f>IF($B496="","",IF(J$3=0,"n.b.",INDEX(SRC_Woningetalage!$A$1:$ZZ$501,$A496,J$3)))</f>
        <v/>
      </c>
      <c r="K496" t="str">
        <f>IF($B496="","",IF(K$3=0,"n.b.",INDEX(SRC_Woningetalage!$A$1:$ZZ$501,$A496,K$3)))</f>
        <v/>
      </c>
      <c r="L496" t="str">
        <f>IF($B496="","",IF(L$3=0,"n.b.",INDEX(SRC_Woningetalage!$A$1:$ZZ$501,$A496,L$3)))</f>
        <v/>
      </c>
      <c r="M496" t="str">
        <f>IF($B496="","",IF(M$3=0,"n.b.",INDEX(SRC_Woningetalage!$A$1:$ZZ$501,$A496,M$3)))</f>
        <v/>
      </c>
      <c r="N496" t="str">
        <f>IF($B496="","",IF(N$3=0,"n.b.",INDEX(SRC_Woningetalage!$A$1:$ZZ$501,$A496,N$3)))</f>
        <v/>
      </c>
      <c r="O496" t="str">
        <f>IF($B496="","",IF(O$3=0,"n.b.",INDEX(SRC_Woningetalage!$A$1:$ZZ$501,$A496,O$3)))</f>
        <v/>
      </c>
      <c r="P496" t="str">
        <f>IF($B496="","",IF(P$3=0,"n.b.",INDEX(SRC_Woningetalage!$A$1:$ZZ$501,$A496,P$3)))</f>
        <v/>
      </c>
      <c r="Q496" s="124" t="str">
        <f>IF($B496="","",IF(Q$3=0,"n.b.",INDEX(SRC_Woningetalage!$A$1:$ZZ$501,$A496,Q$3)))</f>
        <v/>
      </c>
      <c r="R496" s="124" t="str">
        <f>IF($B496="","",IF(R$3=0,"n.b.",INDEX(SRC_Woningetalage!$A$1:$ZZ$501,$A496,R$3)))</f>
        <v/>
      </c>
      <c r="S496" s="124" t="str">
        <f>IF($B496="","",IF(S$3=0,"n.b.",INDEX(SRC_Woningetalage!$A$1:$ZZ$501,$A496,S$3)))</f>
        <v/>
      </c>
      <c r="T496" s="124" t="str">
        <f>IF($B496="","",IF(T$3=0,"n.b.",INDEX(SRC_Woningetalage!$A$1:$ZZ$501,$A496,T$3)))</f>
        <v/>
      </c>
      <c r="U496" s="124" t="str">
        <f>IF($B496="","",IF(U$3=0,"n.b.",INDEX(SRC_Woningetalage!$A$1:$ZZ$501,$A496,U$3)))</f>
        <v/>
      </c>
      <c r="V496" s="124" t="str">
        <f>IF($B496="","",IF(V$3=0,"n.b.",INDEX(SRC_Woningetalage!$A$1:$ZZ$501,$A496,V$3)))</f>
        <v/>
      </c>
      <c r="W496" s="124" t="str">
        <f>IF($B496="","",IF(W$3=0,"n.b.",INDEX(SRC_Woningetalage!$A$1:$ZZ$501,$A496,W$3)))</f>
        <v/>
      </c>
      <c r="X496" s="124" t="str">
        <f>IF($B496="","",IF(X$3=0,"n.b.",INDEX(SRC_Woningetalage!$A$1:$ZZ$501,$A496,X$3)))</f>
        <v/>
      </c>
      <c r="Y496" s="124" t="str">
        <f>IF($B496="","",IF(Y$3=0,"n.b.",INDEX(SRC_Woningetalage!$A$1:$ZZ$501,$A496,Y$3)))</f>
        <v/>
      </c>
      <c r="Z496" s="124" t="str">
        <f>IF($B496="","",IF(Z$3=0,"n.b.",INDEX(SRC_Woningetalage!$A$1:$ZZ$501,$A496,Z$3)))</f>
        <v/>
      </c>
      <c r="AA496" s="124" t="str">
        <f>IF($B496="","",IF(AA$3=0,"n.b.",INDEX(SRC_Woningetalage!$A$1:$ZZ$501,$A496,AA$3)))</f>
        <v/>
      </c>
      <c r="AB496" s="124" t="str">
        <f>IF($B496="","",IF(AB$3=0,"n.b.",INDEX(SRC_Woningetalage!$A$1:$ZZ$501,$A496,AB$3)))</f>
        <v/>
      </c>
      <c r="AC496" s="124" t="str">
        <f>IF($B496="","",IF(AC$3=0,"n.b.",INDEX(SRC_Woningetalage!$A$1:$ZZ$501,$A496,AC$3)))</f>
        <v/>
      </c>
      <c r="AD496" s="124" t="str">
        <f>IF($B496="","",IF(AD$3=0,"n.b.",INDEX(SRC_Woningetalage!$A$1:$ZZ$501,$A496,AD$3)))</f>
        <v/>
      </c>
      <c r="AE496" s="124" t="str">
        <f>IF($B496="","",IF(AE$3=0,"n.b.",INDEX(SRC_Woningetalage!$A$1:$ZZ$501,$A496,AE$3)))</f>
        <v/>
      </c>
      <c r="AF496" s="124" t="str">
        <f>IF($B496="","",IF(AF$3=0,"n.b.",INDEX(SRC_Woningetalage!$A$1:$ZZ$501,$A496,AF$3)))</f>
        <v/>
      </c>
      <c r="AG496" s="124" t="str">
        <f>IF($B496="","",IF(AG$3=0,"n.b.",INDEX(SRC_Woningetalage!$A$1:$ZZ$501,$A496,AG$3)))</f>
        <v/>
      </c>
      <c r="AH496" s="124" t="str">
        <f>IF($B496="","",IF(AH$3=0,"n.b.",INDEX(SRC_Woningetalage!$A$1:$ZZ$501,$A496,AH$3)))</f>
        <v/>
      </c>
      <c r="AI496" s="124" t="str">
        <f>IF($B496="","",IF(AI$3=0,"n.b.",INDEX(SRC_Woningetalage!$A$1:$ZZ$501,$A496,AI$3)))</f>
        <v/>
      </c>
      <c r="AJ496" s="124" t="str">
        <f>IF($B496="","",IF(AJ$3=0,"n.b.",INDEX(SRC_Woningetalage!$A$1:$ZZ$501,$A496,AJ$3)))</f>
        <v/>
      </c>
      <c r="AK496" s="124" t="str">
        <f>IF($B496="","",IF(AK$3=0,"n.b.",INDEX(SRC_Woningetalage!$A$1:$ZZ$501,$A496,AK$3)))</f>
        <v/>
      </c>
      <c r="AL496" s="124" t="str">
        <f>IF($B496="","",IF(AL$3=0,"n.b.",INDEX(SRC_Woningetalage!$A$1:$ZZ$501,$A496,AL$3)))</f>
        <v/>
      </c>
      <c r="AM496" s="124" t="str">
        <f>IF($B496="","",IF(AM$3=0,"n.b.",INDEX(SRC_Woningetalage!$A$1:$ZZ$501,$A496,AM$3)))</f>
        <v/>
      </c>
      <c r="AN496" s="124" t="str">
        <f>IF($B496="","",IF(AN$3=0,"n.b.",INDEX(SRC_Woningetalage!$A$1:$ZZ$501,$A496,AN$3)))</f>
        <v/>
      </c>
      <c r="AO496" s="124" t="str">
        <f>IF($B496="","",IF(AO$3=0,"n.b.",INDEX(SRC_Woningetalage!$A$1:$ZZ$501,$A496,AO$3)))</f>
        <v/>
      </c>
      <c r="AP496" s="124" t="str">
        <f>IF($B496="","",IF(AP$3=0,"n.b.",INDEX(SRC_Woningetalage!$A$1:$ZZ$501,$A496,AP$3)))</f>
        <v/>
      </c>
      <c r="AQ496" s="124" t="str">
        <f>IF($B496="","",IF(AQ$3=0,"n.b.",INDEX(SRC_Woningetalage!$A$1:$ZZ$501,$A496,AQ$3)))</f>
        <v/>
      </c>
      <c r="AR496" s="124" t="str">
        <f>IF($B496="","",IF(AR$3=0,"n.b.",INDEX(SRC_Woningetalage!$A$1:$ZZ$501,$A496,AR$3)))</f>
        <v/>
      </c>
      <c r="AS496" s="124" t="str">
        <f>IF($B496="","",IF(AS$3=0,"n.b.",INDEX(SRC_Woningetalage!$A$1:$ZZ$501,$A496,AS$3)))</f>
        <v/>
      </c>
      <c r="AT496" s="124" t="str">
        <f>IF($B496="","",IF(AT$3=0,"n.b.",INDEX(SRC_Woningetalage!$A$1:$ZZ$501,$A496,AT$3)))</f>
        <v/>
      </c>
      <c r="AU496" s="124" t="str">
        <f>IF($B496="","",IF(AU$3=0,"n.b.",INDEX(SRC_Woningetalage!$A$1:$ZZ$501,$A496,AU$3)))</f>
        <v/>
      </c>
      <c r="AV496" s="124" t="str">
        <f>IF($B496="","",IF(AV$3=0,"n.b.",INDEX(SRC_Woningetalage!$A$1:$ZZ$501,$A496,AV$3)))</f>
        <v/>
      </c>
      <c r="AW496" s="124" t="str">
        <f>IF($B496="","",IF(AW$3=0,"n.b.",INDEX(SRC_Woningetalage!$A$1:$ZZ$501,$A496,AW$3)))</f>
        <v/>
      </c>
      <c r="AX496" s="124" t="str">
        <f>IF($B496="","",IF(AX$3=0,"n.b.",INDEX(SRC_Woningetalage!$A$1:$ZZ$501,$A496,AX$3)))</f>
        <v/>
      </c>
      <c r="AY496" s="124" t="str">
        <f>IF($B496="","",IF(AY$3=0,"n.b.",INDEX(SRC_Woningetalage!$A$1:$ZZ$501,$A496,AY$3)))</f>
        <v/>
      </c>
      <c r="AZ496" s="124" t="str">
        <f>IF($B496="","",IF(AZ$3=0,"n.b.",INDEX(SRC_Woningetalage!$A$1:$ZZ$501,$A496,AZ$3)))</f>
        <v/>
      </c>
      <c r="BA496" s="124" t="str">
        <f>IF($B496="","",IF(BA$3=0,"n.b.",INDEX(SRC_Woningetalage!$A$1:$ZZ$501,$A496,BA$3)))</f>
        <v/>
      </c>
      <c r="BB496" s="124" t="str">
        <f>IF($B496="","",IF(BB$3=0,"n.b.",INDEX(SRC_Woningetalage!$A$1:$ZZ$501,$A496,BB$3)))</f>
        <v/>
      </c>
      <c r="BC496" s="124" t="str">
        <f>IF($B496="","",IFERROR(_xlfn.NUMBERVALUE(E496&amp;"",",","."),"n.b."))</f>
        <v/>
      </c>
      <c r="BD496" s="124" t="str">
        <f>IF($B496="","",IFERROR(_xlfn.NUMBERVALUE(M496&amp;"",",","."),"n.b."))</f>
        <v/>
      </c>
      <c r="BE496" s="124" t="str">
        <f>IF($B496="","",IFERROR(AB496+AC496+AD496,"n.b."))</f>
        <v/>
      </c>
      <c r="BF496" s="124" t="str">
        <f>IF($B496="","",IFERROR(AE496+AF496+AG496,"n.b."))</f>
        <v/>
      </c>
      <c r="BG496" s="124" t="str">
        <f>IF($B496="","",IFERROR(AH496+AI496+AJ496,"n.b."))</f>
        <v/>
      </c>
      <c r="BH496" s="124" t="str">
        <f>IF($B496="","",IFERROR(AK496+AL496+AM496,"n.b."))</f>
        <v/>
      </c>
      <c r="BI496" s="124" t="str">
        <f>IF($B496="","",IFERROR(SUMIF($AB$5:$AM$5,"&lt;="&amp;P_PeilMaand,AB496:AM496),"n.b."))</f>
        <v/>
      </c>
      <c r="BJ496" s="124" t="str">
        <f>IF($B496="","",IFERROR(SUM(AB496:AM496)-BI496,"n.b."))</f>
        <v/>
      </c>
      <c r="BK496" s="124" t="str">
        <f>IF($B496="","",IFERROR(IF(ABS(Q496-(T496+SUM(AB496:AM496)+AS496+AU496))&gt;P_Tol,1,0),1))</f>
        <v/>
      </c>
      <c r="BL496" s="124" t="str">
        <f>IF($B496="","",IFERROR(IF(ABS(AA496-(Q496-Z496))&gt;P_Tol,1,0),1))</f>
        <v/>
      </c>
      <c r="BM496" s="124" t="str">
        <f>IF($B496="","",IFERROR(IF(ABS(Z496-(T496+W496))&gt;P_Tol,1,0),1))</f>
        <v/>
      </c>
      <c r="BN496" s="124" t="str">
        <f>IF($B496="","",IFERROR(IF(ABS(W496-BI496)&gt;P_Tol,1,0),1))</f>
        <v/>
      </c>
      <c r="BO496" s="124" t="str">
        <f>IF($B496="","",IFERROR(IF(OR(ABS(R496+S496-T496)&gt;P_Tol,ABS(U496+V496-W496)&gt;P_Tol,ABS(X496+Y496-Z496)&gt;P_Tol),1,0),1))</f>
        <v/>
      </c>
      <c r="BP496" s="124" t="str">
        <f>IF($B496="","",IFERROR(IF(OR(ABS(AR496-SUM(AB496:AM496))&gt;P_Tol,ABS(AS496-(AN496+AO496+AP496+AQ496))&gt;P_Tol),1,0),1))</f>
        <v/>
      </c>
      <c r="BQ496" s="124" t="str">
        <f>IF($B496="","",IFERROR(IF(ABS(AT496)+ABS(AV496)+ABS(AW496)+ABS(AX496)+ABS(AY496)+ABS(AZ496)+ABS(BA496)+ABS(BB496)&gt;0,1,0),1))</f>
        <v/>
      </c>
      <c r="BR496" s="124" t="str">
        <f>IF($B496="","",COUNTIF(STG_ZPMW03!$B$6:$B$505,B496))</f>
        <v/>
      </c>
      <c r="BS496" s="124" t="str">
        <f>IF($B496="","",COUNTIF($B$6:$B$505,B496))</f>
        <v/>
      </c>
      <c r="BT496" s="124" t="str">
        <f>IF($B496="","",IF(BR496=0,0,IF(INDEX(STG_ZPMW03!$I$6:$I$505,MATCH(B496,STG_ZPMW03!$B$6:$B$505,0))=J496&amp;"",0,1)))</f>
        <v/>
      </c>
      <c r="BU496" s="124" t="str">
        <f>IF($B496="","",IFERROR(IF(ABS(INDEX(Mapping!$D$5:$D$104,MATCH(B496,Mapping!$A$5:$A$104,0))-Q496)&gt;P_Tol,1,0),0))</f>
        <v/>
      </c>
      <c r="BV496" s="124" t="str">
        <f>IF($B496="","",IFERROR(IF(AND(INDEX(Mapping!$G$5:$G$104,MATCH(B496,Mapping!$A$5:$A$104,0))="Nee",ABS(Q496)+ABS(Z496)+ABS(AR496)&gt;0),1,0),0))</f>
        <v/>
      </c>
      <c r="BW496" s="124" t="str">
        <f>IF($B496="","",IF(COUNTIF(Mapping!$A$5:$A$104,B496)&gt;0,1,0))</f>
        <v/>
      </c>
      <c r="BX496" s="124" t="str">
        <f>IF($B496="","",IF(BR496=0,COUNTIF($BR$6:BR496,0),""))</f>
        <v/>
      </c>
    </row>
    <row r="497">
      <c r="A497" s="15" t="n">
        <v>493</v>
      </c>
      <c r="B497" t="str">
        <f>IF(B$3=0,"",IF(INDEX(SRC_Woningetalage!$A$1:$ZZ$501,$A497,B$3)&amp;""="","",INDEX(SRC_Woningetalage!$A$1:$ZZ$501,$A497,B$3)&amp;""))</f>
        <v/>
      </c>
      <c r="C497" t="str">
        <f>IF($B497="","",IF(C$3=0,"n.b.",INDEX(SRC_Woningetalage!$A$1:$ZZ$501,$A497,C$3)))</f>
        <v/>
      </c>
      <c r="D497" t="str">
        <f>IF($B497="","",IF(D$3=0,"n.b.",INDEX(SRC_Woningetalage!$A$1:$ZZ$501,$A497,D$3)))</f>
        <v/>
      </c>
      <c r="E497" t="str">
        <f>IF($B497="","",IF(E$3=0,"n.b.",INDEX(SRC_Woningetalage!$A$1:$ZZ$501,$A497,E$3)))</f>
        <v/>
      </c>
      <c r="F497" t="str">
        <f>IF($B497="","",IF(F$3=0,"n.b.",INDEX(SRC_Woningetalage!$A$1:$ZZ$501,$A497,F$3)))</f>
        <v/>
      </c>
      <c r="G497" t="str">
        <f>IF($B497="","",IF(G$3=0,"n.b.",INDEX(SRC_Woningetalage!$A$1:$ZZ$501,$A497,G$3)))</f>
        <v/>
      </c>
      <c r="H497" t="str">
        <f>IF($B497="","",IF(H$3=0,"n.b.",INDEX(SRC_Woningetalage!$A$1:$ZZ$501,$A497,H$3)))</f>
        <v/>
      </c>
      <c r="I497" t="str">
        <f>IF($B497="","",IF(I$3=0,"n.b.",INDEX(SRC_Woningetalage!$A$1:$ZZ$501,$A497,I$3)))</f>
        <v/>
      </c>
      <c r="J497" t="str">
        <f>IF($B497="","",IF(J$3=0,"n.b.",INDEX(SRC_Woningetalage!$A$1:$ZZ$501,$A497,J$3)))</f>
        <v/>
      </c>
      <c r="K497" t="str">
        <f>IF($B497="","",IF(K$3=0,"n.b.",INDEX(SRC_Woningetalage!$A$1:$ZZ$501,$A497,K$3)))</f>
        <v/>
      </c>
      <c r="L497" t="str">
        <f>IF($B497="","",IF(L$3=0,"n.b.",INDEX(SRC_Woningetalage!$A$1:$ZZ$501,$A497,L$3)))</f>
        <v/>
      </c>
      <c r="M497" t="str">
        <f>IF($B497="","",IF(M$3=0,"n.b.",INDEX(SRC_Woningetalage!$A$1:$ZZ$501,$A497,M$3)))</f>
        <v/>
      </c>
      <c r="N497" t="str">
        <f>IF($B497="","",IF(N$3=0,"n.b.",INDEX(SRC_Woningetalage!$A$1:$ZZ$501,$A497,N$3)))</f>
        <v/>
      </c>
      <c r="O497" t="str">
        <f>IF($B497="","",IF(O$3=0,"n.b.",INDEX(SRC_Woningetalage!$A$1:$ZZ$501,$A497,O$3)))</f>
        <v/>
      </c>
      <c r="P497" t="str">
        <f>IF($B497="","",IF(P$3=0,"n.b.",INDEX(SRC_Woningetalage!$A$1:$ZZ$501,$A497,P$3)))</f>
        <v/>
      </c>
      <c r="Q497" s="124" t="str">
        <f>IF($B497="","",IF(Q$3=0,"n.b.",INDEX(SRC_Woningetalage!$A$1:$ZZ$501,$A497,Q$3)))</f>
        <v/>
      </c>
      <c r="R497" s="124" t="str">
        <f>IF($B497="","",IF(R$3=0,"n.b.",INDEX(SRC_Woningetalage!$A$1:$ZZ$501,$A497,R$3)))</f>
        <v/>
      </c>
      <c r="S497" s="124" t="str">
        <f>IF($B497="","",IF(S$3=0,"n.b.",INDEX(SRC_Woningetalage!$A$1:$ZZ$501,$A497,S$3)))</f>
        <v/>
      </c>
      <c r="T497" s="124" t="str">
        <f>IF($B497="","",IF(T$3=0,"n.b.",INDEX(SRC_Woningetalage!$A$1:$ZZ$501,$A497,T$3)))</f>
        <v/>
      </c>
      <c r="U497" s="124" t="str">
        <f>IF($B497="","",IF(U$3=0,"n.b.",INDEX(SRC_Woningetalage!$A$1:$ZZ$501,$A497,U$3)))</f>
        <v/>
      </c>
      <c r="V497" s="124" t="str">
        <f>IF($B497="","",IF(V$3=0,"n.b.",INDEX(SRC_Woningetalage!$A$1:$ZZ$501,$A497,V$3)))</f>
        <v/>
      </c>
      <c r="W497" s="124" t="str">
        <f>IF($B497="","",IF(W$3=0,"n.b.",INDEX(SRC_Woningetalage!$A$1:$ZZ$501,$A497,W$3)))</f>
        <v/>
      </c>
      <c r="X497" s="124" t="str">
        <f>IF($B497="","",IF(X$3=0,"n.b.",INDEX(SRC_Woningetalage!$A$1:$ZZ$501,$A497,X$3)))</f>
        <v/>
      </c>
      <c r="Y497" s="124" t="str">
        <f>IF($B497="","",IF(Y$3=0,"n.b.",INDEX(SRC_Woningetalage!$A$1:$ZZ$501,$A497,Y$3)))</f>
        <v/>
      </c>
      <c r="Z497" s="124" t="str">
        <f>IF($B497="","",IF(Z$3=0,"n.b.",INDEX(SRC_Woningetalage!$A$1:$ZZ$501,$A497,Z$3)))</f>
        <v/>
      </c>
      <c r="AA497" s="124" t="str">
        <f>IF($B497="","",IF(AA$3=0,"n.b.",INDEX(SRC_Woningetalage!$A$1:$ZZ$501,$A497,AA$3)))</f>
        <v/>
      </c>
      <c r="AB497" s="124" t="str">
        <f>IF($B497="","",IF(AB$3=0,"n.b.",INDEX(SRC_Woningetalage!$A$1:$ZZ$501,$A497,AB$3)))</f>
        <v/>
      </c>
      <c r="AC497" s="124" t="str">
        <f>IF($B497="","",IF(AC$3=0,"n.b.",INDEX(SRC_Woningetalage!$A$1:$ZZ$501,$A497,AC$3)))</f>
        <v/>
      </c>
      <c r="AD497" s="124" t="str">
        <f>IF($B497="","",IF(AD$3=0,"n.b.",INDEX(SRC_Woningetalage!$A$1:$ZZ$501,$A497,AD$3)))</f>
        <v/>
      </c>
      <c r="AE497" s="124" t="str">
        <f>IF($B497="","",IF(AE$3=0,"n.b.",INDEX(SRC_Woningetalage!$A$1:$ZZ$501,$A497,AE$3)))</f>
        <v/>
      </c>
      <c r="AF497" s="124" t="str">
        <f>IF($B497="","",IF(AF$3=0,"n.b.",INDEX(SRC_Woningetalage!$A$1:$ZZ$501,$A497,AF$3)))</f>
        <v/>
      </c>
      <c r="AG497" s="124" t="str">
        <f>IF($B497="","",IF(AG$3=0,"n.b.",INDEX(SRC_Woningetalage!$A$1:$ZZ$501,$A497,AG$3)))</f>
        <v/>
      </c>
      <c r="AH497" s="124" t="str">
        <f>IF($B497="","",IF(AH$3=0,"n.b.",INDEX(SRC_Woningetalage!$A$1:$ZZ$501,$A497,AH$3)))</f>
        <v/>
      </c>
      <c r="AI497" s="124" t="str">
        <f>IF($B497="","",IF(AI$3=0,"n.b.",INDEX(SRC_Woningetalage!$A$1:$ZZ$501,$A497,AI$3)))</f>
        <v/>
      </c>
      <c r="AJ497" s="124" t="str">
        <f>IF($B497="","",IF(AJ$3=0,"n.b.",INDEX(SRC_Woningetalage!$A$1:$ZZ$501,$A497,AJ$3)))</f>
        <v/>
      </c>
      <c r="AK497" s="124" t="str">
        <f>IF($B497="","",IF(AK$3=0,"n.b.",INDEX(SRC_Woningetalage!$A$1:$ZZ$501,$A497,AK$3)))</f>
        <v/>
      </c>
      <c r="AL497" s="124" t="str">
        <f>IF($B497="","",IF(AL$3=0,"n.b.",INDEX(SRC_Woningetalage!$A$1:$ZZ$501,$A497,AL$3)))</f>
        <v/>
      </c>
      <c r="AM497" s="124" t="str">
        <f>IF($B497="","",IF(AM$3=0,"n.b.",INDEX(SRC_Woningetalage!$A$1:$ZZ$501,$A497,AM$3)))</f>
        <v/>
      </c>
      <c r="AN497" s="124" t="str">
        <f>IF($B497="","",IF(AN$3=0,"n.b.",INDEX(SRC_Woningetalage!$A$1:$ZZ$501,$A497,AN$3)))</f>
        <v/>
      </c>
      <c r="AO497" s="124" t="str">
        <f>IF($B497="","",IF(AO$3=0,"n.b.",INDEX(SRC_Woningetalage!$A$1:$ZZ$501,$A497,AO$3)))</f>
        <v/>
      </c>
      <c r="AP497" s="124" t="str">
        <f>IF($B497="","",IF(AP$3=0,"n.b.",INDEX(SRC_Woningetalage!$A$1:$ZZ$501,$A497,AP$3)))</f>
        <v/>
      </c>
      <c r="AQ497" s="124" t="str">
        <f>IF($B497="","",IF(AQ$3=0,"n.b.",INDEX(SRC_Woningetalage!$A$1:$ZZ$501,$A497,AQ$3)))</f>
        <v/>
      </c>
      <c r="AR497" s="124" t="str">
        <f>IF($B497="","",IF(AR$3=0,"n.b.",INDEX(SRC_Woningetalage!$A$1:$ZZ$501,$A497,AR$3)))</f>
        <v/>
      </c>
      <c r="AS497" s="124" t="str">
        <f>IF($B497="","",IF(AS$3=0,"n.b.",INDEX(SRC_Woningetalage!$A$1:$ZZ$501,$A497,AS$3)))</f>
        <v/>
      </c>
      <c r="AT497" s="124" t="str">
        <f>IF($B497="","",IF(AT$3=0,"n.b.",INDEX(SRC_Woningetalage!$A$1:$ZZ$501,$A497,AT$3)))</f>
        <v/>
      </c>
      <c r="AU497" s="124" t="str">
        <f>IF($B497="","",IF(AU$3=0,"n.b.",INDEX(SRC_Woningetalage!$A$1:$ZZ$501,$A497,AU$3)))</f>
        <v/>
      </c>
      <c r="AV497" s="124" t="str">
        <f>IF($B497="","",IF(AV$3=0,"n.b.",INDEX(SRC_Woningetalage!$A$1:$ZZ$501,$A497,AV$3)))</f>
        <v/>
      </c>
      <c r="AW497" s="124" t="str">
        <f>IF($B497="","",IF(AW$3=0,"n.b.",INDEX(SRC_Woningetalage!$A$1:$ZZ$501,$A497,AW$3)))</f>
        <v/>
      </c>
      <c r="AX497" s="124" t="str">
        <f>IF($B497="","",IF(AX$3=0,"n.b.",INDEX(SRC_Woningetalage!$A$1:$ZZ$501,$A497,AX$3)))</f>
        <v/>
      </c>
      <c r="AY497" s="124" t="str">
        <f>IF($B497="","",IF(AY$3=0,"n.b.",INDEX(SRC_Woningetalage!$A$1:$ZZ$501,$A497,AY$3)))</f>
        <v/>
      </c>
      <c r="AZ497" s="124" t="str">
        <f>IF($B497="","",IF(AZ$3=0,"n.b.",INDEX(SRC_Woningetalage!$A$1:$ZZ$501,$A497,AZ$3)))</f>
        <v/>
      </c>
      <c r="BA497" s="124" t="str">
        <f>IF($B497="","",IF(BA$3=0,"n.b.",INDEX(SRC_Woningetalage!$A$1:$ZZ$501,$A497,BA$3)))</f>
        <v/>
      </c>
      <c r="BB497" s="124" t="str">
        <f>IF($B497="","",IF(BB$3=0,"n.b.",INDEX(SRC_Woningetalage!$A$1:$ZZ$501,$A497,BB$3)))</f>
        <v/>
      </c>
      <c r="BC497" s="124" t="str">
        <f>IF($B497="","",IFERROR(_xlfn.NUMBERVALUE(E497&amp;"",",","."),"n.b."))</f>
        <v/>
      </c>
      <c r="BD497" s="124" t="str">
        <f>IF($B497="","",IFERROR(_xlfn.NUMBERVALUE(M497&amp;"",",","."),"n.b."))</f>
        <v/>
      </c>
      <c r="BE497" s="124" t="str">
        <f>IF($B497="","",IFERROR(AB497+AC497+AD497,"n.b."))</f>
        <v/>
      </c>
      <c r="BF497" s="124" t="str">
        <f>IF($B497="","",IFERROR(AE497+AF497+AG497,"n.b."))</f>
        <v/>
      </c>
      <c r="BG497" s="124" t="str">
        <f>IF($B497="","",IFERROR(AH497+AI497+AJ497,"n.b."))</f>
        <v/>
      </c>
      <c r="BH497" s="124" t="str">
        <f>IF($B497="","",IFERROR(AK497+AL497+AM497,"n.b."))</f>
        <v/>
      </c>
      <c r="BI497" s="124" t="str">
        <f>IF($B497="","",IFERROR(SUMIF($AB$5:$AM$5,"&lt;="&amp;P_PeilMaand,AB497:AM497),"n.b."))</f>
        <v/>
      </c>
      <c r="BJ497" s="124" t="str">
        <f>IF($B497="","",IFERROR(SUM(AB497:AM497)-BI497,"n.b."))</f>
        <v/>
      </c>
      <c r="BK497" s="124" t="str">
        <f>IF($B497="","",IFERROR(IF(ABS(Q497-(T497+SUM(AB497:AM497)+AS497+AU497))&gt;P_Tol,1,0),1))</f>
        <v/>
      </c>
      <c r="BL497" s="124" t="str">
        <f>IF($B497="","",IFERROR(IF(ABS(AA497-(Q497-Z497))&gt;P_Tol,1,0),1))</f>
        <v/>
      </c>
      <c r="BM497" s="124" t="str">
        <f>IF($B497="","",IFERROR(IF(ABS(Z497-(T497+W497))&gt;P_Tol,1,0),1))</f>
        <v/>
      </c>
      <c r="BN497" s="124" t="str">
        <f>IF($B497="","",IFERROR(IF(ABS(W497-BI497)&gt;P_Tol,1,0),1))</f>
        <v/>
      </c>
      <c r="BO497" s="124" t="str">
        <f>IF($B497="","",IFERROR(IF(OR(ABS(R497+S497-T497)&gt;P_Tol,ABS(U497+V497-W497)&gt;P_Tol,ABS(X497+Y497-Z497)&gt;P_Tol),1,0),1))</f>
        <v/>
      </c>
      <c r="BP497" s="124" t="str">
        <f>IF($B497="","",IFERROR(IF(OR(ABS(AR497-SUM(AB497:AM497))&gt;P_Tol,ABS(AS497-(AN497+AO497+AP497+AQ497))&gt;P_Tol),1,0),1))</f>
        <v/>
      </c>
      <c r="BQ497" s="124" t="str">
        <f>IF($B497="","",IFERROR(IF(ABS(AT497)+ABS(AV497)+ABS(AW497)+ABS(AX497)+ABS(AY497)+ABS(AZ497)+ABS(BA497)+ABS(BB497)&gt;0,1,0),1))</f>
        <v/>
      </c>
      <c r="BR497" s="124" t="str">
        <f>IF($B497="","",COUNTIF(STG_ZPMW03!$B$6:$B$505,B497))</f>
        <v/>
      </c>
      <c r="BS497" s="124" t="str">
        <f>IF($B497="","",COUNTIF($B$6:$B$505,B497))</f>
        <v/>
      </c>
      <c r="BT497" s="124" t="str">
        <f>IF($B497="","",IF(BR497=0,0,IF(INDEX(STG_ZPMW03!$I$6:$I$505,MATCH(B497,STG_ZPMW03!$B$6:$B$505,0))=J497&amp;"",0,1)))</f>
        <v/>
      </c>
      <c r="BU497" s="124" t="str">
        <f>IF($B497="","",IFERROR(IF(ABS(INDEX(Mapping!$D$5:$D$104,MATCH(B497,Mapping!$A$5:$A$104,0))-Q497)&gt;P_Tol,1,0),0))</f>
        <v/>
      </c>
      <c r="BV497" s="124" t="str">
        <f>IF($B497="","",IFERROR(IF(AND(INDEX(Mapping!$G$5:$G$104,MATCH(B497,Mapping!$A$5:$A$104,0))="Nee",ABS(Q497)+ABS(Z497)+ABS(AR497)&gt;0),1,0),0))</f>
        <v/>
      </c>
      <c r="BW497" s="124" t="str">
        <f>IF($B497="","",IF(COUNTIF(Mapping!$A$5:$A$104,B497)&gt;0,1,0))</f>
        <v/>
      </c>
      <c r="BX497" s="124" t="str">
        <f>IF($B497="","",IF(BR497=0,COUNTIF($BR$6:BR497,0),""))</f>
        <v/>
      </c>
    </row>
    <row r="498">
      <c r="A498" s="15" t="n">
        <v>494</v>
      </c>
      <c r="B498" t="str">
        <f>IF(B$3=0,"",IF(INDEX(SRC_Woningetalage!$A$1:$ZZ$501,$A498,B$3)&amp;""="","",INDEX(SRC_Woningetalage!$A$1:$ZZ$501,$A498,B$3)&amp;""))</f>
        <v/>
      </c>
      <c r="C498" t="str">
        <f>IF($B498="","",IF(C$3=0,"n.b.",INDEX(SRC_Woningetalage!$A$1:$ZZ$501,$A498,C$3)))</f>
        <v/>
      </c>
      <c r="D498" t="str">
        <f>IF($B498="","",IF(D$3=0,"n.b.",INDEX(SRC_Woningetalage!$A$1:$ZZ$501,$A498,D$3)))</f>
        <v/>
      </c>
      <c r="E498" t="str">
        <f>IF($B498="","",IF(E$3=0,"n.b.",INDEX(SRC_Woningetalage!$A$1:$ZZ$501,$A498,E$3)))</f>
        <v/>
      </c>
      <c r="F498" t="str">
        <f>IF($B498="","",IF(F$3=0,"n.b.",INDEX(SRC_Woningetalage!$A$1:$ZZ$501,$A498,F$3)))</f>
        <v/>
      </c>
      <c r="G498" t="str">
        <f>IF($B498="","",IF(G$3=0,"n.b.",INDEX(SRC_Woningetalage!$A$1:$ZZ$501,$A498,G$3)))</f>
        <v/>
      </c>
      <c r="H498" t="str">
        <f>IF($B498="","",IF(H$3=0,"n.b.",INDEX(SRC_Woningetalage!$A$1:$ZZ$501,$A498,H$3)))</f>
        <v/>
      </c>
      <c r="I498" t="str">
        <f>IF($B498="","",IF(I$3=0,"n.b.",INDEX(SRC_Woningetalage!$A$1:$ZZ$501,$A498,I$3)))</f>
        <v/>
      </c>
      <c r="J498" t="str">
        <f>IF($B498="","",IF(J$3=0,"n.b.",INDEX(SRC_Woningetalage!$A$1:$ZZ$501,$A498,J$3)))</f>
        <v/>
      </c>
      <c r="K498" t="str">
        <f>IF($B498="","",IF(K$3=0,"n.b.",INDEX(SRC_Woningetalage!$A$1:$ZZ$501,$A498,K$3)))</f>
        <v/>
      </c>
      <c r="L498" t="str">
        <f>IF($B498="","",IF(L$3=0,"n.b.",INDEX(SRC_Woningetalage!$A$1:$ZZ$501,$A498,L$3)))</f>
        <v/>
      </c>
      <c r="M498" t="str">
        <f>IF($B498="","",IF(M$3=0,"n.b.",INDEX(SRC_Woningetalage!$A$1:$ZZ$501,$A498,M$3)))</f>
        <v/>
      </c>
      <c r="N498" t="str">
        <f>IF($B498="","",IF(N$3=0,"n.b.",INDEX(SRC_Woningetalage!$A$1:$ZZ$501,$A498,N$3)))</f>
        <v/>
      </c>
      <c r="O498" t="str">
        <f>IF($B498="","",IF(O$3=0,"n.b.",INDEX(SRC_Woningetalage!$A$1:$ZZ$501,$A498,O$3)))</f>
        <v/>
      </c>
      <c r="P498" t="str">
        <f>IF($B498="","",IF(P$3=0,"n.b.",INDEX(SRC_Woningetalage!$A$1:$ZZ$501,$A498,P$3)))</f>
        <v/>
      </c>
      <c r="Q498" s="124" t="str">
        <f>IF($B498="","",IF(Q$3=0,"n.b.",INDEX(SRC_Woningetalage!$A$1:$ZZ$501,$A498,Q$3)))</f>
        <v/>
      </c>
      <c r="R498" s="124" t="str">
        <f>IF($B498="","",IF(R$3=0,"n.b.",INDEX(SRC_Woningetalage!$A$1:$ZZ$501,$A498,R$3)))</f>
        <v/>
      </c>
      <c r="S498" s="124" t="str">
        <f>IF($B498="","",IF(S$3=0,"n.b.",INDEX(SRC_Woningetalage!$A$1:$ZZ$501,$A498,S$3)))</f>
        <v/>
      </c>
      <c r="T498" s="124" t="str">
        <f>IF($B498="","",IF(T$3=0,"n.b.",INDEX(SRC_Woningetalage!$A$1:$ZZ$501,$A498,T$3)))</f>
        <v/>
      </c>
      <c r="U498" s="124" t="str">
        <f>IF($B498="","",IF(U$3=0,"n.b.",INDEX(SRC_Woningetalage!$A$1:$ZZ$501,$A498,U$3)))</f>
        <v/>
      </c>
      <c r="V498" s="124" t="str">
        <f>IF($B498="","",IF(V$3=0,"n.b.",INDEX(SRC_Woningetalage!$A$1:$ZZ$501,$A498,V$3)))</f>
        <v/>
      </c>
      <c r="W498" s="124" t="str">
        <f>IF($B498="","",IF(W$3=0,"n.b.",INDEX(SRC_Woningetalage!$A$1:$ZZ$501,$A498,W$3)))</f>
        <v/>
      </c>
      <c r="X498" s="124" t="str">
        <f>IF($B498="","",IF(X$3=0,"n.b.",INDEX(SRC_Woningetalage!$A$1:$ZZ$501,$A498,X$3)))</f>
        <v/>
      </c>
      <c r="Y498" s="124" t="str">
        <f>IF($B498="","",IF(Y$3=0,"n.b.",INDEX(SRC_Woningetalage!$A$1:$ZZ$501,$A498,Y$3)))</f>
        <v/>
      </c>
      <c r="Z498" s="124" t="str">
        <f>IF($B498="","",IF(Z$3=0,"n.b.",INDEX(SRC_Woningetalage!$A$1:$ZZ$501,$A498,Z$3)))</f>
        <v/>
      </c>
      <c r="AA498" s="124" t="str">
        <f>IF($B498="","",IF(AA$3=0,"n.b.",INDEX(SRC_Woningetalage!$A$1:$ZZ$501,$A498,AA$3)))</f>
        <v/>
      </c>
      <c r="AB498" s="124" t="str">
        <f>IF($B498="","",IF(AB$3=0,"n.b.",INDEX(SRC_Woningetalage!$A$1:$ZZ$501,$A498,AB$3)))</f>
        <v/>
      </c>
      <c r="AC498" s="124" t="str">
        <f>IF($B498="","",IF(AC$3=0,"n.b.",INDEX(SRC_Woningetalage!$A$1:$ZZ$501,$A498,AC$3)))</f>
        <v/>
      </c>
      <c r="AD498" s="124" t="str">
        <f>IF($B498="","",IF(AD$3=0,"n.b.",INDEX(SRC_Woningetalage!$A$1:$ZZ$501,$A498,AD$3)))</f>
        <v/>
      </c>
      <c r="AE498" s="124" t="str">
        <f>IF($B498="","",IF(AE$3=0,"n.b.",INDEX(SRC_Woningetalage!$A$1:$ZZ$501,$A498,AE$3)))</f>
        <v/>
      </c>
      <c r="AF498" s="124" t="str">
        <f>IF($B498="","",IF(AF$3=0,"n.b.",INDEX(SRC_Woningetalage!$A$1:$ZZ$501,$A498,AF$3)))</f>
        <v/>
      </c>
      <c r="AG498" s="124" t="str">
        <f>IF($B498="","",IF(AG$3=0,"n.b.",INDEX(SRC_Woningetalage!$A$1:$ZZ$501,$A498,AG$3)))</f>
        <v/>
      </c>
      <c r="AH498" s="124" t="str">
        <f>IF($B498="","",IF(AH$3=0,"n.b.",INDEX(SRC_Woningetalage!$A$1:$ZZ$501,$A498,AH$3)))</f>
        <v/>
      </c>
      <c r="AI498" s="124" t="str">
        <f>IF($B498="","",IF(AI$3=0,"n.b.",INDEX(SRC_Woningetalage!$A$1:$ZZ$501,$A498,AI$3)))</f>
        <v/>
      </c>
      <c r="AJ498" s="124" t="str">
        <f>IF($B498="","",IF(AJ$3=0,"n.b.",INDEX(SRC_Woningetalage!$A$1:$ZZ$501,$A498,AJ$3)))</f>
        <v/>
      </c>
      <c r="AK498" s="124" t="str">
        <f>IF($B498="","",IF(AK$3=0,"n.b.",INDEX(SRC_Woningetalage!$A$1:$ZZ$501,$A498,AK$3)))</f>
        <v/>
      </c>
      <c r="AL498" s="124" t="str">
        <f>IF($B498="","",IF(AL$3=0,"n.b.",INDEX(SRC_Woningetalage!$A$1:$ZZ$501,$A498,AL$3)))</f>
        <v/>
      </c>
      <c r="AM498" s="124" t="str">
        <f>IF($B498="","",IF(AM$3=0,"n.b.",INDEX(SRC_Woningetalage!$A$1:$ZZ$501,$A498,AM$3)))</f>
        <v/>
      </c>
      <c r="AN498" s="124" t="str">
        <f>IF($B498="","",IF(AN$3=0,"n.b.",INDEX(SRC_Woningetalage!$A$1:$ZZ$501,$A498,AN$3)))</f>
        <v/>
      </c>
      <c r="AO498" s="124" t="str">
        <f>IF($B498="","",IF(AO$3=0,"n.b.",INDEX(SRC_Woningetalage!$A$1:$ZZ$501,$A498,AO$3)))</f>
        <v/>
      </c>
      <c r="AP498" s="124" t="str">
        <f>IF($B498="","",IF(AP$3=0,"n.b.",INDEX(SRC_Woningetalage!$A$1:$ZZ$501,$A498,AP$3)))</f>
        <v/>
      </c>
      <c r="AQ498" s="124" t="str">
        <f>IF($B498="","",IF(AQ$3=0,"n.b.",INDEX(SRC_Woningetalage!$A$1:$ZZ$501,$A498,AQ$3)))</f>
        <v/>
      </c>
      <c r="AR498" s="124" t="str">
        <f>IF($B498="","",IF(AR$3=0,"n.b.",INDEX(SRC_Woningetalage!$A$1:$ZZ$501,$A498,AR$3)))</f>
        <v/>
      </c>
      <c r="AS498" s="124" t="str">
        <f>IF($B498="","",IF(AS$3=0,"n.b.",INDEX(SRC_Woningetalage!$A$1:$ZZ$501,$A498,AS$3)))</f>
        <v/>
      </c>
      <c r="AT498" s="124" t="str">
        <f>IF($B498="","",IF(AT$3=0,"n.b.",INDEX(SRC_Woningetalage!$A$1:$ZZ$501,$A498,AT$3)))</f>
        <v/>
      </c>
      <c r="AU498" s="124" t="str">
        <f>IF($B498="","",IF(AU$3=0,"n.b.",INDEX(SRC_Woningetalage!$A$1:$ZZ$501,$A498,AU$3)))</f>
        <v/>
      </c>
      <c r="AV498" s="124" t="str">
        <f>IF($B498="","",IF(AV$3=0,"n.b.",INDEX(SRC_Woningetalage!$A$1:$ZZ$501,$A498,AV$3)))</f>
        <v/>
      </c>
      <c r="AW498" s="124" t="str">
        <f>IF($B498="","",IF(AW$3=0,"n.b.",INDEX(SRC_Woningetalage!$A$1:$ZZ$501,$A498,AW$3)))</f>
        <v/>
      </c>
      <c r="AX498" s="124" t="str">
        <f>IF($B498="","",IF(AX$3=0,"n.b.",INDEX(SRC_Woningetalage!$A$1:$ZZ$501,$A498,AX$3)))</f>
        <v/>
      </c>
      <c r="AY498" s="124" t="str">
        <f>IF($B498="","",IF(AY$3=0,"n.b.",INDEX(SRC_Woningetalage!$A$1:$ZZ$501,$A498,AY$3)))</f>
        <v/>
      </c>
      <c r="AZ498" s="124" t="str">
        <f>IF($B498="","",IF(AZ$3=0,"n.b.",INDEX(SRC_Woningetalage!$A$1:$ZZ$501,$A498,AZ$3)))</f>
        <v/>
      </c>
      <c r="BA498" s="124" t="str">
        <f>IF($B498="","",IF(BA$3=0,"n.b.",INDEX(SRC_Woningetalage!$A$1:$ZZ$501,$A498,BA$3)))</f>
        <v/>
      </c>
      <c r="BB498" s="124" t="str">
        <f>IF($B498="","",IF(BB$3=0,"n.b.",INDEX(SRC_Woningetalage!$A$1:$ZZ$501,$A498,BB$3)))</f>
        <v/>
      </c>
      <c r="BC498" s="124" t="str">
        <f>IF($B498="","",IFERROR(_xlfn.NUMBERVALUE(E498&amp;"",",","."),"n.b."))</f>
        <v/>
      </c>
      <c r="BD498" s="124" t="str">
        <f>IF($B498="","",IFERROR(_xlfn.NUMBERVALUE(M498&amp;"",",","."),"n.b."))</f>
        <v/>
      </c>
      <c r="BE498" s="124" t="str">
        <f>IF($B498="","",IFERROR(AB498+AC498+AD498,"n.b."))</f>
        <v/>
      </c>
      <c r="BF498" s="124" t="str">
        <f>IF($B498="","",IFERROR(AE498+AF498+AG498,"n.b."))</f>
        <v/>
      </c>
      <c r="BG498" s="124" t="str">
        <f>IF($B498="","",IFERROR(AH498+AI498+AJ498,"n.b."))</f>
        <v/>
      </c>
      <c r="BH498" s="124" t="str">
        <f>IF($B498="","",IFERROR(AK498+AL498+AM498,"n.b."))</f>
        <v/>
      </c>
      <c r="BI498" s="124" t="str">
        <f>IF($B498="","",IFERROR(SUMIF($AB$5:$AM$5,"&lt;="&amp;P_PeilMaand,AB498:AM498),"n.b."))</f>
        <v/>
      </c>
      <c r="BJ498" s="124" t="str">
        <f>IF($B498="","",IFERROR(SUM(AB498:AM498)-BI498,"n.b."))</f>
        <v/>
      </c>
      <c r="BK498" s="124" t="str">
        <f>IF($B498="","",IFERROR(IF(ABS(Q498-(T498+SUM(AB498:AM498)+AS498+AU498))&gt;P_Tol,1,0),1))</f>
        <v/>
      </c>
      <c r="BL498" s="124" t="str">
        <f>IF($B498="","",IFERROR(IF(ABS(AA498-(Q498-Z498))&gt;P_Tol,1,0),1))</f>
        <v/>
      </c>
      <c r="BM498" s="124" t="str">
        <f>IF($B498="","",IFERROR(IF(ABS(Z498-(T498+W498))&gt;P_Tol,1,0),1))</f>
        <v/>
      </c>
      <c r="BN498" s="124" t="str">
        <f>IF($B498="","",IFERROR(IF(ABS(W498-BI498)&gt;P_Tol,1,0),1))</f>
        <v/>
      </c>
      <c r="BO498" s="124" t="str">
        <f>IF($B498="","",IFERROR(IF(OR(ABS(R498+S498-T498)&gt;P_Tol,ABS(U498+V498-W498)&gt;P_Tol,ABS(X498+Y498-Z498)&gt;P_Tol),1,0),1))</f>
        <v/>
      </c>
      <c r="BP498" s="124" t="str">
        <f>IF($B498="","",IFERROR(IF(OR(ABS(AR498-SUM(AB498:AM498))&gt;P_Tol,ABS(AS498-(AN498+AO498+AP498+AQ498))&gt;P_Tol),1,0),1))</f>
        <v/>
      </c>
      <c r="BQ498" s="124" t="str">
        <f>IF($B498="","",IFERROR(IF(ABS(AT498)+ABS(AV498)+ABS(AW498)+ABS(AX498)+ABS(AY498)+ABS(AZ498)+ABS(BA498)+ABS(BB498)&gt;0,1,0),1))</f>
        <v/>
      </c>
      <c r="BR498" s="124" t="str">
        <f>IF($B498="","",COUNTIF(STG_ZPMW03!$B$6:$B$505,B498))</f>
        <v/>
      </c>
      <c r="BS498" s="124" t="str">
        <f>IF($B498="","",COUNTIF($B$6:$B$505,B498))</f>
        <v/>
      </c>
      <c r="BT498" s="124" t="str">
        <f>IF($B498="","",IF(BR498=0,0,IF(INDEX(STG_ZPMW03!$I$6:$I$505,MATCH(B498,STG_ZPMW03!$B$6:$B$505,0))=J498&amp;"",0,1)))</f>
        <v/>
      </c>
      <c r="BU498" s="124" t="str">
        <f>IF($B498="","",IFERROR(IF(ABS(INDEX(Mapping!$D$5:$D$104,MATCH(B498,Mapping!$A$5:$A$104,0))-Q498)&gt;P_Tol,1,0),0))</f>
        <v/>
      </c>
      <c r="BV498" s="124" t="str">
        <f>IF($B498="","",IFERROR(IF(AND(INDEX(Mapping!$G$5:$G$104,MATCH(B498,Mapping!$A$5:$A$104,0))="Nee",ABS(Q498)+ABS(Z498)+ABS(AR498)&gt;0),1,0),0))</f>
        <v/>
      </c>
      <c r="BW498" s="124" t="str">
        <f>IF($B498="","",IF(COUNTIF(Mapping!$A$5:$A$104,B498)&gt;0,1,0))</f>
        <v/>
      </c>
      <c r="BX498" s="124" t="str">
        <f>IF($B498="","",IF(BR498=0,COUNTIF($BR$6:BR498,0),""))</f>
        <v/>
      </c>
    </row>
    <row r="499">
      <c r="A499" s="15" t="n">
        <v>495</v>
      </c>
      <c r="B499" t="str">
        <f>IF(B$3=0,"",IF(INDEX(SRC_Woningetalage!$A$1:$ZZ$501,$A499,B$3)&amp;""="","",INDEX(SRC_Woningetalage!$A$1:$ZZ$501,$A499,B$3)&amp;""))</f>
        <v/>
      </c>
      <c r="C499" t="str">
        <f>IF($B499="","",IF(C$3=0,"n.b.",INDEX(SRC_Woningetalage!$A$1:$ZZ$501,$A499,C$3)))</f>
        <v/>
      </c>
      <c r="D499" t="str">
        <f>IF($B499="","",IF(D$3=0,"n.b.",INDEX(SRC_Woningetalage!$A$1:$ZZ$501,$A499,D$3)))</f>
        <v/>
      </c>
      <c r="E499" t="str">
        <f>IF($B499="","",IF(E$3=0,"n.b.",INDEX(SRC_Woningetalage!$A$1:$ZZ$501,$A499,E$3)))</f>
        <v/>
      </c>
      <c r="F499" t="str">
        <f>IF($B499="","",IF(F$3=0,"n.b.",INDEX(SRC_Woningetalage!$A$1:$ZZ$501,$A499,F$3)))</f>
        <v/>
      </c>
      <c r="G499" t="str">
        <f>IF($B499="","",IF(G$3=0,"n.b.",INDEX(SRC_Woningetalage!$A$1:$ZZ$501,$A499,G$3)))</f>
        <v/>
      </c>
      <c r="H499" t="str">
        <f>IF($B499="","",IF(H$3=0,"n.b.",INDEX(SRC_Woningetalage!$A$1:$ZZ$501,$A499,H$3)))</f>
        <v/>
      </c>
      <c r="I499" t="str">
        <f>IF($B499="","",IF(I$3=0,"n.b.",INDEX(SRC_Woningetalage!$A$1:$ZZ$501,$A499,I$3)))</f>
        <v/>
      </c>
      <c r="J499" t="str">
        <f>IF($B499="","",IF(J$3=0,"n.b.",INDEX(SRC_Woningetalage!$A$1:$ZZ$501,$A499,J$3)))</f>
        <v/>
      </c>
      <c r="K499" t="str">
        <f>IF($B499="","",IF(K$3=0,"n.b.",INDEX(SRC_Woningetalage!$A$1:$ZZ$501,$A499,K$3)))</f>
        <v/>
      </c>
      <c r="L499" t="str">
        <f>IF($B499="","",IF(L$3=0,"n.b.",INDEX(SRC_Woningetalage!$A$1:$ZZ$501,$A499,L$3)))</f>
        <v/>
      </c>
      <c r="M499" t="str">
        <f>IF($B499="","",IF(M$3=0,"n.b.",INDEX(SRC_Woningetalage!$A$1:$ZZ$501,$A499,M$3)))</f>
        <v/>
      </c>
      <c r="N499" t="str">
        <f>IF($B499="","",IF(N$3=0,"n.b.",INDEX(SRC_Woningetalage!$A$1:$ZZ$501,$A499,N$3)))</f>
        <v/>
      </c>
      <c r="O499" t="str">
        <f>IF($B499="","",IF(O$3=0,"n.b.",INDEX(SRC_Woningetalage!$A$1:$ZZ$501,$A499,O$3)))</f>
        <v/>
      </c>
      <c r="P499" t="str">
        <f>IF($B499="","",IF(P$3=0,"n.b.",INDEX(SRC_Woningetalage!$A$1:$ZZ$501,$A499,P$3)))</f>
        <v/>
      </c>
      <c r="Q499" s="124" t="str">
        <f>IF($B499="","",IF(Q$3=0,"n.b.",INDEX(SRC_Woningetalage!$A$1:$ZZ$501,$A499,Q$3)))</f>
        <v/>
      </c>
      <c r="R499" s="124" t="str">
        <f>IF($B499="","",IF(R$3=0,"n.b.",INDEX(SRC_Woningetalage!$A$1:$ZZ$501,$A499,R$3)))</f>
        <v/>
      </c>
      <c r="S499" s="124" t="str">
        <f>IF($B499="","",IF(S$3=0,"n.b.",INDEX(SRC_Woningetalage!$A$1:$ZZ$501,$A499,S$3)))</f>
        <v/>
      </c>
      <c r="T499" s="124" t="str">
        <f>IF($B499="","",IF(T$3=0,"n.b.",INDEX(SRC_Woningetalage!$A$1:$ZZ$501,$A499,T$3)))</f>
        <v/>
      </c>
      <c r="U499" s="124" t="str">
        <f>IF($B499="","",IF(U$3=0,"n.b.",INDEX(SRC_Woningetalage!$A$1:$ZZ$501,$A499,U$3)))</f>
        <v/>
      </c>
      <c r="V499" s="124" t="str">
        <f>IF($B499="","",IF(V$3=0,"n.b.",INDEX(SRC_Woningetalage!$A$1:$ZZ$501,$A499,V$3)))</f>
        <v/>
      </c>
      <c r="W499" s="124" t="str">
        <f>IF($B499="","",IF(W$3=0,"n.b.",INDEX(SRC_Woningetalage!$A$1:$ZZ$501,$A499,W$3)))</f>
        <v/>
      </c>
      <c r="X499" s="124" t="str">
        <f>IF($B499="","",IF(X$3=0,"n.b.",INDEX(SRC_Woningetalage!$A$1:$ZZ$501,$A499,X$3)))</f>
        <v/>
      </c>
      <c r="Y499" s="124" t="str">
        <f>IF($B499="","",IF(Y$3=0,"n.b.",INDEX(SRC_Woningetalage!$A$1:$ZZ$501,$A499,Y$3)))</f>
        <v/>
      </c>
      <c r="Z499" s="124" t="str">
        <f>IF($B499="","",IF(Z$3=0,"n.b.",INDEX(SRC_Woningetalage!$A$1:$ZZ$501,$A499,Z$3)))</f>
        <v/>
      </c>
      <c r="AA499" s="124" t="str">
        <f>IF($B499="","",IF(AA$3=0,"n.b.",INDEX(SRC_Woningetalage!$A$1:$ZZ$501,$A499,AA$3)))</f>
        <v/>
      </c>
      <c r="AB499" s="124" t="str">
        <f>IF($B499="","",IF(AB$3=0,"n.b.",INDEX(SRC_Woningetalage!$A$1:$ZZ$501,$A499,AB$3)))</f>
        <v/>
      </c>
      <c r="AC499" s="124" t="str">
        <f>IF($B499="","",IF(AC$3=0,"n.b.",INDEX(SRC_Woningetalage!$A$1:$ZZ$501,$A499,AC$3)))</f>
        <v/>
      </c>
      <c r="AD499" s="124" t="str">
        <f>IF($B499="","",IF(AD$3=0,"n.b.",INDEX(SRC_Woningetalage!$A$1:$ZZ$501,$A499,AD$3)))</f>
        <v/>
      </c>
      <c r="AE499" s="124" t="str">
        <f>IF($B499="","",IF(AE$3=0,"n.b.",INDEX(SRC_Woningetalage!$A$1:$ZZ$501,$A499,AE$3)))</f>
        <v/>
      </c>
      <c r="AF499" s="124" t="str">
        <f>IF($B499="","",IF(AF$3=0,"n.b.",INDEX(SRC_Woningetalage!$A$1:$ZZ$501,$A499,AF$3)))</f>
        <v/>
      </c>
      <c r="AG499" s="124" t="str">
        <f>IF($B499="","",IF(AG$3=0,"n.b.",INDEX(SRC_Woningetalage!$A$1:$ZZ$501,$A499,AG$3)))</f>
        <v/>
      </c>
      <c r="AH499" s="124" t="str">
        <f>IF($B499="","",IF(AH$3=0,"n.b.",INDEX(SRC_Woningetalage!$A$1:$ZZ$501,$A499,AH$3)))</f>
        <v/>
      </c>
      <c r="AI499" s="124" t="str">
        <f>IF($B499="","",IF(AI$3=0,"n.b.",INDEX(SRC_Woningetalage!$A$1:$ZZ$501,$A499,AI$3)))</f>
        <v/>
      </c>
      <c r="AJ499" s="124" t="str">
        <f>IF($B499="","",IF(AJ$3=0,"n.b.",INDEX(SRC_Woningetalage!$A$1:$ZZ$501,$A499,AJ$3)))</f>
        <v/>
      </c>
      <c r="AK499" s="124" t="str">
        <f>IF($B499="","",IF(AK$3=0,"n.b.",INDEX(SRC_Woningetalage!$A$1:$ZZ$501,$A499,AK$3)))</f>
        <v/>
      </c>
      <c r="AL499" s="124" t="str">
        <f>IF($B499="","",IF(AL$3=0,"n.b.",INDEX(SRC_Woningetalage!$A$1:$ZZ$501,$A499,AL$3)))</f>
        <v/>
      </c>
      <c r="AM499" s="124" t="str">
        <f>IF($B499="","",IF(AM$3=0,"n.b.",INDEX(SRC_Woningetalage!$A$1:$ZZ$501,$A499,AM$3)))</f>
        <v/>
      </c>
      <c r="AN499" s="124" t="str">
        <f>IF($B499="","",IF(AN$3=0,"n.b.",INDEX(SRC_Woningetalage!$A$1:$ZZ$501,$A499,AN$3)))</f>
        <v/>
      </c>
      <c r="AO499" s="124" t="str">
        <f>IF($B499="","",IF(AO$3=0,"n.b.",INDEX(SRC_Woningetalage!$A$1:$ZZ$501,$A499,AO$3)))</f>
        <v/>
      </c>
      <c r="AP499" s="124" t="str">
        <f>IF($B499="","",IF(AP$3=0,"n.b.",INDEX(SRC_Woningetalage!$A$1:$ZZ$501,$A499,AP$3)))</f>
        <v/>
      </c>
      <c r="AQ499" s="124" t="str">
        <f>IF($B499="","",IF(AQ$3=0,"n.b.",INDEX(SRC_Woningetalage!$A$1:$ZZ$501,$A499,AQ$3)))</f>
        <v/>
      </c>
      <c r="AR499" s="124" t="str">
        <f>IF($B499="","",IF(AR$3=0,"n.b.",INDEX(SRC_Woningetalage!$A$1:$ZZ$501,$A499,AR$3)))</f>
        <v/>
      </c>
      <c r="AS499" s="124" t="str">
        <f>IF($B499="","",IF(AS$3=0,"n.b.",INDEX(SRC_Woningetalage!$A$1:$ZZ$501,$A499,AS$3)))</f>
        <v/>
      </c>
      <c r="AT499" s="124" t="str">
        <f>IF($B499="","",IF(AT$3=0,"n.b.",INDEX(SRC_Woningetalage!$A$1:$ZZ$501,$A499,AT$3)))</f>
        <v/>
      </c>
      <c r="AU499" s="124" t="str">
        <f>IF($B499="","",IF(AU$3=0,"n.b.",INDEX(SRC_Woningetalage!$A$1:$ZZ$501,$A499,AU$3)))</f>
        <v/>
      </c>
      <c r="AV499" s="124" t="str">
        <f>IF($B499="","",IF(AV$3=0,"n.b.",INDEX(SRC_Woningetalage!$A$1:$ZZ$501,$A499,AV$3)))</f>
        <v/>
      </c>
      <c r="AW499" s="124" t="str">
        <f>IF($B499="","",IF(AW$3=0,"n.b.",INDEX(SRC_Woningetalage!$A$1:$ZZ$501,$A499,AW$3)))</f>
        <v/>
      </c>
      <c r="AX499" s="124" t="str">
        <f>IF($B499="","",IF(AX$3=0,"n.b.",INDEX(SRC_Woningetalage!$A$1:$ZZ$501,$A499,AX$3)))</f>
        <v/>
      </c>
      <c r="AY499" s="124" t="str">
        <f>IF($B499="","",IF(AY$3=0,"n.b.",INDEX(SRC_Woningetalage!$A$1:$ZZ$501,$A499,AY$3)))</f>
        <v/>
      </c>
      <c r="AZ499" s="124" t="str">
        <f>IF($B499="","",IF(AZ$3=0,"n.b.",INDEX(SRC_Woningetalage!$A$1:$ZZ$501,$A499,AZ$3)))</f>
        <v/>
      </c>
      <c r="BA499" s="124" t="str">
        <f>IF($B499="","",IF(BA$3=0,"n.b.",INDEX(SRC_Woningetalage!$A$1:$ZZ$501,$A499,BA$3)))</f>
        <v/>
      </c>
      <c r="BB499" s="124" t="str">
        <f>IF($B499="","",IF(BB$3=0,"n.b.",INDEX(SRC_Woningetalage!$A$1:$ZZ$501,$A499,BB$3)))</f>
        <v/>
      </c>
      <c r="BC499" s="124" t="str">
        <f>IF($B499="","",IFERROR(_xlfn.NUMBERVALUE(E499&amp;"",",","."),"n.b."))</f>
        <v/>
      </c>
      <c r="BD499" s="124" t="str">
        <f>IF($B499="","",IFERROR(_xlfn.NUMBERVALUE(M499&amp;"",",","."),"n.b."))</f>
        <v/>
      </c>
      <c r="BE499" s="124" t="str">
        <f>IF($B499="","",IFERROR(AB499+AC499+AD499,"n.b."))</f>
        <v/>
      </c>
      <c r="BF499" s="124" t="str">
        <f>IF($B499="","",IFERROR(AE499+AF499+AG499,"n.b."))</f>
        <v/>
      </c>
      <c r="BG499" s="124" t="str">
        <f>IF($B499="","",IFERROR(AH499+AI499+AJ499,"n.b."))</f>
        <v/>
      </c>
      <c r="BH499" s="124" t="str">
        <f>IF($B499="","",IFERROR(AK499+AL499+AM499,"n.b."))</f>
        <v/>
      </c>
      <c r="BI499" s="124" t="str">
        <f>IF($B499="","",IFERROR(SUMIF($AB$5:$AM$5,"&lt;="&amp;P_PeilMaand,AB499:AM499),"n.b."))</f>
        <v/>
      </c>
      <c r="BJ499" s="124" t="str">
        <f>IF($B499="","",IFERROR(SUM(AB499:AM499)-BI499,"n.b."))</f>
        <v/>
      </c>
      <c r="BK499" s="124" t="str">
        <f>IF($B499="","",IFERROR(IF(ABS(Q499-(T499+SUM(AB499:AM499)+AS499+AU499))&gt;P_Tol,1,0),1))</f>
        <v/>
      </c>
      <c r="BL499" s="124" t="str">
        <f>IF($B499="","",IFERROR(IF(ABS(AA499-(Q499-Z499))&gt;P_Tol,1,0),1))</f>
        <v/>
      </c>
      <c r="BM499" s="124" t="str">
        <f>IF($B499="","",IFERROR(IF(ABS(Z499-(T499+W499))&gt;P_Tol,1,0),1))</f>
        <v/>
      </c>
      <c r="BN499" s="124" t="str">
        <f>IF($B499="","",IFERROR(IF(ABS(W499-BI499)&gt;P_Tol,1,0),1))</f>
        <v/>
      </c>
      <c r="BO499" s="124" t="str">
        <f>IF($B499="","",IFERROR(IF(OR(ABS(R499+S499-T499)&gt;P_Tol,ABS(U499+V499-W499)&gt;P_Tol,ABS(X499+Y499-Z499)&gt;P_Tol),1,0),1))</f>
        <v/>
      </c>
      <c r="BP499" s="124" t="str">
        <f>IF($B499="","",IFERROR(IF(OR(ABS(AR499-SUM(AB499:AM499))&gt;P_Tol,ABS(AS499-(AN499+AO499+AP499+AQ499))&gt;P_Tol),1,0),1))</f>
        <v/>
      </c>
      <c r="BQ499" s="124" t="str">
        <f>IF($B499="","",IFERROR(IF(ABS(AT499)+ABS(AV499)+ABS(AW499)+ABS(AX499)+ABS(AY499)+ABS(AZ499)+ABS(BA499)+ABS(BB499)&gt;0,1,0),1))</f>
        <v/>
      </c>
      <c r="BR499" s="124" t="str">
        <f>IF($B499="","",COUNTIF(STG_ZPMW03!$B$6:$B$505,B499))</f>
        <v/>
      </c>
      <c r="BS499" s="124" t="str">
        <f>IF($B499="","",COUNTIF($B$6:$B$505,B499))</f>
        <v/>
      </c>
      <c r="BT499" s="124" t="str">
        <f>IF($B499="","",IF(BR499=0,0,IF(INDEX(STG_ZPMW03!$I$6:$I$505,MATCH(B499,STG_ZPMW03!$B$6:$B$505,0))=J499&amp;"",0,1)))</f>
        <v/>
      </c>
      <c r="BU499" s="124" t="str">
        <f>IF($B499="","",IFERROR(IF(ABS(INDEX(Mapping!$D$5:$D$104,MATCH(B499,Mapping!$A$5:$A$104,0))-Q499)&gt;P_Tol,1,0),0))</f>
        <v/>
      </c>
      <c r="BV499" s="124" t="str">
        <f>IF($B499="","",IFERROR(IF(AND(INDEX(Mapping!$G$5:$G$104,MATCH(B499,Mapping!$A$5:$A$104,0))="Nee",ABS(Q499)+ABS(Z499)+ABS(AR499)&gt;0),1,0),0))</f>
        <v/>
      </c>
      <c r="BW499" s="124" t="str">
        <f>IF($B499="","",IF(COUNTIF(Mapping!$A$5:$A$104,B499)&gt;0,1,0))</f>
        <v/>
      </c>
      <c r="BX499" s="124" t="str">
        <f>IF($B499="","",IF(BR499=0,COUNTIF($BR$6:BR499,0),""))</f>
        <v/>
      </c>
    </row>
    <row r="500">
      <c r="A500" s="15" t="n">
        <v>496</v>
      </c>
      <c r="B500" t="str">
        <f>IF(B$3=0,"",IF(INDEX(SRC_Woningetalage!$A$1:$ZZ$501,$A500,B$3)&amp;""="","",INDEX(SRC_Woningetalage!$A$1:$ZZ$501,$A500,B$3)&amp;""))</f>
        <v/>
      </c>
      <c r="C500" t="str">
        <f>IF($B500="","",IF(C$3=0,"n.b.",INDEX(SRC_Woningetalage!$A$1:$ZZ$501,$A500,C$3)))</f>
        <v/>
      </c>
      <c r="D500" t="str">
        <f>IF($B500="","",IF(D$3=0,"n.b.",INDEX(SRC_Woningetalage!$A$1:$ZZ$501,$A500,D$3)))</f>
        <v/>
      </c>
      <c r="E500" t="str">
        <f>IF($B500="","",IF(E$3=0,"n.b.",INDEX(SRC_Woningetalage!$A$1:$ZZ$501,$A500,E$3)))</f>
        <v/>
      </c>
      <c r="F500" t="str">
        <f>IF($B500="","",IF(F$3=0,"n.b.",INDEX(SRC_Woningetalage!$A$1:$ZZ$501,$A500,F$3)))</f>
        <v/>
      </c>
      <c r="G500" t="str">
        <f>IF($B500="","",IF(G$3=0,"n.b.",INDEX(SRC_Woningetalage!$A$1:$ZZ$501,$A500,G$3)))</f>
        <v/>
      </c>
      <c r="H500" t="str">
        <f>IF($B500="","",IF(H$3=0,"n.b.",INDEX(SRC_Woningetalage!$A$1:$ZZ$501,$A500,H$3)))</f>
        <v/>
      </c>
      <c r="I500" t="str">
        <f>IF($B500="","",IF(I$3=0,"n.b.",INDEX(SRC_Woningetalage!$A$1:$ZZ$501,$A500,I$3)))</f>
        <v/>
      </c>
      <c r="J500" t="str">
        <f>IF($B500="","",IF(J$3=0,"n.b.",INDEX(SRC_Woningetalage!$A$1:$ZZ$501,$A500,J$3)))</f>
        <v/>
      </c>
      <c r="K500" t="str">
        <f>IF($B500="","",IF(K$3=0,"n.b.",INDEX(SRC_Woningetalage!$A$1:$ZZ$501,$A500,K$3)))</f>
        <v/>
      </c>
      <c r="L500" t="str">
        <f>IF($B500="","",IF(L$3=0,"n.b.",INDEX(SRC_Woningetalage!$A$1:$ZZ$501,$A500,L$3)))</f>
        <v/>
      </c>
      <c r="M500" t="str">
        <f>IF($B500="","",IF(M$3=0,"n.b.",INDEX(SRC_Woningetalage!$A$1:$ZZ$501,$A500,M$3)))</f>
        <v/>
      </c>
      <c r="N500" t="str">
        <f>IF($B500="","",IF(N$3=0,"n.b.",INDEX(SRC_Woningetalage!$A$1:$ZZ$501,$A500,N$3)))</f>
        <v/>
      </c>
      <c r="O500" t="str">
        <f>IF($B500="","",IF(O$3=0,"n.b.",INDEX(SRC_Woningetalage!$A$1:$ZZ$501,$A500,O$3)))</f>
        <v/>
      </c>
      <c r="P500" t="str">
        <f>IF($B500="","",IF(P$3=0,"n.b.",INDEX(SRC_Woningetalage!$A$1:$ZZ$501,$A500,P$3)))</f>
        <v/>
      </c>
      <c r="Q500" s="124" t="str">
        <f>IF($B500="","",IF(Q$3=0,"n.b.",INDEX(SRC_Woningetalage!$A$1:$ZZ$501,$A500,Q$3)))</f>
        <v/>
      </c>
      <c r="R500" s="124" t="str">
        <f>IF($B500="","",IF(R$3=0,"n.b.",INDEX(SRC_Woningetalage!$A$1:$ZZ$501,$A500,R$3)))</f>
        <v/>
      </c>
      <c r="S500" s="124" t="str">
        <f>IF($B500="","",IF(S$3=0,"n.b.",INDEX(SRC_Woningetalage!$A$1:$ZZ$501,$A500,S$3)))</f>
        <v/>
      </c>
      <c r="T500" s="124" t="str">
        <f>IF($B500="","",IF(T$3=0,"n.b.",INDEX(SRC_Woningetalage!$A$1:$ZZ$501,$A500,T$3)))</f>
        <v/>
      </c>
      <c r="U500" s="124" t="str">
        <f>IF($B500="","",IF(U$3=0,"n.b.",INDEX(SRC_Woningetalage!$A$1:$ZZ$501,$A500,U$3)))</f>
        <v/>
      </c>
      <c r="V500" s="124" t="str">
        <f>IF($B500="","",IF(V$3=0,"n.b.",INDEX(SRC_Woningetalage!$A$1:$ZZ$501,$A500,V$3)))</f>
        <v/>
      </c>
      <c r="W500" s="124" t="str">
        <f>IF($B500="","",IF(W$3=0,"n.b.",INDEX(SRC_Woningetalage!$A$1:$ZZ$501,$A500,W$3)))</f>
        <v/>
      </c>
      <c r="X500" s="124" t="str">
        <f>IF($B500="","",IF(X$3=0,"n.b.",INDEX(SRC_Woningetalage!$A$1:$ZZ$501,$A500,X$3)))</f>
        <v/>
      </c>
      <c r="Y500" s="124" t="str">
        <f>IF($B500="","",IF(Y$3=0,"n.b.",INDEX(SRC_Woningetalage!$A$1:$ZZ$501,$A500,Y$3)))</f>
        <v/>
      </c>
      <c r="Z500" s="124" t="str">
        <f>IF($B500="","",IF(Z$3=0,"n.b.",INDEX(SRC_Woningetalage!$A$1:$ZZ$501,$A500,Z$3)))</f>
        <v/>
      </c>
      <c r="AA500" s="124" t="str">
        <f>IF($B500="","",IF(AA$3=0,"n.b.",INDEX(SRC_Woningetalage!$A$1:$ZZ$501,$A500,AA$3)))</f>
        <v/>
      </c>
      <c r="AB500" s="124" t="str">
        <f>IF($B500="","",IF(AB$3=0,"n.b.",INDEX(SRC_Woningetalage!$A$1:$ZZ$501,$A500,AB$3)))</f>
        <v/>
      </c>
      <c r="AC500" s="124" t="str">
        <f>IF($B500="","",IF(AC$3=0,"n.b.",INDEX(SRC_Woningetalage!$A$1:$ZZ$501,$A500,AC$3)))</f>
        <v/>
      </c>
      <c r="AD500" s="124" t="str">
        <f>IF($B500="","",IF(AD$3=0,"n.b.",INDEX(SRC_Woningetalage!$A$1:$ZZ$501,$A500,AD$3)))</f>
        <v/>
      </c>
      <c r="AE500" s="124" t="str">
        <f>IF($B500="","",IF(AE$3=0,"n.b.",INDEX(SRC_Woningetalage!$A$1:$ZZ$501,$A500,AE$3)))</f>
        <v/>
      </c>
      <c r="AF500" s="124" t="str">
        <f>IF($B500="","",IF(AF$3=0,"n.b.",INDEX(SRC_Woningetalage!$A$1:$ZZ$501,$A500,AF$3)))</f>
        <v/>
      </c>
      <c r="AG500" s="124" t="str">
        <f>IF($B500="","",IF(AG$3=0,"n.b.",INDEX(SRC_Woningetalage!$A$1:$ZZ$501,$A500,AG$3)))</f>
        <v/>
      </c>
      <c r="AH500" s="124" t="str">
        <f>IF($B500="","",IF(AH$3=0,"n.b.",INDEX(SRC_Woningetalage!$A$1:$ZZ$501,$A500,AH$3)))</f>
        <v/>
      </c>
      <c r="AI500" s="124" t="str">
        <f>IF($B500="","",IF(AI$3=0,"n.b.",INDEX(SRC_Woningetalage!$A$1:$ZZ$501,$A500,AI$3)))</f>
        <v/>
      </c>
      <c r="AJ500" s="124" t="str">
        <f>IF($B500="","",IF(AJ$3=0,"n.b.",INDEX(SRC_Woningetalage!$A$1:$ZZ$501,$A500,AJ$3)))</f>
        <v/>
      </c>
      <c r="AK500" s="124" t="str">
        <f>IF($B500="","",IF(AK$3=0,"n.b.",INDEX(SRC_Woningetalage!$A$1:$ZZ$501,$A500,AK$3)))</f>
        <v/>
      </c>
      <c r="AL500" s="124" t="str">
        <f>IF($B500="","",IF(AL$3=0,"n.b.",INDEX(SRC_Woningetalage!$A$1:$ZZ$501,$A500,AL$3)))</f>
        <v/>
      </c>
      <c r="AM500" s="124" t="str">
        <f>IF($B500="","",IF(AM$3=0,"n.b.",INDEX(SRC_Woningetalage!$A$1:$ZZ$501,$A500,AM$3)))</f>
        <v/>
      </c>
      <c r="AN500" s="124" t="str">
        <f>IF($B500="","",IF(AN$3=0,"n.b.",INDEX(SRC_Woningetalage!$A$1:$ZZ$501,$A500,AN$3)))</f>
        <v/>
      </c>
      <c r="AO500" s="124" t="str">
        <f>IF($B500="","",IF(AO$3=0,"n.b.",INDEX(SRC_Woningetalage!$A$1:$ZZ$501,$A500,AO$3)))</f>
        <v/>
      </c>
      <c r="AP500" s="124" t="str">
        <f>IF($B500="","",IF(AP$3=0,"n.b.",INDEX(SRC_Woningetalage!$A$1:$ZZ$501,$A500,AP$3)))</f>
        <v/>
      </c>
      <c r="AQ500" s="124" t="str">
        <f>IF($B500="","",IF(AQ$3=0,"n.b.",INDEX(SRC_Woningetalage!$A$1:$ZZ$501,$A500,AQ$3)))</f>
        <v/>
      </c>
      <c r="AR500" s="124" t="str">
        <f>IF($B500="","",IF(AR$3=0,"n.b.",INDEX(SRC_Woningetalage!$A$1:$ZZ$501,$A500,AR$3)))</f>
        <v/>
      </c>
      <c r="AS500" s="124" t="str">
        <f>IF($B500="","",IF(AS$3=0,"n.b.",INDEX(SRC_Woningetalage!$A$1:$ZZ$501,$A500,AS$3)))</f>
        <v/>
      </c>
      <c r="AT500" s="124" t="str">
        <f>IF($B500="","",IF(AT$3=0,"n.b.",INDEX(SRC_Woningetalage!$A$1:$ZZ$501,$A500,AT$3)))</f>
        <v/>
      </c>
      <c r="AU500" s="124" t="str">
        <f>IF($B500="","",IF(AU$3=0,"n.b.",INDEX(SRC_Woningetalage!$A$1:$ZZ$501,$A500,AU$3)))</f>
        <v/>
      </c>
      <c r="AV500" s="124" t="str">
        <f>IF($B500="","",IF(AV$3=0,"n.b.",INDEX(SRC_Woningetalage!$A$1:$ZZ$501,$A500,AV$3)))</f>
        <v/>
      </c>
      <c r="AW500" s="124" t="str">
        <f>IF($B500="","",IF(AW$3=0,"n.b.",INDEX(SRC_Woningetalage!$A$1:$ZZ$501,$A500,AW$3)))</f>
        <v/>
      </c>
      <c r="AX500" s="124" t="str">
        <f>IF($B500="","",IF(AX$3=0,"n.b.",INDEX(SRC_Woningetalage!$A$1:$ZZ$501,$A500,AX$3)))</f>
        <v/>
      </c>
      <c r="AY500" s="124" t="str">
        <f>IF($B500="","",IF(AY$3=0,"n.b.",INDEX(SRC_Woningetalage!$A$1:$ZZ$501,$A500,AY$3)))</f>
        <v/>
      </c>
      <c r="AZ500" s="124" t="str">
        <f>IF($B500="","",IF(AZ$3=0,"n.b.",INDEX(SRC_Woningetalage!$A$1:$ZZ$501,$A500,AZ$3)))</f>
        <v/>
      </c>
      <c r="BA500" s="124" t="str">
        <f>IF($B500="","",IF(BA$3=0,"n.b.",INDEX(SRC_Woningetalage!$A$1:$ZZ$501,$A500,BA$3)))</f>
        <v/>
      </c>
      <c r="BB500" s="124" t="str">
        <f>IF($B500="","",IF(BB$3=0,"n.b.",INDEX(SRC_Woningetalage!$A$1:$ZZ$501,$A500,BB$3)))</f>
        <v/>
      </c>
      <c r="BC500" s="124" t="str">
        <f>IF($B500="","",IFERROR(_xlfn.NUMBERVALUE(E500&amp;"",",","."),"n.b."))</f>
        <v/>
      </c>
      <c r="BD500" s="124" t="str">
        <f>IF($B500="","",IFERROR(_xlfn.NUMBERVALUE(M500&amp;"",",","."),"n.b."))</f>
        <v/>
      </c>
      <c r="BE500" s="124" t="str">
        <f>IF($B500="","",IFERROR(AB500+AC500+AD500,"n.b."))</f>
        <v/>
      </c>
      <c r="BF500" s="124" t="str">
        <f>IF($B500="","",IFERROR(AE500+AF500+AG500,"n.b."))</f>
        <v/>
      </c>
      <c r="BG500" s="124" t="str">
        <f>IF($B500="","",IFERROR(AH500+AI500+AJ500,"n.b."))</f>
        <v/>
      </c>
      <c r="BH500" s="124" t="str">
        <f>IF($B500="","",IFERROR(AK500+AL500+AM500,"n.b."))</f>
        <v/>
      </c>
      <c r="BI500" s="124" t="str">
        <f>IF($B500="","",IFERROR(SUMIF($AB$5:$AM$5,"&lt;="&amp;P_PeilMaand,AB500:AM500),"n.b."))</f>
        <v/>
      </c>
      <c r="BJ500" s="124" t="str">
        <f>IF($B500="","",IFERROR(SUM(AB500:AM500)-BI500,"n.b."))</f>
        <v/>
      </c>
      <c r="BK500" s="124" t="str">
        <f>IF($B500="","",IFERROR(IF(ABS(Q500-(T500+SUM(AB500:AM500)+AS500+AU500))&gt;P_Tol,1,0),1))</f>
        <v/>
      </c>
      <c r="BL500" s="124" t="str">
        <f>IF($B500="","",IFERROR(IF(ABS(AA500-(Q500-Z500))&gt;P_Tol,1,0),1))</f>
        <v/>
      </c>
      <c r="BM500" s="124" t="str">
        <f>IF($B500="","",IFERROR(IF(ABS(Z500-(T500+W500))&gt;P_Tol,1,0),1))</f>
        <v/>
      </c>
      <c r="BN500" s="124" t="str">
        <f>IF($B500="","",IFERROR(IF(ABS(W500-BI500)&gt;P_Tol,1,0),1))</f>
        <v/>
      </c>
      <c r="BO500" s="124" t="str">
        <f>IF($B500="","",IFERROR(IF(OR(ABS(R500+S500-T500)&gt;P_Tol,ABS(U500+V500-W500)&gt;P_Tol,ABS(X500+Y500-Z500)&gt;P_Tol),1,0),1))</f>
        <v/>
      </c>
      <c r="BP500" s="124" t="str">
        <f>IF($B500="","",IFERROR(IF(OR(ABS(AR500-SUM(AB500:AM500))&gt;P_Tol,ABS(AS500-(AN500+AO500+AP500+AQ500))&gt;P_Tol),1,0),1))</f>
        <v/>
      </c>
      <c r="BQ500" s="124" t="str">
        <f>IF($B500="","",IFERROR(IF(ABS(AT500)+ABS(AV500)+ABS(AW500)+ABS(AX500)+ABS(AY500)+ABS(AZ500)+ABS(BA500)+ABS(BB500)&gt;0,1,0),1))</f>
        <v/>
      </c>
      <c r="BR500" s="124" t="str">
        <f>IF($B500="","",COUNTIF(STG_ZPMW03!$B$6:$B$505,B500))</f>
        <v/>
      </c>
      <c r="BS500" s="124" t="str">
        <f>IF($B500="","",COUNTIF($B$6:$B$505,B500))</f>
        <v/>
      </c>
      <c r="BT500" s="124" t="str">
        <f>IF($B500="","",IF(BR500=0,0,IF(INDEX(STG_ZPMW03!$I$6:$I$505,MATCH(B500,STG_ZPMW03!$B$6:$B$505,0))=J500&amp;"",0,1)))</f>
        <v/>
      </c>
      <c r="BU500" s="124" t="str">
        <f>IF($B500="","",IFERROR(IF(ABS(INDEX(Mapping!$D$5:$D$104,MATCH(B500,Mapping!$A$5:$A$104,0))-Q500)&gt;P_Tol,1,0),0))</f>
        <v/>
      </c>
      <c r="BV500" s="124" t="str">
        <f>IF($B500="","",IFERROR(IF(AND(INDEX(Mapping!$G$5:$G$104,MATCH(B500,Mapping!$A$5:$A$104,0))="Nee",ABS(Q500)+ABS(Z500)+ABS(AR500)&gt;0),1,0),0))</f>
        <v/>
      </c>
      <c r="BW500" s="124" t="str">
        <f>IF($B500="","",IF(COUNTIF(Mapping!$A$5:$A$104,B500)&gt;0,1,0))</f>
        <v/>
      </c>
      <c r="BX500" s="124" t="str">
        <f>IF($B500="","",IF(BR500=0,COUNTIF($BR$6:BR500,0),""))</f>
        <v/>
      </c>
    </row>
    <row r="501">
      <c r="A501" s="15" t="n">
        <v>497</v>
      </c>
      <c r="B501" t="str">
        <f>IF(B$3=0,"",IF(INDEX(SRC_Woningetalage!$A$1:$ZZ$501,$A501,B$3)&amp;""="","",INDEX(SRC_Woningetalage!$A$1:$ZZ$501,$A501,B$3)&amp;""))</f>
        <v/>
      </c>
      <c r="C501" t="str">
        <f>IF($B501="","",IF(C$3=0,"n.b.",INDEX(SRC_Woningetalage!$A$1:$ZZ$501,$A501,C$3)))</f>
        <v/>
      </c>
      <c r="D501" t="str">
        <f>IF($B501="","",IF(D$3=0,"n.b.",INDEX(SRC_Woningetalage!$A$1:$ZZ$501,$A501,D$3)))</f>
        <v/>
      </c>
      <c r="E501" t="str">
        <f>IF($B501="","",IF(E$3=0,"n.b.",INDEX(SRC_Woningetalage!$A$1:$ZZ$501,$A501,E$3)))</f>
        <v/>
      </c>
      <c r="F501" t="str">
        <f>IF($B501="","",IF(F$3=0,"n.b.",INDEX(SRC_Woningetalage!$A$1:$ZZ$501,$A501,F$3)))</f>
        <v/>
      </c>
      <c r="G501" t="str">
        <f>IF($B501="","",IF(G$3=0,"n.b.",INDEX(SRC_Woningetalage!$A$1:$ZZ$501,$A501,G$3)))</f>
        <v/>
      </c>
      <c r="H501" t="str">
        <f>IF($B501="","",IF(H$3=0,"n.b.",INDEX(SRC_Woningetalage!$A$1:$ZZ$501,$A501,H$3)))</f>
        <v/>
      </c>
      <c r="I501" t="str">
        <f>IF($B501="","",IF(I$3=0,"n.b.",INDEX(SRC_Woningetalage!$A$1:$ZZ$501,$A501,I$3)))</f>
        <v/>
      </c>
      <c r="J501" t="str">
        <f>IF($B501="","",IF(J$3=0,"n.b.",INDEX(SRC_Woningetalage!$A$1:$ZZ$501,$A501,J$3)))</f>
        <v/>
      </c>
      <c r="K501" t="str">
        <f>IF($B501="","",IF(K$3=0,"n.b.",INDEX(SRC_Woningetalage!$A$1:$ZZ$501,$A501,K$3)))</f>
        <v/>
      </c>
      <c r="L501" t="str">
        <f>IF($B501="","",IF(L$3=0,"n.b.",INDEX(SRC_Woningetalage!$A$1:$ZZ$501,$A501,L$3)))</f>
        <v/>
      </c>
      <c r="M501" t="str">
        <f>IF($B501="","",IF(M$3=0,"n.b.",INDEX(SRC_Woningetalage!$A$1:$ZZ$501,$A501,M$3)))</f>
        <v/>
      </c>
      <c r="N501" t="str">
        <f>IF($B501="","",IF(N$3=0,"n.b.",INDEX(SRC_Woningetalage!$A$1:$ZZ$501,$A501,N$3)))</f>
        <v/>
      </c>
      <c r="O501" t="str">
        <f>IF($B501="","",IF(O$3=0,"n.b.",INDEX(SRC_Woningetalage!$A$1:$ZZ$501,$A501,O$3)))</f>
        <v/>
      </c>
      <c r="P501" t="str">
        <f>IF($B501="","",IF(P$3=0,"n.b.",INDEX(SRC_Woningetalage!$A$1:$ZZ$501,$A501,P$3)))</f>
        <v/>
      </c>
      <c r="Q501" s="124" t="str">
        <f>IF($B501="","",IF(Q$3=0,"n.b.",INDEX(SRC_Woningetalage!$A$1:$ZZ$501,$A501,Q$3)))</f>
        <v/>
      </c>
      <c r="R501" s="124" t="str">
        <f>IF($B501="","",IF(R$3=0,"n.b.",INDEX(SRC_Woningetalage!$A$1:$ZZ$501,$A501,R$3)))</f>
        <v/>
      </c>
      <c r="S501" s="124" t="str">
        <f>IF($B501="","",IF(S$3=0,"n.b.",INDEX(SRC_Woningetalage!$A$1:$ZZ$501,$A501,S$3)))</f>
        <v/>
      </c>
      <c r="T501" s="124" t="str">
        <f>IF($B501="","",IF(T$3=0,"n.b.",INDEX(SRC_Woningetalage!$A$1:$ZZ$501,$A501,T$3)))</f>
        <v/>
      </c>
      <c r="U501" s="124" t="str">
        <f>IF($B501="","",IF(U$3=0,"n.b.",INDEX(SRC_Woningetalage!$A$1:$ZZ$501,$A501,U$3)))</f>
        <v/>
      </c>
      <c r="V501" s="124" t="str">
        <f>IF($B501="","",IF(V$3=0,"n.b.",INDEX(SRC_Woningetalage!$A$1:$ZZ$501,$A501,V$3)))</f>
        <v/>
      </c>
      <c r="W501" s="124" t="str">
        <f>IF($B501="","",IF(W$3=0,"n.b.",INDEX(SRC_Woningetalage!$A$1:$ZZ$501,$A501,W$3)))</f>
        <v/>
      </c>
      <c r="X501" s="124" t="str">
        <f>IF($B501="","",IF(X$3=0,"n.b.",INDEX(SRC_Woningetalage!$A$1:$ZZ$501,$A501,X$3)))</f>
        <v/>
      </c>
      <c r="Y501" s="124" t="str">
        <f>IF($B501="","",IF(Y$3=0,"n.b.",INDEX(SRC_Woningetalage!$A$1:$ZZ$501,$A501,Y$3)))</f>
        <v/>
      </c>
      <c r="Z501" s="124" t="str">
        <f>IF($B501="","",IF(Z$3=0,"n.b.",INDEX(SRC_Woningetalage!$A$1:$ZZ$501,$A501,Z$3)))</f>
        <v/>
      </c>
      <c r="AA501" s="124" t="str">
        <f>IF($B501="","",IF(AA$3=0,"n.b.",INDEX(SRC_Woningetalage!$A$1:$ZZ$501,$A501,AA$3)))</f>
        <v/>
      </c>
      <c r="AB501" s="124" t="str">
        <f>IF($B501="","",IF(AB$3=0,"n.b.",INDEX(SRC_Woningetalage!$A$1:$ZZ$501,$A501,AB$3)))</f>
        <v/>
      </c>
      <c r="AC501" s="124" t="str">
        <f>IF($B501="","",IF(AC$3=0,"n.b.",INDEX(SRC_Woningetalage!$A$1:$ZZ$501,$A501,AC$3)))</f>
        <v/>
      </c>
      <c r="AD501" s="124" t="str">
        <f>IF($B501="","",IF(AD$3=0,"n.b.",INDEX(SRC_Woningetalage!$A$1:$ZZ$501,$A501,AD$3)))</f>
        <v/>
      </c>
      <c r="AE501" s="124" t="str">
        <f>IF($B501="","",IF(AE$3=0,"n.b.",INDEX(SRC_Woningetalage!$A$1:$ZZ$501,$A501,AE$3)))</f>
        <v/>
      </c>
      <c r="AF501" s="124" t="str">
        <f>IF($B501="","",IF(AF$3=0,"n.b.",INDEX(SRC_Woningetalage!$A$1:$ZZ$501,$A501,AF$3)))</f>
        <v/>
      </c>
      <c r="AG501" s="124" t="str">
        <f>IF($B501="","",IF(AG$3=0,"n.b.",INDEX(SRC_Woningetalage!$A$1:$ZZ$501,$A501,AG$3)))</f>
        <v/>
      </c>
      <c r="AH501" s="124" t="str">
        <f>IF($B501="","",IF(AH$3=0,"n.b.",INDEX(SRC_Woningetalage!$A$1:$ZZ$501,$A501,AH$3)))</f>
        <v/>
      </c>
      <c r="AI501" s="124" t="str">
        <f>IF($B501="","",IF(AI$3=0,"n.b.",INDEX(SRC_Woningetalage!$A$1:$ZZ$501,$A501,AI$3)))</f>
        <v/>
      </c>
      <c r="AJ501" s="124" t="str">
        <f>IF($B501="","",IF(AJ$3=0,"n.b.",INDEX(SRC_Woningetalage!$A$1:$ZZ$501,$A501,AJ$3)))</f>
        <v/>
      </c>
      <c r="AK501" s="124" t="str">
        <f>IF($B501="","",IF(AK$3=0,"n.b.",INDEX(SRC_Woningetalage!$A$1:$ZZ$501,$A501,AK$3)))</f>
        <v/>
      </c>
      <c r="AL501" s="124" t="str">
        <f>IF($B501="","",IF(AL$3=0,"n.b.",INDEX(SRC_Woningetalage!$A$1:$ZZ$501,$A501,AL$3)))</f>
        <v/>
      </c>
      <c r="AM501" s="124" t="str">
        <f>IF($B501="","",IF(AM$3=0,"n.b.",INDEX(SRC_Woningetalage!$A$1:$ZZ$501,$A501,AM$3)))</f>
        <v/>
      </c>
      <c r="AN501" s="124" t="str">
        <f>IF($B501="","",IF(AN$3=0,"n.b.",INDEX(SRC_Woningetalage!$A$1:$ZZ$501,$A501,AN$3)))</f>
        <v/>
      </c>
      <c r="AO501" s="124" t="str">
        <f>IF($B501="","",IF(AO$3=0,"n.b.",INDEX(SRC_Woningetalage!$A$1:$ZZ$501,$A501,AO$3)))</f>
        <v/>
      </c>
      <c r="AP501" s="124" t="str">
        <f>IF($B501="","",IF(AP$3=0,"n.b.",INDEX(SRC_Woningetalage!$A$1:$ZZ$501,$A501,AP$3)))</f>
        <v/>
      </c>
      <c r="AQ501" s="124" t="str">
        <f>IF($B501="","",IF(AQ$3=0,"n.b.",INDEX(SRC_Woningetalage!$A$1:$ZZ$501,$A501,AQ$3)))</f>
        <v/>
      </c>
      <c r="AR501" s="124" t="str">
        <f>IF($B501="","",IF(AR$3=0,"n.b.",INDEX(SRC_Woningetalage!$A$1:$ZZ$501,$A501,AR$3)))</f>
        <v/>
      </c>
      <c r="AS501" s="124" t="str">
        <f>IF($B501="","",IF(AS$3=0,"n.b.",INDEX(SRC_Woningetalage!$A$1:$ZZ$501,$A501,AS$3)))</f>
        <v/>
      </c>
      <c r="AT501" s="124" t="str">
        <f>IF($B501="","",IF(AT$3=0,"n.b.",INDEX(SRC_Woningetalage!$A$1:$ZZ$501,$A501,AT$3)))</f>
        <v/>
      </c>
      <c r="AU501" s="124" t="str">
        <f>IF($B501="","",IF(AU$3=0,"n.b.",INDEX(SRC_Woningetalage!$A$1:$ZZ$501,$A501,AU$3)))</f>
        <v/>
      </c>
      <c r="AV501" s="124" t="str">
        <f>IF($B501="","",IF(AV$3=0,"n.b.",INDEX(SRC_Woningetalage!$A$1:$ZZ$501,$A501,AV$3)))</f>
        <v/>
      </c>
      <c r="AW501" s="124" t="str">
        <f>IF($B501="","",IF(AW$3=0,"n.b.",INDEX(SRC_Woningetalage!$A$1:$ZZ$501,$A501,AW$3)))</f>
        <v/>
      </c>
      <c r="AX501" s="124" t="str">
        <f>IF($B501="","",IF(AX$3=0,"n.b.",INDEX(SRC_Woningetalage!$A$1:$ZZ$501,$A501,AX$3)))</f>
        <v/>
      </c>
      <c r="AY501" s="124" t="str">
        <f>IF($B501="","",IF(AY$3=0,"n.b.",INDEX(SRC_Woningetalage!$A$1:$ZZ$501,$A501,AY$3)))</f>
        <v/>
      </c>
      <c r="AZ501" s="124" t="str">
        <f>IF($B501="","",IF(AZ$3=0,"n.b.",INDEX(SRC_Woningetalage!$A$1:$ZZ$501,$A501,AZ$3)))</f>
        <v/>
      </c>
      <c r="BA501" s="124" t="str">
        <f>IF($B501="","",IF(BA$3=0,"n.b.",INDEX(SRC_Woningetalage!$A$1:$ZZ$501,$A501,BA$3)))</f>
        <v/>
      </c>
      <c r="BB501" s="124" t="str">
        <f>IF($B501="","",IF(BB$3=0,"n.b.",INDEX(SRC_Woningetalage!$A$1:$ZZ$501,$A501,BB$3)))</f>
        <v/>
      </c>
      <c r="BC501" s="124" t="str">
        <f>IF($B501="","",IFERROR(_xlfn.NUMBERVALUE(E501&amp;"",",","."),"n.b."))</f>
        <v/>
      </c>
      <c r="BD501" s="124" t="str">
        <f>IF($B501="","",IFERROR(_xlfn.NUMBERVALUE(M501&amp;"",",","."),"n.b."))</f>
        <v/>
      </c>
      <c r="BE501" s="124" t="str">
        <f>IF($B501="","",IFERROR(AB501+AC501+AD501,"n.b."))</f>
        <v/>
      </c>
      <c r="BF501" s="124" t="str">
        <f>IF($B501="","",IFERROR(AE501+AF501+AG501,"n.b."))</f>
        <v/>
      </c>
      <c r="BG501" s="124" t="str">
        <f>IF($B501="","",IFERROR(AH501+AI501+AJ501,"n.b."))</f>
        <v/>
      </c>
      <c r="BH501" s="124" t="str">
        <f>IF($B501="","",IFERROR(AK501+AL501+AM501,"n.b."))</f>
        <v/>
      </c>
      <c r="BI501" s="124" t="str">
        <f>IF($B501="","",IFERROR(SUMIF($AB$5:$AM$5,"&lt;="&amp;P_PeilMaand,AB501:AM501),"n.b."))</f>
        <v/>
      </c>
      <c r="BJ501" s="124" t="str">
        <f>IF($B501="","",IFERROR(SUM(AB501:AM501)-BI501,"n.b."))</f>
        <v/>
      </c>
      <c r="BK501" s="124" t="str">
        <f>IF($B501="","",IFERROR(IF(ABS(Q501-(T501+SUM(AB501:AM501)+AS501+AU501))&gt;P_Tol,1,0),1))</f>
        <v/>
      </c>
      <c r="BL501" s="124" t="str">
        <f>IF($B501="","",IFERROR(IF(ABS(AA501-(Q501-Z501))&gt;P_Tol,1,0),1))</f>
        <v/>
      </c>
      <c r="BM501" s="124" t="str">
        <f>IF($B501="","",IFERROR(IF(ABS(Z501-(T501+W501))&gt;P_Tol,1,0),1))</f>
        <v/>
      </c>
      <c r="BN501" s="124" t="str">
        <f>IF($B501="","",IFERROR(IF(ABS(W501-BI501)&gt;P_Tol,1,0),1))</f>
        <v/>
      </c>
      <c r="BO501" s="124" t="str">
        <f>IF($B501="","",IFERROR(IF(OR(ABS(R501+S501-T501)&gt;P_Tol,ABS(U501+V501-W501)&gt;P_Tol,ABS(X501+Y501-Z501)&gt;P_Tol),1,0),1))</f>
        <v/>
      </c>
      <c r="BP501" s="124" t="str">
        <f>IF($B501="","",IFERROR(IF(OR(ABS(AR501-SUM(AB501:AM501))&gt;P_Tol,ABS(AS501-(AN501+AO501+AP501+AQ501))&gt;P_Tol),1,0),1))</f>
        <v/>
      </c>
      <c r="BQ501" s="124" t="str">
        <f>IF($B501="","",IFERROR(IF(ABS(AT501)+ABS(AV501)+ABS(AW501)+ABS(AX501)+ABS(AY501)+ABS(AZ501)+ABS(BA501)+ABS(BB501)&gt;0,1,0),1))</f>
        <v/>
      </c>
      <c r="BR501" s="124" t="str">
        <f>IF($B501="","",COUNTIF(STG_ZPMW03!$B$6:$B$505,B501))</f>
        <v/>
      </c>
      <c r="BS501" s="124" t="str">
        <f>IF($B501="","",COUNTIF($B$6:$B$505,B501))</f>
        <v/>
      </c>
      <c r="BT501" s="124" t="str">
        <f>IF($B501="","",IF(BR501=0,0,IF(INDEX(STG_ZPMW03!$I$6:$I$505,MATCH(B501,STG_ZPMW03!$B$6:$B$505,0))=J501&amp;"",0,1)))</f>
        <v/>
      </c>
      <c r="BU501" s="124" t="str">
        <f>IF($B501="","",IFERROR(IF(ABS(INDEX(Mapping!$D$5:$D$104,MATCH(B501,Mapping!$A$5:$A$104,0))-Q501)&gt;P_Tol,1,0),0))</f>
        <v/>
      </c>
      <c r="BV501" s="124" t="str">
        <f>IF($B501="","",IFERROR(IF(AND(INDEX(Mapping!$G$5:$G$104,MATCH(B501,Mapping!$A$5:$A$104,0))="Nee",ABS(Q501)+ABS(Z501)+ABS(AR501)&gt;0),1,0),0))</f>
        <v/>
      </c>
      <c r="BW501" s="124" t="str">
        <f>IF($B501="","",IF(COUNTIF(Mapping!$A$5:$A$104,B501)&gt;0,1,0))</f>
        <v/>
      </c>
      <c r="BX501" s="124" t="str">
        <f>IF($B501="","",IF(BR501=0,COUNTIF($BR$6:BR501,0),""))</f>
        <v/>
      </c>
    </row>
    <row r="502">
      <c r="A502" s="15" t="n">
        <v>498</v>
      </c>
      <c r="B502" t="str">
        <f>IF(B$3=0,"",IF(INDEX(SRC_Woningetalage!$A$1:$ZZ$501,$A502,B$3)&amp;""="","",INDEX(SRC_Woningetalage!$A$1:$ZZ$501,$A502,B$3)&amp;""))</f>
        <v/>
      </c>
      <c r="C502" t="str">
        <f>IF($B502="","",IF(C$3=0,"n.b.",INDEX(SRC_Woningetalage!$A$1:$ZZ$501,$A502,C$3)))</f>
        <v/>
      </c>
      <c r="D502" t="str">
        <f>IF($B502="","",IF(D$3=0,"n.b.",INDEX(SRC_Woningetalage!$A$1:$ZZ$501,$A502,D$3)))</f>
        <v/>
      </c>
      <c r="E502" t="str">
        <f>IF($B502="","",IF(E$3=0,"n.b.",INDEX(SRC_Woningetalage!$A$1:$ZZ$501,$A502,E$3)))</f>
        <v/>
      </c>
      <c r="F502" t="str">
        <f>IF($B502="","",IF(F$3=0,"n.b.",INDEX(SRC_Woningetalage!$A$1:$ZZ$501,$A502,F$3)))</f>
        <v/>
      </c>
      <c r="G502" t="str">
        <f>IF($B502="","",IF(G$3=0,"n.b.",INDEX(SRC_Woningetalage!$A$1:$ZZ$501,$A502,G$3)))</f>
        <v/>
      </c>
      <c r="H502" t="str">
        <f>IF($B502="","",IF(H$3=0,"n.b.",INDEX(SRC_Woningetalage!$A$1:$ZZ$501,$A502,H$3)))</f>
        <v/>
      </c>
      <c r="I502" t="str">
        <f>IF($B502="","",IF(I$3=0,"n.b.",INDEX(SRC_Woningetalage!$A$1:$ZZ$501,$A502,I$3)))</f>
        <v/>
      </c>
      <c r="J502" t="str">
        <f>IF($B502="","",IF(J$3=0,"n.b.",INDEX(SRC_Woningetalage!$A$1:$ZZ$501,$A502,J$3)))</f>
        <v/>
      </c>
      <c r="K502" t="str">
        <f>IF($B502="","",IF(K$3=0,"n.b.",INDEX(SRC_Woningetalage!$A$1:$ZZ$501,$A502,K$3)))</f>
        <v/>
      </c>
      <c r="L502" t="str">
        <f>IF($B502="","",IF(L$3=0,"n.b.",INDEX(SRC_Woningetalage!$A$1:$ZZ$501,$A502,L$3)))</f>
        <v/>
      </c>
      <c r="M502" t="str">
        <f>IF($B502="","",IF(M$3=0,"n.b.",INDEX(SRC_Woningetalage!$A$1:$ZZ$501,$A502,M$3)))</f>
        <v/>
      </c>
      <c r="N502" t="str">
        <f>IF($B502="","",IF(N$3=0,"n.b.",INDEX(SRC_Woningetalage!$A$1:$ZZ$501,$A502,N$3)))</f>
        <v/>
      </c>
      <c r="O502" t="str">
        <f>IF($B502="","",IF(O$3=0,"n.b.",INDEX(SRC_Woningetalage!$A$1:$ZZ$501,$A502,O$3)))</f>
        <v/>
      </c>
      <c r="P502" t="str">
        <f>IF($B502="","",IF(P$3=0,"n.b.",INDEX(SRC_Woningetalage!$A$1:$ZZ$501,$A502,P$3)))</f>
        <v/>
      </c>
      <c r="Q502" s="124" t="str">
        <f>IF($B502="","",IF(Q$3=0,"n.b.",INDEX(SRC_Woningetalage!$A$1:$ZZ$501,$A502,Q$3)))</f>
        <v/>
      </c>
      <c r="R502" s="124" t="str">
        <f>IF($B502="","",IF(R$3=0,"n.b.",INDEX(SRC_Woningetalage!$A$1:$ZZ$501,$A502,R$3)))</f>
        <v/>
      </c>
      <c r="S502" s="124" t="str">
        <f>IF($B502="","",IF(S$3=0,"n.b.",INDEX(SRC_Woningetalage!$A$1:$ZZ$501,$A502,S$3)))</f>
        <v/>
      </c>
      <c r="T502" s="124" t="str">
        <f>IF($B502="","",IF(T$3=0,"n.b.",INDEX(SRC_Woningetalage!$A$1:$ZZ$501,$A502,T$3)))</f>
        <v/>
      </c>
      <c r="U502" s="124" t="str">
        <f>IF($B502="","",IF(U$3=0,"n.b.",INDEX(SRC_Woningetalage!$A$1:$ZZ$501,$A502,U$3)))</f>
        <v/>
      </c>
      <c r="V502" s="124" t="str">
        <f>IF($B502="","",IF(V$3=0,"n.b.",INDEX(SRC_Woningetalage!$A$1:$ZZ$501,$A502,V$3)))</f>
        <v/>
      </c>
      <c r="W502" s="124" t="str">
        <f>IF($B502="","",IF(W$3=0,"n.b.",INDEX(SRC_Woningetalage!$A$1:$ZZ$501,$A502,W$3)))</f>
        <v/>
      </c>
      <c r="X502" s="124" t="str">
        <f>IF($B502="","",IF(X$3=0,"n.b.",INDEX(SRC_Woningetalage!$A$1:$ZZ$501,$A502,X$3)))</f>
        <v/>
      </c>
      <c r="Y502" s="124" t="str">
        <f>IF($B502="","",IF(Y$3=0,"n.b.",INDEX(SRC_Woningetalage!$A$1:$ZZ$501,$A502,Y$3)))</f>
        <v/>
      </c>
      <c r="Z502" s="124" t="str">
        <f>IF($B502="","",IF(Z$3=0,"n.b.",INDEX(SRC_Woningetalage!$A$1:$ZZ$501,$A502,Z$3)))</f>
        <v/>
      </c>
      <c r="AA502" s="124" t="str">
        <f>IF($B502="","",IF(AA$3=0,"n.b.",INDEX(SRC_Woningetalage!$A$1:$ZZ$501,$A502,AA$3)))</f>
        <v/>
      </c>
      <c r="AB502" s="124" t="str">
        <f>IF($B502="","",IF(AB$3=0,"n.b.",INDEX(SRC_Woningetalage!$A$1:$ZZ$501,$A502,AB$3)))</f>
        <v/>
      </c>
      <c r="AC502" s="124" t="str">
        <f>IF($B502="","",IF(AC$3=0,"n.b.",INDEX(SRC_Woningetalage!$A$1:$ZZ$501,$A502,AC$3)))</f>
        <v/>
      </c>
      <c r="AD502" s="124" t="str">
        <f>IF($B502="","",IF(AD$3=0,"n.b.",INDEX(SRC_Woningetalage!$A$1:$ZZ$501,$A502,AD$3)))</f>
        <v/>
      </c>
      <c r="AE502" s="124" t="str">
        <f>IF($B502="","",IF(AE$3=0,"n.b.",INDEX(SRC_Woningetalage!$A$1:$ZZ$501,$A502,AE$3)))</f>
        <v/>
      </c>
      <c r="AF502" s="124" t="str">
        <f>IF($B502="","",IF(AF$3=0,"n.b.",INDEX(SRC_Woningetalage!$A$1:$ZZ$501,$A502,AF$3)))</f>
        <v/>
      </c>
      <c r="AG502" s="124" t="str">
        <f>IF($B502="","",IF(AG$3=0,"n.b.",INDEX(SRC_Woningetalage!$A$1:$ZZ$501,$A502,AG$3)))</f>
        <v/>
      </c>
      <c r="AH502" s="124" t="str">
        <f>IF($B502="","",IF(AH$3=0,"n.b.",INDEX(SRC_Woningetalage!$A$1:$ZZ$501,$A502,AH$3)))</f>
        <v/>
      </c>
      <c r="AI502" s="124" t="str">
        <f>IF($B502="","",IF(AI$3=0,"n.b.",INDEX(SRC_Woningetalage!$A$1:$ZZ$501,$A502,AI$3)))</f>
        <v/>
      </c>
      <c r="AJ502" s="124" t="str">
        <f>IF($B502="","",IF(AJ$3=0,"n.b.",INDEX(SRC_Woningetalage!$A$1:$ZZ$501,$A502,AJ$3)))</f>
        <v/>
      </c>
      <c r="AK502" s="124" t="str">
        <f>IF($B502="","",IF(AK$3=0,"n.b.",INDEX(SRC_Woningetalage!$A$1:$ZZ$501,$A502,AK$3)))</f>
        <v/>
      </c>
      <c r="AL502" s="124" t="str">
        <f>IF($B502="","",IF(AL$3=0,"n.b.",INDEX(SRC_Woningetalage!$A$1:$ZZ$501,$A502,AL$3)))</f>
        <v/>
      </c>
      <c r="AM502" s="124" t="str">
        <f>IF($B502="","",IF(AM$3=0,"n.b.",INDEX(SRC_Woningetalage!$A$1:$ZZ$501,$A502,AM$3)))</f>
        <v/>
      </c>
      <c r="AN502" s="124" t="str">
        <f>IF($B502="","",IF(AN$3=0,"n.b.",INDEX(SRC_Woningetalage!$A$1:$ZZ$501,$A502,AN$3)))</f>
        <v/>
      </c>
      <c r="AO502" s="124" t="str">
        <f>IF($B502="","",IF(AO$3=0,"n.b.",INDEX(SRC_Woningetalage!$A$1:$ZZ$501,$A502,AO$3)))</f>
        <v/>
      </c>
      <c r="AP502" s="124" t="str">
        <f>IF($B502="","",IF(AP$3=0,"n.b.",INDEX(SRC_Woningetalage!$A$1:$ZZ$501,$A502,AP$3)))</f>
        <v/>
      </c>
      <c r="AQ502" s="124" t="str">
        <f>IF($B502="","",IF(AQ$3=0,"n.b.",INDEX(SRC_Woningetalage!$A$1:$ZZ$501,$A502,AQ$3)))</f>
        <v/>
      </c>
      <c r="AR502" s="124" t="str">
        <f>IF($B502="","",IF(AR$3=0,"n.b.",INDEX(SRC_Woningetalage!$A$1:$ZZ$501,$A502,AR$3)))</f>
        <v/>
      </c>
      <c r="AS502" s="124" t="str">
        <f>IF($B502="","",IF(AS$3=0,"n.b.",INDEX(SRC_Woningetalage!$A$1:$ZZ$501,$A502,AS$3)))</f>
        <v/>
      </c>
      <c r="AT502" s="124" t="str">
        <f>IF($B502="","",IF(AT$3=0,"n.b.",INDEX(SRC_Woningetalage!$A$1:$ZZ$501,$A502,AT$3)))</f>
        <v/>
      </c>
      <c r="AU502" s="124" t="str">
        <f>IF($B502="","",IF(AU$3=0,"n.b.",INDEX(SRC_Woningetalage!$A$1:$ZZ$501,$A502,AU$3)))</f>
        <v/>
      </c>
      <c r="AV502" s="124" t="str">
        <f>IF($B502="","",IF(AV$3=0,"n.b.",INDEX(SRC_Woningetalage!$A$1:$ZZ$501,$A502,AV$3)))</f>
        <v/>
      </c>
      <c r="AW502" s="124" t="str">
        <f>IF($B502="","",IF(AW$3=0,"n.b.",INDEX(SRC_Woningetalage!$A$1:$ZZ$501,$A502,AW$3)))</f>
        <v/>
      </c>
      <c r="AX502" s="124" t="str">
        <f>IF($B502="","",IF(AX$3=0,"n.b.",INDEX(SRC_Woningetalage!$A$1:$ZZ$501,$A502,AX$3)))</f>
        <v/>
      </c>
      <c r="AY502" s="124" t="str">
        <f>IF($B502="","",IF(AY$3=0,"n.b.",INDEX(SRC_Woningetalage!$A$1:$ZZ$501,$A502,AY$3)))</f>
        <v/>
      </c>
      <c r="AZ502" s="124" t="str">
        <f>IF($B502="","",IF(AZ$3=0,"n.b.",INDEX(SRC_Woningetalage!$A$1:$ZZ$501,$A502,AZ$3)))</f>
        <v/>
      </c>
      <c r="BA502" s="124" t="str">
        <f>IF($B502="","",IF(BA$3=0,"n.b.",INDEX(SRC_Woningetalage!$A$1:$ZZ$501,$A502,BA$3)))</f>
        <v/>
      </c>
      <c r="BB502" s="124" t="str">
        <f>IF($B502="","",IF(BB$3=0,"n.b.",INDEX(SRC_Woningetalage!$A$1:$ZZ$501,$A502,BB$3)))</f>
        <v/>
      </c>
      <c r="BC502" s="124" t="str">
        <f>IF($B502="","",IFERROR(_xlfn.NUMBERVALUE(E502&amp;"",",","."),"n.b."))</f>
        <v/>
      </c>
      <c r="BD502" s="124" t="str">
        <f>IF($B502="","",IFERROR(_xlfn.NUMBERVALUE(M502&amp;"",",","."),"n.b."))</f>
        <v/>
      </c>
      <c r="BE502" s="124" t="str">
        <f>IF($B502="","",IFERROR(AB502+AC502+AD502,"n.b."))</f>
        <v/>
      </c>
      <c r="BF502" s="124" t="str">
        <f>IF($B502="","",IFERROR(AE502+AF502+AG502,"n.b."))</f>
        <v/>
      </c>
      <c r="BG502" s="124" t="str">
        <f>IF($B502="","",IFERROR(AH502+AI502+AJ502,"n.b."))</f>
        <v/>
      </c>
      <c r="BH502" s="124" t="str">
        <f>IF($B502="","",IFERROR(AK502+AL502+AM502,"n.b."))</f>
        <v/>
      </c>
      <c r="BI502" s="124" t="str">
        <f>IF($B502="","",IFERROR(SUMIF($AB$5:$AM$5,"&lt;="&amp;P_PeilMaand,AB502:AM502),"n.b."))</f>
        <v/>
      </c>
      <c r="BJ502" s="124" t="str">
        <f>IF($B502="","",IFERROR(SUM(AB502:AM502)-BI502,"n.b."))</f>
        <v/>
      </c>
      <c r="BK502" s="124" t="str">
        <f>IF($B502="","",IFERROR(IF(ABS(Q502-(T502+SUM(AB502:AM502)+AS502+AU502))&gt;P_Tol,1,0),1))</f>
        <v/>
      </c>
      <c r="BL502" s="124" t="str">
        <f>IF($B502="","",IFERROR(IF(ABS(AA502-(Q502-Z502))&gt;P_Tol,1,0),1))</f>
        <v/>
      </c>
      <c r="BM502" s="124" t="str">
        <f>IF($B502="","",IFERROR(IF(ABS(Z502-(T502+W502))&gt;P_Tol,1,0),1))</f>
        <v/>
      </c>
      <c r="BN502" s="124" t="str">
        <f>IF($B502="","",IFERROR(IF(ABS(W502-BI502)&gt;P_Tol,1,0),1))</f>
        <v/>
      </c>
      <c r="BO502" s="124" t="str">
        <f>IF($B502="","",IFERROR(IF(OR(ABS(R502+S502-T502)&gt;P_Tol,ABS(U502+V502-W502)&gt;P_Tol,ABS(X502+Y502-Z502)&gt;P_Tol),1,0),1))</f>
        <v/>
      </c>
      <c r="BP502" s="124" t="str">
        <f>IF($B502="","",IFERROR(IF(OR(ABS(AR502-SUM(AB502:AM502))&gt;P_Tol,ABS(AS502-(AN502+AO502+AP502+AQ502))&gt;P_Tol),1,0),1))</f>
        <v/>
      </c>
      <c r="BQ502" s="124" t="str">
        <f>IF($B502="","",IFERROR(IF(ABS(AT502)+ABS(AV502)+ABS(AW502)+ABS(AX502)+ABS(AY502)+ABS(AZ502)+ABS(BA502)+ABS(BB502)&gt;0,1,0),1))</f>
        <v/>
      </c>
      <c r="BR502" s="124" t="str">
        <f>IF($B502="","",COUNTIF(STG_ZPMW03!$B$6:$B$505,B502))</f>
        <v/>
      </c>
      <c r="BS502" s="124" t="str">
        <f>IF($B502="","",COUNTIF($B$6:$B$505,B502))</f>
        <v/>
      </c>
      <c r="BT502" s="124" t="str">
        <f>IF($B502="","",IF(BR502=0,0,IF(INDEX(STG_ZPMW03!$I$6:$I$505,MATCH(B502,STG_ZPMW03!$B$6:$B$505,0))=J502&amp;"",0,1)))</f>
        <v/>
      </c>
      <c r="BU502" s="124" t="str">
        <f>IF($B502="","",IFERROR(IF(ABS(INDEX(Mapping!$D$5:$D$104,MATCH(B502,Mapping!$A$5:$A$104,0))-Q502)&gt;P_Tol,1,0),0))</f>
        <v/>
      </c>
      <c r="BV502" s="124" t="str">
        <f>IF($B502="","",IFERROR(IF(AND(INDEX(Mapping!$G$5:$G$104,MATCH(B502,Mapping!$A$5:$A$104,0))="Nee",ABS(Q502)+ABS(Z502)+ABS(AR502)&gt;0),1,0),0))</f>
        <v/>
      </c>
      <c r="BW502" s="124" t="str">
        <f>IF($B502="","",IF(COUNTIF(Mapping!$A$5:$A$104,B502)&gt;0,1,0))</f>
        <v/>
      </c>
      <c r="BX502" s="124" t="str">
        <f>IF($B502="","",IF(BR502=0,COUNTIF($BR$6:BR502,0),""))</f>
        <v/>
      </c>
    </row>
    <row r="503">
      <c r="A503" s="15" t="n">
        <v>499</v>
      </c>
      <c r="B503" t="str">
        <f>IF(B$3=0,"",IF(INDEX(SRC_Woningetalage!$A$1:$ZZ$501,$A503,B$3)&amp;""="","",INDEX(SRC_Woningetalage!$A$1:$ZZ$501,$A503,B$3)&amp;""))</f>
        <v/>
      </c>
      <c r="C503" t="str">
        <f>IF($B503="","",IF(C$3=0,"n.b.",INDEX(SRC_Woningetalage!$A$1:$ZZ$501,$A503,C$3)))</f>
        <v/>
      </c>
      <c r="D503" t="str">
        <f>IF($B503="","",IF(D$3=0,"n.b.",INDEX(SRC_Woningetalage!$A$1:$ZZ$501,$A503,D$3)))</f>
        <v/>
      </c>
      <c r="E503" t="str">
        <f>IF($B503="","",IF(E$3=0,"n.b.",INDEX(SRC_Woningetalage!$A$1:$ZZ$501,$A503,E$3)))</f>
        <v/>
      </c>
      <c r="F503" t="str">
        <f>IF($B503="","",IF(F$3=0,"n.b.",INDEX(SRC_Woningetalage!$A$1:$ZZ$501,$A503,F$3)))</f>
        <v/>
      </c>
      <c r="G503" t="str">
        <f>IF($B503="","",IF(G$3=0,"n.b.",INDEX(SRC_Woningetalage!$A$1:$ZZ$501,$A503,G$3)))</f>
        <v/>
      </c>
      <c r="H503" t="str">
        <f>IF($B503="","",IF(H$3=0,"n.b.",INDEX(SRC_Woningetalage!$A$1:$ZZ$501,$A503,H$3)))</f>
        <v/>
      </c>
      <c r="I503" t="str">
        <f>IF($B503="","",IF(I$3=0,"n.b.",INDEX(SRC_Woningetalage!$A$1:$ZZ$501,$A503,I$3)))</f>
        <v/>
      </c>
      <c r="J503" t="str">
        <f>IF($B503="","",IF(J$3=0,"n.b.",INDEX(SRC_Woningetalage!$A$1:$ZZ$501,$A503,J$3)))</f>
        <v/>
      </c>
      <c r="K503" t="str">
        <f>IF($B503="","",IF(K$3=0,"n.b.",INDEX(SRC_Woningetalage!$A$1:$ZZ$501,$A503,K$3)))</f>
        <v/>
      </c>
      <c r="L503" t="str">
        <f>IF($B503="","",IF(L$3=0,"n.b.",INDEX(SRC_Woningetalage!$A$1:$ZZ$501,$A503,L$3)))</f>
        <v/>
      </c>
      <c r="M503" t="str">
        <f>IF($B503="","",IF(M$3=0,"n.b.",INDEX(SRC_Woningetalage!$A$1:$ZZ$501,$A503,M$3)))</f>
        <v/>
      </c>
      <c r="N503" t="str">
        <f>IF($B503="","",IF(N$3=0,"n.b.",INDEX(SRC_Woningetalage!$A$1:$ZZ$501,$A503,N$3)))</f>
        <v/>
      </c>
      <c r="O503" t="str">
        <f>IF($B503="","",IF(O$3=0,"n.b.",INDEX(SRC_Woningetalage!$A$1:$ZZ$501,$A503,O$3)))</f>
        <v/>
      </c>
      <c r="P503" t="str">
        <f>IF($B503="","",IF(P$3=0,"n.b.",INDEX(SRC_Woningetalage!$A$1:$ZZ$501,$A503,P$3)))</f>
        <v/>
      </c>
      <c r="Q503" s="124" t="str">
        <f>IF($B503="","",IF(Q$3=0,"n.b.",INDEX(SRC_Woningetalage!$A$1:$ZZ$501,$A503,Q$3)))</f>
        <v/>
      </c>
      <c r="R503" s="124" t="str">
        <f>IF($B503="","",IF(R$3=0,"n.b.",INDEX(SRC_Woningetalage!$A$1:$ZZ$501,$A503,R$3)))</f>
        <v/>
      </c>
      <c r="S503" s="124" t="str">
        <f>IF($B503="","",IF(S$3=0,"n.b.",INDEX(SRC_Woningetalage!$A$1:$ZZ$501,$A503,S$3)))</f>
        <v/>
      </c>
      <c r="T503" s="124" t="str">
        <f>IF($B503="","",IF(T$3=0,"n.b.",INDEX(SRC_Woningetalage!$A$1:$ZZ$501,$A503,T$3)))</f>
        <v/>
      </c>
      <c r="U503" s="124" t="str">
        <f>IF($B503="","",IF(U$3=0,"n.b.",INDEX(SRC_Woningetalage!$A$1:$ZZ$501,$A503,U$3)))</f>
        <v/>
      </c>
      <c r="V503" s="124" t="str">
        <f>IF($B503="","",IF(V$3=0,"n.b.",INDEX(SRC_Woningetalage!$A$1:$ZZ$501,$A503,V$3)))</f>
        <v/>
      </c>
      <c r="W503" s="124" t="str">
        <f>IF($B503="","",IF(W$3=0,"n.b.",INDEX(SRC_Woningetalage!$A$1:$ZZ$501,$A503,W$3)))</f>
        <v/>
      </c>
      <c r="X503" s="124" t="str">
        <f>IF($B503="","",IF(X$3=0,"n.b.",INDEX(SRC_Woningetalage!$A$1:$ZZ$501,$A503,X$3)))</f>
        <v/>
      </c>
      <c r="Y503" s="124" t="str">
        <f>IF($B503="","",IF(Y$3=0,"n.b.",INDEX(SRC_Woningetalage!$A$1:$ZZ$501,$A503,Y$3)))</f>
        <v/>
      </c>
      <c r="Z503" s="124" t="str">
        <f>IF($B503="","",IF(Z$3=0,"n.b.",INDEX(SRC_Woningetalage!$A$1:$ZZ$501,$A503,Z$3)))</f>
        <v/>
      </c>
      <c r="AA503" s="124" t="str">
        <f>IF($B503="","",IF(AA$3=0,"n.b.",INDEX(SRC_Woningetalage!$A$1:$ZZ$501,$A503,AA$3)))</f>
        <v/>
      </c>
      <c r="AB503" s="124" t="str">
        <f>IF($B503="","",IF(AB$3=0,"n.b.",INDEX(SRC_Woningetalage!$A$1:$ZZ$501,$A503,AB$3)))</f>
        <v/>
      </c>
      <c r="AC503" s="124" t="str">
        <f>IF($B503="","",IF(AC$3=0,"n.b.",INDEX(SRC_Woningetalage!$A$1:$ZZ$501,$A503,AC$3)))</f>
        <v/>
      </c>
      <c r="AD503" s="124" t="str">
        <f>IF($B503="","",IF(AD$3=0,"n.b.",INDEX(SRC_Woningetalage!$A$1:$ZZ$501,$A503,AD$3)))</f>
        <v/>
      </c>
      <c r="AE503" s="124" t="str">
        <f>IF($B503="","",IF(AE$3=0,"n.b.",INDEX(SRC_Woningetalage!$A$1:$ZZ$501,$A503,AE$3)))</f>
        <v/>
      </c>
      <c r="AF503" s="124" t="str">
        <f>IF($B503="","",IF(AF$3=0,"n.b.",INDEX(SRC_Woningetalage!$A$1:$ZZ$501,$A503,AF$3)))</f>
        <v/>
      </c>
      <c r="AG503" s="124" t="str">
        <f>IF($B503="","",IF(AG$3=0,"n.b.",INDEX(SRC_Woningetalage!$A$1:$ZZ$501,$A503,AG$3)))</f>
        <v/>
      </c>
      <c r="AH503" s="124" t="str">
        <f>IF($B503="","",IF(AH$3=0,"n.b.",INDEX(SRC_Woningetalage!$A$1:$ZZ$501,$A503,AH$3)))</f>
        <v/>
      </c>
      <c r="AI503" s="124" t="str">
        <f>IF($B503="","",IF(AI$3=0,"n.b.",INDEX(SRC_Woningetalage!$A$1:$ZZ$501,$A503,AI$3)))</f>
        <v/>
      </c>
      <c r="AJ503" s="124" t="str">
        <f>IF($B503="","",IF(AJ$3=0,"n.b.",INDEX(SRC_Woningetalage!$A$1:$ZZ$501,$A503,AJ$3)))</f>
        <v/>
      </c>
      <c r="AK503" s="124" t="str">
        <f>IF($B503="","",IF(AK$3=0,"n.b.",INDEX(SRC_Woningetalage!$A$1:$ZZ$501,$A503,AK$3)))</f>
        <v/>
      </c>
      <c r="AL503" s="124" t="str">
        <f>IF($B503="","",IF(AL$3=0,"n.b.",INDEX(SRC_Woningetalage!$A$1:$ZZ$501,$A503,AL$3)))</f>
        <v/>
      </c>
      <c r="AM503" s="124" t="str">
        <f>IF($B503="","",IF(AM$3=0,"n.b.",INDEX(SRC_Woningetalage!$A$1:$ZZ$501,$A503,AM$3)))</f>
        <v/>
      </c>
      <c r="AN503" s="124" t="str">
        <f>IF($B503="","",IF(AN$3=0,"n.b.",INDEX(SRC_Woningetalage!$A$1:$ZZ$501,$A503,AN$3)))</f>
        <v/>
      </c>
      <c r="AO503" s="124" t="str">
        <f>IF($B503="","",IF(AO$3=0,"n.b.",INDEX(SRC_Woningetalage!$A$1:$ZZ$501,$A503,AO$3)))</f>
        <v/>
      </c>
      <c r="AP503" s="124" t="str">
        <f>IF($B503="","",IF(AP$3=0,"n.b.",INDEX(SRC_Woningetalage!$A$1:$ZZ$501,$A503,AP$3)))</f>
        <v/>
      </c>
      <c r="AQ503" s="124" t="str">
        <f>IF($B503="","",IF(AQ$3=0,"n.b.",INDEX(SRC_Woningetalage!$A$1:$ZZ$501,$A503,AQ$3)))</f>
        <v/>
      </c>
      <c r="AR503" s="124" t="str">
        <f>IF($B503="","",IF(AR$3=0,"n.b.",INDEX(SRC_Woningetalage!$A$1:$ZZ$501,$A503,AR$3)))</f>
        <v/>
      </c>
      <c r="AS503" s="124" t="str">
        <f>IF($B503="","",IF(AS$3=0,"n.b.",INDEX(SRC_Woningetalage!$A$1:$ZZ$501,$A503,AS$3)))</f>
        <v/>
      </c>
      <c r="AT503" s="124" t="str">
        <f>IF($B503="","",IF(AT$3=0,"n.b.",INDEX(SRC_Woningetalage!$A$1:$ZZ$501,$A503,AT$3)))</f>
        <v/>
      </c>
      <c r="AU503" s="124" t="str">
        <f>IF($B503="","",IF(AU$3=0,"n.b.",INDEX(SRC_Woningetalage!$A$1:$ZZ$501,$A503,AU$3)))</f>
        <v/>
      </c>
      <c r="AV503" s="124" t="str">
        <f>IF($B503="","",IF(AV$3=0,"n.b.",INDEX(SRC_Woningetalage!$A$1:$ZZ$501,$A503,AV$3)))</f>
        <v/>
      </c>
      <c r="AW503" s="124" t="str">
        <f>IF($B503="","",IF(AW$3=0,"n.b.",INDEX(SRC_Woningetalage!$A$1:$ZZ$501,$A503,AW$3)))</f>
        <v/>
      </c>
      <c r="AX503" s="124" t="str">
        <f>IF($B503="","",IF(AX$3=0,"n.b.",INDEX(SRC_Woningetalage!$A$1:$ZZ$501,$A503,AX$3)))</f>
        <v/>
      </c>
      <c r="AY503" s="124" t="str">
        <f>IF($B503="","",IF(AY$3=0,"n.b.",INDEX(SRC_Woningetalage!$A$1:$ZZ$501,$A503,AY$3)))</f>
        <v/>
      </c>
      <c r="AZ503" s="124" t="str">
        <f>IF($B503="","",IF(AZ$3=0,"n.b.",INDEX(SRC_Woningetalage!$A$1:$ZZ$501,$A503,AZ$3)))</f>
        <v/>
      </c>
      <c r="BA503" s="124" t="str">
        <f>IF($B503="","",IF(BA$3=0,"n.b.",INDEX(SRC_Woningetalage!$A$1:$ZZ$501,$A503,BA$3)))</f>
        <v/>
      </c>
      <c r="BB503" s="124" t="str">
        <f>IF($B503="","",IF(BB$3=0,"n.b.",INDEX(SRC_Woningetalage!$A$1:$ZZ$501,$A503,BB$3)))</f>
        <v/>
      </c>
      <c r="BC503" s="124" t="str">
        <f>IF($B503="","",IFERROR(_xlfn.NUMBERVALUE(E503&amp;"",",","."),"n.b."))</f>
        <v/>
      </c>
      <c r="BD503" s="124" t="str">
        <f>IF($B503="","",IFERROR(_xlfn.NUMBERVALUE(M503&amp;"",",","."),"n.b."))</f>
        <v/>
      </c>
      <c r="BE503" s="124" t="str">
        <f>IF($B503="","",IFERROR(AB503+AC503+AD503,"n.b."))</f>
        <v/>
      </c>
      <c r="BF503" s="124" t="str">
        <f>IF($B503="","",IFERROR(AE503+AF503+AG503,"n.b."))</f>
        <v/>
      </c>
      <c r="BG503" s="124" t="str">
        <f>IF($B503="","",IFERROR(AH503+AI503+AJ503,"n.b."))</f>
        <v/>
      </c>
      <c r="BH503" s="124" t="str">
        <f>IF($B503="","",IFERROR(AK503+AL503+AM503,"n.b."))</f>
        <v/>
      </c>
      <c r="BI503" s="124" t="str">
        <f>IF($B503="","",IFERROR(SUMIF($AB$5:$AM$5,"&lt;="&amp;P_PeilMaand,AB503:AM503),"n.b."))</f>
        <v/>
      </c>
      <c r="BJ503" s="124" t="str">
        <f>IF($B503="","",IFERROR(SUM(AB503:AM503)-BI503,"n.b."))</f>
        <v/>
      </c>
      <c r="BK503" s="124" t="str">
        <f>IF($B503="","",IFERROR(IF(ABS(Q503-(T503+SUM(AB503:AM503)+AS503+AU503))&gt;P_Tol,1,0),1))</f>
        <v/>
      </c>
      <c r="BL503" s="124" t="str">
        <f>IF($B503="","",IFERROR(IF(ABS(AA503-(Q503-Z503))&gt;P_Tol,1,0),1))</f>
        <v/>
      </c>
      <c r="BM503" s="124" t="str">
        <f>IF($B503="","",IFERROR(IF(ABS(Z503-(T503+W503))&gt;P_Tol,1,0),1))</f>
        <v/>
      </c>
      <c r="BN503" s="124" t="str">
        <f>IF($B503="","",IFERROR(IF(ABS(W503-BI503)&gt;P_Tol,1,0),1))</f>
        <v/>
      </c>
      <c r="BO503" s="124" t="str">
        <f>IF($B503="","",IFERROR(IF(OR(ABS(R503+S503-T503)&gt;P_Tol,ABS(U503+V503-W503)&gt;P_Tol,ABS(X503+Y503-Z503)&gt;P_Tol),1,0),1))</f>
        <v/>
      </c>
      <c r="BP503" s="124" t="str">
        <f>IF($B503="","",IFERROR(IF(OR(ABS(AR503-SUM(AB503:AM503))&gt;P_Tol,ABS(AS503-(AN503+AO503+AP503+AQ503))&gt;P_Tol),1,0),1))</f>
        <v/>
      </c>
      <c r="BQ503" s="124" t="str">
        <f>IF($B503="","",IFERROR(IF(ABS(AT503)+ABS(AV503)+ABS(AW503)+ABS(AX503)+ABS(AY503)+ABS(AZ503)+ABS(BA503)+ABS(BB503)&gt;0,1,0),1))</f>
        <v/>
      </c>
      <c r="BR503" s="124" t="str">
        <f>IF($B503="","",COUNTIF(STG_ZPMW03!$B$6:$B$505,B503))</f>
        <v/>
      </c>
      <c r="BS503" s="124" t="str">
        <f>IF($B503="","",COUNTIF($B$6:$B$505,B503))</f>
        <v/>
      </c>
      <c r="BT503" s="124" t="str">
        <f>IF($B503="","",IF(BR503=0,0,IF(INDEX(STG_ZPMW03!$I$6:$I$505,MATCH(B503,STG_ZPMW03!$B$6:$B$505,0))=J503&amp;"",0,1)))</f>
        <v/>
      </c>
      <c r="BU503" s="124" t="str">
        <f>IF($B503="","",IFERROR(IF(ABS(INDEX(Mapping!$D$5:$D$104,MATCH(B503,Mapping!$A$5:$A$104,0))-Q503)&gt;P_Tol,1,0),0))</f>
        <v/>
      </c>
      <c r="BV503" s="124" t="str">
        <f>IF($B503="","",IFERROR(IF(AND(INDEX(Mapping!$G$5:$G$104,MATCH(B503,Mapping!$A$5:$A$104,0))="Nee",ABS(Q503)+ABS(Z503)+ABS(AR503)&gt;0),1,0),0))</f>
        <v/>
      </c>
      <c r="BW503" s="124" t="str">
        <f>IF($B503="","",IF(COUNTIF(Mapping!$A$5:$A$104,B503)&gt;0,1,0))</f>
        <v/>
      </c>
      <c r="BX503" s="124" t="str">
        <f>IF($B503="","",IF(BR503=0,COUNTIF($BR$6:BR503,0),""))</f>
        <v/>
      </c>
    </row>
    <row r="504">
      <c r="A504" s="15" t="n">
        <v>500</v>
      </c>
      <c r="B504" t="str">
        <f>IF(B$3=0,"",IF(INDEX(SRC_Woningetalage!$A$1:$ZZ$501,$A504,B$3)&amp;""="","",INDEX(SRC_Woningetalage!$A$1:$ZZ$501,$A504,B$3)&amp;""))</f>
        <v/>
      </c>
      <c r="C504" t="str">
        <f>IF($B504="","",IF(C$3=0,"n.b.",INDEX(SRC_Woningetalage!$A$1:$ZZ$501,$A504,C$3)))</f>
        <v/>
      </c>
      <c r="D504" t="str">
        <f>IF($B504="","",IF(D$3=0,"n.b.",INDEX(SRC_Woningetalage!$A$1:$ZZ$501,$A504,D$3)))</f>
        <v/>
      </c>
      <c r="E504" t="str">
        <f>IF($B504="","",IF(E$3=0,"n.b.",INDEX(SRC_Woningetalage!$A$1:$ZZ$501,$A504,E$3)))</f>
        <v/>
      </c>
      <c r="F504" t="str">
        <f>IF($B504="","",IF(F$3=0,"n.b.",INDEX(SRC_Woningetalage!$A$1:$ZZ$501,$A504,F$3)))</f>
        <v/>
      </c>
      <c r="G504" t="str">
        <f>IF($B504="","",IF(G$3=0,"n.b.",INDEX(SRC_Woningetalage!$A$1:$ZZ$501,$A504,G$3)))</f>
        <v/>
      </c>
      <c r="H504" t="str">
        <f>IF($B504="","",IF(H$3=0,"n.b.",INDEX(SRC_Woningetalage!$A$1:$ZZ$501,$A504,H$3)))</f>
        <v/>
      </c>
      <c r="I504" t="str">
        <f>IF($B504="","",IF(I$3=0,"n.b.",INDEX(SRC_Woningetalage!$A$1:$ZZ$501,$A504,I$3)))</f>
        <v/>
      </c>
      <c r="J504" t="str">
        <f>IF($B504="","",IF(J$3=0,"n.b.",INDEX(SRC_Woningetalage!$A$1:$ZZ$501,$A504,J$3)))</f>
        <v/>
      </c>
      <c r="K504" t="str">
        <f>IF($B504="","",IF(K$3=0,"n.b.",INDEX(SRC_Woningetalage!$A$1:$ZZ$501,$A504,K$3)))</f>
        <v/>
      </c>
      <c r="L504" t="str">
        <f>IF($B504="","",IF(L$3=0,"n.b.",INDEX(SRC_Woningetalage!$A$1:$ZZ$501,$A504,L$3)))</f>
        <v/>
      </c>
      <c r="M504" t="str">
        <f>IF($B504="","",IF(M$3=0,"n.b.",INDEX(SRC_Woningetalage!$A$1:$ZZ$501,$A504,M$3)))</f>
        <v/>
      </c>
      <c r="N504" t="str">
        <f>IF($B504="","",IF(N$3=0,"n.b.",INDEX(SRC_Woningetalage!$A$1:$ZZ$501,$A504,N$3)))</f>
        <v/>
      </c>
      <c r="O504" t="str">
        <f>IF($B504="","",IF(O$3=0,"n.b.",INDEX(SRC_Woningetalage!$A$1:$ZZ$501,$A504,O$3)))</f>
        <v/>
      </c>
      <c r="P504" t="str">
        <f>IF($B504="","",IF(P$3=0,"n.b.",INDEX(SRC_Woningetalage!$A$1:$ZZ$501,$A504,P$3)))</f>
        <v/>
      </c>
      <c r="Q504" s="124" t="str">
        <f>IF($B504="","",IF(Q$3=0,"n.b.",INDEX(SRC_Woningetalage!$A$1:$ZZ$501,$A504,Q$3)))</f>
        <v/>
      </c>
      <c r="R504" s="124" t="str">
        <f>IF($B504="","",IF(R$3=0,"n.b.",INDEX(SRC_Woningetalage!$A$1:$ZZ$501,$A504,R$3)))</f>
        <v/>
      </c>
      <c r="S504" s="124" t="str">
        <f>IF($B504="","",IF(S$3=0,"n.b.",INDEX(SRC_Woningetalage!$A$1:$ZZ$501,$A504,S$3)))</f>
        <v/>
      </c>
      <c r="T504" s="124" t="str">
        <f>IF($B504="","",IF(T$3=0,"n.b.",INDEX(SRC_Woningetalage!$A$1:$ZZ$501,$A504,T$3)))</f>
        <v/>
      </c>
      <c r="U504" s="124" t="str">
        <f>IF($B504="","",IF(U$3=0,"n.b.",INDEX(SRC_Woningetalage!$A$1:$ZZ$501,$A504,U$3)))</f>
        <v/>
      </c>
      <c r="V504" s="124" t="str">
        <f>IF($B504="","",IF(V$3=0,"n.b.",INDEX(SRC_Woningetalage!$A$1:$ZZ$501,$A504,V$3)))</f>
        <v/>
      </c>
      <c r="W504" s="124" t="str">
        <f>IF($B504="","",IF(W$3=0,"n.b.",INDEX(SRC_Woningetalage!$A$1:$ZZ$501,$A504,W$3)))</f>
        <v/>
      </c>
      <c r="X504" s="124" t="str">
        <f>IF($B504="","",IF(X$3=0,"n.b.",INDEX(SRC_Woningetalage!$A$1:$ZZ$501,$A504,X$3)))</f>
        <v/>
      </c>
      <c r="Y504" s="124" t="str">
        <f>IF($B504="","",IF(Y$3=0,"n.b.",INDEX(SRC_Woningetalage!$A$1:$ZZ$501,$A504,Y$3)))</f>
        <v/>
      </c>
      <c r="Z504" s="124" t="str">
        <f>IF($B504="","",IF(Z$3=0,"n.b.",INDEX(SRC_Woningetalage!$A$1:$ZZ$501,$A504,Z$3)))</f>
        <v/>
      </c>
      <c r="AA504" s="124" t="str">
        <f>IF($B504="","",IF(AA$3=0,"n.b.",INDEX(SRC_Woningetalage!$A$1:$ZZ$501,$A504,AA$3)))</f>
        <v/>
      </c>
      <c r="AB504" s="124" t="str">
        <f>IF($B504="","",IF(AB$3=0,"n.b.",INDEX(SRC_Woningetalage!$A$1:$ZZ$501,$A504,AB$3)))</f>
        <v/>
      </c>
      <c r="AC504" s="124" t="str">
        <f>IF($B504="","",IF(AC$3=0,"n.b.",INDEX(SRC_Woningetalage!$A$1:$ZZ$501,$A504,AC$3)))</f>
        <v/>
      </c>
      <c r="AD504" s="124" t="str">
        <f>IF($B504="","",IF(AD$3=0,"n.b.",INDEX(SRC_Woningetalage!$A$1:$ZZ$501,$A504,AD$3)))</f>
        <v/>
      </c>
      <c r="AE504" s="124" t="str">
        <f>IF($B504="","",IF(AE$3=0,"n.b.",INDEX(SRC_Woningetalage!$A$1:$ZZ$501,$A504,AE$3)))</f>
        <v/>
      </c>
      <c r="AF504" s="124" t="str">
        <f>IF($B504="","",IF(AF$3=0,"n.b.",INDEX(SRC_Woningetalage!$A$1:$ZZ$501,$A504,AF$3)))</f>
        <v/>
      </c>
      <c r="AG504" s="124" t="str">
        <f>IF($B504="","",IF(AG$3=0,"n.b.",INDEX(SRC_Woningetalage!$A$1:$ZZ$501,$A504,AG$3)))</f>
        <v/>
      </c>
      <c r="AH504" s="124" t="str">
        <f>IF($B504="","",IF(AH$3=0,"n.b.",INDEX(SRC_Woningetalage!$A$1:$ZZ$501,$A504,AH$3)))</f>
        <v/>
      </c>
      <c r="AI504" s="124" t="str">
        <f>IF($B504="","",IF(AI$3=0,"n.b.",INDEX(SRC_Woningetalage!$A$1:$ZZ$501,$A504,AI$3)))</f>
        <v/>
      </c>
      <c r="AJ504" s="124" t="str">
        <f>IF($B504="","",IF(AJ$3=0,"n.b.",INDEX(SRC_Woningetalage!$A$1:$ZZ$501,$A504,AJ$3)))</f>
        <v/>
      </c>
      <c r="AK504" s="124" t="str">
        <f>IF($B504="","",IF(AK$3=0,"n.b.",INDEX(SRC_Woningetalage!$A$1:$ZZ$501,$A504,AK$3)))</f>
        <v/>
      </c>
      <c r="AL504" s="124" t="str">
        <f>IF($B504="","",IF(AL$3=0,"n.b.",INDEX(SRC_Woningetalage!$A$1:$ZZ$501,$A504,AL$3)))</f>
        <v/>
      </c>
      <c r="AM504" s="124" t="str">
        <f>IF($B504="","",IF(AM$3=0,"n.b.",INDEX(SRC_Woningetalage!$A$1:$ZZ$501,$A504,AM$3)))</f>
        <v/>
      </c>
      <c r="AN504" s="124" t="str">
        <f>IF($B504="","",IF(AN$3=0,"n.b.",INDEX(SRC_Woningetalage!$A$1:$ZZ$501,$A504,AN$3)))</f>
        <v/>
      </c>
      <c r="AO504" s="124" t="str">
        <f>IF($B504="","",IF(AO$3=0,"n.b.",INDEX(SRC_Woningetalage!$A$1:$ZZ$501,$A504,AO$3)))</f>
        <v/>
      </c>
      <c r="AP504" s="124" t="str">
        <f>IF($B504="","",IF(AP$3=0,"n.b.",INDEX(SRC_Woningetalage!$A$1:$ZZ$501,$A504,AP$3)))</f>
        <v/>
      </c>
      <c r="AQ504" s="124" t="str">
        <f>IF($B504="","",IF(AQ$3=0,"n.b.",INDEX(SRC_Woningetalage!$A$1:$ZZ$501,$A504,AQ$3)))</f>
        <v/>
      </c>
      <c r="AR504" s="124" t="str">
        <f>IF($B504="","",IF(AR$3=0,"n.b.",INDEX(SRC_Woningetalage!$A$1:$ZZ$501,$A504,AR$3)))</f>
        <v/>
      </c>
      <c r="AS504" s="124" t="str">
        <f>IF($B504="","",IF(AS$3=0,"n.b.",INDEX(SRC_Woningetalage!$A$1:$ZZ$501,$A504,AS$3)))</f>
        <v/>
      </c>
      <c r="AT504" s="124" t="str">
        <f>IF($B504="","",IF(AT$3=0,"n.b.",INDEX(SRC_Woningetalage!$A$1:$ZZ$501,$A504,AT$3)))</f>
        <v/>
      </c>
      <c r="AU504" s="124" t="str">
        <f>IF($B504="","",IF(AU$3=0,"n.b.",INDEX(SRC_Woningetalage!$A$1:$ZZ$501,$A504,AU$3)))</f>
        <v/>
      </c>
      <c r="AV504" s="124" t="str">
        <f>IF($B504="","",IF(AV$3=0,"n.b.",INDEX(SRC_Woningetalage!$A$1:$ZZ$501,$A504,AV$3)))</f>
        <v/>
      </c>
      <c r="AW504" s="124" t="str">
        <f>IF($B504="","",IF(AW$3=0,"n.b.",INDEX(SRC_Woningetalage!$A$1:$ZZ$501,$A504,AW$3)))</f>
        <v/>
      </c>
      <c r="AX504" s="124" t="str">
        <f>IF($B504="","",IF(AX$3=0,"n.b.",INDEX(SRC_Woningetalage!$A$1:$ZZ$501,$A504,AX$3)))</f>
        <v/>
      </c>
      <c r="AY504" s="124" t="str">
        <f>IF($B504="","",IF(AY$3=0,"n.b.",INDEX(SRC_Woningetalage!$A$1:$ZZ$501,$A504,AY$3)))</f>
        <v/>
      </c>
      <c r="AZ504" s="124" t="str">
        <f>IF($B504="","",IF(AZ$3=0,"n.b.",INDEX(SRC_Woningetalage!$A$1:$ZZ$501,$A504,AZ$3)))</f>
        <v/>
      </c>
      <c r="BA504" s="124" t="str">
        <f>IF($B504="","",IF(BA$3=0,"n.b.",INDEX(SRC_Woningetalage!$A$1:$ZZ$501,$A504,BA$3)))</f>
        <v/>
      </c>
      <c r="BB504" s="124" t="str">
        <f>IF($B504="","",IF(BB$3=0,"n.b.",INDEX(SRC_Woningetalage!$A$1:$ZZ$501,$A504,BB$3)))</f>
        <v/>
      </c>
      <c r="BC504" s="124" t="str">
        <f>IF($B504="","",IFERROR(_xlfn.NUMBERVALUE(E504&amp;"",",","."),"n.b."))</f>
        <v/>
      </c>
      <c r="BD504" s="124" t="str">
        <f>IF($B504="","",IFERROR(_xlfn.NUMBERVALUE(M504&amp;"",",","."),"n.b."))</f>
        <v/>
      </c>
      <c r="BE504" s="124" t="str">
        <f>IF($B504="","",IFERROR(AB504+AC504+AD504,"n.b."))</f>
        <v/>
      </c>
      <c r="BF504" s="124" t="str">
        <f>IF($B504="","",IFERROR(AE504+AF504+AG504,"n.b."))</f>
        <v/>
      </c>
      <c r="BG504" s="124" t="str">
        <f>IF($B504="","",IFERROR(AH504+AI504+AJ504,"n.b."))</f>
        <v/>
      </c>
      <c r="BH504" s="124" t="str">
        <f>IF($B504="","",IFERROR(AK504+AL504+AM504,"n.b."))</f>
        <v/>
      </c>
      <c r="BI504" s="124" t="str">
        <f>IF($B504="","",IFERROR(SUMIF($AB$5:$AM$5,"&lt;="&amp;P_PeilMaand,AB504:AM504),"n.b."))</f>
        <v/>
      </c>
      <c r="BJ504" s="124" t="str">
        <f>IF($B504="","",IFERROR(SUM(AB504:AM504)-BI504,"n.b."))</f>
        <v/>
      </c>
      <c r="BK504" s="124" t="str">
        <f>IF($B504="","",IFERROR(IF(ABS(Q504-(T504+SUM(AB504:AM504)+AS504+AU504))&gt;P_Tol,1,0),1))</f>
        <v/>
      </c>
      <c r="BL504" s="124" t="str">
        <f>IF($B504="","",IFERROR(IF(ABS(AA504-(Q504-Z504))&gt;P_Tol,1,0),1))</f>
        <v/>
      </c>
      <c r="BM504" s="124" t="str">
        <f>IF($B504="","",IFERROR(IF(ABS(Z504-(T504+W504))&gt;P_Tol,1,0),1))</f>
        <v/>
      </c>
      <c r="BN504" s="124" t="str">
        <f>IF($B504="","",IFERROR(IF(ABS(W504-BI504)&gt;P_Tol,1,0),1))</f>
        <v/>
      </c>
      <c r="BO504" s="124" t="str">
        <f>IF($B504="","",IFERROR(IF(OR(ABS(R504+S504-T504)&gt;P_Tol,ABS(U504+V504-W504)&gt;P_Tol,ABS(X504+Y504-Z504)&gt;P_Tol),1,0),1))</f>
        <v/>
      </c>
      <c r="BP504" s="124" t="str">
        <f>IF($B504="","",IFERROR(IF(OR(ABS(AR504-SUM(AB504:AM504))&gt;P_Tol,ABS(AS504-(AN504+AO504+AP504+AQ504))&gt;P_Tol),1,0),1))</f>
        <v/>
      </c>
      <c r="BQ504" s="124" t="str">
        <f>IF($B504="","",IFERROR(IF(ABS(AT504)+ABS(AV504)+ABS(AW504)+ABS(AX504)+ABS(AY504)+ABS(AZ504)+ABS(BA504)+ABS(BB504)&gt;0,1,0),1))</f>
        <v/>
      </c>
      <c r="BR504" s="124" t="str">
        <f>IF($B504="","",COUNTIF(STG_ZPMW03!$B$6:$B$505,B504))</f>
        <v/>
      </c>
      <c r="BS504" s="124" t="str">
        <f>IF($B504="","",COUNTIF($B$6:$B$505,B504))</f>
        <v/>
      </c>
      <c r="BT504" s="124" t="str">
        <f>IF($B504="","",IF(BR504=0,0,IF(INDEX(STG_ZPMW03!$I$6:$I$505,MATCH(B504,STG_ZPMW03!$B$6:$B$505,0))=J504&amp;"",0,1)))</f>
        <v/>
      </c>
      <c r="BU504" s="124" t="str">
        <f>IF($B504="","",IFERROR(IF(ABS(INDEX(Mapping!$D$5:$D$104,MATCH(B504,Mapping!$A$5:$A$104,0))-Q504)&gt;P_Tol,1,0),0))</f>
        <v/>
      </c>
      <c r="BV504" s="124" t="str">
        <f>IF($B504="","",IFERROR(IF(AND(INDEX(Mapping!$G$5:$G$104,MATCH(B504,Mapping!$A$5:$A$104,0))="Nee",ABS(Q504)+ABS(Z504)+ABS(AR504)&gt;0),1,0),0))</f>
        <v/>
      </c>
      <c r="BW504" s="124" t="str">
        <f>IF($B504="","",IF(COUNTIF(Mapping!$A$5:$A$104,B504)&gt;0,1,0))</f>
        <v/>
      </c>
      <c r="BX504" s="124" t="str">
        <f>IF($B504="","",IF(BR504=0,COUNTIF($BR$6:BR504,0),""))</f>
        <v/>
      </c>
    </row>
    <row r="505">
      <c r="A505" s="15" t="n">
        <v>501</v>
      </c>
      <c r="B505" t="str">
        <f>IF(B$3=0,"",IF(INDEX(SRC_Woningetalage!$A$1:$ZZ$501,$A505,B$3)&amp;""="","",INDEX(SRC_Woningetalage!$A$1:$ZZ$501,$A505,B$3)&amp;""))</f>
        <v/>
      </c>
      <c r="C505" t="str">
        <f>IF($B505="","",IF(C$3=0,"n.b.",INDEX(SRC_Woningetalage!$A$1:$ZZ$501,$A505,C$3)))</f>
        <v/>
      </c>
      <c r="D505" t="str">
        <f>IF($B505="","",IF(D$3=0,"n.b.",INDEX(SRC_Woningetalage!$A$1:$ZZ$501,$A505,D$3)))</f>
        <v/>
      </c>
      <c r="E505" t="str">
        <f>IF($B505="","",IF(E$3=0,"n.b.",INDEX(SRC_Woningetalage!$A$1:$ZZ$501,$A505,E$3)))</f>
        <v/>
      </c>
      <c r="F505" t="str">
        <f>IF($B505="","",IF(F$3=0,"n.b.",INDEX(SRC_Woningetalage!$A$1:$ZZ$501,$A505,F$3)))</f>
        <v/>
      </c>
      <c r="G505" t="str">
        <f>IF($B505="","",IF(G$3=0,"n.b.",INDEX(SRC_Woningetalage!$A$1:$ZZ$501,$A505,G$3)))</f>
        <v/>
      </c>
      <c r="H505" t="str">
        <f>IF($B505="","",IF(H$3=0,"n.b.",INDEX(SRC_Woningetalage!$A$1:$ZZ$501,$A505,H$3)))</f>
        <v/>
      </c>
      <c r="I505" t="str">
        <f>IF($B505="","",IF(I$3=0,"n.b.",INDEX(SRC_Woningetalage!$A$1:$ZZ$501,$A505,I$3)))</f>
        <v/>
      </c>
      <c r="J505" t="str">
        <f>IF($B505="","",IF(J$3=0,"n.b.",INDEX(SRC_Woningetalage!$A$1:$ZZ$501,$A505,J$3)))</f>
        <v/>
      </c>
      <c r="K505" t="str">
        <f>IF($B505="","",IF(K$3=0,"n.b.",INDEX(SRC_Woningetalage!$A$1:$ZZ$501,$A505,K$3)))</f>
        <v/>
      </c>
      <c r="L505" t="str">
        <f>IF($B505="","",IF(L$3=0,"n.b.",INDEX(SRC_Woningetalage!$A$1:$ZZ$501,$A505,L$3)))</f>
        <v/>
      </c>
      <c r="M505" t="str">
        <f>IF($B505="","",IF(M$3=0,"n.b.",INDEX(SRC_Woningetalage!$A$1:$ZZ$501,$A505,M$3)))</f>
        <v/>
      </c>
      <c r="N505" t="str">
        <f>IF($B505="","",IF(N$3=0,"n.b.",INDEX(SRC_Woningetalage!$A$1:$ZZ$501,$A505,N$3)))</f>
        <v/>
      </c>
      <c r="O505" t="str">
        <f>IF($B505="","",IF(O$3=0,"n.b.",INDEX(SRC_Woningetalage!$A$1:$ZZ$501,$A505,O$3)))</f>
        <v/>
      </c>
      <c r="P505" t="str">
        <f>IF($B505="","",IF(P$3=0,"n.b.",INDEX(SRC_Woningetalage!$A$1:$ZZ$501,$A505,P$3)))</f>
        <v/>
      </c>
      <c r="Q505" s="124" t="str">
        <f>IF($B505="","",IF(Q$3=0,"n.b.",INDEX(SRC_Woningetalage!$A$1:$ZZ$501,$A505,Q$3)))</f>
        <v/>
      </c>
      <c r="R505" s="124" t="str">
        <f>IF($B505="","",IF(R$3=0,"n.b.",INDEX(SRC_Woningetalage!$A$1:$ZZ$501,$A505,R$3)))</f>
        <v/>
      </c>
      <c r="S505" s="124" t="str">
        <f>IF($B505="","",IF(S$3=0,"n.b.",INDEX(SRC_Woningetalage!$A$1:$ZZ$501,$A505,S$3)))</f>
        <v/>
      </c>
      <c r="T505" s="124" t="str">
        <f>IF($B505="","",IF(T$3=0,"n.b.",INDEX(SRC_Woningetalage!$A$1:$ZZ$501,$A505,T$3)))</f>
        <v/>
      </c>
      <c r="U505" s="124" t="str">
        <f>IF($B505="","",IF(U$3=0,"n.b.",INDEX(SRC_Woningetalage!$A$1:$ZZ$501,$A505,U$3)))</f>
        <v/>
      </c>
      <c r="V505" s="124" t="str">
        <f>IF($B505="","",IF(V$3=0,"n.b.",INDEX(SRC_Woningetalage!$A$1:$ZZ$501,$A505,V$3)))</f>
        <v/>
      </c>
      <c r="W505" s="124" t="str">
        <f>IF($B505="","",IF(W$3=0,"n.b.",INDEX(SRC_Woningetalage!$A$1:$ZZ$501,$A505,W$3)))</f>
        <v/>
      </c>
      <c r="X505" s="124" t="str">
        <f>IF($B505="","",IF(X$3=0,"n.b.",INDEX(SRC_Woningetalage!$A$1:$ZZ$501,$A505,X$3)))</f>
        <v/>
      </c>
      <c r="Y505" s="124" t="str">
        <f>IF($B505="","",IF(Y$3=0,"n.b.",INDEX(SRC_Woningetalage!$A$1:$ZZ$501,$A505,Y$3)))</f>
        <v/>
      </c>
      <c r="Z505" s="124" t="str">
        <f>IF($B505="","",IF(Z$3=0,"n.b.",INDEX(SRC_Woningetalage!$A$1:$ZZ$501,$A505,Z$3)))</f>
        <v/>
      </c>
      <c r="AA505" s="124" t="str">
        <f>IF($B505="","",IF(AA$3=0,"n.b.",INDEX(SRC_Woningetalage!$A$1:$ZZ$501,$A505,AA$3)))</f>
        <v/>
      </c>
      <c r="AB505" s="124" t="str">
        <f>IF($B505="","",IF(AB$3=0,"n.b.",INDEX(SRC_Woningetalage!$A$1:$ZZ$501,$A505,AB$3)))</f>
        <v/>
      </c>
      <c r="AC505" s="124" t="str">
        <f>IF($B505="","",IF(AC$3=0,"n.b.",INDEX(SRC_Woningetalage!$A$1:$ZZ$501,$A505,AC$3)))</f>
        <v/>
      </c>
      <c r="AD505" s="124" t="str">
        <f>IF($B505="","",IF(AD$3=0,"n.b.",INDEX(SRC_Woningetalage!$A$1:$ZZ$501,$A505,AD$3)))</f>
        <v/>
      </c>
      <c r="AE505" s="124" t="str">
        <f>IF($B505="","",IF(AE$3=0,"n.b.",INDEX(SRC_Woningetalage!$A$1:$ZZ$501,$A505,AE$3)))</f>
        <v/>
      </c>
      <c r="AF505" s="124" t="str">
        <f>IF($B505="","",IF(AF$3=0,"n.b.",INDEX(SRC_Woningetalage!$A$1:$ZZ$501,$A505,AF$3)))</f>
        <v/>
      </c>
      <c r="AG505" s="124" t="str">
        <f>IF($B505="","",IF(AG$3=0,"n.b.",INDEX(SRC_Woningetalage!$A$1:$ZZ$501,$A505,AG$3)))</f>
        <v/>
      </c>
      <c r="AH505" s="124" t="str">
        <f>IF($B505="","",IF(AH$3=0,"n.b.",INDEX(SRC_Woningetalage!$A$1:$ZZ$501,$A505,AH$3)))</f>
        <v/>
      </c>
      <c r="AI505" s="124" t="str">
        <f>IF($B505="","",IF(AI$3=0,"n.b.",INDEX(SRC_Woningetalage!$A$1:$ZZ$501,$A505,AI$3)))</f>
        <v/>
      </c>
      <c r="AJ505" s="124" t="str">
        <f>IF($B505="","",IF(AJ$3=0,"n.b.",INDEX(SRC_Woningetalage!$A$1:$ZZ$501,$A505,AJ$3)))</f>
        <v/>
      </c>
      <c r="AK505" s="124" t="str">
        <f>IF($B505="","",IF(AK$3=0,"n.b.",INDEX(SRC_Woningetalage!$A$1:$ZZ$501,$A505,AK$3)))</f>
        <v/>
      </c>
      <c r="AL505" s="124" t="str">
        <f>IF($B505="","",IF(AL$3=0,"n.b.",INDEX(SRC_Woningetalage!$A$1:$ZZ$501,$A505,AL$3)))</f>
        <v/>
      </c>
      <c r="AM505" s="124" t="str">
        <f>IF($B505="","",IF(AM$3=0,"n.b.",INDEX(SRC_Woningetalage!$A$1:$ZZ$501,$A505,AM$3)))</f>
        <v/>
      </c>
      <c r="AN505" s="124" t="str">
        <f>IF($B505="","",IF(AN$3=0,"n.b.",INDEX(SRC_Woningetalage!$A$1:$ZZ$501,$A505,AN$3)))</f>
        <v/>
      </c>
      <c r="AO505" s="124" t="str">
        <f>IF($B505="","",IF(AO$3=0,"n.b.",INDEX(SRC_Woningetalage!$A$1:$ZZ$501,$A505,AO$3)))</f>
        <v/>
      </c>
      <c r="AP505" s="124" t="str">
        <f>IF($B505="","",IF(AP$3=0,"n.b.",INDEX(SRC_Woningetalage!$A$1:$ZZ$501,$A505,AP$3)))</f>
        <v/>
      </c>
      <c r="AQ505" s="124" t="str">
        <f>IF($B505="","",IF(AQ$3=0,"n.b.",INDEX(SRC_Woningetalage!$A$1:$ZZ$501,$A505,AQ$3)))</f>
        <v/>
      </c>
      <c r="AR505" s="124" t="str">
        <f>IF($B505="","",IF(AR$3=0,"n.b.",INDEX(SRC_Woningetalage!$A$1:$ZZ$501,$A505,AR$3)))</f>
        <v/>
      </c>
      <c r="AS505" s="124" t="str">
        <f>IF($B505="","",IF(AS$3=0,"n.b.",INDEX(SRC_Woningetalage!$A$1:$ZZ$501,$A505,AS$3)))</f>
        <v/>
      </c>
      <c r="AT505" s="124" t="str">
        <f>IF($B505="","",IF(AT$3=0,"n.b.",INDEX(SRC_Woningetalage!$A$1:$ZZ$501,$A505,AT$3)))</f>
        <v/>
      </c>
      <c r="AU505" s="124" t="str">
        <f>IF($B505="","",IF(AU$3=0,"n.b.",INDEX(SRC_Woningetalage!$A$1:$ZZ$501,$A505,AU$3)))</f>
        <v/>
      </c>
      <c r="AV505" s="124" t="str">
        <f>IF($B505="","",IF(AV$3=0,"n.b.",INDEX(SRC_Woningetalage!$A$1:$ZZ$501,$A505,AV$3)))</f>
        <v/>
      </c>
      <c r="AW505" s="124" t="str">
        <f>IF($B505="","",IF(AW$3=0,"n.b.",INDEX(SRC_Woningetalage!$A$1:$ZZ$501,$A505,AW$3)))</f>
        <v/>
      </c>
      <c r="AX505" s="124" t="str">
        <f>IF($B505="","",IF(AX$3=0,"n.b.",INDEX(SRC_Woningetalage!$A$1:$ZZ$501,$A505,AX$3)))</f>
        <v/>
      </c>
      <c r="AY505" s="124" t="str">
        <f>IF($B505="","",IF(AY$3=0,"n.b.",INDEX(SRC_Woningetalage!$A$1:$ZZ$501,$A505,AY$3)))</f>
        <v/>
      </c>
      <c r="AZ505" s="124" t="str">
        <f>IF($B505="","",IF(AZ$3=0,"n.b.",INDEX(SRC_Woningetalage!$A$1:$ZZ$501,$A505,AZ$3)))</f>
        <v/>
      </c>
      <c r="BA505" s="124" t="str">
        <f>IF($B505="","",IF(BA$3=0,"n.b.",INDEX(SRC_Woningetalage!$A$1:$ZZ$501,$A505,BA$3)))</f>
        <v/>
      </c>
      <c r="BB505" s="124" t="str">
        <f>IF($B505="","",IF(BB$3=0,"n.b.",INDEX(SRC_Woningetalage!$A$1:$ZZ$501,$A505,BB$3)))</f>
        <v/>
      </c>
      <c r="BC505" s="124" t="str">
        <f>IF($B505="","",IFERROR(_xlfn.NUMBERVALUE(E505&amp;"",",","."),"n.b."))</f>
        <v/>
      </c>
      <c r="BD505" s="124" t="str">
        <f>IF($B505="","",IFERROR(_xlfn.NUMBERVALUE(M505&amp;"",",","."),"n.b."))</f>
        <v/>
      </c>
      <c r="BE505" s="124" t="str">
        <f>IF($B505="","",IFERROR(AB505+AC505+AD505,"n.b."))</f>
        <v/>
      </c>
      <c r="BF505" s="124" t="str">
        <f>IF($B505="","",IFERROR(AE505+AF505+AG505,"n.b."))</f>
        <v/>
      </c>
      <c r="BG505" s="124" t="str">
        <f>IF($B505="","",IFERROR(AH505+AI505+AJ505,"n.b."))</f>
        <v/>
      </c>
      <c r="BH505" s="124" t="str">
        <f>IF($B505="","",IFERROR(AK505+AL505+AM505,"n.b."))</f>
        <v/>
      </c>
      <c r="BI505" s="124" t="str">
        <f>IF($B505="","",IFERROR(SUMIF($AB$5:$AM$5,"&lt;="&amp;P_PeilMaand,AB505:AM505),"n.b."))</f>
        <v/>
      </c>
      <c r="BJ505" s="124" t="str">
        <f>IF($B505="","",IFERROR(SUM(AB505:AM505)-BI505,"n.b."))</f>
        <v/>
      </c>
      <c r="BK505" s="124" t="str">
        <f>IF($B505="","",IFERROR(IF(ABS(Q505-(T505+SUM(AB505:AM505)+AS505+AU505))&gt;P_Tol,1,0),1))</f>
        <v/>
      </c>
      <c r="BL505" s="124" t="str">
        <f>IF($B505="","",IFERROR(IF(ABS(AA505-(Q505-Z505))&gt;P_Tol,1,0),1))</f>
        <v/>
      </c>
      <c r="BM505" s="124" t="str">
        <f>IF($B505="","",IFERROR(IF(ABS(Z505-(T505+W505))&gt;P_Tol,1,0),1))</f>
        <v/>
      </c>
      <c r="BN505" s="124" t="str">
        <f>IF($B505="","",IFERROR(IF(ABS(W505-BI505)&gt;P_Tol,1,0),1))</f>
        <v/>
      </c>
      <c r="BO505" s="124" t="str">
        <f>IF($B505="","",IFERROR(IF(OR(ABS(R505+S505-T505)&gt;P_Tol,ABS(U505+V505-W505)&gt;P_Tol,ABS(X505+Y505-Z505)&gt;P_Tol),1,0),1))</f>
        <v/>
      </c>
      <c r="BP505" s="124" t="str">
        <f>IF($B505="","",IFERROR(IF(OR(ABS(AR505-SUM(AB505:AM505))&gt;P_Tol,ABS(AS505-(AN505+AO505+AP505+AQ505))&gt;P_Tol),1,0),1))</f>
        <v/>
      </c>
      <c r="BQ505" s="124" t="str">
        <f>IF($B505="","",IFERROR(IF(ABS(AT505)+ABS(AV505)+ABS(AW505)+ABS(AX505)+ABS(AY505)+ABS(AZ505)+ABS(BA505)+ABS(BB505)&gt;0,1,0),1))</f>
        <v/>
      </c>
      <c r="BR505" s="124" t="str">
        <f>IF($B505="","",COUNTIF(STG_ZPMW03!$B$6:$B$505,B505))</f>
        <v/>
      </c>
      <c r="BS505" s="124" t="str">
        <f>IF($B505="","",COUNTIF($B$6:$B$505,B505))</f>
        <v/>
      </c>
      <c r="BT505" s="124" t="str">
        <f>IF($B505="","",IF(BR505=0,0,IF(INDEX(STG_ZPMW03!$I$6:$I$505,MATCH(B505,STG_ZPMW03!$B$6:$B$505,0))=J505&amp;"",0,1)))</f>
        <v/>
      </c>
      <c r="BU505" s="124" t="str">
        <f>IF($B505="","",IFERROR(IF(ABS(INDEX(Mapping!$D$5:$D$104,MATCH(B505,Mapping!$A$5:$A$104,0))-Q505)&gt;P_Tol,1,0),0))</f>
        <v/>
      </c>
      <c r="BV505" s="124" t="str">
        <f>IF($B505="","",IFERROR(IF(AND(INDEX(Mapping!$G$5:$G$104,MATCH(B505,Mapping!$A$5:$A$104,0))="Nee",ABS(Q505)+ABS(Z505)+ABS(AR505)&gt;0),1,0),0))</f>
        <v/>
      </c>
      <c r="BW505" s="124" t="str">
        <f>IF($B505="","",IF(COUNTIF(Mapping!$A$5:$A$104,B505)&gt;0,1,0))</f>
        <v/>
      </c>
      <c r="BX505" s="124" t="str">
        <f>IF($B505="","",IF(BR505=0,COUNTIF($BR$6:BR505,0),""))</f>
        <v/>
      </c>
    </row>
  </sheetData>
  <pageMargins left="0.75" right="0.75" top="1" bottom="1" header="0.5" footer="0.5"/>
</worksheet>
</file>

<file path=xl/worksheets/sheet20.xml><?xml version="1.0" encoding="utf-8"?>
<worksheet xmlns="http://schemas.openxmlformats.org/spreadsheetml/2006/main">
  <sheetPr>
    <tabColor rgb="00000000"/>
    <outlinePr summaryBelow="1" summaryRight="1"/>
    <pageSetUpPr/>
  </sheetPr>
  <dimension ref="A1:CL21"/>
  <sheetViews>
    <sheetView showGridLines="1" zoomScale="85" workbookViewId="0">
      <pane ySplit="1" topLeftCell="A2" activePane="bottomLeft" state="frozen"/>
      <selection pane="bottomLeft" activeCell="A1" sqref="A1"/>
    </sheetView>
  </sheetViews>
  <sheetFormatPr baseColWidth="8" defaultRowHeight="15"/>
  <sheetData>
    <row r="1">
      <c r="A1" s="125" t="inlineStr">
        <is>
          <t>IFRS J/N</t>
        </is>
      </c>
      <c r="B1" s="125" t="inlineStr">
        <is>
          <t>Bedrijfsnummer</t>
        </is>
      </c>
      <c r="C1" s="125" t="inlineStr">
        <is>
          <t>Naam maatschappij</t>
        </is>
      </c>
      <c r="D1" s="125" t="inlineStr">
        <is>
          <t>Profit center</t>
        </is>
      </c>
      <c r="E1" s="125" t="inlineStr">
        <is>
          <t>Profitcenter naam</t>
        </is>
      </c>
      <c r="F1" s="125" t="inlineStr">
        <is>
          <t>Marktsegment</t>
        </is>
      </c>
      <c r="G1" s="125" t="inlineStr">
        <is>
          <t>Activiteit</t>
        </is>
      </c>
      <c r="H1" s="125" t="inlineStr">
        <is>
          <t>Concept</t>
        </is>
      </c>
      <c r="I1" s="125" t="inlineStr">
        <is>
          <t>Projectdefinitie</t>
        </is>
      </c>
      <c r="J1" s="125" t="inlineStr">
        <is>
          <t>WBS-element</t>
        </is>
      </c>
      <c r="K1" s="125" t="inlineStr">
        <is>
          <t>Projectsoort</t>
        </is>
      </c>
      <c r="L1" s="125" t="inlineStr">
        <is>
          <t>Groot projectnr</t>
        </is>
      </c>
      <c r="M1" s="125" t="inlineStr">
        <is>
          <t>GPnr Omschrijving</t>
        </is>
      </c>
      <c r="N1" s="125" t="inlineStr">
        <is>
          <t>Omschrijving</t>
        </is>
      </c>
      <c r="O1" s="125" t="inlineStr">
        <is>
          <t>Project Type</t>
        </is>
      </c>
      <c r="P1" s="125" t="inlineStr">
        <is>
          <t>Status WBS</t>
        </is>
      </c>
      <c r="Q1" s="125" t="inlineStr">
        <is>
          <t>Kans%</t>
        </is>
      </c>
      <c r="R1" s="125" t="inlineStr">
        <is>
          <t>PEW opbrengst</t>
        </is>
      </c>
      <c r="S1" s="125" t="inlineStr">
        <is>
          <t>PEW kosten</t>
        </is>
      </c>
      <c r="T1" s="125" t="inlineStr">
        <is>
          <t>PEW resultaat</t>
        </is>
      </c>
      <c r="U1" s="125" t="inlineStr">
        <is>
          <t>PEW resultaat %</t>
        </is>
      </c>
      <c r="V1" s="125" t="inlineStr">
        <is>
          <t>Bedrijfsopbrengsten VJ</t>
        </is>
      </c>
      <c r="W1" s="125" t="inlineStr">
        <is>
          <t>Bruto (omzet) result. VJ</t>
        </is>
      </c>
      <c r="X1" s="125" t="inlineStr">
        <is>
          <t>Bedrijfsopbrengsten LJ</t>
        </is>
      </c>
      <c r="Y1" s="125" t="inlineStr">
        <is>
          <t>Kosten LJ</t>
        </is>
      </c>
      <c r="Z1" s="125" t="inlineStr">
        <is>
          <t>Bruto (omzet) result. LJ</t>
        </is>
      </c>
      <c r="AA1" s="125" t="inlineStr">
        <is>
          <t>Bruto (omzet) result. Cum</t>
        </is>
      </c>
      <c r="AB1" s="125" t="inlineStr">
        <is>
          <t>Werk. opbrengst</t>
        </is>
      </c>
      <c r="AC1" s="125" t="inlineStr">
        <is>
          <t>Werk. kosten</t>
        </is>
      </c>
      <c r="AD1" s="125" t="inlineStr">
        <is>
          <t>Portefeuille BOB</t>
        </is>
      </c>
      <c r="AE1" s="125" t="inlineStr">
        <is>
          <t>Portefeuille BOR</t>
        </is>
      </c>
      <c r="AF1" s="125" t="inlineStr">
        <is>
          <t>OP.BOB 2026-Q1</t>
        </is>
      </c>
      <c r="AG1" s="125" t="inlineStr">
        <is>
          <t>Kosten 2026-Q1</t>
        </is>
      </c>
      <c r="AH1" s="125" t="inlineStr">
        <is>
          <t>OP.BOR 2026-Q1</t>
        </is>
      </c>
      <c r="AI1" s="125" t="inlineStr">
        <is>
          <t>OP.BOB 2026-Q2</t>
        </is>
      </c>
      <c r="AJ1" s="125" t="inlineStr">
        <is>
          <t>Kosten 2026-Q2</t>
        </is>
      </c>
      <c r="AK1" s="125" t="inlineStr">
        <is>
          <t>OP.BOR 2026-Q2</t>
        </is>
      </c>
      <c r="AL1" s="125" t="inlineStr">
        <is>
          <t>OP.BOB 2026-Q3</t>
        </is>
      </c>
      <c r="AM1" s="125" t="inlineStr">
        <is>
          <t>Kosten 2026-Q3</t>
        </is>
      </c>
      <c r="AN1" s="125" t="inlineStr">
        <is>
          <t>OP.BOR 2026-Q3</t>
        </is>
      </c>
      <c r="AO1" s="125" t="inlineStr">
        <is>
          <t>OP.BOB 2026-Q4</t>
        </is>
      </c>
      <c r="AP1" s="125" t="inlineStr">
        <is>
          <t>Kosten 2026-Q4</t>
        </is>
      </c>
      <c r="AQ1" s="125" t="inlineStr">
        <is>
          <t>OP.BOR 2026-Q4</t>
        </is>
      </c>
      <c r="AR1" s="125" t="inlineStr">
        <is>
          <t>OP.BOB 2026</t>
        </is>
      </c>
      <c r="AS1" s="125" t="inlineStr">
        <is>
          <t>Kosten 2026</t>
        </is>
      </c>
      <c r="AT1" s="125" t="inlineStr">
        <is>
          <t>OP.BOR 2026</t>
        </is>
      </c>
      <c r="AU1" s="125" t="inlineStr">
        <is>
          <t>OP.BOB 2027-Q1</t>
        </is>
      </c>
      <c r="AV1" s="125" t="inlineStr">
        <is>
          <t>Kosten 2027-Q1</t>
        </is>
      </c>
      <c r="AW1" s="125" t="inlineStr">
        <is>
          <t>OP.BOR 2027-Q1</t>
        </is>
      </c>
      <c r="AX1" s="125" t="inlineStr">
        <is>
          <t>OP.BOB 2027-Q2</t>
        </is>
      </c>
      <c r="AY1" s="125" t="inlineStr">
        <is>
          <t>Kosten 2027-Q2</t>
        </is>
      </c>
      <c r="AZ1" s="125" t="inlineStr">
        <is>
          <t>OP.BOR 2027-Q2</t>
        </is>
      </c>
      <c r="BA1" s="125" t="inlineStr">
        <is>
          <t>OP.BOB 2027-Q3</t>
        </is>
      </c>
      <c r="BB1" s="125" t="inlineStr">
        <is>
          <t>Kosten 2027-Q3</t>
        </is>
      </c>
      <c r="BC1" s="125" t="inlineStr">
        <is>
          <t>OP.BOR 2027-Q3</t>
        </is>
      </c>
      <c r="BD1" s="125" t="inlineStr">
        <is>
          <t>OP.BOB 2027-Q4</t>
        </is>
      </c>
      <c r="BE1" s="125" t="inlineStr">
        <is>
          <t>Kosten 2027-Q4</t>
        </is>
      </c>
      <c r="BF1" s="125" t="inlineStr">
        <is>
          <t>OP.BOR 2027-Q4</t>
        </is>
      </c>
      <c r="BG1" s="125" t="inlineStr">
        <is>
          <t>OP.BOB 2027</t>
        </is>
      </c>
      <c r="BH1" s="125" t="inlineStr">
        <is>
          <t>Kosten 2027</t>
        </is>
      </c>
      <c r="BI1" s="125" t="inlineStr">
        <is>
          <t>OP.BOR 2027</t>
        </is>
      </c>
      <c r="BJ1" s="125" t="inlineStr">
        <is>
          <t>OP.BOB 2028</t>
        </is>
      </c>
      <c r="BK1" s="125" t="inlineStr">
        <is>
          <t>Kosten 2028</t>
        </is>
      </c>
      <c r="BL1" s="125" t="inlineStr">
        <is>
          <t>OP.BOR 2028</t>
        </is>
      </c>
      <c r="BM1" s="125" t="inlineStr">
        <is>
          <t>OP.BOB 2029</t>
        </is>
      </c>
      <c r="BN1" s="125" t="inlineStr">
        <is>
          <t>Kosten 2029</t>
        </is>
      </c>
      <c r="BO1" s="125" t="inlineStr">
        <is>
          <t>OP.BOR 2029</t>
        </is>
      </c>
      <c r="BP1" s="125" t="inlineStr">
        <is>
          <t>OP.BOB 2030</t>
        </is>
      </c>
      <c r="BQ1" s="125" t="inlineStr">
        <is>
          <t>Kosten 2030</t>
        </is>
      </c>
      <c r="BR1" s="125" t="inlineStr">
        <is>
          <t>OP.BOR 2030</t>
        </is>
      </c>
      <c r="BS1" s="125" t="inlineStr">
        <is>
          <t>OP.BOB 2031</t>
        </is>
      </c>
      <c r="BT1" s="125" t="inlineStr">
        <is>
          <t>Kosten 2031</t>
        </is>
      </c>
      <c r="BU1" s="125" t="inlineStr">
        <is>
          <t>OP.BOR 2031</t>
        </is>
      </c>
      <c r="BV1" s="125" t="inlineStr">
        <is>
          <t>OP.BOB 2032</t>
        </is>
      </c>
      <c r="BW1" s="125" t="inlineStr">
        <is>
          <t>Kosten 2032</t>
        </is>
      </c>
      <c r="BX1" s="125" t="inlineStr">
        <is>
          <t>OP.BOR 2032</t>
        </is>
      </c>
      <c r="BY1" s="125" t="inlineStr">
        <is>
          <t>OP.BOB 2033</t>
        </is>
      </c>
      <c r="BZ1" s="125" t="inlineStr">
        <is>
          <t>Kosten 2033</t>
        </is>
      </c>
      <c r="CA1" s="125" t="inlineStr">
        <is>
          <t>OP.BOR 2033</t>
        </is>
      </c>
      <c r="CB1" s="125" t="inlineStr">
        <is>
          <t>OP.BOB 2034</t>
        </is>
      </c>
      <c r="CC1" s="125" t="inlineStr">
        <is>
          <t>Kosten 2034</t>
        </is>
      </c>
      <c r="CD1" s="125" t="inlineStr">
        <is>
          <t>OP.BOR 2034</t>
        </is>
      </c>
      <c r="CE1" s="125" t="inlineStr">
        <is>
          <t>OP.BOB onverd.</t>
        </is>
      </c>
      <c r="CF1" s="125" t="inlineStr">
        <is>
          <t>Kosten onverd.</t>
        </is>
      </c>
      <c r="CG1" s="125" t="inlineStr">
        <is>
          <t>OP.BOR onverd.</t>
        </is>
      </c>
      <c r="CH1" s="125" t="inlineStr">
        <is>
          <t>Huidige POC %</t>
        </is>
      </c>
      <c r="CI1" s="125" t="inlineStr">
        <is>
          <t>Orderintake</t>
        </is>
      </c>
      <c r="CJ1" s="125" t="inlineStr">
        <is>
          <t>Start bouw</t>
        </is>
      </c>
      <c r="CK1" s="125" t="inlineStr">
        <is>
          <t>Maand oplevering</t>
        </is>
      </c>
      <c r="CL1" s="125" t="inlineStr">
        <is>
          <t>Risicoklasse</t>
        </is>
      </c>
    </row>
    <row r="2">
      <c r="A2" t="inlineStr">
        <is>
          <t>J</t>
        </is>
      </c>
      <c r="B2" s="126" t="n">
        <v>9901</v>
      </c>
      <c r="C2" t="inlineStr">
        <is>
          <t>Demo Ontwikkeling BV</t>
        </is>
      </c>
      <c r="D2" s="126" t="n">
        <v>9090</v>
      </c>
      <c r="E2" t="inlineStr">
        <is>
          <t>Demo Regio</t>
        </is>
      </c>
      <c r="F2" t="inlineStr">
        <is>
          <t>WO-Wonen</t>
        </is>
      </c>
      <c r="G2" t="inlineStr">
        <is>
          <t>NIEUWBOUW GRONDGEBONDEN</t>
        </is>
      </c>
      <c r="H2" t="inlineStr">
        <is>
          <t>Demo Grondgebonden</t>
        </is>
      </c>
      <c r="I2" t="inlineStr">
        <is>
          <t>G.900001</t>
        </is>
      </c>
      <c r="J2" t="inlineStr">
        <is>
          <t>G.900001.8.9090</t>
        </is>
      </c>
      <c r="K2" t="inlineStr">
        <is>
          <t>08</t>
        </is>
      </c>
      <c r="L2" t="inlineStr">
        <is>
          <t>W900001</t>
        </is>
      </c>
      <c r="M2" t="inlineStr">
        <is>
          <t>LINDEHAVEN, PARKZOOM FASE 1</t>
        </is>
      </c>
      <c r="N2" t="inlineStr">
        <is>
          <t>Lindehaven, Parkzoom fase 1</t>
        </is>
      </c>
      <c r="O2" t="inlineStr">
        <is>
          <t>OP</t>
        </is>
      </c>
      <c r="P2" t="inlineStr">
        <is>
          <t>VRIJ VEN3</t>
        </is>
      </c>
      <c r="Q2" s="126" t="n">
        <v>100</v>
      </c>
      <c r="R2" s="127" t="n">
        <v>-14720000</v>
      </c>
      <c r="S2" s="127" t="n">
        <v>13395200</v>
      </c>
      <c r="T2" s="127" t="n">
        <v>-1324800</v>
      </c>
      <c r="U2" s="127" t="n">
        <v>9</v>
      </c>
      <c r="V2" s="127" t="n">
        <v>-2208000</v>
      </c>
      <c r="W2" s="127" t="n">
        <v>-198720</v>
      </c>
      <c r="X2" s="126" t="n">
        <v>-3635840</v>
      </c>
      <c r="Y2" s="127" t="n">
        <v>3308614.4</v>
      </c>
      <c r="Z2" s="127" t="n">
        <v>-327225.6</v>
      </c>
      <c r="AA2" s="127" t="n">
        <v>-525945.6</v>
      </c>
      <c r="AB2" s="127" t="n">
        <v>-5843840</v>
      </c>
      <c r="AC2" s="127" t="n">
        <v>5317894.4</v>
      </c>
      <c r="AD2" s="127" t="n">
        <v>-8876160</v>
      </c>
      <c r="AE2" s="127" t="n">
        <v>-798854.4</v>
      </c>
      <c r="AF2" s="126" t="n">
        <v>0</v>
      </c>
      <c r="AG2" s="127" t="n">
        <v>0</v>
      </c>
      <c r="AH2" s="127" t="n">
        <v>0</v>
      </c>
      <c r="AI2" s="126" t="n">
        <v>0</v>
      </c>
      <c r="AJ2" s="127" t="n">
        <v>0</v>
      </c>
      <c r="AK2" s="127" t="n">
        <v>0</v>
      </c>
      <c r="AL2" s="126" t="n">
        <v>0</v>
      </c>
      <c r="AM2" s="127" t="n">
        <v>0</v>
      </c>
      <c r="AN2" s="127" t="n">
        <v>0</v>
      </c>
      <c r="AO2" s="126" t="n">
        <v>-1957760</v>
      </c>
      <c r="AP2" s="127" t="n">
        <v>1781561.6</v>
      </c>
      <c r="AQ2" s="127" t="n">
        <v>-176198.4</v>
      </c>
      <c r="AR2" s="126" t="n">
        <v>-1957760</v>
      </c>
      <c r="AS2" s="127" t="n">
        <v>1781561.6</v>
      </c>
      <c r="AT2" s="127" t="n">
        <v>-176198.4</v>
      </c>
      <c r="AU2" s="126" t="n">
        <v>-899392</v>
      </c>
      <c r="AV2" s="127" t="n">
        <v>818446.72</v>
      </c>
      <c r="AW2" s="127" t="n">
        <v>-80945.28</v>
      </c>
      <c r="AX2" s="126" t="n">
        <v>-1124240</v>
      </c>
      <c r="AY2" s="127" t="n">
        <v>1023058.4</v>
      </c>
      <c r="AZ2" s="127" t="n">
        <v>-101181.6</v>
      </c>
      <c r="BA2" s="126" t="n">
        <v>-1349088</v>
      </c>
      <c r="BB2" s="127" t="n">
        <v>1227670.08</v>
      </c>
      <c r="BC2" s="127" t="n">
        <v>-121417.92</v>
      </c>
      <c r="BD2" s="126" t="n">
        <v>-1124240</v>
      </c>
      <c r="BE2" s="127" t="n">
        <v>1023058.4</v>
      </c>
      <c r="BF2" s="127" t="n">
        <v>-101181.6</v>
      </c>
      <c r="BG2" s="126" t="n">
        <v>-4496960</v>
      </c>
      <c r="BH2" s="127" t="n">
        <v>4092233.6</v>
      </c>
      <c r="BI2" s="127" t="n">
        <v>-404726.4</v>
      </c>
      <c r="BJ2" s="127" t="n">
        <v>-2421440</v>
      </c>
      <c r="BK2" s="127" t="n">
        <v>2203510.4</v>
      </c>
      <c r="BL2" s="127" t="n">
        <v>-217929.6</v>
      </c>
      <c r="BM2" s="126" t="n">
        <v>0</v>
      </c>
      <c r="BN2" s="126" t="n">
        <v>0</v>
      </c>
      <c r="BO2" s="126" t="n">
        <v>0</v>
      </c>
      <c r="BP2" s="126" t="n">
        <v>0</v>
      </c>
      <c r="BQ2" s="126" t="n">
        <v>0</v>
      </c>
      <c r="BR2" s="126" t="n">
        <v>0</v>
      </c>
      <c r="BS2" s="126" t="n">
        <v>0</v>
      </c>
      <c r="BT2" s="126" t="n">
        <v>0</v>
      </c>
      <c r="BU2" s="126" t="n">
        <v>0</v>
      </c>
      <c r="BV2" s="126" t="n">
        <v>0</v>
      </c>
      <c r="BW2" s="126" t="n">
        <v>0</v>
      </c>
      <c r="BX2" s="126" t="n">
        <v>0</v>
      </c>
      <c r="BY2" s="126" t="n">
        <v>0</v>
      </c>
      <c r="BZ2" s="126" t="n">
        <v>0</v>
      </c>
      <c r="CA2" s="126" t="n">
        <v>0</v>
      </c>
      <c r="CB2" s="126" t="n">
        <v>0</v>
      </c>
      <c r="CC2" s="126" t="n">
        <v>0</v>
      </c>
      <c r="CD2" s="126" t="n">
        <v>0</v>
      </c>
      <c r="CE2" s="126" t="n">
        <v>0</v>
      </c>
      <c r="CF2" s="126" t="n">
        <v>0</v>
      </c>
      <c r="CG2" s="126" t="n">
        <v>0</v>
      </c>
      <c r="CH2" s="127" t="n">
        <v>39.7</v>
      </c>
      <c r="CI2" s="128" t="n">
        <v>45658</v>
      </c>
      <c r="CJ2" s="128" t="n">
        <v>46023</v>
      </c>
      <c r="CK2" s="126" t="n">
        <v>202812</v>
      </c>
      <c r="CL2" s="126" t="n">
        <v>1</v>
      </c>
    </row>
    <row r="3">
      <c r="A3" t="inlineStr">
        <is>
          <t>J</t>
        </is>
      </c>
      <c r="B3" s="126" t="n">
        <v>9901</v>
      </c>
      <c r="C3" t="inlineStr">
        <is>
          <t>Demo Ontwikkeling BV</t>
        </is>
      </c>
      <c r="D3" s="126" t="n">
        <v>9090</v>
      </c>
      <c r="E3" t="inlineStr">
        <is>
          <t>Demo Regio</t>
        </is>
      </c>
      <c r="F3" t="inlineStr">
        <is>
          <t>WO-Wonen</t>
        </is>
      </c>
      <c r="G3" t="inlineStr">
        <is>
          <t>NIEUWBOUW GESTAPELD</t>
        </is>
      </c>
      <c r="H3" t="inlineStr">
        <is>
          <t>Demo Appartement</t>
        </is>
      </c>
      <c r="I3" t="inlineStr">
        <is>
          <t>G.900002</t>
        </is>
      </c>
      <c r="J3" t="inlineStr">
        <is>
          <t>G.900002.8.9090</t>
        </is>
      </c>
      <c r="K3" t="inlineStr">
        <is>
          <t>08</t>
        </is>
      </c>
      <c r="L3" t="inlineStr">
        <is>
          <t>W900002</t>
        </is>
      </c>
      <c r="M3" t="inlineStr">
        <is>
          <t>DUINWAARD, DE WATERGAARDE</t>
        </is>
      </c>
      <c r="N3" t="inlineStr">
        <is>
          <t>Duinwaard, De Watergaarde</t>
        </is>
      </c>
      <c r="O3" t="inlineStr">
        <is>
          <t>OP</t>
        </is>
      </c>
      <c r="P3" t="inlineStr">
        <is>
          <t>VRIJ VEN3</t>
        </is>
      </c>
      <c r="Q3" s="126" t="n">
        <v>80</v>
      </c>
      <c r="R3" s="127" t="n">
        <v>-14880000</v>
      </c>
      <c r="S3" s="127" t="n">
        <v>13094400</v>
      </c>
      <c r="T3" s="127" t="n">
        <v>-1785600</v>
      </c>
      <c r="U3" s="127" t="n">
        <v>12</v>
      </c>
      <c r="V3" s="127" t="n">
        <v>-2232000</v>
      </c>
      <c r="W3" s="127" t="n">
        <v>-267840</v>
      </c>
      <c r="X3" s="126" t="n">
        <v>-2418000</v>
      </c>
      <c r="Y3" s="127" t="n">
        <v>2127840</v>
      </c>
      <c r="Z3" s="127" t="n">
        <v>-290160</v>
      </c>
      <c r="AA3" s="127" t="n">
        <v>-558000</v>
      </c>
      <c r="AB3" s="127" t="n">
        <v>-4650000</v>
      </c>
      <c r="AC3" s="127" t="n">
        <v>4092000</v>
      </c>
      <c r="AD3" s="127" t="n">
        <v>-10230000</v>
      </c>
      <c r="AE3" s="127" t="n">
        <v>-1227600</v>
      </c>
      <c r="AF3" s="126" t="n">
        <v>0</v>
      </c>
      <c r="AG3" s="127" t="n">
        <v>0</v>
      </c>
      <c r="AH3" s="127" t="n">
        <v>0</v>
      </c>
      <c r="AI3" s="126" t="n">
        <v>0</v>
      </c>
      <c r="AJ3" s="127" t="n">
        <v>0</v>
      </c>
      <c r="AK3" s="127" t="n">
        <v>0</v>
      </c>
      <c r="AL3" s="126" t="n">
        <v>0</v>
      </c>
      <c r="AM3" s="127" t="n">
        <v>0</v>
      </c>
      <c r="AN3" s="127" t="n">
        <v>0</v>
      </c>
      <c r="AO3" s="126" t="n">
        <v>-1302000</v>
      </c>
      <c r="AP3" s="127" t="n">
        <v>1145760</v>
      </c>
      <c r="AQ3" s="127" t="n">
        <v>-156240</v>
      </c>
      <c r="AR3" s="126" t="n">
        <v>-1302000</v>
      </c>
      <c r="AS3" s="127" t="n">
        <v>1145760</v>
      </c>
      <c r="AT3" s="127" t="n">
        <v>-156240</v>
      </c>
      <c r="AU3" s="126" t="n">
        <v>-1160640</v>
      </c>
      <c r="AV3" s="127" t="n">
        <v>1021363.2</v>
      </c>
      <c r="AW3" s="127" t="n">
        <v>-139276.8</v>
      </c>
      <c r="AX3" s="126" t="n">
        <v>-1450800</v>
      </c>
      <c r="AY3" s="127" t="n">
        <v>1276704</v>
      </c>
      <c r="AZ3" s="127" t="n">
        <v>-174096</v>
      </c>
      <c r="BA3" s="126" t="n">
        <v>-1740960</v>
      </c>
      <c r="BB3" s="127" t="n">
        <v>1532044.8</v>
      </c>
      <c r="BC3" s="127" t="n">
        <v>-208915.2</v>
      </c>
      <c r="BD3" s="126" t="n">
        <v>-1450800</v>
      </c>
      <c r="BE3" s="127" t="n">
        <v>1276704</v>
      </c>
      <c r="BF3" s="127" t="n">
        <v>-174096</v>
      </c>
      <c r="BG3" s="126" t="n">
        <v>-5803200</v>
      </c>
      <c r="BH3" s="127" t="n">
        <v>5106816</v>
      </c>
      <c r="BI3" s="127" t="n">
        <v>-696384</v>
      </c>
      <c r="BJ3" s="127" t="n">
        <v>-3124800</v>
      </c>
      <c r="BK3" s="127" t="n">
        <v>2749824</v>
      </c>
      <c r="BL3" s="127" t="n">
        <v>-374976</v>
      </c>
      <c r="BM3" s="126" t="n">
        <v>0</v>
      </c>
      <c r="BN3" s="126" t="n">
        <v>0</v>
      </c>
      <c r="BO3" s="126" t="n">
        <v>0</v>
      </c>
      <c r="BP3" s="126" t="n">
        <v>0</v>
      </c>
      <c r="BQ3" s="126" t="n">
        <v>0</v>
      </c>
      <c r="BR3" s="126" t="n">
        <v>0</v>
      </c>
      <c r="BS3" s="126" t="n">
        <v>0</v>
      </c>
      <c r="BT3" s="126" t="n">
        <v>0</v>
      </c>
      <c r="BU3" s="126" t="n">
        <v>0</v>
      </c>
      <c r="BV3" s="126" t="n">
        <v>0</v>
      </c>
      <c r="BW3" s="126" t="n">
        <v>0</v>
      </c>
      <c r="BX3" s="126" t="n">
        <v>0</v>
      </c>
      <c r="BY3" s="126" t="n">
        <v>0</v>
      </c>
      <c r="BZ3" s="126" t="n">
        <v>0</v>
      </c>
      <c r="CA3" s="126" t="n">
        <v>0</v>
      </c>
      <c r="CB3" s="126" t="n">
        <v>0</v>
      </c>
      <c r="CC3" s="126" t="n">
        <v>0</v>
      </c>
      <c r="CD3" s="126" t="n">
        <v>0</v>
      </c>
      <c r="CE3" s="126" t="n">
        <v>0</v>
      </c>
      <c r="CF3" s="126" t="n">
        <v>0</v>
      </c>
      <c r="CG3" s="126" t="n">
        <v>0</v>
      </c>
      <c r="CH3" s="127" t="n">
        <v>31.25</v>
      </c>
      <c r="CI3" s="128" t="n">
        <v>45689</v>
      </c>
      <c r="CJ3" s="128" t="n">
        <v>46054</v>
      </c>
      <c r="CK3" s="126" t="n">
        <v>202812</v>
      </c>
      <c r="CL3" s="126" t="n">
        <v>2</v>
      </c>
    </row>
    <row r="4">
      <c r="A4" t="inlineStr">
        <is>
          <t>J</t>
        </is>
      </c>
      <c r="B4" s="126" t="n">
        <v>9901</v>
      </c>
      <c r="C4" t="inlineStr">
        <is>
          <t>Demo Ontwikkeling BV</t>
        </is>
      </c>
      <c r="D4" s="126" t="n">
        <v>9090</v>
      </c>
      <c r="E4" t="inlineStr">
        <is>
          <t>Demo Regio</t>
        </is>
      </c>
      <c r="F4" t="inlineStr">
        <is>
          <t>WO-Wonen</t>
        </is>
      </c>
      <c r="G4" t="inlineStr">
        <is>
          <t>NIEUWBOUW GRONDGEBONDEN</t>
        </is>
      </c>
      <c r="H4" t="inlineStr">
        <is>
          <t>Demo Grondgebonden</t>
        </is>
      </c>
      <c r="I4" t="inlineStr">
        <is>
          <t>G.900003</t>
        </is>
      </c>
      <c r="J4" t="inlineStr">
        <is>
          <t>G.900003.8.9090</t>
        </is>
      </c>
      <c r="K4" t="inlineStr">
        <is>
          <t>08</t>
        </is>
      </c>
      <c r="L4" t="inlineStr">
        <is>
          <t>W900003</t>
        </is>
      </c>
      <c r="M4" t="inlineStr">
        <is>
          <t>VELDENDAM, STATIONSHOF</t>
        </is>
      </c>
      <c r="N4" t="inlineStr">
        <is>
          <t>Veldendam, Stationshof</t>
        </is>
      </c>
      <c r="O4" t="inlineStr">
        <is>
          <t>OP</t>
        </is>
      </c>
      <c r="P4" t="inlineStr">
        <is>
          <t>VRIJ VEN3</t>
        </is>
      </c>
      <c r="Q4" s="126" t="n">
        <v>60</v>
      </c>
      <c r="R4" s="127" t="n">
        <v>-30400000</v>
      </c>
      <c r="S4" s="127" t="n">
        <v>28120000</v>
      </c>
      <c r="T4" s="127" t="n">
        <v>-2280000</v>
      </c>
      <c r="U4" s="127" t="n">
        <v>7.5</v>
      </c>
      <c r="V4" s="127" t="n">
        <v>-4560000</v>
      </c>
      <c r="W4" s="127" t="n">
        <v>-342000</v>
      </c>
      <c r="X4" s="126" t="n">
        <v>-2964000</v>
      </c>
      <c r="Y4" s="127" t="n">
        <v>2741700</v>
      </c>
      <c r="Z4" s="127" t="n">
        <v>-222300</v>
      </c>
      <c r="AA4" s="127" t="n">
        <v>-564300</v>
      </c>
      <c r="AB4" s="127" t="n">
        <v>-7524000</v>
      </c>
      <c r="AC4" s="127" t="n">
        <v>6959700</v>
      </c>
      <c r="AD4" s="127" t="n">
        <v>-22876000</v>
      </c>
      <c r="AE4" s="127" t="n">
        <v>-1715700</v>
      </c>
      <c r="AF4" s="126" t="n">
        <v>0</v>
      </c>
      <c r="AG4" s="127" t="n">
        <v>0</v>
      </c>
      <c r="AH4" s="127" t="n">
        <v>0</v>
      </c>
      <c r="AI4" s="126" t="n">
        <v>0</v>
      </c>
      <c r="AJ4" s="127" t="n">
        <v>0</v>
      </c>
      <c r="AK4" s="127" t="n">
        <v>0</v>
      </c>
      <c r="AL4" s="126" t="n">
        <v>0</v>
      </c>
      <c r="AM4" s="127" t="n">
        <v>0</v>
      </c>
      <c r="AN4" s="127" t="n">
        <v>0</v>
      </c>
      <c r="AO4" s="126" t="n">
        <v>-1596000</v>
      </c>
      <c r="AP4" s="127" t="n">
        <v>1476300</v>
      </c>
      <c r="AQ4" s="127" t="n">
        <v>-119700</v>
      </c>
      <c r="AR4" s="126" t="n">
        <v>-1596000</v>
      </c>
      <c r="AS4" s="127" t="n">
        <v>1476300</v>
      </c>
      <c r="AT4" s="127" t="n">
        <v>-119700</v>
      </c>
      <c r="AU4" s="126" t="n">
        <v>-2766400</v>
      </c>
      <c r="AV4" s="127" t="n">
        <v>2558920</v>
      </c>
      <c r="AW4" s="127" t="n">
        <v>-207480</v>
      </c>
      <c r="AX4" s="126" t="n">
        <v>-3458000</v>
      </c>
      <c r="AY4" s="127" t="n">
        <v>3198650</v>
      </c>
      <c r="AZ4" s="127" t="n">
        <v>-259350</v>
      </c>
      <c r="BA4" s="126" t="n">
        <v>-4149600</v>
      </c>
      <c r="BB4" s="127" t="n">
        <v>3838380</v>
      </c>
      <c r="BC4" s="127" t="n">
        <v>-311220</v>
      </c>
      <c r="BD4" s="126" t="n">
        <v>-3458000</v>
      </c>
      <c r="BE4" s="127" t="n">
        <v>3198650</v>
      </c>
      <c r="BF4" s="127" t="n">
        <v>-259350</v>
      </c>
      <c r="BG4" s="126" t="n">
        <v>-13832000</v>
      </c>
      <c r="BH4" s="127" t="n">
        <v>12794600</v>
      </c>
      <c r="BI4" s="127" t="n">
        <v>-1037400</v>
      </c>
      <c r="BJ4" s="127" t="n">
        <v>-7448000</v>
      </c>
      <c r="BK4" s="127" t="n">
        <v>6889400</v>
      </c>
      <c r="BL4" s="127" t="n">
        <v>-558600</v>
      </c>
      <c r="BM4" s="126" t="n">
        <v>0</v>
      </c>
      <c r="BN4" s="126" t="n">
        <v>0</v>
      </c>
      <c r="BO4" s="126" t="n">
        <v>0</v>
      </c>
      <c r="BP4" s="126" t="n">
        <v>0</v>
      </c>
      <c r="BQ4" s="126" t="n">
        <v>0</v>
      </c>
      <c r="BR4" s="126" t="n">
        <v>0</v>
      </c>
      <c r="BS4" s="126" t="n">
        <v>0</v>
      </c>
      <c r="BT4" s="126" t="n">
        <v>0</v>
      </c>
      <c r="BU4" s="126" t="n">
        <v>0</v>
      </c>
      <c r="BV4" s="126" t="n">
        <v>0</v>
      </c>
      <c r="BW4" s="126" t="n">
        <v>0</v>
      </c>
      <c r="BX4" s="126" t="n">
        <v>0</v>
      </c>
      <c r="BY4" s="126" t="n">
        <v>0</v>
      </c>
      <c r="BZ4" s="126" t="n">
        <v>0</v>
      </c>
      <c r="CA4" s="126" t="n">
        <v>0</v>
      </c>
      <c r="CB4" s="126" t="n">
        <v>0</v>
      </c>
      <c r="CC4" s="126" t="n">
        <v>0</v>
      </c>
      <c r="CD4" s="126" t="n">
        <v>0</v>
      </c>
      <c r="CE4" s="126" t="n">
        <v>0</v>
      </c>
      <c r="CF4" s="126" t="n">
        <v>0</v>
      </c>
      <c r="CG4" s="126" t="n">
        <v>0</v>
      </c>
      <c r="CH4" s="127" t="n">
        <v>24.75</v>
      </c>
      <c r="CI4" s="128" t="n">
        <v>45717</v>
      </c>
      <c r="CJ4" s="128" t="n">
        <v>46082</v>
      </c>
      <c r="CK4" s="126" t="n">
        <v>202812</v>
      </c>
      <c r="CL4" s="126" t="n">
        <v>3</v>
      </c>
    </row>
    <row r="5">
      <c r="A5" t="inlineStr">
        <is>
          <t>N</t>
        </is>
      </c>
      <c r="B5" s="126" t="n">
        <v>9902</v>
      </c>
      <c r="C5" t="inlineStr">
        <is>
          <t>Demo Gebiedscombinatie BV</t>
        </is>
      </c>
      <c r="D5" s="126" t="n">
        <v>9090</v>
      </c>
      <c r="E5" t="inlineStr">
        <is>
          <t>Demo Regio</t>
        </is>
      </c>
      <c r="F5" t="inlineStr">
        <is>
          <t>WO-Wonen</t>
        </is>
      </c>
      <c r="G5" t="inlineStr">
        <is>
          <t>NIEUWBOUW GESTAPELD</t>
        </is>
      </c>
      <c r="H5" t="inlineStr">
        <is>
          <t>Demo Appartement</t>
        </is>
      </c>
      <c r="I5" t="inlineStr">
        <is>
          <t>G.900004</t>
        </is>
      </c>
      <c r="J5" t="inlineStr">
        <is>
          <t>G.900004.8.9090</t>
        </is>
      </c>
      <c r="K5" t="inlineStr">
        <is>
          <t>08</t>
        </is>
      </c>
      <c r="L5" t="inlineStr">
        <is>
          <t>W900004</t>
        </is>
      </c>
      <c r="M5" t="inlineStr">
        <is>
          <t>MEERHOVENSTAD, HET KOMPAS</t>
        </is>
      </c>
      <c r="N5" t="inlineStr">
        <is>
          <t>Meerhovenstad, Het Kompas</t>
        </is>
      </c>
      <c r="O5" t="inlineStr">
        <is>
          <t>OP</t>
        </is>
      </c>
      <c r="P5" t="inlineStr">
        <is>
          <t>VRIJ VEN3</t>
        </is>
      </c>
      <c r="Q5" s="126" t="n">
        <v>40</v>
      </c>
      <c r="R5" s="127" t="n">
        <v>-5760000</v>
      </c>
      <c r="S5" s="127" t="n">
        <v>5126400</v>
      </c>
      <c r="T5" s="127" t="n">
        <v>-633600</v>
      </c>
      <c r="U5" s="127" t="n">
        <v>11</v>
      </c>
      <c r="V5" s="127" t="n">
        <v>-864000</v>
      </c>
      <c r="W5" s="127" t="n">
        <v>-95040</v>
      </c>
      <c r="X5" s="126" t="n">
        <v>-1572480</v>
      </c>
      <c r="Y5" s="127" t="n">
        <v>1399507.2</v>
      </c>
      <c r="Z5" s="127" t="n">
        <v>-172972.8</v>
      </c>
      <c r="AA5" s="127" t="n">
        <v>-268012.8</v>
      </c>
      <c r="AB5" s="127" t="n">
        <v>-2436480</v>
      </c>
      <c r="AC5" s="127" t="n">
        <v>2168467.2</v>
      </c>
      <c r="AD5" s="127" t="n">
        <v>-3323520</v>
      </c>
      <c r="AE5" s="127" t="n">
        <v>-365587.2</v>
      </c>
      <c r="AF5" s="126" t="n">
        <v>0</v>
      </c>
      <c r="AG5" s="127" t="n">
        <v>0</v>
      </c>
      <c r="AH5" s="127" t="n">
        <v>0</v>
      </c>
      <c r="AI5" s="126" t="n">
        <v>0</v>
      </c>
      <c r="AJ5" s="127" t="n">
        <v>0</v>
      </c>
      <c r="AK5" s="127" t="n">
        <v>0</v>
      </c>
      <c r="AL5" s="126" t="n">
        <v>0</v>
      </c>
      <c r="AM5" s="127" t="n">
        <v>0</v>
      </c>
      <c r="AN5" s="127" t="n">
        <v>0</v>
      </c>
      <c r="AO5" s="126" t="n">
        <v>-846720</v>
      </c>
      <c r="AP5" s="127" t="n">
        <v>753580.8</v>
      </c>
      <c r="AQ5" s="127" t="n">
        <v>-93139.2</v>
      </c>
      <c r="AR5" s="126" t="n">
        <v>-846720</v>
      </c>
      <c r="AS5" s="127" t="n">
        <v>753580.8</v>
      </c>
      <c r="AT5" s="127" t="n">
        <v>-93139.2</v>
      </c>
      <c r="AU5" s="126" t="n">
        <v>-321984</v>
      </c>
      <c r="AV5" s="127" t="n">
        <v>286565.76</v>
      </c>
      <c r="AW5" s="127" t="n">
        <v>-35418.24</v>
      </c>
      <c r="AX5" s="126" t="n">
        <v>-402480</v>
      </c>
      <c r="AY5" s="127" t="n">
        <v>358207.2</v>
      </c>
      <c r="AZ5" s="127" t="n">
        <v>-44272.8</v>
      </c>
      <c r="BA5" s="126" t="n">
        <v>-482976</v>
      </c>
      <c r="BB5" s="127" t="n">
        <v>429848.64</v>
      </c>
      <c r="BC5" s="127" t="n">
        <v>-53127.36</v>
      </c>
      <c r="BD5" s="126" t="n">
        <v>-402480</v>
      </c>
      <c r="BE5" s="127" t="n">
        <v>358207.2</v>
      </c>
      <c r="BF5" s="127" t="n">
        <v>-44272.8</v>
      </c>
      <c r="BG5" s="126" t="n">
        <v>-1609920</v>
      </c>
      <c r="BH5" s="127" t="n">
        <v>1432828.8</v>
      </c>
      <c r="BI5" s="127" t="n">
        <v>-177091.2</v>
      </c>
      <c r="BJ5" s="127" t="n">
        <v>-866880</v>
      </c>
      <c r="BK5" s="127" t="n">
        <v>771523.2</v>
      </c>
      <c r="BL5" s="127" t="n">
        <v>-95356.8</v>
      </c>
      <c r="BM5" s="126" t="n">
        <v>0</v>
      </c>
      <c r="BN5" s="126" t="n">
        <v>0</v>
      </c>
      <c r="BO5" s="126" t="n">
        <v>0</v>
      </c>
      <c r="BP5" s="126" t="n">
        <v>0</v>
      </c>
      <c r="BQ5" s="126" t="n">
        <v>0</v>
      </c>
      <c r="BR5" s="126" t="n">
        <v>0</v>
      </c>
      <c r="BS5" s="126" t="n">
        <v>0</v>
      </c>
      <c r="BT5" s="126" t="n">
        <v>0</v>
      </c>
      <c r="BU5" s="126" t="n">
        <v>0</v>
      </c>
      <c r="BV5" s="126" t="n">
        <v>0</v>
      </c>
      <c r="BW5" s="126" t="n">
        <v>0</v>
      </c>
      <c r="BX5" s="126" t="n">
        <v>0</v>
      </c>
      <c r="BY5" s="126" t="n">
        <v>0</v>
      </c>
      <c r="BZ5" s="126" t="n">
        <v>0</v>
      </c>
      <c r="CA5" s="126" t="n">
        <v>0</v>
      </c>
      <c r="CB5" s="126" t="n">
        <v>0</v>
      </c>
      <c r="CC5" s="126" t="n">
        <v>0</v>
      </c>
      <c r="CD5" s="126" t="n">
        <v>0</v>
      </c>
      <c r="CE5" s="126" t="n">
        <v>0</v>
      </c>
      <c r="CF5" s="126" t="n">
        <v>0</v>
      </c>
      <c r="CG5" s="126" t="n">
        <v>0</v>
      </c>
      <c r="CH5" s="127" t="n">
        <v>42.3</v>
      </c>
      <c r="CI5" s="128" t="n">
        <v>45748</v>
      </c>
      <c r="CJ5" s="128" t="n">
        <v>46113</v>
      </c>
      <c r="CK5" s="126" t="n">
        <v>202812</v>
      </c>
      <c r="CL5" s="126" t="n">
        <v>1</v>
      </c>
    </row>
    <row r="6">
      <c r="A6" t="inlineStr">
        <is>
          <t>J</t>
        </is>
      </c>
      <c r="B6" s="126" t="n">
        <v>9901</v>
      </c>
      <c r="C6" t="inlineStr">
        <is>
          <t>Demo Ontwikkeling BV</t>
        </is>
      </c>
      <c r="D6" s="126" t="n">
        <v>9090</v>
      </c>
      <c r="E6" t="inlineStr">
        <is>
          <t>Demo Regio</t>
        </is>
      </c>
      <c r="F6" t="inlineStr">
        <is>
          <t>WO-Wonen</t>
        </is>
      </c>
      <c r="G6" t="inlineStr">
        <is>
          <t>NIEUWBOUW GRONDGEBONDEN</t>
        </is>
      </c>
      <c r="H6" t="inlineStr">
        <is>
          <t>Demo Grondgebonden</t>
        </is>
      </c>
      <c r="I6" t="inlineStr">
        <is>
          <t>G.900005</t>
        </is>
      </c>
      <c r="J6" t="inlineStr">
        <is>
          <t>G.900005.8.9090</t>
        </is>
      </c>
      <c r="K6" t="inlineStr">
        <is>
          <t>08</t>
        </is>
      </c>
      <c r="L6" t="inlineStr">
        <is>
          <t>W900005</t>
        </is>
      </c>
      <c r="M6" t="inlineStr">
        <is>
          <t>ZILVERDAM, KADEZICHT</t>
        </is>
      </c>
      <c r="N6" t="inlineStr">
        <is>
          <t>Zilverdam, Kadezicht</t>
        </is>
      </c>
      <c r="O6" t="inlineStr">
        <is>
          <t>OP</t>
        </is>
      </c>
      <c r="P6" t="inlineStr">
        <is>
          <t>VRIJ VEN3</t>
        </is>
      </c>
      <c r="Q6" s="126" t="n">
        <v>20</v>
      </c>
      <c r="R6" s="127" t="n">
        <v>-67200000</v>
      </c>
      <c r="S6" s="127" t="n">
        <v>62832000</v>
      </c>
      <c r="T6" s="127" t="n">
        <v>-4368000</v>
      </c>
      <c r="U6" s="127" t="n">
        <v>6.5</v>
      </c>
      <c r="V6" s="127" t="n">
        <v>-10080000</v>
      </c>
      <c r="W6" s="127" t="n">
        <v>-655200</v>
      </c>
      <c r="X6" s="126" t="n">
        <v>-4368000</v>
      </c>
      <c r="Y6" s="127" t="n">
        <v>4084080</v>
      </c>
      <c r="Z6" s="127" t="n">
        <v>-283920</v>
      </c>
      <c r="AA6" s="127" t="n">
        <v>-939120</v>
      </c>
      <c r="AB6" s="127" t="n">
        <v>-14448000</v>
      </c>
      <c r="AC6" s="127" t="n">
        <v>13508880</v>
      </c>
      <c r="AD6" s="127" t="n">
        <v>-52752000</v>
      </c>
      <c r="AE6" s="127" t="n">
        <v>-3428880</v>
      </c>
      <c r="AF6" s="126" t="n">
        <v>0</v>
      </c>
      <c r="AG6" s="127" t="n">
        <v>0</v>
      </c>
      <c r="AH6" s="127" t="n">
        <v>0</v>
      </c>
      <c r="AI6" s="126" t="n">
        <v>0</v>
      </c>
      <c r="AJ6" s="127" t="n">
        <v>0</v>
      </c>
      <c r="AK6" s="127" t="n">
        <v>0</v>
      </c>
      <c r="AL6" s="126" t="n">
        <v>0</v>
      </c>
      <c r="AM6" s="127" t="n">
        <v>0</v>
      </c>
      <c r="AN6" s="127" t="n">
        <v>0</v>
      </c>
      <c r="AO6" s="126" t="n">
        <v>-2352000</v>
      </c>
      <c r="AP6" s="127" t="n">
        <v>2199120</v>
      </c>
      <c r="AQ6" s="127" t="n">
        <v>-152880</v>
      </c>
      <c r="AR6" s="126" t="n">
        <v>-2352000</v>
      </c>
      <c r="AS6" s="127" t="n">
        <v>2199120</v>
      </c>
      <c r="AT6" s="127" t="n">
        <v>-152880</v>
      </c>
      <c r="AU6" s="126" t="n">
        <v>-6552000</v>
      </c>
      <c r="AV6" s="127" t="n">
        <v>6126120</v>
      </c>
      <c r="AW6" s="127" t="n">
        <v>-425880</v>
      </c>
      <c r="AX6" s="126" t="n">
        <v>-8190000</v>
      </c>
      <c r="AY6" s="127" t="n">
        <v>7657650</v>
      </c>
      <c r="AZ6" s="127" t="n">
        <v>-532350</v>
      </c>
      <c r="BA6" s="126" t="n">
        <v>-9828000</v>
      </c>
      <c r="BB6" s="127" t="n">
        <v>9189180</v>
      </c>
      <c r="BC6" s="127" t="n">
        <v>-638820</v>
      </c>
      <c r="BD6" s="126" t="n">
        <v>-8190000</v>
      </c>
      <c r="BE6" s="127" t="n">
        <v>7657650</v>
      </c>
      <c r="BF6" s="127" t="n">
        <v>-532350</v>
      </c>
      <c r="BG6" s="126" t="n">
        <v>-32760000</v>
      </c>
      <c r="BH6" s="127" t="n">
        <v>30630600</v>
      </c>
      <c r="BI6" s="127" t="n">
        <v>-2129400</v>
      </c>
      <c r="BJ6" s="127" t="n">
        <v>-17640000</v>
      </c>
      <c r="BK6" s="127" t="n">
        <v>16493400</v>
      </c>
      <c r="BL6" s="127" t="n">
        <v>-1146600</v>
      </c>
      <c r="BM6" s="126" t="n">
        <v>0</v>
      </c>
      <c r="BN6" s="126" t="n">
        <v>0</v>
      </c>
      <c r="BO6" s="126" t="n">
        <v>0</v>
      </c>
      <c r="BP6" s="126" t="n">
        <v>0</v>
      </c>
      <c r="BQ6" s="126" t="n">
        <v>0</v>
      </c>
      <c r="BR6" s="126" t="n">
        <v>0</v>
      </c>
      <c r="BS6" s="126" t="n">
        <v>0</v>
      </c>
      <c r="BT6" s="126" t="n">
        <v>0</v>
      </c>
      <c r="BU6" s="126" t="n">
        <v>0</v>
      </c>
      <c r="BV6" s="126" t="n">
        <v>0</v>
      </c>
      <c r="BW6" s="126" t="n">
        <v>0</v>
      </c>
      <c r="BX6" s="126" t="n">
        <v>0</v>
      </c>
      <c r="BY6" s="126" t="n">
        <v>0</v>
      </c>
      <c r="BZ6" s="126" t="n">
        <v>0</v>
      </c>
      <c r="CA6" s="126" t="n">
        <v>0</v>
      </c>
      <c r="CB6" s="126" t="n">
        <v>0</v>
      </c>
      <c r="CC6" s="126" t="n">
        <v>0</v>
      </c>
      <c r="CD6" s="126" t="n">
        <v>0</v>
      </c>
      <c r="CE6" s="126" t="n">
        <v>0</v>
      </c>
      <c r="CF6" s="126" t="n">
        <v>0</v>
      </c>
      <c r="CG6" s="126" t="n">
        <v>0</v>
      </c>
      <c r="CH6" s="127" t="n">
        <v>21.5</v>
      </c>
      <c r="CI6" s="128" t="n">
        <v>45778</v>
      </c>
      <c r="CJ6" s="128" t="n">
        <v>46143</v>
      </c>
      <c r="CK6" s="126" t="n">
        <v>202812</v>
      </c>
      <c r="CL6" s="126" t="n">
        <v>2</v>
      </c>
    </row>
    <row r="7">
      <c r="A7" t="inlineStr">
        <is>
          <t>J</t>
        </is>
      </c>
      <c r="B7" s="126" t="n">
        <v>9901</v>
      </c>
      <c r="C7" t="inlineStr">
        <is>
          <t>Demo Ontwikkeling BV</t>
        </is>
      </c>
      <c r="D7" s="126" t="n">
        <v>9090</v>
      </c>
      <c r="E7" t="inlineStr">
        <is>
          <t>Demo Regio</t>
        </is>
      </c>
      <c r="F7" t="inlineStr">
        <is>
          <t>WO-Wonen</t>
        </is>
      </c>
      <c r="G7" t="inlineStr">
        <is>
          <t>NIEUWBOUW GESTAPELD</t>
        </is>
      </c>
      <c r="H7" t="inlineStr">
        <is>
          <t>Demo Appartement</t>
        </is>
      </c>
      <c r="I7" t="inlineStr">
        <is>
          <t>G.900006</t>
        </is>
      </c>
      <c r="J7" t="inlineStr">
        <is>
          <t>G.900006.8.9090</t>
        </is>
      </c>
      <c r="K7" t="inlineStr">
        <is>
          <t>08</t>
        </is>
      </c>
      <c r="L7" t="inlineStr">
        <is>
          <t>W900006</t>
        </is>
      </c>
      <c r="M7" t="inlineStr">
        <is>
          <t>BOSWAARD, DE EIKEN</t>
        </is>
      </c>
      <c r="N7" t="inlineStr">
        <is>
          <t>Boswaard, De Eiken</t>
        </is>
      </c>
      <c r="O7" t="inlineStr">
        <is>
          <t>OP</t>
        </is>
      </c>
      <c r="P7" t="inlineStr">
        <is>
          <t>VRIJ VEN3</t>
        </is>
      </c>
      <c r="Q7" s="126" t="n">
        <v>100</v>
      </c>
      <c r="R7" s="127" t="n">
        <v>-17280000</v>
      </c>
      <c r="S7" s="127" t="n">
        <v>14860800</v>
      </c>
      <c r="T7" s="127" t="n">
        <v>-2419200</v>
      </c>
      <c r="U7" s="127" t="n">
        <v>14</v>
      </c>
      <c r="V7" s="127" t="n">
        <v>0</v>
      </c>
      <c r="W7" s="127" t="n">
        <v>0</v>
      </c>
      <c r="X7" s="126" t="n">
        <v>-4268160</v>
      </c>
      <c r="Y7" s="127" t="n">
        <v>3670617.6</v>
      </c>
      <c r="Z7" s="127" t="n">
        <v>-597542.4</v>
      </c>
      <c r="AA7" s="127" t="n">
        <v>-597542.4</v>
      </c>
      <c r="AB7" s="127" t="n">
        <v>-4268160</v>
      </c>
      <c r="AC7" s="127" t="n">
        <v>3670617.6</v>
      </c>
      <c r="AD7" s="127" t="n">
        <v>-13011840</v>
      </c>
      <c r="AE7" s="127" t="n">
        <v>-1821657.6</v>
      </c>
      <c r="AF7" s="126" t="n">
        <v>0</v>
      </c>
      <c r="AG7" s="127" t="n">
        <v>0</v>
      </c>
      <c r="AH7" s="127" t="n">
        <v>0</v>
      </c>
      <c r="AI7" s="126" t="n">
        <v>0</v>
      </c>
      <c r="AJ7" s="127" t="n">
        <v>0</v>
      </c>
      <c r="AK7" s="127" t="n">
        <v>0</v>
      </c>
      <c r="AL7" s="126" t="n">
        <v>0</v>
      </c>
      <c r="AM7" s="127" t="n">
        <v>0</v>
      </c>
      <c r="AN7" s="127" t="n">
        <v>0</v>
      </c>
      <c r="AO7" s="126" t="n">
        <v>-2298240</v>
      </c>
      <c r="AP7" s="127" t="n">
        <v>1976486.4</v>
      </c>
      <c r="AQ7" s="127" t="n">
        <v>-321753.6</v>
      </c>
      <c r="AR7" s="126" t="n">
        <v>-2298240</v>
      </c>
      <c r="AS7" s="127" t="n">
        <v>1976486.4</v>
      </c>
      <c r="AT7" s="127" t="n">
        <v>-321753.6</v>
      </c>
      <c r="AU7" s="126" t="n">
        <v>-1392768</v>
      </c>
      <c r="AV7" s="127" t="n">
        <v>1197780.48</v>
      </c>
      <c r="AW7" s="127" t="n">
        <v>-194987.52</v>
      </c>
      <c r="AX7" s="126" t="n">
        <v>-1740960</v>
      </c>
      <c r="AY7" s="127" t="n">
        <v>1497225.6</v>
      </c>
      <c r="AZ7" s="127" t="n">
        <v>-243734.4</v>
      </c>
      <c r="BA7" s="126" t="n">
        <v>-2089152</v>
      </c>
      <c r="BB7" s="127" t="n">
        <v>1796670.72</v>
      </c>
      <c r="BC7" s="127" t="n">
        <v>-292481.28</v>
      </c>
      <c r="BD7" s="126" t="n">
        <v>-1740960</v>
      </c>
      <c r="BE7" s="127" t="n">
        <v>1497225.6</v>
      </c>
      <c r="BF7" s="127" t="n">
        <v>-243734.4</v>
      </c>
      <c r="BG7" s="126" t="n">
        <v>-6963840</v>
      </c>
      <c r="BH7" s="127" t="n">
        <v>5988902.4</v>
      </c>
      <c r="BI7" s="127" t="n">
        <v>-974937.6</v>
      </c>
      <c r="BJ7" s="127" t="n">
        <v>-3749760</v>
      </c>
      <c r="BK7" s="127" t="n">
        <v>3224793.6</v>
      </c>
      <c r="BL7" s="127" t="n">
        <v>-524966.4</v>
      </c>
      <c r="BM7" s="126" t="n">
        <v>0</v>
      </c>
      <c r="BN7" s="126" t="n">
        <v>0</v>
      </c>
      <c r="BO7" s="126" t="n">
        <v>0</v>
      </c>
      <c r="BP7" s="126" t="n">
        <v>0</v>
      </c>
      <c r="BQ7" s="126" t="n">
        <v>0</v>
      </c>
      <c r="BR7" s="126" t="n">
        <v>0</v>
      </c>
      <c r="BS7" s="126" t="n">
        <v>0</v>
      </c>
      <c r="BT7" s="126" t="n">
        <v>0</v>
      </c>
      <c r="BU7" s="126" t="n">
        <v>0</v>
      </c>
      <c r="BV7" s="126" t="n">
        <v>0</v>
      </c>
      <c r="BW7" s="126" t="n">
        <v>0</v>
      </c>
      <c r="BX7" s="126" t="n">
        <v>0</v>
      </c>
      <c r="BY7" s="126" t="n">
        <v>0</v>
      </c>
      <c r="BZ7" s="126" t="n">
        <v>0</v>
      </c>
      <c r="CA7" s="126" t="n">
        <v>0</v>
      </c>
      <c r="CB7" s="126" t="n">
        <v>0</v>
      </c>
      <c r="CC7" s="126" t="n">
        <v>0</v>
      </c>
      <c r="CD7" s="126" t="n">
        <v>0</v>
      </c>
      <c r="CE7" s="126" t="n">
        <v>0</v>
      </c>
      <c r="CF7" s="126" t="n">
        <v>0</v>
      </c>
      <c r="CG7" s="126" t="n">
        <v>0</v>
      </c>
      <c r="CH7" s="127" t="n">
        <v>24.7</v>
      </c>
      <c r="CI7" s="128" t="n">
        <v>46174</v>
      </c>
      <c r="CJ7" s="128" t="n">
        <v>46174</v>
      </c>
      <c r="CK7" s="126" t="n">
        <v>202812</v>
      </c>
      <c r="CL7" s="126" t="n">
        <v>3</v>
      </c>
    </row>
    <row r="8">
      <c r="A8" t="inlineStr">
        <is>
          <t>J</t>
        </is>
      </c>
      <c r="B8" s="126" t="n">
        <v>9901</v>
      </c>
      <c r="C8" t="inlineStr">
        <is>
          <t>Demo Ontwikkeling BV</t>
        </is>
      </c>
      <c r="D8" s="126" t="n">
        <v>9090</v>
      </c>
      <c r="E8" t="inlineStr">
        <is>
          <t>Demo Regio</t>
        </is>
      </c>
      <c r="F8" t="inlineStr">
        <is>
          <t>WO-Wonen</t>
        </is>
      </c>
      <c r="G8" t="inlineStr">
        <is>
          <t>NIEUWBOUW GRONDGEBONDEN</t>
        </is>
      </c>
      <c r="H8" t="inlineStr">
        <is>
          <t>Demo Grondgebonden</t>
        </is>
      </c>
      <c r="I8" t="inlineStr">
        <is>
          <t>G.900007</t>
        </is>
      </c>
      <c r="J8" t="inlineStr">
        <is>
          <t>G.900007.8.9090</t>
        </is>
      </c>
      <c r="K8" t="inlineStr">
        <is>
          <t>08</t>
        </is>
      </c>
      <c r="L8" t="inlineStr">
        <is>
          <t>W900007</t>
        </is>
      </c>
      <c r="M8" t="inlineStr">
        <is>
          <t>RIETDAM, HAVENKWARTIER</t>
        </is>
      </c>
      <c r="N8" t="inlineStr">
        <is>
          <t>Rietdam, Havenkwartier</t>
        </is>
      </c>
      <c r="O8" t="inlineStr">
        <is>
          <t>OP</t>
        </is>
      </c>
      <c r="P8" t="inlineStr">
        <is>
          <t>VRIJ VEN3</t>
        </is>
      </c>
      <c r="Q8" s="126" t="n">
        <v>80</v>
      </c>
      <c r="R8" s="127" t="n">
        <v>-24320000</v>
      </c>
      <c r="S8" s="127" t="n">
        <v>21888000</v>
      </c>
      <c r="T8" s="127" t="n">
        <v>-2432000</v>
      </c>
      <c r="U8" s="127" t="n">
        <v>10</v>
      </c>
      <c r="V8" s="127" t="n">
        <v>0</v>
      </c>
      <c r="W8" s="127" t="n">
        <v>0</v>
      </c>
      <c r="X8" s="126" t="n">
        <v>-3952000</v>
      </c>
      <c r="Y8" s="127" t="n">
        <v>3556800</v>
      </c>
      <c r="Z8" s="127" t="n">
        <v>-395200</v>
      </c>
      <c r="AA8" s="127" t="n">
        <v>-395200</v>
      </c>
      <c r="AB8" s="127" t="n">
        <v>-3952000</v>
      </c>
      <c r="AC8" s="127" t="n">
        <v>3556800</v>
      </c>
      <c r="AD8" s="127" t="n">
        <v>-20368000</v>
      </c>
      <c r="AE8" s="127" t="n">
        <v>-2036800</v>
      </c>
      <c r="AF8" s="126" t="n">
        <v>0</v>
      </c>
      <c r="AG8" s="127" t="n">
        <v>0</v>
      </c>
      <c r="AH8" s="127" t="n">
        <v>0</v>
      </c>
      <c r="AI8" s="126" t="n">
        <v>0</v>
      </c>
      <c r="AJ8" s="127" t="n">
        <v>0</v>
      </c>
      <c r="AK8" s="127" t="n">
        <v>0</v>
      </c>
      <c r="AL8" s="126" t="n">
        <v>0</v>
      </c>
      <c r="AM8" s="127" t="n">
        <v>0</v>
      </c>
      <c r="AN8" s="127" t="n">
        <v>0</v>
      </c>
      <c r="AO8" s="126" t="n">
        <v>-2128000</v>
      </c>
      <c r="AP8" s="127" t="n">
        <v>1915200</v>
      </c>
      <c r="AQ8" s="127" t="n">
        <v>-212800</v>
      </c>
      <c r="AR8" s="126" t="n">
        <v>-2128000</v>
      </c>
      <c r="AS8" s="127" t="n">
        <v>1915200</v>
      </c>
      <c r="AT8" s="127" t="n">
        <v>-212800</v>
      </c>
      <c r="AU8" s="126" t="n">
        <v>-2371200</v>
      </c>
      <c r="AV8" s="127" t="n">
        <v>2134080</v>
      </c>
      <c r="AW8" s="127" t="n">
        <v>-237120</v>
      </c>
      <c r="AX8" s="126" t="n">
        <v>-2964000</v>
      </c>
      <c r="AY8" s="127" t="n">
        <v>2667600</v>
      </c>
      <c r="AZ8" s="127" t="n">
        <v>-296400</v>
      </c>
      <c r="BA8" s="126" t="n">
        <v>-3556800</v>
      </c>
      <c r="BB8" s="127" t="n">
        <v>3201120</v>
      </c>
      <c r="BC8" s="127" t="n">
        <v>-355680</v>
      </c>
      <c r="BD8" s="126" t="n">
        <v>-2964000</v>
      </c>
      <c r="BE8" s="127" t="n">
        <v>2667600</v>
      </c>
      <c r="BF8" s="127" t="n">
        <v>-296400</v>
      </c>
      <c r="BG8" s="126" t="n">
        <v>-11856000</v>
      </c>
      <c r="BH8" s="127" t="n">
        <v>10670400</v>
      </c>
      <c r="BI8" s="127" t="n">
        <v>-1185600</v>
      </c>
      <c r="BJ8" s="127" t="n">
        <v>-6384000</v>
      </c>
      <c r="BK8" s="127" t="n">
        <v>5745600</v>
      </c>
      <c r="BL8" s="127" t="n">
        <v>-638400</v>
      </c>
      <c r="BM8" s="126" t="n">
        <v>0</v>
      </c>
      <c r="BN8" s="126" t="n">
        <v>0</v>
      </c>
      <c r="BO8" s="126" t="n">
        <v>0</v>
      </c>
      <c r="BP8" s="126" t="n">
        <v>0</v>
      </c>
      <c r="BQ8" s="126" t="n">
        <v>0</v>
      </c>
      <c r="BR8" s="126" t="n">
        <v>0</v>
      </c>
      <c r="BS8" s="126" t="n">
        <v>0</v>
      </c>
      <c r="BT8" s="126" t="n">
        <v>0</v>
      </c>
      <c r="BU8" s="126" t="n">
        <v>0</v>
      </c>
      <c r="BV8" s="126" t="n">
        <v>0</v>
      </c>
      <c r="BW8" s="126" t="n">
        <v>0</v>
      </c>
      <c r="BX8" s="126" t="n">
        <v>0</v>
      </c>
      <c r="BY8" s="126" t="n">
        <v>0</v>
      </c>
      <c r="BZ8" s="126" t="n">
        <v>0</v>
      </c>
      <c r="CA8" s="126" t="n">
        <v>0</v>
      </c>
      <c r="CB8" s="126" t="n">
        <v>0</v>
      </c>
      <c r="CC8" s="126" t="n">
        <v>0</v>
      </c>
      <c r="CD8" s="126" t="n">
        <v>0</v>
      </c>
      <c r="CE8" s="126" t="n">
        <v>0</v>
      </c>
      <c r="CF8" s="126" t="n">
        <v>0</v>
      </c>
      <c r="CG8" s="126" t="n">
        <v>0</v>
      </c>
      <c r="CH8" s="127" t="n">
        <v>16.25</v>
      </c>
      <c r="CI8" s="128" t="n">
        <v>46204</v>
      </c>
      <c r="CJ8" s="128" t="n">
        <v>46204</v>
      </c>
      <c r="CK8" s="126" t="n">
        <v>202812</v>
      </c>
      <c r="CL8" s="126" t="n">
        <v>1</v>
      </c>
    </row>
    <row r="9">
      <c r="A9" t="inlineStr">
        <is>
          <t>J</t>
        </is>
      </c>
      <c r="B9" s="126" t="n">
        <v>9901</v>
      </c>
      <c r="C9" t="inlineStr">
        <is>
          <t>Demo Ontwikkeling BV</t>
        </is>
      </c>
      <c r="D9" s="126" t="n">
        <v>9090</v>
      </c>
      <c r="E9" t="inlineStr">
        <is>
          <t>Demo Regio</t>
        </is>
      </c>
      <c r="F9" t="inlineStr">
        <is>
          <t>WO-Wonen</t>
        </is>
      </c>
      <c r="G9" t="inlineStr">
        <is>
          <t>NIEUWBOUW GESTAPELD</t>
        </is>
      </c>
      <c r="H9" t="inlineStr">
        <is>
          <t>Demo Appartement</t>
        </is>
      </c>
      <c r="I9" t="inlineStr">
        <is>
          <t>G.900008</t>
        </is>
      </c>
      <c r="J9" t="inlineStr">
        <is>
          <t>G.900008.8.9090</t>
        </is>
      </c>
      <c r="K9" t="inlineStr">
        <is>
          <t>08</t>
        </is>
      </c>
      <c r="L9" t="inlineStr">
        <is>
          <t>W900008</t>
        </is>
      </c>
      <c r="M9" t="inlineStr">
        <is>
          <t>LINDEHAVEN, DE BRINK</t>
        </is>
      </c>
      <c r="N9" t="inlineStr">
        <is>
          <t>Lindehaven, De Brink</t>
        </is>
      </c>
      <c r="O9" t="inlineStr">
        <is>
          <t>OW</t>
        </is>
      </c>
      <c r="P9" t="inlineStr">
        <is>
          <t>VRIJ BLOK</t>
        </is>
      </c>
      <c r="Q9" s="126" t="n">
        <v>60</v>
      </c>
      <c r="R9" s="127" t="n">
        <v>-13020000</v>
      </c>
      <c r="S9" s="127" t="n">
        <v>13410600</v>
      </c>
      <c r="T9" s="127" t="n">
        <v>390600</v>
      </c>
      <c r="U9" s="127" t="n">
        <v>-3</v>
      </c>
      <c r="V9" s="127" t="n">
        <v>0</v>
      </c>
      <c r="W9" s="127" t="n">
        <v>0</v>
      </c>
      <c r="X9" s="126" t="n">
        <v>-1269450</v>
      </c>
      <c r="Y9" s="127" t="n">
        <v>1307533.5</v>
      </c>
      <c r="Z9" s="127" t="n">
        <v>38083.5</v>
      </c>
      <c r="AA9" s="127" t="n">
        <v>38083.5</v>
      </c>
      <c r="AB9" s="127" t="n">
        <v>-1269450</v>
      </c>
      <c r="AC9" s="127" t="n">
        <v>1307533.5</v>
      </c>
      <c r="AD9" s="127" t="n">
        <v>-11750550</v>
      </c>
      <c r="AE9" s="127" t="n">
        <v>352516.5</v>
      </c>
      <c r="AF9" s="126" t="n">
        <v>0</v>
      </c>
      <c r="AG9" s="127" t="n">
        <v>0</v>
      </c>
      <c r="AH9" s="127" t="n">
        <v>0</v>
      </c>
      <c r="AI9" s="126" t="n">
        <v>0</v>
      </c>
      <c r="AJ9" s="127" t="n">
        <v>0</v>
      </c>
      <c r="AK9" s="127" t="n">
        <v>0</v>
      </c>
      <c r="AL9" s="126" t="n">
        <v>0</v>
      </c>
      <c r="AM9" s="127" t="n">
        <v>0</v>
      </c>
      <c r="AN9" s="127" t="n">
        <v>0</v>
      </c>
      <c r="AO9" s="126" t="n">
        <v>-683550</v>
      </c>
      <c r="AP9" s="127" t="n">
        <v>704056.5</v>
      </c>
      <c r="AQ9" s="127" t="n">
        <v>20506.5</v>
      </c>
      <c r="AR9" s="126" t="n">
        <v>-683550</v>
      </c>
      <c r="AS9" s="127" t="n">
        <v>704056.5</v>
      </c>
      <c r="AT9" s="127" t="n">
        <v>20506.5</v>
      </c>
      <c r="AU9" s="126" t="n">
        <v>-1438710</v>
      </c>
      <c r="AV9" s="127" t="n">
        <v>1481871.3</v>
      </c>
      <c r="AW9" s="127" t="n">
        <v>43161.3</v>
      </c>
      <c r="AX9" s="126" t="n">
        <v>-1798387</v>
      </c>
      <c r="AY9" s="127" t="n">
        <v>1852338.61</v>
      </c>
      <c r="AZ9" s="127" t="n">
        <v>53951.61</v>
      </c>
      <c r="BA9" s="126" t="n">
        <v>-2158065</v>
      </c>
      <c r="BB9" s="127" t="n">
        <v>2222806.95</v>
      </c>
      <c r="BC9" s="127" t="n">
        <v>64741.95</v>
      </c>
      <c r="BD9" s="126" t="n">
        <v>-1798388</v>
      </c>
      <c r="BE9" s="127" t="n">
        <v>1852339.64</v>
      </c>
      <c r="BF9" s="127" t="n">
        <v>53951.64</v>
      </c>
      <c r="BG9" s="126" t="n">
        <v>-7193550</v>
      </c>
      <c r="BH9" s="127" t="n">
        <v>7409356.5</v>
      </c>
      <c r="BI9" s="127" t="n">
        <v>215806.5</v>
      </c>
      <c r="BJ9" s="127" t="n">
        <v>-3873450</v>
      </c>
      <c r="BK9" s="127" t="n">
        <v>3989653.5</v>
      </c>
      <c r="BL9" s="127" t="n">
        <v>116203.5</v>
      </c>
      <c r="BM9" s="126" t="n">
        <v>0</v>
      </c>
      <c r="BN9" s="126" t="n">
        <v>0</v>
      </c>
      <c r="BO9" s="126" t="n">
        <v>0</v>
      </c>
      <c r="BP9" s="126" t="n">
        <v>0</v>
      </c>
      <c r="BQ9" s="126" t="n">
        <v>0</v>
      </c>
      <c r="BR9" s="126" t="n">
        <v>0</v>
      </c>
      <c r="BS9" s="126" t="n">
        <v>0</v>
      </c>
      <c r="BT9" s="126" t="n">
        <v>0</v>
      </c>
      <c r="BU9" s="126" t="n">
        <v>0</v>
      </c>
      <c r="BV9" s="126" t="n">
        <v>0</v>
      </c>
      <c r="BW9" s="126" t="n">
        <v>0</v>
      </c>
      <c r="BX9" s="126" t="n">
        <v>0</v>
      </c>
      <c r="BY9" s="126" t="n">
        <v>0</v>
      </c>
      <c r="BZ9" s="126" t="n">
        <v>0</v>
      </c>
      <c r="CA9" s="126" t="n">
        <v>0</v>
      </c>
      <c r="CB9" s="126" t="n">
        <v>0</v>
      </c>
      <c r="CC9" s="126" t="n">
        <v>0</v>
      </c>
      <c r="CD9" s="126" t="n">
        <v>0</v>
      </c>
      <c r="CE9" s="126" t="n">
        <v>0</v>
      </c>
      <c r="CF9" s="126" t="n">
        <v>0</v>
      </c>
      <c r="CG9" s="126" t="n">
        <v>0</v>
      </c>
      <c r="CH9" s="127" t="n">
        <v>9.75</v>
      </c>
      <c r="CI9" s="128" t="n">
        <v>46235</v>
      </c>
      <c r="CJ9" s="128" t="n">
        <v>46235</v>
      </c>
      <c r="CK9" s="126" t="n">
        <v>202812</v>
      </c>
      <c r="CL9" s="126" t="n">
        <v>2</v>
      </c>
    </row>
    <row r="10">
      <c r="A10" t="inlineStr">
        <is>
          <t>J</t>
        </is>
      </c>
      <c r="B10" s="126" t="n">
        <v>9901</v>
      </c>
      <c r="C10" t="inlineStr">
        <is>
          <t>Demo Ontwikkeling BV</t>
        </is>
      </c>
      <c r="D10" s="126" t="n">
        <v>9090</v>
      </c>
      <c r="E10" t="inlineStr">
        <is>
          <t>Demo Regio</t>
        </is>
      </c>
      <c r="F10" t="inlineStr">
        <is>
          <t>WO-Wonen</t>
        </is>
      </c>
      <c r="G10" t="inlineStr">
        <is>
          <t>NIEUWBOUW GRONDGEBONDEN</t>
        </is>
      </c>
      <c r="H10" t="inlineStr">
        <is>
          <t>Demo Grondgebonden</t>
        </is>
      </c>
      <c r="I10" t="inlineStr">
        <is>
          <t>G.900009</t>
        </is>
      </c>
      <c r="J10" t="inlineStr">
        <is>
          <t>G.900009.8.9090</t>
        </is>
      </c>
      <c r="K10" t="inlineStr">
        <is>
          <t>08</t>
        </is>
      </c>
      <c r="L10" t="inlineStr">
        <is>
          <t>W900009</t>
        </is>
      </c>
      <c r="M10" t="inlineStr">
        <is>
          <t>DUINWAARD, DUINRAND</t>
        </is>
      </c>
      <c r="N10" t="inlineStr">
        <is>
          <t>Duinwaard, Duinrand</t>
        </is>
      </c>
      <c r="O10" t="inlineStr">
        <is>
          <t>OW</t>
        </is>
      </c>
      <c r="P10" t="inlineStr">
        <is>
          <t>VRIJ BLOK</t>
        </is>
      </c>
      <c r="Q10" s="126" t="n">
        <v>40</v>
      </c>
      <c r="R10" s="127" t="n">
        <v>-39600000</v>
      </c>
      <c r="S10" s="127" t="n">
        <v>36432000</v>
      </c>
      <c r="T10" s="127" t="n">
        <v>-3168000</v>
      </c>
      <c r="U10" s="127" t="n">
        <v>8</v>
      </c>
      <c r="V10" s="127" t="n">
        <v>0</v>
      </c>
      <c r="W10" s="127" t="n">
        <v>0</v>
      </c>
      <c r="X10" s="126" t="n">
        <v>-10810800</v>
      </c>
      <c r="Y10" s="127" t="n">
        <v>9945936</v>
      </c>
      <c r="Z10" s="127" t="n">
        <v>-864864</v>
      </c>
      <c r="AA10" s="127" t="n">
        <v>-864864</v>
      </c>
      <c r="AB10" s="127" t="n">
        <v>-10810800</v>
      </c>
      <c r="AC10" s="127" t="n">
        <v>9945936</v>
      </c>
      <c r="AD10" s="127" t="n">
        <v>-28789200</v>
      </c>
      <c r="AE10" s="127" t="n">
        <v>-2303136</v>
      </c>
      <c r="AF10" s="126" t="n">
        <v>0</v>
      </c>
      <c r="AG10" s="127" t="n">
        <v>0</v>
      </c>
      <c r="AH10" s="127" t="n">
        <v>0</v>
      </c>
      <c r="AI10" s="126" t="n">
        <v>0</v>
      </c>
      <c r="AJ10" s="127" t="n">
        <v>0</v>
      </c>
      <c r="AK10" s="127" t="n">
        <v>0</v>
      </c>
      <c r="AL10" s="126" t="n">
        <v>0</v>
      </c>
      <c r="AM10" s="127" t="n">
        <v>0</v>
      </c>
      <c r="AN10" s="127" t="n">
        <v>0</v>
      </c>
      <c r="AO10" s="126" t="n">
        <v>-5821200</v>
      </c>
      <c r="AP10" s="127" t="n">
        <v>5355504</v>
      </c>
      <c r="AQ10" s="127" t="n">
        <v>-465696</v>
      </c>
      <c r="AR10" s="126" t="n">
        <v>-5821200</v>
      </c>
      <c r="AS10" s="127" t="n">
        <v>5355504</v>
      </c>
      <c r="AT10" s="127" t="n">
        <v>-465696</v>
      </c>
      <c r="AU10" s="126" t="n">
        <v>-2985840</v>
      </c>
      <c r="AV10" s="127" t="n">
        <v>2746972.8</v>
      </c>
      <c r="AW10" s="127" t="n">
        <v>-238867.2</v>
      </c>
      <c r="AX10" s="126" t="n">
        <v>-3732300</v>
      </c>
      <c r="AY10" s="127" t="n">
        <v>3433716</v>
      </c>
      <c r="AZ10" s="127" t="n">
        <v>-298584</v>
      </c>
      <c r="BA10" s="126" t="n">
        <v>-4478760</v>
      </c>
      <c r="BB10" s="127" t="n">
        <v>4120459.2</v>
      </c>
      <c r="BC10" s="127" t="n">
        <v>-358300.8</v>
      </c>
      <c r="BD10" s="126" t="n">
        <v>-3732300</v>
      </c>
      <c r="BE10" s="127" t="n">
        <v>3433716</v>
      </c>
      <c r="BF10" s="127" t="n">
        <v>-298584</v>
      </c>
      <c r="BG10" s="126" t="n">
        <v>-14929200</v>
      </c>
      <c r="BH10" s="127" t="n">
        <v>13734864</v>
      </c>
      <c r="BI10" s="127" t="n">
        <v>-1194336</v>
      </c>
      <c r="BJ10" s="127" t="n">
        <v>-8038800</v>
      </c>
      <c r="BK10" s="127" t="n">
        <v>7395696</v>
      </c>
      <c r="BL10" s="127" t="n">
        <v>-643104</v>
      </c>
      <c r="BM10" s="126" t="n">
        <v>0</v>
      </c>
      <c r="BN10" s="126" t="n">
        <v>0</v>
      </c>
      <c r="BO10" s="126" t="n">
        <v>0</v>
      </c>
      <c r="BP10" s="126" t="n">
        <v>0</v>
      </c>
      <c r="BQ10" s="126" t="n">
        <v>0</v>
      </c>
      <c r="BR10" s="126" t="n">
        <v>0</v>
      </c>
      <c r="BS10" s="126" t="n">
        <v>0</v>
      </c>
      <c r="BT10" s="126" t="n">
        <v>0</v>
      </c>
      <c r="BU10" s="126" t="n">
        <v>0</v>
      </c>
      <c r="BV10" s="126" t="n">
        <v>0</v>
      </c>
      <c r="BW10" s="126" t="n">
        <v>0</v>
      </c>
      <c r="BX10" s="126" t="n">
        <v>0</v>
      </c>
      <c r="BY10" s="126" t="n">
        <v>0</v>
      </c>
      <c r="BZ10" s="126" t="n">
        <v>0</v>
      </c>
      <c r="CA10" s="126" t="n">
        <v>0</v>
      </c>
      <c r="CB10" s="126" t="n">
        <v>0</v>
      </c>
      <c r="CC10" s="126" t="n">
        <v>0</v>
      </c>
      <c r="CD10" s="126" t="n">
        <v>0</v>
      </c>
      <c r="CE10" s="126" t="n">
        <v>0</v>
      </c>
      <c r="CF10" s="126" t="n">
        <v>0</v>
      </c>
      <c r="CG10" s="126" t="n">
        <v>0</v>
      </c>
      <c r="CH10" s="127" t="n">
        <v>27.3</v>
      </c>
      <c r="CI10" s="128" t="n">
        <v>46266</v>
      </c>
      <c r="CJ10" s="128" t="n">
        <v>46266</v>
      </c>
      <c r="CK10" s="126" t="n">
        <v>202812</v>
      </c>
      <c r="CL10" s="126" t="n">
        <v>3</v>
      </c>
    </row>
    <row r="11">
      <c r="A11" t="inlineStr">
        <is>
          <t>J</t>
        </is>
      </c>
      <c r="B11" s="126" t="n">
        <v>9901</v>
      </c>
      <c r="C11" t="inlineStr">
        <is>
          <t>Demo Ontwikkeling BV</t>
        </is>
      </c>
      <c r="D11" s="126" t="n">
        <v>9090</v>
      </c>
      <c r="E11" t="inlineStr">
        <is>
          <t>Demo Regio</t>
        </is>
      </c>
      <c r="F11" t="inlineStr">
        <is>
          <t>WO-Wonen</t>
        </is>
      </c>
      <c r="G11" t="inlineStr">
        <is>
          <t>NIEUWBOUW GESTAPELD</t>
        </is>
      </c>
      <c r="H11" t="inlineStr">
        <is>
          <t>Demo Appartement</t>
        </is>
      </c>
      <c r="I11" t="inlineStr">
        <is>
          <t>G.900010</t>
        </is>
      </c>
      <c r="J11" t="inlineStr">
        <is>
          <t>G.900010.8.9090</t>
        </is>
      </c>
      <c r="K11" t="inlineStr">
        <is>
          <t>08</t>
        </is>
      </c>
      <c r="L11" t="inlineStr">
        <is>
          <t>W900010</t>
        </is>
      </c>
      <c r="M11" t="inlineStr">
        <is>
          <t>VELDENDAM, GROENE SINGEL</t>
        </is>
      </c>
      <c r="N11" t="inlineStr">
        <is>
          <t>Veldendam, Groene Singel</t>
        </is>
      </c>
      <c r="O11" t="inlineStr">
        <is>
          <t>OW</t>
        </is>
      </c>
      <c r="P11" t="inlineStr">
        <is>
          <t>VRIJ BLOK</t>
        </is>
      </c>
      <c r="Q11" s="126" t="n">
        <v>20</v>
      </c>
      <c r="R11" s="127" t="n">
        <v>-31320000</v>
      </c>
      <c r="S11" s="127" t="n">
        <v>27248400</v>
      </c>
      <c r="T11" s="127" t="n">
        <v>-4071600</v>
      </c>
      <c r="U11" s="127" t="n">
        <v>13</v>
      </c>
      <c r="V11" s="127" t="n">
        <v>0</v>
      </c>
      <c r="W11" s="127" t="n">
        <v>0</v>
      </c>
      <c r="X11" s="126" t="n">
        <v>-2035800</v>
      </c>
      <c r="Y11" s="127" t="n">
        <v>1771146</v>
      </c>
      <c r="Z11" s="127" t="n">
        <v>-264654</v>
      </c>
      <c r="AA11" s="127" t="n">
        <v>-264654</v>
      </c>
      <c r="AB11" s="127" t="n">
        <v>-2035800</v>
      </c>
      <c r="AC11" s="127" t="n">
        <v>1771146</v>
      </c>
      <c r="AD11" s="127" t="n">
        <v>-29284200</v>
      </c>
      <c r="AE11" s="127" t="n">
        <v>-3806946</v>
      </c>
      <c r="AF11" s="126" t="n">
        <v>0</v>
      </c>
      <c r="AG11" s="127" t="n">
        <v>0</v>
      </c>
      <c r="AH11" s="127" t="n">
        <v>0</v>
      </c>
      <c r="AI11" s="126" t="n">
        <v>0</v>
      </c>
      <c r="AJ11" s="127" t="n">
        <v>0</v>
      </c>
      <c r="AK11" s="127" t="n">
        <v>0</v>
      </c>
      <c r="AL11" s="126" t="n">
        <v>0</v>
      </c>
      <c r="AM11" s="127" t="n">
        <v>0</v>
      </c>
      <c r="AN11" s="127" t="n">
        <v>0</v>
      </c>
      <c r="AO11" s="126" t="n">
        <v>-1096200</v>
      </c>
      <c r="AP11" s="127" t="n">
        <v>953694</v>
      </c>
      <c r="AQ11" s="127" t="n">
        <v>-142506</v>
      </c>
      <c r="AR11" s="126" t="n">
        <v>-1096200</v>
      </c>
      <c r="AS11" s="127" t="n">
        <v>953694</v>
      </c>
      <c r="AT11" s="127" t="n">
        <v>-142506</v>
      </c>
      <c r="AU11" s="126" t="n">
        <v>-3664440</v>
      </c>
      <c r="AV11" s="127" t="n">
        <v>3188062.8</v>
      </c>
      <c r="AW11" s="127" t="n">
        <v>-476377.2</v>
      </c>
      <c r="AX11" s="126" t="n">
        <v>-4580550</v>
      </c>
      <c r="AY11" s="127" t="n">
        <v>3985078.5</v>
      </c>
      <c r="AZ11" s="127" t="n">
        <v>-595471.5</v>
      </c>
      <c r="BA11" s="126" t="n">
        <v>-5496660</v>
      </c>
      <c r="BB11" s="127" t="n">
        <v>4782094.2</v>
      </c>
      <c r="BC11" s="127" t="n">
        <v>-714565.8</v>
      </c>
      <c r="BD11" s="126" t="n">
        <v>-4580550</v>
      </c>
      <c r="BE11" s="127" t="n">
        <v>3985078.5</v>
      </c>
      <c r="BF11" s="127" t="n">
        <v>-595471.5</v>
      </c>
      <c r="BG11" s="126" t="n">
        <v>-18322200</v>
      </c>
      <c r="BH11" s="127" t="n">
        <v>15940314</v>
      </c>
      <c r="BI11" s="127" t="n">
        <v>-2381886</v>
      </c>
      <c r="BJ11" s="127" t="n">
        <v>-9865800</v>
      </c>
      <c r="BK11" s="127" t="n">
        <v>8583246</v>
      </c>
      <c r="BL11" s="127" t="n">
        <v>-1282554</v>
      </c>
      <c r="BM11" s="126" t="n">
        <v>0</v>
      </c>
      <c r="BN11" s="126" t="n">
        <v>0</v>
      </c>
      <c r="BO11" s="126" t="n">
        <v>0</v>
      </c>
      <c r="BP11" s="126" t="n">
        <v>0</v>
      </c>
      <c r="BQ11" s="126" t="n">
        <v>0</v>
      </c>
      <c r="BR11" s="126" t="n">
        <v>0</v>
      </c>
      <c r="BS11" s="126" t="n">
        <v>0</v>
      </c>
      <c r="BT11" s="126" t="n">
        <v>0</v>
      </c>
      <c r="BU11" s="126" t="n">
        <v>0</v>
      </c>
      <c r="BV11" s="126" t="n">
        <v>0</v>
      </c>
      <c r="BW11" s="126" t="n">
        <v>0</v>
      </c>
      <c r="BX11" s="126" t="n">
        <v>0</v>
      </c>
      <c r="BY11" s="126" t="n">
        <v>0</v>
      </c>
      <c r="BZ11" s="126" t="n">
        <v>0</v>
      </c>
      <c r="CA11" s="126" t="n">
        <v>0</v>
      </c>
      <c r="CB11" s="126" t="n">
        <v>0</v>
      </c>
      <c r="CC11" s="126" t="n">
        <v>0</v>
      </c>
      <c r="CD11" s="126" t="n">
        <v>0</v>
      </c>
      <c r="CE11" s="126" t="n">
        <v>0</v>
      </c>
      <c r="CF11" s="126" t="n">
        <v>0</v>
      </c>
      <c r="CG11" s="126" t="n">
        <v>0</v>
      </c>
      <c r="CH11" s="127" t="n">
        <v>6.5</v>
      </c>
      <c r="CI11" s="128" t="n">
        <v>46023</v>
      </c>
      <c r="CJ11" s="128" t="n">
        <v>46023</v>
      </c>
      <c r="CK11" s="126" t="n">
        <v>202812</v>
      </c>
      <c r="CL11" s="126" t="n">
        <v>1</v>
      </c>
    </row>
    <row r="12">
      <c r="A12" t="inlineStr">
        <is>
          <t>J</t>
        </is>
      </c>
      <c r="B12" s="126" t="n">
        <v>9901</v>
      </c>
      <c r="C12" t="inlineStr">
        <is>
          <t>Demo Ontwikkeling BV</t>
        </is>
      </c>
      <c r="D12" s="126" t="n">
        <v>9090</v>
      </c>
      <c r="E12" t="inlineStr">
        <is>
          <t>Demo Regio</t>
        </is>
      </c>
      <c r="F12" t="inlineStr">
        <is>
          <t>WO-Wonen</t>
        </is>
      </c>
      <c r="G12" t="inlineStr">
        <is>
          <t>NIEUWBOUW GRONDGEBONDEN</t>
        </is>
      </c>
      <c r="H12" t="inlineStr">
        <is>
          <t>Demo Grondgebonden</t>
        </is>
      </c>
      <c r="I12" t="inlineStr">
        <is>
          <t>G.900011</t>
        </is>
      </c>
      <c r="J12" t="inlineStr">
        <is>
          <t>G.900011.8.9090</t>
        </is>
      </c>
      <c r="K12" t="inlineStr">
        <is>
          <t>08</t>
        </is>
      </c>
      <c r="L12" t="inlineStr">
        <is>
          <t>W900011</t>
        </is>
      </c>
      <c r="M12" t="inlineStr">
        <is>
          <t>MEERHOVENSTAD, HOFSTAETE</t>
        </is>
      </c>
      <c r="N12" t="inlineStr">
        <is>
          <t>Meerhovenstad, Hofstaete</t>
        </is>
      </c>
      <c r="O12" t="inlineStr">
        <is>
          <t>OW</t>
        </is>
      </c>
      <c r="P12" t="inlineStr">
        <is>
          <t>VRIJ BLOK</t>
        </is>
      </c>
      <c r="Q12" s="126" t="n">
        <v>100</v>
      </c>
      <c r="R12" s="127" t="n">
        <v>-38400000</v>
      </c>
      <c r="S12" s="127" t="n">
        <v>34944000</v>
      </c>
      <c r="T12" s="127" t="n">
        <v>-3456000</v>
      </c>
      <c r="U12" s="127" t="n">
        <v>9</v>
      </c>
      <c r="V12" s="127" t="n">
        <v>0</v>
      </c>
      <c r="W12" s="127" t="n">
        <v>0</v>
      </c>
      <c r="X12" s="126" t="n">
        <v>-9484800</v>
      </c>
      <c r="Y12" s="127" t="n">
        <v>8631168</v>
      </c>
      <c r="Z12" s="127" t="n">
        <v>-853632</v>
      </c>
      <c r="AA12" s="127" t="n">
        <v>-853632</v>
      </c>
      <c r="AB12" s="127" t="n">
        <v>-9484800</v>
      </c>
      <c r="AC12" s="127" t="n">
        <v>8631168</v>
      </c>
      <c r="AD12" s="127" t="n">
        <v>-28915200</v>
      </c>
      <c r="AE12" s="127" t="n">
        <v>-2602368</v>
      </c>
      <c r="AF12" s="126" t="n">
        <v>0</v>
      </c>
      <c r="AG12" s="127" t="n">
        <v>0</v>
      </c>
      <c r="AH12" s="127" t="n">
        <v>0</v>
      </c>
      <c r="AI12" s="126" t="n">
        <v>0</v>
      </c>
      <c r="AJ12" s="127" t="n">
        <v>0</v>
      </c>
      <c r="AK12" s="127" t="n">
        <v>0</v>
      </c>
      <c r="AL12" s="126" t="n">
        <v>0</v>
      </c>
      <c r="AM12" s="127" t="n">
        <v>0</v>
      </c>
      <c r="AN12" s="127" t="n">
        <v>0</v>
      </c>
      <c r="AO12" s="126" t="n">
        <v>-5107200</v>
      </c>
      <c r="AP12" s="127" t="n">
        <v>4647552</v>
      </c>
      <c r="AQ12" s="127" t="n">
        <v>-459648</v>
      </c>
      <c r="AR12" s="126" t="n">
        <v>-5107200</v>
      </c>
      <c r="AS12" s="127" t="n">
        <v>4647552</v>
      </c>
      <c r="AT12" s="127" t="n">
        <v>-459648</v>
      </c>
      <c r="AU12" s="126" t="n">
        <v>-3095040</v>
      </c>
      <c r="AV12" s="127" t="n">
        <v>2816486.4</v>
      </c>
      <c r="AW12" s="127" t="n">
        <v>-278553.6</v>
      </c>
      <c r="AX12" s="126" t="n">
        <v>-3868800</v>
      </c>
      <c r="AY12" s="127" t="n">
        <v>3520608</v>
      </c>
      <c r="AZ12" s="127" t="n">
        <v>-348192</v>
      </c>
      <c r="BA12" s="126" t="n">
        <v>-4642560</v>
      </c>
      <c r="BB12" s="127" t="n">
        <v>4224729.6</v>
      </c>
      <c r="BC12" s="127" t="n">
        <v>-417830.4</v>
      </c>
      <c r="BD12" s="126" t="n">
        <v>-3868800</v>
      </c>
      <c r="BE12" s="127" t="n">
        <v>3520608</v>
      </c>
      <c r="BF12" s="127" t="n">
        <v>-348192</v>
      </c>
      <c r="BG12" s="126" t="n">
        <v>-15475200</v>
      </c>
      <c r="BH12" s="127" t="n">
        <v>14082432</v>
      </c>
      <c r="BI12" s="127" t="n">
        <v>-1392768</v>
      </c>
      <c r="BJ12" s="127" t="n">
        <v>-8332800</v>
      </c>
      <c r="BK12" s="127" t="n">
        <v>7582848</v>
      </c>
      <c r="BL12" s="127" t="n">
        <v>-749952</v>
      </c>
      <c r="BM12" s="126" t="n">
        <v>0</v>
      </c>
      <c r="BN12" s="126" t="n">
        <v>0</v>
      </c>
      <c r="BO12" s="126" t="n">
        <v>0</v>
      </c>
      <c r="BP12" s="126" t="n">
        <v>0</v>
      </c>
      <c r="BQ12" s="126" t="n">
        <v>0</v>
      </c>
      <c r="BR12" s="126" t="n">
        <v>0</v>
      </c>
      <c r="BS12" s="126" t="n">
        <v>0</v>
      </c>
      <c r="BT12" s="126" t="n">
        <v>0</v>
      </c>
      <c r="BU12" s="126" t="n">
        <v>0</v>
      </c>
      <c r="BV12" s="126" t="n">
        <v>0</v>
      </c>
      <c r="BW12" s="126" t="n">
        <v>0</v>
      </c>
      <c r="BX12" s="126" t="n">
        <v>0</v>
      </c>
      <c r="BY12" s="126" t="n">
        <v>0</v>
      </c>
      <c r="BZ12" s="126" t="n">
        <v>0</v>
      </c>
      <c r="CA12" s="126" t="n">
        <v>0</v>
      </c>
      <c r="CB12" s="126" t="n">
        <v>0</v>
      </c>
      <c r="CC12" s="126" t="n">
        <v>0</v>
      </c>
      <c r="CD12" s="126" t="n">
        <v>0</v>
      </c>
      <c r="CE12" s="126" t="n">
        <v>0</v>
      </c>
      <c r="CF12" s="126" t="n">
        <v>0</v>
      </c>
      <c r="CG12" s="126" t="n">
        <v>0</v>
      </c>
      <c r="CH12" s="127" t="n">
        <v>24.7</v>
      </c>
      <c r="CI12" s="128" t="n">
        <v>46054</v>
      </c>
      <c r="CJ12" s="128" t="n">
        <v>46419</v>
      </c>
      <c r="CK12" s="126" t="n">
        <v>202912</v>
      </c>
      <c r="CL12" s="126" t="n">
        <v>2</v>
      </c>
    </row>
    <row r="13">
      <c r="A13" t="inlineStr">
        <is>
          <t>N</t>
        </is>
      </c>
      <c r="B13" s="126" t="n">
        <v>9902</v>
      </c>
      <c r="C13" t="inlineStr">
        <is>
          <t>Demo Gebiedscombinatie BV</t>
        </is>
      </c>
      <c r="D13" s="126" t="n">
        <v>9090</v>
      </c>
      <c r="E13" t="inlineStr">
        <is>
          <t>Demo Regio</t>
        </is>
      </c>
      <c r="F13" t="inlineStr">
        <is>
          <t>WO-Wonen</t>
        </is>
      </c>
      <c r="G13" t="inlineStr">
        <is>
          <t>NIEUWBOUW GESTAPELD</t>
        </is>
      </c>
      <c r="H13" t="inlineStr">
        <is>
          <t>Demo Appartement</t>
        </is>
      </c>
      <c r="I13" t="inlineStr">
        <is>
          <t>G.900012</t>
        </is>
      </c>
      <c r="J13" t="inlineStr">
        <is>
          <t>G.900012.8.9090</t>
        </is>
      </c>
      <c r="K13" t="inlineStr">
        <is>
          <t>08</t>
        </is>
      </c>
      <c r="L13" t="inlineStr">
        <is>
          <t>W900012</t>
        </is>
      </c>
      <c r="M13" t="inlineStr">
        <is>
          <t>ZILVERDAM, DE WERF</t>
        </is>
      </c>
      <c r="N13" t="inlineStr">
        <is>
          <t>Zilverdam, De Werf</t>
        </is>
      </c>
      <c r="O13" t="inlineStr">
        <is>
          <t>OW</t>
        </is>
      </c>
      <c r="P13" t="inlineStr">
        <is>
          <t>VRIJ BLOK</t>
        </is>
      </c>
      <c r="Q13" s="126" t="n">
        <v>80</v>
      </c>
      <c r="R13" s="127" t="n">
        <v>-5740000</v>
      </c>
      <c r="S13" s="127" t="n">
        <v>5051200</v>
      </c>
      <c r="T13" s="127" t="n">
        <v>-688800</v>
      </c>
      <c r="U13" s="127" t="n">
        <v>12</v>
      </c>
      <c r="V13" s="127" t="n">
        <v>0</v>
      </c>
      <c r="W13" s="127" t="n">
        <v>0</v>
      </c>
      <c r="X13" s="126" t="n">
        <v>-932750</v>
      </c>
      <c r="Y13" s="127" t="n">
        <v>820820</v>
      </c>
      <c r="Z13" s="127" t="n">
        <v>-111930</v>
      </c>
      <c r="AA13" s="127" t="n">
        <v>-111930</v>
      </c>
      <c r="AB13" s="127" t="n">
        <v>-932750</v>
      </c>
      <c r="AC13" s="127" t="n">
        <v>820820</v>
      </c>
      <c r="AD13" s="127" t="n">
        <v>-4807250</v>
      </c>
      <c r="AE13" s="127" t="n">
        <v>-576870</v>
      </c>
      <c r="AF13" s="126" t="n">
        <v>0</v>
      </c>
      <c r="AG13" s="127" t="n">
        <v>0</v>
      </c>
      <c r="AH13" s="127" t="n">
        <v>0</v>
      </c>
      <c r="AI13" s="126" t="n">
        <v>0</v>
      </c>
      <c r="AJ13" s="127" t="n">
        <v>0</v>
      </c>
      <c r="AK13" s="127" t="n">
        <v>0</v>
      </c>
      <c r="AL13" s="126" t="n">
        <v>0</v>
      </c>
      <c r="AM13" s="127" t="n">
        <v>0</v>
      </c>
      <c r="AN13" s="127" t="n">
        <v>0</v>
      </c>
      <c r="AO13" s="126" t="n">
        <v>-502250</v>
      </c>
      <c r="AP13" s="127" t="n">
        <v>441980</v>
      </c>
      <c r="AQ13" s="127" t="n">
        <v>-60270</v>
      </c>
      <c r="AR13" s="126" t="n">
        <v>-502250</v>
      </c>
      <c r="AS13" s="127" t="n">
        <v>441980</v>
      </c>
      <c r="AT13" s="127" t="n">
        <v>-60270</v>
      </c>
      <c r="AU13" s="126" t="n">
        <v>-559650</v>
      </c>
      <c r="AV13" s="127" t="n">
        <v>492492</v>
      </c>
      <c r="AW13" s="127" t="n">
        <v>-67158</v>
      </c>
      <c r="AX13" s="126" t="n">
        <v>-699562</v>
      </c>
      <c r="AY13" s="127" t="n">
        <v>615614.5600000001</v>
      </c>
      <c r="AZ13" s="127" t="n">
        <v>-83947.44</v>
      </c>
      <c r="BA13" s="126" t="n">
        <v>-839475</v>
      </c>
      <c r="BB13" s="127" t="n">
        <v>738738</v>
      </c>
      <c r="BC13" s="127" t="n">
        <v>-100737</v>
      </c>
      <c r="BD13" s="126" t="n">
        <v>-699563</v>
      </c>
      <c r="BE13" s="127" t="n">
        <v>615615.4399999999</v>
      </c>
      <c r="BF13" s="127" t="n">
        <v>-83947.56</v>
      </c>
      <c r="BG13" s="126" t="n">
        <v>-2798250</v>
      </c>
      <c r="BH13" s="127" t="n">
        <v>2462460</v>
      </c>
      <c r="BI13" s="127" t="n">
        <v>-335790</v>
      </c>
      <c r="BJ13" s="127" t="n">
        <v>-1506750</v>
      </c>
      <c r="BK13" s="127" t="n">
        <v>1325940</v>
      </c>
      <c r="BL13" s="127" t="n">
        <v>-180810</v>
      </c>
      <c r="BM13" s="126" t="n">
        <v>0</v>
      </c>
      <c r="BN13" s="126" t="n">
        <v>0</v>
      </c>
      <c r="BO13" s="126" t="n">
        <v>0</v>
      </c>
      <c r="BP13" s="126" t="n">
        <v>0</v>
      </c>
      <c r="BQ13" s="126" t="n">
        <v>0</v>
      </c>
      <c r="BR13" s="126" t="n">
        <v>0</v>
      </c>
      <c r="BS13" s="126" t="n">
        <v>0</v>
      </c>
      <c r="BT13" s="126" t="n">
        <v>0</v>
      </c>
      <c r="BU13" s="126" t="n">
        <v>0</v>
      </c>
      <c r="BV13" s="126" t="n">
        <v>0</v>
      </c>
      <c r="BW13" s="126" t="n">
        <v>0</v>
      </c>
      <c r="BX13" s="126" t="n">
        <v>0</v>
      </c>
      <c r="BY13" s="126" t="n">
        <v>0</v>
      </c>
      <c r="BZ13" s="126" t="n">
        <v>0</v>
      </c>
      <c r="CA13" s="126" t="n">
        <v>0</v>
      </c>
      <c r="CB13" s="126" t="n">
        <v>0</v>
      </c>
      <c r="CC13" s="126" t="n">
        <v>0</v>
      </c>
      <c r="CD13" s="126" t="n">
        <v>0</v>
      </c>
      <c r="CE13" s="126" t="n">
        <v>0</v>
      </c>
      <c r="CF13" s="126" t="n">
        <v>0</v>
      </c>
      <c r="CG13" s="126" t="n">
        <v>0</v>
      </c>
      <c r="CH13" s="127" t="n">
        <v>16.25</v>
      </c>
      <c r="CI13" s="128" t="n">
        <v>46082</v>
      </c>
      <c r="CJ13" s="128" t="n">
        <v>46447</v>
      </c>
      <c r="CK13" s="126" t="n">
        <v>202912</v>
      </c>
      <c r="CL13" s="126" t="n">
        <v>3</v>
      </c>
    </row>
    <row r="14">
      <c r="A14" t="inlineStr">
        <is>
          <t>J</t>
        </is>
      </c>
      <c r="B14" s="126" t="n">
        <v>9901</v>
      </c>
      <c r="C14" t="inlineStr">
        <is>
          <t>Demo Ontwikkeling BV</t>
        </is>
      </c>
      <c r="D14" s="126" t="n">
        <v>9090</v>
      </c>
      <c r="E14" t="inlineStr">
        <is>
          <t>Demo Regio</t>
        </is>
      </c>
      <c r="F14" t="inlineStr">
        <is>
          <t>WO-Wonen</t>
        </is>
      </c>
      <c r="G14" t="inlineStr">
        <is>
          <t>NIEUWBOUW GRONDGEBONDEN</t>
        </is>
      </c>
      <c r="H14" t="inlineStr">
        <is>
          <t>Demo Grondgebonden</t>
        </is>
      </c>
      <c r="I14" t="inlineStr">
        <is>
          <t>G.900013</t>
        </is>
      </c>
      <c r="J14" t="inlineStr">
        <is>
          <t>G.900013.8.9090</t>
        </is>
      </c>
      <c r="K14" t="inlineStr">
        <is>
          <t>08</t>
        </is>
      </c>
      <c r="L14" t="inlineStr">
        <is>
          <t>W900013</t>
        </is>
      </c>
      <c r="M14" t="inlineStr">
        <is>
          <t>BOSWAARD, BOSKAMERS</t>
        </is>
      </c>
      <c r="N14" t="inlineStr">
        <is>
          <t>Boswaard, Boskamers</t>
        </is>
      </c>
      <c r="O14" t="inlineStr">
        <is>
          <t>OW</t>
        </is>
      </c>
      <c r="P14" t="inlineStr">
        <is>
          <t>VRIJ BLOK</t>
        </is>
      </c>
      <c r="Q14" s="126" t="n">
        <v>60</v>
      </c>
      <c r="R14" s="127" t="n">
        <v>-25200000</v>
      </c>
      <c r="S14" s="127" t="n">
        <v>23310000</v>
      </c>
      <c r="T14" s="127" t="n">
        <v>-1890000</v>
      </c>
      <c r="U14" s="127" t="n">
        <v>7.5</v>
      </c>
      <c r="V14" s="127" t="n">
        <v>0</v>
      </c>
      <c r="W14" s="127" t="n">
        <v>0</v>
      </c>
      <c r="X14" s="126" t="n">
        <v>-2457000</v>
      </c>
      <c r="Y14" s="127" t="n">
        <v>2272725</v>
      </c>
      <c r="Z14" s="127" t="n">
        <v>-184275</v>
      </c>
      <c r="AA14" s="127" t="n">
        <v>-184275</v>
      </c>
      <c r="AB14" s="127" t="n">
        <v>-2457000</v>
      </c>
      <c r="AC14" s="127" t="n">
        <v>2272725</v>
      </c>
      <c r="AD14" s="127" t="n">
        <v>-22743000</v>
      </c>
      <c r="AE14" s="127" t="n">
        <v>-1705725</v>
      </c>
      <c r="AF14" s="126" t="n">
        <v>0</v>
      </c>
      <c r="AG14" s="127" t="n">
        <v>0</v>
      </c>
      <c r="AH14" s="127" t="n">
        <v>0</v>
      </c>
      <c r="AI14" s="126" t="n">
        <v>0</v>
      </c>
      <c r="AJ14" s="127" t="n">
        <v>0</v>
      </c>
      <c r="AK14" s="127" t="n">
        <v>0</v>
      </c>
      <c r="AL14" s="126" t="n">
        <v>0</v>
      </c>
      <c r="AM14" s="127" t="n">
        <v>0</v>
      </c>
      <c r="AN14" s="127" t="n">
        <v>0</v>
      </c>
      <c r="AO14" s="126" t="n">
        <v>-1323000</v>
      </c>
      <c r="AP14" s="127" t="n">
        <v>1223775</v>
      </c>
      <c r="AQ14" s="127" t="n">
        <v>-99225</v>
      </c>
      <c r="AR14" s="126" t="n">
        <v>-1323000</v>
      </c>
      <c r="AS14" s="127" t="n">
        <v>1223775</v>
      </c>
      <c r="AT14" s="127" t="n">
        <v>-99225</v>
      </c>
      <c r="AU14" s="126" t="n">
        <v>-2784600</v>
      </c>
      <c r="AV14" s="127" t="n">
        <v>2575755</v>
      </c>
      <c r="AW14" s="127" t="n">
        <v>-208845</v>
      </c>
      <c r="AX14" s="126" t="n">
        <v>-3480750</v>
      </c>
      <c r="AY14" s="127" t="n">
        <v>3219693.75</v>
      </c>
      <c r="AZ14" s="127" t="n">
        <v>-261056.25</v>
      </c>
      <c r="BA14" s="126" t="n">
        <v>-4176900</v>
      </c>
      <c r="BB14" s="127" t="n">
        <v>3863632.5</v>
      </c>
      <c r="BC14" s="127" t="n">
        <v>-313267.5</v>
      </c>
      <c r="BD14" s="126" t="n">
        <v>-3480750</v>
      </c>
      <c r="BE14" s="127" t="n">
        <v>3219693.75</v>
      </c>
      <c r="BF14" s="127" t="n">
        <v>-261056.25</v>
      </c>
      <c r="BG14" s="126" t="n">
        <v>-13923000</v>
      </c>
      <c r="BH14" s="127" t="n">
        <v>12878775</v>
      </c>
      <c r="BI14" s="127" t="n">
        <v>-1044225</v>
      </c>
      <c r="BJ14" s="127" t="n">
        <v>-7497000</v>
      </c>
      <c r="BK14" s="127" t="n">
        <v>6934725</v>
      </c>
      <c r="BL14" s="127" t="n">
        <v>-562275</v>
      </c>
      <c r="BM14" s="126" t="n">
        <v>0</v>
      </c>
      <c r="BN14" s="126" t="n">
        <v>0</v>
      </c>
      <c r="BO14" s="126" t="n">
        <v>0</v>
      </c>
      <c r="BP14" s="126" t="n">
        <v>0</v>
      </c>
      <c r="BQ14" s="126" t="n">
        <v>0</v>
      </c>
      <c r="BR14" s="126" t="n">
        <v>0</v>
      </c>
      <c r="BS14" s="126" t="n">
        <v>0</v>
      </c>
      <c r="BT14" s="126" t="n">
        <v>0</v>
      </c>
      <c r="BU14" s="126" t="n">
        <v>0</v>
      </c>
      <c r="BV14" s="126" t="n">
        <v>0</v>
      </c>
      <c r="BW14" s="126" t="n">
        <v>0</v>
      </c>
      <c r="BX14" s="126" t="n">
        <v>0</v>
      </c>
      <c r="BY14" s="126" t="n">
        <v>0</v>
      </c>
      <c r="BZ14" s="126" t="n">
        <v>0</v>
      </c>
      <c r="CA14" s="126" t="n">
        <v>0</v>
      </c>
      <c r="CB14" s="126" t="n">
        <v>0</v>
      </c>
      <c r="CC14" s="126" t="n">
        <v>0</v>
      </c>
      <c r="CD14" s="126" t="n">
        <v>0</v>
      </c>
      <c r="CE14" s="126" t="n">
        <v>0</v>
      </c>
      <c r="CF14" s="126" t="n">
        <v>0</v>
      </c>
      <c r="CG14" s="126" t="n">
        <v>0</v>
      </c>
      <c r="CH14" s="127" t="n">
        <v>9.75</v>
      </c>
      <c r="CI14" s="128" t="n">
        <v>46113</v>
      </c>
      <c r="CJ14" s="128" t="n">
        <v>46478</v>
      </c>
      <c r="CK14" s="126" t="n">
        <v>202912</v>
      </c>
      <c r="CL14" s="126" t="n">
        <v>1</v>
      </c>
    </row>
    <row r="15">
      <c r="A15" t="inlineStr">
        <is>
          <t>J</t>
        </is>
      </c>
      <c r="B15" s="126" t="n">
        <v>9901</v>
      </c>
      <c r="C15" t="inlineStr">
        <is>
          <t>Demo Ontwikkeling BV</t>
        </is>
      </c>
      <c r="D15" s="126" t="n">
        <v>9090</v>
      </c>
      <c r="E15" t="inlineStr">
        <is>
          <t>Demo Regio</t>
        </is>
      </c>
      <c r="F15" t="inlineStr">
        <is>
          <t>WO-Wonen</t>
        </is>
      </c>
      <c r="G15" t="inlineStr">
        <is>
          <t>NIEUWBOUW GESTAPELD</t>
        </is>
      </c>
      <c r="H15" t="inlineStr">
        <is>
          <t>Demo Appartement</t>
        </is>
      </c>
      <c r="I15" t="inlineStr">
        <is>
          <t>G.900014</t>
        </is>
      </c>
      <c r="J15" t="inlineStr">
        <is>
          <t>G.900014.8.9090</t>
        </is>
      </c>
      <c r="K15" t="inlineStr">
        <is>
          <t>08</t>
        </is>
      </c>
      <c r="L15" t="inlineStr">
        <is>
          <t>W900014</t>
        </is>
      </c>
      <c r="M15" t="inlineStr">
        <is>
          <t>RIETDAM, RIETOEVERS</t>
        </is>
      </c>
      <c r="N15" t="inlineStr">
        <is>
          <t>Rietdam, Rietoevers</t>
        </is>
      </c>
      <c r="O15" t="inlineStr">
        <is>
          <t>OW</t>
        </is>
      </c>
      <c r="P15" t="inlineStr">
        <is>
          <t>VRIJ BLOK</t>
        </is>
      </c>
      <c r="Q15" s="126" t="n">
        <v>40</v>
      </c>
      <c r="R15" s="127" t="n">
        <v>-20880000</v>
      </c>
      <c r="S15" s="127" t="n">
        <v>18583200</v>
      </c>
      <c r="T15" s="127" t="n">
        <v>-2296800</v>
      </c>
      <c r="U15" s="127" t="n">
        <v>11</v>
      </c>
      <c r="V15" s="127" t="n">
        <v>0</v>
      </c>
      <c r="W15" s="127" t="n">
        <v>0</v>
      </c>
      <c r="X15" s="126" t="n">
        <v>-5700240</v>
      </c>
      <c r="Y15" s="127" t="n">
        <v>5073213.6</v>
      </c>
      <c r="Z15" s="127" t="n">
        <v>-627026.4</v>
      </c>
      <c r="AA15" s="127" t="n">
        <v>-627026.4</v>
      </c>
      <c r="AB15" s="127" t="n">
        <v>-5700240</v>
      </c>
      <c r="AC15" s="127" t="n">
        <v>5073213.6</v>
      </c>
      <c r="AD15" s="127" t="n">
        <v>-15179760</v>
      </c>
      <c r="AE15" s="127" t="n">
        <v>-1669773.6</v>
      </c>
      <c r="AF15" s="126" t="n">
        <v>0</v>
      </c>
      <c r="AG15" s="127" t="n">
        <v>0</v>
      </c>
      <c r="AH15" s="127" t="n">
        <v>0</v>
      </c>
      <c r="AI15" s="126" t="n">
        <v>0</v>
      </c>
      <c r="AJ15" s="127" t="n">
        <v>0</v>
      </c>
      <c r="AK15" s="127" t="n">
        <v>0</v>
      </c>
      <c r="AL15" s="126" t="n">
        <v>0</v>
      </c>
      <c r="AM15" s="127" t="n">
        <v>0</v>
      </c>
      <c r="AN15" s="127" t="n">
        <v>0</v>
      </c>
      <c r="AO15" s="126" t="n">
        <v>-3069360</v>
      </c>
      <c r="AP15" s="127" t="n">
        <v>2731730.4</v>
      </c>
      <c r="AQ15" s="127" t="n">
        <v>-337629.6</v>
      </c>
      <c r="AR15" s="126" t="n">
        <v>-3069360</v>
      </c>
      <c r="AS15" s="127" t="n">
        <v>2731730.4</v>
      </c>
      <c r="AT15" s="127" t="n">
        <v>-337629.6</v>
      </c>
      <c r="AU15" s="126" t="n">
        <v>-1574352</v>
      </c>
      <c r="AV15" s="127" t="n">
        <v>1401173.28</v>
      </c>
      <c r="AW15" s="127" t="n">
        <v>-173178.72</v>
      </c>
      <c r="AX15" s="126" t="n">
        <v>-1967940</v>
      </c>
      <c r="AY15" s="127" t="n">
        <v>1751466.6</v>
      </c>
      <c r="AZ15" s="127" t="n">
        <v>-216473.4</v>
      </c>
      <c r="BA15" s="126" t="n">
        <v>-2361528</v>
      </c>
      <c r="BB15" s="127" t="n">
        <v>2101759.92</v>
      </c>
      <c r="BC15" s="127" t="n">
        <v>-259768.08</v>
      </c>
      <c r="BD15" s="126" t="n">
        <v>-1967940</v>
      </c>
      <c r="BE15" s="127" t="n">
        <v>1751466.6</v>
      </c>
      <c r="BF15" s="127" t="n">
        <v>-216473.4</v>
      </c>
      <c r="BG15" s="126" t="n">
        <v>-7871760</v>
      </c>
      <c r="BH15" s="127" t="n">
        <v>7005866.4</v>
      </c>
      <c r="BI15" s="127" t="n">
        <v>-865893.6</v>
      </c>
      <c r="BJ15" s="127" t="n">
        <v>-4238640</v>
      </c>
      <c r="BK15" s="127" t="n">
        <v>3772389.6</v>
      </c>
      <c r="BL15" s="127" t="n">
        <v>-466250.4</v>
      </c>
      <c r="BM15" s="126" t="n">
        <v>0</v>
      </c>
      <c r="BN15" s="126" t="n">
        <v>0</v>
      </c>
      <c r="BO15" s="126" t="n">
        <v>0</v>
      </c>
      <c r="BP15" s="126" t="n">
        <v>0</v>
      </c>
      <c r="BQ15" s="126" t="n">
        <v>0</v>
      </c>
      <c r="BR15" s="126" t="n">
        <v>0</v>
      </c>
      <c r="BS15" s="126" t="n">
        <v>0</v>
      </c>
      <c r="BT15" s="126" t="n">
        <v>0</v>
      </c>
      <c r="BU15" s="126" t="n">
        <v>0</v>
      </c>
      <c r="BV15" s="126" t="n">
        <v>0</v>
      </c>
      <c r="BW15" s="126" t="n">
        <v>0</v>
      </c>
      <c r="BX15" s="126" t="n">
        <v>0</v>
      </c>
      <c r="BY15" s="126" t="n">
        <v>0</v>
      </c>
      <c r="BZ15" s="126" t="n">
        <v>0</v>
      </c>
      <c r="CA15" s="126" t="n">
        <v>0</v>
      </c>
      <c r="CB15" s="126" t="n">
        <v>0</v>
      </c>
      <c r="CC15" s="126" t="n">
        <v>0</v>
      </c>
      <c r="CD15" s="126" t="n">
        <v>0</v>
      </c>
      <c r="CE15" s="126" t="n">
        <v>0</v>
      </c>
      <c r="CF15" s="126" t="n">
        <v>0</v>
      </c>
      <c r="CG15" s="126" t="n">
        <v>0</v>
      </c>
      <c r="CH15" s="127" t="n">
        <v>27.3</v>
      </c>
      <c r="CI15" s="128" t="n">
        <v>46143</v>
      </c>
      <c r="CJ15" s="128" t="n">
        <v>46508</v>
      </c>
      <c r="CK15" s="126" t="n">
        <v>202912</v>
      </c>
      <c r="CL15" s="126" t="n">
        <v>2</v>
      </c>
    </row>
    <row r="16">
      <c r="A16" t="inlineStr">
        <is>
          <t>J</t>
        </is>
      </c>
      <c r="B16" s="126" t="n">
        <v>9901</v>
      </c>
      <c r="C16" t="inlineStr">
        <is>
          <t>Demo Ontwikkeling BV</t>
        </is>
      </c>
      <c r="D16" s="126" t="n">
        <v>9090</v>
      </c>
      <c r="E16" t="inlineStr">
        <is>
          <t>Demo Regio</t>
        </is>
      </c>
      <c r="F16" t="inlineStr">
        <is>
          <t>WO-Wonen</t>
        </is>
      </c>
      <c r="G16" t="inlineStr">
        <is>
          <t>NIEUWBOUW GRONDGEBONDEN</t>
        </is>
      </c>
      <c r="H16" t="inlineStr">
        <is>
          <t>Demo Grondgebonden</t>
        </is>
      </c>
      <c r="I16" t="inlineStr">
        <is>
          <t>G.900015</t>
        </is>
      </c>
      <c r="J16" t="inlineStr">
        <is>
          <t>G.900015.8.9090</t>
        </is>
      </c>
      <c r="K16" t="inlineStr">
        <is>
          <t>08</t>
        </is>
      </c>
      <c r="L16" t="inlineStr">
        <is>
          <t>W900015</t>
        </is>
      </c>
      <c r="M16" t="inlineStr">
        <is>
          <t>LINDEHAVEN, PARKZOOM FASE 2</t>
        </is>
      </c>
      <c r="N16" t="inlineStr">
        <is>
          <t>Lindehaven, Parkzoom fase 2</t>
        </is>
      </c>
      <c r="O16" t="inlineStr">
        <is>
          <t>OW</t>
        </is>
      </c>
      <c r="P16" t="inlineStr">
        <is>
          <t>VRIJ BLOK</t>
        </is>
      </c>
      <c r="Q16" s="126" t="n">
        <v>20</v>
      </c>
      <c r="R16" s="127" t="n">
        <v>-33000000</v>
      </c>
      <c r="S16" s="127" t="n">
        <v>30855000</v>
      </c>
      <c r="T16" s="127" t="n">
        <v>-2145000</v>
      </c>
      <c r="U16" s="127" t="n">
        <v>6.5</v>
      </c>
      <c r="V16" s="127" t="n">
        <v>0</v>
      </c>
      <c r="W16" s="127" t="n">
        <v>0</v>
      </c>
      <c r="X16" s="126" t="n">
        <v>-2145000</v>
      </c>
      <c r="Y16" s="127" t="n">
        <v>2005575</v>
      </c>
      <c r="Z16" s="127" t="n">
        <v>-139425</v>
      </c>
      <c r="AA16" s="127" t="n">
        <v>-139425</v>
      </c>
      <c r="AB16" s="127" t="n">
        <v>-2145000</v>
      </c>
      <c r="AC16" s="127" t="n">
        <v>2005575</v>
      </c>
      <c r="AD16" s="127" t="n">
        <v>-30855000</v>
      </c>
      <c r="AE16" s="127" t="n">
        <v>-2005575</v>
      </c>
      <c r="AF16" s="126" t="n">
        <v>0</v>
      </c>
      <c r="AG16" s="127" t="n">
        <v>0</v>
      </c>
      <c r="AH16" s="127" t="n">
        <v>0</v>
      </c>
      <c r="AI16" s="126" t="n">
        <v>0</v>
      </c>
      <c r="AJ16" s="127" t="n">
        <v>0</v>
      </c>
      <c r="AK16" s="127" t="n">
        <v>0</v>
      </c>
      <c r="AL16" s="126" t="n">
        <v>0</v>
      </c>
      <c r="AM16" s="127" t="n">
        <v>0</v>
      </c>
      <c r="AN16" s="127" t="n">
        <v>0</v>
      </c>
      <c r="AO16" s="126" t="n">
        <v>-1155000</v>
      </c>
      <c r="AP16" s="127" t="n">
        <v>1079925</v>
      </c>
      <c r="AQ16" s="127" t="n">
        <v>-75075</v>
      </c>
      <c r="AR16" s="126" t="n">
        <v>-1155000</v>
      </c>
      <c r="AS16" s="127" t="n">
        <v>1079925</v>
      </c>
      <c r="AT16" s="127" t="n">
        <v>-75075</v>
      </c>
      <c r="AU16" s="126" t="n">
        <v>-3861000</v>
      </c>
      <c r="AV16" s="127" t="n">
        <v>3610035</v>
      </c>
      <c r="AW16" s="127" t="n">
        <v>-250965</v>
      </c>
      <c r="AX16" s="126" t="n">
        <v>-4826250</v>
      </c>
      <c r="AY16" s="127" t="n">
        <v>4512543.75</v>
      </c>
      <c r="AZ16" s="127" t="n">
        <v>-313706.25</v>
      </c>
      <c r="BA16" s="126" t="n">
        <v>-5791500</v>
      </c>
      <c r="BB16" s="127" t="n">
        <v>5415052.5</v>
      </c>
      <c r="BC16" s="127" t="n">
        <v>-376447.5</v>
      </c>
      <c r="BD16" s="126" t="n">
        <v>-4826250</v>
      </c>
      <c r="BE16" s="127" t="n">
        <v>4512543.75</v>
      </c>
      <c r="BF16" s="127" t="n">
        <v>-313706.25</v>
      </c>
      <c r="BG16" s="126" t="n">
        <v>-19305000</v>
      </c>
      <c r="BH16" s="127" t="n">
        <v>18050175</v>
      </c>
      <c r="BI16" s="127" t="n">
        <v>-1254825</v>
      </c>
      <c r="BJ16" s="127" t="n">
        <v>-10395000</v>
      </c>
      <c r="BK16" s="127" t="n">
        <v>9719325</v>
      </c>
      <c r="BL16" s="127" t="n">
        <v>-675675</v>
      </c>
      <c r="BM16" s="126" t="n">
        <v>0</v>
      </c>
      <c r="BN16" s="126" t="n">
        <v>0</v>
      </c>
      <c r="BO16" s="126" t="n">
        <v>0</v>
      </c>
      <c r="BP16" s="126" t="n">
        <v>0</v>
      </c>
      <c r="BQ16" s="126" t="n">
        <v>0</v>
      </c>
      <c r="BR16" s="126" t="n">
        <v>0</v>
      </c>
      <c r="BS16" s="126" t="n">
        <v>0</v>
      </c>
      <c r="BT16" s="126" t="n">
        <v>0</v>
      </c>
      <c r="BU16" s="126" t="n">
        <v>0</v>
      </c>
      <c r="BV16" s="126" t="n">
        <v>0</v>
      </c>
      <c r="BW16" s="126" t="n">
        <v>0</v>
      </c>
      <c r="BX16" s="126" t="n">
        <v>0</v>
      </c>
      <c r="BY16" s="126" t="n">
        <v>0</v>
      </c>
      <c r="BZ16" s="126" t="n">
        <v>0</v>
      </c>
      <c r="CA16" s="126" t="n">
        <v>0</v>
      </c>
      <c r="CB16" s="126" t="n">
        <v>0</v>
      </c>
      <c r="CC16" s="126" t="n">
        <v>0</v>
      </c>
      <c r="CD16" s="126" t="n">
        <v>0</v>
      </c>
      <c r="CE16" s="126" t="n">
        <v>0</v>
      </c>
      <c r="CF16" s="126" t="n">
        <v>0</v>
      </c>
      <c r="CG16" s="126" t="n">
        <v>0</v>
      </c>
      <c r="CH16" s="127" t="n">
        <v>6.5</v>
      </c>
      <c r="CI16" s="128" t="n">
        <v>46174</v>
      </c>
      <c r="CJ16" s="128" t="n">
        <v>46539</v>
      </c>
      <c r="CK16" s="126" t="n">
        <v>202912</v>
      </c>
      <c r="CL16" s="126" t="n">
        <v>3</v>
      </c>
    </row>
    <row r="17">
      <c r="A17" t="inlineStr">
        <is>
          <t>J</t>
        </is>
      </c>
      <c r="B17" s="126" t="n">
        <v>9901</v>
      </c>
      <c r="C17" t="inlineStr">
        <is>
          <t>Demo Ontwikkeling BV</t>
        </is>
      </c>
      <c r="D17" s="126" t="n">
        <v>9090</v>
      </c>
      <c r="E17" t="inlineStr">
        <is>
          <t>Demo Regio</t>
        </is>
      </c>
      <c r="F17" t="inlineStr">
        <is>
          <t>WO-Wonen</t>
        </is>
      </c>
      <c r="G17" t="inlineStr">
        <is>
          <t>NIEUWBOUW GESTAPELD</t>
        </is>
      </c>
      <c r="H17" t="inlineStr">
        <is>
          <t>Demo Appartement</t>
        </is>
      </c>
      <c r="I17" t="inlineStr">
        <is>
          <t>G.900016</t>
        </is>
      </c>
      <c r="J17" t="inlineStr">
        <is>
          <t>G.900016.8.9090</t>
        </is>
      </c>
      <c r="K17" t="inlineStr">
        <is>
          <t>08</t>
        </is>
      </c>
      <c r="L17" t="inlineStr">
        <is>
          <t>W900016</t>
        </is>
      </c>
      <c r="M17" t="inlineStr">
        <is>
          <t>DUINWAARD, DE LANTAARN</t>
        </is>
      </c>
      <c r="N17" t="inlineStr">
        <is>
          <t>Duinwaard, De Lantaarn</t>
        </is>
      </c>
      <c r="O17" t="inlineStr">
        <is>
          <t>OW</t>
        </is>
      </c>
      <c r="P17" t="inlineStr">
        <is>
          <t>VRIJ BLOK</t>
        </is>
      </c>
      <c r="Q17" s="126" t="n">
        <v>100</v>
      </c>
      <c r="R17" s="127" t="n">
        <v>-12800000</v>
      </c>
      <c r="S17" s="127" t="n">
        <v>11008000</v>
      </c>
      <c r="T17" s="127" t="n">
        <v>-1792000</v>
      </c>
      <c r="U17" s="127" t="n">
        <v>14</v>
      </c>
      <c r="V17" s="127" t="n">
        <v>0</v>
      </c>
      <c r="W17" s="127" t="n">
        <v>0</v>
      </c>
      <c r="X17" s="126" t="n">
        <v>-3161600</v>
      </c>
      <c r="Y17" s="127" t="n">
        <v>2718976</v>
      </c>
      <c r="Z17" s="127" t="n">
        <v>-442624</v>
      </c>
      <c r="AA17" s="127" t="n">
        <v>-442624</v>
      </c>
      <c r="AB17" s="127" t="n">
        <v>-3161600</v>
      </c>
      <c r="AC17" s="127" t="n">
        <v>2718976</v>
      </c>
      <c r="AD17" s="127" t="n">
        <v>-9638400</v>
      </c>
      <c r="AE17" s="127" t="n">
        <v>-1349376</v>
      </c>
      <c r="AF17" s="126" t="n">
        <v>0</v>
      </c>
      <c r="AG17" s="127" t="n">
        <v>0</v>
      </c>
      <c r="AH17" s="127" t="n">
        <v>0</v>
      </c>
      <c r="AI17" s="126" t="n">
        <v>0</v>
      </c>
      <c r="AJ17" s="127" t="n">
        <v>0</v>
      </c>
      <c r="AK17" s="127" t="n">
        <v>0</v>
      </c>
      <c r="AL17" s="126" t="n">
        <v>0</v>
      </c>
      <c r="AM17" s="127" t="n">
        <v>0</v>
      </c>
      <c r="AN17" s="127" t="n">
        <v>0</v>
      </c>
      <c r="AO17" s="126" t="n">
        <v>-1702400</v>
      </c>
      <c r="AP17" s="127" t="n">
        <v>1464064</v>
      </c>
      <c r="AQ17" s="127" t="n">
        <v>-238336</v>
      </c>
      <c r="AR17" s="126" t="n">
        <v>-1702400</v>
      </c>
      <c r="AS17" s="127" t="n">
        <v>1464064</v>
      </c>
      <c r="AT17" s="127" t="n">
        <v>-238336</v>
      </c>
      <c r="AU17" s="126" t="n">
        <v>-1031680</v>
      </c>
      <c r="AV17" s="127" t="n">
        <v>887244.8</v>
      </c>
      <c r="AW17" s="127" t="n">
        <v>-144435.2</v>
      </c>
      <c r="AX17" s="126" t="n">
        <v>-1289600</v>
      </c>
      <c r="AY17" s="127" t="n">
        <v>1109056</v>
      </c>
      <c r="AZ17" s="127" t="n">
        <v>-180544</v>
      </c>
      <c r="BA17" s="126" t="n">
        <v>-1547520</v>
      </c>
      <c r="BB17" s="127" t="n">
        <v>1330867.2</v>
      </c>
      <c r="BC17" s="127" t="n">
        <v>-216652.8</v>
      </c>
      <c r="BD17" s="126" t="n">
        <v>-1289600</v>
      </c>
      <c r="BE17" s="127" t="n">
        <v>1109056</v>
      </c>
      <c r="BF17" s="127" t="n">
        <v>-180544</v>
      </c>
      <c r="BG17" s="126" t="n">
        <v>-5158400</v>
      </c>
      <c r="BH17" s="127" t="n">
        <v>4436224</v>
      </c>
      <c r="BI17" s="127" t="n">
        <v>-722176</v>
      </c>
      <c r="BJ17" s="127" t="n">
        <v>-2777600</v>
      </c>
      <c r="BK17" s="127" t="n">
        <v>2388736</v>
      </c>
      <c r="BL17" s="127" t="n">
        <v>-388864</v>
      </c>
      <c r="BM17" s="126" t="n">
        <v>0</v>
      </c>
      <c r="BN17" s="126" t="n">
        <v>0</v>
      </c>
      <c r="BO17" s="126" t="n">
        <v>0</v>
      </c>
      <c r="BP17" s="126" t="n">
        <v>0</v>
      </c>
      <c r="BQ17" s="126" t="n">
        <v>0</v>
      </c>
      <c r="BR17" s="126" t="n">
        <v>0</v>
      </c>
      <c r="BS17" s="126" t="n">
        <v>0</v>
      </c>
      <c r="BT17" s="126" t="n">
        <v>0</v>
      </c>
      <c r="BU17" s="126" t="n">
        <v>0</v>
      </c>
      <c r="BV17" s="126" t="n">
        <v>0</v>
      </c>
      <c r="BW17" s="126" t="n">
        <v>0</v>
      </c>
      <c r="BX17" s="126" t="n">
        <v>0</v>
      </c>
      <c r="BY17" s="126" t="n">
        <v>0</v>
      </c>
      <c r="BZ17" s="126" t="n">
        <v>0</v>
      </c>
      <c r="CA17" s="126" t="n">
        <v>0</v>
      </c>
      <c r="CB17" s="126" t="n">
        <v>0</v>
      </c>
      <c r="CC17" s="126" t="n">
        <v>0</v>
      </c>
      <c r="CD17" s="126" t="n">
        <v>0</v>
      </c>
      <c r="CE17" s="126" t="n">
        <v>0</v>
      </c>
      <c r="CF17" s="126" t="n">
        <v>0</v>
      </c>
      <c r="CG17" s="126" t="n">
        <v>0</v>
      </c>
      <c r="CH17" s="127" t="n">
        <v>24.7</v>
      </c>
      <c r="CI17" s="128" t="n">
        <v>46204</v>
      </c>
      <c r="CJ17" s="128" t="n">
        <v>46569</v>
      </c>
      <c r="CK17" s="126" t="n">
        <v>202912</v>
      </c>
      <c r="CL17" s="126" t="n">
        <v>1</v>
      </c>
    </row>
    <row r="18">
      <c r="A18" t="inlineStr">
        <is>
          <t>J</t>
        </is>
      </c>
      <c r="B18" s="126" t="n">
        <v>9901</v>
      </c>
      <c r="C18" t="inlineStr">
        <is>
          <t>Demo Ontwikkeling BV</t>
        </is>
      </c>
      <c r="D18" s="126" t="n">
        <v>9090</v>
      </c>
      <c r="E18" t="inlineStr">
        <is>
          <t>Demo Regio</t>
        </is>
      </c>
      <c r="F18" t="inlineStr">
        <is>
          <t>WO-Wonen</t>
        </is>
      </c>
      <c r="G18" t="inlineStr">
        <is>
          <t>NIEUWBOUW GRONDGEBONDEN</t>
        </is>
      </c>
      <c r="H18" t="inlineStr">
        <is>
          <t>Demo Grondgebonden</t>
        </is>
      </c>
      <c r="I18" t="inlineStr">
        <is>
          <t>G.900017</t>
        </is>
      </c>
      <c r="J18" t="inlineStr">
        <is>
          <t>G.900017.8.9090</t>
        </is>
      </c>
      <c r="K18" t="inlineStr">
        <is>
          <t>08</t>
        </is>
      </c>
      <c r="L18" t="inlineStr">
        <is>
          <t>W900017</t>
        </is>
      </c>
      <c r="M18" t="inlineStr">
        <is>
          <t>VELDENDAM, SPOORPARK</t>
        </is>
      </c>
      <c r="N18" t="inlineStr">
        <is>
          <t>Veldendam, Spoorpark</t>
        </is>
      </c>
      <c r="O18" t="inlineStr">
        <is>
          <t>OW</t>
        </is>
      </c>
      <c r="P18" t="inlineStr">
        <is>
          <t>VRIJ BLOK</t>
        </is>
      </c>
      <c r="Q18" s="126" t="n">
        <v>80</v>
      </c>
      <c r="R18" s="127" t="n">
        <v>-47040000</v>
      </c>
      <c r="S18" s="127" t="n">
        <v>42336000</v>
      </c>
      <c r="T18" s="127" t="n">
        <v>-4704000</v>
      </c>
      <c r="U18" s="127" t="n">
        <v>10</v>
      </c>
      <c r="V18" s="127" t="n">
        <v>0</v>
      </c>
      <c r="W18" s="127" t="n">
        <v>0</v>
      </c>
      <c r="X18" s="126" t="n">
        <v>-7644000</v>
      </c>
      <c r="Y18" s="127" t="n">
        <v>6879600</v>
      </c>
      <c r="Z18" s="127" t="n">
        <v>-764400</v>
      </c>
      <c r="AA18" s="127" t="n">
        <v>-764400</v>
      </c>
      <c r="AB18" s="127" t="n">
        <v>-7644000</v>
      </c>
      <c r="AC18" s="127" t="n">
        <v>6879600</v>
      </c>
      <c r="AD18" s="127" t="n">
        <v>-39396000</v>
      </c>
      <c r="AE18" s="127" t="n">
        <v>-3939600</v>
      </c>
      <c r="AF18" s="126" t="n">
        <v>0</v>
      </c>
      <c r="AG18" s="127" t="n">
        <v>0</v>
      </c>
      <c r="AH18" s="127" t="n">
        <v>0</v>
      </c>
      <c r="AI18" s="126" t="n">
        <v>0</v>
      </c>
      <c r="AJ18" s="127" t="n">
        <v>0</v>
      </c>
      <c r="AK18" s="127" t="n">
        <v>0</v>
      </c>
      <c r="AL18" s="126" t="n">
        <v>0</v>
      </c>
      <c r="AM18" s="127" t="n">
        <v>0</v>
      </c>
      <c r="AN18" s="127" t="n">
        <v>0</v>
      </c>
      <c r="AO18" s="126" t="n">
        <v>-4116000</v>
      </c>
      <c r="AP18" s="127" t="n">
        <v>3704400</v>
      </c>
      <c r="AQ18" s="127" t="n">
        <v>-411600</v>
      </c>
      <c r="AR18" s="126" t="n">
        <v>-4116000</v>
      </c>
      <c r="AS18" s="127" t="n">
        <v>3704400</v>
      </c>
      <c r="AT18" s="127" t="n">
        <v>-411600</v>
      </c>
      <c r="AU18" s="126" t="n">
        <v>-4586400</v>
      </c>
      <c r="AV18" s="127" t="n">
        <v>4127760</v>
      </c>
      <c r="AW18" s="127" t="n">
        <v>-458640</v>
      </c>
      <c r="AX18" s="126" t="n">
        <v>-5733000</v>
      </c>
      <c r="AY18" s="127" t="n">
        <v>5159700</v>
      </c>
      <c r="AZ18" s="127" t="n">
        <v>-573300</v>
      </c>
      <c r="BA18" s="126" t="n">
        <v>-6879600</v>
      </c>
      <c r="BB18" s="127" t="n">
        <v>6191640</v>
      </c>
      <c r="BC18" s="127" t="n">
        <v>-687960</v>
      </c>
      <c r="BD18" s="126" t="n">
        <v>-5733000</v>
      </c>
      <c r="BE18" s="127" t="n">
        <v>5159700</v>
      </c>
      <c r="BF18" s="127" t="n">
        <v>-573300</v>
      </c>
      <c r="BG18" s="126" t="n">
        <v>-22932000</v>
      </c>
      <c r="BH18" s="127" t="n">
        <v>20638800</v>
      </c>
      <c r="BI18" s="127" t="n">
        <v>-2293200</v>
      </c>
      <c r="BJ18" s="127" t="n">
        <v>-12348000</v>
      </c>
      <c r="BK18" s="127" t="n">
        <v>11113200</v>
      </c>
      <c r="BL18" s="127" t="n">
        <v>-1234800</v>
      </c>
      <c r="BM18" s="126" t="n">
        <v>0</v>
      </c>
      <c r="BN18" s="126" t="n">
        <v>0</v>
      </c>
      <c r="BO18" s="126" t="n">
        <v>0</v>
      </c>
      <c r="BP18" s="126" t="n">
        <v>0</v>
      </c>
      <c r="BQ18" s="126" t="n">
        <v>0</v>
      </c>
      <c r="BR18" s="126" t="n">
        <v>0</v>
      </c>
      <c r="BS18" s="126" t="n">
        <v>0</v>
      </c>
      <c r="BT18" s="126" t="n">
        <v>0</v>
      </c>
      <c r="BU18" s="126" t="n">
        <v>0</v>
      </c>
      <c r="BV18" s="126" t="n">
        <v>0</v>
      </c>
      <c r="BW18" s="126" t="n">
        <v>0</v>
      </c>
      <c r="BX18" s="126" t="n">
        <v>0</v>
      </c>
      <c r="BY18" s="126" t="n">
        <v>0</v>
      </c>
      <c r="BZ18" s="126" t="n">
        <v>0</v>
      </c>
      <c r="CA18" s="126" t="n">
        <v>0</v>
      </c>
      <c r="CB18" s="126" t="n">
        <v>0</v>
      </c>
      <c r="CC18" s="126" t="n">
        <v>0</v>
      </c>
      <c r="CD18" s="126" t="n">
        <v>0</v>
      </c>
      <c r="CE18" s="126" t="n">
        <v>0</v>
      </c>
      <c r="CF18" s="126" t="n">
        <v>0</v>
      </c>
      <c r="CG18" s="126" t="n">
        <v>0</v>
      </c>
      <c r="CH18" s="127" t="n">
        <v>16.25</v>
      </c>
      <c r="CI18" s="128" t="n">
        <v>46235</v>
      </c>
      <c r="CJ18" s="128" t="n">
        <v>46600</v>
      </c>
      <c r="CK18" s="126" t="n">
        <v>202912</v>
      </c>
      <c r="CL18" s="126" t="n">
        <v>2</v>
      </c>
    </row>
    <row r="19">
      <c r="A19" t="inlineStr">
        <is>
          <t>N</t>
        </is>
      </c>
      <c r="B19" s="126" t="n">
        <v>9902</v>
      </c>
      <c r="C19" t="inlineStr">
        <is>
          <t>Demo Gebiedscombinatie BV</t>
        </is>
      </c>
      <c r="D19" s="126" t="n">
        <v>9090</v>
      </c>
      <c r="E19" t="inlineStr">
        <is>
          <t>Demo Regio</t>
        </is>
      </c>
      <c r="F19" t="inlineStr">
        <is>
          <t>WO-Wonen</t>
        </is>
      </c>
      <c r="G19" t="inlineStr">
        <is>
          <t>NIEUWBOUW GESTAPELD</t>
        </is>
      </c>
      <c r="H19" t="inlineStr">
        <is>
          <t>Demo Appartement</t>
        </is>
      </c>
      <c r="I19" t="inlineStr">
        <is>
          <t>G.900018</t>
        </is>
      </c>
      <c r="J19" t="inlineStr">
        <is>
          <t>G.900018.8.9090</t>
        </is>
      </c>
      <c r="K19" t="inlineStr">
        <is>
          <t>08</t>
        </is>
      </c>
      <c r="L19" t="inlineStr">
        <is>
          <t>W900018</t>
        </is>
      </c>
      <c r="M19" t="inlineStr">
        <is>
          <t>MEERHOVENSTAD, DE BOOG</t>
        </is>
      </c>
      <c r="N19" t="inlineStr">
        <is>
          <t>Meerhovenstad, De Boog</t>
        </is>
      </c>
      <c r="O19" t="inlineStr">
        <is>
          <t>OW</t>
        </is>
      </c>
      <c r="P19" t="inlineStr">
        <is>
          <t>VRIJ BLOK</t>
        </is>
      </c>
      <c r="Q19" s="126" t="n">
        <v>60</v>
      </c>
      <c r="R19" s="127" t="n">
        <v>-12040000</v>
      </c>
      <c r="S19" s="127" t="n">
        <v>12401200</v>
      </c>
      <c r="T19" s="127" t="n">
        <v>361200</v>
      </c>
      <c r="U19" s="127" t="n">
        <v>-3</v>
      </c>
      <c r="V19" s="127" t="n">
        <v>0</v>
      </c>
      <c r="W19" s="127" t="n">
        <v>0</v>
      </c>
      <c r="X19" s="126" t="n">
        <v>-1173900</v>
      </c>
      <c r="Y19" s="127" t="n">
        <v>1209117</v>
      </c>
      <c r="Z19" s="127" t="n">
        <v>35217</v>
      </c>
      <c r="AA19" s="127" t="n">
        <v>35217</v>
      </c>
      <c r="AB19" s="127" t="n">
        <v>-1173900</v>
      </c>
      <c r="AC19" s="127" t="n">
        <v>1209117</v>
      </c>
      <c r="AD19" s="127" t="n">
        <v>-10866100</v>
      </c>
      <c r="AE19" s="127" t="n">
        <v>325983</v>
      </c>
      <c r="AF19" s="126" t="n">
        <v>0</v>
      </c>
      <c r="AG19" s="127" t="n">
        <v>0</v>
      </c>
      <c r="AH19" s="127" t="n">
        <v>0</v>
      </c>
      <c r="AI19" s="126" t="n">
        <v>0</v>
      </c>
      <c r="AJ19" s="127" t="n">
        <v>0</v>
      </c>
      <c r="AK19" s="127" t="n">
        <v>0</v>
      </c>
      <c r="AL19" s="126" t="n">
        <v>0</v>
      </c>
      <c r="AM19" s="127" t="n">
        <v>0</v>
      </c>
      <c r="AN19" s="127" t="n">
        <v>0</v>
      </c>
      <c r="AO19" s="126" t="n">
        <v>-632100</v>
      </c>
      <c r="AP19" s="127" t="n">
        <v>651063</v>
      </c>
      <c r="AQ19" s="127" t="n">
        <v>18963</v>
      </c>
      <c r="AR19" s="126" t="n">
        <v>-632100</v>
      </c>
      <c r="AS19" s="127" t="n">
        <v>651063</v>
      </c>
      <c r="AT19" s="127" t="n">
        <v>18963</v>
      </c>
      <c r="AU19" s="126" t="n">
        <v>-1330420</v>
      </c>
      <c r="AV19" s="127" t="n">
        <v>1370332.6</v>
      </c>
      <c r="AW19" s="127" t="n">
        <v>39912.6</v>
      </c>
      <c r="AX19" s="126" t="n">
        <v>-1663025</v>
      </c>
      <c r="AY19" s="127" t="n">
        <v>1712915.75</v>
      </c>
      <c r="AZ19" s="127" t="n">
        <v>49890.75</v>
      </c>
      <c r="BA19" s="126" t="n">
        <v>-1995630</v>
      </c>
      <c r="BB19" s="127" t="n">
        <v>2055498.9</v>
      </c>
      <c r="BC19" s="127" t="n">
        <v>59868.9</v>
      </c>
      <c r="BD19" s="126" t="n">
        <v>-1663025</v>
      </c>
      <c r="BE19" s="127" t="n">
        <v>1712915.75</v>
      </c>
      <c r="BF19" s="127" t="n">
        <v>49890.75</v>
      </c>
      <c r="BG19" s="126" t="n">
        <v>-6652100</v>
      </c>
      <c r="BH19" s="127" t="n">
        <v>6851663</v>
      </c>
      <c r="BI19" s="127" t="n">
        <v>199563</v>
      </c>
      <c r="BJ19" s="127" t="n">
        <v>-3581900</v>
      </c>
      <c r="BK19" s="127" t="n">
        <v>3689357</v>
      </c>
      <c r="BL19" s="127" t="n">
        <v>107457</v>
      </c>
      <c r="BM19" s="126" t="n">
        <v>0</v>
      </c>
      <c r="BN19" s="126" t="n">
        <v>0</v>
      </c>
      <c r="BO19" s="126" t="n">
        <v>0</v>
      </c>
      <c r="BP19" s="126" t="n">
        <v>0</v>
      </c>
      <c r="BQ19" s="126" t="n">
        <v>0</v>
      </c>
      <c r="BR19" s="126" t="n">
        <v>0</v>
      </c>
      <c r="BS19" s="126" t="n">
        <v>0</v>
      </c>
      <c r="BT19" s="126" t="n">
        <v>0</v>
      </c>
      <c r="BU19" s="126" t="n">
        <v>0</v>
      </c>
      <c r="BV19" s="126" t="n">
        <v>0</v>
      </c>
      <c r="BW19" s="126" t="n">
        <v>0</v>
      </c>
      <c r="BX19" s="126" t="n">
        <v>0</v>
      </c>
      <c r="BY19" s="126" t="n">
        <v>0</v>
      </c>
      <c r="BZ19" s="126" t="n">
        <v>0</v>
      </c>
      <c r="CA19" s="126" t="n">
        <v>0</v>
      </c>
      <c r="CB19" s="126" t="n">
        <v>0</v>
      </c>
      <c r="CC19" s="126" t="n">
        <v>0</v>
      </c>
      <c r="CD19" s="126" t="n">
        <v>0</v>
      </c>
      <c r="CE19" s="126" t="n">
        <v>0</v>
      </c>
      <c r="CF19" s="126" t="n">
        <v>0</v>
      </c>
      <c r="CG19" s="126" t="n">
        <v>0</v>
      </c>
      <c r="CH19" s="127" t="n">
        <v>9.75</v>
      </c>
      <c r="CI19" s="128" t="n">
        <v>46266</v>
      </c>
      <c r="CJ19" s="128" t="n">
        <v>46631</v>
      </c>
      <c r="CK19" s="126" t="n">
        <v>202912</v>
      </c>
      <c r="CL19" s="126" t="n">
        <v>3</v>
      </c>
    </row>
    <row r="20">
      <c r="A20" t="inlineStr">
        <is>
          <t>J</t>
        </is>
      </c>
      <c r="B20" s="126" t="n">
        <v>9901</v>
      </c>
      <c r="C20" t="inlineStr">
        <is>
          <t>Demo Ontwikkeling BV</t>
        </is>
      </c>
      <c r="D20" s="126" t="n">
        <v>9090</v>
      </c>
      <c r="E20" t="inlineStr">
        <is>
          <t>Demo Regio</t>
        </is>
      </c>
      <c r="F20" t="inlineStr">
        <is>
          <t>WO-Wonen</t>
        </is>
      </c>
      <c r="G20" t="inlineStr">
        <is>
          <t>NIEUWBOUW GRONDGEBONDEN</t>
        </is>
      </c>
      <c r="H20" t="inlineStr">
        <is>
          <t>Demo Grondgebonden</t>
        </is>
      </c>
      <c r="I20" t="inlineStr">
        <is>
          <t>G.900019</t>
        </is>
      </c>
      <c r="J20" t="inlineStr">
        <is>
          <t>G.900019.8.9090</t>
        </is>
      </c>
      <c r="K20" t="inlineStr">
        <is>
          <t>08</t>
        </is>
      </c>
      <c r="L20" t="inlineStr">
        <is>
          <t>W900019</t>
        </is>
      </c>
      <c r="M20" t="inlineStr">
        <is>
          <t>ZILVERDAM, HAVENLICHT</t>
        </is>
      </c>
      <c r="N20" t="inlineStr">
        <is>
          <t>Zilverdam, Havenlicht</t>
        </is>
      </c>
      <c r="O20" t="inlineStr">
        <is>
          <t>OW</t>
        </is>
      </c>
      <c r="P20" t="inlineStr">
        <is>
          <t>VRIJ BLOK</t>
        </is>
      </c>
      <c r="Q20" s="126" t="n">
        <v>40</v>
      </c>
      <c r="R20" s="127" t="n">
        <v>-14700000</v>
      </c>
      <c r="S20" s="127" t="n">
        <v>13524000</v>
      </c>
      <c r="T20" s="127" t="n">
        <v>-1176000</v>
      </c>
      <c r="U20" s="127" t="n">
        <v>8</v>
      </c>
      <c r="V20" s="127" t="n">
        <v>0</v>
      </c>
      <c r="W20" s="127" t="n">
        <v>0</v>
      </c>
      <c r="X20" s="126" t="n">
        <v>-4013100</v>
      </c>
      <c r="Y20" s="127" t="n">
        <v>3692052</v>
      </c>
      <c r="Z20" s="127" t="n">
        <v>-321048</v>
      </c>
      <c r="AA20" s="127" t="n">
        <v>-321048</v>
      </c>
      <c r="AB20" s="127" t="n">
        <v>-4013100</v>
      </c>
      <c r="AC20" s="127" t="n">
        <v>3692052</v>
      </c>
      <c r="AD20" s="127" t="n">
        <v>-10686900</v>
      </c>
      <c r="AE20" s="127" t="n">
        <v>-854952</v>
      </c>
      <c r="AF20" s="126" t="n">
        <v>0</v>
      </c>
      <c r="AG20" s="127" t="n">
        <v>0</v>
      </c>
      <c r="AH20" s="127" t="n">
        <v>0</v>
      </c>
      <c r="AI20" s="126" t="n">
        <v>0</v>
      </c>
      <c r="AJ20" s="127" t="n">
        <v>0</v>
      </c>
      <c r="AK20" s="127" t="n">
        <v>0</v>
      </c>
      <c r="AL20" s="126" t="n">
        <v>0</v>
      </c>
      <c r="AM20" s="127" t="n">
        <v>0</v>
      </c>
      <c r="AN20" s="127" t="n">
        <v>0</v>
      </c>
      <c r="AO20" s="126" t="n">
        <v>-2160900</v>
      </c>
      <c r="AP20" s="127" t="n">
        <v>1988028</v>
      </c>
      <c r="AQ20" s="127" t="n">
        <v>-172872</v>
      </c>
      <c r="AR20" s="126" t="n">
        <v>-2160900</v>
      </c>
      <c r="AS20" s="127" t="n">
        <v>1988028</v>
      </c>
      <c r="AT20" s="127" t="n">
        <v>-172872</v>
      </c>
      <c r="AU20" s="126" t="n">
        <v>-1108380</v>
      </c>
      <c r="AV20" s="127" t="n">
        <v>1019709.6</v>
      </c>
      <c r="AW20" s="127" t="n">
        <v>-88670.39999999999</v>
      </c>
      <c r="AX20" s="126" t="n">
        <v>-1385475</v>
      </c>
      <c r="AY20" s="127" t="n">
        <v>1274637</v>
      </c>
      <c r="AZ20" s="127" t="n">
        <v>-110838</v>
      </c>
      <c r="BA20" s="126" t="n">
        <v>-1662570</v>
      </c>
      <c r="BB20" s="127" t="n">
        <v>1529564.4</v>
      </c>
      <c r="BC20" s="127" t="n">
        <v>-133005.6</v>
      </c>
      <c r="BD20" s="126" t="n">
        <v>-1385475</v>
      </c>
      <c r="BE20" s="127" t="n">
        <v>1274637</v>
      </c>
      <c r="BF20" s="127" t="n">
        <v>-110838</v>
      </c>
      <c r="BG20" s="126" t="n">
        <v>-5541900</v>
      </c>
      <c r="BH20" s="127" t="n">
        <v>5098548</v>
      </c>
      <c r="BI20" s="127" t="n">
        <v>-443352</v>
      </c>
      <c r="BJ20" s="127" t="n">
        <v>-2984100</v>
      </c>
      <c r="BK20" s="127" t="n">
        <v>2745372</v>
      </c>
      <c r="BL20" s="127" t="n">
        <v>-238728</v>
      </c>
      <c r="BM20" s="126" t="n">
        <v>0</v>
      </c>
      <c r="BN20" s="126" t="n">
        <v>0</v>
      </c>
      <c r="BO20" s="126" t="n">
        <v>0</v>
      </c>
      <c r="BP20" s="126" t="n">
        <v>0</v>
      </c>
      <c r="BQ20" s="126" t="n">
        <v>0</v>
      </c>
      <c r="BR20" s="126" t="n">
        <v>0</v>
      </c>
      <c r="BS20" s="126" t="n">
        <v>0</v>
      </c>
      <c r="BT20" s="126" t="n">
        <v>0</v>
      </c>
      <c r="BU20" s="126" t="n">
        <v>0</v>
      </c>
      <c r="BV20" s="126" t="n">
        <v>0</v>
      </c>
      <c r="BW20" s="126" t="n">
        <v>0</v>
      </c>
      <c r="BX20" s="126" t="n">
        <v>0</v>
      </c>
      <c r="BY20" s="126" t="n">
        <v>0</v>
      </c>
      <c r="BZ20" s="126" t="n">
        <v>0</v>
      </c>
      <c r="CA20" s="126" t="n">
        <v>0</v>
      </c>
      <c r="CB20" s="126" t="n">
        <v>0</v>
      </c>
      <c r="CC20" s="126" t="n">
        <v>0</v>
      </c>
      <c r="CD20" s="126" t="n">
        <v>0</v>
      </c>
      <c r="CE20" s="126" t="n">
        <v>0</v>
      </c>
      <c r="CF20" s="126" t="n">
        <v>0</v>
      </c>
      <c r="CG20" s="126" t="n">
        <v>0</v>
      </c>
      <c r="CH20" s="127" t="n">
        <v>27.3</v>
      </c>
      <c r="CI20" s="128" t="n">
        <v>46023</v>
      </c>
      <c r="CJ20" s="128" t="n">
        <v>46388</v>
      </c>
      <c r="CK20" s="126" t="n">
        <v>202912</v>
      </c>
      <c r="CL20" s="126" t="n">
        <v>1</v>
      </c>
    </row>
    <row r="21">
      <c r="A21" t="inlineStr">
        <is>
          <t>J</t>
        </is>
      </c>
      <c r="B21" s="126" t="n">
        <v>9901</v>
      </c>
      <c r="C21" t="inlineStr">
        <is>
          <t>Demo Ontwikkeling BV</t>
        </is>
      </c>
      <c r="D21" s="126" t="n">
        <v>9090</v>
      </c>
      <c r="E21" t="inlineStr">
        <is>
          <t>Demo Regio</t>
        </is>
      </c>
      <c r="F21" t="inlineStr">
        <is>
          <t>RH-Winkels &amp; Horeca</t>
        </is>
      </c>
      <c r="G21" t="inlineStr">
        <is>
          <t>NIEUWBOUW GESTAPELD</t>
        </is>
      </c>
      <c r="H21" t="inlineStr">
        <is>
          <t>Demo Appartement</t>
        </is>
      </c>
      <c r="I21" t="inlineStr">
        <is>
          <t>G.900020</t>
        </is>
      </c>
      <c r="J21" t="inlineStr">
        <is>
          <t>G.900020.8.9090</t>
        </is>
      </c>
      <c r="K21" t="inlineStr">
        <is>
          <t>08</t>
        </is>
      </c>
      <c r="L21" t="inlineStr">
        <is>
          <t>W900020</t>
        </is>
      </c>
      <c r="M21" t="inlineStr">
        <is>
          <t>BOSWAARD, PARKEERGEBOUW</t>
        </is>
      </c>
      <c r="N21" t="inlineStr">
        <is>
          <t>Boswaard, Parkeergebouw</t>
        </is>
      </c>
      <c r="O21" t="inlineStr">
        <is>
          <t>OW</t>
        </is>
      </c>
      <c r="P21" t="inlineStr">
        <is>
          <t>VRIJ BLOK</t>
        </is>
      </c>
      <c r="Q21" s="126" t="n">
        <v>20</v>
      </c>
      <c r="R21" s="127" t="n">
        <v>-2400000</v>
      </c>
      <c r="S21" s="127" t="n">
        <v>2088000</v>
      </c>
      <c r="T21" s="127" t="n">
        <v>-312000</v>
      </c>
      <c r="U21" s="127" t="n">
        <v>13</v>
      </c>
      <c r="V21" s="127" t="n">
        <v>0</v>
      </c>
      <c r="W21" s="127" t="n">
        <v>0</v>
      </c>
      <c r="X21" s="126" t="n">
        <v>-156000</v>
      </c>
      <c r="Y21" s="127" t="n">
        <v>135720</v>
      </c>
      <c r="Z21" s="127" t="n">
        <v>-20280</v>
      </c>
      <c r="AA21" s="127" t="n">
        <v>-20280</v>
      </c>
      <c r="AB21" s="127" t="n">
        <v>-156000</v>
      </c>
      <c r="AC21" s="127" t="n">
        <v>135720</v>
      </c>
      <c r="AD21" s="127" t="n">
        <v>-2244000</v>
      </c>
      <c r="AE21" s="127" t="n">
        <v>-291720</v>
      </c>
      <c r="AF21" s="126" t="n">
        <v>0</v>
      </c>
      <c r="AG21" s="127" t="n">
        <v>0</v>
      </c>
      <c r="AH21" s="127" t="n">
        <v>0</v>
      </c>
      <c r="AI21" s="126" t="n">
        <v>0</v>
      </c>
      <c r="AJ21" s="127" t="n">
        <v>0</v>
      </c>
      <c r="AK21" s="127" t="n">
        <v>0</v>
      </c>
      <c r="AL21" s="126" t="n">
        <v>0</v>
      </c>
      <c r="AM21" s="127" t="n">
        <v>0</v>
      </c>
      <c r="AN21" s="127" t="n">
        <v>0</v>
      </c>
      <c r="AO21" s="126" t="n">
        <v>-84000</v>
      </c>
      <c r="AP21" s="127" t="n">
        <v>73080</v>
      </c>
      <c r="AQ21" s="127" t="n">
        <v>-10920</v>
      </c>
      <c r="AR21" s="126" t="n">
        <v>-84000</v>
      </c>
      <c r="AS21" s="127" t="n">
        <v>73080</v>
      </c>
      <c r="AT21" s="127" t="n">
        <v>-10920</v>
      </c>
      <c r="AU21" s="126" t="n">
        <v>-280800</v>
      </c>
      <c r="AV21" s="127" t="n">
        <v>244296</v>
      </c>
      <c r="AW21" s="127" t="n">
        <v>-36504</v>
      </c>
      <c r="AX21" s="126" t="n">
        <v>-351000</v>
      </c>
      <c r="AY21" s="127" t="n">
        <v>305370</v>
      </c>
      <c r="AZ21" s="127" t="n">
        <v>-45630</v>
      </c>
      <c r="BA21" s="126" t="n">
        <v>-421200</v>
      </c>
      <c r="BB21" s="127" t="n">
        <v>366444</v>
      </c>
      <c r="BC21" s="127" t="n">
        <v>-54756</v>
      </c>
      <c r="BD21" s="126" t="n">
        <v>-351000</v>
      </c>
      <c r="BE21" s="127" t="n">
        <v>305370</v>
      </c>
      <c r="BF21" s="127" t="n">
        <v>-45630</v>
      </c>
      <c r="BG21" s="126" t="n">
        <v>-1404000</v>
      </c>
      <c r="BH21" s="127" t="n">
        <v>1221480</v>
      </c>
      <c r="BI21" s="127" t="n">
        <v>-182520</v>
      </c>
      <c r="BJ21" s="127" t="n">
        <v>-756000</v>
      </c>
      <c r="BK21" s="127" t="n">
        <v>657720</v>
      </c>
      <c r="BL21" s="127" t="n">
        <v>-98280</v>
      </c>
      <c r="BM21" s="126" t="n">
        <v>0</v>
      </c>
      <c r="BN21" s="126" t="n">
        <v>0</v>
      </c>
      <c r="BO21" s="126" t="n">
        <v>0</v>
      </c>
      <c r="BP21" s="126" t="n">
        <v>0</v>
      </c>
      <c r="BQ21" s="126" t="n">
        <v>0</v>
      </c>
      <c r="BR21" s="126" t="n">
        <v>0</v>
      </c>
      <c r="BS21" s="126" t="n">
        <v>0</v>
      </c>
      <c r="BT21" s="126" t="n">
        <v>0</v>
      </c>
      <c r="BU21" s="126" t="n">
        <v>0</v>
      </c>
      <c r="BV21" s="126" t="n">
        <v>0</v>
      </c>
      <c r="BW21" s="126" t="n">
        <v>0</v>
      </c>
      <c r="BX21" s="126" t="n">
        <v>0</v>
      </c>
      <c r="BY21" s="126" t="n">
        <v>0</v>
      </c>
      <c r="BZ21" s="126" t="n">
        <v>0</v>
      </c>
      <c r="CA21" s="126" t="n">
        <v>0</v>
      </c>
      <c r="CB21" s="126" t="n">
        <v>0</v>
      </c>
      <c r="CC21" s="126" t="n">
        <v>0</v>
      </c>
      <c r="CD21" s="126" t="n">
        <v>0</v>
      </c>
      <c r="CE21" s="126" t="n">
        <v>0</v>
      </c>
      <c r="CF21" s="126" t="n">
        <v>0</v>
      </c>
      <c r="CG21" s="126" t="n">
        <v>0</v>
      </c>
      <c r="CH21" s="127" t="n">
        <v>6.5</v>
      </c>
      <c r="CI21" s="128" t="n">
        <v>46054</v>
      </c>
      <c r="CJ21" s="128" t="n">
        <v>46419</v>
      </c>
      <c r="CK21" s="126" t="n">
        <v>202912</v>
      </c>
      <c r="CL21" s="126" t="n">
        <v>2</v>
      </c>
    </row>
  </sheetData>
  <pageMargins left="0.75" right="0.75" top="1" bottom="1" header="0.5" footer="0.5"/>
</worksheet>
</file>

<file path=xl/worksheets/sheet21.xml><?xml version="1.0" encoding="utf-8"?>
<worksheet xmlns="http://schemas.openxmlformats.org/spreadsheetml/2006/main">
  <sheetPr>
    <tabColor rgb="00000000"/>
    <outlinePr summaryBelow="1" summaryRight="1"/>
    <pageSetUpPr/>
  </sheetPr>
  <dimension ref="A1:BA21"/>
  <sheetViews>
    <sheetView showGridLines="1" zoomScale="85" workbookViewId="0">
      <pane ySplit="1" topLeftCell="A2" activePane="bottomLeft" state="frozen"/>
      <selection pane="bottomLeft" activeCell="A1" sqref="A1"/>
    </sheetView>
  </sheetViews>
  <sheetFormatPr baseColWidth="8" defaultRowHeight="15"/>
  <sheetData>
    <row r="1">
      <c r="A1" s="125" t="inlineStr">
        <is>
          <t>Bedr.</t>
        </is>
      </c>
      <c r="B1" s="125" t="inlineStr">
        <is>
          <t>Bedrijfsnaam</t>
        </is>
      </c>
      <c r="C1" s="125" t="inlineStr">
        <is>
          <t>Aandeel Heijm.</t>
        </is>
      </c>
      <c r="D1" s="125" t="inlineStr">
        <is>
          <t>Proj.srt</t>
        </is>
      </c>
      <c r="E1" s="125" t="inlineStr">
        <is>
          <t>Proj.srt</t>
        </is>
      </c>
      <c r="F1" s="125" t="inlineStr">
        <is>
          <t>Profitctr.</t>
        </is>
      </c>
      <c r="G1" s="125" t="inlineStr">
        <is>
          <t>Profitctr.</t>
        </is>
      </c>
      <c r="H1" s="125" t="inlineStr">
        <is>
          <t>Project</t>
        </is>
      </c>
      <c r="I1" s="125" t="inlineStr">
        <is>
          <t>Omschrijving</t>
        </is>
      </c>
      <c r="J1" s="125" t="inlineStr">
        <is>
          <t>Stufe 3</t>
        </is>
      </c>
      <c r="K1" s="125" t="inlineStr">
        <is>
          <t>Omschr.Stufe3</t>
        </is>
      </c>
      <c r="L1" s="125" t="inlineStr">
        <is>
          <t>Kans</t>
        </is>
      </c>
      <c r="M1" s="125" t="inlineStr">
        <is>
          <t>Start verk.</t>
        </is>
      </c>
      <c r="N1" s="125" t="inlineStr">
        <is>
          <t>Start bouw</t>
        </is>
      </c>
      <c r="O1" s="125" t="inlineStr">
        <is>
          <t>Eind opl.</t>
        </is>
      </c>
      <c r="P1" s="125" t="inlineStr">
        <is>
          <t>Aantal woningen</t>
        </is>
      </c>
      <c r="Q1" s="125" t="inlineStr">
        <is>
          <t>t/m vorig jr Beleggers</t>
        </is>
      </c>
      <c r="R1" s="125" t="inlineStr">
        <is>
          <t>t/m vorig jr Particulier</t>
        </is>
      </c>
      <c r="S1" s="125" t="inlineStr">
        <is>
          <t>t/m vorig jr Totaal</t>
        </is>
      </c>
      <c r="T1" s="125" t="inlineStr">
        <is>
          <t>Huidig jr Beleggers</t>
        </is>
      </c>
      <c r="U1" s="125" t="inlineStr">
        <is>
          <t>Huidig jr Particulier</t>
        </is>
      </c>
      <c r="V1" s="125" t="inlineStr">
        <is>
          <t>Huidig jr Totaal</t>
        </is>
      </c>
      <c r="W1" s="125" t="inlineStr">
        <is>
          <t>Cumulatief Beleggers</t>
        </is>
      </c>
      <c r="X1" s="125" t="inlineStr">
        <is>
          <t>Cumulatief Particulier</t>
        </is>
      </c>
      <c r="Y1" s="125" t="inlineStr">
        <is>
          <t>Cumulatief Totaal</t>
        </is>
      </c>
      <c r="Z1" s="125" t="inlineStr">
        <is>
          <t>Etalage Totaal</t>
        </is>
      </c>
      <c r="AA1" s="125" t="inlineStr">
        <is>
          <t>hjr 01</t>
        </is>
      </c>
      <c r="AB1" s="125" t="inlineStr">
        <is>
          <t>hjr 02</t>
        </is>
      </c>
      <c r="AC1" s="125" t="inlineStr">
        <is>
          <t>hjr 03</t>
        </is>
      </c>
      <c r="AD1" s="125" t="inlineStr">
        <is>
          <t>hjr 04</t>
        </is>
      </c>
      <c r="AE1" s="125" t="inlineStr">
        <is>
          <t>hjr 05</t>
        </is>
      </c>
      <c r="AF1" s="125" t="inlineStr">
        <is>
          <t>hjr 06</t>
        </is>
      </c>
      <c r="AG1" s="125" t="inlineStr">
        <is>
          <t>hjr 07</t>
        </is>
      </c>
      <c r="AH1" s="125" t="inlineStr">
        <is>
          <t>hjr 08</t>
        </is>
      </c>
      <c r="AI1" s="125" t="inlineStr">
        <is>
          <t>hjr 09</t>
        </is>
      </c>
      <c r="AJ1" s="125" t="inlineStr">
        <is>
          <t>hjr 10</t>
        </is>
      </c>
      <c r="AK1" s="125" t="inlineStr">
        <is>
          <t>hjr 11</t>
        </is>
      </c>
      <c r="AL1" s="125" t="inlineStr">
        <is>
          <t>hjr 12</t>
        </is>
      </c>
      <c r="AM1" s="125" t="inlineStr">
        <is>
          <t>Volgend jr Q1</t>
        </is>
      </c>
      <c r="AN1" s="125" t="inlineStr">
        <is>
          <t>Volgend jr Q2</t>
        </is>
      </c>
      <c r="AO1" s="125" t="inlineStr">
        <is>
          <t>Volgend jr Q3</t>
        </is>
      </c>
      <c r="AP1" s="125" t="inlineStr">
        <is>
          <t>Volgend jr Q4</t>
        </is>
      </c>
      <c r="AQ1" s="125" t="inlineStr">
        <is>
          <t>Huidig jaar</t>
        </is>
      </c>
      <c r="AR1" s="125" t="inlineStr">
        <is>
          <t>Volgend jaar</t>
        </is>
      </c>
      <c r="AS1" s="125" t="inlineStr">
        <is>
          <t>Rond</t>
        </is>
      </c>
      <c r="AT1" s="125" t="n">
        <v>2028</v>
      </c>
      <c r="AU1" s="125" t="n">
        <v>2029</v>
      </c>
      <c r="AV1" s="125" t="n">
        <v>2030</v>
      </c>
      <c r="AW1" s="125" t="n">
        <v>2031</v>
      </c>
      <c r="AX1" s="125" t="n">
        <v>2032</v>
      </c>
      <c r="AY1" s="125" t="n">
        <v>-2033</v>
      </c>
      <c r="AZ1" s="125" t="n">
        <v>-2034</v>
      </c>
      <c r="BA1" s="125" t="n">
        <v>-2035</v>
      </c>
    </row>
    <row r="2">
      <c r="A2" s="126" t="n">
        <v>9901</v>
      </c>
      <c r="B2" t="inlineStr">
        <is>
          <t>Demo Ontwikkeling BV</t>
        </is>
      </c>
      <c r="C2" t="inlineStr">
        <is>
          <t>100,00</t>
        </is>
      </c>
      <c r="D2" t="inlineStr">
        <is>
          <t>08</t>
        </is>
      </c>
      <c r="E2" t="inlineStr">
        <is>
          <t>Opstalontwikkeling</t>
        </is>
      </c>
      <c r="F2" t="inlineStr">
        <is>
          <t>9090</t>
        </is>
      </c>
      <c r="G2" t="inlineStr">
        <is>
          <t>Demo Regio</t>
        </is>
      </c>
      <c r="H2" t="inlineStr">
        <is>
          <t>G.900001</t>
        </is>
      </c>
      <c r="I2" t="inlineStr">
        <is>
          <t>Lindehaven, Parkzoom fase 1</t>
        </is>
      </c>
      <c r="J2" t="inlineStr">
        <is>
          <t>G.900001.8.9090</t>
        </is>
      </c>
      <c r="K2" t="inlineStr">
        <is>
          <t>Lindehaven, Parkzoom fase 1</t>
        </is>
      </c>
      <c r="L2" t="inlineStr">
        <is>
          <t>100</t>
        </is>
      </c>
      <c r="M2" s="128" t="n">
        <v>45931</v>
      </c>
      <c r="N2" s="128" t="n">
        <v>46023</v>
      </c>
      <c r="O2" s="128" t="n">
        <v>47088</v>
      </c>
      <c r="P2" s="126" t="n">
        <v>32</v>
      </c>
      <c r="Q2" s="126" t="n">
        <v>0</v>
      </c>
      <c r="R2" s="126" t="n">
        <v>6</v>
      </c>
      <c r="S2" s="126" t="n">
        <v>6</v>
      </c>
      <c r="T2" s="126" t="n">
        <v>0</v>
      </c>
      <c r="U2" s="126" t="n">
        <v>2</v>
      </c>
      <c r="V2" s="126" t="n">
        <v>2</v>
      </c>
      <c r="W2" s="126" t="n">
        <v>0</v>
      </c>
      <c r="X2" s="126" t="n">
        <v>8</v>
      </c>
      <c r="Y2" s="126" t="n">
        <v>8</v>
      </c>
      <c r="Z2" s="126" t="n">
        <v>24</v>
      </c>
      <c r="AA2" s="126" t="n">
        <v>0</v>
      </c>
      <c r="AB2" s="126" t="n">
        <v>0</v>
      </c>
      <c r="AC2" s="126" t="n">
        <v>0</v>
      </c>
      <c r="AD2" s="126" t="n">
        <v>0</v>
      </c>
      <c r="AE2" s="126" t="n">
        <v>1</v>
      </c>
      <c r="AF2" s="126" t="n">
        <v>0</v>
      </c>
      <c r="AG2" s="126" t="n">
        <v>0</v>
      </c>
      <c r="AH2" s="126" t="n">
        <v>1</v>
      </c>
      <c r="AI2" s="126" t="n">
        <v>0</v>
      </c>
      <c r="AJ2" s="126" t="n">
        <v>0</v>
      </c>
      <c r="AK2" s="126" t="n">
        <v>0</v>
      </c>
      <c r="AL2" s="126" t="n">
        <v>6</v>
      </c>
      <c r="AM2" s="126" t="n">
        <v>3</v>
      </c>
      <c r="AN2" s="126" t="n">
        <v>3</v>
      </c>
      <c r="AO2" s="126" t="n">
        <v>3</v>
      </c>
      <c r="AP2" s="126" t="n">
        <v>3</v>
      </c>
      <c r="AQ2" s="126" t="n">
        <v>8</v>
      </c>
      <c r="AR2" s="126" t="n">
        <v>12</v>
      </c>
      <c r="AS2" s="126" t="n">
        <v>0</v>
      </c>
      <c r="AT2" s="126" t="n">
        <v>6</v>
      </c>
      <c r="AU2" s="126" t="n">
        <v>0</v>
      </c>
      <c r="AV2" s="126" t="n">
        <v>0</v>
      </c>
      <c r="AW2" s="126" t="n">
        <v>0</v>
      </c>
      <c r="AX2" s="126" t="n">
        <v>0</v>
      </c>
      <c r="AY2" s="126" t="n">
        <v>0</v>
      </c>
      <c r="AZ2" s="126" t="n">
        <v>0</v>
      </c>
      <c r="BA2" s="126" t="n">
        <v>0</v>
      </c>
    </row>
    <row r="3">
      <c r="A3" s="126" t="n">
        <v>9901</v>
      </c>
      <c r="B3" t="inlineStr">
        <is>
          <t>Demo Ontwikkeling BV</t>
        </is>
      </c>
      <c r="C3" t="inlineStr">
        <is>
          <t>100,00</t>
        </is>
      </c>
      <c r="D3" t="inlineStr">
        <is>
          <t>08</t>
        </is>
      </c>
      <c r="E3" t="inlineStr">
        <is>
          <t>Opstalontwikkeling</t>
        </is>
      </c>
      <c r="F3" t="inlineStr">
        <is>
          <t>9090</t>
        </is>
      </c>
      <c r="G3" t="inlineStr">
        <is>
          <t>Demo Regio</t>
        </is>
      </c>
      <c r="H3" t="inlineStr">
        <is>
          <t>G.900002</t>
        </is>
      </c>
      <c r="I3" t="inlineStr">
        <is>
          <t>Duinwaard, De Watergaarde</t>
        </is>
      </c>
      <c r="J3" t="inlineStr">
        <is>
          <t>G.900002.8.9090</t>
        </is>
      </c>
      <c r="K3" t="inlineStr">
        <is>
          <t>Duinwaard, De Watergaarde</t>
        </is>
      </c>
      <c r="L3" t="inlineStr">
        <is>
          <t>080</t>
        </is>
      </c>
      <c r="M3" s="128" t="n">
        <v>45931</v>
      </c>
      <c r="N3" s="128" t="n">
        <v>46054</v>
      </c>
      <c r="O3" s="128" t="n">
        <v>47088</v>
      </c>
      <c r="P3" s="126" t="n">
        <v>48</v>
      </c>
      <c r="Q3" s="126" t="n">
        <v>0</v>
      </c>
      <c r="R3" s="126" t="n">
        <v>9</v>
      </c>
      <c r="S3" s="126" t="n">
        <v>9</v>
      </c>
      <c r="T3" s="126" t="n">
        <v>0</v>
      </c>
      <c r="U3" s="126" t="n">
        <v>7</v>
      </c>
      <c r="V3" s="126" t="n">
        <v>7</v>
      </c>
      <c r="W3" s="126" t="n">
        <v>0</v>
      </c>
      <c r="X3" s="126" t="n">
        <v>16</v>
      </c>
      <c r="Y3" s="126" t="n">
        <v>16</v>
      </c>
      <c r="Z3" s="126" t="n">
        <v>32</v>
      </c>
      <c r="AA3" s="126" t="n">
        <v>0</v>
      </c>
      <c r="AB3" s="126" t="n">
        <v>0</v>
      </c>
      <c r="AC3" s="126" t="n">
        <v>1</v>
      </c>
      <c r="AD3" s="126" t="n">
        <v>1</v>
      </c>
      <c r="AE3" s="126" t="n">
        <v>1</v>
      </c>
      <c r="AF3" s="126" t="n">
        <v>1</v>
      </c>
      <c r="AG3" s="126" t="n">
        <v>1</v>
      </c>
      <c r="AH3" s="126" t="n">
        <v>1</v>
      </c>
      <c r="AI3" s="126" t="n">
        <v>1</v>
      </c>
      <c r="AJ3" s="126" t="n">
        <v>0</v>
      </c>
      <c r="AK3" s="126" t="n">
        <v>0</v>
      </c>
      <c r="AL3" s="126" t="n">
        <v>6</v>
      </c>
      <c r="AM3" s="126" t="n">
        <v>5</v>
      </c>
      <c r="AN3" s="126" t="n">
        <v>4</v>
      </c>
      <c r="AO3" s="126" t="n">
        <v>4</v>
      </c>
      <c r="AP3" s="126" t="n">
        <v>4</v>
      </c>
      <c r="AQ3" s="126" t="n">
        <v>13</v>
      </c>
      <c r="AR3" s="126" t="n">
        <v>17</v>
      </c>
      <c r="AS3" s="126" t="n">
        <v>0</v>
      </c>
      <c r="AT3" s="126" t="n">
        <v>9</v>
      </c>
      <c r="AU3" s="126" t="n">
        <v>0</v>
      </c>
      <c r="AV3" s="126" t="n">
        <v>0</v>
      </c>
      <c r="AW3" s="126" t="n">
        <v>0</v>
      </c>
      <c r="AX3" s="126" t="n">
        <v>0</v>
      </c>
      <c r="AY3" s="126" t="n">
        <v>0</v>
      </c>
      <c r="AZ3" s="126" t="n">
        <v>0</v>
      </c>
      <c r="BA3" s="126" t="n">
        <v>0</v>
      </c>
    </row>
    <row r="4">
      <c r="A4" s="126" t="n">
        <v>9901</v>
      </c>
      <c r="B4" t="inlineStr">
        <is>
          <t>Demo Ontwikkeling BV</t>
        </is>
      </c>
      <c r="C4" t="inlineStr">
        <is>
          <t>100,00</t>
        </is>
      </c>
      <c r="D4" t="inlineStr">
        <is>
          <t>08</t>
        </is>
      </c>
      <c r="E4" t="inlineStr">
        <is>
          <t>Opstalontwikkeling</t>
        </is>
      </c>
      <c r="F4" t="inlineStr">
        <is>
          <t>9090</t>
        </is>
      </c>
      <c r="G4" t="inlineStr">
        <is>
          <t>Demo Regio</t>
        </is>
      </c>
      <c r="H4" t="inlineStr">
        <is>
          <t>G.900003</t>
        </is>
      </c>
      <c r="I4" t="inlineStr">
        <is>
          <t>Veldendam, Stationshof</t>
        </is>
      </c>
      <c r="J4" t="inlineStr">
        <is>
          <t>G.900003.8.9090</t>
        </is>
      </c>
      <c r="K4" t="inlineStr">
        <is>
          <t>Veldendam, Stationshof</t>
        </is>
      </c>
      <c r="L4" t="inlineStr">
        <is>
          <t>060</t>
        </is>
      </c>
      <c r="M4" s="128" t="n">
        <v>45931</v>
      </c>
      <c r="N4" s="128" t="n">
        <v>46082</v>
      </c>
      <c r="O4" s="128" t="n">
        <v>47088</v>
      </c>
      <c r="P4" s="126" t="n">
        <v>76</v>
      </c>
      <c r="Q4" s="126" t="n">
        <v>15</v>
      </c>
      <c r="R4" s="126" t="n">
        <v>0</v>
      </c>
      <c r="S4" s="126" t="n">
        <v>15</v>
      </c>
      <c r="T4" s="126" t="n">
        <v>9</v>
      </c>
      <c r="U4" s="126" t="n">
        <v>0</v>
      </c>
      <c r="V4" s="126" t="n">
        <v>9</v>
      </c>
      <c r="W4" s="126" t="n">
        <v>24</v>
      </c>
      <c r="X4" s="126" t="n">
        <v>0</v>
      </c>
      <c r="Y4" s="126" t="n">
        <v>24</v>
      </c>
      <c r="Z4" s="126" t="n">
        <v>52</v>
      </c>
      <c r="AA4" s="126" t="n">
        <v>0</v>
      </c>
      <c r="AB4" s="126" t="n">
        <v>0</v>
      </c>
      <c r="AC4" s="126" t="n">
        <v>1</v>
      </c>
      <c r="AD4" s="126" t="n">
        <v>1</v>
      </c>
      <c r="AE4" s="126" t="n">
        <v>2</v>
      </c>
      <c r="AF4" s="126" t="n">
        <v>1</v>
      </c>
      <c r="AG4" s="126" t="n">
        <v>1</v>
      </c>
      <c r="AH4" s="126" t="n">
        <v>2</v>
      </c>
      <c r="AI4" s="126" t="n">
        <v>1</v>
      </c>
      <c r="AJ4" s="126" t="n">
        <v>0</v>
      </c>
      <c r="AK4" s="126" t="n">
        <v>0</v>
      </c>
      <c r="AL4" s="126" t="n">
        <v>11</v>
      </c>
      <c r="AM4" s="126" t="n">
        <v>8</v>
      </c>
      <c r="AN4" s="126" t="n">
        <v>6</v>
      </c>
      <c r="AO4" s="126" t="n">
        <v>6</v>
      </c>
      <c r="AP4" s="126" t="n">
        <v>7</v>
      </c>
      <c r="AQ4" s="126" t="n">
        <v>20</v>
      </c>
      <c r="AR4" s="126" t="n">
        <v>27</v>
      </c>
      <c r="AS4" s="126" t="n">
        <v>0</v>
      </c>
      <c r="AT4" s="126" t="n">
        <v>14</v>
      </c>
      <c r="AU4" s="126" t="n">
        <v>0</v>
      </c>
      <c r="AV4" s="126" t="n">
        <v>0</v>
      </c>
      <c r="AW4" s="126" t="n">
        <v>0</v>
      </c>
      <c r="AX4" s="126" t="n">
        <v>0</v>
      </c>
      <c r="AY4" s="126" t="n">
        <v>0</v>
      </c>
      <c r="AZ4" s="126" t="n">
        <v>0</v>
      </c>
      <c r="BA4" s="126" t="n">
        <v>0</v>
      </c>
    </row>
    <row r="5">
      <c r="A5" s="126" t="n">
        <v>9902</v>
      </c>
      <c r="B5" t="inlineStr">
        <is>
          <t>Demo Gebiedscombinatie BV</t>
        </is>
      </c>
      <c r="C5" t="inlineStr">
        <is>
          <t>50,00</t>
        </is>
      </c>
      <c r="D5" t="inlineStr">
        <is>
          <t>08</t>
        </is>
      </c>
      <c r="E5" t="inlineStr">
        <is>
          <t>Opstalontwikkeling</t>
        </is>
      </c>
      <c r="F5" t="inlineStr">
        <is>
          <t>9090</t>
        </is>
      </c>
      <c r="G5" t="inlineStr">
        <is>
          <t>Demo Regio</t>
        </is>
      </c>
      <c r="H5" t="inlineStr">
        <is>
          <t>G.900004</t>
        </is>
      </c>
      <c r="I5" t="inlineStr">
        <is>
          <t>Meerhovenstad, Het Kompas</t>
        </is>
      </c>
      <c r="J5" t="inlineStr">
        <is>
          <t>G.900004.8.9090</t>
        </is>
      </c>
      <c r="K5" t="inlineStr">
        <is>
          <t>Meerhovenstad, Het Kompas</t>
        </is>
      </c>
      <c r="L5" t="inlineStr">
        <is>
          <t>040</t>
        </is>
      </c>
      <c r="M5" s="128" t="n">
        <v>45931</v>
      </c>
      <c r="N5" s="128" t="n">
        <v>46113</v>
      </c>
      <c r="O5" s="128" t="n">
        <v>47088</v>
      </c>
      <c r="P5" s="126" t="n">
        <v>24</v>
      </c>
      <c r="Q5" s="126" t="n">
        <v>0</v>
      </c>
      <c r="R5" s="126" t="n">
        <v>4</v>
      </c>
      <c r="S5" s="126" t="n">
        <v>4</v>
      </c>
      <c r="T5" s="126" t="n">
        <v>0</v>
      </c>
      <c r="U5" s="126" t="n">
        <v>0</v>
      </c>
      <c r="V5" s="126" t="n">
        <v>0</v>
      </c>
      <c r="W5" s="126" t="n">
        <v>0</v>
      </c>
      <c r="X5" s="126" t="n">
        <v>4</v>
      </c>
      <c r="Y5" s="126" t="n">
        <v>4</v>
      </c>
      <c r="Z5" s="126" t="n">
        <v>20</v>
      </c>
      <c r="AA5" s="126" t="n">
        <v>0</v>
      </c>
      <c r="AB5" s="126" t="n">
        <v>0</v>
      </c>
      <c r="AC5" s="126" t="n">
        <v>0</v>
      </c>
      <c r="AD5" s="126" t="n">
        <v>0</v>
      </c>
      <c r="AE5" s="126" t="n">
        <v>0</v>
      </c>
      <c r="AF5" s="126" t="n">
        <v>0</v>
      </c>
      <c r="AG5" s="126" t="n">
        <v>0</v>
      </c>
      <c r="AH5" s="126" t="n">
        <v>0</v>
      </c>
      <c r="AI5" s="126" t="n">
        <v>0</v>
      </c>
      <c r="AJ5" s="126" t="n">
        <v>0</v>
      </c>
      <c r="AK5" s="126" t="n">
        <v>0</v>
      </c>
      <c r="AL5" s="126" t="n">
        <v>6</v>
      </c>
      <c r="AM5" s="126" t="n">
        <v>2</v>
      </c>
      <c r="AN5" s="126" t="n">
        <v>2</v>
      </c>
      <c r="AO5" s="126" t="n">
        <v>2</v>
      </c>
      <c r="AP5" s="126" t="n">
        <v>3</v>
      </c>
      <c r="AQ5" s="126" t="n">
        <v>6</v>
      </c>
      <c r="AR5" s="126" t="n">
        <v>9</v>
      </c>
      <c r="AS5" s="126" t="n">
        <v>0</v>
      </c>
      <c r="AT5" s="126" t="n">
        <v>5</v>
      </c>
      <c r="AU5" s="126" t="n">
        <v>0</v>
      </c>
      <c r="AV5" s="126" t="n">
        <v>0</v>
      </c>
      <c r="AW5" s="126" t="n">
        <v>0</v>
      </c>
      <c r="AX5" s="126" t="n">
        <v>0</v>
      </c>
      <c r="AY5" s="126" t="n">
        <v>0</v>
      </c>
      <c r="AZ5" s="126" t="n">
        <v>0</v>
      </c>
      <c r="BA5" s="126" t="n">
        <v>0</v>
      </c>
    </row>
    <row r="6">
      <c r="A6" s="126" t="n">
        <v>9901</v>
      </c>
      <c r="B6" t="inlineStr">
        <is>
          <t>Demo Ontwikkeling BV</t>
        </is>
      </c>
      <c r="C6" t="inlineStr">
        <is>
          <t>100,00</t>
        </is>
      </c>
      <c r="D6" t="inlineStr">
        <is>
          <t>08</t>
        </is>
      </c>
      <c r="E6" t="inlineStr">
        <is>
          <t>Opstalontwikkeling</t>
        </is>
      </c>
      <c r="F6" t="inlineStr">
        <is>
          <t>9090</t>
        </is>
      </c>
      <c r="G6" t="inlineStr">
        <is>
          <t>Demo Regio</t>
        </is>
      </c>
      <c r="H6" t="inlineStr">
        <is>
          <t>G.900005</t>
        </is>
      </c>
      <c r="I6" t="inlineStr">
        <is>
          <t>Zilverdam, Kadezicht</t>
        </is>
      </c>
      <c r="J6" t="inlineStr">
        <is>
          <t>G.900005.8.9090</t>
        </is>
      </c>
      <c r="K6" t="inlineStr">
        <is>
          <t>Zilverdam, Kadezicht</t>
        </is>
      </c>
      <c r="L6" t="inlineStr">
        <is>
          <t>020</t>
        </is>
      </c>
      <c r="M6" s="128" t="n">
        <v>45931</v>
      </c>
      <c r="N6" s="128" t="n">
        <v>46143</v>
      </c>
      <c r="O6" s="128" t="n">
        <v>47088</v>
      </c>
      <c r="P6" s="126" t="n">
        <v>120</v>
      </c>
      <c r="Q6" s="126" t="n">
        <v>24</v>
      </c>
      <c r="R6" s="126" t="n">
        <v>0</v>
      </c>
      <c r="S6" s="126" t="n">
        <v>24</v>
      </c>
      <c r="T6" s="126" t="n">
        <v>20</v>
      </c>
      <c r="U6" s="126" t="n">
        <v>0</v>
      </c>
      <c r="V6" s="126" t="n">
        <v>20</v>
      </c>
      <c r="W6" s="126" t="n">
        <v>44</v>
      </c>
      <c r="X6" s="126" t="n">
        <v>0</v>
      </c>
      <c r="Y6" s="126" t="n">
        <v>44</v>
      </c>
      <c r="Z6" s="126" t="n">
        <v>76</v>
      </c>
      <c r="AA6" s="126" t="n">
        <v>1</v>
      </c>
      <c r="AB6" s="126" t="n">
        <v>1</v>
      </c>
      <c r="AC6" s="126" t="n">
        <v>2</v>
      </c>
      <c r="AD6" s="126" t="n">
        <v>2</v>
      </c>
      <c r="AE6" s="126" t="n">
        <v>4</v>
      </c>
      <c r="AF6" s="126" t="n">
        <v>2</v>
      </c>
      <c r="AG6" s="126" t="n">
        <v>2</v>
      </c>
      <c r="AH6" s="126" t="n">
        <v>4</v>
      </c>
      <c r="AI6" s="126" t="n">
        <v>2</v>
      </c>
      <c r="AJ6" s="126" t="n">
        <v>1</v>
      </c>
      <c r="AK6" s="126" t="n">
        <v>1</v>
      </c>
      <c r="AL6" s="126" t="n">
        <v>10</v>
      </c>
      <c r="AM6" s="126" t="n">
        <v>12</v>
      </c>
      <c r="AN6" s="126" t="n">
        <v>10</v>
      </c>
      <c r="AO6" s="126" t="n">
        <v>10</v>
      </c>
      <c r="AP6" s="126" t="n">
        <v>10</v>
      </c>
      <c r="AQ6" s="126" t="n">
        <v>32</v>
      </c>
      <c r="AR6" s="126" t="n">
        <v>42</v>
      </c>
      <c r="AS6" s="126" t="n">
        <v>0</v>
      </c>
      <c r="AT6" s="126" t="n">
        <v>22</v>
      </c>
      <c r="AU6" s="126" t="n">
        <v>0</v>
      </c>
      <c r="AV6" s="126" t="n">
        <v>0</v>
      </c>
      <c r="AW6" s="126" t="n">
        <v>0</v>
      </c>
      <c r="AX6" s="126" t="n">
        <v>0</v>
      </c>
      <c r="AY6" s="126" t="n">
        <v>0</v>
      </c>
      <c r="AZ6" s="126" t="n">
        <v>0</v>
      </c>
      <c r="BA6" s="126" t="n">
        <v>0</v>
      </c>
    </row>
    <row r="7">
      <c r="A7" s="126" t="n">
        <v>9901</v>
      </c>
      <c r="B7" t="inlineStr">
        <is>
          <t>Demo Ontwikkeling BV</t>
        </is>
      </c>
      <c r="C7" t="inlineStr">
        <is>
          <t>100,00</t>
        </is>
      </c>
      <c r="D7" t="inlineStr">
        <is>
          <t>08</t>
        </is>
      </c>
      <c r="E7" t="inlineStr">
        <is>
          <t>Opstalontwikkeling</t>
        </is>
      </c>
      <c r="F7" t="inlineStr">
        <is>
          <t>9090</t>
        </is>
      </c>
      <c r="G7" t="inlineStr">
        <is>
          <t>Demo Regio</t>
        </is>
      </c>
      <c r="H7" t="inlineStr">
        <is>
          <t>G.900006</t>
        </is>
      </c>
      <c r="I7" t="inlineStr">
        <is>
          <t>Boswaard, De Eiken</t>
        </is>
      </c>
      <c r="J7" t="inlineStr">
        <is>
          <t>G.900006.8.9090</t>
        </is>
      </c>
      <c r="K7" t="inlineStr">
        <is>
          <t>Boswaard, De Eiken</t>
        </is>
      </c>
      <c r="L7" t="inlineStr">
        <is>
          <t>100</t>
        </is>
      </c>
      <c r="M7" s="128" t="n">
        <v>45931</v>
      </c>
      <c r="N7" s="128" t="n">
        <v>46174</v>
      </c>
      <c r="O7" s="128" t="n">
        <v>47088</v>
      </c>
      <c r="P7" s="126" t="n">
        <v>36</v>
      </c>
      <c r="Q7" s="126" t="n">
        <v>0</v>
      </c>
      <c r="R7" s="126" t="n">
        <v>7</v>
      </c>
      <c r="S7" s="126" t="n">
        <v>7</v>
      </c>
      <c r="T7" s="126" t="n">
        <v>0</v>
      </c>
      <c r="U7" s="126" t="n">
        <v>2</v>
      </c>
      <c r="V7" s="126" t="n">
        <v>2</v>
      </c>
      <c r="W7" s="126" t="n">
        <v>0</v>
      </c>
      <c r="X7" s="126" t="n">
        <v>9</v>
      </c>
      <c r="Y7" s="126" t="n">
        <v>9</v>
      </c>
      <c r="Z7" s="126" t="n">
        <v>27</v>
      </c>
      <c r="AA7" s="126" t="n">
        <v>0</v>
      </c>
      <c r="AB7" s="126" t="n">
        <v>0</v>
      </c>
      <c r="AC7" s="126" t="n">
        <v>0</v>
      </c>
      <c r="AD7" s="126" t="n">
        <v>0</v>
      </c>
      <c r="AE7" s="126" t="n">
        <v>1</v>
      </c>
      <c r="AF7" s="126" t="n">
        <v>0</v>
      </c>
      <c r="AG7" s="126" t="n">
        <v>0</v>
      </c>
      <c r="AH7" s="126" t="n">
        <v>1</v>
      </c>
      <c r="AI7" s="126" t="n">
        <v>0</v>
      </c>
      <c r="AJ7" s="126" t="n">
        <v>0</v>
      </c>
      <c r="AK7" s="126" t="n">
        <v>0</v>
      </c>
      <c r="AL7" s="126" t="n">
        <v>7</v>
      </c>
      <c r="AM7" s="126" t="n">
        <v>3</v>
      </c>
      <c r="AN7" s="126" t="n">
        <v>3</v>
      </c>
      <c r="AO7" s="126" t="n">
        <v>3</v>
      </c>
      <c r="AP7" s="126" t="n">
        <v>4</v>
      </c>
      <c r="AQ7" s="126" t="n">
        <v>9</v>
      </c>
      <c r="AR7" s="126" t="n">
        <v>13</v>
      </c>
      <c r="AS7" s="126" t="n">
        <v>0</v>
      </c>
      <c r="AT7" s="126" t="n">
        <v>7</v>
      </c>
      <c r="AU7" s="126" t="n">
        <v>0</v>
      </c>
      <c r="AV7" s="126" t="n">
        <v>0</v>
      </c>
      <c r="AW7" s="126" t="n">
        <v>0</v>
      </c>
      <c r="AX7" s="126" t="n">
        <v>0</v>
      </c>
      <c r="AY7" s="126" t="n">
        <v>0</v>
      </c>
      <c r="AZ7" s="126" t="n">
        <v>0</v>
      </c>
      <c r="BA7" s="126" t="n">
        <v>0</v>
      </c>
    </row>
    <row r="8">
      <c r="A8" s="126" t="n">
        <v>9901</v>
      </c>
      <c r="B8" t="inlineStr">
        <is>
          <t>Demo Ontwikkeling BV</t>
        </is>
      </c>
      <c r="C8" t="inlineStr">
        <is>
          <t>100,00</t>
        </is>
      </c>
      <c r="D8" t="inlineStr">
        <is>
          <t>08</t>
        </is>
      </c>
      <c r="E8" t="inlineStr">
        <is>
          <t>Opstalontwikkeling</t>
        </is>
      </c>
      <c r="F8" t="inlineStr">
        <is>
          <t>9090</t>
        </is>
      </c>
      <c r="G8" t="inlineStr">
        <is>
          <t>Demo Regio</t>
        </is>
      </c>
      <c r="H8" t="inlineStr">
        <is>
          <t>G.900007</t>
        </is>
      </c>
      <c r="I8" t="inlineStr">
        <is>
          <t>Rietdam, Havenkwartier</t>
        </is>
      </c>
      <c r="J8" t="inlineStr">
        <is>
          <t>G.900007.8.9090</t>
        </is>
      </c>
      <c r="K8" t="inlineStr">
        <is>
          <t>Rietdam, Havenkwartier</t>
        </is>
      </c>
      <c r="L8" t="inlineStr">
        <is>
          <t>080</t>
        </is>
      </c>
      <c r="M8" s="128" t="n">
        <v>45931</v>
      </c>
      <c r="N8" s="128" t="n">
        <v>46204</v>
      </c>
      <c r="O8" s="128" t="n">
        <v>47088</v>
      </c>
      <c r="P8" s="126" t="n">
        <v>64</v>
      </c>
      <c r="Q8" s="126" t="n">
        <v>0</v>
      </c>
      <c r="R8" s="126" t="n">
        <v>0</v>
      </c>
      <c r="S8" s="126" t="n">
        <v>0</v>
      </c>
      <c r="T8" s="126" t="n">
        <v>0</v>
      </c>
      <c r="U8" s="126" t="n">
        <v>9</v>
      </c>
      <c r="V8" s="126" t="n">
        <v>9</v>
      </c>
      <c r="W8" s="126" t="n">
        <v>0</v>
      </c>
      <c r="X8" s="126" t="n">
        <v>9</v>
      </c>
      <c r="Y8" s="126" t="n">
        <v>9</v>
      </c>
      <c r="Z8" s="126" t="n">
        <v>55</v>
      </c>
      <c r="AA8" s="126" t="n">
        <v>0</v>
      </c>
      <c r="AB8" s="126" t="n">
        <v>0</v>
      </c>
      <c r="AC8" s="126" t="n">
        <v>1</v>
      </c>
      <c r="AD8" s="126" t="n">
        <v>1</v>
      </c>
      <c r="AE8" s="126" t="n">
        <v>2</v>
      </c>
      <c r="AF8" s="126" t="n">
        <v>1</v>
      </c>
      <c r="AG8" s="126" t="n">
        <v>1</v>
      </c>
      <c r="AH8" s="126" t="n">
        <v>2</v>
      </c>
      <c r="AI8" s="126" t="n">
        <v>1</v>
      </c>
      <c r="AJ8" s="126" t="n">
        <v>0</v>
      </c>
      <c r="AK8" s="126" t="n">
        <v>0</v>
      </c>
      <c r="AL8" s="126" t="n">
        <v>12</v>
      </c>
      <c r="AM8" s="126" t="n">
        <v>8</v>
      </c>
      <c r="AN8" s="126" t="n">
        <v>7</v>
      </c>
      <c r="AO8" s="126" t="n">
        <v>7</v>
      </c>
      <c r="AP8" s="126" t="n">
        <v>6</v>
      </c>
      <c r="AQ8" s="126" t="n">
        <v>21</v>
      </c>
      <c r="AR8" s="126" t="n">
        <v>28</v>
      </c>
      <c r="AS8" s="126" t="n">
        <v>0</v>
      </c>
      <c r="AT8" s="126" t="n">
        <v>15</v>
      </c>
      <c r="AU8" s="126" t="n">
        <v>0</v>
      </c>
      <c r="AV8" s="126" t="n">
        <v>0</v>
      </c>
      <c r="AW8" s="126" t="n">
        <v>0</v>
      </c>
      <c r="AX8" s="126" t="n">
        <v>0</v>
      </c>
      <c r="AY8" s="126" t="n">
        <v>0</v>
      </c>
      <c r="AZ8" s="126" t="n">
        <v>0</v>
      </c>
      <c r="BA8" s="126" t="n">
        <v>0</v>
      </c>
    </row>
    <row r="9">
      <c r="A9" s="126" t="n">
        <v>9901</v>
      </c>
      <c r="B9" t="inlineStr">
        <is>
          <t>Demo Ontwikkeling BV</t>
        </is>
      </c>
      <c r="C9" t="inlineStr">
        <is>
          <t>100,00</t>
        </is>
      </c>
      <c r="D9" t="inlineStr">
        <is>
          <t>08</t>
        </is>
      </c>
      <c r="E9" t="inlineStr">
        <is>
          <t>Opstalontwikkeling</t>
        </is>
      </c>
      <c r="F9" t="inlineStr">
        <is>
          <t>9090</t>
        </is>
      </c>
      <c r="G9" t="inlineStr">
        <is>
          <t>Demo Regio</t>
        </is>
      </c>
      <c r="H9" t="inlineStr">
        <is>
          <t>G.900008</t>
        </is>
      </c>
      <c r="I9" t="inlineStr">
        <is>
          <t>Lindehaven, De Brink</t>
        </is>
      </c>
      <c r="J9" t="inlineStr">
        <is>
          <t>G.900008.8.9090</t>
        </is>
      </c>
      <c r="K9" t="inlineStr">
        <is>
          <t>Lindehaven, De Brink</t>
        </is>
      </c>
      <c r="L9" t="inlineStr">
        <is>
          <t>060</t>
        </is>
      </c>
      <c r="M9" s="128" t="n">
        <v>45931</v>
      </c>
      <c r="N9" s="128" t="n">
        <v>46235</v>
      </c>
      <c r="O9" s="128" t="n">
        <v>47088</v>
      </c>
      <c r="P9" s="126" t="n">
        <v>42</v>
      </c>
      <c r="Q9" s="126" t="n">
        <v>0</v>
      </c>
      <c r="R9" s="126" t="n">
        <v>0</v>
      </c>
      <c r="S9" s="126" t="n">
        <v>0</v>
      </c>
      <c r="T9" s="126" t="n">
        <v>0</v>
      </c>
      <c r="U9" s="126" t="n">
        <v>7</v>
      </c>
      <c r="V9" s="126" t="n">
        <v>7</v>
      </c>
      <c r="W9" s="126" t="n">
        <v>0</v>
      </c>
      <c r="X9" s="126" t="n">
        <v>7</v>
      </c>
      <c r="Y9" s="126" t="n">
        <v>7</v>
      </c>
      <c r="Z9" s="126" t="n">
        <v>35</v>
      </c>
      <c r="AA9" s="126" t="n">
        <v>0</v>
      </c>
      <c r="AB9" s="126" t="n">
        <v>0</v>
      </c>
      <c r="AC9" s="126" t="n">
        <v>1</v>
      </c>
      <c r="AD9" s="126" t="n">
        <v>1</v>
      </c>
      <c r="AE9" s="126" t="n">
        <v>1</v>
      </c>
      <c r="AF9" s="126" t="n">
        <v>1</v>
      </c>
      <c r="AG9" s="126" t="n">
        <v>1</v>
      </c>
      <c r="AH9" s="126" t="n">
        <v>1</v>
      </c>
      <c r="AI9" s="126" t="n">
        <v>1</v>
      </c>
      <c r="AJ9" s="126" t="n">
        <v>0</v>
      </c>
      <c r="AK9" s="126" t="n">
        <v>0</v>
      </c>
      <c r="AL9" s="126" t="n">
        <v>7</v>
      </c>
      <c r="AM9" s="126" t="n">
        <v>5</v>
      </c>
      <c r="AN9" s="126" t="n">
        <v>4</v>
      </c>
      <c r="AO9" s="126" t="n">
        <v>4</v>
      </c>
      <c r="AP9" s="126" t="n">
        <v>5</v>
      </c>
      <c r="AQ9" s="126" t="n">
        <v>14</v>
      </c>
      <c r="AR9" s="126" t="n">
        <v>18</v>
      </c>
      <c r="AS9" s="126" t="n">
        <v>0</v>
      </c>
      <c r="AT9" s="126" t="n">
        <v>10</v>
      </c>
      <c r="AU9" s="126" t="n">
        <v>0</v>
      </c>
      <c r="AV9" s="126" t="n">
        <v>0</v>
      </c>
      <c r="AW9" s="126" t="n">
        <v>0</v>
      </c>
      <c r="AX9" s="126" t="n">
        <v>0</v>
      </c>
      <c r="AY9" s="126" t="n">
        <v>0</v>
      </c>
      <c r="AZ9" s="126" t="n">
        <v>0</v>
      </c>
      <c r="BA9" s="126" t="n">
        <v>0</v>
      </c>
    </row>
    <row r="10">
      <c r="A10" s="126" t="n">
        <v>9901</v>
      </c>
      <c r="B10" t="inlineStr">
        <is>
          <t>Demo Ontwikkeling BV</t>
        </is>
      </c>
      <c r="C10" t="inlineStr">
        <is>
          <t>100,00</t>
        </is>
      </c>
      <c r="D10" t="inlineStr">
        <is>
          <t>08</t>
        </is>
      </c>
      <c r="E10" t="inlineStr">
        <is>
          <t>Opstalontwikkeling</t>
        </is>
      </c>
      <c r="F10" t="inlineStr">
        <is>
          <t>9090</t>
        </is>
      </c>
      <c r="G10" t="inlineStr">
        <is>
          <t>Demo Regio</t>
        </is>
      </c>
      <c r="H10" t="inlineStr">
        <is>
          <t>G.900009</t>
        </is>
      </c>
      <c r="I10" t="inlineStr">
        <is>
          <t>Duinwaard, Duinrand</t>
        </is>
      </c>
      <c r="J10" t="inlineStr">
        <is>
          <t>G.900009.8.9090</t>
        </is>
      </c>
      <c r="K10" t="inlineStr">
        <is>
          <t>Duinwaard, Duinrand</t>
        </is>
      </c>
      <c r="L10" t="inlineStr">
        <is>
          <t>040</t>
        </is>
      </c>
      <c r="M10" s="128" t="n">
        <v>45931</v>
      </c>
      <c r="N10" s="128" t="n">
        <v>46266</v>
      </c>
      <c r="O10" s="128" t="n">
        <v>47088</v>
      </c>
      <c r="P10" s="126" t="n">
        <v>88</v>
      </c>
      <c r="Q10" s="126" t="n">
        <v>0</v>
      </c>
      <c r="R10" s="126" t="n">
        <v>0</v>
      </c>
      <c r="S10" s="126" t="n">
        <v>0</v>
      </c>
      <c r="T10" s="126" t="n">
        <v>0</v>
      </c>
      <c r="U10" s="126" t="n">
        <v>18</v>
      </c>
      <c r="V10" s="126" t="n">
        <v>18</v>
      </c>
      <c r="W10" s="126" t="n">
        <v>0</v>
      </c>
      <c r="X10" s="126" t="n">
        <v>18</v>
      </c>
      <c r="Y10" s="126" t="n">
        <v>18</v>
      </c>
      <c r="Z10" s="126" t="n">
        <v>70</v>
      </c>
      <c r="AA10" s="126" t="n">
        <v>1</v>
      </c>
      <c r="AB10" s="126" t="n">
        <v>1</v>
      </c>
      <c r="AC10" s="126" t="n">
        <v>2</v>
      </c>
      <c r="AD10" s="126" t="n">
        <v>2</v>
      </c>
      <c r="AE10" s="126" t="n">
        <v>3</v>
      </c>
      <c r="AF10" s="126" t="n">
        <v>2</v>
      </c>
      <c r="AG10" s="126" t="n">
        <v>2</v>
      </c>
      <c r="AH10" s="126" t="n">
        <v>3</v>
      </c>
      <c r="AI10" s="126" t="n">
        <v>2</v>
      </c>
      <c r="AJ10" s="126" t="n">
        <v>1</v>
      </c>
      <c r="AK10" s="126" t="n">
        <v>1</v>
      </c>
      <c r="AL10" s="126" t="n">
        <v>9</v>
      </c>
      <c r="AM10" s="126" t="n">
        <v>11</v>
      </c>
      <c r="AN10" s="126" t="n">
        <v>9</v>
      </c>
      <c r="AO10" s="126" t="n">
        <v>9</v>
      </c>
      <c r="AP10" s="126" t="n">
        <v>10</v>
      </c>
      <c r="AQ10" s="126" t="n">
        <v>29</v>
      </c>
      <c r="AR10" s="126" t="n">
        <v>39</v>
      </c>
      <c r="AS10" s="126" t="n">
        <v>0</v>
      </c>
      <c r="AT10" s="126" t="n">
        <v>20</v>
      </c>
      <c r="AU10" s="126" t="n">
        <v>0</v>
      </c>
      <c r="AV10" s="126" t="n">
        <v>0</v>
      </c>
      <c r="AW10" s="126" t="n">
        <v>0</v>
      </c>
      <c r="AX10" s="126" t="n">
        <v>0</v>
      </c>
      <c r="AY10" s="126" t="n">
        <v>0</v>
      </c>
      <c r="AZ10" s="126" t="n">
        <v>0</v>
      </c>
      <c r="BA10" s="126" t="n">
        <v>0</v>
      </c>
    </row>
    <row r="11">
      <c r="A11" s="126" t="n">
        <v>9901</v>
      </c>
      <c r="B11" t="inlineStr">
        <is>
          <t>Demo Ontwikkeling BV</t>
        </is>
      </c>
      <c r="C11" t="inlineStr">
        <is>
          <t>100,00</t>
        </is>
      </c>
      <c r="D11" t="inlineStr">
        <is>
          <t>08</t>
        </is>
      </c>
      <c r="E11" t="inlineStr">
        <is>
          <t>Opstalontwikkeling</t>
        </is>
      </c>
      <c r="F11" t="inlineStr">
        <is>
          <t>9090</t>
        </is>
      </c>
      <c r="G11" t="inlineStr">
        <is>
          <t>Demo Regio</t>
        </is>
      </c>
      <c r="H11" t="inlineStr">
        <is>
          <t>G.900010</t>
        </is>
      </c>
      <c r="I11" t="inlineStr">
        <is>
          <t>Veldendam, Groene Singel</t>
        </is>
      </c>
      <c r="J11" t="inlineStr">
        <is>
          <t>G.900010.8.9090</t>
        </is>
      </c>
      <c r="K11" t="inlineStr">
        <is>
          <t>Veldendam, Groene Singel</t>
        </is>
      </c>
      <c r="L11" t="inlineStr">
        <is>
          <t>020</t>
        </is>
      </c>
      <c r="M11" s="128" t="n">
        <v>45931</v>
      </c>
      <c r="N11" s="128" t="n">
        <v>46023</v>
      </c>
      <c r="O11" s="128" t="n">
        <v>47088</v>
      </c>
      <c r="P11" s="126" t="n">
        <v>54</v>
      </c>
      <c r="Q11" s="126" t="n">
        <v>0</v>
      </c>
      <c r="R11" s="126" t="n">
        <v>0</v>
      </c>
      <c r="S11" s="126" t="n">
        <v>0</v>
      </c>
      <c r="T11" s="126" t="n">
        <v>0</v>
      </c>
      <c r="U11" s="126" t="n">
        <v>9</v>
      </c>
      <c r="V11" s="126" t="n">
        <v>9</v>
      </c>
      <c r="W11" s="126" t="n">
        <v>0</v>
      </c>
      <c r="X11" s="126" t="n">
        <v>9</v>
      </c>
      <c r="Y11" s="126" t="n">
        <v>9</v>
      </c>
      <c r="Z11" s="126" t="n">
        <v>45</v>
      </c>
      <c r="AA11" s="126" t="n">
        <v>0</v>
      </c>
      <c r="AB11" s="126" t="n">
        <v>0</v>
      </c>
      <c r="AC11" s="126" t="n">
        <v>1</v>
      </c>
      <c r="AD11" s="126" t="n">
        <v>1</v>
      </c>
      <c r="AE11" s="126" t="n">
        <v>2</v>
      </c>
      <c r="AF11" s="126" t="n">
        <v>1</v>
      </c>
      <c r="AG11" s="126" t="n">
        <v>1</v>
      </c>
      <c r="AH11" s="126" t="n">
        <v>2</v>
      </c>
      <c r="AI11" s="126" t="n">
        <v>1</v>
      </c>
      <c r="AJ11" s="126" t="n">
        <v>0</v>
      </c>
      <c r="AK11" s="126" t="n">
        <v>0</v>
      </c>
      <c r="AL11" s="126" t="n">
        <v>9</v>
      </c>
      <c r="AM11" s="126" t="n">
        <v>7</v>
      </c>
      <c r="AN11" s="126" t="n">
        <v>6</v>
      </c>
      <c r="AO11" s="126" t="n">
        <v>6</v>
      </c>
      <c r="AP11" s="126" t="n">
        <v>5</v>
      </c>
      <c r="AQ11" s="126" t="n">
        <v>18</v>
      </c>
      <c r="AR11" s="126" t="n">
        <v>24</v>
      </c>
      <c r="AS11" s="126" t="n">
        <v>0</v>
      </c>
      <c r="AT11" s="126" t="n">
        <v>12</v>
      </c>
      <c r="AU11" s="126" t="n">
        <v>0</v>
      </c>
      <c r="AV11" s="126" t="n">
        <v>0</v>
      </c>
      <c r="AW11" s="126" t="n">
        <v>0</v>
      </c>
      <c r="AX11" s="126" t="n">
        <v>0</v>
      </c>
      <c r="AY11" s="126" t="n">
        <v>0</v>
      </c>
      <c r="AZ11" s="126" t="n">
        <v>0</v>
      </c>
      <c r="BA11" s="126" t="n">
        <v>0</v>
      </c>
    </row>
    <row r="12">
      <c r="A12" s="126" t="n">
        <v>9901</v>
      </c>
      <c r="B12" t="inlineStr">
        <is>
          <t>Demo Ontwikkeling BV</t>
        </is>
      </c>
      <c r="C12" t="inlineStr">
        <is>
          <t>100,00</t>
        </is>
      </c>
      <c r="D12" t="inlineStr">
        <is>
          <t>08</t>
        </is>
      </c>
      <c r="E12" t="inlineStr">
        <is>
          <t>Opstalontwikkeling</t>
        </is>
      </c>
      <c r="F12" t="inlineStr">
        <is>
          <t>9090</t>
        </is>
      </c>
      <c r="G12" t="inlineStr">
        <is>
          <t>Demo Regio</t>
        </is>
      </c>
      <c r="H12" t="inlineStr">
        <is>
          <t>G.900011</t>
        </is>
      </c>
      <c r="I12" t="inlineStr">
        <is>
          <t>Meerhovenstad, Hofstaete</t>
        </is>
      </c>
      <c r="J12" t="inlineStr">
        <is>
          <t>G.900011.8.9090</t>
        </is>
      </c>
      <c r="K12" t="inlineStr">
        <is>
          <t>Meerhovenstad, Hofstaete</t>
        </is>
      </c>
      <c r="L12" t="inlineStr">
        <is>
          <t>100</t>
        </is>
      </c>
      <c r="M12" s="128" t="n">
        <v>45931</v>
      </c>
      <c r="N12" s="128" t="n">
        <v>46419</v>
      </c>
      <c r="O12" s="128" t="n">
        <v>47453</v>
      </c>
      <c r="P12" s="126" t="n">
        <v>96</v>
      </c>
      <c r="Q12" s="126" t="n">
        <v>0</v>
      </c>
      <c r="R12" s="126" t="n">
        <v>0</v>
      </c>
      <c r="S12" s="126" t="n">
        <v>0</v>
      </c>
      <c r="T12" s="126" t="n">
        <v>20</v>
      </c>
      <c r="U12" s="126" t="n">
        <v>0</v>
      </c>
      <c r="V12" s="126" t="n">
        <v>20</v>
      </c>
      <c r="W12" s="126" t="n">
        <v>20</v>
      </c>
      <c r="X12" s="126" t="n">
        <v>0</v>
      </c>
      <c r="Y12" s="126" t="n">
        <v>20</v>
      </c>
      <c r="Z12" s="126" t="n">
        <v>76</v>
      </c>
      <c r="AA12" s="126" t="n">
        <v>1</v>
      </c>
      <c r="AB12" s="126" t="n">
        <v>1</v>
      </c>
      <c r="AC12" s="126" t="n">
        <v>2</v>
      </c>
      <c r="AD12" s="126" t="n">
        <v>2</v>
      </c>
      <c r="AE12" s="126" t="n">
        <v>4</v>
      </c>
      <c r="AF12" s="126" t="n">
        <v>2</v>
      </c>
      <c r="AG12" s="126" t="n">
        <v>2</v>
      </c>
      <c r="AH12" s="126" t="n">
        <v>4</v>
      </c>
      <c r="AI12" s="126" t="n">
        <v>2</v>
      </c>
      <c r="AJ12" s="126" t="n">
        <v>1</v>
      </c>
      <c r="AK12" s="126" t="n">
        <v>1</v>
      </c>
      <c r="AL12" s="126" t="n">
        <v>10</v>
      </c>
      <c r="AM12" s="126" t="n">
        <v>12</v>
      </c>
      <c r="AN12" s="126" t="n">
        <v>10</v>
      </c>
      <c r="AO12" s="126" t="n">
        <v>10</v>
      </c>
      <c r="AP12" s="126" t="n">
        <v>10</v>
      </c>
      <c r="AQ12" s="126" t="n">
        <v>32</v>
      </c>
      <c r="AR12" s="126" t="n">
        <v>42</v>
      </c>
      <c r="AS12" s="126" t="n">
        <v>0</v>
      </c>
      <c r="AT12" s="126" t="n">
        <v>22</v>
      </c>
      <c r="AU12" s="126" t="n">
        <v>0</v>
      </c>
      <c r="AV12" s="126" t="n">
        <v>0</v>
      </c>
      <c r="AW12" s="126" t="n">
        <v>0</v>
      </c>
      <c r="AX12" s="126" t="n">
        <v>0</v>
      </c>
      <c r="AY12" s="126" t="n">
        <v>0</v>
      </c>
      <c r="AZ12" s="126" t="n">
        <v>0</v>
      </c>
      <c r="BA12" s="126" t="n">
        <v>0</v>
      </c>
    </row>
    <row r="13">
      <c r="A13" s="126" t="n">
        <v>9902</v>
      </c>
      <c r="B13" t="inlineStr">
        <is>
          <t>Demo Gebiedscombinatie BV</t>
        </is>
      </c>
      <c r="C13" t="inlineStr">
        <is>
          <t>50,00</t>
        </is>
      </c>
      <c r="D13" t="inlineStr">
        <is>
          <t>08</t>
        </is>
      </c>
      <c r="E13" t="inlineStr">
        <is>
          <t>Opstalontwikkeling</t>
        </is>
      </c>
      <c r="F13" t="inlineStr">
        <is>
          <t>9090</t>
        </is>
      </c>
      <c r="G13" t="inlineStr">
        <is>
          <t>Demo Regio</t>
        </is>
      </c>
      <c r="H13" t="inlineStr">
        <is>
          <t>G.900012</t>
        </is>
      </c>
      <c r="I13" t="inlineStr">
        <is>
          <t>Zilverdam, De Werf</t>
        </is>
      </c>
      <c r="J13" t="inlineStr">
        <is>
          <t>G.900012.8.9090</t>
        </is>
      </c>
      <c r="K13" t="inlineStr">
        <is>
          <t>Zilverdam, De Werf</t>
        </is>
      </c>
      <c r="L13" t="inlineStr">
        <is>
          <t>080</t>
        </is>
      </c>
      <c r="M13" s="128" t="n">
        <v>45931</v>
      </c>
      <c r="N13" s="128" t="n">
        <v>46447</v>
      </c>
      <c r="O13" s="128" t="n">
        <v>47453</v>
      </c>
      <c r="P13" s="126" t="n">
        <v>28</v>
      </c>
      <c r="Q13" s="126" t="n">
        <v>0</v>
      </c>
      <c r="R13" s="126" t="n">
        <v>0</v>
      </c>
      <c r="S13" s="126" t="n">
        <v>0</v>
      </c>
      <c r="T13" s="126" t="n">
        <v>0</v>
      </c>
      <c r="U13" s="126" t="n">
        <v>2</v>
      </c>
      <c r="V13" s="126" t="n">
        <v>2</v>
      </c>
      <c r="W13" s="126" t="n">
        <v>0</v>
      </c>
      <c r="X13" s="126" t="n">
        <v>2</v>
      </c>
      <c r="Y13" s="126" t="n">
        <v>2</v>
      </c>
      <c r="Z13" s="126" t="n">
        <v>26</v>
      </c>
      <c r="AA13" s="126" t="n">
        <v>0</v>
      </c>
      <c r="AB13" s="126" t="n">
        <v>0</v>
      </c>
      <c r="AC13" s="126" t="n">
        <v>0</v>
      </c>
      <c r="AD13" s="126" t="n">
        <v>0</v>
      </c>
      <c r="AE13" s="126" t="n">
        <v>1</v>
      </c>
      <c r="AF13" s="126" t="n">
        <v>0</v>
      </c>
      <c r="AG13" s="126" t="n">
        <v>0</v>
      </c>
      <c r="AH13" s="126" t="n">
        <v>1</v>
      </c>
      <c r="AI13" s="126" t="n">
        <v>0</v>
      </c>
      <c r="AJ13" s="126" t="n">
        <v>0</v>
      </c>
      <c r="AK13" s="126" t="n">
        <v>0</v>
      </c>
      <c r="AL13" s="126" t="n">
        <v>7</v>
      </c>
      <c r="AM13" s="126" t="n">
        <v>3</v>
      </c>
      <c r="AN13" s="126" t="n">
        <v>3</v>
      </c>
      <c r="AO13" s="126" t="n">
        <v>3</v>
      </c>
      <c r="AP13" s="126" t="n">
        <v>3</v>
      </c>
      <c r="AQ13" s="126" t="n">
        <v>9</v>
      </c>
      <c r="AR13" s="126" t="n">
        <v>12</v>
      </c>
      <c r="AS13" s="126" t="n">
        <v>0</v>
      </c>
      <c r="AT13" s="126" t="n">
        <v>7</v>
      </c>
      <c r="AU13" s="126" t="n">
        <v>0</v>
      </c>
      <c r="AV13" s="126" t="n">
        <v>0</v>
      </c>
      <c r="AW13" s="126" t="n">
        <v>0</v>
      </c>
      <c r="AX13" s="126" t="n">
        <v>0</v>
      </c>
      <c r="AY13" s="126" t="n">
        <v>0</v>
      </c>
      <c r="AZ13" s="126" t="n">
        <v>0</v>
      </c>
      <c r="BA13" s="126" t="n">
        <v>0</v>
      </c>
    </row>
    <row r="14">
      <c r="A14" s="126" t="n">
        <v>9901</v>
      </c>
      <c r="B14" t="inlineStr">
        <is>
          <t>Demo Ontwikkeling BV</t>
        </is>
      </c>
      <c r="C14" t="inlineStr">
        <is>
          <t>100,00</t>
        </is>
      </c>
      <c r="D14" t="inlineStr">
        <is>
          <t>08</t>
        </is>
      </c>
      <c r="E14" t="inlineStr">
        <is>
          <t>Opstalontwikkeling</t>
        </is>
      </c>
      <c r="F14" t="inlineStr">
        <is>
          <t>9090</t>
        </is>
      </c>
      <c r="G14" t="inlineStr">
        <is>
          <t>Demo Regio</t>
        </is>
      </c>
      <c r="H14" t="inlineStr">
        <is>
          <t>G.900013</t>
        </is>
      </c>
      <c r="I14" t="inlineStr">
        <is>
          <t>Boswaard, Boskamers</t>
        </is>
      </c>
      <c r="J14" t="inlineStr">
        <is>
          <t>G.900013.8.9090</t>
        </is>
      </c>
      <c r="K14" t="inlineStr">
        <is>
          <t>Boswaard, Boskamers</t>
        </is>
      </c>
      <c r="L14" t="inlineStr">
        <is>
          <t>060</t>
        </is>
      </c>
      <c r="M14" s="128" t="n">
        <v>45931</v>
      </c>
      <c r="N14" s="128" t="n">
        <v>46478</v>
      </c>
      <c r="O14" s="128" t="n">
        <v>47453</v>
      </c>
      <c r="P14" s="126" t="n">
        <v>60</v>
      </c>
      <c r="Q14" s="126" t="n">
        <v>0</v>
      </c>
      <c r="R14" s="126" t="n">
        <v>0</v>
      </c>
      <c r="S14" s="126" t="n">
        <v>0</v>
      </c>
      <c r="T14" s="126" t="n">
        <v>0</v>
      </c>
      <c r="U14" s="126" t="n">
        <v>9</v>
      </c>
      <c r="V14" s="126" t="n">
        <v>9</v>
      </c>
      <c r="W14" s="126" t="n">
        <v>0</v>
      </c>
      <c r="X14" s="126" t="n">
        <v>9</v>
      </c>
      <c r="Y14" s="126" t="n">
        <v>9</v>
      </c>
      <c r="Z14" s="126" t="n">
        <v>51</v>
      </c>
      <c r="AA14" s="126" t="n">
        <v>0</v>
      </c>
      <c r="AB14" s="126" t="n">
        <v>0</v>
      </c>
      <c r="AC14" s="126" t="n">
        <v>1</v>
      </c>
      <c r="AD14" s="126" t="n">
        <v>1</v>
      </c>
      <c r="AE14" s="126" t="n">
        <v>2</v>
      </c>
      <c r="AF14" s="126" t="n">
        <v>1</v>
      </c>
      <c r="AG14" s="126" t="n">
        <v>1</v>
      </c>
      <c r="AH14" s="126" t="n">
        <v>2</v>
      </c>
      <c r="AI14" s="126" t="n">
        <v>1</v>
      </c>
      <c r="AJ14" s="126" t="n">
        <v>0</v>
      </c>
      <c r="AK14" s="126" t="n">
        <v>0</v>
      </c>
      <c r="AL14" s="126" t="n">
        <v>11</v>
      </c>
      <c r="AM14" s="126" t="n">
        <v>7</v>
      </c>
      <c r="AN14" s="126" t="n">
        <v>6</v>
      </c>
      <c r="AO14" s="126" t="n">
        <v>6</v>
      </c>
      <c r="AP14" s="126" t="n">
        <v>7</v>
      </c>
      <c r="AQ14" s="126" t="n">
        <v>20</v>
      </c>
      <c r="AR14" s="126" t="n">
        <v>26</v>
      </c>
      <c r="AS14" s="126" t="n">
        <v>0</v>
      </c>
      <c r="AT14" s="126" t="n">
        <v>14</v>
      </c>
      <c r="AU14" s="126" t="n">
        <v>0</v>
      </c>
      <c r="AV14" s="126" t="n">
        <v>0</v>
      </c>
      <c r="AW14" s="126" t="n">
        <v>0</v>
      </c>
      <c r="AX14" s="126" t="n">
        <v>0</v>
      </c>
      <c r="AY14" s="126" t="n">
        <v>0</v>
      </c>
      <c r="AZ14" s="126" t="n">
        <v>0</v>
      </c>
      <c r="BA14" s="126" t="n">
        <v>0</v>
      </c>
    </row>
    <row r="15">
      <c r="A15" s="126" t="n">
        <v>9901</v>
      </c>
      <c r="B15" t="inlineStr">
        <is>
          <t>Demo Ontwikkeling BV</t>
        </is>
      </c>
      <c r="C15" t="inlineStr">
        <is>
          <t>100,00</t>
        </is>
      </c>
      <c r="D15" t="inlineStr">
        <is>
          <t>08</t>
        </is>
      </c>
      <c r="E15" t="inlineStr">
        <is>
          <t>Opstalontwikkeling</t>
        </is>
      </c>
      <c r="F15" t="inlineStr">
        <is>
          <t>9090</t>
        </is>
      </c>
      <c r="G15" t="inlineStr">
        <is>
          <t>Demo Regio</t>
        </is>
      </c>
      <c r="H15" t="inlineStr">
        <is>
          <t>G.900014</t>
        </is>
      </c>
      <c r="I15" t="inlineStr">
        <is>
          <t>Rietdam, Rietoevers</t>
        </is>
      </c>
      <c r="J15" t="inlineStr">
        <is>
          <t>G.900014.8.9090</t>
        </is>
      </c>
      <c r="K15" t="inlineStr">
        <is>
          <t>Rietdam, Rietoevers</t>
        </is>
      </c>
      <c r="L15" t="inlineStr">
        <is>
          <t>040</t>
        </is>
      </c>
      <c r="M15" s="128" t="n">
        <v>45931</v>
      </c>
      <c r="N15" s="128" t="n">
        <v>46508</v>
      </c>
      <c r="O15" s="128" t="n">
        <v>47453</v>
      </c>
      <c r="P15" s="126" t="n">
        <v>72</v>
      </c>
      <c r="Q15" s="126" t="n">
        <v>0</v>
      </c>
      <c r="R15" s="126" t="n">
        <v>0</v>
      </c>
      <c r="S15" s="126" t="n">
        <v>0</v>
      </c>
      <c r="T15" s="126" t="n">
        <v>0</v>
      </c>
      <c r="U15" s="126" t="n">
        <v>18</v>
      </c>
      <c r="V15" s="126" t="n">
        <v>18</v>
      </c>
      <c r="W15" s="126" t="n">
        <v>0</v>
      </c>
      <c r="X15" s="126" t="n">
        <v>18</v>
      </c>
      <c r="Y15" s="126" t="n">
        <v>18</v>
      </c>
      <c r="Z15" s="126" t="n">
        <v>54</v>
      </c>
      <c r="AA15" s="126" t="n">
        <v>1</v>
      </c>
      <c r="AB15" s="126" t="n">
        <v>1</v>
      </c>
      <c r="AC15" s="126" t="n">
        <v>2</v>
      </c>
      <c r="AD15" s="126" t="n">
        <v>2</v>
      </c>
      <c r="AE15" s="126" t="n">
        <v>3</v>
      </c>
      <c r="AF15" s="126" t="n">
        <v>2</v>
      </c>
      <c r="AG15" s="126" t="n">
        <v>2</v>
      </c>
      <c r="AH15" s="126" t="n">
        <v>3</v>
      </c>
      <c r="AI15" s="126" t="n">
        <v>2</v>
      </c>
      <c r="AJ15" s="126" t="n">
        <v>1</v>
      </c>
      <c r="AK15" s="126" t="n">
        <v>1</v>
      </c>
      <c r="AL15" s="126" t="n">
        <v>4</v>
      </c>
      <c r="AM15" s="126" t="n">
        <v>9</v>
      </c>
      <c r="AN15" s="126" t="n">
        <v>8</v>
      </c>
      <c r="AO15" s="126" t="n">
        <v>8</v>
      </c>
      <c r="AP15" s="126" t="n">
        <v>7</v>
      </c>
      <c r="AQ15" s="126" t="n">
        <v>24</v>
      </c>
      <c r="AR15" s="126" t="n">
        <v>32</v>
      </c>
      <c r="AS15" s="126" t="n">
        <v>0</v>
      </c>
      <c r="AT15" s="126" t="n">
        <v>16</v>
      </c>
      <c r="AU15" s="126" t="n">
        <v>0</v>
      </c>
      <c r="AV15" s="126" t="n">
        <v>0</v>
      </c>
      <c r="AW15" s="126" t="n">
        <v>0</v>
      </c>
      <c r="AX15" s="126" t="n">
        <v>0</v>
      </c>
      <c r="AY15" s="126" t="n">
        <v>0</v>
      </c>
      <c r="AZ15" s="126" t="n">
        <v>0</v>
      </c>
      <c r="BA15" s="126" t="n">
        <v>0</v>
      </c>
    </row>
    <row r="16">
      <c r="A16" s="126" t="n">
        <v>9901</v>
      </c>
      <c r="B16" t="inlineStr">
        <is>
          <t>Demo Ontwikkeling BV</t>
        </is>
      </c>
      <c r="C16" t="inlineStr">
        <is>
          <t>100,00</t>
        </is>
      </c>
      <c r="D16" t="inlineStr">
        <is>
          <t>08</t>
        </is>
      </c>
      <c r="E16" t="inlineStr">
        <is>
          <t>Opstalontwikkeling</t>
        </is>
      </c>
      <c r="F16" t="inlineStr">
        <is>
          <t>9090</t>
        </is>
      </c>
      <c r="G16" t="inlineStr">
        <is>
          <t>Demo Regio</t>
        </is>
      </c>
      <c r="H16" t="inlineStr">
        <is>
          <t>G.900015</t>
        </is>
      </c>
      <c r="I16" t="inlineStr">
        <is>
          <t>Lindehaven, Parkzoom fase 2</t>
        </is>
      </c>
      <c r="J16" t="inlineStr">
        <is>
          <t>G.900015.8.9090</t>
        </is>
      </c>
      <c r="K16" t="inlineStr">
        <is>
          <t>Lindehaven, Parkzoom fase 2</t>
        </is>
      </c>
      <c r="L16" t="inlineStr">
        <is>
          <t>020</t>
        </is>
      </c>
      <c r="M16" s="128" t="n">
        <v>45931</v>
      </c>
      <c r="N16" s="128" t="n">
        <v>46539</v>
      </c>
      <c r="O16" s="128" t="n">
        <v>47453</v>
      </c>
      <c r="P16" s="126" t="n">
        <v>110</v>
      </c>
      <c r="Q16" s="126" t="n">
        <v>0</v>
      </c>
      <c r="R16" s="126" t="n">
        <v>0</v>
      </c>
      <c r="S16" s="126" t="n">
        <v>0</v>
      </c>
      <c r="T16" s="126" t="n">
        <v>0</v>
      </c>
      <c r="U16" s="126" t="n">
        <v>25</v>
      </c>
      <c r="V16" s="126" t="n">
        <v>25</v>
      </c>
      <c r="W16" s="126" t="n">
        <v>0</v>
      </c>
      <c r="X16" s="126" t="n">
        <v>25</v>
      </c>
      <c r="Y16" s="126" t="n">
        <v>25</v>
      </c>
      <c r="Z16" s="126" t="n">
        <v>85</v>
      </c>
      <c r="AA16" s="126" t="n">
        <v>1</v>
      </c>
      <c r="AB16" s="126" t="n">
        <v>1</v>
      </c>
      <c r="AC16" s="126" t="n">
        <v>3</v>
      </c>
      <c r="AD16" s="126" t="n">
        <v>3</v>
      </c>
      <c r="AE16" s="126" t="n">
        <v>4</v>
      </c>
      <c r="AF16" s="126" t="n">
        <v>3</v>
      </c>
      <c r="AG16" s="126" t="n">
        <v>3</v>
      </c>
      <c r="AH16" s="126" t="n">
        <v>4</v>
      </c>
      <c r="AI16" s="126" t="n">
        <v>3</v>
      </c>
      <c r="AJ16" s="126" t="n">
        <v>1</v>
      </c>
      <c r="AK16" s="126" t="n">
        <v>1</v>
      </c>
      <c r="AL16" s="126" t="n">
        <v>9</v>
      </c>
      <c r="AM16" s="126" t="n">
        <v>14</v>
      </c>
      <c r="AN16" s="126" t="n">
        <v>12</v>
      </c>
      <c r="AO16" s="126" t="n">
        <v>12</v>
      </c>
      <c r="AP16" s="126" t="n">
        <v>11</v>
      </c>
      <c r="AQ16" s="126" t="n">
        <v>36</v>
      </c>
      <c r="AR16" s="126" t="n">
        <v>49</v>
      </c>
      <c r="AS16" s="126" t="n">
        <v>0</v>
      </c>
      <c r="AT16" s="126" t="n">
        <v>25</v>
      </c>
      <c r="AU16" s="126" t="n">
        <v>0</v>
      </c>
      <c r="AV16" s="126" t="n">
        <v>0</v>
      </c>
      <c r="AW16" s="126" t="n">
        <v>0</v>
      </c>
      <c r="AX16" s="126" t="n">
        <v>0</v>
      </c>
      <c r="AY16" s="126" t="n">
        <v>0</v>
      </c>
      <c r="AZ16" s="126" t="n">
        <v>0</v>
      </c>
      <c r="BA16" s="126" t="n">
        <v>0</v>
      </c>
    </row>
    <row r="17">
      <c r="A17" s="126" t="n">
        <v>9901</v>
      </c>
      <c r="B17" t="inlineStr">
        <is>
          <t>Demo Ontwikkeling BV</t>
        </is>
      </c>
      <c r="C17" t="inlineStr">
        <is>
          <t>100,00</t>
        </is>
      </c>
      <c r="D17" t="inlineStr">
        <is>
          <t>08</t>
        </is>
      </c>
      <c r="E17" t="inlineStr">
        <is>
          <t>Opstalontwikkeling</t>
        </is>
      </c>
      <c r="F17" t="inlineStr">
        <is>
          <t>9090</t>
        </is>
      </c>
      <c r="G17" t="inlineStr">
        <is>
          <t>Demo Regio</t>
        </is>
      </c>
      <c r="H17" t="inlineStr">
        <is>
          <t>G.900016</t>
        </is>
      </c>
      <c r="I17" t="inlineStr">
        <is>
          <t>Duinwaard, De Lantaarn</t>
        </is>
      </c>
      <c r="J17" t="inlineStr">
        <is>
          <t>G.900016.8.9090</t>
        </is>
      </c>
      <c r="K17" t="inlineStr">
        <is>
          <t>Duinwaard, De Lantaarn</t>
        </is>
      </c>
      <c r="L17" t="inlineStr">
        <is>
          <t>100</t>
        </is>
      </c>
      <c r="M17" s="128" t="n">
        <v>45931</v>
      </c>
      <c r="N17" s="128" t="n">
        <v>46569</v>
      </c>
      <c r="O17" s="128" t="n">
        <v>47453</v>
      </c>
      <c r="P17" s="126" t="n">
        <v>40</v>
      </c>
      <c r="Q17" s="126" t="n">
        <v>0</v>
      </c>
      <c r="R17" s="126" t="n">
        <v>0</v>
      </c>
      <c r="S17" s="126" t="n">
        <v>0</v>
      </c>
      <c r="T17" s="126" t="n">
        <v>0</v>
      </c>
      <c r="U17" s="126" t="n">
        <v>7</v>
      </c>
      <c r="V17" s="126" t="n">
        <v>7</v>
      </c>
      <c r="W17" s="126" t="n">
        <v>0</v>
      </c>
      <c r="X17" s="126" t="n">
        <v>7</v>
      </c>
      <c r="Y17" s="126" t="n">
        <v>7</v>
      </c>
      <c r="Z17" s="126" t="n">
        <v>33</v>
      </c>
      <c r="AA17" s="126" t="n">
        <v>0</v>
      </c>
      <c r="AB17" s="126" t="n">
        <v>0</v>
      </c>
      <c r="AC17" s="126" t="n">
        <v>1</v>
      </c>
      <c r="AD17" s="126" t="n">
        <v>1</v>
      </c>
      <c r="AE17" s="126" t="n">
        <v>1</v>
      </c>
      <c r="AF17" s="126" t="n">
        <v>1</v>
      </c>
      <c r="AG17" s="126" t="n">
        <v>1</v>
      </c>
      <c r="AH17" s="126" t="n">
        <v>1</v>
      </c>
      <c r="AI17" s="126" t="n">
        <v>1</v>
      </c>
      <c r="AJ17" s="126" t="n">
        <v>0</v>
      </c>
      <c r="AK17" s="126" t="n">
        <v>0</v>
      </c>
      <c r="AL17" s="126" t="n">
        <v>6</v>
      </c>
      <c r="AM17" s="126" t="n">
        <v>5</v>
      </c>
      <c r="AN17" s="126" t="n">
        <v>4</v>
      </c>
      <c r="AO17" s="126" t="n">
        <v>4</v>
      </c>
      <c r="AP17" s="126" t="n">
        <v>5</v>
      </c>
      <c r="AQ17" s="126" t="n">
        <v>13</v>
      </c>
      <c r="AR17" s="126" t="n">
        <v>18</v>
      </c>
      <c r="AS17" s="126" t="n">
        <v>0</v>
      </c>
      <c r="AT17" s="126" t="n">
        <v>9</v>
      </c>
      <c r="AU17" s="126" t="n">
        <v>0</v>
      </c>
      <c r="AV17" s="126" t="n">
        <v>0</v>
      </c>
      <c r="AW17" s="126" t="n">
        <v>0</v>
      </c>
      <c r="AX17" s="126" t="n">
        <v>0</v>
      </c>
      <c r="AY17" s="126" t="n">
        <v>0</v>
      </c>
      <c r="AZ17" s="126" t="n">
        <v>0</v>
      </c>
      <c r="BA17" s="126" t="n">
        <v>0</v>
      </c>
    </row>
    <row r="18">
      <c r="A18" s="126" t="n">
        <v>9901</v>
      </c>
      <c r="B18" t="inlineStr">
        <is>
          <t>Demo Ontwikkeling BV</t>
        </is>
      </c>
      <c r="C18" t="inlineStr">
        <is>
          <t>100,00</t>
        </is>
      </c>
      <c r="D18" t="inlineStr">
        <is>
          <t>08</t>
        </is>
      </c>
      <c r="E18" t="inlineStr">
        <is>
          <t>Opstalontwikkeling</t>
        </is>
      </c>
      <c r="F18" t="inlineStr">
        <is>
          <t>9090</t>
        </is>
      </c>
      <c r="G18" t="inlineStr">
        <is>
          <t>Demo Regio</t>
        </is>
      </c>
      <c r="H18" t="inlineStr">
        <is>
          <t>G.900017</t>
        </is>
      </c>
      <c r="I18" t="inlineStr">
        <is>
          <t>Veldendam, Spoorpark</t>
        </is>
      </c>
      <c r="J18" t="inlineStr">
        <is>
          <t>G.900017.8.9090</t>
        </is>
      </c>
      <c r="K18" t="inlineStr">
        <is>
          <t>Veldendam, Spoorpark</t>
        </is>
      </c>
      <c r="L18" t="inlineStr">
        <is>
          <t>080</t>
        </is>
      </c>
      <c r="M18" s="128" t="n">
        <v>45931</v>
      </c>
      <c r="N18" s="128" t="n">
        <v>46600</v>
      </c>
      <c r="O18" s="128" t="n">
        <v>47453</v>
      </c>
      <c r="P18" s="126" t="n">
        <v>84</v>
      </c>
      <c r="Q18" s="126" t="n">
        <v>0</v>
      </c>
      <c r="R18" s="126" t="n">
        <v>0</v>
      </c>
      <c r="S18" s="126" t="n">
        <v>0</v>
      </c>
      <c r="T18" s="126" t="n">
        <v>18</v>
      </c>
      <c r="U18" s="126" t="n">
        <v>0</v>
      </c>
      <c r="V18" s="126" t="n">
        <v>18</v>
      </c>
      <c r="W18" s="126" t="n">
        <v>18</v>
      </c>
      <c r="X18" s="126" t="n">
        <v>0</v>
      </c>
      <c r="Y18" s="126" t="n">
        <v>18</v>
      </c>
      <c r="Z18" s="126" t="n">
        <v>66</v>
      </c>
      <c r="AA18" s="126" t="n">
        <v>1</v>
      </c>
      <c r="AB18" s="126" t="n">
        <v>1</v>
      </c>
      <c r="AC18" s="126" t="n">
        <v>2</v>
      </c>
      <c r="AD18" s="126" t="n">
        <v>2</v>
      </c>
      <c r="AE18" s="126" t="n">
        <v>3</v>
      </c>
      <c r="AF18" s="126" t="n">
        <v>2</v>
      </c>
      <c r="AG18" s="126" t="n">
        <v>2</v>
      </c>
      <c r="AH18" s="126" t="n">
        <v>3</v>
      </c>
      <c r="AI18" s="126" t="n">
        <v>2</v>
      </c>
      <c r="AJ18" s="126" t="n">
        <v>1</v>
      </c>
      <c r="AK18" s="126" t="n">
        <v>1</v>
      </c>
      <c r="AL18" s="126" t="n">
        <v>8</v>
      </c>
      <c r="AM18" s="126" t="n">
        <v>11</v>
      </c>
      <c r="AN18" s="126" t="n">
        <v>9</v>
      </c>
      <c r="AO18" s="126" t="n">
        <v>9</v>
      </c>
      <c r="AP18" s="126" t="n">
        <v>8</v>
      </c>
      <c r="AQ18" s="126" t="n">
        <v>28</v>
      </c>
      <c r="AR18" s="126" t="n">
        <v>37</v>
      </c>
      <c r="AS18" s="126" t="n">
        <v>0</v>
      </c>
      <c r="AT18" s="126" t="n">
        <v>19</v>
      </c>
      <c r="AU18" s="126" t="n">
        <v>0</v>
      </c>
      <c r="AV18" s="126" t="n">
        <v>0</v>
      </c>
      <c r="AW18" s="126" t="n">
        <v>0</v>
      </c>
      <c r="AX18" s="126" t="n">
        <v>0</v>
      </c>
      <c r="AY18" s="126" t="n">
        <v>0</v>
      </c>
      <c r="AZ18" s="126" t="n">
        <v>0</v>
      </c>
      <c r="BA18" s="126" t="n">
        <v>0</v>
      </c>
    </row>
    <row r="19">
      <c r="A19" s="126" t="n">
        <v>9902</v>
      </c>
      <c r="B19" t="inlineStr">
        <is>
          <t>Demo Gebiedscombinatie BV</t>
        </is>
      </c>
      <c r="C19" t="inlineStr">
        <is>
          <t>50,00</t>
        </is>
      </c>
      <c r="D19" t="inlineStr">
        <is>
          <t>08</t>
        </is>
      </c>
      <c r="E19" t="inlineStr">
        <is>
          <t>Opstalontwikkeling</t>
        </is>
      </c>
      <c r="F19" t="inlineStr">
        <is>
          <t>9090</t>
        </is>
      </c>
      <c r="G19" t="inlineStr">
        <is>
          <t>Demo Regio</t>
        </is>
      </c>
      <c r="H19" t="inlineStr">
        <is>
          <t>G.900018</t>
        </is>
      </c>
      <c r="I19" t="inlineStr">
        <is>
          <t>Meerhovenstad, De Boog</t>
        </is>
      </c>
      <c r="J19" t="inlineStr">
        <is>
          <t>G.900018.8.9090</t>
        </is>
      </c>
      <c r="K19" t="inlineStr">
        <is>
          <t>Meerhovenstad, De Boog</t>
        </is>
      </c>
      <c r="L19" t="inlineStr">
        <is>
          <t>060</t>
        </is>
      </c>
      <c r="M19" s="128" t="n">
        <v>45931</v>
      </c>
      <c r="N19" s="128" t="n">
        <v>46631</v>
      </c>
      <c r="O19" s="128" t="n">
        <v>47453</v>
      </c>
      <c r="P19" s="126" t="n">
        <v>56</v>
      </c>
      <c r="Q19" s="126" t="n">
        <v>0</v>
      </c>
      <c r="R19" s="126" t="n">
        <v>0</v>
      </c>
      <c r="S19" s="126" t="n">
        <v>0</v>
      </c>
      <c r="T19" s="126" t="n">
        <v>0</v>
      </c>
      <c r="U19" s="126" t="n">
        <v>9</v>
      </c>
      <c r="V19" s="126" t="n">
        <v>9</v>
      </c>
      <c r="W19" s="126" t="n">
        <v>0</v>
      </c>
      <c r="X19" s="126" t="n">
        <v>9</v>
      </c>
      <c r="Y19" s="126" t="n">
        <v>9</v>
      </c>
      <c r="Z19" s="126" t="n">
        <v>47</v>
      </c>
      <c r="AA19" s="126" t="n">
        <v>0</v>
      </c>
      <c r="AB19" s="126" t="n">
        <v>0</v>
      </c>
      <c r="AC19" s="126" t="n">
        <v>1</v>
      </c>
      <c r="AD19" s="126" t="n">
        <v>1</v>
      </c>
      <c r="AE19" s="126" t="n">
        <v>2</v>
      </c>
      <c r="AF19" s="126" t="n">
        <v>1</v>
      </c>
      <c r="AG19" s="126" t="n">
        <v>1</v>
      </c>
      <c r="AH19" s="126" t="n">
        <v>2</v>
      </c>
      <c r="AI19" s="126" t="n">
        <v>1</v>
      </c>
      <c r="AJ19" s="126" t="n">
        <v>0</v>
      </c>
      <c r="AK19" s="126" t="n">
        <v>0</v>
      </c>
      <c r="AL19" s="126" t="n">
        <v>9</v>
      </c>
      <c r="AM19" s="126" t="n">
        <v>7</v>
      </c>
      <c r="AN19" s="126" t="n">
        <v>6</v>
      </c>
      <c r="AO19" s="126" t="n">
        <v>6</v>
      </c>
      <c r="AP19" s="126" t="n">
        <v>6</v>
      </c>
      <c r="AQ19" s="126" t="n">
        <v>18</v>
      </c>
      <c r="AR19" s="126" t="n">
        <v>25</v>
      </c>
      <c r="AS19" s="126" t="n">
        <v>0</v>
      </c>
      <c r="AT19" s="126" t="n">
        <v>13</v>
      </c>
      <c r="AU19" s="126" t="n">
        <v>0</v>
      </c>
      <c r="AV19" s="126" t="n">
        <v>0</v>
      </c>
      <c r="AW19" s="126" t="n">
        <v>0</v>
      </c>
      <c r="AX19" s="126" t="n">
        <v>0</v>
      </c>
      <c r="AY19" s="126" t="n">
        <v>0</v>
      </c>
      <c r="AZ19" s="126" t="n">
        <v>0</v>
      </c>
      <c r="BA19" s="126" t="n">
        <v>0</v>
      </c>
    </row>
    <row r="20">
      <c r="A20" s="126" t="n">
        <v>9901</v>
      </c>
      <c r="B20" t="inlineStr">
        <is>
          <t>Demo Ontwikkeling BV</t>
        </is>
      </c>
      <c r="C20" t="inlineStr">
        <is>
          <t>100,00</t>
        </is>
      </c>
      <c r="D20" t="inlineStr">
        <is>
          <t>08</t>
        </is>
      </c>
      <c r="E20" t="inlineStr">
        <is>
          <t>Opstalontwikkeling</t>
        </is>
      </c>
      <c r="F20" t="inlineStr">
        <is>
          <t>9090</t>
        </is>
      </c>
      <c r="G20" t="inlineStr">
        <is>
          <t>Demo Regio</t>
        </is>
      </c>
      <c r="H20" t="inlineStr">
        <is>
          <t>G.900019</t>
        </is>
      </c>
      <c r="I20" t="inlineStr">
        <is>
          <t>Zilverdam, Havenlicht</t>
        </is>
      </c>
      <c r="J20" t="inlineStr">
        <is>
          <t>G.900019.8.9090</t>
        </is>
      </c>
      <c r="K20" t="inlineStr">
        <is>
          <t>Zilverdam, Havenlicht</t>
        </is>
      </c>
      <c r="L20" t="inlineStr">
        <is>
          <t>040</t>
        </is>
      </c>
      <c r="M20" s="128" t="n">
        <v>45931</v>
      </c>
      <c r="N20" s="128" t="n">
        <v>46388</v>
      </c>
      <c r="O20" s="128" t="n">
        <v>47453</v>
      </c>
      <c r="P20" s="126" t="n">
        <v>30</v>
      </c>
      <c r="Q20" s="126" t="n">
        <v>0</v>
      </c>
      <c r="R20" s="126" t="n">
        <v>0</v>
      </c>
      <c r="S20" s="126" t="n">
        <v>0</v>
      </c>
      <c r="T20" s="126" t="n">
        <v>0</v>
      </c>
      <c r="U20" s="126" t="n">
        <v>2</v>
      </c>
      <c r="V20" s="126" t="n">
        <v>2</v>
      </c>
      <c r="W20" s="126" t="n">
        <v>0</v>
      </c>
      <c r="X20" s="126" t="n">
        <v>2</v>
      </c>
      <c r="Y20" s="126" t="n">
        <v>2</v>
      </c>
      <c r="Z20" s="126" t="n">
        <v>28</v>
      </c>
      <c r="AA20" s="126" t="n">
        <v>0</v>
      </c>
      <c r="AB20" s="126" t="n">
        <v>0</v>
      </c>
      <c r="AC20" s="126" t="n">
        <v>0</v>
      </c>
      <c r="AD20" s="126" t="n">
        <v>0</v>
      </c>
      <c r="AE20" s="126" t="n">
        <v>1</v>
      </c>
      <c r="AF20" s="126" t="n">
        <v>0</v>
      </c>
      <c r="AG20" s="126" t="n">
        <v>0</v>
      </c>
      <c r="AH20" s="126" t="n">
        <v>1</v>
      </c>
      <c r="AI20" s="126" t="n">
        <v>0</v>
      </c>
      <c r="AJ20" s="126" t="n">
        <v>0</v>
      </c>
      <c r="AK20" s="126" t="n">
        <v>0</v>
      </c>
      <c r="AL20" s="126" t="n">
        <v>8</v>
      </c>
      <c r="AM20" s="126" t="n">
        <v>3</v>
      </c>
      <c r="AN20" s="126" t="n">
        <v>3</v>
      </c>
      <c r="AO20" s="126" t="n">
        <v>3</v>
      </c>
      <c r="AP20" s="126" t="n">
        <v>4</v>
      </c>
      <c r="AQ20" s="126" t="n">
        <v>10</v>
      </c>
      <c r="AR20" s="126" t="n">
        <v>13</v>
      </c>
      <c r="AS20" s="126" t="n">
        <v>0</v>
      </c>
      <c r="AT20" s="126" t="n">
        <v>7</v>
      </c>
      <c r="AU20" s="126" t="n">
        <v>0</v>
      </c>
      <c r="AV20" s="126" t="n">
        <v>0</v>
      </c>
      <c r="AW20" s="126" t="n">
        <v>0</v>
      </c>
      <c r="AX20" s="126" t="n">
        <v>0</v>
      </c>
      <c r="AY20" s="126" t="n">
        <v>0</v>
      </c>
      <c r="AZ20" s="126" t="n">
        <v>0</v>
      </c>
      <c r="BA20" s="126" t="n">
        <v>0</v>
      </c>
    </row>
    <row r="21">
      <c r="A21" s="126" t="n">
        <v>9901</v>
      </c>
      <c r="B21" t="inlineStr">
        <is>
          <t>Demo Ontwikkeling BV</t>
        </is>
      </c>
      <c r="C21" t="inlineStr">
        <is>
          <t>100,00</t>
        </is>
      </c>
      <c r="D21" t="inlineStr">
        <is>
          <t>08</t>
        </is>
      </c>
      <c r="E21" t="inlineStr">
        <is>
          <t>Opstalontwikkeling</t>
        </is>
      </c>
      <c r="F21" t="inlineStr">
        <is>
          <t>9090</t>
        </is>
      </c>
      <c r="G21" t="inlineStr">
        <is>
          <t>Demo Regio</t>
        </is>
      </c>
      <c r="H21" t="inlineStr">
        <is>
          <t>G.900020</t>
        </is>
      </c>
      <c r="I21" t="inlineStr">
        <is>
          <t>Boswaard, Parkeergebouw</t>
        </is>
      </c>
      <c r="J21" t="inlineStr">
        <is>
          <t>G.900020.8.9090</t>
        </is>
      </c>
      <c r="K21" t="inlineStr">
        <is>
          <t>Boswaard, Parkeergebouw</t>
        </is>
      </c>
      <c r="L21" t="inlineStr">
        <is>
          <t>020</t>
        </is>
      </c>
      <c r="M21" s="128" t="n">
        <v>45931</v>
      </c>
      <c r="N21" s="128" t="n">
        <v>46419</v>
      </c>
      <c r="O21" s="128" t="n">
        <v>47453</v>
      </c>
      <c r="P21" s="126" t="n">
        <v>0</v>
      </c>
      <c r="Q21" s="126" t="n">
        <v>0</v>
      </c>
      <c r="R21" s="126" t="n">
        <v>0</v>
      </c>
      <c r="S21" s="126" t="n">
        <v>0</v>
      </c>
      <c r="T21" s="126" t="n">
        <v>0</v>
      </c>
      <c r="U21" s="126" t="n">
        <v>0</v>
      </c>
      <c r="V21" s="126" t="n">
        <v>0</v>
      </c>
      <c r="W21" s="126" t="n">
        <v>0</v>
      </c>
      <c r="X21" s="126" t="n">
        <v>0</v>
      </c>
      <c r="Y21" s="126" t="n">
        <v>0</v>
      </c>
      <c r="Z21" s="126" t="n">
        <v>0</v>
      </c>
      <c r="AA21" s="126" t="n">
        <v>0</v>
      </c>
      <c r="AB21" s="126" t="n">
        <v>0</v>
      </c>
      <c r="AC21" s="126" t="n">
        <v>0</v>
      </c>
      <c r="AD21" s="126" t="n">
        <v>0</v>
      </c>
      <c r="AE21" s="126" t="n">
        <v>0</v>
      </c>
      <c r="AF21" s="126" t="n">
        <v>0</v>
      </c>
      <c r="AG21" s="126" t="n">
        <v>0</v>
      </c>
      <c r="AH21" s="126" t="n">
        <v>0</v>
      </c>
      <c r="AI21" s="126" t="n">
        <v>0</v>
      </c>
      <c r="AJ21" s="126" t="n">
        <v>0</v>
      </c>
      <c r="AK21" s="126" t="n">
        <v>0</v>
      </c>
      <c r="AL21" s="126" t="n">
        <v>0</v>
      </c>
      <c r="AM21" s="126" t="n">
        <v>0</v>
      </c>
      <c r="AN21" s="126" t="n">
        <v>0</v>
      </c>
      <c r="AO21" s="126" t="n">
        <v>0</v>
      </c>
      <c r="AP21" s="126" t="n">
        <v>0</v>
      </c>
      <c r="AQ21" s="126" t="n">
        <v>0</v>
      </c>
      <c r="AR21" s="126" t="n">
        <v>0</v>
      </c>
      <c r="AS21" s="126" t="n">
        <v>0</v>
      </c>
      <c r="AT21" s="126" t="n">
        <v>0</v>
      </c>
      <c r="AU21" s="126" t="n">
        <v>0</v>
      </c>
      <c r="AV21" s="126" t="n">
        <v>0</v>
      </c>
      <c r="AW21" s="126" t="n">
        <v>0</v>
      </c>
      <c r="AX21" s="126" t="n">
        <v>0</v>
      </c>
      <c r="AY21" s="126" t="n">
        <v>0</v>
      </c>
      <c r="AZ21" s="126" t="n">
        <v>0</v>
      </c>
      <c r="BA21" s="126" t="n">
        <v>0</v>
      </c>
    </row>
  </sheetData>
  <pageMargins left="0.75" right="0.75" top="1" bottom="1" header="0.5" footer="0.5"/>
</worksheet>
</file>

<file path=xl/worksheets/sheet22.xml><?xml version="1.0" encoding="utf-8"?>
<worksheet xmlns="http://schemas.openxmlformats.org/spreadsheetml/2006/main">
  <sheetPr>
    <tabColor rgb="00D9DEE8"/>
    <outlinePr summaryBelow="1" summaryRight="1"/>
    <pageSetUpPr/>
  </sheetPr>
  <dimension ref="A1:H134"/>
  <sheetViews>
    <sheetView showGridLines="0" zoomScale="90" workbookViewId="0">
      <selection activeCell="A1" sqref="A1"/>
    </sheetView>
  </sheetViews>
  <sheetFormatPr baseColWidth="8" defaultRowHeight="15"/>
  <cols>
    <col width="2" customWidth="1" min="1" max="1"/>
    <col width="22" customWidth="1" min="2" max="2"/>
    <col width="30" customWidth="1" min="3" max="3"/>
    <col width="14" customWidth="1" min="4" max="4"/>
    <col width="12" customWidth="1" min="5" max="5"/>
    <col width="70" customWidth="1" min="6" max="6"/>
    <col width="14" customWidth="1" min="7" max="7"/>
  </cols>
  <sheetData>
    <row r="1" ht="28" customHeight="1">
      <c r="A1" s="1" t="n"/>
      <c r="B1" s="2" t="inlineStr">
        <is>
          <t>Veldwoordenboek</t>
        </is>
      </c>
      <c r="C1" s="1" t="n"/>
      <c r="D1" s="1" t="n"/>
      <c r="E1" s="1" t="n"/>
      <c r="F1" s="1" t="n"/>
      <c r="G1" s="1" t="n"/>
      <c r="H1" s="1" t="n"/>
    </row>
    <row r="2">
      <c r="B2" s="3" t="inlineStr">
        <is>
          <t>Interne unieke veldnamen per bron, hoe ze gevonden worden en de expliciete interpretatie van jaarheaders.</t>
        </is>
      </c>
    </row>
    <row r="4">
      <c r="B4" s="16" t="inlineStr">
        <is>
          <t>A. Jaarheaders Woningetalage (expliciete mapping — wijzig hier, niet in formules)</t>
        </is>
      </c>
      <c r="C4" s="8" t="n"/>
      <c r="D4" s="8" t="n"/>
      <c r="E4" s="8" t="n"/>
      <c r="F4" s="8" t="n"/>
      <c r="G4" s="8" t="n"/>
    </row>
    <row r="5" ht="22" customHeight="1">
      <c r="B5" s="32" t="inlineStr">
        <is>
          <t>Intern veld</t>
        </is>
      </c>
      <c r="C5" s="33" t="inlineStr">
        <is>
          <t>Bronheader (waarde)</t>
        </is>
      </c>
      <c r="D5" s="33" t="inlineStr">
        <is>
          <t>Gevonden in bron?</t>
        </is>
      </c>
      <c r="E5" s="33" t="inlineStr">
        <is>
          <t>Gebruikt?</t>
        </is>
      </c>
      <c r="F5" s="33" t="inlineStr">
        <is>
          <t>Interpretatie</t>
        </is>
      </c>
      <c r="G5" s="33" t="inlineStr">
        <is>
          <t>Status</t>
        </is>
      </c>
    </row>
    <row r="6">
      <c r="B6" s="34" t="inlineStr">
        <is>
          <t>Y_RJ2</t>
        </is>
      </c>
      <c r="C6" s="129">
        <f>P_RJ+2</f>
        <v>2028</v>
      </c>
      <c r="D6" t="str">
        <f>IF(ISNUMBER(MATCH(C6,SRC_Woningetalage!$1:$1,0)),"Ja","NEE")</f>
        <v>Ja</v>
      </c>
      <c r="E6" s="34" t="inlineStr">
        <is>
          <t>Ja</t>
        </is>
      </c>
      <c r="F6" s="130" t="inlineStr">
        <is>
          <t>Verkopen in jaar RJ+2 (prototype: 2028). Onderdeel van 'Aantal woningen = vorig jaar + 12 mnd + volgend jaar + RJ+2'.</t>
        </is>
      </c>
      <c r="G6" s="34" t="inlineStr">
        <is>
          <t>Bevestigd (demo)</t>
        </is>
      </c>
    </row>
    <row r="7">
      <c r="B7" s="34" t="inlineStr">
        <is>
          <t>Y_RJ3</t>
        </is>
      </c>
      <c r="C7" s="129">
        <f>P_RJ+3</f>
        <v>2029</v>
      </c>
      <c r="D7" t="str">
        <f>IF(ISNUMBER(MATCH(C7,SRC_Woningetalage!$1:$1,0)),"Ja","NEE")</f>
        <v>Ja</v>
      </c>
      <c r="E7" s="34" t="inlineStr">
        <is>
          <t>Nee</t>
        </is>
      </c>
      <c r="F7" s="130" t="inlineStr">
        <is>
          <t>Vermoedelijk verkopen RJ+3. Alleen gecontroleerd op 0.</t>
        </is>
      </c>
      <c r="G7" s="34" t="inlineStr">
        <is>
          <t>Aanname</t>
        </is>
      </c>
    </row>
    <row r="8">
      <c r="B8" s="34" t="inlineStr">
        <is>
          <t>Y_RJ4</t>
        </is>
      </c>
      <c r="C8" s="129">
        <f>P_RJ+4</f>
        <v>2030</v>
      </c>
      <c r="D8" t="str">
        <f>IF(ISNUMBER(MATCH(C8,SRC_Woningetalage!$1:$1,0)),"Ja","NEE")</f>
        <v>Ja</v>
      </c>
      <c r="E8" s="34" t="inlineStr">
        <is>
          <t>Nee</t>
        </is>
      </c>
      <c r="F8" s="130" t="inlineStr">
        <is>
          <t>Vermoedelijk verkopen RJ+4. Alleen gecontroleerd op 0.</t>
        </is>
      </c>
      <c r="G8" s="34" t="inlineStr">
        <is>
          <t>Aanname</t>
        </is>
      </c>
    </row>
    <row r="9">
      <c r="B9" s="34" t="inlineStr">
        <is>
          <t>Y_RJ5</t>
        </is>
      </c>
      <c r="C9" s="129">
        <f>P_RJ+5</f>
        <v>2031</v>
      </c>
      <c r="D9" t="str">
        <f>IF(ISNUMBER(MATCH(C9,SRC_Woningetalage!$1:$1,0)),"Ja","NEE")</f>
        <v>Ja</v>
      </c>
      <c r="E9" s="34" t="inlineStr">
        <is>
          <t>Nee</t>
        </is>
      </c>
      <c r="F9" s="130" t="inlineStr">
        <is>
          <t>Vermoedelijk verkopen RJ+5. Alleen gecontroleerd op 0.</t>
        </is>
      </c>
      <c r="G9" s="34" t="inlineStr">
        <is>
          <t>Aanname</t>
        </is>
      </c>
    </row>
    <row r="10">
      <c r="B10" s="34" t="inlineStr">
        <is>
          <t>Y_RJ6</t>
        </is>
      </c>
      <c r="C10" s="129">
        <f>P_RJ+6</f>
        <v>2032</v>
      </c>
      <c r="D10" t="str">
        <f>IF(ISNUMBER(MATCH(C10,SRC_Woningetalage!$1:$1,0)),"Ja","NEE")</f>
        <v>Ja</v>
      </c>
      <c r="E10" s="34" t="inlineStr">
        <is>
          <t>Nee</t>
        </is>
      </c>
      <c r="F10" s="130" t="inlineStr">
        <is>
          <t>Vermoedelijk verkopen RJ+6. Alleen gecontroleerd op 0.</t>
        </is>
      </c>
      <c r="G10" s="34" t="inlineStr">
        <is>
          <t>Aanname</t>
        </is>
      </c>
    </row>
    <row r="11">
      <c r="B11" s="34" t="inlineStr">
        <is>
          <t>Y_NEG1</t>
        </is>
      </c>
      <c r="C11" s="129">
        <f>-(P_RJ+7)</f>
        <v>-2033</v>
      </c>
      <c r="D11" t="str">
        <f>IF(ISNUMBER(MATCH(C11,SRC_Woningetalage!$1:$1,0)),"Ja","NEE")</f>
        <v>Ja</v>
      </c>
      <c r="E11" s="34" t="inlineStr">
        <is>
          <t>Nee</t>
        </is>
      </c>
      <c r="F11" s="130" t="inlineStr">
        <is>
          <t>Negatieve jaarheader. Betekenis onbekend — NIET geïnterpreteerd; waarde &lt;&gt; 0 geeft waarschuwing.</t>
        </is>
      </c>
      <c r="G11" s="34" t="inlineStr">
        <is>
          <t>Niet geïnterpreteerd</t>
        </is>
      </c>
    </row>
    <row r="12">
      <c r="B12" s="34" t="inlineStr">
        <is>
          <t>Y_NEG2</t>
        </is>
      </c>
      <c r="C12" s="129">
        <f>-(P_RJ+8)</f>
        <v>-2034</v>
      </c>
      <c r="D12" t="str">
        <f>IF(ISNUMBER(MATCH(C12,SRC_Woningetalage!$1:$1,0)),"Ja","NEE")</f>
        <v>Ja</v>
      </c>
      <c r="E12" s="34" t="inlineStr">
        <is>
          <t>Nee</t>
        </is>
      </c>
      <c r="F12" s="130" t="inlineStr">
        <is>
          <t>Idem.</t>
        </is>
      </c>
      <c r="G12" s="34" t="inlineStr">
        <is>
          <t>Niet geïnterpreteerd</t>
        </is>
      </c>
    </row>
    <row r="13">
      <c r="B13" s="34" t="inlineStr">
        <is>
          <t>Y_NEG3</t>
        </is>
      </c>
      <c r="C13" s="129">
        <f>-(P_RJ+9)</f>
        <v>-2035</v>
      </c>
      <c r="D13" t="str">
        <f>IF(ISNUMBER(MATCH(C13,SRC_Woningetalage!$1:$1,0)),"Ja","NEE")</f>
        <v>Ja</v>
      </c>
      <c r="E13" s="34" t="inlineStr">
        <is>
          <t>Nee</t>
        </is>
      </c>
      <c r="F13" s="130" t="inlineStr">
        <is>
          <t>Idem.</t>
        </is>
      </c>
      <c r="G13" s="34" t="inlineStr">
        <is>
          <t>Niet geïnterpreteerd</t>
        </is>
      </c>
    </row>
    <row r="14">
      <c r="B14" s="34" t="inlineStr">
        <is>
          <t>Rond</t>
        </is>
      </c>
      <c r="C14" s="129" t="inlineStr">
        <is>
          <t>Rond</t>
        </is>
      </c>
      <c r="D14" t="str">
        <f>IF(ISNUMBER(MATCH(C14,SRC_Woningetalage!$1:$1,0)),"Ja","NEE")</f>
        <v>Ja</v>
      </c>
      <c r="E14" s="34" t="inlineStr">
        <is>
          <t>Nee</t>
        </is>
      </c>
      <c r="F14" s="130" t="inlineStr">
        <is>
          <t>Betekenis onbekend — NIET geïnterpreteerd; waarde &lt;&gt; 0 geeft waarschuwing.</t>
        </is>
      </c>
      <c r="G14" s="34" t="inlineStr">
        <is>
          <t>Niet geïnterpreteerd</t>
        </is>
      </c>
    </row>
    <row r="16">
      <c r="B16" s="16" t="inlineStr">
        <is>
          <t>B. ZPMW03: velden en vindplaats (gezocht op header, kolomvolgorde in bron mag wijzigen)</t>
        </is>
      </c>
      <c r="C16" s="8" t="n"/>
      <c r="D16" s="8" t="n"/>
      <c r="E16" s="8" t="n"/>
      <c r="F16" s="8" t="n"/>
      <c r="G16" s="8" t="n"/>
    </row>
    <row r="17" ht="22" customHeight="1">
      <c r="B17" s="32" t="inlineStr">
        <is>
          <t>Intern veld</t>
        </is>
      </c>
      <c r="C17" s="33" t="inlineStr">
        <is>
          <t>Gezochte header</t>
        </is>
      </c>
      <c r="D17" s="33" t="inlineStr">
        <is>
          <t>Kolomnr</t>
        </is>
      </c>
      <c r="E17" s="33" t="inlineStr">
        <is>
          <t>Status</t>
        </is>
      </c>
      <c r="F17" s="33" t="inlineStr">
        <is>
          <t>Methode</t>
        </is>
      </c>
      <c r="G17" s="33" t="inlineStr"/>
    </row>
    <row r="18">
      <c r="B18" s="34" t="inlineStr">
        <is>
          <t>WBS</t>
        </is>
      </c>
      <c r="C18" t="str">
        <f>STG_ZPMW03!B2</f>
        <v>WBS-element</v>
      </c>
      <c r="D18">
        <f>STG_ZPMW03!B3</f>
        <v>10</v>
      </c>
      <c r="E18" t="str">
        <f>STG_ZPMW03!B4</f>
        <v>OK</v>
      </c>
      <c r="F18" s="5" t="inlineStr">
        <is>
          <t>Koppelsleutel</t>
        </is>
      </c>
    </row>
    <row r="19">
      <c r="B19" s="34" t="inlineStr">
        <is>
          <t>IFRS</t>
        </is>
      </c>
      <c r="C19" t="str">
        <f>STG_ZPMW03!C2</f>
        <v>IFRS J/N</v>
      </c>
      <c r="D19">
        <f>STG_ZPMW03!C3</f>
        <v>1</v>
      </c>
      <c r="E19" t="str">
        <f>STG_ZPMW03!C4</f>
        <v>OK</v>
      </c>
      <c r="F19" s="5" t="inlineStr">
        <is>
          <t>Exacte header</t>
        </is>
      </c>
    </row>
    <row r="20">
      <c r="B20" s="34" t="inlineStr">
        <is>
          <t>Bedrijfsnummer</t>
        </is>
      </c>
      <c r="C20" t="str">
        <f>STG_ZPMW03!D2</f>
        <v>Bedrijfsnummer</v>
      </c>
      <c r="D20">
        <f>STG_ZPMW03!D3</f>
        <v>2</v>
      </c>
      <c r="E20" t="str">
        <f>STG_ZPMW03!D4</f>
        <v>OK</v>
      </c>
      <c r="F20" s="5" t="inlineStr">
        <is>
          <t>Exacte header</t>
        </is>
      </c>
    </row>
    <row r="21">
      <c r="B21" s="34" t="inlineStr">
        <is>
          <t>Bedrijfsnaam</t>
        </is>
      </c>
      <c r="C21" t="str">
        <f>STG_ZPMW03!E2</f>
        <v>Naam maatschappij | Bedrijfsnaam</v>
      </c>
      <c r="D21">
        <f>STG_ZPMW03!E3</f>
        <v>3</v>
      </c>
      <c r="E21" t="str">
        <f>STG_ZPMW03!E4</f>
        <v>OK</v>
      </c>
      <c r="F21" s="5" t="inlineStr">
        <is>
          <t>Alias: eerste die bestaat van Naam maatschappij / Bedrijfsnaam</t>
        </is>
      </c>
    </row>
    <row r="22">
      <c r="B22" s="34" t="inlineStr">
        <is>
          <t>ProfitCenter</t>
        </is>
      </c>
      <c r="C22" t="str">
        <f>STG_ZPMW03!F2</f>
        <v>Profit center</v>
      </c>
      <c r="D22">
        <f>STG_ZPMW03!F3</f>
        <v>4</v>
      </c>
      <c r="E22" t="str">
        <f>STG_ZPMW03!F4</f>
        <v>OK</v>
      </c>
      <c r="F22" s="5" t="inlineStr">
        <is>
          <t>Exacte header</t>
        </is>
      </c>
    </row>
    <row r="23">
      <c r="B23" s="34" t="inlineStr">
        <is>
          <t>ProfitCenterNaam</t>
        </is>
      </c>
      <c r="C23" t="str">
        <f>STG_ZPMW03!G2</f>
        <v>Profitcenter naam</v>
      </c>
      <c r="D23">
        <f>STG_ZPMW03!G3</f>
        <v>5</v>
      </c>
      <c r="E23" t="str">
        <f>STG_ZPMW03!G4</f>
        <v>OK</v>
      </c>
      <c r="F23" s="5" t="inlineStr">
        <is>
          <t>Exacte header</t>
        </is>
      </c>
    </row>
    <row r="24">
      <c r="B24" s="34" t="inlineStr">
        <is>
          <t>Marktsegment</t>
        </is>
      </c>
      <c r="C24" t="str">
        <f>STG_ZPMW03!H2</f>
        <v>Marktsegment</v>
      </c>
      <c r="D24">
        <f>STG_ZPMW03!H3</f>
        <v>6</v>
      </c>
      <c r="E24" t="str">
        <f>STG_ZPMW03!H4</f>
        <v>OK</v>
      </c>
      <c r="F24" s="5" t="inlineStr">
        <is>
          <t>Exacte header</t>
        </is>
      </c>
    </row>
    <row r="25">
      <c r="B25" s="34" t="inlineStr">
        <is>
          <t>Projectdefinitie</t>
        </is>
      </c>
      <c r="C25" t="str">
        <f>STG_ZPMW03!I2</f>
        <v>Projectdefinitie</v>
      </c>
      <c r="D25">
        <f>STG_ZPMW03!I3</f>
        <v>9</v>
      </c>
      <c r="E25" t="str">
        <f>STG_ZPMW03!I4</f>
        <v>OK</v>
      </c>
      <c r="F25" s="5" t="inlineStr">
        <is>
          <t>Exacte header</t>
        </is>
      </c>
    </row>
    <row r="26">
      <c r="B26" s="34" t="inlineStr">
        <is>
          <t>Omschrijving</t>
        </is>
      </c>
      <c r="C26" t="str">
        <f>STG_ZPMW03!J2</f>
        <v>Omschrijving</v>
      </c>
      <c r="D26">
        <f>STG_ZPMW03!J3</f>
        <v>14</v>
      </c>
      <c r="E26" t="str">
        <f>STG_ZPMW03!J4</f>
        <v>OK</v>
      </c>
      <c r="F26" s="5" t="inlineStr">
        <is>
          <t>Exacte header</t>
        </is>
      </c>
    </row>
    <row r="27">
      <c r="B27" s="34" t="inlineStr">
        <is>
          <t>StatusWBS</t>
        </is>
      </c>
      <c r="C27" t="str">
        <f>STG_ZPMW03!K2</f>
        <v>Status WBS</v>
      </c>
      <c r="D27">
        <f>STG_ZPMW03!K3</f>
        <v>16</v>
      </c>
      <c r="E27" t="str">
        <f>STG_ZPMW03!K4</f>
        <v>OK</v>
      </c>
      <c r="F27" s="5" t="inlineStr">
        <is>
          <t>Exacte header</t>
        </is>
      </c>
    </row>
    <row r="28">
      <c r="B28" s="34" t="inlineStr">
        <is>
          <t>Kans</t>
        </is>
      </c>
      <c r="C28" t="str">
        <f>STG_ZPMW03!L2</f>
        <v>Kans%</v>
      </c>
      <c r="D28">
        <f>STG_ZPMW03!L3</f>
        <v>17</v>
      </c>
      <c r="E28" t="str">
        <f>STG_ZPMW03!L4</f>
        <v>OK</v>
      </c>
      <c r="F28" s="5" t="inlineStr">
        <is>
          <t>Exacte header</t>
        </is>
      </c>
    </row>
    <row r="29">
      <c r="B29" s="34" t="inlineStr">
        <is>
          <t>PEW_BOB</t>
        </is>
      </c>
      <c r="C29" t="str">
        <f>STG_ZPMW03!M2</f>
        <v>PEW opbrengst</v>
      </c>
      <c r="D29">
        <f>STG_ZPMW03!M3</f>
        <v>18</v>
      </c>
      <c r="E29" t="str">
        <f>STG_ZPMW03!M4</f>
        <v>OK</v>
      </c>
      <c r="F29" s="5" t="inlineStr">
        <is>
          <t>Exacte header</t>
        </is>
      </c>
    </row>
    <row r="30">
      <c r="B30" s="34" t="inlineStr">
        <is>
          <t>BOB_VJ</t>
        </is>
      </c>
      <c r="C30" t="str">
        <f>STG_ZPMW03!N2</f>
        <v>Bedrijfsopbrengsten VJ</v>
      </c>
      <c r="D30">
        <f>STG_ZPMW03!N3</f>
        <v>22</v>
      </c>
      <c r="E30" t="str">
        <f>STG_ZPMW03!N4</f>
        <v>OK</v>
      </c>
      <c r="F30" s="5" t="inlineStr">
        <is>
          <t>Exacte header</t>
        </is>
      </c>
    </row>
    <row r="31">
      <c r="B31" s="34" t="inlineStr">
        <is>
          <t>BOB_LJ</t>
        </is>
      </c>
      <c r="C31" t="str">
        <f>STG_ZPMW03!O2</f>
        <v>Bedrijfsopbrengsten LJ</v>
      </c>
      <c r="D31">
        <f>STG_ZPMW03!O3</f>
        <v>24</v>
      </c>
      <c r="E31" t="str">
        <f>STG_ZPMW03!O4</f>
        <v>OK</v>
      </c>
      <c r="F31" s="5" t="inlineStr">
        <is>
          <t>Exacte header</t>
        </is>
      </c>
    </row>
    <row r="32">
      <c r="B32" s="34" t="inlineStr">
        <is>
          <t>Kosten_LJ</t>
        </is>
      </c>
      <c r="C32" t="str">
        <f>STG_ZPMW03!P2</f>
        <v>Kosten LJ</v>
      </c>
      <c r="D32">
        <f>STG_ZPMW03!P3</f>
        <v>25</v>
      </c>
      <c r="E32" t="str">
        <f>STG_ZPMW03!P4</f>
        <v>OK</v>
      </c>
      <c r="F32" s="5" t="inlineStr">
        <is>
          <t>Exacte header</t>
        </is>
      </c>
    </row>
    <row r="33">
      <c r="B33" s="34" t="inlineStr">
        <is>
          <t>BOR_LJ</t>
        </is>
      </c>
      <c r="C33" t="str">
        <f>STG_ZPMW03!Q2</f>
        <v>Bruto (omzet) result. LJ</v>
      </c>
      <c r="D33">
        <f>STG_ZPMW03!Q3</f>
        <v>26</v>
      </c>
      <c r="E33" t="str">
        <f>STG_ZPMW03!Q4</f>
        <v>OK</v>
      </c>
      <c r="F33" s="5" t="inlineStr">
        <is>
          <t>Exacte header</t>
        </is>
      </c>
    </row>
    <row r="34">
      <c r="B34" s="34" t="inlineStr">
        <is>
          <t>Port_BOB</t>
        </is>
      </c>
      <c r="C34" t="str">
        <f>STG_ZPMW03!R2</f>
        <v>Portefeuille BOB</v>
      </c>
      <c r="D34">
        <f>STG_ZPMW03!R3</f>
        <v>30</v>
      </c>
      <c r="E34" t="str">
        <f>STG_ZPMW03!R4</f>
        <v>OK</v>
      </c>
      <c r="F34" s="5" t="inlineStr">
        <is>
          <t>Exacte header</t>
        </is>
      </c>
    </row>
    <row r="35">
      <c r="B35" s="34" t="inlineStr">
        <is>
          <t>Port_BOR</t>
        </is>
      </c>
      <c r="C35" t="str">
        <f>STG_ZPMW03!S2</f>
        <v>Portefeuille BOR</v>
      </c>
      <c r="D35">
        <f>STG_ZPMW03!S3</f>
        <v>31</v>
      </c>
      <c r="E35" t="str">
        <f>STG_ZPMW03!S4</f>
        <v>OK</v>
      </c>
      <c r="F35" s="5" t="inlineStr">
        <is>
          <t>Exacte header</t>
        </is>
      </c>
    </row>
    <row r="36">
      <c r="B36" s="34" t="inlineStr">
        <is>
          <t>BOB_RJ_Q1</t>
        </is>
      </c>
      <c r="C36" t="str">
        <f>STG_ZPMW03!T2</f>
        <v>OP.BOB 2026-Q1</v>
      </c>
      <c r="D36">
        <f>STG_ZPMW03!T3</f>
        <v>32</v>
      </c>
      <c r="E36" t="str">
        <f>STG_ZPMW03!T4</f>
        <v>OK</v>
      </c>
      <c r="F36" s="5" t="inlineStr">
        <is>
          <t>Exacte header</t>
        </is>
      </c>
    </row>
    <row r="37">
      <c r="B37" s="34" t="inlineStr">
        <is>
          <t>BOR_RJ_Q1</t>
        </is>
      </c>
      <c r="C37" t="str">
        <f>STG_ZPMW03!U2</f>
        <v>OP.BOR 2026-Q1</v>
      </c>
      <c r="D37">
        <f>STG_ZPMW03!U3</f>
        <v>34</v>
      </c>
      <c r="E37" t="str">
        <f>STG_ZPMW03!U4</f>
        <v>OK</v>
      </c>
      <c r="F37" s="5" t="inlineStr">
        <is>
          <t>Exacte header</t>
        </is>
      </c>
    </row>
    <row r="38">
      <c r="B38" s="34" t="inlineStr">
        <is>
          <t>BOB_RJ_Q2</t>
        </is>
      </c>
      <c r="C38" t="str">
        <f>STG_ZPMW03!V2</f>
        <v>OP.BOB 2026-Q2</v>
      </c>
      <c r="D38">
        <f>STG_ZPMW03!V3</f>
        <v>35</v>
      </c>
      <c r="E38" t="str">
        <f>STG_ZPMW03!V4</f>
        <v>OK</v>
      </c>
      <c r="F38" s="5" t="inlineStr">
        <is>
          <t>Exacte header</t>
        </is>
      </c>
    </row>
    <row r="39">
      <c r="B39" s="34" t="inlineStr">
        <is>
          <t>BOR_RJ_Q2</t>
        </is>
      </c>
      <c r="C39" t="str">
        <f>STG_ZPMW03!W2</f>
        <v>OP.BOR 2026-Q2</v>
      </c>
      <c r="D39">
        <f>STG_ZPMW03!W3</f>
        <v>37</v>
      </c>
      <c r="E39" t="str">
        <f>STG_ZPMW03!W4</f>
        <v>OK</v>
      </c>
      <c r="F39" s="5" t="inlineStr">
        <is>
          <t>Exacte header</t>
        </is>
      </c>
    </row>
    <row r="40">
      <c r="B40" s="34" t="inlineStr">
        <is>
          <t>BOB_RJ_Q3</t>
        </is>
      </c>
      <c r="C40" t="str">
        <f>STG_ZPMW03!X2</f>
        <v>OP.BOB 2026-Q3</v>
      </c>
      <c r="D40">
        <f>STG_ZPMW03!X3</f>
        <v>38</v>
      </c>
      <c r="E40" t="str">
        <f>STG_ZPMW03!X4</f>
        <v>OK</v>
      </c>
      <c r="F40" s="5" t="inlineStr">
        <is>
          <t>Exacte header</t>
        </is>
      </c>
    </row>
    <row r="41">
      <c r="B41" s="34" t="inlineStr">
        <is>
          <t>BOR_RJ_Q3</t>
        </is>
      </c>
      <c r="C41" t="str">
        <f>STG_ZPMW03!Y2</f>
        <v>OP.BOR 2026-Q3</v>
      </c>
      <c r="D41">
        <f>STG_ZPMW03!Y3</f>
        <v>40</v>
      </c>
      <c r="E41" t="str">
        <f>STG_ZPMW03!Y4</f>
        <v>OK</v>
      </c>
      <c r="F41" s="5" t="inlineStr">
        <is>
          <t>Exacte header</t>
        </is>
      </c>
    </row>
    <row r="42">
      <c r="B42" s="34" t="inlineStr">
        <is>
          <t>BOB_RJ_Q4</t>
        </is>
      </c>
      <c r="C42" t="str">
        <f>STG_ZPMW03!Z2</f>
        <v>OP.BOB 2026-Q4</v>
      </c>
      <c r="D42">
        <f>STG_ZPMW03!Z3</f>
        <v>41</v>
      </c>
      <c r="E42" t="str">
        <f>STG_ZPMW03!Z4</f>
        <v>OK</v>
      </c>
      <c r="F42" s="5" t="inlineStr">
        <is>
          <t>Exacte header</t>
        </is>
      </c>
    </row>
    <row r="43">
      <c r="B43" s="34" t="inlineStr">
        <is>
          <t>BOR_RJ_Q4</t>
        </is>
      </c>
      <c r="C43" t="str">
        <f>STG_ZPMW03!AA2</f>
        <v>OP.BOR 2026-Q4</v>
      </c>
      <c r="D43">
        <f>STG_ZPMW03!AA3</f>
        <v>43</v>
      </c>
      <c r="E43" t="str">
        <f>STG_ZPMW03!AA4</f>
        <v>OK</v>
      </c>
      <c r="F43" s="5" t="inlineStr">
        <is>
          <t>Exacte header</t>
        </is>
      </c>
    </row>
    <row r="44">
      <c r="B44" s="34" t="inlineStr">
        <is>
          <t>BOB_RJ</t>
        </is>
      </c>
      <c r="C44" t="str">
        <f>STG_ZPMW03!AB2</f>
        <v>OP.BOB 2026</v>
      </c>
      <c r="D44">
        <f>STG_ZPMW03!AB3</f>
        <v>44</v>
      </c>
      <c r="E44" t="str">
        <f>STG_ZPMW03!AB4</f>
        <v>OK</v>
      </c>
      <c r="F44" s="5" t="inlineStr">
        <is>
          <t>Exacte header</t>
        </is>
      </c>
    </row>
    <row r="45">
      <c r="B45" s="34" t="inlineStr">
        <is>
          <t>Kosten_RJ</t>
        </is>
      </c>
      <c r="C45" t="str">
        <f>STG_ZPMW03!AC2</f>
        <v>Kosten 2026</v>
      </c>
      <c r="D45">
        <f>STG_ZPMW03!AC3</f>
        <v>45</v>
      </c>
      <c r="E45" t="str">
        <f>STG_ZPMW03!AC4</f>
        <v>OK</v>
      </c>
      <c r="F45" s="5" t="inlineStr">
        <is>
          <t>Exacte header</t>
        </is>
      </c>
    </row>
    <row r="46">
      <c r="B46" s="34" t="inlineStr">
        <is>
          <t>BOR_RJ</t>
        </is>
      </c>
      <c r="C46" t="str">
        <f>STG_ZPMW03!AD2</f>
        <v>OP.BOR 2026</v>
      </c>
      <c r="D46">
        <f>STG_ZPMW03!AD3</f>
        <v>46</v>
      </c>
      <c r="E46" t="str">
        <f>STG_ZPMW03!AD4</f>
        <v>OK</v>
      </c>
      <c r="F46" s="5" t="inlineStr">
        <is>
          <t>Exacte header</t>
        </is>
      </c>
    </row>
    <row r="47">
      <c r="B47" s="34" t="inlineStr">
        <is>
          <t>BOB_RJ1_Q1</t>
        </is>
      </c>
      <c r="C47" t="str">
        <f>STG_ZPMW03!AE2</f>
        <v>OP.BOB 2027-Q1</v>
      </c>
      <c r="D47">
        <f>STG_ZPMW03!AE3</f>
        <v>47</v>
      </c>
      <c r="E47" t="str">
        <f>STG_ZPMW03!AE4</f>
        <v>OK</v>
      </c>
      <c r="F47" s="5" t="inlineStr">
        <is>
          <t>Exacte header</t>
        </is>
      </c>
    </row>
    <row r="48">
      <c r="B48" s="34" t="inlineStr">
        <is>
          <t>BOR_RJ1_Q1</t>
        </is>
      </c>
      <c r="C48" t="str">
        <f>STG_ZPMW03!AF2</f>
        <v>OP.BOR 2027-Q1</v>
      </c>
      <c r="D48">
        <f>STG_ZPMW03!AF3</f>
        <v>49</v>
      </c>
      <c r="E48" t="str">
        <f>STG_ZPMW03!AF4</f>
        <v>OK</v>
      </c>
      <c r="F48" s="5" t="inlineStr">
        <is>
          <t>Exacte header</t>
        </is>
      </c>
    </row>
    <row r="49">
      <c r="B49" s="34" t="inlineStr">
        <is>
          <t>BOB_RJ1_Q2</t>
        </is>
      </c>
      <c r="C49" t="str">
        <f>STG_ZPMW03!AG2</f>
        <v>OP.BOB 2027-Q2</v>
      </c>
      <c r="D49">
        <f>STG_ZPMW03!AG3</f>
        <v>50</v>
      </c>
      <c r="E49" t="str">
        <f>STG_ZPMW03!AG4</f>
        <v>OK</v>
      </c>
      <c r="F49" s="5" t="inlineStr">
        <is>
          <t>Exacte header</t>
        </is>
      </c>
    </row>
    <row r="50">
      <c r="B50" s="34" t="inlineStr">
        <is>
          <t>BOR_RJ1_Q2</t>
        </is>
      </c>
      <c r="C50" t="str">
        <f>STG_ZPMW03!AH2</f>
        <v>OP.BOR 2027-Q2</v>
      </c>
      <c r="D50">
        <f>STG_ZPMW03!AH3</f>
        <v>52</v>
      </c>
      <c r="E50" t="str">
        <f>STG_ZPMW03!AH4</f>
        <v>OK</v>
      </c>
      <c r="F50" s="5" t="inlineStr">
        <is>
          <t>Exacte header</t>
        </is>
      </c>
    </row>
    <row r="51">
      <c r="B51" s="34" t="inlineStr">
        <is>
          <t>BOB_RJ1_Q3</t>
        </is>
      </c>
      <c r="C51" t="str">
        <f>STG_ZPMW03!AI2</f>
        <v>OP.BOB 2027-Q3</v>
      </c>
      <c r="D51">
        <f>STG_ZPMW03!AI3</f>
        <v>53</v>
      </c>
      <c r="E51" t="str">
        <f>STG_ZPMW03!AI4</f>
        <v>OK</v>
      </c>
      <c r="F51" s="5" t="inlineStr">
        <is>
          <t>Exacte header</t>
        </is>
      </c>
    </row>
    <row r="52">
      <c r="B52" s="34" t="inlineStr">
        <is>
          <t>BOR_RJ1_Q3</t>
        </is>
      </c>
      <c r="C52" t="str">
        <f>STG_ZPMW03!AJ2</f>
        <v>OP.BOR 2027-Q3</v>
      </c>
      <c r="D52">
        <f>STG_ZPMW03!AJ3</f>
        <v>55</v>
      </c>
      <c r="E52" t="str">
        <f>STG_ZPMW03!AJ4</f>
        <v>OK</v>
      </c>
      <c r="F52" s="5" t="inlineStr">
        <is>
          <t>Exacte header</t>
        </is>
      </c>
    </row>
    <row r="53">
      <c r="B53" s="34" t="inlineStr">
        <is>
          <t>BOB_RJ1_Q4</t>
        </is>
      </c>
      <c r="C53" t="str">
        <f>STG_ZPMW03!AK2</f>
        <v>OP.BOB 2027-Q4</v>
      </c>
      <c r="D53">
        <f>STG_ZPMW03!AK3</f>
        <v>56</v>
      </c>
      <c r="E53" t="str">
        <f>STG_ZPMW03!AK4</f>
        <v>OK</v>
      </c>
      <c r="F53" s="5" t="inlineStr">
        <is>
          <t>Exacte header</t>
        </is>
      </c>
    </row>
    <row r="54">
      <c r="B54" s="34" t="inlineStr">
        <is>
          <t>BOR_RJ1_Q4</t>
        </is>
      </c>
      <c r="C54" t="str">
        <f>STG_ZPMW03!AL2</f>
        <v>OP.BOR 2027-Q4</v>
      </c>
      <c r="D54">
        <f>STG_ZPMW03!AL3</f>
        <v>58</v>
      </c>
      <c r="E54" t="str">
        <f>STG_ZPMW03!AL4</f>
        <v>OK</v>
      </c>
      <c r="F54" s="5" t="inlineStr">
        <is>
          <t>Exacte header</t>
        </is>
      </c>
    </row>
    <row r="55">
      <c r="B55" s="34" t="inlineStr">
        <is>
          <t>BOB_RJ1</t>
        </is>
      </c>
      <c r="C55" t="str">
        <f>STG_ZPMW03!AM2</f>
        <v>OP.BOB 2027</v>
      </c>
      <c r="D55">
        <f>STG_ZPMW03!AM3</f>
        <v>59</v>
      </c>
      <c r="E55" t="str">
        <f>STG_ZPMW03!AM4</f>
        <v>OK</v>
      </c>
      <c r="F55" s="5" t="inlineStr">
        <is>
          <t>Exacte header</t>
        </is>
      </c>
    </row>
    <row r="56">
      <c r="B56" s="34" t="inlineStr">
        <is>
          <t>Kosten_RJ1</t>
        </is>
      </c>
      <c r="C56" t="str">
        <f>STG_ZPMW03!AN2</f>
        <v>Kosten 2027</v>
      </c>
      <c r="D56">
        <f>STG_ZPMW03!AN3</f>
        <v>60</v>
      </c>
      <c r="E56" t="str">
        <f>STG_ZPMW03!AN4</f>
        <v>OK</v>
      </c>
      <c r="F56" s="5" t="inlineStr">
        <is>
          <t>Exacte header</t>
        </is>
      </c>
    </row>
    <row r="57">
      <c r="B57" s="34" t="inlineStr">
        <is>
          <t>BOR_RJ1</t>
        </is>
      </c>
      <c r="C57" t="str">
        <f>STG_ZPMW03!AO2</f>
        <v>OP.BOR 2027</v>
      </c>
      <c r="D57">
        <f>STG_ZPMW03!AO3</f>
        <v>61</v>
      </c>
      <c r="E57" t="str">
        <f>STG_ZPMW03!AO4</f>
        <v>OK</v>
      </c>
      <c r="F57" s="5" t="inlineStr">
        <is>
          <t>Exacte header</t>
        </is>
      </c>
    </row>
    <row r="58">
      <c r="B58" s="34" t="inlineStr">
        <is>
          <t>BOB_RJ2</t>
        </is>
      </c>
      <c r="C58" t="str">
        <f>STG_ZPMW03!AP2</f>
        <v>OP.BOB 2028</v>
      </c>
      <c r="D58">
        <f>STG_ZPMW03!AP3</f>
        <v>62</v>
      </c>
      <c r="E58" t="str">
        <f>STG_ZPMW03!AP4</f>
        <v>OK</v>
      </c>
      <c r="F58" s="5" t="inlineStr">
        <is>
          <t>Exacte header</t>
        </is>
      </c>
    </row>
    <row r="59">
      <c r="B59" s="34" t="inlineStr">
        <is>
          <t>BOR_RJ2</t>
        </is>
      </c>
      <c r="C59" t="str">
        <f>STG_ZPMW03!AQ2</f>
        <v>OP.BOR 2028</v>
      </c>
      <c r="D59">
        <f>STG_ZPMW03!AQ3</f>
        <v>64</v>
      </c>
      <c r="E59" t="str">
        <f>STG_ZPMW03!AQ4</f>
        <v>OK</v>
      </c>
      <c r="F59" s="5" t="inlineStr">
        <is>
          <t>Exacte header</t>
        </is>
      </c>
    </row>
    <row r="60">
      <c r="B60" s="34" t="inlineStr">
        <is>
          <t>BOB_RJ3</t>
        </is>
      </c>
      <c r="C60" t="str">
        <f>STG_ZPMW03!AR2</f>
        <v>OP.BOB 2029</v>
      </c>
      <c r="D60">
        <f>STG_ZPMW03!AR3</f>
        <v>65</v>
      </c>
      <c r="E60" t="str">
        <f>STG_ZPMW03!AR4</f>
        <v>OK</v>
      </c>
      <c r="F60" s="5" t="inlineStr">
        <is>
          <t>Exacte header</t>
        </is>
      </c>
    </row>
    <row r="61">
      <c r="B61" s="34" t="inlineStr">
        <is>
          <t>BOR_RJ3</t>
        </is>
      </c>
      <c r="C61" t="str">
        <f>STG_ZPMW03!AS2</f>
        <v>OP.BOR 2029</v>
      </c>
      <c r="D61">
        <f>STG_ZPMW03!AS3</f>
        <v>67</v>
      </c>
      <c r="E61" t="str">
        <f>STG_ZPMW03!AS4</f>
        <v>OK</v>
      </c>
      <c r="F61" s="5" t="inlineStr">
        <is>
          <t>Exacte header</t>
        </is>
      </c>
    </row>
    <row r="62">
      <c r="B62" s="34" t="inlineStr">
        <is>
          <t>BOB_RJ4</t>
        </is>
      </c>
      <c r="C62" t="str">
        <f>STG_ZPMW03!AT2</f>
        <v>OP.BOB 2030</v>
      </c>
      <c r="D62">
        <f>STG_ZPMW03!AT3</f>
        <v>68</v>
      </c>
      <c r="E62" t="str">
        <f>STG_ZPMW03!AT4</f>
        <v>OK</v>
      </c>
      <c r="F62" s="5" t="inlineStr">
        <is>
          <t>Exacte header</t>
        </is>
      </c>
    </row>
    <row r="63">
      <c r="B63" s="34" t="inlineStr">
        <is>
          <t>BOR_RJ4</t>
        </is>
      </c>
      <c r="C63" t="str">
        <f>STG_ZPMW03!AU2</f>
        <v>OP.BOR 2030</v>
      </c>
      <c r="D63">
        <f>STG_ZPMW03!AU3</f>
        <v>70</v>
      </c>
      <c r="E63" t="str">
        <f>STG_ZPMW03!AU4</f>
        <v>OK</v>
      </c>
      <c r="F63" s="5" t="inlineStr">
        <is>
          <t>Exacte header</t>
        </is>
      </c>
    </row>
    <row r="64">
      <c r="B64" s="34" t="inlineStr">
        <is>
          <t>BOB_RJ5</t>
        </is>
      </c>
      <c r="C64" t="str">
        <f>STG_ZPMW03!AV2</f>
        <v>OP.BOB 2031</v>
      </c>
      <c r="D64">
        <f>STG_ZPMW03!AV3</f>
        <v>71</v>
      </c>
      <c r="E64" t="str">
        <f>STG_ZPMW03!AV4</f>
        <v>OK</v>
      </c>
      <c r="F64" s="5" t="inlineStr">
        <is>
          <t>Exacte header</t>
        </is>
      </c>
    </row>
    <row r="65">
      <c r="B65" s="34" t="inlineStr">
        <is>
          <t>BOR_RJ5</t>
        </is>
      </c>
      <c r="C65" t="str">
        <f>STG_ZPMW03!AW2</f>
        <v>OP.BOR 2031</v>
      </c>
      <c r="D65">
        <f>STG_ZPMW03!AW3</f>
        <v>73</v>
      </c>
      <c r="E65" t="str">
        <f>STG_ZPMW03!AW4</f>
        <v>OK</v>
      </c>
      <c r="F65" s="5" t="inlineStr">
        <is>
          <t>Exacte header</t>
        </is>
      </c>
    </row>
    <row r="66">
      <c r="B66" s="34" t="inlineStr">
        <is>
          <t>BOB_RJ6</t>
        </is>
      </c>
      <c r="C66" t="str">
        <f>STG_ZPMW03!AX2</f>
        <v>OP.BOB 2032</v>
      </c>
      <c r="D66">
        <f>STG_ZPMW03!AX3</f>
        <v>74</v>
      </c>
      <c r="E66" t="str">
        <f>STG_ZPMW03!AX4</f>
        <v>OK</v>
      </c>
      <c r="F66" s="5" t="inlineStr">
        <is>
          <t>Exacte header</t>
        </is>
      </c>
    </row>
    <row r="67">
      <c r="B67" s="34" t="inlineStr">
        <is>
          <t>BOR_RJ6</t>
        </is>
      </c>
      <c r="C67" t="str">
        <f>STG_ZPMW03!AY2</f>
        <v>OP.BOR 2032</v>
      </c>
      <c r="D67">
        <f>STG_ZPMW03!AY3</f>
        <v>76</v>
      </c>
      <c r="E67" t="str">
        <f>STG_ZPMW03!AY4</f>
        <v>OK</v>
      </c>
      <c r="F67" s="5" t="inlineStr">
        <is>
          <t>Exacte header</t>
        </is>
      </c>
    </row>
    <row r="68">
      <c r="B68" s="34" t="inlineStr">
        <is>
          <t>BOB_RJ7</t>
        </is>
      </c>
      <c r="C68" t="str">
        <f>STG_ZPMW03!AZ2</f>
        <v>OP.BOB 2033</v>
      </c>
      <c r="D68">
        <f>STG_ZPMW03!AZ3</f>
        <v>77</v>
      </c>
      <c r="E68" t="str">
        <f>STG_ZPMW03!AZ4</f>
        <v>OK</v>
      </c>
      <c r="F68" s="5" t="inlineStr">
        <is>
          <t>Exacte header</t>
        </is>
      </c>
    </row>
    <row r="69">
      <c r="B69" s="34" t="inlineStr">
        <is>
          <t>BOR_RJ7</t>
        </is>
      </c>
      <c r="C69" t="str">
        <f>STG_ZPMW03!BA2</f>
        <v>OP.BOR 2033</v>
      </c>
      <c r="D69">
        <f>STG_ZPMW03!BA3</f>
        <v>79</v>
      </c>
      <c r="E69" t="str">
        <f>STG_ZPMW03!BA4</f>
        <v>OK</v>
      </c>
      <c r="F69" s="5" t="inlineStr">
        <is>
          <t>Exacte header</t>
        </is>
      </c>
    </row>
    <row r="70">
      <c r="B70" s="34" t="inlineStr">
        <is>
          <t>BOB_RJ8</t>
        </is>
      </c>
      <c r="C70" t="str">
        <f>STG_ZPMW03!BB2</f>
        <v>OP.BOB 2034</v>
      </c>
      <c r="D70">
        <f>STG_ZPMW03!BB3</f>
        <v>80</v>
      </c>
      <c r="E70" t="str">
        <f>STG_ZPMW03!BB4</f>
        <v>OK</v>
      </c>
      <c r="F70" s="5" t="inlineStr">
        <is>
          <t>Exacte header</t>
        </is>
      </c>
    </row>
    <row r="71">
      <c r="B71" s="34" t="inlineStr">
        <is>
          <t>BOR_RJ8</t>
        </is>
      </c>
      <c r="C71" t="str">
        <f>STG_ZPMW03!BC2</f>
        <v>OP.BOR 2034</v>
      </c>
      <c r="D71">
        <f>STG_ZPMW03!BC3</f>
        <v>82</v>
      </c>
      <c r="E71" t="str">
        <f>STG_ZPMW03!BC4</f>
        <v>OK</v>
      </c>
      <c r="F71" s="5" t="inlineStr">
        <is>
          <t>Exacte header</t>
        </is>
      </c>
    </row>
    <row r="72">
      <c r="B72" s="34" t="inlineStr">
        <is>
          <t>BOB_ONV</t>
        </is>
      </c>
      <c r="C72" t="str">
        <f>STG_ZPMW03!BD2</f>
        <v>OP.BOB onverd.</v>
      </c>
      <c r="D72">
        <f>STG_ZPMW03!BD3</f>
        <v>83</v>
      </c>
      <c r="E72" t="str">
        <f>STG_ZPMW03!BD4</f>
        <v>OK</v>
      </c>
      <c r="F72" s="5" t="inlineStr">
        <is>
          <t>Exacte header</t>
        </is>
      </c>
    </row>
    <row r="73">
      <c r="B73" s="34" t="inlineStr">
        <is>
          <t>BOR_ONV</t>
        </is>
      </c>
      <c r="C73" t="str">
        <f>STG_ZPMW03!BE2</f>
        <v>OP.BOR onverd.</v>
      </c>
      <c r="D73">
        <f>STG_ZPMW03!BE3</f>
        <v>85</v>
      </c>
      <c r="E73" t="str">
        <f>STG_ZPMW03!BE4</f>
        <v>OK</v>
      </c>
      <c r="F73" s="5" t="inlineStr">
        <is>
          <t>Exacte header</t>
        </is>
      </c>
    </row>
    <row r="74">
      <c r="B74" s="34" t="inlineStr">
        <is>
          <t>POC</t>
        </is>
      </c>
      <c r="C74" t="str">
        <f>STG_ZPMW03!BF2</f>
        <v>Huidige POC %</v>
      </c>
      <c r="D74">
        <f>STG_ZPMW03!BF3</f>
        <v>86</v>
      </c>
      <c r="E74" t="str">
        <f>STG_ZPMW03!BF4</f>
        <v>OK</v>
      </c>
      <c r="F74" s="5" t="inlineStr">
        <is>
          <t>Exacte header</t>
        </is>
      </c>
    </row>
    <row r="75">
      <c r="B75" s="34" t="inlineStr">
        <is>
          <t>Orderintake</t>
        </is>
      </c>
      <c r="C75" t="str">
        <f>STG_ZPMW03!BG2</f>
        <v>Orderintake</v>
      </c>
      <c r="D75">
        <f>STG_ZPMW03!BG3</f>
        <v>87</v>
      </c>
      <c r="E75" t="str">
        <f>STG_ZPMW03!BG4</f>
        <v>OK</v>
      </c>
      <c r="F75" s="5" t="inlineStr">
        <is>
          <t>Exacte header</t>
        </is>
      </c>
    </row>
    <row r="76">
      <c r="B76" s="34" t="inlineStr">
        <is>
          <t>StartBouw</t>
        </is>
      </c>
      <c r="C76" t="str">
        <f>STG_ZPMW03!BH2</f>
        <v>Start bouw</v>
      </c>
      <c r="D76">
        <f>STG_ZPMW03!BH3</f>
        <v>88</v>
      </c>
      <c r="E76" t="str">
        <f>STG_ZPMW03!BH4</f>
        <v>OK</v>
      </c>
      <c r="F76" s="5" t="inlineStr">
        <is>
          <t>Exacte header</t>
        </is>
      </c>
    </row>
    <row r="77">
      <c r="B77" s="34" t="inlineStr">
        <is>
          <t>Oplevering</t>
        </is>
      </c>
      <c r="C77" t="str">
        <f>STG_ZPMW03!BI2</f>
        <v>Maand oplevering</v>
      </c>
      <c r="D77">
        <f>STG_ZPMW03!BI3</f>
        <v>89</v>
      </c>
      <c r="E77" t="str">
        <f>STG_ZPMW03!BI4</f>
        <v>OK</v>
      </c>
      <c r="F77" s="5" t="inlineStr">
        <is>
          <t>Exacte header</t>
        </is>
      </c>
    </row>
    <row r="78">
      <c r="B78" s="34" t="inlineStr">
        <is>
          <t>Risico</t>
        </is>
      </c>
      <c r="C78" t="str">
        <f>STG_ZPMW03!BJ2</f>
        <v>Risicoklasse</v>
      </c>
      <c r="D78">
        <f>STG_ZPMW03!BJ3</f>
        <v>90</v>
      </c>
      <c r="E78" t="str">
        <f>STG_ZPMW03!BJ4</f>
        <v>OK</v>
      </c>
      <c r="F78" s="5" t="inlineStr">
        <is>
          <t>Exacte header</t>
        </is>
      </c>
    </row>
    <row r="80">
      <c r="B80" s="16" t="inlineStr">
        <is>
          <t>C. Woningetalage: velden en vindplaats (gezocht op header, kolomvolgorde in bron mag wijzigen)</t>
        </is>
      </c>
      <c r="C80" s="8" t="n"/>
      <c r="D80" s="8" t="n"/>
      <c r="E80" s="8" t="n"/>
      <c r="F80" s="8" t="n"/>
      <c r="G80" s="8" t="n"/>
    </row>
    <row r="81" ht="22" customHeight="1">
      <c r="B81" s="32" t="inlineStr">
        <is>
          <t>Intern veld</t>
        </is>
      </c>
      <c r="C81" s="33" t="inlineStr">
        <is>
          <t>Gezochte header</t>
        </is>
      </c>
      <c r="D81" s="33" t="inlineStr">
        <is>
          <t>Kolomnr</t>
        </is>
      </c>
      <c r="E81" s="33" t="inlineStr">
        <is>
          <t>Status</t>
        </is>
      </c>
      <c r="F81" s="33" t="inlineStr">
        <is>
          <t>Methode</t>
        </is>
      </c>
      <c r="G81" s="33" t="inlineStr"/>
    </row>
    <row r="82">
      <c r="B82" s="34" t="inlineStr">
        <is>
          <t>Stufe3</t>
        </is>
      </c>
      <c r="C82" t="str">
        <f>STG_Woningetalage!B2</f>
        <v>Stufe 3</v>
      </c>
      <c r="D82">
        <f>STG_Woningetalage!B3</f>
        <v>10</v>
      </c>
      <c r="E82" t="str">
        <f>STG_Woningetalage!B4</f>
        <v>OK</v>
      </c>
      <c r="F82" s="5" t="inlineStr">
        <is>
          <t>Koppelsleutel</t>
        </is>
      </c>
    </row>
    <row r="83">
      <c r="B83" s="34" t="inlineStr">
        <is>
          <t>Bedr</t>
        </is>
      </c>
      <c r="C83" t="str">
        <f>STG_Woningetalage!C2</f>
        <v>Bedr.</v>
      </c>
      <c r="D83">
        <f>STG_Woningetalage!C3</f>
        <v>1</v>
      </c>
      <c r="E83" t="str">
        <f>STG_Woningetalage!C4</f>
        <v>OK</v>
      </c>
      <c r="F83" s="5" t="inlineStr">
        <is>
          <t>Exacte header</t>
        </is>
      </c>
    </row>
    <row r="84">
      <c r="B84" s="34" t="inlineStr">
        <is>
          <t>Bedrijfsnaam</t>
        </is>
      </c>
      <c r="C84" t="str">
        <f>STG_Woningetalage!D2</f>
        <v>Bedrijfsnaam | Naam maatschappij</v>
      </c>
      <c r="D84">
        <f>STG_Woningetalage!D3</f>
        <v>2</v>
      </c>
      <c r="E84" t="str">
        <f>STG_Woningetalage!D4</f>
        <v>OK</v>
      </c>
      <c r="F84" s="5" t="inlineStr">
        <is>
          <t>Alias: eerste die bestaat van Bedrijfsnaam / Naam maatschappij</t>
        </is>
      </c>
    </row>
    <row r="85">
      <c r="B85" s="34" t="inlineStr">
        <is>
          <t>Aandeel_txt</t>
        </is>
      </c>
      <c r="C85" t="str">
        <f>STG_Woningetalage!E2</f>
        <v>Aandeel Heijm.</v>
      </c>
      <c r="D85">
        <f>STG_Woningetalage!E3</f>
        <v>3</v>
      </c>
      <c r="E85" t="str">
        <f>STG_Woningetalage!E4</f>
        <v>OK</v>
      </c>
      <c r="F85" s="5" t="inlineStr">
        <is>
          <t>Exacte header</t>
        </is>
      </c>
    </row>
    <row r="86">
      <c r="B86" s="34" t="inlineStr">
        <is>
          <t>ProjSrt_code</t>
        </is>
      </c>
      <c r="C86" t="str">
        <f>STG_Woningetalage!F2</f>
        <v>Proj.srt</v>
      </c>
      <c r="D86">
        <f>STG_Woningetalage!F3</f>
        <v>4</v>
      </c>
      <c r="E86" t="str">
        <f>STG_Woningetalage!F4</f>
        <v>OK</v>
      </c>
      <c r="F86" s="5" t="inlineStr">
        <is>
          <t>1e voorkomen van dubbele header (code)</t>
        </is>
      </c>
    </row>
    <row r="87">
      <c r="B87" s="34" t="inlineStr">
        <is>
          <t>ProjSrt_oms</t>
        </is>
      </c>
      <c r="C87" t="str">
        <f>STG_Woningetalage!G2</f>
        <v>Proj.srt</v>
      </c>
      <c r="D87">
        <f>STG_Woningetalage!G3</f>
        <v>5</v>
      </c>
      <c r="E87" t="str">
        <f>STG_Woningetalage!G4</f>
        <v>OK</v>
      </c>
      <c r="F87" s="5" t="inlineStr">
        <is>
          <t>2e voorkomen van dubbele header (omschrijving); 1e voorkomen = code</t>
        </is>
      </c>
    </row>
    <row r="88">
      <c r="B88" s="34" t="inlineStr">
        <is>
          <t>PC_code</t>
        </is>
      </c>
      <c r="C88" t="str">
        <f>STG_Woningetalage!H2</f>
        <v>Profitctr.</v>
      </c>
      <c r="D88">
        <f>STG_Woningetalage!H3</f>
        <v>6</v>
      </c>
      <c r="E88" t="str">
        <f>STG_Woningetalage!H4</f>
        <v>OK</v>
      </c>
      <c r="F88" s="5" t="inlineStr">
        <is>
          <t>1e voorkomen van dubbele header (code)</t>
        </is>
      </c>
    </row>
    <row r="89">
      <c r="B89" s="34" t="inlineStr">
        <is>
          <t>PC_oms</t>
        </is>
      </c>
      <c r="C89" t="str">
        <f>STG_Woningetalage!I2</f>
        <v>Profitctr.</v>
      </c>
      <c r="D89">
        <f>STG_Woningetalage!I3</f>
        <v>7</v>
      </c>
      <c r="E89" t="str">
        <f>STG_Woningetalage!I4</f>
        <v>OK</v>
      </c>
      <c r="F89" s="5" t="inlineStr">
        <is>
          <t>2e voorkomen van dubbele header (omschrijving); 1e voorkomen = code</t>
        </is>
      </c>
    </row>
    <row r="90">
      <c r="B90" s="34" t="inlineStr">
        <is>
          <t>Project</t>
        </is>
      </c>
      <c r="C90" t="str">
        <f>STG_Woningetalage!J2</f>
        <v>Project</v>
      </c>
      <c r="D90">
        <f>STG_Woningetalage!J3</f>
        <v>8</v>
      </c>
      <c r="E90" t="str">
        <f>STG_Woningetalage!J4</f>
        <v>OK</v>
      </c>
      <c r="F90" s="5" t="inlineStr">
        <is>
          <t>Exacte header</t>
        </is>
      </c>
    </row>
    <row r="91">
      <c r="B91" s="34" t="inlineStr">
        <is>
          <t>Omschrijving</t>
        </is>
      </c>
      <c r="C91" t="str">
        <f>STG_Woningetalage!K2</f>
        <v>Omschrijving</v>
      </c>
      <c r="D91">
        <f>STG_Woningetalage!K3</f>
        <v>9</v>
      </c>
      <c r="E91" t="str">
        <f>STG_Woningetalage!K4</f>
        <v>OK</v>
      </c>
      <c r="F91" s="5" t="inlineStr">
        <is>
          <t>Exacte header</t>
        </is>
      </c>
    </row>
    <row r="92">
      <c r="B92" s="34" t="inlineStr">
        <is>
          <t>OmschrStufe3</t>
        </is>
      </c>
      <c r="C92" t="str">
        <f>STG_Woningetalage!L2</f>
        <v>Omschr.Stufe3</v>
      </c>
      <c r="D92">
        <f>STG_Woningetalage!L3</f>
        <v>11</v>
      </c>
      <c r="E92" t="str">
        <f>STG_Woningetalage!L4</f>
        <v>OK</v>
      </c>
      <c r="F92" s="5" t="inlineStr">
        <is>
          <t>Exacte header</t>
        </is>
      </c>
    </row>
    <row r="93">
      <c r="B93" s="34" t="inlineStr">
        <is>
          <t>Kans_txt</t>
        </is>
      </c>
      <c r="C93" t="str">
        <f>STG_Woningetalage!M2</f>
        <v>Kans</v>
      </c>
      <c r="D93">
        <f>STG_Woningetalage!M3</f>
        <v>12</v>
      </c>
      <c r="E93" t="str">
        <f>STG_Woningetalage!M4</f>
        <v>OK</v>
      </c>
      <c r="F93" s="5" t="inlineStr">
        <is>
          <t>Exacte header</t>
        </is>
      </c>
    </row>
    <row r="94">
      <c r="B94" s="34" t="inlineStr">
        <is>
          <t>StartVerk</t>
        </is>
      </c>
      <c r="C94" t="str">
        <f>STG_Woningetalage!N2</f>
        <v>Start verk.</v>
      </c>
      <c r="D94">
        <f>STG_Woningetalage!N3</f>
        <v>13</v>
      </c>
      <c r="E94" t="str">
        <f>STG_Woningetalage!N4</f>
        <v>OK</v>
      </c>
      <c r="F94" s="5" t="inlineStr">
        <is>
          <t>Exacte header</t>
        </is>
      </c>
    </row>
    <row r="95">
      <c r="B95" s="34" t="inlineStr">
        <is>
          <t>StartBouw</t>
        </is>
      </c>
      <c r="C95" t="str">
        <f>STG_Woningetalage!O2</f>
        <v>Start bouw</v>
      </c>
      <c r="D95">
        <f>STG_Woningetalage!O3</f>
        <v>14</v>
      </c>
      <c r="E95" t="str">
        <f>STG_Woningetalage!O4</f>
        <v>OK</v>
      </c>
      <c r="F95" s="5" t="inlineStr">
        <is>
          <t>Exacte header</t>
        </is>
      </c>
    </row>
    <row r="96">
      <c r="B96" s="34" t="inlineStr">
        <is>
          <t>EindOpl</t>
        </is>
      </c>
      <c r="C96" t="str">
        <f>STG_Woningetalage!P2</f>
        <v>Eind opl.</v>
      </c>
      <c r="D96">
        <f>STG_Woningetalage!P3</f>
        <v>15</v>
      </c>
      <c r="E96" t="str">
        <f>STG_Woningetalage!P4</f>
        <v>OK</v>
      </c>
      <c r="F96" s="5" t="inlineStr">
        <is>
          <t>Exacte header</t>
        </is>
      </c>
    </row>
    <row r="97">
      <c r="B97" s="34" t="inlineStr">
        <is>
          <t>Aantal</t>
        </is>
      </c>
      <c r="C97" t="str">
        <f>STG_Woningetalage!Q2</f>
        <v>Aantal woningen</v>
      </c>
      <c r="D97">
        <f>STG_Woningetalage!Q3</f>
        <v>16</v>
      </c>
      <c r="E97" t="str">
        <f>STG_Woningetalage!Q4</f>
        <v>OK</v>
      </c>
      <c r="F97" s="5" t="inlineStr">
        <is>
          <t>Exacte header</t>
        </is>
      </c>
    </row>
    <row r="98">
      <c r="B98" s="34" t="inlineStr">
        <is>
          <t>VJ_B</t>
        </is>
      </c>
      <c r="C98" t="str">
        <f>STG_Woningetalage!R2</f>
        <v>t/m vorig jr Beleggers</v>
      </c>
      <c r="D98">
        <f>STG_Woningetalage!R3</f>
        <v>17</v>
      </c>
      <c r="E98" t="str">
        <f>STG_Woningetalage!R4</f>
        <v>OK</v>
      </c>
      <c r="F98" s="5" t="inlineStr">
        <is>
          <t>Exacte header</t>
        </is>
      </c>
    </row>
    <row r="99">
      <c r="B99" s="34" t="inlineStr">
        <is>
          <t>VJ_P</t>
        </is>
      </c>
      <c r="C99" t="str">
        <f>STG_Woningetalage!S2</f>
        <v>t/m vorig jr Particulier</v>
      </c>
      <c r="D99">
        <f>STG_Woningetalage!S3</f>
        <v>18</v>
      </c>
      <c r="E99" t="str">
        <f>STG_Woningetalage!S4</f>
        <v>OK</v>
      </c>
      <c r="F99" s="5" t="inlineStr">
        <is>
          <t>Exacte header</t>
        </is>
      </c>
    </row>
    <row r="100">
      <c r="B100" s="34" t="inlineStr">
        <is>
          <t>VJ_T</t>
        </is>
      </c>
      <c r="C100" t="str">
        <f>STG_Woningetalage!T2</f>
        <v>t/m vorig jr Totaal</v>
      </c>
      <c r="D100">
        <f>STG_Woningetalage!T3</f>
        <v>19</v>
      </c>
      <c r="E100" t="str">
        <f>STG_Woningetalage!T4</f>
        <v>OK</v>
      </c>
      <c r="F100" s="5" t="inlineStr">
        <is>
          <t>Exacte header</t>
        </is>
      </c>
    </row>
    <row r="101">
      <c r="B101" s="34" t="inlineStr">
        <is>
          <t>HJ_B</t>
        </is>
      </c>
      <c r="C101" t="str">
        <f>STG_Woningetalage!U2</f>
        <v>Huidig jr Beleggers</v>
      </c>
      <c r="D101">
        <f>STG_Woningetalage!U3</f>
        <v>20</v>
      </c>
      <c r="E101" t="str">
        <f>STG_Woningetalage!U4</f>
        <v>OK</v>
      </c>
      <c r="F101" s="5" t="inlineStr">
        <is>
          <t>Exacte header</t>
        </is>
      </c>
    </row>
    <row r="102">
      <c r="B102" s="34" t="inlineStr">
        <is>
          <t>HJ_P</t>
        </is>
      </c>
      <c r="C102" t="str">
        <f>STG_Woningetalage!V2</f>
        <v>Huidig jr Particulier</v>
      </c>
      <c r="D102">
        <f>STG_Woningetalage!V3</f>
        <v>21</v>
      </c>
      <c r="E102" t="str">
        <f>STG_Woningetalage!V4</f>
        <v>OK</v>
      </c>
      <c r="F102" s="5" t="inlineStr">
        <is>
          <t>Exacte header</t>
        </is>
      </c>
    </row>
    <row r="103">
      <c r="B103" s="34" t="inlineStr">
        <is>
          <t>HJ_T</t>
        </is>
      </c>
      <c r="C103" t="str">
        <f>STG_Woningetalage!W2</f>
        <v>Huidig jr Totaal</v>
      </c>
      <c r="D103">
        <f>STG_Woningetalage!W3</f>
        <v>22</v>
      </c>
      <c r="E103" t="str">
        <f>STG_Woningetalage!W4</f>
        <v>OK</v>
      </c>
      <c r="F103" s="5" t="inlineStr">
        <is>
          <t>Exacte header</t>
        </is>
      </c>
    </row>
    <row r="104">
      <c r="B104" s="34" t="inlineStr">
        <is>
          <t>Cum_B</t>
        </is>
      </c>
      <c r="C104" t="str">
        <f>STG_Woningetalage!X2</f>
        <v>Cumulatief Beleggers</v>
      </c>
      <c r="D104">
        <f>STG_Woningetalage!X3</f>
        <v>23</v>
      </c>
      <c r="E104" t="str">
        <f>STG_Woningetalage!X4</f>
        <v>OK</v>
      </c>
      <c r="F104" s="5" t="inlineStr">
        <is>
          <t>Exacte header</t>
        </is>
      </c>
    </row>
    <row r="105">
      <c r="B105" s="34" t="inlineStr">
        <is>
          <t>Cum_P</t>
        </is>
      </c>
      <c r="C105" t="str">
        <f>STG_Woningetalage!Y2</f>
        <v>Cumulatief Particulier</v>
      </c>
      <c r="D105">
        <f>STG_Woningetalage!Y3</f>
        <v>24</v>
      </c>
      <c r="E105" t="str">
        <f>STG_Woningetalage!Y4</f>
        <v>OK</v>
      </c>
      <c r="F105" s="5" t="inlineStr">
        <is>
          <t>Exacte header</t>
        </is>
      </c>
    </row>
    <row r="106">
      <c r="B106" s="34" t="inlineStr">
        <is>
          <t>Cum_T</t>
        </is>
      </c>
      <c r="C106" t="str">
        <f>STG_Woningetalage!Z2</f>
        <v>Cumulatief Totaal</v>
      </c>
      <c r="D106">
        <f>STG_Woningetalage!Z3</f>
        <v>25</v>
      </c>
      <c r="E106" t="str">
        <f>STG_Woningetalage!Z4</f>
        <v>OK</v>
      </c>
      <c r="F106" s="5" t="inlineStr">
        <is>
          <t>Exacte header</t>
        </is>
      </c>
    </row>
    <row r="107">
      <c r="B107" s="34" t="inlineStr">
        <is>
          <t>Etalage</t>
        </is>
      </c>
      <c r="C107" t="str">
        <f>STG_Woningetalage!AA2</f>
        <v>Etalage Totaal</v>
      </c>
      <c r="D107">
        <f>STG_Woningetalage!AA3</f>
        <v>26</v>
      </c>
      <c r="E107" t="str">
        <f>STG_Woningetalage!AA4</f>
        <v>OK</v>
      </c>
      <c r="F107" s="5" t="inlineStr">
        <is>
          <t>Exacte header</t>
        </is>
      </c>
    </row>
    <row r="108">
      <c r="B108" s="34" t="inlineStr">
        <is>
          <t>M01</t>
        </is>
      </c>
      <c r="C108" t="str">
        <f>STG_Woningetalage!AB2</f>
        <v>hjr 01</v>
      </c>
      <c r="D108">
        <f>STG_Woningetalage!AB3</f>
        <v>27</v>
      </c>
      <c r="E108" t="str">
        <f>STG_Woningetalage!AB4</f>
        <v>OK</v>
      </c>
      <c r="F108" s="5" t="inlineStr">
        <is>
          <t>Exacte header</t>
        </is>
      </c>
    </row>
    <row r="109">
      <c r="B109" s="34" t="inlineStr">
        <is>
          <t>M02</t>
        </is>
      </c>
      <c r="C109" t="str">
        <f>STG_Woningetalage!AC2</f>
        <v>hjr 02</v>
      </c>
      <c r="D109">
        <f>STG_Woningetalage!AC3</f>
        <v>28</v>
      </c>
      <c r="E109" t="str">
        <f>STG_Woningetalage!AC4</f>
        <v>OK</v>
      </c>
      <c r="F109" s="5" t="inlineStr">
        <is>
          <t>Exacte header</t>
        </is>
      </c>
    </row>
    <row r="110">
      <c r="B110" s="34" t="inlineStr">
        <is>
          <t>M03</t>
        </is>
      </c>
      <c r="C110" t="str">
        <f>STG_Woningetalage!AD2</f>
        <v>hjr 03</v>
      </c>
      <c r="D110">
        <f>STG_Woningetalage!AD3</f>
        <v>29</v>
      </c>
      <c r="E110" t="str">
        <f>STG_Woningetalage!AD4</f>
        <v>OK</v>
      </c>
      <c r="F110" s="5" t="inlineStr">
        <is>
          <t>Exacte header</t>
        </is>
      </c>
    </row>
    <row r="111">
      <c r="B111" s="34" t="inlineStr">
        <is>
          <t>M04</t>
        </is>
      </c>
      <c r="C111" t="str">
        <f>STG_Woningetalage!AE2</f>
        <v>hjr 04</v>
      </c>
      <c r="D111">
        <f>STG_Woningetalage!AE3</f>
        <v>30</v>
      </c>
      <c r="E111" t="str">
        <f>STG_Woningetalage!AE4</f>
        <v>OK</v>
      </c>
      <c r="F111" s="5" t="inlineStr">
        <is>
          <t>Exacte header</t>
        </is>
      </c>
    </row>
    <row r="112">
      <c r="B112" s="34" t="inlineStr">
        <is>
          <t>M05</t>
        </is>
      </c>
      <c r="C112" t="str">
        <f>STG_Woningetalage!AF2</f>
        <v>hjr 05</v>
      </c>
      <c r="D112">
        <f>STG_Woningetalage!AF3</f>
        <v>31</v>
      </c>
      <c r="E112" t="str">
        <f>STG_Woningetalage!AF4</f>
        <v>OK</v>
      </c>
      <c r="F112" s="5" t="inlineStr">
        <is>
          <t>Exacte header</t>
        </is>
      </c>
    </row>
    <row r="113">
      <c r="B113" s="34" t="inlineStr">
        <is>
          <t>M06</t>
        </is>
      </c>
      <c r="C113" t="str">
        <f>STG_Woningetalage!AG2</f>
        <v>hjr 06</v>
      </c>
      <c r="D113">
        <f>STG_Woningetalage!AG3</f>
        <v>32</v>
      </c>
      <c r="E113" t="str">
        <f>STG_Woningetalage!AG4</f>
        <v>OK</v>
      </c>
      <c r="F113" s="5" t="inlineStr">
        <is>
          <t>Exacte header</t>
        </is>
      </c>
    </row>
    <row r="114">
      <c r="B114" s="34" t="inlineStr">
        <is>
          <t>M07</t>
        </is>
      </c>
      <c r="C114" t="str">
        <f>STG_Woningetalage!AH2</f>
        <v>hjr 07</v>
      </c>
      <c r="D114">
        <f>STG_Woningetalage!AH3</f>
        <v>33</v>
      </c>
      <c r="E114" t="str">
        <f>STG_Woningetalage!AH4</f>
        <v>OK</v>
      </c>
      <c r="F114" s="5" t="inlineStr">
        <is>
          <t>Exacte header</t>
        </is>
      </c>
    </row>
    <row r="115">
      <c r="B115" s="34" t="inlineStr">
        <is>
          <t>M08</t>
        </is>
      </c>
      <c r="C115" t="str">
        <f>STG_Woningetalage!AI2</f>
        <v>hjr 08</v>
      </c>
      <c r="D115">
        <f>STG_Woningetalage!AI3</f>
        <v>34</v>
      </c>
      <c r="E115" t="str">
        <f>STG_Woningetalage!AI4</f>
        <v>OK</v>
      </c>
      <c r="F115" s="5" t="inlineStr">
        <is>
          <t>Exacte header</t>
        </is>
      </c>
    </row>
    <row r="116">
      <c r="B116" s="34" t="inlineStr">
        <is>
          <t>M09</t>
        </is>
      </c>
      <c r="C116" t="str">
        <f>STG_Woningetalage!AJ2</f>
        <v>hjr 09</v>
      </c>
      <c r="D116">
        <f>STG_Woningetalage!AJ3</f>
        <v>35</v>
      </c>
      <c r="E116" t="str">
        <f>STG_Woningetalage!AJ4</f>
        <v>OK</v>
      </c>
      <c r="F116" s="5" t="inlineStr">
        <is>
          <t>Exacte header</t>
        </is>
      </c>
    </row>
    <row r="117">
      <c r="B117" s="34" t="inlineStr">
        <is>
          <t>M10</t>
        </is>
      </c>
      <c r="C117" t="str">
        <f>STG_Woningetalage!AK2</f>
        <v>hjr 10</v>
      </c>
      <c r="D117">
        <f>STG_Woningetalage!AK3</f>
        <v>36</v>
      </c>
      <c r="E117" t="str">
        <f>STG_Woningetalage!AK4</f>
        <v>OK</v>
      </c>
      <c r="F117" s="5" t="inlineStr">
        <is>
          <t>Exacte header</t>
        </is>
      </c>
    </row>
    <row r="118">
      <c r="B118" s="34" t="inlineStr">
        <is>
          <t>M11</t>
        </is>
      </c>
      <c r="C118" t="str">
        <f>STG_Woningetalage!AL2</f>
        <v>hjr 11</v>
      </c>
      <c r="D118">
        <f>STG_Woningetalage!AL3</f>
        <v>37</v>
      </c>
      <c r="E118" t="str">
        <f>STG_Woningetalage!AL4</f>
        <v>OK</v>
      </c>
      <c r="F118" s="5" t="inlineStr">
        <is>
          <t>Exacte header</t>
        </is>
      </c>
    </row>
    <row r="119">
      <c r="B119" s="34" t="inlineStr">
        <is>
          <t>M12</t>
        </is>
      </c>
      <c r="C119" t="str">
        <f>STG_Woningetalage!AM2</f>
        <v>hjr 12</v>
      </c>
      <c r="D119">
        <f>STG_Woningetalage!AM3</f>
        <v>38</v>
      </c>
      <c r="E119" t="str">
        <f>STG_Woningetalage!AM4</f>
        <v>OK</v>
      </c>
      <c r="F119" s="5" t="inlineStr">
        <is>
          <t>Exacte header</t>
        </is>
      </c>
    </row>
    <row r="120">
      <c r="B120" s="34" t="inlineStr">
        <is>
          <t>VQ1</t>
        </is>
      </c>
      <c r="C120" t="str">
        <f>STG_Woningetalage!AN2</f>
        <v>Volgend jr Q1</v>
      </c>
      <c r="D120">
        <f>STG_Woningetalage!AN3</f>
        <v>39</v>
      </c>
      <c r="E120" t="str">
        <f>STG_Woningetalage!AN4</f>
        <v>OK</v>
      </c>
      <c r="F120" s="5" t="inlineStr">
        <is>
          <t>Exacte header</t>
        </is>
      </c>
    </row>
    <row r="121">
      <c r="B121" s="34" t="inlineStr">
        <is>
          <t>VQ2</t>
        </is>
      </c>
      <c r="C121" t="str">
        <f>STG_Woningetalage!AO2</f>
        <v>Volgend jr Q2</v>
      </c>
      <c r="D121">
        <f>STG_Woningetalage!AO3</f>
        <v>40</v>
      </c>
      <c r="E121" t="str">
        <f>STG_Woningetalage!AO4</f>
        <v>OK</v>
      </c>
      <c r="F121" s="5" t="inlineStr">
        <is>
          <t>Exacte header</t>
        </is>
      </c>
    </row>
    <row r="122">
      <c r="B122" s="34" t="inlineStr">
        <is>
          <t>VQ3</t>
        </is>
      </c>
      <c r="C122" t="str">
        <f>STG_Woningetalage!AP2</f>
        <v>Volgend jr Q3</v>
      </c>
      <c r="D122">
        <f>STG_Woningetalage!AP3</f>
        <v>41</v>
      </c>
      <c r="E122" t="str">
        <f>STG_Woningetalage!AP4</f>
        <v>OK</v>
      </c>
      <c r="F122" s="5" t="inlineStr">
        <is>
          <t>Exacte header</t>
        </is>
      </c>
    </row>
    <row r="123">
      <c r="B123" s="34" t="inlineStr">
        <is>
          <t>VQ4</t>
        </is>
      </c>
      <c r="C123" t="str">
        <f>STG_Woningetalage!AQ2</f>
        <v>Volgend jr Q4</v>
      </c>
      <c r="D123">
        <f>STG_Woningetalage!AQ3</f>
        <v>42</v>
      </c>
      <c r="E123" t="str">
        <f>STG_Woningetalage!AQ4</f>
        <v>OK</v>
      </c>
      <c r="F123" s="5" t="inlineStr">
        <is>
          <t>Exacte header</t>
        </is>
      </c>
    </row>
    <row r="124">
      <c r="B124" s="34" t="inlineStr">
        <is>
          <t>HuidigJaar</t>
        </is>
      </c>
      <c r="C124" t="str">
        <f>STG_Woningetalage!AR2</f>
        <v>Huidig jaar</v>
      </c>
      <c r="D124">
        <f>STG_Woningetalage!AR3</f>
        <v>43</v>
      </c>
      <c r="E124" t="str">
        <f>STG_Woningetalage!AR4</f>
        <v>OK</v>
      </c>
      <c r="F124" s="5" t="inlineStr">
        <is>
          <t>Exacte header</t>
        </is>
      </c>
    </row>
    <row r="125">
      <c r="B125" s="34" t="inlineStr">
        <is>
          <t>VolgendJaar</t>
        </is>
      </c>
      <c r="C125" t="str">
        <f>STG_Woningetalage!AS2</f>
        <v>Volgend jaar</v>
      </c>
      <c r="D125">
        <f>STG_Woningetalage!AS3</f>
        <v>44</v>
      </c>
      <c r="E125" t="str">
        <f>STG_Woningetalage!AS4</f>
        <v>OK</v>
      </c>
      <c r="F125" s="5" t="inlineStr">
        <is>
          <t>Exacte header</t>
        </is>
      </c>
    </row>
    <row r="126">
      <c r="B126" s="34" t="inlineStr">
        <is>
          <t>Rond</t>
        </is>
      </c>
      <c r="C126" t="str">
        <f>STG_Woningetalage!AT2</f>
        <v>Rond</v>
      </c>
      <c r="D126">
        <f>STG_Woningetalage!AT3</f>
        <v>45</v>
      </c>
      <c r="E126" t="str">
        <f>STG_Woningetalage!AT4</f>
        <v>OK</v>
      </c>
      <c r="F126" s="5" t="inlineStr">
        <is>
          <t>Via jaarheader-mapping (tabel A)</t>
        </is>
      </c>
    </row>
    <row r="127">
      <c r="B127" s="34" t="inlineStr">
        <is>
          <t>Y_RJ2</t>
        </is>
      </c>
      <c r="C127">
        <f>STG_Woningetalage!AU2</f>
        <v>2028</v>
      </c>
      <c r="D127">
        <f>STG_Woningetalage!AU3</f>
        <v>46</v>
      </c>
      <c r="E127" t="str">
        <f>STG_Woningetalage!AU4</f>
        <v>OK</v>
      </c>
      <c r="F127" s="5" t="inlineStr">
        <is>
          <t>Via jaarheader-mapping (tabel A)</t>
        </is>
      </c>
    </row>
    <row r="128">
      <c r="B128" s="34" t="inlineStr">
        <is>
          <t>Y_RJ3</t>
        </is>
      </c>
      <c r="C128">
        <f>STG_Woningetalage!AV2</f>
        <v>2029</v>
      </c>
      <c r="D128">
        <f>STG_Woningetalage!AV3</f>
        <v>47</v>
      </c>
      <c r="E128" t="str">
        <f>STG_Woningetalage!AV4</f>
        <v>OK</v>
      </c>
      <c r="F128" s="5" t="inlineStr">
        <is>
          <t>Via jaarheader-mapping (tabel A)</t>
        </is>
      </c>
    </row>
    <row r="129">
      <c r="B129" s="34" t="inlineStr">
        <is>
          <t>Y_RJ4</t>
        </is>
      </c>
      <c r="C129">
        <f>STG_Woningetalage!AW2</f>
        <v>2030</v>
      </c>
      <c r="D129">
        <f>STG_Woningetalage!AW3</f>
        <v>48</v>
      </c>
      <c r="E129" t="str">
        <f>STG_Woningetalage!AW4</f>
        <v>OK</v>
      </c>
      <c r="F129" s="5" t="inlineStr">
        <is>
          <t>Via jaarheader-mapping (tabel A)</t>
        </is>
      </c>
    </row>
    <row r="130">
      <c r="B130" s="34" t="inlineStr">
        <is>
          <t>Y_RJ5</t>
        </is>
      </c>
      <c r="C130">
        <f>STG_Woningetalage!AX2</f>
        <v>2031</v>
      </c>
      <c r="D130">
        <f>STG_Woningetalage!AX3</f>
        <v>49</v>
      </c>
      <c r="E130" t="str">
        <f>STG_Woningetalage!AX4</f>
        <v>OK</v>
      </c>
      <c r="F130" s="5" t="inlineStr">
        <is>
          <t>Via jaarheader-mapping (tabel A)</t>
        </is>
      </c>
    </row>
    <row r="131">
      <c r="B131" s="34" t="inlineStr">
        <is>
          <t>Y_RJ6</t>
        </is>
      </c>
      <c r="C131">
        <f>STG_Woningetalage!AY2</f>
        <v>2032</v>
      </c>
      <c r="D131">
        <f>STG_Woningetalage!AY3</f>
        <v>50</v>
      </c>
      <c r="E131" t="str">
        <f>STG_Woningetalage!AY4</f>
        <v>OK</v>
      </c>
      <c r="F131" s="5" t="inlineStr">
        <is>
          <t>Via jaarheader-mapping (tabel A)</t>
        </is>
      </c>
    </row>
    <row r="132">
      <c r="B132" s="34" t="inlineStr">
        <is>
          <t>Y_NEG1</t>
        </is>
      </c>
      <c r="C132">
        <f>STG_Woningetalage!AZ2</f>
        <v>-2033</v>
      </c>
      <c r="D132">
        <f>STG_Woningetalage!AZ3</f>
        <v>51</v>
      </c>
      <c r="E132" t="str">
        <f>STG_Woningetalage!AZ4</f>
        <v>OK</v>
      </c>
      <c r="F132" s="5" t="inlineStr">
        <is>
          <t>Via jaarheader-mapping (tabel A)</t>
        </is>
      </c>
    </row>
    <row r="133">
      <c r="B133" s="34" t="inlineStr">
        <is>
          <t>Y_NEG2</t>
        </is>
      </c>
      <c r="C133">
        <f>STG_Woningetalage!BA2</f>
        <v>-2034</v>
      </c>
      <c r="D133">
        <f>STG_Woningetalage!BA3</f>
        <v>52</v>
      </c>
      <c r="E133" t="str">
        <f>STG_Woningetalage!BA4</f>
        <v>OK</v>
      </c>
      <c r="F133" s="5" t="inlineStr">
        <is>
          <t>Via jaarheader-mapping (tabel A)</t>
        </is>
      </c>
    </row>
    <row r="134">
      <c r="B134" s="34" t="inlineStr">
        <is>
          <t>Y_NEG3</t>
        </is>
      </c>
      <c r="C134">
        <f>STG_Woningetalage!BB2</f>
        <v>-2035</v>
      </c>
      <c r="D134">
        <f>STG_Woningetalage!BB3</f>
        <v>53</v>
      </c>
      <c r="E134" t="str">
        <f>STG_Woningetalage!BB4</f>
        <v>OK</v>
      </c>
      <c r="F134" s="5" t="inlineStr">
        <is>
          <t>Via jaarheader-mapping (tabel A)</t>
        </is>
      </c>
    </row>
  </sheetData>
  <conditionalFormatting sqref="E5:E136">
    <cfRule type="expression" priority="1" dxfId="10">
      <formula>E5="ONTBREEKT"</formula>
    </cfRule>
  </conditionalFormatting>
  <conditionalFormatting sqref="D6:D14">
    <cfRule type="expression" priority="2" dxfId="0">
      <formula>D6="NEE"</formula>
    </cfRule>
  </conditionalFormatting>
  <pageMargins left="0.75" right="0.75" top="1" bottom="1" header="0.5" footer="0.5"/>
</worksheet>
</file>

<file path=xl/worksheets/sheet23.xml><?xml version="1.0" encoding="utf-8"?>
<worksheet xmlns="http://schemas.openxmlformats.org/spreadsheetml/2006/main">
  <sheetPr>
    <tabColor rgb="00D9DEE8"/>
    <outlinePr summaryBelow="1" summaryRight="1"/>
    <pageSetUpPr/>
  </sheetPr>
  <dimension ref="A1:G37"/>
  <sheetViews>
    <sheetView showGridLines="0" zoomScale="100" workbookViewId="0">
      <selection activeCell="A1" sqref="A1"/>
    </sheetView>
  </sheetViews>
  <sheetFormatPr baseColWidth="8" defaultRowHeight="15"/>
  <cols>
    <col width="2" customWidth="1" min="1" max="1"/>
    <col width="34" customWidth="1" min="2" max="2"/>
    <col width="30" customWidth="1" min="3" max="3"/>
    <col width="70" customWidth="1" min="4" max="4"/>
    <col width="18" customWidth="1" min="5" max="5"/>
    <col width="50" customWidth="1" min="6" max="6"/>
  </cols>
  <sheetData>
    <row r="1" ht="28" customHeight="1">
      <c r="A1" s="1" t="n"/>
      <c r="B1" s="2" t="inlineStr">
        <is>
          <t>Rapportagemapping</t>
        </is>
      </c>
      <c r="C1" s="1" t="n"/>
      <c r="D1" s="1" t="n"/>
      <c r="E1" s="1" t="n"/>
      <c r="F1" s="1" t="n"/>
      <c r="G1" s="1" t="n"/>
    </row>
    <row r="2">
      <c r="B2" s="3" t="inlineStr">
        <is>
          <t>Elke rapportageregel naar bron, berekening en aanvullende invoer, met openstaande definities.</t>
        </is>
      </c>
    </row>
    <row r="4" ht="22" customHeight="1">
      <c r="B4" s="32" t="inlineStr">
        <is>
          <t>Rapportageregel</t>
        </is>
      </c>
      <c r="C4" s="33" t="inlineStr">
        <is>
          <t>Bron</t>
        </is>
      </c>
      <c r="D4" s="33" t="inlineStr">
        <is>
          <t>Berekening</t>
        </is>
      </c>
      <c r="E4" s="33" t="inlineStr">
        <is>
          <t>Aanvullende invoer</t>
        </is>
      </c>
      <c r="F4" s="33" t="inlineStr">
        <is>
          <t>Openstaande definitie</t>
        </is>
      </c>
    </row>
    <row r="5">
      <c r="B5" s="87" t="inlineStr">
        <is>
          <t>RDFO › Omzet opstal</t>
        </is>
      </c>
      <c r="C5" s="87" t="inlineStr">
        <is>
          <t>ZPMW03 + Mapping (Type=Opstal)</t>
        </is>
      </c>
      <c r="D5" s="87" t="inlineStr">
        <is>
          <t>FY RJ = −Bedrijfsopbrengsten LJ − OP.BOB RJ; FY RJ+1 = −OP.BOB RJ+1; per WBS gesommeerd (VERW_Project). Versiekolommen: Vastlegging 'Omzet FY'.</t>
        </is>
      </c>
      <c r="E5" s="87" t="inlineStr">
        <is>
          <t>—</t>
        </is>
      </c>
      <c r="F5" s="87" t="inlineStr">
        <is>
          <t>Is OP.BOB RJ in productie een restant of volledig jaar? (Controle waarschuwt als Q1–Q3 ≠ 0.)</t>
        </is>
      </c>
    </row>
    <row r="6">
      <c r="B6" s="87" t="inlineStr">
        <is>
          <t>RDFO › Omzet deelnemingen</t>
        </is>
      </c>
      <c r="C6" s="87" t="inlineStr">
        <is>
          <t>ZPMW03 + Mapping (Type=Deelneming)</t>
        </is>
      </c>
      <c r="D6" s="87" t="inlineStr">
        <is>
          <t>Idem; bedragen al op aandeelbasis, aandeel niet toegepast.</t>
        </is>
      </c>
      <c r="E6" s="87" t="inlineStr">
        <is>
          <t>—</t>
        </is>
      </c>
      <c r="F6" s="87" t="inlineStr">
        <is>
          <t>Is Type ‘Deelneming’ in productie af te leiden uit een SAP-veld of blijft het mapping?</t>
        </is>
      </c>
    </row>
    <row r="7">
      <c r="B7" s="87" t="inlineStr">
        <is>
          <t>RDFO › Taakstelling omzet</t>
        </is>
      </c>
      <c r="C7" s="87" t="inlineStr">
        <is>
          <t>—</t>
        </is>
      </c>
      <c r="D7" s="87" t="inlineStr">
        <is>
          <t>Som Invoer_Aanvullend (rubriek, soort FY/Actual YTD).</t>
        </is>
      </c>
      <c r="E7" s="87" t="inlineStr">
        <is>
          <t>Verplicht</t>
        </is>
      </c>
      <c r="F7" s="87" t="inlineStr">
        <is>
          <t>Bron en eigenaar van taakstellingen.</t>
        </is>
      </c>
    </row>
    <row r="8">
      <c r="B8" s="87" t="inlineStr">
        <is>
          <t>RDFO › Interne eliminaties</t>
        </is>
      </c>
      <c r="C8" s="87" t="inlineStr">
        <is>
          <t>—</t>
        </is>
      </c>
      <c r="D8" s="87" t="inlineStr">
        <is>
          <t>Som Invoer_Aanvullend.</t>
        </is>
      </c>
      <c r="E8" s="87" t="inlineStr">
        <is>
          <t>Verplicht</t>
        </is>
      </c>
      <c r="F8" s="87" t="inlineStr">
        <is>
          <t>Welke projecten/bedrijven worden geëlimineerd en op welk niveau?</t>
        </is>
      </c>
    </row>
    <row r="9">
      <c r="B9" s="87" t="inlineStr">
        <is>
          <t>RDFO › Omzet old</t>
        </is>
      </c>
      <c r="C9" s="87" t="inlineStr">
        <is>
          <t>—</t>
        </is>
      </c>
      <c r="D9" s="87" t="inlineStr">
        <is>
          <t>Opstal + deelnemingen + taakstelling + interne eliminaties.</t>
        </is>
      </c>
      <c r="E9" s="87" t="inlineStr">
        <is>
          <t>—</t>
        </is>
      </c>
      <c r="F9" s="87" t="inlineStr">
        <is>
          <t>Bevestigen dat dit de oorspronkelijke opbouw is.</t>
        </is>
      </c>
    </row>
    <row r="10">
      <c r="B10" s="87" t="inlineStr">
        <is>
          <t>RDFO › IFRS-eliminaties</t>
        </is>
      </c>
      <c r="C10" s="87" t="inlineStr">
        <is>
          <t>—</t>
        </is>
      </c>
      <c r="D10" s="87" t="inlineStr">
        <is>
          <t>Som Invoer_Aanvullend. IFRS J/N alleen als memo, geen automatische eliminatie.</t>
        </is>
      </c>
      <c r="E10" s="87" t="inlineStr">
        <is>
          <t>Verplicht</t>
        </is>
      </c>
      <c r="F10" s="87" t="inlineStr">
        <is>
          <t>Regel voor IFRS-eliminatie (volledig/proportioneel/equity) per project.</t>
        </is>
      </c>
    </row>
    <row r="11">
      <c r="B11" s="87" t="inlineStr">
        <is>
          <t>RDFO › Omzet IFRS</t>
        </is>
      </c>
      <c r="C11" s="87" t="inlineStr">
        <is>
          <t>—</t>
        </is>
      </c>
      <c r="D11" s="87" t="inlineStr">
        <is>
          <t>Omzet old + IFRS-eliminaties.</t>
        </is>
      </c>
      <c r="E11" s="87" t="inlineStr">
        <is>
          <t>—</t>
        </is>
      </c>
      <c r="F11" s="87" t="inlineStr"/>
    </row>
    <row r="12">
      <c r="B12" s="87" t="inlineStr">
        <is>
          <t>RDFO › Projectresultaten / BOR</t>
        </is>
      </c>
      <c r="C12" s="87" t="inlineStr">
        <is>
          <t>ZPMW03</t>
        </is>
      </c>
      <c r="D12" s="87" t="inlineStr">
        <is>
          <t>FY RJ = −Bruto (omzet) result. LJ − OP.BOR RJ; RJ+1 = −OP.BOR RJ+1. Geen ABS: verlies blijft negatief.</t>
        </is>
      </c>
      <c r="E12" s="87" t="inlineStr">
        <is>
          <t>—</t>
        </is>
      </c>
      <c r="F12" s="87" t="inlineStr">
        <is>
          <t>Behandeling verliesvoorzieningen (direct volledig of via OP.BOR)?</t>
        </is>
      </c>
    </row>
    <row r="13">
      <c r="B13" s="87" t="inlineStr">
        <is>
          <t>RDFO › AK-dekking</t>
        </is>
      </c>
      <c r="C13" s="87" t="inlineStr">
        <is>
          <t>—</t>
        </is>
      </c>
      <c r="D13" s="87" t="inlineStr">
        <is>
          <t>Som Invoer_Aanvullend (FY en Actual YTD apart).</t>
        </is>
      </c>
      <c r="E13" s="87" t="inlineStr">
        <is>
          <t>Verplicht</t>
        </is>
      </c>
      <c r="F13" s="87" t="inlineStr">
        <is>
          <t>Bestaande AK-methode (percentage per project? vast bedrag?) — niet generiek toegepast.</t>
        </is>
      </c>
    </row>
    <row r="14">
      <c r="B14" s="87" t="inlineStr">
        <is>
          <t>RDFO › Fees</t>
        </is>
      </c>
      <c r="C14" s="87" t="inlineStr">
        <is>
          <t>—</t>
        </is>
      </c>
      <c r="D14" s="87" t="inlineStr">
        <is>
          <t>Som Invoer_Aanvullend.</t>
        </is>
      </c>
      <c r="E14" s="87" t="inlineStr">
        <is>
          <t>Verplicht</t>
        </is>
      </c>
      <c r="F14" s="87" t="inlineStr">
        <is>
          <t>Bron van fees.</t>
        </is>
      </c>
    </row>
    <row r="15">
      <c r="B15" s="87" t="inlineStr">
        <is>
          <t>RDFO › Overige resultaten</t>
        </is>
      </c>
      <c r="C15" s="87" t="inlineStr">
        <is>
          <t>—</t>
        </is>
      </c>
      <c r="D15" s="87" t="inlineStr">
        <is>
          <t>Som Invoer_Aanvullend.</t>
        </is>
      </c>
      <c r="E15" s="87" t="inlineStr">
        <is>
          <t>Verplicht</t>
        </is>
      </c>
      <c r="F15" s="87" t="inlineStr"/>
    </row>
    <row r="16">
      <c r="B16" s="87" t="inlineStr">
        <is>
          <t>RDFO › Taakstelling EBIT</t>
        </is>
      </c>
      <c r="C16" s="87" t="inlineStr">
        <is>
          <t>—</t>
        </is>
      </c>
      <c r="D16" s="87" t="inlineStr">
        <is>
          <t>Som Invoer_Aanvullend.</t>
        </is>
      </c>
      <c r="E16" s="87" t="inlineStr">
        <is>
          <t>Verplicht</t>
        </is>
      </c>
      <c r="F16" s="87" t="inlineStr"/>
    </row>
    <row r="17">
      <c r="B17" s="87" t="inlineStr">
        <is>
          <t>RDFO › EBIT-bijdrage</t>
        </is>
      </c>
      <c r="C17" s="87" t="inlineStr">
        <is>
          <t>—</t>
        </is>
      </c>
      <c r="D17" s="87" t="inlineStr">
        <is>
          <t>BOR + AK-dekking + fees + overige resultaten + taakstelling EBIT.</t>
        </is>
      </c>
      <c r="E17" s="87" t="inlineStr">
        <is>
          <t>—</t>
        </is>
      </c>
      <c r="F17" s="87" t="inlineStr">
        <is>
          <t>Bevestigen opbouw.</t>
        </is>
      </c>
    </row>
    <row r="18">
      <c r="B18" s="87" t="inlineStr">
        <is>
          <t>RDFO › BOR %</t>
        </is>
      </c>
      <c r="C18" s="87" t="inlineStr">
        <is>
          <t>—</t>
        </is>
      </c>
      <c r="D18" s="87" t="inlineStr">
        <is>
          <t>Totale BOR / totale projectomzet (opstal + deelnemingen); deling door nul afgevangen.</t>
        </is>
      </c>
      <c r="E18" s="87" t="inlineStr">
        <is>
          <t>—</t>
        </is>
      </c>
      <c r="F18" s="87" t="inlineStr"/>
    </row>
    <row r="19">
      <c r="B19" s="87" t="inlineStr">
        <is>
          <t>RDFO › EBIT %</t>
        </is>
      </c>
      <c r="C19" s="87" t="inlineStr">
        <is>
          <t>—</t>
        </is>
      </c>
      <c r="D19" s="87" t="inlineStr">
        <is>
          <t>EBIT-bijdrage / Omzet old; deling door nul afgevangen.</t>
        </is>
      </c>
      <c r="E19" s="87" t="inlineStr">
        <is>
          <t>—</t>
        </is>
      </c>
      <c r="F19" s="87" t="inlineStr">
        <is>
          <t>Noemer bevestigen: Omzet old of Omzet IFRS?</t>
        </is>
      </c>
    </row>
    <row r="20">
      <c r="B20" s="87" t="inlineStr">
        <is>
          <t>RDFO › Budget / Q1–Q4 FY</t>
        </is>
      </c>
      <c r="C20" s="87" t="inlineStr">
        <is>
          <t>Vastlegging</t>
        </is>
      </c>
      <c r="D20" s="87" t="inlineStr">
        <is>
          <t>Actieve vastgestelde regels (hoogste revisie, eerste voorkomen) voor versiejaar P_VJ.</t>
        </is>
      </c>
      <c r="E20" s="87" t="inlineStr">
        <is>
          <t>Budget/Q1/Q2: fictieve historie</t>
        </is>
      </c>
      <c r="F20" s="87" t="inlineStr">
        <is>
          <t>Bevatten oudere productiebladen volledige jaarbedragen of delta’s t.o.v. budget?</t>
        </is>
      </c>
    </row>
    <row r="21">
      <c r="B21" s="87" t="inlineStr">
        <is>
          <t>RDFO › Upload concept</t>
        </is>
      </c>
      <c r="C21" s="87" t="inlineStr">
        <is>
          <t>SRC_ZPMW03 / SRC_Woningetalage</t>
        </is>
      </c>
      <c r="D21" s="87" t="inlineStr">
        <is>
          <t>Live uit de huidige bron; geen versie tot handmatig vastgelegd.</t>
        </is>
      </c>
      <c r="E21" s="87" t="inlineStr">
        <is>
          <t>—</t>
        </is>
      </c>
      <c r="F21" s="87" t="inlineStr"/>
    </row>
    <row r="22">
      <c r="B22" s="87" t="inlineStr">
        <is>
          <t>RDFO › Realisatie YTD</t>
        </is>
      </c>
      <c r="C22" s="87" t="inlineStr">
        <is>
          <t>Vastlegging ('Omzet actual YTD') of upload</t>
        </is>
      </c>
      <c r="D22" s="87" t="inlineStr">
        <is>
          <t>Altijd van dezelfde versie/peildatum als de geselecteerde FY-prognose.</t>
        </is>
      </c>
      <c r="E22" s="87" t="inlineStr">
        <is>
          <t>—</t>
        </is>
      </c>
      <c r="F22" s="87" t="inlineStr">
        <is>
          <t>Historische actuals Budget/Q1/Q2 niet beschikbaar → n.b.</t>
        </is>
      </c>
    </row>
    <row r="23">
      <c r="B23" s="87" t="inlineStr">
        <is>
          <t>RDFO › To go</t>
        </is>
      </c>
      <c r="C23" s="87" t="inlineStr">
        <is>
          <t>—</t>
        </is>
      </c>
      <c r="D23" s="87" t="inlineStr">
        <is>
          <t>Geselecteerde FY − realisatie YTD van dezelfde peildatum. Doeljaar &gt; versiejaar: to go = FY.</t>
        </is>
      </c>
      <c r="E23" s="87" t="inlineStr">
        <is>
          <t>—</t>
        </is>
      </c>
      <c r="F23" s="87" t="inlineStr"/>
    </row>
    <row r="24">
      <c r="B24" s="87" t="inlineStr">
        <is>
          <t>RDFO › Δ vs budget / vorige</t>
        </is>
      </c>
      <c r="C24" s="87" t="inlineStr">
        <is>
          <t>—</t>
        </is>
      </c>
      <c r="D24" s="87" t="inlineStr">
        <is>
          <t>Geselecteerde versie − Budget; geselecteerde versie − direct voorgaande versie.</t>
        </is>
      </c>
      <c r="E24" s="87" t="inlineStr">
        <is>
          <t>—</t>
        </is>
      </c>
      <c r="F24" s="87" t="inlineStr"/>
    </row>
    <row r="25">
      <c r="B25" s="87" t="inlineStr">
        <is>
          <t>Dashboard › KPI-tegels</t>
        </is>
      </c>
      <c r="C25" s="87" t="inlineStr">
        <is>
          <t>CALC_Versies (gefilterd)</t>
        </is>
      </c>
      <c r="D25" s="87" t="inlineStr">
        <is>
          <t>Zelfde logica als RDFO, met filter type/project.</t>
        </is>
      </c>
      <c r="E25" s="87" t="inlineStr">
        <is>
          <t>—</t>
        </is>
      </c>
      <c r="F25" s="87" t="inlineStr"/>
    </row>
    <row r="26">
      <c r="B26" s="87" t="inlineStr">
        <is>
          <t>Dashboard › Jaarprognoseverloop</t>
        </is>
      </c>
      <c r="C26" s="87" t="inlineStr">
        <is>
          <t>CALC_Versies</t>
        </is>
      </c>
      <c r="D26" s="87" t="inlineStr">
        <is>
          <t>FY-omzet/BOR per vastgelegde versie; ontbrekende versie = geen staaf + label '(n.b.)'.</t>
        </is>
      </c>
      <c r="E26" s="87" t="inlineStr">
        <is>
          <t>—</t>
        </is>
      </c>
      <c r="F26" s="87" t="inlineStr"/>
    </row>
    <row r="27">
      <c r="B27" s="87" t="inlineStr">
        <is>
          <t>Dashboard › Realisatie vs to go</t>
        </is>
      </c>
      <c r="C27" s="87" t="inlineStr">
        <is>
          <t>Projecten</t>
        </is>
      </c>
      <c r="D27" s="87" t="inlineStr">
        <is>
          <t>Top 10 projecten op geselecteerde FY; gestapeld realisatie + to go.</t>
        </is>
      </c>
      <c r="E27" s="87" t="inlineStr">
        <is>
          <t>—</t>
        </is>
      </c>
      <c r="F27" s="87" t="inlineStr"/>
    </row>
    <row r="28">
      <c r="B28" s="87" t="inlineStr">
        <is>
          <t>Dashboard › Grootste mutaties</t>
        </is>
      </c>
      <c r="C28" s="87" t="inlineStr">
        <is>
          <t>Projecten</t>
        </is>
      </c>
      <c r="D28" s="87" t="inlineStr">
        <is>
          <t>Top 8 op |Δ FY-omzet| geselecteerde vs vorige versie.</t>
        </is>
      </c>
      <c r="E28" s="87" t="inlineStr">
        <is>
          <t>—</t>
        </is>
      </c>
      <c r="F28" s="87" t="inlineStr"/>
    </row>
    <row r="29">
      <c r="B29" s="87" t="inlineStr">
        <is>
          <t>Dashboard › Meerjarendoorkijk</t>
        </is>
      </c>
      <c r="C29" s="87" t="inlineStr">
        <is>
          <t>ZPMW03 (upload)</t>
        </is>
      </c>
      <c r="D29" s="87" t="inlineStr">
        <is>
          <t>−OP.BOB/−OP.BOR per jaar RJ..RJ+8 + onverdeeld; niet vastgelegd.</t>
        </is>
      </c>
      <c r="E29" s="87" t="inlineStr">
        <is>
          <t>—</t>
        </is>
      </c>
      <c r="F29" s="87" t="inlineStr"/>
    </row>
    <row r="30">
      <c r="B30" s="87" t="inlineStr">
        <is>
          <t>Projecten › alle kolommen</t>
        </is>
      </c>
      <c r="C30" s="87" t="inlineStr">
        <is>
          <t>Vastlegging + VERW_Project + Invoer_Toelichting</t>
        </is>
      </c>
      <c r="D30" s="87" t="inlineStr">
        <is>
          <t>Per WBS, zelfde definities als RDFO. Marge = BOR/omzet.</t>
        </is>
      </c>
      <c r="E30" s="87" t="inlineStr">
        <is>
          <t>Toelichting</t>
        </is>
      </c>
      <c r="F30" s="87" t="inlineStr"/>
    </row>
    <row r="31">
      <c r="B31" s="87" t="inlineStr">
        <is>
          <t>Projectdetail › planning</t>
        </is>
      </c>
      <c r="C31" s="87" t="inlineStr">
        <is>
          <t>ZPMW03</t>
        </is>
      </c>
      <c r="D31" s="87" t="inlineStr">
        <is>
          <t>Realisatie t/m peildatum, Q4 rest, RJ+1 per kwartaal, RJ+2..RJ+8, onverdeeld.</t>
        </is>
      </c>
      <c r="E31" s="87" t="inlineStr">
        <is>
          <t>—</t>
        </is>
      </c>
      <c r="F31" s="87" t="inlineStr"/>
    </row>
    <row r="32">
      <c r="B32" s="87" t="inlineStr">
        <is>
          <t>Woningen › verkopen per maand/kwartaal</t>
        </is>
      </c>
      <c r="C32" s="87" t="inlineStr">
        <is>
          <t>Woningetalage</t>
        </is>
      </c>
      <c r="D32" s="87" t="inlineStr">
        <is>
          <t>hjr 01..12 (≤ peilmaand = actual), Volgend jr Q1–Q4 = RJ+1.</t>
        </is>
      </c>
      <c r="E32" s="87" t="inlineStr">
        <is>
          <t>—</t>
        </is>
      </c>
      <c r="F32" s="87" t="inlineStr">
        <is>
          <t>Bevestigen dat hjr-maanden na peildatum altijd prognose zijn.</t>
        </is>
      </c>
    </row>
    <row r="33">
      <c r="B33" s="87" t="inlineStr">
        <is>
          <t>Woningen › jaarverwachting per versie</t>
        </is>
      </c>
      <c r="C33" s="87" t="inlineStr">
        <is>
          <t>Vastlegging ('Woningverkopen FY')</t>
        </is>
      </c>
      <c r="D33" s="87" t="inlineStr">
        <is>
          <t>Per versie; upload = 'Huidig jaar' / 'Volgend jaar'.</t>
        </is>
      </c>
      <c r="E33" s="87" t="inlineStr">
        <is>
          <t>—</t>
        </is>
      </c>
      <c r="F33" s="87" t="inlineStr"/>
    </row>
    <row r="34">
      <c r="B34" s="87" t="inlineStr">
        <is>
          <t>Woningen › totaal / cumulatief / etalage</t>
        </is>
      </c>
      <c r="C34" s="87" t="inlineStr">
        <is>
          <t>Woningetalage</t>
        </is>
      </c>
      <c r="D34" s="87" t="inlineStr">
        <is>
          <t>Aantal woningen, Cumulatief Totaal, Etalage Totaal; al op aandeelbasis, NIET opnieuw gewogen.</t>
        </is>
      </c>
      <c r="E34" s="87" t="inlineStr">
        <is>
          <t>—</t>
        </is>
      </c>
      <c r="F34" s="87" t="inlineStr">
        <is>
          <t>Is ‘Aantal woningen’ in productie bruto of aandeelbasis?</t>
        </is>
      </c>
    </row>
    <row r="35">
      <c r="B35" s="87" t="inlineStr">
        <is>
          <t>Woningen › bruto (afgeleid)</t>
        </is>
      </c>
      <c r="C35" s="87" t="inlineStr">
        <is>
          <t>Woningetalage + Mapping</t>
        </is>
      </c>
      <c r="D35" s="87" t="inlineStr">
        <is>
          <t>Aandeelbasis ÷ aandeel% — alleen informatief.</t>
        </is>
      </c>
      <c r="E35" s="87" t="inlineStr">
        <is>
          <t>—</t>
        </is>
      </c>
      <c r="F35" s="87" t="inlineStr"/>
    </row>
    <row r="36">
      <c r="B36" s="87" t="inlineStr">
        <is>
          <t>Woningen › koperstype</t>
        </is>
      </c>
      <c r="C36" s="87" t="inlineStr">
        <is>
          <t>Woningetalage (actual) + Invoer_Koperstype (prognose)</t>
        </is>
      </c>
      <c r="D36" s="87" t="inlineStr">
        <is>
          <t>Actual Beleggers/Particulier; prognose zonder invoer = Onbekend.</t>
        </is>
      </c>
      <c r="E36" s="87" t="inlineStr">
        <is>
          <t>Optioneel</t>
        </is>
      </c>
      <c r="F36" s="87" t="inlineStr"/>
    </row>
    <row r="37">
      <c r="B37" s="87" t="inlineStr">
        <is>
          <t>Woningen › segment</t>
        </is>
      </c>
      <c r="C37" s="87" t="inlineStr">
        <is>
          <t>Mapping ('Segment demo')</t>
        </is>
      </c>
      <c r="D37" s="87" t="inlineStr">
        <is>
          <t>Fictieve demo-indeling; vervangen door echte segmentbron.</t>
        </is>
      </c>
      <c r="E37" s="87" t="inlineStr">
        <is>
          <t>Mapping</t>
        </is>
      </c>
      <c r="F37" s="87" t="inlineStr">
        <is>
          <t>Bron voor segment in productie.</t>
        </is>
      </c>
    </row>
  </sheetData>
  <pageMargins left="0.75" right="0.75" top="1" bottom="1" header="0.5" footer="0.5"/>
</worksheet>
</file>

<file path=xl/worksheets/sheet24.xml><?xml version="1.0" encoding="utf-8"?>
<worksheet xmlns="http://schemas.openxmlformats.org/spreadsheetml/2006/main">
  <sheetPr>
    <tabColor rgb="00D9DEE8"/>
    <outlinePr summaryBelow="1" summaryRight="1"/>
    <pageSetUpPr/>
  </sheetPr>
  <dimension ref="A1:E21"/>
  <sheetViews>
    <sheetView showGridLines="0" zoomScale="100" workbookViewId="0">
      <selection activeCell="A1" sqref="A1"/>
    </sheetView>
  </sheetViews>
  <sheetFormatPr baseColWidth="8" defaultRowHeight="15"/>
  <cols>
    <col width="2" customWidth="1" min="1" max="1"/>
    <col width="5" customWidth="1" min="2" max="2"/>
    <col width="12" customWidth="1" min="3" max="3"/>
    <col width="95" customWidth="1" min="4" max="4"/>
    <col width="40" customWidth="1" min="5" max="5"/>
  </cols>
  <sheetData>
    <row r="1" ht="28" customHeight="1">
      <c r="A1" s="1" t="n"/>
      <c r="B1" s="2" t="inlineStr">
        <is>
          <t>Productievragen</t>
        </is>
      </c>
      <c r="C1" s="1" t="n"/>
      <c r="D1" s="1" t="n"/>
      <c r="E1" s="1" t="n"/>
    </row>
    <row r="2">
      <c r="B2" s="3" t="inlineStr">
        <is>
          <t>Te beantwoorden vóór productie. Het prototype draait op expliciete demo-aannames.</t>
        </is>
      </c>
    </row>
    <row r="4" ht="22" customHeight="1">
      <c r="B4" s="32" t="inlineStr">
        <is>
          <t>Nr</t>
        </is>
      </c>
      <c r="C4" s="33" t="inlineStr">
        <is>
          <t>Thema</t>
        </is>
      </c>
      <c r="D4" s="33" t="inlineStr">
        <is>
          <t>Vraag</t>
        </is>
      </c>
      <c r="E4" s="33" t="inlineStr">
        <is>
          <t>Raakt</t>
        </is>
      </c>
    </row>
    <row r="5">
      <c r="B5" s="87" t="n">
        <v>1</v>
      </c>
      <c r="C5" s="87" t="inlineStr">
        <is>
          <t>Definitie</t>
        </is>
      </c>
      <c r="D5" s="87" t="inlineStr">
        <is>
          <t>Bevat OP.BOB &lt;jaar&gt; in productie het restant na de peildatum of het volledige jaar? Idem OP.BOR.</t>
        </is>
      </c>
      <c r="E5" s="87" t="inlineStr">
        <is>
          <t>FY-formule; dubbeltelling of onderschatting.</t>
        </is>
      </c>
    </row>
    <row r="6">
      <c r="B6" s="87" t="n">
        <v>2</v>
      </c>
      <c r="C6" s="87" t="inlineStr">
        <is>
          <t>Definitie</t>
        </is>
      </c>
      <c r="D6" s="87" t="inlineStr">
        <is>
          <t>Zijn ZPMW03-bedragen en Woningetalage-aantallen in productie al op aandeelbasis (zoals in de demo)?</t>
        </is>
      </c>
      <c r="E6" s="87" t="inlineStr">
        <is>
          <t>Woningen/omzet van deelnemingen.</t>
        </is>
      </c>
    </row>
    <row r="7">
      <c r="B7" s="87" t="n">
        <v>3</v>
      </c>
      <c r="C7" s="87" t="inlineStr">
        <is>
          <t>Definitie</t>
        </is>
      </c>
      <c r="D7" s="87" t="inlineStr">
        <is>
          <t>Tekenconventie in productie: opbrengsten en winst negatief, kosten positief — geldt dat voor alle bedrijven?</t>
        </is>
      </c>
      <c r="E7" s="87" t="inlineStr">
        <is>
          <t>Tekenomzetting.</t>
        </is>
      </c>
    </row>
    <row r="8">
      <c r="B8" s="87" t="n">
        <v>4</v>
      </c>
      <c r="C8" s="87" t="inlineStr">
        <is>
          <t>Definitie</t>
        </is>
      </c>
      <c r="D8" s="87" t="inlineStr">
        <is>
          <t>Welke rubrieken vormen exact Omzet old, Omzet IFRS en EBIT-bijdrage in de huidige RDFO? Wat is de noemer van EBIT%?</t>
        </is>
      </c>
      <c r="E8" s="87" t="inlineStr">
        <is>
          <t>RDFO-opbouw.</t>
        </is>
      </c>
    </row>
    <row r="9">
      <c r="B9" s="87" t="n">
        <v>5</v>
      </c>
      <c r="C9" s="87" t="inlineStr">
        <is>
          <t>Definitie</t>
        </is>
      </c>
      <c r="D9" s="87" t="inlineStr">
        <is>
          <t>Hoe wordt AK-dekking nu bepaald (methode, percentages, realisatie)? Wie levert dit aan?</t>
        </is>
      </c>
      <c r="E9" s="87" t="inlineStr">
        <is>
          <t>Aanvullende invoer.</t>
        </is>
      </c>
    </row>
    <row r="10">
      <c r="B10" s="87" t="n">
        <v>6</v>
      </c>
      <c r="C10" s="87" t="inlineStr">
        <is>
          <t>Definitie</t>
        </is>
      </c>
      <c r="D10" s="87" t="inlineStr">
        <is>
          <t>Welke regel bepaalt IFRS-eliminaties? Is IFRS J/N voldoende of is er een consolidatiemethode per project?</t>
        </is>
      </c>
      <c r="E10" s="87" t="inlineStr">
        <is>
          <t>Omzet IFRS.</t>
        </is>
      </c>
    </row>
    <row r="11">
      <c r="B11" s="87" t="n">
        <v>7</v>
      </c>
      <c r="C11" s="87" t="inlineStr">
        <is>
          <t>Definitie</t>
        </is>
      </c>
      <c r="D11" s="87" t="inlineStr">
        <is>
          <t>Bevatten de oudere prognosebladen (Q1/Q2 en ouder) volledige jaarbedragen of verschillen t.o.v. budget?</t>
        </is>
      </c>
      <c r="E11" s="87" t="inlineStr">
        <is>
          <t>Historische migratie.</t>
        </is>
      </c>
    </row>
    <row r="12">
      <c r="B12" s="87" t="n">
        <v>8</v>
      </c>
      <c r="C12" s="87" t="inlineStr">
        <is>
          <t>Definitie</t>
        </is>
      </c>
      <c r="D12" s="87" t="inlineStr">
        <is>
          <t>Betekenis van Woningetalage-kolommen 'Rond', 2029–2032 en negatieve jaarheaders (-2033 …).</t>
        </is>
      </c>
      <c r="E12" s="87" t="inlineStr">
        <is>
          <t>Jaarheader-mapping.</t>
        </is>
      </c>
    </row>
    <row r="13">
      <c r="B13" s="87" t="n">
        <v>9</v>
      </c>
      <c r="C13" s="87" t="inlineStr">
        <is>
          <t>Data</t>
        </is>
      </c>
      <c r="D13" s="87" t="inlineStr">
        <is>
          <t>Kan één Projectdefinitie in productie meerdere WBS-elementen hebben met elk eigen woningen? Op welk niveau staat Stufe 3?</t>
        </is>
      </c>
      <c r="E13" s="87" t="inlineStr">
        <is>
          <t>Koppeling; nu 1 WBS = 1 regel.</t>
        </is>
      </c>
    </row>
    <row r="14">
      <c r="B14" s="87" t="n">
        <v>10</v>
      </c>
      <c r="C14" s="87" t="inlineStr">
        <is>
          <t>Data</t>
        </is>
      </c>
      <c r="D14" s="87" t="inlineStr">
        <is>
          <t>Is 'Aantal woningen' bruto of aandeelbasis, en is 'Aandeel Heijm.' altijd gelijk aan het participatiepercentage in SAP?</t>
        </is>
      </c>
      <c r="E14" s="87" t="inlineStr">
        <is>
          <t>Weging.</t>
        </is>
      </c>
    </row>
    <row r="15">
      <c r="B15" s="87" t="n">
        <v>11</v>
      </c>
      <c r="C15" s="87" t="inlineStr">
        <is>
          <t>Data</t>
        </is>
      </c>
      <c r="D15" s="87" t="inlineStr">
        <is>
          <t>Waar komen Type (opstal/deelneming) en segment/koperstype voor de prognose vandaan in productie?</t>
        </is>
      </c>
      <c r="E15" s="87" t="inlineStr">
        <is>
          <t>Mapping-onderhoud.</t>
        </is>
      </c>
    </row>
    <row r="16">
      <c r="B16" s="87" t="n">
        <v>12</v>
      </c>
      <c r="C16" s="87" t="inlineStr">
        <is>
          <t>Data</t>
        </is>
      </c>
      <c r="D16" s="87" t="inlineStr">
        <is>
          <t>Hoe vaak verandert de kolomvolgorde/naamgeving van de exports (bijv. Bedrijfsnaam vs Naam maatschappij)?</t>
        </is>
      </c>
      <c r="E16" s="87" t="inlineStr">
        <is>
          <t>Aliassen.</t>
        </is>
      </c>
    </row>
    <row r="17">
      <c r="B17" s="87" t="n">
        <v>13</v>
      </c>
      <c r="C17" s="87" t="inlineStr">
        <is>
          <t>Proces</t>
        </is>
      </c>
      <c r="D17" s="87" t="inlineStr">
        <is>
          <t>Wie stelt een versie vast (rol) en wanneer is een versie definitief? Is er een vier-ogenprincipe?</t>
        </is>
      </c>
      <c r="E17" s="87" t="inlineStr">
        <is>
          <t>Status Concept/Vastgesteld.</t>
        </is>
      </c>
    </row>
    <row r="18">
      <c r="B18" s="87" t="n">
        <v>14</v>
      </c>
      <c r="C18" s="87" t="inlineStr">
        <is>
          <t>Proces</t>
        </is>
      </c>
      <c r="D18" s="87" t="inlineStr">
        <is>
          <t>Hoe worden historische versies uit de bestaande RDFO gemigreerd (welke bladen, welke jaren)?</t>
        </is>
      </c>
      <c r="E18" s="87" t="inlineStr">
        <is>
          <t>Eerste vulling grootboek.</t>
        </is>
      </c>
    </row>
    <row r="19">
      <c r="B19" s="87" t="n">
        <v>15</v>
      </c>
      <c r="C19" s="87" t="inlineStr">
        <is>
          <t>Proces</t>
        </is>
      </c>
      <c r="D19" s="87" t="inlineStr">
        <is>
          <t>Moet het budget van het volgende jaar (bijv. Budget 2027) een eigen versiejaar krijgen? (Prototype: versiejaar = jaar van de cyclus.)</t>
        </is>
      </c>
      <c r="E19" s="87" t="inlineStr">
        <is>
          <t>Versiejaarconventie.</t>
        </is>
      </c>
    </row>
    <row r="20">
      <c r="B20" s="87" t="n">
        <v>16</v>
      </c>
      <c r="C20" s="87" t="inlineStr">
        <is>
          <t>Techniek</t>
        </is>
      </c>
      <c r="D20" s="87" t="inlineStr">
        <is>
          <t>Mag de werkmap Power Query gebruiken (bronnen uit vaste map/SharePoint)? Dan vervangt een query de STG-tabbladen.</t>
        </is>
      </c>
      <c r="E20" s="87" t="inlineStr">
        <is>
          <t>Importautomatisering.</t>
        </is>
      </c>
    </row>
    <row r="21">
      <c r="B21" s="87" t="n">
        <v>17</v>
      </c>
      <c r="C21" s="87" t="inlineStr">
        <is>
          <t>Techniek</t>
        </is>
      </c>
      <c r="D21" s="87" t="inlineStr">
        <is>
          <t>Verwacht volume per bron en aantal rondes: capaciteit is nu 500 bronregels, 100 projecten en 5.000 grootboekregels.</t>
        </is>
      </c>
      <c r="E21" s="87" t="inlineStr">
        <is>
          <t>Uitbreiding formulebereiken.</t>
        </is>
      </c>
    </row>
  </sheetData>
  <pageMargins left="0.75" right="0.75" top="1" bottom="1" header="0.5" footer="0.5"/>
</worksheet>
</file>

<file path=xl/worksheets/sheet25.xml><?xml version="1.0" encoding="utf-8"?>
<worksheet xmlns="http://schemas.openxmlformats.org/spreadsheetml/2006/main">
  <sheetPr>
    <tabColor rgb="00D9DEE8"/>
    <outlinePr summaryBelow="1" summaryRight="1"/>
    <pageSetUpPr/>
  </sheetPr>
  <dimension ref="A1:D42"/>
  <sheetViews>
    <sheetView showGridLines="0" zoomScale="100" workbookViewId="0">
      <selection activeCell="A1" sqref="A1"/>
    </sheetView>
  </sheetViews>
  <sheetFormatPr baseColWidth="8" defaultRowHeight="15"/>
  <cols>
    <col width="2" customWidth="1" min="1" max="1"/>
    <col width="130" customWidth="1" min="2" max="2"/>
  </cols>
  <sheetData>
    <row r="1" ht="28" customHeight="1">
      <c r="A1" s="1" t="n"/>
      <c r="B1" s="2" t="inlineStr">
        <is>
          <t>Handleiding</t>
        </is>
      </c>
      <c r="C1" s="1" t="n"/>
      <c r="D1" s="1" t="n"/>
    </row>
    <row r="2">
      <c r="B2" s="3" t="inlineStr">
        <is>
          <t>Bronvervanging · verversen · kwartaalvastlegging (HANDMATIG) · correcties · rapporteren</t>
        </is>
      </c>
    </row>
    <row r="4">
      <c r="B4" s="16" t="inlineStr">
        <is>
          <t>A. Nieuwe bronupload (elke rapportageronde)</t>
        </is>
      </c>
    </row>
    <row r="5" ht="14" customHeight="1">
      <c r="B5" s="130" t="inlineStr">
        <is>
          <t>1. Exporteer ZPMW03 en Woningetalage zoals gebruikelijk. Wijzig niets in de export.</t>
        </is>
      </c>
    </row>
    <row r="6" ht="14" customHeight="1">
      <c r="B6" s="130" t="inlineStr">
        <is>
          <t>2. Tab SRC_ZPMW03: selecteer alles (Ctrl+A) → Delete. Plak de volledige export inclusief kopregel in cel A1.</t>
        </is>
      </c>
    </row>
    <row r="7" ht="14" customHeight="1">
      <c r="B7" s="130" t="inlineStr">
        <is>
          <t>3. Tab SRC_Woningetalage: idem. Dubbele headers (Proj.srt, Profitctr.) en jaarheaders (2028, -2033 …) gewoon laten staan.</t>
        </is>
      </c>
    </row>
    <row r="8" ht="28" customHeight="1">
      <c r="B8" s="130" t="inlineStr">
        <is>
          <t>4. Parameters: vul P_RJ (rapportagejaar), P_Peildatum, P_UploadVJ, P_UploadVersie, P_ImportID (nieuw, uniek), bestandsnamen, importdatum en het verwachte aantal regels per bron.</t>
        </is>
      </c>
    </row>
    <row r="9" ht="28" customHeight="1">
      <c r="B9" s="130" t="inlineStr">
        <is>
          <t>5. Excel rekent automatisch. Open Controle: los alle FOUT-regels op (bijv. nieuw project → regel toevoegen in Mapping). Lees de WAARSCHUWINGEN en de uitzonderingslijsten onderaan.</t>
        </is>
      </c>
    </row>
    <row r="10" ht="28" customHeight="1">
      <c r="B10" s="130" t="inlineStr">
        <is>
          <t>6. Vastgelegde versies (Budget/Q1/Q2/…) veranderen hierdoor NIET; alleen de kolom 'Upload … concept' en de uploadgedreven bladen (planning, woningmatrix, meerjarendoorkijk) wijzigen.</t>
        </is>
      </c>
    </row>
    <row r="12">
      <c r="B12" s="16" t="inlineStr">
        <is>
          <t>B. Kwartaalprognose vastleggen (HANDMATIG — geen knop)</t>
        </is>
      </c>
    </row>
    <row r="13" ht="14" customHeight="1">
      <c r="B13" s="130" t="inlineStr">
        <is>
          <t>1. Voorwaarde: Controle toont 0 fouten en de upload is inhoudelijk akkoord (concept = de te vast te stellen jaarprognose).</t>
        </is>
      </c>
    </row>
    <row r="14" ht="14" customHeight="1">
      <c r="B14" s="130" t="inlineStr">
        <is>
          <t>2. Parameters › P_StatusVastleg = 'Vastgesteld' (of 'Concept' voor een voorlopige vastlegging die nog niet meetelt).</t>
        </is>
      </c>
    </row>
    <row r="15" ht="14" customHeight="1">
      <c r="B15" s="130" t="inlineStr">
        <is>
          <t>3. Tab Vastleggen: lees regel 4 (al vastgesteld? dan wordt het een correctie). Noteer 'Te plakken regels' en de rijen.</t>
        </is>
      </c>
    </row>
    <row r="16" ht="14" customHeight="1">
      <c r="B16" s="130" t="inlineStr">
        <is>
          <t>4. Selecteer Vastleggen!A8:R&lt;laatste rij&gt; en kopieer (Ctrl+C).</t>
        </is>
      </c>
    </row>
    <row r="17" ht="14" customHeight="1">
      <c r="B17" s="130" t="inlineStr">
        <is>
          <t>5. Tab Vastlegging: ga naar kolom A op de 'Eerste vrije rij' (cel D3) en kies Plakken speciaal › Waarden (Ctrl+Alt+V, W).</t>
        </is>
      </c>
    </row>
    <row r="18" ht="28" customHeight="1">
      <c r="B18" s="130" t="inlineStr">
        <is>
          <t>6. Controleer: 'Actieve regels' neemt toe, 'Genegeerde dubbele regels' blijft 0, Controle blijft zonder fouten. In de RDFO is de versiekolom nu gevuld.</t>
        </is>
      </c>
    </row>
    <row r="19" ht="14" customHeight="1">
      <c r="B19" s="130" t="inlineStr">
        <is>
          <t>7. Voeg een regel toe aan Importlog met hetzelfde Import-ID. Sla de werkmap op met de versie in de bestandsnaam.</t>
        </is>
      </c>
    </row>
    <row r="20" ht="14" customHeight="1">
      <c r="B20" s="131" t="inlineStr">
        <is>
          <t>Nooit: regels in Vastlegging wijzigen of verwijderen, of formules in Vastlegging kolom A–R plakken.</t>
        </is>
      </c>
    </row>
    <row r="22">
      <c r="B22" s="16" t="inlineStr">
        <is>
          <t>C. Correctie op een vastgestelde versie</t>
        </is>
      </c>
    </row>
    <row r="23" ht="14" customHeight="1">
      <c r="B23" s="130" t="inlineStr">
        <is>
          <t>1. Pas bron of aanvullende invoer aan zodat Vastleggen de juiste waarden toont.</t>
        </is>
      </c>
    </row>
    <row r="24" ht="14" customHeight="1">
      <c r="B24" s="130" t="inlineStr">
        <is>
          <t>2. Vul Parameters › P_ToelCorrectie met de reden (verplicht). Vastleggen toont automatisch revisie = hoogste revisie + 1.</t>
        </is>
      </c>
    </row>
    <row r="25" ht="14" customHeight="1">
      <c r="B25" s="130" t="inlineStr">
        <is>
          <t>3. Kopieer en plak zoals bij B. Alleen de hoogste vastgestelde revisie per sleutel telt; de oude regel blijft bewaard (audittrail).</t>
        </is>
      </c>
    </row>
    <row r="26" ht="14" customHeight="1">
      <c r="B26" s="130" t="inlineStr">
        <is>
          <t>4. Wil je slechts één project corrigeren: plak alleen de betreffende regels. RDFO markeert versies met een correctie met ●.</t>
        </is>
      </c>
    </row>
    <row r="28">
      <c r="B28" s="16" t="inlineStr">
        <is>
          <t>D. Dubbele import</t>
        </is>
      </c>
    </row>
    <row r="29" ht="42" customHeight="1">
      <c r="B29" s="130" t="inlineStr">
        <is>
          <t>Wordt hetzelfde blok twee keer geplakt (zelfde sleutel én revisie), dan telt de eerste regel en wordt de tweede als dubbel gemarkeerd (Vastlegging kolom V, Controle). Er ontstaat geen dubbeltelling. Verwijder de dubbele regels bij voorkeur niet maar documenteer in Importlog; verwijderen mag alleen als ze aantoonbaar identiek zijn.</t>
        </is>
      </c>
    </row>
    <row r="31">
      <c r="B31" s="16" t="inlineStr">
        <is>
          <t>E. Aanvullende invoer en toelichtingen</t>
        </is>
      </c>
    </row>
    <row r="32" ht="42" customHeight="1">
      <c r="B32" s="130" t="inlineStr">
        <is>
          <t>Invoer_Aanvullend: taakstellingen, eliminaties, AK-dekking, fees, overige resultaten per doeljaar/versie/rubriek, regio- of projectniveau, in EUR en managementteken. Status Vastgesteld telt in versiekolommen; Concept alleen in de upload-kolom; Fictieve aanname alleen als P_Demo = Ja; Voorbeeld nooit. Ontbreekt een post, dan toont RDFO n.b.</t>
        </is>
      </c>
    </row>
    <row r="33" ht="14" customHeight="1">
      <c r="B33" s="130" t="inlineStr">
        <is>
          <t>Invoer_Toelichting: één tekst per project/doeljaar/versie; zichtbaar in Projecten en Projectdetail.</t>
        </is>
      </c>
    </row>
    <row r="34" ht="14" customHeight="1">
      <c r="B34" s="130" t="inlineStr">
        <is>
          <t>Invoer_Koperstype: optionele verdeling Belegger/Particulier voor toekomstige verkopen. Zonder invoer: Onbekend.</t>
        </is>
      </c>
    </row>
    <row r="36">
      <c r="B36" s="16" t="inlineStr">
        <is>
          <t>F. Rapporteren en naar PowerPoint</t>
        </is>
      </c>
    </row>
    <row r="37" ht="14" customHeight="1">
      <c r="B37" s="130" t="inlineStr">
        <is>
          <t>Selecties (doeljaar, versie, type, project) staan bovenaan het Dashboard en sturen alle rapporten aan.</t>
        </is>
      </c>
    </row>
    <row r="38" ht="28" customHeight="1">
      <c r="B38" s="130" t="inlineStr">
        <is>
          <t>RDFO, Dashboard, Projecten en Woningen hebben een afdrukbereik (A4 liggend). Kopieer een bereik als afbeelding (Start › Kopiëren › Als afbeelding) of plak grafieken als gekoppelde grafiek in PowerPoint.</t>
        </is>
      </c>
    </row>
    <row r="39" ht="14" customHeight="1">
      <c r="B39" s="130" t="inlineStr">
        <is>
          <t>Eenheid wijzigen via Parameters › P_Eenheid (EUR, EUR x 1.000, EUR mln). Bronprecisie blijft in EUR.</t>
        </is>
      </c>
    </row>
    <row r="41">
      <c r="B41" s="16" t="inlineStr">
        <is>
          <t>G. Nieuw jaar</t>
        </is>
      </c>
    </row>
    <row r="42" ht="28" customHeight="1">
      <c r="B42" s="130" t="inlineStr">
        <is>
          <t>Zet P_RJ, P_UploadVJ en P_VJ op het nieuwe jaar. Kolomkoppen ('OP.BOB &lt;jaar&gt;') en titels schuiven automatisch mee. Controleer in Veldwoordenboek of alle velden 'OK' zijn en of de jaarheader-mapping (tabel A) nog klopt.</t>
        </is>
      </c>
    </row>
  </sheetData>
  <pageMargins left="0.75" right="0.75" top="1" bottom="1" header="0.5" footer="0.5"/>
</worksheet>
</file>

<file path=xl/worksheets/sheet26.xml><?xml version="1.0" encoding="utf-8"?>
<worksheet xmlns="http://schemas.openxmlformats.org/spreadsheetml/2006/main">
  <sheetPr>
    <tabColor rgb="00D9DEE8"/>
    <outlinePr summaryBelow="1" summaryRight="1"/>
    <pageSetUpPr/>
  </sheetPr>
  <dimension ref="A1:F21"/>
  <sheetViews>
    <sheetView showGridLines="0" zoomScale="100" workbookViewId="0">
      <selection activeCell="A1" sqref="A1"/>
    </sheetView>
  </sheetViews>
  <sheetFormatPr baseColWidth="8" defaultRowHeight="15"/>
  <cols>
    <col width="2" customWidth="1" min="1" max="1"/>
    <col width="5" customWidth="1" min="2" max="2"/>
    <col width="48" customWidth="1" min="3" max="3"/>
    <col width="70" customWidth="1" min="4" max="4"/>
    <col width="12" customWidth="1" min="5" max="5"/>
  </cols>
  <sheetData>
    <row r="1" ht="28" customHeight="1">
      <c r="A1" s="1" t="n"/>
      <c r="B1" s="2" t="inlineStr">
        <is>
          <t>Testresultaten</t>
        </is>
      </c>
      <c r="C1" s="1" t="n"/>
      <c r="D1" s="1" t="n"/>
      <c r="E1" s="1" t="n"/>
      <c r="F1" s="1" t="n"/>
    </row>
    <row r="2">
      <c r="B2" s="3" t="inlineStr">
        <is>
          <t>Automatisch uitgevoerd met tools/test_rdfo.py (LibreOffice-herberekening van gewijzigde kopieën van deze werkmap).</t>
        </is>
      </c>
    </row>
    <row r="4" ht="22" customHeight="1">
      <c r="B4" s="32" t="inlineStr">
        <is>
          <t>Nr</t>
        </is>
      </c>
      <c r="C4" s="33" t="inlineStr">
        <is>
          <t>Test</t>
        </is>
      </c>
      <c r="D4" s="33" t="inlineStr">
        <is>
          <t>Uitkomst / bewijs</t>
        </is>
      </c>
      <c r="E4" s="33" t="inlineStr">
        <is>
          <t>Resultaat</t>
        </is>
      </c>
    </row>
    <row r="5">
      <c r="B5" s="87" t="n">
        <v>1</v>
      </c>
      <c r="C5" s="87" t="inlineStr">
        <is>
          <t>Basis: werkmap rekent zonder formulefouten en controles</t>
        </is>
      </c>
      <c r="D5" s="87" t="inlineStr">
        <is>
          <t>162788 formules, 0 fouten; Controle: 0 FOUT, 0 WAARSCHUWING</t>
        </is>
      </c>
      <c r="E5" s="132" t="inlineStr">
        <is>
          <t>GESLAAGD</t>
        </is>
      </c>
    </row>
    <row r="6">
      <c r="B6" s="87" t="n">
        <v>2</v>
      </c>
      <c r="C6" s="87" t="inlineStr">
        <is>
          <t>RDFO-versiekolommen = fictieve historie; upload = bron (onafhankelijk nagerekend)</t>
        </is>
      </c>
      <c r="D6" s="87" t="inlineStr">
        <is>
          <t>Budget/Q1/Q2/Q3/upload (EUR x 1.000): 118,525.4 / 116,754.0 / 112,768.2 / 114,096.8 / 114,096.8</t>
        </is>
      </c>
      <c r="E6" s="132" t="inlineStr">
        <is>
          <t>GESLAAGD</t>
        </is>
      </c>
    </row>
    <row r="7">
      <c r="B7" s="87" t="n">
        <v>3</v>
      </c>
      <c r="C7" s="87" t="inlineStr">
        <is>
          <t>Q3-snapshot sluit aan op de bronbestanden</t>
        </is>
      </c>
      <c r="D7" s="87" t="inlineStr">
        <is>
          <t>Q3 vastgelegd 114,096.8 = upload 114,096.8; som |verschil| alle 280 conceptregels = 0</t>
        </is>
      </c>
      <c r="E7" s="132" t="inlineStr">
        <is>
          <t>GESLAAGD</t>
        </is>
      </c>
    </row>
    <row r="8">
      <c r="B8" s="87" t="n">
        <v>4</v>
      </c>
      <c r="C8" s="87" t="inlineStr">
        <is>
          <t>Ontbrekende Q4 en ontbrekende historische actuals niet als nul</t>
        </is>
      </c>
      <c r="D8" s="87" t="inlineStr">
        <is>
          <t>Q4-kolom toont 'n.b.'; realisatie YTD Q3 = 74,162.9; vastgelegde versies zonder realisatie (blijven n.b.): 3</t>
        </is>
      </c>
      <c r="E8" s="132" t="inlineStr">
        <is>
          <t>GESLAAGD</t>
        </is>
      </c>
    </row>
    <row r="9">
      <c r="B9" s="87" t="n">
        <v>5</v>
      </c>
      <c r="C9" s="87" t="inlineStr">
        <is>
          <t>Nieuwe bronupload verandert Budget/Q1/Q2/Q3 niet; alleen upload-concept beweegt</t>
        </is>
      </c>
      <c r="D9" s="87" t="inlineStr">
        <is>
          <t>Budget–Q3 ongewijzigd: True; upload +335.2 (verwacht +335.2); Controle meldt afwijking upload vs vastgelegde Q3 als WAARSCHUWING: True</t>
        </is>
      </c>
      <c r="E9" s="132" t="inlineStr">
        <is>
          <t>GESLAAGD</t>
        </is>
      </c>
    </row>
    <row r="10">
      <c r="B10" s="87" t="n">
        <v>6</v>
      </c>
      <c r="C10" s="87" t="inlineStr">
        <is>
          <t>Kwartaalvastlegging Q4 via Vastleggen → Vastlegging (plakken als waarden)</t>
        </is>
      </c>
      <c r="D10" s="87" t="inlineStr">
        <is>
          <t>280 regels, revisie [0]; Q4-kolom = 114,096.8; Budget–Q3 ongewijzigd; geselecteerd = Vastgesteld</t>
        </is>
      </c>
      <c r="E10" s="132" t="inlineStr">
        <is>
          <t>GESLAAGD</t>
        </is>
      </c>
    </row>
    <row r="11">
      <c r="B11" s="87" t="n">
        <v>7</v>
      </c>
      <c r="C11" s="87" t="inlineStr">
        <is>
          <t>Vastgelegde Q4 is onveranderlijk: latere upload herberekent haar niet</t>
        </is>
      </c>
      <c r="D11" s="87" t="inlineStr">
        <is>
          <t>Q4 vóór/na nieuwe upload: 114,096.8 / 114,096.8; upload-concept 114,432.0</t>
        </is>
      </c>
      <c r="E11" s="132" t="inlineStr">
        <is>
          <t>GESLAAGD</t>
        </is>
      </c>
    </row>
    <row r="12">
      <c r="B12" s="87" t="n">
        <v>8</v>
      </c>
      <c r="C12" s="87" t="inlineStr">
        <is>
          <t>Dubbele import veroorzaakt geen dubbeltelling</t>
        </is>
      </c>
      <c r="D12" s="87" t="inlineStr">
        <is>
          <t>Q4 na 2x plakken: 114,096.8 (1x: 114,096.8); 280 regels als dubbel genegeerd en gemeld</t>
        </is>
      </c>
      <c r="E12" s="132" t="inlineStr">
        <is>
          <t>GESLAAGD</t>
        </is>
      </c>
    </row>
    <row r="13">
      <c r="B13" s="87" t="n">
        <v>9</v>
      </c>
      <c r="C13" s="87" t="inlineStr">
        <is>
          <t>Correctie op vastgestelde versie = nieuwe revisie, oude regel blijft, geen dubbeltelling</t>
        </is>
      </c>
      <c r="D13" s="87" t="inlineStr">
        <is>
          <t>Q2 opstal +100,000 EUR (correctie +100.000, niet +5,5 mln); kolomkop gemarkeerd met ●; overige versies ongewijzigd</t>
        </is>
      </c>
      <c r="E13" s="132" t="inlineStr">
        <is>
          <t>GESLAAGD</t>
        </is>
      </c>
    </row>
    <row r="14">
      <c r="B14" s="87" t="n">
        <v>10</v>
      </c>
      <c r="C14" s="87" t="inlineStr">
        <is>
          <t>Correctie zonder toelichting wordt als FOUT gemeld</t>
        </is>
      </c>
      <c r="D14" s="87" t="inlineStr">
        <is>
          <t>Controle: 1 FOUT</t>
        </is>
      </c>
      <c r="E14" s="132" t="inlineStr">
        <is>
          <t>GESLAAGD</t>
        </is>
      </c>
    </row>
    <row r="15">
      <c r="B15" s="87" t="n">
        <v>11</v>
      </c>
      <c r="C15" s="87" t="inlineStr">
        <is>
          <t>Woningen worden niet dubbel gewogen (aandeelbasis blijft aandeelbasis)</t>
        </is>
      </c>
      <c r="D15" s="87" t="inlineStr">
        <is>
          <t>Totaal 1160 = brontotaal 1160 (met nogmaals aandeel zou 1,106 zijn); deelneming Het Kompas 50%: 24 st. (bruto afgeleid 48)</t>
        </is>
      </c>
      <c r="E15" s="132" t="inlineStr">
        <is>
          <t>GESLAAGD</t>
        </is>
      </c>
    </row>
    <row r="16">
      <c r="B16" s="87" t="n">
        <v>12</v>
      </c>
      <c r="C16" s="87" t="inlineStr">
        <is>
          <t>Verlies blijft zichtbaar (geen ABS)</t>
        </is>
      </c>
      <c r="D16" s="87" t="inlineStr">
        <is>
          <t>Lindehaven, De Brink BOR -58.59 (x1.000) gemarkeerd 'Verlies'; RDFO BOR 10,477,198 = signed som 10,477,198 (ABS zou 10,702,738 geven)</t>
        </is>
      </c>
      <c r="E16" s="132" t="inlineStr">
        <is>
          <t>GESLAAGD</t>
        </is>
      </c>
    </row>
    <row r="17">
      <c r="B17" s="87" t="n">
        <v>13</v>
      </c>
      <c r="C17" s="87" t="inlineStr">
        <is>
          <t>Parkeergebouw zonder woningen: geen deling door nul</t>
        </is>
      </c>
      <c r="D17" s="87" t="inlineStr">
        <is>
          <t>Projectmatrix toont 'n.v.t.', % verkocht leeg; 0 formulefouten</t>
        </is>
      </c>
      <c r="E17" s="132" t="inlineStr">
        <is>
          <t>GESLAAGD</t>
        </is>
      </c>
    </row>
    <row r="18">
      <c r="B18" s="87" t="n">
        <v>14</v>
      </c>
      <c r="C18" s="87" t="inlineStr">
        <is>
          <t>Alias Bedrijfsnaam/Naam maatschappij en gewijzigde kolomvolgorde</t>
        </is>
      </c>
      <c r="D18" s="87" t="inlineStr">
        <is>
          <t>Header hernoemd + 'OP.BOB 2026' en 'Huidig jaar' van positie gewisseld: uitkomsten identiek, 0 FOUT</t>
        </is>
      </c>
      <c r="E18" s="132" t="inlineStr">
        <is>
          <t>GESLAAGD</t>
        </is>
      </c>
    </row>
    <row r="19">
      <c r="B19" s="87" t="n">
        <v>15</v>
      </c>
      <c r="C19" s="87" t="inlineStr">
        <is>
          <t>Nieuwe en vervallen projecten verschijnen als uitzondering (niet stil weg)</t>
        </is>
      </c>
      <c r="D19" s="87" t="inlineStr">
        <is>
          <t>nieuw: (1, 'FOUT'); vervallen: (1, 'WAARSCHUWING'); uitzonderingslijst bevat G.900099 en Boswaard, Parkeergebouw</t>
        </is>
      </c>
      <c r="E19" s="132" t="inlineStr">
        <is>
          <t>GESLAAGD</t>
        </is>
      </c>
    </row>
    <row r="20">
      <c r="B20" s="87" t="n">
        <v>16</v>
      </c>
      <c r="C20" s="87" t="inlineStr">
        <is>
          <t>Doeljaar 2027: jaarprognoses per versie, geen realisatie (n.v.t.), to go = FY</t>
        </is>
      </c>
      <c r="D20" s="87" t="inlineStr">
        <is>
          <t>Q3 2027 = 218,828.5; upload 2027 = 218,828.5; realisatie 'n.v.t.'</t>
        </is>
      </c>
      <c r="E20" s="132" t="inlineStr">
        <is>
          <t>GESLAAGD</t>
        </is>
      </c>
    </row>
    <row r="21">
      <c r="B21" s="87" t="n">
        <v>17</v>
      </c>
      <c r="C21" s="87" t="inlineStr">
        <is>
          <t>Fictieve demo-aannames alleen zichtbaar na expliciete keuze (en dan gemeld)</t>
        </is>
      </c>
      <c r="D21" s="87" t="inlineStr">
        <is>
          <t>P_Demo=Nee: AK-dekking 'n.b.'; P_Demo=Ja: AK-dekking -1,400 en Controle-waarschuwing</t>
        </is>
      </c>
      <c r="E21" s="132" t="inlineStr">
        <is>
          <t>GESLAAGD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2026-10-29T15:06:41Z</dcterms:created>
  <dcterms:modified xmlns:dcterms="http://purl.org/dc/terms/" xmlns:xsi="http://www.w3.org/2001/XMLSchema-instance" xsi:type="dcterms:W3CDTF">2026-10-29T15:06:47Z</dcterms:modified>
</cp:coreProperties>
</file>